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○在庫帳○19～27期\"/>
    </mc:Choice>
  </mc:AlternateContent>
  <xr:revisionPtr revIDLastSave="0" documentId="13_ncr:1_{9795EFD1-0274-48A6-927E-71E64AADC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7期" sheetId="1" r:id="rId1"/>
    <sheet name="27期－R" sheetId="4" r:id="rId2"/>
    <sheet name="代車" sheetId="6" r:id="rId3"/>
  </sheets>
  <definedNames>
    <definedName name="_xlnm.Print_Area" localSheetId="0">'27期'!$A$5696:$I$5715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134" i="1" l="1"/>
  <c r="O9148" i="1"/>
  <c r="AT9270" i="1"/>
  <c r="AX9270" i="1" s="1"/>
  <c r="U9270" i="1"/>
  <c r="M9270" i="1"/>
  <c r="AT9268" i="1"/>
  <c r="AX9268" i="1" s="1"/>
  <c r="U9268" i="1"/>
  <c r="M9268" i="1"/>
  <c r="AT9266" i="1"/>
  <c r="AX9266" i="1" s="1"/>
  <c r="U9266" i="1"/>
  <c r="M9266" i="1"/>
  <c r="AX9264" i="1"/>
  <c r="AT9264" i="1"/>
  <c r="U9264" i="1"/>
  <c r="M9264" i="1"/>
  <c r="AT9262" i="1"/>
  <c r="AX9262" i="1" s="1"/>
  <c r="U9262" i="1"/>
  <c r="M9262" i="1"/>
  <c r="AX9260" i="1"/>
  <c r="AT9260" i="1"/>
  <c r="U9260" i="1"/>
  <c r="M9260" i="1"/>
  <c r="AT9258" i="1"/>
  <c r="AX9258" i="1" s="1"/>
  <c r="U9258" i="1"/>
  <c r="M9258" i="1"/>
  <c r="AX9256" i="1"/>
  <c r="AT9256" i="1"/>
  <c r="U9256" i="1"/>
  <c r="M9256" i="1"/>
  <c r="AT9254" i="1"/>
  <c r="AX9254" i="1" s="1"/>
  <c r="U9254" i="1"/>
  <c r="M9254" i="1"/>
  <c r="AX9252" i="1"/>
  <c r="AT9252" i="1"/>
  <c r="U9252" i="1"/>
  <c r="M9252" i="1"/>
  <c r="AT9250" i="1"/>
  <c r="AX9250" i="1" s="1"/>
  <c r="U9250" i="1"/>
  <c r="M9250" i="1"/>
  <c r="AX9248" i="1"/>
  <c r="AT9248" i="1"/>
  <c r="U9248" i="1"/>
  <c r="M9248" i="1"/>
  <c r="AT9246" i="1"/>
  <c r="AX9246" i="1" s="1"/>
  <c r="U9246" i="1"/>
  <c r="M9246" i="1"/>
  <c r="AX9244" i="1"/>
  <c r="AT9244" i="1"/>
  <c r="U9244" i="1"/>
  <c r="M9244" i="1"/>
  <c r="AT9242" i="1"/>
  <c r="AX9242" i="1" s="1"/>
  <c r="U9242" i="1"/>
  <c r="M9242" i="1"/>
  <c r="AX9240" i="1"/>
  <c r="AT9240" i="1"/>
  <c r="U9240" i="1"/>
  <c r="M9240" i="1"/>
  <c r="AT9238" i="1"/>
  <c r="AX9238" i="1" s="1"/>
  <c r="U9238" i="1"/>
  <c r="M9238" i="1"/>
  <c r="AX9236" i="1"/>
  <c r="AT9236" i="1"/>
  <c r="U9236" i="1"/>
  <c r="M9236" i="1"/>
  <c r="AT9234" i="1"/>
  <c r="AX9234" i="1" s="1"/>
  <c r="U9234" i="1"/>
  <c r="M9234" i="1"/>
  <c r="AX9232" i="1"/>
  <c r="AT9232" i="1"/>
  <c r="U9232" i="1"/>
  <c r="M9232" i="1"/>
  <c r="AT9230" i="1"/>
  <c r="AX9230" i="1" s="1"/>
  <c r="U9230" i="1"/>
  <c r="M9230" i="1"/>
  <c r="AX9228" i="1"/>
  <c r="AT9228" i="1"/>
  <c r="U9228" i="1"/>
  <c r="M9228" i="1"/>
  <c r="AT9226" i="1"/>
  <c r="AX9226" i="1" s="1"/>
  <c r="U9226" i="1"/>
  <c r="M9226" i="1"/>
  <c r="AX9224" i="1"/>
  <c r="AT9224" i="1"/>
  <c r="U9224" i="1"/>
  <c r="M9224" i="1"/>
  <c r="AT9222" i="1"/>
  <c r="AX9222" i="1" s="1"/>
  <c r="U9222" i="1"/>
  <c r="M9222" i="1"/>
  <c r="AX9220" i="1"/>
  <c r="AT9220" i="1"/>
  <c r="U9220" i="1"/>
  <c r="M9220" i="1"/>
  <c r="AT9218" i="1"/>
  <c r="AX9218" i="1" s="1"/>
  <c r="M9218" i="1"/>
  <c r="U9218" i="1" s="1"/>
  <c r="AX9216" i="1"/>
  <c r="AT9216" i="1"/>
  <c r="M9216" i="1"/>
  <c r="U9216" i="1" s="1"/>
  <c r="AT9214" i="1"/>
  <c r="AX9214" i="1" s="1"/>
  <c r="U9214" i="1"/>
  <c r="M9214" i="1"/>
  <c r="AX9212" i="1"/>
  <c r="AT9212" i="1"/>
  <c r="M9212" i="1"/>
  <c r="U9212" i="1" s="1"/>
  <c r="AT9210" i="1"/>
  <c r="AX9210" i="1" s="1"/>
  <c r="M9210" i="1"/>
  <c r="U9210" i="1" s="1"/>
  <c r="AX9208" i="1"/>
  <c r="AT9208" i="1"/>
  <c r="M9208" i="1"/>
  <c r="U9208" i="1" s="1"/>
  <c r="AT9206" i="1"/>
  <c r="AX9206" i="1" s="1"/>
  <c r="M9206" i="1"/>
  <c r="U9206" i="1" s="1"/>
  <c r="AX9204" i="1"/>
  <c r="AT9204" i="1"/>
  <c r="M9204" i="1"/>
  <c r="U9204" i="1" s="1"/>
  <c r="AT9202" i="1"/>
  <c r="AX9202" i="1" s="1"/>
  <c r="M9202" i="1"/>
  <c r="U9202" i="1" s="1"/>
  <c r="AX9200" i="1"/>
  <c r="AT9200" i="1"/>
  <c r="M9200" i="1"/>
  <c r="U9200" i="1" s="1"/>
  <c r="AT9198" i="1"/>
  <c r="AX9198" i="1" s="1"/>
  <c r="M9198" i="1"/>
  <c r="U9198" i="1" s="1"/>
  <c r="AX9196" i="1"/>
  <c r="AT9196" i="1"/>
  <c r="U9196" i="1"/>
  <c r="M9196" i="1"/>
  <c r="AT9194" i="1"/>
  <c r="AX9194" i="1" s="1"/>
  <c r="M9194" i="1"/>
  <c r="U9194" i="1" s="1"/>
  <c r="AX9192" i="1"/>
  <c r="AT9192" i="1"/>
  <c r="M9192" i="1"/>
  <c r="U9192" i="1" s="1"/>
  <c r="AT9190" i="1"/>
  <c r="AX9190" i="1" s="1"/>
  <c r="M9190" i="1"/>
  <c r="U9190" i="1" s="1"/>
  <c r="AX9188" i="1"/>
  <c r="AT9188" i="1"/>
  <c r="M9188" i="1"/>
  <c r="U9188" i="1" s="1"/>
  <c r="AT9186" i="1"/>
  <c r="AX9186" i="1" s="1"/>
  <c r="M9186" i="1"/>
  <c r="U9186" i="1" s="1"/>
  <c r="AX9184" i="1"/>
  <c r="AT9184" i="1"/>
  <c r="M9184" i="1"/>
  <c r="U9184" i="1" s="1"/>
  <c r="AT9182" i="1"/>
  <c r="AX9182" i="1" s="1"/>
  <c r="M9182" i="1"/>
  <c r="U9182" i="1" s="1"/>
  <c r="AX9180" i="1"/>
  <c r="AT9180" i="1"/>
  <c r="M9180" i="1"/>
  <c r="U9180" i="1" s="1"/>
  <c r="AT9178" i="1"/>
  <c r="AX9178" i="1" s="1"/>
  <c r="M9178" i="1"/>
  <c r="U9178" i="1" s="1"/>
  <c r="AX9176" i="1"/>
  <c r="AT9176" i="1"/>
  <c r="M9176" i="1"/>
  <c r="U9176" i="1" s="1"/>
  <c r="AT9174" i="1"/>
  <c r="AX9174" i="1" s="1"/>
  <c r="M9174" i="1"/>
  <c r="U9174" i="1" s="1"/>
  <c r="U9122" i="1"/>
  <c r="O9132" i="1"/>
  <c r="O9130" i="1"/>
  <c r="O9128" i="1"/>
  <c r="O9124" i="1"/>
  <c r="O9096" i="1"/>
  <c r="S9092" i="1"/>
  <c r="O9090" i="1"/>
  <c r="AT9078" i="1"/>
  <c r="AX9078" i="1" s="1"/>
  <c r="M9078" i="1"/>
  <c r="U9078" i="1" s="1"/>
  <c r="O9076" i="1"/>
  <c r="O9072" i="1"/>
  <c r="O9070" i="1"/>
  <c r="O9064" i="1"/>
  <c r="O9062" i="1"/>
  <c r="AX9172" i="1"/>
  <c r="AT9172" i="1"/>
  <c r="M9172" i="1"/>
  <c r="U9172" i="1" s="1"/>
  <c r="AT9170" i="1"/>
  <c r="AX9170" i="1" s="1"/>
  <c r="M9170" i="1"/>
  <c r="U9170" i="1" s="1"/>
  <c r="AT9168" i="1"/>
  <c r="AX9168" i="1" s="1"/>
  <c r="M9168" i="1"/>
  <c r="U9168" i="1" s="1"/>
  <c r="AT9166" i="1"/>
  <c r="AX9166" i="1" s="1"/>
  <c r="M9166" i="1"/>
  <c r="U9166" i="1" s="1"/>
  <c r="AT9164" i="1"/>
  <c r="AX9164" i="1" s="1"/>
  <c r="M9164" i="1"/>
  <c r="U9164" i="1" s="1"/>
  <c r="AX9162" i="1"/>
  <c r="AT9162" i="1"/>
  <c r="U9162" i="1"/>
  <c r="M9162" i="1"/>
  <c r="AX9160" i="1"/>
  <c r="AT9160" i="1"/>
  <c r="M9160" i="1"/>
  <c r="U9160" i="1" s="1"/>
  <c r="AT9158" i="1"/>
  <c r="AX9158" i="1" s="1"/>
  <c r="M9158" i="1"/>
  <c r="U9158" i="1" s="1"/>
  <c r="AT9156" i="1"/>
  <c r="AX9156" i="1" s="1"/>
  <c r="M9156" i="1"/>
  <c r="U9156" i="1" s="1"/>
  <c r="AT9154" i="1"/>
  <c r="AX9154" i="1" s="1"/>
  <c r="M9154" i="1"/>
  <c r="AX9152" i="1"/>
  <c r="AT9152" i="1"/>
  <c r="M9152" i="1"/>
  <c r="U9152" i="1" s="1"/>
  <c r="AT9150" i="1"/>
  <c r="AX9150" i="1" s="1"/>
  <c r="M9150" i="1"/>
  <c r="U9150" i="1" s="1"/>
  <c r="AT9148" i="1"/>
  <c r="AX9148" i="1" s="1"/>
  <c r="M9148" i="1"/>
  <c r="U9148" i="1" s="1"/>
  <c r="AT9146" i="1"/>
  <c r="AX9146" i="1" s="1"/>
  <c r="M9146" i="1"/>
  <c r="U9146" i="1" s="1"/>
  <c r="AT9144" i="1"/>
  <c r="AX9144" i="1" s="1"/>
  <c r="M9144" i="1"/>
  <c r="U9144" i="1" s="1"/>
  <c r="AT9142" i="1"/>
  <c r="AX9142" i="1" s="1"/>
  <c r="M9142" i="1"/>
  <c r="U9142" i="1" s="1"/>
  <c r="AT9140" i="1"/>
  <c r="AX9140" i="1" s="1"/>
  <c r="M9140" i="1"/>
  <c r="U9140" i="1" s="1"/>
  <c r="AT9138" i="1"/>
  <c r="AX9138" i="1" s="1"/>
  <c r="M9138" i="1"/>
  <c r="U9138" i="1" s="1"/>
  <c r="AT9136" i="1"/>
  <c r="AX9136" i="1" s="1"/>
  <c r="M9136" i="1"/>
  <c r="U9136" i="1" s="1"/>
  <c r="AT9134" i="1"/>
  <c r="AX9134" i="1" s="1"/>
  <c r="M9134" i="1"/>
  <c r="U9134" i="1" s="1"/>
  <c r="AT9132" i="1"/>
  <c r="AX9132" i="1" s="1"/>
  <c r="M9132" i="1"/>
  <c r="AT9130" i="1"/>
  <c r="AX9130" i="1" s="1"/>
  <c r="M9130" i="1"/>
  <c r="U9130" i="1" s="1"/>
  <c r="AT9128" i="1"/>
  <c r="AX9128" i="1" s="1"/>
  <c r="M9128" i="1"/>
  <c r="U9128" i="1" s="1"/>
  <c r="AT9126" i="1"/>
  <c r="AX9126" i="1" s="1"/>
  <c r="M9126" i="1"/>
  <c r="U9126" i="1" s="1"/>
  <c r="AT9124" i="1"/>
  <c r="AX9124" i="1" s="1"/>
  <c r="M9124" i="1"/>
  <c r="U9124" i="1" s="1"/>
  <c r="AT9122" i="1"/>
  <c r="AX9122" i="1" s="1"/>
  <c r="M9122" i="1"/>
  <c r="AT9120" i="1"/>
  <c r="AX9120" i="1" s="1"/>
  <c r="M9120" i="1"/>
  <c r="U9120" i="1" s="1"/>
  <c r="AT9118" i="1"/>
  <c r="AX9118" i="1" s="1"/>
  <c r="M9118" i="1"/>
  <c r="U9118" i="1" s="1"/>
  <c r="AT9116" i="1"/>
  <c r="AX9116" i="1" s="1"/>
  <c r="M9116" i="1"/>
  <c r="U9116" i="1" s="1"/>
  <c r="AT9114" i="1"/>
  <c r="AX9114" i="1" s="1"/>
  <c r="M9114" i="1"/>
  <c r="U9114" i="1" s="1"/>
  <c r="AT9112" i="1"/>
  <c r="AX9112" i="1" s="1"/>
  <c r="M9112" i="1"/>
  <c r="U9112" i="1" s="1"/>
  <c r="AT9110" i="1"/>
  <c r="AX9110" i="1" s="1"/>
  <c r="M9110" i="1"/>
  <c r="U9110" i="1" s="1"/>
  <c r="AT9108" i="1"/>
  <c r="AX9108" i="1" s="1"/>
  <c r="M9108" i="1"/>
  <c r="U9108" i="1" s="1"/>
  <c r="AT9106" i="1"/>
  <c r="AX9106" i="1" s="1"/>
  <c r="M9106" i="1"/>
  <c r="U9106" i="1" s="1"/>
  <c r="AT9104" i="1"/>
  <c r="AX9104" i="1" s="1"/>
  <c r="M9104" i="1"/>
  <c r="U9104" i="1" s="1"/>
  <c r="AT9102" i="1"/>
  <c r="AX9102" i="1" s="1"/>
  <c r="M9102" i="1"/>
  <c r="U9102" i="1" s="1"/>
  <c r="AT9100" i="1"/>
  <c r="AX9100" i="1" s="1"/>
  <c r="M9100" i="1"/>
  <c r="U9100" i="1" s="1"/>
  <c r="AT9098" i="1"/>
  <c r="AX9098" i="1" s="1"/>
  <c r="M9098" i="1"/>
  <c r="U9098" i="1" s="1"/>
  <c r="AT9096" i="1"/>
  <c r="AX9096" i="1" s="1"/>
  <c r="M9096" i="1"/>
  <c r="U9096" i="1" s="1"/>
  <c r="AT9094" i="1"/>
  <c r="AX9094" i="1" s="1"/>
  <c r="M9094" i="1"/>
  <c r="U9094" i="1" s="1"/>
  <c r="AT9092" i="1"/>
  <c r="AX9092" i="1" s="1"/>
  <c r="M9092" i="1"/>
  <c r="U9092" i="1" s="1"/>
  <c r="AT9090" i="1"/>
  <c r="AX9090" i="1" s="1"/>
  <c r="M9090" i="1"/>
  <c r="U9090" i="1" s="1"/>
  <c r="AT9088" i="1"/>
  <c r="AX9088" i="1" s="1"/>
  <c r="M9088" i="1"/>
  <c r="U9088" i="1" s="1"/>
  <c r="AT9086" i="1"/>
  <c r="AX9086" i="1" s="1"/>
  <c r="M9086" i="1"/>
  <c r="U9086" i="1" s="1"/>
  <c r="AT9084" i="1"/>
  <c r="AX9084" i="1" s="1"/>
  <c r="M9084" i="1"/>
  <c r="U9084" i="1" s="1"/>
  <c r="AT9082" i="1"/>
  <c r="AX9082" i="1" s="1"/>
  <c r="M9082" i="1"/>
  <c r="U9082" i="1" s="1"/>
  <c r="AT9080" i="1"/>
  <c r="AX9080" i="1" s="1"/>
  <c r="M9080" i="1"/>
  <c r="U9080" i="1" s="1"/>
  <c r="AT9076" i="1"/>
  <c r="AX9076" i="1" s="1"/>
  <c r="M9076" i="1"/>
  <c r="U9076" i="1" s="1"/>
  <c r="AT9074" i="1"/>
  <c r="AX9074" i="1" s="1"/>
  <c r="M9074" i="1"/>
  <c r="U9074" i="1" s="1"/>
  <c r="AT9072" i="1"/>
  <c r="AX9072" i="1" s="1"/>
  <c r="M9072" i="1"/>
  <c r="U9072" i="1" s="1"/>
  <c r="O9004" i="1"/>
  <c r="O9002" i="1"/>
  <c r="O8968" i="1"/>
  <c r="O8956" i="1"/>
  <c r="S8956" i="1"/>
  <c r="S8954" i="1"/>
  <c r="S8952" i="1"/>
  <c r="S8950" i="1"/>
  <c r="O8950" i="1"/>
  <c r="S8932" i="1"/>
  <c r="O8932" i="1"/>
  <c r="O8876" i="1"/>
  <c r="O8874" i="1"/>
  <c r="AT8874" i="1"/>
  <c r="AX8874" i="1" s="1"/>
  <c r="M8874" i="1"/>
  <c r="U8874" i="1" s="1"/>
  <c r="O8870" i="1"/>
  <c r="O8868" i="1"/>
  <c r="S8862" i="1"/>
  <c r="K8878" i="1"/>
  <c r="AT8862" i="1"/>
  <c r="AX8862" i="1" s="1"/>
  <c r="M8862" i="1"/>
  <c r="M8864" i="1"/>
  <c r="U8864" i="1" s="1"/>
  <c r="AT8864" i="1"/>
  <c r="AX8864" i="1" s="1"/>
  <c r="AT8860" i="1"/>
  <c r="AX8860" i="1" s="1"/>
  <c r="M8860" i="1"/>
  <c r="U8860" i="1" s="1"/>
  <c r="AT8876" i="1"/>
  <c r="AX8876" i="1" s="1"/>
  <c r="M8876" i="1"/>
  <c r="U8876" i="1" s="1"/>
  <c r="AT8834" i="1"/>
  <c r="AX8834" i="1" s="1"/>
  <c r="M8834" i="1"/>
  <c r="U8834" i="1" s="1"/>
  <c r="AT8850" i="1"/>
  <c r="AX8850" i="1" s="1"/>
  <c r="M8850" i="1"/>
  <c r="U8850" i="1" s="1"/>
  <c r="AT8810" i="1"/>
  <c r="AX8810" i="1" s="1"/>
  <c r="M8810" i="1"/>
  <c r="U8810" i="1" s="1"/>
  <c r="U9132" i="1" l="1"/>
  <c r="U8862" i="1"/>
  <c r="M8762" i="1"/>
  <c r="O8750" i="1"/>
  <c r="AT8760" i="1"/>
  <c r="AX8760" i="1" s="1"/>
  <c r="M8760" i="1"/>
  <c r="U8760" i="1" s="1"/>
  <c r="O8730" i="1"/>
  <c r="O8722" i="1"/>
  <c r="S8706" i="1"/>
  <c r="S8704" i="1"/>
  <c r="S8698" i="1"/>
  <c r="O8698" i="1"/>
  <c r="O8694" i="1"/>
  <c r="O8634" i="1"/>
  <c r="O8630" i="1"/>
  <c r="K8648" i="1"/>
  <c r="M8648" i="1" s="1"/>
  <c r="U8648" i="1" s="1"/>
  <c r="K8646" i="1"/>
  <c r="M8646" i="1" s="1"/>
  <c r="U8646" i="1" s="1"/>
  <c r="K8644" i="1"/>
  <c r="M8644" i="1" s="1"/>
  <c r="U8644" i="1" s="1"/>
  <c r="K8642" i="1"/>
  <c r="M8642" i="1" s="1"/>
  <c r="U8642" i="1" s="1"/>
  <c r="AR584" i="1"/>
  <c r="O8496" i="1"/>
  <c r="O8494" i="1"/>
  <c r="O8474" i="1"/>
  <c r="S8472" i="1"/>
  <c r="S8470" i="1"/>
  <c r="S8456" i="1"/>
  <c r="AT8456" i="1"/>
  <c r="AX8456" i="1" s="1"/>
  <c r="M8456" i="1"/>
  <c r="O8404" i="1"/>
  <c r="O8392" i="1"/>
  <c r="O8390" i="1"/>
  <c r="O8382" i="1"/>
  <c r="AT8380" i="1"/>
  <c r="AX8380" i="1" s="1"/>
  <c r="M8380" i="1"/>
  <c r="U8380" i="1" s="1"/>
  <c r="K8402" i="1"/>
  <c r="M8402" i="1" s="1"/>
  <c r="U8402" i="1" s="1"/>
  <c r="K8400" i="1"/>
  <c r="M8400" i="1" s="1"/>
  <c r="U8400" i="1" s="1"/>
  <c r="K8398" i="1"/>
  <c r="AT8378" i="1"/>
  <c r="AX8378" i="1" s="1"/>
  <c r="M8378" i="1"/>
  <c r="U8378" i="1" s="1"/>
  <c r="AT8384" i="1"/>
  <c r="AX8384" i="1" s="1"/>
  <c r="M8384" i="1"/>
  <c r="U8384" i="1" s="1"/>
  <c r="AT8386" i="1"/>
  <c r="AX8386" i="1" s="1"/>
  <c r="M8386" i="1"/>
  <c r="U8386" i="1" s="1"/>
  <c r="M8292" i="1"/>
  <c r="U8292" i="1" s="1"/>
  <c r="O8250" i="1"/>
  <c r="O8220" i="1"/>
  <c r="O8218" i="1"/>
  <c r="S8212" i="1"/>
  <c r="U8212" i="1" s="1"/>
  <c r="S8210" i="1"/>
  <c r="K8148" i="1"/>
  <c r="M8148" i="1" s="1"/>
  <c r="K8146" i="1"/>
  <c r="M8146" i="1" s="1"/>
  <c r="U8146" i="1" s="1"/>
  <c r="K8144" i="1"/>
  <c r="M8144" i="1" s="1"/>
  <c r="U8144" i="1" s="1"/>
  <c r="K8140" i="1"/>
  <c r="M8140" i="1" s="1"/>
  <c r="U8140" i="1" s="1"/>
  <c r="AT8140" i="1"/>
  <c r="AX8140" i="1" s="1"/>
  <c r="O8130" i="1"/>
  <c r="O8128" i="1"/>
  <c r="K8142" i="1"/>
  <c r="M8142" i="1" s="1"/>
  <c r="U8142" i="1" s="1"/>
  <c r="K8138" i="1"/>
  <c r="M8138" i="1" s="1"/>
  <c r="U8138" i="1" s="1"/>
  <c r="K8136" i="1"/>
  <c r="M8136" i="1" s="1"/>
  <c r="U8136" i="1" s="1"/>
  <c r="AT6914" i="1"/>
  <c r="S7968" i="1"/>
  <c r="S7966" i="1"/>
  <c r="O7964" i="1"/>
  <c r="S7956" i="1"/>
  <c r="O7952" i="1"/>
  <c r="K7872" i="1"/>
  <c r="M7872" i="1" s="1"/>
  <c r="U7872" i="1" s="1"/>
  <c r="K7870" i="1"/>
  <c r="M7870" i="1" s="1"/>
  <c r="U7870" i="1" s="1"/>
  <c r="M7828" i="1"/>
  <c r="U7828" i="1" s="1"/>
  <c r="AT9070" i="1"/>
  <c r="AX9070" i="1" s="1"/>
  <c r="M9070" i="1"/>
  <c r="U9070" i="1" s="1"/>
  <c r="AT9068" i="1"/>
  <c r="AX9068" i="1" s="1"/>
  <c r="M9068" i="1"/>
  <c r="U9068" i="1" s="1"/>
  <c r="AT9066" i="1"/>
  <c r="AX9066" i="1" s="1"/>
  <c r="M9066" i="1"/>
  <c r="U9066" i="1" s="1"/>
  <c r="AT9064" i="1"/>
  <c r="AX9064" i="1" s="1"/>
  <c r="M9064" i="1"/>
  <c r="U9064" i="1" s="1"/>
  <c r="AT9062" i="1"/>
  <c r="AX9062" i="1" s="1"/>
  <c r="M9062" i="1"/>
  <c r="U9062" i="1" s="1"/>
  <c r="AT9060" i="1"/>
  <c r="AX9060" i="1" s="1"/>
  <c r="M9060" i="1"/>
  <c r="U9060" i="1" s="1"/>
  <c r="AT9058" i="1"/>
  <c r="AX9058" i="1" s="1"/>
  <c r="M9058" i="1"/>
  <c r="U9058" i="1" s="1"/>
  <c r="AT9056" i="1"/>
  <c r="AX9056" i="1" s="1"/>
  <c r="M9056" i="1"/>
  <c r="U9056" i="1" s="1"/>
  <c r="AT9054" i="1"/>
  <c r="AX9054" i="1" s="1"/>
  <c r="M9054" i="1"/>
  <c r="U9054" i="1" s="1"/>
  <c r="AT9052" i="1"/>
  <c r="AX9052" i="1" s="1"/>
  <c r="M9052" i="1"/>
  <c r="U9052" i="1" s="1"/>
  <c r="AT9050" i="1"/>
  <c r="AX9050" i="1" s="1"/>
  <c r="M9050" i="1"/>
  <c r="U9050" i="1" s="1"/>
  <c r="AT9048" i="1"/>
  <c r="AX9048" i="1" s="1"/>
  <c r="M9048" i="1"/>
  <c r="U9048" i="1" s="1"/>
  <c r="AT9046" i="1"/>
  <c r="AX9046" i="1" s="1"/>
  <c r="M9046" i="1"/>
  <c r="U9046" i="1" s="1"/>
  <c r="AT9044" i="1"/>
  <c r="AX9044" i="1" s="1"/>
  <c r="M9044" i="1"/>
  <c r="U9044" i="1" s="1"/>
  <c r="AT9042" i="1"/>
  <c r="AX9042" i="1" s="1"/>
  <c r="M9042" i="1"/>
  <c r="U9042" i="1" s="1"/>
  <c r="AT9040" i="1"/>
  <c r="AX9040" i="1" s="1"/>
  <c r="M9040" i="1"/>
  <c r="U9040" i="1" s="1"/>
  <c r="AT9038" i="1"/>
  <c r="AX9038" i="1" s="1"/>
  <c r="M9038" i="1"/>
  <c r="U9038" i="1" s="1"/>
  <c r="AT9036" i="1"/>
  <c r="AX9036" i="1" s="1"/>
  <c r="M9036" i="1"/>
  <c r="U9036" i="1" s="1"/>
  <c r="AT9034" i="1"/>
  <c r="AX9034" i="1" s="1"/>
  <c r="M9034" i="1"/>
  <c r="U9034" i="1" s="1"/>
  <c r="AT9032" i="1"/>
  <c r="AX9032" i="1" s="1"/>
  <c r="M9032" i="1"/>
  <c r="U9032" i="1" s="1"/>
  <c r="AT9030" i="1"/>
  <c r="AX9030" i="1" s="1"/>
  <c r="M9030" i="1"/>
  <c r="U9030" i="1" s="1"/>
  <c r="AT9028" i="1"/>
  <c r="AX9028" i="1" s="1"/>
  <c r="M9028" i="1"/>
  <c r="U9028" i="1" s="1"/>
  <c r="AT9026" i="1"/>
  <c r="AX9026" i="1" s="1"/>
  <c r="M9026" i="1"/>
  <c r="U9026" i="1" s="1"/>
  <c r="AT9024" i="1"/>
  <c r="AX9024" i="1" s="1"/>
  <c r="M9024" i="1"/>
  <c r="U9024" i="1" s="1"/>
  <c r="AT9022" i="1"/>
  <c r="AX9022" i="1" s="1"/>
  <c r="M9022" i="1"/>
  <c r="U9022" i="1" s="1"/>
  <c r="AT9020" i="1"/>
  <c r="AX9020" i="1" s="1"/>
  <c r="U9020" i="1"/>
  <c r="AT9018" i="1"/>
  <c r="AX9018" i="1" s="1"/>
  <c r="M9018" i="1"/>
  <c r="U9018" i="1" s="1"/>
  <c r="AT9016" i="1"/>
  <c r="AX9016" i="1" s="1"/>
  <c r="M9016" i="1"/>
  <c r="U9016" i="1" s="1"/>
  <c r="AT9014" i="1"/>
  <c r="AX9014" i="1" s="1"/>
  <c r="M9014" i="1"/>
  <c r="U9014" i="1" s="1"/>
  <c r="AT9012" i="1"/>
  <c r="AX9012" i="1" s="1"/>
  <c r="M9012" i="1"/>
  <c r="U9012" i="1" s="1"/>
  <c r="AT9010" i="1"/>
  <c r="AX9010" i="1" s="1"/>
  <c r="M9010" i="1"/>
  <c r="U9010" i="1" s="1"/>
  <c r="AT9008" i="1"/>
  <c r="AX9008" i="1" s="1"/>
  <c r="M9008" i="1"/>
  <c r="U9008" i="1" s="1"/>
  <c r="AT9006" i="1"/>
  <c r="AX9006" i="1" s="1"/>
  <c r="M9006" i="1"/>
  <c r="U9006" i="1" s="1"/>
  <c r="AT9004" i="1"/>
  <c r="AX9004" i="1" s="1"/>
  <c r="M9004" i="1"/>
  <c r="U9004" i="1" s="1"/>
  <c r="AT9002" i="1"/>
  <c r="AX9002" i="1" s="1"/>
  <c r="M9002" i="1"/>
  <c r="U9002" i="1" s="1"/>
  <c r="AT9000" i="1"/>
  <c r="AX9000" i="1" s="1"/>
  <c r="M9000" i="1"/>
  <c r="U9000" i="1" s="1"/>
  <c r="AT8998" i="1"/>
  <c r="AX8998" i="1" s="1"/>
  <c r="M8998" i="1"/>
  <c r="U8998" i="1" s="1"/>
  <c r="AT8996" i="1"/>
  <c r="AX8996" i="1" s="1"/>
  <c r="M8996" i="1"/>
  <c r="U8996" i="1" s="1"/>
  <c r="AT8994" i="1"/>
  <c r="AX8994" i="1" s="1"/>
  <c r="M8994" i="1"/>
  <c r="U8994" i="1" s="1"/>
  <c r="AT8992" i="1"/>
  <c r="AX8992" i="1" s="1"/>
  <c r="M8992" i="1"/>
  <c r="U8992" i="1" s="1"/>
  <c r="AT8990" i="1"/>
  <c r="AX8990" i="1" s="1"/>
  <c r="M8990" i="1"/>
  <c r="U8990" i="1" s="1"/>
  <c r="AT8988" i="1"/>
  <c r="AX8988" i="1" s="1"/>
  <c r="M8988" i="1"/>
  <c r="U8988" i="1" s="1"/>
  <c r="AT8986" i="1"/>
  <c r="AX8986" i="1" s="1"/>
  <c r="M8986" i="1"/>
  <c r="U8986" i="1" s="1"/>
  <c r="AT8984" i="1"/>
  <c r="AX8984" i="1" s="1"/>
  <c r="M8984" i="1"/>
  <c r="U8984" i="1" s="1"/>
  <c r="AT8982" i="1"/>
  <c r="AX8982" i="1" s="1"/>
  <c r="M8982" i="1"/>
  <c r="U8982" i="1" s="1"/>
  <c r="AT8980" i="1"/>
  <c r="AX8980" i="1" s="1"/>
  <c r="M8980" i="1"/>
  <c r="U8980" i="1" s="1"/>
  <c r="AT8978" i="1"/>
  <c r="AX8978" i="1" s="1"/>
  <c r="M8978" i="1"/>
  <c r="U8978" i="1" s="1"/>
  <c r="AT8976" i="1"/>
  <c r="AX8976" i="1" s="1"/>
  <c r="U8976" i="1"/>
  <c r="AT8974" i="1"/>
  <c r="AX8974" i="1" s="1"/>
  <c r="M8974" i="1"/>
  <c r="U8974" i="1" s="1"/>
  <c r="AT8972" i="1"/>
  <c r="AX8972" i="1" s="1"/>
  <c r="M8972" i="1"/>
  <c r="U8972" i="1" s="1"/>
  <c r="AT8970" i="1"/>
  <c r="AX8970" i="1" s="1"/>
  <c r="M8970" i="1"/>
  <c r="U8970" i="1" s="1"/>
  <c r="AT8968" i="1"/>
  <c r="AX8968" i="1" s="1"/>
  <c r="M8968" i="1"/>
  <c r="U8968" i="1" s="1"/>
  <c r="AT8966" i="1"/>
  <c r="AX8966" i="1" s="1"/>
  <c r="M8966" i="1"/>
  <c r="U8966" i="1" s="1"/>
  <c r="AT8964" i="1"/>
  <c r="AX8964" i="1" s="1"/>
  <c r="M8964" i="1"/>
  <c r="U8964" i="1" s="1"/>
  <c r="AT8962" i="1"/>
  <c r="AX8962" i="1" s="1"/>
  <c r="M8962" i="1"/>
  <c r="U8962" i="1" s="1"/>
  <c r="AT8960" i="1"/>
  <c r="AX8960" i="1" s="1"/>
  <c r="M8960" i="1"/>
  <c r="U8960" i="1" s="1"/>
  <c r="AT8958" i="1"/>
  <c r="AX8958" i="1" s="1"/>
  <c r="M8958" i="1"/>
  <c r="U8958" i="1" s="1"/>
  <c r="AT8956" i="1"/>
  <c r="AX8956" i="1" s="1"/>
  <c r="M8956" i="1"/>
  <c r="U8956" i="1" s="1"/>
  <c r="AT8954" i="1"/>
  <c r="AX8954" i="1" s="1"/>
  <c r="M8954" i="1"/>
  <c r="U8954" i="1" s="1"/>
  <c r="AT8952" i="1"/>
  <c r="AX8952" i="1" s="1"/>
  <c r="M8952" i="1"/>
  <c r="U8952" i="1" s="1"/>
  <c r="AT8950" i="1"/>
  <c r="AX8950" i="1" s="1"/>
  <c r="M8950" i="1"/>
  <c r="U8950" i="1" s="1"/>
  <c r="AT8948" i="1"/>
  <c r="AX8948" i="1" s="1"/>
  <c r="M8948" i="1"/>
  <c r="U8948" i="1" s="1"/>
  <c r="AT8946" i="1"/>
  <c r="AX8946" i="1" s="1"/>
  <c r="M8946" i="1"/>
  <c r="U8946" i="1" s="1"/>
  <c r="AT8944" i="1"/>
  <c r="AX8944" i="1" s="1"/>
  <c r="M8944" i="1"/>
  <c r="U8944" i="1" s="1"/>
  <c r="AT8942" i="1"/>
  <c r="AX8942" i="1" s="1"/>
  <c r="M8942" i="1"/>
  <c r="U8942" i="1" s="1"/>
  <c r="AT8940" i="1"/>
  <c r="AX8940" i="1" s="1"/>
  <c r="M8940" i="1"/>
  <c r="U8940" i="1" s="1"/>
  <c r="AT8938" i="1"/>
  <c r="AX8938" i="1" s="1"/>
  <c r="M8938" i="1"/>
  <c r="U8938" i="1" s="1"/>
  <c r="AT8936" i="1"/>
  <c r="AX8936" i="1" s="1"/>
  <c r="M8936" i="1"/>
  <c r="U8936" i="1" s="1"/>
  <c r="AT8934" i="1"/>
  <c r="AX8934" i="1" s="1"/>
  <c r="M8934" i="1"/>
  <c r="U8934" i="1" s="1"/>
  <c r="AT8932" i="1"/>
  <c r="AX8932" i="1" s="1"/>
  <c r="M8932" i="1"/>
  <c r="U8932" i="1" s="1"/>
  <c r="AT8930" i="1"/>
  <c r="AX8930" i="1" s="1"/>
  <c r="M8930" i="1"/>
  <c r="U8930" i="1" s="1"/>
  <c r="AT8928" i="1"/>
  <c r="AX8928" i="1" s="1"/>
  <c r="M8928" i="1"/>
  <c r="U8928" i="1" s="1"/>
  <c r="AT8926" i="1"/>
  <c r="AX8926" i="1" s="1"/>
  <c r="M8926" i="1"/>
  <c r="U8926" i="1" s="1"/>
  <c r="AT8924" i="1"/>
  <c r="AX8924" i="1" s="1"/>
  <c r="M8924" i="1"/>
  <c r="U8924" i="1" s="1"/>
  <c r="AT8922" i="1"/>
  <c r="AX8922" i="1" s="1"/>
  <c r="M8922" i="1"/>
  <c r="U8922" i="1" s="1"/>
  <c r="AT8920" i="1"/>
  <c r="AX8920" i="1" s="1"/>
  <c r="M8920" i="1"/>
  <c r="U8920" i="1" s="1"/>
  <c r="AT8918" i="1"/>
  <c r="AX8918" i="1" s="1"/>
  <c r="M8918" i="1"/>
  <c r="U8918" i="1" s="1"/>
  <c r="AT8916" i="1"/>
  <c r="AX8916" i="1" s="1"/>
  <c r="M8916" i="1"/>
  <c r="U8916" i="1" s="1"/>
  <c r="AT8914" i="1"/>
  <c r="AX8914" i="1" s="1"/>
  <c r="M8914" i="1"/>
  <c r="U8914" i="1" s="1"/>
  <c r="AT8912" i="1"/>
  <c r="AX8912" i="1" s="1"/>
  <c r="M8912" i="1"/>
  <c r="U8912" i="1" s="1"/>
  <c r="AT8910" i="1"/>
  <c r="AX8910" i="1" s="1"/>
  <c r="M8910" i="1"/>
  <c r="U8910" i="1" s="1"/>
  <c r="AT8908" i="1"/>
  <c r="AX8908" i="1" s="1"/>
  <c r="M8908" i="1"/>
  <c r="U8908" i="1" s="1"/>
  <c r="AT8906" i="1"/>
  <c r="AX8906" i="1" s="1"/>
  <c r="M8906" i="1"/>
  <c r="U8906" i="1" s="1"/>
  <c r="AT8904" i="1"/>
  <c r="AX8904" i="1" s="1"/>
  <c r="M8904" i="1"/>
  <c r="U8904" i="1" s="1"/>
  <c r="AT8902" i="1"/>
  <c r="AX8902" i="1" s="1"/>
  <c r="M8902" i="1"/>
  <c r="U8902" i="1" s="1"/>
  <c r="AT8900" i="1"/>
  <c r="AX8900" i="1" s="1"/>
  <c r="M8900" i="1"/>
  <c r="U8900" i="1" s="1"/>
  <c r="AT8898" i="1"/>
  <c r="AX8898" i="1" s="1"/>
  <c r="M8898" i="1"/>
  <c r="U8898" i="1" s="1"/>
  <c r="AT8896" i="1"/>
  <c r="AX8896" i="1" s="1"/>
  <c r="M8896" i="1"/>
  <c r="U8896" i="1" s="1"/>
  <c r="AT8894" i="1"/>
  <c r="AX8894" i="1" s="1"/>
  <c r="M8894" i="1"/>
  <c r="U8894" i="1" s="1"/>
  <c r="AT8892" i="1"/>
  <c r="AX8892" i="1" s="1"/>
  <c r="M8892" i="1"/>
  <c r="U8892" i="1" s="1"/>
  <c r="AT8890" i="1"/>
  <c r="AX8890" i="1" s="1"/>
  <c r="M8890" i="1"/>
  <c r="U8890" i="1" s="1"/>
  <c r="AT8888" i="1"/>
  <c r="AX8888" i="1" s="1"/>
  <c r="M8888" i="1"/>
  <c r="U8888" i="1" s="1"/>
  <c r="AT8886" i="1"/>
  <c r="AX8886" i="1" s="1"/>
  <c r="M8886" i="1"/>
  <c r="U8886" i="1" s="1"/>
  <c r="AT8884" i="1"/>
  <c r="AX8884" i="1" s="1"/>
  <c r="M8884" i="1"/>
  <c r="U8884" i="1" s="1"/>
  <c r="AT8882" i="1"/>
  <c r="AX8882" i="1" s="1"/>
  <c r="M8882" i="1"/>
  <c r="U8882" i="1" s="1"/>
  <c r="AT8880" i="1"/>
  <c r="AX8880" i="1" s="1"/>
  <c r="M8880" i="1"/>
  <c r="U8880" i="1" s="1"/>
  <c r="AT8878" i="1"/>
  <c r="AX8878" i="1" s="1"/>
  <c r="M8878" i="1"/>
  <c r="U8878" i="1" s="1"/>
  <c r="AT8872" i="1"/>
  <c r="AX8872" i="1" s="1"/>
  <c r="M8872" i="1"/>
  <c r="U8872" i="1" s="1"/>
  <c r="AT8870" i="1"/>
  <c r="AX8870" i="1" s="1"/>
  <c r="M8870" i="1"/>
  <c r="U8870" i="1" s="1"/>
  <c r="AT8868" i="1"/>
  <c r="AX8868" i="1" s="1"/>
  <c r="M8868" i="1"/>
  <c r="U8868" i="1" s="1"/>
  <c r="AT8866" i="1"/>
  <c r="AX8866" i="1" s="1"/>
  <c r="M8866" i="1"/>
  <c r="U8866" i="1" s="1"/>
  <c r="AT8858" i="1"/>
  <c r="AX8858" i="1" s="1"/>
  <c r="M8858" i="1"/>
  <c r="U8858" i="1" s="1"/>
  <c r="AT8856" i="1"/>
  <c r="AX8856" i="1" s="1"/>
  <c r="M8856" i="1"/>
  <c r="U8856" i="1" s="1"/>
  <c r="AT8854" i="1"/>
  <c r="AX8854" i="1" s="1"/>
  <c r="M8854" i="1"/>
  <c r="U8854" i="1" s="1"/>
  <c r="AT8852" i="1"/>
  <c r="AX8852" i="1" s="1"/>
  <c r="M8852" i="1"/>
  <c r="U8852" i="1" s="1"/>
  <c r="AT8848" i="1"/>
  <c r="AX8848" i="1" s="1"/>
  <c r="M8848" i="1"/>
  <c r="U8848" i="1" s="1"/>
  <c r="AT8846" i="1"/>
  <c r="AX8846" i="1" s="1"/>
  <c r="M8846" i="1"/>
  <c r="U8846" i="1" s="1"/>
  <c r="AT8844" i="1"/>
  <c r="AX8844" i="1" s="1"/>
  <c r="M8844" i="1"/>
  <c r="U8844" i="1" s="1"/>
  <c r="AT8842" i="1"/>
  <c r="AX8842" i="1" s="1"/>
  <c r="M8842" i="1"/>
  <c r="U8842" i="1" s="1"/>
  <c r="AT8840" i="1"/>
  <c r="AX8840" i="1" s="1"/>
  <c r="M8840" i="1"/>
  <c r="U8840" i="1" s="1"/>
  <c r="AT8838" i="1"/>
  <c r="AX8838" i="1" s="1"/>
  <c r="M8838" i="1"/>
  <c r="U8838" i="1" s="1"/>
  <c r="AT8836" i="1"/>
  <c r="AX8836" i="1" s="1"/>
  <c r="M8836" i="1"/>
  <c r="U8836" i="1" s="1"/>
  <c r="AT8832" i="1"/>
  <c r="AX8832" i="1" s="1"/>
  <c r="M8832" i="1"/>
  <c r="U8832" i="1" s="1"/>
  <c r="AT8830" i="1"/>
  <c r="AX8830" i="1" s="1"/>
  <c r="M8830" i="1"/>
  <c r="U8830" i="1" s="1"/>
  <c r="AT8828" i="1"/>
  <c r="AX8828" i="1" s="1"/>
  <c r="M8828" i="1"/>
  <c r="U8828" i="1" s="1"/>
  <c r="AT8826" i="1"/>
  <c r="AX8826" i="1" s="1"/>
  <c r="M8826" i="1"/>
  <c r="U8826" i="1" s="1"/>
  <c r="AT8824" i="1"/>
  <c r="AX8824" i="1" s="1"/>
  <c r="M8824" i="1"/>
  <c r="U8824" i="1" s="1"/>
  <c r="AT8822" i="1"/>
  <c r="AX8822" i="1" s="1"/>
  <c r="M8822" i="1"/>
  <c r="U8822" i="1" s="1"/>
  <c r="AT8820" i="1"/>
  <c r="AX8820" i="1" s="1"/>
  <c r="M8820" i="1"/>
  <c r="U8820" i="1" s="1"/>
  <c r="AT8818" i="1"/>
  <c r="AX8818" i="1" s="1"/>
  <c r="M8818" i="1"/>
  <c r="U8818" i="1" s="1"/>
  <c r="AT8816" i="1"/>
  <c r="AX8816" i="1" s="1"/>
  <c r="M8816" i="1"/>
  <c r="U8816" i="1" s="1"/>
  <c r="AT8814" i="1"/>
  <c r="AX8814" i="1" s="1"/>
  <c r="M8814" i="1"/>
  <c r="U8814" i="1" s="1"/>
  <c r="AT8812" i="1"/>
  <c r="AX8812" i="1" s="1"/>
  <c r="M8812" i="1"/>
  <c r="U8812" i="1" s="1"/>
  <c r="AT8808" i="1"/>
  <c r="AX8808" i="1" s="1"/>
  <c r="M8808" i="1"/>
  <c r="U8808" i="1" s="1"/>
  <c r="AT8806" i="1"/>
  <c r="AX8806" i="1" s="1"/>
  <c r="M8806" i="1"/>
  <c r="U8806" i="1" s="1"/>
  <c r="AT8804" i="1"/>
  <c r="AX8804" i="1" s="1"/>
  <c r="M8804" i="1"/>
  <c r="U8804" i="1" s="1"/>
  <c r="AT8802" i="1"/>
  <c r="AX8802" i="1" s="1"/>
  <c r="M8802" i="1"/>
  <c r="U8802" i="1" s="1"/>
  <c r="AT8800" i="1"/>
  <c r="AX8800" i="1" s="1"/>
  <c r="M8800" i="1"/>
  <c r="U8800" i="1" s="1"/>
  <c r="AT8798" i="1"/>
  <c r="AX8798" i="1" s="1"/>
  <c r="M8798" i="1"/>
  <c r="U8798" i="1" s="1"/>
  <c r="AT8796" i="1"/>
  <c r="AX8796" i="1" s="1"/>
  <c r="M8796" i="1"/>
  <c r="U8796" i="1" s="1"/>
  <c r="AT8794" i="1"/>
  <c r="AX8794" i="1" s="1"/>
  <c r="M8794" i="1"/>
  <c r="U8794" i="1" s="1"/>
  <c r="AT8792" i="1"/>
  <c r="AX8792" i="1" s="1"/>
  <c r="M8792" i="1"/>
  <c r="U8792" i="1" s="1"/>
  <c r="AT8790" i="1"/>
  <c r="AX8790" i="1" s="1"/>
  <c r="M8790" i="1"/>
  <c r="U8790" i="1" s="1"/>
  <c r="AT8788" i="1"/>
  <c r="AX8788" i="1" s="1"/>
  <c r="M8788" i="1"/>
  <c r="U8788" i="1" s="1"/>
  <c r="AT8786" i="1"/>
  <c r="AX8786" i="1" s="1"/>
  <c r="M8786" i="1"/>
  <c r="U8786" i="1" s="1"/>
  <c r="AT8784" i="1"/>
  <c r="AX8784" i="1" s="1"/>
  <c r="M8784" i="1"/>
  <c r="U8784" i="1" s="1"/>
  <c r="AT8782" i="1"/>
  <c r="AX8782" i="1" s="1"/>
  <c r="M8782" i="1"/>
  <c r="U8782" i="1" s="1"/>
  <c r="AT8780" i="1"/>
  <c r="AX8780" i="1" s="1"/>
  <c r="M8780" i="1"/>
  <c r="U8780" i="1" s="1"/>
  <c r="AT8778" i="1"/>
  <c r="AX8778" i="1" s="1"/>
  <c r="M8778" i="1"/>
  <c r="U8778" i="1" s="1"/>
  <c r="AT8776" i="1"/>
  <c r="AX8776" i="1" s="1"/>
  <c r="M8776" i="1"/>
  <c r="U8776" i="1" s="1"/>
  <c r="AT8774" i="1"/>
  <c r="AX8774" i="1" s="1"/>
  <c r="M8774" i="1"/>
  <c r="U8774" i="1" s="1"/>
  <c r="AT8772" i="1"/>
  <c r="AX8772" i="1" s="1"/>
  <c r="M8772" i="1"/>
  <c r="U8772" i="1" s="1"/>
  <c r="AT8770" i="1"/>
  <c r="AX8770" i="1" s="1"/>
  <c r="M8770" i="1"/>
  <c r="U8770" i="1" s="1"/>
  <c r="AT8768" i="1"/>
  <c r="AX8768" i="1" s="1"/>
  <c r="M8768" i="1"/>
  <c r="U8768" i="1" s="1"/>
  <c r="AT8766" i="1"/>
  <c r="AX8766" i="1" s="1"/>
  <c r="M8766" i="1"/>
  <c r="U8766" i="1" s="1"/>
  <c r="AT8764" i="1"/>
  <c r="AX8764" i="1" s="1"/>
  <c r="M8764" i="1"/>
  <c r="U8764" i="1" s="1"/>
  <c r="AT8762" i="1"/>
  <c r="AX8762" i="1" s="1"/>
  <c r="U8762" i="1"/>
  <c r="AT8758" i="1"/>
  <c r="AX8758" i="1" s="1"/>
  <c r="M8758" i="1"/>
  <c r="U8758" i="1" s="1"/>
  <c r="AT8756" i="1"/>
  <c r="AX8756" i="1" s="1"/>
  <c r="M8756" i="1"/>
  <c r="U8756" i="1" s="1"/>
  <c r="AT8754" i="1"/>
  <c r="AX8754" i="1" s="1"/>
  <c r="M8754" i="1"/>
  <c r="U8754" i="1" s="1"/>
  <c r="AT8752" i="1"/>
  <c r="AX8752" i="1" s="1"/>
  <c r="M8752" i="1"/>
  <c r="U8752" i="1" s="1"/>
  <c r="AT8750" i="1"/>
  <c r="AX8750" i="1" s="1"/>
  <c r="M8750" i="1"/>
  <c r="AT8748" i="1"/>
  <c r="AX8748" i="1" s="1"/>
  <c r="M8748" i="1"/>
  <c r="U8748" i="1" s="1"/>
  <c r="AT8746" i="1"/>
  <c r="AX8746" i="1" s="1"/>
  <c r="M8746" i="1"/>
  <c r="U8746" i="1" s="1"/>
  <c r="AT8744" i="1"/>
  <c r="AX8744" i="1" s="1"/>
  <c r="M8744" i="1"/>
  <c r="U8744" i="1" s="1"/>
  <c r="AT8742" i="1"/>
  <c r="AX8742" i="1" s="1"/>
  <c r="M8742" i="1"/>
  <c r="U8742" i="1" s="1"/>
  <c r="AT8740" i="1"/>
  <c r="AX8740" i="1" s="1"/>
  <c r="M8740" i="1"/>
  <c r="U8740" i="1" s="1"/>
  <c r="AT8738" i="1"/>
  <c r="AX8738" i="1" s="1"/>
  <c r="M8738" i="1"/>
  <c r="U8738" i="1" s="1"/>
  <c r="AT8736" i="1"/>
  <c r="AX8736" i="1" s="1"/>
  <c r="M8736" i="1"/>
  <c r="U8736" i="1" s="1"/>
  <c r="AT8734" i="1"/>
  <c r="AX8734" i="1" s="1"/>
  <c r="M8734" i="1"/>
  <c r="U8734" i="1" s="1"/>
  <c r="AT8732" i="1"/>
  <c r="AX8732" i="1" s="1"/>
  <c r="M8732" i="1"/>
  <c r="U8732" i="1" s="1"/>
  <c r="AT8730" i="1"/>
  <c r="AX8730" i="1" s="1"/>
  <c r="M8730" i="1"/>
  <c r="U8730" i="1" s="1"/>
  <c r="AT8728" i="1"/>
  <c r="AX8728" i="1" s="1"/>
  <c r="M8728" i="1"/>
  <c r="U8728" i="1" s="1"/>
  <c r="AT8726" i="1"/>
  <c r="AX8726" i="1" s="1"/>
  <c r="M8726" i="1"/>
  <c r="U8726" i="1" s="1"/>
  <c r="AT8724" i="1"/>
  <c r="AX8724" i="1" s="1"/>
  <c r="M8724" i="1"/>
  <c r="U8724" i="1" s="1"/>
  <c r="AT8722" i="1"/>
  <c r="AX8722" i="1" s="1"/>
  <c r="M8722" i="1"/>
  <c r="AT8720" i="1"/>
  <c r="AX8720" i="1" s="1"/>
  <c r="M8720" i="1"/>
  <c r="U8720" i="1" s="1"/>
  <c r="AT8718" i="1"/>
  <c r="AX8718" i="1" s="1"/>
  <c r="M8718" i="1"/>
  <c r="U8718" i="1" s="1"/>
  <c r="AT8716" i="1"/>
  <c r="AX8716" i="1" s="1"/>
  <c r="M8716" i="1"/>
  <c r="U8716" i="1" s="1"/>
  <c r="AT8714" i="1"/>
  <c r="AX8714" i="1" s="1"/>
  <c r="M8714" i="1"/>
  <c r="U8714" i="1" s="1"/>
  <c r="AT8712" i="1"/>
  <c r="AX8712" i="1" s="1"/>
  <c r="M8712" i="1"/>
  <c r="U8712" i="1" s="1"/>
  <c r="AT8710" i="1"/>
  <c r="AX8710" i="1" s="1"/>
  <c r="M8710" i="1"/>
  <c r="U8710" i="1" s="1"/>
  <c r="AT8708" i="1"/>
  <c r="AX8708" i="1" s="1"/>
  <c r="M8708" i="1"/>
  <c r="U8708" i="1" s="1"/>
  <c r="AT8706" i="1"/>
  <c r="AX8706" i="1" s="1"/>
  <c r="M8706" i="1"/>
  <c r="AT8704" i="1"/>
  <c r="AX8704" i="1" s="1"/>
  <c r="M8704" i="1"/>
  <c r="AT8702" i="1"/>
  <c r="AX8702" i="1" s="1"/>
  <c r="M8702" i="1"/>
  <c r="U8702" i="1" s="1"/>
  <c r="AT8700" i="1"/>
  <c r="AX8700" i="1" s="1"/>
  <c r="M8700" i="1"/>
  <c r="U8700" i="1" s="1"/>
  <c r="AT8698" i="1"/>
  <c r="AX8698" i="1" s="1"/>
  <c r="M8698" i="1"/>
  <c r="AT8696" i="1"/>
  <c r="AX8696" i="1" s="1"/>
  <c r="U8696" i="1"/>
  <c r="AT8694" i="1"/>
  <c r="AX8694" i="1" s="1"/>
  <c r="M8694" i="1"/>
  <c r="AT8692" i="1"/>
  <c r="AX8692" i="1" s="1"/>
  <c r="M8692" i="1"/>
  <c r="U8692" i="1" s="1"/>
  <c r="AT8690" i="1"/>
  <c r="AX8690" i="1" s="1"/>
  <c r="M8690" i="1"/>
  <c r="U8690" i="1" s="1"/>
  <c r="AT8688" i="1"/>
  <c r="AX8688" i="1" s="1"/>
  <c r="M8688" i="1"/>
  <c r="U8688" i="1" s="1"/>
  <c r="AT8686" i="1"/>
  <c r="AX8686" i="1" s="1"/>
  <c r="M8686" i="1"/>
  <c r="U8686" i="1" s="1"/>
  <c r="AT8684" i="1"/>
  <c r="AX8684" i="1" s="1"/>
  <c r="M8684" i="1"/>
  <c r="U8684" i="1" s="1"/>
  <c r="AT8682" i="1"/>
  <c r="AX8682" i="1" s="1"/>
  <c r="M8682" i="1"/>
  <c r="U8682" i="1" s="1"/>
  <c r="AT8680" i="1"/>
  <c r="AX8680" i="1" s="1"/>
  <c r="M8680" i="1"/>
  <c r="U8680" i="1" s="1"/>
  <c r="AT8678" i="1"/>
  <c r="AX8678" i="1" s="1"/>
  <c r="M8678" i="1"/>
  <c r="U8678" i="1" s="1"/>
  <c r="AT8676" i="1"/>
  <c r="AX8676" i="1" s="1"/>
  <c r="M8676" i="1"/>
  <c r="U8676" i="1" s="1"/>
  <c r="AT8674" i="1"/>
  <c r="AX8674" i="1" s="1"/>
  <c r="M8674" i="1"/>
  <c r="U8674" i="1" s="1"/>
  <c r="AT8672" i="1"/>
  <c r="AX8672" i="1" s="1"/>
  <c r="M8672" i="1"/>
  <c r="U8672" i="1" s="1"/>
  <c r="AT8670" i="1"/>
  <c r="AX8670" i="1" s="1"/>
  <c r="M8670" i="1"/>
  <c r="U8670" i="1" s="1"/>
  <c r="AT8668" i="1"/>
  <c r="AX8668" i="1" s="1"/>
  <c r="M8668" i="1"/>
  <c r="U8668" i="1" s="1"/>
  <c r="AT8666" i="1"/>
  <c r="AX8666" i="1" s="1"/>
  <c r="M8666" i="1"/>
  <c r="U8666" i="1" s="1"/>
  <c r="AT8664" i="1"/>
  <c r="AX8664" i="1" s="1"/>
  <c r="M8664" i="1"/>
  <c r="U8664" i="1" s="1"/>
  <c r="AT8662" i="1"/>
  <c r="AX8662" i="1" s="1"/>
  <c r="M8662" i="1"/>
  <c r="U8662" i="1" s="1"/>
  <c r="AT8660" i="1"/>
  <c r="AX8660" i="1" s="1"/>
  <c r="M8660" i="1"/>
  <c r="U8660" i="1" s="1"/>
  <c r="AT8658" i="1"/>
  <c r="AX8658" i="1" s="1"/>
  <c r="M8658" i="1"/>
  <c r="U8658" i="1" s="1"/>
  <c r="AT8656" i="1"/>
  <c r="AX8656" i="1" s="1"/>
  <c r="M8656" i="1"/>
  <c r="U8656" i="1" s="1"/>
  <c r="AT8654" i="1"/>
  <c r="AX8654" i="1" s="1"/>
  <c r="M8654" i="1"/>
  <c r="U8654" i="1" s="1"/>
  <c r="AT8652" i="1"/>
  <c r="AX8652" i="1" s="1"/>
  <c r="M8652" i="1"/>
  <c r="U8652" i="1" s="1"/>
  <c r="AT8650" i="1"/>
  <c r="AX8650" i="1" s="1"/>
  <c r="M8650" i="1"/>
  <c r="U8650" i="1" s="1"/>
  <c r="AT8648" i="1"/>
  <c r="AX8648" i="1" s="1"/>
  <c r="AT8646" i="1"/>
  <c r="AX8646" i="1" s="1"/>
  <c r="AT8644" i="1"/>
  <c r="AX8644" i="1" s="1"/>
  <c r="AT8642" i="1"/>
  <c r="AX8642" i="1" s="1"/>
  <c r="AT8640" i="1"/>
  <c r="AX8640" i="1" s="1"/>
  <c r="M8640" i="1"/>
  <c r="U8640" i="1" s="1"/>
  <c r="AT8638" i="1"/>
  <c r="AX8638" i="1" s="1"/>
  <c r="M8638" i="1"/>
  <c r="U8638" i="1" s="1"/>
  <c r="AT8636" i="1"/>
  <c r="AX8636" i="1" s="1"/>
  <c r="M8636" i="1"/>
  <c r="U8636" i="1" s="1"/>
  <c r="AT8634" i="1"/>
  <c r="AX8634" i="1" s="1"/>
  <c r="M8634" i="1"/>
  <c r="AT8632" i="1"/>
  <c r="AX8632" i="1" s="1"/>
  <c r="M8632" i="1"/>
  <c r="U8632" i="1" s="1"/>
  <c r="AT8630" i="1"/>
  <c r="AX8630" i="1" s="1"/>
  <c r="M8630" i="1"/>
  <c r="AT8628" i="1"/>
  <c r="AX8628" i="1" s="1"/>
  <c r="M8628" i="1"/>
  <c r="U8628" i="1" s="1"/>
  <c r="AT8626" i="1"/>
  <c r="AX8626" i="1" s="1"/>
  <c r="M8626" i="1"/>
  <c r="U8626" i="1" s="1"/>
  <c r="AT8624" i="1"/>
  <c r="AX8624" i="1" s="1"/>
  <c r="M8624" i="1"/>
  <c r="U8624" i="1" s="1"/>
  <c r="AT8622" i="1"/>
  <c r="AX8622" i="1" s="1"/>
  <c r="M8622" i="1"/>
  <c r="U8622" i="1" s="1"/>
  <c r="AT8620" i="1"/>
  <c r="AX8620" i="1" s="1"/>
  <c r="M8620" i="1"/>
  <c r="U8620" i="1" s="1"/>
  <c r="AT8618" i="1"/>
  <c r="AX8618" i="1" s="1"/>
  <c r="M8618" i="1"/>
  <c r="U8618" i="1" s="1"/>
  <c r="AT8616" i="1"/>
  <c r="AX8616" i="1" s="1"/>
  <c r="M8616" i="1"/>
  <c r="U8616" i="1" s="1"/>
  <c r="AT8614" i="1"/>
  <c r="AX8614" i="1" s="1"/>
  <c r="M8614" i="1"/>
  <c r="U8614" i="1" s="1"/>
  <c r="AT8612" i="1"/>
  <c r="AX8612" i="1" s="1"/>
  <c r="M8612" i="1"/>
  <c r="U8612" i="1" s="1"/>
  <c r="AT8610" i="1"/>
  <c r="AX8610" i="1" s="1"/>
  <c r="M8610" i="1"/>
  <c r="U8610" i="1" s="1"/>
  <c r="AT8608" i="1"/>
  <c r="AX8608" i="1" s="1"/>
  <c r="M8608" i="1"/>
  <c r="U8608" i="1" s="1"/>
  <c r="AT8606" i="1"/>
  <c r="AX8606" i="1" s="1"/>
  <c r="M8606" i="1"/>
  <c r="U8606" i="1" s="1"/>
  <c r="AT8604" i="1"/>
  <c r="AX8604" i="1" s="1"/>
  <c r="M8604" i="1"/>
  <c r="U8604" i="1" s="1"/>
  <c r="AT8602" i="1"/>
  <c r="AX8602" i="1" s="1"/>
  <c r="M8602" i="1"/>
  <c r="U8602" i="1" s="1"/>
  <c r="AT8600" i="1"/>
  <c r="AX8600" i="1" s="1"/>
  <c r="M8600" i="1"/>
  <c r="U8600" i="1" s="1"/>
  <c r="AT8598" i="1"/>
  <c r="AX8598" i="1" s="1"/>
  <c r="M8598" i="1"/>
  <c r="U8598" i="1" s="1"/>
  <c r="AT8596" i="1"/>
  <c r="AX8596" i="1" s="1"/>
  <c r="M8596" i="1"/>
  <c r="U8596" i="1" s="1"/>
  <c r="AT8594" i="1"/>
  <c r="AX8594" i="1" s="1"/>
  <c r="M8594" i="1"/>
  <c r="U8594" i="1" s="1"/>
  <c r="AT8592" i="1"/>
  <c r="AX8592" i="1" s="1"/>
  <c r="M8592" i="1"/>
  <c r="U8592" i="1" s="1"/>
  <c r="AT8590" i="1"/>
  <c r="AX8590" i="1" s="1"/>
  <c r="M8590" i="1"/>
  <c r="U8590" i="1" s="1"/>
  <c r="AT8588" i="1"/>
  <c r="AX8588" i="1" s="1"/>
  <c r="M8588" i="1"/>
  <c r="U8588" i="1" s="1"/>
  <c r="AT8586" i="1"/>
  <c r="AX8586" i="1" s="1"/>
  <c r="M8586" i="1"/>
  <c r="U8586" i="1" s="1"/>
  <c r="AT8584" i="1"/>
  <c r="AX8584" i="1" s="1"/>
  <c r="M8584" i="1"/>
  <c r="U8584" i="1" s="1"/>
  <c r="AT8582" i="1"/>
  <c r="AX8582" i="1" s="1"/>
  <c r="M8582" i="1"/>
  <c r="U8582" i="1" s="1"/>
  <c r="AT8580" i="1"/>
  <c r="AX8580" i="1" s="1"/>
  <c r="M8580" i="1"/>
  <c r="U8580" i="1" s="1"/>
  <c r="AT8578" i="1"/>
  <c r="AX8578" i="1" s="1"/>
  <c r="M8578" i="1"/>
  <c r="U8578" i="1" s="1"/>
  <c r="AT8576" i="1"/>
  <c r="AX8576" i="1" s="1"/>
  <c r="M8576" i="1"/>
  <c r="U8576" i="1" s="1"/>
  <c r="AT8574" i="1"/>
  <c r="AX8574" i="1" s="1"/>
  <c r="M8574" i="1"/>
  <c r="U8574" i="1" s="1"/>
  <c r="AT8572" i="1"/>
  <c r="AX8572" i="1" s="1"/>
  <c r="M8572" i="1"/>
  <c r="U8572" i="1" s="1"/>
  <c r="AT8570" i="1"/>
  <c r="AX8570" i="1" s="1"/>
  <c r="M8570" i="1"/>
  <c r="U8570" i="1" s="1"/>
  <c r="AT8568" i="1"/>
  <c r="AX8568" i="1" s="1"/>
  <c r="M8568" i="1"/>
  <c r="U8568" i="1" s="1"/>
  <c r="AT8566" i="1"/>
  <c r="AX8566" i="1" s="1"/>
  <c r="M8566" i="1"/>
  <c r="U8566" i="1" s="1"/>
  <c r="AT8564" i="1"/>
  <c r="AX8564" i="1" s="1"/>
  <c r="M8564" i="1"/>
  <c r="U8564" i="1" s="1"/>
  <c r="AT8562" i="1"/>
  <c r="AX8562" i="1" s="1"/>
  <c r="M8562" i="1"/>
  <c r="U8562" i="1" s="1"/>
  <c r="AT8560" i="1"/>
  <c r="AX8560" i="1" s="1"/>
  <c r="M8560" i="1"/>
  <c r="U8560" i="1" s="1"/>
  <c r="AT8558" i="1"/>
  <c r="AX8558" i="1" s="1"/>
  <c r="M8558" i="1"/>
  <c r="U8558" i="1" s="1"/>
  <c r="AT8556" i="1"/>
  <c r="AX8556" i="1" s="1"/>
  <c r="M8556" i="1"/>
  <c r="U8556" i="1" s="1"/>
  <c r="AT8554" i="1"/>
  <c r="AX8554" i="1" s="1"/>
  <c r="M8554" i="1"/>
  <c r="U8554" i="1" s="1"/>
  <c r="AT8552" i="1"/>
  <c r="AX8552" i="1" s="1"/>
  <c r="M8552" i="1"/>
  <c r="U8552" i="1" s="1"/>
  <c r="AT8550" i="1"/>
  <c r="AX8550" i="1" s="1"/>
  <c r="M8550" i="1"/>
  <c r="U8550" i="1" s="1"/>
  <c r="AT8548" i="1"/>
  <c r="AX8548" i="1" s="1"/>
  <c r="M8548" i="1"/>
  <c r="U8548" i="1" s="1"/>
  <c r="AT8546" i="1"/>
  <c r="AX8546" i="1" s="1"/>
  <c r="M8546" i="1"/>
  <c r="U8546" i="1" s="1"/>
  <c r="AT8544" i="1"/>
  <c r="AX8544" i="1" s="1"/>
  <c r="M8544" i="1"/>
  <c r="U8544" i="1" s="1"/>
  <c r="AT8542" i="1"/>
  <c r="AX8542" i="1" s="1"/>
  <c r="M8542" i="1"/>
  <c r="U8542" i="1" s="1"/>
  <c r="AT8540" i="1"/>
  <c r="AX8540" i="1" s="1"/>
  <c r="M8540" i="1"/>
  <c r="U8540" i="1" s="1"/>
  <c r="AT8538" i="1"/>
  <c r="AX8538" i="1" s="1"/>
  <c r="M8538" i="1"/>
  <c r="U8538" i="1" s="1"/>
  <c r="AT8536" i="1"/>
  <c r="AX8536" i="1" s="1"/>
  <c r="M8536" i="1"/>
  <c r="U8536" i="1" s="1"/>
  <c r="AT8534" i="1"/>
  <c r="AX8534" i="1" s="1"/>
  <c r="M8534" i="1"/>
  <c r="U8534" i="1" s="1"/>
  <c r="AT8532" i="1"/>
  <c r="AX8532" i="1" s="1"/>
  <c r="M8532" i="1"/>
  <c r="U8532" i="1" s="1"/>
  <c r="AT8530" i="1"/>
  <c r="AX8530" i="1" s="1"/>
  <c r="M8530" i="1"/>
  <c r="U8530" i="1" s="1"/>
  <c r="AT8528" i="1"/>
  <c r="AX8528" i="1" s="1"/>
  <c r="M8528" i="1"/>
  <c r="U8528" i="1" s="1"/>
  <c r="AT8526" i="1"/>
  <c r="AX8526" i="1" s="1"/>
  <c r="M8526" i="1"/>
  <c r="U8526" i="1" s="1"/>
  <c r="AT8524" i="1"/>
  <c r="AX8524" i="1" s="1"/>
  <c r="M8524" i="1"/>
  <c r="U8524" i="1" s="1"/>
  <c r="AT8522" i="1"/>
  <c r="AX8522" i="1" s="1"/>
  <c r="M8522" i="1"/>
  <c r="U8522" i="1" s="1"/>
  <c r="AT8520" i="1"/>
  <c r="AX8520" i="1" s="1"/>
  <c r="M8520" i="1"/>
  <c r="U8520" i="1" s="1"/>
  <c r="AT8518" i="1"/>
  <c r="AX8518" i="1" s="1"/>
  <c r="M8518" i="1"/>
  <c r="U8518" i="1" s="1"/>
  <c r="AT8516" i="1"/>
  <c r="AX8516" i="1" s="1"/>
  <c r="M8516" i="1"/>
  <c r="U8516" i="1" s="1"/>
  <c r="AT8514" i="1"/>
  <c r="AX8514" i="1" s="1"/>
  <c r="M8514" i="1"/>
  <c r="U8514" i="1" s="1"/>
  <c r="AT8512" i="1"/>
  <c r="AX8512" i="1" s="1"/>
  <c r="M8512" i="1"/>
  <c r="U8512" i="1" s="1"/>
  <c r="AT8510" i="1"/>
  <c r="AX8510" i="1" s="1"/>
  <c r="M8510" i="1"/>
  <c r="U8510" i="1" s="1"/>
  <c r="AT8508" i="1"/>
  <c r="AX8508" i="1" s="1"/>
  <c r="M8508" i="1"/>
  <c r="U8508" i="1" s="1"/>
  <c r="AT8506" i="1"/>
  <c r="AX8506" i="1" s="1"/>
  <c r="M8506" i="1"/>
  <c r="U8506" i="1" s="1"/>
  <c r="AT8504" i="1"/>
  <c r="AX8504" i="1" s="1"/>
  <c r="M8504" i="1"/>
  <c r="U8504" i="1" s="1"/>
  <c r="AT8502" i="1"/>
  <c r="AX8502" i="1" s="1"/>
  <c r="M8502" i="1"/>
  <c r="U8502" i="1" s="1"/>
  <c r="AT8500" i="1"/>
  <c r="AX8500" i="1" s="1"/>
  <c r="M8500" i="1"/>
  <c r="U8500" i="1" s="1"/>
  <c r="AT8498" i="1"/>
  <c r="AX8498" i="1" s="1"/>
  <c r="M8498" i="1"/>
  <c r="U8498" i="1" s="1"/>
  <c r="AT8496" i="1"/>
  <c r="AX8496" i="1" s="1"/>
  <c r="M8496" i="1"/>
  <c r="AT8494" i="1"/>
  <c r="AX8494" i="1" s="1"/>
  <c r="M8494" i="1"/>
  <c r="AT8492" i="1"/>
  <c r="AX8492" i="1" s="1"/>
  <c r="M8492" i="1"/>
  <c r="U8492" i="1" s="1"/>
  <c r="AT8490" i="1"/>
  <c r="AX8490" i="1" s="1"/>
  <c r="M8490" i="1"/>
  <c r="U8490" i="1" s="1"/>
  <c r="AT8488" i="1"/>
  <c r="AX8488" i="1" s="1"/>
  <c r="M8488" i="1"/>
  <c r="U8488" i="1" s="1"/>
  <c r="AT8486" i="1"/>
  <c r="AX8486" i="1" s="1"/>
  <c r="M8486" i="1"/>
  <c r="U8486" i="1" s="1"/>
  <c r="AT8484" i="1"/>
  <c r="AX8484" i="1" s="1"/>
  <c r="M8484" i="1"/>
  <c r="U8484" i="1" s="1"/>
  <c r="AT8482" i="1"/>
  <c r="AX8482" i="1" s="1"/>
  <c r="M8482" i="1"/>
  <c r="U8482" i="1" s="1"/>
  <c r="AT8480" i="1"/>
  <c r="AX8480" i="1" s="1"/>
  <c r="M8480" i="1"/>
  <c r="U8480" i="1" s="1"/>
  <c r="AT8478" i="1"/>
  <c r="AX8478" i="1" s="1"/>
  <c r="M8478" i="1"/>
  <c r="U8478" i="1" s="1"/>
  <c r="AT8476" i="1"/>
  <c r="AX8476" i="1" s="1"/>
  <c r="M8476" i="1"/>
  <c r="U8476" i="1" s="1"/>
  <c r="AT8474" i="1"/>
  <c r="AX8474" i="1" s="1"/>
  <c r="M8474" i="1"/>
  <c r="AT8472" i="1"/>
  <c r="AX8472" i="1" s="1"/>
  <c r="M8472" i="1"/>
  <c r="AT8470" i="1"/>
  <c r="AX8470" i="1" s="1"/>
  <c r="M8470" i="1"/>
  <c r="AT8468" i="1"/>
  <c r="AX8468" i="1" s="1"/>
  <c r="M8468" i="1"/>
  <c r="U8468" i="1" s="1"/>
  <c r="AT8466" i="1"/>
  <c r="AX8466" i="1" s="1"/>
  <c r="M8466" i="1"/>
  <c r="U8466" i="1" s="1"/>
  <c r="AT8464" i="1"/>
  <c r="AX8464" i="1" s="1"/>
  <c r="M8464" i="1"/>
  <c r="U8464" i="1" s="1"/>
  <c r="AT8462" i="1"/>
  <c r="AX8462" i="1" s="1"/>
  <c r="M8462" i="1"/>
  <c r="U8462" i="1" s="1"/>
  <c r="AT8460" i="1"/>
  <c r="AX8460" i="1" s="1"/>
  <c r="M8460" i="1"/>
  <c r="U8460" i="1" s="1"/>
  <c r="AT8458" i="1"/>
  <c r="AX8458" i="1" s="1"/>
  <c r="M8458" i="1"/>
  <c r="U8458" i="1" s="1"/>
  <c r="AT8454" i="1"/>
  <c r="AX8454" i="1" s="1"/>
  <c r="M8454" i="1"/>
  <c r="U8454" i="1" s="1"/>
  <c r="AT8452" i="1"/>
  <c r="AX8452" i="1" s="1"/>
  <c r="M8452" i="1"/>
  <c r="U8452" i="1" s="1"/>
  <c r="AT8450" i="1"/>
  <c r="AX8450" i="1" s="1"/>
  <c r="M8450" i="1"/>
  <c r="U8450" i="1" s="1"/>
  <c r="AT8448" i="1"/>
  <c r="AX8448" i="1" s="1"/>
  <c r="M8448" i="1"/>
  <c r="U8448" i="1" s="1"/>
  <c r="AT8446" i="1"/>
  <c r="AX8446" i="1" s="1"/>
  <c r="M8446" i="1"/>
  <c r="U8446" i="1" s="1"/>
  <c r="AT8444" i="1"/>
  <c r="AX8444" i="1" s="1"/>
  <c r="M8444" i="1"/>
  <c r="U8444" i="1" s="1"/>
  <c r="AT8442" i="1"/>
  <c r="AX8442" i="1" s="1"/>
  <c r="M8442" i="1"/>
  <c r="U8442" i="1" s="1"/>
  <c r="AT8440" i="1"/>
  <c r="AX8440" i="1" s="1"/>
  <c r="M8440" i="1"/>
  <c r="U8440" i="1" s="1"/>
  <c r="AT8438" i="1"/>
  <c r="AX8438" i="1" s="1"/>
  <c r="M8438" i="1"/>
  <c r="U8438" i="1" s="1"/>
  <c r="AT8436" i="1"/>
  <c r="AX8436" i="1" s="1"/>
  <c r="M8436" i="1"/>
  <c r="U8436" i="1" s="1"/>
  <c r="AT8434" i="1"/>
  <c r="AX8434" i="1" s="1"/>
  <c r="M8434" i="1"/>
  <c r="U8434" i="1" s="1"/>
  <c r="AT8432" i="1"/>
  <c r="AX8432" i="1" s="1"/>
  <c r="M8432" i="1"/>
  <c r="U8432" i="1" s="1"/>
  <c r="AT8430" i="1"/>
  <c r="AX8430" i="1" s="1"/>
  <c r="M8430" i="1"/>
  <c r="U8430" i="1" s="1"/>
  <c r="AT8428" i="1"/>
  <c r="AX8428" i="1" s="1"/>
  <c r="M8428" i="1"/>
  <c r="U8428" i="1" s="1"/>
  <c r="AT8426" i="1"/>
  <c r="AX8426" i="1" s="1"/>
  <c r="M8426" i="1"/>
  <c r="U8426" i="1" s="1"/>
  <c r="AT8424" i="1"/>
  <c r="AX8424" i="1" s="1"/>
  <c r="M8424" i="1"/>
  <c r="U8424" i="1" s="1"/>
  <c r="AT8422" i="1"/>
  <c r="AX8422" i="1" s="1"/>
  <c r="M8422" i="1"/>
  <c r="U8422" i="1" s="1"/>
  <c r="AT8420" i="1"/>
  <c r="AX8420" i="1" s="1"/>
  <c r="M8420" i="1"/>
  <c r="U8420" i="1" s="1"/>
  <c r="AT8418" i="1"/>
  <c r="AX8418" i="1" s="1"/>
  <c r="M8418" i="1"/>
  <c r="U8418" i="1" s="1"/>
  <c r="AT8416" i="1"/>
  <c r="AX8416" i="1" s="1"/>
  <c r="M8416" i="1"/>
  <c r="U8416" i="1" s="1"/>
  <c r="AT8414" i="1"/>
  <c r="AX8414" i="1" s="1"/>
  <c r="M8414" i="1"/>
  <c r="U8414" i="1" s="1"/>
  <c r="AT8412" i="1"/>
  <c r="AX8412" i="1" s="1"/>
  <c r="M8412" i="1"/>
  <c r="U8412" i="1" s="1"/>
  <c r="AT8410" i="1"/>
  <c r="AX8410" i="1" s="1"/>
  <c r="M8410" i="1"/>
  <c r="U8410" i="1" s="1"/>
  <c r="AT8408" i="1"/>
  <c r="AX8408" i="1" s="1"/>
  <c r="M8408" i="1"/>
  <c r="U8408" i="1" s="1"/>
  <c r="AT8406" i="1"/>
  <c r="AX8406" i="1" s="1"/>
  <c r="M8406" i="1"/>
  <c r="U8406" i="1" s="1"/>
  <c r="AT8404" i="1"/>
  <c r="AX8404" i="1" s="1"/>
  <c r="M8404" i="1"/>
  <c r="AT8402" i="1"/>
  <c r="AX8402" i="1" s="1"/>
  <c r="AT8400" i="1"/>
  <c r="AX8400" i="1" s="1"/>
  <c r="AT8398" i="1"/>
  <c r="AX8398" i="1" s="1"/>
  <c r="M8398" i="1"/>
  <c r="U8398" i="1" s="1"/>
  <c r="AT8396" i="1"/>
  <c r="AX8396" i="1" s="1"/>
  <c r="M8396" i="1"/>
  <c r="U8396" i="1" s="1"/>
  <c r="AT8394" i="1"/>
  <c r="AX8394" i="1" s="1"/>
  <c r="M8394" i="1"/>
  <c r="U8394" i="1" s="1"/>
  <c r="AT8392" i="1"/>
  <c r="AX8392" i="1" s="1"/>
  <c r="M8392" i="1"/>
  <c r="AT8390" i="1"/>
  <c r="AX8390" i="1" s="1"/>
  <c r="M8390" i="1"/>
  <c r="U8390" i="1" s="1"/>
  <c r="AT8388" i="1"/>
  <c r="AX8388" i="1" s="1"/>
  <c r="M8388" i="1"/>
  <c r="U8388" i="1" s="1"/>
  <c r="AT8382" i="1"/>
  <c r="AX8382" i="1" s="1"/>
  <c r="M8382" i="1"/>
  <c r="AT8376" i="1"/>
  <c r="AX8376" i="1" s="1"/>
  <c r="M8376" i="1"/>
  <c r="U8376" i="1" s="1"/>
  <c r="AT8374" i="1"/>
  <c r="AX8374" i="1" s="1"/>
  <c r="M8374" i="1"/>
  <c r="U8374" i="1" s="1"/>
  <c r="AT8372" i="1"/>
  <c r="AX8372" i="1" s="1"/>
  <c r="M8372" i="1"/>
  <c r="U8372" i="1" s="1"/>
  <c r="AT8370" i="1"/>
  <c r="AX8370" i="1" s="1"/>
  <c r="M8370" i="1"/>
  <c r="U8370" i="1" s="1"/>
  <c r="AT8368" i="1"/>
  <c r="AX8368" i="1" s="1"/>
  <c r="M8368" i="1"/>
  <c r="U8368" i="1" s="1"/>
  <c r="AT8366" i="1"/>
  <c r="AX8366" i="1" s="1"/>
  <c r="M8366" i="1"/>
  <c r="U8366" i="1" s="1"/>
  <c r="AT8364" i="1"/>
  <c r="AX8364" i="1" s="1"/>
  <c r="M8364" i="1"/>
  <c r="U8364" i="1" s="1"/>
  <c r="AT8362" i="1"/>
  <c r="AX8362" i="1" s="1"/>
  <c r="M8362" i="1"/>
  <c r="U8362" i="1" s="1"/>
  <c r="AT8360" i="1"/>
  <c r="AX8360" i="1" s="1"/>
  <c r="M8360" i="1"/>
  <c r="U8360" i="1" s="1"/>
  <c r="AT8358" i="1"/>
  <c r="AX8358" i="1" s="1"/>
  <c r="M8358" i="1"/>
  <c r="U8358" i="1" s="1"/>
  <c r="AT8356" i="1"/>
  <c r="AX8356" i="1" s="1"/>
  <c r="M8356" i="1"/>
  <c r="U8356" i="1" s="1"/>
  <c r="AT8354" i="1"/>
  <c r="AX8354" i="1" s="1"/>
  <c r="M8354" i="1"/>
  <c r="U8354" i="1" s="1"/>
  <c r="AT8352" i="1"/>
  <c r="AX8352" i="1" s="1"/>
  <c r="U8352" i="1"/>
  <c r="AT8350" i="1"/>
  <c r="AX8350" i="1" s="1"/>
  <c r="M8350" i="1"/>
  <c r="U8350" i="1" s="1"/>
  <c r="AT8348" i="1"/>
  <c r="AX8348" i="1" s="1"/>
  <c r="M8348" i="1"/>
  <c r="U8348" i="1" s="1"/>
  <c r="AT8346" i="1"/>
  <c r="AX8346" i="1" s="1"/>
  <c r="M8346" i="1"/>
  <c r="U8346" i="1" s="1"/>
  <c r="AT8344" i="1"/>
  <c r="AX8344" i="1" s="1"/>
  <c r="M8344" i="1"/>
  <c r="U8344" i="1" s="1"/>
  <c r="AT8342" i="1"/>
  <c r="AX8342" i="1" s="1"/>
  <c r="M8342" i="1"/>
  <c r="U8342" i="1" s="1"/>
  <c r="AT8340" i="1"/>
  <c r="AX8340" i="1" s="1"/>
  <c r="M8340" i="1"/>
  <c r="U8340" i="1" s="1"/>
  <c r="AT8338" i="1"/>
  <c r="AX8338" i="1" s="1"/>
  <c r="M8338" i="1"/>
  <c r="U8338" i="1" s="1"/>
  <c r="AT8336" i="1"/>
  <c r="AX8336" i="1" s="1"/>
  <c r="M8336" i="1"/>
  <c r="U8336" i="1" s="1"/>
  <c r="AT8334" i="1"/>
  <c r="AX8334" i="1" s="1"/>
  <c r="M8334" i="1"/>
  <c r="U8334" i="1" s="1"/>
  <c r="AT8332" i="1"/>
  <c r="AX8332" i="1" s="1"/>
  <c r="M8332" i="1"/>
  <c r="U8332" i="1" s="1"/>
  <c r="AT8330" i="1"/>
  <c r="AX8330" i="1" s="1"/>
  <c r="M8330" i="1"/>
  <c r="U8330" i="1" s="1"/>
  <c r="AT8328" i="1"/>
  <c r="AX8328" i="1" s="1"/>
  <c r="M8328" i="1"/>
  <c r="U8328" i="1" s="1"/>
  <c r="AT8326" i="1"/>
  <c r="AX8326" i="1" s="1"/>
  <c r="M8326" i="1"/>
  <c r="U8326" i="1" s="1"/>
  <c r="AT8324" i="1"/>
  <c r="AX8324" i="1" s="1"/>
  <c r="M8324" i="1"/>
  <c r="U8324" i="1" s="1"/>
  <c r="AT8322" i="1"/>
  <c r="AX8322" i="1" s="1"/>
  <c r="M8322" i="1"/>
  <c r="U8322" i="1" s="1"/>
  <c r="AT8320" i="1"/>
  <c r="AX8320" i="1" s="1"/>
  <c r="M8320" i="1"/>
  <c r="U8320" i="1" s="1"/>
  <c r="AT8318" i="1"/>
  <c r="AX8318" i="1" s="1"/>
  <c r="M8318" i="1"/>
  <c r="U8318" i="1" s="1"/>
  <c r="AT8316" i="1"/>
  <c r="AX8316" i="1" s="1"/>
  <c r="M8316" i="1"/>
  <c r="U8316" i="1" s="1"/>
  <c r="AT8314" i="1"/>
  <c r="AX8314" i="1" s="1"/>
  <c r="M8314" i="1"/>
  <c r="U8314" i="1" s="1"/>
  <c r="AT8312" i="1"/>
  <c r="AX8312" i="1" s="1"/>
  <c r="M8312" i="1"/>
  <c r="U8312" i="1" s="1"/>
  <c r="AT8310" i="1"/>
  <c r="AX8310" i="1" s="1"/>
  <c r="M8310" i="1"/>
  <c r="U8310" i="1" s="1"/>
  <c r="AT8308" i="1"/>
  <c r="AX8308" i="1" s="1"/>
  <c r="M8308" i="1"/>
  <c r="U8308" i="1" s="1"/>
  <c r="AT8306" i="1"/>
  <c r="AX8306" i="1" s="1"/>
  <c r="M8306" i="1"/>
  <c r="U8306" i="1" s="1"/>
  <c r="AT8304" i="1"/>
  <c r="AX8304" i="1" s="1"/>
  <c r="M8304" i="1"/>
  <c r="U8304" i="1" s="1"/>
  <c r="AT8302" i="1"/>
  <c r="AX8302" i="1" s="1"/>
  <c r="M8302" i="1"/>
  <c r="U8302" i="1" s="1"/>
  <c r="AT8300" i="1"/>
  <c r="AX8300" i="1" s="1"/>
  <c r="M8300" i="1"/>
  <c r="U8300" i="1" s="1"/>
  <c r="AT8298" i="1"/>
  <c r="AX8298" i="1" s="1"/>
  <c r="M8298" i="1"/>
  <c r="U8298" i="1" s="1"/>
  <c r="AT8296" i="1"/>
  <c r="AX8296" i="1" s="1"/>
  <c r="M8296" i="1"/>
  <c r="U8296" i="1" s="1"/>
  <c r="AT8294" i="1"/>
  <c r="AX8294" i="1" s="1"/>
  <c r="M8294" i="1"/>
  <c r="U8294" i="1" s="1"/>
  <c r="AT8292" i="1"/>
  <c r="AX8292" i="1" s="1"/>
  <c r="AT8290" i="1"/>
  <c r="AX8290" i="1" s="1"/>
  <c r="M8290" i="1"/>
  <c r="U8290" i="1" s="1"/>
  <c r="AT8288" i="1"/>
  <c r="AX8288" i="1" s="1"/>
  <c r="M8288" i="1"/>
  <c r="U8288" i="1" s="1"/>
  <c r="AT8286" i="1"/>
  <c r="AX8286" i="1" s="1"/>
  <c r="M8286" i="1"/>
  <c r="U8286" i="1" s="1"/>
  <c r="AT8284" i="1"/>
  <c r="AX8284" i="1" s="1"/>
  <c r="M8284" i="1"/>
  <c r="U8284" i="1" s="1"/>
  <c r="AT8282" i="1"/>
  <c r="AX8282" i="1" s="1"/>
  <c r="M8282" i="1"/>
  <c r="U8282" i="1" s="1"/>
  <c r="AT8280" i="1"/>
  <c r="AX8280" i="1" s="1"/>
  <c r="M8280" i="1"/>
  <c r="U8280" i="1" s="1"/>
  <c r="AT8278" i="1"/>
  <c r="AX8278" i="1" s="1"/>
  <c r="M8278" i="1"/>
  <c r="U8278" i="1" s="1"/>
  <c r="AT8276" i="1"/>
  <c r="AX8276" i="1" s="1"/>
  <c r="M8276" i="1"/>
  <c r="U8276" i="1" s="1"/>
  <c r="AT8274" i="1"/>
  <c r="AX8274" i="1" s="1"/>
  <c r="M8274" i="1"/>
  <c r="U8274" i="1" s="1"/>
  <c r="AT8272" i="1"/>
  <c r="AX8272" i="1" s="1"/>
  <c r="M8272" i="1"/>
  <c r="U8272" i="1" s="1"/>
  <c r="AT8270" i="1"/>
  <c r="AX8270" i="1" s="1"/>
  <c r="M8270" i="1"/>
  <c r="U8270" i="1" s="1"/>
  <c r="AT8268" i="1"/>
  <c r="AX8268" i="1" s="1"/>
  <c r="U8268" i="1"/>
  <c r="AT8266" i="1"/>
  <c r="AX8266" i="1" s="1"/>
  <c r="U8266" i="1"/>
  <c r="AT8264" i="1"/>
  <c r="AX8264" i="1" s="1"/>
  <c r="U8264" i="1"/>
  <c r="AX8262" i="1"/>
  <c r="U8262" i="1"/>
  <c r="AX8260" i="1"/>
  <c r="U8260" i="1"/>
  <c r="AT8258" i="1"/>
  <c r="AX8258" i="1" s="1"/>
  <c r="M8258" i="1"/>
  <c r="U8258" i="1" s="1"/>
  <c r="AT8256" i="1"/>
  <c r="AX8256" i="1" s="1"/>
  <c r="M8256" i="1"/>
  <c r="U8256" i="1" s="1"/>
  <c r="AT8254" i="1"/>
  <c r="AX8254" i="1" s="1"/>
  <c r="M8254" i="1"/>
  <c r="U8254" i="1" s="1"/>
  <c r="AT8252" i="1"/>
  <c r="AX8252" i="1" s="1"/>
  <c r="M8252" i="1"/>
  <c r="U8252" i="1" s="1"/>
  <c r="AT8250" i="1"/>
  <c r="AX8250" i="1" s="1"/>
  <c r="M8250" i="1"/>
  <c r="U8250" i="1" s="1"/>
  <c r="AT8248" i="1"/>
  <c r="AX8248" i="1" s="1"/>
  <c r="M8248" i="1"/>
  <c r="U8248" i="1" s="1"/>
  <c r="AT8246" i="1"/>
  <c r="AX8246" i="1" s="1"/>
  <c r="M8246" i="1"/>
  <c r="U8246" i="1" s="1"/>
  <c r="AT8244" i="1"/>
  <c r="AX8244" i="1" s="1"/>
  <c r="M8244" i="1"/>
  <c r="U8244" i="1" s="1"/>
  <c r="AT8242" i="1"/>
  <c r="AX8242" i="1" s="1"/>
  <c r="M8242" i="1"/>
  <c r="U8242" i="1" s="1"/>
  <c r="AT8240" i="1"/>
  <c r="AX8240" i="1" s="1"/>
  <c r="M8240" i="1"/>
  <c r="U8240" i="1" s="1"/>
  <c r="AT8238" i="1"/>
  <c r="AX8238" i="1" s="1"/>
  <c r="M8238" i="1"/>
  <c r="U8238" i="1" s="1"/>
  <c r="AT8236" i="1"/>
  <c r="AX8236" i="1" s="1"/>
  <c r="M8236" i="1"/>
  <c r="U8236" i="1" s="1"/>
  <c r="AT8234" i="1"/>
  <c r="AX8234" i="1" s="1"/>
  <c r="M8234" i="1"/>
  <c r="U8234" i="1" s="1"/>
  <c r="AT8232" i="1"/>
  <c r="AX8232" i="1" s="1"/>
  <c r="M8232" i="1"/>
  <c r="U8232" i="1" s="1"/>
  <c r="AT8230" i="1"/>
  <c r="AX8230" i="1" s="1"/>
  <c r="M8230" i="1"/>
  <c r="U8230" i="1" s="1"/>
  <c r="AT8228" i="1"/>
  <c r="AX8228" i="1" s="1"/>
  <c r="M8228" i="1"/>
  <c r="U8228" i="1" s="1"/>
  <c r="AT8226" i="1"/>
  <c r="AX8226" i="1" s="1"/>
  <c r="M8226" i="1"/>
  <c r="U8226" i="1" s="1"/>
  <c r="AT8224" i="1"/>
  <c r="AX8224" i="1" s="1"/>
  <c r="M8224" i="1"/>
  <c r="U8224" i="1" s="1"/>
  <c r="AT8222" i="1"/>
  <c r="AX8222" i="1" s="1"/>
  <c r="M8222" i="1"/>
  <c r="U8222" i="1" s="1"/>
  <c r="AT8220" i="1"/>
  <c r="AX8220" i="1" s="1"/>
  <c r="M8220" i="1"/>
  <c r="AT8218" i="1"/>
  <c r="AX8218" i="1" s="1"/>
  <c r="M8218" i="1"/>
  <c r="U8218" i="1" s="1"/>
  <c r="AT8216" i="1"/>
  <c r="AX8216" i="1" s="1"/>
  <c r="M8216" i="1"/>
  <c r="U8216" i="1" s="1"/>
  <c r="AT8214" i="1"/>
  <c r="AX8214" i="1" s="1"/>
  <c r="M8214" i="1"/>
  <c r="U8214" i="1" s="1"/>
  <c r="AT8212" i="1"/>
  <c r="AX8212" i="1" s="1"/>
  <c r="AT8210" i="1"/>
  <c r="AX8210" i="1" s="1"/>
  <c r="M8210" i="1"/>
  <c r="AT8208" i="1"/>
  <c r="AX8208" i="1" s="1"/>
  <c r="M8208" i="1"/>
  <c r="U8208" i="1" s="1"/>
  <c r="AT8206" i="1"/>
  <c r="AX8206" i="1" s="1"/>
  <c r="M8206" i="1"/>
  <c r="U8206" i="1" s="1"/>
  <c r="AT8204" i="1"/>
  <c r="AX8204" i="1" s="1"/>
  <c r="M8204" i="1"/>
  <c r="U8204" i="1" s="1"/>
  <c r="AT8202" i="1"/>
  <c r="AX8202" i="1" s="1"/>
  <c r="M8202" i="1"/>
  <c r="U8202" i="1" s="1"/>
  <c r="AT8200" i="1"/>
  <c r="AX8200" i="1" s="1"/>
  <c r="M8200" i="1"/>
  <c r="U8200" i="1" s="1"/>
  <c r="AT8198" i="1"/>
  <c r="AX8198" i="1" s="1"/>
  <c r="M8198" i="1"/>
  <c r="U8198" i="1" s="1"/>
  <c r="AT8196" i="1"/>
  <c r="AX8196" i="1" s="1"/>
  <c r="M8196" i="1"/>
  <c r="U8196" i="1" s="1"/>
  <c r="AT8194" i="1"/>
  <c r="AX8194" i="1" s="1"/>
  <c r="M8194" i="1"/>
  <c r="U8194" i="1" s="1"/>
  <c r="AT8192" i="1"/>
  <c r="AX8192" i="1" s="1"/>
  <c r="M8192" i="1"/>
  <c r="U8192" i="1" s="1"/>
  <c r="AT8190" i="1"/>
  <c r="AX8190" i="1" s="1"/>
  <c r="M8190" i="1"/>
  <c r="U8190" i="1" s="1"/>
  <c r="AT8188" i="1"/>
  <c r="AX8188" i="1" s="1"/>
  <c r="M8188" i="1"/>
  <c r="U8188" i="1" s="1"/>
  <c r="AT8186" i="1"/>
  <c r="AX8186" i="1" s="1"/>
  <c r="M8186" i="1"/>
  <c r="U8186" i="1" s="1"/>
  <c r="AT8184" i="1"/>
  <c r="AX8184" i="1" s="1"/>
  <c r="M8184" i="1"/>
  <c r="U8184" i="1" s="1"/>
  <c r="AT8182" i="1"/>
  <c r="AX8182" i="1" s="1"/>
  <c r="M8182" i="1"/>
  <c r="U8182" i="1" s="1"/>
  <c r="AT8180" i="1"/>
  <c r="AX8180" i="1" s="1"/>
  <c r="M8180" i="1"/>
  <c r="U8180" i="1" s="1"/>
  <c r="AT8178" i="1"/>
  <c r="AX8178" i="1" s="1"/>
  <c r="M8178" i="1"/>
  <c r="U8178" i="1" s="1"/>
  <c r="AT8176" i="1"/>
  <c r="AX8176" i="1" s="1"/>
  <c r="M8176" i="1"/>
  <c r="U8176" i="1" s="1"/>
  <c r="AT8174" i="1"/>
  <c r="AX8174" i="1" s="1"/>
  <c r="M8174" i="1"/>
  <c r="U8174" i="1" s="1"/>
  <c r="AT8172" i="1"/>
  <c r="AX8172" i="1" s="1"/>
  <c r="M8172" i="1"/>
  <c r="U8172" i="1" s="1"/>
  <c r="AT8170" i="1"/>
  <c r="AX8170" i="1" s="1"/>
  <c r="M8170" i="1"/>
  <c r="U8170" i="1" s="1"/>
  <c r="AT8168" i="1"/>
  <c r="AX8168" i="1" s="1"/>
  <c r="M8168" i="1"/>
  <c r="U8168" i="1" s="1"/>
  <c r="AT8166" i="1"/>
  <c r="AX8166" i="1" s="1"/>
  <c r="M8166" i="1"/>
  <c r="U8166" i="1" s="1"/>
  <c r="AT8164" i="1"/>
  <c r="AX8164" i="1" s="1"/>
  <c r="M8164" i="1"/>
  <c r="U8164" i="1" s="1"/>
  <c r="AT8162" i="1"/>
  <c r="AX8162" i="1" s="1"/>
  <c r="M8162" i="1"/>
  <c r="U8162" i="1" s="1"/>
  <c r="AT8160" i="1"/>
  <c r="AX8160" i="1" s="1"/>
  <c r="M8160" i="1"/>
  <c r="U8160" i="1" s="1"/>
  <c r="AT8158" i="1"/>
  <c r="AX8158" i="1" s="1"/>
  <c r="M8158" i="1"/>
  <c r="U8158" i="1" s="1"/>
  <c r="AT8156" i="1"/>
  <c r="AX8156" i="1" s="1"/>
  <c r="M8156" i="1"/>
  <c r="U8156" i="1" s="1"/>
  <c r="AT8154" i="1"/>
  <c r="AX8154" i="1" s="1"/>
  <c r="M8154" i="1"/>
  <c r="U8154" i="1" s="1"/>
  <c r="AT8152" i="1"/>
  <c r="AX8152" i="1" s="1"/>
  <c r="M8152" i="1"/>
  <c r="U8152" i="1" s="1"/>
  <c r="AT8150" i="1"/>
  <c r="AX8150" i="1" s="1"/>
  <c r="M8150" i="1"/>
  <c r="U8150" i="1" s="1"/>
  <c r="AT8148" i="1"/>
  <c r="AX8148" i="1" s="1"/>
  <c r="AT8146" i="1"/>
  <c r="AX8146" i="1" s="1"/>
  <c r="AT8144" i="1"/>
  <c r="AX8144" i="1" s="1"/>
  <c r="AT8142" i="1"/>
  <c r="AX8142" i="1" s="1"/>
  <c r="AT8138" i="1"/>
  <c r="AX8138" i="1" s="1"/>
  <c r="AT8136" i="1"/>
  <c r="AX8136" i="1" s="1"/>
  <c r="AT8134" i="1"/>
  <c r="AX8134" i="1" s="1"/>
  <c r="M8134" i="1"/>
  <c r="U8134" i="1" s="1"/>
  <c r="AT8132" i="1"/>
  <c r="AX8132" i="1" s="1"/>
  <c r="M8132" i="1"/>
  <c r="U8132" i="1" s="1"/>
  <c r="AT8130" i="1"/>
  <c r="AX8130" i="1" s="1"/>
  <c r="M8130" i="1"/>
  <c r="U8130" i="1" s="1"/>
  <c r="AT8128" i="1"/>
  <c r="AX8128" i="1" s="1"/>
  <c r="M8128" i="1"/>
  <c r="AT8126" i="1"/>
  <c r="AX8126" i="1" s="1"/>
  <c r="M8126" i="1"/>
  <c r="U8126" i="1" s="1"/>
  <c r="AT8124" i="1"/>
  <c r="AX8124" i="1" s="1"/>
  <c r="M8124" i="1"/>
  <c r="U8124" i="1" s="1"/>
  <c r="AT8122" i="1"/>
  <c r="AX8122" i="1" s="1"/>
  <c r="M8122" i="1"/>
  <c r="U8122" i="1" s="1"/>
  <c r="AT8120" i="1"/>
  <c r="AX8120" i="1" s="1"/>
  <c r="M8120" i="1"/>
  <c r="U8120" i="1" s="1"/>
  <c r="AT8118" i="1"/>
  <c r="AX8118" i="1" s="1"/>
  <c r="M8118" i="1"/>
  <c r="U8118" i="1" s="1"/>
  <c r="AT8116" i="1"/>
  <c r="AX8116" i="1" s="1"/>
  <c r="M8116" i="1"/>
  <c r="U8116" i="1" s="1"/>
  <c r="AT8114" i="1"/>
  <c r="AX8114" i="1" s="1"/>
  <c r="M8114" i="1"/>
  <c r="U8114" i="1" s="1"/>
  <c r="AT8112" i="1"/>
  <c r="AX8112" i="1" s="1"/>
  <c r="M8112" i="1"/>
  <c r="U8112" i="1" s="1"/>
  <c r="AT8110" i="1"/>
  <c r="AX8110" i="1" s="1"/>
  <c r="M8110" i="1"/>
  <c r="U8110" i="1" s="1"/>
  <c r="AT8108" i="1"/>
  <c r="AX8108" i="1" s="1"/>
  <c r="M8108" i="1"/>
  <c r="U8108" i="1" s="1"/>
  <c r="AT8106" i="1"/>
  <c r="AX8106" i="1" s="1"/>
  <c r="M8106" i="1"/>
  <c r="U8106" i="1" s="1"/>
  <c r="AX8104" i="1"/>
  <c r="M8104" i="1"/>
  <c r="U8104" i="1" s="1"/>
  <c r="AT8102" i="1"/>
  <c r="AX8102" i="1" s="1"/>
  <c r="M8102" i="1"/>
  <c r="U8102" i="1" s="1"/>
  <c r="AT8100" i="1"/>
  <c r="AX8100" i="1" s="1"/>
  <c r="M8100" i="1"/>
  <c r="U8100" i="1" s="1"/>
  <c r="AT8098" i="1"/>
  <c r="AX8098" i="1" s="1"/>
  <c r="M8098" i="1"/>
  <c r="U8098" i="1" s="1"/>
  <c r="AT8096" i="1"/>
  <c r="AX8096" i="1" s="1"/>
  <c r="M8096" i="1"/>
  <c r="U8096" i="1" s="1"/>
  <c r="AT8094" i="1"/>
  <c r="AX8094" i="1" s="1"/>
  <c r="M8094" i="1"/>
  <c r="U8094" i="1" s="1"/>
  <c r="AT8092" i="1"/>
  <c r="AX8092" i="1" s="1"/>
  <c r="M8092" i="1"/>
  <c r="U8092" i="1" s="1"/>
  <c r="AT8090" i="1"/>
  <c r="AX8090" i="1" s="1"/>
  <c r="M8090" i="1"/>
  <c r="U8090" i="1" s="1"/>
  <c r="AT8088" i="1"/>
  <c r="AX8088" i="1" s="1"/>
  <c r="M8088" i="1"/>
  <c r="U8088" i="1" s="1"/>
  <c r="AT8086" i="1"/>
  <c r="AX8086" i="1" s="1"/>
  <c r="M8086" i="1"/>
  <c r="U8086" i="1" s="1"/>
  <c r="AT8084" i="1"/>
  <c r="AX8084" i="1" s="1"/>
  <c r="M8084" i="1"/>
  <c r="U8084" i="1" s="1"/>
  <c r="AT8082" i="1"/>
  <c r="AX8082" i="1" s="1"/>
  <c r="M8082" i="1"/>
  <c r="U8082" i="1" s="1"/>
  <c r="AT8080" i="1"/>
  <c r="AX8080" i="1" s="1"/>
  <c r="M8080" i="1"/>
  <c r="U8080" i="1" s="1"/>
  <c r="AT8078" i="1"/>
  <c r="AX8078" i="1" s="1"/>
  <c r="M8078" i="1"/>
  <c r="U8078" i="1" s="1"/>
  <c r="AT8076" i="1"/>
  <c r="AX8076" i="1" s="1"/>
  <c r="M8076" i="1"/>
  <c r="U8076" i="1" s="1"/>
  <c r="AT8074" i="1"/>
  <c r="AX8074" i="1" s="1"/>
  <c r="M8074" i="1"/>
  <c r="U8074" i="1" s="1"/>
  <c r="AT8072" i="1"/>
  <c r="AX8072" i="1" s="1"/>
  <c r="M8072" i="1"/>
  <c r="U8072" i="1" s="1"/>
  <c r="AT8070" i="1"/>
  <c r="AX8070" i="1" s="1"/>
  <c r="M8070" i="1"/>
  <c r="U8070" i="1" s="1"/>
  <c r="AT8068" i="1"/>
  <c r="AX8068" i="1" s="1"/>
  <c r="M8068" i="1"/>
  <c r="U8068" i="1" s="1"/>
  <c r="AT8066" i="1"/>
  <c r="AX8066" i="1" s="1"/>
  <c r="M8066" i="1"/>
  <c r="U8066" i="1" s="1"/>
  <c r="AT8064" i="1"/>
  <c r="AX8064" i="1" s="1"/>
  <c r="M8064" i="1"/>
  <c r="U8064" i="1" s="1"/>
  <c r="AT8062" i="1"/>
  <c r="AX8062" i="1" s="1"/>
  <c r="M8062" i="1"/>
  <c r="U8062" i="1" s="1"/>
  <c r="AT8060" i="1"/>
  <c r="AX8060" i="1" s="1"/>
  <c r="M8060" i="1"/>
  <c r="U8060" i="1" s="1"/>
  <c r="AT8058" i="1"/>
  <c r="AX8058" i="1" s="1"/>
  <c r="M8058" i="1"/>
  <c r="U8058" i="1" s="1"/>
  <c r="AT8056" i="1"/>
  <c r="AX8056" i="1" s="1"/>
  <c r="M8056" i="1"/>
  <c r="U8056" i="1" s="1"/>
  <c r="AT8054" i="1"/>
  <c r="AX8054" i="1" s="1"/>
  <c r="M8054" i="1"/>
  <c r="U8054" i="1" s="1"/>
  <c r="AT8052" i="1"/>
  <c r="AX8052" i="1" s="1"/>
  <c r="M8052" i="1"/>
  <c r="U8052" i="1" s="1"/>
  <c r="AT8050" i="1"/>
  <c r="AX8050" i="1" s="1"/>
  <c r="M8050" i="1"/>
  <c r="U8050" i="1" s="1"/>
  <c r="AT8048" i="1"/>
  <c r="AX8048" i="1" s="1"/>
  <c r="M8048" i="1"/>
  <c r="U8048" i="1" s="1"/>
  <c r="AT8046" i="1"/>
  <c r="AX8046" i="1" s="1"/>
  <c r="M8046" i="1"/>
  <c r="U8046" i="1" s="1"/>
  <c r="AT8044" i="1"/>
  <c r="AX8044" i="1" s="1"/>
  <c r="M8044" i="1"/>
  <c r="U8044" i="1" s="1"/>
  <c r="AT8042" i="1"/>
  <c r="AX8042" i="1" s="1"/>
  <c r="M8042" i="1"/>
  <c r="U8042" i="1" s="1"/>
  <c r="AT8040" i="1"/>
  <c r="AX8040" i="1" s="1"/>
  <c r="M8040" i="1"/>
  <c r="U8040" i="1" s="1"/>
  <c r="AT8038" i="1"/>
  <c r="AX8038" i="1" s="1"/>
  <c r="M8038" i="1"/>
  <c r="U8038" i="1" s="1"/>
  <c r="AT8036" i="1"/>
  <c r="AX8036" i="1" s="1"/>
  <c r="M8036" i="1"/>
  <c r="U8036" i="1" s="1"/>
  <c r="AT8034" i="1"/>
  <c r="AX8034" i="1" s="1"/>
  <c r="M8034" i="1"/>
  <c r="U8034" i="1" s="1"/>
  <c r="AT8032" i="1"/>
  <c r="AX8032" i="1" s="1"/>
  <c r="M8032" i="1"/>
  <c r="U8032" i="1" s="1"/>
  <c r="AT8030" i="1"/>
  <c r="AX8030" i="1" s="1"/>
  <c r="M8030" i="1"/>
  <c r="U8030" i="1" s="1"/>
  <c r="AT8028" i="1"/>
  <c r="AX8028" i="1" s="1"/>
  <c r="M8028" i="1"/>
  <c r="U8028" i="1" s="1"/>
  <c r="AT8026" i="1"/>
  <c r="AX8026" i="1" s="1"/>
  <c r="M8026" i="1"/>
  <c r="U8026" i="1" s="1"/>
  <c r="AT8024" i="1"/>
  <c r="AX8024" i="1" s="1"/>
  <c r="M8024" i="1"/>
  <c r="U8024" i="1" s="1"/>
  <c r="AT8022" i="1"/>
  <c r="AX8022" i="1" s="1"/>
  <c r="M8022" i="1"/>
  <c r="U8022" i="1" s="1"/>
  <c r="AT8020" i="1"/>
  <c r="AX8020" i="1" s="1"/>
  <c r="M8020" i="1"/>
  <c r="U8020" i="1" s="1"/>
  <c r="AT8018" i="1"/>
  <c r="AX8018" i="1" s="1"/>
  <c r="M8018" i="1"/>
  <c r="U8018" i="1" s="1"/>
  <c r="AT8016" i="1"/>
  <c r="AX8016" i="1" s="1"/>
  <c r="M8016" i="1"/>
  <c r="U8016" i="1" s="1"/>
  <c r="AT8014" i="1"/>
  <c r="AX8014" i="1" s="1"/>
  <c r="M8014" i="1"/>
  <c r="U8014" i="1" s="1"/>
  <c r="AT8012" i="1"/>
  <c r="AX8012" i="1" s="1"/>
  <c r="M8012" i="1"/>
  <c r="U8012" i="1" s="1"/>
  <c r="AT8010" i="1"/>
  <c r="AX8010" i="1" s="1"/>
  <c r="M8010" i="1"/>
  <c r="U8010" i="1" s="1"/>
  <c r="AT8008" i="1"/>
  <c r="AX8008" i="1" s="1"/>
  <c r="M8008" i="1"/>
  <c r="U8008" i="1" s="1"/>
  <c r="AT8006" i="1"/>
  <c r="AX8006" i="1" s="1"/>
  <c r="M8006" i="1"/>
  <c r="U8006" i="1" s="1"/>
  <c r="AT8004" i="1"/>
  <c r="AX8004" i="1" s="1"/>
  <c r="M8004" i="1"/>
  <c r="U8004" i="1" s="1"/>
  <c r="AT8002" i="1"/>
  <c r="AX8002" i="1" s="1"/>
  <c r="M8002" i="1"/>
  <c r="U8002" i="1" s="1"/>
  <c r="AT8000" i="1"/>
  <c r="AX8000" i="1" s="1"/>
  <c r="M8000" i="1"/>
  <c r="U8000" i="1" s="1"/>
  <c r="AT7998" i="1"/>
  <c r="AX7998" i="1" s="1"/>
  <c r="M7998" i="1"/>
  <c r="U7998" i="1" s="1"/>
  <c r="AT7996" i="1"/>
  <c r="AX7996" i="1" s="1"/>
  <c r="M7996" i="1"/>
  <c r="U7996" i="1" s="1"/>
  <c r="AT7994" i="1"/>
  <c r="AX7994" i="1" s="1"/>
  <c r="M7994" i="1"/>
  <c r="U7994" i="1" s="1"/>
  <c r="AT7992" i="1"/>
  <c r="AX7992" i="1" s="1"/>
  <c r="M7992" i="1"/>
  <c r="U7992" i="1" s="1"/>
  <c r="AT7990" i="1"/>
  <c r="AX7990" i="1" s="1"/>
  <c r="M7990" i="1"/>
  <c r="U7990" i="1" s="1"/>
  <c r="AT7988" i="1"/>
  <c r="AX7988" i="1" s="1"/>
  <c r="M7988" i="1"/>
  <c r="U7988" i="1" s="1"/>
  <c r="AT7986" i="1"/>
  <c r="AX7986" i="1" s="1"/>
  <c r="M7986" i="1"/>
  <c r="U7986" i="1" s="1"/>
  <c r="AT7984" i="1"/>
  <c r="AX7984" i="1" s="1"/>
  <c r="M7984" i="1"/>
  <c r="U7984" i="1" s="1"/>
  <c r="AT7982" i="1"/>
  <c r="AX7982" i="1" s="1"/>
  <c r="M7982" i="1"/>
  <c r="U7982" i="1" s="1"/>
  <c r="AT7980" i="1"/>
  <c r="AX7980" i="1" s="1"/>
  <c r="M7980" i="1"/>
  <c r="U7980" i="1" s="1"/>
  <c r="AT7978" i="1"/>
  <c r="AX7978" i="1" s="1"/>
  <c r="M7978" i="1"/>
  <c r="U7978" i="1" s="1"/>
  <c r="AT7976" i="1"/>
  <c r="AX7976" i="1" s="1"/>
  <c r="M7976" i="1"/>
  <c r="U7976" i="1" s="1"/>
  <c r="AT7974" i="1"/>
  <c r="AX7974" i="1" s="1"/>
  <c r="M7974" i="1"/>
  <c r="U7974" i="1" s="1"/>
  <c r="AT7972" i="1"/>
  <c r="AX7972" i="1" s="1"/>
  <c r="M7972" i="1"/>
  <c r="U7972" i="1" s="1"/>
  <c r="AT7970" i="1"/>
  <c r="AX7970" i="1" s="1"/>
  <c r="M7970" i="1"/>
  <c r="U7970" i="1" s="1"/>
  <c r="AT7968" i="1"/>
  <c r="AX7968" i="1" s="1"/>
  <c r="M7968" i="1"/>
  <c r="AT7966" i="1"/>
  <c r="AX7966" i="1" s="1"/>
  <c r="M7966" i="1"/>
  <c r="U7966" i="1" s="1"/>
  <c r="AT7964" i="1"/>
  <c r="AX7964" i="1" s="1"/>
  <c r="M7964" i="1"/>
  <c r="AT7962" i="1"/>
  <c r="AX7962" i="1" s="1"/>
  <c r="M7962" i="1"/>
  <c r="U7962" i="1" s="1"/>
  <c r="AT7960" i="1"/>
  <c r="AX7960" i="1" s="1"/>
  <c r="M7960" i="1"/>
  <c r="U7960" i="1" s="1"/>
  <c r="AT7958" i="1"/>
  <c r="AX7958" i="1" s="1"/>
  <c r="M7958" i="1"/>
  <c r="U7958" i="1" s="1"/>
  <c r="AT7956" i="1"/>
  <c r="AX7956" i="1" s="1"/>
  <c r="M7956" i="1"/>
  <c r="AX7954" i="1"/>
  <c r="M7954" i="1"/>
  <c r="U7954" i="1" s="1"/>
  <c r="AT7952" i="1"/>
  <c r="AX7952" i="1" s="1"/>
  <c r="M7952" i="1"/>
  <c r="AT7950" i="1"/>
  <c r="AX7950" i="1" s="1"/>
  <c r="M7950" i="1"/>
  <c r="U7950" i="1" s="1"/>
  <c r="AT7948" i="1"/>
  <c r="AX7948" i="1" s="1"/>
  <c r="M7948" i="1"/>
  <c r="U7948" i="1" s="1"/>
  <c r="AT7946" i="1"/>
  <c r="AX7946" i="1" s="1"/>
  <c r="M7946" i="1"/>
  <c r="U7946" i="1" s="1"/>
  <c r="AT7944" i="1"/>
  <c r="AX7944" i="1" s="1"/>
  <c r="M7944" i="1"/>
  <c r="U7944" i="1" s="1"/>
  <c r="AT7942" i="1"/>
  <c r="AX7942" i="1" s="1"/>
  <c r="M7942" i="1"/>
  <c r="U7942" i="1" s="1"/>
  <c r="AT7940" i="1"/>
  <c r="AX7940" i="1" s="1"/>
  <c r="M7940" i="1"/>
  <c r="U7940" i="1" s="1"/>
  <c r="AT7938" i="1"/>
  <c r="AX7938" i="1" s="1"/>
  <c r="M7938" i="1"/>
  <c r="U7938" i="1" s="1"/>
  <c r="AT7936" i="1"/>
  <c r="AX7936" i="1" s="1"/>
  <c r="M7936" i="1"/>
  <c r="U7936" i="1" s="1"/>
  <c r="AT7934" i="1"/>
  <c r="AX7934" i="1" s="1"/>
  <c r="M7934" i="1"/>
  <c r="U7934" i="1" s="1"/>
  <c r="AT7932" i="1"/>
  <c r="AX7932" i="1" s="1"/>
  <c r="M7932" i="1"/>
  <c r="U7932" i="1" s="1"/>
  <c r="AT7930" i="1"/>
  <c r="AX7930" i="1" s="1"/>
  <c r="M7930" i="1"/>
  <c r="U7930" i="1" s="1"/>
  <c r="AT7928" i="1"/>
  <c r="AX7928" i="1" s="1"/>
  <c r="M7928" i="1"/>
  <c r="U7928" i="1" s="1"/>
  <c r="AT7926" i="1"/>
  <c r="AX7926" i="1" s="1"/>
  <c r="M7926" i="1"/>
  <c r="U7926" i="1" s="1"/>
  <c r="AT7924" i="1"/>
  <c r="AX7924" i="1" s="1"/>
  <c r="M7924" i="1"/>
  <c r="U7924" i="1" s="1"/>
  <c r="AT7922" i="1"/>
  <c r="AX7922" i="1" s="1"/>
  <c r="M7922" i="1"/>
  <c r="U7922" i="1" s="1"/>
  <c r="AT7920" i="1"/>
  <c r="AX7920" i="1" s="1"/>
  <c r="M7920" i="1"/>
  <c r="U7920" i="1" s="1"/>
  <c r="AT7918" i="1"/>
  <c r="AX7918" i="1" s="1"/>
  <c r="M7918" i="1"/>
  <c r="U7918" i="1" s="1"/>
  <c r="AT7916" i="1"/>
  <c r="AX7916" i="1" s="1"/>
  <c r="M7916" i="1"/>
  <c r="U7916" i="1" s="1"/>
  <c r="AX7914" i="1"/>
  <c r="M7914" i="1"/>
  <c r="U7914" i="1" s="1"/>
  <c r="AT7912" i="1"/>
  <c r="AX7912" i="1" s="1"/>
  <c r="M7912" i="1"/>
  <c r="U7912" i="1" s="1"/>
  <c r="AT7910" i="1"/>
  <c r="AX7910" i="1" s="1"/>
  <c r="M7910" i="1"/>
  <c r="U7910" i="1" s="1"/>
  <c r="AT7908" i="1"/>
  <c r="AX7908" i="1" s="1"/>
  <c r="M7908" i="1"/>
  <c r="U7908" i="1" s="1"/>
  <c r="AT7906" i="1"/>
  <c r="AX7906" i="1" s="1"/>
  <c r="M7906" i="1"/>
  <c r="U7906" i="1" s="1"/>
  <c r="AT7904" i="1"/>
  <c r="AX7904" i="1" s="1"/>
  <c r="M7904" i="1"/>
  <c r="U7904" i="1" s="1"/>
  <c r="AT7902" i="1"/>
  <c r="AX7902" i="1" s="1"/>
  <c r="M7902" i="1"/>
  <c r="U7902" i="1" s="1"/>
  <c r="AT7900" i="1"/>
  <c r="AX7900" i="1" s="1"/>
  <c r="M7900" i="1"/>
  <c r="U7900" i="1" s="1"/>
  <c r="AT7898" i="1"/>
  <c r="AX7898" i="1" s="1"/>
  <c r="M7898" i="1"/>
  <c r="U7898" i="1" s="1"/>
  <c r="AT7896" i="1"/>
  <c r="AX7896" i="1" s="1"/>
  <c r="M7896" i="1"/>
  <c r="U7896" i="1" s="1"/>
  <c r="AT7894" i="1"/>
  <c r="AX7894" i="1" s="1"/>
  <c r="M7894" i="1"/>
  <c r="U7894" i="1" s="1"/>
  <c r="AT7892" i="1"/>
  <c r="AX7892" i="1" s="1"/>
  <c r="M7892" i="1"/>
  <c r="U7892" i="1" s="1"/>
  <c r="AT7890" i="1"/>
  <c r="AX7890" i="1" s="1"/>
  <c r="M7890" i="1"/>
  <c r="U7890" i="1" s="1"/>
  <c r="AT7888" i="1"/>
  <c r="AX7888" i="1" s="1"/>
  <c r="M7888" i="1"/>
  <c r="U7888" i="1" s="1"/>
  <c r="AT7886" i="1"/>
  <c r="AX7886" i="1" s="1"/>
  <c r="M7886" i="1"/>
  <c r="U7886" i="1" s="1"/>
  <c r="AT7884" i="1"/>
  <c r="AX7884" i="1" s="1"/>
  <c r="M7884" i="1"/>
  <c r="U7884" i="1" s="1"/>
  <c r="AT7882" i="1"/>
  <c r="AX7882" i="1" s="1"/>
  <c r="M7882" i="1"/>
  <c r="U7882" i="1" s="1"/>
  <c r="AT7880" i="1"/>
  <c r="AX7880" i="1" s="1"/>
  <c r="M7880" i="1"/>
  <c r="U7880" i="1" s="1"/>
  <c r="AT7878" i="1"/>
  <c r="AX7878" i="1" s="1"/>
  <c r="M7878" i="1"/>
  <c r="U7878" i="1" s="1"/>
  <c r="AT7876" i="1"/>
  <c r="AX7876" i="1" s="1"/>
  <c r="M7876" i="1"/>
  <c r="U7876" i="1" s="1"/>
  <c r="AT7874" i="1"/>
  <c r="AX7874" i="1" s="1"/>
  <c r="M7874" i="1"/>
  <c r="U7874" i="1" s="1"/>
  <c r="AT7872" i="1"/>
  <c r="AX7872" i="1" s="1"/>
  <c r="AT7870" i="1"/>
  <c r="AX7870" i="1" s="1"/>
  <c r="AT7868" i="1"/>
  <c r="AX7868" i="1" s="1"/>
  <c r="M7868" i="1"/>
  <c r="U7868" i="1" s="1"/>
  <c r="AT7866" i="1"/>
  <c r="AX7866" i="1" s="1"/>
  <c r="M7866" i="1"/>
  <c r="U7866" i="1" s="1"/>
  <c r="AT7864" i="1"/>
  <c r="AX7864" i="1" s="1"/>
  <c r="M7864" i="1"/>
  <c r="U7864" i="1" s="1"/>
  <c r="AT7862" i="1"/>
  <c r="AX7862" i="1" s="1"/>
  <c r="M7862" i="1"/>
  <c r="U7862" i="1" s="1"/>
  <c r="AT7860" i="1"/>
  <c r="AX7860" i="1" s="1"/>
  <c r="M7860" i="1"/>
  <c r="U7860" i="1" s="1"/>
  <c r="AX7858" i="1"/>
  <c r="U7858" i="1"/>
  <c r="AT7856" i="1"/>
  <c r="AX7856" i="1" s="1"/>
  <c r="M7856" i="1"/>
  <c r="U7856" i="1" s="1"/>
  <c r="O7696" i="1"/>
  <c r="S7696" i="1"/>
  <c r="O7690" i="1"/>
  <c r="AT7684" i="1"/>
  <c r="AX7684" i="1" s="1"/>
  <c r="M7684" i="1"/>
  <c r="U7684" i="1" s="1"/>
  <c r="AT7636" i="1"/>
  <c r="AX7636" i="1" s="1"/>
  <c r="M7636" i="1"/>
  <c r="U7636" i="1" s="1"/>
  <c r="AT7634" i="1"/>
  <c r="AX7634" i="1" s="1"/>
  <c r="M7634" i="1"/>
  <c r="U7634" i="1" s="1"/>
  <c r="K7646" i="1"/>
  <c r="M7646" i="1" s="1"/>
  <c r="U7646" i="1" s="1"/>
  <c r="K7644" i="1"/>
  <c r="M7644" i="1" s="1"/>
  <c r="U7644" i="1" s="1"/>
  <c r="K7642" i="1"/>
  <c r="M7642" i="1" s="1"/>
  <c r="U7642" i="1" s="1"/>
  <c r="K7640" i="1"/>
  <c r="M7640" i="1" s="1"/>
  <c r="U7640" i="1" s="1"/>
  <c r="AT7854" i="1"/>
  <c r="AX7854" i="1" s="1"/>
  <c r="M7854" i="1"/>
  <c r="U7854" i="1" s="1"/>
  <c r="AT7852" i="1"/>
  <c r="AX7852" i="1" s="1"/>
  <c r="M7852" i="1"/>
  <c r="U7852" i="1" s="1"/>
  <c r="AT7850" i="1"/>
  <c r="AX7850" i="1" s="1"/>
  <c r="M7850" i="1"/>
  <c r="U7850" i="1" s="1"/>
  <c r="AT7848" i="1"/>
  <c r="AX7848" i="1" s="1"/>
  <c r="M7848" i="1"/>
  <c r="U7848" i="1" s="1"/>
  <c r="AT7846" i="1"/>
  <c r="AX7846" i="1" s="1"/>
  <c r="M7846" i="1"/>
  <c r="U7846" i="1" s="1"/>
  <c r="AT7844" i="1"/>
  <c r="AX7844" i="1" s="1"/>
  <c r="M7844" i="1"/>
  <c r="U7844" i="1" s="1"/>
  <c r="AT7842" i="1"/>
  <c r="AX7842" i="1" s="1"/>
  <c r="M7842" i="1"/>
  <c r="U7842" i="1" s="1"/>
  <c r="AT7840" i="1"/>
  <c r="AX7840" i="1" s="1"/>
  <c r="M7840" i="1"/>
  <c r="U7840" i="1" s="1"/>
  <c r="AT7838" i="1"/>
  <c r="AX7838" i="1" s="1"/>
  <c r="M7838" i="1"/>
  <c r="U7838" i="1" s="1"/>
  <c r="AT7836" i="1"/>
  <c r="AX7836" i="1" s="1"/>
  <c r="M7836" i="1"/>
  <c r="U7836" i="1" s="1"/>
  <c r="AT7834" i="1"/>
  <c r="AX7834" i="1" s="1"/>
  <c r="M7834" i="1"/>
  <c r="U7834" i="1" s="1"/>
  <c r="AT7832" i="1"/>
  <c r="AX7832" i="1" s="1"/>
  <c r="M7832" i="1"/>
  <c r="U7832" i="1" s="1"/>
  <c r="AT7830" i="1"/>
  <c r="AX7830" i="1" s="1"/>
  <c r="M7830" i="1"/>
  <c r="U7830" i="1" s="1"/>
  <c r="AT7828" i="1"/>
  <c r="AX7828" i="1" s="1"/>
  <c r="AT7826" i="1"/>
  <c r="AX7826" i="1" s="1"/>
  <c r="M7826" i="1"/>
  <c r="U7826" i="1" s="1"/>
  <c r="AT7824" i="1"/>
  <c r="AX7824" i="1" s="1"/>
  <c r="M7824" i="1"/>
  <c r="U7824" i="1" s="1"/>
  <c r="AT7822" i="1"/>
  <c r="AX7822" i="1" s="1"/>
  <c r="M7822" i="1"/>
  <c r="U7822" i="1" s="1"/>
  <c r="AT7820" i="1"/>
  <c r="AX7820" i="1" s="1"/>
  <c r="M7820" i="1"/>
  <c r="U7820" i="1" s="1"/>
  <c r="AT7818" i="1"/>
  <c r="AX7818" i="1" s="1"/>
  <c r="M7818" i="1"/>
  <c r="U7818" i="1" s="1"/>
  <c r="AT7816" i="1"/>
  <c r="AX7816" i="1" s="1"/>
  <c r="M7816" i="1"/>
  <c r="U7816" i="1" s="1"/>
  <c r="AT7814" i="1"/>
  <c r="AX7814" i="1" s="1"/>
  <c r="M7814" i="1"/>
  <c r="U7814" i="1" s="1"/>
  <c r="AT7812" i="1"/>
  <c r="AX7812" i="1" s="1"/>
  <c r="M7812" i="1"/>
  <c r="U7812" i="1" s="1"/>
  <c r="AT7810" i="1"/>
  <c r="AX7810" i="1" s="1"/>
  <c r="M7810" i="1"/>
  <c r="U7810" i="1" s="1"/>
  <c r="AT7808" i="1"/>
  <c r="AX7808" i="1" s="1"/>
  <c r="M7808" i="1"/>
  <c r="U7808" i="1" s="1"/>
  <c r="AT7806" i="1"/>
  <c r="AX7806" i="1" s="1"/>
  <c r="M7806" i="1"/>
  <c r="U7806" i="1" s="1"/>
  <c r="AT7804" i="1"/>
  <c r="AX7804" i="1" s="1"/>
  <c r="M7804" i="1"/>
  <c r="U7804" i="1" s="1"/>
  <c r="AT7802" i="1"/>
  <c r="AX7802" i="1" s="1"/>
  <c r="M7802" i="1"/>
  <c r="U7802" i="1" s="1"/>
  <c r="AT7800" i="1"/>
  <c r="AX7800" i="1" s="1"/>
  <c r="M7800" i="1"/>
  <c r="U7800" i="1" s="1"/>
  <c r="AT7798" i="1"/>
  <c r="AX7798" i="1" s="1"/>
  <c r="M7798" i="1"/>
  <c r="U7798" i="1" s="1"/>
  <c r="AT7796" i="1"/>
  <c r="AX7796" i="1" s="1"/>
  <c r="M7796" i="1"/>
  <c r="U7796" i="1" s="1"/>
  <c r="AT7794" i="1"/>
  <c r="AX7794" i="1" s="1"/>
  <c r="M7794" i="1"/>
  <c r="U7794" i="1" s="1"/>
  <c r="AT7792" i="1"/>
  <c r="AX7792" i="1" s="1"/>
  <c r="M7792" i="1"/>
  <c r="U7792" i="1" s="1"/>
  <c r="AT7790" i="1"/>
  <c r="AX7790" i="1" s="1"/>
  <c r="M7790" i="1"/>
  <c r="U7790" i="1" s="1"/>
  <c r="AT7788" i="1"/>
  <c r="AX7788" i="1" s="1"/>
  <c r="M7788" i="1"/>
  <c r="U7788" i="1" s="1"/>
  <c r="AT7786" i="1"/>
  <c r="AX7786" i="1" s="1"/>
  <c r="M7786" i="1"/>
  <c r="U7786" i="1" s="1"/>
  <c r="AT7784" i="1"/>
  <c r="AX7784" i="1" s="1"/>
  <c r="M7784" i="1"/>
  <c r="U7784" i="1" s="1"/>
  <c r="AT7782" i="1"/>
  <c r="AX7782" i="1" s="1"/>
  <c r="M7782" i="1"/>
  <c r="U7782" i="1" s="1"/>
  <c r="AT7780" i="1"/>
  <c r="AX7780" i="1" s="1"/>
  <c r="M7780" i="1"/>
  <c r="U7780" i="1" s="1"/>
  <c r="AT7778" i="1"/>
  <c r="AX7778" i="1" s="1"/>
  <c r="M7778" i="1"/>
  <c r="U7778" i="1" s="1"/>
  <c r="AT7776" i="1"/>
  <c r="AX7776" i="1" s="1"/>
  <c r="M7776" i="1"/>
  <c r="U7776" i="1" s="1"/>
  <c r="AT7774" i="1"/>
  <c r="AX7774" i="1" s="1"/>
  <c r="M7774" i="1"/>
  <c r="U7774" i="1" s="1"/>
  <c r="AT7772" i="1"/>
  <c r="AX7772" i="1" s="1"/>
  <c r="M7772" i="1"/>
  <c r="U7772" i="1" s="1"/>
  <c r="AT7770" i="1"/>
  <c r="AX7770" i="1" s="1"/>
  <c r="M7770" i="1"/>
  <c r="U7770" i="1" s="1"/>
  <c r="AT7768" i="1"/>
  <c r="AX7768" i="1" s="1"/>
  <c r="M7768" i="1"/>
  <c r="U7768" i="1" s="1"/>
  <c r="AT7766" i="1"/>
  <c r="AX7766" i="1" s="1"/>
  <c r="M7766" i="1"/>
  <c r="U7766" i="1" s="1"/>
  <c r="AT7764" i="1"/>
  <c r="AX7764" i="1" s="1"/>
  <c r="M7764" i="1"/>
  <c r="U7764" i="1" s="1"/>
  <c r="AT7762" i="1"/>
  <c r="AX7762" i="1" s="1"/>
  <c r="M7762" i="1"/>
  <c r="U7762" i="1" s="1"/>
  <c r="AT7760" i="1"/>
  <c r="AX7760" i="1" s="1"/>
  <c r="M7760" i="1"/>
  <c r="U7760" i="1" s="1"/>
  <c r="AT7758" i="1"/>
  <c r="AX7758" i="1" s="1"/>
  <c r="M7758" i="1"/>
  <c r="U7758" i="1" s="1"/>
  <c r="AT7756" i="1"/>
  <c r="AX7756" i="1" s="1"/>
  <c r="M7756" i="1"/>
  <c r="U7756" i="1" s="1"/>
  <c r="AT7754" i="1"/>
  <c r="AX7754" i="1" s="1"/>
  <c r="M7754" i="1"/>
  <c r="U7754" i="1" s="1"/>
  <c r="AT7752" i="1"/>
  <c r="AX7752" i="1" s="1"/>
  <c r="M7752" i="1"/>
  <c r="U7752" i="1" s="1"/>
  <c r="AT7750" i="1"/>
  <c r="AX7750" i="1" s="1"/>
  <c r="M7750" i="1"/>
  <c r="U7750" i="1" s="1"/>
  <c r="AT7748" i="1"/>
  <c r="AX7748" i="1" s="1"/>
  <c r="M7748" i="1"/>
  <c r="U7748" i="1" s="1"/>
  <c r="AT7746" i="1"/>
  <c r="AX7746" i="1" s="1"/>
  <c r="M7746" i="1"/>
  <c r="U7746" i="1" s="1"/>
  <c r="AT7744" i="1"/>
  <c r="AX7744" i="1" s="1"/>
  <c r="M7744" i="1"/>
  <c r="U7744" i="1" s="1"/>
  <c r="AT7742" i="1"/>
  <c r="AX7742" i="1" s="1"/>
  <c r="M7742" i="1"/>
  <c r="U7742" i="1" s="1"/>
  <c r="AT7740" i="1"/>
  <c r="AX7740" i="1" s="1"/>
  <c r="M7740" i="1"/>
  <c r="U7740" i="1" s="1"/>
  <c r="AT7738" i="1"/>
  <c r="AX7738" i="1" s="1"/>
  <c r="M7738" i="1"/>
  <c r="U7738" i="1" s="1"/>
  <c r="AT7736" i="1"/>
  <c r="AX7736" i="1" s="1"/>
  <c r="M7736" i="1"/>
  <c r="U7736" i="1" s="1"/>
  <c r="AT7734" i="1"/>
  <c r="AX7734" i="1" s="1"/>
  <c r="M7734" i="1"/>
  <c r="U7734" i="1" s="1"/>
  <c r="AT7732" i="1"/>
  <c r="AX7732" i="1" s="1"/>
  <c r="M7732" i="1"/>
  <c r="U7732" i="1" s="1"/>
  <c r="AT7730" i="1"/>
  <c r="AX7730" i="1" s="1"/>
  <c r="M7730" i="1"/>
  <c r="U7730" i="1" s="1"/>
  <c r="AT7728" i="1"/>
  <c r="AX7728" i="1" s="1"/>
  <c r="M7728" i="1"/>
  <c r="U7728" i="1" s="1"/>
  <c r="AT7726" i="1"/>
  <c r="AX7726" i="1" s="1"/>
  <c r="M7726" i="1"/>
  <c r="U7726" i="1" s="1"/>
  <c r="AT7724" i="1"/>
  <c r="AX7724" i="1" s="1"/>
  <c r="M7724" i="1"/>
  <c r="U7724" i="1" s="1"/>
  <c r="AT7722" i="1"/>
  <c r="AX7722" i="1" s="1"/>
  <c r="M7722" i="1"/>
  <c r="U7722" i="1" s="1"/>
  <c r="AT7720" i="1"/>
  <c r="AX7720" i="1" s="1"/>
  <c r="M7720" i="1"/>
  <c r="U7720" i="1" s="1"/>
  <c r="AT7718" i="1"/>
  <c r="AX7718" i="1" s="1"/>
  <c r="U7718" i="1"/>
  <c r="AT7716" i="1"/>
  <c r="AX7716" i="1" s="1"/>
  <c r="M7716" i="1"/>
  <c r="U7716" i="1" s="1"/>
  <c r="AT7714" i="1"/>
  <c r="AX7714" i="1" s="1"/>
  <c r="M7714" i="1"/>
  <c r="U7714" i="1" s="1"/>
  <c r="AT7712" i="1"/>
  <c r="AX7712" i="1" s="1"/>
  <c r="M7712" i="1"/>
  <c r="U7712" i="1" s="1"/>
  <c r="AT7710" i="1"/>
  <c r="AX7710" i="1" s="1"/>
  <c r="M7710" i="1"/>
  <c r="U7710" i="1" s="1"/>
  <c r="AT7708" i="1"/>
  <c r="AX7708" i="1" s="1"/>
  <c r="M7708" i="1"/>
  <c r="U7708" i="1" s="1"/>
  <c r="AT7706" i="1"/>
  <c r="AX7706" i="1" s="1"/>
  <c r="M7706" i="1"/>
  <c r="U7706" i="1" s="1"/>
  <c r="AT7704" i="1"/>
  <c r="AX7704" i="1" s="1"/>
  <c r="M7704" i="1"/>
  <c r="U7704" i="1" s="1"/>
  <c r="AT7702" i="1"/>
  <c r="AX7702" i="1" s="1"/>
  <c r="M7702" i="1"/>
  <c r="U7702" i="1" s="1"/>
  <c r="AT7700" i="1"/>
  <c r="AX7700" i="1" s="1"/>
  <c r="M7700" i="1"/>
  <c r="U7700" i="1" s="1"/>
  <c r="AT7698" i="1"/>
  <c r="AX7698" i="1" s="1"/>
  <c r="M7698" i="1"/>
  <c r="U7698" i="1" s="1"/>
  <c r="AT7696" i="1"/>
  <c r="AX7696" i="1" s="1"/>
  <c r="M7696" i="1"/>
  <c r="AT7694" i="1"/>
  <c r="AX7694" i="1" s="1"/>
  <c r="M7694" i="1"/>
  <c r="U7694" i="1" s="1"/>
  <c r="AT7692" i="1"/>
  <c r="AX7692" i="1" s="1"/>
  <c r="M7692" i="1"/>
  <c r="U7692" i="1" s="1"/>
  <c r="AT7690" i="1"/>
  <c r="AX7690" i="1" s="1"/>
  <c r="M7690" i="1"/>
  <c r="AT7688" i="1"/>
  <c r="AX7688" i="1" s="1"/>
  <c r="M7688" i="1"/>
  <c r="U7688" i="1" s="1"/>
  <c r="AT7686" i="1"/>
  <c r="AX7686" i="1" s="1"/>
  <c r="M7686" i="1"/>
  <c r="U7686" i="1" s="1"/>
  <c r="AT7682" i="1"/>
  <c r="AX7682" i="1" s="1"/>
  <c r="M7682" i="1"/>
  <c r="U7682" i="1" s="1"/>
  <c r="AT7680" i="1"/>
  <c r="AX7680" i="1" s="1"/>
  <c r="M7680" i="1"/>
  <c r="U7680" i="1" s="1"/>
  <c r="AT7678" i="1"/>
  <c r="AX7678" i="1" s="1"/>
  <c r="M7678" i="1"/>
  <c r="U7678" i="1" s="1"/>
  <c r="AT7676" i="1"/>
  <c r="AX7676" i="1" s="1"/>
  <c r="M7676" i="1"/>
  <c r="U7676" i="1" s="1"/>
  <c r="AT7674" i="1"/>
  <c r="AX7674" i="1" s="1"/>
  <c r="M7674" i="1"/>
  <c r="U7674" i="1" s="1"/>
  <c r="AT7672" i="1"/>
  <c r="AX7672" i="1" s="1"/>
  <c r="M7672" i="1"/>
  <c r="U7672" i="1" s="1"/>
  <c r="AT7670" i="1"/>
  <c r="AX7670" i="1" s="1"/>
  <c r="M7670" i="1"/>
  <c r="U7670" i="1" s="1"/>
  <c r="AT7668" i="1"/>
  <c r="AX7668" i="1" s="1"/>
  <c r="M7668" i="1"/>
  <c r="U7668" i="1" s="1"/>
  <c r="AT7666" i="1"/>
  <c r="AX7666" i="1" s="1"/>
  <c r="M7666" i="1"/>
  <c r="U7666" i="1" s="1"/>
  <c r="AT7664" i="1"/>
  <c r="AX7664" i="1" s="1"/>
  <c r="M7664" i="1"/>
  <c r="U7664" i="1" s="1"/>
  <c r="AT7662" i="1"/>
  <c r="AX7662" i="1" s="1"/>
  <c r="M7662" i="1"/>
  <c r="U7662" i="1" s="1"/>
  <c r="AT7660" i="1"/>
  <c r="AX7660" i="1" s="1"/>
  <c r="M7660" i="1"/>
  <c r="U7660" i="1" s="1"/>
  <c r="AT7658" i="1"/>
  <c r="AX7658" i="1" s="1"/>
  <c r="M7658" i="1"/>
  <c r="U7658" i="1" s="1"/>
  <c r="AT7656" i="1"/>
  <c r="AX7656" i="1" s="1"/>
  <c r="M7656" i="1"/>
  <c r="U7656" i="1" s="1"/>
  <c r="AT7654" i="1"/>
  <c r="AX7654" i="1" s="1"/>
  <c r="M7654" i="1"/>
  <c r="U7654" i="1" s="1"/>
  <c r="AT7652" i="1"/>
  <c r="AX7652" i="1" s="1"/>
  <c r="M7652" i="1"/>
  <c r="U7652" i="1" s="1"/>
  <c r="AT7650" i="1"/>
  <c r="AX7650" i="1" s="1"/>
  <c r="M7650" i="1"/>
  <c r="U7650" i="1" s="1"/>
  <c r="AT7648" i="1"/>
  <c r="AX7648" i="1" s="1"/>
  <c r="M7648" i="1"/>
  <c r="U7648" i="1" s="1"/>
  <c r="AT7646" i="1"/>
  <c r="AX7646" i="1" s="1"/>
  <c r="AT7644" i="1"/>
  <c r="AX7644" i="1" s="1"/>
  <c r="AT7642" i="1"/>
  <c r="AX7642" i="1" s="1"/>
  <c r="AT7640" i="1"/>
  <c r="AX7640" i="1" s="1"/>
  <c r="AT7638" i="1"/>
  <c r="AX7638" i="1" s="1"/>
  <c r="M7638" i="1"/>
  <c r="U7638" i="1" s="1"/>
  <c r="AT7632" i="1"/>
  <c r="AX7632" i="1" s="1"/>
  <c r="M7632" i="1"/>
  <c r="U7632" i="1" s="1"/>
  <c r="AT7630" i="1"/>
  <c r="AX7630" i="1" s="1"/>
  <c r="M7630" i="1"/>
  <c r="U7630" i="1" s="1"/>
  <c r="AT7628" i="1"/>
  <c r="AX7628" i="1" s="1"/>
  <c r="M7628" i="1"/>
  <c r="U7628" i="1" s="1"/>
  <c r="AT7626" i="1"/>
  <c r="AX7626" i="1" s="1"/>
  <c r="M7626" i="1"/>
  <c r="U7626" i="1" s="1"/>
  <c r="AT7624" i="1"/>
  <c r="AX7624" i="1" s="1"/>
  <c r="U7624" i="1"/>
  <c r="AT7622" i="1"/>
  <c r="AX7622" i="1" s="1"/>
  <c r="M7622" i="1"/>
  <c r="U7622" i="1" s="1"/>
  <c r="AT7620" i="1"/>
  <c r="AX7620" i="1" s="1"/>
  <c r="M7620" i="1"/>
  <c r="U7620" i="1" s="1"/>
  <c r="AT7618" i="1"/>
  <c r="AX7618" i="1" s="1"/>
  <c r="M7618" i="1"/>
  <c r="U7618" i="1" s="1"/>
  <c r="AT7616" i="1"/>
  <c r="AX7616" i="1" s="1"/>
  <c r="M7616" i="1"/>
  <c r="U7616" i="1" s="1"/>
  <c r="AT7614" i="1"/>
  <c r="AX7614" i="1" s="1"/>
  <c r="M7614" i="1"/>
  <c r="U7614" i="1" s="1"/>
  <c r="AT7612" i="1"/>
  <c r="AX7612" i="1" s="1"/>
  <c r="M7612" i="1"/>
  <c r="U7612" i="1" s="1"/>
  <c r="AT7610" i="1"/>
  <c r="AX7610" i="1" s="1"/>
  <c r="U7610" i="1"/>
  <c r="AT7608" i="1"/>
  <c r="AX7608" i="1" s="1"/>
  <c r="M7608" i="1"/>
  <c r="U7608" i="1" s="1"/>
  <c r="AT7606" i="1"/>
  <c r="AX7606" i="1" s="1"/>
  <c r="M7606" i="1"/>
  <c r="U7606" i="1" s="1"/>
  <c r="AT7604" i="1"/>
  <c r="AX7604" i="1" s="1"/>
  <c r="M7604" i="1"/>
  <c r="U7604" i="1" s="1"/>
  <c r="AT7602" i="1"/>
  <c r="AX7602" i="1" s="1"/>
  <c r="M7602" i="1"/>
  <c r="U7602" i="1" s="1"/>
  <c r="AT7600" i="1"/>
  <c r="AX7600" i="1" s="1"/>
  <c r="M7600" i="1"/>
  <c r="U7600" i="1" s="1"/>
  <c r="AT7598" i="1"/>
  <c r="AX7598" i="1" s="1"/>
  <c r="M7598" i="1"/>
  <c r="U7598" i="1" s="1"/>
  <c r="AT7596" i="1"/>
  <c r="AX7596" i="1" s="1"/>
  <c r="M7596" i="1"/>
  <c r="U7596" i="1" s="1"/>
  <c r="AT7594" i="1"/>
  <c r="AX7594" i="1" s="1"/>
  <c r="M7594" i="1"/>
  <c r="U7594" i="1" s="1"/>
  <c r="AT7592" i="1"/>
  <c r="AX7592" i="1" s="1"/>
  <c r="M7592" i="1"/>
  <c r="U7592" i="1" s="1"/>
  <c r="AT7590" i="1"/>
  <c r="AX7590" i="1" s="1"/>
  <c r="M7590" i="1"/>
  <c r="U7590" i="1" s="1"/>
  <c r="AT7588" i="1"/>
  <c r="AX7588" i="1" s="1"/>
  <c r="M7588" i="1"/>
  <c r="U7588" i="1" s="1"/>
  <c r="AT7586" i="1"/>
  <c r="AX7586" i="1" s="1"/>
  <c r="M7586" i="1"/>
  <c r="U7586" i="1" s="1"/>
  <c r="AT7584" i="1"/>
  <c r="AX7584" i="1" s="1"/>
  <c r="M7584" i="1"/>
  <c r="U7584" i="1" s="1"/>
  <c r="AT7582" i="1"/>
  <c r="AX7582" i="1" s="1"/>
  <c r="M7582" i="1"/>
  <c r="U7582" i="1" s="1"/>
  <c r="AT7580" i="1"/>
  <c r="AX7580" i="1" s="1"/>
  <c r="M7580" i="1"/>
  <c r="U7580" i="1" s="1"/>
  <c r="AT7578" i="1"/>
  <c r="AX7578" i="1" s="1"/>
  <c r="M7578" i="1"/>
  <c r="U7578" i="1" s="1"/>
  <c r="AT7576" i="1"/>
  <c r="AX7576" i="1" s="1"/>
  <c r="M7576" i="1"/>
  <c r="U7576" i="1" s="1"/>
  <c r="AT7574" i="1"/>
  <c r="AX7574" i="1" s="1"/>
  <c r="M7574" i="1"/>
  <c r="U7574" i="1" s="1"/>
  <c r="AT7572" i="1"/>
  <c r="AX7572" i="1" s="1"/>
  <c r="M7572" i="1"/>
  <c r="U7572" i="1" s="1"/>
  <c r="AT7570" i="1"/>
  <c r="AX7570" i="1" s="1"/>
  <c r="M7570" i="1"/>
  <c r="U7570" i="1" s="1"/>
  <c r="AT7568" i="1"/>
  <c r="AX7568" i="1" s="1"/>
  <c r="M7568" i="1"/>
  <c r="U7568" i="1" s="1"/>
  <c r="AT7566" i="1"/>
  <c r="AX7566" i="1" s="1"/>
  <c r="M7566" i="1"/>
  <c r="U7566" i="1" s="1"/>
  <c r="AT7564" i="1"/>
  <c r="AX7564" i="1" s="1"/>
  <c r="M7564" i="1"/>
  <c r="U7564" i="1" s="1"/>
  <c r="AT7562" i="1"/>
  <c r="AX7562" i="1" s="1"/>
  <c r="M7562" i="1"/>
  <c r="U7562" i="1" s="1"/>
  <c r="AT7560" i="1"/>
  <c r="AX7560" i="1" s="1"/>
  <c r="M7560" i="1"/>
  <c r="U7560" i="1" s="1"/>
  <c r="AT7558" i="1"/>
  <c r="AX7558" i="1" s="1"/>
  <c r="M7558" i="1"/>
  <c r="U7558" i="1" s="1"/>
  <c r="AT7556" i="1"/>
  <c r="AX7556" i="1" s="1"/>
  <c r="M7556" i="1"/>
  <c r="U7556" i="1" s="1"/>
  <c r="AT7554" i="1"/>
  <c r="AX7554" i="1" s="1"/>
  <c r="M7554" i="1"/>
  <c r="U7554" i="1" s="1"/>
  <c r="AT7552" i="1"/>
  <c r="AX7552" i="1" s="1"/>
  <c r="M7552" i="1"/>
  <c r="U7552" i="1" s="1"/>
  <c r="AT7550" i="1"/>
  <c r="AX7550" i="1" s="1"/>
  <c r="M7550" i="1"/>
  <c r="U7550" i="1" s="1"/>
  <c r="AT7548" i="1"/>
  <c r="AX7548" i="1" s="1"/>
  <c r="M7548" i="1"/>
  <c r="U7548" i="1" s="1"/>
  <c r="AT7546" i="1"/>
  <c r="AX7546" i="1" s="1"/>
  <c r="M7546" i="1"/>
  <c r="U7546" i="1" s="1"/>
  <c r="AT7544" i="1"/>
  <c r="AX7544" i="1" s="1"/>
  <c r="M7544" i="1"/>
  <c r="U7544" i="1" s="1"/>
  <c r="AT7542" i="1"/>
  <c r="AX7542" i="1" s="1"/>
  <c r="M7542" i="1"/>
  <c r="U7542" i="1" s="1"/>
  <c r="AT7540" i="1"/>
  <c r="AX7540" i="1" s="1"/>
  <c r="M7540" i="1"/>
  <c r="U7540" i="1" s="1"/>
  <c r="AT7538" i="1"/>
  <c r="AX7538" i="1" s="1"/>
  <c r="M7538" i="1"/>
  <c r="U7538" i="1" s="1"/>
  <c r="AT7536" i="1"/>
  <c r="AX7536" i="1" s="1"/>
  <c r="M7536" i="1"/>
  <c r="U7536" i="1" s="1"/>
  <c r="AT7534" i="1"/>
  <c r="AX7534" i="1" s="1"/>
  <c r="M7534" i="1"/>
  <c r="U7534" i="1" s="1"/>
  <c r="AT7532" i="1"/>
  <c r="AX7532" i="1" s="1"/>
  <c r="M7532" i="1"/>
  <c r="U7532" i="1" s="1"/>
  <c r="AT7530" i="1"/>
  <c r="AX7530" i="1" s="1"/>
  <c r="U7530" i="1"/>
  <c r="AT7528" i="1"/>
  <c r="AX7528" i="1" s="1"/>
  <c r="M7528" i="1"/>
  <c r="U7528" i="1" s="1"/>
  <c r="AT7526" i="1"/>
  <c r="AX7526" i="1" s="1"/>
  <c r="M7526" i="1"/>
  <c r="U7526" i="1" s="1"/>
  <c r="AT7524" i="1"/>
  <c r="AX7524" i="1" s="1"/>
  <c r="M7524" i="1"/>
  <c r="U7524" i="1" s="1"/>
  <c r="AX7522" i="1"/>
  <c r="U7522" i="1"/>
  <c r="AT7520" i="1"/>
  <c r="AX7520" i="1" s="1"/>
  <c r="M7520" i="1"/>
  <c r="U7520" i="1" s="1"/>
  <c r="AT7518" i="1"/>
  <c r="AX7518" i="1" s="1"/>
  <c r="M7518" i="1"/>
  <c r="U7518" i="1" s="1"/>
  <c r="AT7516" i="1"/>
  <c r="AX7516" i="1" s="1"/>
  <c r="M7516" i="1"/>
  <c r="U7516" i="1" s="1"/>
  <c r="AT7514" i="1"/>
  <c r="AX7514" i="1" s="1"/>
  <c r="M7514" i="1"/>
  <c r="U7514" i="1" s="1"/>
  <c r="AX7512" i="1"/>
  <c r="M7512" i="1"/>
  <c r="U7512" i="1" s="1"/>
  <c r="AT7510" i="1"/>
  <c r="AX7510" i="1" s="1"/>
  <c r="M7510" i="1"/>
  <c r="U7510" i="1" s="1"/>
  <c r="AT7508" i="1"/>
  <c r="AX7508" i="1" s="1"/>
  <c r="M7508" i="1"/>
  <c r="U7508" i="1" s="1"/>
  <c r="AT7506" i="1"/>
  <c r="AX7506" i="1" s="1"/>
  <c r="M7506" i="1"/>
  <c r="U7506" i="1" s="1"/>
  <c r="AT7504" i="1"/>
  <c r="AX7504" i="1" s="1"/>
  <c r="M7504" i="1"/>
  <c r="U7504" i="1" s="1"/>
  <c r="AT7502" i="1"/>
  <c r="AX7502" i="1" s="1"/>
  <c r="M7502" i="1"/>
  <c r="U7502" i="1" s="1"/>
  <c r="AT7500" i="1"/>
  <c r="AX7500" i="1" s="1"/>
  <c r="M7500" i="1"/>
  <c r="U7500" i="1" s="1"/>
  <c r="AT7498" i="1"/>
  <c r="AX7498" i="1" s="1"/>
  <c r="M7498" i="1"/>
  <c r="U7498" i="1" s="1"/>
  <c r="AT7496" i="1"/>
  <c r="AX7496" i="1" s="1"/>
  <c r="M7496" i="1"/>
  <c r="U7496" i="1" s="1"/>
  <c r="AT7494" i="1"/>
  <c r="AX7494" i="1" s="1"/>
  <c r="M7494" i="1"/>
  <c r="U7494" i="1" s="1"/>
  <c r="AT7492" i="1"/>
  <c r="AX7492" i="1" s="1"/>
  <c r="M7492" i="1"/>
  <c r="U7492" i="1" s="1"/>
  <c r="AT7490" i="1"/>
  <c r="AX7490" i="1" s="1"/>
  <c r="M7490" i="1"/>
  <c r="U7490" i="1" s="1"/>
  <c r="AT7488" i="1"/>
  <c r="AX7488" i="1" s="1"/>
  <c r="M7488" i="1"/>
  <c r="U7488" i="1" s="1"/>
  <c r="AT7486" i="1"/>
  <c r="AX7486" i="1" s="1"/>
  <c r="U7486" i="1"/>
  <c r="AT7484" i="1"/>
  <c r="AX7484" i="1" s="1"/>
  <c r="M7484" i="1"/>
  <c r="U7484" i="1" s="1"/>
  <c r="AT7482" i="1"/>
  <c r="AX7482" i="1" s="1"/>
  <c r="M7482" i="1"/>
  <c r="U7482" i="1" s="1"/>
  <c r="AT7408" i="1"/>
  <c r="AX7408" i="1" s="1"/>
  <c r="M7408" i="1"/>
  <c r="U7408" i="1" s="1"/>
  <c r="K7418" i="1"/>
  <c r="M7418" i="1" s="1"/>
  <c r="U7418" i="1" s="1"/>
  <c r="K7416" i="1"/>
  <c r="M7416" i="1" s="1"/>
  <c r="U7416" i="1" s="1"/>
  <c r="K7414" i="1"/>
  <c r="M7414" i="1" s="1"/>
  <c r="U7414" i="1" s="1"/>
  <c r="K7412" i="1"/>
  <c r="M7412" i="1" s="1"/>
  <c r="U7412" i="1" s="1"/>
  <c r="K7410" i="1"/>
  <c r="M7410" i="1" s="1"/>
  <c r="U7410" i="1" s="1"/>
  <c r="AT7198" i="1"/>
  <c r="AX7198" i="1" s="1"/>
  <c r="M7198" i="1"/>
  <c r="U7198" i="1" s="1"/>
  <c r="AT7196" i="1"/>
  <c r="AX7196" i="1" s="1"/>
  <c r="M7196" i="1"/>
  <c r="U7196" i="1" s="1"/>
  <c r="K7148" i="1"/>
  <c r="K7146" i="1"/>
  <c r="M7146" i="1" s="1"/>
  <c r="U7146" i="1" s="1"/>
  <c r="AT7480" i="1"/>
  <c r="AX7480" i="1" s="1"/>
  <c r="M7480" i="1"/>
  <c r="U7480" i="1" s="1"/>
  <c r="AT7478" i="1"/>
  <c r="AX7478" i="1" s="1"/>
  <c r="M7478" i="1"/>
  <c r="U7478" i="1" s="1"/>
  <c r="AT7476" i="1"/>
  <c r="AX7476" i="1" s="1"/>
  <c r="M7476" i="1"/>
  <c r="U7476" i="1" s="1"/>
  <c r="AT7474" i="1"/>
  <c r="AX7474" i="1" s="1"/>
  <c r="M7474" i="1"/>
  <c r="U7474" i="1" s="1"/>
  <c r="AT7472" i="1"/>
  <c r="AX7472" i="1" s="1"/>
  <c r="M7472" i="1"/>
  <c r="U7472" i="1" s="1"/>
  <c r="AT7470" i="1"/>
  <c r="AX7470" i="1" s="1"/>
  <c r="M7470" i="1"/>
  <c r="U7470" i="1" s="1"/>
  <c r="AT7468" i="1"/>
  <c r="AX7468" i="1" s="1"/>
  <c r="M7468" i="1"/>
  <c r="U7468" i="1" s="1"/>
  <c r="AT7466" i="1"/>
  <c r="AX7466" i="1" s="1"/>
  <c r="M7466" i="1"/>
  <c r="U7466" i="1" s="1"/>
  <c r="AT7464" i="1"/>
  <c r="AX7464" i="1" s="1"/>
  <c r="M7464" i="1"/>
  <c r="U7464" i="1" s="1"/>
  <c r="AT7462" i="1"/>
  <c r="AX7462" i="1" s="1"/>
  <c r="M7462" i="1"/>
  <c r="U7462" i="1" s="1"/>
  <c r="AT7460" i="1"/>
  <c r="AX7460" i="1" s="1"/>
  <c r="M7460" i="1"/>
  <c r="U7460" i="1" s="1"/>
  <c r="AT7458" i="1"/>
  <c r="AX7458" i="1" s="1"/>
  <c r="M7458" i="1"/>
  <c r="U7458" i="1" s="1"/>
  <c r="AT7456" i="1"/>
  <c r="AX7456" i="1" s="1"/>
  <c r="M7456" i="1"/>
  <c r="U7456" i="1" s="1"/>
  <c r="AT7454" i="1"/>
  <c r="AX7454" i="1" s="1"/>
  <c r="M7454" i="1"/>
  <c r="U7454" i="1" s="1"/>
  <c r="AT7452" i="1"/>
  <c r="AX7452" i="1" s="1"/>
  <c r="M7452" i="1"/>
  <c r="U7452" i="1" s="1"/>
  <c r="AT7450" i="1"/>
  <c r="AX7450" i="1" s="1"/>
  <c r="M7450" i="1"/>
  <c r="U7450" i="1" s="1"/>
  <c r="AT7448" i="1"/>
  <c r="AX7448" i="1" s="1"/>
  <c r="M7448" i="1"/>
  <c r="U7448" i="1" s="1"/>
  <c r="AT7446" i="1"/>
  <c r="AX7446" i="1" s="1"/>
  <c r="M7446" i="1"/>
  <c r="U7446" i="1" s="1"/>
  <c r="AT7444" i="1"/>
  <c r="AX7444" i="1" s="1"/>
  <c r="M7444" i="1"/>
  <c r="U7444" i="1" s="1"/>
  <c r="AT7442" i="1"/>
  <c r="AX7442" i="1" s="1"/>
  <c r="M7442" i="1"/>
  <c r="U7442" i="1" s="1"/>
  <c r="AT7440" i="1"/>
  <c r="AX7440" i="1" s="1"/>
  <c r="M7440" i="1"/>
  <c r="U7440" i="1" s="1"/>
  <c r="AT7438" i="1"/>
  <c r="AX7438" i="1" s="1"/>
  <c r="M7438" i="1"/>
  <c r="U7438" i="1" s="1"/>
  <c r="AT7436" i="1"/>
  <c r="AX7436" i="1" s="1"/>
  <c r="M7436" i="1"/>
  <c r="U7436" i="1" s="1"/>
  <c r="AT7434" i="1"/>
  <c r="AX7434" i="1" s="1"/>
  <c r="M7434" i="1"/>
  <c r="U7434" i="1" s="1"/>
  <c r="AT7432" i="1"/>
  <c r="AX7432" i="1" s="1"/>
  <c r="M7432" i="1"/>
  <c r="U7432" i="1" s="1"/>
  <c r="AT7430" i="1"/>
  <c r="AX7430" i="1" s="1"/>
  <c r="M7430" i="1"/>
  <c r="U7430" i="1" s="1"/>
  <c r="AT7428" i="1"/>
  <c r="AX7428" i="1" s="1"/>
  <c r="M7428" i="1"/>
  <c r="U7428" i="1" s="1"/>
  <c r="AT7426" i="1"/>
  <c r="AX7426" i="1" s="1"/>
  <c r="M7426" i="1"/>
  <c r="U7426" i="1" s="1"/>
  <c r="AT7424" i="1"/>
  <c r="AX7424" i="1" s="1"/>
  <c r="M7424" i="1"/>
  <c r="U7424" i="1" s="1"/>
  <c r="AT7422" i="1"/>
  <c r="AX7422" i="1" s="1"/>
  <c r="M7422" i="1"/>
  <c r="U7422" i="1" s="1"/>
  <c r="AT7420" i="1"/>
  <c r="AX7420" i="1" s="1"/>
  <c r="U7420" i="1"/>
  <c r="AT7418" i="1"/>
  <c r="AX7418" i="1" s="1"/>
  <c r="AT7416" i="1"/>
  <c r="AX7416" i="1" s="1"/>
  <c r="AT7414" i="1"/>
  <c r="AX7414" i="1" s="1"/>
  <c r="AT7412" i="1"/>
  <c r="AX7412" i="1" s="1"/>
  <c r="AT7410" i="1"/>
  <c r="AX7410" i="1" s="1"/>
  <c r="AT7406" i="1"/>
  <c r="AX7406" i="1" s="1"/>
  <c r="M7406" i="1"/>
  <c r="U7406" i="1" s="1"/>
  <c r="AT7404" i="1"/>
  <c r="AX7404" i="1" s="1"/>
  <c r="M7404" i="1"/>
  <c r="U7404" i="1" s="1"/>
  <c r="AT7402" i="1"/>
  <c r="AX7402" i="1" s="1"/>
  <c r="M7402" i="1"/>
  <c r="U7402" i="1" s="1"/>
  <c r="AT7400" i="1"/>
  <c r="AX7400" i="1" s="1"/>
  <c r="M7400" i="1"/>
  <c r="U7400" i="1" s="1"/>
  <c r="AT7398" i="1"/>
  <c r="AX7398" i="1" s="1"/>
  <c r="M7398" i="1"/>
  <c r="U7398" i="1" s="1"/>
  <c r="AT7396" i="1"/>
  <c r="AX7396" i="1" s="1"/>
  <c r="M7396" i="1"/>
  <c r="U7396" i="1" s="1"/>
  <c r="AT7394" i="1"/>
  <c r="AX7394" i="1" s="1"/>
  <c r="M7394" i="1"/>
  <c r="U7394" i="1" s="1"/>
  <c r="AT7392" i="1"/>
  <c r="AX7392" i="1" s="1"/>
  <c r="M7392" i="1"/>
  <c r="U7392" i="1" s="1"/>
  <c r="AT7390" i="1"/>
  <c r="AX7390" i="1" s="1"/>
  <c r="M7390" i="1"/>
  <c r="U7390" i="1" s="1"/>
  <c r="AT7388" i="1"/>
  <c r="AX7388" i="1" s="1"/>
  <c r="M7388" i="1"/>
  <c r="U7388" i="1" s="1"/>
  <c r="AT7386" i="1"/>
  <c r="AX7386" i="1" s="1"/>
  <c r="M7386" i="1"/>
  <c r="U7386" i="1" s="1"/>
  <c r="AT7384" i="1"/>
  <c r="AX7384" i="1" s="1"/>
  <c r="M7384" i="1"/>
  <c r="U7384" i="1" s="1"/>
  <c r="AT7382" i="1"/>
  <c r="AX7382" i="1" s="1"/>
  <c r="M7382" i="1"/>
  <c r="U7382" i="1" s="1"/>
  <c r="AT7380" i="1"/>
  <c r="AX7380" i="1" s="1"/>
  <c r="M7380" i="1"/>
  <c r="U7380" i="1" s="1"/>
  <c r="AT7378" i="1"/>
  <c r="AX7378" i="1" s="1"/>
  <c r="M7378" i="1"/>
  <c r="U7378" i="1" s="1"/>
  <c r="AT7376" i="1"/>
  <c r="AX7376" i="1" s="1"/>
  <c r="M7376" i="1"/>
  <c r="U7376" i="1" s="1"/>
  <c r="AT7374" i="1"/>
  <c r="AX7374" i="1" s="1"/>
  <c r="M7374" i="1"/>
  <c r="U7374" i="1" s="1"/>
  <c r="AT7372" i="1"/>
  <c r="AX7372" i="1" s="1"/>
  <c r="M7372" i="1"/>
  <c r="U7372" i="1" s="1"/>
  <c r="AT7370" i="1"/>
  <c r="AX7370" i="1" s="1"/>
  <c r="M7370" i="1"/>
  <c r="U7370" i="1" s="1"/>
  <c r="AT7368" i="1"/>
  <c r="AX7368" i="1" s="1"/>
  <c r="M7368" i="1"/>
  <c r="U7368" i="1" s="1"/>
  <c r="AT7366" i="1"/>
  <c r="AX7366" i="1" s="1"/>
  <c r="M7366" i="1"/>
  <c r="U7366" i="1" s="1"/>
  <c r="AT7364" i="1"/>
  <c r="AX7364" i="1" s="1"/>
  <c r="M7364" i="1"/>
  <c r="U7364" i="1" s="1"/>
  <c r="AT7362" i="1"/>
  <c r="AX7362" i="1" s="1"/>
  <c r="M7362" i="1"/>
  <c r="U7362" i="1" s="1"/>
  <c r="AT7360" i="1"/>
  <c r="AX7360" i="1" s="1"/>
  <c r="M7360" i="1"/>
  <c r="U7360" i="1" s="1"/>
  <c r="AT7358" i="1"/>
  <c r="AX7358" i="1" s="1"/>
  <c r="M7358" i="1"/>
  <c r="U7358" i="1" s="1"/>
  <c r="AT7356" i="1"/>
  <c r="AX7356" i="1" s="1"/>
  <c r="M7356" i="1"/>
  <c r="U7356" i="1" s="1"/>
  <c r="AT7354" i="1"/>
  <c r="AX7354" i="1" s="1"/>
  <c r="M7354" i="1"/>
  <c r="U7354" i="1" s="1"/>
  <c r="AT7352" i="1"/>
  <c r="AX7352" i="1" s="1"/>
  <c r="M7352" i="1"/>
  <c r="U7352" i="1" s="1"/>
  <c r="AT7350" i="1"/>
  <c r="AX7350" i="1" s="1"/>
  <c r="M7350" i="1"/>
  <c r="U7350" i="1" s="1"/>
  <c r="AT7348" i="1"/>
  <c r="AX7348" i="1" s="1"/>
  <c r="M7348" i="1"/>
  <c r="U7348" i="1" s="1"/>
  <c r="AT7346" i="1"/>
  <c r="AX7346" i="1" s="1"/>
  <c r="M7346" i="1"/>
  <c r="U7346" i="1" s="1"/>
  <c r="AT7344" i="1"/>
  <c r="AX7344" i="1" s="1"/>
  <c r="M7344" i="1"/>
  <c r="U7344" i="1" s="1"/>
  <c r="AT7342" i="1"/>
  <c r="AX7342" i="1" s="1"/>
  <c r="M7342" i="1"/>
  <c r="U7342" i="1" s="1"/>
  <c r="AT7340" i="1"/>
  <c r="AX7340" i="1" s="1"/>
  <c r="M7340" i="1"/>
  <c r="U7340" i="1" s="1"/>
  <c r="AT7338" i="1"/>
  <c r="AX7338" i="1" s="1"/>
  <c r="M7338" i="1"/>
  <c r="U7338" i="1" s="1"/>
  <c r="AT7336" i="1"/>
  <c r="AX7336" i="1" s="1"/>
  <c r="M7336" i="1"/>
  <c r="U7336" i="1" s="1"/>
  <c r="AT7334" i="1"/>
  <c r="AX7334" i="1" s="1"/>
  <c r="M7334" i="1"/>
  <c r="U7334" i="1" s="1"/>
  <c r="AT7332" i="1"/>
  <c r="AX7332" i="1" s="1"/>
  <c r="M7332" i="1"/>
  <c r="U7332" i="1" s="1"/>
  <c r="AT7330" i="1"/>
  <c r="AX7330" i="1" s="1"/>
  <c r="M7330" i="1"/>
  <c r="U7330" i="1" s="1"/>
  <c r="AT7328" i="1"/>
  <c r="AX7328" i="1" s="1"/>
  <c r="M7328" i="1"/>
  <c r="U7328" i="1" s="1"/>
  <c r="AT7326" i="1"/>
  <c r="AX7326" i="1" s="1"/>
  <c r="M7326" i="1"/>
  <c r="U7326" i="1" s="1"/>
  <c r="AT7324" i="1"/>
  <c r="AX7324" i="1" s="1"/>
  <c r="M7324" i="1"/>
  <c r="U7324" i="1" s="1"/>
  <c r="AT7322" i="1"/>
  <c r="AX7322" i="1" s="1"/>
  <c r="M7322" i="1"/>
  <c r="U7322" i="1" s="1"/>
  <c r="AT7320" i="1"/>
  <c r="AX7320" i="1" s="1"/>
  <c r="M7320" i="1"/>
  <c r="U7320" i="1" s="1"/>
  <c r="AT7318" i="1"/>
  <c r="AX7318" i="1" s="1"/>
  <c r="M7318" i="1"/>
  <c r="U7318" i="1" s="1"/>
  <c r="AT7316" i="1"/>
  <c r="AX7316" i="1" s="1"/>
  <c r="M7316" i="1"/>
  <c r="U7316" i="1" s="1"/>
  <c r="AT7314" i="1"/>
  <c r="AX7314" i="1" s="1"/>
  <c r="M7314" i="1"/>
  <c r="U7314" i="1" s="1"/>
  <c r="AT7312" i="1"/>
  <c r="AX7312" i="1" s="1"/>
  <c r="M7312" i="1"/>
  <c r="U7312" i="1" s="1"/>
  <c r="AT7310" i="1"/>
  <c r="AX7310" i="1" s="1"/>
  <c r="M7310" i="1"/>
  <c r="U7310" i="1" s="1"/>
  <c r="AT7308" i="1"/>
  <c r="AX7308" i="1" s="1"/>
  <c r="M7308" i="1"/>
  <c r="U7308" i="1" s="1"/>
  <c r="AT7306" i="1"/>
  <c r="AX7306" i="1" s="1"/>
  <c r="M7306" i="1"/>
  <c r="U7306" i="1" s="1"/>
  <c r="AT7304" i="1"/>
  <c r="AX7304" i="1" s="1"/>
  <c r="M7304" i="1"/>
  <c r="U7304" i="1" s="1"/>
  <c r="AT7302" i="1"/>
  <c r="AX7302" i="1" s="1"/>
  <c r="M7302" i="1"/>
  <c r="U7302" i="1" s="1"/>
  <c r="AT7300" i="1"/>
  <c r="AX7300" i="1" s="1"/>
  <c r="M7300" i="1"/>
  <c r="U7300" i="1" s="1"/>
  <c r="AT7298" i="1"/>
  <c r="AX7298" i="1" s="1"/>
  <c r="M7298" i="1"/>
  <c r="U7298" i="1" s="1"/>
  <c r="AT7296" i="1"/>
  <c r="AX7296" i="1" s="1"/>
  <c r="M7296" i="1"/>
  <c r="U7296" i="1" s="1"/>
  <c r="AT7294" i="1"/>
  <c r="AX7294" i="1" s="1"/>
  <c r="M7294" i="1"/>
  <c r="U7294" i="1" s="1"/>
  <c r="AT7292" i="1"/>
  <c r="AX7292" i="1" s="1"/>
  <c r="M7292" i="1"/>
  <c r="U7292" i="1" s="1"/>
  <c r="AT7290" i="1"/>
  <c r="AX7290" i="1" s="1"/>
  <c r="M7290" i="1"/>
  <c r="U7290" i="1" s="1"/>
  <c r="AT7288" i="1"/>
  <c r="AX7288" i="1" s="1"/>
  <c r="M7288" i="1"/>
  <c r="U7288" i="1" s="1"/>
  <c r="AT7286" i="1"/>
  <c r="AX7286" i="1" s="1"/>
  <c r="M7286" i="1"/>
  <c r="U7286" i="1" s="1"/>
  <c r="AT7284" i="1"/>
  <c r="AX7284" i="1" s="1"/>
  <c r="M7284" i="1"/>
  <c r="U7284" i="1" s="1"/>
  <c r="AT7282" i="1"/>
  <c r="AX7282" i="1" s="1"/>
  <c r="M7282" i="1"/>
  <c r="U7282" i="1" s="1"/>
  <c r="AT7280" i="1"/>
  <c r="AX7280" i="1" s="1"/>
  <c r="M7280" i="1"/>
  <c r="U7280" i="1" s="1"/>
  <c r="AT7278" i="1"/>
  <c r="AX7278" i="1" s="1"/>
  <c r="M7278" i="1"/>
  <c r="U7278" i="1" s="1"/>
  <c r="AT7276" i="1"/>
  <c r="AX7276" i="1" s="1"/>
  <c r="M7276" i="1"/>
  <c r="U7276" i="1" s="1"/>
  <c r="AT7274" i="1"/>
  <c r="AX7274" i="1" s="1"/>
  <c r="M7274" i="1"/>
  <c r="U7274" i="1" s="1"/>
  <c r="AT7272" i="1"/>
  <c r="AX7272" i="1" s="1"/>
  <c r="M7272" i="1"/>
  <c r="U7272" i="1" s="1"/>
  <c r="AT7270" i="1"/>
  <c r="AX7270" i="1" s="1"/>
  <c r="M7270" i="1"/>
  <c r="U7270" i="1" s="1"/>
  <c r="AT7268" i="1"/>
  <c r="AX7268" i="1" s="1"/>
  <c r="M7268" i="1"/>
  <c r="U7268" i="1" s="1"/>
  <c r="AT7266" i="1"/>
  <c r="AX7266" i="1" s="1"/>
  <c r="M7266" i="1"/>
  <c r="U7266" i="1" s="1"/>
  <c r="AT7264" i="1"/>
  <c r="AX7264" i="1" s="1"/>
  <c r="M7264" i="1"/>
  <c r="U7264" i="1" s="1"/>
  <c r="AT7262" i="1"/>
  <c r="AX7262" i="1" s="1"/>
  <c r="M7262" i="1"/>
  <c r="U7262" i="1" s="1"/>
  <c r="AT7260" i="1"/>
  <c r="AX7260" i="1" s="1"/>
  <c r="M7260" i="1"/>
  <c r="U7260" i="1" s="1"/>
  <c r="AT7258" i="1"/>
  <c r="AX7258" i="1" s="1"/>
  <c r="M7258" i="1"/>
  <c r="U7258" i="1" s="1"/>
  <c r="AT7256" i="1"/>
  <c r="AX7256" i="1" s="1"/>
  <c r="M7256" i="1"/>
  <c r="U7256" i="1" s="1"/>
  <c r="AT7254" i="1"/>
  <c r="AX7254" i="1" s="1"/>
  <c r="M7254" i="1"/>
  <c r="U7254" i="1" s="1"/>
  <c r="AT7252" i="1"/>
  <c r="AX7252" i="1" s="1"/>
  <c r="M7252" i="1"/>
  <c r="U7252" i="1" s="1"/>
  <c r="AT7250" i="1"/>
  <c r="AX7250" i="1" s="1"/>
  <c r="M7250" i="1"/>
  <c r="U7250" i="1" s="1"/>
  <c r="AT7248" i="1"/>
  <c r="AX7248" i="1" s="1"/>
  <c r="M7248" i="1"/>
  <c r="U7248" i="1" s="1"/>
  <c r="AT7246" i="1"/>
  <c r="AX7246" i="1" s="1"/>
  <c r="M7246" i="1"/>
  <c r="U7246" i="1" s="1"/>
  <c r="AT7244" i="1"/>
  <c r="AX7244" i="1" s="1"/>
  <c r="M7244" i="1"/>
  <c r="U7244" i="1" s="1"/>
  <c r="AT7242" i="1"/>
  <c r="AX7242" i="1" s="1"/>
  <c r="M7242" i="1"/>
  <c r="U7242" i="1" s="1"/>
  <c r="AT7240" i="1"/>
  <c r="AX7240" i="1" s="1"/>
  <c r="M7240" i="1"/>
  <c r="U7240" i="1" s="1"/>
  <c r="AT7238" i="1"/>
  <c r="AX7238" i="1" s="1"/>
  <c r="M7238" i="1"/>
  <c r="U7238" i="1" s="1"/>
  <c r="AT7236" i="1"/>
  <c r="AX7236" i="1" s="1"/>
  <c r="M7236" i="1"/>
  <c r="U7236" i="1" s="1"/>
  <c r="AT7234" i="1"/>
  <c r="AX7234" i="1" s="1"/>
  <c r="M7234" i="1"/>
  <c r="U7234" i="1" s="1"/>
  <c r="AT7232" i="1"/>
  <c r="AX7232" i="1" s="1"/>
  <c r="M7232" i="1"/>
  <c r="U7232" i="1" s="1"/>
  <c r="AT7230" i="1"/>
  <c r="AX7230" i="1" s="1"/>
  <c r="M7230" i="1"/>
  <c r="U7230" i="1" s="1"/>
  <c r="AT7228" i="1"/>
  <c r="AX7228" i="1" s="1"/>
  <c r="M7228" i="1"/>
  <c r="U7228" i="1" s="1"/>
  <c r="AT7226" i="1"/>
  <c r="AX7226" i="1" s="1"/>
  <c r="M7226" i="1"/>
  <c r="U7226" i="1" s="1"/>
  <c r="AT7224" i="1"/>
  <c r="AX7224" i="1" s="1"/>
  <c r="M7224" i="1"/>
  <c r="U7224" i="1" s="1"/>
  <c r="AT7222" i="1"/>
  <c r="AX7222" i="1" s="1"/>
  <c r="M7222" i="1"/>
  <c r="U7222" i="1" s="1"/>
  <c r="AT7220" i="1"/>
  <c r="AX7220" i="1" s="1"/>
  <c r="M7220" i="1"/>
  <c r="U7220" i="1" s="1"/>
  <c r="AT7218" i="1"/>
  <c r="AX7218" i="1" s="1"/>
  <c r="M7218" i="1"/>
  <c r="U7218" i="1" s="1"/>
  <c r="AT7216" i="1"/>
  <c r="AX7216" i="1" s="1"/>
  <c r="M7216" i="1"/>
  <c r="U7216" i="1" s="1"/>
  <c r="AT7214" i="1"/>
  <c r="AX7214" i="1" s="1"/>
  <c r="M7214" i="1"/>
  <c r="U7214" i="1" s="1"/>
  <c r="AT7212" i="1"/>
  <c r="AX7212" i="1" s="1"/>
  <c r="M7212" i="1"/>
  <c r="U7212" i="1" s="1"/>
  <c r="AT7210" i="1"/>
  <c r="AX7210" i="1" s="1"/>
  <c r="M7210" i="1"/>
  <c r="U7210" i="1" s="1"/>
  <c r="AT7208" i="1"/>
  <c r="AX7208" i="1" s="1"/>
  <c r="M7208" i="1"/>
  <c r="U7208" i="1" s="1"/>
  <c r="AT7206" i="1"/>
  <c r="AX7206" i="1" s="1"/>
  <c r="M7206" i="1"/>
  <c r="U7206" i="1" s="1"/>
  <c r="AT7204" i="1"/>
  <c r="AX7204" i="1" s="1"/>
  <c r="M7204" i="1"/>
  <c r="U7204" i="1" s="1"/>
  <c r="AT7202" i="1"/>
  <c r="AX7202" i="1" s="1"/>
  <c r="M7202" i="1"/>
  <c r="U7202" i="1" s="1"/>
  <c r="AT7200" i="1"/>
  <c r="AX7200" i="1" s="1"/>
  <c r="M7200" i="1"/>
  <c r="U7200" i="1" s="1"/>
  <c r="AT7194" i="1"/>
  <c r="AX7194" i="1" s="1"/>
  <c r="M7194" i="1"/>
  <c r="U7194" i="1" s="1"/>
  <c r="AT7192" i="1"/>
  <c r="AX7192" i="1" s="1"/>
  <c r="M7192" i="1"/>
  <c r="U7192" i="1" s="1"/>
  <c r="AT7190" i="1"/>
  <c r="AX7190" i="1" s="1"/>
  <c r="M7190" i="1"/>
  <c r="U7190" i="1" s="1"/>
  <c r="AT7188" i="1"/>
  <c r="AX7188" i="1" s="1"/>
  <c r="M7188" i="1"/>
  <c r="U7188" i="1" s="1"/>
  <c r="AT7186" i="1"/>
  <c r="AX7186" i="1" s="1"/>
  <c r="M7186" i="1"/>
  <c r="U7186" i="1" s="1"/>
  <c r="AT7184" i="1"/>
  <c r="AX7184" i="1" s="1"/>
  <c r="M7184" i="1"/>
  <c r="U7184" i="1" s="1"/>
  <c r="AT7182" i="1"/>
  <c r="AX7182" i="1" s="1"/>
  <c r="M7182" i="1"/>
  <c r="U7182" i="1" s="1"/>
  <c r="AT7180" i="1"/>
  <c r="AX7180" i="1" s="1"/>
  <c r="M7180" i="1"/>
  <c r="U7180" i="1" s="1"/>
  <c r="AT7178" i="1"/>
  <c r="AX7178" i="1" s="1"/>
  <c r="M7178" i="1"/>
  <c r="U7178" i="1" s="1"/>
  <c r="AT7176" i="1"/>
  <c r="AX7176" i="1" s="1"/>
  <c r="M7176" i="1"/>
  <c r="U7176" i="1" s="1"/>
  <c r="AT7174" i="1"/>
  <c r="AX7174" i="1" s="1"/>
  <c r="M7174" i="1"/>
  <c r="U7174" i="1" s="1"/>
  <c r="AT7172" i="1"/>
  <c r="AX7172" i="1" s="1"/>
  <c r="M7172" i="1"/>
  <c r="U7172" i="1" s="1"/>
  <c r="AT7170" i="1"/>
  <c r="AX7170" i="1" s="1"/>
  <c r="M7170" i="1"/>
  <c r="U7170" i="1" s="1"/>
  <c r="AT7168" i="1"/>
  <c r="AX7168" i="1" s="1"/>
  <c r="M7168" i="1"/>
  <c r="U7168" i="1" s="1"/>
  <c r="AT7166" i="1"/>
  <c r="AX7166" i="1" s="1"/>
  <c r="M7166" i="1"/>
  <c r="U7166" i="1" s="1"/>
  <c r="AT7164" i="1"/>
  <c r="AX7164" i="1" s="1"/>
  <c r="M7164" i="1"/>
  <c r="U7164" i="1" s="1"/>
  <c r="AT7162" i="1"/>
  <c r="AX7162" i="1" s="1"/>
  <c r="M7162" i="1"/>
  <c r="U7162" i="1" s="1"/>
  <c r="AT7160" i="1"/>
  <c r="AX7160" i="1" s="1"/>
  <c r="M7160" i="1"/>
  <c r="U7160" i="1" s="1"/>
  <c r="K7046" i="1"/>
  <c r="M7046" i="1" s="1"/>
  <c r="U7046" i="1" s="1"/>
  <c r="K7044" i="1"/>
  <c r="M7044" i="1" s="1"/>
  <c r="U7044" i="1" s="1"/>
  <c r="K7040" i="1"/>
  <c r="M7040" i="1" s="1"/>
  <c r="U7040" i="1" s="1"/>
  <c r="O6978" i="1"/>
  <c r="K6918" i="1"/>
  <c r="M6918" i="1" s="1"/>
  <c r="U6918" i="1" s="1"/>
  <c r="K6916" i="1"/>
  <c r="M6916" i="1" s="1"/>
  <c r="U6916" i="1" s="1"/>
  <c r="K6914" i="1"/>
  <c r="M6914" i="1" s="1"/>
  <c r="U6914" i="1" s="1"/>
  <c r="K6912" i="1"/>
  <c r="M6912" i="1" s="1"/>
  <c r="U6912" i="1" s="1"/>
  <c r="K6910" i="1"/>
  <c r="M6910" i="1" s="1"/>
  <c r="U6910" i="1" s="1"/>
  <c r="AT5382" i="1"/>
  <c r="AT6566" i="1"/>
  <c r="AX6566" i="1" s="1"/>
  <c r="AT7158" i="1"/>
  <c r="AX7158" i="1" s="1"/>
  <c r="M7158" i="1"/>
  <c r="U7158" i="1" s="1"/>
  <c r="AT7156" i="1"/>
  <c r="AX7156" i="1" s="1"/>
  <c r="M7156" i="1"/>
  <c r="U7156" i="1" s="1"/>
  <c r="AT7154" i="1"/>
  <c r="AX7154" i="1" s="1"/>
  <c r="M7154" i="1"/>
  <c r="U7154" i="1" s="1"/>
  <c r="AT7152" i="1"/>
  <c r="AX7152" i="1" s="1"/>
  <c r="M7152" i="1"/>
  <c r="U7152" i="1" s="1"/>
  <c r="AT7150" i="1"/>
  <c r="AX7150" i="1" s="1"/>
  <c r="M7150" i="1"/>
  <c r="U7150" i="1" s="1"/>
  <c r="AT7148" i="1"/>
  <c r="AX7148" i="1" s="1"/>
  <c r="AT7146" i="1"/>
  <c r="AX7146" i="1" s="1"/>
  <c r="AT7144" i="1"/>
  <c r="AX7144" i="1" s="1"/>
  <c r="M7144" i="1"/>
  <c r="U7144" i="1" s="1"/>
  <c r="AT7142" i="1"/>
  <c r="AX7142" i="1" s="1"/>
  <c r="M7142" i="1"/>
  <c r="U7142" i="1" s="1"/>
  <c r="AT7140" i="1"/>
  <c r="AX7140" i="1" s="1"/>
  <c r="M7140" i="1"/>
  <c r="U7140" i="1" s="1"/>
  <c r="AT7138" i="1"/>
  <c r="AX7138" i="1" s="1"/>
  <c r="M7138" i="1"/>
  <c r="U7138" i="1" s="1"/>
  <c r="AT7136" i="1"/>
  <c r="AX7136" i="1" s="1"/>
  <c r="M7136" i="1"/>
  <c r="U7136" i="1" s="1"/>
  <c r="AT7134" i="1"/>
  <c r="AX7134" i="1" s="1"/>
  <c r="M7134" i="1"/>
  <c r="U7134" i="1" s="1"/>
  <c r="AT7132" i="1"/>
  <c r="AX7132" i="1" s="1"/>
  <c r="M7132" i="1"/>
  <c r="U7132" i="1" s="1"/>
  <c r="AT7130" i="1"/>
  <c r="AX7130" i="1" s="1"/>
  <c r="U7130" i="1"/>
  <c r="AT7128" i="1"/>
  <c r="AX7128" i="1" s="1"/>
  <c r="U7128" i="1"/>
  <c r="AT7126" i="1"/>
  <c r="AX7126" i="1" s="1"/>
  <c r="M7126" i="1"/>
  <c r="U7126" i="1" s="1"/>
  <c r="AT7124" i="1"/>
  <c r="AX7124" i="1" s="1"/>
  <c r="M7124" i="1"/>
  <c r="U7124" i="1" s="1"/>
  <c r="AT7122" i="1"/>
  <c r="AX7122" i="1" s="1"/>
  <c r="M7122" i="1"/>
  <c r="U7122" i="1" s="1"/>
  <c r="AT7120" i="1"/>
  <c r="AX7120" i="1" s="1"/>
  <c r="M7120" i="1"/>
  <c r="U7120" i="1" s="1"/>
  <c r="AT7118" i="1"/>
  <c r="AX7118" i="1" s="1"/>
  <c r="M7118" i="1"/>
  <c r="U7118" i="1" s="1"/>
  <c r="AT7116" i="1"/>
  <c r="AX7116" i="1" s="1"/>
  <c r="M7116" i="1"/>
  <c r="U7116" i="1" s="1"/>
  <c r="AT7114" i="1"/>
  <c r="AX7114" i="1" s="1"/>
  <c r="M7114" i="1"/>
  <c r="U7114" i="1" s="1"/>
  <c r="AT7112" i="1"/>
  <c r="AX7112" i="1" s="1"/>
  <c r="M7112" i="1"/>
  <c r="U7112" i="1" s="1"/>
  <c r="AT7110" i="1"/>
  <c r="AX7110" i="1" s="1"/>
  <c r="M7110" i="1"/>
  <c r="U7110" i="1" s="1"/>
  <c r="AT7108" i="1"/>
  <c r="AX7108" i="1" s="1"/>
  <c r="M7108" i="1"/>
  <c r="U7108" i="1" s="1"/>
  <c r="AT7106" i="1"/>
  <c r="AX7106" i="1" s="1"/>
  <c r="M7106" i="1"/>
  <c r="U7106" i="1" s="1"/>
  <c r="AT7104" i="1"/>
  <c r="AX7104" i="1" s="1"/>
  <c r="M7104" i="1"/>
  <c r="U7104" i="1" s="1"/>
  <c r="AT7102" i="1"/>
  <c r="AX7102" i="1" s="1"/>
  <c r="M7102" i="1"/>
  <c r="U7102" i="1" s="1"/>
  <c r="AT7100" i="1"/>
  <c r="AX7100" i="1" s="1"/>
  <c r="M7100" i="1"/>
  <c r="U7100" i="1" s="1"/>
  <c r="AT7098" i="1"/>
  <c r="AX7098" i="1" s="1"/>
  <c r="M7098" i="1"/>
  <c r="U7098" i="1" s="1"/>
  <c r="AT7096" i="1"/>
  <c r="AX7096" i="1" s="1"/>
  <c r="M7096" i="1"/>
  <c r="U7096" i="1" s="1"/>
  <c r="AT7094" i="1"/>
  <c r="AX7094" i="1" s="1"/>
  <c r="M7094" i="1"/>
  <c r="U7094" i="1" s="1"/>
  <c r="AT7092" i="1"/>
  <c r="AX7092" i="1" s="1"/>
  <c r="M7092" i="1"/>
  <c r="U7092" i="1" s="1"/>
  <c r="AT7090" i="1"/>
  <c r="AX7090" i="1" s="1"/>
  <c r="M7090" i="1"/>
  <c r="U7090" i="1" s="1"/>
  <c r="AT7088" i="1"/>
  <c r="AX7088" i="1" s="1"/>
  <c r="M7088" i="1"/>
  <c r="U7088" i="1" s="1"/>
  <c r="AT7086" i="1"/>
  <c r="AX7086" i="1" s="1"/>
  <c r="M7086" i="1"/>
  <c r="U7086" i="1" s="1"/>
  <c r="AT7084" i="1"/>
  <c r="AX7084" i="1" s="1"/>
  <c r="M7084" i="1"/>
  <c r="U7084" i="1" s="1"/>
  <c r="AT7082" i="1"/>
  <c r="AX7082" i="1" s="1"/>
  <c r="M7082" i="1"/>
  <c r="U7082" i="1" s="1"/>
  <c r="AT7080" i="1"/>
  <c r="AX7080" i="1" s="1"/>
  <c r="M7080" i="1"/>
  <c r="U7080" i="1" s="1"/>
  <c r="AT7078" i="1"/>
  <c r="AX7078" i="1" s="1"/>
  <c r="M7078" i="1"/>
  <c r="U7078" i="1" s="1"/>
  <c r="AT7076" i="1"/>
  <c r="AX7076" i="1" s="1"/>
  <c r="M7076" i="1"/>
  <c r="U7076" i="1" s="1"/>
  <c r="AT7074" i="1"/>
  <c r="AX7074" i="1" s="1"/>
  <c r="M7074" i="1"/>
  <c r="U7074" i="1" s="1"/>
  <c r="AT7072" i="1"/>
  <c r="AX7072" i="1" s="1"/>
  <c r="M7072" i="1"/>
  <c r="U7072" i="1" s="1"/>
  <c r="AT7070" i="1"/>
  <c r="AX7070" i="1" s="1"/>
  <c r="M7070" i="1"/>
  <c r="U7070" i="1" s="1"/>
  <c r="AT7068" i="1"/>
  <c r="AX7068" i="1" s="1"/>
  <c r="M7068" i="1"/>
  <c r="U7068" i="1" s="1"/>
  <c r="AT7066" i="1"/>
  <c r="AX7066" i="1" s="1"/>
  <c r="M7066" i="1"/>
  <c r="U7066" i="1" s="1"/>
  <c r="AT7064" i="1"/>
  <c r="AX7064" i="1" s="1"/>
  <c r="M7064" i="1"/>
  <c r="U7064" i="1" s="1"/>
  <c r="AT7062" i="1"/>
  <c r="AX7062" i="1" s="1"/>
  <c r="M7062" i="1"/>
  <c r="U7062" i="1" s="1"/>
  <c r="AT7060" i="1"/>
  <c r="AX7060" i="1" s="1"/>
  <c r="M7060" i="1"/>
  <c r="U7060" i="1" s="1"/>
  <c r="AT7058" i="1"/>
  <c r="AX7058" i="1" s="1"/>
  <c r="M7058" i="1"/>
  <c r="U7058" i="1" s="1"/>
  <c r="AT7056" i="1"/>
  <c r="AX7056" i="1" s="1"/>
  <c r="M7056" i="1"/>
  <c r="U7056" i="1" s="1"/>
  <c r="AT7054" i="1"/>
  <c r="AX7054" i="1" s="1"/>
  <c r="M7054" i="1"/>
  <c r="U7054" i="1" s="1"/>
  <c r="AT7052" i="1"/>
  <c r="AX7052" i="1" s="1"/>
  <c r="M7052" i="1"/>
  <c r="U7052" i="1" s="1"/>
  <c r="AT7050" i="1"/>
  <c r="AX7050" i="1" s="1"/>
  <c r="M7050" i="1"/>
  <c r="U7050" i="1" s="1"/>
  <c r="AT7048" i="1"/>
  <c r="AX7048" i="1" s="1"/>
  <c r="M7048" i="1"/>
  <c r="U7048" i="1" s="1"/>
  <c r="AT7046" i="1"/>
  <c r="AX7046" i="1" s="1"/>
  <c r="AT7044" i="1"/>
  <c r="AX7044" i="1" s="1"/>
  <c r="AT7042" i="1"/>
  <c r="AX7042" i="1" s="1"/>
  <c r="U7042" i="1"/>
  <c r="AT7040" i="1"/>
  <c r="AX7040" i="1" s="1"/>
  <c r="AT7038" i="1"/>
  <c r="AX7038" i="1" s="1"/>
  <c r="M7038" i="1"/>
  <c r="U7038" i="1" s="1"/>
  <c r="AT7036" i="1"/>
  <c r="AX7036" i="1" s="1"/>
  <c r="M7036" i="1"/>
  <c r="U7036" i="1" s="1"/>
  <c r="AT7034" i="1"/>
  <c r="AX7034" i="1" s="1"/>
  <c r="M7034" i="1"/>
  <c r="U7034" i="1" s="1"/>
  <c r="AT7032" i="1"/>
  <c r="AX7032" i="1" s="1"/>
  <c r="M7032" i="1"/>
  <c r="U7032" i="1" s="1"/>
  <c r="AT7030" i="1"/>
  <c r="AX7030" i="1" s="1"/>
  <c r="M7030" i="1"/>
  <c r="U7030" i="1" s="1"/>
  <c r="AT7028" i="1"/>
  <c r="AX7028" i="1" s="1"/>
  <c r="M7028" i="1"/>
  <c r="U7028" i="1" s="1"/>
  <c r="AT7026" i="1"/>
  <c r="AX7026" i="1" s="1"/>
  <c r="M7026" i="1"/>
  <c r="U7026" i="1" s="1"/>
  <c r="AT7024" i="1"/>
  <c r="AX7024" i="1" s="1"/>
  <c r="M7024" i="1"/>
  <c r="U7024" i="1" s="1"/>
  <c r="AT7022" i="1"/>
  <c r="AX7022" i="1" s="1"/>
  <c r="M7022" i="1"/>
  <c r="U7022" i="1" s="1"/>
  <c r="AT7020" i="1"/>
  <c r="AX7020" i="1" s="1"/>
  <c r="M7020" i="1"/>
  <c r="U7020" i="1" s="1"/>
  <c r="AT7018" i="1"/>
  <c r="AX7018" i="1" s="1"/>
  <c r="M7018" i="1"/>
  <c r="U7018" i="1" s="1"/>
  <c r="AT7016" i="1"/>
  <c r="AX7016" i="1" s="1"/>
  <c r="M7016" i="1"/>
  <c r="U7016" i="1" s="1"/>
  <c r="AT7014" i="1"/>
  <c r="AX7014" i="1" s="1"/>
  <c r="M7014" i="1"/>
  <c r="U7014" i="1" s="1"/>
  <c r="AT7012" i="1"/>
  <c r="AX7012" i="1" s="1"/>
  <c r="M7012" i="1"/>
  <c r="U7012" i="1" s="1"/>
  <c r="AT7010" i="1"/>
  <c r="AX7010" i="1" s="1"/>
  <c r="M7010" i="1"/>
  <c r="U7010" i="1" s="1"/>
  <c r="AT7008" i="1"/>
  <c r="AX7008" i="1" s="1"/>
  <c r="M7008" i="1"/>
  <c r="U7008" i="1" s="1"/>
  <c r="AT7006" i="1"/>
  <c r="AX7006" i="1" s="1"/>
  <c r="M7006" i="1"/>
  <c r="U7006" i="1" s="1"/>
  <c r="AT7004" i="1"/>
  <c r="AX7004" i="1" s="1"/>
  <c r="M7004" i="1"/>
  <c r="U7004" i="1" s="1"/>
  <c r="AT7002" i="1"/>
  <c r="AX7002" i="1" s="1"/>
  <c r="M7002" i="1"/>
  <c r="U7002" i="1" s="1"/>
  <c r="AT7000" i="1"/>
  <c r="AX7000" i="1" s="1"/>
  <c r="M7000" i="1"/>
  <c r="U7000" i="1" s="1"/>
  <c r="AT6998" i="1"/>
  <c r="AX6998" i="1" s="1"/>
  <c r="M6998" i="1"/>
  <c r="U6998" i="1" s="1"/>
  <c r="AT6996" i="1"/>
  <c r="AX6996" i="1" s="1"/>
  <c r="M6996" i="1"/>
  <c r="U6996" i="1" s="1"/>
  <c r="AT6994" i="1"/>
  <c r="AX6994" i="1" s="1"/>
  <c r="M6994" i="1"/>
  <c r="U6994" i="1" s="1"/>
  <c r="AT6992" i="1"/>
  <c r="AX6992" i="1" s="1"/>
  <c r="M6992" i="1"/>
  <c r="U6992" i="1" s="1"/>
  <c r="AT6990" i="1"/>
  <c r="AX6990" i="1" s="1"/>
  <c r="M6990" i="1"/>
  <c r="U6990" i="1" s="1"/>
  <c r="AT6988" i="1"/>
  <c r="AX6988" i="1" s="1"/>
  <c r="M6988" i="1"/>
  <c r="U6988" i="1" s="1"/>
  <c r="AT6986" i="1"/>
  <c r="AX6986" i="1" s="1"/>
  <c r="M6986" i="1"/>
  <c r="U6986" i="1" s="1"/>
  <c r="AT6984" i="1"/>
  <c r="AX6984" i="1" s="1"/>
  <c r="M6984" i="1"/>
  <c r="U6984" i="1" s="1"/>
  <c r="AT6982" i="1"/>
  <c r="AX6982" i="1" s="1"/>
  <c r="M6982" i="1"/>
  <c r="U6982" i="1" s="1"/>
  <c r="AT6980" i="1"/>
  <c r="AX6980" i="1" s="1"/>
  <c r="M6980" i="1"/>
  <c r="U6980" i="1" s="1"/>
  <c r="AT6978" i="1"/>
  <c r="AX6978" i="1" s="1"/>
  <c r="M6978" i="1"/>
  <c r="AT6976" i="1"/>
  <c r="AX6976" i="1" s="1"/>
  <c r="M6976" i="1"/>
  <c r="U6976" i="1" s="1"/>
  <c r="AT6974" i="1"/>
  <c r="AX6974" i="1" s="1"/>
  <c r="M6974" i="1"/>
  <c r="U6974" i="1" s="1"/>
  <c r="AT6972" i="1"/>
  <c r="AX6972" i="1" s="1"/>
  <c r="M6972" i="1"/>
  <c r="U6972" i="1" s="1"/>
  <c r="AT6970" i="1"/>
  <c r="AX6970" i="1" s="1"/>
  <c r="M6970" i="1"/>
  <c r="U6970" i="1" s="1"/>
  <c r="AT6968" i="1"/>
  <c r="AX6968" i="1" s="1"/>
  <c r="M6968" i="1"/>
  <c r="U6968" i="1" s="1"/>
  <c r="AT6966" i="1"/>
  <c r="AX6966" i="1" s="1"/>
  <c r="M6966" i="1"/>
  <c r="U6966" i="1" s="1"/>
  <c r="AT6964" i="1"/>
  <c r="AX6964" i="1" s="1"/>
  <c r="U6964" i="1"/>
  <c r="AT6962" i="1"/>
  <c r="AX6962" i="1" s="1"/>
  <c r="M6962" i="1"/>
  <c r="U6962" i="1" s="1"/>
  <c r="AT6960" i="1"/>
  <c r="AX6960" i="1" s="1"/>
  <c r="M6960" i="1"/>
  <c r="U6960" i="1" s="1"/>
  <c r="AT6958" i="1"/>
  <c r="AX6958" i="1" s="1"/>
  <c r="M6958" i="1"/>
  <c r="U6958" i="1" s="1"/>
  <c r="AT6956" i="1"/>
  <c r="AX6956" i="1" s="1"/>
  <c r="M6956" i="1"/>
  <c r="U6956" i="1" s="1"/>
  <c r="AT6954" i="1"/>
  <c r="AX6954" i="1" s="1"/>
  <c r="M6954" i="1"/>
  <c r="U6954" i="1" s="1"/>
  <c r="AT6952" i="1"/>
  <c r="AX6952" i="1" s="1"/>
  <c r="M6952" i="1"/>
  <c r="U6952" i="1" s="1"/>
  <c r="AT6950" i="1"/>
  <c r="AX6950" i="1" s="1"/>
  <c r="M6950" i="1"/>
  <c r="U6950" i="1" s="1"/>
  <c r="AT6948" i="1"/>
  <c r="AX6948" i="1" s="1"/>
  <c r="M6948" i="1"/>
  <c r="U6948" i="1" s="1"/>
  <c r="AT6946" i="1"/>
  <c r="AX6946" i="1" s="1"/>
  <c r="M6946" i="1"/>
  <c r="U6946" i="1" s="1"/>
  <c r="AT6944" i="1"/>
  <c r="AX6944" i="1" s="1"/>
  <c r="M6944" i="1"/>
  <c r="U6944" i="1" s="1"/>
  <c r="AT6942" i="1"/>
  <c r="AX6942" i="1" s="1"/>
  <c r="M6942" i="1"/>
  <c r="U6942" i="1" s="1"/>
  <c r="AT6940" i="1"/>
  <c r="AX6940" i="1" s="1"/>
  <c r="M6940" i="1"/>
  <c r="U6940" i="1" s="1"/>
  <c r="AT6938" i="1"/>
  <c r="AX6938" i="1" s="1"/>
  <c r="M6938" i="1"/>
  <c r="U6938" i="1" s="1"/>
  <c r="AT6936" i="1"/>
  <c r="AX6936" i="1" s="1"/>
  <c r="M6936" i="1"/>
  <c r="U6936" i="1" s="1"/>
  <c r="AT6934" i="1"/>
  <c r="AX6934" i="1" s="1"/>
  <c r="M6934" i="1"/>
  <c r="U6934" i="1" s="1"/>
  <c r="AT6932" i="1"/>
  <c r="AX6932" i="1" s="1"/>
  <c r="M6932" i="1"/>
  <c r="U6932" i="1" s="1"/>
  <c r="AT6930" i="1"/>
  <c r="AX6930" i="1" s="1"/>
  <c r="M6930" i="1"/>
  <c r="U6930" i="1" s="1"/>
  <c r="AT6928" i="1"/>
  <c r="AX6928" i="1" s="1"/>
  <c r="M6928" i="1"/>
  <c r="U6928" i="1" s="1"/>
  <c r="AT6926" i="1"/>
  <c r="AX6926" i="1" s="1"/>
  <c r="M6926" i="1"/>
  <c r="U6926" i="1" s="1"/>
  <c r="AT6924" i="1"/>
  <c r="AX6924" i="1" s="1"/>
  <c r="M6924" i="1"/>
  <c r="U6924" i="1" s="1"/>
  <c r="AT6922" i="1"/>
  <c r="AX6922" i="1" s="1"/>
  <c r="M6922" i="1"/>
  <c r="U6922" i="1" s="1"/>
  <c r="AT6920" i="1"/>
  <c r="AX6920" i="1" s="1"/>
  <c r="U6920" i="1"/>
  <c r="AT6918" i="1"/>
  <c r="AX6918" i="1" s="1"/>
  <c r="AT6916" i="1"/>
  <c r="AX6916" i="1" s="1"/>
  <c r="AX6914" i="1"/>
  <c r="AT6912" i="1"/>
  <c r="AX6912" i="1" s="1"/>
  <c r="AT6910" i="1"/>
  <c r="AX6910" i="1" s="1"/>
  <c r="AT6908" i="1"/>
  <c r="AX6908" i="1" s="1"/>
  <c r="M6908" i="1"/>
  <c r="U6908" i="1" s="1"/>
  <c r="AT6906" i="1"/>
  <c r="AX6906" i="1" s="1"/>
  <c r="M6906" i="1"/>
  <c r="U6906" i="1" s="1"/>
  <c r="AT6904" i="1"/>
  <c r="AX6904" i="1" s="1"/>
  <c r="M6904" i="1"/>
  <c r="U6904" i="1" s="1"/>
  <c r="AT6902" i="1"/>
  <c r="AX6902" i="1" s="1"/>
  <c r="M6902" i="1"/>
  <c r="U6902" i="1" s="1"/>
  <c r="AT6900" i="1"/>
  <c r="AX6900" i="1" s="1"/>
  <c r="M6900" i="1"/>
  <c r="U6900" i="1" s="1"/>
  <c r="AT6898" i="1"/>
  <c r="AX6898" i="1" s="1"/>
  <c r="M6898" i="1"/>
  <c r="U6898" i="1" s="1"/>
  <c r="AT6896" i="1"/>
  <c r="AX6896" i="1" s="1"/>
  <c r="M6896" i="1"/>
  <c r="U6896" i="1" s="1"/>
  <c r="AT6894" i="1"/>
  <c r="AX6894" i="1" s="1"/>
  <c r="M6894" i="1"/>
  <c r="U6894" i="1" s="1"/>
  <c r="AT6892" i="1"/>
  <c r="AX6892" i="1" s="1"/>
  <c r="M6892" i="1"/>
  <c r="U6892" i="1" s="1"/>
  <c r="AT6890" i="1"/>
  <c r="AX6890" i="1" s="1"/>
  <c r="M6890" i="1"/>
  <c r="U6890" i="1" s="1"/>
  <c r="AT6888" i="1"/>
  <c r="AX6888" i="1" s="1"/>
  <c r="M6888" i="1"/>
  <c r="U6888" i="1" s="1"/>
  <c r="AT6886" i="1"/>
  <c r="AX6886" i="1" s="1"/>
  <c r="M6886" i="1"/>
  <c r="U6886" i="1" s="1"/>
  <c r="AT6884" i="1"/>
  <c r="AX6884" i="1" s="1"/>
  <c r="M6884" i="1"/>
  <c r="U6884" i="1" s="1"/>
  <c r="AT6882" i="1"/>
  <c r="AX6882" i="1" s="1"/>
  <c r="M6882" i="1"/>
  <c r="U6882" i="1" s="1"/>
  <c r="AT6880" i="1"/>
  <c r="AX6880" i="1" s="1"/>
  <c r="M6880" i="1"/>
  <c r="U6880" i="1" s="1"/>
  <c r="M6830" i="1"/>
  <c r="U6830" i="1" s="1"/>
  <c r="AT6692" i="1"/>
  <c r="AX6692" i="1" s="1"/>
  <c r="M6692" i="1"/>
  <c r="U6692" i="1" s="1"/>
  <c r="O6674" i="1"/>
  <c r="O6662" i="1"/>
  <c r="O6660" i="1"/>
  <c r="O6658" i="1"/>
  <c r="AT6674" i="1"/>
  <c r="AX6674" i="1" s="1"/>
  <c r="M6674" i="1"/>
  <c r="AT6878" i="1"/>
  <c r="AX6878" i="1" s="1"/>
  <c r="M6878" i="1"/>
  <c r="U6878" i="1" s="1"/>
  <c r="AT6876" i="1"/>
  <c r="AX6876" i="1" s="1"/>
  <c r="M6876" i="1"/>
  <c r="U6876" i="1" s="1"/>
  <c r="AT6874" i="1"/>
  <c r="AX6874" i="1" s="1"/>
  <c r="M6874" i="1"/>
  <c r="U6874" i="1" s="1"/>
  <c r="AT6872" i="1"/>
  <c r="AX6872" i="1" s="1"/>
  <c r="M6872" i="1"/>
  <c r="U6872" i="1" s="1"/>
  <c r="AT6870" i="1"/>
  <c r="AX6870" i="1" s="1"/>
  <c r="M6870" i="1"/>
  <c r="U6870" i="1" s="1"/>
  <c r="AT6868" i="1"/>
  <c r="AX6868" i="1" s="1"/>
  <c r="M6868" i="1"/>
  <c r="U6868" i="1" s="1"/>
  <c r="AT6866" i="1"/>
  <c r="AX6866" i="1" s="1"/>
  <c r="M6866" i="1"/>
  <c r="U6866" i="1" s="1"/>
  <c r="AT6864" i="1"/>
  <c r="AX6864" i="1" s="1"/>
  <c r="M6864" i="1"/>
  <c r="U6864" i="1" s="1"/>
  <c r="AT6862" i="1"/>
  <c r="AX6862" i="1" s="1"/>
  <c r="M6862" i="1"/>
  <c r="U6862" i="1" s="1"/>
  <c r="AT6860" i="1"/>
  <c r="AX6860" i="1" s="1"/>
  <c r="M6860" i="1"/>
  <c r="U6860" i="1" s="1"/>
  <c r="AT6858" i="1"/>
  <c r="AX6858" i="1" s="1"/>
  <c r="M6858" i="1"/>
  <c r="U6858" i="1" s="1"/>
  <c r="AT6856" i="1"/>
  <c r="AX6856" i="1" s="1"/>
  <c r="M6856" i="1"/>
  <c r="U6856" i="1" s="1"/>
  <c r="AT6854" i="1"/>
  <c r="AX6854" i="1" s="1"/>
  <c r="M6854" i="1"/>
  <c r="U6854" i="1" s="1"/>
  <c r="AT6852" i="1"/>
  <c r="AX6852" i="1" s="1"/>
  <c r="M6852" i="1"/>
  <c r="U6852" i="1" s="1"/>
  <c r="AT6850" i="1"/>
  <c r="AX6850" i="1" s="1"/>
  <c r="M6850" i="1"/>
  <c r="U6850" i="1" s="1"/>
  <c r="AT6848" i="1"/>
  <c r="AX6848" i="1" s="1"/>
  <c r="M6848" i="1"/>
  <c r="U6848" i="1" s="1"/>
  <c r="AT6846" i="1"/>
  <c r="AX6846" i="1" s="1"/>
  <c r="M6846" i="1"/>
  <c r="U6846" i="1" s="1"/>
  <c r="AT6844" i="1"/>
  <c r="AX6844" i="1" s="1"/>
  <c r="M6844" i="1"/>
  <c r="U6844" i="1" s="1"/>
  <c r="AT6842" i="1"/>
  <c r="AX6842" i="1" s="1"/>
  <c r="M6842" i="1"/>
  <c r="U6842" i="1" s="1"/>
  <c r="AT6840" i="1"/>
  <c r="AX6840" i="1" s="1"/>
  <c r="M6840" i="1"/>
  <c r="U6840" i="1" s="1"/>
  <c r="AT6838" i="1"/>
  <c r="AX6838" i="1" s="1"/>
  <c r="M6838" i="1"/>
  <c r="U6838" i="1" s="1"/>
  <c r="AT6836" i="1"/>
  <c r="AX6836" i="1" s="1"/>
  <c r="M6836" i="1"/>
  <c r="U6836" i="1" s="1"/>
  <c r="AT6834" i="1"/>
  <c r="AX6834" i="1" s="1"/>
  <c r="M6834" i="1"/>
  <c r="U6834" i="1" s="1"/>
  <c r="AT6832" i="1"/>
  <c r="AX6832" i="1" s="1"/>
  <c r="M6832" i="1"/>
  <c r="U6832" i="1" s="1"/>
  <c r="AT6830" i="1"/>
  <c r="AX6830" i="1" s="1"/>
  <c r="AT6828" i="1"/>
  <c r="AX6828" i="1" s="1"/>
  <c r="M6828" i="1"/>
  <c r="U6828" i="1" s="1"/>
  <c r="AT6826" i="1"/>
  <c r="AX6826" i="1" s="1"/>
  <c r="M6826" i="1"/>
  <c r="U6826" i="1" s="1"/>
  <c r="AT6824" i="1"/>
  <c r="AX6824" i="1" s="1"/>
  <c r="M6824" i="1"/>
  <c r="U6824" i="1" s="1"/>
  <c r="AT6822" i="1"/>
  <c r="AX6822" i="1" s="1"/>
  <c r="M6822" i="1"/>
  <c r="U6822" i="1" s="1"/>
  <c r="AT6820" i="1"/>
  <c r="AX6820" i="1" s="1"/>
  <c r="M6820" i="1"/>
  <c r="U6820" i="1" s="1"/>
  <c r="AT6818" i="1"/>
  <c r="AX6818" i="1" s="1"/>
  <c r="M6818" i="1"/>
  <c r="U6818" i="1" s="1"/>
  <c r="AT6816" i="1"/>
  <c r="AX6816" i="1" s="1"/>
  <c r="M6816" i="1"/>
  <c r="U6816" i="1" s="1"/>
  <c r="AT6814" i="1"/>
  <c r="AX6814" i="1" s="1"/>
  <c r="M6814" i="1"/>
  <c r="U6814" i="1" s="1"/>
  <c r="AT6812" i="1"/>
  <c r="AX6812" i="1" s="1"/>
  <c r="M6812" i="1"/>
  <c r="U6812" i="1" s="1"/>
  <c r="AT6810" i="1"/>
  <c r="AX6810" i="1" s="1"/>
  <c r="M6810" i="1"/>
  <c r="U6810" i="1" s="1"/>
  <c r="AT6808" i="1"/>
  <c r="AX6808" i="1" s="1"/>
  <c r="M6808" i="1"/>
  <c r="U6808" i="1" s="1"/>
  <c r="AT6806" i="1"/>
  <c r="AX6806" i="1" s="1"/>
  <c r="M6806" i="1"/>
  <c r="U6806" i="1" s="1"/>
  <c r="AT6804" i="1"/>
  <c r="AX6804" i="1" s="1"/>
  <c r="M6804" i="1"/>
  <c r="U6804" i="1" s="1"/>
  <c r="AT6802" i="1"/>
  <c r="AX6802" i="1" s="1"/>
  <c r="M6802" i="1"/>
  <c r="U6802" i="1" s="1"/>
  <c r="AT6800" i="1"/>
  <c r="AX6800" i="1" s="1"/>
  <c r="M6800" i="1"/>
  <c r="U6800" i="1" s="1"/>
  <c r="AT6798" i="1"/>
  <c r="AX6798" i="1" s="1"/>
  <c r="M6798" i="1"/>
  <c r="U6798" i="1" s="1"/>
  <c r="AT6796" i="1"/>
  <c r="AX6796" i="1" s="1"/>
  <c r="M6796" i="1"/>
  <c r="U6796" i="1" s="1"/>
  <c r="AT6794" i="1"/>
  <c r="AX6794" i="1" s="1"/>
  <c r="M6794" i="1"/>
  <c r="U6794" i="1" s="1"/>
  <c r="AT6792" i="1"/>
  <c r="AX6792" i="1" s="1"/>
  <c r="M6792" i="1"/>
  <c r="U6792" i="1" s="1"/>
  <c r="AT6790" i="1"/>
  <c r="AX6790" i="1" s="1"/>
  <c r="M6790" i="1"/>
  <c r="U6790" i="1" s="1"/>
  <c r="AT6788" i="1"/>
  <c r="AX6788" i="1" s="1"/>
  <c r="M6788" i="1"/>
  <c r="U6788" i="1" s="1"/>
  <c r="AT6786" i="1"/>
  <c r="AX6786" i="1" s="1"/>
  <c r="M6786" i="1"/>
  <c r="U6786" i="1" s="1"/>
  <c r="AT6784" i="1"/>
  <c r="AX6784" i="1" s="1"/>
  <c r="M6784" i="1"/>
  <c r="U6784" i="1" s="1"/>
  <c r="AT6782" i="1"/>
  <c r="AX6782" i="1" s="1"/>
  <c r="M6782" i="1"/>
  <c r="U6782" i="1" s="1"/>
  <c r="AT6780" i="1"/>
  <c r="AX6780" i="1" s="1"/>
  <c r="M6780" i="1"/>
  <c r="U6780" i="1" s="1"/>
  <c r="AT6778" i="1"/>
  <c r="AX6778" i="1" s="1"/>
  <c r="M6778" i="1"/>
  <c r="U6778" i="1" s="1"/>
  <c r="AT6776" i="1"/>
  <c r="AX6776" i="1" s="1"/>
  <c r="M6776" i="1"/>
  <c r="U6776" i="1" s="1"/>
  <c r="AT6774" i="1"/>
  <c r="AX6774" i="1" s="1"/>
  <c r="M6774" i="1"/>
  <c r="U6774" i="1" s="1"/>
  <c r="AT6772" i="1"/>
  <c r="AX6772" i="1" s="1"/>
  <c r="M6772" i="1"/>
  <c r="U6772" i="1" s="1"/>
  <c r="AT6770" i="1"/>
  <c r="AX6770" i="1" s="1"/>
  <c r="M6770" i="1"/>
  <c r="U6770" i="1" s="1"/>
  <c r="AT6768" i="1"/>
  <c r="AX6768" i="1" s="1"/>
  <c r="M6768" i="1"/>
  <c r="U6768" i="1" s="1"/>
  <c r="AT6766" i="1"/>
  <c r="AX6766" i="1" s="1"/>
  <c r="M6766" i="1"/>
  <c r="U6766" i="1" s="1"/>
  <c r="AT6764" i="1"/>
  <c r="AX6764" i="1" s="1"/>
  <c r="M6764" i="1"/>
  <c r="U6764" i="1" s="1"/>
  <c r="AT6762" i="1"/>
  <c r="AX6762" i="1" s="1"/>
  <c r="M6762" i="1"/>
  <c r="U6762" i="1" s="1"/>
  <c r="AT6760" i="1"/>
  <c r="AX6760" i="1" s="1"/>
  <c r="M6760" i="1"/>
  <c r="U6760" i="1" s="1"/>
  <c r="AT6758" i="1"/>
  <c r="AX6758" i="1" s="1"/>
  <c r="M6758" i="1"/>
  <c r="U6758" i="1" s="1"/>
  <c r="AT6756" i="1"/>
  <c r="AX6756" i="1" s="1"/>
  <c r="M6756" i="1"/>
  <c r="U6756" i="1" s="1"/>
  <c r="AT6754" i="1"/>
  <c r="AX6754" i="1" s="1"/>
  <c r="M6754" i="1"/>
  <c r="U6754" i="1" s="1"/>
  <c r="AT6752" i="1"/>
  <c r="AX6752" i="1" s="1"/>
  <c r="M6752" i="1"/>
  <c r="U6752" i="1" s="1"/>
  <c r="AT6750" i="1"/>
  <c r="AX6750" i="1" s="1"/>
  <c r="M6750" i="1"/>
  <c r="U6750" i="1" s="1"/>
  <c r="AT6748" i="1"/>
  <c r="AX6748" i="1" s="1"/>
  <c r="M6748" i="1"/>
  <c r="U6748" i="1" s="1"/>
  <c r="AT6746" i="1"/>
  <c r="AX6746" i="1" s="1"/>
  <c r="M6746" i="1"/>
  <c r="U6746" i="1" s="1"/>
  <c r="AT6744" i="1"/>
  <c r="AX6744" i="1" s="1"/>
  <c r="U6744" i="1"/>
  <c r="AT6742" i="1"/>
  <c r="AX6742" i="1" s="1"/>
  <c r="M6742" i="1"/>
  <c r="U6742" i="1" s="1"/>
  <c r="AT6740" i="1"/>
  <c r="AX6740" i="1" s="1"/>
  <c r="M6740" i="1"/>
  <c r="U6740" i="1" s="1"/>
  <c r="AT6698" i="1"/>
  <c r="AX6698" i="1" s="1"/>
  <c r="M6698" i="1"/>
  <c r="U6698" i="1" s="1"/>
  <c r="AT6738" i="1"/>
  <c r="AX6738" i="1" s="1"/>
  <c r="M6738" i="1"/>
  <c r="U6738" i="1" s="1"/>
  <c r="AT6736" i="1"/>
  <c r="AX6736" i="1" s="1"/>
  <c r="M6736" i="1"/>
  <c r="U6736" i="1" s="1"/>
  <c r="AT6734" i="1"/>
  <c r="AX6734" i="1" s="1"/>
  <c r="M6734" i="1"/>
  <c r="U6734" i="1" s="1"/>
  <c r="AT6732" i="1"/>
  <c r="AX6732" i="1" s="1"/>
  <c r="M6732" i="1"/>
  <c r="U6732" i="1" s="1"/>
  <c r="AT6730" i="1"/>
  <c r="AX6730" i="1" s="1"/>
  <c r="M6730" i="1"/>
  <c r="U6730" i="1" s="1"/>
  <c r="AT6728" i="1"/>
  <c r="AX6728" i="1" s="1"/>
  <c r="M6728" i="1"/>
  <c r="U6728" i="1" s="1"/>
  <c r="AT6726" i="1"/>
  <c r="AX6726" i="1" s="1"/>
  <c r="M6726" i="1"/>
  <c r="U6726" i="1" s="1"/>
  <c r="AT6724" i="1"/>
  <c r="AX6724" i="1" s="1"/>
  <c r="M6724" i="1"/>
  <c r="U6724" i="1" s="1"/>
  <c r="AT6722" i="1"/>
  <c r="AX6722" i="1" s="1"/>
  <c r="M6722" i="1"/>
  <c r="U6722" i="1" s="1"/>
  <c r="AT6720" i="1"/>
  <c r="AX6720" i="1" s="1"/>
  <c r="M6720" i="1"/>
  <c r="U6720" i="1" s="1"/>
  <c r="AT6718" i="1"/>
  <c r="AX6718" i="1" s="1"/>
  <c r="M6718" i="1"/>
  <c r="U6718" i="1" s="1"/>
  <c r="AT6716" i="1"/>
  <c r="AX6716" i="1" s="1"/>
  <c r="M6716" i="1"/>
  <c r="U6716" i="1" s="1"/>
  <c r="AT6714" i="1"/>
  <c r="AX6714" i="1" s="1"/>
  <c r="M6714" i="1"/>
  <c r="U6714" i="1" s="1"/>
  <c r="AT6712" i="1"/>
  <c r="AX6712" i="1" s="1"/>
  <c r="M6712" i="1"/>
  <c r="U6712" i="1" s="1"/>
  <c r="AT6710" i="1"/>
  <c r="AX6710" i="1" s="1"/>
  <c r="M6710" i="1"/>
  <c r="U6710" i="1" s="1"/>
  <c r="AT6708" i="1"/>
  <c r="AX6708" i="1" s="1"/>
  <c r="M6708" i="1"/>
  <c r="U6708" i="1" s="1"/>
  <c r="AT6706" i="1"/>
  <c r="AX6706" i="1" s="1"/>
  <c r="M6706" i="1"/>
  <c r="U6706" i="1" s="1"/>
  <c r="AT6704" i="1"/>
  <c r="AX6704" i="1" s="1"/>
  <c r="M6704" i="1"/>
  <c r="U6704" i="1" s="1"/>
  <c r="AT6656" i="1"/>
  <c r="AX6656" i="1" s="1"/>
  <c r="M6656" i="1"/>
  <c r="U6656" i="1" s="1"/>
  <c r="AT6654" i="1"/>
  <c r="AX6654" i="1" s="1"/>
  <c r="M6654" i="1"/>
  <c r="U6654" i="1" s="1"/>
  <c r="AT6678" i="1"/>
  <c r="AX6678" i="1" s="1"/>
  <c r="M6678" i="1"/>
  <c r="U6678" i="1" s="1"/>
  <c r="AT6672" i="1"/>
  <c r="AX6672" i="1" s="1"/>
  <c r="M6672" i="1"/>
  <c r="U6672" i="1" s="1"/>
  <c r="AT6668" i="1"/>
  <c r="AX6668" i="1" s="1"/>
  <c r="M6668" i="1"/>
  <c r="U6668" i="1" s="1"/>
  <c r="AT6666" i="1"/>
  <c r="AX6666" i="1" s="1"/>
  <c r="M6666" i="1"/>
  <c r="U6666" i="1" s="1"/>
  <c r="AT6670" i="1"/>
  <c r="AX6670" i="1" s="1"/>
  <c r="M6670" i="1"/>
  <c r="U6670" i="1" s="1"/>
  <c r="AX14" i="4"/>
  <c r="AT14" i="4"/>
  <c r="U14" i="4"/>
  <c r="U6646" i="1"/>
  <c r="O6650" i="1"/>
  <c r="U6650" i="1" s="1"/>
  <c r="O6636" i="1"/>
  <c r="O6634" i="1"/>
  <c r="O6616" i="1"/>
  <c r="AT6602" i="1"/>
  <c r="AX6602" i="1" s="1"/>
  <c r="M6602" i="1"/>
  <c r="U6602" i="1" s="1"/>
  <c r="AT6604" i="1"/>
  <c r="AX6604" i="1" s="1"/>
  <c r="M6604" i="1"/>
  <c r="U6604" i="1" s="1"/>
  <c r="AT6560" i="1"/>
  <c r="AX6560" i="1" s="1"/>
  <c r="M6560" i="1"/>
  <c r="U6560" i="1" s="1"/>
  <c r="O6520" i="1"/>
  <c r="O6518" i="1"/>
  <c r="AT6520" i="1"/>
  <c r="AX6520" i="1" s="1"/>
  <c r="M6520" i="1"/>
  <c r="AT6518" i="1"/>
  <c r="AX6518" i="1" s="1"/>
  <c r="M6518" i="1"/>
  <c r="AT6516" i="1"/>
  <c r="AX6516" i="1" s="1"/>
  <c r="M6516" i="1"/>
  <c r="U6516" i="1" s="1"/>
  <c r="O6514" i="1"/>
  <c r="O6512" i="1"/>
  <c r="O6506" i="1"/>
  <c r="O6446" i="1"/>
  <c r="O6444" i="1"/>
  <c r="O6440" i="1"/>
  <c r="O6376" i="1"/>
  <c r="O6366" i="1"/>
  <c r="O6358" i="1"/>
  <c r="AT6328" i="1"/>
  <c r="AX6328" i="1" s="1"/>
  <c r="M6328" i="1"/>
  <c r="U6328" i="1" s="1"/>
  <c r="AT6326" i="1"/>
  <c r="AX6326" i="1" s="1"/>
  <c r="M6326" i="1"/>
  <c r="U6326" i="1" s="1"/>
  <c r="AT6324" i="1"/>
  <c r="AX6324" i="1" s="1"/>
  <c r="M6324" i="1"/>
  <c r="U6324" i="1" s="1"/>
  <c r="AT6322" i="1"/>
  <c r="AX6322" i="1" s="1"/>
  <c r="M6322" i="1"/>
  <c r="U6322" i="1" s="1"/>
  <c r="O6330" i="1"/>
  <c r="O6204" i="1"/>
  <c r="O6196" i="1"/>
  <c r="O6194" i="1"/>
  <c r="K6234" i="1"/>
  <c r="M6234" i="1" s="1"/>
  <c r="U6234" i="1" s="1"/>
  <c r="K6232" i="1"/>
  <c r="M6232" i="1" s="1"/>
  <c r="U6232" i="1" s="1"/>
  <c r="K6230" i="1"/>
  <c r="M6230" i="1" s="1"/>
  <c r="U6230" i="1" s="1"/>
  <c r="K6228" i="1"/>
  <c r="M6228" i="1" s="1"/>
  <c r="U6228" i="1" s="1"/>
  <c r="K6226" i="1"/>
  <c r="M6226" i="1" s="1"/>
  <c r="U6226" i="1" s="1"/>
  <c r="K6224" i="1"/>
  <c r="M6224" i="1" s="1"/>
  <c r="U6224" i="1" s="1"/>
  <c r="K6222" i="1"/>
  <c r="M6222" i="1" s="1"/>
  <c r="U6222" i="1" s="1"/>
  <c r="K6220" i="1"/>
  <c r="M6220" i="1" s="1"/>
  <c r="U6220" i="1" s="1"/>
  <c r="K6218" i="1"/>
  <c r="M6218" i="1" s="1"/>
  <c r="U6218" i="1" s="1"/>
  <c r="K6216" i="1"/>
  <c r="M6216" i="1" s="1"/>
  <c r="U6216" i="1" s="1"/>
  <c r="K6214" i="1"/>
  <c r="M6214" i="1" s="1"/>
  <c r="U6214" i="1" s="1"/>
  <c r="K6212" i="1"/>
  <c r="M6212" i="1" s="1"/>
  <c r="U6212" i="1" s="1"/>
  <c r="K6210" i="1"/>
  <c r="M6210" i="1" s="1"/>
  <c r="U6210" i="1" s="1"/>
  <c r="K6208" i="1"/>
  <c r="M6208" i="1" s="1"/>
  <c r="U6208" i="1" s="1"/>
  <c r="K6206" i="1"/>
  <c r="M6206" i="1" s="1"/>
  <c r="U6206" i="1" s="1"/>
  <c r="O6090" i="1"/>
  <c r="O6084" i="1"/>
  <c r="O6082" i="1"/>
  <c r="AT6058" i="1"/>
  <c r="AX6058" i="1" s="1"/>
  <c r="M6058" i="1"/>
  <c r="U6058" i="1" s="1"/>
  <c r="AX5686" i="1"/>
  <c r="K6026" i="1"/>
  <c r="M6026" i="1" s="1"/>
  <c r="U6026" i="1" s="1"/>
  <c r="K6024" i="1"/>
  <c r="M6024" i="1" s="1"/>
  <c r="U6024" i="1" s="1"/>
  <c r="K6022" i="1"/>
  <c r="M6022" i="1" s="1"/>
  <c r="U6022" i="1" s="1"/>
  <c r="K6020" i="1"/>
  <c r="M6020" i="1" s="1"/>
  <c r="U6020" i="1" s="1"/>
  <c r="K6018" i="1"/>
  <c r="M6018" i="1" s="1"/>
  <c r="U6018" i="1" s="1"/>
  <c r="K6016" i="1"/>
  <c r="M6016" i="1" s="1"/>
  <c r="U6016" i="1" s="1"/>
  <c r="K6010" i="1"/>
  <c r="M6010" i="1" s="1"/>
  <c r="U6010" i="1" s="1"/>
  <c r="AT6010" i="1"/>
  <c r="AX6010" i="1" s="1"/>
  <c r="O5994" i="1"/>
  <c r="K6014" i="1"/>
  <c r="M6014" i="1" s="1"/>
  <c r="U6014" i="1" s="1"/>
  <c r="K6012" i="1"/>
  <c r="U6012" i="1" s="1"/>
  <c r="AT6702" i="1"/>
  <c r="AX6702" i="1" s="1"/>
  <c r="M6702" i="1"/>
  <c r="U6702" i="1" s="1"/>
  <c r="AT6700" i="1"/>
  <c r="AX6700" i="1" s="1"/>
  <c r="M6700" i="1"/>
  <c r="U6700" i="1" s="1"/>
  <c r="AT6696" i="1"/>
  <c r="AX6696" i="1" s="1"/>
  <c r="M6696" i="1"/>
  <c r="U6696" i="1" s="1"/>
  <c r="AT6694" i="1"/>
  <c r="AX6694" i="1" s="1"/>
  <c r="M6694" i="1"/>
  <c r="U6694" i="1" s="1"/>
  <c r="AT6690" i="1"/>
  <c r="AX6690" i="1" s="1"/>
  <c r="M6690" i="1"/>
  <c r="U6690" i="1" s="1"/>
  <c r="AT6688" i="1"/>
  <c r="AX6688" i="1" s="1"/>
  <c r="M6688" i="1"/>
  <c r="U6688" i="1" s="1"/>
  <c r="AT6686" i="1"/>
  <c r="AX6686" i="1" s="1"/>
  <c r="M6686" i="1"/>
  <c r="U6686" i="1" s="1"/>
  <c r="AT6684" i="1"/>
  <c r="AX6684" i="1" s="1"/>
  <c r="M6684" i="1"/>
  <c r="U6684" i="1" s="1"/>
  <c r="AT6682" i="1"/>
  <c r="AX6682" i="1" s="1"/>
  <c r="M6682" i="1"/>
  <c r="U6682" i="1" s="1"/>
  <c r="AT6680" i="1"/>
  <c r="AX6680" i="1" s="1"/>
  <c r="M6680" i="1"/>
  <c r="U6680" i="1" s="1"/>
  <c r="AT6676" i="1"/>
  <c r="AX6676" i="1" s="1"/>
  <c r="M6676" i="1"/>
  <c r="U6676" i="1" s="1"/>
  <c r="AT6664" i="1"/>
  <c r="AX6664" i="1" s="1"/>
  <c r="M6664" i="1"/>
  <c r="U6664" i="1" s="1"/>
  <c r="AT6662" i="1"/>
  <c r="AX6662" i="1" s="1"/>
  <c r="M6662" i="1"/>
  <c r="AT6660" i="1"/>
  <c r="AX6660" i="1" s="1"/>
  <c r="M6660" i="1"/>
  <c r="AT6658" i="1"/>
  <c r="AX6658" i="1" s="1"/>
  <c r="M6658" i="1"/>
  <c r="AT6652" i="1"/>
  <c r="AX6652" i="1" s="1"/>
  <c r="M6652" i="1"/>
  <c r="U6652" i="1" s="1"/>
  <c r="AT6650" i="1"/>
  <c r="AX6650" i="1" s="1"/>
  <c r="AT6648" i="1"/>
  <c r="AX6648" i="1" s="1"/>
  <c r="M6648" i="1"/>
  <c r="U6648" i="1" s="1"/>
  <c r="AT6646" i="1"/>
  <c r="AX6646" i="1" s="1"/>
  <c r="AT6644" i="1"/>
  <c r="AX6644" i="1" s="1"/>
  <c r="M6644" i="1"/>
  <c r="U6644" i="1" s="1"/>
  <c r="AT6642" i="1"/>
  <c r="AX6642" i="1" s="1"/>
  <c r="M6642" i="1"/>
  <c r="U6642" i="1" s="1"/>
  <c r="AT6640" i="1"/>
  <c r="AX6640" i="1" s="1"/>
  <c r="M6640" i="1"/>
  <c r="U6640" i="1" s="1"/>
  <c r="AX6638" i="1"/>
  <c r="M6638" i="1"/>
  <c r="U6638" i="1" s="1"/>
  <c r="AT6636" i="1"/>
  <c r="AX6636" i="1" s="1"/>
  <c r="M6636" i="1"/>
  <c r="AT6634" i="1"/>
  <c r="AX6634" i="1" s="1"/>
  <c r="M6634" i="1"/>
  <c r="AT6632" i="1"/>
  <c r="AX6632" i="1" s="1"/>
  <c r="M6632" i="1"/>
  <c r="U6632" i="1" s="1"/>
  <c r="AT6630" i="1"/>
  <c r="AX6630" i="1" s="1"/>
  <c r="M6630" i="1"/>
  <c r="U6630" i="1" s="1"/>
  <c r="AT6628" i="1"/>
  <c r="AX6628" i="1" s="1"/>
  <c r="M6628" i="1"/>
  <c r="U6628" i="1" s="1"/>
  <c r="AT6626" i="1"/>
  <c r="AX6626" i="1" s="1"/>
  <c r="M6626" i="1"/>
  <c r="U6626" i="1" s="1"/>
  <c r="AT6624" i="1"/>
  <c r="AX6624" i="1" s="1"/>
  <c r="M6624" i="1"/>
  <c r="U6624" i="1" s="1"/>
  <c r="AT6622" i="1"/>
  <c r="AX6622" i="1" s="1"/>
  <c r="M6622" i="1"/>
  <c r="U6622" i="1" s="1"/>
  <c r="AT6620" i="1"/>
  <c r="AX6620" i="1" s="1"/>
  <c r="M6620" i="1"/>
  <c r="U6620" i="1" s="1"/>
  <c r="AT6618" i="1"/>
  <c r="AX6618" i="1" s="1"/>
  <c r="M6618" i="1"/>
  <c r="U6618" i="1" s="1"/>
  <c r="AT6616" i="1"/>
  <c r="AX6616" i="1" s="1"/>
  <c r="M6616" i="1"/>
  <c r="AT6614" i="1"/>
  <c r="AX6614" i="1" s="1"/>
  <c r="M6614" i="1"/>
  <c r="U6614" i="1" s="1"/>
  <c r="AT6612" i="1"/>
  <c r="AX6612" i="1" s="1"/>
  <c r="M6612" i="1"/>
  <c r="U6612" i="1" s="1"/>
  <c r="AT6610" i="1"/>
  <c r="AX6610" i="1" s="1"/>
  <c r="M6610" i="1"/>
  <c r="U6610" i="1" s="1"/>
  <c r="AT6608" i="1"/>
  <c r="AX6608" i="1" s="1"/>
  <c r="M6608" i="1"/>
  <c r="U6608" i="1" s="1"/>
  <c r="AT6606" i="1"/>
  <c r="AX6606" i="1" s="1"/>
  <c r="M6606" i="1"/>
  <c r="U6606" i="1" s="1"/>
  <c r="AT6600" i="1"/>
  <c r="AX6600" i="1" s="1"/>
  <c r="M6600" i="1"/>
  <c r="U6600" i="1" s="1"/>
  <c r="AT6598" i="1"/>
  <c r="AX6598" i="1" s="1"/>
  <c r="M6598" i="1"/>
  <c r="U6598" i="1" s="1"/>
  <c r="AT6596" i="1"/>
  <c r="AX6596" i="1" s="1"/>
  <c r="M6596" i="1"/>
  <c r="U6596" i="1" s="1"/>
  <c r="AT6594" i="1"/>
  <c r="AX6594" i="1" s="1"/>
  <c r="M6594" i="1"/>
  <c r="U6594" i="1" s="1"/>
  <c r="AT6592" i="1"/>
  <c r="AX6592" i="1" s="1"/>
  <c r="M6592" i="1"/>
  <c r="U6592" i="1" s="1"/>
  <c r="AT6590" i="1"/>
  <c r="AX6590" i="1" s="1"/>
  <c r="M6590" i="1"/>
  <c r="U6590" i="1" s="1"/>
  <c r="AT6588" i="1"/>
  <c r="AX6588" i="1" s="1"/>
  <c r="M6588" i="1"/>
  <c r="U6588" i="1" s="1"/>
  <c r="AT6586" i="1"/>
  <c r="AX6586" i="1" s="1"/>
  <c r="M6586" i="1"/>
  <c r="U6586" i="1" s="1"/>
  <c r="AT6584" i="1"/>
  <c r="AX6584" i="1" s="1"/>
  <c r="M6584" i="1"/>
  <c r="U6584" i="1" s="1"/>
  <c r="AT6582" i="1"/>
  <c r="AX6582" i="1" s="1"/>
  <c r="M6582" i="1"/>
  <c r="U6582" i="1" s="1"/>
  <c r="AT6580" i="1"/>
  <c r="AX6580" i="1" s="1"/>
  <c r="M6580" i="1"/>
  <c r="U6580" i="1" s="1"/>
  <c r="AT6578" i="1"/>
  <c r="AX6578" i="1" s="1"/>
  <c r="M6578" i="1"/>
  <c r="U6578" i="1" s="1"/>
  <c r="AT6576" i="1"/>
  <c r="AX6576" i="1" s="1"/>
  <c r="M6576" i="1"/>
  <c r="U6576" i="1" s="1"/>
  <c r="AT6574" i="1"/>
  <c r="AX6574" i="1" s="1"/>
  <c r="M6574" i="1"/>
  <c r="U6574" i="1" s="1"/>
  <c r="AX6572" i="1"/>
  <c r="M6572" i="1"/>
  <c r="U6572" i="1" s="1"/>
  <c r="AT6570" i="1"/>
  <c r="AX6570" i="1" s="1"/>
  <c r="M6570" i="1"/>
  <c r="U6570" i="1" s="1"/>
  <c r="AT6568" i="1"/>
  <c r="AX6568" i="1" s="1"/>
  <c r="M6568" i="1"/>
  <c r="U6568" i="1" s="1"/>
  <c r="M6566" i="1"/>
  <c r="U6566" i="1" s="1"/>
  <c r="AT6564" i="1"/>
  <c r="AX6564" i="1" s="1"/>
  <c r="M6564" i="1"/>
  <c r="U6564" i="1" s="1"/>
  <c r="AT6562" i="1"/>
  <c r="AX6562" i="1" s="1"/>
  <c r="M6562" i="1"/>
  <c r="U6562" i="1" s="1"/>
  <c r="AT6558" i="1"/>
  <c r="AX6558" i="1" s="1"/>
  <c r="M6558" i="1"/>
  <c r="U6558" i="1" s="1"/>
  <c r="AT6556" i="1"/>
  <c r="AX6556" i="1" s="1"/>
  <c r="M6556" i="1"/>
  <c r="U6556" i="1" s="1"/>
  <c r="AT6554" i="1"/>
  <c r="AX6554" i="1" s="1"/>
  <c r="M6554" i="1"/>
  <c r="U6554" i="1" s="1"/>
  <c r="AT6552" i="1"/>
  <c r="AX6552" i="1" s="1"/>
  <c r="M6552" i="1"/>
  <c r="U6552" i="1" s="1"/>
  <c r="AT6550" i="1"/>
  <c r="AX6550" i="1" s="1"/>
  <c r="M6550" i="1"/>
  <c r="U6550" i="1" s="1"/>
  <c r="AT6548" i="1"/>
  <c r="AX6548" i="1" s="1"/>
  <c r="M6548" i="1"/>
  <c r="U6548" i="1" s="1"/>
  <c r="AT6546" i="1"/>
  <c r="AX6546" i="1" s="1"/>
  <c r="M6546" i="1"/>
  <c r="U6546" i="1" s="1"/>
  <c r="AT6544" i="1"/>
  <c r="AX6544" i="1" s="1"/>
  <c r="M6544" i="1"/>
  <c r="U6544" i="1" s="1"/>
  <c r="AT6542" i="1"/>
  <c r="AX6542" i="1" s="1"/>
  <c r="M6542" i="1"/>
  <c r="U6542" i="1" s="1"/>
  <c r="AT6540" i="1"/>
  <c r="AX6540" i="1" s="1"/>
  <c r="M6540" i="1"/>
  <c r="U6540" i="1" s="1"/>
  <c r="AT6538" i="1"/>
  <c r="AX6538" i="1" s="1"/>
  <c r="M6538" i="1"/>
  <c r="U6538" i="1" s="1"/>
  <c r="AT6536" i="1"/>
  <c r="AX6536" i="1" s="1"/>
  <c r="M6536" i="1"/>
  <c r="U6536" i="1" s="1"/>
  <c r="AT6534" i="1"/>
  <c r="AX6534" i="1" s="1"/>
  <c r="M6534" i="1"/>
  <c r="U6534" i="1" s="1"/>
  <c r="AT6532" i="1"/>
  <c r="AX6532" i="1" s="1"/>
  <c r="M6532" i="1"/>
  <c r="U6532" i="1" s="1"/>
  <c r="AT6530" i="1"/>
  <c r="AX6530" i="1" s="1"/>
  <c r="M6530" i="1"/>
  <c r="U6530" i="1" s="1"/>
  <c r="AT6528" i="1"/>
  <c r="AX6528" i="1" s="1"/>
  <c r="M6528" i="1"/>
  <c r="U6528" i="1" s="1"/>
  <c r="AT6526" i="1"/>
  <c r="AX6526" i="1" s="1"/>
  <c r="M6526" i="1"/>
  <c r="U6526" i="1" s="1"/>
  <c r="AT6524" i="1"/>
  <c r="AX6524" i="1" s="1"/>
  <c r="M6524" i="1"/>
  <c r="U6524" i="1" s="1"/>
  <c r="AT6522" i="1"/>
  <c r="AX6522" i="1" s="1"/>
  <c r="M6522" i="1"/>
  <c r="U6522" i="1" s="1"/>
  <c r="AT6514" i="1"/>
  <c r="AX6514" i="1" s="1"/>
  <c r="M6514" i="1"/>
  <c r="AT6512" i="1"/>
  <c r="AX6512" i="1" s="1"/>
  <c r="M6512" i="1"/>
  <c r="AT6510" i="1"/>
  <c r="AX6510" i="1" s="1"/>
  <c r="M6510" i="1"/>
  <c r="U6510" i="1" s="1"/>
  <c r="AT6508" i="1"/>
  <c r="AX6508" i="1" s="1"/>
  <c r="M6508" i="1"/>
  <c r="U6508" i="1" s="1"/>
  <c r="AT6506" i="1"/>
  <c r="AX6506" i="1" s="1"/>
  <c r="M6506" i="1"/>
  <c r="AT6504" i="1"/>
  <c r="AX6504" i="1" s="1"/>
  <c r="M6504" i="1"/>
  <c r="U6504" i="1" s="1"/>
  <c r="AT6502" i="1"/>
  <c r="AX6502" i="1" s="1"/>
  <c r="M6502" i="1"/>
  <c r="U6502" i="1" s="1"/>
  <c r="AT6500" i="1"/>
  <c r="AX6500" i="1" s="1"/>
  <c r="M6500" i="1"/>
  <c r="U6500" i="1" s="1"/>
  <c r="AT6498" i="1"/>
  <c r="AX6498" i="1" s="1"/>
  <c r="M6498" i="1"/>
  <c r="U6498" i="1" s="1"/>
  <c r="AT6496" i="1"/>
  <c r="AX6496" i="1" s="1"/>
  <c r="M6496" i="1"/>
  <c r="U6496" i="1" s="1"/>
  <c r="AT6494" i="1"/>
  <c r="AX6494" i="1" s="1"/>
  <c r="M6494" i="1"/>
  <c r="U6494" i="1" s="1"/>
  <c r="AT6492" i="1"/>
  <c r="AX6492" i="1" s="1"/>
  <c r="M6492" i="1"/>
  <c r="U6492" i="1" s="1"/>
  <c r="AT6490" i="1"/>
  <c r="AX6490" i="1" s="1"/>
  <c r="M6490" i="1"/>
  <c r="U6490" i="1" s="1"/>
  <c r="AT6488" i="1"/>
  <c r="AX6488" i="1" s="1"/>
  <c r="M6488" i="1"/>
  <c r="U6488" i="1" s="1"/>
  <c r="AT6486" i="1"/>
  <c r="AX6486" i="1" s="1"/>
  <c r="M6486" i="1"/>
  <c r="U6486" i="1" s="1"/>
  <c r="AT6484" i="1"/>
  <c r="AX6484" i="1" s="1"/>
  <c r="M6484" i="1"/>
  <c r="U6484" i="1" s="1"/>
  <c r="AT6482" i="1"/>
  <c r="AX6482" i="1" s="1"/>
  <c r="M6482" i="1"/>
  <c r="U6482" i="1" s="1"/>
  <c r="AT6480" i="1"/>
  <c r="AX6480" i="1" s="1"/>
  <c r="M6480" i="1"/>
  <c r="U6480" i="1" s="1"/>
  <c r="AT6478" i="1"/>
  <c r="AX6478" i="1" s="1"/>
  <c r="M6478" i="1"/>
  <c r="U6478" i="1" s="1"/>
  <c r="AT6476" i="1"/>
  <c r="AX6476" i="1" s="1"/>
  <c r="M6476" i="1"/>
  <c r="U6476" i="1" s="1"/>
  <c r="AT6474" i="1"/>
  <c r="AX6474" i="1" s="1"/>
  <c r="M6474" i="1"/>
  <c r="U6474" i="1" s="1"/>
  <c r="AT6472" i="1"/>
  <c r="AX6472" i="1" s="1"/>
  <c r="M6472" i="1"/>
  <c r="U6472" i="1" s="1"/>
  <c r="AT6470" i="1"/>
  <c r="AX6470" i="1" s="1"/>
  <c r="M6470" i="1"/>
  <c r="U6470" i="1" s="1"/>
  <c r="AT6468" i="1"/>
  <c r="AX6468" i="1" s="1"/>
  <c r="M6468" i="1"/>
  <c r="U6468" i="1" s="1"/>
  <c r="AT6466" i="1"/>
  <c r="AX6466" i="1" s="1"/>
  <c r="M6466" i="1"/>
  <c r="U6466" i="1" s="1"/>
  <c r="AT6464" i="1"/>
  <c r="AX6464" i="1" s="1"/>
  <c r="M6464" i="1"/>
  <c r="U6464" i="1" s="1"/>
  <c r="AT6462" i="1"/>
  <c r="AX6462" i="1" s="1"/>
  <c r="M6462" i="1"/>
  <c r="U6462" i="1" s="1"/>
  <c r="AT6460" i="1"/>
  <c r="AX6460" i="1" s="1"/>
  <c r="M6460" i="1"/>
  <c r="U6460" i="1" s="1"/>
  <c r="AT6458" i="1"/>
  <c r="AX6458" i="1" s="1"/>
  <c r="M6458" i="1"/>
  <c r="U6458" i="1" s="1"/>
  <c r="AT6456" i="1"/>
  <c r="AX6456" i="1" s="1"/>
  <c r="M6456" i="1"/>
  <c r="U6456" i="1" s="1"/>
  <c r="AT6454" i="1"/>
  <c r="AX6454" i="1" s="1"/>
  <c r="M6454" i="1"/>
  <c r="U6454" i="1" s="1"/>
  <c r="AT6452" i="1"/>
  <c r="AX6452" i="1" s="1"/>
  <c r="M6452" i="1"/>
  <c r="U6452" i="1" s="1"/>
  <c r="AT6450" i="1"/>
  <c r="AX6450" i="1" s="1"/>
  <c r="M6450" i="1"/>
  <c r="U6450" i="1" s="1"/>
  <c r="AT6448" i="1"/>
  <c r="AX6448" i="1" s="1"/>
  <c r="M6448" i="1"/>
  <c r="U6448" i="1" s="1"/>
  <c r="AT6446" i="1"/>
  <c r="AX6446" i="1" s="1"/>
  <c r="M6446" i="1"/>
  <c r="AT6444" i="1"/>
  <c r="AX6444" i="1" s="1"/>
  <c r="M6444" i="1"/>
  <c r="AT6442" i="1"/>
  <c r="AX6442" i="1" s="1"/>
  <c r="M6442" i="1"/>
  <c r="U6442" i="1" s="1"/>
  <c r="AT6440" i="1"/>
  <c r="AX6440" i="1" s="1"/>
  <c r="M6440" i="1"/>
  <c r="AT6438" i="1"/>
  <c r="AX6438" i="1" s="1"/>
  <c r="M6438" i="1"/>
  <c r="U6438" i="1" s="1"/>
  <c r="AT6436" i="1"/>
  <c r="AX6436" i="1" s="1"/>
  <c r="M6436" i="1"/>
  <c r="U6436" i="1" s="1"/>
  <c r="AT6434" i="1"/>
  <c r="AX6434" i="1" s="1"/>
  <c r="M6434" i="1"/>
  <c r="U6434" i="1" s="1"/>
  <c r="AT6432" i="1"/>
  <c r="AX6432" i="1" s="1"/>
  <c r="U6432" i="1"/>
  <c r="AT6430" i="1"/>
  <c r="AX6430" i="1" s="1"/>
  <c r="U6430" i="1"/>
  <c r="AT6428" i="1"/>
  <c r="AX6428" i="1" s="1"/>
  <c r="U6428" i="1"/>
  <c r="AT6426" i="1"/>
  <c r="AX6426" i="1" s="1"/>
  <c r="M6426" i="1"/>
  <c r="U6426" i="1" s="1"/>
  <c r="AT6424" i="1"/>
  <c r="AX6424" i="1" s="1"/>
  <c r="M6424" i="1"/>
  <c r="U6424" i="1" s="1"/>
  <c r="AT6422" i="1"/>
  <c r="AX6422" i="1" s="1"/>
  <c r="M6422" i="1"/>
  <c r="U6422" i="1" s="1"/>
  <c r="AT6420" i="1"/>
  <c r="AX6420" i="1" s="1"/>
  <c r="M6420" i="1"/>
  <c r="U6420" i="1" s="1"/>
  <c r="AT6418" i="1"/>
  <c r="AX6418" i="1" s="1"/>
  <c r="M6418" i="1"/>
  <c r="U6418" i="1" s="1"/>
  <c r="AT6416" i="1"/>
  <c r="AX6416" i="1" s="1"/>
  <c r="M6416" i="1"/>
  <c r="U6416" i="1" s="1"/>
  <c r="AT6414" i="1"/>
  <c r="AX6414" i="1" s="1"/>
  <c r="M6414" i="1"/>
  <c r="U6414" i="1" s="1"/>
  <c r="AT6412" i="1"/>
  <c r="AX6412" i="1" s="1"/>
  <c r="M6412" i="1"/>
  <c r="U6412" i="1" s="1"/>
  <c r="AT6410" i="1"/>
  <c r="AX6410" i="1" s="1"/>
  <c r="M6410" i="1"/>
  <c r="U6410" i="1" s="1"/>
  <c r="AT6408" i="1"/>
  <c r="AX6408" i="1" s="1"/>
  <c r="M6408" i="1"/>
  <c r="U6408" i="1" s="1"/>
  <c r="AT6406" i="1"/>
  <c r="AX6406" i="1" s="1"/>
  <c r="M6406" i="1"/>
  <c r="U6406" i="1" s="1"/>
  <c r="AT6404" i="1"/>
  <c r="AX6404" i="1" s="1"/>
  <c r="M6404" i="1"/>
  <c r="U6404" i="1" s="1"/>
  <c r="AT6402" i="1"/>
  <c r="AX6402" i="1" s="1"/>
  <c r="M6402" i="1"/>
  <c r="U6402" i="1" s="1"/>
  <c r="AT6400" i="1"/>
  <c r="AX6400" i="1" s="1"/>
  <c r="M6400" i="1"/>
  <c r="U6400" i="1" s="1"/>
  <c r="AT6398" i="1"/>
  <c r="AX6398" i="1" s="1"/>
  <c r="M6398" i="1"/>
  <c r="U6398" i="1" s="1"/>
  <c r="AT6396" i="1"/>
  <c r="AX6396" i="1" s="1"/>
  <c r="M6396" i="1"/>
  <c r="U6396" i="1" s="1"/>
  <c r="AT6394" i="1"/>
  <c r="AX6394" i="1" s="1"/>
  <c r="M6394" i="1"/>
  <c r="U6394" i="1" s="1"/>
  <c r="AT6392" i="1"/>
  <c r="AX6392" i="1" s="1"/>
  <c r="M6392" i="1"/>
  <c r="U6392" i="1" s="1"/>
  <c r="AT6390" i="1"/>
  <c r="AX6390" i="1" s="1"/>
  <c r="M6390" i="1"/>
  <c r="U6390" i="1" s="1"/>
  <c r="AT6388" i="1"/>
  <c r="AX6388" i="1" s="1"/>
  <c r="U6388" i="1"/>
  <c r="AT6386" i="1"/>
  <c r="AX6386" i="1" s="1"/>
  <c r="M6386" i="1"/>
  <c r="U6386" i="1" s="1"/>
  <c r="AT6384" i="1"/>
  <c r="AX6384" i="1" s="1"/>
  <c r="M6384" i="1"/>
  <c r="U6384" i="1" s="1"/>
  <c r="AT6382" i="1"/>
  <c r="AX6382" i="1" s="1"/>
  <c r="M6382" i="1"/>
  <c r="U6382" i="1" s="1"/>
  <c r="AT6380" i="1"/>
  <c r="AX6380" i="1" s="1"/>
  <c r="M6380" i="1"/>
  <c r="U6380" i="1" s="1"/>
  <c r="AT6378" i="1"/>
  <c r="AX6378" i="1" s="1"/>
  <c r="M6378" i="1"/>
  <c r="U6378" i="1" s="1"/>
  <c r="AT6376" i="1"/>
  <c r="AX6376" i="1" s="1"/>
  <c r="M6376" i="1"/>
  <c r="AT6374" i="1"/>
  <c r="AX6374" i="1" s="1"/>
  <c r="M6374" i="1"/>
  <c r="U6374" i="1" s="1"/>
  <c r="AT6372" i="1"/>
  <c r="AX6372" i="1" s="1"/>
  <c r="M6372" i="1"/>
  <c r="U6372" i="1" s="1"/>
  <c r="AT6370" i="1"/>
  <c r="AX6370" i="1" s="1"/>
  <c r="M6370" i="1"/>
  <c r="U6370" i="1" s="1"/>
  <c r="AT6368" i="1"/>
  <c r="AX6368" i="1" s="1"/>
  <c r="M6368" i="1"/>
  <c r="U6368" i="1" s="1"/>
  <c r="AT6366" i="1"/>
  <c r="AX6366" i="1" s="1"/>
  <c r="M6366" i="1"/>
  <c r="AT6364" i="1"/>
  <c r="AX6364" i="1" s="1"/>
  <c r="M6364" i="1"/>
  <c r="U6364" i="1" s="1"/>
  <c r="AT6362" i="1"/>
  <c r="AX6362" i="1" s="1"/>
  <c r="M6362" i="1"/>
  <c r="U6362" i="1" s="1"/>
  <c r="AT6360" i="1"/>
  <c r="AX6360" i="1" s="1"/>
  <c r="M6360" i="1"/>
  <c r="U6360" i="1" s="1"/>
  <c r="AT6358" i="1"/>
  <c r="AX6358" i="1" s="1"/>
  <c r="M6358" i="1"/>
  <c r="AT6356" i="1"/>
  <c r="AX6356" i="1" s="1"/>
  <c r="M6356" i="1"/>
  <c r="U6356" i="1" s="1"/>
  <c r="AT6354" i="1"/>
  <c r="AX6354" i="1" s="1"/>
  <c r="M6354" i="1"/>
  <c r="U6354" i="1" s="1"/>
  <c r="AT6352" i="1"/>
  <c r="AX6352" i="1" s="1"/>
  <c r="M6352" i="1"/>
  <c r="U6352" i="1" s="1"/>
  <c r="AT6350" i="1"/>
  <c r="AX6350" i="1" s="1"/>
  <c r="M6350" i="1"/>
  <c r="U6350" i="1" s="1"/>
  <c r="AT6348" i="1"/>
  <c r="AX6348" i="1" s="1"/>
  <c r="M6348" i="1"/>
  <c r="U6348" i="1" s="1"/>
  <c r="AT6346" i="1"/>
  <c r="AX6346" i="1" s="1"/>
  <c r="M6346" i="1"/>
  <c r="U6346" i="1" s="1"/>
  <c r="AT6344" i="1"/>
  <c r="AX6344" i="1" s="1"/>
  <c r="M6344" i="1"/>
  <c r="U6344" i="1" s="1"/>
  <c r="AT6342" i="1"/>
  <c r="AX6342" i="1" s="1"/>
  <c r="M6342" i="1"/>
  <c r="U6342" i="1" s="1"/>
  <c r="AT6340" i="1"/>
  <c r="AX6340" i="1" s="1"/>
  <c r="M6340" i="1"/>
  <c r="U6340" i="1" s="1"/>
  <c r="AT6338" i="1"/>
  <c r="AX6338" i="1" s="1"/>
  <c r="M6338" i="1"/>
  <c r="U6338" i="1" s="1"/>
  <c r="AT6336" i="1"/>
  <c r="AX6336" i="1" s="1"/>
  <c r="M6336" i="1"/>
  <c r="U6336" i="1" s="1"/>
  <c r="AT6334" i="1"/>
  <c r="AX6334" i="1" s="1"/>
  <c r="M6334" i="1"/>
  <c r="U6334" i="1" s="1"/>
  <c r="AT6332" i="1"/>
  <c r="AX6332" i="1" s="1"/>
  <c r="M6332" i="1"/>
  <c r="U6332" i="1" s="1"/>
  <c r="AT6330" i="1"/>
  <c r="AX6330" i="1" s="1"/>
  <c r="M6330" i="1"/>
  <c r="AT6320" i="1"/>
  <c r="AX6320" i="1" s="1"/>
  <c r="M6320" i="1"/>
  <c r="U6320" i="1" s="1"/>
  <c r="AT6318" i="1"/>
  <c r="AX6318" i="1" s="1"/>
  <c r="M6318" i="1"/>
  <c r="U6318" i="1" s="1"/>
  <c r="AT6316" i="1"/>
  <c r="AX6316" i="1" s="1"/>
  <c r="M6316" i="1"/>
  <c r="U6316" i="1" s="1"/>
  <c r="AT6314" i="1"/>
  <c r="AX6314" i="1" s="1"/>
  <c r="M6314" i="1"/>
  <c r="U6314" i="1" s="1"/>
  <c r="AT6312" i="1"/>
  <c r="AX6312" i="1" s="1"/>
  <c r="M6312" i="1"/>
  <c r="U6312" i="1" s="1"/>
  <c r="AT6310" i="1"/>
  <c r="AX6310" i="1" s="1"/>
  <c r="M6310" i="1"/>
  <c r="U6310" i="1" s="1"/>
  <c r="AT6308" i="1"/>
  <c r="AX6308" i="1" s="1"/>
  <c r="M6308" i="1"/>
  <c r="U6308" i="1" s="1"/>
  <c r="AT6306" i="1"/>
  <c r="AX6306" i="1" s="1"/>
  <c r="M6306" i="1"/>
  <c r="U6306" i="1" s="1"/>
  <c r="AT6304" i="1"/>
  <c r="AX6304" i="1" s="1"/>
  <c r="M6304" i="1"/>
  <c r="U6304" i="1" s="1"/>
  <c r="AT6302" i="1"/>
  <c r="AX6302" i="1" s="1"/>
  <c r="M6302" i="1"/>
  <c r="U6302" i="1" s="1"/>
  <c r="AT6300" i="1"/>
  <c r="AX6300" i="1" s="1"/>
  <c r="M6300" i="1"/>
  <c r="U6300" i="1" s="1"/>
  <c r="AT6298" i="1"/>
  <c r="AX6298" i="1" s="1"/>
  <c r="M6298" i="1"/>
  <c r="U6298" i="1" s="1"/>
  <c r="AT6296" i="1"/>
  <c r="AX6296" i="1" s="1"/>
  <c r="M6296" i="1"/>
  <c r="U6296" i="1" s="1"/>
  <c r="AT6294" i="1"/>
  <c r="AX6294" i="1" s="1"/>
  <c r="M6294" i="1"/>
  <c r="U6294" i="1" s="1"/>
  <c r="AT6292" i="1"/>
  <c r="AX6292" i="1" s="1"/>
  <c r="M6292" i="1"/>
  <c r="U6292" i="1" s="1"/>
  <c r="AT6290" i="1"/>
  <c r="AX6290" i="1" s="1"/>
  <c r="M6290" i="1"/>
  <c r="U6290" i="1" s="1"/>
  <c r="AT6288" i="1"/>
  <c r="AX6288" i="1" s="1"/>
  <c r="M6288" i="1"/>
  <c r="U6288" i="1" s="1"/>
  <c r="AT6286" i="1"/>
  <c r="AX6286" i="1" s="1"/>
  <c r="M6286" i="1"/>
  <c r="U6286" i="1" s="1"/>
  <c r="AT6284" i="1"/>
  <c r="AX6284" i="1" s="1"/>
  <c r="M6284" i="1"/>
  <c r="U6284" i="1" s="1"/>
  <c r="AT6282" i="1"/>
  <c r="AX6282" i="1" s="1"/>
  <c r="M6282" i="1"/>
  <c r="U6282" i="1" s="1"/>
  <c r="AT6280" i="1"/>
  <c r="AX6280" i="1" s="1"/>
  <c r="M6280" i="1"/>
  <c r="U6280" i="1" s="1"/>
  <c r="AT6278" i="1"/>
  <c r="AX6278" i="1" s="1"/>
  <c r="M6278" i="1"/>
  <c r="U6278" i="1" s="1"/>
  <c r="AT6276" i="1"/>
  <c r="AX6276" i="1" s="1"/>
  <c r="M6276" i="1"/>
  <c r="U6276" i="1" s="1"/>
  <c r="AT6274" i="1"/>
  <c r="AX6274" i="1" s="1"/>
  <c r="M6274" i="1"/>
  <c r="U6274" i="1" s="1"/>
  <c r="AT6272" i="1"/>
  <c r="AX6272" i="1" s="1"/>
  <c r="M6272" i="1"/>
  <c r="U6272" i="1" s="1"/>
  <c r="AT6270" i="1"/>
  <c r="AX6270" i="1" s="1"/>
  <c r="M6270" i="1"/>
  <c r="U6270" i="1" s="1"/>
  <c r="AT6268" i="1"/>
  <c r="AX6268" i="1" s="1"/>
  <c r="M6268" i="1"/>
  <c r="U6268" i="1" s="1"/>
  <c r="AT6266" i="1"/>
  <c r="AX6266" i="1" s="1"/>
  <c r="M6266" i="1"/>
  <c r="U6266" i="1" s="1"/>
  <c r="AT6264" i="1"/>
  <c r="AX6264" i="1" s="1"/>
  <c r="M6264" i="1"/>
  <c r="U6264" i="1" s="1"/>
  <c r="AT6262" i="1"/>
  <c r="AX6262" i="1" s="1"/>
  <c r="M6262" i="1"/>
  <c r="U6262" i="1" s="1"/>
  <c r="AT6260" i="1"/>
  <c r="AX6260" i="1" s="1"/>
  <c r="M6260" i="1"/>
  <c r="U6260" i="1" s="1"/>
  <c r="AT6258" i="1"/>
  <c r="AX6258" i="1" s="1"/>
  <c r="M6258" i="1"/>
  <c r="U6258" i="1" s="1"/>
  <c r="AT6256" i="1"/>
  <c r="AX6256" i="1" s="1"/>
  <c r="M6256" i="1"/>
  <c r="U6256" i="1" s="1"/>
  <c r="AT6254" i="1"/>
  <c r="AX6254" i="1" s="1"/>
  <c r="M6254" i="1"/>
  <c r="U6254" i="1" s="1"/>
  <c r="AT6252" i="1"/>
  <c r="AX6252" i="1" s="1"/>
  <c r="M6252" i="1"/>
  <c r="U6252" i="1" s="1"/>
  <c r="AT6250" i="1"/>
  <c r="AX6250" i="1" s="1"/>
  <c r="M6250" i="1"/>
  <c r="U6250" i="1" s="1"/>
  <c r="AT6248" i="1"/>
  <c r="AX6248" i="1" s="1"/>
  <c r="M6248" i="1"/>
  <c r="U6248" i="1" s="1"/>
  <c r="AT6246" i="1"/>
  <c r="AX6246" i="1" s="1"/>
  <c r="M6246" i="1"/>
  <c r="U6246" i="1" s="1"/>
  <c r="AT6244" i="1"/>
  <c r="AX6244" i="1" s="1"/>
  <c r="M6244" i="1"/>
  <c r="U6244" i="1" s="1"/>
  <c r="AT6242" i="1"/>
  <c r="AX6242" i="1" s="1"/>
  <c r="M6242" i="1"/>
  <c r="U6242" i="1" s="1"/>
  <c r="AT6240" i="1"/>
  <c r="AX6240" i="1" s="1"/>
  <c r="M6240" i="1"/>
  <c r="U6240" i="1" s="1"/>
  <c r="AT6238" i="1"/>
  <c r="AX6238" i="1" s="1"/>
  <c r="M6238" i="1"/>
  <c r="U6238" i="1" s="1"/>
  <c r="AT6236" i="1"/>
  <c r="AX6236" i="1" s="1"/>
  <c r="M6236" i="1"/>
  <c r="U6236" i="1" s="1"/>
  <c r="AT6234" i="1"/>
  <c r="AX6234" i="1" s="1"/>
  <c r="AT6232" i="1"/>
  <c r="AX6232" i="1" s="1"/>
  <c r="AT6230" i="1"/>
  <c r="AX6230" i="1" s="1"/>
  <c r="AT6228" i="1"/>
  <c r="AX6228" i="1" s="1"/>
  <c r="AT6226" i="1"/>
  <c r="AX6226" i="1" s="1"/>
  <c r="AT6224" i="1"/>
  <c r="AX6224" i="1" s="1"/>
  <c r="AT6222" i="1"/>
  <c r="AX6222" i="1" s="1"/>
  <c r="AT6220" i="1"/>
  <c r="AX6220" i="1" s="1"/>
  <c r="AT6218" i="1"/>
  <c r="AX6218" i="1" s="1"/>
  <c r="AT6216" i="1"/>
  <c r="AX6216" i="1" s="1"/>
  <c r="AT6214" i="1"/>
  <c r="AX6214" i="1" s="1"/>
  <c r="AT6212" i="1"/>
  <c r="AX6212" i="1" s="1"/>
  <c r="AT6210" i="1"/>
  <c r="AX6210" i="1" s="1"/>
  <c r="AT6208" i="1"/>
  <c r="AX6208" i="1" s="1"/>
  <c r="AT6206" i="1"/>
  <c r="AX6206" i="1" s="1"/>
  <c r="AT6204" i="1"/>
  <c r="AX6204" i="1" s="1"/>
  <c r="M6204" i="1"/>
  <c r="AT6202" i="1"/>
  <c r="AX6202" i="1" s="1"/>
  <c r="M6202" i="1"/>
  <c r="U6202" i="1" s="1"/>
  <c r="AT6200" i="1"/>
  <c r="AX6200" i="1" s="1"/>
  <c r="M6200" i="1"/>
  <c r="U6200" i="1" s="1"/>
  <c r="AT6198" i="1"/>
  <c r="AX6198" i="1" s="1"/>
  <c r="M6198" i="1"/>
  <c r="U6198" i="1" s="1"/>
  <c r="AT6196" i="1"/>
  <c r="AX6196" i="1" s="1"/>
  <c r="M6196" i="1"/>
  <c r="AT6194" i="1"/>
  <c r="AX6194" i="1" s="1"/>
  <c r="M6194" i="1"/>
  <c r="AT6192" i="1"/>
  <c r="AX6192" i="1" s="1"/>
  <c r="M6192" i="1"/>
  <c r="U6192" i="1" s="1"/>
  <c r="AT6190" i="1"/>
  <c r="AX6190" i="1" s="1"/>
  <c r="M6190" i="1"/>
  <c r="U6190" i="1" s="1"/>
  <c r="AT6188" i="1"/>
  <c r="AX6188" i="1" s="1"/>
  <c r="M6188" i="1"/>
  <c r="U6188" i="1" s="1"/>
  <c r="AT6186" i="1"/>
  <c r="AX6186" i="1" s="1"/>
  <c r="M6186" i="1"/>
  <c r="U6186" i="1" s="1"/>
  <c r="AT6184" i="1"/>
  <c r="AX6184" i="1" s="1"/>
  <c r="M6184" i="1"/>
  <c r="U6184" i="1" s="1"/>
  <c r="AT6182" i="1"/>
  <c r="AX6182" i="1" s="1"/>
  <c r="M6182" i="1"/>
  <c r="U6182" i="1" s="1"/>
  <c r="AT6180" i="1"/>
  <c r="AX6180" i="1" s="1"/>
  <c r="M6180" i="1"/>
  <c r="U6180" i="1" s="1"/>
  <c r="AT6178" i="1"/>
  <c r="AX6178" i="1" s="1"/>
  <c r="M6178" i="1"/>
  <c r="U6178" i="1" s="1"/>
  <c r="AT6176" i="1"/>
  <c r="AX6176" i="1" s="1"/>
  <c r="M6176" i="1"/>
  <c r="U6176" i="1" s="1"/>
  <c r="AT6174" i="1"/>
  <c r="AX6174" i="1" s="1"/>
  <c r="M6174" i="1"/>
  <c r="U6174" i="1" s="1"/>
  <c r="AT6172" i="1"/>
  <c r="AX6172" i="1" s="1"/>
  <c r="M6172" i="1"/>
  <c r="U6172" i="1" s="1"/>
  <c r="AT6170" i="1"/>
  <c r="AX6170" i="1" s="1"/>
  <c r="M6170" i="1"/>
  <c r="U6170" i="1" s="1"/>
  <c r="AT6168" i="1"/>
  <c r="AX6168" i="1" s="1"/>
  <c r="U6168" i="1"/>
  <c r="AT6166" i="1"/>
  <c r="AX6166" i="1" s="1"/>
  <c r="M6166" i="1"/>
  <c r="U6166" i="1" s="1"/>
  <c r="AT6164" i="1"/>
  <c r="AX6164" i="1" s="1"/>
  <c r="M6164" i="1"/>
  <c r="U6164" i="1" s="1"/>
  <c r="AT6162" i="1"/>
  <c r="AX6162" i="1" s="1"/>
  <c r="M6162" i="1"/>
  <c r="U6162" i="1" s="1"/>
  <c r="AT6160" i="1"/>
  <c r="AX6160" i="1" s="1"/>
  <c r="M6160" i="1"/>
  <c r="U6160" i="1" s="1"/>
  <c r="AT6158" i="1"/>
  <c r="AX6158" i="1" s="1"/>
  <c r="M6158" i="1"/>
  <c r="U6158" i="1" s="1"/>
  <c r="AT6156" i="1"/>
  <c r="AX6156" i="1" s="1"/>
  <c r="M6156" i="1"/>
  <c r="U6156" i="1" s="1"/>
  <c r="AT6154" i="1"/>
  <c r="AX6154" i="1" s="1"/>
  <c r="M6154" i="1"/>
  <c r="U6154" i="1" s="1"/>
  <c r="AT6152" i="1"/>
  <c r="AX6152" i="1" s="1"/>
  <c r="M6152" i="1"/>
  <c r="U6152" i="1" s="1"/>
  <c r="AT6150" i="1"/>
  <c r="AX6150" i="1" s="1"/>
  <c r="M6150" i="1"/>
  <c r="U6150" i="1" s="1"/>
  <c r="AT6148" i="1"/>
  <c r="AX6148" i="1" s="1"/>
  <c r="M6148" i="1"/>
  <c r="U6148" i="1" s="1"/>
  <c r="AT6146" i="1"/>
  <c r="AX6146" i="1" s="1"/>
  <c r="M6146" i="1"/>
  <c r="U6146" i="1" s="1"/>
  <c r="AT6144" i="1"/>
  <c r="AX6144" i="1" s="1"/>
  <c r="M6144" i="1"/>
  <c r="U6144" i="1" s="1"/>
  <c r="AT6142" i="1"/>
  <c r="AX6142" i="1" s="1"/>
  <c r="M6142" i="1"/>
  <c r="U6142" i="1" s="1"/>
  <c r="AT6140" i="1"/>
  <c r="AX6140" i="1" s="1"/>
  <c r="M6140" i="1"/>
  <c r="U6140" i="1" s="1"/>
  <c r="AT6138" i="1"/>
  <c r="AX6138" i="1" s="1"/>
  <c r="M6138" i="1"/>
  <c r="U6138" i="1" s="1"/>
  <c r="AT6136" i="1"/>
  <c r="AX6136" i="1" s="1"/>
  <c r="M6136" i="1"/>
  <c r="U6136" i="1" s="1"/>
  <c r="AT6134" i="1"/>
  <c r="AX6134" i="1" s="1"/>
  <c r="M6134" i="1"/>
  <c r="U6134" i="1" s="1"/>
  <c r="AT6132" i="1"/>
  <c r="AX6132" i="1" s="1"/>
  <c r="M6132" i="1"/>
  <c r="U6132" i="1" s="1"/>
  <c r="AT6130" i="1"/>
  <c r="AX6130" i="1" s="1"/>
  <c r="M6130" i="1"/>
  <c r="U6130" i="1" s="1"/>
  <c r="AT6128" i="1"/>
  <c r="AX6128" i="1" s="1"/>
  <c r="M6128" i="1"/>
  <c r="U6128" i="1" s="1"/>
  <c r="AT6126" i="1"/>
  <c r="AX6126" i="1" s="1"/>
  <c r="U6126" i="1"/>
  <c r="AT6124" i="1"/>
  <c r="AX6124" i="1" s="1"/>
  <c r="M6124" i="1"/>
  <c r="U6124" i="1" s="1"/>
  <c r="AT6122" i="1"/>
  <c r="AX6122" i="1" s="1"/>
  <c r="M6122" i="1"/>
  <c r="U6122" i="1" s="1"/>
  <c r="AT6120" i="1"/>
  <c r="AX6120" i="1" s="1"/>
  <c r="M6120" i="1"/>
  <c r="U6120" i="1" s="1"/>
  <c r="AT6118" i="1"/>
  <c r="AX6118" i="1" s="1"/>
  <c r="M6118" i="1"/>
  <c r="U6118" i="1" s="1"/>
  <c r="AT6116" i="1"/>
  <c r="AX6116" i="1" s="1"/>
  <c r="M6116" i="1"/>
  <c r="U6116" i="1" s="1"/>
  <c r="AT6114" i="1"/>
  <c r="AX6114" i="1" s="1"/>
  <c r="M6114" i="1"/>
  <c r="U6114" i="1" s="1"/>
  <c r="AT6112" i="1"/>
  <c r="AX6112" i="1" s="1"/>
  <c r="M6112" i="1"/>
  <c r="U6112" i="1" s="1"/>
  <c r="AT6110" i="1"/>
  <c r="AX6110" i="1" s="1"/>
  <c r="M6110" i="1"/>
  <c r="U6110" i="1" s="1"/>
  <c r="AT6108" i="1"/>
  <c r="AX6108" i="1" s="1"/>
  <c r="M6108" i="1"/>
  <c r="U6108" i="1" s="1"/>
  <c r="AT6106" i="1"/>
  <c r="AX6106" i="1" s="1"/>
  <c r="M6106" i="1"/>
  <c r="U6106" i="1" s="1"/>
  <c r="AT6104" i="1"/>
  <c r="AX6104" i="1" s="1"/>
  <c r="M6104" i="1"/>
  <c r="U6104" i="1" s="1"/>
  <c r="AT6102" i="1"/>
  <c r="AX6102" i="1" s="1"/>
  <c r="M6102" i="1"/>
  <c r="U6102" i="1" s="1"/>
  <c r="AT6100" i="1"/>
  <c r="AX6100" i="1" s="1"/>
  <c r="M6100" i="1"/>
  <c r="U6100" i="1" s="1"/>
  <c r="AT6098" i="1"/>
  <c r="AX6098" i="1" s="1"/>
  <c r="M6098" i="1"/>
  <c r="U6098" i="1" s="1"/>
  <c r="AT6096" i="1"/>
  <c r="AX6096" i="1" s="1"/>
  <c r="M6096" i="1"/>
  <c r="U6096" i="1" s="1"/>
  <c r="AT6094" i="1"/>
  <c r="AX6094" i="1" s="1"/>
  <c r="M6094" i="1"/>
  <c r="U6094" i="1" s="1"/>
  <c r="AT6092" i="1"/>
  <c r="AX6092" i="1" s="1"/>
  <c r="M6092" i="1"/>
  <c r="U6092" i="1" s="1"/>
  <c r="AT6090" i="1"/>
  <c r="AX6090" i="1" s="1"/>
  <c r="M6090" i="1"/>
  <c r="AT6088" i="1"/>
  <c r="AX6088" i="1" s="1"/>
  <c r="M6088" i="1"/>
  <c r="U6088" i="1" s="1"/>
  <c r="AT6086" i="1"/>
  <c r="AX6086" i="1" s="1"/>
  <c r="M6086" i="1"/>
  <c r="U6086" i="1" s="1"/>
  <c r="AT6084" i="1"/>
  <c r="AX6084" i="1" s="1"/>
  <c r="M6084" i="1"/>
  <c r="AT6082" i="1"/>
  <c r="AX6082" i="1" s="1"/>
  <c r="M6082" i="1"/>
  <c r="AT6080" i="1"/>
  <c r="AX6080" i="1" s="1"/>
  <c r="M6080" i="1"/>
  <c r="U6080" i="1" s="1"/>
  <c r="AT6078" i="1"/>
  <c r="AX6078" i="1" s="1"/>
  <c r="M6078" i="1"/>
  <c r="U6078" i="1" s="1"/>
  <c r="AT6076" i="1"/>
  <c r="AX6076" i="1" s="1"/>
  <c r="M6076" i="1"/>
  <c r="U6076" i="1" s="1"/>
  <c r="AT6074" i="1"/>
  <c r="AX6074" i="1" s="1"/>
  <c r="M6074" i="1"/>
  <c r="U6074" i="1" s="1"/>
  <c r="AT6072" i="1"/>
  <c r="AX6072" i="1" s="1"/>
  <c r="M6072" i="1"/>
  <c r="U6072" i="1" s="1"/>
  <c r="AT6070" i="1"/>
  <c r="M6070" i="1"/>
  <c r="U6070" i="1" s="1"/>
  <c r="AT6068" i="1"/>
  <c r="AX6068" i="1" s="1"/>
  <c r="M6068" i="1"/>
  <c r="U6068" i="1" s="1"/>
  <c r="AT6066" i="1"/>
  <c r="AX6066" i="1" s="1"/>
  <c r="M6066" i="1"/>
  <c r="U6066" i="1" s="1"/>
  <c r="AT6064" i="1"/>
  <c r="AX6064" i="1" s="1"/>
  <c r="M6064" i="1"/>
  <c r="U6064" i="1" s="1"/>
  <c r="AT6062" i="1"/>
  <c r="AX6062" i="1" s="1"/>
  <c r="M6062" i="1"/>
  <c r="U6062" i="1" s="1"/>
  <c r="AT6060" i="1"/>
  <c r="AX6060" i="1" s="1"/>
  <c r="M6060" i="1"/>
  <c r="U6060" i="1" s="1"/>
  <c r="AT6056" i="1"/>
  <c r="AX6056" i="1" s="1"/>
  <c r="M6056" i="1"/>
  <c r="U6056" i="1" s="1"/>
  <c r="AT6054" i="1"/>
  <c r="AX6054" i="1" s="1"/>
  <c r="M6054" i="1"/>
  <c r="U6054" i="1" s="1"/>
  <c r="AT6052" i="1"/>
  <c r="AX6052" i="1" s="1"/>
  <c r="M6052" i="1"/>
  <c r="U6052" i="1" s="1"/>
  <c r="AT6050" i="1"/>
  <c r="AX6050" i="1" s="1"/>
  <c r="M6050" i="1"/>
  <c r="U6050" i="1" s="1"/>
  <c r="AT6048" i="1"/>
  <c r="AX6048" i="1" s="1"/>
  <c r="M6048" i="1"/>
  <c r="U6048" i="1" s="1"/>
  <c r="AT6046" i="1"/>
  <c r="AX6046" i="1" s="1"/>
  <c r="M6046" i="1"/>
  <c r="U6046" i="1" s="1"/>
  <c r="AT6044" i="1"/>
  <c r="AX6044" i="1" s="1"/>
  <c r="M6044" i="1"/>
  <c r="U6044" i="1" s="1"/>
  <c r="AT6042" i="1"/>
  <c r="AX6042" i="1" s="1"/>
  <c r="M6042" i="1"/>
  <c r="U6042" i="1" s="1"/>
  <c r="AT6040" i="1"/>
  <c r="AX6040" i="1" s="1"/>
  <c r="M6040" i="1"/>
  <c r="U6040" i="1" s="1"/>
  <c r="AT6038" i="1"/>
  <c r="AX6038" i="1" s="1"/>
  <c r="M6038" i="1"/>
  <c r="U6038" i="1" s="1"/>
  <c r="AT6036" i="1"/>
  <c r="AX6036" i="1" s="1"/>
  <c r="M6036" i="1"/>
  <c r="U6036" i="1" s="1"/>
  <c r="AT6034" i="1"/>
  <c r="AX6034" i="1" s="1"/>
  <c r="M6034" i="1"/>
  <c r="U6034" i="1" s="1"/>
  <c r="AT6032" i="1"/>
  <c r="AX6032" i="1" s="1"/>
  <c r="M6032" i="1"/>
  <c r="U6032" i="1" s="1"/>
  <c r="AT6030" i="1"/>
  <c r="AX6030" i="1" s="1"/>
  <c r="M6030" i="1"/>
  <c r="U6030" i="1" s="1"/>
  <c r="AT6028" i="1"/>
  <c r="AX6028" i="1" s="1"/>
  <c r="M6028" i="1"/>
  <c r="U6028" i="1" s="1"/>
  <c r="AT6026" i="1"/>
  <c r="AX6026" i="1" s="1"/>
  <c r="AT6024" i="1"/>
  <c r="AX6024" i="1" s="1"/>
  <c r="AT6022" i="1"/>
  <c r="AX6022" i="1" s="1"/>
  <c r="AT6020" i="1"/>
  <c r="AX6020" i="1" s="1"/>
  <c r="AT6018" i="1"/>
  <c r="AX6018" i="1" s="1"/>
  <c r="AT6016" i="1"/>
  <c r="AX6016" i="1" s="1"/>
  <c r="AT6014" i="1"/>
  <c r="AX6014" i="1" s="1"/>
  <c r="AT6012" i="1"/>
  <c r="AX6012" i="1" s="1"/>
  <c r="AT6008" i="1"/>
  <c r="AX6008" i="1" s="1"/>
  <c r="M6008" i="1"/>
  <c r="U6008" i="1" s="1"/>
  <c r="AT6006" i="1"/>
  <c r="AX6006" i="1" s="1"/>
  <c r="M6006" i="1"/>
  <c r="U6006" i="1" s="1"/>
  <c r="AT6004" i="1"/>
  <c r="AX6004" i="1" s="1"/>
  <c r="M6004" i="1"/>
  <c r="U6004" i="1" s="1"/>
  <c r="AT6002" i="1"/>
  <c r="AX6002" i="1" s="1"/>
  <c r="M6002" i="1"/>
  <c r="U6002" i="1" s="1"/>
  <c r="AT6000" i="1"/>
  <c r="AX6000" i="1" s="1"/>
  <c r="M6000" i="1"/>
  <c r="U6000" i="1" s="1"/>
  <c r="AT5998" i="1"/>
  <c r="AX5998" i="1" s="1"/>
  <c r="M5998" i="1"/>
  <c r="U5998" i="1" s="1"/>
  <c r="AT5996" i="1"/>
  <c r="AX5996" i="1" s="1"/>
  <c r="M5996" i="1"/>
  <c r="U5996" i="1" s="1"/>
  <c r="AT5994" i="1"/>
  <c r="AX5994" i="1" s="1"/>
  <c r="M5994" i="1"/>
  <c r="AT5992" i="1"/>
  <c r="AX5992" i="1" s="1"/>
  <c r="M5992" i="1"/>
  <c r="U5992" i="1" s="1"/>
  <c r="AT5990" i="1"/>
  <c r="AX5990" i="1" s="1"/>
  <c r="M5990" i="1"/>
  <c r="U5990" i="1" s="1"/>
  <c r="O5798" i="1"/>
  <c r="AT5804" i="1"/>
  <c r="AX5804" i="1" s="1"/>
  <c r="M5804" i="1"/>
  <c r="U5804" i="1" s="1"/>
  <c r="AT5802" i="1"/>
  <c r="AX5802" i="1" s="1"/>
  <c r="M5802" i="1"/>
  <c r="U5802" i="1" s="1"/>
  <c r="AT5800" i="1"/>
  <c r="AX5800" i="1" s="1"/>
  <c r="M5800" i="1"/>
  <c r="U5800" i="1" s="1"/>
  <c r="AT5798" i="1"/>
  <c r="AX5798" i="1" s="1"/>
  <c r="M5798" i="1"/>
  <c r="AT5796" i="1"/>
  <c r="AX5796" i="1" s="1"/>
  <c r="M5796" i="1"/>
  <c r="U5796" i="1" s="1"/>
  <c r="O5810" i="1"/>
  <c r="O5794" i="1"/>
  <c r="AT5786" i="1"/>
  <c r="AX5786" i="1" s="1"/>
  <c r="M5786" i="1"/>
  <c r="U5786" i="1" s="1"/>
  <c r="O5732" i="1"/>
  <c r="K5748" i="1"/>
  <c r="M5748" i="1" s="1"/>
  <c r="U5748" i="1" s="1"/>
  <c r="AT5748" i="1"/>
  <c r="AX5748" i="1" s="1"/>
  <c r="K5750" i="1"/>
  <c r="M5750" i="1" s="1"/>
  <c r="U5750" i="1" s="1"/>
  <c r="K5746" i="1"/>
  <c r="M5746" i="1" s="1"/>
  <c r="U5746" i="1" s="1"/>
  <c r="AT5988" i="1"/>
  <c r="AX5988" i="1" s="1"/>
  <c r="M5988" i="1"/>
  <c r="U5988" i="1" s="1"/>
  <c r="AT5986" i="1"/>
  <c r="AX5986" i="1" s="1"/>
  <c r="M5986" i="1"/>
  <c r="U5986" i="1" s="1"/>
  <c r="AT5984" i="1"/>
  <c r="AX5984" i="1" s="1"/>
  <c r="M5984" i="1"/>
  <c r="U5984" i="1" s="1"/>
  <c r="AT5982" i="1"/>
  <c r="AX5982" i="1" s="1"/>
  <c r="M5982" i="1"/>
  <c r="U5982" i="1" s="1"/>
  <c r="AT5980" i="1"/>
  <c r="AX5980" i="1" s="1"/>
  <c r="M5980" i="1"/>
  <c r="U5980" i="1" s="1"/>
  <c r="AT5978" i="1"/>
  <c r="AX5978" i="1" s="1"/>
  <c r="M5978" i="1"/>
  <c r="U5978" i="1" s="1"/>
  <c r="AT5976" i="1"/>
  <c r="AX5976" i="1" s="1"/>
  <c r="M5976" i="1"/>
  <c r="U5976" i="1" s="1"/>
  <c r="AT5974" i="1"/>
  <c r="AX5974" i="1" s="1"/>
  <c r="M5974" i="1"/>
  <c r="U5974" i="1" s="1"/>
  <c r="AT5972" i="1"/>
  <c r="AX5972" i="1" s="1"/>
  <c r="M5972" i="1"/>
  <c r="U5972" i="1" s="1"/>
  <c r="AT5970" i="1"/>
  <c r="AX5970" i="1" s="1"/>
  <c r="M5970" i="1"/>
  <c r="U5970" i="1" s="1"/>
  <c r="AT5968" i="1"/>
  <c r="AX5968" i="1" s="1"/>
  <c r="M5968" i="1"/>
  <c r="U5968" i="1" s="1"/>
  <c r="AT5966" i="1"/>
  <c r="AX5966" i="1" s="1"/>
  <c r="M5966" i="1"/>
  <c r="U5966" i="1" s="1"/>
  <c r="AT5964" i="1"/>
  <c r="AX5964" i="1" s="1"/>
  <c r="M5964" i="1"/>
  <c r="U5964" i="1" s="1"/>
  <c r="AT5962" i="1"/>
  <c r="AX5962" i="1" s="1"/>
  <c r="M5962" i="1"/>
  <c r="U5962" i="1" s="1"/>
  <c r="AT5960" i="1"/>
  <c r="AX5960" i="1" s="1"/>
  <c r="M5960" i="1"/>
  <c r="U5960" i="1" s="1"/>
  <c r="AT5958" i="1"/>
  <c r="AX5958" i="1" s="1"/>
  <c r="M5958" i="1"/>
  <c r="U5958" i="1" s="1"/>
  <c r="AT5956" i="1"/>
  <c r="AX5956" i="1" s="1"/>
  <c r="M5956" i="1"/>
  <c r="U5956" i="1" s="1"/>
  <c r="AT5954" i="1"/>
  <c r="AX5954" i="1" s="1"/>
  <c r="M5954" i="1"/>
  <c r="U5954" i="1" s="1"/>
  <c r="AT5952" i="1"/>
  <c r="AX5952" i="1" s="1"/>
  <c r="M5952" i="1"/>
  <c r="U5952" i="1" s="1"/>
  <c r="AT5950" i="1"/>
  <c r="AX5950" i="1" s="1"/>
  <c r="M5950" i="1"/>
  <c r="U5950" i="1" s="1"/>
  <c r="AT5948" i="1"/>
  <c r="AX5948" i="1" s="1"/>
  <c r="M5948" i="1"/>
  <c r="U5948" i="1" s="1"/>
  <c r="AT5946" i="1"/>
  <c r="AX5946" i="1" s="1"/>
  <c r="M5946" i="1"/>
  <c r="U5946" i="1" s="1"/>
  <c r="AT5944" i="1"/>
  <c r="AX5944" i="1" s="1"/>
  <c r="M5944" i="1"/>
  <c r="U5944" i="1" s="1"/>
  <c r="AT5942" i="1"/>
  <c r="AX5942" i="1" s="1"/>
  <c r="M5942" i="1"/>
  <c r="U5942" i="1" s="1"/>
  <c r="AT5940" i="1"/>
  <c r="AX5940" i="1" s="1"/>
  <c r="M5940" i="1"/>
  <c r="U5940" i="1" s="1"/>
  <c r="AT5938" i="1"/>
  <c r="AX5938" i="1" s="1"/>
  <c r="M5938" i="1"/>
  <c r="U5938" i="1" s="1"/>
  <c r="AT5936" i="1"/>
  <c r="AX5936" i="1" s="1"/>
  <c r="U5936" i="1"/>
  <c r="AT5934" i="1"/>
  <c r="AX5934" i="1" s="1"/>
  <c r="M5934" i="1"/>
  <c r="U5934" i="1" s="1"/>
  <c r="AT5932" i="1"/>
  <c r="AX5932" i="1" s="1"/>
  <c r="M5932" i="1"/>
  <c r="U5932" i="1" s="1"/>
  <c r="AT5930" i="1"/>
  <c r="AX5930" i="1" s="1"/>
  <c r="M5930" i="1"/>
  <c r="U5930" i="1" s="1"/>
  <c r="AT5928" i="1"/>
  <c r="AX5928" i="1" s="1"/>
  <c r="M5928" i="1"/>
  <c r="U5928" i="1" s="1"/>
  <c r="AT5926" i="1"/>
  <c r="AX5926" i="1" s="1"/>
  <c r="M5926" i="1"/>
  <c r="U5926" i="1" s="1"/>
  <c r="AT5924" i="1"/>
  <c r="AX5924" i="1" s="1"/>
  <c r="M5924" i="1"/>
  <c r="U5924" i="1" s="1"/>
  <c r="AT5922" i="1"/>
  <c r="AX5922" i="1" s="1"/>
  <c r="M5922" i="1"/>
  <c r="U5922" i="1" s="1"/>
  <c r="AT5920" i="1"/>
  <c r="AX5920" i="1" s="1"/>
  <c r="M5920" i="1"/>
  <c r="U5920" i="1" s="1"/>
  <c r="AT5918" i="1"/>
  <c r="AX5918" i="1" s="1"/>
  <c r="M5918" i="1"/>
  <c r="U5918" i="1" s="1"/>
  <c r="AT5916" i="1"/>
  <c r="AX5916" i="1" s="1"/>
  <c r="M5916" i="1"/>
  <c r="U5916" i="1" s="1"/>
  <c r="AT5914" i="1"/>
  <c r="AX5914" i="1" s="1"/>
  <c r="M5914" i="1"/>
  <c r="U5914" i="1" s="1"/>
  <c r="AT5912" i="1"/>
  <c r="AX5912" i="1" s="1"/>
  <c r="M5912" i="1"/>
  <c r="U5912" i="1" s="1"/>
  <c r="AT5910" i="1"/>
  <c r="AX5910" i="1" s="1"/>
  <c r="M5910" i="1"/>
  <c r="U5910" i="1" s="1"/>
  <c r="AT5908" i="1"/>
  <c r="AX5908" i="1" s="1"/>
  <c r="M5908" i="1"/>
  <c r="U5908" i="1" s="1"/>
  <c r="AT5906" i="1"/>
  <c r="AX5906" i="1" s="1"/>
  <c r="M5906" i="1"/>
  <c r="U5906" i="1" s="1"/>
  <c r="AT5904" i="1"/>
  <c r="AX5904" i="1" s="1"/>
  <c r="M5904" i="1"/>
  <c r="U5904" i="1" s="1"/>
  <c r="AT5902" i="1"/>
  <c r="AX5902" i="1" s="1"/>
  <c r="M5902" i="1"/>
  <c r="U5902" i="1" s="1"/>
  <c r="AT5900" i="1"/>
  <c r="AX5900" i="1" s="1"/>
  <c r="M5900" i="1"/>
  <c r="U5900" i="1" s="1"/>
  <c r="AT5898" i="1"/>
  <c r="AX5898" i="1" s="1"/>
  <c r="M5898" i="1"/>
  <c r="U5898" i="1" s="1"/>
  <c r="AT5896" i="1"/>
  <c r="AX5896" i="1" s="1"/>
  <c r="M5896" i="1"/>
  <c r="U5896" i="1" s="1"/>
  <c r="AT5894" i="1"/>
  <c r="AX5894" i="1" s="1"/>
  <c r="M5894" i="1"/>
  <c r="U5894" i="1" s="1"/>
  <c r="AT5892" i="1"/>
  <c r="AX5892" i="1" s="1"/>
  <c r="M5892" i="1"/>
  <c r="U5892" i="1" s="1"/>
  <c r="AT5890" i="1"/>
  <c r="AX5890" i="1" s="1"/>
  <c r="M5890" i="1"/>
  <c r="U5890" i="1" s="1"/>
  <c r="AT5888" i="1"/>
  <c r="AX5888" i="1" s="1"/>
  <c r="M5888" i="1"/>
  <c r="U5888" i="1" s="1"/>
  <c r="AT5886" i="1"/>
  <c r="AX5886" i="1" s="1"/>
  <c r="M5886" i="1"/>
  <c r="U5886" i="1" s="1"/>
  <c r="AT5884" i="1"/>
  <c r="AX5884" i="1" s="1"/>
  <c r="M5884" i="1"/>
  <c r="U5884" i="1" s="1"/>
  <c r="AT5882" i="1"/>
  <c r="AX5882" i="1" s="1"/>
  <c r="M5882" i="1"/>
  <c r="U5882" i="1" s="1"/>
  <c r="AT5880" i="1"/>
  <c r="AX5880" i="1" s="1"/>
  <c r="M5880" i="1"/>
  <c r="U5880" i="1" s="1"/>
  <c r="AT5878" i="1"/>
  <c r="AX5878" i="1" s="1"/>
  <c r="M5878" i="1"/>
  <c r="U5878" i="1" s="1"/>
  <c r="AT5876" i="1"/>
  <c r="AX5876" i="1" s="1"/>
  <c r="M5876" i="1"/>
  <c r="U5876" i="1" s="1"/>
  <c r="AT5874" i="1"/>
  <c r="AX5874" i="1" s="1"/>
  <c r="M5874" i="1"/>
  <c r="U5874" i="1" s="1"/>
  <c r="AT5872" i="1"/>
  <c r="AX5872" i="1" s="1"/>
  <c r="M5872" i="1"/>
  <c r="U5872" i="1" s="1"/>
  <c r="AT5870" i="1"/>
  <c r="AX5870" i="1" s="1"/>
  <c r="M5870" i="1"/>
  <c r="U5870" i="1" s="1"/>
  <c r="AT5868" i="1"/>
  <c r="AX5868" i="1" s="1"/>
  <c r="M5868" i="1"/>
  <c r="U5868" i="1" s="1"/>
  <c r="AT5866" i="1"/>
  <c r="AX5866" i="1" s="1"/>
  <c r="M5866" i="1"/>
  <c r="U5866" i="1" s="1"/>
  <c r="AT5864" i="1"/>
  <c r="AX5864" i="1" s="1"/>
  <c r="M5864" i="1"/>
  <c r="U5864" i="1" s="1"/>
  <c r="AT5862" i="1"/>
  <c r="AX5862" i="1" s="1"/>
  <c r="M5862" i="1"/>
  <c r="U5862" i="1" s="1"/>
  <c r="AT5860" i="1"/>
  <c r="AX5860" i="1" s="1"/>
  <c r="M5860" i="1"/>
  <c r="U5860" i="1" s="1"/>
  <c r="AT5858" i="1"/>
  <c r="AX5858" i="1" s="1"/>
  <c r="M5858" i="1"/>
  <c r="U5858" i="1" s="1"/>
  <c r="AT5856" i="1"/>
  <c r="AX5856" i="1" s="1"/>
  <c r="M5856" i="1"/>
  <c r="U5856" i="1" s="1"/>
  <c r="AT5854" i="1"/>
  <c r="AX5854" i="1" s="1"/>
  <c r="M5854" i="1"/>
  <c r="U5854" i="1" s="1"/>
  <c r="AT5852" i="1"/>
  <c r="AX5852" i="1" s="1"/>
  <c r="U5852" i="1"/>
  <c r="AT5850" i="1"/>
  <c r="AX5850" i="1" s="1"/>
  <c r="M5850" i="1"/>
  <c r="U5850" i="1" s="1"/>
  <c r="AT5848" i="1"/>
  <c r="AX5848" i="1" s="1"/>
  <c r="M5848" i="1"/>
  <c r="U5848" i="1" s="1"/>
  <c r="AT5846" i="1"/>
  <c r="AX5846" i="1" s="1"/>
  <c r="M5846" i="1"/>
  <c r="U5846" i="1" s="1"/>
  <c r="AT5844" i="1"/>
  <c r="AX5844" i="1" s="1"/>
  <c r="M5844" i="1"/>
  <c r="U5844" i="1" s="1"/>
  <c r="AT5842" i="1"/>
  <c r="AX5842" i="1" s="1"/>
  <c r="M5842" i="1"/>
  <c r="U5842" i="1" s="1"/>
  <c r="AT5840" i="1"/>
  <c r="AX5840" i="1" s="1"/>
  <c r="M5840" i="1"/>
  <c r="U5840" i="1" s="1"/>
  <c r="AT5838" i="1"/>
  <c r="AX5838" i="1" s="1"/>
  <c r="M5838" i="1"/>
  <c r="U5838" i="1" s="1"/>
  <c r="AT5836" i="1"/>
  <c r="AX5836" i="1" s="1"/>
  <c r="M5836" i="1"/>
  <c r="U5836" i="1" s="1"/>
  <c r="AT5834" i="1"/>
  <c r="AX5834" i="1" s="1"/>
  <c r="M5834" i="1"/>
  <c r="U5834" i="1" s="1"/>
  <c r="AT5832" i="1"/>
  <c r="AX5832" i="1" s="1"/>
  <c r="M5832" i="1"/>
  <c r="U5832" i="1" s="1"/>
  <c r="AT5830" i="1"/>
  <c r="AX5830" i="1" s="1"/>
  <c r="M5830" i="1"/>
  <c r="U5830" i="1" s="1"/>
  <c r="K5664" i="1"/>
  <c r="M5664" i="1" s="1"/>
  <c r="U5664" i="1" s="1"/>
  <c r="K5662" i="1"/>
  <c r="K5660" i="1"/>
  <c r="M5660" i="1" s="1"/>
  <c r="U5660" i="1" s="1"/>
  <c r="K5658" i="1"/>
  <c r="M5658" i="1" s="1"/>
  <c r="K5656" i="1"/>
  <c r="M5656" i="1" s="1"/>
  <c r="U5656" i="1" s="1"/>
  <c r="K5654" i="1"/>
  <c r="M5654" i="1" s="1"/>
  <c r="U5654" i="1" s="1"/>
  <c r="K5652" i="1"/>
  <c r="M5652" i="1" s="1"/>
  <c r="U5652" i="1" s="1"/>
  <c r="K5650" i="1"/>
  <c r="M5650" i="1" s="1"/>
  <c r="U5650" i="1" s="1"/>
  <c r="K5648" i="1"/>
  <c r="M5648" i="1" s="1"/>
  <c r="U5648" i="1" s="1"/>
  <c r="K5646" i="1"/>
  <c r="M5646" i="1" s="1"/>
  <c r="U5646" i="1" s="1"/>
  <c r="K5644" i="1"/>
  <c r="M5644" i="1" s="1"/>
  <c r="K5642" i="1"/>
  <c r="M5642" i="1" s="1"/>
  <c r="U5642" i="1" s="1"/>
  <c r="O5640" i="1"/>
  <c r="O5604" i="1"/>
  <c r="O5602" i="1"/>
  <c r="O5578" i="1"/>
  <c r="O5576" i="1"/>
  <c r="O5574" i="1"/>
  <c r="AT5828" i="1"/>
  <c r="AX5828" i="1" s="1"/>
  <c r="M5828" i="1"/>
  <c r="U5828" i="1" s="1"/>
  <c r="AT5826" i="1"/>
  <c r="AX5826" i="1" s="1"/>
  <c r="M5826" i="1"/>
  <c r="U5826" i="1" s="1"/>
  <c r="AT5824" i="1"/>
  <c r="AX5824" i="1" s="1"/>
  <c r="M5824" i="1"/>
  <c r="U5824" i="1" s="1"/>
  <c r="AT5822" i="1"/>
  <c r="AX5822" i="1" s="1"/>
  <c r="M5822" i="1"/>
  <c r="U5822" i="1" s="1"/>
  <c r="AT5820" i="1"/>
  <c r="AX5820" i="1" s="1"/>
  <c r="M5820" i="1"/>
  <c r="U5820" i="1" s="1"/>
  <c r="AT5818" i="1"/>
  <c r="AX5818" i="1" s="1"/>
  <c r="M5818" i="1"/>
  <c r="U5818" i="1" s="1"/>
  <c r="AT5816" i="1"/>
  <c r="AX5816" i="1" s="1"/>
  <c r="M5816" i="1"/>
  <c r="U5816" i="1" s="1"/>
  <c r="AT5814" i="1"/>
  <c r="AX5814" i="1" s="1"/>
  <c r="U5814" i="1"/>
  <c r="AT5812" i="1"/>
  <c r="AX5812" i="1" s="1"/>
  <c r="M5812" i="1"/>
  <c r="U5812" i="1" s="1"/>
  <c r="AT5810" i="1"/>
  <c r="AX5810" i="1" s="1"/>
  <c r="M5810" i="1"/>
  <c r="AT5808" i="1"/>
  <c r="AX5808" i="1" s="1"/>
  <c r="M5808" i="1"/>
  <c r="U5808" i="1" s="1"/>
  <c r="AT5806" i="1"/>
  <c r="AX5806" i="1" s="1"/>
  <c r="M5806" i="1"/>
  <c r="U5806" i="1" s="1"/>
  <c r="AT5794" i="1"/>
  <c r="AX5794" i="1" s="1"/>
  <c r="M5794" i="1"/>
  <c r="AT5792" i="1"/>
  <c r="AX5792" i="1" s="1"/>
  <c r="M5792" i="1"/>
  <c r="U5792" i="1" s="1"/>
  <c r="AT5790" i="1"/>
  <c r="AX5790" i="1" s="1"/>
  <c r="M5790" i="1"/>
  <c r="U5790" i="1" s="1"/>
  <c r="AT5788" i="1"/>
  <c r="AX5788" i="1" s="1"/>
  <c r="M5788" i="1"/>
  <c r="U5788" i="1" s="1"/>
  <c r="AT5784" i="1"/>
  <c r="AX5784" i="1" s="1"/>
  <c r="M5784" i="1"/>
  <c r="U5784" i="1" s="1"/>
  <c r="AT5782" i="1"/>
  <c r="AX5782" i="1" s="1"/>
  <c r="M5782" i="1"/>
  <c r="U5782" i="1" s="1"/>
  <c r="AT5780" i="1"/>
  <c r="AX5780" i="1" s="1"/>
  <c r="M5780" i="1"/>
  <c r="U5780" i="1" s="1"/>
  <c r="AT5778" i="1"/>
  <c r="AX5778" i="1" s="1"/>
  <c r="M5778" i="1"/>
  <c r="U5778" i="1" s="1"/>
  <c r="AT5776" i="1"/>
  <c r="AX5776" i="1" s="1"/>
  <c r="M5776" i="1"/>
  <c r="U5776" i="1" s="1"/>
  <c r="AT5774" i="1"/>
  <c r="AX5774" i="1" s="1"/>
  <c r="M5774" i="1"/>
  <c r="U5774" i="1" s="1"/>
  <c r="AT5772" i="1"/>
  <c r="AX5772" i="1" s="1"/>
  <c r="M5772" i="1"/>
  <c r="U5772" i="1" s="1"/>
  <c r="AT5770" i="1"/>
  <c r="AX5770" i="1" s="1"/>
  <c r="M5770" i="1"/>
  <c r="U5770" i="1" s="1"/>
  <c r="AT5768" i="1"/>
  <c r="AX5768" i="1" s="1"/>
  <c r="M5768" i="1"/>
  <c r="U5768" i="1" s="1"/>
  <c r="AT5766" i="1"/>
  <c r="AX5766" i="1" s="1"/>
  <c r="M5766" i="1"/>
  <c r="U5766" i="1" s="1"/>
  <c r="AT5764" i="1"/>
  <c r="AX5764" i="1" s="1"/>
  <c r="M5764" i="1"/>
  <c r="U5764" i="1" s="1"/>
  <c r="AT5762" i="1"/>
  <c r="AX5762" i="1" s="1"/>
  <c r="M5762" i="1"/>
  <c r="U5762" i="1" s="1"/>
  <c r="AT5760" i="1"/>
  <c r="AX5760" i="1" s="1"/>
  <c r="M5760" i="1"/>
  <c r="U5760" i="1" s="1"/>
  <c r="AT5758" i="1"/>
  <c r="AX5758" i="1" s="1"/>
  <c r="M5758" i="1"/>
  <c r="U5758" i="1" s="1"/>
  <c r="AT5756" i="1"/>
  <c r="AX5756" i="1" s="1"/>
  <c r="M5756" i="1"/>
  <c r="U5756" i="1" s="1"/>
  <c r="AT5754" i="1"/>
  <c r="AX5754" i="1" s="1"/>
  <c r="M5754" i="1"/>
  <c r="U5754" i="1" s="1"/>
  <c r="AT5752" i="1"/>
  <c r="AX5752" i="1" s="1"/>
  <c r="M5752" i="1"/>
  <c r="U5752" i="1" s="1"/>
  <c r="AT5750" i="1"/>
  <c r="AX5750" i="1" s="1"/>
  <c r="AT5746" i="1"/>
  <c r="AX5746" i="1" s="1"/>
  <c r="AT5744" i="1"/>
  <c r="AX5744" i="1" s="1"/>
  <c r="M5744" i="1"/>
  <c r="U5744" i="1" s="1"/>
  <c r="AT5742" i="1"/>
  <c r="AX5742" i="1" s="1"/>
  <c r="M5742" i="1"/>
  <c r="U5742" i="1" s="1"/>
  <c r="AT5740" i="1"/>
  <c r="AX5740" i="1" s="1"/>
  <c r="M5740" i="1"/>
  <c r="U5740" i="1" s="1"/>
  <c r="AT5738" i="1"/>
  <c r="AX5738" i="1" s="1"/>
  <c r="M5738" i="1"/>
  <c r="U5738" i="1" s="1"/>
  <c r="AT5736" i="1"/>
  <c r="AX5736" i="1" s="1"/>
  <c r="M5736" i="1"/>
  <c r="AT5734" i="1"/>
  <c r="AX5734" i="1" s="1"/>
  <c r="M5734" i="1"/>
  <c r="U5734" i="1" s="1"/>
  <c r="AT5732" i="1"/>
  <c r="AX5732" i="1" s="1"/>
  <c r="M5732" i="1"/>
  <c r="AT5730" i="1"/>
  <c r="AX5730" i="1" s="1"/>
  <c r="M5730" i="1"/>
  <c r="U5730" i="1" s="1"/>
  <c r="AX5728" i="1"/>
  <c r="M5728" i="1"/>
  <c r="U5728" i="1" s="1"/>
  <c r="AT5726" i="1"/>
  <c r="AX5726" i="1" s="1"/>
  <c r="M5726" i="1"/>
  <c r="U5726" i="1" s="1"/>
  <c r="AT5724" i="1"/>
  <c r="AX5724" i="1" s="1"/>
  <c r="M5724" i="1"/>
  <c r="U5724" i="1" s="1"/>
  <c r="AT5722" i="1"/>
  <c r="AX5722" i="1" s="1"/>
  <c r="M5722" i="1"/>
  <c r="U5722" i="1" s="1"/>
  <c r="AT5720" i="1"/>
  <c r="AX5720" i="1" s="1"/>
  <c r="M5720" i="1"/>
  <c r="U5720" i="1" s="1"/>
  <c r="AT5718" i="1"/>
  <c r="AX5718" i="1" s="1"/>
  <c r="M5718" i="1"/>
  <c r="U5718" i="1" s="1"/>
  <c r="AT5716" i="1"/>
  <c r="AX5716" i="1" s="1"/>
  <c r="M5716" i="1"/>
  <c r="U5716" i="1" s="1"/>
  <c r="AT5714" i="1"/>
  <c r="AX5714" i="1" s="1"/>
  <c r="M5714" i="1"/>
  <c r="U5714" i="1" s="1"/>
  <c r="AT5712" i="1"/>
  <c r="AX5712" i="1" s="1"/>
  <c r="M5712" i="1"/>
  <c r="U5712" i="1" s="1"/>
  <c r="AT5710" i="1"/>
  <c r="AX5710" i="1" s="1"/>
  <c r="M5710" i="1"/>
  <c r="U5710" i="1" s="1"/>
  <c r="AT5708" i="1"/>
  <c r="AX5708" i="1" s="1"/>
  <c r="M5708" i="1"/>
  <c r="U5708" i="1" s="1"/>
  <c r="AT5706" i="1"/>
  <c r="AX5706" i="1" s="1"/>
  <c r="M5706" i="1"/>
  <c r="U5706" i="1" s="1"/>
  <c r="AT5704" i="1"/>
  <c r="AX5704" i="1" s="1"/>
  <c r="M5704" i="1"/>
  <c r="U5704" i="1" s="1"/>
  <c r="AT5702" i="1"/>
  <c r="AX5702" i="1" s="1"/>
  <c r="M5702" i="1"/>
  <c r="U5702" i="1" s="1"/>
  <c r="AX5700" i="1"/>
  <c r="M5700" i="1"/>
  <c r="U5700" i="1" s="1"/>
  <c r="AT5698" i="1"/>
  <c r="AX5698" i="1" s="1"/>
  <c r="M5698" i="1"/>
  <c r="U5698" i="1" s="1"/>
  <c r="AT5696" i="1"/>
  <c r="AX5696" i="1" s="1"/>
  <c r="M5696" i="1"/>
  <c r="U5696" i="1" s="1"/>
  <c r="AT5694" i="1"/>
  <c r="AX5694" i="1" s="1"/>
  <c r="M5694" i="1"/>
  <c r="U5694" i="1" s="1"/>
  <c r="AT5692" i="1"/>
  <c r="AX5692" i="1" s="1"/>
  <c r="M5692" i="1"/>
  <c r="U5692" i="1" s="1"/>
  <c r="AT5690" i="1"/>
  <c r="AX5690" i="1" s="1"/>
  <c r="M5690" i="1"/>
  <c r="U5690" i="1" s="1"/>
  <c r="AT5688" i="1"/>
  <c r="AX5688" i="1" s="1"/>
  <c r="M5688" i="1"/>
  <c r="U5688" i="1" s="1"/>
  <c r="M5686" i="1"/>
  <c r="U5686" i="1" s="1"/>
  <c r="AT5684" i="1"/>
  <c r="AX5684" i="1" s="1"/>
  <c r="M5684" i="1"/>
  <c r="U5684" i="1" s="1"/>
  <c r="AT5682" i="1"/>
  <c r="AX5682" i="1" s="1"/>
  <c r="M5682" i="1"/>
  <c r="U5682" i="1" s="1"/>
  <c r="AT5680" i="1"/>
  <c r="AX5680" i="1" s="1"/>
  <c r="M5680" i="1"/>
  <c r="U5680" i="1" s="1"/>
  <c r="AT5678" i="1"/>
  <c r="AX5678" i="1" s="1"/>
  <c r="M5678" i="1"/>
  <c r="U5678" i="1" s="1"/>
  <c r="AT5676" i="1"/>
  <c r="AX5676" i="1" s="1"/>
  <c r="M5676" i="1"/>
  <c r="U5676" i="1" s="1"/>
  <c r="AT5674" i="1"/>
  <c r="AX5674" i="1" s="1"/>
  <c r="M5674" i="1"/>
  <c r="U5674" i="1" s="1"/>
  <c r="AT5672" i="1"/>
  <c r="AX5672" i="1" s="1"/>
  <c r="M5672" i="1"/>
  <c r="U5672" i="1" s="1"/>
  <c r="AT5670" i="1"/>
  <c r="AX5670" i="1" s="1"/>
  <c r="M5670" i="1"/>
  <c r="U5670" i="1" s="1"/>
  <c r="AT5668" i="1"/>
  <c r="AX5668" i="1" s="1"/>
  <c r="M5668" i="1"/>
  <c r="U5668" i="1" s="1"/>
  <c r="AT5666" i="1"/>
  <c r="AX5666" i="1" s="1"/>
  <c r="M5666" i="1"/>
  <c r="U5666" i="1" s="1"/>
  <c r="AT5664" i="1"/>
  <c r="AX5664" i="1" s="1"/>
  <c r="AT5662" i="1"/>
  <c r="AX5662" i="1" s="1"/>
  <c r="AT5660" i="1"/>
  <c r="AX5660" i="1" s="1"/>
  <c r="AT5658" i="1"/>
  <c r="AX5658" i="1" s="1"/>
  <c r="AT5656" i="1"/>
  <c r="AX5656" i="1" s="1"/>
  <c r="AT5654" i="1"/>
  <c r="AX5654" i="1" s="1"/>
  <c r="AT5652" i="1"/>
  <c r="AX5652" i="1" s="1"/>
  <c r="AT5650" i="1"/>
  <c r="AX5650" i="1" s="1"/>
  <c r="AT5648" i="1"/>
  <c r="AX5648" i="1" s="1"/>
  <c r="AT5646" i="1"/>
  <c r="AX5646" i="1" s="1"/>
  <c r="AT5644" i="1"/>
  <c r="AX5644" i="1" s="1"/>
  <c r="AT5642" i="1"/>
  <c r="AX5642" i="1" s="1"/>
  <c r="AT5640" i="1"/>
  <c r="AX5640" i="1" s="1"/>
  <c r="M5640" i="1"/>
  <c r="AT5638" i="1"/>
  <c r="AX5638" i="1" s="1"/>
  <c r="M5638" i="1"/>
  <c r="U5638" i="1" s="1"/>
  <c r="AT5636" i="1"/>
  <c r="AX5636" i="1" s="1"/>
  <c r="M5636" i="1"/>
  <c r="U5636" i="1" s="1"/>
  <c r="AT5634" i="1"/>
  <c r="AX5634" i="1" s="1"/>
  <c r="M5634" i="1"/>
  <c r="U5634" i="1" s="1"/>
  <c r="AT5632" i="1"/>
  <c r="AX5632" i="1" s="1"/>
  <c r="M5632" i="1"/>
  <c r="U5632" i="1" s="1"/>
  <c r="AT5630" i="1"/>
  <c r="AX5630" i="1" s="1"/>
  <c r="M5630" i="1"/>
  <c r="U5630" i="1" s="1"/>
  <c r="AT5628" i="1"/>
  <c r="AX5628" i="1" s="1"/>
  <c r="M5628" i="1"/>
  <c r="U5628" i="1" s="1"/>
  <c r="AT5626" i="1"/>
  <c r="AX5626" i="1" s="1"/>
  <c r="M5626" i="1"/>
  <c r="U5626" i="1" s="1"/>
  <c r="AT5624" i="1"/>
  <c r="AX5624" i="1" s="1"/>
  <c r="M5624" i="1"/>
  <c r="U5624" i="1" s="1"/>
  <c r="AT5622" i="1"/>
  <c r="AX5622" i="1" s="1"/>
  <c r="M5622" i="1"/>
  <c r="U5622" i="1" s="1"/>
  <c r="AT5620" i="1"/>
  <c r="AX5620" i="1" s="1"/>
  <c r="M5620" i="1"/>
  <c r="U5620" i="1" s="1"/>
  <c r="AT5618" i="1"/>
  <c r="AX5618" i="1" s="1"/>
  <c r="M5618" i="1"/>
  <c r="U5618" i="1" s="1"/>
  <c r="AT5616" i="1"/>
  <c r="AX5616" i="1" s="1"/>
  <c r="M5616" i="1"/>
  <c r="U5616" i="1" s="1"/>
  <c r="AT5614" i="1"/>
  <c r="AX5614" i="1" s="1"/>
  <c r="M5614" i="1"/>
  <c r="U5614" i="1" s="1"/>
  <c r="AT5612" i="1"/>
  <c r="AX5612" i="1" s="1"/>
  <c r="M5612" i="1"/>
  <c r="U5612" i="1" s="1"/>
  <c r="AT5610" i="1"/>
  <c r="AX5610" i="1" s="1"/>
  <c r="M5610" i="1"/>
  <c r="U5610" i="1" s="1"/>
  <c r="AT5608" i="1"/>
  <c r="AX5608" i="1" s="1"/>
  <c r="M5608" i="1"/>
  <c r="U5608" i="1" s="1"/>
  <c r="AT5606" i="1"/>
  <c r="AX5606" i="1" s="1"/>
  <c r="M5606" i="1"/>
  <c r="U5606" i="1" s="1"/>
  <c r="AT5604" i="1"/>
  <c r="AX5604" i="1" s="1"/>
  <c r="M5604" i="1"/>
  <c r="AT5602" i="1"/>
  <c r="AX5602" i="1" s="1"/>
  <c r="M5602" i="1"/>
  <c r="AT5600" i="1"/>
  <c r="AX5600" i="1" s="1"/>
  <c r="M5600" i="1"/>
  <c r="U5600" i="1" s="1"/>
  <c r="AT5598" i="1"/>
  <c r="AX5598" i="1" s="1"/>
  <c r="M5598" i="1"/>
  <c r="U5598" i="1" s="1"/>
  <c r="AT5596" i="1"/>
  <c r="AX5596" i="1" s="1"/>
  <c r="M5596" i="1"/>
  <c r="U5596" i="1" s="1"/>
  <c r="AT5594" i="1"/>
  <c r="AX5594" i="1" s="1"/>
  <c r="M5594" i="1"/>
  <c r="U5594" i="1" s="1"/>
  <c r="AT5592" i="1"/>
  <c r="AX5592" i="1" s="1"/>
  <c r="M5592" i="1"/>
  <c r="U5592" i="1" s="1"/>
  <c r="AT5590" i="1"/>
  <c r="AX5590" i="1" s="1"/>
  <c r="M5590" i="1"/>
  <c r="U5590" i="1" s="1"/>
  <c r="AT5588" i="1"/>
  <c r="AX5588" i="1" s="1"/>
  <c r="M5588" i="1"/>
  <c r="U5588" i="1" s="1"/>
  <c r="AT5586" i="1"/>
  <c r="AX5586" i="1" s="1"/>
  <c r="M5586" i="1"/>
  <c r="U5586" i="1" s="1"/>
  <c r="AT5584" i="1"/>
  <c r="AX5584" i="1" s="1"/>
  <c r="M5584" i="1"/>
  <c r="U5584" i="1" s="1"/>
  <c r="AT5582" i="1"/>
  <c r="AX5582" i="1" s="1"/>
  <c r="M5582" i="1"/>
  <c r="U5582" i="1" s="1"/>
  <c r="AT5580" i="1"/>
  <c r="AX5580" i="1" s="1"/>
  <c r="M5580" i="1"/>
  <c r="U5580" i="1" s="1"/>
  <c r="AT5578" i="1"/>
  <c r="AX5578" i="1" s="1"/>
  <c r="M5578" i="1"/>
  <c r="AT5576" i="1"/>
  <c r="AX5576" i="1" s="1"/>
  <c r="M5576" i="1"/>
  <c r="AT5574" i="1"/>
  <c r="AX5574" i="1" s="1"/>
  <c r="M5574" i="1"/>
  <c r="AT5572" i="1"/>
  <c r="AX5572" i="1" s="1"/>
  <c r="M5572" i="1"/>
  <c r="U5572" i="1" s="1"/>
  <c r="AT5570" i="1"/>
  <c r="AX5570" i="1" s="1"/>
  <c r="M5570" i="1"/>
  <c r="U5570" i="1" s="1"/>
  <c r="AT5568" i="1"/>
  <c r="AX5568" i="1" s="1"/>
  <c r="M5568" i="1"/>
  <c r="U5568" i="1" s="1"/>
  <c r="AT5566" i="1"/>
  <c r="AX5566" i="1" s="1"/>
  <c r="M5566" i="1"/>
  <c r="U5566" i="1" s="1"/>
  <c r="AT5564" i="1"/>
  <c r="AX5564" i="1" s="1"/>
  <c r="M5564" i="1"/>
  <c r="U5564" i="1" s="1"/>
  <c r="AT5562" i="1"/>
  <c r="AX5562" i="1" s="1"/>
  <c r="M5562" i="1"/>
  <c r="U5562" i="1" s="1"/>
  <c r="AT5560" i="1"/>
  <c r="AX5560" i="1" s="1"/>
  <c r="M5560" i="1"/>
  <c r="U5560" i="1" s="1"/>
  <c r="AT5558" i="1"/>
  <c r="AX5558" i="1" s="1"/>
  <c r="M5558" i="1"/>
  <c r="U5558" i="1" s="1"/>
  <c r="AT5556" i="1"/>
  <c r="AX5556" i="1" s="1"/>
  <c r="M5556" i="1"/>
  <c r="U5556" i="1" s="1"/>
  <c r="AT5554" i="1"/>
  <c r="AX5554" i="1" s="1"/>
  <c r="M5554" i="1"/>
  <c r="U5554" i="1" s="1"/>
  <c r="AT5552" i="1"/>
  <c r="AX5552" i="1" s="1"/>
  <c r="M5552" i="1"/>
  <c r="U5552" i="1" s="1"/>
  <c r="AT5550" i="1"/>
  <c r="AX5550" i="1" s="1"/>
  <c r="M5550" i="1"/>
  <c r="U5550" i="1" s="1"/>
  <c r="AT5548" i="1"/>
  <c r="AX5548" i="1" s="1"/>
  <c r="M5548" i="1"/>
  <c r="U5548" i="1" s="1"/>
  <c r="U8220" i="1" l="1"/>
  <c r="U8470" i="1"/>
  <c r="U8210" i="1"/>
  <c r="U8722" i="1"/>
  <c r="U8750" i="1"/>
  <c r="U8634" i="1"/>
  <c r="U8494" i="1"/>
  <c r="U8704" i="1"/>
  <c r="U8630" i="1"/>
  <c r="U8706" i="1"/>
  <c r="U8698" i="1"/>
  <c r="U8694" i="1"/>
  <c r="U8382" i="1"/>
  <c r="U7956" i="1"/>
  <c r="U8472" i="1"/>
  <c r="U8496" i="1"/>
  <c r="U8474" i="1"/>
  <c r="U8456" i="1"/>
  <c r="U8404" i="1"/>
  <c r="U8392" i="1"/>
  <c r="U8128" i="1"/>
  <c r="U7952" i="1"/>
  <c r="U7968" i="1"/>
  <c r="U7964" i="1"/>
  <c r="U7696" i="1"/>
  <c r="U7690" i="1"/>
  <c r="U6658" i="1"/>
  <c r="M7148" i="1"/>
  <c r="U7148" i="1" s="1"/>
  <c r="U6978" i="1"/>
  <c r="U6662" i="1"/>
  <c r="U6660" i="1"/>
  <c r="U6674" i="1"/>
  <c r="AX6070" i="1"/>
  <c r="U6446" i="1"/>
  <c r="U6358" i="1"/>
  <c r="U6376" i="1"/>
  <c r="U6512" i="1"/>
  <c r="U6084" i="1"/>
  <c r="U6634" i="1"/>
  <c r="U6636" i="1"/>
  <c r="U6616" i="1"/>
  <c r="U6520" i="1"/>
  <c r="U6518" i="1"/>
  <c r="U6440" i="1"/>
  <c r="U6514" i="1"/>
  <c r="U6506" i="1"/>
  <c r="U6444" i="1"/>
  <c r="U6366" i="1"/>
  <c r="U6330" i="1"/>
  <c r="U6082" i="1"/>
  <c r="U6090" i="1"/>
  <c r="U5994" i="1"/>
  <c r="U6196" i="1"/>
  <c r="U5602" i="1"/>
  <c r="U6204" i="1"/>
  <c r="U6194" i="1"/>
  <c r="U5794" i="1"/>
  <c r="U5798" i="1"/>
  <c r="U5810" i="1"/>
  <c r="U5732" i="1"/>
  <c r="U5578" i="1"/>
  <c r="U5574" i="1"/>
  <c r="U5644" i="1"/>
  <c r="M5662" i="1"/>
  <c r="U5662" i="1" s="1"/>
  <c r="U5658" i="1"/>
  <c r="U5640" i="1"/>
  <c r="U5604" i="1"/>
  <c r="U5576" i="1"/>
  <c r="S5526" i="1"/>
  <c r="O5520" i="1"/>
  <c r="O5516" i="1"/>
  <c r="U5516" i="1" s="1"/>
  <c r="K5508" i="1"/>
  <c r="M5508" i="1" s="1"/>
  <c r="U5508" i="1" s="1"/>
  <c r="AT5508" i="1"/>
  <c r="AX5508" i="1" s="1"/>
  <c r="K5506" i="1"/>
  <c r="M5506" i="1" s="1"/>
  <c r="AT5506" i="1"/>
  <c r="AX5506" i="1" s="1"/>
  <c r="K5504" i="1"/>
  <c r="M5504" i="1" s="1"/>
  <c r="U5504" i="1" s="1"/>
  <c r="K5502" i="1"/>
  <c r="M5502" i="1" s="1"/>
  <c r="U5502" i="1" s="1"/>
  <c r="K5500" i="1"/>
  <c r="M5500" i="1" s="1"/>
  <c r="U5500" i="1" s="1"/>
  <c r="K5498" i="1"/>
  <c r="K5496" i="1"/>
  <c r="M5496" i="1" s="1"/>
  <c r="U5496" i="1" s="1"/>
  <c r="O5494" i="1"/>
  <c r="AT4890" i="1"/>
  <c r="AT5546" i="1"/>
  <c r="AX5546" i="1" s="1"/>
  <c r="M5546" i="1"/>
  <c r="U5546" i="1" s="1"/>
  <c r="AT5544" i="1"/>
  <c r="AX5544" i="1" s="1"/>
  <c r="M5544" i="1"/>
  <c r="U5544" i="1" s="1"/>
  <c r="AT5542" i="1"/>
  <c r="AX5542" i="1" s="1"/>
  <c r="M5542" i="1"/>
  <c r="U5542" i="1" s="1"/>
  <c r="AT5540" i="1"/>
  <c r="AX5540" i="1" s="1"/>
  <c r="M5540" i="1"/>
  <c r="U5540" i="1" s="1"/>
  <c r="AT5538" i="1"/>
  <c r="AX5538" i="1" s="1"/>
  <c r="M5538" i="1"/>
  <c r="U5538" i="1" s="1"/>
  <c r="AT5536" i="1"/>
  <c r="AX5536" i="1" s="1"/>
  <c r="M5536" i="1"/>
  <c r="U5536" i="1" s="1"/>
  <c r="AT5534" i="1"/>
  <c r="AX5534" i="1" s="1"/>
  <c r="M5534" i="1"/>
  <c r="U5534" i="1" s="1"/>
  <c r="AT5532" i="1"/>
  <c r="AX5532" i="1" s="1"/>
  <c r="U5532" i="1"/>
  <c r="AT5530" i="1"/>
  <c r="AX5530" i="1" s="1"/>
  <c r="M5530" i="1"/>
  <c r="U5530" i="1" s="1"/>
  <c r="AT5528" i="1"/>
  <c r="AX5528" i="1" s="1"/>
  <c r="M5528" i="1"/>
  <c r="U5528" i="1" s="1"/>
  <c r="AT5526" i="1"/>
  <c r="AX5526" i="1" s="1"/>
  <c r="M5526" i="1"/>
  <c r="AT5524" i="1"/>
  <c r="AX5524" i="1" s="1"/>
  <c r="M5524" i="1"/>
  <c r="U5524" i="1" s="1"/>
  <c r="AT5522" i="1"/>
  <c r="AX5522" i="1" s="1"/>
  <c r="M5522" i="1"/>
  <c r="U5522" i="1" s="1"/>
  <c r="AT5520" i="1"/>
  <c r="AX5520" i="1" s="1"/>
  <c r="M5520" i="1"/>
  <c r="U5520" i="1" s="1"/>
  <c r="AT5518" i="1"/>
  <c r="AX5518" i="1" s="1"/>
  <c r="M5518" i="1"/>
  <c r="U5518" i="1" s="1"/>
  <c r="AT5516" i="1"/>
  <c r="AX5516" i="1" s="1"/>
  <c r="AT5514" i="1"/>
  <c r="AX5514" i="1" s="1"/>
  <c r="M5514" i="1"/>
  <c r="U5514" i="1" s="1"/>
  <c r="AT5512" i="1"/>
  <c r="AX5512" i="1" s="1"/>
  <c r="M5512" i="1"/>
  <c r="U5512" i="1" s="1"/>
  <c r="AT5510" i="1"/>
  <c r="AX5510" i="1" s="1"/>
  <c r="M5510" i="1"/>
  <c r="AT5504" i="1"/>
  <c r="AX5504" i="1" s="1"/>
  <c r="AT5502" i="1"/>
  <c r="AX5502" i="1" s="1"/>
  <c r="AT5500" i="1"/>
  <c r="AX5500" i="1" s="1"/>
  <c r="AT5498" i="1"/>
  <c r="AX5498" i="1" s="1"/>
  <c r="AT5496" i="1"/>
  <c r="AX5496" i="1" s="1"/>
  <c r="AT5494" i="1"/>
  <c r="AX5494" i="1" s="1"/>
  <c r="M5494" i="1"/>
  <c r="AT5492" i="1"/>
  <c r="AX5492" i="1" s="1"/>
  <c r="M5492" i="1"/>
  <c r="U5492" i="1" s="1"/>
  <c r="AT5490" i="1"/>
  <c r="AX5490" i="1" s="1"/>
  <c r="M5490" i="1"/>
  <c r="U5490" i="1" s="1"/>
  <c r="AT5488" i="1"/>
  <c r="AX5488" i="1" s="1"/>
  <c r="M5488" i="1"/>
  <c r="U5488" i="1" s="1"/>
  <c r="AT5486" i="1"/>
  <c r="AX5486" i="1" s="1"/>
  <c r="M5486" i="1"/>
  <c r="U5486" i="1" s="1"/>
  <c r="AT5484" i="1"/>
  <c r="AX5484" i="1" s="1"/>
  <c r="M5484" i="1"/>
  <c r="U5484" i="1" s="1"/>
  <c r="AT5482" i="1"/>
  <c r="AX5482" i="1" s="1"/>
  <c r="M5482" i="1"/>
  <c r="U5482" i="1" s="1"/>
  <c r="AT5480" i="1"/>
  <c r="AX5480" i="1" s="1"/>
  <c r="M5480" i="1"/>
  <c r="U5480" i="1" s="1"/>
  <c r="AT5478" i="1"/>
  <c r="AX5478" i="1" s="1"/>
  <c r="M5478" i="1"/>
  <c r="U5478" i="1" s="1"/>
  <c r="AT5476" i="1"/>
  <c r="AX5476" i="1" s="1"/>
  <c r="M5476" i="1"/>
  <c r="U5476" i="1" s="1"/>
  <c r="AT5474" i="1"/>
  <c r="AX5474" i="1" s="1"/>
  <c r="U5474" i="1"/>
  <c r="AT5472" i="1"/>
  <c r="AX5472" i="1" s="1"/>
  <c r="M5472" i="1"/>
  <c r="U5472" i="1" s="1"/>
  <c r="AT5470" i="1"/>
  <c r="AX5470" i="1" s="1"/>
  <c r="M5470" i="1"/>
  <c r="U5470" i="1" s="1"/>
  <c r="AT5468" i="1"/>
  <c r="AX5468" i="1" s="1"/>
  <c r="M5468" i="1"/>
  <c r="U5468" i="1" s="1"/>
  <c r="AT5466" i="1"/>
  <c r="AX5466" i="1" s="1"/>
  <c r="M5466" i="1"/>
  <c r="U5466" i="1" s="1"/>
  <c r="AT5464" i="1"/>
  <c r="AX5464" i="1" s="1"/>
  <c r="M5464" i="1"/>
  <c r="U5464" i="1" s="1"/>
  <c r="AT5462" i="1"/>
  <c r="AX5462" i="1" s="1"/>
  <c r="M5462" i="1"/>
  <c r="U5462" i="1" s="1"/>
  <c r="AT5460" i="1"/>
  <c r="AX5460" i="1" s="1"/>
  <c r="M5460" i="1"/>
  <c r="U5460" i="1" s="1"/>
  <c r="AT5458" i="1"/>
  <c r="AX5458" i="1" s="1"/>
  <c r="M5458" i="1"/>
  <c r="U5458" i="1" s="1"/>
  <c r="AT5456" i="1"/>
  <c r="AX5456" i="1" s="1"/>
  <c r="M5456" i="1"/>
  <c r="U5456" i="1" s="1"/>
  <c r="AT5454" i="1"/>
  <c r="AX5454" i="1" s="1"/>
  <c r="M5454" i="1"/>
  <c r="U5454" i="1" s="1"/>
  <c r="AT5452" i="1"/>
  <c r="AX5452" i="1" s="1"/>
  <c r="M5452" i="1"/>
  <c r="U5452" i="1" s="1"/>
  <c r="AT5450" i="1"/>
  <c r="AX5450" i="1" s="1"/>
  <c r="M5450" i="1"/>
  <c r="U5450" i="1" s="1"/>
  <c r="AT5448" i="1"/>
  <c r="AX5448" i="1" s="1"/>
  <c r="M5448" i="1"/>
  <c r="U5448" i="1" s="1"/>
  <c r="AT5446" i="1"/>
  <c r="AX5446" i="1" s="1"/>
  <c r="M5446" i="1"/>
  <c r="U5446" i="1" s="1"/>
  <c r="AT5444" i="1"/>
  <c r="AX5444" i="1" s="1"/>
  <c r="M5444" i="1"/>
  <c r="U5444" i="1" s="1"/>
  <c r="AT5442" i="1"/>
  <c r="AX5442" i="1" s="1"/>
  <c r="M5442" i="1"/>
  <c r="U5442" i="1" s="1"/>
  <c r="AT5440" i="1"/>
  <c r="AX5440" i="1" s="1"/>
  <c r="M5440" i="1"/>
  <c r="U5440" i="1" s="1"/>
  <c r="AT5438" i="1"/>
  <c r="AX5438" i="1" s="1"/>
  <c r="M5438" i="1"/>
  <c r="U5438" i="1" s="1"/>
  <c r="AT5436" i="1"/>
  <c r="AX5436" i="1" s="1"/>
  <c r="M5436" i="1"/>
  <c r="U5436" i="1" s="1"/>
  <c r="AT5434" i="1"/>
  <c r="AX5434" i="1" s="1"/>
  <c r="M5434" i="1"/>
  <c r="U5434" i="1" s="1"/>
  <c r="AT5432" i="1"/>
  <c r="AX5432" i="1" s="1"/>
  <c r="M5432" i="1"/>
  <c r="U5432" i="1" s="1"/>
  <c r="AT5430" i="1"/>
  <c r="AX5430" i="1" s="1"/>
  <c r="M5430" i="1"/>
  <c r="U5430" i="1" s="1"/>
  <c r="AT5428" i="1"/>
  <c r="AX5428" i="1" s="1"/>
  <c r="M5428" i="1"/>
  <c r="U5428" i="1" s="1"/>
  <c r="AT5426" i="1"/>
  <c r="AX5426" i="1" s="1"/>
  <c r="M5426" i="1"/>
  <c r="U5426" i="1" s="1"/>
  <c r="AT5424" i="1"/>
  <c r="AX5424" i="1" s="1"/>
  <c r="M5424" i="1"/>
  <c r="U5424" i="1" s="1"/>
  <c r="AT5422" i="1"/>
  <c r="AX5422" i="1" s="1"/>
  <c r="M5422" i="1"/>
  <c r="U5422" i="1" s="1"/>
  <c r="AT5420" i="1"/>
  <c r="AX5420" i="1" s="1"/>
  <c r="M5420" i="1"/>
  <c r="U5420" i="1" s="1"/>
  <c r="AT5418" i="1"/>
  <c r="AX5418" i="1" s="1"/>
  <c r="M5418" i="1"/>
  <c r="U5418" i="1" s="1"/>
  <c r="AT5416" i="1"/>
  <c r="AX5416" i="1" s="1"/>
  <c r="M5416" i="1"/>
  <c r="U5416" i="1" s="1"/>
  <c r="AT5414" i="1"/>
  <c r="AX5414" i="1" s="1"/>
  <c r="M5414" i="1"/>
  <c r="U5414" i="1" s="1"/>
  <c r="AT5412" i="1"/>
  <c r="AX5412" i="1" s="1"/>
  <c r="M5412" i="1"/>
  <c r="U5412" i="1" s="1"/>
  <c r="AT5410" i="1"/>
  <c r="AX5410" i="1" s="1"/>
  <c r="M5410" i="1"/>
  <c r="U5410" i="1" s="1"/>
  <c r="AT5408" i="1"/>
  <c r="AX5408" i="1" s="1"/>
  <c r="M5408" i="1"/>
  <c r="U5408" i="1" s="1"/>
  <c r="AT5406" i="1"/>
  <c r="AX5406" i="1" s="1"/>
  <c r="M5406" i="1"/>
  <c r="U5406" i="1" s="1"/>
  <c r="AT5404" i="1"/>
  <c r="AX5404" i="1" s="1"/>
  <c r="M5404" i="1"/>
  <c r="U5404" i="1" s="1"/>
  <c r="AT5402" i="1"/>
  <c r="AX5402" i="1" s="1"/>
  <c r="M5402" i="1"/>
  <c r="U5402" i="1" s="1"/>
  <c r="AT5400" i="1"/>
  <c r="AX5400" i="1" s="1"/>
  <c r="M5400" i="1"/>
  <c r="U5400" i="1" s="1"/>
  <c r="AT5398" i="1"/>
  <c r="AX5398" i="1" s="1"/>
  <c r="M5398" i="1"/>
  <c r="U5398" i="1" s="1"/>
  <c r="AT5396" i="1"/>
  <c r="AX5396" i="1" s="1"/>
  <c r="M5396" i="1"/>
  <c r="U5396" i="1" s="1"/>
  <c r="AT5394" i="1"/>
  <c r="AX5394" i="1" s="1"/>
  <c r="M5394" i="1"/>
  <c r="U5394" i="1" s="1"/>
  <c r="AT5392" i="1"/>
  <c r="AX5392" i="1" s="1"/>
  <c r="M5392" i="1"/>
  <c r="U5392" i="1" s="1"/>
  <c r="AT5390" i="1"/>
  <c r="AX5390" i="1" s="1"/>
  <c r="M5390" i="1"/>
  <c r="U5390" i="1" s="1"/>
  <c r="AT5388" i="1"/>
  <c r="AX5388" i="1" s="1"/>
  <c r="M5388" i="1"/>
  <c r="U5388" i="1" s="1"/>
  <c r="AT5386" i="1"/>
  <c r="AX5386" i="1" s="1"/>
  <c r="M5386" i="1"/>
  <c r="U5386" i="1" s="1"/>
  <c r="AT5384" i="1"/>
  <c r="AX5384" i="1" s="1"/>
  <c r="M5384" i="1"/>
  <c r="U5384" i="1" s="1"/>
  <c r="AX5382" i="1"/>
  <c r="M5382" i="1"/>
  <c r="U5382" i="1" s="1"/>
  <c r="AT5380" i="1"/>
  <c r="AX5380" i="1" s="1"/>
  <c r="M5380" i="1"/>
  <c r="U5380" i="1" s="1"/>
  <c r="AT5378" i="1"/>
  <c r="AX5378" i="1" s="1"/>
  <c r="M5378" i="1"/>
  <c r="U5378" i="1" s="1"/>
  <c r="AT5376" i="1"/>
  <c r="AX5376" i="1" s="1"/>
  <c r="M5376" i="1"/>
  <c r="U5376" i="1" s="1"/>
  <c r="AT5374" i="1"/>
  <c r="AX5374" i="1" s="1"/>
  <c r="M5374" i="1"/>
  <c r="U5374" i="1" s="1"/>
  <c r="AT5372" i="1"/>
  <c r="AX5372" i="1" s="1"/>
  <c r="M5372" i="1"/>
  <c r="U5372" i="1" s="1"/>
  <c r="O5052" i="1"/>
  <c r="AT5042" i="1"/>
  <c r="AX5042" i="1" s="1"/>
  <c r="M5042" i="1"/>
  <c r="U5042" i="1" s="1"/>
  <c r="AT5038" i="1"/>
  <c r="AX5038" i="1" s="1"/>
  <c r="M5038" i="1"/>
  <c r="U5038" i="1" s="1"/>
  <c r="AT5036" i="1"/>
  <c r="AX5036" i="1" s="1"/>
  <c r="M5036" i="1"/>
  <c r="U5036" i="1" s="1"/>
  <c r="AT5034" i="1"/>
  <c r="AX5034" i="1" s="1"/>
  <c r="M5034" i="1"/>
  <c r="U5034" i="1" s="1"/>
  <c r="AT5032" i="1"/>
  <c r="AX5032" i="1" s="1"/>
  <c r="M5032" i="1"/>
  <c r="U5032" i="1" s="1"/>
  <c r="AT5030" i="1"/>
  <c r="AX5030" i="1" s="1"/>
  <c r="M5030" i="1"/>
  <c r="U5030" i="1" s="1"/>
  <c r="AT5028" i="1"/>
  <c r="AX5028" i="1" s="1"/>
  <c r="M5028" i="1"/>
  <c r="U5028" i="1" s="1"/>
  <c r="AT5016" i="1"/>
  <c r="AX5016" i="1" s="1"/>
  <c r="M5016" i="1"/>
  <c r="U5016" i="1" s="1"/>
  <c r="AT5014" i="1"/>
  <c r="AX5014" i="1" s="1"/>
  <c r="M5014" i="1"/>
  <c r="U5014" i="1" s="1"/>
  <c r="AT5012" i="1"/>
  <c r="AX5012" i="1" s="1"/>
  <c r="M5012" i="1"/>
  <c r="U5012" i="1" s="1"/>
  <c r="AT5010" i="1"/>
  <c r="AX5010" i="1" s="1"/>
  <c r="M5010" i="1"/>
  <c r="U5010" i="1" s="1"/>
  <c r="AT5008" i="1"/>
  <c r="AX5008" i="1" s="1"/>
  <c r="M5008" i="1"/>
  <c r="U5008" i="1" s="1"/>
  <c r="AT5044" i="1"/>
  <c r="AX5044" i="1" s="1"/>
  <c r="M5044" i="1"/>
  <c r="U5044" i="1" s="1"/>
  <c r="AT5370" i="1"/>
  <c r="AX5370" i="1" s="1"/>
  <c r="M5370" i="1"/>
  <c r="U5370" i="1" s="1"/>
  <c r="AT5368" i="1"/>
  <c r="AX5368" i="1" s="1"/>
  <c r="M5368" i="1"/>
  <c r="U5368" i="1" s="1"/>
  <c r="AT5366" i="1"/>
  <c r="AX5366" i="1" s="1"/>
  <c r="M5366" i="1"/>
  <c r="U5366" i="1" s="1"/>
  <c r="AT5364" i="1"/>
  <c r="AX5364" i="1" s="1"/>
  <c r="M5364" i="1"/>
  <c r="U5364" i="1" s="1"/>
  <c r="AT5362" i="1"/>
  <c r="AX5362" i="1" s="1"/>
  <c r="M5362" i="1"/>
  <c r="U5362" i="1" s="1"/>
  <c r="AT5360" i="1"/>
  <c r="AX5360" i="1" s="1"/>
  <c r="M5360" i="1"/>
  <c r="U5360" i="1" s="1"/>
  <c r="AT5358" i="1"/>
  <c r="AX5358" i="1" s="1"/>
  <c r="M5358" i="1"/>
  <c r="U5358" i="1" s="1"/>
  <c r="AT5356" i="1"/>
  <c r="AX5356" i="1" s="1"/>
  <c r="M5356" i="1"/>
  <c r="U5356" i="1" s="1"/>
  <c r="AT5354" i="1"/>
  <c r="AX5354" i="1" s="1"/>
  <c r="M5354" i="1"/>
  <c r="U5354" i="1" s="1"/>
  <c r="AT5352" i="1"/>
  <c r="AX5352" i="1" s="1"/>
  <c r="M5352" i="1"/>
  <c r="U5352" i="1" s="1"/>
  <c r="AT5350" i="1"/>
  <c r="AX5350" i="1" s="1"/>
  <c r="M5350" i="1"/>
  <c r="U5350" i="1" s="1"/>
  <c r="AT5348" i="1"/>
  <c r="AX5348" i="1" s="1"/>
  <c r="M5348" i="1"/>
  <c r="U5348" i="1" s="1"/>
  <c r="AT5346" i="1"/>
  <c r="AX5346" i="1" s="1"/>
  <c r="M5346" i="1"/>
  <c r="U5346" i="1" s="1"/>
  <c r="AT5344" i="1"/>
  <c r="AX5344" i="1" s="1"/>
  <c r="M5344" i="1"/>
  <c r="U5344" i="1" s="1"/>
  <c r="AT5342" i="1"/>
  <c r="AX5342" i="1" s="1"/>
  <c r="M5342" i="1"/>
  <c r="U5342" i="1" s="1"/>
  <c r="AT5340" i="1"/>
  <c r="AX5340" i="1" s="1"/>
  <c r="M5340" i="1"/>
  <c r="U5340" i="1" s="1"/>
  <c r="AT5338" i="1"/>
  <c r="AX5338" i="1" s="1"/>
  <c r="M5338" i="1"/>
  <c r="U5338" i="1" s="1"/>
  <c r="AT5336" i="1"/>
  <c r="AX5336" i="1" s="1"/>
  <c r="M5336" i="1"/>
  <c r="U5336" i="1" s="1"/>
  <c r="AT5334" i="1"/>
  <c r="AX5334" i="1" s="1"/>
  <c r="M5334" i="1"/>
  <c r="U5334" i="1" s="1"/>
  <c r="AT5332" i="1"/>
  <c r="AX5332" i="1" s="1"/>
  <c r="M5332" i="1"/>
  <c r="U5332" i="1" s="1"/>
  <c r="AT5330" i="1"/>
  <c r="AX5330" i="1" s="1"/>
  <c r="M5330" i="1"/>
  <c r="U5330" i="1" s="1"/>
  <c r="AT5328" i="1"/>
  <c r="AX5328" i="1" s="1"/>
  <c r="U5328" i="1"/>
  <c r="AT5326" i="1"/>
  <c r="AX5326" i="1" s="1"/>
  <c r="M5326" i="1"/>
  <c r="U5326" i="1" s="1"/>
  <c r="AT5324" i="1"/>
  <c r="AX5324" i="1" s="1"/>
  <c r="M5324" i="1"/>
  <c r="U5324" i="1" s="1"/>
  <c r="AT5322" i="1"/>
  <c r="AX5322" i="1" s="1"/>
  <c r="M5322" i="1"/>
  <c r="U5322" i="1" s="1"/>
  <c r="AT5320" i="1"/>
  <c r="AX5320" i="1" s="1"/>
  <c r="M5320" i="1"/>
  <c r="U5320" i="1" s="1"/>
  <c r="AT5318" i="1"/>
  <c r="AX5318" i="1" s="1"/>
  <c r="M5318" i="1"/>
  <c r="U5318" i="1" s="1"/>
  <c r="AT5316" i="1"/>
  <c r="AX5316" i="1" s="1"/>
  <c r="M5316" i="1"/>
  <c r="U5316" i="1" s="1"/>
  <c r="AT5314" i="1"/>
  <c r="AX5314" i="1" s="1"/>
  <c r="M5314" i="1"/>
  <c r="U5314" i="1" s="1"/>
  <c r="AT5312" i="1"/>
  <c r="AX5312" i="1" s="1"/>
  <c r="M5312" i="1"/>
  <c r="U5312" i="1" s="1"/>
  <c r="AT5310" i="1"/>
  <c r="AX5310" i="1" s="1"/>
  <c r="M5310" i="1"/>
  <c r="U5310" i="1" s="1"/>
  <c r="AT5308" i="1"/>
  <c r="AX5308" i="1" s="1"/>
  <c r="M5308" i="1"/>
  <c r="U5308" i="1" s="1"/>
  <c r="AT5306" i="1"/>
  <c r="AX5306" i="1" s="1"/>
  <c r="M5306" i="1"/>
  <c r="U5306" i="1" s="1"/>
  <c r="AT5304" i="1"/>
  <c r="AX5304" i="1" s="1"/>
  <c r="M5304" i="1"/>
  <c r="U5304" i="1" s="1"/>
  <c r="AT5302" i="1"/>
  <c r="AX5302" i="1" s="1"/>
  <c r="M5302" i="1"/>
  <c r="U5302" i="1" s="1"/>
  <c r="AT5300" i="1"/>
  <c r="AX5300" i="1" s="1"/>
  <c r="M5300" i="1"/>
  <c r="U5300" i="1" s="1"/>
  <c r="AT5298" i="1"/>
  <c r="AX5298" i="1" s="1"/>
  <c r="M5298" i="1"/>
  <c r="U5298" i="1" s="1"/>
  <c r="AT5296" i="1"/>
  <c r="AX5296" i="1" s="1"/>
  <c r="M5296" i="1"/>
  <c r="U5296" i="1" s="1"/>
  <c r="AT5294" i="1"/>
  <c r="AX5294" i="1" s="1"/>
  <c r="M5294" i="1"/>
  <c r="U5294" i="1" s="1"/>
  <c r="AT5292" i="1"/>
  <c r="AX5292" i="1" s="1"/>
  <c r="M5292" i="1"/>
  <c r="U5292" i="1" s="1"/>
  <c r="AT5290" i="1"/>
  <c r="AX5290" i="1" s="1"/>
  <c r="M5290" i="1"/>
  <c r="U5290" i="1" s="1"/>
  <c r="AT5288" i="1"/>
  <c r="AX5288" i="1" s="1"/>
  <c r="M5288" i="1"/>
  <c r="U5288" i="1" s="1"/>
  <c r="AT5286" i="1"/>
  <c r="AX5286" i="1" s="1"/>
  <c r="M5286" i="1"/>
  <c r="U5286" i="1" s="1"/>
  <c r="AT5284" i="1"/>
  <c r="AX5284" i="1" s="1"/>
  <c r="M5284" i="1"/>
  <c r="U5284" i="1" s="1"/>
  <c r="AT5282" i="1"/>
  <c r="AX5282" i="1" s="1"/>
  <c r="M5282" i="1"/>
  <c r="U5282" i="1" s="1"/>
  <c r="AT5280" i="1"/>
  <c r="AX5280" i="1" s="1"/>
  <c r="M5280" i="1"/>
  <c r="U5280" i="1" s="1"/>
  <c r="AT5278" i="1"/>
  <c r="AX5278" i="1" s="1"/>
  <c r="M5278" i="1"/>
  <c r="U5278" i="1" s="1"/>
  <c r="AT5276" i="1"/>
  <c r="AX5276" i="1" s="1"/>
  <c r="U5276" i="1"/>
  <c r="AT5274" i="1"/>
  <c r="AX5274" i="1" s="1"/>
  <c r="M5274" i="1"/>
  <c r="U5274" i="1" s="1"/>
  <c r="AT5272" i="1"/>
  <c r="AX5272" i="1" s="1"/>
  <c r="M5272" i="1"/>
  <c r="U5272" i="1" s="1"/>
  <c r="AT5270" i="1"/>
  <c r="AX5270" i="1" s="1"/>
  <c r="M5270" i="1"/>
  <c r="U5270" i="1" s="1"/>
  <c r="AT5268" i="1"/>
  <c r="AX5268" i="1" s="1"/>
  <c r="M5268" i="1"/>
  <c r="U5268" i="1" s="1"/>
  <c r="AT5266" i="1"/>
  <c r="AX5266" i="1" s="1"/>
  <c r="M5266" i="1"/>
  <c r="U5266" i="1" s="1"/>
  <c r="AT5264" i="1"/>
  <c r="AX5264" i="1" s="1"/>
  <c r="M5264" i="1"/>
  <c r="U5264" i="1" s="1"/>
  <c r="AT5262" i="1"/>
  <c r="AX5262" i="1" s="1"/>
  <c r="M5262" i="1"/>
  <c r="U5262" i="1" s="1"/>
  <c r="AT5260" i="1"/>
  <c r="AX5260" i="1" s="1"/>
  <c r="M5260" i="1"/>
  <c r="U5260" i="1" s="1"/>
  <c r="AT5258" i="1"/>
  <c r="AX5258" i="1" s="1"/>
  <c r="M5258" i="1"/>
  <c r="U5258" i="1" s="1"/>
  <c r="AT5256" i="1"/>
  <c r="AX5256" i="1" s="1"/>
  <c r="M5256" i="1"/>
  <c r="U5256" i="1" s="1"/>
  <c r="AT5254" i="1"/>
  <c r="AX5254" i="1" s="1"/>
  <c r="M5254" i="1"/>
  <c r="U5254" i="1" s="1"/>
  <c r="AT5252" i="1"/>
  <c r="AX5252" i="1" s="1"/>
  <c r="M5252" i="1"/>
  <c r="U5252" i="1" s="1"/>
  <c r="AT5250" i="1"/>
  <c r="AX5250" i="1" s="1"/>
  <c r="M5250" i="1"/>
  <c r="U5250" i="1" s="1"/>
  <c r="AT5248" i="1"/>
  <c r="AX5248" i="1" s="1"/>
  <c r="M5248" i="1"/>
  <c r="U5248" i="1" s="1"/>
  <c r="AT5246" i="1"/>
  <c r="AX5246" i="1" s="1"/>
  <c r="M5246" i="1"/>
  <c r="U5246" i="1" s="1"/>
  <c r="AX5244" i="1"/>
  <c r="M5244" i="1"/>
  <c r="U5244" i="1" s="1"/>
  <c r="AT5242" i="1"/>
  <c r="AX5242" i="1" s="1"/>
  <c r="M5242" i="1"/>
  <c r="U5242" i="1" s="1"/>
  <c r="AT5240" i="1"/>
  <c r="AX5240" i="1" s="1"/>
  <c r="M5240" i="1"/>
  <c r="U5240" i="1" s="1"/>
  <c r="AT5238" i="1"/>
  <c r="AX5238" i="1" s="1"/>
  <c r="M5238" i="1"/>
  <c r="U5238" i="1" s="1"/>
  <c r="AT5236" i="1"/>
  <c r="AX5236" i="1" s="1"/>
  <c r="M5236" i="1"/>
  <c r="U5236" i="1" s="1"/>
  <c r="AT5234" i="1"/>
  <c r="AX5234" i="1" s="1"/>
  <c r="M5234" i="1"/>
  <c r="U5234" i="1" s="1"/>
  <c r="AT5232" i="1"/>
  <c r="AX5232" i="1" s="1"/>
  <c r="M5232" i="1"/>
  <c r="U5232" i="1" s="1"/>
  <c r="AT5230" i="1"/>
  <c r="AX5230" i="1" s="1"/>
  <c r="M5230" i="1"/>
  <c r="U5230" i="1" s="1"/>
  <c r="AT5228" i="1"/>
  <c r="AX5228" i="1" s="1"/>
  <c r="M5228" i="1"/>
  <c r="U5228" i="1" s="1"/>
  <c r="AT5226" i="1"/>
  <c r="AX5226" i="1" s="1"/>
  <c r="M5226" i="1"/>
  <c r="U5226" i="1" s="1"/>
  <c r="AT5224" i="1"/>
  <c r="AX5224" i="1" s="1"/>
  <c r="M5224" i="1"/>
  <c r="U5224" i="1" s="1"/>
  <c r="AT5222" i="1"/>
  <c r="AX5222" i="1" s="1"/>
  <c r="M5222" i="1"/>
  <c r="U5222" i="1" s="1"/>
  <c r="AT5220" i="1"/>
  <c r="AX5220" i="1" s="1"/>
  <c r="M5220" i="1"/>
  <c r="U5220" i="1" s="1"/>
  <c r="AT5218" i="1"/>
  <c r="AX5218" i="1" s="1"/>
  <c r="M5218" i="1"/>
  <c r="U5218" i="1" s="1"/>
  <c r="AT5216" i="1"/>
  <c r="AX5216" i="1" s="1"/>
  <c r="M5216" i="1"/>
  <c r="U5216" i="1" s="1"/>
  <c r="AT5214" i="1"/>
  <c r="AX5214" i="1" s="1"/>
  <c r="M5214" i="1"/>
  <c r="U5214" i="1" s="1"/>
  <c r="AT5212" i="1"/>
  <c r="AX5212" i="1" s="1"/>
  <c r="M5212" i="1"/>
  <c r="U5212" i="1" s="1"/>
  <c r="AT5210" i="1"/>
  <c r="AX5210" i="1" s="1"/>
  <c r="M5210" i="1"/>
  <c r="U5210" i="1" s="1"/>
  <c r="AT5208" i="1"/>
  <c r="AX5208" i="1" s="1"/>
  <c r="M5208" i="1"/>
  <c r="U5208" i="1" s="1"/>
  <c r="AT5206" i="1"/>
  <c r="AX5206" i="1" s="1"/>
  <c r="M5206" i="1"/>
  <c r="U5206" i="1" s="1"/>
  <c r="AT5204" i="1"/>
  <c r="AX5204" i="1" s="1"/>
  <c r="M5204" i="1"/>
  <c r="U5204" i="1" s="1"/>
  <c r="AT5202" i="1"/>
  <c r="AX5202" i="1" s="1"/>
  <c r="M5202" i="1"/>
  <c r="U5202" i="1" s="1"/>
  <c r="AT5200" i="1"/>
  <c r="AX5200" i="1" s="1"/>
  <c r="M5200" i="1"/>
  <c r="U5200" i="1" s="1"/>
  <c r="AT5198" i="1"/>
  <c r="AX5198" i="1" s="1"/>
  <c r="M5198" i="1"/>
  <c r="U5198" i="1" s="1"/>
  <c r="AT5196" i="1"/>
  <c r="AX5196" i="1" s="1"/>
  <c r="M5196" i="1"/>
  <c r="U5196" i="1" s="1"/>
  <c r="AT5194" i="1"/>
  <c r="AX5194" i="1" s="1"/>
  <c r="M5194" i="1"/>
  <c r="U5194" i="1" s="1"/>
  <c r="AT5192" i="1"/>
  <c r="AX5192" i="1" s="1"/>
  <c r="M5192" i="1"/>
  <c r="U5192" i="1" s="1"/>
  <c r="AT5190" i="1"/>
  <c r="AX5190" i="1" s="1"/>
  <c r="M5190" i="1"/>
  <c r="U5190" i="1" s="1"/>
  <c r="AT5188" i="1"/>
  <c r="AX5188" i="1" s="1"/>
  <c r="M5188" i="1"/>
  <c r="U5188" i="1" s="1"/>
  <c r="AT5186" i="1"/>
  <c r="AX5186" i="1" s="1"/>
  <c r="M5186" i="1"/>
  <c r="U5186" i="1" s="1"/>
  <c r="AT5184" i="1"/>
  <c r="AX5184" i="1" s="1"/>
  <c r="U5184" i="1"/>
  <c r="AT5182" i="1"/>
  <c r="AX5182" i="1" s="1"/>
  <c r="M5182" i="1"/>
  <c r="U5182" i="1" s="1"/>
  <c r="AT5180" i="1"/>
  <c r="AX5180" i="1" s="1"/>
  <c r="M5180" i="1"/>
  <c r="U5180" i="1" s="1"/>
  <c r="AT5178" i="1"/>
  <c r="AX5178" i="1" s="1"/>
  <c r="M5178" i="1"/>
  <c r="U5178" i="1" s="1"/>
  <c r="AT5176" i="1"/>
  <c r="AX5176" i="1" s="1"/>
  <c r="M5176" i="1"/>
  <c r="U5176" i="1" s="1"/>
  <c r="AT5174" i="1"/>
  <c r="AX5174" i="1" s="1"/>
  <c r="M5174" i="1"/>
  <c r="U5174" i="1" s="1"/>
  <c r="AT5172" i="1"/>
  <c r="AX5172" i="1" s="1"/>
  <c r="M5172" i="1"/>
  <c r="U5172" i="1" s="1"/>
  <c r="AT5170" i="1"/>
  <c r="AX5170" i="1" s="1"/>
  <c r="M5170" i="1"/>
  <c r="U5170" i="1" s="1"/>
  <c r="AT5168" i="1"/>
  <c r="AX5168" i="1" s="1"/>
  <c r="M5168" i="1"/>
  <c r="U5168" i="1" s="1"/>
  <c r="AT5166" i="1"/>
  <c r="AX5166" i="1" s="1"/>
  <c r="M5166" i="1"/>
  <c r="U5166" i="1" s="1"/>
  <c r="AT5164" i="1"/>
  <c r="AX5164" i="1" s="1"/>
  <c r="M5164" i="1"/>
  <c r="U5164" i="1" s="1"/>
  <c r="AT5162" i="1"/>
  <c r="AX5162" i="1" s="1"/>
  <c r="M5162" i="1"/>
  <c r="U5162" i="1" s="1"/>
  <c r="AT5160" i="1"/>
  <c r="AX5160" i="1" s="1"/>
  <c r="M5160" i="1"/>
  <c r="U5160" i="1" s="1"/>
  <c r="AT5158" i="1"/>
  <c r="AX5158" i="1" s="1"/>
  <c r="M5158" i="1"/>
  <c r="U5158" i="1" s="1"/>
  <c r="AT5156" i="1"/>
  <c r="AX5156" i="1" s="1"/>
  <c r="M5156" i="1"/>
  <c r="U5156" i="1" s="1"/>
  <c r="AT5154" i="1"/>
  <c r="AX5154" i="1" s="1"/>
  <c r="M5154" i="1"/>
  <c r="U5154" i="1" s="1"/>
  <c r="AT5152" i="1"/>
  <c r="AX5152" i="1" s="1"/>
  <c r="M5152" i="1"/>
  <c r="U5152" i="1" s="1"/>
  <c r="AT5150" i="1"/>
  <c r="AX5150" i="1" s="1"/>
  <c r="M5150" i="1"/>
  <c r="U5150" i="1" s="1"/>
  <c r="AT5148" i="1"/>
  <c r="AX5148" i="1" s="1"/>
  <c r="M5148" i="1"/>
  <c r="U5148" i="1" s="1"/>
  <c r="AT5146" i="1"/>
  <c r="AX5146" i="1" s="1"/>
  <c r="M5146" i="1"/>
  <c r="U5146" i="1" s="1"/>
  <c r="AT5144" i="1"/>
  <c r="AX5144" i="1" s="1"/>
  <c r="M5144" i="1"/>
  <c r="U5144" i="1" s="1"/>
  <c r="AT5142" i="1"/>
  <c r="AX5142" i="1" s="1"/>
  <c r="M5142" i="1"/>
  <c r="U5142" i="1" s="1"/>
  <c r="AT5140" i="1"/>
  <c r="AX5140" i="1" s="1"/>
  <c r="M5140" i="1"/>
  <c r="U5140" i="1" s="1"/>
  <c r="AT5138" i="1"/>
  <c r="AX5138" i="1" s="1"/>
  <c r="M5138" i="1"/>
  <c r="U5138" i="1" s="1"/>
  <c r="AT5136" i="1"/>
  <c r="AX5136" i="1" s="1"/>
  <c r="M5136" i="1"/>
  <c r="U5136" i="1" s="1"/>
  <c r="AT5134" i="1"/>
  <c r="AX5134" i="1" s="1"/>
  <c r="M5134" i="1"/>
  <c r="U5134" i="1" s="1"/>
  <c r="AT5132" i="1"/>
  <c r="AX5132" i="1" s="1"/>
  <c r="M5132" i="1"/>
  <c r="U5132" i="1" s="1"/>
  <c r="AT5130" i="1"/>
  <c r="AX5130" i="1" s="1"/>
  <c r="M5130" i="1"/>
  <c r="U5130" i="1" s="1"/>
  <c r="AT5128" i="1"/>
  <c r="AX5128" i="1" s="1"/>
  <c r="M5128" i="1"/>
  <c r="U5128" i="1" s="1"/>
  <c r="AT5126" i="1"/>
  <c r="AX5126" i="1" s="1"/>
  <c r="M5126" i="1"/>
  <c r="U5126" i="1" s="1"/>
  <c r="AT5124" i="1"/>
  <c r="AX5124" i="1" s="1"/>
  <c r="M5124" i="1"/>
  <c r="U5124" i="1" s="1"/>
  <c r="AT5122" i="1"/>
  <c r="AX5122" i="1" s="1"/>
  <c r="M5122" i="1"/>
  <c r="U5122" i="1" s="1"/>
  <c r="AT5120" i="1"/>
  <c r="AX5120" i="1" s="1"/>
  <c r="M5120" i="1"/>
  <c r="U5120" i="1" s="1"/>
  <c r="AT5118" i="1"/>
  <c r="AX5118" i="1" s="1"/>
  <c r="M5118" i="1"/>
  <c r="U5118" i="1" s="1"/>
  <c r="AT5116" i="1"/>
  <c r="AX5116" i="1" s="1"/>
  <c r="M5116" i="1"/>
  <c r="U5116" i="1" s="1"/>
  <c r="AT5114" i="1"/>
  <c r="AX5114" i="1" s="1"/>
  <c r="M5114" i="1"/>
  <c r="U5114" i="1" s="1"/>
  <c r="AT5112" i="1"/>
  <c r="AX5112" i="1" s="1"/>
  <c r="M5112" i="1"/>
  <c r="U5112" i="1" s="1"/>
  <c r="AT5110" i="1"/>
  <c r="AX5110" i="1" s="1"/>
  <c r="M5110" i="1"/>
  <c r="U5110" i="1" s="1"/>
  <c r="AT5108" i="1"/>
  <c r="AX5108" i="1" s="1"/>
  <c r="M5108" i="1"/>
  <c r="U5108" i="1" s="1"/>
  <c r="AT5106" i="1"/>
  <c r="AX5106" i="1" s="1"/>
  <c r="M5106" i="1"/>
  <c r="U5106" i="1" s="1"/>
  <c r="AT5104" i="1"/>
  <c r="AX5104" i="1" s="1"/>
  <c r="M5104" i="1"/>
  <c r="U5104" i="1" s="1"/>
  <c r="AT5102" i="1"/>
  <c r="AX5102" i="1" s="1"/>
  <c r="M5102" i="1"/>
  <c r="U5102" i="1" s="1"/>
  <c r="AT5100" i="1"/>
  <c r="AX5100" i="1" s="1"/>
  <c r="M5100" i="1"/>
  <c r="U5100" i="1" s="1"/>
  <c r="AT5098" i="1"/>
  <c r="AX5098" i="1" s="1"/>
  <c r="M5098" i="1"/>
  <c r="U5098" i="1" s="1"/>
  <c r="AT5096" i="1"/>
  <c r="AX5096" i="1" s="1"/>
  <c r="M5096" i="1"/>
  <c r="U5096" i="1" s="1"/>
  <c r="AT5094" i="1"/>
  <c r="AX5094" i="1" s="1"/>
  <c r="M5094" i="1"/>
  <c r="U5094" i="1" s="1"/>
  <c r="AT5092" i="1"/>
  <c r="AX5092" i="1" s="1"/>
  <c r="M5092" i="1"/>
  <c r="U5092" i="1" s="1"/>
  <c r="AT5090" i="1"/>
  <c r="AX5090" i="1" s="1"/>
  <c r="M5090" i="1"/>
  <c r="U5090" i="1" s="1"/>
  <c r="AT5088" i="1"/>
  <c r="AX5088" i="1" s="1"/>
  <c r="U5088" i="1"/>
  <c r="AT5086" i="1"/>
  <c r="AX5086" i="1" s="1"/>
  <c r="M5086" i="1"/>
  <c r="U5086" i="1" s="1"/>
  <c r="AT5084" i="1"/>
  <c r="AX5084" i="1" s="1"/>
  <c r="M5084" i="1"/>
  <c r="U5084" i="1" s="1"/>
  <c r="AT5082" i="1"/>
  <c r="AX5082" i="1" s="1"/>
  <c r="M5082" i="1"/>
  <c r="U5082" i="1" s="1"/>
  <c r="AT5080" i="1"/>
  <c r="AX5080" i="1" s="1"/>
  <c r="M5080" i="1"/>
  <c r="U5080" i="1" s="1"/>
  <c r="AT5078" i="1"/>
  <c r="AX5078" i="1" s="1"/>
  <c r="M5078" i="1"/>
  <c r="U5078" i="1" s="1"/>
  <c r="AT5076" i="1"/>
  <c r="AX5076" i="1" s="1"/>
  <c r="M5076" i="1"/>
  <c r="U5076" i="1" s="1"/>
  <c r="AT5074" i="1"/>
  <c r="AX5074" i="1" s="1"/>
  <c r="M5074" i="1"/>
  <c r="U5074" i="1" s="1"/>
  <c r="AT5072" i="1"/>
  <c r="AX5072" i="1" s="1"/>
  <c r="M5072" i="1"/>
  <c r="U5072" i="1" s="1"/>
  <c r="AT5070" i="1"/>
  <c r="AX5070" i="1" s="1"/>
  <c r="M5070" i="1"/>
  <c r="U5070" i="1" s="1"/>
  <c r="AT5068" i="1"/>
  <c r="AX5068" i="1" s="1"/>
  <c r="U5068" i="1"/>
  <c r="AT5066" i="1"/>
  <c r="AX5066" i="1" s="1"/>
  <c r="M5066" i="1"/>
  <c r="U5066" i="1" s="1"/>
  <c r="AT5064" i="1"/>
  <c r="AX5064" i="1" s="1"/>
  <c r="M5064" i="1"/>
  <c r="U5064" i="1" s="1"/>
  <c r="AX5062" i="1"/>
  <c r="M5062" i="1"/>
  <c r="U5062" i="1" s="1"/>
  <c r="AT5060" i="1"/>
  <c r="AX5060" i="1" s="1"/>
  <c r="M5060" i="1"/>
  <c r="U5060" i="1" s="1"/>
  <c r="AT5058" i="1"/>
  <c r="AX5058" i="1" s="1"/>
  <c r="M5058" i="1"/>
  <c r="U5058" i="1" s="1"/>
  <c r="AT5056" i="1"/>
  <c r="AX5056" i="1" s="1"/>
  <c r="U5056" i="1"/>
  <c r="AT5054" i="1"/>
  <c r="AX5054" i="1" s="1"/>
  <c r="M5054" i="1"/>
  <c r="U5054" i="1" s="1"/>
  <c r="AT5052" i="1"/>
  <c r="AX5052" i="1" s="1"/>
  <c r="M5052" i="1"/>
  <c r="AX5050" i="1"/>
  <c r="M5050" i="1"/>
  <c r="U5050" i="1" s="1"/>
  <c r="AT5048" i="1"/>
  <c r="AX5048" i="1" s="1"/>
  <c r="M5048" i="1"/>
  <c r="U5048" i="1" s="1"/>
  <c r="AT5046" i="1"/>
  <c r="AX5046" i="1" s="1"/>
  <c r="M5046" i="1"/>
  <c r="U5046" i="1" s="1"/>
  <c r="AT5040" i="1"/>
  <c r="AX5040" i="1" s="1"/>
  <c r="M5040" i="1"/>
  <c r="U5040" i="1" s="1"/>
  <c r="AT5026" i="1"/>
  <c r="AX5026" i="1" s="1"/>
  <c r="M5026" i="1"/>
  <c r="U5026" i="1" s="1"/>
  <c r="AT5024" i="1"/>
  <c r="AX5024" i="1" s="1"/>
  <c r="M5024" i="1"/>
  <c r="U5024" i="1" s="1"/>
  <c r="AT5022" i="1"/>
  <c r="AX5022" i="1" s="1"/>
  <c r="M5022" i="1"/>
  <c r="U5022" i="1" s="1"/>
  <c r="AT5020" i="1"/>
  <c r="AX5020" i="1" s="1"/>
  <c r="M5020" i="1"/>
  <c r="U5020" i="1" s="1"/>
  <c r="AT5018" i="1"/>
  <c r="AX5018" i="1" s="1"/>
  <c r="M5018" i="1"/>
  <c r="U5018" i="1" s="1"/>
  <c r="AT5006" i="1"/>
  <c r="AX5006" i="1" s="1"/>
  <c r="M5006" i="1"/>
  <c r="U5006" i="1" s="1"/>
  <c r="AT5004" i="1"/>
  <c r="AX5004" i="1" s="1"/>
  <c r="M5004" i="1"/>
  <c r="U5004" i="1" s="1"/>
  <c r="K4996" i="1"/>
  <c r="K4994" i="1"/>
  <c r="K4992" i="1"/>
  <c r="K4990" i="1"/>
  <c r="K4988" i="1"/>
  <c r="K4986" i="1"/>
  <c r="K4984" i="1"/>
  <c r="K4982" i="1"/>
  <c r="K4980" i="1"/>
  <c r="K4978" i="1"/>
  <c r="K4976" i="1"/>
  <c r="K4974" i="1"/>
  <c r="K4972" i="1"/>
  <c r="K4970" i="1"/>
  <c r="K4968" i="1"/>
  <c r="O4960" i="1"/>
  <c r="O4946" i="1"/>
  <c r="O4934" i="1"/>
  <c r="O4922" i="1"/>
  <c r="AT4924" i="1"/>
  <c r="AX4924" i="1" s="1"/>
  <c r="M4924" i="1"/>
  <c r="U4924" i="1" s="1"/>
  <c r="AT4930" i="1"/>
  <c r="AX4930" i="1" s="1"/>
  <c r="M4930" i="1"/>
  <c r="U4930" i="1" s="1"/>
  <c r="AT4928" i="1"/>
  <c r="AX4928" i="1" s="1"/>
  <c r="M4928" i="1"/>
  <c r="U4928" i="1" s="1"/>
  <c r="AT4926" i="1"/>
  <c r="AX4926" i="1" s="1"/>
  <c r="M4926" i="1"/>
  <c r="U4926" i="1" s="1"/>
  <c r="AT4922" i="1"/>
  <c r="AX4922" i="1" s="1"/>
  <c r="M4922" i="1"/>
  <c r="AT4916" i="1"/>
  <c r="AX4916" i="1" s="1"/>
  <c r="M4916" i="1"/>
  <c r="U4916" i="1" s="1"/>
  <c r="AT4932" i="1"/>
  <c r="AX4932" i="1" s="1"/>
  <c r="M4932" i="1"/>
  <c r="U4932" i="1" s="1"/>
  <c r="AT4914" i="1"/>
  <c r="AX4914" i="1" s="1"/>
  <c r="M4914" i="1"/>
  <c r="U4914" i="1" s="1"/>
  <c r="AT4918" i="1"/>
  <c r="AX4918" i="1" s="1"/>
  <c r="M4918" i="1"/>
  <c r="U4918" i="1" s="1"/>
  <c r="K4904" i="1"/>
  <c r="K4902" i="1"/>
  <c r="K4900" i="1"/>
  <c r="K4898" i="1"/>
  <c r="K4896" i="1"/>
  <c r="AT4888" i="1"/>
  <c r="AX4888" i="1" s="1"/>
  <c r="M4888" i="1"/>
  <c r="U4888" i="1" s="1"/>
  <c r="U5526" i="1" l="1"/>
  <c r="U5506" i="1"/>
  <c r="U5494" i="1"/>
  <c r="M5498" i="1"/>
  <c r="U5498" i="1" s="1"/>
  <c r="U5052" i="1"/>
  <c r="U4922" i="1"/>
  <c r="AT4878" i="1"/>
  <c r="AX4878" i="1" s="1"/>
  <c r="M4878" i="1"/>
  <c r="U4878" i="1" s="1"/>
  <c r="O4874" i="1"/>
  <c r="O4868" i="1"/>
  <c r="O4866" i="1"/>
  <c r="AT4828" i="1"/>
  <c r="AX4828" i="1" s="1"/>
  <c r="M4828" i="1"/>
  <c r="U4828" i="1" s="1"/>
  <c r="K4854" i="1"/>
  <c r="M4854" i="1" s="1"/>
  <c r="U4854" i="1" s="1"/>
  <c r="K4852" i="1"/>
  <c r="M4852" i="1" s="1"/>
  <c r="U4852" i="1" s="1"/>
  <c r="K4850" i="1"/>
  <c r="M4850" i="1" s="1"/>
  <c r="U4850" i="1" s="1"/>
  <c r="K4848" i="1"/>
  <c r="M4848" i="1" s="1"/>
  <c r="U4848" i="1" s="1"/>
  <c r="K4846" i="1"/>
  <c r="M4846" i="1" s="1"/>
  <c r="U4846" i="1" s="1"/>
  <c r="K4844" i="1"/>
  <c r="M4844" i="1" s="1"/>
  <c r="U4844" i="1" s="1"/>
  <c r="O4838" i="1"/>
  <c r="O4834" i="1"/>
  <c r="O4820" i="1"/>
  <c r="O4816" i="1"/>
  <c r="O4812" i="1"/>
  <c r="O4808" i="1"/>
  <c r="AT4806" i="1"/>
  <c r="AX4806" i="1" s="1"/>
  <c r="U4806" i="1"/>
  <c r="AT4814" i="1"/>
  <c r="AX4814" i="1" s="1"/>
  <c r="M4814" i="1"/>
  <c r="U4814" i="1" s="1"/>
  <c r="AT4810" i="1"/>
  <c r="AX4810" i="1" s="1"/>
  <c r="M4810" i="1"/>
  <c r="U4810" i="1" s="1"/>
  <c r="AT4808" i="1"/>
  <c r="AX4808" i="1" s="1"/>
  <c r="M4808" i="1"/>
  <c r="O4802" i="1"/>
  <c r="O4786" i="1"/>
  <c r="O4780" i="1"/>
  <c r="O4774" i="1"/>
  <c r="AT4746" i="1"/>
  <c r="AX4746" i="1" s="1"/>
  <c r="M4746" i="1"/>
  <c r="U4746" i="1" s="1"/>
  <c r="O4732" i="1"/>
  <c r="O4730" i="1"/>
  <c r="O4718" i="1"/>
  <c r="AT4720" i="1"/>
  <c r="AX4720" i="1" s="1"/>
  <c r="M4720" i="1"/>
  <c r="U4720" i="1" s="1"/>
  <c r="AT4718" i="1"/>
  <c r="AX4718" i="1" s="1"/>
  <c r="M4718" i="1"/>
  <c r="AT4716" i="1"/>
  <c r="AX4716" i="1" s="1"/>
  <c r="M4716" i="1"/>
  <c r="U4716" i="1" s="1"/>
  <c r="O4724" i="1"/>
  <c r="O4722" i="1"/>
  <c r="AT4724" i="1"/>
  <c r="AX4724" i="1" s="1"/>
  <c r="M4724" i="1"/>
  <c r="AT4722" i="1"/>
  <c r="AX4722" i="1" s="1"/>
  <c r="M4722" i="1"/>
  <c r="O4708" i="1"/>
  <c r="AT4714" i="1"/>
  <c r="AX4714" i="1" s="1"/>
  <c r="M4714" i="1"/>
  <c r="U4714" i="1" s="1"/>
  <c r="AT4712" i="1"/>
  <c r="AX4712" i="1" s="1"/>
  <c r="M4712" i="1"/>
  <c r="U4712" i="1" s="1"/>
  <c r="AT4710" i="1"/>
  <c r="AX4710" i="1" s="1"/>
  <c r="M4710" i="1"/>
  <c r="U4710" i="1" s="1"/>
  <c r="AT4708" i="1"/>
  <c r="AX4708" i="1" s="1"/>
  <c r="M4708" i="1"/>
  <c r="O4706" i="1"/>
  <c r="O4702" i="1"/>
  <c r="O4700" i="1"/>
  <c r="O4698" i="1"/>
  <c r="O4696" i="1"/>
  <c r="O4664" i="1"/>
  <c r="O4656" i="1"/>
  <c r="O4654" i="1"/>
  <c r="O4652" i="1"/>
  <c r="K4646" i="1"/>
  <c r="M4646" i="1" s="1"/>
  <c r="AT4646" i="1"/>
  <c r="AX4646" i="1" s="1"/>
  <c r="AT4640" i="1"/>
  <c r="AX4640" i="1" s="1"/>
  <c r="M4640" i="1"/>
  <c r="U4640" i="1" s="1"/>
  <c r="AT4638" i="1"/>
  <c r="AX4638" i="1" s="1"/>
  <c r="U4638" i="1"/>
  <c r="K4644" i="1"/>
  <c r="M4644" i="1" s="1"/>
  <c r="U4644" i="1" s="1"/>
  <c r="O4636" i="1"/>
  <c r="O4634" i="1"/>
  <c r="O4612" i="1"/>
  <c r="AT4630" i="1"/>
  <c r="AX4630" i="1" s="1"/>
  <c r="M4630" i="1"/>
  <c r="U4630" i="1" s="1"/>
  <c r="AT4628" i="1"/>
  <c r="AX4628" i="1" s="1"/>
  <c r="M4628" i="1"/>
  <c r="U4628" i="1" s="1"/>
  <c r="AT4626" i="1"/>
  <c r="AX4626" i="1" s="1"/>
  <c r="M4626" i="1"/>
  <c r="U4626" i="1" s="1"/>
  <c r="AT4616" i="1"/>
  <c r="AX4616" i="1" s="1"/>
  <c r="M4616" i="1"/>
  <c r="U4616" i="1" s="1"/>
  <c r="AT4614" i="1"/>
  <c r="AX4614" i="1" s="1"/>
  <c r="M4614" i="1"/>
  <c r="U4614" i="1" s="1"/>
  <c r="O4610" i="1"/>
  <c r="O4608" i="1"/>
  <c r="AT4610" i="1"/>
  <c r="AX4610" i="1" s="1"/>
  <c r="M4610" i="1"/>
  <c r="O4602" i="1"/>
  <c r="O4586" i="1"/>
  <c r="O4580" i="1"/>
  <c r="O4594" i="1"/>
  <c r="O4588" i="1"/>
  <c r="O4562" i="1"/>
  <c r="O4558" i="1"/>
  <c r="AT4528" i="1"/>
  <c r="AX4528" i="1" s="1"/>
  <c r="U4528" i="1"/>
  <c r="O4526" i="1"/>
  <c r="O4524" i="1"/>
  <c r="O4520" i="1"/>
  <c r="O4518" i="1"/>
  <c r="O4514" i="1"/>
  <c r="AT4504" i="1"/>
  <c r="AX4504" i="1" s="1"/>
  <c r="M4504" i="1"/>
  <c r="U4504" i="1" s="1"/>
  <c r="AT4502" i="1"/>
  <c r="AX4502" i="1" s="1"/>
  <c r="M4502" i="1"/>
  <c r="U4502" i="1" s="1"/>
  <c r="AT4500" i="1"/>
  <c r="AX4500" i="1" s="1"/>
  <c r="M4500" i="1"/>
  <c r="U4500" i="1" s="1"/>
  <c r="AT4498" i="1"/>
  <c r="AX4498" i="1" s="1"/>
  <c r="M4498" i="1"/>
  <c r="U4498" i="1" s="1"/>
  <c r="AT4496" i="1"/>
  <c r="AX4496" i="1" s="1"/>
  <c r="M4496" i="1"/>
  <c r="U4496" i="1" s="1"/>
  <c r="AT4492" i="1"/>
  <c r="AX4492" i="1" s="1"/>
  <c r="M4492" i="1"/>
  <c r="U4492" i="1" s="1"/>
  <c r="AT4472" i="1"/>
  <c r="AX4472" i="1" s="1"/>
  <c r="M4472" i="1"/>
  <c r="U4472" i="1" s="1"/>
  <c r="AT4494" i="1"/>
  <c r="AX4494" i="1" s="1"/>
  <c r="M4494" i="1"/>
  <c r="U4494" i="1" s="1"/>
  <c r="AT4490" i="1"/>
  <c r="AX4490" i="1" s="1"/>
  <c r="M4490" i="1"/>
  <c r="U4490" i="1" s="1"/>
  <c r="AT4488" i="1"/>
  <c r="AX4488" i="1" s="1"/>
  <c r="M4488" i="1"/>
  <c r="U4488" i="1" s="1"/>
  <c r="AT4486" i="1"/>
  <c r="AX4486" i="1" s="1"/>
  <c r="M4486" i="1"/>
  <c r="U4486" i="1" s="1"/>
  <c r="AT4484" i="1"/>
  <c r="AX4484" i="1" s="1"/>
  <c r="M4484" i="1"/>
  <c r="U4484" i="1" s="1"/>
  <c r="AT4482" i="1"/>
  <c r="AX4482" i="1" s="1"/>
  <c r="M4482" i="1"/>
  <c r="U4482" i="1" s="1"/>
  <c r="K4468" i="1"/>
  <c r="M4468" i="1" s="1"/>
  <c r="U4468" i="1" s="1"/>
  <c r="K4466" i="1"/>
  <c r="M4466" i="1" s="1"/>
  <c r="U4466" i="1" s="1"/>
  <c r="K4464" i="1"/>
  <c r="M4464" i="1" s="1"/>
  <c r="U4464" i="1" s="1"/>
  <c r="K4462" i="1"/>
  <c r="M4462" i="1" s="1"/>
  <c r="U4462" i="1" s="1"/>
  <c r="K4460" i="1"/>
  <c r="M4460" i="1" s="1"/>
  <c r="U4460" i="1" s="1"/>
  <c r="K4458" i="1"/>
  <c r="M4458" i="1" s="1"/>
  <c r="U4458" i="1" s="1"/>
  <c r="O4456" i="1"/>
  <c r="O4452" i="1"/>
  <c r="O4444" i="1"/>
  <c r="O4442" i="1"/>
  <c r="AT4448" i="1"/>
  <c r="AX4448" i="1" s="1"/>
  <c r="M4448" i="1"/>
  <c r="U4448" i="1" s="1"/>
  <c r="AT4444" i="1"/>
  <c r="AX4444" i="1" s="1"/>
  <c r="M4444" i="1"/>
  <c r="AT4442" i="1"/>
  <c r="AX4442" i="1" s="1"/>
  <c r="M4442" i="1"/>
  <c r="AT4018" i="1"/>
  <c r="AT4446" i="1"/>
  <c r="AX4446" i="1" s="1"/>
  <c r="M4446" i="1"/>
  <c r="U4446" i="1" s="1"/>
  <c r="O4436" i="1"/>
  <c r="O4434" i="1"/>
  <c r="O4430" i="1"/>
  <c r="O4424" i="1"/>
  <c r="O4410" i="1"/>
  <c r="O4408" i="1"/>
  <c r="O4406" i="1"/>
  <c r="O4402" i="1"/>
  <c r="O4400" i="1"/>
  <c r="O4394" i="1"/>
  <c r="AT4392" i="1"/>
  <c r="AX4392" i="1" s="1"/>
  <c r="M4392" i="1"/>
  <c r="U4392" i="1" s="1"/>
  <c r="AT4408" i="1"/>
  <c r="AX4408" i="1" s="1"/>
  <c r="M4408" i="1"/>
  <c r="AT4432" i="1"/>
  <c r="AX4432" i="1" s="1"/>
  <c r="M4432" i="1"/>
  <c r="U4432" i="1" s="1"/>
  <c r="AT4430" i="1"/>
  <c r="AX4430" i="1" s="1"/>
  <c r="M4430" i="1"/>
  <c r="AT4428" i="1"/>
  <c r="AX4428" i="1" s="1"/>
  <c r="M4428" i="1"/>
  <c r="U4428" i="1" s="1"/>
  <c r="AT4420" i="1"/>
  <c r="AX4420" i="1" s="1"/>
  <c r="M4420" i="1"/>
  <c r="U4420" i="1" s="1"/>
  <c r="AT4412" i="1"/>
  <c r="AX4412" i="1" s="1"/>
  <c r="M4412" i="1"/>
  <c r="U4412" i="1" s="1"/>
  <c r="AT4410" i="1"/>
  <c r="AX4410" i="1" s="1"/>
  <c r="M4410" i="1"/>
  <c r="O4340" i="1"/>
  <c r="O4378" i="1"/>
  <c r="O4368" i="1"/>
  <c r="O4366" i="1"/>
  <c r="K4388" i="1"/>
  <c r="AT5002" i="1"/>
  <c r="AX5002" i="1" s="1"/>
  <c r="M5002" i="1"/>
  <c r="U5002" i="1" s="1"/>
  <c r="AT5000" i="1"/>
  <c r="AX5000" i="1" s="1"/>
  <c r="M5000" i="1"/>
  <c r="U5000" i="1" s="1"/>
  <c r="AT4998" i="1"/>
  <c r="AX4998" i="1" s="1"/>
  <c r="M4998" i="1"/>
  <c r="U4998" i="1" s="1"/>
  <c r="AT4996" i="1"/>
  <c r="AX4996" i="1" s="1"/>
  <c r="M4996" i="1"/>
  <c r="U4996" i="1" s="1"/>
  <c r="AT4994" i="1"/>
  <c r="AX4994" i="1" s="1"/>
  <c r="M4994" i="1"/>
  <c r="U4994" i="1" s="1"/>
  <c r="AT4992" i="1"/>
  <c r="AX4992" i="1" s="1"/>
  <c r="M4992" i="1"/>
  <c r="U4992" i="1" s="1"/>
  <c r="AT4990" i="1"/>
  <c r="AX4990" i="1" s="1"/>
  <c r="M4990" i="1"/>
  <c r="U4990" i="1" s="1"/>
  <c r="AT4988" i="1"/>
  <c r="AX4988" i="1" s="1"/>
  <c r="M4988" i="1"/>
  <c r="U4988" i="1" s="1"/>
  <c r="AT4986" i="1"/>
  <c r="AX4986" i="1" s="1"/>
  <c r="M4986" i="1"/>
  <c r="U4986" i="1" s="1"/>
  <c r="AT4984" i="1"/>
  <c r="AX4984" i="1" s="1"/>
  <c r="M4984" i="1"/>
  <c r="U4984" i="1" s="1"/>
  <c r="AT4982" i="1"/>
  <c r="AX4982" i="1" s="1"/>
  <c r="M4982" i="1"/>
  <c r="U4982" i="1" s="1"/>
  <c r="AT4980" i="1"/>
  <c r="AX4980" i="1" s="1"/>
  <c r="M4980" i="1"/>
  <c r="U4980" i="1" s="1"/>
  <c r="AT4978" i="1"/>
  <c r="AX4978" i="1" s="1"/>
  <c r="M4978" i="1"/>
  <c r="U4978" i="1" s="1"/>
  <c r="AT4976" i="1"/>
  <c r="AX4976" i="1" s="1"/>
  <c r="M4976" i="1"/>
  <c r="U4976" i="1" s="1"/>
  <c r="AT4974" i="1"/>
  <c r="AX4974" i="1" s="1"/>
  <c r="M4974" i="1"/>
  <c r="U4974" i="1" s="1"/>
  <c r="AT4972" i="1"/>
  <c r="AX4972" i="1" s="1"/>
  <c r="M4972" i="1"/>
  <c r="U4972" i="1" s="1"/>
  <c r="AT4970" i="1"/>
  <c r="AX4970" i="1" s="1"/>
  <c r="M4970" i="1"/>
  <c r="U4970" i="1" s="1"/>
  <c r="AT4968" i="1"/>
  <c r="AX4968" i="1" s="1"/>
  <c r="M4968" i="1"/>
  <c r="U4968" i="1" s="1"/>
  <c r="AT4966" i="1"/>
  <c r="AX4966" i="1" s="1"/>
  <c r="M4966" i="1"/>
  <c r="U4966" i="1" s="1"/>
  <c r="AT4964" i="1"/>
  <c r="AX4964" i="1" s="1"/>
  <c r="M4964" i="1"/>
  <c r="U4964" i="1" s="1"/>
  <c r="AT4962" i="1"/>
  <c r="AX4962" i="1" s="1"/>
  <c r="M4962" i="1"/>
  <c r="U4962" i="1" s="1"/>
  <c r="AT4960" i="1"/>
  <c r="AX4960" i="1" s="1"/>
  <c r="M4960" i="1"/>
  <c r="U4960" i="1" s="1"/>
  <c r="AT4958" i="1"/>
  <c r="AX4958" i="1" s="1"/>
  <c r="M4958" i="1"/>
  <c r="U4958" i="1" s="1"/>
  <c r="AT4956" i="1"/>
  <c r="AX4956" i="1" s="1"/>
  <c r="M4956" i="1"/>
  <c r="U4956" i="1" s="1"/>
  <c r="AT4954" i="1"/>
  <c r="AX4954" i="1" s="1"/>
  <c r="M4954" i="1"/>
  <c r="U4954" i="1" s="1"/>
  <c r="AT4952" i="1"/>
  <c r="AX4952" i="1" s="1"/>
  <c r="M4952" i="1"/>
  <c r="U4952" i="1" s="1"/>
  <c r="AT4950" i="1"/>
  <c r="AX4950" i="1" s="1"/>
  <c r="M4950" i="1"/>
  <c r="U4950" i="1" s="1"/>
  <c r="AT4948" i="1"/>
  <c r="AX4948" i="1" s="1"/>
  <c r="M4948" i="1"/>
  <c r="U4948" i="1" s="1"/>
  <c r="AT4946" i="1"/>
  <c r="AX4946" i="1" s="1"/>
  <c r="M4946" i="1"/>
  <c r="U4946" i="1" s="1"/>
  <c r="AT4944" i="1"/>
  <c r="AX4944" i="1" s="1"/>
  <c r="M4944" i="1"/>
  <c r="U4944" i="1" s="1"/>
  <c r="AT4942" i="1"/>
  <c r="AX4942" i="1" s="1"/>
  <c r="M4942" i="1"/>
  <c r="U4942" i="1" s="1"/>
  <c r="AT4940" i="1"/>
  <c r="AX4940" i="1" s="1"/>
  <c r="M4940" i="1"/>
  <c r="U4940" i="1" s="1"/>
  <c r="AT4938" i="1"/>
  <c r="AX4938" i="1" s="1"/>
  <c r="M4938" i="1"/>
  <c r="U4938" i="1" s="1"/>
  <c r="AT4936" i="1"/>
  <c r="AX4936" i="1" s="1"/>
  <c r="M4936" i="1"/>
  <c r="U4936" i="1" s="1"/>
  <c r="AT4934" i="1"/>
  <c r="AX4934" i="1" s="1"/>
  <c r="M4934" i="1"/>
  <c r="U4934" i="1" s="1"/>
  <c r="AT4920" i="1"/>
  <c r="AX4920" i="1" s="1"/>
  <c r="M4920" i="1"/>
  <c r="U4920" i="1" s="1"/>
  <c r="AT4912" i="1"/>
  <c r="AX4912" i="1" s="1"/>
  <c r="M4912" i="1"/>
  <c r="U4912" i="1" s="1"/>
  <c r="AT4910" i="1"/>
  <c r="AX4910" i="1" s="1"/>
  <c r="M4910" i="1"/>
  <c r="U4910" i="1" s="1"/>
  <c r="AT4908" i="1"/>
  <c r="AX4908" i="1" s="1"/>
  <c r="M4908" i="1"/>
  <c r="U4908" i="1" s="1"/>
  <c r="AT4906" i="1"/>
  <c r="AX4906" i="1" s="1"/>
  <c r="M4906" i="1"/>
  <c r="U4906" i="1" s="1"/>
  <c r="AT4904" i="1"/>
  <c r="AX4904" i="1" s="1"/>
  <c r="M4904" i="1"/>
  <c r="U4904" i="1" s="1"/>
  <c r="AT4902" i="1"/>
  <c r="AX4902" i="1" s="1"/>
  <c r="M4902" i="1"/>
  <c r="U4902" i="1" s="1"/>
  <c r="AT4900" i="1"/>
  <c r="AX4900" i="1" s="1"/>
  <c r="M4900" i="1"/>
  <c r="U4900" i="1" s="1"/>
  <c r="AT4898" i="1"/>
  <c r="AX4898" i="1" s="1"/>
  <c r="M4898" i="1"/>
  <c r="U4898" i="1" s="1"/>
  <c r="AT4896" i="1"/>
  <c r="AX4896" i="1" s="1"/>
  <c r="M4896" i="1"/>
  <c r="U4896" i="1" s="1"/>
  <c r="AT4894" i="1"/>
  <c r="AX4894" i="1" s="1"/>
  <c r="M4894" i="1"/>
  <c r="U4894" i="1" s="1"/>
  <c r="AT4892" i="1"/>
  <c r="AX4892" i="1" s="1"/>
  <c r="M4892" i="1"/>
  <c r="U4892" i="1" s="1"/>
  <c r="AX4890" i="1"/>
  <c r="M4890" i="1"/>
  <c r="U4890" i="1" s="1"/>
  <c r="AT4886" i="1"/>
  <c r="AX4886" i="1" s="1"/>
  <c r="M4886" i="1"/>
  <c r="AT4884" i="1"/>
  <c r="AX4884" i="1" s="1"/>
  <c r="M4884" i="1"/>
  <c r="U4884" i="1" s="1"/>
  <c r="AT4882" i="1"/>
  <c r="AX4882" i="1" s="1"/>
  <c r="M4882" i="1"/>
  <c r="U4882" i="1" s="1"/>
  <c r="AT4880" i="1"/>
  <c r="AX4880" i="1" s="1"/>
  <c r="M4880" i="1"/>
  <c r="U4880" i="1" s="1"/>
  <c r="AT4876" i="1"/>
  <c r="AX4876" i="1" s="1"/>
  <c r="M4876" i="1"/>
  <c r="U4876" i="1" s="1"/>
  <c r="AT4874" i="1"/>
  <c r="AX4874" i="1" s="1"/>
  <c r="M4874" i="1"/>
  <c r="AT4872" i="1"/>
  <c r="AX4872" i="1" s="1"/>
  <c r="M4872" i="1"/>
  <c r="U4872" i="1" s="1"/>
  <c r="AT4870" i="1"/>
  <c r="AX4870" i="1" s="1"/>
  <c r="M4870" i="1"/>
  <c r="U4870" i="1" s="1"/>
  <c r="AT4868" i="1"/>
  <c r="AX4868" i="1" s="1"/>
  <c r="M4868" i="1"/>
  <c r="AT4866" i="1"/>
  <c r="AX4866" i="1" s="1"/>
  <c r="M4866" i="1"/>
  <c r="AT4864" i="1"/>
  <c r="AX4864" i="1" s="1"/>
  <c r="M4864" i="1"/>
  <c r="U4864" i="1" s="1"/>
  <c r="AT4862" i="1"/>
  <c r="AX4862" i="1" s="1"/>
  <c r="M4862" i="1"/>
  <c r="U4862" i="1" s="1"/>
  <c r="AT4860" i="1"/>
  <c r="AX4860" i="1" s="1"/>
  <c r="M4860" i="1"/>
  <c r="U4860" i="1" s="1"/>
  <c r="AT4858" i="1"/>
  <c r="AX4858" i="1" s="1"/>
  <c r="M4858" i="1"/>
  <c r="AT4856" i="1"/>
  <c r="AX4856" i="1" s="1"/>
  <c r="M4856" i="1"/>
  <c r="U4856" i="1" s="1"/>
  <c r="AT4854" i="1"/>
  <c r="AX4854" i="1" s="1"/>
  <c r="AT4852" i="1"/>
  <c r="AX4852" i="1" s="1"/>
  <c r="AT4850" i="1"/>
  <c r="AX4850" i="1" s="1"/>
  <c r="AT4848" i="1"/>
  <c r="AX4848" i="1" s="1"/>
  <c r="AT4846" i="1"/>
  <c r="AX4846" i="1" s="1"/>
  <c r="AT4844" i="1"/>
  <c r="AX4844" i="1" s="1"/>
  <c r="AT4842" i="1"/>
  <c r="AX4842" i="1" s="1"/>
  <c r="M4842" i="1"/>
  <c r="U4842" i="1" s="1"/>
  <c r="AT4840" i="1"/>
  <c r="AX4840" i="1" s="1"/>
  <c r="M4840" i="1"/>
  <c r="U4840" i="1" s="1"/>
  <c r="AT4838" i="1"/>
  <c r="AX4838" i="1" s="1"/>
  <c r="M4838" i="1"/>
  <c r="AT4836" i="1"/>
  <c r="AX4836" i="1" s="1"/>
  <c r="M4836" i="1"/>
  <c r="U4836" i="1" s="1"/>
  <c r="AT4834" i="1"/>
  <c r="AX4834" i="1" s="1"/>
  <c r="M4834" i="1"/>
  <c r="AT4832" i="1"/>
  <c r="AX4832" i="1" s="1"/>
  <c r="M4832" i="1"/>
  <c r="U4832" i="1" s="1"/>
  <c r="AT4830" i="1"/>
  <c r="AX4830" i="1" s="1"/>
  <c r="M4830" i="1"/>
  <c r="U4830" i="1" s="1"/>
  <c r="AT4826" i="1"/>
  <c r="AX4826" i="1" s="1"/>
  <c r="M4826" i="1"/>
  <c r="U4826" i="1" s="1"/>
  <c r="AT4824" i="1"/>
  <c r="AX4824" i="1" s="1"/>
  <c r="U4824" i="1"/>
  <c r="AT4822" i="1"/>
  <c r="AX4822" i="1" s="1"/>
  <c r="M4822" i="1"/>
  <c r="U4822" i="1" s="1"/>
  <c r="AT4820" i="1"/>
  <c r="AX4820" i="1" s="1"/>
  <c r="M4820" i="1"/>
  <c r="AT4818" i="1"/>
  <c r="AX4818" i="1" s="1"/>
  <c r="M4818" i="1"/>
  <c r="U4818" i="1" s="1"/>
  <c r="AT4816" i="1"/>
  <c r="AX4816" i="1" s="1"/>
  <c r="M4816" i="1"/>
  <c r="AT4812" i="1"/>
  <c r="AX4812" i="1" s="1"/>
  <c r="M4812" i="1"/>
  <c r="AT4804" i="1"/>
  <c r="AX4804" i="1" s="1"/>
  <c r="M4804" i="1"/>
  <c r="U4804" i="1" s="1"/>
  <c r="AT4802" i="1"/>
  <c r="AX4802" i="1" s="1"/>
  <c r="M4802" i="1"/>
  <c r="AT4800" i="1"/>
  <c r="AX4800" i="1" s="1"/>
  <c r="M4800" i="1"/>
  <c r="U4800" i="1" s="1"/>
  <c r="AT4798" i="1"/>
  <c r="AX4798" i="1" s="1"/>
  <c r="M4798" i="1"/>
  <c r="U4798" i="1" s="1"/>
  <c r="AT4796" i="1"/>
  <c r="AX4796" i="1" s="1"/>
  <c r="M4796" i="1"/>
  <c r="U4796" i="1" s="1"/>
  <c r="AT4794" i="1"/>
  <c r="AX4794" i="1" s="1"/>
  <c r="M4794" i="1"/>
  <c r="U4794" i="1" s="1"/>
  <c r="AT4792" i="1"/>
  <c r="AX4792" i="1" s="1"/>
  <c r="M4792" i="1"/>
  <c r="U4792" i="1" s="1"/>
  <c r="AT4790" i="1"/>
  <c r="AX4790" i="1" s="1"/>
  <c r="M4790" i="1"/>
  <c r="U4790" i="1" s="1"/>
  <c r="AT4788" i="1"/>
  <c r="AX4788" i="1" s="1"/>
  <c r="M4788" i="1"/>
  <c r="U4788" i="1" s="1"/>
  <c r="AT4786" i="1"/>
  <c r="AX4786" i="1" s="1"/>
  <c r="M4786" i="1"/>
  <c r="AT4784" i="1"/>
  <c r="AX4784" i="1" s="1"/>
  <c r="M4784" i="1"/>
  <c r="U4784" i="1" s="1"/>
  <c r="AT4782" i="1"/>
  <c r="AX4782" i="1" s="1"/>
  <c r="M4782" i="1"/>
  <c r="U4782" i="1" s="1"/>
  <c r="AT4780" i="1"/>
  <c r="AX4780" i="1" s="1"/>
  <c r="M4780" i="1"/>
  <c r="AT4778" i="1"/>
  <c r="AX4778" i="1" s="1"/>
  <c r="M4778" i="1"/>
  <c r="U4778" i="1" s="1"/>
  <c r="AT4776" i="1"/>
  <c r="AX4776" i="1" s="1"/>
  <c r="M4776" i="1"/>
  <c r="U4776" i="1" s="1"/>
  <c r="AT4774" i="1"/>
  <c r="AX4774" i="1" s="1"/>
  <c r="M4774" i="1"/>
  <c r="AT4772" i="1"/>
  <c r="AX4772" i="1" s="1"/>
  <c r="M4772" i="1"/>
  <c r="U4772" i="1" s="1"/>
  <c r="AT4770" i="1"/>
  <c r="AX4770" i="1" s="1"/>
  <c r="M4770" i="1"/>
  <c r="U4770" i="1" s="1"/>
  <c r="AT4768" i="1"/>
  <c r="AX4768" i="1" s="1"/>
  <c r="M4768" i="1"/>
  <c r="U4768" i="1" s="1"/>
  <c r="AX4766" i="1"/>
  <c r="M4766" i="1"/>
  <c r="U4766" i="1" s="1"/>
  <c r="AT4764" i="1"/>
  <c r="AX4764" i="1" s="1"/>
  <c r="M4764" i="1"/>
  <c r="U4764" i="1" s="1"/>
  <c r="AT4762" i="1"/>
  <c r="AX4762" i="1" s="1"/>
  <c r="M4762" i="1"/>
  <c r="U4762" i="1" s="1"/>
  <c r="AT4760" i="1"/>
  <c r="AX4760" i="1" s="1"/>
  <c r="M4760" i="1"/>
  <c r="U4760" i="1" s="1"/>
  <c r="AT4758" i="1"/>
  <c r="AX4758" i="1" s="1"/>
  <c r="M4758" i="1"/>
  <c r="U4758" i="1" s="1"/>
  <c r="AT4756" i="1"/>
  <c r="AX4756" i="1" s="1"/>
  <c r="M4756" i="1"/>
  <c r="U4756" i="1" s="1"/>
  <c r="AT4754" i="1"/>
  <c r="AX4754" i="1" s="1"/>
  <c r="M4754" i="1"/>
  <c r="U4754" i="1" s="1"/>
  <c r="AT4752" i="1"/>
  <c r="AX4752" i="1" s="1"/>
  <c r="M4752" i="1"/>
  <c r="U4752" i="1" s="1"/>
  <c r="AT4750" i="1"/>
  <c r="AX4750" i="1" s="1"/>
  <c r="M4750" i="1"/>
  <c r="U4750" i="1" s="1"/>
  <c r="AT4748" i="1"/>
  <c r="AX4748" i="1" s="1"/>
  <c r="M4748" i="1"/>
  <c r="U4748" i="1" s="1"/>
  <c r="AT4744" i="1"/>
  <c r="AX4744" i="1" s="1"/>
  <c r="M4744" i="1"/>
  <c r="U4744" i="1" s="1"/>
  <c r="AT4742" i="1"/>
  <c r="AX4742" i="1" s="1"/>
  <c r="M4742" i="1"/>
  <c r="U4742" i="1" s="1"/>
  <c r="AT4740" i="1"/>
  <c r="AX4740" i="1" s="1"/>
  <c r="M4740" i="1"/>
  <c r="U4740" i="1" s="1"/>
  <c r="AT4738" i="1"/>
  <c r="AX4738" i="1" s="1"/>
  <c r="M4738" i="1"/>
  <c r="U4738" i="1" s="1"/>
  <c r="AT4736" i="1"/>
  <c r="AX4736" i="1" s="1"/>
  <c r="M4736" i="1"/>
  <c r="U4736" i="1" s="1"/>
  <c r="AT4734" i="1"/>
  <c r="AX4734" i="1" s="1"/>
  <c r="M4734" i="1"/>
  <c r="U4734" i="1" s="1"/>
  <c r="AX4732" i="1"/>
  <c r="M4732" i="1"/>
  <c r="AT4730" i="1"/>
  <c r="AX4730" i="1" s="1"/>
  <c r="M4730" i="1"/>
  <c r="AT4728" i="1"/>
  <c r="AX4728" i="1" s="1"/>
  <c r="M4728" i="1"/>
  <c r="U4728" i="1" s="1"/>
  <c r="AT4726" i="1"/>
  <c r="AX4726" i="1" s="1"/>
  <c r="M4726" i="1"/>
  <c r="U4726" i="1" s="1"/>
  <c r="AX4706" i="1"/>
  <c r="M4706" i="1"/>
  <c r="AT4704" i="1"/>
  <c r="AX4704" i="1" s="1"/>
  <c r="M4704" i="1"/>
  <c r="U4704" i="1" s="1"/>
  <c r="AT4702" i="1"/>
  <c r="AX4702" i="1" s="1"/>
  <c r="M4702" i="1"/>
  <c r="AT4700" i="1"/>
  <c r="AX4700" i="1" s="1"/>
  <c r="M4700" i="1"/>
  <c r="AT4698" i="1"/>
  <c r="AX4698" i="1" s="1"/>
  <c r="M4698" i="1"/>
  <c r="AT4696" i="1"/>
  <c r="AX4696" i="1" s="1"/>
  <c r="M4696" i="1"/>
  <c r="AT4694" i="1"/>
  <c r="AX4694" i="1" s="1"/>
  <c r="M4694" i="1"/>
  <c r="U4694" i="1" s="1"/>
  <c r="AT4692" i="1"/>
  <c r="AX4692" i="1" s="1"/>
  <c r="M4692" i="1"/>
  <c r="U4692" i="1" s="1"/>
  <c r="AT4690" i="1"/>
  <c r="AX4690" i="1" s="1"/>
  <c r="M4690" i="1"/>
  <c r="U4690" i="1" s="1"/>
  <c r="AT4688" i="1"/>
  <c r="AX4688" i="1" s="1"/>
  <c r="M4688" i="1"/>
  <c r="U4688" i="1" s="1"/>
  <c r="AT4686" i="1"/>
  <c r="AX4686" i="1" s="1"/>
  <c r="M4686" i="1"/>
  <c r="U4686" i="1" s="1"/>
  <c r="AT4684" i="1"/>
  <c r="AX4684" i="1" s="1"/>
  <c r="M4684" i="1"/>
  <c r="U4684" i="1" s="1"/>
  <c r="AT4682" i="1"/>
  <c r="AX4682" i="1" s="1"/>
  <c r="M4682" i="1"/>
  <c r="U4682" i="1" s="1"/>
  <c r="AT4680" i="1"/>
  <c r="AX4680" i="1" s="1"/>
  <c r="M4680" i="1"/>
  <c r="U4680" i="1" s="1"/>
  <c r="AT4678" i="1"/>
  <c r="AX4678" i="1" s="1"/>
  <c r="M4678" i="1"/>
  <c r="U4678" i="1" s="1"/>
  <c r="AT4676" i="1"/>
  <c r="AX4676" i="1" s="1"/>
  <c r="M4676" i="1"/>
  <c r="U4676" i="1" s="1"/>
  <c r="AX4674" i="1"/>
  <c r="M4674" i="1"/>
  <c r="U4674" i="1" s="1"/>
  <c r="AT4672" i="1"/>
  <c r="AX4672" i="1" s="1"/>
  <c r="M4672" i="1"/>
  <c r="U4672" i="1" s="1"/>
  <c r="AT4670" i="1"/>
  <c r="AX4670" i="1" s="1"/>
  <c r="U4670" i="1"/>
  <c r="AT4668" i="1"/>
  <c r="AX4668" i="1" s="1"/>
  <c r="M4668" i="1"/>
  <c r="U4668" i="1" s="1"/>
  <c r="AT4666" i="1"/>
  <c r="AX4666" i="1" s="1"/>
  <c r="M4666" i="1"/>
  <c r="U4666" i="1" s="1"/>
  <c r="AT4664" i="1"/>
  <c r="AX4664" i="1" s="1"/>
  <c r="M4664" i="1"/>
  <c r="AT4662" i="1"/>
  <c r="AX4662" i="1" s="1"/>
  <c r="M4662" i="1"/>
  <c r="U4662" i="1" s="1"/>
  <c r="AT4660" i="1"/>
  <c r="AX4660" i="1" s="1"/>
  <c r="M4660" i="1"/>
  <c r="U4660" i="1" s="1"/>
  <c r="AT4658" i="1"/>
  <c r="AX4658" i="1" s="1"/>
  <c r="M4658" i="1"/>
  <c r="U4658" i="1" s="1"/>
  <c r="AT4656" i="1"/>
  <c r="AX4656" i="1" s="1"/>
  <c r="M4656" i="1"/>
  <c r="AT4654" i="1"/>
  <c r="AX4654" i="1" s="1"/>
  <c r="M4654" i="1"/>
  <c r="AT4652" i="1"/>
  <c r="AX4652" i="1" s="1"/>
  <c r="M4652" i="1"/>
  <c r="AT4650" i="1"/>
  <c r="AX4650" i="1" s="1"/>
  <c r="M4650" i="1"/>
  <c r="U4650" i="1" s="1"/>
  <c r="AT4648" i="1"/>
  <c r="AX4648" i="1" s="1"/>
  <c r="M4648" i="1"/>
  <c r="U4648" i="1" s="1"/>
  <c r="AT4644" i="1"/>
  <c r="AX4644" i="1" s="1"/>
  <c r="AT4642" i="1"/>
  <c r="AX4642" i="1" s="1"/>
  <c r="M4642" i="1"/>
  <c r="U4642" i="1" s="1"/>
  <c r="AT4636" i="1"/>
  <c r="AX4636" i="1" s="1"/>
  <c r="M4636" i="1"/>
  <c r="AT4634" i="1"/>
  <c r="AX4634" i="1" s="1"/>
  <c r="M4634" i="1"/>
  <c r="AT4632" i="1"/>
  <c r="AX4632" i="1" s="1"/>
  <c r="M4632" i="1"/>
  <c r="U4632" i="1" s="1"/>
  <c r="AT4624" i="1"/>
  <c r="AX4624" i="1" s="1"/>
  <c r="M4624" i="1"/>
  <c r="U4624" i="1" s="1"/>
  <c r="AT4622" i="1"/>
  <c r="AX4622" i="1" s="1"/>
  <c r="M4622" i="1"/>
  <c r="U4622" i="1" s="1"/>
  <c r="AT4620" i="1"/>
  <c r="AX4620" i="1" s="1"/>
  <c r="M4620" i="1"/>
  <c r="U4620" i="1" s="1"/>
  <c r="AT4618" i="1"/>
  <c r="AX4618" i="1" s="1"/>
  <c r="M4618" i="1"/>
  <c r="U4618" i="1" s="1"/>
  <c r="AT4612" i="1"/>
  <c r="AX4612" i="1" s="1"/>
  <c r="M4612" i="1"/>
  <c r="AX4608" i="1"/>
  <c r="M4608" i="1"/>
  <c r="AT4606" i="1"/>
  <c r="AX4606" i="1" s="1"/>
  <c r="M4606" i="1"/>
  <c r="U4606" i="1" s="1"/>
  <c r="AT4604" i="1"/>
  <c r="AX4604" i="1" s="1"/>
  <c r="M4604" i="1"/>
  <c r="U4604" i="1" s="1"/>
  <c r="AT4602" i="1"/>
  <c r="AX4602" i="1" s="1"/>
  <c r="M4602" i="1"/>
  <c r="AT4600" i="1"/>
  <c r="AX4600" i="1" s="1"/>
  <c r="M4600" i="1"/>
  <c r="U4600" i="1" s="1"/>
  <c r="AT4598" i="1"/>
  <c r="AX4598" i="1" s="1"/>
  <c r="M4598" i="1"/>
  <c r="U4598" i="1" s="1"/>
  <c r="AT4596" i="1"/>
  <c r="AX4596" i="1" s="1"/>
  <c r="M4596" i="1"/>
  <c r="U4596" i="1" s="1"/>
  <c r="AT4594" i="1"/>
  <c r="AX4594" i="1" s="1"/>
  <c r="M4594" i="1"/>
  <c r="AT4592" i="1"/>
  <c r="AX4592" i="1" s="1"/>
  <c r="M4592" i="1"/>
  <c r="U4592" i="1" s="1"/>
  <c r="AT4590" i="1"/>
  <c r="AX4590" i="1" s="1"/>
  <c r="M4590" i="1"/>
  <c r="U4590" i="1" s="1"/>
  <c r="AT4588" i="1"/>
  <c r="AX4588" i="1" s="1"/>
  <c r="M4588" i="1"/>
  <c r="AT4586" i="1"/>
  <c r="AX4586" i="1" s="1"/>
  <c r="M4586" i="1"/>
  <c r="AT4584" i="1"/>
  <c r="AX4584" i="1" s="1"/>
  <c r="M4584" i="1"/>
  <c r="U4584" i="1" s="1"/>
  <c r="AT4582" i="1"/>
  <c r="AX4582" i="1" s="1"/>
  <c r="M4582" i="1"/>
  <c r="U4582" i="1" s="1"/>
  <c r="AT4580" i="1"/>
  <c r="AX4580" i="1" s="1"/>
  <c r="M4580" i="1"/>
  <c r="AT4578" i="1"/>
  <c r="AX4578" i="1" s="1"/>
  <c r="M4578" i="1"/>
  <c r="U4578" i="1" s="1"/>
  <c r="AT4576" i="1"/>
  <c r="AX4576" i="1" s="1"/>
  <c r="M4576" i="1"/>
  <c r="U4576" i="1" s="1"/>
  <c r="AT4574" i="1"/>
  <c r="AX4574" i="1" s="1"/>
  <c r="M4574" i="1"/>
  <c r="U4574" i="1" s="1"/>
  <c r="AT4572" i="1"/>
  <c r="AX4572" i="1" s="1"/>
  <c r="M4572" i="1"/>
  <c r="U4572" i="1" s="1"/>
  <c r="AT4570" i="1"/>
  <c r="AX4570" i="1" s="1"/>
  <c r="M4570" i="1"/>
  <c r="U4570" i="1" s="1"/>
  <c r="AT4568" i="1"/>
  <c r="AX4568" i="1" s="1"/>
  <c r="M4568" i="1"/>
  <c r="U4568" i="1" s="1"/>
  <c r="AT4566" i="1"/>
  <c r="AX4566" i="1" s="1"/>
  <c r="M4566" i="1"/>
  <c r="U4566" i="1" s="1"/>
  <c r="AT4564" i="1"/>
  <c r="AX4564" i="1" s="1"/>
  <c r="M4564" i="1"/>
  <c r="U4564" i="1" s="1"/>
  <c r="AT4562" i="1"/>
  <c r="AX4562" i="1" s="1"/>
  <c r="M4562" i="1"/>
  <c r="AT4560" i="1"/>
  <c r="AX4560" i="1" s="1"/>
  <c r="M4560" i="1"/>
  <c r="AT4558" i="1"/>
  <c r="AX4558" i="1" s="1"/>
  <c r="M4558" i="1"/>
  <c r="AT4556" i="1"/>
  <c r="AX4556" i="1" s="1"/>
  <c r="M4556" i="1"/>
  <c r="U4556" i="1" s="1"/>
  <c r="AT4554" i="1"/>
  <c r="AX4554" i="1" s="1"/>
  <c r="M4554" i="1"/>
  <c r="U4554" i="1" s="1"/>
  <c r="AT4552" i="1"/>
  <c r="AX4552" i="1" s="1"/>
  <c r="M4552" i="1"/>
  <c r="U4552" i="1" s="1"/>
  <c r="AT4550" i="1"/>
  <c r="AX4550" i="1" s="1"/>
  <c r="M4550" i="1"/>
  <c r="U4550" i="1" s="1"/>
  <c r="AT4548" i="1"/>
  <c r="AX4548" i="1" s="1"/>
  <c r="M4548" i="1"/>
  <c r="U4548" i="1" s="1"/>
  <c r="AT4546" i="1"/>
  <c r="AX4546" i="1" s="1"/>
  <c r="M4546" i="1"/>
  <c r="U4546" i="1" s="1"/>
  <c r="AT4544" i="1"/>
  <c r="AX4544" i="1" s="1"/>
  <c r="M4544" i="1"/>
  <c r="U4544" i="1" s="1"/>
  <c r="AT4542" i="1"/>
  <c r="AX4542" i="1" s="1"/>
  <c r="M4542" i="1"/>
  <c r="U4542" i="1" s="1"/>
  <c r="AT4540" i="1"/>
  <c r="AX4540" i="1" s="1"/>
  <c r="M4540" i="1"/>
  <c r="U4540" i="1" s="1"/>
  <c r="AT4538" i="1"/>
  <c r="AX4538" i="1" s="1"/>
  <c r="M4538" i="1"/>
  <c r="U4538" i="1" s="1"/>
  <c r="AT4536" i="1"/>
  <c r="AX4536" i="1" s="1"/>
  <c r="M4536" i="1"/>
  <c r="U4536" i="1" s="1"/>
  <c r="AT4534" i="1"/>
  <c r="AX4534" i="1" s="1"/>
  <c r="M4534" i="1"/>
  <c r="U4534" i="1" s="1"/>
  <c r="AT4532" i="1"/>
  <c r="AX4532" i="1" s="1"/>
  <c r="M4532" i="1"/>
  <c r="U4532" i="1" s="1"/>
  <c r="AT4530" i="1"/>
  <c r="AX4530" i="1" s="1"/>
  <c r="M4530" i="1"/>
  <c r="U4530" i="1" s="1"/>
  <c r="AT4526" i="1"/>
  <c r="AX4526" i="1" s="1"/>
  <c r="M4526" i="1"/>
  <c r="AT4524" i="1"/>
  <c r="AX4524" i="1" s="1"/>
  <c r="M4524" i="1"/>
  <c r="AT4522" i="1"/>
  <c r="AX4522" i="1" s="1"/>
  <c r="M4522" i="1"/>
  <c r="U4522" i="1" s="1"/>
  <c r="AT4520" i="1"/>
  <c r="AX4520" i="1" s="1"/>
  <c r="M4520" i="1"/>
  <c r="AT4518" i="1"/>
  <c r="AX4518" i="1" s="1"/>
  <c r="M4518" i="1"/>
  <c r="AT4516" i="1"/>
  <c r="AX4516" i="1" s="1"/>
  <c r="M4516" i="1"/>
  <c r="U4516" i="1" s="1"/>
  <c r="AT4514" i="1"/>
  <c r="AX4514" i="1" s="1"/>
  <c r="M4514" i="1"/>
  <c r="AT4512" i="1"/>
  <c r="AX4512" i="1" s="1"/>
  <c r="M4512" i="1"/>
  <c r="U4512" i="1" s="1"/>
  <c r="AT4510" i="1"/>
  <c r="AX4510" i="1" s="1"/>
  <c r="M4510" i="1"/>
  <c r="U4510" i="1" s="1"/>
  <c r="AT4508" i="1"/>
  <c r="AX4508" i="1" s="1"/>
  <c r="M4508" i="1"/>
  <c r="U4508" i="1" s="1"/>
  <c r="AX4506" i="1"/>
  <c r="M4506" i="1"/>
  <c r="U4506" i="1" s="1"/>
  <c r="AX4480" i="1"/>
  <c r="M4480" i="1"/>
  <c r="U4480" i="1" s="1"/>
  <c r="AT4478" i="1"/>
  <c r="AX4478" i="1" s="1"/>
  <c r="M4478" i="1"/>
  <c r="U4478" i="1" s="1"/>
  <c r="AT4476" i="1"/>
  <c r="AX4476" i="1" s="1"/>
  <c r="M4476" i="1"/>
  <c r="U4476" i="1" s="1"/>
  <c r="AT4474" i="1"/>
  <c r="AX4474" i="1" s="1"/>
  <c r="M4474" i="1"/>
  <c r="U4474" i="1" s="1"/>
  <c r="AT4470" i="1"/>
  <c r="AX4470" i="1" s="1"/>
  <c r="M4470" i="1"/>
  <c r="U4470" i="1" s="1"/>
  <c r="AT4468" i="1"/>
  <c r="AX4468" i="1" s="1"/>
  <c r="AT4466" i="1"/>
  <c r="AX4466" i="1" s="1"/>
  <c r="AT4464" i="1"/>
  <c r="AX4464" i="1" s="1"/>
  <c r="AT4462" i="1"/>
  <c r="AX4462" i="1" s="1"/>
  <c r="AT4460" i="1"/>
  <c r="AX4460" i="1" s="1"/>
  <c r="AT4458" i="1"/>
  <c r="AX4458" i="1" s="1"/>
  <c r="AT4456" i="1"/>
  <c r="AX4456" i="1" s="1"/>
  <c r="M4456" i="1"/>
  <c r="AT4454" i="1"/>
  <c r="AX4454" i="1" s="1"/>
  <c r="M4454" i="1"/>
  <c r="U4454" i="1" s="1"/>
  <c r="AT4452" i="1"/>
  <c r="AX4452" i="1" s="1"/>
  <c r="M4452" i="1"/>
  <c r="AT4450" i="1"/>
  <c r="AX4450" i="1" s="1"/>
  <c r="M4450" i="1"/>
  <c r="U4450" i="1" s="1"/>
  <c r="AT4440" i="1"/>
  <c r="AX4440" i="1" s="1"/>
  <c r="M4440" i="1"/>
  <c r="U4440" i="1" s="1"/>
  <c r="AT4438" i="1"/>
  <c r="AX4438" i="1" s="1"/>
  <c r="M4438" i="1"/>
  <c r="U4438" i="1" s="1"/>
  <c r="AT4436" i="1"/>
  <c r="AX4436" i="1" s="1"/>
  <c r="M4436" i="1"/>
  <c r="AT4434" i="1"/>
  <c r="AX4434" i="1" s="1"/>
  <c r="M4434" i="1"/>
  <c r="AT4426" i="1"/>
  <c r="AX4426" i="1" s="1"/>
  <c r="M4426" i="1"/>
  <c r="U4426" i="1" s="1"/>
  <c r="AT4424" i="1"/>
  <c r="AX4424" i="1" s="1"/>
  <c r="M4424" i="1"/>
  <c r="AT4422" i="1"/>
  <c r="AX4422" i="1" s="1"/>
  <c r="M4422" i="1"/>
  <c r="U4422" i="1" s="1"/>
  <c r="AT4418" i="1"/>
  <c r="AX4418" i="1" s="1"/>
  <c r="U4418" i="1"/>
  <c r="AT4416" i="1"/>
  <c r="AX4416" i="1" s="1"/>
  <c r="M4416" i="1"/>
  <c r="U4416" i="1" s="1"/>
  <c r="AX4414" i="1"/>
  <c r="M4414" i="1"/>
  <c r="U4414" i="1" s="1"/>
  <c r="AT4406" i="1"/>
  <c r="AX4406" i="1" s="1"/>
  <c r="M4406" i="1"/>
  <c r="AT4404" i="1"/>
  <c r="AX4404" i="1" s="1"/>
  <c r="M4404" i="1"/>
  <c r="U4404" i="1" s="1"/>
  <c r="AT4402" i="1"/>
  <c r="AX4402" i="1" s="1"/>
  <c r="M4402" i="1"/>
  <c r="AT4400" i="1"/>
  <c r="AX4400" i="1" s="1"/>
  <c r="M4400" i="1"/>
  <c r="AT4398" i="1"/>
  <c r="AX4398" i="1" s="1"/>
  <c r="M4398" i="1"/>
  <c r="U4398" i="1" s="1"/>
  <c r="AT4396" i="1"/>
  <c r="AX4396" i="1" s="1"/>
  <c r="M4396" i="1"/>
  <c r="U4396" i="1" s="1"/>
  <c r="AT4394" i="1"/>
  <c r="AX4394" i="1" s="1"/>
  <c r="M4394" i="1"/>
  <c r="O4346" i="1"/>
  <c r="AT4340" i="1"/>
  <c r="AX4340" i="1" s="1"/>
  <c r="M4340" i="1"/>
  <c r="AT4328" i="1"/>
  <c r="AX4328" i="1" s="1"/>
  <c r="M4328" i="1"/>
  <c r="U4328" i="1" s="1"/>
  <c r="K4358" i="1"/>
  <c r="K4356" i="1"/>
  <c r="K4354" i="1"/>
  <c r="K4352" i="1"/>
  <c r="O4326" i="1"/>
  <c r="O4322" i="1"/>
  <c r="O4318" i="1"/>
  <c r="AT4292" i="1"/>
  <c r="AX4292" i="1" s="1"/>
  <c r="M4292" i="1"/>
  <c r="U4292" i="1" s="1"/>
  <c r="U4408" i="1" l="1"/>
  <c r="U4786" i="1"/>
  <c r="U4874" i="1"/>
  <c r="U4698" i="1"/>
  <c r="U4866" i="1"/>
  <c r="U4774" i="1"/>
  <c r="U4834" i="1"/>
  <c r="U4868" i="1"/>
  <c r="U4858" i="1"/>
  <c r="U4838" i="1"/>
  <c r="U4722" i="1"/>
  <c r="U4706" i="1"/>
  <c r="U4732" i="1"/>
  <c r="U4700" i="1"/>
  <c r="U4816" i="1"/>
  <c r="U4808" i="1"/>
  <c r="U4820" i="1"/>
  <c r="U4812" i="1"/>
  <c r="U4586" i="1"/>
  <c r="U4612" i="1"/>
  <c r="U4724" i="1"/>
  <c r="U4802" i="1"/>
  <c r="U4780" i="1"/>
  <c r="U4518" i="1"/>
  <c r="U4730" i="1"/>
  <c r="U4718" i="1"/>
  <c r="U4514" i="1"/>
  <c r="U4588" i="1"/>
  <c r="U4526" i="1"/>
  <c r="U4562" i="1"/>
  <c r="U4656" i="1"/>
  <c r="U4708" i="1"/>
  <c r="U4456" i="1"/>
  <c r="U4580" i="1"/>
  <c r="U4654" i="1"/>
  <c r="U4702" i="1"/>
  <c r="U4696" i="1"/>
  <c r="U4664" i="1"/>
  <c r="U4652" i="1"/>
  <c r="U4646" i="1"/>
  <c r="U4520" i="1"/>
  <c r="U4594" i="1"/>
  <c r="U4636" i="1"/>
  <c r="U4634" i="1"/>
  <c r="U4558" i="1"/>
  <c r="U4608" i="1"/>
  <c r="U4610" i="1"/>
  <c r="U4602" i="1"/>
  <c r="U4524" i="1"/>
  <c r="U4406" i="1"/>
  <c r="U4442" i="1"/>
  <c r="U4444" i="1"/>
  <c r="U4452" i="1"/>
  <c r="U4410" i="1"/>
  <c r="U4436" i="1"/>
  <c r="U4402" i="1"/>
  <c r="U4434" i="1"/>
  <c r="U4430" i="1"/>
  <c r="U4424" i="1"/>
  <c r="U4400" i="1"/>
  <c r="U4394" i="1"/>
  <c r="U4340" i="1"/>
  <c r="O4270" i="1"/>
  <c r="O4268" i="1"/>
  <c r="O4264" i="1"/>
  <c r="AT4390" i="1"/>
  <c r="AX4390" i="1" s="1"/>
  <c r="M4390" i="1"/>
  <c r="U4390" i="1" s="1"/>
  <c r="AT4388" i="1"/>
  <c r="AX4388" i="1" s="1"/>
  <c r="M4388" i="1"/>
  <c r="U4388" i="1" s="1"/>
  <c r="AT4386" i="1"/>
  <c r="AX4386" i="1" s="1"/>
  <c r="M4386" i="1"/>
  <c r="U4386" i="1" s="1"/>
  <c r="AT4384" i="1"/>
  <c r="AX4384" i="1" s="1"/>
  <c r="M4384" i="1"/>
  <c r="U4384" i="1" s="1"/>
  <c r="AT4382" i="1"/>
  <c r="AX4382" i="1" s="1"/>
  <c r="M4382" i="1"/>
  <c r="U4382" i="1" s="1"/>
  <c r="AT4380" i="1"/>
  <c r="AX4380" i="1" s="1"/>
  <c r="M4380" i="1"/>
  <c r="U4380" i="1" s="1"/>
  <c r="AT4378" i="1"/>
  <c r="AX4378" i="1" s="1"/>
  <c r="M4378" i="1"/>
  <c r="U4378" i="1" s="1"/>
  <c r="AT4376" i="1"/>
  <c r="AX4376" i="1" s="1"/>
  <c r="M4376" i="1"/>
  <c r="U4376" i="1" s="1"/>
  <c r="AT4374" i="1"/>
  <c r="AX4374" i="1" s="1"/>
  <c r="M4374" i="1"/>
  <c r="U4374" i="1" s="1"/>
  <c r="AT4372" i="1"/>
  <c r="AX4372" i="1" s="1"/>
  <c r="M4372" i="1"/>
  <c r="U4372" i="1" s="1"/>
  <c r="AT4370" i="1"/>
  <c r="AX4370" i="1" s="1"/>
  <c r="M4370" i="1"/>
  <c r="U4370" i="1" s="1"/>
  <c r="AT4368" i="1"/>
  <c r="AX4368" i="1" s="1"/>
  <c r="M4368" i="1"/>
  <c r="U4368" i="1" s="1"/>
  <c r="AT4366" i="1"/>
  <c r="AX4366" i="1" s="1"/>
  <c r="M4366" i="1"/>
  <c r="U4366" i="1" s="1"/>
  <c r="AT4364" i="1"/>
  <c r="AX4364" i="1" s="1"/>
  <c r="M4364" i="1"/>
  <c r="U4364" i="1" s="1"/>
  <c r="AT4362" i="1"/>
  <c r="AX4362" i="1" s="1"/>
  <c r="M4362" i="1"/>
  <c r="U4362" i="1" s="1"/>
  <c r="AT4360" i="1"/>
  <c r="AX4360" i="1" s="1"/>
  <c r="M4360" i="1"/>
  <c r="U4360" i="1" s="1"/>
  <c r="AT4358" i="1"/>
  <c r="AX4358" i="1" s="1"/>
  <c r="U4358" i="1"/>
  <c r="AT4356" i="1"/>
  <c r="AX4356" i="1" s="1"/>
  <c r="M4356" i="1"/>
  <c r="U4356" i="1" s="1"/>
  <c r="AT4354" i="1"/>
  <c r="AX4354" i="1" s="1"/>
  <c r="M4354" i="1"/>
  <c r="U4354" i="1" s="1"/>
  <c r="AX4352" i="1"/>
  <c r="M4352" i="1"/>
  <c r="U4352" i="1" s="1"/>
  <c r="AT4350" i="1"/>
  <c r="AX4350" i="1" s="1"/>
  <c r="M4350" i="1"/>
  <c r="U4350" i="1" s="1"/>
  <c r="AT4348" i="1"/>
  <c r="AX4348" i="1" s="1"/>
  <c r="M4348" i="1"/>
  <c r="U4348" i="1" s="1"/>
  <c r="AX4346" i="1"/>
  <c r="M4346" i="1"/>
  <c r="U4346" i="1" s="1"/>
  <c r="AT4344" i="1"/>
  <c r="AX4344" i="1" s="1"/>
  <c r="M4344" i="1"/>
  <c r="U4344" i="1" s="1"/>
  <c r="AT4342" i="1"/>
  <c r="AX4342" i="1" s="1"/>
  <c r="M4342" i="1"/>
  <c r="U4342" i="1" s="1"/>
  <c r="AT4338" i="1"/>
  <c r="AX4338" i="1" s="1"/>
  <c r="M4338" i="1"/>
  <c r="U4338" i="1" s="1"/>
  <c r="AT4336" i="1"/>
  <c r="AX4336" i="1" s="1"/>
  <c r="M4336" i="1"/>
  <c r="U4336" i="1" s="1"/>
  <c r="AT4334" i="1"/>
  <c r="AX4334" i="1" s="1"/>
  <c r="M4334" i="1"/>
  <c r="U4334" i="1" s="1"/>
  <c r="AT4332" i="1"/>
  <c r="AX4332" i="1" s="1"/>
  <c r="M4332" i="1"/>
  <c r="U4332" i="1" s="1"/>
  <c r="AT4330" i="1"/>
  <c r="AX4330" i="1" s="1"/>
  <c r="M4330" i="1"/>
  <c r="U4330" i="1" s="1"/>
  <c r="AT4326" i="1"/>
  <c r="AX4326" i="1" s="1"/>
  <c r="M4326" i="1"/>
  <c r="U4326" i="1" s="1"/>
  <c r="AT4324" i="1"/>
  <c r="AX4324" i="1" s="1"/>
  <c r="M4324" i="1"/>
  <c r="U4324" i="1" s="1"/>
  <c r="AT4322" i="1"/>
  <c r="AX4322" i="1" s="1"/>
  <c r="M4322" i="1"/>
  <c r="U4322" i="1" s="1"/>
  <c r="AT4320" i="1"/>
  <c r="AX4320" i="1" s="1"/>
  <c r="M4320" i="1"/>
  <c r="U4320" i="1" s="1"/>
  <c r="AT4318" i="1"/>
  <c r="AX4318" i="1" s="1"/>
  <c r="M4318" i="1"/>
  <c r="U4318" i="1" s="1"/>
  <c r="AT4316" i="1"/>
  <c r="AX4316" i="1" s="1"/>
  <c r="M4316" i="1"/>
  <c r="U4316" i="1" s="1"/>
  <c r="AT4314" i="1"/>
  <c r="AX4314" i="1" s="1"/>
  <c r="M4314" i="1"/>
  <c r="U4314" i="1" s="1"/>
  <c r="AT4312" i="1"/>
  <c r="AX4312" i="1" s="1"/>
  <c r="M4312" i="1"/>
  <c r="U4312" i="1" s="1"/>
  <c r="AT4310" i="1"/>
  <c r="AX4310" i="1" s="1"/>
  <c r="M4310" i="1"/>
  <c r="U4310" i="1" s="1"/>
  <c r="AT4308" i="1"/>
  <c r="AX4308" i="1" s="1"/>
  <c r="M4308" i="1"/>
  <c r="U4308" i="1" s="1"/>
  <c r="AT4306" i="1"/>
  <c r="AX4306" i="1" s="1"/>
  <c r="M4306" i="1"/>
  <c r="U4306" i="1" s="1"/>
  <c r="AT4304" i="1"/>
  <c r="AX4304" i="1" s="1"/>
  <c r="M4304" i="1"/>
  <c r="U4304" i="1" s="1"/>
  <c r="AT4302" i="1"/>
  <c r="AX4302" i="1" s="1"/>
  <c r="M4302" i="1"/>
  <c r="U4302" i="1" s="1"/>
  <c r="AT4300" i="1"/>
  <c r="AX4300" i="1" s="1"/>
  <c r="M4300" i="1"/>
  <c r="U4300" i="1" s="1"/>
  <c r="AT4298" i="1"/>
  <c r="AX4298" i="1" s="1"/>
  <c r="M4298" i="1"/>
  <c r="U4298" i="1" s="1"/>
  <c r="AT4296" i="1"/>
  <c r="AX4296" i="1" s="1"/>
  <c r="M4296" i="1"/>
  <c r="U4296" i="1" s="1"/>
  <c r="AT4294" i="1"/>
  <c r="AX4294" i="1" s="1"/>
  <c r="M4294" i="1"/>
  <c r="U4294" i="1" s="1"/>
  <c r="AT4290" i="1"/>
  <c r="AX4290" i="1" s="1"/>
  <c r="M4290" i="1"/>
  <c r="U4290" i="1" s="1"/>
  <c r="AT4288" i="1"/>
  <c r="AX4288" i="1" s="1"/>
  <c r="M4288" i="1"/>
  <c r="U4288" i="1" s="1"/>
  <c r="AT4286" i="1"/>
  <c r="AX4286" i="1" s="1"/>
  <c r="M4286" i="1"/>
  <c r="U4286" i="1" s="1"/>
  <c r="AT4284" i="1"/>
  <c r="AX4284" i="1" s="1"/>
  <c r="M4284" i="1"/>
  <c r="U4284" i="1" s="1"/>
  <c r="AT4282" i="1"/>
  <c r="AX4282" i="1" s="1"/>
  <c r="M4282" i="1"/>
  <c r="U4282" i="1" s="1"/>
  <c r="AT4280" i="1"/>
  <c r="AX4280" i="1" s="1"/>
  <c r="M4280" i="1"/>
  <c r="U4280" i="1" s="1"/>
  <c r="AT4278" i="1"/>
  <c r="AX4278" i="1" s="1"/>
  <c r="M4278" i="1"/>
  <c r="U4278" i="1" s="1"/>
  <c r="AT4276" i="1"/>
  <c r="AX4276" i="1" s="1"/>
  <c r="M4276" i="1"/>
  <c r="U4276" i="1" s="1"/>
  <c r="AT4274" i="1"/>
  <c r="AX4274" i="1" s="1"/>
  <c r="M4274" i="1"/>
  <c r="U4274" i="1" s="1"/>
  <c r="AT4272" i="1"/>
  <c r="AX4272" i="1" s="1"/>
  <c r="M4272" i="1"/>
  <c r="U4272" i="1" s="1"/>
  <c r="AT4270" i="1"/>
  <c r="AX4270" i="1" s="1"/>
  <c r="M4270" i="1"/>
  <c r="AT4268" i="1"/>
  <c r="AX4268" i="1" s="1"/>
  <c r="M4268" i="1"/>
  <c r="AT4266" i="1"/>
  <c r="AX4266" i="1" s="1"/>
  <c r="M4266" i="1"/>
  <c r="U4266" i="1" s="1"/>
  <c r="AT4264" i="1"/>
  <c r="AX4264" i="1" s="1"/>
  <c r="M4264" i="1"/>
  <c r="AT4262" i="1"/>
  <c r="AX4262" i="1" s="1"/>
  <c r="M4262" i="1"/>
  <c r="U4262" i="1" s="1"/>
  <c r="AX4260" i="1"/>
  <c r="M4260" i="1"/>
  <c r="U4260" i="1" s="1"/>
  <c r="AT4258" i="1"/>
  <c r="AX4258" i="1" s="1"/>
  <c r="M4258" i="1"/>
  <c r="U4258" i="1" s="1"/>
  <c r="AT4256" i="1"/>
  <c r="AX4256" i="1" s="1"/>
  <c r="M4256" i="1"/>
  <c r="U4256" i="1" s="1"/>
  <c r="AT4254" i="1"/>
  <c r="AX4254" i="1" s="1"/>
  <c r="M4254" i="1"/>
  <c r="U4254" i="1" s="1"/>
  <c r="AX4252" i="1"/>
  <c r="M4252" i="1"/>
  <c r="U4252" i="1" s="1"/>
  <c r="AT4250" i="1"/>
  <c r="AX4250" i="1" s="1"/>
  <c r="M4250" i="1"/>
  <c r="U4250" i="1" s="1"/>
  <c r="AT4248" i="1"/>
  <c r="AX4248" i="1" s="1"/>
  <c r="M4248" i="1"/>
  <c r="U4248" i="1" s="1"/>
  <c r="K4220" i="1"/>
  <c r="M4220" i="1" s="1"/>
  <c r="U4220" i="1" s="1"/>
  <c r="K4218" i="1"/>
  <c r="M4218" i="1" s="1"/>
  <c r="U4218" i="1" s="1"/>
  <c r="K4216" i="1"/>
  <c r="M4216" i="1" s="1"/>
  <c r="U4216" i="1" s="1"/>
  <c r="O4198" i="1"/>
  <c r="AT4196" i="1"/>
  <c r="AX4196" i="1" s="1"/>
  <c r="M4196" i="1"/>
  <c r="U4196" i="1" s="1"/>
  <c r="O4188" i="1"/>
  <c r="AT4188" i="1"/>
  <c r="AX4188" i="1" s="1"/>
  <c r="M4188" i="1"/>
  <c r="O4206" i="1"/>
  <c r="AT4208" i="1"/>
  <c r="AX4208" i="1" s="1"/>
  <c r="M4208" i="1"/>
  <c r="U4208" i="1" s="1"/>
  <c r="AT4206" i="1"/>
  <c r="AX4206" i="1" s="1"/>
  <c r="M4206" i="1"/>
  <c r="AT4204" i="1"/>
  <c r="AX4204" i="1" s="1"/>
  <c r="M4204" i="1"/>
  <c r="U4204" i="1" s="1"/>
  <c r="AT4202" i="1"/>
  <c r="AX4202" i="1" s="1"/>
  <c r="M4202" i="1"/>
  <c r="U4202" i="1" s="1"/>
  <c r="AT4200" i="1"/>
  <c r="AX4200" i="1" s="1"/>
  <c r="M4200" i="1"/>
  <c r="U4200" i="1" s="1"/>
  <c r="O4176" i="1"/>
  <c r="O4174" i="1"/>
  <c r="O4172" i="1"/>
  <c r="O4164" i="1"/>
  <c r="O4162" i="1"/>
  <c r="K4180" i="1"/>
  <c r="M4180" i="1" s="1"/>
  <c r="U4180" i="1" s="1"/>
  <c r="O4178" i="1"/>
  <c r="O4160" i="1"/>
  <c r="O4156" i="1"/>
  <c r="O4154" i="1"/>
  <c r="U4168" i="1"/>
  <c r="AT4150" i="1"/>
  <c r="AX4150" i="1" s="1"/>
  <c r="U4150" i="1"/>
  <c r="O4132" i="1"/>
  <c r="O4130" i="1"/>
  <c r="K4116" i="1"/>
  <c r="M4116" i="1" s="1"/>
  <c r="U4116" i="1" s="1"/>
  <c r="K4114" i="1"/>
  <c r="M4114" i="1" s="1"/>
  <c r="U4114" i="1" s="1"/>
  <c r="K4112" i="1"/>
  <c r="U4112" i="1" s="1"/>
  <c r="K4110" i="1"/>
  <c r="M4110" i="1" s="1"/>
  <c r="U4110" i="1" s="1"/>
  <c r="K4106" i="1"/>
  <c r="M4106" i="1" s="1"/>
  <c r="U4106" i="1" s="1"/>
  <c r="AT4116" i="1"/>
  <c r="AX4116" i="1" s="1"/>
  <c r="AT4114" i="1"/>
  <c r="AX4114" i="1" s="1"/>
  <c r="AT4112" i="1"/>
  <c r="AX4112" i="1" s="1"/>
  <c r="AX4110" i="1"/>
  <c r="AT4106" i="1"/>
  <c r="AX4106" i="1" s="1"/>
  <c r="O4100" i="1"/>
  <c r="O4122" i="1"/>
  <c r="O4120" i="1"/>
  <c r="O4118" i="1"/>
  <c r="K4108" i="1"/>
  <c r="M4108" i="1" s="1"/>
  <c r="O4084" i="1"/>
  <c r="O4046" i="1"/>
  <c r="O4044" i="1"/>
  <c r="O4024" i="1"/>
  <c r="AT4024" i="1"/>
  <c r="AX4024" i="1" s="1"/>
  <c r="M4024" i="1"/>
  <c r="AT4022" i="1"/>
  <c r="AX4022" i="1" s="1"/>
  <c r="M4022" i="1"/>
  <c r="U4022" i="1" s="1"/>
  <c r="O4002" i="1"/>
  <c r="O4020" i="1"/>
  <c r="O4000" i="1"/>
  <c r="O3996" i="1"/>
  <c r="AT3986" i="1"/>
  <c r="AX3986" i="1" s="1"/>
  <c r="M3986" i="1"/>
  <c r="U3986" i="1" s="1"/>
  <c r="AT3984" i="1"/>
  <c r="AX3984" i="1" s="1"/>
  <c r="M3984" i="1"/>
  <c r="U3984" i="1" s="1"/>
  <c r="AT3980" i="1"/>
  <c r="AX3980" i="1" s="1"/>
  <c r="M3980" i="1"/>
  <c r="U3980" i="1" s="1"/>
  <c r="AT3978" i="1"/>
  <c r="AX3978" i="1" s="1"/>
  <c r="M3978" i="1"/>
  <c r="U3978" i="1" s="1"/>
  <c r="AT4246" i="1"/>
  <c r="AX4246" i="1" s="1"/>
  <c r="M4246" i="1"/>
  <c r="U4246" i="1" s="1"/>
  <c r="AT4244" i="1"/>
  <c r="AX4244" i="1" s="1"/>
  <c r="M4244" i="1"/>
  <c r="U4244" i="1" s="1"/>
  <c r="AT4242" i="1"/>
  <c r="AX4242" i="1" s="1"/>
  <c r="M4242" i="1"/>
  <c r="U4242" i="1" s="1"/>
  <c r="AT4240" i="1"/>
  <c r="AX4240" i="1" s="1"/>
  <c r="M4240" i="1"/>
  <c r="U4240" i="1" s="1"/>
  <c r="AT4238" i="1"/>
  <c r="AX4238" i="1" s="1"/>
  <c r="M4238" i="1"/>
  <c r="U4238" i="1" s="1"/>
  <c r="AT4236" i="1"/>
  <c r="AX4236" i="1" s="1"/>
  <c r="M4236" i="1"/>
  <c r="U4236" i="1" s="1"/>
  <c r="AT4234" i="1"/>
  <c r="AX4234" i="1" s="1"/>
  <c r="M4234" i="1"/>
  <c r="U4234" i="1" s="1"/>
  <c r="AT4232" i="1"/>
  <c r="AX4232" i="1" s="1"/>
  <c r="M4232" i="1"/>
  <c r="U4232" i="1" s="1"/>
  <c r="AT4230" i="1"/>
  <c r="AX4230" i="1" s="1"/>
  <c r="M4230" i="1"/>
  <c r="U4230" i="1" s="1"/>
  <c r="AT4228" i="1"/>
  <c r="AX4228" i="1" s="1"/>
  <c r="M4228" i="1"/>
  <c r="U4228" i="1" s="1"/>
  <c r="AT4226" i="1"/>
  <c r="AX4226" i="1" s="1"/>
  <c r="M4226" i="1"/>
  <c r="U4226" i="1" s="1"/>
  <c r="AT4224" i="1"/>
  <c r="AX4224" i="1" s="1"/>
  <c r="M4224" i="1"/>
  <c r="U4224" i="1" s="1"/>
  <c r="AT4222" i="1"/>
  <c r="AX4222" i="1" s="1"/>
  <c r="M4222" i="1"/>
  <c r="U4222" i="1" s="1"/>
  <c r="AT4220" i="1"/>
  <c r="AX4220" i="1" s="1"/>
  <c r="AT4218" i="1"/>
  <c r="AX4218" i="1" s="1"/>
  <c r="AT4216" i="1"/>
  <c r="AX4216" i="1" s="1"/>
  <c r="AT4214" i="1"/>
  <c r="AX4214" i="1" s="1"/>
  <c r="M4214" i="1"/>
  <c r="U4214" i="1" s="1"/>
  <c r="AT4212" i="1"/>
  <c r="AX4212" i="1" s="1"/>
  <c r="M4212" i="1"/>
  <c r="U4212" i="1" s="1"/>
  <c r="AT4210" i="1"/>
  <c r="AX4210" i="1" s="1"/>
  <c r="M4210" i="1"/>
  <c r="U4210" i="1" s="1"/>
  <c r="AT4198" i="1"/>
  <c r="AX4198" i="1" s="1"/>
  <c r="M4198" i="1"/>
  <c r="AT4194" i="1"/>
  <c r="AX4194" i="1" s="1"/>
  <c r="M4194" i="1"/>
  <c r="U4194" i="1" s="1"/>
  <c r="AT4192" i="1"/>
  <c r="AX4192" i="1" s="1"/>
  <c r="M4192" i="1"/>
  <c r="U4192" i="1" s="1"/>
  <c r="AT4190" i="1"/>
  <c r="AX4190" i="1" s="1"/>
  <c r="M4190" i="1"/>
  <c r="U4190" i="1" s="1"/>
  <c r="AT4186" i="1"/>
  <c r="AX4186" i="1" s="1"/>
  <c r="M4186" i="1"/>
  <c r="U4186" i="1" s="1"/>
  <c r="AT4184" i="1"/>
  <c r="AX4184" i="1" s="1"/>
  <c r="M4184" i="1"/>
  <c r="U4184" i="1" s="1"/>
  <c r="AT4182" i="1"/>
  <c r="AX4182" i="1" s="1"/>
  <c r="M4182" i="1"/>
  <c r="U4182" i="1" s="1"/>
  <c r="AT4180" i="1"/>
  <c r="AX4180" i="1" s="1"/>
  <c r="AT4178" i="1"/>
  <c r="AX4178" i="1" s="1"/>
  <c r="M4178" i="1"/>
  <c r="AT4176" i="1"/>
  <c r="AX4176" i="1" s="1"/>
  <c r="M4176" i="1"/>
  <c r="AT4174" i="1"/>
  <c r="AX4174" i="1" s="1"/>
  <c r="M4174" i="1"/>
  <c r="AT4172" i="1"/>
  <c r="AX4172" i="1" s="1"/>
  <c r="M4172" i="1"/>
  <c r="AT4170" i="1"/>
  <c r="AX4170" i="1" s="1"/>
  <c r="M4170" i="1"/>
  <c r="U4170" i="1" s="1"/>
  <c r="AT4168" i="1"/>
  <c r="AX4168" i="1" s="1"/>
  <c r="AT4166" i="1"/>
  <c r="AX4166" i="1" s="1"/>
  <c r="M4166" i="1"/>
  <c r="U4166" i="1" s="1"/>
  <c r="AT4164" i="1"/>
  <c r="AX4164" i="1" s="1"/>
  <c r="M4164" i="1"/>
  <c r="AT4162" i="1"/>
  <c r="AX4162" i="1" s="1"/>
  <c r="M4162" i="1"/>
  <c r="AT4160" i="1"/>
  <c r="AX4160" i="1" s="1"/>
  <c r="M4160" i="1"/>
  <c r="AT4158" i="1"/>
  <c r="AX4158" i="1" s="1"/>
  <c r="M4158" i="1"/>
  <c r="U4158" i="1" s="1"/>
  <c r="AT4156" i="1"/>
  <c r="AX4156" i="1" s="1"/>
  <c r="M4156" i="1"/>
  <c r="AT4154" i="1"/>
  <c r="AX4154" i="1" s="1"/>
  <c r="M4154" i="1"/>
  <c r="AT4152" i="1"/>
  <c r="AX4152" i="1" s="1"/>
  <c r="M4152" i="1"/>
  <c r="U4152" i="1" s="1"/>
  <c r="AT4148" i="1"/>
  <c r="AX4148" i="1" s="1"/>
  <c r="M4148" i="1"/>
  <c r="U4148" i="1" s="1"/>
  <c r="AT4146" i="1"/>
  <c r="AX4146" i="1" s="1"/>
  <c r="M4146" i="1"/>
  <c r="U4146" i="1" s="1"/>
  <c r="AT4144" i="1"/>
  <c r="AX4144" i="1" s="1"/>
  <c r="M4144" i="1"/>
  <c r="U4144" i="1" s="1"/>
  <c r="AT4142" i="1"/>
  <c r="AX4142" i="1" s="1"/>
  <c r="M4142" i="1"/>
  <c r="U4142" i="1" s="1"/>
  <c r="AT4140" i="1"/>
  <c r="AX4140" i="1" s="1"/>
  <c r="M4140" i="1"/>
  <c r="U4140" i="1" s="1"/>
  <c r="AT4138" i="1"/>
  <c r="AX4138" i="1" s="1"/>
  <c r="M4138" i="1"/>
  <c r="U4138" i="1" s="1"/>
  <c r="AT4136" i="1"/>
  <c r="AX4136" i="1" s="1"/>
  <c r="M4136" i="1"/>
  <c r="U4136" i="1" s="1"/>
  <c r="AT4134" i="1"/>
  <c r="AX4134" i="1" s="1"/>
  <c r="M4134" i="1"/>
  <c r="U4134" i="1" s="1"/>
  <c r="AT4132" i="1"/>
  <c r="AX4132" i="1" s="1"/>
  <c r="M4132" i="1"/>
  <c r="AT4130" i="1"/>
  <c r="AX4130" i="1" s="1"/>
  <c r="M4130" i="1"/>
  <c r="AT4128" i="1"/>
  <c r="AX4128" i="1" s="1"/>
  <c r="M4128" i="1"/>
  <c r="U4128" i="1" s="1"/>
  <c r="AT4126" i="1"/>
  <c r="AX4126" i="1" s="1"/>
  <c r="M4126" i="1"/>
  <c r="U4126" i="1" s="1"/>
  <c r="AT4124" i="1"/>
  <c r="AX4124" i="1" s="1"/>
  <c r="M4124" i="1"/>
  <c r="U4124" i="1" s="1"/>
  <c r="AT4122" i="1"/>
  <c r="AX4122" i="1" s="1"/>
  <c r="M4122" i="1"/>
  <c r="AT4120" i="1"/>
  <c r="AX4120" i="1" s="1"/>
  <c r="M4120" i="1"/>
  <c r="AT4118" i="1"/>
  <c r="AX4118" i="1" s="1"/>
  <c r="M4118" i="1"/>
  <c r="AT4108" i="1"/>
  <c r="AX4108" i="1" s="1"/>
  <c r="AT4104" i="1"/>
  <c r="AX4104" i="1" s="1"/>
  <c r="M4104" i="1"/>
  <c r="U4104" i="1" s="1"/>
  <c r="AT4102" i="1"/>
  <c r="AX4102" i="1" s="1"/>
  <c r="M4102" i="1"/>
  <c r="U4102" i="1" s="1"/>
  <c r="AT4100" i="1"/>
  <c r="AX4100" i="1" s="1"/>
  <c r="M4100" i="1"/>
  <c r="AT4098" i="1"/>
  <c r="AX4098" i="1" s="1"/>
  <c r="M4098" i="1"/>
  <c r="U4098" i="1" s="1"/>
  <c r="AT4096" i="1"/>
  <c r="AX4096" i="1" s="1"/>
  <c r="M4096" i="1"/>
  <c r="U4096" i="1" s="1"/>
  <c r="AT4094" i="1"/>
  <c r="AX4094" i="1" s="1"/>
  <c r="M4094" i="1"/>
  <c r="U4094" i="1" s="1"/>
  <c r="AT4092" i="1"/>
  <c r="AX4092" i="1" s="1"/>
  <c r="M4092" i="1"/>
  <c r="U4092" i="1" s="1"/>
  <c r="AT4090" i="1"/>
  <c r="AX4090" i="1" s="1"/>
  <c r="M4090" i="1"/>
  <c r="U4090" i="1" s="1"/>
  <c r="AT4088" i="1"/>
  <c r="AX4088" i="1" s="1"/>
  <c r="M4088" i="1"/>
  <c r="U4088" i="1" s="1"/>
  <c r="AT4086" i="1"/>
  <c r="AX4086" i="1" s="1"/>
  <c r="M4086" i="1"/>
  <c r="U4086" i="1" s="1"/>
  <c r="AT4084" i="1"/>
  <c r="AX4084" i="1" s="1"/>
  <c r="M4084" i="1"/>
  <c r="AT4082" i="1"/>
  <c r="AX4082" i="1" s="1"/>
  <c r="M4082" i="1"/>
  <c r="U4082" i="1" s="1"/>
  <c r="AT4080" i="1"/>
  <c r="AX4080" i="1" s="1"/>
  <c r="M4080" i="1"/>
  <c r="U4080" i="1" s="1"/>
  <c r="AT4078" i="1"/>
  <c r="AX4078" i="1" s="1"/>
  <c r="M4078" i="1"/>
  <c r="U4078" i="1" s="1"/>
  <c r="AT4076" i="1"/>
  <c r="AX4076" i="1" s="1"/>
  <c r="M4076" i="1"/>
  <c r="U4076" i="1" s="1"/>
  <c r="AT4074" i="1"/>
  <c r="AX4074" i="1" s="1"/>
  <c r="M4074" i="1"/>
  <c r="U4074" i="1" s="1"/>
  <c r="AT4072" i="1"/>
  <c r="AX4072" i="1" s="1"/>
  <c r="M4072" i="1"/>
  <c r="U4072" i="1" s="1"/>
  <c r="AT4070" i="1"/>
  <c r="AX4070" i="1" s="1"/>
  <c r="M4070" i="1"/>
  <c r="U4070" i="1" s="1"/>
  <c r="AT4068" i="1"/>
  <c r="AX4068" i="1" s="1"/>
  <c r="M4068" i="1"/>
  <c r="U4068" i="1" s="1"/>
  <c r="AT4066" i="1"/>
  <c r="AX4066" i="1" s="1"/>
  <c r="M4066" i="1"/>
  <c r="U4066" i="1" s="1"/>
  <c r="AT4064" i="1"/>
  <c r="AX4064" i="1" s="1"/>
  <c r="M4064" i="1"/>
  <c r="U4064" i="1" s="1"/>
  <c r="AT4062" i="1"/>
  <c r="AX4062" i="1" s="1"/>
  <c r="M4062" i="1"/>
  <c r="U4062" i="1" s="1"/>
  <c r="AT4060" i="1"/>
  <c r="AX4060" i="1" s="1"/>
  <c r="M4060" i="1"/>
  <c r="U4060" i="1" s="1"/>
  <c r="AT4058" i="1"/>
  <c r="AX4058" i="1" s="1"/>
  <c r="M4058" i="1"/>
  <c r="U4058" i="1" s="1"/>
  <c r="AT4056" i="1"/>
  <c r="AX4056" i="1" s="1"/>
  <c r="M4056" i="1"/>
  <c r="U4056" i="1" s="1"/>
  <c r="AT4054" i="1"/>
  <c r="AX4054" i="1" s="1"/>
  <c r="M4054" i="1"/>
  <c r="U4054" i="1" s="1"/>
  <c r="AT4052" i="1"/>
  <c r="AX4052" i="1" s="1"/>
  <c r="M4052" i="1"/>
  <c r="U4052" i="1" s="1"/>
  <c r="AT4050" i="1"/>
  <c r="AX4050" i="1" s="1"/>
  <c r="M4050" i="1"/>
  <c r="U4050" i="1" s="1"/>
  <c r="AT4048" i="1"/>
  <c r="AX4048" i="1" s="1"/>
  <c r="M4048" i="1"/>
  <c r="U4048" i="1" s="1"/>
  <c r="AT4046" i="1"/>
  <c r="AX4046" i="1" s="1"/>
  <c r="M4046" i="1"/>
  <c r="AX4044" i="1"/>
  <c r="M4044" i="1"/>
  <c r="AT4042" i="1"/>
  <c r="AX4042" i="1" s="1"/>
  <c r="M4042" i="1"/>
  <c r="U4042" i="1" s="1"/>
  <c r="AT4040" i="1"/>
  <c r="AX4040" i="1" s="1"/>
  <c r="M4040" i="1"/>
  <c r="U4040" i="1" s="1"/>
  <c r="AT4038" i="1"/>
  <c r="AX4038" i="1" s="1"/>
  <c r="M4038" i="1"/>
  <c r="U4038" i="1" s="1"/>
  <c r="AT4036" i="1"/>
  <c r="AX4036" i="1" s="1"/>
  <c r="M4036" i="1"/>
  <c r="U4036" i="1" s="1"/>
  <c r="AT4034" i="1"/>
  <c r="AX4034" i="1" s="1"/>
  <c r="M4034" i="1"/>
  <c r="U4034" i="1" s="1"/>
  <c r="AT4032" i="1"/>
  <c r="AX4032" i="1" s="1"/>
  <c r="M4032" i="1"/>
  <c r="U4032" i="1" s="1"/>
  <c r="AT4030" i="1"/>
  <c r="AX4030" i="1" s="1"/>
  <c r="M4030" i="1"/>
  <c r="U4030" i="1" s="1"/>
  <c r="AT4028" i="1"/>
  <c r="AX4028" i="1" s="1"/>
  <c r="M4028" i="1"/>
  <c r="U4028" i="1" s="1"/>
  <c r="AT4026" i="1"/>
  <c r="AX4026" i="1" s="1"/>
  <c r="M4026" i="1"/>
  <c r="U4026" i="1" s="1"/>
  <c r="AT4020" i="1"/>
  <c r="AX4020" i="1" s="1"/>
  <c r="M4020" i="1"/>
  <c r="AX4018" i="1"/>
  <c r="M4018" i="1"/>
  <c r="U4018" i="1" s="1"/>
  <c r="AT4016" i="1"/>
  <c r="AX4016" i="1" s="1"/>
  <c r="M4016" i="1"/>
  <c r="U4016" i="1" s="1"/>
  <c r="AT4014" i="1"/>
  <c r="AX4014" i="1" s="1"/>
  <c r="M4014" i="1"/>
  <c r="U4014" i="1" s="1"/>
  <c r="AT4012" i="1"/>
  <c r="AX4012" i="1" s="1"/>
  <c r="M4012" i="1"/>
  <c r="U4012" i="1" s="1"/>
  <c r="AT4010" i="1"/>
  <c r="AX4010" i="1" s="1"/>
  <c r="M4010" i="1"/>
  <c r="U4010" i="1" s="1"/>
  <c r="AT4008" i="1"/>
  <c r="AX4008" i="1" s="1"/>
  <c r="M4008" i="1"/>
  <c r="U4008" i="1" s="1"/>
  <c r="AT4006" i="1"/>
  <c r="AX4006" i="1" s="1"/>
  <c r="M4006" i="1"/>
  <c r="U4006" i="1" s="1"/>
  <c r="AT4004" i="1"/>
  <c r="AX4004" i="1" s="1"/>
  <c r="M4004" i="1"/>
  <c r="U4004" i="1" s="1"/>
  <c r="AT4002" i="1"/>
  <c r="AX4002" i="1" s="1"/>
  <c r="M4002" i="1"/>
  <c r="AT4000" i="1"/>
  <c r="AX4000" i="1" s="1"/>
  <c r="M4000" i="1"/>
  <c r="K3964" i="1"/>
  <c r="M3964" i="1" s="1"/>
  <c r="U3964" i="1" s="1"/>
  <c r="K3962" i="1"/>
  <c r="M3962" i="1" s="1"/>
  <c r="U3962" i="1" s="1"/>
  <c r="K3960" i="1"/>
  <c r="M3960" i="1" s="1"/>
  <c r="U3960" i="1" s="1"/>
  <c r="K3958" i="1"/>
  <c r="M3958" i="1" s="1"/>
  <c r="U3958" i="1" s="1"/>
  <c r="K3956" i="1"/>
  <c r="M3956" i="1" s="1"/>
  <c r="U3956" i="1" s="1"/>
  <c r="K3954" i="1"/>
  <c r="M3954" i="1" s="1"/>
  <c r="K3952" i="1"/>
  <c r="M3952" i="1" s="1"/>
  <c r="U3952" i="1" s="1"/>
  <c r="K3950" i="1"/>
  <c r="M3950" i="1" s="1"/>
  <c r="U3950" i="1" s="1"/>
  <c r="O3942" i="1"/>
  <c r="O3938" i="1"/>
  <c r="O3932" i="1"/>
  <c r="K3948" i="1"/>
  <c r="M3948" i="1" s="1"/>
  <c r="U3948" i="1" s="1"/>
  <c r="K3946" i="1"/>
  <c r="M3946" i="1" s="1"/>
  <c r="U3946" i="1" s="1"/>
  <c r="O3922" i="1"/>
  <c r="AT3926" i="1"/>
  <c r="AX3926" i="1" s="1"/>
  <c r="M3926" i="1"/>
  <c r="U3926" i="1" s="1"/>
  <c r="AT3924" i="1"/>
  <c r="AX3924" i="1" s="1"/>
  <c r="M3924" i="1"/>
  <c r="U3924" i="1" s="1"/>
  <c r="AT3922" i="1"/>
  <c r="AX3922" i="1" s="1"/>
  <c r="M3922" i="1"/>
  <c r="AT3938" i="1"/>
  <c r="AX3938" i="1" s="1"/>
  <c r="M3938" i="1"/>
  <c r="AT3936" i="1"/>
  <c r="AX3936" i="1" s="1"/>
  <c r="M3936" i="1"/>
  <c r="U3936" i="1" s="1"/>
  <c r="AT3934" i="1"/>
  <c r="AX3934" i="1" s="1"/>
  <c r="M3934" i="1"/>
  <c r="U3934" i="1" s="1"/>
  <c r="AT3932" i="1"/>
  <c r="AX3932" i="1" s="1"/>
  <c r="M3932" i="1"/>
  <c r="AT1286" i="1"/>
  <c r="AT2448" i="1"/>
  <c r="AX2448" i="1" s="1"/>
  <c r="O3920" i="1"/>
  <c r="O3918" i="1"/>
  <c r="AT3898" i="1"/>
  <c r="AX3898" i="1" s="1"/>
  <c r="M3898" i="1"/>
  <c r="U3898" i="1" s="1"/>
  <c r="AT3914" i="1"/>
  <c r="AX3914" i="1" s="1"/>
  <c r="M3914" i="1"/>
  <c r="U3914" i="1" s="1"/>
  <c r="AT3908" i="1"/>
  <c r="AX3908" i="1" s="1"/>
  <c r="M3908" i="1"/>
  <c r="U3908" i="1" s="1"/>
  <c r="AT3906" i="1"/>
  <c r="AX3906" i="1" s="1"/>
  <c r="M3906" i="1"/>
  <c r="U3906" i="1" s="1"/>
  <c r="AT3904" i="1"/>
  <c r="AX3904" i="1" s="1"/>
  <c r="M3904" i="1"/>
  <c r="U3904" i="1" s="1"/>
  <c r="AT3902" i="1"/>
  <c r="AX3902" i="1" s="1"/>
  <c r="M3902" i="1"/>
  <c r="U3902" i="1" s="1"/>
  <c r="O3892" i="1"/>
  <c r="O3886" i="1"/>
  <c r="O3882" i="1"/>
  <c r="O3880" i="1"/>
  <c r="O3874" i="1"/>
  <c r="O3872" i="1"/>
  <c r="O3860" i="1"/>
  <c r="K3858" i="1"/>
  <c r="M3858" i="1" s="1"/>
  <c r="U3858" i="1" s="1"/>
  <c r="K3856" i="1"/>
  <c r="M3856" i="1" s="1"/>
  <c r="U3856" i="1" s="1"/>
  <c r="K3854" i="1"/>
  <c r="M3854" i="1" s="1"/>
  <c r="U3854" i="1" s="1"/>
  <c r="K3852" i="1"/>
  <c r="M3852" i="1" s="1"/>
  <c r="U3852" i="1" s="1"/>
  <c r="K3850" i="1"/>
  <c r="M3850" i="1" s="1"/>
  <c r="U3850" i="1" s="1"/>
  <c r="O3808" i="1"/>
  <c r="AT3802" i="1"/>
  <c r="AX3802" i="1" s="1"/>
  <c r="M3802" i="1"/>
  <c r="U3802" i="1" s="1"/>
  <c r="AX3800" i="1"/>
  <c r="M3800" i="1"/>
  <c r="U3800" i="1" s="1"/>
  <c r="AT3998" i="1"/>
  <c r="AX3998" i="1" s="1"/>
  <c r="M3998" i="1"/>
  <c r="U3998" i="1" s="1"/>
  <c r="AT3996" i="1"/>
  <c r="AX3996" i="1" s="1"/>
  <c r="M3996" i="1"/>
  <c r="AT3994" i="1"/>
  <c r="AX3994" i="1" s="1"/>
  <c r="M3994" i="1"/>
  <c r="U3994" i="1" s="1"/>
  <c r="AT3992" i="1"/>
  <c r="AX3992" i="1" s="1"/>
  <c r="M3992" i="1"/>
  <c r="U3992" i="1" s="1"/>
  <c r="AT3990" i="1"/>
  <c r="AX3990" i="1" s="1"/>
  <c r="M3990" i="1"/>
  <c r="U3990" i="1" s="1"/>
  <c r="AX3988" i="1"/>
  <c r="M3988" i="1"/>
  <c r="U3988" i="1" s="1"/>
  <c r="AT3982" i="1"/>
  <c r="AX3982" i="1" s="1"/>
  <c r="U3982" i="1"/>
  <c r="AT3976" i="1"/>
  <c r="AX3976" i="1" s="1"/>
  <c r="M3976" i="1"/>
  <c r="U3976" i="1" s="1"/>
  <c r="AT3974" i="1"/>
  <c r="AX3974" i="1" s="1"/>
  <c r="M3974" i="1"/>
  <c r="U3974" i="1" s="1"/>
  <c r="AT3972" i="1"/>
  <c r="AX3972" i="1" s="1"/>
  <c r="M3972" i="1"/>
  <c r="U3972" i="1" s="1"/>
  <c r="AT3970" i="1"/>
  <c r="AX3970" i="1" s="1"/>
  <c r="M3970" i="1"/>
  <c r="U3970" i="1" s="1"/>
  <c r="AT3968" i="1"/>
  <c r="AX3968" i="1" s="1"/>
  <c r="M3968" i="1"/>
  <c r="U3968" i="1" s="1"/>
  <c r="AT3966" i="1"/>
  <c r="AX3966" i="1" s="1"/>
  <c r="M3966" i="1"/>
  <c r="U3966" i="1" s="1"/>
  <c r="AT3964" i="1"/>
  <c r="AX3964" i="1" s="1"/>
  <c r="AT3962" i="1"/>
  <c r="AX3962" i="1" s="1"/>
  <c r="AT3960" i="1"/>
  <c r="AX3960" i="1" s="1"/>
  <c r="AT3958" i="1"/>
  <c r="AX3958" i="1" s="1"/>
  <c r="AT3956" i="1"/>
  <c r="AX3956" i="1" s="1"/>
  <c r="AT3954" i="1"/>
  <c r="AX3954" i="1" s="1"/>
  <c r="AT3952" i="1"/>
  <c r="AX3952" i="1" s="1"/>
  <c r="AT3950" i="1"/>
  <c r="AX3950" i="1" s="1"/>
  <c r="AT3948" i="1"/>
  <c r="AX3948" i="1" s="1"/>
  <c r="AT3946" i="1"/>
  <c r="AX3946" i="1" s="1"/>
  <c r="AT3944" i="1"/>
  <c r="AX3944" i="1" s="1"/>
  <c r="M3944" i="1"/>
  <c r="U3944" i="1" s="1"/>
  <c r="AT3942" i="1"/>
  <c r="AX3942" i="1" s="1"/>
  <c r="M3942" i="1"/>
  <c r="AT3940" i="1"/>
  <c r="AX3940" i="1" s="1"/>
  <c r="M3940" i="1"/>
  <c r="U3940" i="1" s="1"/>
  <c r="AT3930" i="1"/>
  <c r="AX3930" i="1" s="1"/>
  <c r="M3930" i="1"/>
  <c r="U3930" i="1" s="1"/>
  <c r="AT3928" i="1"/>
  <c r="AX3928" i="1" s="1"/>
  <c r="M3928" i="1"/>
  <c r="U3928" i="1" s="1"/>
  <c r="AT3920" i="1"/>
  <c r="AX3920" i="1" s="1"/>
  <c r="M3920" i="1"/>
  <c r="AT3918" i="1"/>
  <c r="AX3918" i="1" s="1"/>
  <c r="M3918" i="1"/>
  <c r="AT3916" i="1"/>
  <c r="AX3916" i="1" s="1"/>
  <c r="M3916" i="1"/>
  <c r="U3916" i="1" s="1"/>
  <c r="AT3912" i="1"/>
  <c r="AX3912" i="1" s="1"/>
  <c r="M3912" i="1"/>
  <c r="U3912" i="1" s="1"/>
  <c r="AT3910" i="1"/>
  <c r="AX3910" i="1" s="1"/>
  <c r="M3910" i="1"/>
  <c r="U3910" i="1" s="1"/>
  <c r="AT3900" i="1"/>
  <c r="AX3900" i="1" s="1"/>
  <c r="M3900" i="1"/>
  <c r="U3900" i="1" s="1"/>
  <c r="AT3896" i="1"/>
  <c r="AX3896" i="1" s="1"/>
  <c r="M3896" i="1"/>
  <c r="U3896" i="1" s="1"/>
  <c r="AT3894" i="1"/>
  <c r="AX3894" i="1" s="1"/>
  <c r="M3894" i="1"/>
  <c r="U3894" i="1" s="1"/>
  <c r="AT3892" i="1"/>
  <c r="AX3892" i="1" s="1"/>
  <c r="M3892" i="1"/>
  <c r="AT3890" i="1"/>
  <c r="AX3890" i="1" s="1"/>
  <c r="M3890" i="1"/>
  <c r="U3890" i="1" s="1"/>
  <c r="AT3888" i="1"/>
  <c r="AX3888" i="1" s="1"/>
  <c r="M3888" i="1"/>
  <c r="U3888" i="1" s="1"/>
  <c r="AT3886" i="1"/>
  <c r="AX3886" i="1" s="1"/>
  <c r="M3886" i="1"/>
  <c r="AT3884" i="1"/>
  <c r="AX3884" i="1" s="1"/>
  <c r="M3884" i="1"/>
  <c r="U3884" i="1" s="1"/>
  <c r="AT3882" i="1"/>
  <c r="AX3882" i="1" s="1"/>
  <c r="M3882" i="1"/>
  <c r="AT3880" i="1"/>
  <c r="AX3880" i="1" s="1"/>
  <c r="M3880" i="1"/>
  <c r="AT3878" i="1"/>
  <c r="AX3878" i="1" s="1"/>
  <c r="M3878" i="1"/>
  <c r="U3878" i="1" s="1"/>
  <c r="AT3876" i="1"/>
  <c r="AX3876" i="1" s="1"/>
  <c r="U3876" i="1"/>
  <c r="AT3874" i="1"/>
  <c r="AX3874" i="1" s="1"/>
  <c r="M3874" i="1"/>
  <c r="AT3872" i="1"/>
  <c r="AX3872" i="1" s="1"/>
  <c r="M3872" i="1"/>
  <c r="AT3870" i="1"/>
  <c r="AX3870" i="1" s="1"/>
  <c r="M3870" i="1"/>
  <c r="U3870" i="1" s="1"/>
  <c r="AT3868" i="1"/>
  <c r="AX3868" i="1" s="1"/>
  <c r="M3868" i="1"/>
  <c r="U3868" i="1" s="1"/>
  <c r="AT3866" i="1"/>
  <c r="AX3866" i="1" s="1"/>
  <c r="M3866" i="1"/>
  <c r="U3866" i="1" s="1"/>
  <c r="AT3864" i="1"/>
  <c r="AX3864" i="1" s="1"/>
  <c r="M3864" i="1"/>
  <c r="U3864" i="1" s="1"/>
  <c r="AT3862" i="1"/>
  <c r="AX3862" i="1" s="1"/>
  <c r="M3862" i="1"/>
  <c r="U3862" i="1" s="1"/>
  <c r="AT3860" i="1"/>
  <c r="AX3860" i="1" s="1"/>
  <c r="M3860" i="1"/>
  <c r="AT3858" i="1"/>
  <c r="AX3858" i="1" s="1"/>
  <c r="AT3856" i="1"/>
  <c r="AX3856" i="1" s="1"/>
  <c r="AT3854" i="1"/>
  <c r="AX3854" i="1" s="1"/>
  <c r="AT3852" i="1"/>
  <c r="AX3852" i="1" s="1"/>
  <c r="AT3850" i="1"/>
  <c r="AX3850" i="1" s="1"/>
  <c r="AT3848" i="1"/>
  <c r="AX3848" i="1" s="1"/>
  <c r="M3848" i="1"/>
  <c r="U3848" i="1" s="1"/>
  <c r="AT3846" i="1"/>
  <c r="AX3846" i="1" s="1"/>
  <c r="M3846" i="1"/>
  <c r="U3846" i="1" s="1"/>
  <c r="AT3844" i="1"/>
  <c r="AX3844" i="1" s="1"/>
  <c r="M3844" i="1"/>
  <c r="U3844" i="1" s="1"/>
  <c r="AT3842" i="1"/>
  <c r="AX3842" i="1" s="1"/>
  <c r="M3842" i="1"/>
  <c r="U3842" i="1" s="1"/>
  <c r="AT3840" i="1"/>
  <c r="AX3840" i="1" s="1"/>
  <c r="M3840" i="1"/>
  <c r="U3840" i="1" s="1"/>
  <c r="AT3838" i="1"/>
  <c r="AX3838" i="1" s="1"/>
  <c r="M3838" i="1"/>
  <c r="U3838" i="1" s="1"/>
  <c r="AT3836" i="1"/>
  <c r="AX3836" i="1" s="1"/>
  <c r="M3836" i="1"/>
  <c r="U3836" i="1" s="1"/>
  <c r="AT3834" i="1"/>
  <c r="AX3834" i="1" s="1"/>
  <c r="M3834" i="1"/>
  <c r="U3834" i="1" s="1"/>
  <c r="AT3832" i="1"/>
  <c r="AX3832" i="1" s="1"/>
  <c r="M3832" i="1"/>
  <c r="U3832" i="1" s="1"/>
  <c r="AT3830" i="1"/>
  <c r="AX3830" i="1" s="1"/>
  <c r="M3830" i="1"/>
  <c r="U3830" i="1" s="1"/>
  <c r="AT3828" i="1"/>
  <c r="AX3828" i="1" s="1"/>
  <c r="M3828" i="1"/>
  <c r="U3828" i="1" s="1"/>
  <c r="AT3826" i="1"/>
  <c r="AX3826" i="1" s="1"/>
  <c r="M3826" i="1"/>
  <c r="U3826" i="1" s="1"/>
  <c r="AT3824" i="1"/>
  <c r="AX3824" i="1" s="1"/>
  <c r="M3824" i="1"/>
  <c r="U3824" i="1" s="1"/>
  <c r="AT3822" i="1"/>
  <c r="AX3822" i="1" s="1"/>
  <c r="M3822" i="1"/>
  <c r="U3822" i="1" s="1"/>
  <c r="AT3820" i="1"/>
  <c r="AX3820" i="1" s="1"/>
  <c r="M3820" i="1"/>
  <c r="U3820" i="1" s="1"/>
  <c r="AT3818" i="1"/>
  <c r="AX3818" i="1" s="1"/>
  <c r="M3818" i="1"/>
  <c r="U3818" i="1" s="1"/>
  <c r="AT3816" i="1"/>
  <c r="AX3816" i="1" s="1"/>
  <c r="M3816" i="1"/>
  <c r="U3816" i="1" s="1"/>
  <c r="AT3814" i="1"/>
  <c r="AX3814" i="1" s="1"/>
  <c r="M3814" i="1"/>
  <c r="U3814" i="1" s="1"/>
  <c r="AT3812" i="1"/>
  <c r="AX3812" i="1" s="1"/>
  <c r="M3812" i="1"/>
  <c r="U3812" i="1" s="1"/>
  <c r="AT3796" i="1"/>
  <c r="AX3796" i="1" s="1"/>
  <c r="O3796" i="1"/>
  <c r="M3796" i="1"/>
  <c r="AT3772" i="1"/>
  <c r="AX3772" i="1" s="1"/>
  <c r="M3772" i="1"/>
  <c r="U3772" i="1" s="1"/>
  <c r="AT3756" i="1"/>
  <c r="AX3756" i="1" s="1"/>
  <c r="M3756" i="1"/>
  <c r="U3756" i="1" s="1"/>
  <c r="AT3762" i="1"/>
  <c r="AX3762" i="1" s="1"/>
  <c r="M3762" i="1"/>
  <c r="U3762" i="1" s="1"/>
  <c r="AT3770" i="1"/>
  <c r="AX3770" i="1" s="1"/>
  <c r="M3770" i="1"/>
  <c r="U3770" i="1" s="1"/>
  <c r="K3744" i="1"/>
  <c r="M3744" i="1" s="1"/>
  <c r="U3744" i="1" s="1"/>
  <c r="K3742" i="1"/>
  <c r="M3742" i="1" s="1"/>
  <c r="U3742" i="1" s="1"/>
  <c r="K3740" i="1"/>
  <c r="M3740" i="1" s="1"/>
  <c r="U3740" i="1" s="1"/>
  <c r="K3738" i="1"/>
  <c r="M3738" i="1" s="1"/>
  <c r="U3738" i="1" s="1"/>
  <c r="K3736" i="1"/>
  <c r="M3736" i="1" s="1"/>
  <c r="U3736" i="1" s="1"/>
  <c r="O3732" i="1"/>
  <c r="O3728" i="1"/>
  <c r="O3726" i="1"/>
  <c r="O3724" i="1"/>
  <c r="O3722" i="1"/>
  <c r="O3718" i="1"/>
  <c r="O3716" i="1"/>
  <c r="O3710" i="1"/>
  <c r="O3706" i="1"/>
  <c r="AT3694" i="1"/>
  <c r="AX3694" i="1" s="1"/>
  <c r="M3694" i="1"/>
  <c r="U3694" i="1" s="1"/>
  <c r="AT3686" i="1"/>
  <c r="AX3686" i="1" s="1"/>
  <c r="M3686" i="1"/>
  <c r="U3686" i="1" s="1"/>
  <c r="AT3704" i="1"/>
  <c r="AX3704" i="1" s="1"/>
  <c r="M3704" i="1"/>
  <c r="U3704" i="1" s="1"/>
  <c r="AX3702" i="1"/>
  <c r="U3702" i="1"/>
  <c r="AT3700" i="1"/>
  <c r="AX3700" i="1" s="1"/>
  <c r="M3700" i="1"/>
  <c r="U3700" i="1" s="1"/>
  <c r="AT3682" i="1"/>
  <c r="AX3682" i="1" s="1"/>
  <c r="M3682" i="1"/>
  <c r="U3682" i="1" s="1"/>
  <c r="AT3684" i="1"/>
  <c r="AX3684" i="1" s="1"/>
  <c r="M3684" i="1"/>
  <c r="U3684" i="1" s="1"/>
  <c r="AT3810" i="1"/>
  <c r="AX3810" i="1" s="1"/>
  <c r="M3810" i="1"/>
  <c r="U3810" i="1" s="1"/>
  <c r="AT3808" i="1"/>
  <c r="AX3808" i="1" s="1"/>
  <c r="M3808" i="1"/>
  <c r="AT3806" i="1"/>
  <c r="AX3806" i="1" s="1"/>
  <c r="M3806" i="1"/>
  <c r="U3806" i="1" s="1"/>
  <c r="AT3804" i="1"/>
  <c r="AX3804" i="1" s="1"/>
  <c r="M3804" i="1"/>
  <c r="U3804" i="1" s="1"/>
  <c r="AT3798" i="1"/>
  <c r="AX3798" i="1" s="1"/>
  <c r="M3798" i="1"/>
  <c r="U3798" i="1" s="1"/>
  <c r="AT3794" i="1"/>
  <c r="AX3794" i="1" s="1"/>
  <c r="M3794" i="1"/>
  <c r="AT3792" i="1"/>
  <c r="AX3792" i="1" s="1"/>
  <c r="M3792" i="1"/>
  <c r="U3792" i="1" s="1"/>
  <c r="AT3790" i="1"/>
  <c r="AX3790" i="1" s="1"/>
  <c r="M3790" i="1"/>
  <c r="U3790" i="1" s="1"/>
  <c r="AT3788" i="1"/>
  <c r="AX3788" i="1" s="1"/>
  <c r="M3788" i="1"/>
  <c r="U3788" i="1" s="1"/>
  <c r="AT3786" i="1"/>
  <c r="AX3786" i="1" s="1"/>
  <c r="M3786" i="1"/>
  <c r="AT3784" i="1"/>
  <c r="AX3784" i="1" s="1"/>
  <c r="M3784" i="1"/>
  <c r="U3784" i="1" s="1"/>
  <c r="AT3782" i="1"/>
  <c r="AX3782" i="1" s="1"/>
  <c r="M3782" i="1"/>
  <c r="U3782" i="1" s="1"/>
  <c r="AT3780" i="1"/>
  <c r="AX3780" i="1" s="1"/>
  <c r="M3780" i="1"/>
  <c r="U3780" i="1" s="1"/>
  <c r="AT3778" i="1"/>
  <c r="AX3778" i="1" s="1"/>
  <c r="M3778" i="1"/>
  <c r="U3778" i="1" s="1"/>
  <c r="AT3776" i="1"/>
  <c r="AX3776" i="1" s="1"/>
  <c r="M3776" i="1"/>
  <c r="U3776" i="1" s="1"/>
  <c r="AT3774" i="1"/>
  <c r="AX3774" i="1" s="1"/>
  <c r="M3774" i="1"/>
  <c r="U3774" i="1" s="1"/>
  <c r="AT3768" i="1"/>
  <c r="AX3768" i="1" s="1"/>
  <c r="M3768" i="1"/>
  <c r="U3768" i="1" s="1"/>
  <c r="AT3766" i="1"/>
  <c r="AX3766" i="1" s="1"/>
  <c r="M3766" i="1"/>
  <c r="U3766" i="1" s="1"/>
  <c r="AT3764" i="1"/>
  <c r="AX3764" i="1" s="1"/>
  <c r="M3764" i="1"/>
  <c r="U3764" i="1" s="1"/>
  <c r="AT3760" i="1"/>
  <c r="AX3760" i="1" s="1"/>
  <c r="M3760" i="1"/>
  <c r="U3760" i="1" s="1"/>
  <c r="AT3758" i="1"/>
  <c r="AX3758" i="1" s="1"/>
  <c r="M3758" i="1"/>
  <c r="U3758" i="1" s="1"/>
  <c r="AT3754" i="1"/>
  <c r="AX3754" i="1" s="1"/>
  <c r="M3754" i="1"/>
  <c r="U3754" i="1" s="1"/>
  <c r="AT3752" i="1"/>
  <c r="AX3752" i="1" s="1"/>
  <c r="M3752" i="1"/>
  <c r="U3752" i="1" s="1"/>
  <c r="AT3750" i="1"/>
  <c r="AX3750" i="1" s="1"/>
  <c r="M3750" i="1"/>
  <c r="U3750" i="1" s="1"/>
  <c r="AT3748" i="1"/>
  <c r="AX3748" i="1" s="1"/>
  <c r="M3748" i="1"/>
  <c r="U3748" i="1" s="1"/>
  <c r="AT3746" i="1"/>
  <c r="AX3746" i="1" s="1"/>
  <c r="M3746" i="1"/>
  <c r="U3746" i="1" s="1"/>
  <c r="AT3744" i="1"/>
  <c r="AX3744" i="1" s="1"/>
  <c r="AT3742" i="1"/>
  <c r="AX3742" i="1" s="1"/>
  <c r="AX3740" i="1"/>
  <c r="AT3738" i="1"/>
  <c r="AX3738" i="1" s="1"/>
  <c r="AT3736" i="1"/>
  <c r="AX3736" i="1" s="1"/>
  <c r="AT3734" i="1"/>
  <c r="AX3734" i="1" s="1"/>
  <c r="M3734" i="1"/>
  <c r="U3734" i="1" s="1"/>
  <c r="AT3732" i="1"/>
  <c r="AX3732" i="1" s="1"/>
  <c r="M3732" i="1"/>
  <c r="AT3730" i="1"/>
  <c r="AX3730" i="1" s="1"/>
  <c r="M3730" i="1"/>
  <c r="U3730" i="1" s="1"/>
  <c r="AT3728" i="1"/>
  <c r="AX3728" i="1" s="1"/>
  <c r="M3728" i="1"/>
  <c r="AT3726" i="1"/>
  <c r="AX3726" i="1" s="1"/>
  <c r="M3726" i="1"/>
  <c r="AT3724" i="1"/>
  <c r="AX3724" i="1" s="1"/>
  <c r="M3724" i="1"/>
  <c r="AT3722" i="1"/>
  <c r="AX3722" i="1" s="1"/>
  <c r="M3722" i="1"/>
  <c r="AT3720" i="1"/>
  <c r="AX3720" i="1" s="1"/>
  <c r="M3720" i="1"/>
  <c r="U3720" i="1" s="1"/>
  <c r="AT3718" i="1"/>
  <c r="AX3718" i="1" s="1"/>
  <c r="M3718" i="1"/>
  <c r="AT3716" i="1"/>
  <c r="AX3716" i="1" s="1"/>
  <c r="M3716" i="1"/>
  <c r="AT3714" i="1"/>
  <c r="AX3714" i="1" s="1"/>
  <c r="M3714" i="1"/>
  <c r="U3714" i="1" s="1"/>
  <c r="AT3712" i="1"/>
  <c r="AX3712" i="1" s="1"/>
  <c r="M3712" i="1"/>
  <c r="U3712" i="1" s="1"/>
  <c r="AT3710" i="1"/>
  <c r="AX3710" i="1" s="1"/>
  <c r="M3710" i="1"/>
  <c r="O3674" i="1"/>
  <c r="O3666" i="1"/>
  <c r="O3658" i="1"/>
  <c r="O3654" i="1"/>
  <c r="O3650" i="1"/>
  <c r="O3648" i="1"/>
  <c r="O3644" i="1"/>
  <c r="O3642" i="1"/>
  <c r="O3636" i="1"/>
  <c r="AT3646" i="1"/>
  <c r="AX3646" i="1" s="1"/>
  <c r="M3646" i="1"/>
  <c r="U3646" i="1" s="1"/>
  <c r="AT3644" i="1"/>
  <c r="AX3644" i="1" s="1"/>
  <c r="M3644" i="1"/>
  <c r="AT3642" i="1"/>
  <c r="AX3642" i="1" s="1"/>
  <c r="M3642" i="1"/>
  <c r="AT3640" i="1"/>
  <c r="AX3640" i="1" s="1"/>
  <c r="M3640" i="1"/>
  <c r="U3640" i="1" s="1"/>
  <c r="AT3638" i="1"/>
  <c r="AX3638" i="1" s="1"/>
  <c r="M3638" i="1"/>
  <c r="U3638" i="1" s="1"/>
  <c r="AT3636" i="1"/>
  <c r="AX3636" i="1" s="1"/>
  <c r="M3636" i="1"/>
  <c r="AT3634" i="1"/>
  <c r="AX3634" i="1" s="1"/>
  <c r="M3634" i="1"/>
  <c r="U3634" i="1" s="1"/>
  <c r="O3624" i="1"/>
  <c r="O3622" i="1"/>
  <c r="K3632" i="1"/>
  <c r="M3632" i="1" s="1"/>
  <c r="U3632" i="1" s="1"/>
  <c r="K3630" i="1"/>
  <c r="M3630" i="1" s="1"/>
  <c r="U3630" i="1" s="1"/>
  <c r="K3628" i="1"/>
  <c r="M3628" i="1" s="1"/>
  <c r="U3628" i="1" s="1"/>
  <c r="O3610" i="1"/>
  <c r="O3602" i="1"/>
  <c r="AT3708" i="1"/>
  <c r="AX3708" i="1" s="1"/>
  <c r="M3708" i="1"/>
  <c r="U3708" i="1" s="1"/>
  <c r="AT3706" i="1"/>
  <c r="AX3706" i="1" s="1"/>
  <c r="M3706" i="1"/>
  <c r="AT3698" i="1"/>
  <c r="AX3698" i="1" s="1"/>
  <c r="M3698" i="1"/>
  <c r="U3698" i="1" s="1"/>
  <c r="AT3696" i="1"/>
  <c r="AX3696" i="1" s="1"/>
  <c r="M3696" i="1"/>
  <c r="U3696" i="1" s="1"/>
  <c r="AT3692" i="1"/>
  <c r="AX3692" i="1" s="1"/>
  <c r="M3692" i="1"/>
  <c r="U3692" i="1" s="1"/>
  <c r="AT3690" i="1"/>
  <c r="AX3690" i="1" s="1"/>
  <c r="M3690" i="1"/>
  <c r="U3690" i="1" s="1"/>
  <c r="AT3688" i="1"/>
  <c r="AX3688" i="1" s="1"/>
  <c r="M3688" i="1"/>
  <c r="U3688" i="1" s="1"/>
  <c r="AT3680" i="1"/>
  <c r="AX3680" i="1" s="1"/>
  <c r="M3680" i="1"/>
  <c r="U3680" i="1" s="1"/>
  <c r="AT3678" i="1"/>
  <c r="AX3678" i="1" s="1"/>
  <c r="M3678" i="1"/>
  <c r="U3678" i="1" s="1"/>
  <c r="AT3676" i="1"/>
  <c r="AX3676" i="1" s="1"/>
  <c r="M3676" i="1"/>
  <c r="U3676" i="1" s="1"/>
  <c r="AT3674" i="1"/>
  <c r="AX3674" i="1" s="1"/>
  <c r="M3674" i="1"/>
  <c r="AT3672" i="1"/>
  <c r="AX3672" i="1" s="1"/>
  <c r="M3672" i="1"/>
  <c r="U3672" i="1" s="1"/>
  <c r="AT3670" i="1"/>
  <c r="AX3670" i="1" s="1"/>
  <c r="M3670" i="1"/>
  <c r="U3670" i="1" s="1"/>
  <c r="AT3668" i="1"/>
  <c r="AX3668" i="1" s="1"/>
  <c r="M3668" i="1"/>
  <c r="U3668" i="1" s="1"/>
  <c r="AT3666" i="1"/>
  <c r="AX3666" i="1" s="1"/>
  <c r="M3666" i="1"/>
  <c r="AT3664" i="1"/>
  <c r="AX3664" i="1" s="1"/>
  <c r="M3664" i="1"/>
  <c r="U3664" i="1" s="1"/>
  <c r="AT3662" i="1"/>
  <c r="AX3662" i="1" s="1"/>
  <c r="M3662" i="1"/>
  <c r="U3662" i="1" s="1"/>
  <c r="AT3660" i="1"/>
  <c r="AX3660" i="1" s="1"/>
  <c r="M3660" i="1"/>
  <c r="U3660" i="1" s="1"/>
  <c r="AT3658" i="1"/>
  <c r="AX3658" i="1" s="1"/>
  <c r="M3658" i="1"/>
  <c r="AT3656" i="1"/>
  <c r="AX3656" i="1" s="1"/>
  <c r="M3656" i="1"/>
  <c r="U3656" i="1" s="1"/>
  <c r="AT3654" i="1"/>
  <c r="AX3654" i="1" s="1"/>
  <c r="M3654" i="1"/>
  <c r="AT3652" i="1"/>
  <c r="AX3652" i="1" s="1"/>
  <c r="M3652" i="1"/>
  <c r="U3652" i="1" s="1"/>
  <c r="AT3650" i="1"/>
  <c r="AX3650" i="1" s="1"/>
  <c r="M3650" i="1"/>
  <c r="AT3648" i="1"/>
  <c r="AX3648" i="1" s="1"/>
  <c r="M3648" i="1"/>
  <c r="AT3632" i="1"/>
  <c r="AX3632" i="1" s="1"/>
  <c r="AT3630" i="1"/>
  <c r="AX3630" i="1" s="1"/>
  <c r="AT3628" i="1"/>
  <c r="AX3628" i="1" s="1"/>
  <c r="AT3626" i="1"/>
  <c r="M3626" i="1"/>
  <c r="U3626" i="1" s="1"/>
  <c r="AT3624" i="1"/>
  <c r="AX3624" i="1" s="1"/>
  <c r="M3624" i="1"/>
  <c r="AT3622" i="1"/>
  <c r="AX3622" i="1" s="1"/>
  <c r="M3622" i="1"/>
  <c r="AT3620" i="1"/>
  <c r="AX3620" i="1" s="1"/>
  <c r="M3620" i="1"/>
  <c r="U3620" i="1" s="1"/>
  <c r="AT3618" i="1"/>
  <c r="AX3618" i="1" s="1"/>
  <c r="M3618" i="1"/>
  <c r="U3618" i="1" s="1"/>
  <c r="AT3616" i="1"/>
  <c r="AX3616" i="1" s="1"/>
  <c r="M3616" i="1"/>
  <c r="U3616" i="1" s="1"/>
  <c r="AT3614" i="1"/>
  <c r="AX3614" i="1" s="1"/>
  <c r="M3614" i="1"/>
  <c r="U3614" i="1" s="1"/>
  <c r="AT3612" i="1"/>
  <c r="AX3612" i="1" s="1"/>
  <c r="M3612" i="1"/>
  <c r="U3612" i="1" s="1"/>
  <c r="AT3610" i="1"/>
  <c r="AX3610" i="1" s="1"/>
  <c r="M3610" i="1"/>
  <c r="AT3608" i="1"/>
  <c r="AX3608" i="1" s="1"/>
  <c r="M3608" i="1"/>
  <c r="U3608" i="1" s="1"/>
  <c r="AT3606" i="1"/>
  <c r="AX3606" i="1" s="1"/>
  <c r="M3606" i="1"/>
  <c r="U3606" i="1" s="1"/>
  <c r="AT3604" i="1"/>
  <c r="AX3604" i="1" s="1"/>
  <c r="M3604" i="1"/>
  <c r="U3604" i="1" s="1"/>
  <c r="AT3602" i="1"/>
  <c r="AX3602" i="1" s="1"/>
  <c r="M3602" i="1"/>
  <c r="AT3600" i="1"/>
  <c r="AX3600" i="1" s="1"/>
  <c r="M3600" i="1"/>
  <c r="U3600" i="1" s="1"/>
  <c r="AT3598" i="1"/>
  <c r="AX3598" i="1" s="1"/>
  <c r="M3598" i="1"/>
  <c r="U3598" i="1" s="1"/>
  <c r="O3566" i="1"/>
  <c r="AT3566" i="1"/>
  <c r="AX3566" i="1" s="1"/>
  <c r="M3566" i="1"/>
  <c r="O3564" i="1"/>
  <c r="O3546" i="1"/>
  <c r="AT3532" i="1"/>
  <c r="AX3532" i="1" s="1"/>
  <c r="M3532" i="1"/>
  <c r="U3532" i="1" s="1"/>
  <c r="O3528" i="1"/>
  <c r="O3522" i="1"/>
  <c r="O3516" i="1"/>
  <c r="K3530" i="1"/>
  <c r="M3530" i="1" s="1"/>
  <c r="U3530" i="1" s="1"/>
  <c r="AT3520" i="1"/>
  <c r="AX3520" i="1" s="1"/>
  <c r="M3520" i="1"/>
  <c r="U3520" i="1" s="1"/>
  <c r="AT3522" i="1"/>
  <c r="AX3522" i="1" s="1"/>
  <c r="M3522" i="1"/>
  <c r="AT3596" i="1"/>
  <c r="AX3596" i="1" s="1"/>
  <c r="M3596" i="1"/>
  <c r="U3596" i="1" s="1"/>
  <c r="AT3594" i="1"/>
  <c r="AX3594" i="1" s="1"/>
  <c r="M3594" i="1"/>
  <c r="U3594" i="1" s="1"/>
  <c r="AT3592" i="1"/>
  <c r="AX3592" i="1" s="1"/>
  <c r="M3592" i="1"/>
  <c r="U3592" i="1" s="1"/>
  <c r="AT3590" i="1"/>
  <c r="AX3590" i="1" s="1"/>
  <c r="M3590" i="1"/>
  <c r="U3590" i="1" s="1"/>
  <c r="AT3588" i="1"/>
  <c r="AX3588" i="1" s="1"/>
  <c r="M3588" i="1"/>
  <c r="U3588" i="1" s="1"/>
  <c r="AT3586" i="1"/>
  <c r="AX3586" i="1" s="1"/>
  <c r="M3586" i="1"/>
  <c r="U3586" i="1" s="1"/>
  <c r="AT3584" i="1"/>
  <c r="AX3584" i="1" s="1"/>
  <c r="M3584" i="1"/>
  <c r="U3584" i="1" s="1"/>
  <c r="AT3582" i="1"/>
  <c r="AX3582" i="1" s="1"/>
  <c r="M3582" i="1"/>
  <c r="U3582" i="1" s="1"/>
  <c r="AT3580" i="1"/>
  <c r="AX3580" i="1" s="1"/>
  <c r="M3580" i="1"/>
  <c r="U3580" i="1" s="1"/>
  <c r="AT3578" i="1"/>
  <c r="AX3578" i="1" s="1"/>
  <c r="M3578" i="1"/>
  <c r="U3578" i="1" s="1"/>
  <c r="AT3576" i="1"/>
  <c r="AX3576" i="1" s="1"/>
  <c r="M3576" i="1"/>
  <c r="U3576" i="1" s="1"/>
  <c r="AT3574" i="1"/>
  <c r="AX3574" i="1" s="1"/>
  <c r="U3574" i="1"/>
  <c r="AT3572" i="1"/>
  <c r="AX3572" i="1" s="1"/>
  <c r="M3572" i="1"/>
  <c r="U3572" i="1" s="1"/>
  <c r="AT3570" i="1"/>
  <c r="AX3570" i="1" s="1"/>
  <c r="M3570" i="1"/>
  <c r="U3570" i="1" s="1"/>
  <c r="AT3568" i="1"/>
  <c r="AX3568" i="1" s="1"/>
  <c r="M3568" i="1"/>
  <c r="U3568" i="1" s="1"/>
  <c r="AT3564" i="1"/>
  <c r="AX3564" i="1" s="1"/>
  <c r="M3564" i="1"/>
  <c r="AT3562" i="1"/>
  <c r="AX3562" i="1" s="1"/>
  <c r="M3562" i="1"/>
  <c r="U3562" i="1" s="1"/>
  <c r="AT3560" i="1"/>
  <c r="AX3560" i="1" s="1"/>
  <c r="M3560" i="1"/>
  <c r="U3560" i="1" s="1"/>
  <c r="AT3558" i="1"/>
  <c r="AX3558" i="1" s="1"/>
  <c r="M3558" i="1"/>
  <c r="U3558" i="1" s="1"/>
  <c r="AT3556" i="1"/>
  <c r="AX3556" i="1" s="1"/>
  <c r="M3556" i="1"/>
  <c r="U3556" i="1" s="1"/>
  <c r="AT3554" i="1"/>
  <c r="AX3554" i="1" s="1"/>
  <c r="M3554" i="1"/>
  <c r="U3554" i="1" s="1"/>
  <c r="AT3552" i="1"/>
  <c r="AX3552" i="1" s="1"/>
  <c r="M3552" i="1"/>
  <c r="U3552" i="1" s="1"/>
  <c r="AT3550" i="1"/>
  <c r="AX3550" i="1" s="1"/>
  <c r="M3550" i="1"/>
  <c r="U3550" i="1" s="1"/>
  <c r="AT3548" i="1"/>
  <c r="AX3548" i="1" s="1"/>
  <c r="M3548" i="1"/>
  <c r="U3548" i="1" s="1"/>
  <c r="AT3546" i="1"/>
  <c r="AX3546" i="1" s="1"/>
  <c r="M3546" i="1"/>
  <c r="AT3544" i="1"/>
  <c r="AX3544" i="1" s="1"/>
  <c r="M3544" i="1"/>
  <c r="U3544" i="1" s="1"/>
  <c r="AT3542" i="1"/>
  <c r="AX3542" i="1" s="1"/>
  <c r="M3542" i="1"/>
  <c r="U3542" i="1" s="1"/>
  <c r="O3512" i="1"/>
  <c r="O3510" i="1"/>
  <c r="O3492" i="1"/>
  <c r="O3490" i="1"/>
  <c r="AT3490" i="1"/>
  <c r="AX3490" i="1" s="1"/>
  <c r="M3490" i="1"/>
  <c r="AT3486" i="1"/>
  <c r="AX3486" i="1" s="1"/>
  <c r="M3486" i="1"/>
  <c r="U3486" i="1" s="1"/>
  <c r="AT3496" i="1"/>
  <c r="AX3496" i="1" s="1"/>
  <c r="M3496" i="1"/>
  <c r="U3496" i="1" s="1"/>
  <c r="AT3488" i="1"/>
  <c r="AX3488" i="1" s="1"/>
  <c r="M3488" i="1"/>
  <c r="U3488" i="1" s="1"/>
  <c r="AT3506" i="1"/>
  <c r="AX3506" i="1" s="1"/>
  <c r="M3506" i="1"/>
  <c r="U3506" i="1" s="1"/>
  <c r="AT3504" i="1"/>
  <c r="AX3504" i="1" s="1"/>
  <c r="M3504" i="1"/>
  <c r="U3504" i="1" s="1"/>
  <c r="AT3492" i="1"/>
  <c r="AX3492" i="1" s="1"/>
  <c r="M3492" i="1"/>
  <c r="U3508" i="1"/>
  <c r="O3478" i="1"/>
  <c r="O3476" i="1"/>
  <c r="AT3434" i="1"/>
  <c r="AX3434" i="1" s="1"/>
  <c r="M3434" i="1"/>
  <c r="U3434" i="1" s="1"/>
  <c r="AT3432" i="1"/>
  <c r="AX3432" i="1" s="1"/>
  <c r="M3432" i="1"/>
  <c r="U3432" i="1" s="1"/>
  <c r="K3458" i="1"/>
  <c r="U3458" i="1" s="1"/>
  <c r="AT3540" i="1"/>
  <c r="AX3540" i="1" s="1"/>
  <c r="M3540" i="1"/>
  <c r="U3540" i="1" s="1"/>
  <c r="AT3538" i="1"/>
  <c r="AX3538" i="1" s="1"/>
  <c r="M3538" i="1"/>
  <c r="U3538" i="1" s="1"/>
  <c r="AT3536" i="1"/>
  <c r="AX3536" i="1" s="1"/>
  <c r="M3536" i="1"/>
  <c r="U3536" i="1" s="1"/>
  <c r="AT3534" i="1"/>
  <c r="AX3534" i="1" s="1"/>
  <c r="M3534" i="1"/>
  <c r="U3534" i="1" s="1"/>
  <c r="AT3530" i="1"/>
  <c r="AX3530" i="1" s="1"/>
  <c r="AT3528" i="1"/>
  <c r="AX3528" i="1" s="1"/>
  <c r="M3528" i="1"/>
  <c r="AT3526" i="1"/>
  <c r="AX3526" i="1" s="1"/>
  <c r="M3526" i="1"/>
  <c r="U3526" i="1" s="1"/>
  <c r="AT3524" i="1"/>
  <c r="AX3524" i="1" s="1"/>
  <c r="M3524" i="1"/>
  <c r="U3524" i="1" s="1"/>
  <c r="AT3518" i="1"/>
  <c r="AX3518" i="1" s="1"/>
  <c r="M3518" i="1"/>
  <c r="U3518" i="1" s="1"/>
  <c r="AT3516" i="1"/>
  <c r="AX3516" i="1" s="1"/>
  <c r="M3516" i="1"/>
  <c r="AT3514" i="1"/>
  <c r="AX3514" i="1" s="1"/>
  <c r="M3514" i="1"/>
  <c r="U3514" i="1" s="1"/>
  <c r="AT3512" i="1"/>
  <c r="AX3512" i="1" s="1"/>
  <c r="M3512" i="1"/>
  <c r="AT3510" i="1"/>
  <c r="AX3510" i="1" s="1"/>
  <c r="M3510" i="1"/>
  <c r="AT3508" i="1"/>
  <c r="AX3508" i="1" s="1"/>
  <c r="AT3502" i="1"/>
  <c r="AX3502" i="1" s="1"/>
  <c r="M3502" i="1"/>
  <c r="U3502" i="1" s="1"/>
  <c r="AT3500" i="1"/>
  <c r="AX3500" i="1" s="1"/>
  <c r="M3500" i="1"/>
  <c r="U3500" i="1" s="1"/>
  <c r="AT3498" i="1"/>
  <c r="AX3498" i="1" s="1"/>
  <c r="M3498" i="1"/>
  <c r="U3498" i="1" s="1"/>
  <c r="AT3494" i="1"/>
  <c r="AX3494" i="1" s="1"/>
  <c r="AT3484" i="1"/>
  <c r="AX3484" i="1" s="1"/>
  <c r="M3484" i="1"/>
  <c r="U3484" i="1" s="1"/>
  <c r="AT3482" i="1"/>
  <c r="AX3482" i="1" s="1"/>
  <c r="M3482" i="1"/>
  <c r="U3482" i="1" s="1"/>
  <c r="AT3480" i="1"/>
  <c r="AX3480" i="1" s="1"/>
  <c r="M3480" i="1"/>
  <c r="U3480" i="1" s="1"/>
  <c r="AT3478" i="1"/>
  <c r="AX3478" i="1" s="1"/>
  <c r="M3478" i="1"/>
  <c r="AT3476" i="1"/>
  <c r="AX3476" i="1" s="1"/>
  <c r="M3476" i="1"/>
  <c r="AT3474" i="1"/>
  <c r="AX3474" i="1" s="1"/>
  <c r="M3474" i="1"/>
  <c r="U3474" i="1" s="1"/>
  <c r="AT3472" i="1"/>
  <c r="AX3472" i="1" s="1"/>
  <c r="M3472" i="1"/>
  <c r="U3472" i="1" s="1"/>
  <c r="AT3470" i="1"/>
  <c r="AX3470" i="1" s="1"/>
  <c r="M3470" i="1"/>
  <c r="U3470" i="1" s="1"/>
  <c r="AT3468" i="1"/>
  <c r="AX3468" i="1" s="1"/>
  <c r="M3468" i="1"/>
  <c r="U3468" i="1" s="1"/>
  <c r="AT3466" i="1"/>
  <c r="AX3466" i="1" s="1"/>
  <c r="M3466" i="1"/>
  <c r="U3466" i="1" s="1"/>
  <c r="K3456" i="1"/>
  <c r="M3456" i="1" s="1"/>
  <c r="U3456" i="1" s="1"/>
  <c r="K3454" i="1"/>
  <c r="M3454" i="1" s="1"/>
  <c r="U3454" i="1" s="1"/>
  <c r="K3452" i="1"/>
  <c r="M3452" i="1" s="1"/>
  <c r="U3452" i="1" s="1"/>
  <c r="K3450" i="1"/>
  <c r="M3450" i="1" s="1"/>
  <c r="U3450" i="1" s="1"/>
  <c r="K3448" i="1"/>
  <c r="M3448" i="1" s="1"/>
  <c r="U3448" i="1" s="1"/>
  <c r="O3442" i="1"/>
  <c r="O3436" i="1"/>
  <c r="O3426" i="1"/>
  <c r="O3408" i="1"/>
  <c r="O3406" i="1"/>
  <c r="O3404" i="1"/>
  <c r="AT3406" i="1"/>
  <c r="AX3406" i="1" s="1"/>
  <c r="M3406" i="1"/>
  <c r="AT3404" i="1"/>
  <c r="AX3404" i="1" s="1"/>
  <c r="M3404" i="1"/>
  <c r="AT3408" i="1"/>
  <c r="AX3408" i="1" s="1"/>
  <c r="M3408" i="1"/>
  <c r="O3398" i="1"/>
  <c r="O3394" i="1"/>
  <c r="AT3398" i="1"/>
  <c r="AX3398" i="1" s="1"/>
  <c r="M3398" i="1"/>
  <c r="AT3396" i="1"/>
  <c r="AX3396" i="1" s="1"/>
  <c r="M3396" i="1"/>
  <c r="U3396" i="1" s="1"/>
  <c r="AT3394" i="1"/>
  <c r="AX3394" i="1" s="1"/>
  <c r="M3394" i="1"/>
  <c r="O3388" i="1"/>
  <c r="O3386" i="1"/>
  <c r="O3364" i="1"/>
  <c r="O3360" i="1"/>
  <c r="AT3464" i="1"/>
  <c r="AX3464" i="1" s="1"/>
  <c r="M3464" i="1"/>
  <c r="U3464" i="1" s="1"/>
  <c r="AT3462" i="1"/>
  <c r="AX3462" i="1" s="1"/>
  <c r="M3462" i="1"/>
  <c r="U3462" i="1" s="1"/>
  <c r="AT3460" i="1"/>
  <c r="AX3460" i="1" s="1"/>
  <c r="M3460" i="1"/>
  <c r="U3460" i="1" s="1"/>
  <c r="AT3458" i="1"/>
  <c r="AX3458" i="1" s="1"/>
  <c r="AT3456" i="1"/>
  <c r="AX3456" i="1" s="1"/>
  <c r="AT3454" i="1"/>
  <c r="AX3454" i="1" s="1"/>
  <c r="AT3452" i="1"/>
  <c r="AX3452" i="1" s="1"/>
  <c r="AT3450" i="1"/>
  <c r="AX3450" i="1" s="1"/>
  <c r="AT3448" i="1"/>
  <c r="AX3448" i="1" s="1"/>
  <c r="AT3446" i="1"/>
  <c r="AX3446" i="1" s="1"/>
  <c r="M3446" i="1"/>
  <c r="U3446" i="1" s="1"/>
  <c r="AT3444" i="1"/>
  <c r="AX3444" i="1" s="1"/>
  <c r="M3444" i="1"/>
  <c r="U3444" i="1" s="1"/>
  <c r="AT3442" i="1"/>
  <c r="AX3442" i="1" s="1"/>
  <c r="M3442" i="1"/>
  <c r="AT3440" i="1"/>
  <c r="AX3440" i="1" s="1"/>
  <c r="M3440" i="1"/>
  <c r="U3440" i="1" s="1"/>
  <c r="AT3438" i="1"/>
  <c r="AX3438" i="1" s="1"/>
  <c r="M3438" i="1"/>
  <c r="U3438" i="1" s="1"/>
  <c r="AT3436" i="1"/>
  <c r="AX3436" i="1" s="1"/>
  <c r="M3436" i="1"/>
  <c r="AT3430" i="1"/>
  <c r="AX3430" i="1" s="1"/>
  <c r="M3430" i="1"/>
  <c r="U3430" i="1" s="1"/>
  <c r="AT3428" i="1"/>
  <c r="AX3428" i="1" s="1"/>
  <c r="M3428" i="1"/>
  <c r="U3428" i="1" s="1"/>
  <c r="AT3426" i="1"/>
  <c r="AX3426" i="1" s="1"/>
  <c r="M3426" i="1"/>
  <c r="AT3424" i="1"/>
  <c r="AX3424" i="1" s="1"/>
  <c r="M3424" i="1"/>
  <c r="U3424" i="1" s="1"/>
  <c r="AT3422" i="1"/>
  <c r="AX3422" i="1" s="1"/>
  <c r="M3422" i="1"/>
  <c r="U3422" i="1" s="1"/>
  <c r="AT3420" i="1"/>
  <c r="AX3420" i="1" s="1"/>
  <c r="M3420" i="1"/>
  <c r="U3420" i="1" s="1"/>
  <c r="AT3418" i="1"/>
  <c r="AX3418" i="1" s="1"/>
  <c r="M3418" i="1"/>
  <c r="U3418" i="1" s="1"/>
  <c r="AT3416" i="1"/>
  <c r="AX3416" i="1" s="1"/>
  <c r="M3416" i="1"/>
  <c r="U3416" i="1" s="1"/>
  <c r="AT3414" i="1"/>
  <c r="AX3414" i="1" s="1"/>
  <c r="M3414" i="1"/>
  <c r="U3414" i="1" s="1"/>
  <c r="AT3412" i="1"/>
  <c r="AX3412" i="1" s="1"/>
  <c r="M3412" i="1"/>
  <c r="U3412" i="1" s="1"/>
  <c r="AT3410" i="1"/>
  <c r="AX3410" i="1" s="1"/>
  <c r="M3410" i="1"/>
  <c r="U3410" i="1" s="1"/>
  <c r="AT3402" i="1"/>
  <c r="AX3402" i="1" s="1"/>
  <c r="U3402" i="1"/>
  <c r="AT3400" i="1"/>
  <c r="AX3400" i="1" s="1"/>
  <c r="M3400" i="1"/>
  <c r="U3400" i="1" s="1"/>
  <c r="AT3392" i="1"/>
  <c r="AX3392" i="1" s="1"/>
  <c r="M3392" i="1"/>
  <c r="U3392" i="1" s="1"/>
  <c r="AT3390" i="1"/>
  <c r="AX3390" i="1" s="1"/>
  <c r="M3390" i="1"/>
  <c r="U3390" i="1" s="1"/>
  <c r="AT3388" i="1"/>
  <c r="AX3388" i="1" s="1"/>
  <c r="M3388" i="1"/>
  <c r="AT3386" i="1"/>
  <c r="AX3386" i="1" s="1"/>
  <c r="M3386" i="1"/>
  <c r="AT3384" i="1"/>
  <c r="AX3384" i="1" s="1"/>
  <c r="M3384" i="1"/>
  <c r="U3384" i="1" s="1"/>
  <c r="AT3382" i="1"/>
  <c r="AX3382" i="1" s="1"/>
  <c r="M3382" i="1"/>
  <c r="U3382" i="1" s="1"/>
  <c r="AT3380" i="1"/>
  <c r="AX3380" i="1" s="1"/>
  <c r="M3380" i="1"/>
  <c r="U3380" i="1" s="1"/>
  <c r="AT3340" i="1"/>
  <c r="AX3340" i="1" s="1"/>
  <c r="M3340" i="1"/>
  <c r="U3340" i="1" s="1"/>
  <c r="AT3338" i="1"/>
  <c r="AX3338" i="1" s="1"/>
  <c r="M3338" i="1"/>
  <c r="U3338" i="1" s="1"/>
  <c r="AT3344" i="1"/>
  <c r="AX3344" i="1" s="1"/>
  <c r="M3344" i="1"/>
  <c r="U3344" i="1" s="1"/>
  <c r="AT3352" i="1"/>
  <c r="AX3352" i="1" s="1"/>
  <c r="M3352" i="1"/>
  <c r="U3352" i="1" s="1"/>
  <c r="AT3336" i="1"/>
  <c r="AX3336" i="1" s="1"/>
  <c r="M3336" i="1"/>
  <c r="U3336" i="1" s="1"/>
  <c r="AT3350" i="1"/>
  <c r="AX3350" i="1" s="1"/>
  <c r="M3350" i="1"/>
  <c r="U3350" i="1" s="1"/>
  <c r="AT3348" i="1"/>
  <c r="AX3348" i="1" s="1"/>
  <c r="M3348" i="1"/>
  <c r="U3348" i="1" s="1"/>
  <c r="AT3346" i="1"/>
  <c r="AX3346" i="1" s="1"/>
  <c r="M3346" i="1"/>
  <c r="U3346" i="1" s="1"/>
  <c r="AT3334" i="1"/>
  <c r="AX3334" i="1" s="1"/>
  <c r="M3334" i="1"/>
  <c r="U3334" i="1" s="1"/>
  <c r="AT3332" i="1"/>
  <c r="AX3332" i="1" s="1"/>
  <c r="M3332" i="1"/>
  <c r="U3332" i="1" s="1"/>
  <c r="O3314" i="1"/>
  <c r="O3310" i="1"/>
  <c r="O3308" i="1"/>
  <c r="O3306" i="1"/>
  <c r="AT3298" i="1"/>
  <c r="AX3298" i="1" s="1"/>
  <c r="M3298" i="1"/>
  <c r="U3298" i="1" s="1"/>
  <c r="K3304" i="1"/>
  <c r="K3302" i="1"/>
  <c r="K3300" i="1"/>
  <c r="O3288" i="1"/>
  <c r="O3286" i="1"/>
  <c r="AT3284" i="1"/>
  <c r="AX3284" i="1" s="1"/>
  <c r="M3284" i="1"/>
  <c r="U3284" i="1" s="1"/>
  <c r="O3272" i="1"/>
  <c r="AT3286" i="1"/>
  <c r="AX3286" i="1" s="1"/>
  <c r="M3286" i="1"/>
  <c r="AX3272" i="1"/>
  <c r="M3272" i="1"/>
  <c r="AT3276" i="1"/>
  <c r="AX3276" i="1" s="1"/>
  <c r="M3276" i="1"/>
  <c r="U3276" i="1" s="1"/>
  <c r="K3270" i="1"/>
  <c r="O3258" i="1"/>
  <c r="O3252" i="1"/>
  <c r="O3250" i="1"/>
  <c r="O3248" i="1"/>
  <c r="O3246" i="1"/>
  <c r="O3242" i="1"/>
  <c r="O3240" i="1"/>
  <c r="O3236" i="1"/>
  <c r="U4176" i="1" l="1"/>
  <c r="U4268" i="1"/>
  <c r="U4198" i="1"/>
  <c r="U4264" i="1"/>
  <c r="U4020" i="1"/>
  <c r="U4270" i="1"/>
  <c r="U4188" i="1"/>
  <c r="U4178" i="1"/>
  <c r="U4044" i="1"/>
  <c r="U4206" i="1"/>
  <c r="U4162" i="1"/>
  <c r="U4132" i="1"/>
  <c r="U4160" i="1"/>
  <c r="U4164" i="1"/>
  <c r="U4046" i="1"/>
  <c r="U4120" i="1"/>
  <c r="U4174" i="1"/>
  <c r="U4172" i="1"/>
  <c r="U4156" i="1"/>
  <c r="U4154" i="1"/>
  <c r="U4130" i="1"/>
  <c r="U4084" i="1"/>
  <c r="U4024" i="1"/>
  <c r="U4108" i="1"/>
  <c r="U4100" i="1"/>
  <c r="U4122" i="1"/>
  <c r="U4118" i="1"/>
  <c r="U3932" i="1"/>
  <c r="U4002" i="1"/>
  <c r="U4000" i="1"/>
  <c r="U3996" i="1"/>
  <c r="U3860" i="1"/>
  <c r="U3920" i="1"/>
  <c r="U3874" i="1"/>
  <c r="U3942" i="1"/>
  <c r="U3938" i="1"/>
  <c r="U3922" i="1"/>
  <c r="U3872" i="1"/>
  <c r="U3918" i="1"/>
  <c r="U3796" i="1"/>
  <c r="U3892" i="1"/>
  <c r="U3886" i="1"/>
  <c r="U3882" i="1"/>
  <c r="U3880" i="1"/>
  <c r="U3808" i="1"/>
  <c r="U3718" i="1"/>
  <c r="U3794" i="1"/>
  <c r="U3786" i="1"/>
  <c r="U3732" i="1"/>
  <c r="U3728" i="1"/>
  <c r="U3726" i="1"/>
  <c r="U3724" i="1"/>
  <c r="U3722" i="1"/>
  <c r="U3716" i="1"/>
  <c r="U3710" i="1"/>
  <c r="U3706" i="1"/>
  <c r="U3624" i="1"/>
  <c r="U3566" i="1"/>
  <c r="U3622" i="1"/>
  <c r="U3642" i="1"/>
  <c r="U3516" i="1"/>
  <c r="U3674" i="1"/>
  <c r="U3648" i="1"/>
  <c r="U3636" i="1"/>
  <c r="U3666" i="1"/>
  <c r="U3658" i="1"/>
  <c r="U3654" i="1"/>
  <c r="U3650" i="1"/>
  <c r="U3644" i="1"/>
  <c r="U3610" i="1"/>
  <c r="U3602" i="1"/>
  <c r="U3564" i="1"/>
  <c r="U3546" i="1"/>
  <c r="U3510" i="1"/>
  <c r="U3528" i="1"/>
  <c r="U3522" i="1"/>
  <c r="U3492" i="1"/>
  <c r="U3490" i="1"/>
  <c r="U3512" i="1"/>
  <c r="U3478" i="1"/>
  <c r="U3476" i="1"/>
  <c r="U3426" i="1"/>
  <c r="U3386" i="1"/>
  <c r="U3442" i="1"/>
  <c r="U3436" i="1"/>
  <c r="U3404" i="1"/>
  <c r="U3408" i="1"/>
  <c r="U3406" i="1"/>
  <c r="U3398" i="1"/>
  <c r="U3394" i="1"/>
  <c r="U3388" i="1"/>
  <c r="U3272" i="1"/>
  <c r="U3286" i="1"/>
  <c r="O3214" i="1"/>
  <c r="AT3214" i="1"/>
  <c r="AX3214" i="1" s="1"/>
  <c r="M3214" i="1"/>
  <c r="O3204" i="1"/>
  <c r="O3202" i="1"/>
  <c r="AT3208" i="1"/>
  <c r="AX3208" i="1" s="1"/>
  <c r="M3208" i="1"/>
  <c r="U3208" i="1" s="1"/>
  <c r="AT3206" i="1"/>
  <c r="AX3206" i="1" s="1"/>
  <c r="M3206" i="1"/>
  <c r="U3206" i="1" s="1"/>
  <c r="AT3204" i="1"/>
  <c r="AX3204" i="1" s="1"/>
  <c r="M3204" i="1"/>
  <c r="AT3202" i="1"/>
  <c r="AX3202" i="1" s="1"/>
  <c r="M3202" i="1"/>
  <c r="AT3212" i="1"/>
  <c r="AX3212" i="1" s="1"/>
  <c r="M3212" i="1"/>
  <c r="U3212" i="1" s="1"/>
  <c r="AT3210" i="1"/>
  <c r="AX3210" i="1" s="1"/>
  <c r="M3210" i="1"/>
  <c r="U3210" i="1" s="1"/>
  <c r="O3200" i="1"/>
  <c r="O3198" i="1"/>
  <c r="K3184" i="1"/>
  <c r="M3184" i="1" s="1"/>
  <c r="U3184" i="1" s="1"/>
  <c r="AT3378" i="1"/>
  <c r="AX3378" i="1" s="1"/>
  <c r="M3378" i="1"/>
  <c r="U3378" i="1" s="1"/>
  <c r="AT3376" i="1"/>
  <c r="AX3376" i="1" s="1"/>
  <c r="M3376" i="1"/>
  <c r="U3376" i="1" s="1"/>
  <c r="AT3374" i="1"/>
  <c r="AX3374" i="1" s="1"/>
  <c r="M3374" i="1"/>
  <c r="U3374" i="1" s="1"/>
  <c r="AT3372" i="1"/>
  <c r="AX3372" i="1" s="1"/>
  <c r="M3372" i="1"/>
  <c r="U3372" i="1" s="1"/>
  <c r="AT3370" i="1"/>
  <c r="AX3370" i="1" s="1"/>
  <c r="M3370" i="1"/>
  <c r="U3370" i="1" s="1"/>
  <c r="AT3368" i="1"/>
  <c r="AX3368" i="1" s="1"/>
  <c r="M3368" i="1"/>
  <c r="U3368" i="1" s="1"/>
  <c r="AT3366" i="1"/>
  <c r="AX3366" i="1" s="1"/>
  <c r="M3366" i="1"/>
  <c r="U3366" i="1" s="1"/>
  <c r="AT3364" i="1"/>
  <c r="AX3364" i="1" s="1"/>
  <c r="M3364" i="1"/>
  <c r="U3364" i="1" s="1"/>
  <c r="AT3362" i="1"/>
  <c r="AX3362" i="1" s="1"/>
  <c r="M3362" i="1"/>
  <c r="U3362" i="1" s="1"/>
  <c r="AT3360" i="1"/>
  <c r="AX3360" i="1" s="1"/>
  <c r="M3360" i="1"/>
  <c r="U3360" i="1" s="1"/>
  <c r="AT3358" i="1"/>
  <c r="AX3358" i="1" s="1"/>
  <c r="M3358" i="1"/>
  <c r="U3358" i="1" s="1"/>
  <c r="AT3356" i="1"/>
  <c r="AX3356" i="1" s="1"/>
  <c r="M3356" i="1"/>
  <c r="U3356" i="1" s="1"/>
  <c r="AT3354" i="1"/>
  <c r="AX3354" i="1" s="1"/>
  <c r="M3354" i="1"/>
  <c r="U3354" i="1" s="1"/>
  <c r="AT3342" i="1"/>
  <c r="AX3342" i="1" s="1"/>
  <c r="M3342" i="1"/>
  <c r="U3342" i="1" s="1"/>
  <c r="AT3330" i="1"/>
  <c r="AX3330" i="1" s="1"/>
  <c r="M3330" i="1"/>
  <c r="U3330" i="1" s="1"/>
  <c r="AT3328" i="1"/>
  <c r="AX3328" i="1" s="1"/>
  <c r="M3328" i="1"/>
  <c r="U3328" i="1" s="1"/>
  <c r="AT3326" i="1"/>
  <c r="AX3326" i="1" s="1"/>
  <c r="M3326" i="1"/>
  <c r="U3326" i="1" s="1"/>
  <c r="AT3324" i="1"/>
  <c r="AX3324" i="1" s="1"/>
  <c r="M3324" i="1"/>
  <c r="U3324" i="1" s="1"/>
  <c r="AT3322" i="1"/>
  <c r="AX3322" i="1" s="1"/>
  <c r="M3322" i="1"/>
  <c r="U3322" i="1" s="1"/>
  <c r="AT3320" i="1"/>
  <c r="AX3320" i="1" s="1"/>
  <c r="M3320" i="1"/>
  <c r="U3320" i="1" s="1"/>
  <c r="AT3318" i="1"/>
  <c r="AX3318" i="1" s="1"/>
  <c r="M3318" i="1"/>
  <c r="U3318" i="1" s="1"/>
  <c r="AT3316" i="1"/>
  <c r="AX3316" i="1" s="1"/>
  <c r="M3316" i="1"/>
  <c r="U3316" i="1" s="1"/>
  <c r="AT3314" i="1"/>
  <c r="AX3314" i="1" s="1"/>
  <c r="M3314" i="1"/>
  <c r="U3314" i="1" s="1"/>
  <c r="AT3312" i="1"/>
  <c r="AX3312" i="1" s="1"/>
  <c r="M3312" i="1"/>
  <c r="U3312" i="1" s="1"/>
  <c r="AT3310" i="1"/>
  <c r="AX3310" i="1" s="1"/>
  <c r="M3310" i="1"/>
  <c r="U3310" i="1" s="1"/>
  <c r="AT3308" i="1"/>
  <c r="AX3308" i="1" s="1"/>
  <c r="M3308" i="1"/>
  <c r="U3308" i="1" s="1"/>
  <c r="AT3306" i="1"/>
  <c r="AX3306" i="1" s="1"/>
  <c r="M3306" i="1"/>
  <c r="U3306" i="1" s="1"/>
  <c r="AT3304" i="1"/>
  <c r="AX3304" i="1" s="1"/>
  <c r="M3304" i="1"/>
  <c r="U3304" i="1" s="1"/>
  <c r="AT3302" i="1"/>
  <c r="AX3302" i="1" s="1"/>
  <c r="M3302" i="1"/>
  <c r="U3302" i="1" s="1"/>
  <c r="AT3300" i="1"/>
  <c r="AX3300" i="1" s="1"/>
  <c r="M3300" i="1"/>
  <c r="U3300" i="1" s="1"/>
  <c r="AT3296" i="1"/>
  <c r="AX3296" i="1" s="1"/>
  <c r="M3296" i="1"/>
  <c r="U3296" i="1" s="1"/>
  <c r="AT3294" i="1"/>
  <c r="AX3294" i="1" s="1"/>
  <c r="M3294" i="1"/>
  <c r="U3294" i="1" s="1"/>
  <c r="AT3292" i="1"/>
  <c r="AX3292" i="1" s="1"/>
  <c r="M3292" i="1"/>
  <c r="U3292" i="1" s="1"/>
  <c r="AT3290" i="1"/>
  <c r="AX3290" i="1" s="1"/>
  <c r="M3290" i="1"/>
  <c r="U3290" i="1" s="1"/>
  <c r="AT3288" i="1"/>
  <c r="AX3288" i="1" s="1"/>
  <c r="M3288" i="1"/>
  <c r="U3288" i="1" s="1"/>
  <c r="AT3282" i="1"/>
  <c r="AX3282" i="1" s="1"/>
  <c r="M3282" i="1"/>
  <c r="U3282" i="1" s="1"/>
  <c r="AT3280" i="1"/>
  <c r="AX3280" i="1" s="1"/>
  <c r="M3280" i="1"/>
  <c r="U3280" i="1" s="1"/>
  <c r="AT3278" i="1"/>
  <c r="AX3278" i="1" s="1"/>
  <c r="M3278" i="1"/>
  <c r="U3278" i="1" s="1"/>
  <c r="AT3274" i="1"/>
  <c r="AX3274" i="1" s="1"/>
  <c r="M3274" i="1"/>
  <c r="U3274" i="1" s="1"/>
  <c r="AT3270" i="1"/>
  <c r="AX3270" i="1" s="1"/>
  <c r="M3270" i="1"/>
  <c r="U3270" i="1" s="1"/>
  <c r="AT3268" i="1"/>
  <c r="AX3268" i="1" s="1"/>
  <c r="M3268" i="1"/>
  <c r="U3268" i="1" s="1"/>
  <c r="AT3266" i="1"/>
  <c r="AX3266" i="1" s="1"/>
  <c r="M3266" i="1"/>
  <c r="U3266" i="1" s="1"/>
  <c r="AT3264" i="1"/>
  <c r="AX3264" i="1" s="1"/>
  <c r="M3264" i="1"/>
  <c r="U3264" i="1" s="1"/>
  <c r="AT3262" i="1"/>
  <c r="AX3262" i="1" s="1"/>
  <c r="M3262" i="1"/>
  <c r="U3262" i="1" s="1"/>
  <c r="AT3260" i="1"/>
  <c r="AX3260" i="1" s="1"/>
  <c r="M3260" i="1"/>
  <c r="U3260" i="1" s="1"/>
  <c r="AT3258" i="1"/>
  <c r="AX3258" i="1" s="1"/>
  <c r="M3258" i="1"/>
  <c r="U3258" i="1" s="1"/>
  <c r="AT3256" i="1"/>
  <c r="AX3256" i="1" s="1"/>
  <c r="M3256" i="1"/>
  <c r="U3256" i="1" s="1"/>
  <c r="AT3254" i="1"/>
  <c r="AX3254" i="1" s="1"/>
  <c r="M3254" i="1"/>
  <c r="U3254" i="1" s="1"/>
  <c r="AT3252" i="1"/>
  <c r="AX3252" i="1" s="1"/>
  <c r="M3252" i="1"/>
  <c r="U3252" i="1" s="1"/>
  <c r="AT3250" i="1"/>
  <c r="AX3250" i="1" s="1"/>
  <c r="M3250" i="1"/>
  <c r="U3250" i="1" s="1"/>
  <c r="AT3248" i="1"/>
  <c r="AX3248" i="1" s="1"/>
  <c r="M3248" i="1"/>
  <c r="U3248" i="1" s="1"/>
  <c r="AT3246" i="1"/>
  <c r="AX3246" i="1" s="1"/>
  <c r="M3246" i="1"/>
  <c r="U3246" i="1" s="1"/>
  <c r="AT3244" i="1"/>
  <c r="AX3244" i="1" s="1"/>
  <c r="M3244" i="1"/>
  <c r="U3244" i="1" s="1"/>
  <c r="AT3242" i="1"/>
  <c r="AX3242" i="1" s="1"/>
  <c r="M3242" i="1"/>
  <c r="U3242" i="1" s="1"/>
  <c r="AT3240" i="1"/>
  <c r="AX3240" i="1" s="1"/>
  <c r="M3240" i="1"/>
  <c r="U3240" i="1" s="1"/>
  <c r="AT3238" i="1"/>
  <c r="AX3238" i="1" s="1"/>
  <c r="M3238" i="1"/>
  <c r="U3238" i="1" s="1"/>
  <c r="AT3236" i="1"/>
  <c r="AX3236" i="1" s="1"/>
  <c r="M3236" i="1"/>
  <c r="U3236" i="1" s="1"/>
  <c r="AT3234" i="1"/>
  <c r="AX3234" i="1" s="1"/>
  <c r="M3234" i="1"/>
  <c r="U3234" i="1" s="1"/>
  <c r="AT3232" i="1"/>
  <c r="AX3232" i="1" s="1"/>
  <c r="M3232" i="1"/>
  <c r="U3232" i="1" s="1"/>
  <c r="AT3230" i="1"/>
  <c r="AX3230" i="1" s="1"/>
  <c r="M3230" i="1"/>
  <c r="U3230" i="1" s="1"/>
  <c r="AT3228" i="1"/>
  <c r="AX3228" i="1" s="1"/>
  <c r="M3228" i="1"/>
  <c r="U3228" i="1" s="1"/>
  <c r="AT3226" i="1"/>
  <c r="AX3226" i="1" s="1"/>
  <c r="M3226" i="1"/>
  <c r="U3226" i="1" s="1"/>
  <c r="AT3224" i="1"/>
  <c r="AX3224" i="1" s="1"/>
  <c r="M3224" i="1"/>
  <c r="U3224" i="1" s="1"/>
  <c r="AT3222" i="1"/>
  <c r="AX3222" i="1" s="1"/>
  <c r="M3222" i="1"/>
  <c r="U3222" i="1" s="1"/>
  <c r="AT3220" i="1"/>
  <c r="AX3220" i="1" s="1"/>
  <c r="M3220" i="1"/>
  <c r="U3220" i="1" s="1"/>
  <c r="AT3218" i="1"/>
  <c r="AX3218" i="1" s="1"/>
  <c r="M3218" i="1"/>
  <c r="U3218" i="1" s="1"/>
  <c r="AT3216" i="1"/>
  <c r="AX3216" i="1" s="1"/>
  <c r="M3216" i="1"/>
  <c r="U3216" i="1" s="1"/>
  <c r="AT3200" i="1"/>
  <c r="AX3200" i="1" s="1"/>
  <c r="M3200" i="1"/>
  <c r="AT3198" i="1"/>
  <c r="AX3198" i="1" s="1"/>
  <c r="M3198" i="1"/>
  <c r="AT3196" i="1"/>
  <c r="AX3196" i="1" s="1"/>
  <c r="M3196" i="1"/>
  <c r="U3196" i="1" s="1"/>
  <c r="AT3194" i="1"/>
  <c r="AX3194" i="1" s="1"/>
  <c r="M3194" i="1"/>
  <c r="U3194" i="1" s="1"/>
  <c r="AT3192" i="1"/>
  <c r="AX3192" i="1" s="1"/>
  <c r="M3192" i="1"/>
  <c r="U3192" i="1" s="1"/>
  <c r="AT3190" i="1"/>
  <c r="AX3190" i="1" s="1"/>
  <c r="M3190" i="1"/>
  <c r="U3190" i="1" s="1"/>
  <c r="AT3188" i="1"/>
  <c r="AX3188" i="1" s="1"/>
  <c r="M3188" i="1"/>
  <c r="U3188" i="1" s="1"/>
  <c r="AT3186" i="1"/>
  <c r="AX3186" i="1" s="1"/>
  <c r="M3186" i="1"/>
  <c r="U3186" i="1" s="1"/>
  <c r="AT3164" i="1"/>
  <c r="AX3164" i="1" s="1"/>
  <c r="M3164" i="1"/>
  <c r="U3164" i="1" s="1"/>
  <c r="AT3150" i="1"/>
  <c r="AX3150" i="1" s="1"/>
  <c r="M3150" i="1"/>
  <c r="U3150" i="1" s="1"/>
  <c r="AT3168" i="1"/>
  <c r="AX3168" i="1" s="1"/>
  <c r="M3168" i="1"/>
  <c r="U3168" i="1" s="1"/>
  <c r="AT3162" i="1"/>
  <c r="AX3162" i="1" s="1"/>
  <c r="M3162" i="1"/>
  <c r="U3162" i="1" s="1"/>
  <c r="AT3166" i="1"/>
  <c r="AX3166" i="1" s="1"/>
  <c r="M3166" i="1"/>
  <c r="U3166" i="1" s="1"/>
  <c r="AT3156" i="1"/>
  <c r="AX3156" i="1" s="1"/>
  <c r="M3156" i="1"/>
  <c r="U3156" i="1" s="1"/>
  <c r="K3148" i="1"/>
  <c r="M3148" i="1" s="1"/>
  <c r="U3148" i="1" s="1"/>
  <c r="K3146" i="1"/>
  <c r="M3146" i="1" s="1"/>
  <c r="U3146" i="1" s="1"/>
  <c r="K3144" i="1"/>
  <c r="M3144" i="1" s="1"/>
  <c r="U3144" i="1" s="1"/>
  <c r="K3142" i="1"/>
  <c r="M3142" i="1" s="1"/>
  <c r="U3142" i="1" s="1"/>
  <c r="O3138" i="1"/>
  <c r="O3132" i="1"/>
  <c r="O3128" i="1"/>
  <c r="O3126" i="1"/>
  <c r="O3120" i="1"/>
  <c r="AT3184" i="1"/>
  <c r="AX3184" i="1" s="1"/>
  <c r="AT3182" i="1"/>
  <c r="AX3182" i="1" s="1"/>
  <c r="M3182" i="1"/>
  <c r="U3182" i="1" s="1"/>
  <c r="AT3180" i="1"/>
  <c r="AX3180" i="1" s="1"/>
  <c r="M3180" i="1"/>
  <c r="U3180" i="1" s="1"/>
  <c r="AT3178" i="1"/>
  <c r="AX3178" i="1" s="1"/>
  <c r="M3178" i="1"/>
  <c r="U3178" i="1" s="1"/>
  <c r="AT3176" i="1"/>
  <c r="AX3176" i="1" s="1"/>
  <c r="M3176" i="1"/>
  <c r="U3176" i="1" s="1"/>
  <c r="AT3174" i="1"/>
  <c r="AX3174" i="1" s="1"/>
  <c r="M3174" i="1"/>
  <c r="U3174" i="1" s="1"/>
  <c r="AT3172" i="1"/>
  <c r="AX3172" i="1" s="1"/>
  <c r="M3172" i="1"/>
  <c r="U3172" i="1" s="1"/>
  <c r="AT3170" i="1"/>
  <c r="AX3170" i="1" s="1"/>
  <c r="M3170" i="1"/>
  <c r="U3170" i="1" s="1"/>
  <c r="AT3160" i="1"/>
  <c r="AX3160" i="1" s="1"/>
  <c r="M3160" i="1"/>
  <c r="U3160" i="1" s="1"/>
  <c r="AT3158" i="1"/>
  <c r="AX3158" i="1" s="1"/>
  <c r="M3158" i="1"/>
  <c r="U3158" i="1" s="1"/>
  <c r="AT3154" i="1"/>
  <c r="AX3154" i="1" s="1"/>
  <c r="M3154" i="1"/>
  <c r="U3154" i="1" s="1"/>
  <c r="AT3152" i="1"/>
  <c r="AX3152" i="1" s="1"/>
  <c r="M3152" i="1"/>
  <c r="U3152" i="1" s="1"/>
  <c r="AT3148" i="1"/>
  <c r="AX3148" i="1" s="1"/>
  <c r="AT3146" i="1"/>
  <c r="AX3146" i="1" s="1"/>
  <c r="AT3144" i="1"/>
  <c r="AX3144" i="1" s="1"/>
  <c r="AT3142" i="1"/>
  <c r="AX3142" i="1" s="1"/>
  <c r="AT3140" i="1"/>
  <c r="AX3140" i="1" s="1"/>
  <c r="M3140" i="1"/>
  <c r="U3140" i="1" s="1"/>
  <c r="AT3138" i="1"/>
  <c r="AX3138" i="1" s="1"/>
  <c r="M3138" i="1"/>
  <c r="AT3136" i="1"/>
  <c r="AX3136" i="1" s="1"/>
  <c r="M3136" i="1"/>
  <c r="U3136" i="1" s="1"/>
  <c r="O3112" i="1"/>
  <c r="O3102" i="1"/>
  <c r="O3092" i="1"/>
  <c r="AT3134" i="1"/>
  <c r="AX3134" i="1" s="1"/>
  <c r="M3134" i="1"/>
  <c r="U3134" i="1" s="1"/>
  <c r="AT3132" i="1"/>
  <c r="AX3132" i="1" s="1"/>
  <c r="M3132" i="1"/>
  <c r="AT3130" i="1"/>
  <c r="AX3130" i="1" s="1"/>
  <c r="M3130" i="1"/>
  <c r="U3130" i="1" s="1"/>
  <c r="AT3128" i="1"/>
  <c r="AX3128" i="1" s="1"/>
  <c r="M3128" i="1"/>
  <c r="AT3126" i="1"/>
  <c r="AX3126" i="1" s="1"/>
  <c r="M3126" i="1"/>
  <c r="AT3124" i="1"/>
  <c r="AX3124" i="1" s="1"/>
  <c r="M3124" i="1"/>
  <c r="U3124" i="1" s="1"/>
  <c r="AT3122" i="1"/>
  <c r="AX3122" i="1" s="1"/>
  <c r="M3122" i="1"/>
  <c r="U3122" i="1" s="1"/>
  <c r="AT3120" i="1"/>
  <c r="AX3120" i="1" s="1"/>
  <c r="M3120" i="1"/>
  <c r="AT3118" i="1"/>
  <c r="AX3118" i="1" s="1"/>
  <c r="M3118" i="1"/>
  <c r="U3118" i="1" s="1"/>
  <c r="AT3116" i="1"/>
  <c r="AX3116" i="1" s="1"/>
  <c r="M3116" i="1"/>
  <c r="U3116" i="1" s="1"/>
  <c r="AT3114" i="1"/>
  <c r="AX3114" i="1" s="1"/>
  <c r="M3114" i="1"/>
  <c r="U3114" i="1" s="1"/>
  <c r="AT3112" i="1"/>
  <c r="AX3112" i="1" s="1"/>
  <c r="M3112" i="1"/>
  <c r="AT3110" i="1"/>
  <c r="AX3110" i="1" s="1"/>
  <c r="M3110" i="1"/>
  <c r="U3110" i="1" s="1"/>
  <c r="AT3108" i="1"/>
  <c r="AX3108" i="1" s="1"/>
  <c r="M3108" i="1"/>
  <c r="U3108" i="1" s="1"/>
  <c r="AT3106" i="1"/>
  <c r="AX3106" i="1" s="1"/>
  <c r="M3106" i="1"/>
  <c r="U3106" i="1" s="1"/>
  <c r="AT3104" i="1"/>
  <c r="AX3104" i="1" s="1"/>
  <c r="M3104" i="1"/>
  <c r="U3104" i="1" s="1"/>
  <c r="AT3102" i="1"/>
  <c r="AX3102" i="1" s="1"/>
  <c r="M3102" i="1"/>
  <c r="O3080" i="1"/>
  <c r="O3072" i="1"/>
  <c r="O3070" i="1"/>
  <c r="U3214" i="1" l="1"/>
  <c r="U3202" i="1"/>
  <c r="U3200" i="1"/>
  <c r="U3204" i="1"/>
  <c r="U3120" i="1"/>
  <c r="U3198" i="1"/>
  <c r="U3128" i="1"/>
  <c r="U3126" i="1"/>
  <c r="U3132" i="1"/>
  <c r="U3138" i="1"/>
  <c r="U3102" i="1"/>
  <c r="U3112" i="1"/>
  <c r="O3066" i="1"/>
  <c r="O3064" i="1"/>
  <c r="O3062" i="1"/>
  <c r="O3058" i="1"/>
  <c r="AT3068" i="1"/>
  <c r="AX3068" i="1" s="1"/>
  <c r="M3068" i="1"/>
  <c r="U3068" i="1" s="1"/>
  <c r="AT3066" i="1"/>
  <c r="AX3066" i="1" s="1"/>
  <c r="M3066" i="1"/>
  <c r="AT3064" i="1"/>
  <c r="AX3064" i="1" s="1"/>
  <c r="M3064" i="1"/>
  <c r="AT3062" i="1"/>
  <c r="AX3062" i="1" s="1"/>
  <c r="M3062" i="1"/>
  <c r="AT3060" i="1"/>
  <c r="AX3060" i="1" s="1"/>
  <c r="M3060" i="1"/>
  <c r="U3060" i="1" s="1"/>
  <c r="AT3058" i="1"/>
  <c r="AX3058" i="1" s="1"/>
  <c r="M3058" i="1"/>
  <c r="O3056" i="1"/>
  <c r="O3054" i="1"/>
  <c r="AT3038" i="1"/>
  <c r="AX3038" i="1" s="1"/>
  <c r="U3038" i="1"/>
  <c r="U3064" i="1" l="1"/>
  <c r="U3058" i="1"/>
  <c r="U3066" i="1"/>
  <c r="U3062" i="1"/>
  <c r="O3036" i="1"/>
  <c r="AT3036" i="1"/>
  <c r="AX3036" i="1" s="1"/>
  <c r="M3036" i="1"/>
  <c r="AT3034" i="1"/>
  <c r="AX3034" i="1" s="1"/>
  <c r="M3034" i="1"/>
  <c r="U3034" i="1" s="1"/>
  <c r="AT3032" i="1"/>
  <c r="AX3032" i="1" s="1"/>
  <c r="M3032" i="1"/>
  <c r="U3032" i="1" s="1"/>
  <c r="AT3024" i="1"/>
  <c r="AX3024" i="1" s="1"/>
  <c r="M3024" i="1"/>
  <c r="U3024" i="1" s="1"/>
  <c r="AT3022" i="1"/>
  <c r="AX3022" i="1" s="1"/>
  <c r="M3022" i="1"/>
  <c r="U3022" i="1" s="1"/>
  <c r="AT3020" i="1"/>
  <c r="AX3020" i="1" s="1"/>
  <c r="M3020" i="1"/>
  <c r="U3020" i="1" s="1"/>
  <c r="M3042" i="1"/>
  <c r="U3042" i="1" s="1"/>
  <c r="AT3042" i="1"/>
  <c r="AX3042" i="1" s="1"/>
  <c r="AT3018" i="1"/>
  <c r="AX3018" i="1" s="1"/>
  <c r="M3018" i="1"/>
  <c r="U3018" i="1" s="1"/>
  <c r="AT3016" i="1"/>
  <c r="AX3016" i="1" s="1"/>
  <c r="M3016" i="1"/>
  <c r="U3016" i="1" s="1"/>
  <c r="AT3014" i="1"/>
  <c r="AX3014" i="1" s="1"/>
  <c r="M3014" i="1"/>
  <c r="U3014" i="1" s="1"/>
  <c r="AT3012" i="1"/>
  <c r="AX3012" i="1" s="1"/>
  <c r="M3012" i="1"/>
  <c r="U3012" i="1" s="1"/>
  <c r="AT3010" i="1"/>
  <c r="AX3010" i="1" s="1"/>
  <c r="M3010" i="1"/>
  <c r="U3010" i="1" s="1"/>
  <c r="AT3008" i="1"/>
  <c r="AX3008" i="1" s="1"/>
  <c r="M3008" i="1"/>
  <c r="U3008" i="1" s="1"/>
  <c r="AT3006" i="1"/>
  <c r="AX3006" i="1" s="1"/>
  <c r="M3006" i="1"/>
  <c r="U3006" i="1" s="1"/>
  <c r="AT3004" i="1"/>
  <c r="AX3004" i="1" s="1"/>
  <c r="M3004" i="1"/>
  <c r="U3004" i="1" s="1"/>
  <c r="AT3002" i="1"/>
  <c r="AX3002" i="1" s="1"/>
  <c r="M3002" i="1"/>
  <c r="U3002" i="1" s="1"/>
  <c r="AT3000" i="1"/>
  <c r="AX3000" i="1" s="1"/>
  <c r="M3000" i="1"/>
  <c r="U3000" i="1" s="1"/>
  <c r="AT2998" i="1"/>
  <c r="AX2998" i="1" s="1"/>
  <c r="M2998" i="1"/>
  <c r="U2998" i="1" s="1"/>
  <c r="AT2996" i="1"/>
  <c r="AX2996" i="1" s="1"/>
  <c r="M2996" i="1"/>
  <c r="U2996" i="1" s="1"/>
  <c r="AT2994" i="1"/>
  <c r="AX2994" i="1" s="1"/>
  <c r="M2994" i="1"/>
  <c r="U2994" i="1" s="1"/>
  <c r="AT2992" i="1"/>
  <c r="AX2992" i="1" s="1"/>
  <c r="M2992" i="1"/>
  <c r="U2992" i="1" s="1"/>
  <c r="AT2990" i="1"/>
  <c r="AX2990" i="1" s="1"/>
  <c r="M2990" i="1"/>
  <c r="U2990" i="1" s="1"/>
  <c r="AT2988" i="1"/>
  <c r="AX2988" i="1" s="1"/>
  <c r="M2988" i="1"/>
  <c r="U2988" i="1" s="1"/>
  <c r="AT2986" i="1"/>
  <c r="AX2986" i="1" s="1"/>
  <c r="M2986" i="1"/>
  <c r="U2986" i="1" s="1"/>
  <c r="AT2984" i="1"/>
  <c r="AX2984" i="1" s="1"/>
  <c r="M2984" i="1"/>
  <c r="U2984" i="1" s="1"/>
  <c r="AT2982" i="1"/>
  <c r="AX2982" i="1" s="1"/>
  <c r="M2982" i="1"/>
  <c r="U2982" i="1" s="1"/>
  <c r="AT2980" i="1"/>
  <c r="AX2980" i="1" s="1"/>
  <c r="M2980" i="1"/>
  <c r="U2980" i="1" s="1"/>
  <c r="O3026" i="1"/>
  <c r="U3036" i="1" l="1"/>
  <c r="AT2962" i="1"/>
  <c r="AX2962" i="1" s="1"/>
  <c r="M2962" i="1"/>
  <c r="U2962" i="1" s="1"/>
  <c r="AT2976" i="1"/>
  <c r="AX2976" i="1" s="1"/>
  <c r="M2976" i="1"/>
  <c r="U2976" i="1" s="1"/>
  <c r="AT2966" i="1"/>
  <c r="AX2966" i="1" s="1"/>
  <c r="M2966" i="1"/>
  <c r="U2966" i="1" s="1"/>
  <c r="AT2964" i="1"/>
  <c r="AX2964" i="1" s="1"/>
  <c r="M2964" i="1"/>
  <c r="U2964" i="1" s="1"/>
  <c r="AT3100" i="1"/>
  <c r="AX3100" i="1" s="1"/>
  <c r="M3100" i="1"/>
  <c r="U3100" i="1" s="1"/>
  <c r="AT3098" i="1"/>
  <c r="AX3098" i="1" s="1"/>
  <c r="M3098" i="1"/>
  <c r="U3098" i="1" s="1"/>
  <c r="AT3096" i="1"/>
  <c r="AX3096" i="1" s="1"/>
  <c r="M3096" i="1"/>
  <c r="U3096" i="1" s="1"/>
  <c r="AT3094" i="1"/>
  <c r="AX3094" i="1" s="1"/>
  <c r="M3094" i="1"/>
  <c r="U3094" i="1" s="1"/>
  <c r="AT3092" i="1"/>
  <c r="AX3092" i="1" s="1"/>
  <c r="M3092" i="1"/>
  <c r="U3092" i="1" s="1"/>
  <c r="AT3090" i="1"/>
  <c r="AX3090" i="1" s="1"/>
  <c r="M3090" i="1"/>
  <c r="U3090" i="1" s="1"/>
  <c r="AT3088" i="1"/>
  <c r="AX3088" i="1" s="1"/>
  <c r="M3088" i="1"/>
  <c r="U3088" i="1" s="1"/>
  <c r="AT3086" i="1"/>
  <c r="AX3086" i="1" s="1"/>
  <c r="M3086" i="1"/>
  <c r="U3086" i="1" s="1"/>
  <c r="AT3084" i="1"/>
  <c r="AX3084" i="1" s="1"/>
  <c r="M3084" i="1"/>
  <c r="U3084" i="1" s="1"/>
  <c r="AT3082" i="1"/>
  <c r="AX3082" i="1" s="1"/>
  <c r="M3082" i="1"/>
  <c r="U3082" i="1" s="1"/>
  <c r="AT3080" i="1"/>
  <c r="AX3080" i="1" s="1"/>
  <c r="M3080" i="1"/>
  <c r="U3080" i="1" s="1"/>
  <c r="AT3078" i="1"/>
  <c r="AX3078" i="1" s="1"/>
  <c r="M3078" i="1"/>
  <c r="U3078" i="1" s="1"/>
  <c r="AT3076" i="1"/>
  <c r="AX3076" i="1" s="1"/>
  <c r="M3076" i="1"/>
  <c r="U3076" i="1" s="1"/>
  <c r="AT3074" i="1"/>
  <c r="AX3074" i="1" s="1"/>
  <c r="M3074" i="1"/>
  <c r="U3074" i="1" s="1"/>
  <c r="AT3072" i="1"/>
  <c r="AX3072" i="1" s="1"/>
  <c r="M3072" i="1"/>
  <c r="U3072" i="1" s="1"/>
  <c r="AT3070" i="1"/>
  <c r="AX3070" i="1" s="1"/>
  <c r="M3070" i="1"/>
  <c r="U3070" i="1" s="1"/>
  <c r="AT3056" i="1"/>
  <c r="AX3056" i="1" s="1"/>
  <c r="M3056" i="1"/>
  <c r="U3056" i="1" s="1"/>
  <c r="AT3054" i="1"/>
  <c r="AX3054" i="1" s="1"/>
  <c r="M3054" i="1"/>
  <c r="U3054" i="1" s="1"/>
  <c r="AT3052" i="1"/>
  <c r="AX3052" i="1" s="1"/>
  <c r="M3052" i="1"/>
  <c r="U3052" i="1" s="1"/>
  <c r="AT3050" i="1"/>
  <c r="AX3050" i="1" s="1"/>
  <c r="M3050" i="1"/>
  <c r="U3050" i="1" s="1"/>
  <c r="K2958" i="1" l="1"/>
  <c r="M2958" i="1" s="1"/>
  <c r="U2958" i="1" s="1"/>
  <c r="K2956" i="1"/>
  <c r="M2956" i="1" s="1"/>
  <c r="U2956" i="1" s="1"/>
  <c r="AT2944" i="1"/>
  <c r="AX2944" i="1" s="1"/>
  <c r="M2944" i="1"/>
  <c r="U2944" i="1" s="1"/>
  <c r="K2936" i="1"/>
  <c r="M2936" i="1" s="1"/>
  <c r="U2936" i="1" s="1"/>
  <c r="O2930" i="1"/>
  <c r="O2928" i="1"/>
  <c r="O2906" i="1"/>
  <c r="AT2908" i="1"/>
  <c r="AX2908" i="1" s="1"/>
  <c r="M2908" i="1"/>
  <c r="U2908" i="1" s="1"/>
  <c r="AT2920" i="1"/>
  <c r="AX2920" i="1" s="1"/>
  <c r="M2920" i="1"/>
  <c r="U2920" i="1" s="1"/>
  <c r="AT2906" i="1"/>
  <c r="AX2906" i="1" s="1"/>
  <c r="M2906" i="1"/>
  <c r="O2836" i="1"/>
  <c r="AT2902" i="1"/>
  <c r="AX2902" i="1" s="1"/>
  <c r="M2902" i="1"/>
  <c r="U2902" i="1" s="1"/>
  <c r="AT2900" i="1"/>
  <c r="AX2900" i="1" s="1"/>
  <c r="M2900" i="1"/>
  <c r="U2900" i="1" s="1"/>
  <c r="O2892" i="1"/>
  <c r="O2848" i="1"/>
  <c r="U2848" i="1" s="1"/>
  <c r="O2844" i="1"/>
  <c r="AT2836" i="1"/>
  <c r="AX2836" i="1" s="1"/>
  <c r="M2836" i="1"/>
  <c r="K2882" i="1"/>
  <c r="M2882" i="1" s="1"/>
  <c r="U2882" i="1" s="1"/>
  <c r="K2880" i="1"/>
  <c r="M2880" i="1" s="1"/>
  <c r="U2880" i="1" s="1"/>
  <c r="K2878" i="1"/>
  <c r="M2878" i="1" s="1"/>
  <c r="U2878" i="1" s="1"/>
  <c r="AT2872" i="1"/>
  <c r="AX2872" i="1" s="1"/>
  <c r="M2872" i="1"/>
  <c r="U2872" i="1" s="1"/>
  <c r="O2834" i="1"/>
  <c r="O2830" i="1"/>
  <c r="O2828" i="1"/>
  <c r="U2828" i="1" s="1"/>
  <c r="O2826" i="1"/>
  <c r="AT2834" i="1"/>
  <c r="AX2834" i="1" s="1"/>
  <c r="M2834" i="1"/>
  <c r="AT2832" i="1"/>
  <c r="AX2832" i="1" s="1"/>
  <c r="M2832" i="1"/>
  <c r="U2832" i="1" s="1"/>
  <c r="AT2830" i="1"/>
  <c r="AX2830" i="1" s="1"/>
  <c r="M2830" i="1"/>
  <c r="AT2828" i="1"/>
  <c r="AX2828" i="1" s="1"/>
  <c r="AT2826" i="1"/>
  <c r="AX2826" i="1" s="1"/>
  <c r="M2826" i="1"/>
  <c r="AX2824" i="1"/>
  <c r="U2824" i="1"/>
  <c r="AT3048" i="1"/>
  <c r="AX3048" i="1" s="1"/>
  <c r="M3048" i="1"/>
  <c r="U3048" i="1" s="1"/>
  <c r="AT3046" i="1"/>
  <c r="AX3046" i="1" s="1"/>
  <c r="M3046" i="1"/>
  <c r="U3046" i="1" s="1"/>
  <c r="AT3044" i="1"/>
  <c r="AX3044" i="1" s="1"/>
  <c r="M3044" i="1"/>
  <c r="U3044" i="1" s="1"/>
  <c r="AT3040" i="1"/>
  <c r="AX3040" i="1" s="1"/>
  <c r="M3040" i="1"/>
  <c r="U3040" i="1" s="1"/>
  <c r="AT3030" i="1"/>
  <c r="AX3030" i="1" s="1"/>
  <c r="M3030" i="1"/>
  <c r="U3030" i="1" s="1"/>
  <c r="AT3028" i="1"/>
  <c r="AX3028" i="1" s="1"/>
  <c r="M3028" i="1"/>
  <c r="U3028" i="1" s="1"/>
  <c r="AT3026" i="1"/>
  <c r="AX3026" i="1" s="1"/>
  <c r="M3026" i="1"/>
  <c r="U3026" i="1" s="1"/>
  <c r="AT2978" i="1"/>
  <c r="AX2978" i="1" s="1"/>
  <c r="M2978" i="1"/>
  <c r="U2978" i="1" s="1"/>
  <c r="AT2974" i="1"/>
  <c r="AX2974" i="1" s="1"/>
  <c r="M2974" i="1"/>
  <c r="U2974" i="1" s="1"/>
  <c r="AT2972" i="1"/>
  <c r="AX2972" i="1" s="1"/>
  <c r="M2972" i="1"/>
  <c r="U2972" i="1" s="1"/>
  <c r="AT2970" i="1"/>
  <c r="AX2970" i="1" s="1"/>
  <c r="M2970" i="1"/>
  <c r="U2970" i="1" s="1"/>
  <c r="AT2968" i="1"/>
  <c r="AX2968" i="1" s="1"/>
  <c r="M2968" i="1"/>
  <c r="U2968" i="1" s="1"/>
  <c r="AT2960" i="1"/>
  <c r="AX2960" i="1" s="1"/>
  <c r="M2960" i="1"/>
  <c r="U2960" i="1" s="1"/>
  <c r="AT2958" i="1"/>
  <c r="AX2958" i="1" s="1"/>
  <c r="AT2956" i="1"/>
  <c r="AX2956" i="1" s="1"/>
  <c r="AT2954" i="1"/>
  <c r="AX2954" i="1" s="1"/>
  <c r="M2954" i="1"/>
  <c r="U2954" i="1" s="1"/>
  <c r="AT2952" i="1"/>
  <c r="AX2952" i="1" s="1"/>
  <c r="M2952" i="1"/>
  <c r="U2952" i="1" s="1"/>
  <c r="AT2950" i="1"/>
  <c r="AX2950" i="1" s="1"/>
  <c r="M2950" i="1"/>
  <c r="U2950" i="1" s="1"/>
  <c r="AT2948" i="1"/>
  <c r="AX2948" i="1" s="1"/>
  <c r="M2948" i="1"/>
  <c r="U2948" i="1" s="1"/>
  <c r="AT2946" i="1"/>
  <c r="AX2946" i="1" s="1"/>
  <c r="M2946" i="1"/>
  <c r="U2946" i="1" s="1"/>
  <c r="AT2942" i="1"/>
  <c r="AX2942" i="1" s="1"/>
  <c r="M2942" i="1"/>
  <c r="U2942" i="1" s="1"/>
  <c r="AT2940" i="1"/>
  <c r="AX2940" i="1" s="1"/>
  <c r="M2940" i="1"/>
  <c r="U2940" i="1" s="1"/>
  <c r="AT2938" i="1"/>
  <c r="AX2938" i="1" s="1"/>
  <c r="M2938" i="1"/>
  <c r="U2938" i="1" s="1"/>
  <c r="AT2936" i="1"/>
  <c r="AX2936" i="1" s="1"/>
  <c r="AT2934" i="1"/>
  <c r="AX2934" i="1" s="1"/>
  <c r="M2934" i="1"/>
  <c r="U2934" i="1" s="1"/>
  <c r="AT2932" i="1"/>
  <c r="AX2932" i="1" s="1"/>
  <c r="M2932" i="1"/>
  <c r="U2932" i="1" s="1"/>
  <c r="AT2930" i="1"/>
  <c r="AX2930" i="1" s="1"/>
  <c r="M2930" i="1"/>
  <c r="AT2928" i="1"/>
  <c r="AX2928" i="1" s="1"/>
  <c r="M2928" i="1"/>
  <c r="AT2926" i="1"/>
  <c r="AX2926" i="1" s="1"/>
  <c r="M2926" i="1"/>
  <c r="U2926" i="1" s="1"/>
  <c r="AT2924" i="1"/>
  <c r="AX2924" i="1" s="1"/>
  <c r="M2924" i="1"/>
  <c r="U2924" i="1" s="1"/>
  <c r="AT2922" i="1"/>
  <c r="AX2922" i="1" s="1"/>
  <c r="M2922" i="1"/>
  <c r="U2922" i="1" s="1"/>
  <c r="AT2918" i="1"/>
  <c r="AX2918" i="1" s="1"/>
  <c r="M2918" i="1"/>
  <c r="U2918" i="1" s="1"/>
  <c r="AT2916" i="1"/>
  <c r="AX2916" i="1" s="1"/>
  <c r="M2916" i="1"/>
  <c r="U2916" i="1" s="1"/>
  <c r="AT2914" i="1"/>
  <c r="AX2914" i="1" s="1"/>
  <c r="M2914" i="1"/>
  <c r="U2914" i="1" s="1"/>
  <c r="AX2912" i="1"/>
  <c r="M2912" i="1"/>
  <c r="U2912" i="1" s="1"/>
  <c r="AT2910" i="1"/>
  <c r="AX2910" i="1" s="1"/>
  <c r="M2910" i="1"/>
  <c r="U2910" i="1" s="1"/>
  <c r="AT2904" i="1"/>
  <c r="AX2904" i="1" s="1"/>
  <c r="M2904" i="1"/>
  <c r="U2904" i="1" s="1"/>
  <c r="AX2898" i="1"/>
  <c r="U2898" i="1"/>
  <c r="AT2896" i="1"/>
  <c r="AX2896" i="1" s="1"/>
  <c r="M2896" i="1"/>
  <c r="U2896" i="1" s="1"/>
  <c r="AT2894" i="1"/>
  <c r="AX2894" i="1" s="1"/>
  <c r="M2894" i="1"/>
  <c r="U2894" i="1" s="1"/>
  <c r="AT2892" i="1"/>
  <c r="AX2892" i="1" s="1"/>
  <c r="M2892" i="1"/>
  <c r="AT2890" i="1"/>
  <c r="AX2890" i="1" s="1"/>
  <c r="M2890" i="1"/>
  <c r="U2890" i="1" s="1"/>
  <c r="AT2888" i="1"/>
  <c r="AX2888" i="1" s="1"/>
  <c r="M2888" i="1"/>
  <c r="U2888" i="1" s="1"/>
  <c r="AT2886" i="1"/>
  <c r="AX2886" i="1" s="1"/>
  <c r="M2886" i="1"/>
  <c r="U2886" i="1" s="1"/>
  <c r="AT2884" i="1"/>
  <c r="AX2884" i="1" s="1"/>
  <c r="M2884" i="1"/>
  <c r="U2884" i="1" s="1"/>
  <c r="AT2882" i="1"/>
  <c r="AX2882" i="1" s="1"/>
  <c r="AT2880" i="1"/>
  <c r="AX2880" i="1" s="1"/>
  <c r="AT2878" i="1"/>
  <c r="AX2878" i="1" s="1"/>
  <c r="AT2876" i="1"/>
  <c r="AX2876" i="1" s="1"/>
  <c r="M2876" i="1"/>
  <c r="U2876" i="1" s="1"/>
  <c r="AT2874" i="1"/>
  <c r="AX2874" i="1" s="1"/>
  <c r="M2874" i="1"/>
  <c r="U2874" i="1" s="1"/>
  <c r="AT2870" i="1"/>
  <c r="AX2870" i="1" s="1"/>
  <c r="M2870" i="1"/>
  <c r="U2870" i="1" s="1"/>
  <c r="AT2868" i="1"/>
  <c r="AX2868" i="1" s="1"/>
  <c r="M2868" i="1"/>
  <c r="U2868" i="1" s="1"/>
  <c r="AT2866" i="1"/>
  <c r="AX2866" i="1" s="1"/>
  <c r="M2866" i="1"/>
  <c r="U2866" i="1" s="1"/>
  <c r="AT2864" i="1"/>
  <c r="AX2864" i="1" s="1"/>
  <c r="M2864" i="1"/>
  <c r="U2864" i="1" s="1"/>
  <c r="AT2862" i="1"/>
  <c r="AX2862" i="1" s="1"/>
  <c r="M2862" i="1"/>
  <c r="U2862" i="1" s="1"/>
  <c r="AT2860" i="1"/>
  <c r="AX2860" i="1" s="1"/>
  <c r="M2860" i="1"/>
  <c r="U2860" i="1" s="1"/>
  <c r="AT2858" i="1"/>
  <c r="AX2858" i="1" s="1"/>
  <c r="M2858" i="1"/>
  <c r="U2858" i="1" s="1"/>
  <c r="AT2856" i="1"/>
  <c r="AX2856" i="1" s="1"/>
  <c r="M2856" i="1"/>
  <c r="U2856" i="1" s="1"/>
  <c r="AT2854" i="1"/>
  <c r="AX2854" i="1" s="1"/>
  <c r="M2854" i="1"/>
  <c r="U2854" i="1" s="1"/>
  <c r="AT2852" i="1"/>
  <c r="AX2852" i="1" s="1"/>
  <c r="M2852" i="1"/>
  <c r="U2852" i="1" s="1"/>
  <c r="AT2850" i="1"/>
  <c r="AX2850" i="1" s="1"/>
  <c r="M2850" i="1"/>
  <c r="U2850" i="1" s="1"/>
  <c r="AT2848" i="1"/>
  <c r="AX2848" i="1" s="1"/>
  <c r="AT2846" i="1"/>
  <c r="AX2846" i="1" s="1"/>
  <c r="M2846" i="1"/>
  <c r="U2846" i="1" s="1"/>
  <c r="O2804" i="1"/>
  <c r="O2800" i="1"/>
  <c r="O2796" i="1"/>
  <c r="U2930" i="1" l="1"/>
  <c r="U2836" i="1"/>
  <c r="U2906" i="1"/>
  <c r="U2928" i="1"/>
  <c r="U2826" i="1"/>
  <c r="U2892" i="1"/>
  <c r="U2834" i="1"/>
  <c r="U2830" i="1"/>
  <c r="O2772" i="1" l="1"/>
  <c r="O2770" i="1"/>
  <c r="AT2724" i="1"/>
  <c r="AX2724" i="1" s="1"/>
  <c r="M2724" i="1"/>
  <c r="U2724" i="1" s="1"/>
  <c r="AT2718" i="1"/>
  <c r="AX2718" i="1" s="1"/>
  <c r="M2718" i="1"/>
  <c r="U2718" i="1" s="1"/>
  <c r="O2698" i="1"/>
  <c r="AT2844" i="1"/>
  <c r="AX2844" i="1" s="1"/>
  <c r="M2844" i="1"/>
  <c r="U2844" i="1" s="1"/>
  <c r="AT2842" i="1"/>
  <c r="AX2842" i="1" s="1"/>
  <c r="M2842" i="1"/>
  <c r="U2842" i="1" s="1"/>
  <c r="AT2840" i="1"/>
  <c r="AX2840" i="1" s="1"/>
  <c r="M2840" i="1"/>
  <c r="U2840" i="1" s="1"/>
  <c r="AT2838" i="1"/>
  <c r="AX2838" i="1" s="1"/>
  <c r="U2838" i="1"/>
  <c r="AT2822" i="1"/>
  <c r="AX2822" i="1" s="1"/>
  <c r="M2822" i="1"/>
  <c r="U2822" i="1" s="1"/>
  <c r="AT2820" i="1"/>
  <c r="AX2820" i="1" s="1"/>
  <c r="M2820" i="1"/>
  <c r="U2820" i="1" s="1"/>
  <c r="AT2818" i="1"/>
  <c r="AX2818" i="1" s="1"/>
  <c r="M2818" i="1"/>
  <c r="U2818" i="1" s="1"/>
  <c r="AT2816" i="1"/>
  <c r="AX2816" i="1" s="1"/>
  <c r="M2816" i="1"/>
  <c r="U2816" i="1" s="1"/>
  <c r="AT2814" i="1"/>
  <c r="AX2814" i="1" s="1"/>
  <c r="M2814" i="1"/>
  <c r="U2814" i="1" s="1"/>
  <c r="AT2812" i="1"/>
  <c r="AX2812" i="1" s="1"/>
  <c r="M2812" i="1"/>
  <c r="U2812" i="1" s="1"/>
  <c r="AT2810" i="1"/>
  <c r="AX2810" i="1" s="1"/>
  <c r="M2810" i="1"/>
  <c r="U2810" i="1" s="1"/>
  <c r="AT2808" i="1"/>
  <c r="AX2808" i="1" s="1"/>
  <c r="M2808" i="1"/>
  <c r="U2808" i="1" s="1"/>
  <c r="AT2806" i="1"/>
  <c r="AX2806" i="1" s="1"/>
  <c r="M2806" i="1"/>
  <c r="U2806" i="1" s="1"/>
  <c r="AT2804" i="1"/>
  <c r="AX2804" i="1" s="1"/>
  <c r="M2804" i="1"/>
  <c r="U2804" i="1" s="1"/>
  <c r="AT2802" i="1"/>
  <c r="AX2802" i="1" s="1"/>
  <c r="M2802" i="1"/>
  <c r="U2802" i="1" s="1"/>
  <c r="AT2800" i="1"/>
  <c r="AX2800" i="1" s="1"/>
  <c r="M2800" i="1"/>
  <c r="U2800" i="1" s="1"/>
  <c r="AT2798" i="1"/>
  <c r="AX2798" i="1" s="1"/>
  <c r="U2798" i="1"/>
  <c r="AT2796" i="1"/>
  <c r="AX2796" i="1" s="1"/>
  <c r="M2796" i="1"/>
  <c r="U2796" i="1" s="1"/>
  <c r="AT2794" i="1"/>
  <c r="AX2794" i="1" s="1"/>
  <c r="U2794" i="1"/>
  <c r="AT2792" i="1"/>
  <c r="AX2792" i="1" s="1"/>
  <c r="M2792" i="1"/>
  <c r="U2792" i="1" s="1"/>
  <c r="AT2790" i="1"/>
  <c r="AX2790" i="1" s="1"/>
  <c r="M2790" i="1"/>
  <c r="U2790" i="1" s="1"/>
  <c r="AX2788" i="1"/>
  <c r="M2788" i="1"/>
  <c r="U2788" i="1" s="1"/>
  <c r="AT2786" i="1"/>
  <c r="AX2786" i="1" s="1"/>
  <c r="M2786" i="1"/>
  <c r="U2786" i="1" s="1"/>
  <c r="AT2784" i="1"/>
  <c r="AX2784" i="1" s="1"/>
  <c r="M2784" i="1"/>
  <c r="U2784" i="1" s="1"/>
  <c r="AT2782" i="1"/>
  <c r="AX2782" i="1" s="1"/>
  <c r="M2782" i="1"/>
  <c r="U2782" i="1" s="1"/>
  <c r="AT2780" i="1"/>
  <c r="AX2780" i="1" s="1"/>
  <c r="M2780" i="1"/>
  <c r="U2780" i="1" s="1"/>
  <c r="AT2778" i="1"/>
  <c r="AX2778" i="1" s="1"/>
  <c r="M2778" i="1"/>
  <c r="U2778" i="1" s="1"/>
  <c r="AT2776" i="1"/>
  <c r="AX2776" i="1" s="1"/>
  <c r="M2776" i="1"/>
  <c r="U2776" i="1" s="1"/>
  <c r="AT2774" i="1"/>
  <c r="AX2774" i="1" s="1"/>
  <c r="M2774" i="1"/>
  <c r="U2774" i="1" s="1"/>
  <c r="AT2772" i="1"/>
  <c r="AX2772" i="1" s="1"/>
  <c r="M2772" i="1"/>
  <c r="AT2770" i="1"/>
  <c r="AX2770" i="1" s="1"/>
  <c r="M2770" i="1"/>
  <c r="AT2768" i="1"/>
  <c r="AX2768" i="1" s="1"/>
  <c r="M2768" i="1"/>
  <c r="U2768" i="1" s="1"/>
  <c r="AT2766" i="1"/>
  <c r="AX2766" i="1" s="1"/>
  <c r="M2766" i="1"/>
  <c r="U2766" i="1" s="1"/>
  <c r="AT2764" i="1"/>
  <c r="AX2764" i="1" s="1"/>
  <c r="M2764" i="1"/>
  <c r="U2764" i="1" s="1"/>
  <c r="AT2762" i="1"/>
  <c r="AX2762" i="1" s="1"/>
  <c r="M2762" i="1"/>
  <c r="U2762" i="1" s="1"/>
  <c r="AT2760" i="1"/>
  <c r="AX2760" i="1" s="1"/>
  <c r="M2760" i="1"/>
  <c r="U2760" i="1" s="1"/>
  <c r="AT2758" i="1"/>
  <c r="AX2758" i="1" s="1"/>
  <c r="M2758" i="1"/>
  <c r="U2758" i="1" s="1"/>
  <c r="AT2756" i="1"/>
  <c r="AX2756" i="1" s="1"/>
  <c r="M2756" i="1"/>
  <c r="U2756" i="1" s="1"/>
  <c r="AT2754" i="1"/>
  <c r="AX2754" i="1" s="1"/>
  <c r="M2754" i="1"/>
  <c r="U2754" i="1" s="1"/>
  <c r="AT2752" i="1"/>
  <c r="AX2752" i="1" s="1"/>
  <c r="M2752" i="1"/>
  <c r="U2752" i="1" s="1"/>
  <c r="AT2750" i="1"/>
  <c r="AX2750" i="1" s="1"/>
  <c r="M2750" i="1"/>
  <c r="U2750" i="1" s="1"/>
  <c r="AT2748" i="1"/>
  <c r="AX2748" i="1" s="1"/>
  <c r="M2748" i="1"/>
  <c r="U2748" i="1" s="1"/>
  <c r="AT2746" i="1"/>
  <c r="AX2746" i="1" s="1"/>
  <c r="M2746" i="1"/>
  <c r="U2746" i="1" s="1"/>
  <c r="AT2744" i="1"/>
  <c r="AX2744" i="1" s="1"/>
  <c r="M2744" i="1"/>
  <c r="U2744" i="1" s="1"/>
  <c r="AT2742" i="1"/>
  <c r="AX2742" i="1" s="1"/>
  <c r="M2742" i="1"/>
  <c r="U2742" i="1" s="1"/>
  <c r="AT2740" i="1"/>
  <c r="AX2740" i="1" s="1"/>
  <c r="M2740" i="1"/>
  <c r="U2740" i="1" s="1"/>
  <c r="AT2738" i="1"/>
  <c r="AX2738" i="1" s="1"/>
  <c r="M2738" i="1"/>
  <c r="U2738" i="1" s="1"/>
  <c r="AT2736" i="1"/>
  <c r="AX2736" i="1" s="1"/>
  <c r="M2736" i="1"/>
  <c r="U2736" i="1" s="1"/>
  <c r="AT2734" i="1"/>
  <c r="AX2734" i="1" s="1"/>
  <c r="M2734" i="1"/>
  <c r="U2734" i="1" s="1"/>
  <c r="AT2732" i="1"/>
  <c r="AX2732" i="1" s="1"/>
  <c r="M2732" i="1"/>
  <c r="U2732" i="1" s="1"/>
  <c r="AT2730" i="1"/>
  <c r="AX2730" i="1" s="1"/>
  <c r="M2730" i="1"/>
  <c r="U2730" i="1" s="1"/>
  <c r="AT2728" i="1"/>
  <c r="AX2728" i="1" s="1"/>
  <c r="M2728" i="1"/>
  <c r="U2728" i="1" s="1"/>
  <c r="AT2726" i="1"/>
  <c r="AX2726" i="1" s="1"/>
  <c r="M2726" i="1"/>
  <c r="U2726" i="1" s="1"/>
  <c r="AT2722" i="1"/>
  <c r="AX2722" i="1" s="1"/>
  <c r="M2722" i="1"/>
  <c r="U2722" i="1" s="1"/>
  <c r="AT2720" i="1"/>
  <c r="AX2720" i="1" s="1"/>
  <c r="M2720" i="1"/>
  <c r="U2720" i="1" s="1"/>
  <c r="O2686" i="1"/>
  <c r="O2684" i="1"/>
  <c r="O2682" i="1"/>
  <c r="O2676" i="1"/>
  <c r="AT2676" i="1"/>
  <c r="AX2676" i="1" s="1"/>
  <c r="M2676" i="1"/>
  <c r="K2696" i="1"/>
  <c r="M2696" i="1" s="1"/>
  <c r="U2696" i="1" s="1"/>
  <c r="K2694" i="1"/>
  <c r="M2694" i="1" s="1"/>
  <c r="U2694" i="1" s="1"/>
  <c r="K2692" i="1"/>
  <c r="M2692" i="1" s="1"/>
  <c r="U2692" i="1" s="1"/>
  <c r="K2690" i="1"/>
  <c r="M2690" i="1" s="1"/>
  <c r="U2690" i="1" s="1"/>
  <c r="K2688" i="1"/>
  <c r="M2688" i="1" s="1"/>
  <c r="U2688" i="1" s="1"/>
  <c r="O2674" i="1"/>
  <c r="O2670" i="1"/>
  <c r="O2666" i="1"/>
  <c r="O2662" i="1"/>
  <c r="O2660" i="1"/>
  <c r="AT2716" i="1"/>
  <c r="AX2716" i="1" s="1"/>
  <c r="M2716" i="1"/>
  <c r="U2716" i="1" s="1"/>
  <c r="AT2714" i="1"/>
  <c r="AX2714" i="1" s="1"/>
  <c r="M2714" i="1"/>
  <c r="U2714" i="1" s="1"/>
  <c r="AT2712" i="1"/>
  <c r="AX2712" i="1" s="1"/>
  <c r="M2712" i="1"/>
  <c r="U2712" i="1" s="1"/>
  <c r="AX2710" i="1"/>
  <c r="M2710" i="1"/>
  <c r="U2710" i="1" s="1"/>
  <c r="AT2708" i="1"/>
  <c r="AX2708" i="1" s="1"/>
  <c r="M2708" i="1"/>
  <c r="U2708" i="1" s="1"/>
  <c r="AT2706" i="1"/>
  <c r="AX2706" i="1" s="1"/>
  <c r="M2706" i="1"/>
  <c r="U2706" i="1" s="1"/>
  <c r="AT2704" i="1"/>
  <c r="AX2704" i="1" s="1"/>
  <c r="M2704" i="1"/>
  <c r="U2704" i="1" s="1"/>
  <c r="AT2702" i="1"/>
  <c r="AX2702" i="1" s="1"/>
  <c r="M2702" i="1"/>
  <c r="U2702" i="1" s="1"/>
  <c r="AT2700" i="1"/>
  <c r="AX2700" i="1" s="1"/>
  <c r="M2700" i="1"/>
  <c r="U2700" i="1" s="1"/>
  <c r="AT2698" i="1"/>
  <c r="AX2698" i="1" s="1"/>
  <c r="M2698" i="1"/>
  <c r="AT2696" i="1"/>
  <c r="AX2696" i="1" s="1"/>
  <c r="AT2694" i="1"/>
  <c r="AX2694" i="1" s="1"/>
  <c r="AT2692" i="1"/>
  <c r="AX2692" i="1" s="1"/>
  <c r="AT2690" i="1"/>
  <c r="AX2690" i="1" s="1"/>
  <c r="AT2688" i="1"/>
  <c r="AX2688" i="1" s="1"/>
  <c r="O2656" i="1"/>
  <c r="O2654" i="1"/>
  <c r="O2650" i="1"/>
  <c r="AT2634" i="1"/>
  <c r="AX2634" i="1" s="1"/>
  <c r="M2634" i="1"/>
  <c r="U2634" i="1" s="1"/>
  <c r="O2632" i="1"/>
  <c r="O2630" i="1"/>
  <c r="O2628" i="1"/>
  <c r="O2626" i="1"/>
  <c r="U2772" i="1" l="1"/>
  <c r="U2770" i="1"/>
  <c r="U2698" i="1"/>
  <c r="U2676" i="1"/>
  <c r="AT2632" i="1"/>
  <c r="AX2632" i="1" s="1"/>
  <c r="M2632" i="1"/>
  <c r="U2632" i="1" s="1"/>
  <c r="AT2630" i="1"/>
  <c r="AX2630" i="1" s="1"/>
  <c r="M2630" i="1"/>
  <c r="U2630" i="1" s="1"/>
  <c r="AT2628" i="1"/>
  <c r="AX2628" i="1" s="1"/>
  <c r="M2628" i="1"/>
  <c r="U2628" i="1" s="1"/>
  <c r="AT2642" i="1"/>
  <c r="AX2642" i="1" s="1"/>
  <c r="M2642" i="1"/>
  <c r="U2642" i="1" s="1"/>
  <c r="AT2640" i="1"/>
  <c r="AX2640" i="1" s="1"/>
  <c r="M2640" i="1"/>
  <c r="U2640" i="1" s="1"/>
  <c r="K2624" i="1"/>
  <c r="K2622" i="1"/>
  <c r="M2622" i="1" s="1"/>
  <c r="U2622" i="1" s="1"/>
  <c r="K2620" i="1"/>
  <c r="M2620" i="1" s="1"/>
  <c r="U2620" i="1" s="1"/>
  <c r="K2618" i="1"/>
  <c r="M2618" i="1" s="1"/>
  <c r="U2618" i="1" s="1"/>
  <c r="K2616" i="1"/>
  <c r="M2616" i="1" s="1"/>
  <c r="U2616" i="1" s="1"/>
  <c r="K2614" i="1"/>
  <c r="M2614" i="1" s="1"/>
  <c r="U2614" i="1" s="1"/>
  <c r="K2612" i="1"/>
  <c r="M2612" i="1" s="1"/>
  <c r="U2612" i="1" s="1"/>
  <c r="AT2686" i="1"/>
  <c r="AX2686" i="1" s="1"/>
  <c r="M2686" i="1"/>
  <c r="U2686" i="1" s="1"/>
  <c r="AT2684" i="1"/>
  <c r="AX2684" i="1" s="1"/>
  <c r="M2684" i="1"/>
  <c r="U2684" i="1" s="1"/>
  <c r="AT2682" i="1"/>
  <c r="AX2682" i="1" s="1"/>
  <c r="M2682" i="1"/>
  <c r="U2682" i="1" s="1"/>
  <c r="AT2680" i="1"/>
  <c r="AX2680" i="1" s="1"/>
  <c r="M2680" i="1"/>
  <c r="U2680" i="1" s="1"/>
  <c r="AT2678" i="1"/>
  <c r="AX2678" i="1" s="1"/>
  <c r="M2678" i="1"/>
  <c r="U2678" i="1" s="1"/>
  <c r="AT2674" i="1"/>
  <c r="AX2674" i="1" s="1"/>
  <c r="M2674" i="1"/>
  <c r="U2674" i="1" s="1"/>
  <c r="AT2672" i="1"/>
  <c r="AX2672" i="1" s="1"/>
  <c r="M2672" i="1"/>
  <c r="U2672" i="1" s="1"/>
  <c r="AT2670" i="1"/>
  <c r="AX2670" i="1" s="1"/>
  <c r="M2670" i="1"/>
  <c r="U2670" i="1" s="1"/>
  <c r="AT2668" i="1"/>
  <c r="AX2668" i="1" s="1"/>
  <c r="M2668" i="1"/>
  <c r="U2668" i="1" s="1"/>
  <c r="AT2666" i="1"/>
  <c r="AX2666" i="1" s="1"/>
  <c r="M2666" i="1"/>
  <c r="U2666" i="1" s="1"/>
  <c r="AT2664" i="1"/>
  <c r="AX2664" i="1" s="1"/>
  <c r="M2664" i="1"/>
  <c r="U2664" i="1" s="1"/>
  <c r="AT2662" i="1"/>
  <c r="AX2662" i="1" s="1"/>
  <c r="M2662" i="1"/>
  <c r="U2662" i="1" s="1"/>
  <c r="AT2660" i="1"/>
  <c r="AX2660" i="1" s="1"/>
  <c r="M2660" i="1"/>
  <c r="U2660" i="1" s="1"/>
  <c r="AT2658" i="1"/>
  <c r="AX2658" i="1" s="1"/>
  <c r="M2658" i="1"/>
  <c r="U2658" i="1" s="1"/>
  <c r="AT2656" i="1"/>
  <c r="AX2656" i="1" s="1"/>
  <c r="M2656" i="1"/>
  <c r="U2656" i="1" s="1"/>
  <c r="AT2654" i="1"/>
  <c r="AX2654" i="1" s="1"/>
  <c r="M2654" i="1"/>
  <c r="U2654" i="1" s="1"/>
  <c r="AT2652" i="1"/>
  <c r="AX2652" i="1" s="1"/>
  <c r="M2652" i="1"/>
  <c r="U2652" i="1" s="1"/>
  <c r="AT2650" i="1"/>
  <c r="AX2650" i="1" s="1"/>
  <c r="M2650" i="1"/>
  <c r="U2650" i="1" s="1"/>
  <c r="AT2648" i="1"/>
  <c r="AX2648" i="1" s="1"/>
  <c r="M2648" i="1"/>
  <c r="U2648" i="1" s="1"/>
  <c r="AT2646" i="1"/>
  <c r="AX2646" i="1" s="1"/>
  <c r="M2646" i="1"/>
  <c r="U2646" i="1" s="1"/>
  <c r="AT2644" i="1"/>
  <c r="AX2644" i="1" s="1"/>
  <c r="M2644" i="1"/>
  <c r="U2644" i="1" s="1"/>
  <c r="AT2638" i="1"/>
  <c r="AX2638" i="1" s="1"/>
  <c r="M2638" i="1"/>
  <c r="U2638" i="1" s="1"/>
  <c r="AT2636" i="1"/>
  <c r="AX2636" i="1" s="1"/>
  <c r="M2636" i="1"/>
  <c r="U2636" i="1" s="1"/>
  <c r="AT2626" i="1"/>
  <c r="AX2626" i="1" s="1"/>
  <c r="M2626" i="1"/>
  <c r="U2626" i="1" s="1"/>
  <c r="O2598" i="1"/>
  <c r="O2590" i="1"/>
  <c r="O2586" i="1"/>
  <c r="O2574" i="1"/>
  <c r="O2572" i="1"/>
  <c r="O2566" i="1"/>
  <c r="AT2350" i="1"/>
  <c r="AT2348" i="1"/>
  <c r="AT2344" i="1"/>
  <c r="AT2342" i="1"/>
  <c r="AT2340" i="1"/>
  <c r="AT2338" i="1"/>
  <c r="AT2336" i="1"/>
  <c r="AT2334" i="1"/>
  <c r="AT2332" i="1"/>
  <c r="AT2330" i="1"/>
  <c r="AT2328" i="1"/>
  <c r="AT2326" i="1"/>
  <c r="AT2324" i="1"/>
  <c r="AT2322" i="1"/>
  <c r="AT2320" i="1"/>
  <c r="AT2318" i="1"/>
  <c r="AT2316" i="1"/>
  <c r="AT2314" i="1"/>
  <c r="AT2312" i="1"/>
  <c r="AT2310" i="1"/>
  <c r="AT2308" i="1"/>
  <c r="AT2306" i="1"/>
  <c r="AT2304" i="1"/>
  <c r="AT2302" i="1"/>
  <c r="AT2300" i="1"/>
  <c r="AT2298" i="1"/>
  <c r="AT2296" i="1"/>
  <c r="AT2294" i="1"/>
  <c r="AT2292" i="1"/>
  <c r="AT2290" i="1"/>
  <c r="AT2288" i="1"/>
  <c r="AT2286" i="1"/>
  <c r="AT2284" i="1"/>
  <c r="AT2282" i="1"/>
  <c r="AT2280" i="1"/>
  <c r="AT2278" i="1"/>
  <c r="AT2276" i="1"/>
  <c r="AT2274" i="1"/>
  <c r="AT2272" i="1"/>
  <c r="AT2270" i="1"/>
  <c r="AT2268" i="1"/>
  <c r="AT2266" i="1"/>
  <c r="AT2264" i="1"/>
  <c r="AT2262" i="1"/>
  <c r="AT2260" i="1"/>
  <c r="AT2258" i="1"/>
  <c r="AT2256" i="1"/>
  <c r="AT2254" i="1"/>
  <c r="AT2252" i="1"/>
  <c r="AT2244" i="1"/>
  <c r="AT2240" i="1"/>
  <c r="AT2238" i="1"/>
  <c r="AT2236" i="1"/>
  <c r="AT2234" i="1"/>
  <c r="AT2232" i="1"/>
  <c r="AT2230" i="1"/>
  <c r="AT2228" i="1"/>
  <c r="AT2226" i="1"/>
  <c r="AT2224" i="1"/>
  <c r="AT2222" i="1"/>
  <c r="AT2218" i="1"/>
  <c r="AT2216" i="1"/>
  <c r="AT2210" i="1"/>
  <c r="AT2208" i="1"/>
  <c r="AT2206" i="1"/>
  <c r="AT2202" i="1"/>
  <c r="AT2200" i="1"/>
  <c r="AT2198" i="1"/>
  <c r="AT2196" i="1"/>
  <c r="AT2192" i="1"/>
  <c r="AT2188" i="1"/>
  <c r="AT2184" i="1"/>
  <c r="AT2182" i="1"/>
  <c r="AT2180" i="1"/>
  <c r="AT2178" i="1"/>
  <c r="AT2176" i="1"/>
  <c r="AT2174" i="1"/>
  <c r="AT2172" i="1"/>
  <c r="AT2170" i="1"/>
  <c r="AT2166" i="1"/>
  <c r="AT2164" i="1"/>
  <c r="AT2162" i="1"/>
  <c r="AT2156" i="1"/>
  <c r="AT2150" i="1"/>
  <c r="AT2148" i="1"/>
  <c r="AT2146" i="1"/>
  <c r="AT2144" i="1"/>
  <c r="AT2142" i="1"/>
  <c r="AT2140" i="1"/>
  <c r="AT2138" i="1"/>
  <c r="AT2136" i="1"/>
  <c r="AT2134" i="1"/>
  <c r="AT2132" i="1"/>
  <c r="AT2130" i="1"/>
  <c r="AT2128" i="1"/>
  <c r="AT2126" i="1"/>
  <c r="AT2124" i="1"/>
  <c r="AT2122" i="1"/>
  <c r="AT2120" i="1"/>
  <c r="AT2118" i="1"/>
  <c r="AT2114" i="1"/>
  <c r="AT2112" i="1"/>
  <c r="AT2104" i="1"/>
  <c r="AT2102" i="1"/>
  <c r="AT2094" i="1"/>
  <c r="AT2088" i="1"/>
  <c r="AT2084" i="1"/>
  <c r="AT2082" i="1"/>
  <c r="AT2080" i="1"/>
  <c r="AT2078" i="1"/>
  <c r="AT2076" i="1"/>
  <c r="AT2074" i="1"/>
  <c r="AT2072" i="1"/>
  <c r="AT2066" i="1"/>
  <c r="AT2062" i="1"/>
  <c r="AT2060" i="1"/>
  <c r="AT2058" i="1"/>
  <c r="AT2056" i="1"/>
  <c r="AT2054" i="1"/>
  <c r="AT2052" i="1"/>
  <c r="AT2046" i="1"/>
  <c r="AT2044" i="1"/>
  <c r="AT2040" i="1"/>
  <c r="AT2036" i="1"/>
  <c r="AT2034" i="1"/>
  <c r="AT2032" i="1"/>
  <c r="AT2028" i="1"/>
  <c r="AT2024" i="1"/>
  <c r="AT2020" i="1"/>
  <c r="AT2018" i="1"/>
  <c r="AT2014" i="1"/>
  <c r="AT2012" i="1"/>
  <c r="AT2010" i="1"/>
  <c r="AT2008" i="1"/>
  <c r="AT2004" i="1"/>
  <c r="AT1998" i="1"/>
  <c r="AT1994" i="1"/>
  <c r="AT1992" i="1"/>
  <c r="AT1990" i="1"/>
  <c r="AT1986" i="1"/>
  <c r="AT1982" i="1"/>
  <c r="AT1988" i="1"/>
  <c r="AT1978" i="1"/>
  <c r="AT1976" i="1"/>
  <c r="AT1974" i="1"/>
  <c r="AT1972" i="1"/>
  <c r="AT1968" i="1"/>
  <c r="AT2378" i="1"/>
  <c r="AT2376" i="1"/>
  <c r="AT2374" i="1"/>
  <c r="AT2372" i="1"/>
  <c r="AT2370" i="1"/>
  <c r="AT2368" i="1"/>
  <c r="AT2366" i="1"/>
  <c r="AT2364" i="1"/>
  <c r="AT2362" i="1"/>
  <c r="AT2360" i="1"/>
  <c r="AT2358" i="1"/>
  <c r="AT2356" i="1"/>
  <c r="AT2394" i="1"/>
  <c r="AT2392" i="1"/>
  <c r="AT2390" i="1"/>
  <c r="AT2388" i="1"/>
  <c r="AT2386" i="1"/>
  <c r="AT2384" i="1"/>
  <c r="AT2382" i="1"/>
  <c r="AT2380" i="1"/>
  <c r="AT2490" i="1"/>
  <c r="AT2488" i="1"/>
  <c r="AT2486" i="1"/>
  <c r="AT2484" i="1"/>
  <c r="AT2482" i="1"/>
  <c r="AT2480" i="1"/>
  <c r="AT2478" i="1"/>
  <c r="AT2476" i="1"/>
  <c r="AT2474" i="1"/>
  <c r="AT2472" i="1"/>
  <c r="AT2470" i="1"/>
  <c r="AT2468" i="1"/>
  <c r="AT2466" i="1"/>
  <c r="AT2464" i="1"/>
  <c r="AT2462" i="1"/>
  <c r="AT2460" i="1"/>
  <c r="AT2458" i="1"/>
  <c r="AT2456" i="1"/>
  <c r="AT2454" i="1"/>
  <c r="AT2452" i="1"/>
  <c r="AT2450" i="1"/>
  <c r="AT2446" i="1"/>
  <c r="AT2444" i="1"/>
  <c r="AT2442" i="1"/>
  <c r="AT2440" i="1"/>
  <c r="AT2438" i="1"/>
  <c r="AT2436" i="1"/>
  <c r="AT2434" i="1"/>
  <c r="AT2432" i="1"/>
  <c r="AT2430" i="1"/>
  <c r="AT2428" i="1"/>
  <c r="AT2426" i="1"/>
  <c r="AT2424" i="1"/>
  <c r="AT2422" i="1"/>
  <c r="AT2420" i="1"/>
  <c r="AT2418" i="1"/>
  <c r="AT2416" i="1"/>
  <c r="AT2414" i="1"/>
  <c r="AT2412" i="1"/>
  <c r="AT2410" i="1"/>
  <c r="AT2408" i="1"/>
  <c r="AT2406" i="1"/>
  <c r="AT2404" i="1"/>
  <c r="AT2402" i="1"/>
  <c r="AT2400" i="1"/>
  <c r="AT2398" i="1"/>
  <c r="AT2546" i="1"/>
  <c r="AT2544" i="1"/>
  <c r="AT2542" i="1"/>
  <c r="AT2540" i="1"/>
  <c r="AT2538" i="1"/>
  <c r="AT2536" i="1"/>
  <c r="AT2534" i="1"/>
  <c r="AT2532" i="1"/>
  <c r="AT2530" i="1"/>
  <c r="AT2528" i="1"/>
  <c r="AT2526" i="1"/>
  <c r="AX2526" i="1" s="1"/>
  <c r="AT2524" i="1"/>
  <c r="AT2522" i="1"/>
  <c r="AT2520" i="1"/>
  <c r="AX2520" i="1" s="1"/>
  <c r="AT2518" i="1"/>
  <c r="AT2514" i="1"/>
  <c r="AT2512" i="1"/>
  <c r="AT2510" i="1"/>
  <c r="AT2508" i="1"/>
  <c r="AT2506" i="1"/>
  <c r="AT2504" i="1"/>
  <c r="AT2502" i="1"/>
  <c r="AT2500" i="1"/>
  <c r="AT2498" i="1"/>
  <c r="AT2496" i="1"/>
  <c r="AT2494" i="1"/>
  <c r="AT2492" i="1"/>
  <c r="AT2564" i="1"/>
  <c r="AT2562" i="1"/>
  <c r="AT2560" i="1"/>
  <c r="AT2558" i="1"/>
  <c r="AT2556" i="1"/>
  <c r="AT2554" i="1"/>
  <c r="AT2552" i="1"/>
  <c r="AT2550" i="1"/>
  <c r="AT2548" i="1"/>
  <c r="AT2624" i="1"/>
  <c r="AX2624" i="1" s="1"/>
  <c r="AT2622" i="1"/>
  <c r="AX2622" i="1" s="1"/>
  <c r="AT2620" i="1"/>
  <c r="AX2620" i="1" s="1"/>
  <c r="AT2618" i="1"/>
  <c r="AX2618" i="1" s="1"/>
  <c r="AT2616" i="1"/>
  <c r="AX2616" i="1" s="1"/>
  <c r="AT2614" i="1"/>
  <c r="AX2614" i="1" s="1"/>
  <c r="AT2612" i="1"/>
  <c r="AX2612" i="1" s="1"/>
  <c r="AT2610" i="1"/>
  <c r="AX2610" i="1" s="1"/>
  <c r="M2610" i="1"/>
  <c r="U2610" i="1" s="1"/>
  <c r="AT2608" i="1"/>
  <c r="AX2608" i="1" s="1"/>
  <c r="M2608" i="1"/>
  <c r="U2608" i="1" s="1"/>
  <c r="AT2606" i="1"/>
  <c r="AX2606" i="1" s="1"/>
  <c r="M2606" i="1"/>
  <c r="U2606" i="1" s="1"/>
  <c r="AT2604" i="1"/>
  <c r="AX2604" i="1" s="1"/>
  <c r="M2604" i="1"/>
  <c r="U2604" i="1" s="1"/>
  <c r="AT2602" i="1"/>
  <c r="AX2602" i="1" s="1"/>
  <c r="M2602" i="1"/>
  <c r="U2602" i="1" s="1"/>
  <c r="AT2600" i="1"/>
  <c r="AX2600" i="1" s="1"/>
  <c r="M2600" i="1"/>
  <c r="U2600" i="1" s="1"/>
  <c r="AT2598" i="1"/>
  <c r="AX2598" i="1" s="1"/>
  <c r="M2598" i="1"/>
  <c r="AT2596" i="1"/>
  <c r="AX2596" i="1" s="1"/>
  <c r="M2596" i="1"/>
  <c r="U2596" i="1" s="1"/>
  <c r="AT2594" i="1"/>
  <c r="AX2594" i="1" s="1"/>
  <c r="M2594" i="1"/>
  <c r="U2594" i="1" s="1"/>
  <c r="AT2592" i="1"/>
  <c r="AX2592" i="1" s="1"/>
  <c r="M2592" i="1"/>
  <c r="U2592" i="1" s="1"/>
  <c r="AT2590" i="1"/>
  <c r="AX2590" i="1" s="1"/>
  <c r="M2590" i="1"/>
  <c r="AT2588" i="1"/>
  <c r="AX2588" i="1" s="1"/>
  <c r="M2588" i="1"/>
  <c r="U2588" i="1" s="1"/>
  <c r="AT2586" i="1"/>
  <c r="AX2586" i="1" s="1"/>
  <c r="M2586" i="1"/>
  <c r="AT2584" i="1"/>
  <c r="AX2584" i="1" s="1"/>
  <c r="M2584" i="1"/>
  <c r="U2584" i="1" s="1"/>
  <c r="AT2582" i="1"/>
  <c r="AX2582" i="1" s="1"/>
  <c r="M2582" i="1"/>
  <c r="U2582" i="1" s="1"/>
  <c r="AT2580" i="1"/>
  <c r="AX2580" i="1" s="1"/>
  <c r="M2580" i="1"/>
  <c r="U2580" i="1" s="1"/>
  <c r="AT2578" i="1"/>
  <c r="AX2578" i="1" s="1"/>
  <c r="M2578" i="1"/>
  <c r="U2578" i="1" s="1"/>
  <c r="AT2576" i="1"/>
  <c r="AX2576" i="1" s="1"/>
  <c r="M2576" i="1"/>
  <c r="U2576" i="1" s="1"/>
  <c r="AT2574" i="1"/>
  <c r="AX2574" i="1" s="1"/>
  <c r="M2574" i="1"/>
  <c r="AT2572" i="1"/>
  <c r="M2572" i="1"/>
  <c r="AT2570" i="1"/>
  <c r="AX2570" i="1" s="1"/>
  <c r="M2570" i="1"/>
  <c r="U2570" i="1" s="1"/>
  <c r="AT2568" i="1"/>
  <c r="AX2568" i="1" s="1"/>
  <c r="M2568" i="1"/>
  <c r="U2568" i="1" s="1"/>
  <c r="AT2566" i="1"/>
  <c r="AX2566" i="1" s="1"/>
  <c r="M2566" i="1"/>
  <c r="O2558" i="1"/>
  <c r="O2556" i="1"/>
  <c r="O2552" i="1"/>
  <c r="AT12" i="4"/>
  <c r="AX12" i="4" s="1"/>
  <c r="U12" i="4"/>
  <c r="O2526" i="1"/>
  <c r="M2526" i="1"/>
  <c r="O2412" i="1"/>
  <c r="O2404" i="1"/>
  <c r="O2402" i="1"/>
  <c r="O2400" i="1"/>
  <c r="O2390" i="1"/>
  <c r="U2520" i="1"/>
  <c r="U2590" i="1" l="1"/>
  <c r="U2586" i="1"/>
  <c r="U2598" i="1"/>
  <c r="U2526" i="1"/>
  <c r="U2566" i="1"/>
  <c r="U2572" i="1"/>
  <c r="M2624" i="1"/>
  <c r="U2624" i="1" s="1"/>
  <c r="U2574" i="1"/>
  <c r="AX2564" i="1"/>
  <c r="M2564" i="1"/>
  <c r="U2564" i="1" s="1"/>
  <c r="AX2562" i="1"/>
  <c r="M2562" i="1"/>
  <c r="U2562" i="1" s="1"/>
  <c r="AX2560" i="1"/>
  <c r="M2560" i="1"/>
  <c r="U2560" i="1" s="1"/>
  <c r="AX2558" i="1"/>
  <c r="M2558" i="1"/>
  <c r="U2558" i="1" s="1"/>
  <c r="AX2556" i="1"/>
  <c r="M2556" i="1"/>
  <c r="U2556" i="1" s="1"/>
  <c r="AX2554" i="1"/>
  <c r="M2554" i="1"/>
  <c r="U2554" i="1" s="1"/>
  <c r="AX2552" i="1"/>
  <c r="M2552" i="1"/>
  <c r="U2552" i="1" s="1"/>
  <c r="AX2550" i="1"/>
  <c r="M2550" i="1"/>
  <c r="U2550" i="1" s="1"/>
  <c r="AX2548" i="1"/>
  <c r="M2548" i="1"/>
  <c r="U2548" i="1" s="1"/>
  <c r="AX2546" i="1"/>
  <c r="M2546" i="1"/>
  <c r="U2546" i="1" s="1"/>
  <c r="AX2544" i="1"/>
  <c r="M2544" i="1"/>
  <c r="U2544" i="1" s="1"/>
  <c r="AX2542" i="1"/>
  <c r="M2542" i="1"/>
  <c r="U2542" i="1" s="1"/>
  <c r="O2518" i="1"/>
  <c r="AX2490" i="1"/>
  <c r="M2490" i="1"/>
  <c r="U2490" i="1" s="1"/>
  <c r="AX2488" i="1"/>
  <c r="M2488" i="1"/>
  <c r="U2488" i="1" s="1"/>
  <c r="AX2540" i="1" l="1"/>
  <c r="M2540" i="1"/>
  <c r="U2540" i="1" s="1"/>
  <c r="AX2538" i="1"/>
  <c r="M2538" i="1"/>
  <c r="U2538" i="1" s="1"/>
  <c r="AX2536" i="1"/>
  <c r="M2536" i="1"/>
  <c r="U2536" i="1" s="1"/>
  <c r="AX2534" i="1"/>
  <c r="M2534" i="1"/>
  <c r="U2534" i="1" s="1"/>
  <c r="AX2532" i="1"/>
  <c r="M2532" i="1"/>
  <c r="U2532" i="1" s="1"/>
  <c r="AX2530" i="1"/>
  <c r="M2530" i="1"/>
  <c r="U2530" i="1" s="1"/>
  <c r="AX2528" i="1"/>
  <c r="M2528" i="1"/>
  <c r="U2528" i="1" s="1"/>
  <c r="AX2524" i="1"/>
  <c r="M2524" i="1"/>
  <c r="U2524" i="1" s="1"/>
  <c r="AX2522" i="1"/>
  <c r="M2522" i="1"/>
  <c r="U2522" i="1" s="1"/>
  <c r="AX2518" i="1"/>
  <c r="M2518" i="1"/>
  <c r="U2518" i="1" s="1"/>
  <c r="AX2516" i="1"/>
  <c r="M2516" i="1"/>
  <c r="U2516" i="1" s="1"/>
  <c r="AX2514" i="1"/>
  <c r="M2514" i="1"/>
  <c r="U2514" i="1" s="1"/>
  <c r="AX2512" i="1"/>
  <c r="M2512" i="1"/>
  <c r="U2512" i="1" s="1"/>
  <c r="AX2510" i="1"/>
  <c r="M2510" i="1"/>
  <c r="U2510" i="1" s="1"/>
  <c r="AX2508" i="1"/>
  <c r="M2508" i="1"/>
  <c r="U2508" i="1" s="1"/>
  <c r="AX2506" i="1"/>
  <c r="M2506" i="1"/>
  <c r="U2506" i="1" s="1"/>
  <c r="AX2504" i="1"/>
  <c r="U2504" i="1"/>
  <c r="AX2502" i="1"/>
  <c r="M2502" i="1"/>
  <c r="U2502" i="1" s="1"/>
  <c r="AX2500" i="1"/>
  <c r="M2500" i="1"/>
  <c r="U2500" i="1" s="1"/>
  <c r="AX2498" i="1"/>
  <c r="M2498" i="1"/>
  <c r="U2498" i="1" s="1"/>
  <c r="AX2496" i="1"/>
  <c r="M2496" i="1"/>
  <c r="U2496" i="1" s="1"/>
  <c r="AX2494" i="1"/>
  <c r="M2494" i="1"/>
  <c r="U2494" i="1" s="1"/>
  <c r="AX2492" i="1"/>
  <c r="M2492" i="1"/>
  <c r="U2492" i="1" s="1"/>
  <c r="AX2486" i="1"/>
  <c r="M2486" i="1"/>
  <c r="U2486" i="1" s="1"/>
  <c r="O2478" i="1" l="1"/>
  <c r="K2474" i="1"/>
  <c r="M2474" i="1" s="1"/>
  <c r="U2474" i="1" s="1"/>
  <c r="K2472" i="1"/>
  <c r="M2472" i="1" s="1"/>
  <c r="U2472" i="1" s="1"/>
  <c r="K2470" i="1"/>
  <c r="M2470" i="1" s="1"/>
  <c r="U2470" i="1" s="1"/>
  <c r="K2468" i="1"/>
  <c r="M2468" i="1" s="1"/>
  <c r="U2468" i="1" s="1"/>
  <c r="K2466" i="1"/>
  <c r="M2466" i="1" s="1"/>
  <c r="U2466" i="1" s="1"/>
  <c r="K2464" i="1"/>
  <c r="U2464" i="1" s="1"/>
  <c r="K2462" i="1"/>
  <c r="M2462" i="1" s="1"/>
  <c r="U2462" i="1" s="1"/>
  <c r="K2460" i="1"/>
  <c r="M2460" i="1" s="1"/>
  <c r="U2460" i="1" s="1"/>
  <c r="K2458" i="1"/>
  <c r="M2458" i="1" s="1"/>
  <c r="U2458" i="1" s="1"/>
  <c r="K2456" i="1"/>
  <c r="M2456" i="1" s="1"/>
  <c r="K2454" i="1"/>
  <c r="M2454" i="1" s="1"/>
  <c r="U2454" i="1" s="1"/>
  <c r="K2452" i="1"/>
  <c r="M2452" i="1" s="1"/>
  <c r="U2452" i="1" s="1"/>
  <c r="K2450" i="1"/>
  <c r="M2450" i="1" s="1"/>
  <c r="U2450" i="1" s="1"/>
  <c r="O2448" i="1"/>
  <c r="O2446" i="1"/>
  <c r="O2444" i="1"/>
  <c r="O2442" i="1"/>
  <c r="O2440" i="1"/>
  <c r="O2436" i="1"/>
  <c r="O2434" i="1"/>
  <c r="O2432" i="1"/>
  <c r="O2426" i="1"/>
  <c r="AX2484" i="1"/>
  <c r="M2484" i="1"/>
  <c r="U2484" i="1" s="1"/>
  <c r="AX2482" i="1"/>
  <c r="M2482" i="1"/>
  <c r="U2482" i="1" s="1"/>
  <c r="AX2480" i="1"/>
  <c r="M2480" i="1"/>
  <c r="U2480" i="1" s="1"/>
  <c r="AX2478" i="1"/>
  <c r="M2478" i="1"/>
  <c r="AX2476" i="1"/>
  <c r="U2476" i="1"/>
  <c r="AX2474" i="1"/>
  <c r="AX2472" i="1"/>
  <c r="AX2470" i="1"/>
  <c r="AX2468" i="1"/>
  <c r="AX2466" i="1"/>
  <c r="AX2464" i="1"/>
  <c r="AX2462" i="1"/>
  <c r="AX2460" i="1"/>
  <c r="AX2458" i="1"/>
  <c r="AX2456" i="1"/>
  <c r="AX2454" i="1"/>
  <c r="AX2452" i="1"/>
  <c r="AX2450" i="1"/>
  <c r="M2448" i="1"/>
  <c r="AX2446" i="1"/>
  <c r="M2446" i="1"/>
  <c r="AX2444" i="1"/>
  <c r="M2444" i="1"/>
  <c r="O2418" i="1"/>
  <c r="AX2408" i="1"/>
  <c r="M2408" i="1"/>
  <c r="U2408" i="1" s="1"/>
  <c r="AX2384" i="1"/>
  <c r="M2384" i="1"/>
  <c r="U2384" i="1" s="1"/>
  <c r="AX2442" i="1"/>
  <c r="M2442" i="1"/>
  <c r="AX2440" i="1"/>
  <c r="M2440" i="1"/>
  <c r="AX2438" i="1"/>
  <c r="M2438" i="1"/>
  <c r="U2438" i="1" s="1"/>
  <c r="AX2436" i="1"/>
  <c r="M2436" i="1"/>
  <c r="AX2434" i="1"/>
  <c r="M2434" i="1"/>
  <c r="AX2432" i="1"/>
  <c r="M2432" i="1"/>
  <c r="AX2430" i="1"/>
  <c r="M2430" i="1"/>
  <c r="U2430" i="1" s="1"/>
  <c r="AX2428" i="1"/>
  <c r="M2428" i="1"/>
  <c r="U2428" i="1" s="1"/>
  <c r="AX2426" i="1"/>
  <c r="M2426" i="1"/>
  <c r="AX2424" i="1"/>
  <c r="M2424" i="1"/>
  <c r="U2424" i="1" s="1"/>
  <c r="AX2422" i="1"/>
  <c r="M2422" i="1"/>
  <c r="U2422" i="1" s="1"/>
  <c r="AX2420" i="1"/>
  <c r="M2420" i="1"/>
  <c r="U2420" i="1" s="1"/>
  <c r="AX2418" i="1"/>
  <c r="M2418" i="1"/>
  <c r="AX2416" i="1"/>
  <c r="M2416" i="1"/>
  <c r="U2416" i="1" s="1"/>
  <c r="AX2414" i="1"/>
  <c r="M2414" i="1"/>
  <c r="U2414" i="1" s="1"/>
  <c r="AX2412" i="1"/>
  <c r="M2412" i="1"/>
  <c r="U2412" i="1" s="1"/>
  <c r="AX2410" i="1"/>
  <c r="M2410" i="1"/>
  <c r="U2410" i="1" s="1"/>
  <c r="AX2406" i="1"/>
  <c r="M2406" i="1"/>
  <c r="U2406" i="1" s="1"/>
  <c r="AX2404" i="1"/>
  <c r="M2404" i="1"/>
  <c r="U2404" i="1" s="1"/>
  <c r="AX2402" i="1"/>
  <c r="M2402" i="1"/>
  <c r="U2402" i="1" s="1"/>
  <c r="AX2400" i="1"/>
  <c r="M2400" i="1"/>
  <c r="U2400" i="1" s="1"/>
  <c r="U2432" i="1" l="1"/>
  <c r="U2442" i="1"/>
  <c r="U2478" i="1"/>
  <c r="U2440" i="1"/>
  <c r="U2434" i="1"/>
  <c r="U2444" i="1"/>
  <c r="U2436" i="1"/>
  <c r="U2418" i="1"/>
  <c r="U2446" i="1"/>
  <c r="U2448" i="1"/>
  <c r="U2426" i="1"/>
  <c r="U2456" i="1"/>
  <c r="K2372" i="1"/>
  <c r="K2370" i="1"/>
  <c r="K2368" i="1"/>
  <c r="K2366" i="1"/>
  <c r="K2364" i="1"/>
  <c r="O2356" i="1"/>
  <c r="O2354" i="1"/>
  <c r="AX2356" i="1"/>
  <c r="M2356" i="1"/>
  <c r="AX2332" i="1"/>
  <c r="M2332" i="1"/>
  <c r="U2332" i="1" s="1"/>
  <c r="AX2330" i="1"/>
  <c r="U2330" i="1"/>
  <c r="AX2326" i="1"/>
  <c r="M2326" i="1"/>
  <c r="U2326" i="1" s="1"/>
  <c r="AX2324" i="1"/>
  <c r="M2324" i="1"/>
  <c r="U2324" i="1" s="1"/>
  <c r="AX2328" i="1"/>
  <c r="M2328" i="1"/>
  <c r="U2328" i="1" s="1"/>
  <c r="AX2322" i="1"/>
  <c r="M2322" i="1"/>
  <c r="U2322" i="1" s="1"/>
  <c r="AX2320" i="1"/>
  <c r="M2320" i="1"/>
  <c r="U2320" i="1" s="1"/>
  <c r="AX2318" i="1"/>
  <c r="M2318" i="1"/>
  <c r="U2318" i="1" s="1"/>
  <c r="AX2316" i="1"/>
  <c r="M2316" i="1"/>
  <c r="U2316" i="1" s="1"/>
  <c r="AX2314" i="1"/>
  <c r="M2314" i="1"/>
  <c r="U2314" i="1" s="1"/>
  <c r="AX2312" i="1"/>
  <c r="M2312" i="1"/>
  <c r="U2312" i="1" s="1"/>
  <c r="AX2310" i="1"/>
  <c r="M2310" i="1"/>
  <c r="U2310" i="1" s="1"/>
  <c r="AX2308" i="1"/>
  <c r="M2308" i="1"/>
  <c r="U2308" i="1" s="1"/>
  <c r="AX2306" i="1"/>
  <c r="M2306" i="1"/>
  <c r="U2306" i="1" s="1"/>
  <c r="AX2304" i="1"/>
  <c r="M2304" i="1"/>
  <c r="U2304" i="1" s="1"/>
  <c r="M2334" i="1"/>
  <c r="U2334" i="1" s="1"/>
  <c r="AX2334" i="1"/>
  <c r="M2336" i="1"/>
  <c r="U2336" i="1" s="1"/>
  <c r="AX2336" i="1"/>
  <c r="M2338" i="1"/>
  <c r="U2338" i="1" s="1"/>
  <c r="AX2338" i="1"/>
  <c r="M2340" i="1"/>
  <c r="U2340" i="1" s="1"/>
  <c r="AX2340" i="1"/>
  <c r="M2342" i="1"/>
  <c r="U2342" i="1" s="1"/>
  <c r="AX2342" i="1"/>
  <c r="AX2302" i="1"/>
  <c r="M2302" i="1"/>
  <c r="U2302" i="1" s="1"/>
  <c r="U2356" i="1" l="1"/>
  <c r="AX2300" i="1"/>
  <c r="M2300" i="1"/>
  <c r="U2300" i="1" s="1"/>
  <c r="AX2398" i="1"/>
  <c r="M2398" i="1"/>
  <c r="U2398" i="1" s="1"/>
  <c r="AX2396" i="1"/>
  <c r="M2396" i="1"/>
  <c r="U2396" i="1" s="1"/>
  <c r="AX2394" i="1"/>
  <c r="M2394" i="1"/>
  <c r="U2394" i="1" s="1"/>
  <c r="AX2392" i="1"/>
  <c r="M2392" i="1"/>
  <c r="U2392" i="1" s="1"/>
  <c r="AX2390" i="1"/>
  <c r="M2390" i="1"/>
  <c r="U2390" i="1" s="1"/>
  <c r="AX2388" i="1"/>
  <c r="M2388" i="1"/>
  <c r="U2388" i="1" s="1"/>
  <c r="AX2386" i="1"/>
  <c r="M2386" i="1"/>
  <c r="U2386" i="1" s="1"/>
  <c r="AX2382" i="1"/>
  <c r="M2382" i="1"/>
  <c r="U2382" i="1" s="1"/>
  <c r="AX2380" i="1"/>
  <c r="M2380" i="1"/>
  <c r="U2380" i="1" s="1"/>
  <c r="AX2378" i="1"/>
  <c r="M2378" i="1"/>
  <c r="U2378" i="1" s="1"/>
  <c r="AX2376" i="1"/>
  <c r="M2376" i="1"/>
  <c r="U2376" i="1" s="1"/>
  <c r="AX2374" i="1"/>
  <c r="M2374" i="1"/>
  <c r="U2374" i="1" s="1"/>
  <c r="AX2372" i="1"/>
  <c r="M2372" i="1"/>
  <c r="U2372" i="1" s="1"/>
  <c r="AX2256" i="1"/>
  <c r="M2256" i="1"/>
  <c r="U2256" i="1" s="1"/>
  <c r="O2254" i="1"/>
  <c r="AX2254" i="1"/>
  <c r="M2254" i="1"/>
  <c r="AX2270" i="1"/>
  <c r="M2270" i="1"/>
  <c r="U2270" i="1" s="1"/>
  <c r="U2254" i="1" l="1"/>
  <c r="AX2268" i="1"/>
  <c r="M2268" i="1"/>
  <c r="U2268" i="1" s="1"/>
  <c r="AX2266" i="1"/>
  <c r="M2266" i="1"/>
  <c r="U2266" i="1" s="1"/>
  <c r="AX2264" i="1"/>
  <c r="M2264" i="1"/>
  <c r="U2264" i="1" s="1"/>
  <c r="O2250" i="1" l="1"/>
  <c r="O2246" i="1"/>
  <c r="O2244" i="1"/>
  <c r="O2238" i="1"/>
  <c r="O2236" i="1"/>
  <c r="O2228" i="1"/>
  <c r="O2220" i="1"/>
  <c r="AX2370" i="1"/>
  <c r="M2370" i="1"/>
  <c r="U2370" i="1" s="1"/>
  <c r="AX2368" i="1"/>
  <c r="M2368" i="1"/>
  <c r="U2368" i="1" s="1"/>
  <c r="AX2366" i="1"/>
  <c r="M2366" i="1"/>
  <c r="U2366" i="1" s="1"/>
  <c r="AX2364" i="1"/>
  <c r="M2364" i="1"/>
  <c r="U2364" i="1" s="1"/>
  <c r="AX2362" i="1"/>
  <c r="M2362" i="1"/>
  <c r="U2362" i="1" s="1"/>
  <c r="AX2360" i="1"/>
  <c r="M2360" i="1"/>
  <c r="U2360" i="1" s="1"/>
  <c r="AX2358" i="1"/>
  <c r="M2358" i="1"/>
  <c r="U2358" i="1" s="1"/>
  <c r="AX2354" i="1"/>
  <c r="M2354" i="1"/>
  <c r="U2354" i="1" s="1"/>
  <c r="AX2352" i="1"/>
  <c r="M2352" i="1"/>
  <c r="U2352" i="1" s="1"/>
  <c r="AX2350" i="1"/>
  <c r="M2350" i="1"/>
  <c r="U2350" i="1" s="1"/>
  <c r="AX2348" i="1"/>
  <c r="M2348" i="1"/>
  <c r="U2348" i="1" s="1"/>
  <c r="AX2346" i="1"/>
  <c r="M2346" i="1"/>
  <c r="U2346" i="1" s="1"/>
  <c r="AX2344" i="1"/>
  <c r="M2344" i="1"/>
  <c r="U2344" i="1" s="1"/>
  <c r="AX2298" i="1"/>
  <c r="M2298" i="1"/>
  <c r="U2298" i="1" s="1"/>
  <c r="AX2296" i="1"/>
  <c r="M2296" i="1"/>
  <c r="U2296" i="1" s="1"/>
  <c r="AX2294" i="1"/>
  <c r="M2294" i="1"/>
  <c r="U2294" i="1" s="1"/>
  <c r="AX2292" i="1"/>
  <c r="M2292" i="1"/>
  <c r="U2292" i="1" s="1"/>
  <c r="AX2290" i="1"/>
  <c r="M2290" i="1"/>
  <c r="U2290" i="1" s="1"/>
  <c r="AX2288" i="1"/>
  <c r="M2288" i="1"/>
  <c r="U2288" i="1" s="1"/>
  <c r="AX2286" i="1"/>
  <c r="M2286" i="1"/>
  <c r="U2286" i="1" s="1"/>
  <c r="AX2284" i="1"/>
  <c r="M2284" i="1"/>
  <c r="U2284" i="1" s="1"/>
  <c r="AX2282" i="1"/>
  <c r="M2282" i="1"/>
  <c r="U2282" i="1" s="1"/>
  <c r="AX2280" i="1"/>
  <c r="M2280" i="1"/>
  <c r="U2280" i="1" s="1"/>
  <c r="AX2278" i="1"/>
  <c r="M2278" i="1"/>
  <c r="U2278" i="1" s="1"/>
  <c r="AX2276" i="1"/>
  <c r="M2276" i="1"/>
  <c r="U2276" i="1" s="1"/>
  <c r="AX2274" i="1"/>
  <c r="M2274" i="1"/>
  <c r="U2274" i="1" s="1"/>
  <c r="AX2272" i="1"/>
  <c r="M2272" i="1"/>
  <c r="U2272" i="1" s="1"/>
  <c r="AX2262" i="1"/>
  <c r="M2262" i="1"/>
  <c r="U2262" i="1" s="1"/>
  <c r="AX2260" i="1"/>
  <c r="M2260" i="1"/>
  <c r="U2260" i="1" s="1"/>
  <c r="AX2258" i="1"/>
  <c r="M2258" i="1"/>
  <c r="U2258" i="1" s="1"/>
  <c r="AX2252" i="1"/>
  <c r="M2252" i="1"/>
  <c r="U2252" i="1" s="1"/>
  <c r="AX2250" i="1"/>
  <c r="M2250" i="1"/>
  <c r="U2250" i="1" l="1"/>
  <c r="AX2214" i="1"/>
  <c r="M2214" i="1"/>
  <c r="U2214" i="1" s="1"/>
  <c r="AX2212" i="1"/>
  <c r="M2212" i="1"/>
  <c r="U2212" i="1" s="1"/>
  <c r="K2172" i="1"/>
  <c r="M2172" i="1" s="1"/>
  <c r="U2172" i="1" s="1"/>
  <c r="AX2172" i="1"/>
  <c r="K2170" i="1"/>
  <c r="M2170" i="1" s="1"/>
  <c r="AX2170" i="1"/>
  <c r="AX2190" i="1"/>
  <c r="M2190" i="1"/>
  <c r="U2190" i="1" s="1"/>
  <c r="AX2196" i="1"/>
  <c r="M2196" i="1"/>
  <c r="U2196" i="1" s="1"/>
  <c r="AX2202" i="1"/>
  <c r="M2202" i="1"/>
  <c r="U2202" i="1" s="1"/>
  <c r="AX2210" i="1"/>
  <c r="M2210" i="1"/>
  <c r="U2210" i="1" s="1"/>
  <c r="AX2208" i="1"/>
  <c r="M2208" i="1"/>
  <c r="U2208" i="1" s="1"/>
  <c r="AX2206" i="1"/>
  <c r="M2206" i="1"/>
  <c r="U2206" i="1" s="1"/>
  <c r="AX2204" i="1"/>
  <c r="M2204" i="1"/>
  <c r="U2204" i="1" s="1"/>
  <c r="AX2188" i="1"/>
  <c r="M2188" i="1"/>
  <c r="U2188" i="1" s="1"/>
  <c r="AX2186" i="1"/>
  <c r="M2186" i="1"/>
  <c r="U2186" i="1" s="1"/>
  <c r="AX2200" i="1"/>
  <c r="M2200" i="1"/>
  <c r="U2200" i="1" s="1"/>
  <c r="AX2198" i="1"/>
  <c r="M2198" i="1"/>
  <c r="U2198" i="1" s="1"/>
  <c r="O2158" i="1"/>
  <c r="O2156" i="1"/>
  <c r="O2154" i="1"/>
  <c r="U2170" i="1" l="1"/>
  <c r="K2150" i="1" l="1"/>
  <c r="K2148" i="1"/>
  <c r="K2146" i="1"/>
  <c r="K2144" i="1"/>
  <c r="K2142" i="1"/>
  <c r="K2140" i="1"/>
  <c r="K2138" i="1"/>
  <c r="K2136" i="1"/>
  <c r="K2134" i="1"/>
  <c r="K2130" i="1"/>
  <c r="K2128" i="1"/>
  <c r="K2126" i="1"/>
  <c r="K2124" i="1"/>
  <c r="K2122" i="1"/>
  <c r="K2120" i="1"/>
  <c r="AX2248" i="1" l="1"/>
  <c r="M2248" i="1"/>
  <c r="U2248" i="1" s="1"/>
  <c r="AX2246" i="1"/>
  <c r="M2246" i="1"/>
  <c r="U2246" i="1" s="1"/>
  <c r="AX2244" i="1"/>
  <c r="M2244" i="1"/>
  <c r="U2244" i="1" s="1"/>
  <c r="AX2242" i="1"/>
  <c r="M2242" i="1"/>
  <c r="U2242" i="1" s="1"/>
  <c r="AX2240" i="1"/>
  <c r="M2240" i="1"/>
  <c r="U2240" i="1" s="1"/>
  <c r="AX2238" i="1"/>
  <c r="M2238" i="1"/>
  <c r="U2238" i="1" s="1"/>
  <c r="AX2236" i="1"/>
  <c r="M2236" i="1"/>
  <c r="U2236" i="1" s="1"/>
  <c r="AX2234" i="1"/>
  <c r="M2234" i="1"/>
  <c r="U2234" i="1" s="1"/>
  <c r="AX2232" i="1"/>
  <c r="M2232" i="1"/>
  <c r="U2232" i="1" s="1"/>
  <c r="AX2230" i="1"/>
  <c r="M2230" i="1"/>
  <c r="U2230" i="1" s="1"/>
  <c r="AX2228" i="1"/>
  <c r="M2228" i="1"/>
  <c r="U2228" i="1" s="1"/>
  <c r="AX2226" i="1"/>
  <c r="M2226" i="1"/>
  <c r="U2226" i="1" s="1"/>
  <c r="AX2224" i="1"/>
  <c r="M2224" i="1"/>
  <c r="U2224" i="1" s="1"/>
  <c r="AX2222" i="1"/>
  <c r="M2222" i="1"/>
  <c r="U2222" i="1" s="1"/>
  <c r="AX2220" i="1"/>
  <c r="M2220" i="1"/>
  <c r="U2220" i="1" s="1"/>
  <c r="AX2218" i="1"/>
  <c r="M2218" i="1"/>
  <c r="U2218" i="1" s="1"/>
  <c r="AX2216" i="1"/>
  <c r="M2216" i="1"/>
  <c r="U2216" i="1" s="1"/>
  <c r="AX2194" i="1"/>
  <c r="M2194" i="1"/>
  <c r="U2194" i="1" s="1"/>
  <c r="AX2192" i="1"/>
  <c r="M2192" i="1"/>
  <c r="U2192" i="1" s="1"/>
  <c r="AX2184" i="1"/>
  <c r="M2184" i="1"/>
  <c r="U2184" i="1" s="1"/>
  <c r="AX2182" i="1"/>
  <c r="M2182" i="1"/>
  <c r="U2182" i="1" s="1"/>
  <c r="AX2180" i="1"/>
  <c r="M2180" i="1"/>
  <c r="U2180" i="1" s="1"/>
  <c r="AX2178" i="1"/>
  <c r="M2178" i="1"/>
  <c r="U2178" i="1" s="1"/>
  <c r="AX2176" i="1"/>
  <c r="M2176" i="1"/>
  <c r="U2176" i="1" s="1"/>
  <c r="AX2174" i="1"/>
  <c r="M2174" i="1"/>
  <c r="U2174" i="1" s="1"/>
  <c r="AX2168" i="1"/>
  <c r="M2168" i="1"/>
  <c r="U2168" i="1" s="1"/>
  <c r="AX2166" i="1"/>
  <c r="M2166" i="1"/>
  <c r="U2166" i="1" s="1"/>
  <c r="AX2164" i="1"/>
  <c r="M2164" i="1"/>
  <c r="U2164" i="1" s="1"/>
  <c r="AX2162" i="1"/>
  <c r="M2162" i="1"/>
  <c r="U2162" i="1" s="1"/>
  <c r="AX2160" i="1"/>
  <c r="M2160" i="1"/>
  <c r="U2160" i="1" s="1"/>
  <c r="AX2158" i="1"/>
  <c r="M2158" i="1"/>
  <c r="U2158" i="1" s="1"/>
  <c r="AX2156" i="1"/>
  <c r="M2156" i="1"/>
  <c r="U2156" i="1" s="1"/>
  <c r="AX2154" i="1"/>
  <c r="M2154" i="1"/>
  <c r="U2154" i="1" s="1"/>
  <c r="AX2152" i="1"/>
  <c r="M2152" i="1"/>
  <c r="U2152" i="1" s="1"/>
  <c r="AX2150" i="1"/>
  <c r="M2150" i="1"/>
  <c r="U2150" i="1" s="1"/>
  <c r="O2116" i="1" l="1"/>
  <c r="O2114" i="1"/>
  <c r="O2112" i="1"/>
  <c r="O2108" i="1"/>
  <c r="O2088" i="1"/>
  <c r="AX2088" i="1"/>
  <c r="M2088" i="1"/>
  <c r="O2086" i="1"/>
  <c r="O2084" i="1"/>
  <c r="U2088" i="1" l="1"/>
  <c r="AX2082" i="1"/>
  <c r="M2082" i="1"/>
  <c r="U2082" i="1" s="1"/>
  <c r="K2080" i="1"/>
  <c r="M2080" i="1" s="1"/>
  <c r="U2080" i="1" s="1"/>
  <c r="K2078" i="1"/>
  <c r="M2078" i="1" s="1"/>
  <c r="U2078" i="1" s="1"/>
  <c r="K2076" i="1"/>
  <c r="M2076" i="1" s="1"/>
  <c r="U2076" i="1" s="1"/>
  <c r="K2074" i="1"/>
  <c r="M2074" i="1" s="1"/>
  <c r="U2074" i="1" s="1"/>
  <c r="K2072" i="1"/>
  <c r="M2072" i="1" s="1"/>
  <c r="U2072" i="1" s="1"/>
  <c r="O2058" i="1"/>
  <c r="O2034" i="1"/>
  <c r="O2032" i="1"/>
  <c r="O2030" i="1"/>
  <c r="AX2148" i="1"/>
  <c r="M2148" i="1"/>
  <c r="U2148" i="1" s="1"/>
  <c r="AX2146" i="1"/>
  <c r="M2146" i="1"/>
  <c r="U2146" i="1" s="1"/>
  <c r="AX2144" i="1"/>
  <c r="M2144" i="1"/>
  <c r="U2144" i="1" s="1"/>
  <c r="AX2142" i="1"/>
  <c r="M2142" i="1"/>
  <c r="U2142" i="1" s="1"/>
  <c r="AX2140" i="1"/>
  <c r="M2140" i="1"/>
  <c r="U2140" i="1" s="1"/>
  <c r="AX2138" i="1"/>
  <c r="M2138" i="1"/>
  <c r="U2138" i="1" s="1"/>
  <c r="AX2136" i="1"/>
  <c r="M2136" i="1"/>
  <c r="U2136" i="1" s="1"/>
  <c r="M2134" i="1"/>
  <c r="U2134" i="1" s="1"/>
  <c r="AX2132" i="1"/>
  <c r="U2132" i="1"/>
  <c r="AX2130" i="1"/>
  <c r="M2130" i="1"/>
  <c r="U2130" i="1" s="1"/>
  <c r="AX2128" i="1"/>
  <c r="M2128" i="1"/>
  <c r="U2128" i="1" s="1"/>
  <c r="AX2126" i="1"/>
  <c r="M2126" i="1"/>
  <c r="U2126" i="1" s="1"/>
  <c r="AX2124" i="1"/>
  <c r="M2124" i="1"/>
  <c r="U2124" i="1" s="1"/>
  <c r="AX2122" i="1"/>
  <c r="M2122" i="1"/>
  <c r="U2122" i="1" s="1"/>
  <c r="AX2120" i="1"/>
  <c r="M2120" i="1"/>
  <c r="U2120" i="1" s="1"/>
  <c r="AX2118" i="1"/>
  <c r="M2118" i="1"/>
  <c r="U2118" i="1" s="1"/>
  <c r="AX2116" i="1"/>
  <c r="M2116" i="1"/>
  <c r="U2116" i="1" s="1"/>
  <c r="AX2114" i="1"/>
  <c r="M2114" i="1"/>
  <c r="U2114" i="1" s="1"/>
  <c r="AX2112" i="1"/>
  <c r="M2112" i="1"/>
  <c r="U2112" i="1" s="1"/>
  <c r="AX2110" i="1"/>
  <c r="M2110" i="1"/>
  <c r="U2110" i="1" s="1"/>
  <c r="AX2108" i="1"/>
  <c r="U2108" i="1"/>
  <c r="AX2106" i="1"/>
  <c r="M2106" i="1"/>
  <c r="U2106" i="1" s="1"/>
  <c r="AX2104" i="1"/>
  <c r="M2104" i="1"/>
  <c r="U2104" i="1" s="1"/>
  <c r="AX2102" i="1"/>
  <c r="M2102" i="1"/>
  <c r="U2102" i="1" s="1"/>
  <c r="AX2100" i="1"/>
  <c r="M2100" i="1"/>
  <c r="U2100" i="1" s="1"/>
  <c r="AX2098" i="1"/>
  <c r="M2098" i="1"/>
  <c r="U2098" i="1" s="1"/>
  <c r="AX2096" i="1"/>
  <c r="M2096" i="1"/>
  <c r="U2096" i="1" s="1"/>
  <c r="AX2094" i="1"/>
  <c r="M2094" i="1"/>
  <c r="U2094" i="1" s="1"/>
  <c r="AX2092" i="1"/>
  <c r="M2092" i="1"/>
  <c r="U2092" i="1" s="1"/>
  <c r="AX2090" i="1"/>
  <c r="M2090" i="1"/>
  <c r="U2090" i="1" s="1"/>
  <c r="AX2086" i="1"/>
  <c r="M2086" i="1"/>
  <c r="U2086" i="1" s="1"/>
  <c r="AX2084" i="1"/>
  <c r="M2084" i="1"/>
  <c r="U2084" i="1" s="1"/>
  <c r="AX2080" i="1"/>
  <c r="AX2078" i="1"/>
  <c r="AX2076" i="1"/>
  <c r="AX2074" i="1"/>
  <c r="AX2072" i="1"/>
  <c r="AX2070" i="1"/>
  <c r="M2070" i="1"/>
  <c r="U2070" i="1" s="1"/>
  <c r="AX2068" i="1"/>
  <c r="M2068" i="1"/>
  <c r="U2068" i="1" s="1"/>
  <c r="AX2066" i="1"/>
  <c r="M2066" i="1"/>
  <c r="U2066" i="1" s="1"/>
  <c r="AX2064" i="1"/>
  <c r="M2064" i="1"/>
  <c r="U2064" i="1" s="1"/>
  <c r="AX2062" i="1"/>
  <c r="M2062" i="1"/>
  <c r="U2062" i="1" s="1"/>
  <c r="AX2060" i="1"/>
  <c r="M2060" i="1"/>
  <c r="U2060" i="1" s="1"/>
  <c r="M2058" i="1"/>
  <c r="AX2058" i="1"/>
  <c r="O2012" i="1"/>
  <c r="U2058" i="1" l="1"/>
  <c r="O1976" i="1"/>
  <c r="O1974" i="1"/>
  <c r="AX2056" i="1" l="1"/>
  <c r="M2056" i="1"/>
  <c r="U2056" i="1" s="1"/>
  <c r="AX2054" i="1"/>
  <c r="M2054" i="1"/>
  <c r="U2054" i="1" s="1"/>
  <c r="AX2052" i="1"/>
  <c r="M2052" i="1"/>
  <c r="U2052" i="1" s="1"/>
  <c r="AX2050" i="1"/>
  <c r="M2050" i="1"/>
  <c r="U2050" i="1" s="1"/>
  <c r="AX2048" i="1"/>
  <c r="M2048" i="1"/>
  <c r="U2048" i="1" s="1"/>
  <c r="AX2046" i="1"/>
  <c r="U2046" i="1"/>
  <c r="AX2044" i="1"/>
  <c r="M2044" i="1"/>
  <c r="U2044" i="1" s="1"/>
  <c r="AX2042" i="1"/>
  <c r="M2042" i="1"/>
  <c r="U2042" i="1" s="1"/>
  <c r="AX2040" i="1"/>
  <c r="M2040" i="1"/>
  <c r="U2040" i="1" s="1"/>
  <c r="AX2038" i="1"/>
  <c r="M2038" i="1"/>
  <c r="U2038" i="1" s="1"/>
  <c r="AX2036" i="1"/>
  <c r="M2036" i="1"/>
  <c r="U2036" i="1" s="1"/>
  <c r="AX2034" i="1"/>
  <c r="M2034" i="1"/>
  <c r="U2034" i="1" s="1"/>
  <c r="AX2032" i="1"/>
  <c r="M2032" i="1"/>
  <c r="U2032" i="1" s="1"/>
  <c r="AX2030" i="1"/>
  <c r="M2030" i="1"/>
  <c r="U2030" i="1" s="1"/>
  <c r="AX2028" i="1"/>
  <c r="M2028" i="1"/>
  <c r="U2028" i="1" s="1"/>
  <c r="AX2026" i="1"/>
  <c r="M2026" i="1"/>
  <c r="U2026" i="1" s="1"/>
  <c r="AX2024" i="1"/>
  <c r="M2024" i="1"/>
  <c r="U2024" i="1" s="1"/>
  <c r="AX2022" i="1"/>
  <c r="M2022" i="1"/>
  <c r="U2022" i="1" s="1"/>
  <c r="AX2020" i="1"/>
  <c r="M2020" i="1"/>
  <c r="U2020" i="1" s="1"/>
  <c r="AX2018" i="1"/>
  <c r="M2018" i="1"/>
  <c r="U2018" i="1" s="1"/>
  <c r="AX2016" i="1"/>
  <c r="M2016" i="1"/>
  <c r="U2016" i="1" s="1"/>
  <c r="AX2014" i="1"/>
  <c r="M2014" i="1"/>
  <c r="U2014" i="1" s="1"/>
  <c r="AX2012" i="1"/>
  <c r="M2012" i="1"/>
  <c r="U2012" i="1" s="1"/>
  <c r="AX2010" i="1"/>
  <c r="M2010" i="1"/>
  <c r="U2010" i="1" s="1"/>
  <c r="AX2008" i="1"/>
  <c r="M2008" i="1"/>
  <c r="U2008" i="1" s="1"/>
  <c r="AX2006" i="1"/>
  <c r="M2006" i="1"/>
  <c r="U2006" i="1" s="1"/>
  <c r="AX2004" i="1"/>
  <c r="M2004" i="1"/>
  <c r="U2004" i="1" s="1"/>
  <c r="AX2002" i="1"/>
  <c r="M2002" i="1"/>
  <c r="U2002" i="1" s="1"/>
  <c r="AX2000" i="1"/>
  <c r="M2000" i="1"/>
  <c r="U2000" i="1" s="1"/>
  <c r="AX1998" i="1"/>
  <c r="M1998" i="1"/>
  <c r="U1998" i="1" s="1"/>
  <c r="AX1996" i="1"/>
  <c r="M1996" i="1"/>
  <c r="U1996" i="1" s="1"/>
  <c r="AX1994" i="1"/>
  <c r="M1994" i="1"/>
  <c r="U1994" i="1" s="1"/>
  <c r="AX1992" i="1"/>
  <c r="M1992" i="1"/>
  <c r="U1992" i="1" s="1"/>
  <c r="AX1990" i="1"/>
  <c r="M1990" i="1"/>
  <c r="U1990" i="1" s="1"/>
  <c r="AX1988" i="1"/>
  <c r="M1988" i="1"/>
  <c r="U1988" i="1" s="1"/>
  <c r="AX1986" i="1"/>
  <c r="M1986" i="1"/>
  <c r="U1986" i="1" s="1"/>
  <c r="AX1984" i="1"/>
  <c r="M1984" i="1"/>
  <c r="U1984" i="1" s="1"/>
  <c r="AX1982" i="1"/>
  <c r="M1982" i="1"/>
  <c r="U1982" i="1" s="1"/>
  <c r="AX1980" i="1"/>
  <c r="M1980" i="1"/>
  <c r="U1980" i="1" s="1"/>
  <c r="AX1978" i="1"/>
  <c r="M1978" i="1"/>
  <c r="U1978" i="1" s="1"/>
  <c r="AX1976" i="1"/>
  <c r="M1976" i="1"/>
  <c r="U1976" i="1" s="1"/>
  <c r="AX1974" i="1"/>
  <c r="M1974" i="1"/>
  <c r="U1974" i="1" s="1"/>
  <c r="AX1972" i="1"/>
  <c r="M1972" i="1"/>
  <c r="U1972" i="1" s="1"/>
  <c r="AX1970" i="1"/>
  <c r="M1970" i="1"/>
  <c r="U1970" i="1" s="1"/>
  <c r="AX1968" i="1"/>
  <c r="M1968" i="1"/>
  <c r="U1968" i="1" s="1"/>
  <c r="AX1966" i="1"/>
  <c r="M1966" i="1"/>
  <c r="U1966" i="1" s="1"/>
  <c r="AX1964" i="1"/>
  <c r="M1964" i="1"/>
  <c r="U1964" i="1" s="1"/>
  <c r="AX1962" i="1"/>
  <c r="M1962" i="1"/>
  <c r="U1962" i="1" s="1"/>
  <c r="AX1960" i="1"/>
  <c r="M1960" i="1"/>
  <c r="U1960" i="1" s="1"/>
  <c r="AX1958" i="1" l="1"/>
  <c r="M1958" i="1"/>
  <c r="U1958" i="1" s="1"/>
  <c r="AT1956" i="1"/>
  <c r="AX1956" i="1" s="1"/>
  <c r="M1956" i="1"/>
  <c r="U1956" i="1" s="1"/>
  <c r="AT1954" i="1"/>
  <c r="AX1954" i="1" s="1"/>
  <c r="M1954" i="1"/>
  <c r="U1954" i="1" s="1"/>
  <c r="AT1952" i="1"/>
  <c r="AX1952" i="1" s="1"/>
  <c r="M1952" i="1"/>
  <c r="U1952" i="1" s="1"/>
  <c r="AT1950" i="1"/>
  <c r="AX1950" i="1" s="1"/>
  <c r="M1950" i="1"/>
  <c r="U1950" i="1" s="1"/>
  <c r="AT1948" i="1"/>
  <c r="AX1948" i="1" s="1"/>
  <c r="M1948" i="1"/>
  <c r="U1948" i="1" s="1"/>
  <c r="AT1946" i="1"/>
  <c r="AX1946" i="1" s="1"/>
  <c r="M1946" i="1"/>
  <c r="U1946" i="1" s="1"/>
  <c r="AT1944" i="1"/>
  <c r="AX1944" i="1" s="1"/>
  <c r="M1944" i="1"/>
  <c r="U1944" i="1" s="1"/>
  <c r="AT1942" i="1"/>
  <c r="AX1942" i="1" s="1"/>
  <c r="M1942" i="1"/>
  <c r="U1942" i="1" s="1"/>
  <c r="AT1940" i="1"/>
  <c r="AX1940" i="1" s="1"/>
  <c r="M1940" i="1"/>
  <c r="U1940" i="1" s="1"/>
  <c r="AT1938" i="1"/>
  <c r="AX1938" i="1" s="1"/>
  <c r="M1938" i="1"/>
  <c r="U1938" i="1" s="1"/>
  <c r="AT1936" i="1"/>
  <c r="AX1936" i="1" s="1"/>
  <c r="M1936" i="1"/>
  <c r="U1936" i="1" s="1"/>
  <c r="AT1934" i="1"/>
  <c r="AX1934" i="1" s="1"/>
  <c r="M1934" i="1"/>
  <c r="U1934" i="1" s="1"/>
  <c r="AT1932" i="1"/>
  <c r="AX1932" i="1" s="1"/>
  <c r="U1932" i="1"/>
  <c r="AT1930" i="1"/>
  <c r="AX1930" i="1" s="1"/>
  <c r="M1930" i="1"/>
  <c r="U1930" i="1" s="1"/>
  <c r="AT1928" i="1"/>
  <c r="AX1928" i="1" s="1"/>
  <c r="M1928" i="1"/>
  <c r="U1928" i="1" s="1"/>
  <c r="AT1926" i="1"/>
  <c r="AX1926" i="1" s="1"/>
  <c r="M1926" i="1"/>
  <c r="U1926" i="1" s="1"/>
  <c r="AT1924" i="1"/>
  <c r="AX1924" i="1" s="1"/>
  <c r="M1924" i="1"/>
  <c r="U1924" i="1" s="1"/>
  <c r="AT1922" i="1"/>
  <c r="AX1922" i="1" s="1"/>
  <c r="M1922" i="1"/>
  <c r="U1922" i="1" s="1"/>
  <c r="AT1920" i="1"/>
  <c r="AX1920" i="1" s="1"/>
  <c r="M1920" i="1"/>
  <c r="U1920" i="1" s="1"/>
  <c r="AT1918" i="1"/>
  <c r="AX1918" i="1" s="1"/>
  <c r="M1918" i="1"/>
  <c r="U1918" i="1" s="1"/>
  <c r="AT1916" i="1"/>
  <c r="AX1916" i="1" s="1"/>
  <c r="M1916" i="1"/>
  <c r="U1916" i="1" s="1"/>
  <c r="AT1914" i="1"/>
  <c r="AX1914" i="1" s="1"/>
  <c r="M1914" i="1"/>
  <c r="U1914" i="1" s="1"/>
  <c r="AT1912" i="1"/>
  <c r="AX1912" i="1" s="1"/>
  <c r="M1912" i="1"/>
  <c r="U1912" i="1" s="1"/>
  <c r="AT1910" i="1"/>
  <c r="AX1910" i="1" s="1"/>
  <c r="M1910" i="1"/>
  <c r="U1910" i="1" s="1"/>
  <c r="AT1908" i="1"/>
  <c r="AX1908" i="1" s="1"/>
  <c r="M1908" i="1"/>
  <c r="U1908" i="1" s="1"/>
  <c r="AX1906" i="1"/>
  <c r="M1906" i="1"/>
  <c r="U1906" i="1" s="1"/>
  <c r="AT1904" i="1"/>
  <c r="AX1904" i="1" s="1"/>
  <c r="M1904" i="1"/>
  <c r="U1904" i="1" s="1"/>
  <c r="AT1902" i="1"/>
  <c r="AX1902" i="1" s="1"/>
  <c r="M1902" i="1"/>
  <c r="U1902" i="1" s="1"/>
  <c r="AT8" i="4"/>
  <c r="AX8" i="4" s="1"/>
  <c r="AT6" i="4"/>
  <c r="AX6" i="4" s="1"/>
  <c r="AT4" i="4"/>
  <c r="AX4" i="4" s="1"/>
  <c r="AT2" i="4"/>
  <c r="AX2" i="4" s="1"/>
  <c r="AT10" i="4"/>
  <c r="AX10" i="4" s="1"/>
  <c r="U10" i="4"/>
  <c r="U8" i="4"/>
  <c r="U6" i="4"/>
  <c r="S4" i="4"/>
  <c r="U4" i="4" s="1"/>
  <c r="U2" i="4"/>
  <c r="AT1900" i="1"/>
  <c r="AX1900" i="1" s="1"/>
  <c r="K1900" i="1"/>
  <c r="M1900" i="1" s="1"/>
  <c r="U1900" i="1" s="1"/>
  <c r="AT1898" i="1"/>
  <c r="AX1898" i="1" s="1"/>
  <c r="K1898" i="1"/>
  <c r="M1898" i="1" s="1"/>
  <c r="U1898" i="1" s="1"/>
  <c r="AT1896" i="1"/>
  <c r="AX1896" i="1" s="1"/>
  <c r="K1896" i="1"/>
  <c r="AT1894" i="1"/>
  <c r="AX1894" i="1" s="1"/>
  <c r="K1894" i="1"/>
  <c r="M1894" i="1" s="1"/>
  <c r="U1894" i="1" s="1"/>
  <c r="AT1892" i="1"/>
  <c r="AX1892" i="1" s="1"/>
  <c r="M1892" i="1"/>
  <c r="U1892" i="1" s="1"/>
  <c r="AT1890" i="1"/>
  <c r="AX1890" i="1" s="1"/>
  <c r="O1890" i="1"/>
  <c r="M1890" i="1"/>
  <c r="AT1888" i="1"/>
  <c r="AX1888" i="1" s="1"/>
  <c r="O1888" i="1"/>
  <c r="M1888" i="1"/>
  <c r="AT1886" i="1"/>
  <c r="AX1886" i="1" s="1"/>
  <c r="M1886" i="1"/>
  <c r="U1886" i="1" s="1"/>
  <c r="AT1884" i="1"/>
  <c r="AX1884" i="1" s="1"/>
  <c r="M1884" i="1"/>
  <c r="U1884" i="1" s="1"/>
  <c r="AT1882" i="1"/>
  <c r="AX1882" i="1" s="1"/>
  <c r="M1882" i="1"/>
  <c r="U1882" i="1" s="1"/>
  <c r="AT1880" i="1"/>
  <c r="AX1880" i="1" s="1"/>
  <c r="O1880" i="1"/>
  <c r="M1880" i="1"/>
  <c r="AT1878" i="1"/>
  <c r="AX1878" i="1" s="1"/>
  <c r="M1878" i="1"/>
  <c r="U1878" i="1" s="1"/>
  <c r="AT1876" i="1"/>
  <c r="AX1876" i="1" s="1"/>
  <c r="M1876" i="1"/>
  <c r="U1876" i="1" s="1"/>
  <c r="AT1874" i="1"/>
  <c r="AX1874" i="1" s="1"/>
  <c r="O1874" i="1"/>
  <c r="M1874" i="1"/>
  <c r="AT1872" i="1"/>
  <c r="AX1872" i="1" s="1"/>
  <c r="M1872" i="1"/>
  <c r="U1872" i="1" s="1"/>
  <c r="AT1870" i="1"/>
  <c r="AX1870" i="1" s="1"/>
  <c r="M1870" i="1"/>
  <c r="U1870" i="1" s="1"/>
  <c r="AT1868" i="1"/>
  <c r="AX1868" i="1" s="1"/>
  <c r="M1868" i="1"/>
  <c r="U1868" i="1" s="1"/>
  <c r="AT1866" i="1"/>
  <c r="AX1866" i="1" s="1"/>
  <c r="M1866" i="1"/>
  <c r="U1866" i="1" s="1"/>
  <c r="AT1864" i="1"/>
  <c r="AX1864" i="1" s="1"/>
  <c r="M1864" i="1"/>
  <c r="U1864" i="1" s="1"/>
  <c r="AT1862" i="1"/>
  <c r="AX1862" i="1" s="1"/>
  <c r="M1862" i="1"/>
  <c r="U1862" i="1" s="1"/>
  <c r="AT1860" i="1"/>
  <c r="AX1860" i="1" s="1"/>
  <c r="M1860" i="1"/>
  <c r="U1860" i="1" s="1"/>
  <c r="AT1858" i="1"/>
  <c r="AX1858" i="1" s="1"/>
  <c r="M1858" i="1"/>
  <c r="U1858" i="1" s="1"/>
  <c r="AT1856" i="1"/>
  <c r="AX1856" i="1" s="1"/>
  <c r="M1856" i="1"/>
  <c r="U1856" i="1" s="1"/>
  <c r="AT1854" i="1"/>
  <c r="AX1854" i="1" s="1"/>
  <c r="M1854" i="1"/>
  <c r="U1854" i="1" s="1"/>
  <c r="AT1852" i="1"/>
  <c r="AX1852" i="1" s="1"/>
  <c r="M1852" i="1"/>
  <c r="U1852" i="1" s="1"/>
  <c r="AT1850" i="1"/>
  <c r="AX1850" i="1" s="1"/>
  <c r="M1850" i="1"/>
  <c r="U1850" i="1" s="1"/>
  <c r="AT1848" i="1"/>
  <c r="AX1848" i="1" s="1"/>
  <c r="M1848" i="1"/>
  <c r="U1848" i="1" s="1"/>
  <c r="AT1846" i="1"/>
  <c r="AX1846" i="1" s="1"/>
  <c r="M1846" i="1"/>
  <c r="U1846" i="1" s="1"/>
  <c r="AT1844" i="1"/>
  <c r="AX1844" i="1" s="1"/>
  <c r="M1844" i="1"/>
  <c r="U1844" i="1" s="1"/>
  <c r="AT1842" i="1"/>
  <c r="AX1842" i="1" s="1"/>
  <c r="M1842" i="1"/>
  <c r="U1842" i="1" s="1"/>
  <c r="AT1840" i="1"/>
  <c r="AX1840" i="1" s="1"/>
  <c r="M1840" i="1"/>
  <c r="U1840" i="1" s="1"/>
  <c r="AT1838" i="1"/>
  <c r="AX1838" i="1" s="1"/>
  <c r="O1838" i="1"/>
  <c r="M1838" i="1"/>
  <c r="AT1836" i="1"/>
  <c r="AX1836" i="1" s="1"/>
  <c r="M1836" i="1"/>
  <c r="U1836" i="1" s="1"/>
  <c r="AT1834" i="1"/>
  <c r="AX1834" i="1" s="1"/>
  <c r="U1834" i="1"/>
  <c r="AT1832" i="1"/>
  <c r="AX1832" i="1" s="1"/>
  <c r="M1832" i="1"/>
  <c r="U1832" i="1" s="1"/>
  <c r="AT1830" i="1"/>
  <c r="AX1830" i="1" s="1"/>
  <c r="M1830" i="1"/>
  <c r="U1830" i="1" s="1"/>
  <c r="AT1828" i="1"/>
  <c r="AX1828" i="1" s="1"/>
  <c r="M1828" i="1"/>
  <c r="U1828" i="1" s="1"/>
  <c r="AT1826" i="1"/>
  <c r="AX1826" i="1" s="1"/>
  <c r="M1826" i="1"/>
  <c r="U1826" i="1" s="1"/>
  <c r="AT1824" i="1"/>
  <c r="AX1824" i="1" s="1"/>
  <c r="M1824" i="1"/>
  <c r="U1824" i="1" s="1"/>
  <c r="AT1822" i="1"/>
  <c r="AX1822" i="1" s="1"/>
  <c r="M1822" i="1"/>
  <c r="U1822" i="1" s="1"/>
  <c r="AT1820" i="1"/>
  <c r="AX1820" i="1" s="1"/>
  <c r="M1820" i="1"/>
  <c r="U1820" i="1" s="1"/>
  <c r="AT1818" i="1"/>
  <c r="AX1818" i="1" s="1"/>
  <c r="M1818" i="1"/>
  <c r="U1818" i="1" s="1"/>
  <c r="AT1816" i="1"/>
  <c r="AX1816" i="1" s="1"/>
  <c r="M1816" i="1"/>
  <c r="U1816" i="1" s="1"/>
  <c r="AT1814" i="1"/>
  <c r="AX1814" i="1" s="1"/>
  <c r="M1814" i="1"/>
  <c r="U1814" i="1" s="1"/>
  <c r="AT1812" i="1"/>
  <c r="AX1812" i="1" s="1"/>
  <c r="M1812" i="1"/>
  <c r="U1812" i="1" s="1"/>
  <c r="AT1810" i="1"/>
  <c r="AX1810" i="1" s="1"/>
  <c r="M1810" i="1"/>
  <c r="U1810" i="1" s="1"/>
  <c r="AT1808" i="1"/>
  <c r="AX1808" i="1" s="1"/>
  <c r="M1808" i="1"/>
  <c r="U1808" i="1" s="1"/>
  <c r="AT1806" i="1"/>
  <c r="AX1806" i="1" s="1"/>
  <c r="M1806" i="1"/>
  <c r="U1806" i="1" s="1"/>
  <c r="AT1804" i="1"/>
  <c r="AX1804" i="1" s="1"/>
  <c r="O1804" i="1"/>
  <c r="M1804" i="1"/>
  <c r="AT1802" i="1"/>
  <c r="AX1802" i="1" s="1"/>
  <c r="M1802" i="1"/>
  <c r="U1802" i="1" s="1"/>
  <c r="AT1800" i="1"/>
  <c r="AX1800" i="1" s="1"/>
  <c r="M1800" i="1"/>
  <c r="U1800" i="1" s="1"/>
  <c r="AT1798" i="1"/>
  <c r="AX1798" i="1" s="1"/>
  <c r="M1798" i="1"/>
  <c r="U1798" i="1" s="1"/>
  <c r="AT1796" i="1"/>
  <c r="AX1796" i="1" s="1"/>
  <c r="K1796" i="1"/>
  <c r="AT1794" i="1"/>
  <c r="AX1794" i="1" s="1"/>
  <c r="K1794" i="1"/>
  <c r="M1794" i="1" s="1"/>
  <c r="AT1792" i="1"/>
  <c r="AX1792" i="1" s="1"/>
  <c r="K1792" i="1"/>
  <c r="AT1790" i="1"/>
  <c r="AX1790" i="1" s="1"/>
  <c r="K1790" i="1"/>
  <c r="M1790" i="1" s="1"/>
  <c r="U1790" i="1" s="1"/>
  <c r="AT1788" i="1"/>
  <c r="AX1788" i="1" s="1"/>
  <c r="K1788" i="1"/>
  <c r="M1788" i="1" s="1"/>
  <c r="U1788" i="1" s="1"/>
  <c r="AT1786" i="1"/>
  <c r="AX1786" i="1" s="1"/>
  <c r="K1786" i="1"/>
  <c r="AT1784" i="1"/>
  <c r="AX1784" i="1" s="1"/>
  <c r="K1784" i="1"/>
  <c r="M1784" i="1" s="1"/>
  <c r="U1784" i="1" s="1"/>
  <c r="AT1782" i="1"/>
  <c r="AX1782" i="1" s="1"/>
  <c r="K1782" i="1"/>
  <c r="M1782" i="1" s="1"/>
  <c r="U1782" i="1" s="1"/>
  <c r="AT1780" i="1"/>
  <c r="AX1780" i="1" s="1"/>
  <c r="M1780" i="1"/>
  <c r="U1780" i="1" s="1"/>
  <c r="AX1778" i="1"/>
  <c r="M1778" i="1"/>
  <c r="U1778" i="1" s="1"/>
  <c r="AX1776" i="1"/>
  <c r="O1776" i="1"/>
  <c r="M1776" i="1"/>
  <c r="AT1774" i="1"/>
  <c r="AX1774" i="1" s="1"/>
  <c r="O1774" i="1"/>
  <c r="M1774" i="1"/>
  <c r="AT1772" i="1"/>
  <c r="AX1772" i="1" s="1"/>
  <c r="M1772" i="1"/>
  <c r="U1772" i="1" s="1"/>
  <c r="AT1770" i="1"/>
  <c r="AX1770" i="1" s="1"/>
  <c r="O1770" i="1"/>
  <c r="M1770" i="1"/>
  <c r="AT1768" i="1"/>
  <c r="AX1768" i="1" s="1"/>
  <c r="M1768" i="1"/>
  <c r="U1768" i="1" s="1"/>
  <c r="AT1766" i="1"/>
  <c r="AX1766" i="1" s="1"/>
  <c r="M1766" i="1"/>
  <c r="U1766" i="1" s="1"/>
  <c r="AT1764" i="1"/>
  <c r="AX1764" i="1" s="1"/>
  <c r="M1764" i="1"/>
  <c r="U1764" i="1" s="1"/>
  <c r="AT1762" i="1"/>
  <c r="AX1762" i="1" s="1"/>
  <c r="M1762" i="1"/>
  <c r="U1762" i="1" s="1"/>
  <c r="AT1760" i="1"/>
  <c r="AX1760" i="1" s="1"/>
  <c r="M1760" i="1"/>
  <c r="U1760" i="1" s="1"/>
  <c r="AT1758" i="1"/>
  <c r="AX1758" i="1" s="1"/>
  <c r="M1758" i="1"/>
  <c r="U1758" i="1" s="1"/>
  <c r="AT1756" i="1"/>
  <c r="AX1756" i="1" s="1"/>
  <c r="M1756" i="1"/>
  <c r="U1756" i="1" s="1"/>
  <c r="AT1754" i="1"/>
  <c r="AX1754" i="1" s="1"/>
  <c r="M1754" i="1"/>
  <c r="U1754" i="1" s="1"/>
  <c r="AT1752" i="1"/>
  <c r="AX1752" i="1" s="1"/>
  <c r="O1752" i="1"/>
  <c r="M1752" i="1"/>
  <c r="AT1750" i="1"/>
  <c r="AX1750" i="1" s="1"/>
  <c r="M1750" i="1"/>
  <c r="U1750" i="1" s="1"/>
  <c r="AT1748" i="1"/>
  <c r="AX1748" i="1" s="1"/>
  <c r="O1748" i="1"/>
  <c r="M1748" i="1"/>
  <c r="AT1746" i="1"/>
  <c r="AX1746" i="1" s="1"/>
  <c r="O1746" i="1"/>
  <c r="M1746" i="1"/>
  <c r="AT1744" i="1"/>
  <c r="AX1744" i="1" s="1"/>
  <c r="M1744" i="1"/>
  <c r="U1744" i="1" s="1"/>
  <c r="AT1742" i="1"/>
  <c r="AX1742" i="1" s="1"/>
  <c r="M1742" i="1"/>
  <c r="U1742" i="1" s="1"/>
  <c r="AT1740" i="1"/>
  <c r="AX1740" i="1" s="1"/>
  <c r="M1740" i="1"/>
  <c r="U1740" i="1" s="1"/>
  <c r="AT1738" i="1"/>
  <c r="AX1738" i="1" s="1"/>
  <c r="M1738" i="1"/>
  <c r="U1738" i="1" s="1"/>
  <c r="AT1736" i="1"/>
  <c r="AX1736" i="1" s="1"/>
  <c r="M1736" i="1"/>
  <c r="U1736" i="1" s="1"/>
  <c r="AT1734" i="1"/>
  <c r="AX1734" i="1" s="1"/>
  <c r="M1734" i="1"/>
  <c r="U1734" i="1" s="1"/>
  <c r="AT1732" i="1"/>
  <c r="AX1732" i="1" s="1"/>
  <c r="M1732" i="1"/>
  <c r="U1732" i="1" s="1"/>
  <c r="AT1730" i="1"/>
  <c r="AX1730" i="1" s="1"/>
  <c r="M1730" i="1"/>
  <c r="U1730" i="1" s="1"/>
  <c r="AX1728" i="1"/>
  <c r="M1728" i="1"/>
  <c r="U1728" i="1" s="1"/>
  <c r="AT1726" i="1"/>
  <c r="AX1726" i="1" s="1"/>
  <c r="M1726" i="1"/>
  <c r="U1726" i="1" s="1"/>
  <c r="AT1724" i="1"/>
  <c r="AX1724" i="1" s="1"/>
  <c r="M1724" i="1"/>
  <c r="U1724" i="1" s="1"/>
  <c r="AT1722" i="1"/>
  <c r="AX1722" i="1" s="1"/>
  <c r="M1722" i="1"/>
  <c r="U1722" i="1" s="1"/>
  <c r="AT1720" i="1"/>
  <c r="AX1720" i="1" s="1"/>
  <c r="M1720" i="1"/>
  <c r="U1720" i="1" s="1"/>
  <c r="AT1718" i="1"/>
  <c r="AX1718" i="1" s="1"/>
  <c r="M1718" i="1"/>
  <c r="U1718" i="1" s="1"/>
  <c r="AT1716" i="1"/>
  <c r="AX1716" i="1" s="1"/>
  <c r="M1716" i="1"/>
  <c r="U1716" i="1" s="1"/>
  <c r="AT1714" i="1"/>
  <c r="AX1714" i="1" s="1"/>
  <c r="M1714" i="1"/>
  <c r="U1714" i="1" s="1"/>
  <c r="AT1712" i="1"/>
  <c r="AX1712" i="1" s="1"/>
  <c r="M1712" i="1"/>
  <c r="U1712" i="1" s="1"/>
  <c r="AT1710" i="1"/>
  <c r="AX1710" i="1" s="1"/>
  <c r="M1710" i="1"/>
  <c r="U1710" i="1" s="1"/>
  <c r="AT1708" i="1"/>
  <c r="AX1708" i="1" s="1"/>
  <c r="M1708" i="1"/>
  <c r="U1708" i="1" s="1"/>
  <c r="AT1706" i="1"/>
  <c r="AX1706" i="1" s="1"/>
  <c r="M1706" i="1"/>
  <c r="U1706" i="1" s="1"/>
  <c r="AT1704" i="1"/>
  <c r="AX1704" i="1" s="1"/>
  <c r="M1704" i="1"/>
  <c r="U1704" i="1" s="1"/>
  <c r="AT1702" i="1"/>
  <c r="AX1702" i="1" s="1"/>
  <c r="M1702" i="1"/>
  <c r="U1702" i="1" s="1"/>
  <c r="AT1700" i="1"/>
  <c r="AX1700" i="1" s="1"/>
  <c r="M1700" i="1"/>
  <c r="U1700" i="1" s="1"/>
  <c r="AT1698" i="1"/>
  <c r="AX1698" i="1" s="1"/>
  <c r="K1698" i="1"/>
  <c r="AX1696" i="1"/>
  <c r="O1696" i="1"/>
  <c r="M1696" i="1"/>
  <c r="AT1694" i="1"/>
  <c r="AX1694" i="1" s="1"/>
  <c r="M1694" i="1"/>
  <c r="U1694" i="1" s="1"/>
  <c r="AT1692" i="1"/>
  <c r="AX1692" i="1" s="1"/>
  <c r="M1692" i="1"/>
  <c r="U1692" i="1" s="1"/>
  <c r="AT1690" i="1"/>
  <c r="AX1690" i="1" s="1"/>
  <c r="M1690" i="1"/>
  <c r="U1690" i="1" s="1"/>
  <c r="AT1688" i="1"/>
  <c r="AX1688" i="1" s="1"/>
  <c r="M1688" i="1"/>
  <c r="U1688" i="1" s="1"/>
  <c r="AT1686" i="1"/>
  <c r="AX1686" i="1" s="1"/>
  <c r="M1686" i="1"/>
  <c r="U1686" i="1" s="1"/>
  <c r="AT1684" i="1"/>
  <c r="AX1684" i="1" s="1"/>
  <c r="M1684" i="1"/>
  <c r="U1684" i="1" s="1"/>
  <c r="AT1682" i="1"/>
  <c r="AX1682" i="1" s="1"/>
  <c r="M1682" i="1"/>
  <c r="U1682" i="1" s="1"/>
  <c r="AT1680" i="1"/>
  <c r="AX1680" i="1" s="1"/>
  <c r="M1680" i="1"/>
  <c r="U1680" i="1" s="1"/>
  <c r="AT1678" i="1"/>
  <c r="AX1678" i="1" s="1"/>
  <c r="M1678" i="1"/>
  <c r="U1678" i="1" s="1"/>
  <c r="AT1676" i="1"/>
  <c r="AX1676" i="1" s="1"/>
  <c r="M1676" i="1"/>
  <c r="U1676" i="1" s="1"/>
  <c r="AT1674" i="1"/>
  <c r="AX1674" i="1" s="1"/>
  <c r="O1674" i="1"/>
  <c r="M1674" i="1"/>
  <c r="AT1672" i="1"/>
  <c r="AX1672" i="1" s="1"/>
  <c r="M1672" i="1"/>
  <c r="U1672" i="1" s="1"/>
  <c r="AT1670" i="1"/>
  <c r="AX1670" i="1" s="1"/>
  <c r="M1670" i="1"/>
  <c r="U1670" i="1" s="1"/>
  <c r="AT1668" i="1"/>
  <c r="AX1668" i="1" s="1"/>
  <c r="M1668" i="1"/>
  <c r="U1668" i="1" s="1"/>
  <c r="AT1666" i="1"/>
  <c r="AX1666" i="1" s="1"/>
  <c r="M1666" i="1"/>
  <c r="U1666" i="1" s="1"/>
  <c r="AT1664" i="1"/>
  <c r="AX1664" i="1" s="1"/>
  <c r="M1664" i="1"/>
  <c r="U1664" i="1" s="1"/>
  <c r="AT1662" i="1"/>
  <c r="AX1662" i="1" s="1"/>
  <c r="M1662" i="1"/>
  <c r="U1662" i="1" s="1"/>
  <c r="AT1660" i="1"/>
  <c r="AX1660" i="1" s="1"/>
  <c r="M1660" i="1"/>
  <c r="U1660" i="1" s="1"/>
  <c r="AT1658" i="1"/>
  <c r="AX1658" i="1" s="1"/>
  <c r="M1658" i="1"/>
  <c r="U1658" i="1" s="1"/>
  <c r="AT1656" i="1"/>
  <c r="AX1656" i="1" s="1"/>
  <c r="K1656" i="1"/>
  <c r="M1656" i="1" s="1"/>
  <c r="U1656" i="1" s="1"/>
  <c r="AT1654" i="1"/>
  <c r="AX1654" i="1" s="1"/>
  <c r="K1654" i="1"/>
  <c r="M1654" i="1" s="1"/>
  <c r="U1654" i="1" s="1"/>
  <c r="AT1652" i="1"/>
  <c r="AX1652" i="1" s="1"/>
  <c r="K1652" i="1"/>
  <c r="M1652" i="1" s="1"/>
  <c r="AT1650" i="1"/>
  <c r="AX1650" i="1" s="1"/>
  <c r="M1650" i="1"/>
  <c r="U1650" i="1" s="1"/>
  <c r="AT1648" i="1"/>
  <c r="AX1648" i="1" s="1"/>
  <c r="M1648" i="1"/>
  <c r="U1648" i="1" s="1"/>
  <c r="AT1646" i="1"/>
  <c r="AX1646" i="1" s="1"/>
  <c r="M1646" i="1"/>
  <c r="U1646" i="1" s="1"/>
  <c r="AT1644" i="1"/>
  <c r="AX1644" i="1" s="1"/>
  <c r="M1644" i="1"/>
  <c r="U1644" i="1" s="1"/>
  <c r="AX1642" i="1"/>
  <c r="O1642" i="1"/>
  <c r="M1642" i="1"/>
  <c r="AT1640" i="1"/>
  <c r="AX1640" i="1" s="1"/>
  <c r="M1640" i="1"/>
  <c r="U1640" i="1" s="1"/>
  <c r="AT1638" i="1"/>
  <c r="AX1638" i="1" s="1"/>
  <c r="M1638" i="1"/>
  <c r="U1638" i="1" s="1"/>
  <c r="AT1636" i="1"/>
  <c r="AX1636" i="1" s="1"/>
  <c r="M1636" i="1"/>
  <c r="U1636" i="1" s="1"/>
  <c r="AT1634" i="1"/>
  <c r="AX1634" i="1" s="1"/>
  <c r="O1634" i="1"/>
  <c r="M1634" i="1"/>
  <c r="AT1632" i="1"/>
  <c r="AX1632" i="1" s="1"/>
  <c r="O1632" i="1"/>
  <c r="M1632" i="1"/>
  <c r="AT1630" i="1"/>
  <c r="AX1630" i="1" s="1"/>
  <c r="O1630" i="1"/>
  <c r="M1630" i="1"/>
  <c r="AT1628" i="1"/>
  <c r="AX1628" i="1" s="1"/>
  <c r="M1628" i="1"/>
  <c r="U1628" i="1" s="1"/>
  <c r="AT1626" i="1"/>
  <c r="AX1626" i="1" s="1"/>
  <c r="M1626" i="1"/>
  <c r="U1626" i="1" s="1"/>
  <c r="AT1624" i="1"/>
  <c r="AX1624" i="1" s="1"/>
  <c r="U1624" i="1"/>
  <c r="AT1622" i="1"/>
  <c r="AX1622" i="1" s="1"/>
  <c r="M1622" i="1"/>
  <c r="U1622" i="1" s="1"/>
  <c r="AT1620" i="1"/>
  <c r="AX1620" i="1" s="1"/>
  <c r="M1620" i="1"/>
  <c r="U1620" i="1" s="1"/>
  <c r="AT1618" i="1"/>
  <c r="AX1618" i="1" s="1"/>
  <c r="M1618" i="1"/>
  <c r="U1618" i="1" s="1"/>
  <c r="AT1616" i="1"/>
  <c r="AX1616" i="1" s="1"/>
  <c r="M1616" i="1"/>
  <c r="U1616" i="1" s="1"/>
  <c r="AT1614" i="1"/>
  <c r="AX1614" i="1" s="1"/>
  <c r="M1614" i="1"/>
  <c r="U1614" i="1" s="1"/>
  <c r="AT1612" i="1"/>
  <c r="AX1612" i="1" s="1"/>
  <c r="M1612" i="1"/>
  <c r="U1612" i="1" s="1"/>
  <c r="AT1610" i="1"/>
  <c r="AX1610" i="1" s="1"/>
  <c r="M1610" i="1"/>
  <c r="U1610" i="1" s="1"/>
  <c r="AT1608" i="1"/>
  <c r="AX1608" i="1" s="1"/>
  <c r="M1608" i="1"/>
  <c r="U1608" i="1" s="1"/>
  <c r="AT1606" i="1"/>
  <c r="AX1606" i="1" s="1"/>
  <c r="M1606" i="1"/>
  <c r="U1606" i="1" s="1"/>
  <c r="AT1604" i="1"/>
  <c r="AX1604" i="1" s="1"/>
  <c r="K1604" i="1"/>
  <c r="M1604" i="1" s="1"/>
  <c r="U1604" i="1" s="1"/>
  <c r="AT1602" i="1"/>
  <c r="AX1602" i="1" s="1"/>
  <c r="K1602" i="1"/>
  <c r="M1602" i="1" s="1"/>
  <c r="U1602" i="1" s="1"/>
  <c r="AT1600" i="1"/>
  <c r="AX1600" i="1" s="1"/>
  <c r="K1600" i="1"/>
  <c r="M1600" i="1" s="1"/>
  <c r="U1600" i="1" s="1"/>
  <c r="AT1598" i="1"/>
  <c r="AX1598" i="1" s="1"/>
  <c r="K1598" i="1"/>
  <c r="AT1596" i="1"/>
  <c r="AX1596" i="1" s="1"/>
  <c r="K1596" i="1"/>
  <c r="M1596" i="1" s="1"/>
  <c r="AT1594" i="1"/>
  <c r="AX1594" i="1" s="1"/>
  <c r="K1594" i="1"/>
  <c r="AT1592" i="1"/>
  <c r="AX1592" i="1" s="1"/>
  <c r="K1592" i="1"/>
  <c r="M1592" i="1" s="1"/>
  <c r="AT1590" i="1"/>
  <c r="AX1590" i="1" s="1"/>
  <c r="K1590" i="1"/>
  <c r="AT1588" i="1"/>
  <c r="AX1588" i="1" s="1"/>
  <c r="K1588" i="1"/>
  <c r="M1588" i="1" s="1"/>
  <c r="U1588" i="1" s="1"/>
  <c r="AT1586" i="1"/>
  <c r="AX1586" i="1" s="1"/>
  <c r="K1586" i="1"/>
  <c r="M1586" i="1" s="1"/>
  <c r="U1586" i="1" s="1"/>
  <c r="AT1584" i="1"/>
  <c r="AX1584" i="1" s="1"/>
  <c r="O1584" i="1"/>
  <c r="M1584" i="1"/>
  <c r="AT1582" i="1"/>
  <c r="AX1582" i="1" s="1"/>
  <c r="M1582" i="1"/>
  <c r="U1582" i="1" s="1"/>
  <c r="AT1580" i="1"/>
  <c r="AX1580" i="1" s="1"/>
  <c r="M1580" i="1"/>
  <c r="U1580" i="1" s="1"/>
  <c r="AT1578" i="1"/>
  <c r="AX1578" i="1" s="1"/>
  <c r="M1578" i="1"/>
  <c r="U1578" i="1" s="1"/>
  <c r="AT1576" i="1"/>
  <c r="AX1576" i="1" s="1"/>
  <c r="M1576" i="1"/>
  <c r="U1576" i="1" s="1"/>
  <c r="AT1574" i="1"/>
  <c r="AX1574" i="1" s="1"/>
  <c r="M1574" i="1"/>
  <c r="U1574" i="1" s="1"/>
  <c r="AT1572" i="1"/>
  <c r="AX1572" i="1" s="1"/>
  <c r="U1572" i="1"/>
  <c r="AT1570" i="1"/>
  <c r="AX1570" i="1" s="1"/>
  <c r="M1570" i="1"/>
  <c r="U1570" i="1" s="1"/>
  <c r="AT1568" i="1"/>
  <c r="AX1568" i="1" s="1"/>
  <c r="M1568" i="1"/>
  <c r="U1568" i="1" s="1"/>
  <c r="AT1566" i="1"/>
  <c r="AX1566" i="1" s="1"/>
  <c r="M1566" i="1"/>
  <c r="U1566" i="1" s="1"/>
  <c r="AX1564" i="1"/>
  <c r="U1564" i="1"/>
  <c r="AT1562" i="1"/>
  <c r="AX1562" i="1" s="1"/>
  <c r="M1562" i="1"/>
  <c r="U1562" i="1" s="1"/>
  <c r="AT1560" i="1"/>
  <c r="AX1560" i="1" s="1"/>
  <c r="M1560" i="1"/>
  <c r="U1560" i="1" s="1"/>
  <c r="AT1558" i="1"/>
  <c r="AX1558" i="1" s="1"/>
  <c r="M1558" i="1"/>
  <c r="U1558" i="1" s="1"/>
  <c r="AT1556" i="1"/>
  <c r="AX1556" i="1" s="1"/>
  <c r="M1556" i="1"/>
  <c r="U1556" i="1" s="1"/>
  <c r="AT1554" i="1"/>
  <c r="AX1554" i="1" s="1"/>
  <c r="M1554" i="1"/>
  <c r="U1554" i="1" s="1"/>
  <c r="AT1552" i="1"/>
  <c r="AX1552" i="1" s="1"/>
  <c r="M1552" i="1"/>
  <c r="U1552" i="1" s="1"/>
  <c r="AT1550" i="1"/>
  <c r="AX1550" i="1" s="1"/>
  <c r="O1550" i="1"/>
  <c r="M1550" i="1"/>
  <c r="AT1548" i="1"/>
  <c r="AX1548" i="1" s="1"/>
  <c r="M1548" i="1"/>
  <c r="U1548" i="1" s="1"/>
  <c r="AT1546" i="1"/>
  <c r="AX1546" i="1" s="1"/>
  <c r="O1546" i="1"/>
  <c r="M1546" i="1"/>
  <c r="AT1544" i="1"/>
  <c r="AX1544" i="1" s="1"/>
  <c r="O1544" i="1"/>
  <c r="M1544" i="1"/>
  <c r="AT1542" i="1"/>
  <c r="AX1542" i="1" s="1"/>
  <c r="M1542" i="1"/>
  <c r="U1542" i="1" s="1"/>
  <c r="AT1540" i="1"/>
  <c r="AX1540" i="1" s="1"/>
  <c r="M1540" i="1"/>
  <c r="U1540" i="1" s="1"/>
  <c r="AT1538" i="1"/>
  <c r="AX1538" i="1" s="1"/>
  <c r="M1538" i="1"/>
  <c r="U1538" i="1" s="1"/>
  <c r="AT1536" i="1"/>
  <c r="AX1536" i="1" s="1"/>
  <c r="M1536" i="1"/>
  <c r="U1536" i="1" s="1"/>
  <c r="AT1534" i="1"/>
  <c r="AX1534" i="1" s="1"/>
  <c r="O1534" i="1"/>
  <c r="M1534" i="1"/>
  <c r="AT1532" i="1"/>
  <c r="AX1532" i="1" s="1"/>
  <c r="U1532" i="1"/>
  <c r="AT1530" i="1"/>
  <c r="AX1530" i="1" s="1"/>
  <c r="M1530" i="1"/>
  <c r="U1530" i="1" s="1"/>
  <c r="AT1528" i="1"/>
  <c r="AX1528" i="1" s="1"/>
  <c r="M1528" i="1"/>
  <c r="U1528" i="1" s="1"/>
  <c r="AT1526" i="1"/>
  <c r="AX1526" i="1" s="1"/>
  <c r="O1526" i="1"/>
  <c r="M1526" i="1"/>
  <c r="AT1524" i="1"/>
  <c r="AX1524" i="1" s="1"/>
  <c r="O1524" i="1"/>
  <c r="M1524" i="1"/>
  <c r="AT1522" i="1"/>
  <c r="AX1522" i="1" s="1"/>
  <c r="O1522" i="1"/>
  <c r="M1522" i="1"/>
  <c r="AT1520" i="1"/>
  <c r="AX1520" i="1" s="1"/>
  <c r="M1520" i="1"/>
  <c r="U1520" i="1" s="1"/>
  <c r="AT1518" i="1"/>
  <c r="AX1518" i="1" s="1"/>
  <c r="M1518" i="1"/>
  <c r="U1518" i="1" s="1"/>
  <c r="AT1516" i="1"/>
  <c r="AX1516" i="1" s="1"/>
  <c r="M1516" i="1"/>
  <c r="U1516" i="1" s="1"/>
  <c r="AT1514" i="1"/>
  <c r="AX1514" i="1" s="1"/>
  <c r="M1514" i="1"/>
  <c r="U1514" i="1" s="1"/>
  <c r="AT1512" i="1"/>
  <c r="AX1512" i="1" s="1"/>
  <c r="M1512" i="1"/>
  <c r="U1512" i="1" s="1"/>
  <c r="AT1510" i="1"/>
  <c r="AX1510" i="1" s="1"/>
  <c r="M1510" i="1"/>
  <c r="U1510" i="1" s="1"/>
  <c r="AT1508" i="1"/>
  <c r="AX1508" i="1" s="1"/>
  <c r="M1508" i="1"/>
  <c r="U1508" i="1" s="1"/>
  <c r="AT1506" i="1"/>
  <c r="AX1506" i="1" s="1"/>
  <c r="M1506" i="1"/>
  <c r="U1506" i="1" s="1"/>
  <c r="AT1504" i="1"/>
  <c r="AX1504" i="1" s="1"/>
  <c r="M1504" i="1"/>
  <c r="U1504" i="1" s="1"/>
  <c r="AT1502" i="1"/>
  <c r="AX1502" i="1" s="1"/>
  <c r="M1502" i="1"/>
  <c r="AT1500" i="1"/>
  <c r="AX1500" i="1" s="1"/>
  <c r="M1500" i="1"/>
  <c r="U1500" i="1" s="1"/>
  <c r="AT1498" i="1"/>
  <c r="AX1498" i="1" s="1"/>
  <c r="M1498" i="1"/>
  <c r="U1498" i="1" s="1"/>
  <c r="AT1496" i="1"/>
  <c r="AX1496" i="1" s="1"/>
  <c r="M1496" i="1"/>
  <c r="U1496" i="1" s="1"/>
  <c r="AT1494" i="1"/>
  <c r="AX1494" i="1" s="1"/>
  <c r="O1494" i="1"/>
  <c r="M1494" i="1"/>
  <c r="AT1492" i="1"/>
  <c r="AX1492" i="1" s="1"/>
  <c r="K1492" i="1"/>
  <c r="M1492" i="1" s="1"/>
  <c r="U1492" i="1" s="1"/>
  <c r="AT1490" i="1"/>
  <c r="AX1490" i="1" s="1"/>
  <c r="K1490" i="1"/>
  <c r="M1490" i="1" s="1"/>
  <c r="AT1488" i="1"/>
  <c r="AX1488" i="1" s="1"/>
  <c r="K1488" i="1"/>
  <c r="M1488" i="1" s="1"/>
  <c r="U1488" i="1" s="1"/>
  <c r="AT1486" i="1"/>
  <c r="AX1486" i="1" s="1"/>
  <c r="K1486" i="1"/>
  <c r="AT1484" i="1"/>
  <c r="AX1484" i="1" s="1"/>
  <c r="K1484" i="1"/>
  <c r="AT1482" i="1"/>
  <c r="AX1482" i="1" s="1"/>
  <c r="O1482" i="1"/>
  <c r="M1482" i="1"/>
  <c r="AT1480" i="1"/>
  <c r="AX1480" i="1" s="1"/>
  <c r="M1480" i="1"/>
  <c r="U1480" i="1" s="1"/>
  <c r="AT1478" i="1"/>
  <c r="AX1478" i="1" s="1"/>
  <c r="M1478" i="1"/>
  <c r="U1478" i="1" s="1"/>
  <c r="AT1476" i="1"/>
  <c r="AX1476" i="1" s="1"/>
  <c r="M1476" i="1"/>
  <c r="U1476" i="1" s="1"/>
  <c r="AT1474" i="1"/>
  <c r="AX1474" i="1" s="1"/>
  <c r="M1474" i="1"/>
  <c r="U1474" i="1" s="1"/>
  <c r="AT1472" i="1"/>
  <c r="AX1472" i="1" s="1"/>
  <c r="M1472" i="1"/>
  <c r="U1472" i="1" s="1"/>
  <c r="AT1470" i="1"/>
  <c r="AX1470" i="1" s="1"/>
  <c r="M1470" i="1"/>
  <c r="U1470" i="1" s="1"/>
  <c r="AT1468" i="1"/>
  <c r="AX1468" i="1" s="1"/>
  <c r="M1468" i="1"/>
  <c r="U1468" i="1" s="1"/>
  <c r="AT1466" i="1"/>
  <c r="AX1466" i="1" s="1"/>
  <c r="M1466" i="1"/>
  <c r="U1466" i="1" s="1"/>
  <c r="AT1464" i="1"/>
  <c r="AX1464" i="1" s="1"/>
  <c r="M1464" i="1"/>
  <c r="U1464" i="1" s="1"/>
  <c r="AT1462" i="1"/>
  <c r="AX1462" i="1" s="1"/>
  <c r="M1462" i="1"/>
  <c r="U1462" i="1" s="1"/>
  <c r="AT1460" i="1"/>
  <c r="AX1460" i="1" s="1"/>
  <c r="O1460" i="1"/>
  <c r="M1460" i="1"/>
  <c r="AT1458" i="1"/>
  <c r="AX1458" i="1" s="1"/>
  <c r="M1458" i="1"/>
  <c r="U1458" i="1" s="1"/>
  <c r="AT1456" i="1"/>
  <c r="AX1456" i="1" s="1"/>
  <c r="M1456" i="1"/>
  <c r="U1456" i="1" s="1"/>
  <c r="AT1454" i="1"/>
  <c r="AX1454" i="1" s="1"/>
  <c r="O1454" i="1"/>
  <c r="M1454" i="1"/>
  <c r="AT1452" i="1"/>
  <c r="AX1452" i="1" s="1"/>
  <c r="M1452" i="1"/>
  <c r="U1452" i="1" s="1"/>
  <c r="AT1450" i="1"/>
  <c r="AX1450" i="1" s="1"/>
  <c r="M1450" i="1"/>
  <c r="U1450" i="1" s="1"/>
  <c r="AT1448" i="1"/>
  <c r="AX1448" i="1" s="1"/>
  <c r="M1448" i="1"/>
  <c r="U1448" i="1" s="1"/>
  <c r="AT1446" i="1"/>
  <c r="AX1446" i="1" s="1"/>
  <c r="K1446" i="1"/>
  <c r="AX1444" i="1"/>
  <c r="M1444" i="1"/>
  <c r="U1444" i="1" s="1"/>
  <c r="AT1442" i="1"/>
  <c r="AX1442" i="1" s="1"/>
  <c r="M1442" i="1"/>
  <c r="U1442" i="1" s="1"/>
  <c r="AT1440" i="1"/>
  <c r="AX1440" i="1" s="1"/>
  <c r="O1440" i="1"/>
  <c r="M1440" i="1"/>
  <c r="AX1438" i="1"/>
  <c r="U1438" i="1"/>
  <c r="AT1436" i="1"/>
  <c r="AX1436" i="1" s="1"/>
  <c r="S1436" i="1"/>
  <c r="O1436" i="1"/>
  <c r="M1436" i="1"/>
  <c r="AT1434" i="1"/>
  <c r="AX1434" i="1" s="1"/>
  <c r="M1434" i="1"/>
  <c r="U1434" i="1" s="1"/>
  <c r="AT1432" i="1"/>
  <c r="AX1432" i="1" s="1"/>
  <c r="M1432" i="1"/>
  <c r="U1432" i="1" s="1"/>
  <c r="AT1430" i="1"/>
  <c r="AX1430" i="1" s="1"/>
  <c r="M1430" i="1"/>
  <c r="U1430" i="1" s="1"/>
  <c r="AT1428" i="1"/>
  <c r="AX1428" i="1" s="1"/>
  <c r="M1428" i="1"/>
  <c r="U1428" i="1" s="1"/>
  <c r="AT1426" i="1"/>
  <c r="AX1426" i="1" s="1"/>
  <c r="M1426" i="1"/>
  <c r="U1426" i="1" s="1"/>
  <c r="AT1424" i="1"/>
  <c r="AX1424" i="1" s="1"/>
  <c r="M1424" i="1"/>
  <c r="U1424" i="1" s="1"/>
  <c r="AT1422" i="1"/>
  <c r="AX1422" i="1" s="1"/>
  <c r="K1422" i="1"/>
  <c r="M1422" i="1" s="1"/>
  <c r="AT1420" i="1"/>
  <c r="AX1420" i="1" s="1"/>
  <c r="K1420" i="1"/>
  <c r="AT1418" i="1"/>
  <c r="AX1418" i="1" s="1"/>
  <c r="K1418" i="1"/>
  <c r="M1418" i="1" s="1"/>
  <c r="U1418" i="1" s="1"/>
  <c r="AT1416" i="1"/>
  <c r="AX1416" i="1" s="1"/>
  <c r="O1416" i="1"/>
  <c r="U1416" i="1" s="1"/>
  <c r="AT1414" i="1"/>
  <c r="AX1414" i="1" s="1"/>
  <c r="M1414" i="1"/>
  <c r="U1414" i="1" s="1"/>
  <c r="AT1412" i="1"/>
  <c r="AX1412" i="1" s="1"/>
  <c r="M1412" i="1"/>
  <c r="U1412" i="1" s="1"/>
  <c r="AT1410" i="1"/>
  <c r="AX1410" i="1" s="1"/>
  <c r="M1410" i="1"/>
  <c r="U1410" i="1" s="1"/>
  <c r="AT1408" i="1"/>
  <c r="AX1408" i="1" s="1"/>
  <c r="M1408" i="1"/>
  <c r="U1408" i="1" s="1"/>
  <c r="AT1406" i="1"/>
  <c r="AX1406" i="1" s="1"/>
  <c r="M1406" i="1"/>
  <c r="U1406" i="1" s="1"/>
  <c r="AT1404" i="1"/>
  <c r="AX1404" i="1" s="1"/>
  <c r="M1404" i="1"/>
  <c r="U1404" i="1" s="1"/>
  <c r="AT1402" i="1"/>
  <c r="AX1402" i="1" s="1"/>
  <c r="M1402" i="1"/>
  <c r="U1402" i="1" s="1"/>
  <c r="AT1400" i="1"/>
  <c r="AX1400" i="1" s="1"/>
  <c r="M1400" i="1"/>
  <c r="U1400" i="1" s="1"/>
  <c r="AT1398" i="1"/>
  <c r="AX1398" i="1" s="1"/>
  <c r="M1398" i="1"/>
  <c r="U1398" i="1" s="1"/>
  <c r="AT1396" i="1"/>
  <c r="AX1396" i="1" s="1"/>
  <c r="M1396" i="1"/>
  <c r="U1396" i="1" s="1"/>
  <c r="AT1394" i="1"/>
  <c r="AX1394" i="1" s="1"/>
  <c r="M1394" i="1"/>
  <c r="U1394" i="1" s="1"/>
  <c r="AT1392" i="1"/>
  <c r="AX1392" i="1" s="1"/>
  <c r="M1392" i="1"/>
  <c r="U1392" i="1" s="1"/>
  <c r="AT1390" i="1"/>
  <c r="AX1390" i="1" s="1"/>
  <c r="M1390" i="1"/>
  <c r="U1390" i="1" s="1"/>
  <c r="AT1388" i="1"/>
  <c r="AX1388" i="1" s="1"/>
  <c r="M1388" i="1"/>
  <c r="U1388" i="1" s="1"/>
  <c r="AT1386" i="1"/>
  <c r="AX1386" i="1" s="1"/>
  <c r="M1386" i="1"/>
  <c r="U1386" i="1" s="1"/>
  <c r="AT1384" i="1"/>
  <c r="AX1384" i="1" s="1"/>
  <c r="O1384" i="1"/>
  <c r="M1384" i="1"/>
  <c r="AT1382" i="1"/>
  <c r="AX1382" i="1" s="1"/>
  <c r="M1382" i="1"/>
  <c r="U1382" i="1" s="1"/>
  <c r="AT1380" i="1"/>
  <c r="AX1380" i="1" s="1"/>
  <c r="M1380" i="1"/>
  <c r="U1380" i="1" s="1"/>
  <c r="AT1378" i="1"/>
  <c r="AX1378" i="1" s="1"/>
  <c r="M1378" i="1"/>
  <c r="U1378" i="1" s="1"/>
  <c r="AT1376" i="1"/>
  <c r="AX1376" i="1" s="1"/>
  <c r="M1376" i="1"/>
  <c r="U1376" i="1" s="1"/>
  <c r="AT1374" i="1"/>
  <c r="AX1374" i="1" s="1"/>
  <c r="M1374" i="1"/>
  <c r="U1374" i="1" s="1"/>
  <c r="AT1372" i="1"/>
  <c r="AX1372" i="1" s="1"/>
  <c r="M1372" i="1"/>
  <c r="U1372" i="1" s="1"/>
  <c r="AT1370" i="1"/>
  <c r="AX1370" i="1" s="1"/>
  <c r="M1370" i="1"/>
  <c r="U1370" i="1" s="1"/>
  <c r="AT1368" i="1"/>
  <c r="AX1368" i="1" s="1"/>
  <c r="M1368" i="1"/>
  <c r="U1368" i="1" s="1"/>
  <c r="AT1366" i="1"/>
  <c r="AX1366" i="1" s="1"/>
  <c r="M1366" i="1"/>
  <c r="U1366" i="1" s="1"/>
  <c r="AT1364" i="1"/>
  <c r="AX1364" i="1" s="1"/>
  <c r="K1364" i="1"/>
  <c r="M1364" i="1" s="1"/>
  <c r="AT1362" i="1"/>
  <c r="AX1362" i="1" s="1"/>
  <c r="K1362" i="1"/>
  <c r="AT1360" i="1"/>
  <c r="AX1360" i="1" s="1"/>
  <c r="K1360" i="1"/>
  <c r="M1360" i="1" s="1"/>
  <c r="U1360" i="1" s="1"/>
  <c r="AT1358" i="1"/>
  <c r="AX1358" i="1" s="1"/>
  <c r="K1358" i="1"/>
  <c r="M1358" i="1" s="1"/>
  <c r="AT1356" i="1"/>
  <c r="AX1356" i="1" s="1"/>
  <c r="M1356" i="1"/>
  <c r="U1356" i="1" s="1"/>
  <c r="AT1354" i="1"/>
  <c r="AX1354" i="1" s="1"/>
  <c r="M1354" i="1"/>
  <c r="U1354" i="1" s="1"/>
  <c r="AT1352" i="1"/>
  <c r="AX1352" i="1" s="1"/>
  <c r="U1352" i="1"/>
  <c r="AT1350" i="1"/>
  <c r="AX1350" i="1" s="1"/>
  <c r="U1350" i="1"/>
  <c r="AT1348" i="1"/>
  <c r="AX1348" i="1" s="1"/>
  <c r="M1348" i="1"/>
  <c r="U1348" i="1" s="1"/>
  <c r="AT1346" i="1"/>
  <c r="AX1346" i="1" s="1"/>
  <c r="O1346" i="1"/>
  <c r="M1346" i="1"/>
  <c r="AT1344" i="1"/>
  <c r="AX1344" i="1" s="1"/>
  <c r="M1344" i="1"/>
  <c r="U1344" i="1" s="1"/>
  <c r="AT1342" i="1"/>
  <c r="AX1342" i="1" s="1"/>
  <c r="M1342" i="1"/>
  <c r="U1342" i="1" s="1"/>
  <c r="AT1340" i="1"/>
  <c r="AX1340" i="1" s="1"/>
  <c r="K1340" i="1"/>
  <c r="M1340" i="1" s="1"/>
  <c r="U1340" i="1" s="1"/>
  <c r="AT1338" i="1"/>
  <c r="AX1338" i="1" s="1"/>
  <c r="M1338" i="1"/>
  <c r="U1338" i="1" s="1"/>
  <c r="AT1336" i="1"/>
  <c r="AX1336" i="1" s="1"/>
  <c r="M1336" i="1"/>
  <c r="U1336" i="1" s="1"/>
  <c r="AT1334" i="1"/>
  <c r="AX1334" i="1" s="1"/>
  <c r="O1334" i="1"/>
  <c r="M1334" i="1"/>
  <c r="AT1332" i="1"/>
  <c r="AX1332" i="1" s="1"/>
  <c r="O1332" i="1"/>
  <c r="M1332" i="1"/>
  <c r="AT1330" i="1"/>
  <c r="AX1330" i="1" s="1"/>
  <c r="M1330" i="1"/>
  <c r="U1330" i="1" s="1"/>
  <c r="AT1328" i="1"/>
  <c r="AX1328" i="1" s="1"/>
  <c r="O1328" i="1"/>
  <c r="M1328" i="1"/>
  <c r="AT1326" i="1"/>
  <c r="AX1326" i="1" s="1"/>
  <c r="M1326" i="1"/>
  <c r="U1326" i="1" s="1"/>
  <c r="AT1324" i="1"/>
  <c r="AX1324" i="1" s="1"/>
  <c r="M1324" i="1"/>
  <c r="U1324" i="1" s="1"/>
  <c r="AT1322" i="1"/>
  <c r="AX1322" i="1" s="1"/>
  <c r="M1322" i="1"/>
  <c r="U1322" i="1" s="1"/>
  <c r="AT1320" i="1"/>
  <c r="AX1320" i="1" s="1"/>
  <c r="M1320" i="1"/>
  <c r="U1320" i="1" s="1"/>
  <c r="AT1318" i="1"/>
  <c r="AX1318" i="1" s="1"/>
  <c r="O1318" i="1"/>
  <c r="M1318" i="1"/>
  <c r="AT1316" i="1"/>
  <c r="AX1316" i="1" s="1"/>
  <c r="M1316" i="1"/>
  <c r="U1316" i="1" s="1"/>
  <c r="AT1314" i="1"/>
  <c r="AX1314" i="1" s="1"/>
  <c r="M1314" i="1"/>
  <c r="U1314" i="1" s="1"/>
  <c r="AT1312" i="1"/>
  <c r="AX1312" i="1" s="1"/>
  <c r="M1312" i="1"/>
  <c r="U1312" i="1" s="1"/>
  <c r="AT1310" i="1"/>
  <c r="AX1310" i="1" s="1"/>
  <c r="M1310" i="1"/>
  <c r="U1310" i="1" s="1"/>
  <c r="AT1308" i="1"/>
  <c r="AX1308" i="1" s="1"/>
  <c r="M1308" i="1"/>
  <c r="U1308" i="1" s="1"/>
  <c r="AT1306" i="1"/>
  <c r="AX1306" i="1" s="1"/>
  <c r="M1306" i="1"/>
  <c r="U1306" i="1" s="1"/>
  <c r="AT1304" i="1"/>
  <c r="AX1304" i="1" s="1"/>
  <c r="K1304" i="1"/>
  <c r="AT1302" i="1"/>
  <c r="AX1302" i="1" s="1"/>
  <c r="M1302" i="1"/>
  <c r="U1302" i="1" s="1"/>
  <c r="AT1300" i="1"/>
  <c r="AX1300" i="1" s="1"/>
  <c r="M1300" i="1"/>
  <c r="U1300" i="1" s="1"/>
  <c r="AT1298" i="1"/>
  <c r="AX1298" i="1" s="1"/>
  <c r="O1298" i="1"/>
  <c r="M1298" i="1"/>
  <c r="AT1296" i="1"/>
  <c r="AX1296" i="1" s="1"/>
  <c r="M1296" i="1"/>
  <c r="U1296" i="1" s="1"/>
  <c r="AT1294" i="1"/>
  <c r="AX1294" i="1" s="1"/>
  <c r="M1294" i="1"/>
  <c r="U1294" i="1" s="1"/>
  <c r="AT1292" i="1"/>
  <c r="AX1292" i="1" s="1"/>
  <c r="M1292" i="1"/>
  <c r="U1292" i="1" s="1"/>
  <c r="AT1290" i="1"/>
  <c r="AX1290" i="1" s="1"/>
  <c r="K1290" i="1"/>
  <c r="M1290" i="1" s="1"/>
  <c r="AT1288" i="1"/>
  <c r="AX1288" i="1" s="1"/>
  <c r="M1288" i="1"/>
  <c r="U1288" i="1" s="1"/>
  <c r="AX1286" i="1"/>
  <c r="M1286" i="1"/>
  <c r="U1286" i="1" s="1"/>
  <c r="AT1284" i="1"/>
  <c r="AX1284" i="1" s="1"/>
  <c r="M1284" i="1"/>
  <c r="U1284" i="1" s="1"/>
  <c r="AT1282" i="1"/>
  <c r="AX1282" i="1" s="1"/>
  <c r="M1282" i="1"/>
  <c r="U1282" i="1" s="1"/>
  <c r="AT1280" i="1"/>
  <c r="AX1280" i="1" s="1"/>
  <c r="M1280" i="1"/>
  <c r="U1280" i="1" s="1"/>
  <c r="AT1278" i="1"/>
  <c r="AX1278" i="1" s="1"/>
  <c r="M1278" i="1"/>
  <c r="U1278" i="1" s="1"/>
  <c r="AT1276" i="1"/>
  <c r="AX1276" i="1" s="1"/>
  <c r="M1276" i="1"/>
  <c r="U1276" i="1" s="1"/>
  <c r="AT1274" i="1"/>
  <c r="AX1274" i="1" s="1"/>
  <c r="M1274" i="1"/>
  <c r="U1274" i="1" s="1"/>
  <c r="AT1272" i="1"/>
  <c r="AX1272" i="1" s="1"/>
  <c r="M1272" i="1"/>
  <c r="U1272" i="1" s="1"/>
  <c r="AT1270" i="1"/>
  <c r="AX1270" i="1" s="1"/>
  <c r="M1270" i="1"/>
  <c r="U1270" i="1" s="1"/>
  <c r="AT1268" i="1"/>
  <c r="AX1268" i="1" s="1"/>
  <c r="M1268" i="1"/>
  <c r="U1268" i="1" s="1"/>
  <c r="AT1266" i="1"/>
  <c r="AX1266" i="1" s="1"/>
  <c r="M1266" i="1"/>
  <c r="U1266" i="1" s="1"/>
  <c r="AT1264" i="1"/>
  <c r="AX1264" i="1" s="1"/>
  <c r="M1264" i="1"/>
  <c r="U1264" i="1" s="1"/>
  <c r="AT1262" i="1"/>
  <c r="AX1262" i="1" s="1"/>
  <c r="K1262" i="1"/>
  <c r="AT1260" i="1"/>
  <c r="AX1260" i="1" s="1"/>
  <c r="M1260" i="1"/>
  <c r="U1260" i="1" s="1"/>
  <c r="AX1258" i="1"/>
  <c r="M1258" i="1"/>
  <c r="U1258" i="1" s="1"/>
  <c r="AX1256" i="1"/>
  <c r="U1256" i="1"/>
  <c r="AT1254" i="1"/>
  <c r="AX1254" i="1" s="1"/>
  <c r="M1254" i="1"/>
  <c r="U1254" i="1" s="1"/>
  <c r="AT1252" i="1"/>
  <c r="AX1252" i="1" s="1"/>
  <c r="K1252" i="1"/>
  <c r="M1252" i="1" s="1"/>
  <c r="U1252" i="1" s="1"/>
  <c r="AT1250" i="1"/>
  <c r="AX1250" i="1" s="1"/>
  <c r="K1250" i="1"/>
  <c r="M1250" i="1" s="1"/>
  <c r="U1250" i="1" s="1"/>
  <c r="AT1248" i="1"/>
  <c r="AX1248" i="1" s="1"/>
  <c r="U1248" i="1"/>
  <c r="AX1246" i="1"/>
  <c r="O1246" i="1"/>
  <c r="M1246" i="1"/>
  <c r="AT1244" i="1"/>
  <c r="AX1244" i="1" s="1"/>
  <c r="M1244" i="1"/>
  <c r="U1244" i="1" s="1"/>
  <c r="AT1242" i="1"/>
  <c r="AX1242" i="1" s="1"/>
  <c r="M1242" i="1"/>
  <c r="U1242" i="1" s="1"/>
  <c r="AT1240" i="1"/>
  <c r="AX1240" i="1" s="1"/>
  <c r="M1240" i="1"/>
  <c r="U1240" i="1" s="1"/>
  <c r="AT1238" i="1"/>
  <c r="AX1238" i="1" s="1"/>
  <c r="M1238" i="1"/>
  <c r="U1238" i="1" s="1"/>
  <c r="AX1236" i="1"/>
  <c r="M1236" i="1"/>
  <c r="U1236" i="1" s="1"/>
  <c r="AT1234" i="1"/>
  <c r="AX1234" i="1" s="1"/>
  <c r="M1234" i="1"/>
  <c r="U1234" i="1" s="1"/>
  <c r="AT1232" i="1"/>
  <c r="AX1232" i="1" s="1"/>
  <c r="K1232" i="1"/>
  <c r="M1232" i="1" s="1"/>
  <c r="AT1230" i="1"/>
  <c r="AX1230" i="1" s="1"/>
  <c r="M1230" i="1"/>
  <c r="U1230" i="1" s="1"/>
  <c r="AT1228" i="1"/>
  <c r="AX1228" i="1" s="1"/>
  <c r="K1228" i="1"/>
  <c r="AT1226" i="1"/>
  <c r="AX1226" i="1" s="1"/>
  <c r="K1226" i="1"/>
  <c r="M1226" i="1" s="1"/>
  <c r="U1226" i="1" s="1"/>
  <c r="AT1224" i="1"/>
  <c r="AX1224" i="1" s="1"/>
  <c r="M1224" i="1"/>
  <c r="U1224" i="1" s="1"/>
  <c r="AT1222" i="1"/>
  <c r="AX1222" i="1" s="1"/>
  <c r="U1222" i="1"/>
  <c r="AT1220" i="1"/>
  <c r="AX1220" i="1" s="1"/>
  <c r="M1220" i="1"/>
  <c r="U1220" i="1" s="1"/>
  <c r="AT1218" i="1"/>
  <c r="AX1218" i="1" s="1"/>
  <c r="U1218" i="1"/>
  <c r="AT1216" i="1"/>
  <c r="AX1216" i="1" s="1"/>
  <c r="U1216" i="1"/>
  <c r="AT1214" i="1"/>
  <c r="AX1214" i="1" s="1"/>
  <c r="M1214" i="1"/>
  <c r="U1214" i="1" s="1"/>
  <c r="AT1212" i="1"/>
  <c r="AX1212" i="1" s="1"/>
  <c r="O1212" i="1"/>
  <c r="M1212" i="1"/>
  <c r="AT1210" i="1"/>
  <c r="AX1210" i="1" s="1"/>
  <c r="M1210" i="1"/>
  <c r="U1210" i="1" s="1"/>
  <c r="AT1208" i="1"/>
  <c r="AX1208" i="1" s="1"/>
  <c r="M1208" i="1"/>
  <c r="U1208" i="1" s="1"/>
  <c r="AT1206" i="1"/>
  <c r="AX1206" i="1" s="1"/>
  <c r="O1206" i="1"/>
  <c r="M1206" i="1"/>
  <c r="AX1204" i="1"/>
  <c r="O1204" i="1"/>
  <c r="M1204" i="1"/>
  <c r="AT1202" i="1"/>
  <c r="AX1202" i="1" s="1"/>
  <c r="M1202" i="1"/>
  <c r="U1202" i="1" s="1"/>
  <c r="AT1200" i="1"/>
  <c r="AX1200" i="1" s="1"/>
  <c r="M1200" i="1"/>
  <c r="U1200" i="1" s="1"/>
  <c r="AT1198" i="1"/>
  <c r="AX1198" i="1" s="1"/>
  <c r="M1198" i="1"/>
  <c r="U1198" i="1" s="1"/>
  <c r="AT1196" i="1"/>
  <c r="AX1196" i="1" s="1"/>
  <c r="O1196" i="1"/>
  <c r="M1196" i="1"/>
  <c r="AT1194" i="1"/>
  <c r="AX1194" i="1" s="1"/>
  <c r="M1194" i="1"/>
  <c r="U1194" i="1" s="1"/>
  <c r="AT1192" i="1"/>
  <c r="AX1192" i="1" s="1"/>
  <c r="K1192" i="1"/>
  <c r="M1192" i="1" s="1"/>
  <c r="AT1190" i="1"/>
  <c r="AX1190" i="1" s="1"/>
  <c r="M1190" i="1"/>
  <c r="U1190" i="1" s="1"/>
  <c r="AT1188" i="1"/>
  <c r="AX1188" i="1" s="1"/>
  <c r="M1188" i="1"/>
  <c r="U1188" i="1" s="1"/>
  <c r="AX1186" i="1"/>
  <c r="O1186" i="1"/>
  <c r="M1186" i="1"/>
  <c r="AT1184" i="1"/>
  <c r="AX1184" i="1" s="1"/>
  <c r="U1184" i="1"/>
  <c r="AT1182" i="1"/>
  <c r="AX1182" i="1" s="1"/>
  <c r="K1182" i="1"/>
  <c r="AT1180" i="1"/>
  <c r="AX1180" i="1" s="1"/>
  <c r="K1180" i="1"/>
  <c r="M1180" i="1" s="1"/>
  <c r="AT1178" i="1"/>
  <c r="AX1178" i="1" s="1"/>
  <c r="M1178" i="1"/>
  <c r="U1178" i="1" s="1"/>
  <c r="AT1176" i="1"/>
  <c r="AX1176" i="1" s="1"/>
  <c r="M1176" i="1"/>
  <c r="U1176" i="1" s="1"/>
  <c r="AT1174" i="1"/>
  <c r="AX1174" i="1" s="1"/>
  <c r="M1174" i="1"/>
  <c r="U1174" i="1" s="1"/>
  <c r="AX1172" i="1"/>
  <c r="O1172" i="1"/>
  <c r="M1172" i="1"/>
  <c r="AX1170" i="1"/>
  <c r="O1170" i="1"/>
  <c r="M1170" i="1"/>
  <c r="AT1168" i="1"/>
  <c r="AX1168" i="1" s="1"/>
  <c r="M1168" i="1"/>
  <c r="U1168" i="1" s="1"/>
  <c r="AT1166" i="1"/>
  <c r="AX1166" i="1" s="1"/>
  <c r="M1166" i="1"/>
  <c r="U1166" i="1" s="1"/>
  <c r="AT1164" i="1"/>
  <c r="AX1164" i="1" s="1"/>
  <c r="M1164" i="1"/>
  <c r="U1164" i="1" s="1"/>
  <c r="AT1162" i="1"/>
  <c r="AX1162" i="1" s="1"/>
  <c r="O1162" i="1"/>
  <c r="M1162" i="1"/>
  <c r="AT1160" i="1"/>
  <c r="AX1160" i="1" s="1"/>
  <c r="O1160" i="1"/>
  <c r="M1160" i="1"/>
  <c r="AT1158" i="1"/>
  <c r="AX1158" i="1" s="1"/>
  <c r="M1158" i="1"/>
  <c r="U1158" i="1" s="1"/>
  <c r="AT1156" i="1"/>
  <c r="AX1156" i="1" s="1"/>
  <c r="U1156" i="1"/>
  <c r="AT1154" i="1"/>
  <c r="AX1154" i="1" s="1"/>
  <c r="M1154" i="1"/>
  <c r="U1154" i="1" s="1"/>
  <c r="AT1152" i="1"/>
  <c r="AX1152" i="1" s="1"/>
  <c r="M1152" i="1"/>
  <c r="U1152" i="1" s="1"/>
  <c r="AT1150" i="1"/>
  <c r="AX1150" i="1" s="1"/>
  <c r="K1150" i="1"/>
  <c r="M1150" i="1" s="1"/>
  <c r="U1150" i="1" s="1"/>
  <c r="AT1148" i="1"/>
  <c r="AX1148" i="1" s="1"/>
  <c r="K1148" i="1"/>
  <c r="AT1146" i="1"/>
  <c r="AX1146" i="1" s="1"/>
  <c r="O1146" i="1"/>
  <c r="M1146" i="1"/>
  <c r="AT1144" i="1"/>
  <c r="AX1144" i="1" s="1"/>
  <c r="M1144" i="1"/>
  <c r="U1144" i="1" s="1"/>
  <c r="AT1142" i="1"/>
  <c r="AX1142" i="1" s="1"/>
  <c r="O1142" i="1"/>
  <c r="M1142" i="1"/>
  <c r="AT1140" i="1"/>
  <c r="AX1140" i="1" s="1"/>
  <c r="M1140" i="1"/>
  <c r="U1140" i="1" s="1"/>
  <c r="AT1138" i="1"/>
  <c r="AX1138" i="1" s="1"/>
  <c r="M1138" i="1"/>
  <c r="U1138" i="1" s="1"/>
  <c r="AT1136" i="1"/>
  <c r="AX1136" i="1" s="1"/>
  <c r="U1136" i="1"/>
  <c r="AT1134" i="1"/>
  <c r="AX1134" i="1" s="1"/>
  <c r="M1134" i="1"/>
  <c r="U1134" i="1" s="1"/>
  <c r="AT1132" i="1"/>
  <c r="AX1132" i="1" s="1"/>
  <c r="M1132" i="1"/>
  <c r="U1132" i="1" s="1"/>
  <c r="AT1130" i="1"/>
  <c r="AX1130" i="1" s="1"/>
  <c r="U1130" i="1"/>
  <c r="AX1128" i="1"/>
  <c r="O1128" i="1"/>
  <c r="M1128" i="1"/>
  <c r="AX1126" i="1"/>
  <c r="O1126" i="1"/>
  <c r="M1126" i="1"/>
  <c r="AT1124" i="1"/>
  <c r="AX1124" i="1" s="1"/>
  <c r="K1124" i="1"/>
  <c r="AT1122" i="1"/>
  <c r="AX1122" i="1" s="1"/>
  <c r="O1122" i="1"/>
  <c r="M1122" i="1"/>
  <c r="AT1120" i="1"/>
  <c r="AX1120" i="1" s="1"/>
  <c r="M1120" i="1"/>
  <c r="U1120" i="1" s="1"/>
  <c r="AT1118" i="1"/>
  <c r="AX1118" i="1" s="1"/>
  <c r="K1118" i="1"/>
  <c r="M1118" i="1" s="1"/>
  <c r="AT1116" i="1"/>
  <c r="AX1116" i="1" s="1"/>
  <c r="O1116" i="1"/>
  <c r="M1116" i="1"/>
  <c r="AT1114" i="1"/>
  <c r="AX1114" i="1" s="1"/>
  <c r="O1114" i="1"/>
  <c r="M1114" i="1"/>
  <c r="AT1112" i="1"/>
  <c r="AX1112" i="1" s="1"/>
  <c r="M1112" i="1"/>
  <c r="U1112" i="1" s="1"/>
  <c r="AT1110" i="1"/>
  <c r="AX1110" i="1" s="1"/>
  <c r="M1110" i="1"/>
  <c r="U1110" i="1" s="1"/>
  <c r="AT1108" i="1"/>
  <c r="AX1108" i="1" s="1"/>
  <c r="M1108" i="1"/>
  <c r="U1108" i="1" s="1"/>
  <c r="AT1106" i="1"/>
  <c r="AX1106" i="1" s="1"/>
  <c r="M1106" i="1"/>
  <c r="U1106" i="1" s="1"/>
  <c r="AT1104" i="1"/>
  <c r="AX1104" i="1" s="1"/>
  <c r="K1104" i="1"/>
  <c r="AT1102" i="1"/>
  <c r="AX1102" i="1" s="1"/>
  <c r="U1102" i="1"/>
  <c r="AX1100" i="1"/>
  <c r="M1100" i="1"/>
  <c r="U1100" i="1" s="1"/>
  <c r="AT1098" i="1"/>
  <c r="AX1098" i="1" s="1"/>
  <c r="M1098" i="1"/>
  <c r="U1098" i="1" s="1"/>
  <c r="AT1096" i="1"/>
  <c r="AX1096" i="1" s="1"/>
  <c r="M1096" i="1"/>
  <c r="U1096" i="1" s="1"/>
  <c r="AT1094" i="1"/>
  <c r="AX1094" i="1" s="1"/>
  <c r="K1094" i="1"/>
  <c r="M1094" i="1" s="1"/>
  <c r="AT1092" i="1"/>
  <c r="AX1092" i="1" s="1"/>
  <c r="M1092" i="1"/>
  <c r="U1092" i="1" s="1"/>
  <c r="AT1090" i="1"/>
  <c r="AX1090" i="1" s="1"/>
  <c r="M1090" i="1"/>
  <c r="U1090" i="1" s="1"/>
  <c r="AT1088" i="1"/>
  <c r="AX1088" i="1" s="1"/>
  <c r="M1088" i="1"/>
  <c r="U1088" i="1" s="1"/>
  <c r="AX1086" i="1"/>
  <c r="U1086" i="1"/>
  <c r="AT1084" i="1"/>
  <c r="AX1084" i="1" s="1"/>
  <c r="U1084" i="1"/>
  <c r="AT1082" i="1"/>
  <c r="AX1082" i="1" s="1"/>
  <c r="O1082" i="1"/>
  <c r="M1082" i="1"/>
  <c r="AT1080" i="1"/>
  <c r="AX1080" i="1" s="1"/>
  <c r="M1080" i="1"/>
  <c r="U1080" i="1" s="1"/>
  <c r="AT1078" i="1"/>
  <c r="AX1078" i="1" s="1"/>
  <c r="M1078" i="1"/>
  <c r="U1078" i="1" s="1"/>
  <c r="AT1076" i="1"/>
  <c r="AX1076" i="1" s="1"/>
  <c r="M1076" i="1"/>
  <c r="U1076" i="1" s="1"/>
  <c r="AT1074" i="1"/>
  <c r="AX1074" i="1" s="1"/>
  <c r="M1074" i="1"/>
  <c r="U1074" i="1" s="1"/>
  <c r="AX1072" i="1"/>
  <c r="M1072" i="1"/>
  <c r="U1072" i="1" s="1"/>
  <c r="AT1070" i="1"/>
  <c r="AX1070" i="1" s="1"/>
  <c r="M1070" i="1"/>
  <c r="U1070" i="1" s="1"/>
  <c r="AT1068" i="1"/>
  <c r="AX1068" i="1" s="1"/>
  <c r="U1068" i="1"/>
  <c r="AT1066" i="1"/>
  <c r="AX1066" i="1" s="1"/>
  <c r="K1066" i="1"/>
  <c r="M1066" i="1" s="1"/>
  <c r="U1066" i="1" s="1"/>
  <c r="AT1064" i="1"/>
  <c r="AX1064" i="1" s="1"/>
  <c r="M1064" i="1"/>
  <c r="U1064" i="1" s="1"/>
  <c r="AT1062" i="1"/>
  <c r="AX1062" i="1" s="1"/>
  <c r="M1062" i="1"/>
  <c r="U1062" i="1" s="1"/>
  <c r="AX1060" i="1"/>
  <c r="U1060" i="1"/>
  <c r="AT1058" i="1"/>
  <c r="AX1058" i="1" s="1"/>
  <c r="M1058" i="1"/>
  <c r="U1058" i="1" s="1"/>
  <c r="AT1056" i="1"/>
  <c r="AX1056" i="1" s="1"/>
  <c r="O1056" i="1"/>
  <c r="M1056" i="1"/>
  <c r="AT1054" i="1"/>
  <c r="AX1054" i="1" s="1"/>
  <c r="M1054" i="1"/>
  <c r="U1054" i="1" s="1"/>
  <c r="AT1052" i="1"/>
  <c r="AX1052" i="1" s="1"/>
  <c r="K1052" i="1"/>
  <c r="AX1050" i="1"/>
  <c r="M1050" i="1"/>
  <c r="U1050" i="1" s="1"/>
  <c r="AT1048" i="1"/>
  <c r="AX1048" i="1" s="1"/>
  <c r="M1048" i="1"/>
  <c r="U1048" i="1" s="1"/>
  <c r="AX1046" i="1"/>
  <c r="M1046" i="1"/>
  <c r="U1046" i="1" s="1"/>
  <c r="AT1044" i="1"/>
  <c r="AX1044" i="1" s="1"/>
  <c r="M1044" i="1"/>
  <c r="U1044" i="1" s="1"/>
  <c r="AX1042" i="1"/>
  <c r="O1042" i="1"/>
  <c r="M1042" i="1"/>
  <c r="AT1040" i="1"/>
  <c r="AX1040" i="1" s="1"/>
  <c r="U1040" i="1"/>
  <c r="AT1038" i="1"/>
  <c r="AX1038" i="1" s="1"/>
  <c r="M1038" i="1"/>
  <c r="U1038" i="1" s="1"/>
  <c r="AT1036" i="1"/>
  <c r="AX1036" i="1" s="1"/>
  <c r="M1036" i="1"/>
  <c r="U1036" i="1" s="1"/>
  <c r="AT1034" i="1"/>
  <c r="AX1034" i="1" s="1"/>
  <c r="M1034" i="1"/>
  <c r="U1034" i="1" s="1"/>
  <c r="AX1032" i="1"/>
  <c r="M1032" i="1"/>
  <c r="U1032" i="1" s="1"/>
  <c r="AT1030" i="1"/>
  <c r="AX1030" i="1" s="1"/>
  <c r="M1030" i="1"/>
  <c r="U1030" i="1" s="1"/>
  <c r="AT1028" i="1"/>
  <c r="AX1028" i="1" s="1"/>
  <c r="U1028" i="1"/>
  <c r="AX1026" i="1"/>
  <c r="O1026" i="1"/>
  <c r="M1026" i="1"/>
  <c r="AT1024" i="1"/>
  <c r="AX1024" i="1" s="1"/>
  <c r="M1024" i="1"/>
  <c r="U1024" i="1" s="1"/>
  <c r="AT1022" i="1"/>
  <c r="AX1022" i="1" s="1"/>
  <c r="U1022" i="1"/>
  <c r="AT1020" i="1"/>
  <c r="AX1020" i="1" s="1"/>
  <c r="K1020" i="1"/>
  <c r="AT1018" i="1"/>
  <c r="AX1018" i="1" s="1"/>
  <c r="M1018" i="1"/>
  <c r="U1018" i="1" s="1"/>
  <c r="AT1016" i="1"/>
  <c r="AX1016" i="1" s="1"/>
  <c r="M1016" i="1"/>
  <c r="U1016" i="1" s="1"/>
  <c r="AT1014" i="1"/>
  <c r="AX1014" i="1" s="1"/>
  <c r="M1014" i="1"/>
  <c r="U1014" i="1" s="1"/>
  <c r="AT1012" i="1"/>
  <c r="AX1012" i="1" s="1"/>
  <c r="M1012" i="1"/>
  <c r="U1012" i="1" s="1"/>
  <c r="AT1010" i="1"/>
  <c r="AX1010" i="1" s="1"/>
  <c r="O1010" i="1"/>
  <c r="M1010" i="1"/>
  <c r="AX1008" i="1"/>
  <c r="M1008" i="1"/>
  <c r="U1008" i="1" s="1"/>
  <c r="AT1006" i="1"/>
  <c r="AX1006" i="1" s="1"/>
  <c r="M1006" i="1"/>
  <c r="U1006" i="1" s="1"/>
  <c r="AT1004" i="1"/>
  <c r="AX1004" i="1" s="1"/>
  <c r="M1004" i="1"/>
  <c r="U1004" i="1" s="1"/>
  <c r="AT1002" i="1"/>
  <c r="AX1002" i="1" s="1"/>
  <c r="M1002" i="1"/>
  <c r="U1002" i="1" s="1"/>
  <c r="AT1000" i="1"/>
  <c r="AX1000" i="1" s="1"/>
  <c r="M1000" i="1"/>
  <c r="U1000" i="1" s="1"/>
  <c r="AX998" i="1"/>
  <c r="M998" i="1"/>
  <c r="U998" i="1" s="1"/>
  <c r="AT996" i="1"/>
  <c r="AX996" i="1" s="1"/>
  <c r="M996" i="1"/>
  <c r="U996" i="1" s="1"/>
  <c r="AT994" i="1"/>
  <c r="AX994" i="1" s="1"/>
  <c r="M994" i="1"/>
  <c r="U994" i="1" s="1"/>
  <c r="AT992" i="1"/>
  <c r="AX992" i="1" s="1"/>
  <c r="M992" i="1"/>
  <c r="U992" i="1" s="1"/>
  <c r="AT990" i="1"/>
  <c r="AX990" i="1" s="1"/>
  <c r="M990" i="1"/>
  <c r="U990" i="1" s="1"/>
  <c r="AT988" i="1"/>
  <c r="AX988" i="1" s="1"/>
  <c r="M988" i="1"/>
  <c r="U988" i="1" s="1"/>
  <c r="AT986" i="1"/>
  <c r="AX986" i="1" s="1"/>
  <c r="M986" i="1"/>
  <c r="U986" i="1" s="1"/>
  <c r="AX984" i="1"/>
  <c r="M984" i="1"/>
  <c r="U984" i="1" s="1"/>
  <c r="AX982" i="1"/>
  <c r="M982" i="1"/>
  <c r="U982" i="1" s="1"/>
  <c r="AT980" i="1"/>
  <c r="AX980" i="1" s="1"/>
  <c r="M980" i="1"/>
  <c r="U980" i="1" s="1"/>
  <c r="AT978" i="1"/>
  <c r="AX978" i="1" s="1"/>
  <c r="M978" i="1"/>
  <c r="U978" i="1" s="1"/>
  <c r="AT976" i="1"/>
  <c r="AX976" i="1" s="1"/>
  <c r="M976" i="1"/>
  <c r="U976" i="1" s="1"/>
  <c r="AX974" i="1"/>
  <c r="K974" i="1"/>
  <c r="AT972" i="1"/>
  <c r="AX972" i="1" s="1"/>
  <c r="M972" i="1"/>
  <c r="U972" i="1" s="1"/>
  <c r="AT970" i="1"/>
  <c r="AX970" i="1" s="1"/>
  <c r="M970" i="1"/>
  <c r="U970" i="1" s="1"/>
  <c r="AT968" i="1"/>
  <c r="AX968" i="1" s="1"/>
  <c r="K968" i="1"/>
  <c r="M968" i="1" s="1"/>
  <c r="U968" i="1" s="1"/>
  <c r="AT966" i="1"/>
  <c r="AX966" i="1" s="1"/>
  <c r="O966" i="1"/>
  <c r="M966" i="1"/>
  <c r="AX964" i="1"/>
  <c r="O964" i="1"/>
  <c r="M964" i="1"/>
  <c r="AT962" i="1"/>
  <c r="AX962" i="1" s="1"/>
  <c r="M962" i="1"/>
  <c r="U962" i="1" s="1"/>
  <c r="AT960" i="1"/>
  <c r="AX960" i="1" s="1"/>
  <c r="O960" i="1"/>
  <c r="M960" i="1"/>
  <c r="AX958" i="1"/>
  <c r="M958" i="1"/>
  <c r="U958" i="1" s="1"/>
  <c r="AT956" i="1"/>
  <c r="AX956" i="1" s="1"/>
  <c r="M956" i="1"/>
  <c r="U956" i="1" s="1"/>
  <c r="AT954" i="1"/>
  <c r="AX954" i="1" s="1"/>
  <c r="M954" i="1"/>
  <c r="U954" i="1" s="1"/>
  <c r="AT952" i="1"/>
  <c r="AX952" i="1" s="1"/>
  <c r="O952" i="1"/>
  <c r="M952" i="1"/>
  <c r="AT950" i="1"/>
  <c r="AX950" i="1" s="1"/>
  <c r="M950" i="1"/>
  <c r="U950" i="1" s="1"/>
  <c r="AT948" i="1"/>
  <c r="AX948" i="1" s="1"/>
  <c r="M948" i="1"/>
  <c r="U948" i="1" s="1"/>
  <c r="AT946" i="1"/>
  <c r="AX946" i="1" s="1"/>
  <c r="O946" i="1"/>
  <c r="M946" i="1"/>
  <c r="AT944" i="1"/>
  <c r="AX944" i="1" s="1"/>
  <c r="M944" i="1"/>
  <c r="U944" i="1" s="1"/>
  <c r="AT942" i="1"/>
  <c r="AX942" i="1" s="1"/>
  <c r="M942" i="1"/>
  <c r="U942" i="1" s="1"/>
  <c r="AT940" i="1"/>
  <c r="AX940" i="1" s="1"/>
  <c r="M940" i="1"/>
  <c r="U940" i="1" s="1"/>
  <c r="AT938" i="1"/>
  <c r="AX938" i="1" s="1"/>
  <c r="M938" i="1"/>
  <c r="U938" i="1" s="1"/>
  <c r="AX936" i="1"/>
  <c r="O936" i="1"/>
  <c r="M936" i="1"/>
  <c r="AX934" i="1"/>
  <c r="M934" i="1"/>
  <c r="U934" i="1" s="1"/>
  <c r="AT932" i="1"/>
  <c r="AX932" i="1" s="1"/>
  <c r="M932" i="1"/>
  <c r="U932" i="1" s="1"/>
  <c r="AT930" i="1"/>
  <c r="AX930" i="1" s="1"/>
  <c r="M930" i="1"/>
  <c r="U930" i="1" s="1"/>
  <c r="AT928" i="1"/>
  <c r="AX928" i="1" s="1"/>
  <c r="M928" i="1"/>
  <c r="U928" i="1" s="1"/>
  <c r="AT926" i="1"/>
  <c r="AX926" i="1" s="1"/>
  <c r="O926" i="1"/>
  <c r="M926" i="1"/>
  <c r="AT924" i="1"/>
  <c r="AX924" i="1" s="1"/>
  <c r="M924" i="1"/>
  <c r="U924" i="1" s="1"/>
  <c r="AT922" i="1"/>
  <c r="AX922" i="1" s="1"/>
  <c r="M922" i="1"/>
  <c r="U922" i="1" s="1"/>
  <c r="AT920" i="1"/>
  <c r="AX920" i="1" s="1"/>
  <c r="M920" i="1"/>
  <c r="U920" i="1" s="1"/>
  <c r="AX918" i="1"/>
  <c r="M918" i="1"/>
  <c r="U918" i="1" s="1"/>
  <c r="AT916" i="1"/>
  <c r="AX916" i="1" s="1"/>
  <c r="M916" i="1"/>
  <c r="U916" i="1" s="1"/>
  <c r="AX914" i="1"/>
  <c r="M914" i="1"/>
  <c r="U914" i="1" s="1"/>
  <c r="AT912" i="1"/>
  <c r="AX912" i="1" s="1"/>
  <c r="M912" i="1"/>
  <c r="U912" i="1" s="1"/>
  <c r="AT910" i="1"/>
  <c r="AX910" i="1" s="1"/>
  <c r="U910" i="1"/>
  <c r="AT908" i="1"/>
  <c r="AX908" i="1" s="1"/>
  <c r="O908" i="1"/>
  <c r="M908" i="1"/>
  <c r="AT906" i="1"/>
  <c r="AX906" i="1" s="1"/>
  <c r="U906" i="1"/>
  <c r="AT904" i="1"/>
  <c r="AX904" i="1" s="1"/>
  <c r="M904" i="1"/>
  <c r="U904" i="1" s="1"/>
  <c r="AX902" i="1"/>
  <c r="M902" i="1"/>
  <c r="U902" i="1" s="1"/>
  <c r="AT900" i="1"/>
  <c r="AX900" i="1" s="1"/>
  <c r="M900" i="1"/>
  <c r="U900" i="1" s="1"/>
  <c r="AT898" i="1"/>
  <c r="AX898" i="1" s="1"/>
  <c r="M898" i="1"/>
  <c r="U898" i="1" s="1"/>
  <c r="AX896" i="1"/>
  <c r="U896" i="1"/>
  <c r="AT894" i="1"/>
  <c r="AX894" i="1" s="1"/>
  <c r="M894" i="1"/>
  <c r="U894" i="1" s="1"/>
  <c r="AT892" i="1"/>
  <c r="AX892" i="1" s="1"/>
  <c r="M892" i="1"/>
  <c r="U892" i="1" s="1"/>
  <c r="AT890" i="1"/>
  <c r="AX890" i="1" s="1"/>
  <c r="M890" i="1"/>
  <c r="U890" i="1" s="1"/>
  <c r="AT888" i="1"/>
  <c r="AX888" i="1" s="1"/>
  <c r="M888" i="1"/>
  <c r="U888" i="1" s="1"/>
  <c r="AT886" i="1"/>
  <c r="AX886" i="1" s="1"/>
  <c r="M886" i="1"/>
  <c r="U886" i="1" s="1"/>
  <c r="AX884" i="1"/>
  <c r="U884" i="1"/>
  <c r="AX882" i="1"/>
  <c r="U882" i="1"/>
  <c r="AX880" i="1"/>
  <c r="U880" i="1"/>
  <c r="AX878" i="1"/>
  <c r="U878" i="1"/>
  <c r="AX876" i="1"/>
  <c r="U876" i="1"/>
  <c r="AX874" i="1"/>
  <c r="U874" i="1"/>
  <c r="AX872" i="1"/>
  <c r="U872" i="1"/>
  <c r="AX870" i="1"/>
  <c r="U870" i="1"/>
  <c r="AX868" i="1"/>
  <c r="U868" i="1"/>
  <c r="AX866" i="1"/>
  <c r="U866" i="1"/>
  <c r="AX864" i="1"/>
  <c r="U864" i="1"/>
  <c r="AX862" i="1"/>
  <c r="U862" i="1"/>
  <c r="AX860" i="1"/>
  <c r="U860" i="1"/>
  <c r="AX858" i="1"/>
  <c r="U858" i="1"/>
  <c r="AX856" i="1"/>
  <c r="U856" i="1"/>
  <c r="AX854" i="1"/>
  <c r="U854" i="1"/>
  <c r="AX852" i="1"/>
  <c r="U852" i="1"/>
  <c r="AX850" i="1"/>
  <c r="U850" i="1"/>
  <c r="AX848" i="1"/>
  <c r="U848" i="1"/>
  <c r="AX846" i="1"/>
  <c r="U846" i="1"/>
  <c r="AX844" i="1"/>
  <c r="U844" i="1"/>
  <c r="AX842" i="1"/>
  <c r="U842" i="1"/>
  <c r="AX840" i="1"/>
  <c r="U840" i="1"/>
  <c r="AX838" i="1"/>
  <c r="U838" i="1"/>
  <c r="AX836" i="1"/>
  <c r="U836" i="1"/>
  <c r="AX834" i="1"/>
  <c r="U834" i="1"/>
  <c r="AX832" i="1"/>
  <c r="U832" i="1"/>
  <c r="AX830" i="1"/>
  <c r="U830" i="1"/>
  <c r="AX828" i="1"/>
  <c r="U828" i="1"/>
  <c r="AX826" i="1"/>
  <c r="U826" i="1"/>
  <c r="AX824" i="1"/>
  <c r="U824" i="1"/>
  <c r="AX822" i="1"/>
  <c r="U822" i="1"/>
  <c r="AX820" i="1"/>
  <c r="U820" i="1"/>
  <c r="AX818" i="1"/>
  <c r="U818" i="1"/>
  <c r="AX816" i="1"/>
  <c r="U816" i="1"/>
  <c r="AX814" i="1"/>
  <c r="U814" i="1"/>
  <c r="AX812" i="1"/>
  <c r="U812" i="1"/>
  <c r="AX810" i="1"/>
  <c r="U810" i="1"/>
  <c r="AX808" i="1"/>
  <c r="U808" i="1"/>
  <c r="AX806" i="1"/>
  <c r="U806" i="1"/>
  <c r="AT804" i="1"/>
  <c r="AX804" i="1" s="1"/>
  <c r="M804" i="1"/>
  <c r="U804" i="1" s="1"/>
  <c r="AT802" i="1"/>
  <c r="AX802" i="1" s="1"/>
  <c r="M802" i="1"/>
  <c r="U802" i="1" s="1"/>
  <c r="AT800" i="1"/>
  <c r="AX800" i="1" s="1"/>
  <c r="U800" i="1"/>
  <c r="AT798" i="1"/>
  <c r="AX798" i="1" s="1"/>
  <c r="M798" i="1"/>
  <c r="U798" i="1" s="1"/>
  <c r="AT796" i="1"/>
  <c r="AX796" i="1" s="1"/>
  <c r="M796" i="1"/>
  <c r="U796" i="1" s="1"/>
  <c r="AT794" i="1"/>
  <c r="AX794" i="1" s="1"/>
  <c r="M794" i="1"/>
  <c r="U794" i="1" s="1"/>
  <c r="AX792" i="1"/>
  <c r="M792" i="1"/>
  <c r="U792" i="1" s="1"/>
  <c r="AT790" i="1"/>
  <c r="AX790" i="1" s="1"/>
  <c r="M790" i="1"/>
  <c r="U790" i="1" s="1"/>
  <c r="AT788" i="1"/>
  <c r="AX788" i="1" s="1"/>
  <c r="M788" i="1"/>
  <c r="U788" i="1" s="1"/>
  <c r="AT786" i="1"/>
  <c r="AX786" i="1" s="1"/>
  <c r="M786" i="1"/>
  <c r="U786" i="1" s="1"/>
  <c r="AT784" i="1"/>
  <c r="AX784" i="1" s="1"/>
  <c r="M784" i="1"/>
  <c r="U784" i="1" s="1"/>
  <c r="AT782" i="1"/>
  <c r="AX782" i="1" s="1"/>
  <c r="M782" i="1"/>
  <c r="U782" i="1" s="1"/>
  <c r="AT780" i="1"/>
  <c r="AX780" i="1" s="1"/>
  <c r="M780" i="1"/>
  <c r="U780" i="1" s="1"/>
  <c r="AT778" i="1"/>
  <c r="AX778" i="1" s="1"/>
  <c r="M778" i="1"/>
  <c r="U778" i="1" s="1"/>
  <c r="AT776" i="1"/>
  <c r="AX776" i="1" s="1"/>
  <c r="K776" i="1"/>
  <c r="AX774" i="1"/>
  <c r="M774" i="1"/>
  <c r="U774" i="1" s="1"/>
  <c r="AT772" i="1"/>
  <c r="AX772" i="1" s="1"/>
  <c r="M772" i="1"/>
  <c r="U772" i="1" s="1"/>
  <c r="AT770" i="1"/>
  <c r="AX770" i="1" s="1"/>
  <c r="M770" i="1"/>
  <c r="U770" i="1" s="1"/>
  <c r="AT768" i="1"/>
  <c r="AX768" i="1" s="1"/>
  <c r="M768" i="1"/>
  <c r="U768" i="1" s="1"/>
  <c r="AT766" i="1"/>
  <c r="AX766" i="1" s="1"/>
  <c r="M766" i="1"/>
  <c r="U766" i="1" s="1"/>
  <c r="AT764" i="1"/>
  <c r="AX764" i="1" s="1"/>
  <c r="M764" i="1"/>
  <c r="U764" i="1" s="1"/>
  <c r="AT762" i="1"/>
  <c r="AX762" i="1" s="1"/>
  <c r="M762" i="1"/>
  <c r="U762" i="1" s="1"/>
  <c r="AT760" i="1"/>
  <c r="AX760" i="1" s="1"/>
  <c r="M760" i="1"/>
  <c r="U760" i="1" s="1"/>
  <c r="AT758" i="1"/>
  <c r="AX758" i="1" s="1"/>
  <c r="U758" i="1"/>
  <c r="AT756" i="1"/>
  <c r="AX756" i="1" s="1"/>
  <c r="M756" i="1"/>
  <c r="U756" i="1" s="1"/>
  <c r="AT754" i="1"/>
  <c r="AX754" i="1" s="1"/>
  <c r="M754" i="1"/>
  <c r="U754" i="1" s="1"/>
  <c r="AT752" i="1"/>
  <c r="AX752" i="1" s="1"/>
  <c r="M752" i="1"/>
  <c r="U752" i="1" s="1"/>
  <c r="AT750" i="1"/>
  <c r="AX750" i="1" s="1"/>
  <c r="M750" i="1"/>
  <c r="U750" i="1" s="1"/>
  <c r="AT748" i="1"/>
  <c r="AX748" i="1" s="1"/>
  <c r="M748" i="1"/>
  <c r="U748" i="1" s="1"/>
  <c r="AT746" i="1"/>
  <c r="AX746" i="1" s="1"/>
  <c r="M746" i="1"/>
  <c r="U746" i="1" s="1"/>
  <c r="AT744" i="1"/>
  <c r="AX744" i="1" s="1"/>
  <c r="M744" i="1"/>
  <c r="U744" i="1" s="1"/>
  <c r="AT742" i="1"/>
  <c r="AX742" i="1" s="1"/>
  <c r="K742" i="1"/>
  <c r="M742" i="1" s="1"/>
  <c r="U742" i="1" s="1"/>
  <c r="AX740" i="1"/>
  <c r="M740" i="1"/>
  <c r="U740" i="1" s="1"/>
  <c r="AT738" i="1"/>
  <c r="AX738" i="1" s="1"/>
  <c r="M738" i="1"/>
  <c r="U738" i="1" s="1"/>
  <c r="AT736" i="1"/>
  <c r="AX736" i="1" s="1"/>
  <c r="M736" i="1"/>
  <c r="U736" i="1" s="1"/>
  <c r="AT734" i="1"/>
  <c r="AX734" i="1" s="1"/>
  <c r="M734" i="1"/>
  <c r="U734" i="1" s="1"/>
  <c r="AT732" i="1"/>
  <c r="AX732" i="1" s="1"/>
  <c r="M732" i="1"/>
  <c r="U732" i="1" s="1"/>
  <c r="AT730" i="1"/>
  <c r="AX730" i="1" s="1"/>
  <c r="M730" i="1"/>
  <c r="U730" i="1" s="1"/>
  <c r="AX728" i="1"/>
  <c r="M728" i="1"/>
  <c r="U728" i="1" s="1"/>
  <c r="AT726" i="1"/>
  <c r="AX726" i="1" s="1"/>
  <c r="M726" i="1"/>
  <c r="U726" i="1" s="1"/>
  <c r="AT724" i="1"/>
  <c r="AX724" i="1" s="1"/>
  <c r="M724" i="1"/>
  <c r="U724" i="1" s="1"/>
  <c r="AT722" i="1"/>
  <c r="AX722" i="1" s="1"/>
  <c r="M722" i="1"/>
  <c r="U722" i="1" s="1"/>
  <c r="AT720" i="1"/>
  <c r="AX720" i="1" s="1"/>
  <c r="M720" i="1"/>
  <c r="U720" i="1" s="1"/>
  <c r="AT718" i="1"/>
  <c r="AX718" i="1" s="1"/>
  <c r="M718" i="1"/>
  <c r="U718" i="1" s="1"/>
  <c r="AX716" i="1"/>
  <c r="M716" i="1"/>
  <c r="U716" i="1" s="1"/>
  <c r="AT714" i="1"/>
  <c r="AX714" i="1" s="1"/>
  <c r="M714" i="1"/>
  <c r="U714" i="1" s="1"/>
  <c r="AT712" i="1"/>
  <c r="AX712" i="1" s="1"/>
  <c r="M712" i="1"/>
  <c r="U712" i="1" s="1"/>
  <c r="AT710" i="1"/>
  <c r="AX710" i="1" s="1"/>
  <c r="U710" i="1"/>
  <c r="AT708" i="1"/>
  <c r="AX708" i="1" s="1"/>
  <c r="M708" i="1"/>
  <c r="U708" i="1" s="1"/>
  <c r="AT706" i="1"/>
  <c r="AX706" i="1" s="1"/>
  <c r="M706" i="1"/>
  <c r="U706" i="1" s="1"/>
  <c r="AT704" i="1"/>
  <c r="AX704" i="1" s="1"/>
  <c r="M704" i="1"/>
  <c r="U704" i="1" s="1"/>
  <c r="AT702" i="1"/>
  <c r="AX702" i="1" s="1"/>
  <c r="M702" i="1"/>
  <c r="U702" i="1" s="1"/>
  <c r="AT700" i="1"/>
  <c r="AX700" i="1" s="1"/>
  <c r="U700" i="1"/>
  <c r="AT698" i="1"/>
  <c r="AX698" i="1" s="1"/>
  <c r="M698" i="1"/>
  <c r="U698" i="1" s="1"/>
  <c r="AT696" i="1"/>
  <c r="AX696" i="1" s="1"/>
  <c r="M696" i="1"/>
  <c r="U696" i="1" s="1"/>
  <c r="AT694" i="1"/>
  <c r="AX694" i="1" s="1"/>
  <c r="M694" i="1"/>
  <c r="U694" i="1" s="1"/>
  <c r="AT692" i="1"/>
  <c r="AX692" i="1" s="1"/>
  <c r="M692" i="1"/>
  <c r="U692" i="1" s="1"/>
  <c r="AT690" i="1"/>
  <c r="AX690" i="1" s="1"/>
  <c r="M690" i="1"/>
  <c r="U690" i="1" s="1"/>
  <c r="AT688" i="1"/>
  <c r="AX688" i="1" s="1"/>
  <c r="M688" i="1"/>
  <c r="U688" i="1" s="1"/>
  <c r="AT686" i="1"/>
  <c r="M686" i="1"/>
  <c r="U686" i="1" s="1"/>
  <c r="AT684" i="1"/>
  <c r="AX684" i="1" s="1"/>
  <c r="M684" i="1"/>
  <c r="U684" i="1" s="1"/>
  <c r="AT682" i="1"/>
  <c r="AX682" i="1" s="1"/>
  <c r="M682" i="1"/>
  <c r="U682" i="1" s="1"/>
  <c r="AT680" i="1"/>
  <c r="AX680" i="1" s="1"/>
  <c r="M680" i="1"/>
  <c r="U680" i="1" s="1"/>
  <c r="AX678" i="1"/>
  <c r="U678" i="1"/>
  <c r="AT676" i="1"/>
  <c r="AX676" i="1" s="1"/>
  <c r="U676" i="1"/>
  <c r="AT674" i="1"/>
  <c r="AX674" i="1" s="1"/>
  <c r="U674" i="1"/>
  <c r="AT672" i="1"/>
  <c r="AX672" i="1" s="1"/>
  <c r="U672" i="1"/>
  <c r="AT670" i="1"/>
  <c r="AX670" i="1" s="1"/>
  <c r="U670" i="1"/>
  <c r="AT668" i="1"/>
  <c r="AX668" i="1" s="1"/>
  <c r="U668" i="1"/>
  <c r="AT666" i="1"/>
  <c r="AX666" i="1" s="1"/>
  <c r="U666" i="1"/>
  <c r="AT664" i="1"/>
  <c r="AX664" i="1" s="1"/>
  <c r="M664" i="1"/>
  <c r="U664" i="1" s="1"/>
  <c r="AT662" i="1"/>
  <c r="AX662" i="1" s="1"/>
  <c r="M662" i="1"/>
  <c r="U662" i="1" s="1"/>
  <c r="AT660" i="1"/>
  <c r="AX660" i="1" s="1"/>
  <c r="U660" i="1"/>
  <c r="AT658" i="1"/>
  <c r="AX658" i="1" s="1"/>
  <c r="U658" i="1"/>
  <c r="AT656" i="1"/>
  <c r="AX656" i="1" s="1"/>
  <c r="U656" i="1"/>
  <c r="AT654" i="1"/>
  <c r="AX654" i="1" s="1"/>
  <c r="U654" i="1"/>
  <c r="AT652" i="1"/>
  <c r="AX652" i="1" s="1"/>
  <c r="U652" i="1"/>
  <c r="AT650" i="1"/>
  <c r="AX650" i="1" s="1"/>
  <c r="U650" i="1"/>
  <c r="AT648" i="1"/>
  <c r="AX648" i="1" s="1"/>
  <c r="U648" i="1"/>
  <c r="AT646" i="1"/>
  <c r="AX646" i="1" s="1"/>
  <c r="U646" i="1"/>
  <c r="AT644" i="1"/>
  <c r="AX644" i="1" s="1"/>
  <c r="U644" i="1"/>
  <c r="AT642" i="1"/>
  <c r="AX642" i="1" s="1"/>
  <c r="U642" i="1"/>
  <c r="AT640" i="1"/>
  <c r="AX640" i="1" s="1"/>
  <c r="U640" i="1"/>
  <c r="AT638" i="1"/>
  <c r="AX638" i="1" s="1"/>
  <c r="U638" i="1"/>
  <c r="AT636" i="1"/>
  <c r="AX636" i="1" s="1"/>
  <c r="U636" i="1"/>
  <c r="AT634" i="1"/>
  <c r="AX634" i="1" s="1"/>
  <c r="U634" i="1"/>
  <c r="AT632" i="1"/>
  <c r="AX632" i="1" s="1"/>
  <c r="U632" i="1"/>
  <c r="AT630" i="1"/>
  <c r="AX630" i="1" s="1"/>
  <c r="U630" i="1"/>
  <c r="AT628" i="1"/>
  <c r="AX628" i="1" s="1"/>
  <c r="U628" i="1"/>
  <c r="AT626" i="1"/>
  <c r="AX626" i="1" s="1"/>
  <c r="U626" i="1"/>
  <c r="AT624" i="1"/>
  <c r="AX624" i="1" s="1"/>
  <c r="U624" i="1"/>
  <c r="AT622" i="1"/>
  <c r="AX622" i="1" s="1"/>
  <c r="U622" i="1"/>
  <c r="AT620" i="1"/>
  <c r="AX620" i="1" s="1"/>
  <c r="U620" i="1"/>
  <c r="AT618" i="1"/>
  <c r="AX618" i="1" s="1"/>
  <c r="U618" i="1"/>
  <c r="AT616" i="1"/>
  <c r="AX616" i="1" s="1"/>
  <c r="U616" i="1"/>
  <c r="AT614" i="1"/>
  <c r="AX614" i="1" s="1"/>
  <c r="U614" i="1"/>
  <c r="AT612" i="1"/>
  <c r="AX612" i="1" s="1"/>
  <c r="U612" i="1"/>
  <c r="AT610" i="1"/>
  <c r="AX610" i="1" s="1"/>
  <c r="U610" i="1"/>
  <c r="AT608" i="1"/>
  <c r="AX608" i="1" s="1"/>
  <c r="U608" i="1"/>
  <c r="AT606" i="1"/>
  <c r="AX606" i="1" s="1"/>
  <c r="U606" i="1"/>
  <c r="AT604" i="1"/>
  <c r="AX604" i="1" s="1"/>
  <c r="U604" i="1"/>
  <c r="AT602" i="1"/>
  <c r="AX602" i="1" s="1"/>
  <c r="U602" i="1"/>
  <c r="AT600" i="1"/>
  <c r="AX600" i="1" s="1"/>
  <c r="U600" i="1"/>
  <c r="AT598" i="1"/>
  <c r="AX598" i="1" s="1"/>
  <c r="U598" i="1"/>
  <c r="AT596" i="1"/>
  <c r="AX596" i="1" s="1"/>
  <c r="U596" i="1"/>
  <c r="AT594" i="1"/>
  <c r="AX594" i="1" s="1"/>
  <c r="U594" i="1"/>
  <c r="AT592" i="1"/>
  <c r="AX592" i="1" s="1"/>
  <c r="U592" i="1"/>
  <c r="AT590" i="1"/>
  <c r="AX590" i="1" s="1"/>
  <c r="U590" i="1"/>
  <c r="AT588" i="1"/>
  <c r="AX588" i="1" s="1"/>
  <c r="U588" i="1"/>
  <c r="AT586" i="1"/>
  <c r="AX586" i="1" s="1"/>
  <c r="U586" i="1"/>
  <c r="AX584" i="1"/>
  <c r="U584" i="1"/>
  <c r="AT582" i="1"/>
  <c r="AX582" i="1" s="1"/>
  <c r="U582" i="1"/>
  <c r="AT580" i="1"/>
  <c r="AX580" i="1" s="1"/>
  <c r="U580" i="1"/>
  <c r="AT578" i="1"/>
  <c r="AX578" i="1" s="1"/>
  <c r="U578" i="1"/>
  <c r="AT576" i="1"/>
  <c r="AX576" i="1" s="1"/>
  <c r="U576" i="1"/>
  <c r="AT574" i="1"/>
  <c r="AX574" i="1" s="1"/>
  <c r="U574" i="1"/>
  <c r="AT572" i="1"/>
  <c r="AX572" i="1" s="1"/>
  <c r="U572" i="1"/>
  <c r="AT570" i="1"/>
  <c r="AX570" i="1" s="1"/>
  <c r="U570" i="1"/>
  <c r="AT568" i="1"/>
  <c r="AX568" i="1" s="1"/>
  <c r="U568" i="1"/>
  <c r="AT566" i="1"/>
  <c r="AX566" i="1" s="1"/>
  <c r="U566" i="1"/>
  <c r="AT564" i="1"/>
  <c r="AX564" i="1" s="1"/>
  <c r="U564" i="1"/>
  <c r="AT562" i="1"/>
  <c r="AX562" i="1" s="1"/>
  <c r="U562" i="1"/>
  <c r="AT560" i="1"/>
  <c r="AX560" i="1" s="1"/>
  <c r="U560" i="1"/>
  <c r="AT558" i="1"/>
  <c r="AX558" i="1" s="1"/>
  <c r="U558" i="1"/>
  <c r="AX556" i="1"/>
  <c r="U556" i="1"/>
  <c r="AT554" i="1"/>
  <c r="AX554" i="1" s="1"/>
  <c r="U554" i="1"/>
  <c r="AT552" i="1"/>
  <c r="AX552" i="1" s="1"/>
  <c r="U552" i="1"/>
  <c r="AT550" i="1"/>
  <c r="AX550" i="1" s="1"/>
  <c r="U550" i="1"/>
  <c r="AT548" i="1"/>
  <c r="AX548" i="1" s="1"/>
  <c r="U548" i="1"/>
  <c r="AT546" i="1"/>
  <c r="AX546" i="1" s="1"/>
  <c r="U546" i="1"/>
  <c r="AT544" i="1"/>
  <c r="AX544" i="1" s="1"/>
  <c r="U544" i="1"/>
  <c r="AT542" i="1"/>
  <c r="AX542" i="1" s="1"/>
  <c r="U542" i="1"/>
  <c r="AT540" i="1"/>
  <c r="AX540" i="1" s="1"/>
  <c r="U540" i="1"/>
  <c r="AT538" i="1"/>
  <c r="AX538" i="1" s="1"/>
  <c r="U538" i="1"/>
  <c r="AT536" i="1"/>
  <c r="AX536" i="1" s="1"/>
  <c r="U536" i="1"/>
  <c r="AT534" i="1"/>
  <c r="AX534" i="1" s="1"/>
  <c r="U534" i="1"/>
  <c r="AT532" i="1"/>
  <c r="AX532" i="1" s="1"/>
  <c r="U532" i="1"/>
  <c r="AT530" i="1"/>
  <c r="AX530" i="1" s="1"/>
  <c r="U530" i="1"/>
  <c r="AT528" i="1"/>
  <c r="AX528" i="1" s="1"/>
  <c r="U528" i="1"/>
  <c r="AT526" i="1"/>
  <c r="AX526" i="1" s="1"/>
  <c r="U526" i="1"/>
  <c r="AT524" i="1"/>
  <c r="AX524" i="1" s="1"/>
  <c r="U524" i="1"/>
  <c r="AT522" i="1"/>
  <c r="AX522" i="1" s="1"/>
  <c r="U522" i="1"/>
  <c r="AT520" i="1"/>
  <c r="AX520" i="1" s="1"/>
  <c r="U520" i="1"/>
  <c r="AT518" i="1"/>
  <c r="AX518" i="1" s="1"/>
  <c r="U518" i="1"/>
  <c r="AT516" i="1"/>
  <c r="AX516" i="1" s="1"/>
  <c r="U516" i="1"/>
  <c r="AT514" i="1"/>
  <c r="AX514" i="1" s="1"/>
  <c r="U514" i="1"/>
  <c r="AT512" i="1"/>
  <c r="AX512" i="1" s="1"/>
  <c r="U512" i="1"/>
  <c r="AT510" i="1"/>
  <c r="AX510" i="1" s="1"/>
  <c r="U510" i="1"/>
  <c r="AT508" i="1"/>
  <c r="AX508" i="1" s="1"/>
  <c r="U508" i="1"/>
  <c r="AX506" i="1"/>
  <c r="U506" i="1"/>
  <c r="AT504" i="1"/>
  <c r="AX504" i="1" s="1"/>
  <c r="U504" i="1"/>
  <c r="AT502" i="1"/>
  <c r="AX502" i="1" s="1"/>
  <c r="U502" i="1"/>
  <c r="AT500" i="1"/>
  <c r="AX500" i="1" s="1"/>
  <c r="U500" i="1"/>
  <c r="AT498" i="1"/>
  <c r="AX498" i="1" s="1"/>
  <c r="U498" i="1"/>
  <c r="AT496" i="1"/>
  <c r="AX496" i="1" s="1"/>
  <c r="U496" i="1"/>
  <c r="AT494" i="1"/>
  <c r="AX494" i="1" s="1"/>
  <c r="U494" i="1"/>
  <c r="AT492" i="1"/>
  <c r="AX492" i="1" s="1"/>
  <c r="U492" i="1"/>
  <c r="AT490" i="1"/>
  <c r="AX490" i="1" s="1"/>
  <c r="U490" i="1"/>
  <c r="AT488" i="1"/>
  <c r="AX488" i="1" s="1"/>
  <c r="U488" i="1"/>
  <c r="AT486" i="1"/>
  <c r="AX486" i="1" s="1"/>
  <c r="U486" i="1"/>
  <c r="AT484" i="1"/>
  <c r="AX484" i="1" s="1"/>
  <c r="U484" i="1"/>
  <c r="AT482" i="1"/>
  <c r="AX482" i="1" s="1"/>
  <c r="U482" i="1"/>
  <c r="AT480" i="1"/>
  <c r="AX480" i="1" s="1"/>
  <c r="U480" i="1"/>
  <c r="AT478" i="1"/>
  <c r="AX478" i="1" s="1"/>
  <c r="U478" i="1"/>
  <c r="AT476" i="1"/>
  <c r="AX476" i="1" s="1"/>
  <c r="U476" i="1"/>
  <c r="AT474" i="1"/>
  <c r="AX474" i="1" s="1"/>
  <c r="U474" i="1"/>
  <c r="AT472" i="1"/>
  <c r="AX472" i="1" s="1"/>
  <c r="U472" i="1"/>
  <c r="AT470" i="1"/>
  <c r="AX470" i="1" s="1"/>
  <c r="U470" i="1"/>
  <c r="AT468" i="1"/>
  <c r="AX468" i="1" s="1"/>
  <c r="U468" i="1"/>
  <c r="AT466" i="1"/>
  <c r="AX466" i="1" s="1"/>
  <c r="U466" i="1"/>
  <c r="AT464" i="1"/>
  <c r="AX464" i="1" s="1"/>
  <c r="U464" i="1"/>
  <c r="AT462" i="1"/>
  <c r="AX462" i="1" s="1"/>
  <c r="U462" i="1"/>
  <c r="AT460" i="1"/>
  <c r="AX460" i="1" s="1"/>
  <c r="U460" i="1"/>
  <c r="AT458" i="1"/>
  <c r="AX458" i="1" s="1"/>
  <c r="U458" i="1"/>
  <c r="AT456" i="1"/>
  <c r="AX456" i="1" s="1"/>
  <c r="U456" i="1"/>
  <c r="AT454" i="1"/>
  <c r="AX454" i="1" s="1"/>
  <c r="U454" i="1"/>
  <c r="AT452" i="1"/>
  <c r="AX452" i="1" s="1"/>
  <c r="U452" i="1"/>
  <c r="AT450" i="1"/>
  <c r="AX450" i="1" s="1"/>
  <c r="U450" i="1"/>
  <c r="AT448" i="1"/>
  <c r="AX448" i="1" s="1"/>
  <c r="U448" i="1"/>
  <c r="AT446" i="1"/>
  <c r="AX446" i="1" s="1"/>
  <c r="U446" i="1"/>
  <c r="AT444" i="1"/>
  <c r="AX444" i="1" s="1"/>
  <c r="U444" i="1"/>
  <c r="AT442" i="1"/>
  <c r="AX442" i="1" s="1"/>
  <c r="U442" i="1"/>
  <c r="AT440" i="1"/>
  <c r="AX440" i="1" s="1"/>
  <c r="U440" i="1"/>
  <c r="AT438" i="1"/>
  <c r="AX438" i="1" s="1"/>
  <c r="U438" i="1"/>
  <c r="AT436" i="1"/>
  <c r="AX436" i="1" s="1"/>
  <c r="U436" i="1"/>
  <c r="AT434" i="1"/>
  <c r="AX434" i="1" s="1"/>
  <c r="U434" i="1"/>
  <c r="AT432" i="1"/>
  <c r="AX432" i="1" s="1"/>
  <c r="U432" i="1"/>
  <c r="AT430" i="1"/>
  <c r="AX430" i="1" s="1"/>
  <c r="U430" i="1"/>
  <c r="AT428" i="1"/>
  <c r="AX428" i="1" s="1"/>
  <c r="U428" i="1"/>
  <c r="AT426" i="1"/>
  <c r="AX426" i="1" s="1"/>
  <c r="U426" i="1"/>
  <c r="AT424" i="1"/>
  <c r="AX424" i="1" s="1"/>
  <c r="U424" i="1"/>
  <c r="AT422" i="1"/>
  <c r="AX422" i="1" s="1"/>
  <c r="U422" i="1"/>
  <c r="AX420" i="1"/>
  <c r="U420" i="1"/>
  <c r="AT418" i="1"/>
  <c r="AX418" i="1" s="1"/>
  <c r="U418" i="1"/>
  <c r="AT416" i="1"/>
  <c r="AX416" i="1" s="1"/>
  <c r="U416" i="1"/>
  <c r="AT414" i="1"/>
  <c r="AX414" i="1" s="1"/>
  <c r="U414" i="1"/>
  <c r="AT412" i="1"/>
  <c r="AX412" i="1" s="1"/>
  <c r="U412" i="1"/>
  <c r="AT410" i="1"/>
  <c r="AX410" i="1" s="1"/>
  <c r="U410" i="1"/>
  <c r="AT408" i="1"/>
  <c r="AX408" i="1" s="1"/>
  <c r="U408" i="1"/>
  <c r="AT406" i="1"/>
  <c r="AX406" i="1" s="1"/>
  <c r="U406" i="1"/>
  <c r="AT404" i="1"/>
  <c r="AX404" i="1" s="1"/>
  <c r="U404" i="1"/>
  <c r="AT402" i="1"/>
  <c r="AX402" i="1" s="1"/>
  <c r="U402" i="1"/>
  <c r="AT400" i="1"/>
  <c r="AX400" i="1" s="1"/>
  <c r="U400" i="1"/>
  <c r="AT398" i="1"/>
  <c r="AX398" i="1" s="1"/>
  <c r="U398" i="1"/>
  <c r="AT396" i="1"/>
  <c r="AX396" i="1" s="1"/>
  <c r="U396" i="1"/>
  <c r="AT394" i="1"/>
  <c r="AX394" i="1" s="1"/>
  <c r="U394" i="1"/>
  <c r="AT392" i="1"/>
  <c r="AX392" i="1" s="1"/>
  <c r="U392" i="1"/>
  <c r="AT390" i="1"/>
  <c r="AX390" i="1" s="1"/>
  <c r="U390" i="1"/>
  <c r="AT388" i="1"/>
  <c r="AX388" i="1" s="1"/>
  <c r="U388" i="1"/>
  <c r="AT386" i="1"/>
  <c r="AX386" i="1" s="1"/>
  <c r="U386" i="1"/>
  <c r="AT384" i="1"/>
  <c r="AX384" i="1" s="1"/>
  <c r="U384" i="1"/>
  <c r="AT382" i="1"/>
  <c r="AX382" i="1" s="1"/>
  <c r="U382" i="1"/>
  <c r="AT380" i="1"/>
  <c r="AX380" i="1" s="1"/>
  <c r="U380" i="1"/>
  <c r="AT378" i="1"/>
  <c r="AX378" i="1" s="1"/>
  <c r="U378" i="1"/>
  <c r="AT376" i="1"/>
  <c r="AX376" i="1" s="1"/>
  <c r="U376" i="1"/>
  <c r="AT374" i="1"/>
  <c r="AX374" i="1" s="1"/>
  <c r="U374" i="1"/>
  <c r="AT372" i="1"/>
  <c r="AX372" i="1" s="1"/>
  <c r="U372" i="1"/>
  <c r="AT370" i="1"/>
  <c r="AX370" i="1" s="1"/>
  <c r="U370" i="1"/>
  <c r="AT368" i="1"/>
  <c r="AX368" i="1" s="1"/>
  <c r="U368" i="1"/>
  <c r="AT366" i="1"/>
  <c r="AX366" i="1" s="1"/>
  <c r="U366" i="1"/>
  <c r="AT364" i="1"/>
  <c r="AX364" i="1" s="1"/>
  <c r="U364" i="1"/>
  <c r="AT362" i="1"/>
  <c r="AX362" i="1" s="1"/>
  <c r="U362" i="1"/>
  <c r="AT360" i="1"/>
  <c r="AX360" i="1" s="1"/>
  <c r="U360" i="1"/>
  <c r="AT358" i="1"/>
  <c r="AX358" i="1" s="1"/>
  <c r="U358" i="1"/>
  <c r="AT356" i="1"/>
  <c r="AX356" i="1" s="1"/>
  <c r="U356" i="1"/>
  <c r="AT354" i="1"/>
  <c r="AX354" i="1" s="1"/>
  <c r="U354" i="1"/>
  <c r="AT352" i="1"/>
  <c r="AX352" i="1" s="1"/>
  <c r="U352" i="1"/>
  <c r="AT350" i="1"/>
  <c r="AX350" i="1" s="1"/>
  <c r="U350" i="1"/>
  <c r="AT348" i="1"/>
  <c r="AX348" i="1" s="1"/>
  <c r="U348" i="1"/>
  <c r="AT346" i="1"/>
  <c r="AX346" i="1" s="1"/>
  <c r="U346" i="1"/>
  <c r="AT344" i="1"/>
  <c r="AX344" i="1" s="1"/>
  <c r="U344" i="1"/>
  <c r="AT342" i="1"/>
  <c r="AX342" i="1" s="1"/>
  <c r="U342" i="1"/>
  <c r="AT340" i="1"/>
  <c r="AX340" i="1" s="1"/>
  <c r="U340" i="1"/>
  <c r="AT338" i="1"/>
  <c r="AX338" i="1" s="1"/>
  <c r="U338" i="1"/>
  <c r="AT336" i="1"/>
  <c r="AX336" i="1" s="1"/>
  <c r="U336" i="1"/>
  <c r="AT334" i="1"/>
  <c r="AX334" i="1" s="1"/>
  <c r="U334" i="1"/>
  <c r="AT332" i="1"/>
  <c r="AX332" i="1" s="1"/>
  <c r="U332" i="1"/>
  <c r="AT330" i="1"/>
  <c r="AX330" i="1" s="1"/>
  <c r="U330" i="1"/>
  <c r="AT328" i="1"/>
  <c r="AX328" i="1" s="1"/>
  <c r="U328" i="1"/>
  <c r="AT326" i="1"/>
  <c r="AX326" i="1" s="1"/>
  <c r="U326" i="1"/>
  <c r="AT324" i="1"/>
  <c r="AX324" i="1" s="1"/>
  <c r="U324" i="1"/>
  <c r="AT322" i="1"/>
  <c r="AX322" i="1" s="1"/>
  <c r="U322" i="1"/>
  <c r="AT320" i="1"/>
  <c r="AX320" i="1" s="1"/>
  <c r="U320" i="1"/>
  <c r="AT318" i="1"/>
  <c r="AX318" i="1" s="1"/>
  <c r="U318" i="1"/>
  <c r="AT316" i="1"/>
  <c r="AX316" i="1" s="1"/>
  <c r="U316" i="1"/>
  <c r="AT314" i="1"/>
  <c r="AX314" i="1" s="1"/>
  <c r="U314" i="1"/>
  <c r="AT312" i="1"/>
  <c r="AX312" i="1" s="1"/>
  <c r="U312" i="1"/>
  <c r="AT310" i="1"/>
  <c r="AX310" i="1" s="1"/>
  <c r="U310" i="1"/>
  <c r="AT308" i="1"/>
  <c r="AX308" i="1" s="1"/>
  <c r="U308" i="1"/>
  <c r="AT306" i="1"/>
  <c r="AX306" i="1" s="1"/>
  <c r="U306" i="1"/>
  <c r="AT304" i="1"/>
  <c r="AX304" i="1" s="1"/>
  <c r="S304" i="1"/>
  <c r="U304" i="1" s="1"/>
  <c r="AT302" i="1"/>
  <c r="AX302" i="1" s="1"/>
  <c r="U302" i="1"/>
  <c r="AT300" i="1"/>
  <c r="AX300" i="1" s="1"/>
  <c r="U300" i="1"/>
  <c r="AT298" i="1"/>
  <c r="AX298" i="1" s="1"/>
  <c r="U298" i="1"/>
  <c r="AT296" i="1"/>
  <c r="AX296" i="1" s="1"/>
  <c r="U296" i="1"/>
  <c r="AT294" i="1"/>
  <c r="AX294" i="1" s="1"/>
  <c r="U294" i="1"/>
  <c r="AT292" i="1"/>
  <c r="AX292" i="1" s="1"/>
  <c r="U292" i="1"/>
  <c r="AT290" i="1"/>
  <c r="AX290" i="1" s="1"/>
  <c r="U290" i="1"/>
  <c r="AT288" i="1"/>
  <c r="AX288" i="1" s="1"/>
  <c r="U288" i="1"/>
  <c r="AT286" i="1"/>
  <c r="AX286" i="1" s="1"/>
  <c r="U286" i="1"/>
  <c r="AT284" i="1"/>
  <c r="AX284" i="1" s="1"/>
  <c r="U284" i="1"/>
  <c r="AT282" i="1"/>
  <c r="AX282" i="1" s="1"/>
  <c r="U282" i="1"/>
  <c r="AT280" i="1"/>
  <c r="AX280" i="1" s="1"/>
  <c r="U280" i="1"/>
  <c r="AT278" i="1"/>
  <c r="AX278" i="1" s="1"/>
  <c r="U278" i="1"/>
  <c r="AT276" i="1"/>
  <c r="AX276" i="1" s="1"/>
  <c r="U276" i="1"/>
  <c r="AT274" i="1"/>
  <c r="AX274" i="1" s="1"/>
  <c r="U274" i="1"/>
  <c r="AT272" i="1"/>
  <c r="AX272" i="1" s="1"/>
  <c r="U272" i="1"/>
  <c r="AT270" i="1"/>
  <c r="AX270" i="1" s="1"/>
  <c r="U270" i="1"/>
  <c r="AT268" i="1"/>
  <c r="AX268" i="1" s="1"/>
  <c r="U268" i="1"/>
  <c r="AT266" i="1"/>
  <c r="AX266" i="1" s="1"/>
  <c r="U266" i="1"/>
  <c r="AT264" i="1"/>
  <c r="AX264" i="1" s="1"/>
  <c r="U264" i="1"/>
  <c r="AT262" i="1"/>
  <c r="AX262" i="1" s="1"/>
  <c r="U262" i="1"/>
  <c r="AT260" i="1"/>
  <c r="AX260" i="1" s="1"/>
  <c r="U260" i="1"/>
  <c r="AT258" i="1"/>
  <c r="AX258" i="1" s="1"/>
  <c r="U258" i="1"/>
  <c r="AT256" i="1"/>
  <c r="AX256" i="1" s="1"/>
  <c r="U256" i="1"/>
  <c r="AT254" i="1"/>
  <c r="AX254" i="1" s="1"/>
  <c r="S254" i="1"/>
  <c r="U254" i="1" s="1"/>
  <c r="AT252" i="1"/>
  <c r="AX252" i="1" s="1"/>
  <c r="U252" i="1"/>
  <c r="AT250" i="1"/>
  <c r="AX250" i="1" s="1"/>
  <c r="U250" i="1"/>
  <c r="AT248" i="1"/>
  <c r="AX248" i="1" s="1"/>
  <c r="U248" i="1"/>
  <c r="AT246" i="1"/>
  <c r="AX246" i="1" s="1"/>
  <c r="U246" i="1"/>
  <c r="AT244" i="1"/>
  <c r="AX244" i="1" s="1"/>
  <c r="U244" i="1"/>
  <c r="AT242" i="1"/>
  <c r="AX242" i="1" s="1"/>
  <c r="U242" i="1"/>
  <c r="AT240" i="1"/>
  <c r="AX240" i="1" s="1"/>
  <c r="U240" i="1"/>
  <c r="AT238" i="1"/>
  <c r="AX238" i="1" s="1"/>
  <c r="U238" i="1"/>
  <c r="AT236" i="1"/>
  <c r="AX236" i="1" s="1"/>
  <c r="U236" i="1"/>
  <c r="AT234" i="1"/>
  <c r="AX234" i="1" s="1"/>
  <c r="U234" i="1"/>
  <c r="AT232" i="1"/>
  <c r="AX232" i="1" s="1"/>
  <c r="U232" i="1"/>
  <c r="AT230" i="1"/>
  <c r="AX230" i="1" s="1"/>
  <c r="S230" i="1"/>
  <c r="U230" i="1" s="1"/>
  <c r="AT228" i="1"/>
  <c r="AX228" i="1" s="1"/>
  <c r="U228" i="1"/>
  <c r="AT226" i="1"/>
  <c r="AX226" i="1" s="1"/>
  <c r="U226" i="1"/>
  <c r="AT224" i="1"/>
  <c r="AX224" i="1" s="1"/>
  <c r="S224" i="1"/>
  <c r="U224" i="1" s="1"/>
  <c r="AT222" i="1"/>
  <c r="AX222" i="1" s="1"/>
  <c r="U222" i="1"/>
  <c r="AT220" i="1"/>
  <c r="AX220" i="1" s="1"/>
  <c r="U220" i="1"/>
  <c r="AT218" i="1"/>
  <c r="AX218" i="1" s="1"/>
  <c r="U218" i="1"/>
  <c r="AT216" i="1"/>
  <c r="AX216" i="1" s="1"/>
  <c r="U216" i="1"/>
  <c r="AT214" i="1"/>
  <c r="AX214" i="1" s="1"/>
  <c r="U214" i="1"/>
  <c r="AT212" i="1"/>
  <c r="AX212" i="1" s="1"/>
  <c r="U212" i="1"/>
  <c r="AT210" i="1"/>
  <c r="AX210" i="1" s="1"/>
  <c r="U210" i="1"/>
  <c r="AT208" i="1"/>
  <c r="AX208" i="1" s="1"/>
  <c r="U208" i="1"/>
  <c r="AT206" i="1"/>
  <c r="AX206" i="1" s="1"/>
  <c r="U206" i="1"/>
  <c r="AT204" i="1"/>
  <c r="AX204" i="1" s="1"/>
  <c r="U204" i="1"/>
  <c r="AT202" i="1"/>
  <c r="AX202" i="1" s="1"/>
  <c r="S202" i="1"/>
  <c r="U202" i="1" s="1"/>
  <c r="AT200" i="1"/>
  <c r="AX200" i="1" s="1"/>
  <c r="S200" i="1"/>
  <c r="U200" i="1" s="1"/>
  <c r="AT198" i="1"/>
  <c r="AX198" i="1" s="1"/>
  <c r="S198" i="1"/>
  <c r="U198" i="1" s="1"/>
  <c r="AT196" i="1"/>
  <c r="AX196" i="1" s="1"/>
  <c r="S196" i="1"/>
  <c r="U196" i="1" s="1"/>
  <c r="AX194" i="1"/>
  <c r="U194" i="1"/>
  <c r="AT192" i="1"/>
  <c r="AX192" i="1" s="1"/>
  <c r="U192" i="1"/>
  <c r="AT190" i="1"/>
  <c r="AX190" i="1" s="1"/>
  <c r="U190" i="1"/>
  <c r="AT188" i="1"/>
  <c r="AX188" i="1" s="1"/>
  <c r="U188" i="1"/>
  <c r="AT186" i="1"/>
  <c r="AX186" i="1" s="1"/>
  <c r="U186" i="1"/>
  <c r="AT184" i="1"/>
  <c r="AX184" i="1" s="1"/>
  <c r="U184" i="1"/>
  <c r="AT182" i="1"/>
  <c r="AX182" i="1" s="1"/>
  <c r="U182" i="1"/>
  <c r="AT180" i="1"/>
  <c r="AX180" i="1" s="1"/>
  <c r="U180" i="1"/>
  <c r="AT178" i="1"/>
  <c r="AX178" i="1" s="1"/>
  <c r="U178" i="1"/>
  <c r="AT176" i="1"/>
  <c r="AX176" i="1" s="1"/>
  <c r="U176" i="1"/>
  <c r="AT174" i="1"/>
  <c r="AX174" i="1" s="1"/>
  <c r="U174" i="1"/>
  <c r="AT172" i="1"/>
  <c r="AX172" i="1" s="1"/>
  <c r="U172" i="1"/>
  <c r="AT170" i="1"/>
  <c r="AX170" i="1" s="1"/>
  <c r="U170" i="1"/>
  <c r="AT168" i="1"/>
  <c r="AX168" i="1" s="1"/>
  <c r="U168" i="1"/>
  <c r="AT166" i="1"/>
  <c r="AX166" i="1" s="1"/>
  <c r="U166" i="1"/>
  <c r="AT164" i="1"/>
  <c r="AX164" i="1" s="1"/>
  <c r="U164" i="1"/>
  <c r="AT162" i="1"/>
  <c r="AX162" i="1" s="1"/>
  <c r="U162" i="1"/>
  <c r="AT160" i="1"/>
  <c r="AX160" i="1" s="1"/>
  <c r="U160" i="1"/>
  <c r="AT158" i="1"/>
  <c r="AX158" i="1" s="1"/>
  <c r="U158" i="1"/>
  <c r="AT156" i="1"/>
  <c r="AX156" i="1" s="1"/>
  <c r="U156" i="1"/>
  <c r="AT154" i="1"/>
  <c r="AX154" i="1" s="1"/>
  <c r="S154" i="1"/>
  <c r="U154" i="1" s="1"/>
  <c r="AT152" i="1"/>
  <c r="AX152" i="1" s="1"/>
  <c r="S152" i="1"/>
  <c r="U152" i="1" s="1"/>
  <c r="AT150" i="1"/>
  <c r="AX150" i="1" s="1"/>
  <c r="U150" i="1"/>
  <c r="AT148" i="1"/>
  <c r="AX148" i="1" s="1"/>
  <c r="U148" i="1"/>
  <c r="AT146" i="1"/>
  <c r="AX146" i="1" s="1"/>
  <c r="U146" i="1"/>
  <c r="AT144" i="1"/>
  <c r="AX144" i="1" s="1"/>
  <c r="U144" i="1"/>
  <c r="AT142" i="1"/>
  <c r="AX142" i="1" s="1"/>
  <c r="U142" i="1"/>
  <c r="AT140" i="1"/>
  <c r="AX140" i="1" s="1"/>
  <c r="U140" i="1"/>
  <c r="AT138" i="1"/>
  <c r="AX138" i="1" s="1"/>
  <c r="U138" i="1"/>
  <c r="AT136" i="1"/>
  <c r="AX136" i="1" s="1"/>
  <c r="U136" i="1"/>
  <c r="AT134" i="1"/>
  <c r="AX134" i="1" s="1"/>
  <c r="U134" i="1"/>
  <c r="AT132" i="1"/>
  <c r="AX132" i="1" s="1"/>
  <c r="U132" i="1"/>
  <c r="AT130" i="1"/>
  <c r="AX130" i="1" s="1"/>
  <c r="U130" i="1"/>
  <c r="AT128" i="1"/>
  <c r="AX128" i="1" s="1"/>
  <c r="U128" i="1"/>
  <c r="AT126" i="1"/>
  <c r="AX126" i="1" s="1"/>
  <c r="U126" i="1"/>
  <c r="AT124" i="1"/>
  <c r="AX124" i="1" s="1"/>
  <c r="U124" i="1"/>
  <c r="AT122" i="1"/>
  <c r="AX122" i="1" s="1"/>
  <c r="U122" i="1"/>
  <c r="AT120" i="1"/>
  <c r="AX120" i="1" s="1"/>
  <c r="U120" i="1"/>
  <c r="AT118" i="1"/>
  <c r="AX118" i="1" s="1"/>
  <c r="U118" i="1"/>
  <c r="AT116" i="1"/>
  <c r="AX116" i="1" s="1"/>
  <c r="U116" i="1"/>
  <c r="AT114" i="1"/>
  <c r="AX114" i="1" s="1"/>
  <c r="U114" i="1"/>
  <c r="AT112" i="1"/>
  <c r="AX112" i="1" s="1"/>
  <c r="U112" i="1"/>
  <c r="AT110" i="1"/>
  <c r="AX110" i="1" s="1"/>
  <c r="U110" i="1"/>
  <c r="AT108" i="1"/>
  <c r="AX108" i="1" s="1"/>
  <c r="U108" i="1"/>
  <c r="AT106" i="1"/>
  <c r="AX106" i="1" s="1"/>
  <c r="U106" i="1"/>
  <c r="AT104" i="1"/>
  <c r="AX104" i="1" s="1"/>
  <c r="U104" i="1"/>
  <c r="AT102" i="1"/>
  <c r="AX102" i="1" s="1"/>
  <c r="U102" i="1"/>
  <c r="AT100" i="1"/>
  <c r="AX100" i="1" s="1"/>
  <c r="U100" i="1"/>
  <c r="AT98" i="1"/>
  <c r="AX98" i="1" s="1"/>
  <c r="U98" i="1"/>
  <c r="AT96" i="1"/>
  <c r="AX96" i="1" s="1"/>
  <c r="U96" i="1"/>
  <c r="AT94" i="1"/>
  <c r="AX94" i="1" s="1"/>
  <c r="U94" i="1"/>
  <c r="AT92" i="1"/>
  <c r="AX92" i="1" s="1"/>
  <c r="U92" i="1"/>
  <c r="AT90" i="1"/>
  <c r="AX90" i="1" s="1"/>
  <c r="U90" i="1"/>
  <c r="AT88" i="1"/>
  <c r="AX88" i="1" s="1"/>
  <c r="U88" i="1"/>
  <c r="AT86" i="1"/>
  <c r="AX86" i="1" s="1"/>
  <c r="U86" i="1"/>
  <c r="AT84" i="1"/>
  <c r="AX84" i="1" s="1"/>
  <c r="U84" i="1"/>
  <c r="AT82" i="1"/>
  <c r="AX82" i="1" s="1"/>
  <c r="U82" i="1"/>
  <c r="AT80" i="1"/>
  <c r="AX80" i="1" s="1"/>
  <c r="U80" i="1"/>
  <c r="AT78" i="1"/>
  <c r="AX78" i="1" s="1"/>
  <c r="U78" i="1"/>
  <c r="AT76" i="1"/>
  <c r="AX76" i="1" s="1"/>
  <c r="U76" i="1"/>
  <c r="AT74" i="1"/>
  <c r="AX74" i="1" s="1"/>
  <c r="U74" i="1"/>
  <c r="AT72" i="1"/>
  <c r="AX72" i="1" s="1"/>
  <c r="U72" i="1"/>
  <c r="AT70" i="1"/>
  <c r="AX70" i="1" s="1"/>
  <c r="U70" i="1"/>
  <c r="AT68" i="1"/>
  <c r="AX68" i="1" s="1"/>
  <c r="U68" i="1"/>
  <c r="AT66" i="1"/>
  <c r="AX66" i="1" s="1"/>
  <c r="U66" i="1"/>
  <c r="AT64" i="1"/>
  <c r="AX64" i="1" s="1"/>
  <c r="U64" i="1"/>
  <c r="AT62" i="1"/>
  <c r="AX62" i="1" s="1"/>
  <c r="U62" i="1"/>
  <c r="AT60" i="1"/>
  <c r="AX60" i="1" s="1"/>
  <c r="U60" i="1"/>
  <c r="AT58" i="1"/>
  <c r="AX58" i="1" s="1"/>
  <c r="U58" i="1"/>
  <c r="AT56" i="1"/>
  <c r="AX56" i="1" s="1"/>
  <c r="U56" i="1"/>
  <c r="AT54" i="1"/>
  <c r="AX54" i="1" s="1"/>
  <c r="U54" i="1"/>
  <c r="AT52" i="1"/>
  <c r="AX52" i="1" s="1"/>
  <c r="U52" i="1"/>
  <c r="AT50" i="1"/>
  <c r="AX50" i="1" s="1"/>
  <c r="U50" i="1"/>
  <c r="AT48" i="1"/>
  <c r="AX48" i="1" s="1"/>
  <c r="U48" i="1"/>
  <c r="AT46" i="1"/>
  <c r="AX46" i="1" s="1"/>
  <c r="U46" i="1"/>
  <c r="AT44" i="1"/>
  <c r="AX44" i="1" s="1"/>
  <c r="U44" i="1"/>
  <c r="AT42" i="1"/>
  <c r="AX42" i="1" s="1"/>
  <c r="U42" i="1"/>
  <c r="AT40" i="1"/>
  <c r="AX40" i="1" s="1"/>
  <c r="U40" i="1"/>
  <c r="AT38" i="1"/>
  <c r="AX38" i="1" s="1"/>
  <c r="U38" i="1"/>
  <c r="AT36" i="1"/>
  <c r="AX36" i="1" s="1"/>
  <c r="U36" i="1"/>
  <c r="AT34" i="1"/>
  <c r="AX34" i="1" s="1"/>
  <c r="AT32" i="1"/>
  <c r="AX32" i="1" s="1"/>
  <c r="U32" i="1"/>
  <c r="AT30" i="1"/>
  <c r="AX30" i="1" s="1"/>
  <c r="AT28" i="1"/>
  <c r="AX28" i="1" s="1"/>
  <c r="U28" i="1"/>
  <c r="AT26" i="1"/>
  <c r="AX26" i="1" s="1"/>
  <c r="AT24" i="1"/>
  <c r="AX24" i="1" s="1"/>
  <c r="U24" i="1"/>
  <c r="AT22" i="1"/>
  <c r="AX22" i="1" s="1"/>
  <c r="U22" i="1"/>
  <c r="AT20" i="1"/>
  <c r="AX20" i="1" s="1"/>
  <c r="AT18" i="1"/>
  <c r="AX18" i="1" s="1"/>
  <c r="AT16" i="1"/>
  <c r="AX16" i="1" s="1"/>
  <c r="U16" i="1"/>
  <c r="AT14" i="1"/>
  <c r="AX14" i="1" s="1"/>
  <c r="AT12" i="1"/>
  <c r="AX12" i="1" s="1"/>
  <c r="AT10" i="1"/>
  <c r="AX10" i="1" s="1"/>
  <c r="AT8" i="1"/>
  <c r="AX8" i="1" s="1"/>
  <c r="AT6" i="1"/>
  <c r="AX6" i="1" s="1"/>
  <c r="AT4" i="1"/>
  <c r="AX4" i="1" s="1"/>
  <c r="AT2" i="1"/>
  <c r="AX2" i="1" s="1"/>
  <c r="AX16" i="4"/>
  <c r="U16" i="4"/>
  <c r="U1584" i="1" l="1"/>
  <c r="U1010" i="1"/>
  <c r="U1298" i="1"/>
  <c r="U1522" i="1"/>
  <c r="U1524" i="1"/>
  <c r="U1042" i="1"/>
  <c r="U1056" i="1"/>
  <c r="U1160" i="1"/>
  <c r="U1172" i="1"/>
  <c r="U1082" i="1"/>
  <c r="U1114" i="1"/>
  <c r="U952" i="1"/>
  <c r="U1196" i="1"/>
  <c r="U1632" i="1"/>
  <c r="U1318" i="1"/>
  <c r="U1776" i="1"/>
  <c r="U1332" i="1"/>
  <c r="U1246" i="1"/>
  <c r="U1026" i="1"/>
  <c r="U1128" i="1"/>
  <c r="U1142" i="1"/>
  <c r="U1192" i="1"/>
  <c r="U908" i="1"/>
  <c r="U946" i="1"/>
  <c r="U960" i="1"/>
  <c r="U1170" i="1"/>
  <c r="U1384" i="1"/>
  <c r="U1634" i="1"/>
  <c r="U1460" i="1"/>
  <c r="U1482" i="1"/>
  <c r="U1674" i="1"/>
  <c r="U1186" i="1"/>
  <c r="U1544" i="1"/>
  <c r="U1550" i="1"/>
  <c r="U1696" i="1"/>
  <c r="U1874" i="1"/>
  <c r="U1888" i="1"/>
  <c r="M1796" i="1"/>
  <c r="U1796" i="1" s="1"/>
  <c r="U1162" i="1"/>
  <c r="U1436" i="1"/>
  <c r="U1748" i="1"/>
  <c r="U1770" i="1"/>
  <c r="U1146" i="1"/>
  <c r="U1180" i="1"/>
  <c r="U964" i="1"/>
  <c r="U1094" i="1"/>
  <c r="U1642" i="1"/>
  <c r="M1594" i="1"/>
  <c r="U1594" i="1" s="1"/>
  <c r="U1122" i="1"/>
  <c r="U1126" i="1"/>
  <c r="U1232" i="1"/>
  <c r="U1358" i="1"/>
  <c r="U1364" i="1"/>
  <c r="U1454" i="1"/>
  <c r="U1494" i="1"/>
  <c r="U1752" i="1"/>
  <c r="U926" i="1"/>
  <c r="U1212" i="1"/>
  <c r="U1346" i="1"/>
  <c r="U1490" i="1"/>
  <c r="U1774" i="1"/>
  <c r="U1794" i="1"/>
  <c r="U1204" i="1"/>
  <c r="U1440" i="1"/>
  <c r="U1526" i="1"/>
  <c r="U1890" i="1"/>
  <c r="U966" i="1"/>
  <c r="U1116" i="1"/>
  <c r="M1124" i="1"/>
  <c r="U1124" i="1" s="1"/>
  <c r="M1486" i="1"/>
  <c r="U1486" i="1" s="1"/>
  <c r="U1534" i="1"/>
  <c r="U1546" i="1"/>
  <c r="U1746" i="1"/>
  <c r="U1804" i="1"/>
  <c r="U1422" i="1"/>
  <c r="U1592" i="1"/>
  <c r="U1880" i="1"/>
  <c r="M776" i="1"/>
  <c r="U776" i="1" s="1"/>
  <c r="M1104" i="1"/>
  <c r="U1104" i="1" s="1"/>
  <c r="M1148" i="1"/>
  <c r="U1148" i="1" s="1"/>
  <c r="M1020" i="1"/>
  <c r="U1020" i="1" s="1"/>
  <c r="U1118" i="1"/>
  <c r="M1262" i="1"/>
  <c r="U1262" i="1" s="1"/>
  <c r="M1052" i="1"/>
  <c r="U1052" i="1" s="1"/>
  <c r="M1228" i="1"/>
  <c r="U1228" i="1" s="1"/>
  <c r="M1304" i="1"/>
  <c r="U1304" i="1" s="1"/>
  <c r="U936" i="1"/>
  <c r="U1596" i="1"/>
  <c r="U1630" i="1"/>
  <c r="U1652" i="1"/>
  <c r="M1698" i="1"/>
  <c r="U1698" i="1" s="1"/>
  <c r="M974" i="1"/>
  <c r="U974" i="1" s="1"/>
  <c r="M1182" i="1"/>
  <c r="U1182" i="1" s="1"/>
  <c r="M1484" i="1"/>
  <c r="U1484" i="1" s="1"/>
  <c r="U1838" i="1"/>
  <c r="M1446" i="1"/>
  <c r="U1446" i="1" s="1"/>
  <c r="M1792" i="1"/>
  <c r="U1792" i="1" s="1"/>
  <c r="U1328" i="1"/>
  <c r="M1420" i="1"/>
  <c r="U1420" i="1" s="1"/>
  <c r="U1290" i="1"/>
  <c r="M1590" i="1"/>
  <c r="U1590" i="1" s="1"/>
  <c r="U1334" i="1"/>
  <c r="M1362" i="1"/>
  <c r="U1362" i="1" s="1"/>
  <c r="M1786" i="1"/>
  <c r="U1786" i="1" s="1"/>
  <c r="M1896" i="1"/>
  <c r="U1896" i="1" s="1"/>
  <c r="M1598" i="1"/>
  <c r="U159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瀧井良介</author>
    <author>Ryosuke Takii</author>
  </authors>
  <commentList>
    <comment ref="A2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13-001 14-001 15-001 16-001 17-001 18-001 19-001 20-001 21-001 22-001 23-001 24-001 25-001 26-001</t>
        </r>
      </text>
    </comment>
    <comment ref="A4" authorId="0" shapeId="0" xr:uid="{00000000-0006-0000-0000-000002000000}">
      <text>
        <r>
          <rPr>
            <sz val="9"/>
            <color indexed="81"/>
            <rFont val="MS P ゴシック"/>
            <family val="3"/>
            <charset val="128"/>
          </rPr>
          <t>13-002 14-002 15-002 16-002 17-002 18-002 19-002 20-002 21-003 21-002 22-002a 23-002 24-002 25-002 26-002</t>
        </r>
      </text>
    </comment>
    <comment ref="A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13-003 14-003 15-003 16-003 17-003 18-003 19-003 20-003 21-003 22-002b 23-003 24-003 25-003 26-003</t>
        </r>
      </text>
    </comment>
    <comment ref="A8" authorId="0" shapeId="0" xr:uid="{00000000-0006-0000-0000-000004000000}">
      <text>
        <r>
          <rPr>
            <sz val="9"/>
            <color indexed="81"/>
            <rFont val="MS P ゴシック"/>
            <family val="3"/>
            <charset val="128"/>
          </rPr>
          <t>12-007 13-006 14-006 15-005 16-005 17-005 18-005 19-005 20-005 21-004 22-003 23-004 24-004 25-004 26-004</t>
        </r>
      </text>
    </comment>
    <comment ref="A10" authorId="0" shapeId="0" xr:uid="{00000000-0006-0000-0000-000005000000}">
      <text>
        <r>
          <rPr>
            <sz val="9"/>
            <color indexed="81"/>
            <rFont val="MS P ゴシック"/>
            <family val="3"/>
            <charset val="128"/>
          </rPr>
          <t>12-009 13-008 14-007 15-006 16-006 17-006 18-006 19-006 20-006 21-005 22-004 23-005 24-005 25-005 26-005</t>
        </r>
      </text>
    </comment>
    <comment ref="A12" authorId="0" shapeId="0" xr:uid="{00000000-0006-0000-0000-000006000000}">
      <text>
        <r>
          <rPr>
            <sz val="9"/>
            <color indexed="81"/>
            <rFont val="MS P ゴシック"/>
            <family val="3"/>
            <charset val="128"/>
          </rPr>
          <t>10-015 12-010 13-009 14-008 15-007 16-007 17-007 18-007 19-007 20-007 21-006 22-005 23-006 24-006 25-006 26-006</t>
        </r>
      </text>
    </comment>
    <comment ref="A14" authorId="0" shapeId="0" xr:uid="{00000000-0006-0000-0000-000007000000}">
      <text>
        <r>
          <rPr>
            <sz val="9"/>
            <color indexed="81"/>
            <rFont val="MS P ゴシック"/>
            <family val="3"/>
            <charset val="128"/>
          </rPr>
          <t>10-018 12-012 13-010 14-009 15-008 16-008 17-008 18-008 19-008 20-008 21-007 22-006 23-007 24-007 25-007 26-007</t>
        </r>
      </text>
    </comment>
    <comment ref="A16" authorId="0" shapeId="0" xr:uid="{00000000-0006-0000-0000-000008000000}">
      <text>
        <r>
          <rPr>
            <sz val="9"/>
            <color indexed="81"/>
            <rFont val="MS P ゴシック"/>
            <family val="3"/>
            <charset val="128"/>
          </rPr>
          <t>12-020 13-017 14-015 15-012 16-011 17-010 18-009 19-009 20-009 21-008 22-007 23-008 24-008 25-008 26-008</t>
        </r>
      </text>
    </comment>
    <comment ref="A18" authorId="0" shapeId="0" xr:uid="{00000000-0006-0000-0000-000009000000}">
      <text>
        <r>
          <rPr>
            <sz val="9"/>
            <color indexed="81"/>
            <rFont val="MS P ゴシック"/>
            <family val="3"/>
            <charset val="128"/>
          </rPr>
          <t>12-030 13-025 14-020 15-016 16-015 17-012 18-011 19-011 20-011 21-010 22-009 23-010 24-010 25-010 26-009</t>
        </r>
      </text>
    </comment>
    <comment ref="A20" authorId="0" shapeId="0" xr:uid="{00000000-0006-0000-0000-00000A000000}">
      <text>
        <r>
          <rPr>
            <sz val="9"/>
            <color indexed="81"/>
            <rFont val="MS P ゴシック"/>
            <family val="3"/>
            <charset val="128"/>
          </rPr>
          <t>12-035 13-027 14-021 15-017 16-016 17-013 18-012 19-012 20-012 21-011 22-010 23-011 24-011 25-011 26-010</t>
        </r>
      </text>
    </comment>
    <comment ref="A22" authorId="0" shapeId="0" xr:uid="{00000000-0006-0000-0000-00000B000000}">
      <text>
        <r>
          <rPr>
            <sz val="9"/>
            <color indexed="81"/>
            <rFont val="MS P ゴシック"/>
            <family val="3"/>
            <charset val="128"/>
          </rPr>
          <t>12-040 13-030 14-023 15-019 16-018 17-015 18-014 19-013 20-013 21-012 22-011 23-012 24-012 25-012 26-011</t>
        </r>
      </text>
    </comment>
    <comment ref="A24" authorId="0" shapeId="0" xr:uid="{00000000-0006-0000-0000-00000C000000}">
      <text>
        <r>
          <rPr>
            <sz val="9"/>
            <color indexed="81"/>
            <rFont val="MS P ゴシック"/>
            <family val="3"/>
            <charset val="128"/>
          </rPr>
          <t>12-043 13-031 14-024 15-020 16-019 17-016 18-015 19-014 20-014 21-013 22-012 23-013 24-013 25-013 26-012</t>
        </r>
      </text>
    </comment>
    <comment ref="A26" authorId="0" shapeId="0" xr:uid="{00000000-0006-0000-0000-00000D000000}">
      <text>
        <r>
          <rPr>
            <sz val="9"/>
            <color indexed="81"/>
            <rFont val="MS P ゴシック"/>
            <family val="3"/>
            <charset val="128"/>
          </rPr>
          <t>12-395 13-045 14-031 15-024a 16-022 17-019 18-018 19-017 20-017 21-015 22-013 23-014 24-014 25-014 26-013</t>
        </r>
      </text>
    </comment>
    <comment ref="A28" authorId="0" shapeId="0" xr:uid="{00000000-0006-0000-0000-00000E000000}">
      <text>
        <r>
          <rPr>
            <sz val="9"/>
            <color indexed="81"/>
            <rFont val="MS P ゴシック"/>
            <family val="3"/>
            <charset val="128"/>
          </rPr>
          <t>12-896 13-102 14-043 15-028 16-025 17-023 18-022 19-019 20-019 21-017 22-015 23-015 24-015 25-015 26-014</t>
        </r>
      </text>
    </comment>
    <comment ref="A30" authorId="0" shapeId="0" xr:uid="{00000000-0006-0000-0000-00000F000000}">
      <text>
        <r>
          <rPr>
            <sz val="9"/>
            <color indexed="81"/>
            <rFont val="MS P ゴシック"/>
            <family val="3"/>
            <charset val="128"/>
          </rPr>
          <t>13-336 14-052 15-031 16-026 17-024 18-023 19-020 20-020 21-018 22-016 23-016 24-016 25-016 26-015</t>
        </r>
      </text>
    </comment>
    <comment ref="A32" authorId="0" shapeId="0" xr:uid="{00000000-0006-0000-0000-000010000000}">
      <text>
        <r>
          <rPr>
            <sz val="9"/>
            <color indexed="81"/>
            <rFont val="MS P ゴシック"/>
            <family val="3"/>
            <charset val="128"/>
          </rPr>
          <t>13-362 14-054 15-032 16-027 17-025 18-024 19-021 20-021 21-019 22-017 23-017 24-017 25-017 26-016</t>
        </r>
      </text>
    </comment>
    <comment ref="A34" authorId="0" shapeId="0" xr:uid="{00000000-0006-0000-0000-000011000000}">
      <text>
        <r>
          <rPr>
            <sz val="9"/>
            <color indexed="81"/>
            <rFont val="MS P ゴシック"/>
            <family val="3"/>
            <charset val="128"/>
          </rPr>
          <t>13-794 14-061 15-036 16-031 17-028 18-026 19-022 20-022 21-020 22-018 23-018 24-018 25-018 26-017</t>
        </r>
      </text>
    </comment>
    <comment ref="A36" authorId="0" shapeId="0" xr:uid="{00000000-0006-0000-0000-000012000000}">
      <text>
        <r>
          <rPr>
            <sz val="9"/>
            <color indexed="81"/>
            <rFont val="MS P ゴシック"/>
            <family val="3"/>
            <charset val="128"/>
          </rPr>
          <t>13-1607 14-136 15-039 16-033 17-029 18-027 19-023 20-023 21-021 22-019 23-019 24-019 25-019 26-018</t>
        </r>
      </text>
    </comment>
    <comment ref="A38" authorId="0" shapeId="0" xr:uid="{00000000-0006-0000-0000-000013000000}">
      <text>
        <r>
          <rPr>
            <sz val="9"/>
            <color indexed="81"/>
            <rFont val="MS P ゴシック"/>
            <family val="3"/>
            <charset val="128"/>
          </rPr>
          <t>14-1723 15-072 16-039 17-032 18-030 19-026 20-025 21-023 22-020 23-020 24-020 25-020 26-019</t>
        </r>
      </text>
    </comment>
    <comment ref="A40" authorId="0" shapeId="0" xr:uid="{00000000-0006-0000-0000-000014000000}">
      <text>
        <r>
          <rPr>
            <sz val="9"/>
            <color indexed="81"/>
            <rFont val="MS P ゴシック"/>
            <family val="3"/>
            <charset val="128"/>
          </rPr>
          <t>15-1776 16-072 17-041 18-037 19-030 20-029 21-025 22-023 23-023 24-023 25-022 26-021</t>
        </r>
      </text>
    </comment>
    <comment ref="A42" authorId="0" shapeId="0" xr:uid="{00000000-0006-0000-0000-000015000000}">
      <text>
        <r>
          <rPr>
            <sz val="9"/>
            <color indexed="81"/>
            <rFont val="MS P ゴシック"/>
            <family val="3"/>
            <charset val="128"/>
          </rPr>
          <t>15-2558 16-101 17-048 18-038 19-031 20-030 21-026 22-024 23-024 24-024 25-023 26-022</t>
        </r>
      </text>
    </comment>
    <comment ref="A44" authorId="0" shapeId="0" xr:uid="{00000000-0006-0000-0000-000016000000}">
      <text>
        <r>
          <rPr>
            <sz val="9"/>
            <color indexed="81"/>
            <rFont val="MS P ゴシック"/>
            <family val="3"/>
            <charset val="128"/>
          </rPr>
          <t>15-2600 16-104 17-049 18-039 19-032 20-031 21-027 22-025 23-025 24-025 25-024 26-023</t>
        </r>
      </text>
    </comment>
    <comment ref="A46" authorId="0" shapeId="0" xr:uid="{00000000-0006-0000-0000-000017000000}">
      <text>
        <r>
          <rPr>
            <sz val="9"/>
            <color indexed="81"/>
            <rFont val="MS P ゴシック"/>
            <family val="3"/>
            <charset val="128"/>
          </rPr>
          <t>15-3249 16-203 17-058 18-045 19-036 20-034 21-029 22-027 23-026 24-026 25-025 26-024</t>
        </r>
      </text>
    </comment>
    <comment ref="A48" authorId="0" shapeId="0" xr:uid="{00000000-0006-0000-0000-000018000000}">
      <text>
        <r>
          <rPr>
            <sz val="9"/>
            <color indexed="81"/>
            <rFont val="MS P ゴシック"/>
            <family val="3"/>
            <charset val="128"/>
          </rPr>
          <t>15-3516 16-278 17-062 18-048 19-038 20-036 21-031 22-029 23-028 24-027 25-026 26-025</t>
        </r>
      </text>
    </comment>
    <comment ref="A50" authorId="0" shapeId="0" xr:uid="{00000000-0006-0000-0000-000019000000}">
      <text>
        <r>
          <rPr>
            <sz val="9"/>
            <color indexed="81"/>
            <rFont val="MS P ゴシック"/>
            <family val="3"/>
            <charset val="128"/>
          </rPr>
          <t>16-1314 17-068 18-050 19-040 20-038 21-033 22-031 23-030 24-028 25-027 26-026</t>
        </r>
      </text>
    </comment>
    <comment ref="A52" authorId="0" shapeId="0" xr:uid="{00000000-0006-0000-0000-00001A000000}">
      <text>
        <r>
          <rPr>
            <sz val="9"/>
            <color indexed="81"/>
            <rFont val="MS P ゴシック"/>
            <family val="3"/>
            <charset val="128"/>
          </rPr>
          <t>16-1655 17-071 18-052 19-042 20-040 21-034 22-032 23-031 24-029 25-028 26-027</t>
        </r>
      </text>
    </comment>
    <comment ref="A54" authorId="0" shapeId="0" xr:uid="{00000000-0006-0000-0000-00001B000000}">
      <text>
        <r>
          <rPr>
            <sz val="9"/>
            <color indexed="81"/>
            <rFont val="MS P ゴシック"/>
            <family val="3"/>
            <charset val="128"/>
          </rPr>
          <t>16-2288 17-085 18-055 19-043 20-041 21-035 22-033 23-032 24-030 25-029 26-028</t>
        </r>
      </text>
    </comment>
    <comment ref="A56" authorId="0" shapeId="0" xr:uid="{00000000-0006-0000-0000-00001C000000}">
      <text>
        <r>
          <rPr>
            <sz val="9"/>
            <color indexed="81"/>
            <rFont val="MS P ゴシック"/>
            <family val="3"/>
            <charset val="128"/>
          </rPr>
          <t>16-3228 17-107 18-059 19-045 20-043 21-036 22-034 23-033 24-031 25-030 26-029</t>
        </r>
      </text>
    </comment>
    <comment ref="A58" authorId="0" shapeId="0" xr:uid="{00000000-0006-0000-0000-00001D000000}">
      <text>
        <r>
          <rPr>
            <sz val="9"/>
            <color indexed="81"/>
            <rFont val="MS P ゴシック"/>
            <family val="3"/>
            <charset val="128"/>
          </rPr>
          <t>16-4237 17-139 18-064 19-049 20-045 21-038 22-035 23-034 24-032 25-031 26-030</t>
        </r>
      </text>
    </comment>
    <comment ref="A60" authorId="0" shapeId="0" xr:uid="{00000000-0006-0000-0000-00001E000000}">
      <text>
        <r>
          <rPr>
            <sz val="9"/>
            <color indexed="81"/>
            <rFont val="MS P ゴシック"/>
            <family val="3"/>
            <charset val="128"/>
          </rPr>
          <t>16-4449 17-166 18-067 19-051 20-046 21-039 22-036 23-035 24-033 25-032 26-031</t>
        </r>
      </text>
    </comment>
    <comment ref="A62" authorId="0" shapeId="0" xr:uid="{00000000-0006-0000-0000-00001F000000}">
      <text>
        <r>
          <rPr>
            <sz val="9"/>
            <color indexed="81"/>
            <rFont val="MS P ゴシック"/>
            <family val="3"/>
            <charset val="128"/>
          </rPr>
          <t>16-5030 17-269 18-090 19-053 20-047 21-040 22-037 23-036 24-034 25-033 26-032</t>
        </r>
      </text>
    </comment>
    <comment ref="A64" authorId="0" shapeId="0" xr:uid="{00000000-0006-0000-0000-000020000000}">
      <text>
        <r>
          <rPr>
            <sz val="9"/>
            <color indexed="81"/>
            <rFont val="MS P ゴシック"/>
            <family val="3"/>
            <charset val="128"/>
          </rPr>
          <t>D21-002 D22-002 23-040 24-037 25-035 26-033</t>
        </r>
      </text>
    </comment>
    <comment ref="A66" authorId="0" shapeId="0" xr:uid="{00000000-0006-0000-0000-000021000000}">
      <text>
        <r>
          <rPr>
            <sz val="9"/>
            <color indexed="81"/>
            <rFont val="MS P ゴシック"/>
            <family val="3"/>
            <charset val="128"/>
          </rPr>
          <t>17-3479 18-140ａ 19-063 20-054 21-045 22-042 23-041 24-038 25-036 26-034</t>
        </r>
      </text>
    </comment>
    <comment ref="A68" authorId="0" shapeId="0" xr:uid="{00000000-0006-0000-0000-000022000000}">
      <text>
        <r>
          <rPr>
            <sz val="9"/>
            <color indexed="81"/>
            <rFont val="MS P ゴシック"/>
            <family val="3"/>
            <charset val="128"/>
          </rPr>
          <t>17-4062 18-151 19-065 20-055 21-046 22-043 23-042 24-039 25-037 26-035</t>
        </r>
      </text>
    </comment>
    <comment ref="A70" authorId="0" shapeId="0" xr:uid="{00000000-0006-0000-0000-000023000000}">
      <text>
        <r>
          <rPr>
            <sz val="9"/>
            <color indexed="81"/>
            <rFont val="MS P ゴシック"/>
            <family val="3"/>
            <charset val="128"/>
          </rPr>
          <t>17-4597 18-157 19-066 20-056 21-047 22-044 23-043 24-040 25-038 26-036</t>
        </r>
      </text>
    </comment>
    <comment ref="A72" authorId="0" shapeId="0" xr:uid="{00000000-0006-0000-0000-000024000000}">
      <text>
        <r>
          <rPr>
            <sz val="9"/>
            <color indexed="81"/>
            <rFont val="MS P ゴシック"/>
            <family val="3"/>
            <charset val="128"/>
          </rPr>
          <t>17-5636 18-186 19-070 20-059 21-048 22-045 23-044 24-041 25-039 26-037</t>
        </r>
      </text>
    </comment>
    <comment ref="A74" authorId="0" shapeId="0" xr:uid="{00000000-0006-0000-0000-000025000000}">
      <text>
        <r>
          <rPr>
            <sz val="9"/>
            <color indexed="81"/>
            <rFont val="MS P ゴシック"/>
            <family val="3"/>
            <charset val="128"/>
          </rPr>
          <t>17-5766 18-193 19-071 20-060 21-049 22-046 23-046 24-042 25-040 26-038</t>
        </r>
      </text>
    </comment>
    <comment ref="A76" authorId="0" shapeId="0" xr:uid="{00000000-0006-0000-0000-000026000000}">
      <text>
        <r>
          <rPr>
            <sz val="9"/>
            <color indexed="81"/>
            <rFont val="MS P ゴシック"/>
            <family val="3"/>
            <charset val="128"/>
          </rPr>
          <t>17-5913 18-203 19-073 20-062 21-051 22-048 23-047 24-043 25-041 26-039</t>
        </r>
      </text>
    </comment>
    <comment ref="A78" authorId="0" shapeId="0" xr:uid="{00000000-0006-0000-0000-000027000000}">
      <text>
        <r>
          <rPr>
            <sz val="9"/>
            <color indexed="81"/>
            <rFont val="MS P ゴシック"/>
            <family val="3"/>
            <charset val="128"/>
          </rPr>
          <t>17-6900 18-324 19-082 20-065 21-053 22-050 23-048 24-044 25-042 26-040</t>
        </r>
      </text>
    </comment>
    <comment ref="A80" authorId="0" shapeId="0" xr:uid="{00000000-0006-0000-0000-000028000000}">
      <text>
        <r>
          <rPr>
            <sz val="9"/>
            <color indexed="81"/>
            <rFont val="MS P ゴシック"/>
            <family val="3"/>
            <charset val="128"/>
          </rPr>
          <t>17-6936 18-332 19-084a 20-067 21-055 22-051 23-049 24-045 25-043 26-041</t>
        </r>
      </text>
    </comment>
    <comment ref="A82" authorId="0" shapeId="0" xr:uid="{00000000-0006-0000-0000-000029000000}">
      <text>
        <r>
          <rPr>
            <sz val="9"/>
            <color indexed="81"/>
            <rFont val="MS P ゴシック"/>
            <family val="3"/>
            <charset val="128"/>
          </rPr>
          <t>17-7565b 18-568 19-086b 20-069 21-057 22-053 23-051 24-047 25-044 26-042</t>
        </r>
      </text>
    </comment>
    <comment ref="A84" authorId="0" shapeId="0" xr:uid="{00000000-0006-0000-0000-00002A000000}">
      <text>
        <r>
          <rPr>
            <sz val="9"/>
            <color indexed="81"/>
            <rFont val="MS P ゴシック"/>
            <family val="3"/>
            <charset val="128"/>
          </rPr>
          <t>17-7630 18-615 19-088 20-070 21-058 22-054 23-052 24-048 25-045 26-043</t>
        </r>
      </text>
    </comment>
    <comment ref="A86" authorId="0" shapeId="0" xr:uid="{00000000-0006-0000-0000-00002B000000}">
      <text>
        <r>
          <rPr>
            <sz val="9"/>
            <color indexed="81"/>
            <rFont val="MS P ゴシック"/>
            <family val="3"/>
            <charset val="128"/>
          </rPr>
          <t>17-7859 18-811 19-091 20-072 21-060 22-056 23-053 24-049 25-046 26-044</t>
        </r>
      </text>
    </comment>
    <comment ref="A88" authorId="0" shapeId="0" xr:uid="{00000000-0006-0000-0000-00002C000000}">
      <text>
        <r>
          <rPr>
            <sz val="9"/>
            <color indexed="81"/>
            <rFont val="MS P ゴシック"/>
            <family val="3"/>
            <charset val="128"/>
          </rPr>
          <t>17-8137 18-1089 19-093 20-073 21-061 22-057 23-054 24-050 25-047 26-045</t>
        </r>
      </text>
    </comment>
    <comment ref="A90" authorId="0" shapeId="0" xr:uid="{00000000-0006-0000-0000-00002D000000}">
      <text>
        <r>
          <rPr>
            <sz val="9"/>
            <color indexed="81"/>
            <rFont val="MS P ゴシック"/>
            <family val="3"/>
            <charset val="128"/>
          </rPr>
          <t>17-8629 18-1579 19-100 20-078 21-065 22-059 23-055 24-051 25-048 26-046</t>
        </r>
      </text>
    </comment>
    <comment ref="A92" authorId="0" shapeId="0" xr:uid="{00000000-0006-0000-0000-00002E000000}">
      <text>
        <r>
          <rPr>
            <sz val="9"/>
            <color indexed="81"/>
            <rFont val="MS P ゴシック"/>
            <family val="3"/>
            <charset val="128"/>
          </rPr>
          <t>17-9151 18-2101 19-107 20-080 21-067 22-061 23-057 24-053 25-049 26-047</t>
        </r>
      </text>
    </comment>
    <comment ref="A94" authorId="0" shapeId="0" xr:uid="{00000000-0006-0000-0000-00002F000000}">
      <text>
        <r>
          <rPr>
            <sz val="9"/>
            <color indexed="81"/>
            <rFont val="MS P ゴシック"/>
            <family val="3"/>
            <charset val="128"/>
          </rPr>
          <t>17-9168 18-2118 19-108 20-081 21-068 22-062 23-058 24-054 25-050 26-048</t>
        </r>
      </text>
    </comment>
    <comment ref="A96" authorId="0" shapeId="0" xr:uid="{00000000-0006-0000-0000-000030000000}">
      <text>
        <r>
          <rPr>
            <sz val="9"/>
            <color indexed="81"/>
            <rFont val="MS P ゴシック"/>
            <family val="3"/>
            <charset val="128"/>
          </rPr>
          <t>K18-44 K19-12 K20-11 D21-004 D22-004 23-059 24-055 25-051 26-049</t>
        </r>
      </text>
    </comment>
    <comment ref="A98" authorId="0" shapeId="0" xr:uid="{00000000-0006-0000-0000-000031000000}">
      <text>
        <r>
          <rPr>
            <sz val="9"/>
            <color indexed="81"/>
            <rFont val="MS P ゴシック"/>
            <family val="3"/>
            <charset val="128"/>
          </rPr>
          <t>18-3932 19-127 20-087 21-071 22-064 23-060 24-056 25-052 26-050</t>
        </r>
      </text>
    </comment>
    <comment ref="A100" authorId="0" shapeId="0" xr:uid="{00000000-0006-0000-0000-000032000000}">
      <text>
        <r>
          <rPr>
            <sz val="9"/>
            <color indexed="81"/>
            <rFont val="MS P ゴシック"/>
            <family val="3"/>
            <charset val="128"/>
          </rPr>
          <t>18-4033 19-131 20-088 21-072 22-065 23-061 24-057 25-053 26-051</t>
        </r>
      </text>
    </comment>
    <comment ref="A102" authorId="0" shapeId="0" xr:uid="{00000000-0006-0000-0000-000033000000}">
      <text>
        <r>
          <rPr>
            <sz val="9"/>
            <color indexed="81"/>
            <rFont val="MS P ゴシック"/>
            <family val="3"/>
            <charset val="128"/>
          </rPr>
          <t>18-4622 19-146 20-093 21-076 22-068 23-063 24-058 25-054 26-052</t>
        </r>
      </text>
    </comment>
    <comment ref="A104" authorId="0" shapeId="0" xr:uid="{00000000-0006-0000-0000-000034000000}">
      <text>
        <r>
          <rPr>
            <sz val="9"/>
            <color indexed="81"/>
            <rFont val="MS P ゴシック"/>
            <family val="3"/>
            <charset val="128"/>
          </rPr>
          <t>18-4937 19-162 20-098 21-080 22-072 23-066 24-059 25-055 26-053</t>
        </r>
      </text>
    </comment>
    <comment ref="A106" authorId="0" shapeId="0" xr:uid="{00000000-0006-0000-0000-000035000000}">
      <text>
        <r>
          <rPr>
            <sz val="9"/>
            <color indexed="81"/>
            <rFont val="MS P ゴシック"/>
            <family val="3"/>
            <charset val="128"/>
          </rPr>
          <t>18-5566 19-181 20-101 21-081 22-073 23-067 24-060 25-056 26-054</t>
        </r>
      </text>
    </comment>
    <comment ref="A108" authorId="0" shapeId="0" xr:uid="{00000000-0006-0000-0000-000036000000}">
      <text>
        <r>
          <rPr>
            <sz val="9"/>
            <color indexed="81"/>
            <rFont val="MS P ゴシック"/>
            <family val="3"/>
            <charset val="128"/>
          </rPr>
          <t>18-6453 19-206 20-102 21-082 22-074 23-068 24-061 25-057 26-055</t>
        </r>
      </text>
    </comment>
    <comment ref="A110" authorId="0" shapeId="0" xr:uid="{00000000-0006-0000-0000-000037000000}">
      <text>
        <r>
          <rPr>
            <sz val="9"/>
            <color indexed="81"/>
            <rFont val="MS P ゴシック"/>
            <family val="3"/>
            <charset val="128"/>
          </rPr>
          <t>18-6670 19-219 20-105 21-084 22-076 23-070 24-062 25-058 26-056</t>
        </r>
      </text>
    </comment>
    <comment ref="A112" authorId="0" shapeId="0" xr:uid="{00000000-0006-0000-0000-000038000000}">
      <text>
        <r>
          <rPr>
            <sz val="9"/>
            <color indexed="81"/>
            <rFont val="MS P ゴシック"/>
            <family val="3"/>
            <charset val="128"/>
          </rPr>
          <t>18-6949 19-242 20-106 21-085 22-077 23-071 24-063 25-059 26-057</t>
        </r>
      </text>
    </comment>
    <comment ref="A114" authorId="0" shapeId="0" xr:uid="{00000000-0006-0000-0000-000039000000}">
      <text>
        <r>
          <rPr>
            <sz val="9"/>
            <color indexed="81"/>
            <rFont val="MS P ゴシック"/>
            <family val="3"/>
            <charset val="128"/>
          </rPr>
          <t>18-7195 19-269 20-109 21-087 22-079 23-073 24-064 25-060 26-058</t>
        </r>
      </text>
    </comment>
    <comment ref="A116" authorId="0" shapeId="0" xr:uid="{00000000-0006-0000-0000-00003A000000}">
      <text>
        <r>
          <rPr>
            <sz val="9"/>
            <color indexed="81"/>
            <rFont val="MS P ゴシック"/>
            <family val="3"/>
            <charset val="128"/>
          </rPr>
          <t>18-7731 19-346 20-113 21-089 22-080 23-074 24-065 25-061 26-059</t>
        </r>
      </text>
    </comment>
    <comment ref="A118" authorId="0" shapeId="0" xr:uid="{00000000-0006-0000-0000-00003B000000}">
      <text>
        <r>
          <rPr>
            <sz val="9"/>
            <color indexed="81"/>
            <rFont val="MS P ゴシック"/>
            <family val="3"/>
            <charset val="128"/>
          </rPr>
          <t>18-8806 19-720 20-138 21-100 22-086 23-077 24-067 25-063 26-060</t>
        </r>
      </text>
    </comment>
    <comment ref="A120" authorId="0" shapeId="0" xr:uid="{00000000-0006-0000-0000-00003C000000}">
      <text>
        <r>
          <rPr>
            <sz val="9"/>
            <color indexed="81"/>
            <rFont val="MS P ゴシック"/>
            <family val="3"/>
            <charset val="128"/>
          </rPr>
          <t>18-9168 19-1052 20-148 21-105 22-090 23-079 24-068 25-064 26-061</t>
        </r>
      </text>
    </comment>
    <comment ref="A122" authorId="0" shapeId="0" xr:uid="{00000000-0006-0000-0000-00003D000000}">
      <text>
        <r>
          <rPr>
            <sz val="9"/>
            <color indexed="81"/>
            <rFont val="MS P ゴシック"/>
            <family val="3"/>
            <charset val="128"/>
          </rPr>
          <t>19-1294 20-156 21-109 22-093 23-083 24-070 25-065 26-062</t>
        </r>
      </text>
    </comment>
    <comment ref="A124" authorId="0" shapeId="0" xr:uid="{00000000-0006-0000-0000-00003E000000}">
      <text>
        <r>
          <rPr>
            <sz val="9"/>
            <color indexed="81"/>
            <rFont val="MS P ゴシック"/>
            <family val="3"/>
            <charset val="128"/>
          </rPr>
          <t>19-1334 20-158 21-110 22-094 23-084 24-071 25-066 26-063</t>
        </r>
      </text>
    </comment>
    <comment ref="A126" authorId="0" shapeId="0" xr:uid="{00000000-0006-0000-0000-00003F000000}">
      <text>
        <r>
          <rPr>
            <sz val="9"/>
            <color indexed="81"/>
            <rFont val="MS P ゴシック"/>
            <family val="3"/>
            <charset val="128"/>
          </rPr>
          <t>19-1464 20-163 D21-007 D22-006 23-085 24-072 25-067 26-064</t>
        </r>
      </text>
    </comment>
    <comment ref="A128" authorId="0" shapeId="0" xr:uid="{00000000-0006-0000-0000-000040000000}">
      <text>
        <r>
          <rPr>
            <sz val="9"/>
            <color indexed="81"/>
            <rFont val="MS P ゴシック"/>
            <family val="3"/>
            <charset val="128"/>
          </rPr>
          <t>19-1527 20-165 21-112 22-095 23-086 24-073 25-068 26-065</t>
        </r>
      </text>
    </comment>
    <comment ref="A130" authorId="0" shapeId="0" xr:uid="{00000000-0006-0000-0000-000041000000}">
      <text>
        <r>
          <rPr>
            <sz val="9"/>
            <color indexed="81"/>
            <rFont val="MS P ゴシック"/>
            <family val="3"/>
            <charset val="128"/>
          </rPr>
          <t>19-2208 20-184 D21-009 D22-007 23-087 24-074 25-069 26-066</t>
        </r>
      </text>
    </comment>
    <comment ref="A132" authorId="0" shapeId="0" xr:uid="{00000000-0006-0000-0000-000042000000}">
      <text>
        <r>
          <rPr>
            <sz val="9"/>
            <color indexed="81"/>
            <rFont val="MS P ゴシック"/>
            <family val="3"/>
            <charset val="128"/>
          </rPr>
          <t>19-2275 20-187 21-120 22-099 23-088a 24-075 25-070 26-067</t>
        </r>
      </text>
    </comment>
    <comment ref="A134" authorId="0" shapeId="0" xr:uid="{00000000-0006-0000-0000-000043000000}">
      <text>
        <r>
          <rPr>
            <sz val="9"/>
            <color indexed="81"/>
            <rFont val="MS P ゴシック"/>
            <family val="3"/>
            <charset val="128"/>
          </rPr>
          <t>19-2418 20-192 21-122 22-100 23-088b 24-076 25-071 26-068</t>
        </r>
      </text>
    </comment>
    <comment ref="A136" authorId="0" shapeId="0" xr:uid="{00000000-0006-0000-0000-000044000000}">
      <text>
        <r>
          <rPr>
            <sz val="9"/>
            <color indexed="81"/>
            <rFont val="MS P ゴシック"/>
            <family val="3"/>
            <charset val="128"/>
          </rPr>
          <t>19-2638 20-201 21-126 22-103 23-091 24-077 25-072 26-069</t>
        </r>
      </text>
    </comment>
    <comment ref="A138" authorId="0" shapeId="0" xr:uid="{00000000-0006-0000-0000-000045000000}">
      <text>
        <r>
          <rPr>
            <sz val="9"/>
            <color indexed="81"/>
            <rFont val="MS P ゴシック"/>
            <family val="3"/>
            <charset val="128"/>
          </rPr>
          <t>19-2963 20-222 21-134 22-108b 23-094 24-078 25-073 26-070</t>
        </r>
      </text>
    </comment>
    <comment ref="A140" authorId="0" shapeId="0" xr:uid="{00000000-0006-0000-0000-000046000000}">
      <text>
        <r>
          <rPr>
            <sz val="9"/>
            <color indexed="81"/>
            <rFont val="MS P ゴシック"/>
            <family val="3"/>
            <charset val="128"/>
          </rPr>
          <t>19-3564 20-258 21-141 22-112 23-096 24-079 25-074 26-071</t>
        </r>
      </text>
    </comment>
    <comment ref="A142" authorId="0" shapeId="0" xr:uid="{00000000-0006-0000-0000-000047000000}">
      <text>
        <r>
          <rPr>
            <sz val="9"/>
            <color indexed="81"/>
            <rFont val="MS P ゴシック"/>
            <family val="3"/>
            <charset val="128"/>
          </rPr>
          <t>19-3808 20-275 21-142 22-113 23-097 24-080 25-075 26-072</t>
        </r>
      </text>
    </comment>
    <comment ref="A144" authorId="0" shapeId="0" xr:uid="{00000000-0006-0000-0000-000048000000}">
      <text>
        <r>
          <rPr>
            <sz val="9"/>
            <color indexed="81"/>
            <rFont val="MS P ゴシック"/>
            <family val="3"/>
            <charset val="128"/>
          </rPr>
          <t>19-4110 20-291 21-146 22-116 23-098 24-081 25-076 26-073</t>
        </r>
      </text>
    </comment>
    <comment ref="A146" authorId="0" shapeId="0" xr:uid="{00000000-0006-0000-0000-000049000000}">
      <text>
        <r>
          <rPr>
            <sz val="9"/>
            <color indexed="81"/>
            <rFont val="MS P ゴシック"/>
            <family val="3"/>
            <charset val="128"/>
          </rPr>
          <t>19-4445 20-323 21-148a 22-118 23-100 24-082 25-077 26-074</t>
        </r>
      </text>
    </comment>
    <comment ref="A148" authorId="0" shapeId="0" xr:uid="{00000000-0006-0000-0000-00004A000000}">
      <text>
        <r>
          <rPr>
            <sz val="9"/>
            <color indexed="81"/>
            <rFont val="MS P ゴシック"/>
            <family val="3"/>
            <charset val="128"/>
          </rPr>
          <t>19-5099 20-415 D21-010 D22-008 23-101 24-083 25-078 26-075</t>
        </r>
      </text>
    </comment>
    <comment ref="A150" authorId="0" shapeId="0" xr:uid="{00000000-0006-0000-0000-00004B000000}">
      <text>
        <r>
          <rPr>
            <sz val="9"/>
            <color indexed="81"/>
            <rFont val="MS P ゴシック"/>
            <family val="3"/>
            <charset val="128"/>
          </rPr>
          <t>20-1008 21-175 22-128 23-107 24-084 25-079 26-076</t>
        </r>
      </text>
    </comment>
    <comment ref="A152" authorId="0" shapeId="0" xr:uid="{00000000-0006-0000-0000-00004C000000}">
      <text>
        <r>
          <rPr>
            <sz val="9"/>
            <color indexed="81"/>
            <rFont val="MS P ゴシック"/>
            <family val="3"/>
            <charset val="128"/>
          </rPr>
          <t>20-1208ｂ 21-180 22-132 23-109 24-086 25-080 26-077</t>
        </r>
      </text>
    </comment>
    <comment ref="A154" authorId="0" shapeId="0" xr:uid="{00000000-0006-0000-0000-00004D000000}">
      <text>
        <r>
          <rPr>
            <sz val="9"/>
            <color indexed="81"/>
            <rFont val="MS P ゴシック"/>
            <family val="3"/>
            <charset val="128"/>
          </rPr>
          <t>20-1537 21-189 22-136 23-112 24-088 25-082 26-079</t>
        </r>
      </text>
    </comment>
    <comment ref="A156" authorId="0" shapeId="0" xr:uid="{00000000-0006-0000-0000-00004E000000}">
      <text>
        <r>
          <rPr>
            <sz val="9"/>
            <color indexed="81"/>
            <rFont val="MS P ゴシック"/>
            <family val="3"/>
            <charset val="128"/>
          </rPr>
          <t>20-1565 21-191 22-137 23-113 24-089 25-083 26-080</t>
        </r>
      </text>
    </comment>
    <comment ref="A158" authorId="0" shapeId="0" xr:uid="{00000000-0006-0000-0000-00004F000000}">
      <text>
        <r>
          <rPr>
            <sz val="9"/>
            <color indexed="81"/>
            <rFont val="MS P ゴシック"/>
            <family val="3"/>
            <charset val="128"/>
          </rPr>
          <t>20-1623 21-193 22-138 23-114 24-090 25-084 26-081</t>
        </r>
      </text>
    </comment>
    <comment ref="A160" authorId="0" shapeId="0" xr:uid="{00000000-0006-0000-0000-000050000000}">
      <text>
        <r>
          <rPr>
            <sz val="9"/>
            <color indexed="81"/>
            <rFont val="MS P ゴシック"/>
            <family val="3"/>
            <charset val="128"/>
          </rPr>
          <t>20-1931 21-204 22-141 23-118 24-091 25-085 26-082</t>
        </r>
      </text>
    </comment>
    <comment ref="A162" authorId="0" shapeId="0" xr:uid="{00000000-0006-0000-0000-000051000000}">
      <text>
        <r>
          <rPr>
            <sz val="9"/>
            <color indexed="81"/>
            <rFont val="MS P ゴシック"/>
            <family val="3"/>
            <charset val="128"/>
          </rPr>
          <t>20-2111 21-241 22-144 23-119 24-092 25-086 26-083</t>
        </r>
      </text>
    </comment>
    <comment ref="A164" authorId="0" shapeId="0" xr:uid="{00000000-0006-0000-0000-000052000000}">
      <text>
        <r>
          <rPr>
            <sz val="9"/>
            <color indexed="81"/>
            <rFont val="MS P ゴシック"/>
            <family val="3"/>
            <charset val="128"/>
          </rPr>
          <t>20-2291 21-245 22-145 23-120 24-093 25-087 26-084</t>
        </r>
      </text>
    </comment>
    <comment ref="A166" authorId="0" shapeId="0" xr:uid="{00000000-0006-0000-0000-000053000000}">
      <text>
        <r>
          <rPr>
            <sz val="9"/>
            <color indexed="81"/>
            <rFont val="MS P ゴシック"/>
            <family val="3"/>
            <charset val="128"/>
          </rPr>
          <t>20-2340 21-248 22-147 23-121 24-094 25-088 26-085</t>
        </r>
      </text>
    </comment>
    <comment ref="A168" authorId="0" shapeId="0" xr:uid="{00000000-0006-0000-0000-000054000000}">
      <text>
        <r>
          <rPr>
            <sz val="9"/>
            <color indexed="81"/>
            <rFont val="MS P ゴシック"/>
            <family val="3"/>
            <charset val="128"/>
          </rPr>
          <t>20-2410 21-251 22-148 23-122 24-095 25-089 26-086</t>
        </r>
      </text>
    </comment>
    <comment ref="A170" authorId="0" shapeId="0" xr:uid="{00000000-0006-0000-0000-000055000000}">
      <text>
        <r>
          <rPr>
            <sz val="9"/>
            <color indexed="81"/>
            <rFont val="MS P ゴシック"/>
            <family val="3"/>
            <charset val="128"/>
          </rPr>
          <t>20-2510 21-257 22-150 23-124 24-096 25-090 26-087</t>
        </r>
      </text>
    </comment>
    <comment ref="A172" authorId="0" shapeId="0" xr:uid="{00000000-0006-0000-0000-000056000000}">
      <text>
        <r>
          <rPr>
            <sz val="9"/>
            <color indexed="81"/>
            <rFont val="MS P ゴシック"/>
            <family val="3"/>
            <charset val="128"/>
          </rPr>
          <t>20-2513 21-258 22-151 23-125 24-097 25-091 26-088</t>
        </r>
      </text>
    </comment>
    <comment ref="A174" authorId="0" shapeId="0" xr:uid="{00000000-0006-0000-0000-000057000000}">
      <text>
        <r>
          <rPr>
            <sz val="9"/>
            <color indexed="81"/>
            <rFont val="MS P ゴシック"/>
            <family val="3"/>
            <charset val="128"/>
          </rPr>
          <t>20-2711 21-263 22-152 23-126 24-098 25-092 26-089</t>
        </r>
      </text>
    </comment>
    <comment ref="A176" authorId="0" shapeId="0" xr:uid="{00000000-0006-0000-0000-000058000000}">
      <text>
        <r>
          <rPr>
            <sz val="9"/>
            <color indexed="81"/>
            <rFont val="MS P ゴシック"/>
            <family val="3"/>
            <charset val="128"/>
          </rPr>
          <t>20-3096 21-278 22-153 23-127 24-099 25-093 26-090</t>
        </r>
      </text>
    </comment>
    <comment ref="A178" authorId="0" shapeId="0" xr:uid="{00000000-0006-0000-0000-000059000000}">
      <text>
        <r>
          <rPr>
            <sz val="9"/>
            <color indexed="81"/>
            <rFont val="MS P ゴシック"/>
            <family val="3"/>
            <charset val="128"/>
          </rPr>
          <t>20-3743 21-309 22-161 23-132 24-100 25-094 26-091</t>
        </r>
      </text>
    </comment>
    <comment ref="A180" authorId="0" shapeId="0" xr:uid="{00000000-0006-0000-0000-00005A000000}">
      <text>
        <r>
          <rPr>
            <sz val="9"/>
            <color indexed="81"/>
            <rFont val="MS P ゴシック"/>
            <family val="3"/>
            <charset val="128"/>
          </rPr>
          <t>20-3826 21-314 22-162 23-133 24-101 25-095 26-092</t>
        </r>
      </text>
    </comment>
    <comment ref="A182" authorId="0" shapeId="0" xr:uid="{00000000-0006-0000-0000-00005B000000}">
      <text>
        <r>
          <rPr>
            <sz val="9"/>
            <color indexed="81"/>
            <rFont val="MS P ゴシック"/>
            <family val="3"/>
            <charset val="128"/>
          </rPr>
          <t>20-3902 21-320 22-163 23-135 24-102 25-096 26-093</t>
        </r>
      </text>
    </comment>
    <comment ref="A184" authorId="0" shapeId="0" xr:uid="{00000000-0006-0000-0000-00005C000000}">
      <text>
        <r>
          <rPr>
            <sz val="9"/>
            <color indexed="81"/>
            <rFont val="MS P ゴシック"/>
            <family val="3"/>
            <charset val="128"/>
          </rPr>
          <t>20-3963 21-327 22-167 23-136 24-103 25-097 26-094</t>
        </r>
      </text>
    </comment>
    <comment ref="A186" authorId="0" shapeId="0" xr:uid="{00000000-0006-0000-0000-00005D000000}">
      <text>
        <r>
          <rPr>
            <sz val="9"/>
            <color indexed="81"/>
            <rFont val="MS P ゴシック"/>
            <family val="3"/>
            <charset val="128"/>
          </rPr>
          <t>20-3991 21-329 22-168 23-137 24-104 25-098 26-095</t>
        </r>
      </text>
    </comment>
    <comment ref="A188" authorId="0" shapeId="0" xr:uid="{00000000-0006-0000-0000-00005E000000}">
      <text>
        <r>
          <rPr>
            <sz val="9"/>
            <color indexed="81"/>
            <rFont val="MS P ゴシック"/>
            <family val="3"/>
            <charset val="128"/>
          </rPr>
          <t>20-4133 21-343 22-171 23-139 24-105 25-099 26-096</t>
        </r>
      </text>
    </comment>
    <comment ref="A190" authorId="0" shapeId="0" xr:uid="{00000000-0006-0000-0000-00005F000000}">
      <text>
        <r>
          <rPr>
            <sz val="9"/>
            <color indexed="81"/>
            <rFont val="MS P ゴシック"/>
            <family val="3"/>
            <charset val="128"/>
          </rPr>
          <t>20-4222 21-346 22-172 23-140 24-106 25-100 26-097</t>
        </r>
      </text>
    </comment>
    <comment ref="A192" authorId="0" shapeId="0" xr:uid="{00000000-0006-0000-0000-000060000000}">
      <text>
        <r>
          <rPr>
            <sz val="9"/>
            <color indexed="81"/>
            <rFont val="MS P ゴシック"/>
            <family val="3"/>
            <charset val="128"/>
          </rPr>
          <t>20-4303 21-350 22-173 23-141 24-107 25-101 26-098</t>
        </r>
      </text>
    </comment>
    <comment ref="A194" authorId="0" shapeId="0" xr:uid="{00000000-0006-0000-0000-000061000000}">
      <text>
        <r>
          <rPr>
            <sz val="9"/>
            <color indexed="81"/>
            <rFont val="MS P ゴシック"/>
            <family val="3"/>
            <charset val="128"/>
          </rPr>
          <t>K20-237 D21-014 D22-012 23-143 24-109 25-103 26-100</t>
        </r>
      </text>
    </comment>
    <comment ref="A196" authorId="0" shapeId="0" xr:uid="{00000000-0006-0000-0000-000062000000}">
      <text>
        <r>
          <rPr>
            <sz val="9"/>
            <color indexed="81"/>
            <rFont val="MS P ゴシック"/>
            <family val="3"/>
            <charset val="128"/>
          </rPr>
          <t>20-4426 21-364 22-175 23-144 24-110 25-104 26-101</t>
        </r>
      </text>
    </comment>
    <comment ref="A198" authorId="0" shapeId="0" xr:uid="{00000000-0006-0000-0000-000063000000}">
      <text>
        <r>
          <rPr>
            <sz val="9"/>
            <color indexed="81"/>
            <rFont val="MS P ゴシック"/>
            <family val="3"/>
            <charset val="128"/>
          </rPr>
          <t>20-4465 21-368 22-176 23-145 24-111 25-105 26-102</t>
        </r>
      </text>
    </comment>
    <comment ref="A200" authorId="0" shapeId="0" xr:uid="{00000000-0006-0000-0000-000064000000}">
      <text>
        <r>
          <rPr>
            <sz val="9"/>
            <color indexed="81"/>
            <rFont val="MS P ゴシック"/>
            <family val="3"/>
            <charset val="128"/>
          </rPr>
          <t>20-4473 21-369 22-177 23-146 24-112 25-106 26-103</t>
        </r>
      </text>
    </comment>
    <comment ref="A202" authorId="0" shapeId="0" xr:uid="{00000000-0006-0000-0000-000065000000}">
      <text>
        <r>
          <rPr>
            <sz val="9"/>
            <color indexed="81"/>
            <rFont val="MS P ゴシック"/>
            <family val="3"/>
            <charset val="128"/>
          </rPr>
          <t>20-4966 D21-016 D22-013 23-149 24-114 25-108 26-104</t>
        </r>
      </text>
    </comment>
    <comment ref="A204" authorId="0" shapeId="0" xr:uid="{00000000-0006-0000-0000-000066000000}">
      <text>
        <r>
          <rPr>
            <sz val="9"/>
            <color indexed="81"/>
            <rFont val="MS P ゴシック"/>
            <family val="3"/>
            <charset val="128"/>
          </rPr>
          <t>20-5069 21-441 22-186 23-152 24-115 25-109 26-105</t>
        </r>
      </text>
    </comment>
    <comment ref="A206" authorId="0" shapeId="0" xr:uid="{00000000-0006-0000-0000-000067000000}">
      <text>
        <r>
          <rPr>
            <sz val="9"/>
            <color indexed="81"/>
            <rFont val="MS P ゴシック"/>
            <family val="3"/>
            <charset val="128"/>
          </rPr>
          <t>20-5324 21-476 22-190 23-153 24-116 25-110 26-106</t>
        </r>
      </text>
    </comment>
    <comment ref="A208" authorId="0" shapeId="0" xr:uid="{00000000-0006-0000-0000-000068000000}">
      <text>
        <r>
          <rPr>
            <sz val="9"/>
            <color indexed="81"/>
            <rFont val="MS P ゴシック"/>
            <family val="3"/>
            <charset val="128"/>
          </rPr>
          <t>20-5325 21-477a 22-191 23-154 24-117 25-111 26-107</t>
        </r>
      </text>
    </comment>
    <comment ref="A210" authorId="0" shapeId="0" xr:uid="{00000000-0006-0000-0000-000069000000}">
      <text>
        <r>
          <rPr>
            <sz val="9"/>
            <color indexed="81"/>
            <rFont val="MS P ゴシック"/>
            <family val="3"/>
            <charset val="128"/>
          </rPr>
          <t>20-5343 21-479 22-192 23-155 24-118 25-112 26-108</t>
        </r>
      </text>
    </comment>
    <comment ref="A212" authorId="0" shapeId="0" xr:uid="{00000000-0006-0000-0000-00006A000000}">
      <text>
        <r>
          <rPr>
            <sz val="9"/>
            <color indexed="81"/>
            <rFont val="MS P ゴシック"/>
            <family val="3"/>
            <charset val="128"/>
          </rPr>
          <t>20-5366 21-483 22-193 23-156 24-119 25-113 26-109</t>
        </r>
      </text>
    </comment>
    <comment ref="A214" authorId="0" shapeId="0" xr:uid="{00000000-0006-0000-0000-00006B000000}">
      <text>
        <r>
          <rPr>
            <sz val="9"/>
            <color indexed="81"/>
            <rFont val="MS P ゴシック"/>
            <family val="3"/>
            <charset val="128"/>
          </rPr>
          <t>20-5464 21-511 22-196 23-157 24-120 25-114 26-110</t>
        </r>
      </text>
    </comment>
    <comment ref="A216" authorId="0" shapeId="0" xr:uid="{00000000-0006-0000-0000-00006C000000}">
      <text>
        <r>
          <rPr>
            <sz val="9"/>
            <color indexed="81"/>
            <rFont val="MS P ゴシック"/>
            <family val="3"/>
            <charset val="128"/>
          </rPr>
          <t>20-5660 21-584 22-198 23-159 24-121 25-115 26-111</t>
        </r>
      </text>
    </comment>
    <comment ref="A218" authorId="0" shapeId="0" xr:uid="{00000000-0006-0000-0000-00006D000000}">
      <text>
        <r>
          <rPr>
            <sz val="9"/>
            <color indexed="81"/>
            <rFont val="MS P ゴシック"/>
            <family val="3"/>
            <charset val="128"/>
          </rPr>
          <t>21-1428 22-212 23-166 24-125 25-117 26-112</t>
        </r>
      </text>
    </comment>
    <comment ref="A220" authorId="0" shapeId="0" xr:uid="{00000000-0006-0000-0000-00006F000000}">
      <text>
        <r>
          <rPr>
            <sz val="9"/>
            <color indexed="81"/>
            <rFont val="MS P ゴシック"/>
            <family val="3"/>
            <charset val="128"/>
          </rPr>
          <t>D21-020 D22-016 23-176 24-132 25-119 26-114</t>
        </r>
      </text>
    </comment>
    <comment ref="A222" authorId="0" shapeId="0" xr:uid="{00000000-0006-0000-0000-000070000000}">
      <text>
        <r>
          <rPr>
            <sz val="9"/>
            <color indexed="81"/>
            <rFont val="MS P ゴシック"/>
            <family val="3"/>
            <charset val="128"/>
          </rPr>
          <t>21-3723 22-270 23-186 24-134 25-121 26-115</t>
        </r>
      </text>
    </comment>
    <comment ref="A224" authorId="0" shapeId="0" xr:uid="{00000000-0006-0000-0000-000071000000}">
      <text>
        <r>
          <rPr>
            <sz val="9"/>
            <color indexed="81"/>
            <rFont val="MS P ゴシック"/>
            <family val="3"/>
            <charset val="128"/>
          </rPr>
          <t>21-3811 D22-019 23-187a 24-135 25-122 26-116</t>
        </r>
      </text>
    </comment>
    <comment ref="A226" authorId="0" shapeId="0" xr:uid="{00000000-0006-0000-0000-000072000000}">
      <text>
        <r>
          <rPr>
            <sz val="9"/>
            <color indexed="81"/>
            <rFont val="MS P ゴシック"/>
            <family val="3"/>
            <charset val="128"/>
          </rPr>
          <t>21-3911 22-276 23-187b 24-136 25-123 26-117</t>
        </r>
      </text>
    </comment>
    <comment ref="A228" authorId="0" shapeId="0" xr:uid="{00000000-0006-0000-0000-000073000000}">
      <text>
        <r>
          <rPr>
            <sz val="9"/>
            <color indexed="81"/>
            <rFont val="MS P ゴシック"/>
            <family val="3"/>
            <charset val="128"/>
          </rPr>
          <t>21-4021 22-282 23-190 24-137 25-124 26-118</t>
        </r>
      </text>
    </comment>
    <comment ref="A230" authorId="0" shapeId="0" xr:uid="{00000000-0006-0000-0000-000074000000}">
      <text>
        <r>
          <rPr>
            <sz val="9"/>
            <color indexed="81"/>
            <rFont val="MS P ゴシック"/>
            <family val="3"/>
            <charset val="128"/>
          </rPr>
          <t>21-4303 22-307 23-195 24-142 25-127 26-120</t>
        </r>
      </text>
    </comment>
    <comment ref="A232" authorId="0" shapeId="0" xr:uid="{00000000-0006-0000-0000-000075000000}">
      <text>
        <r>
          <rPr>
            <sz val="9"/>
            <color indexed="81"/>
            <rFont val="MS P ゴシック"/>
            <family val="3"/>
            <charset val="128"/>
          </rPr>
          <t>21-4401 22-321 23-196 24-143 25-128 26-121</t>
        </r>
      </text>
    </comment>
    <comment ref="A234" authorId="0" shapeId="0" xr:uid="{00000000-0006-0000-0000-000076000000}">
      <text>
        <r>
          <rPr>
            <sz val="9"/>
            <color indexed="81"/>
            <rFont val="MS P ゴシック"/>
            <family val="3"/>
            <charset val="128"/>
          </rPr>
          <t>21-4493 22-334 23-198 24-145 25-129 26-122</t>
        </r>
      </text>
    </comment>
    <comment ref="A236" authorId="0" shapeId="0" xr:uid="{00000000-0006-0000-0000-000077000000}">
      <text>
        <r>
          <rPr>
            <sz val="9"/>
            <color indexed="81"/>
            <rFont val="MS P ゴシック"/>
            <family val="3"/>
            <charset val="128"/>
          </rPr>
          <t>21-4614 22-357 23-200 24-147 25-131 26-124</t>
        </r>
      </text>
    </comment>
    <comment ref="A238" authorId="0" shapeId="0" xr:uid="{00000000-0006-0000-0000-000078000000}">
      <text>
        <r>
          <rPr>
            <sz val="9"/>
            <color indexed="81"/>
            <rFont val="MS P ゴシック"/>
            <family val="3"/>
            <charset val="128"/>
          </rPr>
          <t>21-4654 22-363 23-202 24-148 25-132 26-125</t>
        </r>
      </text>
    </comment>
    <comment ref="A240" authorId="0" shapeId="0" xr:uid="{00000000-0006-0000-0000-000079000000}">
      <text>
        <r>
          <rPr>
            <sz val="9"/>
            <color indexed="81"/>
            <rFont val="MS P ゴシック"/>
            <family val="3"/>
            <charset val="128"/>
          </rPr>
          <t>21-4695 22-372 23-203 24-149 25-133 26-126</t>
        </r>
      </text>
    </comment>
    <comment ref="A242" authorId="0" shapeId="0" xr:uid="{00000000-0006-0000-0000-00007A000000}">
      <text>
        <r>
          <rPr>
            <sz val="9"/>
            <color indexed="81"/>
            <rFont val="MS P ゴシック"/>
            <family val="3"/>
            <charset val="128"/>
          </rPr>
          <t>21-5010 22-458 23-205 24-150 25-134 26-127</t>
        </r>
      </text>
    </comment>
    <comment ref="A244" authorId="0" shapeId="0" xr:uid="{00000000-0006-0000-0000-00007B000000}">
      <text>
        <r>
          <rPr>
            <sz val="9"/>
            <color indexed="81"/>
            <rFont val="MS P ゴシック"/>
            <family val="3"/>
            <charset val="128"/>
          </rPr>
          <t>21-5074 22-491 23-207 24-152 25-135 26-128</t>
        </r>
      </text>
    </comment>
    <comment ref="A246" authorId="0" shapeId="0" xr:uid="{00000000-0006-0000-0000-00007C000000}">
      <text>
        <r>
          <rPr>
            <sz val="9"/>
            <color indexed="81"/>
            <rFont val="MS P ゴシック"/>
            <family val="3"/>
            <charset val="128"/>
          </rPr>
          <t>21-5141 22-522 23-209 24-154 25-136 26-129</t>
        </r>
      </text>
    </comment>
    <comment ref="A248" authorId="0" shapeId="0" xr:uid="{00000000-0006-0000-0000-00007D000000}">
      <text>
        <r>
          <rPr>
            <sz val="9"/>
            <color indexed="81"/>
            <rFont val="MS P ゴシック"/>
            <family val="3"/>
            <charset val="128"/>
          </rPr>
          <t>21-5146 22-526 23-211 24-156 25-138 26-131</t>
        </r>
      </text>
    </comment>
    <comment ref="A250" authorId="0" shapeId="0" xr:uid="{00000000-0006-0000-0000-00007E000000}">
      <text>
        <r>
          <rPr>
            <sz val="9"/>
            <color indexed="81"/>
            <rFont val="MS P ゴシック"/>
            <family val="3"/>
            <charset val="128"/>
          </rPr>
          <t>21-5208 22-563 23-213 24-158 25-139 26-132</t>
        </r>
      </text>
    </comment>
    <comment ref="A252" authorId="0" shapeId="0" xr:uid="{00000000-0006-0000-0000-00007F000000}">
      <text>
        <r>
          <rPr>
            <sz val="9"/>
            <color indexed="81"/>
            <rFont val="MS P ゴシック"/>
            <family val="3"/>
            <charset val="128"/>
          </rPr>
          <t>21-5275 22-611 23-217 24-159 25-140 26-133</t>
        </r>
      </text>
    </comment>
    <comment ref="A254" authorId="0" shapeId="0" xr:uid="{00000000-0006-0000-0000-000080000000}">
      <text>
        <r>
          <rPr>
            <sz val="9"/>
            <color indexed="81"/>
            <rFont val="MS P ゴシック"/>
            <family val="3"/>
            <charset val="128"/>
          </rPr>
          <t>21-5369 22-693 23-220 24-160 25-141 26-134</t>
        </r>
      </text>
    </comment>
    <comment ref="A256" authorId="0" shapeId="0" xr:uid="{00000000-0006-0000-0000-000081000000}">
      <text>
        <r>
          <rPr>
            <sz val="9"/>
            <color indexed="81"/>
            <rFont val="MS P ゴシック"/>
            <family val="3"/>
            <charset val="128"/>
          </rPr>
          <t>21-5465 22-785 23-224 24-161 25-142 26-135</t>
        </r>
      </text>
    </comment>
    <comment ref="A258" authorId="0" shapeId="0" xr:uid="{00000000-0006-0000-0000-000082000000}">
      <text>
        <r>
          <rPr>
            <sz val="9"/>
            <color indexed="81"/>
            <rFont val="MS P ゴシック"/>
            <family val="3"/>
            <charset val="128"/>
          </rPr>
          <t xml:space="preserve"> 22-910 23-228 24-163 25-143 26-136</t>
        </r>
      </text>
    </comment>
    <comment ref="A260" authorId="0" shapeId="0" xr:uid="{00000000-0006-0000-0000-000083000000}">
      <text>
        <r>
          <rPr>
            <sz val="9"/>
            <color indexed="81"/>
            <rFont val="MS P ゴシック"/>
            <family val="3"/>
            <charset val="128"/>
          </rPr>
          <t xml:space="preserve"> 22-1037 23-230 24-165 25-144 26-137</t>
        </r>
      </text>
    </comment>
    <comment ref="A262" authorId="0" shapeId="0" xr:uid="{00000000-0006-0000-0000-000084000000}">
      <text>
        <r>
          <rPr>
            <sz val="9"/>
            <color indexed="81"/>
            <rFont val="MS P ゴシック"/>
            <family val="3"/>
            <charset val="128"/>
          </rPr>
          <t xml:space="preserve"> 22-1177 23-233 24-168 25-146 26-138</t>
        </r>
      </text>
    </comment>
    <comment ref="A264" authorId="0" shapeId="0" xr:uid="{00000000-0006-0000-0000-000085000000}">
      <text>
        <r>
          <rPr>
            <sz val="9"/>
            <color indexed="81"/>
            <rFont val="MS P ゴシック"/>
            <family val="3"/>
            <charset val="128"/>
          </rPr>
          <t xml:space="preserve"> 22-1180 23-234 24-169 25-147 26-139</t>
        </r>
      </text>
    </comment>
    <comment ref="A266" authorId="0" shapeId="0" xr:uid="{00000000-0006-0000-0000-000086000000}">
      <text>
        <r>
          <rPr>
            <sz val="9"/>
            <color indexed="81"/>
            <rFont val="MS P ゴシック"/>
            <family val="3"/>
            <charset val="128"/>
          </rPr>
          <t xml:space="preserve"> 22-1320 23-237 24-170 25-148 26-140</t>
        </r>
      </text>
    </comment>
    <comment ref="A268" authorId="0" shapeId="0" xr:uid="{00000000-0006-0000-0000-000087000000}">
      <text>
        <r>
          <rPr>
            <sz val="9"/>
            <color indexed="81"/>
            <rFont val="MS P ゴシック"/>
            <family val="3"/>
            <charset val="128"/>
          </rPr>
          <t xml:space="preserve"> 22-1398 23-241 24-171 25-149 26-141</t>
        </r>
      </text>
    </comment>
    <comment ref="A270" authorId="0" shapeId="0" xr:uid="{00000000-0006-0000-0000-000088000000}">
      <text>
        <r>
          <rPr>
            <sz val="9"/>
            <color indexed="81"/>
            <rFont val="MS P ゴシック"/>
            <family val="3"/>
            <charset val="128"/>
          </rPr>
          <t xml:space="preserve"> 22-1472 23-244 24-173 25-151 26-143</t>
        </r>
      </text>
    </comment>
    <comment ref="A272" authorId="0" shapeId="0" xr:uid="{00000000-0006-0000-0000-000089000000}">
      <text>
        <r>
          <rPr>
            <sz val="9"/>
            <color indexed="81"/>
            <rFont val="MS P ゴシック"/>
            <family val="3"/>
            <charset val="128"/>
          </rPr>
          <t xml:space="preserve"> 22-1513 23-245 24-174 25-152 26-144</t>
        </r>
      </text>
    </comment>
    <comment ref="A274" authorId="0" shapeId="0" xr:uid="{00000000-0006-0000-0000-00008A000000}">
      <text>
        <r>
          <rPr>
            <sz val="9"/>
            <color indexed="81"/>
            <rFont val="MS P ゴシック"/>
            <family val="3"/>
            <charset val="128"/>
          </rPr>
          <t xml:space="preserve"> 22-1601 23-248 24-176 25-153 26-145</t>
        </r>
      </text>
    </comment>
    <comment ref="A276" authorId="0" shapeId="0" xr:uid="{00000000-0006-0000-0000-00008B000000}">
      <text>
        <r>
          <rPr>
            <sz val="9"/>
            <color indexed="81"/>
            <rFont val="MS P ゴシック"/>
            <family val="3"/>
            <charset val="128"/>
          </rPr>
          <t xml:space="preserve"> 22-1610ｃ 23-251 24-177 25-154 26-146</t>
        </r>
      </text>
    </comment>
    <comment ref="A278" authorId="0" shapeId="0" xr:uid="{00000000-0006-0000-0000-00008C000000}">
      <text>
        <r>
          <rPr>
            <sz val="9"/>
            <color indexed="81"/>
            <rFont val="MS P ゴシック"/>
            <family val="3"/>
            <charset val="128"/>
          </rPr>
          <t xml:space="preserve"> 22-1612 23-253 24-178 25-155 26-147</t>
        </r>
      </text>
    </comment>
    <comment ref="A280" authorId="0" shapeId="0" xr:uid="{00000000-0006-0000-0000-00008D000000}">
      <text>
        <r>
          <rPr>
            <sz val="9"/>
            <color indexed="81"/>
            <rFont val="MS P ゴシック"/>
            <family val="3"/>
            <charset val="128"/>
          </rPr>
          <t xml:space="preserve"> 22-1613 23-254 24-179 25-156 26-148</t>
        </r>
      </text>
    </comment>
    <comment ref="A282" authorId="0" shapeId="0" xr:uid="{00000000-0006-0000-0000-00008E000000}">
      <text>
        <r>
          <rPr>
            <sz val="9"/>
            <color indexed="81"/>
            <rFont val="MS P ゴシック"/>
            <family val="3"/>
            <charset val="128"/>
          </rPr>
          <t xml:space="preserve"> 22-1630 23-255 24-180 25-157 26-149</t>
        </r>
      </text>
    </comment>
    <comment ref="A284" authorId="0" shapeId="0" xr:uid="{00000000-0006-0000-0000-00008F000000}">
      <text>
        <r>
          <rPr>
            <sz val="9"/>
            <color indexed="81"/>
            <rFont val="MS P ゴシック"/>
            <family val="3"/>
            <charset val="128"/>
          </rPr>
          <t xml:space="preserve"> 22-1633 23-256 24-181 25-158 26-150</t>
        </r>
      </text>
    </comment>
    <comment ref="A286" authorId="0" shapeId="0" xr:uid="{00000000-0006-0000-0000-000091000000}">
      <text>
        <r>
          <rPr>
            <sz val="9"/>
            <color indexed="81"/>
            <rFont val="MS P ゴシック"/>
            <family val="3"/>
            <charset val="128"/>
          </rPr>
          <t xml:space="preserve"> 22-1641 23-258 24-183 25-160 26-152</t>
        </r>
      </text>
    </comment>
    <comment ref="A288" authorId="0" shapeId="0" xr:uid="{00000000-0006-0000-0000-000092000000}">
      <text>
        <r>
          <rPr>
            <sz val="9"/>
            <color indexed="81"/>
            <rFont val="MS P ゴシック"/>
            <family val="3"/>
            <charset val="128"/>
          </rPr>
          <t xml:space="preserve"> 22-1661 23-259 24-184 25-161 26-153</t>
        </r>
      </text>
    </comment>
    <comment ref="A290" authorId="0" shapeId="0" xr:uid="{00000000-0006-0000-0000-000093000000}">
      <text>
        <r>
          <rPr>
            <sz val="9"/>
            <color indexed="81"/>
            <rFont val="MS P ゴシック"/>
            <family val="3"/>
            <charset val="128"/>
          </rPr>
          <t xml:space="preserve"> 22-1697 23-261 24-186 25-163 26-154</t>
        </r>
      </text>
    </comment>
    <comment ref="A292" authorId="0" shapeId="0" xr:uid="{00000000-0006-0000-0000-000094000000}">
      <text>
        <r>
          <rPr>
            <sz val="9"/>
            <color indexed="81"/>
            <rFont val="MS P ゴシック"/>
            <family val="3"/>
            <charset val="128"/>
          </rPr>
          <t xml:space="preserve"> 22-1700 23-262 24-187 25-164 26-155</t>
        </r>
      </text>
    </comment>
    <comment ref="A294" authorId="0" shapeId="0" xr:uid="{00000000-0006-0000-0000-000095000000}">
      <text>
        <r>
          <rPr>
            <sz val="9"/>
            <color indexed="81"/>
            <rFont val="MS P ゴシック"/>
            <family val="3"/>
            <charset val="128"/>
          </rPr>
          <t xml:space="preserve"> 22-1703 23-263 24-188 25-165 26-156</t>
        </r>
      </text>
    </comment>
    <comment ref="A296" authorId="0" shapeId="0" xr:uid="{00000000-0006-0000-0000-000096000000}">
      <text>
        <r>
          <rPr>
            <sz val="9"/>
            <color indexed="81"/>
            <rFont val="MS P ゴシック"/>
            <family val="3"/>
            <charset val="128"/>
          </rPr>
          <t xml:space="preserve"> 22-1832 23-270 24-193 25-167 26-157</t>
        </r>
      </text>
    </comment>
    <comment ref="A298" authorId="0" shapeId="0" xr:uid="{00000000-0006-0000-0000-000097000000}">
      <text>
        <r>
          <rPr>
            <sz val="9"/>
            <color indexed="81"/>
            <rFont val="MS P ゴシック"/>
            <family val="3"/>
            <charset val="128"/>
          </rPr>
          <t xml:space="preserve"> 22-1928 23-275 24-194 25-168 26-158</t>
        </r>
      </text>
    </comment>
    <comment ref="A300" authorId="0" shapeId="0" xr:uid="{00000000-0006-0000-0000-000098000000}">
      <text>
        <r>
          <rPr>
            <sz val="9"/>
            <color indexed="81"/>
            <rFont val="MS P ゴシック"/>
            <family val="3"/>
            <charset val="128"/>
          </rPr>
          <t xml:space="preserve"> 22-1983 23-277 24-195 25-169 26-159</t>
        </r>
      </text>
    </comment>
    <comment ref="A302" authorId="0" shapeId="0" xr:uid="{00000000-0006-0000-0000-000099000000}">
      <text>
        <r>
          <rPr>
            <sz val="9"/>
            <color indexed="81"/>
            <rFont val="MS P ゴシック"/>
            <family val="3"/>
            <charset val="128"/>
          </rPr>
          <t xml:space="preserve"> 22-2004 23-278 24-196 25-170 26-160</t>
        </r>
      </text>
    </comment>
    <comment ref="A304" authorId="0" shapeId="0" xr:uid="{00000000-0006-0000-0000-00009A000000}">
      <text>
        <r>
          <rPr>
            <sz val="9"/>
            <color indexed="81"/>
            <rFont val="MS P ゴシック"/>
            <family val="3"/>
            <charset val="128"/>
          </rPr>
          <t xml:space="preserve"> 22-2070 23-281 24-198 25-171 26-161</t>
        </r>
      </text>
    </comment>
    <comment ref="A306" authorId="0" shapeId="0" xr:uid="{00000000-0006-0000-0000-00009B000000}">
      <text>
        <r>
          <rPr>
            <sz val="9"/>
            <color indexed="81"/>
            <rFont val="MS P ゴシック"/>
            <family val="3"/>
            <charset val="128"/>
          </rPr>
          <t xml:space="preserve"> 22-2164 23-284 24-200 25-172 26-162</t>
        </r>
      </text>
    </comment>
    <comment ref="A308" authorId="0" shapeId="0" xr:uid="{00000000-0006-0000-0000-00009C000000}">
      <text>
        <r>
          <rPr>
            <sz val="9"/>
            <color indexed="81"/>
            <rFont val="MS P ゴシック"/>
            <family val="3"/>
            <charset val="128"/>
          </rPr>
          <t xml:space="preserve"> 22-2174 23-285 24-201 25-173 26-163</t>
        </r>
      </text>
    </comment>
    <comment ref="A310" authorId="0" shapeId="0" xr:uid="{00000000-0006-0000-0000-00009D000000}">
      <text>
        <r>
          <rPr>
            <sz val="9"/>
            <color indexed="81"/>
            <rFont val="MS P ゴシック"/>
            <family val="3"/>
            <charset val="128"/>
          </rPr>
          <t xml:space="preserve"> 22-2222 23-286 24-202 25-174 26-164</t>
        </r>
      </text>
    </comment>
    <comment ref="A312" authorId="0" shapeId="0" xr:uid="{00000000-0006-0000-0000-00009E000000}">
      <text>
        <r>
          <rPr>
            <sz val="9"/>
            <color indexed="81"/>
            <rFont val="MS P ゴシック"/>
            <family val="3"/>
            <charset val="128"/>
          </rPr>
          <t xml:space="preserve"> 22-2373 23-289 24-203 25-175 26-165</t>
        </r>
      </text>
    </comment>
    <comment ref="A314" authorId="0" shapeId="0" xr:uid="{00000000-0006-0000-0000-00009F000000}">
      <text>
        <r>
          <rPr>
            <sz val="9"/>
            <color indexed="81"/>
            <rFont val="MS P ゴシック"/>
            <family val="3"/>
            <charset val="128"/>
          </rPr>
          <t xml:space="preserve"> 22-2388 23-290 24-204 25-176 26-166</t>
        </r>
      </text>
    </comment>
    <comment ref="A316" authorId="0" shapeId="0" xr:uid="{00000000-0006-0000-0000-0000A0000000}">
      <text>
        <r>
          <rPr>
            <sz val="9"/>
            <color indexed="81"/>
            <rFont val="MS P ゴシック"/>
            <family val="3"/>
            <charset val="128"/>
          </rPr>
          <t xml:space="preserve"> 22-2471 23-292 24-206 25-177 26-167</t>
        </r>
      </text>
    </comment>
    <comment ref="A318" authorId="0" shapeId="0" xr:uid="{00000000-0006-0000-0000-0000A1000000}">
      <text>
        <r>
          <rPr>
            <sz val="9"/>
            <color indexed="81"/>
            <rFont val="MS P ゴシック"/>
            <family val="3"/>
            <charset val="128"/>
          </rPr>
          <t xml:space="preserve"> 22-2919 23-305 24-209 25-180 26-169</t>
        </r>
      </text>
    </comment>
    <comment ref="A320" authorId="0" shapeId="0" xr:uid="{00000000-0006-0000-0000-0000A2000000}">
      <text>
        <r>
          <rPr>
            <sz val="9"/>
            <color indexed="81"/>
            <rFont val="MS P ゴシック"/>
            <family val="3"/>
            <charset val="128"/>
          </rPr>
          <t xml:space="preserve"> 22-2959 23-307 24-210 25-181 26-170</t>
        </r>
      </text>
    </comment>
    <comment ref="A322" authorId="0" shapeId="0" xr:uid="{00000000-0006-0000-0000-0000A3000000}">
      <text>
        <r>
          <rPr>
            <sz val="9"/>
            <color indexed="81"/>
            <rFont val="MS P ゴシック"/>
            <family val="3"/>
            <charset val="128"/>
          </rPr>
          <t xml:space="preserve"> 22-2960 23-308 24-211 25-182 26-171</t>
        </r>
      </text>
    </comment>
    <comment ref="A324" authorId="0" shapeId="0" xr:uid="{00000000-0006-0000-0000-0000A4000000}">
      <text>
        <r>
          <rPr>
            <sz val="9"/>
            <color indexed="81"/>
            <rFont val="MS P ゴシック"/>
            <family val="3"/>
            <charset val="128"/>
          </rPr>
          <t xml:space="preserve"> 22-3102 23-313 24-212 25-183 26-172</t>
        </r>
      </text>
    </comment>
    <comment ref="A326" authorId="0" shapeId="0" xr:uid="{00000000-0006-0000-0000-0000A5000000}">
      <text>
        <r>
          <rPr>
            <sz val="9"/>
            <color indexed="81"/>
            <rFont val="MS P ゴシック"/>
            <family val="3"/>
            <charset val="128"/>
          </rPr>
          <t xml:space="preserve"> 22-3353 23-317 24-215 25-184 26-173</t>
        </r>
      </text>
    </comment>
    <comment ref="A328" authorId="0" shapeId="0" xr:uid="{00000000-0006-0000-0000-0000A6000000}">
      <text>
        <r>
          <rPr>
            <sz val="9"/>
            <color indexed="81"/>
            <rFont val="MS P ゴシック"/>
            <family val="3"/>
            <charset val="128"/>
          </rPr>
          <t xml:space="preserve"> 22-3403 23-320 24-217 25-185 26-174</t>
        </r>
      </text>
    </comment>
    <comment ref="A330" authorId="0" shapeId="0" xr:uid="{00000000-0006-0000-0000-0000A7000000}">
      <text>
        <r>
          <rPr>
            <sz val="9"/>
            <color indexed="81"/>
            <rFont val="MS P ゴシック"/>
            <family val="3"/>
            <charset val="128"/>
          </rPr>
          <t xml:space="preserve"> 22-3480 23-324 24-218 25-186 26-175</t>
        </r>
      </text>
    </comment>
    <comment ref="A332" authorId="0" shapeId="0" xr:uid="{00000000-0006-0000-0000-0000A8000000}">
      <text>
        <r>
          <rPr>
            <sz val="9"/>
            <color indexed="81"/>
            <rFont val="MS P ゴシック"/>
            <family val="3"/>
            <charset val="128"/>
          </rPr>
          <t xml:space="preserve"> 22-3551 23-328 24-219 25-187 26-176</t>
        </r>
      </text>
    </comment>
    <comment ref="A334" authorId="0" shapeId="0" xr:uid="{00000000-0006-0000-0000-0000A9000000}">
      <text>
        <r>
          <rPr>
            <sz val="9"/>
            <color indexed="81"/>
            <rFont val="MS P ゴシック"/>
            <family val="3"/>
            <charset val="128"/>
          </rPr>
          <t xml:space="preserve"> 22-3815 23-342 24-226 25-191 26-178</t>
        </r>
      </text>
    </comment>
    <comment ref="A336" authorId="0" shapeId="0" xr:uid="{00000000-0006-0000-0000-0000AA000000}">
      <text>
        <r>
          <rPr>
            <sz val="9"/>
            <color indexed="81"/>
            <rFont val="MS P ゴシック"/>
            <family val="3"/>
            <charset val="128"/>
          </rPr>
          <t xml:space="preserve"> 22-4042 23-352 24-228 25-193 26-179</t>
        </r>
      </text>
    </comment>
    <comment ref="A338" authorId="0" shapeId="0" xr:uid="{00000000-0006-0000-0000-0000AB000000}">
      <text>
        <r>
          <rPr>
            <sz val="9"/>
            <color indexed="81"/>
            <rFont val="MS P ゴシック"/>
            <family val="3"/>
            <charset val="128"/>
          </rPr>
          <t xml:space="preserve"> 22-4094 23-354 24-229 25-194 26-180</t>
        </r>
      </text>
    </comment>
    <comment ref="A340" authorId="0" shapeId="0" xr:uid="{00000000-0006-0000-0000-0000AC000000}">
      <text>
        <r>
          <rPr>
            <sz val="9"/>
            <color indexed="81"/>
            <rFont val="MS P ゴシック"/>
            <family val="3"/>
            <charset val="128"/>
          </rPr>
          <t xml:space="preserve"> 22-4146 23-357 24-230 25-195 26-181</t>
        </r>
      </text>
    </comment>
    <comment ref="A342" authorId="0" shapeId="0" xr:uid="{00000000-0006-0000-0000-0000AD000000}">
      <text>
        <r>
          <rPr>
            <sz val="9"/>
            <color indexed="81"/>
            <rFont val="MS P ゴシック"/>
            <family val="3"/>
            <charset val="128"/>
          </rPr>
          <t xml:space="preserve"> 22-4243 23-365 24-231 25-196 26-182</t>
        </r>
      </text>
    </comment>
    <comment ref="A344" authorId="0" shapeId="0" xr:uid="{00000000-0006-0000-0000-0000AE000000}">
      <text>
        <r>
          <rPr>
            <sz val="9"/>
            <color indexed="81"/>
            <rFont val="MS P ゴシック"/>
            <family val="3"/>
            <charset val="128"/>
          </rPr>
          <t xml:space="preserve"> 22-4265 23-369 24-232 25-197 26-183</t>
        </r>
      </text>
    </comment>
    <comment ref="A346" authorId="0" shapeId="0" xr:uid="{00000000-0006-0000-0000-0000AF000000}">
      <text>
        <r>
          <rPr>
            <sz val="9"/>
            <color indexed="81"/>
            <rFont val="MS P ゴシック"/>
            <family val="3"/>
            <charset val="128"/>
          </rPr>
          <t xml:space="preserve"> 22-4340 23-374 24-233 25-198 26-184</t>
        </r>
      </text>
    </comment>
    <comment ref="A348" authorId="0" shapeId="0" xr:uid="{00000000-0006-0000-0000-0000B0000000}">
      <text>
        <r>
          <rPr>
            <sz val="9"/>
            <color indexed="81"/>
            <rFont val="MS P ゴシック"/>
            <family val="3"/>
            <charset val="128"/>
          </rPr>
          <t xml:space="preserve"> 22-4439 23-385 24-237 25-200 26-185</t>
        </r>
      </text>
    </comment>
    <comment ref="A350" authorId="0" shapeId="0" xr:uid="{00000000-0006-0000-0000-0000B1000000}">
      <text>
        <r>
          <rPr>
            <sz val="9"/>
            <color indexed="81"/>
            <rFont val="MS P ゴシック"/>
            <family val="3"/>
            <charset val="128"/>
          </rPr>
          <t xml:space="preserve"> 22-4480 23-389 24-238 25-201 26-186</t>
        </r>
      </text>
    </comment>
    <comment ref="A352" authorId="0" shapeId="0" xr:uid="{00000000-0006-0000-0000-0000B2000000}">
      <text>
        <r>
          <rPr>
            <sz val="9"/>
            <color indexed="81"/>
            <rFont val="MS P ゴシック"/>
            <family val="3"/>
            <charset val="128"/>
          </rPr>
          <t xml:space="preserve"> 22-4542 23-395 24-241 25-203 26-187</t>
        </r>
      </text>
    </comment>
    <comment ref="A354" authorId="0" shapeId="0" xr:uid="{00000000-0006-0000-0000-0000B3000000}">
      <text>
        <r>
          <rPr>
            <sz val="9"/>
            <color indexed="81"/>
            <rFont val="MS P ゴシック"/>
            <family val="3"/>
            <charset val="128"/>
          </rPr>
          <t xml:space="preserve"> 22-4618 23-404 24-242 25-204 26-188</t>
        </r>
      </text>
    </comment>
    <comment ref="A356" authorId="0" shapeId="0" xr:uid="{00000000-0006-0000-0000-0000B4000000}">
      <text>
        <r>
          <rPr>
            <sz val="9"/>
            <color indexed="81"/>
            <rFont val="MS P ゴシック"/>
            <family val="3"/>
            <charset val="128"/>
          </rPr>
          <t xml:space="preserve"> 22-4635 23-406 24-243 25-205 26-189</t>
        </r>
      </text>
    </comment>
    <comment ref="A358" authorId="0" shapeId="0" xr:uid="{00000000-0006-0000-0000-0000B5000000}">
      <text>
        <r>
          <rPr>
            <sz val="9"/>
            <color indexed="81"/>
            <rFont val="MS P ゴシック"/>
            <family val="3"/>
            <charset val="128"/>
          </rPr>
          <t xml:space="preserve"> 22-4696 23-409 24-244 25-206 26-190</t>
        </r>
      </text>
    </comment>
    <comment ref="A360" authorId="0" shapeId="0" xr:uid="{00000000-0006-0000-0000-0000B6000000}">
      <text>
        <r>
          <rPr>
            <sz val="9"/>
            <color indexed="81"/>
            <rFont val="MS P ゴシック"/>
            <family val="3"/>
            <charset val="128"/>
          </rPr>
          <t xml:space="preserve"> 22-4702 23-411 24-245 25-207 26-191</t>
        </r>
      </text>
    </comment>
    <comment ref="A362" authorId="0" shapeId="0" xr:uid="{00000000-0006-0000-0000-0000B7000000}">
      <text>
        <r>
          <rPr>
            <sz val="9"/>
            <color indexed="81"/>
            <rFont val="MS P ゴシック"/>
            <family val="3"/>
            <charset val="128"/>
          </rPr>
          <t xml:space="preserve"> 22-4703 23-412 24-246 25-208 26-192</t>
        </r>
      </text>
    </comment>
    <comment ref="A364" authorId="0" shapeId="0" xr:uid="{00000000-0006-0000-0000-0000B8000000}">
      <text>
        <r>
          <rPr>
            <sz val="9"/>
            <color indexed="81"/>
            <rFont val="MS P ゴシック"/>
            <family val="3"/>
            <charset val="128"/>
          </rPr>
          <t xml:space="preserve"> 22-4758 23-415 24-247 25-209 26-193</t>
        </r>
      </text>
    </comment>
    <comment ref="A366" authorId="0" shapeId="0" xr:uid="{00000000-0006-0000-0000-0000B9000000}">
      <text>
        <r>
          <rPr>
            <sz val="9"/>
            <color indexed="81"/>
            <rFont val="MS P ゴシック"/>
            <family val="3"/>
            <charset val="128"/>
          </rPr>
          <t xml:space="preserve"> 22-4762 23-417 24-248 25-210 26-194</t>
        </r>
      </text>
    </comment>
    <comment ref="A368" authorId="0" shapeId="0" xr:uid="{00000000-0006-0000-0000-0000BA000000}">
      <text>
        <r>
          <rPr>
            <sz val="9"/>
            <color indexed="81"/>
            <rFont val="MS P ゴシック"/>
            <family val="3"/>
            <charset val="128"/>
          </rPr>
          <t xml:space="preserve"> 22-4815 23-426 24-249 25-211 26-195</t>
        </r>
      </text>
    </comment>
    <comment ref="A370" authorId="0" shapeId="0" xr:uid="{00000000-0006-0000-0000-0000BB000000}">
      <text>
        <r>
          <rPr>
            <sz val="9"/>
            <color indexed="81"/>
            <rFont val="MS P ゴシック"/>
            <family val="3"/>
            <charset val="128"/>
          </rPr>
          <t xml:space="preserve"> 22-4880 23-436 24-251 25-212 26-196</t>
        </r>
      </text>
    </comment>
    <comment ref="A372" authorId="0" shapeId="0" xr:uid="{00000000-0006-0000-0000-0000BC000000}">
      <text>
        <r>
          <rPr>
            <sz val="9"/>
            <color indexed="81"/>
            <rFont val="MS P ゴシック"/>
            <family val="3"/>
            <charset val="128"/>
          </rPr>
          <t xml:space="preserve"> 22-4886 23-437 24-252 25-213 26-197</t>
        </r>
      </text>
    </comment>
    <comment ref="A374" authorId="0" shapeId="0" xr:uid="{00000000-0006-0000-0000-0000BD000000}">
      <text>
        <r>
          <rPr>
            <sz val="9"/>
            <color indexed="81"/>
            <rFont val="MS P ゴシック"/>
            <family val="3"/>
            <charset val="128"/>
          </rPr>
          <t xml:space="preserve"> 22-4909 23-441 24-253 25-214 26-198</t>
        </r>
      </text>
    </comment>
    <comment ref="A376" authorId="0" shapeId="0" xr:uid="{00000000-0006-0000-0000-0000BE000000}">
      <text>
        <r>
          <rPr>
            <sz val="9"/>
            <color indexed="81"/>
            <rFont val="MS P ゴシック"/>
            <family val="3"/>
            <charset val="128"/>
          </rPr>
          <t xml:space="preserve"> 22-4912 23-443 24-254 25-215 26-199</t>
        </r>
      </text>
    </comment>
    <comment ref="A378" authorId="0" shapeId="0" xr:uid="{00000000-0006-0000-0000-0000BF000000}">
      <text>
        <r>
          <rPr>
            <sz val="9"/>
            <color indexed="81"/>
            <rFont val="MS P ゴシック"/>
            <family val="3"/>
            <charset val="128"/>
          </rPr>
          <t xml:space="preserve"> 22-5063 23-479 24-257 25-217 26-201</t>
        </r>
      </text>
    </comment>
    <comment ref="A380" authorId="0" shapeId="0" xr:uid="{00000000-0006-0000-0000-0000C0000000}">
      <text>
        <r>
          <rPr>
            <sz val="9"/>
            <color indexed="81"/>
            <rFont val="MS P ゴシック"/>
            <family val="3"/>
            <charset val="128"/>
          </rPr>
          <t xml:space="preserve"> 22-5082 23-485 24-258 25-218 26-202</t>
        </r>
      </text>
    </comment>
    <comment ref="A382" authorId="0" shapeId="0" xr:uid="{00000000-0006-0000-0000-0000C1000000}">
      <text>
        <r>
          <rPr>
            <sz val="9"/>
            <color indexed="81"/>
            <rFont val="MS P ゴシック"/>
            <family val="3"/>
            <charset val="128"/>
          </rPr>
          <t xml:space="preserve"> 22-5185 23-535 24-260 25-219 26-203</t>
        </r>
      </text>
    </comment>
    <comment ref="A384" authorId="0" shapeId="0" xr:uid="{00000000-0006-0000-0000-0000C2000000}">
      <text>
        <r>
          <rPr>
            <sz val="9"/>
            <color indexed="81"/>
            <rFont val="MS P ゴシック"/>
            <family val="3"/>
            <charset val="128"/>
          </rPr>
          <t xml:space="preserve"> 22-5186 23-536 24-261 25-220 26-204</t>
        </r>
      </text>
    </comment>
    <comment ref="A386" authorId="0" shapeId="0" xr:uid="{00000000-0006-0000-0000-0000C3000000}">
      <text>
        <r>
          <rPr>
            <sz val="9"/>
            <color indexed="81"/>
            <rFont val="MS P ゴシック"/>
            <family val="3"/>
            <charset val="128"/>
          </rPr>
          <t xml:space="preserve"> 22-5195 23-545 24-262 25-221 26-205</t>
        </r>
      </text>
    </comment>
    <comment ref="A388" authorId="0" shapeId="0" xr:uid="{00000000-0006-0000-0000-0000C4000000}">
      <text>
        <r>
          <rPr>
            <sz val="9"/>
            <color indexed="81"/>
            <rFont val="MS P ゴシック"/>
            <family val="3"/>
            <charset val="128"/>
          </rPr>
          <t xml:space="preserve"> 22-5217 23-565 24-264 25-222 26-206</t>
        </r>
      </text>
    </comment>
    <comment ref="A390" authorId="0" shapeId="0" xr:uid="{00000000-0006-0000-0000-0000C5000000}">
      <text>
        <r>
          <rPr>
            <sz val="9"/>
            <color indexed="81"/>
            <rFont val="MS P ゴシック"/>
            <family val="3"/>
            <charset val="128"/>
          </rPr>
          <t xml:space="preserve"> 22-5313 23-652 24-269 25-223 26-207</t>
        </r>
      </text>
    </comment>
    <comment ref="A392" authorId="0" shapeId="0" xr:uid="{00000000-0006-0000-0000-0000C6000000}">
      <text>
        <r>
          <rPr>
            <sz val="9"/>
            <color indexed="81"/>
            <rFont val="MS P ゴシック"/>
            <family val="3"/>
            <charset val="128"/>
          </rPr>
          <t xml:space="preserve"> 23-754 24-273 25-226 26-209</t>
        </r>
      </text>
    </comment>
    <comment ref="A394" authorId="0" shapeId="0" xr:uid="{00000000-0006-0000-0000-0000C7000000}">
      <text>
        <r>
          <rPr>
            <sz val="9"/>
            <color indexed="81"/>
            <rFont val="MS P ゴシック"/>
            <family val="3"/>
            <charset val="128"/>
          </rPr>
          <t xml:space="preserve"> 23-807 24-274 25-227 26-210</t>
        </r>
      </text>
    </comment>
    <comment ref="A396" authorId="0" shapeId="0" xr:uid="{00000000-0006-0000-0000-0000C8000000}">
      <text>
        <r>
          <rPr>
            <sz val="9"/>
            <color indexed="81"/>
            <rFont val="MS P ゴシック"/>
            <family val="3"/>
            <charset val="128"/>
          </rPr>
          <t xml:space="preserve"> 23-835 24-276 25-228 26-211</t>
        </r>
      </text>
    </comment>
    <comment ref="A398" authorId="0" shapeId="0" xr:uid="{00000000-0006-0000-0000-0000C9000000}">
      <text>
        <r>
          <rPr>
            <sz val="9"/>
            <color indexed="81"/>
            <rFont val="MS P ゴシック"/>
            <family val="3"/>
            <charset val="128"/>
          </rPr>
          <t xml:space="preserve"> 23-857 24-277 25-229 26-212</t>
        </r>
      </text>
    </comment>
    <comment ref="A400" authorId="0" shapeId="0" xr:uid="{00000000-0006-0000-0000-0000CA000000}">
      <text>
        <r>
          <rPr>
            <sz val="9"/>
            <color indexed="81"/>
            <rFont val="MS P ゴシック"/>
            <family val="3"/>
            <charset val="128"/>
          </rPr>
          <t xml:space="preserve"> 23-858 24-278 25-230 26-213</t>
        </r>
      </text>
    </comment>
    <comment ref="A402" authorId="0" shapeId="0" xr:uid="{00000000-0006-0000-0000-0000CB000000}">
      <text>
        <r>
          <rPr>
            <sz val="9"/>
            <color indexed="81"/>
            <rFont val="MS P ゴシック"/>
            <family val="3"/>
            <charset val="128"/>
          </rPr>
          <t xml:space="preserve"> 23-885 24-279 25-231 26-214</t>
        </r>
      </text>
    </comment>
    <comment ref="A404" authorId="0" shapeId="0" xr:uid="{00000000-0006-0000-0000-0000CC000000}">
      <text>
        <r>
          <rPr>
            <sz val="9"/>
            <color indexed="81"/>
            <rFont val="MS P ゴシック"/>
            <family val="3"/>
            <charset val="128"/>
          </rPr>
          <t xml:space="preserve"> 23-899 24-280 25-232 26-215</t>
        </r>
      </text>
    </comment>
    <comment ref="A406" authorId="0" shapeId="0" xr:uid="{00000000-0006-0000-0000-0000CD000000}">
      <text>
        <r>
          <rPr>
            <sz val="9"/>
            <color indexed="81"/>
            <rFont val="MS P ゴシック"/>
            <family val="3"/>
            <charset val="128"/>
          </rPr>
          <t xml:space="preserve"> 23-979 24-281 25-233 26-216</t>
        </r>
      </text>
    </comment>
    <comment ref="A408" authorId="0" shapeId="0" xr:uid="{00000000-0006-0000-0000-0000CE000000}">
      <text>
        <r>
          <rPr>
            <sz val="9"/>
            <color indexed="81"/>
            <rFont val="MS P ゴシック"/>
            <family val="3"/>
            <charset val="128"/>
          </rPr>
          <t xml:space="preserve"> 23-1031 24-282 25-234 26-217</t>
        </r>
      </text>
    </comment>
    <comment ref="A410" authorId="0" shapeId="0" xr:uid="{00000000-0006-0000-0000-0000CF000000}">
      <text>
        <r>
          <rPr>
            <sz val="9"/>
            <color indexed="81"/>
            <rFont val="MS P ゴシック"/>
            <family val="3"/>
            <charset val="128"/>
          </rPr>
          <t xml:space="preserve"> 23-1079 24-284 25-235 26-218</t>
        </r>
      </text>
    </comment>
    <comment ref="A412" authorId="0" shapeId="0" xr:uid="{00000000-0006-0000-0000-0000D0000000}">
      <text>
        <r>
          <rPr>
            <sz val="9"/>
            <color indexed="81"/>
            <rFont val="MS P ゴシック"/>
            <family val="3"/>
            <charset val="128"/>
          </rPr>
          <t xml:space="preserve"> 23-1150 24-287 25-236 26-219</t>
        </r>
      </text>
    </comment>
    <comment ref="A414" authorId="0" shapeId="0" xr:uid="{00000000-0006-0000-0000-0000D1000000}">
      <text>
        <r>
          <rPr>
            <sz val="9"/>
            <color indexed="81"/>
            <rFont val="MS P ゴシック"/>
            <family val="3"/>
            <charset val="128"/>
          </rPr>
          <t xml:space="preserve"> 23-1165 24-288 25-237 26-220</t>
        </r>
      </text>
    </comment>
    <comment ref="A416" authorId="0" shapeId="0" xr:uid="{00000000-0006-0000-0000-0000D2000000}">
      <text>
        <r>
          <rPr>
            <sz val="9"/>
            <color indexed="81"/>
            <rFont val="MS P ゴシック"/>
            <family val="3"/>
            <charset val="128"/>
          </rPr>
          <t xml:space="preserve"> 23-1177 24-290 25-238 26-221</t>
        </r>
      </text>
    </comment>
    <comment ref="A418" authorId="0" shapeId="0" xr:uid="{00000000-0006-0000-0000-0000D3000000}">
      <text>
        <r>
          <rPr>
            <sz val="9"/>
            <color indexed="81"/>
            <rFont val="MS P ゴシック"/>
            <family val="3"/>
            <charset val="128"/>
          </rPr>
          <t xml:space="preserve"> 23-1230 24-293 25-239 26-222</t>
        </r>
      </text>
    </comment>
    <comment ref="A420" authorId="0" shapeId="0" xr:uid="{00000000-0006-0000-0000-0000D4000000}">
      <text>
        <r>
          <rPr>
            <sz val="9"/>
            <color indexed="81"/>
            <rFont val="MS P ゴシック"/>
            <family val="3"/>
            <charset val="128"/>
          </rPr>
          <t xml:space="preserve"> 23-1282 24-295 25-240 26-223</t>
        </r>
      </text>
    </comment>
    <comment ref="A422" authorId="0" shapeId="0" xr:uid="{00000000-0006-0000-0000-0000D5000000}">
      <text>
        <r>
          <rPr>
            <sz val="9"/>
            <color indexed="81"/>
            <rFont val="MS P ゴシック"/>
            <family val="3"/>
            <charset val="128"/>
          </rPr>
          <t xml:space="preserve"> 23-1337 24-298 25-242 26-225</t>
        </r>
      </text>
    </comment>
    <comment ref="A424" authorId="0" shapeId="0" xr:uid="{00000000-0006-0000-0000-0000D6000000}">
      <text>
        <r>
          <rPr>
            <sz val="9"/>
            <color indexed="81"/>
            <rFont val="MS P ゴシック"/>
            <family val="3"/>
            <charset val="128"/>
          </rPr>
          <t xml:space="preserve"> 23-1366 24-299 25-243 26-226</t>
        </r>
      </text>
    </comment>
    <comment ref="A426" authorId="0" shapeId="0" xr:uid="{00000000-0006-0000-0000-0000D7000000}">
      <text>
        <r>
          <rPr>
            <sz val="9"/>
            <color indexed="81"/>
            <rFont val="MS P ゴシック"/>
            <family val="3"/>
            <charset val="128"/>
          </rPr>
          <t xml:space="preserve"> 23-1368 24-300 25-244 26-227</t>
        </r>
      </text>
    </comment>
    <comment ref="A428" authorId="0" shapeId="0" xr:uid="{00000000-0006-0000-0000-0000D8000000}">
      <text>
        <r>
          <rPr>
            <sz val="9"/>
            <color indexed="81"/>
            <rFont val="MS P ゴシック"/>
            <family val="3"/>
            <charset val="128"/>
          </rPr>
          <t xml:space="preserve"> 23-1414 24-301 25-245 26-228</t>
        </r>
      </text>
    </comment>
    <comment ref="A430" authorId="0" shapeId="0" xr:uid="{00000000-0006-0000-0000-0000D9000000}">
      <text>
        <r>
          <rPr>
            <sz val="9"/>
            <color indexed="81"/>
            <rFont val="MS P ゴシック"/>
            <family val="3"/>
            <charset val="128"/>
          </rPr>
          <t xml:space="preserve"> 23-1441 24-303 25-246 26-229</t>
        </r>
      </text>
    </comment>
    <comment ref="A432" authorId="0" shapeId="0" xr:uid="{00000000-0006-0000-0000-0000DA000000}">
      <text>
        <r>
          <rPr>
            <sz val="9"/>
            <color indexed="81"/>
            <rFont val="MS P ゴシック"/>
            <family val="3"/>
            <charset val="128"/>
          </rPr>
          <t xml:space="preserve"> 23-1451 24-305 25-247 26-230</t>
        </r>
      </text>
    </comment>
    <comment ref="A434" authorId="0" shapeId="0" xr:uid="{00000000-0006-0000-0000-0000DB000000}">
      <text>
        <r>
          <rPr>
            <sz val="9"/>
            <color indexed="81"/>
            <rFont val="MS P ゴシック"/>
            <family val="3"/>
            <charset val="128"/>
          </rPr>
          <t xml:space="preserve"> 23-1452 24-306 25-248 26-231</t>
        </r>
      </text>
    </comment>
    <comment ref="A436" authorId="0" shapeId="0" xr:uid="{00000000-0006-0000-0000-0000DC000000}">
      <text>
        <r>
          <rPr>
            <sz val="9"/>
            <color indexed="81"/>
            <rFont val="MS P ゴシック"/>
            <family val="3"/>
            <charset val="128"/>
          </rPr>
          <t xml:space="preserve"> 23-1488 24-308 25-249 26-232</t>
        </r>
      </text>
    </comment>
    <comment ref="A438" authorId="0" shapeId="0" xr:uid="{00000000-0006-0000-0000-0000DD000000}">
      <text>
        <r>
          <rPr>
            <sz val="9"/>
            <color indexed="81"/>
            <rFont val="MS P ゴシック"/>
            <family val="3"/>
            <charset val="128"/>
          </rPr>
          <t xml:space="preserve"> 23-1604 24-313 25-252 26-233</t>
        </r>
      </text>
    </comment>
    <comment ref="A440" authorId="0" shapeId="0" xr:uid="{00000000-0006-0000-0000-0000DE000000}">
      <text>
        <r>
          <rPr>
            <sz val="9"/>
            <color indexed="81"/>
            <rFont val="MS P ゴシック"/>
            <family val="3"/>
            <charset val="128"/>
          </rPr>
          <t xml:space="preserve"> 23-1644 24-316 25-254 26-234</t>
        </r>
      </text>
    </comment>
    <comment ref="A442" authorId="0" shapeId="0" xr:uid="{00000000-0006-0000-0000-0000DF000000}">
      <text>
        <r>
          <rPr>
            <sz val="9"/>
            <color indexed="81"/>
            <rFont val="MS P ゴシック"/>
            <family val="3"/>
            <charset val="128"/>
          </rPr>
          <t xml:space="preserve"> 23-1651 24-317 25-255 26-235</t>
        </r>
      </text>
    </comment>
    <comment ref="A444" authorId="0" shapeId="0" xr:uid="{00000000-0006-0000-0000-0000E0000000}">
      <text>
        <r>
          <rPr>
            <sz val="9"/>
            <color indexed="81"/>
            <rFont val="MS P ゴシック"/>
            <family val="3"/>
            <charset val="128"/>
          </rPr>
          <t xml:space="preserve"> 23-1738 24-322 25-257 26-237</t>
        </r>
      </text>
    </comment>
    <comment ref="A446" authorId="0" shapeId="0" xr:uid="{00000000-0006-0000-0000-0000E1000000}">
      <text>
        <r>
          <rPr>
            <sz val="9"/>
            <color indexed="81"/>
            <rFont val="MS P ゴシック"/>
            <family val="3"/>
            <charset val="128"/>
          </rPr>
          <t xml:space="preserve"> 23-1823 24-325 25-260 26-239</t>
        </r>
      </text>
    </comment>
    <comment ref="A448" authorId="0" shapeId="0" xr:uid="{00000000-0006-0000-0000-0000E2000000}">
      <text>
        <r>
          <rPr>
            <sz val="9"/>
            <color indexed="81"/>
            <rFont val="MS P ゴシック"/>
            <family val="3"/>
            <charset val="128"/>
          </rPr>
          <t xml:space="preserve"> 23-1839 24-326 25-261 26-240</t>
        </r>
      </text>
    </comment>
    <comment ref="A450" authorId="0" shapeId="0" xr:uid="{00000000-0006-0000-0000-0000E3000000}">
      <text>
        <r>
          <rPr>
            <sz val="9"/>
            <color indexed="81"/>
            <rFont val="MS P ゴシック"/>
            <family val="3"/>
            <charset val="128"/>
          </rPr>
          <t xml:space="preserve"> 23-1888 24-330 25-263 26-241</t>
        </r>
      </text>
    </comment>
    <comment ref="A452" authorId="0" shapeId="0" xr:uid="{00000000-0006-0000-0000-0000E4000000}">
      <text>
        <r>
          <rPr>
            <sz val="9"/>
            <color indexed="81"/>
            <rFont val="MS P ゴシック"/>
            <family val="3"/>
            <charset val="128"/>
          </rPr>
          <t xml:space="preserve"> 23-1918 24-334 25-266 26-243</t>
        </r>
      </text>
    </comment>
    <comment ref="A454" authorId="0" shapeId="0" xr:uid="{00000000-0006-0000-0000-0000E5000000}">
      <text>
        <r>
          <rPr>
            <sz val="9"/>
            <color indexed="81"/>
            <rFont val="MS P ゴシック"/>
            <family val="3"/>
            <charset val="128"/>
          </rPr>
          <t xml:space="preserve"> 23-1921 24-335 25-267 26-244</t>
        </r>
      </text>
    </comment>
    <comment ref="A456" authorId="0" shapeId="0" xr:uid="{00000000-0006-0000-0000-0000E6000000}">
      <text>
        <r>
          <rPr>
            <sz val="9"/>
            <color indexed="81"/>
            <rFont val="MS P ゴシック"/>
            <family val="3"/>
            <charset val="128"/>
          </rPr>
          <t xml:space="preserve"> 23-2019 24-338 25-268 26-245</t>
        </r>
      </text>
    </comment>
    <comment ref="A458" authorId="0" shapeId="0" xr:uid="{00000000-0006-0000-0000-0000E7000000}">
      <text>
        <r>
          <rPr>
            <sz val="9"/>
            <color indexed="81"/>
            <rFont val="MS P ゴシック"/>
            <family val="3"/>
            <charset val="128"/>
          </rPr>
          <t xml:space="preserve"> 23-2024 24-340 25-269 26-246</t>
        </r>
      </text>
    </comment>
    <comment ref="A460" authorId="0" shapeId="0" xr:uid="{00000000-0006-0000-0000-0000E8000000}">
      <text>
        <r>
          <rPr>
            <sz val="9"/>
            <color indexed="81"/>
            <rFont val="MS P ゴシック"/>
            <family val="3"/>
            <charset val="128"/>
          </rPr>
          <t xml:space="preserve"> 23-2079 24-342 25-270 26-247</t>
        </r>
      </text>
    </comment>
    <comment ref="A462" authorId="0" shapeId="0" xr:uid="{00000000-0006-0000-0000-0000E9000000}">
      <text>
        <r>
          <rPr>
            <sz val="9"/>
            <color indexed="81"/>
            <rFont val="MS P ゴシック"/>
            <family val="3"/>
            <charset val="128"/>
          </rPr>
          <t xml:space="preserve"> 23-2325 24-347 25-271 26-248</t>
        </r>
      </text>
    </comment>
    <comment ref="A464" authorId="0" shapeId="0" xr:uid="{00000000-0006-0000-0000-0000EA000000}">
      <text>
        <r>
          <rPr>
            <sz val="9"/>
            <color indexed="81"/>
            <rFont val="MS P ゴシック"/>
            <family val="3"/>
            <charset val="128"/>
          </rPr>
          <t xml:space="preserve"> 23-2367 24-348 25-272 26-249</t>
        </r>
      </text>
    </comment>
    <comment ref="A466" authorId="0" shapeId="0" xr:uid="{00000000-0006-0000-0000-0000EB000000}">
      <text>
        <r>
          <rPr>
            <sz val="9"/>
            <color indexed="81"/>
            <rFont val="MS P ゴシック"/>
            <family val="3"/>
            <charset val="128"/>
          </rPr>
          <t xml:space="preserve"> 23-2410 24-350 25-273 26-250</t>
        </r>
      </text>
    </comment>
    <comment ref="A468" authorId="0" shapeId="0" xr:uid="{00000000-0006-0000-0000-0000EC000000}">
      <text>
        <r>
          <rPr>
            <sz val="9"/>
            <color indexed="81"/>
            <rFont val="MS P ゴシック"/>
            <family val="3"/>
            <charset val="128"/>
          </rPr>
          <t xml:space="preserve"> 23-2446 24-351 25-274 26-251</t>
        </r>
      </text>
    </comment>
    <comment ref="A470" authorId="0" shapeId="0" xr:uid="{00000000-0006-0000-0000-0000ED000000}">
      <text>
        <r>
          <rPr>
            <sz val="9"/>
            <color indexed="81"/>
            <rFont val="MS P ゴシック"/>
            <family val="3"/>
            <charset val="128"/>
          </rPr>
          <t xml:space="preserve"> 23-2491 24-353 25-275 26-252</t>
        </r>
      </text>
    </comment>
    <comment ref="A472" authorId="0" shapeId="0" xr:uid="{00000000-0006-0000-0000-0000EE000000}">
      <text>
        <r>
          <rPr>
            <sz val="9"/>
            <color indexed="81"/>
            <rFont val="MS P ゴシック"/>
            <family val="3"/>
            <charset val="128"/>
          </rPr>
          <t xml:space="preserve"> 23-2524 24-354 25-276 26-253</t>
        </r>
      </text>
    </comment>
    <comment ref="A474" authorId="0" shapeId="0" xr:uid="{00000000-0006-0000-0000-0000EF000000}">
      <text>
        <r>
          <rPr>
            <sz val="9"/>
            <color indexed="81"/>
            <rFont val="MS P ゴシック"/>
            <family val="3"/>
            <charset val="128"/>
          </rPr>
          <t xml:space="preserve"> 23-2655 24-360 25-277 26-254</t>
        </r>
      </text>
    </comment>
    <comment ref="A476" authorId="0" shapeId="0" xr:uid="{00000000-0006-0000-0000-0000F0000000}">
      <text>
        <r>
          <rPr>
            <sz val="9"/>
            <color indexed="81"/>
            <rFont val="MS P ゴシック"/>
            <family val="3"/>
            <charset val="128"/>
          </rPr>
          <t xml:space="preserve"> 23-2681 24-361 25-278 26-255</t>
        </r>
      </text>
    </comment>
    <comment ref="A478" authorId="0" shapeId="0" xr:uid="{00000000-0006-0000-0000-0000F1000000}">
      <text>
        <r>
          <rPr>
            <sz val="9"/>
            <color indexed="81"/>
            <rFont val="MS P ゴシック"/>
            <family val="3"/>
            <charset val="128"/>
          </rPr>
          <t xml:space="preserve"> 23-2765 24-363 25-279 26-256</t>
        </r>
      </text>
    </comment>
    <comment ref="A480" authorId="0" shapeId="0" xr:uid="{00000000-0006-0000-0000-0000F2000000}">
      <text>
        <r>
          <rPr>
            <sz val="9"/>
            <color indexed="81"/>
            <rFont val="MS P ゴシック"/>
            <family val="3"/>
            <charset val="128"/>
          </rPr>
          <t xml:space="preserve"> 23-2812 24-364 25-280 26-257</t>
        </r>
      </text>
    </comment>
    <comment ref="A482" authorId="0" shapeId="0" xr:uid="{00000000-0006-0000-0000-0000F3000000}">
      <text>
        <r>
          <rPr>
            <sz val="9"/>
            <color indexed="81"/>
            <rFont val="MS P ゴシック"/>
            <family val="3"/>
            <charset val="128"/>
          </rPr>
          <t xml:space="preserve"> 23-2855 24-367 25-281 26-258</t>
        </r>
      </text>
    </comment>
    <comment ref="A484" authorId="0" shapeId="0" xr:uid="{00000000-0006-0000-0000-0000F4000000}">
      <text>
        <r>
          <rPr>
            <sz val="9"/>
            <color indexed="81"/>
            <rFont val="MS P ゴシック"/>
            <family val="3"/>
            <charset val="128"/>
          </rPr>
          <t xml:space="preserve"> 23-2885 24-370 25-282 26-259</t>
        </r>
      </text>
    </comment>
    <comment ref="A486" authorId="0" shapeId="0" xr:uid="{00000000-0006-0000-0000-0000F5000000}">
      <text>
        <r>
          <rPr>
            <sz val="9"/>
            <color indexed="81"/>
            <rFont val="MS P ゴシック"/>
            <family val="3"/>
            <charset val="128"/>
          </rPr>
          <t xml:space="preserve"> 23-2984 24-377 25-285 26-260</t>
        </r>
      </text>
    </comment>
    <comment ref="A488" authorId="0" shapeId="0" xr:uid="{00000000-0006-0000-0000-0000F6000000}">
      <text>
        <r>
          <rPr>
            <sz val="9"/>
            <color indexed="81"/>
            <rFont val="MS P ゴシック"/>
            <family val="3"/>
            <charset val="128"/>
          </rPr>
          <t xml:space="preserve"> 23-3011 24-378 25-286 26-261</t>
        </r>
      </text>
    </comment>
    <comment ref="A490" authorId="0" shapeId="0" xr:uid="{00000000-0006-0000-0000-0000F7000000}">
      <text>
        <r>
          <rPr>
            <sz val="9"/>
            <color indexed="81"/>
            <rFont val="MS P ゴシック"/>
            <family val="3"/>
            <charset val="128"/>
          </rPr>
          <t xml:space="preserve"> 23-3040 24-379 25-287 26-262</t>
        </r>
      </text>
    </comment>
    <comment ref="A492" authorId="0" shapeId="0" xr:uid="{00000000-0006-0000-0000-0000F8000000}">
      <text>
        <r>
          <rPr>
            <sz val="9"/>
            <color indexed="81"/>
            <rFont val="MS P ゴシック"/>
            <family val="3"/>
            <charset val="128"/>
          </rPr>
          <t xml:space="preserve"> 23-3095 24-380 25-288 26-263</t>
        </r>
      </text>
    </comment>
    <comment ref="A494" authorId="0" shapeId="0" xr:uid="{00000000-0006-0000-0000-0000F9000000}">
      <text>
        <r>
          <rPr>
            <sz val="9"/>
            <color indexed="81"/>
            <rFont val="MS P ゴシック"/>
            <family val="3"/>
            <charset val="128"/>
          </rPr>
          <t xml:space="preserve"> 23-3096 24-381 25-289 26-264</t>
        </r>
      </text>
    </comment>
    <comment ref="A496" authorId="0" shapeId="0" xr:uid="{00000000-0006-0000-0000-0000FA000000}">
      <text>
        <r>
          <rPr>
            <sz val="9"/>
            <color indexed="81"/>
            <rFont val="MS P ゴシック"/>
            <family val="3"/>
            <charset val="128"/>
          </rPr>
          <t xml:space="preserve"> 23-3150 24-384 25-291 26-265</t>
        </r>
      </text>
    </comment>
    <comment ref="A498" authorId="0" shapeId="0" xr:uid="{00000000-0006-0000-0000-0000FB000000}">
      <text>
        <r>
          <rPr>
            <sz val="9"/>
            <color indexed="81"/>
            <rFont val="MS P ゴシック"/>
            <family val="3"/>
            <charset val="128"/>
          </rPr>
          <t xml:space="preserve"> 23-3355 24-389 25-293 26-267</t>
        </r>
      </text>
    </comment>
    <comment ref="A500" authorId="0" shapeId="0" xr:uid="{00000000-0006-0000-0000-0000FC000000}">
      <text>
        <r>
          <rPr>
            <sz val="9"/>
            <color indexed="81"/>
            <rFont val="MS P ゴシック"/>
            <family val="3"/>
            <charset val="128"/>
          </rPr>
          <t xml:space="preserve"> 23-3463 24-394 25-294 26-268</t>
        </r>
      </text>
    </comment>
    <comment ref="A502" authorId="0" shapeId="0" xr:uid="{00000000-0006-0000-0000-0000FD000000}">
      <text>
        <r>
          <rPr>
            <sz val="9"/>
            <color indexed="81"/>
            <rFont val="MS P ゴシック"/>
            <family val="3"/>
            <charset val="128"/>
          </rPr>
          <t xml:space="preserve"> 23-3601 24-400 25-295 26-269</t>
        </r>
      </text>
    </comment>
    <comment ref="A504" authorId="0" shapeId="0" xr:uid="{00000000-0006-0000-0000-0000FE000000}">
      <text>
        <r>
          <rPr>
            <sz val="9"/>
            <color indexed="81"/>
            <rFont val="MS P ゴシック"/>
            <family val="3"/>
            <charset val="128"/>
          </rPr>
          <t xml:space="preserve"> 23-3654 24-405 25-297 26-270</t>
        </r>
      </text>
    </comment>
    <comment ref="A506" authorId="0" shapeId="0" xr:uid="{00000000-0006-0000-0000-0000FF000000}">
      <text>
        <r>
          <rPr>
            <sz val="9"/>
            <color indexed="81"/>
            <rFont val="MS P ゴシック"/>
            <family val="3"/>
            <charset val="128"/>
          </rPr>
          <t xml:space="preserve"> 23-3657 24-406 25-298 26-271</t>
        </r>
      </text>
    </comment>
    <comment ref="A508" authorId="0" shapeId="0" xr:uid="{00000000-0006-0000-0000-000000010000}">
      <text>
        <r>
          <rPr>
            <sz val="9"/>
            <color indexed="81"/>
            <rFont val="MS P ゴシック"/>
            <family val="3"/>
            <charset val="128"/>
          </rPr>
          <t xml:space="preserve"> 23-3670 24-407 25-299 26-272</t>
        </r>
      </text>
    </comment>
    <comment ref="A510" authorId="0" shapeId="0" xr:uid="{00000000-0006-0000-0000-000001010000}">
      <text>
        <r>
          <rPr>
            <sz val="9"/>
            <color indexed="81"/>
            <rFont val="MS P ゴシック"/>
            <family val="3"/>
            <charset val="128"/>
          </rPr>
          <t xml:space="preserve"> 23-3883 24-447 25-306 26-273</t>
        </r>
      </text>
    </comment>
    <comment ref="A512" authorId="0" shapeId="0" xr:uid="{00000000-0006-0000-0000-000002010000}">
      <text>
        <r>
          <rPr>
            <sz val="9"/>
            <color indexed="81"/>
            <rFont val="MS P ゴシック"/>
            <family val="3"/>
            <charset val="128"/>
          </rPr>
          <t xml:space="preserve"> 23-3895 24-452 25-308 26-274</t>
        </r>
      </text>
    </comment>
    <comment ref="A514" authorId="0" shapeId="0" xr:uid="{00000000-0006-0000-0000-000003010000}">
      <text>
        <r>
          <rPr>
            <sz val="9"/>
            <color indexed="81"/>
            <rFont val="MS P ゴシック"/>
            <family val="3"/>
            <charset val="128"/>
          </rPr>
          <t xml:space="preserve"> 23-3974 24-472 25-310 26-275</t>
        </r>
      </text>
    </comment>
    <comment ref="A516" authorId="0" shapeId="0" xr:uid="{00000000-0006-0000-0000-000004010000}">
      <text>
        <r>
          <rPr>
            <sz val="9"/>
            <color indexed="81"/>
            <rFont val="MS P ゴシック"/>
            <family val="3"/>
            <charset val="128"/>
          </rPr>
          <t xml:space="preserve"> 23-4042 24-494 25-312 26-277</t>
        </r>
      </text>
    </comment>
    <comment ref="A518" authorId="0" shapeId="0" xr:uid="{00000000-0006-0000-0000-000005010000}">
      <text>
        <r>
          <rPr>
            <sz val="9"/>
            <color indexed="81"/>
            <rFont val="MS P ゴシック"/>
            <family val="3"/>
            <charset val="128"/>
          </rPr>
          <t xml:space="preserve"> 23-4107 24-525 25-317 26-281</t>
        </r>
      </text>
    </comment>
    <comment ref="A520" authorId="0" shapeId="0" xr:uid="{00000000-0006-0000-0000-000006010000}">
      <text>
        <r>
          <rPr>
            <sz val="9"/>
            <color indexed="81"/>
            <rFont val="MS P ゴシック"/>
            <family val="3"/>
            <charset val="128"/>
          </rPr>
          <t xml:space="preserve"> 23-4130 24-541 25-319 26-282</t>
        </r>
      </text>
    </comment>
    <comment ref="A522" authorId="0" shapeId="0" xr:uid="{00000000-0006-0000-0000-000007010000}">
      <text>
        <r>
          <rPr>
            <sz val="9"/>
            <color indexed="81"/>
            <rFont val="MS P ゴシック"/>
            <family val="3"/>
            <charset val="128"/>
          </rPr>
          <t xml:space="preserve"> 23-4158 24-557 25-321 26-283</t>
        </r>
      </text>
    </comment>
    <comment ref="A524" authorId="0" shapeId="0" xr:uid="{00000000-0006-0000-0000-000008010000}">
      <text>
        <r>
          <rPr>
            <sz val="9"/>
            <color indexed="81"/>
            <rFont val="MS P ゴシック"/>
            <family val="3"/>
            <charset val="128"/>
          </rPr>
          <t xml:space="preserve"> 23-4203 24-593 25-325 26-284</t>
        </r>
      </text>
    </comment>
    <comment ref="A526" authorId="0" shapeId="0" xr:uid="{00000000-0006-0000-0000-000009010000}">
      <text>
        <r>
          <rPr>
            <sz val="9"/>
            <color indexed="81"/>
            <rFont val="MS P ゴシック"/>
            <family val="3"/>
            <charset val="128"/>
          </rPr>
          <t xml:space="preserve"> 23-4229 24-616 25-326 26-285</t>
        </r>
      </text>
    </comment>
    <comment ref="A528" authorId="0" shapeId="0" xr:uid="{00000000-0006-0000-0000-00000A010000}">
      <text>
        <r>
          <rPr>
            <sz val="9"/>
            <color indexed="81"/>
            <rFont val="MS P ゴシック"/>
            <family val="3"/>
            <charset val="128"/>
          </rPr>
          <t xml:space="preserve"> 23-4301 24-684 25-332 26-286</t>
        </r>
      </text>
    </comment>
    <comment ref="A530" authorId="0" shapeId="0" xr:uid="{00000000-0006-0000-0000-00000B010000}">
      <text>
        <r>
          <rPr>
            <sz val="9"/>
            <color indexed="81"/>
            <rFont val="MS P ゴシック"/>
            <family val="3"/>
            <charset val="128"/>
          </rPr>
          <t xml:space="preserve"> 23-4327 24-710 25-333 26-287</t>
        </r>
      </text>
    </comment>
    <comment ref="A532" authorId="0" shapeId="0" xr:uid="{00000000-0006-0000-0000-00000C010000}">
      <text>
        <r>
          <rPr>
            <sz val="9"/>
            <color indexed="81"/>
            <rFont val="MS P ゴシック"/>
            <family val="3"/>
            <charset val="128"/>
          </rPr>
          <t xml:space="preserve"> 24-802 25-336 26-288</t>
        </r>
      </text>
    </comment>
    <comment ref="A534" authorId="0" shapeId="0" xr:uid="{00000000-0006-0000-0000-00000D010000}">
      <text>
        <r>
          <rPr>
            <sz val="9"/>
            <color indexed="81"/>
            <rFont val="MS P ゴシック"/>
            <family val="3"/>
            <charset val="128"/>
          </rPr>
          <t xml:space="preserve"> 24-866 25-338 26-290</t>
        </r>
      </text>
    </comment>
    <comment ref="A536" authorId="0" shapeId="0" xr:uid="{00000000-0006-0000-0000-00000E010000}">
      <text>
        <r>
          <rPr>
            <sz val="9"/>
            <color indexed="81"/>
            <rFont val="MS P ゴシック"/>
            <family val="3"/>
            <charset val="128"/>
          </rPr>
          <t xml:space="preserve"> 24-868 25-339 26-291</t>
        </r>
      </text>
    </comment>
    <comment ref="A538" authorId="0" shapeId="0" xr:uid="{00000000-0006-0000-0000-00000F010000}">
      <text>
        <r>
          <rPr>
            <sz val="9"/>
            <color indexed="81"/>
            <rFont val="MS P ゴシック"/>
            <family val="3"/>
            <charset val="128"/>
          </rPr>
          <t xml:space="preserve"> 24-1027 25-341 26-292</t>
        </r>
      </text>
    </comment>
    <comment ref="A540" authorId="0" shapeId="0" xr:uid="{00000000-0006-0000-0000-000010010000}">
      <text>
        <r>
          <rPr>
            <sz val="9"/>
            <color indexed="81"/>
            <rFont val="MS P ゴシック"/>
            <family val="3"/>
            <charset val="128"/>
          </rPr>
          <t xml:space="preserve"> 24-1102 25-345 26-293</t>
        </r>
      </text>
    </comment>
    <comment ref="A542" authorId="0" shapeId="0" xr:uid="{00000000-0006-0000-0000-000011010000}">
      <text>
        <r>
          <rPr>
            <sz val="9"/>
            <color indexed="81"/>
            <rFont val="MS P ゴシック"/>
            <family val="3"/>
            <charset val="128"/>
          </rPr>
          <t xml:space="preserve"> 24-1141 25-347 26-295</t>
        </r>
      </text>
    </comment>
    <comment ref="A544" authorId="0" shapeId="0" xr:uid="{00000000-0006-0000-0000-000012010000}">
      <text>
        <r>
          <rPr>
            <sz val="9"/>
            <color indexed="81"/>
            <rFont val="MS P ゴシック"/>
            <family val="3"/>
            <charset val="128"/>
          </rPr>
          <t xml:space="preserve"> 24-1174 25-348 26-296</t>
        </r>
      </text>
    </comment>
    <comment ref="A546" authorId="0" shapeId="0" xr:uid="{00000000-0006-0000-0000-000013010000}">
      <text>
        <r>
          <rPr>
            <sz val="9"/>
            <color indexed="81"/>
            <rFont val="MS P ゴシック"/>
            <family val="3"/>
            <charset val="128"/>
          </rPr>
          <t xml:space="preserve"> 24-1209 25-349 26-297</t>
        </r>
      </text>
    </comment>
    <comment ref="A548" authorId="0" shapeId="0" xr:uid="{00000000-0006-0000-0000-000014010000}">
      <text>
        <r>
          <rPr>
            <sz val="9"/>
            <color indexed="81"/>
            <rFont val="MS P ゴシック"/>
            <family val="3"/>
            <charset val="128"/>
          </rPr>
          <t xml:space="preserve"> 24-1225 25-350 26-298</t>
        </r>
      </text>
    </comment>
    <comment ref="A550" authorId="0" shapeId="0" xr:uid="{00000000-0006-0000-0000-000015010000}">
      <text>
        <r>
          <rPr>
            <sz val="9"/>
            <color indexed="81"/>
            <rFont val="MS P ゴシック"/>
            <family val="3"/>
            <charset val="128"/>
          </rPr>
          <t xml:space="preserve"> 24-1234 25-351 26-299</t>
        </r>
      </text>
    </comment>
    <comment ref="A552" authorId="0" shapeId="0" xr:uid="{00000000-0006-0000-0000-000016010000}">
      <text>
        <r>
          <rPr>
            <sz val="9"/>
            <color indexed="81"/>
            <rFont val="MS P ゴシック"/>
            <family val="3"/>
            <charset val="128"/>
          </rPr>
          <t xml:space="preserve"> 24-1275 25-355 26-300</t>
        </r>
      </text>
    </comment>
    <comment ref="A554" authorId="0" shapeId="0" xr:uid="{00000000-0006-0000-0000-000017010000}">
      <text>
        <r>
          <rPr>
            <sz val="9"/>
            <color indexed="81"/>
            <rFont val="MS P ゴシック"/>
            <family val="3"/>
            <charset val="128"/>
          </rPr>
          <t xml:space="preserve"> 24-1295 25-357 26-301</t>
        </r>
      </text>
    </comment>
    <comment ref="A556" authorId="0" shapeId="0" xr:uid="{00000000-0006-0000-0000-000018010000}">
      <text>
        <r>
          <rPr>
            <sz val="9"/>
            <color indexed="81"/>
            <rFont val="MS P ゴシック"/>
            <family val="3"/>
            <charset val="128"/>
          </rPr>
          <t xml:space="preserve"> 24-1298 25-358 26-302</t>
        </r>
      </text>
    </comment>
    <comment ref="A558" authorId="0" shapeId="0" xr:uid="{00000000-0006-0000-0000-000019010000}">
      <text>
        <r>
          <rPr>
            <sz val="9"/>
            <color indexed="81"/>
            <rFont val="MS P ゴシック"/>
            <family val="3"/>
            <charset val="128"/>
          </rPr>
          <t xml:space="preserve"> 24-1299 25-359 26-303</t>
        </r>
      </text>
    </comment>
    <comment ref="A560" authorId="0" shapeId="0" xr:uid="{00000000-0006-0000-0000-00001A010000}">
      <text>
        <r>
          <rPr>
            <sz val="9"/>
            <color indexed="81"/>
            <rFont val="MS P ゴシック"/>
            <family val="3"/>
            <charset val="128"/>
          </rPr>
          <t xml:space="preserve"> 24-1320 25-360 26-304</t>
        </r>
      </text>
    </comment>
    <comment ref="A562" authorId="0" shapeId="0" xr:uid="{00000000-0006-0000-0000-00001B010000}">
      <text>
        <r>
          <rPr>
            <sz val="9"/>
            <color indexed="81"/>
            <rFont val="MS P ゴシック"/>
            <family val="3"/>
            <charset val="128"/>
          </rPr>
          <t xml:space="preserve"> 24-1329 25-361 26-305</t>
        </r>
      </text>
    </comment>
    <comment ref="A564" authorId="0" shapeId="0" xr:uid="{00000000-0006-0000-0000-00001C010000}">
      <text>
        <r>
          <rPr>
            <sz val="9"/>
            <color indexed="81"/>
            <rFont val="MS P ゴシック"/>
            <family val="3"/>
            <charset val="128"/>
          </rPr>
          <t xml:space="preserve"> 24-1446 25-363 26-306</t>
        </r>
      </text>
    </comment>
    <comment ref="A566" authorId="0" shapeId="0" xr:uid="{00000000-0006-0000-0000-00001D010000}">
      <text>
        <r>
          <rPr>
            <sz val="9"/>
            <color indexed="81"/>
            <rFont val="MS P ゴシック"/>
            <family val="3"/>
            <charset val="128"/>
          </rPr>
          <t xml:space="preserve"> 24-1477 25-367 26-307</t>
        </r>
      </text>
    </comment>
    <comment ref="A568" authorId="0" shapeId="0" xr:uid="{00000000-0006-0000-0000-00001E010000}">
      <text>
        <r>
          <rPr>
            <sz val="9"/>
            <color indexed="81"/>
            <rFont val="MS P ゴシック"/>
            <family val="3"/>
            <charset val="128"/>
          </rPr>
          <t xml:space="preserve"> 24-1501 25-368 26-308</t>
        </r>
      </text>
    </comment>
    <comment ref="A570" authorId="0" shapeId="0" xr:uid="{00000000-0006-0000-0000-00001F010000}">
      <text>
        <r>
          <rPr>
            <sz val="9"/>
            <color indexed="81"/>
            <rFont val="MS P ゴシック"/>
            <family val="3"/>
            <charset val="128"/>
          </rPr>
          <t xml:space="preserve"> 24-1504 25-369 26-309</t>
        </r>
      </text>
    </comment>
    <comment ref="A572" authorId="0" shapeId="0" xr:uid="{00000000-0006-0000-0000-000020010000}">
      <text>
        <r>
          <rPr>
            <sz val="9"/>
            <color indexed="81"/>
            <rFont val="MS P ゴシック"/>
            <family val="3"/>
            <charset val="128"/>
          </rPr>
          <t xml:space="preserve"> 24-1553 25-370 26-310</t>
        </r>
      </text>
    </comment>
    <comment ref="A574" authorId="0" shapeId="0" xr:uid="{00000000-0006-0000-0000-000021010000}">
      <text>
        <r>
          <rPr>
            <sz val="9"/>
            <color indexed="81"/>
            <rFont val="MS P ゴシック"/>
            <family val="3"/>
            <charset val="128"/>
          </rPr>
          <t xml:space="preserve"> 24-1668 25-375 26-311</t>
        </r>
      </text>
    </comment>
    <comment ref="A576" authorId="0" shapeId="0" xr:uid="{00000000-0006-0000-0000-000022010000}">
      <text>
        <r>
          <rPr>
            <sz val="9"/>
            <color indexed="81"/>
            <rFont val="MS P ゴシック"/>
            <family val="3"/>
            <charset val="128"/>
          </rPr>
          <t xml:space="preserve"> 24-1729 25-376 26-312</t>
        </r>
      </text>
    </comment>
    <comment ref="A578" authorId="0" shapeId="0" xr:uid="{00000000-0006-0000-0000-000023010000}">
      <text>
        <r>
          <rPr>
            <sz val="9"/>
            <color indexed="81"/>
            <rFont val="MS P ゴシック"/>
            <family val="3"/>
            <charset val="128"/>
          </rPr>
          <t xml:space="preserve"> 24-1751 25-377 26-313</t>
        </r>
      </text>
    </comment>
    <comment ref="A580" authorId="0" shapeId="0" xr:uid="{00000000-0006-0000-0000-000024010000}">
      <text>
        <r>
          <rPr>
            <sz val="9"/>
            <color indexed="81"/>
            <rFont val="MS P ゴシック"/>
            <family val="3"/>
            <charset val="128"/>
          </rPr>
          <t xml:space="preserve"> 24-1752 25-378 26-314</t>
        </r>
      </text>
    </comment>
    <comment ref="A582" authorId="0" shapeId="0" xr:uid="{00000000-0006-0000-0000-000025010000}">
      <text>
        <r>
          <rPr>
            <sz val="9"/>
            <color indexed="81"/>
            <rFont val="MS P ゴシック"/>
            <family val="3"/>
            <charset val="128"/>
          </rPr>
          <t xml:space="preserve"> 24-1905 25-381 26-315</t>
        </r>
      </text>
    </comment>
    <comment ref="A584" authorId="0" shapeId="0" xr:uid="{00000000-0006-0000-0000-000026010000}">
      <text>
        <r>
          <rPr>
            <sz val="9"/>
            <color indexed="81"/>
            <rFont val="MS P ゴシック"/>
            <family val="3"/>
            <charset val="128"/>
          </rPr>
          <t xml:space="preserve"> 24-1978 25-385 26-316</t>
        </r>
      </text>
    </comment>
    <comment ref="A586" authorId="0" shapeId="0" xr:uid="{00000000-0006-0000-0000-000027010000}">
      <text>
        <r>
          <rPr>
            <sz val="9"/>
            <color indexed="81"/>
            <rFont val="MS P ゴシック"/>
            <family val="3"/>
            <charset val="128"/>
          </rPr>
          <t xml:space="preserve"> 24-2023 25-386 26-317</t>
        </r>
      </text>
    </comment>
    <comment ref="A588" authorId="0" shapeId="0" xr:uid="{00000000-0006-0000-0000-000028010000}">
      <text>
        <r>
          <rPr>
            <sz val="9"/>
            <color indexed="81"/>
            <rFont val="MS P ゴシック"/>
            <family val="3"/>
            <charset val="128"/>
          </rPr>
          <t xml:space="preserve"> 24-2057 25-388 26-319</t>
        </r>
      </text>
    </comment>
    <comment ref="A590" authorId="0" shapeId="0" xr:uid="{00000000-0006-0000-0000-000029010000}">
      <text>
        <r>
          <rPr>
            <sz val="9"/>
            <color indexed="81"/>
            <rFont val="MS P ゴシック"/>
            <family val="3"/>
            <charset val="128"/>
          </rPr>
          <t xml:space="preserve"> 24-2189 25-393 26-320</t>
        </r>
      </text>
    </comment>
    <comment ref="A592" authorId="0" shapeId="0" xr:uid="{00000000-0006-0000-0000-00002A010000}">
      <text>
        <r>
          <rPr>
            <sz val="9"/>
            <color indexed="81"/>
            <rFont val="MS P ゴシック"/>
            <family val="3"/>
            <charset val="128"/>
          </rPr>
          <t xml:space="preserve"> 24-2211 25-395 26-322</t>
        </r>
      </text>
    </comment>
    <comment ref="A594" authorId="0" shapeId="0" xr:uid="{00000000-0006-0000-0000-00002B010000}">
      <text>
        <r>
          <rPr>
            <sz val="9"/>
            <color indexed="81"/>
            <rFont val="MS P ゴシック"/>
            <family val="3"/>
            <charset val="128"/>
          </rPr>
          <t xml:space="preserve"> 24-2243 25-396 26-323</t>
        </r>
      </text>
    </comment>
    <comment ref="A596" authorId="0" shapeId="0" xr:uid="{00000000-0006-0000-0000-00002C010000}">
      <text>
        <r>
          <rPr>
            <sz val="9"/>
            <color indexed="81"/>
            <rFont val="MS P ゴシック"/>
            <family val="3"/>
            <charset val="128"/>
          </rPr>
          <t xml:space="preserve"> 24-2285 25-398 26-325</t>
        </r>
      </text>
    </comment>
    <comment ref="A598" authorId="0" shapeId="0" xr:uid="{00000000-0006-0000-0000-00002D010000}">
      <text>
        <r>
          <rPr>
            <sz val="9"/>
            <color indexed="81"/>
            <rFont val="MS P ゴシック"/>
            <family val="3"/>
            <charset val="128"/>
          </rPr>
          <t xml:space="preserve"> 24-2286 25-399 26-326</t>
        </r>
      </text>
    </comment>
    <comment ref="A600" authorId="0" shapeId="0" xr:uid="{00000000-0006-0000-0000-00002E010000}">
      <text>
        <r>
          <rPr>
            <sz val="9"/>
            <color indexed="81"/>
            <rFont val="MS P ゴシック"/>
            <family val="3"/>
            <charset val="128"/>
          </rPr>
          <t xml:space="preserve"> 24-2445 25-401 26-328</t>
        </r>
      </text>
    </comment>
    <comment ref="A602" authorId="0" shapeId="0" xr:uid="{00000000-0006-0000-0000-00002F010000}">
      <text>
        <r>
          <rPr>
            <sz val="9"/>
            <color indexed="81"/>
            <rFont val="MS P ゴシック"/>
            <family val="3"/>
            <charset val="128"/>
          </rPr>
          <t xml:space="preserve"> 24-2549 25-404 26-330</t>
        </r>
      </text>
    </comment>
    <comment ref="A604" authorId="0" shapeId="0" xr:uid="{00000000-0006-0000-0000-000030010000}">
      <text>
        <r>
          <rPr>
            <sz val="9"/>
            <color indexed="81"/>
            <rFont val="MS P ゴシック"/>
            <family val="3"/>
            <charset val="128"/>
          </rPr>
          <t xml:space="preserve"> 24-2839 25-406 26-331</t>
        </r>
      </text>
    </comment>
    <comment ref="A606" authorId="0" shapeId="0" xr:uid="{00000000-0006-0000-0000-000031010000}">
      <text>
        <r>
          <rPr>
            <sz val="9"/>
            <color indexed="81"/>
            <rFont val="MS P ゴシック"/>
            <family val="3"/>
            <charset val="128"/>
          </rPr>
          <t xml:space="preserve"> 24-2881 25-407 26-332</t>
        </r>
      </text>
    </comment>
    <comment ref="A608" authorId="0" shapeId="0" xr:uid="{00000000-0006-0000-0000-000032010000}">
      <text>
        <r>
          <rPr>
            <sz val="9"/>
            <color indexed="81"/>
            <rFont val="MS P ゴシック"/>
            <family val="3"/>
            <charset val="128"/>
          </rPr>
          <t xml:space="preserve"> 24-3179 25-416 26-335</t>
        </r>
      </text>
    </comment>
    <comment ref="A610" authorId="0" shapeId="0" xr:uid="{00000000-0006-0000-0000-000033010000}">
      <text>
        <r>
          <rPr>
            <sz val="9"/>
            <color indexed="81"/>
            <rFont val="MS P ゴシック"/>
            <family val="3"/>
            <charset val="128"/>
          </rPr>
          <t xml:space="preserve"> 24-3180 25-417 26-336</t>
        </r>
      </text>
    </comment>
    <comment ref="A612" authorId="0" shapeId="0" xr:uid="{00000000-0006-0000-0000-000034010000}">
      <text>
        <r>
          <rPr>
            <sz val="9"/>
            <color indexed="81"/>
            <rFont val="MS P ゴシック"/>
            <family val="3"/>
            <charset val="128"/>
          </rPr>
          <t xml:space="preserve"> 24-3283 25-422 26-338</t>
        </r>
      </text>
    </comment>
    <comment ref="A614" authorId="0" shapeId="0" xr:uid="{00000000-0006-0000-0000-000035010000}">
      <text>
        <r>
          <rPr>
            <sz val="9"/>
            <color indexed="81"/>
            <rFont val="MS P ゴシック"/>
            <family val="3"/>
            <charset val="128"/>
          </rPr>
          <t xml:space="preserve"> 24-3284 25-423 26-339</t>
        </r>
      </text>
    </comment>
    <comment ref="A616" authorId="0" shapeId="0" xr:uid="{00000000-0006-0000-0000-000036010000}">
      <text>
        <r>
          <rPr>
            <sz val="9"/>
            <color indexed="81"/>
            <rFont val="MS P ゴシック"/>
            <family val="3"/>
            <charset val="128"/>
          </rPr>
          <t xml:space="preserve"> 24-3618 25-430 26-340</t>
        </r>
      </text>
    </comment>
    <comment ref="A618" authorId="0" shapeId="0" xr:uid="{00000000-0006-0000-0000-000037010000}">
      <text>
        <r>
          <rPr>
            <sz val="9"/>
            <color indexed="81"/>
            <rFont val="MS P ゴシック"/>
            <family val="3"/>
            <charset val="128"/>
          </rPr>
          <t xml:space="preserve"> 24-3666 25-434 26-341</t>
        </r>
      </text>
    </comment>
    <comment ref="A620" authorId="0" shapeId="0" xr:uid="{00000000-0006-0000-0000-000038010000}">
      <text>
        <r>
          <rPr>
            <sz val="9"/>
            <color indexed="81"/>
            <rFont val="MS P ゴシック"/>
            <family val="3"/>
            <charset val="128"/>
          </rPr>
          <t xml:space="preserve"> 24-3673 25-435 26-342</t>
        </r>
      </text>
    </comment>
    <comment ref="A622" authorId="0" shapeId="0" xr:uid="{00000000-0006-0000-0000-000039010000}">
      <text>
        <r>
          <rPr>
            <sz val="9"/>
            <color indexed="81"/>
            <rFont val="MS P ゴシック"/>
            <family val="3"/>
            <charset val="128"/>
          </rPr>
          <t xml:space="preserve"> 24-3683 25-436 26-343</t>
        </r>
      </text>
    </comment>
    <comment ref="A624" authorId="0" shapeId="0" xr:uid="{00000000-0006-0000-0000-00003A010000}">
      <text>
        <r>
          <rPr>
            <sz val="9"/>
            <color indexed="81"/>
            <rFont val="MS P ゴシック"/>
            <family val="3"/>
            <charset val="128"/>
          </rPr>
          <t xml:space="preserve"> 24-3689 25-438 26-344</t>
        </r>
      </text>
    </comment>
    <comment ref="A626" authorId="0" shapeId="0" xr:uid="{00000000-0006-0000-0000-00003B010000}">
      <text>
        <r>
          <rPr>
            <sz val="9"/>
            <color indexed="81"/>
            <rFont val="MS P ゴシック"/>
            <family val="3"/>
            <charset val="128"/>
          </rPr>
          <t xml:space="preserve"> 24-3846 25-445 26-345</t>
        </r>
      </text>
    </comment>
    <comment ref="A628" authorId="0" shapeId="0" xr:uid="{00000000-0006-0000-0000-00003C010000}">
      <text>
        <r>
          <rPr>
            <sz val="9"/>
            <color indexed="81"/>
            <rFont val="MS P ゴシック"/>
            <family val="3"/>
            <charset val="128"/>
          </rPr>
          <t xml:space="preserve"> 24-3848 25-446 26-346</t>
        </r>
      </text>
    </comment>
    <comment ref="A630" authorId="0" shapeId="0" xr:uid="{00000000-0006-0000-0000-00003D010000}">
      <text>
        <r>
          <rPr>
            <sz val="9"/>
            <color indexed="81"/>
            <rFont val="MS P ゴシック"/>
            <family val="3"/>
            <charset val="128"/>
          </rPr>
          <t xml:space="preserve"> 24-3905 25-451 26-347</t>
        </r>
      </text>
    </comment>
    <comment ref="A632" authorId="0" shapeId="0" xr:uid="{00000000-0006-0000-0000-00003E010000}">
      <text>
        <r>
          <rPr>
            <sz val="9"/>
            <color indexed="81"/>
            <rFont val="MS P ゴシック"/>
            <family val="3"/>
            <charset val="128"/>
          </rPr>
          <t xml:space="preserve"> 24-3939 25-454 26-348</t>
        </r>
      </text>
    </comment>
    <comment ref="A634" authorId="0" shapeId="0" xr:uid="{00000000-0006-0000-0000-00003F010000}">
      <text>
        <r>
          <rPr>
            <sz val="9"/>
            <color indexed="81"/>
            <rFont val="MS P ゴシック"/>
            <family val="3"/>
            <charset val="128"/>
          </rPr>
          <t xml:space="preserve"> 24-3981 25-457 26-349</t>
        </r>
      </text>
    </comment>
    <comment ref="A636" authorId="0" shapeId="0" xr:uid="{00000000-0006-0000-0000-000040010000}">
      <text>
        <r>
          <rPr>
            <sz val="9"/>
            <color indexed="81"/>
            <rFont val="MS P ゴシック"/>
            <family val="3"/>
            <charset val="128"/>
          </rPr>
          <t xml:space="preserve"> 24-4026 25-461 26-350</t>
        </r>
      </text>
    </comment>
    <comment ref="A638" authorId="0" shapeId="0" xr:uid="{00000000-0006-0000-0000-000041010000}">
      <text>
        <r>
          <rPr>
            <sz val="9"/>
            <color indexed="81"/>
            <rFont val="MS P ゴシック"/>
            <family val="3"/>
            <charset val="128"/>
          </rPr>
          <t xml:space="preserve"> 24-4196 25-474 26-351</t>
        </r>
      </text>
    </comment>
    <comment ref="A640" authorId="0" shapeId="0" xr:uid="{00000000-0006-0000-0000-000042010000}">
      <text>
        <r>
          <rPr>
            <sz val="9"/>
            <color indexed="81"/>
            <rFont val="MS P ゴシック"/>
            <family val="3"/>
            <charset val="128"/>
          </rPr>
          <t xml:space="preserve"> 24-4205 25-475 26-352</t>
        </r>
      </text>
    </comment>
    <comment ref="A642" authorId="0" shapeId="0" xr:uid="{00000000-0006-0000-0000-000043010000}">
      <text>
        <r>
          <rPr>
            <sz val="9"/>
            <color indexed="81"/>
            <rFont val="MS P ゴシック"/>
            <family val="3"/>
            <charset val="128"/>
          </rPr>
          <t xml:space="preserve"> 24-4324 25-481 26-353</t>
        </r>
      </text>
    </comment>
    <comment ref="A644" authorId="0" shapeId="0" xr:uid="{00000000-0006-0000-0000-000044010000}">
      <text>
        <r>
          <rPr>
            <sz val="9"/>
            <color indexed="81"/>
            <rFont val="MS P ゴシック"/>
            <family val="3"/>
            <charset val="128"/>
          </rPr>
          <t xml:space="preserve"> 24-4397 25-493 26-354</t>
        </r>
      </text>
    </comment>
    <comment ref="A646" authorId="0" shapeId="0" xr:uid="{00000000-0006-0000-0000-000045010000}">
      <text>
        <r>
          <rPr>
            <sz val="9"/>
            <color indexed="81"/>
            <rFont val="MS P ゴシック"/>
            <family val="3"/>
            <charset val="128"/>
          </rPr>
          <t xml:space="preserve"> 24-4398 25-494 26-355</t>
        </r>
      </text>
    </comment>
    <comment ref="A648" authorId="0" shapeId="0" xr:uid="{00000000-0006-0000-0000-000046010000}">
      <text>
        <r>
          <rPr>
            <sz val="9"/>
            <color indexed="81"/>
            <rFont val="MS P ゴシック"/>
            <family val="3"/>
            <charset val="128"/>
          </rPr>
          <t xml:space="preserve"> 24-4440 25-500 26-356</t>
        </r>
      </text>
    </comment>
    <comment ref="A650" authorId="0" shapeId="0" xr:uid="{00000000-0006-0000-0000-000047010000}">
      <text>
        <r>
          <rPr>
            <sz val="9"/>
            <color indexed="81"/>
            <rFont val="MS P ゴシック"/>
            <family val="3"/>
            <charset val="128"/>
          </rPr>
          <t xml:space="preserve"> 24-4589 25-525 26-357</t>
        </r>
      </text>
    </comment>
    <comment ref="A652" authorId="0" shapeId="0" xr:uid="{00000000-0006-0000-0000-000048010000}">
      <text>
        <r>
          <rPr>
            <sz val="9"/>
            <color indexed="81"/>
            <rFont val="MS P ゴシック"/>
            <family val="3"/>
            <charset val="128"/>
          </rPr>
          <t xml:space="preserve"> 24-4637 25-537 26-358</t>
        </r>
      </text>
    </comment>
    <comment ref="A654" authorId="0" shapeId="0" xr:uid="{00000000-0006-0000-0000-000049010000}">
      <text>
        <r>
          <rPr>
            <sz val="9"/>
            <color indexed="81"/>
            <rFont val="MS P ゴシック"/>
            <family val="3"/>
            <charset val="128"/>
          </rPr>
          <t xml:space="preserve"> 24-4638 25-538 26-359</t>
        </r>
      </text>
    </comment>
    <comment ref="A656" authorId="0" shapeId="0" xr:uid="{00000000-0006-0000-0000-00004A010000}">
      <text>
        <r>
          <rPr>
            <sz val="9"/>
            <color indexed="81"/>
            <rFont val="MS P ゴシック"/>
            <family val="3"/>
            <charset val="128"/>
          </rPr>
          <t xml:space="preserve"> 24-4707 25-559 26-361</t>
        </r>
      </text>
    </comment>
    <comment ref="A658" authorId="0" shapeId="0" xr:uid="{00000000-0006-0000-0000-00004B010000}">
      <text>
        <r>
          <rPr>
            <sz val="9"/>
            <color indexed="81"/>
            <rFont val="MS P ゴシック"/>
            <family val="3"/>
            <charset val="128"/>
          </rPr>
          <t xml:space="preserve"> 24-4771 25-586 26-362</t>
        </r>
      </text>
    </comment>
    <comment ref="A660" authorId="0" shapeId="0" xr:uid="{00000000-0006-0000-0000-00004C010000}">
      <text>
        <r>
          <rPr>
            <sz val="9"/>
            <color indexed="81"/>
            <rFont val="MS P ゴシック"/>
            <family val="3"/>
            <charset val="128"/>
          </rPr>
          <t xml:space="preserve"> 24-4802 25-598 26-363</t>
        </r>
      </text>
    </comment>
    <comment ref="A662" authorId="0" shapeId="0" xr:uid="{00000000-0006-0000-0000-00004D010000}">
      <text>
        <r>
          <rPr>
            <sz val="9"/>
            <color indexed="81"/>
            <rFont val="MS P ゴシック"/>
            <family val="3"/>
            <charset val="128"/>
          </rPr>
          <t xml:space="preserve"> 24-4993 25-723 26-364</t>
        </r>
      </text>
    </comment>
    <comment ref="A664" authorId="0" shapeId="0" xr:uid="{00000000-0006-0000-0000-00004E010000}">
      <text>
        <r>
          <rPr>
            <sz val="9"/>
            <color indexed="81"/>
            <rFont val="MS P ゴシック"/>
            <family val="3"/>
            <charset val="128"/>
          </rPr>
          <t xml:space="preserve"> 24-5006 25-736 26-365</t>
        </r>
      </text>
    </comment>
    <comment ref="A666" authorId="0" shapeId="0" xr:uid="{00000000-0006-0000-0000-00004F010000}">
      <text>
        <r>
          <rPr>
            <sz val="9"/>
            <color indexed="81"/>
            <rFont val="MS P ゴシック"/>
            <family val="3"/>
            <charset val="128"/>
          </rPr>
          <t xml:space="preserve"> 25-779 26-366</t>
        </r>
      </text>
    </comment>
    <comment ref="A668" authorId="0" shapeId="0" xr:uid="{00000000-0006-0000-0000-000050010000}">
      <text>
        <r>
          <rPr>
            <sz val="9"/>
            <color indexed="81"/>
            <rFont val="MS P ゴシック"/>
            <family val="3"/>
            <charset val="128"/>
          </rPr>
          <t xml:space="preserve"> 25-1182 26-368</t>
        </r>
      </text>
    </comment>
    <comment ref="A670" authorId="0" shapeId="0" xr:uid="{00000000-0006-0000-0000-000051010000}">
      <text>
        <r>
          <rPr>
            <sz val="9"/>
            <color indexed="81"/>
            <rFont val="MS P ゴシック"/>
            <family val="3"/>
            <charset val="128"/>
          </rPr>
          <t xml:space="preserve"> 25-1379 26-369</t>
        </r>
      </text>
    </comment>
    <comment ref="A672" authorId="0" shapeId="0" xr:uid="{00000000-0006-0000-0000-000052010000}">
      <text>
        <r>
          <rPr>
            <sz val="9"/>
            <color indexed="81"/>
            <rFont val="MS P ゴシック"/>
            <family val="3"/>
            <charset val="128"/>
          </rPr>
          <t xml:space="preserve"> 25-1600 26-370</t>
        </r>
      </text>
    </comment>
    <comment ref="A674" authorId="0" shapeId="0" xr:uid="{00000000-0006-0000-0000-000053010000}">
      <text>
        <r>
          <rPr>
            <sz val="9"/>
            <color indexed="81"/>
            <rFont val="MS P ゴシック"/>
            <family val="3"/>
            <charset val="128"/>
          </rPr>
          <t xml:space="preserve"> 25-2199 26-372</t>
        </r>
      </text>
    </comment>
    <comment ref="A676" authorId="0" shapeId="0" xr:uid="{00000000-0006-0000-0000-000054010000}">
      <text>
        <r>
          <rPr>
            <sz val="9"/>
            <color indexed="81"/>
            <rFont val="MS P ゴシック"/>
            <family val="3"/>
            <charset val="128"/>
          </rPr>
          <t xml:space="preserve"> 25-2214 26-373</t>
        </r>
      </text>
    </comment>
    <comment ref="A678" authorId="0" shapeId="0" xr:uid="{00000000-0006-0000-0000-000055010000}">
      <text>
        <r>
          <rPr>
            <sz val="9"/>
            <color indexed="81"/>
            <rFont val="MS P ゴシック"/>
            <family val="3"/>
            <charset val="128"/>
          </rPr>
          <t xml:space="preserve"> 25-2338 26-375</t>
        </r>
      </text>
    </comment>
    <comment ref="A680" authorId="0" shapeId="0" xr:uid="{00000000-0006-0000-0000-000056010000}">
      <text>
        <r>
          <rPr>
            <sz val="9"/>
            <color indexed="81"/>
            <rFont val="MS P ゴシック"/>
            <family val="3"/>
            <charset val="128"/>
          </rPr>
          <t xml:space="preserve"> 25-2465 26-376</t>
        </r>
      </text>
    </comment>
    <comment ref="A682" authorId="0" shapeId="0" xr:uid="{00000000-0006-0000-0000-000057010000}">
      <text>
        <r>
          <rPr>
            <sz val="9"/>
            <color indexed="81"/>
            <rFont val="MS P ゴシック"/>
            <family val="3"/>
            <charset val="128"/>
          </rPr>
          <t xml:space="preserve"> 25-2612 26-377</t>
        </r>
      </text>
    </comment>
    <comment ref="A684" authorId="0" shapeId="0" xr:uid="{00000000-0006-0000-0000-000058010000}">
      <text>
        <r>
          <rPr>
            <sz val="9"/>
            <color indexed="81"/>
            <rFont val="MS P ゴシック"/>
            <family val="3"/>
            <charset val="128"/>
          </rPr>
          <t xml:space="preserve"> 25-2895 26-380</t>
        </r>
      </text>
    </comment>
    <comment ref="A686" authorId="0" shapeId="0" xr:uid="{00000000-0006-0000-0000-000059010000}">
      <text>
        <r>
          <rPr>
            <sz val="9"/>
            <color indexed="81"/>
            <rFont val="MS P ゴシック"/>
            <family val="3"/>
            <charset val="128"/>
          </rPr>
          <t xml:space="preserve"> 25-2972 26-382</t>
        </r>
      </text>
    </comment>
    <comment ref="A688" authorId="0" shapeId="0" xr:uid="{00000000-0006-0000-0000-00005A010000}">
      <text>
        <r>
          <rPr>
            <sz val="9"/>
            <color indexed="81"/>
            <rFont val="MS P ゴシック"/>
            <family val="3"/>
            <charset val="128"/>
          </rPr>
          <t xml:space="preserve"> 25-3010 26-383</t>
        </r>
      </text>
    </comment>
    <comment ref="A690" authorId="0" shapeId="0" xr:uid="{00000000-0006-0000-0000-00005B010000}">
      <text>
        <r>
          <rPr>
            <sz val="9"/>
            <color indexed="81"/>
            <rFont val="MS P ゴシック"/>
            <family val="3"/>
            <charset val="128"/>
          </rPr>
          <t xml:space="preserve"> 25-3093 26-385</t>
        </r>
      </text>
    </comment>
    <comment ref="A692" authorId="0" shapeId="0" xr:uid="{00000000-0006-0000-0000-00005C010000}">
      <text>
        <r>
          <rPr>
            <sz val="9"/>
            <color indexed="81"/>
            <rFont val="MS P ゴシック"/>
            <family val="3"/>
            <charset val="128"/>
          </rPr>
          <t xml:space="preserve"> 25-3139 26-387</t>
        </r>
      </text>
    </comment>
    <comment ref="A694" authorId="0" shapeId="0" xr:uid="{00000000-0006-0000-0000-00005D010000}">
      <text>
        <r>
          <rPr>
            <sz val="9"/>
            <color indexed="81"/>
            <rFont val="MS P ゴシック"/>
            <family val="3"/>
            <charset val="128"/>
          </rPr>
          <t xml:space="preserve"> 25-3220 26-389</t>
        </r>
      </text>
    </comment>
    <comment ref="A696" authorId="0" shapeId="0" xr:uid="{00000000-0006-0000-0000-00005E010000}">
      <text>
        <r>
          <rPr>
            <sz val="9"/>
            <color indexed="81"/>
            <rFont val="MS P ゴシック"/>
            <family val="3"/>
            <charset val="128"/>
          </rPr>
          <t xml:space="preserve"> 25-3340 26-391</t>
        </r>
      </text>
    </comment>
    <comment ref="A698" authorId="0" shapeId="0" xr:uid="{00000000-0006-0000-0000-00005F010000}">
      <text>
        <r>
          <rPr>
            <sz val="9"/>
            <color indexed="81"/>
            <rFont val="MS P ゴシック"/>
            <family val="3"/>
            <charset val="128"/>
          </rPr>
          <t xml:space="preserve"> 25-3546 26-394</t>
        </r>
      </text>
    </comment>
    <comment ref="A700" authorId="0" shapeId="0" xr:uid="{00000000-0006-0000-0000-000060010000}">
      <text>
        <r>
          <rPr>
            <sz val="9"/>
            <color indexed="81"/>
            <rFont val="MS P ゴシック"/>
            <family val="3"/>
            <charset val="128"/>
          </rPr>
          <t xml:space="preserve"> 25-3628 26-395</t>
        </r>
      </text>
    </comment>
    <comment ref="A702" authorId="0" shapeId="0" xr:uid="{00000000-0006-0000-0000-000061010000}">
      <text>
        <r>
          <rPr>
            <sz val="9"/>
            <color indexed="81"/>
            <rFont val="MS P ゴシック"/>
            <family val="3"/>
            <charset val="128"/>
          </rPr>
          <t xml:space="preserve"> 25-4042 26-404</t>
        </r>
      </text>
    </comment>
    <comment ref="A704" authorId="0" shapeId="0" xr:uid="{00000000-0006-0000-0000-000062010000}">
      <text>
        <r>
          <rPr>
            <sz val="9"/>
            <color indexed="81"/>
            <rFont val="MS P ゴシック"/>
            <family val="3"/>
            <charset val="128"/>
          </rPr>
          <t xml:space="preserve"> 25-4079 26-405</t>
        </r>
      </text>
    </comment>
    <comment ref="A706" authorId="0" shapeId="0" xr:uid="{00000000-0006-0000-0000-000063010000}">
      <text>
        <r>
          <rPr>
            <sz val="9"/>
            <color indexed="81"/>
            <rFont val="MS P ゴシック"/>
            <family val="3"/>
            <charset val="128"/>
          </rPr>
          <t xml:space="preserve"> 25-4152 26-408</t>
        </r>
      </text>
    </comment>
    <comment ref="A708" authorId="0" shapeId="0" xr:uid="{00000000-0006-0000-0000-000064010000}">
      <text>
        <r>
          <rPr>
            <sz val="9"/>
            <color indexed="81"/>
            <rFont val="MS P ゴシック"/>
            <family val="3"/>
            <charset val="128"/>
          </rPr>
          <t xml:space="preserve"> 25-4176 26-412</t>
        </r>
      </text>
    </comment>
    <comment ref="A710" authorId="0" shapeId="0" xr:uid="{00000000-0006-0000-0000-000065010000}">
      <text>
        <r>
          <rPr>
            <sz val="9"/>
            <color indexed="81"/>
            <rFont val="MS P ゴシック"/>
            <family val="3"/>
            <charset val="128"/>
          </rPr>
          <t xml:space="preserve"> 25-4178 26-413</t>
        </r>
      </text>
    </comment>
    <comment ref="A712" authorId="0" shapeId="0" xr:uid="{00000000-0006-0000-0000-000066010000}">
      <text>
        <r>
          <rPr>
            <sz val="9"/>
            <color indexed="81"/>
            <rFont val="MS P ゴシック"/>
            <family val="3"/>
            <charset val="128"/>
          </rPr>
          <t xml:space="preserve"> 25-4489 26-420</t>
        </r>
      </text>
    </comment>
    <comment ref="A714" authorId="0" shapeId="0" xr:uid="{00000000-0006-0000-0000-000067010000}">
      <text>
        <r>
          <rPr>
            <sz val="9"/>
            <color indexed="81"/>
            <rFont val="MS P ゴシック"/>
            <family val="3"/>
            <charset val="128"/>
          </rPr>
          <t xml:space="preserve"> 25-4491 26-421</t>
        </r>
      </text>
    </comment>
    <comment ref="A716" authorId="0" shapeId="0" xr:uid="{00000000-0006-0000-0000-000068010000}">
      <text>
        <r>
          <rPr>
            <sz val="9"/>
            <color indexed="81"/>
            <rFont val="MS P ゴシック"/>
            <family val="3"/>
            <charset val="128"/>
          </rPr>
          <t xml:space="preserve"> 25-4493 26-422</t>
        </r>
      </text>
    </comment>
    <comment ref="A718" authorId="0" shapeId="0" xr:uid="{00000000-0006-0000-0000-000069010000}">
      <text>
        <r>
          <rPr>
            <sz val="9"/>
            <color indexed="81"/>
            <rFont val="MS P ゴシック"/>
            <family val="3"/>
            <charset val="128"/>
          </rPr>
          <t xml:space="preserve"> 25-4514 26-423</t>
        </r>
      </text>
    </comment>
    <comment ref="A720" authorId="0" shapeId="0" xr:uid="{00000000-0006-0000-0000-00006A010000}">
      <text>
        <r>
          <rPr>
            <sz val="9"/>
            <color indexed="81"/>
            <rFont val="MS P ゴシック"/>
            <family val="3"/>
            <charset val="128"/>
          </rPr>
          <t xml:space="preserve"> 25-4535 26-424</t>
        </r>
      </text>
    </comment>
    <comment ref="A722" authorId="0" shapeId="0" xr:uid="{00000000-0006-0000-0000-00006B010000}">
      <text>
        <r>
          <rPr>
            <sz val="9"/>
            <color indexed="81"/>
            <rFont val="MS P ゴシック"/>
            <family val="3"/>
            <charset val="128"/>
          </rPr>
          <t xml:space="preserve"> 25-4661 26-425</t>
        </r>
      </text>
    </comment>
    <comment ref="A724" authorId="0" shapeId="0" xr:uid="{00000000-0006-0000-0000-00006C010000}">
      <text>
        <r>
          <rPr>
            <sz val="9"/>
            <color indexed="81"/>
            <rFont val="MS P ゴシック"/>
            <family val="3"/>
            <charset val="128"/>
          </rPr>
          <t xml:space="preserve"> 25-4737 26-426</t>
        </r>
      </text>
    </comment>
    <comment ref="A726" authorId="0" shapeId="0" xr:uid="{00000000-0006-0000-0000-00006D010000}">
      <text>
        <r>
          <rPr>
            <sz val="9"/>
            <color indexed="81"/>
            <rFont val="MS P ゴシック"/>
            <family val="3"/>
            <charset val="128"/>
          </rPr>
          <t xml:space="preserve"> 25-4743 26-428</t>
        </r>
      </text>
    </comment>
    <comment ref="A728" authorId="0" shapeId="0" xr:uid="{00000000-0006-0000-0000-00006E010000}">
      <text>
        <r>
          <rPr>
            <sz val="9"/>
            <color indexed="81"/>
            <rFont val="MS P ゴシック"/>
            <family val="3"/>
            <charset val="128"/>
          </rPr>
          <t xml:space="preserve"> 25-4768 26-430</t>
        </r>
      </text>
    </comment>
    <comment ref="A730" authorId="0" shapeId="0" xr:uid="{00000000-0006-0000-0000-00006F010000}">
      <text>
        <r>
          <rPr>
            <sz val="9"/>
            <color indexed="81"/>
            <rFont val="MS P ゴシック"/>
            <family val="3"/>
            <charset val="128"/>
          </rPr>
          <t xml:space="preserve"> 25-4827 26-432</t>
        </r>
      </text>
    </comment>
    <comment ref="A732" authorId="0" shapeId="0" xr:uid="{00000000-0006-0000-0000-000070010000}">
      <text>
        <r>
          <rPr>
            <sz val="9"/>
            <color indexed="81"/>
            <rFont val="MS P ゴシック"/>
            <family val="3"/>
            <charset val="128"/>
          </rPr>
          <t xml:space="preserve"> 25-4864 26-433</t>
        </r>
      </text>
    </comment>
    <comment ref="A734" authorId="0" shapeId="0" xr:uid="{00000000-0006-0000-0000-000071010000}">
      <text>
        <r>
          <rPr>
            <sz val="9"/>
            <color indexed="81"/>
            <rFont val="MS P ゴシック"/>
            <family val="3"/>
            <charset val="128"/>
          </rPr>
          <t xml:space="preserve"> 25-4974 26-436</t>
        </r>
      </text>
    </comment>
    <comment ref="A736" authorId="0" shapeId="0" xr:uid="{00000000-0006-0000-0000-000072010000}">
      <text>
        <r>
          <rPr>
            <sz val="9"/>
            <color indexed="81"/>
            <rFont val="MS P ゴシック"/>
            <family val="3"/>
            <charset val="128"/>
          </rPr>
          <t xml:space="preserve"> 25-5050 26-439</t>
        </r>
      </text>
    </comment>
    <comment ref="A738" authorId="0" shapeId="0" xr:uid="{00000000-0006-0000-0000-000073010000}">
      <text>
        <r>
          <rPr>
            <sz val="9"/>
            <color indexed="81"/>
            <rFont val="MS P ゴシック"/>
            <family val="3"/>
            <charset val="128"/>
          </rPr>
          <t xml:space="preserve"> 25-5052 26-440</t>
        </r>
      </text>
    </comment>
    <comment ref="A740" authorId="0" shapeId="0" xr:uid="{00000000-0006-0000-0000-000074010000}">
      <text>
        <r>
          <rPr>
            <sz val="9"/>
            <color indexed="81"/>
            <rFont val="MS P ゴシック"/>
            <family val="3"/>
            <charset val="128"/>
          </rPr>
          <t xml:space="preserve"> 25-5074 26-442</t>
        </r>
      </text>
    </comment>
    <comment ref="A742" authorId="0" shapeId="0" xr:uid="{00000000-0006-0000-0000-000075010000}">
      <text>
        <r>
          <rPr>
            <sz val="9"/>
            <color indexed="81"/>
            <rFont val="MS P ゴシック"/>
            <family val="3"/>
            <charset val="128"/>
          </rPr>
          <t xml:space="preserve"> 25-5302 26-454</t>
        </r>
      </text>
    </comment>
    <comment ref="A744" authorId="0" shapeId="0" xr:uid="{00000000-0006-0000-0000-000076010000}">
      <text>
        <r>
          <rPr>
            <sz val="9"/>
            <color indexed="81"/>
            <rFont val="MS P ゴシック"/>
            <family val="3"/>
            <charset val="128"/>
          </rPr>
          <t xml:space="preserve"> 25-5368 26-455</t>
        </r>
      </text>
    </comment>
    <comment ref="A746" authorId="0" shapeId="0" xr:uid="{00000000-0006-0000-0000-000077010000}">
      <text>
        <r>
          <rPr>
            <sz val="9"/>
            <color indexed="81"/>
            <rFont val="MS P ゴシック"/>
            <family val="3"/>
            <charset val="128"/>
          </rPr>
          <t xml:space="preserve"> 25-5384 26-458</t>
        </r>
      </text>
    </comment>
    <comment ref="A748" authorId="0" shapeId="0" xr:uid="{00000000-0006-0000-0000-000078010000}">
      <text>
        <r>
          <rPr>
            <sz val="9"/>
            <color indexed="81"/>
            <rFont val="MS P ゴシック"/>
            <family val="3"/>
            <charset val="128"/>
          </rPr>
          <t xml:space="preserve"> 25-5443 26-463</t>
        </r>
      </text>
    </comment>
    <comment ref="A750" authorId="0" shapeId="0" xr:uid="{00000000-0006-0000-0000-000079010000}">
      <text>
        <r>
          <rPr>
            <sz val="9"/>
            <color indexed="81"/>
            <rFont val="MS P ゴシック"/>
            <family val="3"/>
            <charset val="128"/>
          </rPr>
          <t xml:space="preserve"> 25-5464 26-464</t>
        </r>
      </text>
    </comment>
    <comment ref="A752" authorId="0" shapeId="0" xr:uid="{00000000-0006-0000-0000-00007A010000}">
      <text>
        <r>
          <rPr>
            <sz val="9"/>
            <color indexed="81"/>
            <rFont val="MS P ゴシック"/>
            <family val="3"/>
            <charset val="128"/>
          </rPr>
          <t xml:space="preserve"> 25-5518 26-472</t>
        </r>
      </text>
    </comment>
    <comment ref="A754" authorId="0" shapeId="0" xr:uid="{00000000-0006-0000-0000-00007B010000}">
      <text>
        <r>
          <rPr>
            <sz val="9"/>
            <color indexed="81"/>
            <rFont val="MS P ゴシック"/>
            <family val="3"/>
            <charset val="128"/>
          </rPr>
          <t xml:space="preserve"> 25-5533 26-475</t>
        </r>
      </text>
    </comment>
    <comment ref="A756" authorId="0" shapeId="0" xr:uid="{00000000-0006-0000-0000-00007C010000}">
      <text>
        <r>
          <rPr>
            <sz val="9"/>
            <color indexed="81"/>
            <rFont val="MS P ゴシック"/>
            <family val="3"/>
            <charset val="128"/>
          </rPr>
          <t xml:space="preserve"> 25-5692 26-488</t>
        </r>
      </text>
    </comment>
    <comment ref="A758" authorId="0" shapeId="0" xr:uid="{00000000-0006-0000-0000-00007D010000}">
      <text>
        <r>
          <rPr>
            <sz val="9"/>
            <color indexed="81"/>
            <rFont val="MS P ゴシック"/>
            <family val="3"/>
            <charset val="128"/>
          </rPr>
          <t xml:space="preserve"> 25-5818 26-495</t>
        </r>
      </text>
    </comment>
    <comment ref="A760" authorId="0" shapeId="0" xr:uid="{00000000-0006-0000-0000-00007E010000}">
      <text>
        <r>
          <rPr>
            <sz val="9"/>
            <color indexed="81"/>
            <rFont val="MS P ゴシック"/>
            <family val="3"/>
            <charset val="128"/>
          </rPr>
          <t xml:space="preserve"> 25-5829 26-497</t>
        </r>
      </text>
    </comment>
    <comment ref="A762" authorId="0" shapeId="0" xr:uid="{00000000-0006-0000-0000-00007F010000}">
      <text>
        <r>
          <rPr>
            <sz val="9"/>
            <color indexed="81"/>
            <rFont val="MS P ゴシック"/>
            <family val="3"/>
            <charset val="128"/>
          </rPr>
          <t xml:space="preserve"> 25-5846 26-500</t>
        </r>
      </text>
    </comment>
    <comment ref="A764" authorId="0" shapeId="0" xr:uid="{00000000-0006-0000-0000-000080010000}">
      <text>
        <r>
          <rPr>
            <sz val="9"/>
            <color indexed="81"/>
            <rFont val="MS P ゴシック"/>
            <family val="3"/>
            <charset val="128"/>
          </rPr>
          <t xml:space="preserve"> 25-5867 26-502</t>
        </r>
      </text>
    </comment>
    <comment ref="A766" authorId="0" shapeId="0" xr:uid="{00000000-0006-0000-0000-000081010000}">
      <text>
        <r>
          <rPr>
            <sz val="9"/>
            <color indexed="81"/>
            <rFont val="MS P ゴシック"/>
            <family val="3"/>
            <charset val="128"/>
          </rPr>
          <t xml:space="preserve"> 25-5875 26-503</t>
        </r>
      </text>
    </comment>
    <comment ref="A768" authorId="0" shapeId="0" xr:uid="{00000000-0006-0000-0000-000082010000}">
      <text>
        <r>
          <rPr>
            <sz val="9"/>
            <color indexed="81"/>
            <rFont val="MS P ゴシック"/>
            <family val="3"/>
            <charset val="128"/>
          </rPr>
          <t xml:space="preserve"> 25-5877 26-504</t>
        </r>
      </text>
    </comment>
    <comment ref="A770" authorId="0" shapeId="0" xr:uid="{00000000-0006-0000-0000-000083010000}">
      <text>
        <r>
          <rPr>
            <sz val="9"/>
            <color indexed="81"/>
            <rFont val="MS P ゴシック"/>
            <family val="3"/>
            <charset val="128"/>
          </rPr>
          <t xml:space="preserve"> 25-5941 26-510</t>
        </r>
      </text>
    </comment>
    <comment ref="A772" authorId="0" shapeId="0" xr:uid="{00000000-0006-0000-0000-000084010000}">
      <text>
        <r>
          <rPr>
            <sz val="9"/>
            <color indexed="81"/>
            <rFont val="MS P ゴシック"/>
            <family val="3"/>
            <charset val="128"/>
          </rPr>
          <t xml:space="preserve"> 25-5976 26-515</t>
        </r>
      </text>
    </comment>
    <comment ref="A774" authorId="0" shapeId="0" xr:uid="{00000000-0006-0000-0000-000085010000}">
      <text>
        <r>
          <rPr>
            <sz val="9"/>
            <color indexed="81"/>
            <rFont val="MS P ゴシック"/>
            <family val="3"/>
            <charset val="128"/>
          </rPr>
          <t xml:space="preserve"> 25-5999 26-517</t>
        </r>
      </text>
    </comment>
    <comment ref="A776" authorId="0" shapeId="0" xr:uid="{00000000-0006-0000-0000-000086010000}">
      <text>
        <r>
          <rPr>
            <sz val="9"/>
            <color indexed="81"/>
            <rFont val="MS P ゴシック"/>
            <family val="3"/>
            <charset val="128"/>
          </rPr>
          <t xml:space="preserve"> 25-6069 26-530</t>
        </r>
      </text>
    </comment>
    <comment ref="A778" authorId="0" shapeId="0" xr:uid="{00000000-0006-0000-0000-000087010000}">
      <text>
        <r>
          <rPr>
            <sz val="9"/>
            <color indexed="81"/>
            <rFont val="MS P ゴシック"/>
            <family val="3"/>
            <charset val="128"/>
          </rPr>
          <t xml:space="preserve"> 25-6086 26-535</t>
        </r>
      </text>
    </comment>
    <comment ref="A780" authorId="0" shapeId="0" xr:uid="{00000000-0006-0000-0000-000088010000}">
      <text>
        <r>
          <rPr>
            <sz val="9"/>
            <color indexed="81"/>
            <rFont val="MS P ゴシック"/>
            <family val="3"/>
            <charset val="128"/>
          </rPr>
          <t xml:space="preserve"> 25-6162 26-553</t>
        </r>
      </text>
    </comment>
    <comment ref="A782" authorId="0" shapeId="0" xr:uid="{00000000-0006-0000-0000-000089010000}">
      <text>
        <r>
          <rPr>
            <sz val="9"/>
            <color indexed="81"/>
            <rFont val="MS P ゴシック"/>
            <family val="3"/>
            <charset val="128"/>
          </rPr>
          <t xml:space="preserve"> 25-6264 26-574</t>
        </r>
      </text>
    </comment>
    <comment ref="A784" authorId="0" shapeId="0" xr:uid="{00000000-0006-0000-0000-00008A010000}">
      <text>
        <r>
          <rPr>
            <sz val="9"/>
            <color indexed="81"/>
            <rFont val="MS P ゴシック"/>
            <family val="3"/>
            <charset val="128"/>
          </rPr>
          <t xml:space="preserve"> 25-6266 26-575</t>
        </r>
      </text>
    </comment>
    <comment ref="A786" authorId="0" shapeId="0" xr:uid="{00000000-0006-0000-0000-00008B010000}">
      <text>
        <r>
          <rPr>
            <sz val="9"/>
            <color indexed="81"/>
            <rFont val="MS P ゴシック"/>
            <family val="3"/>
            <charset val="128"/>
          </rPr>
          <t xml:space="preserve"> 25-6360 26-606</t>
        </r>
      </text>
    </comment>
    <comment ref="A788" authorId="0" shapeId="0" xr:uid="{00000000-0006-0000-0000-00008C010000}">
      <text>
        <r>
          <rPr>
            <sz val="9"/>
            <color indexed="81"/>
            <rFont val="MS P ゴシック"/>
            <family val="3"/>
            <charset val="128"/>
          </rPr>
          <t xml:space="preserve"> 25-6363 26-608</t>
        </r>
      </text>
    </comment>
    <comment ref="A790" authorId="0" shapeId="0" xr:uid="{00000000-0006-0000-0000-00008D010000}">
      <text>
        <r>
          <rPr>
            <sz val="9"/>
            <color indexed="81"/>
            <rFont val="MS P ゴシック"/>
            <family val="3"/>
            <charset val="128"/>
          </rPr>
          <t xml:space="preserve"> 25-6364 26-609</t>
        </r>
      </text>
    </comment>
    <comment ref="A792" authorId="0" shapeId="0" xr:uid="{00000000-0006-0000-0000-00008E010000}">
      <text>
        <r>
          <rPr>
            <sz val="9"/>
            <color indexed="81"/>
            <rFont val="MS P ゴシック"/>
            <family val="3"/>
            <charset val="128"/>
          </rPr>
          <t xml:space="preserve"> 25-6426 26-630</t>
        </r>
      </text>
    </comment>
    <comment ref="A794" authorId="0" shapeId="0" xr:uid="{00000000-0006-0000-0000-00008F010000}">
      <text>
        <r>
          <rPr>
            <sz val="9"/>
            <color indexed="81"/>
            <rFont val="MS P ゴシック"/>
            <family val="3"/>
            <charset val="128"/>
          </rPr>
          <t xml:space="preserve"> 25-6472 26-645</t>
        </r>
      </text>
    </comment>
    <comment ref="A796" authorId="0" shapeId="0" xr:uid="{00000000-0006-0000-0000-000090010000}">
      <text>
        <r>
          <rPr>
            <sz val="9"/>
            <color indexed="81"/>
            <rFont val="MS P ゴシック"/>
            <family val="3"/>
            <charset val="128"/>
          </rPr>
          <t xml:space="preserve"> 25-6521 26-668</t>
        </r>
      </text>
    </comment>
    <comment ref="A798" authorId="0" shapeId="0" xr:uid="{00000000-0006-0000-0000-000091010000}">
      <text>
        <r>
          <rPr>
            <sz val="9"/>
            <color indexed="81"/>
            <rFont val="MS P ゴシック"/>
            <family val="3"/>
            <charset val="128"/>
          </rPr>
          <t xml:space="preserve"> 25-6563 26-691</t>
        </r>
      </text>
    </comment>
    <comment ref="A800" authorId="0" shapeId="0" xr:uid="{00000000-0006-0000-0000-000092010000}">
      <text>
        <r>
          <rPr>
            <sz val="9"/>
            <color indexed="81"/>
            <rFont val="MS P ゴシック"/>
            <family val="3"/>
            <charset val="128"/>
          </rPr>
          <t xml:space="preserve"> 25-6596 26-718</t>
        </r>
      </text>
    </comment>
    <comment ref="A802" authorId="0" shapeId="0" xr:uid="{00000000-0006-0000-0000-000093010000}">
      <text>
        <r>
          <rPr>
            <sz val="9"/>
            <color indexed="81"/>
            <rFont val="MS P ゴシック"/>
            <family val="3"/>
            <charset val="128"/>
          </rPr>
          <t xml:space="preserve"> 25-6652 26-753</t>
        </r>
      </text>
    </comment>
    <comment ref="A804" authorId="0" shapeId="0" xr:uid="{00000000-0006-0000-0000-000094010000}">
      <text>
        <r>
          <rPr>
            <sz val="9"/>
            <color indexed="81"/>
            <rFont val="MS P ゴシック"/>
            <family val="3"/>
            <charset val="128"/>
          </rPr>
          <t xml:space="preserve"> 25-6750 26-841</t>
        </r>
      </text>
    </comment>
    <comment ref="A806" authorId="0" shapeId="0" xr:uid="{00000000-0006-0000-0000-000095010000}">
      <text>
        <r>
          <rPr>
            <sz val="9"/>
            <color indexed="81"/>
            <rFont val="MS P ゴシック"/>
            <family val="3"/>
            <charset val="128"/>
          </rPr>
          <t>14-3291 15-972 16-054 17-036 K18-1 k19-1 K20-1 K21-001 K22-001 K23-001 K24-001 K25-001 26-859</t>
        </r>
      </text>
    </comment>
    <comment ref="A808" authorId="0" shapeId="0" xr:uid="{00000000-0006-0000-0000-000096010000}">
      <text>
        <r>
          <rPr>
            <sz val="9"/>
            <color indexed="81"/>
            <rFont val="MS P ゴシック"/>
            <family val="3"/>
            <charset val="128"/>
          </rPr>
          <t>17-6979 S18-10 S19-5 S20-4 S21-003 S22-003 S23-003 S24-003 S25-003 26-860</t>
        </r>
      </text>
    </comment>
    <comment ref="A810" authorId="0" shapeId="0" xr:uid="{00000000-0006-0000-0000-000097010000}">
      <text>
        <r>
          <rPr>
            <sz val="9"/>
            <color indexed="81"/>
            <rFont val="MS P ゴシック"/>
            <family val="3"/>
            <charset val="128"/>
          </rPr>
          <t>17-7852 S18-13 S19-6 S20-5 S21-004 S22-004 S23-004 S24-004 S25-004 26-861</t>
        </r>
      </text>
    </comment>
    <comment ref="A812" authorId="0" shapeId="0" xr:uid="{00000000-0006-0000-0000-000098010000}">
      <text>
        <r>
          <rPr>
            <sz val="9"/>
            <color indexed="81"/>
            <rFont val="MS P ゴシック"/>
            <family val="3"/>
            <charset val="128"/>
          </rPr>
          <t>S18-103 S19-39 S20-20 S21-012 S22-011 S23-009 S24-008 S25-007 26-862</t>
        </r>
      </text>
    </comment>
    <comment ref="A814" authorId="0" shapeId="0" xr:uid="{00000000-0006-0000-0000-000099010000}">
      <text>
        <r>
          <rPr>
            <sz val="9"/>
            <color indexed="81"/>
            <rFont val="MS P ゴシック"/>
            <family val="3"/>
            <charset val="128"/>
          </rPr>
          <t>K18-105 K19-40 K20-21 K21-013 K22-012 K23-010 K24-009 K25-008 26-863</t>
        </r>
      </text>
    </comment>
    <comment ref="A816" authorId="0" shapeId="0" xr:uid="{00000000-0006-0000-0000-00009A010000}">
      <text>
        <r>
          <rPr>
            <sz val="9"/>
            <color indexed="81"/>
            <rFont val="MS P ゴシック"/>
            <family val="3"/>
            <charset val="128"/>
          </rPr>
          <t>K19-112 K20-37 K21-022 K22-019 K23-014 K24-012 K25-010 26-864</t>
        </r>
      </text>
    </comment>
    <comment ref="A818" authorId="0" shapeId="0" xr:uid="{00000000-0006-0000-0000-00009B010000}">
      <text>
        <r>
          <rPr>
            <sz val="9"/>
            <color indexed="81"/>
            <rFont val="MS P ゴシック"/>
            <family val="3"/>
            <charset val="128"/>
          </rPr>
          <t>K19-152 K20-51 K21-029 K22-023 K23-017 K24-015 K25-012 26-865</t>
        </r>
      </text>
    </comment>
    <comment ref="A820" authorId="0" shapeId="0" xr:uid="{00000000-0006-0000-0000-00009C010000}">
      <text>
        <r>
          <rPr>
            <sz val="9"/>
            <color indexed="81"/>
            <rFont val="MS P ゴシック"/>
            <family val="3"/>
            <charset val="128"/>
          </rPr>
          <t>S20-150 S21-052 S22-033 S23-020 S24-018 S25-015 26-868</t>
        </r>
      </text>
    </comment>
    <comment ref="A822" authorId="0" shapeId="0" xr:uid="{00000000-0006-0000-0000-00009D010000}">
      <text>
        <r>
          <rPr>
            <sz val="9"/>
            <color indexed="81"/>
            <rFont val="MS P ゴシック"/>
            <family val="3"/>
            <charset val="128"/>
          </rPr>
          <t>K20-160 K21-055 K22-036 K23-022 K24-019 K25-016 26-869</t>
        </r>
      </text>
    </comment>
    <comment ref="A824" authorId="0" shapeId="0" xr:uid="{00000000-0006-0000-0000-00009E010000}">
      <text>
        <r>
          <rPr>
            <sz val="9"/>
            <color indexed="81"/>
            <rFont val="MS P ゴシック"/>
            <family val="3"/>
            <charset val="128"/>
          </rPr>
          <t>K20-230 K21-062 K22-039 K23-023 K24-020 K25-017 26-870</t>
        </r>
      </text>
    </comment>
    <comment ref="A826" authorId="0" shapeId="0" xr:uid="{00000000-0006-0000-0000-00009F010000}">
      <text>
        <r>
          <rPr>
            <sz val="9"/>
            <color indexed="81"/>
            <rFont val="MS P ゴシック"/>
            <family val="3"/>
            <charset val="128"/>
          </rPr>
          <t>K20-324 K21-111 K22-045 K23-026 K24-022 K25-019 26-871</t>
        </r>
      </text>
    </comment>
    <comment ref="A828" authorId="0" shapeId="0" xr:uid="{00000000-0006-0000-0000-0000A0010000}">
      <text>
        <r>
          <rPr>
            <sz val="9"/>
            <color indexed="81"/>
            <rFont val="MS P ゴシック"/>
            <family val="3"/>
            <charset val="128"/>
          </rPr>
          <t>K21-126 K22-047 K23-027 K24-023 K25-020 26-872</t>
        </r>
      </text>
    </comment>
    <comment ref="A830" authorId="0" shapeId="0" xr:uid="{00000000-0006-0000-0000-0000A1010000}">
      <text>
        <r>
          <rPr>
            <sz val="9"/>
            <color indexed="81"/>
            <rFont val="MS P ゴシック"/>
            <family val="3"/>
            <charset val="128"/>
          </rPr>
          <t>K21-151 K22-051 K23-029 K24-024 K25-021 26-873</t>
        </r>
      </text>
    </comment>
    <comment ref="A832" authorId="0" shapeId="0" xr:uid="{00000000-0006-0000-0000-0000A2010000}">
      <text>
        <r>
          <rPr>
            <sz val="9"/>
            <color indexed="81"/>
            <rFont val="MS P ゴシック"/>
            <family val="3"/>
            <charset val="128"/>
          </rPr>
          <t>K21-276ｂ K22-068 K23-034 K24-026 K25-022 26-874</t>
        </r>
      </text>
    </comment>
    <comment ref="A834" authorId="0" shapeId="0" xr:uid="{00000000-0006-0000-0000-0000A3010000}">
      <text>
        <r>
          <rPr>
            <sz val="9"/>
            <color indexed="81"/>
            <rFont val="MS P ゴシック"/>
            <family val="3"/>
            <charset val="128"/>
          </rPr>
          <t xml:space="preserve"> K22-116 K23-042 K24-030 K25-024 26-875</t>
        </r>
      </text>
    </comment>
    <comment ref="A836" authorId="0" shapeId="0" xr:uid="{00000000-0006-0000-0000-0000A4010000}">
      <text>
        <r>
          <rPr>
            <sz val="9"/>
            <color indexed="81"/>
            <rFont val="MS P ゴシック"/>
            <family val="3"/>
            <charset val="128"/>
          </rPr>
          <t xml:space="preserve"> K22-127 K23-044 K24-031 K25-025 26-876</t>
        </r>
      </text>
    </comment>
    <comment ref="A838" authorId="0" shapeId="0" xr:uid="{00000000-0006-0000-0000-0000A5010000}">
      <text>
        <r>
          <rPr>
            <sz val="9"/>
            <color indexed="81"/>
            <rFont val="MS P ゴシック"/>
            <family val="3"/>
            <charset val="128"/>
          </rPr>
          <t xml:space="preserve"> K22-139 K23-046 K24-032 K25-026 26-877</t>
        </r>
      </text>
    </comment>
    <comment ref="A840" authorId="0" shapeId="0" xr:uid="{00000000-0006-0000-0000-0000A6010000}">
      <text>
        <r>
          <rPr>
            <sz val="9"/>
            <color indexed="81"/>
            <rFont val="MS P ゴシック"/>
            <family val="3"/>
            <charset val="128"/>
          </rPr>
          <t xml:space="preserve"> S22-198 S23-061 S24-040 S25-030 26-878</t>
        </r>
      </text>
    </comment>
    <comment ref="A842" authorId="0" shapeId="0" xr:uid="{00000000-0006-0000-0000-0000A7010000}">
      <text>
        <r>
          <rPr>
            <sz val="9"/>
            <color indexed="81"/>
            <rFont val="MS P ゴシック"/>
            <family val="3"/>
            <charset val="128"/>
          </rPr>
          <t xml:space="preserve"> S22-234 S23-065 S24-041 S25-031 26-879</t>
        </r>
      </text>
    </comment>
    <comment ref="A844" authorId="0" shapeId="0" xr:uid="{00000000-0006-0000-0000-0000A8010000}">
      <text>
        <r>
          <rPr>
            <sz val="9"/>
            <color indexed="81"/>
            <rFont val="MS P ゴシック"/>
            <family val="3"/>
            <charset val="128"/>
          </rPr>
          <t xml:space="preserve"> K22-249 K23-067 K24-042 K25-032 26-880</t>
        </r>
      </text>
    </comment>
    <comment ref="A846" authorId="0" shapeId="0" xr:uid="{00000000-0006-0000-0000-0000A9010000}">
      <text>
        <r>
          <rPr>
            <sz val="9"/>
            <color indexed="81"/>
            <rFont val="MS P ゴシック"/>
            <family val="3"/>
            <charset val="128"/>
          </rPr>
          <t xml:space="preserve"> S22-271 S23-075 S24-044 S25-033 26-881</t>
        </r>
      </text>
    </comment>
    <comment ref="A848" authorId="0" shapeId="0" xr:uid="{00000000-0006-0000-0000-0000AA010000}">
      <text>
        <r>
          <rPr>
            <sz val="9"/>
            <color indexed="81"/>
            <rFont val="MS P ゴシック"/>
            <family val="3"/>
            <charset val="128"/>
          </rPr>
          <t xml:space="preserve"> K22-295 K23-086 K24-045 K25-034 26-882</t>
        </r>
      </text>
    </comment>
    <comment ref="A850" authorId="0" shapeId="0" xr:uid="{00000000-0006-0000-0000-0000AB010000}">
      <text>
        <r>
          <rPr>
            <sz val="9"/>
            <color indexed="81"/>
            <rFont val="MS P ゴシック"/>
            <family val="3"/>
            <charset val="128"/>
          </rPr>
          <t xml:space="preserve"> K22-302 K23-092 K24-046 K25-035 26-883</t>
        </r>
      </text>
    </comment>
    <comment ref="A852" authorId="0" shapeId="0" xr:uid="{00000000-0006-0000-0000-0000AC010000}">
      <text>
        <r>
          <rPr>
            <sz val="9"/>
            <color indexed="81"/>
            <rFont val="MS P ゴシック"/>
            <family val="3"/>
            <charset val="128"/>
          </rPr>
          <t>K22-314 K23-104 K24-049 K25-036 26-884</t>
        </r>
      </text>
    </comment>
    <comment ref="A854" authorId="0" shapeId="0" xr:uid="{00000000-0006-0000-0000-0000AD010000}">
      <text>
        <r>
          <rPr>
            <sz val="9"/>
            <color indexed="81"/>
            <rFont val="MS P ゴシック"/>
            <family val="3"/>
            <charset val="128"/>
          </rPr>
          <t xml:space="preserve"> K23-110 K24-050 K25-037 26-885</t>
        </r>
      </text>
    </comment>
    <comment ref="A856" authorId="0" shapeId="0" xr:uid="{00000000-0006-0000-0000-0000AE010000}">
      <text>
        <r>
          <rPr>
            <sz val="9"/>
            <color indexed="81"/>
            <rFont val="MS P ゴシック"/>
            <family val="3"/>
            <charset val="128"/>
          </rPr>
          <t xml:space="preserve"> K23-166 K24-052 K25-038 26-886</t>
        </r>
      </text>
    </comment>
    <comment ref="A858" authorId="0" shapeId="0" xr:uid="{00000000-0006-0000-0000-0000AF010000}">
      <text>
        <r>
          <rPr>
            <sz val="9"/>
            <color indexed="81"/>
            <rFont val="MS P ゴシック"/>
            <family val="3"/>
            <charset val="128"/>
          </rPr>
          <t xml:space="preserve"> S23-205b S24-056 S25-040 26-887</t>
        </r>
      </text>
    </comment>
    <comment ref="A860" authorId="0" shapeId="0" xr:uid="{00000000-0006-0000-0000-0000B0010000}">
      <text>
        <r>
          <rPr>
            <sz val="9"/>
            <color indexed="81"/>
            <rFont val="MS P ゴシック"/>
            <family val="3"/>
            <charset val="128"/>
          </rPr>
          <t xml:space="preserve"> K23-225 K24-062 K25-042 26-888</t>
        </r>
      </text>
    </comment>
    <comment ref="A862" authorId="0" shapeId="0" xr:uid="{00000000-0006-0000-0000-0000B1010000}">
      <text>
        <r>
          <rPr>
            <sz val="9"/>
            <color indexed="81"/>
            <rFont val="MS P ゴシック"/>
            <family val="3"/>
            <charset val="128"/>
          </rPr>
          <t xml:space="preserve"> K23-240 K24-065 K25-043 26-889</t>
        </r>
      </text>
    </comment>
    <comment ref="A864" authorId="0" shapeId="0" xr:uid="{00000000-0006-0000-0000-0000B2010000}">
      <text>
        <r>
          <rPr>
            <sz val="9"/>
            <color indexed="81"/>
            <rFont val="MS P ゴシック"/>
            <family val="3"/>
            <charset val="128"/>
          </rPr>
          <t xml:space="preserve"> K23-298 K24-088 K25-045 26-890</t>
        </r>
      </text>
    </comment>
    <comment ref="A866" authorId="0" shapeId="0" xr:uid="{00000000-0006-0000-0000-0000B3010000}">
      <text>
        <r>
          <rPr>
            <sz val="9"/>
            <color indexed="81"/>
            <rFont val="MS P ゴシック"/>
            <family val="3"/>
            <charset val="128"/>
          </rPr>
          <t xml:space="preserve"> K24-105 K25-048 26-892</t>
        </r>
      </text>
    </comment>
    <comment ref="A868" authorId="0" shapeId="0" xr:uid="{00000000-0006-0000-0000-0000B4010000}">
      <text>
        <r>
          <rPr>
            <sz val="9"/>
            <color indexed="81"/>
            <rFont val="MS P ゴシック"/>
            <family val="3"/>
            <charset val="128"/>
          </rPr>
          <t xml:space="preserve"> K24-106 K25-049 26-893</t>
        </r>
      </text>
    </comment>
    <comment ref="A870" authorId="0" shapeId="0" xr:uid="{00000000-0006-0000-0000-0000B5010000}">
      <text>
        <r>
          <rPr>
            <sz val="9"/>
            <color indexed="81"/>
            <rFont val="MS P ゴシック"/>
            <family val="3"/>
            <charset val="128"/>
          </rPr>
          <t xml:space="preserve"> K24-110 K25-050 26-894</t>
        </r>
      </text>
    </comment>
    <comment ref="A872" authorId="0" shapeId="0" xr:uid="{00000000-0006-0000-0000-0000B6010000}">
      <text>
        <r>
          <rPr>
            <sz val="9"/>
            <color indexed="81"/>
            <rFont val="MS P ゴシック"/>
            <family val="3"/>
            <charset val="128"/>
          </rPr>
          <t xml:space="preserve"> S24-113 S25-052 26-895</t>
        </r>
      </text>
    </comment>
    <comment ref="A874" authorId="0" shapeId="0" xr:uid="{00000000-0006-0000-0000-0000B7010000}">
      <text>
        <r>
          <rPr>
            <sz val="9"/>
            <color indexed="81"/>
            <rFont val="MS P ゴシック"/>
            <family val="3"/>
            <charset val="128"/>
          </rPr>
          <t xml:space="preserve"> S24-117 S25-053 26-896</t>
        </r>
      </text>
    </comment>
    <comment ref="A876" authorId="0" shapeId="0" xr:uid="{00000000-0006-0000-0000-0000B8010000}">
      <text>
        <r>
          <rPr>
            <sz val="9"/>
            <color indexed="81"/>
            <rFont val="MS P ゴシック"/>
            <family val="3"/>
            <charset val="128"/>
          </rPr>
          <t xml:space="preserve"> K24-129 K25-056 26-897</t>
        </r>
      </text>
    </comment>
    <comment ref="A878" authorId="0" shapeId="0" xr:uid="{00000000-0006-0000-0000-0000B9010000}">
      <text>
        <r>
          <rPr>
            <sz val="9"/>
            <color indexed="81"/>
            <rFont val="MS P ゴシック"/>
            <family val="3"/>
            <charset val="128"/>
          </rPr>
          <t xml:space="preserve"> S24-134 S25-058 26-898</t>
        </r>
      </text>
    </comment>
    <comment ref="A880" authorId="0" shapeId="0" xr:uid="{00000000-0006-0000-0000-0000BA010000}">
      <text>
        <r>
          <rPr>
            <sz val="9"/>
            <color indexed="81"/>
            <rFont val="MS P ゴシック"/>
            <family val="3"/>
            <charset val="128"/>
          </rPr>
          <t xml:space="preserve"> S24-162 S25-062 26-901</t>
        </r>
      </text>
    </comment>
    <comment ref="A882" authorId="0" shapeId="0" xr:uid="{00000000-0006-0000-0000-0000BB010000}">
      <text>
        <r>
          <rPr>
            <sz val="9"/>
            <color indexed="81"/>
            <rFont val="MS P ゴシック"/>
            <family val="3"/>
            <charset val="128"/>
          </rPr>
          <t xml:space="preserve"> S24-188 S25-066 26-902</t>
        </r>
      </text>
    </comment>
    <comment ref="A884" authorId="0" shapeId="0" xr:uid="{00000000-0006-0000-0000-0000BC010000}">
      <text>
        <r>
          <rPr>
            <sz val="9"/>
            <color indexed="81"/>
            <rFont val="MS P ゴシック"/>
            <family val="3"/>
            <charset val="128"/>
          </rPr>
          <t>K19-123 K20-41 K21-025 K22-022 K23-016 K24-014 K25-011 R25-010 26-903</t>
        </r>
      </text>
    </comment>
    <comment ref="A886" authorId="0" shapeId="0" xr:uid="{00000000-0006-0000-0000-0000BD010000}">
      <text>
        <r>
          <rPr>
            <sz val="9"/>
            <color indexed="81"/>
            <rFont val="MS P ゴシック"/>
            <family val="3"/>
            <charset val="128"/>
          </rPr>
          <t xml:space="preserve"> 26-934</t>
        </r>
      </text>
    </comment>
    <comment ref="A888" authorId="0" shapeId="0" xr:uid="{00000000-0006-0000-0000-0000BE010000}">
      <text>
        <r>
          <rPr>
            <sz val="9"/>
            <color indexed="81"/>
            <rFont val="MS P ゴシック"/>
            <family val="3"/>
            <charset val="128"/>
          </rPr>
          <t xml:space="preserve"> 26-949</t>
        </r>
      </text>
    </comment>
    <comment ref="A890" authorId="0" shapeId="0" xr:uid="{00000000-0006-0000-0000-0000BF010000}">
      <text>
        <r>
          <rPr>
            <sz val="9"/>
            <color indexed="81"/>
            <rFont val="MS P ゴシック"/>
            <family val="3"/>
            <charset val="128"/>
          </rPr>
          <t xml:space="preserve"> 26-953</t>
        </r>
      </text>
    </comment>
    <comment ref="A892" authorId="0" shapeId="0" xr:uid="{00000000-0006-0000-0000-0000C0010000}">
      <text>
        <r>
          <rPr>
            <sz val="9"/>
            <color indexed="81"/>
            <rFont val="MS P ゴシック"/>
            <family val="3"/>
            <charset val="128"/>
          </rPr>
          <t xml:space="preserve"> 26-1022</t>
        </r>
      </text>
    </comment>
    <comment ref="A894" authorId="0" shapeId="0" xr:uid="{00000000-0006-0000-0000-0000C1010000}">
      <text>
        <r>
          <rPr>
            <sz val="9"/>
            <color indexed="81"/>
            <rFont val="MS P ゴシック"/>
            <family val="3"/>
            <charset val="128"/>
          </rPr>
          <t xml:space="preserve"> 26-1023</t>
        </r>
      </text>
    </comment>
    <comment ref="A896" authorId="0" shapeId="0" xr:uid="{00000000-0006-0000-0000-0000C2010000}">
      <text>
        <r>
          <rPr>
            <sz val="9"/>
            <color indexed="81"/>
            <rFont val="MS P ゴシック"/>
            <family val="3"/>
            <charset val="128"/>
          </rPr>
          <t xml:space="preserve"> 26-1027</t>
        </r>
      </text>
    </comment>
    <comment ref="A898" authorId="0" shapeId="0" xr:uid="{00000000-0006-0000-0000-0000C3010000}">
      <text>
        <r>
          <rPr>
            <sz val="9"/>
            <color indexed="81"/>
            <rFont val="MS P ゴシック"/>
            <family val="3"/>
            <charset val="128"/>
          </rPr>
          <t xml:space="preserve"> 26-1056</t>
        </r>
      </text>
    </comment>
    <comment ref="A900" authorId="0" shapeId="0" xr:uid="{00000000-0006-0000-0000-0000C4010000}">
      <text>
        <r>
          <rPr>
            <sz val="9"/>
            <color indexed="81"/>
            <rFont val="MS P ゴシック"/>
            <family val="3"/>
            <charset val="128"/>
          </rPr>
          <t xml:space="preserve"> 26-1060</t>
        </r>
      </text>
    </comment>
    <comment ref="A902" authorId="0" shapeId="0" xr:uid="{00000000-0006-0000-0000-0000C5010000}">
      <text>
        <r>
          <rPr>
            <sz val="9"/>
            <color indexed="81"/>
            <rFont val="MS P ゴシック"/>
            <family val="3"/>
            <charset val="128"/>
          </rPr>
          <t xml:space="preserve"> 26-1210</t>
        </r>
      </text>
    </comment>
    <comment ref="A904" authorId="0" shapeId="0" xr:uid="{00000000-0006-0000-0000-0000C6010000}">
      <text>
        <r>
          <rPr>
            <sz val="9"/>
            <color indexed="81"/>
            <rFont val="MS P ゴシック"/>
            <family val="3"/>
            <charset val="128"/>
          </rPr>
          <t xml:space="preserve"> 26-1239</t>
        </r>
      </text>
    </comment>
    <comment ref="A906" authorId="0" shapeId="0" xr:uid="{00000000-0006-0000-0000-0000C7010000}">
      <text>
        <r>
          <rPr>
            <sz val="9"/>
            <color indexed="81"/>
            <rFont val="MS P ゴシック"/>
            <family val="3"/>
            <charset val="128"/>
          </rPr>
          <t xml:space="preserve"> 26-1246</t>
        </r>
      </text>
    </comment>
    <comment ref="A908" authorId="0" shapeId="0" xr:uid="{00000000-0006-0000-0000-0000C8010000}">
      <text>
        <r>
          <rPr>
            <sz val="9"/>
            <color indexed="81"/>
            <rFont val="MS P ゴシック"/>
            <family val="3"/>
            <charset val="128"/>
          </rPr>
          <t xml:space="preserve"> 26-1247</t>
        </r>
      </text>
    </comment>
    <comment ref="A910" authorId="0" shapeId="0" xr:uid="{00000000-0006-0000-0000-0000C9010000}">
      <text>
        <r>
          <rPr>
            <sz val="9"/>
            <color indexed="81"/>
            <rFont val="MS P ゴシック"/>
            <family val="3"/>
            <charset val="128"/>
          </rPr>
          <t xml:space="preserve"> 26-1250</t>
        </r>
      </text>
    </comment>
    <comment ref="A912" authorId="0" shapeId="0" xr:uid="{00000000-0006-0000-0000-0000CA010000}">
      <text>
        <r>
          <rPr>
            <sz val="9"/>
            <color indexed="81"/>
            <rFont val="MS P ゴシック"/>
            <family val="3"/>
            <charset val="128"/>
          </rPr>
          <t xml:space="preserve"> 26-1270</t>
        </r>
      </text>
    </comment>
    <comment ref="A914" authorId="0" shapeId="0" xr:uid="{00000000-0006-0000-0000-0000CB010000}">
      <text>
        <r>
          <rPr>
            <sz val="9"/>
            <color indexed="81"/>
            <rFont val="MS P ゴシック"/>
            <family val="3"/>
            <charset val="128"/>
          </rPr>
          <t xml:space="preserve"> 26-1272</t>
        </r>
      </text>
    </comment>
    <comment ref="A916" authorId="0" shapeId="0" xr:uid="{00000000-0006-0000-0000-0000CC010000}">
      <text>
        <r>
          <rPr>
            <sz val="9"/>
            <color indexed="81"/>
            <rFont val="MS P ゴシック"/>
            <family val="3"/>
            <charset val="128"/>
          </rPr>
          <t xml:space="preserve"> 26-1325</t>
        </r>
      </text>
    </comment>
    <comment ref="A918" authorId="0" shapeId="0" xr:uid="{00000000-0006-0000-0000-0000CD010000}">
      <text>
        <r>
          <rPr>
            <sz val="9"/>
            <color indexed="81"/>
            <rFont val="MS P ゴシック"/>
            <family val="3"/>
            <charset val="128"/>
          </rPr>
          <t xml:space="preserve"> 26-1330</t>
        </r>
      </text>
    </comment>
    <comment ref="A920" authorId="0" shapeId="0" xr:uid="{00000000-0006-0000-0000-0000CE010000}">
      <text>
        <r>
          <rPr>
            <sz val="9"/>
            <color indexed="81"/>
            <rFont val="MS P ゴシック"/>
            <family val="3"/>
            <charset val="128"/>
          </rPr>
          <t xml:space="preserve"> 26-1343</t>
        </r>
      </text>
    </comment>
    <comment ref="A922" authorId="0" shapeId="0" xr:uid="{00000000-0006-0000-0000-0000CF010000}">
      <text>
        <r>
          <rPr>
            <sz val="9"/>
            <color indexed="81"/>
            <rFont val="MS P ゴシック"/>
            <family val="3"/>
            <charset val="128"/>
          </rPr>
          <t xml:space="preserve"> 26-1375</t>
        </r>
      </text>
    </comment>
    <comment ref="A924" authorId="0" shapeId="0" xr:uid="{00000000-0006-0000-0000-0000D0010000}">
      <text>
        <r>
          <rPr>
            <sz val="9"/>
            <color indexed="81"/>
            <rFont val="MS P ゴシック"/>
            <family val="3"/>
            <charset val="128"/>
          </rPr>
          <t xml:space="preserve"> 26-1400</t>
        </r>
      </text>
    </comment>
    <comment ref="A926" authorId="0" shapeId="0" xr:uid="{00000000-0006-0000-0000-0000D1010000}">
      <text>
        <r>
          <rPr>
            <sz val="9"/>
            <color indexed="81"/>
            <rFont val="MS P ゴシック"/>
            <family val="3"/>
            <charset val="128"/>
          </rPr>
          <t xml:space="preserve"> 26-1448</t>
        </r>
      </text>
    </comment>
    <comment ref="A928" authorId="0" shapeId="0" xr:uid="{00000000-0006-0000-0000-0000D2010000}">
      <text>
        <r>
          <rPr>
            <sz val="9"/>
            <color indexed="81"/>
            <rFont val="MS P ゴシック"/>
            <family val="3"/>
            <charset val="128"/>
          </rPr>
          <t xml:space="preserve"> 26-1667</t>
        </r>
      </text>
    </comment>
    <comment ref="A930" authorId="0" shapeId="0" xr:uid="{00000000-0006-0000-0000-0000D3010000}">
      <text>
        <r>
          <rPr>
            <sz val="9"/>
            <color indexed="81"/>
            <rFont val="MS P ゴシック"/>
            <family val="3"/>
            <charset val="128"/>
          </rPr>
          <t xml:space="preserve"> 26-1680</t>
        </r>
      </text>
    </comment>
    <comment ref="A932" authorId="0" shapeId="0" xr:uid="{00000000-0006-0000-0000-0000D4010000}">
      <text>
        <r>
          <rPr>
            <sz val="9"/>
            <color indexed="81"/>
            <rFont val="MS P ゴシック"/>
            <family val="3"/>
            <charset val="128"/>
          </rPr>
          <t xml:space="preserve"> 26-1704</t>
        </r>
      </text>
    </comment>
    <comment ref="A934" authorId="0" shapeId="0" xr:uid="{00000000-0006-0000-0000-0000D5010000}">
      <text>
        <r>
          <rPr>
            <sz val="9"/>
            <color indexed="81"/>
            <rFont val="MS P ゴシック"/>
            <family val="3"/>
            <charset val="128"/>
          </rPr>
          <t xml:space="preserve"> 26-1843</t>
        </r>
      </text>
    </comment>
    <comment ref="A936" authorId="0" shapeId="0" xr:uid="{00000000-0006-0000-0000-0000D6010000}">
      <text>
        <r>
          <rPr>
            <sz val="9"/>
            <color indexed="81"/>
            <rFont val="MS P ゴシック"/>
            <family val="3"/>
            <charset val="128"/>
          </rPr>
          <t xml:space="preserve"> 26-1860</t>
        </r>
      </text>
    </comment>
    <comment ref="A938" authorId="0" shapeId="0" xr:uid="{00000000-0006-0000-0000-0000D7010000}">
      <text>
        <r>
          <rPr>
            <sz val="9"/>
            <color indexed="81"/>
            <rFont val="MS P ゴシック"/>
            <family val="3"/>
            <charset val="128"/>
          </rPr>
          <t xml:space="preserve"> 26-1907</t>
        </r>
      </text>
    </comment>
    <comment ref="A940" authorId="0" shapeId="0" xr:uid="{00000000-0006-0000-0000-0000D8010000}">
      <text>
        <r>
          <rPr>
            <sz val="9"/>
            <color indexed="81"/>
            <rFont val="MS P ゴシック"/>
            <family val="3"/>
            <charset val="128"/>
          </rPr>
          <t xml:space="preserve"> 26-1915</t>
        </r>
      </text>
    </comment>
    <comment ref="A942" authorId="0" shapeId="0" xr:uid="{00000000-0006-0000-0000-0000D9010000}">
      <text>
        <r>
          <rPr>
            <sz val="9"/>
            <color indexed="81"/>
            <rFont val="MS P ゴシック"/>
            <family val="3"/>
            <charset val="128"/>
          </rPr>
          <t xml:space="preserve"> 26-1967</t>
        </r>
      </text>
    </comment>
    <comment ref="A944" authorId="0" shapeId="0" xr:uid="{00000000-0006-0000-0000-0000DA010000}">
      <text>
        <r>
          <rPr>
            <sz val="9"/>
            <color indexed="81"/>
            <rFont val="MS P ゴシック"/>
            <family val="3"/>
            <charset val="128"/>
          </rPr>
          <t xml:space="preserve"> 26-2014</t>
        </r>
      </text>
    </comment>
    <comment ref="A946" authorId="0" shapeId="0" xr:uid="{00000000-0006-0000-0000-0000DB010000}">
      <text>
        <r>
          <rPr>
            <sz val="9"/>
            <color indexed="81"/>
            <rFont val="MS P ゴシック"/>
            <family val="3"/>
            <charset val="128"/>
          </rPr>
          <t xml:space="preserve"> 26-2062</t>
        </r>
      </text>
    </comment>
    <comment ref="A948" authorId="0" shapeId="0" xr:uid="{00000000-0006-0000-0000-0000DC010000}">
      <text>
        <r>
          <rPr>
            <sz val="9"/>
            <color indexed="81"/>
            <rFont val="MS P ゴシック"/>
            <family val="3"/>
            <charset val="128"/>
          </rPr>
          <t xml:space="preserve"> 26-2084</t>
        </r>
      </text>
    </comment>
    <comment ref="A950" authorId="0" shapeId="0" xr:uid="{00000000-0006-0000-0000-0000DD010000}">
      <text>
        <r>
          <rPr>
            <sz val="9"/>
            <color indexed="81"/>
            <rFont val="MS P ゴシック"/>
            <family val="3"/>
            <charset val="128"/>
          </rPr>
          <t xml:space="preserve"> 26-2085</t>
        </r>
      </text>
    </comment>
    <comment ref="A952" authorId="0" shapeId="0" xr:uid="{00000000-0006-0000-0000-0000DE010000}">
      <text>
        <r>
          <rPr>
            <sz val="9"/>
            <color indexed="81"/>
            <rFont val="MS P ゴシック"/>
            <family val="3"/>
            <charset val="128"/>
          </rPr>
          <t xml:space="preserve"> 26-2089</t>
        </r>
      </text>
    </comment>
    <comment ref="A954" authorId="0" shapeId="0" xr:uid="{00000000-0006-0000-0000-0000DF010000}">
      <text>
        <r>
          <rPr>
            <sz val="9"/>
            <color indexed="81"/>
            <rFont val="MS P ゴシック"/>
            <family val="3"/>
            <charset val="128"/>
          </rPr>
          <t xml:space="preserve"> 26-2167</t>
        </r>
      </text>
    </comment>
    <comment ref="A956" authorId="0" shapeId="0" xr:uid="{00000000-0006-0000-0000-0000E0010000}">
      <text>
        <r>
          <rPr>
            <sz val="9"/>
            <color indexed="81"/>
            <rFont val="MS P ゴシック"/>
            <family val="3"/>
            <charset val="128"/>
          </rPr>
          <t xml:space="preserve"> 26-2222</t>
        </r>
      </text>
    </comment>
    <comment ref="A958" authorId="0" shapeId="0" xr:uid="{00000000-0006-0000-0000-0000E1010000}">
      <text>
        <r>
          <rPr>
            <sz val="9"/>
            <color indexed="81"/>
            <rFont val="MS P ゴシック"/>
            <family val="3"/>
            <charset val="128"/>
          </rPr>
          <t xml:space="preserve"> 26-2237</t>
        </r>
      </text>
    </comment>
    <comment ref="A960" authorId="0" shapeId="0" xr:uid="{00000000-0006-0000-0000-0000E2010000}">
      <text>
        <r>
          <rPr>
            <sz val="9"/>
            <color indexed="81"/>
            <rFont val="MS P ゴシック"/>
            <family val="3"/>
            <charset val="128"/>
          </rPr>
          <t xml:space="preserve"> 26-2246</t>
        </r>
      </text>
    </comment>
    <comment ref="A962" authorId="0" shapeId="0" xr:uid="{00000000-0006-0000-0000-0000E3010000}">
      <text>
        <r>
          <rPr>
            <sz val="9"/>
            <color indexed="81"/>
            <rFont val="MS P ゴシック"/>
            <family val="3"/>
            <charset val="128"/>
          </rPr>
          <t xml:space="preserve"> 26-2404</t>
        </r>
      </text>
    </comment>
    <comment ref="A964" authorId="0" shapeId="0" xr:uid="{00000000-0006-0000-0000-0000E4010000}">
      <text>
        <r>
          <rPr>
            <sz val="9"/>
            <color indexed="81"/>
            <rFont val="MS P ゴシック"/>
            <family val="3"/>
            <charset val="128"/>
          </rPr>
          <t xml:space="preserve"> 26-2452</t>
        </r>
      </text>
    </comment>
    <comment ref="A966" authorId="0" shapeId="0" xr:uid="{00000000-0006-0000-0000-0000E5010000}">
      <text>
        <r>
          <rPr>
            <sz val="9"/>
            <color indexed="81"/>
            <rFont val="MS P ゴシック"/>
            <family val="3"/>
            <charset val="128"/>
          </rPr>
          <t xml:space="preserve"> 26-2453</t>
        </r>
      </text>
    </comment>
    <comment ref="A968" authorId="0" shapeId="0" xr:uid="{00000000-0006-0000-0000-0000E6010000}">
      <text>
        <r>
          <rPr>
            <sz val="9"/>
            <color indexed="81"/>
            <rFont val="MS P ゴシック"/>
            <family val="3"/>
            <charset val="128"/>
          </rPr>
          <t xml:space="preserve"> 26-2636</t>
        </r>
      </text>
    </comment>
    <comment ref="A970" authorId="0" shapeId="0" xr:uid="{00000000-0006-0000-0000-0000E7010000}">
      <text>
        <r>
          <rPr>
            <sz val="9"/>
            <color indexed="81"/>
            <rFont val="MS P ゴシック"/>
            <family val="3"/>
            <charset val="128"/>
          </rPr>
          <t xml:space="preserve"> 26-2649</t>
        </r>
      </text>
    </comment>
    <comment ref="A972" authorId="0" shapeId="0" xr:uid="{00000000-0006-0000-0000-0000E8010000}">
      <text>
        <r>
          <rPr>
            <sz val="9"/>
            <color indexed="81"/>
            <rFont val="MS P ゴシック"/>
            <family val="3"/>
            <charset val="128"/>
          </rPr>
          <t xml:space="preserve"> 26-2677</t>
        </r>
      </text>
    </comment>
    <comment ref="A974" authorId="0" shapeId="0" xr:uid="{00000000-0006-0000-0000-0000E9010000}">
      <text>
        <r>
          <rPr>
            <sz val="9"/>
            <color indexed="81"/>
            <rFont val="MS P ゴシック"/>
            <family val="3"/>
            <charset val="128"/>
          </rPr>
          <t xml:space="preserve"> 26-2701</t>
        </r>
      </text>
    </comment>
    <comment ref="A976" authorId="0" shapeId="0" xr:uid="{00000000-0006-0000-0000-0000EA010000}">
      <text>
        <r>
          <rPr>
            <sz val="9"/>
            <color indexed="81"/>
            <rFont val="MS P ゴシック"/>
            <family val="3"/>
            <charset val="128"/>
          </rPr>
          <t xml:space="preserve"> 26-2764</t>
        </r>
      </text>
    </comment>
    <comment ref="A978" authorId="0" shapeId="0" xr:uid="{00000000-0006-0000-0000-0000EB010000}">
      <text>
        <r>
          <rPr>
            <sz val="9"/>
            <color indexed="81"/>
            <rFont val="MS P ゴシック"/>
            <family val="3"/>
            <charset val="128"/>
          </rPr>
          <t xml:space="preserve"> 26-2829</t>
        </r>
      </text>
    </comment>
    <comment ref="A980" authorId="0" shapeId="0" xr:uid="{00000000-0006-0000-0000-0000EC010000}">
      <text>
        <r>
          <rPr>
            <sz val="9"/>
            <color indexed="81"/>
            <rFont val="MS P ゴシック"/>
            <family val="3"/>
            <charset val="128"/>
          </rPr>
          <t xml:space="preserve"> 26-2874</t>
        </r>
      </text>
    </comment>
    <comment ref="A982" authorId="0" shapeId="0" xr:uid="{00000000-0006-0000-0000-0000ED010000}">
      <text>
        <r>
          <rPr>
            <sz val="9"/>
            <color indexed="81"/>
            <rFont val="MS P ゴシック"/>
            <family val="3"/>
            <charset val="128"/>
          </rPr>
          <t xml:space="preserve"> 26-2879</t>
        </r>
      </text>
    </comment>
    <comment ref="A984" authorId="0" shapeId="0" xr:uid="{00000000-0006-0000-0000-0000EE010000}">
      <text>
        <r>
          <rPr>
            <sz val="9"/>
            <color indexed="81"/>
            <rFont val="MS P ゴシック"/>
            <family val="3"/>
            <charset val="128"/>
          </rPr>
          <t xml:space="preserve"> 26-2881</t>
        </r>
      </text>
    </comment>
    <comment ref="A986" authorId="0" shapeId="0" xr:uid="{00000000-0006-0000-0000-0000EF010000}">
      <text>
        <r>
          <rPr>
            <sz val="9"/>
            <color indexed="81"/>
            <rFont val="MS P ゴシック"/>
            <family val="3"/>
            <charset val="128"/>
          </rPr>
          <t xml:space="preserve"> 26-2905</t>
        </r>
      </text>
    </comment>
    <comment ref="A988" authorId="0" shapeId="0" xr:uid="{00000000-0006-0000-0000-0000F0010000}">
      <text>
        <r>
          <rPr>
            <sz val="9"/>
            <color indexed="81"/>
            <rFont val="MS P ゴシック"/>
            <family val="3"/>
            <charset val="128"/>
          </rPr>
          <t xml:space="preserve"> 26-2974</t>
        </r>
      </text>
    </comment>
    <comment ref="A990" authorId="0" shapeId="0" xr:uid="{00000000-0006-0000-0000-0000F1010000}">
      <text>
        <r>
          <rPr>
            <sz val="9"/>
            <color indexed="81"/>
            <rFont val="MS P ゴシック"/>
            <family val="3"/>
            <charset val="128"/>
          </rPr>
          <t xml:space="preserve"> 26-2984</t>
        </r>
      </text>
    </comment>
    <comment ref="A992" authorId="0" shapeId="0" xr:uid="{00000000-0006-0000-0000-0000F2010000}">
      <text>
        <r>
          <rPr>
            <sz val="9"/>
            <color indexed="81"/>
            <rFont val="MS P ゴシック"/>
            <family val="3"/>
            <charset val="128"/>
          </rPr>
          <t xml:space="preserve"> 26-3041</t>
        </r>
      </text>
    </comment>
    <comment ref="A994" authorId="0" shapeId="0" xr:uid="{00000000-0006-0000-0000-0000F3010000}">
      <text>
        <r>
          <rPr>
            <sz val="9"/>
            <color indexed="81"/>
            <rFont val="MS P ゴシック"/>
            <family val="3"/>
            <charset val="128"/>
          </rPr>
          <t xml:space="preserve"> 26-3078</t>
        </r>
      </text>
    </comment>
    <comment ref="A996" authorId="0" shapeId="0" xr:uid="{00000000-0006-0000-0000-0000F4010000}">
      <text>
        <r>
          <rPr>
            <sz val="9"/>
            <color indexed="81"/>
            <rFont val="MS P ゴシック"/>
            <family val="3"/>
            <charset val="128"/>
          </rPr>
          <t xml:space="preserve"> 26-3175</t>
        </r>
      </text>
    </comment>
    <comment ref="A998" authorId="0" shapeId="0" xr:uid="{00000000-0006-0000-0000-0000F5010000}">
      <text>
        <r>
          <rPr>
            <sz val="9"/>
            <color indexed="81"/>
            <rFont val="MS P ゴシック"/>
            <family val="3"/>
            <charset val="128"/>
          </rPr>
          <t xml:space="preserve"> 26-3198</t>
        </r>
      </text>
    </comment>
    <comment ref="A1000" authorId="0" shapeId="0" xr:uid="{00000000-0006-0000-0000-0000F6010000}">
      <text>
        <r>
          <rPr>
            <sz val="9"/>
            <color indexed="81"/>
            <rFont val="MS P ゴシック"/>
            <family val="3"/>
            <charset val="128"/>
          </rPr>
          <t xml:space="preserve"> 26-3209</t>
        </r>
      </text>
    </comment>
    <comment ref="A1002" authorId="0" shapeId="0" xr:uid="{00000000-0006-0000-0000-0000F7010000}">
      <text>
        <r>
          <rPr>
            <sz val="9"/>
            <color indexed="81"/>
            <rFont val="MS P ゴシック"/>
            <family val="3"/>
            <charset val="128"/>
          </rPr>
          <t xml:space="preserve"> 26-3214</t>
        </r>
      </text>
    </comment>
    <comment ref="A1004" authorId="0" shapeId="0" xr:uid="{00000000-0006-0000-0000-0000F8010000}">
      <text>
        <r>
          <rPr>
            <sz val="9"/>
            <color indexed="81"/>
            <rFont val="MS P ゴシック"/>
            <family val="3"/>
            <charset val="128"/>
          </rPr>
          <t xml:space="preserve"> 26-3347</t>
        </r>
      </text>
    </comment>
    <comment ref="A1006" authorId="0" shapeId="0" xr:uid="{00000000-0006-0000-0000-0000F9010000}">
      <text>
        <r>
          <rPr>
            <sz val="9"/>
            <color indexed="81"/>
            <rFont val="MS P ゴシック"/>
            <family val="3"/>
            <charset val="128"/>
          </rPr>
          <t xml:space="preserve"> 26-3352</t>
        </r>
      </text>
    </comment>
    <comment ref="A1008" authorId="0" shapeId="0" xr:uid="{00000000-0006-0000-0000-0000FA010000}">
      <text>
        <r>
          <rPr>
            <sz val="9"/>
            <color indexed="81"/>
            <rFont val="MS P ゴシック"/>
            <family val="3"/>
            <charset val="128"/>
          </rPr>
          <t xml:space="preserve"> 26-3373</t>
        </r>
      </text>
    </comment>
    <comment ref="A1010" authorId="0" shapeId="0" xr:uid="{00000000-0006-0000-0000-0000FB010000}">
      <text>
        <r>
          <rPr>
            <sz val="9"/>
            <color indexed="81"/>
            <rFont val="MS P ゴシック"/>
            <family val="3"/>
            <charset val="128"/>
          </rPr>
          <t xml:space="preserve"> 26-3375</t>
        </r>
      </text>
    </comment>
    <comment ref="A1012" authorId="0" shapeId="0" xr:uid="{00000000-0006-0000-0000-0000FC010000}">
      <text>
        <r>
          <rPr>
            <sz val="9"/>
            <color indexed="81"/>
            <rFont val="MS P ゴシック"/>
            <family val="3"/>
            <charset val="128"/>
          </rPr>
          <t xml:space="preserve"> 26-3547</t>
        </r>
      </text>
    </comment>
    <comment ref="A1014" authorId="0" shapeId="0" xr:uid="{00000000-0006-0000-0000-0000FD010000}">
      <text>
        <r>
          <rPr>
            <sz val="9"/>
            <color indexed="81"/>
            <rFont val="MS P ゴシック"/>
            <family val="3"/>
            <charset val="128"/>
          </rPr>
          <t xml:space="preserve"> 26-3550</t>
        </r>
      </text>
    </comment>
    <comment ref="A1016" authorId="0" shapeId="0" xr:uid="{00000000-0006-0000-0000-0000FE010000}">
      <text>
        <r>
          <rPr>
            <sz val="9"/>
            <color indexed="81"/>
            <rFont val="MS P ゴシック"/>
            <family val="3"/>
            <charset val="128"/>
          </rPr>
          <t xml:space="preserve"> 26-3604</t>
        </r>
      </text>
    </comment>
    <comment ref="A1018" authorId="0" shapeId="0" xr:uid="{00000000-0006-0000-0000-0000FF010000}">
      <text>
        <r>
          <rPr>
            <sz val="9"/>
            <color indexed="81"/>
            <rFont val="MS P ゴシック"/>
            <family val="3"/>
            <charset val="128"/>
          </rPr>
          <t xml:space="preserve"> 26-3673</t>
        </r>
      </text>
    </comment>
    <comment ref="A1020" authorId="0" shapeId="0" xr:uid="{00000000-0006-0000-0000-000000020000}">
      <text>
        <r>
          <rPr>
            <sz val="9"/>
            <color indexed="81"/>
            <rFont val="MS P ゴシック"/>
            <family val="3"/>
            <charset val="128"/>
          </rPr>
          <t xml:space="preserve"> 26-3735</t>
        </r>
      </text>
    </comment>
    <comment ref="A1022" authorId="0" shapeId="0" xr:uid="{00000000-0006-0000-0000-000001020000}">
      <text>
        <r>
          <rPr>
            <sz val="9"/>
            <color indexed="81"/>
            <rFont val="MS P ゴシック"/>
            <family val="3"/>
            <charset val="128"/>
          </rPr>
          <t xml:space="preserve"> 26-3884</t>
        </r>
      </text>
    </comment>
    <comment ref="A1024" authorId="0" shapeId="0" xr:uid="{00000000-0006-0000-0000-000002020000}">
      <text>
        <r>
          <rPr>
            <sz val="9"/>
            <color indexed="81"/>
            <rFont val="MS P ゴシック"/>
            <family val="3"/>
            <charset val="128"/>
          </rPr>
          <t xml:space="preserve"> 26-3892</t>
        </r>
      </text>
    </comment>
    <comment ref="A1026" authorId="0" shapeId="0" xr:uid="{00000000-0006-0000-0000-000003020000}">
      <text>
        <r>
          <rPr>
            <sz val="9"/>
            <color indexed="81"/>
            <rFont val="MS P ゴシック"/>
            <family val="3"/>
            <charset val="128"/>
          </rPr>
          <t xml:space="preserve"> 26-3894</t>
        </r>
      </text>
    </comment>
    <comment ref="A1028" authorId="0" shapeId="0" xr:uid="{00000000-0006-0000-0000-000004020000}">
      <text>
        <r>
          <rPr>
            <sz val="9"/>
            <color indexed="81"/>
            <rFont val="MS P ゴシック"/>
            <family val="3"/>
            <charset val="128"/>
          </rPr>
          <t xml:space="preserve"> 26-3897</t>
        </r>
      </text>
    </comment>
    <comment ref="A1030" authorId="0" shapeId="0" xr:uid="{00000000-0006-0000-0000-000005020000}">
      <text>
        <r>
          <rPr>
            <sz val="9"/>
            <color indexed="81"/>
            <rFont val="MS P ゴシック"/>
            <family val="3"/>
            <charset val="128"/>
          </rPr>
          <t xml:space="preserve"> 26-3946</t>
        </r>
      </text>
    </comment>
    <comment ref="A1032" authorId="0" shapeId="0" xr:uid="{00000000-0006-0000-0000-000006020000}">
      <text>
        <r>
          <rPr>
            <sz val="9"/>
            <color indexed="81"/>
            <rFont val="MS P ゴシック"/>
            <family val="3"/>
            <charset val="128"/>
          </rPr>
          <t xml:space="preserve"> 26-4023</t>
        </r>
      </text>
    </comment>
    <comment ref="A1034" authorId="0" shapeId="0" xr:uid="{00000000-0006-0000-0000-000007020000}">
      <text>
        <r>
          <rPr>
            <sz val="9"/>
            <color indexed="81"/>
            <rFont val="MS P ゴシック"/>
            <family val="3"/>
            <charset val="128"/>
          </rPr>
          <t xml:space="preserve"> 26-4075</t>
        </r>
      </text>
    </comment>
    <comment ref="A1036" authorId="0" shapeId="0" xr:uid="{00000000-0006-0000-0000-000008020000}">
      <text>
        <r>
          <rPr>
            <sz val="9"/>
            <color indexed="81"/>
            <rFont val="MS P ゴシック"/>
            <family val="3"/>
            <charset val="128"/>
          </rPr>
          <t xml:space="preserve"> 26-4141</t>
        </r>
      </text>
    </comment>
    <comment ref="A1038" authorId="0" shapeId="0" xr:uid="{00000000-0006-0000-0000-000009020000}">
      <text>
        <r>
          <rPr>
            <sz val="9"/>
            <color indexed="81"/>
            <rFont val="MS P ゴシック"/>
            <family val="3"/>
            <charset val="128"/>
          </rPr>
          <t xml:space="preserve"> 26-4280</t>
        </r>
      </text>
    </comment>
    <comment ref="A1040" authorId="0" shapeId="0" xr:uid="{00000000-0006-0000-0000-00000A020000}">
      <text>
        <r>
          <rPr>
            <sz val="9"/>
            <color indexed="81"/>
            <rFont val="MS P ゴシック"/>
            <family val="3"/>
            <charset val="128"/>
          </rPr>
          <t xml:space="preserve"> 26-4297</t>
        </r>
      </text>
    </comment>
    <comment ref="A1042" authorId="0" shapeId="0" xr:uid="{00000000-0006-0000-0000-00000B020000}">
      <text>
        <r>
          <rPr>
            <sz val="9"/>
            <color indexed="81"/>
            <rFont val="MS P ゴシック"/>
            <family val="3"/>
            <charset val="128"/>
          </rPr>
          <t xml:space="preserve"> 26-4340</t>
        </r>
      </text>
    </comment>
    <comment ref="A1044" authorId="0" shapeId="0" xr:uid="{00000000-0006-0000-0000-00000C020000}">
      <text>
        <r>
          <rPr>
            <sz val="9"/>
            <color indexed="81"/>
            <rFont val="MS P ゴシック"/>
            <family val="3"/>
            <charset val="128"/>
          </rPr>
          <t xml:space="preserve"> 26-4367</t>
        </r>
      </text>
    </comment>
    <comment ref="A1046" authorId="0" shapeId="0" xr:uid="{00000000-0006-0000-0000-00000D020000}">
      <text>
        <r>
          <rPr>
            <sz val="9"/>
            <color indexed="81"/>
            <rFont val="MS P ゴシック"/>
            <family val="3"/>
            <charset val="128"/>
          </rPr>
          <t xml:space="preserve"> 26-4473</t>
        </r>
      </text>
    </comment>
    <comment ref="A1048" authorId="0" shapeId="0" xr:uid="{00000000-0006-0000-0000-00000E020000}">
      <text>
        <r>
          <rPr>
            <sz val="9"/>
            <color indexed="81"/>
            <rFont val="MS P ゴシック"/>
            <family val="3"/>
            <charset val="128"/>
          </rPr>
          <t xml:space="preserve"> 26-4499</t>
        </r>
      </text>
    </comment>
    <comment ref="A1050" authorId="0" shapeId="0" xr:uid="{00000000-0006-0000-0000-00000F020000}">
      <text>
        <r>
          <rPr>
            <sz val="9"/>
            <color indexed="81"/>
            <rFont val="MS P ゴシック"/>
            <family val="3"/>
            <charset val="128"/>
          </rPr>
          <t xml:space="preserve"> 26-4539</t>
        </r>
      </text>
    </comment>
    <comment ref="A1052" authorId="0" shapeId="0" xr:uid="{00000000-0006-0000-0000-000010020000}">
      <text>
        <r>
          <rPr>
            <sz val="9"/>
            <color indexed="81"/>
            <rFont val="MS P ゴシック"/>
            <family val="3"/>
            <charset val="128"/>
          </rPr>
          <t xml:space="preserve"> 26-4628</t>
        </r>
      </text>
    </comment>
    <comment ref="A1054" authorId="0" shapeId="0" xr:uid="{00000000-0006-0000-0000-000011020000}">
      <text>
        <r>
          <rPr>
            <sz val="9"/>
            <color indexed="81"/>
            <rFont val="MS P ゴシック"/>
            <family val="3"/>
            <charset val="128"/>
          </rPr>
          <t xml:space="preserve"> 26-4648</t>
        </r>
      </text>
    </comment>
    <comment ref="A1056" authorId="0" shapeId="0" xr:uid="{00000000-0006-0000-0000-000012020000}">
      <text>
        <r>
          <rPr>
            <sz val="9"/>
            <color indexed="81"/>
            <rFont val="MS P ゴシック"/>
            <family val="3"/>
            <charset val="128"/>
          </rPr>
          <t xml:space="preserve"> 26-4699</t>
        </r>
      </text>
    </comment>
    <comment ref="A1058" authorId="0" shapeId="0" xr:uid="{00000000-0006-0000-0000-000013020000}">
      <text>
        <r>
          <rPr>
            <sz val="9"/>
            <color indexed="81"/>
            <rFont val="MS P ゴシック"/>
            <family val="3"/>
            <charset val="128"/>
          </rPr>
          <t xml:space="preserve"> 26-4749</t>
        </r>
      </text>
    </comment>
    <comment ref="A1060" authorId="0" shapeId="0" xr:uid="{00000000-0006-0000-0000-000014020000}">
      <text>
        <r>
          <rPr>
            <sz val="9"/>
            <color indexed="81"/>
            <rFont val="MS P ゴシック"/>
            <family val="3"/>
            <charset val="128"/>
          </rPr>
          <t xml:space="preserve"> 26-4752</t>
        </r>
      </text>
    </comment>
    <comment ref="A1062" authorId="0" shapeId="0" xr:uid="{00000000-0006-0000-0000-000015020000}">
      <text>
        <r>
          <rPr>
            <sz val="9"/>
            <color indexed="81"/>
            <rFont val="MS P ゴシック"/>
            <family val="3"/>
            <charset val="128"/>
          </rPr>
          <t xml:space="preserve"> 26-4772</t>
        </r>
      </text>
    </comment>
    <comment ref="A1064" authorId="0" shapeId="0" xr:uid="{00000000-0006-0000-0000-000016020000}">
      <text>
        <r>
          <rPr>
            <sz val="9"/>
            <color indexed="81"/>
            <rFont val="MS P ゴシック"/>
            <family val="3"/>
            <charset val="128"/>
          </rPr>
          <t xml:space="preserve"> 26-4784</t>
        </r>
      </text>
    </comment>
    <comment ref="A1066" authorId="0" shapeId="0" xr:uid="{00000000-0006-0000-0000-000017020000}">
      <text>
        <r>
          <rPr>
            <sz val="9"/>
            <color indexed="81"/>
            <rFont val="MS P ゴシック"/>
            <family val="3"/>
            <charset val="128"/>
          </rPr>
          <t xml:space="preserve"> 26-4799</t>
        </r>
      </text>
    </comment>
    <comment ref="A1068" authorId="0" shapeId="0" xr:uid="{00000000-0006-0000-0000-000018020000}">
      <text>
        <r>
          <rPr>
            <sz val="9"/>
            <color indexed="81"/>
            <rFont val="MS P ゴシック"/>
            <family val="3"/>
            <charset val="128"/>
          </rPr>
          <t xml:space="preserve"> 26-4842</t>
        </r>
      </text>
    </comment>
    <comment ref="A1070" authorId="0" shapeId="0" xr:uid="{00000000-0006-0000-0000-000019020000}">
      <text>
        <r>
          <rPr>
            <sz val="9"/>
            <color indexed="81"/>
            <rFont val="MS P ゴシック"/>
            <family val="3"/>
            <charset val="128"/>
          </rPr>
          <t xml:space="preserve"> 26-4853</t>
        </r>
      </text>
    </comment>
    <comment ref="A1072" authorId="0" shapeId="0" xr:uid="{00000000-0006-0000-0000-00001A020000}">
      <text>
        <r>
          <rPr>
            <sz val="9"/>
            <color indexed="81"/>
            <rFont val="MS P ゴシック"/>
            <family val="3"/>
            <charset val="128"/>
          </rPr>
          <t xml:space="preserve"> 26-4858</t>
        </r>
      </text>
    </comment>
    <comment ref="A1074" authorId="0" shapeId="0" xr:uid="{00000000-0006-0000-0000-00001B020000}">
      <text>
        <r>
          <rPr>
            <sz val="9"/>
            <color indexed="81"/>
            <rFont val="MS P ゴシック"/>
            <family val="3"/>
            <charset val="128"/>
          </rPr>
          <t xml:space="preserve"> 26-4870</t>
        </r>
      </text>
    </comment>
    <comment ref="A1076" authorId="0" shapeId="0" xr:uid="{00000000-0006-0000-0000-00001C020000}">
      <text>
        <r>
          <rPr>
            <sz val="9"/>
            <color indexed="81"/>
            <rFont val="MS P ゴシック"/>
            <family val="3"/>
            <charset val="128"/>
          </rPr>
          <t xml:space="preserve"> 26-4893</t>
        </r>
      </text>
    </comment>
    <comment ref="A1078" authorId="0" shapeId="0" xr:uid="{00000000-0006-0000-0000-00001D020000}">
      <text>
        <r>
          <rPr>
            <sz val="9"/>
            <color indexed="81"/>
            <rFont val="MS P ゴシック"/>
            <family val="3"/>
            <charset val="128"/>
          </rPr>
          <t xml:space="preserve"> 26-4935</t>
        </r>
      </text>
    </comment>
    <comment ref="A1080" authorId="0" shapeId="0" xr:uid="{00000000-0006-0000-0000-00001E020000}">
      <text>
        <r>
          <rPr>
            <sz val="9"/>
            <color indexed="81"/>
            <rFont val="MS P ゴシック"/>
            <family val="3"/>
            <charset val="128"/>
          </rPr>
          <t xml:space="preserve"> 26-5003</t>
        </r>
      </text>
    </comment>
    <comment ref="A1082" authorId="0" shapeId="0" xr:uid="{00000000-0006-0000-0000-00001F020000}">
      <text>
        <r>
          <rPr>
            <sz val="9"/>
            <color indexed="81"/>
            <rFont val="MS P ゴシック"/>
            <family val="3"/>
            <charset val="128"/>
          </rPr>
          <t xml:space="preserve"> 26-5030</t>
        </r>
      </text>
    </comment>
    <comment ref="A1084" authorId="0" shapeId="0" xr:uid="{00000000-0006-0000-0000-000020020000}">
      <text>
        <r>
          <rPr>
            <sz val="9"/>
            <color indexed="81"/>
            <rFont val="MS P ゴシック"/>
            <family val="3"/>
            <charset val="128"/>
          </rPr>
          <t xml:space="preserve"> 26-5034</t>
        </r>
      </text>
    </comment>
    <comment ref="A1086" authorId="0" shapeId="0" xr:uid="{00000000-0006-0000-0000-000021020000}">
      <text>
        <r>
          <rPr>
            <sz val="9"/>
            <color indexed="81"/>
            <rFont val="MS P ゴシック"/>
            <family val="3"/>
            <charset val="128"/>
          </rPr>
          <t xml:space="preserve"> 26-5035</t>
        </r>
      </text>
    </comment>
    <comment ref="A1088" authorId="0" shapeId="0" xr:uid="{00000000-0006-0000-0000-000022020000}">
      <text>
        <r>
          <rPr>
            <sz val="9"/>
            <color indexed="81"/>
            <rFont val="MS P ゴシック"/>
            <family val="3"/>
            <charset val="128"/>
          </rPr>
          <t xml:space="preserve"> 26-5052</t>
        </r>
      </text>
    </comment>
    <comment ref="A1090" authorId="0" shapeId="0" xr:uid="{00000000-0006-0000-0000-000023020000}">
      <text>
        <r>
          <rPr>
            <sz val="9"/>
            <color indexed="81"/>
            <rFont val="MS P ゴシック"/>
            <family val="3"/>
            <charset val="128"/>
          </rPr>
          <t xml:space="preserve"> 26-5087</t>
        </r>
      </text>
    </comment>
    <comment ref="A1092" authorId="0" shapeId="0" xr:uid="{00000000-0006-0000-0000-000024020000}">
      <text>
        <r>
          <rPr>
            <sz val="9"/>
            <color indexed="81"/>
            <rFont val="MS P ゴシック"/>
            <family val="3"/>
            <charset val="128"/>
          </rPr>
          <t xml:space="preserve"> 26-5095</t>
        </r>
      </text>
    </comment>
    <comment ref="A1094" authorId="0" shapeId="0" xr:uid="{00000000-0006-0000-0000-000025020000}">
      <text>
        <r>
          <rPr>
            <sz val="9"/>
            <color indexed="81"/>
            <rFont val="MS P ゴシック"/>
            <family val="3"/>
            <charset val="128"/>
          </rPr>
          <t xml:space="preserve"> 26-5123</t>
        </r>
      </text>
    </comment>
    <comment ref="A1096" authorId="0" shapeId="0" xr:uid="{00000000-0006-0000-0000-000026020000}">
      <text>
        <r>
          <rPr>
            <sz val="9"/>
            <color indexed="81"/>
            <rFont val="MS P ゴシック"/>
            <family val="3"/>
            <charset val="128"/>
          </rPr>
          <t xml:space="preserve"> 26-5124</t>
        </r>
      </text>
    </comment>
    <comment ref="A1098" authorId="0" shapeId="0" xr:uid="{00000000-0006-0000-0000-000027020000}">
      <text>
        <r>
          <rPr>
            <sz val="9"/>
            <color indexed="81"/>
            <rFont val="MS P ゴシック"/>
            <family val="3"/>
            <charset val="128"/>
          </rPr>
          <t xml:space="preserve"> 26-5129</t>
        </r>
      </text>
    </comment>
    <comment ref="A1100" authorId="0" shapeId="0" xr:uid="{00000000-0006-0000-0000-000028020000}">
      <text>
        <r>
          <rPr>
            <sz val="9"/>
            <color indexed="81"/>
            <rFont val="MS P ゴシック"/>
            <family val="3"/>
            <charset val="128"/>
          </rPr>
          <t xml:space="preserve"> 26-5152</t>
        </r>
      </text>
    </comment>
    <comment ref="A1102" authorId="0" shapeId="0" xr:uid="{00000000-0006-0000-0000-000029020000}">
      <text>
        <r>
          <rPr>
            <sz val="9"/>
            <color indexed="81"/>
            <rFont val="MS P ゴシック"/>
            <family val="3"/>
            <charset val="128"/>
          </rPr>
          <t xml:space="preserve"> 26-5156</t>
        </r>
      </text>
    </comment>
    <comment ref="A1104" authorId="0" shapeId="0" xr:uid="{00000000-0006-0000-0000-00002A020000}">
      <text>
        <r>
          <rPr>
            <sz val="9"/>
            <color indexed="81"/>
            <rFont val="MS P ゴシック"/>
            <family val="3"/>
            <charset val="128"/>
          </rPr>
          <t xml:space="preserve"> 26-5163</t>
        </r>
      </text>
    </comment>
    <comment ref="A1106" authorId="0" shapeId="0" xr:uid="{00000000-0006-0000-0000-00002B020000}">
      <text>
        <r>
          <rPr>
            <sz val="9"/>
            <color indexed="81"/>
            <rFont val="MS P ゴシック"/>
            <family val="3"/>
            <charset val="128"/>
          </rPr>
          <t xml:space="preserve"> 26-5192</t>
        </r>
      </text>
    </comment>
    <comment ref="A1108" authorId="0" shapeId="0" xr:uid="{00000000-0006-0000-0000-00002C020000}">
      <text>
        <r>
          <rPr>
            <sz val="9"/>
            <color indexed="81"/>
            <rFont val="MS P ゴシック"/>
            <family val="3"/>
            <charset val="128"/>
          </rPr>
          <t xml:space="preserve"> 26-5203</t>
        </r>
      </text>
    </comment>
    <comment ref="A1110" authorId="0" shapeId="0" xr:uid="{00000000-0006-0000-0000-00002D020000}">
      <text>
        <r>
          <rPr>
            <sz val="9"/>
            <color indexed="81"/>
            <rFont val="MS P ゴシック"/>
            <family val="3"/>
            <charset val="128"/>
          </rPr>
          <t xml:space="preserve"> 26-5227</t>
        </r>
      </text>
    </comment>
    <comment ref="A1112" authorId="0" shapeId="0" xr:uid="{00000000-0006-0000-0000-00002E020000}">
      <text>
        <r>
          <rPr>
            <sz val="9"/>
            <color indexed="81"/>
            <rFont val="MS P ゴシック"/>
            <family val="3"/>
            <charset val="128"/>
          </rPr>
          <t xml:space="preserve"> 26-5250</t>
        </r>
      </text>
    </comment>
    <comment ref="A1114" authorId="0" shapeId="0" xr:uid="{00000000-0006-0000-0000-00002F020000}">
      <text>
        <r>
          <rPr>
            <sz val="9"/>
            <color indexed="81"/>
            <rFont val="MS P ゴシック"/>
            <family val="3"/>
            <charset val="128"/>
          </rPr>
          <t xml:space="preserve"> 26-5324</t>
        </r>
      </text>
    </comment>
    <comment ref="A1116" authorId="0" shapeId="0" xr:uid="{00000000-0006-0000-0000-000030020000}">
      <text>
        <r>
          <rPr>
            <sz val="9"/>
            <color indexed="81"/>
            <rFont val="MS P ゴシック"/>
            <family val="3"/>
            <charset val="128"/>
          </rPr>
          <t xml:space="preserve"> 26-5365</t>
        </r>
      </text>
    </comment>
    <comment ref="A1118" authorId="0" shapeId="0" xr:uid="{00000000-0006-0000-0000-000031020000}">
      <text>
        <r>
          <rPr>
            <sz val="9"/>
            <color indexed="81"/>
            <rFont val="MS P ゴシック"/>
            <family val="3"/>
            <charset val="128"/>
          </rPr>
          <t xml:space="preserve"> 26-5390</t>
        </r>
      </text>
    </comment>
    <comment ref="A1120" authorId="0" shapeId="0" xr:uid="{00000000-0006-0000-0000-000032020000}">
      <text>
        <r>
          <rPr>
            <sz val="9"/>
            <color indexed="81"/>
            <rFont val="MS P ゴシック"/>
            <family val="3"/>
            <charset val="128"/>
          </rPr>
          <t xml:space="preserve"> 26-5434</t>
        </r>
      </text>
    </comment>
    <comment ref="A1122" authorId="0" shapeId="0" xr:uid="{00000000-0006-0000-0000-000033020000}">
      <text>
        <r>
          <rPr>
            <sz val="9"/>
            <color indexed="81"/>
            <rFont val="MS P ゴシック"/>
            <family val="3"/>
            <charset val="128"/>
          </rPr>
          <t xml:space="preserve"> 26-5451</t>
        </r>
      </text>
    </comment>
    <comment ref="A1124" authorId="0" shapeId="0" xr:uid="{00000000-0006-0000-0000-000034020000}">
      <text>
        <r>
          <rPr>
            <sz val="9"/>
            <color indexed="81"/>
            <rFont val="MS P ゴシック"/>
            <family val="3"/>
            <charset val="128"/>
          </rPr>
          <t xml:space="preserve"> 26-5457</t>
        </r>
      </text>
    </comment>
    <comment ref="A1126" authorId="0" shapeId="0" xr:uid="{00000000-0006-0000-0000-000035020000}">
      <text>
        <r>
          <rPr>
            <sz val="9"/>
            <color indexed="81"/>
            <rFont val="MS P ゴシック"/>
            <family val="3"/>
            <charset val="128"/>
          </rPr>
          <t xml:space="preserve"> 26-5498</t>
        </r>
      </text>
    </comment>
    <comment ref="A1128" authorId="0" shapeId="0" xr:uid="{00000000-0006-0000-0000-000036020000}">
      <text>
        <r>
          <rPr>
            <sz val="9"/>
            <color indexed="81"/>
            <rFont val="MS P ゴシック"/>
            <family val="3"/>
            <charset val="128"/>
          </rPr>
          <t xml:space="preserve"> 26-5510</t>
        </r>
      </text>
    </comment>
    <comment ref="A1130" authorId="0" shapeId="0" xr:uid="{00000000-0006-0000-0000-000037020000}">
      <text>
        <r>
          <rPr>
            <sz val="9"/>
            <color indexed="81"/>
            <rFont val="MS P ゴシック"/>
            <family val="3"/>
            <charset val="128"/>
          </rPr>
          <t xml:space="preserve"> 26-5533</t>
        </r>
      </text>
    </comment>
    <comment ref="A1132" authorId="0" shapeId="0" xr:uid="{00000000-0006-0000-0000-000038020000}">
      <text>
        <r>
          <rPr>
            <sz val="9"/>
            <color indexed="81"/>
            <rFont val="MS P ゴシック"/>
            <family val="3"/>
            <charset val="128"/>
          </rPr>
          <t xml:space="preserve"> 26-5542</t>
        </r>
      </text>
    </comment>
    <comment ref="A1134" authorId="0" shapeId="0" xr:uid="{00000000-0006-0000-0000-000039020000}">
      <text>
        <r>
          <rPr>
            <sz val="9"/>
            <color indexed="81"/>
            <rFont val="MS P ゴシック"/>
            <family val="3"/>
            <charset val="128"/>
          </rPr>
          <t xml:space="preserve"> 26-5551</t>
        </r>
      </text>
    </comment>
    <comment ref="A1136" authorId="0" shapeId="0" xr:uid="{00000000-0006-0000-0000-00003A020000}">
      <text>
        <r>
          <rPr>
            <sz val="9"/>
            <color indexed="81"/>
            <rFont val="MS P ゴシック"/>
            <family val="3"/>
            <charset val="128"/>
          </rPr>
          <t xml:space="preserve"> 26-5567</t>
        </r>
      </text>
    </comment>
    <comment ref="A1138" authorId="0" shapeId="0" xr:uid="{00000000-0006-0000-0000-00003B020000}">
      <text>
        <r>
          <rPr>
            <sz val="9"/>
            <color indexed="81"/>
            <rFont val="MS P ゴシック"/>
            <family val="3"/>
            <charset val="128"/>
          </rPr>
          <t xml:space="preserve"> 26-5583</t>
        </r>
      </text>
    </comment>
    <comment ref="A1140" authorId="0" shapeId="0" xr:uid="{00000000-0006-0000-0000-00003C020000}">
      <text>
        <r>
          <rPr>
            <sz val="9"/>
            <color indexed="81"/>
            <rFont val="MS P ゴシック"/>
            <family val="3"/>
            <charset val="128"/>
          </rPr>
          <t xml:space="preserve"> 26-5584</t>
        </r>
      </text>
    </comment>
    <comment ref="A1142" authorId="0" shapeId="0" xr:uid="{00000000-0006-0000-0000-00003D020000}">
      <text>
        <r>
          <rPr>
            <sz val="9"/>
            <color indexed="81"/>
            <rFont val="MS P ゴシック"/>
            <family val="3"/>
            <charset val="128"/>
          </rPr>
          <t xml:space="preserve"> 26-5618</t>
        </r>
      </text>
    </comment>
    <comment ref="A1144" authorId="0" shapeId="0" xr:uid="{00000000-0006-0000-0000-00003E020000}">
      <text>
        <r>
          <rPr>
            <sz val="9"/>
            <color indexed="81"/>
            <rFont val="MS P ゴシック"/>
            <family val="3"/>
            <charset val="128"/>
          </rPr>
          <t xml:space="preserve"> 26-5619</t>
        </r>
      </text>
    </comment>
    <comment ref="A1146" authorId="0" shapeId="0" xr:uid="{00000000-0006-0000-0000-00003F020000}">
      <text>
        <r>
          <rPr>
            <sz val="9"/>
            <color indexed="81"/>
            <rFont val="MS P ゴシック"/>
            <family val="3"/>
            <charset val="128"/>
          </rPr>
          <t xml:space="preserve"> 26-5644</t>
        </r>
      </text>
    </comment>
    <comment ref="A1148" authorId="0" shapeId="0" xr:uid="{00000000-0006-0000-0000-000040020000}">
      <text>
        <r>
          <rPr>
            <sz val="9"/>
            <color indexed="81"/>
            <rFont val="MS P ゴシック"/>
            <family val="3"/>
            <charset val="128"/>
          </rPr>
          <t xml:space="preserve"> 26-5652</t>
        </r>
      </text>
    </comment>
    <comment ref="A1150" authorId="0" shapeId="0" xr:uid="{00000000-0006-0000-0000-000041020000}">
      <text>
        <r>
          <rPr>
            <sz val="9"/>
            <color indexed="81"/>
            <rFont val="MS P ゴシック"/>
            <family val="3"/>
            <charset val="128"/>
          </rPr>
          <t xml:space="preserve"> 26-5653</t>
        </r>
      </text>
    </comment>
    <comment ref="A1152" authorId="0" shapeId="0" xr:uid="{00000000-0006-0000-0000-000042020000}">
      <text>
        <r>
          <rPr>
            <sz val="9"/>
            <color indexed="81"/>
            <rFont val="MS P ゴシック"/>
            <family val="3"/>
            <charset val="128"/>
          </rPr>
          <t xml:space="preserve"> 26-5684</t>
        </r>
      </text>
    </comment>
    <comment ref="A1154" authorId="0" shapeId="0" xr:uid="{00000000-0006-0000-0000-000043020000}">
      <text>
        <r>
          <rPr>
            <sz val="9"/>
            <color indexed="81"/>
            <rFont val="MS P ゴシック"/>
            <family val="3"/>
            <charset val="128"/>
          </rPr>
          <t xml:space="preserve"> 26-5690</t>
        </r>
      </text>
    </comment>
    <comment ref="A1156" authorId="0" shapeId="0" xr:uid="{00000000-0006-0000-0000-000044020000}">
      <text>
        <r>
          <rPr>
            <sz val="9"/>
            <color indexed="81"/>
            <rFont val="MS P ゴシック"/>
            <family val="3"/>
            <charset val="128"/>
          </rPr>
          <t xml:space="preserve"> 26-5698</t>
        </r>
      </text>
    </comment>
    <comment ref="A1158" authorId="0" shapeId="0" xr:uid="{00000000-0006-0000-0000-000045020000}">
      <text>
        <r>
          <rPr>
            <sz val="9"/>
            <color indexed="81"/>
            <rFont val="MS P ゴシック"/>
            <family val="3"/>
            <charset val="128"/>
          </rPr>
          <t xml:space="preserve"> 26-5712</t>
        </r>
      </text>
    </comment>
    <comment ref="A1160" authorId="0" shapeId="0" xr:uid="{00000000-0006-0000-0000-000046020000}">
      <text>
        <r>
          <rPr>
            <sz val="9"/>
            <color indexed="81"/>
            <rFont val="MS P ゴシック"/>
            <family val="3"/>
            <charset val="128"/>
          </rPr>
          <t xml:space="preserve"> 26-5797</t>
        </r>
      </text>
    </comment>
    <comment ref="A1162" authorId="0" shapeId="0" xr:uid="{00000000-0006-0000-0000-000047020000}">
      <text>
        <r>
          <rPr>
            <sz val="9"/>
            <color indexed="81"/>
            <rFont val="MS P ゴシック"/>
            <family val="3"/>
            <charset val="128"/>
          </rPr>
          <t xml:space="preserve"> 26-5818</t>
        </r>
      </text>
    </comment>
    <comment ref="A1164" authorId="0" shapeId="0" xr:uid="{00000000-0006-0000-0000-000048020000}">
      <text>
        <r>
          <rPr>
            <sz val="9"/>
            <color indexed="81"/>
            <rFont val="MS P ゴシック"/>
            <family val="3"/>
            <charset val="128"/>
          </rPr>
          <t xml:space="preserve"> 26-5829</t>
        </r>
      </text>
    </comment>
    <comment ref="A1166" authorId="0" shapeId="0" xr:uid="{00000000-0006-0000-0000-000049020000}">
      <text>
        <r>
          <rPr>
            <sz val="9"/>
            <color indexed="81"/>
            <rFont val="MS P ゴシック"/>
            <family val="3"/>
            <charset val="128"/>
          </rPr>
          <t xml:space="preserve"> 26-5865</t>
        </r>
      </text>
    </comment>
    <comment ref="A1168" authorId="0" shapeId="0" xr:uid="{00000000-0006-0000-0000-00004A020000}">
      <text>
        <r>
          <rPr>
            <sz val="9"/>
            <color indexed="81"/>
            <rFont val="MS P ゴシック"/>
            <family val="3"/>
            <charset val="128"/>
          </rPr>
          <t xml:space="preserve"> 26-5866</t>
        </r>
      </text>
    </comment>
    <comment ref="A1170" authorId="0" shapeId="0" xr:uid="{00000000-0006-0000-0000-00004B020000}">
      <text>
        <r>
          <rPr>
            <sz val="9"/>
            <color indexed="81"/>
            <rFont val="MS P ゴシック"/>
            <family val="3"/>
            <charset val="128"/>
          </rPr>
          <t xml:space="preserve"> 26-5867</t>
        </r>
      </text>
    </comment>
    <comment ref="A1172" authorId="0" shapeId="0" xr:uid="{00000000-0006-0000-0000-00004C020000}">
      <text>
        <r>
          <rPr>
            <sz val="9"/>
            <color indexed="81"/>
            <rFont val="MS P ゴシック"/>
            <family val="3"/>
            <charset val="128"/>
          </rPr>
          <t xml:space="preserve"> 26-5868</t>
        </r>
      </text>
    </comment>
    <comment ref="A1174" authorId="0" shapeId="0" xr:uid="{00000000-0006-0000-0000-00004D020000}">
      <text>
        <r>
          <rPr>
            <sz val="9"/>
            <color indexed="81"/>
            <rFont val="MS P ゴシック"/>
            <family val="3"/>
            <charset val="128"/>
          </rPr>
          <t xml:space="preserve"> 26-5874</t>
        </r>
      </text>
    </comment>
    <comment ref="A1176" authorId="0" shapeId="0" xr:uid="{00000000-0006-0000-0000-00004E020000}">
      <text>
        <r>
          <rPr>
            <sz val="9"/>
            <color indexed="81"/>
            <rFont val="MS P ゴシック"/>
            <family val="3"/>
            <charset val="128"/>
          </rPr>
          <t xml:space="preserve"> 26-5878</t>
        </r>
      </text>
    </comment>
    <comment ref="A1178" authorId="0" shapeId="0" xr:uid="{00000000-0006-0000-0000-00004F020000}">
      <text>
        <r>
          <rPr>
            <sz val="9"/>
            <color indexed="81"/>
            <rFont val="MS P ゴシック"/>
            <family val="3"/>
            <charset val="128"/>
          </rPr>
          <t xml:space="preserve"> 26-5882</t>
        </r>
      </text>
    </comment>
    <comment ref="A1180" authorId="0" shapeId="0" xr:uid="{00000000-0006-0000-0000-000050020000}">
      <text>
        <r>
          <rPr>
            <sz val="9"/>
            <color indexed="81"/>
            <rFont val="MS P ゴシック"/>
            <family val="3"/>
            <charset val="128"/>
          </rPr>
          <t xml:space="preserve"> 26-5896</t>
        </r>
      </text>
    </comment>
    <comment ref="A1182" authorId="0" shapeId="0" xr:uid="{00000000-0006-0000-0000-000051020000}">
      <text>
        <r>
          <rPr>
            <sz val="9"/>
            <color indexed="81"/>
            <rFont val="MS P ゴシック"/>
            <family val="3"/>
            <charset val="128"/>
          </rPr>
          <t xml:space="preserve"> 26-5901</t>
        </r>
      </text>
    </comment>
    <comment ref="A1184" authorId="0" shapeId="0" xr:uid="{00000000-0006-0000-0000-000052020000}">
      <text>
        <r>
          <rPr>
            <sz val="9"/>
            <color indexed="81"/>
            <rFont val="MS P ゴシック"/>
            <family val="3"/>
            <charset val="128"/>
          </rPr>
          <t xml:space="preserve"> 26-5921</t>
        </r>
      </text>
    </comment>
    <comment ref="A1186" authorId="0" shapeId="0" xr:uid="{00000000-0006-0000-0000-000053020000}">
      <text>
        <r>
          <rPr>
            <sz val="9"/>
            <color indexed="81"/>
            <rFont val="MS P ゴシック"/>
            <family val="3"/>
            <charset val="128"/>
          </rPr>
          <t xml:space="preserve"> 26-5929</t>
        </r>
      </text>
    </comment>
    <comment ref="A1188" authorId="0" shapeId="0" xr:uid="{00000000-0006-0000-0000-000054020000}">
      <text>
        <r>
          <rPr>
            <sz val="9"/>
            <color indexed="81"/>
            <rFont val="MS P ゴシック"/>
            <family val="3"/>
            <charset val="128"/>
          </rPr>
          <t xml:space="preserve"> 26-5955</t>
        </r>
      </text>
    </comment>
    <comment ref="A1190" authorId="0" shapeId="0" xr:uid="{00000000-0006-0000-0000-000055020000}">
      <text>
        <r>
          <rPr>
            <sz val="9"/>
            <color indexed="81"/>
            <rFont val="MS P ゴシック"/>
            <family val="3"/>
            <charset val="128"/>
          </rPr>
          <t xml:space="preserve"> 26-5956</t>
        </r>
      </text>
    </comment>
    <comment ref="A1192" authorId="0" shapeId="0" xr:uid="{00000000-0006-0000-0000-000057020000}">
      <text>
        <r>
          <rPr>
            <sz val="9"/>
            <color indexed="81"/>
            <rFont val="MS P ゴシック"/>
            <family val="3"/>
            <charset val="128"/>
          </rPr>
          <t xml:space="preserve"> 26-5963</t>
        </r>
      </text>
    </comment>
    <comment ref="A1194" authorId="0" shapeId="0" xr:uid="{00000000-0006-0000-0000-000058020000}">
      <text>
        <r>
          <rPr>
            <sz val="9"/>
            <color indexed="81"/>
            <rFont val="MS P ゴシック"/>
            <family val="3"/>
            <charset val="128"/>
          </rPr>
          <t xml:space="preserve"> 26-5987</t>
        </r>
      </text>
    </comment>
    <comment ref="A1196" authorId="0" shapeId="0" xr:uid="{00000000-0006-0000-0000-000059020000}">
      <text>
        <r>
          <rPr>
            <sz val="9"/>
            <color indexed="81"/>
            <rFont val="MS P ゴシック"/>
            <family val="3"/>
            <charset val="128"/>
          </rPr>
          <t xml:space="preserve"> 26-5989</t>
        </r>
      </text>
    </comment>
    <comment ref="A1198" authorId="0" shapeId="0" xr:uid="{00000000-0006-0000-0000-00005A020000}">
      <text>
        <r>
          <rPr>
            <sz val="9"/>
            <color indexed="81"/>
            <rFont val="MS P ゴシック"/>
            <family val="3"/>
            <charset val="128"/>
          </rPr>
          <t xml:space="preserve"> 26-5993</t>
        </r>
      </text>
    </comment>
    <comment ref="A1200" authorId="0" shapeId="0" xr:uid="{00000000-0006-0000-0000-00005B020000}">
      <text>
        <r>
          <rPr>
            <sz val="9"/>
            <color indexed="81"/>
            <rFont val="MS P ゴシック"/>
            <family val="3"/>
            <charset val="128"/>
          </rPr>
          <t xml:space="preserve"> 26-5996</t>
        </r>
      </text>
    </comment>
    <comment ref="A1202" authorId="0" shapeId="0" xr:uid="{00000000-0006-0000-0000-00005C020000}">
      <text>
        <r>
          <rPr>
            <sz val="9"/>
            <color indexed="81"/>
            <rFont val="MS P ゴシック"/>
            <family val="3"/>
            <charset val="128"/>
          </rPr>
          <t xml:space="preserve"> 26-6000</t>
        </r>
      </text>
    </comment>
    <comment ref="A1204" authorId="0" shapeId="0" xr:uid="{00000000-0006-0000-0000-00005D020000}">
      <text>
        <r>
          <rPr>
            <sz val="9"/>
            <color indexed="81"/>
            <rFont val="MS P ゴシック"/>
            <family val="3"/>
            <charset val="128"/>
          </rPr>
          <t xml:space="preserve"> 26-6001</t>
        </r>
      </text>
    </comment>
    <comment ref="A1206" authorId="0" shapeId="0" xr:uid="{00000000-0006-0000-0000-00005E020000}">
      <text>
        <r>
          <rPr>
            <sz val="9"/>
            <color indexed="81"/>
            <rFont val="MS P ゴシック"/>
            <family val="3"/>
            <charset val="128"/>
          </rPr>
          <t xml:space="preserve"> 26-6002</t>
        </r>
      </text>
    </comment>
    <comment ref="A1208" authorId="0" shapeId="0" xr:uid="{00000000-0006-0000-0000-00005F020000}">
      <text>
        <r>
          <rPr>
            <sz val="9"/>
            <color indexed="81"/>
            <rFont val="MS P ゴシック"/>
            <family val="3"/>
            <charset val="128"/>
          </rPr>
          <t xml:space="preserve"> 26-6004</t>
        </r>
      </text>
    </comment>
    <comment ref="A1210" authorId="0" shapeId="0" xr:uid="{00000000-0006-0000-0000-000060020000}">
      <text>
        <r>
          <rPr>
            <sz val="9"/>
            <color indexed="81"/>
            <rFont val="MS P ゴシック"/>
            <family val="3"/>
            <charset val="128"/>
          </rPr>
          <t xml:space="preserve"> 26-6008</t>
        </r>
      </text>
    </comment>
    <comment ref="A1212" authorId="0" shapeId="0" xr:uid="{00000000-0006-0000-0000-000061020000}">
      <text>
        <r>
          <rPr>
            <sz val="9"/>
            <color indexed="81"/>
            <rFont val="MS P ゴシック"/>
            <family val="3"/>
            <charset val="128"/>
          </rPr>
          <t xml:space="preserve"> 26-6032</t>
        </r>
      </text>
    </comment>
    <comment ref="A1214" authorId="0" shapeId="0" xr:uid="{00000000-0006-0000-0000-000062020000}">
      <text>
        <r>
          <rPr>
            <sz val="9"/>
            <color indexed="81"/>
            <rFont val="MS P ゴシック"/>
            <family val="3"/>
            <charset val="128"/>
          </rPr>
          <t xml:space="preserve"> 26-6034</t>
        </r>
      </text>
    </comment>
    <comment ref="A1216" authorId="0" shapeId="0" xr:uid="{00000000-0006-0000-0000-000063020000}">
      <text>
        <r>
          <rPr>
            <sz val="9"/>
            <color indexed="81"/>
            <rFont val="MS P ゴシック"/>
            <family val="3"/>
            <charset val="128"/>
          </rPr>
          <t xml:space="preserve"> 26-6040</t>
        </r>
      </text>
    </comment>
    <comment ref="A1218" authorId="0" shapeId="0" xr:uid="{00000000-0006-0000-0000-000064020000}">
      <text>
        <r>
          <rPr>
            <sz val="9"/>
            <color indexed="81"/>
            <rFont val="MS P ゴシック"/>
            <family val="3"/>
            <charset val="128"/>
          </rPr>
          <t xml:space="preserve"> 26-6041</t>
        </r>
      </text>
    </comment>
    <comment ref="A1220" authorId="0" shapeId="0" xr:uid="{00000000-0006-0000-0000-000065020000}">
      <text>
        <r>
          <rPr>
            <sz val="9"/>
            <color indexed="81"/>
            <rFont val="MS P ゴシック"/>
            <family val="3"/>
            <charset val="128"/>
          </rPr>
          <t xml:space="preserve"> 26-6060</t>
        </r>
      </text>
    </comment>
    <comment ref="A1222" authorId="0" shapeId="0" xr:uid="{00000000-0006-0000-0000-000066020000}">
      <text>
        <r>
          <rPr>
            <sz val="9"/>
            <color indexed="81"/>
            <rFont val="MS P ゴシック"/>
            <family val="3"/>
            <charset val="128"/>
          </rPr>
          <t xml:space="preserve"> 26-6069</t>
        </r>
      </text>
    </comment>
    <comment ref="A1224" authorId="0" shapeId="0" xr:uid="{00000000-0006-0000-0000-000067020000}">
      <text>
        <r>
          <rPr>
            <sz val="9"/>
            <color indexed="81"/>
            <rFont val="MS P ゴシック"/>
            <family val="3"/>
            <charset val="128"/>
          </rPr>
          <t xml:space="preserve"> 26-6076</t>
        </r>
      </text>
    </comment>
    <comment ref="A1226" authorId="0" shapeId="0" xr:uid="{00000000-0006-0000-0000-000068020000}">
      <text>
        <r>
          <rPr>
            <sz val="9"/>
            <color indexed="81"/>
            <rFont val="MS P ゴシック"/>
            <family val="3"/>
            <charset val="128"/>
          </rPr>
          <t xml:space="preserve"> 26-6081</t>
        </r>
      </text>
    </comment>
    <comment ref="A1228" authorId="0" shapeId="0" xr:uid="{00000000-0006-0000-0000-000069020000}">
      <text>
        <r>
          <rPr>
            <sz val="9"/>
            <color indexed="81"/>
            <rFont val="MS P ゴシック"/>
            <family val="3"/>
            <charset val="128"/>
          </rPr>
          <t xml:space="preserve"> 26-6090</t>
        </r>
      </text>
    </comment>
    <comment ref="A1230" authorId="0" shapeId="0" xr:uid="{00000000-0006-0000-0000-00006A020000}">
      <text>
        <r>
          <rPr>
            <sz val="9"/>
            <color indexed="81"/>
            <rFont val="MS P ゴシック"/>
            <family val="3"/>
            <charset val="128"/>
          </rPr>
          <t xml:space="preserve"> 26-6116</t>
        </r>
      </text>
    </comment>
    <comment ref="A1232" authorId="0" shapeId="0" xr:uid="{00000000-0006-0000-0000-00006B020000}">
      <text>
        <r>
          <rPr>
            <sz val="9"/>
            <color indexed="81"/>
            <rFont val="MS P ゴシック"/>
            <family val="3"/>
            <charset val="128"/>
          </rPr>
          <t xml:space="preserve"> 26-6123</t>
        </r>
      </text>
    </comment>
    <comment ref="A1234" authorId="0" shapeId="0" xr:uid="{00000000-0006-0000-0000-00006C020000}">
      <text>
        <r>
          <rPr>
            <sz val="9"/>
            <color indexed="81"/>
            <rFont val="MS P ゴシック"/>
            <family val="3"/>
            <charset val="128"/>
          </rPr>
          <t xml:space="preserve"> 26-6128</t>
        </r>
      </text>
    </comment>
    <comment ref="A1236" authorId="0" shapeId="0" xr:uid="{00000000-0006-0000-0000-00006D020000}">
      <text>
        <r>
          <rPr>
            <sz val="9"/>
            <color indexed="81"/>
            <rFont val="MS P ゴシック"/>
            <family val="3"/>
            <charset val="128"/>
          </rPr>
          <t xml:space="preserve"> 26-6131</t>
        </r>
      </text>
    </comment>
    <comment ref="A1238" authorId="0" shapeId="0" xr:uid="{00000000-0006-0000-0000-00006E020000}">
      <text>
        <r>
          <rPr>
            <sz val="9"/>
            <color indexed="81"/>
            <rFont val="MS P ゴシック"/>
            <family val="3"/>
            <charset val="128"/>
          </rPr>
          <t xml:space="preserve"> 26-6145</t>
        </r>
      </text>
    </comment>
    <comment ref="A1240" authorId="0" shapeId="0" xr:uid="{00000000-0006-0000-0000-00006F020000}">
      <text>
        <r>
          <rPr>
            <sz val="9"/>
            <color indexed="81"/>
            <rFont val="MS P ゴシック"/>
            <family val="3"/>
            <charset val="128"/>
          </rPr>
          <t xml:space="preserve"> 26-6154</t>
        </r>
      </text>
    </comment>
    <comment ref="A1242" authorId="0" shapeId="0" xr:uid="{00000000-0006-0000-0000-000070020000}">
      <text>
        <r>
          <rPr>
            <sz val="9"/>
            <color indexed="81"/>
            <rFont val="MS P ゴシック"/>
            <family val="3"/>
            <charset val="128"/>
          </rPr>
          <t xml:space="preserve"> 26-6159</t>
        </r>
      </text>
    </comment>
    <comment ref="A1244" authorId="0" shapeId="0" xr:uid="{00000000-0006-0000-0000-000071020000}">
      <text>
        <r>
          <rPr>
            <sz val="9"/>
            <color indexed="81"/>
            <rFont val="MS P ゴシック"/>
            <family val="3"/>
            <charset val="128"/>
          </rPr>
          <t xml:space="preserve"> 26-6164</t>
        </r>
      </text>
    </comment>
    <comment ref="A1246" authorId="0" shapeId="0" xr:uid="{00000000-0006-0000-0000-000072020000}">
      <text>
        <r>
          <rPr>
            <sz val="9"/>
            <color indexed="81"/>
            <rFont val="MS P ゴシック"/>
            <family val="3"/>
            <charset val="128"/>
          </rPr>
          <t xml:space="preserve"> 26-6166</t>
        </r>
      </text>
    </comment>
    <comment ref="A1248" authorId="0" shapeId="0" xr:uid="{00000000-0006-0000-0000-000073020000}">
      <text>
        <r>
          <rPr>
            <sz val="9"/>
            <color indexed="81"/>
            <rFont val="MS P ゴシック"/>
            <family val="3"/>
            <charset val="128"/>
          </rPr>
          <t xml:space="preserve"> 26-6169</t>
        </r>
      </text>
    </comment>
    <comment ref="A1250" authorId="0" shapeId="0" xr:uid="{00000000-0006-0000-0000-000074020000}">
      <text>
        <r>
          <rPr>
            <sz val="9"/>
            <color indexed="81"/>
            <rFont val="MS P ゴシック"/>
            <family val="3"/>
            <charset val="128"/>
          </rPr>
          <t xml:space="preserve"> 26-6171</t>
        </r>
      </text>
    </comment>
    <comment ref="A1252" authorId="0" shapeId="0" xr:uid="{00000000-0006-0000-0000-000075020000}">
      <text>
        <r>
          <rPr>
            <sz val="9"/>
            <color indexed="81"/>
            <rFont val="MS P ゴシック"/>
            <family val="3"/>
            <charset val="128"/>
          </rPr>
          <t xml:space="preserve"> 26-6174</t>
        </r>
      </text>
    </comment>
    <comment ref="A1254" authorId="0" shapeId="0" xr:uid="{00000000-0006-0000-0000-000076020000}">
      <text>
        <r>
          <rPr>
            <sz val="9"/>
            <color indexed="81"/>
            <rFont val="MS P ゴシック"/>
            <family val="3"/>
            <charset val="128"/>
          </rPr>
          <t xml:space="preserve"> 26-6187</t>
        </r>
      </text>
    </comment>
    <comment ref="A1256" authorId="0" shapeId="0" xr:uid="{00000000-0006-0000-0000-000077020000}">
      <text>
        <r>
          <rPr>
            <sz val="9"/>
            <color indexed="81"/>
            <rFont val="MS P ゴシック"/>
            <family val="3"/>
            <charset val="128"/>
          </rPr>
          <t xml:space="preserve"> 26-6196</t>
        </r>
      </text>
    </comment>
    <comment ref="A1258" authorId="0" shapeId="0" xr:uid="{00000000-0006-0000-0000-000078020000}">
      <text>
        <r>
          <rPr>
            <sz val="9"/>
            <color indexed="81"/>
            <rFont val="MS P ゴシック"/>
            <family val="3"/>
            <charset val="128"/>
          </rPr>
          <t xml:space="preserve"> 26-6198</t>
        </r>
      </text>
    </comment>
    <comment ref="A1260" authorId="0" shapeId="0" xr:uid="{00000000-0006-0000-0000-000079020000}">
      <text>
        <r>
          <rPr>
            <sz val="9"/>
            <color indexed="81"/>
            <rFont val="MS P ゴシック"/>
            <family val="3"/>
            <charset val="128"/>
          </rPr>
          <t xml:space="preserve"> 26-6208</t>
        </r>
      </text>
    </comment>
    <comment ref="A1262" authorId="0" shapeId="0" xr:uid="{00000000-0006-0000-0000-00007A020000}">
      <text>
        <r>
          <rPr>
            <sz val="9"/>
            <color indexed="81"/>
            <rFont val="MS P ゴシック"/>
            <family val="3"/>
            <charset val="128"/>
          </rPr>
          <t xml:space="preserve"> 26-6235</t>
        </r>
      </text>
    </comment>
    <comment ref="A1264" authorId="0" shapeId="0" xr:uid="{00000000-0006-0000-0000-00007B020000}">
      <text>
        <r>
          <rPr>
            <sz val="9"/>
            <color indexed="81"/>
            <rFont val="MS P ゴシック"/>
            <family val="3"/>
            <charset val="128"/>
          </rPr>
          <t xml:space="preserve"> 26-6263</t>
        </r>
      </text>
    </comment>
    <comment ref="A1266" authorId="0" shapeId="0" xr:uid="{00000000-0006-0000-0000-00007C020000}">
      <text>
        <r>
          <rPr>
            <sz val="9"/>
            <color indexed="81"/>
            <rFont val="MS P ゴシック"/>
            <family val="3"/>
            <charset val="128"/>
          </rPr>
          <t xml:space="preserve"> 26-6269</t>
        </r>
      </text>
    </comment>
    <comment ref="A1268" authorId="0" shapeId="0" xr:uid="{00000000-0006-0000-0000-00007D020000}">
      <text>
        <r>
          <rPr>
            <sz val="9"/>
            <color indexed="81"/>
            <rFont val="MS P ゴシック"/>
            <family val="3"/>
            <charset val="128"/>
          </rPr>
          <t xml:space="preserve"> 26-6271</t>
        </r>
      </text>
    </comment>
    <comment ref="A1270" authorId="0" shapeId="0" xr:uid="{00000000-0006-0000-0000-00007E020000}">
      <text>
        <r>
          <rPr>
            <sz val="9"/>
            <color indexed="81"/>
            <rFont val="MS P ゴシック"/>
            <family val="3"/>
            <charset val="128"/>
          </rPr>
          <t xml:space="preserve"> 26-6283</t>
        </r>
      </text>
    </comment>
    <comment ref="A1272" authorId="0" shapeId="0" xr:uid="{00000000-0006-0000-0000-00007F020000}">
      <text>
        <r>
          <rPr>
            <sz val="9"/>
            <color indexed="81"/>
            <rFont val="MS P ゴシック"/>
            <family val="3"/>
            <charset val="128"/>
          </rPr>
          <t xml:space="preserve"> 26-6287</t>
        </r>
      </text>
    </comment>
    <comment ref="A1274" authorId="0" shapeId="0" xr:uid="{00000000-0006-0000-0000-000080020000}">
      <text>
        <r>
          <rPr>
            <sz val="9"/>
            <color indexed="81"/>
            <rFont val="MS P ゴシック"/>
            <family val="3"/>
            <charset val="128"/>
          </rPr>
          <t xml:space="preserve"> 26-6292</t>
        </r>
      </text>
    </comment>
    <comment ref="A1276" authorId="0" shapeId="0" xr:uid="{00000000-0006-0000-0000-000081020000}">
      <text>
        <r>
          <rPr>
            <sz val="9"/>
            <color indexed="81"/>
            <rFont val="MS P ゴシック"/>
            <family val="3"/>
            <charset val="128"/>
          </rPr>
          <t xml:space="preserve"> 26-6294</t>
        </r>
      </text>
    </comment>
    <comment ref="A1278" authorId="0" shapeId="0" xr:uid="{00000000-0006-0000-0000-000082020000}">
      <text>
        <r>
          <rPr>
            <sz val="9"/>
            <color indexed="81"/>
            <rFont val="MS P ゴシック"/>
            <family val="3"/>
            <charset val="128"/>
          </rPr>
          <t xml:space="preserve"> 26-6295</t>
        </r>
      </text>
    </comment>
    <comment ref="A1280" authorId="0" shapeId="0" xr:uid="{00000000-0006-0000-0000-000083020000}">
      <text>
        <r>
          <rPr>
            <sz val="9"/>
            <color indexed="81"/>
            <rFont val="MS P ゴシック"/>
            <family val="3"/>
            <charset val="128"/>
          </rPr>
          <t xml:space="preserve"> 26-6300</t>
        </r>
      </text>
    </comment>
    <comment ref="A1282" authorId="0" shapeId="0" xr:uid="{00000000-0006-0000-0000-000084020000}">
      <text>
        <r>
          <rPr>
            <sz val="9"/>
            <color indexed="81"/>
            <rFont val="MS P ゴシック"/>
            <family val="3"/>
            <charset val="128"/>
          </rPr>
          <t xml:space="preserve"> 26-6304</t>
        </r>
      </text>
    </comment>
    <comment ref="A1284" authorId="0" shapeId="0" xr:uid="{00000000-0006-0000-0000-000085020000}">
      <text>
        <r>
          <rPr>
            <sz val="9"/>
            <color indexed="81"/>
            <rFont val="MS P ゴシック"/>
            <family val="3"/>
            <charset val="128"/>
          </rPr>
          <t xml:space="preserve"> 26-6308</t>
        </r>
      </text>
    </comment>
    <comment ref="A1286" authorId="0" shapeId="0" xr:uid="{00000000-0006-0000-0000-000086020000}">
      <text>
        <r>
          <rPr>
            <sz val="9"/>
            <color indexed="81"/>
            <rFont val="MS P ゴシック"/>
            <family val="3"/>
            <charset val="128"/>
          </rPr>
          <t xml:space="preserve"> 26-6313</t>
        </r>
      </text>
    </comment>
    <comment ref="A1288" authorId="0" shapeId="0" xr:uid="{00000000-0006-0000-0000-000087020000}">
      <text>
        <r>
          <rPr>
            <sz val="9"/>
            <color indexed="81"/>
            <rFont val="MS P ゴシック"/>
            <family val="3"/>
            <charset val="128"/>
          </rPr>
          <t xml:space="preserve"> 26-6315</t>
        </r>
      </text>
    </comment>
    <comment ref="A1290" authorId="0" shapeId="0" xr:uid="{00000000-0006-0000-0000-000088020000}">
      <text>
        <r>
          <rPr>
            <sz val="9"/>
            <color indexed="81"/>
            <rFont val="MS P ゴシック"/>
            <family val="3"/>
            <charset val="128"/>
          </rPr>
          <t xml:space="preserve"> 26-6317</t>
        </r>
      </text>
    </comment>
    <comment ref="A1292" authorId="0" shapeId="0" xr:uid="{00000000-0006-0000-0000-000089020000}">
      <text>
        <r>
          <rPr>
            <sz val="9"/>
            <color indexed="81"/>
            <rFont val="MS P ゴシック"/>
            <family val="3"/>
            <charset val="128"/>
          </rPr>
          <t xml:space="preserve"> 26-6323</t>
        </r>
      </text>
    </comment>
    <comment ref="A1294" authorId="0" shapeId="0" xr:uid="{00000000-0006-0000-0000-00008A020000}">
      <text>
        <r>
          <rPr>
            <sz val="9"/>
            <color indexed="81"/>
            <rFont val="MS P ゴシック"/>
            <family val="3"/>
            <charset val="128"/>
          </rPr>
          <t xml:space="preserve"> 26-6328</t>
        </r>
      </text>
    </comment>
    <comment ref="A1296" authorId="0" shapeId="0" xr:uid="{00000000-0006-0000-0000-00008B020000}">
      <text>
        <r>
          <rPr>
            <sz val="9"/>
            <color indexed="81"/>
            <rFont val="MS P ゴシック"/>
            <family val="3"/>
            <charset val="128"/>
          </rPr>
          <t xml:space="preserve"> 26-6329</t>
        </r>
      </text>
    </comment>
    <comment ref="A1298" authorId="0" shapeId="0" xr:uid="{00000000-0006-0000-0000-00008C020000}">
      <text>
        <r>
          <rPr>
            <sz val="9"/>
            <color indexed="81"/>
            <rFont val="MS P ゴシック"/>
            <family val="3"/>
            <charset val="128"/>
          </rPr>
          <t xml:space="preserve"> 26-6333</t>
        </r>
      </text>
    </comment>
    <comment ref="A1300" authorId="0" shapeId="0" xr:uid="{00000000-0006-0000-0000-00008D020000}">
      <text>
        <r>
          <rPr>
            <sz val="9"/>
            <color indexed="81"/>
            <rFont val="MS P ゴシック"/>
            <family val="3"/>
            <charset val="128"/>
          </rPr>
          <t xml:space="preserve"> 26-6341</t>
        </r>
      </text>
    </comment>
    <comment ref="A1302" authorId="0" shapeId="0" xr:uid="{00000000-0006-0000-0000-00008E020000}">
      <text>
        <r>
          <rPr>
            <sz val="9"/>
            <color indexed="81"/>
            <rFont val="MS P ゴシック"/>
            <family val="3"/>
            <charset val="128"/>
          </rPr>
          <t xml:space="preserve"> 26-6342</t>
        </r>
      </text>
    </comment>
    <comment ref="A1304" authorId="0" shapeId="0" xr:uid="{00000000-0006-0000-0000-00008F020000}">
      <text>
        <r>
          <rPr>
            <sz val="9"/>
            <color indexed="81"/>
            <rFont val="MS P ゴシック"/>
            <family val="3"/>
            <charset val="128"/>
          </rPr>
          <t xml:space="preserve"> 26-6347</t>
        </r>
      </text>
    </comment>
    <comment ref="A1306" authorId="0" shapeId="0" xr:uid="{00000000-0006-0000-0000-000090020000}">
      <text>
        <r>
          <rPr>
            <sz val="9"/>
            <color indexed="81"/>
            <rFont val="MS P ゴシック"/>
            <family val="3"/>
            <charset val="128"/>
          </rPr>
          <t xml:space="preserve"> 26-6349</t>
        </r>
      </text>
    </comment>
    <comment ref="A1308" authorId="0" shapeId="0" xr:uid="{00000000-0006-0000-0000-000091020000}">
      <text>
        <r>
          <rPr>
            <sz val="9"/>
            <color indexed="81"/>
            <rFont val="MS P ゴシック"/>
            <family val="3"/>
            <charset val="128"/>
          </rPr>
          <t xml:space="preserve"> 26-6354</t>
        </r>
      </text>
    </comment>
    <comment ref="A1310" authorId="0" shapeId="0" xr:uid="{00000000-0006-0000-0000-000092020000}">
      <text>
        <r>
          <rPr>
            <sz val="9"/>
            <color indexed="81"/>
            <rFont val="MS P ゴシック"/>
            <family val="3"/>
            <charset val="128"/>
          </rPr>
          <t xml:space="preserve"> 26-6362</t>
        </r>
      </text>
    </comment>
    <comment ref="A1312" authorId="0" shapeId="0" xr:uid="{00000000-0006-0000-0000-000093020000}">
      <text>
        <r>
          <rPr>
            <sz val="9"/>
            <color indexed="81"/>
            <rFont val="MS P ゴシック"/>
            <family val="3"/>
            <charset val="128"/>
          </rPr>
          <t xml:space="preserve"> 26-6380</t>
        </r>
      </text>
    </comment>
    <comment ref="A1314" authorId="0" shapeId="0" xr:uid="{00000000-0006-0000-0000-000094020000}">
      <text>
        <r>
          <rPr>
            <sz val="9"/>
            <color indexed="81"/>
            <rFont val="MS P ゴシック"/>
            <family val="3"/>
            <charset val="128"/>
          </rPr>
          <t xml:space="preserve"> 26-6383</t>
        </r>
      </text>
    </comment>
    <comment ref="A1316" authorId="0" shapeId="0" xr:uid="{00000000-0006-0000-0000-000095020000}">
      <text>
        <r>
          <rPr>
            <sz val="9"/>
            <color indexed="81"/>
            <rFont val="MS P ゴシック"/>
            <family val="3"/>
            <charset val="128"/>
          </rPr>
          <t xml:space="preserve"> 26-6386</t>
        </r>
      </text>
    </comment>
    <comment ref="A1318" authorId="0" shapeId="0" xr:uid="{00000000-0006-0000-0000-000096020000}">
      <text>
        <r>
          <rPr>
            <sz val="9"/>
            <color indexed="81"/>
            <rFont val="MS P ゴシック"/>
            <family val="3"/>
            <charset val="128"/>
          </rPr>
          <t xml:space="preserve"> 26-6393</t>
        </r>
      </text>
    </comment>
    <comment ref="A1320" authorId="0" shapeId="0" xr:uid="{00000000-0006-0000-0000-000097020000}">
      <text>
        <r>
          <rPr>
            <sz val="9"/>
            <color indexed="81"/>
            <rFont val="MS P ゴシック"/>
            <family val="3"/>
            <charset val="128"/>
          </rPr>
          <t xml:space="preserve"> 26-6400</t>
        </r>
      </text>
    </comment>
    <comment ref="A1322" authorId="0" shapeId="0" xr:uid="{00000000-0006-0000-0000-000098020000}">
      <text>
        <r>
          <rPr>
            <sz val="9"/>
            <color indexed="81"/>
            <rFont val="MS P ゴシック"/>
            <family val="3"/>
            <charset val="128"/>
          </rPr>
          <t xml:space="preserve"> 26-6401</t>
        </r>
      </text>
    </comment>
    <comment ref="A1324" authorId="0" shapeId="0" xr:uid="{00000000-0006-0000-0000-000099020000}">
      <text>
        <r>
          <rPr>
            <sz val="9"/>
            <color indexed="81"/>
            <rFont val="MS P ゴシック"/>
            <family val="3"/>
            <charset val="128"/>
          </rPr>
          <t xml:space="preserve"> 26-6404</t>
        </r>
      </text>
    </comment>
    <comment ref="A1326" authorId="0" shapeId="0" xr:uid="{00000000-0006-0000-0000-00009A020000}">
      <text>
        <r>
          <rPr>
            <sz val="9"/>
            <color indexed="81"/>
            <rFont val="MS P ゴシック"/>
            <family val="3"/>
            <charset val="128"/>
          </rPr>
          <t xml:space="preserve"> 26-6405</t>
        </r>
      </text>
    </comment>
    <comment ref="A1328" authorId="0" shapeId="0" xr:uid="{00000000-0006-0000-0000-00009B020000}">
      <text>
        <r>
          <rPr>
            <sz val="9"/>
            <color indexed="81"/>
            <rFont val="MS P ゴシック"/>
            <family val="3"/>
            <charset val="128"/>
          </rPr>
          <t xml:space="preserve"> 26-6414</t>
        </r>
      </text>
    </comment>
    <comment ref="A1330" authorId="0" shapeId="0" xr:uid="{00000000-0006-0000-0000-00009C020000}">
      <text>
        <r>
          <rPr>
            <sz val="9"/>
            <color indexed="81"/>
            <rFont val="MS P ゴシック"/>
            <family val="3"/>
            <charset val="128"/>
          </rPr>
          <t xml:space="preserve"> 26-6420</t>
        </r>
      </text>
    </comment>
    <comment ref="A1332" authorId="0" shapeId="0" xr:uid="{00000000-0006-0000-0000-00009D020000}">
      <text>
        <r>
          <rPr>
            <sz val="9"/>
            <color indexed="81"/>
            <rFont val="MS P ゴシック"/>
            <family val="3"/>
            <charset val="128"/>
          </rPr>
          <t xml:space="preserve"> 26-6424</t>
        </r>
      </text>
    </comment>
    <comment ref="A1334" authorId="0" shapeId="0" xr:uid="{00000000-0006-0000-0000-00009E020000}">
      <text>
        <r>
          <rPr>
            <sz val="9"/>
            <color indexed="81"/>
            <rFont val="MS P ゴシック"/>
            <family val="3"/>
            <charset val="128"/>
          </rPr>
          <t xml:space="preserve"> 26-6425</t>
        </r>
      </text>
    </comment>
    <comment ref="A1336" authorId="0" shapeId="0" xr:uid="{00000000-0006-0000-0000-00009F020000}">
      <text>
        <r>
          <rPr>
            <sz val="9"/>
            <color indexed="81"/>
            <rFont val="MS P ゴシック"/>
            <family val="3"/>
            <charset val="128"/>
          </rPr>
          <t xml:space="preserve"> 26-6429</t>
        </r>
      </text>
    </comment>
    <comment ref="A1338" authorId="0" shapeId="0" xr:uid="{00000000-0006-0000-0000-0000A0020000}">
      <text>
        <r>
          <rPr>
            <sz val="9"/>
            <color indexed="81"/>
            <rFont val="MS P ゴシック"/>
            <family val="3"/>
            <charset val="128"/>
          </rPr>
          <t xml:space="preserve"> 26-6431</t>
        </r>
      </text>
    </comment>
    <comment ref="A1340" authorId="0" shapeId="0" xr:uid="{00000000-0006-0000-0000-0000A1020000}">
      <text>
        <r>
          <rPr>
            <sz val="9"/>
            <color indexed="81"/>
            <rFont val="MS P ゴシック"/>
            <family val="3"/>
            <charset val="128"/>
          </rPr>
          <t xml:space="preserve"> 26-6432</t>
        </r>
      </text>
    </comment>
    <comment ref="A1342" authorId="0" shapeId="0" xr:uid="{00000000-0006-0000-0000-0000A2020000}">
      <text>
        <r>
          <rPr>
            <sz val="9"/>
            <color indexed="81"/>
            <rFont val="MS P ゴシック"/>
            <family val="3"/>
            <charset val="128"/>
          </rPr>
          <t xml:space="preserve"> 26-6437</t>
        </r>
      </text>
    </comment>
    <comment ref="A1344" authorId="0" shapeId="0" xr:uid="{00000000-0006-0000-0000-0000A3020000}">
      <text>
        <r>
          <rPr>
            <sz val="9"/>
            <color indexed="81"/>
            <rFont val="MS P ゴシック"/>
            <family val="3"/>
            <charset val="128"/>
          </rPr>
          <t xml:space="preserve"> 26-6440</t>
        </r>
      </text>
    </comment>
    <comment ref="A1346" authorId="0" shapeId="0" xr:uid="{00000000-0006-0000-0000-0000A4020000}">
      <text>
        <r>
          <rPr>
            <sz val="9"/>
            <color indexed="81"/>
            <rFont val="MS P ゴシック"/>
            <family val="3"/>
            <charset val="128"/>
          </rPr>
          <t xml:space="preserve"> 26-6449</t>
        </r>
      </text>
    </comment>
    <comment ref="A1348" authorId="0" shapeId="0" xr:uid="{00000000-0006-0000-0000-0000A5020000}">
      <text>
        <r>
          <rPr>
            <sz val="9"/>
            <color indexed="81"/>
            <rFont val="MS P ゴシック"/>
            <family val="3"/>
            <charset val="128"/>
          </rPr>
          <t xml:space="preserve"> 26-6453</t>
        </r>
      </text>
    </comment>
    <comment ref="A1350" authorId="0" shapeId="0" xr:uid="{00000000-0006-0000-0000-0000A6020000}">
      <text>
        <r>
          <rPr>
            <sz val="9"/>
            <color indexed="81"/>
            <rFont val="MS P ゴシック"/>
            <family val="3"/>
            <charset val="128"/>
          </rPr>
          <t xml:space="preserve"> 26-6456</t>
        </r>
      </text>
    </comment>
    <comment ref="A1352" authorId="0" shapeId="0" xr:uid="{00000000-0006-0000-0000-0000A7020000}">
      <text>
        <r>
          <rPr>
            <sz val="9"/>
            <color indexed="81"/>
            <rFont val="MS P ゴシック"/>
            <family val="3"/>
            <charset val="128"/>
          </rPr>
          <t xml:space="preserve"> 26-6457</t>
        </r>
      </text>
    </comment>
    <comment ref="A1354" authorId="0" shapeId="0" xr:uid="{00000000-0006-0000-0000-0000A8020000}">
      <text>
        <r>
          <rPr>
            <sz val="9"/>
            <color indexed="81"/>
            <rFont val="MS P ゴシック"/>
            <family val="3"/>
            <charset val="128"/>
          </rPr>
          <t xml:space="preserve"> 26-6459</t>
        </r>
      </text>
    </comment>
    <comment ref="A1356" authorId="0" shapeId="0" xr:uid="{00000000-0006-0000-0000-0000A9020000}">
      <text>
        <r>
          <rPr>
            <sz val="9"/>
            <color indexed="81"/>
            <rFont val="MS P ゴシック"/>
            <family val="3"/>
            <charset val="128"/>
          </rPr>
          <t xml:space="preserve"> 26-6461</t>
        </r>
      </text>
    </comment>
    <comment ref="A1358" authorId="0" shapeId="0" xr:uid="{00000000-0006-0000-0000-0000AA020000}">
      <text>
        <r>
          <rPr>
            <sz val="9"/>
            <color indexed="81"/>
            <rFont val="MS P ゴシック"/>
            <family val="3"/>
            <charset val="128"/>
          </rPr>
          <t xml:space="preserve"> 26-6474</t>
        </r>
      </text>
    </comment>
    <comment ref="A1360" authorId="0" shapeId="0" xr:uid="{00000000-0006-0000-0000-0000AB020000}">
      <text>
        <r>
          <rPr>
            <sz val="9"/>
            <color indexed="81"/>
            <rFont val="MS P ゴシック"/>
            <family val="3"/>
            <charset val="128"/>
          </rPr>
          <t xml:space="preserve"> 26-6475</t>
        </r>
      </text>
    </comment>
    <comment ref="A1362" authorId="0" shapeId="0" xr:uid="{00000000-0006-0000-0000-0000AC020000}">
      <text>
        <r>
          <rPr>
            <sz val="9"/>
            <color indexed="81"/>
            <rFont val="MS P ゴシック"/>
            <family val="3"/>
            <charset val="128"/>
          </rPr>
          <t xml:space="preserve"> 26-6477</t>
        </r>
      </text>
    </comment>
    <comment ref="A1364" authorId="0" shapeId="0" xr:uid="{00000000-0006-0000-0000-0000AD020000}">
      <text>
        <r>
          <rPr>
            <sz val="9"/>
            <color indexed="81"/>
            <rFont val="MS P ゴシック"/>
            <family val="3"/>
            <charset val="128"/>
          </rPr>
          <t xml:space="preserve"> 26-6478</t>
        </r>
      </text>
    </comment>
    <comment ref="A1366" authorId="0" shapeId="0" xr:uid="{00000000-0006-0000-0000-0000AE020000}">
      <text>
        <r>
          <rPr>
            <sz val="9"/>
            <color indexed="81"/>
            <rFont val="MS P ゴシック"/>
            <family val="3"/>
            <charset val="128"/>
          </rPr>
          <t xml:space="preserve"> 26-6479</t>
        </r>
      </text>
    </comment>
    <comment ref="A1368" authorId="0" shapeId="0" xr:uid="{00000000-0006-0000-0000-0000AF020000}">
      <text>
        <r>
          <rPr>
            <sz val="9"/>
            <color indexed="81"/>
            <rFont val="MS P ゴシック"/>
            <family val="3"/>
            <charset val="128"/>
          </rPr>
          <t xml:space="preserve"> 26-6481</t>
        </r>
      </text>
    </comment>
    <comment ref="A1370" authorId="0" shapeId="0" xr:uid="{00000000-0006-0000-0000-0000B0020000}">
      <text>
        <r>
          <rPr>
            <sz val="9"/>
            <color indexed="81"/>
            <rFont val="MS P ゴシック"/>
            <family val="3"/>
            <charset val="128"/>
          </rPr>
          <t xml:space="preserve"> 26-6484</t>
        </r>
      </text>
    </comment>
    <comment ref="A1372" authorId="0" shapeId="0" xr:uid="{00000000-0006-0000-0000-0000B1020000}">
      <text>
        <r>
          <rPr>
            <sz val="9"/>
            <color indexed="81"/>
            <rFont val="MS P ゴシック"/>
            <family val="3"/>
            <charset val="128"/>
          </rPr>
          <t xml:space="preserve"> 26-6485</t>
        </r>
      </text>
    </comment>
    <comment ref="A1374" authorId="0" shapeId="0" xr:uid="{00000000-0006-0000-0000-0000B2020000}">
      <text>
        <r>
          <rPr>
            <sz val="9"/>
            <color indexed="81"/>
            <rFont val="MS P ゴシック"/>
            <family val="3"/>
            <charset val="128"/>
          </rPr>
          <t xml:space="preserve"> 26-6487</t>
        </r>
      </text>
    </comment>
    <comment ref="A1376" authorId="0" shapeId="0" xr:uid="{00000000-0006-0000-0000-0000B3020000}">
      <text>
        <r>
          <rPr>
            <sz val="9"/>
            <color indexed="81"/>
            <rFont val="MS P ゴシック"/>
            <family val="3"/>
            <charset val="128"/>
          </rPr>
          <t xml:space="preserve"> 26-6491</t>
        </r>
      </text>
    </comment>
    <comment ref="A1378" authorId="0" shapeId="0" xr:uid="{00000000-0006-0000-0000-0000B4020000}">
      <text>
        <r>
          <rPr>
            <sz val="9"/>
            <color indexed="81"/>
            <rFont val="MS P ゴシック"/>
            <family val="3"/>
            <charset val="128"/>
          </rPr>
          <t xml:space="preserve"> 26-6492</t>
        </r>
      </text>
    </comment>
    <comment ref="A1380" authorId="0" shapeId="0" xr:uid="{00000000-0006-0000-0000-0000B5020000}">
      <text>
        <r>
          <rPr>
            <sz val="9"/>
            <color indexed="81"/>
            <rFont val="MS P ゴシック"/>
            <family val="3"/>
            <charset val="128"/>
          </rPr>
          <t xml:space="preserve"> 26-6493</t>
        </r>
      </text>
    </comment>
    <comment ref="A1382" authorId="0" shapeId="0" xr:uid="{00000000-0006-0000-0000-0000B6020000}">
      <text>
        <r>
          <rPr>
            <sz val="9"/>
            <color indexed="81"/>
            <rFont val="MS P ゴシック"/>
            <family val="3"/>
            <charset val="128"/>
          </rPr>
          <t xml:space="preserve"> 26-6495</t>
        </r>
      </text>
    </comment>
    <comment ref="A1384" authorId="0" shapeId="0" xr:uid="{00000000-0006-0000-0000-0000B7020000}">
      <text>
        <r>
          <rPr>
            <sz val="9"/>
            <color indexed="81"/>
            <rFont val="MS P ゴシック"/>
            <family val="3"/>
            <charset val="128"/>
          </rPr>
          <t xml:space="preserve"> 26-6508</t>
        </r>
      </text>
    </comment>
    <comment ref="A1386" authorId="0" shapeId="0" xr:uid="{00000000-0006-0000-0000-0000B8020000}">
      <text>
        <r>
          <rPr>
            <sz val="9"/>
            <color indexed="81"/>
            <rFont val="MS P ゴシック"/>
            <family val="3"/>
            <charset val="128"/>
          </rPr>
          <t xml:space="preserve"> 26-6511</t>
        </r>
      </text>
    </comment>
    <comment ref="A1388" authorId="0" shapeId="0" xr:uid="{00000000-0006-0000-0000-0000B9020000}">
      <text>
        <r>
          <rPr>
            <sz val="9"/>
            <color indexed="81"/>
            <rFont val="MS P ゴシック"/>
            <family val="3"/>
            <charset val="128"/>
          </rPr>
          <t xml:space="preserve"> 26-6519</t>
        </r>
      </text>
    </comment>
    <comment ref="A1390" authorId="0" shapeId="0" xr:uid="{00000000-0006-0000-0000-0000BA020000}">
      <text>
        <r>
          <rPr>
            <sz val="9"/>
            <color indexed="81"/>
            <rFont val="MS P ゴシック"/>
            <family val="3"/>
            <charset val="128"/>
          </rPr>
          <t xml:space="preserve"> 26-6521</t>
        </r>
      </text>
    </comment>
    <comment ref="A1392" authorId="0" shapeId="0" xr:uid="{00000000-0006-0000-0000-0000BB020000}">
      <text>
        <r>
          <rPr>
            <sz val="9"/>
            <color indexed="81"/>
            <rFont val="MS P ゴシック"/>
            <family val="3"/>
            <charset val="128"/>
          </rPr>
          <t xml:space="preserve"> 26-6523</t>
        </r>
      </text>
    </comment>
    <comment ref="A1394" authorId="0" shapeId="0" xr:uid="{00000000-0006-0000-0000-0000BC020000}">
      <text>
        <r>
          <rPr>
            <sz val="9"/>
            <color indexed="81"/>
            <rFont val="MS P ゴシック"/>
            <family val="3"/>
            <charset val="128"/>
          </rPr>
          <t xml:space="preserve"> 26-6524</t>
        </r>
      </text>
    </comment>
    <comment ref="A1396" authorId="0" shapeId="0" xr:uid="{00000000-0006-0000-0000-0000BD020000}">
      <text>
        <r>
          <rPr>
            <sz val="9"/>
            <color indexed="81"/>
            <rFont val="MS P ゴシック"/>
            <family val="3"/>
            <charset val="128"/>
          </rPr>
          <t xml:space="preserve"> 26-6525</t>
        </r>
      </text>
    </comment>
    <comment ref="A1398" authorId="0" shapeId="0" xr:uid="{00000000-0006-0000-0000-0000BE020000}">
      <text>
        <r>
          <rPr>
            <sz val="9"/>
            <color indexed="81"/>
            <rFont val="MS P ゴシック"/>
            <family val="3"/>
            <charset val="128"/>
          </rPr>
          <t xml:space="preserve"> 26-6527</t>
        </r>
      </text>
    </comment>
    <comment ref="A1400" authorId="0" shapeId="0" xr:uid="{00000000-0006-0000-0000-0000BF020000}">
      <text>
        <r>
          <rPr>
            <sz val="9"/>
            <color indexed="81"/>
            <rFont val="MS P ゴシック"/>
            <family val="3"/>
            <charset val="128"/>
          </rPr>
          <t xml:space="preserve"> 26-6528</t>
        </r>
      </text>
    </comment>
    <comment ref="A1402" authorId="0" shapeId="0" xr:uid="{00000000-0006-0000-0000-0000C0020000}">
      <text>
        <r>
          <rPr>
            <sz val="9"/>
            <color indexed="81"/>
            <rFont val="MS P ゴシック"/>
            <family val="3"/>
            <charset val="128"/>
          </rPr>
          <t xml:space="preserve"> 26-6529</t>
        </r>
      </text>
    </comment>
    <comment ref="A1404" authorId="0" shapeId="0" xr:uid="{00000000-0006-0000-0000-0000C1020000}">
      <text>
        <r>
          <rPr>
            <sz val="9"/>
            <color indexed="81"/>
            <rFont val="MS P ゴシック"/>
            <family val="3"/>
            <charset val="128"/>
          </rPr>
          <t xml:space="preserve"> 26-6531</t>
        </r>
      </text>
    </comment>
    <comment ref="A1406" authorId="0" shapeId="0" xr:uid="{00000000-0006-0000-0000-0000C2020000}">
      <text>
        <r>
          <rPr>
            <sz val="9"/>
            <color indexed="81"/>
            <rFont val="MS P ゴシック"/>
            <family val="3"/>
            <charset val="128"/>
          </rPr>
          <t xml:space="preserve"> 26-6535</t>
        </r>
      </text>
    </comment>
    <comment ref="A1408" authorId="0" shapeId="0" xr:uid="{00000000-0006-0000-0000-0000C3020000}">
      <text>
        <r>
          <rPr>
            <sz val="9"/>
            <color indexed="81"/>
            <rFont val="MS P ゴシック"/>
            <family val="3"/>
            <charset val="128"/>
          </rPr>
          <t xml:space="preserve"> 26-6536</t>
        </r>
      </text>
    </comment>
    <comment ref="A1410" authorId="0" shapeId="0" xr:uid="{00000000-0006-0000-0000-0000C4020000}">
      <text>
        <r>
          <rPr>
            <sz val="9"/>
            <color indexed="81"/>
            <rFont val="MS P ゴシック"/>
            <family val="3"/>
            <charset val="128"/>
          </rPr>
          <t xml:space="preserve"> 26-6540</t>
        </r>
      </text>
    </comment>
    <comment ref="A1412" authorId="0" shapeId="0" xr:uid="{00000000-0006-0000-0000-0000C5020000}">
      <text>
        <r>
          <rPr>
            <sz val="9"/>
            <color indexed="81"/>
            <rFont val="MS P ゴシック"/>
            <family val="3"/>
            <charset val="128"/>
          </rPr>
          <t xml:space="preserve"> 26-6541</t>
        </r>
      </text>
    </comment>
    <comment ref="A1414" authorId="0" shapeId="0" xr:uid="{00000000-0006-0000-0000-0000C6020000}">
      <text>
        <r>
          <rPr>
            <sz val="9"/>
            <color indexed="81"/>
            <rFont val="MS P ゴシック"/>
            <family val="3"/>
            <charset val="128"/>
          </rPr>
          <t xml:space="preserve"> 26-6542</t>
        </r>
      </text>
    </comment>
    <comment ref="A1416" authorId="0" shapeId="0" xr:uid="{00000000-0006-0000-0000-0000C7020000}">
      <text>
        <r>
          <rPr>
            <sz val="9"/>
            <color indexed="81"/>
            <rFont val="MS P ゴシック"/>
            <family val="3"/>
            <charset val="128"/>
          </rPr>
          <t xml:space="preserve"> 26-6544</t>
        </r>
      </text>
    </comment>
    <comment ref="A1418" authorId="0" shapeId="0" xr:uid="{00000000-0006-0000-0000-0000C8020000}">
      <text>
        <r>
          <rPr>
            <sz val="9"/>
            <color indexed="81"/>
            <rFont val="MS P ゴシック"/>
            <family val="3"/>
            <charset val="128"/>
          </rPr>
          <t xml:space="preserve"> 26-6545</t>
        </r>
      </text>
    </comment>
    <comment ref="A1420" authorId="0" shapeId="0" xr:uid="{00000000-0006-0000-0000-0000C9020000}">
      <text>
        <r>
          <rPr>
            <sz val="9"/>
            <color indexed="81"/>
            <rFont val="MS P ゴシック"/>
            <family val="3"/>
            <charset val="128"/>
          </rPr>
          <t xml:space="preserve"> 26-6546</t>
        </r>
      </text>
    </comment>
    <comment ref="A1422" authorId="0" shapeId="0" xr:uid="{00000000-0006-0000-0000-0000CA020000}">
      <text>
        <r>
          <rPr>
            <sz val="9"/>
            <color indexed="81"/>
            <rFont val="MS P ゴシック"/>
            <family val="3"/>
            <charset val="128"/>
          </rPr>
          <t xml:space="preserve"> 26-6548</t>
        </r>
      </text>
    </comment>
    <comment ref="A1424" authorId="0" shapeId="0" xr:uid="{00000000-0006-0000-0000-0000CB020000}">
      <text>
        <r>
          <rPr>
            <sz val="9"/>
            <color indexed="81"/>
            <rFont val="MS P ゴシック"/>
            <family val="3"/>
            <charset val="128"/>
          </rPr>
          <t xml:space="preserve"> 26-6550</t>
        </r>
      </text>
    </comment>
    <comment ref="A1426" authorId="0" shapeId="0" xr:uid="{00000000-0006-0000-0000-0000CC020000}">
      <text>
        <r>
          <rPr>
            <sz val="9"/>
            <color indexed="81"/>
            <rFont val="MS P ゴシック"/>
            <family val="3"/>
            <charset val="128"/>
          </rPr>
          <t xml:space="preserve"> 26-6552</t>
        </r>
      </text>
    </comment>
    <comment ref="A1428" authorId="0" shapeId="0" xr:uid="{00000000-0006-0000-0000-0000CD020000}">
      <text>
        <r>
          <rPr>
            <sz val="9"/>
            <color indexed="81"/>
            <rFont val="MS P ゴシック"/>
            <family val="3"/>
            <charset val="128"/>
          </rPr>
          <t xml:space="preserve"> 26-6553</t>
        </r>
      </text>
    </comment>
    <comment ref="A1430" authorId="0" shapeId="0" xr:uid="{00000000-0006-0000-0000-0000CE020000}">
      <text>
        <r>
          <rPr>
            <sz val="9"/>
            <color indexed="81"/>
            <rFont val="MS P ゴシック"/>
            <family val="3"/>
            <charset val="128"/>
          </rPr>
          <t xml:space="preserve"> 26-6554</t>
        </r>
      </text>
    </comment>
    <comment ref="A1432" authorId="0" shapeId="0" xr:uid="{00000000-0006-0000-0000-0000CF020000}">
      <text>
        <r>
          <rPr>
            <sz val="9"/>
            <color indexed="81"/>
            <rFont val="MS P ゴシック"/>
            <family val="3"/>
            <charset val="128"/>
          </rPr>
          <t xml:space="preserve"> 26-6559</t>
        </r>
      </text>
    </comment>
    <comment ref="A1434" authorId="0" shapeId="0" xr:uid="{00000000-0006-0000-0000-0000D0020000}">
      <text>
        <r>
          <rPr>
            <sz val="9"/>
            <color indexed="81"/>
            <rFont val="MS P ゴシック"/>
            <family val="3"/>
            <charset val="128"/>
          </rPr>
          <t xml:space="preserve"> 26-6561</t>
        </r>
      </text>
    </comment>
    <comment ref="A1436" authorId="0" shapeId="0" xr:uid="{00000000-0006-0000-0000-0000D1020000}">
      <text>
        <r>
          <rPr>
            <sz val="9"/>
            <color indexed="81"/>
            <rFont val="MS P ゴシック"/>
            <family val="3"/>
            <charset val="128"/>
          </rPr>
          <t xml:space="preserve"> 26-6563</t>
        </r>
      </text>
    </comment>
    <comment ref="A1438" authorId="0" shapeId="0" xr:uid="{00000000-0006-0000-0000-0000D2020000}">
      <text>
        <r>
          <rPr>
            <sz val="9"/>
            <color indexed="81"/>
            <rFont val="MS P ゴシック"/>
            <family val="3"/>
            <charset val="128"/>
          </rPr>
          <t xml:space="preserve"> 26-6566</t>
        </r>
      </text>
    </comment>
    <comment ref="A1440" authorId="0" shapeId="0" xr:uid="{00000000-0006-0000-0000-0000D3020000}">
      <text>
        <r>
          <rPr>
            <sz val="9"/>
            <color indexed="81"/>
            <rFont val="MS P ゴシック"/>
            <family val="3"/>
            <charset val="128"/>
          </rPr>
          <t xml:space="preserve"> 26-6567</t>
        </r>
      </text>
    </comment>
    <comment ref="A1442" authorId="0" shapeId="0" xr:uid="{00000000-0006-0000-0000-0000D4020000}">
      <text>
        <r>
          <rPr>
            <sz val="9"/>
            <color indexed="81"/>
            <rFont val="MS P ゴシック"/>
            <family val="3"/>
            <charset val="128"/>
          </rPr>
          <t xml:space="preserve"> 26-6568</t>
        </r>
      </text>
    </comment>
    <comment ref="A1444" authorId="0" shapeId="0" xr:uid="{00000000-0006-0000-0000-0000D5020000}">
      <text>
        <r>
          <rPr>
            <sz val="9"/>
            <color indexed="81"/>
            <rFont val="MS P ゴシック"/>
            <family val="3"/>
            <charset val="128"/>
          </rPr>
          <t xml:space="preserve"> 26-6570</t>
        </r>
      </text>
    </comment>
    <comment ref="A1446" authorId="0" shapeId="0" xr:uid="{00000000-0006-0000-0000-0000D6020000}">
      <text>
        <r>
          <rPr>
            <sz val="9"/>
            <color indexed="81"/>
            <rFont val="MS P ゴシック"/>
            <family val="3"/>
            <charset val="128"/>
          </rPr>
          <t xml:space="preserve"> 26-6571</t>
        </r>
      </text>
    </comment>
    <comment ref="A1448" authorId="0" shapeId="0" xr:uid="{00000000-0006-0000-0000-0000D7020000}">
      <text>
        <r>
          <rPr>
            <sz val="9"/>
            <color indexed="81"/>
            <rFont val="MS P ゴシック"/>
            <family val="3"/>
            <charset val="128"/>
          </rPr>
          <t xml:space="preserve"> 26-6575</t>
        </r>
      </text>
    </comment>
    <comment ref="A1450" authorId="0" shapeId="0" xr:uid="{00000000-0006-0000-0000-0000D8020000}">
      <text>
        <r>
          <rPr>
            <sz val="9"/>
            <color indexed="81"/>
            <rFont val="MS P ゴシック"/>
            <family val="3"/>
            <charset val="128"/>
          </rPr>
          <t xml:space="preserve"> 26-6576</t>
        </r>
      </text>
    </comment>
    <comment ref="A1452" authorId="0" shapeId="0" xr:uid="{00000000-0006-0000-0000-0000D9020000}">
      <text>
        <r>
          <rPr>
            <sz val="9"/>
            <color indexed="81"/>
            <rFont val="MS P ゴシック"/>
            <family val="3"/>
            <charset val="128"/>
          </rPr>
          <t xml:space="preserve"> 26-6577</t>
        </r>
      </text>
    </comment>
    <comment ref="A1454" authorId="0" shapeId="0" xr:uid="{00000000-0006-0000-0000-0000DA020000}">
      <text>
        <r>
          <rPr>
            <sz val="9"/>
            <color indexed="81"/>
            <rFont val="MS P ゴシック"/>
            <family val="3"/>
            <charset val="128"/>
          </rPr>
          <t xml:space="preserve"> 26-6584</t>
        </r>
      </text>
    </comment>
    <comment ref="A1456" authorId="0" shapeId="0" xr:uid="{00000000-0006-0000-0000-0000DB020000}">
      <text>
        <r>
          <rPr>
            <sz val="9"/>
            <color indexed="81"/>
            <rFont val="MS P ゴシック"/>
            <family val="3"/>
            <charset val="128"/>
          </rPr>
          <t xml:space="preserve"> 26-6586</t>
        </r>
      </text>
    </comment>
    <comment ref="A1458" authorId="0" shapeId="0" xr:uid="{00000000-0006-0000-0000-0000DC020000}">
      <text>
        <r>
          <rPr>
            <sz val="9"/>
            <color indexed="81"/>
            <rFont val="MS P ゴシック"/>
            <family val="3"/>
            <charset val="128"/>
          </rPr>
          <t xml:space="preserve"> 26-6587</t>
        </r>
      </text>
    </comment>
    <comment ref="A1460" authorId="0" shapeId="0" xr:uid="{00000000-0006-0000-0000-0000DD020000}">
      <text>
        <r>
          <rPr>
            <sz val="9"/>
            <color indexed="81"/>
            <rFont val="MS P ゴシック"/>
            <family val="3"/>
            <charset val="128"/>
          </rPr>
          <t xml:space="preserve"> 26-6588</t>
        </r>
      </text>
    </comment>
    <comment ref="A1462" authorId="0" shapeId="0" xr:uid="{00000000-0006-0000-0000-0000DE020000}">
      <text>
        <r>
          <rPr>
            <sz val="9"/>
            <color indexed="81"/>
            <rFont val="MS P ゴシック"/>
            <family val="3"/>
            <charset val="128"/>
          </rPr>
          <t xml:space="preserve"> 26-6590</t>
        </r>
      </text>
    </comment>
    <comment ref="A1464" authorId="0" shapeId="0" xr:uid="{00000000-0006-0000-0000-0000DF020000}">
      <text>
        <r>
          <rPr>
            <sz val="9"/>
            <color indexed="81"/>
            <rFont val="MS P ゴシック"/>
            <family val="3"/>
            <charset val="128"/>
          </rPr>
          <t xml:space="preserve"> 26-6592</t>
        </r>
      </text>
    </comment>
    <comment ref="A1466" authorId="0" shapeId="0" xr:uid="{00000000-0006-0000-0000-0000E0020000}">
      <text>
        <r>
          <rPr>
            <sz val="9"/>
            <color indexed="81"/>
            <rFont val="MS P ゴシック"/>
            <family val="3"/>
            <charset val="128"/>
          </rPr>
          <t xml:space="preserve"> 26-6594</t>
        </r>
      </text>
    </comment>
    <comment ref="A1468" authorId="0" shapeId="0" xr:uid="{00000000-0006-0000-0000-0000E1020000}">
      <text>
        <r>
          <rPr>
            <sz val="9"/>
            <color indexed="81"/>
            <rFont val="MS P ゴシック"/>
            <family val="3"/>
            <charset val="128"/>
          </rPr>
          <t xml:space="preserve"> 26-6595</t>
        </r>
      </text>
    </comment>
    <comment ref="A1470" authorId="0" shapeId="0" xr:uid="{00000000-0006-0000-0000-0000E2020000}">
      <text>
        <r>
          <rPr>
            <sz val="9"/>
            <color indexed="81"/>
            <rFont val="MS P ゴシック"/>
            <family val="3"/>
            <charset val="128"/>
          </rPr>
          <t xml:space="preserve"> 26-6597</t>
        </r>
      </text>
    </comment>
    <comment ref="A1472" authorId="0" shapeId="0" xr:uid="{00000000-0006-0000-0000-0000E3020000}">
      <text>
        <r>
          <rPr>
            <sz val="9"/>
            <color indexed="81"/>
            <rFont val="MS P ゴシック"/>
            <family val="3"/>
            <charset val="128"/>
          </rPr>
          <t xml:space="preserve"> 26-6599</t>
        </r>
      </text>
    </comment>
    <comment ref="A1474" authorId="0" shapeId="0" xr:uid="{00000000-0006-0000-0000-0000E4020000}">
      <text>
        <r>
          <rPr>
            <sz val="9"/>
            <color indexed="81"/>
            <rFont val="MS P ゴシック"/>
            <family val="3"/>
            <charset val="128"/>
          </rPr>
          <t xml:space="preserve"> 26-6600</t>
        </r>
      </text>
    </comment>
    <comment ref="A1476" authorId="0" shapeId="0" xr:uid="{00000000-0006-0000-0000-0000E5020000}">
      <text>
        <r>
          <rPr>
            <sz val="9"/>
            <color indexed="81"/>
            <rFont val="MS P ゴシック"/>
            <family val="3"/>
            <charset val="128"/>
          </rPr>
          <t xml:space="preserve"> 26-6601</t>
        </r>
      </text>
    </comment>
    <comment ref="A1478" authorId="0" shapeId="0" xr:uid="{00000000-0006-0000-0000-0000E6020000}">
      <text>
        <r>
          <rPr>
            <sz val="9"/>
            <color indexed="81"/>
            <rFont val="MS P ゴシック"/>
            <family val="3"/>
            <charset val="128"/>
          </rPr>
          <t xml:space="preserve"> 26-6607</t>
        </r>
      </text>
    </comment>
    <comment ref="A1480" authorId="0" shapeId="0" xr:uid="{00000000-0006-0000-0000-0000E7020000}">
      <text>
        <r>
          <rPr>
            <sz val="9"/>
            <color indexed="81"/>
            <rFont val="MS P ゴシック"/>
            <family val="3"/>
            <charset val="128"/>
          </rPr>
          <t xml:space="preserve"> 26-6608</t>
        </r>
      </text>
    </comment>
    <comment ref="A1482" authorId="0" shapeId="0" xr:uid="{00000000-0006-0000-0000-0000E8020000}">
      <text>
        <r>
          <rPr>
            <sz val="9"/>
            <color indexed="81"/>
            <rFont val="MS P ゴシック"/>
            <family val="3"/>
            <charset val="128"/>
          </rPr>
          <t xml:space="preserve"> 26-6610</t>
        </r>
      </text>
    </comment>
    <comment ref="A1484" authorId="0" shapeId="0" xr:uid="{00000000-0006-0000-0000-0000E9020000}">
      <text>
        <r>
          <rPr>
            <sz val="9"/>
            <color indexed="81"/>
            <rFont val="MS P ゴシック"/>
            <family val="3"/>
            <charset val="128"/>
          </rPr>
          <t xml:space="preserve"> 26-6612</t>
        </r>
      </text>
    </comment>
    <comment ref="A1486" authorId="0" shapeId="0" xr:uid="{00000000-0006-0000-0000-0000EA020000}">
      <text>
        <r>
          <rPr>
            <sz val="9"/>
            <color indexed="81"/>
            <rFont val="MS P ゴシック"/>
            <family val="3"/>
            <charset val="128"/>
          </rPr>
          <t xml:space="preserve"> 26-6613</t>
        </r>
      </text>
    </comment>
    <comment ref="A1488" authorId="0" shapeId="0" xr:uid="{00000000-0006-0000-0000-0000EB020000}">
      <text>
        <r>
          <rPr>
            <sz val="9"/>
            <color indexed="81"/>
            <rFont val="MS P ゴシック"/>
            <family val="3"/>
            <charset val="128"/>
          </rPr>
          <t xml:space="preserve"> 26-6614</t>
        </r>
      </text>
    </comment>
    <comment ref="A1490" authorId="0" shapeId="0" xr:uid="{00000000-0006-0000-0000-0000EC020000}">
      <text>
        <r>
          <rPr>
            <sz val="9"/>
            <color indexed="81"/>
            <rFont val="MS P ゴシック"/>
            <family val="3"/>
            <charset val="128"/>
          </rPr>
          <t xml:space="preserve"> 26-6615</t>
        </r>
      </text>
    </comment>
    <comment ref="A1492" authorId="0" shapeId="0" xr:uid="{00000000-0006-0000-0000-0000ED020000}">
      <text>
        <r>
          <rPr>
            <sz val="9"/>
            <color indexed="81"/>
            <rFont val="MS P ゴシック"/>
            <family val="3"/>
            <charset val="128"/>
          </rPr>
          <t xml:space="preserve"> 26-6616</t>
        </r>
      </text>
    </comment>
    <comment ref="A1494" authorId="0" shapeId="0" xr:uid="{00000000-0006-0000-0000-0000EE020000}">
      <text>
        <r>
          <rPr>
            <sz val="9"/>
            <color indexed="81"/>
            <rFont val="MS P ゴシック"/>
            <family val="3"/>
            <charset val="128"/>
          </rPr>
          <t xml:space="preserve"> 26-6617</t>
        </r>
      </text>
    </comment>
    <comment ref="A1496" authorId="0" shapeId="0" xr:uid="{00000000-0006-0000-0000-0000EF020000}">
      <text>
        <r>
          <rPr>
            <sz val="9"/>
            <color indexed="81"/>
            <rFont val="MS P ゴシック"/>
            <family val="3"/>
            <charset val="128"/>
          </rPr>
          <t xml:space="preserve"> 26-6618</t>
        </r>
      </text>
    </comment>
    <comment ref="A1498" authorId="0" shapeId="0" xr:uid="{00000000-0006-0000-0000-0000F0020000}">
      <text>
        <r>
          <rPr>
            <sz val="9"/>
            <color indexed="81"/>
            <rFont val="MS P ゴシック"/>
            <family val="3"/>
            <charset val="128"/>
          </rPr>
          <t xml:space="preserve"> 26-6621</t>
        </r>
      </text>
    </comment>
    <comment ref="A1500" authorId="0" shapeId="0" xr:uid="{00000000-0006-0000-0000-0000F1020000}">
      <text>
        <r>
          <rPr>
            <sz val="9"/>
            <color indexed="81"/>
            <rFont val="MS P ゴシック"/>
            <family val="3"/>
            <charset val="128"/>
          </rPr>
          <t xml:space="preserve"> 26-6622</t>
        </r>
      </text>
    </comment>
    <comment ref="A1502" authorId="0" shapeId="0" xr:uid="{00000000-0006-0000-0000-0000F2020000}">
      <text>
        <r>
          <rPr>
            <sz val="9"/>
            <color indexed="81"/>
            <rFont val="MS P ゴシック"/>
            <family val="3"/>
            <charset val="128"/>
          </rPr>
          <t xml:space="preserve"> 26-6623</t>
        </r>
      </text>
    </comment>
    <comment ref="A1504" authorId="0" shapeId="0" xr:uid="{00000000-0006-0000-0000-0000F3020000}">
      <text>
        <r>
          <rPr>
            <sz val="9"/>
            <color indexed="81"/>
            <rFont val="MS P ゴシック"/>
            <family val="3"/>
            <charset val="128"/>
          </rPr>
          <t xml:space="preserve"> 26-6624</t>
        </r>
      </text>
    </comment>
    <comment ref="A1506" authorId="0" shapeId="0" xr:uid="{00000000-0006-0000-0000-0000F4020000}">
      <text>
        <r>
          <rPr>
            <sz val="9"/>
            <color indexed="81"/>
            <rFont val="MS P ゴシック"/>
            <family val="3"/>
            <charset val="128"/>
          </rPr>
          <t xml:space="preserve"> 26-6626</t>
        </r>
      </text>
    </comment>
    <comment ref="A1508" authorId="0" shapeId="0" xr:uid="{00000000-0006-0000-0000-0000F5020000}">
      <text>
        <r>
          <rPr>
            <sz val="9"/>
            <color indexed="81"/>
            <rFont val="MS P ゴシック"/>
            <family val="3"/>
            <charset val="128"/>
          </rPr>
          <t xml:space="preserve"> 26-6628</t>
        </r>
      </text>
    </comment>
    <comment ref="A1510" authorId="0" shapeId="0" xr:uid="{00000000-0006-0000-0000-0000F6020000}">
      <text>
        <r>
          <rPr>
            <sz val="9"/>
            <color indexed="81"/>
            <rFont val="MS P ゴシック"/>
            <family val="3"/>
            <charset val="128"/>
          </rPr>
          <t xml:space="preserve"> 26-6629</t>
        </r>
      </text>
    </comment>
    <comment ref="A1512" authorId="0" shapeId="0" xr:uid="{00000000-0006-0000-0000-0000F7020000}">
      <text>
        <r>
          <rPr>
            <sz val="9"/>
            <color indexed="81"/>
            <rFont val="MS P ゴシック"/>
            <family val="3"/>
            <charset val="128"/>
          </rPr>
          <t xml:space="preserve"> 26-6630</t>
        </r>
      </text>
    </comment>
    <comment ref="A1514" authorId="0" shapeId="0" xr:uid="{00000000-0006-0000-0000-0000F8020000}">
      <text>
        <r>
          <rPr>
            <sz val="9"/>
            <color indexed="81"/>
            <rFont val="MS P ゴシック"/>
            <family val="3"/>
            <charset val="128"/>
          </rPr>
          <t xml:space="preserve"> 26-6631</t>
        </r>
      </text>
    </comment>
    <comment ref="A1516" authorId="0" shapeId="0" xr:uid="{00000000-0006-0000-0000-0000F9020000}">
      <text>
        <r>
          <rPr>
            <sz val="9"/>
            <color indexed="81"/>
            <rFont val="MS P ゴシック"/>
            <family val="3"/>
            <charset val="128"/>
          </rPr>
          <t xml:space="preserve"> 26-6634</t>
        </r>
      </text>
    </comment>
    <comment ref="A1518" authorId="0" shapeId="0" xr:uid="{00000000-0006-0000-0000-0000FA020000}">
      <text>
        <r>
          <rPr>
            <sz val="9"/>
            <color indexed="81"/>
            <rFont val="MS P ゴシック"/>
            <family val="3"/>
            <charset val="128"/>
          </rPr>
          <t xml:space="preserve"> 26-6635</t>
        </r>
      </text>
    </comment>
    <comment ref="A1520" authorId="0" shapeId="0" xr:uid="{00000000-0006-0000-0000-0000FB020000}">
      <text>
        <r>
          <rPr>
            <sz val="9"/>
            <color indexed="81"/>
            <rFont val="MS P ゴシック"/>
            <family val="3"/>
            <charset val="128"/>
          </rPr>
          <t xml:space="preserve"> 26-6637</t>
        </r>
      </text>
    </comment>
    <comment ref="A1522" authorId="0" shapeId="0" xr:uid="{00000000-0006-0000-0000-0000FC020000}">
      <text>
        <r>
          <rPr>
            <sz val="9"/>
            <color indexed="81"/>
            <rFont val="MS P ゴシック"/>
            <family val="3"/>
            <charset val="128"/>
          </rPr>
          <t xml:space="preserve"> 26-6643</t>
        </r>
      </text>
    </comment>
    <comment ref="A1524" authorId="0" shapeId="0" xr:uid="{00000000-0006-0000-0000-0000FD020000}">
      <text>
        <r>
          <rPr>
            <sz val="9"/>
            <color indexed="81"/>
            <rFont val="MS P ゴシック"/>
            <family val="3"/>
            <charset val="128"/>
          </rPr>
          <t xml:space="preserve"> 26-6644</t>
        </r>
      </text>
    </comment>
    <comment ref="A1526" authorId="0" shapeId="0" xr:uid="{00000000-0006-0000-0000-0000FE020000}">
      <text>
        <r>
          <rPr>
            <sz val="9"/>
            <color indexed="81"/>
            <rFont val="MS P ゴシック"/>
            <family val="3"/>
            <charset val="128"/>
          </rPr>
          <t xml:space="preserve"> 26-6645</t>
        </r>
      </text>
    </comment>
    <comment ref="A1528" authorId="0" shapeId="0" xr:uid="{00000000-0006-0000-0000-0000FF020000}">
      <text>
        <r>
          <rPr>
            <sz val="9"/>
            <color indexed="81"/>
            <rFont val="MS P ゴシック"/>
            <family val="3"/>
            <charset val="128"/>
          </rPr>
          <t xml:space="preserve"> 26-6647</t>
        </r>
      </text>
    </comment>
    <comment ref="A1530" authorId="0" shapeId="0" xr:uid="{00000000-0006-0000-0000-000000030000}">
      <text>
        <r>
          <rPr>
            <sz val="9"/>
            <color indexed="81"/>
            <rFont val="MS P ゴシック"/>
            <family val="3"/>
            <charset val="128"/>
          </rPr>
          <t xml:space="preserve"> 26-6649</t>
        </r>
      </text>
    </comment>
    <comment ref="A1532" authorId="0" shapeId="0" xr:uid="{00000000-0006-0000-0000-000001030000}">
      <text>
        <r>
          <rPr>
            <sz val="9"/>
            <color indexed="81"/>
            <rFont val="MS P ゴシック"/>
            <family val="3"/>
            <charset val="128"/>
          </rPr>
          <t xml:space="preserve"> 26-6650</t>
        </r>
      </text>
    </comment>
    <comment ref="A1534" authorId="0" shapeId="0" xr:uid="{00000000-0006-0000-0000-000002030000}">
      <text>
        <r>
          <rPr>
            <sz val="9"/>
            <color indexed="81"/>
            <rFont val="MS P ゴシック"/>
            <family val="3"/>
            <charset val="128"/>
          </rPr>
          <t xml:space="preserve"> 26-6652</t>
        </r>
      </text>
    </comment>
    <comment ref="A1536" authorId="0" shapeId="0" xr:uid="{00000000-0006-0000-0000-000003030000}">
      <text>
        <r>
          <rPr>
            <sz val="9"/>
            <color indexed="81"/>
            <rFont val="MS P ゴシック"/>
            <family val="3"/>
            <charset val="128"/>
          </rPr>
          <t xml:space="preserve"> 26-6653</t>
        </r>
      </text>
    </comment>
    <comment ref="A1538" authorId="0" shapeId="0" xr:uid="{00000000-0006-0000-0000-000004030000}">
      <text>
        <r>
          <rPr>
            <sz val="9"/>
            <color indexed="81"/>
            <rFont val="MS P ゴシック"/>
            <family val="3"/>
            <charset val="128"/>
          </rPr>
          <t xml:space="preserve"> 26-6654</t>
        </r>
      </text>
    </comment>
    <comment ref="A1540" authorId="0" shapeId="0" xr:uid="{00000000-0006-0000-0000-000005030000}">
      <text>
        <r>
          <rPr>
            <sz val="9"/>
            <color indexed="81"/>
            <rFont val="MS P ゴシック"/>
            <family val="3"/>
            <charset val="128"/>
          </rPr>
          <t xml:space="preserve"> 26-6655</t>
        </r>
      </text>
    </comment>
    <comment ref="A1542" authorId="0" shapeId="0" xr:uid="{00000000-0006-0000-0000-000006030000}">
      <text>
        <r>
          <rPr>
            <sz val="9"/>
            <color indexed="81"/>
            <rFont val="MS P ゴシック"/>
            <family val="3"/>
            <charset val="128"/>
          </rPr>
          <t xml:space="preserve"> 26-6656</t>
        </r>
      </text>
    </comment>
    <comment ref="A1544" authorId="0" shapeId="0" xr:uid="{00000000-0006-0000-0000-000007030000}">
      <text>
        <r>
          <rPr>
            <sz val="9"/>
            <color indexed="81"/>
            <rFont val="MS P ゴシック"/>
            <family val="3"/>
            <charset val="128"/>
          </rPr>
          <t xml:space="preserve"> 26-6658</t>
        </r>
      </text>
    </comment>
    <comment ref="A1546" authorId="0" shapeId="0" xr:uid="{00000000-0006-0000-0000-000008030000}">
      <text>
        <r>
          <rPr>
            <sz val="9"/>
            <color indexed="81"/>
            <rFont val="MS P ゴシック"/>
            <family val="3"/>
            <charset val="128"/>
          </rPr>
          <t xml:space="preserve"> 26-6659</t>
        </r>
      </text>
    </comment>
    <comment ref="A1548" authorId="0" shapeId="0" xr:uid="{00000000-0006-0000-0000-000009030000}">
      <text>
        <r>
          <rPr>
            <sz val="9"/>
            <color indexed="81"/>
            <rFont val="MS P ゴシック"/>
            <family val="3"/>
            <charset val="128"/>
          </rPr>
          <t xml:space="preserve"> 26-6660</t>
        </r>
      </text>
    </comment>
    <comment ref="A1550" authorId="0" shapeId="0" xr:uid="{00000000-0006-0000-0000-00000A030000}">
      <text>
        <r>
          <rPr>
            <sz val="9"/>
            <color indexed="81"/>
            <rFont val="MS P ゴシック"/>
            <family val="3"/>
            <charset val="128"/>
          </rPr>
          <t xml:space="preserve"> 26-6662</t>
        </r>
      </text>
    </comment>
    <comment ref="A1552" authorId="0" shapeId="0" xr:uid="{00000000-0006-0000-0000-00000B030000}">
      <text>
        <r>
          <rPr>
            <sz val="9"/>
            <color indexed="81"/>
            <rFont val="MS P ゴシック"/>
            <family val="3"/>
            <charset val="128"/>
          </rPr>
          <t xml:space="preserve"> 26-6666</t>
        </r>
      </text>
    </comment>
    <comment ref="A1554" authorId="0" shapeId="0" xr:uid="{00000000-0006-0000-0000-00000C030000}">
      <text>
        <r>
          <rPr>
            <sz val="9"/>
            <color indexed="81"/>
            <rFont val="MS P ゴシック"/>
            <family val="3"/>
            <charset val="128"/>
          </rPr>
          <t xml:space="preserve"> 26-6669</t>
        </r>
      </text>
    </comment>
    <comment ref="A1556" authorId="0" shapeId="0" xr:uid="{00000000-0006-0000-0000-00000D030000}">
      <text>
        <r>
          <rPr>
            <sz val="9"/>
            <color indexed="81"/>
            <rFont val="MS P ゴシック"/>
            <family val="3"/>
            <charset val="128"/>
          </rPr>
          <t xml:space="preserve"> 26-6670</t>
        </r>
      </text>
    </comment>
    <comment ref="A1558" authorId="0" shapeId="0" xr:uid="{00000000-0006-0000-0000-00000E030000}">
      <text>
        <r>
          <rPr>
            <sz val="9"/>
            <color indexed="81"/>
            <rFont val="MS P ゴシック"/>
            <family val="3"/>
            <charset val="128"/>
          </rPr>
          <t xml:space="preserve"> 26-6671</t>
        </r>
      </text>
    </comment>
    <comment ref="A1560" authorId="0" shapeId="0" xr:uid="{00000000-0006-0000-0000-00000F030000}">
      <text>
        <r>
          <rPr>
            <sz val="9"/>
            <color indexed="81"/>
            <rFont val="MS P ゴシック"/>
            <family val="3"/>
            <charset val="128"/>
          </rPr>
          <t xml:space="preserve"> 26-6672</t>
        </r>
      </text>
    </comment>
    <comment ref="A1562" authorId="0" shapeId="0" xr:uid="{00000000-0006-0000-0000-000010030000}">
      <text>
        <r>
          <rPr>
            <sz val="9"/>
            <color indexed="81"/>
            <rFont val="MS P ゴシック"/>
            <family val="3"/>
            <charset val="128"/>
          </rPr>
          <t xml:space="preserve"> 26-6674</t>
        </r>
      </text>
    </comment>
    <comment ref="A1564" authorId="0" shapeId="0" xr:uid="{00000000-0006-0000-0000-000011030000}">
      <text>
        <r>
          <rPr>
            <sz val="9"/>
            <color indexed="81"/>
            <rFont val="MS P ゴシック"/>
            <family val="3"/>
            <charset val="128"/>
          </rPr>
          <t xml:space="preserve"> 26-6675</t>
        </r>
      </text>
    </comment>
    <comment ref="A1566" authorId="0" shapeId="0" xr:uid="{00000000-0006-0000-0000-000012030000}">
      <text>
        <r>
          <rPr>
            <sz val="9"/>
            <color indexed="81"/>
            <rFont val="MS P ゴシック"/>
            <family val="3"/>
            <charset val="128"/>
          </rPr>
          <t xml:space="preserve"> 26-6677</t>
        </r>
      </text>
    </comment>
    <comment ref="A1568" authorId="0" shapeId="0" xr:uid="{00000000-0006-0000-0000-000013030000}">
      <text>
        <r>
          <rPr>
            <sz val="9"/>
            <color indexed="81"/>
            <rFont val="MS P ゴシック"/>
            <family val="3"/>
            <charset val="128"/>
          </rPr>
          <t xml:space="preserve"> 26-6678</t>
        </r>
      </text>
    </comment>
    <comment ref="A1570" authorId="0" shapeId="0" xr:uid="{00000000-0006-0000-0000-000014030000}">
      <text>
        <r>
          <rPr>
            <sz val="9"/>
            <color indexed="81"/>
            <rFont val="MS P ゴシック"/>
            <family val="3"/>
            <charset val="128"/>
          </rPr>
          <t xml:space="preserve"> 26-6680</t>
        </r>
      </text>
    </comment>
    <comment ref="A1572" authorId="0" shapeId="0" xr:uid="{00000000-0006-0000-0000-000015030000}">
      <text>
        <r>
          <rPr>
            <sz val="9"/>
            <color indexed="81"/>
            <rFont val="MS P ゴシック"/>
            <family val="3"/>
            <charset val="128"/>
          </rPr>
          <t xml:space="preserve"> 26-6681</t>
        </r>
      </text>
    </comment>
    <comment ref="A1574" authorId="0" shapeId="0" xr:uid="{00000000-0006-0000-0000-000016030000}">
      <text>
        <r>
          <rPr>
            <sz val="9"/>
            <color indexed="81"/>
            <rFont val="MS P ゴシック"/>
            <family val="3"/>
            <charset val="128"/>
          </rPr>
          <t xml:space="preserve"> 26-6682</t>
        </r>
      </text>
    </comment>
    <comment ref="A1576" authorId="0" shapeId="0" xr:uid="{00000000-0006-0000-0000-000017030000}">
      <text>
        <r>
          <rPr>
            <sz val="9"/>
            <color indexed="81"/>
            <rFont val="MS P ゴシック"/>
            <family val="3"/>
            <charset val="128"/>
          </rPr>
          <t xml:space="preserve"> 26-6684</t>
        </r>
      </text>
    </comment>
    <comment ref="A1578" authorId="0" shapeId="0" xr:uid="{00000000-0006-0000-0000-000018030000}">
      <text>
        <r>
          <rPr>
            <sz val="9"/>
            <color indexed="81"/>
            <rFont val="MS P ゴシック"/>
            <family val="3"/>
            <charset val="128"/>
          </rPr>
          <t xml:space="preserve"> 26-6686</t>
        </r>
      </text>
    </comment>
    <comment ref="A1580" authorId="0" shapeId="0" xr:uid="{00000000-0006-0000-0000-000019030000}">
      <text>
        <r>
          <rPr>
            <sz val="9"/>
            <color indexed="81"/>
            <rFont val="MS P ゴシック"/>
            <family val="3"/>
            <charset val="128"/>
          </rPr>
          <t xml:space="preserve"> 26-6687</t>
        </r>
      </text>
    </comment>
    <comment ref="A1582" authorId="0" shapeId="0" xr:uid="{00000000-0006-0000-0000-00001A030000}">
      <text>
        <r>
          <rPr>
            <sz val="9"/>
            <color indexed="81"/>
            <rFont val="MS P ゴシック"/>
            <family val="3"/>
            <charset val="128"/>
          </rPr>
          <t xml:space="preserve"> 26-6691</t>
        </r>
      </text>
    </comment>
    <comment ref="A1584" authorId="0" shapeId="0" xr:uid="{00000000-0006-0000-0000-00001B030000}">
      <text>
        <r>
          <rPr>
            <sz val="9"/>
            <color indexed="81"/>
            <rFont val="MS P ゴシック"/>
            <family val="3"/>
            <charset val="128"/>
          </rPr>
          <t xml:space="preserve"> 26-6692</t>
        </r>
      </text>
    </comment>
    <comment ref="A1586" authorId="0" shapeId="0" xr:uid="{00000000-0006-0000-0000-00001C030000}">
      <text>
        <r>
          <rPr>
            <sz val="9"/>
            <color indexed="81"/>
            <rFont val="MS P ゴシック"/>
            <family val="3"/>
            <charset val="128"/>
          </rPr>
          <t xml:space="preserve"> 26-6695</t>
        </r>
      </text>
    </comment>
    <comment ref="A1588" authorId="0" shapeId="0" xr:uid="{00000000-0006-0000-0000-00001D030000}">
      <text>
        <r>
          <rPr>
            <sz val="9"/>
            <color indexed="81"/>
            <rFont val="MS P ゴシック"/>
            <family val="3"/>
            <charset val="128"/>
          </rPr>
          <t xml:space="preserve"> 26-6696</t>
        </r>
      </text>
    </comment>
    <comment ref="A1590" authorId="0" shapeId="0" xr:uid="{00000000-0006-0000-0000-00001E030000}">
      <text>
        <r>
          <rPr>
            <sz val="9"/>
            <color indexed="81"/>
            <rFont val="MS P ゴシック"/>
            <family val="3"/>
            <charset val="128"/>
          </rPr>
          <t xml:space="preserve"> 26-6698</t>
        </r>
      </text>
    </comment>
    <comment ref="A1592" authorId="0" shapeId="0" xr:uid="{00000000-0006-0000-0000-00001F030000}">
      <text>
        <r>
          <rPr>
            <sz val="9"/>
            <color indexed="81"/>
            <rFont val="MS P ゴシック"/>
            <family val="3"/>
            <charset val="128"/>
          </rPr>
          <t xml:space="preserve"> 26-6699</t>
        </r>
      </text>
    </comment>
    <comment ref="A1594" authorId="0" shapeId="0" xr:uid="{00000000-0006-0000-0000-000020030000}">
      <text>
        <r>
          <rPr>
            <sz val="9"/>
            <color indexed="81"/>
            <rFont val="MS P ゴシック"/>
            <family val="3"/>
            <charset val="128"/>
          </rPr>
          <t xml:space="preserve"> 26-6700</t>
        </r>
      </text>
    </comment>
    <comment ref="A1596" authorId="0" shapeId="0" xr:uid="{00000000-0006-0000-0000-000021030000}">
      <text>
        <r>
          <rPr>
            <sz val="9"/>
            <color indexed="81"/>
            <rFont val="MS P ゴシック"/>
            <family val="3"/>
            <charset val="128"/>
          </rPr>
          <t xml:space="preserve"> 26-6701</t>
        </r>
      </text>
    </comment>
    <comment ref="A1598" authorId="0" shapeId="0" xr:uid="{00000000-0006-0000-0000-000022030000}">
      <text>
        <r>
          <rPr>
            <sz val="9"/>
            <color indexed="81"/>
            <rFont val="MS P ゴシック"/>
            <family val="3"/>
            <charset val="128"/>
          </rPr>
          <t xml:space="preserve"> 26-6702</t>
        </r>
      </text>
    </comment>
    <comment ref="A1600" authorId="0" shapeId="0" xr:uid="{00000000-0006-0000-0000-000023030000}">
      <text>
        <r>
          <rPr>
            <sz val="9"/>
            <color indexed="81"/>
            <rFont val="MS P ゴシック"/>
            <family val="3"/>
            <charset val="128"/>
          </rPr>
          <t xml:space="preserve"> 26-6703</t>
        </r>
      </text>
    </comment>
    <comment ref="A1602" authorId="0" shapeId="0" xr:uid="{00000000-0006-0000-0000-000024030000}">
      <text>
        <r>
          <rPr>
            <sz val="9"/>
            <color indexed="81"/>
            <rFont val="MS P ゴシック"/>
            <family val="3"/>
            <charset val="128"/>
          </rPr>
          <t xml:space="preserve"> 26-6704</t>
        </r>
      </text>
    </comment>
    <comment ref="A1604" authorId="0" shapeId="0" xr:uid="{00000000-0006-0000-0000-000025030000}">
      <text>
        <r>
          <rPr>
            <sz val="9"/>
            <color indexed="81"/>
            <rFont val="MS P ゴシック"/>
            <family val="3"/>
            <charset val="128"/>
          </rPr>
          <t xml:space="preserve"> 26-6705</t>
        </r>
      </text>
    </comment>
    <comment ref="A1606" authorId="0" shapeId="0" xr:uid="{00000000-0006-0000-0000-000026030000}">
      <text>
        <r>
          <rPr>
            <sz val="9"/>
            <color indexed="81"/>
            <rFont val="MS P ゴシック"/>
            <family val="3"/>
            <charset val="128"/>
          </rPr>
          <t xml:space="preserve"> 26-6708</t>
        </r>
      </text>
    </comment>
    <comment ref="A1608" authorId="0" shapeId="0" xr:uid="{00000000-0006-0000-0000-000027030000}">
      <text>
        <r>
          <rPr>
            <sz val="9"/>
            <color indexed="81"/>
            <rFont val="MS P ゴシック"/>
            <family val="3"/>
            <charset val="128"/>
          </rPr>
          <t xml:space="preserve"> 26-6710</t>
        </r>
      </text>
    </comment>
    <comment ref="A1610" authorId="0" shapeId="0" xr:uid="{00000000-0006-0000-0000-000028030000}">
      <text>
        <r>
          <rPr>
            <sz val="9"/>
            <color indexed="81"/>
            <rFont val="MS P ゴシック"/>
            <family val="3"/>
            <charset val="128"/>
          </rPr>
          <t xml:space="preserve"> 26-6711</t>
        </r>
      </text>
    </comment>
    <comment ref="A1612" authorId="0" shapeId="0" xr:uid="{00000000-0006-0000-0000-000029030000}">
      <text>
        <r>
          <rPr>
            <sz val="9"/>
            <color indexed="81"/>
            <rFont val="MS P ゴシック"/>
            <family val="3"/>
            <charset val="128"/>
          </rPr>
          <t xml:space="preserve"> 26-6712</t>
        </r>
      </text>
    </comment>
    <comment ref="A1614" authorId="0" shapeId="0" xr:uid="{00000000-0006-0000-0000-00002A030000}">
      <text>
        <r>
          <rPr>
            <sz val="9"/>
            <color indexed="81"/>
            <rFont val="MS P ゴシック"/>
            <family val="3"/>
            <charset val="128"/>
          </rPr>
          <t xml:space="preserve"> 26-6715</t>
        </r>
      </text>
    </comment>
    <comment ref="A1616" authorId="0" shapeId="0" xr:uid="{00000000-0006-0000-0000-00002B030000}">
      <text>
        <r>
          <rPr>
            <sz val="9"/>
            <color indexed="81"/>
            <rFont val="MS P ゴシック"/>
            <family val="3"/>
            <charset val="128"/>
          </rPr>
          <t xml:space="preserve"> 26-6717</t>
        </r>
      </text>
    </comment>
    <comment ref="A1618" authorId="0" shapeId="0" xr:uid="{00000000-0006-0000-0000-00002C030000}">
      <text>
        <r>
          <rPr>
            <sz val="9"/>
            <color indexed="81"/>
            <rFont val="MS P ゴシック"/>
            <family val="3"/>
            <charset val="128"/>
          </rPr>
          <t xml:space="preserve"> 26-6718</t>
        </r>
      </text>
    </comment>
    <comment ref="A1620" authorId="0" shapeId="0" xr:uid="{00000000-0006-0000-0000-00002D030000}">
      <text>
        <r>
          <rPr>
            <sz val="9"/>
            <color indexed="81"/>
            <rFont val="MS P ゴシック"/>
            <family val="3"/>
            <charset val="128"/>
          </rPr>
          <t xml:space="preserve"> 26-6721</t>
        </r>
      </text>
    </comment>
    <comment ref="A1622" authorId="0" shapeId="0" xr:uid="{00000000-0006-0000-0000-00002E030000}">
      <text>
        <r>
          <rPr>
            <sz val="9"/>
            <color indexed="81"/>
            <rFont val="MS P ゴシック"/>
            <family val="3"/>
            <charset val="128"/>
          </rPr>
          <t xml:space="preserve"> 26-6725</t>
        </r>
      </text>
    </comment>
    <comment ref="A1624" authorId="0" shapeId="0" xr:uid="{00000000-0006-0000-0000-00002F030000}">
      <text>
        <r>
          <rPr>
            <sz val="9"/>
            <color indexed="81"/>
            <rFont val="MS P ゴシック"/>
            <family val="3"/>
            <charset val="128"/>
          </rPr>
          <t xml:space="preserve"> 26-6726</t>
        </r>
      </text>
    </comment>
    <comment ref="A1626" authorId="0" shapeId="0" xr:uid="{00000000-0006-0000-0000-000030030000}">
      <text>
        <r>
          <rPr>
            <sz val="9"/>
            <color indexed="81"/>
            <rFont val="MS P ゴシック"/>
            <family val="3"/>
            <charset val="128"/>
          </rPr>
          <t xml:space="preserve"> 26-6728</t>
        </r>
      </text>
    </comment>
    <comment ref="A1628" authorId="0" shapeId="0" xr:uid="{00000000-0006-0000-0000-000031030000}">
      <text>
        <r>
          <rPr>
            <sz val="9"/>
            <color indexed="81"/>
            <rFont val="MS P ゴシック"/>
            <family val="3"/>
            <charset val="128"/>
          </rPr>
          <t xml:space="preserve"> 26-6729</t>
        </r>
      </text>
    </comment>
    <comment ref="A1630" authorId="0" shapeId="0" xr:uid="{00000000-0006-0000-0000-000032030000}">
      <text>
        <r>
          <rPr>
            <sz val="9"/>
            <color indexed="81"/>
            <rFont val="MS P ゴシック"/>
            <family val="3"/>
            <charset val="128"/>
          </rPr>
          <t xml:space="preserve"> 26-6733</t>
        </r>
      </text>
    </comment>
    <comment ref="A1632" authorId="0" shapeId="0" xr:uid="{00000000-0006-0000-0000-000033030000}">
      <text>
        <r>
          <rPr>
            <sz val="9"/>
            <color indexed="81"/>
            <rFont val="MS P ゴシック"/>
            <family val="3"/>
            <charset val="128"/>
          </rPr>
          <t xml:space="preserve"> 26-6734</t>
        </r>
      </text>
    </comment>
    <comment ref="A1634" authorId="0" shapeId="0" xr:uid="{00000000-0006-0000-0000-000034030000}">
      <text>
        <r>
          <rPr>
            <sz val="9"/>
            <color indexed="81"/>
            <rFont val="MS P ゴシック"/>
            <family val="3"/>
            <charset val="128"/>
          </rPr>
          <t xml:space="preserve"> 26-6735</t>
        </r>
      </text>
    </comment>
    <comment ref="A1636" authorId="0" shapeId="0" xr:uid="{00000000-0006-0000-0000-000035030000}">
      <text>
        <r>
          <rPr>
            <sz val="9"/>
            <color indexed="81"/>
            <rFont val="MS P ゴシック"/>
            <family val="3"/>
            <charset val="128"/>
          </rPr>
          <t xml:space="preserve"> 26-6736</t>
        </r>
      </text>
    </comment>
    <comment ref="A1638" authorId="0" shapeId="0" xr:uid="{00000000-0006-0000-0000-000036030000}">
      <text>
        <r>
          <rPr>
            <sz val="9"/>
            <color indexed="81"/>
            <rFont val="MS P ゴシック"/>
            <family val="3"/>
            <charset val="128"/>
          </rPr>
          <t xml:space="preserve"> 26-6737</t>
        </r>
      </text>
    </comment>
    <comment ref="A1640" authorId="0" shapeId="0" xr:uid="{00000000-0006-0000-0000-000037030000}">
      <text>
        <r>
          <rPr>
            <sz val="9"/>
            <color indexed="81"/>
            <rFont val="MS P ゴシック"/>
            <family val="3"/>
            <charset val="128"/>
          </rPr>
          <t xml:space="preserve"> 26-6738</t>
        </r>
      </text>
    </comment>
    <comment ref="A1642" authorId="0" shapeId="0" xr:uid="{00000000-0006-0000-0000-000038030000}">
      <text>
        <r>
          <rPr>
            <sz val="9"/>
            <color indexed="81"/>
            <rFont val="MS P ゴシック"/>
            <family val="3"/>
            <charset val="128"/>
          </rPr>
          <t xml:space="preserve"> 26-6739</t>
        </r>
      </text>
    </comment>
    <comment ref="A1644" authorId="0" shapeId="0" xr:uid="{00000000-0006-0000-0000-000039030000}">
      <text>
        <r>
          <rPr>
            <sz val="9"/>
            <color indexed="81"/>
            <rFont val="MS P ゴシック"/>
            <family val="3"/>
            <charset val="128"/>
          </rPr>
          <t xml:space="preserve"> 26-6742</t>
        </r>
      </text>
    </comment>
    <comment ref="A1646" authorId="0" shapeId="0" xr:uid="{00000000-0006-0000-0000-00003A030000}">
      <text>
        <r>
          <rPr>
            <sz val="9"/>
            <color indexed="81"/>
            <rFont val="MS P ゴシック"/>
            <family val="3"/>
            <charset val="128"/>
          </rPr>
          <t xml:space="preserve"> 26-6743</t>
        </r>
      </text>
    </comment>
    <comment ref="A1648" authorId="0" shapeId="0" xr:uid="{00000000-0006-0000-0000-00003B030000}">
      <text>
        <r>
          <rPr>
            <sz val="9"/>
            <color indexed="81"/>
            <rFont val="MS P ゴシック"/>
            <family val="3"/>
            <charset val="128"/>
          </rPr>
          <t xml:space="preserve"> 26-6744</t>
        </r>
      </text>
    </comment>
    <comment ref="A1650" authorId="0" shapeId="0" xr:uid="{00000000-0006-0000-0000-00003C030000}">
      <text>
        <r>
          <rPr>
            <sz val="9"/>
            <color indexed="81"/>
            <rFont val="MS P ゴシック"/>
            <family val="3"/>
            <charset val="128"/>
          </rPr>
          <t xml:space="preserve"> 26-6745</t>
        </r>
      </text>
    </comment>
    <comment ref="A1652" authorId="0" shapeId="0" xr:uid="{00000000-0006-0000-0000-00003D030000}">
      <text>
        <r>
          <rPr>
            <sz val="9"/>
            <color indexed="81"/>
            <rFont val="MS P ゴシック"/>
            <family val="3"/>
            <charset val="128"/>
          </rPr>
          <t xml:space="preserve"> 26-6749</t>
        </r>
      </text>
    </comment>
    <comment ref="A1654" authorId="0" shapeId="0" xr:uid="{00000000-0006-0000-0000-00003E030000}">
      <text>
        <r>
          <rPr>
            <sz val="9"/>
            <color indexed="81"/>
            <rFont val="MS P ゴシック"/>
            <family val="3"/>
            <charset val="128"/>
          </rPr>
          <t xml:space="preserve"> 26-6750</t>
        </r>
      </text>
    </comment>
    <comment ref="A1656" authorId="0" shapeId="0" xr:uid="{00000000-0006-0000-0000-00003F030000}">
      <text>
        <r>
          <rPr>
            <sz val="9"/>
            <color indexed="81"/>
            <rFont val="MS P ゴシック"/>
            <family val="3"/>
            <charset val="128"/>
          </rPr>
          <t xml:space="preserve"> 26-6751</t>
        </r>
      </text>
    </comment>
    <comment ref="A1658" authorId="0" shapeId="0" xr:uid="{00000000-0006-0000-0000-000040030000}">
      <text>
        <r>
          <rPr>
            <sz val="9"/>
            <color indexed="81"/>
            <rFont val="MS P ゴシック"/>
            <family val="3"/>
            <charset val="128"/>
          </rPr>
          <t xml:space="preserve"> 26-6752</t>
        </r>
      </text>
    </comment>
    <comment ref="A1660" authorId="0" shapeId="0" xr:uid="{00000000-0006-0000-0000-000041030000}">
      <text>
        <r>
          <rPr>
            <sz val="9"/>
            <color indexed="81"/>
            <rFont val="MS P ゴシック"/>
            <family val="3"/>
            <charset val="128"/>
          </rPr>
          <t xml:space="preserve"> 26-6753</t>
        </r>
      </text>
    </comment>
    <comment ref="A1662" authorId="0" shapeId="0" xr:uid="{00000000-0006-0000-0000-000042030000}">
      <text>
        <r>
          <rPr>
            <sz val="9"/>
            <color indexed="81"/>
            <rFont val="MS P ゴシック"/>
            <family val="3"/>
            <charset val="128"/>
          </rPr>
          <t xml:space="preserve"> 26-6754</t>
        </r>
      </text>
    </comment>
    <comment ref="A1664" authorId="0" shapeId="0" xr:uid="{00000000-0006-0000-0000-000043030000}">
      <text>
        <r>
          <rPr>
            <sz val="9"/>
            <color indexed="81"/>
            <rFont val="MS P ゴシック"/>
            <family val="3"/>
            <charset val="128"/>
          </rPr>
          <t xml:space="preserve"> 26-6755</t>
        </r>
      </text>
    </comment>
    <comment ref="A1666" authorId="0" shapeId="0" xr:uid="{00000000-0006-0000-0000-000044030000}">
      <text>
        <r>
          <rPr>
            <sz val="9"/>
            <color indexed="81"/>
            <rFont val="MS P ゴシック"/>
            <family val="3"/>
            <charset val="128"/>
          </rPr>
          <t xml:space="preserve"> 26-6756</t>
        </r>
      </text>
    </comment>
    <comment ref="A1668" authorId="0" shapeId="0" xr:uid="{00000000-0006-0000-0000-000045030000}">
      <text>
        <r>
          <rPr>
            <sz val="9"/>
            <color indexed="81"/>
            <rFont val="MS P ゴシック"/>
            <family val="3"/>
            <charset val="128"/>
          </rPr>
          <t xml:space="preserve"> 26-6757</t>
        </r>
      </text>
    </comment>
    <comment ref="A1670" authorId="0" shapeId="0" xr:uid="{00000000-0006-0000-0000-000046030000}">
      <text>
        <r>
          <rPr>
            <sz val="9"/>
            <color indexed="81"/>
            <rFont val="MS P ゴシック"/>
            <family val="3"/>
            <charset val="128"/>
          </rPr>
          <t xml:space="preserve"> 26-6758</t>
        </r>
      </text>
    </comment>
    <comment ref="A1672" authorId="0" shapeId="0" xr:uid="{00000000-0006-0000-0000-000047030000}">
      <text>
        <r>
          <rPr>
            <sz val="9"/>
            <color indexed="81"/>
            <rFont val="MS P ゴシック"/>
            <family val="3"/>
            <charset val="128"/>
          </rPr>
          <t xml:space="preserve"> 26-6759</t>
        </r>
      </text>
    </comment>
    <comment ref="A1674" authorId="0" shapeId="0" xr:uid="{00000000-0006-0000-0000-000048030000}">
      <text>
        <r>
          <rPr>
            <sz val="9"/>
            <color indexed="81"/>
            <rFont val="MS P ゴシック"/>
            <family val="3"/>
            <charset val="128"/>
          </rPr>
          <t xml:space="preserve"> 26-6760</t>
        </r>
      </text>
    </comment>
    <comment ref="A1676" authorId="0" shapeId="0" xr:uid="{00000000-0006-0000-0000-000049030000}">
      <text>
        <r>
          <rPr>
            <sz val="9"/>
            <color indexed="81"/>
            <rFont val="MS P ゴシック"/>
            <family val="3"/>
            <charset val="128"/>
          </rPr>
          <t xml:space="preserve"> 26-6761</t>
        </r>
      </text>
    </comment>
    <comment ref="A1678" authorId="0" shapeId="0" xr:uid="{00000000-0006-0000-0000-00004A030000}">
      <text>
        <r>
          <rPr>
            <sz val="9"/>
            <color indexed="81"/>
            <rFont val="MS P ゴシック"/>
            <family val="3"/>
            <charset val="128"/>
          </rPr>
          <t xml:space="preserve"> 26-6764</t>
        </r>
      </text>
    </comment>
    <comment ref="A1680" authorId="0" shapeId="0" xr:uid="{00000000-0006-0000-0000-00004B030000}">
      <text>
        <r>
          <rPr>
            <sz val="9"/>
            <color indexed="81"/>
            <rFont val="MS P ゴシック"/>
            <family val="3"/>
            <charset val="128"/>
          </rPr>
          <t xml:space="preserve"> 26-6765</t>
        </r>
      </text>
    </comment>
    <comment ref="A1682" authorId="0" shapeId="0" xr:uid="{00000000-0006-0000-0000-00004C030000}">
      <text>
        <r>
          <rPr>
            <sz val="9"/>
            <color indexed="81"/>
            <rFont val="MS P ゴシック"/>
            <family val="3"/>
            <charset val="128"/>
          </rPr>
          <t xml:space="preserve"> 26-6766</t>
        </r>
      </text>
    </comment>
    <comment ref="A1684" authorId="0" shapeId="0" xr:uid="{00000000-0006-0000-0000-00004D030000}">
      <text>
        <r>
          <rPr>
            <sz val="9"/>
            <color indexed="81"/>
            <rFont val="MS P ゴシック"/>
            <family val="3"/>
            <charset val="128"/>
          </rPr>
          <t xml:space="preserve"> 26-6767</t>
        </r>
      </text>
    </comment>
    <comment ref="A1686" authorId="0" shapeId="0" xr:uid="{00000000-0006-0000-0000-00004E030000}">
      <text>
        <r>
          <rPr>
            <sz val="9"/>
            <color indexed="81"/>
            <rFont val="MS P ゴシック"/>
            <family val="3"/>
            <charset val="128"/>
          </rPr>
          <t xml:space="preserve"> 26-6768</t>
        </r>
      </text>
    </comment>
    <comment ref="A1688" authorId="0" shapeId="0" xr:uid="{00000000-0006-0000-0000-00004F030000}">
      <text>
        <r>
          <rPr>
            <sz val="9"/>
            <color indexed="81"/>
            <rFont val="MS P ゴシック"/>
            <family val="3"/>
            <charset val="128"/>
          </rPr>
          <t xml:space="preserve"> 26-6769</t>
        </r>
      </text>
    </comment>
    <comment ref="A1690" authorId="0" shapeId="0" xr:uid="{00000000-0006-0000-0000-000050030000}">
      <text>
        <r>
          <rPr>
            <sz val="9"/>
            <color indexed="81"/>
            <rFont val="MS P ゴシック"/>
            <family val="3"/>
            <charset val="128"/>
          </rPr>
          <t xml:space="preserve"> 26-6770</t>
        </r>
      </text>
    </comment>
    <comment ref="A1692" authorId="0" shapeId="0" xr:uid="{00000000-0006-0000-0000-000051030000}">
      <text>
        <r>
          <rPr>
            <sz val="9"/>
            <color indexed="81"/>
            <rFont val="MS P ゴシック"/>
            <family val="3"/>
            <charset val="128"/>
          </rPr>
          <t xml:space="preserve"> 26-6772</t>
        </r>
      </text>
    </comment>
    <comment ref="A1694" authorId="0" shapeId="0" xr:uid="{00000000-0006-0000-0000-000052030000}">
      <text>
        <r>
          <rPr>
            <sz val="9"/>
            <color indexed="81"/>
            <rFont val="MS P ゴシック"/>
            <family val="3"/>
            <charset val="128"/>
          </rPr>
          <t xml:space="preserve"> 26-6774</t>
        </r>
      </text>
    </comment>
    <comment ref="A1696" authorId="0" shapeId="0" xr:uid="{00000000-0006-0000-0000-000053030000}">
      <text>
        <r>
          <rPr>
            <sz val="9"/>
            <color indexed="81"/>
            <rFont val="MS P ゴシック"/>
            <family val="3"/>
            <charset val="128"/>
          </rPr>
          <t xml:space="preserve"> 26-6775</t>
        </r>
      </text>
    </comment>
    <comment ref="A1698" authorId="0" shapeId="0" xr:uid="{00000000-0006-0000-0000-000054030000}">
      <text>
        <r>
          <rPr>
            <sz val="9"/>
            <color indexed="81"/>
            <rFont val="MS P ゴシック"/>
            <family val="3"/>
            <charset val="128"/>
          </rPr>
          <t xml:space="preserve"> 26-6776</t>
        </r>
      </text>
    </comment>
    <comment ref="A1700" authorId="0" shapeId="0" xr:uid="{00000000-0006-0000-0000-000055030000}">
      <text>
        <r>
          <rPr>
            <sz val="9"/>
            <color indexed="81"/>
            <rFont val="MS P ゴシック"/>
            <family val="3"/>
            <charset val="128"/>
          </rPr>
          <t xml:space="preserve"> 26-6778</t>
        </r>
      </text>
    </comment>
    <comment ref="A1702" authorId="0" shapeId="0" xr:uid="{00000000-0006-0000-0000-000056030000}">
      <text>
        <r>
          <rPr>
            <sz val="9"/>
            <color indexed="81"/>
            <rFont val="MS P ゴシック"/>
            <family val="3"/>
            <charset val="128"/>
          </rPr>
          <t xml:space="preserve"> 26-6779</t>
        </r>
      </text>
    </comment>
    <comment ref="A1704" authorId="0" shapeId="0" xr:uid="{00000000-0006-0000-0000-000057030000}">
      <text>
        <r>
          <rPr>
            <sz val="9"/>
            <color indexed="81"/>
            <rFont val="MS P ゴシック"/>
            <family val="3"/>
            <charset val="128"/>
          </rPr>
          <t xml:space="preserve"> 26-6780</t>
        </r>
      </text>
    </comment>
    <comment ref="A1706" authorId="0" shapeId="0" xr:uid="{00000000-0006-0000-0000-000058030000}">
      <text>
        <r>
          <rPr>
            <sz val="9"/>
            <color indexed="81"/>
            <rFont val="MS P ゴシック"/>
            <family val="3"/>
            <charset val="128"/>
          </rPr>
          <t xml:space="preserve"> 26-6785</t>
        </r>
      </text>
    </comment>
    <comment ref="A1708" authorId="0" shapeId="0" xr:uid="{00000000-0006-0000-0000-000059030000}">
      <text>
        <r>
          <rPr>
            <sz val="9"/>
            <color indexed="81"/>
            <rFont val="MS P ゴシック"/>
            <family val="3"/>
            <charset val="128"/>
          </rPr>
          <t xml:space="preserve"> 26-6786</t>
        </r>
      </text>
    </comment>
    <comment ref="A1710" authorId="0" shapeId="0" xr:uid="{00000000-0006-0000-0000-00005A030000}">
      <text>
        <r>
          <rPr>
            <sz val="9"/>
            <color indexed="81"/>
            <rFont val="MS P ゴシック"/>
            <family val="3"/>
            <charset val="128"/>
          </rPr>
          <t xml:space="preserve"> 26-6787</t>
        </r>
      </text>
    </comment>
    <comment ref="A1712" authorId="0" shapeId="0" xr:uid="{00000000-0006-0000-0000-00005B030000}">
      <text>
        <r>
          <rPr>
            <sz val="9"/>
            <color indexed="81"/>
            <rFont val="MS P ゴシック"/>
            <family val="3"/>
            <charset val="128"/>
          </rPr>
          <t xml:space="preserve"> 26-6788</t>
        </r>
      </text>
    </comment>
    <comment ref="A1714" authorId="0" shapeId="0" xr:uid="{00000000-0006-0000-0000-00005C030000}">
      <text>
        <r>
          <rPr>
            <sz val="9"/>
            <color indexed="81"/>
            <rFont val="MS P ゴシック"/>
            <family val="3"/>
            <charset val="128"/>
          </rPr>
          <t xml:space="preserve"> 26-6789</t>
        </r>
      </text>
    </comment>
    <comment ref="A1716" authorId="0" shapeId="0" xr:uid="{00000000-0006-0000-0000-00005D030000}">
      <text>
        <r>
          <rPr>
            <sz val="9"/>
            <color indexed="81"/>
            <rFont val="MS P ゴシック"/>
            <family val="3"/>
            <charset val="128"/>
          </rPr>
          <t xml:space="preserve"> 26-6791</t>
        </r>
      </text>
    </comment>
    <comment ref="A1718" authorId="0" shapeId="0" xr:uid="{00000000-0006-0000-0000-00005E030000}">
      <text>
        <r>
          <rPr>
            <sz val="9"/>
            <color indexed="81"/>
            <rFont val="MS P ゴシック"/>
            <family val="3"/>
            <charset val="128"/>
          </rPr>
          <t xml:space="preserve"> 26-6792</t>
        </r>
      </text>
    </comment>
    <comment ref="A1720" authorId="0" shapeId="0" xr:uid="{00000000-0006-0000-0000-00005F030000}">
      <text>
        <r>
          <rPr>
            <sz val="9"/>
            <color indexed="81"/>
            <rFont val="MS P ゴシック"/>
            <family val="3"/>
            <charset val="128"/>
          </rPr>
          <t xml:space="preserve"> 26-6793</t>
        </r>
      </text>
    </comment>
    <comment ref="A1722" authorId="0" shapeId="0" xr:uid="{00000000-0006-0000-0000-000060030000}">
      <text>
        <r>
          <rPr>
            <sz val="9"/>
            <color indexed="81"/>
            <rFont val="MS P ゴシック"/>
            <family val="3"/>
            <charset val="128"/>
          </rPr>
          <t xml:space="preserve"> 26-6794</t>
        </r>
      </text>
    </comment>
    <comment ref="A1724" authorId="0" shapeId="0" xr:uid="{00000000-0006-0000-0000-000061030000}">
      <text>
        <r>
          <rPr>
            <sz val="9"/>
            <color indexed="81"/>
            <rFont val="MS P ゴシック"/>
            <family val="3"/>
            <charset val="128"/>
          </rPr>
          <t xml:space="preserve"> 26-6795</t>
        </r>
      </text>
    </comment>
    <comment ref="A1726" authorId="0" shapeId="0" xr:uid="{00000000-0006-0000-0000-000062030000}">
      <text>
        <r>
          <rPr>
            <sz val="9"/>
            <color indexed="81"/>
            <rFont val="MS P ゴシック"/>
            <family val="3"/>
            <charset val="128"/>
          </rPr>
          <t xml:space="preserve"> 26-6796</t>
        </r>
      </text>
    </comment>
    <comment ref="A1728" authorId="0" shapeId="0" xr:uid="{00000000-0006-0000-0000-000063030000}">
      <text>
        <r>
          <rPr>
            <sz val="9"/>
            <color indexed="81"/>
            <rFont val="MS P ゴシック"/>
            <family val="3"/>
            <charset val="128"/>
          </rPr>
          <t xml:space="preserve"> 26-6798</t>
        </r>
      </text>
    </comment>
    <comment ref="A1730" authorId="0" shapeId="0" xr:uid="{00000000-0006-0000-0000-000064030000}">
      <text>
        <r>
          <rPr>
            <sz val="9"/>
            <color indexed="81"/>
            <rFont val="MS P ゴシック"/>
            <family val="3"/>
            <charset val="128"/>
          </rPr>
          <t xml:space="preserve"> 26-6799</t>
        </r>
      </text>
    </comment>
    <comment ref="A1732" authorId="0" shapeId="0" xr:uid="{00000000-0006-0000-0000-000065030000}">
      <text>
        <r>
          <rPr>
            <sz val="9"/>
            <color indexed="81"/>
            <rFont val="MS P ゴシック"/>
            <family val="3"/>
            <charset val="128"/>
          </rPr>
          <t xml:space="preserve"> 26-6800</t>
        </r>
      </text>
    </comment>
    <comment ref="A1734" authorId="0" shapeId="0" xr:uid="{00000000-0006-0000-0000-000066030000}">
      <text>
        <r>
          <rPr>
            <sz val="9"/>
            <color indexed="81"/>
            <rFont val="MS P ゴシック"/>
            <family val="3"/>
            <charset val="128"/>
          </rPr>
          <t xml:space="preserve"> 26-6801</t>
        </r>
      </text>
    </comment>
    <comment ref="A1736" authorId="0" shapeId="0" xr:uid="{00000000-0006-0000-0000-000067030000}">
      <text>
        <r>
          <rPr>
            <sz val="9"/>
            <color indexed="81"/>
            <rFont val="MS P ゴシック"/>
            <family val="3"/>
            <charset val="128"/>
          </rPr>
          <t xml:space="preserve"> 26-6802</t>
        </r>
      </text>
    </comment>
    <comment ref="A1738" authorId="0" shapeId="0" xr:uid="{00000000-0006-0000-0000-000068030000}">
      <text>
        <r>
          <rPr>
            <sz val="9"/>
            <color indexed="81"/>
            <rFont val="MS P ゴシック"/>
            <family val="3"/>
            <charset val="128"/>
          </rPr>
          <t xml:space="preserve"> 26-6803</t>
        </r>
      </text>
    </comment>
    <comment ref="A1740" authorId="0" shapeId="0" xr:uid="{00000000-0006-0000-0000-000069030000}">
      <text>
        <r>
          <rPr>
            <sz val="9"/>
            <color indexed="81"/>
            <rFont val="MS P ゴシック"/>
            <family val="3"/>
            <charset val="128"/>
          </rPr>
          <t xml:space="preserve"> 26-6804</t>
        </r>
      </text>
    </comment>
    <comment ref="A1742" authorId="0" shapeId="0" xr:uid="{00000000-0006-0000-0000-00006A030000}">
      <text>
        <r>
          <rPr>
            <sz val="9"/>
            <color indexed="81"/>
            <rFont val="MS P ゴシック"/>
            <family val="3"/>
            <charset val="128"/>
          </rPr>
          <t xml:space="preserve"> 26-6805</t>
        </r>
      </text>
    </comment>
    <comment ref="A1744" authorId="0" shapeId="0" xr:uid="{00000000-0006-0000-0000-00006B030000}">
      <text>
        <r>
          <rPr>
            <sz val="9"/>
            <color indexed="81"/>
            <rFont val="MS P ゴシック"/>
            <family val="3"/>
            <charset val="128"/>
          </rPr>
          <t xml:space="preserve"> 26-6806</t>
        </r>
      </text>
    </comment>
    <comment ref="A1746" authorId="0" shapeId="0" xr:uid="{00000000-0006-0000-0000-00006C030000}">
      <text>
        <r>
          <rPr>
            <sz val="9"/>
            <color indexed="81"/>
            <rFont val="MS P ゴシック"/>
            <family val="3"/>
            <charset val="128"/>
          </rPr>
          <t xml:space="preserve"> 26-6807</t>
        </r>
      </text>
    </comment>
    <comment ref="A1748" authorId="0" shapeId="0" xr:uid="{00000000-0006-0000-0000-00006D030000}">
      <text>
        <r>
          <rPr>
            <sz val="9"/>
            <color indexed="81"/>
            <rFont val="MS P ゴシック"/>
            <family val="3"/>
            <charset val="128"/>
          </rPr>
          <t xml:space="preserve"> 26-6808</t>
        </r>
      </text>
    </comment>
    <comment ref="A1750" authorId="0" shapeId="0" xr:uid="{00000000-0006-0000-0000-00006E030000}">
      <text>
        <r>
          <rPr>
            <sz val="9"/>
            <color indexed="81"/>
            <rFont val="MS P ゴシック"/>
            <family val="3"/>
            <charset val="128"/>
          </rPr>
          <t xml:space="preserve"> 26-6809</t>
        </r>
      </text>
    </comment>
    <comment ref="A1752" authorId="0" shapeId="0" xr:uid="{00000000-0006-0000-0000-00006F030000}">
      <text>
        <r>
          <rPr>
            <sz val="9"/>
            <color indexed="81"/>
            <rFont val="MS P ゴシック"/>
            <family val="3"/>
            <charset val="128"/>
          </rPr>
          <t xml:space="preserve"> 26-6810</t>
        </r>
      </text>
    </comment>
    <comment ref="A1754" authorId="0" shapeId="0" xr:uid="{00000000-0006-0000-0000-000070030000}">
      <text>
        <r>
          <rPr>
            <sz val="9"/>
            <color indexed="81"/>
            <rFont val="MS P ゴシック"/>
            <family val="3"/>
            <charset val="128"/>
          </rPr>
          <t xml:space="preserve"> 26-6811</t>
        </r>
      </text>
    </comment>
    <comment ref="A1756" authorId="0" shapeId="0" xr:uid="{00000000-0006-0000-0000-000071030000}">
      <text>
        <r>
          <rPr>
            <sz val="9"/>
            <color indexed="81"/>
            <rFont val="MS P ゴシック"/>
            <family val="3"/>
            <charset val="128"/>
          </rPr>
          <t xml:space="preserve"> 26-6812</t>
        </r>
      </text>
    </comment>
    <comment ref="A1758" authorId="0" shapeId="0" xr:uid="{00000000-0006-0000-0000-000072030000}">
      <text>
        <r>
          <rPr>
            <sz val="9"/>
            <color indexed="81"/>
            <rFont val="MS P ゴシック"/>
            <family val="3"/>
            <charset val="128"/>
          </rPr>
          <t xml:space="preserve"> 26-6814</t>
        </r>
      </text>
    </comment>
    <comment ref="A1760" authorId="0" shapeId="0" xr:uid="{00000000-0006-0000-0000-000073030000}">
      <text>
        <r>
          <rPr>
            <sz val="9"/>
            <color indexed="81"/>
            <rFont val="MS P ゴシック"/>
            <family val="3"/>
            <charset val="128"/>
          </rPr>
          <t xml:space="preserve"> 26-6815</t>
        </r>
      </text>
    </comment>
    <comment ref="A1762" authorId="0" shapeId="0" xr:uid="{00000000-0006-0000-0000-000074030000}">
      <text>
        <r>
          <rPr>
            <sz val="9"/>
            <color indexed="81"/>
            <rFont val="MS P ゴシック"/>
            <family val="3"/>
            <charset val="128"/>
          </rPr>
          <t xml:space="preserve"> 26-6816</t>
        </r>
      </text>
    </comment>
    <comment ref="A1764" authorId="0" shapeId="0" xr:uid="{00000000-0006-0000-0000-000075030000}">
      <text>
        <r>
          <rPr>
            <sz val="9"/>
            <color indexed="81"/>
            <rFont val="MS P ゴシック"/>
            <family val="3"/>
            <charset val="128"/>
          </rPr>
          <t xml:space="preserve"> 26-6817</t>
        </r>
      </text>
    </comment>
    <comment ref="A1766" authorId="0" shapeId="0" xr:uid="{00000000-0006-0000-0000-000076030000}">
      <text>
        <r>
          <rPr>
            <sz val="9"/>
            <color indexed="81"/>
            <rFont val="MS P ゴシック"/>
            <family val="3"/>
            <charset val="128"/>
          </rPr>
          <t xml:space="preserve"> 26-6818</t>
        </r>
      </text>
    </comment>
    <comment ref="A1768" authorId="0" shapeId="0" xr:uid="{00000000-0006-0000-0000-000077030000}">
      <text>
        <r>
          <rPr>
            <sz val="9"/>
            <color indexed="81"/>
            <rFont val="MS P ゴシック"/>
            <family val="3"/>
            <charset val="128"/>
          </rPr>
          <t xml:space="preserve"> 26-6819</t>
        </r>
      </text>
    </comment>
    <comment ref="A1770" authorId="0" shapeId="0" xr:uid="{00000000-0006-0000-0000-000078030000}">
      <text>
        <r>
          <rPr>
            <sz val="9"/>
            <color indexed="81"/>
            <rFont val="MS P ゴシック"/>
            <family val="3"/>
            <charset val="128"/>
          </rPr>
          <t xml:space="preserve"> 26-6820</t>
        </r>
      </text>
    </comment>
    <comment ref="A1772" authorId="0" shapeId="0" xr:uid="{00000000-0006-0000-0000-000079030000}">
      <text>
        <r>
          <rPr>
            <sz val="9"/>
            <color indexed="81"/>
            <rFont val="MS P ゴシック"/>
            <family val="3"/>
            <charset val="128"/>
          </rPr>
          <t xml:space="preserve"> 26-6821</t>
        </r>
      </text>
    </comment>
    <comment ref="A1774" authorId="0" shapeId="0" xr:uid="{00000000-0006-0000-0000-00007A030000}">
      <text>
        <r>
          <rPr>
            <sz val="9"/>
            <color indexed="81"/>
            <rFont val="MS P ゴシック"/>
            <family val="3"/>
            <charset val="128"/>
          </rPr>
          <t xml:space="preserve"> 26-6822</t>
        </r>
      </text>
    </comment>
    <comment ref="A1776" authorId="0" shapeId="0" xr:uid="{00000000-0006-0000-0000-00007B030000}">
      <text>
        <r>
          <rPr>
            <sz val="9"/>
            <color indexed="81"/>
            <rFont val="MS P ゴシック"/>
            <family val="3"/>
            <charset val="128"/>
          </rPr>
          <t xml:space="preserve"> 26-6823</t>
        </r>
      </text>
    </comment>
    <comment ref="A1778" authorId="0" shapeId="0" xr:uid="{00000000-0006-0000-0000-00007C030000}">
      <text>
        <r>
          <rPr>
            <sz val="9"/>
            <color indexed="81"/>
            <rFont val="MS P ゴシック"/>
            <family val="3"/>
            <charset val="128"/>
          </rPr>
          <t xml:space="preserve"> 26-6824</t>
        </r>
      </text>
    </comment>
    <comment ref="A1780" authorId="0" shapeId="0" xr:uid="{00000000-0006-0000-0000-00007D030000}">
      <text>
        <r>
          <rPr>
            <sz val="9"/>
            <color indexed="81"/>
            <rFont val="MS P ゴシック"/>
            <family val="3"/>
            <charset val="128"/>
          </rPr>
          <t xml:space="preserve"> 26-6825</t>
        </r>
      </text>
    </comment>
    <comment ref="A1782" authorId="0" shapeId="0" xr:uid="{00000000-0006-0000-0000-00007E030000}">
      <text>
        <r>
          <rPr>
            <sz val="9"/>
            <color indexed="81"/>
            <rFont val="MS P ゴシック"/>
            <family val="3"/>
            <charset val="128"/>
          </rPr>
          <t xml:space="preserve"> 26-6826</t>
        </r>
      </text>
    </comment>
    <comment ref="A1784" authorId="0" shapeId="0" xr:uid="{00000000-0006-0000-0000-00007F030000}">
      <text>
        <r>
          <rPr>
            <sz val="9"/>
            <color indexed="81"/>
            <rFont val="MS P ゴシック"/>
            <family val="3"/>
            <charset val="128"/>
          </rPr>
          <t xml:space="preserve"> 26-6828</t>
        </r>
      </text>
    </comment>
    <comment ref="A1786" authorId="0" shapeId="0" xr:uid="{00000000-0006-0000-0000-000080030000}">
      <text>
        <r>
          <rPr>
            <sz val="9"/>
            <color indexed="81"/>
            <rFont val="MS P ゴシック"/>
            <family val="3"/>
            <charset val="128"/>
          </rPr>
          <t xml:space="preserve"> 26-6829</t>
        </r>
      </text>
    </comment>
    <comment ref="A1788" authorId="0" shapeId="0" xr:uid="{00000000-0006-0000-0000-000081030000}">
      <text>
        <r>
          <rPr>
            <sz val="9"/>
            <color indexed="81"/>
            <rFont val="MS P ゴシック"/>
            <family val="3"/>
            <charset val="128"/>
          </rPr>
          <t xml:space="preserve"> 26-6830</t>
        </r>
      </text>
    </comment>
    <comment ref="A1790" authorId="0" shapeId="0" xr:uid="{00000000-0006-0000-0000-000082030000}">
      <text>
        <r>
          <rPr>
            <sz val="9"/>
            <color indexed="81"/>
            <rFont val="MS P ゴシック"/>
            <family val="3"/>
            <charset val="128"/>
          </rPr>
          <t xml:space="preserve"> 26-6832</t>
        </r>
      </text>
    </comment>
    <comment ref="A1792" authorId="0" shapeId="0" xr:uid="{00000000-0006-0000-0000-000083030000}">
      <text>
        <r>
          <rPr>
            <sz val="9"/>
            <color indexed="81"/>
            <rFont val="MS P ゴシック"/>
            <family val="3"/>
            <charset val="128"/>
          </rPr>
          <t xml:space="preserve"> 26-6833</t>
        </r>
      </text>
    </comment>
    <comment ref="A1794" authorId="0" shapeId="0" xr:uid="{00000000-0006-0000-0000-000084030000}">
      <text>
        <r>
          <rPr>
            <sz val="9"/>
            <color indexed="81"/>
            <rFont val="MS P ゴシック"/>
            <family val="3"/>
            <charset val="128"/>
          </rPr>
          <t xml:space="preserve"> 26-6834</t>
        </r>
      </text>
    </comment>
    <comment ref="A1796" authorId="0" shapeId="0" xr:uid="{00000000-0006-0000-0000-000085030000}">
      <text>
        <r>
          <rPr>
            <sz val="9"/>
            <color indexed="81"/>
            <rFont val="MS P ゴシック"/>
            <family val="3"/>
            <charset val="128"/>
          </rPr>
          <t xml:space="preserve"> 26-6835</t>
        </r>
      </text>
    </comment>
    <comment ref="A1798" authorId="0" shapeId="0" xr:uid="{00000000-0006-0000-0000-000086030000}">
      <text>
        <r>
          <rPr>
            <sz val="9"/>
            <color indexed="81"/>
            <rFont val="MS P ゴシック"/>
            <family val="3"/>
            <charset val="128"/>
          </rPr>
          <t xml:space="preserve"> 26-6836</t>
        </r>
      </text>
    </comment>
    <comment ref="A1800" authorId="0" shapeId="0" xr:uid="{00000000-0006-0000-0000-000087030000}">
      <text>
        <r>
          <rPr>
            <sz val="9"/>
            <color indexed="81"/>
            <rFont val="MS P ゴシック"/>
            <family val="3"/>
            <charset val="128"/>
          </rPr>
          <t xml:space="preserve"> 26-6837</t>
        </r>
      </text>
    </comment>
    <comment ref="A1802" authorId="0" shapeId="0" xr:uid="{00000000-0006-0000-0000-000088030000}">
      <text>
        <r>
          <rPr>
            <sz val="9"/>
            <color indexed="81"/>
            <rFont val="MS P ゴシック"/>
            <family val="3"/>
            <charset val="128"/>
          </rPr>
          <t xml:space="preserve"> 26-6838</t>
        </r>
      </text>
    </comment>
    <comment ref="A1804" authorId="0" shapeId="0" xr:uid="{00000000-0006-0000-0000-000089030000}">
      <text>
        <r>
          <rPr>
            <sz val="9"/>
            <color indexed="81"/>
            <rFont val="MS P ゴシック"/>
            <family val="3"/>
            <charset val="128"/>
          </rPr>
          <t xml:space="preserve"> 26-6839</t>
        </r>
      </text>
    </comment>
    <comment ref="A1806" authorId="0" shapeId="0" xr:uid="{00000000-0006-0000-0000-00008A030000}">
      <text>
        <r>
          <rPr>
            <sz val="9"/>
            <color indexed="81"/>
            <rFont val="MS P ゴシック"/>
            <family val="3"/>
            <charset val="128"/>
          </rPr>
          <t xml:space="preserve"> 26-6840</t>
        </r>
      </text>
    </comment>
    <comment ref="A1808" authorId="0" shapeId="0" xr:uid="{00000000-0006-0000-0000-00008B030000}">
      <text>
        <r>
          <rPr>
            <sz val="9"/>
            <color indexed="81"/>
            <rFont val="MS P ゴシック"/>
            <family val="3"/>
            <charset val="128"/>
          </rPr>
          <t xml:space="preserve"> 26-6841</t>
        </r>
      </text>
    </comment>
    <comment ref="A1810" authorId="0" shapeId="0" xr:uid="{00000000-0006-0000-0000-00008C030000}">
      <text>
        <r>
          <rPr>
            <sz val="9"/>
            <color indexed="81"/>
            <rFont val="MS P ゴシック"/>
            <family val="3"/>
            <charset val="128"/>
          </rPr>
          <t xml:space="preserve"> 26-6842</t>
        </r>
      </text>
    </comment>
    <comment ref="A1812" authorId="0" shapeId="0" xr:uid="{00000000-0006-0000-0000-00008D030000}">
      <text>
        <r>
          <rPr>
            <sz val="9"/>
            <color indexed="81"/>
            <rFont val="MS P ゴシック"/>
            <family val="3"/>
            <charset val="128"/>
          </rPr>
          <t xml:space="preserve"> 26-6843</t>
        </r>
      </text>
    </comment>
    <comment ref="A1814" authorId="0" shapeId="0" xr:uid="{00000000-0006-0000-0000-00008E030000}">
      <text>
        <r>
          <rPr>
            <sz val="9"/>
            <color indexed="81"/>
            <rFont val="MS P ゴシック"/>
            <family val="3"/>
            <charset val="128"/>
          </rPr>
          <t xml:space="preserve"> 26-6844</t>
        </r>
      </text>
    </comment>
    <comment ref="A1816" authorId="0" shapeId="0" xr:uid="{00000000-0006-0000-0000-00008F030000}">
      <text>
        <r>
          <rPr>
            <sz val="9"/>
            <color indexed="81"/>
            <rFont val="MS P ゴシック"/>
            <family val="3"/>
            <charset val="128"/>
          </rPr>
          <t xml:space="preserve"> 26-6845</t>
        </r>
      </text>
    </comment>
    <comment ref="A1818" authorId="0" shapeId="0" xr:uid="{00000000-0006-0000-0000-000090030000}">
      <text>
        <r>
          <rPr>
            <sz val="9"/>
            <color indexed="81"/>
            <rFont val="MS P ゴシック"/>
            <family val="3"/>
            <charset val="128"/>
          </rPr>
          <t xml:space="preserve"> 26-6846</t>
        </r>
      </text>
    </comment>
    <comment ref="A1820" authorId="0" shapeId="0" xr:uid="{00000000-0006-0000-0000-000091030000}">
      <text>
        <r>
          <rPr>
            <sz val="9"/>
            <color indexed="81"/>
            <rFont val="MS P ゴシック"/>
            <family val="3"/>
            <charset val="128"/>
          </rPr>
          <t xml:space="preserve"> 26-6847</t>
        </r>
      </text>
    </comment>
    <comment ref="A1822" authorId="0" shapeId="0" xr:uid="{00000000-0006-0000-0000-000092030000}">
      <text>
        <r>
          <rPr>
            <sz val="9"/>
            <color indexed="81"/>
            <rFont val="MS P ゴシック"/>
            <family val="3"/>
            <charset val="128"/>
          </rPr>
          <t xml:space="preserve"> 26-6848</t>
        </r>
      </text>
    </comment>
    <comment ref="A1824" authorId="0" shapeId="0" xr:uid="{00000000-0006-0000-0000-000093030000}">
      <text>
        <r>
          <rPr>
            <sz val="9"/>
            <color indexed="81"/>
            <rFont val="MS P ゴシック"/>
            <family val="3"/>
            <charset val="128"/>
          </rPr>
          <t xml:space="preserve"> 26-6849</t>
        </r>
      </text>
    </comment>
    <comment ref="A1826" authorId="0" shapeId="0" xr:uid="{00000000-0006-0000-0000-000094030000}">
      <text>
        <r>
          <rPr>
            <sz val="9"/>
            <color indexed="81"/>
            <rFont val="MS P ゴシック"/>
            <family val="3"/>
            <charset val="128"/>
          </rPr>
          <t xml:space="preserve"> 26-6850</t>
        </r>
      </text>
    </comment>
    <comment ref="A1828" authorId="0" shapeId="0" xr:uid="{00000000-0006-0000-0000-000095030000}">
      <text>
        <r>
          <rPr>
            <sz val="9"/>
            <color indexed="81"/>
            <rFont val="MS P ゴシック"/>
            <family val="3"/>
            <charset val="128"/>
          </rPr>
          <t xml:space="preserve"> 26-6851</t>
        </r>
      </text>
    </comment>
    <comment ref="A1830" authorId="0" shapeId="0" xr:uid="{00000000-0006-0000-0000-000096030000}">
      <text>
        <r>
          <rPr>
            <sz val="9"/>
            <color indexed="81"/>
            <rFont val="MS P ゴシック"/>
            <family val="3"/>
            <charset val="128"/>
          </rPr>
          <t xml:space="preserve"> 26-6852</t>
        </r>
      </text>
    </comment>
    <comment ref="A1832" authorId="0" shapeId="0" xr:uid="{00000000-0006-0000-0000-000097030000}">
      <text>
        <r>
          <rPr>
            <sz val="9"/>
            <color indexed="81"/>
            <rFont val="MS P ゴシック"/>
            <family val="3"/>
            <charset val="128"/>
          </rPr>
          <t xml:space="preserve"> 26-6853</t>
        </r>
      </text>
    </comment>
    <comment ref="A1834" authorId="0" shapeId="0" xr:uid="{00000000-0006-0000-0000-000098030000}">
      <text>
        <r>
          <rPr>
            <sz val="9"/>
            <color indexed="81"/>
            <rFont val="MS P ゴシック"/>
            <family val="3"/>
            <charset val="128"/>
          </rPr>
          <t xml:space="preserve"> 26-6854</t>
        </r>
      </text>
    </comment>
    <comment ref="A1836" authorId="0" shapeId="0" xr:uid="{00000000-0006-0000-0000-000099030000}">
      <text>
        <r>
          <rPr>
            <sz val="9"/>
            <color indexed="81"/>
            <rFont val="MS P ゴシック"/>
            <family val="3"/>
            <charset val="128"/>
          </rPr>
          <t xml:space="preserve"> 26-6855</t>
        </r>
      </text>
    </comment>
    <comment ref="A1838" authorId="0" shapeId="0" xr:uid="{00000000-0006-0000-0000-00009A030000}">
      <text>
        <r>
          <rPr>
            <sz val="9"/>
            <color indexed="81"/>
            <rFont val="MS P ゴシック"/>
            <family val="3"/>
            <charset val="128"/>
          </rPr>
          <t xml:space="preserve"> 26-6856</t>
        </r>
      </text>
    </comment>
    <comment ref="A1840" authorId="0" shapeId="0" xr:uid="{00000000-0006-0000-0000-00009B030000}">
      <text>
        <r>
          <rPr>
            <sz val="9"/>
            <color indexed="81"/>
            <rFont val="MS P ゴシック"/>
            <family val="3"/>
            <charset val="128"/>
          </rPr>
          <t xml:space="preserve"> 26-6857</t>
        </r>
      </text>
    </comment>
    <comment ref="A1842" authorId="0" shapeId="0" xr:uid="{00000000-0006-0000-0000-00009C030000}">
      <text>
        <r>
          <rPr>
            <sz val="9"/>
            <color indexed="81"/>
            <rFont val="MS P ゴシック"/>
            <family val="3"/>
            <charset val="128"/>
          </rPr>
          <t xml:space="preserve"> 26-6858</t>
        </r>
      </text>
    </comment>
    <comment ref="A1844" authorId="0" shapeId="0" xr:uid="{00000000-0006-0000-0000-00009D030000}">
      <text>
        <r>
          <rPr>
            <sz val="9"/>
            <color indexed="81"/>
            <rFont val="MS P ゴシック"/>
            <family val="3"/>
            <charset val="128"/>
          </rPr>
          <t xml:space="preserve"> 26-6859</t>
        </r>
      </text>
    </comment>
    <comment ref="A1846" authorId="0" shapeId="0" xr:uid="{00000000-0006-0000-0000-00009E030000}">
      <text>
        <r>
          <rPr>
            <sz val="9"/>
            <color indexed="81"/>
            <rFont val="MS P ゴシック"/>
            <family val="3"/>
            <charset val="128"/>
          </rPr>
          <t xml:space="preserve"> 26-6861</t>
        </r>
      </text>
    </comment>
    <comment ref="A1848" authorId="0" shapeId="0" xr:uid="{00000000-0006-0000-0000-00009F030000}">
      <text>
        <r>
          <rPr>
            <sz val="9"/>
            <color indexed="81"/>
            <rFont val="MS P ゴシック"/>
            <family val="3"/>
            <charset val="128"/>
          </rPr>
          <t xml:space="preserve"> 26-6862</t>
        </r>
      </text>
    </comment>
    <comment ref="A1850" authorId="0" shapeId="0" xr:uid="{00000000-0006-0000-0000-0000A0030000}">
      <text>
        <r>
          <rPr>
            <sz val="9"/>
            <color indexed="81"/>
            <rFont val="MS P ゴシック"/>
            <family val="3"/>
            <charset val="128"/>
          </rPr>
          <t xml:space="preserve"> 26-6863</t>
        </r>
      </text>
    </comment>
    <comment ref="A1852" authorId="0" shapeId="0" xr:uid="{00000000-0006-0000-0000-0000A1030000}">
      <text>
        <r>
          <rPr>
            <sz val="9"/>
            <color indexed="81"/>
            <rFont val="MS P ゴシック"/>
            <family val="3"/>
            <charset val="128"/>
          </rPr>
          <t xml:space="preserve"> 26-6864</t>
        </r>
      </text>
    </comment>
    <comment ref="A1854" authorId="0" shapeId="0" xr:uid="{00000000-0006-0000-0000-0000A2030000}">
      <text>
        <r>
          <rPr>
            <sz val="9"/>
            <color indexed="81"/>
            <rFont val="MS P ゴシック"/>
            <family val="3"/>
            <charset val="128"/>
          </rPr>
          <t xml:space="preserve"> 26-6865</t>
        </r>
      </text>
    </comment>
    <comment ref="A1856" authorId="0" shapeId="0" xr:uid="{00000000-0006-0000-0000-0000A3030000}">
      <text>
        <r>
          <rPr>
            <sz val="9"/>
            <color indexed="81"/>
            <rFont val="MS P ゴシック"/>
            <family val="3"/>
            <charset val="128"/>
          </rPr>
          <t xml:space="preserve"> 26-6866</t>
        </r>
      </text>
    </comment>
    <comment ref="A1858" authorId="0" shapeId="0" xr:uid="{00000000-0006-0000-0000-0000A4030000}">
      <text>
        <r>
          <rPr>
            <sz val="9"/>
            <color indexed="81"/>
            <rFont val="MS P ゴシック"/>
            <family val="3"/>
            <charset val="128"/>
          </rPr>
          <t xml:space="preserve"> 26-6867</t>
        </r>
      </text>
    </comment>
    <comment ref="A1860" authorId="0" shapeId="0" xr:uid="{00000000-0006-0000-0000-0000A5030000}">
      <text>
        <r>
          <rPr>
            <sz val="9"/>
            <color indexed="81"/>
            <rFont val="MS P ゴシック"/>
            <family val="3"/>
            <charset val="128"/>
          </rPr>
          <t xml:space="preserve"> 26-6868</t>
        </r>
      </text>
    </comment>
    <comment ref="A1862" authorId="0" shapeId="0" xr:uid="{00000000-0006-0000-0000-0000A6030000}">
      <text>
        <r>
          <rPr>
            <sz val="9"/>
            <color indexed="81"/>
            <rFont val="MS P ゴシック"/>
            <family val="3"/>
            <charset val="128"/>
          </rPr>
          <t xml:space="preserve"> 26-6869</t>
        </r>
      </text>
    </comment>
    <comment ref="A1864" authorId="0" shapeId="0" xr:uid="{00000000-0006-0000-0000-0000A7030000}">
      <text>
        <r>
          <rPr>
            <sz val="9"/>
            <color indexed="81"/>
            <rFont val="MS P ゴシック"/>
            <family val="3"/>
            <charset val="128"/>
          </rPr>
          <t xml:space="preserve"> 26-6870</t>
        </r>
      </text>
    </comment>
    <comment ref="A1866" authorId="0" shapeId="0" xr:uid="{00000000-0006-0000-0000-0000A8030000}">
      <text>
        <r>
          <rPr>
            <sz val="9"/>
            <color indexed="81"/>
            <rFont val="MS P ゴシック"/>
            <family val="3"/>
            <charset val="128"/>
          </rPr>
          <t xml:space="preserve"> 26-6871</t>
        </r>
      </text>
    </comment>
    <comment ref="A1868" authorId="0" shapeId="0" xr:uid="{00000000-0006-0000-0000-0000A9030000}">
      <text>
        <r>
          <rPr>
            <sz val="9"/>
            <color indexed="81"/>
            <rFont val="MS P ゴシック"/>
            <family val="3"/>
            <charset val="128"/>
          </rPr>
          <t xml:space="preserve"> 26-6872</t>
        </r>
      </text>
    </comment>
    <comment ref="A1870" authorId="0" shapeId="0" xr:uid="{00000000-0006-0000-0000-0000AA030000}">
      <text>
        <r>
          <rPr>
            <sz val="9"/>
            <color indexed="81"/>
            <rFont val="MS P ゴシック"/>
            <family val="3"/>
            <charset val="128"/>
          </rPr>
          <t xml:space="preserve"> 26-6873</t>
        </r>
      </text>
    </comment>
    <comment ref="A1872" authorId="0" shapeId="0" xr:uid="{00000000-0006-0000-0000-0000AB030000}">
      <text>
        <r>
          <rPr>
            <sz val="9"/>
            <color indexed="81"/>
            <rFont val="MS P ゴシック"/>
            <family val="3"/>
            <charset val="128"/>
          </rPr>
          <t xml:space="preserve"> 26-6874</t>
        </r>
      </text>
    </comment>
    <comment ref="A1874" authorId="0" shapeId="0" xr:uid="{00000000-0006-0000-0000-0000AC030000}">
      <text>
        <r>
          <rPr>
            <sz val="9"/>
            <color indexed="81"/>
            <rFont val="MS P ゴシック"/>
            <family val="3"/>
            <charset val="128"/>
          </rPr>
          <t xml:space="preserve"> 26-6875</t>
        </r>
      </text>
    </comment>
    <comment ref="A1876" authorId="0" shapeId="0" xr:uid="{00000000-0006-0000-0000-0000AD030000}">
      <text>
        <r>
          <rPr>
            <sz val="9"/>
            <color indexed="81"/>
            <rFont val="MS P ゴシック"/>
            <family val="3"/>
            <charset val="128"/>
          </rPr>
          <t xml:space="preserve"> 26-6876</t>
        </r>
      </text>
    </comment>
    <comment ref="A1878" authorId="0" shapeId="0" xr:uid="{00000000-0006-0000-0000-0000AE030000}">
      <text>
        <r>
          <rPr>
            <sz val="9"/>
            <color indexed="81"/>
            <rFont val="MS P ゴシック"/>
            <family val="3"/>
            <charset val="128"/>
          </rPr>
          <t xml:space="preserve"> 26-6877</t>
        </r>
      </text>
    </comment>
    <comment ref="A1880" authorId="0" shapeId="0" xr:uid="{00000000-0006-0000-0000-0000AF030000}">
      <text>
        <r>
          <rPr>
            <sz val="9"/>
            <color indexed="81"/>
            <rFont val="MS P ゴシック"/>
            <family val="3"/>
            <charset val="128"/>
          </rPr>
          <t xml:space="preserve"> 26-6878</t>
        </r>
      </text>
    </comment>
    <comment ref="A1882" authorId="0" shapeId="0" xr:uid="{00000000-0006-0000-0000-0000B0030000}">
      <text>
        <r>
          <rPr>
            <sz val="9"/>
            <color indexed="81"/>
            <rFont val="MS P ゴシック"/>
            <family val="3"/>
            <charset val="128"/>
          </rPr>
          <t xml:space="preserve"> 26-6879</t>
        </r>
      </text>
    </comment>
    <comment ref="A1884" authorId="0" shapeId="0" xr:uid="{00000000-0006-0000-0000-0000B1030000}">
      <text>
        <r>
          <rPr>
            <sz val="9"/>
            <color indexed="81"/>
            <rFont val="MS P ゴシック"/>
            <family val="3"/>
            <charset val="128"/>
          </rPr>
          <t xml:space="preserve"> 26-6880</t>
        </r>
      </text>
    </comment>
    <comment ref="A1886" authorId="0" shapeId="0" xr:uid="{00000000-0006-0000-0000-0000B2030000}">
      <text>
        <r>
          <rPr>
            <sz val="9"/>
            <color indexed="81"/>
            <rFont val="MS P ゴシック"/>
            <family val="3"/>
            <charset val="128"/>
          </rPr>
          <t xml:space="preserve"> 26-6881</t>
        </r>
      </text>
    </comment>
    <comment ref="A1888" authorId="0" shapeId="0" xr:uid="{00000000-0006-0000-0000-0000B3030000}">
      <text>
        <r>
          <rPr>
            <sz val="9"/>
            <color indexed="81"/>
            <rFont val="MS P ゴシック"/>
            <family val="3"/>
            <charset val="128"/>
          </rPr>
          <t xml:space="preserve"> 26-6882</t>
        </r>
      </text>
    </comment>
    <comment ref="A1890" authorId="0" shapeId="0" xr:uid="{00000000-0006-0000-0000-0000B4030000}">
      <text>
        <r>
          <rPr>
            <sz val="9"/>
            <color indexed="81"/>
            <rFont val="MS P ゴシック"/>
            <family val="3"/>
            <charset val="128"/>
          </rPr>
          <t xml:space="preserve"> 26-6883</t>
        </r>
      </text>
    </comment>
    <comment ref="A1892" authorId="0" shapeId="0" xr:uid="{00000000-0006-0000-0000-0000B5030000}">
      <text>
        <r>
          <rPr>
            <sz val="9"/>
            <color indexed="81"/>
            <rFont val="MS P ゴシック"/>
            <family val="3"/>
            <charset val="128"/>
          </rPr>
          <t xml:space="preserve"> 26-6884</t>
        </r>
      </text>
    </comment>
    <comment ref="A1894" authorId="0" shapeId="0" xr:uid="{00000000-0006-0000-0000-0000B6030000}">
      <text>
        <r>
          <rPr>
            <sz val="9"/>
            <color indexed="81"/>
            <rFont val="MS P ゴシック"/>
            <family val="3"/>
            <charset val="128"/>
          </rPr>
          <t xml:space="preserve"> 26-6885</t>
        </r>
      </text>
    </comment>
    <comment ref="A1896" authorId="0" shapeId="0" xr:uid="{00000000-0006-0000-0000-0000B7030000}">
      <text>
        <r>
          <rPr>
            <sz val="9"/>
            <color indexed="81"/>
            <rFont val="MS P ゴシック"/>
            <family val="3"/>
            <charset val="128"/>
          </rPr>
          <t xml:space="preserve"> 26-6886</t>
        </r>
      </text>
    </comment>
    <comment ref="A1898" authorId="0" shapeId="0" xr:uid="{00000000-0006-0000-0000-0000B8030000}">
      <text>
        <r>
          <rPr>
            <sz val="9"/>
            <color indexed="81"/>
            <rFont val="MS P ゴシック"/>
            <family val="3"/>
            <charset val="128"/>
          </rPr>
          <t xml:space="preserve"> 26-6887</t>
        </r>
      </text>
    </comment>
    <comment ref="A1900" authorId="0" shapeId="0" xr:uid="{00000000-0006-0000-0000-0000B9030000}">
      <text>
        <r>
          <rPr>
            <sz val="9"/>
            <color indexed="81"/>
            <rFont val="MS P ゴシック"/>
            <family val="3"/>
            <charset val="128"/>
          </rPr>
          <t xml:space="preserve"> 26-6888</t>
        </r>
      </text>
    </comment>
    <comment ref="A1902" authorId="1" shapeId="0" xr:uid="{00000000-0006-0000-0000-0000BA030000}">
      <text>
        <r>
          <rPr>
            <sz val="9"/>
            <color indexed="81"/>
            <rFont val="MS P ゴシック"/>
            <family val="3"/>
            <charset val="128"/>
          </rPr>
          <t xml:space="preserve"> 26-6889</t>
        </r>
      </text>
    </comment>
    <comment ref="A1904" authorId="1" shapeId="0" xr:uid="{00000000-0006-0000-0000-0000BB030000}">
      <text>
        <r>
          <rPr>
            <sz val="9"/>
            <color indexed="81"/>
            <rFont val="MS P ゴシック"/>
            <family val="3"/>
            <charset val="128"/>
          </rPr>
          <t xml:space="preserve"> 26-6890</t>
        </r>
      </text>
    </comment>
    <comment ref="A1906" authorId="1" shapeId="0" xr:uid="{00000000-0006-0000-0000-0000BC030000}">
      <text>
        <r>
          <rPr>
            <sz val="9"/>
            <color indexed="81"/>
            <rFont val="MS P ゴシック"/>
            <family val="3"/>
            <charset val="128"/>
          </rPr>
          <t xml:space="preserve"> 26-6891</t>
        </r>
      </text>
    </comment>
    <comment ref="A1908" authorId="1" shapeId="0" xr:uid="{00000000-0006-0000-0000-0000BD030000}">
      <text>
        <r>
          <rPr>
            <sz val="9"/>
            <color indexed="81"/>
            <rFont val="MS P ゴシック"/>
            <family val="3"/>
            <charset val="128"/>
          </rPr>
          <t xml:space="preserve"> 26-6892</t>
        </r>
      </text>
    </comment>
    <comment ref="A1910" authorId="1" shapeId="0" xr:uid="{00000000-0006-0000-0000-0000BE030000}">
      <text>
        <r>
          <rPr>
            <sz val="9"/>
            <color indexed="81"/>
            <rFont val="MS P ゴシック"/>
            <family val="3"/>
            <charset val="128"/>
          </rPr>
          <t xml:space="preserve"> 26-6893</t>
        </r>
      </text>
    </comment>
    <comment ref="A1912" authorId="1" shapeId="0" xr:uid="{00000000-0006-0000-0000-0000BF030000}">
      <text>
        <r>
          <rPr>
            <sz val="9"/>
            <color indexed="81"/>
            <rFont val="MS P ゴシック"/>
            <family val="3"/>
            <charset val="128"/>
          </rPr>
          <t xml:space="preserve"> 26-6894</t>
        </r>
      </text>
    </comment>
    <comment ref="A1914" authorId="1" shapeId="0" xr:uid="{00000000-0006-0000-0000-0000C0030000}">
      <text>
        <r>
          <rPr>
            <sz val="9"/>
            <color indexed="81"/>
            <rFont val="MS P ゴシック"/>
            <family val="3"/>
            <charset val="128"/>
          </rPr>
          <t xml:space="preserve"> 26-6895</t>
        </r>
      </text>
    </comment>
    <comment ref="A1916" authorId="1" shapeId="0" xr:uid="{00000000-0006-0000-0000-0000C1030000}">
      <text>
        <r>
          <rPr>
            <sz val="9"/>
            <color indexed="81"/>
            <rFont val="MS P ゴシック"/>
            <family val="3"/>
            <charset val="128"/>
          </rPr>
          <t xml:space="preserve"> 26-6896</t>
        </r>
      </text>
    </comment>
    <comment ref="A1918" authorId="1" shapeId="0" xr:uid="{00000000-0006-0000-0000-0000C2030000}">
      <text>
        <r>
          <rPr>
            <sz val="9"/>
            <color indexed="81"/>
            <rFont val="MS P ゴシック"/>
            <family val="3"/>
            <charset val="128"/>
          </rPr>
          <t xml:space="preserve"> 26-6897</t>
        </r>
      </text>
    </comment>
    <comment ref="A1920" authorId="1" shapeId="0" xr:uid="{00000000-0006-0000-0000-0000C3030000}">
      <text>
        <r>
          <rPr>
            <sz val="9"/>
            <color indexed="81"/>
            <rFont val="MS P ゴシック"/>
            <family val="3"/>
            <charset val="128"/>
          </rPr>
          <t xml:space="preserve"> 26-6898</t>
        </r>
      </text>
    </comment>
    <comment ref="A1922" authorId="1" shapeId="0" xr:uid="{00000000-0006-0000-0000-0000C4030000}">
      <text>
        <r>
          <rPr>
            <sz val="9"/>
            <color indexed="81"/>
            <rFont val="MS P ゴシック"/>
            <family val="3"/>
            <charset val="128"/>
          </rPr>
          <t xml:space="preserve"> 26-6899</t>
        </r>
      </text>
    </comment>
    <comment ref="A1924" authorId="1" shapeId="0" xr:uid="{00000000-0006-0000-0000-0000C5030000}">
      <text>
        <r>
          <rPr>
            <sz val="9"/>
            <color indexed="81"/>
            <rFont val="MS P ゴシック"/>
            <family val="3"/>
            <charset val="128"/>
          </rPr>
          <t xml:space="preserve"> 26-6900</t>
        </r>
      </text>
    </comment>
    <comment ref="A1926" authorId="1" shapeId="0" xr:uid="{00000000-0006-0000-0000-0000C6030000}">
      <text>
        <r>
          <rPr>
            <sz val="9"/>
            <color indexed="81"/>
            <rFont val="MS P ゴシック"/>
            <family val="3"/>
            <charset val="128"/>
          </rPr>
          <t xml:space="preserve"> 26-6901</t>
        </r>
      </text>
    </comment>
    <comment ref="A1928" authorId="1" shapeId="0" xr:uid="{00000000-0006-0000-0000-0000C7030000}">
      <text>
        <r>
          <rPr>
            <sz val="9"/>
            <color indexed="81"/>
            <rFont val="MS P ゴシック"/>
            <family val="3"/>
            <charset val="128"/>
          </rPr>
          <t xml:space="preserve"> 26-6902</t>
        </r>
      </text>
    </comment>
    <comment ref="A1930" authorId="1" shapeId="0" xr:uid="{00000000-0006-0000-0000-0000C8030000}">
      <text>
        <r>
          <rPr>
            <sz val="9"/>
            <color indexed="81"/>
            <rFont val="MS P ゴシック"/>
            <family val="3"/>
            <charset val="128"/>
          </rPr>
          <t xml:space="preserve"> 26-6903</t>
        </r>
      </text>
    </comment>
    <comment ref="A1932" authorId="1" shapeId="0" xr:uid="{00000000-0006-0000-0000-0000C9030000}">
      <text>
        <r>
          <rPr>
            <sz val="9"/>
            <color indexed="81"/>
            <rFont val="MS P ゴシック"/>
            <family val="3"/>
            <charset val="128"/>
          </rPr>
          <t xml:space="preserve"> 26-6904</t>
        </r>
      </text>
    </comment>
    <comment ref="A1934" authorId="1" shapeId="0" xr:uid="{00000000-0006-0000-0000-0000CA030000}">
      <text>
        <r>
          <rPr>
            <sz val="9"/>
            <color indexed="81"/>
            <rFont val="MS P ゴシック"/>
            <family val="3"/>
            <charset val="128"/>
          </rPr>
          <t xml:space="preserve"> 26-6905</t>
        </r>
      </text>
    </comment>
    <comment ref="A1936" authorId="1" shapeId="0" xr:uid="{00000000-0006-0000-0000-0000CB030000}">
      <text>
        <r>
          <rPr>
            <sz val="9"/>
            <color indexed="81"/>
            <rFont val="MS P ゴシック"/>
            <family val="3"/>
            <charset val="128"/>
          </rPr>
          <t xml:space="preserve"> 26-6906</t>
        </r>
      </text>
    </comment>
    <comment ref="A1938" authorId="1" shapeId="0" xr:uid="{00000000-0006-0000-0000-0000CC030000}">
      <text>
        <r>
          <rPr>
            <sz val="9"/>
            <color indexed="81"/>
            <rFont val="MS P ゴシック"/>
            <family val="3"/>
            <charset val="128"/>
          </rPr>
          <t xml:space="preserve"> 26-6907</t>
        </r>
      </text>
    </comment>
    <comment ref="A1940" authorId="1" shapeId="0" xr:uid="{00000000-0006-0000-0000-0000CD030000}">
      <text>
        <r>
          <rPr>
            <sz val="9"/>
            <color indexed="81"/>
            <rFont val="MS P ゴシック"/>
            <family val="3"/>
            <charset val="128"/>
          </rPr>
          <t xml:space="preserve"> 26-6908</t>
        </r>
      </text>
    </comment>
    <comment ref="A1942" authorId="1" shapeId="0" xr:uid="{00000000-0006-0000-0000-0000CE030000}">
      <text>
        <r>
          <rPr>
            <sz val="9"/>
            <color indexed="81"/>
            <rFont val="MS P ゴシック"/>
            <family val="3"/>
            <charset val="128"/>
          </rPr>
          <t xml:space="preserve"> 26-6909</t>
        </r>
      </text>
    </comment>
    <comment ref="A1944" authorId="1" shapeId="0" xr:uid="{00000000-0006-0000-0000-0000CF030000}">
      <text>
        <r>
          <rPr>
            <sz val="9"/>
            <color indexed="81"/>
            <rFont val="MS P ゴシック"/>
            <family val="3"/>
            <charset val="128"/>
          </rPr>
          <t xml:space="preserve"> 26-6910</t>
        </r>
      </text>
    </comment>
    <comment ref="A1946" authorId="1" shapeId="0" xr:uid="{00000000-0006-0000-0000-0000D0030000}">
      <text>
        <r>
          <rPr>
            <sz val="9"/>
            <color indexed="81"/>
            <rFont val="MS P ゴシック"/>
            <family val="3"/>
            <charset val="128"/>
          </rPr>
          <t xml:space="preserve"> 26-6911</t>
        </r>
      </text>
    </comment>
    <comment ref="A1948" authorId="1" shapeId="0" xr:uid="{00000000-0006-0000-0000-0000D1030000}">
      <text>
        <r>
          <rPr>
            <sz val="9"/>
            <color indexed="81"/>
            <rFont val="MS P ゴシック"/>
            <family val="3"/>
            <charset val="128"/>
          </rPr>
          <t xml:space="preserve"> 26-6912</t>
        </r>
      </text>
    </comment>
    <comment ref="A1950" authorId="1" shapeId="0" xr:uid="{00000000-0006-0000-0000-0000D2030000}">
      <text>
        <r>
          <rPr>
            <sz val="9"/>
            <color indexed="81"/>
            <rFont val="MS P ゴシック"/>
            <family val="3"/>
            <charset val="128"/>
          </rPr>
          <t xml:space="preserve"> 26-6913</t>
        </r>
      </text>
    </comment>
    <comment ref="A1952" authorId="1" shapeId="0" xr:uid="{00000000-0006-0000-0000-0000D3030000}">
      <text>
        <r>
          <rPr>
            <sz val="9"/>
            <color indexed="81"/>
            <rFont val="MS P ゴシック"/>
            <family val="3"/>
            <charset val="128"/>
          </rPr>
          <t xml:space="preserve"> 26-6914</t>
        </r>
      </text>
    </comment>
    <comment ref="A1954" authorId="1" shapeId="0" xr:uid="{00000000-0006-0000-0000-0000D4030000}">
      <text>
        <r>
          <rPr>
            <sz val="9"/>
            <color indexed="81"/>
            <rFont val="MS P ゴシック"/>
            <family val="3"/>
            <charset val="128"/>
          </rPr>
          <t xml:space="preserve"> 26-6915</t>
        </r>
      </text>
    </comment>
    <comment ref="A1956" authorId="1" shapeId="0" xr:uid="{00000000-0006-0000-0000-0000D5030000}">
      <text>
        <r>
          <rPr>
            <sz val="9"/>
            <color indexed="81"/>
            <rFont val="MS P ゴシック"/>
            <family val="3"/>
            <charset val="128"/>
          </rPr>
          <t xml:space="preserve"> 26-6916</t>
        </r>
      </text>
    </comment>
    <comment ref="A1958" authorId="1" shapeId="0" xr:uid="{00000000-0006-0000-0000-0000D6030000}">
      <text>
        <r>
          <rPr>
            <sz val="9"/>
            <color indexed="81"/>
            <rFont val="MS P ゴシック"/>
            <family val="3"/>
            <charset val="128"/>
          </rPr>
          <t xml:space="preserve"> 26-6917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瀧井翔太</author>
    <author>瀧井良介</author>
  </authors>
  <commentList>
    <comment ref="A2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19-3782 20-273 R21-008 R22-006 R23-005 R24-004 R25-001　R26-001
</t>
        </r>
      </text>
    </comment>
    <comment ref="A4" authorId="0" shapeId="0" xr:uid="{00000000-0006-0000-0100-000002000000}">
      <text>
        <r>
          <rPr>
            <sz val="9"/>
            <color indexed="81"/>
            <rFont val="MS P ゴシック"/>
            <family val="3"/>
            <charset val="128"/>
          </rPr>
          <t>20-2552 R21-010 R22-007 R23-006 R24-005 R25-002
R26-002</t>
        </r>
      </text>
    </comment>
    <comment ref="A6" authorId="0" shapeId="0" xr:uid="{00000000-0006-0000-0100-000003000000}">
      <text>
        <r>
          <rPr>
            <sz val="9"/>
            <color indexed="81"/>
            <rFont val="MS P ゴシック"/>
            <family val="3"/>
            <charset val="128"/>
          </rPr>
          <t>S23-277 S24-076a R24-009 R25-003
R26-003</t>
        </r>
      </text>
    </comment>
    <comment ref="A8" authorId="0" shapeId="0" xr:uid="{00000000-0006-0000-0100-000004000000}">
      <text>
        <r>
          <rPr>
            <sz val="9"/>
            <color indexed="81"/>
            <rFont val="MS P ゴシック"/>
            <family val="3"/>
            <charset val="128"/>
          </rPr>
          <t>18-7870 19-376 20-117 21-090 22-081 23-075 24-066 25-062 R25-015
R26-008</t>
        </r>
      </text>
    </comment>
    <comment ref="A10" authorId="0" shapeId="0" xr:uid="{00000000-0006-0000-0100-000005000000}">
      <text>
        <r>
          <rPr>
            <sz val="9"/>
            <color indexed="81"/>
            <rFont val="MS P ゴシック"/>
            <family val="3"/>
            <charset val="128"/>
          </rPr>
          <t xml:space="preserve"> 23-1911 24-333 25-265 26-242
R26-009
</t>
        </r>
      </text>
    </comment>
    <comment ref="A12" authorId="1" shapeId="0" xr:uid="{DFB473D1-FAB1-4C9B-8350-84D1268DEDF8}">
      <text>
        <r>
          <rPr>
            <sz val="9"/>
            <color indexed="81"/>
            <rFont val="MS P ゴシック"/>
            <family val="3"/>
            <charset val="128"/>
          </rPr>
          <t xml:space="preserve"> 22-1635 23-257 24-182 25-159 26-151</t>
        </r>
      </text>
    </comment>
    <comment ref="A14" authorId="1" shapeId="0" xr:uid="{1EE19606-917F-4310-88C9-C8968E875280}">
      <text>
        <r>
          <rPr>
            <sz val="9"/>
            <color indexed="81"/>
            <rFont val="MS P ゴシック"/>
            <family val="3"/>
            <charset val="128"/>
          </rPr>
          <t>21-2013 22-227 23-173 24-130 25-118 26-113</t>
        </r>
      </text>
    </comment>
  </commentList>
</comments>
</file>

<file path=xl/sharedStrings.xml><?xml version="1.0" encoding="utf-8"?>
<sst xmlns="http://schemas.openxmlformats.org/spreadsheetml/2006/main" count="65567" uniqueCount="26120">
  <si>
    <t>仕入番号</t>
  </si>
  <si>
    <t>仕入れ日/仕入れ先</t>
  </si>
  <si>
    <t>回次/出品番号</t>
  </si>
  <si>
    <t>年式/色</t>
  </si>
  <si>
    <t>車名/車台番号</t>
  </si>
  <si>
    <t>車検/距離</t>
  </si>
  <si>
    <t>評価点</t>
  </si>
  <si>
    <t>車輌代</t>
  </si>
  <si>
    <t>消費税</t>
  </si>
  <si>
    <t>自税</t>
  </si>
  <si>
    <t>リサイクル</t>
  </si>
  <si>
    <t>落札料</t>
  </si>
  <si>
    <t>合計</t>
  </si>
  <si>
    <t>自税相当返金額</t>
  </si>
  <si>
    <t>車輌番号/所有者</t>
  </si>
  <si>
    <t>付属品</t>
  </si>
  <si>
    <t>補足</t>
  </si>
  <si>
    <t>名義変更</t>
  </si>
  <si>
    <t>売上日/売上先</t>
  </si>
  <si>
    <t>入金日</t>
  </si>
  <si>
    <t>予定</t>
  </si>
  <si>
    <t>着</t>
  </si>
  <si>
    <t>付属品</t>
    <phoneticPr fontId="13"/>
  </si>
  <si>
    <t>車名</t>
    <rPh sb="0" eb="2">
      <t>シャメイ</t>
    </rPh>
    <phoneticPr fontId="13"/>
  </si>
  <si>
    <t>車台番号</t>
    <rPh sb="0" eb="4">
      <t>シャダイバンゴウ</t>
    </rPh>
    <phoneticPr fontId="13"/>
  </si>
  <si>
    <t>年式</t>
    <rPh sb="0" eb="2">
      <t>ネンシキ</t>
    </rPh>
    <phoneticPr fontId="13"/>
  </si>
  <si>
    <t>色</t>
    <rPh sb="0" eb="1">
      <t>イロ</t>
    </rPh>
    <phoneticPr fontId="13"/>
  </si>
  <si>
    <t>車検</t>
    <rPh sb="0" eb="2">
      <t>シャケン</t>
    </rPh>
    <phoneticPr fontId="13"/>
  </si>
  <si>
    <t>ナンバー</t>
    <phoneticPr fontId="13"/>
  </si>
  <si>
    <t>88’</t>
  </si>
  <si>
    <t>ｼﾄﾛｴﾝ　ﾁｬｰﾙｽﾄﾝMTｷｬﾝﾊﾞｽﾄｯﾌﾟ</t>
  </si>
  <si>
    <t>振り込み　735</t>
  </si>
  <si>
    <t>ｼｰﾄ修理　8000</t>
  </si>
  <si>
    <t>TAP出品　3675</t>
  </si>
  <si>
    <t>島根　50　さ　3593</t>
  </si>
  <si>
    <t>ﾜｲｽﾞ</t>
  </si>
  <si>
    <t>ｸﾞﾚｰ/ｸﾛ</t>
  </si>
  <si>
    <t>VF7AZKA00KA325440</t>
  </si>
  <si>
    <t>ﾘﾌﾄﾄｯﾌﾟ　64620+735</t>
  </si>
  <si>
    <t>ペイント　220500</t>
  </si>
  <si>
    <t>黒田商会　100800</t>
  </si>
  <si>
    <t>黒田商会　29400</t>
  </si>
  <si>
    <t>田原　秀行</t>
  </si>
  <si>
    <t>89’</t>
  </si>
  <si>
    <t>BMW　635CSI</t>
  </si>
  <si>
    <t>大阪　300　ま　4361</t>
  </si>
  <si>
    <t>HAA</t>
  </si>
  <si>
    <t>ﾛｲﾔﾙﾌﾞﾙｰ</t>
  </si>
  <si>
    <t>WBAEC890900766577</t>
  </si>
  <si>
    <t>抹消　685</t>
  </si>
  <si>
    <t>脇　厚生</t>
  </si>
  <si>
    <t>抹消済</t>
    <rPh sb="0" eb="2">
      <t>マッショウ</t>
    </rPh>
    <rPh sb="2" eb="3">
      <t>ズ</t>
    </rPh>
    <phoneticPr fontId="13"/>
  </si>
  <si>
    <t>95’</t>
  </si>
  <si>
    <t>ﾎﾞﾙﾎﾞ　ﾎﾟﾗｰﾙｴｽﾃｰﾄ</t>
  </si>
  <si>
    <t>姫路　300　て　6488</t>
  </si>
  <si>
    <t>ﾜｲﾝ</t>
    <phoneticPr fontId="13"/>
  </si>
  <si>
    <t>YV1945856S1133839</t>
  </si>
  <si>
    <t>商品車　2700+500</t>
  </si>
  <si>
    <t>HA出品（4回）　16800</t>
  </si>
  <si>
    <t>テール　10000</t>
  </si>
  <si>
    <t>自税　45000</t>
  </si>
  <si>
    <t>斎藤　祐一郎</t>
  </si>
  <si>
    <t>98’</t>
  </si>
  <si>
    <t>ｱｳﾃﾞｨA6　2.8ｸﾜﾄﾛ</t>
  </si>
  <si>
    <t>名古屋　302　に　5618</t>
  </si>
  <si>
    <t>ZIP大阪</t>
  </si>
  <si>
    <t>ｼﾙﾊﾞｰ</t>
  </si>
  <si>
    <t>WAUZZZ4BZWN155878</t>
  </si>
  <si>
    <t>抹消　850</t>
  </si>
  <si>
    <t>(株)ﾔﾅｾ</t>
    <phoneticPr fontId="13"/>
  </si>
  <si>
    <t>94’</t>
  </si>
  <si>
    <t>ｼﾞｬｶﾞｰ　XJ6</t>
  </si>
  <si>
    <t>横浜　34　た　1386</t>
  </si>
  <si>
    <t>JAA</t>
  </si>
  <si>
    <t>ｶﾞﾝﾒﾀ</t>
  </si>
  <si>
    <t>SAJJFKLD3AJ696574</t>
  </si>
  <si>
    <t>振り込　735　　　　　</t>
  </si>
  <si>
    <t>陸送　21000</t>
  </si>
  <si>
    <t>(株)ｳｯﾄﾞｽﾃｯｸ</t>
    <rPh sb="0" eb="3">
      <t>カブシキガイシャ</t>
    </rPh>
    <phoneticPr fontId="13"/>
  </si>
  <si>
    <t>保証書 取説</t>
    <rPh sb="0" eb="3">
      <t>ホショウショ</t>
    </rPh>
    <rPh sb="4" eb="5">
      <t>トリ</t>
    </rPh>
    <rPh sb="5" eb="6">
      <t>セツ</t>
    </rPh>
    <phoneticPr fontId="13"/>
  </si>
  <si>
    <t>01’</t>
  </si>
  <si>
    <t>ﾌﾟｼﾞｮｰ　406　ﾌﾞﾚｲｸ</t>
  </si>
  <si>
    <t>岡山　331　と　567</t>
  </si>
  <si>
    <t>ｵｰｸﾈｯﾄ</t>
    <phoneticPr fontId="13"/>
  </si>
  <si>
    <t>VF38ERFVP80452098</t>
  </si>
  <si>
    <t>商品車　2700+1440+500</t>
  </si>
  <si>
    <t>HA出品（4回）　22050</t>
  </si>
  <si>
    <t>TV出品（2回）　5906</t>
  </si>
  <si>
    <t>東合商事(株)</t>
  </si>
  <si>
    <t>取説 ｺｰﾄﾞｶｰﾄﾞ</t>
    <rPh sb="0" eb="1">
      <t>トリ</t>
    </rPh>
    <rPh sb="1" eb="2">
      <t>セツ</t>
    </rPh>
    <phoneticPr fontId="13"/>
  </si>
  <si>
    <t>ｼﾄﾛｴﾝ　C5　2.0</t>
  </si>
  <si>
    <t>品川　399　の　3789</t>
  </si>
  <si>
    <t>ｸﾞﾘｰﾝ</t>
  </si>
  <si>
    <t>VF7DCRFNE76078697</t>
  </si>
  <si>
    <t>TV出品　9825</t>
  </si>
  <si>
    <t>HA出品（6回）　33600</t>
  </si>
  <si>
    <t>(株)ｶﾞﾘﾊﾞｰｲﾝﾀｰﾅｼｮﾅﾙ</t>
    <phoneticPr fontId="13"/>
  </si>
  <si>
    <t>MﾍﾞﾝﾂE280</t>
  </si>
  <si>
    <t>姫路　300　は　7511</t>
  </si>
  <si>
    <t>日下</t>
  </si>
  <si>
    <t>WDB1240282C220293</t>
  </si>
  <si>
    <t>日下　正信</t>
  </si>
  <si>
    <t>ｱｳﾃﾞｨA6</t>
  </si>
  <si>
    <t>静岡　330　さ　545</t>
  </si>
  <si>
    <t>NAA名古屋</t>
  </si>
  <si>
    <t>WAUZZZ4BZXN000202</t>
  </si>
  <si>
    <t>振り込　630　　　　陸送　　　12600</t>
  </si>
  <si>
    <t>日産ﾌﾟﾘｳｽ静岡販売(株)</t>
    <phoneticPr fontId="13"/>
  </si>
  <si>
    <t>抹消済</t>
    <rPh sb="0" eb="3">
      <t>マッショウズ</t>
    </rPh>
    <phoneticPr fontId="13"/>
  </si>
  <si>
    <t>00’</t>
  </si>
  <si>
    <t>ｱｳﾃﾞｨA4 ｱﾊﾞﾝﾄ</t>
  </si>
  <si>
    <t>豊田　300　そ　4875</t>
  </si>
  <si>
    <t>ﾌﾞﾙｰ</t>
  </si>
  <si>
    <t>WAUZZZ8DZYA179174</t>
  </si>
  <si>
    <t>HAA出品(2回）11025</t>
    <rPh sb="7" eb="8">
      <t>カイ</t>
    </rPh>
    <phoneticPr fontId="13"/>
  </si>
  <si>
    <t>中央金属(株)</t>
  </si>
  <si>
    <t>04’</t>
  </si>
  <si>
    <t>ﾎﾞﾙﾎﾞ　S80　T-6</t>
  </si>
  <si>
    <t>神戸　399　は　3151</t>
  </si>
  <si>
    <t>紺</t>
  </si>
  <si>
    <t>YV1TS91J541365234</t>
  </si>
  <si>
    <t>(株)HAA神戸</t>
  </si>
  <si>
    <t>475回</t>
  </si>
  <si>
    <t>02’</t>
  </si>
  <si>
    <t>BMW　525I　ﾂｰﾘﾝｸﾞ</t>
  </si>
  <si>
    <t>神戸　399　は　4714</t>
  </si>
  <si>
    <t>WBADS42040BZ42098</t>
  </si>
  <si>
    <t>(株)ﾓﾄｰﾚﾝ兵庫</t>
    <rPh sb="0" eb="3">
      <t>カブシキガイシャ</t>
    </rPh>
    <rPh sb="8" eb="10">
      <t>ヒョウゴ</t>
    </rPh>
    <phoneticPr fontId="13"/>
  </si>
  <si>
    <t>保証書 取説(R4.1217探し中)</t>
    <rPh sb="0" eb="3">
      <t>ホショウショ</t>
    </rPh>
    <rPh sb="4" eb="5">
      <t>トリ</t>
    </rPh>
    <rPh sb="5" eb="6">
      <t>セツ</t>
    </rPh>
    <rPh sb="14" eb="15">
      <t>サガ</t>
    </rPh>
    <rPh sb="16" eb="17">
      <t>チュウ</t>
    </rPh>
    <phoneticPr fontId="13"/>
  </si>
  <si>
    <t>345回</t>
  </si>
  <si>
    <t>MﾍﾞﾝﾂE320　AVG</t>
  </si>
  <si>
    <t>川崎　399　た　9119</t>
  </si>
  <si>
    <t>USS横浜</t>
  </si>
  <si>
    <t>ｸﾞﾚｰ</t>
    <phoneticPr fontId="13"/>
  </si>
  <si>
    <t>WDB2102652B006681</t>
  </si>
  <si>
    <t>振り込　630</t>
  </si>
  <si>
    <t>(株)ﾜｰｸｽ横浜</t>
    <rPh sb="0" eb="3">
      <t>カブシキガイシャ</t>
    </rPh>
    <rPh sb="7" eb="9">
      <t>ヨコハマ</t>
    </rPh>
    <phoneticPr fontId="13"/>
  </si>
  <si>
    <t>371回</t>
  </si>
  <si>
    <t>03’</t>
  </si>
  <si>
    <t>Mﾍﾞﾝﾂ　E500　AVG</t>
  </si>
  <si>
    <t>浜松　330　ろ　215</t>
  </si>
  <si>
    <t>WDB2110702A146633</t>
  </si>
  <si>
    <t>市川　恭大</t>
  </si>
  <si>
    <t>保証書 ﾅﾋﾞﾛﾑ</t>
    <rPh sb="0" eb="3">
      <t>ホショウショ</t>
    </rPh>
    <phoneticPr fontId="13"/>
  </si>
  <si>
    <t>857回</t>
  </si>
  <si>
    <t>06’</t>
  </si>
  <si>
    <t>BMW　323I</t>
  </si>
  <si>
    <t>練馬　330　さ　3393</t>
  </si>
  <si>
    <t>USS東京</t>
  </si>
  <si>
    <t>ﾁﾀﾝｼﾙﾊﾞｰ</t>
  </si>
  <si>
    <t>WBAVB56020NK82324</t>
  </si>
  <si>
    <t>陸送　19425　　HAA出品（9回）　　50400</t>
  </si>
  <si>
    <t>（株）東立</t>
  </si>
  <si>
    <t>2722回</t>
  </si>
  <si>
    <t>ｱｳﾃﾞｨS4</t>
  </si>
  <si>
    <t>練馬　330　み　3710</t>
  </si>
  <si>
    <t>WAUZZZ8E75A041936</t>
  </si>
  <si>
    <t>東京ｽﾊﾞﾙ(株)</t>
    <rPh sb="0" eb="2">
      <t>トウキョウ</t>
    </rPh>
    <rPh sb="6" eb="9">
      <t>カブシキガイシャ</t>
    </rPh>
    <phoneticPr fontId="13"/>
  </si>
  <si>
    <t>保証書 取説 ｷｰﾚｽ</t>
    <rPh sb="0" eb="3">
      <t>ホショウショ</t>
    </rPh>
    <rPh sb="4" eb="5">
      <t>トリ</t>
    </rPh>
    <rPh sb="5" eb="6">
      <t>セツ</t>
    </rPh>
    <phoneticPr fontId="13"/>
  </si>
  <si>
    <t>639回</t>
  </si>
  <si>
    <t>MﾍﾞﾝﾂS600L</t>
  </si>
  <si>
    <t>名古屋　399　ら　7008</t>
  </si>
  <si>
    <t>WDB2201761A335167</t>
  </si>
  <si>
    <t>(株)ﾔﾅｾ</t>
    <rPh sb="0" eb="3">
      <t>カブシキガイシャ</t>
    </rPh>
    <phoneticPr fontId="13"/>
  </si>
  <si>
    <t>保証書 取説 ﾅﾋﾞﾛﾑ</t>
    <rPh sb="0" eb="3">
      <t>ホショウショ</t>
    </rPh>
    <rPh sb="4" eb="5">
      <t>トリ</t>
    </rPh>
    <rPh sb="5" eb="6">
      <t>セツ</t>
    </rPh>
    <phoneticPr fontId="13"/>
  </si>
  <si>
    <t>18/12</t>
    <phoneticPr fontId="13"/>
  </si>
  <si>
    <t>社</t>
    <rPh sb="0" eb="1">
      <t>シャ</t>
    </rPh>
    <phoneticPr fontId="13"/>
  </si>
  <si>
    <t>BMW335I</t>
  </si>
  <si>
    <t>練馬　301　ひ　7923</t>
  </si>
  <si>
    <t>WBAWB72010P051442</t>
  </si>
  <si>
    <t>野中　智子</t>
  </si>
  <si>
    <t>保証書 取説</t>
    <rPh sb="0" eb="3">
      <t>ホショウショ</t>
    </rPh>
    <rPh sb="4" eb="6">
      <t>トリセツ</t>
    </rPh>
    <phoneticPr fontId="13"/>
  </si>
  <si>
    <t>6973回</t>
  </si>
  <si>
    <t>18/5</t>
  </si>
  <si>
    <t>BMWﾐﾆｸｰﾊﾟｰ ｾﾌﾞﾝ</t>
  </si>
  <si>
    <t>三重　501　の　7990</t>
  </si>
  <si>
    <t>TAA中部</t>
  </si>
  <si>
    <t>WMWRC32010TJ27929</t>
  </si>
  <si>
    <t>ﾈｯﾂﾄﾖﾀ三重(株)</t>
    <rPh sb="6" eb="8">
      <t>ミエ</t>
    </rPh>
    <rPh sb="8" eb="11">
      <t>カブシキガイシャ</t>
    </rPh>
    <phoneticPr fontId="13"/>
  </si>
  <si>
    <t>702回</t>
  </si>
  <si>
    <t>19/4</t>
  </si>
  <si>
    <t>BMWﾐﾆｸｰﾊﾟｰS</t>
  </si>
  <si>
    <t>奈良　501　に　8805</t>
  </si>
  <si>
    <t>WMWMF72080TL38070</t>
  </si>
  <si>
    <t>奈良日産自動車（株）</t>
  </si>
  <si>
    <t>保証書　取説　ｷｰﾚｽ</t>
  </si>
  <si>
    <t>ﾜﾝｵｰﾅｰ</t>
    <phoneticPr fontId="13"/>
  </si>
  <si>
    <t>1762回</t>
  </si>
  <si>
    <t>17/8</t>
  </si>
  <si>
    <t>26/8</t>
  </si>
  <si>
    <t>大阪　539　さ　1107</t>
  </si>
  <si>
    <t>ﾍﾞｲｵｰｸ（まとめ）</t>
    <phoneticPr fontId="13"/>
  </si>
  <si>
    <t>ｼﾙﾊﾞｰⅡ</t>
  </si>
  <si>
    <t>WMWRC32020TJ23615</t>
  </si>
  <si>
    <t>柳別府　陸則</t>
  </si>
  <si>
    <t>713回</t>
  </si>
  <si>
    <t>21/3</t>
  </si>
  <si>
    <t>神戸　799　せ　471</t>
  </si>
  <si>
    <t>ｸﾞﾘｰﾝM</t>
  </si>
  <si>
    <t>WMWMF720X0TV02404</t>
  </si>
  <si>
    <t>(株)ﾓﾄｰﾚﾝ神戸</t>
    <rPh sb="0" eb="3">
      <t>カブシキガイシャ</t>
    </rPh>
    <rPh sb="8" eb="10">
      <t>コウベ</t>
    </rPh>
    <phoneticPr fontId="13"/>
  </si>
  <si>
    <t>1558回</t>
  </si>
  <si>
    <t>13/8</t>
  </si>
  <si>
    <t>ｽﾏｰﾄ ﾌﾞﾗﾊﾞｽ</t>
  </si>
  <si>
    <t>名古屋　501　は　9308</t>
  </si>
  <si>
    <t>USS名古屋</t>
  </si>
  <si>
    <t>ｲｴﾛｰ</t>
  </si>
  <si>
    <t>WME01MC01YH053792</t>
  </si>
  <si>
    <t>浅野　展充</t>
  </si>
  <si>
    <t>727回</t>
  </si>
  <si>
    <t>16/3</t>
  </si>
  <si>
    <t>BMW530i　ﾊｲﾗｲﾝ</t>
  </si>
  <si>
    <t>27/4</t>
  </si>
  <si>
    <t>足立　341　に　727</t>
  </si>
  <si>
    <t>WBANA72070B187344</t>
  </si>
  <si>
    <t>Jﾗｲﾝ（株）</t>
    <phoneticPr fontId="13"/>
  </si>
  <si>
    <t>保証書　ﾅﾋﾞﾛﾑ (R4.1217探し中)</t>
    <phoneticPr fontId="13"/>
  </si>
  <si>
    <t>739回</t>
  </si>
  <si>
    <t>19/12</t>
  </si>
  <si>
    <t>ﾐﾆｷｬﾌﾞ T</t>
  </si>
  <si>
    <t>広島　480　ろ　8120</t>
  </si>
  <si>
    <t>白</t>
  </si>
  <si>
    <t>U61T-1300225</t>
  </si>
  <si>
    <t>(株)ｶﾞﾘﾊﾞｰｲﾝﾀｰﾅｼｮﾅﾙ</t>
    <rPh sb="0" eb="3">
      <t>カブシキガイシャ</t>
    </rPh>
    <phoneticPr fontId="13"/>
  </si>
  <si>
    <t>537回</t>
  </si>
  <si>
    <t>20/1</t>
  </si>
  <si>
    <t>BMWﾐﾆ ﾜﾝ</t>
  </si>
  <si>
    <t>多摩　599　ま　8741</t>
  </si>
  <si>
    <t>WMWME32040TM72604</t>
  </si>
  <si>
    <t>（株）ﾓﾄｰﾚﾝ東名横浜</t>
    <phoneticPr fontId="13"/>
  </si>
  <si>
    <t>543回</t>
  </si>
  <si>
    <t>15/10</t>
  </si>
  <si>
    <t>ﾚﾝｼﾞﾛｰﾊﾞｰ　HSE</t>
  </si>
  <si>
    <t>習志野　399　に　4639</t>
  </si>
  <si>
    <t>SALLMAMA34A144036</t>
  </si>
  <si>
    <t>(株)ｴｺｽﾀｲﾙ</t>
    <rPh sb="0" eb="3">
      <t>カブシキガイシャ</t>
    </rPh>
    <phoneticPr fontId="13"/>
  </si>
  <si>
    <t>保証書　DVD　ｷｰﾚｽ</t>
  </si>
  <si>
    <t>1477回</t>
  </si>
  <si>
    <t>16/7</t>
  </si>
  <si>
    <t>BMW　Z4</t>
  </si>
  <si>
    <t>大阪　376　な　18</t>
  </si>
  <si>
    <t>ﾊﾅﾃﾝ</t>
    <phoneticPr fontId="13"/>
  </si>
  <si>
    <t>WBABT12080LR01261</t>
  </si>
  <si>
    <t>(株)ﾊﾅﾃﾝ</t>
    <rPh sb="0" eb="3">
      <t>カブシキガイシャ</t>
    </rPh>
    <phoneticPr fontId="13"/>
  </si>
  <si>
    <t>保証書　取説 ﾌﾟﾗｷｰ</t>
    <phoneticPr fontId="13"/>
  </si>
  <si>
    <t>802回</t>
  </si>
  <si>
    <t>16/11</t>
  </si>
  <si>
    <t>MﾍﾞﾝﾂE320</t>
  </si>
  <si>
    <t>27/11</t>
  </si>
  <si>
    <t>神戸　302　ら　4691</t>
  </si>
  <si>
    <t>ZIP</t>
  </si>
  <si>
    <t>WDB2110652A672926</t>
  </si>
  <si>
    <t>保証書　取説　ｷｰﾚｽ　ﾅﾋﾞﾛﾑ</t>
  </si>
  <si>
    <t>484回</t>
  </si>
  <si>
    <t>18/10</t>
  </si>
  <si>
    <t>Mﾍﾞﾝﾂ　GL550</t>
  </si>
  <si>
    <t>姫路　330　つ　637</t>
  </si>
  <si>
    <t>USS神戸</t>
  </si>
  <si>
    <t>WDC1648861A133695</t>
  </si>
  <si>
    <t>浜川　滋之</t>
  </si>
  <si>
    <t>567回</t>
  </si>
  <si>
    <t>21/5</t>
  </si>
  <si>
    <t>BMW525I　ﾂｰﾘﾝｸﾞ　Mｽﾎﾟｰﾂ</t>
  </si>
  <si>
    <t>28/3</t>
  </si>
  <si>
    <t>品川　356　み　72</t>
  </si>
  <si>
    <t>ｸﾞﾚｰ</t>
  </si>
  <si>
    <t>WBAPU520X0CX91047</t>
  </si>
  <si>
    <t>(有)三英ｵｰﾄ</t>
    <phoneticPr fontId="13"/>
  </si>
  <si>
    <t>保証書　取説　ｷｰﾚｽ　ﾌﾟﾗｷｰ</t>
  </si>
  <si>
    <t>25/5</t>
  </si>
  <si>
    <t>BMW650I</t>
  </si>
  <si>
    <t>28/5</t>
  </si>
  <si>
    <t>三重　301　ほ　9480</t>
  </si>
  <si>
    <t>378 せ 5</t>
    <phoneticPr fontId="13"/>
  </si>
  <si>
    <t>業販</t>
    <rPh sb="0" eb="2">
      <t>ギョウハン</t>
    </rPh>
    <phoneticPr fontId="13"/>
  </si>
  <si>
    <t>黒</t>
    <rPh sb="0" eb="1">
      <t>クロ</t>
    </rPh>
    <phoneticPr fontId="13"/>
  </si>
  <si>
    <t>WBA6B21070D144990</t>
  </si>
  <si>
    <t>株式会社ｱｵﾔﾏ</t>
  </si>
  <si>
    <t>555回</t>
  </si>
  <si>
    <t>22/12</t>
  </si>
  <si>
    <t>BMWﾐﾆｸｰﾊﾟｰ</t>
  </si>
  <si>
    <t>岡山　599　つ　620</t>
  </si>
  <si>
    <t>LAA関西</t>
    <phoneticPr fontId="13"/>
  </si>
  <si>
    <t>WMWSU32020TY89634</t>
  </si>
  <si>
    <t>(株)ｼﾃｨﾗｲﾄ</t>
    <rPh sb="0" eb="3">
      <t>カブシキガイシャ</t>
    </rPh>
    <phoneticPr fontId="13"/>
  </si>
  <si>
    <t>保証書　取説</t>
  </si>
  <si>
    <t>1594回</t>
  </si>
  <si>
    <t>24/12</t>
  </si>
  <si>
    <t>BMWﾐﾆ　ｸｰﾊﾟｰS　ｸﾛｽｵｰﾊﾞｰ</t>
  </si>
  <si>
    <t>尾張小牧　399　と　4667</t>
  </si>
  <si>
    <t>　</t>
  </si>
  <si>
    <t>赤</t>
  </si>
  <si>
    <t>WMWZC32080WN02424</t>
  </si>
  <si>
    <t>株式会社名鉄ｱｵﾄ</t>
    <rPh sb="0" eb="4">
      <t>カブシキガイシャ</t>
    </rPh>
    <rPh sb="4" eb="6">
      <t>メイテツ</t>
    </rPh>
    <phoneticPr fontId="13"/>
  </si>
  <si>
    <t>1070回</t>
  </si>
  <si>
    <t>19/5</t>
  </si>
  <si>
    <t>BMWﾐﾆ ｸｰﾊﾟｰS</t>
  </si>
  <si>
    <t>所沢　599　と　5615</t>
  </si>
  <si>
    <t>WMWMF72060TL38195</t>
  </si>
  <si>
    <t>株式会社ﾕｰﾊﾟｰｸ</t>
    <rPh sb="0" eb="4">
      <t>カブシキガイシャ</t>
    </rPh>
    <phoneticPr fontId="13"/>
  </si>
  <si>
    <t>846回</t>
  </si>
  <si>
    <t>23/5</t>
  </si>
  <si>
    <t>ｱｳﾃﾞｨA5　SB　2.0TFSI</t>
  </si>
  <si>
    <t>神戸　329　さ　6761</t>
  </si>
  <si>
    <t>ﾍﾞｰｼﾞｭ</t>
  </si>
  <si>
    <t>WAUZZZ8T4BA072233</t>
  </si>
  <si>
    <t>保証書　取説　ｷｰﾚｽ　ﾌﾟﾗｷｰ　B-CAS</t>
  </si>
  <si>
    <t>1647回</t>
  </si>
  <si>
    <t>21/12</t>
  </si>
  <si>
    <t>VWｺﾞﾙﾌ　GTI</t>
  </si>
  <si>
    <t>28/12</t>
  </si>
  <si>
    <t>三河　301　る　5450</t>
  </si>
  <si>
    <t>WVWZZZ1KZAW043217</t>
  </si>
  <si>
    <t>山下　雄也</t>
  </si>
  <si>
    <t>813回</t>
  </si>
  <si>
    <t>ﾃﾞｨｽｶﾊﾞﾘｰ　4.0　HSE</t>
  </si>
  <si>
    <t>30/2</t>
  </si>
  <si>
    <t>徳島　300　ぬ　2231</t>
  </si>
  <si>
    <t>SALLTAMP34A837027</t>
  </si>
  <si>
    <t>中田　和子</t>
  </si>
  <si>
    <t>847回</t>
  </si>
  <si>
    <t>23/3</t>
  </si>
  <si>
    <t>BMWﾐﾆ ｸﾛｽｵｰﾊﾞｰ</t>
  </si>
  <si>
    <t>30/3</t>
  </si>
  <si>
    <t>横浜　331　ひ　7033</t>
  </si>
  <si>
    <t>MIRIVE（まとめ）</t>
  </si>
  <si>
    <t>赤Ⅱ</t>
  </si>
  <si>
    <t>WMWZC32080WH97320</t>
  </si>
  <si>
    <t>谷口　直樹</t>
  </si>
  <si>
    <t>987回</t>
  </si>
  <si>
    <t>18/6</t>
  </si>
  <si>
    <t>29/6</t>
  </si>
  <si>
    <t>愛媛　501　ね　4086</t>
  </si>
  <si>
    <t>USS岡山</t>
  </si>
  <si>
    <t>WMWRC32080TJ30004</t>
  </si>
  <si>
    <t>株式会社ｶﾞﾘｵｺｰﾎﾟﾚｰｼｮﾝ</t>
    <rPh sb="0" eb="4">
      <t>カブシキガイシャ</t>
    </rPh>
    <phoneticPr fontId="13"/>
  </si>
  <si>
    <t>766回</t>
  </si>
  <si>
    <t>15/4</t>
  </si>
  <si>
    <t>ﾚﾝｼﾞﾛｰﾊﾞｰ　VOGUE</t>
  </si>
  <si>
    <t>福岡　301　ゆ　7514</t>
  </si>
  <si>
    <t>TAA九州</t>
  </si>
  <si>
    <t>SALLMAMA33A128638</t>
  </si>
  <si>
    <t>八尋　邦晃</t>
  </si>
  <si>
    <t>12/3</t>
  </si>
  <si>
    <t>VWﾊﾞｽ</t>
  </si>
  <si>
    <t>島根　500　す　6581</t>
  </si>
  <si>
    <t>ｵｰﾄｻﾛﾝﾜｲｽﾞ</t>
    <phoneticPr fontId="13"/>
  </si>
  <si>
    <t>白/ﾌﾞﾙｰ</t>
  </si>
  <si>
    <t>佐藤　由美子</t>
  </si>
  <si>
    <t>553回</t>
  </si>
  <si>
    <t>15/6</t>
  </si>
  <si>
    <t>ﾗﾝﾄﾞﾛｰﾊﾞｰ　ﾃﾞｨｽｶﾊﾞﾘｰ　HSE</t>
  </si>
  <si>
    <t>大宮　300　も　3441</t>
  </si>
  <si>
    <t>TAA横浜</t>
  </si>
  <si>
    <t>SALLTAMP33A818771</t>
  </si>
  <si>
    <t>埼玉ﾄﾖﾍﾟｯﾄ(株)</t>
    <rPh sb="0" eb="2">
      <t>サイタマ</t>
    </rPh>
    <rPh sb="8" eb="11">
      <t>カブシキガイシャ</t>
    </rPh>
    <phoneticPr fontId="13"/>
  </si>
  <si>
    <t>1664回</t>
  </si>
  <si>
    <t>5/7</t>
  </si>
  <si>
    <t>VWｺﾞﾙﾌ　ｶﾌﾞﾘｵﾚ　ｸﾗｼｯｸﾗｲﾝ</t>
  </si>
  <si>
    <t>30/7</t>
  </si>
  <si>
    <t>なにわ　582　ぬ　2010</t>
  </si>
  <si>
    <t>WVWZZZ15ZPK012768</t>
  </si>
  <si>
    <t>林　曜子</t>
  </si>
  <si>
    <t>ﾅﾋﾞ取 ﾓﾆﾀｰ ｽﾍﾟｱｷｰ 他ｷｰ</t>
    <phoneticPr fontId="13"/>
  </si>
  <si>
    <t>833回</t>
  </si>
  <si>
    <t>24</t>
  </si>
  <si>
    <t>ｷｬﾘｰT　KC</t>
  </si>
  <si>
    <t>香川　480　む　777</t>
  </si>
  <si>
    <t>DA63T-747080</t>
  </si>
  <si>
    <t>岡田　忍</t>
  </si>
  <si>
    <t>836回</t>
  </si>
  <si>
    <t>19/11</t>
  </si>
  <si>
    <t>MRﾜｺﾞﾝ ｳｨｯﾄ</t>
  </si>
  <si>
    <t>豊橋　580　く　4478</t>
  </si>
  <si>
    <t>車輌なし</t>
    <rPh sb="0" eb="2">
      <t>シャリョウ</t>
    </rPh>
    <phoneticPr fontId="16"/>
  </si>
  <si>
    <t>ﾊﾟｰﾌﾟﾙ</t>
  </si>
  <si>
    <t>MF22S-621605</t>
  </si>
  <si>
    <t>東愛知日産自動車（株）</t>
  </si>
  <si>
    <t>22</t>
  </si>
  <si>
    <t>ﾊﾟﾚｯﾄSW TS</t>
  </si>
  <si>
    <t>29/4</t>
  </si>
  <si>
    <t>福井　580　ひ　4448</t>
  </si>
  <si>
    <t>MK21S-364533</t>
  </si>
  <si>
    <t>（株）ｽｽﾞｷｱﾘｰﾅ福井中央</t>
    <phoneticPr fontId="13"/>
  </si>
  <si>
    <t>保証書　取説　ﾅﾋﾞ取　ｷｰﾚｽ　ｽﾀｰﾀｰﾘﾓｺﾝ</t>
    <phoneticPr fontId="13"/>
  </si>
  <si>
    <t>26/7</t>
  </si>
  <si>
    <t>BMW　M4　ｸｰﾍﾟ</t>
  </si>
  <si>
    <t>29/7</t>
  </si>
  <si>
    <t>大阪　363　ま　4</t>
  </si>
  <si>
    <t>振込￥324</t>
  </si>
  <si>
    <t>346 や 4</t>
    <phoneticPr fontId="13"/>
  </si>
  <si>
    <t>業販　ﾌﾟﾛｽﾀｯﾌ</t>
  </si>
  <si>
    <t>WBS3R92090F708144</t>
  </si>
  <si>
    <t>ﾌﾟﾛｽﾀｯﾌ（株）</t>
  </si>
  <si>
    <t>1112回</t>
  </si>
  <si>
    <t>16/1</t>
  </si>
  <si>
    <t>ﾃﾞｨｽｶﾊﾞﾘｰ　HSE</t>
  </si>
  <si>
    <t>習志野　301　せ　7498</t>
  </si>
  <si>
    <t>SALLTAMP33A826869</t>
  </si>
  <si>
    <t>猪股　正博</t>
  </si>
  <si>
    <t>保証書　取説　ｷｰﾚｽ　HDD　ﾘﾓｺﾝ×5　ﾓﾆﾀｰ</t>
  </si>
  <si>
    <t>16/9</t>
  </si>
  <si>
    <t>29/9</t>
  </si>
  <si>
    <t>愛媛　300　ほ　9626</t>
  </si>
  <si>
    <t>SALLTAMP34A830553</t>
  </si>
  <si>
    <t>白川　淳</t>
  </si>
  <si>
    <t>保証書　取説　ナビ取　ｷｰﾚｽ</t>
  </si>
  <si>
    <t>1572回</t>
  </si>
  <si>
    <t>26/4</t>
  </si>
  <si>
    <t>BMWﾐﾆ ｸﾗﾌﾞﾏﾝ</t>
  </si>
  <si>
    <t>福岡　599　り　5723</t>
  </si>
  <si>
    <t>WMWZF32040T812837</t>
  </si>
  <si>
    <t>株式会社ﾋﾞｯｸﾞﾓｰﾀｰ</t>
    <rPh sb="0" eb="4">
      <t>カブシキガイシャ</t>
    </rPh>
    <phoneticPr fontId="13"/>
  </si>
  <si>
    <t>1685回</t>
  </si>
  <si>
    <t>18/3</t>
  </si>
  <si>
    <t>ﾃﾞｨｽｶﾊﾞﾘｰ　Ⅲ　SE</t>
  </si>
  <si>
    <t>千葉　399　り　4834</t>
  </si>
  <si>
    <t>SALLAJA436A375064</t>
  </si>
  <si>
    <t>（株）ＩＤＯＭ</t>
  </si>
  <si>
    <t>保証書　取説　ﾅﾋﾞ取　ﾓﾆﾀｰ</t>
    <phoneticPr fontId="13"/>
  </si>
  <si>
    <t>1575回</t>
  </si>
  <si>
    <t>BMWﾐﾆ　ｸｰﾊﾟｰS</t>
    <phoneticPr fontId="13"/>
  </si>
  <si>
    <t>神戸　503　ぬ　988</t>
  </si>
  <si>
    <t>Lﾌﾞﾙｰ</t>
  </si>
  <si>
    <t>WMWRE32000TC80489</t>
  </si>
  <si>
    <t>株式会社ﾋﾞｰｴﾑﾊﾅﾃﾝ</t>
    <rPh sb="0" eb="4">
      <t>カブシキガイシャ</t>
    </rPh>
    <phoneticPr fontId="13"/>
  </si>
  <si>
    <t>886回</t>
  </si>
  <si>
    <t>1/10</t>
  </si>
  <si>
    <t>ﾊﾟｵ ｷｬﾝﾊﾟｽﾄｯﾌﾟ</t>
    <phoneticPr fontId="13"/>
  </si>
  <si>
    <t>30/10</t>
  </si>
  <si>
    <t>所沢　56　ろ　2337</t>
  </si>
  <si>
    <t>MIRIVE</t>
  </si>
  <si>
    <t>PK10-007074</t>
  </si>
  <si>
    <t>山田　全彦</t>
  </si>
  <si>
    <t>保証書 取説 ｽﾍﾟｱｷｰ ﾜﾝｵｰﾅｰ</t>
    <rPh sb="0" eb="3">
      <t>ホショウショ</t>
    </rPh>
    <rPh sb="4" eb="5">
      <t>トリ</t>
    </rPh>
    <rPh sb="5" eb="6">
      <t>セツ</t>
    </rPh>
    <phoneticPr fontId="13"/>
  </si>
  <si>
    <t>860回</t>
  </si>
  <si>
    <t>19/8</t>
  </si>
  <si>
    <t>30/9</t>
  </si>
  <si>
    <t>大阪　530　た　8605</t>
  </si>
  <si>
    <t>青Ⅱ</t>
  </si>
  <si>
    <t>WMWMF720X0TL39818</t>
  </si>
  <si>
    <t>株式会社ﾓﾄｰﾚﾝ阪神</t>
    <rPh sb="0" eb="4">
      <t>カブシキガイシャ</t>
    </rPh>
    <rPh sb="9" eb="11">
      <t>ハンシン</t>
    </rPh>
    <phoneticPr fontId="13"/>
  </si>
  <si>
    <t>保証書　取説　ﾅﾋﾞ取　ｷｰﾚｽ</t>
    <phoneticPr fontId="13"/>
  </si>
  <si>
    <t>862回</t>
  </si>
  <si>
    <t>22/4</t>
  </si>
  <si>
    <t>Mﾍﾞﾝﾂ　E63　AMG</t>
  </si>
  <si>
    <t>なにわ　334　ひ　623</t>
  </si>
  <si>
    <t>黒</t>
  </si>
  <si>
    <t>WDD2120772A141237</t>
  </si>
  <si>
    <t>大坂ﾄﾖﾀ自動車(株)</t>
    <rPh sb="0" eb="2">
      <t>オオサカ</t>
    </rPh>
    <rPh sb="5" eb="8">
      <t>ジドウシャ</t>
    </rPh>
    <rPh sb="8" eb="11">
      <t>カブシキガイシャ</t>
    </rPh>
    <phoneticPr fontId="13"/>
  </si>
  <si>
    <t>保証書　取説　ｽﾀｰﾄﾎﾞﾀﾝ　ｷｰﾚｽ</t>
  </si>
  <si>
    <t>1129回</t>
  </si>
  <si>
    <t>21/9</t>
  </si>
  <si>
    <t>ﾌｨｱｯﾄ500　1.2　8V　ﾎﾟｯﾌﾟ</t>
  </si>
  <si>
    <t>千葉　599　る　9790</t>
  </si>
  <si>
    <t>ZFA31200000298276</t>
  </si>
  <si>
    <t>(株)IDOM</t>
  </si>
  <si>
    <t>保証書　取説　ｽﾍﾟｱｷｰ</t>
  </si>
  <si>
    <t>660回</t>
  </si>
  <si>
    <t>3/10</t>
  </si>
  <si>
    <t>ﾌｨｶﾞﾛ</t>
  </si>
  <si>
    <t>足立　53　ひ　6314</t>
  </si>
  <si>
    <t>Lｸﾞﾘｰﾝ</t>
  </si>
  <si>
    <t>FK10-012860</t>
  </si>
  <si>
    <t>青木　正廷</t>
  </si>
  <si>
    <t>保証書　ｽﾍﾟｱｷｰX2</t>
  </si>
  <si>
    <t>592回</t>
  </si>
  <si>
    <t>S62/10</t>
  </si>
  <si>
    <t>BE-1　ｷｬﾝﾊﾞｽﾄｯﾌﾟ</t>
  </si>
  <si>
    <t>福井　56　ろ　253</t>
  </si>
  <si>
    <t>BK10-005136</t>
  </si>
  <si>
    <t>(有)前田高級鈑金</t>
  </si>
  <si>
    <t>9/21</t>
  </si>
  <si>
    <t>1713回</t>
  </si>
  <si>
    <t>22/5</t>
  </si>
  <si>
    <t>BMWﾐﾆ ｸｰﾊﾟｰ</t>
  </si>
  <si>
    <t>なにわ　779　ゆ　1935</t>
  </si>
  <si>
    <t>ｸﾞﾚｰⅡ</t>
  </si>
  <si>
    <t>WMWSU32010TY92864</t>
  </si>
  <si>
    <t>(株)はなまる</t>
  </si>
  <si>
    <t>10/5</t>
  </si>
  <si>
    <t>881回</t>
  </si>
  <si>
    <t>27/9</t>
  </si>
  <si>
    <t>なにわ 301 に 3411</t>
  </si>
  <si>
    <t>取説 保証書 ﾜﾝｵｰﾅｰ ﾕｰｻﾞｰ</t>
  </si>
  <si>
    <t>ﾌﾞﾗｯｸ</t>
  </si>
  <si>
    <t>WMWXS720602C47137</t>
  </si>
  <si>
    <t>ﾋﾞｰ･ｴﾑ･ﾀﾞﾌﾞﾘｭｰ･ｼﾞｬﾊﾟﾝ･ﾌｧｲﾅﾝｽ㈱</t>
  </si>
  <si>
    <t>10/23</t>
  </si>
  <si>
    <t>取説 保証書 ｷｰﾚｽ ﾜﾝｵｰﾅｰ</t>
  </si>
  <si>
    <t>914回</t>
  </si>
  <si>
    <t>18/2</t>
  </si>
  <si>
    <t>BMW Z4 2.5i</t>
  </si>
  <si>
    <t>京都 302 す 3352</t>
  </si>
  <si>
    <t>ﾅﾋﾞﾛﾑ ﾎﾟｰﾀﾌﾞﾙﾅﾋﾞ</t>
  </si>
  <si>
    <t>ﾅﾋﾞﾛﾑ置いてあるところに一緒にあります</t>
  </si>
  <si>
    <t>WBABT32090LS24426</t>
  </si>
  <si>
    <t>㈱服部ﾓｰﾀｰ商会</t>
  </si>
  <si>
    <t>10/27</t>
  </si>
  <si>
    <t>ｷｰﾚｽ ﾅﾋﾞﾛﾑ ﾓﾆﾀｰ</t>
  </si>
  <si>
    <t>1717回</t>
  </si>
  <si>
    <t>27/3</t>
  </si>
  <si>
    <t>三河 330 は 5315</t>
  </si>
  <si>
    <t>取説 保証書 ｷｰﾚｽ ﾜﾝｵｰﾅｰ ﾕｰｻﾞｰ</t>
    <phoneticPr fontId="13"/>
  </si>
  <si>
    <t>社用車</t>
  </si>
  <si>
    <t>WMWXS720702B60251</t>
  </si>
  <si>
    <t>松井 彰</t>
  </si>
  <si>
    <t>11/2</t>
  </si>
  <si>
    <t>保証書 取説 ｷｰﾚｽ ﾜﾝｵｰﾅｰ</t>
    <rPh sb="0" eb="3">
      <t>ホショウショ</t>
    </rPh>
    <rPh sb="4" eb="5">
      <t>トリ</t>
    </rPh>
    <rPh sb="5" eb="6">
      <t>セツ</t>
    </rPh>
    <phoneticPr fontId="13"/>
  </si>
  <si>
    <t>R3.4月抹消済</t>
    <rPh sb="4" eb="5">
      <t>ガツ</t>
    </rPh>
    <rPh sb="5" eb="8">
      <t>マッショウズ</t>
    </rPh>
    <phoneticPr fontId="13"/>
  </si>
  <si>
    <t>1148回</t>
  </si>
  <si>
    <t>26/11</t>
  </si>
  <si>
    <t>千葉 381 さ 1</t>
  </si>
  <si>
    <t>保証書 取説 ﾜﾝｵｰﾅｰ ﾕｰｻﾞｰ</t>
    <rPh sb="0" eb="3">
      <t>ホショウショ</t>
    </rPh>
    <rPh sb="4" eb="5">
      <t>トリ</t>
    </rPh>
    <rPh sb="5" eb="6">
      <t>セツ</t>
    </rPh>
    <phoneticPr fontId="13"/>
  </si>
  <si>
    <t>WMWXS72030T849453</t>
  </si>
  <si>
    <t>㈱ﾓﾄｰﾚﾝﾚﾋﾟｵ</t>
  </si>
  <si>
    <t>11/10</t>
  </si>
  <si>
    <t>保証書 取説 ｷｰﾚｽ ﾘﾓｺﾝ ﾜﾝｵｰﾅｰ</t>
    <rPh sb="0" eb="3">
      <t>ホショウショ</t>
    </rPh>
    <rPh sb="4" eb="5">
      <t>トリ</t>
    </rPh>
    <rPh sb="5" eb="6">
      <t>セツ</t>
    </rPh>
    <phoneticPr fontId="13"/>
  </si>
  <si>
    <t>968回</t>
  </si>
  <si>
    <t>BMWﾐﾆｸｰﾊﾟｰSﾍﾟｯﾊﾟｰPKG</t>
  </si>
  <si>
    <t>31/3</t>
  </si>
  <si>
    <t>室蘭 330 な 1962</t>
  </si>
  <si>
    <t>取説 保証書 ｽﾍﾟｱｷｰ ﾜﾝｵｰﾅｰ</t>
  </si>
  <si>
    <t>名変期限1/12</t>
  </si>
  <si>
    <t>USS札幌</t>
  </si>
  <si>
    <t>ﾎﾜｲﾄⅡ</t>
  </si>
  <si>
    <t>WMWXM720602A77968</t>
  </si>
  <si>
    <t>12/16</t>
  </si>
  <si>
    <t>R3.5月抹消済</t>
  </si>
  <si>
    <t>922回</t>
  </si>
  <si>
    <t>24/3</t>
  </si>
  <si>
    <t>BMW　523iMｽﾎﾟｰﾂﾊﾟｯｹｰｼﾞ</t>
  </si>
  <si>
    <t>神戸　303　に　6368</t>
  </si>
  <si>
    <t>保証書　取説　ﾜﾝｵｰﾅｰ</t>
  </si>
  <si>
    <t>WBAXG12050DW34455</t>
  </si>
  <si>
    <t>㈱ﾔﾅｾ</t>
  </si>
  <si>
    <t>12/23</t>
  </si>
  <si>
    <t>1155回</t>
  </si>
  <si>
    <t>21/2</t>
  </si>
  <si>
    <t>ｱｳﾃﾞｨA4ｱﾊﾞﾝﾄ1.8TFSI SﾗｲﾝPKG</t>
  </si>
  <si>
    <t>八王子 399 ち 2616</t>
  </si>
  <si>
    <t>保証書 取説 ﾅﾋﾞﾛﾑ B-CAS ｽﾍﾟｱｷｰ</t>
    <rPh sb="0" eb="3">
      <t>ホショウショ</t>
    </rPh>
    <rPh sb="4" eb="5">
      <t>トリ</t>
    </rPh>
    <rPh sb="5" eb="6">
      <t>セツ</t>
    </rPh>
    <phoneticPr fontId="13"/>
  </si>
  <si>
    <t>ﾎﾜｲﾄ</t>
  </si>
  <si>
    <t>WAUZZZ8K49A159373</t>
  </si>
  <si>
    <t>株式会社村内外車ｾﾝﾀｰ</t>
  </si>
  <si>
    <t>12/28</t>
  </si>
  <si>
    <t>保証書 取説 ｷｰﾚｽ B-CAS ﾅﾋﾞﾛﾑ ﾜﾝｵｰﾅｰ</t>
  </si>
  <si>
    <t>1616回</t>
  </si>
  <si>
    <t>22/11</t>
  </si>
  <si>
    <t>BMWﾐﾆｸﾗﾌﾞﾏﾝ ｸｰﾊﾟｰS  SOHOﾊﾟｯｹｰｼﾞ</t>
    <phoneticPr fontId="13"/>
  </si>
  <si>
    <t>大阪 531 す 4416</t>
  </si>
  <si>
    <t>ﾜﾝｵｰﾅｰ ﾕｰｻﾞｰ ﾅﾋﾞﾓﾆﾀｰ ｷｰﾚｽ 取説 保証書</t>
  </si>
  <si>
    <t>関西松原</t>
  </si>
  <si>
    <t>ﾎﾜｲﾄｼﾙﾊﾞｰ</t>
  </si>
  <si>
    <t>WMWZG32090TZ03759</t>
  </si>
  <si>
    <t>大阪ﾏﾂﾀﾞ販売株式会社</t>
  </si>
  <si>
    <t>1/16</t>
  </si>
  <si>
    <t>ﾅﾋﾞﾓﾆﾀｰ ｷｰﾚｽ ﾅﾋﾞ取 保証書 取説 ﾜﾝｵｰﾅｰ ﾕｰｻﾞｰ</t>
  </si>
  <si>
    <t>1160回</t>
  </si>
  <si>
    <t>BMW M135i</t>
  </si>
  <si>
    <t>31/7</t>
  </si>
  <si>
    <t>世田谷 300 そ 3274</t>
  </si>
  <si>
    <t>保証書 ﾜﾝｵｰﾅｰ ｷｰﾚｽ 取説</t>
  </si>
  <si>
    <t>WBA1B72060P594618</t>
  </si>
  <si>
    <t>株式会社 ﾌﾚﾝﾄﾞﾓｰﾀｰｽ</t>
  </si>
  <si>
    <t>2/10</t>
  </si>
  <si>
    <t>保証書 取説 ﾜﾝｵｰﾅｰ ｷｰﾚｽ</t>
  </si>
  <si>
    <t>902回</t>
  </si>
  <si>
    <t>ﾌｨｶﾞﾛ ｵｰﾌﾟﾝﾄｯﾌﾟﾀｰﾎﾞ</t>
  </si>
  <si>
    <t>30/11</t>
  </si>
  <si>
    <t>神戸 504 ち 9054</t>
  </si>
  <si>
    <t>取説 保証書 ﾓﾆﾀｰ</t>
  </si>
  <si>
    <t>ﾗｲﾄﾌﾞﾙｰ</t>
  </si>
  <si>
    <t>FK10-016486</t>
  </si>
  <si>
    <t>株式会社 ｸｲﾝｵｰﾄ</t>
  </si>
  <si>
    <t>3/24</t>
  </si>
  <si>
    <t>取説 保証書 ﾓﾆﾀｰ ｽﾍﾟｱｷｰ ×</t>
  </si>
  <si>
    <t>1954回</t>
  </si>
  <si>
    <t>21/11</t>
  </si>
  <si>
    <t>ｱｳﾃﾞｨA5 3.2FSIｸﾜﾄﾛ</t>
  </si>
  <si>
    <t>広島 376 ひ 1001</t>
  </si>
  <si>
    <t xml:space="preserve">取説 保証書 </t>
  </si>
  <si>
    <t>ﾍﾞｲｵｰｸ</t>
  </si>
  <si>
    <t>WAUZZZ8T19A030693</t>
  </si>
  <si>
    <t>株式会社 JCM</t>
  </si>
  <si>
    <t>4/8</t>
  </si>
  <si>
    <t>取説 保証書 ｷｰﾚｽ ×</t>
  </si>
  <si>
    <t>1172回</t>
  </si>
  <si>
    <t>ｱｳﾃﾞｨA4ｱﾊﾞﾝﾄ 1.8TFSI</t>
    <phoneticPr fontId="13"/>
  </si>
  <si>
    <t>練馬 301 や 8339</t>
  </si>
  <si>
    <t>当日抹消</t>
  </si>
  <si>
    <t>WAUZZZ8K79A126528</t>
  </si>
  <si>
    <t>株式会社 ｼｰｽｸｴｱ</t>
  </si>
  <si>
    <t>5/10</t>
  </si>
  <si>
    <t>取説 保証書 ×</t>
  </si>
  <si>
    <t>1744回</t>
  </si>
  <si>
    <t>17/12</t>
  </si>
  <si>
    <t>ﾚﾝｼﾞﾛｰﾊﾞｰｽﾎﾟｰﾂ HSE</t>
  </si>
  <si>
    <t>30/12</t>
  </si>
  <si>
    <t>岡山 349 と 5678</t>
  </si>
  <si>
    <t>SALLSJA536A923664</t>
  </si>
  <si>
    <t>株式会社 ｱﾌﾟﾗｽ</t>
  </si>
  <si>
    <t>6/3</t>
  </si>
  <si>
    <t>ﾓﾆﾀｰ 取説 保証書 ｷｰﾚｽ ﾘﾓｺﾝ</t>
  </si>
  <si>
    <t>ﾓﾆﾀｰ店長に渡しました</t>
  </si>
  <si>
    <t>951回</t>
  </si>
  <si>
    <t>BMWﾐﾆｸｰﾊﾟｰSｸﾗﾌﾞﾏﾝ</t>
  </si>
  <si>
    <t>31/12</t>
  </si>
  <si>
    <t>京都 330 と 7754</t>
  </si>
  <si>
    <t>WMWLN720102D97064</t>
  </si>
  <si>
    <t>株式会社 服部ﾓｰﾀｰ商会</t>
  </si>
  <si>
    <t>8/3</t>
  </si>
  <si>
    <t>取説ZIPで使用</t>
    <rPh sb="0" eb="2">
      <t>トリセツ</t>
    </rPh>
    <rPh sb="6" eb="8">
      <t>シヨウ</t>
    </rPh>
    <phoneticPr fontId="13"/>
  </si>
  <si>
    <t>R3.8月抹消済</t>
    <rPh sb="4" eb="5">
      <t>ガツ</t>
    </rPh>
    <rPh sb="5" eb="8">
      <t>マッショウズ</t>
    </rPh>
    <phoneticPr fontId="13"/>
  </si>
  <si>
    <t>1980回</t>
  </si>
  <si>
    <t>18/11</t>
  </si>
  <si>
    <t>ｴﾌﾞﾘｲﾜｺﾞﾝ PZﾀｰﾎﾞｽﾍﾟｼｬﾙ</t>
  </si>
  <si>
    <t>31/11/23</t>
  </si>
  <si>
    <t>奈良 584 せ 725</t>
  </si>
  <si>
    <t>取説 保証書 記録簿</t>
  </si>
  <si>
    <t>DA64W-164309</t>
  </si>
  <si>
    <t>伊塚 正基</t>
  </si>
  <si>
    <t>10/14</t>
  </si>
  <si>
    <t>MﾍﾞﾝﾂC200 ｱﾊﾞﾝｷﾞｬﾙﾄﾞAMGﾗｲﾝ</t>
  </si>
  <si>
    <t>なにわ 334 た 627</t>
  </si>
  <si>
    <t>SD ﾐﾆB-CAS</t>
    <phoneticPr fontId="13"/>
  </si>
  <si>
    <t>SellCa</t>
  </si>
  <si>
    <t>A00962</t>
  </si>
  <si>
    <t>WDD2050422R243070</t>
  </si>
  <si>
    <t>株式会社 ｵﾘｴﾝﾄｺｰﾎﾟﾚｰｼｮﾝ</t>
  </si>
  <si>
    <t>11/8</t>
  </si>
  <si>
    <t>取説 保証書 ﾜﾝｵｰﾅｰ ｷｰﾚｽ ﾄﾞﾗﾚｺSD（車内）</t>
    <phoneticPr fontId="13"/>
  </si>
  <si>
    <t>21/10</t>
  </si>
  <si>
    <t>BMW M3</t>
  </si>
  <si>
    <t>31/11</t>
  </si>
  <si>
    <t>横浜 304 な 1593</t>
  </si>
  <si>
    <t>保証書 取説 記録簿 手帳</t>
  </si>
  <si>
    <t>Sellca</t>
  </si>
  <si>
    <t>A01261</t>
  </si>
  <si>
    <t>ﾚｯﾄﾞ</t>
  </si>
  <si>
    <t>WBSWD92090PY38768</t>
  </si>
  <si>
    <t>米倉 弘樹</t>
  </si>
  <si>
    <t>11/23</t>
  </si>
  <si>
    <t>1476回</t>
  </si>
  <si>
    <t>28/9</t>
  </si>
  <si>
    <t>BMWﾐﾆｸｰﾊﾟｰSD</t>
  </si>
  <si>
    <t>31/9</t>
  </si>
  <si>
    <t>岐阜 376 ち 7</t>
  </si>
  <si>
    <t>ﾕｰｻﾞｰ ﾜﾝｵｰﾅｰ</t>
  </si>
  <si>
    <t>CAA中部（まとめ）</t>
  </si>
  <si>
    <t>白Ⅱ</t>
  </si>
  <si>
    <t>WMWXN920602D26939</t>
  </si>
  <si>
    <t>株式会社 ﾌｧｲﾝﾄﾗｽﾄ</t>
  </si>
  <si>
    <t>11/22</t>
  </si>
  <si>
    <t>保証書 取説 ｷｰﾚｽ ﾜﾝｵｰﾅｰ ﾕｰｻﾞｰ</t>
    <rPh sb="0" eb="3">
      <t>ホショウショ</t>
    </rPh>
    <rPh sb="4" eb="5">
      <t>トリ</t>
    </rPh>
    <rPh sb="5" eb="6">
      <t>セツ</t>
    </rPh>
    <phoneticPr fontId="13"/>
  </si>
  <si>
    <t>1728回</t>
  </si>
  <si>
    <t>23/12</t>
  </si>
  <si>
    <t>ﾗｲﾌ Gﾀｲﾌﾟ</t>
  </si>
  <si>
    <t>R</t>
  </si>
  <si>
    <t>宮城 583 み 1022</t>
  </si>
  <si>
    <t>ｵｰｸﾈｯﾄ</t>
  </si>
  <si>
    <t>JC1-1262371</t>
  </si>
  <si>
    <t>迫ﾎﾝﾀﾞ販売株式会社</t>
  </si>
  <si>
    <t>11/25</t>
  </si>
  <si>
    <t>730回</t>
  </si>
  <si>
    <t>25/12</t>
  </si>
  <si>
    <t>BMW 428iｸｰﾍﾟ Mｽﾎﾟｰﾂ</t>
  </si>
  <si>
    <t>30/12/19</t>
  </si>
  <si>
    <t>品川 302 て 5944</t>
  </si>
  <si>
    <t>29/12 28/12 27/11 27/2 記録有 ﾜﾝｵｰﾅｰ</t>
  </si>
  <si>
    <t>28/11月で記録簿届いてる</t>
  </si>
  <si>
    <t>WBA3N32000KS51471</t>
  </si>
  <si>
    <t>株式会社 ｴｱｰﾌﾟﾗﾝﾂ</t>
  </si>
  <si>
    <t>12/15</t>
  </si>
  <si>
    <t>1734回</t>
  </si>
  <si>
    <t>20/9</t>
  </si>
  <si>
    <t>ｱｳﾃﾞｨA4 1.8TFSI</t>
  </si>
  <si>
    <t>世田谷 399 さ 9354</t>
  </si>
  <si>
    <t>取説 保証書 手帳</t>
  </si>
  <si>
    <t>WAUZZZ8K49A040996</t>
  </si>
  <si>
    <t>ｱｳﾃﾞｨｼﾞｬﾊﾟﾝ販売株式会社</t>
  </si>
  <si>
    <t>1/11</t>
  </si>
  <si>
    <t>1483回</t>
  </si>
  <si>
    <t>ekｽﾍﾟｰｽ E</t>
  </si>
  <si>
    <t>31/8</t>
  </si>
  <si>
    <t>名古屋 582 ぬ 7113</t>
  </si>
  <si>
    <t>B11A-0014305</t>
  </si>
  <si>
    <t>株式会社 山勝</t>
  </si>
  <si>
    <t>1/24</t>
  </si>
  <si>
    <t>ｽﾍﾟｱｷｰ（車内）</t>
    <phoneticPr fontId="13"/>
  </si>
  <si>
    <t>1736回</t>
  </si>
  <si>
    <t>BMWﾐﾆﾜﾝ</t>
  </si>
  <si>
    <t>北九州 599 と 628</t>
  </si>
  <si>
    <t>店持ち帰り</t>
  </si>
  <si>
    <t>WMWME32070TM75027</t>
  </si>
  <si>
    <t>株式会社 ﾊﾞｰｼﾞｮﾝｸﾞﾙｰﾌﾟ</t>
  </si>
  <si>
    <t>1/27</t>
  </si>
  <si>
    <t>1484回</t>
  </si>
  <si>
    <t>24/9</t>
  </si>
  <si>
    <t>ﾜｺﾞﾝR FXﾘﾐﾃｯﾄﾞ</t>
  </si>
  <si>
    <t>32/9</t>
  </si>
  <si>
    <t>豊橋 580 に 3789</t>
  </si>
  <si>
    <t>ﾚﾝﾀｶｰ</t>
  </si>
  <si>
    <t>MH34S-111834</t>
  </si>
  <si>
    <t>株式会社 ｽｽﾞｷ自販東海</t>
  </si>
  <si>
    <t>1/31</t>
  </si>
  <si>
    <t>1995回</t>
  </si>
  <si>
    <t>ﾜｺﾞﾝR ﾘﾐﾃｯﾄﾞⅡ</t>
  </si>
  <si>
    <t>32/5/24</t>
  </si>
  <si>
    <t>なにわ 583 い 3507</t>
  </si>
  <si>
    <t>青</t>
  </si>
  <si>
    <t>MH23S-192066</t>
  </si>
  <si>
    <t>森田 泰之</t>
  </si>
  <si>
    <t>2/8</t>
  </si>
  <si>
    <t>取説 保証書 × 地図SD（車内）</t>
    <rPh sb="9" eb="11">
      <t>チズ</t>
    </rPh>
    <rPh sb="14" eb="16">
      <t>シャナイ</t>
    </rPh>
    <phoneticPr fontId="13"/>
  </si>
  <si>
    <t>25/1</t>
  </si>
  <si>
    <t>ﾀﾝﾄ G ｽﾍﾟｼｬﾙ</t>
  </si>
  <si>
    <t>32/2/22</t>
  </si>
  <si>
    <t>和泉 580 め 3393</t>
  </si>
  <si>
    <t xml:space="preserve">ﾜﾝｵｰﾅｰ </t>
  </si>
  <si>
    <t>茶</t>
  </si>
  <si>
    <t>L375S-0630435</t>
  </si>
  <si>
    <t>藤原 幸治</t>
  </si>
  <si>
    <t>2/3</t>
  </si>
  <si>
    <t>取説 ﾅﾋﾞ取 ﾜﾝｵｰﾅｰ ｽﾍﾟｱｷｰ</t>
  </si>
  <si>
    <t>1997回</t>
  </si>
  <si>
    <t>20/4</t>
  </si>
  <si>
    <t>ﾀﾝﾄｶｽﾀﾑ Xﾘﾐﾃｯﾄﾞ</t>
  </si>
  <si>
    <t>神戸 588 ろ 370</t>
  </si>
  <si>
    <t>L375S-0040708</t>
  </si>
  <si>
    <t>株式会社 神戸ﾏﾂﾀﾞ</t>
  </si>
  <si>
    <t>2/18</t>
  </si>
  <si>
    <t>取説 保証書（車内）ｷｰﾚｽ</t>
    <phoneticPr fontId="13"/>
  </si>
  <si>
    <t>1192回</t>
  </si>
  <si>
    <t>26/9</t>
  </si>
  <si>
    <t>BMW420iｸｰﾍﾟ Mｽﾎﾟｰﾂ</t>
  </si>
  <si>
    <t>32/1</t>
  </si>
  <si>
    <t>大分 300 む 7534</t>
  </si>
  <si>
    <t xml:space="preserve">取説 ﾅﾋﾞ取 保証書 ｽﾍﾟｱｷｰ </t>
  </si>
  <si>
    <t>店</t>
  </si>
  <si>
    <t>USS九州</t>
  </si>
  <si>
    <t>WBA3N120X0K099834</t>
  </si>
  <si>
    <t>有限会社ﾌﾟﾘﾏﾄﾞﾝﾅｺｰﾎﾟﾚｰｼｮﾝ</t>
  </si>
  <si>
    <t>3/14</t>
  </si>
  <si>
    <t>取説 ﾅﾋﾞ取 保証書 ｷｰﾚｽ</t>
  </si>
  <si>
    <t>1750回</t>
  </si>
  <si>
    <t>ｼﾄﾛｴﾝDS5 ｴﾃﾞｨｼｮﾝ1955</t>
  </si>
  <si>
    <t>33/3</t>
  </si>
  <si>
    <t>多摩 303 て 6434</t>
  </si>
  <si>
    <t>保証書 手帳</t>
  </si>
  <si>
    <t>ﾑﾗｻｷ</t>
  </si>
  <si>
    <t>VF7KF5FVAFS517753</t>
  </si>
  <si>
    <t>5/11</t>
  </si>
  <si>
    <t>取説 保証書 ｷｰﾚｽ</t>
  </si>
  <si>
    <t>1751回</t>
  </si>
  <si>
    <t xml:space="preserve">ﾌｨｯﾄ ﾊｲﾌﾞﾘｯﾄﾞ </t>
  </si>
  <si>
    <t>品川 59A の 7705</t>
  </si>
  <si>
    <t>GP5-3063828</t>
  </si>
  <si>
    <t>三菱ｵｰﾄﾘｰｽ株式会社</t>
  </si>
  <si>
    <t>5/18</t>
  </si>
  <si>
    <t>1201回</t>
  </si>
  <si>
    <t>26/2</t>
  </si>
  <si>
    <t>ｼﾄﾛｴﾝDS5 ｼｯｸ</t>
  </si>
  <si>
    <t>熊本 336 そ 1012</t>
  </si>
  <si>
    <t>保証書</t>
  </si>
  <si>
    <t>ﾊﾟｰﾙ</t>
  </si>
  <si>
    <t>VF7UF5FVADS507141</t>
  </si>
  <si>
    <t>株式会社 夢工場</t>
  </si>
  <si>
    <t>5/24</t>
  </si>
  <si>
    <t>取説 保証書 ﾅﾋﾞ取 ｷｰﾚｽ ×</t>
  </si>
  <si>
    <t>675回</t>
  </si>
  <si>
    <t>15/5</t>
  </si>
  <si>
    <t>ﾚﾝｼﾞﾛｰﾊﾞｰ ｳﾞｫｰｸﾞ</t>
  </si>
  <si>
    <t>京都 330 は 1424</t>
  </si>
  <si>
    <t>SALLM-AMA33A135627</t>
  </si>
  <si>
    <t>株式会社ﾌﾟﾚｼｬｽ</t>
  </si>
  <si>
    <t>5/30</t>
  </si>
  <si>
    <t>990回</t>
  </si>
  <si>
    <t>BMW 4ｼﾘｰｽﾞｸｰﾍﾟ 435i Mｽﾎﾟｰﾂ</t>
  </si>
  <si>
    <t>なにわ 301 の 2779</t>
  </si>
  <si>
    <t>WBA3R120X0KT32230</t>
  </si>
  <si>
    <t>5/31</t>
  </si>
  <si>
    <t>ｷｰﾚｽ</t>
  </si>
  <si>
    <t>1684回</t>
  </si>
  <si>
    <t>24/5</t>
  </si>
  <si>
    <t>大阪 599 む 5735</t>
  </si>
  <si>
    <t>取説 保証書 ﾜﾝｵｰﾅｰ</t>
  </si>
  <si>
    <t>ﾁﾘﾚｯﾄﾞ</t>
  </si>
  <si>
    <t>WMWSU32070T151647</t>
  </si>
  <si>
    <t>6/6</t>
  </si>
  <si>
    <t>13/11</t>
  </si>
  <si>
    <t>ｿｱﾗ 430SCV</t>
  </si>
  <si>
    <t>32/11</t>
  </si>
  <si>
    <t>京都 330 た 158</t>
  </si>
  <si>
    <t>UZZ40-0020435</t>
  </si>
  <si>
    <t>和田 みゆき</t>
  </si>
  <si>
    <t>6/11</t>
  </si>
  <si>
    <t>取説 保証書 ﾅﾋﾞ取 ｽﾍﾟｱｷｰ ﾜﾝｵｰﾅｰ</t>
  </si>
  <si>
    <t>1603回</t>
  </si>
  <si>
    <t>ｴﾌﾞﾘｲ ｼﾞｮｲﾝ ﾊｲﾙｰﾌ</t>
  </si>
  <si>
    <t>32/2</t>
  </si>
  <si>
    <t>京都 480 ち 9706</t>
  </si>
  <si>
    <t>TAA近畿</t>
  </si>
  <si>
    <t>DA64V-828755</t>
  </si>
  <si>
    <t>松井 茂雄</t>
  </si>
  <si>
    <t>6/15</t>
  </si>
  <si>
    <t xml:space="preserve">取説 保証書 ｽﾍﾟｱｷｰ(車内) ﾜﾝｵｰﾅｰ </t>
    <phoneticPr fontId="13"/>
  </si>
  <si>
    <t>26</t>
  </si>
  <si>
    <t>ﾎﾟﾙｼｪ 911 ﾀｰﾎﾞ</t>
  </si>
  <si>
    <t>31/10</t>
  </si>
  <si>
    <t>神戸 386 み 2</t>
  </si>
  <si>
    <t>30A や 5</t>
    <phoneticPr fontId="13"/>
  </si>
  <si>
    <t>西村 豊</t>
  </si>
  <si>
    <t>WP0ZZZ99ZFS160260</t>
  </si>
  <si>
    <t>相川 直輝</t>
  </si>
  <si>
    <t>取説　保証書　ｷｰﾚｽ</t>
  </si>
  <si>
    <t>1604回</t>
  </si>
  <si>
    <t>ﾋﾟｸｼｽﾊﾞﾝ ｸﾙｰｽﾞSA3</t>
  </si>
  <si>
    <t>2/2</t>
    <phoneticPr fontId="13"/>
  </si>
  <si>
    <t>和泉 486 ふ 111</t>
  </si>
  <si>
    <t>S321M-0021218</t>
  </si>
  <si>
    <t>ﾄﾖﾀｶﾛｰﾗ南海株式会社</t>
  </si>
  <si>
    <t>6/22</t>
  </si>
  <si>
    <t>1504回</t>
  </si>
  <si>
    <t>22/6</t>
  </si>
  <si>
    <t>ｱﾙﾄﾗﾊﾟﾝ X</t>
  </si>
  <si>
    <t>名古屋 590 ろ 5943</t>
  </si>
  <si>
    <t>水色</t>
  </si>
  <si>
    <t>HE22S-168702</t>
  </si>
  <si>
    <t>ﾈｯﾂﾄﾖﾀ愛知株式会社</t>
  </si>
  <si>
    <t>6/29</t>
  </si>
  <si>
    <t xml:space="preserve">ｶﾛｰﾗﾌｨﾙﾀﾞｰ ﾊｲﾌﾞﾘｯﾄﾞG </t>
  </si>
  <si>
    <t>八戸 500 ま 5237</t>
  </si>
  <si>
    <t>取説 手帳 ﾜﾝｵｰﾅｰ</t>
  </si>
  <si>
    <t>A06072</t>
  </si>
  <si>
    <t>NKE165-7071382</t>
  </si>
  <si>
    <t>ﾄﾖﾀｶﾛｰﾗ八戸 株式会社</t>
  </si>
  <si>
    <t>7/27</t>
  </si>
  <si>
    <t>30/8</t>
  </si>
  <si>
    <t>N-BOXｶｽﾀﾑ G・EXﾀｰﾎﾞﾎﾝﾀﾞｾﾝｼﾝｸﾞ</t>
  </si>
  <si>
    <t>R3/8</t>
  </si>
  <si>
    <t>神戸 582 き 7779</t>
  </si>
  <si>
    <t>取説 整備手帳 ﾜﾝｵｰﾅｰ</t>
  </si>
  <si>
    <t>587 こ 8810</t>
    <phoneticPr fontId="13"/>
  </si>
  <si>
    <t>A06485</t>
  </si>
  <si>
    <t>JF3-2053072</t>
  </si>
  <si>
    <t>松本 海</t>
  </si>
  <si>
    <t>8/6</t>
  </si>
  <si>
    <t>取説 手帳 ｷｰﾚｽ ﾜﾝｵｰﾅｰ</t>
  </si>
  <si>
    <t>20/7</t>
  </si>
  <si>
    <t>ﾊﾟﾚｯﾄ T</t>
  </si>
  <si>
    <t>千葉 596 ろ 1546</t>
  </si>
  <si>
    <t>MK21S-618480</t>
  </si>
  <si>
    <t>株式会社 IDOM</t>
  </si>
  <si>
    <t>8/4</t>
  </si>
  <si>
    <t xml:space="preserve">取説 保証書 ｷｰﾚｽ </t>
  </si>
  <si>
    <t>1236回</t>
  </si>
  <si>
    <t>20/6</t>
  </si>
  <si>
    <t>ｱｽﾄﾝﾏｰﾃｨﾝV8 ｳﾞｨﾝﾃｰｼﾞ N400ﾛｰﾄﾞｽﾀｰ</t>
  </si>
  <si>
    <t>3/5</t>
    <phoneticPr fontId="13"/>
  </si>
  <si>
    <t>水戸 301 は 8653</t>
  </si>
  <si>
    <t>H26/5/27 ｱﾄﾗﾝﾃｨｯｸｶｰｽFｸﾗｯﾁ一式交換済（28695ｷﾛ）</t>
  </si>
  <si>
    <t>ｵﾚﾝｼﾞ</t>
  </si>
  <si>
    <t>SCFBF04GJ8GD10738</t>
  </si>
  <si>
    <t>飯島 正一</t>
  </si>
  <si>
    <t>8/29</t>
  </si>
  <si>
    <t>取説 手帳 交換記録OK ×</t>
  </si>
  <si>
    <t>1002回</t>
  </si>
  <si>
    <t>ｼﾄﾛｴﾝ C4 ﾋﾟｶｿ ｾﾀﾞｸｼｮﾝ</t>
  </si>
  <si>
    <t>姫路 399 ち 6791</t>
  </si>
  <si>
    <t xml:space="preserve">取説 保証書 ｽﾍﾟｱｷｰ </t>
  </si>
  <si>
    <t>VF73A5GZTEJ836767</t>
  </si>
  <si>
    <t>ﾈｯﾂﾄﾖﾀ兵庫株式会社</t>
  </si>
  <si>
    <t>1695回</t>
  </si>
  <si>
    <t>ﾎﾞﾙﾎﾞXC60 T6 SE AWD</t>
  </si>
  <si>
    <t>32/10</t>
  </si>
  <si>
    <t>神戸 302 す 1291</t>
  </si>
  <si>
    <t>取説 ｷｰ類</t>
  </si>
  <si>
    <t>YV1DZ9956A2053186</t>
  </si>
  <si>
    <t>佐村 悟次</t>
  </si>
  <si>
    <t>8/30</t>
  </si>
  <si>
    <t>取説 保証書 ｷｰﾚｽ ﾜﾝｵｰﾅｰ ﾘﾓｺﾝ（後ろの箱）</t>
  </si>
  <si>
    <t>抹消済</t>
    <rPh sb="0" eb="2">
      <t>マッショウ</t>
    </rPh>
    <rPh sb="2" eb="3">
      <t>スミ</t>
    </rPh>
    <phoneticPr fontId="13"/>
  </si>
  <si>
    <t>971回</t>
  </si>
  <si>
    <t>28/1</t>
  </si>
  <si>
    <t>ﾌｨｱｯﾄ500X ｸﾛｽﾌﾟﾗｽ</t>
  </si>
  <si>
    <t>33/1</t>
  </si>
  <si>
    <t>大阪 350 す 500</t>
  </si>
  <si>
    <t>ZFA3340000P408910</t>
  </si>
  <si>
    <t>大阪ﾄﾖﾍﾟｯﾄ株式会社</t>
  </si>
  <si>
    <t>9/3</t>
  </si>
  <si>
    <t>取説 保証書（車内）ﾜﾝｵｰﾅｰ</t>
    <phoneticPr fontId="13"/>
  </si>
  <si>
    <t>1696回</t>
  </si>
  <si>
    <t>ｴﾌﾞﾘｲW PZﾀｰﾎﾞ</t>
  </si>
  <si>
    <t>大阪 580 こ 7197</t>
  </si>
  <si>
    <t>DA64W-164577</t>
  </si>
  <si>
    <t>株式会社 ｽｽﾞｷ自販近畿中古車本部</t>
  </si>
  <si>
    <t>9/5</t>
  </si>
  <si>
    <t>ｷｰﾚｽ（車内）取説 保証書</t>
    <phoneticPr fontId="13"/>
  </si>
  <si>
    <t>1001回</t>
  </si>
  <si>
    <t>25/5</t>
    <phoneticPr fontId="13"/>
  </si>
  <si>
    <t>ｼﾄﾛｴﾝC4 ｴｸｽｸﾙｰｼﾌﾞ</t>
  </si>
  <si>
    <t>32/5</t>
  </si>
  <si>
    <t>練馬 301 や 3864</t>
  </si>
  <si>
    <t>赤</t>
    <rPh sb="0" eb="1">
      <t>アカ</t>
    </rPh>
    <phoneticPr fontId="13"/>
  </si>
  <si>
    <t>VF7NC5FV8CY642301</t>
  </si>
  <si>
    <t>9/20</t>
  </si>
  <si>
    <t>抹消済</t>
    <rPh sb="0" eb="3">
      <t>マッショウスミ</t>
    </rPh>
    <phoneticPr fontId="13"/>
  </si>
  <si>
    <t>1817回</t>
  </si>
  <si>
    <t>27/12</t>
  </si>
  <si>
    <t>BMW320i Mｽﾎﾟｰﾂ</t>
    <phoneticPr fontId="13"/>
  </si>
  <si>
    <t>2/12/24</t>
  </si>
  <si>
    <t>京都 336 ほ 58</t>
  </si>
  <si>
    <t>取説 保証書 ﾅﾋﾞ取 ｷｰﾚｽ ﾃﾞｨｰﾗｰ記録簿二枚 ﾜﾝｵｰﾅｰ</t>
  </si>
  <si>
    <t>581 は 1818</t>
  </si>
  <si>
    <t>WBA8A12000K430664</t>
  </si>
  <si>
    <t>株式会社 ﾗｲﾌﾀｲﾑｼｰﾄﾞ</t>
  </si>
  <si>
    <t>11/21</t>
  </si>
  <si>
    <t>取説 保証書 ﾅﾋﾞ取 ｷｰﾚｽ ﾜﾝｵｰﾅｰ</t>
  </si>
  <si>
    <t>1824回</t>
  </si>
  <si>
    <t>28/2</t>
  </si>
  <si>
    <t>BMW218dｱｸﾃｨﾌﾞﾂｱﾗｰ Mｽﾎﾟｰﾂ</t>
  </si>
  <si>
    <t>33/2</t>
  </si>
  <si>
    <t>京都 390 つ 8888</t>
  </si>
  <si>
    <t>取説 保証書 ｽﾍﾟｱｷｰ H31記録簿</t>
  </si>
  <si>
    <t>WBA2C120S0V612990</t>
  </si>
  <si>
    <t>株式会社 ﾅｯｸ</t>
  </si>
  <si>
    <t>取説 保証書 ｷｰﾚｽ ﾜﾝｵｰﾅｰ 記録OK</t>
    <phoneticPr fontId="13"/>
  </si>
  <si>
    <t>抹消済</t>
    <phoneticPr fontId="13"/>
  </si>
  <si>
    <t>31/1</t>
  </si>
  <si>
    <t>Mﾍﾞﾝﾂ E450 W 4ﾏﾁｯｸ</t>
  </si>
  <si>
    <t>4/1</t>
  </si>
  <si>
    <t>姫路　301　た　2465</t>
  </si>
  <si>
    <t>取説 保証書 手帳 Sｷｰ ﾜﾝｵｰﾅｰ</t>
  </si>
  <si>
    <t>ﾜﾝｵｰﾅｰｸﾚｰﾑ済</t>
  </si>
  <si>
    <t>301 た 2465</t>
    <phoneticPr fontId="13"/>
  </si>
  <si>
    <t>WDD22132681A444216</t>
  </si>
  <si>
    <t>㈱ﾃｨｰｴｰｼｰｺｰﾎﾟﾚｰｼｮﾝ</t>
  </si>
  <si>
    <t>2/14</t>
  </si>
  <si>
    <t>TACｺｰﾎﾟﾚｰｼｮﾝから買取</t>
  </si>
  <si>
    <t>1043回</t>
  </si>
  <si>
    <t>27/7</t>
  </si>
  <si>
    <t>BMW420i ｸﾞﾗﾝｸｰﾍﾟ Mｽﾎﾟｰﾂ</t>
  </si>
  <si>
    <t>名古屋 331 む 3125</t>
  </si>
  <si>
    <t xml:space="preserve">取説 保証書 ｽﾍﾟｱｷｰ TVﾘﾓｺﾝ </t>
  </si>
  <si>
    <t>WBA4A12050GK07067</t>
  </si>
  <si>
    <t>ﾔﾅｾﾊﾞｲｴﾙﾝﾓｰﾀｰｽﾞ株式会社</t>
  </si>
  <si>
    <t>6/23</t>
  </si>
  <si>
    <t>取説保証書 ｷｰﾚｽ TVﾘﾓｺﾝ ﾜﾝｵｰﾅｰ</t>
  </si>
  <si>
    <t>15/1</t>
  </si>
  <si>
    <t>CQﾓｰﾀｰｽﾞ 阪神ﾀｲｶﾞｰｽＱＩ</t>
    <phoneticPr fontId="13"/>
  </si>
  <si>
    <t>堺市 り 113</t>
  </si>
  <si>
    <t>取説 手帳</t>
  </si>
  <si>
    <t>A19245</t>
  </si>
  <si>
    <t>CQ102Q1AADA-0462</t>
  </si>
  <si>
    <t>大東 美千代</t>
  </si>
  <si>
    <t>1848回</t>
  </si>
  <si>
    <t>25/11</t>
  </si>
  <si>
    <t>ﾎﾟﾙｼｪ ｹｲﾏﾝ ｽﾎﾟｰﾂｸﾛﾉPKG 2.7</t>
  </si>
  <si>
    <t>2/11</t>
  </si>
  <si>
    <t>つくば  300 ふ 245</t>
  </si>
  <si>
    <t>30Y つ  5</t>
  </si>
  <si>
    <t>WP0ZZZ98ZEK162260</t>
  </si>
  <si>
    <t>山川 将史</t>
  </si>
  <si>
    <t>7/9</t>
  </si>
  <si>
    <t>取説 保証書 ｷｰﾚｽ ﾘﾓｺﾝ</t>
  </si>
  <si>
    <t>1739回</t>
  </si>
  <si>
    <t xml:space="preserve">BMWﾐﾆｸｰﾊﾟｰD </t>
  </si>
  <si>
    <t>3/9/22</t>
  </si>
  <si>
    <t>堺 300 ぬ 9328</t>
  </si>
  <si>
    <t>301 た 7358</t>
  </si>
  <si>
    <t>MIRIVE大阪（ｱｲｵｰｸ）</t>
  </si>
  <si>
    <t>ﾎﾜｲﾄｼﾙﾊﾞｰﾒﾀ</t>
  </si>
  <si>
    <t>WMWXN320202E74020</t>
  </si>
  <si>
    <t>大田 浩介</t>
  </si>
  <si>
    <t>7/16</t>
  </si>
  <si>
    <t>取説 保証書 ｷｰﾚｽ ﾏｲｸﾛSD ﾘﾓｺﾝ×2 ×</t>
  </si>
  <si>
    <t>25/8</t>
  </si>
  <si>
    <t>ﾉｰﾄ X DIG-S</t>
  </si>
  <si>
    <t>32/8</t>
  </si>
  <si>
    <t>横浜 504 ね 7884</t>
  </si>
  <si>
    <t>A20838</t>
  </si>
  <si>
    <t>ｵｰﾛﾗﾓｰｳﾞ</t>
  </si>
  <si>
    <t>E12-148954</t>
  </si>
  <si>
    <t>山内 照彦</t>
  </si>
  <si>
    <t>7/30</t>
  </si>
  <si>
    <t>1049回</t>
  </si>
  <si>
    <t>26/1</t>
  </si>
  <si>
    <t>BMW 320i ｸﾞﾗﾝﾂｰﾘｽﾓ Mｽﾎﾟｰﾂ</t>
  </si>
  <si>
    <t>京都 369 め 117</t>
  </si>
  <si>
    <t>取説 保証書 ｽﾍﾟｱｷｰ TVﾘﾓｺﾝ</t>
  </si>
  <si>
    <t>WBA3X12070D372890</t>
  </si>
  <si>
    <t>1660回</t>
  </si>
  <si>
    <t>30/1</t>
  </si>
  <si>
    <t>なにわ 326 と 6828</t>
  </si>
  <si>
    <t>ﾌﾞﾙｰⅡ</t>
  </si>
  <si>
    <t>WMWXM720203C11546</t>
  </si>
  <si>
    <t>大阪ﾄﾖﾀ自動車株式会社</t>
  </si>
  <si>
    <t>8/11</t>
  </si>
  <si>
    <t>取説 保証書 ｷｰﾚｽ × （車内）</t>
    <phoneticPr fontId="13"/>
  </si>
  <si>
    <t>24/11</t>
  </si>
  <si>
    <t>NV100ｸﾘｯﾊﾟｰ DX</t>
  </si>
  <si>
    <t>岡山 483 ね 113</t>
  </si>
  <si>
    <t>ﾘｸﾙｰﾄ</t>
  </si>
  <si>
    <t>B00086834</t>
  </si>
  <si>
    <t>U71V-0615099</t>
  </si>
  <si>
    <t>ﾈｯﾂﾄﾖﾀ岡山株式会社</t>
  </si>
  <si>
    <t>8/20</t>
  </si>
  <si>
    <t>2072回</t>
  </si>
  <si>
    <t>23/11</t>
  </si>
  <si>
    <t>BMW 640iｸｰﾍﾟ Mｽﾎﾟｰﾂ</t>
  </si>
  <si>
    <t>32/11/23</t>
  </si>
  <si>
    <t>和泉 335 に 214</t>
  </si>
  <si>
    <t>WBALW32080C798740</t>
  </si>
  <si>
    <t>大興毛糸紡績 株式会社</t>
  </si>
  <si>
    <t>8/23</t>
  </si>
  <si>
    <t>1854回</t>
  </si>
  <si>
    <t>24/7</t>
  </si>
  <si>
    <t>BMWﾐﾆｸｰﾊﾟｰS ｸｰﾍﾟ</t>
  </si>
  <si>
    <t>3/7</t>
  </si>
  <si>
    <t>神戸 550 も 3298</t>
  </si>
  <si>
    <t>取説 保証書 ｽﾍﾟｱｷｰ</t>
  </si>
  <si>
    <t>501 み 7651</t>
    <phoneticPr fontId="13"/>
  </si>
  <si>
    <t>WMWSX32090T404476</t>
  </si>
  <si>
    <t>坂野 嘉則</t>
  </si>
  <si>
    <t>8/27</t>
  </si>
  <si>
    <t>1856回</t>
  </si>
  <si>
    <t>26/11</t>
    <phoneticPr fontId="13"/>
  </si>
  <si>
    <t>BMW 235iｸｰﾍﾟ Mｽﾎﾟｰﾂ</t>
  </si>
  <si>
    <t>足立　302　ふ　2669</t>
  </si>
  <si>
    <t>WBA1J720X0V229650</t>
  </si>
  <si>
    <t>牧野　善知</t>
  </si>
  <si>
    <t>9/12</t>
  </si>
  <si>
    <t>1816回</t>
  </si>
  <si>
    <t>29/8</t>
  </si>
  <si>
    <t>ｱｳﾃﾞｨA4 ｱﾊﾞﾝﾄ 1.4TFSI ｽﾎﾟｰﾂ</t>
  </si>
  <si>
    <t>なにわ 301 は 2121</t>
  </si>
  <si>
    <t>WAUZZZF45HA068163</t>
  </si>
  <si>
    <t>9/11</t>
  </si>
  <si>
    <t>1054回</t>
  </si>
  <si>
    <t>BMW M5</t>
  </si>
  <si>
    <t>なにわ 326 な 2779</t>
  </si>
  <si>
    <t xml:space="preserve">ｽﾍﾟｱｷｰ </t>
  </si>
  <si>
    <t>WBSFV92000DX95663</t>
  </si>
  <si>
    <t>9/13</t>
  </si>
  <si>
    <t>1288回</t>
  </si>
  <si>
    <t>BMWﾐﾆｸｰﾊﾟｰ F55</t>
  </si>
  <si>
    <t>3/9/30</t>
  </si>
  <si>
    <t>習志野 301 ひ 6901</t>
  </si>
  <si>
    <t>保証書  ﾜﾝｵｰﾅｰ</t>
  </si>
  <si>
    <t>名変10/15まで</t>
  </si>
  <si>
    <t>301 た 9256</t>
  </si>
  <si>
    <t xml:space="preserve">あか </t>
  </si>
  <si>
    <t>WMWXS50602C90557</t>
  </si>
  <si>
    <t>楠木 良樹</t>
  </si>
  <si>
    <t>9/17</t>
  </si>
  <si>
    <t>抹消済</t>
  </si>
  <si>
    <t>27/1</t>
  </si>
  <si>
    <t>BMW M235i MﾊﾟﾌｫｰﾏﾝｽED</t>
  </si>
  <si>
    <t>4/1</t>
    <phoneticPr fontId="13"/>
  </si>
  <si>
    <t>長崎 300 ふ 4926</t>
  </si>
  <si>
    <t>301 ち 523</t>
  </si>
  <si>
    <t>WBA1J72080V229307</t>
  </si>
  <si>
    <t>株式会社 MATSUFUJI</t>
  </si>
  <si>
    <t>9/19</t>
  </si>
  <si>
    <t>ｷｰﾚｽ（車内）取説 保証書 ×</t>
    <phoneticPr fontId="13"/>
  </si>
  <si>
    <t>1289回</t>
  </si>
  <si>
    <t>15/8</t>
  </si>
  <si>
    <t>BMW M3 SMG2</t>
  </si>
  <si>
    <t>福山 330 そ 346</t>
  </si>
  <si>
    <t>WBS-BL92080JR07289</t>
  </si>
  <si>
    <t>芝吹 直記</t>
  </si>
  <si>
    <t>9/24</t>
  </si>
  <si>
    <t>取説 保証書 ｽﾍﾟｱｷｰ ﾌﾟﾗｷｰ ﾜﾝｵｰﾅｰ</t>
  </si>
  <si>
    <t>28/4</t>
  </si>
  <si>
    <t>ｴﾌﾞﾘｲ　PA</t>
  </si>
  <si>
    <t>4/4</t>
  </si>
  <si>
    <t>船橋 480 あ 571</t>
  </si>
  <si>
    <t>取説</t>
  </si>
  <si>
    <t>車歴事業用</t>
  </si>
  <si>
    <t>480 と 1220</t>
  </si>
  <si>
    <t>A25453</t>
  </si>
  <si>
    <t>DA17V-166336</t>
  </si>
  <si>
    <t>小川 寛稀</t>
  </si>
  <si>
    <t>10/16</t>
  </si>
  <si>
    <t>今は自家用に変更済み</t>
  </si>
  <si>
    <t>1859回</t>
  </si>
  <si>
    <t>3/3</t>
  </si>
  <si>
    <t>浜松 301 ぬ 9097</t>
  </si>
  <si>
    <t xml:space="preserve">取説 手帳 記録簿 ｽﾍﾟｱｷｰ </t>
  </si>
  <si>
    <t>WMWXM520303A55876</t>
  </si>
  <si>
    <t>加藤 隼之介</t>
  </si>
  <si>
    <t>10/6</t>
  </si>
  <si>
    <t>1057回</t>
  </si>
  <si>
    <t>BMW320i ｸﾞﾗﾝﾂｰﾘｽﾓ Mｽﾎﾟｰﾂ</t>
  </si>
  <si>
    <t>33/4</t>
  </si>
  <si>
    <t>神戸 303 の 6879</t>
  </si>
  <si>
    <t>WBA3X12020D734253</t>
  </si>
  <si>
    <t>1058回</t>
  </si>
  <si>
    <t>ﾚﾝｼﾞﾛｰﾊﾞｰ ｲｳﾞｫｰｸ ﾌﾟﾚｽﾃｰｼﾞ</t>
  </si>
  <si>
    <t>京都 399 も 3177</t>
  </si>
  <si>
    <t>ﾅﾋﾞﾛﾑ店長にわたしました</t>
  </si>
  <si>
    <t>SALVA2AG7FH971140</t>
  </si>
  <si>
    <t>株式会社 ｸﾞﾗﾝﾄﾞｴﾝﾀｰﾌﾟﾗｲｽﾞ</t>
  </si>
  <si>
    <t>10/11</t>
  </si>
  <si>
    <t>取説 保証書 ﾅﾋﾞﾛﾑ ×</t>
  </si>
  <si>
    <t>1293回</t>
  </si>
  <si>
    <t>25/4</t>
  </si>
  <si>
    <t>BMW640i ｸﾞﾗﾝｸｰﾍﾟMｽﾎﾟｰﾂ</t>
  </si>
  <si>
    <t>4/6</t>
  </si>
  <si>
    <t>いわき 337 つ 6</t>
  </si>
  <si>
    <t>301 ち 1778</t>
  </si>
  <si>
    <t>WBA6A02040D211474</t>
  </si>
  <si>
    <t>大谷 誠</t>
  </si>
  <si>
    <t>10/22</t>
  </si>
  <si>
    <t>1752回</t>
  </si>
  <si>
    <t>BMW M235iｸｰﾍﾟ</t>
  </si>
  <si>
    <t>3/2</t>
  </si>
  <si>
    <t>奈良 332 む 507</t>
  </si>
  <si>
    <t xml:space="preserve">保証書 </t>
  </si>
  <si>
    <t>399 つ 2900</t>
    <phoneticPr fontId="13"/>
  </si>
  <si>
    <t>MIRIVE大阪(ｱｲｵｰｸ）</t>
  </si>
  <si>
    <t>WBA1J72010VX83613</t>
  </si>
  <si>
    <t>VSS奈良 株式会社</t>
  </si>
  <si>
    <t>保証書 ×</t>
  </si>
  <si>
    <t>1863回</t>
  </si>
  <si>
    <t>14/11</t>
  </si>
  <si>
    <t>BMW　M3</t>
  </si>
  <si>
    <t>3/11</t>
  </si>
  <si>
    <t>大阪300　や　2763</t>
  </si>
  <si>
    <t>保証書　取説　ｽﾍﾟｱｷｰ　記録多数</t>
  </si>
  <si>
    <t>WBSBL92040JR04843</t>
  </si>
  <si>
    <t>有限会社 一博社</t>
  </si>
  <si>
    <t>10/29</t>
  </si>
  <si>
    <t>取説 保証書 ﾅﾋﾞ取 ｷｰﾚｽ ｽﾍﾟｱｷｰ ﾓﾆﾀｰ ﾘﾓｺﾝ ×</t>
  </si>
  <si>
    <t>千葉 311 ぬ 8008</t>
  </si>
  <si>
    <t>MIRIVE埼玉(ｱｲｵｰｸ）</t>
  </si>
  <si>
    <t>WMWXT720202G66227</t>
  </si>
  <si>
    <t>前林 佳孝</t>
  </si>
  <si>
    <t>10/31</t>
  </si>
  <si>
    <t>堺 399 に 2885</t>
  </si>
  <si>
    <t>WMWXT72010F35497</t>
  </si>
  <si>
    <t>株式会社 関西ﾏﾂﾀﾞ</t>
  </si>
  <si>
    <t>11/7</t>
  </si>
  <si>
    <t>ｷｰﾚｽ（車内）取説</t>
    <phoneticPr fontId="13"/>
  </si>
  <si>
    <t>1062回</t>
  </si>
  <si>
    <t>31/4</t>
  </si>
  <si>
    <t>BMWﾐﾆｸｰﾊﾟｰSD</t>
    <phoneticPr fontId="13"/>
  </si>
  <si>
    <t>4/4/25</t>
  </si>
  <si>
    <t>京都 330 ろ 3714</t>
  </si>
  <si>
    <t>301 ち 2837</t>
  </si>
  <si>
    <t>WMWXT720902H91984</t>
  </si>
  <si>
    <t>11/12</t>
  </si>
  <si>
    <t>取説 保証書</t>
  </si>
  <si>
    <t>3月抹消済</t>
    <rPh sb="1" eb="2">
      <t>ツキ</t>
    </rPh>
    <rPh sb="2" eb="4">
      <t>マッショウ</t>
    </rPh>
    <rPh sb="4" eb="5">
      <t>ズ</t>
    </rPh>
    <phoneticPr fontId="13"/>
  </si>
  <si>
    <t>BMWﾐﾆｼﾞｮﾝｸｰﾊﾟｰﾜｰｸｽ ｸｰﾍﾟ</t>
  </si>
  <si>
    <t>岡崎 599 た 9687</t>
  </si>
  <si>
    <t xml:space="preserve">取説 保証書 予備ｷｰ </t>
  </si>
  <si>
    <t>WMWSX920X0T431012</t>
  </si>
  <si>
    <t>株式会社 N・S・Produce</t>
  </si>
  <si>
    <t>11/14</t>
  </si>
  <si>
    <t>取 保証書 ﾅﾋﾞ取 ｷｰﾚｽ ×</t>
  </si>
  <si>
    <t>ｱﾊﾞﾙﾄ595 ｺﾝﾍﾟﾃｨﾂｨｵｰﾈ</t>
  </si>
  <si>
    <t>札幌 531 は 595</t>
  </si>
  <si>
    <t>501 ま 6058</t>
  </si>
  <si>
    <t>ZFA3120000J849594</t>
  </si>
  <si>
    <t>株式会社 ｾﾃﾞｨﾅ</t>
  </si>
  <si>
    <t>11/19</t>
  </si>
  <si>
    <t>1297回</t>
  </si>
  <si>
    <t>BMWﾐﾆｸｰﾊﾟｰS ﾍﾟｯﾊﾟｰPKG</t>
  </si>
  <si>
    <t>神戸 303 や 739</t>
  </si>
  <si>
    <t>WMWXM720602A76285</t>
  </si>
  <si>
    <t>O-RUSHｲﾝﾀｰﾅｼｮﾅﾙ株式会社</t>
  </si>
  <si>
    <t>29/3</t>
  </si>
  <si>
    <t>ｼﾞｬｶﾞｰXE Rｽﾎﾟｰﾂ</t>
  </si>
  <si>
    <t>4/3</t>
  </si>
  <si>
    <t>世田谷 310 つ 3018</t>
  </si>
  <si>
    <t>301 ち 2983</t>
  </si>
  <si>
    <t>SAJA4AN8HA967320</t>
  </si>
  <si>
    <t>堀江 哲朗</t>
  </si>
  <si>
    <t>取説  保証書 ｷｰﾚｽ ×</t>
  </si>
  <si>
    <t>937回</t>
  </si>
  <si>
    <t>BMW220i ｸｰﾍﾟ Mｽﾎﾟｰﾂ</t>
  </si>
  <si>
    <t>野田 335 す 122</t>
  </si>
  <si>
    <t>USS大阪</t>
  </si>
  <si>
    <t>WBA1J12060V467590</t>
  </si>
  <si>
    <t>株式会社 ﾓﾄｰﾚﾝｸﾞﾗﾝﾂ</t>
  </si>
  <si>
    <t>20回</t>
  </si>
  <si>
    <t>27/5</t>
  </si>
  <si>
    <t>4/5</t>
  </si>
  <si>
    <t>静岡 351 ぬ 9</t>
  </si>
  <si>
    <t>301 ち 2839</t>
  </si>
  <si>
    <t>MIRIVE愛知(ｱｲｵｰｸ）</t>
  </si>
  <si>
    <t>WMWXM720002A75391</t>
  </si>
  <si>
    <t>渡辺 諒太朗</t>
  </si>
  <si>
    <t>保証書 ｷｰﾚｽ</t>
  </si>
  <si>
    <t>ｷｰﾚｽ清水さんに渡してます</t>
    <rPh sb="4" eb="6">
      <t>シミズ</t>
    </rPh>
    <rPh sb="9" eb="10">
      <t>ワタ</t>
    </rPh>
    <phoneticPr fontId="13"/>
  </si>
  <si>
    <t>ﾌｨｱｯﾄ500X ﾎﾟｯﾌﾟｽﾀｰﾌﾟﾗｽ</t>
  </si>
  <si>
    <t>名古屋 343 ふ 1091</t>
  </si>
  <si>
    <t>ZFA3340000P387624</t>
  </si>
  <si>
    <t>井上 三樹男</t>
  </si>
  <si>
    <t>11/20</t>
  </si>
  <si>
    <t>取説 保証書 ｷｰﾚｽ ﾓﾆﾀｰ ﾜﾝｵｰﾅｰ</t>
  </si>
  <si>
    <t>1866回</t>
  </si>
  <si>
    <t>26/6</t>
  </si>
  <si>
    <t>3/6</t>
  </si>
  <si>
    <t>浜松 536 そ 1031</t>
  </si>
  <si>
    <t>DｸﾞﾘｰﾝⅡ</t>
  </si>
  <si>
    <t>WMWSX32060T404872</t>
  </si>
  <si>
    <t>木俣 隆司</t>
  </si>
  <si>
    <t>取説 保証書 ﾅﾋﾞ取 ﾜﾝｵｰﾅｰ</t>
  </si>
  <si>
    <t>1031回</t>
  </si>
  <si>
    <t>ｼﾞｬｶﾞｰXF ﾗｸﾞｼﾞｭｱﾘｰ</t>
  </si>
  <si>
    <t>京都 335 も 916</t>
  </si>
  <si>
    <t>301 ち 2838</t>
  </si>
  <si>
    <t>SAJKC05M8FPU65297</t>
  </si>
  <si>
    <t>八光ｴﾙｱｰﾙ株式会社</t>
  </si>
  <si>
    <t>11/26</t>
  </si>
  <si>
    <t>取説 保証書 ﾅﾋﾞﾛﾑ ﾜﾝｵｰﾅｰ</t>
  </si>
  <si>
    <t>ﾅﾋﾞﾛﾑ店長にわたしてます</t>
  </si>
  <si>
    <t>1064回</t>
  </si>
  <si>
    <t>28/11</t>
  </si>
  <si>
    <t>ﾚﾝｼﾞﾛｰﾊﾞｰｲｳﾞｫｰｸ SE ﾌﾟﾗｽ</t>
  </si>
  <si>
    <t>神戸 330 ぬ 452</t>
  </si>
  <si>
    <t>301 ち 2982</t>
  </si>
  <si>
    <t>SALVA2AGXHH173458</t>
  </si>
  <si>
    <t>ﾈｯﾂﾄﾖﾀｿﾞﾅ神戸株式会社</t>
  </si>
  <si>
    <t>京都 334 ま 805</t>
  </si>
  <si>
    <t>ｸﾞﾘｰﾝⅡ</t>
  </si>
  <si>
    <t>WMWXS520802C88969</t>
  </si>
  <si>
    <t>11/24</t>
  </si>
  <si>
    <t>29/12</t>
  </si>
  <si>
    <t>名古屋 345 ら 2727</t>
  </si>
  <si>
    <t>SAJAB4AN9JCP29034</t>
  </si>
  <si>
    <t>取説 保証書 ﾅﾋﾞﾛﾑ ｷｰﾚｽ ﾜﾝｵｰﾅｰ</t>
  </si>
  <si>
    <t>1066回</t>
  </si>
  <si>
    <t>BMWﾐﾆｼﾞｬｰﾐﾝｸｰﾊﾟｰS</t>
  </si>
  <si>
    <t>京都 301 め 8816</t>
  </si>
  <si>
    <t>ﾗﾋﾟｽﾗｸﾞｼﾞｭｱﾘｰ青</t>
  </si>
  <si>
    <t>WMWXS720902C48928</t>
  </si>
  <si>
    <t>12/10</t>
  </si>
  <si>
    <t>1760回</t>
  </si>
  <si>
    <t>BMW220i ｶﾌﾞﾘｵﾚ Mｽﾎﾟｰﾂ</t>
  </si>
  <si>
    <t>3/5</t>
  </si>
  <si>
    <t>神戸 352 す 312</t>
  </si>
  <si>
    <t>MIRIVE大阪（AS)</t>
  </si>
  <si>
    <t>WBA1L72030V492458</t>
  </si>
  <si>
    <t>森岡 健</t>
  </si>
  <si>
    <t>12/17</t>
  </si>
  <si>
    <t>1068回</t>
  </si>
  <si>
    <t>25/6</t>
  </si>
  <si>
    <t>BMW M6 ｸﾞﾗﾝｸｰﾍﾟ</t>
  </si>
  <si>
    <t>京都 302 な 319</t>
  </si>
  <si>
    <t>ﾌﾛｰｽﾞﾝｼﾙﾊﾞｰ</t>
  </si>
  <si>
    <t>WBS6C92080DV74091</t>
  </si>
  <si>
    <t>株式会社 服部ﾓｰﾀｰｽ</t>
  </si>
  <si>
    <t>12/24</t>
  </si>
  <si>
    <t>1871回</t>
  </si>
  <si>
    <t>28/8</t>
  </si>
  <si>
    <t>BMW M235i ｸｰﾍﾟ</t>
  </si>
  <si>
    <t>3/8/30</t>
  </si>
  <si>
    <t>福岡 347 た 318</t>
  </si>
  <si>
    <t>ｱﾙﾋﾟﾝﾎﾜｲﾄ</t>
  </si>
  <si>
    <t>WBA1J72070V486717</t>
  </si>
  <si>
    <t>杜 翔</t>
  </si>
  <si>
    <t>12/25</t>
  </si>
  <si>
    <r>
      <rPr>
        <sz val="11"/>
        <color theme="4" tint="-0.499984740745262"/>
        <rFont val="ＭＳ Ｐゴシック"/>
        <family val="3"/>
        <charset val="128"/>
      </rPr>
      <t xml:space="preserve">取説 保証書 </t>
    </r>
    <r>
      <rPr>
        <sz val="11"/>
        <color theme="4" tint="-0.249977111117893"/>
        <rFont val="ＭＳ Ｐゴシック"/>
        <family val="3"/>
        <charset val="128"/>
      </rPr>
      <t>ｽﾍﾟｱｷｰﾚｽ</t>
    </r>
  </si>
  <si>
    <t>30/6</t>
  </si>
  <si>
    <t>NV100 ｸﾘｯﾊﾟｰﾊﾞﾝ</t>
  </si>
  <si>
    <t>34/6</t>
  </si>
  <si>
    <t>練馬 480 さ 8952</t>
  </si>
  <si>
    <t>取説 保証書 事業用</t>
  </si>
  <si>
    <t>480 と 2340</t>
  </si>
  <si>
    <t>A30611</t>
  </si>
  <si>
    <t>DR17V-279878</t>
  </si>
  <si>
    <t>株式会社 K＆S</t>
  </si>
  <si>
    <t>1/14</t>
  </si>
  <si>
    <t>保証書 取説 ｽﾍﾟｱｷｰ</t>
  </si>
  <si>
    <t>名変期限2/10まで</t>
  </si>
  <si>
    <t>831回</t>
  </si>
  <si>
    <t>BMWM235Ｉｸｰﾍﾟ</t>
  </si>
  <si>
    <t>横浜 305 て 177</t>
  </si>
  <si>
    <t>保証書 取説 ﾜﾝｵｰﾅｰ</t>
  </si>
  <si>
    <t>WBA1J710X0V486193</t>
  </si>
  <si>
    <t>株式会社 ﾃﾞｽﾃｨｰﾉ</t>
  </si>
  <si>
    <t>1/17</t>
  </si>
  <si>
    <t>保証書 取説 ｷｰﾚｽ ﾜﾝｵｰﾅｰ</t>
  </si>
  <si>
    <t>1305回</t>
  </si>
  <si>
    <t>BMW640I ｸﾞﾗﾝｸｰﾍﾟMｽﾎﾟｰﾂ</t>
  </si>
  <si>
    <t>4/11/3</t>
  </si>
  <si>
    <t>杉並 310 ほ 415</t>
  </si>
  <si>
    <t>301 ち 5230</t>
  </si>
  <si>
    <t>WBA6A02040DZ11555</t>
  </si>
  <si>
    <t>株式会社ｵﾘｴﾝﾄｺｰﾎﾟﾚｰｼｮﾝ</t>
  </si>
  <si>
    <t>1/21</t>
  </si>
  <si>
    <t>保証書 取説 ｷｰﾚｽ</t>
  </si>
  <si>
    <t>1月抹消済</t>
  </si>
  <si>
    <t>25/10</t>
  </si>
  <si>
    <t>ﾀﾝﾄ GA</t>
  </si>
  <si>
    <t>4/10</t>
  </si>
  <si>
    <t>豊橋 580 に 2664</t>
  </si>
  <si>
    <t>581 の 234</t>
  </si>
  <si>
    <t>B00131753</t>
  </si>
  <si>
    <t>茶色</t>
  </si>
  <si>
    <t>LA600S-0004167</t>
  </si>
  <si>
    <t>愛知ﾄﾖﾀ自動車株式会社</t>
  </si>
  <si>
    <t>2/6</t>
  </si>
  <si>
    <t>保証書 取説 ｷｰﾚｽ ｽﾍﾟｱｷｰ(車内）</t>
    <phoneticPr fontId="13"/>
  </si>
  <si>
    <t>11月抹消済</t>
    <rPh sb="2" eb="3">
      <t>ガツ</t>
    </rPh>
    <rPh sb="3" eb="6">
      <t>マッショウズ</t>
    </rPh>
    <phoneticPr fontId="13"/>
  </si>
  <si>
    <t>947回</t>
  </si>
  <si>
    <t xml:space="preserve"> BMWﾐﾆ ｸｰﾊﾟｰS</t>
  </si>
  <si>
    <t>大阪 350 ま 125</t>
  </si>
  <si>
    <t>保証書 ｽﾍﾟｱｷｰ ﾜﾝｵｰﾅｰ</t>
  </si>
  <si>
    <t>WMWXR52090TM81733</t>
  </si>
  <si>
    <t>西田 美智子</t>
  </si>
  <si>
    <t>2/4</t>
  </si>
  <si>
    <t>1041回</t>
  </si>
  <si>
    <t>堺 399 に 6416</t>
  </si>
  <si>
    <t>保証書 取説 ｽﾍﾟｱｷｰ ﾜﾝｵｰﾅｰ</t>
  </si>
  <si>
    <t>ＺＦＡ3340000Ｐ646547</t>
  </si>
  <si>
    <t>八光自動車工業株式会社</t>
  </si>
  <si>
    <t>保証書 取説 ｷｰﾚｽ ﾜﾝｵｰﾅｰ</t>
    <phoneticPr fontId="13"/>
  </si>
  <si>
    <t>詳細</t>
  </si>
  <si>
    <t>1042回</t>
  </si>
  <si>
    <t>ﾏｾﾗﾃｨ ｷﾞﾌﾞﾘ</t>
  </si>
  <si>
    <t>神戸 335 る 36</t>
  </si>
  <si>
    <t>ZAMSS57C001126563</t>
  </si>
  <si>
    <t>株式会社ﾈﾛ</t>
  </si>
  <si>
    <t>保証書 取説 ﾅﾋﾞ取 ｷｰﾚｽ</t>
  </si>
  <si>
    <t>1313回</t>
  </si>
  <si>
    <t>BMWﾐﾆｸｰﾍﾟ ｸｰﾊﾟｰS</t>
  </si>
  <si>
    <t>沖縄 333 ね 58</t>
  </si>
  <si>
    <t>WMWXS720302C50609</t>
  </si>
  <si>
    <t>株式会社IDOM</t>
  </si>
  <si>
    <t>3/18</t>
  </si>
  <si>
    <t xml:space="preserve">保証書 取説 ｷｰﾚｽ </t>
  </si>
  <si>
    <t>1290回</t>
  </si>
  <si>
    <t>BMW740I Mｽﾎﾟｰﾂ ﾘｱｺﾝﾌｫｰﾄﾊﾟｯｹｰｼﾞ</t>
  </si>
  <si>
    <t>3/9</t>
  </si>
  <si>
    <t>福岡 325 ね 358</t>
  </si>
  <si>
    <t>31L そ  5</t>
  </si>
  <si>
    <t>WBA7A22060G751094</t>
  </si>
  <si>
    <t>ﾕｲ株式会社</t>
  </si>
  <si>
    <t>保証書 取説 ﾄﾞﾗﾚｺ取説 ｷｰﾚｽ ｾｷｭﾘﾃｨﾘﾓｺﾝ2つ ﾃﾚｷｬﾝ</t>
  </si>
  <si>
    <t>28/6</t>
  </si>
  <si>
    <t>BMW220Iｸｰﾍﾟ Mｽﾎﾟｰﾂ</t>
  </si>
  <si>
    <t>鹿児島 334 ち 4</t>
  </si>
  <si>
    <t>保証書 取説 ﾅﾋﾞ取</t>
  </si>
  <si>
    <t>WBA1J120X0Y467740</t>
  </si>
  <si>
    <t>株式会社ｾｲﾊﾞｰ</t>
  </si>
  <si>
    <t>1291回</t>
  </si>
  <si>
    <t>ｱﾙﾌｧﾛﾒｵﾐﾄ ｺﾝﾍﾟﾃｨﾂｨｵｰﾈ</t>
  </si>
  <si>
    <t>熊本 334 め 708</t>
  </si>
  <si>
    <t>ZAR9550000X045327</t>
  </si>
  <si>
    <t>海江田 ちひろ</t>
  </si>
  <si>
    <t>3/25</t>
  </si>
  <si>
    <t>ｷｰﾚｽ（車内） 保証書 取説 ﾅﾋﾞ取</t>
    <phoneticPr fontId="13"/>
  </si>
  <si>
    <t>24/6</t>
  </si>
  <si>
    <t>BMWﾐﾆ ｸｰﾊﾟｰSｸｰﾍﾟ</t>
  </si>
  <si>
    <t>大阪 599 も 107</t>
  </si>
  <si>
    <t>ﾎﾝﾀﾞ関西（まとめ）</t>
  </si>
  <si>
    <t>WMWSX32080T442328</t>
    <phoneticPr fontId="13"/>
  </si>
  <si>
    <t>空港自販株式会社</t>
  </si>
  <si>
    <t>4/13</t>
  </si>
  <si>
    <t>1776回</t>
  </si>
  <si>
    <t>BMWﾐﾆ ｼﾞｮﾝｸｰﾊﾟｰﾜｰｸｽ</t>
  </si>
  <si>
    <t>和歌山 330 て 7072</t>
  </si>
  <si>
    <t>保証書 取説</t>
  </si>
  <si>
    <t>ﾐﾗｲﾌﾞ大阪（AS)</t>
  </si>
  <si>
    <t>WMWXM920702D05892</t>
  </si>
  <si>
    <t>株式会社ﾋﾞｰｴﾑﾊﾅﾃﾝ</t>
  </si>
  <si>
    <t>4/18</t>
  </si>
  <si>
    <t>844回</t>
  </si>
  <si>
    <t>ﾗﾝﾄﾞﾛｰﾊﾞｰ ﾃﾞｨｽｶﾊﾞﾘｰ</t>
  </si>
  <si>
    <t>山梨 330 そ 1322</t>
  </si>
  <si>
    <t>SALLTAMP34A837678</t>
  </si>
  <si>
    <t>飯島 浩二</t>
  </si>
  <si>
    <t>4/19</t>
  </si>
  <si>
    <t>取説(車内)</t>
  </si>
  <si>
    <t>1052回</t>
  </si>
  <si>
    <t>20/2</t>
  </si>
  <si>
    <t>ｴﾌﾞﾘｨﾜｺﾞﾝ PZﾀｰﾎﾞｽﾍﾟｼｬﾙ</t>
  </si>
  <si>
    <t>岡山 580 た 714</t>
  </si>
  <si>
    <t>DA64W-262998</t>
  </si>
  <si>
    <t>飛鳥ﾎﾝﾀﾞ株式会社</t>
  </si>
  <si>
    <t>4/27</t>
  </si>
  <si>
    <t>1890回</t>
  </si>
  <si>
    <t>ﾌﾟｼﾞｮｰRCZ GTﾗｲﾝ</t>
  </si>
  <si>
    <t>福井 300 ほ 9355</t>
  </si>
  <si>
    <t>VF34J5FVAFP003786</t>
  </si>
  <si>
    <t>株式会社 GP福井</t>
  </si>
  <si>
    <t>5/22</t>
  </si>
  <si>
    <t>保証書 取説 ﾅﾋﾞ取 ｷｰﾚｽ ﾜﾝｵｰﾅｰ</t>
  </si>
  <si>
    <t>1597回</t>
  </si>
  <si>
    <t>ｼﾄﾛｴﾝDS5  ｼｯｸ ﾚｻﾞｰﾊﾟｯｹｰｼﾞ</t>
  </si>
  <si>
    <t>三河 302 た 8518</t>
  </si>
  <si>
    <t>VF7KF5GZTGS507623</t>
  </si>
  <si>
    <t>ﾄﾖﾀｶﾛｰﾗ愛豊株式会社</t>
  </si>
  <si>
    <t>取説 ﾅﾋﾞ取 ｷｰﾚｽ(車内)   手帳</t>
  </si>
  <si>
    <t>1300回</t>
  </si>
  <si>
    <t>25/9</t>
  </si>
  <si>
    <t>BMW ｱｸﾃｨﾌﾞﾊｲﾌﾞﾘｯﾄ3 Mｽﾎﾟｰﾂ</t>
  </si>
  <si>
    <t>4/9</t>
  </si>
  <si>
    <t>長崎 332 す 3838</t>
  </si>
  <si>
    <t>保証書 取説 ｽﾍﾟｱｷｰ 記録 ﾜﾝｵｰﾅｰ</t>
  </si>
  <si>
    <t>301 つ 251</t>
  </si>
  <si>
    <t>WBA3F92060KL53521</t>
  </si>
  <si>
    <t>医療法人社団 宮崎耳鼻咽喉科医院</t>
  </si>
  <si>
    <t>保証書 取説 ﾅﾋﾞ取 ｷｰﾚｽ 記録 法人ﾜﾝｵｰﾅｰ</t>
  </si>
  <si>
    <t>1090回</t>
  </si>
  <si>
    <t>ｱｳﾃﾞｨRS4</t>
  </si>
  <si>
    <t>姫路 300 ひ 3579</t>
  </si>
  <si>
    <t>ｽﾍﾟｱｷｰ</t>
  </si>
  <si>
    <t>WAUZZZ8E17N906286</t>
  </si>
  <si>
    <t>株式会社 阪神小型ﾓｰﾀｰｽ</t>
  </si>
  <si>
    <t>1325回</t>
  </si>
  <si>
    <t>ﾗﾝﾄﾞﾛｰﾊﾞｰ ﾃﾞｨｽｶﾊﾞﾘｰ SE</t>
  </si>
  <si>
    <t>浜松 358 は 10</t>
  </si>
  <si>
    <t>301 つ 1201</t>
  </si>
  <si>
    <t>SALLAJAD3DA654558</t>
  </si>
  <si>
    <t>1894回</t>
  </si>
  <si>
    <t>ｱｳﾃﾞｨRS4 ｱﾊﾞﾝﾄ 4.2ｸﾜﾄﾛ</t>
  </si>
  <si>
    <t>岐阜 302 も 375</t>
  </si>
  <si>
    <t>WAUZZZ8E37N906533</t>
  </si>
  <si>
    <t>岡田 猛</t>
  </si>
  <si>
    <t>29/11</t>
  </si>
  <si>
    <t>BMW M2ｸｰﾍﾟ</t>
  </si>
  <si>
    <t>品川 326 る 7352</t>
  </si>
  <si>
    <t>保証書 ﾜﾝｵｰﾅｰ</t>
  </si>
  <si>
    <t>WBS1J52000VD42672</t>
  </si>
  <si>
    <t>ﾋﾞｰｴﾑﾀﾞﾌﾞﾘｭｰｼﾞｬﾊﾟﾝﾌｧｲﾅﾝｽ株式会社</t>
  </si>
  <si>
    <t xml:space="preserve">BMW M3 </t>
  </si>
  <si>
    <t>4/7</t>
  </si>
  <si>
    <t>船橋 300 さ 6607</t>
  </si>
  <si>
    <t>301 つ 1198</t>
  </si>
  <si>
    <t>WBSVA91020E039433</t>
  </si>
  <si>
    <t>株式会社ﾄｯﾌﾟﾗﾝｸ</t>
  </si>
  <si>
    <t>保証書 取説 ｷｰﾚｽ ﾘﾓｺﾝ</t>
  </si>
  <si>
    <t>BMW 220Iｸｰﾍﾟ</t>
  </si>
  <si>
    <t>4/12</t>
  </si>
  <si>
    <t>大阪 343 め1000</t>
  </si>
  <si>
    <t>301 つ1196</t>
  </si>
  <si>
    <t>WBA2H52070VB21588</t>
  </si>
  <si>
    <t>株式会社ﾋﾞｰ・ｴﾑ・ﾀﾞﾌﾞﾘｭｰ・ｼﾞｬﾊﾟﾝ・ﾌｧｲﾅﾝｽ</t>
  </si>
  <si>
    <t>7/4</t>
  </si>
  <si>
    <t>27/6</t>
  </si>
  <si>
    <t>ｼﾞｬｶﾞーXF 2.0R ｽﾎﾟｰﾂLTDｴﾃﾞｨｼｮﾝ</t>
  </si>
  <si>
    <t>神戸 381 る 23</t>
  </si>
  <si>
    <t>301 つ 2405</t>
    <phoneticPr fontId="13"/>
  </si>
  <si>
    <t>SAJKC05M8FPU75294</t>
  </si>
  <si>
    <t>7/6</t>
  </si>
  <si>
    <t>ｼﾄﾛｴﾝGC4 ﾋﾟｶｿ ｼｬｲﾝ ﾌﾞﾙｰHDI</t>
  </si>
  <si>
    <t>練馬 302 ち 9522</t>
  </si>
  <si>
    <t>301 つ 2408</t>
    <phoneticPr fontId="13"/>
  </si>
  <si>
    <t>VF73AAHXTHJ544918</t>
  </si>
  <si>
    <t>株式会社 ｸﾞﾗﾝﾃﾞｨｽﾞﾑ</t>
  </si>
  <si>
    <t>7/11</t>
  </si>
  <si>
    <t>保証書 取説(車内)    ｷｰﾚｽ</t>
  </si>
  <si>
    <t>3/11/28</t>
  </si>
  <si>
    <t>尾張小牧 330 な 3141</t>
  </si>
  <si>
    <t>保証書 法人ﾜﾝｵｰﾅｰ</t>
  </si>
  <si>
    <t>WBSPM92060E198387</t>
  </si>
  <si>
    <t>医療法人おおわきﾚﾃﾞｨｽｸﾘﾆｯｸ</t>
  </si>
  <si>
    <t>7/15</t>
  </si>
  <si>
    <t>保証書 取説 ｷｰﾚｽ 法人ﾜﾝｵｰﾅｰ</t>
  </si>
  <si>
    <t>BMW M3 ｸｰﾍﾟ</t>
  </si>
  <si>
    <t>成田 399 す 2805</t>
  </si>
  <si>
    <t>WBSWD910X0PY30406</t>
  </si>
  <si>
    <t>株式会社 ｼﾞｮｲﾙｰﾄ</t>
  </si>
  <si>
    <t>7/18</t>
  </si>
  <si>
    <t>28/7</t>
  </si>
  <si>
    <t>BMW320I GT Mｽﾎﾟｰﾂ</t>
  </si>
  <si>
    <t>和泉 337 ま 128</t>
  </si>
  <si>
    <t>WBA3X12080D737139</t>
  </si>
  <si>
    <t>ｴﾙﾍﾞｵｰﾄ株式会社</t>
  </si>
  <si>
    <t>7/20</t>
  </si>
  <si>
    <t>BMW420I ｸｰﾍﾟ Mｽﾎﾟｰﾂ</t>
  </si>
  <si>
    <t>神戸 304 す 6224</t>
  </si>
  <si>
    <t>保証書 取説 ｽﾍﾟｱｷｰ TVﾘﾓｺﾝ</t>
  </si>
  <si>
    <t>301 つ 2402</t>
    <phoneticPr fontId="13"/>
  </si>
  <si>
    <t>WBA3N12040K410125</t>
  </si>
  <si>
    <t>株式会社ﾔﾅｾ</t>
  </si>
  <si>
    <t>7/22</t>
  </si>
  <si>
    <t>保証書 ｷｰﾚｽ ﾘﾓｺﾝ</t>
    <phoneticPr fontId="13"/>
  </si>
  <si>
    <t>取説 小売りで使用</t>
    <rPh sb="0" eb="2">
      <t>トリセツ</t>
    </rPh>
    <rPh sb="3" eb="5">
      <t>コウ</t>
    </rPh>
    <rPh sb="7" eb="9">
      <t>シヨウ</t>
    </rPh>
    <phoneticPr fontId="13"/>
  </si>
  <si>
    <t>24/2</t>
  </si>
  <si>
    <t>5/3</t>
  </si>
  <si>
    <t>水戸 527 に   3</t>
  </si>
  <si>
    <t>501 み 3248</t>
    <phoneticPr fontId="13"/>
  </si>
  <si>
    <t>WMWSV32030T151113</t>
    <phoneticPr fontId="13"/>
  </si>
  <si>
    <t>株式会社ﾌﾟﾛﾌｨｰﾙ</t>
  </si>
  <si>
    <t xml:space="preserve">保証書 取説 ﾅﾋﾞ取 ﾐﾆB-CAS </t>
  </si>
  <si>
    <t>神戸 547 さ 1</t>
  </si>
  <si>
    <t>保証書 手帳 取説 ｽﾍﾟｱｷｰ</t>
  </si>
  <si>
    <t>ﾚｯﾄﾞⅡ</t>
  </si>
  <si>
    <t>WMWSX32020T139738</t>
  </si>
  <si>
    <t>株式会社神戸ﾏﾂﾀﾞ</t>
  </si>
  <si>
    <t>7/29</t>
  </si>
  <si>
    <t>保証書 手帳 取説 ｷｰﾚｽ</t>
  </si>
  <si>
    <t>BMW320I ﾂｰﾘﾝｸﾞMｽﾎﾟｰﾂ</t>
  </si>
  <si>
    <t>4/3/30</t>
  </si>
  <si>
    <t>湘南 345 ぬ 27</t>
  </si>
  <si>
    <t>保証書 取説 記録簿（H30.R2.R3）</t>
  </si>
  <si>
    <t>301 つ 2401</t>
    <phoneticPr fontId="13"/>
  </si>
  <si>
    <t>WBA8G32040K779174</t>
  </si>
  <si>
    <t>菊池 正貢</t>
  </si>
  <si>
    <t>8/5</t>
  </si>
  <si>
    <t>保証書 取説 ｷｰﾚｽ 記録</t>
  </si>
  <si>
    <t>ｱﾊﾞﾙﾄ 595ﾂｰﾘｽﾞﾓ</t>
  </si>
  <si>
    <t>5/1/28</t>
  </si>
  <si>
    <t>愛媛 501 ぬ 8876</t>
  </si>
  <si>
    <t>501 み 2943</t>
    <phoneticPr fontId="13"/>
  </si>
  <si>
    <t>ｶﾞﾝM</t>
  </si>
  <si>
    <t>ZFA31200001472895</t>
  </si>
  <si>
    <t>医療法人 いちかわ内視鏡内科ｸﾘﾆｯｸ</t>
  </si>
  <si>
    <t>8/8</t>
  </si>
  <si>
    <t>ｷｰﾚｽ(車内)   保証書 取説 法人ﾜﾝｵｰﾅｰ</t>
  </si>
  <si>
    <t>1月抹消済</t>
    <rPh sb="1" eb="2">
      <t>ガツ</t>
    </rPh>
    <rPh sb="2" eb="5">
      <t>マッショウズ</t>
    </rPh>
    <phoneticPr fontId="13"/>
  </si>
  <si>
    <t>25/2</t>
  </si>
  <si>
    <t>4/2/21</t>
  </si>
  <si>
    <t>大分 533 は 1006</t>
  </si>
  <si>
    <t>501 み 3247</t>
    <phoneticPr fontId="13"/>
  </si>
  <si>
    <t>WMWSV32080T152337</t>
    <phoneticPr fontId="13"/>
  </si>
  <si>
    <t>株式会社ｲﾝﾊﾟｸﾄ</t>
  </si>
  <si>
    <t>車検月2ヶ月違いｸﾚｰﾑ済</t>
  </si>
  <si>
    <t>5/2/22</t>
  </si>
  <si>
    <t>奈良 344 ゆ 3377</t>
  </si>
  <si>
    <t>301 つ 3428</t>
    <phoneticPr fontId="13"/>
  </si>
  <si>
    <t>WBA2H52040VB21595</t>
  </si>
  <si>
    <t>株式会社 ﾐﾅﾐｼﾏ自動車販売</t>
  </si>
  <si>
    <t>8/10</t>
  </si>
  <si>
    <t>3/8</t>
  </si>
  <si>
    <t>足立 330 さ 9850</t>
  </si>
  <si>
    <t>保証書 取説 地ﾃﾞｼﾞﾘﾓｺﾝ ｽﾏｰﾄｷｰ</t>
  </si>
  <si>
    <t>WMWXT720X02H18638</t>
  </si>
  <si>
    <t>前川 米夫</t>
  </si>
  <si>
    <t>保証書 取説 ｷｰﾚｽ ﾘﾓｺﾝ ﾜﾝｵｰﾅｰ</t>
  </si>
  <si>
    <t>29/7</t>
    <phoneticPr fontId="13"/>
  </si>
  <si>
    <t>MﾍﾞﾝﾂG350ｄ  ﾗｸﾞｼﾞｭｱﾘｰﾊﾟｯｹｰｼﾞ</t>
    <phoneticPr fontId="13"/>
  </si>
  <si>
    <t>4/7/30</t>
    <phoneticPr fontId="13"/>
  </si>
  <si>
    <t>名古屋 345 て 3776</t>
    <rPh sb="0" eb="3">
      <t>ナゴヤ</t>
    </rPh>
    <phoneticPr fontId="13"/>
  </si>
  <si>
    <t>保証書 ﾜﾝｵｰﾅｰ  点検記録30/7、R1/7、R2/7</t>
    <rPh sb="0" eb="3">
      <t>ホショウショ</t>
    </rPh>
    <rPh sb="12" eb="16">
      <t>テンケンキロク</t>
    </rPh>
    <phoneticPr fontId="13"/>
  </si>
  <si>
    <t>371 ひ 6</t>
    <phoneticPr fontId="13"/>
  </si>
  <si>
    <t>USS名古屋</t>
    <rPh sb="3" eb="6">
      <t>ナゴヤ</t>
    </rPh>
    <phoneticPr fontId="13"/>
  </si>
  <si>
    <t>ｸﾞﾚｰM</t>
    <phoneticPr fontId="13"/>
  </si>
  <si>
    <t>WDB4633482X268304</t>
    <phoneticPr fontId="13"/>
  </si>
  <si>
    <t>株式会社 服部ﾓｰﾀｰｽ</t>
    <rPh sb="0" eb="4">
      <t>カブシキガイシャ</t>
    </rPh>
    <rPh sb="5" eb="7">
      <t>ハットリ</t>
    </rPh>
    <phoneticPr fontId="13"/>
  </si>
  <si>
    <t>9/3</t>
    <phoneticPr fontId="13"/>
  </si>
  <si>
    <t>保証書 取説 ｷｰﾚｽ 記録OK 法人ﾜﾝｵｰﾅｰ</t>
    <rPh sb="0" eb="3">
      <t>ホショウショ</t>
    </rPh>
    <rPh sb="4" eb="6">
      <t>トリセツ</t>
    </rPh>
    <rPh sb="12" eb="14">
      <t>キロク</t>
    </rPh>
    <rPh sb="17" eb="19">
      <t>ホウジン</t>
    </rPh>
    <phoneticPr fontId="13"/>
  </si>
  <si>
    <t>27/4</t>
    <phoneticPr fontId="13"/>
  </si>
  <si>
    <t>ｼﾞｬｶﾞｰ F CPｹｲﾆｼｺﾘｴﾃﾞｨｼｮﾝ</t>
    <phoneticPr fontId="13"/>
  </si>
  <si>
    <t>4/4/27</t>
    <phoneticPr fontId="13"/>
  </si>
  <si>
    <t>大分 330 み 1986</t>
    <rPh sb="0" eb="2">
      <t>オオイタ</t>
    </rPh>
    <phoneticPr fontId="13"/>
  </si>
  <si>
    <t>保証書 取説 記録</t>
    <rPh sb="0" eb="3">
      <t>ホショウショ</t>
    </rPh>
    <rPh sb="4" eb="5">
      <t>トリ</t>
    </rPh>
    <rPh sb="5" eb="6">
      <t>セツ</t>
    </rPh>
    <rPh sb="7" eb="9">
      <t>キロク</t>
    </rPh>
    <phoneticPr fontId="13"/>
  </si>
  <si>
    <t>301 つ 3423</t>
    <phoneticPr fontId="13"/>
  </si>
  <si>
    <t>USS九州</t>
    <rPh sb="3" eb="5">
      <t>キュウシュウ</t>
    </rPh>
    <phoneticPr fontId="13"/>
  </si>
  <si>
    <t>ｵﾚﾝｼﾞ</t>
    <phoneticPr fontId="13"/>
  </si>
  <si>
    <t>SAJKC60F1G8K23782</t>
    <phoneticPr fontId="13"/>
  </si>
  <si>
    <t>株式会社ｵｰｼｰ</t>
    <rPh sb="0" eb="4">
      <t>カブシキガイシャ</t>
    </rPh>
    <phoneticPr fontId="13"/>
  </si>
  <si>
    <t>9/2</t>
    <phoneticPr fontId="13"/>
  </si>
  <si>
    <t>保証書 取説 記録</t>
    <rPh sb="0" eb="3">
      <t>ホショウショ</t>
    </rPh>
    <rPh sb="4" eb="6">
      <t>トリセツ</t>
    </rPh>
    <rPh sb="7" eb="9">
      <t>キロク</t>
    </rPh>
    <phoneticPr fontId="13"/>
  </si>
  <si>
    <t>27/5</t>
    <phoneticPr fontId="13"/>
  </si>
  <si>
    <t>BMWﾐﾆｸｰﾊﾟｰS JCWﾊﾟｯｹｰｼﾞ</t>
    <phoneticPr fontId="13"/>
  </si>
  <si>
    <t>4/5</t>
    <phoneticPr fontId="13"/>
  </si>
  <si>
    <t>岡山 385 ら 1122</t>
    <rPh sb="0" eb="2">
      <t>オカヤマ</t>
    </rPh>
    <phoneticPr fontId="13"/>
  </si>
  <si>
    <t>保証書 ｽﾍﾟｱｷｰ</t>
    <rPh sb="0" eb="3">
      <t>ホショウショ</t>
    </rPh>
    <phoneticPr fontId="13"/>
  </si>
  <si>
    <t>301 つ 4545</t>
    <phoneticPr fontId="13"/>
  </si>
  <si>
    <t>HAA</t>
    <phoneticPr fontId="13"/>
  </si>
  <si>
    <t>ｸﾞﾚｰⅡ</t>
    <phoneticPr fontId="13"/>
  </si>
  <si>
    <t>WMWXS720402C46679</t>
    <phoneticPr fontId="13"/>
  </si>
  <si>
    <t>山内 一幸</t>
    <rPh sb="0" eb="2">
      <t>ヤマウチ</t>
    </rPh>
    <rPh sb="3" eb="5">
      <t>カズユキ</t>
    </rPh>
    <phoneticPr fontId="13"/>
  </si>
  <si>
    <t>9/19</t>
    <phoneticPr fontId="13"/>
  </si>
  <si>
    <t>28/8</t>
    <phoneticPr fontId="13"/>
  </si>
  <si>
    <t>BMWﾐﾆｸｰﾊﾟｰS ｺﾝﾊﾞｰﾁﾌﾞﾙ</t>
    <phoneticPr fontId="13"/>
  </si>
  <si>
    <t>和泉 329 す 865</t>
    <rPh sb="0" eb="2">
      <t>イズミ</t>
    </rPh>
    <phoneticPr fontId="13"/>
  </si>
  <si>
    <t>保証書 ﾜﾝｵｰﾅｰ</t>
    <rPh sb="0" eb="3">
      <t>ホショウショ</t>
    </rPh>
    <phoneticPr fontId="13"/>
  </si>
  <si>
    <t>青</t>
    <rPh sb="0" eb="1">
      <t>アオ</t>
    </rPh>
    <phoneticPr fontId="13"/>
  </si>
  <si>
    <t>WMWWG720703C10315</t>
    <phoneticPr fontId="13"/>
  </si>
  <si>
    <t>ﾌｫｰｼｰｽﾞﾝｽﾞ株式会社</t>
    <rPh sb="10" eb="14">
      <t>カブシキガイシャ</t>
    </rPh>
    <phoneticPr fontId="13"/>
  </si>
  <si>
    <t>BMW 640i ｸﾞﾗﾝｸｰﾍﾟ Mｽﾎﾟｰﾂﾊﾟｯｹｰｼﾞ</t>
    <phoneticPr fontId="13"/>
  </si>
  <si>
    <t>福岡 331 は 3007</t>
    <rPh sb="0" eb="2">
      <t>フクオカ</t>
    </rPh>
    <phoneticPr fontId="13"/>
  </si>
  <si>
    <t>取説</t>
    <rPh sb="0" eb="2">
      <t>トリセツ</t>
    </rPh>
    <phoneticPr fontId="13"/>
  </si>
  <si>
    <t>34X り 5</t>
    <phoneticPr fontId="13"/>
  </si>
  <si>
    <t>WBA6A02030DZ11255</t>
    <phoneticPr fontId="13"/>
  </si>
  <si>
    <t>株式会社 JCM</t>
    <rPh sb="0" eb="4">
      <t>カブシキガイシャ</t>
    </rPh>
    <phoneticPr fontId="13"/>
  </si>
  <si>
    <t>取説 ｷｰﾚｽ</t>
    <rPh sb="0" eb="1">
      <t>トリ</t>
    </rPh>
    <rPh sb="1" eb="2">
      <t>セツ</t>
    </rPh>
    <phoneticPr fontId="13"/>
  </si>
  <si>
    <t>31/3</t>
    <phoneticPr fontId="13"/>
  </si>
  <si>
    <t>BMWﾐﾆ ｸｰﾊﾟｰSD</t>
    <phoneticPr fontId="13"/>
  </si>
  <si>
    <t>4/3/27</t>
    <phoneticPr fontId="13"/>
  </si>
  <si>
    <t>横浜 304 ゆ 3280</t>
    <rPh sb="0" eb="2">
      <t>ヨコハマ</t>
    </rPh>
    <phoneticPr fontId="13"/>
  </si>
  <si>
    <t>301 つ 4546</t>
    <phoneticPr fontId="13"/>
  </si>
  <si>
    <t>USS横浜</t>
    <rPh sb="3" eb="5">
      <t>ヨコハマ</t>
    </rPh>
    <phoneticPr fontId="13"/>
  </si>
  <si>
    <t>白</t>
    <rPh sb="0" eb="1">
      <t>シロ</t>
    </rPh>
    <phoneticPr fontId="13"/>
  </si>
  <si>
    <t>WMWXT720902H91872</t>
    <phoneticPr fontId="13"/>
  </si>
  <si>
    <t>ﾋﾞｰｴﾑﾀﾞﾌﾞﾘｭｰｼﾞｬﾊﾟﾝﾌｧｲﾅﾝｽ株式会社</t>
    <rPh sb="24" eb="28">
      <t>カブシキガイシャ</t>
    </rPh>
    <phoneticPr fontId="13"/>
  </si>
  <si>
    <t>9/18</t>
    <phoneticPr fontId="13"/>
  </si>
  <si>
    <t>保証書 取説 ｷｰﾚｽ 法人ﾜﾝｵｰﾅｰ</t>
    <rPh sb="0" eb="3">
      <t>ホショウショ</t>
    </rPh>
    <rPh sb="4" eb="6">
      <t>トリセツ</t>
    </rPh>
    <rPh sb="12" eb="14">
      <t>ホウジン</t>
    </rPh>
    <phoneticPr fontId="13"/>
  </si>
  <si>
    <t>30/9</t>
    <phoneticPr fontId="13"/>
  </si>
  <si>
    <t>ｼﾄﾛｴﾝC3 ｴﾙ ｽﾍﾟｼｬﾙED</t>
    <phoneticPr fontId="13"/>
  </si>
  <si>
    <t>山形 300 る 3270</t>
    <rPh sb="0" eb="2">
      <t>ヤマガタ</t>
    </rPh>
    <phoneticPr fontId="13"/>
  </si>
  <si>
    <t>USS東京</t>
    <rPh sb="3" eb="5">
      <t>トウキョウ</t>
    </rPh>
    <phoneticPr fontId="13"/>
  </si>
  <si>
    <t>白Ⅱ</t>
    <rPh sb="0" eb="1">
      <t>シロ</t>
    </rPh>
    <phoneticPr fontId="13"/>
  </si>
  <si>
    <t>VF7SXHNZTJ553210</t>
    <phoneticPr fontId="13"/>
  </si>
  <si>
    <t>ｽﾏｲﾙｽﾞﾌﾟﾛｼﾞｪｸﾄ株式会社</t>
    <rPh sb="14" eb="18">
      <t>カブシキガイシャ</t>
    </rPh>
    <phoneticPr fontId="13"/>
  </si>
  <si>
    <t>9/30</t>
    <phoneticPr fontId="13"/>
  </si>
  <si>
    <t xml:space="preserve">保証書 取説 </t>
    <rPh sb="0" eb="3">
      <t>ホショウショ</t>
    </rPh>
    <rPh sb="4" eb="6">
      <t>トリセツ</t>
    </rPh>
    <phoneticPr fontId="13"/>
  </si>
  <si>
    <t>28/10</t>
    <phoneticPr fontId="13"/>
  </si>
  <si>
    <t>BMWﾐﾆ ｸｰﾊﾟｰ</t>
    <phoneticPr fontId="13"/>
  </si>
  <si>
    <t>横浜 330 は 8231</t>
    <rPh sb="0" eb="2">
      <t>ヨコハマ</t>
    </rPh>
    <phoneticPr fontId="13"/>
  </si>
  <si>
    <t>保証書 取説 Sｷｰ</t>
    <rPh sb="0" eb="3">
      <t>ホショウショ</t>
    </rPh>
    <rPh sb="4" eb="6">
      <t>トリセツ</t>
    </rPh>
    <phoneticPr fontId="13"/>
  </si>
  <si>
    <t>赤Ⅱ</t>
    <rPh sb="0" eb="1">
      <t>アカ</t>
    </rPh>
    <phoneticPr fontId="13"/>
  </si>
  <si>
    <t>WMWXS520902C92318</t>
    <phoneticPr fontId="13"/>
  </si>
  <si>
    <t>ｳｴｲﾝｽﾞｲﾝﾎﾟｰﾄｶｰｽﾞ株式会社</t>
    <rPh sb="16" eb="20">
      <t>カブシキガイシャ</t>
    </rPh>
    <phoneticPr fontId="13"/>
  </si>
  <si>
    <t>10/9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</si>
  <si>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</si>
  <si>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30/5</t>
    <phoneticPr fontId="13"/>
  </si>
  <si>
    <t>ｼﾄﾛｴﾝC3 ｼｬｲﾝ</t>
    <phoneticPr fontId="13"/>
  </si>
  <si>
    <t>なにわ 326 は 3461</t>
    <phoneticPr fontId="13"/>
  </si>
  <si>
    <t>詳細</t>
    <rPh sb="0" eb="2">
      <t>ショウサイ</t>
    </rPh>
    <phoneticPr fontId="13"/>
  </si>
  <si>
    <t>黒Ⅱ</t>
    <rPh sb="0" eb="1">
      <t>クロ</t>
    </rPh>
    <phoneticPr fontId="13"/>
  </si>
  <si>
    <t>VF7SXHNZTJT538270</t>
    <phoneticPr fontId="13"/>
  </si>
  <si>
    <t>株式会社 はなまる</t>
    <rPh sb="0" eb="4">
      <t>カブシキガイシャ</t>
    </rPh>
    <phoneticPr fontId="13"/>
  </si>
  <si>
    <t>10/14</t>
    <phoneticPr fontId="13"/>
  </si>
  <si>
    <t>26/9</t>
    <phoneticPr fontId="13"/>
  </si>
  <si>
    <t>ﾌﾟｼﾞｮｰ RCZﾍﾞｰｽｸﾞﾚｰﾄﾞ</t>
    <phoneticPr fontId="13"/>
  </si>
  <si>
    <t>下関 399 さ 4847</t>
    <rPh sb="0" eb="2">
      <t>シモノセキ</t>
    </rPh>
    <phoneticPr fontId="13"/>
  </si>
  <si>
    <t>ﾚｯﾄﾞⅡ</t>
    <phoneticPr fontId="13"/>
  </si>
  <si>
    <t>VF34J5FVADP008252</t>
    <phoneticPr fontId="13"/>
  </si>
  <si>
    <t>株式会社 CARｵｰｸｼｮﾝ</t>
    <rPh sb="0" eb="4">
      <t>カブシキガイシャ</t>
    </rPh>
    <phoneticPr fontId="13"/>
  </si>
  <si>
    <t>16/8</t>
    <phoneticPr fontId="13"/>
  </si>
  <si>
    <t>ﾗﾝﾄﾞﾛｰﾊﾞｰ ﾃﾞｨｽｶﾊﾞﾘｰ ﾛｲﾔﾙｴﾃﾞｨｼｮﾝ</t>
    <phoneticPr fontId="13"/>
  </si>
  <si>
    <t>3/10</t>
    <phoneticPr fontId="13"/>
  </si>
  <si>
    <t>多摩 330 み 1336</t>
    <rPh sb="0" eb="2">
      <t>タマ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</si>
  <si>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</si>
  <si>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399 つ 8081</t>
    <phoneticPr fontId="13"/>
  </si>
  <si>
    <t>紺</t>
    <rPh sb="0" eb="1">
      <t>コン</t>
    </rPh>
    <phoneticPr fontId="13"/>
  </si>
  <si>
    <t>SALLTAMP34A858648</t>
    <phoneticPr fontId="13"/>
  </si>
  <si>
    <t>荒井 康隆</t>
    <rPh sb="0" eb="2">
      <t>アライ</t>
    </rPh>
    <rPh sb="3" eb="4">
      <t>コウ</t>
    </rPh>
    <rPh sb="4" eb="5">
      <t>リュウ</t>
    </rPh>
    <phoneticPr fontId="13"/>
  </si>
  <si>
    <t>10/16</t>
    <phoneticPr fontId="13"/>
  </si>
  <si>
    <t>保証書 取説 ｽﾍﾟｱｷｰ</t>
    <rPh sb="0" eb="3">
      <t>ホショウショ</t>
    </rPh>
    <rPh sb="4" eb="5">
      <t>トリ</t>
    </rPh>
    <rPh sb="5" eb="6">
      <t>セツ</t>
    </rPh>
    <phoneticPr fontId="13"/>
  </si>
  <si>
    <t>29/2</t>
    <phoneticPr fontId="13"/>
  </si>
  <si>
    <t>BMW M4ｸｰﾍﾟ</t>
    <phoneticPr fontId="13"/>
  </si>
  <si>
    <t>4/2</t>
    <phoneticPr fontId="13"/>
  </si>
  <si>
    <t>横浜 305 ぬ 1546</t>
    <rPh sb="0" eb="2">
      <t>ヨコハマ</t>
    </rPh>
    <phoneticPr fontId="13"/>
  </si>
  <si>
    <t>手帳 取説  ﾜﾝｵｰﾅｰ</t>
    <rPh sb="0" eb="2">
      <t>テチョウ</t>
    </rPh>
    <rPh sb="3" eb="5">
      <t>トリセツ</t>
    </rPh>
    <phoneticPr fontId="13"/>
  </si>
  <si>
    <t>301 つ 5840</t>
    <phoneticPr fontId="13"/>
  </si>
  <si>
    <t>WBS3R92050K346689</t>
    <phoneticPr fontId="13"/>
  </si>
  <si>
    <t>株式会社 ﾔﾅｾ</t>
    <rPh sb="0" eb="4">
      <t>カブシキガイシャ</t>
    </rPh>
    <phoneticPr fontId="13"/>
  </si>
  <si>
    <t>10/17</t>
    <phoneticPr fontId="13"/>
  </si>
  <si>
    <t>26/12</t>
    <phoneticPr fontId="13"/>
  </si>
  <si>
    <t>Mﾍﾞﾝﾂ S550L AMG ｽﾎﾟｰﾂPKG</t>
    <phoneticPr fontId="13"/>
  </si>
  <si>
    <t>5/4</t>
    <phoneticPr fontId="13"/>
  </si>
  <si>
    <t>練馬 342 な 81</t>
    <rPh sb="0" eb="2">
      <t>ネリマ</t>
    </rPh>
    <phoneticPr fontId="13"/>
  </si>
  <si>
    <t>社用車</t>
    <rPh sb="0" eb="3">
      <t>シャヨウシャ</t>
    </rPh>
    <phoneticPr fontId="13"/>
  </si>
  <si>
    <t>31Y む 5</t>
    <phoneticPr fontId="13"/>
  </si>
  <si>
    <t>WDD2221821A117883</t>
    <phoneticPr fontId="13"/>
  </si>
  <si>
    <t>株式会社ｵﾘｴﾝﾄｺｰﾎﾟﾚｰｼｮﾝ</t>
    <rPh sb="0" eb="4">
      <t>カブシキガイシャ</t>
    </rPh>
    <phoneticPr fontId="13"/>
  </si>
  <si>
    <t>10/22</t>
    <phoneticPr fontId="13"/>
  </si>
  <si>
    <t>保証書 取説 ｷｰﾚｽ ﾘﾓｺﾝ</t>
    <rPh sb="0" eb="3">
      <t>ホショウショ</t>
    </rPh>
    <rPh sb="4" eb="6">
      <t>トリセツ</t>
    </rPh>
    <phoneticPr fontId="13"/>
  </si>
  <si>
    <t>17/3</t>
    <phoneticPr fontId="13"/>
  </si>
  <si>
    <t>ﾗﾝﾄﾞﾛｰﾊﾞｰ ﾃﾞｨｽｶﾊﾞﾘｰ HSE</t>
    <phoneticPr fontId="13"/>
  </si>
  <si>
    <t>金沢 300 に 5236</t>
    <rPh sb="0" eb="2">
      <t>カナザワ</t>
    </rPh>
    <phoneticPr fontId="13"/>
  </si>
  <si>
    <t>399 つ 8588</t>
    <phoneticPr fontId="13"/>
  </si>
  <si>
    <t>SALLTAMP34A857799</t>
    <phoneticPr fontId="13"/>
  </si>
  <si>
    <t>相川 二郎</t>
    <rPh sb="0" eb="2">
      <t>アイカワ</t>
    </rPh>
    <rPh sb="3" eb="5">
      <t>ジロウ</t>
    </rPh>
    <phoneticPr fontId="13"/>
  </si>
  <si>
    <t>10/21</t>
    <phoneticPr fontId="13"/>
  </si>
  <si>
    <t>ｸﾚｰﾑ終わり次第抹消</t>
    <rPh sb="4" eb="5">
      <t>オ</t>
    </rPh>
    <rPh sb="7" eb="9">
      <t>シダイ</t>
    </rPh>
    <rPh sb="9" eb="11">
      <t>マッショウ</t>
    </rPh>
    <phoneticPr fontId="13"/>
  </si>
  <si>
    <t>28/4</t>
    <phoneticPr fontId="13"/>
  </si>
  <si>
    <t>5/4/26</t>
    <phoneticPr fontId="13"/>
  </si>
  <si>
    <t>堺 300 に 7035</t>
    <rPh sb="0" eb="1">
      <t>サカイ</t>
    </rPh>
    <phoneticPr fontId="13"/>
  </si>
  <si>
    <t>保証書</t>
    <rPh sb="0" eb="3">
      <t>ホショウショ</t>
    </rPh>
    <phoneticPr fontId="13"/>
  </si>
  <si>
    <t>301 つ 5041</t>
    <phoneticPr fontId="13"/>
  </si>
  <si>
    <t>WMWXS720202C50679</t>
    <phoneticPr fontId="13"/>
  </si>
  <si>
    <t>ﾌﾟﾚﾐｱ株式会社</t>
    <rPh sb="5" eb="9">
      <t>カブシキガイシャ</t>
    </rPh>
    <phoneticPr fontId="13"/>
  </si>
  <si>
    <t>10/28</t>
    <phoneticPr fontId="13"/>
  </si>
  <si>
    <t>27/2</t>
    <phoneticPr fontId="13"/>
  </si>
  <si>
    <t>ﾙﾉｰ ﾒｶﾞｰﾇｴｽﾃｰﾄ GT220</t>
    <phoneticPr fontId="13"/>
  </si>
  <si>
    <t>岐阜 302 た 7100</t>
    <rPh sb="0" eb="2">
      <t>ギフ</t>
    </rPh>
    <phoneticPr fontId="13"/>
  </si>
  <si>
    <t>保証書 取説 ｽﾍﾟｱｷｰ？  ﾜﾝｵｰﾅｰ</t>
    <rPh sb="0" eb="3">
      <t>ホショウショ</t>
    </rPh>
    <rPh sb="4" eb="6">
      <t>トリセツ</t>
    </rPh>
    <phoneticPr fontId="13"/>
  </si>
  <si>
    <t>399 つ 8587</t>
    <phoneticPr fontId="13"/>
  </si>
  <si>
    <t>ﾌﾞﾙｰM</t>
    <phoneticPr fontId="13"/>
  </si>
  <si>
    <t>VF1KZY306E0701347</t>
    <phoneticPr fontId="13"/>
  </si>
  <si>
    <t>株式会社 ｺﾞﾄｳｽﾊﾞﾙ</t>
    <rPh sb="0" eb="4">
      <t>カブシキガイシャ</t>
    </rPh>
    <phoneticPr fontId="13"/>
  </si>
  <si>
    <t>11/4</t>
    <phoneticPr fontId="13"/>
  </si>
  <si>
    <t>保証書 取説 ｷｰﾚｽ ｶｰﾄﾞ型ｷｰﾚｽ ﾜﾝｵｰﾅｰ</t>
    <rPh sb="0" eb="3">
      <t>ホショウショ</t>
    </rPh>
    <rPh sb="4" eb="5">
      <t>トリ</t>
    </rPh>
    <rPh sb="5" eb="6">
      <t>セツ</t>
    </rPh>
    <rPh sb="16" eb="17">
      <t>ガタ</t>
    </rPh>
    <phoneticPr fontId="13"/>
  </si>
  <si>
    <t>11月抹消済</t>
    <rPh sb="2" eb="3">
      <t>ガツ</t>
    </rPh>
    <rPh sb="3" eb="5">
      <t>マッショウ</t>
    </rPh>
    <rPh sb="5" eb="6">
      <t>ズ</t>
    </rPh>
    <phoneticPr fontId="13"/>
  </si>
  <si>
    <t>28/2</t>
    <phoneticPr fontId="13"/>
  </si>
  <si>
    <t>ﾌﾟｼﾞｮｰ5008 ﾌﾟﾚﾐｱﾑ</t>
    <phoneticPr fontId="13"/>
  </si>
  <si>
    <t>5/2</t>
    <phoneticPr fontId="13"/>
  </si>
  <si>
    <t>名古屋 331 み 5008</t>
    <rPh sb="0" eb="3">
      <t>ナゴヤ</t>
    </rPh>
    <phoneticPr fontId="13"/>
  </si>
  <si>
    <t>取説 ｽﾍﾟｱｷｰ</t>
    <rPh sb="0" eb="2">
      <t>トリセツ</t>
    </rPh>
    <phoneticPr fontId="13"/>
  </si>
  <si>
    <t>301 つ 6871</t>
    <phoneticPr fontId="13"/>
  </si>
  <si>
    <t>VF30E5FVAFS084089</t>
    <phoneticPr fontId="13"/>
  </si>
  <si>
    <t>株式会社ｼﾞｬｯｸｽ</t>
    <rPh sb="0" eb="4">
      <t>カブシキカイシャ</t>
    </rPh>
    <phoneticPr fontId="13"/>
  </si>
  <si>
    <t>11/9</t>
    <phoneticPr fontId="13"/>
  </si>
  <si>
    <t>28/6</t>
    <phoneticPr fontId="13"/>
  </si>
  <si>
    <t>BMW 118I Mｽﾎﾟｰﾂ</t>
    <phoneticPr fontId="13"/>
  </si>
  <si>
    <t>5/6</t>
    <phoneticPr fontId="13"/>
  </si>
  <si>
    <t>岐阜 302 と 6612</t>
    <rPh sb="0" eb="2">
      <t>ギフ</t>
    </rPh>
    <phoneticPr fontId="13"/>
  </si>
  <si>
    <t>301 つ 6359</t>
    <phoneticPr fontId="13"/>
  </si>
  <si>
    <t>ﾌﾞﾙｰ</t>
    <phoneticPr fontId="13"/>
  </si>
  <si>
    <t>WBA1R520505C71837</t>
    <phoneticPr fontId="13"/>
  </si>
  <si>
    <t>水野 貴</t>
    <rPh sb="0" eb="2">
      <t>ミズノ</t>
    </rPh>
    <rPh sb="3" eb="4">
      <t>タカシ</t>
    </rPh>
    <phoneticPr fontId="13"/>
  </si>
  <si>
    <t>11/16</t>
    <phoneticPr fontId="13"/>
  </si>
  <si>
    <t>ｷｰﾚｽ(車内)   保証書 取説 ﾘﾓｺﾝ ﾜﾝｵｰﾅｰ</t>
    <rPh sb="5" eb="7">
      <t>シャナイ</t>
    </rPh>
    <rPh sb="11" eb="14">
      <t>ホショウショ</t>
    </rPh>
    <rPh sb="15" eb="17">
      <t>トリセツ</t>
    </rPh>
    <phoneticPr fontId="13"/>
  </si>
  <si>
    <t>多摩 326 た 7407</t>
    <rPh sb="0" eb="2">
      <t>タマ</t>
    </rPh>
    <phoneticPr fontId="13"/>
  </si>
  <si>
    <t>保証書 取説 ﾅﾋﾞ取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</si>
  <si>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TAA横浜</t>
    <rPh sb="3" eb="5">
      <t>ヨコハマ</t>
    </rPh>
    <phoneticPr fontId="13"/>
  </si>
  <si>
    <t>VF30E5FVADS219373</t>
    <phoneticPr fontId="13"/>
  </si>
  <si>
    <t>株式会社 ﾎﾝﾀﾞｶｰｽﾞ東京中央</t>
    <rPh sb="0" eb="4">
      <t>カブシキガイシャ</t>
    </rPh>
    <rPh sb="13" eb="15">
      <t>トウキョウ</t>
    </rPh>
    <rPh sb="15" eb="17">
      <t>チュウオウ</t>
    </rPh>
    <phoneticPr fontId="13"/>
  </si>
  <si>
    <t>ｷｰﾚｽ 地図SD ﾐﾆB-CAS（車内）   保証書 取説 ﾅﾋﾞ取 ｱﾝﾃﾅ</t>
    <rPh sb="5" eb="7">
      <t>チズ</t>
    </rPh>
    <rPh sb="18" eb="20">
      <t>シャナイ</t>
    </rPh>
    <rPh sb="24" eb="27">
      <t>ホショウショ</t>
    </rPh>
    <rPh sb="28" eb="30">
      <t>トリセツ</t>
    </rPh>
    <rPh sb="34" eb="35">
      <t>トリ</t>
    </rPh>
    <phoneticPr fontId="13"/>
  </si>
  <si>
    <t>SDｶｰﾄﾞとﾐﾆB-CAS現車に装着済</t>
    <rPh sb="14" eb="16">
      <t>ゲンシャ</t>
    </rPh>
    <rPh sb="17" eb="20">
      <t>ソウチャクズ</t>
    </rPh>
    <phoneticPr fontId="13"/>
  </si>
  <si>
    <t>29/3</t>
    <phoneticPr fontId="13"/>
  </si>
  <si>
    <t>N-WGN G SSﾊﾟｯｹｰｼﾞ</t>
    <phoneticPr fontId="13"/>
  </si>
  <si>
    <t>3/3</t>
    <phoneticPr fontId="13"/>
  </si>
  <si>
    <t>R</t>
    <phoneticPr fontId="13"/>
  </si>
  <si>
    <t>香川 581 か 1697</t>
    <rPh sb="0" eb="2">
      <t>カガワ</t>
    </rPh>
    <phoneticPr fontId="13"/>
  </si>
  <si>
    <t>ﾚﾝﾀ歴ありｸﾚｰﾑ済</t>
    <rPh sb="3" eb="4">
      <t>レキ</t>
    </rPh>
    <rPh sb="10" eb="11">
      <t>スミ</t>
    </rPh>
    <phoneticPr fontId="13"/>
  </si>
  <si>
    <t>Sellca</t>
    <phoneticPr fontId="13"/>
  </si>
  <si>
    <t>A87666</t>
    <phoneticPr fontId="13"/>
  </si>
  <si>
    <t>ｼﾙﾊﾞｰ</t>
    <phoneticPr fontId="13"/>
  </si>
  <si>
    <t>JH1-1335633</t>
    <phoneticPr fontId="13"/>
  </si>
  <si>
    <t>田中 綾乃</t>
    <rPh sb="0" eb="2">
      <t>タナカ</t>
    </rPh>
    <rPh sb="3" eb="4">
      <t>アヤ</t>
    </rPh>
    <rPh sb="4" eb="5">
      <t>ノ</t>
    </rPh>
    <phoneticPr fontId="13"/>
  </si>
  <si>
    <t>11/27</t>
    <phoneticPr fontId="13"/>
  </si>
  <si>
    <t>保証書 取説 ﾅﾋﾞ取 ﾚﾝﾀ歴</t>
    <rPh sb="0" eb="3">
      <t>ホショウショ</t>
    </rPh>
    <rPh sb="4" eb="5">
      <t>トリ</t>
    </rPh>
    <rPh sb="5" eb="6">
      <t>セツ</t>
    </rPh>
    <rPh sb="10" eb="11">
      <t>トリ</t>
    </rPh>
    <rPh sb="15" eb="16">
      <t>レキ</t>
    </rPh>
    <phoneticPr fontId="13"/>
  </si>
  <si>
    <t>31/2</t>
    <phoneticPr fontId="13"/>
  </si>
  <si>
    <t>ｱﾊﾞﾙﾄ595 ﾂｰﾘｽﾞﾓ</t>
    <phoneticPr fontId="13"/>
  </si>
  <si>
    <t>福岡 546 ぬ 115</t>
    <rPh sb="0" eb="2">
      <t>フクオカ</t>
    </rPh>
    <phoneticPr fontId="13"/>
  </si>
  <si>
    <t>599 て 9685</t>
    <phoneticPr fontId="13"/>
  </si>
  <si>
    <t>ZFA3120000JA57644</t>
    <phoneticPr fontId="13"/>
  </si>
  <si>
    <t>株式会社 ｼﾞｬｯｸｽ</t>
    <rPh sb="0" eb="4">
      <t>カブシキガイシャ</t>
    </rPh>
    <phoneticPr fontId="13"/>
  </si>
  <si>
    <t>11/28</t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</si>
  <si>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</si>
  <si>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12月抹消済</t>
    <rPh sb="2" eb="3">
      <t>ガツ</t>
    </rPh>
    <rPh sb="3" eb="5">
      <t>マッショウ</t>
    </rPh>
    <rPh sb="5" eb="6">
      <t>ズ</t>
    </rPh>
    <phoneticPr fontId="13"/>
  </si>
  <si>
    <t>BMWM235Iｸｰﾍﾟ</t>
    <phoneticPr fontId="13"/>
  </si>
  <si>
    <t>一宮 300 に 7280</t>
    <rPh sb="0" eb="2">
      <t>イチノミヤ</t>
    </rPh>
    <phoneticPr fontId="13"/>
  </si>
  <si>
    <t xml:space="preserve">保証書 取説 ｽﾍﾟｱｷｰ    </t>
    <rPh sb="0" eb="3">
      <t>ホショウショ</t>
    </rPh>
    <rPh sb="4" eb="6">
      <t>トリセツ</t>
    </rPh>
    <phoneticPr fontId="13"/>
  </si>
  <si>
    <t>301 つ 6873</t>
    <phoneticPr fontId="13"/>
  </si>
  <si>
    <t>NAA名古屋（まとめ）</t>
    <rPh sb="3" eb="6">
      <t>ナゴヤ</t>
    </rPh>
    <phoneticPr fontId="13"/>
  </si>
  <si>
    <t>WBA1J72060V486269</t>
    <phoneticPr fontId="13"/>
  </si>
  <si>
    <t>竹尾 光昭</t>
    <rPh sb="0" eb="2">
      <t>タケオ</t>
    </rPh>
    <rPh sb="3" eb="5">
      <t>ミツテル</t>
    </rPh>
    <phoneticPr fontId="13"/>
  </si>
  <si>
    <t>12/2</t>
    <phoneticPr fontId="13"/>
  </si>
  <si>
    <t>保証書 取説 ｷｰﾚｽ</t>
    <rPh sb="0" eb="3">
      <t>ホショウショ</t>
    </rPh>
    <rPh sb="4" eb="6">
      <t>トリセツ</t>
    </rPh>
    <phoneticPr fontId="13"/>
  </si>
  <si>
    <t>3月抹消済</t>
    <rPh sb="1" eb="2">
      <t>ガツ</t>
    </rPh>
    <rPh sb="2" eb="4">
      <t>マッショウ</t>
    </rPh>
    <rPh sb="4" eb="5">
      <t>ズ</t>
    </rPh>
    <phoneticPr fontId="13"/>
  </si>
  <si>
    <t>30/10</t>
    <phoneticPr fontId="13"/>
  </si>
  <si>
    <t>奈良 301 そ 7568</t>
    <rPh sb="0" eb="2">
      <t>ナラ</t>
    </rPh>
    <phoneticPr fontId="13"/>
  </si>
  <si>
    <t>保証書 手帳 取説 ｽﾍﾟｱｷｰ ﾜﾝｵｰﾅｰ</t>
    <rPh sb="0" eb="3">
      <t>ホショウショ</t>
    </rPh>
    <rPh sb="4" eb="6">
      <t>テチョウ</t>
    </rPh>
    <rPh sb="7" eb="8">
      <t>トリ</t>
    </rPh>
    <rPh sb="8" eb="9">
      <t>セツ</t>
    </rPh>
    <phoneticPr fontId="13"/>
  </si>
  <si>
    <t>ZIP大阪</t>
    <rPh sb="3" eb="5">
      <t>オオサカ</t>
    </rPh>
    <phoneticPr fontId="13"/>
  </si>
  <si>
    <t>ｵﾚﾝｼﾞⅡ</t>
    <phoneticPr fontId="13"/>
  </si>
  <si>
    <t>WMWXT720902H18274</t>
    <phoneticPr fontId="13"/>
  </si>
  <si>
    <t>株式会社 ﾓﾄｰﾚﾝﾃｨｰｱｲ</t>
    <rPh sb="0" eb="4">
      <t>カブシキガイシャ</t>
    </rPh>
    <phoneticPr fontId="13"/>
  </si>
  <si>
    <t>12/5</t>
    <phoneticPr fontId="13"/>
  </si>
  <si>
    <t>26/7</t>
    <phoneticPr fontId="13"/>
  </si>
  <si>
    <t>BMWﾐﾆｼﾞｮﾝｸｰﾊﾟｰﾜｰｸｽ ｺﾝﾊﾞｰﾁﾌﾞﾙ</t>
    <phoneticPr fontId="13"/>
  </si>
  <si>
    <t>京都 599 め 4</t>
    <rPh sb="0" eb="2">
      <t>キョウト</t>
    </rPh>
    <phoneticPr fontId="13"/>
  </si>
  <si>
    <t>WMWMR92090T430579</t>
    <phoneticPr fontId="13"/>
  </si>
  <si>
    <t>株式会社ﾋﾞｰｴﾑﾊﾅﾃﾝ</t>
    <rPh sb="0" eb="4">
      <t>カブシキカイシャ</t>
    </rPh>
    <phoneticPr fontId="13"/>
  </si>
  <si>
    <t>12/16</t>
    <phoneticPr fontId="13"/>
  </si>
  <si>
    <t>27/8</t>
    <phoneticPr fontId="13"/>
  </si>
  <si>
    <t>ｼﾞｬｶﾞｰXE ﾌﾟﾚｽﾃｰｼﾞ</t>
    <phoneticPr fontId="13"/>
  </si>
  <si>
    <t>4/8</t>
    <phoneticPr fontId="13"/>
  </si>
  <si>
    <t>世田谷 311 ふ 1117</t>
    <rPh sb="0" eb="3">
      <t>セタガヤ</t>
    </rPh>
    <phoneticPr fontId="13"/>
  </si>
  <si>
    <t>保証書 手帳 取説   名変期限1/24まで</t>
    <rPh sb="0" eb="3">
      <t>ホショウショ</t>
    </rPh>
    <rPh sb="4" eb="6">
      <t>テチョウ</t>
    </rPh>
    <rPh sb="7" eb="8">
      <t>トリ</t>
    </rPh>
    <rPh sb="8" eb="9">
      <t>セツ</t>
    </rPh>
    <rPh sb="12" eb="14">
      <t>メイヘン</t>
    </rPh>
    <rPh sb="14" eb="16">
      <t>キゲン</t>
    </rPh>
    <phoneticPr fontId="13"/>
  </si>
  <si>
    <t>SAJAB4AG8GA905870</t>
    <phoneticPr fontId="13"/>
  </si>
  <si>
    <t>株式会社 たきおか</t>
    <rPh sb="0" eb="4">
      <t>カブシキガイシャ</t>
    </rPh>
    <phoneticPr fontId="13"/>
  </si>
  <si>
    <t>12/9</t>
    <phoneticPr fontId="13"/>
  </si>
  <si>
    <t>保証書 取説 ﾅﾋﾞ取 ｷｰﾚｽ</t>
    <rPh sb="0" eb="3">
      <t>ホショウショ</t>
    </rPh>
    <rPh sb="4" eb="5">
      <t>トリ</t>
    </rPh>
    <rPh sb="5" eb="6">
      <t>セツ</t>
    </rPh>
    <rPh sb="10" eb="11">
      <t>トリ</t>
    </rPh>
    <phoneticPr fontId="13"/>
  </si>
  <si>
    <t>28/11</t>
    <phoneticPr fontId="13"/>
  </si>
  <si>
    <t>VWｻﾞ・ﾋﾞｰﾄﾙ ﾊｯｼｭﾀｸﾞﾋﾟﾝｸﾋﾞｰﾄﾙ</t>
    <phoneticPr fontId="13"/>
  </si>
  <si>
    <t>京都 399 ゆ 1820</t>
    <rPh sb="0" eb="2">
      <t>キョウト</t>
    </rPh>
    <phoneticPr fontId="13"/>
  </si>
  <si>
    <t>保証書 手帳 ﾜﾝｵｰﾅｰ</t>
    <rPh sb="0" eb="3">
      <t>ホショウショ</t>
    </rPh>
    <rPh sb="4" eb="6">
      <t>テチョウ</t>
    </rPh>
    <phoneticPr fontId="13"/>
  </si>
  <si>
    <t>ﾌﾚｯｼｭﾌｸｼｱﾒﾀﾘｯｸ</t>
    <phoneticPr fontId="13"/>
  </si>
  <si>
    <t>WVWZZZ16ZHM605818</t>
    <phoneticPr fontId="13"/>
  </si>
  <si>
    <t>株式会社ﾌｧｰﾚﾝ京都</t>
    <rPh sb="0" eb="4">
      <t>カブシキガイシャ</t>
    </rPh>
    <rPh sb="9" eb="11">
      <t>キョウト</t>
    </rPh>
    <phoneticPr fontId="13"/>
  </si>
  <si>
    <t>保証書 ﾅﾋﾞ取 地図SD ﾜﾝｵｰﾅｰ</t>
    <rPh sb="0" eb="3">
      <t>ホショウショ</t>
    </rPh>
    <rPh sb="7" eb="8">
      <t>トリ</t>
    </rPh>
    <rPh sb="9" eb="11">
      <t>チズ</t>
    </rPh>
    <phoneticPr fontId="13"/>
  </si>
  <si>
    <t>SDｶｰﾄﾞ現車装着済</t>
    <rPh sb="6" eb="8">
      <t>ゲンシャ</t>
    </rPh>
    <rPh sb="8" eb="10">
      <t>ソウチャク</t>
    </rPh>
    <rPh sb="10" eb="11">
      <t>ズミ</t>
    </rPh>
    <phoneticPr fontId="13"/>
  </si>
  <si>
    <t>28/12</t>
    <phoneticPr fontId="13"/>
  </si>
  <si>
    <t>BMWﾐﾆｸｰﾊﾟｰ SD</t>
    <phoneticPr fontId="13"/>
  </si>
  <si>
    <t>岡山 335 る 327</t>
    <rPh sb="0" eb="2">
      <t>オカヤマ</t>
    </rPh>
    <phoneticPr fontId="13"/>
  </si>
  <si>
    <t>USS岡山</t>
    <rPh sb="3" eb="5">
      <t>オカヤマ</t>
    </rPh>
    <phoneticPr fontId="13"/>
  </si>
  <si>
    <t>ﾌﾞﾗｯｸⅡ</t>
    <phoneticPr fontId="13"/>
  </si>
  <si>
    <t>WMWXT72070T859688</t>
    <phoneticPr fontId="13"/>
  </si>
  <si>
    <t>株式会社日産ｻﾃｨｵ岡山</t>
    <rPh sb="0" eb="4">
      <t>カブシキガイシャ</t>
    </rPh>
    <rPh sb="4" eb="6">
      <t>ニッサン</t>
    </rPh>
    <rPh sb="10" eb="12">
      <t>オカヤマ</t>
    </rPh>
    <phoneticPr fontId="13"/>
  </si>
  <si>
    <t>12/18</t>
    <phoneticPr fontId="13"/>
  </si>
  <si>
    <t>保証書 取説 ｷｰﾚｽ(車内) ﾜﾝｵｰﾅｰ</t>
    <rPh sb="0" eb="3">
      <t>ホショウショ</t>
    </rPh>
    <rPh sb="4" eb="5">
      <t>トリ</t>
    </rPh>
    <rPh sb="5" eb="6">
      <t>セツ</t>
    </rPh>
    <rPh sb="12" eb="14">
      <t>シャナイ</t>
    </rPh>
    <phoneticPr fontId="13"/>
  </si>
  <si>
    <t>ﾌﾟｼﾞｮｰ 5008 ｼｴﾛ  ﾋﾞﾃﾞｵﾊﾟｯｹｰｼﾞ</t>
    <phoneticPr fontId="13"/>
  </si>
  <si>
    <t>4/6</t>
    <phoneticPr fontId="13"/>
  </si>
  <si>
    <t>神戸 338 は 5868</t>
    <rPh sb="0" eb="2">
      <t>コウベ</t>
    </rPh>
    <phoneticPr fontId="13"/>
  </si>
  <si>
    <t>保証書 取説 ﾅﾋﾞSD ﾜﾝｵｰﾅｰ</t>
    <rPh sb="0" eb="3">
      <t>ホショウショ</t>
    </rPh>
    <rPh sb="4" eb="5">
      <t>トリ</t>
    </rPh>
    <rPh sb="5" eb="6">
      <t>セツ</t>
    </rPh>
    <phoneticPr fontId="13"/>
  </si>
  <si>
    <t>399 つ 9363</t>
    <phoneticPr fontId="13"/>
  </si>
  <si>
    <t>VF30E5FVADS244781</t>
    <phoneticPr fontId="13"/>
  </si>
  <si>
    <t>保証書 取説 ﾅﾋﾞ取 地図SD その他SD ﾜﾝｵｰﾅｰ</t>
    <rPh sb="0" eb="3">
      <t>ホショウショ</t>
    </rPh>
    <rPh sb="4" eb="6">
      <t>トリセツ</t>
    </rPh>
    <rPh sb="10" eb="11">
      <t>トリ</t>
    </rPh>
    <rPh sb="12" eb="14">
      <t>チズ</t>
    </rPh>
    <rPh sb="19" eb="20">
      <t>タ</t>
    </rPh>
    <phoneticPr fontId="13"/>
  </si>
  <si>
    <t>1月抹消済</t>
    <rPh sb="1" eb="2">
      <t>ガツ</t>
    </rPh>
    <rPh sb="2" eb="4">
      <t>マッショウ</t>
    </rPh>
    <rPh sb="4" eb="5">
      <t>ズ</t>
    </rPh>
    <phoneticPr fontId="13"/>
  </si>
  <si>
    <t>24/3</t>
    <phoneticPr fontId="13"/>
  </si>
  <si>
    <t>BMWﾐﾆｸｰﾊﾟｰS ｸｰﾍﾟ</t>
    <phoneticPr fontId="13"/>
  </si>
  <si>
    <t>4/10</t>
    <phoneticPr fontId="13"/>
  </si>
  <si>
    <t>大阪 550 む 3298</t>
    <rPh sb="0" eb="2">
      <t>オオサカ</t>
    </rPh>
    <phoneticPr fontId="13"/>
  </si>
  <si>
    <t xml:space="preserve">保証書 </t>
    <rPh sb="0" eb="3">
      <t>ホショウショ</t>
    </rPh>
    <phoneticPr fontId="13"/>
  </si>
  <si>
    <t>ﾓﾆﾀｰ良さんに渡してます</t>
    <rPh sb="4" eb="5">
      <t>リョウ</t>
    </rPh>
    <rPh sb="8" eb="9">
      <t>ワタ</t>
    </rPh>
    <phoneticPr fontId="13"/>
  </si>
  <si>
    <t>501 み 6961</t>
    <phoneticPr fontId="13"/>
  </si>
  <si>
    <t>WMWSX32030T404134</t>
    <phoneticPr fontId="13"/>
  </si>
  <si>
    <t>松岡 大祐</t>
    <rPh sb="0" eb="2">
      <t>マツオカ</t>
    </rPh>
    <rPh sb="3" eb="5">
      <t>ダイスケ</t>
    </rPh>
    <phoneticPr fontId="13"/>
  </si>
  <si>
    <t>保証書 取説 ﾓﾆﾀｰ</t>
    <rPh sb="0" eb="3">
      <t>ホショウショ</t>
    </rPh>
    <rPh sb="4" eb="6">
      <t>トリセツ</t>
    </rPh>
    <phoneticPr fontId="13"/>
  </si>
  <si>
    <t>29/6</t>
    <phoneticPr fontId="13"/>
  </si>
  <si>
    <t>BMW530I ﾗｸﾞｼﾞｭｱﾘｰ</t>
    <phoneticPr fontId="13"/>
  </si>
  <si>
    <t>岡崎 312 さ 88</t>
    <rPh sb="0" eb="2">
      <t>オカザキ</t>
    </rPh>
    <phoneticPr fontId="13"/>
  </si>
  <si>
    <t>CAA中部（まとめ）</t>
    <rPh sb="3" eb="5">
      <t>チュウブ</t>
    </rPh>
    <phoneticPr fontId="13"/>
  </si>
  <si>
    <t>WBAJA52050WA34573</t>
    <phoneticPr fontId="13"/>
  </si>
  <si>
    <t>簗瀬 辰五郎</t>
    <rPh sb="1" eb="2">
      <t>セ</t>
    </rPh>
    <rPh sb="3" eb="6">
      <t>タツゴロウ</t>
    </rPh>
    <phoneticPr fontId="13"/>
  </si>
  <si>
    <t>12/21</t>
    <phoneticPr fontId="13"/>
  </si>
  <si>
    <t>BMWﾐﾆｼﾞｮﾝｸｰﾊﾟｰﾜｰｸｽ</t>
    <phoneticPr fontId="13"/>
  </si>
  <si>
    <t>品川 39A さ 5576</t>
    <rPh sb="0" eb="2">
      <t>シナガワ</t>
    </rPh>
    <phoneticPr fontId="13"/>
  </si>
  <si>
    <t>ｸﾞﾘｰﾝ</t>
    <phoneticPr fontId="13"/>
  </si>
  <si>
    <t>WMWXM920002D05863</t>
    <phoneticPr fontId="13"/>
  </si>
  <si>
    <t>ﾋﾞｰ・ｴﾑ・ﾀﾞﾌﾞﾘｭｰ・ｼﾞｬﾊﾟﾝ・ﾌｧｲﾅﾝｽ株式会社</t>
    <rPh sb="28" eb="32">
      <t>カブシキガイシャ</t>
    </rPh>
    <phoneticPr fontId="13"/>
  </si>
  <si>
    <t>1/15</t>
    <phoneticPr fontId="13"/>
  </si>
  <si>
    <t>保証書 取説 ｷｰﾚｽ ﾘﾓｺﾝ</t>
    <rPh sb="0" eb="3">
      <t>ホショウショ</t>
    </rPh>
    <rPh sb="4" eb="5">
      <t>トリ</t>
    </rPh>
    <rPh sb="5" eb="6">
      <t>セツ</t>
    </rPh>
    <phoneticPr fontId="13"/>
  </si>
  <si>
    <t>25/4</t>
    <phoneticPr fontId="13"/>
  </si>
  <si>
    <t>ｱﾙﾌｧﾛﾒｵ ｼﾞｭﾘｴｯﾀ ｽﾎﾟﾙﾃｨｰﾊﾞ</t>
    <phoneticPr fontId="13"/>
  </si>
  <si>
    <t>滋賀 391 せ 8</t>
    <rPh sb="0" eb="2">
      <t>シガ</t>
    </rPh>
    <phoneticPr fontId="13"/>
  </si>
  <si>
    <t>ZAR94000007206654</t>
    <phoneticPr fontId="13"/>
  </si>
  <si>
    <t>日産ﾌﾟﾘﾝｽ滋賀販売株式会社</t>
    <rPh sb="0" eb="2">
      <t>ニッサン</t>
    </rPh>
    <rPh sb="7" eb="9">
      <t>シガ</t>
    </rPh>
    <rPh sb="9" eb="11">
      <t>ハンバイ</t>
    </rPh>
    <rPh sb="11" eb="15">
      <t>カブシキガイシャ</t>
    </rPh>
    <phoneticPr fontId="13"/>
  </si>
  <si>
    <t>1/18</t>
    <phoneticPr fontId="13"/>
  </si>
  <si>
    <t>25/9</t>
    <phoneticPr fontId="13"/>
  </si>
  <si>
    <t>BMWﾐﾆｸｰﾊﾟｰ ｸｰﾍﾟ</t>
    <phoneticPr fontId="13"/>
  </si>
  <si>
    <t>4/9</t>
    <phoneticPr fontId="13"/>
  </si>
  <si>
    <t>愛媛 533 と 822</t>
    <rPh sb="0" eb="2">
      <t>エヒメ</t>
    </rPh>
    <phoneticPr fontId="13"/>
  </si>
  <si>
    <t>501 み 7691</t>
    <phoneticPr fontId="13"/>
  </si>
  <si>
    <t>USS大阪</t>
    <rPh sb="3" eb="5">
      <t>オオサカ</t>
    </rPh>
    <phoneticPr fontId="13"/>
  </si>
  <si>
    <t>WMWSX12030T138022</t>
    <phoneticPr fontId="13"/>
  </si>
  <si>
    <t>山口 泰弘</t>
    <rPh sb="0" eb="2">
      <t>ヤマグチ</t>
    </rPh>
    <rPh sb="3" eb="5">
      <t>ヤスヒロ</t>
    </rPh>
    <phoneticPr fontId="13"/>
  </si>
  <si>
    <t>27/1</t>
    <phoneticPr fontId="13"/>
  </si>
  <si>
    <t>BMWﾐﾆ 3HB ｸｰﾊﾟｰS</t>
    <phoneticPr fontId="13"/>
  </si>
  <si>
    <t>なにわ 326 ほ 1110</t>
    <phoneticPr fontId="13"/>
  </si>
  <si>
    <t>緑Ⅱ</t>
    <rPh sb="0" eb="1">
      <t>ミドリ</t>
    </rPh>
    <phoneticPr fontId="13"/>
  </si>
  <si>
    <t>WMWXM72080T960493</t>
    <phoneticPr fontId="13"/>
  </si>
  <si>
    <t>双日ｵｰﾄｸﾞﾙｰﾌﾟ大阪株式会社</t>
    <rPh sb="0" eb="2">
      <t>ソウジツ</t>
    </rPh>
    <rPh sb="11" eb="13">
      <t>カブシキ</t>
    </rPh>
    <rPh sb="13" eb="15">
      <t>カイシャ</t>
    </rPh>
    <phoneticPr fontId="13"/>
  </si>
  <si>
    <t>1/29</t>
    <phoneticPr fontId="13"/>
  </si>
  <si>
    <t>取説（車内）   保証書 ﾜﾝｵｰﾅｰ</t>
    <rPh sb="0" eb="1">
      <t>トリ</t>
    </rPh>
    <rPh sb="1" eb="2">
      <t>セツ</t>
    </rPh>
    <rPh sb="3" eb="5">
      <t>シャナイ</t>
    </rPh>
    <rPh sb="9" eb="12">
      <t>ホショウショ</t>
    </rPh>
    <phoneticPr fontId="13"/>
  </si>
  <si>
    <t>26/3</t>
    <phoneticPr fontId="13"/>
  </si>
  <si>
    <t>BMW ｱｸﾃｨﾌﾞﾊｲﾌﾞﾘｯﾄﾞ3Mｽﾎﾟｰﾂ</t>
    <phoneticPr fontId="13"/>
  </si>
  <si>
    <t>横浜 326 み 8339</t>
    <rPh sb="0" eb="2">
      <t>ヨコハマ</t>
    </rPh>
    <phoneticPr fontId="13"/>
  </si>
  <si>
    <t>手帳 取説</t>
    <rPh sb="0" eb="2">
      <t>テチョウ</t>
    </rPh>
    <rPh sb="3" eb="4">
      <t>トリ</t>
    </rPh>
    <rPh sb="4" eb="5">
      <t>セツ</t>
    </rPh>
    <phoneticPr fontId="13"/>
  </si>
  <si>
    <t>WBA3F92030KL53881</t>
    <phoneticPr fontId="13"/>
  </si>
  <si>
    <t>株式会社ﾓﾄｰﾚﾝ湘南</t>
    <rPh sb="0" eb="4">
      <t>カブシキガイシャ</t>
    </rPh>
    <rPh sb="9" eb="11">
      <t>ショウナン</t>
    </rPh>
    <phoneticPr fontId="13"/>
  </si>
  <si>
    <t>2/8</t>
    <phoneticPr fontId="13"/>
  </si>
  <si>
    <t>BMWﾐﾆ 5HB ｸｰﾊﾟｰSD</t>
    <phoneticPr fontId="13"/>
  </si>
  <si>
    <t>5/12</t>
    <phoneticPr fontId="13"/>
  </si>
  <si>
    <t>山梨 300 ゆ 9333</t>
    <rPh sb="0" eb="2">
      <t>ヤマナシ</t>
    </rPh>
    <phoneticPr fontId="13"/>
  </si>
  <si>
    <t>301 て 435</t>
    <phoneticPr fontId="13"/>
  </si>
  <si>
    <t>ﾎﾜｲﾄⅡ</t>
    <phoneticPr fontId="13"/>
  </si>
  <si>
    <t>WMWXT720802F35058</t>
    <phoneticPr fontId="13"/>
  </si>
  <si>
    <t>西海 大地</t>
    <rPh sb="0" eb="2">
      <t>ニシウミ</t>
    </rPh>
    <rPh sb="3" eb="5">
      <t>ダイチ</t>
    </rPh>
    <phoneticPr fontId="13"/>
  </si>
  <si>
    <t>2/11</t>
    <phoneticPr fontId="13"/>
  </si>
  <si>
    <t>保証書 取説 ﾘﾓｺﾝ ﾚﾝﾁ×2</t>
    <rPh sb="0" eb="3">
      <t>ホショウショ</t>
    </rPh>
    <rPh sb="4" eb="6">
      <t>トリセツ</t>
    </rPh>
    <phoneticPr fontId="13"/>
  </si>
  <si>
    <t>27/9</t>
    <phoneticPr fontId="13"/>
  </si>
  <si>
    <t>BMW 220IｶﾌﾞﾘｵﾚMｽﾎﾟｰﾂ</t>
    <phoneticPr fontId="13"/>
  </si>
  <si>
    <t>横浜 305 に 3422</t>
    <rPh sb="0" eb="2">
      <t>ヨコハマ</t>
    </rPh>
    <phoneticPr fontId="13"/>
  </si>
  <si>
    <t>保証書 手帳 取説 ｽﾍﾟｱｷｰ</t>
    <rPh sb="0" eb="3">
      <t>ホショウショ</t>
    </rPh>
    <rPh sb="4" eb="6">
      <t>テチョウ</t>
    </rPh>
    <rPh sb="7" eb="8">
      <t>トリ</t>
    </rPh>
    <rPh sb="8" eb="9">
      <t>セツ</t>
    </rPh>
    <phoneticPr fontId="13"/>
  </si>
  <si>
    <t>ZIP東京</t>
    <rPh sb="3" eb="5">
      <t>トウキョウ</t>
    </rPh>
    <phoneticPr fontId="13"/>
  </si>
  <si>
    <t>WBA1L72070V491085</t>
    <phoneticPr fontId="13"/>
  </si>
  <si>
    <t>株式会社ﾔﾅｾ</t>
    <rPh sb="0" eb="4">
      <t>カブシキガイシャ</t>
    </rPh>
    <phoneticPr fontId="13"/>
  </si>
  <si>
    <t>3月抹消済</t>
    <rPh sb="1" eb="5">
      <t>ガツマッショウスミ</t>
    </rPh>
    <phoneticPr fontId="13"/>
  </si>
  <si>
    <t>29/4</t>
    <phoneticPr fontId="13"/>
  </si>
  <si>
    <t>ｱﾙﾌｧﾛﾒｵ ﾐﾄ ｽｰﾊﾟｰ</t>
    <phoneticPr fontId="13"/>
  </si>
  <si>
    <t>岐阜 318 ち   33</t>
    <rPh sb="0" eb="2">
      <t>ギフ</t>
    </rPh>
    <phoneticPr fontId="13"/>
  </si>
  <si>
    <t>ZAR9550000X059482</t>
    <phoneticPr fontId="13"/>
  </si>
  <si>
    <t>ﾄﾖﾀｶﾛｰﾗ岐阜 株式会社</t>
    <rPh sb="7" eb="9">
      <t>ギフ</t>
    </rPh>
    <rPh sb="10" eb="14">
      <t>カブシキガイシャ</t>
    </rPh>
    <phoneticPr fontId="13"/>
  </si>
  <si>
    <t>2/18</t>
    <phoneticPr fontId="13"/>
  </si>
  <si>
    <t>取説 ｷｰﾚｽ(車内)   保証書 ﾜﾝｵｰﾅｰ</t>
    <rPh sb="0" eb="1">
      <t>トリ</t>
    </rPh>
    <rPh sb="1" eb="2">
      <t>セツ</t>
    </rPh>
    <rPh sb="8" eb="10">
      <t>シャナイ</t>
    </rPh>
    <rPh sb="14" eb="17">
      <t>ホショウショ</t>
    </rPh>
    <phoneticPr fontId="13"/>
  </si>
  <si>
    <t>27/6</t>
    <phoneticPr fontId="13"/>
  </si>
  <si>
    <t>BMWﾐﾆｸｰﾊﾟｰS</t>
    <phoneticPr fontId="13"/>
  </si>
  <si>
    <t>多摩 303 ふ 8413</t>
    <rPh sb="0" eb="2">
      <t>タマ</t>
    </rPh>
    <phoneticPr fontId="13"/>
  </si>
  <si>
    <t>保証書 Sｷｰ</t>
    <rPh sb="0" eb="3">
      <t>ホショウショ</t>
    </rPh>
    <phoneticPr fontId="13"/>
  </si>
  <si>
    <t>ﾚｯﾄﾞ</t>
    <phoneticPr fontId="13"/>
  </si>
  <si>
    <t>WMWXM720902A76717</t>
    <phoneticPr fontId="13"/>
  </si>
  <si>
    <t>株式会社ﾓﾄｰﾚﾝ東都</t>
    <rPh sb="0" eb="4">
      <t>カブシキガイシャ</t>
    </rPh>
    <rPh sb="9" eb="10">
      <t>ヒガシ</t>
    </rPh>
    <rPh sb="10" eb="11">
      <t>ト</t>
    </rPh>
    <phoneticPr fontId="13"/>
  </si>
  <si>
    <t>2/17</t>
    <phoneticPr fontId="13"/>
  </si>
  <si>
    <t>保証書 取説 ｷｰﾚｽ ﾛｯｸﾅｯﾄ</t>
    <rPh sb="0" eb="3">
      <t>ホショウショ</t>
    </rPh>
    <rPh sb="4" eb="6">
      <t>トリセツ</t>
    </rPh>
    <phoneticPr fontId="13"/>
  </si>
  <si>
    <t>23/3</t>
    <phoneticPr fontId="13"/>
  </si>
  <si>
    <t>LR ﾃﾞｨｽｶﾊﾞﾘｰ4SE</t>
    <phoneticPr fontId="13"/>
  </si>
  <si>
    <t>岐阜 303 さ 1528</t>
    <rPh sb="0" eb="2">
      <t>ギフ</t>
    </rPh>
    <phoneticPr fontId="13"/>
  </si>
  <si>
    <t>301 て 434</t>
    <phoneticPr fontId="13"/>
  </si>
  <si>
    <t>ﾎﾜｲﾄ</t>
    <phoneticPr fontId="13"/>
  </si>
  <si>
    <t>SALLAJAD3BA566277</t>
    <phoneticPr fontId="13"/>
  </si>
  <si>
    <t>ﾕｰﾛｵｰﾄ岐阜 株式会社</t>
    <rPh sb="6" eb="8">
      <t>ギフ</t>
    </rPh>
    <rPh sb="9" eb="13">
      <t>カブシキガイシャ</t>
    </rPh>
    <phoneticPr fontId="13"/>
  </si>
  <si>
    <t>2/24</t>
    <phoneticPr fontId="13"/>
  </si>
  <si>
    <t>8月抹消済</t>
    <rPh sb="1" eb="5">
      <t>ガツマッショウズ</t>
    </rPh>
    <phoneticPr fontId="13"/>
  </si>
  <si>
    <t>29/8</t>
    <phoneticPr fontId="13"/>
  </si>
  <si>
    <t>ｼﾞｬｶﾞｰXJ ﾌﾟﾚﾐｱﾑﾗｸﾞｼﾞｭｱﾘｰ</t>
    <phoneticPr fontId="13"/>
  </si>
  <si>
    <t>神戸 366 ゆ 505</t>
    <rPh sb="0" eb="2">
      <t>コウベ</t>
    </rPh>
    <phoneticPr fontId="13"/>
  </si>
  <si>
    <t>保証書     名変期限3/22まで</t>
    <rPh sb="0" eb="3">
      <t>ホショウショ</t>
    </rPh>
    <rPh sb="8" eb="10">
      <t>メイヘン</t>
    </rPh>
    <rPh sb="10" eb="12">
      <t>キゲン</t>
    </rPh>
    <phoneticPr fontId="13"/>
  </si>
  <si>
    <t>SAJKC1282G8V97450</t>
    <phoneticPr fontId="13"/>
  </si>
  <si>
    <t>株式会社 ｵﾘｴﾝﾄｺｰﾎﾟﾚｰｼｮﾝ</t>
    <rPh sb="0" eb="4">
      <t>カブシキガイシャ</t>
    </rPh>
    <phoneticPr fontId="13"/>
  </si>
  <si>
    <t>2/22</t>
    <phoneticPr fontId="13"/>
  </si>
  <si>
    <t>3月抹消済</t>
  </si>
  <si>
    <t>23/1</t>
    <phoneticPr fontId="13"/>
  </si>
  <si>
    <t>BMW5ｼﾘｰｽﾞ</t>
    <phoneticPr fontId="13"/>
  </si>
  <si>
    <t>大宮 315 に 11</t>
    <rPh sb="0" eb="2">
      <t>オオミヤ</t>
    </rPh>
    <phoneticPr fontId="13"/>
  </si>
  <si>
    <t>保証書 取説 手帳 ｽﾍﾟｱｷｰ</t>
    <rPh sb="0" eb="3">
      <t>ホショウショ</t>
    </rPh>
    <rPh sb="4" eb="6">
      <t>トリセツ</t>
    </rPh>
    <rPh sb="7" eb="9">
      <t>テチョウ</t>
    </rPh>
    <phoneticPr fontId="13"/>
  </si>
  <si>
    <t>WBAFR72000C580612</t>
    <phoneticPr fontId="13"/>
  </si>
  <si>
    <t>株式会社 ﾎｿｶﾜｺｰﾎﾟﾚｰｼｮﾝ</t>
    <rPh sb="0" eb="4">
      <t>カブシキガイシャ</t>
    </rPh>
    <phoneticPr fontId="13"/>
  </si>
  <si>
    <t>3/1</t>
    <phoneticPr fontId="13"/>
  </si>
  <si>
    <t xml:space="preserve">保証書 取説 ｷｰﾚｽ ﾘﾓｺﾝ×6 ﾚﾝﾁ </t>
    <rPh sb="0" eb="3">
      <t>ホショウショ</t>
    </rPh>
    <rPh sb="4" eb="6">
      <t>トリセツ</t>
    </rPh>
    <phoneticPr fontId="13"/>
  </si>
  <si>
    <t>18/4</t>
    <phoneticPr fontId="13"/>
  </si>
  <si>
    <t>ﾗﾝﾄﾞﾛｰﾊﾞｰ ﾚﾝｼﾞﾛｰﾊﾞｰｽﾎﾟｰﾂ ｽｰﾊﾟｰﾁｬｰｼﾞﾄﾞ</t>
    <phoneticPr fontId="13"/>
  </si>
  <si>
    <t>5/5</t>
    <phoneticPr fontId="13"/>
  </si>
  <si>
    <t>大阪 303 は 9680</t>
    <rPh sb="0" eb="2">
      <t>オオサカ</t>
    </rPh>
    <phoneticPr fontId="13"/>
  </si>
  <si>
    <t xml:space="preserve">保証書 取説 </t>
    <rPh sb="0" eb="3">
      <t>ホショウショ</t>
    </rPh>
    <rPh sb="4" eb="5">
      <t>トリ</t>
    </rPh>
    <rPh sb="5" eb="6">
      <t>セツ</t>
    </rPh>
    <phoneticPr fontId="13"/>
  </si>
  <si>
    <t>SALLSJA336A917779</t>
    <phoneticPr fontId="13"/>
  </si>
  <si>
    <t>八光ｴﾙｱｰﾙ株式会社</t>
    <rPh sb="0" eb="2">
      <t>ハッコウ</t>
    </rPh>
    <rPh sb="7" eb="11">
      <t>カブシキガイシャ</t>
    </rPh>
    <phoneticPr fontId="13"/>
  </si>
  <si>
    <t>3/27</t>
    <phoneticPr fontId="13"/>
  </si>
  <si>
    <t>4月抹消済</t>
    <rPh sb="1" eb="2">
      <t>ガツ</t>
    </rPh>
    <rPh sb="2" eb="5">
      <t>マッショウズ</t>
    </rPh>
    <phoneticPr fontId="13"/>
  </si>
  <si>
    <t>BMWﾐﾆｸｰﾊﾟｰ ｼﾞｮﾝｸｰﾊﾟｰﾜｰｸｽ</t>
    <phoneticPr fontId="13"/>
  </si>
  <si>
    <t>沖縄 330 す 732</t>
    <rPh sb="0" eb="2">
      <t>オキナワ</t>
    </rPh>
    <phoneticPr fontId="13"/>
  </si>
  <si>
    <t>保証書 取説 ｽﾍﾟｱｷｰ 記録（29/6.30/6.1/6.2/6.3/6） ﾜﾝｵｰﾅｰ</t>
    <rPh sb="0" eb="3">
      <t>ホショウショ</t>
    </rPh>
    <rPh sb="4" eb="5">
      <t>トリ</t>
    </rPh>
    <rPh sb="5" eb="6">
      <t>セツ</t>
    </rPh>
    <rPh sb="14" eb="16">
      <t>キロク</t>
    </rPh>
    <phoneticPr fontId="13"/>
  </si>
  <si>
    <t>WMWXM920902D05201</t>
    <phoneticPr fontId="13"/>
  </si>
  <si>
    <t>安田 茂</t>
    <rPh sb="0" eb="2">
      <t>ヤスダ</t>
    </rPh>
    <rPh sb="3" eb="4">
      <t>シゲル</t>
    </rPh>
    <phoneticPr fontId="13"/>
  </si>
  <si>
    <t>3/31</t>
    <phoneticPr fontId="13"/>
  </si>
  <si>
    <t>保証書 取説 ｷｰﾚｽ ﾜﾝｵｰﾅｰ 記録OK</t>
    <rPh sb="0" eb="3">
      <t>ホショウショ</t>
    </rPh>
    <rPh sb="4" eb="6">
      <t>トリセツ</t>
    </rPh>
    <rPh sb="19" eb="21">
      <t>キロク</t>
    </rPh>
    <phoneticPr fontId="13"/>
  </si>
  <si>
    <t>28/7</t>
    <phoneticPr fontId="13"/>
  </si>
  <si>
    <t>NV350ｷｬﾗﾊﾞﾝ 2.5DTﾌﾟﾚﾐｱﾑGXﾛﾝｸﾞ</t>
    <phoneticPr fontId="13"/>
  </si>
  <si>
    <t>4/7</t>
    <phoneticPr fontId="13"/>
  </si>
  <si>
    <t>名古屋 430 つ 629</t>
    <rPh sb="0" eb="3">
      <t>ナゴヤ</t>
    </rPh>
    <phoneticPr fontId="13"/>
  </si>
  <si>
    <t>403 ろ  5</t>
    <phoneticPr fontId="13"/>
  </si>
  <si>
    <t>ﾘｸﾙｰﾄ</t>
    <phoneticPr fontId="13"/>
  </si>
  <si>
    <t>B01214137</t>
    <phoneticPr fontId="13"/>
  </si>
  <si>
    <t>VW2E26-026440</t>
    <phoneticPr fontId="13"/>
  </si>
  <si>
    <t>愛知ﾄﾖﾀ自動車株式会社</t>
    <rPh sb="0" eb="2">
      <t>アイチ</t>
    </rPh>
    <rPh sb="5" eb="12">
      <t>ジドウシャカブシキガイシャ</t>
    </rPh>
    <phoneticPr fontId="13"/>
  </si>
  <si>
    <t>27/3</t>
    <phoneticPr fontId="13"/>
  </si>
  <si>
    <t>6/3</t>
    <phoneticPr fontId="13"/>
  </si>
  <si>
    <t>札幌 302 ぬ 2324</t>
    <rPh sb="0" eb="2">
      <t>サッポロ</t>
    </rPh>
    <phoneticPr fontId="13"/>
  </si>
  <si>
    <t xml:space="preserve">保証書 取説 ｽﾍﾟｱｷｰ </t>
    <rPh sb="0" eb="3">
      <t>ホショウショ</t>
    </rPh>
    <rPh sb="4" eb="5">
      <t>トリ</t>
    </rPh>
    <rPh sb="5" eb="6">
      <t>セツ</t>
    </rPh>
    <phoneticPr fontId="13"/>
  </si>
  <si>
    <t>301 て 2651</t>
    <phoneticPr fontId="13"/>
  </si>
  <si>
    <t>ﾍﾟｯﾊﾟｰﾎﾜｲﾄⅡ</t>
    <phoneticPr fontId="13"/>
  </si>
  <si>
    <t>WMWXS72000T849300</t>
    <phoneticPr fontId="13"/>
  </si>
  <si>
    <t>今野 有紀</t>
    <rPh sb="0" eb="2">
      <t>イマノ</t>
    </rPh>
    <rPh sb="3" eb="5">
      <t>ユキ</t>
    </rPh>
    <phoneticPr fontId="13"/>
  </si>
  <si>
    <t>28/9</t>
    <phoneticPr fontId="13"/>
  </si>
  <si>
    <t>BMWﾐﾆｸｰﾊﾟｰ</t>
    <phoneticPr fontId="13"/>
  </si>
  <si>
    <t>前橋 399 せ 1590</t>
    <rPh sb="0" eb="2">
      <t>マエバシ</t>
    </rPh>
    <phoneticPr fontId="13"/>
  </si>
  <si>
    <t>JU愛知（まとめ）</t>
    <rPh sb="2" eb="4">
      <t>アイチ</t>
    </rPh>
    <phoneticPr fontId="13"/>
  </si>
  <si>
    <t>ｼﾙﾊﾞｰⅡ</t>
    <phoneticPr fontId="13"/>
  </si>
  <si>
    <t>WMWXS720302C49671</t>
    <phoneticPr fontId="13"/>
  </si>
  <si>
    <t>株式会社 ﾈｸｽﾃｰｼﾞ</t>
    <rPh sb="0" eb="4">
      <t>カブシキガイシャ</t>
    </rPh>
    <phoneticPr fontId="13"/>
  </si>
  <si>
    <t>4/14</t>
    <phoneticPr fontId="13"/>
  </si>
  <si>
    <t>保証書 取説 ﾜﾝｵｰﾅｰ</t>
    <rPh sb="0" eb="3">
      <t>ホショウショ</t>
    </rPh>
    <rPh sb="4" eb="6">
      <t>トリセツ</t>
    </rPh>
    <phoneticPr fontId="13"/>
  </si>
  <si>
    <t>H8/</t>
    <phoneticPr fontId="13"/>
  </si>
  <si>
    <t>ｼﾞﾑﾆｰ ﾜｲﾙﾄﾞｳｨﾝﾄﾞ</t>
    <phoneticPr fontId="13"/>
  </si>
  <si>
    <t>豊橋 50 け 1735</t>
    <rPh sb="0" eb="2">
      <t>トヨハシ</t>
    </rPh>
    <phoneticPr fontId="13"/>
  </si>
  <si>
    <t>ﾐﾗｲﾌﾞ愛知（AS)</t>
    <rPh sb="5" eb="7">
      <t>アイチ</t>
    </rPh>
    <phoneticPr fontId="13"/>
  </si>
  <si>
    <t>JA22W-117174</t>
    <phoneticPr fontId="13"/>
  </si>
  <si>
    <t>山本 誠</t>
    <rPh sb="0" eb="2">
      <t>ヤマモト</t>
    </rPh>
    <rPh sb="3" eb="4">
      <t>マコト</t>
    </rPh>
    <phoneticPr fontId="13"/>
  </si>
  <si>
    <t>4/16</t>
    <phoneticPr fontId="13"/>
  </si>
  <si>
    <t>1/5</t>
    <phoneticPr fontId="13"/>
  </si>
  <si>
    <t>札幌 330 せ 985</t>
    <rPh sb="0" eb="2">
      <t>サッポロ</t>
    </rPh>
    <phoneticPr fontId="13"/>
  </si>
  <si>
    <t>保証書 取説 ﾜﾝｵｰﾅｰ</t>
    <rPh sb="0" eb="3">
      <t>ホショウショ</t>
    </rPh>
    <rPh sb="4" eb="5">
      <t>トリ</t>
    </rPh>
    <rPh sb="5" eb="6">
      <t>セツ</t>
    </rPh>
    <phoneticPr fontId="13"/>
  </si>
  <si>
    <t>WMWXR52090TV09949</t>
    <phoneticPr fontId="13"/>
  </si>
  <si>
    <t>4/29</t>
    <phoneticPr fontId="13"/>
  </si>
  <si>
    <t>29/10</t>
    <phoneticPr fontId="13"/>
  </si>
  <si>
    <t>福岡 303 た 252</t>
    <rPh sb="0" eb="2">
      <t>フクオカ</t>
    </rPh>
    <phoneticPr fontId="13"/>
  </si>
  <si>
    <t>WMWXT720502G65802</t>
    <phoneticPr fontId="13"/>
  </si>
  <si>
    <t>株式会社 九州ﾕｰﾎﾟｽ</t>
    <rPh sb="0" eb="4">
      <t>カブシキガイシャ</t>
    </rPh>
    <rPh sb="5" eb="7">
      <t>キュウシュウ</t>
    </rPh>
    <phoneticPr fontId="13"/>
  </si>
  <si>
    <t>4/28</t>
    <phoneticPr fontId="13"/>
  </si>
  <si>
    <t>5月抹消済</t>
  </si>
  <si>
    <t>ｼﾞｬｶﾞｰXF 25tﾌﾟﾚｽﾃｰｼﾞ</t>
    <phoneticPr fontId="13"/>
  </si>
  <si>
    <t>5/11/1</t>
    <phoneticPr fontId="13"/>
  </si>
  <si>
    <t>練馬 347 は 315</t>
    <rPh sb="0" eb="2">
      <t>ネリマ</t>
    </rPh>
    <phoneticPr fontId="13"/>
  </si>
  <si>
    <t>保証書 整備手帳 取説</t>
    <rPh sb="0" eb="3">
      <t>ホショウショ</t>
    </rPh>
    <rPh sb="4" eb="8">
      <t>セイビテチョウ</t>
    </rPh>
    <rPh sb="9" eb="11">
      <t>トリセツ</t>
    </rPh>
    <phoneticPr fontId="13"/>
  </si>
  <si>
    <t>301 て 2654</t>
    <phoneticPr fontId="13"/>
  </si>
  <si>
    <t>SAJBB4AGXHCY36920</t>
    <phoneticPr fontId="13"/>
  </si>
  <si>
    <t>株式会社ｱｳﾄﾌﾟﾗｯﾂ</t>
    <rPh sb="0" eb="4">
      <t>カブシキガイシャ</t>
    </rPh>
    <phoneticPr fontId="13"/>
  </si>
  <si>
    <t>5/10</t>
    <phoneticPr fontId="13"/>
  </si>
  <si>
    <t>BMWﾐﾆｸｰﾍﾟ ｼﾞｮﾝｸｰﾊﾟｰﾜｰｸｽ</t>
    <phoneticPr fontId="13"/>
  </si>
  <si>
    <t>熊谷 501 め 6700</t>
    <rPh sb="0" eb="2">
      <t>クマタニ</t>
    </rPh>
    <phoneticPr fontId="13"/>
  </si>
  <si>
    <t>501 む 1173</t>
    <phoneticPr fontId="13"/>
  </si>
  <si>
    <t>WMWSX92090T495302</t>
    <phoneticPr fontId="13"/>
  </si>
  <si>
    <t>5/19</t>
    <phoneticPr fontId="13"/>
  </si>
  <si>
    <t>1/6</t>
    <phoneticPr fontId="13"/>
  </si>
  <si>
    <t>AQ</t>
    <phoneticPr fontId="13"/>
  </si>
  <si>
    <t>北九州 399 つ 1059</t>
    <rPh sb="0" eb="3">
      <t>キタキュウシュウ</t>
    </rPh>
    <phoneticPr fontId="13"/>
  </si>
  <si>
    <t>保証書 取説 ｽﾍﾟｱｷｰ 記録 ﾜﾝｵｰﾅｰ</t>
    <rPh sb="0" eb="3">
      <t>ホショウショ</t>
    </rPh>
    <rPh sb="4" eb="5">
      <t>トリ</t>
    </rPh>
    <rPh sb="5" eb="6">
      <t>セツ</t>
    </rPh>
    <rPh sb="14" eb="16">
      <t>キロク</t>
    </rPh>
    <phoneticPr fontId="13"/>
  </si>
  <si>
    <t>ｴﾒﾗﾙﾄﾞｸﾞﾚｰﾒﾀﾘｯｸⅡ</t>
    <phoneticPr fontId="13"/>
  </si>
  <si>
    <t>WMWXT720002H92134</t>
    <phoneticPr fontId="13"/>
  </si>
  <si>
    <t>株式会社AG</t>
    <rPh sb="0" eb="4">
      <t>カブシキガイシャ</t>
    </rPh>
    <phoneticPr fontId="13"/>
  </si>
  <si>
    <t>5/22</t>
    <phoneticPr fontId="13"/>
  </si>
  <si>
    <t xml:space="preserve">保証書 取説 ｷｰﾚｽ 記録有 ﾜﾝｵｰﾅｰ </t>
    <rPh sb="0" eb="3">
      <t>ホショウショ</t>
    </rPh>
    <rPh sb="4" eb="6">
      <t>トリセツ</t>
    </rPh>
    <rPh sb="12" eb="14">
      <t>キロク</t>
    </rPh>
    <rPh sb="14" eb="15">
      <t>アリ</t>
    </rPh>
    <phoneticPr fontId="13"/>
  </si>
  <si>
    <t>3/4</t>
    <phoneticPr fontId="13"/>
  </si>
  <si>
    <t>BMW M3ｺﾝﾍﾟﾃｨｼｮﾝ</t>
    <phoneticPr fontId="13"/>
  </si>
  <si>
    <t>6/4</t>
    <phoneticPr fontId="13"/>
  </si>
  <si>
    <t>野田 338 た 321</t>
    <rPh sb="0" eb="2">
      <t>ノダ</t>
    </rPh>
    <phoneticPr fontId="13"/>
  </si>
  <si>
    <t>32K さ 5</t>
    <phoneticPr fontId="13"/>
  </si>
  <si>
    <t>WBA32AY050FK87262</t>
    <phoneticPr fontId="13"/>
  </si>
  <si>
    <t>取説 (車内） 保証書 ｷｰﾚｽ ﾜﾝｵｰﾅｰ</t>
    <rPh sb="0" eb="2">
      <t>トリセツ</t>
    </rPh>
    <rPh sb="4" eb="6">
      <t>シャナイ</t>
    </rPh>
    <rPh sb="8" eb="11">
      <t>ホショウショ</t>
    </rPh>
    <phoneticPr fontId="13"/>
  </si>
  <si>
    <t>15/11</t>
    <phoneticPr fontId="13"/>
  </si>
  <si>
    <t>ﾗﾝﾄﾞﾛｰﾊﾞｰﾃﾞｨｽｶﾊﾞﾘｰ HSE</t>
    <phoneticPr fontId="13"/>
  </si>
  <si>
    <t>三河 399 ち 9378</t>
    <rPh sb="0" eb="2">
      <t>ミカワ</t>
    </rPh>
    <phoneticPr fontId="13"/>
  </si>
  <si>
    <t>SALLTAMP34A830544</t>
    <phoneticPr fontId="13"/>
  </si>
  <si>
    <t>株式会社ﾈｸｽﾃｰｼﾞ</t>
    <rPh sb="0" eb="4">
      <t>カブシキガイシャ</t>
    </rPh>
    <phoneticPr fontId="13"/>
  </si>
  <si>
    <t>6/2</t>
    <phoneticPr fontId="13"/>
  </si>
  <si>
    <t>20/1</t>
    <phoneticPr fontId="13"/>
  </si>
  <si>
    <t>BMW M5</t>
    <phoneticPr fontId="13"/>
  </si>
  <si>
    <t>5/1</t>
    <phoneticPr fontId="13"/>
  </si>
  <si>
    <t>横浜 305 は 7780</t>
    <rPh sb="0" eb="2">
      <t>ヨコハマ</t>
    </rPh>
    <phoneticPr fontId="13"/>
  </si>
  <si>
    <t>保証書 記録簿 取説</t>
    <rPh sb="0" eb="3">
      <t>ホショウショ</t>
    </rPh>
    <rPh sb="4" eb="7">
      <t>キロクボ</t>
    </rPh>
    <rPh sb="8" eb="10">
      <t>トリセツ</t>
    </rPh>
    <phoneticPr fontId="13"/>
  </si>
  <si>
    <t>301 て 3616</t>
    <phoneticPr fontId="13"/>
  </si>
  <si>
    <t>WBSNB92040CY10143</t>
    <phoneticPr fontId="13"/>
  </si>
  <si>
    <t>ｶﾚﾝﾄ自動車株式会社</t>
    <rPh sb="4" eb="7">
      <t>ジドウシャ</t>
    </rPh>
    <rPh sb="7" eb="11">
      <t>カブシキガイシャ</t>
    </rPh>
    <phoneticPr fontId="13"/>
  </si>
  <si>
    <t>保証書 取説 ｷｰﾚｽ 記録簿</t>
    <rPh sb="0" eb="3">
      <t>ホショウショ</t>
    </rPh>
    <rPh sb="4" eb="5">
      <t>トリ</t>
    </rPh>
    <rPh sb="5" eb="6">
      <t>セツ</t>
    </rPh>
    <rPh sb="12" eb="14">
      <t>キロク</t>
    </rPh>
    <rPh sb="14" eb="15">
      <t>ボ</t>
    </rPh>
    <phoneticPr fontId="13"/>
  </si>
  <si>
    <t>LRﾃﾞｨｽｶﾊﾞﾘｰｽﾎﾟｰﾂ SE</t>
    <phoneticPr fontId="13"/>
  </si>
  <si>
    <t>5/7</t>
    <phoneticPr fontId="13"/>
  </si>
  <si>
    <t>富山 345 そ 1010</t>
    <rPh sb="0" eb="2">
      <t>トヤマ</t>
    </rPh>
    <phoneticPr fontId="13"/>
  </si>
  <si>
    <t>301 て 4566</t>
    <phoneticPr fontId="13"/>
  </si>
  <si>
    <t>SALCA2AG2GH627725</t>
    <phoneticPr fontId="13"/>
  </si>
  <si>
    <t>仙道 貴彰</t>
    <rPh sb="0" eb="2">
      <t>センドウ</t>
    </rPh>
    <rPh sb="3" eb="5">
      <t>タカアキ</t>
    </rPh>
    <phoneticPr fontId="13"/>
  </si>
  <si>
    <t>6/9</t>
    <phoneticPr fontId="13"/>
  </si>
  <si>
    <t>ｷｰﾚｽ(車内)   保証書 取説</t>
    <rPh sb="11" eb="14">
      <t>ホショウショ</t>
    </rPh>
    <rPh sb="15" eb="17">
      <t>トリセツ</t>
    </rPh>
    <phoneticPr fontId="13"/>
  </si>
  <si>
    <t>BMWﾐﾆｸｰﾊﾟｰ ｸﾛｽｵｰﾊﾞｰ</t>
    <phoneticPr fontId="13"/>
  </si>
  <si>
    <t>岐阜 334 に 3298</t>
    <rPh sb="0" eb="2">
      <t>ギフ</t>
    </rPh>
    <phoneticPr fontId="13"/>
  </si>
  <si>
    <t>WMWZB72000WT66932</t>
    <phoneticPr fontId="13"/>
  </si>
  <si>
    <t>ﾈｯﾂﾄﾖﾀ岐阜株式会社</t>
    <rPh sb="6" eb="8">
      <t>ギフ</t>
    </rPh>
    <rPh sb="8" eb="12">
      <t>カブシキガイシャ</t>
    </rPh>
    <phoneticPr fontId="13"/>
  </si>
  <si>
    <t>6/17</t>
    <phoneticPr fontId="13"/>
  </si>
  <si>
    <t>取説(車内) 保証書</t>
    <rPh sb="0" eb="2">
      <t>トリセツ</t>
    </rPh>
    <rPh sb="7" eb="10">
      <t>ホショウショ</t>
    </rPh>
    <phoneticPr fontId="13"/>
  </si>
  <si>
    <t>30/3</t>
    <phoneticPr fontId="13"/>
  </si>
  <si>
    <t>5/3/29</t>
    <phoneticPr fontId="13"/>
  </si>
  <si>
    <t>名古屋 349 に 5577</t>
    <rPh sb="0" eb="3">
      <t>ナゴヤ</t>
    </rPh>
    <phoneticPr fontId="13"/>
  </si>
  <si>
    <t>301 て 4565</t>
    <phoneticPr fontId="13"/>
  </si>
  <si>
    <t>VF7SXHNZTJT509756</t>
    <phoneticPr fontId="13"/>
  </si>
  <si>
    <t>株式会社 名鉄ｱｵﾄ</t>
    <rPh sb="0" eb="4">
      <t>カブシキガイシャ</t>
    </rPh>
    <rPh sb="5" eb="7">
      <t>メイテツ</t>
    </rPh>
    <phoneticPr fontId="13"/>
  </si>
  <si>
    <t>6/16</t>
    <phoneticPr fontId="13"/>
  </si>
  <si>
    <t>ｷｰﾚｽ(車内)   取説 ﾜﾝｵｰﾅｰ</t>
    <rPh sb="11" eb="12">
      <t>トリ</t>
    </rPh>
    <rPh sb="12" eb="13">
      <t>セツ</t>
    </rPh>
    <phoneticPr fontId="13"/>
  </si>
  <si>
    <t>ﾗﾝﾄﾞﾛｰﾊﾞｰﾃﾞｨｽｶﾊﾞﾘｰｽﾎﾟｰﾂ HSE</t>
    <phoneticPr fontId="13"/>
  </si>
  <si>
    <t>相模 399 ふ 192</t>
    <rPh sb="0" eb="2">
      <t>サガミ</t>
    </rPh>
    <phoneticPr fontId="13"/>
  </si>
  <si>
    <t>SALCA2AGXHH683767</t>
    <phoneticPr fontId="13"/>
  </si>
  <si>
    <t>株式会社 ﾌｧｲﾌﾞｽﾀｰ東名横浜</t>
    <rPh sb="0" eb="4">
      <t>カブシキガイシャ</t>
    </rPh>
    <rPh sb="13" eb="17">
      <t>トウメイヨコハマ</t>
    </rPh>
    <phoneticPr fontId="13"/>
  </si>
  <si>
    <t>6/18</t>
    <phoneticPr fontId="13"/>
  </si>
  <si>
    <t>ｴﾌﾞﾘｨﾜｺﾞﾝ PZﾀｰﾎﾞｽﾍﾟｼｬﾙ</t>
    <phoneticPr fontId="13"/>
  </si>
  <si>
    <t>5/3</t>
    <phoneticPr fontId="13"/>
  </si>
  <si>
    <t>堺 580 に 7078</t>
    <rPh sb="0" eb="1">
      <t>サカイ</t>
    </rPh>
    <phoneticPr fontId="13"/>
  </si>
  <si>
    <t>581 ほ 3628</t>
    <phoneticPr fontId="13"/>
  </si>
  <si>
    <t>ﾐﾗｲﾌﾞ大阪（AS)</t>
    <rPh sb="5" eb="7">
      <t>オオサカ</t>
    </rPh>
    <phoneticPr fontId="13"/>
  </si>
  <si>
    <t>ﾊﾟｰﾌﾟﾙ</t>
    <phoneticPr fontId="13"/>
  </si>
  <si>
    <t>DA64W-434334</t>
    <phoneticPr fontId="13"/>
  </si>
  <si>
    <t>鈴木 克寛</t>
    <rPh sb="0" eb="2">
      <t>スズキ</t>
    </rPh>
    <rPh sb="3" eb="4">
      <t>カツ</t>
    </rPh>
    <rPh sb="4" eb="5">
      <t>ヒロ</t>
    </rPh>
    <phoneticPr fontId="13"/>
  </si>
  <si>
    <t>7/8</t>
    <phoneticPr fontId="13"/>
  </si>
  <si>
    <t>保証書 取説 ｽﾍﾟｱｷｰX2</t>
    <rPh sb="0" eb="3">
      <t>ホショウショ</t>
    </rPh>
    <rPh sb="4" eb="6">
      <t>トリセツ</t>
    </rPh>
    <phoneticPr fontId="13"/>
  </si>
  <si>
    <t>5/3/30</t>
    <phoneticPr fontId="13"/>
  </si>
  <si>
    <t>金沢 334 ち 73</t>
    <rPh sb="0" eb="2">
      <t>カナザワ</t>
    </rPh>
    <phoneticPr fontId="13"/>
  </si>
  <si>
    <t>301 て 5660</t>
    <phoneticPr fontId="13"/>
  </si>
  <si>
    <t>SALCA2AG1GH552631</t>
    <phoneticPr fontId="13"/>
  </si>
  <si>
    <t>株式会社ｱｽﾓｰﾀｰ</t>
    <rPh sb="0" eb="4">
      <t>カブシキカイシャ</t>
    </rPh>
    <phoneticPr fontId="13"/>
  </si>
  <si>
    <t>7/14</t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</si>
  <si>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</si>
  <si>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ﾊｲｾﾞｯﾄｶｰｺﾞ 4WDｽﾍﾟｼｬﾙ</t>
    <phoneticPr fontId="13"/>
  </si>
  <si>
    <t>和泉 480 つ 5626</t>
    <rPh sb="0" eb="2">
      <t>イズミ</t>
    </rPh>
    <phoneticPr fontId="13"/>
  </si>
  <si>
    <t>整備手帳</t>
    <rPh sb="0" eb="4">
      <t>セイビテチョウ</t>
    </rPh>
    <phoneticPr fontId="13"/>
  </si>
  <si>
    <t>ｵﾘｯｸｽ神戸(ｱｲｵｰｸ)</t>
    <rPh sb="5" eb="7">
      <t>コウベ</t>
    </rPh>
    <phoneticPr fontId="13"/>
  </si>
  <si>
    <t>S331V-0175066</t>
    <phoneticPr fontId="13"/>
  </si>
  <si>
    <t>ｵﾘｯｸｽ自動車株式会社</t>
    <rPh sb="5" eb="8">
      <t>ジドウシャ</t>
    </rPh>
    <rPh sb="8" eb="12">
      <t>カブシキガイシャ</t>
    </rPh>
    <phoneticPr fontId="13"/>
  </si>
  <si>
    <t>7/28</t>
    <phoneticPr fontId="13"/>
  </si>
  <si>
    <t>27/12</t>
    <phoneticPr fontId="13"/>
  </si>
  <si>
    <t>ｼﾄﾛｴﾝDS5 ｴﾃﾞｨｼｮﾝ1955</t>
    <phoneticPr fontId="13"/>
  </si>
  <si>
    <t>なにわ 326 む 2369</t>
    <phoneticPr fontId="13"/>
  </si>
  <si>
    <t>VF7KF5FVAFS518815</t>
    <phoneticPr fontId="13"/>
  </si>
  <si>
    <t>大阪ｶﾞｽｵｰﾄｻｰﾋﾞｽ株式会社</t>
    <rPh sb="0" eb="2">
      <t>オオサカ</t>
    </rPh>
    <rPh sb="13" eb="17">
      <t>カブシキガイシャ</t>
    </rPh>
    <phoneticPr fontId="13"/>
  </si>
  <si>
    <t>8/7</t>
    <phoneticPr fontId="13"/>
  </si>
  <si>
    <t>BMWﾐﾆﾛｰﾄﾞｽﾀｰ ｼﾞｮﾝｸｰﾊﾟｰﾜｰｸｽ</t>
    <phoneticPr fontId="13"/>
  </si>
  <si>
    <t>5/8</t>
    <phoneticPr fontId="13"/>
  </si>
  <si>
    <t>福岡 534 め 329</t>
    <rPh sb="0" eb="2">
      <t>フクオカ</t>
    </rPh>
    <phoneticPr fontId="13"/>
  </si>
  <si>
    <t>地図SD川本さんに渡しました</t>
    <rPh sb="0" eb="2">
      <t>チズ</t>
    </rPh>
    <rPh sb="4" eb="6">
      <t>カワモト</t>
    </rPh>
    <rPh sb="9" eb="10">
      <t>ワタ</t>
    </rPh>
    <phoneticPr fontId="13"/>
  </si>
  <si>
    <t>501 む 2590</t>
    <phoneticPr fontId="13"/>
  </si>
  <si>
    <t>WMWSY920X0T495774</t>
    <phoneticPr fontId="13"/>
  </si>
  <si>
    <t>坂本 智史</t>
    <rPh sb="0" eb="2">
      <t>サカモト</t>
    </rPh>
    <rPh sb="3" eb="4">
      <t>トモ</t>
    </rPh>
    <rPh sb="4" eb="5">
      <t>シ</t>
    </rPh>
    <phoneticPr fontId="13"/>
  </si>
  <si>
    <t xml:space="preserve">ﾐﾆB-CAS （ZIPから）地図SD (車内） 保証書 取説 ﾅﾋﾞ取 ｷｰﾚｽ   </t>
    <rPh sb="15" eb="17">
      <t>チズ</t>
    </rPh>
    <rPh sb="21" eb="23">
      <t>シャナイ</t>
    </rPh>
    <rPh sb="25" eb="28">
      <t>ホショウショ</t>
    </rPh>
    <rPh sb="29" eb="31">
      <t>トリセツ</t>
    </rPh>
    <rPh sb="35" eb="36">
      <t>トリ</t>
    </rPh>
    <phoneticPr fontId="13"/>
  </si>
  <si>
    <t xml:space="preserve">ﾎﾟﾙｼｪ ｶｲｴﾝ </t>
    <phoneticPr fontId="13"/>
  </si>
  <si>
    <t>山口 301 な 254</t>
    <rPh sb="0" eb="2">
      <t>ヤマグチ</t>
    </rPh>
    <phoneticPr fontId="13"/>
  </si>
  <si>
    <t>保証書 手帳 取説</t>
    <rPh sb="0" eb="3">
      <t>ホショウショ</t>
    </rPh>
    <rPh sb="4" eb="6">
      <t>テチョウ</t>
    </rPh>
    <rPh sb="7" eb="9">
      <t>トリセツ</t>
    </rPh>
    <phoneticPr fontId="13"/>
  </si>
  <si>
    <t>374 つ 6</t>
    <phoneticPr fontId="13"/>
  </si>
  <si>
    <t>WP1ZZZ9YZKDA35448</t>
    <phoneticPr fontId="13"/>
  </si>
  <si>
    <t>山口日産自動車 株式会社</t>
    <rPh sb="0" eb="7">
      <t>ヤマグチニッサンジドウシャ</t>
    </rPh>
    <rPh sb="8" eb="12">
      <t>カブシキガイシャ</t>
    </rPh>
    <phoneticPr fontId="13"/>
  </si>
  <si>
    <t>7/29</t>
    <phoneticPr fontId="13"/>
  </si>
  <si>
    <t>保証書 取説 ｷｰﾚｽ ﾘﾓｺﾝ ﾜﾝｵｰﾅｰ</t>
    <rPh sb="0" eb="3">
      <t>ホショウショ</t>
    </rPh>
    <rPh sb="4" eb="6">
      <t>トリセツ</t>
    </rPh>
    <phoneticPr fontId="13"/>
  </si>
  <si>
    <t>付属品一式会長に渡してます</t>
    <rPh sb="0" eb="4">
      <t>フゾクヒンイッ</t>
    </rPh>
    <rPh sb="4" eb="5">
      <t>シキ</t>
    </rPh>
    <rPh sb="5" eb="7">
      <t>カイチョウ</t>
    </rPh>
    <rPh sb="8" eb="9">
      <t>ワタ</t>
    </rPh>
    <phoneticPr fontId="13"/>
  </si>
  <si>
    <t>14/11</t>
    <phoneticPr fontId="13"/>
  </si>
  <si>
    <t>ﾚﾝｼﾞﾛｰﾊﾞｰｲｳﾞｫｰｸﾞ</t>
    <phoneticPr fontId="13"/>
  </si>
  <si>
    <t>5/11</t>
    <phoneticPr fontId="13"/>
  </si>
  <si>
    <t>岐阜 303 の 8000</t>
    <rPh sb="0" eb="2">
      <t>ギフ</t>
    </rPh>
    <phoneticPr fontId="13"/>
  </si>
  <si>
    <t>ｺﾞｰﾙﾄﾞ</t>
    <phoneticPr fontId="13"/>
  </si>
  <si>
    <t>SALLM-AMA33A114650</t>
    <phoneticPr fontId="13"/>
  </si>
  <si>
    <t>医療法人社団 仙寿会</t>
    <rPh sb="0" eb="6">
      <t>イリョウホウジンシャダン</t>
    </rPh>
    <rPh sb="7" eb="10">
      <t>センジュカイ</t>
    </rPh>
    <phoneticPr fontId="13"/>
  </si>
  <si>
    <t>8/23</t>
    <phoneticPr fontId="13"/>
  </si>
  <si>
    <t>9月抹消済</t>
    <rPh sb="1" eb="2">
      <t>ガツ</t>
    </rPh>
    <rPh sb="2" eb="5">
      <t>マッショウズ</t>
    </rPh>
    <phoneticPr fontId="13"/>
  </si>
  <si>
    <t>BMWﾐﾆ ｼﾞｮﾝｸｰﾊﾟｰﾜｰｸｽ ｺﾝﾊﾞｰﾁﾌﾞﾙ</t>
    <phoneticPr fontId="13"/>
  </si>
  <si>
    <t>4/11</t>
    <phoneticPr fontId="13"/>
  </si>
  <si>
    <t>大阪 303 な 9850</t>
    <rPh sb="0" eb="2">
      <t>オオサカ</t>
    </rPh>
    <phoneticPr fontId="13"/>
  </si>
  <si>
    <t>A138636</t>
    <phoneticPr fontId="13"/>
  </si>
  <si>
    <t>ﾐｯﾄﾞﾅｲﾄﾌﾞﾗｯｸ</t>
    <phoneticPr fontId="13"/>
  </si>
  <si>
    <t>WMWWH920303A88884</t>
    <phoneticPr fontId="13"/>
  </si>
  <si>
    <t>ﾋﾞｰ･ｴﾑ･ﾀﾞﾌﾞﾘｭｰ･ｼﾞｬﾊﾟﾝ・ﾌｧｲﾅﾝｽ株式会社</t>
    <rPh sb="28" eb="32">
      <t>カブシキガイシャ</t>
    </rPh>
    <phoneticPr fontId="13"/>
  </si>
  <si>
    <t>9/20</t>
    <phoneticPr fontId="13"/>
  </si>
  <si>
    <t>10月抹消済</t>
    <rPh sb="2" eb="3">
      <t>ガツ</t>
    </rPh>
    <rPh sb="3" eb="6">
      <t>マッショウズ</t>
    </rPh>
    <phoneticPr fontId="13"/>
  </si>
  <si>
    <t>30/1</t>
    <phoneticPr fontId="13"/>
  </si>
  <si>
    <t>BMW523d ﾂｰﾘﾝｸﾞ Mｽﾎﾟｰﾂ</t>
    <phoneticPr fontId="13"/>
  </si>
  <si>
    <t>春日井 314 つ 5</t>
    <rPh sb="0" eb="3">
      <t>カスガイ</t>
    </rPh>
    <phoneticPr fontId="13"/>
  </si>
  <si>
    <t>ｱﾙﾋﾟﾝﾎﾜｲﾄ</t>
    <phoneticPr fontId="13"/>
  </si>
  <si>
    <t>WBAJM72080G986476</t>
    <phoneticPr fontId="13"/>
  </si>
  <si>
    <t>ｷｰﾚｽ(車内)  保証書 取説 ﾜﾝｵｰﾅｰ</t>
    <rPh sb="5" eb="7">
      <t>シャナイ</t>
    </rPh>
    <rPh sb="10" eb="13">
      <t>ホショウショ</t>
    </rPh>
    <rPh sb="14" eb="16">
      <t>トリセツ</t>
    </rPh>
    <phoneticPr fontId="13"/>
  </si>
  <si>
    <t>9月抹消済</t>
    <phoneticPr fontId="13"/>
  </si>
  <si>
    <t>ﾗﾝﾄﾞﾛｰﾊﾞｰﾃﾞｨｽｶﾊﾞﾘｰ4 SE</t>
    <phoneticPr fontId="13"/>
  </si>
  <si>
    <t>京都 330 み 2555</t>
    <rPh sb="0" eb="2">
      <t>キョウト</t>
    </rPh>
    <phoneticPr fontId="13"/>
  </si>
  <si>
    <t>保証書 整備手帳 取説 ｽﾍﾟｱｷｰ</t>
    <rPh sb="0" eb="3">
      <t>ホショウショ</t>
    </rPh>
    <rPh sb="4" eb="8">
      <t>セイビテチョウ</t>
    </rPh>
    <rPh sb="9" eb="11">
      <t>トリセツ</t>
    </rPh>
    <phoneticPr fontId="13"/>
  </si>
  <si>
    <t>SALLAJAD3DA670117</t>
    <phoneticPr fontId="13"/>
  </si>
  <si>
    <t>株式会社 京滋ﾏﾂﾀﾞ</t>
    <rPh sb="0" eb="4">
      <t>カブシキガイシャ</t>
    </rPh>
    <rPh sb="5" eb="6">
      <t>キョウ</t>
    </rPh>
    <rPh sb="6" eb="7">
      <t>ジ</t>
    </rPh>
    <phoneticPr fontId="13"/>
  </si>
  <si>
    <t>9/4</t>
    <phoneticPr fontId="13"/>
  </si>
  <si>
    <t>20/3</t>
    <phoneticPr fontId="13"/>
  </si>
  <si>
    <t>ｱｽﾄﾝﾏｰﾃｨﾝ V8ｳﾞｧﾝﾃｰｼﾞ</t>
    <phoneticPr fontId="13"/>
  </si>
  <si>
    <t>沼津 399 た 1766</t>
    <rPh sb="0" eb="2">
      <t>ヌマヅ</t>
    </rPh>
    <phoneticPr fontId="13"/>
  </si>
  <si>
    <t>ｶﾞﾝﾒﾀ</t>
    <phoneticPr fontId="13"/>
  </si>
  <si>
    <t>SCFBFD3BJ8GC09611</t>
    <phoneticPr fontId="13"/>
  </si>
  <si>
    <t>株式会社ﾜｰﾙﾄﾞｽﾀｰｴﾝﾀｰﾌﾟﾗｲｽﾞ</t>
    <rPh sb="0" eb="4">
      <t>カブシキガイシャ</t>
    </rPh>
    <phoneticPr fontId="13"/>
  </si>
  <si>
    <t>9/13</t>
    <phoneticPr fontId="13"/>
  </si>
  <si>
    <t>保証書 取説 ｷｰﾚｽ ｽﾍﾟｱｷｰ ﾘﾓｺﾝX2</t>
    <rPh sb="0" eb="3">
      <t>ホショウショ</t>
    </rPh>
    <rPh sb="4" eb="6">
      <t>トリセツ</t>
    </rPh>
    <phoneticPr fontId="13"/>
  </si>
  <si>
    <t>ｼﾞｬｶﾞｰXF ﾌﾟﾚｽﾃｰｼﾞ</t>
    <phoneticPr fontId="13"/>
  </si>
  <si>
    <t>6/8</t>
    <phoneticPr fontId="13"/>
  </si>
  <si>
    <t>名古屋 31M つ 8000</t>
    <rPh sb="0" eb="3">
      <t>ナゴヤ</t>
    </rPh>
    <phoneticPr fontId="13"/>
  </si>
  <si>
    <t>301 て 8185</t>
    <phoneticPr fontId="13"/>
  </si>
  <si>
    <t>ﾌﾞﾛﾝｽﾞ</t>
    <phoneticPr fontId="13"/>
  </si>
  <si>
    <t>SAJBB4AG5HCY46447</t>
    <phoneticPr fontId="13"/>
  </si>
  <si>
    <t>9/15</t>
    <phoneticPr fontId="13"/>
  </si>
  <si>
    <t>保証書 取説 ｷｰﾚｽ ﾏｲｸﾛSD ﾐﾆB-CAS ﾘﾓｺﾝ</t>
    <rPh sb="0" eb="3">
      <t>ホショウショ</t>
    </rPh>
    <rPh sb="4" eb="6">
      <t>トリセツ</t>
    </rPh>
    <phoneticPr fontId="13"/>
  </si>
  <si>
    <t>MﾍﾞﾝﾂGLC200 ｽﾎﾟｰﾂ</t>
    <phoneticPr fontId="13"/>
  </si>
  <si>
    <t>神戸 330 は 461</t>
    <rPh sb="0" eb="2">
      <t>コウベ</t>
    </rPh>
    <phoneticPr fontId="13"/>
  </si>
  <si>
    <t>TAA近畿</t>
    <rPh sb="3" eb="5">
      <t>キンキ</t>
    </rPh>
    <phoneticPr fontId="13"/>
  </si>
  <si>
    <t>WDC2539422F283571</t>
    <phoneticPr fontId="13"/>
  </si>
  <si>
    <t>ﾈｯﾂﾄﾖﾀ神戸株式会社</t>
    <rPh sb="6" eb="8">
      <t>コウベ</t>
    </rPh>
    <rPh sb="8" eb="12">
      <t>カブシキガイシャ</t>
    </rPh>
    <phoneticPr fontId="13"/>
  </si>
  <si>
    <t>取説 ｷｰﾚｽ ｽﾀｰﾄﾎﾞﾀﾝ (車内）  保証書 ﾜﾝｵｰﾅｰ</t>
    <rPh sb="0" eb="2">
      <t>トリセツ</t>
    </rPh>
    <rPh sb="18" eb="20">
      <t>シャナイ</t>
    </rPh>
    <rPh sb="23" eb="26">
      <t>ホショウショ</t>
    </rPh>
    <phoneticPr fontId="13"/>
  </si>
  <si>
    <t>29/9</t>
    <phoneticPr fontId="13"/>
  </si>
  <si>
    <t>ﾗﾝﾄﾞﾛｰﾊﾞｰ ﾃﾞｨｽｶﾊﾞﾘｰｽﾎﾟｰﾂ HSE</t>
    <phoneticPr fontId="13"/>
  </si>
  <si>
    <t>富山 330 せ 8136</t>
    <rPh sb="0" eb="2">
      <t>トヤマ</t>
    </rPh>
    <phoneticPr fontId="13"/>
  </si>
  <si>
    <t>A143001</t>
    <phoneticPr fontId="13"/>
  </si>
  <si>
    <t>SALCA2AG8HH693312</t>
    <phoneticPr fontId="13"/>
  </si>
  <si>
    <t>村田 雅文</t>
    <rPh sb="0" eb="2">
      <t>ムラタ</t>
    </rPh>
    <rPh sb="3" eb="5">
      <t>マサフミ</t>
    </rPh>
    <phoneticPr fontId="13"/>
  </si>
  <si>
    <t>27/7</t>
    <phoneticPr fontId="13"/>
  </si>
  <si>
    <t>ｱｽﾄﾝﾏｰﾃｨﾝV8 ｳﾞｧﾝﾃｰｼﾞ</t>
    <phoneticPr fontId="13"/>
  </si>
  <si>
    <t>筑豊 331 は 929</t>
    <rPh sb="0" eb="2">
      <t>チクホウ</t>
    </rPh>
    <phoneticPr fontId="13"/>
  </si>
  <si>
    <t>保証書 取説 ｶﾞﾗｽｷｰ</t>
    <rPh sb="0" eb="3">
      <t>ホショウショ</t>
    </rPh>
    <rPh sb="4" eb="6">
      <t>トリセツ</t>
    </rPh>
    <phoneticPr fontId="13"/>
  </si>
  <si>
    <t>301 て 8181</t>
    <phoneticPr fontId="13"/>
  </si>
  <si>
    <t>SCFEJBAKJFGC19507</t>
    <phoneticPr fontId="13"/>
  </si>
  <si>
    <t>株式会社久恒組</t>
    <rPh sb="0" eb="4">
      <t>カブシキガイシャ</t>
    </rPh>
    <rPh sb="4" eb="5">
      <t>ヒサ</t>
    </rPh>
    <rPh sb="5" eb="6">
      <t>コウ</t>
    </rPh>
    <rPh sb="6" eb="7">
      <t>クミ</t>
    </rPh>
    <phoneticPr fontId="13"/>
  </si>
  <si>
    <t>9/22</t>
    <phoneticPr fontId="13"/>
  </si>
  <si>
    <t>BMW530Iﾂｰﾘﾝｸﾞ Mｽﾎﾟｰﾂ</t>
    <phoneticPr fontId="13"/>
  </si>
  <si>
    <t>神戸 329 み 7279</t>
    <rPh sb="0" eb="2">
      <t>コウベ</t>
    </rPh>
    <phoneticPr fontId="13"/>
  </si>
  <si>
    <t>WBAJL32040G635396</t>
    <phoneticPr fontId="13"/>
  </si>
  <si>
    <t>10/1</t>
    <phoneticPr fontId="13"/>
  </si>
  <si>
    <t>盛岡 310 さ 3732</t>
    <rPh sb="0" eb="2">
      <t>モリオカ</t>
    </rPh>
    <phoneticPr fontId="13"/>
  </si>
  <si>
    <t>WMWXM520803A55310</t>
    <phoneticPr fontId="13"/>
  </si>
  <si>
    <t>株式会社ﾉｰｽﾌﾛﾝﾃｨｱ</t>
    <rPh sb="0" eb="4">
      <t>カブシキガイシャ</t>
    </rPh>
    <phoneticPr fontId="13"/>
  </si>
  <si>
    <t>10/6</t>
    <phoneticPr fontId="13"/>
  </si>
  <si>
    <t>26/1</t>
    <phoneticPr fontId="13"/>
  </si>
  <si>
    <t>N BOX G SSﾊﾟｯｹｰｼﾞ</t>
    <phoneticPr fontId="13"/>
  </si>
  <si>
    <t>なにわ 583 ね 412</t>
    <phoneticPr fontId="13"/>
  </si>
  <si>
    <t>581 ま 2285</t>
    <phoneticPr fontId="13"/>
  </si>
  <si>
    <t>ﾐﾗｲﾌﾞ大阪(AS)</t>
    <rPh sb="5" eb="7">
      <t>オオサカ</t>
    </rPh>
    <phoneticPr fontId="13"/>
  </si>
  <si>
    <t>JF1-1324950</t>
    <phoneticPr fontId="13"/>
  </si>
  <si>
    <t>北幅 愛</t>
    <rPh sb="0" eb="2">
      <t>キタハバ</t>
    </rPh>
    <rPh sb="3" eb="4">
      <t>アイ</t>
    </rPh>
    <phoneticPr fontId="13"/>
  </si>
  <si>
    <t>10/13</t>
    <phoneticPr fontId="13"/>
  </si>
  <si>
    <t>保証書 ｷｰﾚｽ(ﾒｶｷｰ無)</t>
    <rPh sb="0" eb="3">
      <t>ホショウショ</t>
    </rPh>
    <rPh sb="13" eb="14">
      <t>ナシ</t>
    </rPh>
    <phoneticPr fontId="13"/>
  </si>
  <si>
    <t>16/2</t>
    <phoneticPr fontId="13"/>
  </si>
  <si>
    <t>ﾗﾝﾄﾞﾛｰﾊﾞｰﾃﾞｨｽｶﾊﾞﾘｰ</t>
    <phoneticPr fontId="13"/>
  </si>
  <si>
    <t>山梨 300 て 2844</t>
    <rPh sb="0" eb="2">
      <t>ヤマナシ</t>
    </rPh>
    <phoneticPr fontId="13"/>
  </si>
  <si>
    <t>SALLTAMP34A842663</t>
    <phoneticPr fontId="13"/>
  </si>
  <si>
    <t>望月 一人</t>
    <rPh sb="0" eb="2">
      <t>モチヅキ</t>
    </rPh>
    <rPh sb="3" eb="5">
      <t>ヒトリ</t>
    </rPh>
    <phoneticPr fontId="13"/>
  </si>
  <si>
    <t>10/18</t>
    <phoneticPr fontId="13"/>
  </si>
  <si>
    <t>保証書 取説 ｽﾍﾟｱｷｰ（ﾎﾞﾀﾝ壊れてる） ﾜﾝｵｰﾅｰ</t>
    <rPh sb="0" eb="3">
      <t>ホショウショ</t>
    </rPh>
    <rPh sb="4" eb="6">
      <t>トリセツ</t>
    </rPh>
    <rPh sb="18" eb="19">
      <t>コワ</t>
    </rPh>
    <phoneticPr fontId="13"/>
  </si>
  <si>
    <t>10月抹消済</t>
  </si>
  <si>
    <t>BMWﾐﾆｸｰﾊﾟｰSD ｸﾛｽｵｰﾊﾞｰｵｰﾙ4</t>
    <phoneticPr fontId="13"/>
  </si>
  <si>
    <t>なにわ 326 め 9781</t>
    <phoneticPr fontId="13"/>
  </si>
  <si>
    <t>保証書 整備手帳 取説 ｽﾍﾟｱｷｰ ﾜﾝｵｰﾅｰ</t>
    <rPh sb="0" eb="3">
      <t>ホショウショ</t>
    </rPh>
    <rPh sb="4" eb="8">
      <t>セイビテチョウ</t>
    </rPh>
    <rPh sb="9" eb="11">
      <t>トリセツ</t>
    </rPh>
    <phoneticPr fontId="13"/>
  </si>
  <si>
    <t>WMWYU520703D54985</t>
    <phoneticPr fontId="13"/>
  </si>
  <si>
    <t>ﾄﾖﾀｶﾛｰﾗ新大阪株式会社</t>
    <rPh sb="7" eb="14">
      <t>シンオオサカカブシキガイシャ</t>
    </rPh>
    <phoneticPr fontId="13"/>
  </si>
  <si>
    <t>28/3</t>
    <phoneticPr fontId="13"/>
  </si>
  <si>
    <t>ｱｳﾃﾞｨRS6ｱﾊﾞﾝﾄ</t>
    <phoneticPr fontId="13"/>
  </si>
  <si>
    <t>宇都宮 335 ふ 555</t>
    <rPh sb="0" eb="3">
      <t>ウツノミヤ</t>
    </rPh>
    <phoneticPr fontId="13"/>
  </si>
  <si>
    <t>A152371</t>
    <phoneticPr fontId="13"/>
  </si>
  <si>
    <t>ﾌﾞﾗｯｸ</t>
    <phoneticPr fontId="13"/>
  </si>
  <si>
    <t>WUAZZZ4G0GN903516</t>
    <phoneticPr fontId="13"/>
  </si>
  <si>
    <t>大塚 裕紀</t>
    <rPh sb="0" eb="2">
      <t>オオツカ</t>
    </rPh>
    <rPh sb="3" eb="4">
      <t>ヒロ</t>
    </rPh>
    <rPh sb="4" eb="5">
      <t>キ</t>
    </rPh>
    <phoneticPr fontId="13"/>
  </si>
  <si>
    <t>11/12</t>
    <phoneticPr fontId="13"/>
  </si>
  <si>
    <t>2/10</t>
    <phoneticPr fontId="13"/>
  </si>
  <si>
    <t>ﾌﾟｼﾞｮｰ208 GTﾗｲﾝ</t>
    <phoneticPr fontId="13"/>
  </si>
  <si>
    <t>宮崎 330 り 3751</t>
    <rPh sb="0" eb="2">
      <t>ミヤザキ</t>
    </rPh>
    <phoneticPr fontId="13"/>
  </si>
  <si>
    <t>301 と 422</t>
    <phoneticPr fontId="13"/>
  </si>
  <si>
    <t>JU福岡(まとめ)</t>
    <rPh sb="2" eb="4">
      <t>フクオカ</t>
    </rPh>
    <phoneticPr fontId="13"/>
  </si>
  <si>
    <t>VR3UPHNKSLT078789</t>
    <phoneticPr fontId="13"/>
  </si>
  <si>
    <t>株式会社ﾌｧｰﾚﾝ九州</t>
    <rPh sb="0" eb="4">
      <t>カブシキガイシャ</t>
    </rPh>
    <rPh sb="9" eb="11">
      <t>キュウシュウ</t>
    </rPh>
    <phoneticPr fontId="13"/>
  </si>
  <si>
    <t>11/10</t>
    <phoneticPr fontId="13"/>
  </si>
  <si>
    <t>保証書 取説 ｷｰﾚｽ(車内)</t>
    <rPh sb="0" eb="3">
      <t>ホショウショ</t>
    </rPh>
    <rPh sb="4" eb="6">
      <t>トリセツ</t>
    </rPh>
    <phoneticPr fontId="13"/>
  </si>
  <si>
    <t>30/8</t>
    <phoneticPr fontId="13"/>
  </si>
  <si>
    <t>大阪 303 ほ 4690</t>
    <rPh sb="0" eb="2">
      <t>オオサカ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</si>
  <si>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</si>
  <si>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301 て 9803</t>
    <phoneticPr fontId="13"/>
  </si>
  <si>
    <t>ﾐﾗｲﾌﾞ大阪(ｱｲｵｰｸ)</t>
    <rPh sb="5" eb="7">
      <t>オオサカ</t>
    </rPh>
    <phoneticPr fontId="13"/>
  </si>
  <si>
    <t>WMWXN920902H65388</t>
    <phoneticPr fontId="13"/>
  </si>
  <si>
    <t>大阪ﾏﾂﾀﾞ販売株式会社</t>
    <rPh sb="0" eb="2">
      <t>オオサカ</t>
    </rPh>
    <rPh sb="6" eb="8">
      <t>ハンバイ</t>
    </rPh>
    <rPh sb="8" eb="12">
      <t>カブシキガイシャ</t>
    </rPh>
    <phoneticPr fontId="13"/>
  </si>
  <si>
    <t>11/24</t>
    <phoneticPr fontId="13"/>
  </si>
  <si>
    <t>ﾗﾝﾄﾞﾛｰﾊﾞｰﾃﾞｨｽｶﾊﾞﾘｰ4WD</t>
    <phoneticPr fontId="13"/>
  </si>
  <si>
    <t>なにわ 326 も 5158</t>
    <phoneticPr fontId="13"/>
  </si>
  <si>
    <t>緑</t>
    <rPh sb="0" eb="1">
      <t>ミドリ</t>
    </rPh>
    <phoneticPr fontId="13"/>
  </si>
  <si>
    <t>SALLT-AMP34A829923</t>
    <phoneticPr fontId="13"/>
  </si>
  <si>
    <t>株式会社ﾗｸﾞｻﾞｽ･ｸﾘｴｲﾄ</t>
    <rPh sb="0" eb="4">
      <t>カブシキガイシャ</t>
    </rPh>
    <phoneticPr fontId="13"/>
  </si>
  <si>
    <t>11/17</t>
    <phoneticPr fontId="13"/>
  </si>
  <si>
    <t>BMW X5ｘﾄﾞﾗｲﾌﾞ35ｄ Mｽﾎﾟｰﾂ</t>
    <phoneticPr fontId="13"/>
  </si>
  <si>
    <t>6/7</t>
    <phoneticPr fontId="13"/>
  </si>
  <si>
    <t>神戸 304 と 741</t>
    <rPh sb="0" eb="2">
      <t>コウベ</t>
    </rPh>
    <phoneticPr fontId="13"/>
  </si>
  <si>
    <t>保証書 手帳 取説 ｽﾍﾟｱｷｰ ﾜﾝｵｰﾅｰ</t>
    <rPh sb="0" eb="3">
      <t>ホショウショ</t>
    </rPh>
    <rPh sb="4" eb="6">
      <t>テチョウ</t>
    </rPh>
    <rPh sb="7" eb="9">
      <t>トリセツ</t>
    </rPh>
    <phoneticPr fontId="13"/>
  </si>
  <si>
    <t>301 と 418</t>
    <phoneticPr fontId="13"/>
  </si>
  <si>
    <t>ﾐﾈﾗﾙﾎﾜｲﾄ</t>
    <phoneticPr fontId="13"/>
  </si>
  <si>
    <t>WBAKS420900J70300</t>
    <phoneticPr fontId="13"/>
  </si>
  <si>
    <t>株式会社ﾔﾅｾ</t>
    <phoneticPr fontId="13"/>
  </si>
  <si>
    <t>11/22</t>
    <phoneticPr fontId="13"/>
  </si>
  <si>
    <t>ﾗﾝﾄﾞﾛｰﾊﾞｰ ﾃﾞｨｽｶﾊﾞﾘｰ4 SE</t>
    <phoneticPr fontId="13"/>
  </si>
  <si>
    <t>熊本 399 そ 5336</t>
    <rPh sb="0" eb="2">
      <t>クマモト</t>
    </rPh>
    <phoneticPr fontId="13"/>
  </si>
  <si>
    <t>取説 ｽﾍﾟｱｷｰ 記録簿</t>
    <rPh sb="0" eb="2">
      <t>トリセツ</t>
    </rPh>
    <rPh sb="10" eb="13">
      <t>キロクボ</t>
    </rPh>
    <phoneticPr fontId="13"/>
  </si>
  <si>
    <t>SALLAJAD3A654588</t>
    <phoneticPr fontId="13"/>
  </si>
  <si>
    <t>株式会社 IDOM</t>
    <rPh sb="0" eb="4">
      <t>カブシキカイシャ</t>
    </rPh>
    <phoneticPr fontId="13"/>
  </si>
  <si>
    <t>11/25</t>
    <phoneticPr fontId="13"/>
  </si>
  <si>
    <t>BMW M3 ｾﾀﾞﾝ ｺﾝﾍﾟﾃｨｼｮﾝ</t>
    <phoneticPr fontId="13"/>
  </si>
  <si>
    <t>6/10</t>
    <phoneticPr fontId="13"/>
  </si>
  <si>
    <t>品川 32C な    3</t>
    <rPh sb="0" eb="2">
      <t>シナガワ</t>
    </rPh>
    <phoneticPr fontId="13"/>
  </si>
  <si>
    <t>301 と 1347</t>
    <phoneticPr fontId="13"/>
  </si>
  <si>
    <t>A155476</t>
    <phoneticPr fontId="13"/>
  </si>
  <si>
    <t>WBS32AY0X0FL29375</t>
    <phoneticPr fontId="13"/>
  </si>
  <si>
    <t>株式会社 ｵﾘｴﾝﾄｺｰﾎﾟﾚｰｼｮﾝ</t>
    <rPh sb="0" eb="4">
      <t>カブシキカイシャ</t>
    </rPh>
    <phoneticPr fontId="13"/>
  </si>
  <si>
    <t>ｷｰﾚｽ ｶｰﾄﾞｷｰ(車内)  保証書 取説 ﾜﾝｵｰﾅｰ</t>
    <rPh sb="17" eb="20">
      <t>ホショウショ</t>
    </rPh>
    <rPh sb="21" eb="23">
      <t>トリセツ</t>
    </rPh>
    <phoneticPr fontId="13"/>
  </si>
  <si>
    <t>10月抹消済</t>
    <rPh sb="2" eb="3">
      <t>ガツ</t>
    </rPh>
    <rPh sb="3" eb="5">
      <t>マッショウ</t>
    </rPh>
    <rPh sb="5" eb="6">
      <t>ズ</t>
    </rPh>
    <phoneticPr fontId="13"/>
  </si>
  <si>
    <t>30/2</t>
    <phoneticPr fontId="13"/>
  </si>
  <si>
    <t>BMWﾐﾆｸｰﾊﾟｰSD ｸﾛｽｵｰﾊﾞｰ ｵｰﾙ4</t>
    <phoneticPr fontId="13"/>
  </si>
  <si>
    <t>宇都宮 301 み 5034</t>
    <rPh sb="0" eb="3">
      <t>ウツノミヤ</t>
    </rPh>
    <phoneticPr fontId="13"/>
  </si>
  <si>
    <t>WMWYU520403D55348</t>
    <phoneticPr fontId="13"/>
  </si>
  <si>
    <t>株式会社｣ﾃｨｰｴﾑｼｰ</t>
    <rPh sb="0" eb="4">
      <t>カブシキガイシャ</t>
    </rPh>
    <phoneticPr fontId="13"/>
  </si>
  <si>
    <t>12/1</t>
    <phoneticPr fontId="13"/>
  </si>
  <si>
    <t>保証書 手帳 取説 ｷｰﾚｽ ﾜﾝｵｰﾅｰ</t>
    <rPh sb="0" eb="3">
      <t>ホショウショ</t>
    </rPh>
    <rPh sb="4" eb="6">
      <t>テチョウ</t>
    </rPh>
    <rPh sb="7" eb="9">
      <t>トリセツ</t>
    </rPh>
    <phoneticPr fontId="13"/>
  </si>
  <si>
    <t>12月抹消済</t>
    <rPh sb="2" eb="3">
      <t>ガツ</t>
    </rPh>
    <rPh sb="3" eb="6">
      <t>マッショウズ</t>
    </rPh>
    <phoneticPr fontId="13"/>
  </si>
  <si>
    <t>ﾗﾝﾄﾞﾛｰﾊﾞｰ ｲｳﾞｫｰｸﾞ HSE ﾀﾞｲﾅﾐｯｸ</t>
    <phoneticPr fontId="13"/>
  </si>
  <si>
    <t>5/10/5</t>
    <phoneticPr fontId="13"/>
  </si>
  <si>
    <t>横浜 343 ほ 924</t>
    <rPh sb="0" eb="2">
      <t>ヨコハマ</t>
    </rPh>
    <phoneticPr fontId="13"/>
  </si>
  <si>
    <t>保証書 手帳 取説 ｽﾍﾟｱｷｰ</t>
    <phoneticPr fontId="13"/>
  </si>
  <si>
    <t>301 と 1341</t>
    <phoneticPr fontId="13"/>
  </si>
  <si>
    <t>SALVA2AG2GH144499</t>
    <phoneticPr fontId="13"/>
  </si>
  <si>
    <t>12/4</t>
    <phoneticPr fontId="13"/>
  </si>
  <si>
    <t>6月抹消済</t>
    <rPh sb="1" eb="2">
      <t>ガツ</t>
    </rPh>
    <rPh sb="2" eb="4">
      <t>マッショウ</t>
    </rPh>
    <rPh sb="4" eb="5">
      <t>ズ</t>
    </rPh>
    <phoneticPr fontId="13"/>
  </si>
  <si>
    <t>BMW X6 XDrive 35d Mｽﾎﾟｰﾂ</t>
    <phoneticPr fontId="13"/>
  </si>
  <si>
    <t>名古屋 307 ち 6067</t>
    <rPh sb="0" eb="3">
      <t>ナゴヤ</t>
    </rPh>
    <phoneticPr fontId="13"/>
  </si>
  <si>
    <t>375 す 6</t>
    <phoneticPr fontId="13"/>
  </si>
  <si>
    <t>WBAGT220309D78923</t>
    <phoneticPr fontId="13"/>
  </si>
  <si>
    <t>ﾖｼﾀﾞ自動車株式会社</t>
    <rPh sb="4" eb="7">
      <t>ジドウシャ</t>
    </rPh>
    <rPh sb="7" eb="11">
      <t>カブシキガイシャ</t>
    </rPh>
    <phoneticPr fontId="13"/>
  </si>
  <si>
    <t>12/8</t>
    <phoneticPr fontId="13"/>
  </si>
  <si>
    <t>ｷｰﾚｽ (車内）  保証書 取説 ｶｰﾄﾞ型ｷｰ ﾜﾝｵｰﾅｰ</t>
    <rPh sb="6" eb="8">
      <t>シャナイ</t>
    </rPh>
    <rPh sb="11" eb="14">
      <t>ホショウショ</t>
    </rPh>
    <rPh sb="15" eb="17">
      <t>トリセツ</t>
    </rPh>
    <rPh sb="22" eb="23">
      <t>ガタ</t>
    </rPh>
    <phoneticPr fontId="13"/>
  </si>
  <si>
    <t>VW ｺﾞﾙﾌｳﾞｧﾘｱﾝﾄ TSI Rﾗｲﾝ</t>
    <phoneticPr fontId="13"/>
  </si>
  <si>
    <t>一宮 300 わ 2202</t>
    <rPh sb="0" eb="2">
      <t>イチノミヤ</t>
    </rPh>
    <phoneticPr fontId="13"/>
  </si>
  <si>
    <t>保証書 ｽﾍﾟｱｷｰ ﾚﾝﾀｶｰ</t>
    <rPh sb="0" eb="3">
      <t>ホショウショ</t>
    </rPh>
    <phoneticPr fontId="13"/>
  </si>
  <si>
    <t>WVWZZZAUZHP515812</t>
    <phoneticPr fontId="13"/>
  </si>
  <si>
    <t>株式会社Rev</t>
    <rPh sb="0" eb="4">
      <t>カブシキガイシャ</t>
    </rPh>
    <phoneticPr fontId="13"/>
  </si>
  <si>
    <t>保証書 ﾅﾋﾞ取 ｷｰﾚｽ その他部品 ﾚﾝﾀｶｰ</t>
    <rPh sb="0" eb="3">
      <t>ホショウショ</t>
    </rPh>
    <rPh sb="7" eb="8">
      <t>トリ</t>
    </rPh>
    <rPh sb="16" eb="19">
      <t>タブヒン</t>
    </rPh>
    <phoneticPr fontId="13"/>
  </si>
  <si>
    <t>BMW M2 ﾍﾞｰｽｸﾞﾚｰﾄﾞ</t>
    <phoneticPr fontId="13"/>
  </si>
  <si>
    <t>鳥取 347 ち 358</t>
    <rPh sb="0" eb="2">
      <t>トットリ</t>
    </rPh>
    <phoneticPr fontId="13"/>
  </si>
  <si>
    <t>301 と 1344</t>
    <phoneticPr fontId="13"/>
  </si>
  <si>
    <t>WBS1H92030V818137</t>
    <phoneticPr fontId="13"/>
  </si>
  <si>
    <t>鳥取ﾄﾖﾀ自動車株式会社</t>
    <rPh sb="0" eb="2">
      <t>トットリ</t>
    </rPh>
    <rPh sb="5" eb="8">
      <t>ジドウシャ</t>
    </rPh>
    <rPh sb="8" eb="12">
      <t>カブシキガイシャ</t>
    </rPh>
    <phoneticPr fontId="13"/>
  </si>
  <si>
    <t>12/13</t>
    <phoneticPr fontId="13"/>
  </si>
  <si>
    <t>保証書 取説(車内)</t>
    <rPh sb="0" eb="3">
      <t>ホショウショ</t>
    </rPh>
    <rPh sb="4" eb="6">
      <t>トリセツ</t>
    </rPh>
    <rPh sb="7" eb="9">
      <t>シャナイ</t>
    </rPh>
    <phoneticPr fontId="13"/>
  </si>
  <si>
    <t>6月抹消済</t>
    <rPh sb="1" eb="2">
      <t>ガツ</t>
    </rPh>
    <rPh sb="2" eb="5">
      <t>マッショウズ</t>
    </rPh>
    <phoneticPr fontId="13"/>
  </si>
  <si>
    <t>BMW M4ｸｰﾍﾟｺﾝﾍﾟﾃｨｼｮﾝ</t>
    <phoneticPr fontId="13"/>
  </si>
  <si>
    <t>6/5</t>
    <phoneticPr fontId="13"/>
  </si>
  <si>
    <t>京都 323 ほ 358</t>
    <rPh sb="0" eb="2">
      <t>キョウト</t>
    </rPh>
    <phoneticPr fontId="13"/>
  </si>
  <si>
    <t>保証書 取説 ﾃﾞｨｽﾌﾟﾚｲｷｰ 4/5記録簿</t>
    <rPh sb="0" eb="3">
      <t>ホショウショ</t>
    </rPh>
    <rPh sb="4" eb="6">
      <t>トリセツ</t>
    </rPh>
    <rPh sb="21" eb="24">
      <t>キロクボ</t>
    </rPh>
    <phoneticPr fontId="13"/>
  </si>
  <si>
    <t>32X ね 5</t>
    <phoneticPr fontId="13"/>
  </si>
  <si>
    <t>WBS32AZ070CG71255</t>
    <phoneticPr fontId="13"/>
  </si>
  <si>
    <t>株式会社 ｵｰﾄｾﾞｽﾄ</t>
    <rPh sb="0" eb="4">
      <t>カブシキガイシャ</t>
    </rPh>
    <phoneticPr fontId="13"/>
  </si>
  <si>
    <t>保証書 取説 ﾃﾞｨｽﾌﾟﾚｲｷｰ 記録OK</t>
    <rPh sb="0" eb="3">
      <t>ホショウショ</t>
    </rPh>
    <rPh sb="4" eb="6">
      <t>トリセツ</t>
    </rPh>
    <rPh sb="18" eb="20">
      <t>キロク</t>
    </rPh>
    <phoneticPr fontId="13"/>
  </si>
  <si>
    <t>ﾌﾟｼﾞｮｰ208 GT 5HB</t>
    <phoneticPr fontId="13"/>
  </si>
  <si>
    <t>三重 331 ち 2026</t>
    <rPh sb="0" eb="2">
      <t>ミエ</t>
    </rPh>
    <phoneticPr fontId="13"/>
  </si>
  <si>
    <t>301 と 872</t>
    <phoneticPr fontId="13"/>
  </si>
  <si>
    <t>ｲｴﾛｰⅡ</t>
    <phoneticPr fontId="13"/>
  </si>
  <si>
    <t>VR3UPHNKSMT032107</t>
    <phoneticPr fontId="13"/>
  </si>
  <si>
    <t>12/29</t>
    <phoneticPr fontId="13"/>
  </si>
  <si>
    <t xml:space="preserve"> 抹消済</t>
    <rPh sb="1" eb="3">
      <t>マッショウ</t>
    </rPh>
    <rPh sb="3" eb="4">
      <t>ズ</t>
    </rPh>
    <phoneticPr fontId="13"/>
  </si>
  <si>
    <t>ｼﾞｬｶﾞｰXF ﾌﾟﾚｽﾃｰｼﾞ25T</t>
    <phoneticPr fontId="13"/>
  </si>
  <si>
    <t>奈良 368 み 9</t>
    <rPh sb="0" eb="2">
      <t>ナラ</t>
    </rPh>
    <phoneticPr fontId="13"/>
  </si>
  <si>
    <t>JU奈良(まとめ)</t>
    <rPh sb="2" eb="4">
      <t>ナラ</t>
    </rPh>
    <phoneticPr fontId="13"/>
  </si>
  <si>
    <t>ｱﾙﾃｨﾒｯﾄﾌﾞﾗｯｸ</t>
    <phoneticPr fontId="13"/>
  </si>
  <si>
    <t>SAJBB4AG1GCY14982</t>
    <phoneticPr fontId="13"/>
  </si>
  <si>
    <t>米田 勝</t>
    <rPh sb="0" eb="2">
      <t>ヨネダ</t>
    </rPh>
    <rPh sb="3" eb="4">
      <t>マサル</t>
    </rPh>
    <phoneticPr fontId="13"/>
  </si>
  <si>
    <t>H1/4</t>
    <phoneticPr fontId="13"/>
  </si>
  <si>
    <t>MﾍﾞﾝﾂSL 300SL</t>
    <phoneticPr fontId="13"/>
  </si>
  <si>
    <t>品川 301 ね 5896</t>
    <rPh sb="0" eb="2">
      <t>シナガワ</t>
    </rPh>
    <phoneticPr fontId="13"/>
  </si>
  <si>
    <t>A162647</t>
    <phoneticPr fontId="13"/>
  </si>
  <si>
    <t>WDB1070411A098680</t>
    <phoneticPr fontId="13"/>
  </si>
  <si>
    <t>山崎 冨美子</t>
    <rPh sb="0" eb="2">
      <t>ヤマザキ</t>
    </rPh>
    <rPh sb="3" eb="6">
      <t>トミコ</t>
    </rPh>
    <phoneticPr fontId="13"/>
  </si>
  <si>
    <t>2/12</t>
    <phoneticPr fontId="13"/>
  </si>
  <si>
    <t>取説 記録15枚 ｽﾍﾟｱｷｰX2</t>
    <rPh sb="0" eb="2">
      <t>トリセツ</t>
    </rPh>
    <rPh sb="3" eb="5">
      <t>キロク</t>
    </rPh>
    <rPh sb="7" eb="8">
      <t>マイ</t>
    </rPh>
    <phoneticPr fontId="13"/>
  </si>
  <si>
    <t>2月抹消済</t>
    <rPh sb="1" eb="5">
      <t>ガツマッショウズミ</t>
    </rPh>
    <phoneticPr fontId="13"/>
  </si>
  <si>
    <t>30/7</t>
    <phoneticPr fontId="13"/>
  </si>
  <si>
    <t>BMW320dﾂｰﾘﾝｸﾞ MｽﾎﾟｰﾂEDｼｬﾄﾞｳ</t>
    <phoneticPr fontId="13"/>
  </si>
  <si>
    <t>横浜 305 ふ 6492</t>
    <rPh sb="0" eb="2">
      <t>ヨコハマ</t>
    </rPh>
    <phoneticPr fontId="13"/>
  </si>
  <si>
    <t>WBA8H920X0A263780</t>
    <phoneticPr fontId="13"/>
  </si>
  <si>
    <t>株式会社 ﾃﾞｽﾃｨｰﾉ</t>
    <rPh sb="0" eb="4">
      <t>カブシキガイシャ</t>
    </rPh>
    <phoneticPr fontId="13"/>
  </si>
  <si>
    <t>ｷｰﾚｽ(車内)  保証書 取説</t>
    <rPh sb="10" eb="13">
      <t>ホショウショ</t>
    </rPh>
    <rPh sb="14" eb="16">
      <t>トリセツ</t>
    </rPh>
    <phoneticPr fontId="13"/>
  </si>
  <si>
    <t>名古屋 336 そ 3100</t>
    <rPh sb="0" eb="3">
      <t>ナゴヤ</t>
    </rPh>
    <phoneticPr fontId="13"/>
  </si>
  <si>
    <t>SAJBB4AG3GCY14594</t>
    <phoneticPr fontId="13"/>
  </si>
  <si>
    <t>株式会社ﾎﾜｲﾄﾊｳｽ</t>
    <rPh sb="0" eb="4">
      <t>カブシキガイシャ</t>
    </rPh>
    <phoneticPr fontId="13"/>
  </si>
  <si>
    <t>1/19</t>
    <phoneticPr fontId="13"/>
  </si>
  <si>
    <t>ｷｰﾚｽ(車内) 保証書 取説</t>
    <rPh sb="9" eb="12">
      <t>ホショウショ</t>
    </rPh>
    <rPh sb="13" eb="15">
      <t>トリセツ</t>
    </rPh>
    <phoneticPr fontId="13"/>
  </si>
  <si>
    <t>BMWﾐﾆ ｼﾞｮﾝｸｰﾊﾟｰﾜｰｸｽ</t>
    <phoneticPr fontId="13"/>
  </si>
  <si>
    <t>なにわ 330 た 2995</t>
    <phoneticPr fontId="13"/>
  </si>
  <si>
    <t>301 と 1933</t>
    <phoneticPr fontId="13"/>
  </si>
  <si>
    <t>WMWXM920X02F19078</t>
    <phoneticPr fontId="13"/>
  </si>
  <si>
    <t>1/31</t>
    <phoneticPr fontId="13"/>
  </si>
  <si>
    <t>ｼﾞｬｶﾞｰXF 25Tﾌﾟﾚｽﾃｰｼﾞ</t>
    <phoneticPr fontId="13"/>
  </si>
  <si>
    <t>岐阜 333 ち 863</t>
    <rPh sb="0" eb="2">
      <t>ギフ</t>
    </rPh>
    <phoneticPr fontId="13"/>
  </si>
  <si>
    <t>301 と 2648</t>
    <phoneticPr fontId="13"/>
  </si>
  <si>
    <t>SAJBB4AG3GCY18743</t>
    <phoneticPr fontId="13"/>
  </si>
  <si>
    <t>株式会社ｼﾞｬｯｸｽ</t>
    <rPh sb="0" eb="4">
      <t>カブシキガイシャ</t>
    </rPh>
    <phoneticPr fontId="13"/>
  </si>
  <si>
    <t>29/11</t>
    <phoneticPr fontId="13"/>
  </si>
  <si>
    <t>ﾎﾟﾙｼｪﾏｶﾝS</t>
    <phoneticPr fontId="13"/>
  </si>
  <si>
    <t>福岡 331 ろ 1305</t>
    <rPh sb="0" eb="2">
      <t>フクオカ</t>
    </rPh>
    <phoneticPr fontId="13"/>
  </si>
  <si>
    <t>ﾌﾞﾗｳﾝ</t>
    <phoneticPr fontId="13"/>
  </si>
  <si>
    <t>WP1ZZZ95ZJLB31201</t>
    <phoneticPr fontId="13"/>
  </si>
  <si>
    <t>原田 明治</t>
    <rPh sb="0" eb="2">
      <t>ハラダ</t>
    </rPh>
    <rPh sb="3" eb="5">
      <t>メイジ</t>
    </rPh>
    <phoneticPr fontId="13"/>
  </si>
  <si>
    <t xml:space="preserve">保証書 取説 ｷｰﾚｽ ﾘﾓｺﾝ（ｺﾑﾃｯｸ） </t>
    <rPh sb="0" eb="3">
      <t>ホショウショ</t>
    </rPh>
    <rPh sb="4" eb="6">
      <t>トリセツ</t>
    </rPh>
    <phoneticPr fontId="13"/>
  </si>
  <si>
    <t>2/3</t>
    <phoneticPr fontId="13"/>
  </si>
  <si>
    <t>BMWﾐﾆｸｰﾊﾟｰS ﾍﾞｰｽｸﾞﾚｰﾄﾞ</t>
    <phoneticPr fontId="13"/>
  </si>
  <si>
    <t>名古屋 355 る 718</t>
    <rPh sb="0" eb="3">
      <t>ナゴヤ</t>
    </rPh>
    <phoneticPr fontId="13"/>
  </si>
  <si>
    <t>WMWXU920X02M46324</t>
    <phoneticPr fontId="13"/>
  </si>
  <si>
    <t>2月抹消済</t>
    <rPh sb="1" eb="4">
      <t>ガツマッショウ</t>
    </rPh>
    <rPh sb="4" eb="5">
      <t>ズ</t>
    </rPh>
    <phoneticPr fontId="13"/>
  </si>
  <si>
    <t>ｼﾄﾛｴﾝC4 ｸﾞﾗﾝﾄﾞﾋﾟｶｿ</t>
    <phoneticPr fontId="13"/>
  </si>
  <si>
    <t>滋賀 301 に 179</t>
    <rPh sb="0" eb="2">
      <t>シガ</t>
    </rPh>
    <phoneticPr fontId="13"/>
  </si>
  <si>
    <t>ｻｰﾌﾞﾙ</t>
    <phoneticPr fontId="13"/>
  </si>
  <si>
    <t>VF73AAHXTGJ834933</t>
    <phoneticPr fontId="13"/>
  </si>
  <si>
    <t>株式会社京磁ﾏﾂﾀﾞ</t>
    <rPh sb="0" eb="4">
      <t>カブシキガイシャ</t>
    </rPh>
    <rPh sb="4" eb="5">
      <t>キョウ</t>
    </rPh>
    <rPh sb="5" eb="6">
      <t>ジ</t>
    </rPh>
    <phoneticPr fontId="13"/>
  </si>
  <si>
    <t>2/16</t>
    <phoneticPr fontId="13"/>
  </si>
  <si>
    <t>24/1</t>
    <phoneticPr fontId="13"/>
  </si>
  <si>
    <t>ﾗﾝﾄﾞﾛｰﾊﾞｰ ﾚﾝｼﾞﾛｰﾊﾞｰｽﾎﾟｰﾂ ｵｰﾄﾊﾞｲｵｸﾞﾗ</t>
    <phoneticPr fontId="13"/>
  </si>
  <si>
    <t>板橋 300 さ 8092</t>
    <rPh sb="0" eb="2">
      <t>イタバシ</t>
    </rPh>
    <phoneticPr fontId="13"/>
  </si>
  <si>
    <t>保証書 取説 ﾜﾝｵｰﾅｰ 記録（25/4、26/3、27/1、28/1、29/1、30/2、31/2、R2/7、R3/1、4/3）</t>
    <rPh sb="0" eb="3">
      <t>ホショウショ</t>
    </rPh>
    <rPh sb="4" eb="6">
      <t>トリセツ</t>
    </rPh>
    <rPh sb="15" eb="16">
      <t>（</t>
    </rPh>
    <phoneticPr fontId="13"/>
  </si>
  <si>
    <t>SALLSJAE3CA726498</t>
    <phoneticPr fontId="13"/>
  </si>
  <si>
    <t>株式会社ﾄﾗｯﾄﾞｲﾝﾀｰﾅｼｮﾅﾙ</t>
    <rPh sb="0" eb="4">
      <t>カブシキカイシャ</t>
    </rPh>
    <phoneticPr fontId="13"/>
  </si>
  <si>
    <t>2/23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</si>
  <si>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</si>
  <si>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30/6</t>
    <phoneticPr fontId="13"/>
  </si>
  <si>
    <t>ｼﾞｬｶﾞｰ Fﾍﾟｲｽ S</t>
    <phoneticPr fontId="13"/>
  </si>
  <si>
    <t>なにわ 326 や 7958</t>
    <phoneticPr fontId="13"/>
  </si>
  <si>
    <t>SADCA2AV3JA278942</t>
    <phoneticPr fontId="13"/>
  </si>
  <si>
    <t>双日ｵｰﾄｸﾞﾙｰﾌﾟ大阪株式会社</t>
    <rPh sb="0" eb="1">
      <t>ソウ</t>
    </rPh>
    <rPh sb="1" eb="2">
      <t>ニチ</t>
    </rPh>
    <rPh sb="11" eb="13">
      <t>オオサカ</t>
    </rPh>
    <rPh sb="13" eb="17">
      <t>カブシキガイシャ</t>
    </rPh>
    <phoneticPr fontId="13"/>
  </si>
  <si>
    <t>2/28</t>
    <phoneticPr fontId="13"/>
  </si>
  <si>
    <t>ﾗﾝﾄﾞﾛｰﾊﾞｰ ﾃﾞｨｽｶﾊﾞﾘｰ HSEﾗｸﾞｼﾞｭｱﾘｰ</t>
    <phoneticPr fontId="13"/>
  </si>
  <si>
    <t>6/6</t>
    <phoneticPr fontId="13"/>
  </si>
  <si>
    <t>大阪 303 さ 9361</t>
    <rPh sb="0" eb="2">
      <t>オオサカ</t>
    </rPh>
    <phoneticPr fontId="13"/>
  </si>
  <si>
    <t>SALCA2AG3FH535053</t>
    <phoneticPr fontId="13"/>
  </si>
  <si>
    <t>株式会社IDOM</t>
    <rPh sb="0" eb="4">
      <t>カブシキカイシャ</t>
    </rPh>
    <phoneticPr fontId="13"/>
  </si>
  <si>
    <t>3/2</t>
    <phoneticPr fontId="13"/>
  </si>
  <si>
    <t xml:space="preserve">保証書 取説 ﾅﾋﾞ取 ｷｰﾚｽ </t>
    <rPh sb="0" eb="3">
      <t>ホショウショ</t>
    </rPh>
    <rPh sb="4" eb="6">
      <t>トリセツ</t>
    </rPh>
    <rPh sb="10" eb="11">
      <t>トリ</t>
    </rPh>
    <phoneticPr fontId="13"/>
  </si>
  <si>
    <t>25/8</t>
    <phoneticPr fontId="13"/>
  </si>
  <si>
    <t>ｼﾞｰﾌﾟﾗﾝｸﾞﾗｰｱﾝﾘﾐﾃｯﾄﾞ ﾙﾋﾞｺﾝ10Th</t>
    <phoneticPr fontId="13"/>
  </si>
  <si>
    <t>7/2</t>
    <phoneticPr fontId="13"/>
  </si>
  <si>
    <t>世田谷 300そ1681</t>
    <rPh sb="0" eb="3">
      <t>セタガヤ</t>
    </rPh>
    <phoneticPr fontId="13"/>
  </si>
  <si>
    <t>sellca</t>
    <phoneticPr fontId="13"/>
  </si>
  <si>
    <t>A168307</t>
    <phoneticPr fontId="13"/>
  </si>
  <si>
    <t>1C4HJWMG9DL675988</t>
    <phoneticPr fontId="13"/>
  </si>
  <si>
    <t>宮崎 陽介</t>
    <rPh sb="0" eb="2">
      <t>ミヤザキ</t>
    </rPh>
    <rPh sb="3" eb="5">
      <t>ヨウスケ</t>
    </rPh>
    <phoneticPr fontId="13"/>
  </si>
  <si>
    <t>3/18</t>
    <phoneticPr fontId="13"/>
  </si>
  <si>
    <t>保証書 取説 ｽﾍﾟｱｷｰ 印鑑証明１通不備</t>
    <rPh sb="0" eb="3">
      <t>ホショウショ</t>
    </rPh>
    <rPh sb="4" eb="6">
      <t>トリセツ</t>
    </rPh>
    <rPh sb="14" eb="18">
      <t>インカンショウメイ</t>
    </rPh>
    <rPh sb="19" eb="20">
      <t>ツウ</t>
    </rPh>
    <rPh sb="20" eb="22">
      <t>フビ</t>
    </rPh>
    <phoneticPr fontId="13"/>
  </si>
  <si>
    <t>23/5</t>
    <phoneticPr fontId="13"/>
  </si>
  <si>
    <t>ﾚﾝｼﾞﾛｰﾊﾞｰRSP 5.0V8</t>
    <phoneticPr fontId="13"/>
  </si>
  <si>
    <t>滋賀 301 ね 3400</t>
    <rPh sb="0" eb="2">
      <t>シガ</t>
    </rPh>
    <phoneticPr fontId="13"/>
  </si>
  <si>
    <t>SALLSJAD3BA281293</t>
    <phoneticPr fontId="13"/>
  </si>
  <si>
    <t>永田 真也</t>
    <rPh sb="0" eb="2">
      <t>ナガタ</t>
    </rPh>
    <rPh sb="3" eb="5">
      <t>シンヤ</t>
    </rPh>
    <phoneticPr fontId="13"/>
  </si>
  <si>
    <t>3/17</t>
    <phoneticPr fontId="13"/>
  </si>
  <si>
    <t>BMWﾐﾆ ｸｰﾊﾟｰSｸﾛｽｵｰﾊﾞｰ</t>
    <phoneticPr fontId="13"/>
  </si>
  <si>
    <t>久留米 399ち5285</t>
    <rPh sb="0" eb="3">
      <t>クルメ</t>
    </rPh>
    <phoneticPr fontId="13"/>
  </si>
  <si>
    <t>TAA九州</t>
    <rPh sb="3" eb="5">
      <t>キュウシュウ</t>
    </rPh>
    <phoneticPr fontId="13"/>
  </si>
  <si>
    <t>WMWYS920503E58680</t>
    <phoneticPr fontId="13"/>
  </si>
  <si>
    <t>株式会社 九州ﾏﾂﾀﾞ</t>
    <rPh sb="0" eb="4">
      <t>カブシキカイシャ</t>
    </rPh>
    <rPh sb="5" eb="7">
      <t>キュウシュウ</t>
    </rPh>
    <phoneticPr fontId="13"/>
  </si>
  <si>
    <t>3/21</t>
    <phoneticPr fontId="13"/>
  </si>
  <si>
    <t>ｼﾄﾛｴﾝC4ﾋﾟｶｿｼｬｲﾝﾌﾞﾙｰHDI</t>
    <phoneticPr fontId="13"/>
  </si>
  <si>
    <t>福島 330な5213</t>
    <rPh sb="0" eb="2">
      <t>フクシマ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</si>
  <si>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</si>
  <si>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VF73DAHXTG3910202</t>
    <phoneticPr fontId="13"/>
  </si>
  <si>
    <t>長沢 幸善</t>
    <rPh sb="0" eb="2">
      <t>ナガサワ</t>
    </rPh>
    <rPh sb="3" eb="4">
      <t>ユキ</t>
    </rPh>
    <rPh sb="4" eb="5">
      <t>ゼン</t>
    </rPh>
    <phoneticPr fontId="13"/>
  </si>
  <si>
    <t>3/26</t>
    <phoneticPr fontId="13"/>
  </si>
  <si>
    <t>ｽﾍﾟｱｷｰ抜いてます</t>
    <rPh sb="6" eb="7">
      <t>ヌ</t>
    </rPh>
    <phoneticPr fontId="13"/>
  </si>
  <si>
    <t>25/11</t>
    <phoneticPr fontId="13"/>
  </si>
  <si>
    <t>ﾚﾝｼﾞﾛｰﾊﾞｰｽﾎﾟｰﾂSE</t>
    <phoneticPr fontId="13"/>
  </si>
  <si>
    <t>岡山381た1</t>
    <rPh sb="0" eb="2">
      <t>オカヤマ</t>
    </rPh>
    <phoneticPr fontId="13"/>
  </si>
  <si>
    <t>SALWA2VE9EA313260</t>
    <phoneticPr fontId="13"/>
  </si>
  <si>
    <t>株式会社ｺﾝﾁﾈﾝﾄ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</si>
  <si>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</si>
  <si>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ﾚﾝｼﾞﾛｰﾊﾞｰｽﾎﾟｰﾂ SE</t>
    <phoneticPr fontId="13"/>
  </si>
  <si>
    <t>浜松 301 や 8210</t>
    <rPh sb="0" eb="2">
      <t>ハママツ</t>
    </rPh>
    <phoneticPr fontId="13"/>
  </si>
  <si>
    <t>A174567</t>
    <phoneticPr fontId="13"/>
  </si>
  <si>
    <t>SALWA2VE7FA534115</t>
    <phoneticPr fontId="13"/>
  </si>
  <si>
    <t>4/27</t>
    <phoneticPr fontId="13"/>
  </si>
  <si>
    <t>取説 ﾅﾋﾞ取</t>
    <rPh sb="0" eb="2">
      <t>トリセツ</t>
    </rPh>
    <rPh sb="6" eb="7">
      <t>トリ</t>
    </rPh>
    <phoneticPr fontId="13"/>
  </si>
  <si>
    <t>練馬 346 ひ 1002</t>
    <rPh sb="0" eb="2">
      <t>ネリマ</t>
    </rPh>
    <phoneticPr fontId="13"/>
  </si>
  <si>
    <t>保証書    名変期限5/23まで</t>
    <rPh sb="0" eb="3">
      <t>ホショウショ</t>
    </rPh>
    <rPh sb="7" eb="11">
      <t>メイヘンキゲン</t>
    </rPh>
    <phoneticPr fontId="13"/>
  </si>
  <si>
    <t>SAJBB4AG0HCY46338</t>
    <phoneticPr fontId="13"/>
  </si>
  <si>
    <t>入山 高行</t>
    <rPh sb="0" eb="2">
      <t>イリヤマ</t>
    </rPh>
    <rPh sb="3" eb="5">
      <t>タカユキ</t>
    </rPh>
    <phoneticPr fontId="13"/>
  </si>
  <si>
    <t>4/15</t>
    <phoneticPr fontId="13"/>
  </si>
  <si>
    <t>25/3</t>
    <phoneticPr fontId="13"/>
  </si>
  <si>
    <t>ﾗﾝﾄﾞﾛｰﾊﾞｰ ﾚﾝｼﾞﾛｰﾊﾞｰｲｳﾞｫｰｸﾞ ﾋﾟｭｱ</t>
    <phoneticPr fontId="13"/>
  </si>
  <si>
    <t>湘南 370 り 77</t>
    <rPh sb="0" eb="2">
      <t>ショウナン</t>
    </rPh>
    <phoneticPr fontId="13"/>
  </si>
  <si>
    <t>A179627</t>
    <phoneticPr fontId="13"/>
  </si>
  <si>
    <t>SALVA2AGXDH718956</t>
    <phoneticPr fontId="13"/>
  </si>
  <si>
    <t>杉山 明</t>
    <rPh sb="0" eb="2">
      <t>スギヤマ</t>
    </rPh>
    <rPh sb="3" eb="4">
      <t>アキラ</t>
    </rPh>
    <phoneticPr fontId="13"/>
  </si>
  <si>
    <t>5/14</t>
    <phoneticPr fontId="13"/>
  </si>
  <si>
    <t>ﾃﾞｲｽﾞﾙｰｸｽ ﾊｲｳｪｲｽﾀｰXGﾊﾟｯｹｰｼﾞ</t>
    <phoneticPr fontId="13"/>
  </si>
  <si>
    <t>6/12</t>
    <phoneticPr fontId="13"/>
  </si>
  <si>
    <t>川崎580ち9300</t>
    <rPh sb="0" eb="2">
      <t>カワサキ</t>
    </rPh>
    <phoneticPr fontId="13"/>
  </si>
  <si>
    <t>581 む 1451</t>
    <phoneticPr fontId="13"/>
  </si>
  <si>
    <t>ｾﾞﾛｶｰｾﾚ大阪（ｱｲ）</t>
    <rPh sb="7" eb="9">
      <t>オオサカ</t>
    </rPh>
    <phoneticPr fontId="13"/>
  </si>
  <si>
    <t>B21A-0217585</t>
    <phoneticPr fontId="13"/>
  </si>
  <si>
    <t>株式会社ｾﾞﾛ</t>
    <rPh sb="0" eb="4">
      <t>カブシキガイシャ</t>
    </rPh>
    <phoneticPr fontId="13"/>
  </si>
  <si>
    <t>5/20</t>
    <phoneticPr fontId="13"/>
  </si>
  <si>
    <t>LR ﾚﾝｼﾞﾛｰﾊﾞｰｽﾎﾟｰﾂ ｵｰﾄﾊﾞｲｵｸﾞﾗﾌｨｰｽﾎﾟｰﾂ</t>
    <phoneticPr fontId="13"/>
  </si>
  <si>
    <t>6/6/16</t>
    <phoneticPr fontId="13"/>
  </si>
  <si>
    <t>新潟 301 む 9801</t>
    <rPh sb="0" eb="2">
      <t>ニイガタ</t>
    </rPh>
    <phoneticPr fontId="13"/>
  </si>
  <si>
    <t>JU新潟</t>
    <rPh sb="2" eb="4">
      <t>ニイガタ</t>
    </rPh>
    <phoneticPr fontId="13"/>
  </si>
  <si>
    <t>SALLSJAE3BA292267</t>
    <phoneticPr fontId="13"/>
  </si>
  <si>
    <t>TQMｲﾝﾀｰﾅｼｮﾅﾙ株式会社</t>
    <rPh sb="12" eb="16">
      <t>カブシキガイシャ</t>
    </rPh>
    <phoneticPr fontId="13"/>
  </si>
  <si>
    <t>6/1</t>
    <phoneticPr fontId="13"/>
  </si>
  <si>
    <t xml:space="preserve">記録5枚 取説 ｷｰﾚｽ </t>
    <rPh sb="0" eb="2">
      <t>キロク</t>
    </rPh>
    <rPh sb="3" eb="4">
      <t>マイ</t>
    </rPh>
    <rPh sb="5" eb="7">
      <t>トリセツ</t>
    </rPh>
    <phoneticPr fontId="13"/>
  </si>
  <si>
    <t>ﾗﾝﾄﾞﾛｰﾊﾞｰ ﾚﾝｼﾞﾛｰﾊﾞｰｽﾎﾟｰﾂ 5.0 V8</t>
    <phoneticPr fontId="13"/>
  </si>
  <si>
    <t>宮崎300ゆ4261</t>
    <rPh sb="0" eb="2">
      <t>ミヤザキ</t>
    </rPh>
    <phoneticPr fontId="13"/>
  </si>
  <si>
    <t>JU福岡</t>
    <rPh sb="2" eb="4">
      <t>フクオカ</t>
    </rPh>
    <phoneticPr fontId="13"/>
  </si>
  <si>
    <t>SALLSJAD3DA797873</t>
    <phoneticPr fontId="13"/>
  </si>
  <si>
    <t>株式会社 ﾅｶﾑﾗ自動車</t>
    <rPh sb="0" eb="4">
      <t>カブシキカイシャ</t>
    </rPh>
    <rPh sb="9" eb="12">
      <t>ジドウシャ</t>
    </rPh>
    <phoneticPr fontId="13"/>
  </si>
  <si>
    <t>保証書 取説 ﾅﾋﾞ取 ｷｰﾚｽ（車内）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</si>
  <si>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BMW</t>
    <phoneticPr fontId="13"/>
  </si>
  <si>
    <t>品川 39A て 3177</t>
    <rPh sb="0" eb="2">
      <t>シナガワ</t>
    </rPh>
    <phoneticPr fontId="13"/>
  </si>
  <si>
    <t>JU福岡（まとめ）</t>
    <rPh sb="2" eb="4">
      <t>フクオカ</t>
    </rPh>
    <phoneticPr fontId="13"/>
  </si>
  <si>
    <t>WBA6A02000DZ12993</t>
    <phoneticPr fontId="13"/>
  </si>
  <si>
    <t>株式会社JCM</t>
    <rPh sb="0" eb="4">
      <t>カブシキガイシャ</t>
    </rPh>
    <phoneticPr fontId="13"/>
  </si>
  <si>
    <t>ｷｰﾚｽ</t>
    <phoneticPr fontId="13"/>
  </si>
  <si>
    <t>30/12</t>
    <phoneticPr fontId="13"/>
  </si>
  <si>
    <t>BMW X2 Xﾄﾞﾗｲﾌﾞ20I MｽﾎﾟｰﾂX</t>
    <phoneticPr fontId="13"/>
  </si>
  <si>
    <t>大阪363す39</t>
    <rPh sb="0" eb="2">
      <t>オオサカ</t>
    </rPh>
    <phoneticPr fontId="13"/>
  </si>
  <si>
    <t>A182977</t>
    <phoneticPr fontId="13"/>
  </si>
  <si>
    <t>WBAYH52090EK63268</t>
    <phoneticPr fontId="13"/>
  </si>
  <si>
    <t>山科 陽子</t>
    <rPh sb="0" eb="2">
      <t>ヤマシナ</t>
    </rPh>
    <rPh sb="3" eb="5">
      <t>ヨウコ</t>
    </rPh>
    <phoneticPr fontId="13"/>
  </si>
  <si>
    <t>7/16</t>
    <phoneticPr fontId="13"/>
  </si>
  <si>
    <t>保証書 取説 ﾜﾝｵｰﾅｰ ｷｰﾚｽ（車内）←ﾌﾞｯｸにいれて付属品部屋</t>
    <rPh sb="0" eb="3">
      <t>ホショウショ</t>
    </rPh>
    <rPh sb="4" eb="6">
      <t>トリセツ</t>
    </rPh>
    <rPh sb="19" eb="21">
      <t>シャナイ</t>
    </rPh>
    <rPh sb="31" eb="36">
      <t>フゾクヒンベヤ</t>
    </rPh>
    <phoneticPr fontId="13"/>
  </si>
  <si>
    <t>21/3</t>
    <phoneticPr fontId="13"/>
  </si>
  <si>
    <t>ﾗﾝﾄﾞﾛｰﾊﾞｰﾃﾞｨｽｶﾊﾞﾘｰⅢ 4WD S</t>
    <phoneticPr fontId="13"/>
  </si>
  <si>
    <t>6/10/10</t>
    <phoneticPr fontId="13"/>
  </si>
  <si>
    <t>函館 330 ふ 918</t>
    <rPh sb="0" eb="2">
      <t>ハコダテ</t>
    </rPh>
    <phoneticPr fontId="13"/>
  </si>
  <si>
    <t>USS札幌</t>
    <rPh sb="3" eb="5">
      <t>サッポロ</t>
    </rPh>
    <phoneticPr fontId="13"/>
  </si>
  <si>
    <t>SALLAJA438A458314</t>
    <phoneticPr fontId="13"/>
  </si>
  <si>
    <t>株式会社北日本ｵｰﾄﾊﾞｯｸｽ</t>
    <rPh sb="0" eb="4">
      <t>カブシキガイシャ</t>
    </rPh>
    <rPh sb="4" eb="7">
      <t>キタニホン</t>
    </rPh>
    <phoneticPr fontId="13"/>
  </si>
  <si>
    <t>6/23</t>
    <phoneticPr fontId="13"/>
  </si>
  <si>
    <t>29/12</t>
    <phoneticPr fontId="13"/>
  </si>
  <si>
    <t>BMW523ｄ Ｍｽﾎﾟｰﾂ</t>
    <phoneticPr fontId="13"/>
  </si>
  <si>
    <t>奈良 358 ぬ 358</t>
    <rPh sb="0" eb="2">
      <t>ナラ</t>
    </rPh>
    <phoneticPr fontId="13"/>
  </si>
  <si>
    <t>301 と 8624</t>
    <phoneticPr fontId="13"/>
  </si>
  <si>
    <t>WBAJC32050G581087</t>
    <phoneticPr fontId="13"/>
  </si>
  <si>
    <t>ﾋﾞｰｴﾑﾀﾞﾌﾞﾘｭｰｼﾞｬﾊﾟﾝﾌｧｲﾅﾝｽ株式会社</t>
    <rPh sb="24" eb="28">
      <t>カブシキカイシャ</t>
    </rPh>
    <phoneticPr fontId="13"/>
  </si>
  <si>
    <t>7/6</t>
    <phoneticPr fontId="13"/>
  </si>
  <si>
    <t>29/5</t>
    <phoneticPr fontId="13"/>
  </si>
  <si>
    <t>ｱﾊﾞﾙﾄ124 ｽﾊﾟｲﾀﾞｰ</t>
    <phoneticPr fontId="13"/>
  </si>
  <si>
    <t>豊橋 333 そ 124</t>
    <rPh sb="0" eb="2">
      <t>トヨハシ</t>
    </rPh>
    <phoneticPr fontId="13"/>
  </si>
  <si>
    <t>301 と 8626</t>
    <phoneticPr fontId="13"/>
  </si>
  <si>
    <t>Pﾎﾜｲﾄ</t>
    <phoneticPr fontId="13"/>
  </si>
  <si>
    <t>JC8NF2EKA00127761</t>
    <phoneticPr fontId="13"/>
  </si>
  <si>
    <t>辰広商事株式会社</t>
    <rPh sb="0" eb="1">
      <t>タツ</t>
    </rPh>
    <rPh sb="1" eb="2">
      <t>ヒロ</t>
    </rPh>
    <rPh sb="2" eb="4">
      <t>ショウジ</t>
    </rPh>
    <rPh sb="4" eb="8">
      <t>カブシキガイシャ</t>
    </rPh>
    <phoneticPr fontId="13"/>
  </si>
  <si>
    <t>6/30</t>
    <phoneticPr fontId="13"/>
  </si>
  <si>
    <t>ｱﾙﾌｧﾛﾒｵ ｼﾞｭﾘｱ ｳﾞｪﾛｰﾁｪ</t>
    <phoneticPr fontId="13"/>
  </si>
  <si>
    <t>北九州301す3171</t>
    <rPh sb="0" eb="3">
      <t>キタキュウシュウ</t>
    </rPh>
    <phoneticPr fontId="13"/>
  </si>
  <si>
    <t>ZAREAENN2J7576563</t>
    <phoneticPr fontId="13"/>
  </si>
  <si>
    <t>ﾈｯﾂﾄﾖﾀ北九州株式会社</t>
    <rPh sb="6" eb="9">
      <t>キタキュウシュウ</t>
    </rPh>
    <rPh sb="9" eb="13">
      <t>カブシキガイシャ</t>
    </rPh>
    <phoneticPr fontId="13"/>
  </si>
  <si>
    <t>7/1</t>
    <phoneticPr fontId="13"/>
  </si>
  <si>
    <t>ｷｰﾚｽ（車内） 保証書</t>
    <rPh sb="5" eb="7">
      <t>シャナイ</t>
    </rPh>
    <rPh sb="9" eb="12">
      <t>ホショウショ</t>
    </rPh>
    <phoneticPr fontId="13"/>
  </si>
  <si>
    <t>ﾊｲｾﾞｯﾄｶｰｺﾞ ﾃﾞﾗｯｸｽ SaⅢ</t>
    <phoneticPr fontId="13"/>
  </si>
  <si>
    <t>多摩 484 ろ 571</t>
    <rPh sb="0" eb="2">
      <t>タマ</t>
    </rPh>
    <phoneticPr fontId="13"/>
  </si>
  <si>
    <t>S321V-0371749</t>
    <phoneticPr fontId="13"/>
  </si>
  <si>
    <t>ｵﾘｯｸｽ自動車株式会社</t>
    <rPh sb="5" eb="12">
      <t>ジドウシャカブシキガイシャ</t>
    </rPh>
    <phoneticPr fontId="13"/>
  </si>
  <si>
    <t>Mﾍﾞﾝﾂ S400ｄｽﾎﾟｰﾂﾘﾐﾃｯﾄﾞ</t>
    <phoneticPr fontId="13"/>
  </si>
  <si>
    <t>なにわ332の5523</t>
    <phoneticPr fontId="13"/>
  </si>
  <si>
    <t>保証書 名変8/9まで</t>
    <rPh sb="0" eb="3">
      <t>ホショウショ</t>
    </rPh>
    <rPh sb="4" eb="6">
      <t>メイヘン</t>
    </rPh>
    <phoneticPr fontId="13"/>
  </si>
  <si>
    <t>33H ふ 5</t>
    <phoneticPr fontId="13"/>
  </si>
  <si>
    <t>W1K2220342A563559</t>
    <phoneticPr fontId="13"/>
  </si>
  <si>
    <t>ﾊｰﾋﾞｽﾄ有限会社</t>
    <rPh sb="6" eb="8">
      <t>ユウゲン</t>
    </rPh>
    <rPh sb="8" eb="10">
      <t>カイシャ</t>
    </rPh>
    <phoneticPr fontId="13"/>
  </si>
  <si>
    <t>7/13</t>
    <phoneticPr fontId="13"/>
  </si>
  <si>
    <t>ｼﾞｬｶﾞｰXF ｽﾎﾟｰﾂﾌﾞﾚｲｸ ﾌﾟﾚｽﾃｰｼﾞ</t>
    <phoneticPr fontId="13"/>
  </si>
  <si>
    <t>京都352ふ2001</t>
    <rPh sb="0" eb="2">
      <t>キョウト</t>
    </rPh>
    <phoneticPr fontId="13"/>
  </si>
  <si>
    <t>ｱﾗｲﾍﾞｲ</t>
    <phoneticPr fontId="13"/>
  </si>
  <si>
    <t>SAJBB2AX0JCY68284</t>
    <phoneticPr fontId="13"/>
  </si>
  <si>
    <t>7/9</t>
    <phoneticPr fontId="13"/>
  </si>
  <si>
    <t>ｼﾞｬｶﾞｰ Fﾍﾟｲｽ 20ｄﾌﾟﾚｽﾃｰｼﾞ</t>
    <phoneticPr fontId="13"/>
  </si>
  <si>
    <t>6/3/22</t>
    <phoneticPr fontId="13"/>
  </si>
  <si>
    <t>仙台330と1068</t>
    <rPh sb="0" eb="2">
      <t>センダイ</t>
    </rPh>
    <phoneticPr fontId="13"/>
  </si>
  <si>
    <t>SADCA2ANIHA099762</t>
    <phoneticPr fontId="13"/>
  </si>
  <si>
    <t>株式会社横浜ﾕｰﾎﾟｽ</t>
    <rPh sb="0" eb="4">
      <t>カブシキカイシャ</t>
    </rPh>
    <rPh sb="4" eb="6">
      <t>ヨコハマ</t>
    </rPh>
    <phoneticPr fontId="13"/>
  </si>
  <si>
    <t>26/6</t>
    <phoneticPr fontId="13"/>
  </si>
  <si>
    <t>ｱﾙﾌｧﾛﾒｵ ﾐﾄ ｺﾝﾍﾟﾃｨﾂｨｵｰﾈ</t>
    <phoneticPr fontId="13"/>
  </si>
  <si>
    <t>神戸 329 も 6792</t>
    <rPh sb="0" eb="2">
      <t>コウベ</t>
    </rPh>
    <phoneticPr fontId="13"/>
  </si>
  <si>
    <t>ﾐﾆB-CAS</t>
    <phoneticPr fontId="13"/>
  </si>
  <si>
    <t>ZAR9550000X020267</t>
    <phoneticPr fontId="13"/>
  </si>
  <si>
    <t>7/20</t>
    <phoneticPr fontId="13"/>
  </si>
  <si>
    <t>取説 ｷｰﾚｽ ﾐﾆB-CAS</t>
    <rPh sb="0" eb="2">
      <t>トリセツ</t>
    </rPh>
    <phoneticPr fontId="13"/>
  </si>
  <si>
    <t xml:space="preserve">ｱﾙﾌｧﾛﾒｵ ﾐﾄ </t>
    <phoneticPr fontId="13"/>
  </si>
  <si>
    <t>7/3</t>
    <phoneticPr fontId="13"/>
  </si>
  <si>
    <t>京都349る325</t>
    <rPh sb="0" eb="2">
      <t>キョウト</t>
    </rPh>
    <phoneticPr fontId="13"/>
  </si>
  <si>
    <t xml:space="preserve">保証書 取説 ｽﾍﾟｱｷｰ ﾜﾝｵｰﾅｰ </t>
    <rPh sb="0" eb="3">
      <t>ホショウショ</t>
    </rPh>
    <rPh sb="4" eb="6">
      <t>トリセツ</t>
    </rPh>
    <phoneticPr fontId="13"/>
  </si>
  <si>
    <t>HAA神戸</t>
    <rPh sb="3" eb="5">
      <t>コウベ</t>
    </rPh>
    <phoneticPr fontId="13"/>
  </si>
  <si>
    <t>ZAR9550000X066139</t>
    <phoneticPr fontId="13"/>
  </si>
  <si>
    <t>株式会社ｴﾇｽﾞ･ｶﾝﾊﾟﾆｰ</t>
    <rPh sb="0" eb="4">
      <t>カブシキガイシャ</t>
    </rPh>
    <phoneticPr fontId="13"/>
  </si>
  <si>
    <t>7/27</t>
    <phoneticPr fontId="13"/>
  </si>
  <si>
    <t>22/2</t>
    <phoneticPr fontId="13"/>
  </si>
  <si>
    <t>ﾗﾝﾄﾞﾛｰﾊﾞｰ ﾃﾞｨｽｶﾊﾞﾘｰ4 HSE</t>
    <phoneticPr fontId="13"/>
  </si>
  <si>
    <t>川崎 330 ふ 8311</t>
    <rPh sb="0" eb="2">
      <t>カワサキ</t>
    </rPh>
    <phoneticPr fontId="13"/>
  </si>
  <si>
    <t>SALLAJAD3AA525392</t>
    <phoneticPr fontId="13"/>
  </si>
  <si>
    <t>原田 圭子</t>
    <rPh sb="0" eb="2">
      <t>ハラダ</t>
    </rPh>
    <rPh sb="3" eb="5">
      <t>ケイコ</t>
    </rPh>
    <phoneticPr fontId="13"/>
  </si>
  <si>
    <t>整備記録簿 取説 ﾅﾋﾞ取</t>
    <rPh sb="0" eb="5">
      <t>セイビキロクボ</t>
    </rPh>
    <rPh sb="6" eb="8">
      <t>トリセツ</t>
    </rPh>
    <rPh sb="12" eb="13">
      <t>トリ</t>
    </rPh>
    <phoneticPr fontId="13"/>
  </si>
  <si>
    <t>LRﾚﾝｼﾞﾛｰﾊﾞｰ　ｵｰﾄﾊﾞｲｵｸﾞﾗﾌｨ</t>
    <phoneticPr fontId="13"/>
  </si>
  <si>
    <t>福岡 303 つ 3266</t>
    <rPh sb="0" eb="2">
      <t>フクオカ</t>
    </rPh>
    <phoneticPr fontId="13"/>
  </si>
  <si>
    <t>保証書　取説　ｽﾍﾟｱｷｰ　ﾘﾓｺﾝ</t>
    <rPh sb="0" eb="3">
      <t>ホショウショ</t>
    </rPh>
    <rPh sb="4" eb="6">
      <t>トリセツ</t>
    </rPh>
    <phoneticPr fontId="13"/>
  </si>
  <si>
    <t>SALGA3EF1EA185638</t>
    <phoneticPr fontId="13"/>
  </si>
  <si>
    <t>株式会社田中商店</t>
    <rPh sb="0" eb="4">
      <t>カブシキガイシャ</t>
    </rPh>
    <rPh sb="4" eb="8">
      <t>タナカショウテン</t>
    </rPh>
    <phoneticPr fontId="13"/>
  </si>
  <si>
    <t>8/3</t>
    <phoneticPr fontId="13"/>
  </si>
  <si>
    <t>保証書 取説 ﾅﾋﾞ取 ｷｰﾚｽ ﾘﾓｺﾝ ﾄﾗﾝｸ開閉ﾎﾞﾀﾝの部品X2</t>
    <rPh sb="0" eb="3">
      <t>ホショウショ</t>
    </rPh>
    <rPh sb="4" eb="6">
      <t>トリセツ</t>
    </rPh>
    <rPh sb="10" eb="11">
      <t>トリ</t>
    </rPh>
    <rPh sb="26" eb="28">
      <t>カイヘイ</t>
    </rPh>
    <rPh sb="33" eb="35">
      <t>ブヒン</t>
    </rPh>
    <phoneticPr fontId="13"/>
  </si>
  <si>
    <t>26/8</t>
    <phoneticPr fontId="13"/>
  </si>
  <si>
    <t>LRﾚﾝｼﾞﾛｰﾊﾞｰｽﾎﾟｰﾂ　SE</t>
    <phoneticPr fontId="13"/>
  </si>
  <si>
    <t>7/5</t>
    <phoneticPr fontId="13"/>
  </si>
  <si>
    <t>大阪 371 は 315</t>
    <rPh sb="0" eb="2">
      <t>オオサカ</t>
    </rPh>
    <phoneticPr fontId="13"/>
  </si>
  <si>
    <t>SALWA2VE8EA386734</t>
    <phoneticPr fontId="13"/>
  </si>
  <si>
    <t>8/8</t>
    <phoneticPr fontId="13"/>
  </si>
  <si>
    <t>滋賀 321 ふ 77</t>
    <rPh sb="0" eb="2">
      <t>シガ</t>
    </rPh>
    <phoneticPr fontId="13"/>
  </si>
  <si>
    <t>ﾎﾝﾀﾞ関西（まとめ）</t>
    <rPh sb="4" eb="6">
      <t>カンサイ</t>
    </rPh>
    <phoneticPr fontId="13"/>
  </si>
  <si>
    <t>ﾊﾟｰﾙﾎﾜｲﾄ</t>
    <phoneticPr fontId="13"/>
  </si>
  <si>
    <t>WMWXR92080TP20759</t>
    <phoneticPr fontId="13"/>
  </si>
  <si>
    <t>株式会社ﾎﾝﾀﾞｵｰﾄﾌｸﾅｶﾞ</t>
    <rPh sb="0" eb="4">
      <t>カブシキガイシャ</t>
    </rPh>
    <phoneticPr fontId="13"/>
  </si>
  <si>
    <t>8/22</t>
    <phoneticPr fontId="13"/>
  </si>
  <si>
    <t>整備記録 取説 ｷｰﾚｽ</t>
    <rPh sb="0" eb="2">
      <t>セイビ</t>
    </rPh>
    <rPh sb="2" eb="4">
      <t>キロク</t>
    </rPh>
    <rPh sb="5" eb="7">
      <t>トリセツ</t>
    </rPh>
    <phoneticPr fontId="13"/>
  </si>
  <si>
    <t>19/9</t>
    <phoneticPr fontId="13"/>
  </si>
  <si>
    <t>7/1/14</t>
    <phoneticPr fontId="13"/>
  </si>
  <si>
    <t>静岡 301 ね 978</t>
    <rPh sb="0" eb="2">
      <t>シズオカ</t>
    </rPh>
    <phoneticPr fontId="13"/>
  </si>
  <si>
    <t>取説 整備手帳</t>
    <rPh sb="0" eb="2">
      <t>トリセツ</t>
    </rPh>
    <rPh sb="3" eb="7">
      <t>セイビテチョウ</t>
    </rPh>
    <phoneticPr fontId="13"/>
  </si>
  <si>
    <t>A194860</t>
    <phoneticPr fontId="13"/>
  </si>
  <si>
    <t>WBSNB92040CY10210</t>
    <phoneticPr fontId="13"/>
  </si>
  <si>
    <t>山下始</t>
    <rPh sb="0" eb="2">
      <t>ヤマシタ</t>
    </rPh>
    <rPh sb="2" eb="3">
      <t>ハジ</t>
    </rPh>
    <phoneticPr fontId="13"/>
  </si>
  <si>
    <t>8/31</t>
    <phoneticPr fontId="13"/>
  </si>
  <si>
    <t>取説 整備手帳 ｷｰﾚｽ</t>
    <rPh sb="0" eb="2">
      <t>トリセツ</t>
    </rPh>
    <rPh sb="3" eb="7">
      <t>セイビテチョウ</t>
    </rPh>
    <phoneticPr fontId="13"/>
  </si>
  <si>
    <t>不具合の為名変するかｸﾚｰﾑ中</t>
    <rPh sb="0" eb="3">
      <t>フグアイ</t>
    </rPh>
    <rPh sb="4" eb="5">
      <t>タメ</t>
    </rPh>
    <rPh sb="5" eb="7">
      <t>メイヘン</t>
    </rPh>
    <rPh sb="14" eb="15">
      <t>チュウ</t>
    </rPh>
    <phoneticPr fontId="13"/>
  </si>
  <si>
    <t>ｼﾞﾑﾆｰ1300 ｼｴﾗｴﾙｸ</t>
    <phoneticPr fontId="13"/>
  </si>
  <si>
    <t>奈良430 さ 8969</t>
    <rPh sb="0" eb="2">
      <t>ナラ</t>
    </rPh>
    <phoneticPr fontId="13"/>
  </si>
  <si>
    <t>A195327</t>
    <phoneticPr fontId="13"/>
  </si>
  <si>
    <t>JB31W-109190</t>
    <phoneticPr fontId="13"/>
  </si>
  <si>
    <t>福田涼</t>
    <rPh sb="0" eb="2">
      <t>フクダ</t>
    </rPh>
    <rPh sb="2" eb="3">
      <t>リョウ</t>
    </rPh>
    <phoneticPr fontId="13"/>
  </si>
  <si>
    <t>8/29</t>
    <phoneticPr fontId="13"/>
  </si>
  <si>
    <t>MINI MINI ｸｰﾊﾟD</t>
    <phoneticPr fontId="13"/>
  </si>
  <si>
    <t>堺 399 の 116</t>
    <rPh sb="0" eb="1">
      <t>サカイ</t>
    </rPh>
    <phoneticPr fontId="13"/>
  </si>
  <si>
    <t>CAA中部(まとめ)</t>
    <rPh sb="3" eb="5">
      <t>チュウブ</t>
    </rPh>
    <phoneticPr fontId="13"/>
  </si>
  <si>
    <t>ｶｰｷ</t>
    <phoneticPr fontId="13"/>
  </si>
  <si>
    <t>WMWXN320502H81858</t>
    <phoneticPr fontId="13"/>
  </si>
  <si>
    <t>8/27</t>
    <phoneticPr fontId="13"/>
  </si>
  <si>
    <t>1411回</t>
    <rPh sb="4" eb="5">
      <t>カイ</t>
    </rPh>
    <phoneticPr fontId="13"/>
  </si>
  <si>
    <t>25/6</t>
    <phoneticPr fontId="13"/>
  </si>
  <si>
    <t>BMW M6 ｸﾞﾗﾝｸｰﾍﾟ</t>
    <phoneticPr fontId="13"/>
  </si>
  <si>
    <t>7/3/18</t>
    <phoneticPr fontId="13"/>
  </si>
  <si>
    <t>福岡 340 ひ 106</t>
    <rPh sb="0" eb="2">
      <t>フクオカ</t>
    </rPh>
    <phoneticPr fontId="13"/>
  </si>
  <si>
    <t>保証書 取説 整備記録 ｽﾍﾟｱｷｰ</t>
    <rPh sb="0" eb="3">
      <t>ホショウショ</t>
    </rPh>
    <rPh sb="4" eb="6">
      <t>トリセツ</t>
    </rPh>
    <rPh sb="7" eb="9">
      <t>セイビ</t>
    </rPh>
    <rPh sb="9" eb="11">
      <t>キロク</t>
    </rPh>
    <phoneticPr fontId="13"/>
  </si>
  <si>
    <t>WBS6C91050DV73255</t>
    <phoneticPr fontId="13"/>
  </si>
  <si>
    <t>株式会社ﾃｸﾉ・ｱｰﾄ</t>
    <rPh sb="0" eb="4">
      <t>カブシキガイシャ</t>
    </rPh>
    <phoneticPr fontId="13"/>
  </si>
  <si>
    <t>9/7</t>
    <phoneticPr fontId="13"/>
  </si>
  <si>
    <t>保証書 取説 ｷｰﾚｽ ﾅﾋﾞ取説 ﾄﾞﾗﾚｺﾏｲｸﾛSD ﾃﾚﾋﾞｷｬﾝｾﾗｰのUSB</t>
    <rPh sb="0" eb="3">
      <t>ホショウショ</t>
    </rPh>
    <rPh sb="4" eb="6">
      <t>トリセツ</t>
    </rPh>
    <rPh sb="15" eb="17">
      <t>トリセツ</t>
    </rPh>
    <phoneticPr fontId="13"/>
  </si>
  <si>
    <t>6/12/3</t>
    <phoneticPr fontId="13"/>
  </si>
  <si>
    <t>水戸 301 ね 421</t>
    <rPh sb="0" eb="2">
      <t>ミト</t>
    </rPh>
    <phoneticPr fontId="13"/>
  </si>
  <si>
    <t>SALCA2AG5GH562160</t>
    <phoneticPr fontId="13"/>
  </si>
  <si>
    <t>ライズ 株式会社</t>
    <rPh sb="4" eb="8">
      <t>カブシキガイシャ</t>
    </rPh>
    <phoneticPr fontId="13"/>
  </si>
  <si>
    <t>9/10</t>
    <phoneticPr fontId="13"/>
  </si>
  <si>
    <t>保証書 取説 ﾅﾋﾞ取説 ｷｰﾚｽ</t>
    <rPh sb="0" eb="3">
      <t>ホショウショ</t>
    </rPh>
    <rPh sb="4" eb="6">
      <t>トリセツ</t>
    </rPh>
    <rPh sb="10" eb="12">
      <t>トリセツ</t>
    </rPh>
    <phoneticPr fontId="13"/>
  </si>
  <si>
    <t>ﾗﾝﾄﾞﾛｰﾊﾞｰ ﾃﾞｨｽｶﾊﾞﾘｰｽﾎﾟｰﾂ HSEラグ</t>
    <phoneticPr fontId="13"/>
  </si>
  <si>
    <t>6/3/21</t>
    <phoneticPr fontId="13"/>
  </si>
  <si>
    <t>仙台 331 さ 814</t>
    <rPh sb="0" eb="2">
      <t>センダイ</t>
    </rPh>
    <phoneticPr fontId="13"/>
  </si>
  <si>
    <t>SALCA2AG8HH661766</t>
    <phoneticPr fontId="13"/>
  </si>
  <si>
    <t>ｶﾒｲｵｰﾄ株式会社</t>
    <rPh sb="6" eb="10">
      <t>カブシキガイシャ</t>
    </rPh>
    <phoneticPr fontId="13"/>
  </si>
  <si>
    <t>9/12</t>
    <phoneticPr fontId="13"/>
  </si>
  <si>
    <t>ﾛｰﾊﾞｰﾃﾞｨｽｶﾊﾞﾘｰｽﾎﾟｰﾂ HSE</t>
    <phoneticPr fontId="13"/>
  </si>
  <si>
    <t>鹿児島 333 ね 888</t>
    <rPh sb="0" eb="3">
      <t>カゴシマ</t>
    </rPh>
    <phoneticPr fontId="13"/>
  </si>
  <si>
    <t>保証書 取説 整備手帳</t>
    <rPh sb="0" eb="3">
      <t>ホショウショ</t>
    </rPh>
    <rPh sb="4" eb="6">
      <t>トリセツ</t>
    </rPh>
    <rPh sb="7" eb="11">
      <t>セイビテチョウ</t>
    </rPh>
    <phoneticPr fontId="13"/>
  </si>
  <si>
    <t>SALCA2AX2JH776482</t>
    <phoneticPr fontId="13"/>
  </si>
  <si>
    <t>BMWﾐﾆ ｸｰﾊﾟｰSD ｵｰﾙ4ｸﾛｽｵｰﾊﾞｰ</t>
    <phoneticPr fontId="13"/>
  </si>
  <si>
    <t>6/3/24</t>
    <phoneticPr fontId="13"/>
  </si>
  <si>
    <t>奈良 331 は 8723</t>
    <rPh sb="0" eb="2">
      <t>ナラ</t>
    </rPh>
    <phoneticPr fontId="13"/>
  </si>
  <si>
    <t>377 る 6</t>
    <phoneticPr fontId="13"/>
  </si>
  <si>
    <t>WMW22BU0403N09061</t>
    <phoneticPr fontId="13"/>
  </si>
  <si>
    <t>大阪 303 む 5727</t>
    <rPh sb="0" eb="2">
      <t>オオサカ</t>
    </rPh>
    <phoneticPr fontId="13"/>
  </si>
  <si>
    <t>WMW22BU0703M38678</t>
    <phoneticPr fontId="13"/>
  </si>
  <si>
    <t>橋本 大輔</t>
    <rPh sb="0" eb="2">
      <t>ハシモト</t>
    </rPh>
    <rPh sb="3" eb="5">
      <t>ダイスケ</t>
    </rPh>
    <phoneticPr fontId="13"/>
  </si>
  <si>
    <t>9/24</t>
    <phoneticPr fontId="13"/>
  </si>
  <si>
    <t>ｴﾌﾞﾘｲﾜｺﾞﾝ PZﾀｰﾎﾞ</t>
    <phoneticPr fontId="13"/>
  </si>
  <si>
    <t>神戸 583 ね 3987</t>
    <rPh sb="0" eb="2">
      <t>コウベ</t>
    </rPh>
    <phoneticPr fontId="13"/>
  </si>
  <si>
    <t>ｸﾚｰﾑ済み</t>
    <rPh sb="4" eb="5">
      <t>ズ</t>
    </rPh>
    <phoneticPr fontId="13"/>
  </si>
  <si>
    <t>ﾊﾟｰﾙ</t>
    <phoneticPr fontId="13"/>
  </si>
  <si>
    <t>DA17W-105404</t>
    <phoneticPr fontId="13"/>
  </si>
  <si>
    <t>花井 仁志</t>
    <rPh sb="0" eb="2">
      <t>ハナイ</t>
    </rPh>
    <rPh sb="3" eb="4">
      <t>ヒトシ</t>
    </rPh>
    <rPh sb="4" eb="5">
      <t>ココロザシ</t>
    </rPh>
    <phoneticPr fontId="13"/>
  </si>
  <si>
    <t>10/10</t>
    <phoneticPr fontId="13"/>
  </si>
  <si>
    <t>取説 保証書（車内）</t>
    <rPh sb="0" eb="2">
      <t>トリセツ</t>
    </rPh>
    <rPh sb="3" eb="6">
      <t>ホショウショ</t>
    </rPh>
    <rPh sb="7" eb="9">
      <t>シャナイ</t>
    </rPh>
    <phoneticPr fontId="13"/>
  </si>
  <si>
    <t>1/12</t>
    <phoneticPr fontId="13"/>
  </si>
  <si>
    <t>ｼﾞｬｶﾞｰ XF ﾌﾟﾚｽﾃｰｼﾞ</t>
    <phoneticPr fontId="13"/>
  </si>
  <si>
    <t>広島 301 ゆ 4169</t>
    <rPh sb="0" eb="2">
      <t>ヒロシマ</t>
    </rPh>
    <phoneticPr fontId="13"/>
  </si>
  <si>
    <t>保証書 取説 ﾒﾝﾃﾅｽﾉｰﾄ ｽﾍﾟｱｷｰ</t>
    <rPh sb="0" eb="3">
      <t>ホショウショ</t>
    </rPh>
    <rPh sb="4" eb="6">
      <t>トリセツ</t>
    </rPh>
    <phoneticPr fontId="13"/>
  </si>
  <si>
    <t>SAJBB4AX2KCY82006</t>
    <phoneticPr fontId="13"/>
  </si>
  <si>
    <t>株式会社ｺﾝｸｴｽﾄ</t>
    <rPh sb="0" eb="4">
      <t>カブシキガイシャ</t>
    </rPh>
    <phoneticPr fontId="13"/>
  </si>
  <si>
    <t>相模 399 ほ 2910</t>
    <rPh sb="0" eb="2">
      <t>サガミ</t>
    </rPh>
    <phoneticPr fontId="13"/>
  </si>
  <si>
    <t>SALWA2VEXGA647574</t>
    <phoneticPr fontId="13"/>
  </si>
  <si>
    <t>ｳｲﾙﾌﾟﾗｽｴﾝﾊﾝｽ株式会社</t>
    <rPh sb="12" eb="16">
      <t>カブシキガイシャ</t>
    </rPh>
    <phoneticPr fontId="13"/>
  </si>
  <si>
    <t>保証書 ﾅﾋﾞ取 ｷｰﾚｽ</t>
    <rPh sb="0" eb="3">
      <t>ホショウショ</t>
    </rPh>
    <rPh sb="7" eb="8">
      <t>トリ</t>
    </rPh>
    <phoneticPr fontId="13"/>
  </si>
  <si>
    <t>1/11</t>
    <phoneticPr fontId="13"/>
  </si>
  <si>
    <t>BMWﾐﾆ ｸｰﾊﾟｰ60ｲﾔｰｽﾞｴﾃﾞｨｼｮﾝ</t>
    <phoneticPr fontId="13"/>
  </si>
  <si>
    <t>7/10/23</t>
    <phoneticPr fontId="13"/>
  </si>
  <si>
    <t>所沢 302 す 1822</t>
    <rPh sb="0" eb="2">
      <t>トコロザワ</t>
    </rPh>
    <phoneticPr fontId="13"/>
  </si>
  <si>
    <t xml:space="preserve"> 301 な 3358</t>
    <phoneticPr fontId="13"/>
  </si>
  <si>
    <t>WMWXR32070TS34909</t>
    <phoneticPr fontId="13"/>
  </si>
  <si>
    <t>有限会社ﾏﾙﾐｽﾞｵｰﾄ</t>
    <rPh sb="0" eb="4">
      <t>ユウゲンガイシャ</t>
    </rPh>
    <phoneticPr fontId="13"/>
  </si>
  <si>
    <t>11/5</t>
    <phoneticPr fontId="13"/>
  </si>
  <si>
    <t>6/12/19</t>
    <phoneticPr fontId="13"/>
  </si>
  <si>
    <t>神戸 304 ぬ 7637</t>
    <rPh sb="0" eb="2">
      <t>コウベ</t>
    </rPh>
    <phoneticPr fontId="13"/>
  </si>
  <si>
    <t>保証書 取説 ﾘﾓｺﾝ ｽﾍﾟｱｷｰ</t>
    <rPh sb="0" eb="3">
      <t>ホショウショ</t>
    </rPh>
    <rPh sb="4" eb="6">
      <t>トリセツ</t>
    </rPh>
    <phoneticPr fontId="13"/>
  </si>
  <si>
    <t>354 ろ 32</t>
    <phoneticPr fontId="13"/>
  </si>
  <si>
    <t>WMWXR920602L54578</t>
    <phoneticPr fontId="13"/>
  </si>
  <si>
    <t>有限会社吉田自動車</t>
    <rPh sb="0" eb="4">
      <t>ユウゲンガイシャ</t>
    </rPh>
    <rPh sb="4" eb="6">
      <t>ヨシダ</t>
    </rPh>
    <rPh sb="6" eb="9">
      <t>ジドウシャ</t>
    </rPh>
    <phoneticPr fontId="13"/>
  </si>
  <si>
    <t>11/21</t>
    <phoneticPr fontId="13"/>
  </si>
  <si>
    <t>保証書 取説 ｷｰﾚｽ ﾘﾓｺﾝ×3</t>
    <rPh sb="0" eb="3">
      <t>ホショウショ</t>
    </rPh>
    <rPh sb="4" eb="6">
      <t>トリセツ</t>
    </rPh>
    <phoneticPr fontId="13"/>
  </si>
  <si>
    <t>28</t>
    <phoneticPr fontId="13"/>
  </si>
  <si>
    <t>BMW M2</t>
    <phoneticPr fontId="13"/>
  </si>
  <si>
    <t>姫路 301 て 432</t>
    <rPh sb="0" eb="2">
      <t>ヒメジ</t>
    </rPh>
    <phoneticPr fontId="13"/>
  </si>
  <si>
    <t>佐伯</t>
    <rPh sb="0" eb="2">
      <t>サエキ</t>
    </rPh>
    <phoneticPr fontId="13"/>
  </si>
  <si>
    <t>WBA1H92000V817902</t>
    <phoneticPr fontId="13"/>
  </si>
  <si>
    <t>佐伯 薫</t>
    <rPh sb="3" eb="4">
      <t>カオル</t>
    </rPh>
    <phoneticPr fontId="13"/>
  </si>
  <si>
    <t>B</t>
    <phoneticPr fontId="13"/>
  </si>
  <si>
    <t>ﾜｺﾞﾝR FZ</t>
    <phoneticPr fontId="13"/>
  </si>
  <si>
    <t>倉敷 581 ろ 2310</t>
    <rPh sb="0" eb="2">
      <t>クラシキ</t>
    </rPh>
    <phoneticPr fontId="13"/>
  </si>
  <si>
    <t>LAA岡山</t>
    <rPh sb="3" eb="5">
      <t>オカヤマ</t>
    </rPh>
    <phoneticPr fontId="13"/>
  </si>
  <si>
    <t>MH44S-171915</t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</si>
  <si>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4">
      <t>クラシキ</t>
    </rPh>
    <rPh sb="14" eb="17">
      <t>エイギョウショ</t>
    </rPh>
    <phoneticPr fontId="13"/>
  </si>
  <si>
    <t>1/25</t>
    <phoneticPr fontId="13"/>
  </si>
  <si>
    <t>19/5</t>
    <phoneticPr fontId="13"/>
  </si>
  <si>
    <t>ｱｳﾃﾞｨA4 DTMﾘﾐﾃｯﾄﾞ</t>
    <phoneticPr fontId="13"/>
  </si>
  <si>
    <t>滋賀 330 ろ 1918</t>
    <rPh sb="0" eb="2">
      <t>シガ</t>
    </rPh>
    <phoneticPr fontId="13"/>
  </si>
  <si>
    <t>WUAZZZ8E57A802147</t>
    <phoneticPr fontId="13"/>
  </si>
  <si>
    <t>ﾄﾞｽｻﾝﾄｽ ｱｶﾞﾒﾉ</t>
    <phoneticPr fontId="13"/>
  </si>
  <si>
    <t>ﾗﾝﾄﾞﾛｰﾊﾞｰ ﾃﾞｨｽｶﾊﾞﾘｰ4SE</t>
    <phoneticPr fontId="13"/>
  </si>
  <si>
    <t>6/6/13</t>
    <phoneticPr fontId="13"/>
  </si>
  <si>
    <t>名古屋 305 む 5500</t>
    <rPh sb="0" eb="3">
      <t>ナゴヤ</t>
    </rPh>
    <phoneticPr fontId="13"/>
  </si>
  <si>
    <t>SALLAJAD3BA572705</t>
    <phoneticPr fontId="13"/>
  </si>
  <si>
    <t>2/1</t>
    <phoneticPr fontId="13"/>
  </si>
  <si>
    <t>保証書 取説 ﾅﾋﾞ取説</t>
    <rPh sb="0" eb="3">
      <t>ホショウショ</t>
    </rPh>
    <rPh sb="4" eb="6">
      <t>トリセツ</t>
    </rPh>
    <rPh sb="10" eb="12">
      <t>トリセツ</t>
    </rPh>
    <phoneticPr fontId="13"/>
  </si>
  <si>
    <t>BMWﾐﾆ ｸｰﾊﾟｰS</t>
    <phoneticPr fontId="13"/>
  </si>
  <si>
    <t>なにわ 39A せ 5011</t>
    <phoneticPr fontId="13"/>
  </si>
  <si>
    <t>WMWXU920X02N68147</t>
    <phoneticPr fontId="13"/>
  </si>
  <si>
    <t>株式会社はなまる</t>
    <rPh sb="0" eb="4">
      <t>カブシキガイシャ</t>
    </rPh>
    <phoneticPr fontId="13"/>
  </si>
  <si>
    <t>書類発送時確認(はなまる)</t>
    <rPh sb="0" eb="2">
      <t>ショルイ</t>
    </rPh>
    <rPh sb="2" eb="4">
      <t>ハッソウ</t>
    </rPh>
    <rPh sb="4" eb="5">
      <t>ジ</t>
    </rPh>
    <rPh sb="5" eb="7">
      <t>カクニン</t>
    </rPh>
    <phoneticPr fontId="13"/>
  </si>
  <si>
    <t>22/8</t>
    <phoneticPr fontId="13"/>
  </si>
  <si>
    <t>ﾚﾝｼﾞﾛｰﾊﾞｰｽﾎﾟｰﾂ 5.0 V8ｽｰﾊﾟｰﾁｬｰｼﾞﾄﾞ</t>
    <phoneticPr fontId="13"/>
  </si>
  <si>
    <t>7/8/27</t>
    <phoneticPr fontId="13"/>
  </si>
  <si>
    <t>名古屋 331 ね 1615</t>
    <rPh sb="0" eb="3">
      <t>ナゴヤ</t>
    </rPh>
    <phoneticPr fontId="13"/>
  </si>
  <si>
    <t>SALLSJAE3AA256402</t>
    <phoneticPr fontId="13"/>
  </si>
  <si>
    <t>ﾔﾅｾｵｰﾄﾓｰﾃｨﾌﾞ株式会社</t>
    <rPh sb="12" eb="14">
      <t>カブシキ</t>
    </rPh>
    <rPh sb="14" eb="16">
      <t>カイシャ</t>
    </rPh>
    <phoneticPr fontId="13"/>
  </si>
  <si>
    <t>保証書 取説 ｷｰﾚｽ（車内）</t>
    <rPh sb="0" eb="3">
      <t>ホショウショ</t>
    </rPh>
    <rPh sb="4" eb="6">
      <t>トリセツ</t>
    </rPh>
    <rPh sb="12" eb="14">
      <t>シャナイ</t>
    </rPh>
    <phoneticPr fontId="13"/>
  </si>
  <si>
    <t>ｱｳﾃﾞｨA6ｱﾊﾞﾝﾄ 45TFSIｸﾜﾄﾛｽﾎﾟｰﾂSﾗｲﾝ</t>
    <phoneticPr fontId="13"/>
  </si>
  <si>
    <t>札幌 330 む 6648</t>
    <rPh sb="0" eb="2">
      <t>サッポロ</t>
    </rPh>
    <phoneticPr fontId="13"/>
  </si>
  <si>
    <t>34A ね 5</t>
    <phoneticPr fontId="13"/>
  </si>
  <si>
    <t>WAUZZZF20LN034289</t>
    <phoneticPr fontId="13"/>
  </si>
  <si>
    <t>有限会社ｱﾈｻﾞｷｶﾝﾊﾟﾆｰ</t>
    <rPh sb="0" eb="4">
      <t>ユウゲンカイシャ</t>
    </rPh>
    <phoneticPr fontId="13"/>
  </si>
  <si>
    <t>保証書 取説 車検ｽﾃｯｶｰ</t>
    <rPh sb="0" eb="3">
      <t>ホショウショ</t>
    </rPh>
    <rPh sb="4" eb="6">
      <t>トリセツ</t>
    </rPh>
    <rPh sb="7" eb="9">
      <t>シャケン</t>
    </rPh>
    <phoneticPr fontId="13"/>
  </si>
  <si>
    <t>7/12/23</t>
    <phoneticPr fontId="13"/>
  </si>
  <si>
    <t>福岡 358 ゆ 320</t>
    <rPh sb="0" eb="2">
      <t>フクオカ</t>
    </rPh>
    <phoneticPr fontId="13"/>
  </si>
  <si>
    <t>保証書 取説 ﾄﾞﾗﾚｺSD</t>
    <rPh sb="0" eb="3">
      <t>ホショウショ</t>
    </rPh>
    <rPh sb="4" eb="6">
      <t>トリセツ</t>
    </rPh>
    <phoneticPr fontId="13"/>
  </si>
  <si>
    <t>ｸｲｯｸ売れｷｬﾝｾﾙ</t>
    <rPh sb="4" eb="5">
      <t>ウ</t>
    </rPh>
    <phoneticPr fontId="13"/>
  </si>
  <si>
    <t>301 な 9051</t>
    <phoneticPr fontId="13"/>
  </si>
  <si>
    <t>WMWXM520103A53348</t>
    <phoneticPr fontId="13"/>
  </si>
  <si>
    <t>福家 真美</t>
    <rPh sb="0" eb="2">
      <t>フクイエ</t>
    </rPh>
    <rPh sb="3" eb="5">
      <t>マミ</t>
    </rPh>
    <phoneticPr fontId="13"/>
  </si>
  <si>
    <t>3/7</t>
    <phoneticPr fontId="13"/>
  </si>
  <si>
    <t>4/25書類付属品返却済</t>
    <rPh sb="4" eb="6">
      <t>ショルイ</t>
    </rPh>
    <rPh sb="6" eb="9">
      <t>フゾクヒン</t>
    </rPh>
    <rPh sb="9" eb="11">
      <t>ヘンキャク</t>
    </rPh>
    <rPh sb="11" eb="12">
      <t>ズ</t>
    </rPh>
    <phoneticPr fontId="13"/>
  </si>
  <si>
    <t>BMW1ｼﾘｰｽﾞ 118IMｽﾎﾟｰﾂEDｼｬﾄﾞ</t>
    <phoneticPr fontId="13"/>
  </si>
  <si>
    <t>6/11/20</t>
    <phoneticPr fontId="13"/>
  </si>
  <si>
    <t>湘南 302 ち 7640</t>
    <rPh sb="0" eb="2">
      <t>ショウナン</t>
    </rPh>
    <phoneticPr fontId="13"/>
  </si>
  <si>
    <t>保証書 ｷｰ</t>
    <rPh sb="0" eb="3">
      <t>ホショウショ</t>
    </rPh>
    <phoneticPr fontId="13"/>
  </si>
  <si>
    <t>WBA1R520005C76105</t>
    <phoneticPr fontId="13"/>
  </si>
  <si>
    <t>株式会社ｴｺﾉﾐｰ湘南</t>
    <rPh sb="0" eb="4">
      <t>カブシキガイシャ</t>
    </rPh>
    <rPh sb="9" eb="11">
      <t>ショウナン</t>
    </rPh>
    <phoneticPr fontId="13"/>
  </si>
  <si>
    <t>3/8</t>
    <phoneticPr fontId="13"/>
  </si>
  <si>
    <t>BMWﾐﾆ3HB ｼﾞｮﾝｸｰﾊﾟｰﾜｰｸｽ</t>
    <phoneticPr fontId="13"/>
  </si>
  <si>
    <t>なにわ 39A ち 268</t>
    <phoneticPr fontId="13"/>
  </si>
  <si>
    <t>保証書 取説 Ｓｷｰ</t>
    <rPh sb="0" eb="3">
      <t>ホショウショ</t>
    </rPh>
    <rPh sb="4" eb="6">
      <t>トリセツ</t>
    </rPh>
    <phoneticPr fontId="13"/>
  </si>
  <si>
    <t>WMWXR92060TP21358</t>
    <phoneticPr fontId="13"/>
  </si>
  <si>
    <t>双日ｵｰﾄｸﾞﾙｰﾌﾟ大阪株式会社</t>
    <rPh sb="0" eb="2">
      <t>フタビ</t>
    </rPh>
    <rPh sb="11" eb="13">
      <t>オオサカ</t>
    </rPh>
    <rPh sb="13" eb="17">
      <t>カブシキガイシャ</t>
    </rPh>
    <phoneticPr fontId="13"/>
  </si>
  <si>
    <t>3/23</t>
    <phoneticPr fontId="13"/>
  </si>
  <si>
    <t>BMW M4 ｸｰﾍﾟｺﾝﾍﾟﾃｨｼｮﾝ</t>
    <phoneticPr fontId="13"/>
  </si>
  <si>
    <t>6/11</t>
    <phoneticPr fontId="13"/>
  </si>
  <si>
    <t>山口 330 そ 3867</t>
    <rPh sb="0" eb="2">
      <t>ヤマグチ</t>
    </rPh>
    <phoneticPr fontId="13"/>
  </si>
  <si>
    <t>TAA広島</t>
    <rPh sb="3" eb="5">
      <t>ヒロシマ</t>
    </rPh>
    <phoneticPr fontId="13"/>
  </si>
  <si>
    <t>WBS4Y92010AC60618</t>
    <phoneticPr fontId="13"/>
  </si>
  <si>
    <t>ｸﾙｰｼﾞﾝｸﾞｵｰﾄ株式会社</t>
    <rPh sb="11" eb="15">
      <t>カブシキガイシャ</t>
    </rPh>
    <phoneticPr fontId="13"/>
  </si>
  <si>
    <t>3/16</t>
    <phoneticPr fontId="13"/>
  </si>
  <si>
    <t>ｱﾊﾞﾙﾄ595 ｺﾝﾍﾟﾃｨﾂｨｵｰﾈ</t>
    <phoneticPr fontId="13"/>
  </si>
  <si>
    <t>7/1/30</t>
    <phoneticPr fontId="13"/>
  </si>
  <si>
    <t>広島 534 ゆ 595</t>
    <rPh sb="0" eb="2">
      <t>ヒロシマ</t>
    </rPh>
    <phoneticPr fontId="13"/>
  </si>
  <si>
    <t>ZFA3120000JD08145</t>
    <phoneticPr fontId="13"/>
  </si>
  <si>
    <t>3/29</t>
    <phoneticPr fontId="13"/>
  </si>
  <si>
    <t>ｼﾞｬｶﾞｰ XFｽﾎﾟｰﾂﾌﾞﾚｲｸ ﾌﾟﾚｽﾃｰｼﾞ</t>
    <phoneticPr fontId="13"/>
  </si>
  <si>
    <t>広島 339 せ 308</t>
    <rPh sb="0" eb="2">
      <t>ヒロシマ</t>
    </rPh>
    <phoneticPr fontId="13"/>
  </si>
  <si>
    <t>301 な 9762</t>
    <phoneticPr fontId="13"/>
  </si>
  <si>
    <t>SAJBB2AX7KCY74097</t>
    <phoneticPr fontId="13"/>
  </si>
  <si>
    <t>BMW M235ｉ ｸｰﾍﾟ</t>
    <phoneticPr fontId="13"/>
  </si>
  <si>
    <t>京都 399 る 3960</t>
    <rPh sb="0" eb="2">
      <t>キョウト</t>
    </rPh>
    <phoneticPr fontId="13"/>
  </si>
  <si>
    <t>保証書 取説 整備手帳 ｽﾍﾟｱｷｰ ﾜﾝｵｰﾅｰ</t>
    <rPh sb="0" eb="3">
      <t>ホショウショ</t>
    </rPh>
    <rPh sb="4" eb="6">
      <t>トリセツ</t>
    </rPh>
    <rPh sb="7" eb="11">
      <t>セイビテチョウ</t>
    </rPh>
    <phoneticPr fontId="13"/>
  </si>
  <si>
    <t>WBA1J72050VX31952</t>
    <phoneticPr fontId="13"/>
  </si>
  <si>
    <t>株式会社服部ﾓｰﾀｰｽ</t>
    <rPh sb="0" eb="4">
      <t>カブシキカイシャ</t>
    </rPh>
    <rPh sb="4" eb="6">
      <t>ハットリ</t>
    </rPh>
    <phoneticPr fontId="13"/>
  </si>
  <si>
    <t>ﾅﾋﾞ取説（車内）保証書 取説 ｷｰﾚｽ ﾜﾝｵｰﾅｰ</t>
    <rPh sb="3" eb="5">
      <t>トリセツ</t>
    </rPh>
    <rPh sb="6" eb="8">
      <t>シャナイ</t>
    </rPh>
    <rPh sb="9" eb="12">
      <t>ホショウショ</t>
    </rPh>
    <rPh sb="13" eb="15">
      <t>トリセツ</t>
    </rPh>
    <phoneticPr fontId="13"/>
  </si>
  <si>
    <t>4/</t>
    <phoneticPr fontId="13"/>
  </si>
  <si>
    <t>N-BOX</t>
    <phoneticPr fontId="13"/>
  </si>
  <si>
    <t>姫路 590 と 1105</t>
    <rPh sb="0" eb="2">
      <t>ヒメジ</t>
    </rPh>
    <phoneticPr fontId="13"/>
  </si>
  <si>
    <t>谷村様</t>
    <rPh sb="0" eb="2">
      <t>タニムラ</t>
    </rPh>
    <rPh sb="2" eb="3">
      <t>サマ</t>
    </rPh>
    <phoneticPr fontId="13"/>
  </si>
  <si>
    <t>JF3-2383933</t>
    <phoneticPr fontId="13"/>
  </si>
  <si>
    <t>谷村 隆平</t>
    <rPh sb="0" eb="2">
      <t>タニムラ</t>
    </rPh>
    <rPh sb="3" eb="5">
      <t>リュウヘイ</t>
    </rPh>
    <phoneticPr fontId="13"/>
  </si>
  <si>
    <t>BMWﾐﾆ</t>
    <phoneticPr fontId="13"/>
  </si>
  <si>
    <t>大阪 399 も 400</t>
    <rPh sb="0" eb="2">
      <t>オオサカ</t>
    </rPh>
    <phoneticPr fontId="13"/>
  </si>
  <si>
    <t>保証書 取説 ﾘﾓｺﾝ ｽﾏｰﾄｷｰ ﾜﾝｵｰﾅｰ</t>
    <rPh sb="0" eb="3">
      <t>ホショウショ</t>
    </rPh>
    <rPh sb="4" eb="6">
      <t>トリセツ</t>
    </rPh>
    <phoneticPr fontId="13"/>
  </si>
  <si>
    <t>ﾐﾗｲﾌﾞ大阪（ｱｲｵｰｸ）</t>
    <rPh sb="5" eb="7">
      <t>オオサカ</t>
    </rPh>
    <phoneticPr fontId="13"/>
  </si>
  <si>
    <t>WMWXN920X02M18083</t>
    <phoneticPr fontId="13"/>
  </si>
  <si>
    <t>大阪ﾏﾂﾀﾞ販売株式会社</t>
    <rPh sb="0" eb="2">
      <t>オオサカ</t>
    </rPh>
    <rPh sb="6" eb="12">
      <t>ハンバイカブシキガイシャ</t>
    </rPh>
    <phoneticPr fontId="13"/>
  </si>
  <si>
    <t>5/16</t>
    <phoneticPr fontId="13"/>
  </si>
  <si>
    <t>保証書 取説 ﾘﾓｺﾝ ｷｰﾚｽ ﾜﾝｵｰﾅｰ</t>
    <rPh sb="0" eb="3">
      <t>ホショウショ</t>
    </rPh>
    <rPh sb="4" eb="6">
      <t>トリセツ</t>
    </rPh>
    <phoneticPr fontId="13"/>
  </si>
  <si>
    <t>BMWﾐﾆｸｰﾊﾟｰD ｸﾛｽｵｰﾊﾞｰ</t>
    <phoneticPr fontId="13"/>
  </si>
  <si>
    <t>6/8/24</t>
    <phoneticPr fontId="13"/>
  </si>
  <si>
    <t>堺 330 な 7255</t>
    <rPh sb="0" eb="1">
      <t>サカイ</t>
    </rPh>
    <phoneticPr fontId="13"/>
  </si>
  <si>
    <t>WMWYT920203D52376</t>
    <phoneticPr fontId="13"/>
  </si>
  <si>
    <t>ﾘﾓｺﾝ×2（車内）保証書 取説 ｷｰﾚｽ</t>
    <rPh sb="7" eb="9">
      <t>シャナイ</t>
    </rPh>
    <rPh sb="10" eb="13">
      <t>ホショウショ</t>
    </rPh>
    <rPh sb="14" eb="16">
      <t>トリセツ</t>
    </rPh>
    <phoneticPr fontId="13"/>
  </si>
  <si>
    <t>3/11</t>
    <phoneticPr fontId="13"/>
  </si>
  <si>
    <t>広島 373 す 1212</t>
    <rPh sb="0" eb="2">
      <t>ヒロシマ</t>
    </rPh>
    <phoneticPr fontId="13"/>
  </si>
  <si>
    <t>WMW52DH0002R32468</t>
    <phoneticPr fontId="13"/>
  </si>
  <si>
    <t>広島ﾄﾖﾀ自動車株式会社</t>
    <rPh sb="0" eb="2">
      <t>ヒロシマ</t>
    </rPh>
    <rPh sb="5" eb="12">
      <t>ジドウシャカブシキカイシャ</t>
    </rPh>
    <phoneticPr fontId="13"/>
  </si>
  <si>
    <t>5/18</t>
    <phoneticPr fontId="13"/>
  </si>
  <si>
    <t>取説 ｷｰﾚｽ（車内）保証書</t>
    <rPh sb="0" eb="2">
      <t>トリセツ</t>
    </rPh>
    <rPh sb="8" eb="10">
      <t>シャナイ</t>
    </rPh>
    <rPh sb="11" eb="14">
      <t>ホショウショ</t>
    </rPh>
    <phoneticPr fontId="13"/>
  </si>
  <si>
    <t>7/6/28</t>
    <phoneticPr fontId="13"/>
  </si>
  <si>
    <t>豊田 300 も 1028</t>
    <rPh sb="0" eb="2">
      <t>トヨタ</t>
    </rPh>
    <phoneticPr fontId="13"/>
  </si>
  <si>
    <t>ｽﾏｰﾄｷｰ</t>
    <phoneticPr fontId="13"/>
  </si>
  <si>
    <t>301に 2202</t>
    <phoneticPr fontId="13"/>
  </si>
  <si>
    <t>WMWXU72030TN22691</t>
    <phoneticPr fontId="13"/>
  </si>
  <si>
    <t>株式会社ﾔﾅｷﾞｻﾜHD</t>
    <rPh sb="0" eb="4">
      <t>カブシキガイシャ</t>
    </rPh>
    <phoneticPr fontId="13"/>
  </si>
  <si>
    <t>5/21</t>
    <phoneticPr fontId="13"/>
  </si>
  <si>
    <t xml:space="preserve">保証書 取説 ｷｰﾚｽ </t>
    <rPh sb="0" eb="3">
      <t>ホショウショ</t>
    </rPh>
    <rPh sb="4" eb="6">
      <t>トリセツ</t>
    </rPh>
    <phoneticPr fontId="13"/>
  </si>
  <si>
    <t>FAX番号078-304-6644</t>
    <rPh sb="3" eb="5">
      <t>バンゴウ</t>
    </rPh>
    <phoneticPr fontId="13"/>
  </si>
  <si>
    <t>22/</t>
    <phoneticPr fontId="13"/>
  </si>
  <si>
    <t>CR-Z</t>
    <phoneticPr fontId="13"/>
  </si>
  <si>
    <t>尾張小牧 382 ひ 8008</t>
    <rPh sb="0" eb="4">
      <t>オバリコマキ</t>
    </rPh>
    <phoneticPr fontId="13"/>
  </si>
  <si>
    <t>友松様</t>
    <rPh sb="0" eb="2">
      <t>トモマツ</t>
    </rPh>
    <rPh sb="2" eb="3">
      <t>サマ</t>
    </rPh>
    <phoneticPr fontId="13"/>
  </si>
  <si>
    <t>ZF1-1017566</t>
    <phoneticPr fontId="13"/>
  </si>
  <si>
    <t>友松 淳治</t>
    <rPh sb="0" eb="2">
      <t>トモマツ</t>
    </rPh>
    <rPh sb="3" eb="4">
      <t>ジュン</t>
    </rPh>
    <rPh sb="4" eb="5">
      <t>ジ</t>
    </rPh>
    <phoneticPr fontId="13"/>
  </si>
  <si>
    <t>保証書 取説 ｷｰﾚｽ ｽﾍﾟｱｷｰ</t>
    <rPh sb="0" eb="3">
      <t>ホショウショ</t>
    </rPh>
    <rPh sb="4" eb="6">
      <t>トリセツ</t>
    </rPh>
    <phoneticPr fontId="13"/>
  </si>
  <si>
    <t>2/9</t>
    <phoneticPr fontId="13"/>
  </si>
  <si>
    <t>品川 39A ね 1458</t>
    <rPh sb="0" eb="2">
      <t>シナガワ</t>
    </rPh>
    <phoneticPr fontId="13"/>
  </si>
  <si>
    <t>WMWXR920902N22603</t>
    <phoneticPr fontId="13"/>
  </si>
  <si>
    <t>ﾋﾞｰ･ｴﾑﾀﾞﾌﾞﾘｭｰｼﾞｬﾊﾟﾝﾌｧｲﾅﾝｽ株式会社</t>
    <rPh sb="25" eb="29">
      <t>カブシキガイシャ</t>
    </rPh>
    <phoneticPr fontId="13"/>
  </si>
  <si>
    <t>6/13</t>
    <phoneticPr fontId="13"/>
  </si>
  <si>
    <t>岡山 324 て 5</t>
    <rPh sb="0" eb="2">
      <t>オカヤマ</t>
    </rPh>
    <phoneticPr fontId="13"/>
  </si>
  <si>
    <t>301 に 4003</t>
    <phoneticPr fontId="13"/>
  </si>
  <si>
    <t>SAJBB4AG7GCY21595</t>
    <phoneticPr fontId="13"/>
  </si>
  <si>
    <t>小谷 祐太</t>
    <rPh sb="0" eb="2">
      <t>コタニ</t>
    </rPh>
    <rPh sb="3" eb="5">
      <t>ユウタ</t>
    </rPh>
    <phoneticPr fontId="13"/>
  </si>
  <si>
    <t>BMWﾐﾆ ｸﾗﾌﾞﾏﾝ ｸｰﾊﾟｰSD</t>
    <phoneticPr fontId="13"/>
  </si>
  <si>
    <t>神戸 304 の 3294</t>
    <rPh sb="0" eb="2">
      <t>コウベ</t>
    </rPh>
    <phoneticPr fontId="13"/>
  </si>
  <si>
    <t>WMWLR520X02F14634</t>
    <phoneticPr fontId="13"/>
  </si>
  <si>
    <t>株式会社ｷｭﾋﾞｯｸ</t>
    <rPh sb="0" eb="4">
      <t>カブシキガイシャ</t>
    </rPh>
    <phoneticPr fontId="13"/>
  </si>
  <si>
    <t>N-BOX Lﾀｰﾎﾞ</t>
    <phoneticPr fontId="13"/>
  </si>
  <si>
    <t>京都 583 る 3580</t>
    <rPh sb="0" eb="2">
      <t>キョウト</t>
    </rPh>
    <phoneticPr fontId="13"/>
  </si>
  <si>
    <t>ﾎﾝﾀﾞ関西</t>
    <rPh sb="4" eb="6">
      <t>カンサイ</t>
    </rPh>
    <phoneticPr fontId="13"/>
  </si>
  <si>
    <t>JF3-2323589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</si>
  <si>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</si>
  <si>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保証書 ｴﾝﾀﾒSD 通信端末</t>
    <rPh sb="0" eb="3">
      <t>ホショウショ</t>
    </rPh>
    <rPh sb="11" eb="15">
      <t>ツウシンタンマツ</t>
    </rPh>
    <phoneticPr fontId="13"/>
  </si>
  <si>
    <t>ｷｬﾘｨﾄﾗｯｸ 金太郎ﾀﾞﾝﾌﾟ</t>
    <rPh sb="9" eb="12">
      <t>キンタロウ</t>
    </rPh>
    <phoneticPr fontId="13"/>
  </si>
  <si>
    <t>7/2/19</t>
    <phoneticPr fontId="13"/>
  </si>
  <si>
    <t>練馬 480 こ 4766</t>
    <rPh sb="0" eb="2">
      <t>ネリマ</t>
    </rPh>
    <phoneticPr fontId="13"/>
  </si>
  <si>
    <t>ｽﾍﾟｱｷｰ</t>
    <phoneticPr fontId="13"/>
  </si>
  <si>
    <t>480 ぬ 2059</t>
    <phoneticPr fontId="13"/>
  </si>
  <si>
    <t>DA16T-356548</t>
    <phoneticPr fontId="13"/>
  </si>
  <si>
    <t>加藤 昌三</t>
    <rPh sb="0" eb="2">
      <t>カトウ</t>
    </rPh>
    <rPh sb="3" eb="4">
      <t>マサ</t>
    </rPh>
    <rPh sb="4" eb="5">
      <t>サン</t>
    </rPh>
    <phoneticPr fontId="13"/>
  </si>
  <si>
    <t>千葉 329 ゆ 5734</t>
    <rPh sb="0" eb="2">
      <t>チバ</t>
    </rPh>
    <phoneticPr fontId="13"/>
  </si>
  <si>
    <t>WMWXY520902N89147</t>
    <phoneticPr fontId="13"/>
  </si>
  <si>
    <t>株式会社ﾓﾄｰﾚﾝﾚﾋﾟｵ</t>
    <rPh sb="0" eb="4">
      <t>カブシキガイシャ</t>
    </rPh>
    <phoneticPr fontId="13"/>
  </si>
  <si>
    <t>6/25</t>
    <phoneticPr fontId="13"/>
  </si>
  <si>
    <t>保証書 取説 ｷｰﾚｽ ﾏｲｸﾛSD ﾘﾓｺﾝ×2 ﾛｯｸﾅｯﾄ ﾜﾝｵｰﾅｰ</t>
    <rPh sb="0" eb="3">
      <t>ホショウショ</t>
    </rPh>
    <rPh sb="4" eb="6">
      <t>トリセツ</t>
    </rPh>
    <phoneticPr fontId="13"/>
  </si>
  <si>
    <t>N-BOXｶｽﾀﾑ L</t>
    <phoneticPr fontId="13"/>
  </si>
  <si>
    <t>7/2/1</t>
    <phoneticPr fontId="13"/>
  </si>
  <si>
    <t>島根 585 や 6</t>
    <rPh sb="0" eb="2">
      <t>シマネ</t>
    </rPh>
    <phoneticPr fontId="13"/>
  </si>
  <si>
    <t>581 や 4191</t>
    <phoneticPr fontId="13"/>
  </si>
  <si>
    <t>USS神戸</t>
    <rPh sb="3" eb="5">
      <t>コウベ</t>
    </rPh>
    <phoneticPr fontId="13"/>
  </si>
  <si>
    <t>JF3-5121015</t>
    <phoneticPr fontId="13"/>
  </si>
  <si>
    <t>株式会社ｾﾃﾞｨﾅｵｰﾄﾘｰｽ</t>
    <rPh sb="0" eb="4">
      <t>カブシキガイシャ</t>
    </rPh>
    <phoneticPr fontId="13"/>
  </si>
  <si>
    <t>保証書 取説 ﾅﾝﾊﾞｰ持ち出し</t>
    <rPh sb="0" eb="3">
      <t>ホショウショ</t>
    </rPh>
    <rPh sb="4" eb="6">
      <t>トリセツ</t>
    </rPh>
    <rPh sb="12" eb="13">
      <t>モ</t>
    </rPh>
    <rPh sb="14" eb="15">
      <t>ダ</t>
    </rPh>
    <phoneticPr fontId="13"/>
  </si>
  <si>
    <t>売れたら伴さん連絡する</t>
    <rPh sb="0" eb="1">
      <t>ウ</t>
    </rPh>
    <rPh sb="4" eb="5">
      <t>バン</t>
    </rPh>
    <rPh sb="7" eb="9">
      <t>レンラク</t>
    </rPh>
    <phoneticPr fontId="13"/>
  </si>
  <si>
    <t>名古屋 326 ぬ 6083</t>
    <rPh sb="0" eb="3">
      <t>ナゴヤ</t>
    </rPh>
    <phoneticPr fontId="13"/>
  </si>
  <si>
    <t>ﾍﾞｰｼﾞｭ</t>
    <phoneticPr fontId="13"/>
  </si>
  <si>
    <t>WMWXY520902N65284</t>
    <phoneticPr fontId="13"/>
  </si>
  <si>
    <t>ﾈｯﾂﾄﾖﾀ中部株式会社</t>
    <rPh sb="6" eb="8">
      <t>チュウブ</t>
    </rPh>
    <rPh sb="8" eb="12">
      <t>カブシキガイシャ</t>
    </rPh>
    <phoneticPr fontId="13"/>
  </si>
  <si>
    <t>BMWﾐﾆ ｸｰﾊﾟｰSDｸﾛｽｵｰﾊﾞｰ</t>
    <phoneticPr fontId="13"/>
  </si>
  <si>
    <t>世田谷 399 せ 7593</t>
    <rPh sb="0" eb="3">
      <t>セタガヤ</t>
    </rPh>
    <phoneticPr fontId="13"/>
  </si>
  <si>
    <t>WMWYU520403B71818</t>
    <phoneticPr fontId="13"/>
  </si>
  <si>
    <t>ｹｰｴﾑﾄﾚｰﾃﾞｨﾝｸﾞ株式会社</t>
    <rPh sb="13" eb="17">
      <t>カブシキガイシャ</t>
    </rPh>
    <phoneticPr fontId="13"/>
  </si>
  <si>
    <t>保証書 取説 ｷｰﾚｽ ﾛｯｸﾅｯﾄ ﾜﾝｵｰﾅｰ</t>
    <rPh sb="0" eb="3">
      <t>ホショウショ</t>
    </rPh>
    <rPh sb="4" eb="6">
      <t>トリセツ</t>
    </rPh>
    <phoneticPr fontId="13"/>
  </si>
  <si>
    <t>7/5/21</t>
    <phoneticPr fontId="13"/>
  </si>
  <si>
    <t>京都 536 つ 595</t>
    <rPh sb="0" eb="2">
      <t>キョウト</t>
    </rPh>
    <phoneticPr fontId="13"/>
  </si>
  <si>
    <t>保証書 整備手帳 取説 Sｷｰ</t>
    <rPh sb="0" eb="3">
      <t>ホショウショ</t>
    </rPh>
    <rPh sb="4" eb="8">
      <t>セイビテチョウ</t>
    </rPh>
    <rPh sb="9" eb="11">
      <t>トリセツ</t>
    </rPh>
    <phoneticPr fontId="13"/>
  </si>
  <si>
    <t>501 も 155</t>
    <phoneticPr fontId="13"/>
  </si>
  <si>
    <t>ZFA3120000JA26172</t>
    <phoneticPr fontId="13"/>
  </si>
  <si>
    <t>株式会社ﾊｲﾎﾟｲﾝﾄ</t>
    <rPh sb="0" eb="4">
      <t>カブシキガイシャ</t>
    </rPh>
    <phoneticPr fontId="13"/>
  </si>
  <si>
    <t>30/4</t>
    <phoneticPr fontId="13"/>
  </si>
  <si>
    <t>ｱｳﾃﾞｨRS3 ｾﾀﾞﾝﾍﾞｰｽｸﾞﾚｰﾄﾞ</t>
    <phoneticPr fontId="13"/>
  </si>
  <si>
    <t>市川 399 さ 7295</t>
    <rPh sb="0" eb="2">
      <t>イチカワ</t>
    </rPh>
    <phoneticPr fontId="13"/>
  </si>
  <si>
    <t>WUAZZZ8V4H1900894</t>
    <phoneticPr fontId="13"/>
  </si>
  <si>
    <t>6/21</t>
    <phoneticPr fontId="13"/>
  </si>
  <si>
    <t>車内鍵1つ</t>
    <rPh sb="0" eb="2">
      <t>シャナイ</t>
    </rPh>
    <rPh sb="2" eb="3">
      <t>カギ</t>
    </rPh>
    <phoneticPr fontId="13"/>
  </si>
  <si>
    <t>BMWﾐﾆ ｸｰﾊﾟｰSｸﾗﾌﾞﾏﾝ</t>
    <phoneticPr fontId="13"/>
  </si>
  <si>
    <t>倉敷 399 す 3651</t>
    <rPh sb="0" eb="2">
      <t>クラシキ</t>
    </rPh>
    <phoneticPr fontId="13"/>
  </si>
  <si>
    <t>WMWLU320702G08179</t>
    <phoneticPr fontId="13"/>
  </si>
  <si>
    <t>ﾌﾚｯｸｽｵｰﾄ株式会社</t>
    <rPh sb="8" eb="12">
      <t>カブシキガイシャ</t>
    </rPh>
    <phoneticPr fontId="13"/>
  </si>
  <si>
    <t>6/27</t>
    <phoneticPr fontId="13"/>
  </si>
  <si>
    <t>保証書 取説 ｷｰﾚｽ(車内)ﾜﾝｵｰﾅｰ</t>
    <rPh sb="0" eb="3">
      <t>ホショウショ</t>
    </rPh>
    <rPh sb="4" eb="6">
      <t>トリセツ</t>
    </rPh>
    <rPh sb="12" eb="14">
      <t>シャナイ</t>
    </rPh>
    <phoneticPr fontId="13"/>
  </si>
  <si>
    <t>8/2/13</t>
    <phoneticPr fontId="13"/>
  </si>
  <si>
    <t>横浜 305 ら 8596</t>
    <rPh sb="0" eb="2">
      <t>ヨコハマ</t>
    </rPh>
    <phoneticPr fontId="13"/>
  </si>
  <si>
    <t>301 に 4005</t>
    <phoneticPr fontId="13"/>
  </si>
  <si>
    <t>WMWXU920X0TN55148</t>
    <phoneticPr fontId="13"/>
  </si>
  <si>
    <t>株式会社ﾃﾞｽﾃｨｰﾉ</t>
    <rPh sb="0" eb="4">
      <t>カブシキガイシャ</t>
    </rPh>
    <phoneticPr fontId="13"/>
  </si>
  <si>
    <t>6/28</t>
    <phoneticPr fontId="13"/>
  </si>
  <si>
    <t>取説 ｷｰﾚｽ</t>
    <rPh sb="0" eb="2">
      <t>トリセツ</t>
    </rPh>
    <phoneticPr fontId="13"/>
  </si>
  <si>
    <t>ｱｳﾃﾞｨ S1 4WD</t>
    <phoneticPr fontId="13"/>
  </si>
  <si>
    <t>相模 399 ま 679</t>
    <rPh sb="0" eb="2">
      <t>サガミ</t>
    </rPh>
    <phoneticPr fontId="13"/>
  </si>
  <si>
    <t>ｵﾘｯｸｽ厚木(ｱｲｵｰｸ)</t>
    <rPh sb="5" eb="7">
      <t>アツギ</t>
    </rPh>
    <phoneticPr fontId="13"/>
  </si>
  <si>
    <t>黄色</t>
    <rPh sb="0" eb="2">
      <t>キイロ</t>
    </rPh>
    <phoneticPr fontId="13"/>
  </si>
  <si>
    <t>WAUZZZ8X5GB049399</t>
    <phoneticPr fontId="13"/>
  </si>
  <si>
    <t>7/4</t>
    <phoneticPr fontId="13"/>
  </si>
  <si>
    <t>ｱｳﾃﾞｨS4ｱﾊﾞﾝﾄ ﾍﾞｰｽｸﾞﾚｰﾄﾞ</t>
    <phoneticPr fontId="13"/>
  </si>
  <si>
    <t>7/4/4</t>
    <phoneticPr fontId="13"/>
  </si>
  <si>
    <t>つくば 300 や 9901</t>
    <phoneticPr fontId="13"/>
  </si>
  <si>
    <t>301 に 4006</t>
    <phoneticPr fontId="13"/>
  </si>
  <si>
    <t>WAUZZZF41JA025414</t>
    <phoneticPr fontId="13"/>
  </si>
  <si>
    <t>高野 雄一</t>
    <rPh sb="0" eb="2">
      <t>タカノ</t>
    </rPh>
    <rPh sb="3" eb="5">
      <t>ユウイチ</t>
    </rPh>
    <phoneticPr fontId="13"/>
  </si>
  <si>
    <t>ｽｰﾌﾟﾗ RZ</t>
    <phoneticPr fontId="13"/>
  </si>
  <si>
    <t>神戸 32M ね 9999</t>
    <rPh sb="0" eb="2">
      <t>コウベ</t>
    </rPh>
    <phoneticPr fontId="13"/>
  </si>
  <si>
    <t>301 に 6301</t>
    <phoneticPr fontId="13"/>
  </si>
  <si>
    <t>A236884</t>
    <phoneticPr fontId="13"/>
  </si>
  <si>
    <t>その他</t>
    <rPh sb="2" eb="3">
      <t>タ</t>
    </rPh>
    <phoneticPr fontId="13"/>
  </si>
  <si>
    <t>DB42-0030705</t>
    <phoneticPr fontId="13"/>
  </si>
  <si>
    <t>8/19</t>
    <phoneticPr fontId="13"/>
  </si>
  <si>
    <t>30/</t>
    <phoneticPr fontId="13"/>
  </si>
  <si>
    <t>ｱﾊﾞﾙﾄ595 ｺﾍﾟﾝﾃｨﾂｨｵｰﾈ</t>
    <phoneticPr fontId="13"/>
  </si>
  <si>
    <t>7/11/28</t>
    <phoneticPr fontId="13"/>
  </si>
  <si>
    <t>宮﨑 501 な 1358</t>
    <rPh sb="0" eb="2">
      <t>ミヤザキ</t>
    </rPh>
    <phoneticPr fontId="13"/>
  </si>
  <si>
    <t>501 も 852</t>
    <phoneticPr fontId="13"/>
  </si>
  <si>
    <t>ZFA3120000J932469</t>
    <phoneticPr fontId="13"/>
  </si>
  <si>
    <t>7/12</t>
    <phoneticPr fontId="13"/>
  </si>
  <si>
    <t>31/1</t>
    <phoneticPr fontId="13"/>
  </si>
  <si>
    <t>BMWﾐﾆｸｰﾊﾟｰ ｶﾞﾝﾃﾞｨED</t>
    <phoneticPr fontId="13"/>
  </si>
  <si>
    <t>8/1</t>
    <phoneticPr fontId="13"/>
  </si>
  <si>
    <t>京都 341 と 1206</t>
    <rPh sb="0" eb="2">
      <t>キョウト</t>
    </rPh>
    <phoneticPr fontId="13"/>
  </si>
  <si>
    <t>301 に 5251</t>
    <phoneticPr fontId="13"/>
  </si>
  <si>
    <t>WMWXR32060TL82369</t>
    <phoneticPr fontId="13"/>
  </si>
  <si>
    <t>株式会社ﾌｧｰﾚﾝ古都</t>
    <rPh sb="0" eb="4">
      <t>カブシキガイシャ</t>
    </rPh>
    <rPh sb="9" eb="11">
      <t>コト</t>
    </rPh>
    <phoneticPr fontId="13"/>
  </si>
  <si>
    <t>7/18</t>
    <phoneticPr fontId="13"/>
  </si>
  <si>
    <t>ﾎﾟﾙｼｪ ﾊﾟﾅﾒｰﾗ GTS</t>
    <phoneticPr fontId="13"/>
  </si>
  <si>
    <t>7/12/7</t>
    <phoneticPr fontId="13"/>
  </si>
  <si>
    <t>北九州 330 そ 3259</t>
    <rPh sb="0" eb="3">
      <t>キタキュウシュウ</t>
    </rPh>
    <phoneticPr fontId="13"/>
  </si>
  <si>
    <t>301 に 5248</t>
    <phoneticPr fontId="13"/>
  </si>
  <si>
    <t>WP0ZZZ97ZEL080705</t>
    <phoneticPr fontId="13"/>
  </si>
  <si>
    <t>安倍 敬治</t>
    <rPh sb="0" eb="2">
      <t>アベ</t>
    </rPh>
    <rPh sb="3" eb="5">
      <t>ケイジ</t>
    </rPh>
    <phoneticPr fontId="13"/>
  </si>
  <si>
    <t>7/19</t>
    <phoneticPr fontId="13"/>
  </si>
  <si>
    <t>地図SD（車内）保証書 ｷｰﾚｽ ﾅﾋﾞ取説</t>
    <rPh sb="0" eb="2">
      <t>チズ</t>
    </rPh>
    <rPh sb="5" eb="7">
      <t>シャナイ</t>
    </rPh>
    <rPh sb="8" eb="11">
      <t>ホショウショ</t>
    </rPh>
    <rPh sb="20" eb="22">
      <t>トリセツ</t>
    </rPh>
    <phoneticPr fontId="13"/>
  </si>
  <si>
    <t>6/11/23</t>
    <phoneticPr fontId="13"/>
  </si>
  <si>
    <t>神戸 562 む 32</t>
    <rPh sb="0" eb="2">
      <t>コウベ</t>
    </rPh>
    <phoneticPr fontId="13"/>
  </si>
  <si>
    <t>ZFABF13H8NJF45891</t>
    <phoneticPr fontId="13"/>
  </si>
  <si>
    <t>7/21</t>
    <phoneticPr fontId="13"/>
  </si>
  <si>
    <t>7/9/29</t>
    <phoneticPr fontId="13"/>
  </si>
  <si>
    <t>神戸 33P さ 22</t>
    <rPh sb="0" eb="2">
      <t>コウベ</t>
    </rPh>
    <phoneticPr fontId="13"/>
  </si>
  <si>
    <t>301 に 5252</t>
    <phoneticPr fontId="13"/>
  </si>
  <si>
    <t>WMW52DK0002R49859</t>
    <phoneticPr fontId="13"/>
  </si>
  <si>
    <t>株式会社ｼｭﾃﾙﾝ神戸中央</t>
    <rPh sb="0" eb="4">
      <t>カブシキガイシャ</t>
    </rPh>
    <rPh sb="9" eb="11">
      <t>コウベ</t>
    </rPh>
    <rPh sb="11" eb="13">
      <t>チュウオウ</t>
    </rPh>
    <phoneticPr fontId="13"/>
  </si>
  <si>
    <t>7/25</t>
    <phoneticPr fontId="13"/>
  </si>
  <si>
    <t>京都 302 ち 7201</t>
    <rPh sb="0" eb="2">
      <t>キョウト</t>
    </rPh>
    <phoneticPr fontId="13"/>
  </si>
  <si>
    <t>WMWYU520303D56006</t>
    <phoneticPr fontId="13"/>
  </si>
  <si>
    <t>株式会社服部ﾓｰﾀｰ商会</t>
    <rPh sb="0" eb="4">
      <t>カブシキガイシャ</t>
    </rPh>
    <rPh sb="4" eb="6">
      <t>ハットリ</t>
    </rPh>
    <rPh sb="10" eb="12">
      <t>ショウカイ</t>
    </rPh>
    <phoneticPr fontId="13"/>
  </si>
  <si>
    <t>ｽﾏｰﾄ ﾌｫｰﾂ‐ｴﾚｸﾄﾘｯｸD BRABUS</t>
    <phoneticPr fontId="13"/>
  </si>
  <si>
    <t>富士山 541 す 1515</t>
    <rPh sb="0" eb="3">
      <t>フジサン</t>
    </rPh>
    <phoneticPr fontId="13"/>
  </si>
  <si>
    <t>WME4513922K744044</t>
    <phoneticPr fontId="13"/>
  </si>
  <si>
    <t>株式会社ﾈｸｽﾃｰｼﾞ</t>
    <phoneticPr fontId="13"/>
  </si>
  <si>
    <t>ｷｰﾚｽ(車内)保証書 取説 ﾜﾝｵｰﾅｰ</t>
    <rPh sb="8" eb="11">
      <t>ホショウショ</t>
    </rPh>
    <rPh sb="12" eb="14">
      <t>トリセツ</t>
    </rPh>
    <phoneticPr fontId="13"/>
  </si>
  <si>
    <t>23/</t>
    <phoneticPr fontId="13"/>
  </si>
  <si>
    <t>ｼﾞｬｶﾞｰ XK ｺﾝﾊﾞｰﾁﾌﾞﾙ</t>
    <phoneticPr fontId="13"/>
  </si>
  <si>
    <t>島根 331 そ 520</t>
    <rPh sb="0" eb="2">
      <t>シマネ</t>
    </rPh>
    <phoneticPr fontId="13"/>
  </si>
  <si>
    <t>(有)ｵｰﾄｻﾛﾝﾜｲｽﾞ</t>
    <rPh sb="1" eb="2">
      <t>タモツ</t>
    </rPh>
    <phoneticPr fontId="13"/>
  </si>
  <si>
    <t>SAJKC46P0CLB45378</t>
    <phoneticPr fontId="13"/>
  </si>
  <si>
    <t>中島 孝晃</t>
    <rPh sb="0" eb="2">
      <t>ナカシマ</t>
    </rPh>
    <rPh sb="3" eb="5">
      <t>タカアキ</t>
    </rPh>
    <phoneticPr fontId="13"/>
  </si>
  <si>
    <t xml:space="preserve">整備手帳 保証書(ﾃﾞｨｰﾗｰ印なし)取説 </t>
    <rPh sb="0" eb="4">
      <t>セイビテチョウ</t>
    </rPh>
    <rPh sb="5" eb="8">
      <t>ホショウショ</t>
    </rPh>
    <rPh sb="15" eb="16">
      <t>イン</t>
    </rPh>
    <rPh sb="19" eb="21">
      <t>トリセツ</t>
    </rPh>
    <phoneticPr fontId="13"/>
  </si>
  <si>
    <t>抹消済</t>
    <rPh sb="2" eb="3">
      <t>ズ</t>
    </rPh>
    <phoneticPr fontId="13"/>
  </si>
  <si>
    <t>MﾍﾞﾝﾂCLA ｼｭｰB4 CLA220SB</t>
    <phoneticPr fontId="13"/>
  </si>
  <si>
    <t>6/9/28</t>
    <phoneticPr fontId="13"/>
  </si>
  <si>
    <t>横浜 305 る 6392</t>
    <rPh sb="0" eb="2">
      <t>ヨコハマ</t>
    </rPh>
    <phoneticPr fontId="13"/>
  </si>
  <si>
    <t>WDD1179472N557889</t>
    <phoneticPr fontId="13"/>
  </si>
  <si>
    <t>有限会社 ｽﾍﾟｰｽﾌｧｸﾄﾘｰ</t>
    <rPh sb="0" eb="4">
      <t>ユウゲンガイシャ</t>
    </rPh>
    <phoneticPr fontId="13"/>
  </si>
  <si>
    <t>24/7</t>
    <phoneticPr fontId="13"/>
  </si>
  <si>
    <t>ｺﾍﾟﾝ ｱｸﾃｨﾌﾞﾄｯﾌﾟ</t>
    <phoneticPr fontId="13"/>
  </si>
  <si>
    <t>7/8/2</t>
    <phoneticPr fontId="13"/>
  </si>
  <si>
    <t>福井 590 に 117</t>
    <rPh sb="0" eb="2">
      <t>フクイ</t>
    </rPh>
    <phoneticPr fontId="13"/>
  </si>
  <si>
    <t>581 や 8747</t>
    <phoneticPr fontId="13"/>
  </si>
  <si>
    <t>L880K-0058158</t>
    <phoneticPr fontId="13"/>
  </si>
  <si>
    <t>平瀬 俊行</t>
    <rPh sb="0" eb="2">
      <t>ヒラセ</t>
    </rPh>
    <rPh sb="3" eb="4">
      <t>シュン</t>
    </rPh>
    <rPh sb="4" eb="5">
      <t>ギョウ</t>
    </rPh>
    <phoneticPr fontId="13"/>
  </si>
  <si>
    <t>地図SD（車内）保証書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</si>
  <si>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1/7</t>
    <phoneticPr fontId="13"/>
  </si>
  <si>
    <t>ﾌﾟｼﾞｮｰ508 GTﾌﾞﾙｰHDI</t>
    <phoneticPr fontId="13"/>
  </si>
  <si>
    <t>熊本 301 ま 6425</t>
    <rPh sb="0" eb="2">
      <t>クマモト</t>
    </rPh>
    <phoneticPr fontId="13"/>
  </si>
  <si>
    <t>VR3FHEHZRKY071142</t>
    <phoneticPr fontId="13"/>
  </si>
  <si>
    <t>株式会社WECARS</t>
    <rPh sb="0" eb="4">
      <t>カブシキガイシャ</t>
    </rPh>
    <phoneticPr fontId="13"/>
  </si>
  <si>
    <t>8/10</t>
    <phoneticPr fontId="13"/>
  </si>
  <si>
    <t>整備手帳 取説 ｷｰﾚｽ</t>
    <rPh sb="0" eb="4">
      <t>セイビテチョウ</t>
    </rPh>
    <rPh sb="5" eb="7">
      <t>トリセツ</t>
    </rPh>
    <phoneticPr fontId="13"/>
  </si>
  <si>
    <t>BMWﾐﾆ ｸｰﾊﾟｰDｸﾛｽｵｰﾊﾞｰｵｰﾙ4</t>
    <phoneticPr fontId="13"/>
  </si>
  <si>
    <t>なにわ 39A と 5763</t>
    <phoneticPr fontId="13"/>
  </si>
  <si>
    <t>WMWYU120103E06295</t>
    <phoneticPr fontId="13"/>
  </si>
  <si>
    <t>大阪 399 も 3721</t>
    <rPh sb="0" eb="2">
      <t>オオサカ</t>
    </rPh>
    <phoneticPr fontId="13"/>
  </si>
  <si>
    <t>WMWXR520602L01999</t>
    <phoneticPr fontId="13"/>
  </si>
  <si>
    <t>8/17</t>
    <phoneticPr fontId="13"/>
  </si>
  <si>
    <t>保証書 取説 ﾄﾞﾗﾚｺ取説 ｷｰﾚｽ</t>
    <rPh sb="0" eb="3">
      <t>ホショウショ</t>
    </rPh>
    <rPh sb="4" eb="6">
      <t>トリセツ</t>
    </rPh>
    <rPh sb="12" eb="14">
      <t>トリセツ</t>
    </rPh>
    <phoneticPr fontId="13"/>
  </si>
  <si>
    <t>7/3/4</t>
    <phoneticPr fontId="13"/>
  </si>
  <si>
    <t>宮崎 300 ら 5105</t>
    <rPh sb="0" eb="2">
      <t>ミヤザキ</t>
    </rPh>
    <phoneticPr fontId="13"/>
  </si>
  <si>
    <t>保証書 取説 予備ｷｰ</t>
    <rPh sb="0" eb="3">
      <t>ホショウショ</t>
    </rPh>
    <rPh sb="4" eb="6">
      <t>トリセツ</t>
    </rPh>
    <rPh sb="7" eb="9">
      <t>ヨビ</t>
    </rPh>
    <phoneticPr fontId="13"/>
  </si>
  <si>
    <t>TAA南九州</t>
    <rPh sb="3" eb="4">
      <t>ミナミ</t>
    </rPh>
    <rPh sb="4" eb="6">
      <t>キュウシュウ</t>
    </rPh>
    <phoneticPr fontId="13"/>
  </si>
  <si>
    <t>WMWLN720402D35416</t>
    <phoneticPr fontId="13"/>
  </si>
  <si>
    <t>田中 浩</t>
    <rPh sb="0" eb="2">
      <t>タナカ</t>
    </rPh>
    <rPh sb="3" eb="4">
      <t>ヒロシ</t>
    </rPh>
    <phoneticPr fontId="13"/>
  </si>
  <si>
    <t>保証書 取説 ｷｰﾚｽ ﾄﾞﾗﾚｺﾏｲｸﾛSD</t>
    <rPh sb="0" eb="3">
      <t>ホショウショ</t>
    </rPh>
    <rPh sb="4" eb="6">
      <t>トリセツ</t>
    </rPh>
    <phoneticPr fontId="13"/>
  </si>
  <si>
    <t>BMWﾐﾆ JCW</t>
    <phoneticPr fontId="13"/>
  </si>
  <si>
    <t>6/10/31</t>
    <phoneticPr fontId="13"/>
  </si>
  <si>
    <t>山口 331 に 7218</t>
    <rPh sb="0" eb="2">
      <t>ヤマグチ</t>
    </rPh>
    <phoneticPr fontId="13"/>
  </si>
  <si>
    <t>WMW72DH0802R14910</t>
    <phoneticPr fontId="13"/>
  </si>
  <si>
    <t>SMBCﾌｧｲﾅﾝｼｬﾙｻｰﾋﾞｽ株式会社</t>
    <phoneticPr fontId="13"/>
  </si>
  <si>
    <t>8/20</t>
    <phoneticPr fontId="13"/>
  </si>
  <si>
    <t>31/4</t>
    <phoneticPr fontId="13"/>
  </si>
  <si>
    <t>ｼﾄﾛｴﾝG C4 ﾋﾟｶｿ</t>
    <phoneticPr fontId="13"/>
  </si>
  <si>
    <t>8/4</t>
    <phoneticPr fontId="13"/>
  </si>
  <si>
    <t>熊本 370 ら 358</t>
    <rPh sb="0" eb="2">
      <t>クマモト</t>
    </rPh>
    <phoneticPr fontId="13"/>
  </si>
  <si>
    <t>301 に 5906</t>
    <phoneticPr fontId="13"/>
  </si>
  <si>
    <t>VF73AAHXTKJ567533</t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</si>
  <si>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</si>
  <si>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取説 ﾅﾋﾞ取説 ｷｰﾚｽ（車内）</t>
    <rPh sb="0" eb="2">
      <t>トリセツ</t>
    </rPh>
    <rPh sb="6" eb="8">
      <t>トリセツ</t>
    </rPh>
    <rPh sb="14" eb="16">
      <t>シャナイ</t>
    </rPh>
    <phoneticPr fontId="13"/>
  </si>
  <si>
    <t>1/10</t>
    <phoneticPr fontId="13"/>
  </si>
  <si>
    <t>ｱﾙﾌｧｰﾄﾞ 2.5S</t>
    <phoneticPr fontId="13"/>
  </si>
  <si>
    <t>相模 330 た 7774</t>
    <rPh sb="0" eb="1">
      <t>ソウ</t>
    </rPh>
    <phoneticPr fontId="13"/>
  </si>
  <si>
    <t>34L は 5</t>
    <phoneticPr fontId="13"/>
  </si>
  <si>
    <t>A242836</t>
    <phoneticPr fontId="13"/>
  </si>
  <si>
    <t>AGH30-0286760</t>
    <phoneticPr fontId="13"/>
  </si>
  <si>
    <t>ｲｵﾝﾌﾟﾛﾀﾞｸﾄﾌｧｲﾅﾝｽ株式会社</t>
    <rPh sb="16" eb="20">
      <t>カブシキガイシャ</t>
    </rPh>
    <phoneticPr fontId="13"/>
  </si>
  <si>
    <t>9/9</t>
    <phoneticPr fontId="13"/>
  </si>
  <si>
    <t>BMWﾐﾆ ｼﾞｮﾝｸｰﾊﾟｰﾜｰｸｽ ｸﾗﾌﾞﾏﾝ</t>
    <phoneticPr fontId="13"/>
  </si>
  <si>
    <t>札幌 331 ね 5432</t>
    <rPh sb="0" eb="2">
      <t>サッポロ</t>
    </rPh>
    <phoneticPr fontId="13"/>
  </si>
  <si>
    <t>保証書  ｽﾏｰﾄｷｰ</t>
    <phoneticPr fontId="13"/>
  </si>
  <si>
    <t>WMWLV920802H71116</t>
    <phoneticPr fontId="13"/>
  </si>
  <si>
    <t>株式会社Super Fast Action</t>
    <rPh sb="0" eb="4">
      <t>カブシキガイシャ</t>
    </rPh>
    <phoneticPr fontId="13"/>
  </si>
  <si>
    <t>8/26</t>
    <phoneticPr fontId="13"/>
  </si>
  <si>
    <t>4/3</t>
    <phoneticPr fontId="13"/>
  </si>
  <si>
    <t>BMWﾐﾆ ｸｰﾊﾟｰDﾌﾞﾘｯｸﾚｰﾝE</t>
    <phoneticPr fontId="13"/>
  </si>
  <si>
    <t>大阪 331 め 3855</t>
    <rPh sb="0" eb="2">
      <t>オオサカ</t>
    </rPh>
    <phoneticPr fontId="13"/>
  </si>
  <si>
    <t>301 に 6709</t>
    <phoneticPr fontId="13"/>
  </si>
  <si>
    <t>WMW12DV0302S07093</t>
    <phoneticPr fontId="13"/>
  </si>
  <si>
    <t>ﾋﾞｰｴﾑﾀﾞﾌﾞﾘｭｰｼﾞｬﾊﾟﾝﾌｧｲﾅﾝｽ株式会社</t>
    <rPh sb="24" eb="26">
      <t>カブシキ</t>
    </rPh>
    <rPh sb="26" eb="28">
      <t>カイシャ</t>
    </rPh>
    <phoneticPr fontId="13"/>
  </si>
  <si>
    <t>8/30</t>
    <phoneticPr fontId="13"/>
  </si>
  <si>
    <t>3/6</t>
    <phoneticPr fontId="13"/>
  </si>
  <si>
    <t>BMW3ｼﾘｰｽﾞ 320D XDﾂｰﾘﾝﾝｸﾞMｽﾎﾟｰﾂ</t>
    <phoneticPr fontId="13"/>
  </si>
  <si>
    <t>福井 330 す 3347</t>
    <rPh sb="0" eb="2">
      <t>フクイ</t>
    </rPh>
    <phoneticPr fontId="13"/>
  </si>
  <si>
    <t>301 に 6711</t>
    <phoneticPr fontId="13"/>
  </si>
  <si>
    <t>WBA6L72080FL32642</t>
    <phoneticPr fontId="13"/>
  </si>
  <si>
    <t>中山 正祥</t>
    <rPh sb="0" eb="2">
      <t>ナカヤマ</t>
    </rPh>
    <rPh sb="3" eb="4">
      <t>マサ</t>
    </rPh>
    <rPh sb="4" eb="5">
      <t>ショウ</t>
    </rPh>
    <phoneticPr fontId="13"/>
  </si>
  <si>
    <t>9/5</t>
    <phoneticPr fontId="13"/>
  </si>
  <si>
    <t>6/11/26</t>
    <phoneticPr fontId="13"/>
  </si>
  <si>
    <t>豊田 333 の 78</t>
    <rPh sb="0" eb="2">
      <t>トヨタ</t>
    </rPh>
    <phoneticPr fontId="13"/>
  </si>
  <si>
    <t>WMWXN920X02H65965</t>
    <phoneticPr fontId="13"/>
  </si>
  <si>
    <t>保証書(中古車保証書)取説 ｷｰﾚｽ</t>
    <rPh sb="0" eb="3">
      <t>ホショウショ</t>
    </rPh>
    <rPh sb="4" eb="7">
      <t>チュウコシャ</t>
    </rPh>
    <rPh sb="7" eb="10">
      <t>ホショウショ</t>
    </rPh>
    <rPh sb="11" eb="13">
      <t>トリセツ</t>
    </rPh>
    <phoneticPr fontId="13"/>
  </si>
  <si>
    <t>23/12</t>
    <phoneticPr fontId="13"/>
  </si>
  <si>
    <t>ｼﾞﾑﾆｰ ｸﾛｽｱﾄﾞﾍﾞﾝﾁｬｰXC</t>
    <phoneticPr fontId="13"/>
  </si>
  <si>
    <t>広島 580 み 4481</t>
    <rPh sb="0" eb="2">
      <t>ヒロシマ</t>
    </rPh>
    <phoneticPr fontId="13"/>
  </si>
  <si>
    <t>581 ゆ 1138</t>
    <phoneticPr fontId="13"/>
  </si>
  <si>
    <t>JB23W-668042</t>
    <phoneticPr fontId="13"/>
  </si>
  <si>
    <t>US神戸ﾜﾝｸﾘ×なら抹消</t>
    <rPh sb="2" eb="4">
      <t>コウベ</t>
    </rPh>
    <rPh sb="11" eb="13">
      <t>マッショウ</t>
    </rPh>
    <phoneticPr fontId="13"/>
  </si>
  <si>
    <t>ﾊｲｾﾞｯﾄｶｰｺﾞ ｸﾙｰｽﾞSA3</t>
    <phoneticPr fontId="13"/>
  </si>
  <si>
    <t>7/1/25</t>
    <phoneticPr fontId="13"/>
  </si>
  <si>
    <t>三重 480 ね 6563</t>
    <rPh sb="0" eb="2">
      <t>ミエ</t>
    </rPh>
    <phoneticPr fontId="13"/>
  </si>
  <si>
    <t>480 ぬ 3825</t>
    <phoneticPr fontId="13"/>
  </si>
  <si>
    <t>S321V-0482335</t>
    <phoneticPr fontId="13"/>
  </si>
  <si>
    <t>株式会社ﾀﾞｲﾊﾂ三重</t>
    <rPh sb="0" eb="4">
      <t>カブシキガイシャ</t>
    </rPh>
    <rPh sb="9" eb="11">
      <t>ミエ</t>
    </rPh>
    <phoneticPr fontId="13"/>
  </si>
  <si>
    <t>ﾊｽﾗｰ G</t>
    <phoneticPr fontId="13"/>
  </si>
  <si>
    <t>名古屋 597 ろ 9471</t>
    <rPh sb="0" eb="3">
      <t>ナゴヤ</t>
    </rPh>
    <phoneticPr fontId="13"/>
  </si>
  <si>
    <t>予定</t>
    <phoneticPr fontId="13"/>
  </si>
  <si>
    <t>MR41S-231266</t>
    <phoneticPr fontId="13"/>
  </si>
  <si>
    <t>株式会社JCM名古屋支店</t>
    <rPh sb="0" eb="4">
      <t>カブシキガイシャ</t>
    </rPh>
    <rPh sb="7" eb="12">
      <t>ナゴヤシテン</t>
    </rPh>
    <phoneticPr fontId="13"/>
  </si>
  <si>
    <t>ｱｳﾃﾞｨA5ｽﾎﾟｰﾂﾊﾞｯｸ2.0TFSI</t>
    <phoneticPr fontId="13"/>
  </si>
  <si>
    <t>市川 399 さ 7817</t>
    <rPh sb="0" eb="2">
      <t>イチカワ</t>
    </rPh>
    <phoneticPr fontId="13"/>
  </si>
  <si>
    <t>WAUZZZF56JA022355</t>
    <phoneticPr fontId="13"/>
  </si>
  <si>
    <t>9/14</t>
    <phoneticPr fontId="13"/>
  </si>
  <si>
    <t>BMWﾐﾆ ｸｰﾊﾟｰD</t>
    <phoneticPr fontId="13"/>
  </si>
  <si>
    <t>7/10</t>
    <phoneticPr fontId="13"/>
  </si>
  <si>
    <t>広島 346 は 1007</t>
    <rPh sb="0" eb="2">
      <t>ヒロシマ</t>
    </rPh>
    <phoneticPr fontId="13"/>
  </si>
  <si>
    <t>301 に 7250</t>
    <phoneticPr fontId="13"/>
  </si>
  <si>
    <t>WMWXY320602N38029</t>
    <phoneticPr fontId="13"/>
  </si>
  <si>
    <t>ﾈｯﾂﾄﾖﾀ広島株式会社</t>
    <rPh sb="6" eb="8">
      <t>ヒロシマ</t>
    </rPh>
    <rPh sb="8" eb="12">
      <t>カブシキガイシャ</t>
    </rPh>
    <phoneticPr fontId="13"/>
  </si>
  <si>
    <t>ｴﾌﾞﾘｲ ｼﾞｮｲﾝﾀｰﾎﾞ</t>
    <phoneticPr fontId="13"/>
  </si>
  <si>
    <t>8/8/5</t>
    <phoneticPr fontId="13"/>
  </si>
  <si>
    <t>名古屋 480 め 1591</t>
    <rPh sb="0" eb="3">
      <t>ナゴヤ</t>
    </rPh>
    <phoneticPr fontId="13"/>
  </si>
  <si>
    <t>480 ぬ 3764</t>
    <phoneticPr fontId="13"/>
  </si>
  <si>
    <t>DA17V-883486</t>
    <phoneticPr fontId="13"/>
  </si>
  <si>
    <t>ﾄﾞﾝ ﾘﾔﾅｱﾗﾁ ｼﾞｬﾅｶ</t>
    <phoneticPr fontId="13"/>
  </si>
  <si>
    <t>3/9</t>
    <phoneticPr fontId="13"/>
  </si>
  <si>
    <t>N-BOX ｶｽﾀﾑL</t>
    <phoneticPr fontId="13"/>
  </si>
  <si>
    <t>和泉 583 こ 5301</t>
    <rPh sb="0" eb="2">
      <t>イズミ</t>
    </rPh>
    <phoneticPr fontId="13"/>
  </si>
  <si>
    <t>JF3-5075672</t>
    <phoneticPr fontId="13"/>
  </si>
  <si>
    <t>株式会社ﾎﾝﾀﾞ泉州販売</t>
    <rPh sb="0" eb="4">
      <t>カブシキガイシャ</t>
    </rPh>
    <rPh sb="8" eb="12">
      <t>センシュウハンバイ</t>
    </rPh>
    <phoneticPr fontId="13"/>
  </si>
  <si>
    <t>保証書 取説 ﾅﾋﾞ取説 ｷｰﾚｽ ｴﾝﾀﾒＳＤ</t>
    <rPh sb="0" eb="3">
      <t>ホショウショ</t>
    </rPh>
    <rPh sb="4" eb="6">
      <t>トリセツ</t>
    </rPh>
    <rPh sb="10" eb="12">
      <t>トリセツ</t>
    </rPh>
    <phoneticPr fontId="13"/>
  </si>
  <si>
    <t>ｱﾊﾞﾙﾄ500e</t>
    <phoneticPr fontId="13"/>
  </si>
  <si>
    <t>姫路 501 め 4170</t>
    <rPh sb="0" eb="2">
      <t>ヒメジ</t>
    </rPh>
    <phoneticPr fontId="13"/>
  </si>
  <si>
    <t>501 め 4170</t>
    <phoneticPr fontId="13"/>
  </si>
  <si>
    <t>新車</t>
    <rPh sb="0" eb="2">
      <t>シンシャ</t>
    </rPh>
    <phoneticPr fontId="13"/>
  </si>
  <si>
    <t>ZEAEFA265RX181491</t>
    <phoneticPr fontId="13"/>
  </si>
  <si>
    <t>有限会社ティーズクラブ</t>
    <rPh sb="0" eb="4">
      <t>ユウゲンガイシャ</t>
    </rPh>
    <phoneticPr fontId="13"/>
  </si>
  <si>
    <t>9/17</t>
    <phoneticPr fontId="13"/>
  </si>
  <si>
    <t>7/9/18</t>
    <phoneticPr fontId="13"/>
  </si>
  <si>
    <t>神戸 376 な 320</t>
    <rPh sb="0" eb="2">
      <t>コウベ</t>
    </rPh>
    <phoneticPr fontId="13"/>
  </si>
  <si>
    <t>301 に 8034</t>
    <phoneticPr fontId="13"/>
  </si>
  <si>
    <t>WMWXR92070TP20400</t>
    <phoneticPr fontId="13"/>
  </si>
  <si>
    <t>有限会社ﾃｨｴﾑﾒﾃﾞｨｶﾙｻｰﾋﾞｽ</t>
    <rPh sb="0" eb="4">
      <t>ユウゲンガイシャ</t>
    </rPh>
    <phoneticPr fontId="13"/>
  </si>
  <si>
    <t>9/29</t>
    <phoneticPr fontId="13"/>
  </si>
  <si>
    <t>7/2/16</t>
    <phoneticPr fontId="13"/>
  </si>
  <si>
    <t>岡山 331 た 1032</t>
    <rPh sb="0" eb="2">
      <t>オカヤマ</t>
    </rPh>
    <phoneticPr fontId="13"/>
  </si>
  <si>
    <t>WMWXR920702M32043</t>
    <phoneticPr fontId="13"/>
  </si>
  <si>
    <t>16</t>
  </si>
  <si>
    <t>ﾃﾞｨｽｶﾊﾞﾘｰ</t>
  </si>
  <si>
    <t>姫路　335　ほ　8080</t>
  </si>
  <si>
    <t>小野</t>
  </si>
  <si>
    <t>SALLTAM34A866381</t>
  </si>
  <si>
    <t>小野　洋</t>
  </si>
  <si>
    <t>14</t>
  </si>
  <si>
    <t>ｽﾊﾞﾙ　ｲﾝﾌﾟﾚｯｻ</t>
  </si>
  <si>
    <t>神戸　302　や　9872</t>
  </si>
  <si>
    <t>稲井</t>
  </si>
  <si>
    <t>CDB-013755</t>
  </si>
  <si>
    <t>稲井　光一</t>
  </si>
  <si>
    <t>5</t>
  </si>
  <si>
    <t>ﾊﾟｼﾞｪﾛ</t>
  </si>
  <si>
    <t>姫路　33　て　6063</t>
  </si>
  <si>
    <t>井上</t>
  </si>
  <si>
    <t>V46-4015544</t>
  </si>
  <si>
    <t>柳瀬　良之</t>
  </si>
  <si>
    <t>19</t>
  </si>
  <si>
    <t>ﾊﾞﾓｽ</t>
    <phoneticPr fontId="13"/>
  </si>
  <si>
    <t>静岡　580　ぬ　5270</t>
  </si>
  <si>
    <t>赤堀</t>
  </si>
  <si>
    <t>HM1-2702294</t>
  </si>
  <si>
    <t>赤堀　圭太</t>
  </si>
  <si>
    <t>BMWﾐﾆ　ｸｰﾊﾟｰ　ｸﾛｽｵｰﾊﾞｰ</t>
  </si>
  <si>
    <t>神戸　340　す　503</t>
  </si>
  <si>
    <t>ｾﾌﾞﾝｽﾀｰ</t>
  </si>
  <si>
    <t>WMWZB32040WL91244</t>
  </si>
  <si>
    <t>小山　良太</t>
  </si>
  <si>
    <t>27</t>
  </si>
  <si>
    <t>BMWﾐﾆ　ｸﾛｽｵｰﾊﾞｰ</t>
  </si>
  <si>
    <t>大阪　337　ろ　5858</t>
  </si>
  <si>
    <t>小矢田</t>
    <rPh sb="0" eb="2">
      <t>コヤ</t>
    </rPh>
    <rPh sb="2" eb="3">
      <t>ダ</t>
    </rPh>
    <phoneticPr fontId="13"/>
  </si>
  <si>
    <t>WMWZB72000WT67398</t>
  </si>
  <si>
    <t>小矢田　亮</t>
  </si>
  <si>
    <t>29</t>
  </si>
  <si>
    <t>神戸　303　て　8944</t>
  </si>
  <si>
    <t>井澤</t>
    <rPh sb="0" eb="2">
      <t>イザワ</t>
    </rPh>
    <phoneticPr fontId="13"/>
  </si>
  <si>
    <t>ｾﾌﾞﾝｽﾀｰ東灘</t>
    <rPh sb="7" eb="9">
      <t>ヒガシナダ</t>
    </rPh>
    <phoneticPr fontId="13"/>
  </si>
  <si>
    <t>WMWXM520X02D00792</t>
  </si>
  <si>
    <t>株式会社　ｾﾌﾞﾝｽﾀｰ</t>
  </si>
  <si>
    <t>20</t>
  </si>
  <si>
    <t>姫路 530 な 3746</t>
  </si>
  <si>
    <t>向井</t>
  </si>
  <si>
    <t>WMWMF32090TW20369</t>
  </si>
  <si>
    <t>向井 正行</t>
  </si>
  <si>
    <t>31/2</t>
  </si>
  <si>
    <t>姫路 533 ね 922</t>
  </si>
  <si>
    <t>取説</t>
    <rPh sb="0" eb="1">
      <t>トリ</t>
    </rPh>
    <rPh sb="1" eb="2">
      <t>セツ</t>
    </rPh>
    <phoneticPr fontId="13"/>
  </si>
  <si>
    <t>宮本</t>
  </si>
  <si>
    <t>WMWMF32070TT28848</t>
  </si>
  <si>
    <t>宮本 みどり</t>
  </si>
  <si>
    <t>28</t>
  </si>
  <si>
    <t>ｼﾄﾛｴﾝ DS5</t>
  </si>
  <si>
    <t>神戸 331 な 3775</t>
  </si>
  <si>
    <t>生駒</t>
    <rPh sb="0" eb="1">
      <t>イ</t>
    </rPh>
    <rPh sb="1" eb="2">
      <t>コマ</t>
    </rPh>
    <phoneticPr fontId="13"/>
  </si>
  <si>
    <t>MINI宝塚</t>
  </si>
  <si>
    <t>VF7KF5GZTGS500990</t>
    <phoneticPr fontId="13"/>
  </si>
  <si>
    <t>株式会社 ｾﾌﾞﾝｽﾀｰ</t>
  </si>
  <si>
    <t>25</t>
  </si>
  <si>
    <t>BMWﾐﾆｼﾞｮﾝｸｰﾊﾟｰﾜｰｸｽ ｸﾛｽｵｰﾊﾞｰ</t>
  </si>
  <si>
    <t>神戸 330 ほ 9608</t>
  </si>
  <si>
    <t>間人</t>
    <phoneticPr fontId="13"/>
  </si>
  <si>
    <t>ｱﾌﾞｿﾘｭｰﾄﾌﾞﾗｯｸ</t>
  </si>
  <si>
    <t>WMWXD12050WN20243</t>
  </si>
  <si>
    <t>高嶋 修 （ﾋﾞｰｴﾑﾀﾞﾌﾞﾘｭｰ）</t>
  </si>
  <si>
    <t>BMWﾐﾆｸﾗﾌﾞﾏﾝ</t>
  </si>
  <si>
    <t>神戸 530 な 3324</t>
  </si>
  <si>
    <t>石川</t>
    <rPh sb="0" eb="2">
      <t>イシカワ</t>
    </rPh>
    <phoneticPr fontId="13"/>
  </si>
  <si>
    <t>ﾀﾞｰｸｼﾙﾊﾞｰ</t>
  </si>
  <si>
    <t>WMWMM32050TN78353</t>
  </si>
  <si>
    <t>造田 彰</t>
  </si>
  <si>
    <t>不動車</t>
    <rPh sb="0" eb="2">
      <t>フドウ</t>
    </rPh>
    <rPh sb="2" eb="3">
      <t>クルマ</t>
    </rPh>
    <phoneticPr fontId="13"/>
  </si>
  <si>
    <t>ｱﾊﾞﾙﾄ500 ﾊｰﾏﾝ</t>
  </si>
  <si>
    <t>和泉 599 や 2209</t>
  </si>
  <si>
    <t>取説 ｽﾍﾟｱｷｰ その他部品</t>
    <rPh sb="0" eb="1">
      <t>トリ</t>
    </rPh>
    <rPh sb="1" eb="2">
      <t>セツ</t>
    </rPh>
    <rPh sb="12" eb="13">
      <t>タ</t>
    </rPh>
    <rPh sb="13" eb="15">
      <t>ブヒン</t>
    </rPh>
    <phoneticPr fontId="13"/>
  </si>
  <si>
    <t>業販</t>
    <rPh sb="0" eb="1">
      <t>ギョウ</t>
    </rPh>
    <rPh sb="1" eb="2">
      <t>ハン</t>
    </rPh>
    <phoneticPr fontId="13"/>
  </si>
  <si>
    <t>ﾘﾘｰｽ大阪狭山店</t>
  </si>
  <si>
    <t>ZFA31200000459520</t>
  </si>
  <si>
    <t>株式会社ｴｰﾋﾞｰｼｰｺｰﾎﾟﾚｰｼｮﾝ</t>
  </si>
  <si>
    <t>32/12</t>
  </si>
  <si>
    <t>神戸 343 と 618</t>
  </si>
  <si>
    <t>奥住</t>
    <rPh sb="0" eb="1">
      <t>オク</t>
    </rPh>
    <rPh sb="1" eb="2">
      <t>スミ</t>
    </rPh>
    <phoneticPr fontId="13"/>
  </si>
  <si>
    <t>ｻﾝﾀﾞｰｸﾞﾚｰﾒﾀ</t>
  </si>
  <si>
    <t>WMWXS720202C47832</t>
  </si>
  <si>
    <t>長濱 信和</t>
  </si>
  <si>
    <t>神戸 331 ぬ 3298</t>
  </si>
  <si>
    <t>保証書 ｷｰﾚｽ</t>
    <rPh sb="0" eb="3">
      <t>ホショウショ</t>
    </rPh>
    <phoneticPr fontId="13"/>
  </si>
  <si>
    <t>ﾋﾟｭｱﾊﾞｰｶﾞﾝﾃﾞｨ</t>
  </si>
  <si>
    <t>WMWLN320302B33742</t>
  </si>
  <si>
    <t>加藤 知彰</t>
  </si>
  <si>
    <t>神戸 353 ゆ 38</t>
  </si>
  <si>
    <t>取説 ｷｰﾚｽ ﾜﾝｵｰﾅｰ</t>
    <rPh sb="0" eb="1">
      <t>トリ</t>
    </rPh>
    <rPh sb="1" eb="2">
      <t>セツ</t>
    </rPh>
    <phoneticPr fontId="13"/>
  </si>
  <si>
    <t>杉永</t>
    <rPh sb="0" eb="2">
      <t>スギナガ</t>
    </rPh>
    <phoneticPr fontId="13"/>
  </si>
  <si>
    <t>ﾍﾟｯﾊﾟｰﾎﾜｲﾄ</t>
  </si>
  <si>
    <t>WMWXS520702C89126</t>
  </si>
  <si>
    <t>武 韻恩</t>
  </si>
  <si>
    <t>BMWﾐﾆｸｰﾊﾟｰ ｸﾗﾌﾞﾏﾝ</t>
  </si>
  <si>
    <t>4/2</t>
  </si>
  <si>
    <t>神戸 373 て 7878</t>
  </si>
  <si>
    <t>生駒</t>
    <rPh sb="0" eb="2">
      <t>イコマ</t>
    </rPh>
    <phoneticPr fontId="13"/>
  </si>
  <si>
    <t>301 ち 2067</t>
  </si>
  <si>
    <t>MINI宝塚</t>
    <rPh sb="4" eb="6">
      <t>タカラヅカ</t>
    </rPh>
    <phoneticPr fontId="13"/>
  </si>
  <si>
    <t>ﾌﾞﾚｲｼﾝｸﾞﾚｯﾄﾞ</t>
  </si>
  <si>
    <t>WMWLN320302F15222</t>
  </si>
  <si>
    <t>白谷 克彦</t>
  </si>
  <si>
    <t>姫路 530 み 865</t>
  </si>
  <si>
    <t>春木</t>
  </si>
  <si>
    <t>ﾁｮｺﾚｰﾄ</t>
  </si>
  <si>
    <t>WMWML32010TM94761</t>
  </si>
  <si>
    <t>春木 健太郎</t>
  </si>
  <si>
    <t>神戸 346 ら 710</t>
  </si>
  <si>
    <t>横山</t>
  </si>
  <si>
    <t>ﾌﾞﾚｲｼﾞﾝｸﾞﾚｯﾄﾞ</t>
  </si>
  <si>
    <t>WMWXM52050T928430</t>
  </si>
  <si>
    <t>横山 大樹</t>
  </si>
  <si>
    <t>2</t>
  </si>
  <si>
    <t>BMW218I ｸﾞﾗﾝｸｰﾍﾟ</t>
  </si>
  <si>
    <t>神戸 31L る 22</t>
  </si>
  <si>
    <t>市田</t>
    <rPh sb="0" eb="2">
      <t>イチダ</t>
    </rPh>
    <phoneticPr fontId="13"/>
  </si>
  <si>
    <t>31P さ 5</t>
  </si>
  <si>
    <t>WBA12AK0607F66379</t>
  </si>
  <si>
    <t>乾 晶浩</t>
  </si>
  <si>
    <t>BMWﾐﾆｸｰﾊﾟｰS ｸﾗﾌﾞﾏﾝ</t>
  </si>
  <si>
    <t>神戸 375 ぬ 118</t>
  </si>
  <si>
    <t>WMWLN720502D34064</t>
  </si>
  <si>
    <t>井上 裕喜</t>
  </si>
  <si>
    <t>BMWﾐﾆｸｰﾊﾟｰS ｸﾗﾌﾞﾏﾝ</t>
    <phoneticPr fontId="13"/>
  </si>
  <si>
    <t>神戸 331 な 6588</t>
    <rPh sb="0" eb="2">
      <t>コウベ</t>
    </rPh>
    <phoneticPr fontId="13"/>
  </si>
  <si>
    <t>ﾋﾟｭｱﾊﾞｰｶﾞﾝﾃﾞｨ</t>
    <phoneticPr fontId="13"/>
  </si>
  <si>
    <t>WMWLN720602D96718</t>
    <phoneticPr fontId="13"/>
  </si>
  <si>
    <t>株式会社 芙蓉ﾗｲﾌｻﾎﾟｰﾄ</t>
    <rPh sb="0" eb="4">
      <t>カブシキガイシャ</t>
    </rPh>
    <rPh sb="5" eb="6">
      <t>フ</t>
    </rPh>
    <rPh sb="6" eb="7">
      <t>ヨウ</t>
    </rPh>
    <phoneticPr fontId="13"/>
  </si>
  <si>
    <t>3</t>
    <phoneticPr fontId="13"/>
  </si>
  <si>
    <t>NEW MINIｸｰﾊﾟｰS ｺﾝﾊﾞｰﾁﾌﾞﾙ</t>
    <phoneticPr fontId="13"/>
  </si>
  <si>
    <t>姫路 350 は   32</t>
    <rPh sb="0" eb="2">
      <t>ヒメジ</t>
    </rPh>
    <phoneticPr fontId="13"/>
  </si>
  <si>
    <t>350 は 32</t>
    <phoneticPr fontId="13"/>
  </si>
  <si>
    <t>㈱ﾓﾄｰﾚﾝ神戸</t>
    <rPh sb="6" eb="8">
      <t>コウベ</t>
    </rPh>
    <phoneticPr fontId="13"/>
  </si>
  <si>
    <t>ｾﾞｽﾃｨｰｲｴﾛｰ</t>
    <phoneticPr fontId="13"/>
  </si>
  <si>
    <t>WMW42DL0203N35471</t>
    <phoneticPr fontId="13"/>
  </si>
  <si>
    <t>有限会社 ﾃｨｰｽﾞｸﾗﾌﾞ</t>
    <rPh sb="0" eb="4">
      <t>ユウゲンカイシャ</t>
    </rPh>
    <phoneticPr fontId="13"/>
  </si>
  <si>
    <t>大阪 330 に 980</t>
    <rPh sb="0" eb="2">
      <t>オオサカ</t>
    </rPh>
    <phoneticPr fontId="13"/>
  </si>
  <si>
    <t>301 て 1655</t>
    <phoneticPr fontId="13"/>
  </si>
  <si>
    <t xml:space="preserve"> </t>
    <phoneticPr fontId="13"/>
  </si>
  <si>
    <t>MINI神戸東灘</t>
    <rPh sb="4" eb="6">
      <t>コウベ</t>
    </rPh>
    <rPh sb="6" eb="8">
      <t>ヒガシナダ</t>
    </rPh>
    <phoneticPr fontId="13"/>
  </si>
  <si>
    <t>ｽﾀｰﾗｲﾄﾌﾞﾙｰﾒﾀﾙｯｸ</t>
    <phoneticPr fontId="13"/>
  </si>
  <si>
    <t>WMWZB72070WU16354</t>
    <phoneticPr fontId="13"/>
  </si>
  <si>
    <t>赤塚 雄一</t>
    <rPh sb="0" eb="2">
      <t>アカツカ</t>
    </rPh>
    <rPh sb="3" eb="5">
      <t>ユウイチ</t>
    </rPh>
    <phoneticPr fontId="13"/>
  </si>
  <si>
    <t>12</t>
    <phoneticPr fontId="13"/>
  </si>
  <si>
    <t>ﾛｰﾊﾞｰ ﾐﾆｸｰﾊﾟｰ</t>
    <phoneticPr fontId="13"/>
  </si>
  <si>
    <t>姫路 541 ね 3298</t>
    <rPh sb="0" eb="2">
      <t>ヒメジ</t>
    </rPh>
    <phoneticPr fontId="13"/>
  </si>
  <si>
    <t>川端</t>
    <rPh sb="0" eb="2">
      <t>カワバタ</t>
    </rPh>
    <phoneticPr fontId="13"/>
  </si>
  <si>
    <t>SAXXN-WAXKYD177695</t>
    <phoneticPr fontId="13"/>
  </si>
  <si>
    <t>川端 正子</t>
    <rPh sb="0" eb="2">
      <t>カワバタ</t>
    </rPh>
    <rPh sb="3" eb="5">
      <t>マサコ</t>
    </rPh>
    <phoneticPr fontId="13"/>
  </si>
  <si>
    <t>31</t>
    <phoneticPr fontId="13"/>
  </si>
  <si>
    <t>神戸 303 ふ 9747</t>
    <rPh sb="0" eb="2">
      <t>コウベ</t>
    </rPh>
    <phoneticPr fontId="13"/>
  </si>
  <si>
    <t>ﾌﾞﾘﾃｨｯｼｭﾚｰｼﾝｸﾞｸﾞﾘｰﾝ</t>
    <phoneticPr fontId="13"/>
  </si>
  <si>
    <t>WMWXN320102H82618</t>
    <phoneticPr fontId="13"/>
  </si>
  <si>
    <t>高木 克彦</t>
    <rPh sb="0" eb="2">
      <t>タカギ</t>
    </rPh>
    <rPh sb="3" eb="5">
      <t>カツヒコ</t>
    </rPh>
    <phoneticPr fontId="13"/>
  </si>
  <si>
    <t>2月抹消済</t>
    <phoneticPr fontId="13"/>
  </si>
  <si>
    <t>27</t>
    <phoneticPr fontId="13"/>
  </si>
  <si>
    <t>ｱﾙﾌｧﾛﾒｵﾐﾄ ｺﾝﾍﾟﾃｨｵｰﾈ</t>
    <phoneticPr fontId="13"/>
  </si>
  <si>
    <t>京都 302 に 7879</t>
    <rPh sb="0" eb="2">
      <t>キョウト</t>
    </rPh>
    <phoneticPr fontId="13"/>
  </si>
  <si>
    <t>藤野さん事故の為下取りで引取</t>
    <rPh sb="0" eb="2">
      <t>フジノ</t>
    </rPh>
    <rPh sb="4" eb="6">
      <t>ジコ</t>
    </rPh>
    <rPh sb="7" eb="8">
      <t>タメ</t>
    </rPh>
    <rPh sb="8" eb="10">
      <t>シタド</t>
    </rPh>
    <rPh sb="12" eb="14">
      <t>ヒキトリ</t>
    </rPh>
    <phoneticPr fontId="13"/>
  </si>
  <si>
    <t>藤野</t>
    <rPh sb="0" eb="2">
      <t>フジノ</t>
    </rPh>
    <phoneticPr fontId="13"/>
  </si>
  <si>
    <t>ﾋﾞｱﾝｺﾞ</t>
    <phoneticPr fontId="13"/>
  </si>
  <si>
    <t>ZAR9550000X041358</t>
    <phoneticPr fontId="13"/>
  </si>
  <si>
    <t>藤野 麻琴</t>
    <rPh sb="0" eb="2">
      <t>フジノ</t>
    </rPh>
    <rPh sb="3" eb="5">
      <t>マコト</t>
    </rPh>
    <phoneticPr fontId="13"/>
  </si>
  <si>
    <t>30</t>
    <phoneticPr fontId="13"/>
  </si>
  <si>
    <t>神戸 331 そ 1426</t>
    <rPh sb="0" eb="2">
      <t>コウベ</t>
    </rPh>
    <phoneticPr fontId="13"/>
  </si>
  <si>
    <t>301 て 3140</t>
    <phoneticPr fontId="13"/>
  </si>
  <si>
    <t>ｱｲﾗﾝﾄﾞﾌﾞﾙｰ</t>
    <phoneticPr fontId="13"/>
  </si>
  <si>
    <t>WMWYT920303E82022</t>
    <phoneticPr fontId="13"/>
  </si>
  <si>
    <t>桒山 陽一郎（ﾋﾞｰｴﾑﾀﾞﾌﾞﾘｭｰ)</t>
    <rPh sb="0" eb="1">
      <t>クワ</t>
    </rPh>
    <rPh sb="1" eb="2">
      <t>ヤマ</t>
    </rPh>
    <rPh sb="3" eb="6">
      <t>ヨウイチロウ</t>
    </rPh>
    <phoneticPr fontId="13"/>
  </si>
  <si>
    <t>1</t>
    <phoneticPr fontId="13"/>
  </si>
  <si>
    <t>ｼﾄﾛｴﾝC3</t>
    <phoneticPr fontId="13"/>
  </si>
  <si>
    <t>神戸 389 さ 115</t>
    <rPh sb="0" eb="2">
      <t>コウベ</t>
    </rPh>
    <phoneticPr fontId="13"/>
  </si>
  <si>
    <t>VF7SXHNZTKT571763</t>
    <phoneticPr fontId="13"/>
  </si>
  <si>
    <t>畒 裕美子</t>
    <rPh sb="0" eb="1">
      <t>ホ</t>
    </rPh>
    <rPh sb="2" eb="5">
      <t>ユミコ</t>
    </rPh>
    <phoneticPr fontId="13"/>
  </si>
  <si>
    <t>7月抹消済</t>
    <rPh sb="1" eb="5">
      <t>ガツマッショウズ</t>
    </rPh>
    <phoneticPr fontId="13"/>
  </si>
  <si>
    <t>神戸 350 る 213</t>
    <rPh sb="0" eb="2">
      <t>コウベ</t>
    </rPh>
    <phoneticPr fontId="13"/>
  </si>
  <si>
    <t>山下</t>
    <rPh sb="0" eb="2">
      <t>ヤマシタ</t>
    </rPh>
    <phoneticPr fontId="13"/>
  </si>
  <si>
    <t xml:space="preserve">MINI宝塚 </t>
    <rPh sb="4" eb="6">
      <t>タカラヅカ</t>
    </rPh>
    <phoneticPr fontId="13"/>
  </si>
  <si>
    <t>ﾗｲﾄﾎﾜｲﾄ</t>
    <phoneticPr fontId="13"/>
  </si>
  <si>
    <t>WMWYT920703D53510</t>
    <phoneticPr fontId="13"/>
  </si>
  <si>
    <t>奥山 仁人（ﾋﾞｰｴﾑﾀﾞﾌﾞﾘｭ）</t>
    <rPh sb="0" eb="2">
      <t>オクヤマ</t>
    </rPh>
    <rPh sb="3" eb="4">
      <t>ジン</t>
    </rPh>
    <rPh sb="4" eb="5">
      <t>ヒト</t>
    </rPh>
    <phoneticPr fontId="13"/>
  </si>
  <si>
    <t>BMWﾐﾆｸｰﾊﾟｰSD ｸﾛｽｵｰﾊﾞｰ</t>
    <phoneticPr fontId="13"/>
  </si>
  <si>
    <t>神戸 336 の 3298</t>
    <rPh sb="0" eb="2">
      <t>コウベ</t>
    </rPh>
    <phoneticPr fontId="13"/>
  </si>
  <si>
    <t>MINI神戸東灘</t>
    <rPh sb="4" eb="8">
      <t>コウベヒガシナダ</t>
    </rPh>
    <phoneticPr fontId="13"/>
  </si>
  <si>
    <t>ｱﾌﾞｿﾙﾄﾌﾞﾗｯｸ</t>
    <phoneticPr fontId="13"/>
  </si>
  <si>
    <t>WMWZB72020WU16455</t>
    <phoneticPr fontId="13"/>
  </si>
  <si>
    <t>眞鍋 敏行</t>
    <rPh sb="0" eb="2">
      <t>マナベ</t>
    </rPh>
    <rPh sb="3" eb="5">
      <t>トシユキ</t>
    </rPh>
    <phoneticPr fontId="13"/>
  </si>
  <si>
    <t>29</t>
    <phoneticPr fontId="13"/>
  </si>
  <si>
    <t>神戸 359 つ 511</t>
    <rPh sb="0" eb="2">
      <t>コウベ</t>
    </rPh>
    <phoneticPr fontId="13"/>
  </si>
  <si>
    <t>WBS1J52050VD24118</t>
    <phoneticPr fontId="13"/>
  </si>
  <si>
    <t>北 裕介(ﾋﾞｰ･ｴﾑ･ﾀﾞﾌﾞﾘｭｰ)</t>
    <rPh sb="0" eb="1">
      <t>キタ</t>
    </rPh>
    <rPh sb="2" eb="4">
      <t>ユウスケ</t>
    </rPh>
    <phoneticPr fontId="13"/>
  </si>
  <si>
    <t>2</t>
    <phoneticPr fontId="13"/>
  </si>
  <si>
    <t>神戸 303 や 4348</t>
    <rPh sb="0" eb="2">
      <t>コウベ</t>
    </rPh>
    <phoneticPr fontId="13"/>
  </si>
  <si>
    <t>301 て 9279</t>
    <phoneticPr fontId="13"/>
  </si>
  <si>
    <t>ｱｲﾗﾝﾄﾞﾌﾞﾙｰﾒﾀﾘｯｸ</t>
    <phoneticPr fontId="13"/>
  </si>
  <si>
    <t>WMWYT920503L43071</t>
    <phoneticPr fontId="13"/>
  </si>
  <si>
    <t>豊和 （株）  (ﾋﾞｰ･ｴﾑ･ﾀﾞﾌﾞﾘｭｰ)</t>
    <rPh sb="0" eb="1">
      <t>トヨ</t>
    </rPh>
    <rPh sb="1" eb="2">
      <t>ワ</t>
    </rPh>
    <rPh sb="3" eb="6">
      <t>カブ</t>
    </rPh>
    <phoneticPr fontId="13"/>
  </si>
  <si>
    <t>神戸 360 も 1124</t>
    <rPh sb="0" eb="2">
      <t>コウベ</t>
    </rPh>
    <phoneticPr fontId="13"/>
  </si>
  <si>
    <t>鵜瀬</t>
    <rPh sb="0" eb="2">
      <t>ウセ</t>
    </rPh>
    <phoneticPr fontId="13"/>
  </si>
  <si>
    <t>WMWXR920002L25996</t>
    <phoneticPr fontId="13"/>
  </si>
  <si>
    <t>鵜瀬 祐之</t>
    <rPh sb="0" eb="2">
      <t>ウセ</t>
    </rPh>
    <rPh sb="3" eb="5">
      <t>ユウスケ</t>
    </rPh>
    <phoneticPr fontId="13"/>
  </si>
  <si>
    <t>21</t>
    <phoneticPr fontId="13"/>
  </si>
  <si>
    <t>ﾚﾝｼﾞﾛｰﾊﾞｰ</t>
    <phoneticPr fontId="13"/>
  </si>
  <si>
    <t>神戸 345 に 335</t>
    <rPh sb="0" eb="2">
      <t>コウベ</t>
    </rPh>
    <phoneticPr fontId="13"/>
  </si>
  <si>
    <t>元村</t>
    <rPh sb="0" eb="2">
      <t>モトムラ</t>
    </rPh>
    <phoneticPr fontId="13"/>
  </si>
  <si>
    <t>SALLSJAE3AA219740</t>
    <phoneticPr fontId="13"/>
  </si>
  <si>
    <t>（株）ｵﾘｴﾝﾄｺｰﾎﾟﾚｰｼｮﾝ</t>
    <rPh sb="0" eb="3">
      <t>カブ</t>
    </rPh>
    <phoneticPr fontId="13"/>
  </si>
  <si>
    <t>4</t>
    <phoneticPr fontId="13"/>
  </si>
  <si>
    <t>EKﾜｺﾞﾝ</t>
    <phoneticPr fontId="13"/>
  </si>
  <si>
    <t>姫路 583 ら 2300</t>
    <rPh sb="0" eb="2">
      <t>ヒメジ</t>
    </rPh>
    <phoneticPr fontId="13"/>
  </si>
  <si>
    <t>三菱自動車(新車)</t>
    <rPh sb="0" eb="5">
      <t>ミツビシジドウシャ</t>
    </rPh>
    <rPh sb="6" eb="8">
      <t>シンシャ</t>
    </rPh>
    <phoneticPr fontId="13"/>
  </si>
  <si>
    <t>B34A-0400704</t>
    <phoneticPr fontId="13"/>
  </si>
  <si>
    <t>兵庫三菱自動車販売㈱</t>
    <rPh sb="0" eb="2">
      <t>ヒョウゴ</t>
    </rPh>
    <rPh sb="2" eb="7">
      <t>ミツビシジドウシャ</t>
    </rPh>
    <rPh sb="7" eb="9">
      <t>ハンバイ</t>
    </rPh>
    <phoneticPr fontId="13"/>
  </si>
  <si>
    <t>BMW530I Mｽﾎﾟｰﾂ</t>
    <phoneticPr fontId="13"/>
  </si>
  <si>
    <t>なにわ 340 ち 919</t>
    <phoneticPr fontId="13"/>
  </si>
  <si>
    <t>鈴木</t>
    <rPh sb="0" eb="2">
      <t>スズキ</t>
    </rPh>
    <phoneticPr fontId="13"/>
  </si>
  <si>
    <t>WBAJA51020G876991</t>
    <phoneticPr fontId="13"/>
  </si>
  <si>
    <t>鈴木 圭一</t>
    <rPh sb="0" eb="2">
      <t>スズキ</t>
    </rPh>
    <rPh sb="3" eb="5">
      <t>ケイイチ</t>
    </rPh>
    <phoneticPr fontId="13"/>
  </si>
  <si>
    <t>ﾗﾝﾄﾞﾛｰﾊﾞｰﾃﾞｨｽｶﾊﾞﾘｰｽﾎﾟｰﾂ</t>
    <phoneticPr fontId="13"/>
  </si>
  <si>
    <t>神戸337は8358</t>
    <rPh sb="0" eb="2">
      <t>コウベ</t>
    </rPh>
    <phoneticPr fontId="13"/>
  </si>
  <si>
    <t>細見</t>
    <rPh sb="0" eb="2">
      <t>ホソミ</t>
    </rPh>
    <phoneticPr fontId="13"/>
  </si>
  <si>
    <t>SALCA2AG5HH672708</t>
    <phoneticPr fontId="13"/>
  </si>
  <si>
    <t>細見 龍太郎</t>
    <rPh sb="0" eb="2">
      <t>ホソミ</t>
    </rPh>
    <rPh sb="3" eb="6">
      <t>リュウタロウ</t>
    </rPh>
    <phoneticPr fontId="13"/>
  </si>
  <si>
    <t>25</t>
    <phoneticPr fontId="13"/>
  </si>
  <si>
    <t>ﾚﾝｼﾞﾛｰﾊﾞｰｽﾎﾟｰﾂ</t>
    <phoneticPr fontId="13"/>
  </si>
  <si>
    <t>品川330ね2071</t>
    <rPh sb="0" eb="2">
      <t>シナガワ</t>
    </rPh>
    <phoneticPr fontId="13"/>
  </si>
  <si>
    <t>（株）trema</t>
    <phoneticPr fontId="13"/>
  </si>
  <si>
    <t>SALLSJAD3DA792511</t>
    <phoneticPr fontId="13"/>
  </si>
  <si>
    <t>株式会社trema</t>
    <rPh sb="0" eb="4">
      <t>カブシキガイシャ</t>
    </rPh>
    <phoneticPr fontId="13"/>
  </si>
  <si>
    <t>8月抹消済</t>
    <rPh sb="1" eb="2">
      <t>ガツ</t>
    </rPh>
    <rPh sb="2" eb="4">
      <t>マッショウ</t>
    </rPh>
    <rPh sb="4" eb="5">
      <t>ズ</t>
    </rPh>
    <phoneticPr fontId="13"/>
  </si>
  <si>
    <t>BMWﾐﾆｸｰﾊﾟｰBAYSWATER</t>
  </si>
  <si>
    <t>大阪　531　み　2332</t>
  </si>
  <si>
    <r>
      <rPr>
        <sz val="11"/>
        <color rgb="FFFF0000"/>
        <rFont val="ＭＳ Ｐゴシック"/>
        <family val="3"/>
        <charset val="128"/>
        <scheme val="minor"/>
      </rPr>
      <t>整備中</t>
    </r>
    <r>
      <rPr>
        <sz val="11"/>
        <color theme="1"/>
        <rFont val="ＭＳ Ｐゴシック"/>
        <family val="3"/>
        <charset val="128"/>
        <scheme val="minor"/>
      </rPr>
      <t>2024//ﾚﾝﾀｶｰに移行</t>
    </r>
    <rPh sb="0" eb="3">
      <t>セイビチュウ</t>
    </rPh>
    <rPh sb="15" eb="17">
      <t>イコウ</t>
    </rPh>
    <phoneticPr fontId="13"/>
  </si>
  <si>
    <t>ｾﾌﾞﾝｽﾀｰ　</t>
    <phoneticPr fontId="13"/>
  </si>
  <si>
    <t>黒</t>
    <phoneticPr fontId="13"/>
  </si>
  <si>
    <t>WMWSU32010T629659</t>
    <phoneticPr fontId="13"/>
  </si>
  <si>
    <t>藤本　誠史</t>
  </si>
  <si>
    <t>保証書 取説 ｷｰﾚｽ</t>
    <phoneticPr fontId="13"/>
  </si>
  <si>
    <t>R25-010から26-903へ変更</t>
    <rPh sb="16" eb="18">
      <t>ヘンコウ</t>
    </rPh>
    <phoneticPr fontId="13"/>
  </si>
  <si>
    <t>N-WGNｶｽﾀﾑ ﾀｰﾎﾞSS ｽﾀｲﾙﾊﾟｯｹｰｼﾞ</t>
    <phoneticPr fontId="13"/>
  </si>
  <si>
    <t>名古屋 58A に 7409</t>
    <rPh sb="0" eb="3">
      <t>ナゴヤ</t>
    </rPh>
    <phoneticPr fontId="13"/>
  </si>
  <si>
    <t>JU愛知(まとめ)</t>
    <rPh sb="2" eb="4">
      <t>アイチ</t>
    </rPh>
    <phoneticPr fontId="13"/>
  </si>
  <si>
    <t>JH1-2215407</t>
    <phoneticPr fontId="13"/>
  </si>
  <si>
    <t>有限会社 坂元商会</t>
    <rPh sb="0" eb="4">
      <t>ユウゲンカイシャ</t>
    </rPh>
    <rPh sb="5" eb="7">
      <t>サカモト</t>
    </rPh>
    <rPh sb="7" eb="9">
      <t>ショウカイ</t>
    </rPh>
    <phoneticPr fontId="13"/>
  </si>
  <si>
    <t>地図SD(車内)ｷｰﾚｽ</t>
    <phoneticPr fontId="13"/>
  </si>
  <si>
    <t>MﾍﾞﾝﾂAMG Eｸﾗｽ E43</t>
    <phoneticPr fontId="13"/>
  </si>
  <si>
    <t>大阪 378 ゆ 1225</t>
    <rPh sb="0" eb="2">
      <t>オオサカ</t>
    </rPh>
    <phoneticPr fontId="13"/>
  </si>
  <si>
    <t>34P の 5</t>
    <phoneticPr fontId="13"/>
  </si>
  <si>
    <t>WDD2130642A461799</t>
    <phoneticPr fontId="13"/>
  </si>
  <si>
    <t>10/11</t>
    <phoneticPr fontId="13"/>
  </si>
  <si>
    <t>BMWﾐﾆ WG JCWｸﾗﾌﾞﾏﾝ</t>
    <phoneticPr fontId="13"/>
  </si>
  <si>
    <t>7/3/24</t>
    <phoneticPr fontId="13"/>
  </si>
  <si>
    <t>倉敷 500 つ 4952</t>
    <rPh sb="0" eb="2">
      <t>クラシキ</t>
    </rPh>
    <phoneticPr fontId="13"/>
  </si>
  <si>
    <t>WMWZG92050TZ88814</t>
    <phoneticPr fontId="13"/>
  </si>
  <si>
    <t>依田 修一</t>
    <rPh sb="0" eb="1">
      <t>イ</t>
    </rPh>
    <rPh sb="1" eb="2">
      <t>タ</t>
    </rPh>
    <rPh sb="3" eb="5">
      <t>シュウイチ</t>
    </rPh>
    <phoneticPr fontId="13"/>
  </si>
  <si>
    <t>10/8</t>
    <phoneticPr fontId="13"/>
  </si>
  <si>
    <t>28/5</t>
    <phoneticPr fontId="13"/>
  </si>
  <si>
    <t>VWｺﾞﾙﾌ ﾄｩｰﾗﾝ</t>
    <phoneticPr fontId="13"/>
  </si>
  <si>
    <t>愛媛 300 め 7466</t>
    <rPh sb="0" eb="2">
      <t>エヒメ</t>
    </rPh>
    <phoneticPr fontId="13"/>
  </si>
  <si>
    <t>WVGZZZ1TZGW561750</t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</si>
  <si>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</si>
  <si>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取説(車内)ｷｰﾚｽ</t>
    <rPh sb="0" eb="2">
      <t>トリセツ</t>
    </rPh>
    <rPh sb="3" eb="5">
      <t>シャナイ</t>
    </rPh>
    <phoneticPr fontId="13"/>
  </si>
  <si>
    <t>BMWﾐﾆ 5D</t>
    <phoneticPr fontId="13"/>
  </si>
  <si>
    <t>7/9/24</t>
    <phoneticPr fontId="13"/>
  </si>
  <si>
    <t>福岡 334 ぬ 3298</t>
    <rPh sb="0" eb="2">
      <t>フクオカ</t>
    </rPh>
    <phoneticPr fontId="13"/>
  </si>
  <si>
    <t>301 に 9292</t>
    <phoneticPr fontId="13"/>
  </si>
  <si>
    <t>ﾎﾝﾀﾞ九州（まとめ）</t>
    <rPh sb="4" eb="6">
      <t>キュウシュウ</t>
    </rPh>
    <phoneticPr fontId="13"/>
  </si>
  <si>
    <t>WMWXU72040TN31044</t>
    <phoneticPr fontId="13"/>
  </si>
  <si>
    <t>10/15</t>
    <phoneticPr fontId="13"/>
  </si>
  <si>
    <t>取説 ｷｰﾚｽ（車内）</t>
    <rPh sb="0" eb="2">
      <t>トリセツ</t>
    </rPh>
    <rPh sb="8" eb="10">
      <t>シャナイ</t>
    </rPh>
    <phoneticPr fontId="13"/>
  </si>
  <si>
    <t>28/</t>
    <phoneticPr fontId="13"/>
  </si>
  <si>
    <t>ﾎﾟﾙｼｪｹｲﾏﾝ GT4</t>
    <phoneticPr fontId="13"/>
  </si>
  <si>
    <t>姫路 330 の 969</t>
    <rPh sb="0" eb="2">
      <t>ヒメジ</t>
    </rPh>
    <phoneticPr fontId="13"/>
  </si>
  <si>
    <t>330 の 969</t>
    <phoneticPr fontId="13"/>
  </si>
  <si>
    <t>関口様</t>
    <rPh sb="0" eb="2">
      <t>セキグチ</t>
    </rPh>
    <rPh sb="2" eb="3">
      <t>サマ</t>
    </rPh>
    <phoneticPr fontId="13"/>
  </si>
  <si>
    <t>WP0ZZZ98ZGK189667</t>
    <phoneticPr fontId="13"/>
  </si>
  <si>
    <t>関口 圭一郎</t>
    <rPh sb="0" eb="2">
      <t>セキグチ</t>
    </rPh>
    <rPh sb="3" eb="6">
      <t>ケイイチロウ</t>
    </rPh>
    <phoneticPr fontId="13"/>
  </si>
  <si>
    <t>10/7</t>
    <phoneticPr fontId="13"/>
  </si>
  <si>
    <t>7/6/29</t>
    <phoneticPr fontId="13"/>
  </si>
  <si>
    <t>前橋 300 て 9018</t>
    <rPh sb="0" eb="2">
      <t>マエバシ</t>
    </rPh>
    <phoneticPr fontId="13"/>
  </si>
  <si>
    <t>301 に 9293</t>
    <phoneticPr fontId="13"/>
  </si>
  <si>
    <t>WMWXU92040TE41732</t>
    <phoneticPr fontId="13"/>
  </si>
  <si>
    <t>2/7</t>
    <phoneticPr fontId="13"/>
  </si>
  <si>
    <t>N-BOXｶｽﾀﾑ GLﾎﾝﾀﾞｾﾝｼﾝｸﾞ</t>
    <phoneticPr fontId="13"/>
  </si>
  <si>
    <t>7/7</t>
    <phoneticPr fontId="13"/>
  </si>
  <si>
    <t>奈良 583 す 1613</t>
    <rPh sb="0" eb="2">
      <t>ナラ</t>
    </rPh>
    <phoneticPr fontId="13"/>
  </si>
  <si>
    <t>581 ゆ 4656</t>
    <phoneticPr fontId="13"/>
  </si>
  <si>
    <t>茶色</t>
    <rPh sb="0" eb="2">
      <t>チャイロ</t>
    </rPh>
    <phoneticPr fontId="13"/>
  </si>
  <si>
    <t>JF3-1505879</t>
    <phoneticPr fontId="13"/>
  </si>
  <si>
    <t>ﾎﾝﾀﾞ奈良自販株式会社</t>
    <rPh sb="4" eb="6">
      <t>ナラ</t>
    </rPh>
    <rPh sb="6" eb="12">
      <t>ジハンカブシキガイシャ</t>
    </rPh>
    <phoneticPr fontId="13"/>
  </si>
  <si>
    <t>ﾅﾝﾊﾞｰ伴さん持ち出し中</t>
    <phoneticPr fontId="13"/>
  </si>
  <si>
    <t>ﾏﾂﾀﾞ2 15S ﾌﾟﾛｱｸﾃｨﾌﾞ</t>
    <phoneticPr fontId="13"/>
  </si>
  <si>
    <t>岡山 599 に 1070</t>
    <rPh sb="0" eb="2">
      <t>オカヤマ</t>
    </rPh>
    <phoneticPr fontId="13"/>
  </si>
  <si>
    <t>DJLFS-704905</t>
    <phoneticPr fontId="13"/>
  </si>
  <si>
    <t>株式会社ｼﾃｨﾗｲﾄ</t>
    <rPh sb="0" eb="4">
      <t>カブシキガイシャ</t>
    </rPh>
    <phoneticPr fontId="13"/>
  </si>
  <si>
    <t>10/31</t>
    <phoneticPr fontId="13"/>
  </si>
  <si>
    <t>ｼﾞｬｶﾞｰXE XEﾌﾟﾚｽﾃｰｼﾞ</t>
    <phoneticPr fontId="13"/>
  </si>
  <si>
    <t>7/3/31</t>
    <phoneticPr fontId="13"/>
  </si>
  <si>
    <t>倉敷 300 ち 8373</t>
    <rPh sb="0" eb="2">
      <t>クラシキ</t>
    </rPh>
    <phoneticPr fontId="13"/>
  </si>
  <si>
    <t>SAJAB4AGXGA930690</t>
    <phoneticPr fontId="13"/>
  </si>
  <si>
    <t>映ｸﾗ株式会社</t>
    <rPh sb="0" eb="1">
      <t>エイ</t>
    </rPh>
    <rPh sb="3" eb="5">
      <t>カブシキ</t>
    </rPh>
    <rPh sb="5" eb="7">
      <t>カイシャ</t>
    </rPh>
    <phoneticPr fontId="13"/>
  </si>
  <si>
    <t>10/26</t>
    <phoneticPr fontId="13"/>
  </si>
  <si>
    <t>保証書 取説 ﾅﾋﾞ取説 ｷｰﾚｽ ﾜﾝｵｰﾅｰ</t>
    <rPh sb="0" eb="3">
      <t>ホショウショ</t>
    </rPh>
    <rPh sb="4" eb="6">
      <t>トリセツ</t>
    </rPh>
    <rPh sb="10" eb="12">
      <t>トリセツ</t>
    </rPh>
    <phoneticPr fontId="13"/>
  </si>
  <si>
    <t>1/</t>
    <phoneticPr fontId="13"/>
  </si>
  <si>
    <t>BMWﾐﾆ ｸｰﾊﾟｰJCW</t>
    <phoneticPr fontId="13"/>
  </si>
  <si>
    <t>姫路 331 ゆ 2127</t>
    <rPh sb="0" eb="2">
      <t>ヒメジ</t>
    </rPh>
    <phoneticPr fontId="13"/>
  </si>
  <si>
    <t>浜野様</t>
    <rPh sb="0" eb="2">
      <t>ハマノ</t>
    </rPh>
    <rPh sb="2" eb="3">
      <t>サマ</t>
    </rPh>
    <phoneticPr fontId="13"/>
  </si>
  <si>
    <t>WMWJZ920702L43465</t>
    <phoneticPr fontId="13"/>
  </si>
  <si>
    <t>10/20</t>
    <phoneticPr fontId="13"/>
  </si>
  <si>
    <t>ﾊｲｴｰｽﾊﾞﾝ ｽｰﾊﾟｰGL ﾌﾟﾗｲﾑｾﾚｸｼｮﾝ</t>
    <phoneticPr fontId="13"/>
  </si>
  <si>
    <t>7/1/23</t>
    <phoneticPr fontId="13"/>
  </si>
  <si>
    <t>名古屋 430 ま 314</t>
    <rPh sb="0" eb="3">
      <t>ナゴヤ</t>
    </rPh>
    <phoneticPr fontId="13"/>
  </si>
  <si>
    <t>405 す 5</t>
    <phoneticPr fontId="13"/>
  </si>
  <si>
    <t>TRH200-0192039</t>
    <phoneticPr fontId="13"/>
  </si>
  <si>
    <t>有限会社加藤建材</t>
    <rPh sb="0" eb="4">
      <t>ユウゲンガイシャ</t>
    </rPh>
    <rPh sb="4" eb="6">
      <t>カトウ</t>
    </rPh>
    <rPh sb="6" eb="8">
      <t>ケンザイ</t>
    </rPh>
    <phoneticPr fontId="13"/>
  </si>
  <si>
    <t>保証書 取説 ﾅﾋﾞ取説 名変期限11/28まで</t>
    <rPh sb="0" eb="3">
      <t>ホショウショ</t>
    </rPh>
    <rPh sb="4" eb="6">
      <t>トリセツ</t>
    </rPh>
    <rPh sb="10" eb="12">
      <t>トリセツ</t>
    </rPh>
    <rPh sb="13" eb="17">
      <t>メイヘンキゲン</t>
    </rPh>
    <phoneticPr fontId="13"/>
  </si>
  <si>
    <t>BMW 5ｼﾘｰｽﾞ 530i Mｽﾎﾟｰﾂ</t>
    <phoneticPr fontId="13"/>
  </si>
  <si>
    <t>京都 399 る 9889</t>
    <rPh sb="0" eb="2">
      <t>キョウト</t>
    </rPh>
    <phoneticPr fontId="13"/>
  </si>
  <si>
    <t>WBAJL32040G635365</t>
    <phoneticPr fontId="13"/>
  </si>
  <si>
    <t>10/29</t>
    <phoneticPr fontId="13"/>
  </si>
  <si>
    <t>BMWﾐﾆ ｸｰﾊﾟｰD ｸﾛｽｵｰﾊﾞｰ</t>
    <phoneticPr fontId="13"/>
  </si>
  <si>
    <t>大阪 360 ふ 1112</t>
    <rPh sb="0" eb="2">
      <t>オオサカ</t>
    </rPh>
    <phoneticPr fontId="13"/>
  </si>
  <si>
    <t>WMWYT920503F82347</t>
    <phoneticPr fontId="13"/>
  </si>
  <si>
    <t>大阪ﾄﾖﾍﾟｯﾄ株式会社</t>
    <rPh sb="0" eb="2">
      <t>オオサカ</t>
    </rPh>
    <rPh sb="8" eb="12">
      <t>カブシキカイシャ</t>
    </rPh>
    <phoneticPr fontId="13"/>
  </si>
  <si>
    <t>保証書 取説 ｷｰﾚｽ(車内)ﾜﾝｵｰﾅｰ</t>
    <rPh sb="0" eb="3">
      <t>ホショウショ</t>
    </rPh>
    <rPh sb="4" eb="6">
      <t>トリセツ</t>
    </rPh>
    <phoneticPr fontId="13"/>
  </si>
  <si>
    <t>ｱｳﾃﾞｨS1 ﾍﾞｰｽｸﾞﾚｰﾄﾞ</t>
    <phoneticPr fontId="13"/>
  </si>
  <si>
    <t>香川 330 ゆ 155</t>
    <rPh sb="0" eb="2">
      <t>カガワ</t>
    </rPh>
    <phoneticPr fontId="13"/>
  </si>
  <si>
    <t>TAA四国</t>
    <rPh sb="3" eb="5">
      <t>シコク</t>
    </rPh>
    <phoneticPr fontId="13"/>
  </si>
  <si>
    <t>WAUZZZ8XXHB094050</t>
    <phoneticPr fontId="13"/>
  </si>
  <si>
    <t>香川ﾄﾖﾀ自動車株式会社</t>
    <rPh sb="0" eb="2">
      <t>カガワ</t>
    </rPh>
    <rPh sb="5" eb="12">
      <t>ジドウシャカブシキガイシャ</t>
    </rPh>
    <phoneticPr fontId="13"/>
  </si>
  <si>
    <t>福井 333 に 129</t>
    <rPh sb="0" eb="2">
      <t>フクイ</t>
    </rPh>
    <phoneticPr fontId="13"/>
  </si>
  <si>
    <t>取説 ｽﾏｰﾄｷｰ</t>
    <rPh sb="0" eb="2">
      <t>トリセツ</t>
    </rPh>
    <phoneticPr fontId="13"/>
  </si>
  <si>
    <t>301 に 8692</t>
    <phoneticPr fontId="13"/>
  </si>
  <si>
    <t>WMWXU92080TE42110</t>
    <phoneticPr fontId="13"/>
  </si>
  <si>
    <t>株式会社北陸ﾏﾂﾀﾞ</t>
    <rPh sb="0" eb="4">
      <t>カブシキガイシャ</t>
    </rPh>
    <rPh sb="4" eb="6">
      <t>ホクリク</t>
    </rPh>
    <phoneticPr fontId="13"/>
  </si>
  <si>
    <t>7/3/28</t>
    <phoneticPr fontId="13"/>
  </si>
  <si>
    <t>和歌山 300 む 122</t>
    <rPh sb="0" eb="3">
      <t>ワカヤマ</t>
    </rPh>
    <phoneticPr fontId="13"/>
  </si>
  <si>
    <t>WMWXT720302G65958</t>
    <phoneticPr fontId="13"/>
  </si>
  <si>
    <t>酒井 貴司</t>
    <rPh sb="0" eb="2">
      <t>サカイ</t>
    </rPh>
    <rPh sb="3" eb="4">
      <t>タカシ</t>
    </rPh>
    <rPh sb="4" eb="5">
      <t>シ</t>
    </rPh>
    <phoneticPr fontId="13"/>
  </si>
  <si>
    <t>11/8</t>
    <phoneticPr fontId="13"/>
  </si>
  <si>
    <t>ﾘﾓｺﾝ（車内）保証書 取説 ｷｰﾚｽ</t>
    <rPh sb="5" eb="7">
      <t>シャナイ</t>
    </rPh>
    <rPh sb="8" eb="11">
      <t>ホショウショ</t>
    </rPh>
    <rPh sb="12" eb="14">
      <t>トリセツ</t>
    </rPh>
    <phoneticPr fontId="13"/>
  </si>
  <si>
    <t>29/1</t>
    <phoneticPr fontId="13"/>
  </si>
  <si>
    <t>BMWﾐﾆ ｸｰﾊﾟｰSD ｸﾗﾌﾞﾏﾝ</t>
    <phoneticPr fontId="13"/>
  </si>
  <si>
    <t>北九州 360 や 123</t>
    <rPh sb="0" eb="3">
      <t>キタキュウシュウ</t>
    </rPh>
    <phoneticPr fontId="13"/>
  </si>
  <si>
    <t>WMWLR520802F14311</t>
    <phoneticPr fontId="13"/>
  </si>
  <si>
    <t>ﾘﾓｺﾝ(車内)</t>
    <phoneticPr fontId="13"/>
  </si>
  <si>
    <t>3/12</t>
    <phoneticPr fontId="13"/>
  </si>
  <si>
    <t>ﾌﾟｼﾞｮｰﾘﾌﾀｰ</t>
    <phoneticPr fontId="13"/>
  </si>
  <si>
    <t>なにわ 39A に 6037</t>
    <phoneticPr fontId="13"/>
  </si>
  <si>
    <t>VR3ECYHZRMJ801736</t>
    <phoneticPr fontId="13"/>
  </si>
  <si>
    <t>大阪ｽﾊﾞﾙ株式会社</t>
    <rPh sb="0" eb="2">
      <t>オオサカ</t>
    </rPh>
    <rPh sb="6" eb="10">
      <t>カブシキガイシャ</t>
    </rPh>
    <phoneticPr fontId="13"/>
  </si>
  <si>
    <t>11/3</t>
    <phoneticPr fontId="13"/>
  </si>
  <si>
    <t xml:space="preserve">ｷｰﾚｽ(車内)保証書 取説 ﾅﾋﾞ取 </t>
    <rPh sb="8" eb="11">
      <t>ホショウショ</t>
    </rPh>
    <rPh sb="12" eb="14">
      <t>トリセツ</t>
    </rPh>
    <rPh sb="18" eb="19">
      <t>トリ</t>
    </rPh>
    <phoneticPr fontId="13"/>
  </si>
  <si>
    <t>ｼﾞｬｶﾞｰ XFﾌﾟﾚｽﾃｰｼﾞ</t>
    <phoneticPr fontId="13"/>
  </si>
  <si>
    <t>名古屋 353 み 3103</t>
    <rPh sb="0" eb="3">
      <t>ナゴヤ</t>
    </rPh>
    <phoneticPr fontId="13"/>
  </si>
  <si>
    <t>保証書 取説 ｽﾍﾟｱｷｰ</t>
    <phoneticPr fontId="13"/>
  </si>
  <si>
    <t>SAJBB4AG5GCY23409</t>
    <phoneticPr fontId="13"/>
  </si>
  <si>
    <t>11/7</t>
    <phoneticPr fontId="13"/>
  </si>
  <si>
    <t>ｱｳﾃﾞｨ S1 2.0TFSI ｸﾜﾄﾛ</t>
    <phoneticPr fontId="13"/>
  </si>
  <si>
    <t>8/2</t>
    <phoneticPr fontId="13"/>
  </si>
  <si>
    <t>三重 301 む 2628</t>
    <rPh sb="0" eb="2">
      <t>ミエ</t>
    </rPh>
    <phoneticPr fontId="13"/>
  </si>
  <si>
    <t>保証書 取説 ﾅﾋﾞ取 ｽﾍﾟｱｷｰ ﾜﾝｵｰﾅｰ 名変期限12/12</t>
    <rPh sb="0" eb="3">
      <t>ホショウショ</t>
    </rPh>
    <rPh sb="4" eb="6">
      <t>トリセツ</t>
    </rPh>
    <rPh sb="10" eb="11">
      <t>トリ</t>
    </rPh>
    <rPh sb="26" eb="30">
      <t>メイヘンキゲン</t>
    </rPh>
    <phoneticPr fontId="13"/>
  </si>
  <si>
    <t>301 に 9290</t>
    <phoneticPr fontId="13"/>
  </si>
  <si>
    <t>WAUZZZ8X8HB031867</t>
    <phoneticPr fontId="13"/>
  </si>
  <si>
    <t>株式会社ｾﾃﾞｨﾅ</t>
    <rPh sb="0" eb="4">
      <t>カブシキガイシャ</t>
    </rPh>
    <phoneticPr fontId="13"/>
  </si>
  <si>
    <t>保証書 取説 ﾅﾋﾞ取 ｷｰﾚｽ ﾜﾝｵｰﾅｰ 12/12まで</t>
    <rPh sb="0" eb="3">
      <t>ホショウショ</t>
    </rPh>
    <rPh sb="4" eb="6">
      <t>トリセツ</t>
    </rPh>
    <rPh sb="10" eb="11">
      <t>トリ</t>
    </rPh>
    <phoneticPr fontId="13"/>
  </si>
  <si>
    <t>ｱｳﾃﾞｨ S1 2.0</t>
    <phoneticPr fontId="13"/>
  </si>
  <si>
    <t>石川 300 や 7374</t>
    <rPh sb="0" eb="2">
      <t>イシカワ</t>
    </rPh>
    <phoneticPr fontId="13"/>
  </si>
  <si>
    <t>301 ぬ 648</t>
    <phoneticPr fontId="13"/>
  </si>
  <si>
    <t>WAUZZZ8X9FB002746</t>
    <phoneticPr fontId="13"/>
  </si>
  <si>
    <t>株式会社IDOM</t>
    <rPh sb="0" eb="4">
      <t>カブシキガイシャ</t>
    </rPh>
    <phoneticPr fontId="13"/>
  </si>
  <si>
    <t>大阪 31F ほ 8000</t>
    <rPh sb="0" eb="2">
      <t>オオサカ</t>
    </rPh>
    <phoneticPr fontId="13"/>
  </si>
  <si>
    <t>保証書 ｽﾍﾟｱｷｰ ﾜﾝｵｰﾅｰ</t>
    <rPh sb="0" eb="3">
      <t>ホショウショ</t>
    </rPh>
    <phoneticPr fontId="13"/>
  </si>
  <si>
    <t>301 ぬ 551</t>
    <phoneticPr fontId="13"/>
  </si>
  <si>
    <t>WMWXT720602H92185</t>
    <phoneticPr fontId="13"/>
  </si>
  <si>
    <t>取説(車内)保証書 ｷｰﾚｽ ﾜﾝｵｰﾅｰ</t>
    <rPh sb="0" eb="2">
      <t>トリセツ</t>
    </rPh>
    <rPh sb="3" eb="5">
      <t>シャナイ</t>
    </rPh>
    <rPh sb="6" eb="9">
      <t>ホショウショ</t>
    </rPh>
    <phoneticPr fontId="13"/>
  </si>
  <si>
    <t>ｼﾞｬｶﾞｰ XF S</t>
    <phoneticPr fontId="13"/>
  </si>
  <si>
    <t>長崎 331 ち 3311</t>
    <rPh sb="0" eb="2">
      <t>ナガサキ</t>
    </rPh>
    <phoneticPr fontId="13"/>
  </si>
  <si>
    <t>SAJBB4AV3HCY38359</t>
    <phoneticPr fontId="13"/>
  </si>
  <si>
    <t>有限会社ﾌﾘｰｳｪｲ</t>
    <rPh sb="0" eb="4">
      <t>ユウゲンカイシャ</t>
    </rPh>
    <phoneticPr fontId="13"/>
  </si>
  <si>
    <t>7/5/19</t>
    <phoneticPr fontId="13"/>
  </si>
  <si>
    <t>なにわ 302 さ 1288</t>
    <phoneticPr fontId="13"/>
  </si>
  <si>
    <t>ﾍﾞｲｵｰｸ</t>
    <phoneticPr fontId="13"/>
  </si>
  <si>
    <t>WMWXM720603B16679</t>
    <phoneticPr fontId="13"/>
  </si>
  <si>
    <t>玉川 民平</t>
    <rPh sb="0" eb="2">
      <t>タマカワ</t>
    </rPh>
    <rPh sb="3" eb="4">
      <t>ミン</t>
    </rPh>
    <rPh sb="4" eb="5">
      <t>ヘイ</t>
    </rPh>
    <phoneticPr fontId="13"/>
  </si>
  <si>
    <t>12/01</t>
    <phoneticPr fontId="13"/>
  </si>
  <si>
    <t>高知 343 ら 1</t>
    <rPh sb="0" eb="2">
      <t>コウチ</t>
    </rPh>
    <phoneticPr fontId="13"/>
  </si>
  <si>
    <t>WMWXS720602C50961</t>
    <phoneticPr fontId="13"/>
  </si>
  <si>
    <t>藤原 恭代</t>
    <rPh sb="0" eb="2">
      <t>フジワラ</t>
    </rPh>
    <rPh sb="3" eb="5">
      <t>ヤスヨ</t>
    </rPh>
    <phoneticPr fontId="13"/>
  </si>
  <si>
    <t>22/3</t>
    <phoneticPr fontId="13"/>
  </si>
  <si>
    <t>ｺﾍﾟﾝ ｱﾙﾃｨﾒｯﾄﾚｻﾞｰﾊﾟｯｹｰｼﾞ</t>
    <phoneticPr fontId="13"/>
  </si>
  <si>
    <t>奈良 580 ち 2443</t>
    <rPh sb="0" eb="2">
      <t>ナラ</t>
    </rPh>
    <phoneticPr fontId="13"/>
  </si>
  <si>
    <t>581 ゆ 6384</t>
    <phoneticPr fontId="13"/>
  </si>
  <si>
    <t>L880K-0052790</t>
    <phoneticPr fontId="13"/>
  </si>
  <si>
    <t>峯本 希容子</t>
    <rPh sb="0" eb="2">
      <t>ミネモト</t>
    </rPh>
    <rPh sb="3" eb="4">
      <t>ノゾミ</t>
    </rPh>
    <rPh sb="4" eb="6">
      <t>ヨウコ</t>
    </rPh>
    <phoneticPr fontId="13"/>
  </si>
  <si>
    <t>BMWﾐﾆｸｰﾊﾟｰ JCW</t>
    <phoneticPr fontId="13"/>
  </si>
  <si>
    <t>岡山 333 は 3298</t>
    <rPh sb="0" eb="2">
      <t>オカヤマ</t>
    </rPh>
    <phoneticPr fontId="13"/>
  </si>
  <si>
    <t>WMWXR920302L12756</t>
    <phoneticPr fontId="13"/>
  </si>
  <si>
    <t>株式会社ｱﾙｺﾝ岡山</t>
    <rPh sb="0" eb="4">
      <t>カブシキガイシャ</t>
    </rPh>
    <rPh sb="8" eb="10">
      <t>オカヤマ</t>
    </rPh>
    <phoneticPr fontId="13"/>
  </si>
  <si>
    <t>12/6</t>
    <phoneticPr fontId="13"/>
  </si>
  <si>
    <t>22/12</t>
    <phoneticPr fontId="13"/>
  </si>
  <si>
    <t>ｱﾙﾌｧﾛﾒｵ ﾌﾞﾚﾗ JTSQﾄﾛﾆｯｸｲﾀﾘｱﾝﾃﾞｨﾍﾟﾝﾃﾞﾝﾄ</t>
    <phoneticPr fontId="13"/>
  </si>
  <si>
    <t>福井 300 る 7429</t>
    <rPh sb="0" eb="2">
      <t>フクイ</t>
    </rPh>
    <phoneticPr fontId="13"/>
  </si>
  <si>
    <t>ﾀﾞｰｸﾁﾀﾆｳﾑ</t>
    <phoneticPr fontId="13"/>
  </si>
  <si>
    <t>ZAR93900005031399</t>
    <phoneticPr fontId="13"/>
  </si>
  <si>
    <t>12/14</t>
    <phoneticPr fontId="13"/>
  </si>
  <si>
    <t xml:space="preserve">ｷｰﾚｽ(車内)取説 </t>
    <rPh sb="5" eb="7">
      <t>シャナイ</t>
    </rPh>
    <rPh sb="8" eb="10">
      <t>トリセツ</t>
    </rPh>
    <phoneticPr fontId="13"/>
  </si>
  <si>
    <t>ｼﾞｬｶﾞｰ XF Rｽﾎﾟｰﾂ</t>
    <phoneticPr fontId="13"/>
  </si>
  <si>
    <t>和泉 329 て 6724</t>
    <rPh sb="0" eb="2">
      <t>イズミ</t>
    </rPh>
    <phoneticPr fontId="13"/>
  </si>
  <si>
    <t>SAJBB4AVXHCY30033</t>
    <phoneticPr fontId="13"/>
  </si>
  <si>
    <t>阪谷 昌宏</t>
    <rPh sb="0" eb="2">
      <t>サカタニ</t>
    </rPh>
    <rPh sb="3" eb="5">
      <t>マサヒロ</t>
    </rPh>
    <phoneticPr fontId="13"/>
  </si>
  <si>
    <t>8/2/1</t>
    <phoneticPr fontId="13"/>
  </si>
  <si>
    <t>一宮 331 り 56</t>
    <rPh sb="0" eb="2">
      <t>イチノミヤ</t>
    </rPh>
    <phoneticPr fontId="13"/>
  </si>
  <si>
    <t>301 ぬ 1581</t>
    <phoneticPr fontId="13"/>
  </si>
  <si>
    <t>WMWXR92060TP20825</t>
    <phoneticPr fontId="13"/>
  </si>
  <si>
    <t>愛知ﾄﾖﾀWEST株式会社</t>
    <rPh sb="0" eb="2">
      <t>アイチ</t>
    </rPh>
    <rPh sb="9" eb="13">
      <t>カブシキガイシャ</t>
    </rPh>
    <phoneticPr fontId="13"/>
  </si>
  <si>
    <t>12/15</t>
    <phoneticPr fontId="13"/>
  </si>
  <si>
    <t>ｼﾞｬｶﾞｰXE S</t>
    <phoneticPr fontId="13"/>
  </si>
  <si>
    <t>神戸 303 は 5143</t>
    <rPh sb="0" eb="2">
      <t>コウベ</t>
    </rPh>
    <phoneticPr fontId="13"/>
  </si>
  <si>
    <t>SAJAB4AV0HA963066</t>
    <phoneticPr fontId="13"/>
  </si>
  <si>
    <t>株式会社神戸ﾏﾂﾀﾞ</t>
    <rPh sb="0" eb="4">
      <t>カブシキカイシャ</t>
    </rPh>
    <rPh sb="4" eb="6">
      <t>コウベ</t>
    </rPh>
    <phoneticPr fontId="13"/>
  </si>
  <si>
    <t>4/12</t>
    <phoneticPr fontId="13"/>
  </si>
  <si>
    <t>ﾌﾟｼﾞｮｰ308 GTﾌﾞﾙｰHdi</t>
    <phoneticPr fontId="13"/>
  </si>
  <si>
    <t>7/12/26</t>
    <phoneticPr fontId="13"/>
  </si>
  <si>
    <t>名古屋 335 つ 2131</t>
    <rPh sb="0" eb="3">
      <t>ナゴヤ</t>
    </rPh>
    <phoneticPr fontId="13"/>
  </si>
  <si>
    <t>343 ひ 308</t>
    <phoneticPr fontId="13"/>
  </si>
  <si>
    <t>JU愛知</t>
    <rPh sb="2" eb="4">
      <t>アイチ</t>
    </rPh>
    <phoneticPr fontId="13"/>
  </si>
  <si>
    <t>VR3FBYHZTNY620272</t>
    <phoneticPr fontId="13"/>
  </si>
  <si>
    <t>株式会社ZERO</t>
    <rPh sb="0" eb="4">
      <t>カブシキガイシャ</t>
    </rPh>
    <phoneticPr fontId="13"/>
  </si>
  <si>
    <t>21/9</t>
    <phoneticPr fontId="13"/>
  </si>
  <si>
    <t>ｱｳﾃﾞｨ RS6ｱﾊﾞﾝﾄ</t>
    <phoneticPr fontId="13"/>
  </si>
  <si>
    <t>8/10/3</t>
    <phoneticPr fontId="13"/>
  </si>
  <si>
    <t>尾張小牧 302 る 3166</t>
    <rPh sb="0" eb="4">
      <t>オワリコマキ</t>
    </rPh>
    <phoneticPr fontId="13"/>
  </si>
  <si>
    <t>保証書 取説 ｽﾍﾟｱｷｰ ﾌﾟﾗｷｰ</t>
    <rPh sb="0" eb="3">
      <t>ホショウショ</t>
    </rPh>
    <rPh sb="4" eb="6">
      <t>トリセツ</t>
    </rPh>
    <phoneticPr fontId="13"/>
  </si>
  <si>
    <t>WUAZZZ4F99N900530</t>
    <phoneticPr fontId="13"/>
  </si>
  <si>
    <t>森 和男</t>
    <rPh sb="0" eb="1">
      <t>モリ</t>
    </rPh>
    <rPh sb="2" eb="4">
      <t>カズオ</t>
    </rPh>
    <phoneticPr fontId="13"/>
  </si>
  <si>
    <t>12/19</t>
    <phoneticPr fontId="13"/>
  </si>
  <si>
    <t>保証書 取説 ｷｰﾚｽ ﾌﾟﾗｷ-</t>
    <rPh sb="0" eb="3">
      <t>ホショウショ</t>
    </rPh>
    <rPh sb="4" eb="6">
      <t>トリセツ</t>
    </rPh>
    <phoneticPr fontId="13"/>
  </si>
  <si>
    <t>30/11</t>
    <phoneticPr fontId="13"/>
  </si>
  <si>
    <t>ﾎﾞﾙﾎﾞV40 T5 Rﾃﾞｻﾞｲﾝ</t>
    <phoneticPr fontId="13"/>
  </si>
  <si>
    <t>堺 374 と 77</t>
    <rPh sb="0" eb="1">
      <t>サカイ</t>
    </rPh>
    <phoneticPr fontId="13"/>
  </si>
  <si>
    <t>301 ぬ 1120</t>
    <phoneticPr fontId="13"/>
  </si>
  <si>
    <t>YV1MV402DJ2504513</t>
    <phoneticPr fontId="13"/>
  </si>
  <si>
    <t>抹消</t>
    <rPh sb="0" eb="2">
      <t>マッショウ</t>
    </rPh>
    <phoneticPr fontId="13"/>
  </si>
  <si>
    <t>久留米 399 つ 3085</t>
    <rPh sb="0" eb="3">
      <t>クルメ</t>
    </rPh>
    <phoneticPr fontId="13"/>
  </si>
  <si>
    <t>ﾚﾝﾀｶｰ</t>
    <phoneticPr fontId="13"/>
  </si>
  <si>
    <t>WMWXR920X0TP20715</t>
    <phoneticPr fontId="13"/>
  </si>
  <si>
    <t>株式会社SIC</t>
    <rPh sb="0" eb="4">
      <t>カブシキガイシャ</t>
    </rPh>
    <phoneticPr fontId="13"/>
  </si>
  <si>
    <t>12/26</t>
    <phoneticPr fontId="13"/>
  </si>
  <si>
    <t>保証書 取説(車内)ﾚﾝﾀｶｰ</t>
    <rPh sb="0" eb="3">
      <t>ホショウショ</t>
    </rPh>
    <rPh sb="4" eb="6">
      <t>トリセツ</t>
    </rPh>
    <phoneticPr fontId="13"/>
  </si>
  <si>
    <t>8/6/28</t>
    <phoneticPr fontId="13"/>
  </si>
  <si>
    <t>神戸 334 せ 1962</t>
    <rPh sb="0" eb="2">
      <t>コウベ</t>
    </rPh>
    <phoneticPr fontId="13"/>
  </si>
  <si>
    <t>301 ぬ 1582</t>
    <phoneticPr fontId="13"/>
  </si>
  <si>
    <t>WMWXM720002A77092</t>
    <phoneticPr fontId="13"/>
  </si>
  <si>
    <t>大西 敏也</t>
    <rPh sb="0" eb="2">
      <t>オオニシ</t>
    </rPh>
    <rPh sb="3" eb="5">
      <t>トシヤ</t>
    </rPh>
    <phoneticPr fontId="13"/>
  </si>
  <si>
    <t>BMWﾐﾆ ｸﾛｽｵｰﾊﾞｰ JCWALL4</t>
    <phoneticPr fontId="13"/>
  </si>
  <si>
    <t>札幌 343 ふ 500</t>
    <rPh sb="0" eb="2">
      <t>サッポロ</t>
    </rPh>
    <phoneticPr fontId="13"/>
  </si>
  <si>
    <t>301 ぬ 1214</t>
    <phoneticPr fontId="13"/>
  </si>
  <si>
    <t>WMWYV920803E43341</t>
    <phoneticPr fontId="13"/>
  </si>
  <si>
    <t>株式会社ﾓﾄｰﾚﾝ札幌</t>
    <rPh sb="0" eb="4">
      <t>カブシキガイシャ</t>
    </rPh>
    <rPh sb="9" eb="11">
      <t>サッポロ</t>
    </rPh>
    <phoneticPr fontId="13"/>
  </si>
  <si>
    <t>保証書 取説 ｷｰﾚｽ 車庫出しOK</t>
    <rPh sb="0" eb="3">
      <t>ホショウショ</t>
    </rPh>
    <rPh sb="4" eb="6">
      <t>トリセツ</t>
    </rPh>
    <rPh sb="12" eb="15">
      <t>シャコダ</t>
    </rPh>
    <phoneticPr fontId="13"/>
  </si>
  <si>
    <t>保証書R6距離ﾃﾞｨｰﾗｰ訂正済</t>
    <rPh sb="0" eb="3">
      <t>ホショウショ</t>
    </rPh>
    <rPh sb="5" eb="7">
      <t>キョリ</t>
    </rPh>
    <rPh sb="13" eb="15">
      <t>テイセイ</t>
    </rPh>
    <rPh sb="15" eb="16">
      <t>ズ</t>
    </rPh>
    <phoneticPr fontId="13"/>
  </si>
  <si>
    <t>8/10/29</t>
    <phoneticPr fontId="13"/>
  </si>
  <si>
    <t>大阪 342 と 329</t>
    <rPh sb="0" eb="2">
      <t>オオサカ</t>
    </rPh>
    <phoneticPr fontId="13"/>
  </si>
  <si>
    <t>301 ぬ 2278</t>
    <phoneticPr fontId="13"/>
  </si>
  <si>
    <t>WMWXT320402F06763</t>
    <phoneticPr fontId="13"/>
  </si>
  <si>
    <t>株式会社ﾎﾝﾀﾞﾓﾋﾞﾘﾃｨ近畿</t>
    <rPh sb="0" eb="4">
      <t>カブシキカイシャ</t>
    </rPh>
    <rPh sb="14" eb="16">
      <t>キンキ</t>
    </rPh>
    <phoneticPr fontId="13"/>
  </si>
  <si>
    <t>取説（車内）</t>
    <rPh sb="0" eb="2">
      <t>トリセツ</t>
    </rPh>
    <rPh sb="3" eb="5">
      <t>シャナイ</t>
    </rPh>
    <phoneticPr fontId="13"/>
  </si>
  <si>
    <t>BMWﾐﾆ ｸｰﾊﾟｰD ｸﾗﾌﾞﾏﾝ</t>
    <phoneticPr fontId="13"/>
  </si>
  <si>
    <t>8/11</t>
    <phoneticPr fontId="13"/>
  </si>
  <si>
    <t>横浜 34F つ 11</t>
    <rPh sb="0" eb="2">
      <t>ヨコハマ</t>
    </rPh>
    <phoneticPr fontId="13"/>
  </si>
  <si>
    <t>301 ぬ 2279</t>
    <phoneticPr fontId="13"/>
  </si>
  <si>
    <t>WMW32BC0102N67057</t>
    <phoneticPr fontId="13"/>
  </si>
  <si>
    <t>株式会社ｼｭﾃﾙﾝ世田谷</t>
    <rPh sb="0" eb="4">
      <t>カブシキガイシャ</t>
    </rPh>
    <rPh sb="9" eb="12">
      <t>セタガヤ</t>
    </rPh>
    <phoneticPr fontId="13"/>
  </si>
  <si>
    <t>1/21</t>
    <phoneticPr fontId="13"/>
  </si>
  <si>
    <t>ｱｳﾃﾞｨ  S1 ｽﾎﾟｰﾂﾊﾞｯｸ</t>
    <phoneticPr fontId="13"/>
  </si>
  <si>
    <t>横浜 306 せ 915</t>
    <rPh sb="0" eb="2">
      <t>ヨコハマ</t>
    </rPh>
    <phoneticPr fontId="13"/>
  </si>
  <si>
    <t>整備手帳 取説 ｽﾍﾟｱｷｰ</t>
    <rPh sb="0" eb="4">
      <t>セイビテチョウ</t>
    </rPh>
    <rPh sb="5" eb="7">
      <t>トリセツ</t>
    </rPh>
    <phoneticPr fontId="13"/>
  </si>
  <si>
    <t>301 ぬ 2891</t>
    <phoneticPr fontId="13"/>
  </si>
  <si>
    <t>WAUZZZ8X2FB002815</t>
    <phoneticPr fontId="13"/>
  </si>
  <si>
    <t>7/3/9</t>
    <phoneticPr fontId="13"/>
  </si>
  <si>
    <t>堺 328 る 88</t>
    <rPh sb="0" eb="1">
      <t>サカイ</t>
    </rPh>
    <phoneticPr fontId="13"/>
  </si>
  <si>
    <t>35C り 5</t>
    <phoneticPr fontId="13"/>
  </si>
  <si>
    <t>A261322</t>
    <phoneticPr fontId="13"/>
  </si>
  <si>
    <t>AGH30-0305997</t>
    <phoneticPr fontId="13"/>
  </si>
  <si>
    <t>福田 淳</t>
    <rPh sb="0" eb="2">
      <t>フクダ</t>
    </rPh>
    <rPh sb="3" eb="4">
      <t>ジュン</t>
    </rPh>
    <phoneticPr fontId="13"/>
  </si>
  <si>
    <t>ｼﾄﾛｴﾝｸﾞﾗﾝﾄﾞC4 ﾋﾟｶｿ</t>
    <phoneticPr fontId="13"/>
  </si>
  <si>
    <t>岡山 330 ま 2574</t>
    <rPh sb="0" eb="2">
      <t>オカヤマ</t>
    </rPh>
    <phoneticPr fontId="13"/>
  </si>
  <si>
    <t>VF73AAHXTHJ807009</t>
    <phoneticPr fontId="13"/>
  </si>
  <si>
    <t>山陽村上ﾓｰﾀｰ株式会社</t>
    <rPh sb="0" eb="2">
      <t>サンヨウ</t>
    </rPh>
    <rPh sb="2" eb="4">
      <t>ムラカミ</t>
    </rPh>
    <rPh sb="8" eb="12">
      <t>カブシキガイシャ</t>
    </rPh>
    <phoneticPr fontId="13"/>
  </si>
  <si>
    <t>2/4</t>
    <phoneticPr fontId="13"/>
  </si>
  <si>
    <t>ｷｰﾚｽ（車内）保証書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</si>
  <si>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ﾌﾚｱﾜｺﾞﾝｶｽﾀﾑ ｽﾀｲﾙﾊｲﾌﾞﾘｯﾄﾞXS</t>
    <phoneticPr fontId="13"/>
  </si>
  <si>
    <t>神戸 583 す 6010</t>
    <rPh sb="0" eb="2">
      <t>コウベ</t>
    </rPh>
    <phoneticPr fontId="13"/>
  </si>
  <si>
    <t>MM53S-732707</t>
    <phoneticPr fontId="13"/>
  </si>
  <si>
    <t>株式会社神戸ﾏﾂﾀﾞ</t>
    <rPh sb="0" eb="4">
      <t>カブシキガイシャ</t>
    </rPh>
    <rPh sb="4" eb="6">
      <t>コウベ</t>
    </rPh>
    <phoneticPr fontId="13"/>
  </si>
  <si>
    <t>1/3</t>
    <phoneticPr fontId="13"/>
  </si>
  <si>
    <t>CX-5 20Sﾌﾟﾛｱｸﾃｨﾌﾞ</t>
    <phoneticPr fontId="13"/>
  </si>
  <si>
    <t>8/3/28</t>
    <phoneticPr fontId="13"/>
  </si>
  <si>
    <t>岐阜 302 ほ 9063</t>
    <rPh sb="0" eb="2">
      <t>ギフ</t>
    </rPh>
    <phoneticPr fontId="13"/>
  </si>
  <si>
    <t>301 ぬ 4332</t>
    <phoneticPr fontId="13"/>
  </si>
  <si>
    <t>A260630</t>
    <phoneticPr fontId="13"/>
  </si>
  <si>
    <t>KFEP-303140</t>
    <phoneticPr fontId="13"/>
  </si>
  <si>
    <t>起 宗将</t>
    <rPh sb="0" eb="1">
      <t>オ</t>
    </rPh>
    <rPh sb="2" eb="3">
      <t>ソウ</t>
    </rPh>
    <rPh sb="3" eb="4">
      <t>マサル</t>
    </rPh>
    <phoneticPr fontId="13"/>
  </si>
  <si>
    <t>22/4</t>
    <phoneticPr fontId="13"/>
  </si>
  <si>
    <t>7/6/12</t>
    <phoneticPr fontId="13"/>
  </si>
  <si>
    <t>三重 586 う 1234</t>
    <rPh sb="0" eb="2">
      <t>ミエ</t>
    </rPh>
    <phoneticPr fontId="13"/>
  </si>
  <si>
    <t>581 よ 1806</t>
    <phoneticPr fontId="13"/>
  </si>
  <si>
    <t>L880K-0052883</t>
    <phoneticPr fontId="13"/>
  </si>
  <si>
    <t>谷口 肇</t>
    <rPh sb="0" eb="2">
      <t>タニグチ</t>
    </rPh>
    <rPh sb="3" eb="4">
      <t>ハジメ</t>
    </rPh>
    <phoneticPr fontId="13"/>
  </si>
  <si>
    <t>2/6</t>
    <phoneticPr fontId="13"/>
  </si>
  <si>
    <t>BMWﾐﾆ ｸｰﾊﾟｰSDｵｰﾙ4ｸﾛｽｵｰﾊﾞｰ</t>
    <phoneticPr fontId="13"/>
  </si>
  <si>
    <t>神戸 346 に 3110</t>
    <rPh sb="0" eb="2">
      <t>コウベ</t>
    </rPh>
    <phoneticPr fontId="13"/>
  </si>
  <si>
    <t>WMWZZBU0303N98590</t>
    <phoneticPr fontId="13"/>
  </si>
  <si>
    <t>齊藤 泉</t>
    <rPh sb="0" eb="2">
      <t>サイトウ</t>
    </rPh>
    <rPh sb="3" eb="4">
      <t>イズミ</t>
    </rPh>
    <phoneticPr fontId="13"/>
  </si>
  <si>
    <t>徳島 335 は 37</t>
    <rPh sb="0" eb="2">
      <t>トクシマ</t>
    </rPh>
    <phoneticPr fontId="13"/>
  </si>
  <si>
    <t>WMWXR920802L12350</t>
    <phoneticPr fontId="13"/>
  </si>
  <si>
    <t>徳島ﾄﾖﾀ自動車株式会社</t>
    <rPh sb="0" eb="2">
      <t>トクシマ</t>
    </rPh>
    <rPh sb="5" eb="8">
      <t>ジドウシャ</t>
    </rPh>
    <rPh sb="8" eb="12">
      <t>カブシキガイシャ</t>
    </rPh>
    <phoneticPr fontId="13"/>
  </si>
  <si>
    <t>保証書 取説(車内)ﾜﾝｵｰﾅｰ</t>
    <rPh sb="0" eb="3">
      <t>ホショウショ</t>
    </rPh>
    <rPh sb="4" eb="6">
      <t>トリセツ</t>
    </rPh>
    <phoneticPr fontId="13"/>
  </si>
  <si>
    <t>広島 336 す 357</t>
    <rPh sb="0" eb="2">
      <t>ヒロシマ</t>
    </rPh>
    <phoneticPr fontId="13"/>
  </si>
  <si>
    <t>301 ぬ 4634</t>
    <phoneticPr fontId="13"/>
  </si>
  <si>
    <t>WMWLN720702H57325</t>
    <phoneticPr fontId="13"/>
  </si>
  <si>
    <t>ﾄﾖﾀｶﾛｰﾗ広島株式会社</t>
    <rPh sb="7" eb="9">
      <t>ヒロシマ</t>
    </rPh>
    <rPh sb="9" eb="13">
      <t>カブシキガイシャ</t>
    </rPh>
    <phoneticPr fontId="13"/>
  </si>
  <si>
    <t>福岡 330 せ 5247</t>
    <rPh sb="0" eb="2">
      <t>フクオカ</t>
    </rPh>
    <phoneticPr fontId="13"/>
  </si>
  <si>
    <t>SAJAB4AV7JCP34023</t>
    <phoneticPr fontId="13"/>
  </si>
  <si>
    <t>福岡ﾄﾖﾀ自動車株式会社</t>
    <rPh sb="0" eb="2">
      <t>フクオカ</t>
    </rPh>
    <rPh sb="5" eb="8">
      <t>ジドウシャ</t>
    </rPh>
    <rPh sb="8" eb="12">
      <t>カブシキガイシャ</t>
    </rPh>
    <phoneticPr fontId="13"/>
  </si>
  <si>
    <t>19/6</t>
    <phoneticPr fontId="13"/>
  </si>
  <si>
    <t>BMW M6</t>
    <phoneticPr fontId="13"/>
  </si>
  <si>
    <t>所沢 352 め 11</t>
    <rPh sb="0" eb="2">
      <t>トコロザワ</t>
    </rPh>
    <phoneticPr fontId="13"/>
  </si>
  <si>
    <t>WBSEH92000CM77096</t>
    <phoneticPr fontId="13"/>
  </si>
  <si>
    <t>中田 淳</t>
    <rPh sb="0" eb="2">
      <t>ナカタ</t>
    </rPh>
    <rPh sb="3" eb="4">
      <t>アツシ</t>
    </rPh>
    <phoneticPr fontId="13"/>
  </si>
  <si>
    <t>保証書 その他取説 ﾘﾓｺﾝ3個</t>
    <rPh sb="0" eb="3">
      <t>ホショウショ</t>
    </rPh>
    <rPh sb="6" eb="7">
      <t>タ</t>
    </rPh>
    <rPh sb="7" eb="9">
      <t>トリセツ</t>
    </rPh>
    <rPh sb="15" eb="16">
      <t>コ</t>
    </rPh>
    <phoneticPr fontId="13"/>
  </si>
  <si>
    <t>ﾎﾞﾙﾎﾞ V40 D4</t>
    <phoneticPr fontId="13"/>
  </si>
  <si>
    <t>神戸 318 な 8080</t>
    <rPh sb="0" eb="2">
      <t>コウベ</t>
    </rPh>
    <phoneticPr fontId="13"/>
  </si>
  <si>
    <t>TAA兵庫</t>
    <rPh sb="3" eb="5">
      <t>ヒョウゴ</t>
    </rPh>
    <phoneticPr fontId="13"/>
  </si>
  <si>
    <t>YV1MVA8RDK2547513</t>
    <phoneticPr fontId="13"/>
  </si>
  <si>
    <t>兵庫ｽﾊﾞﾙ自動車株式会社</t>
    <rPh sb="0" eb="2">
      <t>ヒョウゴ</t>
    </rPh>
    <rPh sb="6" eb="13">
      <t>ジドウシャカブシキガイシャ</t>
    </rPh>
    <phoneticPr fontId="13"/>
  </si>
  <si>
    <t>2/13</t>
    <phoneticPr fontId="13"/>
  </si>
  <si>
    <t>ｷｰﾚｽ（車内）保証書 取説</t>
    <rPh sb="5" eb="7">
      <t>シャナイ</t>
    </rPh>
    <rPh sb="8" eb="11">
      <t>ホショウショ</t>
    </rPh>
    <rPh sb="12" eb="14">
      <t>トリセツ</t>
    </rPh>
    <phoneticPr fontId="13"/>
  </si>
  <si>
    <t>ｱｳﾃﾞｨQ3 TFSI ｸﾜﾄﾛ</t>
    <phoneticPr fontId="13"/>
  </si>
  <si>
    <t>札幌 399 ほ 223</t>
    <rPh sb="0" eb="2">
      <t>サッポロ</t>
    </rPh>
    <phoneticPr fontId="13"/>
  </si>
  <si>
    <t xml:space="preserve"> 整備手帳 取説</t>
    <rPh sb="1" eb="5">
      <t>セイビテチョウ</t>
    </rPh>
    <rPh sb="6" eb="8">
      <t>トリセツ</t>
    </rPh>
    <phoneticPr fontId="13"/>
  </si>
  <si>
    <t>WAUZZZ8U5FR033019</t>
    <phoneticPr fontId="13"/>
  </si>
  <si>
    <t>2/15</t>
    <phoneticPr fontId="13"/>
  </si>
  <si>
    <t>ｱﾙﾌｧﾛﾒｵ ｽﾃﾙｳﾞｨｵ2.2ﾀｰﾎﾞﾃﾞｨｰｾﾞﾙQ4</t>
    <phoneticPr fontId="13"/>
  </si>
  <si>
    <t>8/5/30</t>
    <phoneticPr fontId="13"/>
  </si>
  <si>
    <t>名古屋 398 つ 2</t>
    <rPh sb="0" eb="3">
      <t>ナゴヤ</t>
    </rPh>
    <phoneticPr fontId="13"/>
  </si>
  <si>
    <t>301 ぬ 4007</t>
    <phoneticPr fontId="13"/>
  </si>
  <si>
    <t>ZARPAHGX3K7C53684</t>
    <phoneticPr fontId="13"/>
  </si>
  <si>
    <t>保証書 取説 ﾘﾓｺﾝ ｷｰﾚｽ</t>
    <rPh sb="0" eb="3">
      <t>ホショウショ</t>
    </rPh>
    <rPh sb="4" eb="6">
      <t>トリセツ</t>
    </rPh>
    <phoneticPr fontId="13"/>
  </si>
  <si>
    <t>ｱﾙﾄﾗﾊﾟﾝ ﾓｰﾄﾞ</t>
    <phoneticPr fontId="13"/>
  </si>
  <si>
    <t>7/10/28</t>
    <phoneticPr fontId="13"/>
  </si>
  <si>
    <t>富山 581 さ 7986</t>
    <rPh sb="0" eb="2">
      <t>トヤマ</t>
    </rPh>
    <phoneticPr fontId="13"/>
  </si>
  <si>
    <t>581 よ 4002</t>
    <phoneticPr fontId="13"/>
  </si>
  <si>
    <t>HE33S-300071</t>
    <phoneticPr fontId="13"/>
  </si>
  <si>
    <t>保証書 取説 ﾅﾋﾞ取説 ﾜﾝｵｰﾅｰ ｷｰﾚｽ</t>
    <rPh sb="0" eb="3">
      <t>ホショウショ</t>
    </rPh>
    <rPh sb="4" eb="6">
      <t>トリセツ</t>
    </rPh>
    <rPh sb="10" eb="12">
      <t>トリセツ</t>
    </rPh>
    <phoneticPr fontId="13"/>
  </si>
  <si>
    <t>ﾅﾝﾊﾞｰ持ち出し中</t>
    <rPh sb="5" eb="6">
      <t>モ</t>
    </rPh>
    <rPh sb="7" eb="8">
      <t>ダ</t>
    </rPh>
    <rPh sb="9" eb="10">
      <t>チュウ</t>
    </rPh>
    <phoneticPr fontId="13"/>
  </si>
  <si>
    <t>ﾎﾞﾙﾎﾞV40 ｸﾛｽｶﾝﾄﾘｰD4ｱｸﾃｨﾌﾞED</t>
    <phoneticPr fontId="13"/>
  </si>
  <si>
    <t>栃木 342 つ 3588</t>
    <rPh sb="0" eb="2">
      <t>トチギ</t>
    </rPh>
    <phoneticPr fontId="13"/>
  </si>
  <si>
    <t>301 ぬ 3625</t>
    <phoneticPr fontId="13"/>
  </si>
  <si>
    <t>CAA東京（まとめ）</t>
    <rPh sb="3" eb="5">
      <t>トウキョウ</t>
    </rPh>
    <phoneticPr fontId="13"/>
  </si>
  <si>
    <t>YV1MZA8RDJ2155250</t>
    <phoneticPr fontId="13"/>
  </si>
  <si>
    <t>株式会社ｱﾌﾟﾗｽ</t>
    <rPh sb="0" eb="4">
      <t>カブシキガイシャ</t>
    </rPh>
    <phoneticPr fontId="13"/>
  </si>
  <si>
    <t>2/25</t>
    <phoneticPr fontId="13"/>
  </si>
  <si>
    <t>保証書 取説 ﾘﾓｺﾝ</t>
    <rPh sb="0" eb="3">
      <t>ホショウショ</t>
    </rPh>
    <rPh sb="4" eb="6">
      <t>トリセツ</t>
    </rPh>
    <phoneticPr fontId="13"/>
  </si>
  <si>
    <t>千葉 326 さ 6373</t>
    <rPh sb="0" eb="2">
      <t>チバ</t>
    </rPh>
    <phoneticPr fontId="13"/>
  </si>
  <si>
    <t>TAA関東</t>
    <rPh sb="3" eb="5">
      <t>カントウ</t>
    </rPh>
    <phoneticPr fontId="13"/>
  </si>
  <si>
    <t>WMWXT320402H68041</t>
    <phoneticPr fontId="13"/>
  </si>
  <si>
    <t>千葉ｽﾊﾞﾙ株式会社</t>
    <rPh sb="0" eb="2">
      <t>チバ</t>
    </rPh>
    <rPh sb="6" eb="10">
      <t>カブシキガイシャ</t>
    </rPh>
    <phoneticPr fontId="13"/>
  </si>
  <si>
    <t>ｷｰﾚｽ(車内)保証書 取説</t>
    <rPh sb="8" eb="11">
      <t>ホショウショ</t>
    </rPh>
    <rPh sb="12" eb="14">
      <t>トリセツ</t>
    </rPh>
    <phoneticPr fontId="13"/>
  </si>
  <si>
    <t>26/5</t>
    <phoneticPr fontId="13"/>
  </si>
  <si>
    <t>ﾊｽﾗｰ Xﾀｰﾎﾞ</t>
    <phoneticPr fontId="13"/>
  </si>
  <si>
    <t>名古屋 58A ね 8851</t>
    <rPh sb="0" eb="3">
      <t>ナゴヤ</t>
    </rPh>
    <phoneticPr fontId="13"/>
  </si>
  <si>
    <t>581よ 4004</t>
    <phoneticPr fontId="13"/>
  </si>
  <si>
    <t>MR31S-809824</t>
    <phoneticPr fontId="13"/>
  </si>
  <si>
    <t>有限会社坂元商会</t>
    <rPh sb="0" eb="4">
      <t>ユウゲンガイシャ</t>
    </rPh>
    <rPh sb="4" eb="6">
      <t>サカモト</t>
    </rPh>
    <rPh sb="6" eb="8">
      <t>ショウカイ</t>
    </rPh>
    <phoneticPr fontId="13"/>
  </si>
  <si>
    <t>2/27</t>
    <phoneticPr fontId="13"/>
  </si>
  <si>
    <t>ﾐﾗｺｺｱ ﾌﾟﾗｽX</t>
    <phoneticPr fontId="13"/>
  </si>
  <si>
    <t>8/3/14</t>
    <phoneticPr fontId="13"/>
  </si>
  <si>
    <t>松本 584 せ 626</t>
    <rPh sb="0" eb="2">
      <t>マツモト</t>
    </rPh>
    <phoneticPr fontId="13"/>
  </si>
  <si>
    <t>自賠責 ﾘｻｲｸﾙ券 JU愛知返送済2/21</t>
    <rPh sb="0" eb="3">
      <t>ジバイセキ</t>
    </rPh>
    <rPh sb="9" eb="10">
      <t>ケン</t>
    </rPh>
    <rPh sb="13" eb="15">
      <t>アイチ</t>
    </rPh>
    <rPh sb="15" eb="18">
      <t>ヘンソウスミ</t>
    </rPh>
    <phoneticPr fontId="13"/>
  </si>
  <si>
    <t>581 よ 4017</t>
    <phoneticPr fontId="13"/>
  </si>
  <si>
    <t>L675S-0219609</t>
    <phoneticPr fontId="13"/>
  </si>
  <si>
    <t>伊藤 杏奈</t>
    <rPh sb="0" eb="2">
      <t>イトウ</t>
    </rPh>
    <rPh sb="3" eb="5">
      <t>アンナ</t>
    </rPh>
    <phoneticPr fontId="13"/>
  </si>
  <si>
    <t>保証書 取説(車内)</t>
    <rPh sb="0" eb="3">
      <t>ホショウショ</t>
    </rPh>
    <rPh sb="4" eb="6">
      <t>トリセツ</t>
    </rPh>
    <phoneticPr fontId="13"/>
  </si>
  <si>
    <t>ｼﾞｬｶﾞｰXF Rｽﾎﾟｰﾂｱﾄﾞﾊﾞﾝｽﾄﾞﾊﾟｰｸｱｼｽﾄﾊﾞｯｸ</t>
    <phoneticPr fontId="13"/>
  </si>
  <si>
    <t>千葉 326 さ 8104</t>
    <rPh sb="0" eb="2">
      <t>チバ</t>
    </rPh>
    <phoneticPr fontId="13"/>
  </si>
  <si>
    <t>保証書 取説 Sｽﾏｰﾄｷｰ</t>
    <rPh sb="0" eb="3">
      <t>ホショウショ</t>
    </rPh>
    <rPh sb="4" eb="6">
      <t>トリセツ</t>
    </rPh>
    <phoneticPr fontId="13"/>
  </si>
  <si>
    <t>SAJBB4AV5GCY00226</t>
    <phoneticPr fontId="13"/>
  </si>
  <si>
    <t>ｼﾞﾑﾆｰ W</t>
    <phoneticPr fontId="13"/>
  </si>
  <si>
    <t>7/7/26</t>
    <phoneticPr fontId="13"/>
  </si>
  <si>
    <t>岐阜 580 す 3714</t>
    <rPh sb="0" eb="2">
      <t>ギフ</t>
    </rPh>
    <phoneticPr fontId="13"/>
  </si>
  <si>
    <t>581 よ 8752</t>
    <phoneticPr fontId="13"/>
  </si>
  <si>
    <t>JB23W-518459</t>
    <phoneticPr fontId="13"/>
  </si>
  <si>
    <t>星川 晏秀</t>
    <rPh sb="0" eb="2">
      <t>ホシカワ</t>
    </rPh>
    <rPh sb="4" eb="5">
      <t>ヒデ</t>
    </rPh>
    <phoneticPr fontId="13"/>
  </si>
  <si>
    <t>保証書 取説 ﾅﾋﾞ取 ｽﾍﾟｱｷｰ車内写真あり</t>
    <rPh sb="0" eb="3">
      <t>ホショウショ</t>
    </rPh>
    <rPh sb="4" eb="6">
      <t>トリセツ</t>
    </rPh>
    <rPh sb="10" eb="11">
      <t>トリ</t>
    </rPh>
    <rPh sb="18" eb="20">
      <t>シャナイ</t>
    </rPh>
    <rPh sb="20" eb="22">
      <t>シャシン</t>
    </rPh>
    <phoneticPr fontId="13"/>
  </si>
  <si>
    <t>BMWﾐﾆｸｰﾊﾟｰ ｱｲｽﾌﾞﾙｰｴﾃﾞｨｼｮﾝ</t>
    <phoneticPr fontId="13"/>
  </si>
  <si>
    <t>京都 399 ろ 8128</t>
    <rPh sb="0" eb="2">
      <t>キョウト</t>
    </rPh>
    <phoneticPr fontId="13"/>
  </si>
  <si>
    <t>保証書  取説 ｽﾍﾟｱｷｰ ﾚﾝﾀｶｰ</t>
    <rPh sb="5" eb="7">
      <t>トリセツ</t>
    </rPh>
    <phoneticPr fontId="13"/>
  </si>
  <si>
    <t>WMWXR32090TL99554</t>
    <phoneticPr fontId="13"/>
  </si>
  <si>
    <t>O-RUSHｲﾝﾀｰﾅｼｮﾅﾙ株式会社</t>
    <rPh sb="15" eb="19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</si>
  <si>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</si>
  <si>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8/3/24</t>
    <phoneticPr fontId="13"/>
  </si>
  <si>
    <t>神戸 302 ゆ 4728</t>
    <rPh sb="0" eb="2">
      <t>コウベ</t>
    </rPh>
    <phoneticPr fontId="13"/>
  </si>
  <si>
    <t>301 ぬ 4635</t>
    <phoneticPr fontId="13"/>
  </si>
  <si>
    <t>WAUZZZ8X3FB008896</t>
    <phoneticPr fontId="13"/>
  </si>
  <si>
    <t>増井 一博</t>
    <rPh sb="0" eb="2">
      <t>マスイ</t>
    </rPh>
    <rPh sb="3" eb="5">
      <t>カズヒロ</t>
    </rPh>
    <phoneticPr fontId="13"/>
  </si>
  <si>
    <r>
      <t xml:space="preserve">保証書 取説 ｷｰﾚｽ ﾜﾝｵｰﾅｰ </t>
    </r>
    <r>
      <rPr>
        <sz val="10"/>
        <color theme="4" tint="-0.499984740745262"/>
        <rFont val="ＭＳ Ｐゴシック"/>
        <family val="3"/>
        <charset val="128"/>
        <scheme val="minor"/>
      </rPr>
      <t>会長連絡済</t>
    </r>
    <rPh sb="0" eb="3">
      <t>ホショウショ</t>
    </rPh>
    <rPh sb="4" eb="6">
      <t>トリセツ</t>
    </rPh>
    <rPh sb="19" eb="21">
      <t>カイチョウ</t>
    </rPh>
    <rPh sb="21" eb="23">
      <t>レンラク</t>
    </rPh>
    <rPh sb="23" eb="24">
      <t>ズ</t>
    </rPh>
    <phoneticPr fontId="13"/>
  </si>
  <si>
    <t>保証書訂正済</t>
    <rPh sb="0" eb="3">
      <t>ホショウショ</t>
    </rPh>
    <rPh sb="3" eb="5">
      <t>テイセイ</t>
    </rPh>
    <rPh sb="5" eb="6">
      <t>ズ</t>
    </rPh>
    <phoneticPr fontId="13"/>
  </si>
  <si>
    <t>横浜 387 せ 15</t>
    <rPh sb="0" eb="2">
      <t>ヨコハマ</t>
    </rPh>
    <phoneticPr fontId="13"/>
  </si>
  <si>
    <t>取説 予備キー</t>
    <rPh sb="0" eb="2">
      <t>トリセツ</t>
    </rPh>
    <rPh sb="3" eb="5">
      <t>ヨビ</t>
    </rPh>
    <phoneticPr fontId="13"/>
  </si>
  <si>
    <t>WMWXR920102M64325</t>
    <phoneticPr fontId="13"/>
  </si>
  <si>
    <t>ﾄﾖﾀｳｴｲﾝｽﾞｸﾞﾙｰﾌﾟﾃｨｰｱｯﾌﾟ株式会社</t>
    <rPh sb="22" eb="26">
      <t>カブシキガイシャ</t>
    </rPh>
    <phoneticPr fontId="13"/>
  </si>
  <si>
    <t>3/15</t>
    <phoneticPr fontId="13"/>
  </si>
  <si>
    <t>26/</t>
    <phoneticPr fontId="13"/>
  </si>
  <si>
    <t xml:space="preserve">VW ﾊﾟｻｰﾄ ｳﾞｧﾘｱﾝﾄ </t>
    <phoneticPr fontId="13"/>
  </si>
  <si>
    <t>姫路 330 て 3650</t>
    <rPh sb="0" eb="2">
      <t>ヒメジ</t>
    </rPh>
    <phoneticPr fontId="13"/>
  </si>
  <si>
    <t>神井様</t>
    <rPh sb="0" eb="1">
      <t>カミ</t>
    </rPh>
    <rPh sb="1" eb="2">
      <t>イ</t>
    </rPh>
    <rPh sb="2" eb="3">
      <t>サマ</t>
    </rPh>
    <phoneticPr fontId="13"/>
  </si>
  <si>
    <t>WVWZZZ3CZEE165374</t>
    <phoneticPr fontId="13"/>
  </si>
  <si>
    <t>神井 隆寿</t>
    <rPh sb="0" eb="2">
      <t>カミイ</t>
    </rPh>
    <rPh sb="3" eb="4">
      <t>リュウ</t>
    </rPh>
    <rPh sb="4" eb="5">
      <t>ジュ</t>
    </rPh>
    <phoneticPr fontId="13"/>
  </si>
  <si>
    <t>地図SD（車内）保証書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</si>
  <si>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VWｺﾞﾙﾌ GTI ｸﾗﾌﾞｽﾎﾟｰﾂﾄﾗｯｸED</t>
    <phoneticPr fontId="13"/>
  </si>
  <si>
    <t>7/9/26</t>
    <phoneticPr fontId="13"/>
  </si>
  <si>
    <t>横浜 306 そ 219</t>
    <rPh sb="0" eb="2">
      <t>ヨコハマ</t>
    </rPh>
    <phoneticPr fontId="13"/>
  </si>
  <si>
    <t>WVWZZZAUZGW312069</t>
    <phoneticPr fontId="13"/>
  </si>
  <si>
    <t>株式会社ﾔﾅｾ</t>
    <rPh sb="0" eb="4">
      <t>カブシキカイシャ</t>
    </rPh>
    <phoneticPr fontId="13"/>
  </si>
  <si>
    <t>3/14</t>
    <phoneticPr fontId="13"/>
  </si>
  <si>
    <t>ｸﾛｽﾋﾞｰ ﾊｲﾌﾞﾘｯﾄﾞMZ</t>
    <phoneticPr fontId="13"/>
  </si>
  <si>
    <t>8/10/30</t>
    <phoneticPr fontId="13"/>
  </si>
  <si>
    <t>愛媛 537 に 39</t>
    <rPh sb="0" eb="2">
      <t>エヒメ</t>
    </rPh>
    <phoneticPr fontId="13"/>
  </si>
  <si>
    <t>501 も 6485</t>
    <phoneticPr fontId="13"/>
  </si>
  <si>
    <t>MN71S-155282</t>
    <phoneticPr fontId="13"/>
  </si>
  <si>
    <t>株式会社ｽｽﾞｷ自販松山</t>
    <rPh sb="0" eb="4">
      <t>カブシキガイシャ</t>
    </rPh>
    <rPh sb="8" eb="10">
      <t>ジハン</t>
    </rPh>
    <rPh sb="10" eb="12">
      <t>マツヤマ</t>
    </rPh>
    <phoneticPr fontId="13"/>
  </si>
  <si>
    <t>ﾚｸｻｽ RX Fｽﾎﾟｰﾂ</t>
    <phoneticPr fontId="13"/>
  </si>
  <si>
    <t>8/2/23</t>
    <phoneticPr fontId="13"/>
  </si>
  <si>
    <t>神戸 31H ひ 77</t>
    <rPh sb="0" eb="2">
      <t>コウベ</t>
    </rPh>
    <phoneticPr fontId="13"/>
  </si>
  <si>
    <t>35H に 5</t>
    <phoneticPr fontId="13"/>
  </si>
  <si>
    <t>A268967</t>
    <phoneticPr fontId="13"/>
  </si>
  <si>
    <t>GYL25-0010594</t>
    <phoneticPr fontId="13"/>
  </si>
  <si>
    <t>平原 福生</t>
    <rPh sb="0" eb="2">
      <t>ヒラハラ</t>
    </rPh>
    <rPh sb="3" eb="4">
      <t>フク</t>
    </rPh>
    <rPh sb="4" eb="5">
      <t>セイ</t>
    </rPh>
    <phoneticPr fontId="13"/>
  </si>
  <si>
    <t>17/2</t>
    <phoneticPr fontId="13"/>
  </si>
  <si>
    <t xml:space="preserve">ﾚﾝｼﾞﾛｰﾊﾞｰ </t>
    <phoneticPr fontId="13"/>
  </si>
  <si>
    <t>神戸 334 ひ 2131</t>
    <rPh sb="0" eb="2">
      <t>コウベ</t>
    </rPh>
    <phoneticPr fontId="13"/>
  </si>
  <si>
    <t>元村様</t>
    <rPh sb="0" eb="2">
      <t>モトムラ</t>
    </rPh>
    <rPh sb="2" eb="3">
      <t>サマ</t>
    </rPh>
    <phoneticPr fontId="13"/>
  </si>
  <si>
    <t>SALLMAM35A183345</t>
    <phoneticPr fontId="13"/>
  </si>
  <si>
    <t>元村 昌平</t>
    <rPh sb="0" eb="2">
      <t>モトムラ</t>
    </rPh>
    <rPh sb="3" eb="5">
      <t>ショウヘイ</t>
    </rPh>
    <phoneticPr fontId="13"/>
  </si>
  <si>
    <t>BMW X1 xDrive18d Xﾗｲﾝ</t>
    <phoneticPr fontId="13"/>
  </si>
  <si>
    <t>広島 347 や 72</t>
    <rPh sb="0" eb="2">
      <t>ヒロシマ</t>
    </rPh>
    <phoneticPr fontId="13"/>
  </si>
  <si>
    <t>WBA32AD0605P57721</t>
    <phoneticPr fontId="13"/>
  </si>
  <si>
    <t>株式会社ﾊﾞﾙｺﾑﾓｰﾀｰｽ</t>
    <rPh sb="0" eb="4">
      <t>カブシキカイシャ</t>
    </rPh>
    <phoneticPr fontId="13"/>
  </si>
  <si>
    <t>ｱｳﾃﾞｨｰ S1 ｽﾎﾟｰﾂﾊﾞｯｸ</t>
    <phoneticPr fontId="13"/>
  </si>
  <si>
    <t>8/1/26</t>
    <phoneticPr fontId="13"/>
  </si>
  <si>
    <t>佐世保 331 て 105</t>
    <rPh sb="0" eb="3">
      <t>サセボ</t>
    </rPh>
    <phoneticPr fontId="13"/>
  </si>
  <si>
    <t>WAUZZZ8X4F004145</t>
    <phoneticPr fontId="13"/>
  </si>
  <si>
    <t>株式会社ｳｲﾝｸﾞｽ</t>
    <rPh sb="0" eb="4">
      <t>カブシキカイシャ</t>
    </rPh>
    <phoneticPr fontId="13"/>
  </si>
  <si>
    <t>24/2</t>
    <phoneticPr fontId="13"/>
  </si>
  <si>
    <t>ｼﾞｬｶﾞｰ XKR</t>
    <phoneticPr fontId="13"/>
  </si>
  <si>
    <t>堺 300 は 4138</t>
    <rPh sb="0" eb="1">
      <t>サカイ</t>
    </rPh>
    <phoneticPr fontId="13"/>
  </si>
  <si>
    <t>泉様</t>
    <rPh sb="0" eb="1">
      <t>イズミ</t>
    </rPh>
    <rPh sb="1" eb="2">
      <t>サマ</t>
    </rPh>
    <phoneticPr fontId="13"/>
  </si>
  <si>
    <t>SAJKC43R5CMB47000</t>
    <phoneticPr fontId="13"/>
  </si>
  <si>
    <t>泉 晋作</t>
    <rPh sb="0" eb="1">
      <t>イズミ</t>
    </rPh>
    <rPh sb="2" eb="4">
      <t>シンサク</t>
    </rPh>
    <phoneticPr fontId="13"/>
  </si>
  <si>
    <t>VWｱｯﾌﾟ！ GTI</t>
    <phoneticPr fontId="13"/>
  </si>
  <si>
    <t>伊豆 535 み 358</t>
    <rPh sb="0" eb="2">
      <t>イズ</t>
    </rPh>
    <phoneticPr fontId="13"/>
  </si>
  <si>
    <t>WVWZZZAAZJD190118</t>
    <phoneticPr fontId="13"/>
  </si>
  <si>
    <t>月岡 久雄</t>
    <rPh sb="0" eb="2">
      <t>ツキオカ</t>
    </rPh>
    <rPh sb="3" eb="5">
      <t>ヒサオ</t>
    </rPh>
    <phoneticPr fontId="13"/>
  </si>
  <si>
    <t>15/4</t>
    <phoneticPr fontId="13"/>
  </si>
  <si>
    <t>ﾚﾝｼﾞﾛｰﾊﾞｰ ﾃﾞｨｽｶﾊﾞﾘｰ HSE</t>
    <phoneticPr fontId="13"/>
  </si>
  <si>
    <t>8/4/27</t>
    <phoneticPr fontId="13"/>
  </si>
  <si>
    <t>和泉 336 つ 215</t>
    <rPh sb="0" eb="2">
      <t>イズミ</t>
    </rPh>
    <phoneticPr fontId="13"/>
  </si>
  <si>
    <t>SALLT-AMP33A807115</t>
    <phoneticPr fontId="13"/>
  </si>
  <si>
    <t>株式会社辻農機</t>
    <rPh sb="0" eb="4">
      <t>カブシキガイシャ</t>
    </rPh>
    <rPh sb="4" eb="5">
      <t>ツジ</t>
    </rPh>
    <rPh sb="5" eb="7">
      <t>ノウキ</t>
    </rPh>
    <phoneticPr fontId="13"/>
  </si>
  <si>
    <t>4/18</t>
    <phoneticPr fontId="13"/>
  </si>
  <si>
    <t>保証書 取説 ﾅﾋﾞ取説 ｷｰﾚｽ(ﾎﾞﾀﾝ部分破損）</t>
    <rPh sb="0" eb="3">
      <t>ホショウショ</t>
    </rPh>
    <rPh sb="4" eb="6">
      <t>トリセツ</t>
    </rPh>
    <rPh sb="10" eb="12">
      <t>トリセツ</t>
    </rPh>
    <rPh sb="22" eb="24">
      <t>ブブン</t>
    </rPh>
    <rPh sb="24" eb="26">
      <t>ハソン</t>
    </rPh>
    <phoneticPr fontId="13"/>
  </si>
  <si>
    <t>ｱｳﾃﾞｨｰS1 2.0TFSIｸﾜﾄﾛ</t>
    <phoneticPr fontId="13"/>
  </si>
  <si>
    <t>8/6/7</t>
    <phoneticPr fontId="13"/>
  </si>
  <si>
    <t>川越 330 た 8086</t>
    <rPh sb="0" eb="2">
      <t>カワゴエ</t>
    </rPh>
    <phoneticPr fontId="13"/>
  </si>
  <si>
    <t>301 ぬ 7033</t>
    <phoneticPr fontId="13"/>
  </si>
  <si>
    <t>WAUZZZ8XXFB028479</t>
    <phoneticPr fontId="13"/>
  </si>
  <si>
    <t>加島 倫</t>
    <rPh sb="0" eb="2">
      <t>カシマ</t>
    </rPh>
    <rPh sb="3" eb="4">
      <t>リン</t>
    </rPh>
    <phoneticPr fontId="13"/>
  </si>
  <si>
    <t>4/20</t>
    <phoneticPr fontId="13"/>
  </si>
  <si>
    <t>ﾜｺﾞﾝR ｽﾃｨﾝｸﾞﾚｰX</t>
    <phoneticPr fontId="13"/>
  </si>
  <si>
    <t>7/11/24</t>
    <phoneticPr fontId="13"/>
  </si>
  <si>
    <t>飛騨 580 か 1577</t>
    <rPh sb="0" eb="2">
      <t>ヒダ</t>
    </rPh>
    <phoneticPr fontId="13"/>
  </si>
  <si>
    <t>581 よ 9287</t>
    <phoneticPr fontId="13"/>
  </si>
  <si>
    <t>ﾎﾝﾀﾞ名古屋(まとめ)</t>
    <rPh sb="4" eb="7">
      <t>ナゴヤ</t>
    </rPh>
    <phoneticPr fontId="13"/>
  </si>
  <si>
    <t>MH44S-459117</t>
    <phoneticPr fontId="13"/>
  </si>
  <si>
    <t>株式会社ﾎﾝﾀﾞｶｰｽﾞ飛騨</t>
    <rPh sb="0" eb="4">
      <t>カブシキガイシャ</t>
    </rPh>
    <rPh sb="12" eb="14">
      <t>ヒダ</t>
    </rPh>
    <phoneticPr fontId="13"/>
  </si>
  <si>
    <t>ﾅﾝﾊﾞｰ持ち出し中</t>
    <phoneticPr fontId="13"/>
  </si>
  <si>
    <t>ｱｳﾃﾞｨｰ S4 ｱﾊﾞﾝﾄ</t>
    <phoneticPr fontId="13"/>
  </si>
  <si>
    <t>飛鳥 399 ね 771</t>
    <rPh sb="0" eb="2">
      <t>アスカ</t>
    </rPh>
    <phoneticPr fontId="13"/>
  </si>
  <si>
    <t>WAUZZZF48JA233029</t>
    <phoneticPr fontId="13"/>
  </si>
  <si>
    <t>奈良ｽﾊﾞﾙ自動車株式会社</t>
    <rPh sb="0" eb="2">
      <t>ナラ</t>
    </rPh>
    <rPh sb="6" eb="13">
      <t>ジドウシャカブシキガイシャ</t>
    </rPh>
    <phoneticPr fontId="13"/>
  </si>
  <si>
    <t>新車(ﾃﾞﾓｶｰ)</t>
    <rPh sb="0" eb="2">
      <t>シンシャ</t>
    </rPh>
    <phoneticPr fontId="13"/>
  </si>
  <si>
    <t>10/4</t>
    <phoneticPr fontId="13"/>
  </si>
  <si>
    <t>ﾓﾄｰﾚﾝ神戸</t>
    <rPh sb="5" eb="7">
      <t>コウベ</t>
    </rPh>
    <phoneticPr fontId="13"/>
  </si>
  <si>
    <t>WMW32GD090W95087</t>
    <phoneticPr fontId="13"/>
  </si>
  <si>
    <t>有限会社ﾃｨｰｽﾞｸﾗﾌﾞ</t>
    <rPh sb="0" eb="4">
      <t>ユウゲンカイシャ</t>
    </rPh>
    <phoneticPr fontId="13"/>
  </si>
  <si>
    <t>ﾎﾟﾙｼｪｹｲﾏﾝ ﾍﾞｰｽ</t>
    <phoneticPr fontId="13"/>
  </si>
  <si>
    <t>名古屋 331 て 981</t>
    <rPh sb="0" eb="3">
      <t>ナゴヤ</t>
    </rPh>
    <phoneticPr fontId="13"/>
  </si>
  <si>
    <t>保証書 取説 ﾅﾋﾞ取説 ｷｰﾚｽ ﾅﾋﾞﾛﾑ ﾘﾓｺﾝ</t>
    <rPh sb="0" eb="3">
      <t>ホショウショ</t>
    </rPh>
    <rPh sb="4" eb="6">
      <t>トリセツ</t>
    </rPh>
    <rPh sb="10" eb="12">
      <t>トリセツ</t>
    </rPh>
    <phoneticPr fontId="13"/>
  </si>
  <si>
    <t>WP0ZZZ98ZFK160840</t>
    <phoneticPr fontId="13"/>
  </si>
  <si>
    <t>黒長 伸一</t>
    <rPh sb="0" eb="1">
      <t>クロ</t>
    </rPh>
    <rPh sb="1" eb="2">
      <t>ナガ</t>
    </rPh>
    <rPh sb="3" eb="5">
      <t>シンイチ</t>
    </rPh>
    <phoneticPr fontId="13"/>
  </si>
  <si>
    <t>5/15</t>
    <phoneticPr fontId="13"/>
  </si>
  <si>
    <t>保証書 取説 ﾅﾋﾞ取説 ｷｰﾚｽ ﾘﾓｺﾝ 地図SD ﾜﾝｵｰﾅｰ</t>
    <rPh sb="0" eb="3">
      <t>ホショウショ</t>
    </rPh>
    <rPh sb="4" eb="6">
      <t>トリセツ</t>
    </rPh>
    <rPh sb="10" eb="12">
      <t>トリセツ</t>
    </rPh>
    <rPh sb="23" eb="25">
      <t>チズ</t>
    </rPh>
    <phoneticPr fontId="13"/>
  </si>
  <si>
    <t>ｱｳﾃﾞｨS6 ﾍﾞｰｽｸﾞﾚｰﾄﾞ</t>
    <phoneticPr fontId="13"/>
  </si>
  <si>
    <t>7/10/24</t>
    <phoneticPr fontId="13"/>
  </si>
  <si>
    <t>所沢 302 す 9658</t>
    <rPh sb="0" eb="2">
      <t>トコロザワ</t>
    </rPh>
    <phoneticPr fontId="13"/>
  </si>
  <si>
    <t>WAUZZZ4G0HN005395</t>
    <phoneticPr fontId="13"/>
  </si>
  <si>
    <t>保証書 取説 ｷｰﾚｽ ﾌﾟﾗｷｰ</t>
    <rPh sb="0" eb="3">
      <t>ホショウショ</t>
    </rPh>
    <rPh sb="4" eb="6">
      <t>トリセツ</t>
    </rPh>
    <phoneticPr fontId="13"/>
  </si>
  <si>
    <t>26/10</t>
    <phoneticPr fontId="13"/>
  </si>
  <si>
    <t>BMW M4 ｸｰﾍﾟ</t>
    <phoneticPr fontId="13"/>
  </si>
  <si>
    <t>滋賀 399 た 6415</t>
    <rPh sb="0" eb="2">
      <t>シガ</t>
    </rPh>
    <phoneticPr fontId="13"/>
  </si>
  <si>
    <t>WBS3R92080K340188</t>
    <phoneticPr fontId="13"/>
  </si>
  <si>
    <t>株式会社HAZ</t>
    <rPh sb="0" eb="4">
      <t>カブシキガイシャ</t>
    </rPh>
    <phoneticPr fontId="13"/>
  </si>
  <si>
    <t>ｱｳﾃﾞｨ A6ｱﾊﾞﾝﾄ 2.0TFSI SﾗｲﾝP</t>
    <phoneticPr fontId="13"/>
  </si>
  <si>
    <t>佐世保 399 す 1089</t>
    <rPh sb="0" eb="3">
      <t>サセボ</t>
    </rPh>
    <phoneticPr fontId="13"/>
  </si>
  <si>
    <t>WAUZZZ4G1GN112650</t>
    <phoneticPr fontId="13"/>
  </si>
  <si>
    <t>株式会社ｻﾝﾖｰ自動車</t>
    <rPh sb="0" eb="4">
      <t>カブシキガイシャ</t>
    </rPh>
    <rPh sb="8" eb="11">
      <t>ジドウシャ</t>
    </rPh>
    <phoneticPr fontId="13"/>
  </si>
  <si>
    <t>5/27</t>
    <phoneticPr fontId="13"/>
  </si>
  <si>
    <t>ﾚﾝｼﾞﾛｰﾊﾞｰ ｳﾞｫｰｸﾞ 3.0V6ｽｰﾊﾟｰﾁｬｰｼﾞﾄﾞ</t>
    <phoneticPr fontId="13"/>
  </si>
  <si>
    <t>7/6/20</t>
    <phoneticPr fontId="13"/>
  </si>
  <si>
    <t>横浜 39A7 み 826</t>
    <rPh sb="0" eb="2">
      <t>ヨコハマ</t>
    </rPh>
    <phoneticPr fontId="13"/>
  </si>
  <si>
    <t>SALGA2VEXEA167357</t>
    <phoneticPr fontId="13"/>
  </si>
  <si>
    <t>FRONTLINE株式会社</t>
    <rPh sb="9" eb="13">
      <t>カブシキガイシャ</t>
    </rPh>
    <phoneticPr fontId="13"/>
  </si>
  <si>
    <t>5/24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</si>
  <si>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　</t>
    </rPh>
    <phoneticPr fontId="13"/>
  </si>
  <si>
    <t>ﾚｸｻｽ IS  IS250CﾊﾞｰｼﾞｮﾝL</t>
    <phoneticPr fontId="13"/>
  </si>
  <si>
    <t>8/10/27</t>
    <phoneticPr fontId="13"/>
  </si>
  <si>
    <t>豊橋 332 ま 250</t>
    <rPh sb="0" eb="2">
      <t>ユタカハシ</t>
    </rPh>
    <phoneticPr fontId="13"/>
  </si>
  <si>
    <t>301 ぬ 8638</t>
    <phoneticPr fontId="13"/>
  </si>
  <si>
    <t>A280657</t>
    <phoneticPr fontId="13"/>
  </si>
  <si>
    <t>GSE20-2505578</t>
    <phoneticPr fontId="13"/>
  </si>
  <si>
    <t>尾藤 亜世</t>
    <rPh sb="0" eb="2">
      <t>ビトウ</t>
    </rPh>
    <rPh sb="3" eb="4">
      <t>ア</t>
    </rPh>
    <rPh sb="4" eb="5">
      <t>ヨ</t>
    </rPh>
    <phoneticPr fontId="13"/>
  </si>
  <si>
    <t>25/</t>
    <phoneticPr fontId="13"/>
  </si>
  <si>
    <t>ｱｳﾃﾞｨA6</t>
    <phoneticPr fontId="13"/>
  </si>
  <si>
    <t>大阪 333 は 1997</t>
    <rPh sb="0" eb="2">
      <t>オオサカ</t>
    </rPh>
    <phoneticPr fontId="13"/>
  </si>
  <si>
    <t>村井様</t>
    <rPh sb="0" eb="2">
      <t>ムライ</t>
    </rPh>
    <rPh sb="2" eb="3">
      <t>サマ</t>
    </rPh>
    <phoneticPr fontId="13"/>
  </si>
  <si>
    <t>WAUZZZ4G2DN057881</t>
    <phoneticPr fontId="13"/>
  </si>
  <si>
    <t>村井 聡</t>
    <rPh sb="0" eb="2">
      <t>ムライ</t>
    </rPh>
    <rPh sb="3" eb="4">
      <t>サトシ</t>
    </rPh>
    <phoneticPr fontId="13"/>
  </si>
  <si>
    <t>5/26</t>
    <phoneticPr fontId="13"/>
  </si>
  <si>
    <t>ｱﾊﾞﾙﾄ 595 ｺﾝﾍﾟﾃｨﾂｨｵｰﾈ</t>
    <phoneticPr fontId="13"/>
  </si>
  <si>
    <t>8/5/15</t>
    <phoneticPr fontId="13"/>
  </si>
  <si>
    <t>湘南 503 す 165</t>
    <rPh sb="0" eb="2">
      <t>ショウナン</t>
    </rPh>
    <phoneticPr fontId="13"/>
  </si>
  <si>
    <t>501　も　8623</t>
    <phoneticPr fontId="13"/>
  </si>
  <si>
    <t>ZFA3120000JB38541</t>
    <phoneticPr fontId="13"/>
  </si>
  <si>
    <t>5/30</t>
    <phoneticPr fontId="13"/>
  </si>
  <si>
    <t>ｼﾞｬｶﾞｰ Fぺｲｽ Rｽﾎﾟｰﾂ</t>
    <phoneticPr fontId="13"/>
  </si>
  <si>
    <t>野田 399 ま 3394</t>
    <rPh sb="0" eb="2">
      <t>ノダ</t>
    </rPh>
    <phoneticPr fontId="13"/>
  </si>
  <si>
    <t>SADCA2AV7HA071125</t>
    <phoneticPr fontId="13"/>
  </si>
  <si>
    <t>株式会社ﾄｯﾌﾟﾗﾝｸ</t>
    <rPh sb="0" eb="4">
      <t>カブシキガイシャ</t>
    </rPh>
    <phoneticPr fontId="13"/>
  </si>
  <si>
    <t>ｽﾍﾟｰｼｱ 車椅子移動車X</t>
    <rPh sb="7" eb="10">
      <t>クルマイス</t>
    </rPh>
    <rPh sb="10" eb="13">
      <t>イドウシャ</t>
    </rPh>
    <phoneticPr fontId="13"/>
  </si>
  <si>
    <t>名古屋 582 え 228</t>
    <rPh sb="0" eb="3">
      <t>ナゴヤ</t>
    </rPh>
    <phoneticPr fontId="13"/>
  </si>
  <si>
    <t>TAA中部</t>
    <rPh sb="3" eb="5">
      <t>チュウブ</t>
    </rPh>
    <phoneticPr fontId="13"/>
  </si>
  <si>
    <t>水色</t>
    <rPh sb="0" eb="2">
      <t>ミズイロ</t>
    </rPh>
    <phoneticPr fontId="13"/>
  </si>
  <si>
    <t>MK42S-128395</t>
    <phoneticPr fontId="13"/>
  </si>
  <si>
    <t>株式会社ﾄﾖﾀﾚﾝﾀﾘｰｽ愛知</t>
    <rPh sb="0" eb="4">
      <t>カブシキガイシャ</t>
    </rPh>
    <rPh sb="13" eb="15">
      <t>アイチ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</si>
  <si>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</si>
  <si>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岐阜 302 や 2800</t>
    <rPh sb="0" eb="2">
      <t>ギフ</t>
    </rPh>
    <phoneticPr fontId="13"/>
  </si>
  <si>
    <t>WAUZZZ8X0FB004708</t>
    <phoneticPr fontId="13"/>
  </si>
  <si>
    <t>山本 徹</t>
    <rPh sb="0" eb="2">
      <t>ヤマモト</t>
    </rPh>
    <rPh sb="3" eb="4">
      <t>トオル</t>
    </rPh>
    <phoneticPr fontId="13"/>
  </si>
  <si>
    <t>ｷｰﾚｽ×2　ﾌﾟﾗｷｰ×1（車内）保証書 取説</t>
    <rPh sb="15" eb="17">
      <t>シャナイ</t>
    </rPh>
    <rPh sb="18" eb="21">
      <t>ホショウショ</t>
    </rPh>
    <rPh sb="22" eb="24">
      <t>トリセツ</t>
    </rPh>
    <phoneticPr fontId="13"/>
  </si>
  <si>
    <t>2/5</t>
    <phoneticPr fontId="13"/>
  </si>
  <si>
    <t>ｼﾄﾛｴﾝ ｸﾞﾗﾝﾄﾞC4ｽﾍﾟｰｽﾂｱﾗｰ</t>
    <phoneticPr fontId="13"/>
  </si>
  <si>
    <t>千葉 326 せ 2792</t>
    <rPh sb="0" eb="2">
      <t>チバ</t>
    </rPh>
    <phoneticPr fontId="13"/>
  </si>
  <si>
    <t>VF73AEHYRKJ797510</t>
    <phoneticPr fontId="13"/>
  </si>
  <si>
    <t>ﾐﾗｺｺｱ　ｺｺｱﾌﾟﾗｽXｽﾍﾟｼｬﾙｺｰﾃﾞ</t>
    <phoneticPr fontId="13"/>
  </si>
  <si>
    <t>9/3/12</t>
    <phoneticPr fontId="13"/>
  </si>
  <si>
    <t>保証書 取説　ﾜﾝｵｰﾅｰ</t>
    <rPh sb="4" eb="6">
      <t>トリセツ</t>
    </rPh>
    <phoneticPr fontId="13"/>
  </si>
  <si>
    <t>A282373</t>
    <phoneticPr fontId="13"/>
  </si>
  <si>
    <t>ｱｲﾎﾞﾘｰ</t>
    <phoneticPr fontId="13"/>
  </si>
  <si>
    <t>ﾚﾝｼﾞﾛｰﾊﾞｰ  ｽﾎﾟｰﾂ</t>
    <phoneticPr fontId="13"/>
  </si>
  <si>
    <t>9/3/26</t>
    <phoneticPr fontId="13"/>
  </si>
  <si>
    <t>なにわ 31K み 88</t>
    <phoneticPr fontId="13"/>
  </si>
  <si>
    <t>301 ぬ 9396</t>
    <phoneticPr fontId="13"/>
  </si>
  <si>
    <t>中西様</t>
    <rPh sb="0" eb="2">
      <t>ナカニシ</t>
    </rPh>
    <rPh sb="2" eb="3">
      <t>サマ</t>
    </rPh>
    <phoneticPr fontId="13"/>
  </si>
  <si>
    <t>SALWA2VE4GA572712</t>
    <phoneticPr fontId="13"/>
  </si>
  <si>
    <t>中西 仁</t>
    <rPh sb="0" eb="2">
      <t>ナカニシ</t>
    </rPh>
    <rPh sb="3" eb="4">
      <t>ジン</t>
    </rPh>
    <phoneticPr fontId="13"/>
  </si>
  <si>
    <t>保証書 取説</t>
    <rPh sb="4" eb="6">
      <t>トリセツ</t>
    </rPh>
    <phoneticPr fontId="13"/>
  </si>
  <si>
    <t>BMW225　XEｱｸﾃｨﾌﾞT　Mｽﾎﾟｰﾂ</t>
    <phoneticPr fontId="13"/>
  </si>
  <si>
    <t>8/1/30</t>
    <phoneticPr fontId="13"/>
  </si>
  <si>
    <t>京都　302　む　203</t>
    <rPh sb="0" eb="2">
      <t>キョウト</t>
    </rPh>
    <phoneticPr fontId="13"/>
  </si>
  <si>
    <t>保証書　ｽﾍﾟｱｷｰ</t>
    <rPh sb="0" eb="3">
      <t>ホショウショ</t>
    </rPh>
    <phoneticPr fontId="13"/>
  </si>
  <si>
    <t>整備記録こちらで訂正済　ﾃﾞｨｰﾗｰ確認OK</t>
    <phoneticPr fontId="13"/>
  </si>
  <si>
    <t>WBA2C72010V365308</t>
    <phoneticPr fontId="13"/>
  </si>
  <si>
    <t>株式会社服部ﾓｰﾀｰ商会</t>
    <rPh sb="4" eb="6">
      <t>ハットリ</t>
    </rPh>
    <rPh sb="10" eb="12">
      <t>ショウカイ</t>
    </rPh>
    <phoneticPr fontId="13"/>
  </si>
  <si>
    <t>ｱﾊﾞﾙﾄ595　ｺﾝﾍﾟﾃｨﾂｨｵｰﾈ</t>
    <phoneticPr fontId="13"/>
  </si>
  <si>
    <t>7/10/9</t>
    <phoneticPr fontId="13"/>
  </si>
  <si>
    <t>なにわ　530　は　5567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</si>
  <si>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</si>
  <si>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ZFA3120000J984188</t>
    <phoneticPr fontId="13"/>
  </si>
  <si>
    <t>ﾏﾂﾀﾞｵｰﾄﾘｰｽ株式会社</t>
    <rPh sb="10" eb="14">
      <t>カブシキカイシャ</t>
    </rPh>
    <phoneticPr fontId="13"/>
  </si>
  <si>
    <t>保証書 取説　ｷｰﾚｽ</t>
    <rPh sb="4" eb="6">
      <t>トリセツ</t>
    </rPh>
    <phoneticPr fontId="13"/>
  </si>
  <si>
    <t>4/4</t>
    <phoneticPr fontId="13"/>
  </si>
  <si>
    <t>滋賀　599　ち　9375</t>
    <rPh sb="0" eb="2">
      <t>シガ</t>
    </rPh>
    <phoneticPr fontId="13"/>
  </si>
  <si>
    <t>ZFABF13H4NJF98152</t>
    <phoneticPr fontId="13"/>
  </si>
  <si>
    <t>株式会社ﾈｸｽﾃｰｼﾞ</t>
    <rPh sb="0" eb="4">
      <t>カブシキカイシャ</t>
    </rPh>
    <phoneticPr fontId="13"/>
  </si>
  <si>
    <t>25/1</t>
    <phoneticPr fontId="13"/>
  </si>
  <si>
    <t>N-BOX+ｶｽﾀﾑGﾀｰﾎﾞﾊﾟｯｹｰｼﾞ</t>
    <phoneticPr fontId="13"/>
  </si>
  <si>
    <t>8/1/24</t>
    <phoneticPr fontId="13"/>
  </si>
  <si>
    <t>愛媛 586 む 7</t>
    <rPh sb="0" eb="2">
      <t>エヒメ</t>
    </rPh>
    <phoneticPr fontId="13"/>
  </si>
  <si>
    <t>ｽﾛｰﾌﾟ付きなだけ　福祉車両×確認済</t>
    <rPh sb="5" eb="6">
      <t>ツ</t>
    </rPh>
    <rPh sb="11" eb="15">
      <t>フクシシャリョウ</t>
    </rPh>
    <rPh sb="16" eb="18">
      <t>カクニン</t>
    </rPh>
    <rPh sb="18" eb="19">
      <t>スミ</t>
    </rPh>
    <phoneticPr fontId="13"/>
  </si>
  <si>
    <t>582 あ3938</t>
    <phoneticPr fontId="13"/>
  </si>
  <si>
    <t>JF1-4100019</t>
    <phoneticPr fontId="13"/>
  </si>
  <si>
    <t>淺田　俊明</t>
    <rPh sb="0" eb="2">
      <t>アサダ</t>
    </rPh>
    <rPh sb="3" eb="4">
      <t>シュン</t>
    </rPh>
    <rPh sb="4" eb="5">
      <t>アキラ</t>
    </rPh>
    <phoneticPr fontId="13"/>
  </si>
  <si>
    <t>保証書　取説　ﾅﾋﾞ取説　地図SD　B-CAS</t>
    <rPh sb="0" eb="3">
      <t>ホショウショ</t>
    </rPh>
    <rPh sb="4" eb="6">
      <t>トリセツ</t>
    </rPh>
    <rPh sb="10" eb="12">
      <t>トリセツ</t>
    </rPh>
    <rPh sb="13" eb="15">
      <t>チズ</t>
    </rPh>
    <phoneticPr fontId="13"/>
  </si>
  <si>
    <t>ﾅﾝﾊﾞｰ持ち出し</t>
    <rPh sb="5" eb="6">
      <t>モ</t>
    </rPh>
    <rPh sb="7" eb="8">
      <t>ダ</t>
    </rPh>
    <phoneticPr fontId="13"/>
  </si>
  <si>
    <t>N-BOX G Lﾊﾟｯｹｰｼﾞ</t>
    <phoneticPr fontId="13"/>
  </si>
  <si>
    <t>9/5/29</t>
    <phoneticPr fontId="13"/>
  </si>
  <si>
    <t>愛媛 583 さ 2630</t>
    <rPh sb="0" eb="2">
      <t>エヒメ</t>
    </rPh>
    <phoneticPr fontId="13"/>
  </si>
  <si>
    <t>582 あ 3936</t>
    <phoneticPr fontId="13"/>
  </si>
  <si>
    <t>ﾎﾝﾀﾞ関西(まとめ)</t>
    <rPh sb="5" eb="6">
      <t>（</t>
    </rPh>
    <phoneticPr fontId="13"/>
  </si>
  <si>
    <t>JF1-1831645</t>
    <phoneticPr fontId="13"/>
  </si>
  <si>
    <t>株式会社ﾎﾝﾀﾞﾓﾋﾞﾘﾃｨ中四国</t>
    <rPh sb="0" eb="4">
      <t>カブシキカイシャ</t>
    </rPh>
    <rPh sb="14" eb="17">
      <t>ナカシコクカブシキカイシャ</t>
    </rPh>
    <phoneticPr fontId="13"/>
  </si>
  <si>
    <t>ｱﾙﾄﾗﾊﾟﾝｼｮｺﾗ G</t>
    <phoneticPr fontId="13"/>
  </si>
  <si>
    <t>名古屋 583 こ 2410</t>
    <rPh sb="0" eb="3">
      <t>ナゴヤ</t>
    </rPh>
    <phoneticPr fontId="13"/>
  </si>
  <si>
    <t>ﾋﾟﾝｸ</t>
    <phoneticPr fontId="13"/>
  </si>
  <si>
    <t>HE22S-840532</t>
    <phoneticPr fontId="13"/>
  </si>
  <si>
    <t>ﾄﾖﾀﾓﾋﾞﾘﾃｨ東名古屋株式会社</t>
    <rPh sb="9" eb="12">
      <t>ナゴヤ</t>
    </rPh>
    <rPh sb="12" eb="16">
      <t>カブシキガイシャ</t>
    </rPh>
    <phoneticPr fontId="13"/>
  </si>
  <si>
    <t>6/19</t>
    <phoneticPr fontId="13"/>
  </si>
  <si>
    <t>保証書 取説 (車内)</t>
    <rPh sb="0" eb="3">
      <t>ホショウショ</t>
    </rPh>
    <rPh sb="4" eb="6">
      <t>トリセツ</t>
    </rPh>
    <phoneticPr fontId="13"/>
  </si>
  <si>
    <t>BMWﾐﾆｸｰﾊﾟｰSD ｸﾛｽｵｰﾊﾞｰﾏﾘﾝ</t>
    <phoneticPr fontId="13"/>
  </si>
  <si>
    <t>8/9/6</t>
    <phoneticPr fontId="13"/>
  </si>
  <si>
    <t>杉並 310 ち 3121</t>
    <rPh sb="0" eb="2">
      <t>スギナミ</t>
    </rPh>
    <phoneticPr fontId="13"/>
  </si>
  <si>
    <t>保証書 取説 名変期限7/6まで</t>
    <rPh sb="0" eb="3">
      <t>ホショウショ</t>
    </rPh>
    <rPh sb="4" eb="6">
      <t>トリセツ</t>
    </rPh>
    <rPh sb="7" eb="11">
      <t>メイヘンキゲン</t>
    </rPh>
    <phoneticPr fontId="13"/>
  </si>
  <si>
    <t>301　ぬ　8022</t>
    <phoneticPr fontId="13"/>
  </si>
  <si>
    <t>WMWZB72020WT67287</t>
    <phoneticPr fontId="13"/>
  </si>
  <si>
    <t>佐藤　和穂</t>
    <rPh sb="0" eb="2">
      <t>サトウ</t>
    </rPh>
    <rPh sb="3" eb="5">
      <t>カズホ</t>
    </rPh>
    <phoneticPr fontId="13"/>
  </si>
  <si>
    <t>6/22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</si>
  <si>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</si>
  <si>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7/7/30</t>
    <phoneticPr fontId="13"/>
  </si>
  <si>
    <t>なにわ 342 ゆ 919</t>
    <phoneticPr fontId="13"/>
  </si>
  <si>
    <t>鈴木様</t>
    <rPh sb="0" eb="2">
      <t>スズキ</t>
    </rPh>
    <rPh sb="2" eb="3">
      <t>サマ</t>
    </rPh>
    <phoneticPr fontId="13"/>
  </si>
  <si>
    <t>WBSJF02040GA03342</t>
    <phoneticPr fontId="13"/>
  </si>
  <si>
    <t>保証書 取説 ｷｰﾚｽ ﾒｶｷｰ ｴﾝﾌﾞﾚﾑ</t>
    <rPh sb="0" eb="3">
      <t>ホショウショ</t>
    </rPh>
    <rPh sb="4" eb="6">
      <t>トリセツ</t>
    </rPh>
    <phoneticPr fontId="13"/>
  </si>
  <si>
    <t>8/1/27</t>
    <phoneticPr fontId="13"/>
  </si>
  <si>
    <t>大阪 34L ほ 55</t>
    <rPh sb="0" eb="2">
      <t>オオサカ</t>
    </rPh>
    <phoneticPr fontId="13"/>
  </si>
  <si>
    <t>301 ぬ 9398</t>
    <phoneticPr fontId="13"/>
  </si>
  <si>
    <t>富田様</t>
    <rPh sb="0" eb="2">
      <t>トミタ</t>
    </rPh>
    <rPh sb="2" eb="3">
      <t>サマ</t>
    </rPh>
    <phoneticPr fontId="13"/>
  </si>
  <si>
    <t>WMWXR920602N69054</t>
    <phoneticPr fontId="13"/>
  </si>
  <si>
    <t>富田 高広</t>
    <rPh sb="0" eb="2">
      <t>トミタ</t>
    </rPh>
    <rPh sb="3" eb="5">
      <t>タカヒロ</t>
    </rPh>
    <phoneticPr fontId="13"/>
  </si>
  <si>
    <t>6/14</t>
    <phoneticPr fontId="13"/>
  </si>
  <si>
    <t>ｼﾞｬｶﾞｰXE　XEﾎﾟｰﾄﾌｫﾘｵ</t>
    <phoneticPr fontId="13"/>
  </si>
  <si>
    <t>世田谷 399 せ 9832</t>
    <rPh sb="0" eb="3">
      <t>セタガヤ</t>
    </rPh>
    <phoneticPr fontId="13"/>
  </si>
  <si>
    <t>SAJAB4AGXGA937543</t>
    <phoneticPr fontId="13"/>
  </si>
  <si>
    <t>株式会社ﾀｳ</t>
    <rPh sb="0" eb="4">
      <t>カブシキガイシャ</t>
    </rPh>
    <phoneticPr fontId="13"/>
  </si>
  <si>
    <t>所有者株式会社ﾀｳの為 売 注意!!</t>
    <rPh sb="0" eb="3">
      <t>ショユウシャ</t>
    </rPh>
    <rPh sb="3" eb="7">
      <t>カブシキガイシャ</t>
    </rPh>
    <rPh sb="10" eb="11">
      <t>タメ</t>
    </rPh>
    <rPh sb="12" eb="13">
      <t>ウ</t>
    </rPh>
    <rPh sb="14" eb="16">
      <t>チュウイ</t>
    </rPh>
    <phoneticPr fontId="13"/>
  </si>
  <si>
    <t>ﾊｽﾗｰ G ﾃﾞｭｱﾙｶﾒﾗﾌﾞﾚｰｷｻﾎﾟｰﾄ</t>
    <phoneticPr fontId="13"/>
  </si>
  <si>
    <t>千葉　788　ろ　8052</t>
    <rPh sb="0" eb="2">
      <t>チバ</t>
    </rPh>
    <phoneticPr fontId="13"/>
  </si>
  <si>
    <t xml:space="preserve">取説 </t>
    <rPh sb="0" eb="2">
      <t>トリセツ</t>
    </rPh>
    <phoneticPr fontId="13"/>
  </si>
  <si>
    <t>MR41S-350039</t>
    <phoneticPr fontId="13"/>
  </si>
  <si>
    <t>株式会社ｽｽﾞｷ自販千葉</t>
    <rPh sb="0" eb="4">
      <t>カブシキカイシャ</t>
    </rPh>
    <rPh sb="8" eb="10">
      <t>ジハン</t>
    </rPh>
    <rPh sb="10" eb="12">
      <t>チバ</t>
    </rPh>
    <phoneticPr fontId="13"/>
  </si>
  <si>
    <t>6/26</t>
    <phoneticPr fontId="13"/>
  </si>
  <si>
    <t>ｷｰﾚｽ　地図SD（車内）整備手帳　取説</t>
    <rPh sb="5" eb="7">
      <t>チズ</t>
    </rPh>
    <rPh sb="10" eb="12">
      <t>シャナイ</t>
    </rPh>
    <rPh sb="13" eb="17">
      <t>セイビテチョウ</t>
    </rPh>
    <rPh sb="18" eb="20">
      <t>トリセツ</t>
    </rPh>
    <phoneticPr fontId="13"/>
  </si>
  <si>
    <t>ｼﾞﾑﾆｰ ﾗﾝﾄﾞﾍﾞﾝｼｬｰ</t>
    <phoneticPr fontId="13"/>
  </si>
  <si>
    <t>8/6/30</t>
    <phoneticPr fontId="13"/>
  </si>
  <si>
    <t>和泉　582　あ　1981</t>
    <rPh sb="0" eb="2">
      <t>イズミ</t>
    </rPh>
    <phoneticPr fontId="13"/>
  </si>
  <si>
    <t>ﾅﾝﾊﾞｰ</t>
    <phoneticPr fontId="13"/>
  </si>
  <si>
    <t>582 あ 3941</t>
    <phoneticPr fontId="13"/>
  </si>
  <si>
    <t>JB23W-741395</t>
    <phoneticPr fontId="13"/>
  </si>
  <si>
    <t>株式会社Garnet Star</t>
    <rPh sb="0" eb="4">
      <t>カブシキカイシャ</t>
    </rPh>
    <phoneticPr fontId="13"/>
  </si>
  <si>
    <t>7/19からﾅﾝﾊﾞｰ持ち出し</t>
    <phoneticPr fontId="13"/>
  </si>
  <si>
    <t>ﾋﾞｰｸﾞﾙﾌｧﾝ　EVﾄｩｸﾄｩｸ</t>
    <phoneticPr fontId="13"/>
  </si>
  <si>
    <t>無</t>
    <rPh sb="0" eb="1">
      <t>ナ</t>
    </rPh>
    <phoneticPr fontId="13"/>
  </si>
  <si>
    <t>2 京都 ろ 4430</t>
    <rPh sb="2" eb="4">
      <t>キョウト</t>
    </rPh>
    <phoneticPr fontId="13"/>
  </si>
  <si>
    <t xml:space="preserve"> 1 姫路 そ 9957</t>
    <rPh sb="3" eb="5">
      <t>ヒメジ</t>
    </rPh>
    <phoneticPr fontId="13"/>
  </si>
  <si>
    <t>A284860</t>
    <phoneticPr fontId="13"/>
  </si>
  <si>
    <t>L3ZFJC2AXNY003185</t>
    <phoneticPr fontId="13"/>
  </si>
  <si>
    <t>山口 雅優</t>
    <rPh sb="0" eb="2">
      <t>ヤマグチ</t>
    </rPh>
    <rPh sb="3" eb="4">
      <t>マサ</t>
    </rPh>
    <rPh sb="4" eb="5">
      <t>ユウ</t>
    </rPh>
    <phoneticPr fontId="13"/>
  </si>
  <si>
    <t>ｱﾙﾄﾗﾊﾟﾝ L</t>
    <phoneticPr fontId="13"/>
  </si>
  <si>
    <t>7/9/10</t>
    <phoneticPr fontId="13"/>
  </si>
  <si>
    <t>岡山　587　て　106</t>
    <rPh sb="0" eb="2">
      <t>オカヤマ</t>
    </rPh>
    <phoneticPr fontId="13"/>
  </si>
  <si>
    <t>HE33S-256801</t>
    <phoneticPr fontId="13"/>
  </si>
  <si>
    <t>株式会社ｳｫｯｼｭ</t>
    <rPh sb="0" eb="4">
      <t>カブシキカイシャ</t>
    </rPh>
    <phoneticPr fontId="13"/>
  </si>
  <si>
    <t>保証書（車内）記録紙１枚　取説</t>
    <rPh sb="0" eb="3">
      <t>ホショウショ</t>
    </rPh>
    <rPh sb="4" eb="6">
      <t>シャナイ</t>
    </rPh>
    <rPh sb="7" eb="9">
      <t>キロク</t>
    </rPh>
    <rPh sb="9" eb="10">
      <t>カミ</t>
    </rPh>
    <rPh sb="11" eb="12">
      <t>マイ</t>
    </rPh>
    <rPh sb="13" eb="15">
      <t>トリセツ</t>
    </rPh>
    <phoneticPr fontId="13"/>
  </si>
  <si>
    <t>18/5</t>
    <phoneticPr fontId="13"/>
  </si>
  <si>
    <t>ﾐﾗｼﾞｰﾉ  ﾐﾆﾗｲﾄ</t>
    <phoneticPr fontId="13"/>
  </si>
  <si>
    <t>9/5/25</t>
    <phoneticPr fontId="13"/>
  </si>
  <si>
    <t>岡山 581 ゆ 5611</t>
    <rPh sb="0" eb="2">
      <t>オカヤマ</t>
    </rPh>
    <phoneticPr fontId="13"/>
  </si>
  <si>
    <t>582 あ 3950</t>
    <phoneticPr fontId="13"/>
  </si>
  <si>
    <t>L650S-0040028</t>
    <phoneticPr fontId="13"/>
  </si>
  <si>
    <t>池上 令</t>
    <rPh sb="0" eb="2">
      <t>イケガミ</t>
    </rPh>
    <rPh sb="3" eb="4">
      <t>レイ</t>
    </rPh>
    <phoneticPr fontId="13"/>
  </si>
  <si>
    <t>1/8</t>
    <phoneticPr fontId="13"/>
  </si>
  <si>
    <t>BMWﾐﾆ　JCW</t>
    <phoneticPr fontId="13"/>
  </si>
  <si>
    <t>8/5</t>
    <phoneticPr fontId="13"/>
  </si>
  <si>
    <t>姫路　331　て　5580</t>
    <rPh sb="0" eb="2">
      <t>ヒメジ</t>
    </rPh>
    <phoneticPr fontId="13"/>
  </si>
  <si>
    <t>保証書　取説　Sｷｰ</t>
    <rPh sb="0" eb="3">
      <t>ホショウショ</t>
    </rPh>
    <rPh sb="4" eb="6">
      <t>トリセツ</t>
    </rPh>
    <phoneticPr fontId="13"/>
  </si>
  <si>
    <t>331 て 5580</t>
    <phoneticPr fontId="13"/>
  </si>
  <si>
    <t>WMWXR920602L07227</t>
    <phoneticPr fontId="13"/>
  </si>
  <si>
    <t>家根 里佳</t>
    <rPh sb="0" eb="2">
      <t>イエネ</t>
    </rPh>
    <rPh sb="3" eb="5">
      <t>リカ</t>
    </rPh>
    <phoneticPr fontId="13"/>
  </si>
  <si>
    <t>6/29</t>
    <phoneticPr fontId="13"/>
  </si>
  <si>
    <t>ﾗﾝﾎﾞﾙｷﾞｰﾆ　ｳﾗｶﾝ</t>
    <phoneticPr fontId="13"/>
  </si>
  <si>
    <t>9/6</t>
    <phoneticPr fontId="13"/>
  </si>
  <si>
    <t>姫路　331　て　1929</t>
    <rPh sb="0" eb="2">
      <t>ヒメジ</t>
    </rPh>
    <phoneticPr fontId="13"/>
  </si>
  <si>
    <t>331 て 1929</t>
    <phoneticPr fontId="13"/>
  </si>
  <si>
    <t>黒川様</t>
    <rPh sb="0" eb="3">
      <t>クロカワサマ</t>
    </rPh>
    <phoneticPr fontId="13"/>
  </si>
  <si>
    <t>ZHWEC2ZF4JLA09388</t>
    <phoneticPr fontId="13"/>
  </si>
  <si>
    <t>株式会社ｵﾘｴﾝﾄｺｰﾎﾟﾚｰｼｮﾝ</t>
    <rPh sb="0" eb="4">
      <t>カブシキカイシャ</t>
    </rPh>
    <phoneticPr fontId="13"/>
  </si>
  <si>
    <t>14/2</t>
    <phoneticPr fontId="13"/>
  </si>
  <si>
    <t>ﾐﾗｼﾞｰﾉ　ﾐﾆﾗｲﾄｽﾍﾟｼｬﾙﾀｰﾎﾞ</t>
    <phoneticPr fontId="13"/>
  </si>
  <si>
    <t>7/8/30</t>
    <phoneticPr fontId="13"/>
  </si>
  <si>
    <t>袖ヶ浦 581 え 8884</t>
    <rPh sb="0" eb="3">
      <t>ソデガウラ</t>
    </rPh>
    <phoneticPr fontId="13"/>
  </si>
  <si>
    <t>整備手帳　取説</t>
    <rPh sb="0" eb="4">
      <t>セイビテチョウ</t>
    </rPh>
    <rPh sb="5" eb="7">
      <t>トリセツ</t>
    </rPh>
    <phoneticPr fontId="13"/>
  </si>
  <si>
    <t>582 あ 3564</t>
    <phoneticPr fontId="13"/>
  </si>
  <si>
    <t>A285320</t>
    <phoneticPr fontId="13"/>
  </si>
  <si>
    <t>L700S-0276568</t>
    <phoneticPr fontId="13"/>
  </si>
  <si>
    <t>中川 海渡</t>
    <rPh sb="0" eb="2">
      <t>ナカガワ</t>
    </rPh>
    <rPh sb="3" eb="4">
      <t>ウミ</t>
    </rPh>
    <rPh sb="4" eb="5">
      <t>ワタル</t>
    </rPh>
    <phoneticPr fontId="13"/>
  </si>
  <si>
    <t>ﾊｲｾﾞｯﾄT　冷凍</t>
    <rPh sb="8" eb="10">
      <t>レイトウ</t>
    </rPh>
    <phoneticPr fontId="13"/>
  </si>
  <si>
    <t>神戸 481 り 3065</t>
    <rPh sb="0" eb="2">
      <t>コウベ</t>
    </rPh>
    <phoneticPr fontId="13"/>
  </si>
  <si>
    <t>事業車</t>
    <rPh sb="0" eb="2">
      <t>ジギョウ</t>
    </rPh>
    <rPh sb="2" eb="3">
      <t>シャ</t>
    </rPh>
    <phoneticPr fontId="13"/>
  </si>
  <si>
    <t>S500P-0091044</t>
    <phoneticPr fontId="13"/>
  </si>
  <si>
    <t>ﾔﾏﾄ運輸株式会社</t>
    <rPh sb="3" eb="9">
      <t>ウンユカブシキガイシャ</t>
    </rPh>
    <phoneticPr fontId="13"/>
  </si>
  <si>
    <t>沼津 399 ち 2995</t>
    <rPh sb="0" eb="2">
      <t>ヌマヅ</t>
    </rPh>
    <phoneticPr fontId="13"/>
  </si>
  <si>
    <t>保証書　取説　予備ｷｰ　ﾜﾝｵｰﾅｰ</t>
    <rPh sb="0" eb="3">
      <t>ホショウショ</t>
    </rPh>
    <rPh sb="4" eb="6">
      <t>トリセツ</t>
    </rPh>
    <rPh sb="7" eb="9">
      <t>ヨビ</t>
    </rPh>
    <phoneticPr fontId="13"/>
  </si>
  <si>
    <t>VF7SXHNZTJT546523</t>
    <phoneticPr fontId="13"/>
  </si>
  <si>
    <t>株式会社ｴｰｴﾙｼｰ</t>
    <rPh sb="0" eb="4">
      <t>カブシキガイシャ</t>
    </rPh>
    <phoneticPr fontId="13"/>
  </si>
  <si>
    <t>ﾜｺﾞﾝRｽﾃｨﾝｸﾞﾚｰ 4WD</t>
    <phoneticPr fontId="13"/>
  </si>
  <si>
    <t>岐阜 585 ろ 9630</t>
    <rPh sb="0" eb="2">
      <t>ギフ</t>
    </rPh>
    <phoneticPr fontId="13"/>
  </si>
  <si>
    <t>ﾐﾗｲﾌﾞ愛知(ｱｲｵｰｸ)</t>
    <rPh sb="5" eb="7">
      <t>アイチ</t>
    </rPh>
    <phoneticPr fontId="13"/>
  </si>
  <si>
    <t>MH23S-594324</t>
    <phoneticPr fontId="13"/>
  </si>
  <si>
    <t>岐阜ﾄﾖﾍﾟｯﾄ株式会社</t>
    <rPh sb="0" eb="2">
      <t>ギフ</t>
    </rPh>
    <rPh sb="8" eb="12">
      <t>カブシキガイシャ</t>
    </rPh>
    <phoneticPr fontId="13"/>
  </si>
  <si>
    <t>ｱｳﾃﾞｨA6　ｵｰﾙﾛｰﾄﾞｸﾜﾄﾛﾍﾞｰｽｸﾞﾚｰﾄﾞ</t>
    <phoneticPr fontId="13"/>
  </si>
  <si>
    <t>筑豊 333 せ 26</t>
    <rPh sb="0" eb="2">
      <t>チクホウ</t>
    </rPh>
    <phoneticPr fontId="13"/>
  </si>
  <si>
    <t>WAUZZZ4G1EN168505</t>
    <phoneticPr fontId="13"/>
  </si>
  <si>
    <t>鶴本 修</t>
    <rPh sb="0" eb="2">
      <t>ツルモト</t>
    </rPh>
    <rPh sb="3" eb="4">
      <t>オサム</t>
    </rPh>
    <phoneticPr fontId="13"/>
  </si>
  <si>
    <t>ｼﾞｬｶﾞｰ XF ｽﾎﾟｰﾂﾌﾟﾚｽﾃｰｼﾞ</t>
    <phoneticPr fontId="13"/>
  </si>
  <si>
    <t>江東 310 す 3928</t>
    <rPh sb="0" eb="2">
      <t>エトウ</t>
    </rPh>
    <phoneticPr fontId="13"/>
  </si>
  <si>
    <t>301 ね 423</t>
    <phoneticPr fontId="13"/>
  </si>
  <si>
    <t>SAJBB2AX1JCY67791</t>
    <phoneticPr fontId="13"/>
  </si>
  <si>
    <t>大谷 潤</t>
    <rPh sb="0" eb="2">
      <t>オオタニ</t>
    </rPh>
    <rPh sb="3" eb="4">
      <t>ジュン</t>
    </rPh>
    <phoneticPr fontId="13"/>
  </si>
  <si>
    <t>8/3/21</t>
    <phoneticPr fontId="13"/>
  </si>
  <si>
    <t>愛媛 332 た 1812</t>
    <rPh sb="0" eb="2">
      <t>エヒメ</t>
    </rPh>
    <phoneticPr fontId="13"/>
  </si>
  <si>
    <t>SAJBB4AV9HCY34848</t>
    <phoneticPr fontId="13"/>
  </si>
  <si>
    <t>保証書 取説 ｷｰﾚｽ ﾒｶｷｰ</t>
    <rPh sb="0" eb="3">
      <t>ホショウショ</t>
    </rPh>
    <rPh sb="4" eb="6">
      <t>トリセツ</t>
    </rPh>
    <phoneticPr fontId="13"/>
  </si>
  <si>
    <t>ﾉｱ Si</t>
    <phoneticPr fontId="13"/>
  </si>
  <si>
    <t>8/5/27</t>
    <phoneticPr fontId="13"/>
  </si>
  <si>
    <t>群馬 330 む 3819</t>
    <rPh sb="0" eb="2">
      <t>グンマ</t>
    </rPh>
    <phoneticPr fontId="13"/>
  </si>
  <si>
    <t>保証書後送ｾﾙｶ確認中</t>
    <rPh sb="0" eb="3">
      <t>ホショウショ</t>
    </rPh>
    <rPh sb="3" eb="5">
      <t>ゴソウ</t>
    </rPh>
    <rPh sb="8" eb="10">
      <t>カクニン</t>
    </rPh>
    <rPh sb="10" eb="11">
      <t>チュウ</t>
    </rPh>
    <phoneticPr fontId="13"/>
  </si>
  <si>
    <t>A287529</t>
    <phoneticPr fontId="13"/>
  </si>
  <si>
    <t>ZRR80-0671892</t>
    <phoneticPr fontId="13"/>
  </si>
  <si>
    <t>ﾄﾖﾀｶﾛｰﾗ群馬株式会社</t>
    <rPh sb="7" eb="9">
      <t>グンマ</t>
    </rPh>
    <rPh sb="9" eb="13">
      <t>カブシキガイシャ</t>
    </rPh>
    <phoneticPr fontId="13"/>
  </si>
  <si>
    <t>直送</t>
    <rPh sb="0" eb="2">
      <t>チョクソウ</t>
    </rPh>
    <phoneticPr fontId="13"/>
  </si>
  <si>
    <t xml:space="preserve">ﾏｲｸﾛ地図SD(車内)整備手帳 取説 </t>
    <rPh sb="12" eb="14">
      <t>セイビ</t>
    </rPh>
    <rPh sb="14" eb="16">
      <t>テチョウ</t>
    </rPh>
    <rPh sb="17" eb="19">
      <t>トリセツ</t>
    </rPh>
    <phoneticPr fontId="13"/>
  </si>
  <si>
    <t>1265回37410売ｷｬﾝｾﾙ ｽﾍﾟｱｷｰ返送なし</t>
    <rPh sb="4" eb="5">
      <t>カイ</t>
    </rPh>
    <rPh sb="10" eb="11">
      <t>ウ</t>
    </rPh>
    <rPh sb="23" eb="25">
      <t>ヘンソウ</t>
    </rPh>
    <phoneticPr fontId="13"/>
  </si>
  <si>
    <t>ﾊｲｾﾞｯﾄｶｰｺﾞ SA3</t>
    <phoneticPr fontId="13"/>
  </si>
  <si>
    <t>なにわ 687 ろ 2835</t>
    <phoneticPr fontId="13"/>
  </si>
  <si>
    <t>S321V-0441933</t>
    <phoneticPr fontId="13"/>
  </si>
  <si>
    <t>株式会社ｲﾁﾈﾝ</t>
    <rPh sb="0" eb="4">
      <t>カブシキガイシャ</t>
    </rPh>
    <phoneticPr fontId="13"/>
  </si>
  <si>
    <t>7/17</t>
    <phoneticPr fontId="13"/>
  </si>
  <si>
    <t>保証書なしｸﾚｰﾑ済 値引き22.000</t>
    <rPh sb="0" eb="3">
      <t>ホショウショ</t>
    </rPh>
    <rPh sb="9" eb="10">
      <t>ズ</t>
    </rPh>
    <rPh sb="11" eb="13">
      <t>ネビ</t>
    </rPh>
    <phoneticPr fontId="13"/>
  </si>
  <si>
    <t>ﾙﾉｰ ﾙｰﾃｼｱ ｲﾝﾃﾝｽ ﾃｯｸﾊﾟｯｸ</t>
    <phoneticPr fontId="13"/>
  </si>
  <si>
    <t>8/6/3</t>
    <phoneticPr fontId="13"/>
  </si>
  <si>
    <t>神戸 358 ふ 725</t>
    <rPh sb="0" eb="2">
      <t>コウベ</t>
    </rPh>
    <phoneticPr fontId="13"/>
  </si>
  <si>
    <t xml:space="preserve">         </t>
    <phoneticPr fontId="13"/>
  </si>
  <si>
    <t>301 ぬ 9782</t>
    <phoneticPr fontId="13"/>
  </si>
  <si>
    <t>VF1RJA001M0821154</t>
    <phoneticPr fontId="13"/>
  </si>
  <si>
    <t>7/22</t>
    <phoneticPr fontId="13"/>
  </si>
  <si>
    <t>保証書 取説 ｽﾍﾟｱｷｰ ﾜﾝｵｰﾅｰ 車庫出し</t>
    <rPh sb="0" eb="3">
      <t>ホショウショ</t>
    </rPh>
    <rPh sb="4" eb="6">
      <t>トリセツ</t>
    </rPh>
    <rPh sb="21" eb="24">
      <t>シャコダ</t>
    </rPh>
    <phoneticPr fontId="13"/>
  </si>
  <si>
    <t>ﾊｲｳｪｲｽﾀｰX Vｾﾚｸｼｮﾝ</t>
    <phoneticPr fontId="13"/>
  </si>
  <si>
    <t>8/5/11</t>
    <phoneticPr fontId="13"/>
  </si>
  <si>
    <t>沼津 580 て 2403</t>
    <rPh sb="0" eb="2">
      <t>ヌマヅ</t>
    </rPh>
    <phoneticPr fontId="13"/>
  </si>
  <si>
    <t>A288237</t>
    <phoneticPr fontId="13"/>
  </si>
  <si>
    <t>B21A-0336200</t>
    <phoneticPr fontId="13"/>
  </si>
  <si>
    <t>久野 明日香</t>
    <rPh sb="0" eb="2">
      <t>クノ</t>
    </rPh>
    <rPh sb="3" eb="6">
      <t>アスカ</t>
    </rPh>
    <phoneticPr fontId="13"/>
  </si>
  <si>
    <t>7/24</t>
    <phoneticPr fontId="13"/>
  </si>
  <si>
    <t>29/</t>
    <phoneticPr fontId="13"/>
  </si>
  <si>
    <t>倉敷 300 ぬ 3858</t>
    <rPh sb="0" eb="2">
      <t>クラシキ</t>
    </rPh>
    <phoneticPr fontId="13"/>
  </si>
  <si>
    <t>SALCA2AG4HH650568</t>
    <phoneticPr fontId="13"/>
  </si>
  <si>
    <t>有限会社ｶﾞﾚｰｼﾞｲﾝﾍﾟﾘｱﾙ</t>
    <rPh sb="0" eb="4">
      <t>ユウゲンカイシャ</t>
    </rPh>
    <phoneticPr fontId="13"/>
  </si>
  <si>
    <t xml:space="preserve">ｱｳﾃﾞｨ TTS ｸｰﾍﾟ </t>
    <phoneticPr fontId="13"/>
  </si>
  <si>
    <t>9/2/27</t>
    <phoneticPr fontId="13"/>
  </si>
  <si>
    <t>品川 330 る 8666</t>
    <rPh sb="0" eb="2">
      <t>シナガワ</t>
    </rPh>
    <phoneticPr fontId="13"/>
  </si>
  <si>
    <t>保証書 取説 名変期限8/29まで</t>
    <rPh sb="0" eb="3">
      <t>ホショウショ</t>
    </rPh>
    <rPh sb="4" eb="6">
      <t>トリセツ</t>
    </rPh>
    <rPh sb="7" eb="11">
      <t>メイヘンキゲン</t>
    </rPh>
    <phoneticPr fontId="13"/>
  </si>
  <si>
    <t>301 ぬ 9850</t>
    <phoneticPr fontId="13"/>
  </si>
  <si>
    <t>TRUZZZFV2L1003717</t>
    <phoneticPr fontId="13"/>
  </si>
  <si>
    <t>医療法人社団関戸ｸﾘﾆｯｸ</t>
    <rPh sb="0" eb="6">
      <t>イリョウホウジンシャダン</t>
    </rPh>
    <rPh sb="6" eb="8">
      <t>セキド</t>
    </rPh>
    <phoneticPr fontId="13"/>
  </si>
  <si>
    <t xml:space="preserve">保証書 取説 ｷｰﾚｽ ﾜﾝｵｰﾅｰ </t>
    <rPh sb="0" eb="3">
      <t>ホショウショ</t>
    </rPh>
    <rPh sb="4" eb="6">
      <t>トリセツ</t>
    </rPh>
    <phoneticPr fontId="13"/>
  </si>
  <si>
    <t>ﾗﾝﾄﾞｸﾙｰｻﾞｰ</t>
    <phoneticPr fontId="13"/>
  </si>
  <si>
    <t>新車 ﾈｯﾂﾄﾖﾀ</t>
    <rPh sb="0" eb="2">
      <t>シンシャ</t>
    </rPh>
    <phoneticPr fontId="13"/>
  </si>
  <si>
    <t>GDJ76-1007991</t>
    <phoneticPr fontId="13"/>
  </si>
  <si>
    <t>瀧井 良介</t>
    <rPh sb="0" eb="2">
      <t>タキイ</t>
    </rPh>
    <rPh sb="3" eb="5">
      <t>リョウスケ</t>
    </rPh>
    <phoneticPr fontId="13"/>
  </si>
  <si>
    <t>7/15</t>
    <phoneticPr fontId="13"/>
  </si>
  <si>
    <t>N-BOXｶｽﾀﾑ G ﾀｰﾎﾞ Lﾊﾟｯｹｰｼﾞ</t>
    <phoneticPr fontId="13"/>
  </si>
  <si>
    <t>江東 580 ろ 902</t>
    <rPh sb="0" eb="2">
      <t>エトウ</t>
    </rPh>
    <phoneticPr fontId="13"/>
  </si>
  <si>
    <t>紫</t>
    <rPh sb="0" eb="1">
      <t>ムラサキ</t>
    </rPh>
    <phoneticPr fontId="13"/>
  </si>
  <si>
    <t>JF1-2504730</t>
    <phoneticPr fontId="13"/>
  </si>
  <si>
    <t>三井住友ｶｰﾄﾞ株式会社</t>
    <rPh sb="0" eb="4">
      <t>ミツイスミトモ</t>
    </rPh>
    <rPh sb="8" eb="12">
      <t>カブシキガイシャ</t>
    </rPh>
    <phoneticPr fontId="13"/>
  </si>
  <si>
    <t>ﾊｽﾗｰ ﾊｲﾌﾞﾘｯﾄﾞG</t>
    <phoneticPr fontId="13"/>
  </si>
  <si>
    <t>広島 586 ろ 6997</t>
    <rPh sb="0" eb="2">
      <t>ヒロシマ</t>
    </rPh>
    <phoneticPr fontId="13"/>
  </si>
  <si>
    <t>保証書 取説 予備ｷｰ ﾚﾝﾀｶｰ</t>
    <rPh sb="0" eb="3">
      <t>ホショウショ</t>
    </rPh>
    <rPh sb="4" eb="6">
      <t>トリセツ</t>
    </rPh>
    <rPh sb="7" eb="9">
      <t>ヨビ</t>
    </rPh>
    <phoneticPr fontId="13"/>
  </si>
  <si>
    <t>MR92S-189270</t>
    <phoneticPr fontId="13"/>
  </si>
  <si>
    <t>ﾀｲﾑｽﾞﾓﾋﾞﾘﾃｨ株式会社</t>
    <rPh sb="11" eb="15">
      <t>カブシキガイシャ</t>
    </rPh>
    <phoneticPr fontId="13"/>
  </si>
  <si>
    <t>ｷｭｰﾌﾞ 福祉車両</t>
    <rPh sb="6" eb="10">
      <t>フクシシャリョウ</t>
    </rPh>
    <phoneticPr fontId="13"/>
  </si>
  <si>
    <t>品川 899 と 9477</t>
    <rPh sb="0" eb="2">
      <t>シナガワ</t>
    </rPh>
    <phoneticPr fontId="13"/>
  </si>
  <si>
    <t>Z12-400402</t>
    <phoneticPr fontId="13"/>
  </si>
  <si>
    <t>日本ｶｰｿﾘｭｰｼﾞｮﾝ株式会社</t>
    <rPh sb="0" eb="2">
      <t>ニッポン</t>
    </rPh>
    <rPh sb="12" eb="16">
      <t>カブシキガイシャ</t>
    </rPh>
    <phoneticPr fontId="13"/>
  </si>
  <si>
    <t>20/11</t>
    <phoneticPr fontId="13"/>
  </si>
  <si>
    <t>ﾐﾗｼﾞｰﾉ L</t>
    <phoneticPr fontId="13"/>
  </si>
  <si>
    <t>7/11</t>
    <phoneticPr fontId="13"/>
  </si>
  <si>
    <t>岡山 583 さ 173</t>
    <rPh sb="0" eb="2">
      <t>オカヤマ</t>
    </rPh>
    <phoneticPr fontId="13"/>
  </si>
  <si>
    <t>582 あ 6429</t>
    <phoneticPr fontId="13"/>
  </si>
  <si>
    <t>L650S-0077550</t>
    <phoneticPr fontId="13"/>
  </si>
  <si>
    <t>稲川 真央</t>
    <rPh sb="0" eb="2">
      <t>イナカワ</t>
    </rPh>
    <rPh sb="3" eb="5">
      <t>マオ</t>
    </rPh>
    <phoneticPr fontId="13"/>
  </si>
  <si>
    <t>ｶﾛｰﾗﾌｨｰﾙﾀﾞｰ ﾊｲﾌﾞﾘｯﾄﾞEX</t>
    <phoneticPr fontId="13"/>
  </si>
  <si>
    <t>名古屋 778 そ 723</t>
    <rPh sb="0" eb="3">
      <t>ナゴヤ</t>
    </rPh>
    <phoneticPr fontId="13"/>
  </si>
  <si>
    <t>NKE165-7232054</t>
    <phoneticPr fontId="13"/>
  </si>
  <si>
    <t>株式会社ﾄﾖﾀﾚﾝﾀﾘｰｽ名古屋</t>
    <rPh sb="0" eb="4">
      <t>カブシキガイシャ</t>
    </rPh>
    <rPh sb="13" eb="16">
      <t>ナゴヤ</t>
    </rPh>
    <phoneticPr fontId="13"/>
  </si>
  <si>
    <t>保証書 取説 ｷｰﾚｽ(車内)地図SD</t>
    <rPh sb="0" eb="3">
      <t>ホショウショ</t>
    </rPh>
    <rPh sb="4" eb="6">
      <t>トリセツ</t>
    </rPh>
    <rPh sb="15" eb="17">
      <t>チズ</t>
    </rPh>
    <phoneticPr fontId="13"/>
  </si>
  <si>
    <t>ｱｸｱ Z</t>
    <phoneticPr fontId="13"/>
  </si>
  <si>
    <t>8/8/25</t>
    <phoneticPr fontId="13"/>
  </si>
  <si>
    <t>福山 501 に 2763</t>
    <rPh sb="0" eb="2">
      <t>フクヤマ</t>
    </rPh>
    <phoneticPr fontId="13"/>
  </si>
  <si>
    <t>501 も 9419</t>
    <phoneticPr fontId="13"/>
  </si>
  <si>
    <t>MXPK11-2012623</t>
    <phoneticPr fontId="13"/>
  </si>
  <si>
    <t>法野 庫夫</t>
    <rPh sb="0" eb="1">
      <t>ホウ</t>
    </rPh>
    <rPh sb="1" eb="2">
      <t>ノ</t>
    </rPh>
    <rPh sb="3" eb="4">
      <t>コ</t>
    </rPh>
    <rPh sb="4" eb="5">
      <t>オット</t>
    </rPh>
    <phoneticPr fontId="13"/>
  </si>
  <si>
    <t>岡山 336 さ 8228</t>
    <rPh sb="0" eb="2">
      <t>オカヤマ</t>
    </rPh>
    <phoneticPr fontId="13"/>
  </si>
  <si>
    <t>WMWXM720203B16534</t>
    <phoneticPr fontId="13"/>
  </si>
  <si>
    <t>BMWﾐﾆｸｰﾊﾟｰS ｾﾌﾞﾝ</t>
    <phoneticPr fontId="13"/>
  </si>
  <si>
    <t>品川 303 つ 620</t>
    <rPh sb="0" eb="2">
      <t>シナガワ</t>
    </rPh>
    <phoneticPr fontId="13"/>
  </si>
  <si>
    <t>WMWXM720302A80097</t>
    <phoneticPr fontId="13"/>
  </si>
  <si>
    <t>株式会社ABEMOTORS</t>
    <rPh sb="0" eb="4">
      <t>カブシキガイシャ</t>
    </rPh>
    <phoneticPr fontId="13"/>
  </si>
  <si>
    <t>7/26</t>
    <phoneticPr fontId="13"/>
  </si>
  <si>
    <t>N-BOXｶｽﾀﾑ Lﾀｰﾎﾞｽﾀｲﾙ</t>
    <phoneticPr fontId="13"/>
  </si>
  <si>
    <t>9/2/21</t>
    <phoneticPr fontId="13"/>
  </si>
  <si>
    <t>和歌山 589 て 31</t>
    <rPh sb="0" eb="3">
      <t>ワカヤマ</t>
    </rPh>
    <phoneticPr fontId="13"/>
  </si>
  <si>
    <t>A291227</t>
    <phoneticPr fontId="13"/>
  </si>
  <si>
    <t>JF3-2356198</t>
    <phoneticPr fontId="13"/>
  </si>
  <si>
    <t>株式会社ﾎﾝﾀﾞﾌｧｲﾅｽ</t>
    <rPh sb="0" eb="4">
      <t>カブシキカイシャ</t>
    </rPh>
    <phoneticPr fontId="13"/>
  </si>
  <si>
    <t>8/28</t>
    <phoneticPr fontId="13"/>
  </si>
  <si>
    <t>ﾌﾚｱｸﾛｽｵｰﾊﾞｰ ZT</t>
    <phoneticPr fontId="13"/>
  </si>
  <si>
    <t>9/9/9</t>
    <phoneticPr fontId="13"/>
  </si>
  <si>
    <t>横浜 584 も 2255</t>
    <rPh sb="0" eb="2">
      <t>ヨコハマ</t>
    </rPh>
    <phoneticPr fontId="13"/>
  </si>
  <si>
    <t>A291451</t>
    <phoneticPr fontId="13"/>
  </si>
  <si>
    <t>MS52S-450200</t>
    <phoneticPr fontId="13"/>
  </si>
  <si>
    <t>石川 優依</t>
    <rPh sb="0" eb="2">
      <t>イシカワ</t>
    </rPh>
    <rPh sb="3" eb="5">
      <t>ユイ</t>
    </rPh>
    <phoneticPr fontId="13"/>
  </si>
  <si>
    <t>広島 581 く 1740</t>
    <rPh sb="0" eb="2">
      <t>ヒロシマ</t>
    </rPh>
    <phoneticPr fontId="13"/>
  </si>
  <si>
    <t>582 あ 6435</t>
    <phoneticPr fontId="13"/>
  </si>
  <si>
    <t>HE22S-849651</t>
    <phoneticPr fontId="13"/>
  </si>
  <si>
    <t>株式会社ｽｽﾞｷ自販広島</t>
    <rPh sb="0" eb="4">
      <t>カブシキガイシャ</t>
    </rPh>
    <rPh sb="8" eb="10">
      <t>ジハン</t>
    </rPh>
    <rPh sb="10" eb="12">
      <t>ヒロシマ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</si>
  <si>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</si>
  <si>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BMWﾐﾆ ｳﾞｨｸﾄﾘｱ</t>
    <phoneticPr fontId="13"/>
  </si>
  <si>
    <t>名古屋 326 ほ 6258</t>
    <rPh sb="0" eb="3">
      <t>ナゴヤ</t>
    </rPh>
    <phoneticPr fontId="13"/>
  </si>
  <si>
    <t xml:space="preserve">保証書 取説 予備ｷｰ </t>
    <rPh sb="0" eb="3">
      <t>ホショウショ</t>
    </rPh>
    <rPh sb="4" eb="6">
      <t>トリセツ</t>
    </rPh>
    <rPh sb="7" eb="9">
      <t>ヨビ</t>
    </rPh>
    <phoneticPr fontId="13"/>
  </si>
  <si>
    <t>CAA岐阜(まとめ)</t>
    <rPh sb="3" eb="5">
      <t>ギフ</t>
    </rPh>
    <phoneticPr fontId="13"/>
  </si>
  <si>
    <t>WMWXR120302M92161</t>
    <phoneticPr fontId="13"/>
  </si>
  <si>
    <t>ﾀﾝﾄ 車椅子移動車</t>
    <rPh sb="4" eb="7">
      <t>クルマイス</t>
    </rPh>
    <rPh sb="7" eb="10">
      <t>イドウシャ</t>
    </rPh>
    <phoneticPr fontId="13"/>
  </si>
  <si>
    <t>多摩 591 ろ 3619</t>
    <rPh sb="0" eb="2">
      <t>タマ</t>
    </rPh>
    <phoneticPr fontId="13"/>
  </si>
  <si>
    <t>LA600S-0604649</t>
    <phoneticPr fontId="13"/>
  </si>
  <si>
    <t>取説 ﾘﾓｺﾝ (車内)保証書</t>
    <rPh sb="0" eb="2">
      <t>トリセツ</t>
    </rPh>
    <rPh sb="9" eb="11">
      <t>シャナイ</t>
    </rPh>
    <rPh sb="12" eb="15">
      <t>ホショウショ</t>
    </rPh>
    <phoneticPr fontId="13"/>
  </si>
  <si>
    <t>富士山 581 ふ 1877</t>
    <rPh sb="0" eb="3">
      <t>フジサン</t>
    </rPh>
    <phoneticPr fontId="13"/>
  </si>
  <si>
    <t>取説 ｷｰﾚｽ ﾅﾋﾞ取 ｽﾏｰﾄｷｰ</t>
    <rPh sb="0" eb="2">
      <t>トリセツ</t>
    </rPh>
    <rPh sb="11" eb="12">
      <t>トリ</t>
    </rPh>
    <phoneticPr fontId="13"/>
  </si>
  <si>
    <t>JF1-2503576</t>
    <phoneticPr fontId="13"/>
  </si>
  <si>
    <t>勝野 保延</t>
    <rPh sb="0" eb="2">
      <t>カツノ</t>
    </rPh>
    <rPh sb="3" eb="4">
      <t>ホ</t>
    </rPh>
    <rPh sb="4" eb="5">
      <t>ノ</t>
    </rPh>
    <phoneticPr fontId="13"/>
  </si>
  <si>
    <t>取説 ﾅﾋﾞ取 ｷｰﾚｽ</t>
    <rPh sb="0" eb="2">
      <t>トリセツ</t>
    </rPh>
    <rPh sb="6" eb="7">
      <t>トリ</t>
    </rPh>
    <phoneticPr fontId="13"/>
  </si>
  <si>
    <t>BMW 6ｼﾘｰｽﾞ 630i ｸﾞﾗﾝﾂｰﾘｽﾓ</t>
    <phoneticPr fontId="13"/>
  </si>
  <si>
    <t>8/4/23</t>
    <phoneticPr fontId="13"/>
  </si>
  <si>
    <t>福岡 303 ひ 7552</t>
    <rPh sb="0" eb="2">
      <t>フクオカ</t>
    </rPh>
    <phoneticPr fontId="13"/>
  </si>
  <si>
    <t>WBAJX620X0BJ23953</t>
    <phoneticPr fontId="13"/>
  </si>
  <si>
    <t>8/12</t>
    <phoneticPr fontId="13"/>
  </si>
  <si>
    <t>所沢 302 た 3774</t>
    <rPh sb="0" eb="2">
      <t>トコロザワ</t>
    </rPh>
    <phoneticPr fontId="13"/>
  </si>
  <si>
    <t>3014 ぬ 9848</t>
    <phoneticPr fontId="13"/>
  </si>
  <si>
    <t>ﾎﾝﾀﾞ東京(まとめ)</t>
    <rPh sb="4" eb="6">
      <t>トウキョウ</t>
    </rPh>
    <phoneticPr fontId="13"/>
  </si>
  <si>
    <t>WMWXM720102E25630</t>
    <phoneticPr fontId="13"/>
  </si>
  <si>
    <t>株式会社ﾎﾝﾀﾞﾓﾋﾞﾘﾃｨ南関東</t>
    <rPh sb="0" eb="4">
      <t>カブシキガイシャ</t>
    </rPh>
    <rPh sb="14" eb="15">
      <t>ミナミ</t>
    </rPh>
    <rPh sb="15" eb="17">
      <t>カントウ</t>
    </rPh>
    <phoneticPr fontId="13"/>
  </si>
  <si>
    <t xml:space="preserve">ｷｰﾚｽ(車内)保証書 取説 </t>
    <rPh sb="5" eb="7">
      <t>シャナイ</t>
    </rPh>
    <rPh sb="8" eb="11">
      <t>ホショウショ</t>
    </rPh>
    <rPh sb="12" eb="14">
      <t>トリセツ</t>
    </rPh>
    <phoneticPr fontId="13"/>
  </si>
  <si>
    <t>BMW3ｼﾘｰｽﾞ 320i Mｽﾎﾟｰﾂ</t>
    <phoneticPr fontId="13"/>
  </si>
  <si>
    <t>世田谷 300 て 836</t>
    <rPh sb="0" eb="3">
      <t>セタガヤ</t>
    </rPh>
    <phoneticPr fontId="13"/>
  </si>
  <si>
    <t>WBA8A16050NT28799</t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</si>
  <si>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</si>
  <si>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23/4</t>
    <phoneticPr fontId="13"/>
  </si>
  <si>
    <t>ﾊﾟｼﾞｬﾛﾐﾆ VR</t>
    <phoneticPr fontId="13"/>
  </si>
  <si>
    <t>8/6</t>
    <phoneticPr fontId="13"/>
  </si>
  <si>
    <t>山口 581 む 5776</t>
    <rPh sb="0" eb="2">
      <t>ヤマグチ</t>
    </rPh>
    <phoneticPr fontId="13"/>
  </si>
  <si>
    <t>582 あ 6427</t>
    <phoneticPr fontId="13"/>
  </si>
  <si>
    <t>H58A-1005839</t>
    <phoneticPr fontId="13"/>
  </si>
  <si>
    <t>ﾜｺﾞﾝR ﾘﾐﾃｯﾄﾞ</t>
    <phoneticPr fontId="13"/>
  </si>
  <si>
    <t>和泉 585 を 1717</t>
    <rPh sb="0" eb="2">
      <t>イズミ</t>
    </rPh>
    <phoneticPr fontId="13"/>
  </si>
  <si>
    <t>MH23S-714551</t>
    <phoneticPr fontId="13"/>
  </si>
  <si>
    <t>株式会社南海ｽｽﾞｷ</t>
    <rPh sb="0" eb="4">
      <t>カブシキガイシャ</t>
    </rPh>
    <rPh sb="4" eb="6">
      <t>ナンカイ</t>
    </rPh>
    <phoneticPr fontId="13"/>
  </si>
  <si>
    <t>ﾗﾝﾄﾞﾛｰﾊﾞｰ ﾚﾝｼﾞﾛｰﾊﾞｰｲｳﾞｫｰｸ</t>
    <phoneticPr fontId="13"/>
  </si>
  <si>
    <t>8/7/27</t>
    <phoneticPr fontId="13"/>
  </si>
  <si>
    <t>習志野 393 そ 55</t>
    <rPh sb="0" eb="3">
      <t>ナラシノ</t>
    </rPh>
    <phoneticPr fontId="13"/>
  </si>
  <si>
    <t>SALGA2EV1HA344303</t>
    <phoneticPr fontId="13"/>
  </si>
  <si>
    <t>1/9</t>
    <phoneticPr fontId="13"/>
  </si>
  <si>
    <t>ｼﾞｬｶﾞｰ XF</t>
    <phoneticPr fontId="13"/>
  </si>
  <si>
    <t>8/9/29</t>
    <phoneticPr fontId="13"/>
  </si>
  <si>
    <t>足立 354 ら 1117</t>
    <rPh sb="0" eb="2">
      <t>アダチ</t>
    </rPh>
    <phoneticPr fontId="13"/>
  </si>
  <si>
    <t>301 ね 424</t>
    <phoneticPr fontId="13"/>
  </si>
  <si>
    <t>SAJBB4AX2LCY85117</t>
    <phoneticPr fontId="13"/>
  </si>
  <si>
    <t>小倉不動産株式会社</t>
    <rPh sb="0" eb="2">
      <t>オグラ</t>
    </rPh>
    <rPh sb="2" eb="5">
      <t>フドウサン</t>
    </rPh>
    <rPh sb="5" eb="9">
      <t>カブシキガイシャ</t>
    </rPh>
    <phoneticPr fontId="13"/>
  </si>
  <si>
    <t>ﾃﾞｲｽﾞ ﾊｲｳｪｽﾀｰX</t>
    <phoneticPr fontId="13"/>
  </si>
  <si>
    <t>7/9/30</t>
    <phoneticPr fontId="13"/>
  </si>
  <si>
    <t>飛騨　580　か　7476</t>
    <rPh sb="0" eb="2">
      <t>ヒダ</t>
    </rPh>
    <phoneticPr fontId="13"/>
  </si>
  <si>
    <t>保証書　取説　ﾅﾋﾞ取説</t>
    <rPh sb="0" eb="3">
      <t>ホショウショ</t>
    </rPh>
    <rPh sb="4" eb="6">
      <t>トリセツ</t>
    </rPh>
    <rPh sb="10" eb="12">
      <t>トリセツ</t>
    </rPh>
    <phoneticPr fontId="13"/>
  </si>
  <si>
    <t>B21Wｰ0187607</t>
    <phoneticPr fontId="13"/>
  </si>
  <si>
    <t>沖本 恵</t>
    <rPh sb="0" eb="2">
      <t>オキモト</t>
    </rPh>
    <rPh sb="3" eb="4">
      <t>メグミ</t>
    </rPh>
    <phoneticPr fontId="13"/>
  </si>
  <si>
    <t>地図SD(車内)保証書 取説</t>
    <rPh sb="8" eb="11">
      <t>ホショウショ</t>
    </rPh>
    <rPh sb="12" eb="14">
      <t>トリセツ</t>
    </rPh>
    <phoneticPr fontId="13"/>
  </si>
  <si>
    <t>3/１</t>
    <phoneticPr fontId="13"/>
  </si>
  <si>
    <t>ﾊｽﾗｰ　ハイブリッドXﾀｰﾎﾞ</t>
    <phoneticPr fontId="13"/>
  </si>
  <si>
    <t>品川 5X0 ろ 3943</t>
    <rPh sb="0" eb="2">
      <t>シナガワ</t>
    </rPh>
    <phoneticPr fontId="13"/>
  </si>
  <si>
    <t>保証書　取説　ﾜﾝｵｰﾅｰ</t>
    <rPh sb="4" eb="6">
      <t>トリセツ</t>
    </rPh>
    <phoneticPr fontId="13"/>
  </si>
  <si>
    <t>MR52Sｰ122096</t>
    <phoneticPr fontId="13"/>
  </si>
  <si>
    <t>保証書 取説 ﾜﾝｵｰﾅｰ無視OK</t>
    <rPh sb="0" eb="3">
      <t>ホショウショ</t>
    </rPh>
    <rPh sb="4" eb="6">
      <t>トリセツ</t>
    </rPh>
    <rPh sb="13" eb="15">
      <t>ムシ</t>
    </rPh>
    <phoneticPr fontId="13"/>
  </si>
  <si>
    <t>N-BOXｶｽﾀﾑ　GLﾎﾝﾀﾞｾﾝｼﾝｸﾞ</t>
    <phoneticPr fontId="13"/>
  </si>
  <si>
    <t>品川 5X0 ろ 4917</t>
    <rPh sb="0" eb="2">
      <t>シナガワ</t>
    </rPh>
    <phoneticPr fontId="13"/>
  </si>
  <si>
    <t>JF3-1291626</t>
    <phoneticPr fontId="13"/>
  </si>
  <si>
    <t>整備手帳 取説 ﾅﾋﾞ取(車内)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</si>
  <si>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N-BOX GLﾎﾝﾀﾞｾﾝｼﾝｸﾞ</t>
    <phoneticPr fontId="13"/>
  </si>
  <si>
    <t>9/4/27</t>
    <phoneticPr fontId="13"/>
  </si>
  <si>
    <t>所沢 783 つ 77</t>
    <rPh sb="0" eb="2">
      <t>トコロザワ</t>
    </rPh>
    <phoneticPr fontId="13"/>
  </si>
  <si>
    <t>A292757</t>
    <phoneticPr fontId="13"/>
  </si>
  <si>
    <t>JF3-1037904</t>
    <phoneticPr fontId="13"/>
  </si>
  <si>
    <t>ﾌﾟﾚﾐｱ株式会社</t>
    <rPh sb="5" eb="9">
      <t>カブシキカイシャ</t>
    </rPh>
    <phoneticPr fontId="13"/>
  </si>
  <si>
    <t>ｱﾙﾌｧｰﾄﾞ 2.5 SAﾊﾟｯｹｰｼﾞ</t>
    <phoneticPr fontId="13"/>
  </si>
  <si>
    <t>8/3/6</t>
    <phoneticPr fontId="13"/>
  </si>
  <si>
    <t>A288861</t>
    <phoneticPr fontId="13"/>
  </si>
  <si>
    <t>AGH30-0135182</t>
    <phoneticPr fontId="13"/>
  </si>
  <si>
    <t>ﾀﾝﾄ X 福祉車</t>
    <rPh sb="6" eb="9">
      <t>フクシシャ</t>
    </rPh>
    <phoneticPr fontId="13"/>
  </si>
  <si>
    <t>神戸 595 ろ 9195</t>
    <rPh sb="0" eb="2">
      <t>コウベ</t>
    </rPh>
    <phoneticPr fontId="13"/>
  </si>
  <si>
    <t>LA650S-0219668</t>
    <phoneticPr fontId="13"/>
  </si>
  <si>
    <t>保証書 取説 SD ﾘﾓｺﾝ ﾅﾋﾞ取</t>
    <rPh sb="0" eb="3">
      <t>ホショウショ</t>
    </rPh>
    <rPh sb="4" eb="6">
      <t>トリセツ</t>
    </rPh>
    <rPh sb="18" eb="19">
      <t>トリ</t>
    </rPh>
    <phoneticPr fontId="13"/>
  </si>
  <si>
    <t>BMWﾐﾆｸｰﾊﾟｰ SDｸﾗﾌﾞﾏﾝ</t>
    <phoneticPr fontId="13"/>
  </si>
  <si>
    <t>品川 31X や 7</t>
    <rPh sb="0" eb="2">
      <t>シナガワ</t>
    </rPh>
    <phoneticPr fontId="13"/>
  </si>
  <si>
    <t>WMW32BC0002M62221</t>
    <phoneticPr fontId="13"/>
  </si>
  <si>
    <t>ﾀﾝﾄ G</t>
    <phoneticPr fontId="13"/>
  </si>
  <si>
    <t>三河 584 き 703</t>
    <rPh sb="0" eb="2">
      <t>ミカワ</t>
    </rPh>
    <phoneticPr fontId="13"/>
  </si>
  <si>
    <t>582 あ 8913</t>
    <phoneticPr fontId="13"/>
  </si>
  <si>
    <t>ﾎﾝﾀﾞ名古屋(まとめ)</t>
    <rPh sb="6" eb="7">
      <t>（</t>
    </rPh>
    <phoneticPr fontId="13"/>
  </si>
  <si>
    <t>L375S-0424295</t>
    <phoneticPr fontId="13"/>
  </si>
  <si>
    <t>株式会社ﾎﾝﾀﾞﾓﾋﾞﾘﾃｨ中部</t>
    <rPh sb="0" eb="4">
      <t>カブシキガイシャ</t>
    </rPh>
    <rPh sb="14" eb="16">
      <t>チュウブ</t>
    </rPh>
    <phoneticPr fontId="13"/>
  </si>
  <si>
    <t>N-BOXｶｽﾀﾑ SSﾌﾞﾗｯｸｽﾀｲﾙ</t>
    <phoneticPr fontId="13"/>
  </si>
  <si>
    <t>福井 581 か 9145</t>
    <rPh sb="0" eb="2">
      <t>フクイ</t>
    </rPh>
    <phoneticPr fontId="13"/>
  </si>
  <si>
    <t>582 あ 8928</t>
    <phoneticPr fontId="13"/>
  </si>
  <si>
    <t>JF1-1873125</t>
    <phoneticPr fontId="13"/>
  </si>
  <si>
    <t>ﾎﾝﾀﾞｶｰｽﾞ福井株式会社</t>
    <rPh sb="8" eb="10">
      <t>フクイ</t>
    </rPh>
    <rPh sb="10" eb="14">
      <t>カブシキガイシャ</t>
    </rPh>
    <phoneticPr fontId="13"/>
  </si>
  <si>
    <t>通信機器</t>
    <rPh sb="0" eb="4">
      <t>ツウシンキキ</t>
    </rPh>
    <phoneticPr fontId="13"/>
  </si>
  <si>
    <t>8/4/1</t>
    <phoneticPr fontId="13"/>
  </si>
  <si>
    <t>K13-068801</t>
    <phoneticPr fontId="13"/>
  </si>
  <si>
    <t>8/21</t>
    <phoneticPr fontId="13"/>
  </si>
  <si>
    <t>24/10</t>
    <phoneticPr fontId="13"/>
  </si>
  <si>
    <t xml:space="preserve">ｳﾞｪﾙﾌｧｲｱ 2.4 Z </t>
    <phoneticPr fontId="13"/>
  </si>
  <si>
    <t>7/10/4</t>
    <phoneticPr fontId="13"/>
  </si>
  <si>
    <t>習志野 338 に 1124</t>
    <rPh sb="0" eb="3">
      <t>ナラシノ</t>
    </rPh>
    <phoneticPr fontId="13"/>
  </si>
  <si>
    <t>A293189</t>
    <phoneticPr fontId="13"/>
  </si>
  <si>
    <t>ANH20-8242208</t>
    <phoneticPr fontId="13"/>
  </si>
  <si>
    <t>医療法人社団 象和会</t>
    <rPh sb="0" eb="4">
      <t>イリョウホウジン</t>
    </rPh>
    <rPh sb="4" eb="6">
      <t>シャダン</t>
    </rPh>
    <rPh sb="7" eb="8">
      <t>ゾウ</t>
    </rPh>
    <rPh sb="8" eb="9">
      <t>ワ</t>
    </rPh>
    <rPh sb="9" eb="10">
      <t>カイ</t>
    </rPh>
    <phoneticPr fontId="13"/>
  </si>
  <si>
    <t>9/28</t>
    <phoneticPr fontId="13"/>
  </si>
  <si>
    <t>BMWﾐﾆ ｼﾞｮﾝｸｰﾊﾟｰ ﾜｰｸｽ</t>
    <phoneticPr fontId="13"/>
  </si>
  <si>
    <t>大宮 39A さ 1926</t>
    <rPh sb="0" eb="2">
      <t>オオミヤ</t>
    </rPh>
    <phoneticPr fontId="13"/>
  </si>
  <si>
    <t>ﾐﾗｲﾌﾞ埼玉(ｱｲｵｰｸ)</t>
    <rPh sb="5" eb="7">
      <t>サイタマ</t>
    </rPh>
    <phoneticPr fontId="13"/>
  </si>
  <si>
    <t>WMWXR920402N09516</t>
    <phoneticPr fontId="13"/>
  </si>
  <si>
    <t>株式会社ﾓﾄｰﾚﾝ埼玉</t>
    <rPh sb="0" eb="4">
      <t>カブシキガイシャ</t>
    </rPh>
    <rPh sb="9" eb="11">
      <t>サイタマ</t>
    </rPh>
    <phoneticPr fontId="13"/>
  </si>
  <si>
    <t>ﾙﾉｰ ﾙｰﾃｼｱ ｲﾝﾃﾝｽﾌﾟﾗｽ</t>
    <phoneticPr fontId="13"/>
  </si>
  <si>
    <t>大阪 303 ま 5955</t>
    <rPh sb="0" eb="2">
      <t>オオサカ</t>
    </rPh>
    <phoneticPr fontId="13"/>
  </si>
  <si>
    <t>VF1RJA008M0836573</t>
    <phoneticPr fontId="13"/>
  </si>
  <si>
    <t>8/9</t>
    <phoneticPr fontId="13"/>
  </si>
  <si>
    <t>末梢</t>
    <rPh sb="0" eb="2">
      <t>マッショウ</t>
    </rPh>
    <phoneticPr fontId="13"/>
  </si>
  <si>
    <t>VW ｻﾞ･ﾋﾞｰﾄﾙ ﾃﾞｻﾞｲﾝ</t>
    <phoneticPr fontId="13"/>
  </si>
  <si>
    <t>名古屋 395 す 32</t>
    <rPh sb="0" eb="3">
      <t>ナゴヤ</t>
    </rPh>
    <phoneticPr fontId="13"/>
  </si>
  <si>
    <t>ﾚﾝﾀｶｰ歴あり ｸﾚｰﾑ済</t>
    <rPh sb="5" eb="6">
      <t>レキ</t>
    </rPh>
    <rPh sb="13" eb="14">
      <t>ズ</t>
    </rPh>
    <phoneticPr fontId="13"/>
  </si>
  <si>
    <t>WVWZZZ16ZHM601156</t>
    <phoneticPr fontId="13"/>
  </si>
  <si>
    <t>株式会社K&amp;H</t>
    <rPh sb="0" eb="4">
      <t>カブシキガイシャ</t>
    </rPh>
    <phoneticPr fontId="13"/>
  </si>
  <si>
    <t>ｷｰﾚｽ(車内)保証書 取説 ﾅﾋﾞ取 ｷｰﾚｽ 地図SD  ﾚﾝﾀｶｰ歴あり</t>
    <rPh sb="5" eb="7">
      <t>シャナイ</t>
    </rPh>
    <rPh sb="8" eb="11">
      <t>ホショウショ</t>
    </rPh>
    <rPh sb="12" eb="14">
      <t>トリセツ</t>
    </rPh>
    <rPh sb="18" eb="19">
      <t>トリ</t>
    </rPh>
    <rPh sb="25" eb="27">
      <t>チズ</t>
    </rPh>
    <rPh sb="36" eb="37">
      <t>レキ</t>
    </rPh>
    <phoneticPr fontId="13"/>
  </si>
  <si>
    <t>ﾚﾝﾀｶｰで出品する</t>
    <rPh sb="6" eb="8">
      <t>シュッピン</t>
    </rPh>
    <phoneticPr fontId="13"/>
  </si>
  <si>
    <t>ﾐﾗｲｰｽ G SA3</t>
    <phoneticPr fontId="13"/>
  </si>
  <si>
    <t>S</t>
    <phoneticPr fontId="13"/>
  </si>
  <si>
    <t>奈良 581 て 5461</t>
    <rPh sb="0" eb="2">
      <t>ナラ</t>
    </rPh>
    <phoneticPr fontId="13"/>
  </si>
  <si>
    <t>582 あ 8914</t>
    <phoneticPr fontId="13"/>
  </si>
  <si>
    <t>LA350S-0436779</t>
    <phoneticPr fontId="13"/>
  </si>
  <si>
    <t>有限会社PMS</t>
    <rPh sb="0" eb="4">
      <t>ユウゲンガイシャ</t>
    </rPh>
    <phoneticPr fontId="13"/>
  </si>
  <si>
    <t>静岡 399 に 8562</t>
    <rPh sb="0" eb="2">
      <t>シズオカ</t>
    </rPh>
    <phoneticPr fontId="13"/>
  </si>
  <si>
    <t>WMWXR52030TM83591</t>
    <phoneticPr fontId="13"/>
  </si>
  <si>
    <t>静岡ﾄﾖﾀ自動車株式会社</t>
    <rPh sb="0" eb="2">
      <t>シズオカ</t>
    </rPh>
    <rPh sb="5" eb="12">
      <t>ジドウシャカブシキガイシャ</t>
    </rPh>
    <phoneticPr fontId="13"/>
  </si>
  <si>
    <t>取説 ｷｰﾚｽ ﾘﾓｺﾝ2個(車内)保証書 ﾜﾝｵｰﾅｰ</t>
    <rPh sb="0" eb="2">
      <t>トリセツ</t>
    </rPh>
    <rPh sb="13" eb="14">
      <t>コ</t>
    </rPh>
    <rPh sb="18" eb="21">
      <t>ホショウショ</t>
    </rPh>
    <phoneticPr fontId="13"/>
  </si>
  <si>
    <t>8/6/26</t>
    <phoneticPr fontId="13"/>
  </si>
  <si>
    <t>千葉 303 せ 5884</t>
    <rPh sb="0" eb="2">
      <t>チバ</t>
    </rPh>
    <phoneticPr fontId="13"/>
  </si>
  <si>
    <t>SAJBB4AX3KCY82208</t>
    <phoneticPr fontId="13"/>
  </si>
  <si>
    <t>ﾒﾙｾﾃﾞｽﾍﾞﾝﾂ AMG A35</t>
    <phoneticPr fontId="13"/>
  </si>
  <si>
    <t>神戸 330 ら 4616</t>
    <rPh sb="0" eb="2">
      <t>コウベ</t>
    </rPh>
    <phoneticPr fontId="13"/>
  </si>
  <si>
    <t>W1K1771512J221346</t>
    <phoneticPr fontId="13"/>
  </si>
  <si>
    <t>ﾜｺﾞﾝR FX</t>
    <phoneticPr fontId="13"/>
  </si>
  <si>
    <t>7/11/26</t>
    <phoneticPr fontId="13"/>
  </si>
  <si>
    <t>三重 582 け 7946</t>
    <rPh sb="0" eb="2">
      <t>ミエ</t>
    </rPh>
    <phoneticPr fontId="13"/>
  </si>
  <si>
    <t>582 あ 8857</t>
    <phoneticPr fontId="13"/>
  </si>
  <si>
    <t>MH34S-373479</t>
    <phoneticPr fontId="13"/>
  </si>
  <si>
    <t>速水 慶子</t>
    <rPh sb="0" eb="2">
      <t>ハヤミズ</t>
    </rPh>
    <rPh sb="3" eb="5">
      <t>ケイコ</t>
    </rPh>
    <phoneticPr fontId="13"/>
  </si>
  <si>
    <t>23/6</t>
    <phoneticPr fontId="13"/>
  </si>
  <si>
    <t>ｻﾝﾊﾞｰT TB</t>
    <phoneticPr fontId="13"/>
  </si>
  <si>
    <t>札幌　483　け　5000</t>
    <rPh sb="0" eb="2">
      <t>サッポロ</t>
    </rPh>
    <phoneticPr fontId="13"/>
  </si>
  <si>
    <t>TT2-513037</t>
    <phoneticPr fontId="13"/>
  </si>
  <si>
    <t>今　倫康</t>
    <rPh sb="0" eb="1">
      <t>イマ</t>
    </rPh>
    <rPh sb="2" eb="3">
      <t>ミチ</t>
    </rPh>
    <rPh sb="3" eb="4">
      <t>ヤス</t>
    </rPh>
    <phoneticPr fontId="13"/>
  </si>
  <si>
    <t xml:space="preserve">保証書　取説 </t>
    <rPh sb="0" eb="3">
      <t>ホショウショ</t>
    </rPh>
    <rPh sb="4" eb="6">
      <t>トリセツ</t>
    </rPh>
    <phoneticPr fontId="13"/>
  </si>
  <si>
    <t>ﾌｨｯﾄ13Gﾓﾃﾞｭｰﾛｽﾀｲﾙ</t>
    <phoneticPr fontId="13"/>
  </si>
  <si>
    <t>8/1/17</t>
    <phoneticPr fontId="13"/>
  </si>
  <si>
    <t>岡山 502 ふ 4979</t>
    <rPh sb="0" eb="2">
      <t>オカヤマ</t>
    </rPh>
    <phoneticPr fontId="13"/>
  </si>
  <si>
    <t>GK3-9300353</t>
    <phoneticPr fontId="13"/>
  </si>
  <si>
    <t>株式会社ｳｫｯｼｭ</t>
    <rPh sb="0" eb="4">
      <t>カブシキガイシャ</t>
    </rPh>
    <phoneticPr fontId="13"/>
  </si>
  <si>
    <t>保証書 取説 ﾅﾋﾞ取 ｷｰﾚｽ 通信端末</t>
    <rPh sb="0" eb="3">
      <t>ホショウショ</t>
    </rPh>
    <rPh sb="4" eb="6">
      <t>トリセツ</t>
    </rPh>
    <rPh sb="10" eb="11">
      <t>　</t>
    </rPh>
    <rPh sb="17" eb="18">
      <t>ツウシン</t>
    </rPh>
    <rPh sb="18" eb="20">
      <t>タンマツ</t>
    </rPh>
    <phoneticPr fontId="13"/>
  </si>
  <si>
    <t>7/11/15</t>
    <phoneticPr fontId="13"/>
  </si>
  <si>
    <t>福山 583 き 2055</t>
    <rPh sb="0" eb="2">
      <t>フクヤマ</t>
    </rPh>
    <phoneticPr fontId="13"/>
  </si>
  <si>
    <t>582 あ 8855</t>
    <phoneticPr fontId="13"/>
  </si>
  <si>
    <t>DA17W-166754</t>
    <phoneticPr fontId="13"/>
  </si>
  <si>
    <t>川崎 宗一</t>
    <rPh sb="0" eb="2">
      <t>カワサキ</t>
    </rPh>
    <rPh sb="3" eb="5">
      <t>ソウイチ</t>
    </rPh>
    <phoneticPr fontId="13"/>
  </si>
  <si>
    <t>ｼﾄﾛｴﾝ C4 ﾋﾟｶｿ</t>
    <phoneticPr fontId="13"/>
  </si>
  <si>
    <t>姫路 330 は 1034</t>
    <rPh sb="0" eb="2">
      <t>ヒメジ</t>
    </rPh>
    <phoneticPr fontId="13"/>
  </si>
  <si>
    <t>杉本様</t>
    <rPh sb="0" eb="2">
      <t>スギモト</t>
    </rPh>
    <rPh sb="2" eb="3">
      <t>サマ</t>
    </rPh>
    <phoneticPr fontId="13"/>
  </si>
  <si>
    <t>VF73A5GZTEJ738812</t>
    <phoneticPr fontId="13"/>
  </si>
  <si>
    <t>杉本 英美</t>
    <rPh sb="0" eb="2">
      <t>スギモト</t>
    </rPh>
    <rPh sb="3" eb="4">
      <t>エイ</t>
    </rPh>
    <rPh sb="4" eb="5">
      <t>ミ</t>
    </rPh>
    <phoneticPr fontId="13"/>
  </si>
  <si>
    <t>8/5/25</t>
    <phoneticPr fontId="13"/>
  </si>
  <si>
    <t>姫路 336 な 5296</t>
    <rPh sb="0" eb="2">
      <t>ヒメジ</t>
    </rPh>
    <phoneticPr fontId="13"/>
  </si>
  <si>
    <t>前原様</t>
    <rPh sb="0" eb="2">
      <t>マエハラ</t>
    </rPh>
    <rPh sb="2" eb="3">
      <t>サマ</t>
    </rPh>
    <phoneticPr fontId="13"/>
  </si>
  <si>
    <t>WMWXS520802B38313</t>
    <phoneticPr fontId="13"/>
  </si>
  <si>
    <t>前原 則保</t>
    <rPh sb="0" eb="2">
      <t>マエハラ</t>
    </rPh>
    <rPh sb="3" eb="4">
      <t>ノリ</t>
    </rPh>
    <rPh sb="4" eb="5">
      <t>タモツ</t>
    </rPh>
    <phoneticPr fontId="13"/>
  </si>
  <si>
    <t>N-BOX GLﾊﾟｯｹｰｼﾞ</t>
    <phoneticPr fontId="13"/>
  </si>
  <si>
    <t>浜松 583 て 422</t>
    <rPh sb="0" eb="2">
      <t>ハママツ</t>
    </rPh>
    <phoneticPr fontId="13"/>
  </si>
  <si>
    <t>582 あ 8930</t>
    <phoneticPr fontId="13"/>
  </si>
  <si>
    <t>JF1-1832524</t>
    <phoneticPr fontId="13"/>
  </si>
  <si>
    <t>8/24</t>
    <phoneticPr fontId="13"/>
  </si>
  <si>
    <t>ﾀﾝﾄｶｽﾀﾑ ｽﾛｰﾊﾟｰRS</t>
    <phoneticPr fontId="13"/>
  </si>
  <si>
    <t>品川 5X0 ろ 4911</t>
    <rPh sb="0" eb="2">
      <t>シナガワ</t>
    </rPh>
    <phoneticPr fontId="13"/>
  </si>
  <si>
    <t>LA650S-0087705</t>
    <phoneticPr fontId="13"/>
  </si>
  <si>
    <t>保証書 取説 ｽﾛｰﾊﾟｰ取説 ｷｰﾚｽ ﾘﾓｺﾝ (車内)</t>
    <rPh sb="0" eb="3">
      <t>ホショウショ</t>
    </rPh>
    <rPh sb="4" eb="6">
      <t>トリセツ</t>
    </rPh>
    <rPh sb="13" eb="15">
      <t>トリセツ</t>
    </rPh>
    <phoneticPr fontId="13"/>
  </si>
  <si>
    <t>ｱｳﾃﾞｨ A4 ｵｰﾙﾛｰﾄﾞｸﾜﾄﾛ</t>
    <phoneticPr fontId="13"/>
  </si>
  <si>
    <t>品川 361 そ 1215</t>
    <rPh sb="0" eb="2">
      <t>シナガワ</t>
    </rPh>
    <phoneticPr fontId="13"/>
  </si>
  <si>
    <t>保証書 取説 名変期限9/20まで</t>
    <rPh sb="0" eb="3">
      <t>ホショウショ</t>
    </rPh>
    <rPh sb="4" eb="6">
      <t>トリセツ</t>
    </rPh>
    <rPh sb="7" eb="11">
      <t>メイヘンキゲン</t>
    </rPh>
    <phoneticPr fontId="13"/>
  </si>
  <si>
    <t>WAUZZZF47JA218375</t>
    <phoneticPr fontId="13"/>
  </si>
  <si>
    <t>張 錫年</t>
    <rPh sb="0" eb="1">
      <t>ハリ</t>
    </rPh>
    <rPh sb="2" eb="3">
      <t>スズ</t>
    </rPh>
    <rPh sb="3" eb="4">
      <t>トシ</t>
    </rPh>
    <phoneticPr fontId="13"/>
  </si>
  <si>
    <r>
      <rPr>
        <sz val="9"/>
        <color theme="4" tint="-0.499984740745262"/>
        <rFont val="ＭＳ Ｐゴシック"/>
        <family val="3"/>
        <charset val="128"/>
        <scheme val="minor"/>
      </rPr>
      <t>整備手帳(保証書切られてなしｸﾚｰﾑ会長対応済)取説 ｷｰﾚｽ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</t>
    </r>
    <r>
      <rPr>
        <sz val="11"/>
        <color rgb="FFFF0000"/>
        <rFont val="ＭＳ Ｐゴシック"/>
        <family val="3"/>
        <charset val="128"/>
        <scheme val="minor"/>
      </rPr>
      <t>9/20まで</t>
    </r>
    <rPh sb="0" eb="4">
      <t>セイビテチョウ</t>
    </rPh>
    <rPh sb="5" eb="8">
      <t>ホショウショ</t>
    </rPh>
    <rPh sb="8" eb="9">
      <t>キ</t>
    </rPh>
    <rPh sb="18" eb="20">
      <t>カイチョウ</t>
    </rPh>
    <rPh sb="20" eb="22">
      <t>タイオウ</t>
    </rPh>
    <rPh sb="22" eb="23">
      <t>ズ</t>
    </rPh>
    <rPh sb="24" eb="26">
      <t>トリセツ</t>
    </rPh>
    <phoneticPr fontId="13"/>
  </si>
  <si>
    <t>ｳﾞｪｾﾞﾙ G</t>
    <phoneticPr fontId="13"/>
  </si>
  <si>
    <t>8/8/17</t>
    <phoneticPr fontId="13"/>
  </si>
  <si>
    <t>A294951</t>
    <phoneticPr fontId="13"/>
  </si>
  <si>
    <t>RV3-1000215</t>
    <phoneticPr fontId="13"/>
  </si>
  <si>
    <t>N-WGNｶｽﾀﾑ Gﾀｰﾎﾞﾊﾟｯｹｰｼﾞ</t>
    <phoneticPr fontId="13"/>
  </si>
  <si>
    <t>A296043</t>
    <phoneticPr fontId="13"/>
  </si>
  <si>
    <t>JH1-2032035</t>
    <phoneticPr fontId="13"/>
  </si>
  <si>
    <t>13/1</t>
    <phoneticPr fontId="13"/>
  </si>
  <si>
    <t>ﾐﾗｼﾞｰﾉ ﾐﾆﾗｲﾄｽﾍﾟｼｬﾙ</t>
    <phoneticPr fontId="13"/>
  </si>
  <si>
    <t>多摩 583 あ 8340</t>
    <rPh sb="0" eb="2">
      <t>タマ</t>
    </rPh>
    <phoneticPr fontId="13"/>
  </si>
  <si>
    <t>582 あ 8917</t>
    <phoneticPr fontId="13"/>
  </si>
  <si>
    <t>L700S-0191547</t>
    <phoneticPr fontId="13"/>
  </si>
  <si>
    <t>中部自動車販売株式会社</t>
    <rPh sb="0" eb="2">
      <t>チュウブ</t>
    </rPh>
    <rPh sb="2" eb="11">
      <t>ジドウシャハンバイカブシキガイシャ</t>
    </rPh>
    <phoneticPr fontId="13"/>
  </si>
  <si>
    <t>保証書角印なし (保証書扱いなる)</t>
    <rPh sb="0" eb="3">
      <t>ホショウショ</t>
    </rPh>
    <rPh sb="3" eb="5">
      <t>カクイン</t>
    </rPh>
    <rPh sb="9" eb="12">
      <t>ホショウショ</t>
    </rPh>
    <rPh sb="12" eb="13">
      <t>アツカ</t>
    </rPh>
    <phoneticPr fontId="13"/>
  </si>
  <si>
    <t>N-BOX GLﾀｰﾎﾞﾎﾝﾀﾞｾﾝｼﾝｸﾞ</t>
    <phoneticPr fontId="13"/>
  </si>
  <si>
    <t>8/7/21</t>
    <phoneticPr fontId="13"/>
  </si>
  <si>
    <t>熊谷 781 ね 358</t>
    <rPh sb="0" eb="2">
      <t>クマヤ</t>
    </rPh>
    <phoneticPr fontId="13"/>
  </si>
  <si>
    <t>A293016</t>
    <phoneticPr fontId="13"/>
  </si>
  <si>
    <t>JF3-1280486</t>
    <phoneticPr fontId="13"/>
  </si>
  <si>
    <t>株式会社ﾎﾝﾀﾞﾌｧｲﾅﾝｽ</t>
    <rPh sb="0" eb="4">
      <t>カブシキガイシャ</t>
    </rPh>
    <phoneticPr fontId="13"/>
  </si>
  <si>
    <t>9/25</t>
    <phoneticPr fontId="13"/>
  </si>
  <si>
    <t>5/9</t>
    <phoneticPr fontId="13"/>
  </si>
  <si>
    <t>ﾀﾝﾄｶｽﾀﾑ RS</t>
    <phoneticPr fontId="13"/>
  </si>
  <si>
    <t>奈良 596 ゆ 15</t>
    <rPh sb="0" eb="2">
      <t>ナラ</t>
    </rPh>
    <phoneticPr fontId="13"/>
  </si>
  <si>
    <t>582 あ 8918</t>
    <phoneticPr fontId="13"/>
  </si>
  <si>
    <t>ﾐﾗｲﾌﾞ大阪(ｱｲｵｰｸ)</t>
    <rPh sb="6" eb="13">
      <t>（アイオーク）</t>
    </rPh>
    <phoneticPr fontId="13"/>
  </si>
  <si>
    <t>LA650S-0346499</t>
    <phoneticPr fontId="13"/>
  </si>
  <si>
    <t>ｼﾞｬｶﾞｰ Eﾍﾟｲｽ</t>
    <phoneticPr fontId="13"/>
  </si>
  <si>
    <t>練馬 329 す 3025</t>
    <rPh sb="0" eb="2">
      <t>ネリマ</t>
    </rPh>
    <phoneticPr fontId="13"/>
  </si>
  <si>
    <t>SADFA2AN1K1Z54965</t>
    <phoneticPr fontId="13"/>
  </si>
  <si>
    <t>ｵｰｸｽﾓﾋﾞﾘﾃｨ株式会社</t>
    <rPh sb="10" eb="14">
      <t>カブシキガイシャ</t>
    </rPh>
    <phoneticPr fontId="13"/>
  </si>
  <si>
    <t>N-BOXｶｽﾀﾑ Lﾀｰﾎﾞ</t>
    <phoneticPr fontId="13"/>
  </si>
  <si>
    <t>名古屋 58A く 9928</t>
    <rPh sb="0" eb="3">
      <t>ナゴヤ</t>
    </rPh>
    <phoneticPr fontId="13"/>
  </si>
  <si>
    <t>JF3-2372565</t>
    <phoneticPr fontId="13"/>
  </si>
  <si>
    <t>株式会社TOIDA</t>
    <rPh sb="0" eb="4">
      <t>カブシキガイシャ</t>
    </rPh>
    <phoneticPr fontId="13"/>
  </si>
  <si>
    <t>ﾑｰﾌﾞｶｽﾀﾑ X ﾊｲﾊﾟｰ</t>
    <phoneticPr fontId="13"/>
  </si>
  <si>
    <t>岐阜 581 ね 9295</t>
    <rPh sb="0" eb="2">
      <t>ギフ</t>
    </rPh>
    <phoneticPr fontId="13"/>
  </si>
  <si>
    <t>582 あ 8921</t>
    <phoneticPr fontId="13"/>
  </si>
  <si>
    <t>NAA名古屋</t>
    <rPh sb="3" eb="6">
      <t>ナゴヤ</t>
    </rPh>
    <phoneticPr fontId="13"/>
  </si>
  <si>
    <t>LA150S-0028037</t>
    <phoneticPr fontId="13"/>
  </si>
  <si>
    <t>岐阜日産自動車販売株式会社</t>
    <rPh sb="0" eb="4">
      <t>ギフニッサン</t>
    </rPh>
    <rPh sb="4" eb="13">
      <t>ジドウシャハンバイカブシキガイシャ</t>
    </rPh>
    <phoneticPr fontId="13"/>
  </si>
  <si>
    <t>取説 Sｷｰ</t>
    <rPh sb="0" eb="2">
      <t>トリセツ</t>
    </rPh>
    <phoneticPr fontId="13"/>
  </si>
  <si>
    <t>ｳｪｲｸ GﾀｰﾎﾞSA3</t>
    <phoneticPr fontId="13"/>
  </si>
  <si>
    <t>なにわ 5P5 ろ 5599</t>
    <phoneticPr fontId="13"/>
  </si>
  <si>
    <t>保証書 取説 ｽﾍﾟｱｷｰ ﾅﾋﾞSD</t>
    <rPh sb="0" eb="3">
      <t>ホショウショ</t>
    </rPh>
    <rPh sb="4" eb="6">
      <t>トリセツ</t>
    </rPh>
    <phoneticPr fontId="13"/>
  </si>
  <si>
    <t>LA710S-0035972</t>
    <phoneticPr fontId="13"/>
  </si>
  <si>
    <t>保証書 取説 ｷｰﾚｽ SD3個</t>
    <rPh sb="0" eb="3">
      <t>ホショウショ</t>
    </rPh>
    <rPh sb="4" eb="6">
      <t>トリセツ</t>
    </rPh>
    <rPh sb="15" eb="16">
      <t>コ</t>
    </rPh>
    <phoneticPr fontId="13"/>
  </si>
  <si>
    <t>ﾀﾝﾄ X ｽﾀｲﾙｾﾚｸｼｮﾝ</t>
    <phoneticPr fontId="13"/>
  </si>
  <si>
    <t>9/1</t>
    <phoneticPr fontId="13"/>
  </si>
  <si>
    <t>豊橋 581 う 8218</t>
    <rPh sb="0" eb="2">
      <t>トヨハシ</t>
    </rPh>
    <phoneticPr fontId="13"/>
  </si>
  <si>
    <t>582 あ 8922</t>
    <phoneticPr fontId="13"/>
  </si>
  <si>
    <t>LA650S-0178692</t>
    <phoneticPr fontId="13"/>
  </si>
  <si>
    <t>株式会社渥美ﾓｰﾀｰｽ</t>
    <rPh sb="0" eb="4">
      <t>カブシキガイシャ</t>
    </rPh>
    <rPh sb="4" eb="6">
      <t>アツミ</t>
    </rPh>
    <phoneticPr fontId="13"/>
  </si>
  <si>
    <t>BMWﾐﾆｼﾞｮﾝｸｰﾊﾟｰﾜｰｸｽ ﾌﾟﾚﾐｱﾑﾌﾟﾗｽ</t>
    <phoneticPr fontId="13"/>
  </si>
  <si>
    <t>8/11/17</t>
    <phoneticPr fontId="13"/>
  </si>
  <si>
    <t>神戸 346 そ 1278</t>
    <rPh sb="0" eb="2">
      <t>コウベ</t>
    </rPh>
    <phoneticPr fontId="13"/>
  </si>
  <si>
    <t>301 ね 1825</t>
    <phoneticPr fontId="13"/>
  </si>
  <si>
    <t>WMW72DH0802R32002</t>
    <phoneticPr fontId="13"/>
  </si>
  <si>
    <t>N-BOX GLﾊﾟｯｹｰｼﾞ 福祉車両</t>
    <rPh sb="16" eb="20">
      <t>フクシシャリョウ</t>
    </rPh>
    <phoneticPr fontId="13"/>
  </si>
  <si>
    <t>豊橋 580 ね 124</t>
    <rPh sb="0" eb="2">
      <t>トヨハシ</t>
    </rPh>
    <phoneticPr fontId="13"/>
  </si>
  <si>
    <t>JF1-8502099</t>
    <phoneticPr fontId="13"/>
  </si>
  <si>
    <t>ｻﾝｸｽﾓﾋﾞﾘﾃｨ株式会社</t>
    <rPh sb="10" eb="14">
      <t>カブシキガイシャ</t>
    </rPh>
    <phoneticPr fontId="13"/>
  </si>
  <si>
    <t>保証書 取説 ｽﾏｰﾄｷｰ ﾘﾓｺﾝ ﾜﾝｵｰﾅｰ</t>
    <rPh sb="0" eb="3">
      <t>ホショウショ</t>
    </rPh>
    <rPh sb="4" eb="6">
      <t>トリセツ</t>
    </rPh>
    <phoneticPr fontId="13"/>
  </si>
  <si>
    <t>ﾉｰﾄ eﾊﾟﾜｰS</t>
    <phoneticPr fontId="13"/>
  </si>
  <si>
    <t>8/3/13</t>
    <phoneticPr fontId="13"/>
  </si>
  <si>
    <t>A296161</t>
    <phoneticPr fontId="13"/>
  </si>
  <si>
    <t>E13-186979</t>
    <phoneticPr fontId="13"/>
  </si>
  <si>
    <t>ｳﾞｫｸｼｰ ﾊｲﾌﾞﾘｯﾄZS</t>
    <phoneticPr fontId="13"/>
  </si>
  <si>
    <t>久留米 301 す 4522</t>
    <rPh sb="0" eb="3">
      <t>クルメ</t>
    </rPh>
    <phoneticPr fontId="13"/>
  </si>
  <si>
    <t>A294638</t>
    <phoneticPr fontId="13"/>
  </si>
  <si>
    <t>ZWR80-0444007</t>
    <phoneticPr fontId="13"/>
  </si>
  <si>
    <t>株式会社MB</t>
    <rPh sb="0" eb="4">
      <t>カブシキガイシャ</t>
    </rPh>
    <phoneticPr fontId="13"/>
  </si>
  <si>
    <t>21/4</t>
    <phoneticPr fontId="13"/>
  </si>
  <si>
    <t>ﾊﾟｼﾞｪﾛﾐﾆ ﾅﾋﾞｴﾃﾞｨｼｮﾝ VR</t>
    <phoneticPr fontId="13"/>
  </si>
  <si>
    <t>8/4/20</t>
    <phoneticPr fontId="13"/>
  </si>
  <si>
    <t>香川 581 そ 2199</t>
    <rPh sb="0" eb="2">
      <t>カガワ</t>
    </rPh>
    <phoneticPr fontId="13"/>
  </si>
  <si>
    <t>582 あ 8936</t>
    <phoneticPr fontId="13"/>
  </si>
  <si>
    <t>H58A-0808092</t>
    <phoneticPr fontId="13"/>
  </si>
  <si>
    <t>香川三菱自動車販売株式会社</t>
    <rPh sb="0" eb="2">
      <t>カガワ</t>
    </rPh>
    <rPh sb="2" eb="4">
      <t>ミツビシ</t>
    </rPh>
    <rPh sb="4" eb="13">
      <t>ジドウシャハンバイカブシキガイシャ</t>
    </rPh>
    <phoneticPr fontId="13"/>
  </si>
  <si>
    <t>保証書 取説(車内)記録紙5枚</t>
    <rPh sb="0" eb="3">
      <t>ホショウショ</t>
    </rPh>
    <rPh sb="4" eb="6">
      <t>トリセツ</t>
    </rPh>
    <rPh sb="7" eb="9">
      <t>シャナイ</t>
    </rPh>
    <rPh sb="10" eb="13">
      <t>キロクシ</t>
    </rPh>
    <rPh sb="14" eb="15">
      <t>マイ</t>
    </rPh>
    <phoneticPr fontId="13"/>
  </si>
  <si>
    <t>27/</t>
    <phoneticPr fontId="13"/>
  </si>
  <si>
    <t>ﾚﾝｼﾞﾛｰﾊﾞｰｲｳﾞｫｰｸ</t>
    <phoneticPr fontId="13"/>
  </si>
  <si>
    <t>なにわ 345 る 323</t>
    <phoneticPr fontId="13"/>
  </si>
  <si>
    <t>菅山様</t>
    <rPh sb="0" eb="2">
      <t>スガヤマ</t>
    </rPh>
    <rPh sb="2" eb="3">
      <t>サマ</t>
    </rPh>
    <phoneticPr fontId="13"/>
  </si>
  <si>
    <t>SALVA2AG9FH065975</t>
    <phoneticPr fontId="13"/>
  </si>
  <si>
    <t>菅山 亮</t>
    <rPh sb="0" eb="2">
      <t>スガヤマ</t>
    </rPh>
    <rPh sb="3" eb="4">
      <t>リョウ</t>
    </rPh>
    <phoneticPr fontId="13"/>
  </si>
  <si>
    <t>ﾃﾞｨｽｶﾊﾞﾘｰｽﾎﾟｰﾂ HSEﾗｸﾞｼﾞｭｱﾘｰ</t>
    <phoneticPr fontId="13"/>
  </si>
  <si>
    <t>練馬 302 ね 512</t>
    <rPh sb="0" eb="2">
      <t>ネリマ</t>
    </rPh>
    <phoneticPr fontId="13"/>
  </si>
  <si>
    <t>301 ね 1826</t>
    <phoneticPr fontId="13"/>
  </si>
  <si>
    <t>SALCA2AG6HH678100</t>
    <phoneticPr fontId="13"/>
  </si>
  <si>
    <t>ﾄﾖﾀﾓﾋﾞﾘﾃｨ東京株式会社</t>
    <rPh sb="9" eb="11">
      <t>トウキョウ</t>
    </rPh>
    <rPh sb="11" eb="15">
      <t>カブシキガイシャ</t>
    </rPh>
    <phoneticPr fontId="13"/>
  </si>
  <si>
    <t>取説 ｷｰﾚｽ (車内)保証書</t>
    <rPh sb="0" eb="2">
      <t>トリセツ</t>
    </rPh>
    <rPh sb="12" eb="15">
      <t>ホショウショ</t>
    </rPh>
    <phoneticPr fontId="13"/>
  </si>
  <si>
    <t>ﾊｲｾﾞｯﾄｶｰｺﾞ ﾃﾞﾗｯｸｽSA3</t>
    <phoneticPr fontId="13"/>
  </si>
  <si>
    <t>なにわ 480 ゆ 5555</t>
    <phoneticPr fontId="13"/>
  </si>
  <si>
    <t>S321V-0430127</t>
    <phoneticPr fontId="13"/>
  </si>
  <si>
    <t>杉元 拓也</t>
    <rPh sb="0" eb="2">
      <t>スギモト</t>
    </rPh>
    <rPh sb="3" eb="5">
      <t>タクヤ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</si>
  <si>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</si>
  <si>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ﾊｲｴｰｽﾊﾞﾝ ｽｰﾊﾟｰGL</t>
    <phoneticPr fontId="13"/>
  </si>
  <si>
    <t>8/8/1</t>
    <phoneticPr fontId="13"/>
  </si>
  <si>
    <t>A295306</t>
    <phoneticPr fontId="13"/>
  </si>
  <si>
    <t>TRH200-0361116</t>
    <phoneticPr fontId="13"/>
  </si>
  <si>
    <t>ﾃﾞｲｽﾞﾙｰｸｽ X ﾊｲｳｪｲｽﾀｰGﾊﾟｯｹｰｼﾞ</t>
    <phoneticPr fontId="13"/>
  </si>
  <si>
    <t>名古屋 599 ろ 8268</t>
    <rPh sb="0" eb="3">
      <t>ナゴヤ</t>
    </rPh>
    <phoneticPr fontId="13"/>
  </si>
  <si>
    <t>B21A-0253748</t>
    <phoneticPr fontId="13"/>
  </si>
  <si>
    <t>地図SD</t>
    <phoneticPr fontId="13"/>
  </si>
  <si>
    <t>ｷｬﾘｲﾄﾗｯｸ KX</t>
    <phoneticPr fontId="13"/>
  </si>
  <si>
    <t>豊橋 480 そ 7527</t>
    <rPh sb="0" eb="2">
      <t>トヨハシ</t>
    </rPh>
    <phoneticPr fontId="13"/>
  </si>
  <si>
    <t>DA16T-177477</t>
    <phoneticPr fontId="13"/>
  </si>
  <si>
    <t>ｶﾛｰﾗﾌｨｰﾙﾀﾞｰ ﾊｲﾌﾞﾘｯﾄG</t>
    <phoneticPr fontId="13"/>
  </si>
  <si>
    <t>三河 503 さ 4641</t>
    <rPh sb="0" eb="2">
      <t>ミカワ</t>
    </rPh>
    <phoneticPr fontId="13"/>
  </si>
  <si>
    <t>NKE165-7184941</t>
    <phoneticPr fontId="13"/>
  </si>
  <si>
    <t>ﾄﾖﾀｶﾛｰﾗ愛知株式会社</t>
    <rPh sb="7" eb="9">
      <t>アイチ</t>
    </rPh>
    <rPh sb="9" eb="13">
      <t>カブシキガイシャ</t>
    </rPh>
    <phoneticPr fontId="13"/>
  </si>
  <si>
    <t>ｳﾞｪﾙﾌｧｲｱ 2.4Z ｺﾞｰﾙﾃﾞﾝｱｲｽﾞ</t>
    <phoneticPr fontId="13"/>
  </si>
  <si>
    <t>名古屋 339 つ 773</t>
    <rPh sb="0" eb="3">
      <t>ナゴヤ</t>
    </rPh>
    <phoneticPr fontId="13"/>
  </si>
  <si>
    <t>ANH20-8260763</t>
    <phoneticPr fontId="13"/>
  </si>
  <si>
    <t>東海ﾏﾂﾀﾞ販売株式会社</t>
    <rPh sb="0" eb="2">
      <t>トウカイ</t>
    </rPh>
    <rPh sb="6" eb="12">
      <t>ハンバイカブシキガイシャ</t>
    </rPh>
    <phoneticPr fontId="13"/>
  </si>
  <si>
    <t>24/8</t>
    <phoneticPr fontId="13"/>
  </si>
  <si>
    <t>ｱﾙﾄﾗﾊﾟﾝ G</t>
    <phoneticPr fontId="13"/>
  </si>
  <si>
    <t>福井 583 た 136</t>
    <rPh sb="0" eb="2">
      <t>フクイ</t>
    </rPh>
    <phoneticPr fontId="13"/>
  </si>
  <si>
    <t>HE22S-250286</t>
    <phoneticPr fontId="13"/>
  </si>
  <si>
    <t>福井ｽｽﾞｷ自動車販売株式会社</t>
    <rPh sb="0" eb="2">
      <t>フクイ</t>
    </rPh>
    <rPh sb="6" eb="9">
      <t>ジドウシャ</t>
    </rPh>
    <rPh sb="9" eb="15">
      <t>ハンバイカブシキガイシャ</t>
    </rPh>
    <phoneticPr fontId="13"/>
  </si>
  <si>
    <t>名古屋 599 ろ 8290</t>
    <rPh sb="0" eb="3">
      <t>ナゴヤ</t>
    </rPh>
    <phoneticPr fontId="13"/>
  </si>
  <si>
    <t>MH34S-349529</t>
    <phoneticPr fontId="13"/>
  </si>
  <si>
    <t>ｷﾘｯｸｽﾘｰｽ株式会社</t>
    <rPh sb="8" eb="12">
      <t>カブシキガイシャ</t>
    </rPh>
    <phoneticPr fontId="13"/>
  </si>
  <si>
    <t>9/8</t>
    <phoneticPr fontId="13"/>
  </si>
  <si>
    <t>ｷｬｽﾄ ｽﾀｲﾙG</t>
    <phoneticPr fontId="13"/>
  </si>
  <si>
    <t>岐阜 582 ね 5030</t>
    <rPh sb="0" eb="2">
      <t>ギフ</t>
    </rPh>
    <phoneticPr fontId="13"/>
  </si>
  <si>
    <t>NAA名古屋(まとめ)</t>
    <rPh sb="3" eb="6">
      <t>ナゴヤ</t>
    </rPh>
    <phoneticPr fontId="13"/>
  </si>
  <si>
    <t>LA250S-0230287</t>
    <phoneticPr fontId="13"/>
  </si>
  <si>
    <t>岐阜日産自動車株式会社</t>
    <rPh sb="0" eb="7">
      <t>ギフニッサンジドウシャ</t>
    </rPh>
    <rPh sb="7" eb="11">
      <t>カブシキカイシャ</t>
    </rPh>
    <phoneticPr fontId="13"/>
  </si>
  <si>
    <t>保証書 取説 ｷｰﾚｽ 地図SD</t>
    <rPh sb="0" eb="3">
      <t>ホショウショ</t>
    </rPh>
    <rPh sb="4" eb="6">
      <t>トリセツ</t>
    </rPh>
    <rPh sb="12" eb="14">
      <t>チズ</t>
    </rPh>
    <phoneticPr fontId="13"/>
  </si>
  <si>
    <t>岐阜 582 む 2967</t>
    <rPh sb="0" eb="2">
      <t>ギフ</t>
    </rPh>
    <phoneticPr fontId="13"/>
  </si>
  <si>
    <t>582 あ 8850</t>
    <phoneticPr fontId="13"/>
  </si>
  <si>
    <t>MH85S-208792</t>
    <phoneticPr fontId="13"/>
  </si>
  <si>
    <t>有限会社宇野ﾓｰﾀｰｽ</t>
    <rPh sb="0" eb="4">
      <t>ユウゲンガイシャ</t>
    </rPh>
    <rPh sb="4" eb="6">
      <t>ウノ</t>
    </rPh>
    <phoneticPr fontId="13"/>
  </si>
  <si>
    <t>京都 588 ろ 7020</t>
    <rPh sb="0" eb="2">
      <t>キョウト</t>
    </rPh>
    <phoneticPr fontId="13"/>
  </si>
  <si>
    <t>保証書なしｸﾚｰﾑ済み</t>
    <rPh sb="0" eb="3">
      <t>ホショウショ</t>
    </rPh>
    <rPh sb="9" eb="10">
      <t>ズ</t>
    </rPh>
    <phoneticPr fontId="13"/>
  </si>
  <si>
    <t>MR41S-298034</t>
    <phoneticPr fontId="13"/>
  </si>
  <si>
    <t>有限会社大藪自動車工業</t>
    <rPh sb="0" eb="4">
      <t>ユウゲンガイシャ</t>
    </rPh>
    <rPh sb="4" eb="5">
      <t>ダイ</t>
    </rPh>
    <rPh sb="5" eb="6">
      <t>ヤブ</t>
    </rPh>
    <rPh sb="6" eb="9">
      <t>ジドウシャ</t>
    </rPh>
    <rPh sb="9" eb="11">
      <t>コウギョウ</t>
    </rPh>
    <phoneticPr fontId="13"/>
  </si>
  <si>
    <r>
      <t xml:space="preserve">取説 ﾅﾋﾞ取 地図SD </t>
    </r>
    <r>
      <rPr>
        <sz val="11"/>
        <color rgb="FFFF0000"/>
        <rFont val="ＭＳ Ｐゴシック"/>
        <family val="3"/>
        <charset val="128"/>
        <scheme val="minor"/>
      </rPr>
      <t>保証書なし</t>
    </r>
    <rPh sb="0" eb="2">
      <t>トリセツ</t>
    </rPh>
    <rPh sb="6" eb="7">
      <t>　</t>
    </rPh>
    <rPh sb="8" eb="9">
      <t>チズ</t>
    </rPh>
    <rPh sb="9" eb="11">
      <t>ＳＤ</t>
    </rPh>
    <rPh sb="13" eb="16">
      <t>ホショウショ</t>
    </rPh>
    <phoneticPr fontId="13"/>
  </si>
  <si>
    <t>15/1</t>
    <phoneticPr fontId="13"/>
  </si>
  <si>
    <t>ﾈｲｷｯﾄﾞ ﾀｰﾎﾞG</t>
    <phoneticPr fontId="13"/>
  </si>
  <si>
    <t>8/2/21</t>
    <phoneticPr fontId="13"/>
  </si>
  <si>
    <t>静岡 583 か 4545</t>
    <rPh sb="0" eb="2">
      <t>シズオカ</t>
    </rPh>
    <phoneticPr fontId="13"/>
  </si>
  <si>
    <t>582 あ 8923</t>
    <phoneticPr fontId="13"/>
  </si>
  <si>
    <t>L750S-0064753</t>
    <phoneticPr fontId="13"/>
  </si>
  <si>
    <t>株式会社EVIMA</t>
    <rPh sb="0" eb="4">
      <t>カブシキガイシャ</t>
    </rPh>
    <phoneticPr fontId="13"/>
  </si>
  <si>
    <t>保証書(ﾃﾞｨｰﾗｰ印なし 点検に印あり保扱い)取説 ｷｰﾚｽ</t>
    <rPh sb="0" eb="3">
      <t>ホショウショ</t>
    </rPh>
    <rPh sb="10" eb="11">
      <t>イン</t>
    </rPh>
    <rPh sb="14" eb="16">
      <t>テンケン</t>
    </rPh>
    <rPh sb="17" eb="18">
      <t>イン</t>
    </rPh>
    <rPh sb="20" eb="22">
      <t>アツカイ</t>
    </rPh>
    <rPh sb="24" eb="26">
      <t>トリセツ</t>
    </rPh>
    <phoneticPr fontId="13"/>
  </si>
  <si>
    <t>ﾊｽﾗｰ Jｽﾀｲﾙﾀｰﾎﾞ</t>
    <phoneticPr fontId="13"/>
  </si>
  <si>
    <t>8/2/14</t>
    <phoneticPr fontId="13"/>
  </si>
  <si>
    <t>長野 581 と 3017</t>
    <rPh sb="0" eb="2">
      <t>ナガノ</t>
    </rPh>
    <phoneticPr fontId="13"/>
  </si>
  <si>
    <t>582 あ 8848</t>
    <phoneticPr fontId="13"/>
  </si>
  <si>
    <t>MR52S-128495</t>
    <phoneticPr fontId="13"/>
  </si>
  <si>
    <t>春日井 580 わ 1287</t>
    <rPh sb="0" eb="3">
      <t>カスガイ</t>
    </rPh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</si>
  <si>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</si>
  <si>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582 あ 8845</t>
    <phoneticPr fontId="13"/>
  </si>
  <si>
    <t>DA17W-210614</t>
    <phoneticPr fontId="13"/>
  </si>
  <si>
    <t>株式会社ｸﾞｯﾄﾞｽﾋﾟｰﾄﾞ</t>
    <rPh sb="0" eb="4">
      <t>カブシキガイシャ</t>
    </rPh>
    <phoneticPr fontId="13"/>
  </si>
  <si>
    <t>保証書 取説 ﾅﾋﾞ取 ｷｰﾚｽ ｽﾍﾟｱｷｰ ﾚﾝﾀｶｰ</t>
    <rPh sb="0" eb="3">
      <t>ホショウショ</t>
    </rPh>
    <rPh sb="4" eb="6">
      <t>トリセツ</t>
    </rPh>
    <rPh sb="10" eb="11">
      <t>トリ</t>
    </rPh>
    <phoneticPr fontId="13"/>
  </si>
  <si>
    <t>ｷｬｽﾄ ｽﾀｲﾙX ﾘﾐﾃｯﾄﾞSA3</t>
    <phoneticPr fontId="13"/>
  </si>
  <si>
    <t>三河 581 う 7563</t>
    <rPh sb="0" eb="2">
      <t>ミカワ</t>
    </rPh>
    <phoneticPr fontId="13"/>
  </si>
  <si>
    <t>582 あ 8925</t>
    <phoneticPr fontId="13"/>
  </si>
  <si>
    <t>LA250S-0182886</t>
    <phoneticPr fontId="13"/>
  </si>
  <si>
    <t>平山 千恵</t>
    <rPh sb="0" eb="2">
      <t>ヒラヤマ</t>
    </rPh>
    <rPh sb="3" eb="5">
      <t>チエ</t>
    </rPh>
    <phoneticPr fontId="13"/>
  </si>
  <si>
    <t>保証書 取説 地図SD(車内)</t>
    <rPh sb="0" eb="3">
      <t>ホショウショ</t>
    </rPh>
    <rPh sb="4" eb="6">
      <t>トリセツ</t>
    </rPh>
    <phoneticPr fontId="13"/>
  </si>
  <si>
    <t>なにわ 430 と 317</t>
    <phoneticPr fontId="13"/>
  </si>
  <si>
    <t>A277661</t>
    <phoneticPr fontId="13"/>
  </si>
  <si>
    <t>TRH200-0363924</t>
    <phoneticPr fontId="13"/>
  </si>
  <si>
    <t>碓井　貴裕</t>
    <rPh sb="0" eb="2">
      <t>ウスイ</t>
    </rPh>
    <rPh sb="3" eb="5">
      <t>タカヒロ</t>
    </rPh>
    <phoneticPr fontId="13"/>
  </si>
  <si>
    <t>保証書　取説</t>
    <rPh sb="0" eb="3">
      <t>ホショウショ</t>
    </rPh>
    <rPh sb="4" eb="6">
      <t>トリセツ</t>
    </rPh>
    <phoneticPr fontId="13"/>
  </si>
  <si>
    <t>ﾀﾝﾄ ｶｽﾀﾑRS</t>
    <phoneticPr fontId="13"/>
  </si>
  <si>
    <t>9/2/20</t>
    <phoneticPr fontId="13"/>
  </si>
  <si>
    <t>島根 581 え 3192</t>
    <rPh sb="0" eb="2">
      <t>シマネ</t>
    </rPh>
    <phoneticPr fontId="13"/>
  </si>
  <si>
    <t>582 あ 8927</t>
    <phoneticPr fontId="13"/>
  </si>
  <si>
    <t>LA650S-0073299</t>
    <phoneticPr fontId="13"/>
  </si>
  <si>
    <t>新田 朋生</t>
    <rPh sb="0" eb="2">
      <t>ニッタ</t>
    </rPh>
    <rPh sb="3" eb="4">
      <t>トモ</t>
    </rPh>
    <rPh sb="4" eb="5">
      <t>イ</t>
    </rPh>
    <phoneticPr fontId="13"/>
  </si>
  <si>
    <t>地図SD(車内)保証書 ｷｰﾚｽ</t>
    <rPh sb="0" eb="2">
      <t>チズ</t>
    </rPh>
    <rPh sb="5" eb="7">
      <t>シャナイ</t>
    </rPh>
    <rPh sb="8" eb="11">
      <t>ホショウショ</t>
    </rPh>
    <phoneticPr fontId="13"/>
  </si>
  <si>
    <t>25/12</t>
    <phoneticPr fontId="13"/>
  </si>
  <si>
    <t>ｼﾞﾑﾆｰ ｸﾛｽｱﾄﾞﾍﾞﾝﾁｬｰ</t>
    <phoneticPr fontId="13"/>
  </si>
  <si>
    <t>高知 583 あ 453</t>
    <rPh sb="0" eb="2">
      <t>コウチ</t>
    </rPh>
    <phoneticPr fontId="13"/>
  </si>
  <si>
    <t>582 あ 8910</t>
    <phoneticPr fontId="13"/>
  </si>
  <si>
    <t>JB23W-704640</t>
    <phoneticPr fontId="13"/>
  </si>
  <si>
    <t>洒井 雄平</t>
    <rPh sb="0" eb="2">
      <t>サカイ</t>
    </rPh>
    <rPh sb="3" eb="4">
      <t>オ</t>
    </rPh>
    <rPh sb="4" eb="5">
      <t>ヒラ</t>
    </rPh>
    <phoneticPr fontId="13"/>
  </si>
  <si>
    <t>ｽﾍﾟｰｼｱﾊｲﾌﾞﾘｯﾄG</t>
    <phoneticPr fontId="13"/>
  </si>
  <si>
    <t>出雲 580 あ 2400</t>
    <rPh sb="0" eb="2">
      <t>イズモ</t>
    </rPh>
    <phoneticPr fontId="13"/>
  </si>
  <si>
    <t>MK53S-316907</t>
    <phoneticPr fontId="13"/>
  </si>
  <si>
    <t>ﾆｼｵ有限会社</t>
    <rPh sb="3" eb="7">
      <t>ユウゲンガイシャ</t>
    </rPh>
    <phoneticPr fontId="13"/>
  </si>
  <si>
    <t>保証書 取説 ｷｰﾚｽ ﾅﾋﾞ取 ﾜﾝｵｰﾅｰ</t>
    <rPh sb="0" eb="3">
      <t>ホショウショ</t>
    </rPh>
    <rPh sb="4" eb="6">
      <t>トリセツ</t>
    </rPh>
    <rPh sb="15" eb="16">
      <t>トリ</t>
    </rPh>
    <phoneticPr fontId="13"/>
  </si>
  <si>
    <t>VW ｻﾞﾋﾞｰﾄﾙ Rﾗｲﾝ ﾏｲｽﾀｰ</t>
    <phoneticPr fontId="13"/>
  </si>
  <si>
    <t>8/9/26</t>
    <phoneticPr fontId="13"/>
  </si>
  <si>
    <t>神戸 304 も 4663</t>
    <rPh sb="0" eb="2">
      <t>コウベ</t>
    </rPh>
    <phoneticPr fontId="13"/>
  </si>
  <si>
    <t>WVWZZZ16ZKM720152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</si>
  <si>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地図SD問い合わせ中ﾅﾋﾞなしｸﾚｰﾑにはならない？ </t>
    </r>
    <r>
      <rPr>
        <sz val="11"/>
        <color theme="3"/>
        <rFont val="ＭＳ Ｐゴシック"/>
        <family val="3"/>
        <charset val="128"/>
        <scheme val="minor"/>
      </rPr>
      <t>ｷｰﾚｽ</t>
    </r>
    <rPh sb="0" eb="2">
      <t>チズ</t>
    </rPh>
    <rPh sb="4" eb="5">
      <t>ト</t>
    </rPh>
    <rPh sb="6" eb="7">
      <t>ア</t>
    </rPh>
    <rPh sb="9" eb="10">
      <t>チュウ</t>
    </rPh>
    <phoneticPr fontId="13"/>
  </si>
  <si>
    <t>品番；NK-SD-10</t>
    <rPh sb="0" eb="2">
      <t>ヒンバン</t>
    </rPh>
    <phoneticPr fontId="13"/>
  </si>
  <si>
    <t xml:space="preserve">ｼﾞｰﾌﾟﾗﾝｸﾞﾗｰｱﾝﾘﾐﾃｯﾄﾞ </t>
    <phoneticPr fontId="13"/>
  </si>
  <si>
    <t>品川 39A み 1047</t>
    <rPh sb="0" eb="2">
      <t>シナガワ</t>
    </rPh>
    <phoneticPr fontId="13"/>
  </si>
  <si>
    <t>整備手帳 取説</t>
    <rPh sb="0" eb="4">
      <t>セイビテチョウ</t>
    </rPh>
    <rPh sb="5" eb="7">
      <t>トリセツ</t>
    </rPh>
    <phoneticPr fontId="13"/>
  </si>
  <si>
    <t>1C4HJXLN0LW258701</t>
    <phoneticPr fontId="13"/>
  </si>
  <si>
    <t>株式会社ｵｰｸﾈｯﾄ</t>
    <rPh sb="0" eb="4">
      <t>カブシキガイシャ</t>
    </rPh>
    <phoneticPr fontId="13"/>
  </si>
  <si>
    <t>品川 39A ま 112</t>
    <rPh sb="0" eb="2">
      <t>シナガワ</t>
    </rPh>
    <phoneticPr fontId="13"/>
  </si>
  <si>
    <t>WMWYT920203L89764</t>
    <phoneticPr fontId="13"/>
  </si>
  <si>
    <t>ｱﾄﾚｰﾜｺﾞﾝ ｶｽﾀﾑﾀｰﾎﾞRS</t>
    <phoneticPr fontId="13"/>
  </si>
  <si>
    <t>8/11/26</t>
    <phoneticPr fontId="13"/>
  </si>
  <si>
    <t>福岡 581き 7177</t>
    <rPh sb="0" eb="2">
      <t>フクオカ</t>
    </rPh>
    <phoneticPr fontId="13"/>
  </si>
  <si>
    <t>A298005</t>
    <phoneticPr fontId="13"/>
  </si>
  <si>
    <t>S321G-0056847</t>
    <phoneticPr fontId="13"/>
  </si>
  <si>
    <t>半田 信幸</t>
    <rPh sb="0" eb="2">
      <t>ハンダ</t>
    </rPh>
    <rPh sb="3" eb="5">
      <t>ノブユキ</t>
    </rPh>
    <phoneticPr fontId="13"/>
  </si>
  <si>
    <t>N-BOX GL ﾊﾟｯｹｰｼﾞ</t>
    <phoneticPr fontId="13"/>
  </si>
  <si>
    <t>鳥取 580 と 7681</t>
    <rPh sb="0" eb="2">
      <t>トットリ</t>
    </rPh>
    <phoneticPr fontId="13"/>
  </si>
  <si>
    <t>ﾎﾝﾀﾞ関西(まとめ)</t>
    <rPh sb="4" eb="6">
      <t>カンサイ</t>
    </rPh>
    <phoneticPr fontId="13"/>
  </si>
  <si>
    <t>JF1-1498734</t>
    <phoneticPr fontId="13"/>
  </si>
  <si>
    <t>ﾎﾝﾀﾞ山陰中央株式会社</t>
    <rPh sb="4" eb="6">
      <t>サンイン</t>
    </rPh>
    <rPh sb="6" eb="8">
      <t>チュウオウ</t>
    </rPh>
    <rPh sb="8" eb="12">
      <t>カブシキガイシャ</t>
    </rPh>
    <phoneticPr fontId="13"/>
  </si>
  <si>
    <t>18/11</t>
    <phoneticPr fontId="13"/>
  </si>
  <si>
    <t>ﾐﾗｼﾞｰﾉ X</t>
    <phoneticPr fontId="13"/>
  </si>
  <si>
    <t>和泉 580 さ 5966</t>
    <rPh sb="0" eb="2">
      <t>イズミ</t>
    </rPh>
    <phoneticPr fontId="13"/>
  </si>
  <si>
    <t>L650S-0051523</t>
    <phoneticPr fontId="13"/>
  </si>
  <si>
    <t>坂東 百菜美</t>
    <rPh sb="0" eb="1">
      <t>サカ</t>
    </rPh>
    <rPh sb="1" eb="2">
      <t>ヒガシ</t>
    </rPh>
    <rPh sb="3" eb="4">
      <t>モモ</t>
    </rPh>
    <rPh sb="4" eb="6">
      <t>ナミ</t>
    </rPh>
    <phoneticPr fontId="13"/>
  </si>
  <si>
    <t>ﾊｽﾗｰ J</t>
    <phoneticPr fontId="13"/>
  </si>
  <si>
    <t>広島 581 は 6868</t>
    <rPh sb="0" eb="2">
      <t>ヒロシマ</t>
    </rPh>
    <phoneticPr fontId="13"/>
  </si>
  <si>
    <t>MR41S-355402</t>
    <phoneticPr fontId="13"/>
  </si>
  <si>
    <t>株式会社広島自動車検査場</t>
    <rPh sb="0" eb="4">
      <t>カブシキガイシャ</t>
    </rPh>
    <rPh sb="4" eb="6">
      <t>ヒロシマ</t>
    </rPh>
    <rPh sb="6" eb="9">
      <t>ジドウシャ</t>
    </rPh>
    <rPh sb="9" eb="12">
      <t>ケンサジョウ</t>
    </rPh>
    <phoneticPr fontId="13"/>
  </si>
  <si>
    <t>9/11</t>
    <phoneticPr fontId="13"/>
  </si>
  <si>
    <t>地図SD(車内)保証書 取説</t>
    <rPh sb="0" eb="2">
      <t>チズ</t>
    </rPh>
    <rPh sb="8" eb="11">
      <t>ホショウショ</t>
    </rPh>
    <rPh sb="12" eb="14">
      <t>トリセツ</t>
    </rPh>
    <phoneticPr fontId="13"/>
  </si>
  <si>
    <t>ｽﾍﾟｰｼｱ ﾊｲﾌﾞﾘｯﾄG</t>
    <phoneticPr fontId="13"/>
  </si>
  <si>
    <t>品川 5X0 ろ 8860</t>
    <rPh sb="0" eb="2">
      <t>シナガワ</t>
    </rPh>
    <phoneticPr fontId="13"/>
  </si>
  <si>
    <t>ｵﾘｯｸｽ福岡(ｱｲｵｰｸ)</t>
    <rPh sb="5" eb="7">
      <t>フクオカ</t>
    </rPh>
    <phoneticPr fontId="13"/>
  </si>
  <si>
    <t>MK53S-337848</t>
    <phoneticPr fontId="13"/>
  </si>
  <si>
    <t>記録紙1枚</t>
    <rPh sb="0" eb="3">
      <t>キロクシ</t>
    </rPh>
    <rPh sb="4" eb="5">
      <t>マイ</t>
    </rPh>
    <phoneticPr fontId="13"/>
  </si>
  <si>
    <t>NV100ｸﾘｯﾊﾟｰ ﾊﾞﾝ GX</t>
    <phoneticPr fontId="13"/>
  </si>
  <si>
    <t>岐阜 480 の 5244</t>
    <rPh sb="0" eb="2">
      <t>ギフ</t>
    </rPh>
    <phoneticPr fontId="13"/>
  </si>
  <si>
    <t>DR17V-570579</t>
    <phoneticPr fontId="13"/>
  </si>
  <si>
    <t>ﾄﾖﾀｶﾛｰﾗﾈｯﾂ岐阜株式会社</t>
    <rPh sb="10" eb="12">
      <t>ギフ</t>
    </rPh>
    <rPh sb="12" eb="16">
      <t>カブシキガイシャ</t>
    </rPh>
    <phoneticPr fontId="13"/>
  </si>
  <si>
    <t>豊橋 580 み 8233</t>
    <rPh sb="0" eb="2">
      <t>トヨハシ</t>
    </rPh>
    <phoneticPr fontId="13"/>
  </si>
  <si>
    <t>JF1-1970892</t>
    <phoneticPr fontId="13"/>
  </si>
  <si>
    <t>株式会社ｽｽﾞｷ自販東海</t>
    <rPh sb="0" eb="4">
      <t>カブシキガイシャ</t>
    </rPh>
    <rPh sb="8" eb="10">
      <t>ジハン</t>
    </rPh>
    <rPh sb="10" eb="12">
      <t>トウカイ</t>
    </rPh>
    <phoneticPr fontId="13"/>
  </si>
  <si>
    <t>ｷｰﾚｽ(ﾒｶｷｰなし)(車内)保証書 取説 ﾅﾋﾞ取</t>
    <rPh sb="16" eb="19">
      <t>ホショウショ</t>
    </rPh>
    <rPh sb="20" eb="22">
      <t>トリセツ</t>
    </rPh>
    <rPh sb="26" eb="27">
      <t>トリ</t>
    </rPh>
    <phoneticPr fontId="13"/>
  </si>
  <si>
    <t>ﾒﾙｾﾃﾞｽﾍﾞﾝﾂ Aｸﾗｽ 180 ｴﾃﾞｨｼｮﾝ</t>
    <phoneticPr fontId="13"/>
  </si>
  <si>
    <t>香川 316 や 5000</t>
    <rPh sb="0" eb="2">
      <t>カガワ</t>
    </rPh>
    <phoneticPr fontId="13"/>
  </si>
  <si>
    <t>WDD1770842J047555</t>
    <phoneticPr fontId="13"/>
  </si>
  <si>
    <t>宮武 知基</t>
    <rPh sb="0" eb="1">
      <t>ミヤ</t>
    </rPh>
    <rPh sb="3" eb="4">
      <t>チ</t>
    </rPh>
    <rPh sb="4" eb="5">
      <t>モトイ</t>
    </rPh>
    <phoneticPr fontId="13"/>
  </si>
  <si>
    <t>ﾐﾗｺｺｱ X</t>
    <phoneticPr fontId="13"/>
  </si>
  <si>
    <t>名古屋 599 ろ 8159</t>
    <rPh sb="0" eb="3">
      <t>ナゴヤ</t>
    </rPh>
    <phoneticPr fontId="13"/>
  </si>
  <si>
    <t>L675S-0195980</t>
    <phoneticPr fontId="13"/>
  </si>
  <si>
    <t>ｷｬﾘｰﾄﾗｯｸ KX</t>
    <phoneticPr fontId="13"/>
  </si>
  <si>
    <t>豊橋 480 そ 96</t>
    <rPh sb="0" eb="2">
      <t>トヨハシ</t>
    </rPh>
    <phoneticPr fontId="13"/>
  </si>
  <si>
    <t>ﾓｽｸﾞﾚｰ</t>
    <phoneticPr fontId="13"/>
  </si>
  <si>
    <t>DA16T-799631</t>
    <phoneticPr fontId="13"/>
  </si>
  <si>
    <t>有限会社ﾌｼﾞﾐｵｰﾄ</t>
    <rPh sb="0" eb="4">
      <t>ユウゲンガイシャ</t>
    </rPh>
    <phoneticPr fontId="13"/>
  </si>
  <si>
    <t>ﾊｽﾗｰ ﾊｲﾌﾞﾘｯﾄ Xﾀｰﾎﾞ</t>
    <phoneticPr fontId="13"/>
  </si>
  <si>
    <t>品川 5X0 ろ 9872</t>
    <rPh sb="0" eb="2">
      <t>シナガワ</t>
    </rPh>
    <phoneticPr fontId="13"/>
  </si>
  <si>
    <t>MR52S-152240</t>
    <phoneticPr fontId="13"/>
  </si>
  <si>
    <t>ﾑｰﾌﾞｷｬﾝﾊﾞｽ ｽﾄﾗｲﾌﾟG</t>
    <phoneticPr fontId="13"/>
  </si>
  <si>
    <t>品川 5X0 ろ 9873</t>
    <rPh sb="0" eb="2">
      <t>シナガワ</t>
    </rPh>
    <phoneticPr fontId="13"/>
  </si>
  <si>
    <t>LA850S-0059743</t>
    <phoneticPr fontId="13"/>
  </si>
  <si>
    <t>VW ｺﾞﾙﾌ R</t>
    <phoneticPr fontId="13"/>
  </si>
  <si>
    <t>8/11/23</t>
    <phoneticPr fontId="13"/>
  </si>
  <si>
    <t>奈良 301 ね 130</t>
    <rPh sb="0" eb="2">
      <t>ナラ</t>
    </rPh>
    <phoneticPr fontId="13"/>
  </si>
  <si>
    <t>WVWZZZAUZJW060423</t>
    <phoneticPr fontId="13"/>
  </si>
  <si>
    <t>奈良中央三菱自動車販売株式会社</t>
    <rPh sb="0" eb="2">
      <t>ナラ</t>
    </rPh>
    <rPh sb="2" eb="4">
      <t>チュウオウ</t>
    </rPh>
    <rPh sb="4" eb="6">
      <t>ミツビシ</t>
    </rPh>
    <rPh sb="6" eb="9">
      <t>ジドウシャ</t>
    </rPh>
    <rPh sb="9" eb="11">
      <t>ハンバイ</t>
    </rPh>
    <rPh sb="11" eb="15">
      <t>カブシキガイシャ</t>
    </rPh>
    <phoneticPr fontId="13"/>
  </si>
  <si>
    <t>ﾜｺﾞﾝR ｶｽﾀﾑZ ﾊｲﾌﾞﾘｯﾄZX</t>
    <phoneticPr fontId="13"/>
  </si>
  <si>
    <t>京都 582 く 4023</t>
    <rPh sb="0" eb="2">
      <t>キョウト</t>
    </rPh>
    <phoneticPr fontId="13"/>
  </si>
  <si>
    <t>保証書 取説 ｽﾍﾟｱｷｰ 地図SD ﾜﾝｵｰﾅｰ</t>
    <rPh sb="0" eb="3">
      <t>ホショウショ</t>
    </rPh>
    <rPh sb="4" eb="6">
      <t>トリセツ</t>
    </rPh>
    <rPh sb="14" eb="16">
      <t>チズ</t>
    </rPh>
    <phoneticPr fontId="13"/>
  </si>
  <si>
    <t>MH95S-222955</t>
    <phoneticPr fontId="13"/>
  </si>
  <si>
    <t>株式会社ﾌｼﾞｻﾝｵｰﾄ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</si>
  <si>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</si>
  <si>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BMW 3ｼﾘｰｽﾞ 320d xdrive Mｽﾎﾟｰﾂ</t>
    <phoneticPr fontId="13"/>
  </si>
  <si>
    <t>名古屋 370 み 20</t>
    <rPh sb="0" eb="3">
      <t>ナゴヤ</t>
    </rPh>
    <phoneticPr fontId="13"/>
  </si>
  <si>
    <t>WBA5V72000FH38987</t>
    <phoneticPr fontId="13"/>
  </si>
  <si>
    <t>ｼﾄﾛｴﾝ C3ｼｬｲﾝ</t>
    <phoneticPr fontId="13"/>
  </si>
  <si>
    <t>8/9/18</t>
    <phoneticPr fontId="13"/>
  </si>
  <si>
    <t>豊橋 301 み 5572</t>
    <rPh sb="0" eb="2">
      <t>トヨハシ</t>
    </rPh>
    <phoneticPr fontId="13"/>
  </si>
  <si>
    <t>Tha Vehicles株式会社</t>
    <rPh sb="12" eb="16">
      <t>カブシキガイシャ</t>
    </rPh>
    <phoneticPr fontId="13"/>
  </si>
  <si>
    <t>8/10/6</t>
    <phoneticPr fontId="13"/>
  </si>
  <si>
    <t>福井 580 つ 6218</t>
    <rPh sb="0" eb="2">
      <t>フクイ</t>
    </rPh>
    <phoneticPr fontId="13"/>
  </si>
  <si>
    <t>MH23S-685336</t>
    <phoneticPr fontId="13"/>
  </si>
  <si>
    <t>株式会社ｶｰﾈｰｼｮﾝ</t>
    <rPh sb="0" eb="4">
      <t>カブシキガイシャ</t>
    </rPh>
    <phoneticPr fontId="13"/>
  </si>
  <si>
    <t>記録紙2枚</t>
    <rPh sb="0" eb="3">
      <t>キロクシ</t>
    </rPh>
    <rPh sb="4" eb="5">
      <t>マイ</t>
    </rPh>
    <phoneticPr fontId="13"/>
  </si>
  <si>
    <t>ﾑｰﾌﾞｶｽﾀﾑ X SA</t>
    <phoneticPr fontId="13"/>
  </si>
  <si>
    <t>MOTA</t>
    <phoneticPr fontId="13"/>
  </si>
  <si>
    <t>LA100S-1109806</t>
    <phoneticPr fontId="13"/>
  </si>
  <si>
    <t>ｳﾞｪﾙﾌｧｲｱ 2.5ZA ｴﾃﾞｨｼｮﾝｺﾞﾙﾃﾞﾝｱｲｽﾞ</t>
    <phoneticPr fontId="13"/>
  </si>
  <si>
    <t>8/9/25</t>
    <phoneticPr fontId="13"/>
  </si>
  <si>
    <t>A298312</t>
    <phoneticPr fontId="13"/>
  </si>
  <si>
    <t>AGH30-0130040</t>
    <phoneticPr fontId="13"/>
  </si>
  <si>
    <t>ｽﾍﾟｰｼｱｶｽﾀﾑ ﾊｲﾌﾞﾘｯﾄ</t>
    <phoneticPr fontId="13"/>
  </si>
  <si>
    <t>岡山 581 の 2243</t>
    <rPh sb="0" eb="2">
      <t>オカヤマ</t>
    </rPh>
    <phoneticPr fontId="13"/>
  </si>
  <si>
    <t>MK53S-758034</t>
    <phoneticPr fontId="13"/>
  </si>
  <si>
    <t>ｽｽﾞｷ岡山販売株式会社</t>
    <rPh sb="4" eb="12">
      <t>オカヤマハンバイカブシキガイシャ</t>
    </rPh>
    <phoneticPr fontId="13"/>
  </si>
  <si>
    <t>ｸﾛｽﾋﾞｰ ﾊｲﾌﾞﾘｯﾄMZ</t>
    <phoneticPr fontId="13"/>
  </si>
  <si>
    <t>8/7/23</t>
    <phoneticPr fontId="13"/>
  </si>
  <si>
    <t>岡山 502 は 4515</t>
    <phoneticPr fontId="13"/>
  </si>
  <si>
    <t>MN71S-312636</t>
    <phoneticPr fontId="13"/>
  </si>
  <si>
    <t>保証書 取説 地図SD</t>
    <rPh sb="0" eb="3">
      <t>ホショウショ</t>
    </rPh>
    <rPh sb="4" eb="6">
      <t>トリセツ</t>
    </rPh>
    <phoneticPr fontId="13"/>
  </si>
  <si>
    <t>BMWﾐﾆｸｰﾊﾟｰD</t>
    <phoneticPr fontId="13"/>
  </si>
  <si>
    <t>8/7/1</t>
    <phoneticPr fontId="13"/>
  </si>
  <si>
    <t>佐賀 301 さ 4968</t>
    <rPh sb="0" eb="2">
      <t>サガ</t>
    </rPh>
    <phoneticPr fontId="13"/>
  </si>
  <si>
    <t>WMWXT320X02F06511</t>
    <phoneticPr fontId="13"/>
  </si>
  <si>
    <t>株式会社BUDDICA</t>
    <rPh sb="0" eb="4">
      <t>カブシキガイシャ</t>
    </rPh>
    <phoneticPr fontId="13"/>
  </si>
  <si>
    <t>奈良 301 な 5608</t>
    <rPh sb="0" eb="2">
      <t>ナラ</t>
    </rPh>
    <phoneticPr fontId="13"/>
  </si>
  <si>
    <t>VF7SXHNZTHT601254</t>
    <phoneticPr fontId="13"/>
  </si>
  <si>
    <t>株式会社壱</t>
    <rPh sb="0" eb="4">
      <t>カブシキガイシャ</t>
    </rPh>
    <rPh sb="4" eb="5">
      <t>イチ</t>
    </rPh>
    <phoneticPr fontId="13"/>
  </si>
  <si>
    <t>9/21</t>
    <phoneticPr fontId="13"/>
  </si>
  <si>
    <t>なにわ 313 ゆ 7788</t>
    <phoneticPr fontId="13"/>
  </si>
  <si>
    <t>WMWXR920702M16411</t>
    <phoneticPr fontId="13"/>
  </si>
  <si>
    <t>保証書 取説 ﾜﾝｵｰﾅｰ？</t>
    <rPh sb="0" eb="3">
      <t>ホショウショ</t>
    </rPh>
    <rPh sb="4" eb="6">
      <t>トリセツ</t>
    </rPh>
    <phoneticPr fontId="13"/>
  </si>
  <si>
    <t>BMW3ｼﾘｰｽﾞ 320 xdriveMｽﾎﾟｰﾂ</t>
    <phoneticPr fontId="13"/>
  </si>
  <si>
    <t>広島 399 な 9743</t>
    <rPh sb="0" eb="2">
      <t>ヒロシマ</t>
    </rPh>
    <phoneticPr fontId="13"/>
  </si>
  <si>
    <t>WBA5V72010AJ48601</t>
    <phoneticPr fontId="13"/>
  </si>
  <si>
    <t>取説 ﾚﾝﾀｶｰ</t>
    <rPh sb="0" eb="2">
      <t>トリセツ</t>
    </rPh>
    <phoneticPr fontId="13"/>
  </si>
  <si>
    <t>BMW X1 xdrive18d</t>
    <phoneticPr fontId="13"/>
  </si>
  <si>
    <t>山口 330 り 2028</t>
    <rPh sb="0" eb="2">
      <t>ヤマグチ</t>
    </rPh>
    <phoneticPr fontId="13"/>
  </si>
  <si>
    <t>WBA32AD0105S95830</t>
    <phoneticPr fontId="13"/>
  </si>
  <si>
    <t>株式会社ﾎﾝﾀﾞｶｰｽﾞ山口中央</t>
    <rPh sb="0" eb="4">
      <t>カブシキガイシャ</t>
    </rPh>
    <rPh sb="12" eb="14">
      <t>ヤマグチ</t>
    </rPh>
    <rPh sb="14" eb="16">
      <t>チュウオウ</t>
    </rPh>
    <phoneticPr fontId="13"/>
  </si>
  <si>
    <t>取説(車内)保証書 ｷｰﾚｽ ﾜﾝｵｰﾅｰ</t>
    <rPh sb="0" eb="2">
      <t>トリセツ</t>
    </rPh>
    <rPh sb="6" eb="9">
      <t>ホショウショ</t>
    </rPh>
    <phoneticPr fontId="13"/>
  </si>
  <si>
    <t>N-BOXｶｽﾀﾑ SSﾊﾟｯｹｰｼﾞ</t>
    <phoneticPr fontId="13"/>
  </si>
  <si>
    <t>市川 580 ろ 4750</t>
    <rPh sb="0" eb="2">
      <t>イチカワ</t>
    </rPh>
    <phoneticPr fontId="13"/>
  </si>
  <si>
    <t xml:space="preserve"> ｽﾏｰﾄｷｰ 保証書 取説 </t>
    <rPh sb="8" eb="11">
      <t>ホショウショ</t>
    </rPh>
    <rPh sb="12" eb="14">
      <t>トリセツ</t>
    </rPh>
    <phoneticPr fontId="13"/>
  </si>
  <si>
    <t>JF1-1459971</t>
    <phoneticPr fontId="13"/>
  </si>
  <si>
    <t>株式会社ﾎﾝﾀﾞﾍﾞﾙﾉ市川</t>
    <rPh sb="0" eb="4">
      <t>カブシキガイシャ</t>
    </rPh>
    <rPh sb="12" eb="14">
      <t>イチカワ</t>
    </rPh>
    <phoneticPr fontId="13"/>
  </si>
  <si>
    <t>ｼﾞﾑﾆｰ ﾗﾝﾄﾞﾍﾞﾝﾁｬｰ</t>
    <phoneticPr fontId="13"/>
  </si>
  <si>
    <t>8/3/20</t>
    <phoneticPr fontId="13"/>
  </si>
  <si>
    <t>A298970</t>
    <phoneticPr fontId="13"/>
  </si>
  <si>
    <t>JB23W-742973</t>
    <phoneticPr fontId="13"/>
  </si>
  <si>
    <t>ｽｰﾊﾟｰｷｬﾘｲ X</t>
    <phoneticPr fontId="13"/>
  </si>
  <si>
    <t>9/8/26</t>
    <phoneticPr fontId="13"/>
  </si>
  <si>
    <t>A298111</t>
    <phoneticPr fontId="13"/>
  </si>
  <si>
    <t>DA16T-471992</t>
    <phoneticPr fontId="13"/>
  </si>
  <si>
    <t>ﾉｰﾄ S</t>
    <phoneticPr fontId="13"/>
  </si>
  <si>
    <t>7/12/20</t>
    <phoneticPr fontId="13"/>
  </si>
  <si>
    <t>A299591</t>
    <phoneticPr fontId="13"/>
  </si>
  <si>
    <t>E13-000926</t>
    <phoneticPr fontId="13"/>
  </si>
  <si>
    <t>ﾑｰﾌﾞ X SA</t>
    <phoneticPr fontId="13"/>
  </si>
  <si>
    <t>7/11/27</t>
    <phoneticPr fontId="13"/>
  </si>
  <si>
    <t>いわき 580 ね 7586</t>
    <phoneticPr fontId="13"/>
  </si>
  <si>
    <t>A296930</t>
    <phoneticPr fontId="13"/>
  </si>
  <si>
    <t>LA100S-1085746</t>
    <phoneticPr fontId="13"/>
  </si>
  <si>
    <t>田中 賢希</t>
    <rPh sb="0" eb="2">
      <t>タナカ</t>
    </rPh>
    <rPh sb="3" eb="4">
      <t>ケン</t>
    </rPh>
    <rPh sb="4" eb="5">
      <t>キ</t>
    </rPh>
    <phoneticPr fontId="13"/>
  </si>
  <si>
    <t>ﾀﾌﾄ G</t>
    <phoneticPr fontId="13"/>
  </si>
  <si>
    <t>横浜 787 こ 358</t>
    <rPh sb="0" eb="2">
      <t>ヨコハマ</t>
    </rPh>
    <phoneticPr fontId="13"/>
  </si>
  <si>
    <t xml:space="preserve"> 取説</t>
    <rPh sb="1" eb="3">
      <t>トリセツ</t>
    </rPh>
    <phoneticPr fontId="13"/>
  </si>
  <si>
    <t>LA900S-0029284</t>
    <phoneticPr fontId="13"/>
  </si>
  <si>
    <t>9/27</t>
    <phoneticPr fontId="13"/>
  </si>
  <si>
    <t>保証書 取説 SD</t>
    <rPh sb="0" eb="3">
      <t>ホショウショ</t>
    </rPh>
    <rPh sb="4" eb="6">
      <t>トリセツ</t>
    </rPh>
    <phoneticPr fontId="13"/>
  </si>
  <si>
    <t>25/2</t>
    <phoneticPr fontId="13"/>
  </si>
  <si>
    <t>大阪 542 の 8888</t>
    <rPh sb="0" eb="2">
      <t>オオサカ</t>
    </rPh>
    <phoneticPr fontId="13"/>
  </si>
  <si>
    <t>WMWZP32080TY79518</t>
    <phoneticPr fontId="13"/>
  </si>
  <si>
    <t>田中 勉</t>
    <rPh sb="0" eb="2">
      <t>タナカ</t>
    </rPh>
    <rPh sb="3" eb="4">
      <t>ベン</t>
    </rPh>
    <phoneticPr fontId="13"/>
  </si>
  <si>
    <t>ｷｰﾚｽ (車内)取説</t>
    <rPh sb="9" eb="11">
      <t>トリセツ</t>
    </rPh>
    <phoneticPr fontId="13"/>
  </si>
  <si>
    <t>6/？</t>
    <phoneticPr fontId="13"/>
  </si>
  <si>
    <t>ｴﾌﾞﾘｨ PA 4WD</t>
    <phoneticPr fontId="13"/>
  </si>
  <si>
    <t>島根 480 ち 9675</t>
    <rPh sb="0" eb="2">
      <t>シマネ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</si>
  <si>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</si>
  <si>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DA17V-890305</t>
    <phoneticPr fontId="13"/>
  </si>
  <si>
    <t>株式会社ｽｽﾞｷ自販島根</t>
    <rPh sb="0" eb="4">
      <t>カブシキガイシャ</t>
    </rPh>
    <rPh sb="8" eb="10">
      <t>ジハン</t>
    </rPh>
    <rPh sb="10" eb="12">
      <t>シマネ</t>
    </rPh>
    <phoneticPr fontId="13"/>
  </si>
  <si>
    <t>ｴﾌﾞﾘｨ PAﾘﾐﾃｯﾄﾞ</t>
    <phoneticPr fontId="13"/>
  </si>
  <si>
    <t>香川 480 わ 2055</t>
    <rPh sb="0" eb="2">
      <t>カガワ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</si>
  <si>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</si>
  <si>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DA17V-897113</t>
    <phoneticPr fontId="13"/>
  </si>
  <si>
    <t>株式会社ｺｰﾁｪ</t>
    <rPh sb="0" eb="4">
      <t>カブシキガイシャ</t>
    </rPh>
    <phoneticPr fontId="13"/>
  </si>
  <si>
    <t>ﾑｰﾌﾞｷｬﾝﾊﾞｽ X ﾌﾞﾗｯｸｲﾝﾃﾘｱﾘﾐﾃｯﾄﾞ SA3</t>
    <phoneticPr fontId="13"/>
  </si>
  <si>
    <t>広島 586 の 417</t>
    <rPh sb="0" eb="2">
      <t>ヒロシマ</t>
    </rPh>
    <phoneticPr fontId="13"/>
  </si>
  <si>
    <t>LA800S-0212677</t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</si>
  <si>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</si>
  <si>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取説 地図SD(車内)ﾅﾝﾊﾞｰ</t>
    <rPh sb="0" eb="2">
      <t>トリセツ</t>
    </rPh>
    <rPh sb="3" eb="5">
      <t>チズ</t>
    </rPh>
    <rPh sb="8" eb="10">
      <t>シャナイ</t>
    </rPh>
    <phoneticPr fontId="13"/>
  </si>
  <si>
    <t>ﾐﾗｲｰｽ L</t>
    <phoneticPr fontId="13"/>
  </si>
  <si>
    <t>倉敷 580 ゆ 1352</t>
    <rPh sb="0" eb="2">
      <t>クラシキ</t>
    </rPh>
    <phoneticPr fontId="13"/>
  </si>
  <si>
    <t>LA300S-1399333</t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</si>
  <si>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</si>
  <si>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ﾐﾗｲｰｽ L SA</t>
    <phoneticPr fontId="13"/>
  </si>
  <si>
    <t>倉敷 580 て 8131</t>
    <rPh sb="0" eb="2">
      <t>クラシキ</t>
    </rPh>
    <phoneticPr fontId="13"/>
  </si>
  <si>
    <t>LA300S-1270006</t>
    <phoneticPr fontId="13"/>
  </si>
  <si>
    <t>地図SD (車内)</t>
    <rPh sb="0" eb="2">
      <t>チズ</t>
    </rPh>
    <phoneticPr fontId="13"/>
  </si>
  <si>
    <t>ﾎﾞﾙﾎﾞ V40 ｸﾛｽｶﾝﾄﾘｰ</t>
    <phoneticPr fontId="13"/>
  </si>
  <si>
    <t>福岡 342 の 512</t>
    <rPh sb="0" eb="2">
      <t>フクオカ</t>
    </rPh>
    <phoneticPr fontId="13"/>
  </si>
  <si>
    <t>YV1MZ402CK2181773</t>
    <phoneticPr fontId="13"/>
  </si>
  <si>
    <t>ﾄﾖﾀｶﾛｰﾗ博多株式会社</t>
    <rPh sb="7" eb="9">
      <t>ハカタ</t>
    </rPh>
    <rPh sb="9" eb="13">
      <t>カブシキガイシャ</t>
    </rPh>
    <phoneticPr fontId="13"/>
  </si>
  <si>
    <t>9/16</t>
    <phoneticPr fontId="13"/>
  </si>
  <si>
    <t>ｽﾍﾟｰｼｱｶｽﾀﾑ  ﾊｲﾌﾞﾘｯﾄXS</t>
    <phoneticPr fontId="13"/>
  </si>
  <si>
    <t>品川 5P1 ろ 9860</t>
    <rPh sb="0" eb="2">
      <t>シナガワ</t>
    </rPh>
    <phoneticPr fontId="13"/>
  </si>
  <si>
    <t>MK53S-735128</t>
    <phoneticPr fontId="13"/>
  </si>
  <si>
    <t>VW ｻﾞﾋﾞｰﾄﾙ ｶﾌﾞﾘｵﾚ</t>
    <phoneticPr fontId="13"/>
  </si>
  <si>
    <t>9/2/13</t>
    <phoneticPr fontId="13"/>
  </si>
  <si>
    <t>大宮 389 ほ 7788</t>
    <rPh sb="0" eb="2">
      <t>オオミヤ</t>
    </rPh>
    <phoneticPr fontId="13"/>
  </si>
  <si>
    <t>WVWZZZ16ZEM807730</t>
    <phoneticPr fontId="13"/>
  </si>
  <si>
    <t>久保 明</t>
    <rPh sb="0" eb="2">
      <t>クボ</t>
    </rPh>
    <rPh sb="3" eb="4">
      <t>アキラ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</si>
  <si>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取説 地図SD (車内)整備手帳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ｷｰﾚｽ ﾅﾋﾞ取</t>
    </r>
    <rPh sb="0" eb="2">
      <t>トリセツ</t>
    </rPh>
    <rPh sb="3" eb="5">
      <t>チズ</t>
    </rPh>
    <rPh sb="12" eb="16">
      <t>セイビテチョウ</t>
    </rPh>
    <rPh sb="25" eb="26">
      <t>トリ</t>
    </rPh>
    <phoneticPr fontId="13"/>
  </si>
  <si>
    <t>15/10</t>
    <phoneticPr fontId="13"/>
  </si>
  <si>
    <t>ｼﾞﾑﾆｰ  XC</t>
    <phoneticPr fontId="13"/>
  </si>
  <si>
    <t>京都 582 と 1239</t>
    <rPh sb="0" eb="2">
      <t>キョウト</t>
    </rPh>
    <phoneticPr fontId="13"/>
  </si>
  <si>
    <t xml:space="preserve">ﾅﾝﾊﾞｰ </t>
    <phoneticPr fontId="13"/>
  </si>
  <si>
    <t>JB23W-334711</t>
    <phoneticPr fontId="13"/>
  </si>
  <si>
    <t>塩尻 幸太</t>
    <rPh sb="0" eb="2">
      <t>シオジリ</t>
    </rPh>
    <rPh sb="3" eb="4">
      <t>ユキ</t>
    </rPh>
    <rPh sb="4" eb="5">
      <t>フトシ</t>
    </rPh>
    <phoneticPr fontId="13"/>
  </si>
  <si>
    <t>保証書 ﾅﾋﾞ取 ﾅﾝﾊﾞｰ</t>
    <rPh sb="0" eb="3">
      <t>ホショウショ</t>
    </rPh>
    <rPh sb="7" eb="8">
      <t>トリ</t>
    </rPh>
    <phoneticPr fontId="13"/>
  </si>
  <si>
    <t>ﾌﾟｼﾞｮｰ 5008 ｱﾘｭｰﾙ</t>
    <phoneticPr fontId="13"/>
  </si>
  <si>
    <t>姫路 399 な 2843</t>
    <rPh sb="0" eb="2">
      <t>ヒメジ</t>
    </rPh>
    <phoneticPr fontId="13"/>
  </si>
  <si>
    <t>ｽﾍﾟｱｷｰ ﾐﾆB-CAS 地図SD</t>
    <rPh sb="15" eb="17">
      <t>チズ</t>
    </rPh>
    <phoneticPr fontId="13"/>
  </si>
  <si>
    <t>VF3M45GZWHL054700</t>
    <phoneticPr fontId="13"/>
  </si>
  <si>
    <t>ﾈｯﾂﾄﾖﾀ兵庫株式会社</t>
    <rPh sb="6" eb="8">
      <t>ヒョウゴ</t>
    </rPh>
    <rPh sb="8" eb="12">
      <t>カブシキガイシャ</t>
    </rPh>
    <phoneticPr fontId="13"/>
  </si>
  <si>
    <t>取説 ｷｰﾚｽ 地図SD miniB-CAS</t>
    <rPh sb="0" eb="2">
      <t>トリセツ</t>
    </rPh>
    <rPh sb="8" eb="10">
      <t>チズ</t>
    </rPh>
    <phoneticPr fontId="13"/>
  </si>
  <si>
    <t>ﾒﾙｾﾃﾞｽﾍﾞﾝﾂ CLA180</t>
    <phoneticPr fontId="13"/>
  </si>
  <si>
    <t>神戸 39A せ 3411</t>
    <rPh sb="0" eb="2">
      <t>コウベ</t>
    </rPh>
    <phoneticPr fontId="13"/>
  </si>
  <si>
    <t>ｴﾝｼﾞﾝｽﾀｰﾄﾎﾞﾀﾝ</t>
    <phoneticPr fontId="13"/>
  </si>
  <si>
    <t>WDD1173422N554046</t>
    <phoneticPr fontId="13"/>
  </si>
  <si>
    <t>ｽﾀｰﾄﾎﾞﾀﾝ ｷｰﾚｽ</t>
    <phoneticPr fontId="13"/>
  </si>
  <si>
    <t>24/5</t>
    <phoneticPr fontId="13"/>
  </si>
  <si>
    <t>MRﾜｺﾞﾝ 10ｱﾆﾊﾞｰｻﾘｰﾘﾐﾃｯﾄﾞ</t>
    <phoneticPr fontId="13"/>
  </si>
  <si>
    <t>7/5/17</t>
    <phoneticPr fontId="13"/>
  </si>
  <si>
    <t>四日市 580 か 2217</t>
    <rPh sb="0" eb="3">
      <t>ヨッカイチ</t>
    </rPh>
    <phoneticPr fontId="13"/>
  </si>
  <si>
    <t>抹消依頼済み</t>
    <rPh sb="0" eb="2">
      <t>マッショウ</t>
    </rPh>
    <rPh sb="2" eb="4">
      <t>イライ</t>
    </rPh>
    <rPh sb="4" eb="5">
      <t>ズ</t>
    </rPh>
    <phoneticPr fontId="13"/>
  </si>
  <si>
    <t>MF33S-181939</t>
    <phoneticPr fontId="13"/>
  </si>
  <si>
    <t>SYED SHAH NIAZ HUSSAIN</t>
    <phoneticPr fontId="13"/>
  </si>
  <si>
    <t>ﾀﾝﾄ L</t>
    <phoneticPr fontId="13"/>
  </si>
  <si>
    <t>9/3/29</t>
    <phoneticPr fontId="13"/>
  </si>
  <si>
    <t>富山 581 た 5345</t>
    <rPh sb="0" eb="2">
      <t>トヤマ</t>
    </rPh>
    <phoneticPr fontId="13"/>
  </si>
  <si>
    <t>LA660S-0057745</t>
    <phoneticPr fontId="13"/>
  </si>
  <si>
    <t>株式会社ｵﾘｺｵｰﾄﾘｰｽ</t>
    <rPh sb="0" eb="4">
      <t>カブシキガイシャ</t>
    </rPh>
    <phoneticPr fontId="13"/>
  </si>
  <si>
    <t>取説 ｽﾍﾟｱｷｰ ﾜﾝｵｰﾅｰ</t>
    <rPh sb="0" eb="2">
      <t>トリセツ</t>
    </rPh>
    <phoneticPr fontId="13"/>
  </si>
  <si>
    <t>ﾀﾝﾄｶｽﾀﾑ X</t>
    <phoneticPr fontId="13"/>
  </si>
  <si>
    <t>8/4/13</t>
    <phoneticPr fontId="13"/>
  </si>
  <si>
    <t>伊豆 580 て 6424</t>
    <rPh sb="0" eb="2">
      <t>イズ</t>
    </rPh>
    <phoneticPr fontId="13"/>
  </si>
  <si>
    <t>三須 舞美</t>
    <rPh sb="0" eb="1">
      <t>サン</t>
    </rPh>
    <rPh sb="1" eb="2">
      <t>ス</t>
    </rPh>
    <rPh sb="3" eb="4">
      <t>マイ</t>
    </rPh>
    <rPh sb="4" eb="5">
      <t>ミ</t>
    </rPh>
    <phoneticPr fontId="13"/>
  </si>
  <si>
    <t>ﾑｰﾌﾞｶｽﾀﾑ RS ﾊｲﾊﾟｰLTD</t>
    <phoneticPr fontId="13"/>
  </si>
  <si>
    <t>大阪 581 ま 9303</t>
    <rPh sb="0" eb="2">
      <t>オオサカ</t>
    </rPh>
    <phoneticPr fontId="13"/>
  </si>
  <si>
    <t>LA150S-2020654</t>
    <phoneticPr fontId="13"/>
  </si>
  <si>
    <t>西日本三菱自動車株式会社</t>
    <rPh sb="0" eb="12">
      <t>ニシニホンミツビシジドウシャカブシキガイシャ</t>
    </rPh>
    <phoneticPr fontId="13"/>
  </si>
  <si>
    <t>保証書 ｽﾍﾟｱｷｰ  取説</t>
    <rPh sb="0" eb="3">
      <t>ホショウショ</t>
    </rPh>
    <rPh sb="12" eb="14">
      <t>トリセツ</t>
    </rPh>
    <phoneticPr fontId="13"/>
  </si>
  <si>
    <t>ekｸﾛｽｽﾍﾟｰｽ T</t>
    <phoneticPr fontId="13"/>
  </si>
  <si>
    <t>神戸 594 ろ 1343</t>
    <rPh sb="0" eb="2">
      <t>コウベ</t>
    </rPh>
    <phoneticPr fontId="13"/>
  </si>
  <si>
    <t>保証書 取説 ﾏｲｸﾛSD ﾚﾝﾀｶｰ</t>
    <rPh sb="0" eb="3">
      <t>ホショウショ</t>
    </rPh>
    <rPh sb="4" eb="6">
      <t>トリセツ</t>
    </rPh>
    <phoneticPr fontId="13"/>
  </si>
  <si>
    <t>B35A-0007282</t>
    <phoneticPr fontId="13"/>
  </si>
  <si>
    <t>兵庫三菱自動車販売株式会社</t>
    <rPh sb="0" eb="2">
      <t>ヒョウゴ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</si>
  <si>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保証書 取説 ﾏｲｸﾛSD ﾅﾋﾞ取  ﾚﾝﾀｶｰ</t>
    <rPh sb="0" eb="3">
      <t>ホショウショ</t>
    </rPh>
    <rPh sb="4" eb="6">
      <t>トリセツ</t>
    </rPh>
    <rPh sb="17" eb="18">
      <t>トリ</t>
    </rPh>
    <phoneticPr fontId="13"/>
  </si>
  <si>
    <t>8/8/31</t>
    <phoneticPr fontId="13"/>
  </si>
  <si>
    <t>名古屋 593 や 8000</t>
    <rPh sb="0" eb="3">
      <t>ナゴヤ</t>
    </rPh>
    <phoneticPr fontId="13"/>
  </si>
  <si>
    <t>保証書 取説 ﾅﾋﾞ ｽﾏｰﾄｷｰ ｷｬﾘｱｷｰ3個</t>
    <rPh sb="0" eb="3">
      <t>ホショウショ</t>
    </rPh>
    <rPh sb="4" eb="6">
      <t>トリセツ</t>
    </rPh>
    <rPh sb="25" eb="26">
      <t>コ</t>
    </rPh>
    <phoneticPr fontId="13"/>
  </si>
  <si>
    <t>DA17W-270519</t>
    <phoneticPr fontId="13"/>
  </si>
  <si>
    <t>保証書 取説 ﾅﾋﾞ取 ｷｰﾚｽ その他ｷｰ2個</t>
    <rPh sb="0" eb="3">
      <t>ホショウショ</t>
    </rPh>
    <rPh sb="4" eb="6">
      <t>トリセツ</t>
    </rPh>
    <rPh sb="10" eb="11">
      <t>トリ</t>
    </rPh>
    <rPh sb="19" eb="20">
      <t>タ</t>
    </rPh>
    <rPh sb="23" eb="24">
      <t>コ</t>
    </rPh>
    <phoneticPr fontId="13"/>
  </si>
  <si>
    <t>N-BOXｶｽﾀﾑ L ﾀｰﾎﾞ</t>
    <phoneticPr fontId="13"/>
  </si>
  <si>
    <t>三重 582 そ 928</t>
    <rPh sb="0" eb="2">
      <t>ミエ</t>
    </rPh>
    <phoneticPr fontId="13"/>
  </si>
  <si>
    <t>保証書 ﾄﾞﾗﾚｺSD</t>
    <rPh sb="0" eb="3">
      <t>ホショウショ</t>
    </rPh>
    <phoneticPr fontId="13"/>
  </si>
  <si>
    <t>JF3-2335462</t>
    <phoneticPr fontId="13"/>
  </si>
  <si>
    <t>三重日産自動車株式会社</t>
    <rPh sb="0" eb="2">
      <t>ミエ</t>
    </rPh>
    <rPh sb="2" eb="11">
      <t>ニッサンジドウシャカブシキガイシャ</t>
    </rPh>
    <phoneticPr fontId="13"/>
  </si>
  <si>
    <t>保証書 ｷｰﾚｽ ｴﾝﾀﾒSD ﾘﾓｺﾝ ﾏｲｸﾛSD</t>
    <rPh sb="0" eb="3">
      <t>ホショウショ</t>
    </rPh>
    <phoneticPr fontId="13"/>
  </si>
  <si>
    <t>多摩 303 ち 4119</t>
    <rPh sb="0" eb="2">
      <t>タマ</t>
    </rPh>
    <phoneticPr fontId="13"/>
  </si>
  <si>
    <t>WMWXU92040TE41665</t>
    <phoneticPr fontId="13"/>
  </si>
  <si>
    <t>東京ｽﾊﾞﾙ株式会社</t>
    <rPh sb="0" eb="2">
      <t>トウキョウ</t>
    </rPh>
    <rPh sb="6" eb="10">
      <t>カブシキガイシャ</t>
    </rPh>
    <phoneticPr fontId="13"/>
  </si>
  <si>
    <t>ﾙﾉｰﾄｩｲﾝｺﾞ S ﾘﾐﾃｯﾄﾞ</t>
    <phoneticPr fontId="13"/>
  </si>
  <si>
    <t>横浜 505 め 4764</t>
    <rPh sb="0" eb="2">
      <t>ヨコハマ</t>
    </rPh>
    <phoneticPr fontId="13"/>
  </si>
  <si>
    <t>VF1AH0002L0813260</t>
    <phoneticPr fontId="13"/>
  </si>
  <si>
    <t>株式会社ｻﾝｵｰﾀｽ</t>
    <rPh sb="0" eb="4">
      <t>カブシキガイシャ</t>
    </rPh>
    <phoneticPr fontId="13"/>
  </si>
  <si>
    <t>ﾀﾝﾄ Xｾﾚｸｼｮﾝ</t>
    <phoneticPr fontId="13"/>
  </si>
  <si>
    <t>7/11/23</t>
    <phoneticPr fontId="13"/>
  </si>
  <si>
    <t>和泉 595 も 5296</t>
    <rPh sb="0" eb="2">
      <t>イズミ</t>
    </rPh>
    <phoneticPr fontId="13"/>
  </si>
  <si>
    <t>LA650S-0108180</t>
    <phoneticPr fontId="13"/>
  </si>
  <si>
    <t>ﾊｽﾗｰ Jｽﾀｲﾙ</t>
    <phoneticPr fontId="13"/>
  </si>
  <si>
    <t>三重 582 い 51</t>
    <rPh sb="0" eb="2">
      <t>ミエ</t>
    </rPh>
    <phoneticPr fontId="13"/>
  </si>
  <si>
    <t>MR92S-197672</t>
    <phoneticPr fontId="13"/>
  </si>
  <si>
    <t>ｴﾌｴﾙｼｰ株式会社</t>
    <rPh sb="6" eb="10">
      <t>カブシキガイシャ</t>
    </rPh>
    <phoneticPr fontId="13"/>
  </si>
  <si>
    <t>ｺﾍﾟﾝ ｱﾙﾃｨﾒｯﾄｴﾃﾞｨｼｮﾝS</t>
    <phoneticPr fontId="13"/>
  </si>
  <si>
    <t>なにわ 5P6 ろ 2781</t>
    <phoneticPr fontId="13"/>
  </si>
  <si>
    <t>L880K-0057220</t>
    <phoneticPr fontId="13"/>
  </si>
  <si>
    <t>ﾙﾉｰ ｶﾝｸﾞｰ ｾﾞﾝ</t>
    <phoneticPr fontId="13"/>
  </si>
  <si>
    <t>滋賀 351 に 330</t>
    <rPh sb="0" eb="2">
      <t>シガ</t>
    </rPh>
    <phoneticPr fontId="13"/>
  </si>
  <si>
    <t>VF1KWB2B6K0802435</t>
    <phoneticPr fontId="13"/>
  </si>
  <si>
    <t>ﾌｨｯﾄ eHEV</t>
    <phoneticPr fontId="13"/>
  </si>
  <si>
    <t>7/10/30</t>
    <phoneticPr fontId="13"/>
  </si>
  <si>
    <t>豊田 533 ほ 3588</t>
    <rPh sb="0" eb="2">
      <t>トヨタ</t>
    </rPh>
    <phoneticPr fontId="13"/>
  </si>
  <si>
    <t>A300547</t>
    <phoneticPr fontId="13"/>
  </si>
  <si>
    <t>GR3-1303330</t>
    <phoneticPr fontId="13"/>
  </si>
  <si>
    <t>杉山 智基</t>
    <rPh sb="0" eb="2">
      <t>スギヤマ</t>
    </rPh>
    <rPh sb="3" eb="5">
      <t>トモキ</t>
    </rPh>
    <phoneticPr fontId="13"/>
  </si>
  <si>
    <t>ﾙｰｸｽ ﾊｲｳｪｲｽﾀｰ</t>
    <phoneticPr fontId="13"/>
  </si>
  <si>
    <t>9/6/1</t>
    <phoneticPr fontId="13"/>
  </si>
  <si>
    <t>八王子 581 け 8079</t>
    <rPh sb="0" eb="3">
      <t>ハチオウジ</t>
    </rPh>
    <phoneticPr fontId="13"/>
  </si>
  <si>
    <t>A300015</t>
    <phoneticPr fontId="13"/>
  </si>
  <si>
    <t>ML21S-594219</t>
    <phoneticPr fontId="13"/>
  </si>
  <si>
    <t>小川 隼人</t>
    <rPh sb="0" eb="2">
      <t>オガワ</t>
    </rPh>
    <rPh sb="3" eb="4">
      <t>シュン</t>
    </rPh>
    <rPh sb="4" eb="5">
      <t>ヒト</t>
    </rPh>
    <phoneticPr fontId="13"/>
  </si>
  <si>
    <t>ｳﾞｫｸｼｰ ﾊｲﾌﾞﾘｯﾄZS 煌 3</t>
    <rPh sb="17" eb="18">
      <t>キラメ</t>
    </rPh>
    <phoneticPr fontId="13"/>
  </si>
  <si>
    <t>7/11/9</t>
    <phoneticPr fontId="13"/>
  </si>
  <si>
    <t>川崎 301 ち 7322</t>
    <rPh sb="0" eb="2">
      <t>カワサキ</t>
    </rPh>
    <phoneticPr fontId="13"/>
  </si>
  <si>
    <t>A298456</t>
    <phoneticPr fontId="13"/>
  </si>
  <si>
    <t>ZWR80-0476467</t>
    <phoneticPr fontId="13"/>
  </si>
  <si>
    <t>齋川　浩一</t>
    <rPh sb="0" eb="2">
      <t>サイカワ</t>
    </rPh>
    <rPh sb="3" eb="5">
      <t>コウイチ</t>
    </rPh>
    <phoneticPr fontId="13"/>
  </si>
  <si>
    <t>LA900S-0056312</t>
    <phoneticPr fontId="13"/>
  </si>
  <si>
    <t>JF3-1154413</t>
    <phoneticPr fontId="13"/>
  </si>
  <si>
    <t xml:space="preserve">ﾊｽﾗｰ </t>
    <phoneticPr fontId="13"/>
  </si>
  <si>
    <t>なにわ 5P3 ろ 5846</t>
    <phoneticPr fontId="13"/>
  </si>
  <si>
    <t>MR31S-119324</t>
    <phoneticPr fontId="13"/>
  </si>
  <si>
    <t>ｽﾃﾗ L ｽﾏｰﾄｱｼｽﾄ</t>
    <phoneticPr fontId="13"/>
  </si>
  <si>
    <t>8/1/29</t>
    <phoneticPr fontId="13"/>
  </si>
  <si>
    <t>広島 582 す 712</t>
    <rPh sb="0" eb="2">
      <t>ヒロシマ</t>
    </rPh>
    <phoneticPr fontId="13"/>
  </si>
  <si>
    <t>LA150F-0001989</t>
    <phoneticPr fontId="13"/>
  </si>
  <si>
    <t>新畠 健太</t>
    <rPh sb="0" eb="1">
      <t>シン</t>
    </rPh>
    <rPh sb="1" eb="2">
      <t>ハタケ</t>
    </rPh>
    <rPh sb="3" eb="5">
      <t>ケンタ</t>
    </rPh>
    <phoneticPr fontId="13"/>
  </si>
  <si>
    <t>ﾐﾗｲｰｽ G ﾘﾐﾃｯﾄﾞ</t>
    <phoneticPr fontId="13"/>
  </si>
  <si>
    <t>8/2/18</t>
    <phoneticPr fontId="13"/>
  </si>
  <si>
    <t>倉敷 580 よ 702</t>
    <rPh sb="0" eb="2">
      <t>クラシキ</t>
    </rPh>
    <phoneticPr fontId="13"/>
  </si>
  <si>
    <t>LA350S-0139414</t>
    <phoneticPr fontId="13"/>
  </si>
  <si>
    <t>磯部 浩紀</t>
    <rPh sb="0" eb="2">
      <t>イソベ</t>
    </rPh>
    <rPh sb="3" eb="5">
      <t>ヒロキ</t>
    </rPh>
    <phoneticPr fontId="13"/>
  </si>
  <si>
    <t>ｱﾙﾄﾜｰｸｽ</t>
    <phoneticPr fontId="13"/>
  </si>
  <si>
    <t>8/9/3</t>
    <phoneticPr fontId="13"/>
  </si>
  <si>
    <t>福山 580 よ 7019</t>
    <rPh sb="0" eb="2">
      <t>フクヤマ</t>
    </rPh>
    <phoneticPr fontId="13"/>
  </si>
  <si>
    <t>HA36S-871547</t>
    <phoneticPr fontId="13"/>
  </si>
  <si>
    <t>池口 進一</t>
    <rPh sb="0" eb="2">
      <t>イケグチ</t>
    </rPh>
    <rPh sb="3" eb="5">
      <t>シンイチ</t>
    </rPh>
    <phoneticPr fontId="13"/>
  </si>
  <si>
    <t>ﾎﾞﾙﾎﾞ V90 D4 ﾉﾙﾃﾞｨｯｸｴﾃﾞｨｼｮﾝ</t>
    <phoneticPr fontId="13"/>
  </si>
  <si>
    <t>8/12/25</t>
    <phoneticPr fontId="13"/>
  </si>
  <si>
    <t>岡山 31L も 8</t>
    <rPh sb="0" eb="2">
      <t>オカヤマ</t>
    </rPh>
    <phoneticPr fontId="13"/>
  </si>
  <si>
    <t>YV1PWA8MDK1106272</t>
    <phoneticPr fontId="13"/>
  </si>
  <si>
    <t>株式会社ｶｰｳﾞｨﾚﾁﾞ</t>
    <rPh sb="0" eb="4">
      <t>カブシキガイシャ</t>
    </rPh>
    <phoneticPr fontId="13"/>
  </si>
  <si>
    <t>ｷｰﾚｽ (車内)保証書 取説</t>
    <rPh sb="9" eb="12">
      <t>ホショウショ</t>
    </rPh>
    <rPh sb="13" eb="15">
      <t>トリセツ</t>
    </rPh>
    <phoneticPr fontId="13"/>
  </si>
  <si>
    <t>8/3/26</t>
    <phoneticPr fontId="13"/>
  </si>
  <si>
    <t>大阪 337 ふ 3223</t>
    <rPh sb="0" eb="2">
      <t>オオサカ</t>
    </rPh>
    <phoneticPr fontId="13"/>
  </si>
  <si>
    <t>竹下様</t>
    <rPh sb="0" eb="2">
      <t>タケシタ</t>
    </rPh>
    <rPh sb="2" eb="3">
      <t>サマ</t>
    </rPh>
    <phoneticPr fontId="13"/>
  </si>
  <si>
    <t>WMWXR520X0TV10270</t>
    <phoneticPr fontId="13"/>
  </si>
  <si>
    <t>BMW X1</t>
    <phoneticPr fontId="13"/>
  </si>
  <si>
    <t>熊本 366 め 1188</t>
    <rPh sb="0" eb="2">
      <t>クマモト</t>
    </rPh>
    <phoneticPr fontId="13"/>
  </si>
  <si>
    <t>WBAHT920205N32913</t>
    <phoneticPr fontId="13"/>
  </si>
  <si>
    <t>ﾌﾟｼﾞｮｰ 208 GT</t>
    <phoneticPr fontId="13"/>
  </si>
  <si>
    <t>熊本 301 み 8794</t>
    <rPh sb="0" eb="2">
      <t>クマモト</t>
    </rPh>
    <phoneticPr fontId="13"/>
  </si>
  <si>
    <t>VR3UPHNKSNT039347</t>
    <phoneticPr fontId="13"/>
  </si>
  <si>
    <t>株式会社九州ﾕｰﾎﾟｽ</t>
    <rPh sb="0" eb="4">
      <t>カブシキガイシャ</t>
    </rPh>
    <rPh sb="4" eb="6">
      <t>キュウシュウ</t>
    </rPh>
    <phoneticPr fontId="13"/>
  </si>
  <si>
    <t xml:space="preserve">ｱﾊﾞﾙﾄ595 ｺﾝﾍﾟﾃｨﾂｨｵｰﾈ </t>
    <phoneticPr fontId="13"/>
  </si>
  <si>
    <t>品川 59F さ 8182</t>
    <rPh sb="0" eb="2">
      <t>シナガワ</t>
    </rPh>
    <phoneticPr fontId="13"/>
  </si>
  <si>
    <t>ZFA3120000JC23982</t>
    <phoneticPr fontId="13"/>
  </si>
  <si>
    <t>ｱﾙﾄﾗﾊﾟﾝｼｮｺﾗ X ｵｰﾃﾞｨｵ</t>
    <phoneticPr fontId="13"/>
  </si>
  <si>
    <t>7/12/24</t>
    <phoneticPr fontId="13"/>
  </si>
  <si>
    <t>A299959</t>
    <phoneticPr fontId="13"/>
  </si>
  <si>
    <t>HE22S-849281</t>
    <phoneticPr fontId="13"/>
  </si>
  <si>
    <t>20/10</t>
    <phoneticPr fontId="13"/>
  </si>
  <si>
    <t>ﾐﾗｼﾞｰﾉ ﾌﾟﾚﾐｱﾑ X</t>
    <phoneticPr fontId="13"/>
  </si>
  <si>
    <t>奈良 584 ろ 1216</t>
    <rPh sb="0" eb="2">
      <t>ナラ</t>
    </rPh>
    <phoneticPr fontId="13"/>
  </si>
  <si>
    <t>L650S-0075674</t>
    <phoneticPr fontId="13"/>
  </si>
  <si>
    <t>株式会社ﾛｰﾄﾞｶｰ</t>
    <rPh sb="0" eb="4">
      <t>カブシキガイシャ</t>
    </rPh>
    <phoneticPr fontId="13"/>
  </si>
  <si>
    <t xml:space="preserve">N-WGNｶｽﾀﾑ G </t>
    <phoneticPr fontId="13"/>
  </si>
  <si>
    <t>京都 581 と 1912</t>
    <rPh sb="0" eb="2">
      <t>キョウト</t>
    </rPh>
    <phoneticPr fontId="13"/>
  </si>
  <si>
    <t>JH1-1324762</t>
    <phoneticPr fontId="13"/>
  </si>
  <si>
    <t>福嶋 正人</t>
    <rPh sb="0" eb="1">
      <t>フク</t>
    </rPh>
    <rPh sb="1" eb="2">
      <t>シマ</t>
    </rPh>
    <rPh sb="3" eb="5">
      <t>マサト</t>
    </rPh>
    <phoneticPr fontId="13"/>
  </si>
  <si>
    <t>保証書 取説 ﾅﾋﾞ取 ｷｰﾚｽ 地図SD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</si>
  <si>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品番；CN-RE03D</t>
    <rPh sb="0" eb="2">
      <t>ヒンバン</t>
    </rPh>
    <phoneticPr fontId="13"/>
  </si>
  <si>
    <t>7/12/25</t>
    <phoneticPr fontId="13"/>
  </si>
  <si>
    <t>なにわ 583 よ 322</t>
    <phoneticPr fontId="13"/>
  </si>
  <si>
    <t>DA17W-167351</t>
    <phoneticPr fontId="13"/>
  </si>
  <si>
    <t>隅垣 麻里</t>
    <rPh sb="0" eb="1">
      <t>スミ</t>
    </rPh>
    <rPh sb="1" eb="2">
      <t>カキ</t>
    </rPh>
    <rPh sb="3" eb="5">
      <t>マリ</t>
    </rPh>
    <phoneticPr fontId="13"/>
  </si>
  <si>
    <t>保証書 取説 (車内)</t>
    <rPh sb="0" eb="3">
      <t>ホショウショ</t>
    </rPh>
    <rPh sb="4" eb="6">
      <t>トリセツ</t>
    </rPh>
    <rPh sb="8" eb="10">
      <t>シャナイ</t>
    </rPh>
    <phoneticPr fontId="13"/>
  </si>
  <si>
    <t>ｱﾙﾌｧﾛﾒｵ ｳﾞｪﾛｰﾁｪ</t>
    <phoneticPr fontId="13"/>
  </si>
  <si>
    <t>8/4/14</t>
    <phoneticPr fontId="13"/>
  </si>
  <si>
    <t>京都 346 み 228</t>
    <rPh sb="0" eb="2">
      <t>キョウト</t>
    </rPh>
    <phoneticPr fontId="13"/>
  </si>
  <si>
    <t>ZAR94000007551522</t>
    <phoneticPr fontId="13"/>
  </si>
  <si>
    <t>保証書 取説 ｷｰﾚｽ ｺｰﾄﾞｶｰﾄﾞ</t>
    <rPh sb="0" eb="3">
      <t>ホショウショ</t>
    </rPh>
    <rPh sb="4" eb="6">
      <t>トリセツ</t>
    </rPh>
    <phoneticPr fontId="13"/>
  </si>
  <si>
    <t xml:space="preserve">ｴﾌﾞﾘｲﾜｺﾞﾝ PZﾀｰﾎﾞ </t>
    <phoneticPr fontId="13"/>
  </si>
  <si>
    <t>品川 5P9 ろ 9644</t>
    <rPh sb="0" eb="2">
      <t>シナガワ</t>
    </rPh>
    <phoneticPr fontId="13"/>
  </si>
  <si>
    <t>DA17W-351676</t>
    <phoneticPr fontId="13"/>
  </si>
  <si>
    <t>昭和ﾘｰｽ株式会社</t>
    <rPh sb="0" eb="2">
      <t>ショウワ</t>
    </rPh>
    <rPh sb="5" eb="9">
      <t>カブシキガイシャ</t>
    </rPh>
    <phoneticPr fontId="13"/>
  </si>
  <si>
    <t>ｼﾞｰﾌﾟ ﾚﾈｹﾞｰﾄ ﾘﾐﾃｯﾄﾞ</t>
    <phoneticPr fontId="13"/>
  </si>
  <si>
    <t>市川 310 ぬ 5884</t>
    <rPh sb="0" eb="2">
      <t>イチカワ</t>
    </rPh>
    <phoneticPr fontId="13"/>
  </si>
  <si>
    <t>1C4BU0000LP69463</t>
    <phoneticPr fontId="13"/>
  </si>
  <si>
    <t>ﾔﾅｾｵｰﾄﾓｰﾃｨﾌﾞ株式会社</t>
    <rPh sb="12" eb="16">
      <t>カブシキガイシャ</t>
    </rPh>
    <phoneticPr fontId="13"/>
  </si>
  <si>
    <t>ｱｳﾃﾞｨA3 ｽﾎﾟｰﾂﾊﾞｯｸ</t>
    <phoneticPr fontId="13"/>
  </si>
  <si>
    <t>名古屋 307 ゆ 7273</t>
    <rPh sb="0" eb="3">
      <t>ナゴヤ</t>
    </rPh>
    <phoneticPr fontId="13"/>
  </si>
  <si>
    <t>WAUZZZ8V0LA011402</t>
    <phoneticPr fontId="13"/>
  </si>
  <si>
    <t>28/1</t>
    <phoneticPr fontId="13"/>
  </si>
  <si>
    <t>BMWﾐﾆﾜﾝ 5ﾄﾞｱ</t>
    <phoneticPr fontId="13"/>
  </si>
  <si>
    <t>石川 399 せ 6952</t>
    <rPh sb="0" eb="2">
      <t>イシカワ</t>
    </rPh>
    <phoneticPr fontId="13"/>
  </si>
  <si>
    <t>WMWXS120902C74104</t>
    <phoneticPr fontId="13"/>
  </si>
  <si>
    <t>株式会社ｲｰﾋﾟｰｴﾑｺｰﾎﾟﾚｰｼｮﾝ</t>
    <rPh sb="0" eb="4">
      <t>カブシキガイシャ</t>
    </rPh>
    <phoneticPr fontId="13"/>
  </si>
  <si>
    <t>ﾐﾗｺｺｱX</t>
    <phoneticPr fontId="13"/>
  </si>
  <si>
    <t>大阪 581 つ 5053</t>
    <rPh sb="0" eb="2">
      <t>オオサカ</t>
    </rPh>
    <phoneticPr fontId="13"/>
  </si>
  <si>
    <t>L675S-0181536</t>
    <phoneticPr fontId="13"/>
  </si>
  <si>
    <t>ｱｸｱ S ｽﾀｲﾙﾌﾞﾗｯｸ</t>
    <phoneticPr fontId="13"/>
  </si>
  <si>
    <t>神戸 536 ろ 507</t>
    <rPh sb="0" eb="2">
      <t>コウベ</t>
    </rPh>
    <phoneticPr fontId="13"/>
  </si>
  <si>
    <t>NHP10-6600070</t>
    <phoneticPr fontId="13"/>
  </si>
  <si>
    <t>27/11</t>
    <phoneticPr fontId="13"/>
  </si>
  <si>
    <t>ｷｬｽﾄｽﾀｲﾙ X SA2</t>
    <phoneticPr fontId="13"/>
  </si>
  <si>
    <t>大阪 582 と 3495</t>
    <rPh sb="0" eb="2">
      <t>オオサカ</t>
    </rPh>
    <phoneticPr fontId="13"/>
  </si>
  <si>
    <t>LA250S-0005721</t>
    <phoneticPr fontId="13"/>
  </si>
  <si>
    <t>地図SD (車内) ﾅﾝﾊﾞｰ</t>
    <rPh sb="0" eb="2">
      <t>チズ</t>
    </rPh>
    <phoneticPr fontId="13"/>
  </si>
  <si>
    <t>24/9</t>
    <phoneticPr fontId="13"/>
  </si>
  <si>
    <t>ﾊﾟﾚｯﾄ LTD 2</t>
    <phoneticPr fontId="13"/>
  </si>
  <si>
    <t>なにわ 5P6 ろ 733</t>
    <phoneticPr fontId="13"/>
  </si>
  <si>
    <t>MK21S-275220</t>
    <phoneticPr fontId="13"/>
  </si>
  <si>
    <t>ﾗｲﾌ G</t>
    <phoneticPr fontId="13"/>
  </si>
  <si>
    <t>愛媛 580 は 3579</t>
    <rPh sb="0" eb="2">
      <t>エヒメ</t>
    </rPh>
    <phoneticPr fontId="13"/>
  </si>
  <si>
    <t>JC1-1404545</t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</si>
  <si>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</si>
  <si>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N-BOX SSﾊﾟｯｹｰｼﾞ</t>
    <phoneticPr fontId="13"/>
  </si>
  <si>
    <t>鳥取 580 と 7194</t>
    <rPh sb="0" eb="2">
      <t>トットリ</t>
    </rPh>
    <phoneticPr fontId="13"/>
  </si>
  <si>
    <t>JF1-1458145</t>
    <phoneticPr fontId="13"/>
  </si>
  <si>
    <t>和泉 785 に 18</t>
    <rPh sb="0" eb="2">
      <t>イズミ</t>
    </rPh>
    <phoneticPr fontId="13"/>
  </si>
  <si>
    <t>LA700S-0175539</t>
    <phoneticPr fontId="13"/>
  </si>
  <si>
    <t>地図SD (車内)取説 ｷｰﾚｽ</t>
    <rPh sb="0" eb="2">
      <t>チズ</t>
    </rPh>
    <rPh sb="9" eb="11">
      <t>トリセツ</t>
    </rPh>
    <phoneticPr fontId="13"/>
  </si>
  <si>
    <t>N-BOXｶｽﾀﾑL</t>
    <phoneticPr fontId="13"/>
  </si>
  <si>
    <t>鈴鹿 580 わ 1946</t>
    <rPh sb="0" eb="2">
      <t>スズカ</t>
    </rPh>
    <phoneticPr fontId="13"/>
  </si>
  <si>
    <t>JF3-5288768</t>
    <phoneticPr fontId="13"/>
  </si>
  <si>
    <t>株式会社ﾎﾝﾀﾞﾌﾟﾘﾓﾄﾘｺ</t>
    <rPh sb="0" eb="4">
      <t>カブシキガイシャ</t>
    </rPh>
    <phoneticPr fontId="13"/>
  </si>
  <si>
    <t>福井 580 や 4137</t>
    <rPh sb="0" eb="2">
      <t>フクイ</t>
    </rPh>
    <phoneticPr fontId="13"/>
  </si>
  <si>
    <t>JF3-1513400</t>
    <phoneticPr fontId="13"/>
  </si>
  <si>
    <t>27/10</t>
    <phoneticPr fontId="13"/>
  </si>
  <si>
    <t>三河 332 ろ 309</t>
    <rPh sb="0" eb="2">
      <t>ミカワ</t>
    </rPh>
    <phoneticPr fontId="13"/>
  </si>
  <si>
    <t>ﾎﾝﾀﾞ名古屋</t>
    <rPh sb="4" eb="7">
      <t>ナゴヤ</t>
    </rPh>
    <phoneticPr fontId="13"/>
  </si>
  <si>
    <t>WMWX520602B40464</t>
    <phoneticPr fontId="13"/>
  </si>
  <si>
    <t>取説 ｷｰﾚｽ (車内)</t>
    <rPh sb="0" eb="2">
      <t>トリセツ</t>
    </rPh>
    <phoneticPr fontId="13"/>
  </si>
  <si>
    <t>ｼｴﾝﾀ ﾊｲﾌﾞﾘｯﾄZ</t>
    <phoneticPr fontId="13"/>
  </si>
  <si>
    <t>9/11/7</t>
    <phoneticPr fontId="13"/>
  </si>
  <si>
    <t>福山 533 ぬ 226</t>
    <rPh sb="0" eb="2">
      <t>フクヤマ</t>
    </rPh>
    <phoneticPr fontId="13"/>
  </si>
  <si>
    <t>A299791</t>
    <phoneticPr fontId="13"/>
  </si>
  <si>
    <t>MXPL10-1176958</t>
    <phoneticPr fontId="13"/>
  </si>
  <si>
    <t>北島 美樹</t>
    <rPh sb="0" eb="2">
      <t>キタジマ</t>
    </rPh>
    <rPh sb="3" eb="5">
      <t>ミキ</t>
    </rPh>
    <phoneticPr fontId="13"/>
  </si>
  <si>
    <t>N-ONE ﾌﾟﾚﾐｱﾑ</t>
    <phoneticPr fontId="13"/>
  </si>
  <si>
    <t>8/1/3</t>
    <phoneticPr fontId="13"/>
  </si>
  <si>
    <t>倉敷 584 さ 417</t>
    <rPh sb="0" eb="2">
      <t>クラシキ</t>
    </rPh>
    <phoneticPr fontId="13"/>
  </si>
  <si>
    <t>A299467</t>
    <phoneticPr fontId="13"/>
  </si>
  <si>
    <t>JG1-1213937</t>
    <phoneticPr fontId="13"/>
  </si>
  <si>
    <t>高橋 映子</t>
    <rPh sb="0" eb="2">
      <t>タカハシ</t>
    </rPh>
    <rPh sb="3" eb="5">
      <t>エイコ</t>
    </rPh>
    <phoneticPr fontId="13"/>
  </si>
  <si>
    <t>ﾀﾝﾄ ｶｽﾀﾑX</t>
    <phoneticPr fontId="13"/>
  </si>
  <si>
    <t>8/4/8</t>
    <phoneticPr fontId="13"/>
  </si>
  <si>
    <t>A300130</t>
    <phoneticPr fontId="13"/>
  </si>
  <si>
    <t>LA650S-1091509</t>
    <phoneticPr fontId="13"/>
  </si>
  <si>
    <t>9/3/10</t>
    <phoneticPr fontId="13"/>
  </si>
  <si>
    <t>香川 346 す 5005</t>
    <rPh sb="0" eb="2">
      <t>カガワ</t>
    </rPh>
    <phoneticPr fontId="13"/>
  </si>
  <si>
    <t xml:space="preserve">保証書 取説 ｽﾍﾟｱｷｰ </t>
    <rPh sb="0" eb="3">
      <t>ホショウショ</t>
    </rPh>
    <rPh sb="4" eb="6">
      <t>トリセツ</t>
    </rPh>
    <phoneticPr fontId="13"/>
  </si>
  <si>
    <t>A301164</t>
    <phoneticPr fontId="13"/>
  </si>
  <si>
    <t>AGH30-0412420</t>
    <phoneticPr fontId="13"/>
  </si>
  <si>
    <t>株式会社岡島興業</t>
    <rPh sb="0" eb="4">
      <t>カブシキガイシャ</t>
    </rPh>
    <rPh sb="4" eb="6">
      <t>オカジマ</t>
    </rPh>
    <rPh sb="6" eb="8">
      <t>コウギョウ</t>
    </rPh>
    <phoneticPr fontId="13"/>
  </si>
  <si>
    <t>ﾘﾓｺﾝ (車内)保証書 取説 ｷｰﾚｽ</t>
    <rPh sb="9" eb="12">
      <t>ホショウショ</t>
    </rPh>
    <rPh sb="13" eb="15">
      <t>トリセツ</t>
    </rPh>
    <phoneticPr fontId="13"/>
  </si>
  <si>
    <t>ｵｰﾗ ﾆｽﾓ</t>
    <phoneticPr fontId="13"/>
  </si>
  <si>
    <t>8/7/24</t>
    <phoneticPr fontId="13"/>
  </si>
  <si>
    <t>A301146</t>
    <phoneticPr fontId="13"/>
  </si>
  <si>
    <t>FE13-351853</t>
    <phoneticPr fontId="13"/>
  </si>
  <si>
    <t>ﾔﾘｽｸﾛｽ Z</t>
    <phoneticPr fontId="13"/>
  </si>
  <si>
    <t>MZPB10-3015656</t>
    <phoneticPr fontId="13"/>
  </si>
  <si>
    <t>ﾀﾝﾄｶｽﾀﾑ RS ﾄｯﾌﾟｴﾃﾞｨｼｮﾝ</t>
    <phoneticPr fontId="13"/>
  </si>
  <si>
    <t>長野 580 め 729</t>
    <rPh sb="0" eb="2">
      <t>ナガノ</t>
    </rPh>
    <phoneticPr fontId="13"/>
  </si>
  <si>
    <t>LA610S-0073753</t>
    <phoneticPr fontId="13"/>
  </si>
  <si>
    <t>川名 篤</t>
    <rPh sb="0" eb="2">
      <t>カワナ</t>
    </rPh>
    <rPh sb="3" eb="4">
      <t>アツシ</t>
    </rPh>
    <phoneticPr fontId="13"/>
  </si>
  <si>
    <t>ｽﾍﾟｰｽｶｽﾀﾑ ﾊｲﾌﾞﾘｯﾄXS</t>
    <phoneticPr fontId="13"/>
  </si>
  <si>
    <t>神戸 581 わ 4178</t>
    <rPh sb="0" eb="2">
      <t>コウベ</t>
    </rPh>
    <phoneticPr fontId="13"/>
  </si>
  <si>
    <t>MK53S-495951</t>
    <phoneticPr fontId="13"/>
  </si>
  <si>
    <t>株式会社ｲｸｾﾝｵｰﾄ</t>
    <rPh sb="0" eb="4">
      <t>カブシキガイシャ</t>
    </rPh>
    <phoneticPr fontId="13"/>
  </si>
  <si>
    <t>沖縄 582 さ 7308</t>
    <rPh sb="0" eb="2">
      <t>オキナワ</t>
    </rPh>
    <phoneticPr fontId="13"/>
  </si>
  <si>
    <t>MR92S-363165</t>
    <phoneticPr fontId="13"/>
  </si>
  <si>
    <t>池原 佑菜</t>
    <rPh sb="0" eb="2">
      <t>イケハラ</t>
    </rPh>
    <rPh sb="3" eb="5">
      <t>ユウナ</t>
    </rPh>
    <phoneticPr fontId="13"/>
  </si>
  <si>
    <t>ｱﾙﾄﾗﾊﾟﾝ 10THｱﾆﾊﾞｰｻﾘｰﾘﾐﾃｯﾄﾞ</t>
    <phoneticPr fontId="13"/>
  </si>
  <si>
    <t>大阪 589 ら 15</t>
    <rPh sb="0" eb="2">
      <t>オオサカ</t>
    </rPh>
    <phoneticPr fontId="13"/>
  </si>
  <si>
    <t>初年度違う24/9 ｸﾚｰﾑ良さん済</t>
    <rPh sb="0" eb="3">
      <t>ショネンド</t>
    </rPh>
    <rPh sb="3" eb="4">
      <t>チガ</t>
    </rPh>
    <rPh sb="14" eb="15">
      <t>リョウ</t>
    </rPh>
    <rPh sb="17" eb="18">
      <t>スミ</t>
    </rPh>
    <phoneticPr fontId="13"/>
  </si>
  <si>
    <t>HE22S-255772</t>
    <phoneticPr fontId="13"/>
  </si>
  <si>
    <t>ｴﾌﾞﾘｨｼﾞｮｲﾝ 4WD</t>
    <phoneticPr fontId="13"/>
  </si>
  <si>
    <t>広島 481 ろ 8463</t>
    <rPh sb="0" eb="2">
      <t>ヒロシマ</t>
    </rPh>
    <phoneticPr fontId="13"/>
  </si>
  <si>
    <t>DA17-429249</t>
    <phoneticPr fontId="13"/>
  </si>
  <si>
    <t>NX・TCﾘｰｽ&amp;ﾌｧｲﾅﾝｽ株式会社広島支店</t>
    <rPh sb="15" eb="19">
      <t>カブシキガイシャ</t>
    </rPh>
    <rPh sb="19" eb="21">
      <t>ヒロシマ</t>
    </rPh>
    <rPh sb="21" eb="23">
      <t>シテン</t>
    </rPh>
    <phoneticPr fontId="13"/>
  </si>
  <si>
    <t>23/10</t>
    <phoneticPr fontId="13"/>
  </si>
  <si>
    <t>ｱﾙﾄﾗﾊﾟﾝ ﾘﾐﾃｯﾄﾞ</t>
    <phoneticPr fontId="13"/>
  </si>
  <si>
    <t>香川 586 は 23</t>
    <rPh sb="0" eb="2">
      <t>カガワ</t>
    </rPh>
    <phoneticPr fontId="13"/>
  </si>
  <si>
    <t>HE22S-213361</t>
    <phoneticPr fontId="13"/>
  </si>
  <si>
    <t>保証書 取説 ｷｰﾚｽ B-CAS</t>
    <rPh sb="0" eb="3">
      <t>ホショウショ</t>
    </rPh>
    <rPh sb="4" eb="6">
      <t>トリセツ</t>
    </rPh>
    <phoneticPr fontId="13"/>
  </si>
  <si>
    <t>ｳﾞｪﾙﾌｧｲｱ 2.4Z ｺﾞｰﾙﾃﾞﾝｱｲｽﾞ2</t>
    <phoneticPr fontId="13"/>
  </si>
  <si>
    <t>広島 335 ゆ 812</t>
    <rPh sb="0" eb="2">
      <t>ヒロシマ</t>
    </rPh>
    <phoneticPr fontId="13"/>
  </si>
  <si>
    <t>ANH20-8345453</t>
    <phoneticPr fontId="13"/>
  </si>
  <si>
    <t>ﾀｳﾝﾎﾞｯｸｽ Gｽﾍﾟｼｬﾙ</t>
    <phoneticPr fontId="13"/>
  </si>
  <si>
    <t>広島 582 き 798</t>
    <rPh sb="0" eb="2">
      <t>ヒロシマ</t>
    </rPh>
    <phoneticPr fontId="13"/>
  </si>
  <si>
    <t>DS17W-300736</t>
    <phoneticPr fontId="13"/>
  </si>
  <si>
    <t>広島三菱自動車販売株式会社</t>
    <rPh sb="0" eb="2">
      <t>ヒロシマ</t>
    </rPh>
    <rPh sb="2" eb="7">
      <t>ミツビシジドウシャ</t>
    </rPh>
    <rPh sb="7" eb="9">
      <t>ハンバイ</t>
    </rPh>
    <rPh sb="9" eb="13">
      <t>カブシキガイシャ</t>
    </rPh>
    <phoneticPr fontId="13"/>
  </si>
  <si>
    <t>ﾑｰﾌﾞｺﾝﾃ ｶｽﾀﾑ RS</t>
    <phoneticPr fontId="13"/>
  </si>
  <si>
    <t>広島 580 め 9973</t>
    <rPh sb="0" eb="2">
      <t>ヒロシマ</t>
    </rPh>
    <phoneticPr fontId="13"/>
  </si>
  <si>
    <t>L585S-0029273</t>
    <phoneticPr fontId="13"/>
  </si>
  <si>
    <t>ﾀﾞｲﾊﾂ広島販売株式会社</t>
    <rPh sb="5" eb="7">
      <t>ヒロシマ</t>
    </rPh>
    <rPh sb="7" eb="13">
      <t>ハンバイカブシキガイシャ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</si>
  <si>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</si>
  <si>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ﾐﾗｲｰｽ X SA3</t>
    <phoneticPr fontId="13"/>
  </si>
  <si>
    <t>広島 581 み 1701</t>
    <rPh sb="0" eb="2">
      <t>ヒロシマ</t>
    </rPh>
    <phoneticPr fontId="13"/>
  </si>
  <si>
    <t>LA350S-0225120</t>
    <phoneticPr fontId="13"/>
  </si>
  <si>
    <t>株式会社ﾄﾖﾀﾚﾝﾘｰｽ広島</t>
    <rPh sb="0" eb="4">
      <t>カブシキガイシャ</t>
    </rPh>
    <rPh sb="12" eb="14">
      <t>ヒロシマ</t>
    </rPh>
    <phoneticPr fontId="13"/>
  </si>
  <si>
    <t>保証書 取説 ﾏｲｸﾛ地図SD(車内)</t>
    <rPh sb="0" eb="3">
      <t>ホショウショ</t>
    </rPh>
    <rPh sb="4" eb="6">
      <t>トリセツ</t>
    </rPh>
    <rPh sb="11" eb="13">
      <t>チズ</t>
    </rPh>
    <phoneticPr fontId="13"/>
  </si>
  <si>
    <t>AZﾜｺﾞﾝ XG</t>
    <phoneticPr fontId="13"/>
  </si>
  <si>
    <t>広島 580 も 7704</t>
    <rPh sb="0" eb="2">
      <t>ヒロシマ</t>
    </rPh>
    <phoneticPr fontId="13"/>
  </si>
  <si>
    <t>MJ23S-184743</t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</si>
  <si>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</si>
  <si>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ﾜｺﾞﾝR FAｽﾃｨﾝｸﾞﾚｰ X</t>
    <phoneticPr fontId="13"/>
  </si>
  <si>
    <t>広島 582 す 6871</t>
    <rPh sb="0" eb="2">
      <t>ヒロシマ</t>
    </rPh>
    <phoneticPr fontId="13"/>
  </si>
  <si>
    <t>MH23S-681023</t>
    <phoneticPr fontId="13"/>
  </si>
  <si>
    <t>下地 政宏</t>
    <rPh sb="0" eb="2">
      <t>シモヂ</t>
    </rPh>
    <rPh sb="3" eb="5">
      <t>マサヒロ</t>
    </rPh>
    <phoneticPr fontId="13"/>
  </si>
  <si>
    <t>福山 581 さ 7689</t>
    <rPh sb="0" eb="2">
      <t>フクヤマ</t>
    </rPh>
    <phoneticPr fontId="13"/>
  </si>
  <si>
    <t>MH34S-116875</t>
    <phoneticPr fontId="13"/>
  </si>
  <si>
    <t>有限会社ﾐﾊﾗﾎﾞｰﾄ自動車販売</t>
    <rPh sb="0" eb="4">
      <t>ユウゲンガイシャ</t>
    </rPh>
    <rPh sb="11" eb="16">
      <t>ジドウシャハンバイ</t>
    </rPh>
    <phoneticPr fontId="13"/>
  </si>
  <si>
    <t>8/6/29</t>
    <phoneticPr fontId="13"/>
  </si>
  <si>
    <t>練馬 302 ね 1653</t>
    <rPh sb="0" eb="2">
      <t>ネリマ</t>
    </rPh>
    <phoneticPr fontId="13"/>
  </si>
  <si>
    <t>整備手帳 取説 Ｓキー</t>
    <rPh sb="0" eb="4">
      <t>セイビテチョウ</t>
    </rPh>
    <rPh sb="5" eb="7">
      <t>トリセツ</t>
    </rPh>
    <phoneticPr fontId="13"/>
  </si>
  <si>
    <t>WBAHT920805G90935</t>
    <phoneticPr fontId="13"/>
  </si>
  <si>
    <t>ﾌｨｱｯﾄ500C 1.2ｶﾙﾄ</t>
    <phoneticPr fontId="13"/>
  </si>
  <si>
    <t>8/12/26</t>
    <phoneticPr fontId="13"/>
  </si>
  <si>
    <t>横浜 506 そ 2330</t>
    <rPh sb="0" eb="2">
      <t>ヨコハマ</t>
    </rPh>
    <phoneticPr fontId="13"/>
  </si>
  <si>
    <t>ZFABF1BG1MJF14554</t>
    <phoneticPr fontId="13"/>
  </si>
  <si>
    <t>ｱｳﾃﾞｨ TTｸｰﾍﾟ 1.8TFSI Sﾗｲﾝ</t>
    <phoneticPr fontId="13"/>
  </si>
  <si>
    <t>8/6/27</t>
    <phoneticPr fontId="13"/>
  </si>
  <si>
    <t>多摩 304 そ 9768</t>
    <rPh sb="0" eb="2">
      <t>タマ</t>
    </rPh>
    <phoneticPr fontId="13"/>
  </si>
  <si>
    <t>TRUZZZ8J8D1007007</t>
    <phoneticPr fontId="13"/>
  </si>
  <si>
    <t>株式会社ﾓｰﾄﾚﾝ東名横浜</t>
    <rPh sb="0" eb="4">
      <t>カブシキガイシャ</t>
    </rPh>
    <rPh sb="9" eb="11">
      <t>トウメイ</t>
    </rPh>
    <rPh sb="11" eb="13">
      <t>ヨコハマ</t>
    </rPh>
    <phoneticPr fontId="13"/>
  </si>
  <si>
    <t>BMW X1 xdrive18ｄ</t>
    <phoneticPr fontId="13"/>
  </si>
  <si>
    <t>なにわ 39A ま 6891</t>
    <phoneticPr fontId="13"/>
  </si>
  <si>
    <t>WBAHT920X05G89110</t>
    <phoneticPr fontId="13"/>
  </si>
  <si>
    <t>株式会社ｽｽﾞｷ自販近畿</t>
    <rPh sb="0" eb="4">
      <t>カブシキガイシャ</t>
    </rPh>
    <rPh sb="8" eb="10">
      <t>ジハン</t>
    </rPh>
    <rPh sb="10" eb="12">
      <t>キンキ</t>
    </rPh>
    <phoneticPr fontId="13"/>
  </si>
  <si>
    <t>ｷｰﾚｽ(車内)保証書 ﾘﾓｺﾝ</t>
    <rPh sb="8" eb="11">
      <t>ホショウショ</t>
    </rPh>
    <phoneticPr fontId="13"/>
  </si>
  <si>
    <t>豊橋 584 ぬ 1012</t>
    <rPh sb="0" eb="2">
      <t>トヨハシ</t>
    </rPh>
    <phoneticPr fontId="13"/>
  </si>
  <si>
    <t>HE33S-303122</t>
    <phoneticPr fontId="13"/>
  </si>
  <si>
    <t>株式会社ｽｽﾞｷ自販東海</t>
    <rPh sb="0" eb="4">
      <t>カブシキガイシャ</t>
    </rPh>
    <rPh sb="9" eb="11">
      <t>トウカイ</t>
    </rPh>
    <phoneticPr fontId="13"/>
  </si>
  <si>
    <t>ﾀﾝﾄ ｶｽﾀﾑ RS ﾄｯﾌﾟｴﾃﾞｨｼｮﾝSA3</t>
    <phoneticPr fontId="13"/>
  </si>
  <si>
    <t>静岡 584 ろ 8696</t>
    <rPh sb="0" eb="2">
      <t>シズオカ</t>
    </rPh>
    <phoneticPr fontId="13"/>
  </si>
  <si>
    <t>LA600S-0749055</t>
    <phoneticPr fontId="13"/>
  </si>
  <si>
    <t>ﾄﾖﾀﾕﾅｲﾃｯﾄﾞ静岡株式会社</t>
    <rPh sb="10" eb="12">
      <t>シズオカ</t>
    </rPh>
    <rPh sb="12" eb="16">
      <t>カブシキガイシャ</t>
    </rPh>
    <phoneticPr fontId="13"/>
  </si>
  <si>
    <t>ﾎﾞﾙﾎﾞ XC60</t>
    <phoneticPr fontId="13"/>
  </si>
  <si>
    <t>名古屋 332 に 848</t>
    <rPh sb="0" eb="3">
      <t>ナゴヤ</t>
    </rPh>
    <phoneticPr fontId="13"/>
  </si>
  <si>
    <t>YV1UZA8MCL1498479</t>
    <phoneticPr fontId="13"/>
  </si>
  <si>
    <t>整備手帳 取説 ｷｰﾚｽ ｽﾍﾟｱｷｰ (車内)</t>
    <rPh sb="0" eb="4">
      <t>セイビテチョウ</t>
    </rPh>
    <rPh sb="5" eb="7">
      <t>トリセツ</t>
    </rPh>
    <phoneticPr fontId="13"/>
  </si>
  <si>
    <t>VW ｻﾞﾋﾞｰﾄﾙﾃﾞｻﾞｲﾝ</t>
    <phoneticPr fontId="13"/>
  </si>
  <si>
    <t>松本 300 ら 4832</t>
    <rPh sb="0" eb="2">
      <t>マツモト</t>
    </rPh>
    <phoneticPr fontId="13"/>
  </si>
  <si>
    <t>WVWZZZ16ZHM603039</t>
    <phoneticPr fontId="13"/>
  </si>
  <si>
    <t>NTP-VG株式会社</t>
    <rPh sb="6" eb="10">
      <t>カブシキガイシャ</t>
    </rPh>
    <phoneticPr fontId="13"/>
  </si>
  <si>
    <t>取説 ｷｰﾚｽ (車内)地図SD</t>
    <rPh sb="0" eb="2">
      <t>トリセツ</t>
    </rPh>
    <rPh sb="12" eb="14">
      <t>チズ</t>
    </rPh>
    <phoneticPr fontId="13"/>
  </si>
  <si>
    <t>ﾌﾟﾛﾎﾞｯｸｽ DXｺﾝﾌｫｰﾄ</t>
    <phoneticPr fontId="13"/>
  </si>
  <si>
    <t>四日市 400 わ 185</t>
    <rPh sb="0" eb="3">
      <t>ヨッカイチ</t>
    </rPh>
    <phoneticPr fontId="13"/>
  </si>
  <si>
    <t>保証書 ﾚﾝﾀｶｰ</t>
    <rPh sb="0" eb="3">
      <t>ホショウショ</t>
    </rPh>
    <phoneticPr fontId="13"/>
  </si>
  <si>
    <t>NSP160-0063019</t>
    <phoneticPr fontId="13"/>
  </si>
  <si>
    <t>株式会社ﾄﾖﾀﾚﾝﾘｰｽ三重</t>
    <rPh sb="0" eb="4">
      <t>カブシキガイシャ</t>
    </rPh>
    <rPh sb="12" eb="14">
      <t>ミエ</t>
    </rPh>
    <phoneticPr fontId="13"/>
  </si>
  <si>
    <t>取説 ｽﾍﾟｱｷｰ 地図SD (車内)保証書 ﾚﾝﾀｶｰ</t>
    <rPh sb="0" eb="2">
      <t>トリセツ</t>
    </rPh>
    <rPh sb="10" eb="12">
      <t>チズ</t>
    </rPh>
    <rPh sb="19" eb="22">
      <t>ホショウショ</t>
    </rPh>
    <phoneticPr fontId="13"/>
  </si>
  <si>
    <t>京都 590 こ 314</t>
    <rPh sb="0" eb="2">
      <t>キョウト</t>
    </rPh>
    <phoneticPr fontId="13"/>
  </si>
  <si>
    <t>MK53S-983930</t>
    <phoneticPr fontId="13"/>
  </si>
  <si>
    <t>ｽﾍﾟｰｽｶｽﾀﾑ ﾊｲﾌﾞﾘｯﾄGS</t>
    <phoneticPr fontId="13"/>
  </si>
  <si>
    <t>姫路 581 た 6347</t>
    <rPh sb="0" eb="2">
      <t>ヒメジ</t>
    </rPh>
    <phoneticPr fontId="13"/>
  </si>
  <si>
    <t>MK53S-574653</t>
    <phoneticPr fontId="13"/>
  </si>
  <si>
    <t>阿部 敏也</t>
    <rPh sb="0" eb="2">
      <t>アベ</t>
    </rPh>
    <rPh sb="3" eb="4">
      <t>トシ</t>
    </rPh>
    <rPh sb="4" eb="5">
      <t>ヤ</t>
    </rPh>
    <phoneticPr fontId="13"/>
  </si>
  <si>
    <t xml:space="preserve">ﾏｲｸﾛ地図SD(車内)保証書 取説 ｷｰﾚｽ </t>
    <rPh sb="12" eb="15">
      <t>ホショウショ</t>
    </rPh>
    <rPh sb="16" eb="18">
      <t>トリセツ</t>
    </rPh>
    <phoneticPr fontId="13"/>
  </si>
  <si>
    <t>ｱﾊﾞﾙﾄ 595 ﾊﾟｰﾌｫｰﾏﾝｽPKG</t>
    <phoneticPr fontId="13"/>
  </si>
  <si>
    <t>庄内 500 ひ 7689</t>
    <rPh sb="0" eb="2">
      <t>ショウナイ</t>
    </rPh>
    <phoneticPr fontId="13"/>
  </si>
  <si>
    <t>ZFA3120000JC45705</t>
    <phoneticPr fontId="13"/>
  </si>
  <si>
    <t>有限会社ROSSO</t>
    <rPh sb="0" eb="4">
      <t>ユウゲンガイシャ</t>
    </rPh>
    <phoneticPr fontId="13"/>
  </si>
  <si>
    <t>ｸﾗｲｽﾗｰ ｼﾞｰﾌﾟｺﾝﾊﾟｽ</t>
    <phoneticPr fontId="13"/>
  </si>
  <si>
    <t>京都 32F ふ 8</t>
    <rPh sb="0" eb="2">
      <t>キョウト</t>
    </rPh>
    <phoneticPr fontId="13"/>
  </si>
  <si>
    <t>MCANJRCB2MFA73733</t>
    <phoneticPr fontId="13"/>
  </si>
  <si>
    <t>京都ﾄﾖﾍﾟｯﾄ株式会社</t>
    <rPh sb="0" eb="2">
      <t>キョウト</t>
    </rPh>
    <rPh sb="8" eb="12">
      <t>カブシキガイシャ</t>
    </rPh>
    <phoneticPr fontId="13"/>
  </si>
  <si>
    <t>9/26</t>
    <phoneticPr fontId="13"/>
  </si>
  <si>
    <t>ｸﾗｲｽﾗｰ ﾚﾈｹﾞｰﾄ</t>
    <phoneticPr fontId="13"/>
  </si>
  <si>
    <t>なにわ 39A み 2833</t>
    <phoneticPr fontId="13"/>
  </si>
  <si>
    <t>1V4NJCD14MPM42767</t>
    <phoneticPr fontId="13"/>
  </si>
  <si>
    <t>ﾄﾖﾀﾓﾋﾞﾘﾃｨｻｰﾋﾞｽ新大阪株式会社</t>
    <rPh sb="14" eb="17">
      <t>シンオオサカ</t>
    </rPh>
    <rPh sb="17" eb="21">
      <t>カブシキガイシャ</t>
    </rPh>
    <phoneticPr fontId="13"/>
  </si>
  <si>
    <t>ﾒﾙｾﾃﾞｽﾍﾞﾝﾂ C 200ﾜｺﾞﾝ</t>
    <phoneticPr fontId="13"/>
  </si>
  <si>
    <t>岡山 301 も 6180</t>
    <rPh sb="0" eb="2">
      <t>オカヤマ</t>
    </rPh>
    <phoneticPr fontId="13"/>
  </si>
  <si>
    <t>WDD2052772F914399</t>
    <phoneticPr fontId="13"/>
  </si>
  <si>
    <t>山陽ﾔﾅｾ株式会社</t>
    <rPh sb="0" eb="2">
      <t>サンヨウ</t>
    </rPh>
    <rPh sb="5" eb="9">
      <t>カブシキガイシャ</t>
    </rPh>
    <phoneticPr fontId="13"/>
  </si>
  <si>
    <t>ｱｸｱ S ｽﾏｰﾄｴﾝﾄﾘｰﾊﾟｯｹｰｼﾞ</t>
    <phoneticPr fontId="13"/>
  </si>
  <si>
    <t>多摩 503 と 204</t>
    <rPh sb="0" eb="2">
      <t>タマ</t>
    </rPh>
    <phoneticPr fontId="13"/>
  </si>
  <si>
    <t>ｽﾏｰﾄｷｰ 地図SD</t>
    <rPh sb="7" eb="9">
      <t>チズ</t>
    </rPh>
    <phoneticPr fontId="13"/>
  </si>
  <si>
    <t>NHP10-2351876</t>
    <phoneticPr fontId="13"/>
  </si>
  <si>
    <t>東日本三菱自動車株式会社</t>
    <rPh sb="0" eb="12">
      <t>ヒガシニホンミツビシジドウシャカブシキガイシャ</t>
    </rPh>
    <phoneticPr fontId="13"/>
  </si>
  <si>
    <t>ｷｰﾚｽ SD</t>
    <phoneticPr fontId="13"/>
  </si>
  <si>
    <t>N-ONE  G</t>
    <phoneticPr fontId="13"/>
  </si>
  <si>
    <t>三河 581 ち 9647</t>
    <rPh sb="0" eb="2">
      <t>ミカワ</t>
    </rPh>
    <phoneticPr fontId="13"/>
  </si>
  <si>
    <t>JG1-1216266</t>
    <phoneticPr fontId="13"/>
  </si>
  <si>
    <t>加藤自動車株式会社</t>
    <rPh sb="0" eb="2">
      <t>カトウ</t>
    </rPh>
    <rPh sb="2" eb="5">
      <t>ジドウシャ</t>
    </rPh>
    <rPh sb="5" eb="9">
      <t>カブシキガイシャ</t>
    </rPh>
    <phoneticPr fontId="13"/>
  </si>
  <si>
    <t>ﾊｽﾗｰ ﾊｲﾌﾞﾘｯﾄG</t>
    <phoneticPr fontId="13"/>
  </si>
  <si>
    <t>三河 581 ち 9844</t>
    <rPh sb="0" eb="2">
      <t>ミカワ</t>
    </rPh>
    <phoneticPr fontId="13"/>
  </si>
  <si>
    <t>MR92S-139525</t>
    <phoneticPr fontId="13"/>
  </si>
  <si>
    <t>ﾄｯﾌﾟﾜｰﾙﾄﾞ株式会社</t>
    <rPh sb="9" eb="13">
      <t>カブシキガイシャ</t>
    </rPh>
    <phoneticPr fontId="13"/>
  </si>
  <si>
    <t>N-BOXｶｽﾀﾑ SSﾌﾞﾗｯｸ</t>
    <phoneticPr fontId="13"/>
  </si>
  <si>
    <t>品川 5X1 ろ 1188</t>
    <rPh sb="0" eb="2">
      <t>シナガワ</t>
    </rPh>
    <phoneticPr fontId="13"/>
  </si>
  <si>
    <t>JF1-1951616</t>
    <phoneticPr fontId="13"/>
  </si>
  <si>
    <t>ﾀｳﾝBOX Gｽﾍﾟｼｬﾙ</t>
    <phoneticPr fontId="13"/>
  </si>
  <si>
    <t>9/3/28</t>
    <phoneticPr fontId="13"/>
  </si>
  <si>
    <t>多摩 581 つ 8979</t>
    <rPh sb="0" eb="2">
      <t>タマ</t>
    </rPh>
    <phoneticPr fontId="13"/>
  </si>
  <si>
    <t>ﾅﾋﾞSD ｽﾏｰﾄｷｰ</t>
    <phoneticPr fontId="13"/>
  </si>
  <si>
    <t>DS17W-140610</t>
    <phoneticPr fontId="13"/>
  </si>
  <si>
    <t>N-BOX GL ﾎﾝﾀﾞｾﾝｼﾝｸﾞ</t>
    <phoneticPr fontId="13"/>
  </si>
  <si>
    <t>名古屋 581 わ 1288</t>
    <rPh sb="0" eb="3">
      <t>ナゴヤ</t>
    </rPh>
    <phoneticPr fontId="13"/>
  </si>
  <si>
    <t>JF3-1154351</t>
    <phoneticPr fontId="13"/>
  </si>
  <si>
    <t>株式会社ﾀｶｻﾜ</t>
    <rPh sb="0" eb="4">
      <t>カブシキガイシャ</t>
    </rPh>
    <phoneticPr fontId="13"/>
  </si>
  <si>
    <t>保証書 ﾚﾝﾀｶｰｸﾚｰﾑ</t>
    <rPh sb="0" eb="3">
      <t>ホショウショ</t>
    </rPh>
    <phoneticPr fontId="13"/>
  </si>
  <si>
    <t>23/9</t>
    <phoneticPr fontId="13"/>
  </si>
  <si>
    <t>ﾃﾞｨｱｽ ｽﾛｰﾌﾟ付 ﾄﾗﾝｽｹｱ</t>
    <rPh sb="11" eb="12">
      <t>ツ</t>
    </rPh>
    <phoneticPr fontId="13"/>
  </si>
  <si>
    <t>三重 880 あ 1330</t>
    <rPh sb="0" eb="2">
      <t>ミエ</t>
    </rPh>
    <phoneticPr fontId="13"/>
  </si>
  <si>
    <t>保証書 取説 ﾘﾓｺﾝ 非課税OK</t>
    <rPh sb="0" eb="3">
      <t>ホショウショ</t>
    </rPh>
    <rPh sb="4" eb="6">
      <t>トリセツ</t>
    </rPh>
    <rPh sb="12" eb="15">
      <t>ヒカゼイ</t>
    </rPh>
    <phoneticPr fontId="13"/>
  </si>
  <si>
    <t>S321N-0000706</t>
    <phoneticPr fontId="13"/>
  </si>
  <si>
    <t>服部 弘美</t>
    <rPh sb="0" eb="2">
      <t>ハットリ</t>
    </rPh>
    <rPh sb="3" eb="5">
      <t>ヒロミ</t>
    </rPh>
    <phoneticPr fontId="13"/>
  </si>
  <si>
    <t>N-BOX G SSﾊﾟｯｹｰｼﾞ</t>
    <phoneticPr fontId="13"/>
  </si>
  <si>
    <t>ﾅﾋﾞ取</t>
    <rPh sb="3" eb="4">
      <t>トリ</t>
    </rPh>
    <phoneticPr fontId="13"/>
  </si>
  <si>
    <t>JF1-1970592</t>
    <phoneticPr fontId="13"/>
  </si>
  <si>
    <t>ｽｸﾗﾑﾜｺﾞﾝ PZ ﾀｰﾎﾞ</t>
    <phoneticPr fontId="13"/>
  </si>
  <si>
    <t>DG17W-100773</t>
    <phoneticPr fontId="13"/>
  </si>
  <si>
    <t>ﾜｺﾞﾝR FXﾘﾐﾃｯﾄﾞ</t>
    <phoneticPr fontId="13"/>
  </si>
  <si>
    <t>尾張小牧 589 ろ 7196</t>
    <rPh sb="0" eb="4">
      <t>オワリコマキ</t>
    </rPh>
    <phoneticPr fontId="13"/>
  </si>
  <si>
    <t>ﾐﾗｲﾌﾞ愛知(ｱｲｵｰｸ)</t>
    <rPh sb="6" eb="13">
      <t>（アイオーク）</t>
    </rPh>
    <phoneticPr fontId="13"/>
  </si>
  <si>
    <t>MH34S-102969</t>
    <phoneticPr fontId="13"/>
  </si>
  <si>
    <t>愛知ﾀﾞｲﾊﾂ株式会社</t>
    <rPh sb="0" eb="2">
      <t>アイチ</t>
    </rPh>
    <rPh sb="7" eb="11">
      <t>カブシキガイシャ</t>
    </rPh>
    <phoneticPr fontId="13"/>
  </si>
  <si>
    <t>ﾀﾝﾄ ｽﾛｰﾊﾟｰX</t>
    <phoneticPr fontId="13"/>
  </si>
  <si>
    <t>鹿児島 582 な 3263</t>
    <rPh sb="0" eb="3">
      <t>カゴシマ</t>
    </rPh>
    <phoneticPr fontId="13"/>
  </si>
  <si>
    <t>福祉車両非課税OK</t>
    <rPh sb="0" eb="4">
      <t>フクシシャリョウ</t>
    </rPh>
    <rPh sb="4" eb="7">
      <t>ヒカゼイ</t>
    </rPh>
    <phoneticPr fontId="13"/>
  </si>
  <si>
    <t>LA650S-0210624</t>
    <phoneticPr fontId="13"/>
  </si>
  <si>
    <t>原田 章三</t>
    <rPh sb="0" eb="2">
      <t>ハラダ</t>
    </rPh>
    <rPh sb="3" eb="4">
      <t>アキラ</t>
    </rPh>
    <rPh sb="4" eb="5">
      <t>ミ</t>
    </rPh>
    <phoneticPr fontId="13"/>
  </si>
  <si>
    <t>ﾃﾞﾘｶﾐﾆ Tﾌﾟﾚﾐｱﾑ</t>
    <phoneticPr fontId="13"/>
  </si>
  <si>
    <t>8/2/28</t>
    <phoneticPr fontId="13"/>
  </si>
  <si>
    <t>神戸 581 わ 6321</t>
    <rPh sb="0" eb="2">
      <t>コウベ</t>
    </rPh>
    <phoneticPr fontId="13"/>
  </si>
  <si>
    <t>B38A-0512889</t>
    <phoneticPr fontId="13"/>
  </si>
  <si>
    <t>三菱自動車ﾌｧｲﾅﾝｽ株式会社</t>
    <rPh sb="0" eb="2">
      <t>ミツビシ</t>
    </rPh>
    <rPh sb="2" eb="5">
      <t>ジドウシャ</t>
    </rPh>
    <rPh sb="11" eb="15">
      <t>カブシキガイシャ</t>
    </rPh>
    <phoneticPr fontId="13"/>
  </si>
  <si>
    <t>保証書 取説 SD ｽﾍﾟｱｷｰ ﾚﾝﾀｶｰ</t>
    <rPh sb="0" eb="3">
      <t>ホショウショ</t>
    </rPh>
    <rPh sb="4" eb="6">
      <t>トリセツ</t>
    </rPh>
    <phoneticPr fontId="13"/>
  </si>
  <si>
    <t>N-ONE  ﾌﾟﾚﾐｱﾑﾂｱﾗｰ</t>
    <phoneticPr fontId="13"/>
  </si>
  <si>
    <t>鈴鹿 588 い 1001</t>
    <rPh sb="0" eb="2">
      <t>スズカ</t>
    </rPh>
    <phoneticPr fontId="13"/>
  </si>
  <si>
    <t>JG3-2015870</t>
    <phoneticPr fontId="13"/>
  </si>
  <si>
    <t>株式会社ﾎﾝﾀﾞ四輪販売三重北</t>
    <rPh sb="0" eb="4">
      <t>カブシキガイシャ</t>
    </rPh>
    <rPh sb="8" eb="10">
      <t>ヨンリン</t>
    </rPh>
    <rPh sb="10" eb="12">
      <t>ハンバイ</t>
    </rPh>
    <rPh sb="12" eb="14">
      <t>ミエ</t>
    </rPh>
    <rPh sb="14" eb="15">
      <t>キタ</t>
    </rPh>
    <phoneticPr fontId="13"/>
  </si>
  <si>
    <t>保証書 ﾜﾝｵｰﾅｰ無視OK</t>
    <rPh sb="0" eb="3">
      <t>ホショウショ</t>
    </rPh>
    <rPh sb="10" eb="12">
      <t>ムシ</t>
    </rPh>
    <phoneticPr fontId="13"/>
  </si>
  <si>
    <t>NV100ｸﾘｯﾊﾟｰDX</t>
    <phoneticPr fontId="13"/>
  </si>
  <si>
    <t>9/7/29</t>
    <phoneticPr fontId="13"/>
  </si>
  <si>
    <t>鈴鹿 480 え 7513</t>
    <rPh sb="0" eb="2">
      <t>スズカ</t>
    </rPh>
    <phoneticPr fontId="13"/>
  </si>
  <si>
    <t>DR17V-474411</t>
    <phoneticPr fontId="13"/>
  </si>
  <si>
    <t>中山ﾄｰﾏｽ</t>
    <rPh sb="0" eb="2">
      <t>ナカヤマ</t>
    </rPh>
    <phoneticPr fontId="13"/>
  </si>
  <si>
    <t>奈良 581 ち 5901</t>
    <rPh sb="0" eb="2">
      <t>ナラ</t>
    </rPh>
    <phoneticPr fontId="13"/>
  </si>
  <si>
    <t>保証書 取説 ﾅﾋﾞ取 ｽﾍﾟｱｷｰ</t>
    <rPh sb="0" eb="3">
      <t>ホショウショ</t>
    </rPh>
    <rPh sb="4" eb="6">
      <t>トリセツ</t>
    </rPh>
    <rPh sb="10" eb="11">
      <t>トリ</t>
    </rPh>
    <phoneticPr fontId="13"/>
  </si>
  <si>
    <t>MR92S-416369</t>
    <phoneticPr fontId="13"/>
  </si>
  <si>
    <t>株式会社stoico</t>
    <rPh sb="0" eb="4">
      <t>カブシキガイシャ</t>
    </rPh>
    <phoneticPr fontId="13"/>
  </si>
  <si>
    <t>保証書 取説  ｽﾍﾟｱｷｰ</t>
    <rPh sb="0" eb="3">
      <t>ホショウショ</t>
    </rPh>
    <rPh sb="4" eb="6">
      <t>トリセツ</t>
    </rPh>
    <phoneticPr fontId="13"/>
  </si>
  <si>
    <t>BMWﾐﾆｸｰﾊﾟｰ ﾛｰｽﾞｳｯﾄﾞｴﾃﾞｨｼｮﾝ</t>
    <phoneticPr fontId="13"/>
  </si>
  <si>
    <t>千葉 326 そ 2266</t>
    <rPh sb="0" eb="2">
      <t>チバ</t>
    </rPh>
    <phoneticPr fontId="13"/>
  </si>
  <si>
    <t>ｽﾏｰﾄｷｰ車内 保証書 取説  ﾜﾝｵｰﾅｰ</t>
    <rPh sb="6" eb="8">
      <t>シャナイ</t>
    </rPh>
    <rPh sb="9" eb="12">
      <t>ホショウショ</t>
    </rPh>
    <rPh sb="13" eb="15">
      <t>トリセツ</t>
    </rPh>
    <phoneticPr fontId="13"/>
  </si>
  <si>
    <t>WMWXU720502N07504</t>
    <phoneticPr fontId="13"/>
  </si>
  <si>
    <t>ｷｰﾚｽ(車内)保証書 取説 ﾜﾝｵｰﾅｰ</t>
    <rPh sb="5" eb="7">
      <t>シャナイ</t>
    </rPh>
    <rPh sb="8" eb="11">
      <t>ホショウショ</t>
    </rPh>
    <rPh sb="12" eb="14">
      <t>トリセツ</t>
    </rPh>
    <phoneticPr fontId="13"/>
  </si>
  <si>
    <t>ｼﾄﾛｴﾝ ﾍﾞﾙﾗﾝｺﾞ</t>
    <phoneticPr fontId="13"/>
  </si>
  <si>
    <t>一宮 300 に 4787</t>
    <rPh sb="0" eb="2">
      <t>イチノミヤ</t>
    </rPh>
    <phoneticPr fontId="13"/>
  </si>
  <si>
    <t>VR7ECYHZRMJ595514</t>
    <phoneticPr fontId="13"/>
  </si>
  <si>
    <t>ﾙｰｸｽ ﾊｲｳｪｲｽﾀｰS</t>
    <phoneticPr fontId="13"/>
  </si>
  <si>
    <t>A294261</t>
    <phoneticPr fontId="13"/>
  </si>
  <si>
    <t>17/9</t>
    <phoneticPr fontId="13"/>
  </si>
  <si>
    <t>ﾊﾟｼﾞｪﾛﾐﾆ VR</t>
    <phoneticPr fontId="13"/>
  </si>
  <si>
    <t>8/9/13</t>
    <phoneticPr fontId="13"/>
  </si>
  <si>
    <t>A301712</t>
    <phoneticPr fontId="13"/>
  </si>
  <si>
    <t>H58A-0607402</t>
    <phoneticPr fontId="13"/>
  </si>
  <si>
    <t>ｱﾙﾌｧｰﾄﾞ 2.5S ﾀｲﾌﾟｺﾞｰﾙﾄﾞ</t>
    <phoneticPr fontId="13"/>
  </si>
  <si>
    <t>7/2/24</t>
    <phoneticPr fontId="13"/>
  </si>
  <si>
    <t>保証書 取説 ﾜﾝｵｰﾅｰ 車検切れ</t>
    <rPh sb="0" eb="3">
      <t>ホショウショ</t>
    </rPh>
    <rPh sb="4" eb="6">
      <t>トリセツ</t>
    </rPh>
    <rPh sb="14" eb="16">
      <t>シャケン</t>
    </rPh>
    <rPh sb="16" eb="17">
      <t>キ</t>
    </rPh>
    <phoneticPr fontId="13"/>
  </si>
  <si>
    <t>A300265</t>
    <phoneticPr fontId="13"/>
  </si>
  <si>
    <t>AGH30-0406457</t>
    <phoneticPr fontId="13"/>
  </si>
  <si>
    <t>ｳﾞｪﾙﾌｧｲｱ 2.4Z</t>
    <phoneticPr fontId="13"/>
  </si>
  <si>
    <t>9/3/30</t>
    <phoneticPr fontId="13"/>
  </si>
  <si>
    <t>岐阜 369 ひ 2</t>
    <rPh sb="0" eb="2">
      <t>ギフ</t>
    </rPh>
    <phoneticPr fontId="13"/>
  </si>
  <si>
    <t>A301429</t>
    <phoneticPr fontId="13"/>
  </si>
  <si>
    <t>ANH20-8216330</t>
    <phoneticPr fontId="13"/>
  </si>
  <si>
    <t>市村　奨巴</t>
    <rPh sb="0" eb="2">
      <t>イチムラ</t>
    </rPh>
    <rPh sb="3" eb="4">
      <t>ショウ</t>
    </rPh>
    <rPh sb="4" eb="5">
      <t>トモエ</t>
    </rPh>
    <phoneticPr fontId="13"/>
  </si>
  <si>
    <t>ﾚｸｻｽ RX</t>
    <phoneticPr fontId="13"/>
  </si>
  <si>
    <t>8/5/14</t>
    <phoneticPr fontId="13"/>
  </si>
  <si>
    <t>姫路 301 た 4400</t>
    <rPh sb="0" eb="2">
      <t>ヒメジ</t>
    </rPh>
    <phoneticPr fontId="13"/>
  </si>
  <si>
    <t>A301613</t>
    <phoneticPr fontId="13"/>
  </si>
  <si>
    <t>GYL25-0011422</t>
    <phoneticPr fontId="13"/>
  </si>
  <si>
    <t>有限会社　関山塗装</t>
    <rPh sb="0" eb="4">
      <t>ユウゲンガイシャ</t>
    </rPh>
    <rPh sb="5" eb="7">
      <t>セキヤマ</t>
    </rPh>
    <rPh sb="7" eb="9">
      <t>トソウ</t>
    </rPh>
    <phoneticPr fontId="13"/>
  </si>
  <si>
    <t>N-BOX GL</t>
    <phoneticPr fontId="13"/>
  </si>
  <si>
    <t>8/3/17</t>
    <phoneticPr fontId="13"/>
  </si>
  <si>
    <t>福岡 592 ぬ 321</t>
    <rPh sb="0" eb="2">
      <t>フクオカ</t>
    </rPh>
    <phoneticPr fontId="13"/>
  </si>
  <si>
    <t>A301338</t>
    <phoneticPr fontId="13"/>
  </si>
  <si>
    <t>JF3-1005800</t>
    <phoneticPr fontId="13"/>
  </si>
  <si>
    <t>岩本　寿美子</t>
    <rPh sb="0" eb="2">
      <t>イワモト</t>
    </rPh>
    <rPh sb="3" eb="4">
      <t>コトブキ</t>
    </rPh>
    <rPh sb="4" eb="5">
      <t>ミ</t>
    </rPh>
    <rPh sb="5" eb="6">
      <t>コ</t>
    </rPh>
    <phoneticPr fontId="13"/>
  </si>
  <si>
    <t>保証書　取説　ｽﾍﾟｱｷｰ　ﾚﾝﾀｶｰ申告</t>
    <rPh sb="0" eb="3">
      <t>ホショウショ</t>
    </rPh>
    <rPh sb="4" eb="6">
      <t>トリセツ</t>
    </rPh>
    <rPh sb="19" eb="21">
      <t>シンコク</t>
    </rPh>
    <phoneticPr fontId="13"/>
  </si>
  <si>
    <t>ﾚﾝﾀｶｰ申告</t>
    <rPh sb="5" eb="7">
      <t>シンコク</t>
    </rPh>
    <phoneticPr fontId="13"/>
  </si>
  <si>
    <t>ﾑｰﾌﾞｷｬﾝﾊﾞｽ XﾘﾐﾃｯﾄﾞﾒｲｸｱｯﾌﾟSA2</t>
    <phoneticPr fontId="13"/>
  </si>
  <si>
    <t>取説 ﾜﾝｵｰﾅｰ</t>
    <rPh sb="0" eb="2">
      <t>トリセツ</t>
    </rPh>
    <phoneticPr fontId="13"/>
  </si>
  <si>
    <t>A301414</t>
    <phoneticPr fontId="13"/>
  </si>
  <si>
    <t>LA800S-0018490</t>
    <phoneticPr fontId="13"/>
  </si>
  <si>
    <t>ｳﾞｪﾙﾌｧｲｱ Z</t>
    <phoneticPr fontId="13"/>
  </si>
  <si>
    <t>9/9/27</t>
    <phoneticPr fontId="13"/>
  </si>
  <si>
    <t>A300599</t>
    <phoneticPr fontId="13"/>
  </si>
  <si>
    <t>AYH30-0068591</t>
    <phoneticPr fontId="13"/>
  </si>
  <si>
    <t>ｷｬｽﾄｽﾀｲﾙ G SA3</t>
    <phoneticPr fontId="13"/>
  </si>
  <si>
    <t>8/8/19</t>
    <phoneticPr fontId="13"/>
  </si>
  <si>
    <t>A301286</t>
    <phoneticPr fontId="13"/>
  </si>
  <si>
    <t>LA250S-0215428</t>
    <phoneticPr fontId="13"/>
  </si>
  <si>
    <t>ｺﾍﾟﾝ ｴｸｽﾌﾟﾚｲS</t>
    <phoneticPr fontId="13"/>
  </si>
  <si>
    <t>9/1/30</t>
    <phoneticPr fontId="13"/>
  </si>
  <si>
    <t>A299814</t>
    <phoneticPr fontId="13"/>
  </si>
  <si>
    <t>LA400K-0013037</t>
    <phoneticPr fontId="13"/>
  </si>
  <si>
    <t>ﾀﾝﾄ ｶｽﾀﾑ RS</t>
    <phoneticPr fontId="13"/>
  </si>
  <si>
    <t>8/2/11</t>
    <phoneticPr fontId="13"/>
  </si>
  <si>
    <t>和泉 588 や 86</t>
    <rPh sb="0" eb="2">
      <t>イズミ</t>
    </rPh>
    <phoneticPr fontId="13"/>
  </si>
  <si>
    <t>LA600S-0244663</t>
    <phoneticPr fontId="13"/>
  </si>
  <si>
    <t>疋田 浩一</t>
    <rPh sb="0" eb="2">
      <t>ヒキタ</t>
    </rPh>
    <rPh sb="3" eb="5">
      <t>コウイチ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</si>
  <si>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</si>
  <si>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ｱﾙﾄﾗﾊﾟﾝ Fﾘﾐﾃｯﾄﾞ</t>
    <phoneticPr fontId="13"/>
  </si>
  <si>
    <t>8/11/25</t>
    <phoneticPr fontId="13"/>
  </si>
  <si>
    <t>島根 580 も 9802</t>
    <rPh sb="0" eb="2">
      <t>シマネ</t>
    </rPh>
    <phoneticPr fontId="13"/>
  </si>
  <si>
    <t>HE33S-184179</t>
    <phoneticPr fontId="13"/>
  </si>
  <si>
    <t>本田 小春</t>
    <rPh sb="0" eb="2">
      <t>ホンダ</t>
    </rPh>
    <rPh sb="3" eb="5">
      <t>コハル</t>
    </rPh>
    <phoneticPr fontId="13"/>
  </si>
  <si>
    <t>EKｽﾍﾟｰｽ G ｾｰﾌﾃｨｰﾊﾟｯｹｰｼﾞ</t>
    <phoneticPr fontId="13"/>
  </si>
  <si>
    <t>9/1/27</t>
    <phoneticPr fontId="13"/>
  </si>
  <si>
    <t>出雲 580 い 5546</t>
    <rPh sb="0" eb="2">
      <t>イズモ</t>
    </rPh>
    <phoneticPr fontId="13"/>
  </si>
  <si>
    <t>B11A-0201567</t>
    <phoneticPr fontId="13"/>
  </si>
  <si>
    <t>山本 泰士</t>
    <rPh sb="0" eb="2">
      <t>ヤマモト</t>
    </rPh>
    <rPh sb="3" eb="4">
      <t>ヤスシ</t>
    </rPh>
    <rPh sb="4" eb="5">
      <t>シ</t>
    </rPh>
    <phoneticPr fontId="13"/>
  </si>
  <si>
    <t>保証書 取説 地図SD (車内)</t>
    <rPh sb="0" eb="3">
      <t>ホショウショ</t>
    </rPh>
    <rPh sb="4" eb="6">
      <t>トリセツ</t>
    </rPh>
    <rPh sb="7" eb="9">
      <t>チズ</t>
    </rPh>
    <phoneticPr fontId="13"/>
  </si>
  <si>
    <t>8/3/12</t>
    <phoneticPr fontId="13"/>
  </si>
  <si>
    <t>福山 580 な 8286</t>
    <rPh sb="0" eb="2">
      <t>フクヤマ</t>
    </rPh>
    <phoneticPr fontId="13"/>
  </si>
  <si>
    <t xml:space="preserve">ﾘｻｲｸﾙ料金違う￥8930 計算書くる </t>
    <rPh sb="5" eb="7">
      <t>リョウキン</t>
    </rPh>
    <rPh sb="7" eb="8">
      <t>チガ</t>
    </rPh>
    <rPh sb="15" eb="18">
      <t>ケイサンショ</t>
    </rPh>
    <phoneticPr fontId="13"/>
  </si>
  <si>
    <t>MH34S-159569</t>
    <phoneticPr fontId="13"/>
  </si>
  <si>
    <t>内樋 絵里</t>
    <rPh sb="0" eb="1">
      <t>ウチ</t>
    </rPh>
    <rPh sb="3" eb="5">
      <t>エリ</t>
    </rPh>
    <phoneticPr fontId="13"/>
  </si>
  <si>
    <r>
      <t xml:space="preserve">保証書 </t>
    </r>
    <r>
      <rPr>
        <sz val="11"/>
        <color theme="3"/>
        <rFont val="ＭＳ Ｐゴシック"/>
        <family val="3"/>
        <charset val="128"/>
        <scheme val="minor"/>
      </rPr>
      <t>取説なし ｸﾚｰﾑ良さん連絡済</t>
    </r>
    <rPh sb="0" eb="3">
      <t>ホショウショ</t>
    </rPh>
    <rPh sb="4" eb="6">
      <t>トリセツ</t>
    </rPh>
    <rPh sb="13" eb="14">
      <t>リョウ</t>
    </rPh>
    <rPh sb="16" eb="18">
      <t>レンラク</t>
    </rPh>
    <rPh sb="18" eb="19">
      <t>ズ</t>
    </rPh>
    <phoneticPr fontId="13"/>
  </si>
  <si>
    <t>ﾙﾉｰｶﾝｸﾞｰ ｸﾙｰﾙ</t>
    <phoneticPr fontId="13"/>
  </si>
  <si>
    <t>横浜 392 ね 808</t>
    <rPh sb="0" eb="2">
      <t>ヨコハマ</t>
    </rPh>
    <phoneticPr fontId="13"/>
  </si>
  <si>
    <t>VF1KW14B3L0809987</t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</si>
  <si>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</si>
  <si>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取説 ｷｰﾚｽ2個 SD</t>
    <rPh sb="0" eb="3">
      <t>ホショウショ</t>
    </rPh>
    <rPh sb="4" eb="6">
      <t>トリセツ</t>
    </rPh>
    <rPh sb="12" eb="13">
      <t>コ</t>
    </rPh>
    <phoneticPr fontId="13"/>
  </si>
  <si>
    <t>熊本 335 ふ 2828</t>
    <rPh sb="0" eb="2">
      <t>クマモト</t>
    </rPh>
    <phoneticPr fontId="13"/>
  </si>
  <si>
    <t>WMWXR320X0TL99563</t>
    <phoneticPr fontId="13"/>
  </si>
  <si>
    <t>ﾎﾞﾙﾎﾞV90 ｸﾛｽｶﾝﾄﾘｰ</t>
    <phoneticPr fontId="13"/>
  </si>
  <si>
    <t>大宮 39A さ 2253</t>
    <rPh sb="0" eb="2">
      <t>オオミヤ</t>
    </rPh>
    <phoneticPr fontId="13"/>
  </si>
  <si>
    <t>YV1PZ10MCJ1026649</t>
    <phoneticPr fontId="13"/>
  </si>
  <si>
    <t>ﾌｧｰｽﾄｵｰﾄ株式会社</t>
    <rPh sb="8" eb="12">
      <t>カブシキガイシャ</t>
    </rPh>
    <phoneticPr fontId="13"/>
  </si>
  <si>
    <t>DA17W-252225</t>
    <phoneticPr fontId="13"/>
  </si>
  <si>
    <t>品番；CN-RE06WD</t>
    <rPh sb="0" eb="2">
      <t>ヒンバン</t>
    </rPh>
    <phoneticPr fontId="13"/>
  </si>
  <si>
    <t>NV100ｸﾘｯﾊﾟｰﾘｵG</t>
    <phoneticPr fontId="13"/>
  </si>
  <si>
    <t>抹消依頼済 保証書 ｽﾍﾟｱｷｰ ﾜﾝｵｰﾅｰ</t>
    <rPh sb="0" eb="4">
      <t>マッショウイライ</t>
    </rPh>
    <rPh sb="4" eb="5">
      <t>ズ</t>
    </rPh>
    <rPh sb="6" eb="9">
      <t>ホショウショ</t>
    </rPh>
    <phoneticPr fontId="13"/>
  </si>
  <si>
    <t>DR64W-403508</t>
    <phoneticPr fontId="13"/>
  </si>
  <si>
    <t>品番；MC314D-A</t>
    <rPh sb="0" eb="2">
      <t>ヒンバン</t>
    </rPh>
    <phoneticPr fontId="13"/>
  </si>
  <si>
    <t>ｴﾌﾞﾘｲﾜｺﾞﾝ 福祉車両</t>
    <rPh sb="10" eb="14">
      <t>フクシシャリョウ</t>
    </rPh>
    <phoneticPr fontId="13"/>
  </si>
  <si>
    <t>9/1/14</t>
    <phoneticPr fontId="13"/>
  </si>
  <si>
    <t>京都 581 め 8711</t>
    <rPh sb="0" eb="2">
      <t>キョウト</t>
    </rPh>
    <phoneticPr fontId="13"/>
  </si>
  <si>
    <t>保証書 取説 ｽﾍﾟｱｷｰ ﾜﾝｵｰﾅｰ 福祉車両OK</t>
    <rPh sb="0" eb="3">
      <t>ホショウショ</t>
    </rPh>
    <rPh sb="4" eb="6">
      <t>トリセツ</t>
    </rPh>
    <rPh sb="21" eb="25">
      <t>フクシシャリョウ</t>
    </rPh>
    <phoneticPr fontId="13"/>
  </si>
  <si>
    <t>DA17W-206465</t>
    <phoneticPr fontId="13"/>
  </si>
  <si>
    <t>品番；CN-RZ743W</t>
    <rPh sb="0" eb="2">
      <t>ヒンバン</t>
    </rPh>
    <phoneticPr fontId="13"/>
  </si>
  <si>
    <t>BMW i3</t>
    <phoneticPr fontId="13"/>
  </si>
  <si>
    <t>WBY8P420007F23255</t>
    <phoneticPr fontId="13"/>
  </si>
  <si>
    <t>BMW 3ｼﾘｰｽﾞ 320d Mｽﾎﾟｰﾂ</t>
    <phoneticPr fontId="13"/>
  </si>
  <si>
    <t>WBA5V700908B54420</t>
    <phoneticPr fontId="13"/>
  </si>
  <si>
    <t>神戸 365 や 24</t>
    <rPh sb="0" eb="2">
      <t>コウベ</t>
    </rPh>
    <phoneticPr fontId="13"/>
  </si>
  <si>
    <t>WMWXS720X02C47819</t>
    <phoneticPr fontId="13"/>
  </si>
  <si>
    <t>岡山 336 み 816</t>
    <rPh sb="0" eb="2">
      <t>オカヤマ</t>
    </rPh>
    <phoneticPr fontId="13"/>
  </si>
  <si>
    <t>WMW22DJ0602P75221</t>
    <phoneticPr fontId="13"/>
  </si>
  <si>
    <t>ﾒﾙｾﾃﾞｽﾍﾞﾝﾂ G350d ﾗｸﾞｼﾞｭｱﾘｰ</t>
    <phoneticPr fontId="13"/>
  </si>
  <si>
    <t>神戸 349 む 531</t>
    <rPh sb="0" eb="2">
      <t>コウベ</t>
    </rPh>
    <phoneticPr fontId="13"/>
  </si>
  <si>
    <t>WDB4633482X293383</t>
    <phoneticPr fontId="13"/>
  </si>
  <si>
    <t>ﾑｰﾌﾞｷｬﾝﾊﾞｽ X SA3</t>
    <phoneticPr fontId="13"/>
  </si>
  <si>
    <t>LA800S-0207990</t>
    <phoneticPr fontId="13"/>
  </si>
  <si>
    <t>ﾀﾌﾄ Gﾀｰﾎﾞ ｸﾛﾑﾍﾞﾝﾁｬｰ</t>
    <phoneticPr fontId="13"/>
  </si>
  <si>
    <t>LA900S-0108737</t>
    <phoneticPr fontId="13"/>
  </si>
  <si>
    <t>ﾐﾗｲｰｽ L SA3</t>
    <phoneticPr fontId="13"/>
  </si>
  <si>
    <t>LA350S-0342616</t>
    <phoneticPr fontId="13"/>
  </si>
  <si>
    <t>WMW72DH0102R55685</t>
    <phoneticPr fontId="13"/>
  </si>
  <si>
    <t>N-BOX ｶｽﾀﾑ G Lﾎﾝﾀﾞｾﾝｼﾝｸﾞ</t>
    <phoneticPr fontId="13"/>
  </si>
  <si>
    <t>JF3-1513054</t>
    <phoneticPr fontId="13"/>
  </si>
  <si>
    <t>ﾜｺﾞﾝR  ｽﾃｨﾝｸﾞﾚｰJｽﾀｲﾙ</t>
    <phoneticPr fontId="13"/>
  </si>
  <si>
    <t>香川 580 ほ 2384</t>
    <rPh sb="0" eb="2">
      <t>カガワ</t>
    </rPh>
    <phoneticPr fontId="13"/>
  </si>
  <si>
    <t>MH44S-463526</t>
    <phoneticPr fontId="13"/>
  </si>
  <si>
    <t>MH34S-385781</t>
    <phoneticPr fontId="13"/>
  </si>
  <si>
    <t>静岡 583 ね 2400</t>
    <rPh sb="0" eb="2">
      <t>シズオカ</t>
    </rPh>
    <phoneticPr fontId="13"/>
  </si>
  <si>
    <t>JF3-5037295</t>
    <phoneticPr fontId="13"/>
  </si>
  <si>
    <t>株式会社ﾎﾝﾀﾞｶｰｽﾞ浜松千代田店</t>
    <rPh sb="0" eb="4">
      <t>カブシキガイシャ</t>
    </rPh>
    <rPh sb="12" eb="14">
      <t>ハママツ</t>
    </rPh>
    <rPh sb="14" eb="17">
      <t>チヨダ</t>
    </rPh>
    <rPh sb="17" eb="18">
      <t>ミセ</t>
    </rPh>
    <phoneticPr fontId="13"/>
  </si>
  <si>
    <t>保証書　取説　</t>
    <rPh sb="0" eb="3">
      <t>ホショウショ</t>
    </rPh>
    <rPh sb="4" eb="6">
      <t>トリセツ</t>
    </rPh>
    <phoneticPr fontId="13"/>
  </si>
  <si>
    <t>ｽﾍﾟｰｼｱｷﾞｱ ﾏｲｽﾀｲﾙ</t>
    <phoneticPr fontId="13"/>
  </si>
  <si>
    <t>9/10/12</t>
    <phoneticPr fontId="13"/>
  </si>
  <si>
    <t>A302621</t>
    <phoneticPr fontId="13"/>
  </si>
  <si>
    <t>MK53S-812131</t>
    <phoneticPr fontId="13"/>
  </si>
  <si>
    <t>ﾀﾝﾄ X ﾎﾜｲﾄｱｸｾﾝﾄ SA2</t>
    <phoneticPr fontId="13"/>
  </si>
  <si>
    <t>8/12/18</t>
    <phoneticPr fontId="13"/>
  </si>
  <si>
    <t>A302454</t>
    <phoneticPr fontId="13"/>
  </si>
  <si>
    <t>LA600S-0360778</t>
    <phoneticPr fontId="13"/>
  </si>
  <si>
    <t>ﾌﾟﾘｳｽ Z</t>
    <phoneticPr fontId="13"/>
  </si>
  <si>
    <t>A301641</t>
    <phoneticPr fontId="13"/>
  </si>
  <si>
    <t>MXWH60-4029136</t>
    <phoneticPr fontId="13"/>
  </si>
  <si>
    <t>ｴﾌﾞﾘｲﾜｺﾞﾝ JP TB</t>
    <phoneticPr fontId="13"/>
  </si>
  <si>
    <t>品川 5X1 ろ 3369</t>
    <rPh sb="0" eb="2">
      <t>シナガワ</t>
    </rPh>
    <phoneticPr fontId="13"/>
  </si>
  <si>
    <t>DA17W-283697</t>
    <phoneticPr fontId="13"/>
  </si>
  <si>
    <t>品川 5X1 ろ 416</t>
    <rPh sb="0" eb="2">
      <t>シナガワ</t>
    </rPh>
    <phoneticPr fontId="13"/>
  </si>
  <si>
    <t>JF3-1497423</t>
    <phoneticPr fontId="13"/>
  </si>
  <si>
    <t>ﾜｺﾞﾝR ﾊｲﾌﾞﾘｯﾄ FX</t>
    <phoneticPr fontId="13"/>
  </si>
  <si>
    <t>品川 5X0 ろ 4390</t>
    <rPh sb="0" eb="2">
      <t>シナガワ</t>
    </rPh>
    <phoneticPr fontId="13"/>
  </si>
  <si>
    <t>MH95S-126158</t>
    <phoneticPr fontId="13"/>
  </si>
  <si>
    <t xml:space="preserve">N-BOX </t>
    <phoneticPr fontId="13"/>
  </si>
  <si>
    <t>札幌 582 わ 5356</t>
    <rPh sb="0" eb="2">
      <t>サッポロ</t>
    </rPh>
    <phoneticPr fontId="13"/>
  </si>
  <si>
    <t>JF5-1043762</t>
    <phoneticPr fontId="13"/>
  </si>
  <si>
    <t>北見 580 わ 1416</t>
    <rPh sb="0" eb="2">
      <t>キタミ</t>
    </rPh>
    <phoneticPr fontId="13"/>
  </si>
  <si>
    <t>JF5-1042721</t>
    <phoneticPr fontId="13"/>
  </si>
  <si>
    <t>函館 580 わ 2962</t>
    <rPh sb="0" eb="2">
      <t>ハコダテ</t>
    </rPh>
    <phoneticPr fontId="13"/>
  </si>
  <si>
    <t>JF5-1043757</t>
    <phoneticPr fontId="13"/>
  </si>
  <si>
    <t>北見 580 わ 1417</t>
    <rPh sb="0" eb="2">
      <t>キタミ</t>
    </rPh>
    <phoneticPr fontId="13"/>
  </si>
  <si>
    <t>JF5-1042722</t>
    <phoneticPr fontId="13"/>
  </si>
  <si>
    <t>ﾐﾗｲｰｽ X ﾘﾐﾃｯﾄﾞ</t>
    <phoneticPr fontId="13"/>
  </si>
  <si>
    <t>品川 5P6 ろ 4233</t>
    <rPh sb="0" eb="2">
      <t>シナガワ</t>
    </rPh>
    <phoneticPr fontId="13"/>
  </si>
  <si>
    <t>LA350S-0059135</t>
    <phoneticPr fontId="13"/>
  </si>
  <si>
    <t>ﾒﾙｾﾃﾞｽﾍﾞﾝﾂ Cｸﾗｽｾﾀﾞﾝ 220dｱﾊﾞﾝｷﾞｬﾙﾄ</t>
    <phoneticPr fontId="13"/>
  </si>
  <si>
    <t>足立 302 ら 7634</t>
    <rPh sb="0" eb="2">
      <t>アダチ</t>
    </rPh>
    <phoneticPr fontId="13"/>
  </si>
  <si>
    <t>WDD2050142R488462</t>
    <phoneticPr fontId="13"/>
  </si>
  <si>
    <t>株式会社ｼｭﾃﾙﾝ墨田</t>
    <rPh sb="0" eb="4">
      <t>カブシキガイシャ</t>
    </rPh>
    <rPh sb="9" eb="11">
      <t>スミダ</t>
    </rPh>
    <phoneticPr fontId="13"/>
  </si>
  <si>
    <t>ﾒﾙｾﾃﾞｽﾍﾞﾝﾂ CLAｼｭｰﾃｨﾝｸﾞﾌﾞﾚｰｸ 180</t>
    <phoneticPr fontId="13"/>
  </si>
  <si>
    <t>足立 326 そ 7979</t>
    <rPh sb="0" eb="2">
      <t>アダチ</t>
    </rPh>
    <phoneticPr fontId="13"/>
  </si>
  <si>
    <t>WDD1179422N708018</t>
    <phoneticPr fontId="13"/>
  </si>
  <si>
    <t>BMW 5ｼﾘｰｽﾞ 523i ｽﾎﾟｰﾂ</t>
    <phoneticPr fontId="13"/>
  </si>
  <si>
    <t>なにわ 31Y す 18</t>
    <phoneticPr fontId="13"/>
  </si>
  <si>
    <t>WBA5A32070D792803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</si>
  <si>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</si>
  <si>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ﾜｺﾞﾝRｽﾃｨﾝｸﾞﾚｰ T</t>
    <phoneticPr fontId="13"/>
  </si>
  <si>
    <t>和泉 583 く 750</t>
    <rPh sb="0" eb="2">
      <t>イズミ</t>
    </rPh>
    <phoneticPr fontId="13"/>
  </si>
  <si>
    <t>MH44S-804727</t>
    <phoneticPr fontId="13"/>
  </si>
  <si>
    <t>大阪ﾀﾞｲﾊﾂ販売株式会社</t>
    <rPh sb="0" eb="2">
      <t>オオサカ</t>
    </rPh>
    <rPh sb="7" eb="13">
      <t>ハンバイカブシキガイシャ</t>
    </rPh>
    <phoneticPr fontId="13"/>
  </si>
  <si>
    <t>ﾜｺﾞﾝRｽﾃｨﾝｸﾞﾚｰ X</t>
    <phoneticPr fontId="13"/>
  </si>
  <si>
    <t>大阪 581 け 4491</t>
    <rPh sb="0" eb="2">
      <t>オオサカ</t>
    </rPh>
    <phoneticPr fontId="13"/>
  </si>
  <si>
    <t>MH44S-453415</t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</si>
  <si>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5">
      <t>チュウコシャ</t>
    </rPh>
    <rPh sb="15" eb="17">
      <t>ホンブ</t>
    </rPh>
    <phoneticPr fontId="13"/>
  </si>
  <si>
    <t>ﾌｨｱｯﾄ500</t>
    <phoneticPr fontId="13"/>
  </si>
  <si>
    <t>香川 501 ち 8360</t>
    <rPh sb="0" eb="2">
      <t>カガワ</t>
    </rPh>
    <phoneticPr fontId="13"/>
  </si>
  <si>
    <t>ZFA3120000J758508</t>
    <phoneticPr fontId="13"/>
  </si>
  <si>
    <t>米澤 智光</t>
    <rPh sb="0" eb="2">
      <t>ヨネザワ</t>
    </rPh>
    <rPh sb="3" eb="4">
      <t>チ</t>
    </rPh>
    <rPh sb="4" eb="5">
      <t>ヒカル</t>
    </rPh>
    <phoneticPr fontId="13"/>
  </si>
  <si>
    <t>ｽﾍﾟｰｼｱｶｽﾀﾑ ﾊｲﾌﾞﾘｯﾄXSﾀｰﾎﾞ</t>
    <phoneticPr fontId="13"/>
  </si>
  <si>
    <t>広島 583 よ 7222</t>
    <rPh sb="0" eb="2">
      <t>ヒロシマ</t>
    </rPh>
    <phoneticPr fontId="13"/>
  </si>
  <si>
    <t>MK53S-972406</t>
    <phoneticPr fontId="13"/>
  </si>
  <si>
    <t>保証書 取説 ｷｰﾚｽ  (車内)</t>
    <rPh sb="0" eb="3">
      <t>ホショウショ</t>
    </rPh>
    <rPh sb="4" eb="6">
      <t>トリセツ</t>
    </rPh>
    <phoneticPr fontId="13"/>
  </si>
  <si>
    <t>ﾊｽﾗｰ ﾊｲﾌﾞﾘｯﾄX</t>
    <phoneticPr fontId="13"/>
  </si>
  <si>
    <t>島根 581 あ 5758</t>
    <rPh sb="0" eb="2">
      <t>シマネ</t>
    </rPh>
    <phoneticPr fontId="13"/>
  </si>
  <si>
    <t>MR92S-122660</t>
    <phoneticPr fontId="13"/>
  </si>
  <si>
    <t>保証書　取説　ｷｰﾚｽ(車内)</t>
    <rPh sb="0" eb="3">
      <t>ホショウショ</t>
    </rPh>
    <rPh sb="4" eb="6">
      <t>トリセツ</t>
    </rPh>
    <rPh sb="12" eb="14">
      <t>シャナイ</t>
    </rPh>
    <phoneticPr fontId="13"/>
  </si>
  <si>
    <t>ﾜｺﾞﾝR ﾊｲﾌﾞﾘｯﾄFZ</t>
    <phoneticPr fontId="13"/>
  </si>
  <si>
    <t>福山 581 す 621</t>
    <rPh sb="0" eb="2">
      <t>フクヤマ</t>
    </rPh>
    <phoneticPr fontId="13"/>
  </si>
  <si>
    <t>MH95S-171317</t>
    <phoneticPr fontId="13"/>
  </si>
  <si>
    <t>有限会社釜本自動車</t>
    <rPh sb="0" eb="4">
      <t>ユウゲンガイシャ</t>
    </rPh>
    <rPh sb="4" eb="6">
      <t>カマモト</t>
    </rPh>
    <rPh sb="6" eb="9">
      <t>ジドウシャ</t>
    </rPh>
    <phoneticPr fontId="13"/>
  </si>
  <si>
    <t>ｷｰﾚｽ(車内)保証書 取説</t>
    <rPh sb="5" eb="7">
      <t>シャナイ</t>
    </rPh>
    <rPh sb="8" eb="11">
      <t>ホショウショ</t>
    </rPh>
    <rPh sb="12" eb="14">
      <t>トリセツ</t>
    </rPh>
    <phoneticPr fontId="13"/>
  </si>
  <si>
    <t>福岡 39A た 4531</t>
    <rPh sb="0" eb="2">
      <t>フクオカ</t>
    </rPh>
    <phoneticPr fontId="13"/>
  </si>
  <si>
    <t>WMWXR32020TL98911</t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</si>
  <si>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</si>
  <si>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福岡 303 ふ 5387</t>
    <rPh sb="0" eb="2">
      <t>フクオカ</t>
    </rPh>
    <phoneticPr fontId="13"/>
  </si>
  <si>
    <t>WMWXM520902G36417</t>
    <phoneticPr fontId="13"/>
  </si>
  <si>
    <t>福岡ｽﾊﾞﾙ株式会社</t>
    <rPh sb="0" eb="2">
      <t>フクオカ</t>
    </rPh>
    <rPh sb="6" eb="10">
      <t>カブシキガイシャ</t>
    </rPh>
    <phoneticPr fontId="13"/>
  </si>
  <si>
    <t>9/8/21</t>
    <phoneticPr fontId="13"/>
  </si>
  <si>
    <t>川崎 331 ふ 5532</t>
    <rPh sb="0" eb="2">
      <t>カワサキ</t>
    </rPh>
    <phoneticPr fontId="13"/>
  </si>
  <si>
    <t>WMWYV920403E42283</t>
    <phoneticPr fontId="13"/>
  </si>
  <si>
    <t>ｳｴｲﾝｽﾞﾄﾖﾀ神奈川株式会社</t>
    <rPh sb="9" eb="12">
      <t>カナガワ</t>
    </rPh>
    <rPh sb="12" eb="16">
      <t>カブシキガイシャ</t>
    </rPh>
    <phoneticPr fontId="13"/>
  </si>
  <si>
    <t>ｼﾞﾑﾆｰ ｼｴﾗJL</t>
    <phoneticPr fontId="13"/>
  </si>
  <si>
    <t>8/11/15</t>
    <phoneticPr fontId="13"/>
  </si>
  <si>
    <t>A301940</t>
    <phoneticPr fontId="13"/>
  </si>
  <si>
    <t>JB74W-195254</t>
    <phoneticPr fontId="13"/>
  </si>
  <si>
    <t xml:space="preserve">ﾀﾝﾄ X </t>
    <phoneticPr fontId="13"/>
  </si>
  <si>
    <t>徳島 580 ち 4851</t>
    <rPh sb="0" eb="2">
      <t>トクシマ</t>
    </rPh>
    <phoneticPr fontId="13"/>
  </si>
  <si>
    <t>LAA四国</t>
    <rPh sb="3" eb="5">
      <t>シコク</t>
    </rPh>
    <phoneticPr fontId="13"/>
  </si>
  <si>
    <t>ｼｬﾝﾊﾟﾝ</t>
    <phoneticPr fontId="13"/>
  </si>
  <si>
    <t>L375S-0583170</t>
    <phoneticPr fontId="13"/>
  </si>
  <si>
    <t>株式会社加藤自動車相談所</t>
    <rPh sb="0" eb="4">
      <t>カブシキガイシャ</t>
    </rPh>
    <rPh sb="4" eb="6">
      <t>カトウ</t>
    </rPh>
    <rPh sb="6" eb="9">
      <t>ジドウシャ</t>
    </rPh>
    <rPh sb="9" eb="11">
      <t>ソウダン</t>
    </rPh>
    <rPh sb="11" eb="12">
      <t>ジョ</t>
    </rPh>
    <phoneticPr fontId="13"/>
  </si>
  <si>
    <t>ハイゼットｶｰｺﾞ ﾃﾞﾗｯｸｽSA3</t>
    <phoneticPr fontId="13"/>
  </si>
  <si>
    <t>S321V-0507131</t>
    <phoneticPr fontId="13"/>
  </si>
  <si>
    <t>ｾﾚﾅ ﾊｲｳｪｲｽﾀｰS ﾊｲﾌﾞﾘｯﾄ</t>
    <phoneticPr fontId="13"/>
  </si>
  <si>
    <t>なにわ 39A み 4455</t>
    <phoneticPr fontId="13"/>
  </si>
  <si>
    <t>HFC26-236952</t>
    <phoneticPr fontId="13"/>
  </si>
  <si>
    <t>日産大阪販売株式会社</t>
    <rPh sb="0" eb="6">
      <t>ニッサンオオサカハンバイ</t>
    </rPh>
    <rPh sb="6" eb="10">
      <t>カブシキガイシャ</t>
    </rPh>
    <phoneticPr fontId="13"/>
  </si>
  <si>
    <t>地図SD</t>
    <rPh sb="0" eb="2">
      <t>チズ</t>
    </rPh>
    <phoneticPr fontId="13"/>
  </si>
  <si>
    <t>品番；AVN-ZX03i</t>
    <rPh sb="0" eb="2">
      <t>ヒンバン</t>
    </rPh>
    <phoneticPr fontId="13"/>
  </si>
  <si>
    <t>ｴﾌﾞﾘｲﾊﾞﾝ ｼﾞｮｲﾝ</t>
    <phoneticPr fontId="13"/>
  </si>
  <si>
    <t>なにわ 480 ぬ 6923</t>
    <phoneticPr fontId="13"/>
  </si>
  <si>
    <t>DA17V-643964</t>
    <phoneticPr fontId="13"/>
  </si>
  <si>
    <t>岐阜 589 た 1211</t>
    <rPh sb="0" eb="2">
      <t>ギフ</t>
    </rPh>
    <phoneticPr fontId="13"/>
  </si>
  <si>
    <t>保証書 取説 予備ｷｰ ﾜﾝｵｰﾅｰ</t>
    <rPh sb="0" eb="3">
      <t>ホショウショ</t>
    </rPh>
    <rPh sb="4" eb="6">
      <t>トリセツ</t>
    </rPh>
    <rPh sb="7" eb="9">
      <t>ヨビ</t>
    </rPh>
    <phoneticPr fontId="13"/>
  </si>
  <si>
    <t>MH85S-159408</t>
    <phoneticPr fontId="13"/>
  </si>
  <si>
    <t>村上 和弘</t>
    <rPh sb="0" eb="2">
      <t>ムラカミ</t>
    </rPh>
    <rPh sb="3" eb="5">
      <t>カズヒロ</t>
    </rPh>
    <phoneticPr fontId="13"/>
  </si>
  <si>
    <t>名古屋 593 な 16</t>
    <rPh sb="0" eb="3">
      <t>ナゴヤ</t>
    </rPh>
    <phoneticPr fontId="13"/>
  </si>
  <si>
    <t>保証書 取説 予備ｷｰ ﾅﾋﾞ取</t>
    <rPh sb="0" eb="3">
      <t>ホショウショ</t>
    </rPh>
    <rPh sb="4" eb="6">
      <t>トリセツ</t>
    </rPh>
    <rPh sb="7" eb="9">
      <t>ヨビ</t>
    </rPh>
    <rPh sb="15" eb="16">
      <t>トリ</t>
    </rPh>
    <phoneticPr fontId="13"/>
  </si>
  <si>
    <t>JB23W-764192</t>
    <phoneticPr fontId="13"/>
  </si>
  <si>
    <t>三河 580 に 7464</t>
    <rPh sb="0" eb="2">
      <t>ミカワ</t>
    </rPh>
    <phoneticPr fontId="13"/>
  </si>
  <si>
    <t>L880K-0057298</t>
    <phoneticPr fontId="13"/>
  </si>
  <si>
    <t>ﾒﾙｾﾃﾞｽﾍﾞﾝﾂCｸﾗｽ</t>
    <phoneticPr fontId="13"/>
  </si>
  <si>
    <t>名古屋 307 す 8181</t>
    <rPh sb="0" eb="3">
      <t>ナゴヤ</t>
    </rPh>
    <phoneticPr fontId="13"/>
  </si>
  <si>
    <t>WDD2052142F842346</t>
    <phoneticPr fontId="13"/>
  </si>
  <si>
    <t>取説 ｷｰﾚｽ(車内)</t>
    <rPh sb="0" eb="2">
      <t>トリセツ</t>
    </rPh>
    <rPh sb="8" eb="10">
      <t>シャナイ</t>
    </rPh>
    <phoneticPr fontId="13"/>
  </si>
  <si>
    <t>ｼﾞﾑﾆｰ XG</t>
    <phoneticPr fontId="13"/>
  </si>
  <si>
    <t>長野 581 な 7805</t>
    <rPh sb="0" eb="2">
      <t>ナガノ</t>
    </rPh>
    <phoneticPr fontId="13"/>
  </si>
  <si>
    <t>JB23W-739599</t>
    <phoneticPr fontId="13"/>
  </si>
  <si>
    <t>WMWXM520802G36540</t>
    <phoneticPr fontId="13"/>
  </si>
  <si>
    <t>ｱﾙﾄ 5D L</t>
    <phoneticPr fontId="13"/>
  </si>
  <si>
    <t>保証書 取説 ｽﾍﾟｱｷｰ ﾅﾝﾊﾞｰ</t>
    <rPh sb="0" eb="3">
      <t>ホショウショ</t>
    </rPh>
    <rPh sb="4" eb="6">
      <t>トリセツ</t>
    </rPh>
    <phoneticPr fontId="13"/>
  </si>
  <si>
    <t>HA37S-187277</t>
    <phoneticPr fontId="13"/>
  </si>
  <si>
    <t>ｽﾍﾟｰｼｱｶｽﾀﾑ ﾊｲﾌﾞﾘｯﾄXS</t>
    <phoneticPr fontId="13"/>
  </si>
  <si>
    <t>MK53S-902760</t>
    <phoneticPr fontId="13"/>
  </si>
  <si>
    <t>大阪 582 て 8126</t>
    <rPh sb="0" eb="2">
      <t>オオサカ</t>
    </rPh>
    <phoneticPr fontId="13"/>
  </si>
  <si>
    <t>JF1-1854598</t>
    <phoneticPr fontId="13"/>
  </si>
  <si>
    <t>MK34S-367974</t>
    <phoneticPr fontId="13"/>
  </si>
  <si>
    <t>23/11</t>
    <phoneticPr fontId="13"/>
  </si>
  <si>
    <t>ｽﾃﾗｶｽﾀﾑ R</t>
    <phoneticPr fontId="13"/>
  </si>
  <si>
    <t>堺 580 け 6319</t>
    <rPh sb="0" eb="1">
      <t>サカイ</t>
    </rPh>
    <phoneticPr fontId="13"/>
  </si>
  <si>
    <t xml:space="preserve">ｽﾏｰﾄｷｰ車内確認 保証書 取説 ﾅﾋﾞ取 </t>
    <rPh sb="6" eb="8">
      <t>シャナイ</t>
    </rPh>
    <rPh sb="8" eb="10">
      <t>カクニン</t>
    </rPh>
    <rPh sb="11" eb="14">
      <t>ホショウショ</t>
    </rPh>
    <rPh sb="15" eb="17">
      <t>トリセツ</t>
    </rPh>
    <rPh sb="21" eb="22">
      <t>トリ</t>
    </rPh>
    <phoneticPr fontId="13"/>
  </si>
  <si>
    <t>LA100F-0008707</t>
    <phoneticPr fontId="13"/>
  </si>
  <si>
    <t>ﾑｰﾌﾞカスタム RS</t>
    <phoneticPr fontId="13"/>
  </si>
  <si>
    <t>LA110S-0032360</t>
    <phoneticPr fontId="13"/>
  </si>
  <si>
    <t>ｴﾌﾞﾘｨVｼﾞｮｲﾝ</t>
    <phoneticPr fontId="13"/>
  </si>
  <si>
    <t>DA17V-832762</t>
    <phoneticPr fontId="13"/>
  </si>
  <si>
    <t>8/3/9</t>
    <phoneticPr fontId="13"/>
  </si>
  <si>
    <t>MK53S-741451</t>
    <phoneticPr fontId="13"/>
  </si>
  <si>
    <t>24/？</t>
    <phoneticPr fontId="13"/>
  </si>
  <si>
    <t>AZﾜｺﾞﾝ ｶｽﾀﾑｽﾀｲﾙ XT</t>
    <phoneticPr fontId="13"/>
  </si>
  <si>
    <t>MJ23S-862255</t>
    <phoneticPr fontId="13"/>
  </si>
  <si>
    <t>ﾀﾌﾄ Gﾀﾞｰｸｸﾛﾑﾍﾞﾝﾁｬｰ</t>
    <phoneticPr fontId="13"/>
  </si>
  <si>
    <t>名古屋 58A ふ 6472</t>
    <rPh sb="0" eb="3">
      <t>ナゴヤ</t>
    </rPh>
    <phoneticPr fontId="13"/>
  </si>
  <si>
    <t>LA900S-0170252</t>
    <phoneticPr fontId="13"/>
  </si>
  <si>
    <t>名古屋 582 ゆ 5015</t>
    <rPh sb="0" eb="3">
      <t>ナゴヤ</t>
    </rPh>
    <phoneticPr fontId="13"/>
  </si>
  <si>
    <t>DR17W-252820</t>
    <phoneticPr fontId="13"/>
  </si>
  <si>
    <t>8/8/22</t>
    <phoneticPr fontId="13"/>
  </si>
  <si>
    <t>春日井 580 さ 2647</t>
    <rPh sb="0" eb="3">
      <t>カスガイ</t>
    </rPh>
    <phoneticPr fontId="13"/>
  </si>
  <si>
    <t>LA650S-0343672</t>
    <phoneticPr fontId="13"/>
  </si>
  <si>
    <t>21/8</t>
    <phoneticPr fontId="13"/>
  </si>
  <si>
    <t>MK23S-198522</t>
    <phoneticPr fontId="13"/>
  </si>
  <si>
    <t>ﾒﾙｾﾃﾞｽﾍﾞﾝﾂ C200 AV AMGﾗｲﾝ</t>
    <phoneticPr fontId="13"/>
  </si>
  <si>
    <t>神戸 304 も 958</t>
    <rPh sb="0" eb="2">
      <t>コウベ</t>
    </rPh>
    <phoneticPr fontId="13"/>
  </si>
  <si>
    <t>WDD2050772R508115</t>
    <phoneticPr fontId="13"/>
  </si>
  <si>
    <t>ｱｳﾃﾞｨS1 ｽﾎﾟｰﾂﾊﾞｯｸ 2.0TFSIｸﾜﾄﾛ</t>
    <phoneticPr fontId="13"/>
  </si>
  <si>
    <t>仙台 301 さ 8159</t>
    <rPh sb="0" eb="2">
      <t>センダイ</t>
    </rPh>
    <phoneticPr fontId="13"/>
  </si>
  <si>
    <t>WAUZZZ8X3FB004752</t>
    <phoneticPr fontId="13"/>
  </si>
  <si>
    <t>DA17W-155262</t>
    <phoneticPr fontId="13"/>
  </si>
  <si>
    <t>ｽｲﾌﾄ ﾊｲﾌﾞﾘｯﾄRS</t>
    <phoneticPr fontId="13"/>
  </si>
  <si>
    <t>ZC53S-405404</t>
    <phoneticPr fontId="13"/>
  </si>
  <si>
    <t>ekﾜｺﾞﾝ M ｲｰｱｼｽﾄ</t>
    <phoneticPr fontId="13"/>
  </si>
  <si>
    <t>B11W-0222670</t>
    <phoneticPr fontId="13"/>
  </si>
  <si>
    <t>ｺﾍﾟﾝ GRｽﾎﾟｰﾂ</t>
    <phoneticPr fontId="13"/>
  </si>
  <si>
    <t>LA400K-0048482</t>
    <phoneticPr fontId="13"/>
  </si>
  <si>
    <t>ﾜｺﾞﾝR FA</t>
    <phoneticPr fontId="13"/>
  </si>
  <si>
    <t>MH34S-435644</t>
    <phoneticPr fontId="13"/>
  </si>
  <si>
    <t>NV100ｸﾘｯﾊﾟｰ DX</t>
    <phoneticPr fontId="13"/>
  </si>
  <si>
    <t>DR17V-114633</t>
    <phoneticPr fontId="13"/>
  </si>
  <si>
    <t>ｷｬﾘｨﾄﾗｯｸ KU</t>
    <phoneticPr fontId="13"/>
  </si>
  <si>
    <t>DA63T-718038</t>
    <phoneticPr fontId="13"/>
  </si>
  <si>
    <t>ｽﾍﾟｰｼｱ X</t>
    <phoneticPr fontId="13"/>
  </si>
  <si>
    <t>SD ﾅﾝﾊﾞｰ</t>
    <phoneticPr fontId="13"/>
  </si>
  <si>
    <t>MK32S-140581</t>
    <phoneticPr fontId="13"/>
  </si>
  <si>
    <t>ﾐﾆｷｬﾌﾞ Vﾀｲﾌﾟ</t>
    <phoneticPr fontId="13"/>
  </si>
  <si>
    <t>U16T-1904797</t>
    <phoneticPr fontId="13"/>
  </si>
  <si>
    <t>20/5</t>
    <phoneticPr fontId="13"/>
  </si>
  <si>
    <t>ﾐﾗｼﾞｰﾉ 5D ﾌﾟﾚﾐｱﾑX</t>
    <phoneticPr fontId="13"/>
  </si>
  <si>
    <t>名古屋 58A そ 8820</t>
    <rPh sb="0" eb="3">
      <t>ナゴヤ</t>
    </rPh>
    <phoneticPr fontId="13"/>
  </si>
  <si>
    <t>L650S-0070712</t>
    <phoneticPr fontId="13"/>
  </si>
  <si>
    <t xml:space="preserve">ｱﾊﾞﾙﾄ 595 </t>
    <phoneticPr fontId="13"/>
  </si>
  <si>
    <t>尾張小牧 503 に 8214</t>
    <rPh sb="0" eb="4">
      <t>オワリコマキ</t>
    </rPh>
    <phoneticPr fontId="13"/>
  </si>
  <si>
    <t>ZFA3120000JE69892</t>
    <phoneticPr fontId="13"/>
  </si>
  <si>
    <t>ﾎﾞﾙﾎﾞ V60 B5 Rﾃﾞｻﾞｲﾝ</t>
    <phoneticPr fontId="13"/>
  </si>
  <si>
    <t>保証書 取説  ﾜﾝｵｰﾅｰ</t>
    <rPh sb="0" eb="3">
      <t>ホショウショ</t>
    </rPh>
    <rPh sb="4" eb="6">
      <t>トリセツ</t>
    </rPh>
    <phoneticPr fontId="13"/>
  </si>
  <si>
    <t>YV1ZWL1MDM2428767</t>
    <phoneticPr fontId="13"/>
  </si>
  <si>
    <t>ｼﾞｬｶﾞｰ EﾍﾟｰｽP300</t>
    <phoneticPr fontId="13"/>
  </si>
  <si>
    <t>名古屋 391 す 1117</t>
    <rPh sb="0" eb="3">
      <t>ナゴヤ</t>
    </rPh>
    <phoneticPr fontId="13"/>
  </si>
  <si>
    <t>SADFA2AXXK1Z67201</t>
    <phoneticPr fontId="13"/>
  </si>
  <si>
    <t xml:space="preserve">ｱﾊﾞﾙﾄ 595  </t>
    <phoneticPr fontId="13"/>
  </si>
  <si>
    <t>8/9/20</t>
    <phoneticPr fontId="13"/>
  </si>
  <si>
    <t>名古屋 508 ふ 2568</t>
    <rPh sb="0" eb="3">
      <t>ナゴヤ</t>
    </rPh>
    <phoneticPr fontId="13"/>
  </si>
  <si>
    <t>ZFABF11H5NJF43101</t>
    <phoneticPr fontId="13"/>
  </si>
  <si>
    <t>ｼﾄﾛｴﾝ C3 ｺﾛﾗﾄﾞｴﾃﾞｨｼｮﾝ</t>
    <phoneticPr fontId="13"/>
  </si>
  <si>
    <t>VF7SXHNZTJT625862</t>
    <phoneticPr fontId="13"/>
  </si>
  <si>
    <t>WMWXM520003A53843</t>
    <phoneticPr fontId="13"/>
  </si>
  <si>
    <t>ｵｰﾗ ﾆﾓｽ ﾌﾟﾛﾊﾟｲﾛｯﾄ</t>
    <phoneticPr fontId="13"/>
  </si>
  <si>
    <t>7/11/29</t>
    <phoneticPr fontId="13"/>
  </si>
  <si>
    <t>A301327</t>
    <phoneticPr fontId="13"/>
  </si>
  <si>
    <t>FE13-298018</t>
    <phoneticPr fontId="13"/>
  </si>
  <si>
    <t>ﾊｲｾﾞｯﾄﾄﾗｯｸ ｼﾞｬﾝﾎﾞ</t>
    <phoneticPr fontId="13"/>
  </si>
  <si>
    <t>9/5/23</t>
    <phoneticPr fontId="13"/>
  </si>
  <si>
    <t>A300646</t>
    <phoneticPr fontId="13"/>
  </si>
  <si>
    <t>S510P-0360245</t>
    <phoneticPr fontId="13"/>
  </si>
  <si>
    <t>A302484</t>
    <phoneticPr fontId="13"/>
  </si>
  <si>
    <t>MXWH60-4047910</t>
    <phoneticPr fontId="13"/>
  </si>
  <si>
    <t>8/2/8</t>
    <phoneticPr fontId="13"/>
  </si>
  <si>
    <t>A300844</t>
    <phoneticPr fontId="13"/>
  </si>
  <si>
    <t>MR92S-138328</t>
    <phoneticPr fontId="13"/>
  </si>
  <si>
    <t>A301145</t>
    <phoneticPr fontId="13"/>
  </si>
  <si>
    <t>JF3-5322525</t>
    <phoneticPr fontId="13"/>
  </si>
  <si>
    <t>ﾏﾂﾀﾞ CX30 20S i</t>
    <phoneticPr fontId="13"/>
  </si>
  <si>
    <t>10/8/21</t>
    <phoneticPr fontId="13"/>
  </si>
  <si>
    <t>A301597</t>
    <phoneticPr fontId="13"/>
  </si>
  <si>
    <t>ﾗｲﾄｸﾞﾚｰ</t>
    <phoneticPr fontId="13"/>
  </si>
  <si>
    <t>DMEJ3R-160070</t>
    <phoneticPr fontId="13"/>
  </si>
  <si>
    <t>A302337</t>
    <phoneticPr fontId="13"/>
  </si>
  <si>
    <t>AGH30-9035524</t>
    <phoneticPr fontId="13"/>
  </si>
  <si>
    <t>ｸﾗｳﾝ S ｽﾎﾟｰﾂｽﾀｲﾙ</t>
    <phoneticPr fontId="13"/>
  </si>
  <si>
    <t>8/11/24</t>
    <phoneticPr fontId="13"/>
  </si>
  <si>
    <t>A302309</t>
    <phoneticPr fontId="13"/>
  </si>
  <si>
    <t>ARS220-1003978</t>
    <phoneticPr fontId="13"/>
  </si>
  <si>
    <t>ｽﾍﾟｱｷｰ確認 保証書 取説 ﾜﾝｵｰﾅｰ</t>
    <rPh sb="6" eb="8">
      <t>カクニン</t>
    </rPh>
    <rPh sb="9" eb="12">
      <t>ホショウショ</t>
    </rPh>
    <rPh sb="13" eb="15">
      <t>トリセツ</t>
    </rPh>
    <phoneticPr fontId="13"/>
  </si>
  <si>
    <t>MH35S-122413</t>
    <phoneticPr fontId="13"/>
  </si>
  <si>
    <t>ﾃﾞｲｽﾞ　X</t>
    <phoneticPr fontId="13"/>
  </si>
  <si>
    <t>B21W-0341172</t>
    <phoneticPr fontId="13"/>
  </si>
  <si>
    <t>N-BOXｶｽﾀﾑ G ﾀｰﾎﾞLﾊﾟｯｹｰｼﾞ</t>
    <phoneticPr fontId="13"/>
  </si>
  <si>
    <t>8/5/16</t>
    <phoneticPr fontId="13"/>
  </si>
  <si>
    <t>JF1-2406184</t>
    <phoneticPr fontId="13"/>
  </si>
  <si>
    <t>ﾌﾟﾛﾎﾞｯｸｽ G</t>
    <phoneticPr fontId="13"/>
  </si>
  <si>
    <t>NCP165-0108413</t>
    <phoneticPr fontId="13"/>
  </si>
  <si>
    <t>ｱﾙﾄﾗﾊﾟﾝ X</t>
    <phoneticPr fontId="13"/>
  </si>
  <si>
    <t xml:space="preserve">ｽﾏｰﾄｷｰ車内確認 </t>
    <rPh sb="6" eb="8">
      <t>シャナイ</t>
    </rPh>
    <rPh sb="8" eb="10">
      <t>カクニン</t>
    </rPh>
    <phoneticPr fontId="13"/>
  </si>
  <si>
    <t>HE33S-150838</t>
    <phoneticPr fontId="13"/>
  </si>
  <si>
    <t>ﾐﾗｲｰｽ G ﾘﾐﾃｯﾄﾞSA3</t>
    <phoneticPr fontId="13"/>
  </si>
  <si>
    <t>8/10/13</t>
    <phoneticPr fontId="13"/>
  </si>
  <si>
    <t>LA350S-0283142</t>
    <phoneticPr fontId="13"/>
  </si>
  <si>
    <t>ｺﾍﾟﾝ  ﾛｰﾌﾞ</t>
    <phoneticPr fontId="13"/>
  </si>
  <si>
    <t>保証書 取説 地図SD ﾅﾝﾊﾞｰ</t>
    <rPh sb="0" eb="3">
      <t>ホショウショ</t>
    </rPh>
    <rPh sb="4" eb="6">
      <t>トリセツ</t>
    </rPh>
    <rPh sb="7" eb="9">
      <t>チズ</t>
    </rPh>
    <phoneticPr fontId="13"/>
  </si>
  <si>
    <t>LA400K-0015110</t>
    <phoneticPr fontId="13"/>
  </si>
  <si>
    <t>15/6</t>
    <phoneticPr fontId="13"/>
  </si>
  <si>
    <t xml:space="preserve">Keiﾜｰｸｽ </t>
    <phoneticPr fontId="13"/>
  </si>
  <si>
    <t>8/9/2</t>
    <phoneticPr fontId="13"/>
  </si>
  <si>
    <t>HN22S-761744</t>
    <phoneticPr fontId="13"/>
  </si>
  <si>
    <t>ﾊｽﾗｰ X</t>
    <phoneticPr fontId="13"/>
  </si>
  <si>
    <t>8/8/28</t>
    <phoneticPr fontId="13"/>
  </si>
  <si>
    <t>MR41S-271208</t>
    <phoneticPr fontId="13"/>
  </si>
  <si>
    <t>LA900S-0022288</t>
    <phoneticPr fontId="13"/>
  </si>
  <si>
    <t>ｱﾙﾄ S</t>
    <phoneticPr fontId="13"/>
  </si>
  <si>
    <t>HA36S-547615</t>
    <phoneticPr fontId="13"/>
  </si>
  <si>
    <t>8/6/5</t>
    <phoneticPr fontId="13"/>
  </si>
  <si>
    <t>JF1-1231806</t>
    <phoneticPr fontId="13"/>
  </si>
  <si>
    <t>24/12</t>
    <phoneticPr fontId="13"/>
  </si>
  <si>
    <t>N-ONE GLﾊﾟｯｹｰｼﾞ</t>
    <phoneticPr fontId="13"/>
  </si>
  <si>
    <t>7/11/8</t>
    <phoneticPr fontId="13"/>
  </si>
  <si>
    <t>ｽﾏｰﾄｷｰ 取説</t>
    <rPh sb="7" eb="9">
      <t>トリセツ</t>
    </rPh>
    <phoneticPr fontId="13"/>
  </si>
  <si>
    <t>JG1-1014787</t>
    <phoneticPr fontId="13"/>
  </si>
  <si>
    <t>ﾐﾗｼﾞｰﾉ ﾐﾆﾗｲﾄ ｽﾍﾟｼｬﾙ</t>
    <phoneticPr fontId="13"/>
  </si>
  <si>
    <t>8/9/24</t>
    <phoneticPr fontId="13"/>
  </si>
  <si>
    <t>L700S-0314010</t>
    <phoneticPr fontId="13"/>
  </si>
  <si>
    <t>ﾑｰﾌﾞ X</t>
    <phoneticPr fontId="13"/>
  </si>
  <si>
    <t>LA100S-0005839</t>
    <phoneticPr fontId="13"/>
  </si>
  <si>
    <t>23/8</t>
    <phoneticPr fontId="13"/>
  </si>
  <si>
    <t>ﾊﾟﾚｯﾄ SWﾘﾐﾃｯﾄﾞ</t>
    <phoneticPr fontId="13"/>
  </si>
  <si>
    <t>8/11/13</t>
    <phoneticPr fontId="13"/>
  </si>
  <si>
    <t>MK21S-401609</t>
    <phoneticPr fontId="13"/>
  </si>
  <si>
    <t>保証書 取説  (車内)</t>
    <rPh sb="0" eb="3">
      <t>ホショウショ</t>
    </rPh>
    <rPh sb="4" eb="6">
      <t>トリセツ</t>
    </rPh>
    <phoneticPr fontId="13"/>
  </si>
  <si>
    <t>ｾﾙﾎﾞ G ﾘﾐﾃｯﾄﾞ2</t>
    <phoneticPr fontId="13"/>
  </si>
  <si>
    <t>7/11/19</t>
    <phoneticPr fontId="13"/>
  </si>
  <si>
    <t>HG21S-162935</t>
    <phoneticPr fontId="13"/>
  </si>
  <si>
    <t>HE22S-847098</t>
    <phoneticPr fontId="13"/>
  </si>
  <si>
    <t>ＶＷ ｼｬﾗﾝ</t>
    <phoneticPr fontId="13"/>
  </si>
  <si>
    <t>8/3/10</t>
    <phoneticPr fontId="13"/>
  </si>
  <si>
    <t>神戸 303 ぬ 2340</t>
    <rPh sb="0" eb="2">
      <t>コウベ</t>
    </rPh>
    <phoneticPr fontId="13"/>
  </si>
  <si>
    <t>横井様</t>
    <rPh sb="0" eb="2">
      <t>ヨコイ</t>
    </rPh>
    <rPh sb="2" eb="3">
      <t>サマ</t>
    </rPh>
    <phoneticPr fontId="13"/>
  </si>
  <si>
    <t>WVWZZZ7NZDV014179</t>
    <phoneticPr fontId="13"/>
  </si>
  <si>
    <t>横井 努</t>
    <rPh sb="0" eb="2">
      <t>ヨコイ</t>
    </rPh>
    <rPh sb="3" eb="4">
      <t>ツトム</t>
    </rPh>
    <phoneticPr fontId="13"/>
  </si>
  <si>
    <t>N-BOXｶｽﾀﾑ ｺｰﾃﾞｨﾈｰﾄｽﾀｲﾙ</t>
    <phoneticPr fontId="13"/>
  </si>
  <si>
    <t>8/10/17</t>
    <phoneticPr fontId="13"/>
  </si>
  <si>
    <t>JF5-2001383</t>
    <phoneticPr fontId="13"/>
  </si>
  <si>
    <t>ｾﾚﾅ ﾊｲｳｪｲｽﾀｰ</t>
    <phoneticPr fontId="13"/>
  </si>
  <si>
    <t>8/5/28</t>
    <phoneticPr fontId="13"/>
  </si>
  <si>
    <t>神戸 302 る 8943</t>
    <rPh sb="0" eb="2">
      <t>コウベ</t>
    </rPh>
    <phoneticPr fontId="13"/>
  </si>
  <si>
    <t>HFC26-272947</t>
    <phoneticPr fontId="13"/>
  </si>
  <si>
    <t>岡山 581 ま 4997</t>
    <rPh sb="0" eb="2">
      <t>オカヤマ</t>
    </rPh>
    <phoneticPr fontId="13"/>
  </si>
  <si>
    <t>LA350S-0358019</t>
    <phoneticPr fontId="13"/>
  </si>
  <si>
    <t>ﾃﾞｲｽﾞ ﾊｲｳｪｲｽﾀｰX</t>
    <phoneticPr fontId="13"/>
  </si>
  <si>
    <t>神戸 582 ね 3872</t>
    <rPh sb="0" eb="2">
      <t>コウベ</t>
    </rPh>
    <phoneticPr fontId="13"/>
  </si>
  <si>
    <t>保証書 取説 地図SD miniB-CAS</t>
    <rPh sb="0" eb="3">
      <t>ホショウショ</t>
    </rPh>
    <rPh sb="4" eb="6">
      <t>トリセツ</t>
    </rPh>
    <rPh sb="7" eb="9">
      <t>チズ</t>
    </rPh>
    <phoneticPr fontId="13"/>
  </si>
  <si>
    <t>B21W-0642837</t>
    <phoneticPr fontId="13"/>
  </si>
  <si>
    <t>ｴﾌﾞﾘｨｼﾞｮｲﾝ</t>
    <phoneticPr fontId="13"/>
  </si>
  <si>
    <t>8/8/29</t>
    <phoneticPr fontId="13"/>
  </si>
  <si>
    <t>神戸 480 や 3920</t>
    <rPh sb="0" eb="2">
      <t>コウベ</t>
    </rPh>
    <phoneticPr fontId="13"/>
  </si>
  <si>
    <t>DA17V-767397</t>
    <phoneticPr fontId="13"/>
  </si>
  <si>
    <t>EKｽﾍﾟｰｽｶｽﾀﾑ T</t>
    <phoneticPr fontId="13"/>
  </si>
  <si>
    <t>岡山 583 せ 8626</t>
    <rPh sb="0" eb="2">
      <t>オカヤマ</t>
    </rPh>
    <phoneticPr fontId="13"/>
  </si>
  <si>
    <t>保証書 取説 ｽﾍﾟｱｷｰ 地図SD</t>
    <rPh sb="0" eb="3">
      <t>ホショウショ</t>
    </rPh>
    <rPh sb="4" eb="6">
      <t>トリセツ</t>
    </rPh>
    <rPh sb="14" eb="16">
      <t>チズ</t>
    </rPh>
    <phoneticPr fontId="13"/>
  </si>
  <si>
    <t>B11A-0120906</t>
    <phoneticPr fontId="13"/>
  </si>
  <si>
    <t>JB23W-711238</t>
    <phoneticPr fontId="13"/>
  </si>
  <si>
    <t>品番；NX613</t>
    <rPh sb="0" eb="2">
      <t>ヒンバン</t>
    </rPh>
    <phoneticPr fontId="13"/>
  </si>
  <si>
    <t>WMWXN320302G79832</t>
    <phoneticPr fontId="13"/>
  </si>
  <si>
    <t>ﾗｲﾄｸﾞﾘｰﾝ</t>
    <phoneticPr fontId="13"/>
  </si>
  <si>
    <t>VF7SXHNTJT626630</t>
    <phoneticPr fontId="13"/>
  </si>
  <si>
    <t>VW ｱﾙﾃｵﾝ TSI</t>
    <phoneticPr fontId="13"/>
  </si>
  <si>
    <t>WVWZZZ3HZKE005930</t>
    <phoneticPr fontId="13"/>
  </si>
  <si>
    <t>SALRA2AV8JA068478</t>
    <phoneticPr fontId="13"/>
  </si>
  <si>
    <t>ﾒﾙｾﾃﾞｽﾍﾞﾝﾂ Cｸﾗｽ 220d</t>
    <phoneticPr fontId="13"/>
  </si>
  <si>
    <t>WDD2052142F947649</t>
    <phoneticPr fontId="13"/>
  </si>
  <si>
    <t>WMWXN320X02H81970</t>
    <phoneticPr fontId="13"/>
  </si>
  <si>
    <t>WMW22DV0402S95561</t>
    <phoneticPr fontId="13"/>
  </si>
  <si>
    <t>WMWXN320302H82586</t>
    <phoneticPr fontId="13"/>
  </si>
  <si>
    <t>ﾑｰﾌﾞｷｬﾝﾊﾞｽ ｽﾄﾗｲﾌﾟｽ X</t>
    <phoneticPr fontId="13"/>
  </si>
  <si>
    <t>LA850S-1012021</t>
    <phoneticPr fontId="13"/>
  </si>
  <si>
    <t>ｽﾍﾟｰｽｶｽﾀﾑ ﾊｲﾌﾞﾘｯﾄXSﾀｰﾎﾞ</t>
    <phoneticPr fontId="13"/>
  </si>
  <si>
    <t>MK54S-147425</t>
    <phoneticPr fontId="13"/>
  </si>
  <si>
    <t>MR31S-829447</t>
    <phoneticPr fontId="13"/>
  </si>
  <si>
    <t>22/9</t>
    <phoneticPr fontId="13"/>
  </si>
  <si>
    <t>ﾙｰｸｽ ﾊｲｳｪｲｽﾀｰﾀｰﾎﾞ</t>
    <phoneticPr fontId="13"/>
  </si>
  <si>
    <t>ML21S-950635</t>
    <phoneticPr fontId="13"/>
  </si>
  <si>
    <t>BMWﾐﾆｸｰﾊﾟｰS ｵｰﾌﾟﾝ</t>
    <phoneticPr fontId="13"/>
  </si>
  <si>
    <t>島根 307 み 2000</t>
    <rPh sb="0" eb="2">
      <t>シマネ</t>
    </rPh>
    <phoneticPr fontId="13"/>
  </si>
  <si>
    <t>保証書 ﾅﾝﾊﾞｰ</t>
    <rPh sb="0" eb="3">
      <t>ホショウショ</t>
    </rPh>
    <phoneticPr fontId="13"/>
  </si>
  <si>
    <t>JF3-2410445</t>
    <phoneticPr fontId="13"/>
  </si>
  <si>
    <t>LA650S-0203083</t>
    <phoneticPr fontId="13"/>
  </si>
  <si>
    <t>ﾎﾞﾙﾎﾞ XC40 ﾘﾁｬｼﾞ T5 ｲﾝｽｴｸｽ</t>
    <phoneticPr fontId="13"/>
  </si>
  <si>
    <t>大阪 356 ぬ 718</t>
    <rPh sb="0" eb="2">
      <t>オオサカ</t>
    </rPh>
    <phoneticPr fontId="13"/>
  </si>
  <si>
    <t>YV1XZBBMFN2767929</t>
    <phoneticPr fontId="13"/>
  </si>
  <si>
    <t xml:space="preserve"> ｽﾏｰﾄｷｰ車内確認 保証書 取説</t>
    <rPh sb="7" eb="9">
      <t>シャナイ</t>
    </rPh>
    <rPh sb="9" eb="11">
      <t>カクニン</t>
    </rPh>
    <rPh sb="12" eb="15">
      <t>ホショウショ</t>
    </rPh>
    <rPh sb="16" eb="18">
      <t>トリセツ</t>
    </rPh>
    <phoneticPr fontId="13"/>
  </si>
  <si>
    <t>LA650S-0323741</t>
    <phoneticPr fontId="13"/>
  </si>
  <si>
    <t>LA350S-0104562</t>
    <phoneticPr fontId="13"/>
  </si>
  <si>
    <t>ｱｳﾃﾞｨA7 ｽﾎﾟｰﾂﾊﾞｯｸ</t>
    <phoneticPr fontId="13"/>
  </si>
  <si>
    <t>WAUZZZ4G8JN034004</t>
    <phoneticPr fontId="13"/>
  </si>
  <si>
    <t xml:space="preserve">BMWﾐﾆｸｰﾊﾟｰ </t>
    <phoneticPr fontId="13"/>
  </si>
  <si>
    <t>石川 301 さ 7775</t>
    <rPh sb="0" eb="2">
      <t>イシカワ</t>
    </rPh>
    <phoneticPr fontId="13"/>
  </si>
  <si>
    <t>WMWXS520102F20750</t>
    <phoneticPr fontId="13"/>
  </si>
  <si>
    <t>BMWX3 xdrive20d Xﾗｲﾝ</t>
    <phoneticPr fontId="13"/>
  </si>
  <si>
    <t>品川 302 む 7420</t>
    <rPh sb="0" eb="2">
      <t>シナガワ</t>
    </rPh>
    <phoneticPr fontId="13"/>
  </si>
  <si>
    <t>WBATX320600Z13351</t>
    <phoneticPr fontId="13"/>
  </si>
  <si>
    <t>BMWﾐﾆｸｰﾊﾟｰｸﾗﾌﾞﾏﾝ</t>
    <phoneticPr fontId="13"/>
  </si>
  <si>
    <t>WMWLV320802L40947</t>
    <phoneticPr fontId="13"/>
  </si>
  <si>
    <t>ｳﾞｪﾙﾌｧｲｱ 2.5Z</t>
    <phoneticPr fontId="13"/>
  </si>
  <si>
    <t>A302470</t>
    <phoneticPr fontId="13"/>
  </si>
  <si>
    <t>AGH30-0070013</t>
    <phoneticPr fontId="13"/>
  </si>
  <si>
    <t>ｼｴﾝﾀ  Z</t>
    <phoneticPr fontId="13"/>
  </si>
  <si>
    <t>8/5/29</t>
    <phoneticPr fontId="13"/>
  </si>
  <si>
    <t>A302474</t>
    <phoneticPr fontId="13"/>
  </si>
  <si>
    <t>MXPC10-1021963</t>
    <phoneticPr fontId="13"/>
  </si>
  <si>
    <t>ﾚｸｻｽ LS 460</t>
    <phoneticPr fontId="13"/>
  </si>
  <si>
    <t>9/2/4</t>
    <phoneticPr fontId="13"/>
  </si>
  <si>
    <t>A302725</t>
    <phoneticPr fontId="13"/>
  </si>
  <si>
    <t>USF40-5137792</t>
    <phoneticPr fontId="13"/>
  </si>
  <si>
    <t>ｽﾃｯﾌﾟﾜｺﾞﾝ ｽﾊﾟｰﾀﾞ ﾎﾝﾀﾞｾﾝｼﾝｸﾞ</t>
    <phoneticPr fontId="13"/>
  </si>
  <si>
    <t>A302723</t>
    <phoneticPr fontId="13"/>
  </si>
  <si>
    <t>RP3-1324361</t>
    <phoneticPr fontId="13"/>
  </si>
  <si>
    <t>1697回</t>
  </si>
  <si>
    <t>①</t>
    <phoneticPr fontId="13"/>
  </si>
  <si>
    <t>7/12/4</t>
    <phoneticPr fontId="13"/>
  </si>
  <si>
    <t>福岡 583 か 5598</t>
  </si>
  <si>
    <t>T'sﾚﾝﾀｶｰに使用</t>
  </si>
  <si>
    <t>580 わ 3989</t>
    <phoneticPr fontId="13"/>
  </si>
  <si>
    <t>MH44S-168107</t>
  </si>
  <si>
    <t>いきてる株式会社</t>
    <phoneticPr fontId="13"/>
  </si>
  <si>
    <t>取説 保証書 ○</t>
  </si>
  <si>
    <t>26/3</t>
  </si>
  <si>
    <t>②</t>
    <phoneticPr fontId="13"/>
  </si>
  <si>
    <t>ﾉｰﾄ X ｴﾏｰｼﾞｪﾝｼｰﾌﾞﾚｰｷﾊﾟｯｹｰｼﾞ</t>
  </si>
  <si>
    <t>8/6/11</t>
    <phoneticPr fontId="13"/>
  </si>
  <si>
    <t>春日部 507 ひ 333</t>
  </si>
  <si>
    <t>T'sﾚﾝﾀｶｰ使用</t>
  </si>
  <si>
    <t>500 わ 7954</t>
    <phoneticPr fontId="13"/>
  </si>
  <si>
    <t>A02985</t>
  </si>
  <si>
    <t>E12-225207</t>
    <phoneticPr fontId="13"/>
  </si>
  <si>
    <t>三星医療電機株式会社</t>
  </si>
  <si>
    <t>取説 保証書 ﾅﾋﾞ取 ﾜﾝｵｰﾅｰ（車内にあった）</t>
  </si>
  <si>
    <t>③</t>
    <phoneticPr fontId="13"/>
  </si>
  <si>
    <t>ｱｳﾃﾞｨRS Q3</t>
    <phoneticPr fontId="13"/>
  </si>
  <si>
    <t>7/11/7</t>
    <phoneticPr fontId="13"/>
  </si>
  <si>
    <t>神戸 304 た  141</t>
    <rPh sb="0" eb="2">
      <t>コウベ</t>
    </rPh>
    <phoneticPr fontId="13"/>
  </si>
  <si>
    <t>HAA9/24 1122回82157成約ｷｬﾝｾﾙ 10/23書類戻り済</t>
    <phoneticPr fontId="13"/>
  </si>
  <si>
    <t>2022/10/23ﾚﾝﾀｶｰに移行</t>
    <rPh sb="16" eb="18">
      <t>イコウ</t>
    </rPh>
    <phoneticPr fontId="13"/>
  </si>
  <si>
    <t>300 わ 4626</t>
    <phoneticPr fontId="13"/>
  </si>
  <si>
    <t>橋本</t>
    <rPh sb="0" eb="2">
      <t>ハシモト</t>
    </rPh>
    <phoneticPr fontId="13"/>
  </si>
  <si>
    <t>WUAZZZ8U0FR900350</t>
    <phoneticPr fontId="13"/>
  </si>
  <si>
    <t>橋本 政人</t>
    <rPh sb="0" eb="2">
      <t>ハシモト</t>
    </rPh>
    <rPh sb="3" eb="5">
      <t>マサト</t>
    </rPh>
    <phoneticPr fontId="13"/>
  </si>
  <si>
    <t>S24-076aからR24-009へ変更</t>
    <rPh sb="18" eb="20">
      <t>ヘンコウ</t>
    </rPh>
    <phoneticPr fontId="13"/>
  </si>
  <si>
    <t>661回</t>
    <phoneticPr fontId="13"/>
  </si>
  <si>
    <t>ｱｳﾃﾞｨS3　ｽﾎﾟｰﾂB　TFSI</t>
  </si>
  <si>
    <t>7/7/31</t>
    <phoneticPr fontId="13"/>
  </si>
  <si>
    <t>湘南　301　む　538</t>
  </si>
  <si>
    <t>2024/7/31ﾚﾝﾀｶｰに移行</t>
    <rPh sb="15" eb="17">
      <t>イコウ</t>
    </rPh>
    <phoneticPr fontId="13"/>
  </si>
  <si>
    <t>300 わ 6062</t>
    <phoneticPr fontId="13"/>
  </si>
  <si>
    <t>WAUZZZ8P8BA029243</t>
  </si>
  <si>
    <t>有限会社ｵｰﾄｴｰｽ</t>
    <rPh sb="0" eb="4">
      <t>ユウゲンガイシャ</t>
    </rPh>
    <phoneticPr fontId="13"/>
  </si>
  <si>
    <t>25-062からR25-015へ変更</t>
    <rPh sb="16" eb="18">
      <t>ヘンコウ</t>
    </rPh>
    <phoneticPr fontId="13"/>
  </si>
  <si>
    <t>BMWﾐﾆ ｸｰﾊﾟｰDｸﾛｽｵｰﾊﾞｰ</t>
    <phoneticPr fontId="13"/>
  </si>
  <si>
    <t>8/5/12</t>
    <phoneticPr fontId="13"/>
  </si>
  <si>
    <t>広島 331 も 3298</t>
    <rPh sb="0" eb="2">
      <t>ヒロシマ</t>
    </rPh>
    <phoneticPr fontId="13"/>
  </si>
  <si>
    <t>2025/5/13 ﾚﾝﾀｶｰに移行</t>
    <rPh sb="16" eb="18">
      <t>イコウ</t>
    </rPh>
    <phoneticPr fontId="13"/>
  </si>
  <si>
    <t>300 わ 6615</t>
    <phoneticPr fontId="13"/>
  </si>
  <si>
    <t>WMWXD32030WN36369</t>
    <phoneticPr fontId="13"/>
  </si>
  <si>
    <t>26-242からR26-009へ変更</t>
    <rPh sb="16" eb="18">
      <t>ヘンコウ</t>
    </rPh>
    <phoneticPr fontId="13"/>
  </si>
  <si>
    <t>④</t>
    <phoneticPr fontId="13"/>
  </si>
  <si>
    <t>⑤</t>
    <phoneticPr fontId="13"/>
  </si>
  <si>
    <t>R27-001</t>
    <phoneticPr fontId="13"/>
  </si>
  <si>
    <t>R27-002</t>
  </si>
  <si>
    <t>R27-003</t>
  </si>
  <si>
    <t>R27-004</t>
  </si>
  <si>
    <t>R27-005</t>
  </si>
  <si>
    <t>ワゴンR</t>
    <phoneticPr fontId="13"/>
  </si>
  <si>
    <t>MH34S-209570</t>
    <phoneticPr fontId="13"/>
  </si>
  <si>
    <t>25/7</t>
    <phoneticPr fontId="13"/>
  </si>
  <si>
    <t>Lﾌﾞﾙｰ</t>
    <phoneticPr fontId="13"/>
  </si>
  <si>
    <t>8/7/30</t>
    <phoneticPr fontId="13"/>
  </si>
  <si>
    <t>姫路 581 ほ 8584</t>
    <rPh sb="0" eb="2">
      <t>ヒメジ</t>
    </rPh>
    <phoneticPr fontId="13"/>
  </si>
  <si>
    <t>ムーヴ</t>
    <phoneticPr fontId="13"/>
  </si>
  <si>
    <t>LA100S-0139789</t>
    <phoneticPr fontId="13"/>
  </si>
  <si>
    <t>9/5/28</t>
    <phoneticPr fontId="13"/>
  </si>
  <si>
    <t>姫路 580 ふ 3026</t>
    <rPh sb="0" eb="2">
      <t>ヒメジ</t>
    </rPh>
    <phoneticPr fontId="13"/>
  </si>
  <si>
    <t>MH34S-348009</t>
    <phoneticPr fontId="13"/>
  </si>
  <si>
    <t>9/8/3</t>
    <phoneticPr fontId="13"/>
  </si>
  <si>
    <t>姫路 581 も 8068</t>
    <rPh sb="0" eb="2">
      <t>ヒメジ</t>
    </rPh>
    <phoneticPr fontId="13"/>
  </si>
  <si>
    <t>スペーシア</t>
    <phoneticPr fontId="13"/>
  </si>
  <si>
    <t>MK32S-171563</t>
    <phoneticPr fontId="13"/>
  </si>
  <si>
    <t>26/2</t>
    <phoneticPr fontId="13"/>
  </si>
  <si>
    <t>ピンク</t>
    <phoneticPr fontId="13"/>
  </si>
  <si>
    <t>8/10/24</t>
    <phoneticPr fontId="13"/>
  </si>
  <si>
    <t>姫路 581 ゆ 1986</t>
    <rPh sb="0" eb="2">
      <t>ヒメジ</t>
    </rPh>
    <phoneticPr fontId="13"/>
  </si>
  <si>
    <t>旧26-900</t>
    <rPh sb="0" eb="1">
      <t>キュウ</t>
    </rPh>
    <phoneticPr fontId="13"/>
  </si>
  <si>
    <t>フィットHV</t>
    <phoneticPr fontId="13"/>
  </si>
  <si>
    <t>GP1-1109206</t>
    <phoneticPr fontId="13"/>
  </si>
  <si>
    <t>9/3/17</t>
    <phoneticPr fontId="13"/>
  </si>
  <si>
    <t>姫路 501 む 8101</t>
    <rPh sb="0" eb="2">
      <t>ヒメジ</t>
    </rPh>
    <phoneticPr fontId="13"/>
  </si>
  <si>
    <t>フィット</t>
    <phoneticPr fontId="13"/>
  </si>
  <si>
    <t>キューブ</t>
    <phoneticPr fontId="13"/>
  </si>
  <si>
    <t>デミオ</t>
    <phoneticPr fontId="13"/>
  </si>
  <si>
    <t>ベリーサ</t>
    <phoneticPr fontId="13"/>
  </si>
  <si>
    <t>DC5W-338230</t>
    <phoneticPr fontId="13"/>
  </si>
  <si>
    <t>22/1</t>
    <phoneticPr fontId="13"/>
  </si>
  <si>
    <t>8/10/14</t>
    <phoneticPr fontId="13"/>
  </si>
  <si>
    <t>姫路 501 む 3911</t>
    <rPh sb="0" eb="2">
      <t>ヒメジ</t>
    </rPh>
    <phoneticPr fontId="13"/>
  </si>
  <si>
    <t>DE3FS-548820</t>
    <phoneticPr fontId="13"/>
  </si>
  <si>
    <t>8/4/2</t>
    <phoneticPr fontId="13"/>
  </si>
  <si>
    <t>姫路 501 む 8167</t>
    <rPh sb="0" eb="2">
      <t>ヒメジ</t>
    </rPh>
    <phoneticPr fontId="13"/>
  </si>
  <si>
    <t>ミラージュ</t>
    <phoneticPr fontId="13"/>
  </si>
  <si>
    <t>A05A-0009519</t>
    <phoneticPr fontId="13"/>
  </si>
  <si>
    <t>姫路 501 て 9110</t>
    <rPh sb="0" eb="2">
      <t>ヒメジ</t>
    </rPh>
    <phoneticPr fontId="13"/>
  </si>
  <si>
    <t>ソリオ</t>
    <phoneticPr fontId="13"/>
  </si>
  <si>
    <t>MA15S-213095</t>
    <phoneticPr fontId="13"/>
  </si>
  <si>
    <t>8/5/21</t>
    <phoneticPr fontId="13"/>
  </si>
  <si>
    <t>姫路 501 め 460</t>
    <rPh sb="0" eb="2">
      <t>ヒメジ</t>
    </rPh>
    <phoneticPr fontId="13"/>
  </si>
  <si>
    <t>Z12-038369</t>
    <phoneticPr fontId="13"/>
  </si>
  <si>
    <t>21/7</t>
    <phoneticPr fontId="13"/>
  </si>
  <si>
    <t>姫路 301 む 9535</t>
    <rPh sb="0" eb="2">
      <t>ヒメジ</t>
    </rPh>
    <phoneticPr fontId="13"/>
  </si>
  <si>
    <t>MA15S-952437</t>
    <phoneticPr fontId="13"/>
  </si>
  <si>
    <t>9/4/20</t>
    <phoneticPr fontId="13"/>
  </si>
  <si>
    <t>姫路 501 め 8190</t>
    <rPh sb="0" eb="2">
      <t>ヒメジ</t>
    </rPh>
    <phoneticPr fontId="13"/>
  </si>
  <si>
    <t>シエンタ</t>
    <phoneticPr fontId="13"/>
  </si>
  <si>
    <t>NCP81-5146438</t>
    <phoneticPr fontId="13"/>
  </si>
  <si>
    <t>8/8/30</t>
    <phoneticPr fontId="13"/>
  </si>
  <si>
    <t>姫路 501 め 6924</t>
    <rPh sb="0" eb="2">
      <t>ヒメジ</t>
    </rPh>
    <phoneticPr fontId="13"/>
  </si>
  <si>
    <t>アクア</t>
    <phoneticPr fontId="13"/>
  </si>
  <si>
    <t>NHP10-6063158</t>
    <phoneticPr fontId="13"/>
  </si>
  <si>
    <t>9/7/18</t>
    <phoneticPr fontId="13"/>
  </si>
  <si>
    <t>姫路 501 め 8934</t>
    <rPh sb="0" eb="2">
      <t>ヒメジ</t>
    </rPh>
    <phoneticPr fontId="13"/>
  </si>
  <si>
    <t>NHP10-2026527</t>
    <phoneticPr fontId="13"/>
  </si>
  <si>
    <t>姫路 501 も 805</t>
    <rPh sb="0" eb="2">
      <t>ヒメジ</t>
    </rPh>
    <phoneticPr fontId="13"/>
  </si>
  <si>
    <t>旧25-5539</t>
    <rPh sb="0" eb="1">
      <t>キュウ</t>
    </rPh>
    <phoneticPr fontId="13"/>
  </si>
  <si>
    <t>プリウス</t>
    <phoneticPr fontId="13"/>
  </si>
  <si>
    <t>ZVW30-0277422</t>
    <phoneticPr fontId="13"/>
  </si>
  <si>
    <t>姫路 301 に 5255</t>
    <rPh sb="0" eb="2">
      <t>ヒメジ</t>
    </rPh>
    <phoneticPr fontId="13"/>
  </si>
  <si>
    <t>旧25-4986</t>
    <rPh sb="0" eb="1">
      <t>キュウ</t>
    </rPh>
    <phoneticPr fontId="13"/>
  </si>
  <si>
    <t>デリカ</t>
    <phoneticPr fontId="13"/>
  </si>
  <si>
    <t>MB15S-500840</t>
    <phoneticPr fontId="13"/>
  </si>
  <si>
    <t>8/12/24</t>
    <phoneticPr fontId="13"/>
  </si>
  <si>
    <t>姫路 501 も 5387</t>
    <rPh sb="0" eb="2">
      <t>ヒメジ</t>
    </rPh>
    <phoneticPr fontId="13"/>
  </si>
  <si>
    <t>旧26-1998</t>
    <rPh sb="0" eb="1">
      <t>キュウ</t>
    </rPh>
    <phoneticPr fontId="13"/>
  </si>
  <si>
    <t>ZVW30-5381970</t>
    <phoneticPr fontId="13"/>
  </si>
  <si>
    <t>8/12/15</t>
    <phoneticPr fontId="13"/>
  </si>
  <si>
    <t>姫路 301 ぬ 2893</t>
    <rPh sb="0" eb="2">
      <t>ヒメジ</t>
    </rPh>
    <phoneticPr fontId="13"/>
  </si>
  <si>
    <t>旧26-2558</t>
    <rPh sb="0" eb="1">
      <t>キュウ</t>
    </rPh>
    <phoneticPr fontId="13"/>
  </si>
  <si>
    <t>GP5-1004384</t>
    <phoneticPr fontId="13"/>
  </si>
  <si>
    <t>8/7/6</t>
    <phoneticPr fontId="13"/>
  </si>
  <si>
    <t>姫路 501 も 8358</t>
    <rPh sb="0" eb="2">
      <t>ヒメジ</t>
    </rPh>
    <phoneticPr fontId="13"/>
  </si>
  <si>
    <t>旧26-4609</t>
    <rPh sb="0" eb="1">
      <t>キュウ</t>
    </rPh>
    <phoneticPr fontId="13"/>
  </si>
  <si>
    <t>NHP10-2353688</t>
    <phoneticPr fontId="13"/>
  </si>
  <si>
    <t>9/9/2</t>
    <phoneticPr fontId="13"/>
  </si>
  <si>
    <t>姫路 501 も 8357</t>
    <rPh sb="0" eb="2">
      <t>ヒメジ</t>
    </rPh>
    <phoneticPr fontId="13"/>
  </si>
  <si>
    <t>旧26-4462</t>
    <rPh sb="0" eb="1">
      <t>キュウ</t>
    </rPh>
    <phoneticPr fontId="13"/>
  </si>
  <si>
    <t>状況</t>
    <rPh sb="0" eb="2">
      <t>ジョウキョウ</t>
    </rPh>
    <phoneticPr fontId="13"/>
  </si>
  <si>
    <t>売上日</t>
    <rPh sb="0" eb="2">
      <t>ウリアゲ</t>
    </rPh>
    <rPh sb="2" eb="3">
      <t>ビ</t>
    </rPh>
    <phoneticPr fontId="13"/>
  </si>
  <si>
    <t xml:space="preserve">ｱﾙﾄﾜｰｸｽ </t>
    <phoneticPr fontId="13"/>
  </si>
  <si>
    <t>HA36S-912287</t>
    <phoneticPr fontId="13"/>
  </si>
  <si>
    <t>ﾐﾗｲｰｽ　X　35ｔｈｱﾆﾊﾞｰｻﾘｰｺﾞｰﾙﾄﾞ</t>
    <phoneticPr fontId="13"/>
  </si>
  <si>
    <t>LA300S-1390343</t>
    <phoneticPr fontId="13"/>
  </si>
  <si>
    <t>BMWﾐﾆｸｰﾊﾟｰ　SE　Xｵｰﾊﾞｰｵｰﾙ4</t>
    <phoneticPr fontId="13"/>
  </si>
  <si>
    <t>ﾀﾝﾄｶｽﾀﾑ　ｶｽﾀﾑX</t>
    <phoneticPr fontId="13"/>
  </si>
  <si>
    <t>LA650S-0161378</t>
    <phoneticPr fontId="13"/>
  </si>
  <si>
    <t>ﾊｽﾗｰ　X</t>
    <phoneticPr fontId="13"/>
  </si>
  <si>
    <t>MR41S-326851</t>
    <phoneticPr fontId="13"/>
  </si>
  <si>
    <t>ｾﾙﾎﾞ　SR</t>
    <phoneticPr fontId="13"/>
  </si>
  <si>
    <t>HG21S-420647</t>
    <phoneticPr fontId="13"/>
  </si>
  <si>
    <t>ﾐﾗｲｰｽ　L　SA3</t>
    <phoneticPr fontId="13"/>
  </si>
  <si>
    <t>LA350S-0294379</t>
    <phoneticPr fontId="13"/>
  </si>
  <si>
    <t>ﾐﾗｺｺｱ　ｺｺｱﾌﾟﾗｽG</t>
    <phoneticPr fontId="13"/>
  </si>
  <si>
    <t>L675S-0048338</t>
    <phoneticPr fontId="13"/>
  </si>
  <si>
    <t>N-BOX　G　Lﾊﾟｯｹｰｼﾞ</t>
    <phoneticPr fontId="13"/>
  </si>
  <si>
    <t>JF1-1943445</t>
    <phoneticPr fontId="13"/>
  </si>
  <si>
    <t>ﾀﾌﾄ　G　ｱﾄﾞﾍﾞﾝﾁｬｰ</t>
    <phoneticPr fontId="13"/>
  </si>
  <si>
    <t>LA900S-0080255</t>
    <phoneticPr fontId="13"/>
  </si>
  <si>
    <t>ﾊｽﾗｰ　Xﾀｰﾎﾞ</t>
    <phoneticPr fontId="13"/>
  </si>
  <si>
    <t>MR41S-638133</t>
    <phoneticPr fontId="13"/>
  </si>
  <si>
    <t>ﾀﾝﾄ　Xﾘﾐﾃｯﾄﾞ</t>
    <phoneticPr fontId="13"/>
  </si>
  <si>
    <t>L375S-0278496</t>
    <phoneticPr fontId="13"/>
  </si>
  <si>
    <t>ﾃﾞｲｽﾞ　J　</t>
    <phoneticPr fontId="13"/>
  </si>
  <si>
    <t>B21W-0413537</t>
    <phoneticPr fontId="13"/>
  </si>
  <si>
    <t>ﾜｺﾞﾝRｽﾃｨﾝｸﾞﾚｰ　X</t>
    <phoneticPr fontId="13"/>
  </si>
  <si>
    <t>MH44S-459377</t>
    <phoneticPr fontId="13"/>
  </si>
  <si>
    <t>WMWXU52000TH95286</t>
    <phoneticPr fontId="13"/>
  </si>
  <si>
    <t>BMWﾐﾆ　JCWｸﾗﾌﾞﾏﾝ</t>
    <phoneticPr fontId="13"/>
  </si>
  <si>
    <t>ｵﾘｯｸｽ神戸（ｱｲｵｰｸ)</t>
    <rPh sb="5" eb="7">
      <t>コウベ</t>
    </rPh>
    <phoneticPr fontId="13"/>
  </si>
  <si>
    <t>LA350S-0229449</t>
    <phoneticPr fontId="13"/>
  </si>
  <si>
    <t>LA350S-0226750</t>
    <phoneticPr fontId="13"/>
  </si>
  <si>
    <t>MH85S-117686</t>
    <phoneticPr fontId="13"/>
  </si>
  <si>
    <t>JF3-1537849</t>
    <phoneticPr fontId="13"/>
  </si>
  <si>
    <t>B33W-0003090</t>
    <phoneticPr fontId="13"/>
  </si>
  <si>
    <t>ｵﾘｯｸｽ福岡（ｱｲｵｰｸ)</t>
    <rPh sb="5" eb="7">
      <t>フクオカ</t>
    </rPh>
    <phoneticPr fontId="13"/>
  </si>
  <si>
    <t>LA350S-0195972</t>
    <phoneticPr fontId="13"/>
  </si>
  <si>
    <t>JF5-1013250</t>
    <phoneticPr fontId="13"/>
  </si>
  <si>
    <t>JF5-1013241</t>
    <phoneticPr fontId="13"/>
  </si>
  <si>
    <t>JF5-1013246</t>
    <phoneticPr fontId="13"/>
  </si>
  <si>
    <t>JF5-1013234</t>
    <phoneticPr fontId="13"/>
  </si>
  <si>
    <t>JF5-1013244</t>
    <phoneticPr fontId="13"/>
  </si>
  <si>
    <t>JF3-5091164</t>
    <phoneticPr fontId="13"/>
  </si>
  <si>
    <t>JF3-5086467</t>
    <phoneticPr fontId="13"/>
  </si>
  <si>
    <t>27-001</t>
    <phoneticPr fontId="13"/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</si>
  <si>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</si>
  <si>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</si>
  <si>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</si>
  <si>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</si>
  <si>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</si>
  <si>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</si>
  <si>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</si>
  <si>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</si>
  <si>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</si>
  <si>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</si>
  <si>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</si>
  <si>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</si>
  <si>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</si>
  <si>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</si>
  <si>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</si>
  <si>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</si>
  <si>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</si>
  <si>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</si>
  <si>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</si>
  <si>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</si>
  <si>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</si>
  <si>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</si>
  <si>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</si>
  <si>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</si>
  <si>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</si>
  <si>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</si>
  <si>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</si>
  <si>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</si>
  <si>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</si>
  <si>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</si>
  <si>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</si>
  <si>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</si>
  <si>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</si>
  <si>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</si>
  <si>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</si>
  <si>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</si>
  <si>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</si>
  <si>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</si>
  <si>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</si>
  <si>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</si>
  <si>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</si>
  <si>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</si>
  <si>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</si>
  <si>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</si>
  <si>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</si>
  <si>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</si>
  <si>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</si>
  <si>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</si>
  <si>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</si>
  <si>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</si>
  <si>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</si>
  <si>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</si>
  <si>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</si>
  <si>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</si>
  <si>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</si>
  <si>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</si>
  <si>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</si>
  <si>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</si>
  <si>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</si>
  <si>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</si>
  <si>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</si>
  <si>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</si>
  <si>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</si>
  <si>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</si>
  <si>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</si>
  <si>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</si>
  <si>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</si>
  <si>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</si>
  <si>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</si>
  <si>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</si>
  <si>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</si>
  <si>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</si>
  <si>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</si>
  <si>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</si>
  <si>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</si>
  <si>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</si>
  <si>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</si>
  <si>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</si>
  <si>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</si>
  <si>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</si>
  <si>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</si>
  <si>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</si>
  <si>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27-084</t>
  </si>
  <si>
    <t>27-085</t>
  </si>
  <si>
    <t>27-086</t>
  </si>
  <si>
    <t>27-087</t>
  </si>
  <si>
    <t>27-088</t>
  </si>
  <si>
    <t>27-089</t>
  </si>
  <si>
    <t>27-090</t>
  </si>
  <si>
    <t>27-091</t>
  </si>
  <si>
    <t>27-092</t>
  </si>
  <si>
    <t>27-093</t>
  </si>
  <si>
    <t>27-094</t>
  </si>
  <si>
    <t>27-095</t>
  </si>
  <si>
    <t>27-096</t>
  </si>
  <si>
    <t>27-097</t>
  </si>
  <si>
    <t>27-098</t>
  </si>
  <si>
    <t>27-099</t>
  </si>
  <si>
    <t>27-100</t>
  </si>
  <si>
    <t>27-101</t>
  </si>
  <si>
    <t>27-102</t>
  </si>
  <si>
    <t>27-103</t>
  </si>
  <si>
    <t>27-104</t>
  </si>
  <si>
    <t>27-105</t>
  </si>
  <si>
    <t>27-106</t>
  </si>
  <si>
    <t>27-107</t>
  </si>
  <si>
    <t>27-108</t>
  </si>
  <si>
    <t>27-109</t>
  </si>
  <si>
    <t>27-111</t>
  </si>
  <si>
    <t>27-112</t>
  </si>
  <si>
    <t>27-113</t>
  </si>
  <si>
    <t>27-114</t>
  </si>
  <si>
    <t>27-115</t>
  </si>
  <si>
    <t>27-116</t>
  </si>
  <si>
    <t>27-117</t>
  </si>
  <si>
    <t>27-118</t>
  </si>
  <si>
    <t>27-119</t>
  </si>
  <si>
    <t>27-120</t>
  </si>
  <si>
    <t>27-121</t>
  </si>
  <si>
    <t>27-122</t>
  </si>
  <si>
    <t>27-123</t>
  </si>
  <si>
    <t>27-124</t>
  </si>
  <si>
    <t>27-125</t>
  </si>
  <si>
    <t>27-126</t>
  </si>
  <si>
    <t>27-127</t>
  </si>
  <si>
    <t>27-128</t>
  </si>
  <si>
    <t>27-129</t>
  </si>
  <si>
    <t>27-130</t>
  </si>
  <si>
    <t>27-131</t>
  </si>
  <si>
    <t>27-132</t>
  </si>
  <si>
    <t>27-133</t>
  </si>
  <si>
    <t>27-134</t>
  </si>
  <si>
    <t>27-135</t>
  </si>
  <si>
    <t>27-136</t>
  </si>
  <si>
    <t>27-137</t>
  </si>
  <si>
    <t>27-138</t>
  </si>
  <si>
    <t>27-139</t>
  </si>
  <si>
    <t>27-140</t>
  </si>
  <si>
    <t>27-141</t>
  </si>
  <si>
    <t>27-142</t>
  </si>
  <si>
    <t>27-143</t>
  </si>
  <si>
    <t>27-145</t>
  </si>
  <si>
    <t>27-146</t>
  </si>
  <si>
    <t>27-147</t>
  </si>
  <si>
    <t>27-148</t>
  </si>
  <si>
    <t>27-149</t>
  </si>
  <si>
    <t>27-150</t>
  </si>
  <si>
    <t>27-151</t>
  </si>
  <si>
    <t>27-152</t>
  </si>
  <si>
    <t>27-153</t>
  </si>
  <si>
    <t>27-154</t>
  </si>
  <si>
    <t>27-155</t>
  </si>
  <si>
    <t>27-156</t>
  </si>
  <si>
    <t>27-157</t>
  </si>
  <si>
    <t>27-158</t>
  </si>
  <si>
    <t>27-159</t>
  </si>
  <si>
    <t>27-160</t>
  </si>
  <si>
    <t>27-161</t>
  </si>
  <si>
    <t>27-162</t>
  </si>
  <si>
    <t>27-163</t>
  </si>
  <si>
    <t>27-164</t>
  </si>
  <si>
    <t>27-165</t>
  </si>
  <si>
    <t>27-166</t>
  </si>
  <si>
    <t>27-167</t>
  </si>
  <si>
    <t>27-168</t>
  </si>
  <si>
    <t>27-169</t>
  </si>
  <si>
    <t>27-170</t>
  </si>
  <si>
    <t>27-171</t>
  </si>
  <si>
    <t>27-172</t>
  </si>
  <si>
    <t>27-173</t>
  </si>
  <si>
    <t>27-174</t>
  </si>
  <si>
    <t>27-175</t>
  </si>
  <si>
    <t>27-176</t>
  </si>
  <si>
    <t>27-177</t>
  </si>
  <si>
    <t>27-178</t>
  </si>
  <si>
    <t>27-179</t>
  </si>
  <si>
    <t>27-180</t>
  </si>
  <si>
    <t>27-181</t>
  </si>
  <si>
    <t>27-182</t>
  </si>
  <si>
    <t>27-183</t>
  </si>
  <si>
    <t>27-184</t>
  </si>
  <si>
    <t>27-185</t>
  </si>
  <si>
    <t>27-186</t>
  </si>
  <si>
    <t>27-187</t>
  </si>
  <si>
    <t>27-188</t>
  </si>
  <si>
    <t>27-189</t>
  </si>
  <si>
    <t>27-190</t>
  </si>
  <si>
    <t>27-191</t>
  </si>
  <si>
    <t>27-192</t>
  </si>
  <si>
    <t>27-193</t>
  </si>
  <si>
    <t>27-194</t>
  </si>
  <si>
    <t>27-195</t>
  </si>
  <si>
    <t>27-196</t>
  </si>
  <si>
    <t>27-197</t>
  </si>
  <si>
    <t>27-198</t>
  </si>
  <si>
    <t>27-199</t>
  </si>
  <si>
    <t>27-200</t>
  </si>
  <si>
    <t>27-201</t>
  </si>
  <si>
    <t>27-202</t>
  </si>
  <si>
    <t>27-203</t>
  </si>
  <si>
    <t>27-204</t>
  </si>
  <si>
    <t>27-205</t>
  </si>
  <si>
    <t>27-206</t>
  </si>
  <si>
    <t>27-207</t>
  </si>
  <si>
    <t>27-208</t>
  </si>
  <si>
    <t>27-209</t>
  </si>
  <si>
    <t>27-210</t>
  </si>
  <si>
    <t>27-211</t>
  </si>
  <si>
    <t>27-212</t>
  </si>
  <si>
    <t>27-213</t>
  </si>
  <si>
    <t>27-214</t>
  </si>
  <si>
    <t>27-215</t>
  </si>
  <si>
    <t>27-216</t>
  </si>
  <si>
    <t>27-217</t>
  </si>
  <si>
    <t>27-218</t>
  </si>
  <si>
    <t>27-219</t>
  </si>
  <si>
    <t>27-220</t>
  </si>
  <si>
    <t>27-221</t>
  </si>
  <si>
    <t>27-222</t>
  </si>
  <si>
    <t>27-223</t>
  </si>
  <si>
    <t>27-224</t>
  </si>
  <si>
    <t>27-225</t>
  </si>
  <si>
    <t>27-226</t>
  </si>
  <si>
    <t>27-227</t>
  </si>
  <si>
    <t>27-228</t>
  </si>
  <si>
    <t>27-229</t>
  </si>
  <si>
    <t>27-230</t>
  </si>
  <si>
    <t>27-231</t>
  </si>
  <si>
    <t>27-232</t>
  </si>
  <si>
    <t>27-233</t>
  </si>
  <si>
    <t>27-234</t>
  </si>
  <si>
    <t>27-235</t>
  </si>
  <si>
    <t>27-236</t>
  </si>
  <si>
    <t>27-237</t>
  </si>
  <si>
    <t>27-238</t>
  </si>
  <si>
    <t>27-239</t>
  </si>
  <si>
    <t>27-240</t>
  </si>
  <si>
    <t>27-241</t>
  </si>
  <si>
    <t>27-242</t>
  </si>
  <si>
    <t>27-243</t>
  </si>
  <si>
    <t>27-244</t>
  </si>
  <si>
    <t>27-245</t>
  </si>
  <si>
    <t>27-246</t>
  </si>
  <si>
    <t>27-247</t>
  </si>
  <si>
    <t>27-248</t>
  </si>
  <si>
    <t>27-249</t>
  </si>
  <si>
    <t>27-250</t>
  </si>
  <si>
    <t>27-251</t>
  </si>
  <si>
    <t>27-252</t>
  </si>
  <si>
    <t>27-253</t>
  </si>
  <si>
    <t>27-254</t>
  </si>
  <si>
    <t>27-255</t>
  </si>
  <si>
    <t>27-256</t>
  </si>
  <si>
    <t>27-257</t>
  </si>
  <si>
    <t>27-258</t>
  </si>
  <si>
    <t>27-259</t>
  </si>
  <si>
    <t>27-260</t>
  </si>
  <si>
    <t>27-261</t>
  </si>
  <si>
    <t>27-262</t>
  </si>
  <si>
    <t>27-263</t>
  </si>
  <si>
    <t>27-264</t>
  </si>
  <si>
    <t>27-265</t>
  </si>
  <si>
    <t>27-266</t>
  </si>
  <si>
    <t>27-267</t>
  </si>
  <si>
    <t>27-268</t>
  </si>
  <si>
    <t>27-269</t>
  </si>
  <si>
    <t>27-270</t>
  </si>
  <si>
    <t>27-271</t>
  </si>
  <si>
    <t>27-272</t>
  </si>
  <si>
    <t>27-273</t>
  </si>
  <si>
    <t>27-274</t>
  </si>
  <si>
    <t>27-275</t>
  </si>
  <si>
    <t>27-276</t>
  </si>
  <si>
    <t>27-277</t>
  </si>
  <si>
    <t>27-278</t>
  </si>
  <si>
    <t>27-279</t>
  </si>
  <si>
    <t>27-280</t>
  </si>
  <si>
    <t>27-281</t>
  </si>
  <si>
    <t>27-282</t>
  </si>
  <si>
    <t>27-283</t>
  </si>
  <si>
    <t>27-284</t>
  </si>
  <si>
    <t>27-285</t>
  </si>
  <si>
    <t>27-286</t>
  </si>
  <si>
    <t>27-287</t>
  </si>
  <si>
    <t>27-288</t>
  </si>
  <si>
    <t>27-289</t>
  </si>
  <si>
    <t>27-290</t>
  </si>
  <si>
    <t>27-291</t>
  </si>
  <si>
    <t>27-292</t>
  </si>
  <si>
    <t>27-293</t>
  </si>
  <si>
    <t>27-294</t>
  </si>
  <si>
    <t>27-295</t>
  </si>
  <si>
    <t>27-296</t>
  </si>
  <si>
    <t>27-297</t>
  </si>
  <si>
    <t>27-298</t>
  </si>
  <si>
    <t>27-299</t>
  </si>
  <si>
    <t>27-300</t>
  </si>
  <si>
    <t>27-301</t>
  </si>
  <si>
    <t>27-302</t>
  </si>
  <si>
    <t>27-303</t>
  </si>
  <si>
    <t>27-304</t>
  </si>
  <si>
    <t>27-305</t>
  </si>
  <si>
    <t>27-306</t>
  </si>
  <si>
    <t>27-307</t>
  </si>
  <si>
    <t>27-308</t>
  </si>
  <si>
    <t>27-309</t>
  </si>
  <si>
    <t>27-310</t>
  </si>
  <si>
    <t>27-311</t>
  </si>
  <si>
    <t>27-312</t>
  </si>
  <si>
    <t>27-313</t>
  </si>
  <si>
    <t>27-314</t>
  </si>
  <si>
    <t>27-315</t>
  </si>
  <si>
    <t>27-316</t>
  </si>
  <si>
    <t>27-317</t>
  </si>
  <si>
    <t>27-318</t>
  </si>
  <si>
    <t>27-319</t>
  </si>
  <si>
    <t>27-320</t>
  </si>
  <si>
    <t>27-321</t>
  </si>
  <si>
    <t>27-322</t>
  </si>
  <si>
    <t>27-323</t>
  </si>
  <si>
    <t>27-324</t>
  </si>
  <si>
    <t>27-325</t>
  </si>
  <si>
    <t>27-326</t>
  </si>
  <si>
    <t>27-327</t>
  </si>
  <si>
    <t>27-328</t>
  </si>
  <si>
    <t>27-329</t>
  </si>
  <si>
    <t>27-330</t>
  </si>
  <si>
    <t>27-331</t>
  </si>
  <si>
    <t>27-332</t>
  </si>
  <si>
    <t>27-333</t>
  </si>
  <si>
    <t>27-334</t>
  </si>
  <si>
    <t>27-335</t>
  </si>
  <si>
    <t>27-336</t>
  </si>
  <si>
    <t>27-337</t>
  </si>
  <si>
    <t>27-338</t>
  </si>
  <si>
    <t>27-339</t>
  </si>
  <si>
    <t>27-340</t>
  </si>
  <si>
    <t>27-341</t>
  </si>
  <si>
    <t>27-342</t>
  </si>
  <si>
    <t>27-343</t>
  </si>
  <si>
    <t>27-344</t>
  </si>
  <si>
    <t>27-345</t>
  </si>
  <si>
    <t>27-346</t>
  </si>
  <si>
    <t>27-347</t>
  </si>
  <si>
    <t>27-348</t>
  </si>
  <si>
    <t>27-349</t>
  </si>
  <si>
    <t>27-350</t>
  </si>
  <si>
    <t>27-351</t>
  </si>
  <si>
    <t>27-352</t>
  </si>
  <si>
    <t>27-353</t>
  </si>
  <si>
    <t>27-354</t>
  </si>
  <si>
    <t>27-355</t>
  </si>
  <si>
    <t>27-356</t>
  </si>
  <si>
    <t>27-357</t>
  </si>
  <si>
    <t>27-358</t>
  </si>
  <si>
    <t>27-359</t>
  </si>
  <si>
    <t>27-360</t>
  </si>
  <si>
    <t>27-361</t>
  </si>
  <si>
    <t>27-362</t>
  </si>
  <si>
    <t>27-363</t>
  </si>
  <si>
    <t>27-364</t>
  </si>
  <si>
    <t>27-365</t>
  </si>
  <si>
    <t>27-366</t>
  </si>
  <si>
    <t>27-367</t>
  </si>
  <si>
    <t>27-368</t>
  </si>
  <si>
    <t>27-369</t>
  </si>
  <si>
    <t>27-370</t>
  </si>
  <si>
    <t>27-371</t>
  </si>
  <si>
    <t>27-372</t>
  </si>
  <si>
    <t>27-373</t>
  </si>
  <si>
    <t>27-374</t>
  </si>
  <si>
    <t>27-375</t>
  </si>
  <si>
    <t>27-376</t>
  </si>
  <si>
    <t>27-377</t>
  </si>
  <si>
    <t>27-378</t>
  </si>
  <si>
    <t>27-379</t>
  </si>
  <si>
    <t>27-380</t>
  </si>
  <si>
    <t>27-381</t>
  </si>
  <si>
    <t>27-382</t>
  </si>
  <si>
    <t>27-383</t>
  </si>
  <si>
    <t>27-384</t>
  </si>
  <si>
    <t>27-385</t>
  </si>
  <si>
    <t>27-386</t>
  </si>
  <si>
    <t>27-387</t>
  </si>
  <si>
    <t>27-388</t>
  </si>
  <si>
    <t>27-389</t>
  </si>
  <si>
    <t>27-390</t>
  </si>
  <si>
    <t>27-391</t>
  </si>
  <si>
    <t>27-392</t>
  </si>
  <si>
    <t>27-393</t>
  </si>
  <si>
    <t>27-394</t>
  </si>
  <si>
    <t>27-395</t>
  </si>
  <si>
    <t>27-396</t>
  </si>
  <si>
    <t>27-397</t>
  </si>
  <si>
    <t>27-398</t>
  </si>
  <si>
    <t>27-399</t>
  </si>
  <si>
    <t>27-400</t>
  </si>
  <si>
    <t>27-401</t>
  </si>
  <si>
    <t>27-402</t>
  </si>
  <si>
    <t>27-403</t>
  </si>
  <si>
    <t>27-404</t>
  </si>
  <si>
    <t>27-405</t>
  </si>
  <si>
    <t>27-406</t>
  </si>
  <si>
    <t>27-407</t>
  </si>
  <si>
    <t>27-408</t>
  </si>
  <si>
    <t>27-409</t>
  </si>
  <si>
    <t>27-410</t>
  </si>
  <si>
    <t>27-411</t>
  </si>
  <si>
    <t>27-412</t>
  </si>
  <si>
    <t>27-413</t>
  </si>
  <si>
    <t>27-414</t>
  </si>
  <si>
    <t>27-415</t>
  </si>
  <si>
    <t>27-416</t>
  </si>
  <si>
    <t>27-417</t>
  </si>
  <si>
    <t>27-418</t>
  </si>
  <si>
    <t>27-419</t>
  </si>
  <si>
    <t>27-420</t>
  </si>
  <si>
    <t>27-421</t>
  </si>
  <si>
    <t>27-422</t>
  </si>
  <si>
    <t>27-423</t>
  </si>
  <si>
    <t>27-424</t>
  </si>
  <si>
    <t>27-425</t>
  </si>
  <si>
    <t>27-426</t>
  </si>
  <si>
    <t>27-427</t>
  </si>
  <si>
    <t>27-428</t>
  </si>
  <si>
    <t>27-429</t>
  </si>
  <si>
    <t>27-430</t>
  </si>
  <si>
    <t>27-431</t>
  </si>
  <si>
    <t>27-432</t>
  </si>
  <si>
    <t>27-433</t>
  </si>
  <si>
    <t>27-434</t>
  </si>
  <si>
    <t>27-435</t>
  </si>
  <si>
    <t>27-436</t>
  </si>
  <si>
    <t>27-437</t>
  </si>
  <si>
    <t>27-438</t>
  </si>
  <si>
    <t>27-439</t>
  </si>
  <si>
    <t>27-440</t>
  </si>
  <si>
    <t>27-441</t>
  </si>
  <si>
    <t>27-442</t>
  </si>
  <si>
    <t>27-443</t>
  </si>
  <si>
    <t>27-444</t>
  </si>
  <si>
    <t>27-445</t>
  </si>
  <si>
    <t>27-446</t>
  </si>
  <si>
    <t>27-447</t>
  </si>
  <si>
    <t>27-448</t>
  </si>
  <si>
    <t>27-449</t>
  </si>
  <si>
    <t>27-450</t>
  </si>
  <si>
    <t>27-451</t>
  </si>
  <si>
    <t>27-452</t>
  </si>
  <si>
    <t>27-453</t>
  </si>
  <si>
    <t>27-454</t>
  </si>
  <si>
    <t>27-455</t>
  </si>
  <si>
    <t>27-456</t>
  </si>
  <si>
    <t>27-457</t>
  </si>
  <si>
    <t>27-458</t>
  </si>
  <si>
    <t>27-459</t>
  </si>
  <si>
    <t>27-460</t>
  </si>
  <si>
    <t>27-461</t>
  </si>
  <si>
    <t>27-462</t>
  </si>
  <si>
    <t>27-463</t>
  </si>
  <si>
    <t>27-464</t>
  </si>
  <si>
    <t>27-465</t>
  </si>
  <si>
    <t>27-466</t>
  </si>
  <si>
    <t>27-467</t>
  </si>
  <si>
    <t>27-468</t>
  </si>
  <si>
    <t>27-469</t>
  </si>
  <si>
    <t>27-470</t>
  </si>
  <si>
    <t>27-471</t>
  </si>
  <si>
    <t>27-472</t>
  </si>
  <si>
    <t>27-473</t>
  </si>
  <si>
    <t>27-474</t>
  </si>
  <si>
    <t>27-475</t>
  </si>
  <si>
    <t>27-476</t>
  </si>
  <si>
    <t>27-477</t>
  </si>
  <si>
    <t>27-478</t>
  </si>
  <si>
    <t>27-479</t>
  </si>
  <si>
    <t>27-480</t>
  </si>
  <si>
    <t>27-481</t>
  </si>
  <si>
    <t>27-482</t>
  </si>
  <si>
    <t>27-483</t>
  </si>
  <si>
    <t>27-484</t>
  </si>
  <si>
    <t>27-485</t>
  </si>
  <si>
    <t>27-486</t>
  </si>
  <si>
    <t>27-487</t>
  </si>
  <si>
    <t>27-488</t>
  </si>
  <si>
    <t>27-489</t>
  </si>
  <si>
    <t>27-490</t>
  </si>
  <si>
    <t>27-491</t>
  </si>
  <si>
    <t>27-492</t>
  </si>
  <si>
    <t>27-493</t>
  </si>
  <si>
    <t>27-494</t>
  </si>
  <si>
    <t>27-495</t>
  </si>
  <si>
    <t>27-496</t>
  </si>
  <si>
    <t>27-497</t>
  </si>
  <si>
    <t>27-498</t>
  </si>
  <si>
    <t>27-499</t>
  </si>
  <si>
    <t>27-500</t>
  </si>
  <si>
    <t>27-501</t>
  </si>
  <si>
    <t>27-502</t>
  </si>
  <si>
    <t>27-503</t>
  </si>
  <si>
    <t>27-504</t>
  </si>
  <si>
    <t>27-505</t>
  </si>
  <si>
    <t>27-506</t>
  </si>
  <si>
    <t>27-507</t>
  </si>
  <si>
    <t>27-508</t>
  </si>
  <si>
    <t>27-509</t>
  </si>
  <si>
    <t>27-510</t>
  </si>
  <si>
    <t>27-511</t>
  </si>
  <si>
    <t>27-512</t>
  </si>
  <si>
    <t>27-513</t>
  </si>
  <si>
    <t>27-514</t>
  </si>
  <si>
    <t>27-515</t>
  </si>
  <si>
    <t>27-516</t>
  </si>
  <si>
    <t>27-517</t>
  </si>
  <si>
    <t>27-518</t>
  </si>
  <si>
    <t>27-519</t>
  </si>
  <si>
    <t>27-520</t>
  </si>
  <si>
    <t>27-521</t>
  </si>
  <si>
    <t>27-522</t>
  </si>
  <si>
    <t>27-523</t>
  </si>
  <si>
    <t>27-524</t>
  </si>
  <si>
    <t>27-525</t>
  </si>
  <si>
    <t>27-526</t>
  </si>
  <si>
    <t>27-527</t>
  </si>
  <si>
    <t>27-528</t>
  </si>
  <si>
    <t>27-529</t>
  </si>
  <si>
    <t>27-530</t>
  </si>
  <si>
    <t>27-531</t>
  </si>
  <si>
    <t>27-532</t>
  </si>
  <si>
    <t>27-533</t>
  </si>
  <si>
    <t>27-534</t>
  </si>
  <si>
    <t>27-535</t>
  </si>
  <si>
    <t>27-536</t>
  </si>
  <si>
    <t>27-537</t>
  </si>
  <si>
    <t>27-538</t>
  </si>
  <si>
    <t>27-539</t>
  </si>
  <si>
    <t>27-540</t>
  </si>
  <si>
    <t>27-541</t>
  </si>
  <si>
    <t>27-542</t>
  </si>
  <si>
    <t>27-543</t>
  </si>
  <si>
    <t>27-544</t>
  </si>
  <si>
    <t>27-545</t>
  </si>
  <si>
    <t>27-546</t>
  </si>
  <si>
    <t>27-547</t>
  </si>
  <si>
    <t>27-548</t>
  </si>
  <si>
    <t>27-549</t>
  </si>
  <si>
    <t>27-550</t>
  </si>
  <si>
    <t>27-551</t>
  </si>
  <si>
    <t>27-552</t>
  </si>
  <si>
    <t>27-553</t>
  </si>
  <si>
    <t>27-554</t>
  </si>
  <si>
    <t>27-555</t>
  </si>
  <si>
    <t>27-556</t>
  </si>
  <si>
    <t>27-557</t>
  </si>
  <si>
    <t>27-558</t>
  </si>
  <si>
    <t>27-559</t>
  </si>
  <si>
    <t>27-560</t>
  </si>
  <si>
    <t>27-561</t>
  </si>
  <si>
    <t>27-562</t>
  </si>
  <si>
    <t>27-563</t>
  </si>
  <si>
    <t>27-564</t>
  </si>
  <si>
    <t>27-565</t>
  </si>
  <si>
    <t>27-566</t>
  </si>
  <si>
    <t>27-567</t>
  </si>
  <si>
    <t>27-568</t>
  </si>
  <si>
    <t>27-569</t>
  </si>
  <si>
    <t>27-570</t>
  </si>
  <si>
    <t>27-571</t>
  </si>
  <si>
    <t>27-572</t>
  </si>
  <si>
    <t>27-573</t>
  </si>
  <si>
    <t>27-574</t>
  </si>
  <si>
    <t>27-575</t>
  </si>
  <si>
    <t>27-576</t>
  </si>
  <si>
    <t>27-577</t>
  </si>
  <si>
    <t>27-578</t>
  </si>
  <si>
    <t>27-579</t>
  </si>
  <si>
    <t>27-580</t>
  </si>
  <si>
    <t>27-581</t>
  </si>
  <si>
    <t>27-582</t>
  </si>
  <si>
    <t>27-583</t>
  </si>
  <si>
    <t>27-584</t>
  </si>
  <si>
    <t>27-585</t>
  </si>
  <si>
    <t>27-586</t>
  </si>
  <si>
    <t>27-587</t>
  </si>
  <si>
    <t>27-588</t>
  </si>
  <si>
    <t>27-589</t>
  </si>
  <si>
    <t>27-590</t>
  </si>
  <si>
    <t>27-591</t>
  </si>
  <si>
    <t>27-592</t>
  </si>
  <si>
    <t>27-593</t>
  </si>
  <si>
    <t>27-594</t>
  </si>
  <si>
    <t>27-595</t>
  </si>
  <si>
    <t>27-596</t>
  </si>
  <si>
    <t>27-597</t>
  </si>
  <si>
    <t>27-599</t>
  </si>
  <si>
    <t>27-600</t>
  </si>
  <si>
    <t>27-601</t>
  </si>
  <si>
    <t>27-602</t>
  </si>
  <si>
    <t>27-603</t>
  </si>
  <si>
    <t>27-604</t>
  </si>
  <si>
    <t>27-605</t>
  </si>
  <si>
    <t>27-606</t>
  </si>
  <si>
    <t>27-607</t>
  </si>
  <si>
    <t>27-608</t>
  </si>
  <si>
    <t>27-609</t>
  </si>
  <si>
    <t>27-610</t>
  </si>
  <si>
    <t>27-611</t>
  </si>
  <si>
    <t>27-612</t>
  </si>
  <si>
    <t>27-613</t>
  </si>
  <si>
    <t>27-614</t>
  </si>
  <si>
    <t>27-615</t>
  </si>
  <si>
    <t>27-616</t>
  </si>
  <si>
    <t>27-617</t>
  </si>
  <si>
    <t>27-618</t>
  </si>
  <si>
    <t>27-619</t>
  </si>
  <si>
    <t>27-620</t>
  </si>
  <si>
    <t>27-621</t>
  </si>
  <si>
    <t>27-622</t>
  </si>
  <si>
    <t>27-623</t>
  </si>
  <si>
    <t>27-624</t>
  </si>
  <si>
    <t>27-625</t>
  </si>
  <si>
    <t>27-626</t>
  </si>
  <si>
    <t>27-627</t>
  </si>
  <si>
    <t>27-628</t>
  </si>
  <si>
    <t>27-629</t>
  </si>
  <si>
    <t>27-630</t>
  </si>
  <si>
    <t>27-631</t>
  </si>
  <si>
    <t>27-632</t>
  </si>
  <si>
    <t>27-633</t>
  </si>
  <si>
    <t>27-634</t>
  </si>
  <si>
    <t>27-635</t>
  </si>
  <si>
    <t>27-636</t>
  </si>
  <si>
    <t>27-637</t>
  </si>
  <si>
    <t>27-638</t>
  </si>
  <si>
    <t>27-639</t>
  </si>
  <si>
    <t>27-640</t>
  </si>
  <si>
    <t>27-641</t>
  </si>
  <si>
    <t>27-642</t>
  </si>
  <si>
    <t>27-643</t>
  </si>
  <si>
    <t>27-644</t>
  </si>
  <si>
    <t>27-645</t>
  </si>
  <si>
    <t>27-646</t>
  </si>
  <si>
    <t>27-647</t>
  </si>
  <si>
    <t>27-648</t>
  </si>
  <si>
    <t>27-649</t>
  </si>
  <si>
    <t>27-650</t>
  </si>
  <si>
    <t>27-651</t>
  </si>
  <si>
    <t>27-652</t>
  </si>
  <si>
    <t>27-653</t>
  </si>
  <si>
    <t>27-654</t>
  </si>
  <si>
    <t>27-655</t>
  </si>
  <si>
    <t>27-656</t>
  </si>
  <si>
    <t>27-657</t>
  </si>
  <si>
    <t>27-658</t>
  </si>
  <si>
    <t>27-659</t>
  </si>
  <si>
    <t>27-660</t>
  </si>
  <si>
    <t>27-661</t>
  </si>
  <si>
    <t>27-662</t>
  </si>
  <si>
    <t>27-663</t>
  </si>
  <si>
    <t>27-664</t>
  </si>
  <si>
    <t>27-665</t>
  </si>
  <si>
    <t>27-666</t>
  </si>
  <si>
    <t>27-667</t>
  </si>
  <si>
    <t>27-668</t>
  </si>
  <si>
    <t>27-669</t>
  </si>
  <si>
    <t>27-670</t>
  </si>
  <si>
    <t>27-671</t>
  </si>
  <si>
    <t>27-672</t>
  </si>
  <si>
    <t>27-673</t>
  </si>
  <si>
    <t>27-674</t>
  </si>
  <si>
    <t>27-675</t>
  </si>
  <si>
    <t>27-676</t>
  </si>
  <si>
    <t>27-677</t>
  </si>
  <si>
    <t>27-678</t>
  </si>
  <si>
    <t>27-679</t>
  </si>
  <si>
    <t>27-680</t>
  </si>
  <si>
    <t>27-681</t>
  </si>
  <si>
    <t>27-682</t>
  </si>
  <si>
    <t>27-683</t>
  </si>
  <si>
    <t>27-684</t>
  </si>
  <si>
    <t>27-685</t>
  </si>
  <si>
    <t>27-686</t>
  </si>
  <si>
    <t>27-687</t>
  </si>
  <si>
    <t>27-688</t>
  </si>
  <si>
    <t>27-689</t>
  </si>
  <si>
    <t>27-690</t>
  </si>
  <si>
    <t>27-691</t>
  </si>
  <si>
    <t>27-692</t>
  </si>
  <si>
    <t>27-693</t>
  </si>
  <si>
    <t>27-694</t>
  </si>
  <si>
    <t>27-695</t>
  </si>
  <si>
    <t>27-696</t>
  </si>
  <si>
    <t>27-697</t>
  </si>
  <si>
    <t>27-698</t>
  </si>
  <si>
    <t>27-699</t>
  </si>
  <si>
    <t>27-700</t>
  </si>
  <si>
    <t>27-701</t>
  </si>
  <si>
    <t>27-702</t>
  </si>
  <si>
    <t>27-703</t>
  </si>
  <si>
    <t>27-704</t>
  </si>
  <si>
    <t>27-705</t>
  </si>
  <si>
    <t>27-706</t>
  </si>
  <si>
    <t>27-707</t>
  </si>
  <si>
    <t>27-708</t>
  </si>
  <si>
    <t>27-709</t>
  </si>
  <si>
    <t>27-711</t>
  </si>
  <si>
    <t>27-712</t>
  </si>
  <si>
    <t>27-713</t>
  </si>
  <si>
    <t>27-714</t>
  </si>
  <si>
    <t>27-715</t>
  </si>
  <si>
    <t>27-716</t>
  </si>
  <si>
    <t>27-717</t>
  </si>
  <si>
    <t>27-718</t>
  </si>
  <si>
    <t>27-719</t>
  </si>
  <si>
    <t>27-720</t>
  </si>
  <si>
    <t>27-721</t>
  </si>
  <si>
    <t>27-722</t>
  </si>
  <si>
    <t>27-723</t>
  </si>
  <si>
    <t>27-724</t>
  </si>
  <si>
    <t>27-725</t>
  </si>
  <si>
    <t>27-726</t>
  </si>
  <si>
    <t>27-727</t>
  </si>
  <si>
    <t>27-728</t>
  </si>
  <si>
    <t>27-729</t>
  </si>
  <si>
    <t>27-730</t>
  </si>
  <si>
    <t>27-731</t>
  </si>
  <si>
    <t>27-732</t>
  </si>
  <si>
    <t>27-733</t>
  </si>
  <si>
    <t>27-734</t>
  </si>
  <si>
    <t>27-735</t>
  </si>
  <si>
    <t>27-736</t>
  </si>
  <si>
    <t>27-737</t>
  </si>
  <si>
    <t>27-738</t>
  </si>
  <si>
    <t>27-739</t>
  </si>
  <si>
    <t>27-740</t>
  </si>
  <si>
    <t>27-741</t>
  </si>
  <si>
    <t>27-742</t>
  </si>
  <si>
    <t>27-743</t>
  </si>
  <si>
    <t>27-744</t>
  </si>
  <si>
    <t>27-745</t>
  </si>
  <si>
    <t>27-746</t>
  </si>
  <si>
    <t>27-747</t>
  </si>
  <si>
    <t>27-748</t>
  </si>
  <si>
    <t>27-749</t>
  </si>
  <si>
    <t>27-750</t>
  </si>
  <si>
    <t>27-751</t>
  </si>
  <si>
    <t>27-752</t>
  </si>
  <si>
    <t>27-753</t>
  </si>
  <si>
    <t>27-754</t>
  </si>
  <si>
    <t>27-755</t>
  </si>
  <si>
    <t>27-756</t>
  </si>
  <si>
    <t>27-757</t>
  </si>
  <si>
    <t>27-758</t>
  </si>
  <si>
    <t>27-759</t>
  </si>
  <si>
    <t>27-760</t>
  </si>
  <si>
    <t>27-761</t>
  </si>
  <si>
    <t>27-762</t>
  </si>
  <si>
    <t>27-763</t>
  </si>
  <si>
    <t>27-764</t>
  </si>
  <si>
    <t>27-765</t>
  </si>
  <si>
    <t>27-766</t>
  </si>
  <si>
    <t>27-767</t>
  </si>
  <si>
    <t>27-768</t>
  </si>
  <si>
    <t>27-769</t>
  </si>
  <si>
    <t>27-770</t>
  </si>
  <si>
    <t>27-771</t>
  </si>
  <si>
    <t>27-772</t>
  </si>
  <si>
    <t>27-773</t>
  </si>
  <si>
    <t>27-774</t>
  </si>
  <si>
    <t>27-775</t>
  </si>
  <si>
    <t>27-776</t>
  </si>
  <si>
    <t>27-777</t>
  </si>
  <si>
    <t>27-778</t>
  </si>
  <si>
    <t>27-779</t>
  </si>
  <si>
    <t>27-780</t>
  </si>
  <si>
    <t>27-781</t>
  </si>
  <si>
    <t>27-782</t>
  </si>
  <si>
    <t>27-783</t>
  </si>
  <si>
    <t>27-784</t>
  </si>
  <si>
    <t>27-785</t>
  </si>
  <si>
    <t>27-786</t>
  </si>
  <si>
    <t>27-787</t>
  </si>
  <si>
    <t>27-788</t>
  </si>
  <si>
    <t>27-789</t>
  </si>
  <si>
    <t>27-790</t>
  </si>
  <si>
    <t>27-791</t>
  </si>
  <si>
    <t>27-792</t>
  </si>
  <si>
    <t>27-793</t>
  </si>
  <si>
    <t>27-794</t>
  </si>
  <si>
    <t>27-795</t>
  </si>
  <si>
    <t>27-796</t>
  </si>
  <si>
    <t>27-797</t>
  </si>
  <si>
    <t>27-798</t>
  </si>
  <si>
    <t>27-799</t>
  </si>
  <si>
    <t>27-800</t>
  </si>
  <si>
    <t>27-801</t>
  </si>
  <si>
    <t>27-802</t>
  </si>
  <si>
    <t>27-803</t>
  </si>
  <si>
    <t>27-804</t>
  </si>
  <si>
    <t>27-805</t>
  </si>
  <si>
    <t>27-806</t>
  </si>
  <si>
    <t>27-807</t>
  </si>
  <si>
    <t>27-808</t>
  </si>
  <si>
    <t>27-809</t>
  </si>
  <si>
    <t>27-810</t>
  </si>
  <si>
    <t>27-811</t>
  </si>
  <si>
    <t>27-812</t>
  </si>
  <si>
    <t>27-813</t>
  </si>
  <si>
    <t>27-814</t>
  </si>
  <si>
    <t>27-815</t>
  </si>
  <si>
    <t>27-816</t>
  </si>
  <si>
    <t>27-817</t>
  </si>
  <si>
    <t>27-818</t>
  </si>
  <si>
    <t>27-819</t>
  </si>
  <si>
    <t>27-820</t>
  </si>
  <si>
    <t>27-821</t>
  </si>
  <si>
    <t>27-822</t>
  </si>
  <si>
    <t>27-823</t>
  </si>
  <si>
    <t>27-824</t>
  </si>
  <si>
    <t>27-825</t>
  </si>
  <si>
    <t>27-826</t>
  </si>
  <si>
    <t>27-827</t>
  </si>
  <si>
    <t>27-828</t>
  </si>
  <si>
    <t>27-829</t>
  </si>
  <si>
    <t>27-830</t>
  </si>
  <si>
    <t>27-831</t>
  </si>
  <si>
    <t>27-832</t>
  </si>
  <si>
    <t>27-833</t>
  </si>
  <si>
    <t>27-834</t>
  </si>
  <si>
    <t>27-835</t>
  </si>
  <si>
    <t>27-836</t>
  </si>
  <si>
    <t>27-837</t>
  </si>
  <si>
    <t>27-838</t>
  </si>
  <si>
    <t>27-839</t>
  </si>
  <si>
    <t>27-840</t>
  </si>
  <si>
    <t>27-841</t>
  </si>
  <si>
    <t>27-842</t>
  </si>
  <si>
    <t>27-843</t>
  </si>
  <si>
    <t>27-844</t>
  </si>
  <si>
    <t>27-845</t>
  </si>
  <si>
    <t>27-846</t>
  </si>
  <si>
    <t>27-847</t>
  </si>
  <si>
    <t>27-848</t>
  </si>
  <si>
    <t>27-849</t>
  </si>
  <si>
    <t>27-850</t>
  </si>
  <si>
    <t>27-851</t>
  </si>
  <si>
    <t>27-852</t>
  </si>
  <si>
    <t>27-853</t>
  </si>
  <si>
    <t>27-854</t>
  </si>
  <si>
    <t>27-855</t>
  </si>
  <si>
    <t>27-856</t>
  </si>
  <si>
    <t>27-857</t>
  </si>
  <si>
    <t>27-858</t>
  </si>
  <si>
    <t>27-859</t>
  </si>
  <si>
    <t>27-860</t>
  </si>
  <si>
    <t>27-861</t>
  </si>
  <si>
    <t>27-862</t>
  </si>
  <si>
    <t>27-863</t>
  </si>
  <si>
    <t>27-864</t>
  </si>
  <si>
    <t>27-865</t>
  </si>
  <si>
    <t>27-866</t>
  </si>
  <si>
    <t>27-867</t>
  </si>
  <si>
    <t>27-868</t>
  </si>
  <si>
    <t>27-869</t>
  </si>
  <si>
    <t>27-870</t>
  </si>
  <si>
    <t>27-871</t>
  </si>
  <si>
    <t>27-872</t>
  </si>
  <si>
    <t>27-873</t>
  </si>
  <si>
    <t>27-874</t>
  </si>
  <si>
    <t>27-875</t>
  </si>
  <si>
    <t>27-876</t>
  </si>
  <si>
    <t>27-877</t>
  </si>
  <si>
    <t>27-878</t>
  </si>
  <si>
    <t>27-879</t>
  </si>
  <si>
    <t>27-880</t>
  </si>
  <si>
    <t>27-881</t>
  </si>
  <si>
    <t>27-882</t>
  </si>
  <si>
    <t>27-883</t>
  </si>
  <si>
    <t>27-884</t>
  </si>
  <si>
    <t>27-885</t>
  </si>
  <si>
    <t>27-886</t>
  </si>
  <si>
    <t>27-887</t>
  </si>
  <si>
    <t>27-888</t>
  </si>
  <si>
    <t>27-889</t>
  </si>
  <si>
    <t>27-890</t>
  </si>
  <si>
    <t>27-891</t>
  </si>
  <si>
    <t>27-892</t>
  </si>
  <si>
    <t>27-893</t>
  </si>
  <si>
    <t>27-894</t>
  </si>
  <si>
    <t>27-895</t>
  </si>
  <si>
    <t>27-896</t>
  </si>
  <si>
    <t>27-897</t>
  </si>
  <si>
    <t>27-898</t>
  </si>
  <si>
    <t>27-899</t>
  </si>
  <si>
    <t>27-900</t>
  </si>
  <si>
    <t>27-901</t>
  </si>
  <si>
    <t>27-902</t>
  </si>
  <si>
    <t>27-903</t>
  </si>
  <si>
    <t>27-904</t>
  </si>
  <si>
    <t>27-905</t>
  </si>
  <si>
    <t>27-906</t>
  </si>
  <si>
    <t>27-907</t>
  </si>
  <si>
    <t>27-908</t>
  </si>
  <si>
    <t>27-909</t>
  </si>
  <si>
    <t>27-910</t>
  </si>
  <si>
    <t>27-911</t>
  </si>
  <si>
    <t>27-912</t>
  </si>
  <si>
    <t>27-914</t>
  </si>
  <si>
    <t>27-915</t>
  </si>
  <si>
    <t>27-916</t>
  </si>
  <si>
    <t>27-917</t>
  </si>
  <si>
    <t>27-918</t>
  </si>
  <si>
    <t>27-919</t>
  </si>
  <si>
    <t>27-920</t>
  </si>
  <si>
    <t>27-921</t>
  </si>
  <si>
    <t>27-922</t>
  </si>
  <si>
    <t>27-923</t>
  </si>
  <si>
    <t>27-924</t>
  </si>
  <si>
    <t>27-925</t>
  </si>
  <si>
    <t>27-926</t>
  </si>
  <si>
    <t>27-927</t>
  </si>
  <si>
    <t>27-928</t>
  </si>
  <si>
    <t>27-929</t>
  </si>
  <si>
    <t>27-930</t>
  </si>
  <si>
    <t>27-931</t>
  </si>
  <si>
    <t>27-932</t>
  </si>
  <si>
    <t>27-933</t>
  </si>
  <si>
    <t>27-934</t>
  </si>
  <si>
    <t>27-935</t>
  </si>
  <si>
    <t>27-936</t>
  </si>
  <si>
    <t>27-937</t>
  </si>
  <si>
    <t>27-938</t>
  </si>
  <si>
    <t>27-939</t>
  </si>
  <si>
    <t>27-940</t>
  </si>
  <si>
    <t>27-941</t>
  </si>
  <si>
    <t>27-942</t>
  </si>
  <si>
    <t>27-943</t>
  </si>
  <si>
    <t>27-944</t>
  </si>
  <si>
    <t>27-945</t>
  </si>
  <si>
    <t>27-946</t>
  </si>
  <si>
    <t>27-947</t>
  </si>
  <si>
    <t>27-948</t>
  </si>
  <si>
    <t>27-949</t>
  </si>
  <si>
    <t>27-950</t>
  </si>
  <si>
    <t>27-951</t>
  </si>
  <si>
    <t>27-952</t>
  </si>
  <si>
    <t>27-953</t>
  </si>
  <si>
    <t>27-954</t>
  </si>
  <si>
    <t>27-955</t>
  </si>
  <si>
    <t>27-956</t>
  </si>
  <si>
    <t>27-957</t>
  </si>
  <si>
    <t>27-958</t>
  </si>
  <si>
    <t>27-959</t>
  </si>
  <si>
    <t>27-960</t>
  </si>
  <si>
    <t>27-961</t>
  </si>
  <si>
    <t>27-962</t>
  </si>
  <si>
    <t>27-963</t>
  </si>
  <si>
    <t>27-964</t>
  </si>
  <si>
    <t>27-965</t>
  </si>
  <si>
    <t>27-966</t>
  </si>
  <si>
    <t>27-967</t>
  </si>
  <si>
    <t>27-968</t>
  </si>
  <si>
    <t>27-969</t>
  </si>
  <si>
    <t>27-970</t>
  </si>
  <si>
    <t>27-971</t>
  </si>
  <si>
    <t>27-972</t>
  </si>
  <si>
    <t>27-973</t>
  </si>
  <si>
    <t>27-974</t>
  </si>
  <si>
    <t>27-975</t>
  </si>
  <si>
    <t>27-976</t>
  </si>
  <si>
    <t>27-977</t>
  </si>
  <si>
    <t>27-978</t>
  </si>
  <si>
    <t>27-979</t>
  </si>
  <si>
    <t>27-980</t>
  </si>
  <si>
    <t>27-981</t>
  </si>
  <si>
    <t>27-982</t>
  </si>
  <si>
    <t>社会福祉法人 福知山学園</t>
    <rPh sb="0" eb="2">
      <t>シャカイ</t>
    </rPh>
    <rPh sb="2" eb="4">
      <t>フクシ</t>
    </rPh>
    <rPh sb="4" eb="6">
      <t>ホウジン</t>
    </rPh>
    <rPh sb="7" eb="10">
      <t>フクチヤマ</t>
    </rPh>
    <rPh sb="10" eb="12">
      <t>ガクエン</t>
    </rPh>
    <phoneticPr fontId="13"/>
  </si>
  <si>
    <t>10/2</t>
    <phoneticPr fontId="13"/>
  </si>
  <si>
    <t>保証書 取説 ﾅﾋﾞ取 ｷｰﾚｽ ﾘﾓｺﾝ SD ﾜﾝｵｰﾅｰ</t>
    <rPh sb="0" eb="3">
      <t>ホショウショ</t>
    </rPh>
    <rPh sb="4" eb="6">
      <t>トリセツ</t>
    </rPh>
    <rPh sb="10" eb="11">
      <t>トリ</t>
    </rPh>
    <phoneticPr fontId="13"/>
  </si>
  <si>
    <t>豊橋 581 す 1588</t>
    <rPh sb="0" eb="2">
      <t>トヨハシ</t>
    </rPh>
    <phoneticPr fontId="13"/>
  </si>
  <si>
    <t>WMWYU720203E33539</t>
    <phoneticPr fontId="13"/>
  </si>
  <si>
    <t>高知 331 そ 425</t>
    <rPh sb="0" eb="2">
      <t>コウチ</t>
    </rPh>
    <phoneticPr fontId="13"/>
  </si>
  <si>
    <t>22/7</t>
    <phoneticPr fontId="13"/>
  </si>
  <si>
    <t>山口 581 け 8335</t>
    <rPh sb="0" eb="2">
      <t>ヤマグチ</t>
    </rPh>
    <phoneticPr fontId="13"/>
  </si>
  <si>
    <t>北九州 594 ゆ 17</t>
    <rPh sb="0" eb="3">
      <t>キタキュウシュウ</t>
    </rPh>
    <phoneticPr fontId="13"/>
  </si>
  <si>
    <t>BMWﾐﾆ　ﾜﾝ ｳﾞｨｸﾄﾘｱ</t>
    <phoneticPr fontId="13"/>
  </si>
  <si>
    <t>ﾀﾞｰｸｸﾞﾘｰﾝ</t>
    <phoneticPr fontId="13"/>
  </si>
  <si>
    <t>WMWLV920202D67499</t>
    <phoneticPr fontId="13"/>
  </si>
  <si>
    <t>所沢 377 る 358</t>
    <rPh sb="0" eb="2">
      <t>トコロザワ</t>
    </rPh>
    <phoneticPr fontId="13"/>
  </si>
  <si>
    <t>N　BOX GLﾎﾝﾀﾞｾﾝｼﾝｸﾞ</t>
    <phoneticPr fontId="13"/>
  </si>
  <si>
    <t>和泉 581 よ 1243</t>
    <rPh sb="0" eb="2">
      <t>イズミ</t>
    </rPh>
    <phoneticPr fontId="13"/>
  </si>
  <si>
    <t>整備手帳 ﾚﾝﾀｶｰ</t>
    <rPh sb="0" eb="4">
      <t>セイビテチョウ</t>
    </rPh>
    <phoneticPr fontId="13"/>
  </si>
  <si>
    <t>福岡 582 ぬ 4358</t>
    <rPh sb="0" eb="2">
      <t>フクオカ</t>
    </rPh>
    <phoneticPr fontId="13"/>
  </si>
  <si>
    <t>福岡 582 ぬ 4348</t>
    <rPh sb="0" eb="2">
      <t>フクオカ</t>
    </rPh>
    <phoneticPr fontId="13"/>
  </si>
  <si>
    <t>福岡 582 ぬ 4350</t>
    <rPh sb="0" eb="2">
      <t>フクオカ</t>
    </rPh>
    <phoneticPr fontId="13"/>
  </si>
  <si>
    <t>福岡 582 ぬ 4352</t>
    <rPh sb="0" eb="2">
      <t>フクオカ</t>
    </rPh>
    <phoneticPr fontId="13"/>
  </si>
  <si>
    <t>福岡 582 ぬ 4346</t>
    <rPh sb="0" eb="2">
      <t>フクオカ</t>
    </rPh>
    <phoneticPr fontId="13"/>
  </si>
  <si>
    <t>27-983</t>
  </si>
  <si>
    <t>27-984</t>
  </si>
  <si>
    <t>27-985</t>
  </si>
  <si>
    <t>27-986</t>
  </si>
  <si>
    <t>S500P-0186627</t>
    <phoneticPr fontId="13"/>
  </si>
  <si>
    <t>ﾊｲｾﾞｯﾄﾄﾗｯｸ</t>
    <phoneticPr fontId="13"/>
  </si>
  <si>
    <t>ｶﾛｰﾗﾌｨｰﾙﾀﾞｰﾊｲﾌﾞﾘｯﾄﾞG ﾀﾞﾌﾞﾙﾊﾞｲﾋﾞｰ</t>
    <phoneticPr fontId="13"/>
  </si>
  <si>
    <t>NKE165-8040321</t>
    <phoneticPr fontId="13"/>
  </si>
  <si>
    <t>YV1XZBBMFL2342864</t>
    <phoneticPr fontId="13"/>
  </si>
  <si>
    <t>ﾌﾟﾛﾎﾞｯｸｽ DXｺﾝﾌｫｰﾄ ｾｰﾌﾃｨｾﾝｽ</t>
    <phoneticPr fontId="13"/>
  </si>
  <si>
    <t>NCP160-0148319</t>
    <phoneticPr fontId="13"/>
  </si>
  <si>
    <t>MH34S-141816</t>
    <phoneticPr fontId="13"/>
  </si>
  <si>
    <t>HAA神戸(ﾜﾝｸﾘ)</t>
    <rPh sb="3" eb="5">
      <t>コウベ</t>
    </rPh>
    <phoneticPr fontId="13"/>
  </si>
  <si>
    <t>HAA神戸(ﾜﾝｸﾘ)</t>
    <phoneticPr fontId="13"/>
  </si>
  <si>
    <t>神戸 590 ち 116</t>
    <rPh sb="0" eb="2">
      <t>コウベ</t>
    </rPh>
    <phoneticPr fontId="13"/>
  </si>
  <si>
    <t>車検証原本ｾﾙｶへ返送10/3</t>
    <rPh sb="0" eb="3">
      <t>シャケンショウ</t>
    </rPh>
    <rPh sb="3" eb="5">
      <t>ゲンポン</t>
    </rPh>
    <rPh sb="9" eb="11">
      <t>ヘンソウ</t>
    </rPh>
    <phoneticPr fontId="13"/>
  </si>
  <si>
    <t>なにわ 39A ま 8765</t>
    <phoneticPr fontId="13"/>
  </si>
  <si>
    <t>双日ｵｰﾄｸﾞﾙｰﾌﾟ大阪株式会社</t>
    <rPh sb="0" eb="2">
      <t>ソウビ</t>
    </rPh>
    <rPh sb="11" eb="13">
      <t>オオサカ</t>
    </rPh>
    <rPh sb="13" eb="17">
      <t>カブシキガイシャ</t>
    </rPh>
    <phoneticPr fontId="13"/>
  </si>
  <si>
    <t>鳥取 583 み 900</t>
    <rPh sb="0" eb="2">
      <t>トットリ</t>
    </rPh>
    <phoneticPr fontId="13"/>
  </si>
  <si>
    <t>株式会社Booth tha Life</t>
    <rPh sb="0" eb="4">
      <t>カブシキガイシャ</t>
    </rPh>
    <phoneticPr fontId="13"/>
  </si>
  <si>
    <t>堺 583 え 1048</t>
    <rPh sb="0" eb="1">
      <t>サカイ</t>
    </rPh>
    <phoneticPr fontId="13"/>
  </si>
  <si>
    <t>有限会社矢唐</t>
    <rPh sb="0" eb="4">
      <t>ユウゲンガイシャ</t>
    </rPh>
    <rPh sb="4" eb="5">
      <t>ヤ</t>
    </rPh>
    <rPh sb="5" eb="6">
      <t>トウ</t>
    </rPh>
    <phoneticPr fontId="13"/>
  </si>
  <si>
    <t>保証書 取説 ｽﾍﾟｱｷｰ SD ﾅﾋﾞ取 ﾜﾝｵｰﾅｰ</t>
    <rPh sb="0" eb="3">
      <t>ホショウショ</t>
    </rPh>
    <rPh sb="4" eb="6">
      <t>トリセツ</t>
    </rPh>
    <rPh sb="20" eb="21">
      <t>トリ</t>
    </rPh>
    <phoneticPr fontId="13"/>
  </si>
  <si>
    <t>眞鍋 巧</t>
    <rPh sb="0" eb="2">
      <t>マナベ</t>
    </rPh>
    <rPh sb="3" eb="4">
      <t>タクミ</t>
    </rPh>
    <phoneticPr fontId="13"/>
  </si>
  <si>
    <t>品川 39A み 1922</t>
    <rPh sb="0" eb="2">
      <t>シナガワ</t>
    </rPh>
    <phoneticPr fontId="13"/>
  </si>
  <si>
    <t>畑澤 雄太</t>
    <rPh sb="0" eb="1">
      <t>ハタケ</t>
    </rPh>
    <rPh sb="1" eb="2">
      <t>サワ</t>
    </rPh>
    <rPh sb="3" eb="5">
      <t>ユウタ</t>
    </rPh>
    <phoneticPr fontId="13"/>
  </si>
  <si>
    <t>川畑 泰仁</t>
    <rPh sb="0" eb="2">
      <t>カワバタ</t>
    </rPh>
    <rPh sb="3" eb="4">
      <t>ヤスシ</t>
    </rPh>
    <rPh sb="4" eb="5">
      <t>ジン</t>
    </rPh>
    <phoneticPr fontId="13"/>
  </si>
  <si>
    <t>保証書 AI取説 ｷｰﾚｽ SD</t>
    <rPh sb="0" eb="3">
      <t>ホショウショ</t>
    </rPh>
    <rPh sb="6" eb="8">
      <t>トリセツ</t>
    </rPh>
    <phoneticPr fontId="13"/>
  </si>
  <si>
    <t>豊橋 332 す 1209</t>
    <rPh sb="0" eb="2">
      <t>トヨハシ</t>
    </rPh>
    <phoneticPr fontId="13"/>
  </si>
  <si>
    <t>保証書 取説 ｽﾍﾟｱｷｰ(車内)ﾜﾝｵｰﾅｰ</t>
    <rPh sb="0" eb="3">
      <t>ホショウショ</t>
    </rPh>
    <rPh sb="4" eb="6">
      <t>トリセツ</t>
    </rPh>
    <rPh sb="14" eb="16">
      <t>シャナイ</t>
    </rPh>
    <phoneticPr fontId="13"/>
  </si>
  <si>
    <t>尾張小牧 399 の 7551</t>
    <rPh sb="0" eb="4">
      <t>オワリコマキ</t>
    </rPh>
    <phoneticPr fontId="13"/>
  </si>
  <si>
    <t>練馬 336 ふ 309</t>
    <rPh sb="0" eb="2">
      <t>ネリマ</t>
    </rPh>
    <phoneticPr fontId="13"/>
  </si>
  <si>
    <t>株式会社ｴｽ・ｸﾙｰ</t>
    <rPh sb="0" eb="4">
      <t>カブシキガイシャ</t>
    </rPh>
    <phoneticPr fontId="13"/>
  </si>
  <si>
    <t>湘南 347 に 1108</t>
    <rPh sb="0" eb="2">
      <t>ショウナン</t>
    </rPh>
    <phoneticPr fontId="13"/>
  </si>
  <si>
    <t>菅原 博昭</t>
    <rPh sb="0" eb="2">
      <t>スガワラ</t>
    </rPh>
    <rPh sb="3" eb="5">
      <t>ヒロアキ</t>
    </rPh>
    <phoneticPr fontId="13"/>
  </si>
  <si>
    <t>鳥取 580 に 5312</t>
    <rPh sb="0" eb="2">
      <t>トットリ</t>
    </rPh>
    <phoneticPr fontId="13"/>
  </si>
  <si>
    <t>株式会社ﾎﾝﾀﾞｶｰｽﾞ鳥取</t>
    <rPh sb="0" eb="4">
      <t>カブシキガイシャ</t>
    </rPh>
    <rPh sb="12" eb="14">
      <t>トットリ</t>
    </rPh>
    <phoneticPr fontId="13"/>
  </si>
  <si>
    <t>神戸 583 ま 5108</t>
    <rPh sb="0" eb="2">
      <t>コウベ</t>
    </rPh>
    <phoneticPr fontId="13"/>
  </si>
  <si>
    <t>株式会社ｱｯﾌﾟﾙｺｰﾎﾟﾚｰｼｮﾝ</t>
    <rPh sb="0" eb="4">
      <t>カブシキガイシャ</t>
    </rPh>
    <phoneticPr fontId="13"/>
  </si>
  <si>
    <t>保証書 取説 ｽﾍﾟｱｷｰ ﾅﾋﾞ取 SD</t>
    <rPh sb="0" eb="3">
      <t>ホショウショ</t>
    </rPh>
    <rPh sb="4" eb="6">
      <t>トリセツ</t>
    </rPh>
    <rPh sb="17" eb="18">
      <t>トリ</t>
    </rPh>
    <phoneticPr fontId="13"/>
  </si>
  <si>
    <t>27-987</t>
  </si>
  <si>
    <t>27-988</t>
  </si>
  <si>
    <t>27-989</t>
  </si>
  <si>
    <t>ｴﾌﾞﾘｲﾜｺﾞﾝ PZﾀｰﾎﾞｽﾍﾟｼｬﾙ</t>
    <phoneticPr fontId="13"/>
  </si>
  <si>
    <t>DA17W-263233</t>
    <phoneticPr fontId="13"/>
  </si>
  <si>
    <t>和泉 596 ほ 24</t>
    <rPh sb="0" eb="2">
      <t>イズミ</t>
    </rPh>
    <phoneticPr fontId="13"/>
  </si>
  <si>
    <t>27-990</t>
  </si>
  <si>
    <t>27-991</t>
  </si>
  <si>
    <t>WMWXN920402H65539</t>
    <phoneticPr fontId="13"/>
  </si>
  <si>
    <t>8/3/27</t>
    <phoneticPr fontId="13"/>
  </si>
  <si>
    <t>山梨 335 り 87</t>
    <rPh sb="0" eb="2">
      <t>ヤマナシ</t>
    </rPh>
    <phoneticPr fontId="13"/>
  </si>
  <si>
    <t>WMWXU720102L29820</t>
    <phoneticPr fontId="13"/>
  </si>
  <si>
    <t>所沢 332 の 456</t>
    <rPh sb="0" eb="2">
      <t>トコロザワ</t>
    </rPh>
    <phoneticPr fontId="13"/>
  </si>
  <si>
    <t>ｸｲｯｸﾈｯﾄﾜｰｸ</t>
    <phoneticPr fontId="13"/>
  </si>
  <si>
    <t>27-992</t>
  </si>
  <si>
    <t>27-993</t>
  </si>
  <si>
    <t>27-994</t>
  </si>
  <si>
    <t>27-995</t>
  </si>
  <si>
    <t>27-996</t>
  </si>
  <si>
    <t>27-997</t>
  </si>
  <si>
    <t>27-998</t>
  </si>
  <si>
    <t>NAA大阪</t>
    <rPh sb="3" eb="5">
      <t>オオサカ</t>
    </rPh>
    <phoneticPr fontId="13"/>
  </si>
  <si>
    <t>27-999</t>
  </si>
  <si>
    <t>27-1000</t>
  </si>
  <si>
    <t>27-1001</t>
  </si>
  <si>
    <t>27-1002</t>
  </si>
  <si>
    <t>27-1003</t>
  </si>
  <si>
    <t>LA110S-0053108</t>
    <phoneticPr fontId="13"/>
  </si>
  <si>
    <t>HE22S-255383</t>
    <phoneticPr fontId="13"/>
  </si>
  <si>
    <t>B11S-0029004</t>
    <phoneticPr fontId="13"/>
  </si>
  <si>
    <t>MR31S-268025</t>
    <phoneticPr fontId="13"/>
  </si>
  <si>
    <t>MR41S-363905</t>
    <phoneticPr fontId="13"/>
  </si>
  <si>
    <t>LA800S-0267950</t>
    <phoneticPr fontId="13"/>
  </si>
  <si>
    <t>S510P-0062184</t>
    <phoneticPr fontId="13"/>
  </si>
  <si>
    <t>B44W-0406458</t>
    <phoneticPr fontId="13"/>
  </si>
  <si>
    <t>S700V-0106058</t>
    <phoneticPr fontId="13"/>
  </si>
  <si>
    <t>DR17V-880111</t>
    <phoneticPr fontId="13"/>
  </si>
  <si>
    <t>B45W-0401266</t>
    <phoneticPr fontId="13"/>
  </si>
  <si>
    <t>WMWXU920802M56835</t>
    <phoneticPr fontId="13"/>
  </si>
  <si>
    <t>tax言われたら伴さん連絡</t>
    <rPh sb="3" eb="4">
      <t>イ</t>
    </rPh>
    <rPh sb="8" eb="9">
      <t>バン</t>
    </rPh>
    <rPh sb="11" eb="13">
      <t>レンラク</t>
    </rPh>
    <phoneticPr fontId="13"/>
  </si>
  <si>
    <t>ｱﾙﾄﾗﾊﾟﾝ 10thｱﾆﾊﾞｰｻﾘｰﾘﾐﾃｯﾄﾞ</t>
    <phoneticPr fontId="13"/>
  </si>
  <si>
    <t>EKｽﾍﾟｰｽｶｽﾀﾑ G ｱｼｽﾄ</t>
    <phoneticPr fontId="13"/>
  </si>
  <si>
    <t>7/12/18</t>
    <phoneticPr fontId="13"/>
  </si>
  <si>
    <t>ﾊｽﾗｰ ﾀﾌﾜｲﾙﾄﾞ</t>
    <phoneticPr fontId="13"/>
  </si>
  <si>
    <t>ﾑｰﾌﾞｷｬﾝﾊﾞｽ XﾒｲｸｱｯﾌﾟﾘﾐﾃｯﾄﾞSA3</t>
    <phoneticPr fontId="13"/>
  </si>
  <si>
    <t>8/6/10</t>
    <phoneticPr fontId="13"/>
  </si>
  <si>
    <t>保証書 取説 ﾅﾋﾞ取 地図SD ｽﾏｰﾄｷｰ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</si>
  <si>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ﾊｲｾﾞｯﾄT ｼﾞｬﾝﾎﾞ</t>
    <phoneticPr fontId="13"/>
  </si>
  <si>
    <t>ﾃﾞｲｽﾞ  ﾊｲｳｪｲｽﾀｰX</t>
    <phoneticPr fontId="13"/>
  </si>
  <si>
    <t>滋賀 583 せ 9100</t>
    <rPh sb="0" eb="2">
      <t>シガ</t>
    </rPh>
    <phoneticPr fontId="13"/>
  </si>
  <si>
    <t>ｱﾄﾚｰ RS</t>
    <phoneticPr fontId="13"/>
  </si>
  <si>
    <t>NV100ｸﾘｯﾊﾟｰ GXﾀｰﾎﾞ</t>
    <phoneticPr fontId="13"/>
  </si>
  <si>
    <t>ﾃﾞｲｽﾞ ﾊｲｳｪｲｽﾀｰGﾀｰﾎﾞﾌﾟﾛﾊﾟｲﾛｯﾄ</t>
    <phoneticPr fontId="13"/>
  </si>
  <si>
    <t>三重 582 け 3223</t>
    <rPh sb="0" eb="2">
      <t>ミエ</t>
    </rPh>
    <phoneticPr fontId="13"/>
  </si>
  <si>
    <t>ﾊｲｾﾞｯﾄﾄﾗｯｸ 多目的ﾀﾞﾝﾌﾟ</t>
    <rPh sb="11" eb="14">
      <t>タモクテキ</t>
    </rPh>
    <phoneticPr fontId="13"/>
  </si>
  <si>
    <t>S510P-0592690</t>
    <phoneticPr fontId="13"/>
  </si>
  <si>
    <t>名古屋 480 め 8453</t>
    <rPh sb="0" eb="3">
      <t>ナゴヤ</t>
    </rPh>
    <phoneticPr fontId="13"/>
  </si>
  <si>
    <t>河原 利恵</t>
    <rPh sb="0" eb="2">
      <t>カワハラ</t>
    </rPh>
    <rPh sb="3" eb="5">
      <t>トシエ</t>
    </rPh>
    <phoneticPr fontId="13"/>
  </si>
  <si>
    <t>10/3</t>
    <phoneticPr fontId="13"/>
  </si>
  <si>
    <t>保証書 取説 地図SD</t>
    <rPh sb="0" eb="3">
      <t>ホショウショ</t>
    </rPh>
    <rPh sb="4" eb="6">
      <t>トリセツ</t>
    </rPh>
    <rPh sb="7" eb="9">
      <t>チズ</t>
    </rPh>
    <phoneticPr fontId="13"/>
  </si>
  <si>
    <t>滋賀 583 い 8754</t>
    <rPh sb="0" eb="2">
      <t>シガ</t>
    </rPh>
    <phoneticPr fontId="13"/>
  </si>
  <si>
    <t>株式会社ﾘﾊﾞﾃｨ</t>
    <rPh sb="0" eb="4">
      <t>カブシキガイシャ</t>
    </rPh>
    <phoneticPr fontId="13"/>
  </si>
  <si>
    <t>徳島 335 ね 70</t>
    <rPh sb="0" eb="2">
      <t>トクシマ</t>
    </rPh>
    <phoneticPr fontId="13"/>
  </si>
  <si>
    <t>保証書 取説 ←ｽﾄｯｸ</t>
    <rPh sb="0" eb="3">
      <t>ホショウショ</t>
    </rPh>
    <rPh sb="4" eb="6">
      <t>トリセツ</t>
    </rPh>
    <phoneticPr fontId="13"/>
  </si>
  <si>
    <t>株式会社ｵﾘｺｵｰﾄﾘｰｽ</t>
    <phoneticPr fontId="13"/>
  </si>
  <si>
    <t>株式会社橋本鋲螺</t>
    <rPh sb="0" eb="4">
      <t>カブシキガイシャ</t>
    </rPh>
    <rPh sb="4" eb="6">
      <t>ハシモト</t>
    </rPh>
    <rPh sb="6" eb="8">
      <t>ビョウラ</t>
    </rPh>
    <phoneticPr fontId="13"/>
  </si>
  <si>
    <t>岐阜 339 す 214</t>
    <rPh sb="0" eb="2">
      <t>ギフ</t>
    </rPh>
    <phoneticPr fontId="13"/>
  </si>
  <si>
    <t>名古屋 307 む 5593</t>
    <rPh sb="0" eb="3">
      <t>ナゴヤ</t>
    </rPh>
    <phoneticPr fontId="13"/>
  </si>
  <si>
    <t>桂川 洋行</t>
    <rPh sb="0" eb="2">
      <t>カツラガワ</t>
    </rPh>
    <rPh sb="3" eb="4">
      <t>ヨウ</t>
    </rPh>
    <rPh sb="4" eb="5">
      <t>ユ</t>
    </rPh>
    <phoneticPr fontId="13"/>
  </si>
  <si>
    <t>地図SD(保管BOX)記録紙1枚</t>
    <rPh sb="0" eb="2">
      <t>チズ</t>
    </rPh>
    <rPh sb="5" eb="7">
      <t>ホカン</t>
    </rPh>
    <rPh sb="11" eb="14">
      <t>キロクシ</t>
    </rPh>
    <rPh sb="15" eb="16">
      <t>マイ</t>
    </rPh>
    <phoneticPr fontId="13"/>
  </si>
  <si>
    <t>千葉 581 ふ 351</t>
    <rPh sb="0" eb="2">
      <t>チバ</t>
    </rPh>
    <phoneticPr fontId="13"/>
  </si>
  <si>
    <t>山下 忠之</t>
    <rPh sb="0" eb="2">
      <t>ヤマシタ</t>
    </rPh>
    <rPh sb="3" eb="5">
      <t>タダユキ</t>
    </rPh>
    <phoneticPr fontId="13"/>
  </si>
  <si>
    <t>川崎 583 く 1998</t>
    <rPh sb="0" eb="2">
      <t>カワサキ</t>
    </rPh>
    <phoneticPr fontId="13"/>
  </si>
  <si>
    <t>高嶺 昌弘</t>
    <rPh sb="0" eb="2">
      <t>タカミネ</t>
    </rPh>
    <rPh sb="3" eb="5">
      <t>アキヒロ</t>
    </rPh>
    <phoneticPr fontId="13"/>
  </si>
  <si>
    <t>山形 581 こ 978</t>
    <rPh sb="0" eb="2">
      <t>ヤマガタ</t>
    </rPh>
    <phoneticPr fontId="13"/>
  </si>
  <si>
    <t>長堀 諒大</t>
    <rPh sb="0" eb="2">
      <t>ナガホリ</t>
    </rPh>
    <rPh sb="3" eb="4">
      <t>リョウ</t>
    </rPh>
    <rPh sb="4" eb="5">
      <t>ダイ</t>
    </rPh>
    <phoneticPr fontId="13"/>
  </si>
  <si>
    <t>記録紙1枚 取説 ｽﾍﾟｱｷｰ</t>
    <rPh sb="0" eb="3">
      <t>キロクシ</t>
    </rPh>
    <rPh sb="4" eb="5">
      <t>マイ</t>
    </rPh>
    <rPh sb="6" eb="8">
      <t>トリセツ</t>
    </rPh>
    <phoneticPr fontId="13"/>
  </si>
  <si>
    <t>和泉 416 ぬ 8</t>
    <rPh sb="0" eb="2">
      <t>イズミ</t>
    </rPh>
    <phoneticPr fontId="13"/>
  </si>
  <si>
    <t>坂東 海</t>
    <rPh sb="0" eb="2">
      <t>バンドウ</t>
    </rPh>
    <rPh sb="3" eb="4">
      <t>ウミ</t>
    </rPh>
    <phoneticPr fontId="13"/>
  </si>
  <si>
    <t>充電ｹｰﾌﾞﾙ車内写メあり  保証書 取説 ｷｰﾚｽ ﾜﾝｵｰﾅｰ</t>
    <rPh sb="0" eb="2">
      <t>ジュウデン</t>
    </rPh>
    <rPh sb="7" eb="9">
      <t>シャナイ</t>
    </rPh>
    <rPh sb="9" eb="10">
      <t>シャ</t>
    </rPh>
    <rPh sb="15" eb="18">
      <t>ホショウショ</t>
    </rPh>
    <rPh sb="19" eb="21">
      <t>トリセツ</t>
    </rPh>
    <phoneticPr fontId="13"/>
  </si>
  <si>
    <t>名古屋 305 ゆ 7379</t>
    <rPh sb="0" eb="3">
      <t>ナゴヤ</t>
    </rPh>
    <phoneticPr fontId="13"/>
  </si>
  <si>
    <t>名古屋 599 ろ 9759</t>
    <rPh sb="0" eb="3">
      <t>ナゴヤ</t>
    </rPh>
    <phoneticPr fontId="13"/>
  </si>
  <si>
    <t>株式会社ｽｽﾞｷ名古屋</t>
    <rPh sb="0" eb="4">
      <t>カブシキガイシャ</t>
    </rPh>
    <rPh sb="8" eb="11">
      <t>ナゴヤ</t>
    </rPh>
    <phoneticPr fontId="13"/>
  </si>
  <si>
    <t>ﾅﾜｽﾞ ﾑﾊﾏﾄﾞ</t>
    <phoneticPr fontId="13"/>
  </si>
  <si>
    <t>保証書 取説 地図ﾃﾞｨｽｸ 名変期間10/24まで</t>
    <rPh sb="0" eb="3">
      <t>ホショウショ</t>
    </rPh>
    <rPh sb="4" eb="6">
      <t>トリセツ</t>
    </rPh>
    <rPh sb="7" eb="9">
      <t>チズ</t>
    </rPh>
    <rPh sb="15" eb="19">
      <t>メイヘンキカン</t>
    </rPh>
    <phoneticPr fontId="13"/>
  </si>
  <si>
    <t>保証書 取説 ﾜﾝｵｰﾅｰ ﾅﾋﾞ取</t>
    <rPh sb="0" eb="3">
      <t>ホショウショ</t>
    </rPh>
    <rPh sb="4" eb="6">
      <t>トリセツ</t>
    </rPh>
    <rPh sb="17" eb="18">
      <t>トリ</t>
    </rPh>
    <phoneticPr fontId="13"/>
  </si>
  <si>
    <t>有限会社AOKI TRADING COMPANY</t>
    <rPh sb="0" eb="4">
      <t>ユウゲンガイシャ</t>
    </rPh>
    <phoneticPr fontId="13"/>
  </si>
  <si>
    <t>愛知県中古自動車販売株式会社</t>
    <rPh sb="0" eb="3">
      <t>アイチケン</t>
    </rPh>
    <rPh sb="3" eb="5">
      <t>チュウコ</t>
    </rPh>
    <rPh sb="5" eb="8">
      <t>ジドウシャ</t>
    </rPh>
    <rPh sb="8" eb="10">
      <t>ハンバイ</t>
    </rPh>
    <rPh sb="10" eb="14">
      <t>カブシキガイシャ</t>
    </rPh>
    <phoneticPr fontId="13"/>
  </si>
  <si>
    <t>保証書 取説 ｷｰﾚｽ SD ﾘﾓｺﾝ</t>
    <rPh sb="0" eb="3">
      <t>ホショウショ</t>
    </rPh>
    <rPh sb="4" eb="6">
      <t>トリセツ</t>
    </rPh>
    <phoneticPr fontId="13"/>
  </si>
  <si>
    <t>品川 699 ろ 4847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</si>
  <si>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</si>
  <si>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取説 ｽﾍﾟｱｷｰ ﾘﾓｺﾝ SD</t>
    <phoneticPr fontId="13"/>
  </si>
  <si>
    <t>四日市 580 ろ 9514</t>
    <rPh sb="0" eb="3">
      <t>ヨッカイチ</t>
    </rPh>
    <phoneticPr fontId="13"/>
  </si>
  <si>
    <t>名古屋 58A ひ 4299</t>
    <phoneticPr fontId="13"/>
  </si>
  <si>
    <t>株式会社ﾀﾞｲﾊﾂ三重</t>
    <rPh sb="9" eb="11">
      <t>ミエ</t>
    </rPh>
    <phoneticPr fontId="13"/>
  </si>
  <si>
    <t>品川 5X1 ろ 1625</t>
    <rPh sb="0" eb="2">
      <t>シナガワ</t>
    </rPh>
    <phoneticPr fontId="13"/>
  </si>
  <si>
    <t>ENEOSﾄﾚｰﾃﾞｨﾝｸﾞ株式会社</t>
    <rPh sb="14" eb="18">
      <t>カブシキガイシャ</t>
    </rPh>
    <phoneticPr fontId="13"/>
  </si>
  <si>
    <t>保証書 取説 ﾅﾋﾞ取 ｽﾍﾟｱｷｰ2個 ﾜﾝｵｰﾅｰ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</si>
  <si>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倉敷 583 う 3038</t>
    <rPh sb="0" eb="2">
      <t>クラシキ</t>
    </rPh>
    <phoneticPr fontId="13"/>
  </si>
  <si>
    <t>森内 勇</t>
    <rPh sb="0" eb="2">
      <t>モリウチ</t>
    </rPh>
    <rPh sb="3" eb="4">
      <t>イサム</t>
    </rPh>
    <phoneticPr fontId="13"/>
  </si>
  <si>
    <t>取説 ｽﾏｰﾄｷｰ車内2個あり</t>
    <rPh sb="0" eb="2">
      <t>トリセツ</t>
    </rPh>
    <rPh sb="9" eb="11">
      <t>シャナイ</t>
    </rPh>
    <rPh sb="12" eb="13">
      <t>コ</t>
    </rPh>
    <phoneticPr fontId="13"/>
  </si>
  <si>
    <t>島根 580 ほ 8378</t>
    <rPh sb="0" eb="2">
      <t>シマネ</t>
    </rPh>
    <phoneticPr fontId="13"/>
  </si>
  <si>
    <t>神戸 582 き 9798</t>
    <rPh sb="0" eb="2">
      <t>コウベ</t>
    </rPh>
    <phoneticPr fontId="13"/>
  </si>
  <si>
    <t>株式会社松尾ﾓｰﾀｰｽ</t>
    <rPh sb="0" eb="4">
      <t>カブシキガイシャ</t>
    </rPh>
    <rPh sb="4" eb="6">
      <t>マツオ</t>
    </rPh>
    <phoneticPr fontId="13"/>
  </si>
  <si>
    <t>ｽﾍﾟｱｷｰ写メなし 保証書 取説 ﾜﾝｵｰﾅｰ</t>
    <rPh sb="6" eb="7">
      <t>シャ</t>
    </rPh>
    <rPh sb="11" eb="14">
      <t>ホショウショ</t>
    </rPh>
    <rPh sb="15" eb="17">
      <t>トリセツ</t>
    </rPh>
    <phoneticPr fontId="13"/>
  </si>
  <si>
    <t>岡山 400 に 6638</t>
    <rPh sb="0" eb="2">
      <t>オカヤマ</t>
    </rPh>
    <phoneticPr fontId="13"/>
  </si>
  <si>
    <t>旭東ｽｽﾞｷ販売株式会社</t>
    <rPh sb="0" eb="1">
      <t>アサヒ</t>
    </rPh>
    <rPh sb="1" eb="2">
      <t>ヒガシ</t>
    </rPh>
    <rPh sb="6" eb="12">
      <t>ハンバイカブシキガイシャ</t>
    </rPh>
    <phoneticPr fontId="13"/>
  </si>
  <si>
    <t>岡山 581 ゆ 3502</t>
    <rPh sb="0" eb="2">
      <t>オカヤマ</t>
    </rPh>
    <phoneticPr fontId="13"/>
  </si>
  <si>
    <t>株式会社ｳｨｯｼｭ</t>
    <rPh sb="0" eb="4">
      <t>カブシキガイシャ</t>
    </rPh>
    <phoneticPr fontId="13"/>
  </si>
  <si>
    <t>保証書 取説 ﾅﾋﾞ取 SD ナンバー</t>
    <rPh sb="0" eb="3">
      <t>ホショウショ</t>
    </rPh>
    <rPh sb="4" eb="6">
      <t>トリセツ</t>
    </rPh>
    <rPh sb="10" eb="11">
      <t>トリ</t>
    </rPh>
    <phoneticPr fontId="13"/>
  </si>
  <si>
    <t>倉敷 580 よ 8490</t>
    <rPh sb="0" eb="2">
      <t>クラシキ</t>
    </rPh>
    <phoneticPr fontId="13"/>
  </si>
  <si>
    <t>𡈽江 達彦</t>
    <rPh sb="2" eb="3">
      <t>エ</t>
    </rPh>
    <rPh sb="4" eb="6">
      <t>タツヒコ</t>
    </rPh>
    <phoneticPr fontId="13"/>
  </si>
  <si>
    <t>広島 581 さ 7903</t>
    <rPh sb="0" eb="2">
      <t>ヒロシマ</t>
    </rPh>
    <phoneticPr fontId="13"/>
  </si>
  <si>
    <t>広島 585 ら 722</t>
    <rPh sb="0" eb="2">
      <t>ヒロシマ</t>
    </rPh>
    <phoneticPr fontId="13"/>
  </si>
  <si>
    <t>今崎 貴成</t>
    <rPh sb="0" eb="1">
      <t>イマ</t>
    </rPh>
    <rPh sb="1" eb="2">
      <t>サキ</t>
    </rPh>
    <rPh sb="3" eb="4">
      <t>タカ</t>
    </rPh>
    <rPh sb="4" eb="5">
      <t>ナリ</t>
    </rPh>
    <phoneticPr fontId="13"/>
  </si>
  <si>
    <t>なにわ 5P4 ろ 9175</t>
    <phoneticPr fontId="13"/>
  </si>
  <si>
    <t>ｽﾏｰﾄｷｰ車内あり</t>
    <rPh sb="6" eb="8">
      <t>シャナイ</t>
    </rPh>
    <phoneticPr fontId="13"/>
  </si>
  <si>
    <t>ｽｽﾞｷ大阪販売株式会社</t>
    <rPh sb="4" eb="6">
      <t>オオサカ</t>
    </rPh>
    <rPh sb="6" eb="12">
      <t>ハンバイカブシキガイシャ</t>
    </rPh>
    <phoneticPr fontId="13"/>
  </si>
  <si>
    <t>地図SD (車内)保証書 取説 ｽﾍﾟｱｷｰ</t>
    <rPh sb="0" eb="2">
      <t>チズ</t>
    </rPh>
    <rPh sb="9" eb="12">
      <t>ホショウショ</t>
    </rPh>
    <rPh sb="13" eb="15">
      <t>トリセツ</t>
    </rPh>
    <phoneticPr fontId="13"/>
  </si>
  <si>
    <t>なにわ 581 せ 133</t>
    <phoneticPr fontId="13"/>
  </si>
  <si>
    <t xml:space="preserve">ナンバー ﾏｲｸﾛSD </t>
    <phoneticPr fontId="13"/>
  </si>
  <si>
    <t>なにわ 690 ろ 7602</t>
    <phoneticPr fontId="13"/>
  </si>
  <si>
    <t>名古屋 480 そ 1108</t>
    <rPh sb="0" eb="3">
      <t>ナゴヤ</t>
    </rPh>
    <phoneticPr fontId="13"/>
  </si>
  <si>
    <t>宮地 幸子</t>
    <rPh sb="0" eb="2">
      <t>ミヤジ</t>
    </rPh>
    <rPh sb="3" eb="5">
      <t>サチコ</t>
    </rPh>
    <phoneticPr fontId="13"/>
  </si>
  <si>
    <t>長野ﾄﾖﾀ自動車株式会社ChuーCar商品ｾﾝﾀｰ</t>
    <rPh sb="0" eb="2">
      <t>ナガノ</t>
    </rPh>
    <rPh sb="5" eb="12">
      <t>ジドウシャカブシキガイシャ</t>
    </rPh>
    <rPh sb="19" eb="21">
      <t>ショウヒン</t>
    </rPh>
    <phoneticPr fontId="13"/>
  </si>
  <si>
    <t>山口 587 ぬ 127</t>
    <rPh sb="0" eb="2">
      <t>ヤマグチ</t>
    </rPh>
    <phoneticPr fontId="13"/>
  </si>
  <si>
    <t>滋賀 582 ろ 8788</t>
    <rPh sb="0" eb="2">
      <t>シガ</t>
    </rPh>
    <phoneticPr fontId="13"/>
  </si>
  <si>
    <t>株式会社ﾀWECARS</t>
    <phoneticPr fontId="13"/>
  </si>
  <si>
    <t>株式会社ｶｰﾁｽ</t>
    <rPh sb="0" eb="4">
      <t>カブシキガイシャ</t>
    </rPh>
    <phoneticPr fontId="13"/>
  </si>
  <si>
    <t>株式会社JCM大阪支店</t>
    <rPh sb="0" eb="4">
      <t>カブシキガイシャ</t>
    </rPh>
    <rPh sb="7" eb="9">
      <t>オオサカ</t>
    </rPh>
    <rPh sb="9" eb="11">
      <t>シテン</t>
    </rPh>
    <phoneticPr fontId="13"/>
  </si>
  <si>
    <t>保証書 取説 ｽﾍﾟｱｷｰ ﾜﾝｵｰﾅｰ？ ナンバー</t>
    <rPh sb="0" eb="3">
      <t>ホショウショ</t>
    </rPh>
    <rPh sb="4" eb="6">
      <t>トリセツ</t>
    </rPh>
    <phoneticPr fontId="13"/>
  </si>
  <si>
    <t>神戸 58A か 4390</t>
    <rPh sb="0" eb="2">
      <t>コウベ</t>
    </rPh>
    <phoneticPr fontId="13"/>
  </si>
  <si>
    <t>中条 誠治</t>
    <rPh sb="0" eb="2">
      <t>ナカジョウ</t>
    </rPh>
    <rPh sb="3" eb="4">
      <t>マコト</t>
    </rPh>
    <rPh sb="4" eb="5">
      <t>ジ</t>
    </rPh>
    <phoneticPr fontId="13"/>
  </si>
  <si>
    <t>保証書 取説 ｽﾍﾟｱｷｰ ナンバー</t>
    <rPh sb="0" eb="3">
      <t>ホショウショ</t>
    </rPh>
    <rPh sb="4" eb="6">
      <t>トリセツ</t>
    </rPh>
    <phoneticPr fontId="13"/>
  </si>
  <si>
    <t>群馬 583 つ 3756</t>
    <rPh sb="0" eb="2">
      <t>グンマ</t>
    </rPh>
    <phoneticPr fontId="13"/>
  </si>
  <si>
    <t>保証書 取説 SD ﾅﾋﾞ取</t>
    <rPh sb="0" eb="3">
      <t>ホショウショ</t>
    </rPh>
    <rPh sb="4" eb="6">
      <t>トリセツ</t>
    </rPh>
    <rPh sb="13" eb="14">
      <t>トリ</t>
    </rPh>
    <phoneticPr fontId="13"/>
  </si>
  <si>
    <t>春日井 480 ろ 6084</t>
    <rPh sb="0" eb="3">
      <t>カスガイ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</si>
  <si>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</si>
  <si>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柏 586 を 33</t>
    <rPh sb="0" eb="1">
      <t>カシワ</t>
    </rPh>
    <phoneticPr fontId="13"/>
  </si>
  <si>
    <t>小川 哲也</t>
    <rPh sb="0" eb="2">
      <t>オガワ</t>
    </rPh>
    <rPh sb="3" eb="5">
      <t>テツヤ</t>
    </rPh>
    <phoneticPr fontId="13"/>
  </si>
  <si>
    <t>横浜 587 と 925</t>
    <rPh sb="0" eb="2">
      <t>ヨコハマ</t>
    </rPh>
    <phoneticPr fontId="13"/>
  </si>
  <si>
    <t>杉山 強</t>
    <rPh sb="0" eb="2">
      <t>スギヤマ</t>
    </rPh>
    <rPh sb="3" eb="4">
      <t>ツヨ</t>
    </rPh>
    <phoneticPr fontId="13"/>
  </si>
  <si>
    <t>相模 580 ほ 5214</t>
    <rPh sb="0" eb="1">
      <t>アイ</t>
    </rPh>
    <rPh sb="1" eb="2">
      <t>モ</t>
    </rPh>
    <phoneticPr fontId="13"/>
  </si>
  <si>
    <t>株式会社ﾄｰﾀｽ</t>
    <rPh sb="0" eb="4">
      <t>カブシキガイシャ</t>
    </rPh>
    <phoneticPr fontId="13"/>
  </si>
  <si>
    <t>岡山 581 な 5092</t>
    <rPh sb="0" eb="2">
      <t>オカヤマ</t>
    </rPh>
    <phoneticPr fontId="13"/>
  </si>
  <si>
    <t>広島 581 ぬ 9713</t>
    <rPh sb="0" eb="2">
      <t>ヒロシマ</t>
    </rPh>
    <phoneticPr fontId="13"/>
  </si>
  <si>
    <t>壇上 恵美子</t>
    <rPh sb="0" eb="1">
      <t>ダン</t>
    </rPh>
    <rPh sb="1" eb="2">
      <t>ジョウ</t>
    </rPh>
    <rPh sb="3" eb="6">
      <t>エミコ</t>
    </rPh>
    <phoneticPr fontId="13"/>
  </si>
  <si>
    <t>岡山 584 ろ 2075</t>
    <rPh sb="0" eb="2">
      <t>オカヤマ</t>
    </rPh>
    <phoneticPr fontId="13"/>
  </si>
  <si>
    <t>株式会社ｼﾃｨﾗｲﾄ</t>
    <phoneticPr fontId="13"/>
  </si>
  <si>
    <t>愛媛 580 な 4746</t>
    <rPh sb="0" eb="2">
      <t>エヒメ</t>
    </rPh>
    <phoneticPr fontId="13"/>
  </si>
  <si>
    <t>若松 由美子</t>
    <rPh sb="0" eb="2">
      <t>ワカマツ</t>
    </rPh>
    <rPh sb="3" eb="6">
      <t>ユミコ</t>
    </rPh>
    <phoneticPr fontId="13"/>
  </si>
  <si>
    <t>名古屋 487 ろ 490</t>
    <phoneticPr fontId="13"/>
  </si>
  <si>
    <t>取説 ｽﾍﾟｱｷｰ (車内)保証書</t>
    <rPh sb="0" eb="2">
      <t>トリセツ</t>
    </rPh>
    <rPh sb="14" eb="17">
      <t>ホショウショ</t>
    </rPh>
    <phoneticPr fontId="13"/>
  </si>
  <si>
    <t>姫路 582 あ 9408</t>
    <rPh sb="0" eb="2">
      <t>ヒメジ</t>
    </rPh>
    <phoneticPr fontId="13"/>
  </si>
  <si>
    <t>保証書 取説 ｷｰﾚｽ ナンバー</t>
    <rPh sb="0" eb="3">
      <t>ホショウショ</t>
    </rPh>
    <rPh sb="4" eb="6">
      <t>トリセツ</t>
    </rPh>
    <phoneticPr fontId="13"/>
  </si>
  <si>
    <t>有限会社松野鉄金工作所</t>
    <rPh sb="0" eb="4">
      <t>ユウゲンガイシャ</t>
    </rPh>
    <rPh sb="4" eb="6">
      <t>マツノ</t>
    </rPh>
    <rPh sb="6" eb="7">
      <t>テツ</t>
    </rPh>
    <rPh sb="7" eb="8">
      <t>カネ</t>
    </rPh>
    <rPh sb="8" eb="10">
      <t>コウサク</t>
    </rPh>
    <rPh sb="10" eb="11">
      <t>ショ</t>
    </rPh>
    <phoneticPr fontId="13"/>
  </si>
  <si>
    <t>岡山ﾀﾞｲﾊﾂ販売株式会社</t>
    <rPh sb="0" eb="2">
      <t>オカヤマ</t>
    </rPh>
    <rPh sb="8" eb="12">
      <t>カブシキガイシャ</t>
    </rPh>
    <phoneticPr fontId="13"/>
  </si>
  <si>
    <t>保証書 取説 ﾄﾞﾗﾚｺﾏｲｸﾛSD</t>
    <rPh sb="0" eb="3">
      <t>ホショウショ</t>
    </rPh>
    <rPh sb="4" eb="6">
      <t>トリセツ</t>
    </rPh>
    <phoneticPr fontId="13"/>
  </si>
  <si>
    <t>佐賀 300 や 292</t>
    <rPh sb="0" eb="2">
      <t>サガ</t>
    </rPh>
    <phoneticPr fontId="13"/>
  </si>
  <si>
    <t>広島 330 つ 2044</t>
    <rPh sb="0" eb="2">
      <t>ヒロシマ</t>
    </rPh>
    <phoneticPr fontId="13"/>
  </si>
  <si>
    <t>保証書 取説 ｷｰﾚｽ ﾏｲｸﾛSD</t>
    <rPh sb="0" eb="3">
      <t>ホショウショ</t>
    </rPh>
    <rPh sb="4" eb="6">
      <t>トリセツ</t>
    </rPh>
    <phoneticPr fontId="13"/>
  </si>
  <si>
    <t>株式会社ﾎﾝﾀﾞｶｰｽﾞ東海</t>
    <rPh sb="0" eb="4">
      <t>カブシキガイシャ</t>
    </rPh>
    <rPh sb="12" eb="14">
      <t>トウカイ</t>
    </rPh>
    <phoneticPr fontId="13"/>
  </si>
  <si>
    <t>和泉 329 な 5511</t>
    <rPh sb="0" eb="2">
      <t>イズミ</t>
    </rPh>
    <phoneticPr fontId="13"/>
  </si>
  <si>
    <t>株式会社Road Spirit</t>
    <rPh sb="0" eb="4">
      <t>カブシキガイシャ</t>
    </rPh>
    <phoneticPr fontId="13"/>
  </si>
  <si>
    <t>京都 302 に 2796</t>
    <rPh sb="0" eb="2">
      <t>キョウト</t>
    </rPh>
    <phoneticPr fontId="13"/>
  </si>
  <si>
    <t>富山 342 に 32</t>
    <rPh sb="0" eb="2">
      <t>トヤマ</t>
    </rPh>
    <phoneticPr fontId="13"/>
  </si>
  <si>
    <t>ﾜﾀﾔ自動車株式会社</t>
    <rPh sb="3" eb="6">
      <t>ジドウシャ</t>
    </rPh>
    <rPh sb="6" eb="10">
      <t>カブシキガイシャ</t>
    </rPh>
    <phoneticPr fontId="13"/>
  </si>
  <si>
    <t>取説 ｷｰﾚｽ(車内)保証書 ﾜﾝｵｰﾅｰかも</t>
    <rPh sb="0" eb="2">
      <t>トリセツ</t>
    </rPh>
    <rPh sb="8" eb="10">
      <t>シャナイ</t>
    </rPh>
    <rPh sb="11" eb="14">
      <t>ホショウショ</t>
    </rPh>
    <phoneticPr fontId="13"/>
  </si>
  <si>
    <t>ｷｬﾝｾﾙ 書類返送10/4</t>
    <rPh sb="6" eb="8">
      <t>ショルイ</t>
    </rPh>
    <rPh sb="8" eb="10">
      <t>ヘンソウ</t>
    </rPh>
    <phoneticPr fontId="13"/>
  </si>
  <si>
    <t>582 い 829</t>
    <phoneticPr fontId="13"/>
  </si>
  <si>
    <t>582 い 828</t>
    <phoneticPr fontId="13"/>
  </si>
  <si>
    <t>27-1004</t>
  </si>
  <si>
    <t>27-1005</t>
  </si>
  <si>
    <t>27-1006</t>
  </si>
  <si>
    <t>27-1007</t>
  </si>
  <si>
    <t>27-1008</t>
  </si>
  <si>
    <t>27-1009</t>
  </si>
  <si>
    <t>27-1010</t>
  </si>
  <si>
    <t>27-1011</t>
  </si>
  <si>
    <t>27-1012</t>
  </si>
  <si>
    <t>27-1013</t>
  </si>
  <si>
    <t>27-1014</t>
  </si>
  <si>
    <t>27-1015</t>
  </si>
  <si>
    <t>MK53S-504549</t>
    <phoneticPr fontId="13"/>
  </si>
  <si>
    <t>ｽﾍﾟｰｼｱｷﾞｱ ﾊｲﾌﾞﾘｯﾄﾞXZ</t>
    <phoneticPr fontId="13"/>
  </si>
  <si>
    <t>取説 保証書</t>
    <rPh sb="0" eb="2">
      <t>トリセツ</t>
    </rPh>
    <rPh sb="3" eb="6">
      <t>ホショウショ</t>
    </rPh>
    <phoneticPr fontId="13"/>
  </si>
  <si>
    <t>LA150S-1048056</t>
    <phoneticPr fontId="13"/>
  </si>
  <si>
    <t>MH55S-115290</t>
    <phoneticPr fontId="13"/>
  </si>
  <si>
    <t>MJ34S-368738</t>
    <phoneticPr fontId="13"/>
  </si>
  <si>
    <t>ﾌﾚｱ XG</t>
    <phoneticPr fontId="13"/>
  </si>
  <si>
    <t>GP5-3085404</t>
    <phoneticPr fontId="13"/>
  </si>
  <si>
    <t>MK54S-128941</t>
    <phoneticPr fontId="13"/>
  </si>
  <si>
    <t xml:space="preserve">N-BOX　G　Lﾊﾟｯｹｰｼﾞ </t>
    <phoneticPr fontId="13"/>
  </si>
  <si>
    <t>JF1-1843146</t>
    <phoneticPr fontId="13"/>
  </si>
  <si>
    <t>ﾜｺﾞﾝR ｶｽﾀﾑ Z ﾊｲﾌﾞﾘｯﾄﾞ</t>
    <phoneticPr fontId="13"/>
  </si>
  <si>
    <t>MH55S-930821</t>
    <phoneticPr fontId="13"/>
  </si>
  <si>
    <t>GP5-4008608</t>
    <phoneticPr fontId="13"/>
  </si>
  <si>
    <t>ﾊﾟﾚｯﾄ SWTS</t>
    <phoneticPr fontId="13"/>
  </si>
  <si>
    <t>MK21S-956896</t>
    <phoneticPr fontId="13"/>
  </si>
  <si>
    <t>MR31S-251501</t>
    <phoneticPr fontId="13"/>
  </si>
  <si>
    <t>27-1016</t>
  </si>
  <si>
    <t>27-1017</t>
  </si>
  <si>
    <t>27-1018</t>
  </si>
  <si>
    <t>27-1019</t>
  </si>
  <si>
    <t>27-1020</t>
  </si>
  <si>
    <t>27-1021</t>
  </si>
  <si>
    <t>27-1022</t>
  </si>
  <si>
    <t>27-1023</t>
  </si>
  <si>
    <t>27-1024</t>
  </si>
  <si>
    <t>27-1025</t>
  </si>
  <si>
    <t>27-1026</t>
  </si>
  <si>
    <t>27-1027</t>
  </si>
  <si>
    <t>27-1028</t>
  </si>
  <si>
    <t>27-1029</t>
  </si>
  <si>
    <t>27-1030</t>
  </si>
  <si>
    <t>27-1031</t>
  </si>
  <si>
    <t>ﾒﾙｾﾃﾞｽﾍﾞﾝﾂ Cｽﾃｰｼｮﾝ C200</t>
    <phoneticPr fontId="13"/>
  </si>
  <si>
    <t>JF3-2312582</t>
    <phoneticPr fontId="13"/>
  </si>
  <si>
    <t>ﾀﾌﾄ Gﾀｰﾎﾞ</t>
    <phoneticPr fontId="13"/>
  </si>
  <si>
    <t>LA900S-0086145</t>
    <phoneticPr fontId="13"/>
  </si>
  <si>
    <t>S700V-0096171</t>
    <phoneticPr fontId="13"/>
  </si>
  <si>
    <t>N-BOXｶｽﾀﾑ ﾀｰﾎﾞ</t>
    <phoneticPr fontId="13"/>
  </si>
  <si>
    <t>JF5-2015253</t>
    <phoneticPr fontId="13"/>
  </si>
  <si>
    <t>MR41S-365715</t>
    <phoneticPr fontId="13"/>
  </si>
  <si>
    <t>N-BOXｶｽﾀﾑ L ｽﾛｰﾌﾟ</t>
    <phoneticPr fontId="13"/>
  </si>
  <si>
    <t>JF3-8404443</t>
    <phoneticPr fontId="13"/>
  </si>
  <si>
    <t>DA64V-916833</t>
    <phoneticPr fontId="13"/>
  </si>
  <si>
    <t>ﾜｺﾞﾝR HV</t>
    <phoneticPr fontId="13"/>
  </si>
  <si>
    <t>MH55S-100258</t>
    <phoneticPr fontId="13"/>
  </si>
  <si>
    <t>ｱﾙﾄﾗﾊﾟﾝ XL</t>
    <phoneticPr fontId="13"/>
  </si>
  <si>
    <t>HE22S-438591</t>
    <phoneticPr fontId="13"/>
  </si>
  <si>
    <t>MR52S-150470</t>
    <phoneticPr fontId="13"/>
  </si>
  <si>
    <t>LA600S-0577220</t>
    <phoneticPr fontId="13"/>
  </si>
  <si>
    <t>27-1032</t>
  </si>
  <si>
    <t>27-1033</t>
  </si>
  <si>
    <t>27-1034</t>
  </si>
  <si>
    <t>27-1035</t>
  </si>
  <si>
    <t>27-1036</t>
  </si>
  <si>
    <t>27-1037</t>
  </si>
  <si>
    <t>27-1038</t>
  </si>
  <si>
    <t>MH34S-509127</t>
    <phoneticPr fontId="13"/>
  </si>
  <si>
    <t>JG1-1209531</t>
    <phoneticPr fontId="13"/>
  </si>
  <si>
    <t>ﾐﾗｲｰｽ XﾘﾐﾃｯﾄﾞSA3</t>
    <phoneticPr fontId="13"/>
  </si>
  <si>
    <t>LA350S-0160178</t>
    <phoneticPr fontId="13"/>
  </si>
  <si>
    <t>MH23S-914369</t>
    <phoneticPr fontId="13"/>
  </si>
  <si>
    <t>MH55S-263440</t>
    <phoneticPr fontId="13"/>
  </si>
  <si>
    <t>MH34S-702684</t>
    <phoneticPr fontId="13"/>
  </si>
  <si>
    <t xml:space="preserve">ﾑｰﾌﾞｶｽﾀﾑ RS </t>
    <phoneticPr fontId="13"/>
  </si>
  <si>
    <t>ｽﾏｰﾄｷｰ車内確認</t>
    <rPh sb="6" eb="8">
      <t>シャナイ</t>
    </rPh>
    <rPh sb="8" eb="10">
      <t>カクニン</t>
    </rPh>
    <phoneticPr fontId="13"/>
  </si>
  <si>
    <t>ﾜｺﾞﾝR ﾊｲﾌﾞﾘｯﾄﾞ FX</t>
    <phoneticPr fontId="13"/>
  </si>
  <si>
    <t>27/？</t>
    <phoneticPr fontId="13"/>
  </si>
  <si>
    <t>ﾌｨｯﾄ ﾊｲﾌﾞﾘｯﾄﾞ Sﾊﾟｯｹｰｼﾞ</t>
    <phoneticPr fontId="13"/>
  </si>
  <si>
    <t>9/6/12</t>
    <phoneticPr fontId="13"/>
  </si>
  <si>
    <t>ｽﾍﾟｰｼｱｶｽﾀﾑ ﾊｲﾌﾞﾘｯﾄﾞ XS ﾀｰﾎﾞ</t>
    <phoneticPr fontId="13"/>
  </si>
  <si>
    <t>9/7/8</t>
    <phoneticPr fontId="13"/>
  </si>
  <si>
    <t>ﾌｨｯﾄ ﾊｲﾌﾞﾘｯﾄﾞ Fﾊﾟｯｹｰｼﾞ</t>
    <phoneticPr fontId="13"/>
  </si>
  <si>
    <t>WMWXY520002M98798</t>
    <phoneticPr fontId="13"/>
  </si>
  <si>
    <t>ﾒﾙｾﾃﾞｽﾍﾞﾝﾂ 5D V260 ﾛﾝｸﾞ</t>
    <phoneticPr fontId="13"/>
  </si>
  <si>
    <t>WDF44781323525950</t>
    <phoneticPr fontId="13"/>
  </si>
  <si>
    <t>ﾗﾝｸﾞﾗｰｱﾝﾘﾐﾃｯﾄﾞ ｸﾗｲJﾗﾝｸﾞ ｽﾎﾟｰﾂ</t>
    <phoneticPr fontId="13"/>
  </si>
  <si>
    <t>名古屋 369 ら 1121</t>
    <rPh sb="0" eb="3">
      <t>ナゴヤ</t>
    </rPh>
    <phoneticPr fontId="13"/>
  </si>
  <si>
    <t>WDD2052422F188854</t>
    <phoneticPr fontId="13"/>
  </si>
  <si>
    <t>岐阜 303 ね 7969</t>
    <rPh sb="0" eb="2">
      <t>ギフ</t>
    </rPh>
    <phoneticPr fontId="13"/>
  </si>
  <si>
    <t>WMWXS720502C47646</t>
    <phoneticPr fontId="13"/>
  </si>
  <si>
    <t>春日井 304 な 1</t>
    <rPh sb="0" eb="3">
      <t>カスガイ</t>
    </rPh>
    <phoneticPr fontId="13"/>
  </si>
  <si>
    <t>8/3/15</t>
    <phoneticPr fontId="13"/>
  </si>
  <si>
    <t>滋賀 583 は 3100</t>
    <rPh sb="0" eb="2">
      <t>シガ</t>
    </rPh>
    <phoneticPr fontId="13"/>
  </si>
  <si>
    <t>保証書 取説 ﾅﾋﾞ取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</si>
  <si>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9/1/28</t>
    <phoneticPr fontId="13"/>
  </si>
  <si>
    <t>滋賀 586 せ 2323</t>
    <rPh sb="0" eb="2">
      <t>シガ</t>
    </rPh>
    <phoneticPr fontId="13"/>
  </si>
  <si>
    <t>ハイゼットｶｰｺﾞ ﾃﾞﾗｯｸｽ</t>
    <phoneticPr fontId="13"/>
  </si>
  <si>
    <t>豊田 483 う 1114</t>
    <rPh sb="0" eb="2">
      <t>トヨタ</t>
    </rPh>
    <phoneticPr fontId="13"/>
  </si>
  <si>
    <t>松本 584 は 504</t>
    <rPh sb="0" eb="2">
      <t>マツモト</t>
    </rPh>
    <phoneticPr fontId="13"/>
  </si>
  <si>
    <t>一宮 580 ち 3097</t>
    <rPh sb="0" eb="2">
      <t>イチノミヤ</t>
    </rPh>
    <phoneticPr fontId="13"/>
  </si>
  <si>
    <t>三重 585 ち 3636</t>
    <rPh sb="0" eb="2">
      <t>ミエ</t>
    </rPh>
    <phoneticPr fontId="13"/>
  </si>
  <si>
    <t>26/4</t>
    <phoneticPr fontId="13"/>
  </si>
  <si>
    <t>三河 581 こ 6829</t>
    <rPh sb="0" eb="2">
      <t>ミカワ</t>
    </rPh>
    <phoneticPr fontId="13"/>
  </si>
  <si>
    <t>浜松 581 め 5044</t>
    <rPh sb="0" eb="2">
      <t>ハママツ</t>
    </rPh>
    <phoneticPr fontId="13"/>
  </si>
  <si>
    <t xml:space="preserve">ｱｳﾃﾞｨ S1 ｽﾎﾟｰﾂﾊﾞｯｸ </t>
    <phoneticPr fontId="13"/>
  </si>
  <si>
    <t>WAUZZZ8X3HB005788</t>
    <phoneticPr fontId="13"/>
  </si>
  <si>
    <t>京都 336 り 8282</t>
    <rPh sb="0" eb="2">
      <t>キョウト</t>
    </rPh>
    <phoneticPr fontId="13"/>
  </si>
  <si>
    <t>N-ONE ﾌﾟﾚﾐｱﾑ SS</t>
    <phoneticPr fontId="13"/>
  </si>
  <si>
    <t>9/6/26</t>
    <phoneticPr fontId="13"/>
  </si>
  <si>
    <t>岡崎 580 そ 9571</t>
    <rPh sb="0" eb="2">
      <t>オカザキ</t>
    </rPh>
    <phoneticPr fontId="13"/>
  </si>
  <si>
    <t>岡崎 580 ち 7667</t>
    <rPh sb="0" eb="2">
      <t>オカザキ</t>
    </rPh>
    <phoneticPr fontId="13"/>
  </si>
  <si>
    <t>保証書 取説 ｽﾍﾟｱｷｰ 地図SD B-CAS</t>
    <rPh sb="0" eb="3">
      <t>ホショウショ</t>
    </rPh>
    <rPh sb="4" eb="6">
      <t>トリセツ</t>
    </rPh>
    <rPh sb="14" eb="16">
      <t>チズ</t>
    </rPh>
    <phoneticPr fontId="13"/>
  </si>
  <si>
    <t>ﾜｺﾞﾝR HV FX</t>
    <phoneticPr fontId="13"/>
  </si>
  <si>
    <t>名古屋 582 ひ 7867</t>
    <rPh sb="0" eb="3">
      <t>ナゴヤ</t>
    </rPh>
    <phoneticPr fontId="13"/>
  </si>
  <si>
    <t>保証書 地図SD</t>
    <rPh sb="0" eb="3">
      <t>ホショウショ</t>
    </rPh>
    <rPh sb="4" eb="6">
      <t>チズ</t>
    </rPh>
    <phoneticPr fontId="13"/>
  </si>
  <si>
    <t>ﾜｺﾞﾝR ｽﾃｨﾝｸﾞﾚｰ X</t>
    <phoneticPr fontId="13"/>
  </si>
  <si>
    <t>三河 581 つ 1841</t>
    <rPh sb="0" eb="2">
      <t>ミカワ</t>
    </rPh>
    <phoneticPr fontId="13"/>
  </si>
  <si>
    <t>27-1039</t>
  </si>
  <si>
    <t>27-1040</t>
  </si>
  <si>
    <t>27-1041</t>
  </si>
  <si>
    <t>27-1042</t>
  </si>
  <si>
    <t>27-1043</t>
  </si>
  <si>
    <t>A303306</t>
    <phoneticPr fontId="13"/>
  </si>
  <si>
    <t>JF3-2316467</t>
    <phoneticPr fontId="13"/>
  </si>
  <si>
    <t>保証書 取説  ｽﾍﾟｱｷｰ ﾜﾝｵｰﾅｰ</t>
    <rPh sb="0" eb="3">
      <t>ホショウショ</t>
    </rPh>
    <rPh sb="4" eb="6">
      <t>トリセツ</t>
    </rPh>
    <phoneticPr fontId="13"/>
  </si>
  <si>
    <t>A302581</t>
    <phoneticPr fontId="13"/>
  </si>
  <si>
    <t>ｴﾌﾞﾘｲﾜｺﾞﾝ JPﾀｰﾎﾞ</t>
    <phoneticPr fontId="13"/>
  </si>
  <si>
    <t>DA17W-309911</t>
    <phoneticPr fontId="13"/>
  </si>
  <si>
    <t>A304489</t>
    <phoneticPr fontId="13"/>
  </si>
  <si>
    <t>TRH200-0369157</t>
    <phoneticPr fontId="13"/>
  </si>
  <si>
    <t>8/2/7</t>
    <phoneticPr fontId="13"/>
  </si>
  <si>
    <t>A303517</t>
    <phoneticPr fontId="13"/>
  </si>
  <si>
    <t>ｾﾚﾅ ﾗｲﾀﾞｰﾌﾞﾗｯｸﾗｲﾝ ZZS HV</t>
    <phoneticPr fontId="13"/>
  </si>
  <si>
    <t>HC26-119149</t>
    <phoneticPr fontId="13"/>
  </si>
  <si>
    <t>A302521</t>
    <phoneticPr fontId="13"/>
  </si>
  <si>
    <t>ｼﾞﾑﾆｰ XC</t>
    <phoneticPr fontId="13"/>
  </si>
  <si>
    <t>JB64W-251312</t>
    <phoneticPr fontId="13"/>
  </si>
  <si>
    <t>9/6/21</t>
    <phoneticPr fontId="13"/>
  </si>
  <si>
    <t>山口 330 ま 5300</t>
    <rPh sb="0" eb="2">
      <t>ヤマグチ</t>
    </rPh>
    <phoneticPr fontId="13"/>
  </si>
  <si>
    <t>保証書 取説 ｽﾍﾟｱｷｰ←ｽﾄｯｸ</t>
    <rPh sb="0" eb="3">
      <t>ホショウショ</t>
    </rPh>
    <rPh sb="4" eb="6">
      <t>トリセツ</t>
    </rPh>
    <phoneticPr fontId="13"/>
  </si>
  <si>
    <t>神戸 39A せ 7178</t>
    <rPh sb="0" eb="2">
      <t>コウベ</t>
    </rPh>
    <phoneticPr fontId="13"/>
  </si>
  <si>
    <t>ﾘﾓｺﾝ(車内)取説 ｷｰﾚｽ</t>
    <rPh sb="5" eb="7">
      <t>シャナイ</t>
    </rPh>
    <rPh sb="8" eb="10">
      <t>トリセツ</t>
    </rPh>
    <phoneticPr fontId="13"/>
  </si>
  <si>
    <t>ｷｰﾚｽ(車内)整備手帳 取説</t>
    <rPh sb="5" eb="7">
      <t>シャナイ</t>
    </rPh>
    <rPh sb="8" eb="12">
      <t>セイビテチョウ</t>
    </rPh>
    <rPh sb="13" eb="15">
      <t>トリセツ</t>
    </rPh>
    <phoneticPr fontId="13"/>
  </si>
  <si>
    <t>倉敷 583 あ 3138</t>
    <rPh sb="0" eb="2">
      <t>クラシキ</t>
    </rPh>
    <phoneticPr fontId="13"/>
  </si>
  <si>
    <t>淺野 美智子</t>
    <rPh sb="0" eb="2">
      <t>アサノ</t>
    </rPh>
    <rPh sb="3" eb="6">
      <t>ミチコ</t>
    </rPh>
    <phoneticPr fontId="13"/>
  </si>
  <si>
    <t>LA650S-0474447</t>
    <phoneticPr fontId="13"/>
  </si>
  <si>
    <t>ｼﾞｬｯｸｽﾘｰｽ株式会社</t>
    <rPh sb="9" eb="13">
      <t>カブシキガイシャ</t>
    </rPh>
    <phoneticPr fontId="13"/>
  </si>
  <si>
    <t>宮城 581 な 9012</t>
    <rPh sb="0" eb="2">
      <t>ミヤギ</t>
    </rPh>
    <phoneticPr fontId="13"/>
  </si>
  <si>
    <t>小野寺 加奈恵</t>
    <rPh sb="0" eb="3">
      <t>オノデラ</t>
    </rPh>
    <rPh sb="4" eb="7">
      <t>カナエ</t>
    </rPh>
    <phoneticPr fontId="13"/>
  </si>
  <si>
    <t>奈良 387 た 1001</t>
    <rPh sb="0" eb="2">
      <t>ナラ</t>
    </rPh>
    <phoneticPr fontId="13"/>
  </si>
  <si>
    <t>奈良ﾄﾖﾀ株式会社</t>
    <rPh sb="0" eb="2">
      <t>ナラ</t>
    </rPh>
    <rPh sb="5" eb="9">
      <t>カブシキガイシャ</t>
    </rPh>
    <phoneticPr fontId="13"/>
  </si>
  <si>
    <t>春日井 399 ち 8311</t>
    <rPh sb="0" eb="3">
      <t>カスガイ</t>
    </rPh>
    <phoneticPr fontId="13"/>
  </si>
  <si>
    <t>名古屋 326 み 232</t>
    <rPh sb="0" eb="3">
      <t>ナゴヤ</t>
    </rPh>
    <phoneticPr fontId="13"/>
  </si>
  <si>
    <t>株式会社EDEN</t>
    <rPh sb="0" eb="4">
      <t>カブシキガイシャ</t>
    </rPh>
    <phoneticPr fontId="13"/>
  </si>
  <si>
    <t>取説 ﾅﾋﾞ取 (車内)保証書 ｷｰﾚｽ ｶｰﾄﾞｷｰ</t>
    <rPh sb="0" eb="2">
      <t>トリセツ</t>
    </rPh>
    <rPh sb="6" eb="7">
      <t>トリ</t>
    </rPh>
    <rPh sb="9" eb="11">
      <t>シャナイ</t>
    </rPh>
    <rPh sb="12" eb="15">
      <t>ホショウショ</t>
    </rPh>
    <phoneticPr fontId="13"/>
  </si>
  <si>
    <t>品川 5X1 ろ 179</t>
    <rPh sb="0" eb="2">
      <t>シナガワ</t>
    </rPh>
    <phoneticPr fontId="13"/>
  </si>
  <si>
    <t>27-1044</t>
  </si>
  <si>
    <t>HA36S-933429</t>
    <phoneticPr fontId="13"/>
  </si>
  <si>
    <t>27-1045</t>
  </si>
  <si>
    <t>27-1046</t>
  </si>
  <si>
    <t>ﾙﾉｰｶﾝｸﾞｰ ｾﾞﾝ</t>
    <phoneticPr fontId="13"/>
  </si>
  <si>
    <t>VF1KW14B3L0819782</t>
    <phoneticPr fontId="13"/>
  </si>
  <si>
    <t>久留米 337 は 113</t>
    <rPh sb="0" eb="3">
      <t>クルメ</t>
    </rPh>
    <phoneticPr fontId="13"/>
  </si>
  <si>
    <t>ﾒﾙｾﾃﾞｽﾍﾞﾝﾂ Eｸﾗｽｽﾃｰｼｮﾝﾜｺﾞﾝ E43</t>
    <phoneticPr fontId="13"/>
  </si>
  <si>
    <t>WDD2132642A296093</t>
    <phoneticPr fontId="13"/>
  </si>
  <si>
    <t>長崎 330 つ 5375</t>
    <rPh sb="0" eb="2">
      <t>ナガサキ</t>
    </rPh>
    <phoneticPr fontId="13"/>
  </si>
  <si>
    <t>保証書 ｽﾍﾟｱｷｰ ﾜﾝｵｰﾅｰ 名変期間10/31まで</t>
    <rPh sb="0" eb="3">
      <t>ホショウショ</t>
    </rPh>
    <rPh sb="18" eb="22">
      <t>メイヘンキカン</t>
    </rPh>
    <phoneticPr fontId="13"/>
  </si>
  <si>
    <t>保証書 取説 (車内)ｽﾍﾟｱｷｰ</t>
    <rPh sb="0" eb="3">
      <t>ホショウショ</t>
    </rPh>
    <rPh sb="4" eb="6">
      <t>トリセツ</t>
    </rPh>
    <rPh sb="8" eb="10">
      <t>シャナイ</t>
    </rPh>
    <phoneticPr fontId="13"/>
  </si>
  <si>
    <t xml:space="preserve">保証書　取説　ｷｰﾚｽ </t>
    <rPh sb="0" eb="3">
      <t>ホショウショ</t>
    </rPh>
    <rPh sb="4" eb="6">
      <t>トリセツ</t>
    </rPh>
    <phoneticPr fontId="13"/>
  </si>
  <si>
    <t>充電ｹｰﾌﾞﾙ言われたら伴さん連絡する</t>
    <rPh sb="0" eb="2">
      <t>ジュウデン</t>
    </rPh>
    <rPh sb="7" eb="8">
      <t>イ</t>
    </rPh>
    <rPh sb="12" eb="13">
      <t>バン</t>
    </rPh>
    <rPh sb="15" eb="17">
      <t>レンラク</t>
    </rPh>
    <phoneticPr fontId="13"/>
  </si>
  <si>
    <t>保証書 取説 ｷｰﾚｽ(車内)ﾚﾝﾀｶｰ</t>
    <rPh sb="0" eb="3">
      <t>ホショウショ</t>
    </rPh>
    <rPh sb="4" eb="6">
      <t>トリセツ</t>
    </rPh>
    <rPh sb="12" eb="14">
      <t>シャナイ</t>
    </rPh>
    <phoneticPr fontId="13"/>
  </si>
  <si>
    <t>土浦 301 は 5808</t>
    <rPh sb="0" eb="2">
      <t>ツチウラ</t>
    </rPh>
    <phoneticPr fontId="13"/>
  </si>
  <si>
    <t>北岡 竜希</t>
    <rPh sb="0" eb="2">
      <t>キタオカ</t>
    </rPh>
    <rPh sb="3" eb="4">
      <t>リュウ</t>
    </rPh>
    <rPh sb="4" eb="5">
      <t>ノゾミ</t>
    </rPh>
    <phoneticPr fontId="13"/>
  </si>
  <si>
    <t>仙台 483 え 3588</t>
    <rPh sb="0" eb="2">
      <t>センダイ</t>
    </rPh>
    <phoneticPr fontId="13"/>
  </si>
  <si>
    <t>株式会社ｽｽﾞｷ自販宮城</t>
    <rPh sb="0" eb="4">
      <t>カブシキガイシャ</t>
    </rPh>
    <rPh sb="8" eb="10">
      <t>ジハン</t>
    </rPh>
    <rPh sb="10" eb="12">
      <t>ミヤギ</t>
    </rPh>
    <phoneticPr fontId="13"/>
  </si>
  <si>
    <t>なにわ 5P6 ろ 7170</t>
    <phoneticPr fontId="13"/>
  </si>
  <si>
    <t>島根 581 う 7010</t>
    <rPh sb="0" eb="2">
      <t>シマネ</t>
    </rPh>
    <phoneticPr fontId="13"/>
  </si>
  <si>
    <t>島根ﾀﾞｲﾊﾂ販売株式会社</t>
    <rPh sb="0" eb="2">
      <t>シマネ</t>
    </rPh>
    <rPh sb="8" eb="12">
      <t>カブシキガイシャ</t>
    </rPh>
    <phoneticPr fontId="13"/>
  </si>
  <si>
    <t>27-1047</t>
  </si>
  <si>
    <t>27-1048</t>
  </si>
  <si>
    <t>27-1049</t>
  </si>
  <si>
    <t>27-1050</t>
  </si>
  <si>
    <t>27-1051</t>
  </si>
  <si>
    <t>27-1052</t>
  </si>
  <si>
    <t>27-1053</t>
  </si>
  <si>
    <t>27-1054</t>
  </si>
  <si>
    <t>27-1055</t>
  </si>
  <si>
    <t>27-1056</t>
  </si>
  <si>
    <t>ｱｳﾃﾞｨ A6 ｱﾊﾞﾝﾄ ｸﾜﾄﾛ</t>
    <phoneticPr fontId="13"/>
  </si>
  <si>
    <t>WAUZZZ4G6JN036821</t>
    <phoneticPr fontId="13"/>
  </si>
  <si>
    <t>横浜 306 ち 3613</t>
    <rPh sb="0" eb="2">
      <t>ヨコハマ</t>
    </rPh>
    <phoneticPr fontId="13"/>
  </si>
  <si>
    <t>取説 整備手帳 ｽﾍﾟｱｷｰ</t>
    <rPh sb="0" eb="2">
      <t>トリセツ</t>
    </rPh>
    <rPh sb="3" eb="7">
      <t>セイビテチョウ</t>
    </rPh>
    <phoneticPr fontId="13"/>
  </si>
  <si>
    <t>27-1057</t>
  </si>
  <si>
    <t>27-1058</t>
  </si>
  <si>
    <t>27-1059</t>
  </si>
  <si>
    <t>27-1060</t>
  </si>
  <si>
    <t>27-1061</t>
  </si>
  <si>
    <t>27-1062</t>
  </si>
  <si>
    <t>B21W-0623055</t>
    <phoneticPr fontId="13"/>
  </si>
  <si>
    <t>N-BOX G ｽﾛｰﾌﾟﾎﾝﾀﾞｾﾝｼﾝｸﾞ</t>
    <phoneticPr fontId="13"/>
  </si>
  <si>
    <t>JF3-8401753</t>
    <phoneticPr fontId="13"/>
  </si>
  <si>
    <t>8/7/14</t>
    <phoneticPr fontId="13"/>
  </si>
  <si>
    <t>徳島 580 め 6508</t>
    <rPh sb="0" eb="2">
      <t>トクシマ</t>
    </rPh>
    <phoneticPr fontId="13"/>
  </si>
  <si>
    <t>HE33S-151603</t>
    <phoneticPr fontId="13"/>
  </si>
  <si>
    <t>K880K-0043359</t>
    <phoneticPr fontId="13"/>
  </si>
  <si>
    <t>26/？</t>
    <phoneticPr fontId="13"/>
  </si>
  <si>
    <t>JB23W-710421</t>
    <phoneticPr fontId="13"/>
  </si>
  <si>
    <t>倉敷 580 ち 3426</t>
    <rPh sb="0" eb="2">
      <t>クラシキ</t>
    </rPh>
    <phoneticPr fontId="13"/>
  </si>
  <si>
    <t>ﾃﾞｲｽﾞﾙｰｸｽ ﾊｲｳｪｲｽﾀｰX</t>
    <phoneticPr fontId="13"/>
  </si>
  <si>
    <t>B21A-0553070</t>
    <phoneticPr fontId="13"/>
  </si>
  <si>
    <t>DA64W-443480</t>
    <phoneticPr fontId="13"/>
  </si>
  <si>
    <t>ｱﾙﾄ ﾜｰｸｽ</t>
    <phoneticPr fontId="13"/>
  </si>
  <si>
    <t>HA36S-887130</t>
    <phoneticPr fontId="13"/>
  </si>
  <si>
    <t>高知 580 ね 390</t>
    <rPh sb="0" eb="2">
      <t>コウチ</t>
    </rPh>
    <phoneticPr fontId="13"/>
  </si>
  <si>
    <t>ﾀﾝﾄ ｶｽﾀﾑ X</t>
    <phoneticPr fontId="13"/>
  </si>
  <si>
    <t>LA650S-0225220</t>
    <phoneticPr fontId="13"/>
  </si>
  <si>
    <t>ｼﾄﾛｴﾝ C3 ｴｱﾛｸﾛｽSUV ｼｬｲﾝ ﾊﾟｯｸ</t>
    <phoneticPr fontId="13"/>
  </si>
  <si>
    <t>VF72RHNS1N4354761</t>
    <phoneticPr fontId="13"/>
  </si>
  <si>
    <t>8/3/22</t>
    <phoneticPr fontId="13"/>
  </si>
  <si>
    <t>なにわ 368 み 12</t>
    <phoneticPr fontId="13"/>
  </si>
  <si>
    <t>ﾒﾙｾﾃﾞｽﾍﾞﾝﾂ B180</t>
    <phoneticPr fontId="13"/>
  </si>
  <si>
    <t>WDD2462422J526781</t>
    <phoneticPr fontId="13"/>
  </si>
  <si>
    <t>保証書  取説 ｽﾍﾟｱｷｰ</t>
    <rPh sb="0" eb="3">
      <t>ホショウショ</t>
    </rPh>
    <rPh sb="5" eb="7">
      <t>トリセツ</t>
    </rPh>
    <phoneticPr fontId="13"/>
  </si>
  <si>
    <t>ﾒﾙｾﾃﾞｽﾍﾞﾝﾂ B200d AMGﾗｲﾝ</t>
    <phoneticPr fontId="13"/>
  </si>
  <si>
    <t>京都 355 ら 3636</t>
    <rPh sb="0" eb="2">
      <t>キョウト</t>
    </rPh>
    <phoneticPr fontId="13"/>
  </si>
  <si>
    <t>WMWXM520403A03432</t>
    <phoneticPr fontId="13"/>
  </si>
  <si>
    <t>鳥取 300 ぬ 7412</t>
    <rPh sb="0" eb="2">
      <t>トットリ</t>
    </rPh>
    <phoneticPr fontId="13"/>
  </si>
  <si>
    <t>VW ｻﾞﾋﾞｰﾄﾙ ﾃﾞｻﾞｲﾝ</t>
    <phoneticPr fontId="13"/>
  </si>
  <si>
    <t>WVWZZZ16ZHM612130</t>
    <phoneticPr fontId="13"/>
  </si>
  <si>
    <t>神戸 327 ま 1118</t>
    <rPh sb="0" eb="2">
      <t>コウベ</t>
    </rPh>
    <phoneticPr fontId="13"/>
  </si>
  <si>
    <t>BMWﾐﾆｸｰﾊﾟｰD ｸﾗﾌﾞﾏﾝ</t>
    <phoneticPr fontId="13"/>
  </si>
  <si>
    <t>WMW72BB0702M55902</t>
    <phoneticPr fontId="13"/>
  </si>
  <si>
    <t>W1K2470122J277510</t>
    <phoneticPr fontId="13"/>
  </si>
  <si>
    <t>非課税申告済</t>
    <rPh sb="0" eb="3">
      <t>ヒカゼイ</t>
    </rPh>
    <rPh sb="3" eb="5">
      <t>シンコク</t>
    </rPh>
    <rPh sb="5" eb="6">
      <t>ズ</t>
    </rPh>
    <phoneticPr fontId="13"/>
  </si>
  <si>
    <t>株式会社中国ﾎﾝﾀﾞ販売</t>
    <rPh sb="4" eb="6">
      <t>チュウゴク</t>
    </rPh>
    <rPh sb="10" eb="12">
      <t>ハンバイ</t>
    </rPh>
    <phoneticPr fontId="13"/>
  </si>
  <si>
    <t>ｷｬﾝｾﾙ 書類返送10/7</t>
    <rPh sb="6" eb="8">
      <t>ショルイ</t>
    </rPh>
    <rPh sb="8" eb="10">
      <t>ヘンソウ</t>
    </rPh>
    <phoneticPr fontId="13"/>
  </si>
  <si>
    <t>A305030</t>
    <phoneticPr fontId="13"/>
  </si>
  <si>
    <t>5/6</t>
    <phoneticPr fontId="13"/>
  </si>
  <si>
    <t>ｸﾞﾘｰﾝ</t>
    <phoneticPr fontId="13"/>
  </si>
  <si>
    <t>ｱｸｱ　X</t>
    <phoneticPr fontId="13"/>
  </si>
  <si>
    <t>MXPK11ｰ2141168</t>
    <phoneticPr fontId="13"/>
  </si>
  <si>
    <t>8/6/26</t>
    <phoneticPr fontId="13"/>
  </si>
  <si>
    <t>A305284</t>
    <phoneticPr fontId="13"/>
  </si>
  <si>
    <t>29/9</t>
    <phoneticPr fontId="13"/>
  </si>
  <si>
    <t>赤</t>
    <rPh sb="0" eb="1">
      <t>アカ</t>
    </rPh>
    <phoneticPr fontId="13"/>
  </si>
  <si>
    <t>ｱｸｾﾗｽﾎﾟｰﾂ　22XD　Lﾊﾟｯｹｰｼﾞ</t>
    <phoneticPr fontId="13"/>
  </si>
  <si>
    <t>BM2FS-202163</t>
    <phoneticPr fontId="13"/>
  </si>
  <si>
    <t>8/4/10</t>
    <phoneticPr fontId="13"/>
  </si>
  <si>
    <t>保証書　</t>
    <rPh sb="0" eb="3">
      <t>ホショウショ</t>
    </rPh>
    <phoneticPr fontId="13"/>
  </si>
  <si>
    <t>A305080</t>
    <phoneticPr fontId="13"/>
  </si>
  <si>
    <t>ｼﾙﾊﾞｰ</t>
    <phoneticPr fontId="13"/>
  </si>
  <si>
    <t>ｼｴﾝﾀ　ﾊｲﾌﾞﾘｯﾄ　ﾌｧﾝﾍﾞｰｽ</t>
    <phoneticPr fontId="13"/>
  </si>
  <si>
    <t>NHP170-7173500</t>
    <phoneticPr fontId="13"/>
  </si>
  <si>
    <t>8/5</t>
    <phoneticPr fontId="13"/>
  </si>
  <si>
    <t>保証書　取説　</t>
    <rPh sb="4" eb="6">
      <t>トリセツ</t>
    </rPh>
    <phoneticPr fontId="13"/>
  </si>
  <si>
    <t>A296389</t>
    <phoneticPr fontId="13"/>
  </si>
  <si>
    <t>30/10</t>
    <phoneticPr fontId="13"/>
  </si>
  <si>
    <t>ﾍﾞｰｼﾞｭ</t>
    <phoneticPr fontId="13"/>
  </si>
  <si>
    <t>ﾑｰﾌﾞｷｬﾝﾊﾞｽ　XﾒｲｸｱｯﾌﾟﾘﾐﾃｯﾄﾞSA3</t>
    <phoneticPr fontId="13"/>
  </si>
  <si>
    <t>LA800S-0137062</t>
    <phoneticPr fontId="13"/>
  </si>
  <si>
    <t>７/10/9</t>
    <phoneticPr fontId="13"/>
  </si>
  <si>
    <t>取説　ﾜﾝｵｰﾅｰ　車検切れ</t>
    <rPh sb="0" eb="2">
      <t>トリセツ</t>
    </rPh>
    <rPh sb="10" eb="12">
      <t>シャケン</t>
    </rPh>
    <rPh sb="12" eb="13">
      <t>キ</t>
    </rPh>
    <phoneticPr fontId="13"/>
  </si>
  <si>
    <t>A303197</t>
    <phoneticPr fontId="13"/>
  </si>
  <si>
    <t>5/5</t>
    <phoneticPr fontId="13"/>
  </si>
  <si>
    <t>黒</t>
    <rPh sb="0" eb="1">
      <t>クロ</t>
    </rPh>
    <phoneticPr fontId="13"/>
  </si>
  <si>
    <t>ｸﾗｳﾝ　ｸﾛｽｵｰﾊﾞｰ　G　ｱﾊﾞﾝｽﾄﾞ</t>
    <phoneticPr fontId="13"/>
  </si>
  <si>
    <t>AZSH35-6009076</t>
    <phoneticPr fontId="13"/>
  </si>
  <si>
    <t>8/5/29</t>
    <phoneticPr fontId="13"/>
  </si>
  <si>
    <t>R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</si>
  <si>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</si>
  <si>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A305139</t>
    <phoneticPr fontId="13"/>
  </si>
  <si>
    <t>26/11</t>
    <phoneticPr fontId="13"/>
  </si>
  <si>
    <t>ｸﾞﾚｰ</t>
    <phoneticPr fontId="13"/>
  </si>
  <si>
    <t>ﾑｰﾌﾞｶｽﾀﾑ　XﾘﾐﾃｯﾄﾞSA</t>
    <phoneticPr fontId="13"/>
  </si>
  <si>
    <t>LA100S-1112958</t>
    <phoneticPr fontId="13"/>
  </si>
  <si>
    <t>７/11/25</t>
    <phoneticPr fontId="13"/>
  </si>
  <si>
    <t>保証書　取説</t>
    <rPh sb="0" eb="3">
      <t>ホショウショ</t>
    </rPh>
    <rPh sb="4" eb="6">
      <t>トリセツ</t>
    </rPh>
    <phoneticPr fontId="13"/>
  </si>
  <si>
    <t>A305170</t>
    <phoneticPr fontId="13"/>
  </si>
  <si>
    <t>5/1</t>
    <phoneticPr fontId="13"/>
  </si>
  <si>
    <t>AZSH35-4002250</t>
    <phoneticPr fontId="13"/>
  </si>
  <si>
    <t>8/1/4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</si>
  <si>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</si>
  <si>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A304732</t>
    <phoneticPr fontId="13"/>
  </si>
  <si>
    <t>29/3</t>
    <phoneticPr fontId="13"/>
  </si>
  <si>
    <t>ﾊﾟｰﾙ</t>
    <phoneticPr fontId="13"/>
  </si>
  <si>
    <t>C-HR　G</t>
    <phoneticPr fontId="13"/>
  </si>
  <si>
    <t>ZYX10-2024660</t>
    <phoneticPr fontId="13"/>
  </si>
  <si>
    <t>8/5/15</t>
    <phoneticPr fontId="13"/>
  </si>
  <si>
    <t>A303730</t>
    <phoneticPr fontId="13"/>
  </si>
  <si>
    <t>30/11</t>
    <phoneticPr fontId="13"/>
  </si>
  <si>
    <t>ﾚｸｻｽ　RX300　Fｽﾎﾟｰﾂ</t>
    <phoneticPr fontId="13"/>
  </si>
  <si>
    <t>AGL20-0011349</t>
    <phoneticPr fontId="13"/>
  </si>
  <si>
    <t>7/11/20</t>
    <phoneticPr fontId="13"/>
  </si>
  <si>
    <t>A305121</t>
    <phoneticPr fontId="13"/>
  </si>
  <si>
    <t>1/11</t>
    <phoneticPr fontId="13"/>
  </si>
  <si>
    <t>白</t>
    <rPh sb="0" eb="1">
      <t>シロ</t>
    </rPh>
    <phoneticPr fontId="13"/>
  </si>
  <si>
    <t>NT100　ｸﾘｯﾊﾟｰﾄﾗｯｸ</t>
    <phoneticPr fontId="13"/>
  </si>
  <si>
    <t>DR16T-396448</t>
    <phoneticPr fontId="13"/>
  </si>
  <si>
    <t>7/11/10</t>
    <phoneticPr fontId="13"/>
  </si>
  <si>
    <t>A299835</t>
    <phoneticPr fontId="13"/>
  </si>
  <si>
    <t>3/1</t>
    <phoneticPr fontId="13"/>
  </si>
  <si>
    <t>青</t>
    <rPh sb="0" eb="1">
      <t>アオ</t>
    </rPh>
    <phoneticPr fontId="13"/>
  </si>
  <si>
    <t>MR52S-128599</t>
    <phoneticPr fontId="13"/>
  </si>
  <si>
    <t>8/1/28</t>
    <phoneticPr fontId="13"/>
  </si>
  <si>
    <t>保証書　取説　ｽﾍﾟｱｷｰ　　ﾜﾝｵｰﾅｰ</t>
    <rPh sb="0" eb="3">
      <t>ホショウショ</t>
    </rPh>
    <rPh sb="4" eb="6">
      <t>トリセツ</t>
    </rPh>
    <phoneticPr fontId="13"/>
  </si>
  <si>
    <t>A303264</t>
    <phoneticPr fontId="13"/>
  </si>
  <si>
    <t>3/11</t>
    <phoneticPr fontId="13"/>
  </si>
  <si>
    <t>ｽｲﾌﾄ　ｽﾎﾟｰﾂ</t>
    <phoneticPr fontId="13"/>
  </si>
  <si>
    <t>ZC33S-416685</t>
    <phoneticPr fontId="13"/>
  </si>
  <si>
    <t>8/11/23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</si>
  <si>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</si>
  <si>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A304266</t>
    <phoneticPr fontId="13"/>
  </si>
  <si>
    <t>１/2</t>
    <phoneticPr fontId="13"/>
  </si>
  <si>
    <t>ｼｴﾝﾀ　G</t>
    <phoneticPr fontId="13"/>
  </si>
  <si>
    <t>NSP170-7191162</t>
    <phoneticPr fontId="13"/>
  </si>
  <si>
    <t>8/2/25</t>
    <phoneticPr fontId="13"/>
  </si>
  <si>
    <t>A302025</t>
    <phoneticPr fontId="13"/>
  </si>
  <si>
    <t>30/3</t>
    <phoneticPr fontId="13"/>
  </si>
  <si>
    <t>ﾈｲﾋﾞｰ</t>
    <phoneticPr fontId="13"/>
  </si>
  <si>
    <t>CX5　XDLﾊﾟｯｹｰｼﾞ</t>
    <phoneticPr fontId="13"/>
  </si>
  <si>
    <t>KF2P-200931</t>
    <phoneticPr fontId="13"/>
  </si>
  <si>
    <t>9/3/14</t>
    <phoneticPr fontId="13"/>
  </si>
  <si>
    <t>A304807</t>
    <phoneticPr fontId="13"/>
  </si>
  <si>
    <t>4/9</t>
    <phoneticPr fontId="13"/>
  </si>
  <si>
    <t>黄色</t>
    <rPh sb="0" eb="2">
      <t>キイロ</t>
    </rPh>
    <phoneticPr fontId="13"/>
  </si>
  <si>
    <t>ｽﾍﾟｰｼｱｷﾞｱ　ﾊｲﾌﾞﾘｯﾄXZﾀｰﾎﾞ</t>
    <phoneticPr fontId="13"/>
  </si>
  <si>
    <t>MK53S-976825</t>
    <phoneticPr fontId="13"/>
  </si>
  <si>
    <t>9/9/19</t>
    <phoneticPr fontId="13"/>
  </si>
  <si>
    <t>A304894</t>
    <phoneticPr fontId="13"/>
  </si>
  <si>
    <t>4/11</t>
    <phoneticPr fontId="13"/>
  </si>
  <si>
    <t>ｼｴﾝﾀ　ﾊｲﾌﾞﾘｯﾄZ</t>
    <phoneticPr fontId="13"/>
  </si>
  <si>
    <t>MXPL10-1004573</t>
    <phoneticPr fontId="13"/>
  </si>
  <si>
    <t>7/11/24</t>
    <phoneticPr fontId="13"/>
  </si>
  <si>
    <t>HAA神戸</t>
    <rPh sb="3" eb="5">
      <t>コウベ</t>
    </rPh>
    <phoneticPr fontId="13"/>
  </si>
  <si>
    <t>HAA神戸</t>
    <phoneticPr fontId="13"/>
  </si>
  <si>
    <t>USS神戸(ﾜﾝｸﾘ)</t>
    <rPh sb="3" eb="5">
      <t>コウベ</t>
    </rPh>
    <phoneticPr fontId="13"/>
  </si>
  <si>
    <t>保証書　取説 ｽﾍﾟｱｷｰ ﾜﾝｵｰﾅｰ</t>
    <rPh sb="0" eb="3">
      <t>ホショウショ</t>
    </rPh>
    <rPh sb="4" eb="6">
      <t>トリセツ</t>
    </rPh>
    <phoneticPr fontId="13"/>
  </si>
  <si>
    <t>27-1063</t>
  </si>
  <si>
    <t>27-1064</t>
  </si>
  <si>
    <t>27-1065</t>
  </si>
  <si>
    <t>27-1066</t>
  </si>
  <si>
    <t>27-1067</t>
  </si>
  <si>
    <t>27-1068</t>
  </si>
  <si>
    <t>27-1069</t>
  </si>
  <si>
    <t>27-1070</t>
  </si>
  <si>
    <t>27-1071</t>
  </si>
  <si>
    <t>27-1072</t>
  </si>
  <si>
    <t>27-1073</t>
  </si>
  <si>
    <t>27-1074</t>
  </si>
  <si>
    <t>27-1075</t>
  </si>
  <si>
    <t>27-1076</t>
  </si>
  <si>
    <t>27-1077</t>
  </si>
  <si>
    <t>27-1078</t>
  </si>
  <si>
    <t>27-1079</t>
  </si>
  <si>
    <t>27-1080</t>
  </si>
  <si>
    <t>27-1081</t>
  </si>
  <si>
    <t>27-1082</t>
  </si>
  <si>
    <t>27-1083</t>
  </si>
  <si>
    <t>27-1084</t>
  </si>
  <si>
    <t>27-1085</t>
  </si>
  <si>
    <t>27-1086</t>
  </si>
  <si>
    <t>27-1087</t>
  </si>
  <si>
    <t>ﾊｽﾗｰ　Jｽﾀｲﾙﾀｰﾎﾞ</t>
    <phoneticPr fontId="13"/>
  </si>
  <si>
    <t>BMW 3ｼﾘｰｽﾞ 320iMｽﾎﾟｰﾂ</t>
    <phoneticPr fontId="13"/>
  </si>
  <si>
    <t>大阪 535 は 924</t>
    <rPh sb="0" eb="2">
      <t>オオサカ</t>
    </rPh>
    <phoneticPr fontId="13"/>
  </si>
  <si>
    <t xml:space="preserve">BMWﾐﾆｸｰﾊﾟｰD </t>
    <phoneticPr fontId="13"/>
  </si>
  <si>
    <t>大阪 334 と 1975</t>
    <rPh sb="0" eb="2">
      <t>オオサカ</t>
    </rPh>
    <phoneticPr fontId="13"/>
  </si>
  <si>
    <t>BMWﾐﾆｸｰﾊﾟｰS ｸﾗｼｯｸﾄﾘﾑ</t>
    <phoneticPr fontId="13"/>
  </si>
  <si>
    <t>岡山 301 ひ 3711</t>
    <rPh sb="0" eb="2">
      <t>オカヤマ</t>
    </rPh>
    <phoneticPr fontId="13"/>
  </si>
  <si>
    <t>BMW 2ｼﾘｰｽﾞ ｸｰﾍﾟMｽﾎﾟｰﾂ</t>
    <phoneticPr fontId="13"/>
  </si>
  <si>
    <t>MJ34S-110098</t>
    <phoneticPr fontId="13"/>
  </si>
  <si>
    <t>浜松 581 て 6170</t>
    <rPh sb="0" eb="2">
      <t>ハママツ</t>
    </rPh>
    <phoneticPr fontId="13"/>
  </si>
  <si>
    <t>ｴﾌﾞﾘｲﾜｺﾞﾝ PZTBﾊｲﾙｰﾌ</t>
    <phoneticPr fontId="13"/>
  </si>
  <si>
    <t>DA17W-251582</t>
    <phoneticPr fontId="13"/>
  </si>
  <si>
    <t>富士山 589 ぬ 225</t>
    <rPh sb="0" eb="3">
      <t>フジサン</t>
    </rPh>
    <phoneticPr fontId="13"/>
  </si>
  <si>
    <t>LA350S-0226114</t>
    <phoneticPr fontId="13"/>
  </si>
  <si>
    <t>WMWXT720302H18576</t>
    <phoneticPr fontId="13"/>
  </si>
  <si>
    <t>ｽﾏｰﾄｷｰ車内確認 保証書 取説</t>
    <rPh sb="6" eb="8">
      <t>シャナイ</t>
    </rPh>
    <rPh sb="8" eb="10">
      <t>カクニン</t>
    </rPh>
    <rPh sb="11" eb="14">
      <t>ホショウショ</t>
    </rPh>
    <rPh sb="15" eb="17">
      <t>トリセツ</t>
    </rPh>
    <phoneticPr fontId="13"/>
  </si>
  <si>
    <t>17/7</t>
    <phoneticPr fontId="13"/>
  </si>
  <si>
    <t>ﾊｲｾﾞｯﾄﾄﾗｯｸ ﾊﾟﾜｽﾃｽﾍﾟｼｬﾙ</t>
    <phoneticPr fontId="13"/>
  </si>
  <si>
    <t>S210P-2024076</t>
    <phoneticPr fontId="13"/>
  </si>
  <si>
    <t>ｴﾌﾞﾘｲ PCﾊﾞｯｸｶﾒﾗ付ﾃﾞｨｽﾌﾟﾚｲｵｰﾃﾞｨｵ</t>
    <rPh sb="15" eb="16">
      <t>ツ</t>
    </rPh>
    <phoneticPr fontId="13"/>
  </si>
  <si>
    <t>DA17V-693597</t>
    <phoneticPr fontId="13"/>
  </si>
  <si>
    <t>ﾋﾟｸｼｽｴﾎﾟｯｸ L SA3</t>
    <phoneticPr fontId="13"/>
  </si>
  <si>
    <t>LA350A-0040070</t>
    <phoneticPr fontId="13"/>
  </si>
  <si>
    <t>LA350S-0445737</t>
    <phoneticPr fontId="13"/>
  </si>
  <si>
    <t>高知 599 ち 1</t>
    <rPh sb="0" eb="2">
      <t>コウチ</t>
    </rPh>
    <phoneticPr fontId="13"/>
  </si>
  <si>
    <t>LA350S-0343348</t>
    <phoneticPr fontId="13"/>
  </si>
  <si>
    <t>DA17W-343087</t>
    <phoneticPr fontId="13"/>
  </si>
  <si>
    <t>神戸 582 や 8813</t>
    <rPh sb="0" eb="2">
      <t>コウベ</t>
    </rPh>
    <phoneticPr fontId="13"/>
  </si>
  <si>
    <t>ﾊｽﾗｰ　G</t>
    <phoneticPr fontId="13"/>
  </si>
  <si>
    <t>MR41S-207182</t>
    <phoneticPr fontId="13"/>
  </si>
  <si>
    <t>LA350S-0280533</t>
    <phoneticPr fontId="13"/>
  </si>
  <si>
    <t>高知 580 み 2763</t>
    <rPh sb="0" eb="2">
      <t>コウチ</t>
    </rPh>
    <phoneticPr fontId="13"/>
  </si>
  <si>
    <t>DA64W-440704</t>
    <phoneticPr fontId="13"/>
  </si>
  <si>
    <t>582 い 954</t>
    <phoneticPr fontId="13"/>
  </si>
  <si>
    <t>582 い 943</t>
    <phoneticPr fontId="13"/>
  </si>
  <si>
    <t>582 い 948</t>
    <phoneticPr fontId="13"/>
  </si>
  <si>
    <t>582 い 951</t>
    <phoneticPr fontId="13"/>
  </si>
  <si>
    <t>582 い 946</t>
    <phoneticPr fontId="13"/>
  </si>
  <si>
    <t>582 い 945</t>
    <phoneticPr fontId="13"/>
  </si>
  <si>
    <t>582 い 955</t>
    <phoneticPr fontId="13"/>
  </si>
  <si>
    <t>582 い 950</t>
    <phoneticPr fontId="13"/>
  </si>
  <si>
    <t>582 い 952</t>
    <phoneticPr fontId="13"/>
  </si>
  <si>
    <t>582 い 947</t>
    <phoneticPr fontId="13"/>
  </si>
  <si>
    <t>582 い 944</t>
    <phoneticPr fontId="13"/>
  </si>
  <si>
    <t>ﾊｽﾗｰ ﾜﾝﾀﾞﾗｰ</t>
    <phoneticPr fontId="13"/>
  </si>
  <si>
    <t>MR41S-359225</t>
    <phoneticPr fontId="13"/>
  </si>
  <si>
    <t>広島 587 て 215</t>
    <rPh sb="0" eb="2">
      <t>ヒロシマ</t>
    </rPh>
    <phoneticPr fontId="13"/>
  </si>
  <si>
    <t>S700V-0024072</t>
    <phoneticPr fontId="13"/>
  </si>
  <si>
    <t>福山 480 せ 2028</t>
    <rPh sb="0" eb="2">
      <t>フクヤマ</t>
    </rPh>
    <phoneticPr fontId="13"/>
  </si>
  <si>
    <t>保証書 取説 ﾅﾋﾞ取 予備ｷｰ</t>
    <rPh sb="0" eb="3">
      <t>ホショウショ</t>
    </rPh>
    <rPh sb="4" eb="6">
      <t>トリセツ</t>
    </rPh>
    <rPh sb="10" eb="11">
      <t>トリ</t>
    </rPh>
    <rPh sb="12" eb="14">
      <t>ヨビ</t>
    </rPh>
    <phoneticPr fontId="13"/>
  </si>
  <si>
    <t>尾張小牧 534 も 823</t>
    <rPh sb="0" eb="4">
      <t>オワリコマキ</t>
    </rPh>
    <phoneticPr fontId="13"/>
  </si>
  <si>
    <t>岡崎 理津子</t>
    <rPh sb="0" eb="2">
      <t>オカザキ</t>
    </rPh>
    <rPh sb="3" eb="6">
      <t>リツコ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</si>
  <si>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</si>
  <si>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香川 586 う 226</t>
    <rPh sb="0" eb="2">
      <t>カガワ</t>
    </rPh>
    <phoneticPr fontId="13"/>
  </si>
  <si>
    <t>亀井 友記</t>
    <rPh sb="0" eb="2">
      <t>カメイ</t>
    </rPh>
    <rPh sb="3" eb="4">
      <t>トモ</t>
    </rPh>
    <rPh sb="4" eb="5">
      <t>キ</t>
    </rPh>
    <phoneticPr fontId="13"/>
  </si>
  <si>
    <t>川崎 501 ぬ 4241</t>
    <rPh sb="0" eb="2">
      <t>カワサキ</t>
    </rPh>
    <phoneticPr fontId="13"/>
  </si>
  <si>
    <t>髙山 慧大</t>
    <rPh sb="0" eb="2">
      <t>タカヤマ</t>
    </rPh>
    <rPh sb="3" eb="4">
      <t>サトシ</t>
    </rPh>
    <rPh sb="4" eb="5">
      <t>ダイ</t>
    </rPh>
    <phoneticPr fontId="13"/>
  </si>
  <si>
    <t>四日市 580 ろ 9347</t>
    <rPh sb="0" eb="3">
      <t>ヨッカイチ</t>
    </rPh>
    <phoneticPr fontId="13"/>
  </si>
  <si>
    <t>永井自動車工業株式会社</t>
    <rPh sb="0" eb="2">
      <t>ナガイ</t>
    </rPh>
    <rPh sb="2" eb="5">
      <t>ジドウシャ</t>
    </rPh>
    <rPh sb="5" eb="7">
      <t>コウギョウ</t>
    </rPh>
    <rPh sb="7" eb="11">
      <t>カブシキガイシャ</t>
    </rPh>
    <phoneticPr fontId="13"/>
  </si>
  <si>
    <t>小林 洋介</t>
    <rPh sb="0" eb="2">
      <t>コバヤシ</t>
    </rPh>
    <rPh sb="3" eb="5">
      <t>ヨウスケ</t>
    </rPh>
    <phoneticPr fontId="13"/>
  </si>
  <si>
    <t>ｷｰﾚｽ SD B-CAS</t>
    <phoneticPr fontId="13"/>
  </si>
  <si>
    <t>富山 584 ろ 28</t>
    <rPh sb="0" eb="2">
      <t>トヤマ</t>
    </rPh>
    <phoneticPr fontId="13"/>
  </si>
  <si>
    <t>なにわ 5P6 ろ 4394</t>
    <phoneticPr fontId="13"/>
  </si>
  <si>
    <t>なにわ 5P6 ろ 5369</t>
    <phoneticPr fontId="13"/>
  </si>
  <si>
    <t>福山 580 の 8982</t>
    <rPh sb="0" eb="2">
      <t>フクヤマ</t>
    </rPh>
    <phoneticPr fontId="13"/>
  </si>
  <si>
    <t>広島 580 は 4888</t>
    <rPh sb="0" eb="2">
      <t>ヒロシマ</t>
    </rPh>
    <phoneticPr fontId="13"/>
  </si>
  <si>
    <t>広島 586 さ 114</t>
    <rPh sb="0" eb="2">
      <t>ヒロシマ</t>
    </rPh>
    <phoneticPr fontId="13"/>
  </si>
  <si>
    <t>広島三菱自動車販売株式会社</t>
    <rPh sb="0" eb="2">
      <t>ヒロシマ</t>
    </rPh>
    <rPh sb="2" eb="4">
      <t>ミツビシ</t>
    </rPh>
    <rPh sb="4" eb="7">
      <t>ジドウシャ</t>
    </rPh>
    <rPh sb="7" eb="13">
      <t>ハンバイカブシキガイシャ</t>
    </rPh>
    <phoneticPr fontId="13"/>
  </si>
  <si>
    <t>広島 586 ろ 8026</t>
    <rPh sb="0" eb="2">
      <t>ヒロシマ</t>
    </rPh>
    <phoneticPr fontId="13"/>
  </si>
  <si>
    <t>広島 581 ち 9807</t>
    <rPh sb="0" eb="2">
      <t>ヒロシマ</t>
    </rPh>
    <phoneticPr fontId="13"/>
  </si>
  <si>
    <t>京都 583 そ 6218</t>
    <rPh sb="0" eb="2">
      <t>キョウト</t>
    </rPh>
    <phoneticPr fontId="13"/>
  </si>
  <si>
    <t>株式会社ｼﾞｬｯｸｽ</t>
    <phoneticPr fontId="13"/>
  </si>
  <si>
    <t>ﾙﾉｰｶﾝｸﾞｰ ﾊﾟﾅｼｪ</t>
    <phoneticPr fontId="13"/>
  </si>
  <si>
    <t>VF1KW14B3L0818686</t>
    <phoneticPr fontId="13"/>
  </si>
  <si>
    <t>ｼﾄﾛｴﾝ DS7ｸﾛｽﾊﾞｯｸ ﾙｰｳﾞﾙ ﾌﾞﾙｰ</t>
    <phoneticPr fontId="13"/>
  </si>
  <si>
    <t>VR1JJEHZRLY049121</t>
    <phoneticPr fontId="13"/>
  </si>
  <si>
    <t>WMWXS720402C50523</t>
    <phoneticPr fontId="13"/>
  </si>
  <si>
    <t xml:space="preserve">ｱﾙﾄﾗﾊﾟﾝ X </t>
    <phoneticPr fontId="13"/>
  </si>
  <si>
    <t>HE33S-424656</t>
    <phoneticPr fontId="13"/>
  </si>
  <si>
    <t>ﾐﾗｲｰｽ</t>
    <phoneticPr fontId="13"/>
  </si>
  <si>
    <t>LA350S-0227423</t>
    <phoneticPr fontId="13"/>
  </si>
  <si>
    <t>MR41S-120447</t>
    <phoneticPr fontId="13"/>
  </si>
  <si>
    <t>広島 581 さ 3441</t>
    <rPh sb="0" eb="2">
      <t>ヒロシマ</t>
    </rPh>
    <phoneticPr fontId="13"/>
  </si>
  <si>
    <t>ﾑｰﾌﾞｺﾝﾃ</t>
    <phoneticPr fontId="13"/>
  </si>
  <si>
    <t>L575S-0232502</t>
    <phoneticPr fontId="13"/>
  </si>
  <si>
    <t>ｳｪｲｸ G ﾀｰﾎﾞ VS</t>
    <phoneticPr fontId="13"/>
  </si>
  <si>
    <t>LA700S-0180142</t>
    <phoneticPr fontId="13"/>
  </si>
  <si>
    <t>倉敷 580 ゆ 6497</t>
    <rPh sb="0" eb="2">
      <t>クラシキ</t>
    </rPh>
    <phoneticPr fontId="13"/>
  </si>
  <si>
    <t>有限会社ｶﾙﾏﾄｯﾌﾟ</t>
    <rPh sb="0" eb="4">
      <t>ユウゲンガイシャ</t>
    </rPh>
    <phoneticPr fontId="13"/>
  </si>
  <si>
    <t>半田 佳菜</t>
    <rPh sb="0" eb="2">
      <t>ハンダ</t>
    </rPh>
    <rPh sb="3" eb="4">
      <t>カ</t>
    </rPh>
    <rPh sb="4" eb="5">
      <t>ナ</t>
    </rPh>
    <phoneticPr fontId="13"/>
  </si>
  <si>
    <t>保証書 取説 ﾅﾋﾞ取 地図SD B-CAS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</si>
  <si>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ｶﾛｰﾗﾌｨｰﾙﾀﾞｰ 1.5G ｴｱﾛﾂｱﾗｰ</t>
    <phoneticPr fontId="13"/>
  </si>
  <si>
    <t>NZE161-7124801</t>
    <phoneticPr fontId="13"/>
  </si>
  <si>
    <t>パレットX</t>
    <phoneticPr fontId="13"/>
  </si>
  <si>
    <t>MK21S-274105</t>
    <phoneticPr fontId="13"/>
  </si>
  <si>
    <t>A302892</t>
    <phoneticPr fontId="13"/>
  </si>
  <si>
    <t>1/2</t>
    <phoneticPr fontId="13"/>
  </si>
  <si>
    <t>ﾊｽﾗｰ Jｽﾀｲﾙ3</t>
    <phoneticPr fontId="13"/>
  </si>
  <si>
    <t>MR41S-326990</t>
    <phoneticPr fontId="13"/>
  </si>
  <si>
    <t>27-1088</t>
  </si>
  <si>
    <t>A304180</t>
    <phoneticPr fontId="13"/>
  </si>
  <si>
    <t>GDH201-1097239</t>
    <phoneticPr fontId="13"/>
  </si>
  <si>
    <t>7/10/19</t>
    <phoneticPr fontId="13"/>
  </si>
  <si>
    <t>27-1089</t>
  </si>
  <si>
    <t>582 い 1083</t>
    <phoneticPr fontId="13"/>
  </si>
  <si>
    <t>582 い 1084</t>
    <phoneticPr fontId="13"/>
  </si>
  <si>
    <t>582 い 1085</t>
    <phoneticPr fontId="13"/>
  </si>
  <si>
    <t>福井 330 て 8067</t>
    <rPh sb="0" eb="2">
      <t>フクイ</t>
    </rPh>
    <phoneticPr fontId="13"/>
  </si>
  <si>
    <t>株式会社ｼﾈｸｽﾃｰｼﾞ</t>
    <rPh sb="0" eb="4">
      <t>カブシキガイシャ</t>
    </rPh>
    <phoneticPr fontId="13"/>
  </si>
  <si>
    <t>保証書 取説 ｷｰﾚｽ→ストック</t>
    <rPh sb="0" eb="3">
      <t>ホショウショ</t>
    </rPh>
    <rPh sb="4" eb="6">
      <t>トリセツ</t>
    </rPh>
    <phoneticPr fontId="13"/>
  </si>
  <si>
    <t>ﾏｲｸﾛSD</t>
    <phoneticPr fontId="13"/>
  </si>
  <si>
    <t>名古屋 778 た 284</t>
    <rPh sb="0" eb="3">
      <t>ナゴヤ</t>
    </rPh>
    <phoneticPr fontId="13"/>
  </si>
  <si>
    <t>WMWLR920802F96175</t>
    <phoneticPr fontId="13"/>
  </si>
  <si>
    <t>BMW 3ｼﾘｰｽﾞ 320 dxdriveﾂｰﾘﾝｸﾞMｽﾎﾟ</t>
    <phoneticPr fontId="13"/>
  </si>
  <si>
    <t>WBA6L72050FJ43334</t>
    <phoneticPr fontId="13"/>
  </si>
  <si>
    <t>ｽﾍﾟｱｷｰ(車内)保証書 取説</t>
    <rPh sb="7" eb="9">
      <t>シャナイ</t>
    </rPh>
    <rPh sb="10" eb="13">
      <t>ホショウショ</t>
    </rPh>
    <rPh sb="14" eb="16">
      <t>トリセツ</t>
    </rPh>
    <phoneticPr fontId="13"/>
  </si>
  <si>
    <t>地図SD(車内)→ｽﾄｯｸ 保証書 取説 SD</t>
    <rPh sb="0" eb="2">
      <t>チズ</t>
    </rPh>
    <rPh sb="5" eb="7">
      <t>シャナイ</t>
    </rPh>
    <rPh sb="14" eb="17">
      <t>ホショウショ</t>
    </rPh>
    <rPh sb="18" eb="20">
      <t>トリセツ</t>
    </rPh>
    <phoneticPr fontId="13"/>
  </si>
  <si>
    <t>地図SD(車内)保証書 取説 ﾅﾋﾞ取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</si>
  <si>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品川 39A み 1189</t>
    <rPh sb="0" eb="2">
      <t>シナガワ</t>
    </rPh>
    <phoneticPr fontId="13"/>
  </si>
  <si>
    <t>飯室 実</t>
    <rPh sb="0" eb="2">
      <t>イイムロ</t>
    </rPh>
    <rPh sb="3" eb="4">
      <t>ミノル</t>
    </rPh>
    <phoneticPr fontId="13"/>
  </si>
  <si>
    <t>保証書 ｷｰﾚｽ ﾜﾝｵｰﾅｰ</t>
    <rPh sb="0" eb="3">
      <t>ホショウショ</t>
    </rPh>
    <phoneticPr fontId="13"/>
  </si>
  <si>
    <t>WMWWG720003C83915</t>
    <phoneticPr fontId="13"/>
  </si>
  <si>
    <t>株式会社ﾎﾝﾀﾞｶｰｽﾞ松江</t>
    <rPh sb="0" eb="4">
      <t>カブシキガイシャ</t>
    </rPh>
    <rPh sb="12" eb="14">
      <t>マツエ</t>
    </rPh>
    <phoneticPr fontId="13"/>
  </si>
  <si>
    <t>US神戸からtax言われたら伴さん連絡</t>
    <rPh sb="2" eb="4">
      <t>コウベ</t>
    </rPh>
    <rPh sb="9" eb="10">
      <t>イ</t>
    </rPh>
    <rPh sb="14" eb="15">
      <t>バン</t>
    </rPh>
    <rPh sb="17" eb="19">
      <t>レンラク</t>
    </rPh>
    <phoneticPr fontId="13"/>
  </si>
  <si>
    <t>品番：CN-RE05WD</t>
    <rPh sb="0" eb="2">
      <t>ヒンバン</t>
    </rPh>
    <phoneticPr fontId="13"/>
  </si>
  <si>
    <t>神戸 520 ゆ 358</t>
    <rPh sb="0" eb="2">
      <t>コウベ</t>
    </rPh>
    <phoneticPr fontId="13"/>
  </si>
  <si>
    <t>田村 賢一</t>
    <rPh sb="0" eb="2">
      <t>タムラ</t>
    </rPh>
    <rPh sb="3" eb="5">
      <t>ケンイチ</t>
    </rPh>
    <phoneticPr fontId="13"/>
  </si>
  <si>
    <t>野田 585 み 5678</t>
    <rPh sb="0" eb="2">
      <t>ノダ</t>
    </rPh>
    <phoneticPr fontId="13"/>
  </si>
  <si>
    <t>松本 昌彦</t>
    <rPh sb="0" eb="2">
      <t>マツモト</t>
    </rPh>
    <rPh sb="3" eb="5">
      <t>マサヒコ</t>
    </rPh>
    <phoneticPr fontId="13"/>
  </si>
  <si>
    <t>足立 583 む 3150</t>
    <rPh sb="0" eb="2">
      <t>アダチ</t>
    </rPh>
    <phoneticPr fontId="13"/>
  </si>
  <si>
    <t>小島 隆司</t>
    <rPh sb="0" eb="2">
      <t>コジマ</t>
    </rPh>
    <rPh sb="3" eb="5">
      <t>タカシ</t>
    </rPh>
    <phoneticPr fontId="13"/>
  </si>
  <si>
    <t>広島 591 え 27</t>
    <rPh sb="0" eb="2">
      <t>ヒロシマ</t>
    </rPh>
    <phoneticPr fontId="13"/>
  </si>
  <si>
    <t>高知 580 み 9386</t>
    <rPh sb="0" eb="2">
      <t>コウチ</t>
    </rPh>
    <phoneticPr fontId="13"/>
  </si>
  <si>
    <t>高知ﾀﾞｲﾊﾂ販売株式会社</t>
    <rPh sb="0" eb="2">
      <t>コウチ</t>
    </rPh>
    <rPh sb="7" eb="13">
      <t>ハンバイカブシキガイシャ</t>
    </rPh>
    <phoneticPr fontId="13"/>
  </si>
  <si>
    <t>堺 580 み 630</t>
    <rPh sb="0" eb="1">
      <t>サカイ</t>
    </rPh>
    <phoneticPr fontId="13"/>
  </si>
  <si>
    <t>株式会社ﾎﾝﾀﾞﾌﾟﾘﾓ大阪南</t>
    <rPh sb="0" eb="4">
      <t>カブシキガイシャ</t>
    </rPh>
    <rPh sb="12" eb="14">
      <t>オオサカ</t>
    </rPh>
    <rPh sb="14" eb="15">
      <t>ミナミ</t>
    </rPh>
    <phoneticPr fontId="13"/>
  </si>
  <si>
    <t>広島 580 ひ 116</t>
    <rPh sb="0" eb="2">
      <t>ヒロシマ</t>
    </rPh>
    <phoneticPr fontId="13"/>
  </si>
  <si>
    <t>品川 49A そ 583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</si>
  <si>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</si>
  <si>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27-913</t>
    <phoneticPr fontId="13"/>
  </si>
  <si>
    <t>愛媛 587 ふ 121</t>
    <rPh sb="0" eb="2">
      <t>エヒメ</t>
    </rPh>
    <phoneticPr fontId="13"/>
  </si>
  <si>
    <t>竹本 数馬</t>
    <rPh sb="0" eb="2">
      <t>タケモト</t>
    </rPh>
    <rPh sb="3" eb="5">
      <t>カズマ</t>
    </rPh>
    <phoneticPr fontId="13"/>
  </si>
  <si>
    <t>保証書 取説 miniB-CAS</t>
    <rPh sb="0" eb="3">
      <t>ホショウショ</t>
    </rPh>
    <rPh sb="4" eb="6">
      <t>トリセツ</t>
    </rPh>
    <phoneticPr fontId="13"/>
  </si>
  <si>
    <t>27-1090</t>
  </si>
  <si>
    <t>27-1091</t>
  </si>
  <si>
    <t>27-1092</t>
  </si>
  <si>
    <t>27-1093</t>
  </si>
  <si>
    <t>27-1094</t>
  </si>
  <si>
    <t>27-1095</t>
  </si>
  <si>
    <t>27-1096</t>
  </si>
  <si>
    <t>27-1097</t>
  </si>
  <si>
    <t>27-1098</t>
  </si>
  <si>
    <t>27-1099</t>
  </si>
  <si>
    <t>27-1100</t>
  </si>
  <si>
    <t>27-1101</t>
  </si>
  <si>
    <t>27-1102</t>
  </si>
  <si>
    <t>27-1103</t>
  </si>
  <si>
    <t>27-1104</t>
  </si>
  <si>
    <t>27-1105</t>
  </si>
  <si>
    <t>27-1106</t>
  </si>
  <si>
    <t>27-1107</t>
  </si>
  <si>
    <t>27-1108</t>
  </si>
  <si>
    <t>27-1109</t>
  </si>
  <si>
    <t>27-1110</t>
  </si>
  <si>
    <t>27-1111</t>
  </si>
  <si>
    <t>27-1112</t>
  </si>
  <si>
    <t>CAA東京(まとめ)</t>
    <rPh sb="3" eb="5">
      <t>トウキョウ</t>
    </rPh>
    <phoneticPr fontId="13"/>
  </si>
  <si>
    <t>WMWXU72050TR60807</t>
    <phoneticPr fontId="13"/>
  </si>
  <si>
    <t>27-1113</t>
  </si>
  <si>
    <t>27-1114</t>
  </si>
  <si>
    <t>27-1115</t>
  </si>
  <si>
    <t>27-1116</t>
  </si>
  <si>
    <t>DA17W-287494</t>
    <phoneticPr fontId="13"/>
  </si>
  <si>
    <t>JF3-2060014</t>
    <phoneticPr fontId="13"/>
  </si>
  <si>
    <t>LA810S-0038065</t>
    <phoneticPr fontId="13"/>
  </si>
  <si>
    <t>27-1117</t>
  </si>
  <si>
    <t>27-1118</t>
  </si>
  <si>
    <t>27-1119</t>
  </si>
  <si>
    <t>27-1120</t>
  </si>
  <si>
    <t>27-1121</t>
  </si>
  <si>
    <t>27-1122</t>
  </si>
  <si>
    <t>ｱﾙﾄﾗﾊﾟﾝ X L</t>
    <phoneticPr fontId="13"/>
  </si>
  <si>
    <t>HE22S-434524</t>
    <phoneticPr fontId="13"/>
  </si>
  <si>
    <t>24/6</t>
    <phoneticPr fontId="13"/>
  </si>
  <si>
    <t>HE22S-242948</t>
    <phoneticPr fontId="13"/>
  </si>
  <si>
    <t>ﾙﾉｰ ﾄｩｲﾝｺﾞ GT</t>
    <phoneticPr fontId="13"/>
  </si>
  <si>
    <t>VF1AHB55AH0767079</t>
    <phoneticPr fontId="13"/>
  </si>
  <si>
    <t>MN71S-319078</t>
    <phoneticPr fontId="13"/>
  </si>
  <si>
    <t>27-1123</t>
  </si>
  <si>
    <t>27-1124</t>
  </si>
  <si>
    <t>27-1125</t>
  </si>
  <si>
    <t>27-1126</t>
  </si>
  <si>
    <t>27-1127</t>
  </si>
  <si>
    <t>ｴﾌﾞﾘｲﾜｺﾞﾝ PZﾀｰﾎﾞ ｽﾍﾟｼｬﾙ</t>
    <phoneticPr fontId="13"/>
  </si>
  <si>
    <t>DA17W-259766</t>
    <phoneticPr fontId="13"/>
  </si>
  <si>
    <t>なにわ 581 き 497</t>
    <phoneticPr fontId="13"/>
  </si>
  <si>
    <t>MK42S-208697</t>
    <phoneticPr fontId="13"/>
  </si>
  <si>
    <t>ﾍﾞﾝﾂ Cｸﾗｽ C220d ｱﾊﾞﾝｷﾞｬﾙﾄﾞ AMGﾗｲﾝ</t>
    <phoneticPr fontId="13"/>
  </si>
  <si>
    <t>WDD2050142R522562</t>
    <phoneticPr fontId="13"/>
  </si>
  <si>
    <t>尾張小牧 303 す 3228</t>
    <rPh sb="0" eb="4">
      <t>オワリコマキ</t>
    </rPh>
    <phoneticPr fontId="13"/>
  </si>
  <si>
    <t>予備ｷｰ</t>
    <rPh sb="0" eb="2">
      <t>ヨビ</t>
    </rPh>
    <phoneticPr fontId="13"/>
  </si>
  <si>
    <t>BMWﾐﾆ ﾜﾝ</t>
    <phoneticPr fontId="13"/>
  </si>
  <si>
    <t>WMWXN720403A95439</t>
    <phoneticPr fontId="13"/>
  </si>
  <si>
    <t>静岡 330 ふ 2338</t>
    <rPh sb="0" eb="2">
      <t>シズオカ</t>
    </rPh>
    <phoneticPr fontId="13"/>
  </si>
  <si>
    <r>
      <t xml:space="preserve">保証書 取説 予備ｷｰ </t>
    </r>
    <r>
      <rPr>
        <sz val="11"/>
        <color rgb="FFFF0000"/>
        <rFont val="ＭＳ Ｐゴシック"/>
        <family val="3"/>
        <charset val="128"/>
        <scheme val="minor"/>
      </rPr>
      <t>名変期間11/18まで</t>
    </r>
    <rPh sb="0" eb="3">
      <t>ホショウショ</t>
    </rPh>
    <rPh sb="4" eb="6">
      <t>トリセツ</t>
    </rPh>
    <rPh sb="7" eb="9">
      <t>ヨビ</t>
    </rPh>
    <rPh sb="12" eb="16">
      <t>メイヘンキカン</t>
    </rPh>
    <phoneticPr fontId="13"/>
  </si>
  <si>
    <t>WMWZB72060WU16149</t>
    <phoneticPr fontId="13"/>
  </si>
  <si>
    <t>27-1128</t>
  </si>
  <si>
    <t>VW ｱﾙﾃｵﾝ TSI 4ﾓｰｼｮﾝ Rﾗｲﾝｱﾄﾞﾊﾞﾝｽ</t>
    <phoneticPr fontId="13"/>
  </si>
  <si>
    <t>WVWZZZ3HZJE505877</t>
    <phoneticPr fontId="13"/>
  </si>
  <si>
    <t>岐阜 31ｋ て 8008</t>
    <rPh sb="0" eb="2">
      <t>ギフ</t>
    </rPh>
    <phoneticPr fontId="13"/>
  </si>
  <si>
    <t>N-BOX GEXﾀｰﾎﾞ ﾎﾝﾀﾞｾﾝｼﾝｸﾞ</t>
    <phoneticPr fontId="13"/>
  </si>
  <si>
    <t>ﾑｰﾌﾞｷｬﾝﾊﾞｽ　ﾌﾞﾗｯｸｲﾝﾃﾘｱﾘﾐﾃｯﾄﾞSA3</t>
    <phoneticPr fontId="13"/>
  </si>
  <si>
    <t>ｼﾞｬｶﾞｰ Eﾍﾟｲｽ Rﾀﾞｲﾅﾐｯｸ SE250PS</t>
    <phoneticPr fontId="13"/>
  </si>
  <si>
    <t>SADF2AX3L1Z90725</t>
    <phoneticPr fontId="13"/>
  </si>
  <si>
    <t>湘南 325 は 555</t>
    <rPh sb="0" eb="2">
      <t>ショウナン</t>
    </rPh>
    <phoneticPr fontId="13"/>
  </si>
  <si>
    <t>DA17W-148962</t>
    <phoneticPr fontId="13"/>
  </si>
  <si>
    <t>8/11/29</t>
    <phoneticPr fontId="13"/>
  </si>
  <si>
    <t>9/3/21</t>
    <phoneticPr fontId="13"/>
  </si>
  <si>
    <t>ｸﾛｽﾋﾞｰ  HVMZｾﾞﾝﾎｳｲﾓﾆﾀｰｶﾒﾗ</t>
    <phoneticPr fontId="13"/>
  </si>
  <si>
    <t>9/1/8</t>
    <phoneticPr fontId="13"/>
  </si>
  <si>
    <t>ZFA3120000JE22133</t>
    <phoneticPr fontId="13"/>
  </si>
  <si>
    <t>大宮 540 ぬ 2828</t>
    <rPh sb="0" eb="2">
      <t>オオミヤ</t>
    </rPh>
    <phoneticPr fontId="13"/>
  </si>
  <si>
    <t>保証書 取説 ｽﾍﾟｱｷｰ ﾎｲｰﾙ工具</t>
    <rPh sb="0" eb="3">
      <t>ホショウショ</t>
    </rPh>
    <rPh sb="4" eb="6">
      <t>トリセツ</t>
    </rPh>
    <rPh sb="18" eb="20">
      <t>コウグ</t>
    </rPh>
    <phoneticPr fontId="13"/>
  </si>
  <si>
    <t>LA650S-0433069</t>
    <phoneticPr fontId="13"/>
  </si>
  <si>
    <t>大阪 794 ひ 77</t>
    <rPh sb="0" eb="2">
      <t>オオサカ</t>
    </rPh>
    <phoneticPr fontId="13"/>
  </si>
  <si>
    <t>パレットﾘﾐﾃｯﾄﾞ2</t>
    <phoneticPr fontId="13"/>
  </si>
  <si>
    <t>MK21S-280282</t>
    <phoneticPr fontId="13"/>
  </si>
  <si>
    <t>MH34S-353201</t>
    <phoneticPr fontId="13"/>
  </si>
  <si>
    <t>岐阜 480 た 4655</t>
    <rPh sb="0" eb="2">
      <t>ギフ</t>
    </rPh>
    <phoneticPr fontId="13"/>
  </si>
  <si>
    <t>有限会社佐々木ﾓｰﾀｰｽ</t>
    <rPh sb="0" eb="4">
      <t>ユウゲンガイシャ</t>
    </rPh>
    <rPh sb="4" eb="7">
      <t>ササキ</t>
    </rPh>
    <phoneticPr fontId="13"/>
  </si>
  <si>
    <t>多摩 592 ろ 2690</t>
    <rPh sb="0" eb="2">
      <t>タマ</t>
    </rPh>
    <phoneticPr fontId="13"/>
  </si>
  <si>
    <t>岐阜 580 わ 5998</t>
    <rPh sb="0" eb="2">
      <t>ギフ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</si>
  <si>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</si>
  <si>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ｷｰﾚｽ(車内)保証書 取説 ﾜﾝｵｰﾅｰ 名変期間10/31</t>
    <rPh sb="5" eb="7">
      <t>シャナイ</t>
    </rPh>
    <rPh sb="8" eb="11">
      <t>ホショウショ</t>
    </rPh>
    <rPh sb="12" eb="14">
      <t>トリセツ</t>
    </rPh>
    <rPh sb="22" eb="26">
      <t>メイヘンキカン</t>
    </rPh>
    <phoneticPr fontId="13"/>
  </si>
  <si>
    <t>1C4HJWKG1JL877268</t>
    <phoneticPr fontId="13"/>
  </si>
  <si>
    <t>左藤 文俊</t>
    <rPh sb="0" eb="2">
      <t>サトウ</t>
    </rPh>
    <rPh sb="3" eb="5">
      <t>フミトシ</t>
    </rPh>
    <phoneticPr fontId="13"/>
  </si>
  <si>
    <t>301 ね 2367</t>
    <phoneticPr fontId="13"/>
  </si>
  <si>
    <t>480 ね 1317</t>
    <phoneticPr fontId="13"/>
  </si>
  <si>
    <t>582 い 1255</t>
    <phoneticPr fontId="13"/>
  </si>
  <si>
    <t>582 い 1256</t>
    <phoneticPr fontId="13"/>
  </si>
  <si>
    <t>582 い 1257</t>
    <phoneticPr fontId="13"/>
  </si>
  <si>
    <t>582 い 1258</t>
    <phoneticPr fontId="13"/>
  </si>
  <si>
    <t>582 い 1259</t>
    <phoneticPr fontId="13"/>
  </si>
  <si>
    <t>582 い 1260</t>
    <phoneticPr fontId="13"/>
  </si>
  <si>
    <t>TAA中部</t>
    <rPh sb="3" eb="5">
      <t>チュウブ</t>
    </rPh>
    <phoneticPr fontId="13"/>
  </si>
  <si>
    <t>3/9</t>
    <phoneticPr fontId="13"/>
  </si>
  <si>
    <t>白</t>
    <rPh sb="0" eb="1">
      <t>シロ</t>
    </rPh>
    <phoneticPr fontId="13"/>
  </si>
  <si>
    <t>NV100ｸﾘｯﾊﾟｰﾊﾞﾝ　DX　GLｾｰﾌﾃｨｰﾊﾟｯｹｰｼﾞ</t>
    <phoneticPr fontId="13"/>
  </si>
  <si>
    <t>DR17V-475536</t>
    <phoneticPr fontId="13"/>
  </si>
  <si>
    <t>保証書</t>
    <rPh sb="0" eb="3">
      <t>ホショウショ</t>
    </rPh>
    <phoneticPr fontId="13"/>
  </si>
  <si>
    <t>29/8</t>
    <phoneticPr fontId="13"/>
  </si>
  <si>
    <t>青</t>
    <rPh sb="0" eb="1">
      <t>アオ</t>
    </rPh>
    <phoneticPr fontId="13"/>
  </si>
  <si>
    <t>ﾊｽﾗｰ　Ｊｽﾀｲﾙ２ﾀｰﾎﾞ</t>
    <phoneticPr fontId="13"/>
  </si>
  <si>
    <t>MR41Sｰ627915</t>
    <phoneticPr fontId="13"/>
  </si>
  <si>
    <t>8/8</t>
    <phoneticPr fontId="13"/>
  </si>
  <si>
    <t>松本　587　ら　358</t>
    <rPh sb="0" eb="2">
      <t>マツモト</t>
    </rPh>
    <phoneticPr fontId="13"/>
  </si>
  <si>
    <t>TAA東北</t>
    <rPh sb="3" eb="5">
      <t>トウホク</t>
    </rPh>
    <phoneticPr fontId="13"/>
  </si>
  <si>
    <t>30/9</t>
    <phoneticPr fontId="13"/>
  </si>
  <si>
    <t>BMWﾐﾆ</t>
    <phoneticPr fontId="13"/>
  </si>
  <si>
    <t>WMWXR32000TE32718</t>
    <phoneticPr fontId="13"/>
  </si>
  <si>
    <t>ZIP大阪</t>
    <rPh sb="3" eb="5">
      <t>オオサカ</t>
    </rPh>
    <phoneticPr fontId="13"/>
  </si>
  <si>
    <t>30/3</t>
    <phoneticPr fontId="13"/>
  </si>
  <si>
    <t>ﾒﾙｾﾃﾞｽﾍﾞﾝﾂ　G　350D</t>
    <phoneticPr fontId="13"/>
  </si>
  <si>
    <t>WDB46334824287433</t>
    <phoneticPr fontId="13"/>
  </si>
  <si>
    <t>9/3</t>
    <phoneticPr fontId="13"/>
  </si>
  <si>
    <t>和歌山　300　る　8877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</si>
  <si>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</si>
  <si>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ZIP大阪</t>
    <phoneticPr fontId="13"/>
  </si>
  <si>
    <t>28/12</t>
    <phoneticPr fontId="13"/>
  </si>
  <si>
    <t>黒</t>
    <rPh sb="0" eb="1">
      <t>クロ</t>
    </rPh>
    <phoneticPr fontId="13"/>
  </si>
  <si>
    <t>ﾜｺﾞﾝR　FX</t>
    <phoneticPr fontId="13"/>
  </si>
  <si>
    <t>MH34S-546207</t>
    <phoneticPr fontId="13"/>
  </si>
  <si>
    <t>26/2</t>
    <phoneticPr fontId="13"/>
  </si>
  <si>
    <t>ﾊﾟｰﾙ</t>
    <phoneticPr fontId="13"/>
  </si>
  <si>
    <t>ｽﾍﾟｰｼｱ　X</t>
    <phoneticPr fontId="13"/>
  </si>
  <si>
    <t>MK32S-173985</t>
    <phoneticPr fontId="13"/>
  </si>
  <si>
    <t>9/2/27</t>
    <phoneticPr fontId="13"/>
  </si>
  <si>
    <t>ﾜﾝｵｰﾅｰ</t>
    <phoneticPr fontId="13"/>
  </si>
  <si>
    <t>3/7</t>
    <phoneticPr fontId="13"/>
  </si>
  <si>
    <t>ｼﾙﾊﾞｰ</t>
    <phoneticPr fontId="13"/>
  </si>
  <si>
    <t>ｽﾍﾟｰｼｱ　ﾊｲﾌﾞﾘｯﾄX</t>
    <phoneticPr fontId="13"/>
  </si>
  <si>
    <t>MK53S-367023</t>
    <phoneticPr fontId="13"/>
  </si>
  <si>
    <t>保証書　取説</t>
    <rPh sb="0" eb="3">
      <t>ホショウショ</t>
    </rPh>
    <rPh sb="4" eb="6">
      <t>トリセツ</t>
    </rPh>
    <phoneticPr fontId="13"/>
  </si>
  <si>
    <t>31/3</t>
    <phoneticPr fontId="13"/>
  </si>
  <si>
    <t>ﾊｽﾗｰ　A</t>
    <phoneticPr fontId="13"/>
  </si>
  <si>
    <t>MR31S-120657</t>
    <phoneticPr fontId="13"/>
  </si>
  <si>
    <t>保証書　取説　ﾅﾋﾞ取　</t>
    <rPh sb="0" eb="3">
      <t>ホショウショ</t>
    </rPh>
    <rPh sb="4" eb="6">
      <t>トリセツ</t>
    </rPh>
    <rPh sb="10" eb="11">
      <t>　</t>
    </rPh>
    <phoneticPr fontId="13"/>
  </si>
  <si>
    <t>27/5</t>
    <phoneticPr fontId="13"/>
  </si>
  <si>
    <t>ﾊｽﾗｰXﾀｰﾎﾞ　４WD</t>
    <phoneticPr fontId="13"/>
  </si>
  <si>
    <t>MR31S-841125</t>
    <phoneticPr fontId="13"/>
  </si>
  <si>
    <t>８/5</t>
    <phoneticPr fontId="13"/>
  </si>
  <si>
    <t>R</t>
    <phoneticPr fontId="13"/>
  </si>
  <si>
    <t>2/5</t>
    <phoneticPr fontId="13"/>
  </si>
  <si>
    <t>水色</t>
    <rPh sb="0" eb="2">
      <t>ミズイロ</t>
    </rPh>
    <phoneticPr fontId="13"/>
  </si>
  <si>
    <t>ﾑｰﾌﾞX　ﾘﾐﾃｯﾄﾞ　SA３</t>
    <phoneticPr fontId="13"/>
  </si>
  <si>
    <t>LA150S-2058113</t>
    <phoneticPr fontId="13"/>
  </si>
  <si>
    <t>9/5</t>
    <phoneticPr fontId="13"/>
  </si>
  <si>
    <t>保証書　地図SD</t>
    <rPh sb="0" eb="3">
      <t>ホショウショ</t>
    </rPh>
    <rPh sb="4" eb="6">
      <t>チズ</t>
    </rPh>
    <phoneticPr fontId="13"/>
  </si>
  <si>
    <t>名古屋　582　む　2410</t>
    <rPh sb="0" eb="3">
      <t>ナゴヤ</t>
    </rPh>
    <phoneticPr fontId="13"/>
  </si>
  <si>
    <t>30/6</t>
    <phoneticPr fontId="13"/>
  </si>
  <si>
    <t>ﾃﾞｲｽﾞﾙｰｸｽ　ﾊｲｳｪｽﾀｰ　Gﾀｰﾎﾞ</t>
    <phoneticPr fontId="13"/>
  </si>
  <si>
    <t>B21A-0509798</t>
    <phoneticPr fontId="13"/>
  </si>
  <si>
    <t>9/6/28</t>
    <phoneticPr fontId="13"/>
  </si>
  <si>
    <t>一宮　580　ぬ　2364</t>
    <rPh sb="0" eb="2">
      <t>イチノミヤ</t>
    </rPh>
    <phoneticPr fontId="13"/>
  </si>
  <si>
    <t>5/2</t>
    <phoneticPr fontId="13"/>
  </si>
  <si>
    <t>ﾑｰﾌﾞｷｬﾝﾊﾞｽ　Gﾀｰﾎﾞ</t>
    <phoneticPr fontId="13"/>
  </si>
  <si>
    <t>LA850S-0023483</t>
    <phoneticPr fontId="13"/>
  </si>
  <si>
    <t>24/4</t>
    <phoneticPr fontId="13"/>
  </si>
  <si>
    <t>ﾗﾊﾟﾝ　10Thｱﾆﾊﾞｰｻﾘｰ</t>
    <phoneticPr fontId="13"/>
  </si>
  <si>
    <t>HE22S-236545</t>
    <phoneticPr fontId="13"/>
  </si>
  <si>
    <t>6/7</t>
    <phoneticPr fontId="13"/>
  </si>
  <si>
    <t>赤</t>
    <rPh sb="0" eb="1">
      <t>アカ</t>
    </rPh>
    <phoneticPr fontId="13"/>
  </si>
  <si>
    <t>ｽﾍﾟｰｼｱｶｽﾀﾑ　XSﾀｰﾎﾞ</t>
    <phoneticPr fontId="13"/>
  </si>
  <si>
    <t>MK54S-128444</t>
    <phoneticPr fontId="13"/>
  </si>
  <si>
    <t>9/7/18</t>
    <phoneticPr fontId="13"/>
  </si>
  <si>
    <t>保証書　取説　ｽﾍﾟｱｷｰ　ﾅﾝﾊﾞｰ　ﾜﾝｵｰﾅｰ</t>
    <rPh sb="0" eb="3">
      <t>ホショウショ</t>
    </rPh>
    <rPh sb="4" eb="6">
      <t>トリセツ</t>
    </rPh>
    <phoneticPr fontId="13"/>
  </si>
  <si>
    <t>３/8</t>
    <phoneticPr fontId="13"/>
  </si>
  <si>
    <t>ﾀﾝﾄ　ｶｽﾀﾑ　X</t>
    <phoneticPr fontId="13"/>
  </si>
  <si>
    <t>LA650S-1099958</t>
    <phoneticPr fontId="13"/>
  </si>
  <si>
    <t>ﾍﾞｰｼﾞｭ</t>
    <phoneticPr fontId="13"/>
  </si>
  <si>
    <t>ｱﾙﾄﾗﾊﾟﾝ　X</t>
    <phoneticPr fontId="13"/>
  </si>
  <si>
    <t>HE３３S-325436</t>
    <phoneticPr fontId="13"/>
  </si>
  <si>
    <t>24/8</t>
    <phoneticPr fontId="13"/>
  </si>
  <si>
    <t>ｴﾌﾞﾘｨﾜｺﾞﾝ PZﾀｰﾎﾞ</t>
    <phoneticPr fontId="13"/>
  </si>
  <si>
    <t>DA64W-405982</t>
    <phoneticPr fontId="13"/>
  </si>
  <si>
    <t>26/10</t>
    <phoneticPr fontId="13"/>
  </si>
  <si>
    <t>MH34S-373032</t>
    <phoneticPr fontId="13"/>
  </si>
  <si>
    <t>岐阜　581　て　2151</t>
    <rPh sb="0" eb="2">
      <t>ギフ</t>
    </rPh>
    <phoneticPr fontId="13"/>
  </si>
  <si>
    <t>岐阜　581　な 6044</t>
    <rPh sb="0" eb="2">
      <t>ギフ</t>
    </rPh>
    <phoneticPr fontId="13"/>
  </si>
  <si>
    <t>名古屋　58A　ね　8133</t>
    <rPh sb="0" eb="3">
      <t>ナゴヤ</t>
    </rPh>
    <phoneticPr fontId="13"/>
  </si>
  <si>
    <t>HAA神戸</t>
    <rPh sb="3" eb="5">
      <t>コウベ</t>
    </rPh>
    <phoneticPr fontId="13"/>
  </si>
  <si>
    <t>多摩 592 ろ 2627</t>
    <rPh sb="0" eb="2">
      <t>タマ</t>
    </rPh>
    <phoneticPr fontId="13"/>
  </si>
  <si>
    <t>TAA近畿(ﾜﾝﾌﾟﾗ)</t>
    <rPh sb="3" eb="5">
      <t>キンキ</t>
    </rPh>
    <phoneticPr fontId="13"/>
  </si>
  <si>
    <t>27-1129</t>
  </si>
  <si>
    <t>27-1130</t>
  </si>
  <si>
    <t>WMWYT920903F82738</t>
    <phoneticPr fontId="13"/>
  </si>
  <si>
    <t>27-1131</t>
  </si>
  <si>
    <t>27-1132</t>
  </si>
  <si>
    <t>27-1133</t>
  </si>
  <si>
    <t>27-1134</t>
  </si>
  <si>
    <t>ANH20-8334850</t>
    <phoneticPr fontId="13"/>
  </si>
  <si>
    <t>ｱﾙﾌｧｰﾄﾞ 240S Cﾊﾟｯｹｰｼﾞ</t>
    <phoneticPr fontId="13"/>
  </si>
  <si>
    <t>27-1135</t>
  </si>
  <si>
    <t>27-1136</t>
  </si>
  <si>
    <t>27-1137</t>
  </si>
  <si>
    <t>27-1138</t>
  </si>
  <si>
    <t>27-1139</t>
  </si>
  <si>
    <t>27-1140</t>
  </si>
  <si>
    <t>27-1141</t>
  </si>
  <si>
    <t>27-1142</t>
  </si>
  <si>
    <t>27-1143</t>
  </si>
  <si>
    <t>27-1144</t>
  </si>
  <si>
    <t>27-1145</t>
  </si>
  <si>
    <t>27-1146</t>
  </si>
  <si>
    <t>27-1147</t>
  </si>
  <si>
    <t>27-1148</t>
  </si>
  <si>
    <t>27-1149</t>
  </si>
  <si>
    <t>27-1150</t>
  </si>
  <si>
    <t>27-1151</t>
  </si>
  <si>
    <t>27-1152</t>
  </si>
  <si>
    <t>27-1153</t>
  </si>
  <si>
    <t>ﾀﾝﾄ ｽﾛｰﾊﾟｰL</t>
    <phoneticPr fontId="13"/>
  </si>
  <si>
    <t>LA650S-0087742</t>
    <phoneticPr fontId="13"/>
  </si>
  <si>
    <t>JF1-1533033</t>
    <phoneticPr fontId="13"/>
  </si>
  <si>
    <t>MR92S-339226</t>
    <phoneticPr fontId="13"/>
  </si>
  <si>
    <t>三河 583 け 1923</t>
    <rPh sb="0" eb="2">
      <t>ミカワ</t>
    </rPh>
    <phoneticPr fontId="13"/>
  </si>
  <si>
    <t>MR41S-290335</t>
    <phoneticPr fontId="13"/>
  </si>
  <si>
    <t>岐阜 583 え 3052</t>
    <rPh sb="0" eb="2">
      <t>ギフ</t>
    </rPh>
    <phoneticPr fontId="13"/>
  </si>
  <si>
    <t>DA17W-355523</t>
    <phoneticPr fontId="13"/>
  </si>
  <si>
    <t>滋賀 583 そ 7787</t>
    <rPh sb="0" eb="2">
      <t>シガ</t>
    </rPh>
    <phoneticPr fontId="13"/>
  </si>
  <si>
    <t>MR92S-138300</t>
    <phoneticPr fontId="13"/>
  </si>
  <si>
    <t>ｽﾍﾟｰｼｱｶｽﾀﾑ　ﾊｲﾌﾞﾘｯﾄﾞXS</t>
    <phoneticPr fontId="13"/>
  </si>
  <si>
    <t>MK53S-671857</t>
    <phoneticPr fontId="13"/>
  </si>
  <si>
    <t>DA64W-360188</t>
    <phoneticPr fontId="13"/>
  </si>
  <si>
    <t>7/12/15</t>
    <phoneticPr fontId="13"/>
  </si>
  <si>
    <t>豊橋 580 ね 8235</t>
    <rPh sb="0" eb="2">
      <t>トヨハシ</t>
    </rPh>
    <phoneticPr fontId="13"/>
  </si>
  <si>
    <t>ｴﾌﾞﾘｨｼﾞｮｲﾝ ﾀｰﾎﾞ</t>
    <phoneticPr fontId="13"/>
  </si>
  <si>
    <t>DA17V-747064</t>
    <phoneticPr fontId="13"/>
  </si>
  <si>
    <t>福山 480 そ 3716</t>
    <rPh sb="0" eb="2">
      <t>フクヤマ</t>
    </rPh>
    <phoneticPr fontId="13"/>
  </si>
  <si>
    <t>MR52S-132822</t>
    <phoneticPr fontId="13"/>
  </si>
  <si>
    <t>名古屋 582 よ 8157</t>
    <rPh sb="0" eb="3">
      <t>ナゴヤ</t>
    </rPh>
    <phoneticPr fontId="13"/>
  </si>
  <si>
    <t>WMWXM520002E53486</t>
    <phoneticPr fontId="13"/>
  </si>
  <si>
    <t>9/7/3</t>
    <phoneticPr fontId="13"/>
  </si>
  <si>
    <t>岐阜 303 ね 7344</t>
    <rPh sb="0" eb="2">
      <t>ギフ</t>
    </rPh>
    <phoneticPr fontId="13"/>
  </si>
  <si>
    <t>N-WGNｶｽﾀﾑ G</t>
    <phoneticPr fontId="13"/>
  </si>
  <si>
    <t>JH1-1411626</t>
    <phoneticPr fontId="13"/>
  </si>
  <si>
    <t>保証書 ｽﾏｰﾄｷｰ</t>
    <rPh sb="0" eb="3">
      <t>ホショウショ</t>
    </rPh>
    <phoneticPr fontId="13"/>
  </si>
  <si>
    <t>DA64W-439761</t>
    <phoneticPr fontId="13"/>
  </si>
  <si>
    <t>MK32S-219495</t>
    <phoneticPr fontId="13"/>
  </si>
  <si>
    <t>480 ね 1336</t>
    <phoneticPr fontId="13"/>
  </si>
  <si>
    <t>480 ね 1335</t>
    <phoneticPr fontId="13"/>
  </si>
  <si>
    <t>480 ね 1334</t>
    <phoneticPr fontId="13"/>
  </si>
  <si>
    <t>480 ね 1333</t>
    <phoneticPr fontId="13"/>
  </si>
  <si>
    <t>582 い 1324</t>
    <phoneticPr fontId="13"/>
  </si>
  <si>
    <t>582 い 1323</t>
    <phoneticPr fontId="13"/>
  </si>
  <si>
    <t>582 い 1322</t>
    <phoneticPr fontId="13"/>
  </si>
  <si>
    <t>582 い 1321</t>
    <phoneticPr fontId="13"/>
  </si>
  <si>
    <t>582 い 1320</t>
    <phoneticPr fontId="13"/>
  </si>
  <si>
    <t>582 い 1319</t>
    <phoneticPr fontId="13"/>
  </si>
  <si>
    <t>582 い 1318</t>
    <phoneticPr fontId="13"/>
  </si>
  <si>
    <t>582 い 1317</t>
    <phoneticPr fontId="13"/>
  </si>
  <si>
    <t>582 い 1316</t>
    <phoneticPr fontId="13"/>
  </si>
  <si>
    <t>582 い 1315</t>
    <phoneticPr fontId="13"/>
  </si>
  <si>
    <t>582 い 1313</t>
    <phoneticPr fontId="13"/>
  </si>
  <si>
    <t>582 い 1312</t>
    <phoneticPr fontId="13"/>
  </si>
  <si>
    <t>582 い 1311</t>
    <phoneticPr fontId="13"/>
  </si>
  <si>
    <t>582 い 1310</t>
    <phoneticPr fontId="13"/>
  </si>
  <si>
    <t>山口 ルリ子</t>
    <rPh sb="0" eb="2">
      <t>ヤマグチ</t>
    </rPh>
    <rPh sb="5" eb="6">
      <t>コ</t>
    </rPh>
    <phoneticPr fontId="13"/>
  </si>
  <si>
    <t>福田 茂樹</t>
    <rPh sb="0" eb="2">
      <t>フクダ</t>
    </rPh>
    <rPh sb="3" eb="5">
      <t>シゲキ</t>
    </rPh>
    <phoneticPr fontId="13"/>
  </si>
  <si>
    <t>伊藤 正幸</t>
    <rPh sb="0" eb="2">
      <t>イトウ</t>
    </rPh>
    <rPh sb="3" eb="5">
      <t>マサユキ</t>
    </rPh>
    <phoneticPr fontId="13"/>
  </si>
  <si>
    <t>浜松 301 め 7128</t>
    <rPh sb="0" eb="2">
      <t>ハママツ</t>
    </rPh>
    <phoneticPr fontId="13"/>
  </si>
  <si>
    <t>浜松日産自動車株式会社</t>
    <rPh sb="0" eb="2">
      <t>ハママツ</t>
    </rPh>
    <rPh sb="2" eb="4">
      <t>ニッサン</t>
    </rPh>
    <rPh sb="4" eb="7">
      <t>ジドウシャ</t>
    </rPh>
    <rPh sb="7" eb="11">
      <t>カブシキガイシャ</t>
    </rPh>
    <phoneticPr fontId="13"/>
  </si>
  <si>
    <t>保証書 ﾚﾝﾀｶｰ 取説 ｷｰﾚｽ</t>
    <rPh sb="0" eb="3">
      <t>ホショウショ</t>
    </rPh>
    <rPh sb="10" eb="12">
      <t>トリセツ</t>
    </rPh>
    <phoneticPr fontId="13"/>
  </si>
  <si>
    <t>多摩 591 ろ 5478</t>
    <rPh sb="0" eb="2">
      <t>タマ</t>
    </rPh>
    <phoneticPr fontId="13"/>
  </si>
  <si>
    <t>なにわ 5P6 ろ 7138</t>
    <phoneticPr fontId="13"/>
  </si>
  <si>
    <t>岐阜 582 あ 1253</t>
    <rPh sb="0" eb="2">
      <t>ギフ</t>
    </rPh>
    <phoneticPr fontId="13"/>
  </si>
  <si>
    <t>石榑自動車興業株式会社</t>
    <rPh sb="0" eb="1">
      <t>イシ</t>
    </rPh>
    <rPh sb="1" eb="2">
      <t>クレ</t>
    </rPh>
    <rPh sb="2" eb="5">
      <t>ジドウシャ</t>
    </rPh>
    <rPh sb="5" eb="7">
      <t>コウギョウ</t>
    </rPh>
    <rPh sb="7" eb="11">
      <t>カブシキガイシャ</t>
    </rPh>
    <phoneticPr fontId="13"/>
  </si>
  <si>
    <t>福山 530 に 7535</t>
    <rPh sb="0" eb="2">
      <t>フクヤマ</t>
    </rPh>
    <phoneticPr fontId="13"/>
  </si>
  <si>
    <t>倉敷 500 て 923</t>
    <rPh sb="0" eb="2">
      <t>クラシキ</t>
    </rPh>
    <phoneticPr fontId="13"/>
  </si>
  <si>
    <t>広島 583 き 7588</t>
    <rPh sb="0" eb="2">
      <t>ヒロシマ</t>
    </rPh>
    <phoneticPr fontId="13"/>
  </si>
  <si>
    <t>株式会社広島ﾏﾂﾀﾞ</t>
    <rPh sb="0" eb="4">
      <t>カブシキガイシャ</t>
    </rPh>
    <rPh sb="4" eb="6">
      <t>ヒロシマ</t>
    </rPh>
    <phoneticPr fontId="13"/>
  </si>
  <si>
    <t>地図SD(車内 書類についてる)</t>
    <rPh sb="0" eb="2">
      <t>チズ</t>
    </rPh>
    <rPh sb="5" eb="7">
      <t>シャナイ</t>
    </rPh>
    <rPh sb="8" eb="10">
      <t>ショルイ</t>
    </rPh>
    <phoneticPr fontId="13"/>
  </si>
  <si>
    <t>愛媛 583 か 6755</t>
    <rPh sb="0" eb="2">
      <t>エヒメ</t>
    </rPh>
    <phoneticPr fontId="13"/>
  </si>
  <si>
    <t>愛媛ﾄﾖﾀ自動車株式会社</t>
    <rPh sb="0" eb="2">
      <t>エヒメ</t>
    </rPh>
    <rPh sb="5" eb="8">
      <t>ジドウシャ</t>
    </rPh>
    <rPh sb="8" eb="12">
      <t>カブシキガイシャ</t>
    </rPh>
    <phoneticPr fontId="13"/>
  </si>
  <si>
    <t>保証書 取説 (車内) 車内鍵2つあり</t>
    <rPh sb="0" eb="3">
      <t>ホショウショ</t>
    </rPh>
    <rPh sb="4" eb="6">
      <t>トリセツ</t>
    </rPh>
    <rPh sb="8" eb="10">
      <t>シャナイ</t>
    </rPh>
    <rPh sb="12" eb="14">
      <t>シャナイ</t>
    </rPh>
    <rPh sb="14" eb="15">
      <t>カギ</t>
    </rPh>
    <phoneticPr fontId="13"/>
  </si>
  <si>
    <t>滋賀日産自動車株式会社</t>
    <rPh sb="0" eb="2">
      <t>シガ</t>
    </rPh>
    <rPh sb="2" eb="4">
      <t>ニッサン</t>
    </rPh>
    <rPh sb="4" eb="11">
      <t>ジドウシャカブシキガイシャ</t>
    </rPh>
    <phoneticPr fontId="13"/>
  </si>
  <si>
    <t>三重日産自動車株式会社</t>
    <rPh sb="0" eb="2">
      <t>ミエ</t>
    </rPh>
    <rPh sb="2" eb="4">
      <t>ニッサン</t>
    </rPh>
    <rPh sb="4" eb="7">
      <t>ジドウシャ</t>
    </rPh>
    <rPh sb="7" eb="11">
      <t>カブシキガイシャ</t>
    </rPh>
    <phoneticPr fontId="13"/>
  </si>
  <si>
    <t>なにわ 5P6 ろ  7618</t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</si>
  <si>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</si>
  <si>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名古屋 483 け 226</t>
    <rPh sb="0" eb="3">
      <t>ナゴヤ</t>
    </rPh>
    <phoneticPr fontId="13"/>
  </si>
  <si>
    <t>保証書 取説 ｽﾍﾟｱｷｰ ｷｰﾚｽ</t>
    <rPh sb="0" eb="3">
      <t>ホショウショ</t>
    </rPh>
    <rPh sb="4" eb="6">
      <t>トリセツ</t>
    </rPh>
    <phoneticPr fontId="13"/>
  </si>
  <si>
    <t>株式会社SMC</t>
    <rPh sb="0" eb="4">
      <t>カブシキガイシャ</t>
    </rPh>
    <phoneticPr fontId="13"/>
  </si>
  <si>
    <t>MR41S-378892</t>
    <phoneticPr fontId="13"/>
  </si>
  <si>
    <t>保証書 ﾅﾋﾞ取</t>
    <rPh sb="0" eb="3">
      <t>ホショウショ</t>
    </rPh>
    <rPh sb="7" eb="8">
      <t>トリ</t>
    </rPh>
    <phoneticPr fontId="13"/>
  </si>
  <si>
    <t>保証書 取説 ﾜﾝｵｰﾅｰ ｷｰﾚｽ</t>
    <phoneticPr fontId="13"/>
  </si>
  <si>
    <t>582 い 1377</t>
    <phoneticPr fontId="13"/>
  </si>
  <si>
    <t>582 い 1379</t>
    <phoneticPr fontId="13"/>
  </si>
  <si>
    <t>582 い 1378</t>
    <phoneticPr fontId="13"/>
  </si>
  <si>
    <t xml:space="preserve">取説 ｷｰﾚｽ (車内→ｽﾄｯｸ)保証書 ﾅﾝﾊﾞｰ </t>
    <rPh sb="0" eb="2">
      <t>トリセツ</t>
    </rPh>
    <rPh sb="9" eb="11">
      <t>シャナイ</t>
    </rPh>
    <rPh sb="17" eb="20">
      <t>ホショウショ</t>
    </rPh>
    <phoneticPr fontId="13"/>
  </si>
  <si>
    <t>ﾌｨｱｯﾄ500 ﾂｲﾝｴｱﾄﾞﾙﾁｪｳﾞｨｰﾀ</t>
    <phoneticPr fontId="13"/>
  </si>
  <si>
    <t>取説 ｷｰﾚｽ(車内)保証書 ﾚﾝﾀｶｰ 取説 ｷｰﾚｽ</t>
    <rPh sb="0" eb="2">
      <t>トリセツ</t>
    </rPh>
    <rPh sb="8" eb="10">
      <t>シャナイ</t>
    </rPh>
    <rPh sb="11" eb="14">
      <t>ホショウショ</t>
    </rPh>
    <rPh sb="21" eb="23">
      <t>トリセツ</t>
    </rPh>
    <phoneticPr fontId="13"/>
  </si>
  <si>
    <t>LAA岡山</t>
    <rPh sb="3" eb="5">
      <t>オカヤマ</t>
    </rPh>
    <phoneticPr fontId="13"/>
  </si>
  <si>
    <t>27-1154</t>
  </si>
  <si>
    <t>27-1155</t>
  </si>
  <si>
    <t>27-1156</t>
  </si>
  <si>
    <t>27-1157</t>
  </si>
  <si>
    <t>27-1158</t>
  </si>
  <si>
    <t>27-1159</t>
  </si>
  <si>
    <t>27-1160</t>
  </si>
  <si>
    <t>27-1161</t>
  </si>
  <si>
    <t>27-1162</t>
  </si>
  <si>
    <t>27-1163</t>
  </si>
  <si>
    <t>27-1164</t>
  </si>
  <si>
    <t>27-1165</t>
  </si>
  <si>
    <t>27-1166</t>
  </si>
  <si>
    <t>27-1167</t>
  </si>
  <si>
    <t>27-1168</t>
  </si>
  <si>
    <t>27-1169</t>
  </si>
  <si>
    <t>29/11</t>
    <phoneticPr fontId="13"/>
  </si>
  <si>
    <t>白</t>
    <rPh sb="0" eb="1">
      <t>シロ</t>
    </rPh>
    <phoneticPr fontId="13"/>
  </si>
  <si>
    <t>ｴﾌﾞﾘｨﾊﾞﾝ　PA　ﾊｲﾙｰﾌ</t>
    <phoneticPr fontId="13"/>
  </si>
  <si>
    <t>DA17V-288263</t>
    <phoneticPr fontId="13"/>
  </si>
  <si>
    <t>2/4</t>
    <phoneticPr fontId="13"/>
  </si>
  <si>
    <t>ｱﾙﾄ　L</t>
    <phoneticPr fontId="13"/>
  </si>
  <si>
    <t>HA36S-544204</t>
    <phoneticPr fontId="13"/>
  </si>
  <si>
    <t>9/4/23</t>
    <phoneticPr fontId="13"/>
  </si>
  <si>
    <t>29/7</t>
    <phoneticPr fontId="13"/>
  </si>
  <si>
    <t>ﾍﾞｰｼﾞｭ</t>
    <phoneticPr fontId="13"/>
  </si>
  <si>
    <t>N-BOX Gﾀｰﾎﾞ　SSﾊﾟｯｹｰｼﾞ</t>
    <phoneticPr fontId="13"/>
  </si>
  <si>
    <t>JF1-2557202</t>
    <phoneticPr fontId="13"/>
  </si>
  <si>
    <t>8/7/13</t>
    <phoneticPr fontId="13"/>
  </si>
  <si>
    <t>26/3</t>
    <phoneticPr fontId="13"/>
  </si>
  <si>
    <t>黒</t>
    <rPh sb="0" eb="1">
      <t>クロ</t>
    </rPh>
    <phoneticPr fontId="13"/>
  </si>
  <si>
    <t>N-BOX G　ﾀｰﾎﾞ</t>
    <phoneticPr fontId="13"/>
  </si>
  <si>
    <t>JF1-2209520</t>
    <phoneticPr fontId="13"/>
  </si>
  <si>
    <t>9/3/27</t>
    <phoneticPr fontId="13"/>
  </si>
  <si>
    <t>3/3</t>
    <phoneticPr fontId="13"/>
  </si>
  <si>
    <t>紺</t>
    <rPh sb="0" eb="1">
      <t>コン</t>
    </rPh>
    <phoneticPr fontId="13"/>
  </si>
  <si>
    <t>N-ONE　ﾌﾟﾚﾐｱﾑﾂｱﾗｰ</t>
    <phoneticPr fontId="13"/>
  </si>
  <si>
    <t>JG4-2000031</t>
    <phoneticPr fontId="13"/>
  </si>
  <si>
    <t>6/7</t>
    <phoneticPr fontId="13"/>
  </si>
  <si>
    <t>ｼﾙﾊﾞｰ</t>
    <phoneticPr fontId="13"/>
  </si>
  <si>
    <t>ｴﾌﾞﾘｨ　PAﾘﾐﾃｯﾄﾞ</t>
    <phoneticPr fontId="13"/>
  </si>
  <si>
    <t>DA17-760927</t>
    <phoneticPr fontId="13"/>
  </si>
  <si>
    <t>8/7/30</t>
    <phoneticPr fontId="13"/>
  </si>
  <si>
    <t>保証書　取説</t>
    <rPh sb="0" eb="3">
      <t>ホショウショ</t>
    </rPh>
    <rPh sb="4" eb="6">
      <t>トリセツ</t>
    </rPh>
    <phoneticPr fontId="13"/>
  </si>
  <si>
    <t>青</t>
    <rPh sb="0" eb="1">
      <t>アオ</t>
    </rPh>
    <phoneticPr fontId="13"/>
  </si>
  <si>
    <t>ｴﾌﾞﾘｨｼﾞｮｲﾝ</t>
    <phoneticPr fontId="13"/>
  </si>
  <si>
    <t>DA17V-666523</t>
    <phoneticPr fontId="13"/>
  </si>
  <si>
    <t>ｴﾌﾞﾘｨ　PA</t>
    <phoneticPr fontId="13"/>
  </si>
  <si>
    <t>DA17V-766434</t>
    <phoneticPr fontId="13"/>
  </si>
  <si>
    <t>8/7</t>
    <phoneticPr fontId="13"/>
  </si>
  <si>
    <t>4/5</t>
    <phoneticPr fontId="13"/>
  </si>
  <si>
    <t>HA37S-107701</t>
    <phoneticPr fontId="13"/>
  </si>
  <si>
    <t>6/3</t>
    <phoneticPr fontId="13"/>
  </si>
  <si>
    <t>ｴﾌﾞﾘｨｼﾞｮｲﾝ　ﾀｰﾎﾞ</t>
    <phoneticPr fontId="13"/>
  </si>
  <si>
    <t>DA17V-746199</t>
    <phoneticPr fontId="13"/>
  </si>
  <si>
    <t>8/3/18</t>
    <phoneticPr fontId="13"/>
  </si>
  <si>
    <t>5/6</t>
    <phoneticPr fontId="13"/>
  </si>
  <si>
    <t>ｱﾙﾄ　A</t>
    <phoneticPr fontId="13"/>
  </si>
  <si>
    <t>HA37S-135935</t>
    <phoneticPr fontId="13"/>
  </si>
  <si>
    <t>8/6/14</t>
    <phoneticPr fontId="13"/>
  </si>
  <si>
    <t>30/9</t>
    <phoneticPr fontId="13"/>
  </si>
  <si>
    <t>ｵﾚﾝｼﾞ</t>
    <phoneticPr fontId="13"/>
  </si>
  <si>
    <t>ｱﾙﾄﾗﾊﾟﾝ　S　ｾﾚｸｼｮﾝ</t>
    <phoneticPr fontId="13"/>
  </si>
  <si>
    <t>HE33S-209084</t>
    <phoneticPr fontId="13"/>
  </si>
  <si>
    <t>取説</t>
    <rPh sb="0" eb="2">
      <t>トリセツ</t>
    </rPh>
    <phoneticPr fontId="13"/>
  </si>
  <si>
    <t>6/12</t>
    <phoneticPr fontId="13"/>
  </si>
  <si>
    <t>ｴﾌﾞﾘｨ　PC</t>
    <phoneticPr fontId="13"/>
  </si>
  <si>
    <t>DA17V-753880</t>
    <phoneticPr fontId="13"/>
  </si>
  <si>
    <t>8/12/26</t>
    <phoneticPr fontId="13"/>
  </si>
  <si>
    <t>24/9</t>
    <phoneticPr fontId="13"/>
  </si>
  <si>
    <t>ﾜｺﾞﾝR　FX</t>
    <phoneticPr fontId="13"/>
  </si>
  <si>
    <t>MH34S-101556</t>
    <phoneticPr fontId="13"/>
  </si>
  <si>
    <t>27/3</t>
    <phoneticPr fontId="13"/>
  </si>
  <si>
    <t>ﾊﾟｰﾙ</t>
    <phoneticPr fontId="13"/>
  </si>
  <si>
    <t>8/3/30</t>
    <phoneticPr fontId="13"/>
  </si>
  <si>
    <t>27/7</t>
    <phoneticPr fontId="13"/>
  </si>
  <si>
    <t>JF1-1639260</t>
    <phoneticPr fontId="13"/>
  </si>
  <si>
    <t>取説　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</si>
  <si>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取説 ｷｰﾚｽ(車内)</t>
    <rPh sb="12" eb="14">
      <t>シャナイ</t>
    </rPh>
    <phoneticPr fontId="13"/>
  </si>
  <si>
    <t>保証書 取説 ｷｰﾚｽ(車内)　レンタカー</t>
    <rPh sb="12" eb="14">
      <t>シャナイ</t>
    </rPh>
    <phoneticPr fontId="13"/>
  </si>
  <si>
    <t>保証書 取説 ｷｰﾚｽ(車内)　レンタカー</t>
    <phoneticPr fontId="13"/>
  </si>
  <si>
    <t>取説　ｽﾍﾟｱｷｰ　(車内)保証書</t>
    <rPh sb="0" eb="2">
      <t>トリセツ</t>
    </rPh>
    <rPh sb="11" eb="13">
      <t>シャナイ</t>
    </rPh>
    <rPh sb="14" eb="17">
      <t>ホショウショ</t>
    </rPh>
    <phoneticPr fontId="13"/>
  </si>
  <si>
    <t>保証書　取説　ｽﾍﾟｱｷｰ(車内)保証書 ﾚﾝﾀｶｰ</t>
    <rPh sb="0" eb="3">
      <t>ホショウショ</t>
    </rPh>
    <rPh sb="4" eb="6">
      <t>トリセツ</t>
    </rPh>
    <rPh sb="17" eb="20">
      <t>ホショウショ</t>
    </rPh>
    <phoneticPr fontId="13"/>
  </si>
  <si>
    <t>保証書　(車内)</t>
    <rPh sb="0" eb="3">
      <t>ホショウショ</t>
    </rPh>
    <phoneticPr fontId="13"/>
  </si>
  <si>
    <t>保証書　ｽﾍﾟｱｷｰ(車内)</t>
    <rPh sb="0" eb="3">
      <t>ホショウショ</t>
    </rPh>
    <phoneticPr fontId="13"/>
  </si>
  <si>
    <t>保証書　取説　(車内)ｽﾍﾟｱｷｰ</t>
    <rPh sb="0" eb="3">
      <t>ホショウショ</t>
    </rPh>
    <rPh sb="4" eb="6">
      <t>トリセツ</t>
    </rPh>
    <phoneticPr fontId="13"/>
  </si>
  <si>
    <t>保証書　取説　地図SD(車内)ﾅﾝﾊﾞｰ</t>
    <rPh sb="0" eb="3">
      <t>ホショウショ</t>
    </rPh>
    <rPh sb="4" eb="6">
      <t>トリセツ</t>
    </rPh>
    <rPh sb="7" eb="9">
      <t>チズ</t>
    </rPh>
    <phoneticPr fontId="13"/>
  </si>
  <si>
    <t>地図SD(車内)保証書 取説 ﾅﾋﾞ取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</si>
  <si>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</si>
  <si>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保証書　取説　ﾅﾋﾞ取　(車内)</t>
    <rPh sb="0" eb="3">
      <t>ホショウショ</t>
    </rPh>
    <rPh sb="4" eb="6">
      <t>トリセツ</t>
    </rPh>
    <rPh sb="10" eb="11">
      <t>　</t>
    </rPh>
    <rPh sb="13" eb="15">
      <t>シャナイ</t>
    </rPh>
    <phoneticPr fontId="13"/>
  </si>
  <si>
    <t>取説　ｷｰﾚｽ(車内)</t>
    <rPh sb="0" eb="2">
      <t>トリセツ</t>
    </rPh>
    <rPh sb="8" eb="10">
      <t>シャナイ</t>
    </rPh>
    <phoneticPr fontId="13"/>
  </si>
  <si>
    <t>保証書　取説　地図SD(車内)</t>
    <rPh sb="0" eb="3">
      <t>ホショウショ</t>
    </rPh>
    <rPh sb="4" eb="6">
      <t>トリセツ</t>
    </rPh>
    <phoneticPr fontId="13"/>
  </si>
  <si>
    <t>保証書　取説　ﾏｲｸﾛ地図SD(車内)</t>
    <rPh sb="0" eb="3">
      <t>ホショウショ</t>
    </rPh>
    <rPh sb="4" eb="6">
      <t>トリセツ</t>
    </rPh>
    <rPh sb="11" eb="13">
      <t>チズ</t>
    </rPh>
    <rPh sb="16" eb="18">
      <t>シャナイ</t>
    </rPh>
    <phoneticPr fontId="13"/>
  </si>
  <si>
    <t>地図SD(車内)保証書 取説 ｽﾍﾟｱｷｰ</t>
    <rPh sb="8" eb="11">
      <t>ホショウショ</t>
    </rPh>
    <rPh sb="12" eb="14">
      <t>トリセツ</t>
    </rPh>
    <phoneticPr fontId="13"/>
  </si>
  <si>
    <t>ﾏｲｸﾛ地図SD(車内)整備手帳 取説 ﾅﾋﾞ取 ｷｰﾚｽ</t>
    <rPh sb="12" eb="16">
      <t>セイビテチョウ</t>
    </rPh>
    <rPh sb="17" eb="19">
      <t>トリセツ</t>
    </rPh>
    <rPh sb="23" eb="24">
      <t>トリ</t>
    </rPh>
    <phoneticPr fontId="13"/>
  </si>
  <si>
    <t>地図SD(車内)保証書 取説 ﾅﾋﾞ取 ｷｰﾚｽ</t>
    <rPh sb="8" eb="11">
      <t>ホショウショ</t>
    </rPh>
    <rPh sb="12" eb="14">
      <t>トリセツ</t>
    </rPh>
    <rPh sb="18" eb="19">
      <t>トリ</t>
    </rPh>
    <phoneticPr fontId="13"/>
  </si>
  <si>
    <t>地図SD(車内)保証書 取説 ｽﾍﾟｱｷｰ ﾜﾝｵｰﾅｰ</t>
    <rPh sb="8" eb="11">
      <t>ホショウショ</t>
    </rPh>
    <rPh sb="12" eb="14">
      <t>トリセツ</t>
    </rPh>
    <phoneticPr fontId="13"/>
  </si>
  <si>
    <t>充電ｶｰﾌﾞﾙ車内あり 保証書 取説 ｷｰﾚｽ ﾜﾝｵｰﾅｰ</t>
    <rPh sb="0" eb="2">
      <t>ジュウデン</t>
    </rPh>
    <rPh sb="7" eb="9">
      <t>シャナイ</t>
    </rPh>
    <rPh sb="12" eb="15">
      <t>ホショウショ</t>
    </rPh>
    <rPh sb="16" eb="18">
      <t>トリセツ</t>
    </rPh>
    <phoneticPr fontId="13"/>
  </si>
  <si>
    <t>充電ｹｰﾌﾞﾙ事務所には来てない</t>
    <rPh sb="0" eb="2">
      <t>ジュウデン</t>
    </rPh>
    <rPh sb="7" eb="10">
      <t>ジムショ</t>
    </rPh>
    <rPh sb="12" eb="13">
      <t>キ</t>
    </rPh>
    <phoneticPr fontId="13"/>
  </si>
  <si>
    <t>ﾏｲｸﾛ地図SD(車内)保証書 取説 ｷｰﾚｽ ﾅﾋﾞ取</t>
    <rPh sb="12" eb="15">
      <t>ホショウショ</t>
    </rPh>
    <rPh sb="16" eb="18">
      <t>トリセツ</t>
    </rPh>
    <rPh sb="27" eb="28">
      <t>トリ</t>
    </rPh>
    <phoneticPr fontId="13"/>
  </si>
  <si>
    <t>品番；NSZN-X70D</t>
    <rPh sb="0" eb="2">
      <t>ヒンバン</t>
    </rPh>
    <phoneticPr fontId="13"/>
  </si>
  <si>
    <t>保証書 取説 ｷｰﾚｽ(車内)</t>
    <phoneticPr fontId="13"/>
  </si>
  <si>
    <t>保証書 取説 (車内)</t>
    <phoneticPr fontId="13"/>
  </si>
  <si>
    <t>取説 ｷｰﾚｽ ﾘﾓｺﾝ(車内)</t>
    <rPh sb="0" eb="2">
      <t>トリセツ</t>
    </rPh>
    <rPh sb="13" eb="15">
      <t>シャナイ</t>
    </rPh>
    <phoneticPr fontId="13"/>
  </si>
  <si>
    <t>保証書 取説 ｷｰﾚｽ 地図SD (車内)</t>
    <rPh sb="12" eb="14">
      <t>チズ</t>
    </rPh>
    <phoneticPr fontId="13"/>
  </si>
  <si>
    <t>取説 ｷｰﾚｽ(車内)</t>
    <rPh sb="0" eb="2">
      <t>トリセツ</t>
    </rPh>
    <phoneticPr fontId="13"/>
  </si>
  <si>
    <t>地図SD(車内)</t>
    <rPh sb="0" eb="2">
      <t>チズ</t>
    </rPh>
    <phoneticPr fontId="13"/>
  </si>
  <si>
    <t>ｷｰﾚｽ(車内)</t>
    <phoneticPr fontId="13"/>
  </si>
  <si>
    <t>27-1170</t>
  </si>
  <si>
    <t>27-1171</t>
  </si>
  <si>
    <t>JF1-1610115</t>
    <phoneticPr fontId="13"/>
  </si>
  <si>
    <t>27-1172</t>
  </si>
  <si>
    <t>27-1173</t>
  </si>
  <si>
    <t>27-1174</t>
  </si>
  <si>
    <t>27-1175</t>
  </si>
  <si>
    <t>27-1176</t>
  </si>
  <si>
    <t>27-1177</t>
  </si>
  <si>
    <t>27-1178</t>
  </si>
  <si>
    <t>27-1179</t>
  </si>
  <si>
    <t>27-1180</t>
  </si>
  <si>
    <t>27-1181</t>
  </si>
  <si>
    <t>27-1182</t>
  </si>
  <si>
    <t>27-1183</t>
  </si>
  <si>
    <t>27-1184</t>
  </si>
  <si>
    <t>ﾒﾙｾﾃﾞｽﾍﾞﾝﾂ　E300 ｱﾊﾞﾝｷﾞｬﾙﾄ</t>
    <phoneticPr fontId="13"/>
  </si>
  <si>
    <t>WDD2130832A625119</t>
    <phoneticPr fontId="13"/>
  </si>
  <si>
    <t>富山 334 ち 2010</t>
    <rPh sb="0" eb="2">
      <t>トヤマ</t>
    </rPh>
    <phoneticPr fontId="13"/>
  </si>
  <si>
    <t>27-1185</t>
  </si>
  <si>
    <t>27-1186</t>
  </si>
  <si>
    <t>27-1187</t>
  </si>
  <si>
    <t>27-1188</t>
  </si>
  <si>
    <t>27-1189</t>
  </si>
  <si>
    <t>A305659</t>
    <phoneticPr fontId="13"/>
  </si>
  <si>
    <t>ｽﾍﾟｰｼｱ ﾊｲﾌﾞﾘｯﾄﾞ X</t>
    <phoneticPr fontId="13"/>
  </si>
  <si>
    <t>MK53S-462028</t>
    <phoneticPr fontId="13"/>
  </si>
  <si>
    <t>A304911</t>
    <phoneticPr fontId="13"/>
  </si>
  <si>
    <t>ﾃﾞｲｽﾞﾙｰｸｽ　ﾊｲｳｪｽﾀｰ　Xﾀｰﾎﾞ</t>
    <phoneticPr fontId="13"/>
  </si>
  <si>
    <t>B21A-0505912</t>
    <phoneticPr fontId="13"/>
  </si>
  <si>
    <t>A305321</t>
    <phoneticPr fontId="13"/>
  </si>
  <si>
    <t>LA600S-0403501</t>
    <phoneticPr fontId="13"/>
  </si>
  <si>
    <t>9/3/13</t>
    <phoneticPr fontId="13"/>
  </si>
  <si>
    <t>A305471</t>
    <phoneticPr fontId="13"/>
  </si>
  <si>
    <t>NV100ｸﾘｯﾊﾟｰﾊﾞﾝ　ＧＸﾀｰﾎﾞ</t>
    <phoneticPr fontId="13"/>
  </si>
  <si>
    <t>DR17V-823415</t>
    <phoneticPr fontId="13"/>
  </si>
  <si>
    <t>A296957</t>
    <phoneticPr fontId="13"/>
  </si>
  <si>
    <t>N-BOXﾀｰﾎﾞ SSﾊﾟｯｹｰｼﾞ</t>
    <phoneticPr fontId="13"/>
  </si>
  <si>
    <t>JF1-2552106</t>
    <phoneticPr fontId="13"/>
  </si>
  <si>
    <t>名古屋 326 ま 8105</t>
    <rPh sb="0" eb="3">
      <t>ナゴヤ</t>
    </rPh>
    <phoneticPr fontId="13"/>
  </si>
  <si>
    <t>名古屋 31Y み 16</t>
    <rPh sb="0" eb="3">
      <t>ナゴヤ</t>
    </rPh>
    <phoneticPr fontId="13"/>
  </si>
  <si>
    <t>冨松 秀紀</t>
    <rPh sb="0" eb="2">
      <t>トミマツ</t>
    </rPh>
    <rPh sb="3" eb="5">
      <t>ヒデキ</t>
    </rPh>
    <phoneticPr fontId="13"/>
  </si>
  <si>
    <t xml:space="preserve">保証書 取説 ｷｰﾚｽ </t>
    <phoneticPr fontId="13"/>
  </si>
  <si>
    <t xml:space="preserve">保証書 取説 ｽﾏｰﾄｷｰ </t>
    <rPh sb="0" eb="3">
      <t>ホショウショ</t>
    </rPh>
    <rPh sb="4" eb="6">
      <t>トリセツ</t>
    </rPh>
    <phoneticPr fontId="13"/>
  </si>
  <si>
    <t>株式会社YAMAI</t>
    <rPh sb="0" eb="4">
      <t>カブシキガイシャ</t>
    </rPh>
    <phoneticPr fontId="13"/>
  </si>
  <si>
    <t>石井 妹</t>
    <rPh sb="0" eb="2">
      <t>イシイ</t>
    </rPh>
    <rPh sb="3" eb="4">
      <t>イモウト</t>
    </rPh>
    <phoneticPr fontId="13"/>
  </si>
  <si>
    <t>三重 583 い 5954</t>
    <rPh sb="0" eb="2">
      <t>ミエ</t>
    </rPh>
    <phoneticPr fontId="13"/>
  </si>
  <si>
    <t>保証書 取説 ﾅﾋﾞ取 ｽﾏｰﾄｷｰ SD</t>
    <rPh sb="0" eb="3">
      <t>ホショウショ</t>
    </rPh>
    <rPh sb="4" eb="6">
      <t>トリセツ</t>
    </rPh>
    <rPh sb="10" eb="11">
      <t>トリ</t>
    </rPh>
    <phoneticPr fontId="13"/>
  </si>
  <si>
    <t>なにわ 5P5 ろ 1050</t>
    <phoneticPr fontId="13"/>
  </si>
  <si>
    <t>多摩 584 て 333</t>
    <rPh sb="0" eb="2">
      <t>タマ</t>
    </rPh>
    <phoneticPr fontId="13"/>
  </si>
  <si>
    <t>千葉 792 ろ 7476</t>
    <rPh sb="0" eb="2">
      <t>チバ</t>
    </rPh>
    <phoneticPr fontId="13"/>
  </si>
  <si>
    <t>松本 585 か 1207</t>
    <rPh sb="0" eb="2">
      <t>マツモト</t>
    </rPh>
    <phoneticPr fontId="13"/>
  </si>
  <si>
    <t>取説 整備手帳(中古車)</t>
    <rPh sb="0" eb="2">
      <t>トリセツ</t>
    </rPh>
    <rPh sb="3" eb="7">
      <t>セイビテチョウ</t>
    </rPh>
    <rPh sb="8" eb="11">
      <t>チュウコシャ</t>
    </rPh>
    <phoneticPr fontId="13"/>
  </si>
  <si>
    <t>京都 789 い 22</t>
    <rPh sb="0" eb="2">
      <t>キョウト</t>
    </rPh>
    <phoneticPr fontId="13"/>
  </si>
  <si>
    <t>鈴木 尚久</t>
    <rPh sb="0" eb="2">
      <t>スズキ</t>
    </rPh>
    <rPh sb="3" eb="5">
      <t>ナオヒサ</t>
    </rPh>
    <phoneticPr fontId="13"/>
  </si>
  <si>
    <t>神戸 564 の 1125</t>
    <rPh sb="0" eb="2">
      <t>コウベ</t>
    </rPh>
    <phoneticPr fontId="13"/>
  </si>
  <si>
    <t>株式会社ｽｽﾞｷ自販兵庫</t>
    <rPh sb="0" eb="4">
      <t>カブシキガイシャ</t>
    </rPh>
    <rPh sb="8" eb="10">
      <t>ジハン</t>
    </rPh>
    <rPh sb="10" eb="12">
      <t>ヒョウゴ</t>
    </rPh>
    <phoneticPr fontId="13"/>
  </si>
  <si>
    <t>地図SD(車内)保証書 取説 ｽﾏｰﾄｷｰ ﾅﾋﾞ取 ﾜﾝｵｰﾅｰ</t>
    <rPh sb="8" eb="11">
      <t>ホショウショ</t>
    </rPh>
    <rPh sb="12" eb="14">
      <t>トリセツ</t>
    </rPh>
    <rPh sb="25" eb="26">
      <t>トリ</t>
    </rPh>
    <phoneticPr fontId="13"/>
  </si>
  <si>
    <t>倉敷 580 と 9997</t>
    <rPh sb="0" eb="2">
      <t>クラシキ</t>
    </rPh>
    <phoneticPr fontId="13"/>
  </si>
  <si>
    <t>広島 591 け 1012</t>
    <rPh sb="0" eb="2">
      <t>ヒロシマ</t>
    </rPh>
    <phoneticPr fontId="13"/>
  </si>
  <si>
    <t>竹下 直輝</t>
    <rPh sb="0" eb="2">
      <t>タケシタ</t>
    </rPh>
    <rPh sb="3" eb="5">
      <t>ナオキ</t>
    </rPh>
    <phoneticPr fontId="13"/>
  </si>
  <si>
    <t>保証書 取説 ｽﾏｰﾄｷｰ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</si>
  <si>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株式会社ﾗﾋﾞｯﾄ ｶｰﾈｯﾄﾜｰｸ</t>
    <rPh sb="0" eb="4">
      <t>カブシキガイシャ</t>
    </rPh>
    <phoneticPr fontId="13"/>
  </si>
  <si>
    <t>保証書 取説 ﾜﾝｵｰﾅｰ無視</t>
    <rPh sb="0" eb="3">
      <t>ホショウショ</t>
    </rPh>
    <rPh sb="4" eb="6">
      <t>トリセツ</t>
    </rPh>
    <rPh sb="13" eb="15">
      <t>ムシ</t>
    </rPh>
    <phoneticPr fontId="13"/>
  </si>
  <si>
    <t>岐阜 581 や 6867</t>
    <rPh sb="0" eb="2">
      <t>ギフ</t>
    </rPh>
    <phoneticPr fontId="13"/>
  </si>
  <si>
    <t>株式会社ﾌｧﾐﾘｰ</t>
    <rPh sb="0" eb="4">
      <t>カブシキガイシャ</t>
    </rPh>
    <phoneticPr fontId="13"/>
  </si>
  <si>
    <t>株式会社ﾈｸｽﾃｰｼﾞ共和ﾓｰﾀｰｽ</t>
    <rPh sb="11" eb="13">
      <t>キョウワ</t>
    </rPh>
    <phoneticPr fontId="13"/>
  </si>
  <si>
    <t>大阪 587 な 3333</t>
    <rPh sb="0" eb="2">
      <t>オオサカ</t>
    </rPh>
    <phoneticPr fontId="13"/>
  </si>
  <si>
    <t>株式会社ｼﾞｪｲﾎﾞｰｲ</t>
    <phoneticPr fontId="13"/>
  </si>
  <si>
    <t>保証書 取説 SD ｽﾍﾟｱｷｰ B-CAS</t>
    <rPh sb="0" eb="3">
      <t>ホショウショ</t>
    </rPh>
    <rPh sb="4" eb="6">
      <t>トリセツ</t>
    </rPh>
    <phoneticPr fontId="13"/>
  </si>
  <si>
    <t>株式会社ﾗｲｽﾞｵｰﾄ</t>
    <rPh sb="0" eb="4">
      <t>カブシキガイシャ</t>
    </rPh>
    <phoneticPr fontId="13"/>
  </si>
  <si>
    <t>鈴鹿 583 い 467</t>
    <rPh sb="0" eb="2">
      <t>スズカ</t>
    </rPh>
    <phoneticPr fontId="13"/>
  </si>
  <si>
    <t>株式会社ﾎﾝﾀﾞ四輪販売三重北</t>
    <rPh sb="0" eb="4">
      <t>カブシキガイシャ</t>
    </rPh>
    <rPh sb="8" eb="12">
      <t>ヨンリンハンバイ</t>
    </rPh>
    <rPh sb="12" eb="14">
      <t>ミエ</t>
    </rPh>
    <rPh sb="14" eb="15">
      <t>キタ</t>
    </rPh>
    <phoneticPr fontId="13"/>
  </si>
  <si>
    <t>ﾘﾓｺﾝ(車内)保証書 ﾜﾝｵｰﾅｰ</t>
    <rPh sb="5" eb="7">
      <t>シャナイ</t>
    </rPh>
    <rPh sb="8" eb="11">
      <t>ホショウショ</t>
    </rPh>
    <phoneticPr fontId="13"/>
  </si>
  <si>
    <t>株式会社古川損害保険事務所</t>
    <rPh sb="0" eb="4">
      <t>カブシキガイシャ</t>
    </rPh>
    <rPh sb="4" eb="6">
      <t>フルカワ</t>
    </rPh>
    <rPh sb="6" eb="10">
      <t>ソンガイホケン</t>
    </rPh>
    <rPh sb="10" eb="13">
      <t>ジムショ</t>
    </rPh>
    <phoneticPr fontId="13"/>
  </si>
  <si>
    <t>岸川 スミ子</t>
    <rPh sb="0" eb="2">
      <t>キシカワ</t>
    </rPh>
    <rPh sb="5" eb="6">
      <t>コ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</si>
  <si>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</si>
  <si>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大國 誉斗</t>
    <rPh sb="0" eb="2">
      <t>オオクニ</t>
    </rPh>
    <rPh sb="3" eb="4">
      <t>ホマレ</t>
    </rPh>
    <rPh sb="4" eb="5">
      <t>ト</t>
    </rPh>
    <phoneticPr fontId="13"/>
  </si>
  <si>
    <t>ｻﾑﾗｲﾄﾚｰﾃﾞｨﾝｸﾞ株式会社</t>
    <rPh sb="13" eb="17">
      <t>カブシキガイシャ</t>
    </rPh>
    <phoneticPr fontId="13"/>
  </si>
  <si>
    <t>有限会社中江工務店</t>
    <rPh sb="0" eb="4">
      <t>ユウゲンガイシャ</t>
    </rPh>
    <rPh sb="4" eb="6">
      <t>ナカエ</t>
    </rPh>
    <rPh sb="6" eb="9">
      <t>コウムテン</t>
    </rPh>
    <phoneticPr fontId="13"/>
  </si>
  <si>
    <t>小林 英昭</t>
    <rPh sb="0" eb="2">
      <t>コバヤシ</t>
    </rPh>
    <rPh sb="3" eb="5">
      <t>ヒデアキ</t>
    </rPh>
    <phoneticPr fontId="13"/>
  </si>
  <si>
    <t>柴田 麻衣</t>
    <rPh sb="0" eb="2">
      <t>シバタ</t>
    </rPh>
    <rPh sb="3" eb="5">
      <t>マイ</t>
    </rPh>
    <phoneticPr fontId="13"/>
  </si>
  <si>
    <t>鹿児島 332 り 114</t>
    <rPh sb="0" eb="3">
      <t>カゴシマ</t>
    </rPh>
    <phoneticPr fontId="13"/>
  </si>
  <si>
    <t>堀切 麗繕</t>
    <rPh sb="0" eb="2">
      <t>ホリキリ</t>
    </rPh>
    <rPh sb="3" eb="4">
      <t>レイ</t>
    </rPh>
    <rPh sb="4" eb="5">
      <t>ゼン</t>
    </rPh>
    <phoneticPr fontId="13"/>
  </si>
  <si>
    <t>福岡 531 さ 3</t>
    <rPh sb="0" eb="2">
      <t>フクオカ</t>
    </rPh>
    <phoneticPr fontId="13"/>
  </si>
  <si>
    <t>長尾 祐輝</t>
    <rPh sb="0" eb="2">
      <t>ナガオ</t>
    </rPh>
    <rPh sb="3" eb="4">
      <t>ユウ</t>
    </rPh>
    <rPh sb="4" eb="5">
      <t>テル</t>
    </rPh>
    <phoneticPr fontId="13"/>
  </si>
  <si>
    <t>北九州 584 ろ 9269</t>
    <rPh sb="0" eb="3">
      <t>キタキュウシュウ</t>
    </rPh>
    <phoneticPr fontId="13"/>
  </si>
  <si>
    <t>ﾀｽﾃｯｸﾚﾝﾀﾘｰｽ 株式会社</t>
    <rPh sb="12" eb="16">
      <t>カブシキガイシャ</t>
    </rPh>
    <phoneticPr fontId="13"/>
  </si>
  <si>
    <t>北九州 584 ろ 9278</t>
    <rPh sb="0" eb="3">
      <t>キタキュウシュウ</t>
    </rPh>
    <phoneticPr fontId="13"/>
  </si>
  <si>
    <t>越谷 580 か 440</t>
    <rPh sb="0" eb="2">
      <t>コシタニ</t>
    </rPh>
    <phoneticPr fontId="13"/>
  </si>
  <si>
    <t>田澤 貴子</t>
    <rPh sb="0" eb="2">
      <t>タサワ</t>
    </rPh>
    <rPh sb="3" eb="5">
      <t>タカコ</t>
    </rPh>
    <phoneticPr fontId="13"/>
  </si>
  <si>
    <t>足立 342 む 1004</t>
    <rPh sb="0" eb="2">
      <t>アダチ</t>
    </rPh>
    <phoneticPr fontId="13"/>
  </si>
  <si>
    <t>伊邉 弘樹</t>
    <rPh sb="0" eb="1">
      <t>イ</t>
    </rPh>
    <rPh sb="1" eb="2">
      <t>アタ</t>
    </rPh>
    <rPh sb="3" eb="5">
      <t>ヒロキ</t>
    </rPh>
    <phoneticPr fontId="13"/>
  </si>
  <si>
    <t>品川 580 た 7128</t>
    <rPh sb="0" eb="2">
      <t>シナガワ</t>
    </rPh>
    <phoneticPr fontId="13"/>
  </si>
  <si>
    <t>株式会社ﾊｳｽﾌﾚﾝﾄﾞ</t>
    <rPh sb="0" eb="4">
      <t>カブシキガイシャ</t>
    </rPh>
    <phoneticPr fontId="13"/>
  </si>
  <si>
    <t>なにわ 483 る 7000</t>
    <phoneticPr fontId="13"/>
  </si>
  <si>
    <t>日産大阪販売株式会社</t>
    <rPh sb="0" eb="10">
      <t>ニッサンオオサカハンバイカブシキガイシャ</t>
    </rPh>
    <phoneticPr fontId="13"/>
  </si>
  <si>
    <t>保証書 取説 ｽﾍﾟｱｷｰ miniB-CAS ﾏｲｸﾛSD</t>
    <rPh sb="0" eb="3">
      <t>ホショウショ</t>
    </rPh>
    <rPh sb="4" eb="6">
      <t>トリセツ</t>
    </rPh>
    <phoneticPr fontId="13"/>
  </si>
  <si>
    <t>品川 5X0 ろ 7327</t>
    <rPh sb="0" eb="2">
      <t>シナガワ</t>
    </rPh>
    <phoneticPr fontId="13"/>
  </si>
  <si>
    <t>日本ｶｰｿﾘｭｰｼﾞｮﾝｽﾞ株式会社</t>
    <rPh sb="0" eb="2">
      <t>ニホン</t>
    </rPh>
    <rPh sb="14" eb="18">
      <t>カブシキガイシャ</t>
    </rPh>
    <phoneticPr fontId="13"/>
  </si>
  <si>
    <t>株式会社山勝</t>
    <rPh sb="0" eb="4">
      <t>カブシキガイシャ</t>
    </rPh>
    <rPh sb="4" eb="6">
      <t>ヤマカツ</t>
    </rPh>
    <phoneticPr fontId="13"/>
  </si>
  <si>
    <t>四日市 580 か 7205</t>
    <rPh sb="0" eb="3">
      <t>ヨッカイチ</t>
    </rPh>
    <phoneticPr fontId="13"/>
  </si>
  <si>
    <t>株式会社ｱﾙﾌｧﾌﾟﾛｼﾞｪｸﾄ</t>
    <rPh sb="0" eb="4">
      <t>カブシキガイシャ</t>
    </rPh>
    <phoneticPr fontId="13"/>
  </si>
  <si>
    <t>岡山 584 ろ 2052</t>
    <rPh sb="0" eb="2">
      <t>オカヤマ</t>
    </rPh>
    <phoneticPr fontId="13"/>
  </si>
  <si>
    <t>ｽｽﾞｷ岡山販売株式会社</t>
    <rPh sb="4" eb="6">
      <t>オカヤマ</t>
    </rPh>
    <rPh sb="6" eb="12">
      <t>ハンバイカブシキガイシャ</t>
    </rPh>
    <phoneticPr fontId="13"/>
  </si>
  <si>
    <t>倉敷 587 つ 1223</t>
    <rPh sb="0" eb="2">
      <t>クラシキ</t>
    </rPh>
    <phoneticPr fontId="13"/>
  </si>
  <si>
    <t>佐々木 賢司</t>
    <rPh sb="0" eb="3">
      <t>ササキ</t>
    </rPh>
    <rPh sb="4" eb="6">
      <t>ケンジ</t>
    </rPh>
    <phoneticPr fontId="13"/>
  </si>
  <si>
    <t>岡山 581 ふ 8856</t>
    <rPh sb="0" eb="2">
      <t>オカヤマ</t>
    </rPh>
    <phoneticPr fontId="13"/>
  </si>
  <si>
    <t>和泉 581 と 4717</t>
    <rPh sb="0" eb="2">
      <t>イズミ</t>
    </rPh>
    <phoneticPr fontId="13"/>
  </si>
  <si>
    <t>本多 一成</t>
    <rPh sb="0" eb="2">
      <t>ホンダ</t>
    </rPh>
    <rPh sb="3" eb="5">
      <t>カズナリ</t>
    </rPh>
    <phoneticPr fontId="13"/>
  </si>
  <si>
    <t>大阪 550 せ 12</t>
    <rPh sb="0" eb="2">
      <t>オオサカ</t>
    </rPh>
    <phoneticPr fontId="13"/>
  </si>
  <si>
    <t>神田 康雄</t>
    <rPh sb="0" eb="2">
      <t>カンダ</t>
    </rPh>
    <rPh sb="3" eb="5">
      <t>ヤスオ</t>
    </rPh>
    <phoneticPr fontId="13"/>
  </si>
  <si>
    <t>三重 333 て 2277</t>
    <rPh sb="0" eb="2">
      <t>ミエ</t>
    </rPh>
    <phoneticPr fontId="13"/>
  </si>
  <si>
    <t>日野 正太郎</t>
    <rPh sb="0" eb="2">
      <t>ヒノ</t>
    </rPh>
    <rPh sb="3" eb="6">
      <t>ショウタロウ</t>
    </rPh>
    <phoneticPr fontId="13"/>
  </si>
  <si>
    <t>京都 580 も 3981</t>
    <rPh sb="0" eb="2">
      <t>キョウト</t>
    </rPh>
    <phoneticPr fontId="13"/>
  </si>
  <si>
    <t>北山 暁子</t>
    <rPh sb="0" eb="2">
      <t>キタヤマ</t>
    </rPh>
    <rPh sb="3" eb="4">
      <t>アキ</t>
    </rPh>
    <rPh sb="4" eb="5">
      <t>コ</t>
    </rPh>
    <phoneticPr fontId="13"/>
  </si>
  <si>
    <t>大阪 581 か 7400</t>
    <rPh sb="0" eb="2">
      <t>オオサカ</t>
    </rPh>
    <phoneticPr fontId="13"/>
  </si>
  <si>
    <t>濱崎 秀和</t>
    <rPh sb="0" eb="2">
      <t>ハマサキ</t>
    </rPh>
    <rPh sb="3" eb="5">
      <t>ヒデカズ</t>
    </rPh>
    <phoneticPr fontId="13"/>
  </si>
  <si>
    <t>鎌田 大司</t>
    <rPh sb="0" eb="2">
      <t>カマダ</t>
    </rPh>
    <rPh sb="3" eb="4">
      <t>ダイ</t>
    </rPh>
    <rPh sb="4" eb="5">
      <t>ツカサ</t>
    </rPh>
    <phoneticPr fontId="13"/>
  </si>
  <si>
    <t>富山 580 み 1794</t>
    <rPh sb="0" eb="2">
      <t>トヤマ</t>
    </rPh>
    <phoneticPr fontId="13"/>
  </si>
  <si>
    <t>川越 583 た 2112</t>
    <rPh sb="0" eb="2">
      <t>カワコ</t>
    </rPh>
    <phoneticPr fontId="13"/>
  </si>
  <si>
    <t>櫻井 義雄</t>
    <rPh sb="0" eb="2">
      <t>サクライ</t>
    </rPh>
    <rPh sb="3" eb="5">
      <t>ヨシオ</t>
    </rPh>
    <phoneticPr fontId="13"/>
  </si>
  <si>
    <t>保証書 取説 ｽﾏｰﾄｷｰ ﾅﾋﾞ取</t>
    <rPh sb="0" eb="3">
      <t>ホショウショ</t>
    </rPh>
    <rPh sb="4" eb="6">
      <t>トリセツ</t>
    </rPh>
    <rPh sb="17" eb="18">
      <t>トリ</t>
    </rPh>
    <phoneticPr fontId="13"/>
  </si>
  <si>
    <t>WMW52DK0002P77672</t>
    <phoneticPr fontId="13"/>
  </si>
  <si>
    <t>WMWXT320502L06066</t>
    <phoneticPr fontId="13"/>
  </si>
  <si>
    <t>ZFABF1C83NJF49878</t>
    <phoneticPr fontId="13"/>
  </si>
  <si>
    <t>WBA8A120X0EJ43136</t>
    <phoneticPr fontId="13"/>
  </si>
  <si>
    <t>滋賀 301 ぬ 6564</t>
    <rPh sb="0" eb="2">
      <t>シガ</t>
    </rPh>
    <phoneticPr fontId="13"/>
  </si>
  <si>
    <t>株式会社ﾎﾝﾀﾞｸﾘｵ滋賀</t>
    <rPh sb="0" eb="4">
      <t>カブシキガイシャ</t>
    </rPh>
    <rPh sb="11" eb="13">
      <t>シガ</t>
    </rPh>
    <phoneticPr fontId="13"/>
  </si>
  <si>
    <t>WBA2H52020VD47098</t>
    <phoneticPr fontId="13"/>
  </si>
  <si>
    <t>岡山 301 む 8340</t>
    <rPh sb="0" eb="2">
      <t>オカヤマ</t>
    </rPh>
    <phoneticPr fontId="13"/>
  </si>
  <si>
    <t>堺 500 ほ 723</t>
    <rPh sb="0" eb="1">
      <t>サカイ</t>
    </rPh>
    <phoneticPr fontId="13"/>
  </si>
  <si>
    <t>習志野 302 さ 5327</t>
    <rPh sb="0" eb="3">
      <t>ナラシノ</t>
    </rPh>
    <phoneticPr fontId="13"/>
  </si>
  <si>
    <t>千葉ﾄﾖﾀ自動車株式会社</t>
    <rPh sb="0" eb="2">
      <t>チバ</t>
    </rPh>
    <rPh sb="5" eb="12">
      <t>ジドウシャカブシキガイシャ</t>
    </rPh>
    <phoneticPr fontId="13"/>
  </si>
  <si>
    <t>西澤 集人</t>
    <rPh sb="0" eb="2">
      <t>ニシザワ</t>
    </rPh>
    <rPh sb="3" eb="5">
      <t>シュウヒト</t>
    </rPh>
    <phoneticPr fontId="13"/>
  </si>
  <si>
    <t>MR41S-326157</t>
    <phoneticPr fontId="13"/>
  </si>
  <si>
    <t>MR41S-358398</t>
    <phoneticPr fontId="13"/>
  </si>
  <si>
    <t>ﾜｺﾞﾝR ﾊｲﾌﾞﾘｯﾄﾞFZ</t>
    <phoneticPr fontId="13"/>
  </si>
  <si>
    <t>MH95S-152932</t>
    <phoneticPr fontId="13"/>
  </si>
  <si>
    <t>WVWZZZAUZHW177579</t>
    <phoneticPr fontId="13"/>
  </si>
  <si>
    <t>横浜 32C る 2</t>
    <rPh sb="0" eb="2">
      <t>ヨコハマ</t>
    </rPh>
    <phoneticPr fontId="13"/>
  </si>
  <si>
    <t>取説 ﾅﾋﾞ取 ｽﾏｰﾄｷｰ</t>
    <rPh sb="0" eb="2">
      <t>トリセツ</t>
    </rPh>
    <rPh sb="6" eb="7">
      <t>トリ</t>
    </rPh>
    <phoneticPr fontId="13"/>
  </si>
  <si>
    <t>BMW X3 xdrive2.0i Mｽﾎﾟｰﾂ</t>
    <phoneticPr fontId="13"/>
  </si>
  <si>
    <t>WBATR52020LD99845</t>
    <phoneticPr fontId="13"/>
  </si>
  <si>
    <t>DA17W-268437</t>
    <phoneticPr fontId="13"/>
  </si>
  <si>
    <t>8/10/10</t>
    <phoneticPr fontId="13"/>
  </si>
  <si>
    <t>三重 582 そ 4098</t>
    <rPh sb="0" eb="2">
      <t>ミエ</t>
    </rPh>
    <phoneticPr fontId="13"/>
  </si>
  <si>
    <t>ｽﾍﾟｰｼｱｶｽﾀﾑ ﾊｲﾌﾞﾘｯﾄﾞXS</t>
    <phoneticPr fontId="13"/>
  </si>
  <si>
    <t>MK53S-664567</t>
    <phoneticPr fontId="13"/>
  </si>
  <si>
    <t>徳島 580 み 1872</t>
    <rPh sb="0" eb="2">
      <t>トクシマ</t>
    </rPh>
    <phoneticPr fontId="13"/>
  </si>
  <si>
    <t>ｳﾞｪﾙﾌｧｲｱ 2.4 Z</t>
    <phoneticPr fontId="13"/>
  </si>
  <si>
    <t>ANH20-8228664</t>
    <phoneticPr fontId="13"/>
  </si>
  <si>
    <t>広島 341 も 8888</t>
    <rPh sb="0" eb="2">
      <t>ヒロシマ</t>
    </rPh>
    <phoneticPr fontId="13"/>
  </si>
  <si>
    <t>JB23W-745849</t>
    <phoneticPr fontId="13"/>
  </si>
  <si>
    <t>徳島 580 ぬ 5697</t>
    <rPh sb="0" eb="2">
      <t>トクシマ</t>
    </rPh>
    <phoneticPr fontId="13"/>
  </si>
  <si>
    <t>DA17W-250529</t>
    <phoneticPr fontId="13"/>
  </si>
  <si>
    <t>9/7/16</t>
    <phoneticPr fontId="13"/>
  </si>
  <si>
    <t>和歌山 581 せ 8347</t>
    <rPh sb="0" eb="3">
      <t>ワカヤマ</t>
    </rPh>
    <phoneticPr fontId="13"/>
  </si>
  <si>
    <t>JB23W-753960</t>
    <phoneticPr fontId="13"/>
  </si>
  <si>
    <t>ｴﾌﾞﾘｲﾊﾞﾝ PA</t>
    <phoneticPr fontId="13"/>
  </si>
  <si>
    <t>DA17V-619490</t>
    <phoneticPr fontId="13"/>
  </si>
  <si>
    <t>神戸 480 む 6086</t>
    <rPh sb="0" eb="2">
      <t>コウベ</t>
    </rPh>
    <phoneticPr fontId="13"/>
  </si>
  <si>
    <t>BMWﾐﾆｸｰﾊﾟｰ Dｸﾛｽｵｰﾊﾞｰ</t>
    <phoneticPr fontId="13"/>
  </si>
  <si>
    <t>WMWXD32020WT50628</t>
    <phoneticPr fontId="13"/>
  </si>
  <si>
    <t>愛媛 352 な 1010</t>
    <rPh sb="0" eb="2">
      <t>エヒメ</t>
    </rPh>
    <phoneticPr fontId="13"/>
  </si>
  <si>
    <t>BMW X5 xdrive35d Xﾗｲﾝ</t>
    <phoneticPr fontId="13"/>
  </si>
  <si>
    <t>WBAKS420700V25741</t>
    <phoneticPr fontId="13"/>
  </si>
  <si>
    <t>広島 302 な 821</t>
    <rPh sb="0" eb="2">
      <t>ヒロシマ</t>
    </rPh>
    <phoneticPr fontId="13"/>
  </si>
  <si>
    <t>WMWXS520202F21941</t>
    <phoneticPr fontId="13"/>
  </si>
  <si>
    <t>和歌山 300 る 6512</t>
    <rPh sb="0" eb="3">
      <t>ワカヤマ</t>
    </rPh>
    <phoneticPr fontId="13"/>
  </si>
  <si>
    <t>BMW 320d Mｽﾎﾟｰﾂ ｴﾃﾞｨｼｮﾝ</t>
    <phoneticPr fontId="13"/>
  </si>
  <si>
    <t>WBA5V72060FK08424</t>
    <phoneticPr fontId="13"/>
  </si>
  <si>
    <t>BMWﾐﾆｸｰﾊﾟｰSD ｾﾌﾞﾝ</t>
    <phoneticPr fontId="13"/>
  </si>
  <si>
    <t>WMWXN920X02D27270</t>
    <phoneticPr fontId="13"/>
  </si>
  <si>
    <t>ﾏﾙｰﾝ</t>
    <phoneticPr fontId="13"/>
  </si>
  <si>
    <t>京都 30K み 1000</t>
    <rPh sb="0" eb="2">
      <t>キョウト</t>
    </rPh>
    <phoneticPr fontId="13"/>
  </si>
  <si>
    <t>JF1-1890326</t>
    <phoneticPr fontId="13"/>
  </si>
  <si>
    <t>地図SD(車内)保証書 取説 ｷｰﾚｽ ﾜﾝｵｰﾅｰ</t>
    <rPh sb="8" eb="11">
      <t>ホショウショ</t>
    </rPh>
    <rPh sb="12" eb="14">
      <t>トリセツ</t>
    </rPh>
    <phoneticPr fontId="13"/>
  </si>
  <si>
    <t>ｷｬﾝｾﾙ</t>
    <phoneticPr fontId="13"/>
  </si>
  <si>
    <t>書類返送10/11</t>
    <rPh sb="0" eb="2">
      <t>ショルイ</t>
    </rPh>
    <rPh sb="2" eb="4">
      <t>ヘンソウ</t>
    </rPh>
    <phoneticPr fontId="13"/>
  </si>
  <si>
    <t>品川 5X1 ろ 3154</t>
    <rPh sb="0" eb="2">
      <t>シナガワ</t>
    </rPh>
    <phoneticPr fontId="13"/>
  </si>
  <si>
    <t>長崎 399 そ 3401</t>
    <rPh sb="0" eb="2">
      <t>ナガサキ</t>
    </rPh>
    <phoneticPr fontId="13"/>
  </si>
  <si>
    <t>株式会社MATSUFUJI</t>
    <rPh sb="0" eb="4">
      <t>カブシキガイシャ</t>
    </rPh>
    <phoneticPr fontId="13"/>
  </si>
  <si>
    <t>ﾑｰﾌﾞｷｬﾝﾊﾞｽ　Xﾌﾞﾗｯｸｲﾝﾃﾘｱ ﾘﾐﾃｯﾄﾞSA3</t>
    <phoneticPr fontId="13"/>
  </si>
  <si>
    <t>LA800S-0171870</t>
    <phoneticPr fontId="13"/>
  </si>
  <si>
    <t>8/4/24</t>
    <phoneticPr fontId="13"/>
  </si>
  <si>
    <t>岡山 587 そ 120</t>
    <rPh sb="0" eb="2">
      <t>オカヤマ</t>
    </rPh>
    <phoneticPr fontId="13"/>
  </si>
  <si>
    <t>多鹿　桂功</t>
    <rPh sb="0" eb="1">
      <t>オオ</t>
    </rPh>
    <rPh sb="1" eb="2">
      <t>シカ</t>
    </rPh>
    <rPh sb="3" eb="4">
      <t>カツラ</t>
    </rPh>
    <rPh sb="4" eb="5">
      <t>コウ</t>
    </rPh>
    <phoneticPr fontId="13"/>
  </si>
  <si>
    <t>10/12</t>
    <phoneticPr fontId="13"/>
  </si>
  <si>
    <t>保証書　　　地図SD</t>
    <rPh sb="0" eb="3">
      <t>ホショウショ</t>
    </rPh>
    <rPh sb="6" eb="8">
      <t>チズ</t>
    </rPh>
    <phoneticPr fontId="13"/>
  </si>
  <si>
    <t>広島　342　も　120</t>
    <rPh sb="0" eb="2">
      <t>ヒロシマ</t>
    </rPh>
    <phoneticPr fontId="13"/>
  </si>
  <si>
    <t>広島　399　に　582</t>
    <rPh sb="0" eb="2">
      <t>ヒロシマ</t>
    </rPh>
    <phoneticPr fontId="13"/>
  </si>
  <si>
    <t>江東　580　ろ　963</t>
    <rPh sb="0" eb="2">
      <t>コウトウ</t>
    </rPh>
    <phoneticPr fontId="13"/>
  </si>
  <si>
    <t>三井住友ｶｰﾄﾞ株式会社</t>
    <rPh sb="0" eb="2">
      <t>ミツイ</t>
    </rPh>
    <rPh sb="2" eb="4">
      <t>スミトモ</t>
    </rPh>
    <rPh sb="8" eb="12">
      <t>カブシキガイシャ</t>
    </rPh>
    <phoneticPr fontId="13"/>
  </si>
  <si>
    <t>なにわ　39A　み　3879</t>
    <phoneticPr fontId="13"/>
  </si>
  <si>
    <t>保証書　取説 ｷｰﾚｽ2個 (車内)</t>
    <rPh sb="0" eb="3">
      <t>ホショウショ</t>
    </rPh>
    <rPh sb="4" eb="6">
      <t>トリセツ</t>
    </rPh>
    <rPh sb="12" eb="13">
      <t>コ</t>
    </rPh>
    <phoneticPr fontId="13"/>
  </si>
  <si>
    <t>B21A-0502757</t>
    <phoneticPr fontId="13"/>
  </si>
  <si>
    <t>練馬　485　ろ　1954</t>
    <rPh sb="0" eb="2">
      <t>ネリマ</t>
    </rPh>
    <phoneticPr fontId="13"/>
  </si>
  <si>
    <t>住友三井ｵｰﾄｻｰﾋﾞｽ株式会社</t>
    <rPh sb="0" eb="4">
      <t>スミトモミツイ</t>
    </rPh>
    <rPh sb="12" eb="16">
      <t>カブシキガイシャ</t>
    </rPh>
    <phoneticPr fontId="13"/>
  </si>
  <si>
    <t xml:space="preserve">保証書 </t>
    <phoneticPr fontId="13"/>
  </si>
  <si>
    <t>名古屋　326　み　391</t>
    <rPh sb="0" eb="3">
      <t>ナゴヤ</t>
    </rPh>
    <phoneticPr fontId="13"/>
  </si>
  <si>
    <t>なにわ　5P5　ろ　8668</t>
    <phoneticPr fontId="13"/>
  </si>
  <si>
    <t>西日本三菱自動車販売株式</t>
    <rPh sb="0" eb="1">
      <t>ニシ</t>
    </rPh>
    <rPh sb="1" eb="3">
      <t>ニホン</t>
    </rPh>
    <rPh sb="3" eb="5">
      <t>ミツビシ</t>
    </rPh>
    <rPh sb="5" eb="8">
      <t>ジドウシャ</t>
    </rPh>
    <rPh sb="8" eb="12">
      <t>ハンバイカブシキ</t>
    </rPh>
    <phoneticPr fontId="13"/>
  </si>
  <si>
    <t>杉本　忠史</t>
    <rPh sb="0" eb="2">
      <t>スギモト</t>
    </rPh>
    <rPh sb="3" eb="5">
      <t>タダシ</t>
    </rPh>
    <phoneticPr fontId="13"/>
  </si>
  <si>
    <t>大阪　480　む　5294</t>
    <rPh sb="0" eb="2">
      <t>オオサカ</t>
    </rPh>
    <phoneticPr fontId="13"/>
  </si>
  <si>
    <t>株式会社ﾎﾞﾃﾞｨｼｮｯﾌﾟﾀｶﾉ</t>
    <rPh sb="0" eb="4">
      <t>カブシキガイシャ</t>
    </rPh>
    <phoneticPr fontId="13"/>
  </si>
  <si>
    <t>なにわ　5P6　ろ　5437</t>
    <phoneticPr fontId="13"/>
  </si>
  <si>
    <t>広島　582　さ　8885</t>
    <rPh sb="0" eb="2">
      <t>ヒロシマ</t>
    </rPh>
    <phoneticPr fontId="13"/>
  </si>
  <si>
    <t>関　祥太</t>
    <rPh sb="0" eb="1">
      <t>セキ</t>
    </rPh>
    <rPh sb="2" eb="3">
      <t>ショウ</t>
    </rPh>
    <rPh sb="3" eb="4">
      <t>フト</t>
    </rPh>
    <phoneticPr fontId="13"/>
  </si>
  <si>
    <t>岡山　592　な　999</t>
    <rPh sb="0" eb="2">
      <t>オカヤマ</t>
    </rPh>
    <phoneticPr fontId="13"/>
  </si>
  <si>
    <t>株式会社児玉測量設計</t>
    <rPh sb="0" eb="4">
      <t>カブシキガイシャ</t>
    </rPh>
    <rPh sb="4" eb="6">
      <t>コダマ</t>
    </rPh>
    <rPh sb="6" eb="8">
      <t>ソクリョウ</t>
    </rPh>
    <rPh sb="8" eb="10">
      <t>セッケイ</t>
    </rPh>
    <phoneticPr fontId="13"/>
  </si>
  <si>
    <t>有限会社ｻﾝｺｰｵｰﾄ</t>
    <rPh sb="0" eb="4">
      <t>ユウゲンカイシャ</t>
    </rPh>
    <phoneticPr fontId="13"/>
  </si>
  <si>
    <t>福山　580　の　6836</t>
    <rPh sb="0" eb="2">
      <t>フクヤマ</t>
    </rPh>
    <phoneticPr fontId="13"/>
  </si>
  <si>
    <t>赤坂　龍二</t>
    <rPh sb="0" eb="2">
      <t>アカサカ</t>
    </rPh>
    <rPh sb="3" eb="5">
      <t>リュウジ</t>
    </rPh>
    <phoneticPr fontId="13"/>
  </si>
  <si>
    <t>水戸　580　よ　2778</t>
    <rPh sb="0" eb="2">
      <t>ミト</t>
    </rPh>
    <phoneticPr fontId="13"/>
  </si>
  <si>
    <t>西川　直希</t>
    <rPh sb="0" eb="2">
      <t>ニシカワ</t>
    </rPh>
    <rPh sb="3" eb="4">
      <t>ナオ</t>
    </rPh>
    <rPh sb="4" eb="5">
      <t>キ</t>
    </rPh>
    <phoneticPr fontId="13"/>
  </si>
  <si>
    <t>久留米　331　や　119</t>
    <rPh sb="0" eb="3">
      <t>クルメ</t>
    </rPh>
    <phoneticPr fontId="13"/>
  </si>
  <si>
    <t>上田　孝則</t>
    <rPh sb="0" eb="2">
      <t>ウエダ</t>
    </rPh>
    <rPh sb="3" eb="5">
      <t>タカノリ</t>
    </rPh>
    <phoneticPr fontId="13"/>
  </si>
  <si>
    <t>大宮　581　う　8962</t>
    <rPh sb="0" eb="2">
      <t>オオミヤ</t>
    </rPh>
    <phoneticPr fontId="13"/>
  </si>
  <si>
    <t>林　みよ</t>
    <rPh sb="0" eb="1">
      <t>ハヤシ</t>
    </rPh>
    <phoneticPr fontId="13"/>
  </si>
  <si>
    <t>森田　旭</t>
    <rPh sb="0" eb="2">
      <t>モリタ</t>
    </rPh>
    <rPh sb="3" eb="4">
      <t>アサヒ</t>
    </rPh>
    <phoneticPr fontId="13"/>
  </si>
  <si>
    <t>保証書　ｷｰﾚｽ(車内)</t>
    <rPh sb="0" eb="3">
      <t>ホショウショ</t>
    </rPh>
    <phoneticPr fontId="13"/>
  </si>
  <si>
    <t>滋賀　336　ぬ　508</t>
    <rPh sb="0" eb="2">
      <t>シガ</t>
    </rPh>
    <phoneticPr fontId="13"/>
  </si>
  <si>
    <t>滋賀ｽﾊﾞﾙ自動車株式会社</t>
    <rPh sb="0" eb="2">
      <t>シガ</t>
    </rPh>
    <rPh sb="6" eb="9">
      <t>ジドウシャ</t>
    </rPh>
    <rPh sb="9" eb="13">
      <t>カブシキガイシャ</t>
    </rPh>
    <phoneticPr fontId="13"/>
  </si>
  <si>
    <t>名古屋　487　ろ　487</t>
    <rPh sb="0" eb="3">
      <t>ナゴヤ</t>
    </rPh>
    <phoneticPr fontId="13"/>
  </si>
  <si>
    <t>和歌山　581　と　6011</t>
    <phoneticPr fontId="13"/>
  </si>
  <si>
    <t>有限会社　鈴森自動車</t>
    <rPh sb="0" eb="4">
      <t>ユウゲンカイシャ</t>
    </rPh>
    <rPh sb="5" eb="7">
      <t>スズモリ</t>
    </rPh>
    <rPh sb="7" eb="10">
      <t>ジドウシャ</t>
    </rPh>
    <phoneticPr fontId="13"/>
  </si>
  <si>
    <t>ﾅﾝﾊﾞｰ　地図SD(車内)</t>
    <phoneticPr fontId="13"/>
  </si>
  <si>
    <t>京都　582　と　2290</t>
    <rPh sb="0" eb="2">
      <t>キョウト</t>
    </rPh>
    <phoneticPr fontId="13"/>
  </si>
  <si>
    <t>京都三菱自動車販売株式</t>
    <rPh sb="0" eb="2">
      <t>キョウト</t>
    </rPh>
    <rPh sb="2" eb="4">
      <t>ミツビシ</t>
    </rPh>
    <rPh sb="4" eb="11">
      <t>ジドウシャハンバイカブシキ</t>
    </rPh>
    <phoneticPr fontId="13"/>
  </si>
  <si>
    <t>保証書　取説　地図SD</t>
    <rPh sb="0" eb="3">
      <t>ホショウショ</t>
    </rPh>
    <rPh sb="4" eb="6">
      <t>トリセツ</t>
    </rPh>
    <rPh sb="7" eb="9">
      <t>チズ</t>
    </rPh>
    <phoneticPr fontId="13"/>
  </si>
  <si>
    <t>神戸　596　ろ　450</t>
    <rPh sb="0" eb="2">
      <t>コウベ</t>
    </rPh>
    <phoneticPr fontId="13"/>
  </si>
  <si>
    <t>堺　586　ろ　3245</t>
    <rPh sb="0" eb="1">
      <t>サカイ</t>
    </rPh>
    <phoneticPr fontId="13"/>
  </si>
  <si>
    <t>株式会社ﾖｼﾀﾞｵｰﾄｻｰﾋﾞｽ</t>
    <rPh sb="0" eb="4">
      <t>カブシキガイシャ</t>
    </rPh>
    <phoneticPr fontId="13"/>
  </si>
  <si>
    <t>高松　581　ろ　3123</t>
    <rPh sb="0" eb="2">
      <t>タカマツ</t>
    </rPh>
    <phoneticPr fontId="13"/>
  </si>
  <si>
    <t>姫路　586　ろ　8648</t>
    <rPh sb="0" eb="2">
      <t>ヒメジ</t>
    </rPh>
    <phoneticPr fontId="13"/>
  </si>
  <si>
    <t>氏原　千歳</t>
    <rPh sb="0" eb="2">
      <t>ウジハラ</t>
    </rPh>
    <rPh sb="3" eb="5">
      <t>チトセ</t>
    </rPh>
    <phoneticPr fontId="13"/>
  </si>
  <si>
    <t>足立 343 そ 713</t>
    <rPh sb="0" eb="2">
      <t>アダチ</t>
    </rPh>
    <phoneticPr fontId="13"/>
  </si>
  <si>
    <t>保証書 ﾅﾋﾞ取 ｽﾏｰﾄｷｰ</t>
    <rPh sb="0" eb="3">
      <t>ホショウショ</t>
    </rPh>
    <rPh sb="7" eb="8">
      <t>トリ</t>
    </rPh>
    <phoneticPr fontId="13"/>
  </si>
  <si>
    <t>ZIPより委任状戻 USS名古屋へ10/14返送済</t>
    <rPh sb="5" eb="8">
      <t>イニンジョウ</t>
    </rPh>
    <rPh sb="8" eb="9">
      <t>モド</t>
    </rPh>
    <rPh sb="13" eb="16">
      <t>ナゴヤ</t>
    </rPh>
    <rPh sb="22" eb="24">
      <t>ヘンソウ</t>
    </rPh>
    <rPh sb="24" eb="25">
      <t>ズ</t>
    </rPh>
    <phoneticPr fontId="13"/>
  </si>
  <si>
    <t>27-1190</t>
  </si>
  <si>
    <t>27-1191</t>
  </si>
  <si>
    <t>27-1192</t>
  </si>
  <si>
    <t>27-1193</t>
  </si>
  <si>
    <t>27-1194</t>
  </si>
  <si>
    <t>保証書　ｽﾍﾟｱｷｰ</t>
    <phoneticPr fontId="13"/>
  </si>
  <si>
    <t>27-1195</t>
  </si>
  <si>
    <t>27-1196</t>
  </si>
  <si>
    <t>WMWXU920502M82552</t>
    <phoneticPr fontId="13"/>
  </si>
  <si>
    <t>保証書 取説 Ｓｷｰ ﾜﾝｵｰﾅｰ</t>
    <rPh sb="0" eb="3">
      <t>ホショウショ</t>
    </rPh>
    <rPh sb="4" eb="6">
      <t>トリセツ</t>
    </rPh>
    <phoneticPr fontId="13"/>
  </si>
  <si>
    <t>27-1197</t>
  </si>
  <si>
    <t>27-1198</t>
  </si>
  <si>
    <t>27-1199</t>
  </si>
  <si>
    <t>27-1200</t>
  </si>
  <si>
    <t>27-1201</t>
  </si>
  <si>
    <t>27-1202</t>
  </si>
  <si>
    <t>27-1203</t>
  </si>
  <si>
    <t>27-1204</t>
  </si>
  <si>
    <t>27-1205</t>
  </si>
  <si>
    <t>27-1206</t>
  </si>
  <si>
    <t>27-1207</t>
  </si>
  <si>
    <t>27-1208</t>
  </si>
  <si>
    <t>27-1209</t>
  </si>
  <si>
    <t>27-1210</t>
  </si>
  <si>
    <t>保証書 取説 ﾅﾋﾞ取 ｽﾍﾟｱｷｰ</t>
    <phoneticPr fontId="13"/>
  </si>
  <si>
    <t>27-1211</t>
  </si>
  <si>
    <t>27-1212</t>
  </si>
  <si>
    <t>27-1213</t>
  </si>
  <si>
    <t>27-1214</t>
  </si>
  <si>
    <t>ﾙﾉｰ ﾄｩｲﾝｺﾞ ｲﾝﾃﾝｽ</t>
    <phoneticPr fontId="13"/>
  </si>
  <si>
    <t>香川 531 ら 2110</t>
    <rPh sb="0" eb="2">
      <t>カガワ</t>
    </rPh>
    <phoneticPr fontId="13"/>
  </si>
  <si>
    <t>BMW 3ｼﾘｰｽﾞ 320i</t>
    <phoneticPr fontId="13"/>
  </si>
  <si>
    <t>27-1215</t>
  </si>
  <si>
    <t>27-1216</t>
  </si>
  <si>
    <t>27-1217</t>
  </si>
  <si>
    <t>27-1218</t>
  </si>
  <si>
    <t>27-1219</t>
  </si>
  <si>
    <t>27-1220</t>
  </si>
  <si>
    <t>27-1221</t>
  </si>
  <si>
    <t>27-1222</t>
  </si>
  <si>
    <t>27-1223</t>
  </si>
  <si>
    <t>SAJAB4AX1LCP61836</t>
    <phoneticPr fontId="13"/>
  </si>
  <si>
    <t>MH95S-123950</t>
    <phoneticPr fontId="13"/>
  </si>
  <si>
    <t>WMWZP32090T761431</t>
    <phoneticPr fontId="13"/>
  </si>
  <si>
    <t>WAUZZZ8X5HB003248</t>
    <phoneticPr fontId="13"/>
  </si>
  <si>
    <t>WAUZZZ4G4HN119643</t>
    <phoneticPr fontId="13"/>
  </si>
  <si>
    <t>WMW42BT0903M58599</t>
    <phoneticPr fontId="13"/>
  </si>
  <si>
    <t>WAUZZZ8V6G1085011</t>
    <phoneticPr fontId="13"/>
  </si>
  <si>
    <t>ｱｳﾃﾞｨS3 ｾﾀﾞﾝ</t>
    <phoneticPr fontId="13"/>
  </si>
  <si>
    <t>WAUZZZGY4MA105344</t>
    <phoneticPr fontId="13"/>
  </si>
  <si>
    <t>ｼﾞｬｶﾞｰ XE HSE300PS</t>
    <phoneticPr fontId="13"/>
  </si>
  <si>
    <t>ﾜｺﾞﾝR ﾊｲﾌﾞﾘｯﾄﾞFX</t>
    <phoneticPr fontId="13"/>
  </si>
  <si>
    <t>BMWﾐﾆｸｰﾊﾟｰS  ｺﾝﾊﾞｰﾁﾌﾞﾙ ﾊｲｹﾞｰﾄ</t>
    <phoneticPr fontId="13"/>
  </si>
  <si>
    <t>京都 531 ひ 2729</t>
    <rPh sb="0" eb="2">
      <t>キョウト</t>
    </rPh>
    <phoneticPr fontId="13"/>
  </si>
  <si>
    <t>ｱｳﾃﾞｨ A1 ｽﾎﾟｰﾂ TFSI</t>
    <phoneticPr fontId="13"/>
  </si>
  <si>
    <t>ｱｳﾃﾞｨ A6 2.0 TFSIｸﾜﾄﾛ Sﾗｲﾝ</t>
    <phoneticPr fontId="13"/>
  </si>
  <si>
    <t>ｱｳﾃﾞｨ A3 ｾﾀﾞﾝ 1.4TFSI Cod</t>
    <phoneticPr fontId="13"/>
  </si>
  <si>
    <t>京都 349 は 1120</t>
    <rPh sb="0" eb="2">
      <t>キョウト</t>
    </rPh>
    <phoneticPr fontId="13"/>
  </si>
  <si>
    <t>なにわ 331 こ 7758</t>
    <phoneticPr fontId="13"/>
  </si>
  <si>
    <t>27-1224</t>
  </si>
  <si>
    <t>27-1225</t>
  </si>
  <si>
    <t>27-1226</t>
  </si>
  <si>
    <t>27-1227</t>
  </si>
  <si>
    <t>B21A-0377631</t>
    <phoneticPr fontId="13"/>
  </si>
  <si>
    <t>KE2FW-204966</t>
    <phoneticPr fontId="13"/>
  </si>
  <si>
    <t>ZD8-007823</t>
    <phoneticPr fontId="13"/>
  </si>
  <si>
    <t>ZVG11-1002684</t>
    <phoneticPr fontId="13"/>
  </si>
  <si>
    <t>RAV4 ﾊｲﾌﾞﾘｯﾄﾞ</t>
    <phoneticPr fontId="13"/>
  </si>
  <si>
    <t>AXAH54-4043797</t>
    <phoneticPr fontId="13"/>
  </si>
  <si>
    <t>AGH30-0043983</t>
    <phoneticPr fontId="13"/>
  </si>
  <si>
    <t>CX-5 XD ﾌﾟﾛｱｸﾃｨﾌﾞ</t>
    <phoneticPr fontId="13"/>
  </si>
  <si>
    <t>BRZ S</t>
    <phoneticPr fontId="13"/>
  </si>
  <si>
    <t>ｶﾛｰﾗｸﾛｽ ﾊｲﾌﾞﾘｯﾄﾞ Z</t>
    <phoneticPr fontId="13"/>
  </si>
  <si>
    <t>ｳﾞｪﾙﾌｧｲｱ  X</t>
    <phoneticPr fontId="13"/>
  </si>
  <si>
    <t>27-1228</t>
  </si>
  <si>
    <t>27-1229</t>
  </si>
  <si>
    <t>27-1230</t>
  </si>
  <si>
    <t>27-1231</t>
  </si>
  <si>
    <t>27-1232</t>
  </si>
  <si>
    <t>27-1233</t>
  </si>
  <si>
    <t>27-1234</t>
  </si>
  <si>
    <t>27-1235</t>
  </si>
  <si>
    <t>27-1236</t>
  </si>
  <si>
    <t>27-1237</t>
  </si>
  <si>
    <t>27-1238</t>
  </si>
  <si>
    <t>A306587</t>
    <phoneticPr fontId="13"/>
  </si>
  <si>
    <t>GDJ250-0011144</t>
    <phoneticPr fontId="13"/>
  </si>
  <si>
    <t>A306450</t>
    <phoneticPr fontId="13"/>
  </si>
  <si>
    <t>B21A-0341026</t>
    <phoneticPr fontId="13"/>
  </si>
  <si>
    <t>A306375</t>
    <phoneticPr fontId="13"/>
  </si>
  <si>
    <t>LA650S-0296469</t>
    <phoneticPr fontId="13"/>
  </si>
  <si>
    <t>A305704</t>
    <phoneticPr fontId="13"/>
  </si>
  <si>
    <t>JF1-1839152</t>
    <phoneticPr fontId="13"/>
  </si>
  <si>
    <t>A304988</t>
    <phoneticPr fontId="13"/>
  </si>
  <si>
    <t>AGH30-9017187</t>
    <phoneticPr fontId="13"/>
  </si>
  <si>
    <t>A303531</t>
    <phoneticPr fontId="13"/>
  </si>
  <si>
    <t>MG33S-433942</t>
    <phoneticPr fontId="13"/>
  </si>
  <si>
    <t>A302646</t>
    <phoneticPr fontId="13"/>
  </si>
  <si>
    <t>MXPJ10-3046313</t>
    <phoneticPr fontId="13"/>
  </si>
  <si>
    <t>27-1239</t>
  </si>
  <si>
    <t>27-1240</t>
  </si>
  <si>
    <t>A305867</t>
    <phoneticPr fontId="13"/>
  </si>
  <si>
    <t>NHP10-2357895</t>
    <phoneticPr fontId="13"/>
  </si>
  <si>
    <t>A306244</t>
    <phoneticPr fontId="13"/>
  </si>
  <si>
    <t>B21A-0549379</t>
    <phoneticPr fontId="13"/>
  </si>
  <si>
    <t>A305641</t>
    <phoneticPr fontId="13"/>
  </si>
  <si>
    <t>KG5P-353182</t>
    <phoneticPr fontId="13"/>
  </si>
  <si>
    <t>A305438</t>
    <phoneticPr fontId="13"/>
  </si>
  <si>
    <t>MXWH60-4003522</t>
    <phoneticPr fontId="13"/>
  </si>
  <si>
    <t>A304931</t>
    <phoneticPr fontId="13"/>
  </si>
  <si>
    <t>NHP10-6802487</t>
    <phoneticPr fontId="13"/>
  </si>
  <si>
    <t>A303664</t>
    <phoneticPr fontId="13"/>
  </si>
  <si>
    <t>KDH201-0178720</t>
    <phoneticPr fontId="13"/>
  </si>
  <si>
    <t>ﾗﾝﾄﾞｸﾙｰｻﾞｰ250 VX</t>
    <phoneticPr fontId="13"/>
  </si>
  <si>
    <t>9/10/29</t>
    <phoneticPr fontId="13"/>
  </si>
  <si>
    <t>ﾃﾞｲｽﾞﾙｰｸｽ  ﾊｲｳｪｲｽﾀｰXGﾊﾟｯｹｰｼﾞ</t>
    <phoneticPr fontId="13"/>
  </si>
  <si>
    <t>ﾀﾝﾄ ﾌｧﾝｸﾛｽ</t>
    <phoneticPr fontId="13"/>
  </si>
  <si>
    <t>8/3/29</t>
    <phoneticPr fontId="13"/>
  </si>
  <si>
    <t>N-BOXｶｽﾀﾑ  GLﾊﾟｯｹｰｼﾞ</t>
    <phoneticPr fontId="13"/>
  </si>
  <si>
    <t>ｱﾙﾌｧｰﾄﾞ 2.5 SCﾊﾟｯｹｰｼﾞ</t>
    <phoneticPr fontId="13"/>
  </si>
  <si>
    <t>ﾓｺ ﾄﾞﾙﾁｪX</t>
    <phoneticPr fontId="13"/>
  </si>
  <si>
    <t>ﾔﾘｽ ｸﾛｽ ﾊｲﾌﾞﾘｯﾄﾞZ</t>
    <phoneticPr fontId="13"/>
  </si>
  <si>
    <t>9/6/29</t>
    <phoneticPr fontId="13"/>
  </si>
  <si>
    <t>ｱｸｱ G G’S</t>
    <phoneticPr fontId="13"/>
  </si>
  <si>
    <t>7/11/3</t>
    <phoneticPr fontId="13"/>
  </si>
  <si>
    <t>ﾃﾞｲｽﾞﾙｰｸｽ S</t>
    <phoneticPr fontId="13"/>
  </si>
  <si>
    <t>8/2/20</t>
    <phoneticPr fontId="13"/>
  </si>
  <si>
    <t>CX8 25S ﾌﾞﾗｯｸﾄｰﾝｴﾃﾞｨｼｮﾝ</t>
    <phoneticPr fontId="13"/>
  </si>
  <si>
    <t>8/6/20</t>
    <phoneticPr fontId="13"/>
  </si>
  <si>
    <t>8/3/23</t>
    <phoneticPr fontId="13"/>
  </si>
  <si>
    <t>ｱｸｱ ｸﾛｽｵｰﾊﾞｰｸﾞﾗﾑ</t>
    <phoneticPr fontId="13"/>
  </si>
  <si>
    <t>8/3/5</t>
    <phoneticPr fontId="13"/>
  </si>
  <si>
    <t>ﾚｼﾞｱｽｴｰｽﾊﾞﾝ ｽｰﾊﾟｰGL</t>
    <phoneticPr fontId="13"/>
  </si>
  <si>
    <t>8/10/5</t>
    <phoneticPr fontId="13"/>
  </si>
  <si>
    <t>27-1241</t>
  </si>
  <si>
    <t>小林様</t>
    <rPh sb="0" eb="2">
      <t>コバヤシ</t>
    </rPh>
    <rPh sb="2" eb="3">
      <t>サマ</t>
    </rPh>
    <phoneticPr fontId="13"/>
  </si>
  <si>
    <t>ﾐﾗｺｺｱ</t>
    <phoneticPr fontId="13"/>
  </si>
  <si>
    <t>L675S-0064499</t>
    <phoneticPr fontId="13"/>
  </si>
  <si>
    <t>神戸 582 き 8020</t>
    <rPh sb="0" eb="2">
      <t>コウベ</t>
    </rPh>
    <phoneticPr fontId="13"/>
  </si>
  <si>
    <t>小林 亜矢子</t>
    <rPh sb="0" eb="2">
      <t>コバヤシ</t>
    </rPh>
    <rPh sb="3" eb="6">
      <t>アヤコ</t>
    </rPh>
    <phoneticPr fontId="13"/>
  </si>
  <si>
    <t>品番；CN-RZ843</t>
    <rPh sb="0" eb="2">
      <t>ヒンバン</t>
    </rPh>
    <phoneticPr fontId="13"/>
  </si>
  <si>
    <t>ｷｬﾝｾﾙ 一式返送10/13</t>
    <rPh sb="6" eb="8">
      <t>イッシキ</t>
    </rPh>
    <rPh sb="8" eb="10">
      <t>ヘンソウ</t>
    </rPh>
    <phoneticPr fontId="13"/>
  </si>
  <si>
    <t>滋賀 580 ほ 3818</t>
    <rPh sb="0" eb="2">
      <t>シガ</t>
    </rPh>
    <phoneticPr fontId="13"/>
  </si>
  <si>
    <t>滋賀ﾀﾞｲﾊﾂ販売株式会社</t>
    <rPh sb="0" eb="2">
      <t>シガ</t>
    </rPh>
    <rPh sb="8" eb="12">
      <t>カブシキガイシャ</t>
    </rPh>
    <phoneticPr fontId="13"/>
  </si>
  <si>
    <t>倉敷　500　な　2559</t>
    <phoneticPr fontId="13"/>
  </si>
  <si>
    <t>高知ﾀﾞｲﾊﾂ販売株式会社</t>
    <rPh sb="0" eb="2">
      <t>コウチ</t>
    </rPh>
    <rPh sb="8" eb="9">
      <t>カブ</t>
    </rPh>
    <rPh sb="9" eb="13">
      <t>カブシキガイシャ</t>
    </rPh>
    <phoneticPr fontId="13"/>
  </si>
  <si>
    <t>ｶｰﾄﾞｷｰ ｷｰﾚｽ(車内)保証書 取説 ﾅﾋﾞ取</t>
    <rPh sb="12" eb="14">
      <t>シャナイ</t>
    </rPh>
    <rPh sb="25" eb="26">
      <t>トリ</t>
    </rPh>
    <phoneticPr fontId="13"/>
  </si>
  <si>
    <t>保証書(車内)</t>
    <rPh sb="0" eb="3">
      <t>ホショウショ</t>
    </rPh>
    <rPh sb="4" eb="6">
      <t>シャナイ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</si>
  <si>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rPh sb="12" eb="14">
      <t>シャナイ</t>
    </rPh>
    <phoneticPr fontId="13"/>
  </si>
  <si>
    <t>福岡 330 つ 9602</t>
    <rPh sb="0" eb="2">
      <t>フクオカ</t>
    </rPh>
    <phoneticPr fontId="13"/>
  </si>
  <si>
    <t>福岡ﾄﾖﾍﾟｯﾄ株式会社</t>
    <rPh sb="0" eb="2">
      <t>フクオカ</t>
    </rPh>
    <rPh sb="8" eb="12">
      <t>カブシキガイシャ</t>
    </rPh>
    <phoneticPr fontId="13"/>
  </si>
  <si>
    <t>京都 582 く 3422</t>
    <rPh sb="0" eb="2">
      <t>キョウト</t>
    </rPh>
    <phoneticPr fontId="13"/>
  </si>
  <si>
    <t>ﾈｯﾂﾄﾖﾀﾔｻｶ株式会社</t>
    <rPh sb="9" eb="13">
      <t>カブシキガイシャ</t>
    </rPh>
    <phoneticPr fontId="13"/>
  </si>
  <si>
    <t>保証書 SD</t>
    <rPh sb="0" eb="3">
      <t>ホショウショ</t>
    </rPh>
    <phoneticPr fontId="13"/>
  </si>
  <si>
    <t>なにわ 581 き 4465</t>
    <phoneticPr fontId="13"/>
  </si>
  <si>
    <t>株式会社ﾄﾖﾀﾚﾝﾀﾘｰｽ新大阪</t>
    <rPh sb="0" eb="4">
      <t>カブシキガイシャ</t>
    </rPh>
    <rPh sb="13" eb="16">
      <t>シンオオサカ</t>
    </rPh>
    <phoneticPr fontId="13"/>
  </si>
  <si>
    <t>鳥取 480 あ 4526</t>
    <rPh sb="0" eb="2">
      <t>トットリ</t>
    </rPh>
    <phoneticPr fontId="13"/>
  </si>
  <si>
    <t>ﾄﾖﾀｶﾛｰﾗ鳥取株式会社</t>
    <rPh sb="7" eb="9">
      <t>トットリ</t>
    </rPh>
    <rPh sb="9" eb="13">
      <t>カブシキガイシャ</t>
    </rPh>
    <phoneticPr fontId="13"/>
  </si>
  <si>
    <t>長野ﾀﾞｲﾊﾂ販売株式会社</t>
    <rPh sb="0" eb="2">
      <t>ナガノ</t>
    </rPh>
    <rPh sb="8" eb="12">
      <t>カブシキガイシャ</t>
    </rPh>
    <phoneticPr fontId="13"/>
  </si>
  <si>
    <t>名古屋 58A ち 7795</t>
    <rPh sb="0" eb="3">
      <t>ナゴヤ</t>
    </rPh>
    <phoneticPr fontId="13"/>
  </si>
  <si>
    <t>和田 芽衣</t>
    <rPh sb="0" eb="2">
      <t>ワダ</t>
    </rPh>
    <rPh sb="3" eb="4">
      <t>メ</t>
    </rPh>
    <phoneticPr fontId="13"/>
  </si>
  <si>
    <t xml:space="preserve">ﾊｲｴｰｽﾊﾞﾝ ｽｰﾊﾟｰGL </t>
    <phoneticPr fontId="13"/>
  </si>
  <si>
    <t>GDH201-1093900</t>
    <phoneticPr fontId="13"/>
  </si>
  <si>
    <t>27-1242</t>
  </si>
  <si>
    <t>委任状差し替え依頼中 18に着？！</t>
    <rPh sb="14" eb="15">
      <t>チャク</t>
    </rPh>
    <phoneticPr fontId="13"/>
  </si>
  <si>
    <t>DA17W-207732</t>
    <phoneticPr fontId="13"/>
  </si>
  <si>
    <t>和泉 581 ね 1064</t>
    <rPh sb="0" eb="2">
      <t>イズミ</t>
    </rPh>
    <phoneticPr fontId="13"/>
  </si>
  <si>
    <t xml:space="preserve">保証書 取説 </t>
    <phoneticPr fontId="13"/>
  </si>
  <si>
    <t>ﾑｰﾌﾞ Xﾘﾐﾃｯﾄﾞ2 SA3</t>
    <phoneticPr fontId="13"/>
  </si>
  <si>
    <t>LA150S-2159014</t>
    <phoneticPr fontId="13"/>
  </si>
  <si>
    <t>大阪 582 と 6475</t>
    <rPh sb="0" eb="2">
      <t>オオサカ</t>
    </rPh>
    <phoneticPr fontId="13"/>
  </si>
  <si>
    <t>LA350S-0229072</t>
    <phoneticPr fontId="13"/>
  </si>
  <si>
    <t>ｱｳﾃﾞｨ A5 ｽﾎﾟｰﾂﾊﾞｯｸ</t>
    <phoneticPr fontId="13"/>
  </si>
  <si>
    <t>WAUZZZF54JA047769</t>
    <phoneticPr fontId="13"/>
  </si>
  <si>
    <t>BMW 1ｼﾘｰｽﾞ118d</t>
    <phoneticPr fontId="13"/>
  </si>
  <si>
    <t>WBA1S52060V842317</t>
    <phoneticPr fontId="13"/>
  </si>
  <si>
    <t>ﾀﾝﾄ ｶｽﾀﾑRS ﾄｯﾌﾟ</t>
    <phoneticPr fontId="13"/>
  </si>
  <si>
    <t>LA600S-0766730</t>
    <phoneticPr fontId="13"/>
  </si>
  <si>
    <t>MH34S-443318</t>
    <phoneticPr fontId="13"/>
  </si>
  <si>
    <t>HE22S-196628</t>
    <phoneticPr fontId="13"/>
  </si>
  <si>
    <t>倉敷 583 ち 719</t>
    <rPh sb="0" eb="2">
      <t>クラシキ</t>
    </rPh>
    <phoneticPr fontId="13"/>
  </si>
  <si>
    <t xml:space="preserve">BMWX5 </t>
    <phoneticPr fontId="13"/>
  </si>
  <si>
    <t>WBAKR020000K91026</t>
    <phoneticPr fontId="13"/>
  </si>
  <si>
    <t>広島 332 ろ 5858</t>
    <rPh sb="0" eb="2">
      <t>ヒロシマ</t>
    </rPh>
    <phoneticPr fontId="13"/>
  </si>
  <si>
    <t>WMWXM920X02G95855</t>
    <phoneticPr fontId="13"/>
  </si>
  <si>
    <t>ｱﾄﾚｰﾜｺﾞﾝ ｽﾛｰﾊﾟｰ ﾘｱｼｰﾄ</t>
    <phoneticPr fontId="13"/>
  </si>
  <si>
    <t>S321G-0078965</t>
    <phoneticPr fontId="13"/>
  </si>
  <si>
    <t>582 い 1531</t>
    <phoneticPr fontId="13"/>
  </si>
  <si>
    <t>582 い 1532</t>
    <phoneticPr fontId="13"/>
  </si>
  <si>
    <t>582 あ 9408</t>
    <phoneticPr fontId="13"/>
  </si>
  <si>
    <t>480 ね 1370</t>
    <phoneticPr fontId="13"/>
  </si>
  <si>
    <t>582 い 1427</t>
    <phoneticPr fontId="13"/>
  </si>
  <si>
    <t>582 い 1428</t>
    <phoneticPr fontId="13"/>
  </si>
  <si>
    <t>582 い 1429</t>
    <phoneticPr fontId="13"/>
  </si>
  <si>
    <t>582 い 1430</t>
    <phoneticPr fontId="13"/>
  </si>
  <si>
    <t>582 い 1431</t>
    <phoneticPr fontId="13"/>
  </si>
  <si>
    <t>582 い 1432</t>
    <phoneticPr fontId="13"/>
  </si>
  <si>
    <t>582 い 1433</t>
    <phoneticPr fontId="13"/>
  </si>
  <si>
    <t>582 い 1434</t>
    <phoneticPr fontId="13"/>
  </si>
  <si>
    <t>582 い 1435</t>
    <phoneticPr fontId="13"/>
  </si>
  <si>
    <t>582 い 1436</t>
    <phoneticPr fontId="13"/>
  </si>
  <si>
    <t>582 い 1437</t>
    <phoneticPr fontId="13"/>
  </si>
  <si>
    <t>582 い 1438</t>
    <phoneticPr fontId="13"/>
  </si>
  <si>
    <t>582 い 1439</t>
    <phoneticPr fontId="13"/>
  </si>
  <si>
    <t>LA650S-0300018</t>
    <phoneticPr fontId="13"/>
  </si>
  <si>
    <t>582 い 1440</t>
    <phoneticPr fontId="13"/>
  </si>
  <si>
    <t>582 い 1441</t>
    <phoneticPr fontId="13"/>
  </si>
  <si>
    <t>582 い 1444</t>
    <phoneticPr fontId="13"/>
  </si>
  <si>
    <t>582 い 1445</t>
    <phoneticPr fontId="13"/>
  </si>
  <si>
    <t>582 い 1446</t>
    <phoneticPr fontId="13"/>
  </si>
  <si>
    <t>582 い 1447</t>
    <phoneticPr fontId="13"/>
  </si>
  <si>
    <t>582 い 1448</t>
    <phoneticPr fontId="13"/>
  </si>
  <si>
    <t>582 い 1450</t>
    <phoneticPr fontId="13"/>
  </si>
  <si>
    <t>582 い 1451</t>
    <phoneticPr fontId="13"/>
  </si>
  <si>
    <t>582 い 1452</t>
    <phoneticPr fontId="13"/>
  </si>
  <si>
    <t>582 い 1453</t>
    <phoneticPr fontId="13"/>
  </si>
  <si>
    <t>582 い 1454</t>
    <phoneticPr fontId="13"/>
  </si>
  <si>
    <t>582 い 1455</t>
    <phoneticPr fontId="13"/>
  </si>
  <si>
    <t>582 い 1456</t>
    <phoneticPr fontId="13"/>
  </si>
  <si>
    <t>582 い 1457</t>
    <phoneticPr fontId="13"/>
  </si>
  <si>
    <t>582 い 1458</t>
    <phoneticPr fontId="13"/>
  </si>
  <si>
    <t>582 い 1459</t>
    <phoneticPr fontId="13"/>
  </si>
  <si>
    <t>501 ゆ 1167</t>
    <phoneticPr fontId="13"/>
  </si>
  <si>
    <t>301 ね 2504</t>
    <phoneticPr fontId="13"/>
  </si>
  <si>
    <t>301 ね 2503</t>
    <phoneticPr fontId="13"/>
  </si>
  <si>
    <t>301 ね 2502</t>
    <phoneticPr fontId="13"/>
  </si>
  <si>
    <t>501 ゆ 1166</t>
    <phoneticPr fontId="13"/>
  </si>
  <si>
    <t>301 ね 2501</t>
    <phoneticPr fontId="13"/>
  </si>
  <si>
    <t>301 ね 2500</t>
    <phoneticPr fontId="13"/>
  </si>
  <si>
    <t>501 ゆ 1168</t>
    <phoneticPr fontId="13"/>
  </si>
  <si>
    <t>保証書 非課税対応済</t>
    <rPh sb="0" eb="3">
      <t>ホショウショ</t>
    </rPh>
    <rPh sb="4" eb="7">
      <t>ヒカゼイ</t>
    </rPh>
    <rPh sb="7" eb="9">
      <t>タイオウ</t>
    </rPh>
    <rPh sb="9" eb="10">
      <t>ズ</t>
    </rPh>
    <phoneticPr fontId="13"/>
  </si>
  <si>
    <t>仙台 330 と 8969</t>
    <rPh sb="0" eb="2">
      <t>センダイ</t>
    </rPh>
    <phoneticPr fontId="13"/>
  </si>
  <si>
    <t>ｽﾊﾞﾙ東北株式会社</t>
    <rPh sb="4" eb="6">
      <t>トウホク</t>
    </rPh>
    <rPh sb="6" eb="10">
      <t>カブシキガイシャ</t>
    </rPh>
    <phoneticPr fontId="13"/>
  </si>
  <si>
    <t>下関 500 つ 3920</t>
    <rPh sb="0" eb="2">
      <t>シモノセキ</t>
    </rPh>
    <phoneticPr fontId="13"/>
  </si>
  <si>
    <t>渡邊 航輔</t>
    <rPh sb="0" eb="2">
      <t>ワタナベ</t>
    </rPh>
    <rPh sb="3" eb="5">
      <t>コウスケ</t>
    </rPh>
    <phoneticPr fontId="13"/>
  </si>
  <si>
    <t>NCP160-0151342</t>
    <phoneticPr fontId="13"/>
  </si>
  <si>
    <t>LA350S-0238946</t>
    <phoneticPr fontId="13"/>
  </si>
  <si>
    <t>滋賀 581 ぬ 9693</t>
    <rPh sb="0" eb="2">
      <t>シガ</t>
    </rPh>
    <phoneticPr fontId="13"/>
  </si>
  <si>
    <t>27-1243</t>
  </si>
  <si>
    <t>27-1244</t>
  </si>
  <si>
    <t>27-1245</t>
  </si>
  <si>
    <t>27-1246</t>
  </si>
  <si>
    <t>27-1247</t>
  </si>
  <si>
    <t>27-1248</t>
  </si>
  <si>
    <t>27-1249</t>
  </si>
  <si>
    <t>27-1250</t>
  </si>
  <si>
    <t>27-1251</t>
  </si>
  <si>
    <t>27-1252</t>
  </si>
  <si>
    <t>27-1253</t>
  </si>
  <si>
    <t>27-1254</t>
  </si>
  <si>
    <t>27-1255</t>
  </si>
  <si>
    <t>LA350S-0229405</t>
    <phoneticPr fontId="13"/>
  </si>
  <si>
    <t>ﾊｲｾﾞｯﾄﾄﾗｯｸ ﾛｰﾀﾞﾝﾌﾟ</t>
    <phoneticPr fontId="13"/>
  </si>
  <si>
    <t>S510P-0427311</t>
    <phoneticPr fontId="13"/>
  </si>
  <si>
    <t>27-1256</t>
  </si>
  <si>
    <t>27-1257</t>
  </si>
  <si>
    <t>27-1258</t>
  </si>
  <si>
    <t>27-1259</t>
  </si>
  <si>
    <t>27-1260</t>
  </si>
  <si>
    <t>LA675S-0204827</t>
    <phoneticPr fontId="13"/>
  </si>
  <si>
    <t>8/7/22</t>
    <phoneticPr fontId="13"/>
  </si>
  <si>
    <t>JF1-1892255</t>
    <phoneticPr fontId="13"/>
  </si>
  <si>
    <t>HE22S-435862</t>
    <phoneticPr fontId="13"/>
  </si>
  <si>
    <t>27-1261</t>
  </si>
  <si>
    <t>27-1262</t>
  </si>
  <si>
    <t>ﾐﾗｺｺｱ ｺｺｱﾌﾟﾗｽX</t>
    <phoneticPr fontId="13"/>
  </si>
  <si>
    <t>L675S-0186490</t>
    <phoneticPr fontId="13"/>
  </si>
  <si>
    <t>保証書 B-CAS  ﾜﾝｵｰﾅｰ</t>
    <rPh sb="0" eb="3">
      <t>ホショウショ</t>
    </rPh>
    <phoneticPr fontId="13"/>
  </si>
  <si>
    <t>VW ｺﾞﾙﾌﾄｩｰﾗﾝ</t>
    <phoneticPr fontId="13"/>
  </si>
  <si>
    <t>WVGZZZ1TZMW039674</t>
    <phoneticPr fontId="13"/>
  </si>
  <si>
    <t>尾張小牧 302 み 3986</t>
    <rPh sb="0" eb="4">
      <t>オワリコマキ</t>
    </rPh>
    <phoneticPr fontId="13"/>
  </si>
  <si>
    <t>滋賀 401 て 3333</t>
    <rPh sb="0" eb="2">
      <t>シガ</t>
    </rPh>
    <phoneticPr fontId="13"/>
  </si>
  <si>
    <t>岩永 政光</t>
    <rPh sb="0" eb="2">
      <t>イワナガ</t>
    </rPh>
    <rPh sb="3" eb="5">
      <t>マサミツ</t>
    </rPh>
    <phoneticPr fontId="13"/>
  </si>
  <si>
    <t>情報なし</t>
    <rPh sb="0" eb="2">
      <t>ジョウホウ</t>
    </rPh>
    <phoneticPr fontId="13"/>
  </si>
  <si>
    <t>HAA→US</t>
    <phoneticPr fontId="13"/>
  </si>
  <si>
    <t>地図SD(車内)HAA→USS</t>
    <phoneticPr fontId="13"/>
  </si>
  <si>
    <t>ｽﾀｰﾄﾎﾞﾀﾝ車内なし HAA→ZIP</t>
    <rPh sb="8" eb="10">
      <t>シャナイ</t>
    </rPh>
    <phoneticPr fontId="13"/>
  </si>
  <si>
    <t>日の出株式会社</t>
    <rPh sb="0" eb="1">
      <t>ヒ</t>
    </rPh>
    <rPh sb="2" eb="3">
      <t>デ</t>
    </rPh>
    <rPh sb="3" eb="7">
      <t>カブシキガイシャ</t>
    </rPh>
    <phoneticPr fontId="13"/>
  </si>
  <si>
    <t>藤田 香</t>
    <rPh sb="0" eb="2">
      <t>フジタ</t>
    </rPh>
    <rPh sb="3" eb="4">
      <t>カオ</t>
    </rPh>
    <phoneticPr fontId="13"/>
  </si>
  <si>
    <t>前田 正史</t>
    <rPh sb="0" eb="2">
      <t>マエダ</t>
    </rPh>
    <rPh sb="3" eb="4">
      <t>タダシ</t>
    </rPh>
    <phoneticPr fontId="13"/>
  </si>
  <si>
    <t>名古屋 582 み 1480</t>
    <rPh sb="0" eb="3">
      <t>ナゴヤ</t>
    </rPh>
    <phoneticPr fontId="13"/>
  </si>
  <si>
    <t>ﾃﾞｨｰﾌﾟﾗｽ株式会社</t>
    <rPh sb="8" eb="12">
      <t>カブシキガイシャ</t>
    </rPh>
    <phoneticPr fontId="13"/>
  </si>
  <si>
    <t xml:space="preserve">保証書 取説 ﾅﾝﾊﾞｰ </t>
    <rPh sb="0" eb="3">
      <t>ホショウショ</t>
    </rPh>
    <rPh sb="4" eb="6">
      <t>トリセツ</t>
    </rPh>
    <phoneticPr fontId="13"/>
  </si>
  <si>
    <t>大川 政之</t>
    <rPh sb="0" eb="2">
      <t>オオカワ</t>
    </rPh>
    <rPh sb="3" eb="5">
      <t>マサユキ</t>
    </rPh>
    <phoneticPr fontId="13"/>
  </si>
  <si>
    <t>保証書 取説 ｷｰﾚｽ リモコン ﾜﾝｵｰﾅｰ</t>
    <rPh sb="0" eb="3">
      <t>ホショウショ</t>
    </rPh>
    <rPh sb="4" eb="6">
      <t>トリセツ</t>
    </rPh>
    <phoneticPr fontId="13"/>
  </si>
  <si>
    <t>ｸﾚｰﾑ中</t>
    <rPh sb="4" eb="5">
      <t>チュウ</t>
    </rPh>
    <phoneticPr fontId="13"/>
  </si>
  <si>
    <t>保証書　 Ｓｷｰ ﾜﾝｵｰﾅｰ</t>
    <phoneticPr fontId="13"/>
  </si>
  <si>
    <t>LA360S-0042756</t>
    <phoneticPr fontId="13"/>
  </si>
  <si>
    <t>NCP160-0143953</t>
    <phoneticPr fontId="13"/>
  </si>
  <si>
    <t>尾張小牧 400 ね 1274</t>
    <rPh sb="0" eb="4">
      <t>オワリコマキ</t>
    </rPh>
    <phoneticPr fontId="13"/>
  </si>
  <si>
    <t>株式会社ｱｰｽｸﾘｰﾝ21</t>
    <rPh sb="0" eb="4">
      <t>カブシキガイシャ</t>
    </rPh>
    <phoneticPr fontId="13"/>
  </si>
  <si>
    <t>新潟 301 ら 9459</t>
    <rPh sb="0" eb="2">
      <t>ニイガタ</t>
    </rPh>
    <phoneticPr fontId="13"/>
  </si>
  <si>
    <t>ﾓﾄｰﾚﾝﾆｲｶﾞﾀ株式会社</t>
    <rPh sb="10" eb="14">
      <t>カブシキガイシャ</t>
    </rPh>
    <phoneticPr fontId="13"/>
  </si>
  <si>
    <t>島根 580 は 8124</t>
    <rPh sb="0" eb="2">
      <t>シマネ</t>
    </rPh>
    <phoneticPr fontId="13"/>
  </si>
  <si>
    <t>石倉 純一</t>
    <rPh sb="0" eb="2">
      <t>イシクラ</t>
    </rPh>
    <rPh sb="3" eb="5">
      <t>ジュンイチ</t>
    </rPh>
    <phoneticPr fontId="13"/>
  </si>
  <si>
    <t>保証書  取説 Ｓｷｰ</t>
    <rPh sb="5" eb="7">
      <t>トリセツ</t>
    </rPh>
    <phoneticPr fontId="13"/>
  </si>
  <si>
    <t>倉敷 580 よ 5438</t>
    <rPh sb="0" eb="2">
      <t>クラシキ</t>
    </rPh>
    <phoneticPr fontId="13"/>
  </si>
  <si>
    <t>東中国ｽｽﾞｷ自動車株式会社</t>
    <rPh sb="0" eb="1">
      <t>ヒガシ</t>
    </rPh>
    <rPh sb="1" eb="3">
      <t>チュウゴク</t>
    </rPh>
    <rPh sb="7" eb="10">
      <t>ジドウシャ</t>
    </rPh>
    <rPh sb="10" eb="14">
      <t>カブシキガイシャ</t>
    </rPh>
    <phoneticPr fontId="13"/>
  </si>
  <si>
    <t>姫路 583 さ 3825</t>
    <rPh sb="0" eb="2">
      <t>ヒメジ</t>
    </rPh>
    <phoneticPr fontId="13"/>
  </si>
  <si>
    <t>岡山 581 た 8231</t>
    <rPh sb="0" eb="2">
      <t>オカヤマ</t>
    </rPh>
    <phoneticPr fontId="13"/>
  </si>
  <si>
    <t>岡山 583 す 1098</t>
    <rPh sb="0" eb="2">
      <t>オカヤマ</t>
    </rPh>
    <phoneticPr fontId="13"/>
  </si>
  <si>
    <t>福山 480  さ 381</t>
    <rPh sb="0" eb="2">
      <t>フクヤマ</t>
    </rPh>
    <phoneticPr fontId="13"/>
  </si>
  <si>
    <t>飯田 壽造</t>
    <rPh sb="0" eb="2">
      <t>イイダ</t>
    </rPh>
    <rPh sb="3" eb="4">
      <t>コトブキ</t>
    </rPh>
    <rPh sb="4" eb="5">
      <t>ゾウ</t>
    </rPh>
    <phoneticPr fontId="13"/>
  </si>
  <si>
    <t>品川 580 つ 810</t>
    <rPh sb="0" eb="2">
      <t>シナガワ</t>
    </rPh>
    <phoneticPr fontId="13"/>
  </si>
  <si>
    <t>品川 5X1 ろ 6567</t>
    <rPh sb="0" eb="2">
      <t>シナガワ</t>
    </rPh>
    <phoneticPr fontId="13"/>
  </si>
  <si>
    <t>品川 5X1 ろ 6568</t>
    <rPh sb="0" eb="2">
      <t>シナガワ</t>
    </rPh>
    <phoneticPr fontId="13"/>
  </si>
  <si>
    <t>有限会社ｻｶｲｵｰﾄﾌﾞﾗｻﾞｰｽﾞ</t>
    <rPh sb="0" eb="4">
      <t>ユウゲンガイシャ</t>
    </rPh>
    <phoneticPr fontId="13"/>
  </si>
  <si>
    <t>地図SD(車内)保証書 取説 ｷｰﾚｽ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</si>
  <si>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高比良 誠</t>
    <rPh sb="0" eb="3">
      <t>タカヒラ</t>
    </rPh>
    <rPh sb="4" eb="5">
      <t>マコト</t>
    </rPh>
    <phoneticPr fontId="13"/>
  </si>
  <si>
    <t>野田 587 ろ 1595</t>
    <rPh sb="0" eb="2">
      <t>ノダ</t>
    </rPh>
    <phoneticPr fontId="13"/>
  </si>
  <si>
    <t>株式会社ﾘﾌﾟﾛﾜｰﾙﾄﾞ</t>
    <rPh sb="0" eb="4">
      <t>カブシキガイシャ</t>
    </rPh>
    <phoneticPr fontId="13"/>
  </si>
  <si>
    <t>鈴木 真理</t>
    <rPh sb="0" eb="2">
      <t>スズキ</t>
    </rPh>
    <rPh sb="3" eb="5">
      <t>マリ</t>
    </rPh>
    <phoneticPr fontId="13"/>
  </si>
  <si>
    <t>千葉 792 ろ 7785</t>
    <rPh sb="0" eb="2">
      <t>チバ</t>
    </rPh>
    <phoneticPr fontId="13"/>
  </si>
  <si>
    <t>辻 薫</t>
    <rPh sb="0" eb="1">
      <t>ツジ</t>
    </rPh>
    <rPh sb="2" eb="3">
      <t>カオル</t>
    </rPh>
    <phoneticPr fontId="13"/>
  </si>
  <si>
    <t>保証書  取説 Ｓｷｰ ﾜﾝｵｰﾅｰ</t>
    <rPh sb="5" eb="7">
      <t>トリセツ</t>
    </rPh>
    <phoneticPr fontId="13"/>
  </si>
  <si>
    <t>三河 584 せ 730</t>
    <rPh sb="0" eb="2">
      <t>ミカワ</t>
    </rPh>
    <phoneticPr fontId="13"/>
  </si>
  <si>
    <t>株式会社ｽｽﾞｷ自販中部</t>
    <rPh sb="0" eb="4">
      <t>カブシキガイシャ</t>
    </rPh>
    <rPh sb="8" eb="10">
      <t>ジハン</t>
    </rPh>
    <rPh sb="10" eb="12">
      <t>チュウブ</t>
    </rPh>
    <phoneticPr fontId="13"/>
  </si>
  <si>
    <t>広島 581 ぬ 5527</t>
    <rPh sb="0" eb="2">
      <t>ヒロシマ</t>
    </rPh>
    <phoneticPr fontId="13"/>
  </si>
  <si>
    <t>諏訪 580 け 6733</t>
    <rPh sb="0" eb="2">
      <t>スワ</t>
    </rPh>
    <phoneticPr fontId="13"/>
  </si>
  <si>
    <t>株式会社ｱﾄﾘｴﾋﾞｽﾀ</t>
    <rPh sb="0" eb="4">
      <t>カブシキガイシャ</t>
    </rPh>
    <phoneticPr fontId="13"/>
  </si>
  <si>
    <t>保証書 取説 ﾅﾝﾊﾞｰ ﾜﾝｵｰﾅｰ</t>
    <phoneticPr fontId="13"/>
  </si>
  <si>
    <t>株式会社ｴｱｽﾄ</t>
    <rPh sb="0" eb="4">
      <t>カブシキガイシャ</t>
    </rPh>
    <phoneticPr fontId="13"/>
  </si>
  <si>
    <t>大阪 589 ろ 7681</t>
    <rPh sb="0" eb="2">
      <t>オオサカ</t>
    </rPh>
    <phoneticPr fontId="13"/>
  </si>
  <si>
    <t>有限会社ｽｽﾞｷﾌﾟﾗｻﾞ北摂</t>
    <rPh sb="0" eb="4">
      <t>ユウゲンガイシャ</t>
    </rPh>
    <phoneticPr fontId="13"/>
  </si>
  <si>
    <t>三重 581 け 9530</t>
    <rPh sb="0" eb="2">
      <t>ミエ</t>
    </rPh>
    <phoneticPr fontId="13"/>
  </si>
  <si>
    <t>株式会社ﾎﾝﾀﾞｶｰｽﾞ三重</t>
    <rPh sb="0" eb="4">
      <t>カブシキガイシャ</t>
    </rPh>
    <rPh sb="12" eb="14">
      <t>ミエ</t>
    </rPh>
    <phoneticPr fontId="13"/>
  </si>
  <si>
    <t>守本 葉子</t>
    <rPh sb="0" eb="2">
      <t>モリモト</t>
    </rPh>
    <rPh sb="3" eb="5">
      <t>ヨウコ</t>
    </rPh>
    <phoneticPr fontId="13"/>
  </si>
  <si>
    <t>長野 580 わ 2671</t>
    <rPh sb="0" eb="2">
      <t>ナガノ</t>
    </rPh>
    <phoneticPr fontId="13"/>
  </si>
  <si>
    <t>なにわ 5P6 ろ 9425</t>
    <phoneticPr fontId="13"/>
  </si>
  <si>
    <t>なにわ 5P6 ろ 9430</t>
    <phoneticPr fontId="13"/>
  </si>
  <si>
    <t>なにわ 580 ね 6832</t>
    <phoneticPr fontId="13"/>
  </si>
  <si>
    <t>戸畑 芽衣子</t>
    <rPh sb="0" eb="1">
      <t>ト</t>
    </rPh>
    <rPh sb="1" eb="2">
      <t>ハタケ</t>
    </rPh>
    <rPh sb="3" eb="6">
      <t>メイコ</t>
    </rPh>
    <phoneticPr fontId="13"/>
  </si>
  <si>
    <t>なにわ 5P5 ろ 4451</t>
    <phoneticPr fontId="13"/>
  </si>
  <si>
    <t>ﾘﾓｺﾝ(車内)保証書</t>
    <rPh sb="5" eb="7">
      <t>シャナイ</t>
    </rPh>
    <rPh sb="8" eb="11">
      <t>ホショウショ</t>
    </rPh>
    <phoneticPr fontId="13"/>
  </si>
  <si>
    <t>大阪 581 け 5356</t>
    <rPh sb="0" eb="2">
      <t>オオサカ</t>
    </rPh>
    <phoneticPr fontId="13"/>
  </si>
  <si>
    <t>中西 淑夫</t>
    <rPh sb="0" eb="2">
      <t>ナカニシ</t>
    </rPh>
    <rPh sb="3" eb="4">
      <t>シト</t>
    </rPh>
    <rPh sb="4" eb="5">
      <t>オット</t>
    </rPh>
    <phoneticPr fontId="13"/>
  </si>
  <si>
    <t>越谷 399 た 3779</t>
    <rPh sb="0" eb="2">
      <t>コシタニ</t>
    </rPh>
    <phoneticPr fontId="13"/>
  </si>
  <si>
    <t>株式会社ｸｰﾛﾊﾞｰﾗﾝﾄﾞ</t>
    <rPh sb="0" eb="4">
      <t>カブシキガイシャ</t>
    </rPh>
    <phoneticPr fontId="13"/>
  </si>
  <si>
    <t xml:space="preserve">保証書 取説 ﾅﾋﾞ取 ﾘﾓｺﾝ </t>
    <rPh sb="0" eb="3">
      <t>ホショウショ</t>
    </rPh>
    <rPh sb="4" eb="6">
      <t>トリセツ</t>
    </rPh>
    <rPh sb="10" eb="11">
      <t>トリ</t>
    </rPh>
    <phoneticPr fontId="13"/>
  </si>
  <si>
    <t>一宮 580 ぬ 2926</t>
    <rPh sb="0" eb="2">
      <t>イチノミヤ</t>
    </rPh>
    <phoneticPr fontId="13"/>
  </si>
  <si>
    <t>福島 知美</t>
    <rPh sb="0" eb="2">
      <t>フクシマ</t>
    </rPh>
    <rPh sb="3" eb="4">
      <t>シ</t>
    </rPh>
    <rPh sb="4" eb="5">
      <t>ミ</t>
    </rPh>
    <phoneticPr fontId="13"/>
  </si>
  <si>
    <t>滋賀 330 せ 394</t>
    <rPh sb="0" eb="2">
      <t>シガ</t>
    </rPh>
    <phoneticPr fontId="13"/>
  </si>
  <si>
    <t>杉本 賢吾</t>
    <rPh sb="0" eb="2">
      <t>スギモト</t>
    </rPh>
    <rPh sb="3" eb="5">
      <t>ケンゴ</t>
    </rPh>
    <phoneticPr fontId="13"/>
  </si>
  <si>
    <t>浜松 588 の 117</t>
    <rPh sb="0" eb="2">
      <t>ハママツ</t>
    </rPh>
    <phoneticPr fontId="13"/>
  </si>
  <si>
    <t>阿部 沙代</t>
    <rPh sb="0" eb="2">
      <t>アベ</t>
    </rPh>
    <rPh sb="3" eb="5">
      <t>サヨ</t>
    </rPh>
    <phoneticPr fontId="13"/>
  </si>
  <si>
    <t>なにわ 585 き 1201</t>
    <phoneticPr fontId="13"/>
  </si>
  <si>
    <t>南部 隆介</t>
    <rPh sb="0" eb="2">
      <t>ミナミブ</t>
    </rPh>
    <rPh sb="3" eb="5">
      <t>リュウスケ</t>
    </rPh>
    <phoneticPr fontId="13"/>
  </si>
  <si>
    <t>足立 302 や 5887</t>
    <rPh sb="0" eb="2">
      <t>アダチ</t>
    </rPh>
    <phoneticPr fontId="13"/>
  </si>
  <si>
    <t>佐藤 亘</t>
    <rPh sb="0" eb="2">
      <t>サトウ</t>
    </rPh>
    <rPh sb="3" eb="4">
      <t>ワタル</t>
    </rPh>
    <phoneticPr fontId="13"/>
  </si>
  <si>
    <t>足立 590 め 358</t>
    <rPh sb="0" eb="2">
      <t>アダチ</t>
    </rPh>
    <phoneticPr fontId="13"/>
  </si>
  <si>
    <t>上田 朋子</t>
    <rPh sb="0" eb="2">
      <t>ウエダ</t>
    </rPh>
    <rPh sb="3" eb="5">
      <t>トモコ</t>
    </rPh>
    <phoneticPr fontId="13"/>
  </si>
  <si>
    <t>27-1263</t>
  </si>
  <si>
    <t>村上様</t>
    <rPh sb="0" eb="2">
      <t>ムラカミ</t>
    </rPh>
    <rPh sb="2" eb="3">
      <t>サマ</t>
    </rPh>
    <phoneticPr fontId="13"/>
  </si>
  <si>
    <t>BMW Z4</t>
    <phoneticPr fontId="13"/>
  </si>
  <si>
    <t>WBALL32010J081634</t>
    <phoneticPr fontId="13"/>
  </si>
  <si>
    <t>姫路 330 ま 2806</t>
    <rPh sb="0" eb="2">
      <t>ヒメジ</t>
    </rPh>
    <phoneticPr fontId="13"/>
  </si>
  <si>
    <t>村上 信也</t>
    <rPh sb="0" eb="2">
      <t>ムラカミ</t>
    </rPh>
    <rPh sb="3" eb="5">
      <t>シンヤ</t>
    </rPh>
    <phoneticPr fontId="13"/>
  </si>
  <si>
    <t>大宮 580 も 4301</t>
    <rPh sb="0" eb="2">
      <t>オオミヤ</t>
    </rPh>
    <phoneticPr fontId="13"/>
  </si>
  <si>
    <t>岡本 正美</t>
    <rPh sb="0" eb="2">
      <t>オカモト</t>
    </rPh>
    <rPh sb="3" eb="5">
      <t>マサミ</t>
    </rPh>
    <phoneticPr fontId="13"/>
  </si>
  <si>
    <t>宇都宮 399 ぬ 6454</t>
    <rPh sb="0" eb="3">
      <t>ウツノミヤ</t>
    </rPh>
    <phoneticPr fontId="13"/>
  </si>
  <si>
    <t>樋山 千春</t>
    <rPh sb="0" eb="2">
      <t>ヒヤマ</t>
    </rPh>
    <rPh sb="3" eb="5">
      <t>チハル</t>
    </rPh>
    <phoneticPr fontId="13"/>
  </si>
  <si>
    <t>ﾘﾓｺﾝ(車内)保証書 取説</t>
    <rPh sb="5" eb="7">
      <t>シャナイ</t>
    </rPh>
    <rPh sb="8" eb="11">
      <t>ホショウショ</t>
    </rPh>
    <rPh sb="12" eb="14">
      <t>トリセツ</t>
    </rPh>
    <phoneticPr fontId="13"/>
  </si>
  <si>
    <t>保証書　取説</t>
    <rPh sb="4" eb="6">
      <t>トリセツ</t>
    </rPh>
    <phoneticPr fontId="13"/>
  </si>
  <si>
    <t>名古屋 326 み 1441</t>
    <rPh sb="0" eb="3">
      <t>ナゴヤ</t>
    </rPh>
    <phoneticPr fontId="13"/>
  </si>
  <si>
    <t>保証書白紙そのまま送る落札店言われたら良さんへ</t>
    <rPh sb="0" eb="3">
      <t>ホショウショ</t>
    </rPh>
    <rPh sb="3" eb="5">
      <t>ハクシ</t>
    </rPh>
    <rPh sb="9" eb="10">
      <t>オク</t>
    </rPh>
    <rPh sb="11" eb="14">
      <t>ラクサツテン</t>
    </rPh>
    <rPh sb="14" eb="15">
      <t>イ</t>
    </rPh>
    <rPh sb="19" eb="20">
      <t>リョウ</t>
    </rPh>
    <phoneticPr fontId="13"/>
  </si>
  <si>
    <t>地図SD(車内)保証書　取説　ｽﾍﾟｱｷｰ</t>
    <rPh sb="0" eb="2">
      <t>チズ</t>
    </rPh>
    <rPh sb="8" eb="11">
      <t>ホショウショ</t>
    </rPh>
    <rPh sb="12" eb="14">
      <t>トリセツ</t>
    </rPh>
    <phoneticPr fontId="13"/>
  </si>
  <si>
    <t>保証書 取説(車内)ｷｰﾚｽ 記録紙1枚</t>
    <rPh sb="0" eb="3">
      <t>ホショウショ</t>
    </rPh>
    <rPh sb="4" eb="6">
      <t>トリセツ</t>
    </rPh>
    <rPh sb="15" eb="18">
      <t>キロクシ</t>
    </rPh>
    <rPh sb="19" eb="20">
      <t>マイ</t>
    </rPh>
    <phoneticPr fontId="13"/>
  </si>
  <si>
    <t xml:space="preserve">取説 ｷｰﾚｽ ﾏｲｸﾛSD(車内)保証書 </t>
    <rPh sb="0" eb="2">
      <t>トリセツ</t>
    </rPh>
    <rPh sb="18" eb="21">
      <t>ホショウショ</t>
    </rPh>
    <phoneticPr fontId="13"/>
  </si>
  <si>
    <t xml:space="preserve">取説 ｽﾍﾟｱｷｰ(車内)保証書 </t>
    <rPh sb="0" eb="2">
      <t>トリセツ</t>
    </rPh>
    <phoneticPr fontId="13"/>
  </si>
  <si>
    <t>27-1264</t>
  </si>
  <si>
    <t>27-1266</t>
  </si>
  <si>
    <t>27-1267</t>
  </si>
  <si>
    <t>27-1268</t>
  </si>
  <si>
    <t>27-1269</t>
  </si>
  <si>
    <t>27-1270</t>
  </si>
  <si>
    <t>27-1271</t>
  </si>
  <si>
    <t>27-1272</t>
  </si>
  <si>
    <t>27-1273</t>
  </si>
  <si>
    <t>27-1274</t>
  </si>
  <si>
    <t>27-1275</t>
  </si>
  <si>
    <t>27-1276</t>
  </si>
  <si>
    <t>BMWﾐﾆ ｼﾞｬｰﾐﾝｸｰﾊﾟｰS</t>
    <phoneticPr fontId="13"/>
  </si>
  <si>
    <t>WMWXS720X02C48923</t>
    <phoneticPr fontId="13"/>
  </si>
  <si>
    <t>神戸 321 ぬ 2525</t>
    <rPh sb="0" eb="2">
      <t>コウベ</t>
    </rPh>
    <phoneticPr fontId="13"/>
  </si>
  <si>
    <t>保証書 ｽﾍﾟｱｷｰ ﾘﾓｺﾝ</t>
    <rPh sb="0" eb="3">
      <t>ホショウショ</t>
    </rPh>
    <phoneticPr fontId="13"/>
  </si>
  <si>
    <t>27-1277</t>
  </si>
  <si>
    <t>JU神奈川(まとめ)</t>
    <rPh sb="2" eb="5">
      <t>カナガワ</t>
    </rPh>
    <phoneticPr fontId="13"/>
  </si>
  <si>
    <t>H58A-1003593</t>
    <phoneticPr fontId="13"/>
  </si>
  <si>
    <t>MR92S-231550</t>
    <phoneticPr fontId="13"/>
  </si>
  <si>
    <t>MR41S-269833</t>
    <phoneticPr fontId="13"/>
  </si>
  <si>
    <t>JG1-2032554</t>
    <phoneticPr fontId="13"/>
  </si>
  <si>
    <t>LA350S-0110252</t>
    <phoneticPr fontId="13"/>
  </si>
  <si>
    <t>LA600S-0739279</t>
    <phoneticPr fontId="13"/>
  </si>
  <si>
    <t>MR41S-123323</t>
    <phoneticPr fontId="13"/>
  </si>
  <si>
    <t>S510P-0111497</t>
    <phoneticPr fontId="13"/>
  </si>
  <si>
    <t>DA64W-307459</t>
    <phoneticPr fontId="13"/>
  </si>
  <si>
    <t>LA350S-0215743</t>
    <phoneticPr fontId="13"/>
  </si>
  <si>
    <t>WMWYT920103L67433</t>
    <phoneticPr fontId="13"/>
  </si>
  <si>
    <t>9/4/18</t>
    <phoneticPr fontId="13"/>
  </si>
  <si>
    <t>ﾊｽﾗｰ Ｆﾘﾐﾃｯﾄﾞ</t>
    <phoneticPr fontId="13"/>
  </si>
  <si>
    <t>N-ONE ﾌﾟﾚﾐｱﾑﾂｱﾗｰ</t>
    <phoneticPr fontId="13"/>
  </si>
  <si>
    <t>9/2/11</t>
    <phoneticPr fontId="13"/>
  </si>
  <si>
    <t>ﾐﾗｲｰｽ G</t>
    <phoneticPr fontId="13"/>
  </si>
  <si>
    <t>ﾀﾝﾄｶｽﾀﾑ ﾄｯﾌﾟｴﾃﾞｨｼｮﾝSA3</t>
    <phoneticPr fontId="13"/>
  </si>
  <si>
    <t>8/2/17</t>
    <phoneticPr fontId="13"/>
  </si>
  <si>
    <t>8/10/25</t>
    <phoneticPr fontId="13"/>
  </si>
  <si>
    <t>保証書 取説 地図SD B-CAS ｽﾍﾟｱｷｰ ﾜﾝｵｰﾅｰ</t>
    <rPh sb="0" eb="3">
      <t>ホショウショ</t>
    </rPh>
    <rPh sb="4" eb="6">
      <t>トリセツ</t>
    </rPh>
    <rPh sb="7" eb="9">
      <t>チズ</t>
    </rPh>
    <phoneticPr fontId="13"/>
  </si>
  <si>
    <t>ﾊｲｾﾞｯﾄﾄﾗｯｸ  ｼﾞｬﾝﾎﾞ 55thｱﾆﾊﾞｰｻﾘ</t>
    <phoneticPr fontId="13"/>
  </si>
  <si>
    <t>8/7/28</t>
    <phoneticPr fontId="13"/>
  </si>
  <si>
    <t>ｴﾌﾞﾘｲﾜｺﾞﾝ  PZﾀｰﾎﾞ</t>
    <phoneticPr fontId="13"/>
  </si>
  <si>
    <t>BMWﾐﾆｸｰﾊﾟｰ ｸﾛｽｵｰﾊﾞｰD</t>
    <phoneticPr fontId="13"/>
  </si>
  <si>
    <t>582 い 1853</t>
    <phoneticPr fontId="13"/>
  </si>
  <si>
    <t>582 い 1852</t>
    <phoneticPr fontId="13"/>
  </si>
  <si>
    <t>地図SD ﾅﾝﾊﾞｰ</t>
    <rPh sb="0" eb="2">
      <t>チズ</t>
    </rPh>
    <phoneticPr fontId="13"/>
  </si>
  <si>
    <t>名古屋 590 ら 51</t>
    <rPh sb="0" eb="3">
      <t>ナゴヤ</t>
    </rPh>
    <phoneticPr fontId="13"/>
  </si>
  <si>
    <t>福岡 303 ふ 1725</t>
    <rPh sb="0" eb="2">
      <t>フクオカ</t>
    </rPh>
    <phoneticPr fontId="13"/>
  </si>
  <si>
    <t>八王子 330 は 2630</t>
    <rPh sb="0" eb="3">
      <t>ハチオウジ</t>
    </rPh>
    <phoneticPr fontId="13"/>
  </si>
  <si>
    <t>水村 利久</t>
    <rPh sb="0" eb="2">
      <t>ミズムラ</t>
    </rPh>
    <rPh sb="3" eb="5">
      <t>トシヒサ</t>
    </rPh>
    <phoneticPr fontId="13"/>
  </si>
  <si>
    <t>佐世保 333 ち 8118</t>
    <rPh sb="0" eb="3">
      <t>サセボ</t>
    </rPh>
    <phoneticPr fontId="13"/>
  </si>
  <si>
    <t>横山 邦彦</t>
    <rPh sb="0" eb="2">
      <t>ヨコヤマ</t>
    </rPh>
    <rPh sb="3" eb="5">
      <t>クニヒコ</t>
    </rPh>
    <phoneticPr fontId="13"/>
  </si>
  <si>
    <t>和泉 582 あ 4540</t>
    <rPh sb="0" eb="2">
      <t>イズミ</t>
    </rPh>
    <phoneticPr fontId="13"/>
  </si>
  <si>
    <t>ﾄﾖﾀｶﾛｰﾗ南海株式会社</t>
    <rPh sb="7" eb="9">
      <t>ナンカイ</t>
    </rPh>
    <rPh sb="9" eb="13">
      <t>カブシキガイシャ</t>
    </rPh>
    <phoneticPr fontId="13"/>
  </si>
  <si>
    <t>取説(車内)保証書</t>
    <rPh sb="0" eb="2">
      <t>トリセツ</t>
    </rPh>
    <rPh sb="3" eb="5">
      <t>シャナイ</t>
    </rPh>
    <rPh sb="6" eb="9">
      <t>ホショウショ</t>
    </rPh>
    <phoneticPr fontId="13"/>
  </si>
  <si>
    <t>川越 584 よ 168</t>
    <rPh sb="0" eb="2">
      <t>カワゴエ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</si>
  <si>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</si>
  <si>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なにわ 581 せ 1258</t>
    <phoneticPr fontId="13"/>
  </si>
  <si>
    <t>鳥取 580 も 8424</t>
    <rPh sb="0" eb="2">
      <t>トットリ</t>
    </rPh>
    <phoneticPr fontId="13"/>
  </si>
  <si>
    <t>株式会社ｽｽﾞｷ自販鳥取</t>
    <rPh sb="0" eb="4">
      <t>カブシキガイシャ</t>
    </rPh>
    <rPh sb="8" eb="10">
      <t>ジハン</t>
    </rPh>
    <rPh sb="10" eb="12">
      <t>トットリ</t>
    </rPh>
    <phoneticPr fontId="13"/>
  </si>
  <si>
    <t>香川 480 ち 5094</t>
    <rPh sb="0" eb="2">
      <t>カガワ</t>
    </rPh>
    <phoneticPr fontId="13"/>
  </si>
  <si>
    <t>株式会社ｽｽﾞｷ自販香川</t>
    <rPh sb="0" eb="4">
      <t>カブシキガイシャ</t>
    </rPh>
    <rPh sb="8" eb="10">
      <t>ジハン</t>
    </rPh>
    <rPh sb="10" eb="12">
      <t>カガワ</t>
    </rPh>
    <phoneticPr fontId="13"/>
  </si>
  <si>
    <t>保証書　取説</t>
    <phoneticPr fontId="13"/>
  </si>
  <si>
    <t>香川 480 ち 6846</t>
    <rPh sb="0" eb="2">
      <t>カガワ</t>
    </rPh>
    <phoneticPr fontId="13"/>
  </si>
  <si>
    <t>鳥取 580 ゆ 5869</t>
    <rPh sb="0" eb="2">
      <t>トットリ</t>
    </rPh>
    <phoneticPr fontId="13"/>
  </si>
  <si>
    <t>株式会社ｽｽﾞｷ自販鳥取</t>
    <rPh sb="0" eb="4">
      <t>カブシキガイシャ</t>
    </rPh>
    <rPh sb="8" eb="12">
      <t>ジハントットリ</t>
    </rPh>
    <phoneticPr fontId="13"/>
  </si>
  <si>
    <t>広島 480 ぬ 4058</t>
    <rPh sb="0" eb="2">
      <t>ヒロシマ</t>
    </rPh>
    <phoneticPr fontId="13"/>
  </si>
  <si>
    <t>株式会社ｽｽﾞｷ自販広島</t>
    <rPh sb="0" eb="4">
      <t>カブシキガイシャ</t>
    </rPh>
    <rPh sb="9" eb="11">
      <t>ヒロシマ</t>
    </rPh>
    <phoneticPr fontId="13"/>
  </si>
  <si>
    <t>倉敷 580 よ 6172</t>
    <rPh sb="0" eb="2">
      <t>クラシキ</t>
    </rPh>
    <phoneticPr fontId="13"/>
  </si>
  <si>
    <t>奥村  顯壽</t>
    <rPh sb="0" eb="2">
      <t>オクムラ</t>
    </rPh>
    <rPh sb="5" eb="6">
      <t>コトブキ</t>
    </rPh>
    <phoneticPr fontId="13"/>
  </si>
  <si>
    <t>品川 39A み 6161</t>
    <rPh sb="0" eb="2">
      <t>シナガワ</t>
    </rPh>
    <phoneticPr fontId="13"/>
  </si>
  <si>
    <t>R27-006</t>
  </si>
  <si>
    <t>⑥</t>
    <phoneticPr fontId="13"/>
  </si>
  <si>
    <t>2025/    ﾚﾝﾀｶｰに移行</t>
    <rPh sb="15" eb="17">
      <t>イコウ</t>
    </rPh>
    <phoneticPr fontId="13"/>
  </si>
  <si>
    <t>27-144からR27-006へ変更</t>
    <rPh sb="16" eb="18">
      <t>ヘンコウ</t>
    </rPh>
    <phoneticPr fontId="13"/>
  </si>
  <si>
    <t>株式会社ｼｭﾃﾙﾝ和歌山</t>
    <rPh sb="0" eb="4">
      <t>カブシキガイシャ</t>
    </rPh>
    <rPh sb="9" eb="12">
      <t>ワカヤマ</t>
    </rPh>
    <phoneticPr fontId="13"/>
  </si>
  <si>
    <t>大前 悦民</t>
    <rPh sb="0" eb="2">
      <t>オオマエ</t>
    </rPh>
    <rPh sb="3" eb="4">
      <t>エツ</t>
    </rPh>
    <rPh sb="4" eb="5">
      <t>タミ</t>
    </rPh>
    <phoneticPr fontId="13"/>
  </si>
  <si>
    <t>27-1278</t>
  </si>
  <si>
    <t>27-1279</t>
  </si>
  <si>
    <t>27-1280</t>
  </si>
  <si>
    <t>27-1281</t>
  </si>
  <si>
    <t>27-1282</t>
  </si>
  <si>
    <t>ﾜｺﾞﾝR ｽﾏｲﾙ ﾊｲﾌﾞﾘｯﾄﾞX</t>
    <phoneticPr fontId="13"/>
  </si>
  <si>
    <t>MX91S-211607</t>
    <phoneticPr fontId="13"/>
  </si>
  <si>
    <t>ｳﾞｪﾙﾌｧｲｱ Z Aｴﾃﾞｨｼｮﾝ</t>
    <phoneticPr fontId="13"/>
  </si>
  <si>
    <t>AGH30-0228936</t>
    <phoneticPr fontId="13"/>
  </si>
  <si>
    <t xml:space="preserve"> 保証書 取説  11月末名変</t>
    <rPh sb="1" eb="4">
      <t>ホショウショ</t>
    </rPh>
    <rPh sb="5" eb="7">
      <t>トリセツ</t>
    </rPh>
    <rPh sb="11" eb="12">
      <t>ガツ</t>
    </rPh>
    <rPh sb="12" eb="13">
      <t>マツ</t>
    </rPh>
    <rPh sb="13" eb="15">
      <t>メイヘン</t>
    </rPh>
    <phoneticPr fontId="13"/>
  </si>
  <si>
    <t>12月末名変</t>
    <rPh sb="2" eb="3">
      <t>ガツ</t>
    </rPh>
    <rPh sb="3" eb="4">
      <t>マツ</t>
    </rPh>
    <rPh sb="4" eb="6">
      <t>メイヘン</t>
    </rPh>
    <phoneticPr fontId="13"/>
  </si>
  <si>
    <t>ｷｯｸｽ X</t>
    <phoneticPr fontId="13"/>
  </si>
  <si>
    <t>P15-013361</t>
    <phoneticPr fontId="13"/>
  </si>
  <si>
    <t>取説 11月名変</t>
    <rPh sb="0" eb="2">
      <t>トリセツ</t>
    </rPh>
    <rPh sb="5" eb="6">
      <t>ガツ</t>
    </rPh>
    <rPh sb="6" eb="8">
      <t>メイヘン</t>
    </rPh>
    <phoneticPr fontId="13"/>
  </si>
  <si>
    <t>ｾﾚﾅ S ﾊｲﾌﾞﾘｯﾄﾞ ﾗｲﾀﾞｰ</t>
    <phoneticPr fontId="13"/>
  </si>
  <si>
    <t>HC26-118902</t>
    <phoneticPr fontId="13"/>
  </si>
  <si>
    <t>保証書 取説 12月末名変</t>
    <rPh sb="0" eb="3">
      <t>ホショウショ</t>
    </rPh>
    <rPh sb="4" eb="6">
      <t>トリセツ</t>
    </rPh>
    <rPh sb="9" eb="10">
      <t>ガツ</t>
    </rPh>
    <rPh sb="10" eb="11">
      <t>マツ</t>
    </rPh>
    <rPh sb="11" eb="13">
      <t>メイヘン</t>
    </rPh>
    <phoneticPr fontId="13"/>
  </si>
  <si>
    <t>ﾉｱ Si ﾀﾞﾌﾞﾙﾊﾞｲﾋﾞｰ</t>
    <phoneticPr fontId="13"/>
  </si>
  <si>
    <t>ZRR80-0399555</t>
    <phoneticPr fontId="13"/>
  </si>
  <si>
    <t>ﾓｺ S</t>
    <phoneticPr fontId="13"/>
  </si>
  <si>
    <t>MG33S-187953</t>
    <phoneticPr fontId="13"/>
  </si>
  <si>
    <t>HE33S-111814</t>
    <phoneticPr fontId="13"/>
  </si>
  <si>
    <t>三重 582 き 5792</t>
    <rPh sb="0" eb="2">
      <t>ミエ</t>
    </rPh>
    <phoneticPr fontId="13"/>
  </si>
  <si>
    <t>ｴﾌﾞﾘｨﾊﾞﾝ PAﾘﾐﾃｯﾄﾞ</t>
    <phoneticPr fontId="13"/>
  </si>
  <si>
    <t>DA17V-458952</t>
    <phoneticPr fontId="13"/>
  </si>
  <si>
    <t>名古屋 480 ひ 2892</t>
    <rPh sb="0" eb="3">
      <t>ナゴヤ</t>
    </rPh>
    <phoneticPr fontId="13"/>
  </si>
  <si>
    <t xml:space="preserve"> 保証書 </t>
    <rPh sb="1" eb="4">
      <t>ホショウショ</t>
    </rPh>
    <phoneticPr fontId="13"/>
  </si>
  <si>
    <t xml:space="preserve">ｷｰﾚｽ ｽﾍﾟｱｷｰ2個(車内)保証書　取説 </t>
    <rPh sb="12" eb="13">
      <t>コ</t>
    </rPh>
    <rPh sb="17" eb="20">
      <t>ホショウショ</t>
    </rPh>
    <rPh sb="21" eb="23">
      <t>トリセツ</t>
    </rPh>
    <phoneticPr fontId="13"/>
  </si>
  <si>
    <t>27-1283</t>
  </si>
  <si>
    <t>27-1284</t>
  </si>
  <si>
    <t>27-1285</t>
  </si>
  <si>
    <t>27-1286</t>
  </si>
  <si>
    <t>27-1287</t>
  </si>
  <si>
    <t>27-1288</t>
  </si>
  <si>
    <t>27-1289</t>
  </si>
  <si>
    <t>27-1290</t>
  </si>
  <si>
    <t>27-1291</t>
  </si>
  <si>
    <t>27-1292</t>
  </si>
  <si>
    <t>27-1293</t>
  </si>
  <si>
    <t>BMWﾐﾆｸｰﾊﾟｰ SD ｸﾗﾌﾞﾏﾝ</t>
    <phoneticPr fontId="13"/>
  </si>
  <si>
    <t>ｷｬｽﾄ ｽﾀｲﾙ G</t>
    <phoneticPr fontId="13"/>
  </si>
  <si>
    <t>LA250S-0207623</t>
    <phoneticPr fontId="13"/>
  </si>
  <si>
    <t>ﾑｰﾌﾞｷｬﾝﾊﾞｽ ｽﾄﾗｲﾌﾟｽG</t>
    <phoneticPr fontId="13"/>
  </si>
  <si>
    <t>LA850G-0022632</t>
    <phoneticPr fontId="13"/>
  </si>
  <si>
    <t>ｱﾊﾞﾙﾄ595</t>
    <phoneticPr fontId="13"/>
  </si>
  <si>
    <t>JF1-1473819</t>
    <phoneticPr fontId="13"/>
  </si>
  <si>
    <t>MR31S-236122</t>
    <phoneticPr fontId="13"/>
  </si>
  <si>
    <t>27-1294</t>
  </si>
  <si>
    <t>27-1295</t>
  </si>
  <si>
    <t>27-1296</t>
  </si>
  <si>
    <t>27-1297</t>
  </si>
  <si>
    <t>27-1298</t>
  </si>
  <si>
    <t>27-1299</t>
  </si>
  <si>
    <t>27-1300</t>
  </si>
  <si>
    <t>27-1301</t>
  </si>
  <si>
    <t>27-1302</t>
  </si>
  <si>
    <t>27-1303</t>
  </si>
  <si>
    <t>27-1304</t>
  </si>
  <si>
    <t>27-1305</t>
  </si>
  <si>
    <t>27-1306</t>
  </si>
  <si>
    <t>27-1307</t>
  </si>
  <si>
    <t>27-1308</t>
  </si>
  <si>
    <t>ｱﾙﾄ L ﾘﾐﾃｯﾄﾞ 40周年記念</t>
    <rPh sb="15" eb="17">
      <t>シュウネン</t>
    </rPh>
    <rPh sb="17" eb="19">
      <t>キネン</t>
    </rPh>
    <phoneticPr fontId="13"/>
  </si>
  <si>
    <t>HA36S-519695</t>
    <phoneticPr fontId="13"/>
  </si>
  <si>
    <t>DA64V-480306</t>
    <phoneticPr fontId="13"/>
  </si>
  <si>
    <t>ﾌｨｯﾄ e；HEV</t>
    <phoneticPr fontId="13"/>
  </si>
  <si>
    <t>GR3-1378109</t>
    <phoneticPr fontId="13"/>
  </si>
  <si>
    <t>CX8 XDﾌﾟﾛｱｸﾃｨﾌﾞ</t>
    <phoneticPr fontId="13"/>
  </si>
  <si>
    <t>KG2P-308388</t>
    <phoneticPr fontId="13"/>
  </si>
  <si>
    <t>ｽｲﾌﾄ XL</t>
    <phoneticPr fontId="13"/>
  </si>
  <si>
    <t>ZC83S-102517</t>
    <phoneticPr fontId="13"/>
  </si>
  <si>
    <t>LA900S-0038338</t>
    <phoneticPr fontId="13"/>
  </si>
  <si>
    <t>N-BOXｶｽﾀﾑ  Lﾀｰﾎﾞ</t>
    <phoneticPr fontId="13"/>
  </si>
  <si>
    <t>JF3-2302285</t>
    <phoneticPr fontId="13"/>
  </si>
  <si>
    <t>ﾑｰﾌﾞｷｬﾝﾊﾞｽ Gﾒｲｸｱｯﾌﾟ</t>
    <phoneticPr fontId="13"/>
  </si>
  <si>
    <t>LA800S-0079365</t>
    <phoneticPr fontId="13"/>
  </si>
  <si>
    <t>BL3FW-100949</t>
    <phoneticPr fontId="13"/>
  </si>
  <si>
    <t>ｽﾍﾟｰｼｱｷﾞｱ ﾊｲﾌﾞﾘｯﾄﾞ</t>
    <phoneticPr fontId="13"/>
  </si>
  <si>
    <t>MK53S-754273</t>
    <phoneticPr fontId="13"/>
  </si>
  <si>
    <t>KGC30-0211045</t>
    <phoneticPr fontId="13"/>
  </si>
  <si>
    <t>ｳﾞｪｾﾞﾙ e；HEV Z</t>
    <phoneticPr fontId="13"/>
  </si>
  <si>
    <t>RV5-1018026</t>
    <phoneticPr fontId="13"/>
  </si>
  <si>
    <t>B5AW-0002799</t>
    <phoneticPr fontId="13"/>
  </si>
  <si>
    <t>ﾀﾝﾄｶｽﾀﾑX</t>
    <phoneticPr fontId="13"/>
  </si>
  <si>
    <t>L375S-0479954</t>
    <phoneticPr fontId="13"/>
  </si>
  <si>
    <t>S500P-0125758</t>
    <phoneticPr fontId="13"/>
  </si>
  <si>
    <t>ﾘｻｲｸﾙ料金違う￥8200計算書訂正OK</t>
    <rPh sb="5" eb="7">
      <t>リョウキン</t>
    </rPh>
    <rPh sb="7" eb="8">
      <t>チガ</t>
    </rPh>
    <rPh sb="14" eb="17">
      <t>ケイサンショ</t>
    </rPh>
    <rPh sb="17" eb="19">
      <t>テイセイ</t>
    </rPh>
    <phoneticPr fontId="13"/>
  </si>
  <si>
    <t>WMWLR520202F14224</t>
    <phoneticPr fontId="13"/>
  </si>
  <si>
    <t>松本 301 て 9804</t>
    <rPh sb="0" eb="2">
      <t>マツモト</t>
    </rPh>
    <phoneticPr fontId="13"/>
  </si>
  <si>
    <t>ﾐﾝﾄ</t>
    <phoneticPr fontId="13"/>
  </si>
  <si>
    <t>四日市 583 い 3425</t>
    <rPh sb="0" eb="3">
      <t>ヨッカイチ</t>
    </rPh>
    <phoneticPr fontId="13"/>
  </si>
  <si>
    <t>VR3UPHNKSLT125386</t>
    <phoneticPr fontId="13"/>
  </si>
  <si>
    <t>8/1/20</t>
    <phoneticPr fontId="13"/>
  </si>
  <si>
    <t>名古屋 390 や 30</t>
    <rPh sb="0" eb="3">
      <t>ナゴヤ</t>
    </rPh>
    <phoneticPr fontId="13"/>
  </si>
  <si>
    <t>ZFA3120000JB39403</t>
    <phoneticPr fontId="13"/>
  </si>
  <si>
    <t>ﾙﾉｰﾄｩｲﾝｺﾞ ｲﾝﾃﾝｽ</t>
    <phoneticPr fontId="13"/>
  </si>
  <si>
    <t>VF1AH0008N0840224</t>
    <phoneticPr fontId="13"/>
  </si>
  <si>
    <t>9/7/10</t>
    <phoneticPr fontId="13"/>
  </si>
  <si>
    <t>名古屋 583 と 2929</t>
    <rPh sb="0" eb="3">
      <t>ナゴヤ</t>
    </rPh>
    <phoneticPr fontId="13"/>
  </si>
  <si>
    <t>浜松 584 て 815</t>
    <rPh sb="0" eb="2">
      <t>ハママツ</t>
    </rPh>
    <phoneticPr fontId="13"/>
  </si>
  <si>
    <t>8/7/29</t>
    <phoneticPr fontId="13"/>
  </si>
  <si>
    <t>10/3/19</t>
    <phoneticPr fontId="13"/>
  </si>
  <si>
    <t>8/1/11</t>
    <phoneticPr fontId="13"/>
  </si>
  <si>
    <t>30/？</t>
    <phoneticPr fontId="13"/>
  </si>
  <si>
    <t>9/3/16</t>
    <phoneticPr fontId="13"/>
  </si>
  <si>
    <t>取説 ｽﾍﾟｱｷｰ 地図SD</t>
    <rPh sb="0" eb="2">
      <t>トリセツ</t>
    </rPh>
    <rPh sb="10" eb="12">
      <t>チズ</t>
    </rPh>
    <phoneticPr fontId="13"/>
  </si>
  <si>
    <t>ｱｸｾﾗｽﾎﾟｰﾂ ｽﾋﾟｰﾄﾞｱｸｾﾗ</t>
    <phoneticPr fontId="13"/>
  </si>
  <si>
    <t>B-CAS</t>
    <phoneticPr fontId="13"/>
  </si>
  <si>
    <t>ﾊﾟｯｿ  1.0 ﾌﾟﾗｽHana Cﾊﾟｯｹｰｼﾞ</t>
    <phoneticPr fontId="13"/>
  </si>
  <si>
    <t>ekｸﾛｽ EV G</t>
    <phoneticPr fontId="13"/>
  </si>
  <si>
    <t>ﾊｲｾﾞｯﾄﾄﾗｯｸ ｼﾞｬﾝﾎﾞSA3</t>
    <phoneticPr fontId="13"/>
  </si>
  <si>
    <t>8/8/23</t>
    <phoneticPr fontId="13"/>
  </si>
  <si>
    <t>27-1309</t>
  </si>
  <si>
    <t>27-1310</t>
  </si>
  <si>
    <t>27-1311</t>
  </si>
  <si>
    <t>27-1312</t>
  </si>
  <si>
    <t>27-1313</t>
  </si>
  <si>
    <t>27-1314</t>
  </si>
  <si>
    <t>27-1315</t>
  </si>
  <si>
    <t>A306894</t>
    <phoneticPr fontId="13"/>
  </si>
  <si>
    <t>RV3-1011860</t>
    <phoneticPr fontId="13"/>
  </si>
  <si>
    <t>保証書  取説 ﾜﾝｵｰﾅｰ</t>
    <rPh sb="5" eb="7">
      <t>トリセツ</t>
    </rPh>
    <phoneticPr fontId="13"/>
  </si>
  <si>
    <t>A306163</t>
    <phoneticPr fontId="13"/>
  </si>
  <si>
    <t>GDH206-1115375</t>
    <phoneticPr fontId="13"/>
  </si>
  <si>
    <t>9/5/6</t>
    <phoneticPr fontId="13"/>
  </si>
  <si>
    <t>A306352</t>
    <phoneticPr fontId="13"/>
  </si>
  <si>
    <t>LA650S-0050310</t>
    <phoneticPr fontId="13"/>
  </si>
  <si>
    <t>A306958</t>
    <phoneticPr fontId="13"/>
  </si>
  <si>
    <t>TRH200-0352934</t>
    <phoneticPr fontId="13"/>
  </si>
  <si>
    <t>8/1/19</t>
    <phoneticPr fontId="13"/>
  </si>
  <si>
    <t>A307059</t>
    <phoneticPr fontId="13"/>
  </si>
  <si>
    <t>RAV4 ｱﾄﾞﾍﾞﾝﾁｬｰ</t>
    <phoneticPr fontId="13"/>
  </si>
  <si>
    <t>MXAA54-5051929</t>
    <phoneticPr fontId="13"/>
  </si>
  <si>
    <t>10/4/10</t>
    <phoneticPr fontId="13"/>
  </si>
  <si>
    <t>A305736</t>
    <phoneticPr fontId="13"/>
  </si>
  <si>
    <t>ﾀﾝﾄｶｽﾀﾑ X ﾄｯﾌﾟｴﾃﾞｨｼｮﾝSA3</t>
    <phoneticPr fontId="13"/>
  </si>
  <si>
    <t>LA600S-0580402</t>
    <phoneticPr fontId="13"/>
  </si>
  <si>
    <t>8/9/21</t>
    <phoneticPr fontId="13"/>
  </si>
  <si>
    <t>A306447</t>
    <phoneticPr fontId="13"/>
  </si>
  <si>
    <t>B21A-0312293</t>
    <phoneticPr fontId="13"/>
  </si>
  <si>
    <t>WMWXN720903A08103</t>
    <phoneticPr fontId="13"/>
  </si>
  <si>
    <t>VF1AHB22AK0788699</t>
    <phoneticPr fontId="13"/>
  </si>
  <si>
    <t>名古屋 326 ま 8338</t>
    <rPh sb="0" eb="3">
      <t>ナゴヤ</t>
    </rPh>
    <phoneticPr fontId="13"/>
  </si>
  <si>
    <t>ｽﾊﾞﾙ中四国株式会社</t>
    <rPh sb="4" eb="6">
      <t>シコク</t>
    </rPh>
    <rPh sb="6" eb="10">
      <t>カブシキガイシャ</t>
    </rPh>
    <phoneticPr fontId="13"/>
  </si>
  <si>
    <t>福山 399 た 6297</t>
    <phoneticPr fontId="13"/>
  </si>
  <si>
    <t>愛媛 399 そ 2537</t>
    <rPh sb="0" eb="2">
      <t>エヒメ</t>
    </rPh>
    <phoneticPr fontId="13"/>
  </si>
  <si>
    <t>株式会社西四国ﾏﾂﾀﾞ</t>
    <rPh sb="0" eb="4">
      <t>カブシキガイシャ</t>
    </rPh>
    <rPh sb="4" eb="5">
      <t>ニシ</t>
    </rPh>
    <rPh sb="5" eb="7">
      <t>シコク</t>
    </rPh>
    <phoneticPr fontId="13"/>
  </si>
  <si>
    <t>有限会社 ｶｰﾊﾞﾝｸ・ﾄｰｱ</t>
    <rPh sb="0" eb="4">
      <t>ユウゲンガイシャ</t>
    </rPh>
    <phoneticPr fontId="13"/>
  </si>
  <si>
    <t>堀田 英利</t>
    <rPh sb="0" eb="2">
      <t>ホッタ</t>
    </rPh>
    <rPh sb="3" eb="5">
      <t>ヒデトシ</t>
    </rPh>
    <phoneticPr fontId="13"/>
  </si>
  <si>
    <t>多摩 592 ろ 965</t>
    <rPh sb="0" eb="2">
      <t>タマ</t>
    </rPh>
    <phoneticPr fontId="13"/>
  </si>
  <si>
    <t>保証書 取説 ﾚﾝﾀｶｰｸﾚｰﾑ</t>
    <rPh sb="0" eb="3">
      <t>ホショウショ</t>
    </rPh>
    <rPh sb="4" eb="6">
      <t>トリセツ</t>
    </rPh>
    <phoneticPr fontId="13"/>
  </si>
  <si>
    <t>名古屋 780 ろ 365</t>
    <rPh sb="0" eb="3">
      <t>ナゴヤ</t>
    </rPh>
    <phoneticPr fontId="13"/>
  </si>
  <si>
    <t>株式会社JCM名古屋支店</t>
    <rPh sb="0" eb="4">
      <t>カブシキガイシャ</t>
    </rPh>
    <rPh sb="7" eb="10">
      <t>ナゴヤ</t>
    </rPh>
    <rPh sb="10" eb="12">
      <t>シテン</t>
    </rPh>
    <phoneticPr fontId="13"/>
  </si>
  <si>
    <t>名古屋 586 み 1212</t>
    <rPh sb="0" eb="3">
      <t>ナゴヤ</t>
    </rPh>
    <phoneticPr fontId="13"/>
  </si>
  <si>
    <t>西尾 洋子</t>
    <rPh sb="0" eb="2">
      <t>ニシオ</t>
    </rPh>
    <rPh sb="3" eb="5">
      <t>ヨウコ</t>
    </rPh>
    <phoneticPr fontId="13"/>
  </si>
  <si>
    <t>なにわ 5P6 ろ 3695</t>
    <phoneticPr fontId="13"/>
  </si>
  <si>
    <t>株式会社ｱｲﾙｰ</t>
    <rPh sb="0" eb="4">
      <t>カブシキガイシャ</t>
    </rPh>
    <phoneticPr fontId="13"/>
  </si>
  <si>
    <t>なにわ 5P6 ろ 9135</t>
    <phoneticPr fontId="13"/>
  </si>
  <si>
    <t>有限会社岡山ﾎｰﾕｰ</t>
    <rPh sb="0" eb="4">
      <t>ユウゲンガイシャ</t>
    </rPh>
    <rPh sb="4" eb="6">
      <t>オカヤマ</t>
    </rPh>
    <phoneticPr fontId="13"/>
  </si>
  <si>
    <t>ﾈｯﾂﾄﾖﾀ岡山株式会社</t>
    <rPh sb="6" eb="8">
      <t>オカヤマ</t>
    </rPh>
    <rPh sb="8" eb="12">
      <t>カブシキガイシャ</t>
    </rPh>
    <phoneticPr fontId="13"/>
  </si>
  <si>
    <t>広島 581 た 4363</t>
    <rPh sb="0" eb="2">
      <t>ヒロシマ</t>
    </rPh>
    <phoneticPr fontId="13"/>
  </si>
  <si>
    <t>豊田 京子</t>
    <rPh sb="0" eb="2">
      <t>トヨタ</t>
    </rPh>
    <rPh sb="3" eb="5">
      <t>キョウコ</t>
    </rPh>
    <phoneticPr fontId="13"/>
  </si>
  <si>
    <t>山口 590 さ 87</t>
    <rPh sb="0" eb="2">
      <t>ヤマグチ</t>
    </rPh>
    <phoneticPr fontId="13"/>
  </si>
  <si>
    <t>株式会社ﾄﾖﾀﾚﾝﾀﾘｰｽ山口</t>
    <rPh sb="0" eb="4">
      <t>カブシキガイシャ</t>
    </rPh>
    <rPh sb="13" eb="15">
      <t>ヤマグチ</t>
    </rPh>
    <phoneticPr fontId="13"/>
  </si>
  <si>
    <t>岡山 581 に 7303</t>
    <rPh sb="0" eb="1">
      <t>オカ</t>
    </rPh>
    <rPh sb="1" eb="2">
      <t>ヤマ</t>
    </rPh>
    <phoneticPr fontId="13"/>
  </si>
  <si>
    <t>株式会社ﾄﾖﾀﾚﾝﾀﾘｰｽ岡山</t>
    <rPh sb="0" eb="4">
      <t>カブシキガイシャ</t>
    </rPh>
    <rPh sb="13" eb="15">
      <t>オカヤマ</t>
    </rPh>
    <phoneticPr fontId="13"/>
  </si>
  <si>
    <t>滋賀 588 よ 28</t>
    <rPh sb="0" eb="2">
      <t>シガ</t>
    </rPh>
    <phoneticPr fontId="13"/>
  </si>
  <si>
    <t>株式会社ﾛｰｶﾗｲｽﾞ</t>
    <rPh sb="0" eb="4">
      <t>カブシキガイシャ</t>
    </rPh>
    <phoneticPr fontId="13"/>
  </si>
  <si>
    <t>保証書 取説 ﾅﾋﾞ取 SD ｷｰﾚｽ</t>
    <rPh sb="0" eb="3">
      <t>ホショウショ</t>
    </rPh>
    <rPh sb="4" eb="6">
      <t>トリセツ</t>
    </rPh>
    <rPh sb="10" eb="11">
      <t>トリ</t>
    </rPh>
    <phoneticPr fontId="13"/>
  </si>
  <si>
    <t>山口 502 と 2714</t>
    <rPh sb="0" eb="2">
      <t>ヤマグチ</t>
    </rPh>
    <phoneticPr fontId="13"/>
  </si>
  <si>
    <t>阿波 博之</t>
    <rPh sb="0" eb="2">
      <t>アワ</t>
    </rPh>
    <rPh sb="3" eb="5">
      <t>ヒロユキ</t>
    </rPh>
    <phoneticPr fontId="13"/>
  </si>
  <si>
    <t>野田 530 ち 2927</t>
    <rPh sb="0" eb="2">
      <t>ノダ</t>
    </rPh>
    <phoneticPr fontId="13"/>
  </si>
  <si>
    <t>松浦 徹治</t>
    <rPh sb="0" eb="2">
      <t>マツウラ</t>
    </rPh>
    <rPh sb="3" eb="5">
      <t>テツハル</t>
    </rPh>
    <phoneticPr fontId="13"/>
  </si>
  <si>
    <t>WMWXT720702H91630</t>
    <phoneticPr fontId="13"/>
  </si>
  <si>
    <t>愛媛 336 さ 319</t>
    <rPh sb="0" eb="2">
      <t>エヒメ</t>
    </rPh>
    <phoneticPr fontId="13"/>
  </si>
  <si>
    <t>CX3 XDﾂｰﾘﾝｸﾞ</t>
    <phoneticPr fontId="13"/>
  </si>
  <si>
    <t>DK5FW-123410</t>
    <phoneticPr fontId="13"/>
  </si>
  <si>
    <t>ﾑｰﾌﾞｷｬﾝﾊﾞｽ Gﾌﾞﾗｯｸｲﾝﾃﾘｱ</t>
    <phoneticPr fontId="13"/>
  </si>
  <si>
    <t>LA800S-0224382</t>
    <phoneticPr fontId="13"/>
  </si>
  <si>
    <t>ﾃﾞｲｽﾞﾙｰｸｽ ﾊｲｳｪｲｽﾀｰG</t>
    <phoneticPr fontId="13"/>
  </si>
  <si>
    <t>B21A-0399818</t>
    <phoneticPr fontId="13"/>
  </si>
  <si>
    <t>保証書 取説 ｽﾍﾟｱｷｰ B-CAS</t>
    <rPh sb="0" eb="3">
      <t>ホショウショ</t>
    </rPh>
    <rPh sb="4" eb="6">
      <t>トリセツ</t>
    </rPh>
    <phoneticPr fontId="13"/>
  </si>
  <si>
    <t>ｽﾍﾟｰｼｱｶｽﾀﾑ XS</t>
    <phoneticPr fontId="13"/>
  </si>
  <si>
    <t>MK42S-631077</t>
    <phoneticPr fontId="13"/>
  </si>
  <si>
    <t>8/5/10</t>
    <phoneticPr fontId="13"/>
  </si>
  <si>
    <t>島根 580 み 7120</t>
    <rPh sb="0" eb="2">
      <t>シマネ</t>
    </rPh>
    <phoneticPr fontId="13"/>
  </si>
  <si>
    <t>MR41S-351460</t>
    <phoneticPr fontId="13"/>
  </si>
  <si>
    <t>ﾒﾙｾﾃﾞｽﾍﾞﾝﾂ Eｸﾗｽ E220d ｱﾊﾞﾝｷﾞｬﾙﾄ</t>
    <phoneticPr fontId="13"/>
  </si>
  <si>
    <t>WDD2130042A529621</t>
    <phoneticPr fontId="13"/>
  </si>
  <si>
    <t>神戸 304 や 1545</t>
    <rPh sb="0" eb="2">
      <t>コウベ</t>
    </rPh>
    <phoneticPr fontId="13"/>
  </si>
  <si>
    <t>WBA3B16020NP61276</t>
    <phoneticPr fontId="13"/>
  </si>
  <si>
    <t>ﾎﾞﾙﾎﾞ V40 ｸﾛｽｶﾝﾄﾘｰ D4</t>
    <phoneticPr fontId="13"/>
  </si>
  <si>
    <t>YV1MZA8RDK2172310</t>
    <phoneticPr fontId="13"/>
  </si>
  <si>
    <t>WMWXR320702L69216</t>
    <phoneticPr fontId="13"/>
  </si>
  <si>
    <t>大阪 340 ね 3298</t>
    <rPh sb="0" eb="2">
      <t>オオサカ</t>
    </rPh>
    <phoneticPr fontId="13"/>
  </si>
  <si>
    <t>品川 5X1 ろ 3377</t>
    <rPh sb="0" eb="2">
      <t>シナガワ</t>
    </rPh>
    <phoneticPr fontId="13"/>
  </si>
  <si>
    <t>品川 39A み 9091</t>
    <rPh sb="0" eb="2">
      <t>シナガワ</t>
    </rPh>
    <phoneticPr fontId="13"/>
  </si>
  <si>
    <t>DA17W-357600</t>
    <phoneticPr fontId="13"/>
  </si>
  <si>
    <t>10/1/5</t>
    <phoneticPr fontId="13"/>
  </si>
  <si>
    <t>和泉 791 い 1</t>
    <rPh sb="0" eb="2">
      <t>イズミ</t>
    </rPh>
    <phoneticPr fontId="13"/>
  </si>
  <si>
    <t>MR31S-206511</t>
    <phoneticPr fontId="13"/>
  </si>
  <si>
    <t>9/3/3</t>
    <phoneticPr fontId="13"/>
  </si>
  <si>
    <t>徳島 580 と 3811</t>
    <rPh sb="0" eb="2">
      <t>トクシマ</t>
    </rPh>
    <phoneticPr fontId="13"/>
  </si>
  <si>
    <t>ポルシェ ﾏｶﾝ S</t>
    <phoneticPr fontId="13"/>
  </si>
  <si>
    <t>WP1ZZZ95ZHLB25584</t>
    <phoneticPr fontId="13"/>
  </si>
  <si>
    <t>大阪 304 せ 5197</t>
    <rPh sb="0" eb="2">
      <t>オオサカ</t>
    </rPh>
    <phoneticPr fontId="13"/>
  </si>
  <si>
    <t>WMWXS520602G83667</t>
    <phoneticPr fontId="13"/>
  </si>
  <si>
    <t>北九州 301 な 6680</t>
    <rPh sb="0" eb="3">
      <t>キタキュウシュウ</t>
    </rPh>
    <phoneticPr fontId="13"/>
  </si>
  <si>
    <t>BMW X3 xdrive 20d Mｽﾎﾟｰﾂ</t>
    <phoneticPr fontId="13"/>
  </si>
  <si>
    <t>WBAWY320200N96663</t>
    <phoneticPr fontId="13"/>
  </si>
  <si>
    <t>福岡 330 て 8430</t>
    <rPh sb="0" eb="2">
      <t>フクオカ</t>
    </rPh>
    <phoneticPr fontId="13"/>
  </si>
  <si>
    <t>WVWZZZ3HZNE000153</t>
    <phoneticPr fontId="13"/>
  </si>
  <si>
    <t>9/6/20</t>
    <phoneticPr fontId="13"/>
  </si>
  <si>
    <t>福岡 348 ふ 3636</t>
    <rPh sb="0" eb="2">
      <t>フクオカ</t>
    </rPh>
    <phoneticPr fontId="13"/>
  </si>
  <si>
    <t>京都 581 て 4160</t>
    <rPh sb="0" eb="2">
      <t>キョウト</t>
    </rPh>
    <phoneticPr fontId="13"/>
  </si>
  <si>
    <t>小西 淳</t>
    <rPh sb="0" eb="2">
      <t>コニシ</t>
    </rPh>
    <rPh sb="3" eb="4">
      <t>ジュン</t>
    </rPh>
    <phoneticPr fontId="13"/>
  </si>
  <si>
    <t>10/19</t>
    <phoneticPr fontId="13"/>
  </si>
  <si>
    <t>WMWLU320302H63392</t>
    <phoneticPr fontId="13"/>
  </si>
  <si>
    <t>山下 綾子</t>
    <rPh sb="0" eb="2">
      <t>ヤマシタ</t>
    </rPh>
    <rPh sb="3" eb="5">
      <t>アヤコ</t>
    </rPh>
    <phoneticPr fontId="13"/>
  </si>
  <si>
    <t>保証書  取説 ｽﾍﾟｱｷｰ</t>
    <rPh sb="5" eb="7">
      <t>トリセツ</t>
    </rPh>
    <phoneticPr fontId="13"/>
  </si>
  <si>
    <t>山本 里司</t>
    <rPh sb="0" eb="2">
      <t>ヤマモト</t>
    </rPh>
    <rPh sb="3" eb="4">
      <t>サト</t>
    </rPh>
    <rPh sb="4" eb="5">
      <t>ツカサ</t>
    </rPh>
    <phoneticPr fontId="13"/>
  </si>
  <si>
    <t>地図SD(車内) 保証書 取説 ｽﾍﾟｱｷｰ</t>
    <rPh sb="0" eb="2">
      <t>チズ</t>
    </rPh>
    <rPh sb="9" eb="12">
      <t>ホショウショ</t>
    </rPh>
    <rPh sb="13" eb="15">
      <t>トリセツ</t>
    </rPh>
    <phoneticPr fontId="13"/>
  </si>
  <si>
    <t>27-1316</t>
  </si>
  <si>
    <t>27-1317</t>
  </si>
  <si>
    <t>27-1318</t>
  </si>
  <si>
    <t>27-1319</t>
  </si>
  <si>
    <t>27-1320</t>
  </si>
  <si>
    <t>ﾒﾙｾﾃﾞｽﾍﾞﾝﾂ A180ｽﾀｲﾙ AMGﾗｲﾝ</t>
    <phoneticPr fontId="13"/>
  </si>
  <si>
    <t>W1K1770842V055175</t>
    <phoneticPr fontId="13"/>
  </si>
  <si>
    <t>27-1321</t>
  </si>
  <si>
    <t>27-1322</t>
  </si>
  <si>
    <t>27-1323</t>
  </si>
  <si>
    <t>27-1324</t>
  </si>
  <si>
    <t>27-1325</t>
  </si>
  <si>
    <t>27-1326</t>
  </si>
  <si>
    <t>27-1327</t>
  </si>
  <si>
    <t>27-1328</t>
  </si>
  <si>
    <t>27-1329</t>
  </si>
  <si>
    <t>27-1330</t>
  </si>
  <si>
    <t>27-1331</t>
  </si>
  <si>
    <t>石田 怜</t>
    <rPh sb="0" eb="2">
      <t>イシダ</t>
    </rPh>
    <rPh sb="3" eb="4">
      <t>レイ</t>
    </rPh>
    <phoneticPr fontId="13"/>
  </si>
  <si>
    <t xml:space="preserve">保証書 取説 ﾅﾋﾞ取 </t>
    <rPh sb="0" eb="3">
      <t>ホショウショ</t>
    </rPh>
    <rPh sb="4" eb="6">
      <t>トリセツ</t>
    </rPh>
    <rPh sb="10" eb="11">
      <t>トリ</t>
    </rPh>
    <phoneticPr fontId="13"/>
  </si>
  <si>
    <t>品番；NSZP-X67D</t>
    <rPh sb="0" eb="2">
      <t>ヒンバン</t>
    </rPh>
    <phoneticPr fontId="13"/>
  </si>
  <si>
    <t>HA売非課税申告はいった</t>
    <rPh sb="2" eb="3">
      <t>ウ</t>
    </rPh>
    <rPh sb="3" eb="6">
      <t>ヒカゼイ</t>
    </rPh>
    <rPh sb="6" eb="8">
      <t>シンコク</t>
    </rPh>
    <phoneticPr fontId="13"/>
  </si>
  <si>
    <t>なにわ 586 き 8118</t>
    <phoneticPr fontId="13"/>
  </si>
  <si>
    <t>豆村自動車株式会社</t>
    <rPh sb="0" eb="1">
      <t>マメ</t>
    </rPh>
    <rPh sb="1" eb="2">
      <t>ムラ</t>
    </rPh>
    <rPh sb="2" eb="5">
      <t>ジドウシャ</t>
    </rPh>
    <rPh sb="5" eb="9">
      <t>カブシキガイシャ</t>
    </rPh>
    <phoneticPr fontId="13"/>
  </si>
  <si>
    <t>品川 48C ろ 9008</t>
    <rPh sb="0" eb="2">
      <t>シナガワ</t>
    </rPh>
    <phoneticPr fontId="13"/>
  </si>
  <si>
    <t>和泉 581 か 3853</t>
    <rPh sb="0" eb="2">
      <t>イズミ</t>
    </rPh>
    <phoneticPr fontId="13"/>
  </si>
  <si>
    <t>下岡 幸恵</t>
    <rPh sb="0" eb="2">
      <t>シモオカ</t>
    </rPh>
    <rPh sb="3" eb="5">
      <t>ユキエ</t>
    </rPh>
    <phoneticPr fontId="13"/>
  </si>
  <si>
    <t>浜中 隆二</t>
    <rPh sb="0" eb="2">
      <t>ハマナカ</t>
    </rPh>
    <rPh sb="3" eb="5">
      <t>リュウジ</t>
    </rPh>
    <phoneticPr fontId="13"/>
  </si>
  <si>
    <t>三河 581 す 872</t>
    <rPh sb="0" eb="2">
      <t>ミカワ</t>
    </rPh>
    <phoneticPr fontId="13"/>
  </si>
  <si>
    <t>宮本 達也</t>
    <rPh sb="0" eb="2">
      <t>ミヤモト</t>
    </rPh>
    <rPh sb="3" eb="5">
      <t>タツヤ</t>
    </rPh>
    <phoneticPr fontId="13"/>
  </si>
  <si>
    <t>名古屋 780 ろ 974</t>
    <rPh sb="0" eb="3">
      <t>ナゴヤ</t>
    </rPh>
    <phoneticPr fontId="13"/>
  </si>
  <si>
    <t>株式会社中電ｵｰﾄﾘｰｽ</t>
    <rPh sb="0" eb="4">
      <t>カブシキガイシャ</t>
    </rPh>
    <rPh sb="4" eb="6">
      <t>ナカデン</t>
    </rPh>
    <phoneticPr fontId="13"/>
  </si>
  <si>
    <t>横山 美保</t>
    <rPh sb="0" eb="2">
      <t>ヨコヤマ</t>
    </rPh>
    <rPh sb="3" eb="5">
      <t>ミホ</t>
    </rPh>
    <phoneticPr fontId="13"/>
  </si>
  <si>
    <t>株式会社ｵｰﾄｾﾝﾀｰ福知山</t>
    <rPh sb="0" eb="4">
      <t>カブシキガイシャ</t>
    </rPh>
    <rPh sb="11" eb="14">
      <t>フクチヤマ</t>
    </rPh>
    <phoneticPr fontId="13"/>
  </si>
  <si>
    <t>保証書  取説 ｷｰﾚｽ ﾜﾝｵｰﾅｰ</t>
    <rPh sb="5" eb="7">
      <t>トリセツ</t>
    </rPh>
    <phoneticPr fontId="13"/>
  </si>
  <si>
    <t>取説 ﾅﾋﾞ取 整備手帳 ｷｰﾚｽ</t>
    <rPh sb="0" eb="2">
      <t>トリセツ</t>
    </rPh>
    <rPh sb="6" eb="7">
      <t>トリ</t>
    </rPh>
    <rPh sb="8" eb="12">
      <t>セイビテチョウ</t>
    </rPh>
    <phoneticPr fontId="13"/>
  </si>
  <si>
    <t>京都 331 ち 1813</t>
    <rPh sb="0" eb="2">
      <t>キョウト</t>
    </rPh>
    <phoneticPr fontId="13"/>
  </si>
  <si>
    <t>神戸 39A せ 7406</t>
    <rPh sb="0" eb="2">
      <t>コウベ</t>
    </rPh>
    <phoneticPr fontId="13"/>
  </si>
  <si>
    <t>株式会社ﾊﾞﾙｺﾑﾓｰﾀｰｽ</t>
    <rPh sb="0" eb="4">
      <t>カブシキガイシャ</t>
    </rPh>
    <phoneticPr fontId="13"/>
  </si>
  <si>
    <t>ｱﾙｽﾀｰｵｰﾄ株式会社</t>
    <rPh sb="8" eb="12">
      <t>カブシキガイシャ</t>
    </rPh>
    <phoneticPr fontId="13"/>
  </si>
  <si>
    <t>USS神戸(ﾜﾝｸﾘ)</t>
    <phoneticPr fontId="13"/>
  </si>
  <si>
    <t>山口 301 せ 5734</t>
    <rPh sb="0" eb="2">
      <t>ヤマグチ</t>
    </rPh>
    <phoneticPr fontId="13"/>
  </si>
  <si>
    <t>株式会社ﾎﾝﾀﾞｶｰｽﾞ光東</t>
    <rPh sb="0" eb="4">
      <t>カブシキガイシャ</t>
    </rPh>
    <rPh sb="12" eb="13">
      <t>ミツ</t>
    </rPh>
    <rPh sb="13" eb="14">
      <t>ヒガシ</t>
    </rPh>
    <phoneticPr fontId="13"/>
  </si>
  <si>
    <t>取説 ｷｰﾚｽ→ｽﾄｯｸ</t>
    <rPh sb="0" eb="2">
      <t>トリセツ</t>
    </rPh>
    <phoneticPr fontId="13"/>
  </si>
  <si>
    <t>取説(車内)ｷｰﾚｽ</t>
    <rPh sb="0" eb="2">
      <t>トリセツ</t>
    </rPh>
    <phoneticPr fontId="13"/>
  </si>
  <si>
    <t>有限会社岡野商会</t>
    <rPh sb="0" eb="4">
      <t>ユウゲンガイシャ</t>
    </rPh>
    <rPh sb="4" eb="6">
      <t>オカノ</t>
    </rPh>
    <rPh sb="6" eb="8">
      <t>ショウカイ</t>
    </rPh>
    <phoneticPr fontId="13"/>
  </si>
  <si>
    <t>村上 知寛</t>
    <rPh sb="0" eb="2">
      <t>ムラカミ</t>
    </rPh>
    <rPh sb="3" eb="4">
      <t>チ</t>
    </rPh>
    <rPh sb="4" eb="5">
      <t>ヒロ</t>
    </rPh>
    <phoneticPr fontId="13"/>
  </si>
  <si>
    <t>ｳｴｽﾄｵｰﾄｻｰﾋﾞｽ株式会社</t>
    <rPh sb="12" eb="16">
      <t>カブシキガイシャ</t>
    </rPh>
    <phoneticPr fontId="13"/>
  </si>
  <si>
    <t>京都 589 い 13</t>
    <rPh sb="0" eb="2">
      <t>キョウト</t>
    </rPh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</si>
  <si>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</si>
  <si>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品番；CN-RE03WD</t>
    <rPh sb="0" eb="2">
      <t>ヒンバン</t>
    </rPh>
    <phoneticPr fontId="13"/>
  </si>
  <si>
    <t>品番；MM321D-LM</t>
    <rPh sb="0" eb="2">
      <t>ヒンバン</t>
    </rPh>
    <phoneticPr fontId="13"/>
  </si>
  <si>
    <t>27-1332</t>
  </si>
  <si>
    <t>27-1333</t>
  </si>
  <si>
    <t>27-1334</t>
  </si>
  <si>
    <t>27-1335</t>
  </si>
  <si>
    <t>27-1336</t>
  </si>
  <si>
    <t>27-1337</t>
  </si>
  <si>
    <t>27-1338</t>
  </si>
  <si>
    <t>27-1339</t>
  </si>
  <si>
    <t>27-1340</t>
  </si>
  <si>
    <t>B38A-0517364</t>
    <phoneticPr fontId="13"/>
  </si>
  <si>
    <t>HFC26-228513</t>
    <phoneticPr fontId="13"/>
  </si>
  <si>
    <t>RP3-1117379</t>
    <phoneticPr fontId="13"/>
  </si>
  <si>
    <t>MR52S-123039</t>
    <phoneticPr fontId="13"/>
  </si>
  <si>
    <t>MXPJ10-2011005</t>
    <phoneticPr fontId="13"/>
  </si>
  <si>
    <t>LA250S-0165906</t>
    <phoneticPr fontId="13"/>
  </si>
  <si>
    <t>MXPL10-1071807</t>
    <phoneticPr fontId="13"/>
  </si>
  <si>
    <t>MK53S-949253</t>
    <phoneticPr fontId="13"/>
  </si>
  <si>
    <t>ZRR80-0022040</t>
    <phoneticPr fontId="13"/>
  </si>
  <si>
    <t>ｾﾚﾅ S ﾊｲﾌﾞﾘｯﾄﾞ  ﾊｲｳｪｲS</t>
    <phoneticPr fontId="13"/>
  </si>
  <si>
    <t>保証書 取説  12月末名変</t>
    <rPh sb="0" eb="3">
      <t>ホショウショ</t>
    </rPh>
    <rPh sb="4" eb="6">
      <t>トリセツ</t>
    </rPh>
    <rPh sb="10" eb="11">
      <t>ガツ</t>
    </rPh>
    <rPh sb="11" eb="12">
      <t>マツ</t>
    </rPh>
    <rPh sb="12" eb="14">
      <t>メイヘン</t>
    </rPh>
    <phoneticPr fontId="13"/>
  </si>
  <si>
    <t>保証書  取説  12月末名変</t>
    <rPh sb="5" eb="7">
      <t>トリセツ</t>
    </rPh>
    <rPh sb="11" eb="12">
      <t>ガツ</t>
    </rPh>
    <rPh sb="12" eb="13">
      <t>マツ</t>
    </rPh>
    <rPh sb="13" eb="15">
      <t>メイヘン</t>
    </rPh>
    <phoneticPr fontId="13"/>
  </si>
  <si>
    <t>保証書 取説  11月末名変</t>
    <rPh sb="0" eb="3">
      <t>ホショウショ</t>
    </rPh>
    <rPh sb="4" eb="6">
      <t>トリセツ</t>
    </rPh>
    <rPh sb="10" eb="11">
      <t>ガツ</t>
    </rPh>
    <rPh sb="11" eb="12">
      <t>マツ</t>
    </rPh>
    <rPh sb="12" eb="14">
      <t>メイヘン</t>
    </rPh>
    <phoneticPr fontId="13"/>
  </si>
  <si>
    <t>ﾊｽﾗｰ J ｽﾀｲﾙﾀｰﾎﾞ</t>
    <phoneticPr fontId="13"/>
  </si>
  <si>
    <t>ﾔﾘｽｸﾛｽﾊｲﾌﾞﾘｯﾄﾞ Z</t>
    <phoneticPr fontId="13"/>
  </si>
  <si>
    <t>ｷｬｽﾄ ｽﾀｲﾙ G ﾘﾐﾃｯﾄﾞ</t>
    <phoneticPr fontId="13"/>
  </si>
  <si>
    <t>保証書 ﾅﾋﾞ取  11月末名変</t>
    <rPh sb="0" eb="3">
      <t>ホショウショ</t>
    </rPh>
    <rPh sb="7" eb="8">
      <t>トリ</t>
    </rPh>
    <rPh sb="12" eb="16">
      <t>ガツマツメイヘン</t>
    </rPh>
    <phoneticPr fontId="13"/>
  </si>
  <si>
    <t>ｼｴﾝﾀ ﾊｲﾌﾞﾘｯﾄﾞZ</t>
    <phoneticPr fontId="13"/>
  </si>
  <si>
    <t>ｳﾞｫｸｼｰ ZS</t>
    <phoneticPr fontId="13"/>
  </si>
  <si>
    <t>取説  1月末名変</t>
    <rPh sb="0" eb="2">
      <t>トリセツ</t>
    </rPh>
    <rPh sb="5" eb="9">
      <t>ガツマツメイヘン</t>
    </rPh>
    <phoneticPr fontId="13"/>
  </si>
  <si>
    <t xml:space="preserve">BMWﾐﾆﾜﾝ </t>
    <phoneticPr fontId="13"/>
  </si>
  <si>
    <t>WMWXU52070TH94765</t>
    <phoneticPr fontId="13"/>
  </si>
  <si>
    <t>ｱｳﾃﾞｨA4 45TFSI ｸﾜﾄﾛﾏｲｽﾀ</t>
    <phoneticPr fontId="13"/>
  </si>
  <si>
    <t>WAUZZZF47KA107231</t>
    <phoneticPr fontId="13"/>
  </si>
  <si>
    <t>ｽﾏｰﾄｷｰ車内確認 取説</t>
    <rPh sb="6" eb="8">
      <t>シャナイ</t>
    </rPh>
    <rPh sb="8" eb="10">
      <t>カクニン</t>
    </rPh>
    <rPh sb="11" eb="13">
      <t>トリセツ</t>
    </rPh>
    <phoneticPr fontId="13"/>
  </si>
  <si>
    <t>和歌山 330 な 7856</t>
    <rPh sb="0" eb="3">
      <t>ワカヤマ</t>
    </rPh>
    <phoneticPr fontId="13"/>
  </si>
  <si>
    <t>2008 ﾜｺﾞﾝ</t>
    <phoneticPr fontId="13"/>
  </si>
  <si>
    <t>姫路 330 す 7079</t>
    <rPh sb="0" eb="2">
      <t>ヒメジ</t>
    </rPh>
    <phoneticPr fontId="13"/>
  </si>
  <si>
    <t>ﾎﾝﾀﾞ九州</t>
    <rPh sb="4" eb="6">
      <t>キュウシュウ</t>
    </rPh>
    <phoneticPr fontId="13"/>
  </si>
  <si>
    <t>ｼﾞｰﾌﾟ ﾚﾈｹﾞｰﾄ LTD</t>
    <phoneticPr fontId="13"/>
  </si>
  <si>
    <t>1C4NJCD16MPN16058</t>
    <phoneticPr fontId="13"/>
  </si>
  <si>
    <t>福岡 364 て 330</t>
    <rPh sb="0" eb="2">
      <t>フクオカ</t>
    </rPh>
    <phoneticPr fontId="13"/>
  </si>
  <si>
    <t>A306923</t>
    <phoneticPr fontId="13"/>
  </si>
  <si>
    <t>AGH30-0069835</t>
    <phoneticPr fontId="13"/>
  </si>
  <si>
    <t>A307794</t>
    <phoneticPr fontId="13"/>
  </si>
  <si>
    <t>MXPJ10-2030251</t>
    <phoneticPr fontId="13"/>
  </si>
  <si>
    <t>A306956</t>
    <phoneticPr fontId="13"/>
  </si>
  <si>
    <t>MK53S-640791</t>
    <phoneticPr fontId="13"/>
  </si>
  <si>
    <t>A306115</t>
    <phoneticPr fontId="13"/>
  </si>
  <si>
    <t>AWS210-6079465</t>
    <phoneticPr fontId="13"/>
  </si>
  <si>
    <t>A306848</t>
    <phoneticPr fontId="13"/>
  </si>
  <si>
    <t>RT6-1300598</t>
    <phoneticPr fontId="13"/>
  </si>
  <si>
    <t>ｳﾞｪﾙﾌｧｲｱ 2.5X</t>
    <phoneticPr fontId="13"/>
  </si>
  <si>
    <t>9/4/19</t>
    <phoneticPr fontId="13"/>
  </si>
  <si>
    <t>8/8/18</t>
    <phoneticPr fontId="13"/>
  </si>
  <si>
    <t>ｸﾗｳﾝﾊｲﾌﾞﾘｯﾄﾞ ｱｽﾘｰﾄG</t>
    <phoneticPr fontId="13"/>
  </si>
  <si>
    <t>8/2/5</t>
    <phoneticPr fontId="13"/>
  </si>
  <si>
    <t>CR-V ﾊｲﾌﾞﾘｯﾄﾞ e；HEV FX</t>
    <phoneticPr fontId="13"/>
  </si>
  <si>
    <t>BMW 5ｼﾘｰｽﾞ ﾂｰﾘﾝｸﾞ 528iMｽﾎﾟｰﾂ</t>
    <phoneticPr fontId="13"/>
  </si>
  <si>
    <t>WBA5G52050D181517</t>
    <phoneticPr fontId="13"/>
  </si>
  <si>
    <t>神戸 303 ま 1611</t>
    <rPh sb="0" eb="2">
      <t>コウベ</t>
    </rPh>
    <phoneticPr fontId="13"/>
  </si>
  <si>
    <t>27-1341</t>
  </si>
  <si>
    <t>27-1342</t>
  </si>
  <si>
    <t>27-1343</t>
  </si>
  <si>
    <t>27-1344</t>
  </si>
  <si>
    <t>27-1345</t>
  </si>
  <si>
    <t>27-1346</t>
  </si>
  <si>
    <t>27-1347</t>
  </si>
  <si>
    <t>27-1348</t>
  </si>
  <si>
    <t>27-1349</t>
  </si>
  <si>
    <t>27-1350</t>
  </si>
  <si>
    <t>27-1351</t>
  </si>
  <si>
    <t>CX5 25TLﾊﾟｯｹｰｼﾞ</t>
    <phoneticPr fontId="13"/>
  </si>
  <si>
    <t>ｱﾙﾌｧｰﾄﾞ S Aﾊﾟｯｹｰｼﾞ</t>
    <phoneticPr fontId="13"/>
  </si>
  <si>
    <t>保証書 取説  2月末名変</t>
    <rPh sb="0" eb="3">
      <t>ホショウショ</t>
    </rPh>
    <rPh sb="4" eb="6">
      <t>トリセツ</t>
    </rPh>
    <rPh sb="9" eb="10">
      <t>ガツ</t>
    </rPh>
    <rPh sb="10" eb="13">
      <t>マツメイヘン</t>
    </rPh>
    <phoneticPr fontId="13"/>
  </si>
  <si>
    <t>ﾌﾟﾘｳｽ X</t>
    <phoneticPr fontId="13"/>
  </si>
  <si>
    <t>保証書  1月末名変</t>
    <rPh sb="0" eb="3">
      <t>ホショウショ</t>
    </rPh>
    <rPh sb="6" eb="10">
      <t>ガツマツメイヘン</t>
    </rPh>
    <phoneticPr fontId="13"/>
  </si>
  <si>
    <t>TAA売 付属品車内？</t>
    <rPh sb="3" eb="4">
      <t>ウ</t>
    </rPh>
    <rPh sb="5" eb="8">
      <t>フゾクヒン</t>
    </rPh>
    <rPh sb="8" eb="10">
      <t>シャナイ</t>
    </rPh>
    <phoneticPr fontId="13"/>
  </si>
  <si>
    <t>愛媛 581 え 5136</t>
    <rPh sb="0" eb="2">
      <t>エヒメ</t>
    </rPh>
    <phoneticPr fontId="13"/>
  </si>
  <si>
    <t>株式会社ﾎﾝﾀﾞｶｰｽﾞ中央愛媛</t>
    <rPh sb="0" eb="4">
      <t>カブシキガイシャ</t>
    </rPh>
    <rPh sb="12" eb="14">
      <t>チュウオウ</t>
    </rPh>
    <rPh sb="14" eb="16">
      <t>エヒメ</t>
    </rPh>
    <phoneticPr fontId="13"/>
  </si>
  <si>
    <t>豊橋 581 け 2445</t>
    <rPh sb="0" eb="2">
      <t>トヨハシ</t>
    </rPh>
    <phoneticPr fontId="13"/>
  </si>
  <si>
    <t>愛媛 480 に 6925</t>
    <rPh sb="0" eb="2">
      <t>エヒメ</t>
    </rPh>
    <phoneticPr fontId="13"/>
  </si>
  <si>
    <t>出雲 480 あ 8530</t>
    <rPh sb="0" eb="2">
      <t>イヅモ</t>
    </rPh>
    <phoneticPr fontId="13"/>
  </si>
  <si>
    <t>倉敷 581 ろ 5959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</si>
  <si>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</si>
  <si>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長野 480 と 6674</t>
    <rPh sb="0" eb="2">
      <t>ナガノ</t>
    </rPh>
    <phoneticPr fontId="13"/>
  </si>
  <si>
    <t>武捨 徳治</t>
    <rPh sb="0" eb="1">
      <t>ム</t>
    </rPh>
    <rPh sb="1" eb="2">
      <t>シャ</t>
    </rPh>
    <rPh sb="3" eb="4">
      <t>トク</t>
    </rPh>
    <rPh sb="4" eb="5">
      <t>ナオ</t>
    </rPh>
    <phoneticPr fontId="13"/>
  </si>
  <si>
    <t>相模 585 い 8118</t>
    <rPh sb="0" eb="1">
      <t>アイ</t>
    </rPh>
    <rPh sb="1" eb="2">
      <t>モ</t>
    </rPh>
    <phoneticPr fontId="13"/>
  </si>
  <si>
    <t>上床 あや</t>
    <rPh sb="0" eb="1">
      <t>ウエ</t>
    </rPh>
    <rPh sb="1" eb="2">
      <t>ユカ</t>
    </rPh>
    <phoneticPr fontId="13"/>
  </si>
  <si>
    <t>LA600S-0683786</t>
    <phoneticPr fontId="13"/>
  </si>
  <si>
    <t>保証書  取説  ｽﾏｰﾄｷｰ</t>
    <rPh sb="5" eb="7">
      <t>トリセツ</t>
    </rPh>
    <phoneticPr fontId="13"/>
  </si>
  <si>
    <t>DA17W-310210</t>
    <phoneticPr fontId="13"/>
  </si>
  <si>
    <t>ｱﾙﾄﾗﾊﾟﾝ S</t>
    <phoneticPr fontId="13"/>
  </si>
  <si>
    <t>HE33S-236561</t>
    <phoneticPr fontId="13"/>
  </si>
  <si>
    <t>MR41S-264257</t>
    <phoneticPr fontId="13"/>
  </si>
  <si>
    <t>DA17V-677758</t>
    <phoneticPr fontId="13"/>
  </si>
  <si>
    <t>保証書 取説 ﾅﾋﾞ取 ﾅﾝﾊﾞｰ</t>
    <rPh sb="0" eb="3">
      <t>ホショウショ</t>
    </rPh>
    <rPh sb="4" eb="6">
      <t>トリセツ</t>
    </rPh>
    <rPh sb="10" eb="11">
      <t>トリ</t>
    </rPh>
    <phoneticPr fontId="13"/>
  </si>
  <si>
    <t>MX91S-158387</t>
    <phoneticPr fontId="13"/>
  </si>
  <si>
    <t>MN71S-163689</t>
    <phoneticPr fontId="13"/>
  </si>
  <si>
    <t>大阪 504 ま 47</t>
    <rPh sb="0" eb="2">
      <t>オオサカ</t>
    </rPh>
    <phoneticPr fontId="13"/>
  </si>
  <si>
    <t>ZFANF2D12MP920543</t>
    <phoneticPr fontId="13"/>
  </si>
  <si>
    <t>ﾊｽﾗｰXﾀｰﾎﾞ</t>
    <phoneticPr fontId="13"/>
  </si>
  <si>
    <t>MR31S-837493</t>
    <phoneticPr fontId="13"/>
  </si>
  <si>
    <t>MK53S-067764</t>
    <phoneticPr fontId="13"/>
  </si>
  <si>
    <t>香川 580 わ 7578</t>
    <phoneticPr fontId="13"/>
  </si>
  <si>
    <t>保証書  取説  予備ｷｰ ﾚﾝﾀｶｰ</t>
    <rPh sb="5" eb="7">
      <t>トリセツ</t>
    </rPh>
    <rPh sb="9" eb="11">
      <t>ヨビ</t>
    </rPh>
    <phoneticPr fontId="13"/>
  </si>
  <si>
    <t>22/10</t>
    <phoneticPr fontId="13"/>
  </si>
  <si>
    <t>ジムニー 4WD</t>
    <phoneticPr fontId="13"/>
  </si>
  <si>
    <t>JB23W-650886</t>
    <phoneticPr fontId="13"/>
  </si>
  <si>
    <t>LA900S-0093820</t>
    <phoneticPr fontId="13"/>
  </si>
  <si>
    <t>徳島 584 な 193</t>
    <rPh sb="0" eb="2">
      <t>トクシマ</t>
    </rPh>
    <phoneticPr fontId="13"/>
  </si>
  <si>
    <t>ｱｳﾃﾞｨQ2 30 TFSIｽﾎﾟｰﾂ</t>
    <phoneticPr fontId="13"/>
  </si>
  <si>
    <t>WAUZZZGA4LA004306</t>
    <phoneticPr fontId="13"/>
  </si>
  <si>
    <t>香川 334 さ 102</t>
    <rPh sb="0" eb="2">
      <t>カガワ</t>
    </rPh>
    <phoneticPr fontId="13"/>
  </si>
  <si>
    <t>ｴﾌﾞﾘｲ PC 4WD</t>
    <phoneticPr fontId="13"/>
  </si>
  <si>
    <t>DA17V-651384</t>
    <phoneticPr fontId="13"/>
  </si>
  <si>
    <t>保証書 取説 予備ｷｰ ﾅﾝﾊﾞｰ</t>
    <rPh sb="0" eb="3">
      <t>ホショウショ</t>
    </rPh>
    <rPh sb="4" eb="6">
      <t>トリセツ</t>
    </rPh>
    <rPh sb="7" eb="9">
      <t>ヨビ</t>
    </rPh>
    <phoneticPr fontId="13"/>
  </si>
  <si>
    <t>JF1-1503813</t>
    <phoneticPr fontId="13"/>
  </si>
  <si>
    <t>ｷｬﾝｾﾙ 書類返送10/21</t>
    <rPh sb="6" eb="8">
      <t>ショルイ</t>
    </rPh>
    <rPh sb="8" eb="10">
      <t>ヘンソウ</t>
    </rPh>
    <phoneticPr fontId="13"/>
  </si>
  <si>
    <t>27-1352</t>
  </si>
  <si>
    <t>27-1353</t>
  </si>
  <si>
    <t>27-1354</t>
  </si>
  <si>
    <t>KF5P-303375</t>
    <phoneticPr fontId="13"/>
  </si>
  <si>
    <t>AGH30-0182861</t>
    <phoneticPr fontId="13"/>
  </si>
  <si>
    <t>ZVW60-4009986</t>
    <phoneticPr fontId="13"/>
  </si>
  <si>
    <t>MH23S-746962</t>
    <phoneticPr fontId="13"/>
  </si>
  <si>
    <t>VW Tﾛｯｸ TDI</t>
    <phoneticPr fontId="13"/>
  </si>
  <si>
    <t>WVGZZZA1ZMV122213</t>
    <phoneticPr fontId="13"/>
  </si>
  <si>
    <t>北九州 330 な 8577</t>
    <rPh sb="0" eb="3">
      <t>キタキュウシュウ</t>
    </rPh>
    <phoneticPr fontId="13"/>
  </si>
  <si>
    <t>初年月違う5/7月 ｸﾚｰﾑ済 HAAそのまま送る</t>
    <phoneticPr fontId="13"/>
  </si>
  <si>
    <t xml:space="preserve">取説 ｷｰﾚｽ(車内) 保証書 </t>
    <rPh sb="0" eb="2">
      <t>トリセツ</t>
    </rPh>
    <rPh sb="12" eb="15">
      <t>ホショウショ</t>
    </rPh>
    <phoneticPr fontId="13"/>
  </si>
  <si>
    <t>HAA売ｷｬﾝｾﾙ1271回80123</t>
    <rPh sb="3" eb="4">
      <t>ウ</t>
    </rPh>
    <rPh sb="13" eb="14">
      <t>カイ</t>
    </rPh>
    <phoneticPr fontId="13"/>
  </si>
  <si>
    <r>
      <t>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Ph sb="0" eb="3">
      <t>ホショウショ</t>
    </rPh>
    <rPh sb="4" eb="6">
      <t>トリセツ</t>
    </rPh>
    <phoneticPr fontId="13"/>
  </si>
  <si>
    <t>保証書 取説 ｽﾍﾟｱｷｰ  免税車</t>
    <rPh sb="0" eb="3">
      <t>ホショウショ</t>
    </rPh>
    <rPh sb="4" eb="6">
      <t>トリセツ</t>
    </rPh>
    <rPh sb="15" eb="18">
      <t>メンゼイシャ</t>
    </rPh>
    <phoneticPr fontId="13"/>
  </si>
  <si>
    <t>高知 330 て 676</t>
    <rPh sb="0" eb="2">
      <t>コウチ</t>
    </rPh>
    <phoneticPr fontId="13"/>
  </si>
  <si>
    <t>藤原 房子</t>
    <rPh sb="0" eb="2">
      <t>フジワラ</t>
    </rPh>
    <rPh sb="3" eb="5">
      <t>フサコ</t>
    </rPh>
    <phoneticPr fontId="13"/>
  </si>
  <si>
    <t>10/23</t>
    <phoneticPr fontId="13"/>
  </si>
  <si>
    <t>27-1355</t>
  </si>
  <si>
    <t>27-1356</t>
  </si>
  <si>
    <t>27-1357</t>
  </si>
  <si>
    <t>27-1358</t>
  </si>
  <si>
    <t>27-1359</t>
  </si>
  <si>
    <t>27-1360</t>
  </si>
  <si>
    <t>27-1361</t>
  </si>
  <si>
    <t>27-1362</t>
  </si>
  <si>
    <t>27-1363</t>
  </si>
  <si>
    <t>27-1364</t>
  </si>
  <si>
    <t>27-1365</t>
  </si>
  <si>
    <t>27-1366</t>
  </si>
  <si>
    <t>27-1367</t>
  </si>
  <si>
    <t>27-1368</t>
  </si>
  <si>
    <t>27-1369</t>
  </si>
  <si>
    <t>27-1370</t>
  </si>
  <si>
    <t>27-1371</t>
  </si>
  <si>
    <t>USSｰR名古屋</t>
    <rPh sb="5" eb="8">
      <t>ナゴヤ</t>
    </rPh>
    <phoneticPr fontId="13"/>
  </si>
  <si>
    <t>27-1372</t>
  </si>
  <si>
    <t>27-1373</t>
  </si>
  <si>
    <t>27-1374</t>
  </si>
  <si>
    <t>27-1375</t>
  </si>
  <si>
    <t>ﾑｰﾌﾞ L ｽﾏｰﾄｾﾚｸｼｮﾝSA</t>
    <phoneticPr fontId="13"/>
  </si>
  <si>
    <t>LA100S-0295661</t>
    <phoneticPr fontId="13"/>
  </si>
  <si>
    <t>ﾜｺﾞﾝR ｶｽﾀﾑ Z ﾊｲﾌﾞﾘｯﾄﾞZX</t>
    <phoneticPr fontId="13"/>
  </si>
  <si>
    <t>MH95S-278374</t>
    <phoneticPr fontId="13"/>
  </si>
  <si>
    <t>ｱﾙﾄﾗﾊﾟﾝ  T Lﾊﾟｯｹｰｼﾞ</t>
    <phoneticPr fontId="13"/>
  </si>
  <si>
    <t>HE22S-850036</t>
    <phoneticPr fontId="13"/>
  </si>
  <si>
    <t>HE33S-164743</t>
    <phoneticPr fontId="13"/>
  </si>
  <si>
    <t>27-1376</t>
  </si>
  <si>
    <t>27-1377</t>
  </si>
  <si>
    <t>27-1378</t>
  </si>
  <si>
    <t>27-1379</t>
  </si>
  <si>
    <t>日産ﾌﾟﾗｻﾞｿﾙ大阪(ｱｲｵｰｸ)</t>
    <rPh sb="0" eb="2">
      <t>ニッサン</t>
    </rPh>
    <rPh sb="9" eb="11">
      <t>オオサカ</t>
    </rPh>
    <phoneticPr fontId="13"/>
  </si>
  <si>
    <t>MG33S-148043</t>
    <phoneticPr fontId="13"/>
  </si>
  <si>
    <t>27-1380</t>
  </si>
  <si>
    <t>27-1381</t>
  </si>
  <si>
    <t>27-1382</t>
  </si>
  <si>
    <t>27-1383</t>
  </si>
  <si>
    <t>NCP160-0150638</t>
    <phoneticPr fontId="13"/>
  </si>
  <si>
    <t>LA350S-0216572</t>
    <phoneticPr fontId="13"/>
  </si>
  <si>
    <t>JF5-5006587</t>
    <phoneticPr fontId="13"/>
  </si>
  <si>
    <t>JF5-1136423</t>
    <phoneticPr fontId="13"/>
  </si>
  <si>
    <t>B11W-0217400</t>
    <phoneticPr fontId="13"/>
  </si>
  <si>
    <t>JF5-1013251</t>
    <phoneticPr fontId="13"/>
  </si>
  <si>
    <t>JF5-1013295</t>
    <phoneticPr fontId="13"/>
  </si>
  <si>
    <t>27-1384</t>
  </si>
  <si>
    <t>ﾐﾗｲｰｽ  G ﾘﾐﾃｯﾄﾞ SA3</t>
    <phoneticPr fontId="13"/>
  </si>
  <si>
    <t>LA350S-0397960</t>
    <phoneticPr fontId="13"/>
  </si>
  <si>
    <t>27-1385</t>
  </si>
  <si>
    <t>27-1386</t>
  </si>
  <si>
    <t>27-1387</t>
  </si>
  <si>
    <t>27-1388</t>
  </si>
  <si>
    <t>27-1389</t>
  </si>
  <si>
    <t>HE22S-190887</t>
    <phoneticPr fontId="13"/>
  </si>
  <si>
    <t>LA700S-0085111</t>
    <phoneticPr fontId="13"/>
  </si>
  <si>
    <t>WMWXS520502C90100</t>
    <phoneticPr fontId="13"/>
  </si>
  <si>
    <t>WMWXU72020TN29826</t>
    <phoneticPr fontId="13"/>
  </si>
  <si>
    <t>三河 581 い 5395</t>
    <rPh sb="0" eb="2">
      <t>ミカワ</t>
    </rPh>
    <phoneticPr fontId="13"/>
  </si>
  <si>
    <t>ｳｪｲｸ G ﾀｰﾎﾞSA2</t>
    <phoneticPr fontId="13"/>
  </si>
  <si>
    <t>金沢 300 ま 34</t>
    <rPh sb="0" eb="2">
      <t>カナザワ</t>
    </rPh>
    <phoneticPr fontId="13"/>
  </si>
  <si>
    <t>取説 予備ｷｰ</t>
    <rPh sb="0" eb="2">
      <t>トリセツ</t>
    </rPh>
    <rPh sb="3" eb="5">
      <t>ヨビ</t>
    </rPh>
    <phoneticPr fontId="13"/>
  </si>
  <si>
    <t>三河 330 さ 8232</t>
    <rPh sb="0" eb="2">
      <t>ミカワ</t>
    </rPh>
    <phoneticPr fontId="13"/>
  </si>
  <si>
    <t>ﾌﾟﾛﾎﾞｯｸｽﾊﾞﾝ F</t>
    <phoneticPr fontId="13"/>
  </si>
  <si>
    <t>ﾐﾗｲｰｽ  L SA3</t>
    <phoneticPr fontId="13"/>
  </si>
  <si>
    <t>N-BOX JOY</t>
    <phoneticPr fontId="13"/>
  </si>
  <si>
    <t>ekｶｽﾀﾑ G ｾｰﾌﾃｨﾊﾟｯｹｰｼﾞ</t>
    <phoneticPr fontId="13"/>
  </si>
  <si>
    <t>福岡 582 ぬ 4345</t>
    <rPh sb="0" eb="2">
      <t>フクオカ</t>
    </rPh>
    <phoneticPr fontId="13"/>
  </si>
  <si>
    <t>福岡 582 ぬ 4357</t>
    <rPh sb="0" eb="2">
      <t>フクオカ</t>
    </rPh>
    <phoneticPr fontId="13"/>
  </si>
  <si>
    <t>ﾌﾟｼﾞｮｰ 3008 ﾌﾞﾙｰHdi ｽﾍﾟｼｬﾙｴﾃﾞｨｼｮﾝ</t>
    <phoneticPr fontId="13"/>
  </si>
  <si>
    <t>VF3MJAHWWJS155161</t>
    <phoneticPr fontId="13"/>
  </si>
  <si>
    <t>9/6/2</t>
    <phoneticPr fontId="13"/>
  </si>
  <si>
    <t>7/12/12</t>
    <phoneticPr fontId="13"/>
  </si>
  <si>
    <t>名古屋 58A え 5426</t>
    <rPh sb="0" eb="3">
      <t>ナゴヤ</t>
    </rPh>
    <phoneticPr fontId="13"/>
  </si>
  <si>
    <t>27-1390</t>
  </si>
  <si>
    <t>27-1391</t>
  </si>
  <si>
    <t>27-1392</t>
  </si>
  <si>
    <t>27-1393</t>
  </si>
  <si>
    <t>ジムニー ﾀｰﾎﾞ ﾗﾝﾄﾞﾍﾞﾝﾁｬｰ</t>
    <phoneticPr fontId="13"/>
  </si>
  <si>
    <t>JB23W-756734</t>
    <phoneticPr fontId="13"/>
  </si>
  <si>
    <t>保証書  取説  ｽﾍﾟｱｷｰ</t>
    <rPh sb="5" eb="7">
      <t>トリセツ</t>
    </rPh>
    <phoneticPr fontId="13"/>
  </si>
  <si>
    <t>ﾊｽﾗｰ ﾊｲﾌﾞﾘｯﾄﾞX</t>
    <phoneticPr fontId="13"/>
  </si>
  <si>
    <t>MR92S-526931</t>
    <phoneticPr fontId="13"/>
  </si>
  <si>
    <t>10/6/26</t>
    <phoneticPr fontId="13"/>
  </si>
  <si>
    <t>ｽｸﾗﾑﾜｺﾞﾝ PZﾀｰﾎﾞ</t>
    <phoneticPr fontId="13"/>
  </si>
  <si>
    <t>DG17W-200181</t>
    <phoneticPr fontId="13"/>
  </si>
  <si>
    <t>神戸 58A え 9515</t>
    <rPh sb="0" eb="2">
      <t>コウベ</t>
    </rPh>
    <phoneticPr fontId="13"/>
  </si>
  <si>
    <t xml:space="preserve">ｽﾏｰﾄｷｰ車内確認 保証書 地図SD </t>
    <rPh sb="6" eb="8">
      <t>シャナイ</t>
    </rPh>
    <rPh sb="8" eb="10">
      <t>カクニン</t>
    </rPh>
    <rPh sb="11" eb="14">
      <t>ホショウショ</t>
    </rPh>
    <rPh sb="15" eb="17">
      <t>チズ</t>
    </rPh>
    <phoneticPr fontId="13"/>
  </si>
  <si>
    <t>ｷｬﾘｰﾄﾗｯｸ KCｴｱｺﾝ</t>
    <phoneticPr fontId="13"/>
  </si>
  <si>
    <t>DA16T-268626</t>
    <phoneticPr fontId="13"/>
  </si>
  <si>
    <t>所沢 341 も 2</t>
    <rPh sb="0" eb="2">
      <t>トコロザワ</t>
    </rPh>
    <phoneticPr fontId="13"/>
  </si>
  <si>
    <t>滋賀 581 さ 2719</t>
    <rPh sb="0" eb="2">
      <t>シガ</t>
    </rPh>
    <phoneticPr fontId="13"/>
  </si>
  <si>
    <t>有限会社今津ｵｰﾄｻｰﾋﾞｽ</t>
    <rPh sb="0" eb="4">
      <t>ユウゲンガイシャ</t>
    </rPh>
    <rPh sb="4" eb="6">
      <t>イマヅ</t>
    </rPh>
    <phoneticPr fontId="13"/>
  </si>
  <si>
    <t>赤塚 明子</t>
    <rPh sb="0" eb="2">
      <t>アカツカ</t>
    </rPh>
    <rPh sb="3" eb="5">
      <t>アキコ</t>
    </rPh>
    <phoneticPr fontId="13"/>
  </si>
  <si>
    <t>倉敷 483 か 7711</t>
    <rPh sb="0" eb="2">
      <t>クラシキ</t>
    </rPh>
    <phoneticPr fontId="13"/>
  </si>
  <si>
    <t>守本 守</t>
    <rPh sb="0" eb="2">
      <t>モリモト</t>
    </rPh>
    <rPh sb="3" eb="4">
      <t>マモル</t>
    </rPh>
    <phoneticPr fontId="13"/>
  </si>
  <si>
    <t>USS神戸</t>
    <phoneticPr fontId="13"/>
  </si>
  <si>
    <t>横浜 39A む 192</t>
    <rPh sb="0" eb="2">
      <t>ヨコハマ</t>
    </rPh>
    <phoneticPr fontId="13"/>
  </si>
  <si>
    <t>有限会社ｵｰﾄﾓﾊﾞｲﾙ</t>
    <rPh sb="0" eb="4">
      <t>ユウゲンガイシャ</t>
    </rPh>
    <phoneticPr fontId="13"/>
  </si>
  <si>
    <t>取説 ｷｰﾚｽ(車内)保証書</t>
    <rPh sb="0" eb="2">
      <t>トリセツ</t>
    </rPh>
    <rPh sb="11" eb="14">
      <t>ホショウショ</t>
    </rPh>
    <phoneticPr fontId="13"/>
  </si>
  <si>
    <t>ｳｲﾙﾌﾟﾗｽﾓﾄｰﾚﾝ株式会社</t>
    <rPh sb="12" eb="16">
      <t>カブシキガイシャ</t>
    </rPh>
    <phoneticPr fontId="13"/>
  </si>
  <si>
    <t>横浜 39A も 2371</t>
    <rPh sb="0" eb="2">
      <t>ヨコハマ</t>
    </rPh>
    <phoneticPr fontId="13"/>
  </si>
  <si>
    <t>株式会社ヤナセ</t>
    <rPh sb="0" eb="4">
      <t>カブシキガイシャ</t>
    </rPh>
    <phoneticPr fontId="13"/>
  </si>
  <si>
    <t>中川 博彦</t>
    <rPh sb="0" eb="2">
      <t>ナカガワ</t>
    </rPh>
    <rPh sb="3" eb="4">
      <t>ヒロシ</t>
    </rPh>
    <rPh sb="4" eb="5">
      <t>ヒコ</t>
    </rPh>
    <phoneticPr fontId="13"/>
  </si>
  <si>
    <t>堺 599 ま 2352</t>
    <rPh sb="0" eb="1">
      <t>サカイ</t>
    </rPh>
    <phoneticPr fontId="13"/>
  </si>
  <si>
    <t>滋賀 535 さ 716</t>
    <phoneticPr fontId="13"/>
  </si>
  <si>
    <t>柴田 克也</t>
    <rPh sb="0" eb="2">
      <t>シバタ</t>
    </rPh>
    <rPh sb="3" eb="5">
      <t>カツヤ</t>
    </rPh>
    <phoneticPr fontId="13"/>
  </si>
  <si>
    <t>株式会社IDOＭ</t>
    <rPh sb="0" eb="4">
      <t>カブシキガイシャ</t>
    </rPh>
    <phoneticPr fontId="13"/>
  </si>
  <si>
    <t>保証書  取説 ﾅﾋﾞ取 ｽﾍﾟｱｷｰ</t>
    <phoneticPr fontId="13"/>
  </si>
  <si>
    <t>小田 夕子</t>
    <rPh sb="0" eb="2">
      <t>オダ</t>
    </rPh>
    <rPh sb="3" eb="5">
      <t>ユウコ</t>
    </rPh>
    <phoneticPr fontId="13"/>
  </si>
  <si>
    <t>MR92S-164180</t>
    <phoneticPr fontId="13"/>
  </si>
  <si>
    <t>和泉 582 い 1098</t>
    <rPh sb="0" eb="2">
      <t>イズミ</t>
    </rPh>
    <phoneticPr fontId="13"/>
  </si>
  <si>
    <t>ｱﾙﾄ 5D</t>
    <phoneticPr fontId="13"/>
  </si>
  <si>
    <t>HA36S-553602</t>
    <phoneticPr fontId="13"/>
  </si>
  <si>
    <t>広島 331 み 3050</t>
    <rPh sb="0" eb="2">
      <t>ヒロシマ</t>
    </rPh>
    <phoneticPr fontId="13"/>
  </si>
  <si>
    <t>竹本 憲二郎</t>
    <rPh sb="0" eb="2">
      <t>タケモト</t>
    </rPh>
    <rPh sb="3" eb="4">
      <t>ノリ</t>
    </rPh>
    <rPh sb="4" eb="6">
      <t>ジロウ</t>
    </rPh>
    <phoneticPr fontId="13"/>
  </si>
  <si>
    <t>愛媛 581 に 3737</t>
    <rPh sb="0" eb="2">
      <t>エヒメ</t>
    </rPh>
    <phoneticPr fontId="13"/>
  </si>
  <si>
    <t>ｷｬﾝｾﾙ 書類返送10/23</t>
    <rPh sb="6" eb="8">
      <t>ショルイ</t>
    </rPh>
    <rPh sb="8" eb="10">
      <t>ヘンソウ</t>
    </rPh>
    <phoneticPr fontId="13"/>
  </si>
  <si>
    <t>宮本  佳典</t>
    <rPh sb="0" eb="2">
      <t>ミヤモト</t>
    </rPh>
    <rPh sb="4" eb="5">
      <t>ケイ</t>
    </rPh>
    <rPh sb="5" eb="6">
      <t>ノリ</t>
    </rPh>
    <phoneticPr fontId="13"/>
  </si>
  <si>
    <t>岡山 534 め 8823</t>
    <rPh sb="0" eb="2">
      <t>オカヤマ</t>
    </rPh>
    <phoneticPr fontId="13"/>
  </si>
  <si>
    <t>瀬戸内ｽｽﾞｷ販売株式会社</t>
    <rPh sb="0" eb="3">
      <t>セトウチ</t>
    </rPh>
    <rPh sb="7" eb="13">
      <t>ハンバイカブシキガイシャ</t>
    </rPh>
    <phoneticPr fontId="13"/>
  </si>
  <si>
    <t>姫路 531 ろ 2527</t>
    <rPh sb="0" eb="2">
      <t>ヒメジ</t>
    </rPh>
    <phoneticPr fontId="13"/>
  </si>
  <si>
    <t>入江 潤</t>
    <rPh sb="0" eb="2">
      <t>イリエ</t>
    </rPh>
    <rPh sb="3" eb="4">
      <t>ジュン</t>
    </rPh>
    <phoneticPr fontId="13"/>
  </si>
  <si>
    <t>広島 792 ち 358</t>
    <rPh sb="0" eb="2">
      <t>ヒロシマ</t>
    </rPh>
    <phoneticPr fontId="13"/>
  </si>
  <si>
    <t>佐藤 誠</t>
    <rPh sb="0" eb="2">
      <t>サトウ</t>
    </rPh>
    <rPh sb="3" eb="4">
      <t>マコト</t>
    </rPh>
    <phoneticPr fontId="13"/>
  </si>
  <si>
    <t>取説 Ｓキー</t>
    <rPh sb="0" eb="2">
      <t>トリセツ</t>
    </rPh>
    <phoneticPr fontId="13"/>
  </si>
  <si>
    <t>岡山 581 よ 4684</t>
    <rPh sb="0" eb="2">
      <t>オカヤマ</t>
    </rPh>
    <phoneticPr fontId="13"/>
  </si>
  <si>
    <t>岡山 581 て 752</t>
    <rPh sb="0" eb="2">
      <t>オカヤマ</t>
    </rPh>
    <phoneticPr fontId="13"/>
  </si>
  <si>
    <t>中村 健二</t>
    <rPh sb="0" eb="2">
      <t>ナカムラ</t>
    </rPh>
    <rPh sb="3" eb="5">
      <t>ケンジ</t>
    </rPh>
    <phoneticPr fontId="13"/>
  </si>
  <si>
    <t>岡山 502 ふ 6762</t>
    <rPh sb="0" eb="2">
      <t>オカヤマ</t>
    </rPh>
    <phoneticPr fontId="13"/>
  </si>
  <si>
    <t>京都 336 に 2021</t>
    <rPh sb="0" eb="2">
      <t>キョウト</t>
    </rPh>
    <phoneticPr fontId="13"/>
  </si>
  <si>
    <t>福山 583 ふ 4869</t>
    <phoneticPr fontId="13"/>
  </si>
  <si>
    <t>板橋 399 そ 2482</t>
    <rPh sb="0" eb="2">
      <t>イタバシ</t>
    </rPh>
    <phoneticPr fontId="13"/>
  </si>
  <si>
    <t>株式会社関東ﾏﾂﾀﾞ</t>
    <rPh sb="0" eb="4">
      <t>カブシキガイシャ</t>
    </rPh>
    <rPh sb="4" eb="6">
      <t>カントウ</t>
    </rPh>
    <phoneticPr fontId="13"/>
  </si>
  <si>
    <t>なにわ 690 ろ 6711</t>
    <phoneticPr fontId="13"/>
  </si>
  <si>
    <t>住友三井ｵｰﾄｻｰﾋﾞｽ株式会社</t>
    <rPh sb="0" eb="2">
      <t>スミトモ</t>
    </rPh>
    <rPh sb="2" eb="4">
      <t>ミツイ</t>
    </rPh>
    <rPh sb="12" eb="16">
      <t>カブシキガイシャ</t>
    </rPh>
    <phoneticPr fontId="13"/>
  </si>
  <si>
    <t>木村 真人</t>
    <rPh sb="0" eb="2">
      <t>キムラ</t>
    </rPh>
    <rPh sb="3" eb="4">
      <t>マ</t>
    </rPh>
    <rPh sb="4" eb="5">
      <t>ヒト</t>
    </rPh>
    <phoneticPr fontId="13"/>
  </si>
  <si>
    <t>尾張小牧 581 ふ 1220</t>
    <rPh sb="0" eb="4">
      <t>オワリコマキ</t>
    </rPh>
    <phoneticPr fontId="13"/>
  </si>
  <si>
    <t>ﾜｸﾜｸ株式会社</t>
    <rPh sb="4" eb="8">
      <t>カブシキガイシャ</t>
    </rPh>
    <phoneticPr fontId="13"/>
  </si>
  <si>
    <t>岡山 584 ろ 2304</t>
    <rPh sb="0" eb="2">
      <t>オカヤマ</t>
    </rPh>
    <phoneticPr fontId="13"/>
  </si>
  <si>
    <t>ｼｰｴﾑｼｰ株式会社</t>
    <rPh sb="6" eb="10">
      <t>カブシキガイシャ</t>
    </rPh>
    <phoneticPr fontId="13"/>
  </si>
  <si>
    <t>記録簿</t>
    <rPh sb="0" eb="3">
      <t>キロクボ</t>
    </rPh>
    <phoneticPr fontId="13"/>
  </si>
  <si>
    <t>多摩 592 ろ 2631</t>
    <rPh sb="0" eb="2">
      <t>タマ</t>
    </rPh>
    <phoneticPr fontId="13"/>
  </si>
  <si>
    <t>一宮 580 つ 3782</t>
    <rPh sb="0" eb="2">
      <t>イチノミヤ</t>
    </rPh>
    <phoneticPr fontId="13"/>
  </si>
  <si>
    <t>株式会社児島自動車</t>
    <rPh sb="0" eb="4">
      <t>カブシキガイシャ</t>
    </rPh>
    <rPh sb="4" eb="6">
      <t>コジマ</t>
    </rPh>
    <rPh sb="6" eb="9">
      <t>ジドウシャ</t>
    </rPh>
    <phoneticPr fontId="13"/>
  </si>
  <si>
    <t>樽見 純奈</t>
    <rPh sb="0" eb="1">
      <t>タル</t>
    </rPh>
    <rPh sb="1" eb="2">
      <t>ミ</t>
    </rPh>
    <rPh sb="3" eb="4">
      <t>ジュン</t>
    </rPh>
    <rPh sb="4" eb="5">
      <t>ナ</t>
    </rPh>
    <phoneticPr fontId="13"/>
  </si>
  <si>
    <t>三重 581 ふ 7360</t>
    <rPh sb="0" eb="2">
      <t>ミエ</t>
    </rPh>
    <phoneticPr fontId="13"/>
  </si>
  <si>
    <t>三重 582 う 4260</t>
    <phoneticPr fontId="13"/>
  </si>
  <si>
    <t>岡田  勉</t>
    <rPh sb="0" eb="2">
      <t>オカダ</t>
    </rPh>
    <rPh sb="4" eb="5">
      <t>ベン</t>
    </rPh>
    <phoneticPr fontId="13"/>
  </si>
  <si>
    <t>ﾅﾋﾞ取 ｷｰﾚｽ(車内)保証書</t>
    <rPh sb="3" eb="4">
      <t>トリ</t>
    </rPh>
    <rPh sb="13" eb="16">
      <t>ホショウショ</t>
    </rPh>
    <phoneticPr fontId="13"/>
  </si>
  <si>
    <t>名古屋 581 は 174</t>
    <rPh sb="0" eb="3">
      <t>ナゴヤ</t>
    </rPh>
    <phoneticPr fontId="13"/>
  </si>
  <si>
    <t>山田 郁夫</t>
    <rPh sb="0" eb="2">
      <t>ヤマダ</t>
    </rPh>
    <rPh sb="3" eb="5">
      <t>イクオ</t>
    </rPh>
    <phoneticPr fontId="13"/>
  </si>
  <si>
    <t xml:space="preserve">ｽﾍﾟｱｷｰ 保証書 ﾜﾝｵｰﾅｰ </t>
    <rPh sb="7" eb="10">
      <t>ホショウショ</t>
    </rPh>
    <phoneticPr fontId="13"/>
  </si>
  <si>
    <t>多摩 592 ろ 3043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</si>
  <si>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14">
      <t>ジドウシャハンバイカブシキガイシャ</t>
    </rPh>
    <phoneticPr fontId="13"/>
  </si>
  <si>
    <t>Sｷｰ</t>
    <phoneticPr fontId="13"/>
  </si>
  <si>
    <t>倉敷 580 ほ 8360</t>
    <rPh sb="0" eb="2">
      <t>クラシキ</t>
    </rPh>
    <phoneticPr fontId="13"/>
  </si>
  <si>
    <t>イオンプロダクトファイナンス株式会社</t>
    <rPh sb="14" eb="18">
      <t>カブシキガイシャ</t>
    </rPh>
    <phoneticPr fontId="13"/>
  </si>
  <si>
    <t>尾張小牧 580 ゆ 1862</t>
    <rPh sb="0" eb="4">
      <t>オワリコマキ</t>
    </rPh>
    <phoneticPr fontId="13"/>
  </si>
  <si>
    <t>株式会社ｺﾞﾄｳｽﾊﾞﾙ</t>
    <rPh sb="0" eb="4">
      <t>カブシキガイシャ</t>
    </rPh>
    <phoneticPr fontId="13"/>
  </si>
  <si>
    <t>27-1265</t>
    <phoneticPr fontId="13"/>
  </si>
  <si>
    <t>堺 352 に 9999</t>
    <rPh sb="0" eb="1">
      <t>サカイ</t>
    </rPh>
    <phoneticPr fontId="13"/>
  </si>
  <si>
    <t>佐藤 隆志</t>
    <rPh sb="0" eb="2">
      <t>サトウ</t>
    </rPh>
    <rPh sb="3" eb="4">
      <t>タカシ</t>
    </rPh>
    <rPh sb="4" eb="5">
      <t>ココロザシ</t>
    </rPh>
    <phoneticPr fontId="13"/>
  </si>
  <si>
    <t xml:space="preserve">保証書 取説 Sｷｰ </t>
    <rPh sb="0" eb="3">
      <t>ホショウショ</t>
    </rPh>
    <rPh sb="4" eb="6">
      <t>トリセツ</t>
    </rPh>
    <phoneticPr fontId="13"/>
  </si>
  <si>
    <t>保証書 Sｷｰ B-CAS SD</t>
    <rPh sb="0" eb="3">
      <t>ホショウショ</t>
    </rPh>
    <phoneticPr fontId="13"/>
  </si>
  <si>
    <t>NSP160-0069208</t>
    <phoneticPr fontId="13"/>
  </si>
  <si>
    <t>BMWﾐﾆ 4WD</t>
    <phoneticPr fontId="13"/>
  </si>
  <si>
    <t>WMWYU520703L29842</t>
    <phoneticPr fontId="13"/>
  </si>
  <si>
    <t>仙台 301 ぬ 9352</t>
    <rPh sb="0" eb="2">
      <t>センダイ</t>
    </rPh>
    <phoneticPr fontId="13"/>
  </si>
  <si>
    <t>582 い 2325</t>
    <phoneticPr fontId="13"/>
  </si>
  <si>
    <t>楊 吉康</t>
    <rPh sb="0" eb="1">
      <t>ヨウ</t>
    </rPh>
    <rPh sb="2" eb="3">
      <t>キチ</t>
    </rPh>
    <rPh sb="3" eb="4">
      <t>ヤス</t>
    </rPh>
    <phoneticPr fontId="13"/>
  </si>
  <si>
    <t>世田谷 399 そ 2540</t>
    <rPh sb="0" eb="3">
      <t>セタガヤ</t>
    </rPh>
    <phoneticPr fontId="13"/>
  </si>
  <si>
    <t>Audi Voikswagen Retail Japan株式会社</t>
    <rPh sb="28" eb="32">
      <t>カブシキガイシャ</t>
    </rPh>
    <phoneticPr fontId="13"/>
  </si>
  <si>
    <t>横浜 32M せ 8</t>
    <rPh sb="0" eb="2">
      <t>ヨコハマ</t>
    </rPh>
    <phoneticPr fontId="13"/>
  </si>
  <si>
    <t>10/24</t>
    <phoneticPr fontId="13"/>
  </si>
  <si>
    <t>ZIP大阪(ﾜﾝﾌﾟﾗ)</t>
    <rPh sb="3" eb="5">
      <t>オオサカ</t>
    </rPh>
    <phoneticPr fontId="13"/>
  </si>
  <si>
    <t>973(346)</t>
    <phoneticPr fontId="13"/>
  </si>
  <si>
    <t>27-1394</t>
  </si>
  <si>
    <t>27-1395</t>
  </si>
  <si>
    <t>27-1396</t>
  </si>
  <si>
    <t>27-1397</t>
  </si>
  <si>
    <t>27-1398</t>
  </si>
  <si>
    <t>27-1399</t>
  </si>
  <si>
    <t>27-1400</t>
  </si>
  <si>
    <t>27-1401</t>
  </si>
  <si>
    <t>27-1402</t>
  </si>
  <si>
    <t>27-1403</t>
  </si>
  <si>
    <t>27-1404</t>
  </si>
  <si>
    <t>27-1405</t>
  </si>
  <si>
    <t>27-1406</t>
  </si>
  <si>
    <t>27-1407</t>
  </si>
  <si>
    <t>27-1408</t>
  </si>
  <si>
    <t>27-1409</t>
  </si>
  <si>
    <t xml:space="preserve">ﾒﾙｾﾃﾞｽﾍﾞﾝﾂ C 220d </t>
    <phoneticPr fontId="13"/>
  </si>
  <si>
    <t>WDD2050142R428051</t>
    <phoneticPr fontId="13"/>
  </si>
  <si>
    <t>WBAUJ32040LA95125</t>
    <phoneticPr fontId="13"/>
  </si>
  <si>
    <t>ﾌﾟｼﾞｮｰ 3008 ｸﾛｽｼﾃｨ</t>
    <phoneticPr fontId="13"/>
  </si>
  <si>
    <t>VF3MJEHZRLS203817</t>
    <phoneticPr fontId="13"/>
  </si>
  <si>
    <t>ﾒﾙｾﾃﾞｽﾍﾞﾝ GLC 220d</t>
    <phoneticPr fontId="13"/>
  </si>
  <si>
    <t>WDC2539052F656259</t>
    <phoneticPr fontId="13"/>
  </si>
  <si>
    <t>ｷｬﾃﾞｨﾗｯｸ XT5 ｸﾛｽｵｰﾊﾞｰ</t>
    <phoneticPr fontId="13"/>
  </si>
  <si>
    <t>1GYFN9RS1JZ231565</t>
    <phoneticPr fontId="13"/>
  </si>
  <si>
    <t>ﾌｨｱｯﾄ500 ﾄﾛﾎﾟｶｰﾚ</t>
    <phoneticPr fontId="13"/>
  </si>
  <si>
    <t>ZFA3120000J976953</t>
    <phoneticPr fontId="13"/>
  </si>
  <si>
    <t>ﾒﾙｾﾃﾞｽﾍﾞﾝﾂ C 220d  ﾜｺﾞﾝ</t>
    <phoneticPr fontId="13"/>
  </si>
  <si>
    <t>W1K2052142G003854</t>
    <phoneticPr fontId="13"/>
  </si>
  <si>
    <t>WMWXT320602G57586</t>
    <phoneticPr fontId="13"/>
  </si>
  <si>
    <t>27-1410</t>
  </si>
  <si>
    <t>27-1411</t>
  </si>
  <si>
    <t>27-1412</t>
  </si>
  <si>
    <t>27-1413</t>
  </si>
  <si>
    <t>27-1414</t>
  </si>
  <si>
    <t>MK53S-827420</t>
    <phoneticPr fontId="13"/>
  </si>
  <si>
    <t>LA650S-0340664</t>
    <phoneticPr fontId="13"/>
  </si>
  <si>
    <t>MR92S-188350</t>
    <phoneticPr fontId="13"/>
  </si>
  <si>
    <t>MK53S-496102</t>
    <phoneticPr fontId="13"/>
  </si>
  <si>
    <t>MR31S-119352</t>
    <phoneticPr fontId="13"/>
  </si>
  <si>
    <t>MR92S-224715</t>
    <phoneticPr fontId="13"/>
  </si>
  <si>
    <t>MK53S-312693</t>
    <phoneticPr fontId="13"/>
  </si>
  <si>
    <t>MK94S-213126</t>
    <phoneticPr fontId="13"/>
  </si>
  <si>
    <t>ML21S-161125</t>
    <phoneticPr fontId="13"/>
  </si>
  <si>
    <t>BMW X4 xdrive30I Mｽﾎﾟｰﾂ</t>
    <phoneticPr fontId="13"/>
  </si>
  <si>
    <t>豊橋 330 す 7855</t>
    <rPh sb="0" eb="2">
      <t>トヨハシ</t>
    </rPh>
    <phoneticPr fontId="13"/>
  </si>
  <si>
    <t>神戸 505 せ 9721</t>
    <rPh sb="0" eb="2">
      <t>コウベ</t>
    </rPh>
    <phoneticPr fontId="13"/>
  </si>
  <si>
    <t>奈良 301 ね 1723</t>
    <rPh sb="0" eb="2">
      <t>ナラ</t>
    </rPh>
    <phoneticPr fontId="13"/>
  </si>
  <si>
    <t>ﾊﾟﾚｯﾄ L</t>
    <phoneticPr fontId="13"/>
  </si>
  <si>
    <t>MK21S-270790</t>
    <phoneticPr fontId="13"/>
  </si>
  <si>
    <t>MK53S-490499</t>
    <phoneticPr fontId="13"/>
  </si>
  <si>
    <t>名古屋 58A ほ 2875</t>
    <rPh sb="0" eb="3">
      <t>ナゴヤ</t>
    </rPh>
    <phoneticPr fontId="13"/>
  </si>
  <si>
    <t>SD</t>
    <phoneticPr fontId="13"/>
  </si>
  <si>
    <t>ｽﾍﾟｰｼｱ ﾊｲﾌﾞﾘｯﾄﾞG</t>
    <phoneticPr fontId="13"/>
  </si>
  <si>
    <t>MK94S-242334</t>
    <phoneticPr fontId="13"/>
  </si>
  <si>
    <t>名古屋 58A ほ 3132</t>
    <rPh sb="0" eb="3">
      <t>ナゴヤ</t>
    </rPh>
    <phoneticPr fontId="13"/>
  </si>
  <si>
    <t>ｱｳﾃﾞｨTTｸｰﾍﾟ 1.8TFSI</t>
    <phoneticPr fontId="13"/>
  </si>
  <si>
    <t>TRUZZZFV3H1001160</t>
    <phoneticPr fontId="13"/>
  </si>
  <si>
    <t>8/4/12</t>
    <phoneticPr fontId="13"/>
  </si>
  <si>
    <t>四日市 300 せ 810</t>
    <rPh sb="0" eb="3">
      <t>ヨッカイチ</t>
    </rPh>
    <phoneticPr fontId="13"/>
  </si>
  <si>
    <t>WMWXU520502N51829</t>
    <phoneticPr fontId="13"/>
  </si>
  <si>
    <t>ｱｳﾃﾞｨS1 ｸﾜﾄﾛﾘﾐﾃｯﾄﾞ</t>
    <phoneticPr fontId="13"/>
  </si>
  <si>
    <t>WAUZZZ8X4GB036370</t>
    <phoneticPr fontId="13"/>
  </si>
  <si>
    <t>札幌 336 な 5656</t>
    <rPh sb="0" eb="2">
      <t>サッポロ</t>
    </rPh>
    <phoneticPr fontId="13"/>
  </si>
  <si>
    <t>MR41S-621007</t>
    <phoneticPr fontId="13"/>
  </si>
  <si>
    <t>JF1-1474374</t>
    <phoneticPr fontId="13"/>
  </si>
  <si>
    <t>三重 581 ほ 4176</t>
    <rPh sb="0" eb="2">
      <t>ミエ</t>
    </rPh>
    <phoneticPr fontId="13"/>
  </si>
  <si>
    <t>ﾊｽﾗｰG</t>
    <phoneticPr fontId="13"/>
  </si>
  <si>
    <t>MR41S-354492</t>
    <phoneticPr fontId="13"/>
  </si>
  <si>
    <t>三重 585 を 329</t>
    <rPh sb="0" eb="2">
      <t>ミエ</t>
    </rPh>
    <phoneticPr fontId="13"/>
  </si>
  <si>
    <t>MK53S-964144</t>
    <phoneticPr fontId="13"/>
  </si>
  <si>
    <t>MG33S-437521</t>
    <phoneticPr fontId="13"/>
  </si>
  <si>
    <t>松本 580 ほ 6739</t>
    <rPh sb="0" eb="2">
      <t>マツモト</t>
    </rPh>
    <phoneticPr fontId="13"/>
  </si>
  <si>
    <t>保証書 取説 ｲﾝﾃﾘｷｰ ﾜﾝｵｰﾅｰ</t>
    <rPh sb="0" eb="3">
      <t>ホショウショ</t>
    </rPh>
    <rPh sb="4" eb="6">
      <t>トリセツ</t>
    </rPh>
    <phoneticPr fontId="13"/>
  </si>
  <si>
    <t>N-BOXｶｽﾀﾑ G ﾀｰﾎﾞ</t>
    <phoneticPr fontId="13"/>
  </si>
  <si>
    <t>JF2-2507872</t>
    <phoneticPr fontId="13"/>
  </si>
  <si>
    <t>名古屋 586 け 128</t>
    <rPh sb="0" eb="3">
      <t>ナゴヤ</t>
    </rPh>
    <phoneticPr fontId="13"/>
  </si>
  <si>
    <t>ジムニー ﾜｲﾙﾄﾞｳｨﾝﾄﾞ</t>
    <phoneticPr fontId="13"/>
  </si>
  <si>
    <t>JB23W-516877</t>
    <phoneticPr fontId="13"/>
  </si>
  <si>
    <t>MK53S-509700</t>
    <phoneticPr fontId="13"/>
  </si>
  <si>
    <t>名古屋 58A ほ 2663</t>
    <rPh sb="0" eb="3">
      <t>ナゴヤ</t>
    </rPh>
    <phoneticPr fontId="13"/>
  </si>
  <si>
    <t>HE22S-890711</t>
    <phoneticPr fontId="13"/>
  </si>
  <si>
    <t>DA17W-347630</t>
    <phoneticPr fontId="13"/>
  </si>
  <si>
    <t>ﾃﾞｲｽﾞﾙｰｸｽ ﾊｲｳｪｲｽﾀｰ Xﾀｰﾎﾞ</t>
    <phoneticPr fontId="13"/>
  </si>
  <si>
    <t>B21A-0516524</t>
    <phoneticPr fontId="13"/>
  </si>
  <si>
    <t>ﾊﾟﾚｯﾄ T</t>
    <phoneticPr fontId="13"/>
  </si>
  <si>
    <t>MK21S-730227</t>
    <phoneticPr fontId="13"/>
  </si>
  <si>
    <t>ｱﾙﾄﾗﾊﾟﾝ X 全方向ﾓﾆﾀｰ</t>
    <rPh sb="10" eb="13">
      <t>ゼンホウコウ</t>
    </rPh>
    <phoneticPr fontId="13"/>
  </si>
  <si>
    <t>HE33S-182698</t>
    <phoneticPr fontId="13"/>
  </si>
  <si>
    <t>ｽﾍﾟｰｼｱ ｶｽﾀﾑ ﾊｲﾌﾞﾘｯﾄﾞXS</t>
    <phoneticPr fontId="13"/>
  </si>
  <si>
    <t>8/5/24</t>
    <phoneticPr fontId="13"/>
  </si>
  <si>
    <t>ﾊｽﾗｰ A</t>
    <phoneticPr fontId="13"/>
  </si>
  <si>
    <t>ｽﾍﾟｰｼｱ ﾊｲﾌﾞﾘｯﾄﾞX</t>
    <phoneticPr fontId="13"/>
  </si>
  <si>
    <t>ﾙｰｸｽ E</t>
    <phoneticPr fontId="13"/>
  </si>
  <si>
    <t>株式会社ｳｴﾊﾗ・ｵｰﾄ</t>
    <rPh sb="0" eb="4">
      <t>カブシキガイシャ</t>
    </rPh>
    <phoneticPr fontId="13"/>
  </si>
  <si>
    <t>岡山 580 は 9367</t>
    <rPh sb="0" eb="2">
      <t>オカヤマ</t>
    </rPh>
    <phoneticPr fontId="13"/>
  </si>
  <si>
    <t>山本 セツ子</t>
    <rPh sb="0" eb="2">
      <t>ヤマモト</t>
    </rPh>
    <rPh sb="5" eb="6">
      <t>コ</t>
    </rPh>
    <phoneticPr fontId="13"/>
  </si>
  <si>
    <t>名古屋 583 そ 2327</t>
    <rPh sb="0" eb="3">
      <t>ナゴヤ</t>
    </rPh>
    <phoneticPr fontId="13"/>
  </si>
  <si>
    <t>水谷 夕貴</t>
    <rPh sb="0" eb="2">
      <t>ミズタニ</t>
    </rPh>
    <rPh sb="3" eb="5">
      <t>ユウキ</t>
    </rPh>
    <phoneticPr fontId="13"/>
  </si>
  <si>
    <t>保証書 取説 ﾅﾋﾞ取 ｷｰﾚｽ 地図SD ﾏｲｸﾛSD miniB-CAS ﾜﾝｵｰﾅｰ</t>
    <rPh sb="0" eb="3">
      <t>ホショウショ</t>
    </rPh>
    <rPh sb="4" eb="6">
      <t>トリセツ</t>
    </rPh>
    <rPh sb="10" eb="11">
      <t>トリ</t>
    </rPh>
    <rPh sb="17" eb="19">
      <t>チズ</t>
    </rPh>
    <phoneticPr fontId="13"/>
  </si>
  <si>
    <t>27-1415</t>
  </si>
  <si>
    <t>大工原様</t>
    <rPh sb="0" eb="3">
      <t>ダイクハラ</t>
    </rPh>
    <rPh sb="3" eb="4">
      <t>サマ</t>
    </rPh>
    <phoneticPr fontId="13"/>
  </si>
  <si>
    <t>BMW 330i Mｽﾎﾟｰﾂ</t>
    <phoneticPr fontId="13"/>
  </si>
  <si>
    <t>WBA5R100708B62498</t>
    <phoneticPr fontId="13"/>
  </si>
  <si>
    <t>静岡 334 つ 408</t>
    <rPh sb="0" eb="2">
      <t>シズオカ</t>
    </rPh>
    <phoneticPr fontId="13"/>
  </si>
  <si>
    <t>土浦 583 あ 7660</t>
    <rPh sb="0" eb="2">
      <t>ツチウラ</t>
    </rPh>
    <phoneticPr fontId="13"/>
  </si>
  <si>
    <t>大谷 茂</t>
    <rPh sb="0" eb="2">
      <t>オオタニ</t>
    </rPh>
    <rPh sb="3" eb="4">
      <t>シゲル</t>
    </rPh>
    <phoneticPr fontId="13"/>
  </si>
  <si>
    <t>山梨 430 の 44</t>
    <rPh sb="0" eb="2">
      <t>ヤマナシ</t>
    </rPh>
    <phoneticPr fontId="13"/>
  </si>
  <si>
    <t>望月 光一郎</t>
    <rPh sb="0" eb="2">
      <t>ボウツキ</t>
    </rPh>
    <rPh sb="3" eb="6">
      <t>コウイチロウ</t>
    </rPh>
    <phoneticPr fontId="13"/>
  </si>
  <si>
    <t>27-1416</t>
  </si>
  <si>
    <t>27-1417</t>
  </si>
  <si>
    <t>27-1418</t>
  </si>
  <si>
    <t>27-1419</t>
  </si>
  <si>
    <t>27-1420</t>
  </si>
  <si>
    <t>ZN8-032222</t>
    <phoneticPr fontId="13"/>
  </si>
  <si>
    <t>MAYH10-2001676</t>
    <phoneticPr fontId="13"/>
  </si>
  <si>
    <t>GDH206-1109013</t>
    <phoneticPr fontId="13"/>
  </si>
  <si>
    <t>LA150S-2065524</t>
    <phoneticPr fontId="13"/>
  </si>
  <si>
    <t>MXPB10-3011479</t>
    <phoneticPr fontId="13"/>
  </si>
  <si>
    <t>GR86 RZ</t>
    <phoneticPr fontId="13"/>
  </si>
  <si>
    <t>ﾚｸｻｽ L BX ﾘﾗｯｸｽ</t>
    <phoneticPr fontId="13"/>
  </si>
  <si>
    <t>保証書  11月末名変</t>
    <rPh sb="0" eb="3">
      <t>ホショウショ</t>
    </rPh>
    <rPh sb="7" eb="11">
      <t>ガツマツメイヘン</t>
    </rPh>
    <phoneticPr fontId="13"/>
  </si>
  <si>
    <t>ﾊｲｴｰｽﾊﾞﾝ 4WD ｽｰﾊﾟｰGL</t>
    <phoneticPr fontId="13"/>
  </si>
  <si>
    <t>保証書 取説  11末名変</t>
    <rPh sb="0" eb="3">
      <t>ホショウショ</t>
    </rPh>
    <rPh sb="4" eb="6">
      <t>トリセツ</t>
    </rPh>
    <rPh sb="10" eb="13">
      <t>マツメイヘン</t>
    </rPh>
    <phoneticPr fontId="13"/>
  </si>
  <si>
    <t>ﾑｰﾌﾞｶｽﾀﾑ X ﾘﾐﾃｯﾄﾞ</t>
    <phoneticPr fontId="13"/>
  </si>
  <si>
    <t>保証書  12末名変</t>
    <rPh sb="0" eb="3">
      <t>ホショウショ</t>
    </rPh>
    <rPh sb="7" eb="10">
      <t>マツメイヘン</t>
    </rPh>
    <phoneticPr fontId="13"/>
  </si>
  <si>
    <t>ﾔﾘｽｸﾛｽ G</t>
    <phoneticPr fontId="13"/>
  </si>
  <si>
    <t>WDD1770842J046453</t>
    <phoneticPr fontId="13"/>
  </si>
  <si>
    <t>A291110</t>
    <phoneticPr fontId="13"/>
  </si>
  <si>
    <t>ﾊｲｴｰｽﾊﾞﾝ  ｽｰﾊﾟｰGL ﾀﾞｰｸﾌﾟﾗｲﾑ</t>
    <phoneticPr fontId="13"/>
  </si>
  <si>
    <t>GDH201-1079299</t>
    <phoneticPr fontId="13"/>
  </si>
  <si>
    <t>A307940</t>
    <phoneticPr fontId="13"/>
  </si>
  <si>
    <t>1/1</t>
    <phoneticPr fontId="13"/>
  </si>
  <si>
    <t>LA600S-0735564</t>
    <phoneticPr fontId="13"/>
  </si>
  <si>
    <t>A308099</t>
    <phoneticPr fontId="13"/>
  </si>
  <si>
    <t>C-HR S GRｽﾎﾟｰﾂ</t>
    <phoneticPr fontId="13"/>
  </si>
  <si>
    <t>ZYX11-2004911</t>
    <phoneticPr fontId="13"/>
  </si>
  <si>
    <t>8/11/21</t>
    <phoneticPr fontId="13"/>
  </si>
  <si>
    <t>保証書 取説  ｷｰﾚｽ</t>
    <rPh sb="0" eb="3">
      <t>ホショウショ</t>
    </rPh>
    <rPh sb="4" eb="6">
      <t>トリセツ</t>
    </rPh>
    <phoneticPr fontId="13"/>
  </si>
  <si>
    <t>坂口 啓一</t>
    <rPh sb="0" eb="2">
      <t>サカグチ</t>
    </rPh>
    <rPh sb="3" eb="5">
      <t>ケイイチ</t>
    </rPh>
    <phoneticPr fontId="13"/>
  </si>
  <si>
    <t>10/25</t>
    <phoneticPr fontId="13"/>
  </si>
  <si>
    <t>ｱﾙﾌｧｰﾄﾞ S Cﾊﾟｯｹｰｼﾞ</t>
    <phoneticPr fontId="13"/>
  </si>
  <si>
    <t>保証書 取説  12月末名変</t>
    <rPh sb="0" eb="3">
      <t>ホショウショ</t>
    </rPh>
    <rPh sb="4" eb="6">
      <t>トリセツ</t>
    </rPh>
    <rPh sb="10" eb="11">
      <t>ガツ</t>
    </rPh>
    <rPh sb="11" eb="14">
      <t>マツメイヘン</t>
    </rPh>
    <phoneticPr fontId="13"/>
  </si>
  <si>
    <t>27-1421</t>
  </si>
  <si>
    <t>27-1422</t>
  </si>
  <si>
    <t>27-1423</t>
  </si>
  <si>
    <t>27-1424</t>
  </si>
  <si>
    <t>27-1425</t>
  </si>
  <si>
    <t>27-1426</t>
  </si>
  <si>
    <t>27-1427</t>
  </si>
  <si>
    <t>27-1428</t>
  </si>
  <si>
    <t>27-1429</t>
  </si>
  <si>
    <t>27-1430</t>
  </si>
  <si>
    <t>27-1431</t>
  </si>
  <si>
    <t>27-1432</t>
  </si>
  <si>
    <t>27-1433</t>
  </si>
  <si>
    <t>27-1434</t>
  </si>
  <si>
    <t>27-1435</t>
  </si>
  <si>
    <t>27-1436</t>
  </si>
  <si>
    <t>27-1437</t>
  </si>
  <si>
    <t>27-1438</t>
  </si>
  <si>
    <t>27-1439</t>
  </si>
  <si>
    <t>27-1440</t>
  </si>
  <si>
    <t>27-1441</t>
  </si>
  <si>
    <t>27-1442</t>
  </si>
  <si>
    <t>27-1443</t>
  </si>
  <si>
    <t>27-1444</t>
  </si>
  <si>
    <t>27-1445</t>
  </si>
  <si>
    <t>27-1446</t>
  </si>
  <si>
    <t>27-1447</t>
  </si>
  <si>
    <t>27-1448</t>
  </si>
  <si>
    <t>27-1449</t>
  </si>
  <si>
    <t>27-1450</t>
  </si>
  <si>
    <t>27-1451</t>
  </si>
  <si>
    <t>27-1452</t>
  </si>
  <si>
    <t>LA250A-0002585</t>
    <phoneticPr fontId="13"/>
  </si>
  <si>
    <t>MK32S-206303</t>
    <phoneticPr fontId="13"/>
  </si>
  <si>
    <t>DA17V-627228</t>
    <phoneticPr fontId="13"/>
  </si>
  <si>
    <t>LA660S-0094882</t>
    <phoneticPr fontId="13"/>
  </si>
  <si>
    <t>ZVW51-8027389</t>
    <phoneticPr fontId="13"/>
  </si>
  <si>
    <t>ZVG11-1035960</t>
    <phoneticPr fontId="13"/>
  </si>
  <si>
    <t>DA17W-167453</t>
    <phoneticPr fontId="13"/>
  </si>
  <si>
    <t>JF1-8504105</t>
    <phoneticPr fontId="13"/>
  </si>
  <si>
    <t>ﾋﾟｸｼｽｼﾞｮｲ FX</t>
    <phoneticPr fontId="13"/>
  </si>
  <si>
    <t>8/2/27</t>
    <phoneticPr fontId="13"/>
  </si>
  <si>
    <t>8/7/26</t>
    <phoneticPr fontId="13"/>
  </si>
  <si>
    <t>ﾀﾝﾄ ﾌｧﾝｸﾛｽ ﾀｰﾎﾞ</t>
    <phoneticPr fontId="13"/>
  </si>
  <si>
    <t>ﾌﾟﾘｳｽ A ﾂｰﾘﾝｸﾞｾﾚｸｼｮﾝ</t>
    <phoneticPr fontId="13"/>
  </si>
  <si>
    <t>ｽﾏｰﾄｷｰ SD B-CAS</t>
    <phoneticPr fontId="13"/>
  </si>
  <si>
    <t>N-BOX+ GLﾊﾟｯｹｰｼﾞ ｽﾛｰﾊﾟｰ</t>
    <phoneticPr fontId="13"/>
  </si>
  <si>
    <t xml:space="preserve">BMWﾐﾆ </t>
    <phoneticPr fontId="13"/>
  </si>
  <si>
    <t>WMW12DV0602R36964</t>
    <phoneticPr fontId="13"/>
  </si>
  <si>
    <t>ﾊｲｾﾞｯﾄﾄﾗｯｸ ｺﾝﾊﾟｸﾄﾃｰﾙﾘﾌﾄ</t>
    <phoneticPr fontId="13"/>
  </si>
  <si>
    <t>S510P-0478090</t>
    <phoneticPr fontId="13"/>
  </si>
  <si>
    <t>岡山 480 に 4688</t>
    <rPh sb="0" eb="2">
      <t>オカヤマ</t>
    </rPh>
    <phoneticPr fontId="13"/>
  </si>
  <si>
    <t>ﾌﾟﾛﾎﾞｯｸｽ ﾊｲﾌﾞﾘｯﾄﾞ DX</t>
    <phoneticPr fontId="13"/>
  </si>
  <si>
    <t>NHP160-0023075</t>
    <phoneticPr fontId="13"/>
  </si>
  <si>
    <t>VF1KW04B3H0749655</t>
    <phoneticPr fontId="13"/>
  </si>
  <si>
    <t>株式会社ﾎﾝﾀﾞ販売和歌山</t>
    <rPh sb="0" eb="4">
      <t>カブシキガイシャ</t>
    </rPh>
    <rPh sb="8" eb="10">
      <t>ハンバイ</t>
    </rPh>
    <rPh sb="10" eb="13">
      <t>ワカヤマ</t>
    </rPh>
    <phoneticPr fontId="13"/>
  </si>
  <si>
    <t>富山 333 ふ 3030</t>
    <rPh sb="0" eb="2">
      <t>トヤマ</t>
    </rPh>
    <phoneticPr fontId="13"/>
  </si>
  <si>
    <t>小林 和幸</t>
    <rPh sb="0" eb="2">
      <t>コバヤシ</t>
    </rPh>
    <rPh sb="3" eb="5">
      <t>カズユキ</t>
    </rPh>
    <phoneticPr fontId="13"/>
  </si>
  <si>
    <t>大阪 504 そ 3491</t>
    <rPh sb="0" eb="2">
      <t>オオサカ</t>
    </rPh>
    <phoneticPr fontId="13"/>
  </si>
  <si>
    <t>寺内 禎英</t>
    <rPh sb="0" eb="2">
      <t>テラウチ</t>
    </rPh>
    <rPh sb="3" eb="4">
      <t>サダ</t>
    </rPh>
    <rPh sb="4" eb="5">
      <t>ヒデ</t>
    </rPh>
    <phoneticPr fontId="13"/>
  </si>
  <si>
    <t>岐阜 582 え 9726</t>
    <rPh sb="0" eb="2">
      <t>ギフ</t>
    </rPh>
    <phoneticPr fontId="13"/>
  </si>
  <si>
    <t>長谷川 保</t>
    <rPh sb="0" eb="3">
      <t>ハセガワ</t>
    </rPh>
    <rPh sb="4" eb="5">
      <t>ホ</t>
    </rPh>
    <phoneticPr fontId="13"/>
  </si>
  <si>
    <t>清宮 育実</t>
    <rPh sb="0" eb="1">
      <t>キヨ</t>
    </rPh>
    <rPh sb="1" eb="2">
      <t>ミヤ</t>
    </rPh>
    <rPh sb="3" eb="4">
      <t>イク</t>
    </rPh>
    <rPh sb="4" eb="5">
      <t>ジツ</t>
    </rPh>
    <phoneticPr fontId="13"/>
  </si>
  <si>
    <t>品川 5X1 ろ 7443</t>
    <rPh sb="0" eb="2">
      <t>シナガワ</t>
    </rPh>
    <phoneticPr fontId="13"/>
  </si>
  <si>
    <t>広島 586 ろ 8720</t>
    <rPh sb="0" eb="2">
      <t>ヒロシマ</t>
    </rPh>
    <phoneticPr fontId="13"/>
  </si>
  <si>
    <t>広島 480 ね 7131</t>
    <rPh sb="0" eb="2">
      <t>ヒロシマ</t>
    </rPh>
    <phoneticPr fontId="13"/>
  </si>
  <si>
    <t>U.S.Automotive株式会社</t>
    <rPh sb="14" eb="18">
      <t>カブシキガイシャ</t>
    </rPh>
    <phoneticPr fontId="13"/>
  </si>
  <si>
    <t>松本 580 よ 199</t>
    <rPh sb="0" eb="2">
      <t>マツモト</t>
    </rPh>
    <phoneticPr fontId="13"/>
  </si>
  <si>
    <t>中島 愛子</t>
    <rPh sb="0" eb="2">
      <t>ナカジマ</t>
    </rPh>
    <rPh sb="3" eb="5">
      <t>アイコ</t>
    </rPh>
    <phoneticPr fontId="13"/>
  </si>
  <si>
    <t>松本 483 あ 2336</t>
    <rPh sb="0" eb="2">
      <t>マツモト</t>
    </rPh>
    <phoneticPr fontId="13"/>
  </si>
  <si>
    <t>有限会社ｹｰｽﾞｲﾝﾀｰﾅｼｮﾅﾙ</t>
    <rPh sb="0" eb="4">
      <t>ユウゲンガイシャ</t>
    </rPh>
    <phoneticPr fontId="13"/>
  </si>
  <si>
    <t>南信州 580 あ 453</t>
    <rPh sb="0" eb="1">
      <t>ミナミ</t>
    </rPh>
    <rPh sb="1" eb="3">
      <t>シンシュウ</t>
    </rPh>
    <phoneticPr fontId="13"/>
  </si>
  <si>
    <t>大阪 480 も 7298</t>
    <rPh sb="0" eb="2">
      <t>オオサカ</t>
    </rPh>
    <phoneticPr fontId="13"/>
  </si>
  <si>
    <t>大阪ﾀﾞｲﾊﾂ販売株式会社</t>
    <rPh sb="0" eb="2">
      <t>オオサカ</t>
    </rPh>
    <rPh sb="7" eb="9">
      <t>ハンバイ</t>
    </rPh>
    <rPh sb="9" eb="13">
      <t>カブシキガイシャ</t>
    </rPh>
    <phoneticPr fontId="13"/>
  </si>
  <si>
    <t>和泉 580 ほ 8917</t>
    <rPh sb="0" eb="2">
      <t>イズミ</t>
    </rPh>
    <phoneticPr fontId="13"/>
  </si>
  <si>
    <t>株式会社日産ﾌｧｲﾅﾝｼｬﾙｻｰﾋﾞｽ</t>
    <rPh sb="0" eb="4">
      <t>カブシキガイシャ</t>
    </rPh>
    <rPh sb="4" eb="6">
      <t>ニッサン</t>
    </rPh>
    <phoneticPr fontId="13"/>
  </si>
  <si>
    <t>京都 581 さ 5921</t>
    <rPh sb="0" eb="2">
      <t>キョウト</t>
    </rPh>
    <phoneticPr fontId="13"/>
  </si>
  <si>
    <t>京都ｽﾊﾞﾙ自動車株式会社</t>
    <rPh sb="0" eb="2">
      <t>キョウト</t>
    </rPh>
    <rPh sb="6" eb="9">
      <t>ジドウシャ</t>
    </rPh>
    <rPh sb="9" eb="13">
      <t>カブシキガイシャ</t>
    </rPh>
    <phoneticPr fontId="13"/>
  </si>
  <si>
    <t>和泉 580 ふ 657</t>
    <rPh sb="0" eb="2">
      <t>イズミ</t>
    </rPh>
    <phoneticPr fontId="13"/>
  </si>
  <si>
    <t>株式会社ｽｽﾞｷ自販近畿中古車本部</t>
    <rPh sb="0" eb="4">
      <t>カブシキガイシャ</t>
    </rPh>
    <rPh sb="8" eb="10">
      <t>ジハン</t>
    </rPh>
    <rPh sb="10" eb="12">
      <t>キンキ</t>
    </rPh>
    <rPh sb="12" eb="14">
      <t>チュウコ</t>
    </rPh>
    <rPh sb="14" eb="15">
      <t>シャ</t>
    </rPh>
    <rPh sb="15" eb="17">
      <t>ホンブ</t>
    </rPh>
    <phoneticPr fontId="13"/>
  </si>
  <si>
    <t>大阪 582 け 6632</t>
    <rPh sb="0" eb="2">
      <t>オオサカ</t>
    </rPh>
    <phoneticPr fontId="13"/>
  </si>
  <si>
    <t>大阪 582 と 9224</t>
    <rPh sb="0" eb="2">
      <t>オオサカ</t>
    </rPh>
    <phoneticPr fontId="13"/>
  </si>
  <si>
    <t>大阪 580 わ 7231</t>
    <rPh sb="0" eb="2">
      <t>オオサカ</t>
    </rPh>
    <phoneticPr fontId="13"/>
  </si>
  <si>
    <t>ﾋﾞｼﾞﾈｽﾚﾝﾀｶｰ株式会社</t>
    <rPh sb="11" eb="15">
      <t>カブシキガイシャ</t>
    </rPh>
    <phoneticPr fontId="13"/>
  </si>
  <si>
    <t>和泉 587 て 72</t>
    <rPh sb="0" eb="2">
      <t>イズミ</t>
    </rPh>
    <phoneticPr fontId="13"/>
  </si>
  <si>
    <t>田﨑 正義</t>
    <rPh sb="0" eb="2">
      <t>タサキ</t>
    </rPh>
    <rPh sb="3" eb="5">
      <t>マサヨシ</t>
    </rPh>
    <phoneticPr fontId="13"/>
  </si>
  <si>
    <t>大阪 585 ぬ 822</t>
    <rPh sb="0" eb="2">
      <t>オオサカ</t>
    </rPh>
    <phoneticPr fontId="13"/>
  </si>
  <si>
    <t>株式会社Ancolie Societe</t>
    <rPh sb="0" eb="4">
      <t>カブシキガイシャ</t>
    </rPh>
    <phoneticPr fontId="13"/>
  </si>
  <si>
    <t>大宮 798 ろ 8268</t>
    <rPh sb="0" eb="2">
      <t>オオミヤ</t>
    </rPh>
    <phoneticPr fontId="13"/>
  </si>
  <si>
    <t>AGH30-0428448</t>
    <phoneticPr fontId="13"/>
  </si>
  <si>
    <t>ﾙﾉｰﾙｰﾃｼｱ</t>
    <phoneticPr fontId="13"/>
  </si>
  <si>
    <t>VF1RJA009M0827106</t>
    <phoneticPr fontId="13"/>
  </si>
  <si>
    <t>福岡 303 す 9751</t>
    <rPh sb="0" eb="2">
      <t>フクオカ</t>
    </rPh>
    <phoneticPr fontId="13"/>
  </si>
  <si>
    <t>MR41S-224661</t>
    <phoneticPr fontId="13"/>
  </si>
  <si>
    <t>N-BOXｶｽﾀﾑ GLﾊﾟｯｹｰｼﾞ</t>
    <phoneticPr fontId="13"/>
  </si>
  <si>
    <t>JF1-1223068</t>
    <phoneticPr fontId="13"/>
  </si>
  <si>
    <t>DA17W-287033</t>
    <phoneticPr fontId="13"/>
  </si>
  <si>
    <t>和歌山 585 に 910</t>
    <rPh sb="0" eb="3">
      <t>ワカヤマ</t>
    </rPh>
    <phoneticPr fontId="13"/>
  </si>
  <si>
    <t>保証書 取説 ﾅﾋﾞ取 ｽﾏｰﾄｷｰ ﾜﾝｵｰﾅｰ</t>
    <rPh sb="0" eb="3">
      <t>ホショウショ</t>
    </rPh>
    <rPh sb="4" eb="6">
      <t>トリセツ</t>
    </rPh>
    <rPh sb="10" eb="11">
      <t>トリ</t>
    </rPh>
    <phoneticPr fontId="13"/>
  </si>
  <si>
    <t>ﾊｲｾﾞｯﾄﾄﾗｯｸ ﾊｲﾙｰﾌSA3</t>
    <phoneticPr fontId="13"/>
  </si>
  <si>
    <t>S500P-0123981</t>
    <phoneticPr fontId="13"/>
  </si>
  <si>
    <t>DA64W-383193</t>
    <phoneticPr fontId="13"/>
  </si>
  <si>
    <t>9/1/16</t>
    <phoneticPr fontId="13"/>
  </si>
  <si>
    <t>京都 788 こ 111</t>
    <rPh sb="0" eb="2">
      <t>キョウト</t>
    </rPh>
    <phoneticPr fontId="13"/>
  </si>
  <si>
    <t>ｱﾙﾄﾗﾊﾟﾝ Sｾﾚｸｼｮﾝ</t>
    <phoneticPr fontId="13"/>
  </si>
  <si>
    <t>HE33S-191416</t>
    <phoneticPr fontId="13"/>
  </si>
  <si>
    <t>9/2/8</t>
    <phoneticPr fontId="13"/>
  </si>
  <si>
    <t>京都 781 や 11</t>
    <rPh sb="0" eb="2">
      <t>キョウト</t>
    </rPh>
    <phoneticPr fontId="13"/>
  </si>
  <si>
    <t>WMWXN920702L46324</t>
    <phoneticPr fontId="13"/>
  </si>
  <si>
    <t>ｼﾄﾛｴﾝ C3 ｴﾃﾞｨｼｮﾝ2021</t>
    <phoneticPr fontId="13"/>
  </si>
  <si>
    <t>VF7SXHNPYLT635870</t>
    <phoneticPr fontId="13"/>
  </si>
  <si>
    <t xml:space="preserve">BMW 740i </t>
    <phoneticPr fontId="13"/>
  </si>
  <si>
    <t>WBA7A22030B182475</t>
    <phoneticPr fontId="13"/>
  </si>
  <si>
    <t>神戸 31X す 8008</t>
    <rPh sb="0" eb="2">
      <t>コウベ</t>
    </rPh>
    <phoneticPr fontId="13"/>
  </si>
  <si>
    <t>ｱｲｽﾌﾞﾙｰ</t>
    <phoneticPr fontId="13"/>
  </si>
  <si>
    <t>BMWﾐﾆｸｰﾊﾟｰS ｱｲｽﾌﾞﾙｰﾌﾞﾗｯｸｴﾃﾞｨｼｮﾝ</t>
    <phoneticPr fontId="13"/>
  </si>
  <si>
    <t>WMWXU92000TN55854</t>
    <phoneticPr fontId="13"/>
  </si>
  <si>
    <t>なにわ 301 ま 6009</t>
    <phoneticPr fontId="13"/>
  </si>
  <si>
    <t>ｴﾌﾞﾘｨｼﾞｮｲﾝﾀｰﾎﾞ</t>
    <phoneticPr fontId="13"/>
  </si>
  <si>
    <t>DA17V-750716</t>
    <phoneticPr fontId="13"/>
  </si>
  <si>
    <t>和泉 480 ね 6288</t>
    <rPh sb="0" eb="2">
      <t>イズミ</t>
    </rPh>
    <phoneticPr fontId="13"/>
  </si>
  <si>
    <r>
      <t xml:space="preserve">取説 </t>
    </r>
    <r>
      <rPr>
        <sz val="11"/>
        <color theme="3"/>
        <rFont val="ＭＳ Ｐゴシック"/>
        <family val="3"/>
        <charset val="128"/>
        <scheme val="minor"/>
      </rPr>
      <t>名変期間10/24まで</t>
    </r>
    <rPh sb="0" eb="2">
      <t>トリセツ</t>
    </rPh>
    <rPh sb="3" eb="7">
      <t>メイヘンキカン</t>
    </rPh>
    <phoneticPr fontId="13"/>
  </si>
  <si>
    <t>BMWﾐﾆｸｰﾊﾟｰ S3ﾄﾞｱ</t>
    <phoneticPr fontId="13"/>
  </si>
  <si>
    <t>WMWXM720502A79971</t>
    <phoneticPr fontId="13"/>
  </si>
  <si>
    <t>足立 583 も 322</t>
    <rPh sb="0" eb="2">
      <t>アダチ</t>
    </rPh>
    <phoneticPr fontId="13"/>
  </si>
  <si>
    <t>目崎 光昭</t>
    <rPh sb="0" eb="2">
      <t>メサキ</t>
    </rPh>
    <rPh sb="3" eb="4">
      <t>ヒカル</t>
    </rPh>
    <phoneticPr fontId="13"/>
  </si>
  <si>
    <t>保証書 取説 ﾅﾋﾞ取 ﾜﾝｵｰﾅｰ</t>
    <rPh sb="0" eb="3">
      <t>ホショウショ</t>
    </rPh>
    <rPh sb="4" eb="6">
      <t>トリセツ</t>
    </rPh>
    <rPh sb="10" eb="11">
      <t>トリ</t>
    </rPh>
    <phoneticPr fontId="13"/>
  </si>
  <si>
    <t>HE33S-158096</t>
    <phoneticPr fontId="13"/>
  </si>
  <si>
    <t>鳥取 580 の 6704</t>
    <rPh sb="0" eb="2">
      <t>トットリ</t>
    </rPh>
    <phoneticPr fontId="13"/>
  </si>
  <si>
    <t>株式会社三木物流</t>
    <rPh sb="0" eb="4">
      <t>カブシキガイシャ</t>
    </rPh>
    <rPh sb="4" eb="8">
      <t>ミキブツリュウ</t>
    </rPh>
    <phoneticPr fontId="13"/>
  </si>
  <si>
    <t>名古屋　499　む　2328</t>
    <rPh sb="0" eb="3">
      <t>ナゴヤ</t>
    </rPh>
    <phoneticPr fontId="13"/>
  </si>
  <si>
    <t>畦地　邦彦</t>
    <rPh sb="0" eb="1">
      <t>ケイ</t>
    </rPh>
    <rPh sb="1" eb="2">
      <t>チ</t>
    </rPh>
    <rPh sb="3" eb="5">
      <t>クニヒコ</t>
    </rPh>
    <phoneticPr fontId="13"/>
  </si>
  <si>
    <t>取説　Sｷｰ</t>
    <rPh sb="0" eb="2">
      <t>トリセツ</t>
    </rPh>
    <phoneticPr fontId="13"/>
  </si>
  <si>
    <t>岡山　583　け　3470</t>
    <rPh sb="0" eb="2">
      <t>オカヤマ</t>
    </rPh>
    <phoneticPr fontId="13"/>
  </si>
  <si>
    <t>藤原　一広</t>
    <rPh sb="0" eb="2">
      <t>フジワラ</t>
    </rPh>
    <rPh sb="3" eb="5">
      <t>カズヒロ</t>
    </rPh>
    <phoneticPr fontId="13"/>
  </si>
  <si>
    <t>取説　ﾘﾓｺﾝ</t>
    <rPh sb="0" eb="2">
      <t>トリセツ</t>
    </rPh>
    <phoneticPr fontId="13"/>
  </si>
  <si>
    <t>株式会社　ﾓﾄｰﾚﾝﾃｨｰｱｲ</t>
    <rPh sb="0" eb="4">
      <t>カブシキガイシャ</t>
    </rPh>
    <phoneticPr fontId="13"/>
  </si>
  <si>
    <t>滋賀　339　ろ　1208</t>
    <rPh sb="0" eb="2">
      <t>シガ</t>
    </rPh>
    <phoneticPr fontId="13"/>
  </si>
  <si>
    <t>株式会社　HKS</t>
    <rPh sb="0" eb="4">
      <t>カブシキガイシャ</t>
    </rPh>
    <phoneticPr fontId="13"/>
  </si>
  <si>
    <t>大阪　582　え　3967</t>
    <rPh sb="0" eb="2">
      <t>オオサカ</t>
    </rPh>
    <phoneticPr fontId="13"/>
  </si>
  <si>
    <t>保証書　取説　Sｷｰ　地図SD　</t>
    <rPh sb="0" eb="3">
      <t>ホショウショ</t>
    </rPh>
    <rPh sb="4" eb="6">
      <t>トリセツ</t>
    </rPh>
    <rPh sb="11" eb="13">
      <t>チズ</t>
    </rPh>
    <phoneticPr fontId="13"/>
  </si>
  <si>
    <t>入川　正弘</t>
    <rPh sb="0" eb="2">
      <t>イリカワ</t>
    </rPh>
    <rPh sb="3" eb="5">
      <t>マサヒロ</t>
    </rPh>
    <phoneticPr fontId="13"/>
  </si>
  <si>
    <t>島　ひかる</t>
    <rPh sb="0" eb="1">
      <t>シマ</t>
    </rPh>
    <phoneticPr fontId="13"/>
  </si>
  <si>
    <t>尾崎　友哉</t>
    <rPh sb="0" eb="2">
      <t>オザキ</t>
    </rPh>
    <rPh sb="3" eb="5">
      <t>トモヤ</t>
    </rPh>
    <phoneticPr fontId="13"/>
  </si>
  <si>
    <t>光井　孝治</t>
    <rPh sb="0" eb="2">
      <t>ミツイ</t>
    </rPh>
    <rPh sb="3" eb="5">
      <t>コウジ</t>
    </rPh>
    <phoneticPr fontId="13"/>
  </si>
  <si>
    <t>島根　580　ゆ　2634</t>
    <rPh sb="0" eb="2">
      <t>シマネ</t>
    </rPh>
    <phoneticPr fontId="13"/>
  </si>
  <si>
    <t>ﾆｼｵ有限会社</t>
    <rPh sb="3" eb="7">
      <t>ユウゲンカイシャ</t>
    </rPh>
    <phoneticPr fontId="13"/>
  </si>
  <si>
    <t>品川　583　あ　7753</t>
    <rPh sb="0" eb="2">
      <t>シナガワ</t>
    </rPh>
    <phoneticPr fontId="13"/>
  </si>
  <si>
    <t>中村　有輝</t>
    <rPh sb="0" eb="2">
      <t>ナカムラ</t>
    </rPh>
    <rPh sb="3" eb="4">
      <t>ユウ</t>
    </rPh>
    <rPh sb="4" eb="5">
      <t>カガヤ</t>
    </rPh>
    <phoneticPr fontId="13"/>
  </si>
  <si>
    <t>横浜 405 せ 1111</t>
    <rPh sb="0" eb="2">
      <t>ヨコハマ</t>
    </rPh>
    <phoneticPr fontId="13"/>
  </si>
  <si>
    <t>大宮 331 り 7830</t>
    <rPh sb="0" eb="2">
      <t>オオミヤ</t>
    </rPh>
    <phoneticPr fontId="13"/>
  </si>
  <si>
    <t>10/5</t>
    <phoneticPr fontId="13"/>
  </si>
  <si>
    <t>27-1453</t>
  </si>
  <si>
    <t>27-1454</t>
  </si>
  <si>
    <t>27-1455</t>
  </si>
  <si>
    <t>27-1456</t>
  </si>
  <si>
    <t>WMW62BT0603M30994</t>
    <phoneticPr fontId="13"/>
  </si>
  <si>
    <t>27-1457</t>
  </si>
  <si>
    <t>27-1458</t>
  </si>
  <si>
    <t>27-1459</t>
  </si>
  <si>
    <t>27-1460</t>
  </si>
  <si>
    <t>27-1461</t>
  </si>
  <si>
    <t>27-1462</t>
  </si>
  <si>
    <t>27-1463</t>
  </si>
  <si>
    <t>27-1464</t>
  </si>
  <si>
    <t>27-1465</t>
  </si>
  <si>
    <t>27-1466</t>
  </si>
  <si>
    <t>27-1467</t>
  </si>
  <si>
    <t>27-1468</t>
  </si>
  <si>
    <t>27-1469</t>
  </si>
  <si>
    <t>27-1470</t>
  </si>
  <si>
    <t>株式会社ﾔﾅｾ近畿営業本部</t>
    <rPh sb="0" eb="4">
      <t>カブシキガイシャ</t>
    </rPh>
    <rPh sb="7" eb="9">
      <t>キンキ</t>
    </rPh>
    <rPh sb="9" eb="11">
      <t>エイギョウ</t>
    </rPh>
    <rPh sb="11" eb="13">
      <t>ホンブ</t>
    </rPh>
    <phoneticPr fontId="13"/>
  </si>
  <si>
    <t>整備手帳 取説 ｷｰﾚｽ ﾘﾓｺﾝ</t>
    <rPh sb="0" eb="4">
      <t>セイビテチョウ</t>
    </rPh>
    <rPh sb="5" eb="7">
      <t>トリセツ</t>
    </rPh>
    <phoneticPr fontId="13"/>
  </si>
  <si>
    <t>ｷｰﾚｽ(車内)</t>
    <rPh sb="5" eb="7">
      <t>シャナイ</t>
    </rPh>
    <phoneticPr fontId="13"/>
  </si>
  <si>
    <t>なにわ 39A む 537</t>
    <phoneticPr fontId="13"/>
  </si>
  <si>
    <t>那須 399 せ 873</t>
    <rPh sb="0" eb="2">
      <t>ナス</t>
    </rPh>
    <phoneticPr fontId="13"/>
  </si>
  <si>
    <t>株式会社ｼﾞｪｲ・ﾋﾟｰ</t>
    <rPh sb="0" eb="4">
      <t>カブシキガイシャ</t>
    </rPh>
    <phoneticPr fontId="13"/>
  </si>
  <si>
    <t>VF3CUHNZTKY052372</t>
    <phoneticPr fontId="13"/>
  </si>
  <si>
    <t>中央ﾎﾝﾀﾞ販売株式会社</t>
    <rPh sb="0" eb="2">
      <t>チュウオウ</t>
    </rPh>
    <rPh sb="7" eb="11">
      <t>カブシキガイシャ</t>
    </rPh>
    <phoneticPr fontId="13"/>
  </si>
  <si>
    <t>姫路 581 ゆ 6966</t>
    <rPh sb="0" eb="2">
      <t>ヒメジ</t>
    </rPh>
    <phoneticPr fontId="13"/>
  </si>
  <si>
    <t>姫路三菱自動車販売株式会社</t>
    <rPh sb="0" eb="4">
      <t>ヒメジミツビシ</t>
    </rPh>
    <rPh sb="4" eb="7">
      <t>ジドウシャ</t>
    </rPh>
    <rPh sb="7" eb="13">
      <t>ハンバイカブシキガイシャ</t>
    </rPh>
    <phoneticPr fontId="13"/>
  </si>
  <si>
    <t>佐賀 581 か 9351</t>
    <rPh sb="0" eb="2">
      <t>サガ</t>
    </rPh>
    <phoneticPr fontId="13"/>
  </si>
  <si>
    <t>古賀 照章</t>
    <rPh sb="0" eb="2">
      <t>コガ</t>
    </rPh>
    <rPh sb="3" eb="4">
      <t>テ</t>
    </rPh>
    <rPh sb="4" eb="5">
      <t>アキ</t>
    </rPh>
    <phoneticPr fontId="13"/>
  </si>
  <si>
    <t>10/27</t>
    <phoneticPr fontId="13"/>
  </si>
  <si>
    <t>越谷 315 や 24</t>
    <rPh sb="0" eb="2">
      <t>コシタニ</t>
    </rPh>
    <phoneticPr fontId="13"/>
  </si>
  <si>
    <t>武真 茜沙子</t>
    <rPh sb="0" eb="1">
      <t>タケ</t>
    </rPh>
    <rPh sb="1" eb="2">
      <t>マ</t>
    </rPh>
    <rPh sb="3" eb="4">
      <t>アカネ</t>
    </rPh>
    <rPh sb="4" eb="5">
      <t>サ</t>
    </rPh>
    <rPh sb="5" eb="6">
      <t>コ</t>
    </rPh>
    <phoneticPr fontId="13"/>
  </si>
  <si>
    <t>保証書 ｷｰﾚｽ 取説</t>
    <rPh sb="0" eb="3">
      <t>ホショウショ</t>
    </rPh>
    <rPh sb="9" eb="11">
      <t>トリセツ</t>
    </rPh>
    <phoneticPr fontId="13"/>
  </si>
  <si>
    <t>A308120</t>
    <phoneticPr fontId="13"/>
  </si>
  <si>
    <t>ﾏﾂﾀﾞ CX5- 25Sｽﾎﾟｰﾂｱﾋﾟｱﾗﾝｽ</t>
    <phoneticPr fontId="13"/>
  </si>
  <si>
    <t>KF5P-552784</t>
    <phoneticPr fontId="13"/>
  </si>
  <si>
    <t>27-1471</t>
  </si>
  <si>
    <t>27-1472</t>
  </si>
  <si>
    <t>27-1474</t>
  </si>
  <si>
    <t>JB23W-776287</t>
    <phoneticPr fontId="13"/>
  </si>
  <si>
    <t>ML21S-972536</t>
    <phoneticPr fontId="13"/>
  </si>
  <si>
    <t>MR52S-127959</t>
    <phoneticPr fontId="13"/>
  </si>
  <si>
    <t>ジムニー ﾗﾝﾄﾞﾍﾞﾝﾁｬｰ</t>
    <phoneticPr fontId="13"/>
  </si>
  <si>
    <t>ﾊｽﾗｰ ﾊｲﾌﾞﾘｯﾄﾞGﾀｰﾎﾞ</t>
    <phoneticPr fontId="13"/>
  </si>
  <si>
    <t>BMWﾐﾆｸｰﾊﾟーSD ｸﾛｽｵｰﾊﾞｰ</t>
    <phoneticPr fontId="13"/>
  </si>
  <si>
    <t>ｷｬﾝｾﾙ 書類 付属品返送10/27</t>
    <rPh sb="6" eb="8">
      <t>ショルイ</t>
    </rPh>
    <rPh sb="9" eb="12">
      <t>フゾクヒン</t>
    </rPh>
    <rPh sb="12" eb="14">
      <t>ヘンソウ</t>
    </rPh>
    <phoneticPr fontId="13"/>
  </si>
  <si>
    <t>保証書 取説 12月末名変</t>
    <rPh sb="0" eb="3">
      <t>ホショウショ</t>
    </rPh>
    <rPh sb="4" eb="6">
      <t>トリセツ</t>
    </rPh>
    <rPh sb="9" eb="13">
      <t>ガツマツメイヘン</t>
    </rPh>
    <phoneticPr fontId="13"/>
  </si>
  <si>
    <t>ﾎﾞﾙﾎﾞV40 D4ﾓﾒﾝﾀﾑ</t>
    <phoneticPr fontId="13"/>
  </si>
  <si>
    <t>ﾎﾞﾙﾎﾞV40 T4 SE</t>
    <phoneticPr fontId="13"/>
  </si>
  <si>
    <t>YV1MV485BF2233945</t>
    <phoneticPr fontId="13"/>
  </si>
  <si>
    <t>WMW42BT0203M32216</t>
    <phoneticPr fontId="13"/>
  </si>
  <si>
    <t>ｱｳﾃﾞｨ Q2 35TDIｽﾎﾟｰﾂ</t>
    <phoneticPr fontId="13"/>
  </si>
  <si>
    <t>WAUZZZGA2LA082762</t>
    <phoneticPr fontId="13"/>
  </si>
  <si>
    <t>保証書 取説 Sｷｰ ﾜﾝｵｰﾅｰ</t>
    <rPh sb="0" eb="3">
      <t>ホショウショ</t>
    </rPh>
    <rPh sb="4" eb="6">
      <t>トリセツ</t>
    </rPh>
    <phoneticPr fontId="13"/>
  </si>
  <si>
    <t>A308858</t>
    <phoneticPr fontId="13"/>
  </si>
  <si>
    <t>AGH30-0168330</t>
    <phoneticPr fontId="13"/>
  </si>
  <si>
    <t>A307637</t>
    <phoneticPr fontId="13"/>
  </si>
  <si>
    <t>ｽｲﾌﾄ ｽﾎﾟｰﾂ</t>
    <phoneticPr fontId="13"/>
  </si>
  <si>
    <t>ZC33S-418283</t>
    <phoneticPr fontId="13"/>
  </si>
  <si>
    <t>取説 ｷｰﾚｽ(車内)保証書</t>
    <rPh sb="0" eb="2">
      <t>トリセツ</t>
    </rPh>
    <rPh sb="8" eb="10">
      <t>シャナイ</t>
    </rPh>
    <rPh sb="11" eb="14">
      <t>ホショウショ</t>
    </rPh>
    <phoneticPr fontId="13"/>
  </si>
  <si>
    <t>取説 地図SD(車内)保証書</t>
    <rPh sb="0" eb="2">
      <t>トリセツ</t>
    </rPh>
    <rPh sb="3" eb="5">
      <t>チズ</t>
    </rPh>
    <rPh sb="11" eb="14">
      <t>ホショウショ</t>
    </rPh>
    <phoneticPr fontId="13"/>
  </si>
  <si>
    <t>ｷｰﾚｽ2個(車内)</t>
    <rPh sb="5" eb="6">
      <t>コ</t>
    </rPh>
    <phoneticPr fontId="13"/>
  </si>
  <si>
    <t>ｷｰﾚｽ(車内)取説</t>
    <rPh sb="8" eb="10">
      <t>トリセツ</t>
    </rPh>
    <phoneticPr fontId="13"/>
  </si>
  <si>
    <t>書類返送10/25ｷｰﾚｽ返送10/27</t>
    <rPh sb="0" eb="4">
      <t>ショルイヘンソウ</t>
    </rPh>
    <rPh sb="13" eb="15">
      <t>ヘンソウ</t>
    </rPh>
    <phoneticPr fontId="13"/>
  </si>
  <si>
    <t>保証書 取説 ﾅﾋﾞ取 地図SD(車内)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</si>
  <si>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取説 地図SD(車内)保証書 ｷｰﾚｽ</t>
    <rPh sb="0" eb="2">
      <t>トリセツ</t>
    </rPh>
    <rPh sb="3" eb="5">
      <t>チズ</t>
    </rPh>
    <rPh sb="11" eb="14">
      <t>ホショウショ</t>
    </rPh>
    <phoneticPr fontId="13"/>
  </si>
  <si>
    <t>保証書 取説(車内)ﾅﾝﾊﾞｰ</t>
    <rPh sb="0" eb="3">
      <t>ホショウショ</t>
    </rPh>
    <rPh sb="4" eb="6">
      <t>トリセツ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</si>
  <si>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phoneticPr fontId="13"/>
  </si>
  <si>
    <t>ﾏｲｸﾛSD(車内)保証書 取説 ｷｰﾚｽ ｽﾍﾟｱｷｰ2個  ｴﾝｼﾞﾝｽﾀｰﾀｰ ﾜﾝｵｰﾅｰ</t>
    <rPh sb="10" eb="13">
      <t>ホショウショ</t>
    </rPh>
    <rPh sb="14" eb="16">
      <t>トリセツ</t>
    </rPh>
    <rPh sb="29" eb="30">
      <t>コ</t>
    </rPh>
    <phoneticPr fontId="13"/>
  </si>
  <si>
    <t xml:space="preserve">地図SD(車内)保証書 取説 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</si>
  <si>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 ﾜﾝｵｰﾅｰ</t>
    <rPh sb="12" eb="15">
      <t>ホショウショ</t>
    </rPh>
    <rPh sb="16" eb="18">
      <t>トリセツ</t>
    </rPh>
    <phoneticPr fontId="13"/>
  </si>
  <si>
    <t>地図SD(車内)保証書 取説 Sｷｰ</t>
    <rPh sb="8" eb="11">
      <t>ホショウショ</t>
    </rPh>
    <rPh sb="12" eb="14">
      <t>トリセツ</t>
    </rPh>
    <phoneticPr fontId="13"/>
  </si>
  <si>
    <t>地図SD(車内) 保証書 取説</t>
    <rPh sb="9" eb="12">
      <t>ホショウショ</t>
    </rPh>
    <rPh sb="13" eb="15">
      <t>トリセツ</t>
    </rPh>
    <phoneticPr fontId="13"/>
  </si>
  <si>
    <t>地図SD(車内)保証書 取説 ｷｰﾚｽ</t>
    <rPh sb="8" eb="11">
      <t>ホショウショ</t>
    </rPh>
    <rPh sb="12" eb="14">
      <t>トリセツ</t>
    </rPh>
    <phoneticPr fontId="13"/>
  </si>
  <si>
    <t>ﾏｲｸﾛ地図SD(車内)保証書 取説 ﾅﾋﾞ取</t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</si>
  <si>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ｷｰﾚｽ</t>
    <rPh sb="12" eb="15">
      <t>ホショウショ</t>
    </rPh>
    <rPh sb="16" eb="18">
      <t>トリセツ</t>
    </rPh>
    <phoneticPr fontId="13"/>
  </si>
  <si>
    <t>301 ね 3016</t>
    <phoneticPr fontId="13"/>
  </si>
  <si>
    <t>301 ね 3017</t>
    <phoneticPr fontId="13"/>
  </si>
  <si>
    <t>書類返送10/28</t>
    <rPh sb="0" eb="4">
      <t>ショルイヘンソウ</t>
    </rPh>
    <phoneticPr fontId="13"/>
  </si>
  <si>
    <t>書類返送10/28</t>
    <rPh sb="0" eb="2">
      <t>ショルイ</t>
    </rPh>
    <rPh sb="2" eb="4">
      <t>ヘンソウ</t>
    </rPh>
    <phoneticPr fontId="13"/>
  </si>
  <si>
    <t>27-1475</t>
  </si>
  <si>
    <t>27-1476</t>
  </si>
  <si>
    <t>27-1477</t>
  </si>
  <si>
    <t>27-1478</t>
  </si>
  <si>
    <t>27-1479</t>
  </si>
  <si>
    <t>27-1480</t>
  </si>
  <si>
    <t>27-1481</t>
  </si>
  <si>
    <t>27-1482</t>
  </si>
  <si>
    <t>豊橋ﾔﾅｾ株式会社</t>
    <rPh sb="0" eb="2">
      <t>トヨハシ</t>
    </rPh>
    <rPh sb="5" eb="9">
      <t>カブシキガイシャ</t>
    </rPh>
    <phoneticPr fontId="13"/>
  </si>
  <si>
    <t>脇坂 萌夏</t>
    <rPh sb="0" eb="2">
      <t>ワキサカ</t>
    </rPh>
    <rPh sb="3" eb="5">
      <t>モエカ</t>
    </rPh>
    <phoneticPr fontId="13"/>
  </si>
  <si>
    <t xml:space="preserve"> 保証書 取説 ｽﾍﾟｱｷｰ</t>
    <rPh sb="1" eb="4">
      <t>ホショウショ</t>
    </rPh>
    <rPh sb="5" eb="7">
      <t>トリセツ</t>
    </rPh>
    <phoneticPr fontId="13"/>
  </si>
  <si>
    <t>名古屋 581 や 3665</t>
    <rPh sb="0" eb="3">
      <t>ナゴヤ</t>
    </rPh>
    <phoneticPr fontId="13"/>
  </si>
  <si>
    <t>株式会社ｱﾀｯｸｽ</t>
    <rPh sb="0" eb="4">
      <t>カブシキガイシャ</t>
    </rPh>
    <phoneticPr fontId="13"/>
  </si>
  <si>
    <t>MK53S-019190</t>
    <phoneticPr fontId="13"/>
  </si>
  <si>
    <t>なにわ 583 み 7733</t>
    <phoneticPr fontId="13"/>
  </si>
  <si>
    <t>ﾜｺﾞﾝR ｽﾃｨﾝｸﾞﾚｰ ﾊｲﾌﾞﾘｯﾄﾞX</t>
    <phoneticPr fontId="13"/>
  </si>
  <si>
    <t>MG55S-702592</t>
    <phoneticPr fontId="13"/>
  </si>
  <si>
    <t>LA400A-0003172</t>
    <phoneticPr fontId="13"/>
  </si>
  <si>
    <t>高松 580 き 9651</t>
    <rPh sb="0" eb="2">
      <t>タカマツ</t>
    </rPh>
    <phoneticPr fontId="13"/>
  </si>
  <si>
    <t xml:space="preserve">ﾀﾝﾄｶｽﾀﾑ RS </t>
    <phoneticPr fontId="13"/>
  </si>
  <si>
    <t>L385S-0101225</t>
    <phoneticPr fontId="13"/>
  </si>
  <si>
    <t>広島 580 よ 7141</t>
    <rPh sb="0" eb="2">
      <t>ヒロシマ</t>
    </rPh>
    <phoneticPr fontId="13"/>
  </si>
  <si>
    <t>ｳｪｲｸ GﾀｰﾎﾞﾘﾐﾃｯﾄﾞSA3</t>
    <phoneticPr fontId="13"/>
  </si>
  <si>
    <t>LA700S-0162711</t>
    <phoneticPr fontId="13"/>
  </si>
  <si>
    <t>広島 589 ひ 223</t>
    <rPh sb="0" eb="2">
      <t>ヒロシマ</t>
    </rPh>
    <phoneticPr fontId="13"/>
  </si>
  <si>
    <t>ｼﾄﾛｴﾝ C3</t>
    <phoneticPr fontId="13"/>
  </si>
  <si>
    <t>VF7SXHNZTKT548833</t>
    <phoneticPr fontId="13"/>
  </si>
  <si>
    <t>保証書 取説 11末名変</t>
    <rPh sb="0" eb="3">
      <t>ホショウショ</t>
    </rPh>
    <rPh sb="4" eb="6">
      <t>トリセツ</t>
    </rPh>
    <rPh sb="9" eb="12">
      <t>マツメイヘン</t>
    </rPh>
    <phoneticPr fontId="13"/>
  </si>
  <si>
    <t>神戸 58A か 7597</t>
    <rPh sb="0" eb="2">
      <t>コウベ</t>
    </rPh>
    <phoneticPr fontId="13"/>
  </si>
  <si>
    <t>竹田 育穂</t>
    <rPh sb="0" eb="2">
      <t>タケダ</t>
    </rPh>
    <rPh sb="3" eb="4">
      <t>イク</t>
    </rPh>
    <rPh sb="4" eb="5">
      <t>ホ</t>
    </rPh>
    <phoneticPr fontId="13"/>
  </si>
  <si>
    <t>保証書 取説 ｷｰﾚｽ 地図SD SD</t>
    <rPh sb="0" eb="3">
      <t>ホショウショ</t>
    </rPh>
    <rPh sb="4" eb="6">
      <t>トリセツ</t>
    </rPh>
    <rPh sb="12" eb="14">
      <t>チズ</t>
    </rPh>
    <phoneticPr fontId="13"/>
  </si>
  <si>
    <t>神戸 480 ぬ 7636</t>
    <rPh sb="0" eb="2">
      <t>コウベ</t>
    </rPh>
    <phoneticPr fontId="13"/>
  </si>
  <si>
    <t>吉田 哲博</t>
    <rPh sb="0" eb="2">
      <t>ヨシダ</t>
    </rPh>
    <rPh sb="3" eb="4">
      <t>テツ</t>
    </rPh>
    <rPh sb="4" eb="5">
      <t>ヒロシ</t>
    </rPh>
    <phoneticPr fontId="13"/>
  </si>
  <si>
    <t>三重 582 そ 5240</t>
    <rPh sb="0" eb="2">
      <t>ミエ</t>
    </rPh>
    <phoneticPr fontId="13"/>
  </si>
  <si>
    <t>稲垣 翔也</t>
    <rPh sb="0" eb="2">
      <t>イナガキ</t>
    </rPh>
    <rPh sb="3" eb="4">
      <t>ショウ</t>
    </rPh>
    <rPh sb="4" eb="5">
      <t>ヤ</t>
    </rPh>
    <phoneticPr fontId="13"/>
  </si>
  <si>
    <t>保証書 取説 ｷｰﾚｽ ﾅﾝﾊﾞｰ</t>
    <rPh sb="0" eb="3">
      <t>ホショウショ</t>
    </rPh>
    <rPh sb="4" eb="6">
      <t>トリセツ</t>
    </rPh>
    <phoneticPr fontId="13"/>
  </si>
  <si>
    <t>横浜 581 な 6596</t>
    <rPh sb="0" eb="2">
      <t>ヨコハマ</t>
    </rPh>
    <phoneticPr fontId="13"/>
  </si>
  <si>
    <t>島田 登志夫</t>
    <rPh sb="0" eb="2">
      <t>シマダ</t>
    </rPh>
    <rPh sb="3" eb="6">
      <t>トシオ</t>
    </rPh>
    <phoneticPr fontId="13"/>
  </si>
  <si>
    <t>岡山 583 ゆ 1627</t>
    <rPh sb="0" eb="2">
      <t>オカヤマ</t>
    </rPh>
    <phoneticPr fontId="13"/>
  </si>
  <si>
    <t>WMWXS720202E46010</t>
    <phoneticPr fontId="13"/>
  </si>
  <si>
    <t>大阪 399 や 8792</t>
    <rPh sb="0" eb="2">
      <t>オオサカ</t>
    </rPh>
    <phoneticPr fontId="13"/>
  </si>
  <si>
    <t>神戸 348 る 728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</si>
  <si>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</si>
  <si>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品川 49A そ 2410</t>
    <rPh sb="0" eb="2">
      <t>シナガワ</t>
    </rPh>
    <phoneticPr fontId="13"/>
  </si>
  <si>
    <t>HE22S-163586</t>
    <phoneticPr fontId="13"/>
  </si>
  <si>
    <t>WMWXV320102N87700</t>
    <phoneticPr fontId="13"/>
  </si>
  <si>
    <t>ｱｳﾃﾞｨ A4 ｱﾊﾞﾝﾄ 45TFSI ｸﾜﾄﾛ</t>
    <phoneticPr fontId="13"/>
  </si>
  <si>
    <t>WAUZZZF47MA011652</t>
    <phoneticPr fontId="13"/>
  </si>
  <si>
    <t>301 ね 3086</t>
    <phoneticPr fontId="13"/>
  </si>
  <si>
    <t>301 ね 3085</t>
    <phoneticPr fontId="13"/>
  </si>
  <si>
    <t>301 ね 3084</t>
    <phoneticPr fontId="13"/>
  </si>
  <si>
    <t>301 ね 3087</t>
    <phoneticPr fontId="13"/>
  </si>
  <si>
    <t>MH95S-135570</t>
    <phoneticPr fontId="13"/>
  </si>
  <si>
    <t>整備手帳 取説 ｷｰﾚｽ(車内)</t>
    <rPh sb="0" eb="4">
      <t>セイビテチョウ</t>
    </rPh>
    <rPh sb="5" eb="7">
      <t>トリセツ</t>
    </rPh>
    <rPh sb="13" eb="15">
      <t>シャナイ</t>
    </rPh>
    <phoneticPr fontId="13"/>
  </si>
  <si>
    <t>地図SD(車内)保証書 取説 ﾅﾋﾞ取 ｽﾏｰﾄｷｰ ﾜﾝｵｰﾅｰ</t>
    <rPh sb="8" eb="11">
      <t>ホショウショ</t>
    </rPh>
    <rPh sb="12" eb="14">
      <t>トリセツ</t>
    </rPh>
    <rPh sb="18" eb="19">
      <t>トリ</t>
    </rPh>
    <phoneticPr fontId="13"/>
  </si>
  <si>
    <t>品川 302 や 772</t>
    <rPh sb="0" eb="2">
      <t>シナガワ</t>
    </rPh>
    <phoneticPr fontId="13"/>
  </si>
  <si>
    <t>豊田 581 ろ 8421</t>
    <rPh sb="0" eb="2">
      <t>トヨタ</t>
    </rPh>
    <phoneticPr fontId="13"/>
  </si>
  <si>
    <t>株式会社ﾄｯﾌﾟﾜﾝ</t>
    <rPh sb="0" eb="4">
      <t>カブシキガイシャ</t>
    </rPh>
    <phoneticPr fontId="13"/>
  </si>
  <si>
    <t>GLOBAL TRADERS</t>
    <phoneticPr fontId="13"/>
  </si>
  <si>
    <t>ﾌｨﾔｰｽﾞﾏﾊｻﾌﾞ</t>
    <phoneticPr fontId="13"/>
  </si>
  <si>
    <t>ｷｬﾝｾﾙ10/30返送済</t>
    <rPh sb="10" eb="12">
      <t>ヘンソウ</t>
    </rPh>
    <rPh sb="12" eb="13">
      <t>ズ</t>
    </rPh>
    <phoneticPr fontId="13"/>
  </si>
  <si>
    <t>27-1483</t>
  </si>
  <si>
    <t>27-1484</t>
  </si>
  <si>
    <t>27-1485</t>
  </si>
  <si>
    <t>27-1486</t>
  </si>
  <si>
    <t>27-1487</t>
  </si>
  <si>
    <t>27-1488</t>
  </si>
  <si>
    <t>27-1489</t>
  </si>
  <si>
    <t>27-1490</t>
  </si>
  <si>
    <t>27-1491</t>
  </si>
  <si>
    <t>27-1492</t>
  </si>
  <si>
    <t>ﾃｨｰｽﾞ名変する</t>
    <rPh sb="5" eb="7">
      <t>メイヘン</t>
    </rPh>
    <phoneticPr fontId="13"/>
  </si>
  <si>
    <t>27-1493</t>
  </si>
  <si>
    <t>27-1494</t>
  </si>
  <si>
    <t>27-1495</t>
  </si>
  <si>
    <t>VWｻﾞﾋﾞｰﾄﾙ ﾌﾞﾗｯｸｽﾀｲﾙ</t>
    <phoneticPr fontId="13"/>
  </si>
  <si>
    <t>WVWZZZ16ZJM707055</t>
    <phoneticPr fontId="13"/>
  </si>
  <si>
    <t>BMWﾐﾆ ｸｰﾊﾟｰS ｸﾗﾌﾞﾏﾝ</t>
    <phoneticPr fontId="13"/>
  </si>
  <si>
    <t>WMWLN720602D35420</t>
    <phoneticPr fontId="13"/>
  </si>
  <si>
    <t>ｱﾊﾞﾙﾄ 595 ﾂｰﾘｽﾞﾓ</t>
    <phoneticPr fontId="13"/>
  </si>
  <si>
    <t>ZFA3120000J789284</t>
    <phoneticPr fontId="13"/>
  </si>
  <si>
    <t>27-1496</t>
  </si>
  <si>
    <t>27-1497</t>
  </si>
  <si>
    <t>27-1498</t>
  </si>
  <si>
    <t>27-1499</t>
  </si>
  <si>
    <t>27-1500</t>
  </si>
  <si>
    <t>27-1501</t>
  </si>
  <si>
    <t>27-1502</t>
  </si>
  <si>
    <t>27-1503</t>
  </si>
  <si>
    <t>27-1504</t>
  </si>
  <si>
    <t>27-1505</t>
  </si>
  <si>
    <t>27-1506</t>
  </si>
  <si>
    <t>27-1507</t>
  </si>
  <si>
    <t>27-1508</t>
  </si>
  <si>
    <t>27-1509</t>
  </si>
  <si>
    <t>27-1510</t>
  </si>
  <si>
    <t>27-1511</t>
  </si>
  <si>
    <t>27-1512</t>
  </si>
  <si>
    <t>27-1513</t>
  </si>
  <si>
    <t>27-1514</t>
  </si>
  <si>
    <t>27-1515</t>
  </si>
  <si>
    <t>27-1516</t>
  </si>
  <si>
    <t>27-1517</t>
  </si>
  <si>
    <t>27-1518</t>
  </si>
  <si>
    <t>HA36S-559629</t>
    <phoneticPr fontId="13"/>
  </si>
  <si>
    <t>LA350S-0111386</t>
    <phoneticPr fontId="13"/>
  </si>
  <si>
    <t>HA36S-560722</t>
    <phoneticPr fontId="13"/>
  </si>
  <si>
    <t>LA350S-0225802</t>
    <phoneticPr fontId="13"/>
  </si>
  <si>
    <t>HA36S-561455</t>
    <phoneticPr fontId="13"/>
  </si>
  <si>
    <t>HA36S-561269</t>
    <phoneticPr fontId="13"/>
  </si>
  <si>
    <t>HA36S-562297</t>
    <phoneticPr fontId="13"/>
  </si>
  <si>
    <t>HA36S-561402</t>
    <phoneticPr fontId="13"/>
  </si>
  <si>
    <t>HA36S-562313</t>
    <phoneticPr fontId="13"/>
  </si>
  <si>
    <t>HA36S-562346</t>
    <phoneticPr fontId="13"/>
  </si>
  <si>
    <t>HA36S-561400</t>
    <phoneticPr fontId="13"/>
  </si>
  <si>
    <t>HA36S-528728</t>
    <phoneticPr fontId="13"/>
  </si>
  <si>
    <t>HA36S-561395</t>
    <phoneticPr fontId="13"/>
  </si>
  <si>
    <t>HA36S-548681</t>
    <phoneticPr fontId="13"/>
  </si>
  <si>
    <t>HA36S-561284</t>
    <phoneticPr fontId="13"/>
  </si>
  <si>
    <t>MK42S-139206</t>
    <phoneticPr fontId="13"/>
  </si>
  <si>
    <t>HA36S-562535</t>
    <phoneticPr fontId="13"/>
  </si>
  <si>
    <t>HA36S-562796</t>
    <phoneticPr fontId="13"/>
  </si>
  <si>
    <t>LA350S-0233268</t>
    <phoneticPr fontId="13"/>
  </si>
  <si>
    <t>HA36S-561347</t>
    <phoneticPr fontId="13"/>
  </si>
  <si>
    <t>MH34S-372375</t>
    <phoneticPr fontId="13"/>
  </si>
  <si>
    <t>JF4-1051267</t>
    <phoneticPr fontId="13"/>
  </si>
  <si>
    <t>JF4-1051305</t>
    <phoneticPr fontId="13"/>
  </si>
  <si>
    <t>DA17W-134098</t>
    <phoneticPr fontId="13"/>
  </si>
  <si>
    <t>和泉 581 さ 4139</t>
    <rPh sb="0" eb="2">
      <t>イズミ</t>
    </rPh>
    <phoneticPr fontId="13"/>
  </si>
  <si>
    <t>保証書 取説 SD B-CAS</t>
    <rPh sb="0" eb="3">
      <t>ホショウショ</t>
    </rPh>
    <rPh sb="4" eb="6">
      <t>トリセツ</t>
    </rPh>
    <phoneticPr fontId="13"/>
  </si>
  <si>
    <t>ﾓｺ X</t>
    <phoneticPr fontId="13"/>
  </si>
  <si>
    <t>MG33S-679911</t>
    <phoneticPr fontId="13"/>
  </si>
  <si>
    <t>静岡 584 あ 1206</t>
    <rPh sb="0" eb="2">
      <t>シズオカ</t>
    </rPh>
    <phoneticPr fontId="13"/>
  </si>
  <si>
    <t>ﾗﾊﾟﾝ X</t>
    <phoneticPr fontId="13"/>
  </si>
  <si>
    <t>HE33S-115117</t>
    <phoneticPr fontId="13"/>
  </si>
  <si>
    <t>飛騨 580 き 957</t>
    <rPh sb="0" eb="2">
      <t>ヒダ</t>
    </rPh>
    <phoneticPr fontId="13"/>
  </si>
  <si>
    <t>ﾋﾟｸｼｽｼﾞｮｲ FXSA3</t>
    <phoneticPr fontId="13"/>
  </si>
  <si>
    <t>LA250S-0022950</t>
    <phoneticPr fontId="13"/>
  </si>
  <si>
    <t>伊勢志摩 583 く 831</t>
    <rPh sb="0" eb="4">
      <t>イセシマ</t>
    </rPh>
    <phoneticPr fontId="13"/>
  </si>
  <si>
    <t>ﾐﾗｲｰｽ Gﾘﾐﾃｯﾄﾞ SA3</t>
    <phoneticPr fontId="13"/>
  </si>
  <si>
    <t>LA350S-0387805</t>
    <phoneticPr fontId="13"/>
  </si>
  <si>
    <t>9/1/10</t>
    <phoneticPr fontId="13"/>
  </si>
  <si>
    <t>鈴鹿 580 ち 1977</t>
    <rPh sb="0" eb="2">
      <t>スズカ</t>
    </rPh>
    <phoneticPr fontId="13"/>
  </si>
  <si>
    <t>JB23W-756280</t>
    <phoneticPr fontId="13"/>
  </si>
  <si>
    <t>ｱﾙﾄ L</t>
    <phoneticPr fontId="13"/>
  </si>
  <si>
    <t>ｽﾍﾟｰｼｱ  G</t>
    <phoneticPr fontId="13"/>
  </si>
  <si>
    <t>ﾐﾗｲｰｽB SA3</t>
    <phoneticPr fontId="13"/>
  </si>
  <si>
    <t xml:space="preserve">ﾜｺﾞﾝR FX </t>
    <phoneticPr fontId="13"/>
  </si>
  <si>
    <t>ｱﾊﾞﾙﾄ 595</t>
    <phoneticPr fontId="13"/>
  </si>
  <si>
    <t>ZFABF13H4NJF99379</t>
    <phoneticPr fontId="13"/>
  </si>
  <si>
    <t>神戸 39A せ 9832</t>
    <rPh sb="0" eb="2">
      <t>コウベ</t>
    </rPh>
    <phoneticPr fontId="13"/>
  </si>
  <si>
    <t>10/30</t>
    <phoneticPr fontId="13"/>
  </si>
  <si>
    <t>なにわ 338 な 210</t>
    <phoneticPr fontId="13"/>
  </si>
  <si>
    <t>泉尾 賢司</t>
    <rPh sb="0" eb="2">
      <t>イズオ</t>
    </rPh>
    <rPh sb="3" eb="5">
      <t>ケンジ</t>
    </rPh>
    <phoneticPr fontId="13"/>
  </si>
  <si>
    <t>岐阜 58A あ 160</t>
    <rPh sb="0" eb="2">
      <t>ギフ</t>
    </rPh>
    <phoneticPr fontId="13"/>
  </si>
  <si>
    <t>株式会社ｱﾙｼｪｻｰﾋﾞｽ</t>
    <rPh sb="0" eb="4">
      <t>カブシキガイシャ</t>
    </rPh>
    <phoneticPr fontId="13"/>
  </si>
  <si>
    <t>名古屋 583 か 8492</t>
    <rPh sb="0" eb="3">
      <t>ナゴヤ</t>
    </rPh>
    <phoneticPr fontId="13"/>
  </si>
  <si>
    <t>品川 5X1 ろ 9119</t>
    <rPh sb="0" eb="2">
      <t>シナガワ</t>
    </rPh>
    <phoneticPr fontId="13"/>
  </si>
  <si>
    <t>27-1519</t>
  </si>
  <si>
    <t>27-1520</t>
  </si>
  <si>
    <t>HE33S-115756</t>
    <phoneticPr fontId="13"/>
  </si>
  <si>
    <t>神戸 582 み 7576</t>
    <rPh sb="0" eb="2">
      <t>コウベ</t>
    </rPh>
    <phoneticPr fontId="13"/>
  </si>
  <si>
    <t>N-BOX GﾀｰﾎﾞLﾊﾟｯｹｰｼﾞ</t>
    <phoneticPr fontId="13"/>
  </si>
  <si>
    <t>JF1-2235489</t>
    <phoneticPr fontId="13"/>
  </si>
  <si>
    <t>8/1/12</t>
    <phoneticPr fontId="13"/>
  </si>
  <si>
    <t>神戸 581 ね 9169</t>
    <rPh sb="0" eb="2">
      <t>コウベ</t>
    </rPh>
    <phoneticPr fontId="13"/>
  </si>
  <si>
    <t>相模 590 き 22</t>
    <phoneticPr fontId="13"/>
  </si>
  <si>
    <t>小林 大介</t>
    <rPh sb="0" eb="2">
      <t>コバヤシ</t>
    </rPh>
    <rPh sb="3" eb="5">
      <t>ダイスケ</t>
    </rPh>
    <phoneticPr fontId="13"/>
  </si>
  <si>
    <t>神戸 398 と 8080</t>
    <rPh sb="0" eb="2">
      <t>コウベ</t>
    </rPh>
    <phoneticPr fontId="13"/>
  </si>
  <si>
    <t>株式会社阪神小型ﾓｰﾀｰｽ</t>
    <rPh sb="0" eb="4">
      <t>カブシキガイシャ</t>
    </rPh>
    <rPh sb="4" eb="6">
      <t>ハンシン</t>
    </rPh>
    <rPh sb="6" eb="8">
      <t>コガタ</t>
    </rPh>
    <phoneticPr fontId="13"/>
  </si>
  <si>
    <t>八王子 399 と 6662</t>
    <rPh sb="0" eb="3">
      <t>ハチオウジ</t>
    </rPh>
    <phoneticPr fontId="13"/>
  </si>
  <si>
    <t>株式会社村内外車ｾﾝﾀｰ</t>
    <rPh sb="0" eb="4">
      <t>カブシキガイシャ</t>
    </rPh>
    <rPh sb="4" eb="6">
      <t>ムラウチ</t>
    </rPh>
    <rPh sb="6" eb="8">
      <t>ガイシャ</t>
    </rPh>
    <phoneticPr fontId="13"/>
  </si>
  <si>
    <t>神戸 39A せ 9675</t>
    <rPh sb="0" eb="2">
      <t>コウベ</t>
    </rPh>
    <phoneticPr fontId="13"/>
  </si>
  <si>
    <t>千葉 326 そ 8339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</si>
  <si>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</si>
  <si>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株式会社ｼｭﾃﾙﾝ丸亀</t>
    <rPh sb="0" eb="4">
      <t>カブシキガイシャ</t>
    </rPh>
    <rPh sb="9" eb="11">
      <t>マルカメ</t>
    </rPh>
    <phoneticPr fontId="13"/>
  </si>
  <si>
    <t>横浜 39A も 7710</t>
    <rPh sb="0" eb="2">
      <t>ヨコハマ</t>
    </rPh>
    <phoneticPr fontId="13"/>
  </si>
  <si>
    <t>株式会社ｼﾞｰｴｽﾃｨｰ</t>
    <rPh sb="0" eb="4">
      <t>カブシキガイシャ</t>
    </rPh>
    <phoneticPr fontId="13"/>
  </si>
  <si>
    <t>301 ね 3210</t>
    <phoneticPr fontId="13"/>
  </si>
  <si>
    <t>301 ね 3218</t>
    <phoneticPr fontId="13"/>
  </si>
  <si>
    <t>301 ね 3219</t>
    <phoneticPr fontId="13"/>
  </si>
  <si>
    <t>SMBCﾌｧｲﾅﾝｽｻｰﾋﾞｽ株式会社</t>
    <rPh sb="15" eb="19">
      <t>カブシキガイシャ</t>
    </rPh>
    <phoneticPr fontId="13"/>
  </si>
  <si>
    <t xml:space="preserve">整備手帳 取説 </t>
    <rPh sb="0" eb="4">
      <t>セイビテチョウ</t>
    </rPh>
    <rPh sb="5" eb="7">
      <t>トリセツ</t>
    </rPh>
    <phoneticPr fontId="13"/>
  </si>
  <si>
    <t>多摩 499 つ 8214</t>
    <rPh sb="0" eb="2">
      <t>タマ</t>
    </rPh>
    <phoneticPr fontId="13"/>
  </si>
  <si>
    <t>27-1521</t>
  </si>
  <si>
    <t>WMWXU72080TR61742</t>
    <phoneticPr fontId="13"/>
  </si>
  <si>
    <t>奈良 301 ね 2022</t>
    <rPh sb="0" eb="2">
      <t>ナラ</t>
    </rPh>
    <phoneticPr fontId="13"/>
  </si>
  <si>
    <t>岡山 399 な 1686</t>
    <rPh sb="0" eb="2">
      <t>オカヤマ</t>
    </rPh>
    <phoneticPr fontId="13"/>
  </si>
  <si>
    <t>品川 5X1 ろ 8724</t>
    <rPh sb="0" eb="2">
      <t>シナガワ</t>
    </rPh>
    <phoneticPr fontId="13"/>
  </si>
  <si>
    <t>品川 5X1 ろ 7426</t>
    <rPh sb="0" eb="2">
      <t>シナガワ</t>
    </rPh>
    <phoneticPr fontId="13"/>
  </si>
  <si>
    <t>尾張小牧 580 ふ 7402</t>
    <rPh sb="0" eb="4">
      <t>オワリコマキ</t>
    </rPh>
    <phoneticPr fontId="13"/>
  </si>
  <si>
    <t>株式会社ﾌｧｰｽﾄﾍﾞﾙ</t>
    <rPh sb="0" eb="4">
      <t>カブシキガイシャ</t>
    </rPh>
    <phoneticPr fontId="13"/>
  </si>
  <si>
    <t>一宮 582 ろ 5021</t>
    <rPh sb="0" eb="2">
      <t>イチノミヤ</t>
    </rPh>
    <phoneticPr fontId="13"/>
  </si>
  <si>
    <t>MAHMOOD KASHIF</t>
    <phoneticPr fontId="13"/>
  </si>
  <si>
    <t>なにわ 5P6 ろ 2522</t>
    <phoneticPr fontId="13"/>
  </si>
  <si>
    <t>なにわ 5P7 ろ 2824</t>
    <phoneticPr fontId="13"/>
  </si>
  <si>
    <t>なにわ 5P7 ろ 2825</t>
    <phoneticPr fontId="13"/>
  </si>
  <si>
    <t>なにわ 5P7 ろ 2837</t>
    <phoneticPr fontId="13"/>
  </si>
  <si>
    <t>多摩 592 ろ 3469</t>
    <rPh sb="0" eb="2">
      <t>タマ</t>
    </rPh>
    <phoneticPr fontId="13"/>
  </si>
  <si>
    <t>株式会社MARTIN</t>
    <rPh sb="0" eb="4">
      <t>カブシキガイシャ</t>
    </rPh>
    <phoneticPr fontId="13"/>
  </si>
  <si>
    <t>なにわ 5P5 ろ 4453</t>
    <phoneticPr fontId="13"/>
  </si>
  <si>
    <t>岡山 581 た 8478</t>
    <rPh sb="0" eb="2">
      <t>オカヤマ</t>
    </rPh>
    <phoneticPr fontId="13"/>
  </si>
  <si>
    <t>倉敷 584 か 29</t>
    <rPh sb="0" eb="2">
      <t>クラシキ</t>
    </rPh>
    <phoneticPr fontId="13"/>
  </si>
  <si>
    <t>平田 尚子</t>
    <rPh sb="0" eb="2">
      <t>ヒラタ</t>
    </rPh>
    <rPh sb="3" eb="5">
      <t>ナオコ</t>
    </rPh>
    <phoneticPr fontId="13"/>
  </si>
  <si>
    <t>保証書 取説 ｽﾍﾟｱｷｰ ﾘﾓｺﾝ</t>
    <rPh sb="0" eb="3">
      <t>ホショウショ</t>
    </rPh>
    <rPh sb="4" eb="6">
      <t>トリセツ</t>
    </rPh>
    <phoneticPr fontId="13"/>
  </si>
  <si>
    <t>倉敷 583 て 7722</t>
    <rPh sb="0" eb="2">
      <t>クラシキ</t>
    </rPh>
    <phoneticPr fontId="13"/>
  </si>
  <si>
    <t>三木 雅子</t>
    <rPh sb="0" eb="2">
      <t>ミキ</t>
    </rPh>
    <rPh sb="3" eb="5">
      <t>マサコ</t>
    </rPh>
    <phoneticPr fontId="13"/>
  </si>
  <si>
    <t>広島 483 ま 323</t>
    <rPh sb="0" eb="2">
      <t>ヒロシマ</t>
    </rPh>
    <phoneticPr fontId="13"/>
  </si>
  <si>
    <t>佐々木 雅也</t>
    <rPh sb="0" eb="3">
      <t>ササキ</t>
    </rPh>
    <rPh sb="4" eb="6">
      <t>マサヤ</t>
    </rPh>
    <phoneticPr fontId="13"/>
  </si>
  <si>
    <t>ｽﾍﾟｱｷｰ2個</t>
    <rPh sb="7" eb="8">
      <t>コ</t>
    </rPh>
    <phoneticPr fontId="13"/>
  </si>
  <si>
    <t>神戸 58A か 1569</t>
    <rPh sb="0" eb="2">
      <t>コウベ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</si>
  <si>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phoneticPr fontId="13"/>
  </si>
  <si>
    <t>長野日産自動車株式会社</t>
    <rPh sb="0" eb="2">
      <t>ナガノ</t>
    </rPh>
    <rPh sb="2" eb="4">
      <t>ニッサン</t>
    </rPh>
    <rPh sb="4" eb="7">
      <t>ジドウシャ</t>
    </rPh>
    <rPh sb="7" eb="11">
      <t>カブシキガイシャ</t>
    </rPh>
    <phoneticPr fontId="13"/>
  </si>
  <si>
    <t>湘南 580 も 4830</t>
    <rPh sb="0" eb="2">
      <t>ショウナン</t>
    </rPh>
    <phoneticPr fontId="13"/>
  </si>
  <si>
    <t>ZEB AAMER</t>
    <phoneticPr fontId="13"/>
  </si>
  <si>
    <t>名古屋 780 ろ 772</t>
    <rPh sb="0" eb="3">
      <t>ナゴヤ</t>
    </rPh>
    <phoneticPr fontId="13"/>
  </si>
  <si>
    <t>愛知ｽｽﾞｷ販売株式会社</t>
    <rPh sb="0" eb="2">
      <t>アイチ</t>
    </rPh>
    <rPh sb="6" eb="12">
      <t>ハンバイカブシキガイシャ</t>
    </rPh>
    <phoneticPr fontId="13"/>
  </si>
  <si>
    <t>諏訪 583 な 1230</t>
    <rPh sb="0" eb="2">
      <t>スワ</t>
    </rPh>
    <phoneticPr fontId="13"/>
  </si>
  <si>
    <t>取説 中古車保証書</t>
    <rPh sb="0" eb="2">
      <t>トリセツ</t>
    </rPh>
    <rPh sb="3" eb="6">
      <t>チュウコシャ</t>
    </rPh>
    <rPh sb="6" eb="9">
      <t>ホショウショ</t>
    </rPh>
    <phoneticPr fontId="13"/>
  </si>
  <si>
    <t>三河 588 ふ 8</t>
    <rPh sb="0" eb="2">
      <t>ミカワ</t>
    </rPh>
    <phoneticPr fontId="13"/>
  </si>
  <si>
    <t>有限会社松木島ﾓｰﾀｰｽ</t>
    <rPh sb="0" eb="4">
      <t>ユウゲンガイシャ</t>
    </rPh>
    <rPh sb="4" eb="6">
      <t>マツキ</t>
    </rPh>
    <rPh sb="6" eb="7">
      <t>シマ</t>
    </rPh>
    <phoneticPr fontId="13"/>
  </si>
  <si>
    <t>保証書 取説 ﾅﾋﾞ取  ｽﾍﾟｱｷｰ</t>
    <rPh sb="0" eb="3">
      <t>ホショウショ</t>
    </rPh>
    <rPh sb="4" eb="6">
      <t>トリセツ</t>
    </rPh>
    <rPh sb="10" eb="11">
      <t>トリ</t>
    </rPh>
    <phoneticPr fontId="13"/>
  </si>
  <si>
    <t>加藤 芳治</t>
    <rPh sb="0" eb="2">
      <t>カトウ</t>
    </rPh>
    <rPh sb="3" eb="4">
      <t>ヨシ</t>
    </rPh>
    <rPh sb="4" eb="5">
      <t>ハル</t>
    </rPh>
    <phoneticPr fontId="13"/>
  </si>
  <si>
    <t>地図SD(車内)保証書 取説 ｽﾏｰﾄｷｰ ﾜﾝｵｰﾅｰ</t>
    <rPh sb="8" eb="11">
      <t>ホショウショ</t>
    </rPh>
    <rPh sb="12" eb="14">
      <t>トリセツ</t>
    </rPh>
    <phoneticPr fontId="13"/>
  </si>
  <si>
    <t>有限会社ｶｰｵｰﾀﾞｰM</t>
    <rPh sb="0" eb="4">
      <t>ユウゲンガイシャ</t>
    </rPh>
    <phoneticPr fontId="13"/>
  </si>
  <si>
    <t>三河 580 ぬ 5326</t>
    <rPh sb="0" eb="2">
      <t>ミカワ</t>
    </rPh>
    <phoneticPr fontId="13"/>
  </si>
  <si>
    <t>杉浦自動車工業 株式会社</t>
    <rPh sb="0" eb="2">
      <t>スギウラ</t>
    </rPh>
    <rPh sb="2" eb="5">
      <t>ジドウシャ</t>
    </rPh>
    <rPh sb="5" eb="7">
      <t>コウギョウ</t>
    </rPh>
    <rPh sb="8" eb="12">
      <t>カブシキガイシャ</t>
    </rPh>
    <phoneticPr fontId="13"/>
  </si>
  <si>
    <t>保証書 取説 ﾅﾋﾞﾃﾞｨｽｸ</t>
    <rPh sb="0" eb="3">
      <t>ホショウショ</t>
    </rPh>
    <rPh sb="4" eb="6">
      <t>トリセツ</t>
    </rPh>
    <phoneticPr fontId="13"/>
  </si>
  <si>
    <t>大阪 589 ろ 7912</t>
    <rPh sb="0" eb="2">
      <t>オオサカ</t>
    </rPh>
    <phoneticPr fontId="13"/>
  </si>
  <si>
    <t>株式会社SANRINK</t>
    <rPh sb="0" eb="4">
      <t>カブシキガイシャ</t>
    </rPh>
    <phoneticPr fontId="13"/>
  </si>
  <si>
    <t>初年度5/1→5/6</t>
    <rPh sb="0" eb="3">
      <t>ショネンド</t>
    </rPh>
    <phoneticPr fontId="13"/>
  </si>
  <si>
    <t>27-1522</t>
  </si>
  <si>
    <t>藤原様</t>
    <rPh sb="0" eb="2">
      <t>フジワラ</t>
    </rPh>
    <rPh sb="2" eb="3">
      <t>サマ</t>
    </rPh>
    <phoneticPr fontId="13"/>
  </si>
  <si>
    <t>ﾒﾙｾﾃﾞｽﾍﾞﾝﾂ S320</t>
    <phoneticPr fontId="13"/>
  </si>
  <si>
    <t>WDB220065-1A144459</t>
    <phoneticPr fontId="13"/>
  </si>
  <si>
    <t>神戸 332 ろ 1</t>
    <rPh sb="0" eb="2">
      <t>コウベ</t>
    </rPh>
    <phoneticPr fontId="13"/>
  </si>
  <si>
    <t>村上 晃</t>
    <rPh sb="0" eb="2">
      <t>ムラカミ</t>
    </rPh>
    <rPh sb="3" eb="4">
      <t>アキラ</t>
    </rPh>
    <phoneticPr fontId="13"/>
  </si>
  <si>
    <t>27-1523</t>
  </si>
  <si>
    <t>27-1524</t>
  </si>
  <si>
    <t>27-1525</t>
  </si>
  <si>
    <t>27-1526</t>
  </si>
  <si>
    <t>27-1527</t>
  </si>
  <si>
    <t>27-1528</t>
  </si>
  <si>
    <t>27-1529</t>
  </si>
  <si>
    <t>27-1530</t>
  </si>
  <si>
    <t>27-1531</t>
  </si>
  <si>
    <t>ｱｳﾃﾞｨ A5 ｽﾎﾟｰﾂB40 TFSI</t>
    <phoneticPr fontId="13"/>
  </si>
  <si>
    <t>WAUZZZF56KA064106</t>
    <phoneticPr fontId="13"/>
  </si>
  <si>
    <t>市川 310 や 95</t>
    <rPh sb="0" eb="2">
      <t>イチカワ</t>
    </rPh>
    <phoneticPr fontId="13"/>
  </si>
  <si>
    <t>31/12</t>
    <phoneticPr fontId="13"/>
  </si>
  <si>
    <t>BMW 3ｼﾘｰｽﾞ 330i Mｽﾎﾟｰﾂ</t>
    <phoneticPr fontId="13"/>
  </si>
  <si>
    <t>WBA5R12030AE80382</t>
    <phoneticPr fontId="13"/>
  </si>
  <si>
    <t>品川 332 ほ 140</t>
    <rPh sb="0" eb="2">
      <t>シナガワ</t>
    </rPh>
    <phoneticPr fontId="13"/>
  </si>
  <si>
    <t>27-1532</t>
  </si>
  <si>
    <t>27-1533</t>
  </si>
  <si>
    <t>ﾌｨｱｯﾄ500 ﾂｲﾝｴｱﾗｳﾝｼﾞ</t>
    <phoneticPr fontId="13"/>
  </si>
  <si>
    <t>ZFA3120000JB01604</t>
    <phoneticPr fontId="13"/>
  </si>
  <si>
    <t>8/4/16</t>
    <phoneticPr fontId="13"/>
  </si>
  <si>
    <t>三河 531 ひ 76</t>
    <rPh sb="0" eb="2">
      <t>ミカワ</t>
    </rPh>
    <phoneticPr fontId="13"/>
  </si>
  <si>
    <t>ｱｳﾃﾞｨ Q5 40TDIｽﾎﾟｰﾂ</t>
    <phoneticPr fontId="13"/>
  </si>
  <si>
    <t>WAUZZZFY6K2037220</t>
    <phoneticPr fontId="13"/>
  </si>
  <si>
    <t>浜松 331 に 3717</t>
    <rPh sb="0" eb="2">
      <t>ハママツ</t>
    </rPh>
    <phoneticPr fontId="13"/>
  </si>
  <si>
    <t>保証書 ｷｰﾚｽ ﾚﾝﾀｶｰ</t>
    <rPh sb="0" eb="3">
      <t>ホショウショ</t>
    </rPh>
    <phoneticPr fontId="13"/>
  </si>
  <si>
    <t>株式会社AID商会</t>
    <rPh sb="0" eb="4">
      <t>カブシキガイシャ</t>
    </rPh>
    <rPh sb="7" eb="9">
      <t>ショウカイ</t>
    </rPh>
    <phoneticPr fontId="13"/>
  </si>
  <si>
    <t>神戸 304 や 3304</t>
    <rPh sb="0" eb="2">
      <t>コウベ</t>
    </rPh>
    <phoneticPr fontId="13"/>
  </si>
  <si>
    <t>品川 49A そ 3221</t>
    <rPh sb="0" eb="2">
      <t>シナガワ</t>
    </rPh>
    <phoneticPr fontId="13"/>
  </si>
  <si>
    <t>愛媛 331 も 380</t>
    <rPh sb="0" eb="2">
      <t>エヒメ</t>
    </rPh>
    <phoneticPr fontId="13"/>
  </si>
  <si>
    <t>三河 584 ろ 1530</t>
    <rPh sb="0" eb="2">
      <t>ミカワ</t>
    </rPh>
    <phoneticPr fontId="13"/>
  </si>
  <si>
    <t>尾張小牧 581 つ 303</t>
    <rPh sb="0" eb="4">
      <t>オワリコマキ</t>
    </rPh>
    <phoneticPr fontId="13"/>
  </si>
  <si>
    <t>四日市 584 や 17</t>
    <rPh sb="0" eb="3">
      <t>ヨッカイチ</t>
    </rPh>
    <phoneticPr fontId="13"/>
  </si>
  <si>
    <t>滋賀 583 む 8007</t>
    <rPh sb="0" eb="2">
      <t>シガ</t>
    </rPh>
    <phoneticPr fontId="13"/>
  </si>
  <si>
    <t>福山 590 る 111</t>
    <rPh sb="0" eb="2">
      <t>フクヤマ</t>
    </rPh>
    <phoneticPr fontId="13"/>
  </si>
  <si>
    <t>杉原 伶奈</t>
    <rPh sb="0" eb="2">
      <t>スギハラ</t>
    </rPh>
    <rPh sb="3" eb="5">
      <t>レイナ</t>
    </rPh>
    <phoneticPr fontId="13"/>
  </si>
  <si>
    <t>ｷｬﾝｾﾙ 書類返送10/31</t>
    <rPh sb="6" eb="10">
      <t>ショルイヘンソウ</t>
    </rPh>
    <phoneticPr fontId="13"/>
  </si>
  <si>
    <t>ﾌｨｯﾄ eHEV ｸﾛｽﾀｰ</t>
    <phoneticPr fontId="13"/>
  </si>
  <si>
    <t>GR6-1104582</t>
    <phoneticPr fontId="13"/>
  </si>
  <si>
    <t>27-1534</t>
  </si>
  <si>
    <t>27-1535</t>
  </si>
  <si>
    <t>27-1536</t>
  </si>
  <si>
    <t>27-1537</t>
  </si>
  <si>
    <t>N-BOXｶｽﾀﾑ G EXﾎﾝﾀﾞｾﾝｼﾝｸﾞ</t>
    <phoneticPr fontId="13"/>
  </si>
  <si>
    <t>JF3-1047124</t>
    <phoneticPr fontId="13"/>
  </si>
  <si>
    <t>CX3 XDﾂｰﾘﾝｸﾞ Lﾊﾟｯｹｰｼﾞ</t>
    <phoneticPr fontId="13"/>
  </si>
  <si>
    <t>DK5AW-112650</t>
    <phoneticPr fontId="13"/>
  </si>
  <si>
    <t>保証書 12月末名変</t>
    <rPh sb="0" eb="3">
      <t>ホショウショ</t>
    </rPh>
    <rPh sb="6" eb="10">
      <t>ガツマツメイヘン</t>
    </rPh>
    <phoneticPr fontId="13"/>
  </si>
  <si>
    <t>取説 12月末名変</t>
    <rPh sb="0" eb="2">
      <t>トリセツ</t>
    </rPh>
    <rPh sb="5" eb="9">
      <t>ガツマツメイヘン</t>
    </rPh>
    <phoneticPr fontId="13"/>
  </si>
  <si>
    <t>ｽﾃｯﾌﾟﾜｺﾞﾝ eHEV ｽﾊﾟｰﾀﾞ ﾌﾟﾚﾐｱﾑﾗｲﾝ</t>
    <phoneticPr fontId="13"/>
  </si>
  <si>
    <t>RP8-1011983</t>
    <phoneticPr fontId="13"/>
  </si>
  <si>
    <t>ｱﾙﾌｧｰﾄﾞ S ﾀｲﾌﾟｺﾞｰﾙﾄﾞ</t>
    <phoneticPr fontId="13"/>
  </si>
  <si>
    <t>AGH30-0372608</t>
    <phoneticPr fontId="13"/>
  </si>
  <si>
    <t>MH34S-133374</t>
    <phoneticPr fontId="13"/>
  </si>
  <si>
    <t>保証書 取説 ﾅﾋﾞ取 12月末名変</t>
    <rPh sb="0" eb="3">
      <t>ホショウショ</t>
    </rPh>
    <rPh sb="4" eb="6">
      <t>トリセツ</t>
    </rPh>
    <rPh sb="10" eb="11">
      <t>トリ</t>
    </rPh>
    <rPh sb="14" eb="18">
      <t>ガツマツメイヘン</t>
    </rPh>
    <phoneticPr fontId="13"/>
  </si>
  <si>
    <t>582 い 3168</t>
    <phoneticPr fontId="13"/>
  </si>
  <si>
    <t>地図SD(車内)取説</t>
    <rPh sb="0" eb="2">
      <t>チズ</t>
    </rPh>
    <rPh sb="5" eb="7">
      <t>シャナイ</t>
    </rPh>
    <rPh sb="8" eb="10">
      <t>トリセツ</t>
    </rPh>
    <phoneticPr fontId="13"/>
  </si>
  <si>
    <t>地図SD(車内)保証書　取説　Sｷｰ</t>
    <rPh sb="8" eb="11">
      <t>ホショウショ</t>
    </rPh>
    <rPh sb="12" eb="14">
      <t>トリセツ</t>
    </rPh>
    <phoneticPr fontId="13"/>
  </si>
  <si>
    <t>保証書 ｷｰﾚｽ(車内)</t>
    <rPh sb="0" eb="3">
      <t>ホショウショ</t>
    </rPh>
    <rPh sb="9" eb="11">
      <t>シャナイ</t>
    </rPh>
    <phoneticPr fontId="13"/>
  </si>
  <si>
    <t>取説 ｷｰﾚｽ(車内)保証書 ﾚﾝﾀｶｰ</t>
    <rPh sb="0" eb="2">
      <t>トリセツ</t>
    </rPh>
    <rPh sb="11" eb="14">
      <t>ホショウショ</t>
    </rPh>
    <phoneticPr fontId="13"/>
  </si>
  <si>
    <t>ﾘﾓｺﾝ2個(車内)保証書 取説 ｷｰﾚｽ</t>
    <rPh sb="5" eb="6">
      <t>コ</t>
    </rPh>
    <rPh sb="10" eb="13">
      <t>ホショウショ</t>
    </rPh>
    <rPh sb="14" eb="16">
      <t>トリセツ</t>
    </rPh>
    <phoneticPr fontId="13"/>
  </si>
  <si>
    <t>27-1538</t>
  </si>
  <si>
    <t>27-1539</t>
  </si>
  <si>
    <t>27-1540</t>
  </si>
  <si>
    <t>27-1541</t>
  </si>
  <si>
    <t>27-1542</t>
  </si>
  <si>
    <t>27-1543</t>
  </si>
  <si>
    <t>27-1544</t>
  </si>
  <si>
    <t>27-1545</t>
  </si>
  <si>
    <t>27-1546</t>
  </si>
  <si>
    <t>27-1547</t>
  </si>
  <si>
    <t>27-1548</t>
  </si>
  <si>
    <t>LA250S-0045419</t>
    <phoneticPr fontId="13"/>
  </si>
  <si>
    <t>B11A-0300667</t>
    <phoneticPr fontId="13"/>
  </si>
  <si>
    <t>MH34S-542505</t>
    <phoneticPr fontId="13"/>
  </si>
  <si>
    <t>MXPK11-2108345</t>
    <phoneticPr fontId="13"/>
  </si>
  <si>
    <t>27-1549</t>
  </si>
  <si>
    <t>27-1550</t>
  </si>
  <si>
    <t>27-1551</t>
  </si>
  <si>
    <t>27-1552</t>
  </si>
  <si>
    <t>N-BOXｶｽﾀﾑ</t>
    <phoneticPr fontId="13"/>
  </si>
  <si>
    <t>JF5-1140086</t>
    <phoneticPr fontId="13"/>
  </si>
  <si>
    <t>MK53S-886587</t>
    <phoneticPr fontId="13"/>
  </si>
  <si>
    <t>ﾑｰﾌﾞｷｬﾝﾊﾞｽ Gﾌﾞﾗｯｸ</t>
    <phoneticPr fontId="13"/>
  </si>
  <si>
    <t>LA800S-0137233</t>
    <phoneticPr fontId="13"/>
  </si>
  <si>
    <t>LA800S-0157690</t>
    <phoneticPr fontId="13"/>
  </si>
  <si>
    <t>DA17W-200818</t>
    <phoneticPr fontId="13"/>
  </si>
  <si>
    <t>ｼｴﾝﾀ G</t>
    <phoneticPr fontId="13"/>
  </si>
  <si>
    <t>NSP170-7075881</t>
    <phoneticPr fontId="13"/>
  </si>
  <si>
    <t>JF1-3203449</t>
    <phoneticPr fontId="13"/>
  </si>
  <si>
    <t>ﾑｰﾌﾞｷｬﾝﾊﾞｽ Xﾘﾐﾃｯﾄﾞ</t>
    <phoneticPr fontId="13"/>
  </si>
  <si>
    <t>LA800S-0042660</t>
    <phoneticPr fontId="13"/>
  </si>
  <si>
    <t>LA100S-1020580</t>
    <phoneticPr fontId="13"/>
  </si>
  <si>
    <r>
      <t xml:space="preserve">保証書 取説 ｳｲﾝﾁﾘﾓｺﾝ </t>
    </r>
    <r>
      <rPr>
        <sz val="11"/>
        <color theme="3"/>
        <rFont val="ＭＳ Ｐゴシック"/>
        <family val="3"/>
        <charset val="128"/>
        <scheme val="minor"/>
      </rPr>
      <t>非課税OK</t>
    </r>
    <rPh sb="0" eb="3">
      <t>ホショウショ</t>
    </rPh>
    <rPh sb="4" eb="6">
      <t>トリセツ</t>
    </rPh>
    <rPh sb="16" eb="19">
      <t>ヒカゼイ</t>
    </rPh>
    <phoneticPr fontId="13"/>
  </si>
  <si>
    <t>ｷｬｽﾄｱｸﾃｨﾊﾞ  G SA2</t>
    <phoneticPr fontId="13"/>
  </si>
  <si>
    <t>岐阜 581 ひ 163</t>
    <rPh sb="0" eb="2">
      <t>ギフ</t>
    </rPh>
    <phoneticPr fontId="13"/>
  </si>
  <si>
    <t>ekｽﾍﾟｰｽ Gｾｰﾌﾃｨﾊﾟｯｹｰｼﾞ</t>
    <phoneticPr fontId="13"/>
  </si>
  <si>
    <t>姫路 581 の 6112</t>
    <rPh sb="0" eb="2">
      <t>ヒメジ</t>
    </rPh>
    <phoneticPr fontId="13"/>
  </si>
  <si>
    <t>沖縄 506 れ 3871</t>
    <rPh sb="0" eb="2">
      <t>オキナワ</t>
    </rPh>
    <phoneticPr fontId="13"/>
  </si>
  <si>
    <t>ﾚﾝﾀｶｰ 自賠責離島</t>
    <rPh sb="6" eb="9">
      <t>ジバイセキ</t>
    </rPh>
    <rPh sb="9" eb="11">
      <t>リトウ</t>
    </rPh>
    <phoneticPr fontId="13"/>
  </si>
  <si>
    <t>10/2/24</t>
    <phoneticPr fontId="13"/>
  </si>
  <si>
    <t>ｽﾍﾟｰｼｱｷﾞｱ ﾊｲﾌﾞﾘｯﾄﾞX</t>
    <phoneticPr fontId="13"/>
  </si>
  <si>
    <t>ﾐﾝﾄｸﾞﾘｰﾝ</t>
    <phoneticPr fontId="13"/>
  </si>
  <si>
    <t>ﾑｰﾌﾞｷｬﾝﾊﾞｽ X ﾒｲｸｱｯﾌﾟﾘﾐﾃｯﾄﾞ SA3</t>
    <phoneticPr fontId="13"/>
  </si>
  <si>
    <t>ｴﾌﾞﾘｲﾜｺﾞﾝ PZﾀｰﾎﾞ ﾊｲﾙｰﾌ</t>
    <phoneticPr fontId="13"/>
  </si>
  <si>
    <t xml:space="preserve">ﾚﾝﾀｶｰ </t>
    <phoneticPr fontId="13"/>
  </si>
  <si>
    <t>9/8/16</t>
    <phoneticPr fontId="13"/>
  </si>
  <si>
    <t>8/4/3</t>
    <phoneticPr fontId="13"/>
  </si>
  <si>
    <t>ﾊｲｾﾞｯﾄｶｰｺﾞ DX SA3</t>
    <phoneticPr fontId="13"/>
  </si>
  <si>
    <t>S321V-0506133</t>
    <phoneticPr fontId="13"/>
  </si>
  <si>
    <t>11/1</t>
    <phoneticPr fontId="13"/>
  </si>
  <si>
    <t>ｽｽﾞｷ建設工業株式会社</t>
    <rPh sb="4" eb="6">
      <t>ケンセツ</t>
    </rPh>
    <rPh sb="6" eb="8">
      <t>コウギョウ</t>
    </rPh>
    <rPh sb="8" eb="12">
      <t>カブシキガイシャ</t>
    </rPh>
    <phoneticPr fontId="13"/>
  </si>
  <si>
    <t>保証書 取説 ｷｰﾚｽ ﾛｯｸﾅｯﾄ 詳細上げ</t>
    <rPh sb="0" eb="3">
      <t>ホショウショ</t>
    </rPh>
    <rPh sb="4" eb="6">
      <t>トリセツ</t>
    </rPh>
    <rPh sb="19" eb="21">
      <t>ショウサイ</t>
    </rPh>
    <rPh sb="21" eb="22">
      <t>ア</t>
    </rPh>
    <phoneticPr fontId="13"/>
  </si>
  <si>
    <t>山口 583 い 1744</t>
    <rPh sb="0" eb="2">
      <t>ヤマグチ</t>
    </rPh>
    <phoneticPr fontId="13"/>
  </si>
  <si>
    <t>株式会社ｽｽﾞｷ自販山口</t>
    <rPh sb="0" eb="4">
      <t>カブシキガイシャ</t>
    </rPh>
    <rPh sb="8" eb="10">
      <t>ジハン</t>
    </rPh>
    <rPh sb="10" eb="12">
      <t>ヤマグチ</t>
    </rPh>
    <phoneticPr fontId="13"/>
  </si>
  <si>
    <t>YV1MVA8RDK2555336</t>
    <phoneticPr fontId="13"/>
  </si>
  <si>
    <t>名古屋 362 ひ 718</t>
    <phoneticPr fontId="13"/>
  </si>
  <si>
    <t>日産ﾌﾟﾘﾝｽ名古屋販売株式会社</t>
    <rPh sb="0" eb="2">
      <t>ニッサン</t>
    </rPh>
    <rPh sb="7" eb="10">
      <t>ナゴヤ</t>
    </rPh>
    <rPh sb="10" eb="16">
      <t>ハンバイカブシキガイシャ</t>
    </rPh>
    <phoneticPr fontId="13"/>
  </si>
  <si>
    <t>橋本ｳｪﾙﾃﾞｨﾝｸﾞ株式会社</t>
    <rPh sb="0" eb="2">
      <t>ハシモト</t>
    </rPh>
    <rPh sb="11" eb="15">
      <t>カブシキガイシャ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</si>
  <si>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</si>
  <si>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保証書 取説 ｷｰﾚｽ2個</t>
    <rPh sb="0" eb="3">
      <t>ホショウショ</t>
    </rPh>
    <rPh sb="4" eb="6">
      <t>トリセツ</t>
    </rPh>
    <rPh sb="12" eb="13">
      <t>コ</t>
    </rPh>
    <phoneticPr fontId="13"/>
  </si>
  <si>
    <t>滋賀 580 ぬ 3631</t>
    <rPh sb="0" eb="2">
      <t>シガ</t>
    </rPh>
    <phoneticPr fontId="13"/>
  </si>
  <si>
    <t>ﾈｯﾂﾄﾖﾀびわこ株式会社</t>
    <rPh sb="9" eb="13">
      <t>カブシキガイシャ</t>
    </rPh>
    <phoneticPr fontId="13"/>
  </si>
  <si>
    <t>高松 580 く 507</t>
    <rPh sb="0" eb="2">
      <t>タカマツ</t>
    </rPh>
    <phoneticPr fontId="13"/>
  </si>
  <si>
    <t>山口 583 て 3025</t>
    <rPh sb="0" eb="2">
      <t>ヤマグチ</t>
    </rPh>
    <phoneticPr fontId="13"/>
  </si>
  <si>
    <t>整備手帳 取説 ﾅﾋﾞ取</t>
    <rPh sb="0" eb="4">
      <t>セイビテチョウ</t>
    </rPh>
    <rPh sb="5" eb="7">
      <t>トリセツ</t>
    </rPh>
    <rPh sb="11" eb="12">
      <t>トリ</t>
    </rPh>
    <phoneticPr fontId="13"/>
  </si>
  <si>
    <t>愛媛 583 う 1484</t>
    <rPh sb="0" eb="2">
      <t>エヒメ</t>
    </rPh>
    <phoneticPr fontId="13"/>
  </si>
  <si>
    <t>ﾄﾖﾀｶﾛｰﾗ愛媛株式会社</t>
    <rPh sb="7" eb="9">
      <t>エヒメ</t>
    </rPh>
    <rPh sb="9" eb="13">
      <t>カブシキガイシャ</t>
    </rPh>
    <phoneticPr fontId="13"/>
  </si>
  <si>
    <t>滋賀 581 い 9355</t>
    <rPh sb="0" eb="2">
      <t>シガ</t>
    </rPh>
    <phoneticPr fontId="13"/>
  </si>
  <si>
    <t>ﾅﾋﾞ取 B-CAS</t>
    <rPh sb="3" eb="4">
      <t>トリ</t>
    </rPh>
    <phoneticPr fontId="13"/>
  </si>
  <si>
    <t>土浦 330 に 8027</t>
    <rPh sb="0" eb="2">
      <t>ツチウラ</t>
    </rPh>
    <phoneticPr fontId="13"/>
  </si>
  <si>
    <t>脇島 善朗</t>
    <rPh sb="0" eb="2">
      <t>ワキシマ</t>
    </rPh>
    <rPh sb="3" eb="4">
      <t>ゼン</t>
    </rPh>
    <rPh sb="4" eb="5">
      <t>ロウ</t>
    </rPh>
    <phoneticPr fontId="13"/>
  </si>
  <si>
    <t>神戸 590 に 555</t>
    <rPh sb="0" eb="2">
      <t>コウベ</t>
    </rPh>
    <phoneticPr fontId="13"/>
  </si>
  <si>
    <t>松原 拓真</t>
    <rPh sb="0" eb="2">
      <t>マツバラ</t>
    </rPh>
    <rPh sb="3" eb="5">
      <t>タクマ</t>
    </rPh>
    <phoneticPr fontId="13"/>
  </si>
  <si>
    <t>野田 591 き 358</t>
    <rPh sb="0" eb="2">
      <t>ノダ</t>
    </rPh>
    <phoneticPr fontId="13"/>
  </si>
  <si>
    <t>菅原 鈴子</t>
    <rPh sb="0" eb="2">
      <t>スガワラ</t>
    </rPh>
    <rPh sb="3" eb="5">
      <t>スズコ</t>
    </rPh>
    <phoneticPr fontId="13"/>
  </si>
  <si>
    <t>習志野 330 た 8398</t>
    <rPh sb="0" eb="3">
      <t>ナラシノ</t>
    </rPh>
    <phoneticPr fontId="13"/>
  </si>
  <si>
    <t>島田 雄斗</t>
    <rPh sb="0" eb="2">
      <t>シマダ</t>
    </rPh>
    <rPh sb="3" eb="4">
      <t>ユウ</t>
    </rPh>
    <rPh sb="4" eb="5">
      <t>ト</t>
    </rPh>
    <phoneticPr fontId="13"/>
  </si>
  <si>
    <t>大阪 421 せ 8</t>
    <rPh sb="0" eb="2">
      <t>オオサカ</t>
    </rPh>
    <phoneticPr fontId="13"/>
  </si>
  <si>
    <t>株式会社ﾐﾅｸﾙ</t>
    <rPh sb="0" eb="4">
      <t>カブシキガイシャ</t>
    </rPh>
    <phoneticPr fontId="13"/>
  </si>
  <si>
    <t>山本 有玲</t>
    <rPh sb="0" eb="2">
      <t>ヤマモト</t>
    </rPh>
    <rPh sb="3" eb="4">
      <t>ユウ</t>
    </rPh>
    <rPh sb="4" eb="5">
      <t>レイ</t>
    </rPh>
    <phoneticPr fontId="13"/>
  </si>
  <si>
    <t>神戸 485 ろ 8872</t>
    <rPh sb="0" eb="2">
      <t>コウベ</t>
    </rPh>
    <phoneticPr fontId="13"/>
  </si>
  <si>
    <t>佐藤 由樹</t>
    <rPh sb="0" eb="2">
      <t>サトウ</t>
    </rPh>
    <rPh sb="3" eb="5">
      <t>ユキ</t>
    </rPh>
    <phoneticPr fontId="13"/>
  </si>
  <si>
    <t>保証書 取説 ｽﾃｯｶｰ</t>
    <rPh sb="0" eb="3">
      <t>ホショウショ</t>
    </rPh>
    <rPh sb="4" eb="6">
      <t>トリセツ</t>
    </rPh>
    <phoneticPr fontId="13"/>
  </si>
  <si>
    <t>柳 好美</t>
    <rPh sb="0" eb="1">
      <t>ヤナギ</t>
    </rPh>
    <rPh sb="2" eb="4">
      <t>ヨシミ</t>
    </rPh>
    <phoneticPr fontId="13"/>
  </si>
  <si>
    <t xml:space="preserve">保証書 取説 ﾅﾋﾞ取 ｷｰﾚｽ SD </t>
    <rPh sb="0" eb="3">
      <t>ホショウショ</t>
    </rPh>
    <rPh sb="4" eb="6">
      <t>トリセツ</t>
    </rPh>
    <rPh sb="10" eb="11">
      <t>トリ</t>
    </rPh>
    <phoneticPr fontId="13"/>
  </si>
  <si>
    <t>和泉 581 ね 9084</t>
    <rPh sb="0" eb="2">
      <t>イズミ</t>
    </rPh>
    <phoneticPr fontId="13"/>
  </si>
  <si>
    <t>神戸 338 る 1800</t>
    <rPh sb="0" eb="2">
      <t>コウベ</t>
    </rPh>
    <phoneticPr fontId="13"/>
  </si>
  <si>
    <t>水田 修</t>
    <rPh sb="0" eb="2">
      <t>ミズタ</t>
    </rPh>
    <rPh sb="3" eb="4">
      <t>シュウ</t>
    </rPh>
    <phoneticPr fontId="13"/>
  </si>
  <si>
    <t>河瀬 勝亮</t>
    <rPh sb="0" eb="2">
      <t>カワセ</t>
    </rPh>
    <rPh sb="3" eb="4">
      <t>カツ</t>
    </rPh>
    <rPh sb="4" eb="5">
      <t>リョウ</t>
    </rPh>
    <phoneticPr fontId="13"/>
  </si>
  <si>
    <t>和泉 329 な 6775</t>
    <rPh sb="0" eb="2">
      <t>イズミ</t>
    </rPh>
    <phoneticPr fontId="13"/>
  </si>
  <si>
    <t>堺 338 て 1101</t>
    <rPh sb="0" eb="1">
      <t>サカイ</t>
    </rPh>
    <phoneticPr fontId="13"/>
  </si>
  <si>
    <t>取説 ﾅﾋﾞ取 ｷｰﾚｽ 地図SD</t>
    <rPh sb="0" eb="2">
      <t>トリセツ</t>
    </rPh>
    <rPh sb="6" eb="7">
      <t>トリ</t>
    </rPh>
    <rPh sb="13" eb="15">
      <t>チズ</t>
    </rPh>
    <phoneticPr fontId="13"/>
  </si>
  <si>
    <t>なにわ 59C ち 1599</t>
    <phoneticPr fontId="13"/>
  </si>
  <si>
    <t>株式会社関西マツダ</t>
    <rPh sb="0" eb="4">
      <t>カブシキガイシャ</t>
    </rPh>
    <rPh sb="4" eb="6">
      <t>カンサイ</t>
    </rPh>
    <phoneticPr fontId="13"/>
  </si>
  <si>
    <t>広島 332 そ 177</t>
    <rPh sb="0" eb="2">
      <t>ヒロシマ</t>
    </rPh>
    <phoneticPr fontId="13"/>
  </si>
  <si>
    <t>福岡 39A た 5959</t>
    <rPh sb="0" eb="2">
      <t>フクオカ</t>
    </rPh>
    <phoneticPr fontId="13"/>
  </si>
  <si>
    <t>山梨 332 る 56</t>
    <rPh sb="0" eb="2">
      <t>ヤマナシ</t>
    </rPh>
    <phoneticPr fontId="13"/>
  </si>
  <si>
    <t>山梨ﾄﾖﾀ自動車株式会社</t>
    <rPh sb="0" eb="2">
      <t>ヤマナシ</t>
    </rPh>
    <rPh sb="5" eb="12">
      <t>ジドウシャカブシキガイシャ</t>
    </rPh>
    <phoneticPr fontId="13"/>
  </si>
  <si>
    <t>大阪 361 め 525</t>
    <rPh sb="0" eb="2">
      <t>オオサカ</t>
    </rPh>
    <phoneticPr fontId="13"/>
  </si>
  <si>
    <t>株式会社ﾎﾝﾀﾞ北大阪</t>
    <rPh sb="0" eb="4">
      <t>カブシキガイシャ</t>
    </rPh>
    <rPh sb="8" eb="9">
      <t>キタ</t>
    </rPh>
    <rPh sb="9" eb="11">
      <t>オオサカ</t>
    </rPh>
    <phoneticPr fontId="13"/>
  </si>
  <si>
    <t>なにわ 39A み 9532</t>
    <phoneticPr fontId="13"/>
  </si>
  <si>
    <t>NSP170-7116216</t>
    <phoneticPr fontId="13"/>
  </si>
  <si>
    <t>京都 532 ひ 401</t>
    <rPh sb="0" eb="2">
      <t>キョウト</t>
    </rPh>
    <phoneticPr fontId="13"/>
  </si>
  <si>
    <t>HE33S-336516</t>
    <phoneticPr fontId="13"/>
  </si>
  <si>
    <t>神戸 582 み 2507</t>
    <rPh sb="0" eb="2">
      <t>コウベ</t>
    </rPh>
    <phoneticPr fontId="13"/>
  </si>
  <si>
    <t>JF1-2503932</t>
    <phoneticPr fontId="13"/>
  </si>
  <si>
    <t>保証書 取説 ﾅﾋﾞ取 地図SD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</si>
  <si>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DA17V-885828</t>
    <phoneticPr fontId="13"/>
  </si>
  <si>
    <t>香川 483 た 84</t>
    <rPh sb="0" eb="2">
      <t>カガワ</t>
    </rPh>
    <phoneticPr fontId="13"/>
  </si>
  <si>
    <t>保証書 取説 ﾒｶﾆｶﾙｷｰ ﾜﾝｵｰﾅｰ</t>
    <rPh sb="0" eb="3">
      <t>ホショウショ</t>
    </rPh>
    <rPh sb="4" eb="6">
      <t>トリセツ</t>
    </rPh>
    <phoneticPr fontId="13"/>
  </si>
  <si>
    <t>LA900S-0073678</t>
    <phoneticPr fontId="13"/>
  </si>
  <si>
    <t>8/10/23</t>
    <phoneticPr fontId="13"/>
  </si>
  <si>
    <t>神戸 59L は 3</t>
    <rPh sb="0" eb="2">
      <t>コウベ</t>
    </rPh>
    <phoneticPr fontId="13"/>
  </si>
  <si>
    <t xml:space="preserve">ﾒﾙｾﾃﾞｽﾍﾞﾝﾂ GLEｸｰﾍﾟ 350d </t>
    <phoneticPr fontId="13"/>
  </si>
  <si>
    <t>WDC2923242A132860</t>
    <phoneticPr fontId="13"/>
  </si>
  <si>
    <t>姫路 301 な 6519</t>
    <rPh sb="0" eb="2">
      <t>ヒメジ</t>
    </rPh>
    <phoneticPr fontId="13"/>
  </si>
  <si>
    <t>保証書 ｽﾍﾟｱｷｰ 名変期限12/24まで</t>
    <rPh sb="0" eb="3">
      <t>ホショウショ</t>
    </rPh>
    <rPh sb="11" eb="15">
      <t>メイヘンキゲン</t>
    </rPh>
    <phoneticPr fontId="13"/>
  </si>
  <si>
    <t>BMWﾐﾆｸｰﾊﾟｰ ｺﾝﾊﾞｰﾁﾌﾞﾙ</t>
    <phoneticPr fontId="13"/>
  </si>
  <si>
    <t>WMWWG320903C43681</t>
    <phoneticPr fontId="13"/>
  </si>
  <si>
    <r>
      <rPr>
        <sz val="11"/>
        <color rgb="FF7030A0"/>
        <rFont val="ＭＳ Ｐゴシック"/>
        <family val="3"/>
        <charset val="128"/>
        <scheme val="minor"/>
      </rPr>
      <t>ﾄﾖﾀ</t>
    </r>
    <r>
      <rPr>
        <sz val="11"/>
        <color theme="1"/>
        <rFont val="ＭＳ Ｐゴシック"/>
        <family val="3"/>
        <charset val="128"/>
        <scheme val="minor"/>
      </rPr>
      <t xml:space="preserve"> ｺﾍﾟﾝ GRｽﾎﾟｰﾂ</t>
    </r>
    <phoneticPr fontId="13"/>
  </si>
  <si>
    <r>
      <t xml:space="preserve">保証書 ｽﾍﾟｱｷｰ ﾜﾝｵｰﾅｰ </t>
    </r>
    <r>
      <rPr>
        <sz val="11"/>
        <color theme="3"/>
        <rFont val="ＭＳ Ｐゴシック"/>
        <family val="3"/>
        <charset val="128"/>
        <scheme val="minor"/>
      </rPr>
      <t>名変期間11/2まで</t>
    </r>
    <rPh sb="0" eb="3">
      <t>ホショウショ</t>
    </rPh>
    <rPh sb="18" eb="22">
      <t>メイヘンキカン</t>
    </rPh>
    <phoneticPr fontId="13"/>
  </si>
  <si>
    <t>岡山　395　て　18</t>
    <rPh sb="0" eb="2">
      <t>オカヤマ</t>
    </rPh>
    <phoneticPr fontId="13"/>
  </si>
  <si>
    <t>山口　581　ほ　896</t>
    <rPh sb="0" eb="2">
      <t>ヤマグチ</t>
    </rPh>
    <phoneticPr fontId="13"/>
  </si>
  <si>
    <t>なにわ　39A　む　1047</t>
    <phoneticPr fontId="13"/>
  </si>
  <si>
    <t>大阪ﾄﾖﾀSouth株式会社</t>
    <rPh sb="0" eb="2">
      <t>オオサカ</t>
    </rPh>
    <rPh sb="10" eb="14">
      <t>カブシキガイシャ</t>
    </rPh>
    <phoneticPr fontId="13"/>
  </si>
  <si>
    <t>長崎　399　そ　3597</t>
    <rPh sb="0" eb="2">
      <t>ナガサキ</t>
    </rPh>
    <phoneticPr fontId="13"/>
  </si>
  <si>
    <t>西九州ｽﾊﾞﾙ株式会社</t>
    <rPh sb="0" eb="1">
      <t>ニシ</t>
    </rPh>
    <rPh sb="1" eb="3">
      <t>キュウシュウ</t>
    </rPh>
    <rPh sb="7" eb="9">
      <t>カブシキ</t>
    </rPh>
    <rPh sb="9" eb="11">
      <t>カイシャ</t>
    </rPh>
    <phoneticPr fontId="13"/>
  </si>
  <si>
    <t>大阪　399　や　9269</t>
    <rPh sb="0" eb="2">
      <t>オオサカ</t>
    </rPh>
    <phoneticPr fontId="13"/>
  </si>
  <si>
    <t>Audi Voikswagen Retail Japan株式会社</t>
    <phoneticPr fontId="13"/>
  </si>
  <si>
    <t>株式会社ﾓﾄｰﾚﾝﾃｨｰｱｲ</t>
    <rPh sb="0" eb="4">
      <t>カブシキガイシャ</t>
    </rPh>
    <phoneticPr fontId="13"/>
  </si>
  <si>
    <t>11/2</t>
    <phoneticPr fontId="13"/>
  </si>
  <si>
    <t>堺 335 や 303</t>
    <rPh sb="0" eb="1">
      <t>サカイ</t>
    </rPh>
    <phoneticPr fontId="13"/>
  </si>
  <si>
    <t>四日市 599 す 8884</t>
    <rPh sb="0" eb="3">
      <t>ヨッカイチ</t>
    </rPh>
    <phoneticPr fontId="13"/>
  </si>
  <si>
    <t>品川 39A み 4816</t>
    <rPh sb="0" eb="2">
      <t>シナガワ</t>
    </rPh>
    <phoneticPr fontId="13"/>
  </si>
  <si>
    <t>株式会社ABEMOTORRS</t>
    <rPh sb="0" eb="4">
      <t>カブシキガイシャ</t>
    </rPh>
    <phoneticPr fontId="13"/>
  </si>
  <si>
    <t>有限会社YMSS</t>
    <rPh sb="0" eb="4">
      <t>ユウゲンガイシャ</t>
    </rPh>
    <phoneticPr fontId="13"/>
  </si>
  <si>
    <t>WMWZB72070WU16029</t>
    <phoneticPr fontId="13"/>
  </si>
  <si>
    <t>名古屋 326 み 378</t>
    <rPh sb="0" eb="3">
      <t>ナゴヤ</t>
    </rPh>
    <phoneticPr fontId="13"/>
  </si>
  <si>
    <t>取説(車内)保証書</t>
    <rPh sb="0" eb="2">
      <t>トリセツ</t>
    </rPh>
    <rPh sb="6" eb="9">
      <t>ホショウショ</t>
    </rPh>
    <phoneticPr fontId="13"/>
  </si>
  <si>
    <t>足立 331 ね 1185</t>
    <rPh sb="0" eb="2">
      <t>アダチ</t>
    </rPh>
    <phoneticPr fontId="13"/>
  </si>
  <si>
    <t>出来 誠</t>
    <rPh sb="0" eb="2">
      <t>デキ</t>
    </rPh>
    <rPh sb="3" eb="4">
      <t>マコト</t>
    </rPh>
    <phoneticPr fontId="13"/>
  </si>
  <si>
    <t>保証書 取説 ｶｰﾄﾞｷｰ ｷｰﾚｽ ﾜﾝｵｰﾅｰ</t>
    <rPh sb="0" eb="3">
      <t>ホショウショ</t>
    </rPh>
    <rPh sb="4" eb="6">
      <t>トリセツ</t>
    </rPh>
    <phoneticPr fontId="13"/>
  </si>
  <si>
    <t>27-1553</t>
  </si>
  <si>
    <t>27-1554</t>
  </si>
  <si>
    <t>27-1555</t>
  </si>
  <si>
    <t>27-1556</t>
  </si>
  <si>
    <t>27-1557</t>
  </si>
  <si>
    <t>27-1558</t>
  </si>
  <si>
    <t>27-1559</t>
  </si>
  <si>
    <t>27-1560</t>
  </si>
  <si>
    <t>ﾎﾝﾀﾞ東京</t>
    <rPh sb="4" eb="6">
      <t>トウキョウ</t>
    </rPh>
    <phoneticPr fontId="13"/>
  </si>
  <si>
    <t>WMWXU72030TN42679</t>
    <phoneticPr fontId="13"/>
  </si>
  <si>
    <t>27-1561</t>
  </si>
  <si>
    <t>27-1562</t>
  </si>
  <si>
    <t>27-1563</t>
  </si>
  <si>
    <t>27-1564</t>
  </si>
  <si>
    <t>BMWﾐﾆｸｰﾊﾟｰSD ｸﾗﾌﾞﾏﾝ</t>
    <phoneticPr fontId="13"/>
  </si>
  <si>
    <t>ｼｬﾗﾝ TSIｺﾝﾌｫｰﾄﾗｲﾝ</t>
    <phoneticPr fontId="13"/>
  </si>
  <si>
    <t>WVWZZZ7NZKV016243</t>
    <phoneticPr fontId="13"/>
  </si>
  <si>
    <t>福岡 331 せ 1426</t>
    <rPh sb="0" eb="2">
      <t>フクオカ</t>
    </rPh>
    <phoneticPr fontId="13"/>
  </si>
  <si>
    <t>27-1565</t>
  </si>
  <si>
    <t>27-1566</t>
  </si>
  <si>
    <t>27-1567</t>
  </si>
  <si>
    <t>27-1568</t>
  </si>
  <si>
    <t>VF34J5FVAFP001797</t>
    <phoneticPr fontId="13"/>
  </si>
  <si>
    <t>YV1XZK9MCM2446647</t>
    <phoneticPr fontId="13"/>
  </si>
  <si>
    <t>WAUZZZFY4K2131466</t>
    <phoneticPr fontId="13"/>
  </si>
  <si>
    <t>WBA32AA0305S46813</t>
    <phoneticPr fontId="13"/>
  </si>
  <si>
    <t>WMWLN320X02B33995</t>
    <phoneticPr fontId="13"/>
  </si>
  <si>
    <t>保証書 取説←車載</t>
    <rPh sb="0" eb="3">
      <t>ホショウショ</t>
    </rPh>
    <rPh sb="4" eb="6">
      <t>トリセツ</t>
    </rPh>
    <rPh sb="7" eb="9">
      <t>シャサイ</t>
    </rPh>
    <phoneticPr fontId="13"/>
  </si>
  <si>
    <t>ﾌﾟｼﾞｮｰ RCZ GTﾗｲﾝ</t>
    <phoneticPr fontId="13"/>
  </si>
  <si>
    <t>ﾎﾞﾙﾎﾞ XC40 B4 AWD Rﾃﾞｻﾞｲﾝ</t>
    <phoneticPr fontId="13"/>
  </si>
  <si>
    <t>ｱｳﾃﾞｨ Q5 40TDIｸﾜﾄﾛｽﾎﾟｰﾂ</t>
    <phoneticPr fontId="13"/>
  </si>
  <si>
    <t>札幌 343 ゆ 322</t>
    <rPh sb="0" eb="2">
      <t>サッポロ</t>
    </rPh>
    <phoneticPr fontId="13"/>
  </si>
  <si>
    <t>保証書 取説←車載</t>
    <rPh sb="0" eb="3">
      <t>ホショウショ</t>
    </rPh>
    <rPh sb="4" eb="6">
      <t>トリセツ</t>
    </rPh>
    <rPh sb="6" eb="9">
      <t>ヤジルシシャサイ</t>
    </rPh>
    <phoneticPr fontId="13"/>
  </si>
  <si>
    <t>BMW X1 sdrive18i xﾗｲﾝ</t>
    <phoneticPr fontId="13"/>
  </si>
  <si>
    <t>品川 334 つ 5885</t>
    <rPh sb="0" eb="2">
      <t>シナガワ</t>
    </rPh>
    <phoneticPr fontId="13"/>
  </si>
  <si>
    <t>BMWﾐﾆｸｰﾊﾟｰ ｸﾗﾌﾞﾏﾝ</t>
    <phoneticPr fontId="13"/>
  </si>
  <si>
    <t>27-1569</t>
  </si>
  <si>
    <t>27-1570</t>
  </si>
  <si>
    <t>27-1571</t>
  </si>
  <si>
    <t>27-1572</t>
  </si>
  <si>
    <t>27-1573</t>
  </si>
  <si>
    <t>AGH30-0391902</t>
    <phoneticPr fontId="13"/>
  </si>
  <si>
    <t>LA850S-0025576</t>
    <phoneticPr fontId="13"/>
  </si>
  <si>
    <t>LA900S-0109523</t>
    <phoneticPr fontId="13"/>
  </si>
  <si>
    <t>RP3-1307296</t>
    <phoneticPr fontId="13"/>
  </si>
  <si>
    <t>LA800S-0012917</t>
    <phoneticPr fontId="13"/>
  </si>
  <si>
    <t>27-1574</t>
  </si>
  <si>
    <t>27-1575</t>
  </si>
  <si>
    <t>27-1576</t>
  </si>
  <si>
    <t>27-1577</t>
  </si>
  <si>
    <t>A309707</t>
    <phoneticPr fontId="13"/>
  </si>
  <si>
    <t>AAZH20-6004604</t>
    <phoneticPr fontId="13"/>
  </si>
  <si>
    <t>A293133</t>
    <phoneticPr fontId="13"/>
  </si>
  <si>
    <t>DA17V-711785</t>
    <phoneticPr fontId="13"/>
  </si>
  <si>
    <t>A303281</t>
    <phoneticPr fontId="13"/>
  </si>
  <si>
    <t>AGH30-0451272</t>
    <phoneticPr fontId="13"/>
  </si>
  <si>
    <t>A309457</t>
    <phoneticPr fontId="13"/>
  </si>
  <si>
    <t>JJ1-3107858</t>
    <phoneticPr fontId="13"/>
  </si>
  <si>
    <t>ﾚｸｻｽ NX 350hFｽﾎﾟｰﾂ</t>
    <phoneticPr fontId="13"/>
  </si>
  <si>
    <t>ｴﾌﾞﾘｲﾜｺﾞﾝ PC</t>
    <phoneticPr fontId="13"/>
  </si>
  <si>
    <t>N-VAN+ｽﾀｲﾙ ﾌｧﾝ</t>
    <phoneticPr fontId="13"/>
  </si>
  <si>
    <t>8/2/6</t>
    <phoneticPr fontId="13"/>
  </si>
  <si>
    <t>ｱﾙﾌｧｰﾄﾞ  S</t>
    <phoneticPr fontId="13"/>
  </si>
  <si>
    <t>ﾑｰﾌﾞｷｬﾝﾊﾞｽ ｽﾄﾗｲﾌﾟｽ G</t>
    <phoneticPr fontId="13"/>
  </si>
  <si>
    <t xml:space="preserve">ﾀﾌﾄ Gﾀｰﾎﾞ </t>
    <phoneticPr fontId="13"/>
  </si>
  <si>
    <t>ｽﾃｯﾌﾟﾜｺﾞﾝ ｽﾊﾟｰﾀﾞ ｸｰﾙｽﾋﾟﾘｯﾄ Hｾﾝｼﾝｸﾞ</t>
    <phoneticPr fontId="13"/>
  </si>
  <si>
    <t>8/1/31</t>
    <phoneticPr fontId="13"/>
  </si>
  <si>
    <t>保証書 取説  1月末名変</t>
    <rPh sb="0" eb="3">
      <t>ホショウショ</t>
    </rPh>
    <rPh sb="4" eb="6">
      <t>トリセツ</t>
    </rPh>
    <rPh sb="9" eb="13">
      <t>ガツマツメイヘン</t>
    </rPh>
    <phoneticPr fontId="13"/>
  </si>
  <si>
    <t>ｽﾍﾟｰｼｱｶｽﾀﾑ ﾊｲﾌﾞﾘｯﾄﾞXSﾀｰﾎﾞ</t>
    <phoneticPr fontId="13"/>
  </si>
  <si>
    <t>MK53S-868319</t>
    <phoneticPr fontId="13"/>
  </si>
  <si>
    <t>神戸 581 わ 2570</t>
    <rPh sb="0" eb="2">
      <t>コウベ</t>
    </rPh>
    <phoneticPr fontId="13"/>
  </si>
  <si>
    <t>MK53S-443978</t>
    <phoneticPr fontId="13"/>
  </si>
  <si>
    <t>和泉 581 み 1624</t>
    <rPh sb="0" eb="2">
      <t>イズミ</t>
    </rPh>
    <phoneticPr fontId="13"/>
  </si>
  <si>
    <t>LA350S-0394020</t>
    <phoneticPr fontId="13"/>
  </si>
  <si>
    <t>MH34S-376040</t>
    <phoneticPr fontId="13"/>
  </si>
  <si>
    <t>ﾚﾝｼﾞﾛｰﾊﾞｰｲｳﾞｫｰｸ 4WD</t>
    <phoneticPr fontId="13"/>
  </si>
  <si>
    <t>SALVA2AX8KH334333</t>
    <phoneticPr fontId="13"/>
  </si>
  <si>
    <t>書類返送11/4</t>
    <rPh sb="0" eb="2">
      <t>ショルイ</t>
    </rPh>
    <rPh sb="2" eb="4">
      <t>ヘンソウ</t>
    </rPh>
    <phoneticPr fontId="13"/>
  </si>
  <si>
    <t>整備手帳(角印なしゴム印あり) 取説 ﾜﾝｵｰﾅｰ詳細上げ</t>
    <rPh sb="0" eb="4">
      <t>セイビテチョウ</t>
    </rPh>
    <rPh sb="5" eb="7">
      <t>カクイン</t>
    </rPh>
    <rPh sb="11" eb="12">
      <t>イン</t>
    </rPh>
    <rPh sb="16" eb="18">
      <t>トリセツ</t>
    </rPh>
    <rPh sb="25" eb="27">
      <t>ショウサイ</t>
    </rPh>
    <rPh sb="27" eb="28">
      <t>ア</t>
    </rPh>
    <phoneticPr fontId="13"/>
  </si>
  <si>
    <t>300 わ 6860</t>
    <phoneticPr fontId="13"/>
  </si>
  <si>
    <t>LA600S-0748166</t>
    <phoneticPr fontId="13"/>
  </si>
  <si>
    <t>NCP160-0153125</t>
    <phoneticPr fontId="13"/>
  </si>
  <si>
    <t>保証書 取説 ｽﾍﾟｱｷｰ (車内)ﾜﾝｵｰﾅｰ</t>
    <rPh sb="0" eb="3">
      <t>ホショウショ</t>
    </rPh>
    <rPh sb="4" eb="6">
      <t>トリセツ</t>
    </rPh>
    <rPh sb="15" eb="17">
      <t>シャナイ</t>
    </rPh>
    <phoneticPr fontId="13"/>
  </si>
  <si>
    <t>tax言われたら伴さん連絡する</t>
    <rPh sb="3" eb="4">
      <t>イ</t>
    </rPh>
    <rPh sb="8" eb="9">
      <t>バン</t>
    </rPh>
    <rPh sb="11" eb="13">
      <t>レンラク</t>
    </rPh>
    <phoneticPr fontId="13"/>
  </si>
  <si>
    <t>tax言われたら伴さん連絡する</t>
    <phoneticPr fontId="13"/>
  </si>
  <si>
    <t>480 ね 1884</t>
    <phoneticPr fontId="13"/>
  </si>
  <si>
    <t>480 ね 1885</t>
    <phoneticPr fontId="13"/>
  </si>
  <si>
    <t>582 い 3387</t>
    <phoneticPr fontId="13"/>
  </si>
  <si>
    <t>582 い 3388</t>
    <phoneticPr fontId="13"/>
  </si>
  <si>
    <t>582 い 3389</t>
    <phoneticPr fontId="13"/>
  </si>
  <si>
    <t>582 い 3390</t>
    <phoneticPr fontId="13"/>
  </si>
  <si>
    <t>582 い 3391</t>
    <phoneticPr fontId="13"/>
  </si>
  <si>
    <t>582 い 3392</t>
    <phoneticPr fontId="13"/>
  </si>
  <si>
    <t>582 い 3393</t>
    <phoneticPr fontId="13"/>
  </si>
  <si>
    <t>582 い 3394</t>
    <phoneticPr fontId="13"/>
  </si>
  <si>
    <t>582 い 3395</t>
    <phoneticPr fontId="13"/>
  </si>
  <si>
    <t>582 い 3396</t>
    <phoneticPr fontId="13"/>
  </si>
  <si>
    <t>ﾌｨｱｯﾄ500X</t>
    <phoneticPr fontId="13"/>
  </si>
  <si>
    <t>ﾒﾙｾﾃﾞｽﾍﾞﾝﾂ Aｸﾗｽ 180 ｽﾀｲﾙ</t>
    <phoneticPr fontId="13"/>
  </si>
  <si>
    <t>WDD1770842J053095</t>
    <phoneticPr fontId="13"/>
  </si>
  <si>
    <t>ﾎﾞﾙﾎﾞ V40</t>
    <phoneticPr fontId="13"/>
  </si>
  <si>
    <t>YV1MVA8RDH2371827</t>
    <phoneticPr fontId="13"/>
  </si>
  <si>
    <t>ｷｰﾚｽ ﾘﾓｺﾝ</t>
    <phoneticPr fontId="13"/>
  </si>
  <si>
    <t>株式会社ﾌｧﾐﾘｰｶｰｼｮｯﾌﾟ</t>
    <rPh sb="0" eb="4">
      <t>カブシキガイシャ</t>
    </rPh>
    <phoneticPr fontId="13"/>
  </si>
  <si>
    <t>滋賀 301 と 4702</t>
    <rPh sb="0" eb="2">
      <t>シガ</t>
    </rPh>
    <phoneticPr fontId="13"/>
  </si>
  <si>
    <t>株式会社京滋ﾏﾂﾀﾞ</t>
    <rPh sb="0" eb="4">
      <t>カブシキガイシャ</t>
    </rPh>
    <rPh sb="4" eb="5">
      <t>キョウ</t>
    </rPh>
    <rPh sb="5" eb="6">
      <t>シゲ</t>
    </rPh>
    <phoneticPr fontId="13"/>
  </si>
  <si>
    <t>地図SD(車内)保証書 取説 ｷｰﾚｽ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</si>
  <si>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L675S-0169063</t>
    <phoneticPr fontId="13"/>
  </si>
  <si>
    <t>なにわ 583 て 81</t>
    <phoneticPr fontId="13"/>
  </si>
  <si>
    <t>岩田 舞</t>
    <rPh sb="0" eb="2">
      <t>イワタ</t>
    </rPh>
    <rPh sb="3" eb="4">
      <t>マイ</t>
    </rPh>
    <phoneticPr fontId="13"/>
  </si>
  <si>
    <t>ｶﾛｰﾗﾌｨｰﾙﾀﾞｰﾊｲﾌﾞﾘｯﾄﾞ EX</t>
    <phoneticPr fontId="13"/>
  </si>
  <si>
    <t>NKE165-7263592</t>
    <phoneticPr fontId="13"/>
  </si>
  <si>
    <t>ﾌﾟｼﾞｮｰ ﾘﾌﾀｰ</t>
    <phoneticPr fontId="13"/>
  </si>
  <si>
    <t>VR3ECYHZRKJ832874</t>
    <phoneticPr fontId="13"/>
  </si>
  <si>
    <t>山口 336 て 327</t>
    <rPh sb="0" eb="2">
      <t>ヤマグチ</t>
    </rPh>
    <phoneticPr fontId="13"/>
  </si>
  <si>
    <t>品番；AVN-Z05i</t>
    <rPh sb="0" eb="2">
      <t>ヒンバン</t>
    </rPh>
    <phoneticPr fontId="13"/>
  </si>
  <si>
    <t>品番；NSZN-W71D</t>
    <rPh sb="0" eb="2">
      <t>ヒンバン</t>
    </rPh>
    <phoneticPr fontId="13"/>
  </si>
  <si>
    <t>品番；NSCD-W66</t>
    <rPh sb="0" eb="2">
      <t>ヒンバン</t>
    </rPh>
    <phoneticPr fontId="13"/>
  </si>
  <si>
    <t>保証書　取説　Sｷｰ ﾘﾓｺﾝ</t>
    <rPh sb="0" eb="3">
      <t>ホショウショ</t>
    </rPh>
    <rPh sb="4" eb="6">
      <t>トリセツ</t>
    </rPh>
    <phoneticPr fontId="13"/>
  </si>
  <si>
    <t>27-1578</t>
  </si>
  <si>
    <t>27-1579</t>
  </si>
  <si>
    <t>27-1580</t>
  </si>
  <si>
    <t>27-1581</t>
  </si>
  <si>
    <t>27-1582</t>
  </si>
  <si>
    <t>27-1583</t>
  </si>
  <si>
    <t>27-1584</t>
  </si>
  <si>
    <t>27-1585</t>
  </si>
  <si>
    <t>27-1586</t>
  </si>
  <si>
    <t>27-1587</t>
  </si>
  <si>
    <t>27-1588</t>
  </si>
  <si>
    <t>27-1589</t>
  </si>
  <si>
    <t>27-1590</t>
  </si>
  <si>
    <t>27-1591</t>
  </si>
  <si>
    <t>27-1592</t>
  </si>
  <si>
    <t>27-1593</t>
  </si>
  <si>
    <t>27-1594</t>
  </si>
  <si>
    <t>HA36S-555942</t>
    <phoneticPr fontId="13"/>
  </si>
  <si>
    <t>LA350S-0232444</t>
    <phoneticPr fontId="13"/>
  </si>
  <si>
    <t>MR92S-504463</t>
    <phoneticPr fontId="13"/>
  </si>
  <si>
    <t>JF1-1892550</t>
    <phoneticPr fontId="13"/>
  </si>
  <si>
    <t>JF3-1169143</t>
    <phoneticPr fontId="13"/>
  </si>
  <si>
    <t>LA150S-2064956</t>
    <phoneticPr fontId="13"/>
  </si>
  <si>
    <t>A309853</t>
    <phoneticPr fontId="13"/>
  </si>
  <si>
    <t>ﾊｲﾗｯｸｽ Z</t>
    <phoneticPr fontId="13"/>
  </si>
  <si>
    <t>GUN125-3924111</t>
    <phoneticPr fontId="13"/>
  </si>
  <si>
    <t>8/4/22</t>
    <phoneticPr fontId="13"/>
  </si>
  <si>
    <t>27-1595</t>
  </si>
  <si>
    <t>27-1596</t>
  </si>
  <si>
    <t>27-1597</t>
  </si>
  <si>
    <t>27-1598</t>
  </si>
  <si>
    <t>27-1599</t>
  </si>
  <si>
    <t>ﾐﾗｲｰｽ B SA3</t>
    <phoneticPr fontId="13"/>
  </si>
  <si>
    <t>ﾑｰﾌﾞ L SA3</t>
    <phoneticPr fontId="13"/>
  </si>
  <si>
    <t>27-1600</t>
  </si>
  <si>
    <t>27-1601</t>
  </si>
  <si>
    <t>27-1602</t>
  </si>
  <si>
    <t>27-1603</t>
  </si>
  <si>
    <t>DR17V-298655</t>
    <phoneticPr fontId="13"/>
  </si>
  <si>
    <t>DR17V-474287</t>
    <phoneticPr fontId="13"/>
  </si>
  <si>
    <t>DR17V-852467</t>
    <phoneticPr fontId="13"/>
  </si>
  <si>
    <t>DR17V-852624</t>
    <phoneticPr fontId="13"/>
  </si>
  <si>
    <t>DR17V-852059</t>
    <phoneticPr fontId="13"/>
  </si>
  <si>
    <t>ｴﾌﾞﾘｲ PAﾘﾐﾃｯﾄﾞ</t>
    <phoneticPr fontId="13"/>
  </si>
  <si>
    <t>DA17V-684921</t>
    <phoneticPr fontId="13"/>
  </si>
  <si>
    <t xml:space="preserve">NV100ｸﾘｯﾊﾟｰ GX </t>
    <phoneticPr fontId="13"/>
  </si>
  <si>
    <t>ｽﾍﾟｱｷｰ車内確認 保証書</t>
    <rPh sb="6" eb="8">
      <t>シャナイ</t>
    </rPh>
    <rPh sb="8" eb="10">
      <t>カクニン</t>
    </rPh>
    <rPh sb="11" eb="14">
      <t>ホショウショ</t>
    </rPh>
    <phoneticPr fontId="13"/>
  </si>
  <si>
    <t>ｽﾍﾟｱｷｰ車内確認 保証書</t>
    <rPh sb="6" eb="10">
      <t>シャナイカクニン</t>
    </rPh>
    <rPh sb="11" eb="14">
      <t>ホショウショ</t>
    </rPh>
    <phoneticPr fontId="13"/>
  </si>
  <si>
    <t>ｳﾞｪﾙﾌｧｲｱ 2.4 Z ｺﾞｰﾙﾃﾞﾝｱｲｽﾞ</t>
    <phoneticPr fontId="13"/>
  </si>
  <si>
    <t>ANH20-8264314</t>
    <phoneticPr fontId="13"/>
  </si>
  <si>
    <t>尾張小牧 333 て 910</t>
    <rPh sb="0" eb="4">
      <t>オワリコマキ</t>
    </rPh>
    <phoneticPr fontId="13"/>
  </si>
  <si>
    <t>保証書 取説 ﾅﾋﾞ取 ｽﾏｰﾄｷｰ ﾘﾓｺﾝ ﾜﾝｵｰﾅｰ</t>
    <rPh sb="0" eb="3">
      <t>ホショウショ</t>
    </rPh>
    <rPh sb="4" eb="6">
      <t>トリセツ</t>
    </rPh>
    <rPh sb="10" eb="11">
      <t>トリ</t>
    </rPh>
    <phoneticPr fontId="13"/>
  </si>
  <si>
    <t>NHP10-6578451</t>
    <phoneticPr fontId="13"/>
  </si>
  <si>
    <t>春日井 510 つ 1113</t>
    <rPh sb="0" eb="3">
      <t>カスガイ</t>
    </rPh>
    <phoneticPr fontId="13"/>
  </si>
  <si>
    <t>JF1-1927140</t>
    <phoneticPr fontId="13"/>
  </si>
  <si>
    <t>岐阜 583 す 2737</t>
    <rPh sb="0" eb="2">
      <t>ギフ</t>
    </rPh>
    <phoneticPr fontId="13"/>
  </si>
  <si>
    <t>ﾊｽﾗｰ Jｽﾀｲﾙ 3</t>
    <phoneticPr fontId="13"/>
  </si>
  <si>
    <t>MR41S-320953</t>
    <phoneticPr fontId="13"/>
  </si>
  <si>
    <t>名古屋 58A ほ 1656</t>
    <rPh sb="0" eb="3">
      <t>ナゴヤ</t>
    </rPh>
    <phoneticPr fontId="13"/>
  </si>
  <si>
    <t>保証書 取説 地図SD ｽﾍﾟｱｷｰ</t>
    <rPh sb="0" eb="3">
      <t>ホショウショ</t>
    </rPh>
    <rPh sb="4" eb="6">
      <t>トリセツ</t>
    </rPh>
    <rPh sb="7" eb="9">
      <t>チズ</t>
    </rPh>
    <phoneticPr fontId="13"/>
  </si>
  <si>
    <t>ﾜｺﾞﾝR ｽﾃｨﾝｸﾞﾚｰ</t>
    <phoneticPr fontId="13"/>
  </si>
  <si>
    <t>MH44S-477301</t>
    <phoneticPr fontId="13"/>
  </si>
  <si>
    <t>三河 580 ま 4634</t>
    <rPh sb="0" eb="2">
      <t>ミカワ</t>
    </rPh>
    <phoneticPr fontId="13"/>
  </si>
  <si>
    <t>ﾀｳﾝBOX G ﾊｲﾙｰﾌ</t>
    <phoneticPr fontId="13"/>
  </si>
  <si>
    <t>DS17W-250551</t>
    <phoneticPr fontId="13"/>
  </si>
  <si>
    <t>保証書 取説 ﾅﾋﾞ取 ﾅﾋﾞSD ﾅﾝﾊﾞｰ</t>
    <rPh sb="0" eb="3">
      <t>ホショウショ</t>
    </rPh>
    <rPh sb="4" eb="6">
      <t>トリセツ</t>
    </rPh>
    <rPh sb="10" eb="11">
      <t>トリ</t>
    </rPh>
    <phoneticPr fontId="13"/>
  </si>
  <si>
    <t>ﾀﾝﾄ X</t>
    <phoneticPr fontId="13"/>
  </si>
  <si>
    <t>L375S-0530060</t>
    <phoneticPr fontId="13"/>
  </si>
  <si>
    <t>ｷｬｽﾄ ｽﾀｲﾙG ﾀｰﾎﾞ</t>
    <phoneticPr fontId="13"/>
  </si>
  <si>
    <t>LA260S-0033269</t>
    <phoneticPr fontId="13"/>
  </si>
  <si>
    <t>松本 580 ゆ 483</t>
    <rPh sb="0" eb="2">
      <t>マツモト</t>
    </rPh>
    <phoneticPr fontId="13"/>
  </si>
  <si>
    <t>MK94S-252321</t>
    <phoneticPr fontId="13"/>
  </si>
  <si>
    <t>JF5-1183587</t>
    <phoneticPr fontId="13"/>
  </si>
  <si>
    <t>MR41S-366960</t>
    <phoneticPr fontId="13"/>
  </si>
  <si>
    <t>なにわ 5P6 ろ 3955</t>
    <phoneticPr fontId="13"/>
  </si>
  <si>
    <t>KD eｿﾘｭｰｼｮﾝｽﾞ株式会社</t>
    <rPh sb="13" eb="17">
      <t>カブシキガイシャ</t>
    </rPh>
    <phoneticPr fontId="13"/>
  </si>
  <si>
    <t>11/6</t>
    <phoneticPr fontId="13"/>
  </si>
  <si>
    <t>NSP160-0055033</t>
    <phoneticPr fontId="13"/>
  </si>
  <si>
    <t>保証書 取説 予備ｷｰ ﾚﾝﾀｶｰ 名変ﾃｨｰｽﾞでする</t>
    <rPh sb="0" eb="3">
      <t>ホショウショ</t>
    </rPh>
    <rPh sb="4" eb="6">
      <t>トリセツ</t>
    </rPh>
    <rPh sb="7" eb="9">
      <t>ヨビ</t>
    </rPh>
    <rPh sb="18" eb="20">
      <t>メイヘン</t>
    </rPh>
    <phoneticPr fontId="13"/>
  </si>
  <si>
    <t>神戸 588 き 501</t>
    <rPh sb="0" eb="2">
      <t>コウベ</t>
    </rPh>
    <phoneticPr fontId="13"/>
  </si>
  <si>
    <t>ﾒﾙｾﾃﾞｽﾍﾞﾝﾂ ｹﾞﾚﾝﾃﾞ 350 d</t>
    <phoneticPr fontId="13"/>
  </si>
  <si>
    <t>澤田 貴宣</t>
    <rPh sb="0" eb="2">
      <t>サワダ</t>
    </rPh>
    <rPh sb="3" eb="4">
      <t>タカ</t>
    </rPh>
    <rPh sb="4" eb="5">
      <t>セン</t>
    </rPh>
    <phoneticPr fontId="13"/>
  </si>
  <si>
    <t>ｽﾍﾟｱｷｰ(車内)保証書 取説 ｺｰﾄﾞｶｰﾄﾞ</t>
    <rPh sb="7" eb="9">
      <t>シャナイ</t>
    </rPh>
    <rPh sb="10" eb="13">
      <t>ホショウショ</t>
    </rPh>
    <rPh sb="14" eb="16">
      <t>トリセツ</t>
    </rPh>
    <phoneticPr fontId="13"/>
  </si>
  <si>
    <t>鳥取 330 ぬ 6226</t>
    <rPh sb="0" eb="2">
      <t>トットリ</t>
    </rPh>
    <phoneticPr fontId="13"/>
  </si>
  <si>
    <t>鳥取ﾄﾖﾀ自動車株式会社</t>
    <rPh sb="0" eb="2">
      <t>トットリ</t>
    </rPh>
    <rPh sb="5" eb="12">
      <t>ジドウシャカブシキガイシャ</t>
    </rPh>
    <phoneticPr fontId="13"/>
  </si>
  <si>
    <t>島根 580 の 5974</t>
    <rPh sb="0" eb="2">
      <t>シマネ</t>
    </rPh>
    <phoneticPr fontId="13"/>
  </si>
  <si>
    <t>保証書 取説(車内)ｷｰﾚｽ</t>
    <rPh sb="0" eb="3">
      <t>ホショウショ</t>
    </rPh>
    <rPh sb="4" eb="6">
      <t>トリセツ</t>
    </rPh>
    <rPh sb="7" eb="9">
      <t>シャナイ</t>
    </rPh>
    <phoneticPr fontId="13"/>
  </si>
  <si>
    <t>福山 581 か 1804</t>
    <rPh sb="0" eb="2">
      <t>フクヤマ</t>
    </rPh>
    <phoneticPr fontId="13"/>
  </si>
  <si>
    <t>福山 583 す 1335</t>
    <rPh sb="0" eb="2">
      <t>フクヤマ</t>
    </rPh>
    <phoneticPr fontId="13"/>
  </si>
  <si>
    <t xml:space="preserve">地図SD(車内)保証書 取説 </t>
    <rPh sb="8" eb="11">
      <t>ホショウショ</t>
    </rPh>
    <rPh sb="12" eb="14">
      <t>トリセツ</t>
    </rPh>
    <phoneticPr fontId="13"/>
  </si>
  <si>
    <t>京都 589 ろ 616</t>
    <rPh sb="0" eb="2">
      <t>キョウト</t>
    </rPh>
    <phoneticPr fontId="13"/>
  </si>
  <si>
    <t>株式会社ﾈﾄﾖﾍﾟｯﾄｽﾃｰｼｮﾝ山科</t>
    <rPh sb="0" eb="4">
      <t>カブシキガイシャ</t>
    </rPh>
    <rPh sb="17" eb="18">
      <t>ヤマ</t>
    </rPh>
    <rPh sb="18" eb="19">
      <t>カ</t>
    </rPh>
    <phoneticPr fontId="13"/>
  </si>
  <si>
    <t>岡本 慎介</t>
    <rPh sb="0" eb="2">
      <t>オカモト</t>
    </rPh>
    <rPh sb="3" eb="5">
      <t>シンスケ</t>
    </rPh>
    <phoneticPr fontId="13"/>
  </si>
  <si>
    <t>向井 里依</t>
    <rPh sb="0" eb="2">
      <t>ムカイ</t>
    </rPh>
    <rPh sb="3" eb="4">
      <t>サト</t>
    </rPh>
    <rPh sb="4" eb="5">
      <t>イ</t>
    </rPh>
    <phoneticPr fontId="13"/>
  </si>
  <si>
    <t>西山 延大</t>
    <rPh sb="0" eb="2">
      <t>ニシヤマ</t>
    </rPh>
    <rPh sb="3" eb="4">
      <t>ノ</t>
    </rPh>
    <rPh sb="4" eb="5">
      <t>オオ</t>
    </rPh>
    <phoneticPr fontId="13"/>
  </si>
  <si>
    <t>ﾊｹﾞｼﾀ ﾏｻｵ</t>
    <phoneticPr fontId="13"/>
  </si>
  <si>
    <t>鈴木 真理子</t>
    <rPh sb="0" eb="2">
      <t>スズキ</t>
    </rPh>
    <rPh sb="3" eb="6">
      <t>マリコ</t>
    </rPh>
    <phoneticPr fontId="13"/>
  </si>
  <si>
    <t>坂 日出代</t>
    <rPh sb="0" eb="1">
      <t>サカ</t>
    </rPh>
    <rPh sb="2" eb="3">
      <t>ヒ</t>
    </rPh>
    <rPh sb="3" eb="4">
      <t>デ</t>
    </rPh>
    <rPh sb="4" eb="5">
      <t>ヨ</t>
    </rPh>
    <phoneticPr fontId="13"/>
  </si>
  <si>
    <t>地図SD(車内) 保証書 取説 ﾅﾋﾞ取</t>
    <rPh sb="9" eb="12">
      <t>ホショウショ</t>
    </rPh>
    <rPh sb="13" eb="15">
      <t>トリセツ</t>
    </rPh>
    <rPh sb="19" eb="20">
      <t>トリ</t>
    </rPh>
    <phoneticPr fontId="13"/>
  </si>
  <si>
    <t>582 い 3598</t>
    <phoneticPr fontId="13"/>
  </si>
  <si>
    <t>582 い 3599</t>
    <phoneticPr fontId="13"/>
  </si>
  <si>
    <t>582 い 3600</t>
    <phoneticPr fontId="13"/>
  </si>
  <si>
    <t>582 い 3601</t>
    <phoneticPr fontId="13"/>
  </si>
  <si>
    <t>582 い 3602</t>
    <phoneticPr fontId="13"/>
  </si>
  <si>
    <t>27-1604</t>
  </si>
  <si>
    <t>27-1605</t>
  </si>
  <si>
    <t>27-1606</t>
  </si>
  <si>
    <t>27-1607</t>
  </si>
  <si>
    <t>27-1608</t>
  </si>
  <si>
    <t>27-1609</t>
  </si>
  <si>
    <t>ﾒﾙｾﾃﾞｽﾍﾞﾝﾂ E400ﾜｺﾞﾝ</t>
    <phoneticPr fontId="13"/>
  </si>
  <si>
    <t>WDD2132712A183168</t>
    <phoneticPr fontId="13"/>
  </si>
  <si>
    <t>VWｺﾞﾙﾌ R</t>
    <phoneticPr fontId="13"/>
  </si>
  <si>
    <t>WVWZZZAUZKW213236</t>
    <phoneticPr fontId="13"/>
  </si>
  <si>
    <t>WMWXS520402B37126</t>
    <phoneticPr fontId="13"/>
  </si>
  <si>
    <t>WVWZZZ16ZGM617721</t>
    <phoneticPr fontId="13"/>
  </si>
  <si>
    <t>京都 341 る 678</t>
    <rPh sb="0" eb="2">
      <t>キョウト</t>
    </rPh>
    <phoneticPr fontId="13"/>
  </si>
  <si>
    <t>奈良 330 ぬ 3583</t>
    <rPh sb="0" eb="2">
      <t>ナラ</t>
    </rPh>
    <phoneticPr fontId="13"/>
  </si>
  <si>
    <t>神戸 302 や 2432</t>
    <rPh sb="0" eb="2">
      <t>コウベ</t>
    </rPh>
    <phoneticPr fontId="13"/>
  </si>
  <si>
    <t>ﾅﾋﾞﾘﾓｺﾝ</t>
    <phoneticPr fontId="13"/>
  </si>
  <si>
    <t>27-1610</t>
  </si>
  <si>
    <t>BMWﾐﾆｸｰﾊﾟｰ D ｸﾛｽｵｰﾊﾞｰ</t>
    <phoneticPr fontId="13"/>
  </si>
  <si>
    <t>WMWYT920103D52238</t>
    <phoneticPr fontId="13"/>
  </si>
  <si>
    <t>多摩 331 ね 8611</t>
    <rPh sb="0" eb="2">
      <t>タマ</t>
    </rPh>
    <phoneticPr fontId="13"/>
  </si>
  <si>
    <t>姫路 581 に 3964</t>
    <rPh sb="0" eb="2">
      <t>ヒメジ</t>
    </rPh>
    <phoneticPr fontId="13"/>
  </si>
  <si>
    <t>岡山 581 459</t>
    <rPh sb="0" eb="2">
      <t>オカヤマ</t>
    </rPh>
    <phoneticPr fontId="13"/>
  </si>
  <si>
    <t>福山 501 と 1623</t>
    <rPh sb="0" eb="2">
      <t>フクヤマ</t>
    </rPh>
    <phoneticPr fontId="13"/>
  </si>
  <si>
    <t>岩下 説志</t>
    <rPh sb="0" eb="2">
      <t>イワシタ</t>
    </rPh>
    <rPh sb="3" eb="4">
      <t>セツ</t>
    </rPh>
    <rPh sb="4" eb="5">
      <t>シ</t>
    </rPh>
    <phoneticPr fontId="13"/>
  </si>
  <si>
    <t>地図SD(車内)取説 ﾅﾋﾞ取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</si>
  <si>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大阪 580 わ 6902</t>
    <rPh sb="0" eb="2">
      <t>オオサカ</t>
    </rPh>
    <phoneticPr fontId="13"/>
  </si>
  <si>
    <t>鹿児島 331 み 963</t>
    <rPh sb="0" eb="3">
      <t>カゴシマ</t>
    </rPh>
    <phoneticPr fontId="13"/>
  </si>
  <si>
    <t>株式会社南九州ﾏﾂﾀﾞ</t>
    <rPh sb="0" eb="4">
      <t>カブシキガイシャ</t>
    </rPh>
    <rPh sb="4" eb="5">
      <t>ミナミ</t>
    </rPh>
    <rPh sb="5" eb="7">
      <t>キュウシュウ</t>
    </rPh>
    <phoneticPr fontId="13"/>
  </si>
  <si>
    <t>保証書 Web取説 ﾅﾋﾞ取 ｷｰﾚｽ ﾏｲｸﾛSD ﾜﾝｵｰﾅｰ</t>
    <rPh sb="0" eb="3">
      <t>ホショウショ</t>
    </rPh>
    <rPh sb="7" eb="9">
      <t>トリセツ</t>
    </rPh>
    <rPh sb="13" eb="14">
      <t>トリ</t>
    </rPh>
    <phoneticPr fontId="13"/>
  </si>
  <si>
    <t>名古屋 586 ら 224</t>
    <rPh sb="0" eb="3">
      <t>ナゴヤ</t>
    </rPh>
    <phoneticPr fontId="13"/>
  </si>
  <si>
    <t>宮原 亨介</t>
    <rPh sb="0" eb="2">
      <t>ミヤハラ</t>
    </rPh>
    <rPh sb="3" eb="4">
      <t>リョウ</t>
    </rPh>
    <rPh sb="4" eb="5">
      <t>スケ</t>
    </rPh>
    <phoneticPr fontId="13"/>
  </si>
  <si>
    <t>尾張小牧 581 い 3137</t>
    <rPh sb="0" eb="4">
      <t>オワリコマキ</t>
    </rPh>
    <phoneticPr fontId="13"/>
  </si>
  <si>
    <t>中條 悦子</t>
    <rPh sb="0" eb="2">
      <t>ナカジョウ</t>
    </rPh>
    <rPh sb="3" eb="5">
      <t>エツコ</t>
    </rPh>
    <phoneticPr fontId="13"/>
  </si>
  <si>
    <t>27-1611</t>
  </si>
  <si>
    <t>27-1612</t>
  </si>
  <si>
    <t>27-1613</t>
  </si>
  <si>
    <t>27-1614</t>
  </si>
  <si>
    <t>27-1615</t>
  </si>
  <si>
    <t>27-1616</t>
  </si>
  <si>
    <t>27-1617</t>
  </si>
  <si>
    <t>27-1618</t>
  </si>
  <si>
    <t>27-1619</t>
  </si>
  <si>
    <t>品川 48F ろ 454</t>
    <rPh sb="0" eb="2">
      <t>シナガワ</t>
    </rPh>
    <phoneticPr fontId="13"/>
  </si>
  <si>
    <t>なにわ 5P7 ろ 4515</t>
    <phoneticPr fontId="13"/>
  </si>
  <si>
    <t>多摩 592 ろ 3896</t>
    <rPh sb="0" eb="2">
      <t>タマ</t>
    </rPh>
    <phoneticPr fontId="13"/>
  </si>
  <si>
    <t>多摩 592 ろ 3868</t>
    <rPh sb="0" eb="2">
      <t>タマ</t>
    </rPh>
    <phoneticPr fontId="13"/>
  </si>
  <si>
    <t>多摩 592 ろ 3901</t>
    <rPh sb="0" eb="2">
      <t>タマ</t>
    </rPh>
    <phoneticPr fontId="13"/>
  </si>
  <si>
    <t>多摩 592 ろ 3855</t>
    <rPh sb="0" eb="2">
      <t>タマ</t>
    </rPh>
    <phoneticPr fontId="13"/>
  </si>
  <si>
    <t>多摩 592 ろ 3898</t>
    <rPh sb="0" eb="2">
      <t>タマ</t>
    </rPh>
    <phoneticPr fontId="13"/>
  </si>
  <si>
    <t>尾張小牧 589 ろ 7843</t>
    <rPh sb="0" eb="4">
      <t>オワリコマキ</t>
    </rPh>
    <phoneticPr fontId="13"/>
  </si>
  <si>
    <t>ｷﾑﾗﾕﾆﾃｨｰ株式会社</t>
    <rPh sb="8" eb="12">
      <t>カブシキガイシャ</t>
    </rPh>
    <phoneticPr fontId="13"/>
  </si>
  <si>
    <t>多摩 592 ろ 3890</t>
    <rPh sb="0" eb="2">
      <t>タマ</t>
    </rPh>
    <phoneticPr fontId="13"/>
  </si>
  <si>
    <t>多摩 592 ろ 3894</t>
    <rPh sb="0" eb="2">
      <t>タマ</t>
    </rPh>
    <phoneticPr fontId="13"/>
  </si>
  <si>
    <t>諏訪 580 わ 354</t>
    <rPh sb="0" eb="2">
      <t>スワ</t>
    </rPh>
    <phoneticPr fontId="13"/>
  </si>
  <si>
    <t>柏 332 つ 1009</t>
    <rPh sb="0" eb="1">
      <t>カシワ</t>
    </rPh>
    <phoneticPr fontId="13"/>
  </si>
  <si>
    <t>多摩 592 ろ 3714</t>
    <rPh sb="0" eb="2">
      <t>タマ</t>
    </rPh>
    <phoneticPr fontId="13"/>
  </si>
  <si>
    <t>多摩 592 ろ 3876</t>
    <rPh sb="0" eb="2">
      <t>タマ</t>
    </rPh>
    <phoneticPr fontId="13"/>
  </si>
  <si>
    <t>ｱﾙﾄ L ｾｰﾌﾃｨｻﾎﾟｰﾄ</t>
    <phoneticPr fontId="13"/>
  </si>
  <si>
    <t>多摩 592 ろ 3874</t>
    <rPh sb="0" eb="2">
      <t>タマ</t>
    </rPh>
    <phoneticPr fontId="13"/>
  </si>
  <si>
    <t>多摩 592 ろ 3854</t>
    <rPh sb="0" eb="2">
      <t>タマ</t>
    </rPh>
    <phoneticPr fontId="13"/>
  </si>
  <si>
    <t>多摩 592 ろ 3869</t>
    <rPh sb="0" eb="2">
      <t>タマ</t>
    </rPh>
    <phoneticPr fontId="13"/>
  </si>
  <si>
    <t>多摩 592 ろ 3856</t>
    <rPh sb="0" eb="2">
      <t>タマ</t>
    </rPh>
    <phoneticPr fontId="13"/>
  </si>
  <si>
    <t>多摩 592 ろ 3900</t>
    <rPh sb="0" eb="2">
      <t>タマ</t>
    </rPh>
    <phoneticPr fontId="13"/>
  </si>
  <si>
    <t>多摩 592 ろ 3857</t>
    <rPh sb="0" eb="2">
      <t>タマ</t>
    </rPh>
    <phoneticPr fontId="13"/>
  </si>
  <si>
    <t>多摩 592 ろ 3860</t>
    <rPh sb="0" eb="2">
      <t>タマ</t>
    </rPh>
    <phoneticPr fontId="13"/>
  </si>
  <si>
    <t>多摩 592 ろ 3889</t>
    <rPh sb="0" eb="2">
      <t>タマ</t>
    </rPh>
    <phoneticPr fontId="13"/>
  </si>
  <si>
    <t>多摩 592 ろ 3972</t>
    <rPh sb="0" eb="2">
      <t>タマ</t>
    </rPh>
    <phoneticPr fontId="13"/>
  </si>
  <si>
    <t>多摩 592 ろ 3978</t>
    <rPh sb="0" eb="2">
      <t>タマ</t>
    </rPh>
    <phoneticPr fontId="13"/>
  </si>
  <si>
    <t>諏訪 580 わ 353</t>
    <rPh sb="0" eb="2">
      <t>スワ</t>
    </rPh>
    <phoneticPr fontId="13"/>
  </si>
  <si>
    <t>山内 真寿美</t>
    <rPh sb="0" eb="2">
      <t>ヤマウチ</t>
    </rPh>
    <rPh sb="3" eb="4">
      <t>マ</t>
    </rPh>
    <rPh sb="4" eb="6">
      <t>トシミ</t>
    </rPh>
    <phoneticPr fontId="13"/>
  </si>
  <si>
    <t>保証書 取説 ﾅﾋﾞ取 SD B-CAS ｷｰﾚｽ</t>
    <rPh sb="0" eb="3">
      <t>ホショウショ</t>
    </rPh>
    <rPh sb="4" eb="6">
      <t>トリセツ</t>
    </rPh>
    <rPh sb="10" eb="11">
      <t>トリ</t>
    </rPh>
    <phoneticPr fontId="13"/>
  </si>
  <si>
    <t>岡山 581 ち 3755</t>
    <rPh sb="0" eb="2">
      <t>オカヤマ</t>
    </rPh>
    <phoneticPr fontId="13"/>
  </si>
  <si>
    <t>萩原 基久美</t>
    <rPh sb="0" eb="2">
      <t>ハギワラ</t>
    </rPh>
    <rPh sb="3" eb="5">
      <t>モトヒサ</t>
    </rPh>
    <rPh sb="5" eb="6">
      <t>ミ</t>
    </rPh>
    <phoneticPr fontId="13"/>
  </si>
  <si>
    <t>和泉 480 ね 2391</t>
    <rPh sb="0" eb="2">
      <t>イズミ</t>
    </rPh>
    <phoneticPr fontId="13"/>
  </si>
  <si>
    <t>山田 光二</t>
    <rPh sb="0" eb="2">
      <t>ヤマダ</t>
    </rPh>
    <rPh sb="3" eb="4">
      <t>ヒカリ</t>
    </rPh>
    <rPh sb="4" eb="5">
      <t>ニ</t>
    </rPh>
    <phoneticPr fontId="13"/>
  </si>
  <si>
    <t>株式会社ｱｲﾃｨｼﾞｪｲ</t>
    <rPh sb="0" eb="4">
      <t>カブシキガイシャ</t>
    </rPh>
    <phoneticPr fontId="13"/>
  </si>
  <si>
    <t>582 い 3721</t>
    <phoneticPr fontId="13"/>
  </si>
  <si>
    <t>582 い 3722</t>
    <phoneticPr fontId="13"/>
  </si>
  <si>
    <t>582 い 3723</t>
    <phoneticPr fontId="13"/>
  </si>
  <si>
    <t>582 い 3720</t>
    <phoneticPr fontId="13"/>
  </si>
  <si>
    <t>ﾊｲｾﾞｯﾄﾄﾗｯｸ 4WD</t>
    <phoneticPr fontId="13"/>
  </si>
  <si>
    <t>S510P-0495649</t>
    <phoneticPr fontId="13"/>
  </si>
  <si>
    <t>保証書 取説  12月末名変</t>
    <rPh sb="0" eb="3">
      <t>ホショウショ</t>
    </rPh>
    <rPh sb="4" eb="6">
      <t>トリセツ</t>
    </rPh>
    <rPh sb="10" eb="14">
      <t>ガツマツメイヘン</t>
    </rPh>
    <phoneticPr fontId="13"/>
  </si>
  <si>
    <t>ｳﾞｪｾﾞﾙ eHEV</t>
    <phoneticPr fontId="13"/>
  </si>
  <si>
    <t>RV5-1133423</t>
    <phoneticPr fontId="13"/>
  </si>
  <si>
    <t>S660 ｱﾙﾌｧ</t>
    <phoneticPr fontId="13"/>
  </si>
  <si>
    <t>JW5-1101479</t>
    <phoneticPr fontId="13"/>
  </si>
  <si>
    <t>12月末名変</t>
    <rPh sb="2" eb="6">
      <t>ガツマツメイヘン</t>
    </rPh>
    <phoneticPr fontId="13"/>
  </si>
  <si>
    <t>ｶﾛｰﾗｸﾛｽ Z</t>
    <phoneticPr fontId="13"/>
  </si>
  <si>
    <t>ZSG10-1027323</t>
    <phoneticPr fontId="13"/>
  </si>
  <si>
    <t>MXPJ10-3163389</t>
    <phoneticPr fontId="13"/>
  </si>
  <si>
    <t>品川 332 も 2303</t>
    <rPh sb="0" eb="2">
      <t>シナガワ</t>
    </rPh>
    <phoneticPr fontId="13"/>
  </si>
  <si>
    <t>ﾌﾟﾛﾄﾝｴﾝｼﾞﾆｱﾘﾝｸﾞ株式会社</t>
    <rPh sb="15" eb="19">
      <t>カブシキガイシャ</t>
    </rPh>
    <phoneticPr fontId="13"/>
  </si>
  <si>
    <t>BMW3ｼﾘｰｽﾞ 320d xdriveﾂｰﾘﾝｸﾞ</t>
    <phoneticPr fontId="13"/>
  </si>
  <si>
    <t>WBA6L72070FK56234</t>
    <phoneticPr fontId="13"/>
  </si>
  <si>
    <t xml:space="preserve">ﾎﾟﾙｼｪ ﾎﾞｸｽﾀｰ </t>
    <phoneticPr fontId="13"/>
  </si>
  <si>
    <t>WP0ZZZ98ZDS104394</t>
    <phoneticPr fontId="13"/>
  </si>
  <si>
    <t>8/4/11</t>
    <phoneticPr fontId="13"/>
  </si>
  <si>
    <t>長野 301 に 4911</t>
    <rPh sb="0" eb="2">
      <t>ナガノ</t>
    </rPh>
    <phoneticPr fontId="13"/>
  </si>
  <si>
    <t>WMWXN920502H65601</t>
    <phoneticPr fontId="13"/>
  </si>
  <si>
    <t>8/4/25</t>
    <phoneticPr fontId="13"/>
  </si>
  <si>
    <t>名古屋 31M る 23</t>
    <rPh sb="0" eb="3">
      <t>ナゴヤ</t>
    </rPh>
    <phoneticPr fontId="13"/>
  </si>
  <si>
    <t>保証書 取説 ｽﾍﾟｱｷｰ 名変12/18まで</t>
    <rPh sb="0" eb="3">
      <t>ホショウショ</t>
    </rPh>
    <rPh sb="4" eb="6">
      <t>トリセツ</t>
    </rPh>
    <rPh sb="14" eb="16">
      <t>メイヘン</t>
    </rPh>
    <phoneticPr fontId="13"/>
  </si>
  <si>
    <t>VF1KW14B3L0819306</t>
    <phoneticPr fontId="13"/>
  </si>
  <si>
    <t>岡崎 300 の 7453</t>
    <rPh sb="0" eb="2">
      <t>オカザキ</t>
    </rPh>
    <phoneticPr fontId="13"/>
  </si>
  <si>
    <t>BMW X3 xdrive20i Xﾗｲﾝ</t>
    <phoneticPr fontId="13"/>
  </si>
  <si>
    <t>WBATY16080N047294</t>
    <phoneticPr fontId="13"/>
  </si>
  <si>
    <t>札幌 352 ひ 910</t>
    <rPh sb="0" eb="2">
      <t>サッポロ</t>
    </rPh>
    <phoneticPr fontId="13"/>
  </si>
  <si>
    <t>582 い 3738</t>
    <phoneticPr fontId="13"/>
  </si>
  <si>
    <t>品川 39A む 2871</t>
    <rPh sb="0" eb="2">
      <t>シナガワ</t>
    </rPh>
    <phoneticPr fontId="13"/>
  </si>
  <si>
    <t>27-1620</t>
  </si>
  <si>
    <t>27-1621</t>
  </si>
  <si>
    <t>27-1622</t>
  </si>
  <si>
    <t>27-1623</t>
  </si>
  <si>
    <t>27-1624</t>
  </si>
  <si>
    <t>27-1625</t>
  </si>
  <si>
    <t>27-1626</t>
  </si>
  <si>
    <t>27-1627</t>
  </si>
  <si>
    <t>27-1628</t>
  </si>
  <si>
    <t>27-1629</t>
  </si>
  <si>
    <t>27-1630</t>
  </si>
  <si>
    <t>27-1631</t>
  </si>
  <si>
    <t>27-1632</t>
  </si>
  <si>
    <t>27-1633</t>
  </si>
  <si>
    <t>27-1634</t>
  </si>
  <si>
    <t>27-1635</t>
  </si>
  <si>
    <t>27-1636</t>
  </si>
  <si>
    <t>27-1637</t>
  </si>
  <si>
    <t>DA16T-579311</t>
    <phoneticPr fontId="13"/>
  </si>
  <si>
    <t>S510P-0604869</t>
    <phoneticPr fontId="13"/>
  </si>
  <si>
    <t>LA650S-1105509</t>
    <phoneticPr fontId="13"/>
  </si>
  <si>
    <t>MZAH10-2008230</t>
    <phoneticPr fontId="13"/>
  </si>
  <si>
    <t>MH55S-147184</t>
    <phoneticPr fontId="13"/>
  </si>
  <si>
    <t>ｽﾍﾟｰｼｱｶｽﾀﾑ ﾊｲﾌﾞﾘｯﾄﾞFX</t>
    <phoneticPr fontId="13"/>
  </si>
  <si>
    <t>MK53S-495616</t>
    <phoneticPr fontId="13"/>
  </si>
  <si>
    <t>ｽﾍﾟｰｼｱX</t>
    <phoneticPr fontId="13"/>
  </si>
  <si>
    <t>MK32S-235809</t>
    <phoneticPr fontId="13"/>
  </si>
  <si>
    <t>MK32S-114210</t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</si>
  <si>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地図SD車内なしｸﾚｰﾑ済 </t>
    </r>
    <r>
      <rPr>
        <sz val="11"/>
        <color theme="4" tint="-0.499984740745262"/>
        <rFont val="ＭＳ Ｐゴシック"/>
        <family val="3"/>
        <charset val="128"/>
        <scheme val="minor"/>
      </rPr>
      <t>保証書 取説 ﾅﾋﾞ取</t>
    </r>
    <rPh sb="0" eb="2">
      <t>チズ</t>
    </rPh>
    <rPh sb="4" eb="6">
      <t>シャナイ</t>
    </rPh>
    <rPh sb="12" eb="13">
      <t>ズ</t>
    </rPh>
    <rPh sb="14" eb="17">
      <t>ホショウショ</t>
    </rPh>
    <rPh sb="18" eb="20">
      <t>トリセツ</t>
    </rPh>
    <rPh sb="24" eb="25">
      <t>トリ</t>
    </rPh>
    <phoneticPr fontId="13"/>
  </si>
  <si>
    <t>ﾚｸｻｽUX 250h Fｽﾎﾟｰﾂ</t>
    <phoneticPr fontId="13"/>
  </si>
  <si>
    <t>8/3/11</t>
    <phoneticPr fontId="13"/>
  </si>
  <si>
    <t>8/7/8</t>
    <phoneticPr fontId="13"/>
  </si>
  <si>
    <t>5/？</t>
    <phoneticPr fontId="13"/>
  </si>
  <si>
    <t>8/4/29</t>
    <phoneticPr fontId="13"/>
  </si>
  <si>
    <t>A310749</t>
    <phoneticPr fontId="13"/>
  </si>
  <si>
    <t>ICﾁｯﾌﾟ読み込まず差し替えする</t>
    <rPh sb="6" eb="7">
      <t>ヨ</t>
    </rPh>
    <rPh sb="8" eb="9">
      <t>コ</t>
    </rPh>
    <rPh sb="11" eb="12">
      <t>サ</t>
    </rPh>
    <rPh sb="13" eb="14">
      <t>カ</t>
    </rPh>
    <phoneticPr fontId="13"/>
  </si>
  <si>
    <t>TAA田原さん</t>
    <rPh sb="3" eb="5">
      <t>タハラ</t>
    </rPh>
    <phoneticPr fontId="13"/>
  </si>
  <si>
    <t>27-1638</t>
  </si>
  <si>
    <t>WMW32GX0102W96746</t>
    <phoneticPr fontId="13"/>
  </si>
  <si>
    <t>10/3/27</t>
    <phoneticPr fontId="13"/>
  </si>
  <si>
    <t>地図SD(車内)保証書 取説 ﾅﾋﾞ取 ﾜﾝｵｰﾅｰ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</si>
  <si>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保証書(整備手帳なし) 取説 ｷｰﾚｽ(車内)</t>
    <rPh sb="0" eb="3">
      <t>ホショウショ</t>
    </rPh>
    <rPh sb="4" eb="8">
      <t>セイビテチョウ</t>
    </rPh>
    <rPh sb="12" eb="14">
      <t>トリセツ</t>
    </rPh>
    <rPh sb="20" eb="22">
      <t>シャナイ</t>
    </rPh>
    <phoneticPr fontId="13"/>
  </si>
  <si>
    <t>整備手帳 取説 ｷｰﾚｽ(車内)</t>
    <rPh sb="0" eb="4">
      <t>セイビテチョウ</t>
    </rPh>
    <rPh sb="5" eb="7">
      <t>トリセツ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</si>
  <si>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</si>
  <si>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 ｷｰﾚｽ ｽﾍﾟｱｷｰ(車内)</t>
    <rPh sb="0" eb="3">
      <t>ホショウショ</t>
    </rPh>
    <rPh sb="4" eb="6">
      <t>トリセツ</t>
    </rPh>
    <phoneticPr fontId="13"/>
  </si>
  <si>
    <t>ｷｬﾃﾞﾗｯｸ XT4 ｽﾎﾟｰﾂ</t>
    <phoneticPr fontId="13"/>
  </si>
  <si>
    <t>1GYFZ9R46NF170095</t>
    <phoneticPr fontId="13"/>
  </si>
  <si>
    <t>取説 ｽﾍﾟｱｷｰ(車内)保証書</t>
    <rPh sb="0" eb="2">
      <t>トリセツ</t>
    </rPh>
    <rPh sb="10" eb="12">
      <t>シャナイ</t>
    </rPh>
    <rPh sb="13" eb="16">
      <t>ホショウショ</t>
    </rPh>
    <phoneticPr fontId="13"/>
  </si>
  <si>
    <t>保証書 中古保証書 取説 ｷｰﾚｽ</t>
    <rPh sb="0" eb="3">
      <t>ホショウショ</t>
    </rPh>
    <rPh sb="4" eb="6">
      <t>チュウコ</t>
    </rPh>
    <rPh sb="6" eb="9">
      <t>ホショウショ</t>
    </rPh>
    <rPh sb="10" eb="12">
      <t>トリセツ</t>
    </rPh>
    <phoneticPr fontId="13"/>
  </si>
  <si>
    <t>岡山 583 に 49</t>
    <rPh sb="0" eb="2">
      <t>オカヤマ</t>
    </rPh>
    <phoneticPr fontId="13"/>
  </si>
  <si>
    <t>和泉 482 ろ 7236</t>
    <rPh sb="0" eb="2">
      <t>イズミ</t>
    </rPh>
    <phoneticPr fontId="13"/>
  </si>
  <si>
    <t>和泉 482 ろ 8367</t>
    <rPh sb="0" eb="2">
      <t>イズミ</t>
    </rPh>
    <phoneticPr fontId="13"/>
  </si>
  <si>
    <t>和泉 483 す 1208</t>
    <rPh sb="0" eb="2">
      <t>イズミ</t>
    </rPh>
    <phoneticPr fontId="13"/>
  </si>
  <si>
    <t>株式会社日産ﾌｧｲﾅﾝｼｬﾙｻｰﾋﾞｽ</t>
    <rPh sb="0" eb="6">
      <t>カブシキガイシャニッサン</t>
    </rPh>
    <phoneticPr fontId="13"/>
  </si>
  <si>
    <t>和泉 482 ろ 8193</t>
    <rPh sb="0" eb="2">
      <t>イズミ</t>
    </rPh>
    <phoneticPr fontId="13"/>
  </si>
  <si>
    <t>和泉 482 ろ 8287</t>
    <rPh sb="0" eb="2">
      <t>イズミ</t>
    </rPh>
    <phoneticPr fontId="13"/>
  </si>
  <si>
    <t xml:space="preserve">ｶﾌﾟﾁｰﾉ </t>
    <phoneticPr fontId="13"/>
  </si>
  <si>
    <t>EA21R-103604</t>
    <phoneticPr fontId="13"/>
  </si>
  <si>
    <t>9/5/26</t>
    <phoneticPr fontId="13"/>
  </si>
  <si>
    <t>香川 586 ふ 2020</t>
    <rPh sb="0" eb="2">
      <t>カガワ</t>
    </rPh>
    <phoneticPr fontId="13"/>
  </si>
  <si>
    <t>WMWLR520902H69968</t>
    <phoneticPr fontId="13"/>
  </si>
  <si>
    <t>高知 300 ね 4613</t>
    <rPh sb="0" eb="2">
      <t>コウチ</t>
    </rPh>
    <phoneticPr fontId="13"/>
  </si>
  <si>
    <t>西森 仁勇</t>
    <rPh sb="0" eb="2">
      <t>ニシモリ</t>
    </rPh>
    <rPh sb="3" eb="4">
      <t>ジン</t>
    </rPh>
    <rPh sb="4" eb="5">
      <t>イサム</t>
    </rPh>
    <phoneticPr fontId="13"/>
  </si>
  <si>
    <t>保証書 取説 ｷｰﾚｽ ﾜﾝｵｰﾅｰ その他道具</t>
    <rPh sb="0" eb="3">
      <t>ホショウショ</t>
    </rPh>
    <rPh sb="4" eb="6">
      <t>トリセツ</t>
    </rPh>
    <rPh sb="21" eb="22">
      <t>タ</t>
    </rPh>
    <rPh sb="22" eb="24">
      <t>ドウグ</t>
    </rPh>
    <phoneticPr fontId="13"/>
  </si>
  <si>
    <t>なにわ 39A み 8171</t>
    <phoneticPr fontId="13"/>
  </si>
  <si>
    <t>MK53S-601487</t>
    <phoneticPr fontId="13"/>
  </si>
  <si>
    <t>ﾑｰﾌﾞｷｬﾝﾊﾞｽ L SA</t>
    <phoneticPr fontId="13"/>
  </si>
  <si>
    <t>LA800S-0028474</t>
    <phoneticPr fontId="13"/>
  </si>
  <si>
    <t>MR41S-331742</t>
    <phoneticPr fontId="13"/>
  </si>
  <si>
    <t>8/1/22</t>
    <phoneticPr fontId="13"/>
  </si>
  <si>
    <t>豊田 580 ね 1181</t>
    <rPh sb="0" eb="2">
      <t>トヨタ</t>
    </rPh>
    <phoneticPr fontId="13"/>
  </si>
  <si>
    <t>17/6</t>
    <phoneticPr fontId="13"/>
  </si>
  <si>
    <t>SALLTAMP34A837813</t>
    <phoneticPr fontId="13"/>
  </si>
  <si>
    <t>神戸 335 み 705</t>
    <rPh sb="0" eb="2">
      <t>コウベ</t>
    </rPh>
    <phoneticPr fontId="13"/>
  </si>
  <si>
    <t>WMWWJ520X03K36801</t>
    <phoneticPr fontId="13"/>
  </si>
  <si>
    <t>筑豊 332 め 326</t>
    <rPh sb="0" eb="2">
      <t>チクホウ</t>
    </rPh>
    <phoneticPr fontId="13"/>
  </si>
  <si>
    <t>ﾙﾉｰﾄｩｲﾝｺﾞ EDC</t>
    <phoneticPr fontId="13"/>
  </si>
  <si>
    <t>VF1AH000K0795727</t>
    <phoneticPr fontId="13"/>
  </si>
  <si>
    <t>奈良 542 す 707</t>
    <rPh sb="0" eb="2">
      <t>ナラ</t>
    </rPh>
    <phoneticPr fontId="13"/>
  </si>
  <si>
    <t>WMWXR920202N89933</t>
    <phoneticPr fontId="13"/>
  </si>
  <si>
    <t>大阪 375 や 888</t>
    <rPh sb="0" eb="2">
      <t>オオサカ</t>
    </rPh>
    <phoneticPr fontId="13"/>
  </si>
  <si>
    <t>27-1639</t>
  </si>
  <si>
    <t>27-1640</t>
  </si>
  <si>
    <t>27-1641</t>
  </si>
  <si>
    <t>27-1642</t>
  </si>
  <si>
    <t>27-1643</t>
  </si>
  <si>
    <t>27-1644</t>
  </si>
  <si>
    <t>27-1645</t>
  </si>
  <si>
    <t>27-1646</t>
  </si>
  <si>
    <t>27-1647</t>
  </si>
  <si>
    <t>27-1648</t>
  </si>
  <si>
    <t>ZFABF1C86NJF78601</t>
    <phoneticPr fontId="13"/>
  </si>
  <si>
    <t>ｼﾌﾄﾚﾊﾞｰ(車内)</t>
    <rPh sb="8" eb="10">
      <t>シャナイ</t>
    </rPh>
    <phoneticPr fontId="13"/>
  </si>
  <si>
    <t>なにわ 5P7 ろ 5771</t>
    <phoneticPr fontId="13"/>
  </si>
  <si>
    <t>山口ﾄﾖﾍﾟｯﾄ株式会社</t>
    <rPh sb="0" eb="2">
      <t>ヤマグチ</t>
    </rPh>
    <rPh sb="8" eb="12">
      <t>カブシキガイシャ</t>
    </rPh>
    <phoneticPr fontId="13"/>
  </si>
  <si>
    <t>福岡 39A た 6424</t>
    <rPh sb="0" eb="2">
      <t>フクオカ</t>
    </rPh>
    <phoneticPr fontId="13"/>
  </si>
  <si>
    <t>ﾈｯﾂﾄﾖﾀ福岡株式会社</t>
    <rPh sb="6" eb="8">
      <t>フクオカ</t>
    </rPh>
    <rPh sb="8" eb="12">
      <t>カブシキガイシャ</t>
    </rPh>
    <phoneticPr fontId="13"/>
  </si>
  <si>
    <t>大阪 331 の 2101</t>
    <rPh sb="0" eb="2">
      <t>オオサカ</t>
    </rPh>
    <phoneticPr fontId="13"/>
  </si>
  <si>
    <t>大下 純</t>
    <rPh sb="0" eb="2">
      <t>オオシタ</t>
    </rPh>
    <rPh sb="3" eb="4">
      <t>ジュン</t>
    </rPh>
    <phoneticPr fontId="13"/>
  </si>
  <si>
    <t>大阪 582 な 622</t>
    <rPh sb="0" eb="2">
      <t>オオサカ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</si>
  <si>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保証書(車体番号が違うｸﾚｰﾑ済み)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3">
      <t>ホショウショ</t>
    </rPh>
    <rPh sb="4" eb="8">
      <t>シャタイバンゴウ</t>
    </rPh>
    <rPh sb="9" eb="10">
      <t>チガ</t>
    </rPh>
    <rPh sb="15" eb="16">
      <t>ズ</t>
    </rPh>
    <rPh sb="19" eb="21">
      <t>トリセツ</t>
    </rPh>
    <phoneticPr fontId="13"/>
  </si>
  <si>
    <t>保証書車番違う スタンプ押してHA送る</t>
    <rPh sb="0" eb="3">
      <t>ホショウショ</t>
    </rPh>
    <rPh sb="3" eb="5">
      <t>シャバン</t>
    </rPh>
    <rPh sb="5" eb="6">
      <t>チガ</t>
    </rPh>
    <rPh sb="12" eb="13">
      <t>オ</t>
    </rPh>
    <rPh sb="17" eb="18">
      <t>オク</t>
    </rPh>
    <phoneticPr fontId="13"/>
  </si>
  <si>
    <t>言われたら会長へ</t>
    <rPh sb="0" eb="1">
      <t>イ</t>
    </rPh>
    <rPh sb="5" eb="7">
      <t>カイチョウ</t>
    </rPh>
    <phoneticPr fontId="13"/>
  </si>
  <si>
    <t>八王子 585 き 505</t>
    <rPh sb="0" eb="3">
      <t>ハチオウジ</t>
    </rPh>
    <phoneticPr fontId="13"/>
  </si>
  <si>
    <t>保証書 取説 １２月名変</t>
    <rPh sb="0" eb="3">
      <t>ホショウショ</t>
    </rPh>
    <rPh sb="4" eb="6">
      <t>トリセツ</t>
    </rPh>
    <rPh sb="9" eb="10">
      <t>ガツ</t>
    </rPh>
    <rPh sb="10" eb="12">
      <t>メイヘン</t>
    </rPh>
    <phoneticPr fontId="13"/>
  </si>
  <si>
    <t>千葉 302 め 9716</t>
    <rPh sb="0" eb="2">
      <t>チバ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</si>
  <si>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</si>
  <si>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姫路 383 み 6</t>
    <rPh sb="0" eb="2">
      <t>ヒメジ</t>
    </rPh>
    <phoneticPr fontId="13"/>
  </si>
  <si>
    <t>兵庫ﾄﾖﾀ自動車株式会社</t>
    <rPh sb="0" eb="2">
      <t>ヒョウゴ</t>
    </rPh>
    <rPh sb="5" eb="12">
      <t>ジドウシャカブシキガイシャ</t>
    </rPh>
    <phoneticPr fontId="13"/>
  </si>
  <si>
    <t>501 ゆ 1870</t>
    <phoneticPr fontId="13"/>
  </si>
  <si>
    <t>501 ゆ 1869</t>
    <phoneticPr fontId="13"/>
  </si>
  <si>
    <t>301 ね 3586</t>
    <phoneticPr fontId="13"/>
  </si>
  <si>
    <t>301 ね 3585</t>
    <phoneticPr fontId="13"/>
  </si>
  <si>
    <t>301 ね 3584</t>
    <phoneticPr fontId="13"/>
  </si>
  <si>
    <t>582 い 3832</t>
    <phoneticPr fontId="13"/>
  </si>
  <si>
    <t>582 い 3831</t>
    <phoneticPr fontId="13"/>
  </si>
  <si>
    <t>582 い 3830</t>
    <phoneticPr fontId="13"/>
  </si>
  <si>
    <t>582 い 3829</t>
    <phoneticPr fontId="13"/>
  </si>
  <si>
    <t>582 い 3827</t>
    <phoneticPr fontId="13"/>
  </si>
  <si>
    <t>582 い 3825</t>
    <phoneticPr fontId="13"/>
  </si>
  <si>
    <t>582 い 3824</t>
    <phoneticPr fontId="13"/>
  </si>
  <si>
    <t>582 い 3823</t>
    <phoneticPr fontId="13"/>
  </si>
  <si>
    <t>582 い 3822</t>
    <phoneticPr fontId="13"/>
  </si>
  <si>
    <t>582 い 3821</t>
    <phoneticPr fontId="13"/>
  </si>
  <si>
    <t>582 い 3820</t>
    <phoneticPr fontId="13"/>
  </si>
  <si>
    <t>582 い 3819</t>
    <phoneticPr fontId="13"/>
  </si>
  <si>
    <t>480 ね 1969</t>
    <phoneticPr fontId="13"/>
  </si>
  <si>
    <t>自賠責離島自己負担記載</t>
    <phoneticPr fontId="13"/>
  </si>
  <si>
    <t>記録紙4枚(書類と保管)ﾚﾝﾀｶｰ 保証書取説 ﾅﾋﾞ取 ｷｰﾚｽ</t>
    <rPh sb="0" eb="3">
      <t>キロクシ</t>
    </rPh>
    <rPh sb="4" eb="5">
      <t>マイ</t>
    </rPh>
    <rPh sb="6" eb="8">
      <t>ショルイ</t>
    </rPh>
    <rPh sb="9" eb="11">
      <t>ホカン</t>
    </rPh>
    <rPh sb="18" eb="21">
      <t>ホショウショ</t>
    </rPh>
    <rPh sb="21" eb="23">
      <t>トリセツ</t>
    </rPh>
    <rPh sb="27" eb="28">
      <t>トリ</t>
    </rPh>
    <phoneticPr fontId="13"/>
  </si>
  <si>
    <t>大分 349 と 3588</t>
    <rPh sb="0" eb="2">
      <t>オオイタ</t>
    </rPh>
    <phoneticPr fontId="13"/>
  </si>
  <si>
    <t>大分ｽﾊﾞﾙ自動車株式会社</t>
    <rPh sb="0" eb="2">
      <t>オオイタ</t>
    </rPh>
    <rPh sb="6" eb="13">
      <t>ジドウシャカブシキガイシャ</t>
    </rPh>
    <phoneticPr fontId="13"/>
  </si>
  <si>
    <t>岡本 亮太</t>
    <rPh sb="0" eb="2">
      <t>オカモト</t>
    </rPh>
    <rPh sb="3" eb="5">
      <t>リョウタ</t>
    </rPh>
    <phoneticPr fontId="13"/>
  </si>
  <si>
    <t>保証書 取説 ｷｰﾚｽ ﾄﾞﾗﾚｺﾏｲｸﾛSD 名変12/24まで</t>
    <rPh sb="0" eb="3">
      <t>ホショウショ</t>
    </rPh>
    <rPh sb="4" eb="6">
      <t>トリセツ</t>
    </rPh>
    <rPh sb="24" eb="26">
      <t>メイヘン</t>
    </rPh>
    <phoneticPr fontId="13"/>
  </si>
  <si>
    <t>なにわ 39A む 5243</t>
    <phoneticPr fontId="13"/>
  </si>
  <si>
    <t>株式会社ｶｰﾈｸｽﾄ</t>
    <rPh sb="0" eb="4">
      <t>カブシキガイシャ</t>
    </rPh>
    <phoneticPr fontId="13"/>
  </si>
  <si>
    <t>取説 ﾘﾓｺﾝ</t>
    <rPh sb="0" eb="2">
      <t>トリセツ</t>
    </rPh>
    <phoneticPr fontId="13"/>
  </si>
  <si>
    <t>株式会社CAS</t>
    <rPh sb="0" eb="4">
      <t>カブシキガイシャ</t>
    </rPh>
    <phoneticPr fontId="13"/>
  </si>
  <si>
    <t>ｷｰﾚｽ(車内)保証書(保証蘭なし記録に印あり)取説</t>
    <rPh sb="8" eb="11">
      <t>ホショウショ</t>
    </rPh>
    <rPh sb="12" eb="14">
      <t>ホショウ</t>
    </rPh>
    <rPh sb="14" eb="15">
      <t>ラン</t>
    </rPh>
    <rPh sb="17" eb="19">
      <t>キロク</t>
    </rPh>
    <rPh sb="20" eb="21">
      <t>イン</t>
    </rPh>
    <rPh sb="24" eb="26">
      <t>トリセツ</t>
    </rPh>
    <phoneticPr fontId="13"/>
  </si>
  <si>
    <t>とちぎ 399 て 8986</t>
    <phoneticPr fontId="13"/>
  </si>
  <si>
    <t>株式会社ﾎﾝﾀﾞﾍﾞﾙﾉ新栃木</t>
    <rPh sb="0" eb="4">
      <t>カブシキガイシャ</t>
    </rPh>
    <rPh sb="12" eb="13">
      <t>シン</t>
    </rPh>
    <rPh sb="13" eb="15">
      <t>トチキ</t>
    </rPh>
    <phoneticPr fontId="13"/>
  </si>
  <si>
    <t>27-1649</t>
  </si>
  <si>
    <t>27-1650</t>
  </si>
  <si>
    <t>27-1651</t>
  </si>
  <si>
    <t>JF3-2412412</t>
    <phoneticPr fontId="13"/>
  </si>
  <si>
    <t>ﾑｰﾌﾞｶｽﾀﾑ</t>
    <phoneticPr fontId="13"/>
  </si>
  <si>
    <t>LA150S-1051758</t>
    <phoneticPr fontId="13"/>
  </si>
  <si>
    <t>ｳｪｲｸ Gﾀｰﾎﾞ SA3</t>
    <phoneticPr fontId="13"/>
  </si>
  <si>
    <t>A302597</t>
    <phoneticPr fontId="13"/>
  </si>
  <si>
    <t>RZ4-1007746</t>
    <phoneticPr fontId="13"/>
  </si>
  <si>
    <t>A311636</t>
    <phoneticPr fontId="13"/>
  </si>
  <si>
    <t>MA37S-121779</t>
    <phoneticPr fontId="13"/>
  </si>
  <si>
    <t>A311156</t>
    <phoneticPr fontId="13"/>
  </si>
  <si>
    <t>GUN125-3957939</t>
    <phoneticPr fontId="13"/>
  </si>
  <si>
    <t>ZRーV eHEV Z</t>
    <phoneticPr fontId="13"/>
  </si>
  <si>
    <t>ｿﾘｵ ﾊｲﾌﾞﾘｯﾄﾞ MX LED</t>
    <phoneticPr fontId="13"/>
  </si>
  <si>
    <t>8/11/18</t>
    <phoneticPr fontId="13"/>
  </si>
  <si>
    <t>ﾊｲﾗｯｸｽ Z GRｽﾎﾟｰﾂ</t>
    <phoneticPr fontId="13"/>
  </si>
  <si>
    <t>9/2/6</t>
    <phoneticPr fontId="13"/>
  </si>
  <si>
    <t>島根 332 の 373</t>
    <rPh sb="0" eb="2">
      <t>シマネ</t>
    </rPh>
    <phoneticPr fontId="13"/>
  </si>
  <si>
    <t>京都 302 ぬ 6257</t>
    <rPh sb="0" eb="2">
      <t>キョウト</t>
    </rPh>
    <phoneticPr fontId="13"/>
  </si>
  <si>
    <t>ﾌｨｱｯﾄ500 3D</t>
    <phoneticPr fontId="13"/>
  </si>
  <si>
    <t>和泉 540 や 500</t>
    <rPh sb="0" eb="2">
      <t>イズミ</t>
    </rPh>
    <phoneticPr fontId="13"/>
  </si>
  <si>
    <t>ﾙﾉｰﾄｩｲﾝｺﾞ</t>
    <phoneticPr fontId="13"/>
  </si>
  <si>
    <t>VW ｻﾞﾋﾞｰﾄﾙ ﾃﾞｻﾞｲﾝ ﾚｻﾞｰﾊﾟｯｹｰｼﾞ</t>
    <phoneticPr fontId="13"/>
  </si>
  <si>
    <t>大分 336 そ 3</t>
    <rPh sb="0" eb="2">
      <t>オオイタ</t>
    </rPh>
    <phoneticPr fontId="13"/>
  </si>
  <si>
    <t>WVWZZZ16ZFW617668</t>
    <phoneticPr fontId="13"/>
  </si>
  <si>
    <t>ﾃｽﾗ ﾓﾃﾞﾙ3</t>
    <phoneticPr fontId="13"/>
  </si>
  <si>
    <t>LRW3F7FS7NC665381</t>
    <phoneticPr fontId="13"/>
  </si>
  <si>
    <t>ﾎﾞﾙﾎﾞV60</t>
    <phoneticPr fontId="13"/>
  </si>
  <si>
    <t>YV1ZWK8M8P2524692</t>
    <phoneticPr fontId="13"/>
  </si>
  <si>
    <t>ｱｳﾃﾞｨA3 ｽﾎﾟｰﾂﾊﾞｯｸ 1.4 TFSI</t>
    <phoneticPr fontId="13"/>
  </si>
  <si>
    <t>WAUZZZ8V1HA085189</t>
    <phoneticPr fontId="13"/>
  </si>
  <si>
    <t>WAUZZZ8V1KA007969</t>
    <phoneticPr fontId="13"/>
  </si>
  <si>
    <t>ﾍﾞﾝﾂ Cｸﾗｽ ｾﾀﾞﾝ</t>
    <phoneticPr fontId="13"/>
  </si>
  <si>
    <t>WDD2050142R442469</t>
    <phoneticPr fontId="13"/>
  </si>
  <si>
    <t>WMWXT320002H68134</t>
    <phoneticPr fontId="13"/>
  </si>
  <si>
    <t>鈴鹿 580 け 9236</t>
    <rPh sb="0" eb="2">
      <t>スズカ</t>
    </rPh>
    <phoneticPr fontId="13"/>
  </si>
  <si>
    <t>渥美 理香</t>
    <rPh sb="0" eb="2">
      <t>アツミ</t>
    </rPh>
    <rPh sb="3" eb="5">
      <t>リカ</t>
    </rPh>
    <phoneticPr fontId="13"/>
  </si>
  <si>
    <t>堺 480 き 8686</t>
    <rPh sb="0" eb="1">
      <t>サカイ</t>
    </rPh>
    <phoneticPr fontId="13"/>
  </si>
  <si>
    <t>岩見 幸弘</t>
    <rPh sb="0" eb="2">
      <t>イワミ</t>
    </rPh>
    <rPh sb="3" eb="5">
      <t>サチヒロ</t>
    </rPh>
    <phoneticPr fontId="13"/>
  </si>
  <si>
    <t>保証書 取説 ｽﾍﾟｱｷｰ2個 ﾜﾝｵｰﾅｰ</t>
    <rPh sb="0" eb="3">
      <t>ホショウショ</t>
    </rPh>
    <rPh sb="4" eb="6">
      <t>トリセツ</t>
    </rPh>
    <rPh sb="14" eb="15">
      <t>コ</t>
    </rPh>
    <phoneticPr fontId="13"/>
  </si>
  <si>
    <t>広島 330 せ 4048</t>
    <rPh sb="0" eb="2">
      <t>ヒロシマ</t>
    </rPh>
    <phoneticPr fontId="13"/>
  </si>
  <si>
    <t>名古屋 401 ふ 5067</t>
    <rPh sb="0" eb="3">
      <t>ナゴヤ</t>
    </rPh>
    <phoneticPr fontId="13"/>
  </si>
  <si>
    <t>品川 59F す 9902</t>
    <rPh sb="0" eb="2">
      <t>シナガワ</t>
    </rPh>
    <phoneticPr fontId="13"/>
  </si>
  <si>
    <t>取説 ｷｰﾚｽ(車内)保証書 地図SD</t>
    <rPh sb="0" eb="2">
      <t>トリセツ</t>
    </rPh>
    <rPh sb="11" eb="14">
      <t>ホショウショ</t>
    </rPh>
    <rPh sb="15" eb="17">
      <t>チズ</t>
    </rPh>
    <phoneticPr fontId="13"/>
  </si>
  <si>
    <t>広島 400 ね 2044</t>
    <rPh sb="0" eb="2">
      <t>ヒロシマ</t>
    </rPh>
    <phoneticPr fontId="13"/>
  </si>
  <si>
    <t>中尾 拓人</t>
    <rPh sb="0" eb="2">
      <t>ナカオ</t>
    </rPh>
    <rPh sb="3" eb="4">
      <t>タク</t>
    </rPh>
    <rPh sb="4" eb="5">
      <t>ヒト</t>
    </rPh>
    <phoneticPr fontId="13"/>
  </si>
  <si>
    <t>保証書 取説 ﾅﾋﾞ取 ｷｰﾚｽ SD ﾏｲｸﾛSD</t>
    <rPh sb="0" eb="3">
      <t>ホショウショ</t>
    </rPh>
    <rPh sb="4" eb="6">
      <t>トリセツ</t>
    </rPh>
    <rPh sb="10" eb="11">
      <t>トリ</t>
    </rPh>
    <phoneticPr fontId="13"/>
  </si>
  <si>
    <t>川﨑様</t>
    <rPh sb="0" eb="2">
      <t>カワサキ</t>
    </rPh>
    <rPh sb="2" eb="3">
      <t>サマ</t>
    </rPh>
    <phoneticPr fontId="13"/>
  </si>
  <si>
    <t>ｾﾙﾎﾞ</t>
    <phoneticPr fontId="13"/>
  </si>
  <si>
    <t>HG21S-110300</t>
    <phoneticPr fontId="13"/>
  </si>
  <si>
    <t>姫路 581 ま 7888</t>
    <rPh sb="0" eb="2">
      <t>ヒメジ</t>
    </rPh>
    <phoneticPr fontId="13"/>
  </si>
  <si>
    <t>川﨑 楓香</t>
    <rPh sb="0" eb="2">
      <t>カワサキ</t>
    </rPh>
    <rPh sb="3" eb="5">
      <t>フウカ</t>
    </rPh>
    <phoneticPr fontId="13"/>
  </si>
  <si>
    <t>27-1652</t>
  </si>
  <si>
    <t>27-1653</t>
  </si>
  <si>
    <t>27-1654</t>
  </si>
  <si>
    <t>27-1655</t>
  </si>
  <si>
    <t>27-1656</t>
  </si>
  <si>
    <t>27-1657</t>
  </si>
  <si>
    <t>27-1658</t>
  </si>
  <si>
    <t>27-1659</t>
  </si>
  <si>
    <t>27-1660</t>
  </si>
  <si>
    <t>27-1661</t>
  </si>
  <si>
    <t>27-1662</t>
  </si>
  <si>
    <t>27-1663</t>
  </si>
  <si>
    <t>27-1664</t>
  </si>
  <si>
    <t>27-1665</t>
  </si>
  <si>
    <t>27-1666</t>
  </si>
  <si>
    <t>ﾊｲｾﾞｯﾄﾄﾗｯｸ ｼﾞｬﾝﾎﾞ ｴｸｽﾄﾗ</t>
    <phoneticPr fontId="13"/>
  </si>
  <si>
    <t>S500P-0153485</t>
    <phoneticPr fontId="13"/>
  </si>
  <si>
    <t>HE33S-542069</t>
    <phoneticPr fontId="13"/>
  </si>
  <si>
    <t>大阪 589 や 44</t>
    <rPh sb="0" eb="2">
      <t>オオサカ</t>
    </rPh>
    <phoneticPr fontId="13"/>
  </si>
  <si>
    <t>JF5-1006457</t>
    <phoneticPr fontId="13"/>
  </si>
  <si>
    <t>香川 580 わ 7615</t>
    <rPh sb="0" eb="2">
      <t>カガワ</t>
    </rPh>
    <phoneticPr fontId="13"/>
  </si>
  <si>
    <t>MJ34S-226583</t>
    <phoneticPr fontId="13"/>
  </si>
  <si>
    <t>譲渡証差し替えOK11/7返送 11/11着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13" eb="15">
      <t>ヘンソウ</t>
    </rPh>
    <rPh sb="21" eb="22">
      <t>チャク</t>
    </rPh>
    <phoneticPr fontId="13"/>
  </si>
  <si>
    <t>11/11</t>
    <phoneticPr fontId="13"/>
  </si>
  <si>
    <t>保証書 取説 ﾅﾋﾞ取 ｷｰﾚｽ ﾘﾓｺﾝ2個 SD ﾜﾝｵｰﾅｰ</t>
    <rPh sb="0" eb="3">
      <t>ホショウショ</t>
    </rPh>
    <rPh sb="4" eb="6">
      <t>トリセツ</t>
    </rPh>
    <rPh sb="10" eb="11">
      <t>トリ</t>
    </rPh>
    <rPh sb="22" eb="23">
      <t>コ</t>
    </rPh>
    <phoneticPr fontId="13"/>
  </si>
  <si>
    <t xml:space="preserve">ｷｰﾚｽ←ｽﾄｯｸ ミニB-CAS ﾏｲｸﾛSD </t>
    <phoneticPr fontId="13"/>
  </si>
  <si>
    <t>LA650S-0050139</t>
    <phoneticPr fontId="13"/>
  </si>
  <si>
    <t>大阪 583 む 164</t>
    <rPh sb="0" eb="2">
      <t>オオサカ</t>
    </rPh>
    <phoneticPr fontId="13"/>
  </si>
  <si>
    <t>ﾑｰﾌﾞｷｬﾝﾊﾞｽｽﾄﾗｲﾌﾟｽ G</t>
    <phoneticPr fontId="13"/>
  </si>
  <si>
    <t>LA850S-1006051</t>
    <phoneticPr fontId="13"/>
  </si>
  <si>
    <t>ﾎﾞﾙﾎﾞ XC40</t>
    <phoneticPr fontId="13"/>
  </si>
  <si>
    <t>YV1XZK9MDM2523891</t>
    <phoneticPr fontId="13"/>
  </si>
  <si>
    <t>2/？</t>
    <phoneticPr fontId="13"/>
  </si>
  <si>
    <t>LA900S-0021883</t>
    <phoneticPr fontId="13"/>
  </si>
  <si>
    <t>神戸 39A そ 680</t>
    <rPh sb="0" eb="2">
      <t>コウベ</t>
    </rPh>
    <phoneticPr fontId="13"/>
  </si>
  <si>
    <t>ﾅﾋﾞﾘﾓｺﾝ ｷｰﾚｽ</t>
    <phoneticPr fontId="13"/>
  </si>
  <si>
    <t>奈良 580 む 2792</t>
    <rPh sb="0" eb="2">
      <t>ナラ</t>
    </rPh>
    <phoneticPr fontId="13"/>
  </si>
  <si>
    <t>大西 奈月</t>
    <rPh sb="0" eb="2">
      <t>オオニシ</t>
    </rPh>
    <rPh sb="3" eb="5">
      <t>ナツキ</t>
    </rPh>
    <phoneticPr fontId="13"/>
  </si>
  <si>
    <t>保証書 取説 ﾅﾋﾞ取 SD</t>
    <rPh sb="0" eb="3">
      <t>ホショウショ</t>
    </rPh>
    <rPh sb="4" eb="6">
      <t>トリセツ</t>
    </rPh>
    <rPh sb="10" eb="11">
      <t>トリ</t>
    </rPh>
    <phoneticPr fontId="13"/>
  </si>
  <si>
    <t>三宅 諒</t>
    <rPh sb="0" eb="2">
      <t>ミヤケ</t>
    </rPh>
    <rPh sb="3" eb="4">
      <t>リョウ</t>
    </rPh>
    <phoneticPr fontId="13"/>
  </si>
  <si>
    <t>保証書 取説 ﾅﾋﾞ取 ﾏｲｸﾛSD ﾐﾆB-CAS ﾜﾝｵｰﾅｰ</t>
    <rPh sb="0" eb="3">
      <t>ホショウショ</t>
    </rPh>
    <rPh sb="4" eb="6">
      <t>トリセツ</t>
    </rPh>
    <rPh sb="10" eb="11">
      <t>トリ</t>
    </rPh>
    <phoneticPr fontId="13"/>
  </si>
  <si>
    <t>なにわ 581 せ 1760</t>
    <phoneticPr fontId="13"/>
  </si>
  <si>
    <t>保証書 取説 SD ﾅﾋﾞ取 ﾅﾝﾊﾞｰ</t>
    <rPh sb="0" eb="3">
      <t>ホショウショ</t>
    </rPh>
    <rPh sb="4" eb="6">
      <t>トリセツ</t>
    </rPh>
    <rPh sb="13" eb="14">
      <t>トリ</t>
    </rPh>
    <phoneticPr fontId="13"/>
  </si>
  <si>
    <t>大宮 798 ろ 8132</t>
    <rPh sb="0" eb="2">
      <t>オオミヤ</t>
    </rPh>
    <phoneticPr fontId="13"/>
  </si>
  <si>
    <t>品川 5X2 ろ 1877</t>
    <rPh sb="0" eb="2">
      <t>シナガワ</t>
    </rPh>
    <phoneticPr fontId="13"/>
  </si>
  <si>
    <t>品川 5X2 ろ 1876</t>
    <rPh sb="0" eb="2">
      <t>シナガワ</t>
    </rPh>
    <phoneticPr fontId="13"/>
  </si>
  <si>
    <t>名古屋 780 ろ 2262</t>
    <rPh sb="0" eb="3">
      <t>ナゴヤ</t>
    </rPh>
    <phoneticPr fontId="13"/>
  </si>
  <si>
    <t>株式会社FINE</t>
    <rPh sb="0" eb="4">
      <t>カブシキガイシャ</t>
    </rPh>
    <phoneticPr fontId="13"/>
  </si>
  <si>
    <t>株式会社深谷ﾓｰﾀｰｽ</t>
    <rPh sb="0" eb="4">
      <t>カブシキガイシャ</t>
    </rPh>
    <rPh sb="4" eb="6">
      <t>フカヤ</t>
    </rPh>
    <phoneticPr fontId="13"/>
  </si>
  <si>
    <t>渡邊 精仁</t>
    <rPh sb="0" eb="2">
      <t>ワタナベ</t>
    </rPh>
    <rPh sb="3" eb="4">
      <t>セイ</t>
    </rPh>
    <rPh sb="4" eb="5">
      <t>ヒトシ</t>
    </rPh>
    <phoneticPr fontId="13"/>
  </si>
  <si>
    <t>保証書 取説 SD ｷｰﾚｽ</t>
    <rPh sb="0" eb="3">
      <t>ホショウショ</t>
    </rPh>
    <rPh sb="4" eb="6">
      <t>トリセツ</t>
    </rPh>
    <phoneticPr fontId="13"/>
  </si>
  <si>
    <t>3/？</t>
    <phoneticPr fontId="13"/>
  </si>
  <si>
    <t>MR92S-198529</t>
    <phoneticPr fontId="13"/>
  </si>
  <si>
    <t>広島 598 や 1103</t>
    <rPh sb="0" eb="2">
      <t>ヒロシマ</t>
    </rPh>
    <phoneticPr fontId="13"/>
  </si>
  <si>
    <t>地図SD(車内)保証書 取説 ｷｰﾚｽ ﾚﾝﾀｶｰ</t>
    <rPh sb="8" eb="11">
      <t>ホショウショ</t>
    </rPh>
    <rPh sb="12" eb="14">
      <t>トリセツ</t>
    </rPh>
    <phoneticPr fontId="13"/>
  </si>
  <si>
    <t>小野 淳子</t>
    <rPh sb="0" eb="2">
      <t>オノ</t>
    </rPh>
    <rPh sb="3" eb="5">
      <t>ジュンコ</t>
    </rPh>
    <phoneticPr fontId="13"/>
  </si>
  <si>
    <t>なにわ 5P7 ろ 7412</t>
    <phoneticPr fontId="13"/>
  </si>
  <si>
    <t>名古屋 582 け 4704</t>
    <rPh sb="0" eb="3">
      <t>ナゴヤ</t>
    </rPh>
    <phoneticPr fontId="13"/>
  </si>
  <si>
    <t>株式会社気分屋</t>
    <rPh sb="0" eb="4">
      <t>カブシキガイシャ</t>
    </rPh>
    <rPh sb="4" eb="7">
      <t>キブンヤ</t>
    </rPh>
    <phoneticPr fontId="13"/>
  </si>
  <si>
    <t xml:space="preserve">保証書 取説 ﾅﾋﾞ取 </t>
    <phoneticPr fontId="13"/>
  </si>
  <si>
    <t>保証書 取説 SD ｽﾍﾟｱｷｰ ﾜﾝｵｰﾅｰ</t>
    <rPh sb="0" eb="3">
      <t>ホショウショ</t>
    </rPh>
    <rPh sb="4" eb="6">
      <t>トリセツ</t>
    </rPh>
    <phoneticPr fontId="13"/>
  </si>
  <si>
    <t>兵庫ﾀﾞｲﾊﾂ販売株式会社</t>
    <rPh sb="0" eb="2">
      <t>ヒョウゴ</t>
    </rPh>
    <rPh sb="7" eb="9">
      <t>ハンバイ</t>
    </rPh>
    <rPh sb="9" eb="13">
      <t>カブシキガイシャ</t>
    </rPh>
    <phoneticPr fontId="13"/>
  </si>
  <si>
    <t>保証書 取説 ﾅﾋﾞ取 SD ﾏｲｸﾛSD ﾚﾝﾁ</t>
    <rPh sb="0" eb="3">
      <t>ホショウショ</t>
    </rPh>
    <rPh sb="4" eb="6">
      <t>トリセツ</t>
    </rPh>
    <rPh sb="10" eb="11">
      <t>トリ</t>
    </rPh>
    <phoneticPr fontId="13"/>
  </si>
  <si>
    <t>CAN</t>
    <phoneticPr fontId="13"/>
  </si>
  <si>
    <r>
      <t xml:space="preserve">取説 ﾅﾋﾞ取 ｽﾍﾟｱｷｰ </t>
    </r>
    <r>
      <rPr>
        <sz val="11"/>
        <color theme="3"/>
        <rFont val="ＭＳ Ｐゴシック"/>
        <family val="3"/>
        <charset val="128"/>
        <scheme val="minor"/>
      </rPr>
      <t>地図SD車内なしｶｺﾞ上がってきたら確認</t>
    </r>
    <rPh sb="0" eb="2">
      <t>トリセツ</t>
    </rPh>
    <rPh sb="6" eb="7">
      <t>トリ</t>
    </rPh>
    <rPh sb="15" eb="17">
      <t>チズ</t>
    </rPh>
    <rPh sb="19" eb="21">
      <t>シャナイ</t>
    </rPh>
    <rPh sb="26" eb="27">
      <t>ア</t>
    </rPh>
    <rPh sb="33" eb="35">
      <t>カクニン</t>
    </rPh>
    <phoneticPr fontId="13"/>
  </si>
  <si>
    <t>LA700S-0142712</t>
    <phoneticPr fontId="13"/>
  </si>
  <si>
    <t>VF1AH0008L0811870</t>
    <phoneticPr fontId="13"/>
  </si>
  <si>
    <t>LA900S-0108413</t>
    <phoneticPr fontId="13"/>
  </si>
  <si>
    <t>福山 583 さ 3810</t>
    <rPh sb="0" eb="2">
      <t>フクヤマ</t>
    </rPh>
    <phoneticPr fontId="13"/>
  </si>
  <si>
    <t>WMWXM72080T931334</t>
    <phoneticPr fontId="13"/>
  </si>
  <si>
    <t>1C4NJCD12NPN65291</t>
    <phoneticPr fontId="13"/>
  </si>
  <si>
    <t>広島 302 な 3404</t>
    <rPh sb="0" eb="2">
      <t>ヒロシマ</t>
    </rPh>
    <phoneticPr fontId="13"/>
  </si>
  <si>
    <t>VW ｻﾞﾋﾞｰﾄﾙ Rﾗｲﾝﾏｲｽﾀｰ</t>
    <phoneticPr fontId="13"/>
  </si>
  <si>
    <t>WVWZZZ16ZKM713627</t>
    <phoneticPr fontId="13"/>
  </si>
  <si>
    <t>広島 362 そ 117</t>
    <rPh sb="0" eb="2">
      <t>ヒロシマ</t>
    </rPh>
    <phoneticPr fontId="13"/>
  </si>
  <si>
    <t>北九州 581 い 6874</t>
    <rPh sb="0" eb="3">
      <t>キタキュウシュウ</t>
    </rPh>
    <phoneticPr fontId="13"/>
  </si>
  <si>
    <t>南 朱里</t>
    <rPh sb="0" eb="1">
      <t>ミナミ</t>
    </rPh>
    <rPh sb="2" eb="4">
      <t>シュリ</t>
    </rPh>
    <phoneticPr fontId="13"/>
  </si>
  <si>
    <t>582 い 3922</t>
    <phoneticPr fontId="13"/>
  </si>
  <si>
    <r>
      <t xml:space="preserve">保証書 取説 地図SD(車内) </t>
    </r>
    <r>
      <rPr>
        <sz val="9"/>
        <color theme="3"/>
        <rFont val="ＭＳ Ｐゴシック"/>
        <family val="3"/>
        <charset val="128"/>
        <scheme val="minor"/>
      </rPr>
      <t>ｽﾍﾟｱｷｰ車内上がって来なかった</t>
    </r>
    <rPh sb="0" eb="3">
      <t>ホショウショ</t>
    </rPh>
    <rPh sb="4" eb="6">
      <t>トリセツ</t>
    </rPh>
    <rPh sb="7" eb="9">
      <t>チズ</t>
    </rPh>
    <rPh sb="22" eb="24">
      <t>シャナイ</t>
    </rPh>
    <rPh sb="24" eb="25">
      <t>ア</t>
    </rPh>
    <rPh sb="28" eb="29">
      <t>コ</t>
    </rPh>
    <phoneticPr fontId="13"/>
  </si>
  <si>
    <t>NSP160-0065557</t>
    <phoneticPr fontId="13"/>
  </si>
  <si>
    <t>所沢 588 ね 1018</t>
    <rPh sb="0" eb="2">
      <t>トコロザワ</t>
    </rPh>
    <phoneticPr fontId="13"/>
  </si>
  <si>
    <t>秋丸 佳太</t>
    <rPh sb="0" eb="2">
      <t>アキマル</t>
    </rPh>
    <rPh sb="3" eb="4">
      <t>ケイ</t>
    </rPh>
    <rPh sb="4" eb="5">
      <t>タ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</si>
  <si>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</si>
  <si>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市川 312 ち 1000</t>
    <rPh sb="0" eb="2">
      <t>イチカワ</t>
    </rPh>
    <phoneticPr fontId="13"/>
  </si>
  <si>
    <t>福井 秀夫</t>
    <rPh sb="0" eb="2">
      <t>フクイ</t>
    </rPh>
    <rPh sb="3" eb="5">
      <t>ヒデオ</t>
    </rPh>
    <phoneticPr fontId="13"/>
  </si>
  <si>
    <t>株式会社志村ﾓｰﾀｰｽ</t>
    <rPh sb="0" eb="4">
      <t>カブシキガイシャ</t>
    </rPh>
    <rPh sb="4" eb="6">
      <t>シムラ</t>
    </rPh>
    <phoneticPr fontId="13"/>
  </si>
  <si>
    <t>WDB4633482X286277</t>
    <phoneticPr fontId="13"/>
  </si>
  <si>
    <t>千葉 326 せ 9996</t>
    <rPh sb="0" eb="2">
      <t>チバ</t>
    </rPh>
    <phoneticPr fontId="13"/>
  </si>
  <si>
    <t>保証書 取説 ｷｰﾚｽ ﾜﾝｵｰﾅｰかな</t>
    <rPh sb="0" eb="3">
      <t>ホショウショ</t>
    </rPh>
    <rPh sb="4" eb="6">
      <t>トリセツ</t>
    </rPh>
    <phoneticPr fontId="13"/>
  </si>
  <si>
    <t>NSP160-0061538</t>
    <phoneticPr fontId="13"/>
  </si>
  <si>
    <t>27-1667</t>
  </si>
  <si>
    <t>27-1668</t>
  </si>
  <si>
    <t>27-1669</t>
  </si>
  <si>
    <t>27-1670</t>
  </si>
  <si>
    <t>27-1671</t>
  </si>
  <si>
    <t>27-1672</t>
  </si>
  <si>
    <t>27-1673</t>
  </si>
  <si>
    <t>27-1674</t>
  </si>
  <si>
    <t>27-1675</t>
  </si>
  <si>
    <t>27-1676</t>
  </si>
  <si>
    <t>27-1677</t>
  </si>
  <si>
    <t>27-1678</t>
  </si>
  <si>
    <t>27-1679</t>
  </si>
  <si>
    <t>27-1680</t>
  </si>
  <si>
    <t>27-1681</t>
  </si>
  <si>
    <t>27-1682</t>
  </si>
  <si>
    <t>27-1683</t>
  </si>
  <si>
    <t>27-1684</t>
  </si>
  <si>
    <t>27-1685</t>
  </si>
  <si>
    <t>27-1686</t>
  </si>
  <si>
    <t>27-1687</t>
  </si>
  <si>
    <t>27-1688</t>
  </si>
  <si>
    <t>27-1689</t>
  </si>
  <si>
    <t>27-1690</t>
  </si>
  <si>
    <t>BMWﾐﾆ ｸﾗﾌﾞ Mﾊﾞｯｷﾝｶﾞﾑ</t>
    <phoneticPr fontId="13"/>
  </si>
  <si>
    <t>27-1691</t>
  </si>
  <si>
    <t>27-1692</t>
  </si>
  <si>
    <t>岐阜 582 こ 3647</t>
    <rPh sb="0" eb="2">
      <t>ギフ</t>
    </rPh>
    <phoneticPr fontId="13"/>
  </si>
  <si>
    <t>ﾌﾟﾚﾐｱﾌｧｲﾅﾝｼｬﾙｻｰﾋﾞｽ株式会社</t>
    <rPh sb="18" eb="22">
      <t>カブシキガイシャ</t>
    </rPh>
    <phoneticPr fontId="13"/>
  </si>
  <si>
    <t>11/13</t>
    <phoneticPr fontId="13"/>
  </si>
  <si>
    <t>横浜 332 む 9800</t>
    <rPh sb="0" eb="2">
      <t>ヨコハマ</t>
    </rPh>
    <phoneticPr fontId="13"/>
  </si>
  <si>
    <t>日産ﾌﾟﾘﾝｽ神奈川販売株式会社</t>
    <rPh sb="0" eb="2">
      <t>ニッサン</t>
    </rPh>
    <rPh sb="9" eb="11">
      <t>ハンバイ</t>
    </rPh>
    <rPh sb="11" eb="15">
      <t>カブシキガイシャ</t>
    </rPh>
    <phoneticPr fontId="13"/>
  </si>
  <si>
    <t>柏 584 て 810</t>
    <rPh sb="0" eb="1">
      <t>カシワ</t>
    </rPh>
    <phoneticPr fontId="13"/>
  </si>
  <si>
    <t>ﾑｰﾌﾞ</t>
    <phoneticPr fontId="13"/>
  </si>
  <si>
    <t>LA150S-2100737</t>
    <phoneticPr fontId="13"/>
  </si>
  <si>
    <t>JF3-5230639</t>
    <phoneticPr fontId="13"/>
  </si>
  <si>
    <t>MK94S-136770</t>
    <phoneticPr fontId="13"/>
  </si>
  <si>
    <t>HA36S-562622</t>
    <phoneticPr fontId="13"/>
  </si>
  <si>
    <t>HA365S-561821</t>
    <phoneticPr fontId="13"/>
  </si>
  <si>
    <t>LA150S-2065267</t>
    <phoneticPr fontId="13"/>
  </si>
  <si>
    <t>N-BOXｶｽﾀﾑ ﾀｰﾎﾞSSﾊﾟｯｹｰｼﾞ</t>
    <phoneticPr fontId="13"/>
  </si>
  <si>
    <t>JF1-2544266</t>
    <phoneticPr fontId="13"/>
  </si>
  <si>
    <t>27-1693</t>
  </si>
  <si>
    <t>27-1694</t>
  </si>
  <si>
    <t>27-1695</t>
  </si>
  <si>
    <t>27-1696</t>
  </si>
  <si>
    <t>27-1697</t>
  </si>
  <si>
    <t>27-1698</t>
  </si>
  <si>
    <t>27-1699</t>
  </si>
  <si>
    <t>JB23W-778114</t>
    <phoneticPr fontId="13"/>
  </si>
  <si>
    <t>DR17V-854529</t>
    <phoneticPr fontId="13"/>
  </si>
  <si>
    <t>28/？</t>
    <phoneticPr fontId="13"/>
  </si>
  <si>
    <t>MH34S-435461</t>
    <phoneticPr fontId="13"/>
  </si>
  <si>
    <t>静岡 584 こ 312</t>
    <rPh sb="0" eb="2">
      <t>シズオカ</t>
    </rPh>
    <phoneticPr fontId="13"/>
  </si>
  <si>
    <t>ANH20-8317588</t>
    <phoneticPr fontId="13"/>
  </si>
  <si>
    <t>豊橋 301 と 3965</t>
    <rPh sb="0" eb="2">
      <t>トヨハシ</t>
    </rPh>
    <phoneticPr fontId="13"/>
  </si>
  <si>
    <t>ANH20-8350691</t>
    <phoneticPr fontId="13"/>
  </si>
  <si>
    <t>名古屋 340 る 7778</t>
    <rPh sb="0" eb="3">
      <t>ナゴヤ</t>
    </rPh>
    <phoneticPr fontId="13"/>
  </si>
  <si>
    <t>WMWLN720X02D97774</t>
    <phoneticPr fontId="13"/>
  </si>
  <si>
    <t>ﾌｨｱｯﾄ500 ﾙｯｿ</t>
    <phoneticPr fontId="13"/>
  </si>
  <si>
    <t>ZFA3120000JA63754</t>
    <phoneticPr fontId="13"/>
  </si>
  <si>
    <t>YV1MVA8RDK2557410</t>
    <phoneticPr fontId="13"/>
  </si>
  <si>
    <t>譲渡証差し替HAA連絡 ZIP返送済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rPh sb="9" eb="11">
      <t>レンラク</t>
    </rPh>
    <rPh sb="15" eb="17">
      <t>ヘンソウ</t>
    </rPh>
    <rPh sb="17" eb="18">
      <t>ズ</t>
    </rPh>
    <phoneticPr fontId="13"/>
  </si>
  <si>
    <t>WMWYT920303D52709</t>
    <phoneticPr fontId="13"/>
  </si>
  <si>
    <t>千葉 303 そ 2141</t>
    <rPh sb="0" eb="2">
      <t>チバ</t>
    </rPh>
    <phoneticPr fontId="13"/>
  </si>
  <si>
    <t>14(金)HAA着予定 遅延</t>
    <rPh sb="3" eb="4">
      <t>キン</t>
    </rPh>
    <rPh sb="8" eb="9">
      <t>チャク</t>
    </rPh>
    <rPh sb="9" eb="11">
      <t>ヨテイ</t>
    </rPh>
    <rPh sb="12" eb="14">
      <t>チエン</t>
    </rPh>
    <phoneticPr fontId="13"/>
  </si>
  <si>
    <t>WMWLU920802H32903</t>
    <phoneticPr fontId="13"/>
  </si>
  <si>
    <t>横浜 304 ら 343</t>
    <rPh sb="0" eb="2">
      <t>ヨコハマ</t>
    </rPh>
    <phoneticPr fontId="13"/>
  </si>
  <si>
    <t>BMW X3 xdrive20d Mｽﾎﾟｰﾂ</t>
    <phoneticPr fontId="13"/>
  </si>
  <si>
    <t>WBAUZ36060N033634</t>
    <phoneticPr fontId="13"/>
  </si>
  <si>
    <t>9/7/30</t>
    <phoneticPr fontId="13"/>
  </si>
  <si>
    <t>多摩 346 め 312</t>
    <rPh sb="0" eb="2">
      <t>タマ</t>
    </rPh>
    <phoneticPr fontId="13"/>
  </si>
  <si>
    <t>整備記録</t>
    <rPh sb="0" eb="2">
      <t>セイビ</t>
    </rPh>
    <rPh sb="2" eb="4">
      <t>キロク</t>
    </rPh>
    <phoneticPr fontId="13"/>
  </si>
  <si>
    <t>MK53S-578789</t>
    <phoneticPr fontId="13"/>
  </si>
  <si>
    <t>保証書 取説 ｽﾍﾟｱｷｰ SD ﾜﾝｵｰﾅｰ</t>
    <rPh sb="0" eb="3">
      <t>ホショウショ</t>
    </rPh>
    <rPh sb="4" eb="6">
      <t>トリセツ</t>
    </rPh>
    <phoneticPr fontId="13"/>
  </si>
  <si>
    <t>ｱｸｱ G</t>
    <phoneticPr fontId="13"/>
  </si>
  <si>
    <t>NHP10-2211685</t>
    <phoneticPr fontId="13"/>
  </si>
  <si>
    <t>8/6/21</t>
    <phoneticPr fontId="13"/>
  </si>
  <si>
    <t>DA64W-413207</t>
    <phoneticPr fontId="13"/>
  </si>
  <si>
    <t>ﾊﾟﾚｯﾄ SW TS</t>
    <phoneticPr fontId="13"/>
  </si>
  <si>
    <t>MK21S-850615</t>
    <phoneticPr fontId="13"/>
  </si>
  <si>
    <t>石川 580 て 6959</t>
    <rPh sb="0" eb="2">
      <t>イシカワ</t>
    </rPh>
    <phoneticPr fontId="13"/>
  </si>
  <si>
    <t>ﾜｺﾞﾝR</t>
    <phoneticPr fontId="13"/>
  </si>
  <si>
    <t>MH34S-369985</t>
    <phoneticPr fontId="13"/>
  </si>
  <si>
    <t>ｽﾍﾟｰｼｱﾊｲﾌﾞﾘｯﾄﾞX</t>
    <phoneticPr fontId="13"/>
  </si>
  <si>
    <t>書類返送11/13</t>
    <rPh sb="0" eb="4">
      <t>ショルイヘンソウ</t>
    </rPh>
    <phoneticPr fontId="13"/>
  </si>
  <si>
    <t>MK53S-158880</t>
    <phoneticPr fontId="13"/>
  </si>
  <si>
    <t>HE33S-312167</t>
    <phoneticPr fontId="13"/>
  </si>
  <si>
    <t>ﾋﾟｸｼｽﾊﾞﾝ ﾃﾞﾗｯｸｽ</t>
    <phoneticPr fontId="13"/>
  </si>
  <si>
    <t>S700M-0004316</t>
    <phoneticPr fontId="13"/>
  </si>
  <si>
    <t>ｱﾄﾚｰ ｶｽﾀﾑﾀｰﾎﾞ RS</t>
    <phoneticPr fontId="13"/>
  </si>
  <si>
    <t>S321G-0063801</t>
    <phoneticPr fontId="13"/>
  </si>
  <si>
    <t>8/8/8</t>
    <phoneticPr fontId="13"/>
  </si>
  <si>
    <t>岐阜 582 ぬ 4794</t>
    <rPh sb="0" eb="2">
      <t>ギフ</t>
    </rPh>
    <phoneticPr fontId="13"/>
  </si>
  <si>
    <t>MR41S-614632</t>
    <phoneticPr fontId="13"/>
  </si>
  <si>
    <t>SD ｽﾏｰﾄｷｰ ﾜﾝｵｰﾅｰ</t>
    <phoneticPr fontId="13"/>
  </si>
  <si>
    <t>WMWXU720202L95924</t>
    <phoneticPr fontId="13"/>
  </si>
  <si>
    <t>9/2/26</t>
    <phoneticPr fontId="13"/>
  </si>
  <si>
    <t>青森 300 む 3594</t>
    <rPh sb="0" eb="2">
      <t>アオモリ</t>
    </rPh>
    <phoneticPr fontId="13"/>
  </si>
  <si>
    <t>取説 ｽﾍﾟｱｷｰ ﾄﾞﾗﾚｺSD 名変期限12/25まで</t>
    <rPh sb="0" eb="2">
      <t>トリセツ</t>
    </rPh>
    <rPh sb="18" eb="22">
      <t>メイヘンキゲン</t>
    </rPh>
    <phoneticPr fontId="13"/>
  </si>
  <si>
    <t>USS神戸/992/10049</t>
    <rPh sb="3" eb="5">
      <t>コウベ</t>
    </rPh>
    <phoneticPr fontId="13"/>
  </si>
  <si>
    <t>売上先/回次/番号</t>
    <rPh sb="0" eb="2">
      <t>ウリアゲ</t>
    </rPh>
    <rPh sb="2" eb="3">
      <t>サキ</t>
    </rPh>
    <rPh sb="4" eb="6">
      <t>カイジ</t>
    </rPh>
    <rPh sb="7" eb="9">
      <t>バンゴウ</t>
    </rPh>
    <phoneticPr fontId="13"/>
  </si>
  <si>
    <t>ｷｬﾝｾﾙ 書類返送11/13</t>
    <rPh sb="6" eb="8">
      <t>ショルイ</t>
    </rPh>
    <rPh sb="8" eb="10">
      <t>ヘンソウ</t>
    </rPh>
    <phoneticPr fontId="13"/>
  </si>
  <si>
    <t>疋田 俊郎</t>
    <rPh sb="1" eb="2">
      <t>タ</t>
    </rPh>
    <rPh sb="3" eb="5">
      <t>トシロウ</t>
    </rPh>
    <phoneticPr fontId="13"/>
  </si>
  <si>
    <t>保証書 取説 ｷｰﾚｽ2個 ﾜﾝｵｰﾅｰ</t>
    <rPh sb="0" eb="3">
      <t>ホショウショ</t>
    </rPh>
    <rPh sb="4" eb="6">
      <t>トリセツ</t>
    </rPh>
    <rPh sb="12" eb="13">
      <t>コ</t>
    </rPh>
    <phoneticPr fontId="13"/>
  </si>
  <si>
    <t>岐阜 582 か 9388</t>
    <rPh sb="0" eb="2">
      <t>ギフ</t>
    </rPh>
    <phoneticPr fontId="13"/>
  </si>
  <si>
    <t>保証書 取説 ｷｰﾚｽ 12/4まで名変OK</t>
    <rPh sb="0" eb="3">
      <t>ホショウショ</t>
    </rPh>
    <rPh sb="4" eb="6">
      <t>トリセツ</t>
    </rPh>
    <rPh sb="18" eb="20">
      <t>メイヘン</t>
    </rPh>
    <phoneticPr fontId="13"/>
  </si>
  <si>
    <t>横浜 519 は 1118</t>
    <rPh sb="0" eb="2">
      <t>ヨコハマ</t>
    </rPh>
    <phoneticPr fontId="13"/>
  </si>
  <si>
    <t>坂井 学</t>
    <rPh sb="0" eb="2">
      <t>サカイ</t>
    </rPh>
    <rPh sb="3" eb="4">
      <t>マナ</t>
    </rPh>
    <phoneticPr fontId="13"/>
  </si>
  <si>
    <t>神戸 483 く 8116</t>
    <rPh sb="0" eb="2">
      <t>コウベ</t>
    </rPh>
    <phoneticPr fontId="13"/>
  </si>
  <si>
    <t>株式会社明石名石園</t>
    <rPh sb="0" eb="4">
      <t>カブシキガイシャ</t>
    </rPh>
    <rPh sb="4" eb="6">
      <t>アカシ</t>
    </rPh>
    <rPh sb="6" eb="7">
      <t>ナ</t>
    </rPh>
    <rPh sb="7" eb="8">
      <t>イシ</t>
    </rPh>
    <rPh sb="8" eb="9">
      <t>ソノ</t>
    </rPh>
    <phoneticPr fontId="13"/>
  </si>
  <si>
    <t>北野 美穂</t>
    <rPh sb="0" eb="2">
      <t>キタノ</t>
    </rPh>
    <rPh sb="3" eb="5">
      <t>ミホ</t>
    </rPh>
    <phoneticPr fontId="13"/>
  </si>
  <si>
    <t>滋賀 430 そ 728</t>
    <rPh sb="0" eb="2">
      <t>シガ</t>
    </rPh>
    <phoneticPr fontId="13"/>
  </si>
  <si>
    <t>滋賀ﾄﾖﾀ自動車株式会社</t>
    <rPh sb="5" eb="12">
      <t>ジドウシャカブシキガイシャ</t>
    </rPh>
    <phoneticPr fontId="13"/>
  </si>
  <si>
    <t>品川 5X2 ろ 788</t>
    <rPh sb="0" eb="2">
      <t>シナガワ</t>
    </rPh>
    <phoneticPr fontId="13"/>
  </si>
  <si>
    <t>品川 5X2 ろ 785</t>
    <rPh sb="0" eb="2">
      <t>シナガワ</t>
    </rPh>
    <phoneticPr fontId="13"/>
  </si>
  <si>
    <t>品川 5X2 ろ 776</t>
    <rPh sb="0" eb="2">
      <t>シナガワ</t>
    </rPh>
    <phoneticPr fontId="13"/>
  </si>
  <si>
    <t>なにわ 5P7 ろ 6430</t>
    <phoneticPr fontId="13"/>
  </si>
  <si>
    <t>多摩 592 ろ 4111</t>
    <rPh sb="0" eb="2">
      <t>タマ</t>
    </rPh>
    <phoneticPr fontId="13"/>
  </si>
  <si>
    <t>多摩 592 ろ 3977</t>
    <rPh sb="0" eb="2">
      <t>タマ</t>
    </rPh>
    <phoneticPr fontId="13"/>
  </si>
  <si>
    <t>岡山 581 よ 9459</t>
    <rPh sb="0" eb="2">
      <t>オカヤマ</t>
    </rPh>
    <phoneticPr fontId="13"/>
  </si>
  <si>
    <t>ｽｽﾞｷ自販株式会社</t>
    <rPh sb="4" eb="6">
      <t>ジハン</t>
    </rPh>
    <rPh sb="6" eb="10">
      <t>カブシキガイシャ</t>
    </rPh>
    <phoneticPr fontId="13"/>
  </si>
  <si>
    <t>岡山 481 ろ 91</t>
    <rPh sb="0" eb="2">
      <t>オカヤマ</t>
    </rPh>
    <phoneticPr fontId="13"/>
  </si>
  <si>
    <t>岡山 399 な 2756</t>
    <rPh sb="0" eb="2">
      <t>オカヤマ</t>
    </rPh>
    <phoneticPr fontId="13"/>
  </si>
  <si>
    <t>岡山ﾄﾖﾀ自動車株式会社</t>
    <rPh sb="0" eb="2">
      <t>オカヤマ</t>
    </rPh>
    <rPh sb="5" eb="12">
      <t>ジドウシャカブシキガイシャ</t>
    </rPh>
    <phoneticPr fontId="13"/>
  </si>
  <si>
    <t>坂田 真吾</t>
    <rPh sb="0" eb="2">
      <t>サカタ</t>
    </rPh>
    <rPh sb="3" eb="5">
      <t>シンゴ</t>
    </rPh>
    <phoneticPr fontId="13"/>
  </si>
  <si>
    <t>永樂 俊晴</t>
    <rPh sb="0" eb="1">
      <t>ナガ</t>
    </rPh>
    <rPh sb="1" eb="2">
      <t>ラク</t>
    </rPh>
    <rPh sb="3" eb="4">
      <t>シュン</t>
    </rPh>
    <rPh sb="4" eb="5">
      <t>ハレ</t>
    </rPh>
    <phoneticPr fontId="13"/>
  </si>
  <si>
    <t>岐阜 399 の 2675</t>
    <rPh sb="0" eb="2">
      <t>ギフ</t>
    </rPh>
    <phoneticPr fontId="13"/>
  </si>
  <si>
    <t>ｷｰﾚｽ(車内)保証書 ﾘﾓｺﾝ ﾜﾝｵｰﾅｰ</t>
    <rPh sb="5" eb="7">
      <t>シャナイ</t>
    </rPh>
    <rPh sb="8" eb="11">
      <t>ホショウショ</t>
    </rPh>
    <phoneticPr fontId="13"/>
  </si>
  <si>
    <t>山﨑 雄大</t>
    <rPh sb="0" eb="2">
      <t>ヤマザキ</t>
    </rPh>
    <rPh sb="3" eb="5">
      <t>ユウダイ</t>
    </rPh>
    <phoneticPr fontId="13"/>
  </si>
  <si>
    <t>保証書 取説 ﾅﾋﾞ取 ｷｰﾚｽ ﾘﾓｺﾝ</t>
    <rPh sb="0" eb="3">
      <t>ホショウショ</t>
    </rPh>
    <rPh sb="4" eb="6">
      <t>トリセツ</t>
    </rPh>
    <rPh sb="10" eb="11">
      <t>トリ</t>
    </rPh>
    <phoneticPr fontId="13"/>
  </si>
  <si>
    <t>宮田 健伍</t>
    <rPh sb="0" eb="2">
      <t>ミヤタ</t>
    </rPh>
    <rPh sb="3" eb="4">
      <t>ケン</t>
    </rPh>
    <rPh sb="4" eb="5">
      <t>ゴ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</si>
  <si>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名変12/18まで</t>
    </r>
    <rPh sb="0" eb="3">
      <t>ホショウショ</t>
    </rPh>
    <rPh sb="4" eb="6">
      <t>トリセツ</t>
    </rPh>
    <rPh sb="12" eb="14">
      <t>メイヘン</t>
    </rPh>
    <phoneticPr fontId="13"/>
  </si>
  <si>
    <t>27-1700</t>
  </si>
  <si>
    <t>27-1701</t>
  </si>
  <si>
    <t>27-1702</t>
  </si>
  <si>
    <t>WMWYT920103B68787</t>
    <phoneticPr fontId="13"/>
  </si>
  <si>
    <t>W1K1186122N413532</t>
    <phoneticPr fontId="13"/>
  </si>
  <si>
    <t>WAUZZZ4G8GN087794</t>
    <phoneticPr fontId="13"/>
  </si>
  <si>
    <t>神戸 306 ゆ 11</t>
    <rPh sb="0" eb="2">
      <t>コウベ</t>
    </rPh>
    <phoneticPr fontId="13"/>
  </si>
  <si>
    <t>ﾒﾙｾﾃﾞｽﾍﾞﾝﾂ CLA200d</t>
    <phoneticPr fontId="13"/>
  </si>
  <si>
    <t>保証書 ｽﾍﾟｱｷｰ 取説 ﾜﾝｵｰﾅｰ</t>
    <rPh sb="0" eb="3">
      <t>ホショウショ</t>
    </rPh>
    <rPh sb="11" eb="13">
      <t>トリセツ</t>
    </rPh>
    <phoneticPr fontId="13"/>
  </si>
  <si>
    <t>ｱｳﾃﾞｨA6 ｱﾊﾞﾝﾄ 2.0TFSI</t>
    <phoneticPr fontId="13"/>
  </si>
  <si>
    <t>奈良 301 ね 2339</t>
    <rPh sb="0" eb="2">
      <t>ナラ</t>
    </rPh>
    <phoneticPr fontId="13"/>
  </si>
  <si>
    <t>582 い 4169</t>
    <phoneticPr fontId="13"/>
  </si>
  <si>
    <t>582 い 4165</t>
    <phoneticPr fontId="13"/>
  </si>
  <si>
    <t>582 い 4166</t>
    <phoneticPr fontId="13"/>
  </si>
  <si>
    <t>582 い 4168</t>
    <phoneticPr fontId="13"/>
  </si>
  <si>
    <t>582 い 4167</t>
    <phoneticPr fontId="13"/>
  </si>
  <si>
    <t>27-1703</t>
  </si>
  <si>
    <t>27-1704</t>
  </si>
  <si>
    <t>ﾎﾟﾙｼｪ  ﾏｶﾝS</t>
    <phoneticPr fontId="13"/>
  </si>
  <si>
    <t>27-1705</t>
  </si>
  <si>
    <t>27-1706</t>
  </si>
  <si>
    <t>27-1707</t>
  </si>
  <si>
    <t>WMWXR92090TP20513</t>
    <phoneticPr fontId="13"/>
  </si>
  <si>
    <t>多摩 304 た 4079</t>
    <rPh sb="0" eb="2">
      <t>タマ</t>
    </rPh>
    <phoneticPr fontId="13"/>
  </si>
  <si>
    <t>WP1ZZZ95ZJLB31299</t>
    <phoneticPr fontId="13"/>
  </si>
  <si>
    <t>横浜 306 て 1103</t>
    <rPh sb="0" eb="2">
      <t>ヨコハマ</t>
    </rPh>
    <phoneticPr fontId="13"/>
  </si>
  <si>
    <t>品番；CN-RZ853</t>
    <rPh sb="0" eb="2">
      <t>ヒンバン</t>
    </rPh>
    <phoneticPr fontId="13"/>
  </si>
  <si>
    <t>品番；VXM-175VFEi</t>
    <rPh sb="0" eb="2">
      <t>ヒンバン</t>
    </rPh>
    <phoneticPr fontId="13"/>
  </si>
  <si>
    <t>ｽﾍﾟｱｷｰ4個(車内)保証書 取説 ｷｰﾚｽ ﾜﾝｵｰﾅｰ</t>
    <rPh sb="7" eb="8">
      <t>コ</t>
    </rPh>
    <rPh sb="12" eb="15">
      <t>ホショウショ</t>
    </rPh>
    <rPh sb="16" eb="18">
      <t>トリセツ</t>
    </rPh>
    <phoneticPr fontId="13"/>
  </si>
  <si>
    <t>地図SD(車内)保証書 取説 ﾅﾋﾞ取 ｷｰﾚｽ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</si>
  <si>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</t>
    <rPh sb="0" eb="2">
      <t>チズ</t>
    </rPh>
    <rPh sb="8" eb="11">
      <t>ホショウショ</t>
    </rPh>
    <rPh sb="12" eb="14">
      <t>トリセツ</t>
    </rPh>
    <phoneticPr fontId="13"/>
  </si>
  <si>
    <t>岡山 588 の 821</t>
    <rPh sb="0" eb="2">
      <t>オカヤマ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</si>
  <si>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</si>
  <si>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11/14</t>
    <phoneticPr fontId="13"/>
  </si>
  <si>
    <t>保証書 取説 ﾅﾋﾞ取 ｷｰﾚｽ SD ﾜﾝｵｰﾅｰ</t>
    <rPh sb="0" eb="3">
      <t>ホショウショ</t>
    </rPh>
    <rPh sb="4" eb="6">
      <t>トリセツ</t>
    </rPh>
    <rPh sb="10" eb="11">
      <t>トリ</t>
    </rPh>
    <phoneticPr fontId="13"/>
  </si>
  <si>
    <t>27-1709</t>
  </si>
  <si>
    <t>27-1710</t>
  </si>
  <si>
    <t>27-1711</t>
  </si>
  <si>
    <t>27-1712</t>
  </si>
  <si>
    <t>27-1713</t>
  </si>
  <si>
    <t>27-1714</t>
  </si>
  <si>
    <t>27-1715</t>
  </si>
  <si>
    <t>27-1716</t>
  </si>
  <si>
    <t>VF1KW04B3G0747191</t>
    <phoneticPr fontId="13"/>
  </si>
  <si>
    <t>27-1717</t>
  </si>
  <si>
    <t>名古屋 58A ほ 6398</t>
    <rPh sb="0" eb="3">
      <t>ナゴヤ</t>
    </rPh>
    <phoneticPr fontId="13"/>
  </si>
  <si>
    <t>ﾙﾉｰ ｶﾝｸﾞｰｾﾞﾝ</t>
    <phoneticPr fontId="13"/>
  </si>
  <si>
    <t>名古屋 352 ぬ 121</t>
    <rPh sb="0" eb="3">
      <t>ナゴヤ</t>
    </rPh>
    <phoneticPr fontId="13"/>
  </si>
  <si>
    <t>株式会社ｾﾌﾞﾝｽﾀｰ</t>
    <rPh sb="0" eb="4">
      <t>カブシキガイシャ</t>
    </rPh>
    <phoneticPr fontId="13"/>
  </si>
  <si>
    <t>岡山 322 た 18</t>
    <rPh sb="0" eb="2">
      <t>オカヤマ</t>
    </rPh>
    <phoneticPr fontId="13"/>
  </si>
  <si>
    <t>岡山 580 み 8816</t>
    <rPh sb="0" eb="2">
      <t>オカヤマ</t>
    </rPh>
    <phoneticPr fontId="13"/>
  </si>
  <si>
    <t>岡山 581 あ 4173</t>
    <rPh sb="0" eb="2">
      <t>オカヤマ</t>
    </rPh>
    <phoneticPr fontId="13"/>
  </si>
  <si>
    <t>世田谷 330 せ 8</t>
    <rPh sb="0" eb="3">
      <t>セタガヤ</t>
    </rPh>
    <phoneticPr fontId="13"/>
  </si>
  <si>
    <t>27-1718</t>
  </si>
  <si>
    <t>27-1719</t>
  </si>
  <si>
    <t>27-1720</t>
  </si>
  <si>
    <t>27-1721</t>
  </si>
  <si>
    <t>27-1722</t>
  </si>
  <si>
    <t>27-1723</t>
  </si>
  <si>
    <t>ﾊｽﾗｰ</t>
    <phoneticPr fontId="13"/>
  </si>
  <si>
    <t>MR41S-246874</t>
    <phoneticPr fontId="13"/>
  </si>
  <si>
    <t>取説  12月末名変</t>
    <rPh sb="0" eb="2">
      <t>トリセツ</t>
    </rPh>
    <rPh sb="6" eb="10">
      <t>ガツマツメイヘン</t>
    </rPh>
    <phoneticPr fontId="13"/>
  </si>
  <si>
    <t>ﾜｺﾞﾝR ﾊｲﾌﾞﾘｯﾄﾞFZ ﾘﾐﾃｯﾄﾞ</t>
    <phoneticPr fontId="13"/>
  </si>
  <si>
    <t>MH55S-242694</t>
    <phoneticPr fontId="13"/>
  </si>
  <si>
    <t>CX30 20S Lﾊﾟｯｹｰｼﾞ</t>
    <phoneticPr fontId="13"/>
  </si>
  <si>
    <t>DMEP-200244</t>
    <phoneticPr fontId="13"/>
  </si>
  <si>
    <t>ﾌﾘｰﾄﾞ eHEV ｴｱｰ EX</t>
    <phoneticPr fontId="13"/>
  </si>
  <si>
    <t>GT5-1015313</t>
    <phoneticPr fontId="13"/>
  </si>
  <si>
    <t>LA850S-0058269</t>
    <phoneticPr fontId="13"/>
  </si>
  <si>
    <t>ﾊﾟｯｿ 4WD ﾓｰﾀﾞ Gﾊﾟｯｹｰｼﾞ</t>
    <phoneticPr fontId="13"/>
  </si>
  <si>
    <t>M710A-0035827</t>
    <phoneticPr fontId="13"/>
  </si>
  <si>
    <t>保証書 取説  1月末名変</t>
    <rPh sb="0" eb="3">
      <t>ホショウショ</t>
    </rPh>
    <rPh sb="4" eb="6">
      <t>トリセツ</t>
    </rPh>
    <rPh sb="9" eb="11">
      <t>ガツマツ</t>
    </rPh>
    <rPh sb="11" eb="13">
      <t>メイヘン</t>
    </rPh>
    <phoneticPr fontId="13"/>
  </si>
  <si>
    <t>ｼﾄﾛｴﾝ C3 ｴｱｸﾛｽSUV ｼｬｲﾝ</t>
    <phoneticPr fontId="13"/>
  </si>
  <si>
    <t>VF72RHNPXL4343015</t>
    <phoneticPr fontId="13"/>
  </si>
  <si>
    <t>ﾒﾙｾﾃﾞｽﾍﾞﾝﾂ Cｸﾗｽ 220dﾛｰﾚｳｽｴﾃﾞｨｼｮﾝ</t>
    <phoneticPr fontId="13"/>
  </si>
  <si>
    <t>W1K2050142R585971</t>
    <phoneticPr fontId="13"/>
  </si>
  <si>
    <t>A312568</t>
    <phoneticPr fontId="13"/>
  </si>
  <si>
    <t>MN71S-306469</t>
    <phoneticPr fontId="13"/>
  </si>
  <si>
    <t>A311708</t>
    <phoneticPr fontId="13"/>
  </si>
  <si>
    <t>MXWH60-4014751</t>
    <phoneticPr fontId="13"/>
  </si>
  <si>
    <t>A312461</t>
    <phoneticPr fontId="13"/>
  </si>
  <si>
    <t>AAZH26-1003586</t>
    <phoneticPr fontId="13"/>
  </si>
  <si>
    <t>A310908</t>
    <phoneticPr fontId="13"/>
  </si>
  <si>
    <t>WDC2923242A098669</t>
    <phoneticPr fontId="13"/>
  </si>
  <si>
    <t>A311412</t>
    <phoneticPr fontId="13"/>
  </si>
  <si>
    <t>KGC30-0215719</t>
    <phoneticPr fontId="13"/>
  </si>
  <si>
    <t>ｸﾛｽﾋﾞｰ ﾊｲﾌﾞﾘｯﾄﾞ MV</t>
    <phoneticPr fontId="13"/>
  </si>
  <si>
    <t>ﾌﾟﾘｳｽ G</t>
    <phoneticPr fontId="13"/>
  </si>
  <si>
    <t>ﾚｸｻｽ NX 450h Fｽﾎﾟｰﾂ</t>
    <phoneticPr fontId="13"/>
  </si>
  <si>
    <t>ﾒﾙｾﾃﾞｽﾍﾞﾝﾂ GLE350d 4マチック</t>
    <phoneticPr fontId="13"/>
  </si>
  <si>
    <t>9/5/18</t>
    <phoneticPr fontId="13"/>
  </si>
  <si>
    <t>ﾊﾟｯｿ  ﾌﾟﾗｽﾊﾅ</t>
    <phoneticPr fontId="13"/>
  </si>
  <si>
    <t>島根 583 き 3587</t>
    <rPh sb="0" eb="2">
      <t>シマネ</t>
    </rPh>
    <phoneticPr fontId="13"/>
  </si>
  <si>
    <t>三河 584 あ 324</t>
    <rPh sb="0" eb="2">
      <t>ミカワ</t>
    </rPh>
    <phoneticPr fontId="13"/>
  </si>
  <si>
    <t>甲斐 利章</t>
    <rPh sb="0" eb="1">
      <t>コウ</t>
    </rPh>
    <rPh sb="3" eb="4">
      <t>トシ</t>
    </rPh>
    <rPh sb="4" eb="5">
      <t>ショウ</t>
    </rPh>
    <phoneticPr fontId="13"/>
  </si>
  <si>
    <t>練馬 580 て 5290</t>
    <rPh sb="0" eb="2">
      <t>ネリマ</t>
    </rPh>
    <phoneticPr fontId="13"/>
  </si>
  <si>
    <t>大久保 学</t>
    <rPh sb="0" eb="3">
      <t>オオクボ</t>
    </rPh>
    <rPh sb="4" eb="5">
      <t>マナ</t>
    </rPh>
    <phoneticPr fontId="13"/>
  </si>
  <si>
    <t xml:space="preserve">地図SD(車内)保証書 取説 ﾅﾋﾞ取 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</si>
  <si>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501 ゆ 2008</t>
    <phoneticPr fontId="13"/>
  </si>
  <si>
    <t>501 ゆ 2009</t>
    <phoneticPr fontId="13"/>
  </si>
  <si>
    <t>301 ね 3766</t>
    <phoneticPr fontId="13"/>
  </si>
  <si>
    <t>八王子 480 そ 4743</t>
    <rPh sb="0" eb="3">
      <t>ハチオウジ</t>
    </rPh>
    <phoneticPr fontId="13"/>
  </si>
  <si>
    <t>岡部 晴彦</t>
    <rPh sb="0" eb="2">
      <t>オカベ</t>
    </rPh>
    <rPh sb="3" eb="5">
      <t>ハルヒコ</t>
    </rPh>
    <phoneticPr fontId="13"/>
  </si>
  <si>
    <t>A310613</t>
    <phoneticPr fontId="13"/>
  </si>
  <si>
    <t>HE22S-443684</t>
    <phoneticPr fontId="13"/>
  </si>
  <si>
    <t>品川 39A む 4405</t>
    <rPh sb="0" eb="2">
      <t>シナガワ</t>
    </rPh>
    <phoneticPr fontId="13"/>
  </si>
  <si>
    <t>ｶｰﾄﾞｷｰ</t>
    <phoneticPr fontId="13"/>
  </si>
  <si>
    <t>品川 39A む 4402</t>
    <rPh sb="0" eb="2">
      <t>シナガワ</t>
    </rPh>
    <phoneticPr fontId="13"/>
  </si>
  <si>
    <t>27-1724</t>
  </si>
  <si>
    <t>27-1725</t>
  </si>
  <si>
    <t>ｺﾍﾟﾝ ﾛｰﾌﾞ</t>
    <phoneticPr fontId="13"/>
  </si>
  <si>
    <t>27-1726</t>
  </si>
  <si>
    <t>27-1727</t>
  </si>
  <si>
    <t>27-1728</t>
  </si>
  <si>
    <t>27-1729</t>
  </si>
  <si>
    <t>27-1730</t>
  </si>
  <si>
    <t>27-1731</t>
  </si>
  <si>
    <t>27-1732</t>
  </si>
  <si>
    <t>27-1733</t>
  </si>
  <si>
    <t>27-1734</t>
  </si>
  <si>
    <t>27-1735</t>
  </si>
  <si>
    <t>27-1736</t>
  </si>
  <si>
    <t>27-1737</t>
  </si>
  <si>
    <t>27-1738</t>
  </si>
  <si>
    <t>27-1739</t>
  </si>
  <si>
    <t>27-1740</t>
  </si>
  <si>
    <t>27-1741</t>
  </si>
  <si>
    <t>27-1742</t>
  </si>
  <si>
    <t>27-1743</t>
  </si>
  <si>
    <t>27-1744</t>
  </si>
  <si>
    <t>MH34S-517613</t>
    <phoneticPr fontId="13"/>
  </si>
  <si>
    <t>ｽﾍﾟｰｼｱｶｽﾀﾑ ﾊｲﾌﾞﾘｯﾄﾞ</t>
    <phoneticPr fontId="13"/>
  </si>
  <si>
    <t>MK94S-117377</t>
    <phoneticPr fontId="13"/>
  </si>
  <si>
    <t>LA800S-0249892</t>
    <phoneticPr fontId="13"/>
  </si>
  <si>
    <t>ﾜｺﾞﾝRｶｽﾀﾑ Zﾊｲﾌﾞﾘｯﾄﾞ</t>
    <phoneticPr fontId="13"/>
  </si>
  <si>
    <t>MH95S-220907</t>
    <phoneticPr fontId="13"/>
  </si>
  <si>
    <t>ｴﾌﾞﾘｨｼﾞｮｲﾝ ﾃﾞｭｱﾙ</t>
    <phoneticPr fontId="13"/>
  </si>
  <si>
    <t>DA17V-616558</t>
    <phoneticPr fontId="13"/>
  </si>
  <si>
    <t>S700V-0006989</t>
    <phoneticPr fontId="13"/>
  </si>
  <si>
    <t>MR41S-331104</t>
    <phoneticPr fontId="13"/>
  </si>
  <si>
    <t xml:space="preserve">ｴﾌﾞﾘｨｼﾞｮｲﾝ ﾀｰﾎﾞ </t>
    <phoneticPr fontId="13"/>
  </si>
  <si>
    <t>DA17V-860642</t>
    <phoneticPr fontId="13"/>
  </si>
  <si>
    <t>YV1ZZL1MCN2089744</t>
    <phoneticPr fontId="13"/>
  </si>
  <si>
    <t>ｸﾛｽﾋﾞｰﾊｲﾌﾞﾘｯﾄﾞMZ</t>
    <phoneticPr fontId="13"/>
  </si>
  <si>
    <t>MN71S-210358</t>
    <phoneticPr fontId="13"/>
  </si>
  <si>
    <t>ﾊｽﾗｰ Jｽﾀｲﾙ 2ﾀｰﾎﾞ</t>
    <phoneticPr fontId="13"/>
  </si>
  <si>
    <t>MR41S-604044</t>
    <phoneticPr fontId="13"/>
  </si>
  <si>
    <t>L700S-0335860</t>
    <phoneticPr fontId="13"/>
  </si>
  <si>
    <t>9/3/9</t>
    <phoneticPr fontId="13"/>
  </si>
  <si>
    <t>ﾑｰﾌﾞｷｬﾝﾊﾟｽ G SA3</t>
    <phoneticPr fontId="13"/>
  </si>
  <si>
    <t>9/8/30</t>
    <phoneticPr fontId="13"/>
  </si>
  <si>
    <t>8/5/22</t>
    <phoneticPr fontId="13"/>
  </si>
  <si>
    <t>8/10/21</t>
    <phoneticPr fontId="13"/>
  </si>
  <si>
    <t>ﾎﾞﾙﾎﾞ V60 ｸﾛｽｶﾝﾄﾘｰ B5</t>
    <phoneticPr fontId="13"/>
  </si>
  <si>
    <t>9/1/19</t>
    <phoneticPr fontId="13"/>
  </si>
  <si>
    <t>8/12/11</t>
    <phoneticPr fontId="13"/>
  </si>
  <si>
    <t>ZIP保証書にならず一旦そのまま送る</t>
    <rPh sb="3" eb="6">
      <t>ホショウショ</t>
    </rPh>
    <rPh sb="10" eb="12">
      <t>イッタン</t>
    </rPh>
    <rPh sb="16" eb="17">
      <t>オク</t>
    </rPh>
    <phoneticPr fontId="13"/>
  </si>
  <si>
    <t>齊藤 大将</t>
    <rPh sb="0" eb="2">
      <t>サイトウ</t>
    </rPh>
    <rPh sb="3" eb="4">
      <t>ダイ</t>
    </rPh>
    <rPh sb="4" eb="5">
      <t>マサ</t>
    </rPh>
    <phoneticPr fontId="13"/>
  </si>
  <si>
    <t>11/15</t>
    <phoneticPr fontId="13"/>
  </si>
  <si>
    <t>取説(車内)保証書 ﾜﾝｵｰﾅｰ</t>
    <rPh sb="0" eb="2">
      <t>トリセツ</t>
    </rPh>
    <rPh sb="6" eb="9">
      <t>ホショウショ</t>
    </rPh>
    <phoneticPr fontId="13"/>
  </si>
  <si>
    <t>大阪 593 き 222</t>
    <rPh sb="0" eb="2">
      <t>オオサカ</t>
    </rPh>
    <phoneticPr fontId="13"/>
  </si>
  <si>
    <t>長野ﾀﾞｲﾊﾂ販売株式会社</t>
    <rPh sb="0" eb="2">
      <t>ナガノ</t>
    </rPh>
    <rPh sb="7" eb="13">
      <t>ハンバイカブシキガイシャ</t>
    </rPh>
    <phoneticPr fontId="13"/>
  </si>
  <si>
    <t>VF1AH0009P0853406</t>
    <phoneticPr fontId="13"/>
  </si>
  <si>
    <t>NV100ｸﾘｯﾊﾟｰ G</t>
    <phoneticPr fontId="13"/>
  </si>
  <si>
    <t>DR17W-251426</t>
    <phoneticPr fontId="13"/>
  </si>
  <si>
    <t>LA900S-0032317</t>
    <phoneticPr fontId="13"/>
  </si>
  <si>
    <t>LA400K-0010854</t>
    <phoneticPr fontId="13"/>
  </si>
  <si>
    <t>ｴｽﾃｨﾏ ｱｴﾗｽ</t>
    <phoneticPr fontId="13"/>
  </si>
  <si>
    <t>ACR55-7026072</t>
    <phoneticPr fontId="13"/>
  </si>
  <si>
    <t>ﾀﾝﾄｶｽﾀﾑ RS ﾄｯﾌﾟｴﾃﾞｨｼｮﾝSA3</t>
    <phoneticPr fontId="13"/>
  </si>
  <si>
    <t>LA600S-0699311</t>
    <phoneticPr fontId="13"/>
  </si>
  <si>
    <t>9/11/5</t>
    <phoneticPr fontId="13"/>
  </si>
  <si>
    <t>和泉 587 ほ 1025</t>
    <rPh sb="0" eb="2">
      <t>イズミ</t>
    </rPh>
    <phoneticPr fontId="13"/>
  </si>
  <si>
    <t>ﾃﾞｲｽﾞﾙｰｸｽ ﾊｲｳｪｲｽﾀｰGﾀｰﾎﾞ</t>
    <phoneticPr fontId="13"/>
  </si>
  <si>
    <t>B21A-0546104</t>
    <phoneticPr fontId="13"/>
  </si>
  <si>
    <t>神戸 588 す 801</t>
    <rPh sb="0" eb="2">
      <t>コウベ</t>
    </rPh>
    <phoneticPr fontId="13"/>
  </si>
  <si>
    <t>JF1-2532234</t>
    <phoneticPr fontId="13"/>
  </si>
  <si>
    <t>ﾒﾙｾﾃﾞｽﾍﾞﾝﾂAｸﾗｽ 200d AMGﾗｲﾝ</t>
    <phoneticPr fontId="13"/>
  </si>
  <si>
    <t>W1K1770122V053210</t>
    <phoneticPr fontId="13"/>
  </si>
  <si>
    <t>WHWVU520503D54838</t>
    <phoneticPr fontId="13"/>
  </si>
  <si>
    <t>和泉 330 す 695</t>
    <rPh sb="0" eb="2">
      <t>イズミ</t>
    </rPh>
    <phoneticPr fontId="13"/>
  </si>
  <si>
    <t>VF1AH0009M0823396</t>
    <phoneticPr fontId="13"/>
  </si>
  <si>
    <t>高松 500 せ 9492</t>
    <rPh sb="0" eb="2">
      <t>タカマツ</t>
    </rPh>
    <phoneticPr fontId="13"/>
  </si>
  <si>
    <t>ﾌﾟﾘｳｽ ｱﾙﾌｧｰ S ﾁｭｰﾝﾌﾞﾗｯｸ</t>
    <phoneticPr fontId="13"/>
  </si>
  <si>
    <t>ZVW41-0055336</t>
    <phoneticPr fontId="13"/>
  </si>
  <si>
    <t>姫路 301 さ 3104</t>
    <rPh sb="0" eb="2">
      <t>ヒメジ</t>
    </rPh>
    <phoneticPr fontId="13"/>
  </si>
  <si>
    <t>保証書 取説 ﾅﾋﾞ取 ｽﾏｰﾄｷｰ SD B-CAS</t>
    <rPh sb="0" eb="3">
      <t>ホショウショ</t>
    </rPh>
    <rPh sb="4" eb="6">
      <t>トリセツ</t>
    </rPh>
    <rPh sb="10" eb="11">
      <t>トリ</t>
    </rPh>
    <phoneticPr fontId="13"/>
  </si>
  <si>
    <t>JP1-1909641</t>
    <phoneticPr fontId="13"/>
  </si>
  <si>
    <t>DA17W-259337</t>
    <phoneticPr fontId="13"/>
  </si>
  <si>
    <t>和歌山 583 ふ 41</t>
    <rPh sb="0" eb="3">
      <t>ワカヤマ</t>
    </rPh>
    <phoneticPr fontId="13"/>
  </si>
  <si>
    <t>ｱｳﾃﾞｨS3 ｽﾎﾟｰﾂﾊﾞｯｸ</t>
    <phoneticPr fontId="13"/>
  </si>
  <si>
    <t>WAUZZZ8V2KA002912</t>
    <phoneticPr fontId="13"/>
  </si>
  <si>
    <t>名古屋 651 つ 105</t>
    <rPh sb="0" eb="3">
      <t>ナゴヤ</t>
    </rPh>
    <phoneticPr fontId="13"/>
  </si>
  <si>
    <t>福岡 330 る 5039</t>
    <rPh sb="0" eb="2">
      <t>フクオカ</t>
    </rPh>
    <phoneticPr fontId="13"/>
  </si>
  <si>
    <t>習志野 331 つ 8887</t>
    <rPh sb="0" eb="3">
      <t>ナラシノ</t>
    </rPh>
    <phoneticPr fontId="13"/>
  </si>
  <si>
    <t>ｽﾍﾟｰｼｱｶｽﾀﾑﾊｲﾌﾞﾘｯﾄﾞXSﾀｰﾎﾞ</t>
    <phoneticPr fontId="13"/>
  </si>
  <si>
    <t>MK53S-931711</t>
    <phoneticPr fontId="13"/>
  </si>
  <si>
    <t>高松 580 く 565</t>
    <rPh sb="0" eb="2">
      <t>タカマツ</t>
    </rPh>
    <phoneticPr fontId="13"/>
  </si>
  <si>
    <t>SALVA2AXXJH293170</t>
    <phoneticPr fontId="13"/>
  </si>
  <si>
    <t>高松　510 す 404</t>
    <rPh sb="0" eb="2">
      <t>タカマツ</t>
    </rPh>
    <phoneticPr fontId="13"/>
  </si>
  <si>
    <t>株式会社ﾎﾝﾀﾞﾓﾋﾞﾘﾃｨ中四国</t>
    <rPh sb="0" eb="4">
      <t>カブシキガイシャ</t>
    </rPh>
    <rPh sb="14" eb="17">
      <t>チュウシコク</t>
    </rPh>
    <phoneticPr fontId="13"/>
  </si>
  <si>
    <t>WMWXU72090TR63208</t>
    <phoneticPr fontId="13"/>
  </si>
  <si>
    <t>VF1AH0006L0807784</t>
    <phoneticPr fontId="13"/>
  </si>
  <si>
    <t>松岡　宏一</t>
    <rPh sb="0" eb="2">
      <t>マツオカ</t>
    </rPh>
    <rPh sb="3" eb="5">
      <t>ヒロイチ</t>
    </rPh>
    <phoneticPr fontId="13"/>
  </si>
  <si>
    <t>和歌山 510 ひ 333</t>
    <rPh sb="0" eb="3">
      <t>ワカヤマ</t>
    </rPh>
    <phoneticPr fontId="13"/>
  </si>
  <si>
    <t>株式会社木下ﾓｰﾀｰｽ</t>
    <rPh sb="0" eb="4">
      <t>カブシキガイシャ</t>
    </rPh>
    <rPh sb="4" eb="6">
      <t>キノシタ</t>
    </rPh>
    <phoneticPr fontId="13"/>
  </si>
  <si>
    <t>保証書　取説　ｽﾍﾟｱｷｰ(車内)</t>
    <rPh sb="0" eb="3">
      <t>ホショウショ</t>
    </rPh>
    <rPh sb="4" eb="6">
      <t>トリセツ</t>
    </rPh>
    <rPh sb="14" eb="16">
      <t>シャナイ</t>
    </rPh>
    <phoneticPr fontId="13"/>
  </si>
  <si>
    <t>ｷｬﾝｾﾙ</t>
    <phoneticPr fontId="13"/>
  </si>
  <si>
    <t>CAN</t>
    <phoneticPr fontId="13"/>
  </si>
  <si>
    <t>岐阜 332 に 902</t>
    <rPh sb="0" eb="2">
      <t>ギフ</t>
    </rPh>
    <phoneticPr fontId="13"/>
  </si>
  <si>
    <t>ﾈｯﾂﾄﾖﾀ岐阜株式会社</t>
    <rPh sb="6" eb="8">
      <t>ギフ</t>
    </rPh>
    <rPh sb="8" eb="12">
      <t>カブシキガイシャ</t>
    </rPh>
    <phoneticPr fontId="13"/>
  </si>
  <si>
    <t>11/16</t>
    <phoneticPr fontId="13"/>
  </si>
  <si>
    <t>保証書 取説 ﾅﾋﾞ取 ｷｰﾚｽ ﾜﾝｵｰﾅｰ</t>
    <rPh sb="0" eb="3">
      <t>ホショウショ</t>
    </rPh>
    <rPh sb="4" eb="6">
      <t>トリセツ</t>
    </rPh>
    <rPh sb="10" eb="11">
      <t>トリ</t>
    </rPh>
    <phoneticPr fontId="13"/>
  </si>
  <si>
    <t>保証書</t>
    <rPh sb="0" eb="3">
      <t>ホショウショ</t>
    </rPh>
    <phoneticPr fontId="13"/>
  </si>
  <si>
    <t>松下 政義</t>
    <rPh sb="0" eb="2">
      <t>マツシタ</t>
    </rPh>
    <rPh sb="3" eb="5">
      <t>マサヨシ</t>
    </rPh>
    <phoneticPr fontId="13"/>
  </si>
  <si>
    <r>
      <t xml:space="preserve">取説 ｷｰﾚｽ ﾏｲｸﾛSD ﾜﾝｵｰﾅｰ </t>
    </r>
    <r>
      <rPr>
        <sz val="11"/>
        <color rgb="FFFF0000"/>
        <rFont val="ＭＳ Ｐゴシック"/>
        <family val="3"/>
        <charset val="128"/>
        <scheme val="minor"/>
      </rPr>
      <t>名変期限12/25まで</t>
    </r>
    <rPh sb="0" eb="2">
      <t>トリセツ</t>
    </rPh>
    <rPh sb="22" eb="26">
      <t>メイヘンキゲン</t>
    </rPh>
    <phoneticPr fontId="13"/>
  </si>
  <si>
    <t>岩本 哲郎</t>
    <rPh sb="0" eb="2">
      <t>イワモト</t>
    </rPh>
    <rPh sb="3" eb="5">
      <t>テツロウ</t>
    </rPh>
    <phoneticPr fontId="13"/>
  </si>
  <si>
    <t>保証書 取説 ｽﾍﾟｱｷｰ ﾅﾋﾞ取 ﾜﾝｵｰﾅｰ</t>
    <rPh sb="0" eb="3">
      <t>ホショウショ</t>
    </rPh>
    <rPh sb="4" eb="6">
      <t>トリセツ</t>
    </rPh>
    <rPh sb="17" eb="18">
      <t>トリ</t>
    </rPh>
    <phoneticPr fontId="13"/>
  </si>
  <si>
    <t>山下 真岐</t>
    <rPh sb="0" eb="2">
      <t>ヤマシタ</t>
    </rPh>
    <rPh sb="3" eb="4">
      <t>マ</t>
    </rPh>
    <rPh sb="4" eb="5">
      <t>チマタ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</si>
  <si>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</si>
  <si>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大阪 399 ゆ 92</t>
    <rPh sb="0" eb="2">
      <t>オオサカ</t>
    </rPh>
    <phoneticPr fontId="13"/>
  </si>
  <si>
    <t>株式会社ﾓﾄｰﾚﾝ阪神</t>
    <rPh sb="0" eb="4">
      <t>カブシキガイシャ</t>
    </rPh>
    <rPh sb="9" eb="11">
      <t>ハンシン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</si>
  <si>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</si>
  <si>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株式会社ﾓﾄｰﾚﾝﾃｨｰｱｲ</t>
    <rPh sb="0" eb="4">
      <t>カブシキガイシャ</t>
    </rPh>
    <phoneticPr fontId="13"/>
  </si>
  <si>
    <t>株式会社ｾﾌﾞﾝｽﾀｰ</t>
    <rPh sb="0" eb="4">
      <t>カブシキガイシャ</t>
    </rPh>
    <phoneticPr fontId="13"/>
  </si>
  <si>
    <t>愛媛 300 ら 3646</t>
    <rPh sb="0" eb="2">
      <t>エヒメ</t>
    </rPh>
    <phoneticPr fontId="13"/>
  </si>
  <si>
    <t>ｱﾙｽﾀｰｵｰﾄ株式会社</t>
    <rPh sb="8" eb="12">
      <t>カブシキガイシャ</t>
    </rPh>
    <phoneticPr fontId="13"/>
  </si>
  <si>
    <t>浜松 538 む 321</t>
    <rPh sb="0" eb="2">
      <t>ハママツ</t>
    </rPh>
    <phoneticPr fontId="13"/>
  </si>
  <si>
    <t>株式会社WECARS</t>
    <rPh sb="0" eb="4">
      <t>カブシキガイシャ</t>
    </rPh>
    <phoneticPr fontId="13"/>
  </si>
  <si>
    <t>ｽﾍﾟｱｷｰ(車内)保証書 取説 ﾜﾝｵｰﾅｰ</t>
    <rPh sb="10" eb="13">
      <t>ホショウショ</t>
    </rPh>
    <rPh sb="14" eb="16">
      <t>トリセツ</t>
    </rPh>
    <phoneticPr fontId="13"/>
  </si>
  <si>
    <t>WMWXU920502N06204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</si>
  <si>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</si>
  <si>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千葉 583 な 2730</t>
    <rPh sb="0" eb="2">
      <t>チバ</t>
    </rPh>
    <phoneticPr fontId="13"/>
  </si>
  <si>
    <t>高垣 早苗</t>
    <rPh sb="0" eb="2">
      <t>タカガキ</t>
    </rPh>
    <rPh sb="3" eb="5">
      <t>サナエ</t>
    </rPh>
    <phoneticPr fontId="13"/>
  </si>
  <si>
    <t>保証書 ｽﾍﾟｱｷｰ</t>
    <rPh sb="0" eb="3">
      <t>ホショウショ</t>
    </rPh>
    <phoneticPr fontId="13"/>
  </si>
  <si>
    <t>福山 580 ま 8762</t>
    <rPh sb="0" eb="2">
      <t>フクヤマ</t>
    </rPh>
    <phoneticPr fontId="13"/>
  </si>
  <si>
    <t>保証書 取説</t>
    <rPh sb="0" eb="3">
      <t>ホショウショ</t>
    </rPh>
    <rPh sb="4" eb="6">
      <t>トリセツ</t>
    </rPh>
    <phoneticPr fontId="13"/>
  </si>
  <si>
    <t>瓦田 雄介</t>
    <rPh sb="0" eb="1">
      <t>カワラ</t>
    </rPh>
    <rPh sb="1" eb="2">
      <t>ダ</t>
    </rPh>
    <rPh sb="3" eb="5">
      <t>ユウスケ</t>
    </rPh>
    <phoneticPr fontId="13"/>
  </si>
  <si>
    <t>和歌山 330 た 1556</t>
    <rPh sb="0" eb="3">
      <t>ワカヤマ</t>
    </rPh>
    <phoneticPr fontId="13"/>
  </si>
  <si>
    <t>ﾎﾝﾀﾞﾌｧｲﾅﾝｽ</t>
    <phoneticPr fontId="13"/>
  </si>
  <si>
    <t>神戸 588 ふ 523</t>
    <rPh sb="0" eb="2">
      <t>コウベ</t>
    </rPh>
    <phoneticPr fontId="13"/>
  </si>
  <si>
    <t>西坂 秀彦</t>
    <rPh sb="0" eb="2">
      <t>ニシザカ</t>
    </rPh>
    <rPh sb="3" eb="5">
      <t>ヒデヒコ</t>
    </rPh>
    <phoneticPr fontId="13"/>
  </si>
  <si>
    <t>大阪 587 む 99</t>
    <rPh sb="0" eb="2">
      <t>オオサカ</t>
    </rPh>
    <phoneticPr fontId="13"/>
  </si>
  <si>
    <t>小林 莉久</t>
    <rPh sb="0" eb="2">
      <t>コバヤシ</t>
    </rPh>
    <rPh sb="3" eb="5">
      <t>リク</t>
    </rPh>
    <phoneticPr fontId="13"/>
  </si>
  <si>
    <t>27-1745</t>
  </si>
  <si>
    <t>27-1746</t>
  </si>
  <si>
    <t>27-1747</t>
  </si>
  <si>
    <t>27-1748</t>
  </si>
  <si>
    <t>27-1749</t>
  </si>
  <si>
    <t>ZIP東京</t>
    <rPh sb="3" eb="5">
      <t>トウキョウ</t>
    </rPh>
    <phoneticPr fontId="13"/>
  </si>
  <si>
    <t>WAUZZZF58HA026224</t>
    <phoneticPr fontId="13"/>
  </si>
  <si>
    <t>27-1750</t>
  </si>
  <si>
    <t>27-1751</t>
  </si>
  <si>
    <t>27-1752</t>
  </si>
  <si>
    <t>27-1753</t>
  </si>
  <si>
    <t>27-1754</t>
  </si>
  <si>
    <t>27-1755</t>
  </si>
  <si>
    <t>27-1756</t>
  </si>
  <si>
    <t>27-1757</t>
  </si>
  <si>
    <t>27-1758</t>
  </si>
  <si>
    <t>27-1759</t>
  </si>
  <si>
    <t>27-1760</t>
  </si>
  <si>
    <t>27-1761</t>
  </si>
  <si>
    <t>ﾎﾝﾀﾞ東京</t>
    <rPh sb="4" eb="6">
      <t>トウキョウ</t>
    </rPh>
    <phoneticPr fontId="13"/>
  </si>
  <si>
    <t>2/6</t>
    <phoneticPr fontId="13"/>
  </si>
  <si>
    <t>青</t>
    <rPh sb="0" eb="1">
      <t>アオ</t>
    </rPh>
    <phoneticPr fontId="13"/>
  </si>
  <si>
    <t>XC40 T5AWDｲﾝｽｸﾘﾌﾟｼｮﾝ</t>
    <phoneticPr fontId="13"/>
  </si>
  <si>
    <t>9/6</t>
    <phoneticPr fontId="13"/>
  </si>
  <si>
    <t>YV1XZ16MCL2294077</t>
    <phoneticPr fontId="13"/>
  </si>
  <si>
    <t>横浜 366 ね 1213</t>
    <rPh sb="0" eb="2">
      <t>ヨコハマ</t>
    </rPh>
    <phoneticPr fontId="13"/>
  </si>
  <si>
    <t>3/11</t>
    <phoneticPr fontId="13"/>
  </si>
  <si>
    <t>黒</t>
    <rPh sb="0" eb="1">
      <t>クロ</t>
    </rPh>
    <phoneticPr fontId="13"/>
  </si>
  <si>
    <t>BMWﾐﾆｸｰﾊﾟｰ D ｸﾛｽｵｰﾊﾞｰ</t>
    <phoneticPr fontId="13"/>
  </si>
  <si>
    <t>WMW42BT0703N65702</t>
    <phoneticPr fontId="13"/>
  </si>
  <si>
    <t>8/11</t>
    <phoneticPr fontId="13"/>
  </si>
  <si>
    <t>八王子 343 て 1020</t>
    <rPh sb="0" eb="3">
      <t>ハチオウジ</t>
    </rPh>
    <phoneticPr fontId="13"/>
  </si>
  <si>
    <t>29/7</t>
    <phoneticPr fontId="13"/>
  </si>
  <si>
    <t>ｱｳﾃﾞｨA5 SB 2.0TFSIｸﾜﾄﾛ</t>
    <phoneticPr fontId="13"/>
  </si>
  <si>
    <t>8/7</t>
    <phoneticPr fontId="13"/>
  </si>
  <si>
    <t>川越 333 ら 8787</t>
    <rPh sb="0" eb="2">
      <t>カワゴエ</t>
    </rPh>
    <phoneticPr fontId="13"/>
  </si>
  <si>
    <t>1275回37590売ｷｬﾝｾﾙ</t>
    <rPh sb="4" eb="5">
      <t>カイ</t>
    </rPh>
    <rPh sb="10" eb="11">
      <t>ウ</t>
    </rPh>
    <phoneticPr fontId="13"/>
  </si>
  <si>
    <t>神戸 360 り 1014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</si>
  <si>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</si>
  <si>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11/17</t>
    <phoneticPr fontId="13"/>
  </si>
  <si>
    <t>ｷｰﾚｽ 記録紙1枚(車内)保証書 ﾜﾝｵｰﾅｰ</t>
    <rPh sb="5" eb="8">
      <t>キロクシ</t>
    </rPh>
    <rPh sb="9" eb="10">
      <t>マイ</t>
    </rPh>
    <rPh sb="14" eb="17">
      <t>ホショウショ</t>
    </rPh>
    <phoneticPr fontId="13"/>
  </si>
  <si>
    <t>ｷｬﾝｾﾙ 書類返送11/17</t>
    <rPh sb="6" eb="8">
      <t>ショルイ</t>
    </rPh>
    <rPh sb="8" eb="10">
      <t>ヘンソウ</t>
    </rPh>
    <phoneticPr fontId="13"/>
  </si>
  <si>
    <t>ｵｰｸﾈｯﾄ</t>
    <phoneticPr fontId="13"/>
  </si>
  <si>
    <t>1/11</t>
    <phoneticPr fontId="13"/>
  </si>
  <si>
    <t>白</t>
    <rPh sb="0" eb="1">
      <t>シロ</t>
    </rPh>
    <phoneticPr fontId="13"/>
  </si>
  <si>
    <t>ﾒﾙｾﾃﾞｽﾍﾞﾝﾂ Bｸﾗｽ 200d AMGﾗｲﾝ</t>
    <phoneticPr fontId="13"/>
  </si>
  <si>
    <t>WDD2470122J064400</t>
    <phoneticPr fontId="13"/>
  </si>
  <si>
    <t>30/9</t>
    <phoneticPr fontId="13"/>
  </si>
  <si>
    <t>WAUZZZ4M9JD059537</t>
    <phoneticPr fontId="13"/>
  </si>
  <si>
    <t>30/12</t>
    <phoneticPr fontId="13"/>
  </si>
  <si>
    <t>紺</t>
    <rPh sb="0" eb="1">
      <t>コン</t>
    </rPh>
    <phoneticPr fontId="13"/>
  </si>
  <si>
    <t>BMW 4ｼﾘｰｽﾞ ｸﾞﾗﾝｸｰﾍﾟ 440i ｲﾝｽﾀｲﾙｽﾎﾟｰﾂ</t>
    <phoneticPr fontId="13"/>
  </si>
  <si>
    <t>WBA4J52090BH83655</t>
    <phoneticPr fontId="13"/>
  </si>
  <si>
    <t>7/12</t>
    <phoneticPr fontId="13"/>
  </si>
  <si>
    <t>ﾅﾝﾊﾞｰ応相談</t>
    <rPh sb="5" eb="8">
      <t>オウソウダン</t>
    </rPh>
    <phoneticPr fontId="13"/>
  </si>
  <si>
    <t>HAA神戸</t>
    <rPh sb="3" eb="5">
      <t>コウベ</t>
    </rPh>
    <phoneticPr fontId="13"/>
  </si>
  <si>
    <t>HAA神</t>
    <rPh sb="3" eb="4">
      <t>カミ</t>
    </rPh>
    <phoneticPr fontId="13"/>
  </si>
  <si>
    <t>ﾎﾝﾀﾞ名古屋</t>
    <rPh sb="4" eb="7">
      <t>ナゴヤ</t>
    </rPh>
    <phoneticPr fontId="13"/>
  </si>
  <si>
    <t>29/8</t>
    <phoneticPr fontId="13"/>
  </si>
  <si>
    <t>茶色</t>
    <rPh sb="0" eb="2">
      <t>チャイロ</t>
    </rPh>
    <phoneticPr fontId="13"/>
  </si>
  <si>
    <t>ﾒﾙｾﾃﾞｽﾍﾞﾝﾂ Bｸﾗｽ180</t>
    <phoneticPr fontId="13"/>
  </si>
  <si>
    <t>WDD2462422J457631</t>
    <phoneticPr fontId="13"/>
  </si>
  <si>
    <t>8/8</t>
    <phoneticPr fontId="13"/>
  </si>
  <si>
    <t>浜松 358 た 1188</t>
    <rPh sb="0" eb="2">
      <t>ハママツ</t>
    </rPh>
    <phoneticPr fontId="13"/>
  </si>
  <si>
    <t>581 の 6112</t>
    <phoneticPr fontId="13"/>
  </si>
  <si>
    <t>582 い 4397</t>
    <phoneticPr fontId="13"/>
  </si>
  <si>
    <t xml:space="preserve"> </t>
    <phoneticPr fontId="13"/>
  </si>
  <si>
    <t>582 い 4398</t>
    <phoneticPr fontId="13"/>
  </si>
  <si>
    <t>582 い 4399</t>
    <phoneticPr fontId="13"/>
  </si>
  <si>
    <t>582 い 4400</t>
    <phoneticPr fontId="13"/>
  </si>
  <si>
    <t>582 い 4393</t>
    <phoneticPr fontId="13"/>
  </si>
  <si>
    <t>480 ね 2116</t>
    <phoneticPr fontId="13"/>
  </si>
  <si>
    <t>582 い 4394</t>
    <phoneticPr fontId="13"/>
  </si>
  <si>
    <t>582 い 4395</t>
    <phoneticPr fontId="13"/>
  </si>
  <si>
    <t>582 い 4396</t>
    <phoneticPr fontId="13"/>
  </si>
  <si>
    <t>582 い 4392</t>
    <phoneticPr fontId="13"/>
  </si>
  <si>
    <t>取説 ｷｰﾚｽ SD(車内)</t>
    <rPh sb="0" eb="2">
      <t>トリセツ</t>
    </rPh>
    <rPh sb="11" eb="13">
      <t>シャナイ</t>
    </rPh>
    <phoneticPr fontId="13"/>
  </si>
  <si>
    <t>2/9</t>
    <phoneticPr fontId="13"/>
  </si>
  <si>
    <t>ﾌｨｱｯﾄ500 ﾂｲﾝｴｱﾗｳﾝｼﾞ</t>
    <phoneticPr fontId="13"/>
  </si>
  <si>
    <t>取説 ｷｰﾚｽ(車内)保証書 ﾚﾝﾀｶｰ</t>
    <rPh sb="0" eb="2">
      <t>トリセツ</t>
    </rPh>
    <rPh sb="8" eb="10">
      <t>シャナイ</t>
    </rPh>
    <rPh sb="11" eb="14">
      <t>ホショウショ</t>
    </rPh>
    <phoneticPr fontId="13"/>
  </si>
  <si>
    <t>保証書 ｽﾍﾟｱｷｰ(車内)</t>
    <rPh sb="0" eb="3">
      <t>ホショウショ</t>
    </rPh>
    <rPh sb="11" eb="13">
      <t>シャナイ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</si>
  <si>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</si>
  <si>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</t>
    <rPh sb="0" eb="2">
      <t>チズ</t>
    </rPh>
    <rPh sb="5" eb="7">
      <t>シャナイ</t>
    </rPh>
    <phoneticPr fontId="13"/>
  </si>
  <si>
    <t>582 い 4387</t>
    <phoneticPr fontId="13"/>
  </si>
  <si>
    <t>480 ね 2115</t>
    <phoneticPr fontId="13"/>
  </si>
  <si>
    <t>582 い 4385</t>
    <phoneticPr fontId="13"/>
  </si>
  <si>
    <t>582 い 4383</t>
    <phoneticPr fontId="13"/>
  </si>
  <si>
    <t>582 い 4381</t>
    <phoneticPr fontId="13"/>
  </si>
  <si>
    <t>480 ね 2114</t>
    <phoneticPr fontId="13"/>
  </si>
  <si>
    <t>480 ね 2113</t>
    <phoneticPr fontId="13"/>
  </si>
  <si>
    <t>582 い 4377</t>
    <phoneticPr fontId="13"/>
  </si>
  <si>
    <t>582 い 4386</t>
    <phoneticPr fontId="13"/>
  </si>
  <si>
    <t>582 い 4384</t>
    <phoneticPr fontId="13"/>
  </si>
  <si>
    <t>582 い 4382</t>
    <phoneticPr fontId="13"/>
  </si>
  <si>
    <t>582 い 4380</t>
    <phoneticPr fontId="13"/>
  </si>
  <si>
    <t>582 い 4379</t>
    <phoneticPr fontId="13"/>
  </si>
  <si>
    <t>582 い 4378</t>
    <phoneticPr fontId="13"/>
  </si>
  <si>
    <t>582 い 4376</t>
    <phoneticPr fontId="13"/>
  </si>
  <si>
    <t>582 い 4401</t>
    <phoneticPr fontId="13"/>
  </si>
  <si>
    <t>地図SD車内なし</t>
    <rPh sb="0" eb="2">
      <t>チズ</t>
    </rPh>
    <rPh sb="4" eb="6">
      <t>シャナイ</t>
    </rPh>
    <phoneticPr fontId="13"/>
  </si>
  <si>
    <t>品番；NSZA-X64T</t>
    <rPh sb="0" eb="2">
      <t>ヒンバン</t>
    </rPh>
    <phoneticPr fontId="13"/>
  </si>
  <si>
    <t>品番；AVN-P10W</t>
    <rPh sb="0" eb="2">
      <t>ヒンバン</t>
    </rPh>
    <phoneticPr fontId="13"/>
  </si>
  <si>
    <t>品番；MM318D-W</t>
    <rPh sb="0" eb="2">
      <t>ヒンバン</t>
    </rPh>
    <phoneticPr fontId="13"/>
  </si>
  <si>
    <t>A312667</t>
    <phoneticPr fontId="13"/>
  </si>
  <si>
    <t>7/2</t>
    <phoneticPr fontId="13"/>
  </si>
  <si>
    <t>ﾚｸｻｽ LBX MORIZO RR</t>
    <phoneticPr fontId="13"/>
  </si>
  <si>
    <t>GAYA16-0001923</t>
    <phoneticPr fontId="13"/>
  </si>
  <si>
    <t>10/2/6</t>
    <phoneticPr fontId="13"/>
  </si>
  <si>
    <t>保証書 ﾜﾝｵｰﾅｰ</t>
    <rPh sb="0" eb="3">
      <t>ホショウショ</t>
    </rPh>
    <phoneticPr fontId="13"/>
  </si>
  <si>
    <t>301 ね 3823</t>
    <phoneticPr fontId="13"/>
  </si>
  <si>
    <t>501 ゆ 2048</t>
    <phoneticPr fontId="13"/>
  </si>
  <si>
    <t>川越 335 ち 9000</t>
    <rPh sb="0" eb="2">
      <t>カワゴエ</t>
    </rPh>
    <phoneticPr fontId="13"/>
  </si>
  <si>
    <t>鶴若 流星</t>
    <rPh sb="0" eb="2">
      <t>ツルワカ</t>
    </rPh>
    <rPh sb="3" eb="5">
      <t>リュウセイ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</si>
  <si>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</si>
  <si>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HAA神戸(ﾜﾝｸﾘ)</t>
    <rPh sb="3" eb="5">
      <t>コウベ</t>
    </rPh>
    <phoneticPr fontId="13"/>
  </si>
  <si>
    <t>HAA神戸(ﾜﾝｸﾘ)</t>
    <phoneticPr fontId="13"/>
  </si>
  <si>
    <t>480 ね 2117</t>
    <phoneticPr fontId="13"/>
  </si>
  <si>
    <t>582 い 4402</t>
    <phoneticPr fontId="13"/>
  </si>
  <si>
    <t>582 い 4390</t>
    <phoneticPr fontId="13"/>
  </si>
  <si>
    <t>582 い 4391</t>
    <phoneticPr fontId="13"/>
  </si>
  <si>
    <t>27-1762</t>
  </si>
  <si>
    <t>27-1763</t>
  </si>
  <si>
    <t>27-1764</t>
  </si>
  <si>
    <t>27-1765</t>
  </si>
  <si>
    <t>27-1766</t>
  </si>
  <si>
    <t>27-1767</t>
  </si>
  <si>
    <t>27-1768</t>
  </si>
  <si>
    <t>ｱｳﾃﾞｨ Q7 2.0TFSIｸﾜﾄﾛｴｱｻｽSﾗｲﾝ</t>
    <phoneticPr fontId="13"/>
  </si>
  <si>
    <t>27-1769</t>
  </si>
  <si>
    <t>福井 581 ろ 4828</t>
    <rPh sb="0" eb="2">
      <t>フクイ</t>
    </rPh>
    <phoneticPr fontId="13"/>
  </si>
  <si>
    <t>ﾄﾖﾀｶﾛｰﾗ福井株式会社</t>
    <rPh sb="7" eb="9">
      <t>フクイ</t>
    </rPh>
    <rPh sb="9" eb="13">
      <t>カブシキガイシャ</t>
    </rPh>
    <phoneticPr fontId="13"/>
  </si>
  <si>
    <t>11/18</t>
    <phoneticPr fontId="13"/>
  </si>
  <si>
    <t>なにわ 39A む 3950</t>
    <phoneticPr fontId="13"/>
  </si>
  <si>
    <t>株式会社ｼｭﾃﾙﾝ天王寺</t>
    <rPh sb="0" eb="4">
      <t>カブシキガイシャ</t>
    </rPh>
    <rPh sb="9" eb="12">
      <t>テンノウジ</t>
    </rPh>
    <phoneticPr fontId="13"/>
  </si>
  <si>
    <t>名古屋 307 ね 8261</t>
    <rPh sb="0" eb="3">
      <t>ナゴヤ</t>
    </rPh>
    <phoneticPr fontId="13"/>
  </si>
  <si>
    <t>ﾄﾖﾀｶﾛｰﾗ愛知株会社</t>
    <rPh sb="7" eb="9">
      <t>アイチ</t>
    </rPh>
    <rPh sb="9" eb="10">
      <t>カブ</t>
    </rPh>
    <rPh sb="10" eb="12">
      <t>ガイシャ</t>
    </rPh>
    <phoneticPr fontId="13"/>
  </si>
  <si>
    <t>金沢 399 ち 7682</t>
    <rPh sb="0" eb="2">
      <t>カナザワ</t>
    </rPh>
    <phoneticPr fontId="13"/>
  </si>
  <si>
    <t>ﾈｯﾂﾄﾖﾀ石川株式会社</t>
    <rPh sb="6" eb="8">
      <t>イシカワ</t>
    </rPh>
    <rPh sb="8" eb="12">
      <t>カブシキガイシャ</t>
    </rPh>
    <phoneticPr fontId="13"/>
  </si>
  <si>
    <t>ﾈｯﾂﾄﾖﾀ東名古屋株式会社</t>
    <rPh sb="6" eb="7">
      <t>ヒガシ</t>
    </rPh>
    <rPh sb="7" eb="10">
      <t>ナゴヤ</t>
    </rPh>
    <rPh sb="10" eb="14">
      <t>カブシキガイシャ</t>
    </rPh>
    <phoneticPr fontId="13"/>
  </si>
  <si>
    <t>保証書 取説 ｷｰﾚｽ(車内) SD ﾜﾝｵｰﾅｰ</t>
    <rPh sb="0" eb="3">
      <t>ホショウショ</t>
    </rPh>
    <rPh sb="4" eb="6">
      <t>トリセツ</t>
    </rPh>
    <rPh sb="12" eb="14">
      <t>シャナイ</t>
    </rPh>
    <phoneticPr fontId="13"/>
  </si>
  <si>
    <t>愛知ﾄﾖﾀEAST株式会社</t>
    <rPh sb="0" eb="2">
      <t>アイチ</t>
    </rPh>
    <rPh sb="9" eb="13">
      <t>カブシキガイシャ</t>
    </rPh>
    <phoneticPr fontId="13"/>
  </si>
  <si>
    <t>千葉 487 ろ 5951</t>
    <rPh sb="0" eb="2">
      <t>チバ</t>
    </rPh>
    <phoneticPr fontId="13"/>
  </si>
  <si>
    <t>取説 (車内)保証書</t>
    <rPh sb="0" eb="2">
      <t>トリセツ</t>
    </rPh>
    <rPh sb="7" eb="10">
      <t>ホショウショ</t>
    </rPh>
    <phoneticPr fontId="13"/>
  </si>
  <si>
    <t>神戸 582 ま 7220</t>
    <rPh sb="0" eb="2">
      <t>コウベ</t>
    </rPh>
    <phoneticPr fontId="13"/>
  </si>
  <si>
    <t>HE33S-218889</t>
    <phoneticPr fontId="13"/>
  </si>
  <si>
    <t xml:space="preserve">ｽﾏｰﾄｷｰ車内確認 保証書 取説 </t>
    <rPh sb="6" eb="8">
      <t>シャナイ</t>
    </rPh>
    <rPh sb="8" eb="10">
      <t>カクニン</t>
    </rPh>
    <rPh sb="11" eb="14">
      <t>ホショウショ</t>
    </rPh>
    <rPh sb="15" eb="17">
      <t>トリセツ</t>
    </rPh>
    <phoneticPr fontId="13"/>
  </si>
  <si>
    <t>ﾌﾟｼﾞｮｰ 3008 GTﾗｲﾝ ﾌﾞﾙｰHdi</t>
    <phoneticPr fontId="13"/>
  </si>
  <si>
    <t>VF3MJEHZRKS507555</t>
    <phoneticPr fontId="13"/>
  </si>
  <si>
    <t xml:space="preserve">ﾌﾟﾛﾎﾞｯｸｽ DXｺﾝﾌｫｰﾄ </t>
    <phoneticPr fontId="13"/>
  </si>
  <si>
    <t>NCP160-0149779</t>
    <phoneticPr fontId="13"/>
  </si>
  <si>
    <t>WVWZZZ16ZKM703079</t>
    <phoneticPr fontId="13"/>
  </si>
  <si>
    <t>WMWXT320702H68311</t>
    <phoneticPr fontId="13"/>
  </si>
  <si>
    <t>富士山 440 な 117</t>
    <rPh sb="0" eb="3">
      <t>フジサン</t>
    </rPh>
    <phoneticPr fontId="13"/>
  </si>
  <si>
    <t>株式会社LEAP</t>
    <rPh sb="0" eb="4">
      <t>カブシキガイシャ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</si>
  <si>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rPh sb="17" eb="19">
      <t>シャナイ</t>
    </rPh>
    <phoneticPr fontId="13"/>
  </si>
  <si>
    <t>取説 ｷｰﾚｽ ﾏｲｸﾛSD(車内)保証書</t>
    <rPh sb="0" eb="2">
      <t>トリセツ</t>
    </rPh>
    <rPh sb="15" eb="17">
      <t>シャナイ</t>
    </rPh>
    <rPh sb="18" eb="21">
      <t>ホショウショ</t>
    </rPh>
    <phoneticPr fontId="13"/>
  </si>
  <si>
    <t>NKE165-7239313</t>
    <phoneticPr fontId="13"/>
  </si>
  <si>
    <t>取説 ﾏｲｸﾛSD (車内)記録紙1枚</t>
    <rPh sb="0" eb="2">
      <t>トリセツ</t>
    </rPh>
    <rPh sb="14" eb="17">
      <t>キロクシ</t>
    </rPh>
    <rPh sb="18" eb="19">
      <t>マイ</t>
    </rPh>
    <phoneticPr fontId="13"/>
  </si>
  <si>
    <t>株式会社ﾓﾄｰﾚﾝ東都</t>
    <rPh sb="0" eb="4">
      <t>カブシキガイシャ</t>
    </rPh>
    <rPh sb="9" eb="11">
      <t>トウト</t>
    </rPh>
    <phoneticPr fontId="13"/>
  </si>
  <si>
    <t>取説 (車内)保証書 ｷｰﾚｽ</t>
    <rPh sb="0" eb="2">
      <t>トリセツ</t>
    </rPh>
    <rPh sb="4" eb="6">
      <t>シャナイ</t>
    </rPh>
    <rPh sb="7" eb="10">
      <t>ホショウショ</t>
    </rPh>
    <phoneticPr fontId="13"/>
  </si>
  <si>
    <t>多摩 332 る 2230</t>
    <rPh sb="0" eb="2">
      <t>タマ</t>
    </rPh>
    <phoneticPr fontId="13"/>
  </si>
  <si>
    <t>11/20</t>
    <phoneticPr fontId="13"/>
  </si>
  <si>
    <t>保証書 取説 ｷｰﾚｽ ｶ-ﾄﾞｷｰ</t>
    <rPh sb="0" eb="3">
      <t>ホショウショ</t>
    </rPh>
    <rPh sb="4" eb="6">
      <t>トリセツ</t>
    </rPh>
    <phoneticPr fontId="13"/>
  </si>
  <si>
    <t>27-1770</t>
  </si>
  <si>
    <t>27-1771</t>
  </si>
  <si>
    <t>27-1772</t>
  </si>
  <si>
    <t>27-1773</t>
  </si>
  <si>
    <t>27-1774</t>
  </si>
  <si>
    <t>27-1775</t>
  </si>
  <si>
    <t>27-1776</t>
  </si>
  <si>
    <t>27-1777</t>
  </si>
  <si>
    <t>27-1778</t>
  </si>
  <si>
    <t>27-1779</t>
  </si>
  <si>
    <t>27-1780</t>
  </si>
  <si>
    <t>27-1781</t>
  </si>
  <si>
    <t>27-1782</t>
  </si>
  <si>
    <t>NV100ｸﾘｯﾊﾟｰ GX</t>
    <phoneticPr fontId="13"/>
  </si>
  <si>
    <t>DR17V-450720</t>
    <phoneticPr fontId="13"/>
  </si>
  <si>
    <t>ﾌﾟｼﾞｮｰ ﾘﾌﾀｰ GT</t>
    <phoneticPr fontId="13"/>
  </si>
  <si>
    <t>VR3ECYHZRMJ793078</t>
    <phoneticPr fontId="13"/>
  </si>
  <si>
    <t>8/11/28</t>
    <phoneticPr fontId="13"/>
  </si>
  <si>
    <t>横浜 306 つ 7095</t>
    <rPh sb="0" eb="2">
      <t>ヨコハマ</t>
    </rPh>
    <phoneticPr fontId="13"/>
  </si>
  <si>
    <t>27-1783</t>
  </si>
  <si>
    <t>27-1784</t>
  </si>
  <si>
    <t>27-1785</t>
  </si>
  <si>
    <t>27-1786</t>
  </si>
  <si>
    <t>LA350S-0199874</t>
    <phoneticPr fontId="13"/>
  </si>
  <si>
    <t>LA650S-0165238</t>
    <phoneticPr fontId="13"/>
  </si>
  <si>
    <t>NSP160-0075775</t>
    <phoneticPr fontId="13"/>
  </si>
  <si>
    <t>NSP160-0054306</t>
    <phoneticPr fontId="13"/>
  </si>
  <si>
    <t>LA350S-0233341</t>
    <phoneticPr fontId="13"/>
  </si>
  <si>
    <t>LA660S-0010356</t>
    <phoneticPr fontId="13"/>
  </si>
  <si>
    <t>LA250S-0155206</t>
    <phoneticPr fontId="13"/>
  </si>
  <si>
    <t>ZFA3120000JD90607</t>
    <phoneticPr fontId="13"/>
  </si>
  <si>
    <t>NSP160-0077818</t>
    <phoneticPr fontId="13"/>
  </si>
  <si>
    <t>名古屋 402 わ 1186</t>
    <rPh sb="0" eb="3">
      <t>ナゴヤ</t>
    </rPh>
    <phoneticPr fontId="13"/>
  </si>
  <si>
    <t>ｷｬｽﾄ ｽﾀｲﾙG ﾌﾟﾗｲﾑｺﾚｸｼｮﾝSA3</t>
    <phoneticPr fontId="13"/>
  </si>
  <si>
    <t>ﾌﾟﾛﾎﾞｯｸｽﾊﾞﾝ G</t>
    <phoneticPr fontId="13"/>
  </si>
  <si>
    <t>ﾌﾟﾛﾎﾞｯｸｽﾊﾞﾝ DXｺﾝﾌｫｰﾄ</t>
    <phoneticPr fontId="13"/>
  </si>
  <si>
    <t>ﾀﾝﾄ 4WD X</t>
    <phoneticPr fontId="13"/>
  </si>
  <si>
    <t xml:space="preserve">N-ONE RS </t>
    <phoneticPr fontId="13"/>
  </si>
  <si>
    <t>JG3-2003050</t>
    <phoneticPr fontId="13"/>
  </si>
  <si>
    <t>MR92S-480297</t>
    <phoneticPr fontId="13"/>
  </si>
  <si>
    <t>LA650S-0281042</t>
    <phoneticPr fontId="13"/>
  </si>
  <si>
    <t>MK21S-284570</t>
    <phoneticPr fontId="13"/>
  </si>
  <si>
    <t>保証書 ﾅﾝﾊﾞｰ ｽﾍﾟｱｷｰ</t>
    <rPh sb="0" eb="3">
      <t>ホショウショ</t>
    </rPh>
    <phoneticPr fontId="13"/>
  </si>
  <si>
    <t>ｴﾙｸﾞﾗﾝﾄﾞ ﾊｲｳｪｲｽﾀｰｱｰﾊﾞﾝｸﾛﾑ</t>
    <phoneticPr fontId="13"/>
  </si>
  <si>
    <t>PE52-041626</t>
    <phoneticPr fontId="13"/>
  </si>
  <si>
    <t>大阪 302 に 7939</t>
    <rPh sb="0" eb="2">
      <t>オオサカ</t>
    </rPh>
    <phoneticPr fontId="13"/>
  </si>
  <si>
    <t>保証書 取説 ﾘﾓｺﾝ ﾜﾝｵｰﾅｰ</t>
    <rPh sb="0" eb="3">
      <t>ホショウショ</t>
    </rPh>
    <rPh sb="4" eb="6">
      <t>トリセツ</t>
    </rPh>
    <phoneticPr fontId="13"/>
  </si>
  <si>
    <t>平田 吉之</t>
    <rPh sb="0" eb="2">
      <t>ヒラタ</t>
    </rPh>
    <rPh sb="3" eb="4">
      <t>ヨシ</t>
    </rPh>
    <rPh sb="4" eb="5">
      <t>ユキ</t>
    </rPh>
    <phoneticPr fontId="13"/>
  </si>
  <si>
    <t>品川 48F ろ 260</t>
    <rPh sb="0" eb="2">
      <t>シナガワ</t>
    </rPh>
    <phoneticPr fontId="13"/>
  </si>
  <si>
    <t>株式会社ﾄﾖﾀﾕｰｾﾞｯｸ</t>
    <rPh sb="0" eb="4">
      <t>カブシキガイシャ</t>
    </rPh>
    <phoneticPr fontId="13"/>
  </si>
  <si>
    <t>なにわ 479 や 525</t>
    <phoneticPr fontId="13"/>
  </si>
  <si>
    <t>株式会社ﾄﾖﾀﾚﾝﾀﾘｰｽ大阪</t>
    <rPh sb="0" eb="4">
      <t>カブシキガイシャ</t>
    </rPh>
    <rPh sb="13" eb="15">
      <t>オオサカ</t>
    </rPh>
    <phoneticPr fontId="13"/>
  </si>
  <si>
    <t>高知 332 ひ 327</t>
    <rPh sb="0" eb="2">
      <t>コウチ</t>
    </rPh>
    <phoneticPr fontId="13"/>
  </si>
  <si>
    <t>ﾈｯﾂﾄﾖﾀ高知株式会社</t>
    <rPh sb="6" eb="8">
      <t>コウチ</t>
    </rPh>
    <rPh sb="8" eb="12">
      <t>カブシキガイシャ</t>
    </rPh>
    <phoneticPr fontId="13"/>
  </si>
  <si>
    <t>神戸 304 ち 9960</t>
    <rPh sb="0" eb="2">
      <t>コウベ</t>
    </rPh>
    <phoneticPr fontId="13"/>
  </si>
  <si>
    <t>多摩 592 ろ 4422</t>
    <rPh sb="0" eb="2">
      <t>タマ</t>
    </rPh>
    <phoneticPr fontId="13"/>
  </si>
  <si>
    <t>株式会社ﾃﾗｽ</t>
    <rPh sb="0" eb="4">
      <t>カブシキガイシャ</t>
    </rPh>
    <phoneticPr fontId="13"/>
  </si>
  <si>
    <t>SHABBIR BILAL</t>
    <phoneticPr fontId="13"/>
  </si>
  <si>
    <t>倉敷 481 ね 8888</t>
    <rPh sb="0" eb="2">
      <t>クラシキ</t>
    </rPh>
    <phoneticPr fontId="13"/>
  </si>
  <si>
    <t>黒木 義輝</t>
    <rPh sb="0" eb="2">
      <t>クロキ</t>
    </rPh>
    <rPh sb="3" eb="5">
      <t>ヨシテル</t>
    </rPh>
    <phoneticPr fontId="13"/>
  </si>
  <si>
    <t>ﾔﾏﾑﾗ株式会社</t>
    <rPh sb="4" eb="8">
      <t>カブシキガイシャ</t>
    </rPh>
    <phoneticPr fontId="13"/>
  </si>
  <si>
    <t>倉敷 580 も 7845</t>
    <rPh sb="0" eb="2">
      <t>クラシキ</t>
    </rPh>
    <phoneticPr fontId="13"/>
  </si>
  <si>
    <t>三宅 妙子</t>
    <rPh sb="0" eb="2">
      <t>ミヤケ</t>
    </rPh>
    <rPh sb="3" eb="5">
      <t>タエコ</t>
    </rPh>
    <phoneticPr fontId="13"/>
  </si>
  <si>
    <t>HAｻﾅﾀﾞさん</t>
    <phoneticPr fontId="13"/>
  </si>
  <si>
    <t>ZFA3120000J839177</t>
    <phoneticPr fontId="13"/>
  </si>
  <si>
    <t>なにわ 479 や 2345</t>
    <phoneticPr fontId="13"/>
  </si>
  <si>
    <t>倉敷 781 を 24</t>
    <rPh sb="0" eb="2">
      <t>クラシキ</t>
    </rPh>
    <phoneticPr fontId="13"/>
  </si>
  <si>
    <t>岡山 480 に 1499</t>
    <rPh sb="0" eb="2">
      <t>オカヤマ</t>
    </rPh>
    <phoneticPr fontId="13"/>
  </si>
  <si>
    <t>東中国スズキ自動車株式会社岡山営業所</t>
    <rPh sb="0" eb="1">
      <t>ヒガシ</t>
    </rPh>
    <rPh sb="1" eb="3">
      <t>チュウゴク</t>
    </rPh>
    <rPh sb="6" eb="9">
      <t>ジドウシャ</t>
    </rPh>
    <rPh sb="9" eb="13">
      <t>カブシキガイシャ</t>
    </rPh>
    <rPh sb="13" eb="15">
      <t>オカヤマ</t>
    </rPh>
    <rPh sb="15" eb="17">
      <t>エイギョウ</t>
    </rPh>
    <rPh sb="17" eb="18">
      <t>ショ</t>
    </rPh>
    <phoneticPr fontId="13"/>
  </si>
  <si>
    <t>岡山 486 え 16</t>
    <rPh sb="0" eb="2">
      <t>オカヤマ</t>
    </rPh>
    <phoneticPr fontId="13"/>
  </si>
  <si>
    <t>神戸 581 み 2627</t>
    <rPh sb="0" eb="2">
      <t>コウベ</t>
    </rPh>
    <phoneticPr fontId="13"/>
  </si>
  <si>
    <t>井原 六郎</t>
    <rPh sb="0" eb="2">
      <t>イハラ</t>
    </rPh>
    <rPh sb="3" eb="5">
      <t>ロクロウ</t>
    </rPh>
    <phoneticPr fontId="13"/>
  </si>
  <si>
    <t>倉敷 5810 あ 685</t>
    <rPh sb="0" eb="2">
      <t>クラシキ</t>
    </rPh>
    <phoneticPr fontId="13"/>
  </si>
  <si>
    <t>神戸 596 ろ 3370</t>
    <rPh sb="0" eb="2">
      <t>コウベ</t>
    </rPh>
    <phoneticPr fontId="13"/>
  </si>
  <si>
    <t>青山 直樹</t>
    <rPh sb="0" eb="2">
      <t>アオヤマ</t>
    </rPh>
    <rPh sb="3" eb="5">
      <t>ナオキ</t>
    </rPh>
    <phoneticPr fontId="13"/>
  </si>
  <si>
    <t>京都 581 け 3795</t>
    <rPh sb="0" eb="2">
      <t>キョウト</t>
    </rPh>
    <phoneticPr fontId="13"/>
  </si>
  <si>
    <t>坂田 正弘</t>
    <rPh sb="0" eb="2">
      <t>サカタ</t>
    </rPh>
    <rPh sb="3" eb="5">
      <t>マサヒロ</t>
    </rPh>
    <phoneticPr fontId="13"/>
  </si>
  <si>
    <t>三重 480 ひ 3600</t>
    <rPh sb="0" eb="2">
      <t>ミエ</t>
    </rPh>
    <phoneticPr fontId="13"/>
  </si>
  <si>
    <t>株式会社伊藤ﾓｰﾀｰｽ</t>
    <rPh sb="0" eb="4">
      <t>カブシキガイシャ</t>
    </rPh>
    <rPh sb="4" eb="6">
      <t>イトウ</t>
    </rPh>
    <phoneticPr fontId="13"/>
  </si>
  <si>
    <t>名古屋 599 ろ 4563</t>
    <rPh sb="0" eb="3">
      <t>ナゴヤ</t>
    </rPh>
    <phoneticPr fontId="13"/>
  </si>
  <si>
    <t xml:space="preserve">ｷｰﾚｽ SD </t>
    <phoneticPr fontId="13"/>
  </si>
  <si>
    <t>なにわ 5P7 ろ 7737</t>
    <phoneticPr fontId="13"/>
  </si>
  <si>
    <t>堺 580 と 9681</t>
    <rPh sb="0" eb="1">
      <t>サカイ</t>
    </rPh>
    <phoneticPr fontId="13"/>
  </si>
  <si>
    <t>株式会社HHL</t>
    <rPh sb="0" eb="4">
      <t>カブシキガイシャ</t>
    </rPh>
    <phoneticPr fontId="13"/>
  </si>
  <si>
    <t>品川 5X2 ろ 1860</t>
    <rPh sb="0" eb="2">
      <t>シナガワ</t>
    </rPh>
    <phoneticPr fontId="13"/>
  </si>
  <si>
    <t>品川 5X2 ろ 1774</t>
    <rPh sb="0" eb="2">
      <t>シナガワ</t>
    </rPh>
    <phoneticPr fontId="13"/>
  </si>
  <si>
    <t>品川 5X2 ろ 1773</t>
    <rPh sb="0" eb="2">
      <t>シナガワ</t>
    </rPh>
    <phoneticPr fontId="13"/>
  </si>
  <si>
    <t>品川 5X2 ろ 1760</t>
    <rPh sb="0" eb="2">
      <t>シナガワ</t>
    </rPh>
    <phoneticPr fontId="13"/>
  </si>
  <si>
    <t>なにわ 583 す 8808</t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</si>
  <si>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</si>
  <si>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京都 585 ま 2011</t>
    <rPh sb="0" eb="2">
      <t>キョウト</t>
    </rPh>
    <phoneticPr fontId="13"/>
  </si>
  <si>
    <t>株式会社ﾄﾖﾀﾚﾝﾀﾘｰｽ京都</t>
    <rPh sb="0" eb="4">
      <t>カブシキガイシャ</t>
    </rPh>
    <rPh sb="13" eb="15">
      <t>キョウト</t>
    </rPh>
    <phoneticPr fontId="13"/>
  </si>
  <si>
    <t>品川 5X0 ろ 9050</t>
    <rPh sb="0" eb="2">
      <t>シナガワ</t>
    </rPh>
    <phoneticPr fontId="13"/>
  </si>
  <si>
    <t>広島 586 ろ 7107</t>
    <rPh sb="0" eb="2">
      <t>ヒロシマ</t>
    </rPh>
    <phoneticPr fontId="13"/>
  </si>
  <si>
    <t>301 ね 3976</t>
    <phoneticPr fontId="13"/>
  </si>
  <si>
    <t>582 い 4691</t>
    <phoneticPr fontId="13"/>
  </si>
  <si>
    <t>582 い 4690</t>
    <phoneticPr fontId="13"/>
  </si>
  <si>
    <t>神戸 330 む 1452</t>
    <rPh sb="0" eb="2">
      <t>コウベ</t>
    </rPh>
    <phoneticPr fontId="13"/>
  </si>
  <si>
    <t>山﨑 甲児</t>
    <rPh sb="0" eb="2">
      <t>ヤマザキ</t>
    </rPh>
    <rPh sb="3" eb="4">
      <t>コウ</t>
    </rPh>
    <phoneticPr fontId="13"/>
  </si>
  <si>
    <t>品川 39A む 5075</t>
    <rPh sb="0" eb="2">
      <t>シナガワ</t>
    </rPh>
    <phoneticPr fontId="13"/>
  </si>
  <si>
    <t>福山 300 や 6392</t>
    <rPh sb="0" eb="2">
      <t>フクヤマ</t>
    </rPh>
    <phoneticPr fontId="13"/>
  </si>
  <si>
    <t>ﾔｽﾊﾗｹﾐｶﾙ株式会社</t>
    <rPh sb="8" eb="12">
      <t>カブシキガイシャ</t>
    </rPh>
    <phoneticPr fontId="13"/>
  </si>
  <si>
    <t>山﨑 洋一</t>
    <rPh sb="0" eb="2">
      <t>ヤマザキ</t>
    </rPh>
    <rPh sb="3" eb="5">
      <t>ヨウイチ</t>
    </rPh>
    <phoneticPr fontId="13"/>
  </si>
  <si>
    <t>取説 ｷｰﾚｽ 保証書 (新車時車番なし 継承時あり)</t>
    <rPh sb="0" eb="2">
      <t>トリセツ</t>
    </rPh>
    <rPh sb="8" eb="11">
      <t>ホショウショ</t>
    </rPh>
    <rPh sb="13" eb="15">
      <t>シンシャ</t>
    </rPh>
    <rPh sb="15" eb="16">
      <t>ジ</t>
    </rPh>
    <rPh sb="16" eb="18">
      <t>シャバン</t>
    </rPh>
    <rPh sb="21" eb="23">
      <t>ケイショウ</t>
    </rPh>
    <rPh sb="23" eb="24">
      <t>ジ</t>
    </rPh>
    <phoneticPr fontId="13"/>
  </si>
  <si>
    <t>ｲﾝﾌﾟﾛﾌﾞ株式会社</t>
    <rPh sb="7" eb="11">
      <t>カブシキガイシャ</t>
    </rPh>
    <phoneticPr fontId="13"/>
  </si>
  <si>
    <t>名古屋 306 み 8310</t>
    <rPh sb="0" eb="3">
      <t>ナゴヤ</t>
    </rPh>
    <phoneticPr fontId="13"/>
  </si>
  <si>
    <t>東洋油脂株式会社</t>
    <rPh sb="0" eb="2">
      <t>トウヨウ</t>
    </rPh>
    <rPh sb="2" eb="4">
      <t>ユシ</t>
    </rPh>
    <rPh sb="4" eb="8">
      <t>カブシキガイシャ</t>
    </rPh>
    <phoneticPr fontId="13"/>
  </si>
  <si>
    <t>日産ﾌﾟﾘﾝｽ名古屋株式会社</t>
    <rPh sb="0" eb="2">
      <t>ニッサン</t>
    </rPh>
    <rPh sb="7" eb="10">
      <t>ナゴヤ</t>
    </rPh>
    <rPh sb="10" eb="14">
      <t>カブシキガイシャ</t>
    </rPh>
    <phoneticPr fontId="13"/>
  </si>
  <si>
    <t>愛媛 399 そ 2666</t>
    <rPh sb="0" eb="2">
      <t>エヒメ</t>
    </rPh>
    <phoneticPr fontId="13"/>
  </si>
  <si>
    <t>大阪 504 ち 9767</t>
    <rPh sb="0" eb="2">
      <t>オオサカ</t>
    </rPh>
    <phoneticPr fontId="13"/>
  </si>
  <si>
    <t>取説 ｷｰﾚｽ(車内)保証書 ﾜﾝｵｰﾅｰ</t>
    <rPh sb="0" eb="2">
      <t>トリセツ</t>
    </rPh>
    <rPh sb="11" eb="14">
      <t>ホショウショ</t>
    </rPh>
    <phoneticPr fontId="13"/>
  </si>
  <si>
    <t>27-1787</t>
  </si>
  <si>
    <t>27-1788</t>
  </si>
  <si>
    <t>27-1789</t>
  </si>
  <si>
    <t>27-1790</t>
  </si>
  <si>
    <t>27-1791</t>
  </si>
  <si>
    <t>27-1792</t>
  </si>
  <si>
    <t>WMWXR92010TP21414</t>
    <phoneticPr fontId="13"/>
  </si>
  <si>
    <t>27-1793</t>
  </si>
  <si>
    <t>27-1794</t>
  </si>
  <si>
    <t>27-1795</t>
  </si>
  <si>
    <t>27-1796</t>
  </si>
  <si>
    <t>27-1797</t>
  </si>
  <si>
    <t>27-1798</t>
  </si>
  <si>
    <t>27-1799</t>
  </si>
  <si>
    <t>27-1800</t>
  </si>
  <si>
    <t>27-1801</t>
  </si>
  <si>
    <t>27-1802</t>
  </si>
  <si>
    <t>MR92S-229253</t>
    <phoneticPr fontId="13"/>
  </si>
  <si>
    <t>MR52S-112916</t>
    <phoneticPr fontId="13"/>
  </si>
  <si>
    <t>LA150S-0132912</t>
    <phoneticPr fontId="13"/>
  </si>
  <si>
    <t>MM53S-340030</t>
    <phoneticPr fontId="13"/>
  </si>
  <si>
    <t>DA17V-921378</t>
    <phoneticPr fontId="13"/>
  </si>
  <si>
    <t>LA800S-0018937</t>
    <phoneticPr fontId="13"/>
  </si>
  <si>
    <t>LA250S-0120056</t>
    <phoneticPr fontId="13"/>
  </si>
  <si>
    <t>LA250S-0153976</t>
    <phoneticPr fontId="13"/>
  </si>
  <si>
    <t>JB23W-601721</t>
    <phoneticPr fontId="13"/>
  </si>
  <si>
    <t>DA64W-358038</t>
    <phoneticPr fontId="13"/>
  </si>
  <si>
    <t>LA100S-0030826</t>
    <phoneticPr fontId="13"/>
  </si>
  <si>
    <t>27-1803</t>
  </si>
  <si>
    <t>27-1804</t>
  </si>
  <si>
    <t>ﾊｽﾗｰ Jｽﾀｲﾙ ﾊｲﾌﾞﾘｯﾄﾞ</t>
    <phoneticPr fontId="13"/>
  </si>
  <si>
    <t>滋賀 581 ひ 6053</t>
    <rPh sb="0" eb="2">
      <t>シガ</t>
    </rPh>
    <phoneticPr fontId="13"/>
  </si>
  <si>
    <t>保証書 名変期限12/19まで</t>
    <rPh sb="0" eb="3">
      <t>ホショウショ</t>
    </rPh>
    <rPh sb="4" eb="8">
      <t>メイヘンキゲン</t>
    </rPh>
    <phoneticPr fontId="13"/>
  </si>
  <si>
    <t>9/7/14</t>
    <phoneticPr fontId="13"/>
  </si>
  <si>
    <t>名古屋 58 ほ 4534</t>
    <rPh sb="0" eb="3">
      <t>ナゴヤ</t>
    </rPh>
    <phoneticPr fontId="13"/>
  </si>
  <si>
    <t>ｽﾏｰﾄｷｰ SD</t>
    <phoneticPr fontId="13"/>
  </si>
  <si>
    <t>ﾑｰﾌﾞｶｽﾀﾑ RS ﾊｲﾊﾟｰSA3</t>
    <phoneticPr fontId="13"/>
  </si>
  <si>
    <t>9/2/14</t>
    <phoneticPr fontId="13"/>
  </si>
  <si>
    <t>ﾌﾚｱﾜｺﾞﾝ ﾊｲﾌﾞﾘｯﾄﾞXS</t>
    <phoneticPr fontId="13"/>
  </si>
  <si>
    <t>8/10/31</t>
    <phoneticPr fontId="13"/>
  </si>
  <si>
    <t>名古屋 58A ち 5173</t>
    <rPh sb="0" eb="3">
      <t>ナゴヤ</t>
    </rPh>
    <phoneticPr fontId="13"/>
  </si>
  <si>
    <t>9/5/13</t>
    <phoneticPr fontId="13"/>
  </si>
  <si>
    <t>岐阜 486 ち 7788</t>
    <rPh sb="0" eb="2">
      <t>ギフ</t>
    </rPh>
    <phoneticPr fontId="13"/>
  </si>
  <si>
    <t>ﾑｰﾌﾞｷｬﾝﾊﾟｽ XﾘﾐﾃｯﾄﾞSA2</t>
    <phoneticPr fontId="13"/>
  </si>
  <si>
    <t>ｷｬｽﾄ  ｱｸﾃｨﾊﾞG SA3</t>
    <phoneticPr fontId="13"/>
  </si>
  <si>
    <t>9/10/27</t>
    <phoneticPr fontId="13"/>
  </si>
  <si>
    <t>岐阜 58A あ 1776</t>
    <rPh sb="0" eb="2">
      <t>ギフ</t>
    </rPh>
    <phoneticPr fontId="13"/>
  </si>
  <si>
    <t>ｷｬｽﾄ ｽﾀｲﾙG ﾘﾐﾃｯﾄﾞSA3</t>
    <phoneticPr fontId="13"/>
  </si>
  <si>
    <t>8/1/6</t>
    <phoneticPr fontId="13"/>
  </si>
  <si>
    <t>一宮 580 ぬ 3659</t>
    <rPh sb="0" eb="2">
      <t>イチノミヤ</t>
    </rPh>
    <phoneticPr fontId="13"/>
  </si>
  <si>
    <t>20/7</t>
    <phoneticPr fontId="13"/>
  </si>
  <si>
    <t>9/7/17</t>
    <phoneticPr fontId="13"/>
  </si>
  <si>
    <t>名古屋 583 い 4587</t>
    <rPh sb="0" eb="3">
      <t>ナゴヤ</t>
    </rPh>
    <phoneticPr fontId="13"/>
  </si>
  <si>
    <t>BMWﾐﾆｸｰﾊﾟｰD ｸﾛｽｵｰﾊﾞｰｵｰﾙ４</t>
    <phoneticPr fontId="13"/>
  </si>
  <si>
    <t xml:space="preserve">ｴﾌﾞﾘｨW PZﾀｰﾎﾞ </t>
    <phoneticPr fontId="13"/>
  </si>
  <si>
    <t>23/2</t>
    <phoneticPr fontId="13"/>
  </si>
  <si>
    <t>ﾑｰﾌﾞｶｽﾀﾑ Xﾘﾐﾃｯﾄﾞ</t>
    <phoneticPr fontId="13"/>
  </si>
  <si>
    <t>27-1805</t>
  </si>
  <si>
    <t>27-1806</t>
  </si>
  <si>
    <t>27-1807</t>
  </si>
  <si>
    <t>27-1808</t>
  </si>
  <si>
    <t>27-1809</t>
  </si>
  <si>
    <t>27-1810</t>
  </si>
  <si>
    <t>27-1811</t>
  </si>
  <si>
    <t>ﾒﾙｾﾃﾞｽﾍﾞﾝﾂC 200ﾜｺﾞﾝ</t>
    <phoneticPr fontId="13"/>
  </si>
  <si>
    <t>WDD2052422F685348</t>
    <phoneticPr fontId="13"/>
  </si>
  <si>
    <t>BMW 530 I MSP</t>
    <phoneticPr fontId="13"/>
  </si>
  <si>
    <t>WBAJA52020G454749</t>
    <phoneticPr fontId="13"/>
  </si>
  <si>
    <t>BMW X3  xdrive 20d MSP</t>
    <phoneticPr fontId="13"/>
  </si>
  <si>
    <t>WBATX320X0LG59287</t>
    <phoneticPr fontId="13"/>
  </si>
  <si>
    <t>BMW 420 I ｸﾞﾗﾝｸｰﾍﾟ MSＰ</t>
    <phoneticPr fontId="13"/>
  </si>
  <si>
    <t>WBA4A32040D803820</t>
    <phoneticPr fontId="13"/>
  </si>
  <si>
    <t>ﾆｯｻ ｵｰﾗ ﾆﾓｽ</t>
    <phoneticPr fontId="13"/>
  </si>
  <si>
    <t>W1K2050142R572757</t>
    <phoneticPr fontId="13"/>
  </si>
  <si>
    <t>ﾎﾞﾙﾎﾞ V40 T2</t>
    <phoneticPr fontId="13"/>
  </si>
  <si>
    <t>YV1MV2820K2557917</t>
    <phoneticPr fontId="13"/>
  </si>
  <si>
    <t>神戸 333 ひ 1603</t>
    <rPh sb="0" eb="2">
      <t>コウベ</t>
    </rPh>
    <phoneticPr fontId="13"/>
  </si>
  <si>
    <t>TVﾘﾓｺﾝ ﾜﾝｵｰﾅｰ</t>
    <phoneticPr fontId="13"/>
  </si>
  <si>
    <t>FE13-211325</t>
    <phoneticPr fontId="13"/>
  </si>
  <si>
    <t>神戸 330 ふ 6598</t>
    <rPh sb="0" eb="2">
      <t>コウベ</t>
    </rPh>
    <phoneticPr fontId="13"/>
  </si>
  <si>
    <t>ﾒﾙｾﾃﾞｽﾍﾞﾝﾂC 220d ﾛｰﾚｳｽｴﾃﾞｨｼｮﾝ</t>
    <phoneticPr fontId="13"/>
  </si>
  <si>
    <t>姫路 132 ろ 11</t>
    <rPh sb="0" eb="2">
      <t>ヒメジ</t>
    </rPh>
    <phoneticPr fontId="13"/>
  </si>
  <si>
    <t>保証書 取説 ﾘﾓｺﾝ ｽﾍﾟｱｷｰ ﾜﾝｵｰﾅｰ</t>
    <rPh sb="0" eb="3">
      <t>ホショウショ</t>
    </rPh>
    <rPh sb="4" eb="6">
      <t>トリセツ</t>
    </rPh>
    <phoneticPr fontId="13"/>
  </si>
  <si>
    <t>足立 411 ち 1</t>
    <rPh sb="0" eb="2">
      <t>アダチ</t>
    </rPh>
    <phoneticPr fontId="13"/>
  </si>
  <si>
    <t>ﾈｯﾂﾄﾖﾀ埼玉株式会社</t>
    <rPh sb="6" eb="8">
      <t>サイタマ</t>
    </rPh>
    <rPh sb="8" eb="12">
      <t>カブシキガイシャ</t>
    </rPh>
    <phoneticPr fontId="13"/>
  </si>
  <si>
    <t>MR92S-352673</t>
    <phoneticPr fontId="13"/>
  </si>
  <si>
    <t>ｱﾄﾚｰﾜｺﾞﾝ ｶｽﾀﾑﾀｰﾎﾞ RS</t>
    <phoneticPr fontId="13"/>
  </si>
  <si>
    <t>S321G-0064653</t>
    <phoneticPr fontId="13"/>
  </si>
  <si>
    <t>ﾌｨｱｯﾄ 500 1.2ｶﾙﾄ</t>
    <phoneticPr fontId="13"/>
  </si>
  <si>
    <t>ZFA3120000JE35399</t>
    <phoneticPr fontId="13"/>
  </si>
  <si>
    <t>ﾙﾉｰ ﾄｩｲﾝｺﾞ ｲﾝﾃﾝｽ MT</t>
    <phoneticPr fontId="13"/>
  </si>
  <si>
    <t>VF1AH000XN0845814</t>
    <phoneticPr fontId="13"/>
  </si>
  <si>
    <t>9/8/2</t>
    <phoneticPr fontId="13"/>
  </si>
  <si>
    <t>春日井 500 つ 992</t>
    <rPh sb="0" eb="3">
      <t>カスガイ</t>
    </rPh>
    <phoneticPr fontId="13"/>
  </si>
  <si>
    <t>支配人証明 ﾃﾞｨｰﾗｰより11/21HA直送</t>
    <rPh sb="0" eb="3">
      <t>シハイニン</t>
    </rPh>
    <rPh sb="3" eb="5">
      <t>ショウメイ</t>
    </rPh>
    <rPh sb="21" eb="23">
      <t>チョクソウ</t>
    </rPh>
    <phoneticPr fontId="13"/>
  </si>
  <si>
    <t>愛媛 500 ゆ 1384</t>
    <rPh sb="0" eb="2">
      <t>エヒメ</t>
    </rPh>
    <phoneticPr fontId="13"/>
  </si>
  <si>
    <t>株式会社ｽｽﾞｷ販売愛媛</t>
    <rPh sb="0" eb="4">
      <t>カブシキガイシャ</t>
    </rPh>
    <rPh sb="8" eb="10">
      <t>ハンバイ</t>
    </rPh>
    <rPh sb="10" eb="12">
      <t>エヒメ</t>
    </rPh>
    <phoneticPr fontId="13"/>
  </si>
  <si>
    <t>株式会社ﾋﾞｯｸﾞｳｪｰﾌﾞｺｰﾎﾟﾚｰｼｮﾝ</t>
    <rPh sb="0" eb="4">
      <t>カブシキガイシャ</t>
    </rPh>
    <phoneticPr fontId="13"/>
  </si>
  <si>
    <t>岩根 由委</t>
    <rPh sb="0" eb="2">
      <t>イワネ</t>
    </rPh>
    <rPh sb="3" eb="4">
      <t>ユ</t>
    </rPh>
    <rPh sb="4" eb="5">
      <t>イ</t>
    </rPh>
    <phoneticPr fontId="13"/>
  </si>
  <si>
    <t>保証書 ｽﾍﾟｱｷｰ ｺｰﾄﾞｶｰﾄﾞ</t>
    <rPh sb="0" eb="3">
      <t>ホショウショ</t>
    </rPh>
    <phoneticPr fontId="13"/>
  </si>
  <si>
    <t>974(307)</t>
    <phoneticPr fontId="13"/>
  </si>
  <si>
    <t>ZFA3120000JC15886</t>
    <phoneticPr fontId="13"/>
  </si>
  <si>
    <t>熊谷 599 は 4287</t>
    <rPh sb="0" eb="2">
      <t>クマヤ</t>
    </rPh>
    <phoneticPr fontId="13"/>
  </si>
  <si>
    <t>株式会社ﾎﾝﾀﾞｶｰｽﾞ埼玉北</t>
    <rPh sb="0" eb="4">
      <t>カブシキガイシャ</t>
    </rPh>
    <rPh sb="12" eb="14">
      <t>サイタマ</t>
    </rPh>
    <rPh sb="14" eb="15">
      <t>キタ</t>
    </rPh>
    <phoneticPr fontId="13"/>
  </si>
  <si>
    <t>静岡 599 の 908</t>
    <rPh sb="0" eb="2">
      <t>シズオカ</t>
    </rPh>
    <phoneticPr fontId="13"/>
  </si>
  <si>
    <t>岡山 786 ひ 11</t>
    <rPh sb="0" eb="2">
      <t>オカヤマ</t>
    </rPh>
    <phoneticPr fontId="13"/>
  </si>
  <si>
    <t>姫路 330 ぬ 5912</t>
    <rPh sb="0" eb="2">
      <t>ヒメジ</t>
    </rPh>
    <phoneticPr fontId="13"/>
  </si>
  <si>
    <t>牛尾 浩</t>
    <rPh sb="0" eb="2">
      <t>ウシオ</t>
    </rPh>
    <rPh sb="3" eb="4">
      <t>ヒロシ</t>
    </rPh>
    <phoneticPr fontId="13"/>
  </si>
  <si>
    <t>書類戻り11/21</t>
    <rPh sb="0" eb="2">
      <t>ショルイ</t>
    </rPh>
    <rPh sb="2" eb="3">
      <t>モド</t>
    </rPh>
    <phoneticPr fontId="13"/>
  </si>
  <si>
    <t>神戸 352 は 73</t>
    <rPh sb="0" eb="2">
      <t>コウベ</t>
    </rPh>
    <phoneticPr fontId="13"/>
  </si>
  <si>
    <t>村尾 啓太</t>
    <rPh sb="0" eb="2">
      <t>ムラオ</t>
    </rPh>
    <rPh sb="3" eb="5">
      <t>ケイタ</t>
    </rPh>
    <phoneticPr fontId="13"/>
  </si>
  <si>
    <t>杉並 300 た 3686</t>
    <rPh sb="0" eb="2">
      <t>スギナミ</t>
    </rPh>
    <phoneticPr fontId="13"/>
  </si>
  <si>
    <t>荒戸 宏剛</t>
    <rPh sb="0" eb="2">
      <t>アラト</t>
    </rPh>
    <rPh sb="3" eb="4">
      <t>ヒロ</t>
    </rPh>
    <rPh sb="4" eb="5">
      <t>ツヨシ</t>
    </rPh>
    <phoneticPr fontId="13"/>
  </si>
  <si>
    <t>市川 399 す 858</t>
    <rPh sb="0" eb="2">
      <t>イチカワ</t>
    </rPh>
    <phoneticPr fontId="13"/>
  </si>
  <si>
    <t>ﾌﾟｼﾞｮｰ 3008 GT ﾌﾞﾙｰHdi</t>
    <phoneticPr fontId="13"/>
  </si>
  <si>
    <t>VF3MJEHZRKS164515</t>
    <phoneticPr fontId="13"/>
  </si>
  <si>
    <t>福井 333 ね 0345</t>
    <rPh sb="0" eb="2">
      <t>フクイ</t>
    </rPh>
    <phoneticPr fontId="13"/>
  </si>
  <si>
    <t>ｱｳﾃﾞｨ A1 ｽﾎﾟｰﾂﾊﾞｯｸ 1.0TFSIｽﾎﾟｰﾂ</t>
    <phoneticPr fontId="13"/>
  </si>
  <si>
    <t>WAUZZZ8X4GB096553</t>
    <phoneticPr fontId="13"/>
  </si>
  <si>
    <t>A312778</t>
    <phoneticPr fontId="13"/>
  </si>
  <si>
    <t>A312086</t>
    <phoneticPr fontId="13"/>
  </si>
  <si>
    <t>LA900S-0104776</t>
    <phoneticPr fontId="13"/>
  </si>
  <si>
    <t>9/7/9</t>
    <phoneticPr fontId="13"/>
  </si>
  <si>
    <t>A313310</t>
    <phoneticPr fontId="13"/>
  </si>
  <si>
    <t>ｺﾍﾟﾝ ｾﾛ S</t>
    <phoneticPr fontId="13"/>
  </si>
  <si>
    <t>LA400K-0020284</t>
    <phoneticPr fontId="13"/>
  </si>
  <si>
    <t>ﾒｶｷｰなしそのまま送る</t>
    <rPh sb="10" eb="11">
      <t>オク</t>
    </rPh>
    <phoneticPr fontId="13"/>
  </si>
  <si>
    <t>取説 ｽﾍﾟｱｷｰ(車内)</t>
    <rPh sb="0" eb="2">
      <t>トリセツ</t>
    </rPh>
    <phoneticPr fontId="13"/>
  </si>
  <si>
    <t>27-1812</t>
  </si>
  <si>
    <t>27-1813</t>
  </si>
  <si>
    <t>27-1814</t>
  </si>
  <si>
    <t>27-1815</t>
  </si>
  <si>
    <t>27-1816</t>
  </si>
  <si>
    <t>27-1817</t>
  </si>
  <si>
    <t>27-1818</t>
  </si>
  <si>
    <t>27-1819</t>
  </si>
  <si>
    <t>27-1820</t>
  </si>
  <si>
    <t>27-1821</t>
  </si>
  <si>
    <t>27-1822</t>
  </si>
  <si>
    <t>27-1823</t>
  </si>
  <si>
    <t>27-1824</t>
  </si>
  <si>
    <t>27-1825</t>
  </si>
  <si>
    <t>27-1826</t>
  </si>
  <si>
    <t>27-1827</t>
  </si>
  <si>
    <t>DA16T-753617</t>
    <phoneticPr fontId="13"/>
  </si>
  <si>
    <t>NKE165-7164269</t>
    <phoneticPr fontId="13"/>
  </si>
  <si>
    <t>ﾜｺﾞﾝRｽﾏｲﾙ ﾊｲﾌﾞﾘｯﾄﾞ</t>
    <phoneticPr fontId="13"/>
  </si>
  <si>
    <t>MX91S-125523</t>
    <phoneticPr fontId="13"/>
  </si>
  <si>
    <t>HE33S-219659</t>
    <phoneticPr fontId="13"/>
  </si>
  <si>
    <t>ｵｰﾗ ﾆﾓｽ</t>
    <phoneticPr fontId="13"/>
  </si>
  <si>
    <t>FE13-211179</t>
    <phoneticPr fontId="13"/>
  </si>
  <si>
    <t>ﾀﾝｸ ｶｽﾀﾑ G-T</t>
    <phoneticPr fontId="13"/>
  </si>
  <si>
    <t>M900A-0101566</t>
    <phoneticPr fontId="13"/>
  </si>
  <si>
    <t>LA150S-2061356</t>
    <phoneticPr fontId="13"/>
  </si>
  <si>
    <t xml:space="preserve">ｷｬﾘｰﾄﾗｯｸ KC </t>
    <phoneticPr fontId="13"/>
  </si>
  <si>
    <t>8/10/26</t>
    <phoneticPr fontId="13"/>
  </si>
  <si>
    <t>9/1/3</t>
    <phoneticPr fontId="13"/>
  </si>
  <si>
    <t>9/8/31</t>
    <phoneticPr fontId="13"/>
  </si>
  <si>
    <t>MXUA80-0025023</t>
    <phoneticPr fontId="13"/>
  </si>
  <si>
    <t>27-1828</t>
  </si>
  <si>
    <t>27-1829</t>
  </si>
  <si>
    <t>27-1830</t>
  </si>
  <si>
    <t>27-1831</t>
  </si>
  <si>
    <t>27-1832</t>
  </si>
  <si>
    <t>27-1833</t>
  </si>
  <si>
    <t>27-1834</t>
  </si>
  <si>
    <t>27-1835</t>
  </si>
  <si>
    <t>27-1836</t>
  </si>
  <si>
    <t>27-1837</t>
  </si>
  <si>
    <t>27-1838</t>
  </si>
  <si>
    <t>27-1839</t>
  </si>
  <si>
    <t>27-1840</t>
  </si>
  <si>
    <t>27-1841</t>
  </si>
  <si>
    <t>RC1-1121097</t>
    <phoneticPr fontId="13"/>
  </si>
  <si>
    <t>B21A-0513803</t>
    <phoneticPr fontId="13"/>
  </si>
  <si>
    <t>ZC33S-501635</t>
    <phoneticPr fontId="13"/>
  </si>
  <si>
    <t>JF3-2402923</t>
    <phoneticPr fontId="13"/>
  </si>
  <si>
    <t>ZVW41-0055946</t>
    <phoneticPr fontId="13"/>
  </si>
  <si>
    <t>JF3-1195350</t>
    <phoneticPr fontId="13"/>
  </si>
  <si>
    <t>保証書 取説 1月末名変</t>
    <rPh sb="0" eb="3">
      <t>ホショウショ</t>
    </rPh>
    <rPh sb="4" eb="6">
      <t>トリセツ</t>
    </rPh>
    <rPh sb="8" eb="12">
      <t>ガツマツメイヘン</t>
    </rPh>
    <phoneticPr fontId="13"/>
  </si>
  <si>
    <t>JJ1-6004506</t>
    <phoneticPr fontId="13"/>
  </si>
  <si>
    <t>ZWE211-6076438</t>
    <phoneticPr fontId="13"/>
  </si>
  <si>
    <t>DA17W-127226</t>
    <phoneticPr fontId="13"/>
  </si>
  <si>
    <t>LA350S-0251154</t>
    <phoneticPr fontId="13"/>
  </si>
  <si>
    <t>JF1-8902323</t>
    <phoneticPr fontId="13"/>
  </si>
  <si>
    <t>AGH30-0086550</t>
    <phoneticPr fontId="13"/>
  </si>
  <si>
    <t>S321V-0466547</t>
    <phoneticPr fontId="13"/>
  </si>
  <si>
    <t>神戸 480 ま 4011</t>
    <rPh sb="0" eb="2">
      <t>コウベ</t>
    </rPh>
    <phoneticPr fontId="13"/>
  </si>
  <si>
    <t>ﾗﾝﾄﾞﾛｰﾊﾞｰ ﾚﾝｼﾞﾛｰﾊﾞｰ 4WD</t>
    <phoneticPr fontId="13"/>
  </si>
  <si>
    <t>SALGA2AVXJA513651</t>
    <phoneticPr fontId="13"/>
  </si>
  <si>
    <t>ﾊﾘｱｰ 2WD Z</t>
    <phoneticPr fontId="13"/>
  </si>
  <si>
    <t>ｵﾃﾞｯｾｲ ｱﾌﾞｿﾙﾄ EX</t>
    <phoneticPr fontId="13"/>
  </si>
  <si>
    <t>ﾃﾞｲｽﾞﾙｰｸｽ X</t>
    <phoneticPr fontId="13"/>
  </si>
  <si>
    <t>保証書 ﾅﾋﾞ取 12月末名変</t>
    <rPh sb="0" eb="3">
      <t>ホショウショ</t>
    </rPh>
    <rPh sb="7" eb="8">
      <t>トリ</t>
    </rPh>
    <rPh sb="11" eb="15">
      <t>ガツマツメイヘン</t>
    </rPh>
    <phoneticPr fontId="13"/>
  </si>
  <si>
    <t>N-BOX ｶｽﾀﾑ L ﾀｰﾎﾞ ｽﾀｲﾙﾌﾟﾗｽ</t>
    <phoneticPr fontId="13"/>
  </si>
  <si>
    <t>取説 1月末名変</t>
    <rPh sb="0" eb="2">
      <t>トリセツ</t>
    </rPh>
    <rPh sb="4" eb="8">
      <t>ガツマツメイヘン</t>
    </rPh>
    <phoneticPr fontId="13"/>
  </si>
  <si>
    <t>ﾌﾟﾘｳｽ ｱﾙﾌｧｰ S ﾂｰﾘﾝｸﾞｾﾚｸｼｮﾝ</t>
    <phoneticPr fontId="13"/>
  </si>
  <si>
    <t>N-BOX ｶｽﾀﾑ GLﾎﾝﾀﾞｾﾝｼﾝｸﾞ</t>
    <phoneticPr fontId="13"/>
  </si>
  <si>
    <t>1月末名変</t>
    <rPh sb="1" eb="5">
      <t>ガツマツメイヘン</t>
    </rPh>
    <phoneticPr fontId="13"/>
  </si>
  <si>
    <t xml:space="preserve">ﾀﾝﾄ Xﾀｰﾎﾞ SA2 </t>
    <phoneticPr fontId="13"/>
  </si>
  <si>
    <t xml:space="preserve"> N-VAN+ｽﾀｲﾙ ﾌｧﾝ ﾀｰﾎﾞ</t>
    <phoneticPr fontId="13"/>
  </si>
  <si>
    <t>ｶﾛｰﾗﾂｰﾘﾝｸﾞ ﾊｲﾌﾞﾘｯﾄﾞS</t>
    <phoneticPr fontId="13"/>
  </si>
  <si>
    <t>ﾅﾋﾞ取 保証書 1月末名変</t>
    <rPh sb="3" eb="4">
      <t>トリ</t>
    </rPh>
    <rPh sb="5" eb="8">
      <t>ホショウショ</t>
    </rPh>
    <rPh sb="10" eb="14">
      <t>ガツマツメイヘン</t>
    </rPh>
    <phoneticPr fontId="13"/>
  </si>
  <si>
    <t>ｴﾌﾞﾘｲﾜｺﾞﾝ PZ ﾀｰﾎﾞ</t>
    <phoneticPr fontId="13"/>
  </si>
  <si>
    <t>N-BOX ｶｽﾀﾑ G</t>
    <phoneticPr fontId="13"/>
  </si>
  <si>
    <t>ｳﾞｪﾙﾌｧｲｱ Z Gｴﾃﾞｨｼｮﾝ</t>
    <phoneticPr fontId="13"/>
  </si>
  <si>
    <t>NV150AD</t>
    <phoneticPr fontId="13"/>
  </si>
  <si>
    <t>VY12-289394</t>
    <phoneticPr fontId="13"/>
  </si>
  <si>
    <t xml:space="preserve">取説 ｷｰﾚｽ(車内)保証書 </t>
    <rPh sb="0" eb="2">
      <t>トリセツ</t>
    </rPh>
    <rPh sb="11" eb="14">
      <t>ホショウショ</t>
    </rPh>
    <phoneticPr fontId="13"/>
  </si>
  <si>
    <t>取説 ｽﾍﾟｱｷｰ(車内)保証書</t>
    <rPh sb="0" eb="2">
      <t>トリセツ</t>
    </rPh>
    <rPh sb="13" eb="16">
      <t>ホショウショ</t>
    </rPh>
    <phoneticPr fontId="13"/>
  </si>
  <si>
    <t>取説 ｷｰﾚｽ ｽﾀｰﾄﾎﾞﾀﾝ(車内)保証書 ﾜﾝｵｰﾅｰ</t>
    <rPh sb="0" eb="2">
      <t>トリセツ</t>
    </rPh>
    <rPh sb="20" eb="23">
      <t>ホショウショ</t>
    </rPh>
    <phoneticPr fontId="13"/>
  </si>
  <si>
    <t>株式会社ﾎﾝﾀﾞｶｰｽﾞ中央神奈川</t>
    <rPh sb="0" eb="4">
      <t>カブシキガイシャ</t>
    </rPh>
    <rPh sb="12" eb="14">
      <t>チュウオウ</t>
    </rPh>
    <rPh sb="14" eb="17">
      <t>カナガワ</t>
    </rPh>
    <phoneticPr fontId="13"/>
  </si>
  <si>
    <t>倉敷 581 あ 914</t>
    <phoneticPr fontId="13"/>
  </si>
  <si>
    <t>福山 580 も 8460</t>
    <rPh sb="0" eb="2">
      <t>フクヤマ</t>
    </rPh>
    <phoneticPr fontId="13"/>
  </si>
  <si>
    <t>名古屋 780 ろ 1946</t>
    <rPh sb="0" eb="3">
      <t>ナゴヤ</t>
    </rPh>
    <phoneticPr fontId="13"/>
  </si>
  <si>
    <t>株式会社JCM 名古屋支店</t>
    <rPh sb="0" eb="4">
      <t>カブシキガイシャ</t>
    </rPh>
    <rPh sb="8" eb="11">
      <t>ナゴヤ</t>
    </rPh>
    <rPh sb="11" eb="13">
      <t>シテン</t>
    </rPh>
    <phoneticPr fontId="13"/>
  </si>
  <si>
    <t>岡崎 100 さ 5514</t>
    <rPh sb="0" eb="2">
      <t>オカザキ</t>
    </rPh>
    <phoneticPr fontId="13"/>
  </si>
  <si>
    <t>辻村 佳樹</t>
    <rPh sb="0" eb="2">
      <t>ツジムラ</t>
    </rPh>
    <rPh sb="3" eb="5">
      <t>ヨシキ</t>
    </rPh>
    <phoneticPr fontId="13"/>
  </si>
  <si>
    <t>保証書 取説 ﾅﾋﾞ取 ｷｰﾚｽ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</si>
  <si>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福岡 32F そ 9</t>
    <rPh sb="0" eb="2">
      <t>フクオカ</t>
    </rPh>
    <phoneticPr fontId="13"/>
  </si>
  <si>
    <t>保証書 取説 ｶｰﾄﾞｷｰ ｷｰﾚｽ</t>
    <rPh sb="0" eb="3">
      <t>ホショウショ</t>
    </rPh>
    <rPh sb="4" eb="6">
      <t>トリセツ</t>
    </rPh>
    <phoneticPr fontId="13"/>
  </si>
  <si>
    <t>LA600S-0607716</t>
    <phoneticPr fontId="13"/>
  </si>
  <si>
    <t>和泉 782 ゆ 2</t>
    <rPh sb="0" eb="2">
      <t>イズミ</t>
    </rPh>
    <phoneticPr fontId="13"/>
  </si>
  <si>
    <t>S510P-0532178</t>
    <phoneticPr fontId="13"/>
  </si>
  <si>
    <t>滋賀 488 ゆ 5678</t>
    <rPh sb="0" eb="2">
      <t>シガ</t>
    </rPh>
    <phoneticPr fontId="13"/>
  </si>
  <si>
    <t>LA900S-0028221</t>
    <phoneticPr fontId="13"/>
  </si>
  <si>
    <t>ｼﾞﾑﾆｰ ﾜｲﾙﾄﾞｳｲﾝﾄﾞ</t>
    <phoneticPr fontId="13"/>
  </si>
  <si>
    <t>JB23W-606178</t>
    <phoneticPr fontId="13"/>
  </si>
  <si>
    <t>JB23W-694959</t>
    <phoneticPr fontId="13"/>
  </si>
  <si>
    <t>鳥取 580 つ 670</t>
    <rPh sb="0" eb="2">
      <t>トットリ</t>
    </rPh>
    <phoneticPr fontId="13"/>
  </si>
  <si>
    <t xml:space="preserve">ｱﾊﾞﾙﾄ595 </t>
    <phoneticPr fontId="13"/>
  </si>
  <si>
    <t>ZFA3120000JA37160</t>
    <phoneticPr fontId="13"/>
  </si>
  <si>
    <t>ｽﾍﾟｱｷｰ ｷｰｶｰﾄﾞ</t>
    <phoneticPr fontId="13"/>
  </si>
  <si>
    <t>BMWﾐﾆｸｰﾊﾟｰD ｸﾛｽｵｰﾊﾞｰｵｰﾙ</t>
    <phoneticPr fontId="13"/>
  </si>
  <si>
    <t>WMW42BT0103M46589</t>
    <phoneticPr fontId="13"/>
  </si>
  <si>
    <t>DA17W-323937</t>
    <phoneticPr fontId="13"/>
  </si>
  <si>
    <t>8/7/17</t>
    <phoneticPr fontId="13"/>
  </si>
  <si>
    <t>倉敷 586 さ 1111</t>
    <rPh sb="0" eb="2">
      <t>クラシキ</t>
    </rPh>
    <phoneticPr fontId="13"/>
  </si>
  <si>
    <t>WMWXM720602A75539</t>
    <phoneticPr fontId="13"/>
  </si>
  <si>
    <t>所沢 330 ほ 2161</t>
    <rPh sb="0" eb="2">
      <t>トコロザワ</t>
    </rPh>
    <phoneticPr fontId="13"/>
  </si>
  <si>
    <t>京都 583 ち 8816</t>
    <rPh sb="0" eb="2">
      <t>キョウト</t>
    </rPh>
    <phoneticPr fontId="13"/>
  </si>
  <si>
    <t>木山 千裕</t>
    <rPh sb="0" eb="2">
      <t>キヤマ</t>
    </rPh>
    <rPh sb="3" eb="4">
      <t>セン</t>
    </rPh>
    <rPh sb="4" eb="5">
      <t>ユウ</t>
    </rPh>
    <phoneticPr fontId="13"/>
  </si>
  <si>
    <t>ﾑｰﾌﾞｷｬﾝﾊﾟｽ Gﾒｲｸｱｯﾌﾟﾘﾐﾃｯﾄﾞ</t>
    <phoneticPr fontId="13"/>
  </si>
  <si>
    <t>LA800S-0134870</t>
    <phoneticPr fontId="13"/>
  </si>
  <si>
    <t>ﾅﾋﾞ取 取説 地図SD ｽﾍﾟｱｷｰ</t>
    <rPh sb="3" eb="4">
      <t>トリ</t>
    </rPh>
    <rPh sb="5" eb="7">
      <t>トリセツ</t>
    </rPh>
    <rPh sb="8" eb="10">
      <t>チズ</t>
    </rPh>
    <phoneticPr fontId="13"/>
  </si>
  <si>
    <t>N-BOX Ｌｽﾛｰﾌﾟ</t>
    <phoneticPr fontId="13"/>
  </si>
  <si>
    <t>ＪＦ3-8404768</t>
    <phoneticPr fontId="13"/>
  </si>
  <si>
    <t>DA17W-204854</t>
    <phoneticPr fontId="13"/>
  </si>
  <si>
    <t>京都 591 け 87</t>
    <rPh sb="0" eb="2">
      <t>キョウト</t>
    </rPh>
    <phoneticPr fontId="13"/>
  </si>
  <si>
    <t>ﾙﾉｰ ﾙｰﾃｼｱ ｲﾝﾃﾝｽ</t>
    <phoneticPr fontId="13"/>
  </si>
  <si>
    <t>VF1RJA007N0839076</t>
    <phoneticPr fontId="13"/>
  </si>
  <si>
    <t>静岡 301 ま 9953</t>
    <rPh sb="0" eb="2">
      <t>シズオカ</t>
    </rPh>
    <phoneticPr fontId="13"/>
  </si>
  <si>
    <t>山口 晏侍</t>
    <rPh sb="0" eb="2">
      <t>ヤマグチ</t>
    </rPh>
    <rPh sb="3" eb="4">
      <t>ク</t>
    </rPh>
    <rPh sb="4" eb="5">
      <t>サムライ</t>
    </rPh>
    <phoneticPr fontId="13"/>
  </si>
  <si>
    <t>WMWXU72020TN30569</t>
    <phoneticPr fontId="13"/>
  </si>
  <si>
    <t>京都 331 り 835</t>
    <rPh sb="0" eb="2">
      <t>キョウト</t>
    </rPh>
    <phoneticPr fontId="13"/>
  </si>
  <si>
    <t>LA600S-0440892</t>
    <phoneticPr fontId="13"/>
  </si>
  <si>
    <t>岐阜 399 の 2846</t>
    <rPh sb="0" eb="2">
      <t>ギフ</t>
    </rPh>
    <phoneticPr fontId="13"/>
  </si>
  <si>
    <t>株式会社ｸﾞﾛｰﾊﾞﾙﾌｨｰﾙﾄﾞ</t>
    <rPh sb="0" eb="4">
      <t>カブシキガイシャ</t>
    </rPh>
    <phoneticPr fontId="13"/>
  </si>
  <si>
    <t>株式会社ｸｰﾙﾏﾝ</t>
    <rPh sb="0" eb="4">
      <t>カブシキガイシャ</t>
    </rPh>
    <phoneticPr fontId="13"/>
  </si>
  <si>
    <t>野田 399 み 1346</t>
    <rPh sb="0" eb="2">
      <t>ノダ</t>
    </rPh>
    <phoneticPr fontId="13"/>
  </si>
  <si>
    <t>11/23</t>
    <phoneticPr fontId="13"/>
  </si>
  <si>
    <t>長崎 335 に 1115</t>
    <rPh sb="0" eb="2">
      <t>ナガサキ</t>
    </rPh>
    <phoneticPr fontId="13"/>
  </si>
  <si>
    <t>長崎ﾄﾖﾍﾟｯﾄ株式会社</t>
    <rPh sb="0" eb="2">
      <t>ナガサキ</t>
    </rPh>
    <rPh sb="8" eb="12">
      <t>カブシキガイシャ</t>
    </rPh>
    <phoneticPr fontId="13"/>
  </si>
  <si>
    <t>保証書 ｽﾍﾟｱｷｰ 地図SD</t>
    <rPh sb="0" eb="3">
      <t>ホショウショ</t>
    </rPh>
    <rPh sb="11" eb="13">
      <t>チズ</t>
    </rPh>
    <phoneticPr fontId="13"/>
  </si>
  <si>
    <t>株式会社ﾎﾝﾀﾞ東京西</t>
    <rPh sb="0" eb="4">
      <t>カブシキガイシャ</t>
    </rPh>
    <rPh sb="8" eb="10">
      <t>トウキョウ</t>
    </rPh>
    <rPh sb="10" eb="11">
      <t>ニシ</t>
    </rPh>
    <phoneticPr fontId="13"/>
  </si>
  <si>
    <t>横浜 350 せ 714</t>
    <rPh sb="0" eb="2">
      <t>ヨコハマ</t>
    </rPh>
    <phoneticPr fontId="13"/>
  </si>
  <si>
    <t>有若 隆史</t>
    <rPh sb="0" eb="1">
      <t>アリ</t>
    </rPh>
    <rPh sb="1" eb="2">
      <t>ワカ</t>
    </rPh>
    <rPh sb="3" eb="4">
      <t>タカシ</t>
    </rPh>
    <phoneticPr fontId="13"/>
  </si>
  <si>
    <t>なにわ 591 す 6</t>
    <phoneticPr fontId="13"/>
  </si>
  <si>
    <t>北村 誠</t>
    <rPh sb="0" eb="2">
      <t>キタムラ</t>
    </rPh>
    <rPh sb="3" eb="4">
      <t>マコト</t>
    </rPh>
    <phoneticPr fontId="13"/>
  </si>
  <si>
    <t>地図SD(車内)取説 ｽﾍﾟｱｷｰ ﾅﾋﾞ取 中古保証書</t>
    <rPh sb="0" eb="2">
      <t>チズ</t>
    </rPh>
    <rPh sb="8" eb="10">
      <t>トリセツ</t>
    </rPh>
    <rPh sb="21" eb="22">
      <t>トリ</t>
    </rPh>
    <rPh sb="23" eb="28">
      <t>チュウコホショウショ</t>
    </rPh>
    <phoneticPr fontId="13"/>
  </si>
  <si>
    <t>袖ヶ浦 587 う 522</t>
    <rPh sb="0" eb="3">
      <t>ソデガウラ</t>
    </rPh>
    <phoneticPr fontId="13"/>
  </si>
  <si>
    <t>西澤 典晃</t>
    <rPh sb="0" eb="2">
      <t>ニシザワ</t>
    </rPh>
    <rPh sb="3" eb="4">
      <t>ノリ</t>
    </rPh>
    <rPh sb="4" eb="5">
      <t>アキラ</t>
    </rPh>
    <phoneticPr fontId="13"/>
  </si>
  <si>
    <t>地図SD(車内)保証書 取説 ﾅﾋﾞ取 ｽﾍﾟｱｷｰ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</si>
  <si>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大阪 303 め 2814</t>
    <rPh sb="0" eb="2">
      <t>オオサカ</t>
    </rPh>
    <phoneticPr fontId="13"/>
  </si>
  <si>
    <t>藤村 成悟</t>
    <rPh sb="0" eb="2">
      <t>フジムラ</t>
    </rPh>
    <rPh sb="3" eb="4">
      <t>ナリ</t>
    </rPh>
    <rPh sb="4" eb="5">
      <t>サト</t>
    </rPh>
    <phoneticPr fontId="13"/>
  </si>
  <si>
    <t>北九州 399 て 6441</t>
    <rPh sb="0" eb="3">
      <t>キタキュウシュウ</t>
    </rPh>
    <phoneticPr fontId="13"/>
  </si>
  <si>
    <t>名古屋 531 ら 132</t>
    <rPh sb="0" eb="3">
      <t>ナゴヤ</t>
    </rPh>
    <phoneticPr fontId="13"/>
  </si>
  <si>
    <t>ﾄﾖﾀｶﾛｰﾗ名古屋株式会社</t>
    <rPh sb="7" eb="10">
      <t>ナゴヤ</t>
    </rPh>
    <rPh sb="10" eb="14">
      <t>カブシキガイシャ</t>
    </rPh>
    <phoneticPr fontId="13"/>
  </si>
  <si>
    <t>宇都宮 330 ら 1529</t>
    <rPh sb="0" eb="3">
      <t>ウツノミヤ</t>
    </rPh>
    <phoneticPr fontId="13"/>
  </si>
  <si>
    <t>小森 聡</t>
    <rPh sb="0" eb="2">
      <t>コモリ</t>
    </rPh>
    <rPh sb="3" eb="4">
      <t>サトシ</t>
    </rPh>
    <phoneticPr fontId="13"/>
  </si>
  <si>
    <t>和泉 482 ろ 8356</t>
    <rPh sb="0" eb="2">
      <t>イズミ</t>
    </rPh>
    <phoneticPr fontId="13"/>
  </si>
  <si>
    <t>株式会社日産ﾌｨﾅﾝｼｬﾙｻｰﾋﾞｽ</t>
    <rPh sb="0" eb="4">
      <t>カブシキガイシャ</t>
    </rPh>
    <rPh sb="4" eb="6">
      <t>ニッサン</t>
    </rPh>
    <phoneticPr fontId="13"/>
  </si>
  <si>
    <t>神戸 582 こ 5305</t>
    <rPh sb="0" eb="2">
      <t>コウベ</t>
    </rPh>
    <phoneticPr fontId="13"/>
  </si>
  <si>
    <t xml:space="preserve">ｷｰﾚｽ(車内)保証書 取説 </t>
    <rPh sb="8" eb="11">
      <t>ホショウショ</t>
    </rPh>
    <rPh sb="12" eb="14">
      <t>トリセツ</t>
    </rPh>
    <phoneticPr fontId="13"/>
  </si>
  <si>
    <t>春日部 584 け 85</t>
    <rPh sb="0" eb="3">
      <t>カスカベ</t>
    </rPh>
    <phoneticPr fontId="13"/>
  </si>
  <si>
    <t>小倉 均</t>
    <rPh sb="0" eb="2">
      <t>コグラ</t>
    </rPh>
    <rPh sb="3" eb="4">
      <t>ヒトシ</t>
    </rPh>
    <phoneticPr fontId="13"/>
  </si>
  <si>
    <t>相模 502 ふ 8420</t>
    <phoneticPr fontId="13"/>
  </si>
  <si>
    <t>前原 舜介</t>
    <rPh sb="0" eb="2">
      <t>マエハラ</t>
    </rPh>
    <rPh sb="3" eb="4">
      <t>シュン</t>
    </rPh>
    <rPh sb="4" eb="5">
      <t>スケ</t>
    </rPh>
    <phoneticPr fontId="13"/>
  </si>
  <si>
    <t>27-1842</t>
  </si>
  <si>
    <t>27-1843</t>
  </si>
  <si>
    <t>27-1844</t>
  </si>
  <si>
    <t>27-1845</t>
  </si>
  <si>
    <t>27-1846</t>
  </si>
  <si>
    <t>27-1847</t>
  </si>
  <si>
    <t>27-1848</t>
  </si>
  <si>
    <t>27-1849</t>
  </si>
  <si>
    <t>27-1850</t>
  </si>
  <si>
    <t>27-1851</t>
  </si>
  <si>
    <t>27-1852</t>
  </si>
  <si>
    <t>27-1853</t>
  </si>
  <si>
    <t>27-1854</t>
  </si>
  <si>
    <t>27-1855</t>
  </si>
  <si>
    <t>27-1856</t>
  </si>
  <si>
    <t>27-1857</t>
  </si>
  <si>
    <t>27-1858</t>
  </si>
  <si>
    <t>27-1859</t>
  </si>
  <si>
    <t>NCP160-0151296</t>
    <phoneticPr fontId="13"/>
  </si>
  <si>
    <t>27-1860</t>
  </si>
  <si>
    <t>27-1861</t>
  </si>
  <si>
    <t>27-1862</t>
  </si>
  <si>
    <t>27-1863</t>
  </si>
  <si>
    <t>27-1864</t>
  </si>
  <si>
    <t>27-1865</t>
  </si>
  <si>
    <t>27-1866</t>
  </si>
  <si>
    <t>27-1867</t>
  </si>
  <si>
    <t>27-1868</t>
  </si>
  <si>
    <t>27-1869</t>
  </si>
  <si>
    <t>YV1MZA8RDK2174828</t>
    <phoneticPr fontId="13"/>
  </si>
  <si>
    <t>WMWXM520502A62284</t>
    <phoneticPr fontId="13"/>
  </si>
  <si>
    <t>WBA5P500908C30510</t>
    <phoneticPr fontId="13"/>
  </si>
  <si>
    <t>WMWZB32050WL97781</t>
    <phoneticPr fontId="13"/>
  </si>
  <si>
    <t>ﾜｲﾝﾚｯﾄﾞ</t>
    <phoneticPr fontId="13"/>
  </si>
  <si>
    <t>WMWLN320602B33721</t>
    <phoneticPr fontId="13"/>
  </si>
  <si>
    <t>WAUZZZFY6J2033490</t>
    <phoneticPr fontId="13"/>
  </si>
  <si>
    <t>ｱｳﾃﾞｨ A1 ｽﾎﾟｰﾂﾊﾞｯｸ 25TFSI Sﾗｲﾝ</t>
    <phoneticPr fontId="13"/>
  </si>
  <si>
    <t>ﾎﾞﾙﾎﾞ V60</t>
    <phoneticPr fontId="13"/>
  </si>
  <si>
    <t>WAUZZZGB0MR019980</t>
    <phoneticPr fontId="13"/>
  </si>
  <si>
    <t>佐世保 331 ぬ 1207</t>
    <rPh sb="0" eb="3">
      <t>サセボ</t>
    </rPh>
    <phoneticPr fontId="13"/>
  </si>
  <si>
    <t>YV1FWA8RDH1369982</t>
    <phoneticPr fontId="13"/>
  </si>
  <si>
    <t>熊本 338 め 1120</t>
    <rPh sb="0" eb="2">
      <t>クマモト</t>
    </rPh>
    <phoneticPr fontId="13"/>
  </si>
  <si>
    <t>BMW 3ｼﾘｰｽﾞ ｾﾀﾞﾝ 330e Mｽﾎﾟｰﾂ</t>
    <phoneticPr fontId="13"/>
  </si>
  <si>
    <t>愛媛 331 め 1325</t>
    <rPh sb="0" eb="2">
      <t>エヒメ</t>
    </rPh>
    <phoneticPr fontId="13"/>
  </si>
  <si>
    <t xml:space="preserve">充電ｹｰﾌﾞﾙ車載 保証書 取説 ｽﾍﾟｱｷｰ </t>
    <rPh sb="0" eb="2">
      <t>ジュウデン</t>
    </rPh>
    <rPh sb="7" eb="9">
      <t>シャサイ</t>
    </rPh>
    <rPh sb="10" eb="13">
      <t>ホショウショ</t>
    </rPh>
    <rPh sb="14" eb="16">
      <t>トリセツ</t>
    </rPh>
    <phoneticPr fontId="13"/>
  </si>
  <si>
    <t>一宮 330 る 60</t>
    <rPh sb="0" eb="2">
      <t>イチノミヤ</t>
    </rPh>
    <phoneticPr fontId="13"/>
  </si>
  <si>
    <t>ｱｳﾃﾞｨ Q5 2.0 TFSI ｸﾜﾄﾛ1stｴﾃﾞｨｼｮﾝ</t>
    <phoneticPr fontId="13"/>
  </si>
  <si>
    <t>なにわ 302 そ 3211</t>
    <phoneticPr fontId="13"/>
  </si>
  <si>
    <t>27-1870</t>
  </si>
  <si>
    <t>27-1871</t>
  </si>
  <si>
    <t>RC1-1127715</t>
    <phoneticPr fontId="13"/>
  </si>
  <si>
    <t>LA800S-0089976</t>
    <phoneticPr fontId="13"/>
  </si>
  <si>
    <t>BPFP-106991</t>
    <phoneticPr fontId="13"/>
  </si>
  <si>
    <t>JG3-2112643</t>
    <phoneticPr fontId="13"/>
  </si>
  <si>
    <t>27-1872</t>
  </si>
  <si>
    <t>27-1873</t>
  </si>
  <si>
    <t>27-1874</t>
  </si>
  <si>
    <t>27-1875</t>
  </si>
  <si>
    <t>27-1876</t>
  </si>
  <si>
    <t>ﾑｰﾌﾞｷｬﾝﾊﾟｽ Gﾒｲｸｱｯﾌﾟ SA3</t>
    <phoneticPr fontId="13"/>
  </si>
  <si>
    <t>ﾏﾂﾀﾞ3 ｾﾀﾞﾝ 20S ﾌﾟﾛｱｸﾃｨﾌﾞ ﾂｰﾘﾝｸﾞｾﾚｸｼｮﾝ</t>
    <phoneticPr fontId="13"/>
  </si>
  <si>
    <t>A314020</t>
    <phoneticPr fontId="13"/>
  </si>
  <si>
    <t>JF3-2425320</t>
    <phoneticPr fontId="13"/>
  </si>
  <si>
    <t>A314142</t>
    <phoneticPr fontId="13"/>
  </si>
  <si>
    <t>25/10</t>
    <phoneticPr fontId="13"/>
  </si>
  <si>
    <t>L375S-0685474</t>
    <phoneticPr fontId="13"/>
  </si>
  <si>
    <t>8/10/20</t>
    <phoneticPr fontId="13"/>
  </si>
  <si>
    <t>A313594</t>
    <phoneticPr fontId="13"/>
  </si>
  <si>
    <t>LA100S-0211496</t>
    <phoneticPr fontId="13"/>
  </si>
  <si>
    <t>8/2/26</t>
    <phoneticPr fontId="13"/>
  </si>
  <si>
    <t>A313990</t>
    <phoneticPr fontId="13"/>
  </si>
  <si>
    <t>ﾏﾂﾀﾞ3   ﾌｧｽﾄﾊﾞｯｸ 20SL ﾊﾟｯｹｰｼﾞ</t>
    <phoneticPr fontId="13"/>
  </si>
  <si>
    <t>BPFP-113842</t>
    <phoneticPr fontId="13"/>
  </si>
  <si>
    <t>9/9/1</t>
    <phoneticPr fontId="13"/>
  </si>
  <si>
    <t>A313789</t>
    <phoneticPr fontId="13"/>
  </si>
  <si>
    <t>ｸﾗｳﾝ ｽﾎﾟｰﾂ Z</t>
    <phoneticPr fontId="13"/>
  </si>
  <si>
    <t>AZSH36-4041529</t>
    <phoneticPr fontId="13"/>
  </si>
  <si>
    <t>10/2/19</t>
    <phoneticPr fontId="13"/>
  </si>
  <si>
    <t>N-ONE ｾﾚｸﾄ</t>
    <phoneticPr fontId="13"/>
  </si>
  <si>
    <t>JG1-1308387</t>
    <phoneticPr fontId="13"/>
  </si>
  <si>
    <t>鳥取 581 い 3777</t>
    <rPh sb="0" eb="2">
      <t>トットリ</t>
    </rPh>
    <phoneticPr fontId="13"/>
  </si>
  <si>
    <t>LA650S-0100019</t>
    <phoneticPr fontId="13"/>
  </si>
  <si>
    <t>LA650S-1057956</t>
    <phoneticPr fontId="13"/>
  </si>
  <si>
    <t>LA350S-0197496</t>
    <phoneticPr fontId="13"/>
  </si>
  <si>
    <t>京都 582 て 9226</t>
    <rPh sb="0" eb="2">
      <t>キョウト</t>
    </rPh>
    <phoneticPr fontId="13"/>
  </si>
  <si>
    <t>N-BOXｶｽﾀﾑ G特別仕様車SS</t>
    <rPh sb="11" eb="16">
      <t>トクベツシヨウシャ</t>
    </rPh>
    <phoneticPr fontId="13"/>
  </si>
  <si>
    <t>JF1-1507008</t>
    <phoneticPr fontId="13"/>
  </si>
  <si>
    <t>LA650S-0273748</t>
    <phoneticPr fontId="13"/>
  </si>
  <si>
    <t>高知 580 よ 1704</t>
    <rPh sb="0" eb="2">
      <t>コウチ</t>
    </rPh>
    <phoneticPr fontId="13"/>
  </si>
  <si>
    <t>ﾊｽﾗｰ Gﾀｰﾎﾞ</t>
    <phoneticPr fontId="13"/>
  </si>
  <si>
    <t>MR41S-621496</t>
    <phoneticPr fontId="13"/>
  </si>
  <si>
    <t>高松 580 か 7398</t>
    <rPh sb="0" eb="2">
      <t>タカマツ</t>
    </rPh>
    <phoneticPr fontId="13"/>
  </si>
  <si>
    <t>ﾑｰﾌﾞｷｬﾝﾊﾟｽ X ﾌﾞﾗｯｸｲﾝﾃﾘｱﾘﾐﾃｯﾄﾞ</t>
    <phoneticPr fontId="13"/>
  </si>
  <si>
    <t>LA800S-0240174</t>
    <phoneticPr fontId="13"/>
  </si>
  <si>
    <t xml:space="preserve">ｼﾞﾑﾆｰ XG </t>
    <phoneticPr fontId="13"/>
  </si>
  <si>
    <t>JB23W-757143</t>
    <phoneticPr fontId="13"/>
  </si>
  <si>
    <t>広島 583 か 2509</t>
    <rPh sb="0" eb="2">
      <t>ヒロシマ</t>
    </rPh>
    <phoneticPr fontId="13"/>
  </si>
  <si>
    <t>ﾊｲｾﾞｯﾄｶｰｺﾞ DX</t>
    <phoneticPr fontId="13"/>
  </si>
  <si>
    <t>S331V-0240970</t>
    <phoneticPr fontId="13"/>
  </si>
  <si>
    <t>岡山 480 わ 2265</t>
    <rPh sb="0" eb="2">
      <t>オカヤマ</t>
    </rPh>
    <phoneticPr fontId="13"/>
  </si>
  <si>
    <t xml:space="preserve">ﾌｨｱｯﾄ 500 </t>
    <phoneticPr fontId="13"/>
  </si>
  <si>
    <t>ZFA3120000J709385</t>
    <phoneticPr fontId="13"/>
  </si>
  <si>
    <t>広島 399 に 1255</t>
    <rPh sb="0" eb="2">
      <t>ヒロシマ</t>
    </rPh>
    <phoneticPr fontId="13"/>
  </si>
  <si>
    <t>取説 ｷｰﾚｽ(車内)ﾅﾋﾞ取</t>
    <rPh sb="0" eb="2">
      <t>トリセツ</t>
    </rPh>
    <rPh sb="14" eb="15">
      <t>トリ</t>
    </rPh>
    <phoneticPr fontId="13"/>
  </si>
  <si>
    <t>ﾒﾙｾﾃﾞｽﾍﾞﾝﾂ Aｸﾗｽ</t>
    <phoneticPr fontId="13"/>
  </si>
  <si>
    <t>WDD1770122V050095</t>
    <phoneticPr fontId="13"/>
  </si>
  <si>
    <t>土浦 581 う 8792</t>
    <rPh sb="0" eb="2">
      <t>ツチウラ</t>
    </rPh>
    <phoneticPr fontId="13"/>
  </si>
  <si>
    <t>久保田 昇吾</t>
    <rPh sb="0" eb="3">
      <t>クボタ</t>
    </rPh>
    <rPh sb="4" eb="5">
      <t>ノボル</t>
    </rPh>
    <rPh sb="5" eb="6">
      <t>ワレ</t>
    </rPh>
    <phoneticPr fontId="13"/>
  </si>
  <si>
    <t>保証書 取説 ｽﾍﾟｱｷｰ ﾅﾋﾞ取</t>
    <rPh sb="0" eb="3">
      <t>ホショウショ</t>
    </rPh>
    <rPh sb="4" eb="6">
      <t>トリセツ</t>
    </rPh>
    <rPh sb="17" eb="18">
      <t>トリ</t>
    </rPh>
    <phoneticPr fontId="13"/>
  </si>
  <si>
    <t>なにわ 502 に 1407</t>
    <phoneticPr fontId="13"/>
  </si>
  <si>
    <t>株式会社ﾄﾖﾀﾚﾝﾀﾘｰｽ新大阪</t>
    <rPh sb="0" eb="4">
      <t>カブシキガイシャ</t>
    </rPh>
    <rPh sb="13" eb="14">
      <t>シン</t>
    </rPh>
    <rPh sb="14" eb="16">
      <t>オオサカ</t>
    </rPh>
    <phoneticPr fontId="13"/>
  </si>
  <si>
    <t>取説 ｷｰﾚｽ 地図SD(車内)保証書</t>
    <rPh sb="0" eb="2">
      <t>トリセツ</t>
    </rPh>
    <rPh sb="8" eb="10">
      <t>チズ</t>
    </rPh>
    <rPh sb="16" eb="19">
      <t>ホショウショ</t>
    </rPh>
    <phoneticPr fontId="13"/>
  </si>
  <si>
    <t>品川 49A そ 4681</t>
    <rPh sb="0" eb="2">
      <t>シナガワ</t>
    </rPh>
    <phoneticPr fontId="13"/>
  </si>
  <si>
    <t>神戸 39A そ 1666</t>
    <rPh sb="0" eb="2">
      <t>コウベ</t>
    </rPh>
    <phoneticPr fontId="13"/>
  </si>
  <si>
    <t>品川 303 つ 5759</t>
    <rPh sb="0" eb="2">
      <t>シナガワ</t>
    </rPh>
    <phoneticPr fontId="13"/>
  </si>
  <si>
    <t>株式会社ﾔﾅｾABEMOTORRS</t>
    <rPh sb="0" eb="4">
      <t>カブシキガイシャ</t>
    </rPh>
    <phoneticPr fontId="13"/>
  </si>
  <si>
    <t>野田 399 み 467</t>
    <rPh sb="0" eb="2">
      <t>ノダ</t>
    </rPh>
    <phoneticPr fontId="13"/>
  </si>
  <si>
    <t>株式会社CSｵｰﾄﾃﾞｨｰﾗｰ</t>
    <rPh sb="0" eb="4">
      <t>カブシキガイシャ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</si>
  <si>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rPh sb="14" eb="16">
      <t>シャナイ</t>
    </rPh>
    <phoneticPr fontId="13"/>
  </si>
  <si>
    <t>WMWXU92040TN54934</t>
    <phoneticPr fontId="13"/>
  </si>
  <si>
    <t>書類付属品返送11/25</t>
    <rPh sb="0" eb="2">
      <t>ショルイ</t>
    </rPh>
    <rPh sb="2" eb="5">
      <t>フゾクヒン</t>
    </rPh>
    <rPh sb="5" eb="7">
      <t>ヘンソウ</t>
    </rPh>
    <phoneticPr fontId="13"/>
  </si>
  <si>
    <t>ﾌﾟﾛﾎﾞｯｸｽ GL</t>
    <phoneticPr fontId="13"/>
  </si>
  <si>
    <t>NSP160-0057264</t>
    <phoneticPr fontId="13"/>
  </si>
  <si>
    <t>未納の為抹消できず11/26完納済み</t>
    <rPh sb="0" eb="2">
      <t>ミノウ</t>
    </rPh>
    <rPh sb="3" eb="4">
      <t>タメ</t>
    </rPh>
    <rPh sb="4" eb="6">
      <t>マッショウ</t>
    </rPh>
    <rPh sb="14" eb="16">
      <t>カンノウ</t>
    </rPh>
    <rPh sb="16" eb="17">
      <t>ズ</t>
    </rPh>
    <phoneticPr fontId="13"/>
  </si>
  <si>
    <t>宇都宮 530 に 639</t>
    <rPh sb="0" eb="3">
      <t>ウツノミヤ</t>
    </rPh>
    <phoneticPr fontId="13"/>
  </si>
  <si>
    <t>五月女 玉江</t>
    <rPh sb="0" eb="2">
      <t>サツキ</t>
    </rPh>
    <rPh sb="2" eb="3">
      <t>オンナ</t>
    </rPh>
    <rPh sb="4" eb="5">
      <t>タマ</t>
    </rPh>
    <rPh sb="5" eb="6">
      <t>エ</t>
    </rPh>
    <phoneticPr fontId="13"/>
  </si>
  <si>
    <t>浜松 330 て 6782</t>
    <rPh sb="0" eb="2">
      <t>ハママツ</t>
    </rPh>
    <phoneticPr fontId="13"/>
  </si>
  <si>
    <t>土井 勝之</t>
    <rPh sb="0" eb="2">
      <t>ツチイ</t>
    </rPh>
    <rPh sb="3" eb="5">
      <t>カツユキ</t>
    </rPh>
    <phoneticPr fontId="13"/>
  </si>
  <si>
    <t>301 ね 4137</t>
    <phoneticPr fontId="13"/>
  </si>
  <si>
    <t>301 ね 4136</t>
    <phoneticPr fontId="13"/>
  </si>
  <si>
    <t>301 ね 4135</t>
    <phoneticPr fontId="13"/>
  </si>
  <si>
    <t>301 ね 4134</t>
    <phoneticPr fontId="13"/>
  </si>
  <si>
    <t>？</t>
    <phoneticPr fontId="13"/>
  </si>
  <si>
    <t>ｼﾄﾛｴﾝ C5 ｴｱｸﾛｽ ｼｬｲﾝ</t>
    <phoneticPr fontId="13"/>
  </si>
  <si>
    <t>VR7AJEHZRLL066009</t>
    <phoneticPr fontId="13"/>
  </si>
  <si>
    <t>ﾅﾝﾊﾞｰ持ち出し中USS神戸渡しOK</t>
    <rPh sb="5" eb="6">
      <t>モ</t>
    </rPh>
    <rPh sb="7" eb="8">
      <t>ダ</t>
    </rPh>
    <rPh sb="9" eb="10">
      <t>チュウ</t>
    </rPh>
    <rPh sb="13" eb="15">
      <t>コウベ</t>
    </rPh>
    <rPh sb="15" eb="16">
      <t>ワタ</t>
    </rPh>
    <phoneticPr fontId="13"/>
  </si>
  <si>
    <t>ﾃｨｰｽﾞ名変</t>
    <rPh sb="5" eb="7">
      <t>メイヘン</t>
    </rPh>
    <phoneticPr fontId="13"/>
  </si>
  <si>
    <t>神戸 581 も 8726</t>
    <rPh sb="0" eb="2">
      <t>コウベ</t>
    </rPh>
    <phoneticPr fontId="13"/>
  </si>
  <si>
    <t>株式会社BUDDICA</t>
    <rPh sb="0" eb="4">
      <t>カブシキガイシャ</t>
    </rPh>
    <phoneticPr fontId="13"/>
  </si>
  <si>
    <t>直送</t>
    <rPh sb="0" eb="2">
      <t>チョクソウ</t>
    </rPh>
    <phoneticPr fontId="13"/>
  </si>
  <si>
    <t>福岡 391 ゆ 117</t>
    <rPh sb="0" eb="2">
      <t>フクオカ</t>
    </rPh>
    <phoneticPr fontId="13"/>
  </si>
  <si>
    <t>株式会社ﾈｸｽﾃｰｼﾞ</t>
    <rPh sb="0" eb="4">
      <t>カブシキガイシャ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</si>
  <si>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</si>
  <si>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保証書 取説 ｽﾍﾟｱｷｰ ﾘﾓｺﾝ ﾜﾝｵｰﾅｰ</t>
    <rPh sb="0" eb="3">
      <t>ホショウショ</t>
    </rPh>
    <rPh sb="4" eb="6">
      <t>トリセツ</t>
    </rPh>
    <phoneticPr fontId="13"/>
  </si>
  <si>
    <t>TAA近畿</t>
    <rPh sb="3" eb="5">
      <t>キンキ</t>
    </rPh>
    <phoneticPr fontId="13"/>
  </si>
  <si>
    <t>27-1877</t>
  </si>
  <si>
    <t>27-1878</t>
  </si>
  <si>
    <t>27-1879</t>
  </si>
  <si>
    <t>27-1880</t>
  </si>
  <si>
    <t>27-1881</t>
  </si>
  <si>
    <t>27-1882</t>
  </si>
  <si>
    <t>27-1883</t>
  </si>
  <si>
    <t>27-1884</t>
  </si>
  <si>
    <t>27-1885</t>
  </si>
  <si>
    <t>27-1886</t>
  </si>
  <si>
    <t>27-1887</t>
  </si>
  <si>
    <t>27-1888</t>
  </si>
  <si>
    <t>27-1889</t>
  </si>
  <si>
    <t>27-1890</t>
  </si>
  <si>
    <t>27-1891</t>
  </si>
  <si>
    <t>27-1892</t>
  </si>
  <si>
    <t>27-1893</t>
  </si>
  <si>
    <t>27-1894</t>
  </si>
  <si>
    <t>27-1895</t>
  </si>
  <si>
    <t>LUN名古屋</t>
    <rPh sb="3" eb="6">
      <t>ナゴヤ</t>
    </rPh>
    <phoneticPr fontId="13"/>
  </si>
  <si>
    <t>27-1896</t>
  </si>
  <si>
    <t xml:space="preserve"> LA350S-0184890</t>
    <phoneticPr fontId="13"/>
  </si>
  <si>
    <t>LA350S-0246998</t>
    <phoneticPr fontId="13"/>
  </si>
  <si>
    <t>LA900S-0123724</t>
    <phoneticPr fontId="13"/>
  </si>
  <si>
    <t>LA160S-2008394</t>
    <phoneticPr fontId="13"/>
  </si>
  <si>
    <t>27-1897</t>
  </si>
  <si>
    <t>27-1898</t>
  </si>
  <si>
    <t>27-1899</t>
  </si>
  <si>
    <t>27-1900</t>
  </si>
  <si>
    <t>27-1901</t>
  </si>
  <si>
    <t>27-1902</t>
  </si>
  <si>
    <t>ﾍﾞｲｵｰｸ</t>
    <phoneticPr fontId="13"/>
  </si>
  <si>
    <t>6/7</t>
    <phoneticPr fontId="13"/>
  </si>
  <si>
    <t>DA17V-764652</t>
    <phoneticPr fontId="13"/>
  </si>
  <si>
    <t>28/11</t>
    <phoneticPr fontId="13"/>
  </si>
  <si>
    <t>ﾜｺﾞﾝR FX</t>
    <phoneticPr fontId="13"/>
  </si>
  <si>
    <t>MH34S-445487</t>
    <phoneticPr fontId="13"/>
  </si>
  <si>
    <t>2/4</t>
    <phoneticPr fontId="13"/>
  </si>
  <si>
    <t>ﾀﾝﾄ ｶｽﾀﾑ RSｾﾚｸｼｮﾝ</t>
    <phoneticPr fontId="13"/>
  </si>
  <si>
    <t>LA650S-1039375</t>
    <phoneticPr fontId="13"/>
  </si>
  <si>
    <t>CAA中部(まとめ)</t>
    <rPh sb="3" eb="5">
      <t>チュウブ</t>
    </rPh>
    <phoneticPr fontId="13"/>
  </si>
  <si>
    <t>27-1903</t>
  </si>
  <si>
    <t>3/3</t>
    <phoneticPr fontId="13"/>
  </si>
  <si>
    <t>ｴﾌﾞﾘｲﾜｺﾞﾝ PZﾀｰﾎﾞｽﾍﾟｼｬﾙ</t>
    <phoneticPr fontId="13"/>
  </si>
  <si>
    <t>DA17W-262789</t>
    <phoneticPr fontId="13"/>
  </si>
  <si>
    <t>浜松 581 ま 1472</t>
    <rPh sb="0" eb="2">
      <t>ハママツ</t>
    </rPh>
    <phoneticPr fontId="13"/>
  </si>
  <si>
    <t>保証書 取説 予備ｷｰ ﾅﾋﾞ取</t>
    <rPh sb="0" eb="3">
      <t>ホショウショ</t>
    </rPh>
    <rPh sb="4" eb="6">
      <t>トリセツ</t>
    </rPh>
    <rPh sb="7" eb="9">
      <t>ヨビ</t>
    </rPh>
    <rPh sb="15" eb="16">
      <t>トリ</t>
    </rPh>
    <phoneticPr fontId="13"/>
  </si>
  <si>
    <t>2/3</t>
    <phoneticPr fontId="13"/>
  </si>
  <si>
    <t>白</t>
    <rPh sb="0" eb="1">
      <t>シロ</t>
    </rPh>
    <phoneticPr fontId="13"/>
  </si>
  <si>
    <t>ﾎﾞﾙﾎﾞ XC40</t>
    <phoneticPr fontId="13"/>
  </si>
  <si>
    <t>YV1XZACMDL2292225</t>
    <phoneticPr fontId="13"/>
  </si>
  <si>
    <t>9/3</t>
    <phoneticPr fontId="13"/>
  </si>
  <si>
    <t>8/3</t>
    <phoneticPr fontId="13"/>
  </si>
  <si>
    <t>富山 356 に 8008</t>
    <rPh sb="0" eb="2">
      <t>トヤマ</t>
    </rPh>
    <phoneticPr fontId="13"/>
  </si>
  <si>
    <t>保証書</t>
    <rPh sb="0" eb="3">
      <t>ホショウショ</t>
    </rPh>
    <phoneticPr fontId="13"/>
  </si>
  <si>
    <t>21/10</t>
    <phoneticPr fontId="13"/>
  </si>
  <si>
    <t>ｼﾞﾑﾆｰ ﾗﾝﾄﾞﾍﾞﾝﾁｬｰ</t>
    <phoneticPr fontId="13"/>
  </si>
  <si>
    <t>JB23W-615212</t>
    <phoneticPr fontId="13"/>
  </si>
  <si>
    <t>8/10</t>
    <phoneticPr fontId="13"/>
  </si>
  <si>
    <t>岐阜 582 も 9696</t>
    <rPh sb="0" eb="2">
      <t>ギフ</t>
    </rPh>
    <phoneticPr fontId="13"/>
  </si>
  <si>
    <t>31/3</t>
    <phoneticPr fontId="13"/>
  </si>
  <si>
    <t>BMW 6ｼﾘｰｽﾞ</t>
    <phoneticPr fontId="13"/>
  </si>
  <si>
    <t>WBAJX62070BJ23960</t>
    <phoneticPr fontId="13"/>
  </si>
  <si>
    <t>USS東京</t>
    <rPh sb="3" eb="5">
      <t>トウキョウ</t>
    </rPh>
    <phoneticPr fontId="13"/>
  </si>
  <si>
    <t>26/8</t>
    <phoneticPr fontId="13"/>
  </si>
  <si>
    <t>ﾗﾝﾄﾞﾛｰﾊﾞｰﾚﾝｼﾞﾛｰﾊﾞｰ3.0V6</t>
    <phoneticPr fontId="13"/>
  </si>
  <si>
    <t>SALGA2VE0EA179615</t>
    <phoneticPr fontId="13"/>
  </si>
  <si>
    <t>青</t>
    <rPh sb="0" eb="1">
      <t>アオ</t>
    </rPh>
    <phoneticPr fontId="13"/>
  </si>
  <si>
    <t>BMWﾐﾆｸｰﾊﾟｰ 2WD</t>
    <phoneticPr fontId="13"/>
  </si>
  <si>
    <t>WMW42BT0503N02548</t>
    <phoneticPr fontId="13"/>
  </si>
  <si>
    <t>1/11</t>
    <phoneticPr fontId="13"/>
  </si>
  <si>
    <t>整備手帳</t>
    <rPh sb="0" eb="4">
      <t>セイビテチョウ</t>
    </rPh>
    <phoneticPr fontId="13"/>
  </si>
  <si>
    <t>3/2</t>
    <phoneticPr fontId="13"/>
  </si>
  <si>
    <t>紫</t>
    <rPh sb="0" eb="1">
      <t>ムラサキ</t>
    </rPh>
    <phoneticPr fontId="13"/>
  </si>
  <si>
    <t xml:space="preserve">保証書 </t>
    <rPh sb="0" eb="3">
      <t>ホショウショ</t>
    </rPh>
    <phoneticPr fontId="13"/>
  </si>
  <si>
    <t>5/1</t>
    <phoneticPr fontId="13"/>
  </si>
  <si>
    <t>ﾀﾌﾄ Gﾀﾞｰｸｸﾛﾑ ﾍﾞﾝﾁｬｰ</t>
    <phoneticPr fontId="13"/>
  </si>
  <si>
    <t>ﾑｰﾌﾞ 4WD X ﾘﾐﾃｯﾄﾞ2</t>
    <phoneticPr fontId="13"/>
  </si>
  <si>
    <t>整備手帳 ﾚﾝﾀｶｰ</t>
    <rPh sb="0" eb="4">
      <t>セイビテチョウ</t>
    </rPh>
    <phoneticPr fontId="13"/>
  </si>
  <si>
    <t>ｴﾌﾞﾘｨｼﾞｮｲﾝ</t>
    <phoneticPr fontId="13"/>
  </si>
  <si>
    <t>8/7/3</t>
    <phoneticPr fontId="13"/>
  </si>
  <si>
    <t>保証書 取説</t>
    <rPh sb="0" eb="3">
      <t>ホショウショ</t>
    </rPh>
    <rPh sb="4" eb="6">
      <t>トリセツ</t>
    </rPh>
    <phoneticPr fontId="13"/>
  </si>
  <si>
    <t>記録簿 取説 ｽﾍﾟｱｷｰ 地図SD</t>
    <rPh sb="0" eb="3">
      <t>キロクボ</t>
    </rPh>
    <rPh sb="4" eb="6">
      <t>トリセツ</t>
    </rPh>
    <rPh sb="14" eb="16">
      <t>チズ</t>
    </rPh>
    <phoneticPr fontId="13"/>
  </si>
  <si>
    <t>黒</t>
    <rPh sb="0" eb="1">
      <t>クロ</t>
    </rPh>
    <phoneticPr fontId="13"/>
  </si>
  <si>
    <t>9/4</t>
    <phoneticPr fontId="13"/>
  </si>
  <si>
    <t>保証書 取説 ｽﾏｰﾄｷｰ</t>
    <rPh sb="0" eb="3">
      <t>ホショウショ</t>
    </rPh>
    <rPh sb="4" eb="6">
      <t>トリセツ</t>
    </rPh>
    <phoneticPr fontId="13"/>
  </si>
  <si>
    <t>ﾐﾗｲﾌﾞ大阪(ｱｲｵｰｸ)</t>
    <rPh sb="5" eb="7">
      <t>オオサカ</t>
    </rPh>
    <phoneticPr fontId="13"/>
  </si>
  <si>
    <t>5/9</t>
    <phoneticPr fontId="13"/>
  </si>
  <si>
    <t>ｽﾃｯﾌﾟﾜｺﾞﾝ eHEVｽﾊﾟｰﾀﾞ</t>
    <phoneticPr fontId="13"/>
  </si>
  <si>
    <t>RP8-1042416</t>
    <phoneticPr fontId="13"/>
  </si>
  <si>
    <t>31/2</t>
    <phoneticPr fontId="13"/>
  </si>
  <si>
    <t>赤</t>
    <rPh sb="0" eb="1">
      <t>アカ</t>
    </rPh>
    <phoneticPr fontId="13"/>
  </si>
  <si>
    <t>ZWA10-2346744</t>
    <phoneticPr fontId="13"/>
  </si>
  <si>
    <t>ﾚｸｻｽ CT 200hﾊﾞｰｼﾞｮﾝC</t>
    <phoneticPr fontId="13"/>
  </si>
  <si>
    <t>8/2</t>
    <phoneticPr fontId="13"/>
  </si>
  <si>
    <t>京都 357 と 505</t>
    <rPh sb="0" eb="2">
      <t>キョウト</t>
    </rPh>
    <phoneticPr fontId="13"/>
  </si>
  <si>
    <t>保証書 取説 ﾅﾋﾞ取 ｽﾍﾟｱｷｰﾒｶｷｰなし</t>
    <rPh sb="0" eb="3">
      <t>ホショウショ</t>
    </rPh>
    <rPh sb="4" eb="6">
      <t>トリセツ</t>
    </rPh>
    <rPh sb="10" eb="11">
      <t>トリ</t>
    </rPh>
    <phoneticPr fontId="13"/>
  </si>
  <si>
    <t>2/11</t>
    <phoneticPr fontId="13"/>
  </si>
  <si>
    <t>ﾏﾂﾀﾞ 3ｾﾀﾞﾝ 20S Lﾊﾟｯｹｰｼﾞ</t>
    <phoneticPr fontId="13"/>
  </si>
  <si>
    <t>BPFP-115758</t>
    <phoneticPr fontId="13"/>
  </si>
  <si>
    <t>保証書 取説 ﾅﾋﾞ取 SD</t>
    <rPh sb="0" eb="3">
      <t>ホショウショ</t>
    </rPh>
    <rPh sb="4" eb="6">
      <t>トリセツ</t>
    </rPh>
    <rPh sb="10" eb="11">
      <t>トリ</t>
    </rPh>
    <phoneticPr fontId="13"/>
  </si>
  <si>
    <t>28/12</t>
    <phoneticPr fontId="13"/>
  </si>
  <si>
    <t>ﾌﾟﾘｳｽ ｱﾙﾌｧ Sﾂｰﾘﾝｸﾞｾﾚｸｼｮﾝ</t>
    <phoneticPr fontId="13"/>
  </si>
  <si>
    <t>ZVW41-0054378</t>
    <phoneticPr fontId="13"/>
  </si>
  <si>
    <t>取説 SD B-CAS</t>
    <rPh sb="0" eb="2">
      <t>トリセツ</t>
    </rPh>
    <phoneticPr fontId="13"/>
  </si>
  <si>
    <t>30/10</t>
    <phoneticPr fontId="13"/>
  </si>
  <si>
    <t xml:space="preserve">ｽｲﾌﾄｽﾎﾟｰﾂ </t>
    <phoneticPr fontId="13"/>
  </si>
  <si>
    <t>ZC33S-115627</t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</si>
  <si>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</si>
  <si>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5/10</t>
    <phoneticPr fontId="13"/>
  </si>
  <si>
    <t>紺</t>
    <rPh sb="0" eb="1">
      <t>コン</t>
    </rPh>
    <phoneticPr fontId="13"/>
  </si>
  <si>
    <t>ﾜｺﾞﾝR ｽﾏｲﾙ ﾊｲﾌﾞﾘｯﾄﾞX</t>
    <phoneticPr fontId="13"/>
  </si>
  <si>
    <t>MX91S-206927</t>
    <phoneticPr fontId="13"/>
  </si>
  <si>
    <t>ｽﾍﾟｱｷｰ</t>
    <phoneticPr fontId="13"/>
  </si>
  <si>
    <t>ｽﾍﾟｰｼｱｷﾞｱ ﾏｲｽﾀｲﾙ</t>
    <phoneticPr fontId="13"/>
  </si>
  <si>
    <t>JF3-5028768</t>
    <phoneticPr fontId="13"/>
  </si>
  <si>
    <t>4/2</t>
    <phoneticPr fontId="13"/>
  </si>
  <si>
    <t>ﾙｰｸｽﾊｲｳｪｲｽﾀｰX</t>
    <phoneticPr fontId="13"/>
  </si>
  <si>
    <t>B44A-0101877</t>
    <phoneticPr fontId="13"/>
  </si>
  <si>
    <t>9/2</t>
    <phoneticPr fontId="13"/>
  </si>
  <si>
    <t>奈良 584 そ 1551</t>
    <rPh sb="0" eb="2">
      <t>ナラ</t>
    </rPh>
    <phoneticPr fontId="13"/>
  </si>
  <si>
    <t>HAA神戸(ﾜﾝｸﾘ)</t>
    <rPh sb="3" eb="5">
      <t>コウベ</t>
    </rPh>
    <phoneticPr fontId="13"/>
  </si>
  <si>
    <t>株式会社IDOM</t>
    <rPh sb="0" eb="4">
      <t>カブシキガイシャ</t>
    </rPh>
    <phoneticPr fontId="13"/>
  </si>
  <si>
    <t>11/27</t>
    <phoneticPr fontId="13"/>
  </si>
  <si>
    <t>大川 修</t>
    <rPh sb="0" eb="2">
      <t>オオカワ</t>
    </rPh>
    <rPh sb="3" eb="4">
      <t>シュウ</t>
    </rPh>
    <phoneticPr fontId="13"/>
  </si>
  <si>
    <t>保証書 取説 ﾅﾋﾞ取 ｷｰﾚｽ SD B-CAS</t>
    <rPh sb="0" eb="3">
      <t>ホショウショ</t>
    </rPh>
    <rPh sb="4" eb="6">
      <t>トリセツ</t>
    </rPh>
    <rPh sb="10" eb="11">
      <t>トリ</t>
    </rPh>
    <phoneticPr fontId="13"/>
  </si>
  <si>
    <t>株式会社ﾔﾅｾ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</si>
  <si>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</si>
  <si>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福山 501 に 7968</t>
    <rPh sb="0" eb="2">
      <t>フクヤマ</t>
    </rPh>
    <phoneticPr fontId="13"/>
  </si>
  <si>
    <t>保証書 取説←ｽﾄｯｸ</t>
    <rPh sb="0" eb="3">
      <t>ホショウショ</t>
    </rPh>
    <rPh sb="4" eb="6">
      <t>トリセツ</t>
    </rPh>
    <phoneticPr fontId="13"/>
  </si>
  <si>
    <t>愛知ｽｽﾞｷ販売株式会社</t>
    <rPh sb="0" eb="2">
      <t>アイチ</t>
    </rPh>
    <rPh sb="6" eb="8">
      <t>ハンバイ</t>
    </rPh>
    <rPh sb="8" eb="12">
      <t>カブシキガイシャ</t>
    </rPh>
    <phoneticPr fontId="13"/>
  </si>
  <si>
    <t>有限会社ｵｵｽ</t>
    <rPh sb="0" eb="4">
      <t>ユウゲンカイシャ</t>
    </rPh>
    <phoneticPr fontId="13"/>
  </si>
  <si>
    <t>保証書 取説 ﾅﾋﾞ取 ﾘﾓｺﾝ</t>
    <rPh sb="0" eb="3">
      <t>ホショウショ</t>
    </rPh>
    <rPh sb="4" eb="6">
      <t>トリセツ</t>
    </rPh>
    <rPh sb="10" eb="11">
      <t>トリ</t>
    </rPh>
    <phoneticPr fontId="13"/>
  </si>
  <si>
    <t>有限会社ｵｰﾄｸﾞﾗﾝﾃﾞｨ</t>
    <rPh sb="0" eb="4">
      <t>ユウゲンカイシャ</t>
    </rPh>
    <phoneticPr fontId="13"/>
  </si>
  <si>
    <t>福井 589 ゆ 1001</t>
    <rPh sb="0" eb="2">
      <t>フクイ</t>
    </rPh>
    <phoneticPr fontId="13"/>
  </si>
  <si>
    <t>株式会社T‘ｌｉｎｅ</t>
    <rPh sb="0" eb="4">
      <t>カブシキガイシャ</t>
    </rPh>
    <phoneticPr fontId="13"/>
  </si>
  <si>
    <t>日産大阪販売株式会社</t>
    <rPh sb="0" eb="2">
      <t>ニッサン</t>
    </rPh>
    <rPh sb="2" eb="4">
      <t>オオサカ</t>
    </rPh>
    <rPh sb="4" eb="10">
      <t>ハンバイカブシキガイシャ</t>
    </rPh>
    <phoneticPr fontId="13"/>
  </si>
  <si>
    <t>保証書 取説 ﾅﾋﾞ取 ﾘﾓｺﾝ ﾜﾝｵｰﾅｰ</t>
    <rPh sb="0" eb="3">
      <t>ホショウショ</t>
    </rPh>
    <rPh sb="4" eb="6">
      <t>トリセツ</t>
    </rPh>
    <rPh sb="10" eb="11">
      <t>トリ</t>
    </rPh>
    <phoneticPr fontId="13"/>
  </si>
  <si>
    <t>三昌自動車株式会社</t>
    <rPh sb="0" eb="1">
      <t>サン</t>
    </rPh>
    <rPh sb="1" eb="2">
      <t>ショウ</t>
    </rPh>
    <rPh sb="2" eb="5">
      <t>ジドウシャ</t>
    </rPh>
    <rPh sb="5" eb="9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</si>
  <si>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</si>
  <si>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581 せ 3322</t>
    <phoneticPr fontId="13"/>
  </si>
  <si>
    <t>山路 勇士郎</t>
    <rPh sb="0" eb="1">
      <t>ヤマ</t>
    </rPh>
    <rPh sb="1" eb="2">
      <t>ジ</t>
    </rPh>
    <rPh sb="3" eb="4">
      <t>イサム</t>
    </rPh>
    <rPh sb="4" eb="6">
      <t>シロウ</t>
    </rPh>
    <phoneticPr fontId="13"/>
  </si>
  <si>
    <t>名古屋 582 す 8555</t>
    <rPh sb="0" eb="3">
      <t>ナゴヤ</t>
    </rPh>
    <phoneticPr fontId="13"/>
  </si>
  <si>
    <t>亀井 明</t>
    <rPh sb="0" eb="2">
      <t>カメイ</t>
    </rPh>
    <rPh sb="3" eb="4">
      <t>アキラ</t>
    </rPh>
    <phoneticPr fontId="13"/>
  </si>
  <si>
    <t>大宮 799 ろ 501</t>
    <rPh sb="0" eb="2">
      <t>オオミヤ</t>
    </rPh>
    <phoneticPr fontId="13"/>
  </si>
  <si>
    <t>株式会社ﾀｳ</t>
    <rPh sb="0" eb="4">
      <t>カブシキガイシャ</t>
    </rPh>
    <phoneticPr fontId="13"/>
  </si>
  <si>
    <t>TAA関東</t>
    <rPh sb="3" eb="5">
      <t>カントウ</t>
    </rPh>
    <phoneticPr fontId="13"/>
  </si>
  <si>
    <t>1/8</t>
    <phoneticPr fontId="13"/>
  </si>
  <si>
    <t>BMW X1 xdrive18d</t>
    <phoneticPr fontId="13"/>
  </si>
  <si>
    <t>WBAHT920X05N86881</t>
    <phoneticPr fontId="13"/>
  </si>
  <si>
    <t>USS神戸</t>
    <rPh sb="3" eb="5">
      <t>コウベ</t>
    </rPh>
    <phoneticPr fontId="13"/>
  </si>
  <si>
    <t>582 い 5318</t>
    <phoneticPr fontId="13"/>
  </si>
  <si>
    <t>TAA近畿(ﾜﾝﾌﾟﾗ)</t>
    <rPh sb="3" eb="5">
      <t>キンキ</t>
    </rPh>
    <phoneticPr fontId="13"/>
  </si>
  <si>
    <t>和泉 393 ま 10</t>
    <rPh sb="0" eb="2">
      <t>イズミ</t>
    </rPh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</si>
  <si>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</si>
  <si>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保証書 取説 (車内) 記録間違ってる？2/2月分</t>
    <rPh sb="0" eb="3">
      <t>ホショウショ</t>
    </rPh>
    <rPh sb="4" eb="6">
      <t>トリセツ</t>
    </rPh>
    <rPh sb="8" eb="10">
      <t>シャナイ</t>
    </rPh>
    <rPh sb="12" eb="14">
      <t>キロク</t>
    </rPh>
    <rPh sb="14" eb="16">
      <t>マチガ</t>
    </rPh>
    <rPh sb="23" eb="24">
      <t>ガツ</t>
    </rPh>
    <rPh sb="24" eb="25">
      <t>ブン</t>
    </rPh>
    <phoneticPr fontId="13"/>
  </si>
  <si>
    <t>名古屋 322 に 7788</t>
    <rPh sb="0" eb="3">
      <t>ナゴヤ</t>
    </rPh>
    <phoneticPr fontId="13"/>
  </si>
  <si>
    <t>ﾔﾅｾﾊﾞｲｴﾙﾝﾓｰﾀｰｽﾞ株式会社</t>
    <rPh sb="15" eb="19">
      <t>カブシキガイシャ</t>
    </rPh>
    <phoneticPr fontId="13"/>
  </si>
  <si>
    <t>関西自動車株式会社</t>
    <rPh sb="0" eb="2">
      <t>カンサイ</t>
    </rPh>
    <rPh sb="2" eb="5">
      <t>ジドウシャ</t>
    </rPh>
    <rPh sb="5" eb="9">
      <t>カブシキガイシャ</t>
    </rPh>
    <phoneticPr fontId="13"/>
  </si>
  <si>
    <t>大阪 399 ゆ 365</t>
    <rPh sb="0" eb="2">
      <t>オオサカ</t>
    </rPh>
    <phoneticPr fontId="13"/>
  </si>
  <si>
    <t>神戸 346 の 8558</t>
    <rPh sb="0" eb="2">
      <t>コウベ</t>
    </rPh>
    <phoneticPr fontId="13"/>
  </si>
  <si>
    <t>ﾄﾖﾀｶﾛｰﾗ神戸株式会社</t>
    <rPh sb="7" eb="9">
      <t>コウベ</t>
    </rPh>
    <rPh sb="9" eb="13">
      <t>カブシキガイシャ</t>
    </rPh>
    <phoneticPr fontId="13"/>
  </si>
  <si>
    <t>名古屋 530 ひ 5033</t>
    <rPh sb="0" eb="3">
      <t>ナゴヤ</t>
    </rPh>
    <phoneticPr fontId="13"/>
  </si>
  <si>
    <t>ﾈｯﾂﾄﾖﾀ福井株式会社</t>
    <rPh sb="6" eb="8">
      <t>フクイ</t>
    </rPh>
    <rPh sb="8" eb="12">
      <t>カブシキガイシャ</t>
    </rPh>
    <phoneticPr fontId="13"/>
  </si>
  <si>
    <t>名古屋 326 み 4865</t>
    <rPh sb="0" eb="3">
      <t>ナゴヤ</t>
    </rPh>
    <phoneticPr fontId="13"/>
  </si>
  <si>
    <t>名古屋 306 ゆ 2855</t>
    <rPh sb="0" eb="3">
      <t>ナゴヤ</t>
    </rPh>
    <phoneticPr fontId="13"/>
  </si>
  <si>
    <t>神戸 31F ひ 17</t>
    <rPh sb="0" eb="2">
      <t>コウベ</t>
    </rPh>
    <phoneticPr fontId="13"/>
  </si>
  <si>
    <t>なにわ 400 み 5637</t>
    <phoneticPr fontId="13"/>
  </si>
  <si>
    <t>大阪 480 む 7172</t>
    <rPh sb="0" eb="2">
      <t>オオサカ</t>
    </rPh>
    <phoneticPr fontId="13"/>
  </si>
  <si>
    <t>株式会社ｴｰｽ・ｵｰﾄﾘｰｽ</t>
    <rPh sb="0" eb="4">
      <t>カブシキガイシャ</t>
    </rPh>
    <phoneticPr fontId="13"/>
  </si>
  <si>
    <t>湘南 580 ひ 4938</t>
    <rPh sb="0" eb="2">
      <t>ショウナン</t>
    </rPh>
    <phoneticPr fontId="13"/>
  </si>
  <si>
    <t>桑田 武</t>
    <rPh sb="0" eb="2">
      <t>クワタ</t>
    </rPh>
    <rPh sb="3" eb="4">
      <t>タケ</t>
    </rPh>
    <phoneticPr fontId="13"/>
  </si>
  <si>
    <t>相模 332 ろ 291</t>
    <rPh sb="0" eb="1">
      <t>アイ</t>
    </rPh>
    <rPh sb="1" eb="2">
      <t>モ</t>
    </rPh>
    <phoneticPr fontId="13"/>
  </si>
  <si>
    <t>井草 祐一</t>
    <rPh sb="0" eb="2">
      <t>イグサ</t>
    </rPh>
    <rPh sb="3" eb="5">
      <t>ユウイチ</t>
    </rPh>
    <phoneticPr fontId="13"/>
  </si>
  <si>
    <t>尾張小牧 589 ろ 8086</t>
    <rPh sb="0" eb="4">
      <t>オワリコマキ</t>
    </rPh>
    <phoneticPr fontId="13"/>
  </si>
  <si>
    <t>27-1904</t>
  </si>
  <si>
    <t>WBA32AD0105S14809</t>
    <phoneticPr fontId="13"/>
  </si>
  <si>
    <t>27-1905</t>
  </si>
  <si>
    <t>27-1906</t>
  </si>
  <si>
    <t>WMWWG720703C83197</t>
    <phoneticPr fontId="13"/>
  </si>
  <si>
    <t>多摩 499 つ 8769</t>
    <rPh sb="0" eb="2">
      <t>タマ</t>
    </rPh>
    <phoneticPr fontId="13"/>
  </si>
  <si>
    <t>27-1907</t>
  </si>
  <si>
    <t>27-1908</t>
  </si>
  <si>
    <t>27-1909</t>
  </si>
  <si>
    <t>27-1910</t>
  </si>
  <si>
    <t>27-1911</t>
  </si>
  <si>
    <t>27-1912</t>
  </si>
  <si>
    <t>27-1913</t>
  </si>
  <si>
    <t>27-1914</t>
  </si>
  <si>
    <t>27-1915</t>
  </si>
  <si>
    <t>27-1916</t>
  </si>
  <si>
    <t>27-1917</t>
  </si>
  <si>
    <t>27-1918</t>
  </si>
  <si>
    <t>27-1919</t>
  </si>
  <si>
    <t>27-1920</t>
  </si>
  <si>
    <t>MH34S-373653</t>
    <phoneticPr fontId="13"/>
  </si>
  <si>
    <t>JF3-1508262</t>
    <phoneticPr fontId="13"/>
  </si>
  <si>
    <t>LA700S-0079293</t>
    <phoneticPr fontId="13"/>
  </si>
  <si>
    <t>JF3-5332456</t>
    <phoneticPr fontId="13"/>
  </si>
  <si>
    <t>9/7/27</t>
    <phoneticPr fontId="13"/>
  </si>
  <si>
    <t>ｳｪｲｸ Gﾀｰﾎﾞ ﾚｼﾞｬｰｴﾃﾞｨｼｮﾝSA</t>
    <phoneticPr fontId="13"/>
  </si>
  <si>
    <t>MH95S-181568</t>
    <phoneticPr fontId="13"/>
  </si>
  <si>
    <t>保証書 取説 ｽﾏｰﾄｷｰ ﾚﾝﾀｶｰ</t>
    <rPh sb="0" eb="3">
      <t>ホショウショ</t>
    </rPh>
    <rPh sb="4" eb="6">
      <t>トリセツ</t>
    </rPh>
    <phoneticPr fontId="13"/>
  </si>
  <si>
    <t>ﾙｰｸｽ ﾊｲｳｪｲｽﾀｰX</t>
    <phoneticPr fontId="13"/>
  </si>
  <si>
    <t>B44A-0430740</t>
    <phoneticPr fontId="13"/>
  </si>
  <si>
    <t>岐阜 580 わ 9308</t>
    <rPh sb="0" eb="2">
      <t>ギフ</t>
    </rPh>
    <phoneticPr fontId="13"/>
  </si>
  <si>
    <t>ﾊｲｾﾞｯﾄｶｰｺﾞ DX ｶｰｺﾞｾﾊﾟﾚｰﾄ2ｼｰﾀｰ</t>
    <phoneticPr fontId="13"/>
  </si>
  <si>
    <t>S321V-0381914</t>
    <phoneticPr fontId="13"/>
  </si>
  <si>
    <t>尾張小牧 480 さ 2056</t>
    <rPh sb="0" eb="4">
      <t>オワリコマキ</t>
    </rPh>
    <phoneticPr fontId="13"/>
  </si>
  <si>
    <t>MK94S-286018</t>
    <phoneticPr fontId="13"/>
  </si>
  <si>
    <t>名古屋 58A ほ 8665</t>
    <rPh sb="0" eb="3">
      <t>ナゴヤ</t>
    </rPh>
    <phoneticPr fontId="13"/>
  </si>
  <si>
    <t>ｽﾍﾟｰｼｱｷﾞｱﾊｲﾌﾞﾘｯﾄﾞXZ</t>
    <phoneticPr fontId="13"/>
  </si>
  <si>
    <t>MK94S-299784</t>
    <phoneticPr fontId="13"/>
  </si>
  <si>
    <t>ｷｬｽﾄｱｸﾃｨﾊﾞ G SA2</t>
    <phoneticPr fontId="13"/>
  </si>
  <si>
    <t>LA250S-0061482</t>
    <phoneticPr fontId="13"/>
  </si>
  <si>
    <t>ﾙｰｸｽﾊｲｳｪｲｽﾀｰ ﾌﾟﾛﾊﾟｲﾛｯﾄｴﾃﾞｨｼｮﾝ</t>
    <phoneticPr fontId="13"/>
  </si>
  <si>
    <t>B44A-0025312</t>
    <phoneticPr fontId="13"/>
  </si>
  <si>
    <t>保証書 取説 SD ｽﾏｰﾄｷｰ</t>
    <rPh sb="0" eb="3">
      <t>ホショウショ</t>
    </rPh>
    <rPh sb="4" eb="6">
      <t>トリセツ</t>
    </rPh>
    <phoneticPr fontId="13"/>
  </si>
  <si>
    <t>VW ｺﾞﾙﾌﾄｩｰﾗﾝ TSI ﾊｲﾗｲﾝ</t>
    <phoneticPr fontId="13"/>
  </si>
  <si>
    <t>WVGZZZ1TZLW053120</t>
    <phoneticPr fontId="13"/>
  </si>
  <si>
    <t>A314071</t>
    <phoneticPr fontId="13"/>
  </si>
  <si>
    <t>ｼﾞｰﾌﾟﾗﾝｸﾞﾗｰ ｱﾝﾘﾐﾃｯﾄﾞｽﾎﾟｰﾂ</t>
    <phoneticPr fontId="13"/>
  </si>
  <si>
    <t>1C4HJWKG8DL580258</t>
    <phoneticPr fontId="13"/>
  </si>
  <si>
    <t>8/4/9</t>
    <phoneticPr fontId="13"/>
  </si>
  <si>
    <t>A314424</t>
    <phoneticPr fontId="13"/>
  </si>
  <si>
    <t>N-BOXｶｽﾀﾑﾀｰﾎﾞ SSﾊﾟｯｹｰｼﾞ</t>
    <phoneticPr fontId="13"/>
  </si>
  <si>
    <t>JF2-2205406</t>
    <phoneticPr fontId="13"/>
  </si>
  <si>
    <t>A314532</t>
    <phoneticPr fontId="13"/>
  </si>
  <si>
    <t>JF5-1168022</t>
    <phoneticPr fontId="13"/>
  </si>
  <si>
    <t>10/6/25</t>
    <phoneticPr fontId="13"/>
  </si>
  <si>
    <t>多摩 591 ろ 6978</t>
    <rPh sb="0" eb="2">
      <t>タマ</t>
    </rPh>
    <phoneticPr fontId="13"/>
  </si>
  <si>
    <t>なにわ 5P7 ろ 9590</t>
    <phoneticPr fontId="13"/>
  </si>
  <si>
    <t>SDなしTAA連絡くるかも 車内確認してもらう</t>
    <rPh sb="7" eb="9">
      <t>レンラク</t>
    </rPh>
    <rPh sb="14" eb="16">
      <t>シャナイ</t>
    </rPh>
    <rPh sb="16" eb="18">
      <t>カクニン</t>
    </rPh>
    <phoneticPr fontId="13"/>
  </si>
  <si>
    <t>多摩 499 つ 8699</t>
    <rPh sb="0" eb="2">
      <t>タマ</t>
    </rPh>
    <phoneticPr fontId="13"/>
  </si>
  <si>
    <t>多摩 592 ろ 3872</t>
    <rPh sb="0" eb="2">
      <t>タマ</t>
    </rPh>
    <phoneticPr fontId="13"/>
  </si>
  <si>
    <t>春日井 300 と 3756</t>
    <rPh sb="0" eb="3">
      <t>カスガイ</t>
    </rPh>
    <phoneticPr fontId="13"/>
  </si>
  <si>
    <t>仲里 英敏</t>
    <rPh sb="0" eb="2">
      <t>ナカサト</t>
    </rPh>
    <rPh sb="3" eb="5">
      <t>ヒデトシ</t>
    </rPh>
    <phoneticPr fontId="13"/>
  </si>
  <si>
    <t>相模 586 ゆ 178</t>
    <rPh sb="0" eb="2">
      <t>サガミ</t>
    </rPh>
    <phoneticPr fontId="13"/>
  </si>
  <si>
    <t>佐々木 敬二</t>
    <rPh sb="0" eb="3">
      <t>ササキ</t>
    </rPh>
    <rPh sb="4" eb="5">
      <t>ケイ</t>
    </rPh>
    <rPh sb="5" eb="6">
      <t>フタ</t>
    </rPh>
    <phoneticPr fontId="13"/>
  </si>
  <si>
    <t>市原 311 て 22</t>
    <rPh sb="0" eb="2">
      <t>イチハラ</t>
    </rPh>
    <phoneticPr fontId="13"/>
  </si>
  <si>
    <t>林 宏樹</t>
    <rPh sb="0" eb="1">
      <t>ハヤシ</t>
    </rPh>
    <rPh sb="2" eb="4">
      <t>ヒロキ</t>
    </rPh>
    <phoneticPr fontId="13"/>
  </si>
  <si>
    <t>荻原 卓也</t>
    <rPh sb="0" eb="2">
      <t>オギワラ</t>
    </rPh>
    <rPh sb="3" eb="5">
      <t>タクヤ</t>
    </rPh>
    <phoneticPr fontId="13"/>
  </si>
  <si>
    <t>保証書 取説 ｵｰﾃﾞｨｵ取説 ﾜﾝｵｰﾅｰ</t>
    <rPh sb="0" eb="3">
      <t>ホショウショ</t>
    </rPh>
    <rPh sb="4" eb="6">
      <t>トリセツ</t>
    </rPh>
    <rPh sb="13" eb="15">
      <t>トリセツ</t>
    </rPh>
    <phoneticPr fontId="13"/>
  </si>
  <si>
    <t>神戸 596 ろ 3119</t>
    <rPh sb="0" eb="2">
      <t>コウベ</t>
    </rPh>
    <phoneticPr fontId="13"/>
  </si>
  <si>
    <t>岡山 585 み 526</t>
    <rPh sb="0" eb="2">
      <t>オカヤマ</t>
    </rPh>
    <phoneticPr fontId="13"/>
  </si>
  <si>
    <t>藤原 史浦</t>
    <rPh sb="0" eb="2">
      <t>フジワラ</t>
    </rPh>
    <rPh sb="3" eb="4">
      <t>シ</t>
    </rPh>
    <rPh sb="4" eb="5">
      <t>ウラ</t>
    </rPh>
    <phoneticPr fontId="13"/>
  </si>
  <si>
    <t>出雲 480 あ 6457</t>
    <rPh sb="0" eb="2">
      <t>イヅモ</t>
    </rPh>
    <phoneticPr fontId="13"/>
  </si>
  <si>
    <t>持田 昭義</t>
    <rPh sb="0" eb="2">
      <t>モチダ</t>
    </rPh>
    <rPh sb="3" eb="5">
      <t>アキヨシ</t>
    </rPh>
    <phoneticPr fontId="13"/>
  </si>
  <si>
    <t>岡山 581 な 8484</t>
    <rPh sb="0" eb="2">
      <t>オカヤマ</t>
    </rPh>
    <phoneticPr fontId="13"/>
  </si>
  <si>
    <t>ｽﾏｰﾄｷｰ車内2個あり</t>
    <rPh sb="6" eb="8">
      <t>シャナイ</t>
    </rPh>
    <rPh sb="9" eb="10">
      <t>コ</t>
    </rPh>
    <phoneticPr fontId="13"/>
  </si>
  <si>
    <t>奈良 583 き 5815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</si>
  <si>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</si>
  <si>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奈良 584 ろ 1875</t>
    <rPh sb="0" eb="2">
      <t>ナラ</t>
    </rPh>
    <phoneticPr fontId="13"/>
  </si>
  <si>
    <t>大澤 ふみ</t>
    <rPh sb="0" eb="2">
      <t>オオサワ</t>
    </rPh>
    <phoneticPr fontId="13"/>
  </si>
  <si>
    <t>三重 582 そ 8302</t>
    <rPh sb="0" eb="2">
      <t>ミエ</t>
    </rPh>
    <phoneticPr fontId="13"/>
  </si>
  <si>
    <t>保証書 取説(車内)ﾅﾝﾊﾞｰ</t>
    <rPh sb="0" eb="3">
      <t>ホショウショ</t>
    </rPh>
    <rPh sb="4" eb="6">
      <t>トリセツ</t>
    </rPh>
    <rPh sb="7" eb="9">
      <t>シャナイ</t>
    </rPh>
    <phoneticPr fontId="13"/>
  </si>
  <si>
    <t>三河 580 め 8774</t>
    <rPh sb="0" eb="2">
      <t>ミカワ</t>
    </rPh>
    <phoneticPr fontId="13"/>
  </si>
  <si>
    <t>三矢 悠里子</t>
    <rPh sb="0" eb="2">
      <t>ミツヤ</t>
    </rPh>
    <rPh sb="3" eb="6">
      <t>ユリコ</t>
    </rPh>
    <phoneticPr fontId="13"/>
  </si>
  <si>
    <t>VF7SXHNZTHT714477</t>
    <phoneticPr fontId="13"/>
  </si>
  <si>
    <t>堺 300 に 8863</t>
    <rPh sb="0" eb="1">
      <t>サカイ</t>
    </rPh>
    <phoneticPr fontId="13"/>
  </si>
  <si>
    <t>新井 長伸</t>
    <rPh sb="0" eb="2">
      <t>アライ</t>
    </rPh>
    <rPh sb="3" eb="4">
      <t>ナガ</t>
    </rPh>
    <rPh sb="4" eb="5">
      <t>ノブ</t>
    </rPh>
    <phoneticPr fontId="13"/>
  </si>
  <si>
    <t>記録紙1枚←付属品保管場所へ</t>
    <rPh sb="0" eb="3">
      <t>キロクシ</t>
    </rPh>
    <rPh sb="4" eb="5">
      <t>マイ</t>
    </rPh>
    <rPh sb="6" eb="9">
      <t>フゾクヒン</t>
    </rPh>
    <rPh sb="9" eb="11">
      <t>ホカン</t>
    </rPh>
    <rPh sb="11" eb="13">
      <t>バショ</t>
    </rPh>
    <phoneticPr fontId="13"/>
  </si>
  <si>
    <t>横浜 338 せ 56</t>
    <rPh sb="0" eb="2">
      <t>ヨコハマ</t>
    </rPh>
    <phoneticPr fontId="13"/>
  </si>
  <si>
    <t>保証書 取説 ｷｰﾚｽ ｽﾀｰﾄﾎﾞﾀﾝ</t>
    <rPh sb="0" eb="3">
      <t>ホショウショ</t>
    </rPh>
    <rPh sb="4" eb="6">
      <t>トリセツ</t>
    </rPh>
    <phoneticPr fontId="13"/>
  </si>
  <si>
    <t>福山 581 え 7983</t>
    <rPh sb="0" eb="2">
      <t>フクヤマ</t>
    </rPh>
    <phoneticPr fontId="13"/>
  </si>
  <si>
    <t>槇 和之</t>
    <rPh sb="0" eb="1">
      <t>マキ</t>
    </rPh>
    <rPh sb="2" eb="4">
      <t>カズユキ</t>
    </rPh>
    <phoneticPr fontId="13"/>
  </si>
  <si>
    <t>家守 利玄</t>
    <rPh sb="0" eb="2">
      <t>イエモリ</t>
    </rPh>
    <rPh sb="3" eb="4">
      <t>トシ</t>
    </rPh>
    <rPh sb="4" eb="5">
      <t>ゲン</t>
    </rPh>
    <phoneticPr fontId="13"/>
  </si>
  <si>
    <t>A314316</t>
    <phoneticPr fontId="13"/>
  </si>
  <si>
    <t>ｾﾞｽﾄｽﾊﾟｰｸ W</t>
    <phoneticPr fontId="13"/>
  </si>
  <si>
    <t>JE1-1411947</t>
    <phoneticPr fontId="13"/>
  </si>
  <si>
    <t>A.313820</t>
    <phoneticPr fontId="13"/>
  </si>
  <si>
    <t>ﾗﾝﾄﾞｸﾙｰｻﾞｰﾌﾟﾗﾄﾞ TX</t>
    <phoneticPr fontId="13"/>
  </si>
  <si>
    <t>GDJ150-0021203</t>
    <phoneticPr fontId="13"/>
  </si>
  <si>
    <t>DKEFW-200690</t>
    <phoneticPr fontId="13"/>
  </si>
  <si>
    <t>JW5-6201460</t>
    <phoneticPr fontId="13"/>
  </si>
  <si>
    <t>MK53S-630722</t>
    <phoneticPr fontId="13"/>
  </si>
  <si>
    <t>CX-3 20S ﾌﾟﾛｱｸﾃｨﾌﾞ</t>
    <phoneticPr fontId="13"/>
  </si>
  <si>
    <t xml:space="preserve">S660 ﾓﾃﾞｭｰﾛX </t>
    <phoneticPr fontId="13"/>
  </si>
  <si>
    <t>保証書 1月末名変</t>
    <rPh sb="0" eb="3">
      <t>ホショウショ</t>
    </rPh>
    <rPh sb="5" eb="9">
      <t>ガツマツメイヘン</t>
    </rPh>
    <phoneticPr fontId="13"/>
  </si>
  <si>
    <t>27-1921</t>
  </si>
  <si>
    <t>27-1922</t>
  </si>
  <si>
    <t>27-1923</t>
  </si>
  <si>
    <t>27-1924</t>
  </si>
  <si>
    <t>27-1925</t>
  </si>
  <si>
    <t>27-1926</t>
  </si>
  <si>
    <t>27-1927</t>
  </si>
  <si>
    <t>27-1928</t>
  </si>
  <si>
    <t>27-1929</t>
  </si>
  <si>
    <t>27-1930</t>
  </si>
  <si>
    <t>27-1931</t>
  </si>
  <si>
    <t>27-1932</t>
  </si>
  <si>
    <t>27-1933</t>
  </si>
  <si>
    <t>27-1934</t>
  </si>
  <si>
    <t>27-1935</t>
  </si>
  <si>
    <t>27-1936</t>
  </si>
  <si>
    <t>名古屋 58A ほ 8377</t>
    <rPh sb="0" eb="3">
      <t>ナゴヤ</t>
    </rPh>
    <phoneticPr fontId="13"/>
  </si>
  <si>
    <t>27-1937</t>
  </si>
  <si>
    <t>27-1938</t>
  </si>
  <si>
    <t>27-1939</t>
  </si>
  <si>
    <t>27-1940</t>
  </si>
  <si>
    <t>27-1941</t>
  </si>
  <si>
    <t>27-1942</t>
  </si>
  <si>
    <t>27-1943</t>
  </si>
  <si>
    <t>27-1944</t>
  </si>
  <si>
    <t>27-1945</t>
  </si>
  <si>
    <t>27-1946</t>
  </si>
  <si>
    <t>27-1947</t>
  </si>
  <si>
    <t>27-1948</t>
  </si>
  <si>
    <t>27-1949</t>
  </si>
  <si>
    <t>27-1950</t>
  </si>
  <si>
    <t>27-1951</t>
  </si>
  <si>
    <t>27-1952</t>
  </si>
  <si>
    <t>JF1-1899107</t>
    <phoneticPr fontId="13"/>
  </si>
  <si>
    <t>LA600S-0163885</t>
    <phoneticPr fontId="13"/>
  </si>
  <si>
    <t>ｼﾞﾑﾆｰ XL 4WD</t>
    <phoneticPr fontId="13"/>
  </si>
  <si>
    <t>JB64W-303916</t>
    <phoneticPr fontId="13"/>
  </si>
  <si>
    <t>ｱｸｱ G ｿﾌﾄﾚｻﾞｰｾﾚｸｼｮﾝ</t>
    <phoneticPr fontId="13"/>
  </si>
  <si>
    <t>NHP10-6693793</t>
    <phoneticPr fontId="13"/>
  </si>
  <si>
    <t>TRJ150-0101696</t>
    <phoneticPr fontId="13"/>
  </si>
  <si>
    <t>N-BOXｶｽﾀﾑLﾀｰﾎﾞ</t>
    <phoneticPr fontId="13"/>
  </si>
  <si>
    <t>JF3-2442840</t>
    <phoneticPr fontId="13"/>
  </si>
  <si>
    <t>ｶﾛｰﾗﾌｨｰﾙﾀﾞｰﾊｲﾌﾞﾘｯﾄﾞ</t>
    <phoneticPr fontId="13"/>
  </si>
  <si>
    <t>NKE165-7256906</t>
    <phoneticPr fontId="13"/>
  </si>
  <si>
    <t>ｵﾃﾞｯｾｲ ｱﾌﾞｿﾙｰﾄ</t>
    <phoneticPr fontId="13"/>
  </si>
  <si>
    <t>RC1-1017665</t>
    <phoneticPr fontId="13"/>
  </si>
  <si>
    <t>BP5P-104261</t>
    <phoneticPr fontId="13"/>
  </si>
  <si>
    <t>MN71S-137291</t>
    <phoneticPr fontId="13"/>
  </si>
  <si>
    <t>YV1DZA8RDH2231801</t>
    <phoneticPr fontId="13"/>
  </si>
  <si>
    <t>WMW72BB0802N67219</t>
    <phoneticPr fontId="13"/>
  </si>
  <si>
    <t>WDD2130042A554286</t>
    <phoneticPr fontId="13"/>
  </si>
  <si>
    <t>WMWXU72040TR59423</t>
    <phoneticPr fontId="13"/>
  </si>
  <si>
    <t>L675S-0217369</t>
    <phoneticPr fontId="13"/>
  </si>
  <si>
    <t>ﾊﾟﾚｯﾄ X</t>
    <phoneticPr fontId="13"/>
  </si>
  <si>
    <t>MK21S-278875</t>
    <phoneticPr fontId="13"/>
  </si>
  <si>
    <t>ﾓｶ</t>
    <phoneticPr fontId="13"/>
  </si>
  <si>
    <t>N-BOXｶｽﾀﾑ G Lﾊﾟｯｹｰｼﾞ</t>
    <phoneticPr fontId="13"/>
  </si>
  <si>
    <t>8/12/21</t>
    <phoneticPr fontId="13"/>
  </si>
  <si>
    <t>8/1/8</t>
    <phoneticPr fontId="13"/>
  </si>
  <si>
    <t>車内ｶｷﾞ確認</t>
    <rPh sb="0" eb="2">
      <t>シャナイ</t>
    </rPh>
    <rPh sb="5" eb="7">
      <t>カクニン</t>
    </rPh>
    <phoneticPr fontId="13"/>
  </si>
  <si>
    <t>9/3/19</t>
    <phoneticPr fontId="13"/>
  </si>
  <si>
    <t>ﾏﾂﾀﾞ 3 ﾌｧｽﾄﾊﾞｯｸ 15Sﾂｰﾘﾝｸﾞ</t>
    <phoneticPr fontId="13"/>
  </si>
  <si>
    <t>8/9/11</t>
    <phoneticPr fontId="13"/>
  </si>
  <si>
    <t>保証書 取説 地図SD ﾜﾝｵｰﾅｰ</t>
    <rPh sb="0" eb="3">
      <t>ホショウショ</t>
    </rPh>
    <rPh sb="4" eb="6">
      <t>トリセツ</t>
    </rPh>
    <rPh sb="7" eb="9">
      <t>チズ</t>
    </rPh>
    <phoneticPr fontId="13"/>
  </si>
  <si>
    <t>名変期限1/20まで</t>
    <rPh sb="0" eb="2">
      <t>メイヘン</t>
    </rPh>
    <rPh sb="2" eb="4">
      <t>キゲン</t>
    </rPh>
    <phoneticPr fontId="13"/>
  </si>
  <si>
    <t>ﾒﾙｾﾃﾞｽﾍﾞﾝﾂEｸﾗｽ 220d ｱﾊﾞﾝｷﾞｬﾙﾄ</t>
    <phoneticPr fontId="13"/>
  </si>
  <si>
    <t>8/2/24</t>
    <phoneticPr fontId="13"/>
  </si>
  <si>
    <t>24/11</t>
    <phoneticPr fontId="13"/>
  </si>
  <si>
    <t>取説 地図SD</t>
    <rPh sb="0" eb="2">
      <t>トリセツ</t>
    </rPh>
    <rPh sb="3" eb="5">
      <t>チズ</t>
    </rPh>
    <phoneticPr fontId="13"/>
  </si>
  <si>
    <t>神戸 583 そ 6780</t>
    <rPh sb="0" eb="2">
      <t>コウベ</t>
    </rPh>
    <phoneticPr fontId="13"/>
  </si>
  <si>
    <t>今津 勲</t>
    <rPh sb="0" eb="2">
      <t>イマヅ</t>
    </rPh>
    <rPh sb="3" eb="4">
      <t>イサオ</t>
    </rPh>
    <phoneticPr fontId="13"/>
  </si>
  <si>
    <t>11/29</t>
    <phoneticPr fontId="13"/>
  </si>
  <si>
    <t>豊田 480 か 3816</t>
    <rPh sb="0" eb="2">
      <t>トヨタ</t>
    </rPh>
    <phoneticPr fontId="13"/>
  </si>
  <si>
    <t>日比谷 実</t>
    <rPh sb="0" eb="3">
      <t>ヒビヤ</t>
    </rPh>
    <rPh sb="4" eb="5">
      <t>ミノル</t>
    </rPh>
    <phoneticPr fontId="13"/>
  </si>
  <si>
    <t>取説 ﾘﾓｺﾝ ｷｰﾚｽ ﾜﾝｵｰﾅｰ</t>
    <rPh sb="0" eb="2">
      <t>トリセツ</t>
    </rPh>
    <phoneticPr fontId="13"/>
  </si>
  <si>
    <t>大阪 583 さ 400</t>
    <rPh sb="0" eb="2">
      <t>オオサカ</t>
    </rPh>
    <phoneticPr fontId="13"/>
  </si>
  <si>
    <t>宮下 辰支</t>
    <rPh sb="0" eb="2">
      <t>ミヤシタ</t>
    </rPh>
    <rPh sb="3" eb="4">
      <t>タツ</t>
    </rPh>
    <rPh sb="4" eb="5">
      <t>ササ</t>
    </rPh>
    <phoneticPr fontId="13"/>
  </si>
  <si>
    <t>L880K-0056973</t>
    <phoneticPr fontId="13"/>
  </si>
  <si>
    <t>ｼﾞｰﾌﾟﾚﾈｹﾞｰド ﾄﾚｲﾙﾎｰｸ</t>
    <phoneticPr fontId="13"/>
  </si>
  <si>
    <t>1C4NJDC12MPM26753</t>
    <phoneticPr fontId="13"/>
  </si>
  <si>
    <t xml:space="preserve">保証書 取説 ﾅﾋﾞ取説 ｷｰﾚｽ ｶｰﾄﾞｷｰ </t>
    <rPh sb="0" eb="3">
      <t>ホショウショ</t>
    </rPh>
    <rPh sb="4" eb="6">
      <t>トリセツ</t>
    </rPh>
    <rPh sb="10" eb="12">
      <t>トリセツ</t>
    </rPh>
    <phoneticPr fontId="13"/>
  </si>
  <si>
    <t>DA17W-210328</t>
    <phoneticPr fontId="13"/>
  </si>
  <si>
    <t>9/2/18</t>
    <phoneticPr fontId="13"/>
  </si>
  <si>
    <t>広島 786 ぬ 33</t>
    <rPh sb="0" eb="2">
      <t>ヒロシマ</t>
    </rPh>
    <phoneticPr fontId="13"/>
  </si>
  <si>
    <t>JF1-1670851</t>
    <phoneticPr fontId="13"/>
  </si>
  <si>
    <t>大阪 581 ゆ 9009</t>
    <rPh sb="0" eb="2">
      <t>オオサカ</t>
    </rPh>
    <phoneticPr fontId="13"/>
  </si>
  <si>
    <t>名変期限12/27まで</t>
    <rPh sb="0" eb="4">
      <t>メイヘンキゲン</t>
    </rPh>
    <phoneticPr fontId="13"/>
  </si>
  <si>
    <t>WMWXU52060TH96572</t>
    <phoneticPr fontId="13"/>
  </si>
  <si>
    <t>愛媛 336 む 827</t>
    <rPh sb="0" eb="2">
      <t>エヒメ</t>
    </rPh>
    <phoneticPr fontId="13"/>
  </si>
  <si>
    <t>ｴﾇ・ﾃｨ・愛媛 株式会社</t>
    <rPh sb="6" eb="8">
      <t>エヒメ</t>
    </rPh>
    <rPh sb="9" eb="13">
      <t>カブシキガイシャ</t>
    </rPh>
    <phoneticPr fontId="13"/>
  </si>
  <si>
    <t>長野 580 わ 2741</t>
    <rPh sb="0" eb="2">
      <t>ナガノ</t>
    </rPh>
    <phoneticPr fontId="13"/>
  </si>
  <si>
    <t>WMW32BC0102N39954</t>
    <phoneticPr fontId="13"/>
  </si>
  <si>
    <t>7/12/1</t>
    <phoneticPr fontId="13"/>
  </si>
  <si>
    <t>WMWYT920603B368655</t>
    <phoneticPr fontId="13"/>
  </si>
  <si>
    <t>8/2/22</t>
    <phoneticPr fontId="13"/>
  </si>
  <si>
    <t>久留米 338 て 515</t>
    <rPh sb="0" eb="3">
      <t>クルメ</t>
    </rPh>
    <phoneticPr fontId="13"/>
  </si>
  <si>
    <t>DA17W-131279</t>
    <phoneticPr fontId="13"/>
  </si>
  <si>
    <t>DA17W-208551</t>
    <phoneticPr fontId="13"/>
  </si>
  <si>
    <t>滋賀 581 よ 9856</t>
    <rPh sb="0" eb="2">
      <t>シガ</t>
    </rPh>
    <phoneticPr fontId="13"/>
  </si>
  <si>
    <t>充電ｹｰﾌﾞﾙ伴さん保管 保証書 取説 ｷｰﾚｽ ﾜﾝｵｰﾅｰ</t>
    <rPh sb="0" eb="2">
      <t>ジュウデン</t>
    </rPh>
    <rPh sb="7" eb="8">
      <t>バン</t>
    </rPh>
    <rPh sb="10" eb="12">
      <t>ホカン</t>
    </rPh>
    <rPh sb="13" eb="16">
      <t>ホショウショ</t>
    </rPh>
    <rPh sb="17" eb="19">
      <t>トリセツ</t>
    </rPh>
    <phoneticPr fontId="13"/>
  </si>
  <si>
    <t>株式会社ｻﾝ・ﾓﾄｰﾚﾝ</t>
    <rPh sb="0" eb="4">
      <t>カブシキガイシャ</t>
    </rPh>
    <phoneticPr fontId="13"/>
  </si>
  <si>
    <t>沖縄 300 め 7966</t>
    <rPh sb="0" eb="2">
      <t>オキナワ</t>
    </rPh>
    <phoneticPr fontId="13"/>
  </si>
  <si>
    <t>琉球日産自動車株式会社</t>
    <rPh sb="0" eb="2">
      <t>リュウキュウ</t>
    </rPh>
    <rPh sb="2" eb="4">
      <t>ニッサン</t>
    </rPh>
    <rPh sb="4" eb="11">
      <t>ジドウシャカブシキガイシャ</t>
    </rPh>
    <phoneticPr fontId="13"/>
  </si>
  <si>
    <t>千葉 326 た 1718</t>
    <rPh sb="0" eb="2">
      <t>チバ</t>
    </rPh>
    <phoneticPr fontId="13"/>
  </si>
  <si>
    <t>東洋ｵｰﾄ株式会社</t>
    <rPh sb="0" eb="2">
      <t>トウヨウ</t>
    </rPh>
    <rPh sb="5" eb="9">
      <t>カブシキガイシャ</t>
    </rPh>
    <phoneticPr fontId="13"/>
  </si>
  <si>
    <t>広島 502 ふ 1697</t>
    <rPh sb="0" eb="2">
      <t>ヒロシマ</t>
    </rPh>
    <phoneticPr fontId="13"/>
  </si>
  <si>
    <t>保証書 取説 ﾅﾋﾞ取 ﾏｲｸﾛSD</t>
    <rPh sb="0" eb="3">
      <t>ホショウショ</t>
    </rPh>
    <rPh sb="4" eb="6">
      <t>トリセツ</t>
    </rPh>
    <rPh sb="10" eb="11">
      <t>トリ</t>
    </rPh>
    <phoneticPr fontId="13"/>
  </si>
  <si>
    <t>品川 5X2 ろ 2833</t>
    <rPh sb="0" eb="2">
      <t>シナガワ</t>
    </rPh>
    <phoneticPr fontId="13"/>
  </si>
  <si>
    <t>なにわ 581 せ 3639</t>
    <phoneticPr fontId="13"/>
  </si>
  <si>
    <t>多摩 592 ろ 4880</t>
    <rPh sb="0" eb="2">
      <t>タマ</t>
    </rPh>
    <phoneticPr fontId="13"/>
  </si>
  <si>
    <t>なにわ 5P8 ろ 1038</t>
    <phoneticPr fontId="13"/>
  </si>
  <si>
    <t>なにわ 5P8 ろ 1037</t>
    <phoneticPr fontId="13"/>
  </si>
  <si>
    <t>松本 580 わ 2443</t>
    <rPh sb="0" eb="2">
      <t>マツモト</t>
    </rPh>
    <phoneticPr fontId="13"/>
  </si>
  <si>
    <t>ｼﾄﾛｴﾝ ﾍﾞﾙﾗﾝｺﾞ ｼｬｲﾝ</t>
    <phoneticPr fontId="13"/>
  </si>
  <si>
    <t>VR7ECYHZRMJ657787</t>
    <phoneticPr fontId="13"/>
  </si>
  <si>
    <t>8/6/6</t>
    <phoneticPr fontId="13"/>
  </si>
  <si>
    <t>佐賀 337 す 32</t>
    <rPh sb="0" eb="2">
      <t>サガ</t>
    </rPh>
    <phoneticPr fontId="13"/>
  </si>
  <si>
    <t>WMWLU320702H63329</t>
    <phoneticPr fontId="13"/>
  </si>
  <si>
    <t>品番；MM114D-A</t>
    <phoneticPr fontId="13"/>
  </si>
  <si>
    <t>抹消書類送る 伴さんにふる</t>
    <rPh sb="0" eb="2">
      <t>マッショウ</t>
    </rPh>
    <rPh sb="2" eb="4">
      <t>ショルイ</t>
    </rPh>
    <rPh sb="4" eb="5">
      <t>オク</t>
    </rPh>
    <rPh sb="7" eb="8">
      <t>バン</t>
    </rPh>
    <phoneticPr fontId="13"/>
  </si>
  <si>
    <t>WMWXY520502N34646</t>
    <phoneticPr fontId="13"/>
  </si>
  <si>
    <t>保証書 取説 ｹｰﾌﾞﾙ伴さん保管</t>
    <rPh sb="0" eb="3">
      <t>ホショウショ</t>
    </rPh>
    <rPh sb="4" eb="6">
      <t>トリセツ</t>
    </rPh>
    <rPh sb="12" eb="13">
      <t>バン</t>
    </rPh>
    <rPh sb="15" eb="17">
      <t>ホカン</t>
    </rPh>
    <phoneticPr fontId="13"/>
  </si>
  <si>
    <t>松戸 310 さ 3797</t>
    <rPh sb="0" eb="2">
      <t>マツト</t>
    </rPh>
    <phoneticPr fontId="13"/>
  </si>
  <si>
    <t>倉谷 純平</t>
    <rPh sb="0" eb="2">
      <t>クラタニ</t>
    </rPh>
    <rPh sb="3" eb="5">
      <t>ジュンペイ</t>
    </rPh>
    <phoneticPr fontId="13"/>
  </si>
  <si>
    <t>11/30</t>
    <phoneticPr fontId="13"/>
  </si>
  <si>
    <t>滋賀 367 さ 6</t>
    <rPh sb="0" eb="2">
      <t>シガ</t>
    </rPh>
    <phoneticPr fontId="13"/>
  </si>
  <si>
    <t>高濱 龍生</t>
    <rPh sb="0" eb="2">
      <t>タカハマ</t>
    </rPh>
    <rPh sb="3" eb="4">
      <t>リュウ</t>
    </rPh>
    <rPh sb="4" eb="5">
      <t>イ</t>
    </rPh>
    <phoneticPr fontId="13"/>
  </si>
  <si>
    <t>川崎 37 そ 1120</t>
    <rPh sb="0" eb="2">
      <t>カワサキ</t>
    </rPh>
    <phoneticPr fontId="13"/>
  </si>
  <si>
    <t>吉川 勝宣</t>
    <rPh sb="0" eb="2">
      <t>ヨシカワ</t>
    </rPh>
    <rPh sb="3" eb="4">
      <t>カツ</t>
    </rPh>
    <rPh sb="4" eb="5">
      <t>セン</t>
    </rPh>
    <phoneticPr fontId="13"/>
  </si>
  <si>
    <t>仙台 367 に 1001</t>
    <rPh sb="0" eb="2">
      <t>センダイ</t>
    </rPh>
    <phoneticPr fontId="13"/>
  </si>
  <si>
    <t>仙台ﾄﾖﾍﾟｯﾄ株式会社</t>
    <rPh sb="0" eb="2">
      <t>センダイ</t>
    </rPh>
    <rPh sb="8" eb="12">
      <t>カブシキガイシャ</t>
    </rPh>
    <phoneticPr fontId="13"/>
  </si>
  <si>
    <t>姫路 399 な 4260</t>
    <rPh sb="0" eb="2">
      <t>ヒメジ</t>
    </rPh>
    <phoneticPr fontId="13"/>
  </si>
  <si>
    <t>板橋 310 せ 2012</t>
    <rPh sb="0" eb="2">
      <t>イタバシ</t>
    </rPh>
    <phoneticPr fontId="13"/>
  </si>
  <si>
    <t>鳥居 浩幸</t>
    <rPh sb="0" eb="2">
      <t>トリイ</t>
    </rPh>
    <rPh sb="3" eb="4">
      <t>ヒロ</t>
    </rPh>
    <rPh sb="4" eb="5">
      <t>シアワ</t>
    </rPh>
    <phoneticPr fontId="13"/>
  </si>
  <si>
    <t>山口 400 て 188</t>
    <rPh sb="0" eb="2">
      <t>ヤマグチ</t>
    </rPh>
    <phoneticPr fontId="13"/>
  </si>
  <si>
    <t>株式会社ﾄﾖﾀﾚﾝﾘｰｽ山口</t>
    <rPh sb="0" eb="4">
      <t>カブシキガイシャ</t>
    </rPh>
    <rPh sb="12" eb="14">
      <t>ヤマグチ</t>
    </rPh>
    <phoneticPr fontId="13"/>
  </si>
  <si>
    <t>堺 586 ろ 3831</t>
    <rPh sb="0" eb="1">
      <t>サカイ</t>
    </rPh>
    <phoneticPr fontId="13"/>
  </si>
  <si>
    <t>姫路 580 と 3906</t>
    <rPh sb="0" eb="2">
      <t>ヒメジ</t>
    </rPh>
    <phoneticPr fontId="13"/>
  </si>
  <si>
    <t>姫路三菱自動車販売株式会社</t>
    <rPh sb="0" eb="2">
      <t>ヒメジ</t>
    </rPh>
    <rPh sb="2" eb="4">
      <t>ミツビシ</t>
    </rPh>
    <rPh sb="4" eb="13">
      <t>ジドウシャハンバイカブシキガイシャ</t>
    </rPh>
    <phoneticPr fontId="13"/>
  </si>
  <si>
    <t>神戸 39A そ 2273</t>
    <rPh sb="0" eb="2">
      <t>コウベ</t>
    </rPh>
    <phoneticPr fontId="13"/>
  </si>
  <si>
    <t>医療法人柳沢活道ヶ丘診療所</t>
    <rPh sb="0" eb="4">
      <t>イリョウホウジン</t>
    </rPh>
    <rPh sb="4" eb="5">
      <t>ヤナギ</t>
    </rPh>
    <rPh sb="5" eb="6">
      <t>サワ</t>
    </rPh>
    <rPh sb="6" eb="7">
      <t>カツ</t>
    </rPh>
    <rPh sb="7" eb="8">
      <t>ドウ</t>
    </rPh>
    <rPh sb="9" eb="10">
      <t>オカ</t>
    </rPh>
    <rPh sb="10" eb="13">
      <t>シンリョウジョ</t>
    </rPh>
    <phoneticPr fontId="13"/>
  </si>
  <si>
    <t>京都 530 た 7044</t>
    <rPh sb="0" eb="2">
      <t>キョウト</t>
    </rPh>
    <phoneticPr fontId="13"/>
  </si>
  <si>
    <t>高森 聖也</t>
    <rPh sb="0" eb="2">
      <t>タカモリ</t>
    </rPh>
    <rPh sb="3" eb="5">
      <t>セイヤ</t>
    </rPh>
    <phoneticPr fontId="13"/>
  </si>
  <si>
    <t>ｺｰﾄﾞｶｰﾄﾞ ｽﾍﾟｱｷｰ</t>
    <phoneticPr fontId="13"/>
  </si>
  <si>
    <t>WMW62BT0203M46948</t>
    <phoneticPr fontId="13"/>
  </si>
  <si>
    <t>伊勢志摩 399 て 2357</t>
    <rPh sb="0" eb="4">
      <t>イセシマ</t>
    </rPh>
    <phoneticPr fontId="13"/>
  </si>
  <si>
    <t>有限会社ｵﾌﾟｼｮﾝ</t>
    <rPh sb="0" eb="4">
      <t>ユウゲンカイシャ</t>
    </rPh>
    <phoneticPr fontId="13"/>
  </si>
  <si>
    <t>習志野 337 ろ 616</t>
    <rPh sb="0" eb="3">
      <t>ナラシノ</t>
    </rPh>
    <phoneticPr fontId="13"/>
  </si>
  <si>
    <t>なにわ 581 あ 2292</t>
    <phoneticPr fontId="13"/>
  </si>
  <si>
    <t>井上 翔太</t>
    <rPh sb="0" eb="2">
      <t>イノウエ</t>
    </rPh>
    <rPh sb="3" eb="5">
      <t>ショウタ</t>
    </rPh>
    <phoneticPr fontId="13"/>
  </si>
  <si>
    <t>堺 586 ろ 3851</t>
    <rPh sb="0" eb="1">
      <t>サカイ</t>
    </rPh>
    <phoneticPr fontId="13"/>
  </si>
  <si>
    <t>記録紙 取説 ﾅﾋﾞ取 ｽﾍﾟｱｷｰ SD</t>
    <rPh sb="0" eb="3">
      <t>キロクシ</t>
    </rPh>
    <rPh sb="4" eb="6">
      <t>トリセツ</t>
    </rPh>
    <rPh sb="10" eb="11">
      <t>トリ</t>
    </rPh>
    <phoneticPr fontId="13"/>
  </si>
  <si>
    <t>株式会社ｽﾞｽﾞｷ自販鳥取</t>
    <rPh sb="0" eb="4">
      <t>カブシキガイシャ</t>
    </rPh>
    <rPh sb="9" eb="11">
      <t>ジハン</t>
    </rPh>
    <rPh sb="11" eb="13">
      <t>トットリ</t>
    </rPh>
    <phoneticPr fontId="13"/>
  </si>
  <si>
    <t>有限会社創華</t>
    <rPh sb="0" eb="4">
      <t>ユウゲンカイシャ</t>
    </rPh>
    <rPh sb="4" eb="5">
      <t>キズ</t>
    </rPh>
    <rPh sb="5" eb="6">
      <t>ハル</t>
    </rPh>
    <phoneticPr fontId="13"/>
  </si>
  <si>
    <t>保証書 取説 ﾅﾋﾞ取 ﾅﾋﾞSD ｽﾏｰﾄｷｰ SDｶｰﾄﾞ</t>
    <rPh sb="0" eb="3">
      <t>ホショウショ</t>
    </rPh>
    <rPh sb="4" eb="6">
      <t>トリセツ</t>
    </rPh>
    <rPh sb="10" eb="11">
      <t>トリ</t>
    </rPh>
    <phoneticPr fontId="13"/>
  </si>
  <si>
    <t>神戸 582 と 3559</t>
    <rPh sb="0" eb="2">
      <t>コウベ</t>
    </rPh>
    <phoneticPr fontId="13"/>
  </si>
  <si>
    <t>株式会社山本自動車</t>
    <rPh sb="0" eb="4">
      <t>カブシキガイシャ</t>
    </rPh>
    <rPh sb="4" eb="6">
      <t>ヤマモト</t>
    </rPh>
    <rPh sb="6" eb="9">
      <t>ジドウシャ</t>
    </rPh>
    <phoneticPr fontId="13"/>
  </si>
  <si>
    <t>広島 594 こ 222</t>
    <rPh sb="0" eb="2">
      <t>ヒロシマ</t>
    </rPh>
    <phoneticPr fontId="13"/>
  </si>
  <si>
    <t>ｴﾑｹｲ石油株式会社</t>
    <rPh sb="4" eb="6">
      <t>セキユ</t>
    </rPh>
    <rPh sb="6" eb="10">
      <t>カブシキガイシャ</t>
    </rPh>
    <phoneticPr fontId="13"/>
  </si>
  <si>
    <t>27-1953</t>
  </si>
  <si>
    <t>27-1954</t>
  </si>
  <si>
    <t>27-1955</t>
  </si>
  <si>
    <t>27-1956</t>
  </si>
  <si>
    <t>27-1957</t>
  </si>
  <si>
    <t>27-1958</t>
  </si>
  <si>
    <t>27-1959</t>
  </si>
  <si>
    <t>27-1960</t>
  </si>
  <si>
    <t>27-1961</t>
  </si>
  <si>
    <t>27-1962</t>
  </si>
  <si>
    <t>27-1963</t>
  </si>
  <si>
    <t>27-1964</t>
  </si>
  <si>
    <t>ｽﾍﾟｱｷｰﾀﾞﾐｰ送る</t>
    <rPh sb="10" eb="11">
      <t>オク</t>
    </rPh>
    <phoneticPr fontId="13"/>
  </si>
  <si>
    <t>WMWXM520402D02764</t>
    <phoneticPr fontId="13"/>
  </si>
  <si>
    <t>株式会社ｵﾙﾄﾃｯｸ</t>
    <rPh sb="0" eb="4">
      <t>カブシキガイシャ</t>
    </rPh>
    <phoneticPr fontId="13"/>
  </si>
  <si>
    <t>WMWXM520902D00573</t>
    <phoneticPr fontId="13"/>
  </si>
  <si>
    <t>WMWLN720802D98549</t>
    <phoneticPr fontId="13"/>
  </si>
  <si>
    <t>ﾒﾙｾﾃﾞｽﾍﾞﾝﾂAｸﾗｽ 250 4ﾏｯﾁ AMGﾗｲﾝ</t>
    <phoneticPr fontId="13"/>
  </si>
  <si>
    <t>W1K1771472J198328</t>
    <phoneticPr fontId="13"/>
  </si>
  <si>
    <t>ｱｳﾃﾞｨS1 ｽﾎﾟｰﾂﾊﾞｯｸ ｸﾜﾄﾛﾘﾐﾃｯﾄﾞ</t>
    <phoneticPr fontId="13"/>
  </si>
  <si>
    <t>WAUZZZ8X0HB015212</t>
    <phoneticPr fontId="13"/>
  </si>
  <si>
    <t>ﾍﾞﾙﾗﾝｺﾞ ｼｬｲﾝ</t>
    <phoneticPr fontId="13"/>
  </si>
  <si>
    <t>広島 535 ほ 1525</t>
    <rPh sb="0" eb="2">
      <t>ヒロシマ</t>
    </rPh>
    <phoneticPr fontId="13"/>
  </si>
  <si>
    <t>Audi VolkswagenRetailjapan株式会社</t>
    <rPh sb="26" eb="30">
      <t>カブシキガイシャ</t>
    </rPh>
    <phoneticPr fontId="13"/>
  </si>
  <si>
    <t>品川 39A む 4184</t>
    <rPh sb="0" eb="2">
      <t>シナガワ</t>
    </rPh>
    <phoneticPr fontId="13"/>
  </si>
  <si>
    <t>BMW X2 xdrive18d MｽﾎﾟｰﾂX</t>
    <phoneticPr fontId="13"/>
  </si>
  <si>
    <t>NHP10-6429735</t>
    <phoneticPr fontId="13"/>
  </si>
  <si>
    <t>MR41S-314794</t>
    <phoneticPr fontId="13"/>
  </si>
  <si>
    <t>LA900S-0122740</t>
    <phoneticPr fontId="13"/>
  </si>
  <si>
    <t>WMWYT920403D51018</t>
    <phoneticPr fontId="13"/>
  </si>
  <si>
    <t>ｱｸｱ  G</t>
    <phoneticPr fontId="13"/>
  </si>
  <si>
    <t>ﾗｲﾄﾌﾞﾙｰ</t>
    <phoneticPr fontId="13"/>
  </si>
  <si>
    <t>ﾀﾌﾄ G ﾀﾞｰｸｸﾛﾑﾍﾞﾝﾁｬｰ</t>
    <phoneticPr fontId="13"/>
  </si>
  <si>
    <t>付属品車内あり</t>
    <rPh sb="0" eb="3">
      <t>フゾクヒン</t>
    </rPh>
    <rPh sb="3" eb="5">
      <t>シャナイ</t>
    </rPh>
    <phoneticPr fontId="13"/>
  </si>
  <si>
    <t>地図SD(車内)保証書 取説 ｽﾍﾟｱｷｰ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</si>
  <si>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保証書 ｽﾍﾟｱｷｰ(車内)</t>
    <rPh sb="0" eb="3">
      <t>ホショウショ</t>
    </rPh>
    <phoneticPr fontId="13"/>
  </si>
  <si>
    <t>保証書 取説 ｷｰﾚｽ ﾘﾓｺﾝ2個(車内)</t>
    <rPh sb="0" eb="3">
      <t>ホショウショ</t>
    </rPh>
    <rPh sb="4" eb="6">
      <t>トリセツ</t>
    </rPh>
    <rPh sb="17" eb="18">
      <t>コ</t>
    </rPh>
    <phoneticPr fontId="13"/>
  </si>
  <si>
    <t>保証書(車内)</t>
    <rPh sb="0" eb="3">
      <t>ホショウショ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</si>
  <si>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phoneticPr fontId="13"/>
  </si>
  <si>
    <t>保証書(車内)取説 ﾅﾋﾞ取 ｽﾍﾟｱｷｰ 地図SD</t>
    <rPh sb="0" eb="3">
      <t>ホショウショ</t>
    </rPh>
    <rPh sb="7" eb="9">
      <t>トリセツ</t>
    </rPh>
    <rPh sb="13" eb="14">
      <t>トリ</t>
    </rPh>
    <rPh sb="22" eb="24">
      <t>チズ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</si>
  <si>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</si>
  <si>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地図SD(車内)取説 ﾅﾋﾞ取</t>
    <rPh sb="0" eb="2">
      <t>チズ</t>
    </rPh>
    <rPh sb="8" eb="10">
      <t>トリセツ</t>
    </rPh>
    <rPh sb="14" eb="15">
      <t>トリ</t>
    </rPh>
    <phoneticPr fontId="13"/>
  </si>
  <si>
    <t>地図SD(車内)保証書 取説 ｽﾍﾟｱｷｰ ﾜﾝｵｰﾅｰ</t>
    <rPh sb="0" eb="2">
      <t>チズ</t>
    </rPh>
    <rPh sb="8" eb="11">
      <t>ホショウショ</t>
    </rPh>
    <rPh sb="12" eb="14">
      <t>トリセツ</t>
    </rPh>
    <phoneticPr fontId="13"/>
  </si>
  <si>
    <t>A313852</t>
    <phoneticPr fontId="13"/>
  </si>
  <si>
    <t>MR41S-329233</t>
    <phoneticPr fontId="13"/>
  </si>
  <si>
    <t>A315058</t>
    <phoneticPr fontId="13"/>
  </si>
  <si>
    <t>AGH30-0362709</t>
    <phoneticPr fontId="13"/>
  </si>
  <si>
    <t>405 の 5</t>
    <phoneticPr fontId="13"/>
  </si>
  <si>
    <t>27-1965</t>
  </si>
  <si>
    <t>27-1966</t>
  </si>
  <si>
    <t>27-1967</t>
  </si>
  <si>
    <t>27-1968</t>
  </si>
  <si>
    <t>27-1969</t>
  </si>
  <si>
    <t>27-1970</t>
  </si>
  <si>
    <t>27-1971</t>
  </si>
  <si>
    <t>27-1972</t>
  </si>
  <si>
    <t>27-1973</t>
  </si>
  <si>
    <t>品川 302 も 9446</t>
    <rPh sb="0" eb="2">
      <t>シナガワ</t>
    </rPh>
    <phoneticPr fontId="13"/>
  </si>
  <si>
    <t>27-1974</t>
  </si>
  <si>
    <t>27-1975</t>
  </si>
  <si>
    <t>27-1976</t>
  </si>
  <si>
    <t>27-1977</t>
  </si>
  <si>
    <t>27-1978</t>
  </si>
  <si>
    <t>27-1979</t>
  </si>
  <si>
    <t>27-1980</t>
  </si>
  <si>
    <t>27-1981</t>
  </si>
  <si>
    <t>27-1982</t>
  </si>
  <si>
    <t>27-1983</t>
  </si>
  <si>
    <t>27-1984</t>
  </si>
  <si>
    <t>27-1985</t>
  </si>
  <si>
    <t>27-1986</t>
  </si>
  <si>
    <t>A314952</t>
    <phoneticPr fontId="13"/>
  </si>
  <si>
    <t>DR17V-304428</t>
    <phoneticPr fontId="13"/>
  </si>
  <si>
    <t>A314420</t>
    <phoneticPr fontId="13"/>
  </si>
  <si>
    <t>B21W-0366909</t>
    <phoneticPr fontId="13"/>
  </si>
  <si>
    <t>A312416</t>
    <phoneticPr fontId="13"/>
  </si>
  <si>
    <t>AZSH36-4015375</t>
    <phoneticPr fontId="13"/>
  </si>
  <si>
    <t>A315002</t>
    <phoneticPr fontId="13"/>
  </si>
  <si>
    <t>DR17W-100093</t>
    <phoneticPr fontId="13"/>
  </si>
  <si>
    <t>A314162</t>
    <phoneticPr fontId="13"/>
  </si>
  <si>
    <t>LA600S-0467627</t>
    <phoneticPr fontId="13"/>
  </si>
  <si>
    <t>A313239</t>
    <phoneticPr fontId="13"/>
  </si>
  <si>
    <t>MXAA54-4026511</t>
    <phoneticPr fontId="13"/>
  </si>
  <si>
    <t>A314218</t>
    <phoneticPr fontId="13"/>
  </si>
  <si>
    <t>LA650S-0169785</t>
    <phoneticPr fontId="13"/>
  </si>
  <si>
    <t>A314715</t>
    <phoneticPr fontId="13"/>
  </si>
  <si>
    <t>WBABC42060BJ29995</t>
    <phoneticPr fontId="13"/>
  </si>
  <si>
    <t>ﾊｽﾗｰ  G</t>
    <phoneticPr fontId="13"/>
  </si>
  <si>
    <t>9/10/18</t>
    <phoneticPr fontId="13"/>
  </si>
  <si>
    <t>ｱﾙﾌｫｰﾄﾞ 2.5S ﾀｲﾌﾟｺﾞｰﾙﾄﾞ</t>
    <phoneticPr fontId="13"/>
  </si>
  <si>
    <t>NV100ｸﾘｯﾊﾟｰﾊﾞﾝ GX</t>
    <phoneticPr fontId="13"/>
  </si>
  <si>
    <t>9/2/25</t>
    <phoneticPr fontId="13"/>
  </si>
  <si>
    <t>ﾃﾞｲｽﾞ J</t>
    <phoneticPr fontId="13"/>
  </si>
  <si>
    <t>8/1/23</t>
    <phoneticPr fontId="13"/>
  </si>
  <si>
    <t>ｸﾗｳﾝｽﾎﾟｰﾂ HVZ</t>
    <phoneticPr fontId="13"/>
  </si>
  <si>
    <t>9/5/19</t>
    <phoneticPr fontId="13"/>
  </si>
  <si>
    <t>NV100ｸﾘｯﾊﾟｰﾘｵ E</t>
    <phoneticPr fontId="13"/>
  </si>
  <si>
    <t>ﾀﾝﾄ ｶｽﾀﾑRS ﾄｯﾌﾟｴﾃﾞｨｼｮﾝSA2</t>
    <phoneticPr fontId="13"/>
  </si>
  <si>
    <t>9/9/23</t>
    <phoneticPr fontId="13"/>
  </si>
  <si>
    <t>RAV4 G</t>
    <phoneticPr fontId="13"/>
  </si>
  <si>
    <t>ﾀﾝﾄ ｶｽﾀﾑX ｽﾀｲﾙｾﾚｸｼｮﾝ</t>
    <phoneticPr fontId="13"/>
  </si>
  <si>
    <t>8/12/19</t>
    <phoneticPr fontId="13"/>
  </si>
  <si>
    <t>BMW 8ｼﾘｰｽﾞ M850i xdriveｸｰﾍﾟ</t>
    <phoneticPr fontId="13"/>
  </si>
  <si>
    <t>MK94S-213115</t>
    <phoneticPr fontId="13"/>
  </si>
  <si>
    <t xml:space="preserve">ﾑｰﾌﾞ RS </t>
    <phoneticPr fontId="13"/>
  </si>
  <si>
    <t>LA850S-2003008</t>
    <phoneticPr fontId="13"/>
  </si>
  <si>
    <t>保証書 取説 ﾅﾋﾞ取 予備ｷｰ ﾅﾝﾊﾞｰ</t>
    <rPh sb="0" eb="3">
      <t>ホショウショ</t>
    </rPh>
    <rPh sb="4" eb="6">
      <t>トリセツ</t>
    </rPh>
    <rPh sb="10" eb="11">
      <t>トリ</t>
    </rPh>
    <rPh sb="12" eb="14">
      <t>ヨビ</t>
    </rPh>
    <phoneticPr fontId="13"/>
  </si>
  <si>
    <t>LA350S-0291167</t>
    <phoneticPr fontId="13"/>
  </si>
  <si>
    <t>和歌山 581 と 9111</t>
    <rPh sb="0" eb="3">
      <t>ワカヤマ</t>
    </rPh>
    <phoneticPr fontId="13"/>
  </si>
  <si>
    <t>N-BOXｶｽﾀﾑ ﾍﾞｰｽｸﾞﾚｰﾄﾞ</t>
    <phoneticPr fontId="13"/>
  </si>
  <si>
    <t>JF5-1088035</t>
    <phoneticPr fontId="13"/>
  </si>
  <si>
    <t>なにわ 580 わ 7743</t>
    <phoneticPr fontId="13"/>
  </si>
  <si>
    <t>ﾀﾝﾄ ﾌｫﾝｸﾛｽ</t>
    <phoneticPr fontId="13"/>
  </si>
  <si>
    <t>LA650S-0254181</t>
    <phoneticPr fontId="13"/>
  </si>
  <si>
    <t>なにわ 580 わ 6559</t>
    <phoneticPr fontId="13"/>
  </si>
  <si>
    <t>HE33S-242925</t>
    <phoneticPr fontId="13"/>
  </si>
  <si>
    <t>和泉 581 に 7956</t>
    <rPh sb="0" eb="2">
      <t>イズミ</t>
    </rPh>
    <phoneticPr fontId="13"/>
  </si>
  <si>
    <t>ｺﾍﾟﾝ ｾﾛ</t>
    <phoneticPr fontId="13"/>
  </si>
  <si>
    <t>LA400K-0019609</t>
    <phoneticPr fontId="13"/>
  </si>
  <si>
    <t>RA</t>
    <phoneticPr fontId="13"/>
  </si>
  <si>
    <t>HE33S-300007</t>
    <phoneticPr fontId="13"/>
  </si>
  <si>
    <t>三重 336 せ 385</t>
    <rPh sb="0" eb="2">
      <t>ミエ</t>
    </rPh>
    <phoneticPr fontId="13"/>
  </si>
  <si>
    <t>都 英漢</t>
    <rPh sb="0" eb="1">
      <t>ミヤコ</t>
    </rPh>
    <rPh sb="2" eb="3">
      <t>ヒデ</t>
    </rPh>
    <rPh sb="3" eb="4">
      <t>カン</t>
    </rPh>
    <phoneticPr fontId="13"/>
  </si>
  <si>
    <t>多摩 585 す 301</t>
    <rPh sb="0" eb="2">
      <t>タマ</t>
    </rPh>
    <phoneticPr fontId="13"/>
  </si>
  <si>
    <t>倉智 一芳</t>
    <rPh sb="0" eb="1">
      <t>クラ</t>
    </rPh>
    <rPh sb="1" eb="2">
      <t>チ</t>
    </rPh>
    <rPh sb="3" eb="5">
      <t>カズヨシ</t>
    </rPh>
    <phoneticPr fontId="13"/>
  </si>
  <si>
    <t>ﾚﾝﾀｶｰ 保証書</t>
    <rPh sb="6" eb="9">
      <t>ホショウショ</t>
    </rPh>
    <phoneticPr fontId="13"/>
  </si>
  <si>
    <t>ｱｳﾃﾞｨTTｸｰﾍﾟ</t>
    <phoneticPr fontId="13"/>
  </si>
  <si>
    <t>TRUZZZFV3G1013159</t>
    <phoneticPr fontId="13"/>
  </si>
  <si>
    <t>ｱｳﾃﾞｨA4 ｱﾊﾞﾝﾄ</t>
    <phoneticPr fontId="13"/>
  </si>
  <si>
    <t>WAUZZZF48KA119632</t>
    <phoneticPr fontId="13"/>
  </si>
  <si>
    <t>WMWXS720202C52450</t>
    <phoneticPr fontId="13"/>
  </si>
  <si>
    <t>BMW 3ｼﾘｰｽﾞ 320d ｽﾎﾟｰﾂ</t>
    <phoneticPr fontId="13"/>
  </si>
  <si>
    <t>WBA8B52020K433621</t>
    <phoneticPr fontId="13"/>
  </si>
  <si>
    <t>香川 376 ね 8008</t>
    <rPh sb="0" eb="2">
      <t>カガワ</t>
    </rPh>
    <phoneticPr fontId="13"/>
  </si>
  <si>
    <t>保証書 取説 書類期限1/15まで</t>
    <rPh sb="0" eb="3">
      <t>ホショウショ</t>
    </rPh>
    <rPh sb="4" eb="6">
      <t>トリセツ</t>
    </rPh>
    <rPh sb="7" eb="11">
      <t>ショルイキゲン</t>
    </rPh>
    <phoneticPr fontId="13"/>
  </si>
  <si>
    <t>ﾊｲｾﾞｯﾄｶｰｺﾞ ｸﾙｰｽﾞ</t>
    <phoneticPr fontId="13"/>
  </si>
  <si>
    <t>S700V-0089879</t>
    <phoneticPr fontId="13"/>
  </si>
  <si>
    <t>ｽﾏｰﾄｷｰ車内確認 保証書</t>
    <rPh sb="6" eb="8">
      <t>シャナイ</t>
    </rPh>
    <rPh sb="8" eb="10">
      <t>カクニン</t>
    </rPh>
    <rPh sb="11" eb="14">
      <t>ホショウショ</t>
    </rPh>
    <phoneticPr fontId="13"/>
  </si>
  <si>
    <t>ﾃﾞﾘｶﾐﾆ Tﾌﾟﾚﾐｱﾑ 4WD</t>
    <phoneticPr fontId="13"/>
  </si>
  <si>
    <t>B38A-0510780</t>
    <phoneticPr fontId="13"/>
  </si>
  <si>
    <t>LA600S-0192595</t>
    <phoneticPr fontId="13"/>
  </si>
  <si>
    <t>広島 593 は 100</t>
    <rPh sb="0" eb="2">
      <t>ヒロシマ</t>
    </rPh>
    <phoneticPr fontId="13"/>
  </si>
  <si>
    <t xml:space="preserve">保証書 取説 ﾅﾋﾞ取 予備ｷｰ </t>
    <rPh sb="0" eb="3">
      <t>ホショウショ</t>
    </rPh>
    <rPh sb="4" eb="6">
      <t>トリセツ</t>
    </rPh>
    <rPh sb="10" eb="11">
      <t>トリ</t>
    </rPh>
    <rPh sb="12" eb="14">
      <t>ヨビ</t>
    </rPh>
    <phoneticPr fontId="13"/>
  </si>
  <si>
    <t>名古屋 390 ひ 32</t>
    <rPh sb="0" eb="3">
      <t>ナゴヤ</t>
    </rPh>
    <phoneticPr fontId="13"/>
  </si>
  <si>
    <t>練馬 329 す 9939</t>
    <rPh sb="0" eb="2">
      <t>ネリマ</t>
    </rPh>
    <phoneticPr fontId="13"/>
  </si>
  <si>
    <t>三井住友ｵｰﾄｻｰﾋﾞｽ株式会社</t>
    <rPh sb="0" eb="4">
      <t>ミツイスミトモ</t>
    </rPh>
    <rPh sb="12" eb="16">
      <t>カブシキガイシャ</t>
    </rPh>
    <phoneticPr fontId="13"/>
  </si>
  <si>
    <t>和歌山 483 え 5306</t>
    <rPh sb="0" eb="3">
      <t>ワカヤマ</t>
    </rPh>
    <phoneticPr fontId="13"/>
  </si>
  <si>
    <t>米野 維行</t>
    <rPh sb="0" eb="2">
      <t>ヨネノ</t>
    </rPh>
    <rPh sb="3" eb="4">
      <t>イ</t>
    </rPh>
    <rPh sb="4" eb="5">
      <t>ユ</t>
    </rPh>
    <phoneticPr fontId="13"/>
  </si>
  <si>
    <t>奈良 581 と 2573</t>
    <rPh sb="0" eb="2">
      <t>ナラ</t>
    </rPh>
    <phoneticPr fontId="13"/>
  </si>
  <si>
    <t>東林 孝友</t>
    <rPh sb="0" eb="2">
      <t>ヒガシバヤシ</t>
    </rPh>
    <rPh sb="3" eb="5">
      <t>タカトモ</t>
    </rPh>
    <phoneticPr fontId="13"/>
  </si>
  <si>
    <t>品川 5X2 ろ 5352</t>
    <rPh sb="0" eb="2">
      <t>シナガワ</t>
    </rPh>
    <phoneticPr fontId="13"/>
  </si>
  <si>
    <t>株式会社JCＭ</t>
    <rPh sb="0" eb="4">
      <t>カブシキガイシャ</t>
    </rPh>
    <phoneticPr fontId="13"/>
  </si>
  <si>
    <t>名古屋 582 め 1482</t>
    <rPh sb="0" eb="3">
      <t>ナゴヤ</t>
    </rPh>
    <phoneticPr fontId="13"/>
  </si>
  <si>
    <t>坂野 滿昭</t>
    <rPh sb="0" eb="2">
      <t>サカノ</t>
    </rPh>
    <rPh sb="4" eb="5">
      <t>アキラ</t>
    </rPh>
    <phoneticPr fontId="13"/>
  </si>
  <si>
    <t>品川 5X2 ろ 4699</t>
    <rPh sb="0" eb="2">
      <t>シナガワ</t>
    </rPh>
    <phoneticPr fontId="13"/>
  </si>
  <si>
    <t>保証書 取説 ｽﾍﾟｱｷｰ ﾜﾝｵｰﾅｰ？</t>
    <rPh sb="0" eb="3">
      <t>ホショウショ</t>
    </rPh>
    <rPh sb="4" eb="6">
      <t>トリセツ</t>
    </rPh>
    <phoneticPr fontId="13"/>
  </si>
  <si>
    <t>堺 431 に 6666</t>
    <rPh sb="0" eb="1">
      <t>サカイ</t>
    </rPh>
    <phoneticPr fontId="13"/>
  </si>
  <si>
    <t>ﾈｯﾂﾄﾖﾀ南海株式会社</t>
    <rPh sb="6" eb="8">
      <t>ナンカイ</t>
    </rPh>
    <rPh sb="8" eb="12">
      <t>カブシキガイシャ</t>
    </rPh>
    <phoneticPr fontId="13"/>
  </si>
  <si>
    <t>越谷 311 り 1016</t>
    <rPh sb="0" eb="1">
      <t>コ</t>
    </rPh>
    <rPh sb="1" eb="2">
      <t>タニ</t>
    </rPh>
    <phoneticPr fontId="13"/>
  </si>
  <si>
    <t>BLOWIN株式会社</t>
    <rPh sb="6" eb="10">
      <t>カブシキガイシャ</t>
    </rPh>
    <phoneticPr fontId="13"/>
  </si>
  <si>
    <t>保証書 ｷｰﾚｽ ｶｰﾄﾞｷｰ ﾜﾝｵｰﾅ‐</t>
    <rPh sb="0" eb="3">
      <t>ホショウショ</t>
    </rPh>
    <phoneticPr fontId="13"/>
  </si>
  <si>
    <t>株式会社ｺﾔﾏ・ﾐﾗｲｴ</t>
    <rPh sb="0" eb="4">
      <t>カブシキガイシャ</t>
    </rPh>
    <phoneticPr fontId="13"/>
  </si>
  <si>
    <r>
      <t>保証書 ｷｰﾚｽ ﾜﾝｵｰﾅｰ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Ph sb="0" eb="3">
      <t>ホショウショ</t>
    </rPh>
    <rPh sb="15" eb="17">
      <t>トリセツ</t>
    </rPh>
    <rPh sb="17" eb="18">
      <t>ト</t>
    </rPh>
    <rPh sb="19" eb="20">
      <t>ア</t>
    </rPh>
    <rPh sb="22" eb="23">
      <t>チュウ</t>
    </rPh>
    <phoneticPr fontId="13"/>
  </si>
  <si>
    <t>ｷｬﾝｾﾙ 12/4返送</t>
    <rPh sb="10" eb="12">
      <t>ヘンソウ</t>
    </rPh>
    <phoneticPr fontId="13"/>
  </si>
  <si>
    <t>27-1987</t>
  </si>
  <si>
    <t>27-1988</t>
  </si>
  <si>
    <t>27-1989</t>
  </si>
  <si>
    <t>27-1990</t>
  </si>
  <si>
    <t>27-1991</t>
  </si>
  <si>
    <t>27-1992</t>
  </si>
  <si>
    <t>27-1993</t>
  </si>
  <si>
    <t>27-1994</t>
  </si>
  <si>
    <t>27-1995</t>
  </si>
  <si>
    <t>27-1996</t>
  </si>
  <si>
    <t>27-1997</t>
  </si>
  <si>
    <t>27-1998</t>
  </si>
  <si>
    <t>27-1999</t>
  </si>
  <si>
    <t>27-2000</t>
  </si>
  <si>
    <t>27-2001</t>
  </si>
  <si>
    <t>27-2002</t>
  </si>
  <si>
    <t>27-2003</t>
  </si>
  <si>
    <t>27-2004</t>
  </si>
  <si>
    <t>27-2005</t>
  </si>
  <si>
    <t>27-2006</t>
  </si>
  <si>
    <t>27-2007</t>
  </si>
  <si>
    <t>27-2008</t>
  </si>
  <si>
    <t>27-2009</t>
  </si>
  <si>
    <t>27-2010</t>
  </si>
  <si>
    <t>27-2011</t>
  </si>
  <si>
    <t>27-2012</t>
  </si>
  <si>
    <t>27-2013</t>
  </si>
  <si>
    <t>27-2014</t>
  </si>
  <si>
    <t>ﾜｺﾞﾝRｶｽﾀﾑZ</t>
    <phoneticPr fontId="13"/>
  </si>
  <si>
    <t>MH55S-940440</t>
    <phoneticPr fontId="13"/>
  </si>
  <si>
    <t>ｱｳﾃﾞｨ S1 ｽﾎﾟｰﾂﾊﾞｯｸB</t>
    <phoneticPr fontId="13"/>
  </si>
  <si>
    <t>WAUZZZ8X2GB013170</t>
    <phoneticPr fontId="13"/>
  </si>
  <si>
    <t>ﾜｺﾞﾝR FX 4WD</t>
    <phoneticPr fontId="13"/>
  </si>
  <si>
    <t>MH34S-429821</t>
    <phoneticPr fontId="13"/>
  </si>
  <si>
    <t>松本 580 ふ 7692</t>
    <rPh sb="0" eb="2">
      <t>マツモト</t>
    </rPh>
    <phoneticPr fontId="13"/>
  </si>
  <si>
    <t>ﾜﾝｵｰﾅｰ 名変期限1/14まで</t>
    <rPh sb="7" eb="11">
      <t>メイヘンキゲン</t>
    </rPh>
    <phoneticPr fontId="13"/>
  </si>
  <si>
    <t>ﾎﾞﾙﾎﾞ XC90</t>
    <phoneticPr fontId="13"/>
  </si>
  <si>
    <t>YV1LF10MCJ1374885</t>
    <phoneticPr fontId="13"/>
  </si>
  <si>
    <t>豊橋 330 り 3710</t>
    <rPh sb="0" eb="2">
      <t>トヨハシ</t>
    </rPh>
    <phoneticPr fontId="13"/>
  </si>
  <si>
    <t>ｴｽｸｧｲｱ ﾊｲﾌﾞﾘｯﾄﾞG i</t>
    <phoneticPr fontId="13"/>
  </si>
  <si>
    <t>ZWR80-0197885</t>
    <phoneticPr fontId="13"/>
  </si>
  <si>
    <t>神戸 505 そ 4792</t>
    <rPh sb="0" eb="2">
      <t>コウベ</t>
    </rPh>
    <phoneticPr fontId="13"/>
  </si>
  <si>
    <t>ｽﾍﾟｰｼｱｷﾞｱ ﾊｲﾌﾞﾘｯﾄﾞX ﾀｰﾎﾞ</t>
    <phoneticPr fontId="13"/>
  </si>
  <si>
    <t>MK54S-144548</t>
    <phoneticPr fontId="13"/>
  </si>
  <si>
    <t>姫路 581 ゆ 4537</t>
    <rPh sb="0" eb="2">
      <t>ヒメジ</t>
    </rPh>
    <phoneticPr fontId="13"/>
  </si>
  <si>
    <t>ｽﾏｰﾄｷｰ車内確認 保証書 ﾜﾝｵｰﾅｰ</t>
    <rPh sb="6" eb="8">
      <t>シャナイ</t>
    </rPh>
    <rPh sb="8" eb="10">
      <t>カクニン</t>
    </rPh>
    <rPh sb="11" eb="14">
      <t>ホショウショ</t>
    </rPh>
    <phoneticPr fontId="13"/>
  </si>
  <si>
    <t>ｽﾍﾟｰｼｱｷｶｽﾀﾑ ﾊｲﾌﾞﾘｯﾄﾞXS</t>
    <phoneticPr fontId="13"/>
  </si>
  <si>
    <t>MK53S-494079</t>
    <phoneticPr fontId="13"/>
  </si>
  <si>
    <t>MK53S-937678</t>
    <phoneticPr fontId="13"/>
  </si>
  <si>
    <t>ｽﾍﾟｰｼｱｷﾞｱ ﾊｲﾌﾞﾘｯﾄﾞXZﾀｰﾎﾞ</t>
    <phoneticPr fontId="13"/>
  </si>
  <si>
    <t>MK54S-142300</t>
    <phoneticPr fontId="13"/>
  </si>
  <si>
    <t>姫路 582 い 5677</t>
    <rPh sb="0" eb="2">
      <t>ヒメジ</t>
    </rPh>
    <phoneticPr fontId="13"/>
  </si>
  <si>
    <t>還付金印鑑証明依頼中</t>
    <rPh sb="0" eb="3">
      <t>カンプキン</t>
    </rPh>
    <rPh sb="3" eb="5">
      <t>インカン</t>
    </rPh>
    <rPh sb="5" eb="7">
      <t>ショウメイ</t>
    </rPh>
    <rPh sb="7" eb="9">
      <t>イライ</t>
    </rPh>
    <rPh sb="9" eb="10">
      <t>チュウ</t>
    </rPh>
    <phoneticPr fontId="13"/>
  </si>
  <si>
    <t>ﾃﾞﾘｶﾐﾆ Gﾌﾟﾚﾐｱﾑ</t>
    <phoneticPr fontId="13"/>
  </si>
  <si>
    <t>MH34S-702235</t>
    <phoneticPr fontId="13"/>
  </si>
  <si>
    <t>ﾊｲｾﾞｯﾄﾄﾗｯｸ ｽﾀﾝﾀﾞｰﾄﾞ</t>
    <phoneticPr fontId="13"/>
  </si>
  <si>
    <t>S500P-0184406</t>
    <phoneticPr fontId="13"/>
  </si>
  <si>
    <t>ﾗﾝﾄﾞﾛｰﾊﾞｰﾚﾝｼﾞﾛｰﾊﾞｰ 3.0V6</t>
    <phoneticPr fontId="13"/>
  </si>
  <si>
    <t>SALGA2VE6FA205300</t>
    <phoneticPr fontId="13"/>
  </si>
  <si>
    <t>8/2/2</t>
    <phoneticPr fontId="13"/>
  </si>
  <si>
    <t>横浜 340 そ 603</t>
    <rPh sb="0" eb="2">
      <t>ヨコハマ</t>
    </rPh>
    <phoneticPr fontId="13"/>
  </si>
  <si>
    <t>ｴﾌﾞﾘｨﾊﾞﾝ ｼﾞｮｲﾝ</t>
    <phoneticPr fontId="13"/>
  </si>
  <si>
    <t>DA17V-653635</t>
    <phoneticPr fontId="13"/>
  </si>
  <si>
    <t>和泉 480 に 9731</t>
    <rPh sb="0" eb="2">
      <t>イズミ</t>
    </rPh>
    <phoneticPr fontId="13"/>
  </si>
  <si>
    <t>JW5-1013903</t>
    <phoneticPr fontId="13"/>
  </si>
  <si>
    <t>和歌山 585 ち 660</t>
    <rPh sb="0" eb="3">
      <t>ワカヤマ</t>
    </rPh>
    <phoneticPr fontId="13"/>
  </si>
  <si>
    <t>ﾜｺﾞﾝRｽﾏｲﾙ ﾊｲﾌﾞﾘｯﾄﾞS</t>
    <phoneticPr fontId="13"/>
  </si>
  <si>
    <t>MX91S-315211</t>
    <phoneticPr fontId="13"/>
  </si>
  <si>
    <t>なにわ 581 す 3735</t>
    <phoneticPr fontId="13"/>
  </si>
  <si>
    <t>DG17W-300912</t>
    <phoneticPr fontId="13"/>
  </si>
  <si>
    <t>ﾙｰｸｽﾊｲｳｪｲｽﾀｰ X</t>
    <phoneticPr fontId="13"/>
  </si>
  <si>
    <t>B47A-0006952</t>
    <phoneticPr fontId="13"/>
  </si>
  <si>
    <t>京都 581 よ 5927</t>
    <rPh sb="0" eb="2">
      <t>キョウト</t>
    </rPh>
    <phoneticPr fontId="13"/>
  </si>
  <si>
    <t>ZC32S-305500</t>
    <phoneticPr fontId="13"/>
  </si>
  <si>
    <t>保証書 取説 SD B-CAS ｽﾍﾟｱｷｰ</t>
    <rPh sb="0" eb="3">
      <t>ホショウショ</t>
    </rPh>
    <rPh sb="4" eb="6">
      <t>トリセツ</t>
    </rPh>
    <phoneticPr fontId="13"/>
  </si>
  <si>
    <t>HE22S-275808</t>
    <phoneticPr fontId="13"/>
  </si>
  <si>
    <t>MK53S-488662</t>
    <phoneticPr fontId="13"/>
  </si>
  <si>
    <t>岡山 589 せ 1108</t>
    <rPh sb="0" eb="2">
      <t>オカヤマ</t>
    </rPh>
    <phoneticPr fontId="13"/>
  </si>
  <si>
    <t>小林  愛</t>
    <rPh sb="0" eb="2">
      <t>コバヤシ</t>
    </rPh>
    <rPh sb="4" eb="5">
      <t>アイ</t>
    </rPh>
    <phoneticPr fontId="13"/>
  </si>
  <si>
    <t>山口 300 る 1954</t>
    <rPh sb="0" eb="2">
      <t>ヤマグチ</t>
    </rPh>
    <phoneticPr fontId="13"/>
  </si>
  <si>
    <t>永尾 達弘</t>
    <rPh sb="0" eb="2">
      <t>ナガオ</t>
    </rPh>
    <rPh sb="3" eb="5">
      <t>タツヒロ</t>
    </rPh>
    <phoneticPr fontId="13"/>
  </si>
  <si>
    <t>なにわ 337 た 1616</t>
    <phoneticPr fontId="13"/>
  </si>
  <si>
    <t>ﾄﾖﾀｶﾛｰﾗ大阪株式会社</t>
    <rPh sb="7" eb="9">
      <t>オオサカ</t>
    </rPh>
    <rPh sb="9" eb="13">
      <t>カブシキガイシャ</t>
    </rPh>
    <phoneticPr fontId="13"/>
  </si>
  <si>
    <t>ﾏｲｸﾛ地図SD(車内)保証書 取説 ｷｰﾚｽ ﾒﾝﾃﾅｽｷｯﾄﾞ</t>
    <rPh sb="4" eb="6">
      <t>チズ</t>
    </rPh>
    <rPh sb="12" eb="15">
      <t>ホショウショ</t>
    </rPh>
    <rPh sb="16" eb="18">
      <t>トリセツ</t>
    </rPh>
    <phoneticPr fontId="13"/>
  </si>
  <si>
    <t>野間 和雄</t>
    <rPh sb="0" eb="2">
      <t>ノマ</t>
    </rPh>
    <rPh sb="3" eb="5">
      <t>カズオ</t>
    </rPh>
    <phoneticPr fontId="13"/>
  </si>
  <si>
    <t>保証書 取説 ﾅﾋﾞ取 ｽﾏｰﾄｷｰ(ﾒｶｷｰなし)ﾏｲｸﾛSD</t>
    <rPh sb="0" eb="3">
      <t>ホショウショ</t>
    </rPh>
    <rPh sb="4" eb="6">
      <t>トリセツ</t>
    </rPh>
    <rPh sb="10" eb="11">
      <t>トリ</t>
    </rPh>
    <phoneticPr fontId="13"/>
  </si>
  <si>
    <t>大阪 399 や 9198</t>
    <rPh sb="0" eb="2">
      <t>オオサカ</t>
    </rPh>
    <phoneticPr fontId="13"/>
  </si>
  <si>
    <t>和泉 329 に 13</t>
    <rPh sb="0" eb="2">
      <t>イズミ</t>
    </rPh>
    <phoneticPr fontId="13"/>
  </si>
  <si>
    <t>株式会社R</t>
    <rPh sb="0" eb="4">
      <t>カブシキガイシャ</t>
    </rPh>
    <phoneticPr fontId="13"/>
  </si>
  <si>
    <t>保証書 取説 ﾅﾋﾞ取 SD ﾐﾆB-CAS</t>
    <rPh sb="0" eb="3">
      <t>ホショウショ</t>
    </rPh>
    <rPh sb="4" eb="6">
      <t>トリセツ</t>
    </rPh>
    <rPh sb="10" eb="11">
      <t>トリ</t>
    </rPh>
    <phoneticPr fontId="13"/>
  </si>
  <si>
    <t>豊橋 581 あ 8179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</si>
  <si>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5">
      <t>ニッサン</t>
    </rPh>
    <rPh sb="5" eb="12">
      <t>ジドウシャカブシキガイシャ</t>
    </rPh>
    <phoneticPr fontId="13"/>
  </si>
  <si>
    <t>愛媛 358 り 23</t>
    <rPh sb="0" eb="2">
      <t>エヒメ</t>
    </rPh>
    <phoneticPr fontId="13"/>
  </si>
  <si>
    <t>日田 清次</t>
    <rPh sb="0" eb="1">
      <t>ヒ</t>
    </rPh>
    <rPh sb="1" eb="2">
      <t>タ</t>
    </rPh>
    <rPh sb="3" eb="4">
      <t>キヨ</t>
    </rPh>
    <rPh sb="4" eb="5">
      <t>ツギ</t>
    </rPh>
    <phoneticPr fontId="13"/>
  </si>
  <si>
    <t>神戸 583 た 3122</t>
    <rPh sb="0" eb="2">
      <t>コウベ</t>
    </rPh>
    <phoneticPr fontId="13"/>
  </si>
  <si>
    <t>岡 進</t>
    <rPh sb="0" eb="1">
      <t>オカ</t>
    </rPh>
    <rPh sb="2" eb="3">
      <t>ススム</t>
    </rPh>
    <phoneticPr fontId="13"/>
  </si>
  <si>
    <t>地図SD(車内)保証書 取説 Sｷｰ</t>
    <rPh sb="0" eb="2">
      <t>チズ</t>
    </rPh>
    <rPh sb="8" eb="11">
      <t>ホショウショ</t>
    </rPh>
    <rPh sb="12" eb="14">
      <t>トリセツ</t>
    </rPh>
    <phoneticPr fontId="13"/>
  </si>
  <si>
    <t>宇都宮 394 ら 358</t>
    <rPh sb="0" eb="3">
      <t>ウツノミヤ</t>
    </rPh>
    <phoneticPr fontId="13"/>
  </si>
  <si>
    <t>乙黒 昭彦</t>
    <rPh sb="0" eb="2">
      <t>オトグロ</t>
    </rPh>
    <rPh sb="3" eb="5">
      <t>アキヒコ</t>
    </rPh>
    <phoneticPr fontId="13"/>
  </si>
  <si>
    <t>宮﨑 599 そ 9847</t>
    <rPh sb="0" eb="2">
      <t>ミヤザキ</t>
    </rPh>
    <phoneticPr fontId="13"/>
  </si>
  <si>
    <t>邨上 義一</t>
    <rPh sb="1" eb="2">
      <t>カミ</t>
    </rPh>
    <rPh sb="3" eb="5">
      <t>ヨシカズ</t>
    </rPh>
    <phoneticPr fontId="13"/>
  </si>
  <si>
    <t>岐阜 586 ろ 1182</t>
    <rPh sb="0" eb="2">
      <t>ギフ</t>
    </rPh>
    <phoneticPr fontId="13"/>
  </si>
  <si>
    <t>奈良 589 て 1107</t>
    <phoneticPr fontId="13"/>
  </si>
  <si>
    <t>株式会社H&amp;YJAPANHOLDINGS</t>
    <rPh sb="0" eb="4">
      <t>カブシキガイシャ</t>
    </rPh>
    <phoneticPr fontId="13"/>
  </si>
  <si>
    <t>岐阜 586 ろ 1327</t>
    <rPh sb="0" eb="2">
      <t>ギフ</t>
    </rPh>
    <phoneticPr fontId="13"/>
  </si>
  <si>
    <t>徳島 330 た 8819</t>
    <rPh sb="0" eb="2">
      <t>トクシマ</t>
    </rPh>
    <phoneticPr fontId="13"/>
  </si>
  <si>
    <t>徳島ﾄﾖﾀ自動車株式会社</t>
    <rPh sb="0" eb="2">
      <t>トクシマ</t>
    </rPh>
    <rPh sb="5" eb="12">
      <t>ジドウシャカブシキガイシャ</t>
    </rPh>
    <phoneticPr fontId="13"/>
  </si>
  <si>
    <t>北九州 338 ぬ 1206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</si>
  <si>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</si>
  <si>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沖縄 300 ら 4110</t>
    <rPh sb="0" eb="2">
      <t>オキナワ</t>
    </rPh>
    <phoneticPr fontId="13"/>
  </si>
  <si>
    <t>株式会社沖縄ﾕｰﾎﾟｽ</t>
    <rPh sb="0" eb="4">
      <t>カブシキガイシャ</t>
    </rPh>
    <rPh sb="4" eb="6">
      <t>オキナワ</t>
    </rPh>
    <phoneticPr fontId="13"/>
  </si>
  <si>
    <t>練馬 334 ほ 64</t>
    <rPh sb="0" eb="2">
      <t>ネリマ</t>
    </rPh>
    <phoneticPr fontId="13"/>
  </si>
  <si>
    <t>ﾘﾓｺﾝ2個 ﾍｯﾄﾞﾌｫﾝ2個(車内)保証書 取説 ｷｰﾚｽ</t>
    <rPh sb="5" eb="6">
      <t>コ</t>
    </rPh>
    <rPh sb="15" eb="16">
      <t>コ</t>
    </rPh>
    <rPh sb="20" eb="23">
      <t>ホショウショ</t>
    </rPh>
    <rPh sb="24" eb="26">
      <t>トリセツ</t>
    </rPh>
    <phoneticPr fontId="13"/>
  </si>
  <si>
    <t>広島 338 や 620</t>
    <rPh sb="0" eb="2">
      <t>ヒロシマ</t>
    </rPh>
    <phoneticPr fontId="13"/>
  </si>
  <si>
    <t>古本 敏彦</t>
    <rPh sb="0" eb="1">
      <t>フル</t>
    </rPh>
    <rPh sb="1" eb="2">
      <t>モト</t>
    </rPh>
    <rPh sb="3" eb="5">
      <t>トシヒコ</t>
    </rPh>
    <phoneticPr fontId="13"/>
  </si>
  <si>
    <t>愛媛 345 も 21</t>
    <rPh sb="0" eb="2">
      <t>エヒメ</t>
    </rPh>
    <phoneticPr fontId="13"/>
  </si>
  <si>
    <t>井上 尚樹</t>
    <rPh sb="0" eb="2">
      <t>イノウエ</t>
    </rPh>
    <rPh sb="3" eb="5">
      <t>ナオキ</t>
    </rPh>
    <phoneticPr fontId="13"/>
  </si>
  <si>
    <t>岡山 330 も 1713</t>
    <rPh sb="0" eb="2">
      <t>オカヤマ</t>
    </rPh>
    <phoneticPr fontId="13"/>
  </si>
  <si>
    <t>小津 研二</t>
    <rPh sb="0" eb="1">
      <t>ショウ</t>
    </rPh>
    <rPh sb="1" eb="2">
      <t>ツ</t>
    </rPh>
    <rPh sb="3" eb="5">
      <t>ケンジ</t>
    </rPh>
    <phoneticPr fontId="13"/>
  </si>
  <si>
    <t>京都 431 ふ 20</t>
    <rPh sb="0" eb="2">
      <t>キョウト</t>
    </rPh>
    <phoneticPr fontId="13"/>
  </si>
  <si>
    <t>ﾈｯﾂﾄﾖﾀ鳥取株式会社</t>
    <rPh sb="6" eb="8">
      <t>トットリ</t>
    </rPh>
    <rPh sb="8" eb="12">
      <t>カブシキガイシャ</t>
    </rPh>
    <phoneticPr fontId="13"/>
  </si>
  <si>
    <t>株式会社ﾄﾖﾀﾚﾝﾘｰｽ岡山</t>
    <rPh sb="0" eb="4">
      <t>カブシキガイシャ</t>
    </rPh>
    <rPh sb="12" eb="14">
      <t>オカヤマ</t>
    </rPh>
    <phoneticPr fontId="13"/>
  </si>
  <si>
    <t>岡山 330 の 263</t>
    <rPh sb="0" eb="2">
      <t>オカヤマ</t>
    </rPh>
    <phoneticPr fontId="13"/>
  </si>
  <si>
    <t>脇 正二</t>
    <rPh sb="0" eb="1">
      <t>ワキ</t>
    </rPh>
    <rPh sb="2" eb="3">
      <t>マサ</t>
    </rPh>
    <rPh sb="3" eb="4">
      <t>ニ</t>
    </rPh>
    <phoneticPr fontId="13"/>
  </si>
  <si>
    <t>なにわ 5P8 ろ 1222</t>
    <phoneticPr fontId="13"/>
  </si>
  <si>
    <t>株式会社ﾄﾖﾀﾚﾝﾘｰｽ大阪</t>
    <rPh sb="0" eb="4">
      <t>カブシキガイシャ</t>
    </rPh>
    <rPh sb="12" eb="14">
      <t>オオサカ</t>
    </rPh>
    <phoneticPr fontId="13"/>
  </si>
  <si>
    <t>林谷 真司</t>
    <rPh sb="0" eb="1">
      <t>ハヤシ</t>
    </rPh>
    <rPh sb="1" eb="2">
      <t>タニ</t>
    </rPh>
    <rPh sb="3" eb="5">
      <t>シンジ</t>
    </rPh>
    <phoneticPr fontId="13"/>
  </si>
  <si>
    <t>那須 580 さ 7491</t>
    <rPh sb="0" eb="2">
      <t>ナス</t>
    </rPh>
    <phoneticPr fontId="13"/>
  </si>
  <si>
    <t>山田 修司</t>
    <rPh sb="0" eb="2">
      <t>ヤマダ</t>
    </rPh>
    <rPh sb="3" eb="5">
      <t>シュウジ</t>
    </rPh>
    <phoneticPr fontId="13"/>
  </si>
  <si>
    <t>姫路 581 む 7995</t>
    <rPh sb="0" eb="2">
      <t>ヒメジ</t>
    </rPh>
    <phoneticPr fontId="13"/>
  </si>
  <si>
    <t>瀨良 君代</t>
    <rPh sb="1" eb="2">
      <t>ヨシ</t>
    </rPh>
    <rPh sb="3" eb="5">
      <t>キミヨ</t>
    </rPh>
    <phoneticPr fontId="13"/>
  </si>
  <si>
    <t>大阪 590 せ 313</t>
    <rPh sb="0" eb="2">
      <t>オオサカ</t>
    </rPh>
    <phoneticPr fontId="13"/>
  </si>
  <si>
    <t>藤井 昇</t>
    <rPh sb="0" eb="2">
      <t>フジイ</t>
    </rPh>
    <rPh sb="3" eb="4">
      <t>ノボル</t>
    </rPh>
    <phoneticPr fontId="13"/>
  </si>
  <si>
    <t>和泉 581 て 3248</t>
    <rPh sb="0" eb="2">
      <t>イズミ</t>
    </rPh>
    <phoneticPr fontId="13"/>
  </si>
  <si>
    <t>馬場 裕史</t>
    <rPh sb="0" eb="2">
      <t>ババ</t>
    </rPh>
    <rPh sb="3" eb="4">
      <t>ユウ</t>
    </rPh>
    <phoneticPr fontId="13"/>
  </si>
  <si>
    <t>倉敷 580 ま 2006</t>
    <rPh sb="0" eb="2">
      <t>クラシキ</t>
    </rPh>
    <phoneticPr fontId="13"/>
  </si>
  <si>
    <t>和泉 581 い 8681</t>
    <rPh sb="0" eb="2">
      <t>イズミ</t>
    </rPh>
    <phoneticPr fontId="13"/>
  </si>
  <si>
    <t>株式会社ｹｲｽﾞ</t>
    <rPh sb="0" eb="4">
      <t>カブシキガイシャ</t>
    </rPh>
    <phoneticPr fontId="13"/>
  </si>
  <si>
    <t>なにわ 5P8 ろ 1927</t>
    <phoneticPr fontId="13"/>
  </si>
  <si>
    <t>足立 530 さ 4019</t>
    <rPh sb="0" eb="2">
      <t>アダチ</t>
    </rPh>
    <phoneticPr fontId="13"/>
  </si>
  <si>
    <t>ﾄﾖﾀﾓﾋﾞﾘﾃｨｻｰﾋﾞｽ東京株式会社</t>
    <rPh sb="14" eb="16">
      <t>トウキョウ</t>
    </rPh>
    <rPh sb="16" eb="20">
      <t>カブシキガイシャ</t>
    </rPh>
    <phoneticPr fontId="13"/>
  </si>
  <si>
    <t>岡山 584 ろ 2608</t>
    <rPh sb="0" eb="2">
      <t>オカヤマ</t>
    </rPh>
    <phoneticPr fontId="13"/>
  </si>
  <si>
    <t>倉敷 587 の 168</t>
    <rPh sb="0" eb="2">
      <t>クラシキ</t>
    </rPh>
    <phoneticPr fontId="13"/>
  </si>
  <si>
    <t>増川 由香</t>
    <rPh sb="0" eb="2">
      <t>マスカワ</t>
    </rPh>
    <rPh sb="3" eb="5">
      <t>ユカ</t>
    </rPh>
    <phoneticPr fontId="13"/>
  </si>
  <si>
    <t>なにわ 5P4 ろ 2331</t>
    <phoneticPr fontId="13"/>
  </si>
  <si>
    <t>滋賀 583 さ 8735</t>
    <rPh sb="0" eb="2">
      <t>シガ</t>
    </rPh>
    <phoneticPr fontId="13"/>
  </si>
  <si>
    <t>長岡 恵美</t>
    <rPh sb="0" eb="2">
      <t>ナガオカ</t>
    </rPh>
    <rPh sb="3" eb="5">
      <t>エミ</t>
    </rPh>
    <phoneticPr fontId="13"/>
  </si>
  <si>
    <t>有限会社ﾍﾞｽﾄﾄｰﾀﾙｵｰﾄ</t>
    <rPh sb="0" eb="4">
      <t>ユウゲンカイシャ</t>
    </rPh>
    <phoneticPr fontId="13"/>
  </si>
  <si>
    <t>千葉 793 ろ 1414</t>
    <rPh sb="0" eb="2">
      <t>チバ</t>
    </rPh>
    <phoneticPr fontId="13"/>
  </si>
  <si>
    <t>名古屋 581 わ 7015</t>
    <rPh sb="0" eb="3">
      <t>ナゴヤ</t>
    </rPh>
    <phoneticPr fontId="13"/>
  </si>
  <si>
    <t>J-netﾚﾝﾀﾘｰｽ株式会社</t>
    <rPh sb="11" eb="15">
      <t>カブシキガイシャ</t>
    </rPh>
    <phoneticPr fontId="13"/>
  </si>
  <si>
    <t>保証書 取説 Sｷｰ ﾚﾝﾀｶｰ</t>
    <rPh sb="0" eb="3">
      <t>ホショウショ</t>
    </rPh>
    <rPh sb="4" eb="6">
      <t>トリセツ</t>
    </rPh>
    <phoneticPr fontId="13"/>
  </si>
  <si>
    <t>株式会社ﾄﾖﾀﾚﾝﾘｰｽ愛知</t>
    <rPh sb="0" eb="4">
      <t>カブシキガイシャ</t>
    </rPh>
    <rPh sb="12" eb="14">
      <t>アイチ</t>
    </rPh>
    <phoneticPr fontId="13"/>
  </si>
  <si>
    <t>和泉 301 の 7657</t>
    <rPh sb="0" eb="2">
      <t>イズミ</t>
    </rPh>
    <phoneticPr fontId="13"/>
  </si>
  <si>
    <t>加減 秀樹</t>
    <rPh sb="0" eb="2">
      <t>カゲン</t>
    </rPh>
    <rPh sb="3" eb="5">
      <t>ヒデキ</t>
    </rPh>
    <phoneticPr fontId="13"/>
  </si>
  <si>
    <t>大分 336 や 4444</t>
    <rPh sb="0" eb="2">
      <t>オオイタ</t>
    </rPh>
    <phoneticPr fontId="13"/>
  </si>
  <si>
    <t>日産ﾌﾟﾘﾝｽ大分販売株式会社</t>
    <rPh sb="0" eb="2">
      <t>ニッサン</t>
    </rPh>
    <rPh sb="7" eb="9">
      <t>オオイタ</t>
    </rPh>
    <rPh sb="9" eb="15">
      <t>ハンバイカブシキガイシャ</t>
    </rPh>
    <phoneticPr fontId="13"/>
  </si>
  <si>
    <t>相模 330 ら 7979</t>
    <rPh sb="0" eb="2">
      <t>サガミ</t>
    </rPh>
    <phoneticPr fontId="13"/>
  </si>
  <si>
    <t>ｶｰﾄﾞｷｰ ｷｰﾚｽ(車内) 保証書 取説</t>
    <rPh sb="16" eb="19">
      <t>ホショウショ</t>
    </rPh>
    <rPh sb="20" eb="22">
      <t>トリセツ</t>
    </rPh>
    <phoneticPr fontId="13"/>
  </si>
  <si>
    <t>971(600)</t>
    <phoneticPr fontId="13"/>
  </si>
  <si>
    <t>KFEP-450953</t>
    <phoneticPr fontId="13"/>
  </si>
  <si>
    <t>MXPB15-3013029</t>
    <phoneticPr fontId="13"/>
  </si>
  <si>
    <t>27-2015</t>
  </si>
  <si>
    <t>27-2016</t>
  </si>
  <si>
    <t>27-2017</t>
  </si>
  <si>
    <t>27-2018</t>
  </si>
  <si>
    <t>27-2019</t>
  </si>
  <si>
    <t>27-2020</t>
  </si>
  <si>
    <t>27-2021</t>
  </si>
  <si>
    <t>27-2022</t>
  </si>
  <si>
    <t>27-2023</t>
  </si>
  <si>
    <t>27-2024</t>
  </si>
  <si>
    <t>27-2025</t>
  </si>
  <si>
    <t>27-2026</t>
  </si>
  <si>
    <t>27-2027</t>
  </si>
  <si>
    <t>27-2028</t>
  </si>
  <si>
    <t>CX5 20S ﾌﾟﾛｱｸﾃｨﾌﾞ</t>
    <phoneticPr fontId="13"/>
  </si>
  <si>
    <t>滋賀 34K と 11</t>
    <rPh sb="0" eb="2">
      <t>シガ</t>
    </rPh>
    <phoneticPr fontId="13"/>
  </si>
  <si>
    <t>ｼﾄﾛｴﾝ C3 ｴｱｸﾛｽ</t>
    <phoneticPr fontId="13"/>
  </si>
  <si>
    <t>VF72RHNPXL4248113</t>
    <phoneticPr fontId="13"/>
  </si>
  <si>
    <t>千葉 303 そ 8087</t>
    <rPh sb="0" eb="2">
      <t>チバ</t>
    </rPh>
    <phoneticPr fontId="13"/>
  </si>
  <si>
    <t>NCP160-0152409</t>
    <phoneticPr fontId="13"/>
  </si>
  <si>
    <t xml:space="preserve">ｼﾞｬｶﾞｰ XF ｽﾎﾟｰﾂﾌﾞﾚｲｸ </t>
    <phoneticPr fontId="13"/>
  </si>
  <si>
    <t>SAJBB2AX5LCY84712</t>
    <phoneticPr fontId="13"/>
  </si>
  <si>
    <t>8/10/8</t>
    <phoneticPr fontId="13"/>
  </si>
  <si>
    <t>相模 346 は 14</t>
    <rPh sb="0" eb="1">
      <t>ソウ</t>
    </rPh>
    <rPh sb="1" eb="2">
      <t>モ</t>
    </rPh>
    <phoneticPr fontId="13"/>
  </si>
  <si>
    <t>27-2029</t>
  </si>
  <si>
    <t>27-2030</t>
  </si>
  <si>
    <t>27-2031</t>
  </si>
  <si>
    <t>27-2032</t>
  </si>
  <si>
    <t>27-2033</t>
  </si>
  <si>
    <t>27-2034</t>
  </si>
  <si>
    <t>27-2035</t>
  </si>
  <si>
    <t>BMW M2 ｸｰﾍﾟ</t>
    <phoneticPr fontId="13"/>
  </si>
  <si>
    <t>WBS2U720007J54727</t>
    <phoneticPr fontId="13"/>
  </si>
  <si>
    <t>ﾒﾙｾﾃﾞｽﾍﾞﾝﾂ E 200ﾜｺﾞﾝ</t>
    <phoneticPr fontId="13"/>
  </si>
  <si>
    <t>W1K2132782B045516</t>
    <phoneticPr fontId="13"/>
  </si>
  <si>
    <t>WMWXS520302C93142</t>
    <phoneticPr fontId="13"/>
  </si>
  <si>
    <t>富山 314 ら 2</t>
    <rPh sb="0" eb="2">
      <t>トヤマ</t>
    </rPh>
    <phoneticPr fontId="13"/>
  </si>
  <si>
    <t>保証書 ｽﾍﾟｱｷｰ 取説</t>
    <rPh sb="0" eb="3">
      <t>ホショウショ</t>
    </rPh>
    <rPh sb="11" eb="13">
      <t>トリセツ</t>
    </rPh>
    <phoneticPr fontId="13"/>
  </si>
  <si>
    <t>27-2036</t>
  </si>
  <si>
    <t>27-2037</t>
  </si>
  <si>
    <t>27-2038</t>
  </si>
  <si>
    <t>27-2039</t>
  </si>
  <si>
    <t>27-2040</t>
  </si>
  <si>
    <t>27-2041</t>
  </si>
  <si>
    <t>27-2042</t>
  </si>
  <si>
    <t>27-2043</t>
  </si>
  <si>
    <t>27-2044</t>
  </si>
  <si>
    <t>27-2045</t>
  </si>
  <si>
    <t>27-2046</t>
  </si>
  <si>
    <t>27-2047</t>
  </si>
  <si>
    <t>LA600S-0517514</t>
    <phoneticPr fontId="13"/>
  </si>
  <si>
    <t>HE33S-428800</t>
    <phoneticPr fontId="13"/>
  </si>
  <si>
    <t>LA800S-0248714</t>
    <phoneticPr fontId="13"/>
  </si>
  <si>
    <t>H58A-0904600</t>
    <phoneticPr fontId="13"/>
  </si>
  <si>
    <t>S710V-0006718</t>
    <phoneticPr fontId="13"/>
  </si>
  <si>
    <t>S321V-0391029</t>
    <phoneticPr fontId="13"/>
  </si>
  <si>
    <t>LA800S-0194218</t>
    <phoneticPr fontId="13"/>
  </si>
  <si>
    <t>DR17W-106189</t>
    <phoneticPr fontId="13"/>
  </si>
  <si>
    <t xml:space="preserve">N-BOXｶｽﾀﾑ </t>
    <phoneticPr fontId="13"/>
  </si>
  <si>
    <t>JF3-5291738</t>
    <phoneticPr fontId="13"/>
  </si>
  <si>
    <t>ｽﾍﾟｰｼｱ ｶｽﾀﾑ</t>
    <phoneticPr fontId="13"/>
  </si>
  <si>
    <t>MK94S-132824</t>
    <phoneticPr fontId="13"/>
  </si>
  <si>
    <t>JB23W-733996</t>
    <phoneticPr fontId="13"/>
  </si>
  <si>
    <t>MK53S-926795</t>
    <phoneticPr fontId="13"/>
  </si>
  <si>
    <t>DS17V-850751</t>
    <phoneticPr fontId="13"/>
  </si>
  <si>
    <t>LA250S-0032010</t>
    <phoneticPr fontId="13"/>
  </si>
  <si>
    <t>MR41S-357669</t>
    <phoneticPr fontId="13"/>
  </si>
  <si>
    <t>MR41S-243141</t>
    <phoneticPr fontId="13"/>
  </si>
  <si>
    <t>MN71S-416417</t>
    <phoneticPr fontId="13"/>
  </si>
  <si>
    <t>B38A-0501427</t>
    <phoneticPr fontId="13"/>
  </si>
  <si>
    <t>JF5-1160909</t>
    <phoneticPr fontId="13"/>
  </si>
  <si>
    <t>名古屋 58A ほ 8699</t>
    <rPh sb="0" eb="3">
      <t>ナゴヤ</t>
    </rPh>
    <phoneticPr fontId="13"/>
  </si>
  <si>
    <t>ｽﾍﾟｰｼｱｶｽﾀﾑ  XSﾀｰﾎﾞ</t>
    <phoneticPr fontId="13"/>
  </si>
  <si>
    <t>MK42S-796293</t>
    <phoneticPr fontId="13"/>
  </si>
  <si>
    <t>岐阜 581 は 2707</t>
    <rPh sb="0" eb="2">
      <t>ギフ</t>
    </rPh>
    <phoneticPr fontId="13"/>
  </si>
  <si>
    <t>JF5-1117069</t>
    <phoneticPr fontId="13"/>
  </si>
  <si>
    <t>名古屋 58A ほ 9889</t>
    <rPh sb="0" eb="3">
      <t>ナゴヤ</t>
    </rPh>
    <phoneticPr fontId="13"/>
  </si>
  <si>
    <t>ﾊｽﾗｰ ﾊｲﾌﾞﾘｯﾄﾞXﾀｰﾎﾞ</t>
    <phoneticPr fontId="13"/>
  </si>
  <si>
    <t>MR52S-117929</t>
    <phoneticPr fontId="13"/>
  </si>
  <si>
    <t>MK53S-487181</t>
    <phoneticPr fontId="13"/>
  </si>
  <si>
    <t>名古屋 58A ま 300</t>
    <rPh sb="0" eb="3">
      <t>ナゴヤ</t>
    </rPh>
    <phoneticPr fontId="13"/>
  </si>
  <si>
    <t>LA650S-1105576</t>
    <phoneticPr fontId="13"/>
  </si>
  <si>
    <t>VF1RJA009P0859915</t>
    <phoneticPr fontId="13"/>
  </si>
  <si>
    <t>名古屋 303 わ 1840</t>
    <rPh sb="0" eb="3">
      <t>ナゴヤ</t>
    </rPh>
    <phoneticPr fontId="13"/>
  </si>
  <si>
    <t>WVWZZZ16ZHM60205</t>
    <phoneticPr fontId="13"/>
  </si>
  <si>
    <t>ｼﾞｰﾌﾟﾗﾝｸﾞﾗｰ ｱﾝﾘﾐﾃｯﾄﾞ ｻﾊﾗ</t>
    <phoneticPr fontId="13"/>
  </si>
  <si>
    <t>1C4HJXLN3PW523780</t>
    <phoneticPr fontId="13"/>
  </si>
  <si>
    <t>A315296</t>
    <phoneticPr fontId="13"/>
  </si>
  <si>
    <t>LA600S-0722146</t>
    <phoneticPr fontId="13"/>
  </si>
  <si>
    <t>タント X SA3</t>
    <phoneticPr fontId="13"/>
  </si>
  <si>
    <t>ﾑｰﾌﾞｷｬﾝﾊﾞｽ GﾒｲｸｱｯﾌﾟﾘﾐﾃｯﾄﾞSA3</t>
    <phoneticPr fontId="13"/>
  </si>
  <si>
    <t>9/11/20</t>
    <phoneticPr fontId="13"/>
  </si>
  <si>
    <t>22/6</t>
    <phoneticPr fontId="13"/>
  </si>
  <si>
    <t>ﾊﾟｼﾞｪﾛﾐﾆ VRﾅﾋﾞｴﾃﾞｨｼｮﾝ</t>
    <phoneticPr fontId="13"/>
  </si>
  <si>
    <t>ﾊｲｾﾞｯﾄ  ｶｰｺﾞ ﾃﾞﾗｯｸｽ</t>
    <phoneticPr fontId="13"/>
  </si>
  <si>
    <t>8/11/27</t>
    <phoneticPr fontId="13"/>
  </si>
  <si>
    <t>ﾑｰﾌﾞｷｬﾝﾊﾟｽ Gﾌﾞﾗｯｸｲﾝﾃﾘｱﾘﾐﾃｯﾄﾞ</t>
    <phoneticPr fontId="13"/>
  </si>
  <si>
    <t xml:space="preserve">NV100ｸﾘｯﾊﾟｰﾘｵ </t>
    <phoneticPr fontId="13"/>
  </si>
  <si>
    <t>N-BOXｶｽﾀﾑ  L ﾎﾝﾀﾞｾﾝｼﾝｸﾞ</t>
    <phoneticPr fontId="13"/>
  </si>
  <si>
    <t>ﾐﾆｷｬﾌﾞ V ﾌﾞﾗﾎﾞｰ ﾀｰﾎﾞ</t>
    <phoneticPr fontId="13"/>
  </si>
  <si>
    <t>ｷｬｽﾄ ｽﾀｲﾙG SA2</t>
    <phoneticPr fontId="13"/>
  </si>
  <si>
    <t>9/1/24</t>
    <phoneticPr fontId="13"/>
  </si>
  <si>
    <t>ｽﾏｰﾄｷｰ ﾜﾝｵｰﾅｰ</t>
    <phoneticPr fontId="13"/>
  </si>
  <si>
    <t>ｸﾛｽﾋﾞｰ MZ 4WD</t>
    <phoneticPr fontId="13"/>
  </si>
  <si>
    <t>10/6/11</t>
    <phoneticPr fontId="13"/>
  </si>
  <si>
    <t>保証書 ｽﾏｰﾄｷｰ ﾏｲｸﾛSDﾄﾞﾗﾚｺ用</t>
    <rPh sb="0" eb="3">
      <t>ホショウショ</t>
    </rPh>
    <rPh sb="22" eb="23">
      <t>ヨウ</t>
    </rPh>
    <phoneticPr fontId="13"/>
  </si>
  <si>
    <t>保証書 取説 ﾅﾋﾞ取 ﾅﾝﾊﾞｰ ﾜﾝｵｰﾅｰ</t>
    <rPh sb="0" eb="3">
      <t>ホショウショ</t>
    </rPh>
    <rPh sb="4" eb="6">
      <t>トリセツ</t>
    </rPh>
    <rPh sb="10" eb="11">
      <t>トリ</t>
    </rPh>
    <phoneticPr fontId="13"/>
  </si>
  <si>
    <t>GYL25-0016937</t>
    <phoneticPr fontId="13"/>
  </si>
  <si>
    <t>AYH30-0127731</t>
    <phoneticPr fontId="13"/>
  </si>
  <si>
    <t>MXPJ10-2017943</t>
    <phoneticPr fontId="13"/>
  </si>
  <si>
    <t>ﾚｸｻｽ RX 450h Fｽﾎﾟｰﾂ</t>
    <phoneticPr fontId="13"/>
  </si>
  <si>
    <t>ｱﾙﾌｧｰﾄﾞ ﾊｲﾌﾞﾘｯﾄﾞ Sﾀｲﾌﾟ</t>
    <phoneticPr fontId="13"/>
  </si>
  <si>
    <t>ﾔﾘｽｸﾛｽ ﾊｲﾌﾞﾘｯﾄﾞZ</t>
    <phoneticPr fontId="13"/>
  </si>
  <si>
    <t>582 い 6032</t>
    <phoneticPr fontId="13"/>
  </si>
  <si>
    <t>582 い 6033</t>
    <phoneticPr fontId="13"/>
  </si>
  <si>
    <t>582 い 6034</t>
    <phoneticPr fontId="13"/>
  </si>
  <si>
    <t>582 い 6035</t>
    <phoneticPr fontId="13"/>
  </si>
  <si>
    <t>582 い 6036</t>
    <phoneticPr fontId="13"/>
  </si>
  <si>
    <t>582 い 6037</t>
    <phoneticPr fontId="13"/>
  </si>
  <si>
    <t>582 い 6038</t>
    <phoneticPr fontId="13"/>
  </si>
  <si>
    <t>582 い 6039</t>
    <phoneticPr fontId="13"/>
  </si>
  <si>
    <t>480 ね 2530</t>
    <phoneticPr fontId="13"/>
  </si>
  <si>
    <t>なにわ 581 せ 4023</t>
    <phoneticPr fontId="13"/>
  </si>
  <si>
    <t>立野 陽平</t>
    <rPh sb="0" eb="2">
      <t>タツノ</t>
    </rPh>
    <rPh sb="3" eb="5">
      <t>ヨウヘイ</t>
    </rPh>
    <phoneticPr fontId="13"/>
  </si>
  <si>
    <t>松嶋 祐哉</t>
    <rPh sb="0" eb="2">
      <t>マツシマ</t>
    </rPh>
    <rPh sb="3" eb="4">
      <t>ユウ</t>
    </rPh>
    <rPh sb="4" eb="5">
      <t>ヤ</t>
    </rPh>
    <phoneticPr fontId="13"/>
  </si>
  <si>
    <t>福岡 39A た 8674</t>
    <rPh sb="0" eb="2">
      <t>フクオカ</t>
    </rPh>
    <phoneticPr fontId="13"/>
  </si>
  <si>
    <t>株式会社KｰLimited</t>
    <rPh sb="0" eb="4">
      <t>カブシキガイシャ</t>
    </rPh>
    <phoneticPr fontId="13"/>
  </si>
  <si>
    <t>地図SD(車内)保証書 ｷｰﾚｽ</t>
    <rPh sb="0" eb="2">
      <t>チズ</t>
    </rPh>
    <rPh sb="8" eb="11">
      <t>ホショウショ</t>
    </rPh>
    <phoneticPr fontId="13"/>
  </si>
  <si>
    <t>地図SD(車内)保証書 取説 ﾅﾋﾞ取 ｷｰﾚｽ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</si>
  <si>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</si>
  <si>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取説 ﾘﾓｺﾝ(車内)</t>
    <rPh sb="0" eb="2">
      <t>トリセツ</t>
    </rPh>
    <phoneticPr fontId="13"/>
  </si>
  <si>
    <t>取説 ｷｰﾚｽ ﾍｯﾄﾞﾌｫﾝ ﾘﾓｺﾝ(車内)</t>
    <rPh sb="0" eb="2">
      <t>トリセツ</t>
    </rPh>
    <phoneticPr fontId="13"/>
  </si>
  <si>
    <t>ｷｰﾚｽ(車内)ﾜﾝｵｰﾅｰ</t>
    <phoneticPr fontId="13"/>
  </si>
  <si>
    <t>ﾘﾓｺﾝ(車内)保証書 取説 Sｷｰ ﾌﾘｯｸﾘﾓｺﾝ</t>
    <rPh sb="8" eb="11">
      <t>ホショウショ</t>
    </rPh>
    <rPh sb="12" eb="14">
      <t>トリセツ</t>
    </rPh>
    <phoneticPr fontId="13"/>
  </si>
  <si>
    <t>27-2048</t>
  </si>
  <si>
    <t>27-2049</t>
  </si>
  <si>
    <t>27-2050</t>
  </si>
  <si>
    <t>27-2051</t>
  </si>
  <si>
    <t>27-2052</t>
  </si>
  <si>
    <t>27-2053</t>
  </si>
  <si>
    <t>27-2054</t>
  </si>
  <si>
    <t>27-2055</t>
  </si>
  <si>
    <t>27-2056</t>
  </si>
  <si>
    <t>27-2057</t>
  </si>
  <si>
    <t>27-2058</t>
  </si>
  <si>
    <t>27-2059</t>
  </si>
  <si>
    <t>27-2060</t>
  </si>
  <si>
    <t>27-2061</t>
  </si>
  <si>
    <t>27-2062</t>
  </si>
  <si>
    <t>A315546</t>
    <phoneticPr fontId="13"/>
  </si>
  <si>
    <t>ﾗﾝﾄﾞｸﾙｰｻﾞｰ ﾌﾟﾗﾄﾞ TX Ｌﾊﾟｯｹｰｼﾞﾏｯﾄ</t>
    <phoneticPr fontId="13"/>
  </si>
  <si>
    <t>TRJ150－0151992</t>
    <phoneticPr fontId="13"/>
  </si>
  <si>
    <t>9/9/29</t>
    <phoneticPr fontId="13"/>
  </si>
  <si>
    <t>A314693</t>
    <phoneticPr fontId="13"/>
  </si>
  <si>
    <t>C-HR Gﾓｰﾄﾞ ﾈﾛ</t>
    <phoneticPr fontId="13"/>
  </si>
  <si>
    <t>ZYX11-2055220</t>
    <phoneticPr fontId="13"/>
  </si>
  <si>
    <t>9/8/29</t>
    <phoneticPr fontId="13"/>
  </si>
  <si>
    <t>A315162</t>
    <phoneticPr fontId="13"/>
  </si>
  <si>
    <t>ﾊｲﾗｯｸｽ Z ﾚﾎﾞﾛｯｺｴﾃﾞｨｼｮﾝ</t>
    <phoneticPr fontId="13"/>
  </si>
  <si>
    <t>GUN125-3957250</t>
    <phoneticPr fontId="13"/>
  </si>
  <si>
    <t>A314081</t>
    <phoneticPr fontId="13"/>
  </si>
  <si>
    <t>ﾊｽﾗｰ J ｽﾀｲﾙ2ﾀｰﾎﾞ</t>
    <phoneticPr fontId="13"/>
  </si>
  <si>
    <t>MR52S-315817</t>
    <phoneticPr fontId="13"/>
  </si>
  <si>
    <t>A314431</t>
    <phoneticPr fontId="13"/>
  </si>
  <si>
    <t>ﾗﾝﾄﾞｸﾙｰｻﾞｰ 250 VX</t>
    <phoneticPr fontId="13"/>
  </si>
  <si>
    <t>TRJ250-0017581</t>
    <phoneticPr fontId="13"/>
  </si>
  <si>
    <t>9/12/15</t>
    <phoneticPr fontId="13"/>
  </si>
  <si>
    <t>27-2063</t>
  </si>
  <si>
    <t>27-2064</t>
  </si>
  <si>
    <t>27-2065</t>
  </si>
  <si>
    <t>27-2066</t>
  </si>
  <si>
    <t>27-2067</t>
  </si>
  <si>
    <t>27-2068</t>
  </si>
  <si>
    <t>27-2069</t>
  </si>
  <si>
    <t>27-2070</t>
  </si>
  <si>
    <t>27-2071</t>
  </si>
  <si>
    <t>27-2072</t>
  </si>
  <si>
    <t>27-2073</t>
  </si>
  <si>
    <t>27-2074</t>
  </si>
  <si>
    <t>27-2075</t>
  </si>
  <si>
    <t>27-2076</t>
  </si>
  <si>
    <t>27-2077</t>
  </si>
  <si>
    <t>27-2078</t>
  </si>
  <si>
    <t>LA350S-0438276</t>
    <phoneticPr fontId="13"/>
  </si>
  <si>
    <t>滋賀 581 よ 267</t>
    <rPh sb="0" eb="2">
      <t>シガ</t>
    </rPh>
    <phoneticPr fontId="13"/>
  </si>
  <si>
    <t>MH55S-112299</t>
    <phoneticPr fontId="13"/>
  </si>
  <si>
    <t>8/10/4</t>
    <phoneticPr fontId="13"/>
  </si>
  <si>
    <t>L375S-0425123</t>
    <phoneticPr fontId="13"/>
  </si>
  <si>
    <t>8/5/23</t>
    <phoneticPr fontId="13"/>
  </si>
  <si>
    <t>N-ONE G</t>
    <phoneticPr fontId="13"/>
  </si>
  <si>
    <t>JG1-1200819</t>
    <phoneticPr fontId="13"/>
  </si>
  <si>
    <t>8/9/12</t>
    <phoneticPr fontId="13"/>
  </si>
  <si>
    <t>29/？</t>
    <phoneticPr fontId="13"/>
  </si>
  <si>
    <t>ﾚｸｻｽ IS 300h Fｽﾎﾟｰﾂ</t>
    <phoneticPr fontId="13"/>
  </si>
  <si>
    <t>AVE30-5062093</t>
    <phoneticPr fontId="13"/>
  </si>
  <si>
    <t>保証書 取説 ｶｰﾄﾞｷｰ ｽﾏｰﾄｷｰ 地図SD</t>
    <rPh sb="0" eb="3">
      <t>ホショウショ</t>
    </rPh>
    <rPh sb="4" eb="6">
      <t>トリセツ</t>
    </rPh>
    <rPh sb="21" eb="23">
      <t>チズ</t>
    </rPh>
    <phoneticPr fontId="13"/>
  </si>
  <si>
    <t>ｽｲﾌﾄ RS</t>
    <phoneticPr fontId="13"/>
  </si>
  <si>
    <t>ZC83S-137677</t>
    <phoneticPr fontId="13"/>
  </si>
  <si>
    <t>ﾌｫﾚｽﾀｰ X ﾌﾞﾚｲｸ</t>
    <phoneticPr fontId="13"/>
  </si>
  <si>
    <t>SK9-005644</t>
    <phoneticPr fontId="13"/>
  </si>
  <si>
    <t>9/8/24</t>
    <phoneticPr fontId="13"/>
  </si>
  <si>
    <t>ﾊｲｾﾞｯﾄﾄﾗｯｸ ｼﾞｬﾝﾎﾞｴｸｲｽﾄﾗ</t>
    <phoneticPr fontId="13"/>
  </si>
  <si>
    <t>S500P-0209752</t>
    <phoneticPr fontId="13"/>
  </si>
  <si>
    <t>9/9/4</t>
    <phoneticPr fontId="13"/>
  </si>
  <si>
    <t>保証書 取説 ｽﾏｰﾄｷｰ ｽﾍﾟｱｷｰ2個 ﾜﾝｵｰﾅｰ</t>
    <rPh sb="0" eb="3">
      <t>ホショウショ</t>
    </rPh>
    <rPh sb="4" eb="6">
      <t>トリセツ</t>
    </rPh>
    <rPh sb="21" eb="22">
      <t>コ</t>
    </rPh>
    <phoneticPr fontId="13"/>
  </si>
  <si>
    <t>ｱﾙﾄﾗﾊﾟﾝﾓｰﾄﾞ2型</t>
    <rPh sb="12" eb="13">
      <t>ガタ</t>
    </rPh>
    <phoneticPr fontId="13"/>
  </si>
  <si>
    <t>HE33S-256687</t>
    <phoneticPr fontId="13"/>
  </si>
  <si>
    <t>ｴﾌﾞﾘｲ ｼﾞｮｲﾝ6型</t>
    <rPh sb="12" eb="13">
      <t>ガタ</t>
    </rPh>
    <phoneticPr fontId="13"/>
  </si>
  <si>
    <t>DA17V-905169</t>
    <phoneticPr fontId="13"/>
  </si>
  <si>
    <t>9/3/24</t>
    <phoneticPr fontId="13"/>
  </si>
  <si>
    <t>HA36S-612375</t>
    <phoneticPr fontId="13"/>
  </si>
  <si>
    <t>ｱﾙﾄﾗﾊﾟﾝｼｮｺﾗ X</t>
    <phoneticPr fontId="13"/>
  </si>
  <si>
    <t>HE22S-824538</t>
    <phoneticPr fontId="13"/>
  </si>
  <si>
    <t>HE22S-277376</t>
    <phoneticPr fontId="13"/>
  </si>
  <si>
    <t>JF1-1074770</t>
    <phoneticPr fontId="13"/>
  </si>
  <si>
    <t>ﾅﾋﾞ取 取説 ﾜﾝｵｰﾅｰ 地図SD</t>
    <rPh sb="3" eb="4">
      <t>トリ</t>
    </rPh>
    <rPh sb="5" eb="7">
      <t>トリセツ</t>
    </rPh>
    <rPh sb="15" eb="17">
      <t>チズ</t>
    </rPh>
    <phoneticPr fontId="13"/>
  </si>
  <si>
    <t>川口 584 は 3939</t>
    <rPh sb="0" eb="2">
      <t>カワグチ</t>
    </rPh>
    <phoneticPr fontId="13"/>
  </si>
  <si>
    <t>井上 真希</t>
    <rPh sb="0" eb="2">
      <t>イノウエ</t>
    </rPh>
    <rPh sb="3" eb="5">
      <t>マキ</t>
    </rPh>
    <phoneticPr fontId="13"/>
  </si>
  <si>
    <t>保証書 取説 地図SD(車内)ｷｰﾚｽ</t>
    <rPh sb="0" eb="3">
      <t>ホショウショ</t>
    </rPh>
    <rPh sb="4" eb="6">
      <t>トリセツ</t>
    </rPh>
    <rPh sb="7" eb="9">
      <t>チズ</t>
    </rPh>
    <phoneticPr fontId="13"/>
  </si>
  <si>
    <t>広島 581 ね 6458</t>
    <rPh sb="0" eb="2">
      <t>ヒロシマ</t>
    </rPh>
    <phoneticPr fontId="13"/>
  </si>
  <si>
    <t>谷本 和夫</t>
    <rPh sb="0" eb="2">
      <t>タニモト</t>
    </rPh>
    <rPh sb="3" eb="5">
      <t>カズオ</t>
    </rPh>
    <phoneticPr fontId="13"/>
  </si>
  <si>
    <t>横浜 39A や 7408</t>
    <rPh sb="0" eb="2">
      <t>ヨコハマ</t>
    </rPh>
    <phoneticPr fontId="13"/>
  </si>
  <si>
    <t>三重 302 さ 9831</t>
    <rPh sb="0" eb="2">
      <t>ミエ</t>
    </rPh>
    <phoneticPr fontId="13"/>
  </si>
  <si>
    <t>三重ﾄﾖﾀ自動車株式会社</t>
    <rPh sb="0" eb="2">
      <t>ミエ</t>
    </rPh>
    <rPh sb="5" eb="12">
      <t>ジドウシャカブシキガイシャ</t>
    </rPh>
    <phoneticPr fontId="13"/>
  </si>
  <si>
    <t>なにわ 331 り 6699</t>
    <phoneticPr fontId="13"/>
  </si>
  <si>
    <t>福井 英夫</t>
    <rPh sb="0" eb="2">
      <t>フクイ</t>
    </rPh>
    <rPh sb="3" eb="5">
      <t>ヒデオ</t>
    </rPh>
    <phoneticPr fontId="13"/>
  </si>
  <si>
    <t>富士山 399 ぬ 8117</t>
    <rPh sb="0" eb="3">
      <t>フジサン</t>
    </rPh>
    <phoneticPr fontId="13"/>
  </si>
  <si>
    <t>株式会社ﾎﾝﾀﾞｶｰｽﾞ静岡</t>
    <rPh sb="0" eb="4">
      <t>カブシキガイシャ</t>
    </rPh>
    <rPh sb="12" eb="14">
      <t>シズオカ</t>
    </rPh>
    <phoneticPr fontId="13"/>
  </si>
  <si>
    <t>VR7ECYHZRLJ775218</t>
    <phoneticPr fontId="13"/>
  </si>
  <si>
    <t>書類返送12/6</t>
    <rPh sb="0" eb="2">
      <t>ショルイ</t>
    </rPh>
    <rPh sb="2" eb="4">
      <t>ヘンソウ</t>
    </rPh>
    <phoneticPr fontId="13"/>
  </si>
  <si>
    <t>戸田様</t>
    <rPh sb="0" eb="2">
      <t>トダ</t>
    </rPh>
    <rPh sb="2" eb="3">
      <t>サマ</t>
    </rPh>
    <phoneticPr fontId="13"/>
  </si>
  <si>
    <t>BMWﾐﾆｸﾛｽｵｰﾊﾞｰ</t>
    <phoneticPr fontId="13"/>
  </si>
  <si>
    <t>WMWZB32060WL97594</t>
    <phoneticPr fontId="13"/>
  </si>
  <si>
    <t>神戸 381 に 358</t>
    <rPh sb="0" eb="2">
      <t>コウベ</t>
    </rPh>
    <phoneticPr fontId="13"/>
  </si>
  <si>
    <t>戸田 こずえ</t>
    <rPh sb="0" eb="2">
      <t>トダ</t>
    </rPh>
    <phoneticPr fontId="13"/>
  </si>
  <si>
    <t>27-2079</t>
  </si>
  <si>
    <t>ｾﾚﾅ ﾊｲｳｪｲｽﾀｰS</t>
    <phoneticPr fontId="13"/>
  </si>
  <si>
    <t>FPC26-051218</t>
    <phoneticPr fontId="13"/>
  </si>
  <si>
    <t>9/1/17</t>
    <phoneticPr fontId="13"/>
  </si>
  <si>
    <t>福山 300 も 7638</t>
    <rPh sb="0" eb="2">
      <t>フクヤマ</t>
    </rPh>
    <phoneticPr fontId="13"/>
  </si>
  <si>
    <t>ｲﾝﾃﾘｷｰ</t>
    <phoneticPr fontId="13"/>
  </si>
  <si>
    <t>ｱｳﾃﾞｨTTｸｰﾍﾟ 2.0TFSI</t>
    <phoneticPr fontId="13"/>
  </si>
  <si>
    <t>TRUZZZFV4G1016779</t>
    <phoneticPr fontId="13"/>
  </si>
  <si>
    <t>9/4/16</t>
    <phoneticPr fontId="13"/>
  </si>
  <si>
    <t>熊本 332 は 2324</t>
    <rPh sb="0" eb="2">
      <t>クマモト</t>
    </rPh>
    <phoneticPr fontId="13"/>
  </si>
  <si>
    <t>ｱｳﾃﾞｨA6 2.0TFSIｸﾜﾄﾛ</t>
    <phoneticPr fontId="13"/>
  </si>
  <si>
    <t>WAUZZZ4G6GN112305</t>
    <phoneticPr fontId="13"/>
  </si>
  <si>
    <t>ZFA3120000J875916</t>
    <phoneticPr fontId="13"/>
  </si>
  <si>
    <t>久留米 501 ぬ 6639</t>
    <rPh sb="0" eb="3">
      <t>クルメ</t>
    </rPh>
    <phoneticPr fontId="13"/>
  </si>
  <si>
    <t>ｵｰﾗ NISMO</t>
    <phoneticPr fontId="13"/>
  </si>
  <si>
    <t>FE13-225873</t>
    <phoneticPr fontId="13"/>
  </si>
  <si>
    <t>姫路 333 て 1728</t>
    <rPh sb="0" eb="2">
      <t>ヒメジ</t>
    </rPh>
    <phoneticPr fontId="13"/>
  </si>
  <si>
    <t>ｱｸｱ GRｽﾎﾟｰﾂ</t>
    <phoneticPr fontId="13"/>
  </si>
  <si>
    <t>MXPK11-2133017</t>
    <phoneticPr fontId="13"/>
  </si>
  <si>
    <t>神戸 538 る 335</t>
    <rPh sb="0" eb="2">
      <t>コウベ</t>
    </rPh>
    <phoneticPr fontId="13"/>
  </si>
  <si>
    <t>ｽｲﾌﾄ  ｽﾎﾟｰﾂ</t>
    <phoneticPr fontId="13"/>
  </si>
  <si>
    <t>ZC32S-305769</t>
    <phoneticPr fontId="13"/>
  </si>
  <si>
    <t>ﾙｰｸｽﾊｲｳｪｲｽﾀｰ G</t>
    <phoneticPr fontId="13"/>
  </si>
  <si>
    <t>B45A-0315855</t>
    <phoneticPr fontId="13"/>
  </si>
  <si>
    <t>LA350S-0421240</t>
    <phoneticPr fontId="13"/>
  </si>
  <si>
    <t>岡山 581 や 4663</t>
    <rPh sb="0" eb="2">
      <t>オカヤマ</t>
    </rPh>
    <phoneticPr fontId="13"/>
  </si>
  <si>
    <t>9/8/20</t>
    <phoneticPr fontId="13"/>
  </si>
  <si>
    <t>富山 301 ほ 5515</t>
    <rPh sb="0" eb="2">
      <t>トヤマ</t>
    </rPh>
    <phoneticPr fontId="13"/>
  </si>
  <si>
    <t>VF72RHNPXL4389368</t>
    <phoneticPr fontId="13"/>
  </si>
  <si>
    <t>岐阜 371 ね 4</t>
    <rPh sb="0" eb="2">
      <t>ギフ</t>
    </rPh>
    <phoneticPr fontId="13"/>
  </si>
  <si>
    <t>保証書 取説 ｽﾍﾟｱｷｰ 名変期限1/27まで</t>
    <rPh sb="0" eb="3">
      <t>ホショウショ</t>
    </rPh>
    <rPh sb="4" eb="6">
      <t>トリセツ</t>
    </rPh>
    <rPh sb="14" eb="18">
      <t>メイヘンキゲン</t>
    </rPh>
    <phoneticPr fontId="13"/>
  </si>
  <si>
    <t>BMW X3 xdrive20d</t>
    <phoneticPr fontId="13"/>
  </si>
  <si>
    <t>WBATX32080LG61300</t>
    <phoneticPr fontId="13"/>
  </si>
  <si>
    <t>広島 302 せ 6414</t>
    <rPh sb="0" eb="2">
      <t>ヒロシマ</t>
    </rPh>
    <phoneticPr fontId="13"/>
  </si>
  <si>
    <t>多摩 504 つ 1766</t>
    <rPh sb="0" eb="2">
      <t>タマ</t>
    </rPh>
    <phoneticPr fontId="13"/>
  </si>
  <si>
    <t>田中 綾萌</t>
    <rPh sb="0" eb="2">
      <t>タナカ</t>
    </rPh>
    <rPh sb="3" eb="4">
      <t>アヤ</t>
    </rPh>
    <rPh sb="4" eb="5">
      <t>モエ</t>
    </rPh>
    <phoneticPr fontId="13"/>
  </si>
  <si>
    <t>12/7</t>
    <phoneticPr fontId="13"/>
  </si>
  <si>
    <t>松崎 修司</t>
    <rPh sb="0" eb="2">
      <t>マツザキ</t>
    </rPh>
    <rPh sb="3" eb="5">
      <t>シュウジ</t>
    </rPh>
    <phoneticPr fontId="13"/>
  </si>
  <si>
    <t>取説 ﾅﾋﾞ取 ｷｰﾚｽ ←ｽﾄｯｸ</t>
    <rPh sb="0" eb="2">
      <t>トリセツ</t>
    </rPh>
    <rPh sb="6" eb="7">
      <t>トリ</t>
    </rPh>
    <phoneticPr fontId="13"/>
  </si>
  <si>
    <t>保証書 取説 ｷｰﾚｽ←ｽﾄｯｸ</t>
    <rPh sb="0" eb="3">
      <t>ホショウショ</t>
    </rPh>
    <rPh sb="4" eb="6">
      <t>トリセツ</t>
    </rPh>
    <phoneticPr fontId="13"/>
  </si>
  <si>
    <t>大宮 30A ふ 8888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</si>
  <si>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</si>
  <si>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高松 300 そ 6870</t>
    <rPh sb="0" eb="2">
      <t>タカマツ</t>
    </rPh>
    <phoneticPr fontId="13"/>
  </si>
  <si>
    <t>ﾈｯﾂﾄﾖﾀ高松株式会社</t>
    <rPh sb="6" eb="8">
      <t>タカマツ</t>
    </rPh>
    <rPh sb="8" eb="12">
      <t>カブシキガイシャ</t>
    </rPh>
    <phoneticPr fontId="13"/>
  </si>
  <si>
    <t>神戸 382 す 1115</t>
    <rPh sb="0" eb="2">
      <t>コウベ</t>
    </rPh>
    <phoneticPr fontId="13"/>
  </si>
  <si>
    <t>株式会社ﾓﾄｰﾚﾝ神戸</t>
    <rPh sb="0" eb="4">
      <t>カブシキガイシャ</t>
    </rPh>
    <rPh sb="9" eb="11">
      <t>コウベ</t>
    </rPh>
    <phoneticPr fontId="13"/>
  </si>
  <si>
    <t>岐阜 399 の 3417</t>
    <rPh sb="0" eb="2">
      <t>ギフ</t>
    </rPh>
    <phoneticPr fontId="13"/>
  </si>
  <si>
    <t>大阪 581 て 9504</t>
    <rPh sb="0" eb="2">
      <t>オオサカ</t>
    </rPh>
    <phoneticPr fontId="13"/>
  </si>
  <si>
    <t>株式会社ｶﾐﾀｹﾓｰﾀｰｽ</t>
    <rPh sb="0" eb="4">
      <t>カブシキガイシャ</t>
    </rPh>
    <phoneticPr fontId="13"/>
  </si>
  <si>
    <t>八王子 580 ふ 6527</t>
    <rPh sb="0" eb="3">
      <t>ハチオウジ</t>
    </rPh>
    <phoneticPr fontId="13"/>
  </si>
  <si>
    <t>高野 一寛</t>
    <rPh sb="0" eb="2">
      <t>タカノ</t>
    </rPh>
    <rPh sb="3" eb="4">
      <t>イチ</t>
    </rPh>
    <rPh sb="4" eb="5">
      <t>ヒロ</t>
    </rPh>
    <phoneticPr fontId="13"/>
  </si>
  <si>
    <t>地図SD(車内)保証書 取説 ﾜﾝｵｰﾅｰ ｽﾍﾟｱｷｰ</t>
    <rPh sb="0" eb="2">
      <t>チズ</t>
    </rPh>
    <rPh sb="8" eb="11">
      <t>ホショウショ</t>
    </rPh>
    <rPh sb="12" eb="14">
      <t>トリセツ</t>
    </rPh>
    <phoneticPr fontId="13"/>
  </si>
  <si>
    <t>仙台 580 と 6346</t>
    <rPh sb="0" eb="2">
      <t>センダイ</t>
    </rPh>
    <phoneticPr fontId="13"/>
  </si>
  <si>
    <t>鈴木 秀俊</t>
    <rPh sb="0" eb="2">
      <t>スズキ</t>
    </rPh>
    <rPh sb="3" eb="4">
      <t>ヒデ</t>
    </rPh>
    <rPh sb="4" eb="5">
      <t>シュン</t>
    </rPh>
    <phoneticPr fontId="13"/>
  </si>
  <si>
    <r>
      <t>整備手帳</t>
    </r>
    <r>
      <rPr>
        <sz val="11"/>
        <color rgb="FFFF0000"/>
        <rFont val="ＭＳ Ｐゴシック"/>
        <family val="3"/>
        <charset val="128"/>
        <scheme val="minor"/>
      </rPr>
      <t xml:space="preserve">(ﾃﾞｨｰﾗｰ印なし)問い合わせ中 </t>
    </r>
    <r>
      <rPr>
        <sz val="11"/>
        <color theme="3"/>
        <rFont val="ＭＳ Ｐゴシック"/>
        <family val="3"/>
        <charset val="128"/>
        <scheme val="minor"/>
      </rPr>
      <t>取説 ｽﾍﾟｱｷｰ</t>
    </r>
    <rPh sb="0" eb="4">
      <t>セイビテチョウ</t>
    </rPh>
    <rPh sb="11" eb="12">
      <t>イン</t>
    </rPh>
    <rPh sb="15" eb="16">
      <t>ト</t>
    </rPh>
    <rPh sb="17" eb="18">
      <t>ア</t>
    </rPh>
    <rPh sb="20" eb="21">
      <t>チュウ</t>
    </rPh>
    <rPh sb="22" eb="24">
      <t>トリセツ</t>
    </rPh>
    <phoneticPr fontId="13"/>
  </si>
  <si>
    <t>滋賀 399 ち 4658</t>
    <rPh sb="0" eb="2">
      <t>シガ</t>
    </rPh>
    <phoneticPr fontId="13"/>
  </si>
  <si>
    <t>足立 326 そ 9611</t>
    <rPh sb="0" eb="2">
      <t>アダチ</t>
    </rPh>
    <phoneticPr fontId="13"/>
  </si>
  <si>
    <t>沖縄 330 た 1739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</si>
  <si>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</si>
  <si>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27-2080</t>
  </si>
  <si>
    <t>27-2081</t>
  </si>
  <si>
    <t>27-2082</t>
  </si>
  <si>
    <t>27-2083</t>
  </si>
  <si>
    <t>27-2084</t>
  </si>
  <si>
    <t>27-2085</t>
  </si>
  <si>
    <t>27-2086</t>
  </si>
  <si>
    <t>27-2087</t>
  </si>
  <si>
    <t>27-2088</t>
  </si>
  <si>
    <t>27-2089</t>
  </si>
  <si>
    <t>27-2090</t>
  </si>
  <si>
    <t>27-2091</t>
  </si>
  <si>
    <t>27-2092</t>
  </si>
  <si>
    <t>27-2093</t>
  </si>
  <si>
    <t>WMWXR320402N81507</t>
    <phoneticPr fontId="13"/>
  </si>
  <si>
    <t>京都 331 ぬ 5101</t>
    <rPh sb="0" eb="2">
      <t>キョウト</t>
    </rPh>
    <phoneticPr fontId="13"/>
  </si>
  <si>
    <t>保証書 取説 ｽﾍﾟｱｷｰ ﾜﾝｵｰﾅｰ 名変期限1/15まで</t>
    <rPh sb="0" eb="3">
      <t>ホショウショ</t>
    </rPh>
    <rPh sb="4" eb="6">
      <t>トリセツ</t>
    </rPh>
    <rPh sb="21" eb="25">
      <t>メイヘンキゲン</t>
    </rPh>
    <phoneticPr fontId="13"/>
  </si>
  <si>
    <t>A314125</t>
    <phoneticPr fontId="13"/>
  </si>
  <si>
    <t>ﾊｽﾗｰ 特別仕様車Jｽﾀｲﾙ</t>
    <rPh sb="5" eb="10">
      <t>トクベツシヨウシャ</t>
    </rPh>
    <phoneticPr fontId="13"/>
  </si>
  <si>
    <t>MR92S-234177</t>
    <phoneticPr fontId="13"/>
  </si>
  <si>
    <t>27-2094</t>
  </si>
  <si>
    <t>VW ｱﾙﾃｵﾝ Rﾗｲﾝ4ﾓｰｼｮﾝ ｱﾄﾞﾊﾞﾝｽ</t>
    <phoneticPr fontId="13"/>
  </si>
  <si>
    <t>WVWZZZ3HZKE005738</t>
    <phoneticPr fontId="13"/>
  </si>
  <si>
    <t>ｱｳﾃﾞｨA3 ｽﾎﾟｰﾂﾊﾞｯｸ 30TFSI</t>
    <phoneticPr fontId="13"/>
  </si>
  <si>
    <t>WAUZZZ8V6LA070308</t>
    <phoneticPr fontId="13"/>
  </si>
  <si>
    <t>ｱｳﾃﾞｨA1 ｽﾎﾟｰﾂﾊﾞｯｸ</t>
    <phoneticPr fontId="13"/>
  </si>
  <si>
    <t>WAUZZZ8X0HB035928</t>
    <phoneticPr fontId="13"/>
  </si>
  <si>
    <t>T ﾛｯｸ TDIｽﾀｲﾙﾃﾞｻﾞｲﾝﾊﾟｯｹｰｼﾞ</t>
    <phoneticPr fontId="13"/>
  </si>
  <si>
    <t>ﾌｨｱｯﾄ500 C1.2ｶﾙﾄ</t>
    <phoneticPr fontId="13"/>
  </si>
  <si>
    <t>ﾌｨｱｯﾄ500 2D C1.2ﾎﾟｯﾌﾟ</t>
    <phoneticPr fontId="13"/>
  </si>
  <si>
    <t>福井 532 さ 193</t>
    <rPh sb="0" eb="2">
      <t>フクイ</t>
    </rPh>
    <phoneticPr fontId="13"/>
  </si>
  <si>
    <t>ﾎﾝﾀﾞ北海道(まとめ)</t>
    <rPh sb="4" eb="7">
      <t>ホッカイドウ</t>
    </rPh>
    <phoneticPr fontId="13"/>
  </si>
  <si>
    <t>VWｺﾞﾙﾌﾜｺﾞﾝ ｵｰﾙﾄﾗｯｸTSI</t>
    <phoneticPr fontId="13"/>
  </si>
  <si>
    <t>HE33S-515398</t>
    <phoneticPr fontId="13"/>
  </si>
  <si>
    <t>JB64W-113539</t>
    <phoneticPr fontId="13"/>
  </si>
  <si>
    <t>GDH206-1006053</t>
    <phoneticPr fontId="13"/>
  </si>
  <si>
    <t>LA600S-0617495</t>
    <phoneticPr fontId="13"/>
  </si>
  <si>
    <t>JB23W-751522</t>
    <phoneticPr fontId="13"/>
  </si>
  <si>
    <t>ｱﾙﾌｧｰﾄﾞ ﾊｲﾌﾞﾘｯﾄﾞ4WD</t>
    <phoneticPr fontId="13"/>
  </si>
  <si>
    <t>AYH30-0140791</t>
    <phoneticPr fontId="13"/>
  </si>
  <si>
    <t>B21A-0322088</t>
    <phoneticPr fontId="13"/>
  </si>
  <si>
    <t>BMWﾐﾆｸｰﾊﾟｰSｾﾌﾞﾝ</t>
    <phoneticPr fontId="13"/>
  </si>
  <si>
    <t>滋賀 330 せ 9857</t>
    <rPh sb="0" eb="2">
      <t>シガ</t>
    </rPh>
    <phoneticPr fontId="13"/>
  </si>
  <si>
    <t>ｼﾞﾑﾆｰ 4WD ﾗﾝﾄﾞﾍﾞﾝﾁｬｰ</t>
    <phoneticPr fontId="13"/>
  </si>
  <si>
    <t>ｼﾞﾑﾆｰ 4WD XC</t>
    <phoneticPr fontId="13"/>
  </si>
  <si>
    <t>地図SD(車内)保証書 取説 Sｷｰ ﾜﾝｵｰﾅｰ</t>
    <rPh sb="8" eb="11">
      <t>ホショウショ</t>
    </rPh>
    <rPh sb="12" eb="14">
      <t>トリセツ</t>
    </rPh>
    <phoneticPr fontId="13"/>
  </si>
  <si>
    <t>愛媛 337 せ 628</t>
    <rPh sb="0" eb="2">
      <t>エヒメ</t>
    </rPh>
    <phoneticPr fontId="13"/>
  </si>
  <si>
    <t>ﾈｯﾂﾄﾖﾀ愛媛株式会社</t>
    <rPh sb="6" eb="8">
      <t>エヒメ</t>
    </rPh>
    <rPh sb="8" eb="12">
      <t>カブシキガイシャ</t>
    </rPh>
    <phoneticPr fontId="13"/>
  </si>
  <si>
    <t>名古屋 582 ち 5979</t>
    <rPh sb="0" eb="3">
      <t>ナゴヤ</t>
    </rPh>
    <phoneticPr fontId="13"/>
  </si>
  <si>
    <t>岩田 直樹</t>
    <rPh sb="0" eb="2">
      <t>イワタ</t>
    </rPh>
    <rPh sb="3" eb="5">
      <t>ナオキ</t>
    </rPh>
    <phoneticPr fontId="13"/>
  </si>
  <si>
    <t>保証書 取説  12月末名変</t>
    <phoneticPr fontId="13"/>
  </si>
  <si>
    <t xml:space="preserve">地図SD(車内) 保証書 取説 </t>
    <rPh sb="9" eb="12">
      <t>ホショウショ</t>
    </rPh>
    <rPh sb="13" eb="15">
      <t>トリセツ</t>
    </rPh>
    <phoneticPr fontId="13"/>
  </si>
  <si>
    <t>582 い 6215</t>
    <phoneticPr fontId="13"/>
  </si>
  <si>
    <t>582 い 6213</t>
    <phoneticPr fontId="13"/>
  </si>
  <si>
    <t>582 い 6214</t>
    <phoneticPr fontId="13"/>
  </si>
  <si>
    <t>582 い 6216</t>
    <phoneticPr fontId="13"/>
  </si>
  <si>
    <t>582 い 6217</t>
    <phoneticPr fontId="13"/>
  </si>
  <si>
    <t>582 い 6218</t>
    <phoneticPr fontId="13"/>
  </si>
  <si>
    <t>480 ね 2577</t>
    <phoneticPr fontId="13"/>
  </si>
  <si>
    <t>301 ね 4761</t>
    <phoneticPr fontId="13"/>
  </si>
  <si>
    <t>301 ね4760</t>
    <phoneticPr fontId="13"/>
  </si>
  <si>
    <t>301 ね 4759</t>
    <phoneticPr fontId="13"/>
  </si>
  <si>
    <t>301 ね 4758</t>
    <phoneticPr fontId="13"/>
  </si>
  <si>
    <t>30 ね 4757</t>
    <phoneticPr fontId="13"/>
  </si>
  <si>
    <t>501 ゆ 2618</t>
    <phoneticPr fontId="13"/>
  </si>
  <si>
    <t>501 ゆ 2617</t>
    <phoneticPr fontId="13"/>
  </si>
  <si>
    <t>301 ね 4755</t>
    <phoneticPr fontId="13"/>
  </si>
  <si>
    <t>301 ね 4756</t>
    <phoneticPr fontId="13"/>
  </si>
  <si>
    <t>岡山 531 せ 6262</t>
    <rPh sb="0" eb="2">
      <t>オカヤマ</t>
    </rPh>
    <phoneticPr fontId="13"/>
  </si>
  <si>
    <t>ｽﾊﾞﾙ中四国株式会社</t>
    <rPh sb="4" eb="5">
      <t>ナカ</t>
    </rPh>
    <rPh sb="5" eb="7">
      <t>シコク</t>
    </rPh>
    <rPh sb="7" eb="11">
      <t>カブシキガイシャ</t>
    </rPh>
    <phoneticPr fontId="13"/>
  </si>
  <si>
    <t>ｷｬﾝｾﾙ書類返送12/9</t>
    <rPh sb="5" eb="7">
      <t>ショルイ</t>
    </rPh>
    <rPh sb="7" eb="9">
      <t>ヘンソウ</t>
    </rPh>
    <phoneticPr fontId="13"/>
  </si>
  <si>
    <t>27-1473</t>
    <phoneticPr fontId="13"/>
  </si>
  <si>
    <t>27-2095</t>
  </si>
  <si>
    <t>27-2096</t>
  </si>
  <si>
    <t>27-2097</t>
  </si>
  <si>
    <t>27-2098</t>
  </si>
  <si>
    <t>27-2099</t>
  </si>
  <si>
    <t>27-2100</t>
  </si>
  <si>
    <t>27-2101</t>
  </si>
  <si>
    <t>27-2102</t>
  </si>
  <si>
    <t>27-2103</t>
  </si>
  <si>
    <t>27-2104</t>
  </si>
  <si>
    <t>27-2105</t>
  </si>
  <si>
    <t>27-2106</t>
  </si>
  <si>
    <t>27-2107</t>
  </si>
  <si>
    <t>27-2108</t>
  </si>
  <si>
    <t>27-2109</t>
  </si>
  <si>
    <t>27-2110</t>
  </si>
  <si>
    <t>27-2111</t>
  </si>
  <si>
    <t>27-2112</t>
  </si>
  <si>
    <t>27-2113</t>
  </si>
  <si>
    <t>27-2114</t>
  </si>
  <si>
    <t>A315758</t>
    <phoneticPr fontId="13"/>
  </si>
  <si>
    <t>AZSH32-0008335</t>
    <phoneticPr fontId="13"/>
  </si>
  <si>
    <t>A315524</t>
    <phoneticPr fontId="13"/>
  </si>
  <si>
    <t>AXUH80-0114491</t>
    <phoneticPr fontId="13"/>
  </si>
  <si>
    <t>A315592</t>
    <phoneticPr fontId="13"/>
  </si>
  <si>
    <t>MR92S-335305</t>
    <phoneticPr fontId="13"/>
  </si>
  <si>
    <t>ｸﾗｳﾝ Z</t>
    <phoneticPr fontId="13"/>
  </si>
  <si>
    <t>9/10/10</t>
    <phoneticPr fontId="13"/>
  </si>
  <si>
    <t>ﾊﾘｱｰ ﾊｲﾌﾞﾘｯﾄﾞ Z</t>
    <phoneticPr fontId="13"/>
  </si>
  <si>
    <t>10/2/17</t>
    <phoneticPr fontId="13"/>
  </si>
  <si>
    <t>品川 359 め 38</t>
    <rPh sb="0" eb="2">
      <t>シナガワ</t>
    </rPh>
    <phoneticPr fontId="13"/>
  </si>
  <si>
    <t>深山 美海</t>
    <rPh sb="0" eb="2">
      <t>フカヤマ</t>
    </rPh>
    <rPh sb="3" eb="4">
      <t>ミ</t>
    </rPh>
    <rPh sb="4" eb="5">
      <t>ウミ</t>
    </rPh>
    <phoneticPr fontId="13"/>
  </si>
  <si>
    <t>株式会社ｻﾝｸﾁｭｱﾘ</t>
    <rPh sb="0" eb="4">
      <t>カブシキガイシャ</t>
    </rPh>
    <phoneticPr fontId="13"/>
  </si>
  <si>
    <t>なにわ 39A む 1419</t>
    <phoneticPr fontId="13"/>
  </si>
  <si>
    <t>高松 399 す 5008</t>
    <rPh sb="0" eb="2">
      <t>タカマツ</t>
    </rPh>
    <phoneticPr fontId="13"/>
  </si>
  <si>
    <t>なにわ 39A む 9925</t>
    <phoneticPr fontId="13"/>
  </si>
  <si>
    <t>なにわ 302 せ 4914</t>
    <phoneticPr fontId="13"/>
  </si>
  <si>
    <t>広島 582 か 9821</t>
    <rPh sb="0" eb="2">
      <t>ヒロシマ</t>
    </rPh>
    <phoneticPr fontId="13"/>
  </si>
  <si>
    <t>広島ﾄﾖﾀ自動車株式会社</t>
    <rPh sb="0" eb="2">
      <t>ヒロシマ</t>
    </rPh>
    <rPh sb="5" eb="12">
      <t>ジドウシャカブシキガイシャ</t>
    </rPh>
    <phoneticPr fontId="13"/>
  </si>
  <si>
    <t>L675S-0205728</t>
    <phoneticPr fontId="13"/>
  </si>
  <si>
    <t>保証書 予備ｷｰ</t>
    <rPh sb="0" eb="3">
      <t>ホショウショ</t>
    </rPh>
    <rPh sb="4" eb="6">
      <t>ヨビ</t>
    </rPh>
    <phoneticPr fontId="13"/>
  </si>
  <si>
    <t>MK54S-102567</t>
    <phoneticPr fontId="13"/>
  </si>
  <si>
    <t>LA250S-0237100</t>
    <phoneticPr fontId="13"/>
  </si>
  <si>
    <t>ｷｬｽﾄ ｽﾀｲﾙG SA3</t>
    <phoneticPr fontId="13"/>
  </si>
  <si>
    <t>WBAWY320700V61889</t>
    <phoneticPr fontId="13"/>
  </si>
  <si>
    <t>MR41S-123275</t>
    <phoneticPr fontId="13"/>
  </si>
  <si>
    <t>LA650S-0053614</t>
    <phoneticPr fontId="13"/>
  </si>
  <si>
    <t>S710V-0042448</t>
    <phoneticPr fontId="13"/>
  </si>
  <si>
    <t>ﾌﾚｱﾜｺﾞﾝ ﾊｲﾌﾞﾘｯﾄﾞ XS</t>
    <phoneticPr fontId="13"/>
  </si>
  <si>
    <t>MK53S-101557</t>
    <phoneticPr fontId="13"/>
  </si>
  <si>
    <t>MR41S-338454</t>
    <phoneticPr fontId="13"/>
  </si>
  <si>
    <t>LA650S-0007861</t>
    <phoneticPr fontId="13"/>
  </si>
  <si>
    <t>NV100ｸﾘｯﾊﾟｰ ﾘｵ</t>
    <phoneticPr fontId="13"/>
  </si>
  <si>
    <t>DR17W-250815</t>
    <phoneticPr fontId="13"/>
  </si>
  <si>
    <t>S510P-0567196</t>
    <phoneticPr fontId="13"/>
  </si>
  <si>
    <t>福山 480 そ 1191</t>
    <rPh sb="0" eb="2">
      <t>フクヤマ</t>
    </rPh>
    <phoneticPr fontId="13"/>
  </si>
  <si>
    <t>ｼﾞｰﾌﾟ ｺﾝﾊﾟｽ 4W</t>
    <phoneticPr fontId="13"/>
  </si>
  <si>
    <t>MCANJRCB8MF77186</t>
    <phoneticPr fontId="13"/>
  </si>
  <si>
    <t>NCP160-0152740</t>
    <phoneticPr fontId="13"/>
  </si>
  <si>
    <t>ZFA3120000JD68498</t>
    <phoneticPr fontId="13"/>
  </si>
  <si>
    <t>福岡 540 の 8698</t>
    <rPh sb="0" eb="2">
      <t>フクオカ</t>
    </rPh>
    <phoneticPr fontId="13"/>
  </si>
  <si>
    <t>MXUA80-0025042</t>
    <phoneticPr fontId="13"/>
  </si>
  <si>
    <t>ﾊﾘｱｰ2WD G</t>
    <phoneticPr fontId="13"/>
  </si>
  <si>
    <t>纐纈 裕次郎</t>
    <rPh sb="0" eb="2">
      <t>コウケツ</t>
    </rPh>
    <rPh sb="3" eb="6">
      <t>ユウジロウ</t>
    </rPh>
    <phoneticPr fontId="13"/>
  </si>
  <si>
    <t>練馬 330 と 9029</t>
    <rPh sb="0" eb="2">
      <t>ネリマ</t>
    </rPh>
    <phoneticPr fontId="13"/>
  </si>
  <si>
    <t>WANG HAITAO</t>
    <phoneticPr fontId="13"/>
  </si>
  <si>
    <t>大阪 303 る 8393</t>
    <rPh sb="0" eb="2">
      <t>オオサカ</t>
    </rPh>
    <phoneticPr fontId="13"/>
  </si>
  <si>
    <t>浅田 泰弘</t>
    <rPh sb="0" eb="2">
      <t>アサダ</t>
    </rPh>
    <rPh sb="3" eb="5">
      <t>ヤスヒロ</t>
    </rPh>
    <phoneticPr fontId="13"/>
  </si>
  <si>
    <t>保証書 取説 ﾜﾝｵｰﾅｰ ｷｰﾚｽ</t>
    <rPh sb="0" eb="3">
      <t>ホショウショ</t>
    </rPh>
    <rPh sb="4" eb="6">
      <t>トリセツ</t>
    </rPh>
    <phoneticPr fontId="13"/>
  </si>
  <si>
    <t>香川 337 ぬ 1113</t>
    <rPh sb="0" eb="2">
      <t>カガワ</t>
    </rPh>
    <phoneticPr fontId="13"/>
  </si>
  <si>
    <t>山本 竜太</t>
    <rPh sb="0" eb="2">
      <t>ヤマモト</t>
    </rPh>
    <rPh sb="3" eb="5">
      <t>リュウタ</t>
    </rPh>
    <phoneticPr fontId="13"/>
  </si>
  <si>
    <t>つくば 583 う 3868</t>
    <phoneticPr fontId="13"/>
  </si>
  <si>
    <t>荒川 紘由</t>
    <rPh sb="0" eb="2">
      <t>アラカワ</t>
    </rPh>
    <rPh sb="3" eb="4">
      <t>ヒロ</t>
    </rPh>
    <rPh sb="4" eb="5">
      <t>ユウ</t>
    </rPh>
    <phoneticPr fontId="13"/>
  </si>
  <si>
    <t>青柳 愛子</t>
    <rPh sb="0" eb="2">
      <t>アオヤナギ</t>
    </rPh>
    <rPh sb="3" eb="5">
      <t>アイコ</t>
    </rPh>
    <phoneticPr fontId="13"/>
  </si>
  <si>
    <t>広島 581 み 7284</t>
    <rPh sb="0" eb="2">
      <t>ヒロシマ</t>
    </rPh>
    <phoneticPr fontId="13"/>
  </si>
  <si>
    <t>12/10</t>
    <phoneticPr fontId="13"/>
  </si>
  <si>
    <t>川崎 332 て 3030</t>
    <rPh sb="0" eb="2">
      <t>カワサキ</t>
    </rPh>
    <phoneticPr fontId="13"/>
  </si>
  <si>
    <t>樫木　忠雄</t>
    <rPh sb="0" eb="2">
      <t>カシワギ</t>
    </rPh>
    <rPh sb="3" eb="5">
      <t>タダオ</t>
    </rPh>
    <phoneticPr fontId="13"/>
  </si>
  <si>
    <t>品川　49A そ 6543</t>
    <rPh sb="0" eb="2">
      <t>シナガワ</t>
    </rPh>
    <phoneticPr fontId="13"/>
  </si>
  <si>
    <t>ﾄﾖﾀﾓﾋﾞﾘﾃｨｻｰﾋﾞㇲ株式会社</t>
    <rPh sb="14" eb="18">
      <t>カブシキガイシャ</t>
    </rPh>
    <phoneticPr fontId="13"/>
  </si>
  <si>
    <t>滋賀ﾀﾞｲﾊﾂ販売株式会社</t>
    <rPh sb="0" eb="2">
      <t>シガ</t>
    </rPh>
    <rPh sb="7" eb="9">
      <t>ハンバイ</t>
    </rPh>
    <rPh sb="9" eb="13">
      <t>カブシキガイシャ</t>
    </rPh>
    <phoneticPr fontId="13"/>
  </si>
  <si>
    <t>581 む 7995</t>
    <phoneticPr fontId="13"/>
  </si>
  <si>
    <t>582 い 6292</t>
    <phoneticPr fontId="13"/>
  </si>
  <si>
    <t>582 い 6294</t>
    <phoneticPr fontId="13"/>
  </si>
  <si>
    <t>582 い 6295</t>
    <phoneticPr fontId="13"/>
  </si>
  <si>
    <t>582 い 6296</t>
    <phoneticPr fontId="13"/>
  </si>
  <si>
    <t>582 い 6297</t>
    <phoneticPr fontId="13"/>
  </si>
  <si>
    <t>582 い 6298</t>
    <phoneticPr fontId="13"/>
  </si>
  <si>
    <t>582 い 6299</t>
    <phoneticPr fontId="13"/>
  </si>
  <si>
    <t>582 い 6300</t>
    <phoneticPr fontId="13"/>
  </si>
  <si>
    <t>582 い 6301</t>
    <phoneticPr fontId="13"/>
  </si>
  <si>
    <t>582 い 6302</t>
    <phoneticPr fontId="13"/>
  </si>
  <si>
    <t>愛媛 340 す 1177</t>
    <rPh sb="0" eb="2">
      <t>エヒメ</t>
    </rPh>
    <phoneticPr fontId="13"/>
  </si>
  <si>
    <t>池内 亮皓</t>
    <rPh sb="0" eb="2">
      <t>イケウチ</t>
    </rPh>
    <rPh sb="3" eb="4">
      <t>リョウ</t>
    </rPh>
    <phoneticPr fontId="13"/>
  </si>
  <si>
    <t>保証書 取説 ﾅﾋﾞ取 SD ﾜﾝｵｰﾅｰ</t>
    <rPh sb="0" eb="3">
      <t>ホショウショ</t>
    </rPh>
    <rPh sb="4" eb="6">
      <t>トリセツ</t>
    </rPh>
    <rPh sb="10" eb="11">
      <t>トリ</t>
    </rPh>
    <phoneticPr fontId="13"/>
  </si>
  <si>
    <t>宇都宮 581 ち 9494</t>
    <rPh sb="0" eb="3">
      <t>ウツノミヤ</t>
    </rPh>
    <phoneticPr fontId="13"/>
  </si>
  <si>
    <t>河野 龍子</t>
    <rPh sb="0" eb="2">
      <t>カワノ</t>
    </rPh>
    <rPh sb="3" eb="5">
      <t>タツコ</t>
    </rPh>
    <phoneticPr fontId="13"/>
  </si>
  <si>
    <t>京都 480 ふ 6166</t>
    <rPh sb="0" eb="2">
      <t>キョウト</t>
    </rPh>
    <phoneticPr fontId="13"/>
  </si>
  <si>
    <t>金成 親郎</t>
    <rPh sb="0" eb="1">
      <t>カナ</t>
    </rPh>
    <rPh sb="1" eb="2">
      <t>ナリ</t>
    </rPh>
    <rPh sb="3" eb="4">
      <t>オヤ</t>
    </rPh>
    <rPh sb="4" eb="5">
      <t>ロウ</t>
    </rPh>
    <phoneticPr fontId="13"/>
  </si>
  <si>
    <t>横浜 780 ま 1001</t>
    <rPh sb="0" eb="2">
      <t>ヨコハマ</t>
    </rPh>
    <phoneticPr fontId="13"/>
  </si>
  <si>
    <t>三浦 晃裕</t>
    <rPh sb="0" eb="2">
      <t>ミウラ</t>
    </rPh>
    <rPh sb="3" eb="4">
      <t>アキ</t>
    </rPh>
    <rPh sb="4" eb="5">
      <t>ユウ</t>
    </rPh>
    <phoneticPr fontId="13"/>
  </si>
  <si>
    <t>多摩 358 そ 3588</t>
    <rPh sb="0" eb="2">
      <t>タマ</t>
    </rPh>
    <phoneticPr fontId="13"/>
  </si>
  <si>
    <t>宮崎 正芳</t>
    <rPh sb="0" eb="2">
      <t>ミヤザキ</t>
    </rPh>
    <rPh sb="3" eb="4">
      <t>マサ</t>
    </rPh>
    <rPh sb="4" eb="5">
      <t>ヨシ</t>
    </rPh>
    <phoneticPr fontId="13"/>
  </si>
  <si>
    <t>川崎 353 め 1103</t>
    <rPh sb="0" eb="2">
      <t>カワサキ</t>
    </rPh>
    <phoneticPr fontId="13"/>
  </si>
  <si>
    <t>増田 鷹彦</t>
    <rPh sb="0" eb="2">
      <t>マスダ</t>
    </rPh>
    <rPh sb="3" eb="5">
      <t>タカヒコ</t>
    </rPh>
    <phoneticPr fontId="13"/>
  </si>
  <si>
    <t>大阪 583 て 735</t>
    <rPh sb="0" eb="2">
      <t>オオサカ</t>
    </rPh>
    <phoneticPr fontId="13"/>
  </si>
  <si>
    <t>佐藤 美智代</t>
    <rPh sb="0" eb="2">
      <t>サトウ</t>
    </rPh>
    <rPh sb="3" eb="6">
      <t>ミチヨ</t>
    </rPh>
    <phoneticPr fontId="13"/>
  </si>
  <si>
    <t>名古屋 307 ぬ 3127</t>
    <rPh sb="0" eb="3">
      <t>ナゴヤ</t>
    </rPh>
    <phoneticPr fontId="13"/>
  </si>
  <si>
    <t>江口 裕久</t>
    <rPh sb="0" eb="2">
      <t>エグチ</t>
    </rPh>
    <rPh sb="3" eb="4">
      <t>ユウ</t>
    </rPh>
    <rPh sb="4" eb="5">
      <t>ヒサ</t>
    </rPh>
    <phoneticPr fontId="13"/>
  </si>
  <si>
    <t>地図SD(車内)保証書 取説 ｷｰﾚｽ ﾅﾋﾞ取</t>
    <rPh sb="0" eb="2">
      <t>チズ</t>
    </rPh>
    <rPh sb="5" eb="7">
      <t>シャナイ</t>
    </rPh>
    <rPh sb="8" eb="11">
      <t>ホショウショ</t>
    </rPh>
    <rPh sb="12" eb="14">
      <t>トリセツ</t>
    </rPh>
    <rPh sb="23" eb="24">
      <t>トリ</t>
    </rPh>
    <phoneticPr fontId="13"/>
  </si>
  <si>
    <t>奈良 399 て 2978</t>
    <phoneticPr fontId="13"/>
  </si>
  <si>
    <t>岐阜 58A あ 6697</t>
    <rPh sb="0" eb="2">
      <t>ギフ</t>
    </rPh>
    <phoneticPr fontId="13"/>
  </si>
  <si>
    <t>木野村 康成</t>
    <rPh sb="0" eb="3">
      <t>キノムラ</t>
    </rPh>
    <rPh sb="4" eb="6">
      <t>ヤスナリ</t>
    </rPh>
    <phoneticPr fontId="13"/>
  </si>
  <si>
    <t>ｷｰﾚｽ(車内)保証書 取説 ﾅﾝﾊﾞｰ</t>
    <rPh sb="8" eb="11">
      <t>ホショウショ</t>
    </rPh>
    <rPh sb="12" eb="14">
      <t>トリセツ</t>
    </rPh>
    <phoneticPr fontId="13"/>
  </si>
  <si>
    <t>大阪 582 て 6353</t>
    <rPh sb="0" eb="2">
      <t>オオサカ</t>
    </rPh>
    <phoneticPr fontId="13"/>
  </si>
  <si>
    <t>有限会社ﾀｰﾄﾙ</t>
    <rPh sb="0" eb="4">
      <t>ユウゲンカイシャ</t>
    </rPh>
    <phoneticPr fontId="13"/>
  </si>
  <si>
    <t>保証書 取説 ｷｰﾚｽ ﾅﾝﾊﾞｰ ﾏｲｸﾛSD</t>
    <rPh sb="0" eb="3">
      <t>ホショウショ</t>
    </rPh>
    <rPh sb="4" eb="6">
      <t>トリセツ</t>
    </rPh>
    <phoneticPr fontId="13"/>
  </si>
  <si>
    <t>合同会社GROW</t>
    <rPh sb="0" eb="4">
      <t>ゴウドウカイシャ</t>
    </rPh>
    <phoneticPr fontId="13"/>
  </si>
  <si>
    <t>株式会社日邦ﾚﾝﾀｶｰｼｽﾃﾑ</t>
    <rPh sb="0" eb="4">
      <t>カブシキガイシャ</t>
    </rPh>
    <rPh sb="4" eb="5">
      <t>ニチ</t>
    </rPh>
    <rPh sb="5" eb="6">
      <t>クニ</t>
    </rPh>
    <phoneticPr fontId="13"/>
  </si>
  <si>
    <t>記録紙5枚 取説 ｷｰﾚｽ(車内)ﾚﾝﾀｶｰ 保証書</t>
    <rPh sb="0" eb="3">
      <t>キロクシ</t>
    </rPh>
    <rPh sb="4" eb="5">
      <t>マイ</t>
    </rPh>
    <rPh sb="6" eb="8">
      <t>トリセツ</t>
    </rPh>
    <rPh sb="23" eb="26">
      <t>ホショウショ</t>
    </rPh>
    <phoneticPr fontId="13"/>
  </si>
  <si>
    <t>記録紙1枚 取説 ｷｰﾚｽ(車内)保証書</t>
    <rPh sb="0" eb="3">
      <t>キロクシ</t>
    </rPh>
    <rPh sb="4" eb="5">
      <t>マイ</t>
    </rPh>
    <rPh sb="6" eb="8">
      <t>トリセツ</t>
    </rPh>
    <rPh sb="17" eb="20">
      <t>ホショウショ</t>
    </rPh>
    <phoneticPr fontId="13"/>
  </si>
  <si>
    <t>木内 隆哉</t>
    <rPh sb="0" eb="2">
      <t>キウチ</t>
    </rPh>
    <rPh sb="3" eb="5">
      <t>タカヤ</t>
    </rPh>
    <phoneticPr fontId="13"/>
  </si>
  <si>
    <t>鵜飼 尚美</t>
    <rPh sb="0" eb="2">
      <t>ウカイ</t>
    </rPh>
    <rPh sb="3" eb="5">
      <t>ナオミ</t>
    </rPh>
    <phoneticPr fontId="13"/>
  </si>
  <si>
    <t>KB INTERNATINAL COMPANY 株式会社</t>
    <rPh sb="24" eb="28">
      <t>カブシキガイシャ</t>
    </rPh>
    <phoneticPr fontId="13"/>
  </si>
  <si>
    <t>KB INTERNATINAL COMPANY 株式会社</t>
    <phoneticPr fontId="13"/>
  </si>
  <si>
    <t>広島 480 ぬ 1645</t>
    <rPh sb="0" eb="2">
      <t>ヒロシマ</t>
    </rPh>
    <phoneticPr fontId="13"/>
  </si>
  <si>
    <t>有限会社片岡自動車</t>
    <rPh sb="0" eb="4">
      <t>ユウゲンカイシャ</t>
    </rPh>
    <rPh sb="4" eb="6">
      <t>カタオカ</t>
    </rPh>
    <rPh sb="6" eb="9">
      <t>ジドウシャ</t>
    </rPh>
    <phoneticPr fontId="13"/>
  </si>
  <si>
    <t>木原 駿介</t>
    <rPh sb="0" eb="2">
      <t>キハラ</t>
    </rPh>
    <rPh sb="3" eb="5">
      <t>シュンスケ</t>
    </rPh>
    <phoneticPr fontId="13"/>
  </si>
  <si>
    <t>岡山 581 よ 9771</t>
    <rPh sb="0" eb="2">
      <t>オカヤマ</t>
    </rPh>
    <phoneticPr fontId="13"/>
  </si>
  <si>
    <t>株式会社Car Town</t>
    <rPh sb="0" eb="4">
      <t>カブシキガイシャ</t>
    </rPh>
    <phoneticPr fontId="13"/>
  </si>
  <si>
    <t>株式会社大栄商事</t>
    <rPh sb="0" eb="4">
      <t>カブシキガイシャ</t>
    </rPh>
    <rPh sb="4" eb="5">
      <t>オオ</t>
    </rPh>
    <rPh sb="5" eb="6">
      <t>エイ</t>
    </rPh>
    <rPh sb="6" eb="8">
      <t>ショウジ</t>
    </rPh>
    <phoneticPr fontId="13"/>
  </si>
  <si>
    <t>WBAYK720805N15542</t>
    <phoneticPr fontId="13"/>
  </si>
  <si>
    <t>姫路 399 な 4621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</si>
  <si>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phoneticPr fontId="13"/>
  </si>
  <si>
    <t>ZFABF12H9NJF44573</t>
    <phoneticPr fontId="13"/>
  </si>
  <si>
    <t>岡山 301 ね 631</t>
    <rPh sb="0" eb="2">
      <t>オカヤマ</t>
    </rPh>
    <phoneticPr fontId="13"/>
  </si>
  <si>
    <t>株式会社ｲｰﾋﾟｰｴﾑ ｺｰﾎﾟﾚｰｼｮﾝ</t>
    <rPh sb="0" eb="4">
      <t>カブシキガイシャ</t>
    </rPh>
    <phoneticPr fontId="13"/>
  </si>
  <si>
    <t>車検違うｸﾚｰﾑ済み</t>
    <rPh sb="0" eb="2">
      <t>シャケン</t>
    </rPh>
    <rPh sb="2" eb="3">
      <t>チガ</t>
    </rPh>
    <rPh sb="8" eb="9">
      <t>ズ</t>
    </rPh>
    <phoneticPr fontId="13"/>
  </si>
  <si>
    <t>横浜 583 い 3376</t>
    <rPh sb="0" eb="2">
      <t>ヨコハマ</t>
    </rPh>
    <phoneticPr fontId="13"/>
  </si>
  <si>
    <t>原 正之</t>
    <rPh sb="0" eb="1">
      <t>ハラ</t>
    </rPh>
    <rPh sb="2" eb="4">
      <t>タダシユキ</t>
    </rPh>
    <phoneticPr fontId="13"/>
  </si>
  <si>
    <t>12/11</t>
    <phoneticPr fontId="13"/>
  </si>
  <si>
    <t>地図SD(車内) 保証書 取説 ｽﾍﾟｱｷｰ</t>
    <rPh sb="9" eb="12">
      <t>ホショウショ</t>
    </rPh>
    <rPh sb="13" eb="15">
      <t>トリセツ</t>
    </rPh>
    <phoneticPr fontId="13"/>
  </si>
  <si>
    <t>多摩 587 う 3103</t>
    <rPh sb="0" eb="2">
      <t>タマ</t>
    </rPh>
    <phoneticPr fontId="13"/>
  </si>
  <si>
    <t>坂本 歩</t>
    <rPh sb="0" eb="2">
      <t>サカモト</t>
    </rPh>
    <rPh sb="3" eb="4">
      <t>アユミ</t>
    </rPh>
    <phoneticPr fontId="13"/>
  </si>
  <si>
    <t>地図SD(車内)保証書 ｷｰﾚｽ</t>
    <phoneticPr fontId="13"/>
  </si>
  <si>
    <t>27-2115</t>
  </si>
  <si>
    <t>27-2116</t>
  </si>
  <si>
    <t>27-2117</t>
  </si>
  <si>
    <t>27-2118</t>
  </si>
  <si>
    <t>27-2119</t>
  </si>
  <si>
    <t>27-2120</t>
  </si>
  <si>
    <t>27-2121</t>
  </si>
  <si>
    <t>27-2122</t>
  </si>
  <si>
    <t>27-2123</t>
  </si>
  <si>
    <t>27-2124</t>
  </si>
  <si>
    <t>27-2125</t>
  </si>
  <si>
    <t>27-2126</t>
  </si>
  <si>
    <t>27-2127</t>
  </si>
  <si>
    <t>27-2128</t>
  </si>
  <si>
    <t>27-2129</t>
  </si>
  <si>
    <t>27-2130</t>
  </si>
  <si>
    <t>27-2131</t>
  </si>
  <si>
    <t>27-2132</t>
  </si>
  <si>
    <t>27-2133</t>
  </si>
  <si>
    <t>27-2134</t>
  </si>
  <si>
    <t>27-2135</t>
  </si>
  <si>
    <t>27-2136</t>
  </si>
  <si>
    <t>27-2137</t>
  </si>
  <si>
    <t>27-2138</t>
  </si>
  <si>
    <t>27-2139</t>
  </si>
  <si>
    <t>ｷｬﾝｾﾙ 書類返送12/11</t>
    <rPh sb="6" eb="8">
      <t>ショルイ</t>
    </rPh>
    <rPh sb="8" eb="10">
      <t>ヘンソウ</t>
    </rPh>
    <phoneticPr fontId="13"/>
  </si>
  <si>
    <t>広島 502 む 3964</t>
    <rPh sb="0" eb="2">
      <t>ヒロシマ</t>
    </rPh>
    <phoneticPr fontId="13"/>
  </si>
  <si>
    <t>VF1KW14B3K0801798</t>
    <phoneticPr fontId="13"/>
  </si>
  <si>
    <t>JF5-1321341</t>
    <phoneticPr fontId="13"/>
  </si>
  <si>
    <t>HE33S-203631</t>
    <phoneticPr fontId="13"/>
  </si>
  <si>
    <t>LA350S-0427189</t>
    <phoneticPr fontId="13"/>
  </si>
  <si>
    <t>JF5-1041634</t>
    <phoneticPr fontId="13"/>
  </si>
  <si>
    <t>WMW32DK0702S78133</t>
    <phoneticPr fontId="13"/>
  </si>
  <si>
    <t>S321V-0517920</t>
    <phoneticPr fontId="13"/>
  </si>
  <si>
    <t>ZVW40-0019951</t>
    <phoneticPr fontId="13"/>
  </si>
  <si>
    <t>ﾌﾟﾘｳｽｱﾙﾌｧｰ S</t>
    <phoneticPr fontId="13"/>
  </si>
  <si>
    <t>BMW 2ｼﾘｰｽﾞ 225Xeｱｲﾊﾟﾌｫｰﾏﾝｽ</t>
    <phoneticPr fontId="13"/>
  </si>
  <si>
    <t>WBA6Y32010VG79765</t>
    <phoneticPr fontId="13"/>
  </si>
  <si>
    <t>保証書 取説 ﾜﾝｵｰﾅｰ ｽﾍﾟｱｷｰ 地図SD</t>
    <rPh sb="0" eb="3">
      <t>ホショウショ</t>
    </rPh>
    <rPh sb="4" eb="6">
      <t>トリセツ</t>
    </rPh>
    <rPh sb="21" eb="23">
      <t>チズ</t>
    </rPh>
    <phoneticPr fontId="13"/>
  </si>
  <si>
    <t>27-2140</t>
  </si>
  <si>
    <t>27-2141</t>
  </si>
  <si>
    <t>27-2142</t>
  </si>
  <si>
    <t>27-2143</t>
  </si>
  <si>
    <t xml:space="preserve"> DA17W-310162</t>
    <phoneticPr fontId="13"/>
  </si>
  <si>
    <t>JF1-1905445</t>
    <phoneticPr fontId="13"/>
  </si>
  <si>
    <t>M700A-0184296</t>
    <phoneticPr fontId="13"/>
  </si>
  <si>
    <t>YV1FWA8RDH1341894</t>
    <phoneticPr fontId="13"/>
  </si>
  <si>
    <t>N-BOXｶｽﾀﾑ G SSﾌﾟﾗｯｸｽﾀｲﾙﾊﾟｯｹｰｼﾞ</t>
    <phoneticPr fontId="13"/>
  </si>
  <si>
    <t>ﾊﾟｯｿ ﾓｰﾀﾞﾁｬｰﾑ</t>
    <phoneticPr fontId="13"/>
  </si>
  <si>
    <t>ﾌﾟｼﾞｮｰ ﾘﾌﾀｰ GTﾗｲﾝ ﾌｧｰｽﾄﾘﾐﾃｯﾄﾞ</t>
    <phoneticPr fontId="13"/>
  </si>
  <si>
    <t>VR3ECYHZRLJ868164</t>
    <phoneticPr fontId="13"/>
  </si>
  <si>
    <t>JB23W-739400</t>
    <phoneticPr fontId="13"/>
  </si>
  <si>
    <t>NCP160-0151779</t>
    <phoneticPr fontId="13"/>
  </si>
  <si>
    <t>NSP160-0054568</t>
    <phoneticPr fontId="13"/>
  </si>
  <si>
    <t>尾張小牧 400 の 5641</t>
    <rPh sb="0" eb="4">
      <t>オワリコマキ</t>
    </rPh>
    <phoneticPr fontId="13"/>
  </si>
  <si>
    <t>ｳﾞｪｾﾞﾙ ﾊｲﾌﾞﾘｯﾄﾞ eHEV Z</t>
    <phoneticPr fontId="13"/>
  </si>
  <si>
    <t>RV5-1008918</t>
    <phoneticPr fontId="13"/>
  </si>
  <si>
    <t>ｳﾞｪﾙﾌｧｲｱ 2.4Z Gｴﾃﾞｨｼｮﾝ</t>
    <phoneticPr fontId="13"/>
  </si>
  <si>
    <t>ANH20-8351949</t>
    <phoneticPr fontId="13"/>
  </si>
  <si>
    <t>取説 ﾅﾋﾞ取 ﾘﾓｺﾝ</t>
    <rPh sb="0" eb="2">
      <t>トリセツ</t>
    </rPh>
    <rPh sb="6" eb="7">
      <t>トリ</t>
    </rPh>
    <phoneticPr fontId="13"/>
  </si>
  <si>
    <t>LA800S-0003811</t>
    <phoneticPr fontId="13"/>
  </si>
  <si>
    <t>ｷｬﾘｰﾄﾗｯｸ KC</t>
    <phoneticPr fontId="13"/>
  </si>
  <si>
    <t>DA16T-593372</t>
    <phoneticPr fontId="13"/>
  </si>
  <si>
    <t>和泉 480 な 7419</t>
    <rPh sb="0" eb="2">
      <t>イズミ</t>
    </rPh>
    <phoneticPr fontId="13"/>
  </si>
  <si>
    <t>MK94S-162335</t>
    <phoneticPr fontId="13"/>
  </si>
  <si>
    <t>奈良 581 と 2167</t>
    <rPh sb="0" eb="2">
      <t>ナラ</t>
    </rPh>
    <phoneticPr fontId="13"/>
  </si>
  <si>
    <t>N-BOXｶｽﾀﾑ G Lﾀｰﾎﾞﾎﾝﾀﾞｾﾝｼﾝｸﾞ</t>
    <phoneticPr fontId="13"/>
  </si>
  <si>
    <t>JF3-2097337</t>
    <phoneticPr fontId="13"/>
  </si>
  <si>
    <t>姫路 591 そ 118</t>
    <rPh sb="0" eb="2">
      <t>ヒメジ</t>
    </rPh>
    <phoneticPr fontId="13"/>
  </si>
  <si>
    <t xml:space="preserve">保証書 取説 ﾅﾋﾞ取 ｽﾍﾟｱｷｰ </t>
    <rPh sb="0" eb="3">
      <t>ホショウショ</t>
    </rPh>
    <rPh sb="4" eb="6">
      <t>トリセツ</t>
    </rPh>
    <rPh sb="10" eb="11">
      <t>トリ</t>
    </rPh>
    <phoneticPr fontId="13"/>
  </si>
  <si>
    <t>MK53S-341927</t>
    <phoneticPr fontId="13"/>
  </si>
  <si>
    <t>ﾌﾚｱｸﾛｽｵｰﾊﾞｰ XT</t>
    <phoneticPr fontId="13"/>
  </si>
  <si>
    <t>MS41S-601659</t>
    <phoneticPr fontId="13"/>
  </si>
  <si>
    <t>和泉 581 ほ 4616</t>
    <rPh sb="0" eb="2">
      <t>イズミ</t>
    </rPh>
    <phoneticPr fontId="13"/>
  </si>
  <si>
    <t>保証書 取説 B-CAS ｽﾍﾟｱｷｰ</t>
    <rPh sb="0" eb="3">
      <t>ホショウショ</t>
    </rPh>
    <rPh sb="4" eb="6">
      <t>トリセツ</t>
    </rPh>
    <phoneticPr fontId="13"/>
  </si>
  <si>
    <t>JF1-1807392</t>
    <phoneticPr fontId="13"/>
  </si>
  <si>
    <t>岐阜 582 ま 9852</t>
    <rPh sb="0" eb="2">
      <t>ギフ</t>
    </rPh>
    <phoneticPr fontId="13"/>
  </si>
  <si>
    <t>N-BOXｶｽﾀﾑ G</t>
    <phoneticPr fontId="13"/>
  </si>
  <si>
    <t>JF1-1505308</t>
    <phoneticPr fontId="13"/>
  </si>
  <si>
    <t xml:space="preserve">ｽﾃｨﾝｸﾞﾚｰ X </t>
    <phoneticPr fontId="13"/>
  </si>
  <si>
    <t>MH44S-462019</t>
    <phoneticPr fontId="13"/>
  </si>
  <si>
    <t>MR92S-175452</t>
    <phoneticPr fontId="13"/>
  </si>
  <si>
    <t>MRﾜｺﾞﾝ Wit XS</t>
    <phoneticPr fontId="13"/>
  </si>
  <si>
    <t>MF33S-432174</t>
    <phoneticPr fontId="13"/>
  </si>
  <si>
    <t>三重 595 な 18</t>
    <rPh sb="0" eb="2">
      <t>ミエ</t>
    </rPh>
    <phoneticPr fontId="13"/>
  </si>
  <si>
    <t>MK53S-810259</t>
    <phoneticPr fontId="13"/>
  </si>
  <si>
    <t>名古屋 58A ま 794</t>
    <rPh sb="0" eb="3">
      <t>ナゴヤ</t>
    </rPh>
    <phoneticPr fontId="13"/>
  </si>
  <si>
    <t>株式会社ﾜｲｽﾞ</t>
    <rPh sb="0" eb="4">
      <t>カブシキガイシャ</t>
    </rPh>
    <phoneticPr fontId="13"/>
  </si>
  <si>
    <t>富山 581 て 3689</t>
    <rPh sb="0" eb="2">
      <t>トヤマ</t>
    </rPh>
    <phoneticPr fontId="13"/>
  </si>
  <si>
    <t>有限会社くるまやﾐﾔﾊｳｽ</t>
    <rPh sb="0" eb="4">
      <t>ユウゲンカイシャ</t>
    </rPh>
    <phoneticPr fontId="13"/>
  </si>
  <si>
    <t>豊橋 583 え 1070</t>
    <rPh sb="0" eb="2">
      <t>トヨハシ</t>
    </rPh>
    <phoneticPr fontId="13"/>
  </si>
  <si>
    <t>松山 将喜</t>
    <rPh sb="0" eb="2">
      <t>マツヤマ</t>
    </rPh>
    <rPh sb="3" eb="4">
      <t>ショウ</t>
    </rPh>
    <rPh sb="4" eb="5">
      <t>ヨロコ</t>
    </rPh>
    <phoneticPr fontId="13"/>
  </si>
  <si>
    <t>京都 584 い 3339</t>
    <rPh sb="0" eb="2">
      <t>キョウト</t>
    </rPh>
    <phoneticPr fontId="13"/>
  </si>
  <si>
    <t>東 清孝</t>
    <rPh sb="0" eb="1">
      <t>ヒガシ</t>
    </rPh>
    <rPh sb="2" eb="4">
      <t>キヨタカ</t>
    </rPh>
    <phoneticPr fontId="13"/>
  </si>
  <si>
    <t>株式会社大神ﾓｰﾀｰ</t>
    <rPh sb="0" eb="4">
      <t>カブシキガイシャ</t>
    </rPh>
    <rPh sb="4" eb="6">
      <t>オオカミ</t>
    </rPh>
    <phoneticPr fontId="13"/>
  </si>
  <si>
    <t>972(338)</t>
    <phoneticPr fontId="13"/>
  </si>
  <si>
    <t>香川 480 わ 1997</t>
    <rPh sb="0" eb="2">
      <t>カガワ</t>
    </rPh>
    <phoneticPr fontId="13"/>
  </si>
  <si>
    <t>有限会社菱自ｵｰﾄｾﾝﾀｰ</t>
    <rPh sb="0" eb="4">
      <t>ユウゲンカイシャ</t>
    </rPh>
    <rPh sb="4" eb="6">
      <t>リョウジ</t>
    </rPh>
    <phoneticPr fontId="13"/>
  </si>
  <si>
    <t>梶野 孝幸</t>
    <rPh sb="0" eb="2">
      <t>カジノ</t>
    </rPh>
    <rPh sb="3" eb="5">
      <t>タカユキ</t>
    </rPh>
    <phoneticPr fontId="13"/>
  </si>
  <si>
    <t>三河 580 み 9236</t>
    <rPh sb="0" eb="2">
      <t>ミカワ</t>
    </rPh>
    <phoneticPr fontId="13"/>
  </si>
  <si>
    <t>西日本三菱自動車販売株式会社</t>
    <rPh sb="0" eb="3">
      <t>ニシニホン</t>
    </rPh>
    <rPh sb="3" eb="14">
      <t>ミツビシジドウシャハンバイカブシキガイシャ</t>
    </rPh>
    <phoneticPr fontId="13"/>
  </si>
  <si>
    <t xml:space="preserve">ｽﾍﾟｱｷｰ </t>
    <phoneticPr fontId="13"/>
  </si>
  <si>
    <t>四日市 580 ろ 9856</t>
    <rPh sb="0" eb="3">
      <t>ヨッカイチ</t>
    </rPh>
    <phoneticPr fontId="13"/>
  </si>
  <si>
    <t>有限会社平野商会</t>
    <rPh sb="0" eb="4">
      <t>ユウゲンカイシャ</t>
    </rPh>
    <rPh sb="4" eb="6">
      <t>ヒラノ</t>
    </rPh>
    <rPh sb="6" eb="8">
      <t>ショウカイ</t>
    </rPh>
    <phoneticPr fontId="13"/>
  </si>
  <si>
    <t>なにわ 5P8 ろ 3633</t>
    <phoneticPr fontId="13"/>
  </si>
  <si>
    <t>福山 584 ら 516</t>
    <rPh sb="0" eb="2">
      <t>フクヤマ</t>
    </rPh>
    <phoneticPr fontId="13"/>
  </si>
  <si>
    <t>出雲 580 え 8831</t>
    <rPh sb="0" eb="2">
      <t>イヅモ</t>
    </rPh>
    <phoneticPr fontId="13"/>
  </si>
  <si>
    <t>岡山 534 そ 85</t>
    <rPh sb="0" eb="2">
      <t>オカヤマ</t>
    </rPh>
    <phoneticPr fontId="13"/>
  </si>
  <si>
    <t>川尻 こころ</t>
    <rPh sb="0" eb="2">
      <t>カワジリ</t>
    </rPh>
    <phoneticPr fontId="13"/>
  </si>
  <si>
    <t>ﾏｲｸﾛ地図SD(車内)保証書 ﾅﾋﾞ取 ｽﾍﾟｱｷｰ</t>
    <rPh sb="4" eb="6">
      <t>チズ</t>
    </rPh>
    <rPh sb="12" eb="15">
      <t>ホショウショ</t>
    </rPh>
    <rPh sb="19" eb="20">
      <t>トリ</t>
    </rPh>
    <phoneticPr fontId="13"/>
  </si>
  <si>
    <t>582 い 6480</t>
    <phoneticPr fontId="13"/>
  </si>
  <si>
    <t>582 い 6481</t>
    <phoneticPr fontId="13"/>
  </si>
  <si>
    <t>582 い 6482</t>
    <phoneticPr fontId="13"/>
  </si>
  <si>
    <t>480 ね 2663</t>
    <phoneticPr fontId="13"/>
  </si>
  <si>
    <t>582 い 6483</t>
    <phoneticPr fontId="13"/>
  </si>
  <si>
    <t>582 い 6484</t>
    <phoneticPr fontId="13"/>
  </si>
  <si>
    <t>582 い 6485</t>
    <phoneticPr fontId="13"/>
  </si>
  <si>
    <t>582 い 6486</t>
    <phoneticPr fontId="13"/>
  </si>
  <si>
    <t>582 い 6487</t>
    <phoneticPr fontId="13"/>
  </si>
  <si>
    <t>582 い 6488</t>
    <phoneticPr fontId="13"/>
  </si>
  <si>
    <t>582 い 6489</t>
    <phoneticPr fontId="13"/>
  </si>
  <si>
    <t>480 ね 2664</t>
    <phoneticPr fontId="13"/>
  </si>
  <si>
    <t>480 ね 2665</t>
    <phoneticPr fontId="13"/>
  </si>
  <si>
    <t>301 ね 4896</t>
    <phoneticPr fontId="13"/>
  </si>
  <si>
    <t>豊橋 480 す 8685</t>
    <rPh sb="0" eb="2">
      <t>トヨハシ</t>
    </rPh>
    <phoneticPr fontId="13"/>
  </si>
  <si>
    <t>有限会社ﾌｼﾞﾐｵｰﾄ</t>
    <rPh sb="0" eb="4">
      <t>ユウゲンカイシャ</t>
    </rPh>
    <phoneticPr fontId="13"/>
  </si>
  <si>
    <t>12/12</t>
    <phoneticPr fontId="13"/>
  </si>
  <si>
    <t>なにわ 595 は 3</t>
    <phoneticPr fontId="13"/>
  </si>
  <si>
    <t>大谷 真未</t>
    <rPh sb="0" eb="2">
      <t>オオタニ</t>
    </rPh>
    <rPh sb="3" eb="4">
      <t>マ</t>
    </rPh>
    <rPh sb="4" eb="5">
      <t>ミ</t>
    </rPh>
    <phoneticPr fontId="13"/>
  </si>
  <si>
    <t>滋賀 346 と 3588</t>
    <rPh sb="0" eb="2">
      <t>シガ</t>
    </rPh>
    <phoneticPr fontId="13"/>
  </si>
  <si>
    <t>ﾄﾖﾀｶﾛｰﾗﾃ滋賀株式会社</t>
    <rPh sb="8" eb="10">
      <t>シガ</t>
    </rPh>
    <rPh sb="10" eb="14">
      <t>カブシキガイシャ</t>
    </rPh>
    <phoneticPr fontId="13"/>
  </si>
  <si>
    <t>四日市 580 か 4878</t>
    <rPh sb="0" eb="3">
      <t>ヨッカイチ</t>
    </rPh>
    <phoneticPr fontId="13"/>
  </si>
  <si>
    <t>三重三菱自動車販売株式会社</t>
    <rPh sb="0" eb="2">
      <t>ミエ</t>
    </rPh>
    <rPh sb="2" eb="13">
      <t>ミツビシジドウシャハンバイカブシキガイシャ</t>
    </rPh>
    <phoneticPr fontId="13"/>
  </si>
  <si>
    <t>四日市 580 か 6375</t>
    <rPh sb="0" eb="3">
      <t>ヨッカイチ</t>
    </rPh>
    <phoneticPr fontId="13"/>
  </si>
  <si>
    <t>豊橋 480 す 111</t>
    <rPh sb="0" eb="2">
      <t>トヨハシ</t>
    </rPh>
    <phoneticPr fontId="13"/>
  </si>
  <si>
    <t>名古屋 589 ほ 828</t>
    <rPh sb="0" eb="3">
      <t>ナゴヤ</t>
    </rPh>
    <phoneticPr fontId="13"/>
  </si>
  <si>
    <t>森田 将也</t>
    <rPh sb="0" eb="2">
      <t>モリタ</t>
    </rPh>
    <rPh sb="3" eb="5">
      <t>マサヤ</t>
    </rPh>
    <phoneticPr fontId="13"/>
  </si>
  <si>
    <t>名古屋 480 の 8355</t>
    <rPh sb="0" eb="3">
      <t>ナゴヤ</t>
    </rPh>
    <phoneticPr fontId="13"/>
  </si>
  <si>
    <t>安井 富俊</t>
    <rPh sb="0" eb="2">
      <t>ヤスイ</t>
    </rPh>
    <rPh sb="3" eb="4">
      <t>トミ</t>
    </rPh>
    <rPh sb="4" eb="5">
      <t>シュン</t>
    </rPh>
    <phoneticPr fontId="13"/>
  </si>
  <si>
    <t>浜松 582 け 8258</t>
    <rPh sb="0" eb="2">
      <t>ハママツ</t>
    </rPh>
    <phoneticPr fontId="13"/>
  </si>
  <si>
    <t>BUTT SOHAIL SHOUKAT</t>
    <phoneticPr fontId="13"/>
  </si>
  <si>
    <t>名古屋 58A ほ 8185</t>
    <rPh sb="0" eb="3">
      <t>ナゴヤ</t>
    </rPh>
    <phoneticPr fontId="13"/>
  </si>
  <si>
    <t>株式会社ｶｰ・ｴｽ・ｲﾉﾍﾞｰｼｮﾝ</t>
    <rPh sb="0" eb="4">
      <t>カブシキガイシャ</t>
    </rPh>
    <phoneticPr fontId="13"/>
  </si>
  <si>
    <t>杉並 312 む 5050</t>
    <rPh sb="0" eb="2">
      <t>スギナミ</t>
    </rPh>
    <phoneticPr fontId="13"/>
  </si>
  <si>
    <t>京都 329 さ 6869</t>
    <rPh sb="0" eb="2">
      <t>キョウト</t>
    </rPh>
    <phoneticPr fontId="13"/>
  </si>
  <si>
    <t>保証書 取説 Sｷｰ SD</t>
    <rPh sb="0" eb="3">
      <t>ホショウショ</t>
    </rPh>
    <rPh sb="4" eb="6">
      <t>トリセツ</t>
    </rPh>
    <phoneticPr fontId="13"/>
  </si>
  <si>
    <t>大宮 799 ろ 643</t>
    <rPh sb="0" eb="2">
      <t>オオミヤ</t>
    </rPh>
    <phoneticPr fontId="13"/>
  </si>
  <si>
    <t>株式会社大谷自動車</t>
    <rPh sb="0" eb="4">
      <t>カブシキガイシャ</t>
    </rPh>
    <rPh sb="4" eb="6">
      <t>オオタニ</t>
    </rPh>
    <rPh sb="6" eb="9">
      <t>ジドウシャ</t>
    </rPh>
    <phoneticPr fontId="13"/>
  </si>
  <si>
    <t>足立 泰志</t>
    <rPh sb="0" eb="2">
      <t>アダチ</t>
    </rPh>
    <rPh sb="3" eb="4">
      <t>ヤスシ</t>
    </rPh>
    <rPh sb="4" eb="5">
      <t>ココロザシ</t>
    </rPh>
    <phoneticPr fontId="13"/>
  </si>
  <si>
    <t>地図SD(車内)保証書 取説 Sｷｰ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</si>
  <si>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姫路 593 を 358</t>
    <rPh sb="0" eb="2">
      <t>ヒメジ</t>
    </rPh>
    <phoneticPr fontId="13"/>
  </si>
  <si>
    <t>那波 正博</t>
    <rPh sb="0" eb="2">
      <t>ナハ</t>
    </rPh>
    <rPh sb="3" eb="5">
      <t>マサヒロ</t>
    </rPh>
    <phoneticPr fontId="13"/>
  </si>
  <si>
    <t>岡山 484 く 96</t>
    <rPh sb="0" eb="2">
      <t>オカヤマ</t>
    </rPh>
    <phoneticPr fontId="13"/>
  </si>
  <si>
    <t>株式会社日国建設</t>
    <rPh sb="0" eb="4">
      <t>カブシキガイシャ</t>
    </rPh>
    <rPh sb="4" eb="5">
      <t>ニチ</t>
    </rPh>
    <rPh sb="5" eb="6">
      <t>コク</t>
    </rPh>
    <rPh sb="6" eb="8">
      <t>ケンセツ</t>
    </rPh>
    <phoneticPr fontId="13"/>
  </si>
  <si>
    <t>香川 480 ち 7735</t>
    <rPh sb="0" eb="2">
      <t>カガワ</t>
    </rPh>
    <phoneticPr fontId="13"/>
  </si>
  <si>
    <t>香川 370 ね 3</t>
    <rPh sb="0" eb="2">
      <t>カガワ</t>
    </rPh>
    <phoneticPr fontId="13"/>
  </si>
  <si>
    <t>瀬尾 哲司</t>
    <rPh sb="0" eb="1">
      <t>セ</t>
    </rPh>
    <rPh sb="1" eb="2">
      <t>オ</t>
    </rPh>
    <rPh sb="3" eb="5">
      <t>テツジ</t>
    </rPh>
    <phoneticPr fontId="13"/>
  </si>
  <si>
    <t>保証書 取説 SD ｷｰﾚｽ ｶｰﾄﾞｷｰ</t>
    <rPh sb="0" eb="3">
      <t>ホショウショ</t>
    </rPh>
    <rPh sb="4" eb="6">
      <t>トリセツ</t>
    </rPh>
    <phoneticPr fontId="13"/>
  </si>
  <si>
    <t>久留米 480 せ 3807</t>
    <rPh sb="0" eb="3">
      <t>クルメ</t>
    </rPh>
    <phoneticPr fontId="13"/>
  </si>
  <si>
    <t>三小田 貢</t>
    <rPh sb="0" eb="1">
      <t>サン</t>
    </rPh>
    <rPh sb="1" eb="3">
      <t>オダ</t>
    </rPh>
    <rPh sb="4" eb="5">
      <t>ミツグ</t>
    </rPh>
    <phoneticPr fontId="13"/>
  </si>
  <si>
    <t>広島 586 ぬ 1022</t>
    <rPh sb="0" eb="2">
      <t>ヒロシマ</t>
    </rPh>
    <phoneticPr fontId="13"/>
  </si>
  <si>
    <t>ｺﾞﾘﾗ不動産株式会社</t>
    <rPh sb="4" eb="7">
      <t>フドウサン</t>
    </rPh>
    <rPh sb="7" eb="11">
      <t>カブシキガイシャ</t>
    </rPh>
    <phoneticPr fontId="13"/>
  </si>
  <si>
    <t>袖ヶ浦 581 き 2407</t>
    <rPh sb="0" eb="3">
      <t>ソデガウラ</t>
    </rPh>
    <phoneticPr fontId="13"/>
  </si>
  <si>
    <t>大島 奈緒</t>
    <rPh sb="0" eb="2">
      <t>オオシマ</t>
    </rPh>
    <rPh sb="3" eb="5">
      <t>ナオ</t>
    </rPh>
    <phoneticPr fontId="13"/>
  </si>
  <si>
    <t>福山 581 す 2075</t>
    <rPh sb="0" eb="2">
      <t>フクヤマ</t>
    </rPh>
    <phoneticPr fontId="13"/>
  </si>
  <si>
    <t>SD B-CAS</t>
    <phoneticPr fontId="13"/>
  </si>
  <si>
    <t>なにわ 5P7 ろ 1129</t>
    <phoneticPr fontId="13"/>
  </si>
  <si>
    <t>品川 5X2 ろ 4208</t>
    <rPh sb="0" eb="2">
      <t>シナガワ</t>
    </rPh>
    <phoneticPr fontId="13"/>
  </si>
  <si>
    <t>なにわ 5P8 ろ 2564</t>
    <phoneticPr fontId="13"/>
  </si>
  <si>
    <t>福山 583 は 728</t>
    <rPh sb="0" eb="2">
      <t>フクヤマ</t>
    </rPh>
    <phoneticPr fontId="13"/>
  </si>
  <si>
    <t>広島 581 や 9360</t>
    <rPh sb="0" eb="2">
      <t>ヒロシマ</t>
    </rPh>
    <phoneticPr fontId="13"/>
  </si>
  <si>
    <t>中丸 靖岳</t>
    <rPh sb="0" eb="2">
      <t>ナカマル</t>
    </rPh>
    <rPh sb="3" eb="4">
      <t>ヤス</t>
    </rPh>
    <rPh sb="4" eb="5">
      <t>ガク</t>
    </rPh>
    <phoneticPr fontId="13"/>
  </si>
  <si>
    <t>岡山 585 ふ 228</t>
    <rPh sb="0" eb="2">
      <t>オカヤマ</t>
    </rPh>
    <phoneticPr fontId="13"/>
  </si>
  <si>
    <t>大枝 加奈子</t>
    <rPh sb="0" eb="2">
      <t>オオエダ</t>
    </rPh>
    <rPh sb="3" eb="6">
      <t>カナコ</t>
    </rPh>
    <phoneticPr fontId="13"/>
  </si>
  <si>
    <t>岡山 584 ろ 2711</t>
    <rPh sb="0" eb="2">
      <t>オカヤマ</t>
    </rPh>
    <phoneticPr fontId="13"/>
  </si>
  <si>
    <t>27-2144</t>
  </si>
  <si>
    <t>27-2145</t>
  </si>
  <si>
    <t>27-2146</t>
  </si>
  <si>
    <t>27-2147</t>
  </si>
  <si>
    <t>ｳﾞｪﾙﾌｧｲｱ 2.4Z ﾌﾟﾗﾁﾅｾﾚｸｼｮﾝ2</t>
    <phoneticPr fontId="13"/>
  </si>
  <si>
    <t>ANH20-8171869</t>
    <phoneticPr fontId="13"/>
  </si>
  <si>
    <t>取説 ﾅﾋﾞ取 SD ﾘﾓｺﾝ</t>
    <rPh sb="0" eb="2">
      <t>トリセツ</t>
    </rPh>
    <rPh sb="6" eb="7">
      <t>トリ</t>
    </rPh>
    <phoneticPr fontId="13"/>
  </si>
  <si>
    <t>27-2148</t>
  </si>
  <si>
    <t>27-2149</t>
  </si>
  <si>
    <t>27-2150</t>
  </si>
  <si>
    <t>27-2151</t>
  </si>
  <si>
    <t>27-2152</t>
  </si>
  <si>
    <t>27-2153</t>
  </si>
  <si>
    <t>27-2154</t>
  </si>
  <si>
    <t>27-2155</t>
  </si>
  <si>
    <t>27-2156</t>
  </si>
  <si>
    <t>27-2157</t>
  </si>
  <si>
    <t>27-2158</t>
  </si>
  <si>
    <t>27-2159</t>
  </si>
  <si>
    <t>27-2160</t>
  </si>
  <si>
    <t>27-2161</t>
  </si>
  <si>
    <t>27-2162</t>
  </si>
  <si>
    <t>27-2163</t>
  </si>
  <si>
    <t>27-2164</t>
  </si>
  <si>
    <t>27-2165</t>
  </si>
  <si>
    <t>27-2166</t>
  </si>
  <si>
    <t>ｱﾊﾞﾙﾄ595 ｺﾝﾍﾟﾃｨｵｰﾈ</t>
    <phoneticPr fontId="13"/>
  </si>
  <si>
    <t>ZFA3120000JD61989</t>
    <phoneticPr fontId="13"/>
  </si>
  <si>
    <t>27-2167</t>
  </si>
  <si>
    <t>ﾒﾙｾﾃﾞｽﾍﾞﾝﾂ E 220d</t>
    <phoneticPr fontId="13"/>
  </si>
  <si>
    <t>WDD2130042A085412</t>
    <phoneticPr fontId="13"/>
  </si>
  <si>
    <t>WMWXS520002C93163</t>
    <phoneticPr fontId="13"/>
  </si>
  <si>
    <t>ｴｸｽﾄﾚｲﾙ xe40R</t>
    <phoneticPr fontId="13"/>
  </si>
  <si>
    <t>神戸 304 ぬ 9966</t>
    <rPh sb="0" eb="2">
      <t>コウベ</t>
    </rPh>
    <phoneticPr fontId="13"/>
  </si>
  <si>
    <t>SNT33-005089</t>
    <phoneticPr fontId="13"/>
  </si>
  <si>
    <t>ｸﾗｳﾝ ｸﾛｽｵｰﾊﾞｰG</t>
    <phoneticPr fontId="13"/>
  </si>
  <si>
    <t>AZSH35-4010441</t>
    <phoneticPr fontId="13"/>
  </si>
  <si>
    <t>横浜 367 め 225</t>
    <rPh sb="0" eb="2">
      <t>ヨコハマ</t>
    </rPh>
    <phoneticPr fontId="13"/>
  </si>
  <si>
    <t>W1K2470122J161613</t>
    <phoneticPr fontId="13"/>
  </si>
  <si>
    <t>ﾐﾗｲｰｽ Xﾘﾐﾃｯﾄﾞ SA3</t>
    <phoneticPr fontId="13"/>
  </si>
  <si>
    <t>LA350S-0289700</t>
    <phoneticPr fontId="13"/>
  </si>
  <si>
    <t>ｽﾍﾟｰｼｱ T</t>
    <phoneticPr fontId="13"/>
  </si>
  <si>
    <t>MK32S-465874</t>
    <phoneticPr fontId="13"/>
  </si>
  <si>
    <t>福岡 582 ね 2091</t>
    <rPh sb="0" eb="2">
      <t>フクオカ</t>
    </rPh>
    <phoneticPr fontId="13"/>
  </si>
  <si>
    <t>MK94S-303956</t>
    <phoneticPr fontId="13"/>
  </si>
  <si>
    <t>名古屋 58A ま 0944</t>
    <rPh sb="0" eb="3">
      <t>ナゴヤ</t>
    </rPh>
    <phoneticPr fontId="13"/>
  </si>
  <si>
    <t>LA350S-0277124</t>
    <phoneticPr fontId="13"/>
  </si>
  <si>
    <t>S321V-0490475</t>
    <phoneticPr fontId="13"/>
  </si>
  <si>
    <t>JF1-1857185</t>
    <phoneticPr fontId="13"/>
  </si>
  <si>
    <t>BMW2ｼﾘｰｽﾞ 220 iｸｰﾍﾟ</t>
    <phoneticPr fontId="13"/>
  </si>
  <si>
    <t>WBA12CM0X08D71596</t>
    <phoneticPr fontId="13"/>
  </si>
  <si>
    <t>奈良 30X み 8888</t>
    <rPh sb="0" eb="2">
      <t>ナラ</t>
    </rPh>
    <phoneticPr fontId="13"/>
  </si>
  <si>
    <t>BMW I3 ﾚﾝｼﾞｴｸｽﾃﾝﾀﾞｰ</t>
    <phoneticPr fontId="13"/>
  </si>
  <si>
    <t>WBY8P420407G31877</t>
    <phoneticPr fontId="13"/>
  </si>
  <si>
    <t>ﾎﾞﾙﾎﾞ XC40 B4 ﾓｰﾒﾝﾀﾑ</t>
    <phoneticPr fontId="13"/>
  </si>
  <si>
    <t>YV1XZK9MDM2478059</t>
    <phoneticPr fontId="13"/>
  </si>
  <si>
    <t>ﾐﾗｲｰｽ X ﾘﾐﾃｯﾄﾞSA3</t>
    <phoneticPr fontId="13"/>
  </si>
  <si>
    <t>ﾊｲｾﾞｯﾄｶｰｺﾞ ｸﾙｰｽﾞ TB</t>
    <phoneticPr fontId="13"/>
  </si>
  <si>
    <t>A316315</t>
    <phoneticPr fontId="13"/>
  </si>
  <si>
    <t>CX8 25S ｽﾎﾟｰﾂｱﾋﾟｱﾗﾝｽ</t>
    <phoneticPr fontId="13"/>
  </si>
  <si>
    <t>KG5P-350217</t>
    <phoneticPr fontId="13"/>
  </si>
  <si>
    <t>A316280</t>
    <phoneticPr fontId="13"/>
  </si>
  <si>
    <t>ｽﾃｯﾌﾟﾜｺﾞﾝｽﾊﾟｰﾀﾞ</t>
    <phoneticPr fontId="13"/>
  </si>
  <si>
    <t>RP3-1246728</t>
    <phoneticPr fontId="13"/>
  </si>
  <si>
    <t>A315615</t>
    <phoneticPr fontId="13"/>
  </si>
  <si>
    <t>JB64W-183411</t>
    <phoneticPr fontId="13"/>
  </si>
  <si>
    <t>A316107</t>
    <phoneticPr fontId="13"/>
  </si>
  <si>
    <t>ﾀﾝﾄ L SA3</t>
    <phoneticPr fontId="13"/>
  </si>
  <si>
    <t>LA600S-0749376</t>
    <phoneticPr fontId="13"/>
  </si>
  <si>
    <t>B34A-0510133</t>
    <phoneticPr fontId="13"/>
  </si>
  <si>
    <t>品川 5X1 ろ 2660</t>
    <rPh sb="0" eb="2">
      <t>シナガワ</t>
    </rPh>
    <phoneticPr fontId="13"/>
  </si>
  <si>
    <t>株式会社ABT</t>
    <rPh sb="0" eb="4">
      <t>カブシキガイシャ</t>
    </rPh>
    <phoneticPr fontId="13"/>
  </si>
  <si>
    <t>映ｸﾗ株式会社</t>
    <rPh sb="0" eb="1">
      <t>エイ</t>
    </rPh>
    <rPh sb="3" eb="7">
      <t>カブシキガイシャ</t>
    </rPh>
    <phoneticPr fontId="13"/>
  </si>
  <si>
    <t>豊橋 584 ま 1225</t>
    <rPh sb="0" eb="2">
      <t>トヨハシ</t>
    </rPh>
    <phoneticPr fontId="13"/>
  </si>
  <si>
    <t>山崎 記美男</t>
    <rPh sb="0" eb="2">
      <t>ヤマザキ</t>
    </rPh>
    <rPh sb="3" eb="4">
      <t>キ</t>
    </rPh>
    <rPh sb="4" eb="6">
      <t>ビナン</t>
    </rPh>
    <phoneticPr fontId="13"/>
  </si>
  <si>
    <t>大阪 331 ち 1095</t>
    <rPh sb="0" eb="2">
      <t>オオサカ</t>
    </rPh>
    <phoneticPr fontId="13"/>
  </si>
  <si>
    <t>医療法人天紋会</t>
    <rPh sb="0" eb="4">
      <t>イリョウホウジン</t>
    </rPh>
    <rPh sb="4" eb="5">
      <t>アマ</t>
    </rPh>
    <rPh sb="5" eb="6">
      <t>モン</t>
    </rPh>
    <rPh sb="6" eb="7">
      <t>カイ</t>
    </rPh>
    <phoneticPr fontId="13"/>
  </si>
  <si>
    <t>和泉 301 に 3761</t>
    <rPh sb="0" eb="2">
      <t>イズミ</t>
    </rPh>
    <phoneticPr fontId="13"/>
  </si>
  <si>
    <t>寺田 秀人</t>
    <rPh sb="0" eb="2">
      <t>テラダ</t>
    </rPh>
    <rPh sb="3" eb="5">
      <t>ヒデト</t>
    </rPh>
    <phoneticPr fontId="13"/>
  </si>
  <si>
    <t>保証書 取説 ﾅﾋﾞ取 ﾏｲｸﾛ地図SD ｷｰﾚｽ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</si>
  <si>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山口 584 ゆ 508</t>
    <rPh sb="0" eb="2">
      <t>ヤマグチ</t>
    </rPh>
    <phoneticPr fontId="13"/>
  </si>
  <si>
    <t>岡山 336 ら 3333</t>
    <rPh sb="0" eb="2">
      <t>オカヤマ</t>
    </rPh>
    <phoneticPr fontId="13"/>
  </si>
  <si>
    <t>藤原 祐大</t>
    <rPh sb="0" eb="2">
      <t>フジワラ</t>
    </rPh>
    <rPh sb="3" eb="4">
      <t>ユウ</t>
    </rPh>
    <rPh sb="4" eb="5">
      <t>ダイ</t>
    </rPh>
    <phoneticPr fontId="13"/>
  </si>
  <si>
    <t>ﾎﾞﾙﾎﾞ XC60 D4 ｸﾗｼｯｸ</t>
    <phoneticPr fontId="13"/>
  </si>
  <si>
    <t>抹消出品書類戻ってきた12/13</t>
    <rPh sb="0" eb="2">
      <t>マッショウ</t>
    </rPh>
    <rPh sb="2" eb="4">
      <t>シュッピン</t>
    </rPh>
    <rPh sb="4" eb="6">
      <t>ショルイ</t>
    </rPh>
    <rPh sb="6" eb="7">
      <t>モド</t>
    </rPh>
    <phoneticPr fontId="13"/>
  </si>
  <si>
    <t>27-2168</t>
  </si>
  <si>
    <t>高橋様</t>
    <rPh sb="0" eb="2">
      <t>タカハシ</t>
    </rPh>
    <rPh sb="2" eb="3">
      <t>サマ</t>
    </rPh>
    <phoneticPr fontId="13"/>
  </si>
  <si>
    <t>VW ｺﾞﾙﾌ</t>
    <phoneticPr fontId="13"/>
  </si>
  <si>
    <t>WVWZZZ1JZ3P065948</t>
    <phoneticPr fontId="13"/>
  </si>
  <si>
    <t>姫路 301 た 6515</t>
    <rPh sb="0" eb="2">
      <t>ヒメジ</t>
    </rPh>
    <phoneticPr fontId="13"/>
  </si>
  <si>
    <t>高橋 憲博</t>
    <rPh sb="0" eb="2">
      <t>タカハシ</t>
    </rPh>
    <rPh sb="3" eb="4">
      <t>ノリ</t>
    </rPh>
    <rPh sb="4" eb="5">
      <t>ヒロシ</t>
    </rPh>
    <phoneticPr fontId="13"/>
  </si>
  <si>
    <t>千葉 326 た 2369</t>
    <rPh sb="0" eb="2">
      <t>チバ</t>
    </rPh>
    <phoneticPr fontId="13"/>
  </si>
  <si>
    <t>千葉 326 た 1618</t>
    <rPh sb="0" eb="2">
      <t>チバ</t>
    </rPh>
    <phoneticPr fontId="13"/>
  </si>
  <si>
    <t>神戸 330 て 5084</t>
    <rPh sb="0" eb="2">
      <t>コウベ</t>
    </rPh>
    <phoneticPr fontId="13"/>
  </si>
  <si>
    <t>神戸 39A そ 3995</t>
    <rPh sb="0" eb="2">
      <t>コウベ</t>
    </rPh>
    <phoneticPr fontId="13"/>
  </si>
  <si>
    <t>千葉日産自動車株式会社</t>
    <rPh sb="0" eb="2">
      <t>チバ</t>
    </rPh>
    <rPh sb="2" eb="7">
      <t>ニッサンジドウシャ</t>
    </rPh>
    <rPh sb="7" eb="11">
      <t>カブシキガイシャ</t>
    </rPh>
    <phoneticPr fontId="13"/>
  </si>
  <si>
    <t>宮城 331 ろ 3511</t>
    <rPh sb="0" eb="2">
      <t>ミヤギ</t>
    </rPh>
    <phoneticPr fontId="13"/>
  </si>
  <si>
    <t>高橋 聖真</t>
    <rPh sb="0" eb="2">
      <t>タカハシ</t>
    </rPh>
    <rPh sb="3" eb="4">
      <t>セイ</t>
    </rPh>
    <rPh sb="4" eb="5">
      <t>マコト</t>
    </rPh>
    <phoneticPr fontId="13"/>
  </si>
  <si>
    <t>真直部 晴美</t>
    <rPh sb="0" eb="1">
      <t>マ</t>
    </rPh>
    <rPh sb="1" eb="2">
      <t>スナオ</t>
    </rPh>
    <rPh sb="2" eb="3">
      <t>ブ</t>
    </rPh>
    <rPh sb="4" eb="6">
      <t>ハルミ</t>
    </rPh>
    <phoneticPr fontId="13"/>
  </si>
  <si>
    <t>千葉 339 り 105</t>
    <rPh sb="0" eb="2">
      <t>チバ</t>
    </rPh>
    <phoneticPr fontId="13"/>
  </si>
  <si>
    <t>27-2169</t>
  </si>
  <si>
    <t>27-2170</t>
  </si>
  <si>
    <t>27-2171</t>
  </si>
  <si>
    <t>27-2172</t>
  </si>
  <si>
    <t>MOTA(商談)</t>
    <rPh sb="5" eb="7">
      <t>ショウダン</t>
    </rPh>
    <phoneticPr fontId="13"/>
  </si>
  <si>
    <t>CX60- XD Lﾊﾟｯｹｰｼﾞ</t>
    <phoneticPr fontId="13"/>
  </si>
  <si>
    <t>27-2173</t>
  </si>
  <si>
    <t>27-2174</t>
  </si>
  <si>
    <t>27-2175</t>
  </si>
  <si>
    <t>27-2176</t>
  </si>
  <si>
    <t>27-2177</t>
  </si>
  <si>
    <t>27-2178</t>
  </si>
  <si>
    <t>27-2179</t>
  </si>
  <si>
    <t>27-2180</t>
  </si>
  <si>
    <t>27-2181</t>
  </si>
  <si>
    <t>27-2182</t>
  </si>
  <si>
    <t>27-2183</t>
  </si>
  <si>
    <t>27-2184</t>
  </si>
  <si>
    <t>27-2185</t>
  </si>
  <si>
    <t>27-2186</t>
  </si>
  <si>
    <t>27-2187</t>
  </si>
  <si>
    <t>27-2188</t>
  </si>
  <si>
    <t>27-2189</t>
  </si>
  <si>
    <t>27-2190</t>
  </si>
  <si>
    <t>27-2191</t>
  </si>
  <si>
    <t>27-2192</t>
  </si>
  <si>
    <t>27-2193</t>
  </si>
  <si>
    <t>27-2194</t>
  </si>
  <si>
    <t>27-2195</t>
  </si>
  <si>
    <t>27-2196</t>
  </si>
  <si>
    <t>27-2197</t>
  </si>
  <si>
    <t>A315021</t>
    <phoneticPr fontId="13"/>
  </si>
  <si>
    <t>ｱｺｰﾄﾞ ﾊｲﾌﾞﾘｯﾄﾞ EX</t>
    <phoneticPr fontId="13"/>
  </si>
  <si>
    <t>CV3-1100341</t>
    <phoneticPr fontId="13"/>
  </si>
  <si>
    <t>VM4-082352</t>
    <phoneticPr fontId="13"/>
  </si>
  <si>
    <t>LA600S-0264550</t>
    <phoneticPr fontId="13"/>
  </si>
  <si>
    <t>ｳﾞｪﾙﾌｧｲｱ 2.5 Z G</t>
    <phoneticPr fontId="13"/>
  </si>
  <si>
    <t>AGH30-0023845</t>
    <phoneticPr fontId="13"/>
  </si>
  <si>
    <t xml:space="preserve">RAV4 G </t>
    <phoneticPr fontId="13"/>
  </si>
  <si>
    <t>MXAA54-4016259</t>
    <phoneticPr fontId="13"/>
  </si>
  <si>
    <t>ﾉｰﾄ ｵｰﾃｯｸ ｸﾛｽｵｰﾊﾞｰ</t>
    <phoneticPr fontId="13"/>
  </si>
  <si>
    <t>SNE13-185080</t>
    <phoneticPr fontId="13"/>
  </si>
  <si>
    <t>86 GT</t>
    <phoneticPr fontId="13"/>
  </si>
  <si>
    <t>ZN6-058062</t>
    <phoneticPr fontId="13"/>
  </si>
  <si>
    <t>ｴﾌﾞﾘｲﾜｺﾞﾝ PAﾘﾐﾃｯﾄﾞ</t>
    <phoneticPr fontId="13"/>
  </si>
  <si>
    <t>DA17V-664194</t>
    <phoneticPr fontId="13"/>
  </si>
  <si>
    <t>MK53S-331673</t>
    <phoneticPr fontId="13"/>
  </si>
  <si>
    <t>EKｽﾍﾟｰｽｶｽﾀﾑ</t>
    <phoneticPr fontId="13"/>
  </si>
  <si>
    <t>B11A-0211723</t>
    <phoneticPr fontId="13"/>
  </si>
  <si>
    <t>MX91S-157501</t>
    <phoneticPr fontId="13"/>
  </si>
  <si>
    <t>XC40 B4 ﾓﾒﾝﾀﾑ</t>
    <phoneticPr fontId="13"/>
  </si>
  <si>
    <t>YV1XZK9MDM2482472</t>
    <phoneticPr fontId="13"/>
  </si>
  <si>
    <t>VR7ECYHZRMJ563049</t>
    <phoneticPr fontId="13"/>
  </si>
  <si>
    <t>LA650S-1011495</t>
    <phoneticPr fontId="13"/>
  </si>
  <si>
    <t>MK53S-388786</t>
    <phoneticPr fontId="13"/>
  </si>
  <si>
    <t>ﾀﾝﾄｶｽﾀﾑ X ｽﾍﾟｼｬﾙ</t>
    <phoneticPr fontId="13"/>
  </si>
  <si>
    <t>L375S-0636732</t>
    <phoneticPr fontId="13"/>
  </si>
  <si>
    <t>保証書 地図SD ｽﾍﾟｱｷｰ</t>
    <rPh sb="0" eb="3">
      <t>ホショウショ</t>
    </rPh>
    <rPh sb="4" eb="6">
      <t>チズ</t>
    </rPh>
    <phoneticPr fontId="13"/>
  </si>
  <si>
    <t>8/8/27</t>
    <phoneticPr fontId="13"/>
  </si>
  <si>
    <t>保証書 取説 ｽﾍﾟｱｷｰ ﾌﾘｰｷｰ ﾜﾝｵｰﾅｰ</t>
    <rPh sb="0" eb="3">
      <t>ホショウショ</t>
    </rPh>
    <rPh sb="4" eb="6">
      <t>トリセツ</t>
    </rPh>
    <phoneticPr fontId="13"/>
  </si>
  <si>
    <t>8/12/12</t>
    <phoneticPr fontId="13"/>
  </si>
  <si>
    <t>8/9/28</t>
    <phoneticPr fontId="13"/>
  </si>
  <si>
    <t>8/1/21</t>
    <phoneticPr fontId="13"/>
  </si>
  <si>
    <t>ﾒﾀﾘｯｸｺｯﾊﾟｰ</t>
    <phoneticPr fontId="13"/>
  </si>
  <si>
    <t>8/12/22</t>
    <phoneticPr fontId="13"/>
  </si>
  <si>
    <t>ｼｴﾝﾀ ﾊｲﾌﾞﾘｯﾄﾞ G</t>
    <phoneticPr fontId="13"/>
  </si>
  <si>
    <t>MXPL10-1129530</t>
    <phoneticPr fontId="13"/>
  </si>
  <si>
    <t>8/4/18</t>
    <phoneticPr fontId="13"/>
  </si>
  <si>
    <t>香川 501 に 8798</t>
    <rPh sb="0" eb="2">
      <t>カガワ</t>
    </rPh>
    <phoneticPr fontId="13"/>
  </si>
  <si>
    <t>ﾌﾘｰﾄﾞ ﾓﾃﾞｭｰﾛX</t>
    <phoneticPr fontId="13"/>
  </si>
  <si>
    <t>GB5-8100068</t>
    <phoneticPr fontId="13"/>
  </si>
  <si>
    <t>ﾊﾟｯｿ ﾓｰﾀﾞ</t>
    <phoneticPr fontId="13"/>
  </si>
  <si>
    <t>M700A-0180941</t>
    <phoneticPr fontId="13"/>
  </si>
  <si>
    <t>ｽﾏｰﾄｷｰ2個あり 保証書 ﾜﾝｵｰﾅｰ</t>
    <rPh sb="7" eb="8">
      <t>コ</t>
    </rPh>
    <rPh sb="11" eb="14">
      <t>ホショウショ</t>
    </rPh>
    <phoneticPr fontId="13"/>
  </si>
  <si>
    <t>ｼﾞﾑﾆｰｼｴﾗ JC</t>
    <phoneticPr fontId="13"/>
  </si>
  <si>
    <t>JB74W-199074</t>
    <phoneticPr fontId="13"/>
  </si>
  <si>
    <t>8/9/27</t>
    <phoneticPr fontId="13"/>
  </si>
  <si>
    <t>和泉 573 ぬ 33</t>
    <rPh sb="0" eb="2">
      <t>イズミ</t>
    </rPh>
    <phoneticPr fontId="13"/>
  </si>
  <si>
    <t>ﾌﾟﾘｳｽｱﾙﾌｧｰ S ﾂｰﾘﾝｸﾞｾﾚｸｼｮﾝ</t>
    <phoneticPr fontId="13"/>
  </si>
  <si>
    <t>ZVW41-0032713</t>
    <phoneticPr fontId="13"/>
  </si>
  <si>
    <t>神戸 303 ね 8859</t>
    <rPh sb="0" eb="2">
      <t>コウベ</t>
    </rPh>
    <phoneticPr fontId="13"/>
  </si>
  <si>
    <t>MXPK11-2107761</t>
    <phoneticPr fontId="13"/>
  </si>
  <si>
    <t>ﾏﾂﾀﾞ CX3 XDﾌﾟﾛｱｸﾃｨﾌﾞ</t>
    <phoneticPr fontId="13"/>
  </si>
  <si>
    <t>DK5FW-205325</t>
    <phoneticPr fontId="13"/>
  </si>
  <si>
    <t>香川 300 め 3038</t>
    <rPh sb="0" eb="2">
      <t>カガワ</t>
    </rPh>
    <phoneticPr fontId="13"/>
  </si>
  <si>
    <t>ﾑｰﾌﾞｷｬﾝﾊﾞｽ ﾌﾞﾗｯｸｲﾝﾃﾘｱﾘﾐﾃｯﾄﾞ</t>
    <phoneticPr fontId="13"/>
  </si>
  <si>
    <t>LA800S-0163505</t>
    <phoneticPr fontId="13"/>
  </si>
  <si>
    <t>高知 580 ひ 4453</t>
    <rPh sb="0" eb="2">
      <t>コウチ</t>
    </rPh>
    <phoneticPr fontId="13"/>
  </si>
  <si>
    <t>20/2</t>
    <phoneticPr fontId="13"/>
  </si>
  <si>
    <t>JB23W-535608</t>
    <phoneticPr fontId="13"/>
  </si>
  <si>
    <t>9/2/19</t>
    <phoneticPr fontId="13"/>
  </si>
  <si>
    <t>倉敷 580 ほ 4097</t>
    <rPh sb="0" eb="2">
      <t>クラシキ</t>
    </rPh>
    <phoneticPr fontId="13"/>
  </si>
  <si>
    <t xml:space="preserve">ﾀﾝﾄｶｽﾀﾑ X </t>
    <phoneticPr fontId="13"/>
  </si>
  <si>
    <t>LA600S-0413653</t>
    <phoneticPr fontId="13"/>
  </si>
  <si>
    <t>姫路 583 そ 5758</t>
    <rPh sb="0" eb="2">
      <t>ヒメジ</t>
    </rPh>
    <phoneticPr fontId="13"/>
  </si>
  <si>
    <t>保証書 取説 ｽﾛｰﾊﾟｰ取説  ﾘﾓｺﾝ ｽﾏｰﾄｷｰ ﾜﾝｵｰﾅｰ</t>
    <rPh sb="0" eb="3">
      <t>ホショウショ</t>
    </rPh>
    <rPh sb="4" eb="6">
      <t>トリセツ</t>
    </rPh>
    <rPh sb="13" eb="15">
      <t>トリセツ</t>
    </rPh>
    <phoneticPr fontId="13"/>
  </si>
  <si>
    <t>WMWXU520602N40497</t>
    <phoneticPr fontId="13"/>
  </si>
  <si>
    <t>BMWﾐﾆ ｸｰﾊﾟｰ SD</t>
    <phoneticPr fontId="13"/>
  </si>
  <si>
    <t>WMWYU5203D56125</t>
    <phoneticPr fontId="13"/>
  </si>
  <si>
    <t>大阪 348 る 5115</t>
    <rPh sb="0" eb="2">
      <t>オオサカ</t>
    </rPh>
    <phoneticPr fontId="13"/>
  </si>
  <si>
    <t>WMWXU72080TN29958</t>
    <phoneticPr fontId="13"/>
  </si>
  <si>
    <t>BMWﾐﾆｸｰﾊﾟｰ ｻｻﾞｰｸ</t>
    <phoneticPr fontId="13"/>
  </si>
  <si>
    <t>WMWXS520702H51801</t>
    <phoneticPr fontId="13"/>
  </si>
  <si>
    <t>9/4/25</t>
    <phoneticPr fontId="13"/>
  </si>
  <si>
    <t>岡山 301 も 1801</t>
    <rPh sb="0" eb="2">
      <t>オカヤマ</t>
    </rPh>
    <phoneticPr fontId="13"/>
  </si>
  <si>
    <t>KH3P-105226</t>
    <phoneticPr fontId="13"/>
  </si>
  <si>
    <t>名古屋 58A ほ 6740</t>
    <rPh sb="0" eb="3">
      <t>ナゴヤ</t>
    </rPh>
    <phoneticPr fontId="13"/>
  </si>
  <si>
    <t>保証書 取説  ﾅﾋﾞ取</t>
    <rPh sb="0" eb="3">
      <t>ホショウショ</t>
    </rPh>
    <rPh sb="4" eb="6">
      <t>トリセツ</t>
    </rPh>
    <rPh sb="11" eb="12">
      <t>トリ</t>
    </rPh>
    <phoneticPr fontId="13"/>
  </si>
  <si>
    <t>保証書 取説 ﾅﾋﾞ取</t>
    <rPh sb="0" eb="2">
      <t>ホショウ</t>
    </rPh>
    <rPh sb="2" eb="3">
      <t>ショ</t>
    </rPh>
    <rPh sb="4" eb="6">
      <t>トリセツ</t>
    </rPh>
    <rPh sb="10" eb="11">
      <t>トリ</t>
    </rPh>
    <phoneticPr fontId="13"/>
  </si>
  <si>
    <t>名古屋 780 ろ 3586</t>
    <rPh sb="0" eb="3">
      <t>ナゴヤ</t>
    </rPh>
    <phoneticPr fontId="13"/>
  </si>
  <si>
    <t>福井 580 ぬ 5670</t>
    <rPh sb="0" eb="2">
      <t>フクイ</t>
    </rPh>
    <phoneticPr fontId="13"/>
  </si>
  <si>
    <t>福井ｽｽﾞｷ自動車販売株式会社</t>
    <rPh sb="0" eb="2">
      <t>フクイ</t>
    </rPh>
    <rPh sb="6" eb="15">
      <t>ジドウシャハンバイカブシキガイシャ</t>
    </rPh>
    <phoneticPr fontId="13"/>
  </si>
  <si>
    <t>大阪 303 た 507</t>
    <rPh sb="0" eb="2">
      <t>オオサカ</t>
    </rPh>
    <phoneticPr fontId="13"/>
  </si>
  <si>
    <t>井上 洋一</t>
    <rPh sb="0" eb="2">
      <t>イノウエ</t>
    </rPh>
    <rPh sb="3" eb="5">
      <t>ヨウイチ</t>
    </rPh>
    <phoneticPr fontId="13"/>
  </si>
  <si>
    <t>保証書 取説 ｷｰﾚｽ 充電ｹｰﾌﾞﾙ ﾜﾝｵｰﾅｰ</t>
    <rPh sb="0" eb="3">
      <t>ホショウショ</t>
    </rPh>
    <rPh sb="4" eb="6">
      <t>トリセツ</t>
    </rPh>
    <rPh sb="12" eb="14">
      <t>ジュウデン</t>
    </rPh>
    <phoneticPr fontId="13"/>
  </si>
  <si>
    <t>福岡 ｽﾊﾞﾙ株式会社</t>
    <rPh sb="0" eb="2">
      <t>フクオカ</t>
    </rPh>
    <rPh sb="7" eb="11">
      <t>カブシキガイシャ</t>
    </rPh>
    <phoneticPr fontId="13"/>
  </si>
  <si>
    <t>取説 ｽﾍﾟｱｷｰ(車内)</t>
    <rPh sb="0" eb="2">
      <t>トリセツ</t>
    </rPh>
    <rPh sb="10" eb="12">
      <t>シャナイ</t>
    </rPh>
    <phoneticPr fontId="13"/>
  </si>
  <si>
    <t>←付属品12/13発送</t>
    <rPh sb="1" eb="4">
      <t>フゾクヒン</t>
    </rPh>
    <rPh sb="9" eb="11">
      <t>ハッソウ</t>
    </rPh>
    <phoneticPr fontId="13"/>
  </si>
  <si>
    <t>大阪 324 は 77</t>
    <rPh sb="0" eb="2">
      <t>オオサカ</t>
    </rPh>
    <phoneticPr fontId="13"/>
  </si>
  <si>
    <t>Audi Volkswagen Retail japan株式会社</t>
    <rPh sb="23" eb="32">
      <t>JAPANカブシキガイシャ</t>
    </rPh>
    <phoneticPr fontId="13"/>
  </si>
  <si>
    <t>名古屋 308 せ 5719</t>
    <rPh sb="0" eb="3">
      <t>ナゴヤ</t>
    </rPh>
    <phoneticPr fontId="13"/>
  </si>
  <si>
    <t>福岡 338 ひ 621</t>
    <rPh sb="0" eb="2">
      <t>フクオカ</t>
    </rPh>
    <phoneticPr fontId="13"/>
  </si>
  <si>
    <t>富士自動車株式会社</t>
    <rPh sb="0" eb="2">
      <t>フジ</t>
    </rPh>
    <rPh sb="2" eb="9">
      <t>ジドウシャカブシキガイシャ</t>
    </rPh>
    <phoneticPr fontId="13"/>
  </si>
  <si>
    <t>豊田 330 な 1892</t>
    <rPh sb="0" eb="2">
      <t>トヨタ</t>
    </rPh>
    <phoneticPr fontId="13"/>
  </si>
  <si>
    <t>大人 郁也</t>
    <rPh sb="0" eb="2">
      <t>オトナ</t>
    </rPh>
    <rPh sb="3" eb="4">
      <t>イク</t>
    </rPh>
    <rPh sb="4" eb="5">
      <t>ヤ</t>
    </rPh>
    <phoneticPr fontId="13"/>
  </si>
  <si>
    <t>保証書 取説 SD ﾐﾆB-CAS ｷｰﾚｽ</t>
    <rPh sb="0" eb="3">
      <t>ホショウショ</t>
    </rPh>
    <rPh sb="4" eb="6">
      <t>トリセツ</t>
    </rPh>
    <phoneticPr fontId="13"/>
  </si>
  <si>
    <t>大宮 531 の 386</t>
    <rPh sb="0" eb="2">
      <t>オオミヤ</t>
    </rPh>
    <phoneticPr fontId="13"/>
  </si>
  <si>
    <t>株式会社ｽｽﾞｷ自販埼玉</t>
    <rPh sb="0" eb="4">
      <t>カブシキガイシャ</t>
    </rPh>
    <rPh sb="8" eb="10">
      <t>ジハン</t>
    </rPh>
    <rPh sb="10" eb="12">
      <t>サイタマ</t>
    </rPh>
    <phoneticPr fontId="13"/>
  </si>
  <si>
    <t>地図SD(車内)保証書 取説 ﾜﾝｵｰﾅｰ</t>
    <rPh sb="0" eb="2">
      <t>チズ</t>
    </rPh>
    <rPh sb="8" eb="11">
      <t>ホショウショ</t>
    </rPh>
    <rPh sb="12" eb="14">
      <t>トリセツ</t>
    </rPh>
    <phoneticPr fontId="13"/>
  </si>
  <si>
    <t>山口 376 た 11</t>
    <rPh sb="0" eb="2">
      <t>ヤマグチ</t>
    </rPh>
    <phoneticPr fontId="13"/>
  </si>
  <si>
    <t>山口ﾄﾖﾀ自動車株式会社</t>
    <rPh sb="0" eb="2">
      <t>ヤマグチ</t>
    </rPh>
    <rPh sb="5" eb="12">
      <t>ジドウシャカブシキガイシャ</t>
    </rPh>
    <phoneticPr fontId="13"/>
  </si>
  <si>
    <t>堺 342 り 1103</t>
    <rPh sb="0" eb="1">
      <t>サカイ</t>
    </rPh>
    <phoneticPr fontId="13"/>
  </si>
  <si>
    <t>小野田 遼</t>
    <rPh sb="0" eb="3">
      <t>オノダ</t>
    </rPh>
    <rPh sb="4" eb="5">
      <t>リョウ</t>
    </rPh>
    <phoneticPr fontId="13"/>
  </si>
  <si>
    <t>神戸 303 や 8676</t>
    <rPh sb="0" eb="2">
      <t>コウベ</t>
    </rPh>
    <phoneticPr fontId="13"/>
  </si>
  <si>
    <t>新村 隆徳</t>
    <rPh sb="0" eb="2">
      <t>ニイムラ</t>
    </rPh>
    <rPh sb="3" eb="4">
      <t>タカシ</t>
    </rPh>
    <rPh sb="4" eb="5">
      <t>トク</t>
    </rPh>
    <phoneticPr fontId="13"/>
  </si>
  <si>
    <t>大阪 303 や 9797</t>
    <rPh sb="0" eb="2">
      <t>オオサカ</t>
    </rPh>
    <phoneticPr fontId="13"/>
  </si>
  <si>
    <t>太田 和尚</t>
    <rPh sb="0" eb="2">
      <t>オオタ</t>
    </rPh>
    <rPh sb="3" eb="5">
      <t>カズナオ</t>
    </rPh>
    <phoneticPr fontId="13"/>
  </si>
  <si>
    <t>保証書 取説 ｷｰﾚｽ2個 ﾘﾓｺﾝ</t>
    <rPh sb="0" eb="3">
      <t>ホショウショ</t>
    </rPh>
    <rPh sb="4" eb="6">
      <t>トリセツ</t>
    </rPh>
    <rPh sb="12" eb="13">
      <t>コ</t>
    </rPh>
    <phoneticPr fontId="13"/>
  </si>
  <si>
    <t>岡山 400 な 5818</t>
    <rPh sb="0" eb="2">
      <t>オカヤマ</t>
    </rPh>
    <phoneticPr fontId="13"/>
  </si>
  <si>
    <t>広島 583 か 3505</t>
    <rPh sb="0" eb="2">
      <t>ヒロシマ</t>
    </rPh>
    <phoneticPr fontId="13"/>
  </si>
  <si>
    <t>広島 584 こ 1783</t>
    <rPh sb="0" eb="2">
      <t>ヒロシマ</t>
    </rPh>
    <phoneticPr fontId="13"/>
  </si>
  <si>
    <t>堺 586 ろ 3905</t>
    <rPh sb="0" eb="1">
      <t>サカイ</t>
    </rPh>
    <phoneticPr fontId="13"/>
  </si>
  <si>
    <t>江東 580 ろ 1011</t>
    <rPh sb="0" eb="2">
      <t>エトウ</t>
    </rPh>
    <phoneticPr fontId="13"/>
  </si>
  <si>
    <t>京都 581 せ 7194</t>
    <rPh sb="0" eb="2">
      <t>キョウト</t>
    </rPh>
    <phoneticPr fontId="13"/>
  </si>
  <si>
    <t>株式会社宇治ﾏｲｶｰﾗﾝﾄﾞ</t>
    <rPh sb="0" eb="4">
      <t>カブシキガイシャ</t>
    </rPh>
    <rPh sb="4" eb="6">
      <t>ウジ</t>
    </rPh>
    <phoneticPr fontId="13"/>
  </si>
  <si>
    <t>なにわ 691 ろ 1903</t>
    <phoneticPr fontId="13"/>
  </si>
  <si>
    <t>ｲﾜｻｷ自動車販売株式会社</t>
    <rPh sb="4" eb="13">
      <t>ジドウシャハンバイカブシキガイシャ</t>
    </rPh>
    <phoneticPr fontId="13"/>
  </si>
  <si>
    <t>株式会社青木建設</t>
    <rPh sb="0" eb="4">
      <t>カブシキガイシャ</t>
    </rPh>
    <rPh sb="4" eb="6">
      <t>アオキ</t>
    </rPh>
    <rPh sb="6" eb="8">
      <t>ケンセツ</t>
    </rPh>
    <phoneticPr fontId="13"/>
  </si>
  <si>
    <t>ﾙﾉｰ ﾄｩｲﾝｺﾞ ｲﾝﾃﾘﾝｽ ﾘﾐﾃｯﾄﾞ</t>
    <phoneticPr fontId="13"/>
  </si>
  <si>
    <t>VF1AH0006M0821671</t>
    <phoneticPr fontId="13"/>
  </si>
  <si>
    <t>8/6/24</t>
    <phoneticPr fontId="13"/>
  </si>
  <si>
    <t>山口 530 ね 1837</t>
    <rPh sb="0" eb="2">
      <t>ヤマグチ</t>
    </rPh>
    <phoneticPr fontId="13"/>
  </si>
  <si>
    <t>ｶﾛｰﾗﾌｨｰﾙﾀﾞｰ EX</t>
    <phoneticPr fontId="13"/>
  </si>
  <si>
    <t>NRE161-0109631</t>
    <phoneticPr fontId="13"/>
  </si>
  <si>
    <t>8/12/10</t>
    <phoneticPr fontId="13"/>
  </si>
  <si>
    <t>神戸 504 ゆ 8130</t>
    <rPh sb="0" eb="2">
      <t>コウベ</t>
    </rPh>
    <phoneticPr fontId="13"/>
  </si>
  <si>
    <t>LA600S-0695544</t>
    <phoneticPr fontId="13"/>
  </si>
  <si>
    <t>DR17W-250337</t>
    <phoneticPr fontId="13"/>
  </si>
  <si>
    <t>VF3M45GFRKL065213</t>
    <phoneticPr fontId="13"/>
  </si>
  <si>
    <t>ﾌｨｱｯﾄ500X ｲﾝﾃﾞｨｺ</t>
    <phoneticPr fontId="13"/>
  </si>
  <si>
    <t>ZFA3340000P870615</t>
    <phoneticPr fontId="13"/>
  </si>
  <si>
    <t>なにわ 342 み 126</t>
    <phoneticPr fontId="13"/>
  </si>
  <si>
    <t>取説 ﾜﾝｵｰﾅｰ 名変期限2/10まで</t>
    <rPh sb="0" eb="2">
      <t>トリセツ</t>
    </rPh>
    <rPh sb="10" eb="14">
      <t>メイヘンキゲン</t>
    </rPh>
    <phoneticPr fontId="13"/>
  </si>
  <si>
    <t>ﾎﾞﾙﾎﾞ V60 D4</t>
    <phoneticPr fontId="13"/>
  </si>
  <si>
    <t>YV1FWABRDH1345235</t>
    <phoneticPr fontId="13"/>
  </si>
  <si>
    <t>WVGZZZA1ZLV159899</t>
    <phoneticPr fontId="13"/>
  </si>
  <si>
    <t>WMWXV320202N87057</t>
    <phoneticPr fontId="13"/>
  </si>
  <si>
    <t>WMWXM720803C11762</t>
    <phoneticPr fontId="13"/>
  </si>
  <si>
    <t>鹿児島 580 め 4782</t>
    <rPh sb="0" eb="3">
      <t>カゴシマ</t>
    </rPh>
    <phoneticPr fontId="13"/>
  </si>
  <si>
    <t>日立ｷｬﾋﾟﾀﾙ株式会社</t>
    <rPh sb="0" eb="2">
      <t>ヒタチ</t>
    </rPh>
    <rPh sb="8" eb="12">
      <t>カブシキガイシャ</t>
    </rPh>
    <phoneticPr fontId="13"/>
  </si>
  <si>
    <t>保証書 取説 ﾜﾝｵｰﾅｰ</t>
    <phoneticPr fontId="13"/>
  </si>
  <si>
    <t>八王子 583 き 772</t>
    <rPh sb="0" eb="3">
      <t>ハチオウジ</t>
    </rPh>
    <phoneticPr fontId="13"/>
  </si>
  <si>
    <t>日産東京販売株式会社</t>
    <rPh sb="0" eb="2">
      <t>ニッサン</t>
    </rPh>
    <rPh sb="2" eb="4">
      <t>トウキョウ</t>
    </rPh>
    <rPh sb="4" eb="10">
      <t>ハンバイカブシキガイシャ</t>
    </rPh>
    <phoneticPr fontId="13"/>
  </si>
  <si>
    <t>鳥取 501 す 6567</t>
    <rPh sb="0" eb="2">
      <t>トットリ</t>
    </rPh>
    <phoneticPr fontId="13"/>
  </si>
  <si>
    <t>日本海三菱自動車販売株式会社</t>
    <rPh sb="0" eb="3">
      <t>ニホンカイ</t>
    </rPh>
    <rPh sb="3" eb="5">
      <t>ミツビシ</t>
    </rPh>
    <rPh sb="5" eb="14">
      <t>ジドウシャハンバイカブシキガイシャ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</si>
  <si>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</si>
  <si>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なにわ 595 つ 358</t>
    <phoneticPr fontId="13"/>
  </si>
  <si>
    <t>三共自動車株式会社</t>
    <rPh sb="0" eb="2">
      <t>サンキョウ</t>
    </rPh>
    <rPh sb="2" eb="9">
      <t>ジドウシャカブシキガイシャ</t>
    </rPh>
    <phoneticPr fontId="13"/>
  </si>
  <si>
    <t>神戸 331 す 2901</t>
    <rPh sb="0" eb="2">
      <t>コウベ</t>
    </rPh>
    <phoneticPr fontId="13"/>
  </si>
  <si>
    <t>京都 388 ろ 1212</t>
    <rPh sb="0" eb="2">
      <t>キョウト</t>
    </rPh>
    <phoneticPr fontId="13"/>
  </si>
  <si>
    <t>名古屋 326 む 1058</t>
    <rPh sb="0" eb="3">
      <t>ナゴヤ</t>
    </rPh>
    <phoneticPr fontId="13"/>
  </si>
  <si>
    <t>滋賀 346 と 1107</t>
    <rPh sb="0" eb="2">
      <t>シガ</t>
    </rPh>
    <phoneticPr fontId="13"/>
  </si>
  <si>
    <t>滋賀ﾎﾝﾀﾞ販売株式会社</t>
    <rPh sb="0" eb="2">
      <t>シガ</t>
    </rPh>
    <rPh sb="6" eb="8">
      <t>ハンバイ</t>
    </rPh>
    <rPh sb="8" eb="12">
      <t>カブシキガイシャ</t>
    </rPh>
    <phoneticPr fontId="13"/>
  </si>
  <si>
    <t>ZFA3120000JE82713</t>
    <phoneticPr fontId="13"/>
  </si>
  <si>
    <t>福山 530 ひ 6767</t>
    <rPh sb="0" eb="2">
      <t>フクヤマ</t>
    </rPh>
    <phoneticPr fontId="13"/>
  </si>
  <si>
    <t>ZFA3120000JB46364</t>
    <phoneticPr fontId="13"/>
  </si>
  <si>
    <t>株式会社ﾎﾝﾀﾞﾍﾞﾙﾉ福井</t>
    <rPh sb="0" eb="4">
      <t>カブシキガイシャ</t>
    </rPh>
    <rPh sb="12" eb="14">
      <t>フクイ</t>
    </rPh>
    <phoneticPr fontId="13"/>
  </si>
  <si>
    <t>なにわ 583 う 1400</t>
    <phoneticPr fontId="13"/>
  </si>
  <si>
    <t>株式会社関西ﾏﾂﾀﾞ</t>
    <rPh sb="0" eb="4">
      <t>カブシキガイシャ</t>
    </rPh>
    <rPh sb="4" eb="6">
      <t>カンサイ</t>
    </rPh>
    <phoneticPr fontId="13"/>
  </si>
  <si>
    <t>尾張小牧 503 な 9640</t>
    <rPh sb="0" eb="4">
      <t>オワリコマキ</t>
    </rPh>
    <phoneticPr fontId="13"/>
  </si>
  <si>
    <t>岡山 581 よ 2805</t>
    <rPh sb="0" eb="2">
      <t>オカヤマ</t>
    </rPh>
    <phoneticPr fontId="13"/>
  </si>
  <si>
    <t>名古屋 599 ろ 3749</t>
    <rPh sb="0" eb="3">
      <t>ナゴヤ</t>
    </rPh>
    <phoneticPr fontId="13"/>
  </si>
  <si>
    <t>京都 503 す 7746</t>
    <rPh sb="0" eb="2">
      <t>キョウト</t>
    </rPh>
    <phoneticPr fontId="13"/>
  </si>
  <si>
    <t>小林 明史</t>
    <rPh sb="0" eb="2">
      <t>コバヤシ</t>
    </rPh>
    <rPh sb="3" eb="4">
      <t>アキラ</t>
    </rPh>
    <rPh sb="4" eb="5">
      <t>シ</t>
    </rPh>
    <phoneticPr fontId="13"/>
  </si>
  <si>
    <t>保証書 取説 ﾅﾋﾞ取 ﾐﾆB-CAS</t>
    <rPh sb="0" eb="3">
      <t>ホショウショ</t>
    </rPh>
    <rPh sb="4" eb="6">
      <t>トリセツ</t>
    </rPh>
    <rPh sb="10" eb="11">
      <t>トリ</t>
    </rPh>
    <phoneticPr fontId="13"/>
  </si>
  <si>
    <t>日産ﾌﾟﾘﾝｽ兵庫販売株式会社</t>
    <rPh sb="0" eb="2">
      <t>ニッサン</t>
    </rPh>
    <rPh sb="7" eb="9">
      <t>ヒョウゴ</t>
    </rPh>
    <rPh sb="9" eb="15">
      <t>ハンバイカブシキガイシャ</t>
    </rPh>
    <phoneticPr fontId="13"/>
  </si>
  <si>
    <t>加藤 晃久</t>
    <rPh sb="0" eb="2">
      <t>カトウ</t>
    </rPh>
    <rPh sb="3" eb="5">
      <t>アキヒサ</t>
    </rPh>
    <phoneticPr fontId="13"/>
  </si>
  <si>
    <t>徳田 明之</t>
    <rPh sb="0" eb="2">
      <t>トクダ</t>
    </rPh>
    <rPh sb="3" eb="4">
      <t>アキ</t>
    </rPh>
    <rPh sb="4" eb="5">
      <t>ユキ</t>
    </rPh>
    <phoneticPr fontId="13"/>
  </si>
  <si>
    <t>栗田 忠勝</t>
    <rPh sb="0" eb="2">
      <t>クリタ</t>
    </rPh>
    <rPh sb="3" eb="5">
      <t>タダカツ</t>
    </rPh>
    <phoneticPr fontId="13"/>
  </si>
  <si>
    <t>八王子 301 な 1064</t>
    <rPh sb="0" eb="3">
      <t>ハチオウジ</t>
    </rPh>
    <phoneticPr fontId="13"/>
  </si>
  <si>
    <t>株式会社ﾃｨｰｼｰｴｽ</t>
    <rPh sb="0" eb="4">
      <t>カブシキガイシャ</t>
    </rPh>
    <phoneticPr fontId="13"/>
  </si>
  <si>
    <t>WMWXS52010T825821</t>
    <phoneticPr fontId="13"/>
  </si>
  <si>
    <t>27-2198</t>
  </si>
  <si>
    <t>27-2199</t>
  </si>
  <si>
    <t>27-2200</t>
  </si>
  <si>
    <t>27-2201</t>
  </si>
  <si>
    <t>27-2202</t>
  </si>
  <si>
    <t>27-2203</t>
  </si>
  <si>
    <t>27-2204</t>
  </si>
  <si>
    <t>27-2205</t>
  </si>
  <si>
    <t>27-2206</t>
  </si>
  <si>
    <t>27-2207</t>
  </si>
  <si>
    <t>27-2208</t>
  </si>
  <si>
    <t>27-2209</t>
  </si>
  <si>
    <t>27-2210</t>
  </si>
  <si>
    <t>27-2211</t>
  </si>
  <si>
    <t>27-2212</t>
  </si>
  <si>
    <t>27-2213</t>
  </si>
  <si>
    <t>27-2214</t>
  </si>
  <si>
    <t>27-2215</t>
  </si>
  <si>
    <t>27-2216</t>
  </si>
  <si>
    <t>27-2217</t>
  </si>
  <si>
    <t>27-2218</t>
  </si>
  <si>
    <t>27-2219</t>
  </si>
  <si>
    <t>27-2220</t>
  </si>
  <si>
    <t>27-2221</t>
  </si>
  <si>
    <t>27-2222</t>
  </si>
  <si>
    <t>MXPJ10-3109988</t>
    <phoneticPr fontId="13"/>
  </si>
  <si>
    <t>8/10/19</t>
    <phoneticPr fontId="13"/>
  </si>
  <si>
    <t>奈良 347 ね 8778</t>
    <rPh sb="0" eb="2">
      <t>ナラ</t>
    </rPh>
    <phoneticPr fontId="13"/>
  </si>
  <si>
    <t>ﾒﾙｾﾃﾞｽﾍﾞﾝﾂ C 200</t>
    <phoneticPr fontId="13"/>
  </si>
  <si>
    <t>W1K2050772R581573</t>
    <phoneticPr fontId="13"/>
  </si>
  <si>
    <t>27-2223</t>
  </si>
  <si>
    <t>WMWXU72050TR63125</t>
    <phoneticPr fontId="13"/>
  </si>
  <si>
    <t>WMW72BB0002N88565</t>
    <phoneticPr fontId="13"/>
  </si>
  <si>
    <t>ﾚﾈｹﾞｰﾄ ﾄﾚｲﾙﾎｰｸ</t>
    <phoneticPr fontId="13"/>
  </si>
  <si>
    <t>ﾌｨｱｯﾄ500 1.2 ﾄﾞﾙﾁｪｳﾞｨｰﾀ</t>
    <phoneticPr fontId="13"/>
  </si>
  <si>
    <t>ZFABF1CG0NJG68205</t>
    <phoneticPr fontId="13"/>
  </si>
  <si>
    <t>石川 532 ゆ 305</t>
    <rPh sb="0" eb="2">
      <t>イシカワ</t>
    </rPh>
    <phoneticPr fontId="13"/>
  </si>
  <si>
    <t>ZFA3120000JB36106</t>
    <phoneticPr fontId="13"/>
  </si>
  <si>
    <t>静岡 534 て 2323</t>
    <rPh sb="0" eb="2">
      <t>シズオカ</t>
    </rPh>
    <phoneticPr fontId="13"/>
  </si>
  <si>
    <t>香川 300 み 821</t>
    <rPh sb="0" eb="2">
      <t>カガワ</t>
    </rPh>
    <phoneticPr fontId="13"/>
  </si>
  <si>
    <t>582 い 6684</t>
    <phoneticPr fontId="13"/>
  </si>
  <si>
    <t>589 て 1107</t>
    <phoneticPr fontId="13"/>
  </si>
  <si>
    <t>301 ね 5011</t>
    <phoneticPr fontId="13"/>
  </si>
  <si>
    <t>地図SD(車内)保証書　取説　Sｷｰ</t>
    <rPh sb="0" eb="2">
      <t>チズ</t>
    </rPh>
    <rPh sb="8" eb="11">
      <t>ホショウショ</t>
    </rPh>
    <rPh sb="12" eb="14">
      <t>トリセツ</t>
    </rPh>
    <phoneticPr fontId="13"/>
  </si>
  <si>
    <t>ｽﾍﾟｱｷｰ(車内)保証書 取説</t>
    <rPh sb="10" eb="13">
      <t>ホショウショ</t>
    </rPh>
    <rPh sb="14" eb="16">
      <t>トリセツ</t>
    </rPh>
    <phoneticPr fontId="13"/>
  </si>
  <si>
    <t>ｷｰﾚｽ(車内)保証書 SIMカード</t>
    <rPh sb="8" eb="11">
      <t>ホショウショ</t>
    </rPh>
    <phoneticPr fontId="13"/>
  </si>
  <si>
    <t>地図SD(車内)保証書 取説 ｷｰﾚｽ ﾜﾝｵｰﾅｰ</t>
    <rPh sb="0" eb="2">
      <t>チズ</t>
    </rPh>
    <rPh sb="8" eb="11">
      <t>ホショウショ</t>
    </rPh>
    <rPh sb="12" eb="14">
      <t>トリセツ</t>
    </rPh>
    <phoneticPr fontId="13"/>
  </si>
  <si>
    <t>取説 ｷｰﾚｽ(車内)保証書 ﾏｲｸﾛSD</t>
    <rPh sb="0" eb="2">
      <t>トリセツ</t>
    </rPh>
    <rPh sb="11" eb="14">
      <t>ホショウショ</t>
    </rPh>
    <phoneticPr fontId="13"/>
  </si>
  <si>
    <t>保証書 取説(車内)ｷｰﾚｽ</t>
    <rPh sb="0" eb="3">
      <t>ホショウショ</t>
    </rPh>
    <rPh sb="4" eb="6">
      <t>トリセツ</t>
    </rPh>
    <phoneticPr fontId="13"/>
  </si>
  <si>
    <t>ｷｬﾝｾﾙ書類返送12/16</t>
    <rPh sb="5" eb="7">
      <t>ショルイ</t>
    </rPh>
    <rPh sb="7" eb="9">
      <t>ヘンソウ</t>
    </rPh>
    <phoneticPr fontId="13"/>
  </si>
  <si>
    <t>品番；NSZN-W68D</t>
    <rPh sb="0" eb="2">
      <t>ヒンバン</t>
    </rPh>
    <phoneticPr fontId="13"/>
  </si>
  <si>
    <t>品番；AVN-SZX04i</t>
    <rPh sb="0" eb="2">
      <t>ヒンバン</t>
    </rPh>
    <phoneticPr fontId="13"/>
  </si>
  <si>
    <t>品番；CN-RE04WD</t>
    <rPh sb="0" eb="2">
      <t>ヒンバン</t>
    </rPh>
    <phoneticPr fontId="13"/>
  </si>
  <si>
    <t>品番；NSCN-W68</t>
    <rPh sb="0" eb="2">
      <t>ヒンバン</t>
    </rPh>
    <phoneticPr fontId="13"/>
  </si>
  <si>
    <t xml:space="preserve">地図SD写メあり上がってきてない ｽﾍﾟｱｷｰ </t>
    <rPh sb="0" eb="2">
      <t>チズ</t>
    </rPh>
    <rPh sb="4" eb="5">
      <t>シャ</t>
    </rPh>
    <rPh sb="8" eb="9">
      <t>ア</t>
    </rPh>
    <phoneticPr fontId="13"/>
  </si>
  <si>
    <t xml:space="preserve"> 地図SD写メあり上がってきてない 保証書 取説</t>
    <rPh sb="1" eb="3">
      <t>チズ</t>
    </rPh>
    <rPh sb="5" eb="6">
      <t>シャ</t>
    </rPh>
    <rPh sb="9" eb="10">
      <t>ア</t>
    </rPh>
    <rPh sb="18" eb="21">
      <t>ホショウショ</t>
    </rPh>
    <rPh sb="22" eb="24">
      <t>トリセツ</t>
    </rPh>
    <phoneticPr fontId="13"/>
  </si>
  <si>
    <t>春日部 581 え 8881</t>
    <rPh sb="0" eb="3">
      <t>カスカベ</t>
    </rPh>
    <phoneticPr fontId="13"/>
  </si>
  <si>
    <t>長野 拓夢</t>
    <rPh sb="0" eb="2">
      <t>ナガノ</t>
    </rPh>
    <rPh sb="3" eb="5">
      <t>タクム</t>
    </rPh>
    <phoneticPr fontId="13"/>
  </si>
  <si>
    <r>
      <t xml:space="preserve">保証書 取説 ﾅﾋﾞ取 </t>
    </r>
    <r>
      <rPr>
        <sz val="11"/>
        <color rgb="FFFF0000"/>
        <rFont val="ＭＳ Ｐゴシック"/>
        <family val="3"/>
        <charset val="128"/>
        <scheme val="minor"/>
      </rPr>
      <t>車検証原本未着</t>
    </r>
    <rPh sb="0" eb="3">
      <t>ホショウショ</t>
    </rPh>
    <rPh sb="4" eb="6">
      <t>トリセツ</t>
    </rPh>
    <rPh sb="10" eb="11">
      <t>トリ</t>
    </rPh>
    <rPh sb="12" eb="17">
      <t>シャケンショウゲンポン</t>
    </rPh>
    <rPh sb="17" eb="19">
      <t>ミチャク</t>
    </rPh>
    <phoneticPr fontId="13"/>
  </si>
  <si>
    <t>品川 584 う 6</t>
    <rPh sb="0" eb="2">
      <t>シナガワ</t>
    </rPh>
    <phoneticPr fontId="13"/>
  </si>
  <si>
    <t>株式会社三益</t>
    <rPh sb="0" eb="4">
      <t>カブシキガイシャ</t>
    </rPh>
    <rPh sb="4" eb="6">
      <t>サンエキ</t>
    </rPh>
    <phoneticPr fontId="13"/>
  </si>
  <si>
    <t>熊谷 588 る 214</t>
    <rPh sb="0" eb="2">
      <t>クマガヤ</t>
    </rPh>
    <phoneticPr fontId="13"/>
  </si>
  <si>
    <t>小沼 啓一</t>
    <rPh sb="0" eb="2">
      <t>コヌマ</t>
    </rPh>
    <rPh sb="3" eb="5">
      <t>ケイイチ</t>
    </rPh>
    <phoneticPr fontId="13"/>
  </si>
  <si>
    <t>旧27-1708</t>
    <rPh sb="0" eb="1">
      <t>キュウ</t>
    </rPh>
    <phoneticPr fontId="13"/>
  </si>
  <si>
    <t>27-2224</t>
  </si>
  <si>
    <t>27-2225</t>
  </si>
  <si>
    <t>27-2226</t>
  </si>
  <si>
    <t>27-2227</t>
  </si>
  <si>
    <t>27-2228</t>
  </si>
  <si>
    <t>27-2229</t>
  </si>
  <si>
    <t>27-2230</t>
  </si>
  <si>
    <t>LA550S-0020497</t>
    <phoneticPr fontId="13"/>
  </si>
  <si>
    <t>27-2231</t>
  </si>
  <si>
    <t>27-2232</t>
  </si>
  <si>
    <t>MXPK11-2115877</t>
    <phoneticPr fontId="13"/>
  </si>
  <si>
    <t>ﾐﾗﾄｺｯﾄ G SA3</t>
    <phoneticPr fontId="13"/>
  </si>
  <si>
    <t>27-2233</t>
  </si>
  <si>
    <t>27-2234</t>
  </si>
  <si>
    <t>27-2235</t>
  </si>
  <si>
    <t>27-2236</t>
  </si>
  <si>
    <t>27-2237</t>
  </si>
  <si>
    <t>A316677</t>
    <phoneticPr fontId="13"/>
  </si>
  <si>
    <t>TRJ150-0112511</t>
    <phoneticPr fontId="13"/>
  </si>
  <si>
    <t>A316634</t>
    <phoneticPr fontId="13"/>
  </si>
  <si>
    <t>T32-555264</t>
    <phoneticPr fontId="13"/>
  </si>
  <si>
    <t>A316678</t>
    <phoneticPr fontId="13"/>
  </si>
  <si>
    <t>GDH201-1052886</t>
    <phoneticPr fontId="13"/>
  </si>
  <si>
    <t>A316321</t>
    <phoneticPr fontId="13"/>
  </si>
  <si>
    <t>ﾚｸｻｽ GS F</t>
    <phoneticPr fontId="13"/>
  </si>
  <si>
    <t>URL10-0001287</t>
    <phoneticPr fontId="13"/>
  </si>
  <si>
    <t>A315903</t>
    <phoneticPr fontId="13"/>
  </si>
  <si>
    <t>AGH30-0362494</t>
    <phoneticPr fontId="13"/>
  </si>
  <si>
    <t>27-2238</t>
  </si>
  <si>
    <t>A316301</t>
    <phoneticPr fontId="13"/>
  </si>
  <si>
    <t>TRJ150-0130617</t>
    <phoneticPr fontId="13"/>
  </si>
  <si>
    <t>ﾌｨｱｯﾄ500 1.2 ドルチェ</t>
    <phoneticPr fontId="13"/>
  </si>
  <si>
    <t>ZFABF1CG2NJG67699</t>
    <phoneticPr fontId="13"/>
  </si>
  <si>
    <t>ﾗﾝﾄﾞｸﾙｰｻﾞｰﾌﾟﾗﾄﾞ TX Lﾊﾟｯｹｰｼﾞ</t>
    <phoneticPr fontId="13"/>
  </si>
  <si>
    <t>9/4/29</t>
    <phoneticPr fontId="13"/>
  </si>
  <si>
    <t>ｴｸｽﾄﾚｲﾙ 20X i</t>
    <phoneticPr fontId="13"/>
  </si>
  <si>
    <t>ﾊｲｴｰｽﾊﾞﾝ ｽｰﾊﾟｰGL ﾀﾞｰｸﾌﾟﾗｲﾑ2</t>
    <phoneticPr fontId="13"/>
  </si>
  <si>
    <t>7/12/27</t>
    <phoneticPr fontId="13"/>
  </si>
  <si>
    <t>ｱﾙﾌｧｰﾄﾞ 2.5 SC ﾊﾟｯｹｰｼﾞ</t>
    <phoneticPr fontId="13"/>
  </si>
  <si>
    <t>8/7/4</t>
    <phoneticPr fontId="13"/>
  </si>
  <si>
    <t>ｽﾍﾟｰｽｶｽﾀﾑ ﾊｲﾌﾞﾘｯﾄﾞ XS</t>
    <phoneticPr fontId="13"/>
  </si>
  <si>
    <t>MK53S-749997</t>
    <phoneticPr fontId="13"/>
  </si>
  <si>
    <t>大阪 582 あ 7971</t>
    <rPh sb="0" eb="2">
      <t>オオサカ</t>
    </rPh>
    <phoneticPr fontId="13"/>
  </si>
  <si>
    <t>LA400K-0046040</t>
    <phoneticPr fontId="13"/>
  </si>
  <si>
    <t>LA600S-0607842</t>
    <phoneticPr fontId="13"/>
  </si>
  <si>
    <t>大阪 581 ね 3209</t>
    <rPh sb="0" eb="2">
      <t>オオサカ</t>
    </rPh>
    <phoneticPr fontId="13"/>
  </si>
  <si>
    <t>MX91S-138481</t>
    <phoneticPr fontId="13"/>
  </si>
  <si>
    <t>ﾌﾟﾘｳｽｱﾙﾌｧｰ G ﾂｰﾘﾝｸﾞｾﾚｸｼｮﾝ</t>
    <phoneticPr fontId="13"/>
  </si>
  <si>
    <t>ZVW41-0079442</t>
    <phoneticPr fontId="13"/>
  </si>
  <si>
    <t>US神戸995回5036売ｷｬﾝｾﾙ書類戻り12/16</t>
    <rPh sb="2" eb="4">
      <t>コウベ</t>
    </rPh>
    <rPh sb="7" eb="8">
      <t>カイ</t>
    </rPh>
    <rPh sb="12" eb="13">
      <t>ウ</t>
    </rPh>
    <rPh sb="18" eb="20">
      <t>ショルイ</t>
    </rPh>
    <rPh sb="20" eb="21">
      <t>モド</t>
    </rPh>
    <phoneticPr fontId="13"/>
  </si>
  <si>
    <t>ｷｬﾝｾﾙ書類返送12/16</t>
    <rPh sb="5" eb="9">
      <t>ショルイヘンソウ</t>
    </rPh>
    <phoneticPr fontId="13"/>
  </si>
  <si>
    <t>BMW X1 xdrive 18d</t>
    <phoneticPr fontId="13"/>
  </si>
  <si>
    <t xml:space="preserve"> WBAHT920605J63733</t>
    <phoneticPr fontId="13"/>
  </si>
  <si>
    <t>VW ｻﾞﾋﾞｰﾄﾙ ﾃﾞｻﾞｲﾝﾏｲｽﾀｰ</t>
    <phoneticPr fontId="13"/>
  </si>
  <si>
    <t>WVWZZZ16ZKM704719</t>
    <phoneticPr fontId="13"/>
  </si>
  <si>
    <t>WMWXM520903B54203</t>
    <phoneticPr fontId="13"/>
  </si>
  <si>
    <t>ｶﾛｰﾗﾌｨｰﾙﾀﾞｰ HV G</t>
    <phoneticPr fontId="13"/>
  </si>
  <si>
    <t>NKE165-7221715</t>
    <phoneticPr fontId="13"/>
  </si>
  <si>
    <t>ﾓﾃﾞﾙ 3</t>
    <phoneticPr fontId="13"/>
  </si>
  <si>
    <t>LRW3F7EKXMC298573</t>
    <phoneticPr fontId="13"/>
  </si>
  <si>
    <t>ﾙﾉｰ ﾙｰﾃｼｱ</t>
    <phoneticPr fontId="13"/>
  </si>
  <si>
    <t>VF1RJA004N0841867</t>
    <phoneticPr fontId="13"/>
  </si>
  <si>
    <t>WMWXM520X03A53591</t>
    <phoneticPr fontId="13"/>
  </si>
  <si>
    <t>名古屋 326 み 9794</t>
    <rPh sb="0" eb="3">
      <t>ナゴヤ</t>
    </rPh>
    <phoneticPr fontId="13"/>
  </si>
  <si>
    <t>取説 ｷｰﾚｽ(車内)保証書  ﾜﾝｵｰﾅｰ？</t>
    <rPh sb="0" eb="2">
      <t>トリセツ</t>
    </rPh>
    <rPh sb="11" eb="14">
      <t>ホショウショ</t>
    </rPh>
    <phoneticPr fontId="13"/>
  </si>
  <si>
    <t>高松 310 て 1226</t>
    <rPh sb="0" eb="2">
      <t>タカマツ</t>
    </rPh>
    <phoneticPr fontId="13"/>
  </si>
  <si>
    <t>矢野 守</t>
    <rPh sb="0" eb="2">
      <t>ヤノ</t>
    </rPh>
    <rPh sb="3" eb="4">
      <t>マモル</t>
    </rPh>
    <phoneticPr fontId="13"/>
  </si>
  <si>
    <t>WVWZZZAUZJP605554</t>
    <phoneticPr fontId="13"/>
  </si>
  <si>
    <t>札幌 331 ま 3317</t>
    <rPh sb="0" eb="2">
      <t>サッポロ</t>
    </rPh>
    <phoneticPr fontId="13"/>
  </si>
  <si>
    <t>株式会社ﾎﾝﾀﾞｶｰｽﾞ南札幌</t>
    <rPh sb="0" eb="4">
      <t>カブシキガイシャ</t>
    </rPh>
    <rPh sb="12" eb="13">
      <t>ミナミ</t>
    </rPh>
    <rPh sb="13" eb="15">
      <t>サッポロ</t>
    </rPh>
    <phoneticPr fontId="13"/>
  </si>
  <si>
    <t>豊田 583 う 757</t>
    <rPh sb="0" eb="2">
      <t>トヨタ</t>
    </rPh>
    <phoneticPr fontId="13"/>
  </si>
  <si>
    <t>福岡 真弓</t>
    <rPh sb="0" eb="2">
      <t>フクオカ</t>
    </rPh>
    <rPh sb="3" eb="5">
      <t>マユミ</t>
    </rPh>
    <phoneticPr fontId="13"/>
  </si>
  <si>
    <t>三重 583 み 1139</t>
    <rPh sb="0" eb="2">
      <t>ミエ</t>
    </rPh>
    <phoneticPr fontId="13"/>
  </si>
  <si>
    <t>ﾈｯﾂﾄﾖﾀ三重株式会社</t>
    <rPh sb="6" eb="8">
      <t>ミエ</t>
    </rPh>
    <rPh sb="8" eb="12">
      <t>カブシキガイシャ</t>
    </rPh>
    <phoneticPr fontId="13"/>
  </si>
  <si>
    <t>横浜 499 の 3987</t>
    <rPh sb="0" eb="2">
      <t>ヨコハマ</t>
    </rPh>
    <phoneticPr fontId="13"/>
  </si>
  <si>
    <t>株式会社ﾄﾖﾀﾚﾝﾀﾘｰｽ横浜</t>
    <rPh sb="0" eb="4">
      <t>カブシキガイシャ</t>
    </rPh>
    <rPh sb="13" eb="15">
      <t>ヨコハマ</t>
    </rPh>
    <phoneticPr fontId="13"/>
  </si>
  <si>
    <t>愛媛 501 ふ 3048</t>
    <rPh sb="0" eb="2">
      <t>エヒメ</t>
    </rPh>
    <phoneticPr fontId="13"/>
  </si>
  <si>
    <t>橋本 直樹</t>
    <rPh sb="0" eb="2">
      <t>ハシモト</t>
    </rPh>
    <rPh sb="3" eb="5">
      <t>ナオキ</t>
    </rPh>
    <phoneticPr fontId="13"/>
  </si>
  <si>
    <t>保証書 取説 ｷｰﾚｽ SD ﾜﾝｵｰﾅｰ</t>
    <rPh sb="0" eb="3">
      <t>ホショウショ</t>
    </rPh>
    <rPh sb="4" eb="6">
      <t>トリセツ</t>
    </rPh>
    <phoneticPr fontId="13"/>
  </si>
  <si>
    <t>MK53S-323413</t>
    <phoneticPr fontId="13"/>
  </si>
  <si>
    <t>WMWXR520402M42666</t>
    <phoneticPr fontId="13"/>
  </si>
  <si>
    <t>582 い 6813</t>
    <phoneticPr fontId="13"/>
  </si>
  <si>
    <t>301 ね 5059</t>
    <phoneticPr fontId="13"/>
  </si>
  <si>
    <t>姫路 501 ゆ 2852</t>
    <rPh sb="0" eb="2">
      <t>ヒメジ</t>
    </rPh>
    <phoneticPr fontId="13"/>
  </si>
  <si>
    <t>マーチ</t>
    <phoneticPr fontId="13"/>
  </si>
  <si>
    <t>姫路 501 ゆ 1577</t>
    <rPh sb="0" eb="2">
      <t>ヒメジ</t>
    </rPh>
    <phoneticPr fontId="13"/>
  </si>
  <si>
    <t>旧26-5962</t>
    <rPh sb="0" eb="1">
      <t>キュウ</t>
    </rPh>
    <phoneticPr fontId="13"/>
  </si>
  <si>
    <t>名古屋 780 ろ 3160</t>
    <rPh sb="0" eb="3">
      <t>ナゴヤ</t>
    </rPh>
    <phoneticPr fontId="13"/>
  </si>
  <si>
    <t>ｷｬﾝｾﾙ書類返送12/18</t>
    <rPh sb="5" eb="7">
      <t>ショルイ</t>
    </rPh>
    <rPh sb="7" eb="9">
      <t>ヘンソウ</t>
    </rPh>
    <phoneticPr fontId="13"/>
  </si>
  <si>
    <t>27-2239</t>
  </si>
  <si>
    <t>27-2240</t>
  </si>
  <si>
    <t>ｳｪｲｸ G ﾀｰﾎﾞﾚｼﾞｬｰｴﾃﾞｨｼｮﾝSA3</t>
    <phoneticPr fontId="13"/>
  </si>
  <si>
    <t>LA700S-0124530</t>
    <phoneticPr fontId="13"/>
  </si>
  <si>
    <t>LA350S-0184972</t>
    <phoneticPr fontId="13"/>
  </si>
  <si>
    <t>香川 581 え 7616</t>
    <rPh sb="0" eb="2">
      <t>カガワ</t>
    </rPh>
    <phoneticPr fontId="13"/>
  </si>
  <si>
    <t>MH35S-125156</t>
    <phoneticPr fontId="13"/>
  </si>
  <si>
    <t>MK53S-790791</t>
    <phoneticPr fontId="13"/>
  </si>
  <si>
    <t>ﾌｨｱｯﾄ500 ｲﾚｼﾞｽﾃｨｰﾋﾞﾚ</t>
    <phoneticPr fontId="13"/>
  </si>
  <si>
    <t>ZFA3120000JC88471</t>
    <phoneticPr fontId="13"/>
  </si>
  <si>
    <t>愛媛 538 り 1224</t>
    <rPh sb="0" eb="2">
      <t>エヒメ</t>
    </rPh>
    <phoneticPr fontId="13"/>
  </si>
  <si>
    <t>27-2241</t>
  </si>
  <si>
    <t>27-2242</t>
  </si>
  <si>
    <t>27-2243</t>
  </si>
  <si>
    <t>27-2244</t>
  </si>
  <si>
    <t>27-2245</t>
  </si>
  <si>
    <t>27-2246</t>
  </si>
  <si>
    <t>27-2247</t>
  </si>
  <si>
    <t>27-2248</t>
  </si>
  <si>
    <t>27-2249</t>
  </si>
  <si>
    <t>27-2250</t>
  </si>
  <si>
    <t>27-2251</t>
  </si>
  <si>
    <t>27-2252</t>
  </si>
  <si>
    <t>27-2253</t>
  </si>
  <si>
    <t>27-2254</t>
  </si>
  <si>
    <t>27-2255</t>
  </si>
  <si>
    <t>27-2256</t>
  </si>
  <si>
    <t>27-2257</t>
  </si>
  <si>
    <t>27-2258</t>
  </si>
  <si>
    <t>27-2259</t>
  </si>
  <si>
    <t>27-2260</t>
  </si>
  <si>
    <t>27-2261</t>
  </si>
  <si>
    <t>27-2262</t>
  </si>
  <si>
    <t>27-2263</t>
  </si>
  <si>
    <t>27-2264</t>
  </si>
  <si>
    <t>27-2265</t>
  </si>
  <si>
    <t>LA650S-0310415</t>
    <phoneticPr fontId="13"/>
  </si>
  <si>
    <t>JF1-2540373</t>
    <phoneticPr fontId="13"/>
  </si>
  <si>
    <t>富士山 581 な 5281</t>
    <rPh sb="0" eb="3">
      <t>フジサン</t>
    </rPh>
    <phoneticPr fontId="13"/>
  </si>
  <si>
    <t>WMWXS520X02B38863</t>
    <phoneticPr fontId="13"/>
  </si>
  <si>
    <t>三河 348 ら 1118</t>
    <rPh sb="0" eb="2">
      <t>ミカワ</t>
    </rPh>
    <phoneticPr fontId="13"/>
  </si>
  <si>
    <t>ﾊﾞﾓｽ G</t>
    <phoneticPr fontId="13"/>
  </si>
  <si>
    <t>HM1-2002722</t>
    <phoneticPr fontId="13"/>
  </si>
  <si>
    <t>ﾌｨｱｯﾄ500 1.2 ﾎﾟｯﾌﾟ</t>
    <phoneticPr fontId="13"/>
  </si>
  <si>
    <t>ZFA3120000JC55699</t>
    <phoneticPr fontId="13"/>
  </si>
  <si>
    <t>ﾌﾟﾘﾝｽ SﾂｰﾘﾝｸﾞｾﾚｸｼｮﾝG‘S</t>
    <phoneticPr fontId="13"/>
  </si>
  <si>
    <t>ZVW30-5758482</t>
    <phoneticPr fontId="13"/>
  </si>
  <si>
    <t>27-2266</t>
  </si>
  <si>
    <t>27-2267</t>
  </si>
  <si>
    <t>ﾌｨｯﾄ 13G F ｺﾝﾌｫｰﾄｴﾃﾞｨｼｮﾝ</t>
    <phoneticPr fontId="13"/>
  </si>
  <si>
    <t>GK3-1339400</t>
    <phoneticPr fontId="13"/>
  </si>
  <si>
    <t>MXPB10-2012218</t>
    <phoneticPr fontId="13"/>
  </si>
  <si>
    <t>佐賀 301 さ 8332</t>
    <rPh sb="0" eb="2">
      <t>サガ</t>
    </rPh>
    <phoneticPr fontId="13"/>
  </si>
  <si>
    <t>保証書 取説 ｽﾏｰﾄｷｰ SD</t>
    <rPh sb="0" eb="3">
      <t>ホショウショ</t>
    </rPh>
    <rPh sb="4" eb="6">
      <t>トリセツ</t>
    </rPh>
    <phoneticPr fontId="13"/>
  </si>
  <si>
    <t>MXPB10-3011076</t>
    <phoneticPr fontId="13"/>
  </si>
  <si>
    <t>福山 300 り 7971</t>
    <rPh sb="0" eb="2">
      <t>フクヤマ</t>
    </rPh>
    <phoneticPr fontId="13"/>
  </si>
  <si>
    <t>N-VAN ﾌｧﾝ</t>
    <phoneticPr fontId="13"/>
  </si>
  <si>
    <t>JJ1-5107950</t>
    <phoneticPr fontId="13"/>
  </si>
  <si>
    <t>大阪 480 め 6422</t>
    <rPh sb="0" eb="2">
      <t>オオサカ</t>
    </rPh>
    <phoneticPr fontId="13"/>
  </si>
  <si>
    <t>MK53S-962204</t>
    <phoneticPr fontId="13"/>
  </si>
  <si>
    <t>神戸 591 え 314</t>
    <rPh sb="0" eb="2">
      <t>コウベ</t>
    </rPh>
    <phoneticPr fontId="13"/>
  </si>
  <si>
    <t>JF3-1169810</t>
    <phoneticPr fontId="13"/>
  </si>
  <si>
    <t>保証書 取説 ﾅﾋﾞ取 ﾘﾓｺﾝ</t>
    <rPh sb="0" eb="3">
      <t>ホショウショ</t>
    </rPh>
    <rPh sb="4" eb="6">
      <t>トリセツ</t>
    </rPh>
    <rPh sb="10" eb="11">
      <t>　</t>
    </rPh>
    <phoneticPr fontId="13"/>
  </si>
  <si>
    <t>LA550S-0011850</t>
    <phoneticPr fontId="13"/>
  </si>
  <si>
    <t>ﾑｰﾌﾞｶｽﾀﾑ Xﾘﾐﾃｯﾄﾞ 2</t>
    <phoneticPr fontId="13"/>
  </si>
  <si>
    <t>LA150S-0181588</t>
    <phoneticPr fontId="13"/>
  </si>
  <si>
    <t>ﾑｰﾌﾞｷｬﾝﾊﾞｽ Xﾒｲｸｱｯﾌﾟﾘﾐﾃｯﾄﾞ</t>
    <phoneticPr fontId="13"/>
  </si>
  <si>
    <t>LA800S-0132326</t>
    <phoneticPr fontId="13"/>
  </si>
  <si>
    <t>HE33S-164934</t>
    <phoneticPr fontId="13"/>
  </si>
  <si>
    <t>ｽﾍﾟｰｼｱ ﾊｲﾌﾞﾘｯﾄﾞ G</t>
    <phoneticPr fontId="13"/>
  </si>
  <si>
    <t>MK53S-447911</t>
    <phoneticPr fontId="13"/>
  </si>
  <si>
    <t>HE22S-193521</t>
    <phoneticPr fontId="13"/>
  </si>
  <si>
    <t>ｶﾛｰﾗﾌｨｰﾙﾀﾞｰ ﾊｲﾌﾞﾘｯﾄﾞ EX</t>
    <phoneticPr fontId="13"/>
  </si>
  <si>
    <t>NKE165-7240736</t>
    <phoneticPr fontId="13"/>
  </si>
  <si>
    <t>阪上 仁</t>
    <rPh sb="0" eb="2">
      <t>サカウエ</t>
    </rPh>
    <rPh sb="3" eb="4">
      <t>ジン</t>
    </rPh>
    <phoneticPr fontId="13"/>
  </si>
  <si>
    <t>保証書 取説 ｽﾍﾟｱｷｰ2個</t>
    <rPh sb="0" eb="3">
      <t>ホショウショ</t>
    </rPh>
    <rPh sb="4" eb="6">
      <t>トリセツ</t>
    </rPh>
    <rPh sb="14" eb="15">
      <t>コ</t>
    </rPh>
    <phoneticPr fontId="13"/>
  </si>
  <si>
    <t>岡山 399 な 3780</t>
    <rPh sb="0" eb="2">
      <t>オカヤマ</t>
    </rPh>
    <phoneticPr fontId="13"/>
  </si>
  <si>
    <t>保証書 ﾏｲｸﾛSD ｽﾍﾟｱｷｰ</t>
    <rPh sb="0" eb="3">
      <t>ホショウショ</t>
    </rPh>
    <phoneticPr fontId="13"/>
  </si>
  <si>
    <t>なにわ 5P8 ろ 2772</t>
    <phoneticPr fontId="13"/>
  </si>
  <si>
    <t>JF5-1133341</t>
    <phoneticPr fontId="13"/>
  </si>
  <si>
    <t>9/12/26</t>
    <phoneticPr fontId="13"/>
  </si>
  <si>
    <t>ｼﾞﾑﾆｰ W XG</t>
    <phoneticPr fontId="13"/>
  </si>
  <si>
    <t>JB23W-668137</t>
    <phoneticPr fontId="13"/>
  </si>
  <si>
    <t>ﾊｽﾗｰ ﾊｲﾌﾞﾘｯﾄﾞ X</t>
    <phoneticPr fontId="13"/>
  </si>
  <si>
    <t>MR92S-451179</t>
    <phoneticPr fontId="13"/>
  </si>
  <si>
    <t>ﾐﾗｲｰｽ X ﾘﾐﾃｯﾄﾞ SA3</t>
    <phoneticPr fontId="13"/>
  </si>
  <si>
    <t>LA350S-0282676</t>
    <phoneticPr fontId="13"/>
  </si>
  <si>
    <t>HAﾒｶﾆｶﾙｷｰなし そのままでOK</t>
    <phoneticPr fontId="13"/>
  </si>
  <si>
    <t>名古屋 780 ろ 3080</t>
    <rPh sb="0" eb="3">
      <t>ナゴヤ</t>
    </rPh>
    <phoneticPr fontId="13"/>
  </si>
  <si>
    <t>取説 ﾅﾋﾞ取 ｽﾍﾟｱｷｰ SD</t>
    <rPh sb="0" eb="2">
      <t>トリセツ</t>
    </rPh>
    <rPh sb="6" eb="7">
      <t>　</t>
    </rPh>
    <phoneticPr fontId="13"/>
  </si>
  <si>
    <t>松川 昌法</t>
    <rPh sb="0" eb="2">
      <t>マツカワ</t>
    </rPh>
    <rPh sb="3" eb="4">
      <t>ショウ</t>
    </rPh>
    <rPh sb="4" eb="5">
      <t>ホウ</t>
    </rPh>
    <phoneticPr fontId="13"/>
  </si>
  <si>
    <t>なにわ 5P8 ろ 4085</t>
    <phoneticPr fontId="13"/>
  </si>
  <si>
    <t>本田 修士</t>
    <rPh sb="0" eb="2">
      <t>ホンダ</t>
    </rPh>
    <rPh sb="3" eb="5">
      <t>シュウシ</t>
    </rPh>
    <phoneticPr fontId="13"/>
  </si>
  <si>
    <t>福岡 585 せ 7755</t>
    <rPh sb="0" eb="2">
      <t>フクオカ</t>
    </rPh>
    <phoneticPr fontId="13"/>
  </si>
  <si>
    <t>神戸 39A そ 5104</t>
    <rPh sb="0" eb="2">
      <t>コウベ</t>
    </rPh>
    <phoneticPr fontId="13"/>
  </si>
  <si>
    <t>田村 勝義</t>
    <rPh sb="0" eb="2">
      <t>タムラ</t>
    </rPh>
    <rPh sb="3" eb="5">
      <t>カツヨシ</t>
    </rPh>
    <phoneticPr fontId="13"/>
  </si>
  <si>
    <t>和泉 333 た 3105</t>
    <rPh sb="0" eb="2">
      <t>イズミ</t>
    </rPh>
    <phoneticPr fontId="13"/>
  </si>
  <si>
    <t>森川 和英</t>
    <rPh sb="0" eb="2">
      <t>モリカワ</t>
    </rPh>
    <rPh sb="3" eb="5">
      <t>カズヒデ</t>
    </rPh>
    <phoneticPr fontId="13"/>
  </si>
  <si>
    <t>保証書 取説 ｷｰﾚｽ ｽﾍﾟｱｷｰ ﾜﾝｵｰﾅｰ</t>
    <rPh sb="0" eb="3">
      <t>ホショウショ</t>
    </rPh>
    <rPh sb="4" eb="6">
      <t>トリセツ</t>
    </rPh>
    <phoneticPr fontId="13"/>
  </si>
  <si>
    <t>玉木 郁江</t>
    <rPh sb="0" eb="2">
      <t>タマキ</t>
    </rPh>
    <rPh sb="3" eb="5">
      <t>イクエ</t>
    </rPh>
    <phoneticPr fontId="13"/>
  </si>
  <si>
    <t>多摩 326 む 5821</t>
    <rPh sb="0" eb="2">
      <t>タマ</t>
    </rPh>
    <phoneticPr fontId="13"/>
  </si>
  <si>
    <t>奈良 340 も 725</t>
    <rPh sb="0" eb="2">
      <t>ナラ</t>
    </rPh>
    <phoneticPr fontId="13"/>
  </si>
  <si>
    <t>香川 隆志</t>
    <rPh sb="0" eb="2">
      <t>カガワ</t>
    </rPh>
    <rPh sb="3" eb="4">
      <t>タカシ</t>
    </rPh>
    <rPh sb="4" eb="5">
      <t>ココロザシ</t>
    </rPh>
    <phoneticPr fontId="13"/>
  </si>
  <si>
    <t>横浜 39A も 5195</t>
    <rPh sb="0" eb="2">
      <t>ヨコハマ</t>
    </rPh>
    <phoneticPr fontId="13"/>
  </si>
  <si>
    <t>神戸 337 そ 7557</t>
    <rPh sb="0" eb="2">
      <t>コウベ</t>
    </rPh>
    <phoneticPr fontId="13"/>
  </si>
  <si>
    <t>堺 330 ゆ 877</t>
    <rPh sb="0" eb="1">
      <t>サカイ</t>
    </rPh>
    <phoneticPr fontId="13"/>
  </si>
  <si>
    <t>大黒 智久</t>
    <rPh sb="0" eb="2">
      <t>オオクロ</t>
    </rPh>
    <rPh sb="3" eb="5">
      <t>トモヒサ</t>
    </rPh>
    <phoneticPr fontId="13"/>
  </si>
  <si>
    <t>ZiP大阪</t>
    <rPh sb="3" eb="5">
      <t>オオサカ</t>
    </rPh>
    <phoneticPr fontId="13"/>
  </si>
  <si>
    <t>葛飾 300 す 7477</t>
    <rPh sb="0" eb="2">
      <t>カツシカ</t>
    </rPh>
    <phoneticPr fontId="13"/>
  </si>
  <si>
    <t>地図SD(車内)保証書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</si>
  <si>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27-2268</t>
  </si>
  <si>
    <t>水野様</t>
    <rPh sb="0" eb="2">
      <t>ミズノ</t>
    </rPh>
    <rPh sb="2" eb="3">
      <t>サマ</t>
    </rPh>
    <phoneticPr fontId="13"/>
  </si>
  <si>
    <t>SAJBB2AX7JCY61512</t>
    <phoneticPr fontId="13"/>
  </si>
  <si>
    <t>姫路 330 ろ 8657</t>
    <rPh sb="0" eb="2">
      <t>ヒメジ</t>
    </rPh>
    <phoneticPr fontId="13"/>
  </si>
  <si>
    <t>水野 秀人</t>
    <rPh sb="0" eb="2">
      <t>ミズノ</t>
    </rPh>
    <rPh sb="3" eb="5">
      <t>ヒデト</t>
    </rPh>
    <phoneticPr fontId="13"/>
  </si>
  <si>
    <t>27-2269</t>
  </si>
  <si>
    <t>27-2270</t>
  </si>
  <si>
    <t>27-2271</t>
  </si>
  <si>
    <t>27-2272</t>
  </si>
  <si>
    <t>27-2273</t>
  </si>
  <si>
    <t>27-2274</t>
  </si>
  <si>
    <t>27-2275</t>
  </si>
  <si>
    <t>27-2276</t>
  </si>
  <si>
    <t>27-2277</t>
  </si>
  <si>
    <t>27-2278</t>
  </si>
  <si>
    <t>27-2279</t>
  </si>
  <si>
    <t>27-2280</t>
  </si>
  <si>
    <t>27-2281</t>
  </si>
  <si>
    <t>27-2282</t>
  </si>
  <si>
    <t>27-2283</t>
  </si>
  <si>
    <t>27-2284</t>
  </si>
  <si>
    <t>27-2285</t>
  </si>
  <si>
    <t>27-2286</t>
  </si>
  <si>
    <t>27-2287</t>
  </si>
  <si>
    <t>27-2288</t>
  </si>
  <si>
    <t>27-2289</t>
  </si>
  <si>
    <t>27-2290</t>
  </si>
  <si>
    <t>VR3UPHNKSMT083502</t>
    <phoneticPr fontId="13"/>
  </si>
  <si>
    <t>大阪 304 そ 3363</t>
    <rPh sb="0" eb="2">
      <t>オオサカ</t>
    </rPh>
    <phoneticPr fontId="13"/>
  </si>
  <si>
    <t>ﾒﾙｾﾃﾞｽﾍﾞﾝﾂ A180 ｽﾀｲﾙAMGﾗｲﾝ</t>
    <phoneticPr fontId="13"/>
  </si>
  <si>
    <t>WDD1770842J060870</t>
    <phoneticPr fontId="13"/>
  </si>
  <si>
    <t>ﾒﾙｾﾃﾞｽﾍﾞﾝﾂ C220d ｽﾃｰｼｮﾝﾜｺﾞﾝ</t>
    <phoneticPr fontId="13"/>
  </si>
  <si>
    <t>WDD2052142F767435</t>
    <phoneticPr fontId="13"/>
  </si>
  <si>
    <t>岡山 301 や 495</t>
    <rPh sb="0" eb="2">
      <t>オカヤマ</t>
    </rPh>
    <phoneticPr fontId="13"/>
  </si>
  <si>
    <t>ｳﾞｪﾙﾌｧｲｱ 3.2 ZG</t>
    <phoneticPr fontId="13"/>
  </si>
  <si>
    <t>GGH30-0029975</t>
    <phoneticPr fontId="13"/>
  </si>
  <si>
    <t>保証書 B-CAS ﾜﾝｵｰﾅｰ</t>
    <rPh sb="0" eb="3">
      <t>ホショウショ</t>
    </rPh>
    <phoneticPr fontId="13"/>
  </si>
  <si>
    <t>BMWﾐﾆｸｰﾊﾟｰ SD ｸﾛｽｵｰﾊﾞｰ</t>
    <phoneticPr fontId="13"/>
  </si>
  <si>
    <t>WMW22BU0803M53867</t>
    <phoneticPr fontId="13"/>
  </si>
  <si>
    <t>ﾒﾙｾﾃﾞｽﾍﾞﾝﾂ C220ｄ ﾜｺﾞﾝﾛｰﾚｳｽ</t>
    <phoneticPr fontId="13"/>
  </si>
  <si>
    <t>W1K2052142G028614</t>
    <phoneticPr fontId="13"/>
  </si>
  <si>
    <t>ﾒﾙｾﾃﾞｽﾍﾞﾝﾂ AWG GLC4.3</t>
    <phoneticPr fontId="13"/>
  </si>
  <si>
    <t>W1N2539642F912778</t>
    <phoneticPr fontId="13"/>
  </si>
  <si>
    <t>ﾒﾙｾﾃﾞｽﾍﾞﾝﾂ GLB200d</t>
    <phoneticPr fontId="13"/>
  </si>
  <si>
    <t>W1N2476122W056486</t>
    <phoneticPr fontId="13"/>
  </si>
  <si>
    <t>ｽﾍﾟｰｼｱｶｽﾀﾑ HV XS</t>
    <phoneticPr fontId="13"/>
  </si>
  <si>
    <t>MK53S-527393</t>
    <phoneticPr fontId="13"/>
  </si>
  <si>
    <t>名古屋 58A ま 2576</t>
    <rPh sb="0" eb="3">
      <t>ナゴヤ</t>
    </rPh>
    <phoneticPr fontId="13"/>
  </si>
  <si>
    <t>L375S-0468140</t>
    <phoneticPr fontId="13"/>
  </si>
  <si>
    <t>岐阜 582 よ 1035</t>
    <rPh sb="0" eb="2">
      <t>ギフ</t>
    </rPh>
    <phoneticPr fontId="13"/>
  </si>
  <si>
    <t>ｴﾌﾞﾘｨﾊﾞﾝ</t>
    <phoneticPr fontId="13"/>
  </si>
  <si>
    <t>DA17V-922458</t>
    <phoneticPr fontId="13"/>
  </si>
  <si>
    <t>名古屋 480 も 9266</t>
    <rPh sb="0" eb="3">
      <t>ナゴヤ</t>
    </rPh>
    <phoneticPr fontId="13"/>
  </si>
  <si>
    <t>ﾒﾙｾﾃﾞｽﾍﾞﾝﾂ Bｸﾗｽ 180</t>
    <phoneticPr fontId="13"/>
  </si>
  <si>
    <t>WDD2462422J472549</t>
    <phoneticPr fontId="13"/>
  </si>
  <si>
    <t>福井 300 む 55</t>
    <rPh sb="0" eb="2">
      <t>フクイ</t>
    </rPh>
    <phoneticPr fontId="13"/>
  </si>
  <si>
    <t>ｱﾊﾞﾙﾄ 595 ｽｺﾙﾋﾟｵｰﾈｵｰﾛ</t>
    <phoneticPr fontId="13"/>
  </si>
  <si>
    <t>ZFA3120000JE25975</t>
    <phoneticPr fontId="13"/>
  </si>
  <si>
    <t>WMWXM72070T960680</t>
    <phoneticPr fontId="13"/>
  </si>
  <si>
    <t>石田 勝也</t>
    <rPh sb="0" eb="2">
      <t>イシダ</t>
    </rPh>
    <rPh sb="3" eb="5">
      <t>カツヤ</t>
    </rPh>
    <phoneticPr fontId="13"/>
  </si>
  <si>
    <t>名古屋 58A ま 119</t>
    <rPh sb="0" eb="3">
      <t>ナゴヤ</t>
    </rPh>
    <phoneticPr fontId="13"/>
  </si>
  <si>
    <t>株式会社ｶｰｴｽ・ｲﾉﾍﾞｰｼｮﾝ</t>
    <rPh sb="0" eb="4">
      <t>カブシキガイシャ</t>
    </rPh>
    <phoneticPr fontId="13"/>
  </si>
  <si>
    <t>福井 580 ぬ 6030</t>
    <rPh sb="0" eb="2">
      <t>フクイ</t>
    </rPh>
    <phoneticPr fontId="13"/>
  </si>
  <si>
    <t>福井ｽｽﾞｷ自動車販売株式会社</t>
    <rPh sb="0" eb="2">
      <t>フクイ</t>
    </rPh>
    <rPh sb="8" eb="10">
      <t>ハンバイ</t>
    </rPh>
    <rPh sb="10" eb="14">
      <t>カブシキガイシャ</t>
    </rPh>
    <phoneticPr fontId="13"/>
  </si>
  <si>
    <t>千葉 793 ろ 1932</t>
    <rPh sb="0" eb="2">
      <t>チバ</t>
    </rPh>
    <phoneticPr fontId="13"/>
  </si>
  <si>
    <t>保証書 取説 ﾅﾋﾞ取 ｷｰﾚｽ ﾜﾝｵｰﾅｰ？</t>
    <rPh sb="0" eb="3">
      <t>ホショウショ</t>
    </rPh>
    <rPh sb="4" eb="6">
      <t>トリセツ</t>
    </rPh>
    <rPh sb="10" eb="11">
      <t>トリ</t>
    </rPh>
    <phoneticPr fontId="13"/>
  </si>
  <si>
    <t>なにわ 5P6 ろ 6299</t>
    <phoneticPr fontId="13"/>
  </si>
  <si>
    <t>岡山 584 せ 339</t>
    <rPh sb="0" eb="2">
      <t>オカヤマ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</si>
  <si>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</si>
  <si>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倉敷 594 ゆ 25</t>
    <rPh sb="0" eb="2">
      <t>クラシキ</t>
    </rPh>
    <phoneticPr fontId="13"/>
  </si>
  <si>
    <t>岡山 581 さ 6728</t>
    <rPh sb="0" eb="2">
      <t>オカヤマ</t>
    </rPh>
    <phoneticPr fontId="13"/>
  </si>
  <si>
    <t>広島 581 け 3646</t>
    <rPh sb="0" eb="2">
      <t>ヒロシマ</t>
    </rPh>
    <phoneticPr fontId="13"/>
  </si>
  <si>
    <t>新井 好子</t>
    <rPh sb="0" eb="2">
      <t>アライ</t>
    </rPh>
    <rPh sb="3" eb="5">
      <t>ヨシコ</t>
    </rPh>
    <phoneticPr fontId="13"/>
  </si>
  <si>
    <t>広島 582 せ 5958</t>
    <rPh sb="0" eb="2">
      <t>ヒロシマ</t>
    </rPh>
    <phoneticPr fontId="13"/>
  </si>
  <si>
    <t>保証書 取説 ｷｰﾚｽ ﾅﾝﾊﾞｰ ﾚﾝﾀｶｰ</t>
    <rPh sb="0" eb="3">
      <t>ホショウショ</t>
    </rPh>
    <rPh sb="4" eb="6">
      <t>トリセツ</t>
    </rPh>
    <phoneticPr fontId="13"/>
  </si>
  <si>
    <t>岡山 480 ね 6568</t>
    <rPh sb="0" eb="2">
      <t>オカヤマ</t>
    </rPh>
    <phoneticPr fontId="13"/>
  </si>
  <si>
    <t>二宮 孝之</t>
    <rPh sb="0" eb="2">
      <t>ニノミヤ</t>
    </rPh>
    <rPh sb="3" eb="5">
      <t>タカユキ</t>
    </rPh>
    <phoneticPr fontId="13"/>
  </si>
  <si>
    <t>奈良 330 ろ 8866</t>
    <rPh sb="0" eb="2">
      <t>ナラ</t>
    </rPh>
    <phoneticPr fontId="13"/>
  </si>
  <si>
    <t>岡山 502 ふ 8208</t>
    <rPh sb="0" eb="2">
      <t>オカヤマ</t>
    </rPh>
    <phoneticPr fontId="13"/>
  </si>
  <si>
    <t>保証書 取説 ﾅﾋﾞ取 ﾜﾝｵｰﾅｰ？</t>
    <rPh sb="0" eb="3">
      <t>ホショウショ</t>
    </rPh>
    <rPh sb="4" eb="6">
      <t>トリセツ</t>
    </rPh>
    <rPh sb="10" eb="11">
      <t>トリ</t>
    </rPh>
    <phoneticPr fontId="13"/>
  </si>
  <si>
    <t>岡山 363 ち 6666</t>
    <rPh sb="0" eb="2">
      <t>オカヤマ</t>
    </rPh>
    <phoneticPr fontId="13"/>
  </si>
  <si>
    <t>岡山 330 ら 760</t>
    <rPh sb="0" eb="2">
      <t>オカヤマ</t>
    </rPh>
    <phoneticPr fontId="13"/>
  </si>
  <si>
    <t>株式会社ﾔﾏﾈﾓｰﾀｽ</t>
    <rPh sb="0" eb="4">
      <t>カブシキガイシャ</t>
    </rPh>
    <phoneticPr fontId="13"/>
  </si>
  <si>
    <t>横浜 506 そ 6622</t>
    <rPh sb="0" eb="2">
      <t>ヨコハマ</t>
    </rPh>
    <phoneticPr fontId="13"/>
  </si>
  <si>
    <t>豊橋 581 か 3959</t>
    <rPh sb="0" eb="2">
      <t>トヨハシ</t>
    </rPh>
    <phoneticPr fontId="13"/>
  </si>
  <si>
    <t>名古屋 582 け 9362</t>
    <rPh sb="0" eb="3">
      <t>ナゴヤ</t>
    </rPh>
    <phoneticPr fontId="13"/>
  </si>
  <si>
    <t>なにわ 581 す 7276</t>
    <phoneticPr fontId="13"/>
  </si>
  <si>
    <t>多摩 592 ろ 5293</t>
    <rPh sb="0" eb="2">
      <t>タマ</t>
    </rPh>
    <phoneticPr fontId="13"/>
  </si>
  <si>
    <t>なにわ 5P8 ろ 4080</t>
    <phoneticPr fontId="13"/>
  </si>
  <si>
    <t>堅木 昭宏</t>
    <rPh sb="0" eb="1">
      <t>カタ</t>
    </rPh>
    <rPh sb="1" eb="2">
      <t>キ</t>
    </rPh>
    <rPh sb="3" eb="4">
      <t>アキラ</t>
    </rPh>
    <rPh sb="4" eb="5">
      <t>ヒロ</t>
    </rPh>
    <phoneticPr fontId="13"/>
  </si>
  <si>
    <t>なにわ 5P7 ろ 9646</t>
    <phoneticPr fontId="13"/>
  </si>
  <si>
    <t>保証書 取説 ｷｰﾚｽ ﾐﾆB-CAS</t>
    <rPh sb="0" eb="3">
      <t>ホショウショ</t>
    </rPh>
    <rPh sb="4" eb="6">
      <t>トリセツ</t>
    </rPh>
    <phoneticPr fontId="13"/>
  </si>
  <si>
    <t>KB INTERNATINAL COMPANY株式会社</t>
    <rPh sb="23" eb="27">
      <t>カブシキガイシャ</t>
    </rPh>
    <phoneticPr fontId="13"/>
  </si>
  <si>
    <t>和泉 329 に 1406</t>
    <rPh sb="0" eb="2">
      <t>イズミ</t>
    </rPh>
    <phoneticPr fontId="13"/>
  </si>
  <si>
    <t>株式会社ｷｶｸ</t>
    <rPh sb="0" eb="4">
      <t>カブシキガイシャ</t>
    </rPh>
    <phoneticPr fontId="13"/>
  </si>
  <si>
    <t>なにわ 330 ひ 1643</t>
    <phoneticPr fontId="13"/>
  </si>
  <si>
    <t>取説 ﾅﾋﾞ取 ﾘﾓｺﾝ SD</t>
    <rPh sb="0" eb="2">
      <t>トリセツ</t>
    </rPh>
    <rPh sb="6" eb="7">
      <t>トリ</t>
    </rPh>
    <phoneticPr fontId="13"/>
  </si>
  <si>
    <t>倉敷 584 な 705</t>
    <rPh sb="0" eb="2">
      <t>クラシキ</t>
    </rPh>
    <phoneticPr fontId="13"/>
  </si>
  <si>
    <t>名古屋 487 ろ 1511</t>
    <rPh sb="0" eb="3">
      <t>ナゴヤ</t>
    </rPh>
    <phoneticPr fontId="13"/>
  </si>
  <si>
    <t>ｽﾍﾟｱｷｰ(車内)保証書</t>
    <rPh sb="10" eb="13">
      <t>ホショウショ</t>
    </rPh>
    <phoneticPr fontId="13"/>
  </si>
  <si>
    <t>尾張小牧 354 ゆ 111</t>
    <rPh sb="0" eb="4">
      <t>オワリコマキ</t>
    </rPh>
    <phoneticPr fontId="13"/>
  </si>
  <si>
    <t>木村 仁哉</t>
    <rPh sb="0" eb="2">
      <t>キムラ</t>
    </rPh>
    <rPh sb="3" eb="4">
      <t>ジン</t>
    </rPh>
    <rPh sb="4" eb="5">
      <t>ヤ</t>
    </rPh>
    <phoneticPr fontId="13"/>
  </si>
  <si>
    <t>保証書 取説 ﾅﾋﾞ取 ｷｰﾚｽ ｶｰﾄﾞｷｰ</t>
    <rPh sb="0" eb="3">
      <t>ホショウショ</t>
    </rPh>
    <rPh sb="4" eb="6">
      <t>トリセツ</t>
    </rPh>
    <rPh sb="10" eb="11">
      <t>トリ</t>
    </rPh>
    <phoneticPr fontId="13"/>
  </si>
  <si>
    <t>堺 584 ら 316</t>
    <rPh sb="0" eb="1">
      <t>サカイ</t>
    </rPh>
    <phoneticPr fontId="13"/>
  </si>
  <si>
    <t>西田 力</t>
    <rPh sb="0" eb="2">
      <t>ニシダ</t>
    </rPh>
    <rPh sb="3" eb="4">
      <t>チカラ</t>
    </rPh>
    <phoneticPr fontId="13"/>
  </si>
  <si>
    <t>板橋 583 き 1129</t>
    <rPh sb="0" eb="2">
      <t>イタバシ</t>
    </rPh>
    <phoneticPr fontId="13"/>
  </si>
  <si>
    <t>SALLAJAD3BA589128</t>
    <phoneticPr fontId="13"/>
  </si>
  <si>
    <t>8/11/10</t>
    <phoneticPr fontId="13"/>
  </si>
  <si>
    <t>春日井 300 せ 5695</t>
    <rPh sb="0" eb="3">
      <t>カスガイ</t>
    </rPh>
    <phoneticPr fontId="13"/>
  </si>
  <si>
    <t>久留米 581 い 7382</t>
    <rPh sb="0" eb="3">
      <t>クルメ</t>
    </rPh>
    <phoneticPr fontId="13"/>
  </si>
  <si>
    <t>末永 治香</t>
    <rPh sb="0" eb="2">
      <t>スエナガ</t>
    </rPh>
    <rPh sb="3" eb="4">
      <t>ナオ</t>
    </rPh>
    <rPh sb="4" eb="5">
      <t>カオル</t>
    </rPh>
    <phoneticPr fontId="13"/>
  </si>
  <si>
    <t>AVC10-6001641</t>
    <phoneticPr fontId="13"/>
  </si>
  <si>
    <t>MR41S-282214</t>
    <phoneticPr fontId="13"/>
  </si>
  <si>
    <t>MK53S-795212</t>
    <phoneticPr fontId="13"/>
  </si>
  <si>
    <t>AGH30-0225135</t>
    <phoneticPr fontId="13"/>
  </si>
  <si>
    <t>ﾚｸｻｽ RC 300h ﾊﾞｰｼﾞｮﾝL</t>
    <phoneticPr fontId="13"/>
  </si>
  <si>
    <t>ﾊｽﾗｰ  Fﾘﾐﾃｯﾄﾞ</t>
    <phoneticPr fontId="13"/>
  </si>
  <si>
    <t>2月末名変</t>
    <rPh sb="1" eb="5">
      <t>ガツマツメイヘン</t>
    </rPh>
    <phoneticPr fontId="13"/>
  </si>
  <si>
    <t>保証書 2月末名変</t>
    <rPh sb="0" eb="3">
      <t>ホショウショ</t>
    </rPh>
    <rPh sb="5" eb="9">
      <t>ガツマツメイヘン</t>
    </rPh>
    <phoneticPr fontId="13"/>
  </si>
  <si>
    <t>ｱﾙﾌｧｰﾄﾞ S</t>
    <phoneticPr fontId="13"/>
  </si>
  <si>
    <t>保証書 取説 2月末名変</t>
    <rPh sb="0" eb="3">
      <t>ホショウショ</t>
    </rPh>
    <rPh sb="4" eb="6">
      <t>トリセツ</t>
    </rPh>
    <rPh sb="8" eb="12">
      <t>ガツマツメイヘン</t>
    </rPh>
    <phoneticPr fontId="13"/>
  </si>
  <si>
    <t>古玉 節子</t>
    <rPh sb="0" eb="1">
      <t>フル</t>
    </rPh>
    <rPh sb="1" eb="2">
      <t>タマ</t>
    </rPh>
    <rPh sb="3" eb="5">
      <t>セツコ</t>
    </rPh>
    <phoneticPr fontId="13"/>
  </si>
  <si>
    <t>27-2291</t>
  </si>
  <si>
    <t>27-2292</t>
  </si>
  <si>
    <t>27-2293</t>
  </si>
  <si>
    <t>27-2294</t>
  </si>
  <si>
    <t>27-2295</t>
  </si>
  <si>
    <t>27-2296</t>
  </si>
  <si>
    <t>27-2297</t>
  </si>
  <si>
    <t>27-2298</t>
  </si>
  <si>
    <t>27-2299</t>
  </si>
  <si>
    <t>27-2300</t>
  </si>
  <si>
    <t>27-2301</t>
  </si>
  <si>
    <t>27-2302</t>
  </si>
  <si>
    <t>27-2303</t>
  </si>
  <si>
    <t>27-2304</t>
  </si>
  <si>
    <t>27-2305</t>
  </si>
  <si>
    <t>27-2306</t>
  </si>
  <si>
    <t>27-2307</t>
  </si>
  <si>
    <t>ﾗﾝﾄﾞﾛｰﾊﾞｰ ﾚﾝｼﾞﾛｰﾊﾞｰｳﾞｪﾗｰﾙ R</t>
    <phoneticPr fontId="13"/>
  </si>
  <si>
    <t>SALYA2AX5KA232932</t>
    <phoneticPr fontId="13"/>
  </si>
  <si>
    <t>宮崎 339 ち 1011</t>
    <rPh sb="0" eb="2">
      <t>ミヤザキ</t>
    </rPh>
    <phoneticPr fontId="13"/>
  </si>
  <si>
    <t>ﾌｨｱｯﾄ500 ﾂｲﾝｴｱ ﾎﾟｯﾌﾟ</t>
    <phoneticPr fontId="13"/>
  </si>
  <si>
    <t>ZFA3120000J314766</t>
    <phoneticPr fontId="13"/>
  </si>
  <si>
    <t>8/3/19</t>
    <phoneticPr fontId="13"/>
  </si>
  <si>
    <t>奈良 538 む 500</t>
    <rPh sb="0" eb="2">
      <t>ナラ</t>
    </rPh>
    <phoneticPr fontId="13"/>
  </si>
  <si>
    <t>ﾑｰﾌﾞｶｽﾀﾑ RS</t>
    <phoneticPr fontId="13"/>
  </si>
  <si>
    <t>LA100S-0234196</t>
    <phoneticPr fontId="13"/>
  </si>
  <si>
    <t>HE33S-318853</t>
    <phoneticPr fontId="13"/>
  </si>
  <si>
    <t>BMW 320i ｽﾎﾟｰﾂ</t>
    <phoneticPr fontId="13"/>
  </si>
  <si>
    <t>WBA8A12020K430892</t>
    <phoneticPr fontId="13"/>
  </si>
  <si>
    <t>ﾄｰﾙ G ﾘﾐﾃｯﾄﾞSA3</t>
    <phoneticPr fontId="13"/>
  </si>
  <si>
    <t>M900S-0049659</t>
    <phoneticPr fontId="13"/>
  </si>
  <si>
    <t>18/6</t>
    <phoneticPr fontId="13"/>
  </si>
  <si>
    <t>JB23W-509713</t>
    <phoneticPr fontId="13"/>
  </si>
  <si>
    <t>9/6/8</t>
    <phoneticPr fontId="13"/>
  </si>
  <si>
    <t>MR31S-261366</t>
    <phoneticPr fontId="13"/>
  </si>
  <si>
    <t>保証書 取説 ﾜﾝｵｰﾅｰ SD</t>
    <rPh sb="0" eb="3">
      <t>ホショウショ</t>
    </rPh>
    <rPh sb="4" eb="6">
      <t>トリセツ</t>
    </rPh>
    <phoneticPr fontId="13"/>
  </si>
  <si>
    <t>三重 583 や 7080</t>
    <rPh sb="0" eb="2">
      <t>ミエ</t>
    </rPh>
    <phoneticPr fontId="13"/>
  </si>
  <si>
    <t>三重ﾀﾞｲﾊﾂ販売株式会社</t>
    <rPh sb="0" eb="2">
      <t>ミエ</t>
    </rPh>
    <rPh sb="7" eb="13">
      <t>ハンバイカブシキガイシャ</t>
    </rPh>
    <phoneticPr fontId="13"/>
  </si>
  <si>
    <t>12/20</t>
    <phoneticPr fontId="13"/>
  </si>
  <si>
    <t>富士山 399 ぬ 8329</t>
    <rPh sb="0" eb="3">
      <t>フジサン</t>
    </rPh>
    <phoneticPr fontId="13"/>
  </si>
  <si>
    <t>WMWXM520502D01879</t>
    <phoneticPr fontId="13"/>
  </si>
  <si>
    <t>1C4BU0000HPE64974</t>
    <phoneticPr fontId="13"/>
  </si>
  <si>
    <t>なにわ 39A め 1961</t>
    <phoneticPr fontId="13"/>
  </si>
  <si>
    <t>VF7SXHNZTJT674298</t>
    <phoneticPr fontId="13"/>
  </si>
  <si>
    <t>大阪 399 ゆ 1047</t>
    <rPh sb="0" eb="2">
      <t>オオサカ</t>
    </rPh>
    <phoneticPr fontId="13"/>
  </si>
  <si>
    <t>株式会社ﾎﾝﾀﾞ北大阪</t>
    <rPh sb="0" eb="4">
      <t>カブシキガイシャ</t>
    </rPh>
    <rPh sb="8" eb="11">
      <t>キタオオサカ</t>
    </rPh>
    <phoneticPr fontId="13"/>
  </si>
  <si>
    <t>なにわ 39A め 5563</t>
    <phoneticPr fontId="13"/>
  </si>
  <si>
    <t>横浜 399 ひ 222</t>
    <rPh sb="0" eb="2">
      <t>ヨコハマ</t>
    </rPh>
    <phoneticPr fontId="13"/>
  </si>
  <si>
    <t>株式会社ｽｽﾞｷ自販神奈川</t>
    <rPh sb="0" eb="4">
      <t>カブシキガイシャ</t>
    </rPh>
    <rPh sb="9" eb="12">
      <t>カナガワ</t>
    </rPh>
    <phoneticPr fontId="13"/>
  </si>
  <si>
    <t>名古屋 780 ろ 3714</t>
    <rPh sb="0" eb="3">
      <t>ナゴヤ</t>
    </rPh>
    <phoneticPr fontId="13"/>
  </si>
  <si>
    <t>保証書 取説 ﾅﾋﾞ取  ﾜﾝｵｰﾅｰ？</t>
    <rPh sb="0" eb="3">
      <t>ホショウショ</t>
    </rPh>
    <rPh sb="4" eb="6">
      <t>トリセツ</t>
    </rPh>
    <rPh sb="10" eb="11">
      <t>トリ</t>
    </rPh>
    <phoneticPr fontId="13"/>
  </si>
  <si>
    <t>宇都宮 301 は 3618</t>
    <rPh sb="0" eb="3">
      <t>ウツノミヤ</t>
    </rPh>
    <phoneticPr fontId="13"/>
  </si>
  <si>
    <t>株式会社北関東ﾏﾂﾀﾞ</t>
    <rPh sb="0" eb="4">
      <t>カブシキガイシャ</t>
    </rPh>
    <rPh sb="4" eb="7">
      <t>キタカントウ</t>
    </rPh>
    <phoneticPr fontId="13"/>
  </si>
  <si>
    <t>着</t>
    <phoneticPr fontId="13"/>
  </si>
  <si>
    <t>ｷｰﾚｽ(車内)保証書 ﾜﾝｵｰﾅｰ</t>
    <rPh sb="5" eb="7">
      <t>シャナイ</t>
    </rPh>
    <rPh sb="8" eb="11">
      <t>ホショウショ</t>
    </rPh>
    <phoneticPr fontId="13"/>
  </si>
  <si>
    <t>鳥取 330 つ 885</t>
    <rPh sb="0" eb="2">
      <t>トットリ</t>
    </rPh>
    <phoneticPr fontId="13"/>
  </si>
  <si>
    <t>松島 宏樹</t>
    <rPh sb="0" eb="2">
      <t>マツシマ</t>
    </rPh>
    <rPh sb="3" eb="5">
      <t>ヒロキ</t>
    </rPh>
    <phoneticPr fontId="13"/>
  </si>
  <si>
    <t>保証書 取説 ｷｰﾚｽ 2個 ｽﾍﾟｱｷｰ ﾜﾝｵｰﾅｰ</t>
    <rPh sb="0" eb="3">
      <t>ホショウショ</t>
    </rPh>
    <rPh sb="4" eb="6">
      <t>トリセツ</t>
    </rPh>
    <rPh sb="13" eb="14">
      <t>コ</t>
    </rPh>
    <phoneticPr fontId="13"/>
  </si>
  <si>
    <t>名古屋 307 さ 3882</t>
    <rPh sb="0" eb="3">
      <t>ナゴヤ</t>
    </rPh>
    <phoneticPr fontId="13"/>
  </si>
  <si>
    <t>株式会社鈴木石油商会</t>
    <rPh sb="0" eb="4">
      <t>カブシキガイシャ</t>
    </rPh>
    <rPh sb="4" eb="6">
      <t>スズキ</t>
    </rPh>
    <rPh sb="6" eb="8">
      <t>セキユ</t>
    </rPh>
    <rPh sb="8" eb="10">
      <t>ショウカイ</t>
    </rPh>
    <phoneticPr fontId="13"/>
  </si>
  <si>
    <t>充電ｹｰﾌﾞﾙ伴さん 保証書 取説 ｷｰﾚｽ</t>
    <rPh sb="0" eb="2">
      <t>ジュウデン</t>
    </rPh>
    <rPh sb="7" eb="8">
      <t>バン</t>
    </rPh>
    <rPh sb="11" eb="14">
      <t>ホショウショ</t>
    </rPh>
    <rPh sb="15" eb="17">
      <t>トリセツ</t>
    </rPh>
    <phoneticPr fontId="13"/>
  </si>
  <si>
    <t>神戸 532 た 288</t>
    <rPh sb="0" eb="2">
      <t>コウベ</t>
    </rPh>
    <phoneticPr fontId="13"/>
  </si>
  <si>
    <t>本谷 康一</t>
    <rPh sb="0" eb="2">
      <t>モトタニ</t>
    </rPh>
    <rPh sb="3" eb="5">
      <t>コウイチ</t>
    </rPh>
    <phoneticPr fontId="13"/>
  </si>
  <si>
    <t>品川 39A め 495</t>
    <rPh sb="0" eb="2">
      <t>シナガワ</t>
    </rPh>
    <phoneticPr fontId="13"/>
  </si>
  <si>
    <t>取説  ｽﾍﾟｱｷｰ</t>
    <rPh sb="0" eb="2">
      <t>トリセツ</t>
    </rPh>
    <phoneticPr fontId="13"/>
  </si>
  <si>
    <t>大阪 334 ち 98</t>
    <rPh sb="0" eb="2">
      <t>オオサカ</t>
    </rPh>
    <phoneticPr fontId="13"/>
  </si>
  <si>
    <t>松原 榛香</t>
    <rPh sb="0" eb="2">
      <t>マツバラ</t>
    </rPh>
    <rPh sb="4" eb="5">
      <t>カオ</t>
    </rPh>
    <phoneticPr fontId="13"/>
  </si>
  <si>
    <t>保証書 取説 ｷｰﾚｽ SD ﾅﾋﾞ取</t>
    <rPh sb="0" eb="3">
      <t>ホショウショ</t>
    </rPh>
    <rPh sb="4" eb="6">
      <t>トリセツ</t>
    </rPh>
    <rPh sb="18" eb="19">
      <t>トリ</t>
    </rPh>
    <phoneticPr fontId="13"/>
  </si>
  <si>
    <t>奈良 584 ろ 2240</t>
    <rPh sb="0" eb="2">
      <t>ナラ</t>
    </rPh>
    <phoneticPr fontId="13"/>
  </si>
  <si>
    <t>横浜 778 み 2904</t>
    <rPh sb="0" eb="2">
      <t>ヨコハマ</t>
    </rPh>
    <phoneticPr fontId="13"/>
  </si>
  <si>
    <t>横浜 39A や 8261</t>
    <rPh sb="0" eb="2">
      <t>ヨコハマ</t>
    </rPh>
    <phoneticPr fontId="13"/>
  </si>
  <si>
    <t>湘南 375 ち 1010</t>
    <rPh sb="0" eb="2">
      <t>ショウナン</t>
    </rPh>
    <phoneticPr fontId="13"/>
  </si>
  <si>
    <t>關 健</t>
    <rPh sb="0" eb="1">
      <t>セキ</t>
    </rPh>
    <rPh sb="2" eb="3">
      <t>ケン</t>
    </rPh>
    <phoneticPr fontId="13"/>
  </si>
  <si>
    <t xml:space="preserve">ﾒﾙｾﾃﾞｽﾍﾞﾝﾂ Eｸﾗｽ 53 </t>
    <phoneticPr fontId="13"/>
  </si>
  <si>
    <t>WDD2130612A492423</t>
    <phoneticPr fontId="13"/>
  </si>
  <si>
    <t>9/9/30</t>
    <phoneticPr fontId="13"/>
  </si>
  <si>
    <t>熊本 332 た 53</t>
    <rPh sb="0" eb="2">
      <t>クマモト</t>
    </rPh>
    <phoneticPr fontId="13"/>
  </si>
  <si>
    <t>NT100ｸﾘｯﾊﾟｰﾄﾗｯｸ DX</t>
    <phoneticPr fontId="13"/>
  </si>
  <si>
    <t>DR16T-690076</t>
    <phoneticPr fontId="13"/>
  </si>
  <si>
    <t>8/5/18</t>
    <phoneticPr fontId="13"/>
  </si>
  <si>
    <t>神戸 480 ゆ 9251</t>
    <rPh sb="0" eb="2">
      <t>コウベ</t>
    </rPh>
    <phoneticPr fontId="13"/>
  </si>
  <si>
    <t>DA17W-258055</t>
    <phoneticPr fontId="13"/>
  </si>
  <si>
    <t>MK92S-236220</t>
    <phoneticPr fontId="13"/>
  </si>
  <si>
    <t>姫路 582 い 6518</t>
    <rPh sb="0" eb="2">
      <t>ヒメジ</t>
    </rPh>
    <phoneticPr fontId="13"/>
  </si>
  <si>
    <t>JB23W-766683</t>
    <phoneticPr fontId="13"/>
  </si>
  <si>
    <t>JF5-1129411</t>
    <phoneticPr fontId="13"/>
  </si>
  <si>
    <t>ﾗﾝﾄﾞﾛｰﾊﾞｰ ﾚﾝｼﾞﾛｰﾊﾞｰ 3.0V6</t>
    <phoneticPr fontId="13"/>
  </si>
  <si>
    <t>SALGA2VE3EA178765</t>
    <phoneticPr fontId="13"/>
  </si>
  <si>
    <t>9/9/28</t>
    <phoneticPr fontId="13"/>
  </si>
  <si>
    <t>大阪 304 せ 3558</t>
    <rPh sb="0" eb="2">
      <t>オオサカ</t>
    </rPh>
    <phoneticPr fontId="13"/>
  </si>
  <si>
    <t>ｼﾄﾛｴﾝ ﾍﾞﾙﾗﾝｺﾞ ES</t>
    <phoneticPr fontId="13"/>
  </si>
  <si>
    <t>VR7ECYHZ3PJ553209</t>
    <phoneticPr fontId="13"/>
  </si>
  <si>
    <t>和泉 331 む 2028</t>
    <rPh sb="0" eb="2">
      <t>イズミ</t>
    </rPh>
    <phoneticPr fontId="13"/>
  </si>
  <si>
    <t>神戸 799 ら 1578</t>
    <rPh sb="0" eb="2">
      <t>コウベ</t>
    </rPh>
    <phoneticPr fontId="13"/>
  </si>
  <si>
    <t>品川 39A な 4839</t>
    <rPh sb="0" eb="2">
      <t>シナガワ</t>
    </rPh>
    <phoneticPr fontId="13"/>
  </si>
  <si>
    <t>なにわ 388 や 10</t>
    <phoneticPr fontId="13"/>
  </si>
  <si>
    <t>春日井 580 え 5657</t>
    <rPh sb="0" eb="3">
      <t>カスガイ</t>
    </rPh>
    <phoneticPr fontId="13"/>
  </si>
  <si>
    <t>土田 晃宏</t>
    <rPh sb="0" eb="2">
      <t>ツチダ</t>
    </rPh>
    <rPh sb="3" eb="4">
      <t>アキラ</t>
    </rPh>
    <rPh sb="4" eb="5">
      <t>ヒロシ</t>
    </rPh>
    <phoneticPr fontId="13"/>
  </si>
  <si>
    <t>27-2308</t>
  </si>
  <si>
    <t>27-2309</t>
  </si>
  <si>
    <t>ﾊｲｾﾞｯﾄｶｰｺﾞ ﾃﾞｯｷﾊﾞﾝG SA3</t>
    <phoneticPr fontId="13"/>
  </si>
  <si>
    <t>S321W-0010484</t>
    <phoneticPr fontId="13"/>
  </si>
  <si>
    <t>神戸 483 か 2155</t>
    <rPh sb="0" eb="2">
      <t>コウベ</t>
    </rPh>
    <phoneticPr fontId="13"/>
  </si>
  <si>
    <t>JF3-1234259</t>
    <phoneticPr fontId="13"/>
  </si>
  <si>
    <t>大阪 581 ま 3094</t>
    <rPh sb="0" eb="2">
      <t>オオサカ</t>
    </rPh>
    <phoneticPr fontId="13"/>
  </si>
  <si>
    <t>ｽﾍﾟｰｼｱｷﾞｱ XZ</t>
    <phoneticPr fontId="13"/>
  </si>
  <si>
    <t>MK53S-731245</t>
    <phoneticPr fontId="13"/>
  </si>
  <si>
    <t>大阪 581 よ 3797</t>
    <rPh sb="0" eb="2">
      <t>オオサカ</t>
    </rPh>
    <phoneticPr fontId="13"/>
  </si>
  <si>
    <t>ﾑｰﾌﾞｷｬﾝﾊﾞｽ XﾌﾞﾗｯｸｱｸｾﾝﾄﾘﾐﾃｯﾄﾞSA3</t>
    <phoneticPr fontId="13"/>
  </si>
  <si>
    <t>LA800S-0240834</t>
    <phoneticPr fontId="13"/>
  </si>
  <si>
    <t>ﾜｺﾞﾝR ｶｽﾀﾑZ ﾊｲﾌﾞﾘｯﾄﾞZX</t>
    <phoneticPr fontId="13"/>
  </si>
  <si>
    <t>MH95S-226226</t>
    <phoneticPr fontId="13"/>
  </si>
  <si>
    <t>ﾌｨｱｯﾄ500 1.2ﾎﾟｯﾌﾟ</t>
    <phoneticPr fontId="13"/>
  </si>
  <si>
    <t>取説 (車内)保証書 ｺｰﾄﾞｶｰﾄﾞ ﾜﾝｵｰﾅｰ</t>
    <rPh sb="0" eb="2">
      <t>トリセツ</t>
    </rPh>
    <rPh sb="7" eb="10">
      <t>ホショウショ</t>
    </rPh>
    <phoneticPr fontId="13"/>
  </si>
  <si>
    <t>京都 338 は 1188</t>
    <rPh sb="0" eb="2">
      <t>キョウト</t>
    </rPh>
    <phoneticPr fontId="13"/>
  </si>
  <si>
    <t>12/22</t>
    <phoneticPr fontId="13"/>
  </si>
  <si>
    <t>保証書 取説 ﾅﾋﾞ取 ｽﾍﾟｱｷｰ ﾘﾓｺﾝ ﾜﾝｵｰﾅｰ</t>
    <rPh sb="0" eb="3">
      <t>ホショウショ</t>
    </rPh>
    <rPh sb="4" eb="6">
      <t>トリセツ</t>
    </rPh>
    <rPh sb="10" eb="11">
      <t>トリ</t>
    </rPh>
    <phoneticPr fontId="13"/>
  </si>
  <si>
    <t>27-2310</t>
  </si>
  <si>
    <t>27-2311</t>
  </si>
  <si>
    <t>27-2312</t>
  </si>
  <si>
    <t>27-2313</t>
  </si>
  <si>
    <t>27-2314</t>
  </si>
  <si>
    <t>27-2315</t>
  </si>
  <si>
    <t>27-2316</t>
  </si>
  <si>
    <t>27-2317</t>
  </si>
  <si>
    <t>27-2318</t>
  </si>
  <si>
    <t>27-2319</t>
  </si>
  <si>
    <t>27-2320</t>
  </si>
  <si>
    <t>27-2321</t>
  </si>
  <si>
    <t>27-2322</t>
  </si>
  <si>
    <t>ｷｬﾝｾﾙ書類返送12/22</t>
    <rPh sb="5" eb="9">
      <t>ショルイヘンソウ</t>
    </rPh>
    <phoneticPr fontId="13"/>
  </si>
  <si>
    <r>
      <rPr>
        <sz val="11"/>
        <color rgb="FFFF0000"/>
        <rFont val="ＭＳ Ｐゴシック"/>
        <family val="3"/>
        <charset val="128"/>
        <scheme val="minor"/>
      </rPr>
      <t xml:space="preserve">保証書なしｸﾚｰﾑ済 </t>
    </r>
    <r>
      <rPr>
        <sz val="11"/>
        <color theme="3"/>
        <rFont val="ＭＳ Ｐゴシック"/>
        <family val="3"/>
        <charset val="128"/>
        <scheme val="minor"/>
      </rPr>
      <t>取説</t>
    </r>
    <rPh sb="0" eb="3">
      <t>ホショウショ</t>
    </rPh>
    <rPh sb="9" eb="10">
      <t>ズ</t>
    </rPh>
    <rPh sb="11" eb="13">
      <t>トリセツ</t>
    </rPh>
    <phoneticPr fontId="13"/>
  </si>
  <si>
    <t>HA売 保証書ﾀﾞﾐｰ送る</t>
    <rPh sb="2" eb="3">
      <t>ウ</t>
    </rPh>
    <rPh sb="4" eb="7">
      <t>ホショウショ</t>
    </rPh>
    <rPh sb="11" eb="12">
      <t>オク</t>
    </rPh>
    <phoneticPr fontId="13"/>
  </si>
  <si>
    <t>京都 599 ゆ 6402</t>
    <rPh sb="0" eb="2">
      <t>キョウト</t>
    </rPh>
    <phoneticPr fontId="13"/>
  </si>
  <si>
    <t>株式会社NewLIFE Pro</t>
    <rPh sb="0" eb="4">
      <t>カブシキガイシャ</t>
    </rPh>
    <phoneticPr fontId="13"/>
  </si>
  <si>
    <t>鹿児島 595 さ 24</t>
    <rPh sb="0" eb="3">
      <t>カゴシマ</t>
    </rPh>
    <phoneticPr fontId="13"/>
  </si>
  <si>
    <t>飯尾 智博</t>
    <rPh sb="0" eb="2">
      <t>イイオ</t>
    </rPh>
    <rPh sb="3" eb="5">
      <t>トモヒロ</t>
    </rPh>
    <phoneticPr fontId="13"/>
  </si>
  <si>
    <t>会津 583 さ 2355</t>
    <rPh sb="0" eb="2">
      <t>アイヅ</t>
    </rPh>
    <phoneticPr fontId="13"/>
  </si>
  <si>
    <t>寺田 明弘</t>
    <rPh sb="0" eb="2">
      <t>テラダ</t>
    </rPh>
    <rPh sb="3" eb="5">
      <t>アキヒロ</t>
    </rPh>
    <phoneticPr fontId="13"/>
  </si>
  <si>
    <t>京都 591 の 3588</t>
    <rPh sb="0" eb="2">
      <t>キョウト</t>
    </rPh>
    <phoneticPr fontId="13"/>
  </si>
  <si>
    <t>絹和 拓歩</t>
    <rPh sb="0" eb="1">
      <t>キヌ</t>
    </rPh>
    <rPh sb="1" eb="2">
      <t>ワ</t>
    </rPh>
    <rPh sb="3" eb="4">
      <t>タク</t>
    </rPh>
    <rPh sb="4" eb="5">
      <t>アユミ</t>
    </rPh>
    <phoneticPr fontId="13"/>
  </si>
  <si>
    <t>保証書 取説 ｷｰﾚｽ ﾅﾋﾞ取 地図SD</t>
    <rPh sb="0" eb="3">
      <t>ホショウショ</t>
    </rPh>
    <rPh sb="4" eb="6">
      <t>トリセツ</t>
    </rPh>
    <rPh sb="15" eb="16">
      <t>トリ</t>
    </rPh>
    <rPh sb="17" eb="19">
      <t>チズ</t>
    </rPh>
    <phoneticPr fontId="13"/>
  </si>
  <si>
    <t>株式会社NKｼｽﾃﾑ</t>
    <rPh sb="0" eb="4">
      <t>カブシキガイシャ</t>
    </rPh>
    <phoneticPr fontId="13"/>
  </si>
  <si>
    <t>有限会社ｵｰﾄﾏｯｸｽ</t>
    <rPh sb="0" eb="4">
      <t>ユウゲンカイシャ</t>
    </rPh>
    <phoneticPr fontId="13"/>
  </si>
  <si>
    <t>神戸 504 ひ 9987</t>
    <rPh sb="0" eb="2">
      <t>コウベ</t>
    </rPh>
    <phoneticPr fontId="13"/>
  </si>
  <si>
    <t>株式会社ｱｸﾄﾄﾚｰﾃﾞｨﾝｸﾞ</t>
    <rPh sb="0" eb="4">
      <t>カブシキガイシャ</t>
    </rPh>
    <phoneticPr fontId="13"/>
  </si>
  <si>
    <t>有限会社ﾎｯﾄﾄﾞﾗｲﾌﾞ</t>
    <rPh sb="0" eb="4">
      <t>ユウゲンカイシャ</t>
    </rPh>
    <phoneticPr fontId="13"/>
  </si>
  <si>
    <t>今城 博之</t>
    <rPh sb="0" eb="1">
      <t>イマ</t>
    </rPh>
    <rPh sb="1" eb="2">
      <t>シロ</t>
    </rPh>
    <rPh sb="3" eb="5">
      <t>ヒロユキ</t>
    </rPh>
    <phoneticPr fontId="13"/>
  </si>
  <si>
    <t>株式会社ｶｰﾓｰﾄﾞｺﾑ</t>
    <rPh sb="0" eb="4">
      <t>カブシキガイシャ</t>
    </rPh>
    <phoneticPr fontId="13"/>
  </si>
  <si>
    <t>習志野 585 の 38</t>
    <rPh sb="0" eb="3">
      <t>ナラシノ</t>
    </rPh>
    <phoneticPr fontId="13"/>
  </si>
  <si>
    <t>橋本 雅</t>
    <rPh sb="0" eb="2">
      <t>ハシモト</t>
    </rPh>
    <rPh sb="3" eb="4">
      <t>マサシ</t>
    </rPh>
    <phoneticPr fontId="13"/>
  </si>
  <si>
    <t>和泉 581 ね 1748</t>
    <rPh sb="0" eb="2">
      <t>イズミ</t>
    </rPh>
    <phoneticPr fontId="13"/>
  </si>
  <si>
    <t>荒井 照夫</t>
    <rPh sb="0" eb="2">
      <t>アライ</t>
    </rPh>
    <rPh sb="3" eb="5">
      <t>テルオ</t>
    </rPh>
    <phoneticPr fontId="13"/>
  </si>
  <si>
    <t>京都 598 え 12</t>
    <rPh sb="0" eb="2">
      <t>キョウト</t>
    </rPh>
    <phoneticPr fontId="13"/>
  </si>
  <si>
    <t>上野 賢也</t>
    <rPh sb="0" eb="2">
      <t>ウエノ</t>
    </rPh>
    <rPh sb="3" eb="4">
      <t>ケン</t>
    </rPh>
    <rPh sb="4" eb="5">
      <t>ヤ</t>
    </rPh>
    <phoneticPr fontId="13"/>
  </si>
  <si>
    <t>保証書 取説 ｷｰﾚｽ ﾅﾋﾞ取 ﾘﾓｺﾝ未着OK</t>
    <rPh sb="0" eb="3">
      <t>ホショウショ</t>
    </rPh>
    <rPh sb="4" eb="6">
      <t>トリセツ</t>
    </rPh>
    <rPh sb="15" eb="16">
      <t>トリ</t>
    </rPh>
    <rPh sb="21" eb="23">
      <t>ミチャク</t>
    </rPh>
    <phoneticPr fontId="13"/>
  </si>
  <si>
    <t>名古屋 778 た 9692</t>
    <rPh sb="0" eb="3">
      <t>ナゴヤ</t>
    </rPh>
    <phoneticPr fontId="13"/>
  </si>
  <si>
    <t>神戸 304 ぬ 5382</t>
    <rPh sb="0" eb="2">
      <t>コウベ</t>
    </rPh>
    <phoneticPr fontId="13"/>
  </si>
  <si>
    <t>和泉 329 な 9188</t>
    <rPh sb="0" eb="2">
      <t>イズミ</t>
    </rPh>
    <phoneticPr fontId="13"/>
  </si>
  <si>
    <t>保証書 取説 ｷｰﾚｽ(車内) ﾜﾝｵｰﾅｰ</t>
    <rPh sb="0" eb="3">
      <t>ホショウショ</t>
    </rPh>
    <rPh sb="4" eb="6">
      <t>トリセツ</t>
    </rPh>
    <rPh sb="12" eb="14">
      <t>シャナイ</t>
    </rPh>
    <phoneticPr fontId="13"/>
  </si>
  <si>
    <t>中前 達紀</t>
    <rPh sb="0" eb="2">
      <t>ナカマエ</t>
    </rPh>
    <rPh sb="3" eb="4">
      <t>タツ</t>
    </rPh>
    <rPh sb="4" eb="5">
      <t>キ</t>
    </rPh>
    <phoneticPr fontId="13"/>
  </si>
  <si>
    <t>福岡 302 る 7926</t>
    <rPh sb="0" eb="2">
      <t>フクオカ</t>
    </rPh>
    <phoneticPr fontId="13"/>
  </si>
  <si>
    <t>301 ね 5326</t>
    <phoneticPr fontId="13"/>
  </si>
  <si>
    <t>301 ね 5325</t>
    <phoneticPr fontId="13"/>
  </si>
  <si>
    <t>301 ね 5324</t>
    <phoneticPr fontId="13"/>
  </si>
  <si>
    <t>MR41S-248615</t>
    <phoneticPr fontId="13"/>
  </si>
  <si>
    <t>A317500</t>
    <phoneticPr fontId="13"/>
  </si>
  <si>
    <t>MR41S-294375</t>
    <phoneticPr fontId="13"/>
  </si>
  <si>
    <t>ﾍﾞﾝﾂ Eｸﾗｽ ｾﾀﾞﾝ200ｱﾊﾞﾝｷﾞｬﾙﾄ</t>
    <phoneticPr fontId="13"/>
  </si>
  <si>
    <t>WDD2130772A743217</t>
    <phoneticPr fontId="13"/>
  </si>
  <si>
    <t>BMW 3ｼﾘｰｽﾞ ﾂｰﾘﾝｸﾞ320Mｽﾎﾟｰﾂ</t>
    <phoneticPr fontId="13"/>
  </si>
  <si>
    <t>WBA3K32020K403730</t>
    <phoneticPr fontId="13"/>
  </si>
  <si>
    <t>BMWﾐﾆｸｰﾊﾟｰｺﾝﾊﾞｰﾁﾌﾞﾙ ﾊｲｹﾞｰﾄ</t>
    <phoneticPr fontId="13"/>
  </si>
  <si>
    <t>WMWZN32060T552413</t>
    <phoneticPr fontId="13"/>
  </si>
  <si>
    <t>WMWLV320002L40554</t>
    <phoneticPr fontId="13"/>
  </si>
  <si>
    <t>石川 339 と 32</t>
    <rPh sb="0" eb="2">
      <t>イシカワ</t>
    </rPh>
    <phoneticPr fontId="13"/>
  </si>
  <si>
    <t>ｱｳﾃﾞｨA5 ｽﾎﾟｰﾂﾊﾞｯｸ2.0TFSI</t>
    <phoneticPr fontId="13"/>
  </si>
  <si>
    <t>WAUZZZF5XJA042379</t>
    <phoneticPr fontId="13"/>
  </si>
  <si>
    <t>三重 330 ろ 1712</t>
    <rPh sb="0" eb="2">
      <t>ミエ</t>
    </rPh>
    <phoneticPr fontId="13"/>
  </si>
  <si>
    <t>WMWXM520702D00443</t>
    <phoneticPr fontId="13"/>
  </si>
  <si>
    <t>ｷｬﾝｾﾙ 書類返送12/22</t>
    <rPh sb="6" eb="10">
      <t>ショルイヘンソウ</t>
    </rPh>
    <phoneticPr fontId="13"/>
  </si>
  <si>
    <t>LA650S-0280301</t>
    <phoneticPr fontId="13"/>
  </si>
  <si>
    <t>ｼﾞｰﾌﾟ ﾚﾈｹﾞｰﾄ ﾄﾚｲﾙﾎｰｸ</t>
    <phoneticPr fontId="13"/>
  </si>
  <si>
    <t>1C4BU0000KPJ89001</t>
    <phoneticPr fontId="13"/>
  </si>
  <si>
    <t>ｷｰﾚｽ(車内)取説 ﾜﾝｵｰﾅｰ</t>
    <rPh sb="8" eb="10">
      <t>トリセツ</t>
    </rPh>
    <phoneticPr fontId="13"/>
  </si>
  <si>
    <t>地図SD(車内)取説 ﾅﾋﾞ取 ﾘﾓｺﾝ</t>
    <rPh sb="0" eb="2">
      <t>チズ</t>
    </rPh>
    <rPh sb="8" eb="10">
      <t>トリセツ</t>
    </rPh>
    <rPh sb="14" eb="15">
      <t>トリ</t>
    </rPh>
    <phoneticPr fontId="13"/>
  </si>
  <si>
    <t>地図SD ｷｰﾚｽ3個(車内)</t>
    <rPh sb="0" eb="2">
      <t>チズ</t>
    </rPh>
    <rPh sb="10" eb="11">
      <t>コ</t>
    </rPh>
    <phoneticPr fontId="13"/>
  </si>
  <si>
    <t>保証書 取説(車内)SD</t>
    <rPh sb="0" eb="3">
      <t>ホショウショ</t>
    </rPh>
    <rPh sb="4" eb="6">
      <t>トリセツ</t>
    </rPh>
    <phoneticPr fontId="13"/>
  </si>
  <si>
    <t>ｷｰﾚｽ 地図SD(車内)保証書 取説 ﾅﾋﾞ取</t>
    <rPh sb="13" eb="16">
      <t>ホショウショ</t>
    </rPh>
    <rPh sb="17" eb="19">
      <t>トリセツ</t>
    </rPh>
    <rPh sb="23" eb="24">
      <t>トリ</t>
    </rPh>
    <phoneticPr fontId="13"/>
  </si>
  <si>
    <t>ｷｰﾚｽ 地図SD(車内)</t>
    <phoneticPr fontId="13"/>
  </si>
  <si>
    <t>582 い 7321</t>
    <phoneticPr fontId="13"/>
  </si>
  <si>
    <t>582 い 7319</t>
    <phoneticPr fontId="13"/>
  </si>
  <si>
    <t>582 い 7320</t>
    <phoneticPr fontId="13"/>
  </si>
  <si>
    <t>27-2323</t>
  </si>
  <si>
    <t>27-2324</t>
  </si>
  <si>
    <t>安永様</t>
    <rPh sb="0" eb="2">
      <t>ヤスナガ</t>
    </rPh>
    <rPh sb="2" eb="3">
      <t>サマ</t>
    </rPh>
    <phoneticPr fontId="13"/>
  </si>
  <si>
    <t>ﾉｱ</t>
    <phoneticPr fontId="13"/>
  </si>
  <si>
    <t>ZRR70-0388055</t>
    <phoneticPr fontId="13"/>
  </si>
  <si>
    <t>神戸 503 ち 1738</t>
    <rPh sb="0" eb="2">
      <t>コウベ</t>
    </rPh>
    <phoneticPr fontId="13"/>
  </si>
  <si>
    <t>安永 祐二</t>
    <rPh sb="0" eb="2">
      <t>ヤスナガ</t>
    </rPh>
    <rPh sb="3" eb="5">
      <t>ユウジ</t>
    </rPh>
    <phoneticPr fontId="13"/>
  </si>
  <si>
    <t>西澤様</t>
    <rPh sb="0" eb="2">
      <t>ニシザワ</t>
    </rPh>
    <rPh sb="2" eb="3">
      <t>サマ</t>
    </rPh>
    <phoneticPr fontId="13"/>
  </si>
  <si>
    <t>ｼﾞｬｶﾞｰ F PACE</t>
    <phoneticPr fontId="13"/>
  </si>
  <si>
    <t>SADCA2ANXJA287038</t>
    <phoneticPr fontId="13"/>
  </si>
  <si>
    <t>姫路 331 ね 2996</t>
    <rPh sb="0" eb="2">
      <t>ヒメジ</t>
    </rPh>
    <phoneticPr fontId="13"/>
  </si>
  <si>
    <t>西澤 真菜</t>
    <rPh sb="0" eb="2">
      <t>ニシザワ</t>
    </rPh>
    <rPh sb="3" eb="5">
      <t>マナ</t>
    </rPh>
    <phoneticPr fontId="13"/>
  </si>
  <si>
    <t>27-2325</t>
  </si>
  <si>
    <t>27-2326</t>
  </si>
  <si>
    <t>27-2327</t>
  </si>
  <si>
    <t>A316654</t>
    <phoneticPr fontId="13"/>
  </si>
  <si>
    <t>ｳﾞｫｸｼｰ ZS 煌3</t>
    <rPh sb="10" eb="11">
      <t>キラメ</t>
    </rPh>
    <phoneticPr fontId="13"/>
  </si>
  <si>
    <t>ZRR80-0667713</t>
    <phoneticPr fontId="13"/>
  </si>
  <si>
    <t>27-2328</t>
  </si>
  <si>
    <t>27-2329</t>
  </si>
  <si>
    <t>27-2330</t>
  </si>
  <si>
    <t>27-2331</t>
  </si>
  <si>
    <t>27-2332</t>
  </si>
  <si>
    <t>27-2333</t>
  </si>
  <si>
    <t>27-2334</t>
  </si>
  <si>
    <t>地図SD(車内)保証書 取説 ｷｰﾚｽ ﾅﾋﾞ取 ﾜﾝｵｰﾅｰ</t>
    <rPh sb="8" eb="11">
      <t>ホショウショ</t>
    </rPh>
    <rPh sb="12" eb="14">
      <t>トリセツ</t>
    </rPh>
    <rPh sb="23" eb="24">
      <t>トリ</t>
    </rPh>
    <phoneticPr fontId="13"/>
  </si>
  <si>
    <t>佐藤 健一</t>
    <rPh sb="0" eb="2">
      <t>サトウ</t>
    </rPh>
    <rPh sb="3" eb="5">
      <t>ケンイチ</t>
    </rPh>
    <phoneticPr fontId="13"/>
  </si>
  <si>
    <t>岡田 展久</t>
    <rPh sb="0" eb="2">
      <t>オカダ</t>
    </rPh>
    <rPh sb="3" eb="4">
      <t>テン</t>
    </rPh>
    <rPh sb="4" eb="5">
      <t>ヒサ</t>
    </rPh>
    <phoneticPr fontId="13"/>
  </si>
  <si>
    <t>王 暁雁</t>
    <rPh sb="0" eb="1">
      <t>オウ</t>
    </rPh>
    <rPh sb="2" eb="3">
      <t>アカツキ</t>
    </rPh>
    <phoneticPr fontId="13"/>
  </si>
  <si>
    <t>大工原 忠相</t>
    <rPh sb="0" eb="3">
      <t>ダイクハラ</t>
    </rPh>
    <rPh sb="4" eb="5">
      <t>タダ</t>
    </rPh>
    <phoneticPr fontId="13"/>
  </si>
  <si>
    <t>大可 虎太郎</t>
    <rPh sb="0" eb="2">
      <t>オオカ</t>
    </rPh>
    <rPh sb="3" eb="6">
      <t>トラタロウ</t>
    </rPh>
    <phoneticPr fontId="13"/>
  </si>
  <si>
    <t>森田 喜光</t>
    <rPh sb="0" eb="2">
      <t>モリタ</t>
    </rPh>
    <rPh sb="3" eb="4">
      <t>ヨロコ</t>
    </rPh>
    <rPh sb="4" eb="5">
      <t>ヒカリ</t>
    </rPh>
    <phoneticPr fontId="13"/>
  </si>
  <si>
    <t>合同会社TORIYA太田</t>
    <rPh sb="0" eb="4">
      <t>ゴウドウカイシャ</t>
    </rPh>
    <rPh sb="10" eb="12">
      <t>オオタ</t>
    </rPh>
    <phoneticPr fontId="13"/>
  </si>
  <si>
    <t>WVWZZZ16ZKM704891</t>
    <phoneticPr fontId="13"/>
  </si>
  <si>
    <t>ﾌﾟｼﾞｮｰ3008 ｱﾘｭｰﾙ</t>
    <phoneticPr fontId="13"/>
  </si>
  <si>
    <t>VF3M45GZWHS008690</t>
    <phoneticPr fontId="13"/>
  </si>
  <si>
    <t>横浜 360 め 1015</t>
    <rPh sb="0" eb="2">
      <t>ヨコハマ</t>
    </rPh>
    <phoneticPr fontId="13"/>
  </si>
  <si>
    <t>MRﾜｺﾞﾝ WIT TS</t>
    <phoneticPr fontId="13"/>
  </si>
  <si>
    <t>MF33S-240744</t>
    <phoneticPr fontId="13"/>
  </si>
  <si>
    <t>LA650S-0202277</t>
    <phoneticPr fontId="13"/>
  </si>
  <si>
    <t>京都 580 わ 8662</t>
    <rPh sb="0" eb="2">
      <t>キョウト</t>
    </rPh>
    <phoneticPr fontId="13"/>
  </si>
  <si>
    <t>ﾑｰﾌﾞ ﾌﾛﾝﾄｼｰﾄﾘﾌﾄXﾘﾐﾃｯﾄﾞ2</t>
    <phoneticPr fontId="13"/>
  </si>
  <si>
    <t>LA150S-2127640</t>
    <phoneticPr fontId="13"/>
  </si>
  <si>
    <t>ANH20-8290709</t>
    <phoneticPr fontId="13"/>
  </si>
  <si>
    <t>ｷｬｽﾄ ｱｸﾃｨﾊﾞ G</t>
    <phoneticPr fontId="13"/>
  </si>
  <si>
    <t xml:space="preserve"> LA250S-0093802</t>
    <phoneticPr fontId="13"/>
  </si>
  <si>
    <t>ｴﾌﾞﾘｲﾜｺﾞﾝ JPﾀｰﾎﾞ ﾊｲﾙｰﾌ</t>
    <phoneticPr fontId="13"/>
  </si>
  <si>
    <t>DA17W-326153</t>
    <phoneticPr fontId="13"/>
  </si>
  <si>
    <t>広島 582 せ 6433</t>
    <rPh sb="0" eb="2">
      <t>ヒロシマ</t>
    </rPh>
    <phoneticPr fontId="13"/>
  </si>
  <si>
    <t>ｽﾍﾟｰｽｶｽﾀﾑ ﾊｲﾌﾞﾘｯﾄﾞXSﾀｰﾎﾞ</t>
    <phoneticPr fontId="13"/>
  </si>
  <si>
    <t>MK53S-862849</t>
    <phoneticPr fontId="13"/>
  </si>
  <si>
    <t>広島 581 は 3378</t>
    <rPh sb="0" eb="2">
      <t>ヒロシマ</t>
    </rPh>
    <phoneticPr fontId="13"/>
  </si>
  <si>
    <t>保証書 取説 ﾅﾋﾞ取 ﾅﾋﾞSD</t>
    <rPh sb="0" eb="3">
      <t>ホショウショ</t>
    </rPh>
    <rPh sb="4" eb="6">
      <t>トリセツ</t>
    </rPh>
    <rPh sb="10" eb="11">
      <t>トリ</t>
    </rPh>
    <phoneticPr fontId="13"/>
  </si>
  <si>
    <t>MR92S-233853</t>
    <phoneticPr fontId="13"/>
  </si>
  <si>
    <t>広島 582 こ 4929</t>
    <rPh sb="0" eb="2">
      <t>ヒロシマ</t>
    </rPh>
    <phoneticPr fontId="13"/>
  </si>
  <si>
    <t>VW ｱﾙﾃｵﾝ 4WD</t>
    <phoneticPr fontId="13"/>
  </si>
  <si>
    <t>WVWZZZ3HZJE519758</t>
    <phoneticPr fontId="13"/>
  </si>
  <si>
    <t>ﾎﾞﾙﾎﾞ V40 T3 ｲﾝｽｸﾘﾌﾟｼｮﾝ</t>
    <phoneticPr fontId="13"/>
  </si>
  <si>
    <t>YV1MV2920K2609225</t>
    <phoneticPr fontId="13"/>
  </si>
  <si>
    <t>株式会社ｼｭﾃﾙﾝ近鉄</t>
    <rPh sb="0" eb="4">
      <t>カブシキガイシャ</t>
    </rPh>
    <rPh sb="9" eb="11">
      <t>キンテツ</t>
    </rPh>
    <phoneticPr fontId="13"/>
  </si>
  <si>
    <t>12/23</t>
    <phoneticPr fontId="13"/>
  </si>
  <si>
    <t>ｷｰﾚｽ 取説</t>
    <rPh sb="5" eb="7">
      <t>トリセツ</t>
    </rPh>
    <phoneticPr fontId="13"/>
  </si>
  <si>
    <t>ﾈｯﾂﾄﾖﾀ瀬戸内株式会社</t>
    <rPh sb="6" eb="9">
      <t>セトウチ</t>
    </rPh>
    <rPh sb="9" eb="13">
      <t>カブシキガイシャ</t>
    </rPh>
    <phoneticPr fontId="13"/>
  </si>
  <si>
    <t>神戸 336 そ 2228</t>
    <rPh sb="0" eb="2">
      <t>コウベ</t>
    </rPh>
    <phoneticPr fontId="13"/>
  </si>
  <si>
    <t>神戸 39A そ 6232</t>
    <rPh sb="0" eb="2">
      <t>コウベ</t>
    </rPh>
    <phoneticPr fontId="13"/>
  </si>
  <si>
    <t>神戸 378 つ 1223</t>
    <rPh sb="0" eb="2">
      <t>コウベ</t>
    </rPh>
    <phoneticPr fontId="13"/>
  </si>
  <si>
    <t>神戸 39A そ 6056</t>
    <rPh sb="0" eb="2">
      <t>コウベ</t>
    </rPh>
    <phoneticPr fontId="13"/>
  </si>
  <si>
    <t>岡山 332 ふ 8128</t>
    <rPh sb="0" eb="2">
      <t>オカヤマ</t>
    </rPh>
    <phoneticPr fontId="13"/>
  </si>
  <si>
    <t>愛媛 399 そ 769</t>
    <rPh sb="0" eb="2">
      <t>エヒメ</t>
    </rPh>
    <phoneticPr fontId="13"/>
  </si>
  <si>
    <t>株式会社ﾛｲﾔﾙｶｰｻｰﾋﾞｽ</t>
    <rPh sb="0" eb="4">
      <t>カブシキガイシャ</t>
    </rPh>
    <phoneticPr fontId="13"/>
  </si>
  <si>
    <t>和泉 337 た 5</t>
    <rPh sb="0" eb="2">
      <t>イズミ</t>
    </rPh>
    <phoneticPr fontId="13"/>
  </si>
  <si>
    <t>滋賀 331 に 535</t>
    <rPh sb="0" eb="2">
      <t>シガ</t>
    </rPh>
    <phoneticPr fontId="13"/>
  </si>
  <si>
    <t>島根 581 う 8127</t>
    <rPh sb="0" eb="2">
      <t>シマネ</t>
    </rPh>
    <phoneticPr fontId="13"/>
  </si>
  <si>
    <t>岡山 337 さ 728</t>
    <rPh sb="0" eb="2">
      <t>オカヤマ</t>
    </rPh>
    <phoneticPr fontId="13"/>
  </si>
  <si>
    <t>保証書 取説 ﾅﾋﾞ取 ｷｰﾚｽ B-CAS ﾜﾝｵｰﾅｰ？</t>
    <rPh sb="0" eb="3">
      <t>ホショウショ</t>
    </rPh>
    <rPh sb="4" eb="6">
      <t>トリセツ</t>
    </rPh>
    <rPh sb="10" eb="11">
      <t>トリ</t>
    </rPh>
    <phoneticPr fontId="13"/>
  </si>
  <si>
    <t>京都 583 え 4524</t>
    <rPh sb="0" eb="2">
      <t>キョウト</t>
    </rPh>
    <phoneticPr fontId="13"/>
  </si>
  <si>
    <t>香川 581 い 5009</t>
    <rPh sb="0" eb="2">
      <t>カガワ</t>
    </rPh>
    <phoneticPr fontId="13"/>
  </si>
  <si>
    <t>愛媛 584 は 200</t>
    <rPh sb="0" eb="2">
      <t>エヒメ</t>
    </rPh>
    <phoneticPr fontId="13"/>
  </si>
  <si>
    <t>株式会社ｽｽﾞｷ自販愛媛</t>
    <rPh sb="0" eb="4">
      <t>カブシキガイシャ</t>
    </rPh>
    <rPh sb="9" eb="11">
      <t>エヒメ</t>
    </rPh>
    <phoneticPr fontId="13"/>
  </si>
  <si>
    <t>愛媛 300 ら 6429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</si>
  <si>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</si>
  <si>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株式会社HIROﾓｰﾀｰｽ</t>
    <rPh sb="0" eb="4">
      <t>カブシキガイシャ</t>
    </rPh>
    <phoneticPr fontId="13"/>
  </si>
  <si>
    <t>なにわ 5P8 ろ 2079</t>
    <phoneticPr fontId="13"/>
  </si>
  <si>
    <t>取説 ｷｰﾚｽ ﾏｲｸﾛ地図SD(車内)保証書</t>
    <rPh sb="0" eb="2">
      <t>トリセツ</t>
    </rPh>
    <rPh sb="12" eb="14">
      <t>チズ</t>
    </rPh>
    <rPh sb="20" eb="23">
      <t>ホショウショ</t>
    </rPh>
    <phoneticPr fontId="13"/>
  </si>
  <si>
    <t>江東 580 ろ 1028</t>
    <rPh sb="0" eb="2">
      <t>エトウ</t>
    </rPh>
    <phoneticPr fontId="13"/>
  </si>
  <si>
    <t>なにわ 338 り 613</t>
    <phoneticPr fontId="13"/>
  </si>
  <si>
    <t>なにわ 39A め 4200</t>
    <phoneticPr fontId="13"/>
  </si>
  <si>
    <t>なにわ 5P8 ろ 4285</t>
    <phoneticPr fontId="13"/>
  </si>
  <si>
    <t>飛鳥 599 さ 6655</t>
    <rPh sb="0" eb="2">
      <t>アスカ</t>
    </rPh>
    <phoneticPr fontId="13"/>
  </si>
  <si>
    <t>地図SD(車内)保証書 ﾅﾋﾞ取</t>
    <rPh sb="8" eb="11">
      <t>ホショウショ</t>
    </rPh>
    <rPh sb="15" eb="16">
      <t>トリ</t>
    </rPh>
    <phoneticPr fontId="13"/>
  </si>
  <si>
    <t>山口 399 ち 1783</t>
    <rPh sb="0" eb="2">
      <t>ヤマグチ</t>
    </rPh>
    <phoneticPr fontId="13"/>
  </si>
  <si>
    <t>ｷｬﾝｾﾙ返送12/25</t>
    <rPh sb="5" eb="7">
      <t>ヘンソウ</t>
    </rPh>
    <phoneticPr fontId="13"/>
  </si>
  <si>
    <t>27-2335</t>
  </si>
  <si>
    <t>27-2336</t>
  </si>
  <si>
    <t>27-2337</t>
  </si>
  <si>
    <t>27-2338</t>
  </si>
  <si>
    <t>27-2339</t>
  </si>
  <si>
    <t>27-2340</t>
  </si>
  <si>
    <t>27-2341</t>
  </si>
  <si>
    <t>27-2342</t>
  </si>
  <si>
    <t>27-2343</t>
  </si>
  <si>
    <t>27-2344</t>
  </si>
  <si>
    <t>27-2345</t>
  </si>
  <si>
    <t>27-2346</t>
  </si>
  <si>
    <t>27-2347</t>
  </si>
  <si>
    <t>27-2348</t>
  </si>
  <si>
    <t>27-2349</t>
  </si>
  <si>
    <t>27-2350</t>
  </si>
  <si>
    <t>27-2351</t>
  </si>
  <si>
    <t>27-2352</t>
  </si>
  <si>
    <t>27-2353</t>
  </si>
  <si>
    <t>27-2354</t>
  </si>
  <si>
    <t>27-2355</t>
  </si>
  <si>
    <t>27-2356</t>
  </si>
  <si>
    <t>MH95S-148628</t>
    <phoneticPr fontId="13"/>
  </si>
  <si>
    <t>LA350S-0238750</t>
    <phoneticPr fontId="13"/>
  </si>
  <si>
    <t>B48W-0002736</t>
    <phoneticPr fontId="13"/>
  </si>
  <si>
    <t>なにわ 333 ふ 5578</t>
    <phoneticPr fontId="13"/>
  </si>
  <si>
    <t>WMWXR520602P14263</t>
    <phoneticPr fontId="13"/>
  </si>
  <si>
    <t>WBA8X32030G443695</t>
    <phoneticPr fontId="13"/>
  </si>
  <si>
    <t>LA600S-0733095</t>
    <phoneticPr fontId="13"/>
  </si>
  <si>
    <t>DK5FW-125607</t>
    <phoneticPr fontId="13"/>
  </si>
  <si>
    <t>ﾌﾟﾘｳｽ Aﾂｰﾘﾝｸﾞ</t>
    <phoneticPr fontId="13"/>
  </si>
  <si>
    <t>ZVW51-6061222</t>
    <phoneticPr fontId="13"/>
  </si>
  <si>
    <t>ｶﾛｰﾗﾌｨｰﾙﾀﾞｰHV</t>
    <phoneticPr fontId="13"/>
  </si>
  <si>
    <t>NKE165-8051655</t>
    <phoneticPr fontId="13"/>
  </si>
  <si>
    <t>WMW72BB0X02R67590</t>
    <phoneticPr fontId="13"/>
  </si>
  <si>
    <t>27-2357</t>
  </si>
  <si>
    <t>ｽﾍﾟｱｷｰ SD</t>
    <phoneticPr fontId="13"/>
  </si>
  <si>
    <t>取説 ｽﾍﾟｱｷｰ SD</t>
    <rPh sb="0" eb="2">
      <t>トリセツ</t>
    </rPh>
    <phoneticPr fontId="13"/>
  </si>
  <si>
    <t>8/12/27</t>
    <phoneticPr fontId="13"/>
  </si>
  <si>
    <t>ﾜｺﾞﾝR  ﾊｲﾌﾞﾘｯﾄﾞFX</t>
    <phoneticPr fontId="13"/>
  </si>
  <si>
    <t>ﾃﾞｲｽﾞ 4WD ﾊｲｳｪｲｽﾀｰG</t>
    <phoneticPr fontId="13"/>
  </si>
  <si>
    <t>ﾎﾞﾙﾎﾞ V40  T2</t>
    <phoneticPr fontId="13"/>
  </si>
  <si>
    <t>BMW 3ｼﾘｰｽﾞ320iｸﾞﾗﾝﾂｰﾘｽﾓ</t>
    <phoneticPr fontId="13"/>
  </si>
  <si>
    <t>仕入れ日/仕入れ先</t>
    <phoneticPr fontId="13"/>
  </si>
  <si>
    <t>ﾊｲｾﾞｯﾄﾄﾗｯｸ ﾊｲﾙｰﾌ4WD</t>
    <phoneticPr fontId="13"/>
  </si>
  <si>
    <t>S510P-0485161</t>
    <phoneticPr fontId="13"/>
  </si>
  <si>
    <t>三重 480 わ 2561</t>
    <rPh sb="0" eb="2">
      <t>ミエ</t>
    </rPh>
    <phoneticPr fontId="13"/>
  </si>
  <si>
    <t>ﾌﾟﾘｳｽｱﾙﾌｧ S ﾁｭｰﾝ</t>
    <phoneticPr fontId="13"/>
  </si>
  <si>
    <t>ZVW40-0022830</t>
    <phoneticPr fontId="13"/>
  </si>
  <si>
    <t>AGH30-0288465</t>
    <phoneticPr fontId="13"/>
  </si>
  <si>
    <t>ﾉｱ Siﾀﾞﾌﾞﾙﾊﾞｲﾋﾞｰ</t>
    <phoneticPr fontId="13"/>
  </si>
  <si>
    <t>ZRR80-0388666</t>
    <phoneticPr fontId="13"/>
  </si>
  <si>
    <t>滋賀 350 ぬ 122</t>
    <rPh sb="0" eb="2">
      <t>シガ</t>
    </rPh>
    <phoneticPr fontId="13"/>
  </si>
  <si>
    <t>DA17-177902</t>
    <phoneticPr fontId="13"/>
  </si>
  <si>
    <t>大阪 480 ぬ 6706</t>
    <rPh sb="0" eb="2">
      <t>オオサカ</t>
    </rPh>
    <phoneticPr fontId="13"/>
  </si>
  <si>
    <t>MK53S-515859</t>
    <phoneticPr fontId="13"/>
  </si>
  <si>
    <t>奈良 581 て 6882</t>
    <rPh sb="0" eb="2">
      <t>ナラ</t>
    </rPh>
    <phoneticPr fontId="13"/>
  </si>
  <si>
    <t xml:space="preserve">取説 ｽﾍﾟｱｷｰ </t>
    <rPh sb="0" eb="2">
      <t>トリセツ</t>
    </rPh>
    <phoneticPr fontId="13"/>
  </si>
  <si>
    <t>HE33S-226114</t>
    <phoneticPr fontId="13"/>
  </si>
  <si>
    <t>奈良 587 ほ 1203</t>
    <rPh sb="0" eb="2">
      <t>ナラ</t>
    </rPh>
    <phoneticPr fontId="13"/>
  </si>
  <si>
    <t>品川 5X2 ろ 7706</t>
    <rPh sb="0" eb="2">
      <t>シナガワ</t>
    </rPh>
    <phoneticPr fontId="13"/>
  </si>
  <si>
    <t>12/25</t>
    <phoneticPr fontId="13"/>
  </si>
  <si>
    <t>日産 ｸﾘｯﾊﾟｰ</t>
    <rPh sb="0" eb="2">
      <t>ニッサン</t>
    </rPh>
    <phoneticPr fontId="13"/>
  </si>
  <si>
    <t>DR17V-627386</t>
    <phoneticPr fontId="13"/>
  </si>
  <si>
    <t>LA900S-0114028</t>
    <phoneticPr fontId="13"/>
  </si>
  <si>
    <t>保証書 ﾅﾋﾞ取 ｽﾍﾟｱｷｰ</t>
    <rPh sb="0" eb="3">
      <t>ホショウショ</t>
    </rPh>
    <rPh sb="7" eb="8">
      <t>トリ</t>
    </rPh>
    <phoneticPr fontId="13"/>
  </si>
  <si>
    <t>LA550S-0056971</t>
    <phoneticPr fontId="13"/>
  </si>
  <si>
    <t xml:space="preserve">ﾀﾝﾄ ｶｽﾀﾑ RS </t>
    <phoneticPr fontId="13"/>
  </si>
  <si>
    <t>LA600S-0726006</t>
    <phoneticPr fontId="13"/>
  </si>
  <si>
    <t>岐阜 5YF と 358</t>
    <rPh sb="0" eb="2">
      <t>ギフ</t>
    </rPh>
    <phoneticPr fontId="13"/>
  </si>
  <si>
    <t>LA650S-0265877</t>
    <phoneticPr fontId="13"/>
  </si>
  <si>
    <t>尾張小牧 581 ふ 5788</t>
    <rPh sb="0" eb="4">
      <t>オワリコマキ</t>
    </rPh>
    <phoneticPr fontId="13"/>
  </si>
  <si>
    <t xml:space="preserve">ｽﾏｰﾄｷｰ車内確認 保証書 </t>
    <rPh sb="6" eb="8">
      <t>シャナイ</t>
    </rPh>
    <rPh sb="8" eb="10">
      <t>カクニン</t>
    </rPh>
    <rPh sb="11" eb="14">
      <t>ホショウショ</t>
    </rPh>
    <phoneticPr fontId="13"/>
  </si>
  <si>
    <t>ﾊｽﾗｰ HV</t>
    <phoneticPr fontId="13"/>
  </si>
  <si>
    <t>MR92S-188369</t>
    <phoneticPr fontId="13"/>
  </si>
  <si>
    <t>JF3-5076752</t>
    <phoneticPr fontId="13"/>
  </si>
  <si>
    <t>徳島 530 ね 1867</t>
    <rPh sb="0" eb="2">
      <t>トクシマ</t>
    </rPh>
    <phoneticPr fontId="13"/>
  </si>
  <si>
    <t>株式会社ﾎﾝﾀﾞｶｰｽﾞ徳島</t>
    <rPh sb="0" eb="4">
      <t>カブシキガイシャ</t>
    </rPh>
    <rPh sb="12" eb="14">
      <t>トクシマ</t>
    </rPh>
    <phoneticPr fontId="13"/>
  </si>
  <si>
    <t>横浜 581 ひ 3428</t>
    <rPh sb="0" eb="2">
      <t>ヨコハマ</t>
    </rPh>
    <phoneticPr fontId="13"/>
  </si>
  <si>
    <t>永松 奈実</t>
    <rPh sb="0" eb="2">
      <t>ナガマツ</t>
    </rPh>
    <rPh sb="3" eb="4">
      <t>ナ</t>
    </rPh>
    <rPh sb="4" eb="5">
      <t>ミノル</t>
    </rPh>
    <phoneticPr fontId="13"/>
  </si>
  <si>
    <t>ﾌﾟﾘｳｽ Sﾂｰﾘﾝｸﾞｾﾚｸｼｮﾝ</t>
    <phoneticPr fontId="13"/>
  </si>
  <si>
    <t>ZVW30-5454655</t>
    <phoneticPr fontId="13"/>
  </si>
  <si>
    <t>9/5/24</t>
    <phoneticPr fontId="13"/>
  </si>
  <si>
    <t>姫路 313 り 8008</t>
    <rPh sb="0" eb="2">
      <t>ヒメジ</t>
    </rPh>
    <phoneticPr fontId="13"/>
  </si>
  <si>
    <t>ｱﾙﾌｧｰﾄﾞﾊｲﾌﾞﾘｯﾄﾞ SR</t>
    <phoneticPr fontId="13"/>
  </si>
  <si>
    <t>ATH20-8017866</t>
    <phoneticPr fontId="13"/>
  </si>
  <si>
    <t>ﾑｰﾌﾞｷｬﾝﾊﾞｽ ｾｵﾘｰG</t>
    <phoneticPr fontId="13"/>
  </si>
  <si>
    <t>LA850S-0041844</t>
    <phoneticPr fontId="13"/>
  </si>
  <si>
    <t>姫路 582 い 7180</t>
    <rPh sb="0" eb="2">
      <t>ヒメジ</t>
    </rPh>
    <phoneticPr fontId="13"/>
  </si>
  <si>
    <t>ｴｸｽﾄﾚｲﾙ X e40RCEｴｸｽﾘｰﾏｰX</t>
    <phoneticPr fontId="13"/>
  </si>
  <si>
    <t>SNT33-023131</t>
    <phoneticPr fontId="13"/>
  </si>
  <si>
    <t>ｷｰﾚｽ ﾘﾓｺﾝ (車内)</t>
    <rPh sb="11" eb="13">
      <t>シャナイ</t>
    </rPh>
    <phoneticPr fontId="13"/>
  </si>
  <si>
    <t>保証書 取説 ｷｰﾚｽ(車内)SD</t>
    <rPh sb="0" eb="3">
      <t>ホショウショ</t>
    </rPh>
    <rPh sb="4" eb="6">
      <t>トリセツ</t>
    </rPh>
    <phoneticPr fontId="13"/>
  </si>
  <si>
    <t>保証書 取説 ﾅﾋﾞ取(車内)</t>
    <rPh sb="0" eb="3">
      <t>ホショウショ</t>
    </rPh>
    <rPh sb="4" eb="6">
      <t>トリセツ</t>
    </rPh>
    <rPh sb="10" eb="11">
      <t>トリ</t>
    </rPh>
    <phoneticPr fontId="13"/>
  </si>
  <si>
    <t>27-2358</t>
  </si>
  <si>
    <t>27-2359</t>
  </si>
  <si>
    <t>27-2360</t>
  </si>
  <si>
    <t>27-2361</t>
  </si>
  <si>
    <t>群馬 302 な 4024</t>
    <rPh sb="0" eb="2">
      <t>グンマ</t>
    </rPh>
    <phoneticPr fontId="13"/>
  </si>
  <si>
    <t>群馬ﾄﾖﾀ自動車株式会社</t>
    <rPh sb="0" eb="2">
      <t>グンマ</t>
    </rPh>
    <rPh sb="5" eb="12">
      <t>ジドウシャカブシキガイシャ</t>
    </rPh>
    <phoneticPr fontId="13"/>
  </si>
  <si>
    <t>保証書 取説 ﾅﾋﾞ取 ｽﾍﾟｱｷｰ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</si>
  <si>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習志野 502 せ 8970</t>
    <rPh sb="0" eb="3">
      <t>ナラシノ</t>
    </rPh>
    <phoneticPr fontId="13"/>
  </si>
  <si>
    <t>齊藤 政夫</t>
    <rPh sb="0" eb="2">
      <t>サイトウ</t>
    </rPh>
    <rPh sb="3" eb="5">
      <t>マサオ</t>
    </rPh>
    <phoneticPr fontId="13"/>
  </si>
  <si>
    <t>地図SD(車内)ﾅﾋﾞ取 ｽﾍﾟｱｷｰ</t>
    <rPh sb="0" eb="2">
      <t>チズ</t>
    </rPh>
    <rPh sb="5" eb="7">
      <t>シャナイ</t>
    </rPh>
    <rPh sb="11" eb="12">
      <t>トリ</t>
    </rPh>
    <phoneticPr fontId="13"/>
  </si>
  <si>
    <t>品川 5X1 ろ 4167</t>
    <rPh sb="0" eb="2">
      <t>シナガワ</t>
    </rPh>
    <phoneticPr fontId="13"/>
  </si>
  <si>
    <t>27-2362</t>
  </si>
  <si>
    <t>27-2363</t>
  </si>
  <si>
    <t>ﾒﾙｾﾃﾞｽﾍﾞﾝﾂ GLA250</t>
    <phoneticPr fontId="13"/>
  </si>
  <si>
    <t>W1N2476132W129560</t>
    <phoneticPr fontId="13"/>
  </si>
  <si>
    <t>地図SD(車内)保証書</t>
    <rPh sb="0" eb="2">
      <t>チズ</t>
    </rPh>
    <rPh sb="8" eb="11">
      <t>ホショウショ</t>
    </rPh>
    <phoneticPr fontId="13"/>
  </si>
  <si>
    <t>神戸 304 や 1067</t>
    <rPh sb="0" eb="2">
      <t>コウベ</t>
    </rPh>
    <phoneticPr fontId="13"/>
  </si>
  <si>
    <t>神戸 349 む 228</t>
    <rPh sb="0" eb="2">
      <t>コウベ</t>
    </rPh>
    <phoneticPr fontId="13"/>
  </si>
  <si>
    <t>ﾓﾄｰﾚﾝ福井株式会社</t>
    <rPh sb="5" eb="7">
      <t>フクイ</t>
    </rPh>
    <rPh sb="7" eb="11">
      <t>カブシキガイシャ</t>
    </rPh>
    <phoneticPr fontId="13"/>
  </si>
  <si>
    <t>川本 真嗣</t>
    <rPh sb="0" eb="2">
      <t>カワモト</t>
    </rPh>
    <rPh sb="3" eb="4">
      <t>マ</t>
    </rPh>
    <phoneticPr fontId="13"/>
  </si>
  <si>
    <t>27-2364</t>
  </si>
  <si>
    <t>27-2365</t>
  </si>
  <si>
    <t>27-2366</t>
  </si>
  <si>
    <t>NKE165-8019673</t>
    <phoneticPr fontId="13"/>
  </si>
  <si>
    <t>WMWXS520602H52034</t>
    <phoneticPr fontId="13"/>
  </si>
  <si>
    <t>WMWYT920703D52616</t>
    <phoneticPr fontId="13"/>
  </si>
  <si>
    <t>ｶﾛｰﾗﾌｨｰﾙﾀﾞｰHVG</t>
    <phoneticPr fontId="13"/>
  </si>
  <si>
    <t>株式会社ｲﾃﾞｯｸｽﾊﾞｲｴﾙﾝﾓｰﾀｰｽ</t>
    <rPh sb="0" eb="4">
      <t>カブシキガイシャ</t>
    </rPh>
    <phoneticPr fontId="13"/>
  </si>
  <si>
    <t>27-2367</t>
  </si>
  <si>
    <t>27-2368</t>
  </si>
  <si>
    <t>27-2369</t>
  </si>
  <si>
    <t>27-2370</t>
  </si>
  <si>
    <t>27-2371</t>
  </si>
  <si>
    <t>27-2372</t>
  </si>
  <si>
    <t>27-2373</t>
  </si>
  <si>
    <t>27-2374</t>
  </si>
  <si>
    <t>27-2375</t>
  </si>
  <si>
    <t>27-2376</t>
  </si>
  <si>
    <t>27-2377</t>
  </si>
  <si>
    <t>27-2378</t>
  </si>
  <si>
    <t>27-2379</t>
  </si>
  <si>
    <t>27-2380</t>
  </si>
  <si>
    <t>27-2381</t>
  </si>
  <si>
    <t>JF3-1460405</t>
    <phoneticPr fontId="13"/>
  </si>
  <si>
    <t>N-BOXｶｽﾀﾑ G Lﾎﾝﾀﾞｾﾝｼﾝｸﾞ</t>
    <phoneticPr fontId="13"/>
  </si>
  <si>
    <t>品川 39A む 1443</t>
    <rPh sb="0" eb="2">
      <t>シナガワ</t>
    </rPh>
    <phoneticPr fontId="13"/>
  </si>
  <si>
    <t>森 賢一</t>
    <rPh sb="0" eb="1">
      <t>モリ</t>
    </rPh>
    <rPh sb="2" eb="4">
      <t>ケンイチ</t>
    </rPh>
    <phoneticPr fontId="13"/>
  </si>
  <si>
    <t>広島 399 に 1719</t>
    <rPh sb="0" eb="2">
      <t>ヒロシマ</t>
    </rPh>
    <phoneticPr fontId="13"/>
  </si>
  <si>
    <t>なにわ 39A め 6004</t>
    <phoneticPr fontId="13"/>
  </si>
  <si>
    <t>広島 580 く 2317</t>
    <rPh sb="0" eb="2">
      <t>ヒロシマ</t>
    </rPh>
    <phoneticPr fontId="13"/>
  </si>
  <si>
    <t>石坂 豪康</t>
    <rPh sb="0" eb="2">
      <t>イシザカ</t>
    </rPh>
    <rPh sb="3" eb="4">
      <t>ゴウ</t>
    </rPh>
    <rPh sb="4" eb="5">
      <t>ヤス</t>
    </rPh>
    <phoneticPr fontId="13"/>
  </si>
  <si>
    <t>広島 584 け 345</t>
    <rPh sb="0" eb="2">
      <t>ヒロシマ</t>
    </rPh>
    <phoneticPr fontId="13"/>
  </si>
  <si>
    <t>小池 謙造</t>
    <rPh sb="0" eb="2">
      <t>コイケ</t>
    </rPh>
    <rPh sb="3" eb="4">
      <t>ケン</t>
    </rPh>
    <rPh sb="4" eb="5">
      <t>ゾウ</t>
    </rPh>
    <phoneticPr fontId="13"/>
  </si>
  <si>
    <t>品川 5X2 ろ 6981</t>
    <rPh sb="0" eb="2">
      <t>シナガワ</t>
    </rPh>
    <phoneticPr fontId="13"/>
  </si>
  <si>
    <t>Ｓｷｰ</t>
    <phoneticPr fontId="13"/>
  </si>
  <si>
    <t>品川 5X2 ろ 6988</t>
    <rPh sb="0" eb="2">
      <t>シナガワ</t>
    </rPh>
    <phoneticPr fontId="13"/>
  </si>
  <si>
    <t>品川 5X1 ろ 687</t>
    <rPh sb="0" eb="2">
      <t>シナガワ</t>
    </rPh>
    <phoneticPr fontId="13"/>
  </si>
  <si>
    <t>岐阜 582 い 7345</t>
    <rPh sb="0" eb="2">
      <t>ギフ</t>
    </rPh>
    <phoneticPr fontId="13"/>
  </si>
  <si>
    <t>和泉 581 に 3251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</si>
  <si>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phoneticPr fontId="13"/>
  </si>
  <si>
    <t>地図SD(車内)ｷｰﾚｽ</t>
    <rPh sb="0" eb="2">
      <t>チズ</t>
    </rPh>
    <phoneticPr fontId="13"/>
  </si>
  <si>
    <t>南信州 580 ろ 158</t>
    <rPh sb="0" eb="1">
      <t>ミナミ</t>
    </rPh>
    <rPh sb="1" eb="3">
      <t>シンシュウ</t>
    </rPh>
    <phoneticPr fontId="13"/>
  </si>
  <si>
    <t>株式会社原ﾎﾝﾀﾞ</t>
    <rPh sb="0" eb="4">
      <t>カブシキガイシャ</t>
    </rPh>
    <rPh sb="4" eb="5">
      <t>ハラ</t>
    </rPh>
    <phoneticPr fontId="13"/>
  </si>
  <si>
    <t xml:space="preserve">保証書 取説 Ｓｷｰ </t>
    <rPh sb="0" eb="3">
      <t>ホショウショ</t>
    </rPh>
    <rPh sb="4" eb="6">
      <t>トリセツ</t>
    </rPh>
    <phoneticPr fontId="13"/>
  </si>
  <si>
    <t>兵庫三菱自動車販売株式会社</t>
    <rPh sb="0" eb="2">
      <t>ヒョウゴ</t>
    </rPh>
    <rPh sb="2" eb="4">
      <t>ミツビシ</t>
    </rPh>
    <rPh sb="4" eb="13">
      <t>ジドウシャハンバイカブシキガイシャ</t>
    </rPh>
    <phoneticPr fontId="13"/>
  </si>
  <si>
    <t>三重 584 ろ 9166</t>
    <rPh sb="0" eb="2">
      <t>ミエ</t>
    </rPh>
    <phoneticPr fontId="13"/>
  </si>
  <si>
    <t>堀内自動車工業株式会社</t>
    <rPh sb="0" eb="2">
      <t>ホリウチ</t>
    </rPh>
    <rPh sb="2" eb="5">
      <t>ジドウシャ</t>
    </rPh>
    <rPh sb="5" eb="7">
      <t>コウギョウ</t>
    </rPh>
    <rPh sb="7" eb="11">
      <t>カブシキガイシャ</t>
    </rPh>
    <phoneticPr fontId="13"/>
  </si>
  <si>
    <t>岡山 584 ろ 2777</t>
    <rPh sb="0" eb="2">
      <t>オカヤマ</t>
    </rPh>
    <phoneticPr fontId="13"/>
  </si>
  <si>
    <t>保証書 取説 SD抜いてます</t>
    <rPh sb="0" eb="3">
      <t>ホショウショ</t>
    </rPh>
    <rPh sb="4" eb="6">
      <t>トリセツ</t>
    </rPh>
    <rPh sb="9" eb="10">
      <t>ヌ</t>
    </rPh>
    <phoneticPr fontId="13"/>
  </si>
  <si>
    <t>浜松 585 る 318</t>
    <rPh sb="0" eb="2">
      <t>ハママツ</t>
    </rPh>
    <phoneticPr fontId="13"/>
  </si>
  <si>
    <t>香川 785 る 3</t>
    <rPh sb="0" eb="2">
      <t>カガワ</t>
    </rPh>
    <phoneticPr fontId="13"/>
  </si>
  <si>
    <t>豊田 和生</t>
    <rPh sb="0" eb="2">
      <t>トヨタ</t>
    </rPh>
    <rPh sb="3" eb="4">
      <t>カズ</t>
    </rPh>
    <rPh sb="4" eb="5">
      <t>ナマ</t>
    </rPh>
    <phoneticPr fontId="13"/>
  </si>
  <si>
    <t xml:space="preserve">地図SD(車内)保証書 取説 Sｷｰ </t>
    <rPh sb="8" eb="11">
      <t>ホショウショ</t>
    </rPh>
    <rPh sb="12" eb="14">
      <t>トリセツ</t>
    </rPh>
    <phoneticPr fontId="13"/>
  </si>
  <si>
    <t>長野 582 ろ 7026</t>
    <rPh sb="0" eb="2">
      <t>ナガノ</t>
    </rPh>
    <phoneticPr fontId="13"/>
  </si>
  <si>
    <t>株式会社申信ﾏﾂﾀﾞ</t>
    <rPh sb="0" eb="4">
      <t>カブシキガイシャ</t>
    </rPh>
    <rPh sb="4" eb="5">
      <t>シン</t>
    </rPh>
    <rPh sb="5" eb="6">
      <t>シン</t>
    </rPh>
    <phoneticPr fontId="13"/>
  </si>
  <si>
    <t>ﾏｲｸﾛ地図(車内)保証書 取説 ﾅﾋﾞ取 ｷｰﾚｽ ﾜﾝｵｰﾅｰ</t>
    <rPh sb="4" eb="6">
      <t>チズ</t>
    </rPh>
    <rPh sb="10" eb="13">
      <t>ホショウショ</t>
    </rPh>
    <rPh sb="14" eb="16">
      <t>トリセツ</t>
    </rPh>
    <rPh sb="20" eb="21">
      <t>トリ</t>
    </rPh>
    <phoneticPr fontId="13"/>
  </si>
  <si>
    <t>ﾘﾓｺﾝ(車内)保証書 取説 ｽﾛｰﾊﾟｰ取説 ﾏｲｸﾛSD ｷｰﾚｽ SD2個 ﾜﾝｵｰﾅｰ</t>
    <rPh sb="8" eb="11">
      <t>ホショウショ</t>
    </rPh>
    <rPh sb="12" eb="14">
      <t>トリセツ</t>
    </rPh>
    <rPh sb="21" eb="23">
      <t>トリセツ</t>
    </rPh>
    <rPh sb="39" eb="40">
      <t>コ</t>
    </rPh>
    <phoneticPr fontId="13"/>
  </si>
  <si>
    <t>YV1MV2820K2603407</t>
    <phoneticPr fontId="13"/>
  </si>
  <si>
    <t>582 い 8067</t>
    <phoneticPr fontId="13"/>
  </si>
  <si>
    <t>愛媛 537 せ 815</t>
    <rPh sb="0" eb="2">
      <t>エヒメ</t>
    </rPh>
    <phoneticPr fontId="13"/>
  </si>
  <si>
    <t xml:space="preserve">ｽﾍﾟｱｷｰ(車内)保証書 取説 </t>
    <rPh sb="10" eb="13">
      <t>ホショウショ</t>
    </rPh>
    <rPh sb="14" eb="16">
      <t>トリセツ</t>
    </rPh>
    <phoneticPr fontId="13"/>
  </si>
  <si>
    <t>練馬 330 ち 1846</t>
    <rPh sb="0" eb="2">
      <t>ネリマ</t>
    </rPh>
    <phoneticPr fontId="13"/>
  </si>
  <si>
    <t>株式会社ｵﾘｺｺｰﾎﾟﾚｰｼｮﾝ</t>
    <rPh sb="0" eb="4">
      <t>カブシキガイシャ</t>
    </rPh>
    <phoneticPr fontId="13"/>
  </si>
  <si>
    <t>保証書2個 取説(車内)ｷｰﾚｽ 印鑑証明切れ陸事で発行可能</t>
    <rPh sb="0" eb="3">
      <t>ホショウショ</t>
    </rPh>
    <rPh sb="4" eb="5">
      <t>コ</t>
    </rPh>
    <rPh sb="6" eb="8">
      <t>トリセツ</t>
    </rPh>
    <rPh sb="17" eb="21">
      <t>インカンショウメイ</t>
    </rPh>
    <rPh sb="21" eb="22">
      <t>キ</t>
    </rPh>
    <rPh sb="23" eb="25">
      <t>リクジ</t>
    </rPh>
    <rPh sb="26" eb="28">
      <t>ハッコウ</t>
    </rPh>
    <rPh sb="28" eb="30">
      <t>カノウ</t>
    </rPh>
    <phoneticPr fontId="13"/>
  </si>
  <si>
    <t>福岡 雄一朗</t>
    <rPh sb="0" eb="2">
      <t>フクオカ</t>
    </rPh>
    <rPh sb="3" eb="5">
      <t>ユウイチ</t>
    </rPh>
    <rPh sb="5" eb="6">
      <t>ロウ</t>
    </rPh>
    <phoneticPr fontId="13"/>
  </si>
  <si>
    <t>久留米 330 ち 7688</t>
    <rPh sb="0" eb="3">
      <t>クルメ</t>
    </rPh>
    <phoneticPr fontId="13"/>
  </si>
  <si>
    <t>姫路 358 む 9999</t>
    <rPh sb="0" eb="2">
      <t>ヒメジ</t>
    </rPh>
    <phoneticPr fontId="13"/>
  </si>
  <si>
    <t>福岡 587 ら 722</t>
    <rPh sb="0" eb="2">
      <t>フクオカ</t>
    </rPh>
    <phoneticPr fontId="13"/>
  </si>
  <si>
    <t>岩隈 理恵</t>
    <rPh sb="0" eb="2">
      <t>イワスミ</t>
    </rPh>
    <rPh sb="3" eb="5">
      <t>リエ</t>
    </rPh>
    <phoneticPr fontId="13"/>
  </si>
  <si>
    <t>黒部 香澄</t>
    <rPh sb="0" eb="2">
      <t>クロベ</t>
    </rPh>
    <rPh sb="3" eb="5">
      <t>カスミ</t>
    </rPh>
    <phoneticPr fontId="13"/>
  </si>
  <si>
    <t>27-2382</t>
  </si>
  <si>
    <t>27-2383</t>
  </si>
  <si>
    <t>27-2384</t>
  </si>
  <si>
    <t>27-2385</t>
  </si>
  <si>
    <t>27-2386</t>
  </si>
  <si>
    <t>27-2387</t>
  </si>
  <si>
    <t>27-2388</t>
  </si>
  <si>
    <t>27-2389</t>
  </si>
  <si>
    <t>27-2390</t>
  </si>
  <si>
    <t>27-2391</t>
  </si>
  <si>
    <t>27-2392</t>
  </si>
  <si>
    <t>27-2393</t>
  </si>
  <si>
    <t>27-2394</t>
  </si>
  <si>
    <t>27-2395</t>
  </si>
  <si>
    <t>27-2396</t>
  </si>
  <si>
    <t>27-2397</t>
  </si>
  <si>
    <t>LA100S-1110203</t>
    <phoneticPr fontId="13"/>
  </si>
  <si>
    <t>DA64W-409702</t>
    <phoneticPr fontId="13"/>
  </si>
  <si>
    <t>DA64W-383855</t>
    <phoneticPr fontId="13"/>
  </si>
  <si>
    <t>MK54S-133761</t>
    <phoneticPr fontId="13"/>
  </si>
  <si>
    <t>LA250S-0179000</t>
    <phoneticPr fontId="13"/>
  </si>
  <si>
    <t>DA17W-166363</t>
    <phoneticPr fontId="13"/>
  </si>
  <si>
    <t>MR41S-282800</t>
    <phoneticPr fontId="13"/>
  </si>
  <si>
    <t>MK53S-369483</t>
    <phoneticPr fontId="13"/>
  </si>
  <si>
    <t>豊田 332 す 3298</t>
    <rPh sb="0" eb="2">
      <t>トヨタ</t>
    </rPh>
    <phoneticPr fontId="13"/>
  </si>
  <si>
    <t>27-2398</t>
  </si>
  <si>
    <t>27-2399</t>
  </si>
  <si>
    <t>27-2400</t>
  </si>
  <si>
    <t>27-2401</t>
  </si>
  <si>
    <t>ｽｲﾌﾄｽﾎﾟｰﾂ</t>
    <phoneticPr fontId="13"/>
  </si>
  <si>
    <t>ZC33S-124566</t>
    <phoneticPr fontId="13"/>
  </si>
  <si>
    <t>ﾌﾚｱｶｽﾀﾑｽﾀｲﾙ XS</t>
    <phoneticPr fontId="13"/>
  </si>
  <si>
    <t>MJ34S-703457</t>
    <phoneticPr fontId="13"/>
  </si>
  <si>
    <t>MRﾜｺﾞﾝ ECO Xｾﾚｸｼｮﾝ</t>
    <phoneticPr fontId="13"/>
  </si>
  <si>
    <t>MF33S-615469</t>
    <phoneticPr fontId="13"/>
  </si>
  <si>
    <t>GSE31-5006438</t>
    <phoneticPr fontId="13"/>
  </si>
  <si>
    <t>GR4-1007314</t>
    <phoneticPr fontId="13"/>
  </si>
  <si>
    <t>B21A-0062665</t>
    <phoneticPr fontId="13"/>
  </si>
  <si>
    <t>ZSG10-1028557</t>
    <phoneticPr fontId="13"/>
  </si>
  <si>
    <t>MK53S-597319</t>
    <phoneticPr fontId="13"/>
  </si>
  <si>
    <t xml:space="preserve">C-HR G </t>
    <phoneticPr fontId="13"/>
  </si>
  <si>
    <t>ZYX10-2043954</t>
    <phoneticPr fontId="13"/>
  </si>
  <si>
    <t>JF1-1452574</t>
    <phoneticPr fontId="13"/>
  </si>
  <si>
    <t>L375S-0130197</t>
    <phoneticPr fontId="13"/>
  </si>
  <si>
    <t>27-2402</t>
  </si>
  <si>
    <t>27-2403</t>
  </si>
  <si>
    <t>27-2404</t>
  </si>
  <si>
    <t>27-2405</t>
  </si>
  <si>
    <t>27-2406</t>
  </si>
  <si>
    <t>LA700S-0125998</t>
    <phoneticPr fontId="13"/>
  </si>
  <si>
    <t>JF5-1148667</t>
    <phoneticPr fontId="13"/>
  </si>
  <si>
    <t>JF1-9201721</t>
    <phoneticPr fontId="13"/>
  </si>
  <si>
    <t>ZVW30-1925924</t>
    <phoneticPr fontId="13"/>
  </si>
  <si>
    <t>AGH30-0326977</t>
    <phoneticPr fontId="13"/>
  </si>
  <si>
    <t>ﾗﾝﾄﾞﾛｰﾊﾞｰ ﾚﾝｼﾞﾛｰﾊﾞｰ  R ﾀﾞｲﾅﾐｯｸ</t>
    <phoneticPr fontId="13"/>
  </si>
  <si>
    <t>SALYA2AX3MA311826</t>
    <phoneticPr fontId="13"/>
  </si>
  <si>
    <t>ﾑｰﾌﾞｶｽﾀﾑX ｽﾏｰﾄｾﾚｸｼｮﾝSA</t>
    <phoneticPr fontId="13"/>
  </si>
  <si>
    <t>豊田 580 ね 4586</t>
    <rPh sb="0" eb="2">
      <t>トヨタ</t>
    </rPh>
    <phoneticPr fontId="13"/>
  </si>
  <si>
    <t>ｴﾌﾞﾘｲﾜｺﾞﾝ JPﾀｰﾎﾞ ｽﾍﾟｼｬﾙ</t>
    <phoneticPr fontId="13"/>
  </si>
  <si>
    <t>四日市 580 か 9146</t>
    <rPh sb="0" eb="3">
      <t>ヨッカイチ</t>
    </rPh>
    <phoneticPr fontId="13"/>
  </si>
  <si>
    <t>三重 582 た 1493</t>
    <rPh sb="0" eb="2">
      <t>ミエ</t>
    </rPh>
    <phoneticPr fontId="13"/>
  </si>
  <si>
    <t>岐阜 58A あ 9255</t>
    <rPh sb="0" eb="2">
      <t>ギフ</t>
    </rPh>
    <phoneticPr fontId="13"/>
  </si>
  <si>
    <t>N-BOX ｽﾗｯｼｭ Xﾀｰﾎﾞﾊﾟｯｹｰｼﾞ</t>
    <phoneticPr fontId="13"/>
  </si>
  <si>
    <t>ﾌﾟﾘｳｽ S</t>
    <phoneticPr fontId="13"/>
  </si>
  <si>
    <t>ｱﾙﾌｧｰﾄﾞS Cﾊﾟｯｹｰｼﾞ</t>
    <phoneticPr fontId="13"/>
  </si>
  <si>
    <t>取説 2月末名変</t>
    <rPh sb="0" eb="2">
      <t>トリセツ</t>
    </rPh>
    <rPh sb="4" eb="8">
      <t>ガツマツメイヘン</t>
    </rPh>
    <phoneticPr fontId="13"/>
  </si>
  <si>
    <t>9/6/4</t>
    <phoneticPr fontId="13"/>
  </si>
  <si>
    <t>ﾚｸｻｽIS 350 F</t>
    <phoneticPr fontId="13"/>
  </si>
  <si>
    <t>ﾌｨｯﾄ HV</t>
    <phoneticPr fontId="13"/>
  </si>
  <si>
    <t>ﾃﾞｲｽﾞﾙｰ ﾊｲｳｪｲｽﾀｰ</t>
    <phoneticPr fontId="13"/>
  </si>
  <si>
    <t>9/9/25</t>
    <phoneticPr fontId="13"/>
  </si>
  <si>
    <t>保証書 取説 ｽﾏｰﾄｷｰ ｴﾝｼﾞﾝｽﾀｰﾀｰ ﾜﾝｵｰﾅｰ</t>
    <rPh sb="0" eb="3">
      <t>ホショウショ</t>
    </rPh>
    <rPh sb="4" eb="6">
      <t>トリセツ</t>
    </rPh>
    <phoneticPr fontId="13"/>
  </si>
  <si>
    <t>N-BOXｶｽﾀﾑ G L</t>
    <phoneticPr fontId="13"/>
  </si>
  <si>
    <t>9/5/21</t>
    <phoneticPr fontId="13"/>
  </si>
  <si>
    <t>21/1</t>
    <phoneticPr fontId="13"/>
  </si>
  <si>
    <t>ZVW50-8067083</t>
    <phoneticPr fontId="13"/>
  </si>
  <si>
    <t>神戸 337 は 2017</t>
    <rPh sb="0" eb="2">
      <t>コウベ</t>
    </rPh>
    <phoneticPr fontId="13"/>
  </si>
  <si>
    <t xml:space="preserve">ﾃﾞﾐｵ XD </t>
    <phoneticPr fontId="13"/>
  </si>
  <si>
    <t>DJ5FS-309692</t>
    <phoneticPr fontId="13"/>
  </si>
  <si>
    <t>神戸 555 ら 110</t>
    <rPh sb="0" eb="2">
      <t>コウベ</t>
    </rPh>
    <phoneticPr fontId="13"/>
  </si>
  <si>
    <t xml:space="preserve">ｳﾞｪﾙﾌｧｲｱ </t>
    <phoneticPr fontId="13"/>
  </si>
  <si>
    <t>ANH20-8263000</t>
    <phoneticPr fontId="13"/>
  </si>
  <si>
    <t>ﾌｨｱｯﾄ500 ﾂｲﾝｴｱ ｶﾙﾄ</t>
    <phoneticPr fontId="13"/>
  </si>
  <si>
    <t>ZFABF1B84NJF85824</t>
    <phoneticPr fontId="13"/>
  </si>
  <si>
    <t>徳島 544 ふ 1123</t>
    <rPh sb="0" eb="2">
      <t>トクシマ</t>
    </rPh>
    <phoneticPr fontId="13"/>
  </si>
  <si>
    <t>保証書 取説 ｽﾍﾟｱｷｰ ﾜﾝｵｰﾅｰ 名変期限2/27まで</t>
    <rPh sb="0" eb="3">
      <t>ホショウショ</t>
    </rPh>
    <rPh sb="4" eb="6">
      <t>トリセツ</t>
    </rPh>
    <rPh sb="21" eb="25">
      <t>メイヘンキゲン</t>
    </rPh>
    <phoneticPr fontId="13"/>
  </si>
  <si>
    <t>福岡 331 す 2024</t>
    <rPh sb="0" eb="2">
      <t>フクオカ</t>
    </rPh>
    <phoneticPr fontId="13"/>
  </si>
  <si>
    <t>12/27</t>
    <phoneticPr fontId="13"/>
  </si>
  <si>
    <t>北九州 399 て 7200</t>
    <rPh sb="0" eb="3">
      <t>キタキュウシュウ</t>
    </rPh>
    <phoneticPr fontId="13"/>
  </si>
  <si>
    <t>ﾀｽﾃｯｸ ﾚﾝﾀﾘｰｽ株式会社</t>
    <rPh sb="12" eb="16">
      <t>カブシキガイシャ</t>
    </rPh>
    <phoneticPr fontId="13"/>
  </si>
  <si>
    <t>姫路 332 そ 1964</t>
    <rPh sb="0" eb="2">
      <t>ヒメジ</t>
    </rPh>
    <phoneticPr fontId="13"/>
  </si>
  <si>
    <t>横浜 32C ぬ 7</t>
    <rPh sb="0" eb="2">
      <t>ヨコハマ</t>
    </rPh>
    <phoneticPr fontId="13"/>
  </si>
  <si>
    <t>株式会社ｻﾄｳｵｰﾄｻｰﾋﾞｽ</t>
    <rPh sb="0" eb="4">
      <t>カブシキガイシャ</t>
    </rPh>
    <phoneticPr fontId="13"/>
  </si>
  <si>
    <t>広島 399 に 1771</t>
    <rPh sb="0" eb="2">
      <t>ヒロシマ</t>
    </rPh>
    <phoneticPr fontId="13"/>
  </si>
  <si>
    <t>京都 583 ほ 7890</t>
    <rPh sb="0" eb="2">
      <t>キョウト</t>
    </rPh>
    <phoneticPr fontId="13"/>
  </si>
  <si>
    <t>京都ﾀﾞｲﾊﾂ販売株式会社</t>
    <rPh sb="0" eb="2">
      <t>キョウト</t>
    </rPh>
    <rPh sb="7" eb="13">
      <t>ハンバイカブシキガイシャ</t>
    </rPh>
    <phoneticPr fontId="13"/>
  </si>
  <si>
    <t>地図SD(車内)保証書 ﾚﾝﾀｶｰ</t>
    <rPh sb="0" eb="2">
      <t>チズ</t>
    </rPh>
    <rPh sb="8" eb="11">
      <t>ホショウショ</t>
    </rPh>
    <phoneticPr fontId="13"/>
  </si>
  <si>
    <t>広島 581 ゆ 5805</t>
    <rPh sb="0" eb="2">
      <t>ヒロシマ</t>
    </rPh>
    <phoneticPr fontId="13"/>
  </si>
  <si>
    <t>株式会社ﾍﾞｽﾄｶｰﾔﾏﾅｶ</t>
    <rPh sb="0" eb="4">
      <t>カブシキガイシャ</t>
    </rPh>
    <phoneticPr fontId="13"/>
  </si>
  <si>
    <t>菊間 かおり</t>
    <rPh sb="0" eb="2">
      <t>キクマ</t>
    </rPh>
    <phoneticPr fontId="13"/>
  </si>
  <si>
    <t>湖畔株式会社</t>
    <rPh sb="0" eb="2">
      <t>コハン</t>
    </rPh>
    <rPh sb="2" eb="6">
      <t>カブシキガイシャ</t>
    </rPh>
    <phoneticPr fontId="13"/>
  </si>
  <si>
    <t>一宮 500 ね 6628</t>
    <rPh sb="0" eb="2">
      <t>イチノミヤ</t>
    </rPh>
    <phoneticPr fontId="13"/>
  </si>
  <si>
    <t>株式会社ｻﾝﾓﾄｰﾚﾝ</t>
    <rPh sb="0" eb="4">
      <t>カブシキガイシャ</t>
    </rPh>
    <phoneticPr fontId="13"/>
  </si>
  <si>
    <t>奈良 581 さ 2571</t>
    <rPh sb="0" eb="2">
      <t>ナラ</t>
    </rPh>
    <phoneticPr fontId="13"/>
  </si>
  <si>
    <t>大橋 昇平</t>
    <rPh sb="0" eb="2">
      <t>オオハシ</t>
    </rPh>
    <rPh sb="3" eb="5">
      <t>ショウヘイ</t>
    </rPh>
    <phoneticPr fontId="13"/>
  </si>
  <si>
    <t>保証書 取説 ｷｰﾚｽ SD2個 ﾅﾋﾞ取</t>
    <rPh sb="0" eb="3">
      <t>ホショウショ</t>
    </rPh>
    <rPh sb="4" eb="6">
      <t>トリセツ</t>
    </rPh>
    <rPh sb="15" eb="16">
      <t>コ</t>
    </rPh>
    <rPh sb="20" eb="21">
      <t>トリ</t>
    </rPh>
    <phoneticPr fontId="13"/>
  </si>
  <si>
    <t>大阪 382 ろ 8118</t>
    <rPh sb="0" eb="2">
      <t>オオサカ</t>
    </rPh>
    <phoneticPr fontId="13"/>
  </si>
  <si>
    <t>森本 弘</t>
    <rPh sb="0" eb="2">
      <t>モリモト</t>
    </rPh>
    <rPh sb="3" eb="4">
      <t>ヒロシ</t>
    </rPh>
    <phoneticPr fontId="13"/>
  </si>
  <si>
    <t>取説 ﾅﾋﾞ取 ｷｰﾚｽ SD ﾜﾝｵｰﾅｰ</t>
    <rPh sb="0" eb="2">
      <t>トリセツ</t>
    </rPh>
    <rPh sb="6" eb="7">
      <t>トリ</t>
    </rPh>
    <phoneticPr fontId="13"/>
  </si>
  <si>
    <t>福山 530 と 270</t>
    <rPh sb="0" eb="2">
      <t>フクヤマ</t>
    </rPh>
    <phoneticPr fontId="13"/>
  </si>
  <si>
    <t>ﾀﾞｲﾊﾂ広島販売株式会社</t>
    <rPh sb="5" eb="13">
      <t>ヒロシマハンバイカブシキガイシャ</t>
    </rPh>
    <phoneticPr fontId="13"/>
  </si>
  <si>
    <t>倉敷 585 め 314</t>
    <rPh sb="0" eb="2">
      <t>クラシキ</t>
    </rPh>
    <phoneticPr fontId="13"/>
  </si>
  <si>
    <t>田中 さやか</t>
    <rPh sb="0" eb="2">
      <t>タナカ</t>
    </rPh>
    <phoneticPr fontId="13"/>
  </si>
  <si>
    <t>ﾏｲｸﾛ地図SD(車内)保証書 取説 ｷｰﾚｽ ﾅﾋﾞ取</t>
    <rPh sb="4" eb="6">
      <t>チズ</t>
    </rPh>
    <rPh sb="12" eb="15">
      <t>ホショウショ</t>
    </rPh>
    <rPh sb="16" eb="18">
      <t>トリセツ</t>
    </rPh>
    <rPh sb="27" eb="28">
      <t>トリ</t>
    </rPh>
    <phoneticPr fontId="13"/>
  </si>
  <si>
    <t>WMWXN920X02F72747</t>
    <phoneticPr fontId="13"/>
  </si>
  <si>
    <t>ﾌﾟｼﾞｮｰ208 GT</t>
    <phoneticPr fontId="13"/>
  </si>
  <si>
    <t>VR3UPNHKSMT032699</t>
    <phoneticPr fontId="13"/>
  </si>
  <si>
    <t>福岡 303 ほ 5855</t>
    <rPh sb="0" eb="2">
      <t>フクオカ</t>
    </rPh>
    <phoneticPr fontId="13"/>
  </si>
  <si>
    <t>WMWYT920603F83085</t>
    <phoneticPr fontId="13"/>
  </si>
  <si>
    <t>ｳﾞｫｸｼｰ S ーZ</t>
    <phoneticPr fontId="13"/>
  </si>
  <si>
    <t>MZRA90-0046868</t>
    <phoneticPr fontId="13"/>
  </si>
  <si>
    <t>神戸 31M そ 24</t>
    <rPh sb="0" eb="2">
      <t>コウベ</t>
    </rPh>
    <phoneticPr fontId="13"/>
  </si>
  <si>
    <t>ｽﾍﾟｱｷｰ(車内)取説</t>
    <rPh sb="10" eb="12">
      <t>トリセツ</t>
    </rPh>
    <phoneticPr fontId="13"/>
  </si>
  <si>
    <t>横浜 331 ま 4112</t>
    <rPh sb="0" eb="2">
      <t>ヨコハマ</t>
    </rPh>
    <phoneticPr fontId="13"/>
  </si>
  <si>
    <t>ｳｴｲﾝｽﾞｲﾝﾎﾟｰﾄ横浜株式会社</t>
    <rPh sb="12" eb="14">
      <t>ヨコハマ</t>
    </rPh>
    <rPh sb="14" eb="18">
      <t>カブシキガイシャ</t>
    </rPh>
    <phoneticPr fontId="13"/>
  </si>
  <si>
    <t>ｷｰﾚｽ(車内)保証書 取説 地図SD ﾜﾝｵｰﾅｰかも</t>
    <rPh sb="8" eb="11">
      <t>ホショウショ</t>
    </rPh>
    <rPh sb="12" eb="14">
      <t>トリセツ</t>
    </rPh>
    <rPh sb="15" eb="17">
      <t>チズ</t>
    </rPh>
    <phoneticPr fontId="13"/>
  </si>
  <si>
    <t>27-2407</t>
  </si>
  <si>
    <t>27-2408</t>
  </si>
  <si>
    <t>27-2409</t>
  </si>
  <si>
    <t>藤基様</t>
    <rPh sb="0" eb="1">
      <t>フジ</t>
    </rPh>
    <rPh sb="1" eb="2">
      <t>モトイ</t>
    </rPh>
    <rPh sb="2" eb="3">
      <t>サマ</t>
    </rPh>
    <phoneticPr fontId="13"/>
  </si>
  <si>
    <t>16/11</t>
    <phoneticPr fontId="13"/>
  </si>
  <si>
    <t>SALLMAMA34A171446</t>
    <phoneticPr fontId="13"/>
  </si>
  <si>
    <t>神戸 303 や 5972</t>
    <rPh sb="0" eb="2">
      <t>コウベ</t>
    </rPh>
    <phoneticPr fontId="13"/>
  </si>
  <si>
    <t>藤基 晃</t>
    <rPh sb="0" eb="1">
      <t>フジ</t>
    </rPh>
    <rPh sb="1" eb="2">
      <t>モトイ</t>
    </rPh>
    <rPh sb="3" eb="4">
      <t>アキラ</t>
    </rPh>
    <phoneticPr fontId="13"/>
  </si>
  <si>
    <t>27-2410</t>
  </si>
  <si>
    <t>27-2411</t>
  </si>
  <si>
    <t>27-2412</t>
  </si>
  <si>
    <t>27-2413</t>
  </si>
  <si>
    <t>27-2414</t>
  </si>
  <si>
    <t>27-2415</t>
  </si>
  <si>
    <t>なにわ 5P7 ろ 9689</t>
    <phoneticPr fontId="13"/>
  </si>
  <si>
    <t>多摩 326 む 9743</t>
    <rPh sb="0" eb="2">
      <t>タマ</t>
    </rPh>
    <phoneticPr fontId="13"/>
  </si>
  <si>
    <t>12/28</t>
    <phoneticPr fontId="13"/>
  </si>
  <si>
    <t>三重 582 す 3078</t>
    <rPh sb="0" eb="2">
      <t>ミエ</t>
    </rPh>
    <phoneticPr fontId="13"/>
  </si>
  <si>
    <t>株式会社第一ﾎﾝﾀﾞ</t>
    <rPh sb="0" eb="4">
      <t>カブシキガイシャ</t>
    </rPh>
    <rPh sb="4" eb="6">
      <t>ダイイチ</t>
    </rPh>
    <phoneticPr fontId="13"/>
  </si>
  <si>
    <t>大阪 585 す 429</t>
    <rPh sb="0" eb="2">
      <t>オオサカ</t>
    </rPh>
    <phoneticPr fontId="13"/>
  </si>
  <si>
    <t>千川 翔貴</t>
    <rPh sb="0" eb="2">
      <t>センカワ</t>
    </rPh>
    <rPh sb="3" eb="4">
      <t>ショウ</t>
    </rPh>
    <rPh sb="4" eb="5">
      <t>タカ</t>
    </rPh>
    <phoneticPr fontId="13"/>
  </si>
  <si>
    <t>土浦 585 ち 503</t>
    <rPh sb="0" eb="1">
      <t>ツチ</t>
    </rPh>
    <rPh sb="1" eb="2">
      <t>ウラ</t>
    </rPh>
    <phoneticPr fontId="13"/>
  </si>
  <si>
    <t>渡邊 隆史</t>
    <rPh sb="0" eb="2">
      <t>ワタナベ</t>
    </rPh>
    <rPh sb="3" eb="4">
      <t>タカシ</t>
    </rPh>
    <phoneticPr fontId="13"/>
  </si>
  <si>
    <t>豊田 583 く 5124</t>
    <rPh sb="0" eb="2">
      <t>トヨタ</t>
    </rPh>
    <phoneticPr fontId="13"/>
  </si>
  <si>
    <t>川嶋 美由紀</t>
    <rPh sb="0" eb="2">
      <t>カワシマ</t>
    </rPh>
    <rPh sb="3" eb="6">
      <t>ミユキ</t>
    </rPh>
    <phoneticPr fontId="13"/>
  </si>
  <si>
    <t>保証書 取説 ｷｰﾚｽ ｴﾝｼﾞﾝｽﾀｰﾀｰ</t>
    <rPh sb="0" eb="3">
      <t>ホショウショ</t>
    </rPh>
    <rPh sb="4" eb="6">
      <t>トリセツ</t>
    </rPh>
    <phoneticPr fontId="13"/>
  </si>
  <si>
    <t>名古屋 339 り 2013</t>
    <rPh sb="0" eb="3">
      <t>ナゴヤ</t>
    </rPh>
    <phoneticPr fontId="13"/>
  </si>
  <si>
    <t>岩井 秀樹</t>
    <rPh sb="0" eb="2">
      <t>イワイ</t>
    </rPh>
    <rPh sb="3" eb="5">
      <t>ヒデキ</t>
    </rPh>
    <phoneticPr fontId="13"/>
  </si>
  <si>
    <t>宇都宮 362 に 22</t>
    <rPh sb="0" eb="3">
      <t>ウツノミヤ</t>
    </rPh>
    <phoneticPr fontId="13"/>
  </si>
  <si>
    <t>高野 実</t>
    <rPh sb="0" eb="2">
      <t>タカノ</t>
    </rPh>
    <rPh sb="3" eb="4">
      <t>ミノル</t>
    </rPh>
    <phoneticPr fontId="13"/>
  </si>
  <si>
    <t>保証書 取説 ﾅﾋﾞ取 ｷｰﾚｽ ﾜﾝｵｰﾅ-</t>
    <rPh sb="0" eb="3">
      <t>ホショウショ</t>
    </rPh>
    <rPh sb="4" eb="6">
      <t>トリセツ</t>
    </rPh>
    <rPh sb="10" eb="11">
      <t>トリ</t>
    </rPh>
    <phoneticPr fontId="13"/>
  </si>
  <si>
    <t>なにわ 580 よ 5568</t>
    <phoneticPr fontId="13"/>
  </si>
  <si>
    <t>川本 哲也</t>
    <rPh sb="0" eb="2">
      <t>カワモト</t>
    </rPh>
    <rPh sb="3" eb="5">
      <t>テツヤ</t>
    </rPh>
    <phoneticPr fontId="13"/>
  </si>
  <si>
    <t>横浜 400 も 6185</t>
    <rPh sb="0" eb="2">
      <t>ヨコハマ</t>
    </rPh>
    <phoneticPr fontId="13"/>
  </si>
  <si>
    <t>西山 健二</t>
    <rPh sb="0" eb="2">
      <t>ニシヤマ</t>
    </rPh>
    <rPh sb="3" eb="5">
      <t>ケンジ</t>
    </rPh>
    <phoneticPr fontId="13"/>
  </si>
  <si>
    <t>堺 500 ひ 5556</t>
    <rPh sb="0" eb="1">
      <t>サカイ</t>
    </rPh>
    <phoneticPr fontId="13"/>
  </si>
  <si>
    <t>蓑田 正</t>
    <rPh sb="1" eb="2">
      <t>タ</t>
    </rPh>
    <rPh sb="3" eb="4">
      <t>タダシ</t>
    </rPh>
    <phoneticPr fontId="13"/>
  </si>
  <si>
    <t>相模 335 ふ 319</t>
    <phoneticPr fontId="13"/>
  </si>
  <si>
    <t>荒川 智成</t>
    <rPh sb="0" eb="2">
      <t>アラカワ</t>
    </rPh>
    <rPh sb="3" eb="5">
      <t>トモナリ</t>
    </rPh>
    <phoneticPr fontId="13"/>
  </si>
  <si>
    <t>保証書 地図SD(車内)取説 ﾅﾋﾞ取 ｷｰﾚｽ</t>
    <rPh sb="0" eb="3">
      <t>ホショウショ</t>
    </rPh>
    <rPh sb="4" eb="6">
      <t>チズ</t>
    </rPh>
    <rPh sb="12" eb="14">
      <t>トリセツ</t>
    </rPh>
    <rPh sb="18" eb="19">
      <t>トリ</t>
    </rPh>
    <phoneticPr fontId="13"/>
  </si>
  <si>
    <t>27-2416</t>
  </si>
  <si>
    <t>阿部様</t>
    <rPh sb="0" eb="2">
      <t>アベ</t>
    </rPh>
    <rPh sb="2" eb="3">
      <t>サマ</t>
    </rPh>
    <phoneticPr fontId="13"/>
  </si>
  <si>
    <t>ｱﾙﾄﾗﾊﾟﾝ</t>
    <phoneticPr fontId="13"/>
  </si>
  <si>
    <t>HE22S-836049</t>
    <phoneticPr fontId="13"/>
  </si>
  <si>
    <t>姫路 581 あ 3028</t>
    <rPh sb="0" eb="2">
      <t>ヒメジ</t>
    </rPh>
    <phoneticPr fontId="13"/>
  </si>
  <si>
    <t>阿部 倫子</t>
    <rPh sb="0" eb="2">
      <t>アベ</t>
    </rPh>
    <rPh sb="3" eb="5">
      <t>ノリコ</t>
    </rPh>
    <phoneticPr fontId="13"/>
  </si>
  <si>
    <t>SUN XZINGKANG</t>
    <phoneticPr fontId="13"/>
  </si>
  <si>
    <t>保証書 取説 ｽﾍﾟｱｷｰ ｺｰﾄﾞｶｰﾄﾞ ﾜﾝｵｰﾅｰ</t>
    <rPh sb="0" eb="3">
      <t>ホショウショ</t>
    </rPh>
    <rPh sb="4" eb="6">
      <t>トリセツ</t>
    </rPh>
    <phoneticPr fontId="13"/>
  </si>
  <si>
    <t>村岡 久美子</t>
    <rPh sb="0" eb="2">
      <t>ムラオカ</t>
    </rPh>
    <rPh sb="3" eb="6">
      <t>クミコ</t>
    </rPh>
    <phoneticPr fontId="13"/>
  </si>
  <si>
    <t>兵庫日産自動車株式会社</t>
    <rPh sb="0" eb="2">
      <t>ヒョウゴ</t>
    </rPh>
    <rPh sb="2" eb="4">
      <t>ニッサン</t>
    </rPh>
    <rPh sb="4" eb="11">
      <t>ジドウシャカブシキガイシャ</t>
    </rPh>
    <phoneticPr fontId="13"/>
  </si>
  <si>
    <t>保証書 取説 すぺ ﾜﾝｵｰﾅｰ</t>
    <rPh sb="0" eb="3">
      <t>ホショウショ</t>
    </rPh>
    <rPh sb="4" eb="6">
      <t>トリセツ</t>
    </rPh>
    <phoneticPr fontId="13"/>
  </si>
  <si>
    <t>神戸 590 か 121</t>
    <rPh sb="0" eb="2">
      <t>コウベ</t>
    </rPh>
    <phoneticPr fontId="13"/>
  </si>
  <si>
    <t>吉田海運株式会社</t>
    <rPh sb="0" eb="2">
      <t>ヨシダ</t>
    </rPh>
    <rPh sb="2" eb="4">
      <t>カイウン</t>
    </rPh>
    <rPh sb="4" eb="8">
      <t>カブシキガイシャ</t>
    </rPh>
    <phoneticPr fontId="13"/>
  </si>
  <si>
    <t>神戸 596 ろ 4218</t>
    <rPh sb="0" eb="2">
      <t>コウベ</t>
    </rPh>
    <phoneticPr fontId="13"/>
  </si>
  <si>
    <t>高橋 誠治</t>
    <rPh sb="0" eb="2">
      <t>タカハシ</t>
    </rPh>
    <rPh sb="3" eb="5">
      <t>セイジ</t>
    </rPh>
    <phoneticPr fontId="13"/>
  </si>
  <si>
    <t>堺 586 ろ 4048</t>
    <rPh sb="0" eb="1">
      <t>サカイ</t>
    </rPh>
    <phoneticPr fontId="13"/>
  </si>
  <si>
    <t>京都 582 け 561</t>
    <rPh sb="0" eb="2">
      <t>キョウト</t>
    </rPh>
    <phoneticPr fontId="13"/>
  </si>
  <si>
    <t>株式会社ｽｽﾞｷ自販京都</t>
    <rPh sb="0" eb="4">
      <t>カブシキガイシャ</t>
    </rPh>
    <rPh sb="8" eb="10">
      <t>ジハン</t>
    </rPh>
    <rPh sb="10" eb="12">
      <t>キョウト</t>
    </rPh>
    <phoneticPr fontId="13"/>
  </si>
  <si>
    <t>飛鳥 310 さ 8003</t>
    <rPh sb="0" eb="2">
      <t>アスカ</t>
    </rPh>
    <phoneticPr fontId="13"/>
  </si>
  <si>
    <t>株式会社ﾐﾅﾐｼﾏ自動車販売</t>
    <rPh sb="0" eb="4">
      <t>カブシキガイシャ</t>
    </rPh>
    <rPh sb="9" eb="12">
      <t>ジドウシャ</t>
    </rPh>
    <rPh sb="12" eb="14">
      <t>ハンバイ</t>
    </rPh>
    <phoneticPr fontId="13"/>
  </si>
  <si>
    <t>保証書 取説 ﾅﾋﾞ取 ﾏｲｸﾛ地図SD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</si>
  <si>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品番；DSZT-YC4T</t>
    <rPh sb="0" eb="2">
      <t>ヒンバン</t>
    </rPh>
    <phoneticPr fontId="13"/>
  </si>
  <si>
    <t>ZVG11-1034617</t>
    <phoneticPr fontId="13"/>
  </si>
  <si>
    <t>MX81S-203451</t>
    <phoneticPr fontId="13"/>
  </si>
  <si>
    <t>MK32S-204144</t>
    <phoneticPr fontId="13"/>
  </si>
  <si>
    <t>AXAH54-2008274</t>
    <phoneticPr fontId="13"/>
  </si>
  <si>
    <t>ZWR90-0098284</t>
    <phoneticPr fontId="13"/>
  </si>
  <si>
    <t>Z34-500110</t>
    <phoneticPr fontId="13"/>
  </si>
  <si>
    <t>RV5-1211299</t>
    <phoneticPr fontId="13"/>
  </si>
  <si>
    <t>DA17V-675886</t>
    <phoneticPr fontId="13"/>
  </si>
  <si>
    <t>ｶﾛｰﾗｸﾛｽ  ﾊｲﾌﾞﾘｯﾄﾞ S</t>
    <phoneticPr fontId="13"/>
  </si>
  <si>
    <t>ﾜｺﾞﾝR ｽﾏｲﾙG</t>
    <phoneticPr fontId="13"/>
  </si>
  <si>
    <t>RAV4 ﾊｲﾌﾞﾘｯﾄﾞ G</t>
    <phoneticPr fontId="13"/>
  </si>
  <si>
    <t>ｳﾞｫｸｼｰ ﾊｲﾌﾞﾘｯﾄﾞ S-Z</t>
    <phoneticPr fontId="13"/>
  </si>
  <si>
    <t>ﾌｪｱﾚﾃﾞｨ Z ﾆｽﾓ</t>
    <phoneticPr fontId="13"/>
  </si>
  <si>
    <t>ｳﾞｪｾﾞﾙ eHEV Z</t>
    <phoneticPr fontId="13"/>
  </si>
  <si>
    <t>ｴﾌﾞﾘｨﾊﾞﾝ ｼﾞｮｲﾝ HR</t>
    <phoneticPr fontId="13"/>
  </si>
  <si>
    <t>A318699</t>
    <phoneticPr fontId="13"/>
  </si>
  <si>
    <t>ｶﾛｰﾗｽﾎﾟｰﾂ ﾊｲﾌﾞﾘｯﾄﾞGZ</t>
    <phoneticPr fontId="13"/>
  </si>
  <si>
    <t>ZWE219-4020281</t>
    <phoneticPr fontId="13"/>
  </si>
  <si>
    <t>A317175</t>
    <phoneticPr fontId="13"/>
  </si>
  <si>
    <t>ｸﾘｰﾑ(黄色)</t>
    <rPh sb="5" eb="7">
      <t>キイロ</t>
    </rPh>
    <phoneticPr fontId="13"/>
  </si>
  <si>
    <t>HE33S-165443</t>
    <phoneticPr fontId="13"/>
  </si>
  <si>
    <t>A318119</t>
    <phoneticPr fontId="13"/>
  </si>
  <si>
    <t>ｳﾞｪﾙﾌｧｲｱﾊｲﾌﾞﾘｯﾄﾞ ｴｸﾞｾﾞｸﾃｨﾌﾞﾗｳﾝｼﾞZ</t>
    <phoneticPr fontId="13"/>
  </si>
  <si>
    <t>AYH30-0110972</t>
    <phoneticPr fontId="13"/>
  </si>
  <si>
    <t>9/4/17</t>
    <phoneticPr fontId="13"/>
  </si>
  <si>
    <t>A316934</t>
    <phoneticPr fontId="13"/>
  </si>
  <si>
    <t>ｸﾗｳﾝｽﾎﾟｰﾂ Z</t>
    <phoneticPr fontId="13"/>
  </si>
  <si>
    <t>AZSH36-4034159</t>
    <phoneticPr fontId="13"/>
  </si>
  <si>
    <t>9/11/27</t>
    <phoneticPr fontId="13"/>
  </si>
  <si>
    <t>A318170</t>
    <phoneticPr fontId="13"/>
  </si>
  <si>
    <t>ZN8-023063</t>
    <phoneticPr fontId="13"/>
  </si>
  <si>
    <t>A317717</t>
    <phoneticPr fontId="13"/>
  </si>
  <si>
    <t>MH44S-460282</t>
    <phoneticPr fontId="13"/>
  </si>
  <si>
    <t>ｳﾞｪｾﾞﾙ  e HEV Z</t>
    <phoneticPr fontId="13"/>
  </si>
  <si>
    <t>301 ね 5718</t>
    <phoneticPr fontId="13"/>
  </si>
  <si>
    <t>301 ね 5719</t>
    <phoneticPr fontId="13"/>
  </si>
  <si>
    <t>301 ね 5720</t>
    <phoneticPr fontId="13"/>
  </si>
  <si>
    <t>301 ね 5721</t>
    <phoneticPr fontId="13"/>
  </si>
  <si>
    <t>358 む 9999</t>
    <phoneticPr fontId="13"/>
  </si>
  <si>
    <t>27-2417</t>
  </si>
  <si>
    <t>27-2418</t>
  </si>
  <si>
    <t>27-2419</t>
  </si>
  <si>
    <t>27-2420</t>
  </si>
  <si>
    <t>27-2421</t>
  </si>
  <si>
    <t>27-2422</t>
  </si>
  <si>
    <t>27-2423</t>
  </si>
  <si>
    <t>27-2424</t>
  </si>
  <si>
    <t>27-2425</t>
  </si>
  <si>
    <t>27-2426</t>
  </si>
  <si>
    <t>27-2427</t>
  </si>
  <si>
    <t>27-2428</t>
  </si>
  <si>
    <t>27-2429</t>
  </si>
  <si>
    <t>27-2430</t>
  </si>
  <si>
    <t>27-2431</t>
  </si>
  <si>
    <t>保証書 取説 ｽﾍﾟｱｷｰ(車内)ﾚﾝﾀｶｰ</t>
    <rPh sb="0" eb="3">
      <t>ホショウショ</t>
    </rPh>
    <rPh sb="4" eb="6">
      <t>トリセツ</t>
    </rPh>
    <phoneticPr fontId="13"/>
  </si>
  <si>
    <t>岐阜 512 さ 7777</t>
    <rPh sb="0" eb="2">
      <t>ギフ</t>
    </rPh>
    <phoneticPr fontId="13"/>
  </si>
  <si>
    <t>神戸 39A そ 6987</t>
    <rPh sb="0" eb="2">
      <t>コウベ</t>
    </rPh>
    <phoneticPr fontId="13"/>
  </si>
  <si>
    <t>尾張小牧 589 ろ 8444</t>
    <rPh sb="0" eb="4">
      <t>オワリコマキ</t>
    </rPh>
    <phoneticPr fontId="13"/>
  </si>
  <si>
    <t>MOHAMED MANSOOR MOHAMED SINAS</t>
    <phoneticPr fontId="13"/>
  </si>
  <si>
    <t>四日市 581 ろ 54</t>
    <rPh sb="0" eb="3">
      <t>ヨッカイチ</t>
    </rPh>
    <phoneticPr fontId="13"/>
  </si>
  <si>
    <t>ABDUL FAREED MUHAMMAD SHIFAN</t>
    <phoneticPr fontId="13"/>
  </si>
  <si>
    <t>RUHAIM TRADING COMPANY PRIVATE LIMITED</t>
    <phoneticPr fontId="13"/>
  </si>
  <si>
    <t>BADDE LIYANAGE ASITHA GAYAN FERNANDO</t>
    <phoneticPr fontId="13"/>
  </si>
  <si>
    <t>名古屋 58A ま 1303</t>
    <rPh sb="0" eb="3">
      <t>ナゴヤ</t>
    </rPh>
    <phoneticPr fontId="13"/>
  </si>
  <si>
    <t>森 愛美ﾅﾋﾞｰﾄﾞ</t>
    <rPh sb="0" eb="1">
      <t>モリ</t>
    </rPh>
    <rPh sb="2" eb="4">
      <t>マナミ</t>
    </rPh>
    <phoneticPr fontId="13"/>
  </si>
  <si>
    <t>ｷｬﾝｾﾙ 書類返送1/6</t>
    <rPh sb="6" eb="8">
      <t>ショルイ</t>
    </rPh>
    <rPh sb="8" eb="10">
      <t>ヘンソウ</t>
    </rPh>
    <phoneticPr fontId="13"/>
  </si>
  <si>
    <t>RV5-1077353</t>
    <phoneticPr fontId="13"/>
  </si>
  <si>
    <t>582 い 8241</t>
    <phoneticPr fontId="13"/>
  </si>
  <si>
    <t>582 い 8238</t>
    <phoneticPr fontId="13"/>
  </si>
  <si>
    <t>582 い 8239</t>
    <phoneticPr fontId="13"/>
  </si>
  <si>
    <t>582 い 8240</t>
    <phoneticPr fontId="13"/>
  </si>
  <si>
    <t>横浜 588 や 15</t>
    <rPh sb="0" eb="2">
      <t>ヨコハマ</t>
    </rPh>
    <phoneticPr fontId="13"/>
  </si>
  <si>
    <t>菱沼 美帆</t>
    <rPh sb="0" eb="2">
      <t>ヒシヌマ</t>
    </rPh>
    <rPh sb="3" eb="5">
      <t>ミホ</t>
    </rPh>
    <phoneticPr fontId="13"/>
  </si>
  <si>
    <t>有限会社古川製茶</t>
    <rPh sb="0" eb="4">
      <t>ユウゲンカイシャ</t>
    </rPh>
    <rPh sb="4" eb="6">
      <t>フルカワ</t>
    </rPh>
    <rPh sb="6" eb="8">
      <t>セイチャ</t>
    </rPh>
    <phoneticPr fontId="13"/>
  </si>
  <si>
    <t>湘南 399 ふ 6532</t>
    <rPh sb="0" eb="2">
      <t>ショウナン</t>
    </rPh>
    <phoneticPr fontId="13"/>
  </si>
  <si>
    <t>尾張小牧 302 は 326</t>
    <rPh sb="0" eb="4">
      <t>オワリコマキ</t>
    </rPh>
    <phoneticPr fontId="13"/>
  </si>
  <si>
    <t>株式会社ﾎﾝﾀﾞ小牧</t>
    <rPh sb="0" eb="4">
      <t>カブシキガイシャ</t>
    </rPh>
    <rPh sb="8" eb="10">
      <t>コマキ</t>
    </rPh>
    <phoneticPr fontId="13"/>
  </si>
  <si>
    <t>取説 ｷｰﾚｽ(車内)保証書 ﾜﾝｵｰﾅｰ</t>
    <rPh sb="0" eb="2">
      <t>トリセツ</t>
    </rPh>
    <rPh sb="8" eb="10">
      <t>シャナイ</t>
    </rPh>
    <rPh sb="11" eb="14">
      <t>ホショウショ</t>
    </rPh>
    <phoneticPr fontId="13"/>
  </si>
  <si>
    <t>輕部 小百合</t>
    <rPh sb="0" eb="2">
      <t>カルベ</t>
    </rPh>
    <rPh sb="3" eb="6">
      <t>サユリ</t>
    </rPh>
    <phoneticPr fontId="13"/>
  </si>
  <si>
    <t>静岡 301 ほ 1627</t>
    <rPh sb="0" eb="2">
      <t>シズオカ</t>
    </rPh>
    <phoneticPr fontId="13"/>
  </si>
  <si>
    <t>名古屋 326 む 5381</t>
    <rPh sb="0" eb="3">
      <t>ナゴヤ</t>
    </rPh>
    <phoneticPr fontId="13"/>
  </si>
  <si>
    <t>多摩 335 め 68</t>
    <rPh sb="0" eb="2">
      <t>タマ</t>
    </rPh>
    <phoneticPr fontId="13"/>
  </si>
  <si>
    <t>一丸 清貴</t>
    <rPh sb="0" eb="2">
      <t>イチマル</t>
    </rPh>
    <rPh sb="3" eb="5">
      <t>キヨタカ</t>
    </rPh>
    <phoneticPr fontId="13"/>
  </si>
  <si>
    <r>
      <t>取説 ﾅﾋﾞ取 ｽﾍﾟｱｷｰ 中古保証書</t>
    </r>
    <r>
      <rPr>
        <sz val="11"/>
        <color theme="3"/>
        <rFont val="ＭＳ Ｐゴシック"/>
        <family val="3"/>
        <charset val="128"/>
        <scheme val="minor"/>
      </rPr>
      <t xml:space="preserve"> 保証書返送USS直送</t>
    </r>
    <rPh sb="0" eb="2">
      <t>トリセツ</t>
    </rPh>
    <rPh sb="6" eb="7">
      <t>トリ</t>
    </rPh>
    <rPh sb="15" eb="20">
      <t>チュウコホショウショ</t>
    </rPh>
    <rPh sb="21" eb="24">
      <t>ホショウショ</t>
    </rPh>
    <rPh sb="24" eb="26">
      <t>ヘンソウ</t>
    </rPh>
    <rPh sb="29" eb="31">
      <t>チョクソウ</t>
    </rPh>
    <phoneticPr fontId="13"/>
  </si>
  <si>
    <t>27-2432</t>
  </si>
  <si>
    <t>27-2433</t>
  </si>
  <si>
    <t>27-2434</t>
  </si>
  <si>
    <t>27-2435</t>
  </si>
  <si>
    <t>27-2436</t>
  </si>
  <si>
    <t>27-2437</t>
  </si>
  <si>
    <t>MX91S-116265</t>
    <phoneticPr fontId="13"/>
  </si>
  <si>
    <t>DA17V-495477</t>
    <phoneticPr fontId="13"/>
  </si>
  <si>
    <t>GFC27-013526</t>
    <phoneticPr fontId="13"/>
  </si>
  <si>
    <t>27-2438</t>
  </si>
  <si>
    <t>27-2439</t>
  </si>
  <si>
    <t>27-2440</t>
  </si>
  <si>
    <t>JF1-2544787</t>
    <phoneticPr fontId="13"/>
  </si>
  <si>
    <t>JB23W-765828</t>
    <phoneticPr fontId="13"/>
  </si>
  <si>
    <t>WMWXS120702E78772</t>
    <phoneticPr fontId="13"/>
  </si>
  <si>
    <t>WVWZZZ16ZCM644379</t>
    <phoneticPr fontId="13"/>
  </si>
  <si>
    <t>N-BOXｶｽﾀﾑ ﾀｰﾎﾞ SSﾊﾟｯｹｰｼﾞ</t>
    <phoneticPr fontId="13"/>
  </si>
  <si>
    <t>名古屋 583 う 7834</t>
    <rPh sb="0" eb="3">
      <t>ナゴヤ</t>
    </rPh>
    <phoneticPr fontId="13"/>
  </si>
  <si>
    <t>ｼﾞﾑﾆｰ  ﾗﾝﾄﾞﾍﾞﾝﾁｬｰ</t>
    <phoneticPr fontId="13"/>
  </si>
  <si>
    <t>浜松 581 ゆ 8423</t>
    <rPh sb="0" eb="2">
      <t>ハママツ</t>
    </rPh>
    <phoneticPr fontId="13"/>
  </si>
  <si>
    <t>岐阜 303 さ 2150</t>
    <rPh sb="0" eb="2">
      <t>ギフ</t>
    </rPh>
    <phoneticPr fontId="13"/>
  </si>
  <si>
    <t>名変期限2/20まで</t>
    <rPh sb="0" eb="4">
      <t>メイヘンキゲン</t>
    </rPh>
    <phoneticPr fontId="13"/>
  </si>
  <si>
    <t>VW ｻﾞﾋﾞｰﾄﾙ ﾃﾞｻﾞｲﾝﾚｻﾞｰﾊﾟｯｹｰｼﾞ</t>
    <phoneticPr fontId="13"/>
  </si>
  <si>
    <t>岐阜 352 ぬ 117</t>
    <rPh sb="0" eb="2">
      <t>ギフ</t>
    </rPh>
    <phoneticPr fontId="13"/>
  </si>
  <si>
    <t>ﾜｺﾞﾝR 20周年記念車</t>
    <rPh sb="8" eb="10">
      <t>シュウネン</t>
    </rPh>
    <rPh sb="10" eb="13">
      <t>キネンシャ</t>
    </rPh>
    <phoneticPr fontId="13"/>
  </si>
  <si>
    <t>MH34S-314862</t>
    <phoneticPr fontId="13"/>
  </si>
  <si>
    <t>福山 586 む 51</t>
    <rPh sb="0" eb="2">
      <t>フクヤマ</t>
    </rPh>
    <phoneticPr fontId="13"/>
  </si>
  <si>
    <t>ｳﾞｪﾙﾌｧｲｱ 3.5V L</t>
    <phoneticPr fontId="13"/>
  </si>
  <si>
    <t>GGH30-0015865</t>
    <phoneticPr fontId="13"/>
  </si>
  <si>
    <t>保証書 ﾅﾋﾞ取 B-CAS ｽﾏｰﾄｷｰ</t>
    <rPh sb="0" eb="3">
      <t>ホショウショ</t>
    </rPh>
    <rPh sb="7" eb="8">
      <t>トリ</t>
    </rPh>
    <phoneticPr fontId="13"/>
  </si>
  <si>
    <t>8/11/19</t>
    <phoneticPr fontId="13"/>
  </si>
  <si>
    <t>MXWH60-4039363</t>
    <phoneticPr fontId="13"/>
  </si>
  <si>
    <t>LA650S-0341609</t>
    <phoneticPr fontId="13"/>
  </si>
  <si>
    <t>品川 5X1 ろ 6239</t>
    <rPh sb="0" eb="2">
      <t>シナガワ</t>
    </rPh>
    <phoneticPr fontId="13"/>
  </si>
  <si>
    <t>福山 337 ぬ 717</t>
    <rPh sb="0" eb="2">
      <t>フクヤマ</t>
    </rPh>
    <phoneticPr fontId="13"/>
  </si>
  <si>
    <t>谷本 明彦</t>
    <rPh sb="0" eb="2">
      <t>タニモト</t>
    </rPh>
    <rPh sb="3" eb="5">
      <t>アキヒコ</t>
    </rPh>
    <phoneticPr fontId="13"/>
  </si>
  <si>
    <t>株式会社ﾕﾆｰｽﾞ</t>
    <rPh sb="0" eb="4">
      <t>カブシキガイシャ</t>
    </rPh>
    <phoneticPr fontId="13"/>
  </si>
  <si>
    <t xml:space="preserve">地図SD(車内)保証書 取説 ｷｰﾚｽ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</si>
  <si>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400 な 7448</t>
    <phoneticPr fontId="13"/>
  </si>
  <si>
    <t>岐阜 300 わ 7771</t>
    <rPh sb="0" eb="2">
      <t>ギフ</t>
    </rPh>
    <phoneticPr fontId="13"/>
  </si>
  <si>
    <t>保証書 ｷｰﾚｽ 取説 ﾚﾝﾀｶｰ</t>
    <rPh sb="0" eb="3">
      <t>ホショウショ</t>
    </rPh>
    <rPh sb="9" eb="11">
      <t>トリセツ</t>
    </rPh>
    <phoneticPr fontId="13"/>
  </si>
  <si>
    <t>27-2441</t>
  </si>
  <si>
    <t>ﾚｸｻｽRX 200T Fｽﾎﾟｰﾂ</t>
    <phoneticPr fontId="13"/>
  </si>
  <si>
    <t>AGL25W-0001200</t>
    <phoneticPr fontId="13"/>
  </si>
  <si>
    <t>27-2442</t>
  </si>
  <si>
    <t>27-2443</t>
  </si>
  <si>
    <t>27-2444</t>
  </si>
  <si>
    <t>ZFA3120000JD80289</t>
    <phoneticPr fontId="13"/>
  </si>
  <si>
    <t>9/11/11</t>
    <phoneticPr fontId="13"/>
  </si>
  <si>
    <t>静岡 530 さ 9423</t>
    <rPh sb="0" eb="2">
      <t>シズオカ</t>
    </rPh>
    <phoneticPr fontId="13"/>
  </si>
  <si>
    <t>名変期限2/4まで</t>
    <rPh sb="0" eb="2">
      <t>メイヘン</t>
    </rPh>
    <rPh sb="2" eb="4">
      <t>キゲン</t>
    </rPh>
    <phoneticPr fontId="13"/>
  </si>
  <si>
    <t>27-2445</t>
  </si>
  <si>
    <t>27-2446</t>
  </si>
  <si>
    <t>BMWﾐﾆｸｰﾊﾟｰ ｸﾗｼｯｸﾄﾘﾑ</t>
    <phoneticPr fontId="13"/>
  </si>
  <si>
    <t>WMW32DK0302T37663</t>
    <phoneticPr fontId="13"/>
  </si>
  <si>
    <t>BMWﾐﾆｸｰﾊﾟｰ 13TH ｱﾆﾊﾞｰｻﾘｰP</t>
    <phoneticPr fontId="13"/>
  </si>
  <si>
    <t>WMWXM520703A53869</t>
    <phoneticPr fontId="13"/>
  </si>
  <si>
    <t>ZiP大阪(ﾜﾝﾌﾟﾗ)</t>
    <rPh sb="3" eb="5">
      <t>オオサカ</t>
    </rPh>
    <phoneticPr fontId="13"/>
  </si>
  <si>
    <t>971(328)</t>
    <phoneticPr fontId="13"/>
  </si>
  <si>
    <t>松本 580 わ 2469</t>
    <rPh sb="0" eb="2">
      <t>マツモト</t>
    </rPh>
    <phoneticPr fontId="13"/>
  </si>
  <si>
    <t>多摩 592 ろ 5977</t>
    <rPh sb="0" eb="2">
      <t>タマ</t>
    </rPh>
    <phoneticPr fontId="13"/>
  </si>
  <si>
    <t>多摩 592 ろ 5881</t>
    <rPh sb="0" eb="2">
      <t>タマ</t>
    </rPh>
    <phoneticPr fontId="13"/>
  </si>
  <si>
    <t>岡山 584 ろ 2887</t>
    <rPh sb="0" eb="2">
      <t>オカヤマ</t>
    </rPh>
    <phoneticPr fontId="13"/>
  </si>
  <si>
    <t>鳥取 581 う 6362</t>
    <rPh sb="0" eb="2">
      <t>トットリ</t>
    </rPh>
    <phoneticPr fontId="13"/>
  </si>
  <si>
    <t>株式会社ｈｏｐ</t>
    <rPh sb="0" eb="4">
      <t>カブシキガイシャ</t>
    </rPh>
    <phoneticPr fontId="13"/>
  </si>
  <si>
    <t>広島 582 え 932</t>
    <rPh sb="0" eb="2">
      <t>ヒロシマ</t>
    </rPh>
    <phoneticPr fontId="13"/>
  </si>
  <si>
    <t>花田 穣</t>
    <rPh sb="0" eb="2">
      <t>ハナダ</t>
    </rPh>
    <rPh sb="3" eb="4">
      <t>ジョウ</t>
    </rPh>
    <phoneticPr fontId="13"/>
  </si>
  <si>
    <t>保証書 取説 SD ｷｰﾚｽ</t>
    <phoneticPr fontId="13"/>
  </si>
  <si>
    <t>奈良中央三菱自動車販売株式会社</t>
    <rPh sb="0" eb="4">
      <t>ナラチュウオウ</t>
    </rPh>
    <rPh sb="4" eb="6">
      <t>ミツビシ</t>
    </rPh>
    <rPh sb="6" eb="15">
      <t>ジドウシャハンバイカブシキガイシャ</t>
    </rPh>
    <phoneticPr fontId="13"/>
  </si>
  <si>
    <t>整備手帳 取説 ﾅﾋﾞ取 ｷｰﾚｽ</t>
    <rPh sb="0" eb="4">
      <t>セイビテチョウ</t>
    </rPh>
    <rPh sb="5" eb="7">
      <t>トリセツ</t>
    </rPh>
    <rPh sb="11" eb="12">
      <t>トリ</t>
    </rPh>
    <phoneticPr fontId="13"/>
  </si>
  <si>
    <t>大阪 589 ろ 8627</t>
    <rPh sb="0" eb="2">
      <t>オオサカ</t>
    </rPh>
    <phoneticPr fontId="13"/>
  </si>
  <si>
    <t>大阪ﾄﾖﾀNorth株式会社</t>
    <rPh sb="0" eb="2">
      <t>オオサカ</t>
    </rPh>
    <rPh sb="10" eb="14">
      <t>カブシキガイシャ</t>
    </rPh>
    <phoneticPr fontId="13"/>
  </si>
  <si>
    <t>前田 佐之</t>
    <rPh sb="0" eb="2">
      <t>マエダ</t>
    </rPh>
    <rPh sb="3" eb="4">
      <t>サ</t>
    </rPh>
    <rPh sb="4" eb="5">
      <t>ユキ</t>
    </rPh>
    <phoneticPr fontId="13"/>
  </si>
  <si>
    <t>相模 581 け 7265</t>
    <rPh sb="0" eb="2">
      <t>サガミ</t>
    </rPh>
    <phoneticPr fontId="13"/>
  </si>
  <si>
    <t>青田 美奈子</t>
    <rPh sb="0" eb="2">
      <t>アオタ</t>
    </rPh>
    <rPh sb="3" eb="6">
      <t>ミナコ</t>
    </rPh>
    <phoneticPr fontId="13"/>
  </si>
  <si>
    <t>松本 580 ゆ 3873</t>
    <rPh sb="0" eb="2">
      <t>マツモト</t>
    </rPh>
    <phoneticPr fontId="13"/>
  </si>
  <si>
    <t>中平 福實</t>
    <rPh sb="0" eb="2">
      <t>ナカヒラ</t>
    </rPh>
    <rPh sb="3" eb="4">
      <t>フク</t>
    </rPh>
    <rPh sb="4" eb="5">
      <t>ジツ</t>
    </rPh>
    <phoneticPr fontId="13"/>
  </si>
  <si>
    <t>岡山 330 と 3698</t>
    <rPh sb="0" eb="2">
      <t>オカヤマ</t>
    </rPh>
    <phoneticPr fontId="13"/>
  </si>
  <si>
    <t>株式会社田中建設工業所</t>
    <rPh sb="0" eb="4">
      <t>カブシキガイシャ</t>
    </rPh>
    <rPh sb="4" eb="6">
      <t>タナカ</t>
    </rPh>
    <rPh sb="6" eb="8">
      <t>ケンセツ</t>
    </rPh>
    <rPh sb="8" eb="11">
      <t>コウギョウショ</t>
    </rPh>
    <phoneticPr fontId="13"/>
  </si>
  <si>
    <t>保証書 取説 ﾅﾋﾞ取 ｷｰﾚｽ ｽﾀｰﾀｰ ﾜﾝｵｰﾅｰ</t>
    <rPh sb="0" eb="3">
      <t>ホショウショ</t>
    </rPh>
    <rPh sb="4" eb="6">
      <t>トリセツ</t>
    </rPh>
    <rPh sb="10" eb="11">
      <t>トリ</t>
    </rPh>
    <phoneticPr fontId="13"/>
  </si>
  <si>
    <t>倉敷 365 す 1001</t>
    <rPh sb="0" eb="2">
      <t>クラシキ</t>
    </rPh>
    <phoneticPr fontId="13"/>
  </si>
  <si>
    <t>橋本 三智子</t>
    <rPh sb="0" eb="2">
      <t>ハシモト</t>
    </rPh>
    <rPh sb="3" eb="6">
      <t>ミチコ</t>
    </rPh>
    <phoneticPr fontId="13"/>
  </si>
  <si>
    <t>姫路 399 な 5339</t>
    <rPh sb="0" eb="2">
      <t>ヒメジ</t>
    </rPh>
    <phoneticPr fontId="13"/>
  </si>
  <si>
    <t>なにわ 39A み 8575</t>
    <phoneticPr fontId="13"/>
  </si>
  <si>
    <t>保証書 取説 ﾐﾆB-CAS</t>
    <rPh sb="0" eb="3">
      <t>ホショウショ</t>
    </rPh>
    <rPh sb="4" eb="6">
      <t>トリセツ</t>
    </rPh>
    <phoneticPr fontId="13"/>
  </si>
  <si>
    <t>名古屋 326 む 3077</t>
    <rPh sb="0" eb="3">
      <t>ナゴヤ</t>
    </rPh>
    <phoneticPr fontId="13"/>
  </si>
  <si>
    <t>名古屋ｽﾊﾞﾙ自動車株式会社</t>
    <rPh sb="0" eb="3">
      <t>ナゴヤ</t>
    </rPh>
    <rPh sb="7" eb="14">
      <t>ジドウシャカブシキガイシャ</t>
    </rPh>
    <phoneticPr fontId="13"/>
  </si>
  <si>
    <t>堺 530 ぬ 3339</t>
    <rPh sb="0" eb="1">
      <t>サカイ</t>
    </rPh>
    <phoneticPr fontId="13"/>
  </si>
  <si>
    <t>取説 ｷｰﾚｽ SD ﾅﾋﾞ取</t>
    <rPh sb="0" eb="2">
      <t>トリセツ</t>
    </rPh>
    <rPh sb="14" eb="15">
      <t>トリ</t>
    </rPh>
    <phoneticPr fontId="13"/>
  </si>
  <si>
    <t>和泉 330 や 677</t>
    <rPh sb="0" eb="2">
      <t>イズミ</t>
    </rPh>
    <phoneticPr fontId="13"/>
  </si>
  <si>
    <t>保証書 取説 ｷｰﾚｽ ﾘﾓｺﾝ ﾏｲｸﾛSD</t>
    <rPh sb="0" eb="3">
      <t>ホショウショ</t>
    </rPh>
    <rPh sb="4" eb="6">
      <t>トリセツ</t>
    </rPh>
    <phoneticPr fontId="13"/>
  </si>
  <si>
    <t>習志野 361 な 22</t>
    <rPh sb="0" eb="3">
      <t>ナラシノ</t>
    </rPh>
    <phoneticPr fontId="13"/>
  </si>
  <si>
    <t>千葉 334 そ 150</t>
    <rPh sb="0" eb="2">
      <t>チバ</t>
    </rPh>
    <phoneticPr fontId="13"/>
  </si>
  <si>
    <t>取説 ｷｰﾚｽ ﾜﾝｵｰﾅｰ 保証書</t>
    <rPh sb="0" eb="2">
      <t>トリセツ</t>
    </rPh>
    <rPh sb="15" eb="18">
      <t>ホショウショ</t>
    </rPh>
    <phoneticPr fontId="13"/>
  </si>
  <si>
    <t>地図SD(車内)ｷｰﾚｽ ﾜﾝｵｰﾅｰ ←付属品ｺｰﾅｰへ</t>
    <rPh sb="0" eb="2">
      <t>チズ</t>
    </rPh>
    <rPh sb="21" eb="24">
      <t>フゾクヒン</t>
    </rPh>
    <phoneticPr fontId="13"/>
  </si>
  <si>
    <t>ZFA31200JC56464</t>
    <phoneticPr fontId="13"/>
  </si>
  <si>
    <t>MR92S-472325</t>
    <phoneticPr fontId="13"/>
  </si>
  <si>
    <t>金沢 580 ふ 957</t>
    <rPh sb="0" eb="2">
      <t>カナザワ</t>
    </rPh>
    <phoneticPr fontId="13"/>
  </si>
  <si>
    <t>ｱﾄﾚｰﾊﾞﾝ RS</t>
    <phoneticPr fontId="13"/>
  </si>
  <si>
    <t>S700V-0169659</t>
    <phoneticPr fontId="13"/>
  </si>
  <si>
    <t>名古屋 480 も 3803</t>
    <rPh sb="0" eb="3">
      <t>ナゴヤ</t>
    </rPh>
    <phoneticPr fontId="13"/>
  </si>
  <si>
    <t>582 い 8474</t>
    <phoneticPr fontId="13"/>
  </si>
  <si>
    <t>582 い 8479</t>
    <phoneticPr fontId="13"/>
  </si>
  <si>
    <t>582 い 8478</t>
    <phoneticPr fontId="13"/>
  </si>
  <si>
    <t>582 い 8477</t>
    <phoneticPr fontId="13"/>
  </si>
  <si>
    <t>582 い 8476</t>
    <phoneticPr fontId="13"/>
  </si>
  <si>
    <t>582 い 8475</t>
    <phoneticPr fontId="13"/>
  </si>
  <si>
    <t>301 ね 5838</t>
    <phoneticPr fontId="13"/>
  </si>
  <si>
    <t>島根 501 つ 4641</t>
    <rPh sb="0" eb="2">
      <t>シマネ</t>
    </rPh>
    <phoneticPr fontId="13"/>
  </si>
  <si>
    <t>ごうぎんﾘｰｽ株式会社</t>
    <rPh sb="7" eb="11">
      <t>カブシキガイシャ</t>
    </rPh>
    <phoneticPr fontId="13"/>
  </si>
  <si>
    <t>福山 583 え 3532</t>
    <rPh sb="0" eb="2">
      <t>フクヤマ</t>
    </rPh>
    <phoneticPr fontId="13"/>
  </si>
  <si>
    <t>東中国ｽｽﾞｷ自動車株式会社福山営業所</t>
    <rPh sb="0" eb="1">
      <t>ヒガシ</t>
    </rPh>
    <rPh sb="1" eb="3">
      <t>チュウゴク</t>
    </rPh>
    <rPh sb="7" eb="14">
      <t>ジドウシャカブシキガイシャ</t>
    </rPh>
    <rPh sb="14" eb="16">
      <t>フクヤマ</t>
    </rPh>
    <rPh sb="16" eb="19">
      <t>エイギョウショ</t>
    </rPh>
    <phoneticPr fontId="13"/>
  </si>
  <si>
    <t>岡山 399 な 4147</t>
    <rPh sb="0" eb="2">
      <t>オカヤマ</t>
    </rPh>
    <phoneticPr fontId="13"/>
  </si>
  <si>
    <t>ﾏｲｸﾛ地図SD(車内)保証書 取説 ｷｰﾚｽ</t>
    <rPh sb="4" eb="6">
      <t>チズ</t>
    </rPh>
    <rPh sb="12" eb="15">
      <t>ホショウショ</t>
    </rPh>
    <rPh sb="16" eb="18">
      <t>トリセツ</t>
    </rPh>
    <phoneticPr fontId="13"/>
  </si>
  <si>
    <t>LA800S-0260547</t>
    <phoneticPr fontId="13"/>
  </si>
  <si>
    <t>愛媛 339 ろ 8778</t>
    <rPh sb="0" eb="2">
      <t>エヒメ</t>
    </rPh>
    <phoneticPr fontId="13"/>
  </si>
  <si>
    <t>ﾘﾓｺﾝ(車内)保証書 取説 ｷｰﾚｽ ﾜﾝｵｰﾅｰ</t>
    <rPh sb="5" eb="7">
      <t>シャナイ</t>
    </rPh>
    <rPh sb="8" eb="11">
      <t>ホショウショ</t>
    </rPh>
    <rPh sb="12" eb="14">
      <t>トリセツ</t>
    </rPh>
    <phoneticPr fontId="13"/>
  </si>
  <si>
    <t>WDC1569462J431572</t>
    <phoneticPr fontId="13"/>
  </si>
  <si>
    <t>WMW22DK0402P76835</t>
    <phoneticPr fontId="13"/>
  </si>
  <si>
    <t>三河 368 ふ 2525</t>
    <rPh sb="0" eb="2">
      <t>ミカワ</t>
    </rPh>
    <phoneticPr fontId="13"/>
  </si>
  <si>
    <t>ﾑｰﾌﾞｷｬﾝﾊﾞｽ G ﾒｲｸｱｯﾌﾟ</t>
    <phoneticPr fontId="13"/>
  </si>
  <si>
    <t>A317653</t>
    <phoneticPr fontId="13"/>
  </si>
  <si>
    <t xml:space="preserve">ﾏﾂﾀﾞCX-8 XD </t>
    <phoneticPr fontId="13"/>
  </si>
  <si>
    <t>KG2P-356164</t>
    <phoneticPr fontId="13"/>
  </si>
  <si>
    <t>A319239</t>
    <phoneticPr fontId="13"/>
  </si>
  <si>
    <t>ﾎﾝﾀﾞ ﾚｼﾞｪﾝﾄﾞ ﾊｲﾌﾞﾘｯﾄﾞEX</t>
    <phoneticPr fontId="13"/>
  </si>
  <si>
    <t>KC2-1100903</t>
    <phoneticPr fontId="13"/>
  </si>
  <si>
    <t>8/3/25</t>
    <phoneticPr fontId="13"/>
  </si>
  <si>
    <t>A319353</t>
    <phoneticPr fontId="13"/>
  </si>
  <si>
    <t xml:space="preserve">ｵｰﾗ ﾆﾓｽ </t>
    <phoneticPr fontId="13"/>
  </si>
  <si>
    <t>FE13-291976</t>
    <phoneticPr fontId="13"/>
  </si>
  <si>
    <t>9/10/25</t>
    <phoneticPr fontId="13"/>
  </si>
  <si>
    <t>A318767</t>
    <phoneticPr fontId="13"/>
  </si>
  <si>
    <t>MR52S-137193</t>
    <phoneticPr fontId="13"/>
  </si>
  <si>
    <t>8/7/12</t>
    <phoneticPr fontId="13"/>
  </si>
  <si>
    <t>A317864</t>
    <phoneticPr fontId="13"/>
  </si>
  <si>
    <t>GDH201-1113263</t>
    <phoneticPr fontId="13"/>
  </si>
  <si>
    <t>27-2447</t>
  </si>
  <si>
    <t>27-2448</t>
  </si>
  <si>
    <t>27-2449</t>
  </si>
  <si>
    <t>27-2450</t>
  </si>
  <si>
    <t>27-2451</t>
  </si>
  <si>
    <t>27-2452</t>
  </si>
  <si>
    <t>27-2453</t>
  </si>
  <si>
    <t>27-2454</t>
  </si>
  <si>
    <t>27-2455</t>
  </si>
  <si>
    <t>27-2456</t>
  </si>
  <si>
    <t>27-2457</t>
  </si>
  <si>
    <t>27-2458</t>
  </si>
  <si>
    <t>27-2459</t>
  </si>
  <si>
    <t>27-2460</t>
  </si>
  <si>
    <t>MH85S-135225</t>
    <phoneticPr fontId="13"/>
  </si>
  <si>
    <t>9/6/23</t>
    <phoneticPr fontId="13"/>
  </si>
  <si>
    <t>ﾑｰﾌﾞｶｽﾀﾑX  ﾊｲﾊﾟｰSA2</t>
    <phoneticPr fontId="13"/>
  </si>
  <si>
    <t>LA150S-0045207</t>
    <phoneticPr fontId="13"/>
  </si>
  <si>
    <t>地図SD ｽﾏｰﾄｷｰ</t>
    <rPh sb="0" eb="2">
      <t>チズ</t>
    </rPh>
    <phoneticPr fontId="13"/>
  </si>
  <si>
    <t>ｳｪｲｸ Gﾀｰﾎﾞ ﾘﾐﾃｯﾄﾞ</t>
    <phoneticPr fontId="13"/>
  </si>
  <si>
    <t>LA700S-0168824</t>
    <phoneticPr fontId="13"/>
  </si>
  <si>
    <t>MH55S-121614</t>
    <phoneticPr fontId="13"/>
  </si>
  <si>
    <t>つくば 585 き 7007</t>
    <phoneticPr fontId="13"/>
  </si>
  <si>
    <t>江田 茂</t>
    <rPh sb="0" eb="2">
      <t>エダ</t>
    </rPh>
    <rPh sb="3" eb="4">
      <t>シゲル</t>
    </rPh>
    <phoneticPr fontId="13"/>
  </si>
  <si>
    <t>湘南 585 ち 1203</t>
    <rPh sb="0" eb="2">
      <t>ショウナン</t>
    </rPh>
    <phoneticPr fontId="13"/>
  </si>
  <si>
    <t>加藤 貴代</t>
    <rPh sb="0" eb="2">
      <t>カトウ</t>
    </rPh>
    <rPh sb="3" eb="4">
      <t>キ</t>
    </rPh>
    <rPh sb="4" eb="5">
      <t>ヨ</t>
    </rPh>
    <phoneticPr fontId="13"/>
  </si>
  <si>
    <t>千葉 331 む 7771</t>
    <rPh sb="0" eb="2">
      <t>チバ</t>
    </rPh>
    <phoneticPr fontId="13"/>
  </si>
  <si>
    <t>野田 480 き 8811</t>
    <rPh sb="0" eb="2">
      <t>ノダ</t>
    </rPh>
    <phoneticPr fontId="13"/>
  </si>
  <si>
    <t>瀧本 純一</t>
    <rPh sb="0" eb="2">
      <t>タキモト</t>
    </rPh>
    <rPh sb="3" eb="5">
      <t>ジュンイチ</t>
    </rPh>
    <phoneticPr fontId="13"/>
  </si>
  <si>
    <t>広島 330 ふ 7543</t>
    <rPh sb="0" eb="2">
      <t>ヒロシマ</t>
    </rPh>
    <phoneticPr fontId="13"/>
  </si>
  <si>
    <t>JB23W-774951</t>
    <phoneticPr fontId="13"/>
  </si>
  <si>
    <t>LA350S-0330962</t>
    <phoneticPr fontId="13"/>
  </si>
  <si>
    <t xml:space="preserve">保証書 ｷｰﾚｽ </t>
    <rPh sb="0" eb="3">
      <t>ホショウショ</t>
    </rPh>
    <phoneticPr fontId="13"/>
  </si>
  <si>
    <t>保証書ﾃﾞｨｰﾗｰ印訂正済</t>
    <rPh sb="0" eb="3">
      <t>ホショウショ</t>
    </rPh>
    <rPh sb="9" eb="10">
      <t>イン</t>
    </rPh>
    <rPh sb="10" eb="12">
      <t>テイセイ</t>
    </rPh>
    <rPh sb="12" eb="13">
      <t>ズ</t>
    </rPh>
    <phoneticPr fontId="13"/>
  </si>
  <si>
    <t>ｴｽﾃｨﾏ ｱｴﾗｽ ﾌﾟﾚﾐｱﾑｴﾃﾞｨｼｮﾝ</t>
    <phoneticPr fontId="13"/>
  </si>
  <si>
    <t>ACR50-0165004</t>
    <phoneticPr fontId="13"/>
  </si>
  <si>
    <t>名古屋 58A ま 3812</t>
    <rPh sb="0" eb="3">
      <t>ナゴヤ</t>
    </rPh>
    <phoneticPr fontId="13"/>
  </si>
  <si>
    <t>BASHIR KASHIF</t>
    <phoneticPr fontId="13"/>
  </si>
  <si>
    <t>ｷｰﾚｽ 地図SD(車内)保証書 取説 ﾅﾋﾞ取</t>
    <rPh sb="5" eb="7">
      <t>チズ</t>
    </rPh>
    <rPh sb="13" eb="16">
      <t>ホショウショ</t>
    </rPh>
    <rPh sb="17" eb="19">
      <t>トリセツ</t>
    </rPh>
    <rPh sb="23" eb="24">
      <t>トリ</t>
    </rPh>
    <phoneticPr fontId="13"/>
  </si>
  <si>
    <t>名古屋 780 ろ 4881</t>
    <rPh sb="0" eb="3">
      <t>ナゴヤ</t>
    </rPh>
    <phoneticPr fontId="13"/>
  </si>
  <si>
    <t>名古屋 583 そ 7116</t>
    <rPh sb="0" eb="3">
      <t>ナゴヤ</t>
    </rPh>
    <phoneticPr fontId="13"/>
  </si>
  <si>
    <t>草崎 奈津紀</t>
    <rPh sb="0" eb="2">
      <t>クササキ</t>
    </rPh>
    <rPh sb="3" eb="5">
      <t>ナツ</t>
    </rPh>
    <rPh sb="5" eb="6">
      <t>キ</t>
    </rPh>
    <phoneticPr fontId="13"/>
  </si>
  <si>
    <t>株式会社栗木自動車</t>
    <rPh sb="0" eb="4">
      <t>カブシキガイシャ</t>
    </rPh>
    <rPh sb="4" eb="6">
      <t>クリキ</t>
    </rPh>
    <rPh sb="6" eb="9">
      <t>ジドウシャ</t>
    </rPh>
    <phoneticPr fontId="13"/>
  </si>
  <si>
    <t>三重 582 え 9659</t>
    <rPh sb="0" eb="2">
      <t>ミエ</t>
    </rPh>
    <phoneticPr fontId="13"/>
  </si>
  <si>
    <t>大宮 798 ろ 8422</t>
    <rPh sb="0" eb="2">
      <t>オオミヤ</t>
    </rPh>
    <phoneticPr fontId="13"/>
  </si>
  <si>
    <t>滋賀 581 や 9016</t>
    <rPh sb="0" eb="2">
      <t>シガ</t>
    </rPh>
    <phoneticPr fontId="13"/>
  </si>
  <si>
    <t>浦口 翔伍</t>
    <rPh sb="0" eb="2">
      <t>ウラグチ</t>
    </rPh>
    <rPh sb="3" eb="4">
      <t>ショウ</t>
    </rPh>
    <rPh sb="4" eb="5">
      <t>ゴ</t>
    </rPh>
    <phoneticPr fontId="13"/>
  </si>
  <si>
    <t>高知 300 な 9299</t>
    <rPh sb="0" eb="2">
      <t>コウチ</t>
    </rPh>
    <phoneticPr fontId="13"/>
  </si>
  <si>
    <t>ﾄﾖﾀｶﾛｰﾗ高知株式会社</t>
    <rPh sb="7" eb="9">
      <t>コウチ</t>
    </rPh>
    <rPh sb="9" eb="13">
      <t>カブシキガイシャ</t>
    </rPh>
    <phoneticPr fontId="13"/>
  </si>
  <si>
    <t>徳島 483 か 319</t>
    <rPh sb="0" eb="2">
      <t>トクシマ</t>
    </rPh>
    <phoneticPr fontId="13"/>
  </si>
  <si>
    <t>坂東 未来</t>
    <rPh sb="0" eb="2">
      <t>サカトウ</t>
    </rPh>
    <rPh sb="3" eb="5">
      <t>ミライ</t>
    </rPh>
    <phoneticPr fontId="13"/>
  </si>
  <si>
    <t>滋賀 399 ち 5414</t>
    <rPh sb="0" eb="2">
      <t>シガ</t>
    </rPh>
    <phoneticPr fontId="13"/>
  </si>
  <si>
    <t>福山 583 い 5726</t>
    <rPh sb="0" eb="2">
      <t>フクヤマ</t>
    </rPh>
    <phoneticPr fontId="13"/>
  </si>
  <si>
    <t>福山日産自動車株式会社</t>
    <rPh sb="0" eb="2">
      <t>フクヤマ</t>
    </rPh>
    <rPh sb="2" eb="4">
      <t>ニッサン</t>
    </rPh>
    <rPh sb="4" eb="11">
      <t>ジドウシャカブシキガイシャ</t>
    </rPh>
    <phoneticPr fontId="13"/>
  </si>
  <si>
    <t>BMW X3 xﾄﾞﾗｲﾌﾞ20d Mｽﾎﾟｰﾂ</t>
    <phoneticPr fontId="13"/>
  </si>
  <si>
    <t>WBATX32060LG60257</t>
    <phoneticPr fontId="13"/>
  </si>
  <si>
    <t>鳥取 300 ひ 3214</t>
    <rPh sb="0" eb="2">
      <t>トットリ</t>
    </rPh>
    <phoneticPr fontId="13"/>
  </si>
  <si>
    <t>保証書 取説 ｽﾍﾟｱｷｰ ﾜﾝｵｰﾅｰ 名変期限2/23まで</t>
    <rPh sb="0" eb="3">
      <t>ホショウショ</t>
    </rPh>
    <rPh sb="4" eb="6">
      <t>トリセツ</t>
    </rPh>
    <rPh sb="21" eb="25">
      <t>メイヘンキゲン</t>
    </rPh>
    <phoneticPr fontId="13"/>
  </si>
  <si>
    <t>ｼﾄﾛｴﾝ C3 ｼｬｲﾝ</t>
    <phoneticPr fontId="13"/>
  </si>
  <si>
    <t>WMWXS720102C51466</t>
    <phoneticPr fontId="13"/>
  </si>
  <si>
    <t>松戸 310 と 1120</t>
    <rPh sb="0" eb="2">
      <t>マツト</t>
    </rPh>
    <phoneticPr fontId="13"/>
  </si>
  <si>
    <t>鈴木 巨典</t>
    <rPh sb="0" eb="2">
      <t>スズキ</t>
    </rPh>
    <rPh sb="3" eb="4">
      <t>キョ</t>
    </rPh>
    <rPh sb="4" eb="5">
      <t>ノリ</t>
    </rPh>
    <phoneticPr fontId="13"/>
  </si>
  <si>
    <t xml:space="preserve">保証書 取説 ｷｰﾚｽ ﾜﾝｵｰﾅｰ </t>
    <phoneticPr fontId="13"/>
  </si>
  <si>
    <t>JB23W-761952</t>
    <phoneticPr fontId="13"/>
  </si>
  <si>
    <t>ﾒﾙｾﾃﾞｽﾍﾞﾝﾂ GLB250</t>
    <phoneticPr fontId="13"/>
  </si>
  <si>
    <t>W1N2476472W094750</t>
    <phoneticPr fontId="13"/>
  </si>
  <si>
    <t>ｽﾏｰﾄ ﾌｫｰﾂｰｶﾌﾞｲｵ BRABUSｽﾎﾟｰﾂ</t>
    <phoneticPr fontId="13"/>
  </si>
  <si>
    <t>WME4534442K244890</t>
    <phoneticPr fontId="13"/>
  </si>
  <si>
    <t>WMW32BC0702R95361</t>
    <phoneticPr fontId="13"/>
  </si>
  <si>
    <t>神戸 397 む 330</t>
    <rPh sb="0" eb="2">
      <t>コウベ</t>
    </rPh>
    <phoneticPr fontId="13"/>
  </si>
  <si>
    <t>保証書 取説 ｽﾍﾟｱｷｰ ﾛｯｸﾅｯﾄ ﾜﾝｵｰﾅｰ</t>
    <rPh sb="0" eb="3">
      <t>ホショウショ</t>
    </rPh>
    <rPh sb="4" eb="6">
      <t>トリセツ</t>
    </rPh>
    <phoneticPr fontId="13"/>
  </si>
  <si>
    <t>VF7SXHNPYMT509884</t>
    <phoneticPr fontId="13"/>
  </si>
  <si>
    <t>ｳﾞｫｸｼｰ XS ｷﾗﾒｷ</t>
    <phoneticPr fontId="13"/>
  </si>
  <si>
    <t>ZRR80-0106727</t>
    <phoneticPr fontId="13"/>
  </si>
  <si>
    <t>GDH201-1047813</t>
    <phoneticPr fontId="13"/>
  </si>
  <si>
    <t>広島 431 ふ 77</t>
    <rPh sb="0" eb="2">
      <t>ヒロシマ</t>
    </rPh>
    <phoneticPr fontId="13"/>
  </si>
  <si>
    <t>JF5-1003563</t>
    <phoneticPr fontId="13"/>
  </si>
  <si>
    <t>8/10/9</t>
    <phoneticPr fontId="13"/>
  </si>
  <si>
    <t>姫路 583 あ 5844</t>
    <rPh sb="0" eb="2">
      <t>ヒメジ</t>
    </rPh>
    <phoneticPr fontId="13"/>
  </si>
  <si>
    <t>MK53S-262560</t>
    <phoneticPr fontId="13"/>
  </si>
  <si>
    <t>9/3/18</t>
    <phoneticPr fontId="13"/>
  </si>
  <si>
    <t>徳島 585 こ 705</t>
    <rPh sb="0" eb="2">
      <t>トクシマ</t>
    </rPh>
    <phoneticPr fontId="13"/>
  </si>
  <si>
    <t>MR41S-341502</t>
    <phoneticPr fontId="13"/>
  </si>
  <si>
    <t>なにわ 530 や 3122</t>
    <phoneticPr fontId="13"/>
  </si>
  <si>
    <t>佐賀 331 ち 4869</t>
    <rPh sb="0" eb="2">
      <t>サガ</t>
    </rPh>
    <phoneticPr fontId="13"/>
  </si>
  <si>
    <t>青柳 宣彦</t>
    <rPh sb="0" eb="2">
      <t>アオヤナギ</t>
    </rPh>
    <rPh sb="3" eb="5">
      <t>ノリヒコ</t>
    </rPh>
    <phoneticPr fontId="13"/>
  </si>
  <si>
    <t>盛岡 580 け 8713</t>
    <rPh sb="0" eb="2">
      <t>モリオカ</t>
    </rPh>
    <phoneticPr fontId="13"/>
  </si>
  <si>
    <t>久下 智大</t>
    <rPh sb="0" eb="1">
      <t>ヒサ</t>
    </rPh>
    <rPh sb="1" eb="2">
      <t>シタ</t>
    </rPh>
    <rPh sb="3" eb="4">
      <t>トモ</t>
    </rPh>
    <rPh sb="4" eb="5">
      <t>ダイ</t>
    </rPh>
    <phoneticPr fontId="13"/>
  </si>
  <si>
    <t>27-2461</t>
  </si>
  <si>
    <t>27-2462</t>
  </si>
  <si>
    <t>27-2463</t>
  </si>
  <si>
    <t>27-2464</t>
  </si>
  <si>
    <t>27-2465</t>
  </si>
  <si>
    <t>27-2466</t>
  </si>
  <si>
    <t>27-2467</t>
  </si>
  <si>
    <t>27-2468</t>
  </si>
  <si>
    <t>27-2469</t>
  </si>
  <si>
    <t>27-2470</t>
  </si>
  <si>
    <t>27-2471</t>
  </si>
  <si>
    <t>27-2472</t>
  </si>
  <si>
    <t>27-2473</t>
  </si>
  <si>
    <t>27-2474</t>
  </si>
  <si>
    <t>27-2475</t>
  </si>
  <si>
    <t>27-2476</t>
  </si>
  <si>
    <t>27-2477</t>
  </si>
  <si>
    <t>27-2478</t>
  </si>
  <si>
    <t>27-2479</t>
  </si>
  <si>
    <t>27-2480</t>
  </si>
  <si>
    <t>BP8P-201125</t>
    <phoneticPr fontId="13"/>
  </si>
  <si>
    <t>ZRR80-0154799</t>
    <phoneticPr fontId="13"/>
  </si>
  <si>
    <t>27-2481</t>
  </si>
  <si>
    <t>27-2482</t>
  </si>
  <si>
    <t>27-2483</t>
  </si>
  <si>
    <t>WMWXN320503C49682</t>
    <phoneticPr fontId="13"/>
  </si>
  <si>
    <t>WAUZZZF54NA026961</t>
    <phoneticPr fontId="13"/>
  </si>
  <si>
    <t>黒/赤</t>
    <rPh sb="0" eb="1">
      <t>クロ</t>
    </rPh>
    <rPh sb="2" eb="3">
      <t>アカ</t>
    </rPh>
    <phoneticPr fontId="13"/>
  </si>
  <si>
    <t>WME4530442Y186608</t>
    <phoneticPr fontId="13"/>
  </si>
  <si>
    <t>WBA5X72080FJ46924</t>
    <phoneticPr fontId="13"/>
  </si>
  <si>
    <t>WMWXT32002H68246</t>
    <phoneticPr fontId="13"/>
  </si>
  <si>
    <t>WMWLN320402D73415</t>
    <phoneticPr fontId="13"/>
  </si>
  <si>
    <t>27-2484</t>
  </si>
  <si>
    <t>27-2485</t>
  </si>
  <si>
    <t>27-2486</t>
  </si>
  <si>
    <t>27-2487</t>
  </si>
  <si>
    <t>WMWSV32070T154256</t>
    <phoneticPr fontId="13"/>
  </si>
  <si>
    <t>つくば 501 ち 5704</t>
    <phoneticPr fontId="13"/>
  </si>
  <si>
    <t>BMWﾐﾆｸﾗﾌﾞﾏﾝ ｸｰﾊﾟｰD</t>
    <phoneticPr fontId="13"/>
  </si>
  <si>
    <t>名古屋 332 ら 3815</t>
    <rPh sb="0" eb="3">
      <t>ナゴヤ</t>
    </rPh>
    <phoneticPr fontId="13"/>
  </si>
  <si>
    <t>MCC ｽﾏｰﾄﾌｫｰﾌｫｰ ﾌﾞﾗﾊﾞｽｽﾎﾟｰﾂ</t>
    <phoneticPr fontId="13"/>
  </si>
  <si>
    <t>BMW 3ｼﾘｰｽﾞ ｾﾀﾞﾝ Mｽﾎﾟｰﾂ</t>
    <phoneticPr fontId="13"/>
  </si>
  <si>
    <t>ﾏﾂﾀﾞ3 ｾﾀﾞﾝ XD Lﾊﾟｯｹｰｼﾞ</t>
    <phoneticPr fontId="13"/>
  </si>
  <si>
    <t>保証書 取説 3月末名変</t>
    <rPh sb="0" eb="3">
      <t>ホショウショ</t>
    </rPh>
    <rPh sb="4" eb="6">
      <t>トリセツ</t>
    </rPh>
    <rPh sb="8" eb="12">
      <t>ガツマツメイヘン</t>
    </rPh>
    <phoneticPr fontId="13"/>
  </si>
  <si>
    <t>保証書 取説  2月末名変</t>
    <rPh sb="0" eb="3">
      <t>ホショウショ</t>
    </rPh>
    <rPh sb="4" eb="6">
      <t>トリセツ</t>
    </rPh>
    <rPh sb="9" eb="13">
      <t>ガツマツメイヘン</t>
    </rPh>
    <phoneticPr fontId="13"/>
  </si>
  <si>
    <t>27-2488</t>
  </si>
  <si>
    <t>27-2489</t>
  </si>
  <si>
    <t>27-2490</t>
  </si>
  <si>
    <t>27-2491</t>
  </si>
  <si>
    <t>27-2492</t>
  </si>
  <si>
    <t>27-2493</t>
  </si>
  <si>
    <t>27-2494</t>
  </si>
  <si>
    <t>27-2495</t>
  </si>
  <si>
    <t>27-2496</t>
  </si>
  <si>
    <t>27-2497</t>
  </si>
  <si>
    <t>27-2498</t>
  </si>
  <si>
    <t>27-2499</t>
  </si>
  <si>
    <t>27-2500</t>
  </si>
  <si>
    <t>27-2501</t>
  </si>
  <si>
    <t>27-2502</t>
  </si>
  <si>
    <t>A320137</t>
    <phoneticPr fontId="13"/>
  </si>
  <si>
    <t>ｷｯｸｽ X ﾂｰﾄﾝｲﾝﾃﾘｱｴﾃﾞｨｼｮﾝ</t>
    <phoneticPr fontId="13"/>
  </si>
  <si>
    <t>P15-001821</t>
    <phoneticPr fontId="13"/>
  </si>
  <si>
    <t>9/6/22</t>
    <phoneticPr fontId="13"/>
  </si>
  <si>
    <t>A320234</t>
    <phoneticPr fontId="13"/>
  </si>
  <si>
    <t>JF3-2317571</t>
    <phoneticPr fontId="13"/>
  </si>
  <si>
    <t>A319156</t>
    <phoneticPr fontId="13"/>
  </si>
  <si>
    <t>ｼｴﾝﾀ Z</t>
    <phoneticPr fontId="13"/>
  </si>
  <si>
    <t>MXPC10-1012400</t>
    <phoneticPr fontId="13"/>
  </si>
  <si>
    <t>9/12/20</t>
    <phoneticPr fontId="13"/>
  </si>
  <si>
    <t>A319083</t>
    <phoneticPr fontId="13"/>
  </si>
  <si>
    <t>ﾌｪｱﾚﾃﾞｨZ ﾊﾞｰｼﾞｮﾝST</t>
    <phoneticPr fontId="13"/>
  </si>
  <si>
    <t>RZ34-120550</t>
    <phoneticPr fontId="13"/>
  </si>
  <si>
    <t>A319328</t>
    <phoneticPr fontId="13"/>
  </si>
  <si>
    <t>LA400K-0050515</t>
    <phoneticPr fontId="13"/>
  </si>
  <si>
    <t>A319735</t>
    <phoneticPr fontId="13"/>
  </si>
  <si>
    <t>CX5 25S Lﾊﾟｯｹｰｼﾞ</t>
    <phoneticPr fontId="13"/>
  </si>
  <si>
    <t>KF5P-100644</t>
    <phoneticPr fontId="13"/>
  </si>
  <si>
    <t>A318942</t>
    <phoneticPr fontId="13"/>
  </si>
  <si>
    <t>ｳﾞｪｾﾞﾙ e HEV Play</t>
    <phoneticPr fontId="13"/>
  </si>
  <si>
    <t>RV5-1078161</t>
    <phoneticPr fontId="13"/>
  </si>
  <si>
    <t>A319275</t>
    <phoneticPr fontId="13"/>
  </si>
  <si>
    <t>DA17W-258623</t>
    <phoneticPr fontId="13"/>
  </si>
  <si>
    <t>9/1/23</t>
    <phoneticPr fontId="13"/>
  </si>
  <si>
    <t>A319361</t>
    <phoneticPr fontId="13"/>
  </si>
  <si>
    <t>ﾌﾘｰﾄﾞ G ﾎﾝﾀﾞｾﾝｼﾝｸﾞ</t>
    <phoneticPr fontId="13"/>
  </si>
  <si>
    <t>GB5-1029601</t>
    <phoneticPr fontId="13"/>
  </si>
  <si>
    <t>A318997</t>
    <phoneticPr fontId="13"/>
  </si>
  <si>
    <t>ANH20-8287676</t>
    <phoneticPr fontId="13"/>
  </si>
  <si>
    <t>A319424</t>
    <phoneticPr fontId="13"/>
  </si>
  <si>
    <t>ZN6-076897</t>
    <phoneticPr fontId="13"/>
  </si>
  <si>
    <t>8/8/16</t>
    <phoneticPr fontId="13"/>
  </si>
  <si>
    <t>A319725</t>
    <phoneticPr fontId="13"/>
  </si>
  <si>
    <t>JB23W-760972</t>
    <phoneticPr fontId="13"/>
  </si>
  <si>
    <t>9/12/18</t>
    <phoneticPr fontId="13"/>
  </si>
  <si>
    <t>A302282</t>
    <phoneticPr fontId="13"/>
  </si>
  <si>
    <t>MXPK11-2152172</t>
    <phoneticPr fontId="13"/>
  </si>
  <si>
    <t>A319928</t>
    <phoneticPr fontId="13"/>
  </si>
  <si>
    <t>ﾑｰﾌﾞ ｶｽﾀﾑ RS ﾊｲﾊﾟｰSA</t>
    <phoneticPr fontId="13"/>
  </si>
  <si>
    <t>LA150S-0012275</t>
    <phoneticPr fontId="13"/>
  </si>
  <si>
    <t>A319119</t>
    <phoneticPr fontId="13"/>
  </si>
  <si>
    <t>MK54S-150002</t>
    <phoneticPr fontId="13"/>
  </si>
  <si>
    <t>10/1/13</t>
    <phoneticPr fontId="13"/>
  </si>
  <si>
    <t>LA350S-0332834</t>
    <phoneticPr fontId="13"/>
  </si>
  <si>
    <t>LA900S-0086953</t>
    <phoneticPr fontId="13"/>
  </si>
  <si>
    <t>京都 783 ぬ 1212</t>
    <rPh sb="0" eb="2">
      <t>キョウト</t>
    </rPh>
    <phoneticPr fontId="13"/>
  </si>
  <si>
    <t>ｷｬｽﾄ ｱｸﾃｨﾊﾞ X SA2</t>
    <phoneticPr fontId="13"/>
  </si>
  <si>
    <t>LA250S-0045360</t>
    <phoneticPr fontId="13"/>
  </si>
  <si>
    <t>LA350S-0331260</t>
    <phoneticPr fontId="13"/>
  </si>
  <si>
    <t>ｷｬｽﾄ ｽﾀｲﾙ G SA3</t>
    <phoneticPr fontId="13"/>
  </si>
  <si>
    <t>LA250S-0139309</t>
    <phoneticPr fontId="13"/>
  </si>
  <si>
    <t>大阪 582 と 7901</t>
    <rPh sb="0" eb="2">
      <t>オオサカ</t>
    </rPh>
    <phoneticPr fontId="13"/>
  </si>
  <si>
    <t>LA350S-0338949</t>
    <phoneticPr fontId="13"/>
  </si>
  <si>
    <t>ｶﾛｰﾗﾌｨｰﾙﾀﾞｰ ﾊｲﾌﾞﾘｯﾄﾞ G</t>
    <phoneticPr fontId="13"/>
  </si>
  <si>
    <t>NKE165-7105997</t>
    <phoneticPr fontId="13"/>
  </si>
  <si>
    <t>MR41S-336408</t>
    <phoneticPr fontId="13"/>
  </si>
  <si>
    <t>ｴﾌﾞﾘｲｼﾞｮｲﾝ</t>
    <phoneticPr fontId="13"/>
  </si>
  <si>
    <t>DA17V-446313</t>
    <phoneticPr fontId="13"/>
  </si>
  <si>
    <t>ｱﾙﾌｧﾛﾒｵ ｼﾞｭﾘｴｯﾀ</t>
    <phoneticPr fontId="13"/>
  </si>
  <si>
    <t>ZAR94000007537774</t>
    <phoneticPr fontId="13"/>
  </si>
  <si>
    <t>愛媛 338 そ 2020</t>
    <rPh sb="0" eb="2">
      <t>エヒメ</t>
    </rPh>
    <phoneticPr fontId="13"/>
  </si>
  <si>
    <t>MH34S-500312</t>
    <phoneticPr fontId="13"/>
  </si>
  <si>
    <t>ﾌﾟｼﾞｮｰ208</t>
    <phoneticPr fontId="13"/>
  </si>
  <si>
    <t>VR3UPHKSMT013467</t>
    <phoneticPr fontId="13"/>
  </si>
  <si>
    <t>480 ね 3165</t>
    <phoneticPr fontId="13"/>
  </si>
  <si>
    <t>480 ね 3166</t>
    <phoneticPr fontId="13"/>
  </si>
  <si>
    <t>582 い 8584</t>
    <phoneticPr fontId="13"/>
  </si>
  <si>
    <t>582 い 8585</t>
    <phoneticPr fontId="13"/>
  </si>
  <si>
    <t>582 い 8586</t>
    <phoneticPr fontId="13"/>
  </si>
  <si>
    <t>582 い 8587</t>
    <phoneticPr fontId="13"/>
  </si>
  <si>
    <t>582 い 8588</t>
    <phoneticPr fontId="13"/>
  </si>
  <si>
    <t>582 い 8589</t>
    <phoneticPr fontId="13"/>
  </si>
  <si>
    <t>582 い 8590</t>
    <phoneticPr fontId="13"/>
  </si>
  <si>
    <t>582 い 8591</t>
    <phoneticPr fontId="13"/>
  </si>
  <si>
    <t>岡山 584 ろ 3006</t>
    <rPh sb="0" eb="2">
      <t>オカヤマ</t>
    </rPh>
    <phoneticPr fontId="13"/>
  </si>
  <si>
    <t>1/13</t>
    <phoneticPr fontId="13"/>
  </si>
  <si>
    <t>なにわ 302 さ 8372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</si>
  <si>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</si>
  <si>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神戸 302 わ 2232</t>
    <rPh sb="0" eb="2">
      <t>コウベ</t>
    </rPh>
    <phoneticPr fontId="13"/>
  </si>
  <si>
    <t>保証書 取説 ｷｰﾚｽ ﾚﾝﾀｶｰ</t>
    <phoneticPr fontId="13"/>
  </si>
  <si>
    <t>長村 美治</t>
    <rPh sb="0" eb="2">
      <t>ナガムラ</t>
    </rPh>
    <rPh sb="3" eb="4">
      <t>ミ</t>
    </rPh>
    <rPh sb="4" eb="5">
      <t>ナオ</t>
    </rPh>
    <phoneticPr fontId="13"/>
  </si>
  <si>
    <t>501 ゆ 3334</t>
    <phoneticPr fontId="13"/>
  </si>
  <si>
    <t>501 ゆ 3335</t>
    <phoneticPr fontId="13"/>
  </si>
  <si>
    <t>301 ね 5884</t>
    <phoneticPr fontId="13"/>
  </si>
  <si>
    <t>南場 誠</t>
    <rPh sb="0" eb="1">
      <t>ミナミ</t>
    </rPh>
    <rPh sb="1" eb="2">
      <t>バ</t>
    </rPh>
    <rPh sb="3" eb="4">
      <t>マコト</t>
    </rPh>
    <phoneticPr fontId="13"/>
  </si>
  <si>
    <t>WVWZZZ16ZFM626212</t>
    <phoneticPr fontId="13"/>
  </si>
  <si>
    <t>WMWXN920702H65597</t>
    <phoneticPr fontId="13"/>
  </si>
  <si>
    <t>DA17W-206438</t>
    <phoneticPr fontId="13"/>
  </si>
  <si>
    <t>DA17V-499114</t>
    <phoneticPr fontId="13"/>
  </si>
  <si>
    <t>和歌山 480 つ 1427</t>
    <rPh sb="0" eb="3">
      <t>ワカヤマ</t>
    </rPh>
    <phoneticPr fontId="13"/>
  </si>
  <si>
    <t>DA17W-320680</t>
    <phoneticPr fontId="13"/>
  </si>
  <si>
    <t>BMW X1 xﾄﾞﾗｲﾌﾞ20i Mｽﾎﾟｰﾂ</t>
    <phoneticPr fontId="13"/>
  </si>
  <si>
    <t>WBAJG520703G38724</t>
    <phoneticPr fontId="13"/>
  </si>
  <si>
    <t>BMW X1 Sﾄﾞﾗｲﾌﾞ 18i</t>
    <phoneticPr fontId="13"/>
  </si>
  <si>
    <t>WBAHS120405F03680</t>
    <phoneticPr fontId="13"/>
  </si>
  <si>
    <t>MH85S-124860</t>
    <phoneticPr fontId="13"/>
  </si>
  <si>
    <t>広島 581 も 7184</t>
    <rPh sb="0" eb="2">
      <t>ヒロシマ</t>
    </rPh>
    <phoneticPr fontId="13"/>
  </si>
  <si>
    <t>青/白</t>
    <rPh sb="0" eb="1">
      <t>アオ</t>
    </rPh>
    <rPh sb="2" eb="3">
      <t>シロ</t>
    </rPh>
    <phoneticPr fontId="13"/>
  </si>
  <si>
    <t>HE33S-317560</t>
    <phoneticPr fontId="13"/>
  </si>
  <si>
    <t>広島 583 よ 3715</t>
    <rPh sb="0" eb="2">
      <t>ヒロシマ</t>
    </rPh>
    <phoneticPr fontId="13"/>
  </si>
  <si>
    <t>LA650S-0256543</t>
    <phoneticPr fontId="13"/>
  </si>
  <si>
    <t>広島 580 わ 8576</t>
    <rPh sb="0" eb="2">
      <t>ヒロシマ</t>
    </rPh>
    <phoneticPr fontId="13"/>
  </si>
  <si>
    <t>MK53S-361709</t>
    <phoneticPr fontId="13"/>
  </si>
  <si>
    <t>福山 584 く 420</t>
    <rPh sb="0" eb="2">
      <t>フクヤマ</t>
    </rPh>
    <phoneticPr fontId="13"/>
  </si>
  <si>
    <t>MR92S-501228</t>
    <phoneticPr fontId="13"/>
  </si>
  <si>
    <t>広島 588 す 817</t>
    <rPh sb="0" eb="2">
      <t>ヒロシマ</t>
    </rPh>
    <phoneticPr fontId="13"/>
  </si>
  <si>
    <t>MR92S-201942</t>
    <phoneticPr fontId="13"/>
  </si>
  <si>
    <t>岡山 581 よ 5368</t>
    <rPh sb="0" eb="2">
      <t>オカヤマ</t>
    </rPh>
    <phoneticPr fontId="13"/>
  </si>
  <si>
    <t>品番；CN-RA04D</t>
    <rPh sb="0" eb="2">
      <t>ヒンバン</t>
    </rPh>
    <phoneticPr fontId="13"/>
  </si>
  <si>
    <t>保証書 取説 ｷｰﾚｽ 地図SD ﾘﾓｺﾝ(車内)</t>
    <rPh sb="0" eb="3">
      <t>ホショウショ</t>
    </rPh>
    <rPh sb="4" eb="6">
      <t>トリセツ</t>
    </rPh>
    <rPh sb="12" eb="14">
      <t>チズ</t>
    </rPh>
    <phoneticPr fontId="13"/>
  </si>
  <si>
    <t>582 い 8673</t>
    <phoneticPr fontId="13"/>
  </si>
  <si>
    <t>582 い 8672</t>
    <phoneticPr fontId="13"/>
  </si>
  <si>
    <t>582 い 8671</t>
    <phoneticPr fontId="13"/>
  </si>
  <si>
    <t>582 い 8670</t>
    <phoneticPr fontId="13"/>
  </si>
  <si>
    <t>ｼﾄﾛｴﾝ C3 ｴｱｸﾛｽ ｼｬｲﾝ</t>
    <phoneticPr fontId="13"/>
  </si>
  <si>
    <t>VF72RHNPXL4375751</t>
    <phoneticPr fontId="13"/>
  </si>
  <si>
    <t>27-2503</t>
  </si>
  <si>
    <t>27-2504</t>
  </si>
  <si>
    <t>27-2505</t>
  </si>
  <si>
    <t>27-2506</t>
  </si>
  <si>
    <t>27-2507</t>
  </si>
  <si>
    <t>27-2508</t>
  </si>
  <si>
    <t>27-2509</t>
  </si>
  <si>
    <t>27-2510</t>
  </si>
  <si>
    <t>27-2511</t>
  </si>
  <si>
    <t>27-2512</t>
  </si>
  <si>
    <t>27-2513</t>
  </si>
  <si>
    <t>27-2514</t>
  </si>
  <si>
    <t>27-2515</t>
  </si>
  <si>
    <t>27-2516</t>
  </si>
  <si>
    <t>27-2517</t>
  </si>
  <si>
    <t>27-2518</t>
  </si>
  <si>
    <t>27-2519</t>
  </si>
  <si>
    <t>27-2520</t>
  </si>
  <si>
    <t>27-2521</t>
  </si>
  <si>
    <t>27-2522</t>
  </si>
  <si>
    <t>27-2523</t>
  </si>
  <si>
    <t>27-2524</t>
  </si>
  <si>
    <t>27-2525</t>
  </si>
  <si>
    <t>27-2526</t>
  </si>
  <si>
    <t>27-2527</t>
  </si>
  <si>
    <t>27-2528</t>
  </si>
  <si>
    <t>27-2529</t>
  </si>
  <si>
    <t>27-2530</t>
  </si>
  <si>
    <t>27-2531</t>
  </si>
  <si>
    <t>27-2532</t>
  </si>
  <si>
    <t>27-2533</t>
  </si>
  <si>
    <t>WAUZZZGB8PR021545</t>
    <phoneticPr fontId="13"/>
  </si>
  <si>
    <t>ﾍﾞﾝﾂ GLAｸﾗｽ</t>
    <phoneticPr fontId="13"/>
  </si>
  <si>
    <t>WDC1569472J618400</t>
    <phoneticPr fontId="13"/>
  </si>
  <si>
    <t>LA350S-0239038</t>
    <phoneticPr fontId="13"/>
  </si>
  <si>
    <t>S331G-0030584</t>
    <phoneticPr fontId="13"/>
  </si>
  <si>
    <t>LA650S-0139510</t>
    <phoneticPr fontId="13"/>
  </si>
  <si>
    <t>27-2534</t>
  </si>
  <si>
    <t>27-2535</t>
  </si>
  <si>
    <t>27-2536</t>
  </si>
  <si>
    <t>27-2537</t>
  </si>
  <si>
    <t>DA17V-639007</t>
    <phoneticPr fontId="13"/>
  </si>
  <si>
    <t>27-2538</t>
  </si>
  <si>
    <t>GFC27-058601</t>
    <phoneticPr fontId="13"/>
  </si>
  <si>
    <t>MﾍﾞﾝﾂA</t>
    <phoneticPr fontId="13"/>
  </si>
  <si>
    <t>WDD1771472W015131</t>
    <phoneticPr fontId="13"/>
  </si>
  <si>
    <t>WMWXS520602C92907</t>
    <phoneticPr fontId="13"/>
  </si>
  <si>
    <t>ﾐﾗｲｰｽ　X　SA</t>
    <phoneticPr fontId="13"/>
  </si>
  <si>
    <t>ｱﾄﾚｰﾜｺﾞﾝ　車椅子移動車</t>
    <rPh sb="9" eb="10">
      <t>クルマ</t>
    </rPh>
    <rPh sb="10" eb="12">
      <t>イス</t>
    </rPh>
    <rPh sb="12" eb="15">
      <t>イドウシャ</t>
    </rPh>
    <phoneticPr fontId="13"/>
  </si>
  <si>
    <t>整備手帳　福祉車両</t>
    <rPh sb="0" eb="4">
      <t>セイビテチョウ</t>
    </rPh>
    <rPh sb="5" eb="9">
      <t>フクシシャリョウ</t>
    </rPh>
    <phoneticPr fontId="13"/>
  </si>
  <si>
    <t>保証書　整備手帳　　ﾚﾝﾀｶｰ</t>
    <rPh sb="0" eb="3">
      <t>ホショウショ</t>
    </rPh>
    <rPh sb="4" eb="8">
      <t>セイビテチョウ</t>
    </rPh>
    <phoneticPr fontId="13"/>
  </si>
  <si>
    <t>ｾﾚﾅ　ﾊｲｳｪｲｽﾀｰ　Vｾﾚｸｼｮﾝ</t>
    <phoneticPr fontId="13"/>
  </si>
  <si>
    <t>ﾌｨｱｯﾄ500X　ｸﾛｽ</t>
    <phoneticPr fontId="13"/>
  </si>
  <si>
    <t>ZFA3340000P904228</t>
    <phoneticPr fontId="13"/>
  </si>
  <si>
    <t>保証書　整備手帳</t>
    <rPh sb="0" eb="3">
      <t>ホショウショ</t>
    </rPh>
    <rPh sb="4" eb="8">
      <t>セイビテチョウ</t>
    </rPh>
    <phoneticPr fontId="13"/>
  </si>
  <si>
    <t>白河 580 あ 5278</t>
    <rPh sb="0" eb="2">
      <t>シラカワ</t>
    </rPh>
    <phoneticPr fontId="13"/>
  </si>
  <si>
    <t>小俣 美乃</t>
    <rPh sb="0" eb="2">
      <t>コマタ</t>
    </rPh>
    <rPh sb="3" eb="4">
      <t>ミ</t>
    </rPh>
    <rPh sb="4" eb="5">
      <t>ノ</t>
    </rPh>
    <phoneticPr fontId="13"/>
  </si>
  <si>
    <t>横浜 331 ゆ 3381</t>
    <rPh sb="0" eb="2">
      <t>ヨコハマ</t>
    </rPh>
    <phoneticPr fontId="13"/>
  </si>
  <si>
    <t>秋元 友樹</t>
    <rPh sb="0" eb="2">
      <t>アキモト</t>
    </rPh>
    <rPh sb="3" eb="5">
      <t>トモキ</t>
    </rPh>
    <phoneticPr fontId="13"/>
  </si>
  <si>
    <t>岐阜 599 は 9712</t>
    <rPh sb="0" eb="2">
      <t>ギフ</t>
    </rPh>
    <phoneticPr fontId="13"/>
  </si>
  <si>
    <t>宮﨑 健太</t>
    <rPh sb="0" eb="2">
      <t>ミヤザキ</t>
    </rPh>
    <rPh sb="3" eb="5">
      <t>ケンタ</t>
    </rPh>
    <phoneticPr fontId="13"/>
  </si>
  <si>
    <t>浜松 531 ま 1182</t>
    <rPh sb="0" eb="2">
      <t>ハママツ</t>
    </rPh>
    <phoneticPr fontId="13"/>
  </si>
  <si>
    <t>國吉 太郎</t>
    <rPh sb="0" eb="1">
      <t>クニ</t>
    </rPh>
    <rPh sb="1" eb="2">
      <t>ヨシ</t>
    </rPh>
    <rPh sb="3" eb="5">
      <t>タロウ</t>
    </rPh>
    <phoneticPr fontId="13"/>
  </si>
  <si>
    <t>津田 安弥</t>
    <rPh sb="0" eb="2">
      <t>ツダ</t>
    </rPh>
    <rPh sb="3" eb="4">
      <t>ヤス</t>
    </rPh>
    <rPh sb="4" eb="5">
      <t>ヤ</t>
    </rPh>
    <phoneticPr fontId="13"/>
  </si>
  <si>
    <t>伊勢志摩 583 そ 1188</t>
    <rPh sb="0" eb="4">
      <t>イセシマ</t>
    </rPh>
    <phoneticPr fontId="13"/>
  </si>
  <si>
    <t>竹中 則勝</t>
    <rPh sb="0" eb="2">
      <t>タケナカ</t>
    </rPh>
    <rPh sb="3" eb="5">
      <t>ノリカツ</t>
    </rPh>
    <phoneticPr fontId="13"/>
  </si>
  <si>
    <t>保証書 取説 ﾅﾋﾞ取 ｷｰﾚｽ</t>
    <rPh sb="0" eb="3">
      <t>ホショウショ</t>
    </rPh>
    <rPh sb="4" eb="6">
      <t>トリセツ</t>
    </rPh>
    <rPh sb="10" eb="11">
      <t>　</t>
    </rPh>
    <phoneticPr fontId="13"/>
  </si>
  <si>
    <t>京都 330 ふ 689</t>
    <rPh sb="0" eb="2">
      <t>キョウト</t>
    </rPh>
    <phoneticPr fontId="13"/>
  </si>
  <si>
    <t>京都ﾄﾖﾀ自動車株式会社</t>
    <rPh sb="0" eb="2">
      <t>キョウト</t>
    </rPh>
    <rPh sb="5" eb="12">
      <t>ジドウシャカブシキガイシャ</t>
    </rPh>
    <phoneticPr fontId="13"/>
  </si>
  <si>
    <t>福岡 346 む 524</t>
    <rPh sb="0" eb="2">
      <t>フクオカ</t>
    </rPh>
    <phoneticPr fontId="13"/>
  </si>
  <si>
    <t>沖田 浩一</t>
    <rPh sb="0" eb="2">
      <t>オキタ</t>
    </rPh>
    <rPh sb="3" eb="5">
      <t>コウイチ</t>
    </rPh>
    <phoneticPr fontId="13"/>
  </si>
  <si>
    <t>川崎 340 ひ 811</t>
    <rPh sb="0" eb="2">
      <t>カワサキ</t>
    </rPh>
    <phoneticPr fontId="13"/>
  </si>
  <si>
    <t>勝箭 翔平</t>
    <rPh sb="0" eb="1">
      <t>カツ</t>
    </rPh>
    <rPh sb="1" eb="2">
      <t>セン</t>
    </rPh>
    <rPh sb="3" eb="4">
      <t>ショウ</t>
    </rPh>
    <rPh sb="4" eb="5">
      <t>ヒラ</t>
    </rPh>
    <phoneticPr fontId="13"/>
  </si>
  <si>
    <t>とちぎ 300 ほ 4890</t>
    <phoneticPr fontId="13"/>
  </si>
  <si>
    <t>内藤 明</t>
    <rPh sb="0" eb="2">
      <t>ナイトウ</t>
    </rPh>
    <rPh sb="3" eb="4">
      <t>アキラ</t>
    </rPh>
    <phoneticPr fontId="13"/>
  </si>
  <si>
    <t>袖ヶ浦 383 ま 18</t>
    <rPh sb="0" eb="3">
      <t>ソデガウラ</t>
    </rPh>
    <phoneticPr fontId="13"/>
  </si>
  <si>
    <t>持田 和賢</t>
    <rPh sb="0" eb="2">
      <t>モチダ</t>
    </rPh>
    <rPh sb="3" eb="4">
      <t>カズ</t>
    </rPh>
    <rPh sb="4" eb="5">
      <t>カシコ</t>
    </rPh>
    <phoneticPr fontId="13"/>
  </si>
  <si>
    <t>春日部 337 な 526</t>
    <rPh sb="0" eb="3">
      <t>カスカベ</t>
    </rPh>
    <phoneticPr fontId="13"/>
  </si>
  <si>
    <t>用田 光広</t>
    <rPh sb="0" eb="1">
      <t>モチ</t>
    </rPh>
    <rPh sb="1" eb="2">
      <t>ダ</t>
    </rPh>
    <rPh sb="3" eb="4">
      <t>ミツ</t>
    </rPh>
    <rPh sb="4" eb="5">
      <t>ヒロ</t>
    </rPh>
    <phoneticPr fontId="13"/>
  </si>
  <si>
    <t>神戸 304 ふ 5251</t>
    <rPh sb="0" eb="2">
      <t>コウベ</t>
    </rPh>
    <phoneticPr fontId="13"/>
  </si>
  <si>
    <t>藤田 浩明</t>
    <rPh sb="0" eb="2">
      <t>フジタ</t>
    </rPh>
    <rPh sb="3" eb="4">
      <t>ヒロ</t>
    </rPh>
    <rPh sb="4" eb="5">
      <t>アキ</t>
    </rPh>
    <phoneticPr fontId="13"/>
  </si>
  <si>
    <t>京都 591 て 828</t>
    <rPh sb="0" eb="2">
      <t>キョウト</t>
    </rPh>
    <phoneticPr fontId="13"/>
  </si>
  <si>
    <t>坂井 勝英</t>
    <rPh sb="0" eb="2">
      <t>サカイ</t>
    </rPh>
    <rPh sb="3" eb="5">
      <t>カツヒデ</t>
    </rPh>
    <phoneticPr fontId="13"/>
  </si>
  <si>
    <t>大宮 583 そ 1714</t>
    <rPh sb="0" eb="2">
      <t>オオミヤ</t>
    </rPh>
    <phoneticPr fontId="13"/>
  </si>
  <si>
    <t>池嶋 兼介</t>
    <rPh sb="0" eb="2">
      <t>イケシマ</t>
    </rPh>
    <rPh sb="3" eb="5">
      <t>ケンスケ</t>
    </rPh>
    <phoneticPr fontId="13"/>
  </si>
  <si>
    <t>大垣 幸恵</t>
    <rPh sb="0" eb="2">
      <t>オオガキ</t>
    </rPh>
    <rPh sb="3" eb="5">
      <t>ユキエ</t>
    </rPh>
    <phoneticPr fontId="13"/>
  </si>
  <si>
    <t>保証書 取説 ﾅﾋﾞ取 Ｓｷｰ</t>
    <rPh sb="0" eb="3">
      <t>ホショウショ</t>
    </rPh>
    <rPh sb="4" eb="6">
      <t>トリセツ</t>
    </rPh>
    <rPh sb="10" eb="11">
      <t>トリ</t>
    </rPh>
    <phoneticPr fontId="13"/>
  </si>
  <si>
    <t>姫路 346 す 1222</t>
    <rPh sb="0" eb="2">
      <t>ヒメジ</t>
    </rPh>
    <phoneticPr fontId="13"/>
  </si>
  <si>
    <t>保証書 Ｓｷｰ ﾘﾓｺﾝ ＳＤ ﾐﾆB-CAS</t>
    <rPh sb="0" eb="3">
      <t>ホショウショ</t>
    </rPh>
    <phoneticPr fontId="13"/>
  </si>
  <si>
    <t>槌谷 昌男</t>
    <rPh sb="0" eb="1">
      <t>ツイ</t>
    </rPh>
    <rPh sb="1" eb="2">
      <t>タニ</t>
    </rPh>
    <rPh sb="3" eb="4">
      <t>ショウ</t>
    </rPh>
    <rPh sb="4" eb="5">
      <t>オ</t>
    </rPh>
    <phoneticPr fontId="13"/>
  </si>
  <si>
    <t>倉敷 580 め 1419</t>
    <rPh sb="0" eb="2">
      <t>クラシキ</t>
    </rPh>
    <phoneticPr fontId="13"/>
  </si>
  <si>
    <t>香川 581 ろ 8871</t>
    <rPh sb="0" eb="2">
      <t>カガワ</t>
    </rPh>
    <phoneticPr fontId="13"/>
  </si>
  <si>
    <t>岡山 592 と 1115</t>
    <rPh sb="0" eb="2">
      <t>オカヤマ</t>
    </rPh>
    <phoneticPr fontId="13"/>
  </si>
  <si>
    <t>西日本三菱自動車株式会社中四国営業本部</t>
    <rPh sb="0" eb="12">
      <t>ニシニホンミツビシジドウシャカブシキガイシャ</t>
    </rPh>
    <rPh sb="12" eb="15">
      <t>ナカシコク</t>
    </rPh>
    <rPh sb="15" eb="17">
      <t>エイギョウ</t>
    </rPh>
    <rPh sb="17" eb="19">
      <t>ホンブ</t>
    </rPh>
    <phoneticPr fontId="13"/>
  </si>
  <si>
    <t>名古屋 582 あ 6263</t>
    <rPh sb="0" eb="3">
      <t>ナゴヤ</t>
    </rPh>
    <phoneticPr fontId="13"/>
  </si>
  <si>
    <t>尾関 修士</t>
    <rPh sb="0" eb="2">
      <t>オセキ</t>
    </rPh>
    <rPh sb="3" eb="4">
      <t>シュウ</t>
    </rPh>
    <rPh sb="4" eb="5">
      <t>シ</t>
    </rPh>
    <phoneticPr fontId="13"/>
  </si>
  <si>
    <t>1/16</t>
    <phoneticPr fontId="13"/>
  </si>
  <si>
    <t>三重 338 ろ 311</t>
    <rPh sb="0" eb="2">
      <t>ミエ</t>
    </rPh>
    <phoneticPr fontId="13"/>
  </si>
  <si>
    <t>加藤 健次</t>
    <rPh sb="0" eb="2">
      <t>カトウ</t>
    </rPh>
    <rPh sb="3" eb="5">
      <t>ケンジ</t>
    </rPh>
    <phoneticPr fontId="13"/>
  </si>
  <si>
    <t>品川 5X2 ろ 9248</t>
    <rPh sb="0" eb="2">
      <t>シナガワ</t>
    </rPh>
    <phoneticPr fontId="13"/>
  </si>
  <si>
    <t>品川 39A め 3388</t>
    <rPh sb="0" eb="2">
      <t>シナガワ</t>
    </rPh>
    <phoneticPr fontId="13"/>
  </si>
  <si>
    <t>和泉 329 に 2990</t>
    <rPh sb="0" eb="2">
      <t>イズミ</t>
    </rPh>
    <phoneticPr fontId="13"/>
  </si>
  <si>
    <t>株式会社MIRIVE</t>
    <rPh sb="0" eb="4">
      <t>カブシキガイシャ</t>
    </rPh>
    <phoneticPr fontId="13"/>
  </si>
  <si>
    <t>多摩 592 ろ 6548</t>
    <rPh sb="0" eb="2">
      <t>タマ</t>
    </rPh>
    <phoneticPr fontId="13"/>
  </si>
  <si>
    <t>和泉 585 ろ 9487</t>
    <rPh sb="0" eb="2">
      <t>イズミ</t>
    </rPh>
    <phoneticPr fontId="13"/>
  </si>
  <si>
    <t>愛媛 580 や 8843</t>
    <rPh sb="0" eb="2">
      <t>エヒメ</t>
    </rPh>
    <phoneticPr fontId="13"/>
  </si>
  <si>
    <t>愛媛ﾀﾞｲﾊﾂ販売株式会社</t>
    <rPh sb="0" eb="2">
      <t>エヒメ</t>
    </rPh>
    <rPh sb="7" eb="13">
      <t>ハンバイカブシキガイシャ</t>
    </rPh>
    <phoneticPr fontId="13"/>
  </si>
  <si>
    <t>保証書 取説 ﾅﾋﾞ取 SD 地図SD ｷｰﾚｽ</t>
    <rPh sb="0" eb="3">
      <t>ホショウショ</t>
    </rPh>
    <rPh sb="4" eb="6">
      <t>トリセツ</t>
    </rPh>
    <rPh sb="10" eb="11">
      <t>トリ</t>
    </rPh>
    <rPh sb="15" eb="17">
      <t>チズ</t>
    </rPh>
    <phoneticPr fontId="13"/>
  </si>
  <si>
    <t>ｾｷｼｮｳﾎﾝﾀﾞ株式会社</t>
    <rPh sb="9" eb="13">
      <t>カブシキガイシャ</t>
    </rPh>
    <phoneticPr fontId="13"/>
  </si>
  <si>
    <t>ｷｬﾝｾﾙ返送1/16</t>
    <rPh sb="5" eb="7">
      <t>ヘンソウ</t>
    </rPh>
    <phoneticPr fontId="13"/>
  </si>
  <si>
    <t>伊豆 585 あ 1011</t>
    <rPh sb="0" eb="2">
      <t>イズ</t>
    </rPh>
    <phoneticPr fontId="13"/>
  </si>
  <si>
    <t>渡邊 貴</t>
    <rPh sb="0" eb="2">
      <t>ワタナベ</t>
    </rPh>
    <rPh sb="3" eb="4">
      <t>タカ</t>
    </rPh>
    <phoneticPr fontId="13"/>
  </si>
  <si>
    <t>吉田 貴子</t>
    <rPh sb="0" eb="2">
      <t>ヨシダ</t>
    </rPh>
    <rPh sb="3" eb="5">
      <t>タカコ</t>
    </rPh>
    <phoneticPr fontId="13"/>
  </si>
  <si>
    <t>車庫出しFAX貰う  ﾜﾝｵｰﾅｰ 直送 詳細なし</t>
    <rPh sb="0" eb="3">
      <t>シャコダ</t>
    </rPh>
    <rPh sb="7" eb="8">
      <t>モラ</t>
    </rPh>
    <rPh sb="18" eb="20">
      <t>チョクソウ</t>
    </rPh>
    <rPh sb="21" eb="23">
      <t>ショウサイ</t>
    </rPh>
    <phoneticPr fontId="13"/>
  </si>
  <si>
    <t>高知 339 せ 1123</t>
    <rPh sb="0" eb="2">
      <t>コウチ</t>
    </rPh>
    <phoneticPr fontId="13"/>
  </si>
  <si>
    <t>ﾈｯﾂﾄﾖﾀ南国株式会社</t>
    <rPh sb="6" eb="8">
      <t>ナンコク</t>
    </rPh>
    <rPh sb="8" eb="12">
      <t>カブシキガイシャ</t>
    </rPh>
    <phoneticPr fontId="13"/>
  </si>
  <si>
    <t>483 か 2155</t>
    <phoneticPr fontId="13"/>
  </si>
  <si>
    <t>480 ゆ 9251</t>
    <phoneticPr fontId="13"/>
  </si>
  <si>
    <t>石川 480 さ 9411</t>
    <rPh sb="0" eb="2">
      <t>イシカワ</t>
    </rPh>
    <phoneticPr fontId="13"/>
  </si>
  <si>
    <t>能登石油株式会社</t>
    <rPh sb="0" eb="1">
      <t>ノウ</t>
    </rPh>
    <rPh sb="1" eb="2">
      <t>ノボル</t>
    </rPh>
    <rPh sb="2" eb="4">
      <t>セキユ</t>
    </rPh>
    <rPh sb="4" eb="8">
      <t>カブシキガイシャ</t>
    </rPh>
    <phoneticPr fontId="13"/>
  </si>
  <si>
    <t>582 い 8976</t>
    <phoneticPr fontId="13"/>
  </si>
  <si>
    <t>480ね 3274</t>
    <phoneticPr fontId="13"/>
  </si>
  <si>
    <t>582 い 8977</t>
    <phoneticPr fontId="13"/>
  </si>
  <si>
    <t>582 い 7180</t>
    <phoneticPr fontId="13"/>
  </si>
  <si>
    <t>582 い 8975</t>
    <phoneticPr fontId="13"/>
  </si>
  <si>
    <t>尾張小牧 312 さ 358</t>
    <rPh sb="0" eb="4">
      <t>オワリコマキ</t>
    </rPh>
    <phoneticPr fontId="13"/>
  </si>
  <si>
    <t>1/17</t>
    <phoneticPr fontId="13"/>
  </si>
  <si>
    <t>保証書 取説  地図SD(車内)</t>
    <rPh sb="8" eb="10">
      <t>チズ</t>
    </rPh>
    <phoneticPr fontId="13"/>
  </si>
  <si>
    <t>ﾏｲｸﾛ地図SD(車内)</t>
    <rPh sb="4" eb="6">
      <t>チズ</t>
    </rPh>
    <phoneticPr fontId="13"/>
  </si>
  <si>
    <t xml:space="preserve">ｷｰﾚｽ(車内)保証書 取説 </t>
    <phoneticPr fontId="13"/>
  </si>
  <si>
    <r>
      <rPr>
        <sz val="11"/>
        <color theme="3"/>
        <rFont val="ＭＳ Ｐゴシック"/>
        <family val="3"/>
        <charset val="128"/>
        <scheme val="minor"/>
      </rPr>
      <t>ｷｰﾚｽ 地図SD(車内)保証書(角印なし保証書扱い)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5" eb="7">
      <t>チズ</t>
    </rPh>
    <rPh sb="13" eb="16">
      <t>ホショウショ</t>
    </rPh>
    <rPh sb="17" eb="19">
      <t>カクイン</t>
    </rPh>
    <rPh sb="21" eb="24">
      <t>ホショウショ</t>
    </rPh>
    <rPh sb="24" eb="25">
      <t>アツカ</t>
    </rPh>
    <rPh sb="28" eb="30">
      <t>トリセツ</t>
    </rPh>
    <phoneticPr fontId="13"/>
  </si>
  <si>
    <t>取説 ｽﾀｰﾄﾎﾞﾀﾝ(車内)</t>
    <rPh sb="0" eb="2">
      <t>トリセツ</t>
    </rPh>
    <phoneticPr fontId="13"/>
  </si>
  <si>
    <t>市川 310 す 9977</t>
    <rPh sb="0" eb="2">
      <t>イチカワ</t>
    </rPh>
    <phoneticPr fontId="13"/>
  </si>
  <si>
    <t>株式会社千葉ﾏﾂﾀﾞ</t>
    <rPh sb="0" eb="4">
      <t>カブシキガイシャ</t>
    </rPh>
    <rPh sb="4" eb="6">
      <t>チバ</t>
    </rPh>
    <phoneticPr fontId="13"/>
  </si>
  <si>
    <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>ﾜﾝｵｰﾅｰ？確認中</t>
    </r>
    <rPh sb="0" eb="3">
      <t>ホショウショ</t>
    </rPh>
    <rPh sb="4" eb="6">
      <t>トリセツ</t>
    </rPh>
    <rPh sb="18" eb="20">
      <t>カクニン</t>
    </rPh>
    <rPh sb="20" eb="21">
      <t>チュウ</t>
    </rPh>
    <phoneticPr fontId="13"/>
  </si>
  <si>
    <t>愛媛 399 そ 2902</t>
    <rPh sb="0" eb="2">
      <t>エヒメ</t>
    </rPh>
    <phoneticPr fontId="13"/>
  </si>
  <si>
    <t>三澤 崇代</t>
    <rPh sb="0" eb="2">
      <t>ミサワ</t>
    </rPh>
    <rPh sb="3" eb="4">
      <t>タカシ</t>
    </rPh>
    <rPh sb="4" eb="5">
      <t>ヨ</t>
    </rPh>
    <phoneticPr fontId="13"/>
  </si>
  <si>
    <t>保証書 SD ﾜﾝｵｰﾅｰ</t>
    <rPh sb="0" eb="3">
      <t>ホショウショ</t>
    </rPh>
    <phoneticPr fontId="13"/>
  </si>
  <si>
    <t>葛飾 310 さ 441</t>
    <rPh sb="0" eb="2">
      <t>カツシカ</t>
    </rPh>
    <phoneticPr fontId="13"/>
  </si>
  <si>
    <t>保証書 取説 12月末名変</t>
    <phoneticPr fontId="13"/>
  </si>
  <si>
    <t>品川 48F ろ 3352</t>
    <rPh sb="0" eb="2">
      <t>シナガワ</t>
    </rPh>
    <phoneticPr fontId="13"/>
  </si>
  <si>
    <t>USS神戸/1000/7007</t>
    <rPh sb="3" eb="5">
      <t>コウベ</t>
    </rPh>
    <phoneticPr fontId="13"/>
  </si>
  <si>
    <t>USS神戸/1000/7008</t>
    <rPh sb="3" eb="5">
      <t>コウベ</t>
    </rPh>
    <phoneticPr fontId="13"/>
  </si>
  <si>
    <t>WMWLR920902H12516</t>
    <phoneticPr fontId="13"/>
  </si>
  <si>
    <t>WMWXS520702C85819</t>
    <phoneticPr fontId="13"/>
  </si>
  <si>
    <t>CAA中部(まとめ)</t>
    <phoneticPr fontId="13"/>
  </si>
  <si>
    <t>MK94S-239588</t>
    <phoneticPr fontId="13"/>
  </si>
  <si>
    <t>27-2539</t>
  </si>
  <si>
    <t>27-2540</t>
  </si>
  <si>
    <t>27-2541</t>
  </si>
  <si>
    <t>27-2542</t>
  </si>
  <si>
    <t>27-2543</t>
  </si>
  <si>
    <t>27-2544</t>
  </si>
  <si>
    <t>27-2545</t>
  </si>
  <si>
    <t>27-2546</t>
  </si>
  <si>
    <t>27-2547</t>
  </si>
  <si>
    <t>27-2548</t>
  </si>
  <si>
    <t>N-BOXｶｽﾀﾑ　SSﾊﾟｯｹｰｼﾞ</t>
    <phoneticPr fontId="13"/>
  </si>
  <si>
    <t>JF1-1944077</t>
    <phoneticPr fontId="13"/>
  </si>
  <si>
    <t>ﾌﾟﾛﾎﾞｯｸｽ　G</t>
    <phoneticPr fontId="13"/>
  </si>
  <si>
    <t>NSP160V-0065907</t>
    <phoneticPr fontId="13"/>
  </si>
  <si>
    <t>ﾌｨｱｯﾄ500C　1.2ｶﾙﾄ</t>
    <phoneticPr fontId="13"/>
  </si>
  <si>
    <t>ZFABF1BG5NJG07322</t>
    <phoneticPr fontId="13"/>
  </si>
  <si>
    <t>WDD2122552A775334</t>
    <phoneticPr fontId="13"/>
  </si>
  <si>
    <t>27-2549</t>
  </si>
  <si>
    <t>27-2550</t>
  </si>
  <si>
    <t>27-2551</t>
  </si>
  <si>
    <t>27-2552</t>
  </si>
  <si>
    <t>27-2553</t>
  </si>
  <si>
    <t>27-2554</t>
  </si>
  <si>
    <t>27-2555</t>
  </si>
  <si>
    <t>27-2556</t>
  </si>
  <si>
    <t>27-2557</t>
  </si>
  <si>
    <t>27-2558</t>
  </si>
  <si>
    <t>27-2559</t>
  </si>
  <si>
    <t>27-2560</t>
  </si>
  <si>
    <t>27-2561</t>
  </si>
  <si>
    <t>27-2562</t>
  </si>
  <si>
    <t>27-2563</t>
  </si>
  <si>
    <t>27-2564</t>
  </si>
  <si>
    <t>27-2565</t>
  </si>
  <si>
    <t>27-2566</t>
  </si>
  <si>
    <t>KH3P-105741</t>
    <phoneticPr fontId="13"/>
  </si>
  <si>
    <t>HE33S-159514</t>
    <phoneticPr fontId="13"/>
  </si>
  <si>
    <t>ﾊｲｾﾞｯﾄ　V</t>
    <phoneticPr fontId="13"/>
  </si>
  <si>
    <t>S700V-0116590</t>
    <phoneticPr fontId="13"/>
  </si>
  <si>
    <t>LA650S-0089165</t>
    <phoneticPr fontId="13"/>
  </si>
  <si>
    <t>LA600S-0531414</t>
    <phoneticPr fontId="13"/>
  </si>
  <si>
    <t>LA400K-0009481</t>
    <phoneticPr fontId="13"/>
  </si>
  <si>
    <t>MR41S-368392</t>
    <phoneticPr fontId="13"/>
  </si>
  <si>
    <t>JF3-5095545</t>
    <phoneticPr fontId="13"/>
  </si>
  <si>
    <t>MR92S-499298</t>
    <phoneticPr fontId="13"/>
  </si>
  <si>
    <t>LA600S-0761729</t>
    <phoneticPr fontId="13"/>
  </si>
  <si>
    <t>LA650S-0302976</t>
    <phoneticPr fontId="13"/>
  </si>
  <si>
    <t>HE33S-300306</t>
    <phoneticPr fontId="13"/>
  </si>
  <si>
    <t>LA650S-0363374</t>
    <phoneticPr fontId="13"/>
  </si>
  <si>
    <t>S321W-0007369</t>
    <phoneticPr fontId="13"/>
  </si>
  <si>
    <t>LA650S-0264213</t>
    <phoneticPr fontId="13"/>
  </si>
  <si>
    <t>LA650S-0440344</t>
    <phoneticPr fontId="13"/>
  </si>
  <si>
    <t>LA650S-0143378</t>
    <phoneticPr fontId="13"/>
  </si>
  <si>
    <t>27-2567</t>
  </si>
  <si>
    <t>27-2568</t>
  </si>
  <si>
    <t>27-2569</t>
  </si>
  <si>
    <t>27-2570</t>
  </si>
  <si>
    <t>27-2571</t>
  </si>
  <si>
    <t>27-2572</t>
  </si>
  <si>
    <t>27-2573</t>
  </si>
  <si>
    <t>27-2574</t>
  </si>
  <si>
    <t>27-2575</t>
  </si>
  <si>
    <t>27-2576</t>
  </si>
  <si>
    <t>27-2577</t>
  </si>
  <si>
    <t>27-2578</t>
  </si>
  <si>
    <t>27-2579</t>
  </si>
  <si>
    <t>27-2580</t>
  </si>
  <si>
    <t>27-2581</t>
  </si>
  <si>
    <t>27-2582</t>
  </si>
  <si>
    <t>27-2583</t>
  </si>
  <si>
    <t>NSP170-7069978</t>
    <phoneticPr fontId="13"/>
  </si>
  <si>
    <t>TE52-082091</t>
    <phoneticPr fontId="13"/>
  </si>
  <si>
    <t>KH3P-104917</t>
    <phoneticPr fontId="13"/>
  </si>
  <si>
    <t>LA850S-1022876</t>
    <phoneticPr fontId="13"/>
  </si>
  <si>
    <t>EKｶｽﾀﾑ</t>
    <phoneticPr fontId="13"/>
  </si>
  <si>
    <t>B11W-0508227</t>
    <phoneticPr fontId="13"/>
  </si>
  <si>
    <t>N-BOXｶｽﾀﾑ　G　Lﾀｰﾎﾞ</t>
    <phoneticPr fontId="13"/>
  </si>
  <si>
    <t>JF3-2076125</t>
    <phoneticPr fontId="13"/>
  </si>
  <si>
    <t>ﾚｳﾞｫｰｸﾞ　1.6GTｱｲｻｲﾄ</t>
    <phoneticPr fontId="13"/>
  </si>
  <si>
    <t>VM4-013812</t>
    <phoneticPr fontId="13"/>
  </si>
  <si>
    <t>ｴｸｽﾄﾚｲﾙ　ﾓｰﾄﾞﾌﾟﾚﾐｱﾑ</t>
    <phoneticPr fontId="13"/>
  </si>
  <si>
    <t>T32-516389</t>
    <phoneticPr fontId="13"/>
  </si>
  <si>
    <t>HA36S-872356</t>
    <phoneticPr fontId="13"/>
  </si>
  <si>
    <t>ﾊﾟｯｿ　ﾓｰﾀﾞ　Gﾊﾟｯｹｰｼﾞ</t>
    <phoneticPr fontId="13"/>
  </si>
  <si>
    <t>M700A-1027618</t>
    <phoneticPr fontId="13"/>
  </si>
  <si>
    <t>ﾗﾝﾄﾞｸﾙｰｻﾞｰﾌﾟﾗﾄﾞ　TX</t>
    <phoneticPr fontId="13"/>
  </si>
  <si>
    <t>TRJ150-0124347</t>
    <phoneticPr fontId="13"/>
  </si>
  <si>
    <t>ﾌﾟﾘｳｽ　Z</t>
    <phoneticPr fontId="13"/>
  </si>
  <si>
    <t>MXWH60-4032279</t>
    <phoneticPr fontId="13"/>
  </si>
  <si>
    <t>ｴﾙｸﾞﾗﾝﾄﾞ　250ﾊｲｳｪｲｽﾀｰ</t>
    <phoneticPr fontId="13"/>
  </si>
  <si>
    <t>TE52-081403</t>
    <phoneticPr fontId="13"/>
  </si>
  <si>
    <t>ZWA10-2293786</t>
    <phoneticPr fontId="13"/>
  </si>
  <si>
    <t>GFC27-131542</t>
    <phoneticPr fontId="13"/>
  </si>
  <si>
    <t>ｷｬｽﾄ　ｱｸﾃｨﾊﾞG　VS</t>
    <phoneticPr fontId="13"/>
  </si>
  <si>
    <t>LA250S-0192470</t>
    <phoneticPr fontId="13"/>
  </si>
  <si>
    <t>ﾎﾞﾙﾎﾞV60　D4ﾀﾞｲﾅﾐｯｸED</t>
    <phoneticPr fontId="13"/>
  </si>
  <si>
    <t>ｼﾄﾛｴﾝC3　ｴｱｸﾛSUV　ｼｬｲﾝ</t>
    <phoneticPr fontId="13"/>
  </si>
  <si>
    <t>ﾙﾉｰﾄｩｲﾝｺﾞ　GT</t>
    <phoneticPr fontId="13"/>
  </si>
  <si>
    <t>27-2585</t>
  </si>
  <si>
    <t>27-2586</t>
  </si>
  <si>
    <t>27-2587</t>
  </si>
  <si>
    <t>27-2588</t>
  </si>
  <si>
    <t>A320825</t>
    <phoneticPr fontId="13"/>
  </si>
  <si>
    <t>RV6-1015924</t>
    <phoneticPr fontId="13"/>
  </si>
  <si>
    <t>A310232</t>
    <phoneticPr fontId="13"/>
  </si>
  <si>
    <t>AGH35-0049877</t>
    <phoneticPr fontId="13"/>
  </si>
  <si>
    <t>A320953</t>
    <phoneticPr fontId="13"/>
  </si>
  <si>
    <t>NSP170-7222073</t>
    <phoneticPr fontId="13"/>
  </si>
  <si>
    <t>A320052</t>
    <phoneticPr fontId="13"/>
  </si>
  <si>
    <t>GUN125-3936711</t>
    <phoneticPr fontId="13"/>
  </si>
  <si>
    <t>NHP10-2025762</t>
    <phoneticPr fontId="13"/>
  </si>
  <si>
    <t>A320182</t>
    <phoneticPr fontId="13"/>
  </si>
  <si>
    <t>KF5P-552764</t>
    <phoneticPr fontId="13"/>
  </si>
  <si>
    <t>A320489</t>
    <phoneticPr fontId="13"/>
  </si>
  <si>
    <t>AGL20-0003535</t>
    <phoneticPr fontId="13"/>
  </si>
  <si>
    <t>A321365</t>
    <phoneticPr fontId="13"/>
  </si>
  <si>
    <t>GFC27-168687</t>
    <phoneticPr fontId="13"/>
  </si>
  <si>
    <t>A321330</t>
    <phoneticPr fontId="13"/>
  </si>
  <si>
    <t>HE22S-841103</t>
    <phoneticPr fontId="13"/>
  </si>
  <si>
    <t>奈良　581　つ　1993</t>
    <rPh sb="0" eb="2">
      <t>ナラ</t>
    </rPh>
    <phoneticPr fontId="13"/>
  </si>
  <si>
    <t>保証書　取説　ｽﾏｰﾄｷｰ</t>
    <rPh sb="0" eb="3">
      <t>ホショウショ</t>
    </rPh>
    <rPh sb="4" eb="6">
      <t>トリセツ</t>
    </rPh>
    <phoneticPr fontId="13"/>
  </si>
  <si>
    <t>保証書　ｽﾍﾟｱｷｰ　ﾜﾝｵｰﾅｰ</t>
    <rPh sb="0" eb="3">
      <t>ホショウショ</t>
    </rPh>
    <phoneticPr fontId="13"/>
  </si>
  <si>
    <t>MﾍﾞﾝﾂE300　AV</t>
    <phoneticPr fontId="13"/>
  </si>
  <si>
    <t>ｽﾀｰﾄﾎﾞﾀﾝ</t>
    <phoneticPr fontId="13"/>
  </si>
  <si>
    <t>CX-60　XDｴｸｽｸﾙｰｼﾌﾞﾓｰﾄﾞ</t>
    <phoneticPr fontId="13"/>
  </si>
  <si>
    <t>9/10/8</t>
    <phoneticPr fontId="13"/>
  </si>
  <si>
    <t>名古屋　337　ゆ　8510</t>
    <rPh sb="0" eb="3">
      <t>ナゴヤ</t>
    </rPh>
    <phoneticPr fontId="13"/>
  </si>
  <si>
    <t>ｱﾙﾄﾗﾊﾟﾝ　L</t>
    <phoneticPr fontId="13"/>
  </si>
  <si>
    <t>三河　480　せ　1632</t>
    <rPh sb="0" eb="2">
      <t>ミカワ</t>
    </rPh>
    <phoneticPr fontId="13"/>
  </si>
  <si>
    <t>ﾀﾝﾄｶｽﾀﾑ Ｘｾﾚｸｼｮﾝ</t>
    <phoneticPr fontId="13"/>
  </si>
  <si>
    <t>名古屋　58A　ま　4833</t>
    <rPh sb="0" eb="3">
      <t>ナゴヤ</t>
    </rPh>
    <phoneticPr fontId="13"/>
  </si>
  <si>
    <t>保証書　取説　ﾅﾋﾞ取　ｽﾏｰﾄｷｰ</t>
    <rPh sb="0" eb="3">
      <t>ホショウショ</t>
    </rPh>
    <rPh sb="4" eb="6">
      <t>トリセツ</t>
    </rPh>
    <rPh sb="10" eb="11">
      <t>トリ</t>
    </rPh>
    <phoneticPr fontId="13"/>
  </si>
  <si>
    <t>ﾀﾝﾄ　ｽﾛｰﾊﾟｰ　SaⅢ</t>
    <phoneticPr fontId="13"/>
  </si>
  <si>
    <t>春日井　580　さ　5974</t>
    <rPh sb="0" eb="3">
      <t>カスガイ</t>
    </rPh>
    <phoneticPr fontId="13"/>
  </si>
  <si>
    <t>記録簿有り</t>
    <rPh sb="0" eb="3">
      <t>キロクボ</t>
    </rPh>
    <rPh sb="3" eb="4">
      <t>ア</t>
    </rPh>
    <phoneticPr fontId="13"/>
  </si>
  <si>
    <t>ｺﾍﾟﾝ　ｴｸｽﾌﾟﾚｲ</t>
    <phoneticPr fontId="13"/>
  </si>
  <si>
    <t>京都　581　さ　6835</t>
    <rPh sb="0" eb="2">
      <t>キョウト</t>
    </rPh>
    <phoneticPr fontId="13"/>
  </si>
  <si>
    <t>N　BOXｶｽﾀﾑ　L</t>
    <phoneticPr fontId="13"/>
  </si>
  <si>
    <t>ﾊｽﾗｰ　ﾊｲﾌﾞﾘｯﾄﾞG</t>
    <phoneticPr fontId="13"/>
  </si>
  <si>
    <t>ﾀﾝﾄｶｽﾀﾑ 　XﾄｯﾌﾟｾﾚｸｼｮﾝVS　SaⅢ</t>
    <phoneticPr fontId="13"/>
  </si>
  <si>
    <t>ﾀﾝﾄｶｽﾀﾑ　X</t>
    <phoneticPr fontId="13"/>
  </si>
  <si>
    <t>ﾀﾝﾄ　X</t>
    <phoneticPr fontId="13"/>
  </si>
  <si>
    <t>取説　ｽﾍﾟｱｷｰ　ﾅﾝﾊﾞｰ</t>
    <rPh sb="0" eb="2">
      <t>トリセツ</t>
    </rPh>
    <phoneticPr fontId="13"/>
  </si>
  <si>
    <t>ﾊｲｾﾞｯﾄｶｰｺﾞ　ﾃﾞｯｷﾊﾞﾝG　SaⅢ</t>
    <phoneticPr fontId="13"/>
  </si>
  <si>
    <t>四日市　480　い　303</t>
    <rPh sb="0" eb="3">
      <t>ヨッカイチ</t>
    </rPh>
    <phoneticPr fontId="13"/>
  </si>
  <si>
    <t>ﾀﾝﾄ　ﾌｧﾝｸﾛｽﾀｰﾎﾞ</t>
    <phoneticPr fontId="13"/>
  </si>
  <si>
    <t>保証書　ﾜﾝｵｰﾅｰ</t>
    <rPh sb="0" eb="3">
      <t>ホショウショ</t>
    </rPh>
    <phoneticPr fontId="13"/>
  </si>
  <si>
    <t>ﾀﾝﾄｶｽﾀﾑ 　X</t>
    <phoneticPr fontId="13"/>
  </si>
  <si>
    <t>ﾀﾝﾄｶｽﾀﾑ Xｽﾀｲﾙｾﾚｸｼｮﾝ</t>
    <phoneticPr fontId="13"/>
  </si>
  <si>
    <t>名古屋　58A　ま　3518</t>
    <rPh sb="0" eb="3">
      <t>ナゴヤ</t>
    </rPh>
    <phoneticPr fontId="13"/>
  </si>
  <si>
    <t>ｴﾙｸﾞﾗﾝﾄﾞ　250ﾊｲｳｪｲｽﾀｰS</t>
    <phoneticPr fontId="13"/>
  </si>
  <si>
    <t>CX-60　ｴｸｽｸﾙｰｼﾌﾞﾓｰﾄﾞ</t>
    <phoneticPr fontId="13"/>
  </si>
  <si>
    <t>9/4/11</t>
    <phoneticPr fontId="13"/>
  </si>
  <si>
    <t>保証書　取説　ｽﾍｱｽﾏｰﾄｷｰ　ﾜﾝｵｰﾅｰ</t>
    <rPh sb="0" eb="3">
      <t>ホショウショ</t>
    </rPh>
    <rPh sb="4" eb="6">
      <t>トリセツ</t>
    </rPh>
    <phoneticPr fontId="13"/>
  </si>
  <si>
    <t>名変期限2/13</t>
    <rPh sb="0" eb="4">
      <t>メイヘンキゲン</t>
    </rPh>
    <phoneticPr fontId="13"/>
  </si>
  <si>
    <t>保証書　取説　名変期限2/28</t>
    <rPh sb="0" eb="3">
      <t>ホショウショ</t>
    </rPh>
    <rPh sb="4" eb="6">
      <t>トリセツ</t>
    </rPh>
    <rPh sb="7" eb="9">
      <t>メイヘン</t>
    </rPh>
    <rPh sb="9" eb="11">
      <t>キゲン</t>
    </rPh>
    <phoneticPr fontId="13"/>
  </si>
  <si>
    <t>保証書　取説（抜粋版のみ）　名変期限2/28</t>
    <rPh sb="0" eb="3">
      <t>ホショウショ</t>
    </rPh>
    <rPh sb="4" eb="6">
      <t>トリセツ</t>
    </rPh>
    <rPh sb="7" eb="10">
      <t>バッスイバン</t>
    </rPh>
    <rPh sb="14" eb="16">
      <t>メイヘン</t>
    </rPh>
    <rPh sb="16" eb="18">
      <t>キゲン</t>
    </rPh>
    <phoneticPr fontId="13"/>
  </si>
  <si>
    <t>保証書　取説　名変期限3/31</t>
    <rPh sb="0" eb="3">
      <t>ホショウショ</t>
    </rPh>
    <rPh sb="4" eb="6">
      <t>トリセツ</t>
    </rPh>
    <rPh sb="7" eb="11">
      <t>メイヘンキゲン</t>
    </rPh>
    <phoneticPr fontId="13"/>
  </si>
  <si>
    <t>保証書　名変期限3/31</t>
    <rPh sb="0" eb="3">
      <t>ホショウショ</t>
    </rPh>
    <rPh sb="4" eb="8">
      <t>メイヘンキゲン</t>
    </rPh>
    <phoneticPr fontId="13"/>
  </si>
  <si>
    <t>保証書　取説　　名変期限2/28</t>
    <rPh sb="0" eb="3">
      <t>ホショウショ</t>
    </rPh>
    <rPh sb="4" eb="6">
      <t>トリセツ</t>
    </rPh>
    <rPh sb="8" eb="10">
      <t>メイヘン</t>
    </rPh>
    <rPh sb="10" eb="12">
      <t>キゲン</t>
    </rPh>
    <phoneticPr fontId="13"/>
  </si>
  <si>
    <t>保証書　取説　ﾃﾞｨｰﾗｰ記録簿　ﾓﾆﾀｰﾘﾓｺﾝ</t>
    <rPh sb="0" eb="3">
      <t>ホショウショ</t>
    </rPh>
    <rPh sb="4" eb="6">
      <t>トリセツ</t>
    </rPh>
    <rPh sb="13" eb="16">
      <t>キロクボ</t>
    </rPh>
    <phoneticPr fontId="13"/>
  </si>
  <si>
    <t>ﾊﾟｰﾙⅡ</t>
    <phoneticPr fontId="13"/>
  </si>
  <si>
    <t>奈良　336　つ　520</t>
    <rPh sb="0" eb="2">
      <t>ナラ</t>
    </rPh>
    <phoneticPr fontId="13"/>
  </si>
  <si>
    <t>YV1FWA8RDH1335210</t>
    <phoneticPr fontId="13"/>
  </si>
  <si>
    <t>YF72RHNPXL4317742</t>
    <phoneticPr fontId="13"/>
  </si>
  <si>
    <t>31/9</t>
    <phoneticPr fontId="13"/>
  </si>
  <si>
    <t>VF1AHB55AJ0786815</t>
    <phoneticPr fontId="13"/>
  </si>
  <si>
    <t>ｳﾞｪｾﾞﾙ　</t>
    <phoneticPr fontId="13"/>
  </si>
  <si>
    <t>9/11/29</t>
    <phoneticPr fontId="13"/>
  </si>
  <si>
    <t>ｳﾞｪﾙﾌｧｲｱ　2.5Z　ｺﾞｰﾙﾃﾞﾝｱｲｽﾞ</t>
    <phoneticPr fontId="13"/>
  </si>
  <si>
    <t>保証書　ｽﾍﾟｱｽﾏｰﾄｷｰ　ﾜﾝｵｰﾅｰ</t>
    <rPh sb="0" eb="3">
      <t>ホショウショ</t>
    </rPh>
    <phoneticPr fontId="13"/>
  </si>
  <si>
    <t>ｼｴﾝﾀ　Gｸﾞﾗﾝﾊﾞｰ</t>
    <phoneticPr fontId="13"/>
  </si>
  <si>
    <t>9/11/13</t>
    <phoneticPr fontId="13"/>
  </si>
  <si>
    <t>ﾊｲﾗｯｸｽ　Z</t>
    <phoneticPr fontId="13"/>
  </si>
  <si>
    <t>8/7/31</t>
    <phoneticPr fontId="13"/>
  </si>
  <si>
    <t>CX-5　25Sｽﾎﾟｰﾂｱﾋﾟｱﾗﾝｽ</t>
    <phoneticPr fontId="13"/>
  </si>
  <si>
    <t>ﾚｸｻｽRX　200ｔﾊﾞｰｼﾞｮﾝＬ</t>
    <phoneticPr fontId="13"/>
  </si>
  <si>
    <t>保証書　ｽﾍﾟｱｷｰ　</t>
    <rPh sb="0" eb="3">
      <t>ホショウショ</t>
    </rPh>
    <phoneticPr fontId="13"/>
  </si>
  <si>
    <t>ｾﾚﾅ　ﾊｲｳｪｲｽﾀｰ　VｾﾚｸｼｮﾝⅡ</t>
    <phoneticPr fontId="13"/>
  </si>
  <si>
    <t>ｱﾙﾄﾗﾊﾟﾝｼｮｺﾗ　G</t>
    <phoneticPr fontId="13"/>
  </si>
  <si>
    <t>27-2589</t>
  </si>
  <si>
    <t>27-2590</t>
  </si>
  <si>
    <t>27-2591</t>
  </si>
  <si>
    <t>27-2592</t>
  </si>
  <si>
    <t>27-2593</t>
  </si>
  <si>
    <t>27-2594</t>
  </si>
  <si>
    <t>27-2595</t>
  </si>
  <si>
    <t>27-2596</t>
  </si>
  <si>
    <t>27-2597</t>
  </si>
  <si>
    <t>27-2598</t>
  </si>
  <si>
    <t>27-2599</t>
  </si>
  <si>
    <t>27-2600</t>
  </si>
  <si>
    <t>27-2601</t>
  </si>
  <si>
    <t>27-2602</t>
  </si>
  <si>
    <t>BMWﾐﾆ　ｸｰﾊﾟｰXｵｰﾊﾞｰ</t>
    <phoneticPr fontId="13"/>
  </si>
  <si>
    <t>WMWYS320003E55683</t>
    <phoneticPr fontId="13"/>
  </si>
  <si>
    <t>ｼﾞｰﾌﾟｺﾝﾊﾟｽ　ﾘﾐﾃｯﾄﾞ</t>
    <phoneticPr fontId="13"/>
  </si>
  <si>
    <t>MCANJRCB1MFA73335</t>
    <phoneticPr fontId="13"/>
  </si>
  <si>
    <t>27-2603</t>
  </si>
  <si>
    <t>27-2604</t>
  </si>
  <si>
    <t>ｳﾞｪﾙﾌｧｲｱ　2.5Z　</t>
    <phoneticPr fontId="13"/>
  </si>
  <si>
    <t>AGH30W-0080391</t>
    <phoneticPr fontId="13"/>
  </si>
  <si>
    <t>ｺﾍﾟﾝ　ｱｸﾃｨﾌﾞﾄｯﾌﾟ</t>
    <phoneticPr fontId="13"/>
  </si>
  <si>
    <t>L880K-0054460</t>
    <phoneticPr fontId="13"/>
  </si>
  <si>
    <t>ｴﾌﾞﾘｨW　PZﾀｰﾎﾞｽﾍﾟｼｬﾙ</t>
    <phoneticPr fontId="13"/>
  </si>
  <si>
    <t>DA17W-318101</t>
    <phoneticPr fontId="13"/>
  </si>
  <si>
    <t>MR31S-116846</t>
    <phoneticPr fontId="13"/>
  </si>
  <si>
    <t>MR92S-478803</t>
    <phoneticPr fontId="13"/>
  </si>
  <si>
    <t>ｻﾝﾊﾞｰﾊﾞﾝ　ﾄﾗﾝｽﾎﾟｰﾀｰ</t>
    <phoneticPr fontId="13"/>
  </si>
  <si>
    <t>S710B-0000846</t>
    <phoneticPr fontId="13"/>
  </si>
  <si>
    <t>ﾊｲｾﾞｯﾄﾄﾗｯｸ　ｼﾞｬﾝﾎﾞｴｸｽﾄﾗ</t>
    <phoneticPr fontId="13"/>
  </si>
  <si>
    <t>S500P-0153674</t>
    <phoneticPr fontId="13"/>
  </si>
  <si>
    <t>ｽﾍﾟｰｼｱ　ﾊｲﾌﾞﾘｯﾄﾞX</t>
    <phoneticPr fontId="13"/>
  </si>
  <si>
    <t>MK53S-267558</t>
    <phoneticPr fontId="13"/>
  </si>
  <si>
    <t>ﾀﾝﾄｶｽﾀﾑ　RSﾄｯﾌﾟED</t>
    <phoneticPr fontId="13"/>
  </si>
  <si>
    <t>LA600S-0503932</t>
    <phoneticPr fontId="13"/>
  </si>
  <si>
    <t>BMWﾐﾆ　ｸｰﾊﾟｰSD</t>
    <phoneticPr fontId="13"/>
  </si>
  <si>
    <t>BMWﾐﾆ　ｸｰﾊﾟｰＳ</t>
    <phoneticPr fontId="13"/>
  </si>
  <si>
    <t>BMWﾐﾆ　ｸｰﾊﾟｰｱｲｽﾌﾞﾙｰED</t>
    <phoneticPr fontId="13"/>
  </si>
  <si>
    <t>ｶﾛｰﾗﾌｨｰﾙﾀﾞｰ　1.8Sｴｱﾛﾂｱﾗｰ</t>
    <phoneticPr fontId="13"/>
  </si>
  <si>
    <t>N　BOXｶｽﾀﾑ　Lｽﾀｲﾙ＋</t>
    <phoneticPr fontId="13"/>
  </si>
  <si>
    <t>JF3-5312114</t>
    <phoneticPr fontId="13"/>
  </si>
  <si>
    <t>22/11</t>
    <phoneticPr fontId="13"/>
  </si>
  <si>
    <t>保証書　取説　ｽﾍﾟｱｽﾏｰﾄｷｰ</t>
    <rPh sb="0" eb="3">
      <t>ホショウショ</t>
    </rPh>
    <rPh sb="4" eb="6">
      <t>トリセツ</t>
    </rPh>
    <phoneticPr fontId="13"/>
  </si>
  <si>
    <t>鳥取　580　は　9962</t>
    <rPh sb="0" eb="2">
      <t>トットリ</t>
    </rPh>
    <phoneticPr fontId="13"/>
  </si>
  <si>
    <t>9/10/16</t>
    <phoneticPr fontId="13"/>
  </si>
  <si>
    <t>大阪　582　ち　4</t>
    <rPh sb="0" eb="2">
      <t>オオサカ</t>
    </rPh>
    <phoneticPr fontId="13"/>
  </si>
  <si>
    <t>大阪　590　そ　1125</t>
    <rPh sb="0" eb="2">
      <t>オオサカ</t>
    </rPh>
    <phoneticPr fontId="13"/>
  </si>
  <si>
    <t>WMW22DV0202R28610</t>
    <phoneticPr fontId="13"/>
  </si>
  <si>
    <t>姫路　301　ぬ　621</t>
    <rPh sb="0" eb="2">
      <t>ヒメジ</t>
    </rPh>
    <phoneticPr fontId="13"/>
  </si>
  <si>
    <t>WMWXM720302A23902</t>
    <phoneticPr fontId="13"/>
  </si>
  <si>
    <t>保証書　ｽﾍﾟｱｷｰ有</t>
    <rPh sb="0" eb="3">
      <t>ホショウショ</t>
    </rPh>
    <rPh sb="10" eb="11">
      <t>アリ</t>
    </rPh>
    <phoneticPr fontId="13"/>
  </si>
  <si>
    <t>ﾌﾞﾙｰⅡ</t>
    <phoneticPr fontId="13"/>
  </si>
  <si>
    <t>WMWXR32050TM06998</t>
    <phoneticPr fontId="13"/>
  </si>
  <si>
    <t>和歌山　501　そ　9343</t>
    <rPh sb="0" eb="3">
      <t>ワカヤマ</t>
    </rPh>
    <phoneticPr fontId="13"/>
  </si>
  <si>
    <t>保証書　取説　ｽﾍﾟｱｽﾏｰﾄｷｰ　ﾄﾞﾗﾚｺSD　　ﾚﾝﾀｶｰ</t>
    <rPh sb="0" eb="3">
      <t>ホショウショ</t>
    </rPh>
    <rPh sb="4" eb="6">
      <t>トリセツ</t>
    </rPh>
    <phoneticPr fontId="13"/>
  </si>
  <si>
    <t>愛媛　399　そ　2987</t>
    <rPh sb="0" eb="2">
      <t>エヒメ</t>
    </rPh>
    <phoneticPr fontId="13"/>
  </si>
  <si>
    <t>土居　一男</t>
    <rPh sb="0" eb="2">
      <t>ドイ</t>
    </rPh>
    <rPh sb="3" eb="5">
      <t>カズオ</t>
    </rPh>
    <phoneticPr fontId="13"/>
  </si>
  <si>
    <t>1/18</t>
    <phoneticPr fontId="13"/>
  </si>
  <si>
    <t>保証書　取説</t>
    <rPh sb="0" eb="3">
      <t>ホショウショ</t>
    </rPh>
    <rPh sb="4" eb="6">
      <t>トリセツ</t>
    </rPh>
    <phoneticPr fontId="13"/>
  </si>
  <si>
    <t>長崎　399　そ　4101</t>
    <rPh sb="0" eb="2">
      <t>ナガサキ</t>
    </rPh>
    <phoneticPr fontId="13"/>
  </si>
  <si>
    <t>株式会社MATSUFUJI</t>
    <rPh sb="0" eb="4">
      <t>カブシキガイシャ</t>
    </rPh>
    <phoneticPr fontId="13"/>
  </si>
  <si>
    <t>保証書　取説　ｷｰﾚｽ</t>
    <rPh sb="0" eb="3">
      <t>ホショウショ</t>
    </rPh>
    <rPh sb="4" eb="6">
      <t>トリセツ</t>
    </rPh>
    <phoneticPr fontId="13"/>
  </si>
  <si>
    <t>名古屋　326　む　5135</t>
    <rPh sb="0" eb="3">
      <t>ナゴヤ</t>
    </rPh>
    <phoneticPr fontId="13"/>
  </si>
  <si>
    <t>愛知ﾄﾖﾀWEST株式会社</t>
    <rPh sb="0" eb="2">
      <t>アイチ</t>
    </rPh>
    <rPh sb="9" eb="13">
      <t>カブシキガイシャ</t>
    </rPh>
    <phoneticPr fontId="13"/>
  </si>
  <si>
    <t>保証書 取説 ｷｰﾚｽ(車内)　　SDｶｰﾄﾞ</t>
    <rPh sb="0" eb="3">
      <t>ホショウショ</t>
    </rPh>
    <rPh sb="4" eb="6">
      <t>トリセツ</t>
    </rPh>
    <phoneticPr fontId="13"/>
  </si>
  <si>
    <t>湘南 331 は 2023</t>
    <rPh sb="0" eb="2">
      <t>ショウナン</t>
    </rPh>
    <phoneticPr fontId="13"/>
  </si>
  <si>
    <t>株式会社Ai</t>
    <rPh sb="0" eb="4">
      <t>カブシキガイシャ</t>
    </rPh>
    <phoneticPr fontId="13"/>
  </si>
  <si>
    <t>名古屋 32P む 2525</t>
    <rPh sb="0" eb="3">
      <t>ナゴヤ</t>
    </rPh>
    <phoneticPr fontId="13"/>
  </si>
  <si>
    <t>京都 341 み 505</t>
    <rPh sb="0" eb="2">
      <t>キョウト</t>
    </rPh>
    <phoneticPr fontId="13"/>
  </si>
  <si>
    <t>長﨑 330 て 7033</t>
    <rPh sb="0" eb="2">
      <t>ナガザキ</t>
    </rPh>
    <phoneticPr fontId="13"/>
  </si>
  <si>
    <t>品川 303 つ 9729</t>
    <rPh sb="0" eb="2">
      <t>シナガワ</t>
    </rPh>
    <phoneticPr fontId="13"/>
  </si>
  <si>
    <t>保証書 取説 ｷｰﾚｽ ﾘﾓｺﾝ 充電ｹｰﾌﾞﾙ</t>
    <rPh sb="0" eb="3">
      <t>ホショウショ</t>
    </rPh>
    <rPh sb="4" eb="6">
      <t>トリセツ</t>
    </rPh>
    <rPh sb="17" eb="19">
      <t>ジュウデン</t>
    </rPh>
    <phoneticPr fontId="13"/>
  </si>
  <si>
    <t>三河 343 ぬ 15</t>
    <rPh sb="0" eb="2">
      <t>ミカワ</t>
    </rPh>
    <phoneticPr fontId="13"/>
  </si>
  <si>
    <t>世田谷 312 ち 827</t>
    <rPh sb="0" eb="3">
      <t>セタガヤ</t>
    </rPh>
    <phoneticPr fontId="13"/>
  </si>
  <si>
    <t>相模 330 ふ 3885</t>
    <rPh sb="0" eb="2">
      <t>サガミ</t>
    </rPh>
    <phoneticPr fontId="13"/>
  </si>
  <si>
    <t>齋藤 昭子</t>
    <rPh sb="0" eb="2">
      <t>サイトウ</t>
    </rPh>
    <rPh sb="3" eb="5">
      <t>アキコ</t>
    </rPh>
    <phoneticPr fontId="13"/>
  </si>
  <si>
    <t>HAA売1283回 65099ｷｬﾝｾﾙ</t>
    <rPh sb="3" eb="4">
      <t>ウ</t>
    </rPh>
    <rPh sb="8" eb="9">
      <t>カイ</t>
    </rPh>
    <phoneticPr fontId="13"/>
  </si>
  <si>
    <t>なにわ 39A め 1996</t>
    <phoneticPr fontId="13"/>
  </si>
  <si>
    <t>滋賀 301 ふ 58</t>
    <rPh sb="0" eb="2">
      <t>シガ</t>
    </rPh>
    <phoneticPr fontId="13"/>
  </si>
  <si>
    <t>滋賀ﾎﾝﾀﾞ販売株式会社</t>
    <rPh sb="0" eb="2">
      <t>シガ</t>
    </rPh>
    <rPh sb="6" eb="12">
      <t>ハンバイカブシキガイシャ</t>
    </rPh>
    <phoneticPr fontId="13"/>
  </si>
  <si>
    <t>WVWZZZ16ZDM647802</t>
    <phoneticPr fontId="13"/>
  </si>
  <si>
    <t>京都 338 す 568</t>
    <rPh sb="0" eb="2">
      <t>キョウト</t>
    </rPh>
    <phoneticPr fontId="13"/>
  </si>
  <si>
    <t>株式会社ﾎﾝﾀﾞﾓﾋﾞﾘﾃｨ近畿</t>
    <rPh sb="0" eb="4">
      <t>カブシキガイシャ</t>
    </rPh>
    <phoneticPr fontId="13"/>
  </si>
  <si>
    <t>35Y と 5</t>
    <phoneticPr fontId="13"/>
  </si>
  <si>
    <t>301 ね 6102</t>
    <phoneticPr fontId="13"/>
  </si>
  <si>
    <t>301 ね 6101</t>
    <phoneticPr fontId="13"/>
  </si>
  <si>
    <t>301 ね 6103</t>
    <phoneticPr fontId="13"/>
  </si>
  <si>
    <t>501 ゆ 3469</t>
    <phoneticPr fontId="13"/>
  </si>
  <si>
    <t>301 ね 6105</t>
    <phoneticPr fontId="13"/>
  </si>
  <si>
    <t>301 ね 6104</t>
    <phoneticPr fontId="13"/>
  </si>
  <si>
    <t>301 ね 6106</t>
    <phoneticPr fontId="13"/>
  </si>
  <si>
    <t>582 い 6518</t>
    <phoneticPr fontId="13"/>
  </si>
  <si>
    <t>582 い 9089</t>
    <phoneticPr fontId="13"/>
  </si>
  <si>
    <t>582 い 9090</t>
    <phoneticPr fontId="13"/>
  </si>
  <si>
    <t>582 い 9091</t>
    <phoneticPr fontId="13"/>
  </si>
  <si>
    <t>480 ね 3305</t>
    <phoneticPr fontId="13"/>
  </si>
  <si>
    <t>582 い 9092</t>
    <phoneticPr fontId="13"/>
  </si>
  <si>
    <t>582 い 9093</t>
    <phoneticPr fontId="13"/>
  </si>
  <si>
    <t>582 い 9094</t>
    <phoneticPr fontId="13"/>
  </si>
  <si>
    <t>582 い 9095</t>
    <phoneticPr fontId="13"/>
  </si>
  <si>
    <t>582 い 9096</t>
    <phoneticPr fontId="13"/>
  </si>
  <si>
    <t>582 い 9097</t>
    <phoneticPr fontId="13"/>
  </si>
  <si>
    <t>582 い 9098</t>
    <phoneticPr fontId="13"/>
  </si>
  <si>
    <t>582 い 9099</t>
    <phoneticPr fontId="13"/>
  </si>
  <si>
    <t>582 い 9100</t>
    <phoneticPr fontId="13"/>
  </si>
  <si>
    <t>582 い 9101</t>
    <phoneticPr fontId="13"/>
  </si>
  <si>
    <t>582 い 9102</t>
    <phoneticPr fontId="13"/>
  </si>
  <si>
    <t>480 ね 3306</t>
    <phoneticPr fontId="13"/>
  </si>
  <si>
    <t>582 い 9111</t>
    <phoneticPr fontId="13"/>
  </si>
  <si>
    <t>582 い 9103</t>
    <phoneticPr fontId="13"/>
  </si>
  <si>
    <t>ﾚｸｻｽCT200ｈ　特別仕様車</t>
    <rPh sb="11" eb="16">
      <t>トクベツシヨウシャ</t>
    </rPh>
    <phoneticPr fontId="13"/>
  </si>
  <si>
    <t>地図SD(車内)保証書 取説 ﾜﾝｵｰﾅｰ</t>
    <rPh sb="8" eb="11">
      <t>ホショウショ</t>
    </rPh>
    <rPh sb="12" eb="14">
      <t>トリセツ</t>
    </rPh>
    <phoneticPr fontId="13"/>
  </si>
  <si>
    <t>地図SD(車内)保証書 取説 ｽﾍﾟｱｷｰ ﾚﾝﾀｶｰ</t>
    <rPh sb="8" eb="11">
      <t>ホショウショ</t>
    </rPh>
    <rPh sb="12" eb="14">
      <t>トリセツ</t>
    </rPh>
    <phoneticPr fontId="13"/>
  </si>
  <si>
    <t>保証書のみ手帳なし 取説 (車内)</t>
    <rPh sb="0" eb="3">
      <t>ホショウショ</t>
    </rPh>
    <rPh sb="5" eb="7">
      <t>テチョウ</t>
    </rPh>
    <rPh sb="10" eb="12">
      <t>トリセツ</t>
    </rPh>
    <phoneticPr fontId="13"/>
  </si>
  <si>
    <t>ﾅﾝﾊﾞｰTAAへ</t>
    <phoneticPr fontId="13"/>
  </si>
  <si>
    <t>伴さんの車</t>
    <rPh sb="0" eb="1">
      <t>バン</t>
    </rPh>
    <rPh sb="4" eb="5">
      <t>クルマ</t>
    </rPh>
    <phoneticPr fontId="13"/>
  </si>
  <si>
    <t>奈良 301 つ 6883</t>
    <rPh sb="0" eb="2">
      <t>ナラ</t>
    </rPh>
    <phoneticPr fontId="13"/>
  </si>
  <si>
    <t>奈良日産自動車株式会社</t>
    <rPh sb="0" eb="2">
      <t>ナラ</t>
    </rPh>
    <rPh sb="2" eb="4">
      <t>ニッサン</t>
    </rPh>
    <rPh sb="4" eb="7">
      <t>ジドウシャ</t>
    </rPh>
    <rPh sb="7" eb="11">
      <t>カブシキガイシャ</t>
    </rPh>
    <phoneticPr fontId="13"/>
  </si>
  <si>
    <t>保証書 取説 ﾅﾋﾞ取 ｲﾝﾃﾘｷｰ ﾜﾝｵｰﾅｰ</t>
    <rPh sb="0" eb="3">
      <t>ホショウショ</t>
    </rPh>
    <rPh sb="4" eb="6">
      <t>トリセツ</t>
    </rPh>
    <rPh sb="10" eb="11">
      <t>トリ</t>
    </rPh>
    <phoneticPr fontId="13"/>
  </si>
  <si>
    <t>書類戻り1/20</t>
    <rPh sb="0" eb="2">
      <t>ショルイ</t>
    </rPh>
    <rPh sb="2" eb="3">
      <t>モド</t>
    </rPh>
    <phoneticPr fontId="13"/>
  </si>
  <si>
    <t>神戸 39A そ 7555</t>
    <rPh sb="0" eb="2">
      <t>コウベ</t>
    </rPh>
    <phoneticPr fontId="13"/>
  </si>
  <si>
    <t>1/20</t>
    <phoneticPr fontId="13"/>
  </si>
  <si>
    <t>ｷｰﾚｽ ｽﾀｰﾄﾎﾞﾀﾝ</t>
    <phoneticPr fontId="13"/>
  </si>
  <si>
    <t>堺 599 ま 4083</t>
    <rPh sb="0" eb="1">
      <t>サカイ</t>
    </rPh>
    <phoneticPr fontId="13"/>
  </si>
  <si>
    <t>広島 399 に 2334</t>
    <rPh sb="0" eb="2">
      <t>ヒロシマ</t>
    </rPh>
    <phoneticPr fontId="13"/>
  </si>
  <si>
    <t>株式会社BLC</t>
    <rPh sb="0" eb="4">
      <t>カブシキガイシャ</t>
    </rPh>
    <phoneticPr fontId="13"/>
  </si>
  <si>
    <t>鳥取 330 と 3580</t>
    <rPh sb="0" eb="2">
      <t>トットリ</t>
    </rPh>
    <phoneticPr fontId="13"/>
  </si>
  <si>
    <t>福岡 341 さ 1209</t>
    <rPh sb="0" eb="2">
      <t>フクオカ</t>
    </rPh>
    <phoneticPr fontId="13"/>
  </si>
  <si>
    <t>広島 481 ろ 8787</t>
    <rPh sb="0" eb="2">
      <t>ヒロシマ</t>
    </rPh>
    <phoneticPr fontId="13"/>
  </si>
  <si>
    <t>徳島 580 ほ 2908</t>
    <rPh sb="0" eb="2">
      <t>トクシマ</t>
    </rPh>
    <phoneticPr fontId="13"/>
  </si>
  <si>
    <t>株式会社ｵｰﾄﾓｰﾋﾞﾙﾈｯﾄﾜｰｸｽ</t>
    <rPh sb="0" eb="4">
      <t>カブシキガイシャ</t>
    </rPh>
    <phoneticPr fontId="13"/>
  </si>
  <si>
    <t>熊谷 589 ろ 9928</t>
    <rPh sb="0" eb="2">
      <t>クマヤ</t>
    </rPh>
    <phoneticPr fontId="13"/>
  </si>
  <si>
    <t>株式会社ﾕｰﾊﾟｰﾂ</t>
    <rPh sb="0" eb="4">
      <t>カブシキガイシャ</t>
    </rPh>
    <phoneticPr fontId="13"/>
  </si>
  <si>
    <t>京都 589 ろ 1801</t>
    <rPh sb="0" eb="2">
      <t>キョウト</t>
    </rPh>
    <phoneticPr fontId="13"/>
  </si>
  <si>
    <t>Fﾌﾟﾗﾝﾆﾝｸﾞ株式会社</t>
    <rPh sb="9" eb="13">
      <t>カブシキガイシャ</t>
    </rPh>
    <phoneticPr fontId="13"/>
  </si>
  <si>
    <t>株式会社ﾋﾞｯｸﾞﾗﾝ</t>
    <rPh sb="0" eb="4">
      <t>カブシキガイシャ</t>
    </rPh>
    <phoneticPr fontId="13"/>
  </si>
  <si>
    <t>保証書 取説 ｷｰﾚｽ ｽﾍﾟｱｷｰ ﾅﾋﾞ取</t>
    <rPh sb="0" eb="3">
      <t>ホショウショ</t>
    </rPh>
    <rPh sb="4" eb="6">
      <t>トリセツ</t>
    </rPh>
    <rPh sb="22" eb="23">
      <t>トリ</t>
    </rPh>
    <phoneticPr fontId="13"/>
  </si>
  <si>
    <t>ﾆｯﾎﾟﾝﾚﾝﾀｶｰｻｰﾋﾞｽ株式会社</t>
    <rPh sb="15" eb="19">
      <t>カブシキガイシャ</t>
    </rPh>
    <phoneticPr fontId="13"/>
  </si>
  <si>
    <t>品川 5X2 ろ 9578</t>
    <rPh sb="0" eb="2">
      <t>シナガワ</t>
    </rPh>
    <phoneticPr fontId="13"/>
  </si>
  <si>
    <t>大阪 582 け 4854</t>
    <rPh sb="0" eb="2">
      <t>オオサカ</t>
    </rPh>
    <phoneticPr fontId="13"/>
  </si>
  <si>
    <t>三重 587 か 78</t>
    <rPh sb="0" eb="2">
      <t>ミエ</t>
    </rPh>
    <phoneticPr fontId="13"/>
  </si>
  <si>
    <t>株式会社ﾄﾖﾀﾚﾝﾀﾘｰｽ和歌山</t>
    <rPh sb="0" eb="4">
      <t>カブシキガイシャ</t>
    </rPh>
    <rPh sb="13" eb="16">
      <t>ワカヤマ</t>
    </rPh>
    <phoneticPr fontId="13"/>
  </si>
  <si>
    <t>岡山 599 に 6611</t>
    <rPh sb="0" eb="2">
      <t>オカヤマ</t>
    </rPh>
    <phoneticPr fontId="13"/>
  </si>
  <si>
    <t>神戸 330 や 890</t>
    <rPh sb="0" eb="2">
      <t>コウベ</t>
    </rPh>
    <phoneticPr fontId="13"/>
  </si>
  <si>
    <t>神薗 繁美</t>
    <rPh sb="0" eb="1">
      <t>カミ</t>
    </rPh>
    <rPh sb="1" eb="2">
      <t>ソノ</t>
    </rPh>
    <rPh sb="3" eb="5">
      <t>シゲミ</t>
    </rPh>
    <phoneticPr fontId="13"/>
  </si>
  <si>
    <t>熊本 333 の 924</t>
    <rPh sb="0" eb="2">
      <t>クマモト</t>
    </rPh>
    <phoneticPr fontId="13"/>
  </si>
  <si>
    <t>ﾕﾅｲﾃｯﾄﾞﾄﾖﾀ熊本株式会社</t>
    <rPh sb="10" eb="12">
      <t>クマモト</t>
    </rPh>
    <rPh sb="12" eb="16">
      <t>カブシキガイシャ</t>
    </rPh>
    <phoneticPr fontId="13"/>
  </si>
  <si>
    <t>品川 5X2 ろ 8101</t>
    <rPh sb="0" eb="2">
      <t>シナガワ</t>
    </rPh>
    <phoneticPr fontId="13"/>
  </si>
  <si>
    <t>堺 333 の 1116</t>
    <rPh sb="0" eb="1">
      <t>サカイ</t>
    </rPh>
    <phoneticPr fontId="13"/>
  </si>
  <si>
    <t>ｽｽﾞｷ自販東尾道株式会社</t>
    <rPh sb="4" eb="6">
      <t>ジハン</t>
    </rPh>
    <rPh sb="6" eb="9">
      <t>ヒガシオノミチ</t>
    </rPh>
    <rPh sb="9" eb="13">
      <t>カブシキガイシャ</t>
    </rPh>
    <phoneticPr fontId="13"/>
  </si>
  <si>
    <t>広島 586 ろ 9618</t>
    <rPh sb="0" eb="2">
      <t>ヒロシマ</t>
    </rPh>
    <phoneticPr fontId="13"/>
  </si>
  <si>
    <t>ﾄﾖﾀｶﾛｰﾗ広島株式会社</t>
    <rPh sb="7" eb="13">
      <t>ヒロシマカブシキガイシャ</t>
    </rPh>
    <phoneticPr fontId="13"/>
  </si>
  <si>
    <t>333 て 1728</t>
    <phoneticPr fontId="13"/>
  </si>
  <si>
    <t>宮崎 399 そ 374</t>
    <rPh sb="0" eb="2">
      <t>ミヤザキ</t>
    </rPh>
    <phoneticPr fontId="13"/>
  </si>
  <si>
    <t>那須 300 ち 383</t>
    <rPh sb="0" eb="2">
      <t>ナス</t>
    </rPh>
    <phoneticPr fontId="13"/>
  </si>
  <si>
    <t>利川  義成</t>
    <rPh sb="0" eb="2">
      <t>リカワ</t>
    </rPh>
    <rPh sb="4" eb="6">
      <t>ヨシナリ</t>
    </rPh>
    <phoneticPr fontId="13"/>
  </si>
  <si>
    <t>保証書 取説 ﾅﾋﾞ取 ｷｰﾚｽ ｴﾝｼﾞﾝｽﾀｰﾀｰ</t>
    <rPh sb="0" eb="3">
      <t>ホショウショ</t>
    </rPh>
    <rPh sb="4" eb="6">
      <t>トリセツ</t>
    </rPh>
    <rPh sb="10" eb="11">
      <t>トリ</t>
    </rPh>
    <phoneticPr fontId="13"/>
  </si>
  <si>
    <t>松本 585 ゆ 1215</t>
    <rPh sb="0" eb="2">
      <t>マツモト</t>
    </rPh>
    <phoneticPr fontId="13"/>
  </si>
  <si>
    <t>村松 由規</t>
    <rPh sb="0" eb="2">
      <t>ムラマツ</t>
    </rPh>
    <rPh sb="3" eb="4">
      <t>ユ</t>
    </rPh>
    <phoneticPr fontId="13"/>
  </si>
  <si>
    <t>記録紙2枚 ﾅﾋﾞ取</t>
    <rPh sb="0" eb="3">
      <t>キロクシ</t>
    </rPh>
    <rPh sb="4" eb="5">
      <t>マイ</t>
    </rPh>
    <rPh sb="9" eb="10">
      <t>トリ</t>
    </rPh>
    <phoneticPr fontId="13"/>
  </si>
  <si>
    <t>山下 豊毅</t>
    <rPh sb="0" eb="2">
      <t>ヤマシタ</t>
    </rPh>
    <rPh sb="3" eb="4">
      <t>トヨ</t>
    </rPh>
    <rPh sb="4" eb="5">
      <t>ツヨシ</t>
    </rPh>
    <phoneticPr fontId="13"/>
  </si>
  <si>
    <t>鈴木 雄一</t>
    <rPh sb="0" eb="2">
      <t>スズキ</t>
    </rPh>
    <rPh sb="3" eb="5">
      <t>ユウイチ</t>
    </rPh>
    <phoneticPr fontId="13"/>
  </si>
  <si>
    <t>高堂 景寿</t>
    <rPh sb="0" eb="2">
      <t>タカドウ</t>
    </rPh>
    <rPh sb="3" eb="4">
      <t>ケイ</t>
    </rPh>
    <rPh sb="4" eb="5">
      <t>コトブキ</t>
    </rPh>
    <phoneticPr fontId="13"/>
  </si>
  <si>
    <t>帯津 親覇</t>
    <rPh sb="0" eb="1">
      <t>オビ</t>
    </rPh>
    <rPh sb="1" eb="2">
      <t>ツ</t>
    </rPh>
    <rPh sb="3" eb="4">
      <t>オヤ</t>
    </rPh>
    <rPh sb="4" eb="5">
      <t>ハ</t>
    </rPh>
    <phoneticPr fontId="13"/>
  </si>
  <si>
    <t>安田 滉斗</t>
    <rPh sb="0" eb="2">
      <t>ヤスダ</t>
    </rPh>
    <rPh sb="3" eb="4">
      <t>コウ</t>
    </rPh>
    <rPh sb="4" eb="5">
      <t>ト</t>
    </rPh>
    <phoneticPr fontId="13"/>
  </si>
  <si>
    <t>迎 敦</t>
    <rPh sb="0" eb="1">
      <t>ムカ</t>
    </rPh>
    <rPh sb="2" eb="3">
      <t>アツシ</t>
    </rPh>
    <phoneticPr fontId="13"/>
  </si>
  <si>
    <t>若佐 智治</t>
    <rPh sb="0" eb="1">
      <t>ワカ</t>
    </rPh>
    <rPh sb="1" eb="2">
      <t>タスク</t>
    </rPh>
    <rPh sb="3" eb="5">
      <t>トモハル</t>
    </rPh>
    <phoneticPr fontId="13"/>
  </si>
  <si>
    <t>藤原 嗣彦</t>
    <rPh sb="0" eb="2">
      <t>フジワラ</t>
    </rPh>
    <rPh sb="3" eb="4">
      <t>ツグ</t>
    </rPh>
    <rPh sb="4" eb="5">
      <t>ヒコ</t>
    </rPh>
    <phoneticPr fontId="13"/>
  </si>
  <si>
    <t>原 和希</t>
    <rPh sb="0" eb="1">
      <t>ハラ</t>
    </rPh>
    <rPh sb="2" eb="4">
      <t>カズキ</t>
    </rPh>
    <phoneticPr fontId="13"/>
  </si>
  <si>
    <t>(有)富士商事</t>
    <rPh sb="0" eb="3">
      <t>ユウゲンガイシャ</t>
    </rPh>
    <rPh sb="3" eb="7">
      <t>フジショウジ</t>
    </rPh>
    <phoneticPr fontId="13"/>
  </si>
  <si>
    <t>山下 康一</t>
    <rPh sb="0" eb="2">
      <t>ヤマシタ</t>
    </rPh>
    <rPh sb="3" eb="5">
      <t>コウイチ</t>
    </rPh>
    <phoneticPr fontId="13"/>
  </si>
  <si>
    <t>27-2605</t>
  </si>
  <si>
    <t>27-2606</t>
  </si>
  <si>
    <t>27-2607</t>
  </si>
  <si>
    <t>27-2608</t>
  </si>
  <si>
    <t>27-2609</t>
  </si>
  <si>
    <t>27-2610</t>
  </si>
  <si>
    <t>27-2611</t>
  </si>
  <si>
    <t>27-2612</t>
  </si>
  <si>
    <t>27-2613</t>
  </si>
  <si>
    <t>27-2614</t>
  </si>
  <si>
    <t>27-2615</t>
  </si>
  <si>
    <t>27-2616</t>
  </si>
  <si>
    <t>27-2617</t>
  </si>
  <si>
    <t>27-2618</t>
  </si>
  <si>
    <t>27-2619</t>
  </si>
  <si>
    <t>27-2620</t>
  </si>
  <si>
    <t>27-2621</t>
  </si>
  <si>
    <t>ｵｰｸﾈｯﾄ</t>
    <phoneticPr fontId="13"/>
  </si>
  <si>
    <t>MR41S-336867</t>
    <phoneticPr fontId="13"/>
  </si>
  <si>
    <t>YV1FZA8RDJ2043410</t>
    <phoneticPr fontId="13"/>
  </si>
  <si>
    <t>LRW3F7EK1NC496038</t>
    <phoneticPr fontId="13"/>
  </si>
  <si>
    <t>YV1UZL1M1P1252963</t>
    <phoneticPr fontId="13"/>
  </si>
  <si>
    <t>WMWLU920502H32776</t>
    <phoneticPr fontId="13"/>
  </si>
  <si>
    <t>YV1BW40MDF1332086</t>
    <phoneticPr fontId="13"/>
  </si>
  <si>
    <t>WVWZZZ16ZEM614172</t>
    <phoneticPr fontId="13"/>
  </si>
  <si>
    <t>ﾎﾝﾀﾞ東京</t>
    <rPh sb="4" eb="6">
      <t>トウキョウ</t>
    </rPh>
    <phoneticPr fontId="13"/>
  </si>
  <si>
    <t>ｸﾞﾗﾝﾄﾞC4　ｽﾍﾟｰｽT　ｼｬｲﾝﾌﾞﾙｰHDI</t>
    <phoneticPr fontId="13"/>
  </si>
  <si>
    <t>ﾎﾝﾀﾞ関西</t>
    <rPh sb="4" eb="6">
      <t>カンサイ</t>
    </rPh>
    <phoneticPr fontId="13"/>
  </si>
  <si>
    <t>27-2622</t>
  </si>
  <si>
    <t>27-2623</t>
  </si>
  <si>
    <t>27-2624</t>
  </si>
  <si>
    <t>27-2625</t>
  </si>
  <si>
    <t>27-2626</t>
  </si>
  <si>
    <t>A321819</t>
    <phoneticPr fontId="13"/>
  </si>
  <si>
    <t>MH55S-216222</t>
    <phoneticPr fontId="13"/>
  </si>
  <si>
    <t>A320482</t>
    <phoneticPr fontId="13"/>
  </si>
  <si>
    <t>AGH30-0314760</t>
    <phoneticPr fontId="13"/>
  </si>
  <si>
    <t>A321949</t>
    <phoneticPr fontId="13"/>
  </si>
  <si>
    <t>MA3JJC74W00228410</t>
    <phoneticPr fontId="13"/>
  </si>
  <si>
    <t>A320568</t>
    <phoneticPr fontId="13"/>
  </si>
  <si>
    <t>MH34S-723262</t>
    <phoneticPr fontId="13"/>
  </si>
  <si>
    <t>A321499</t>
    <phoneticPr fontId="13"/>
  </si>
  <si>
    <t>AGH30-0452365</t>
    <phoneticPr fontId="13"/>
  </si>
  <si>
    <t>A320998</t>
    <phoneticPr fontId="13"/>
  </si>
  <si>
    <t>MH34S-523901</t>
    <phoneticPr fontId="13"/>
  </si>
  <si>
    <t>A320907</t>
    <phoneticPr fontId="13"/>
  </si>
  <si>
    <t>ACR55-7025946</t>
    <phoneticPr fontId="13"/>
  </si>
  <si>
    <t>A321498</t>
    <phoneticPr fontId="13"/>
  </si>
  <si>
    <t>KFEP-553139</t>
    <phoneticPr fontId="13"/>
  </si>
  <si>
    <t>27-2627</t>
  </si>
  <si>
    <t>27-2628</t>
  </si>
  <si>
    <t>27-2629</t>
  </si>
  <si>
    <t>27-2630</t>
  </si>
  <si>
    <t>27-2631</t>
  </si>
  <si>
    <t>27-2632</t>
  </si>
  <si>
    <t>L375S-0624928</t>
    <phoneticPr fontId="13"/>
  </si>
  <si>
    <t>P15-002913</t>
    <phoneticPr fontId="13"/>
  </si>
  <si>
    <t>GRX130-6107564</t>
    <phoneticPr fontId="13"/>
  </si>
  <si>
    <t>LA300S-1402299</t>
    <phoneticPr fontId="13"/>
  </si>
  <si>
    <t>N　BOXｶｽﾀﾑ</t>
    <phoneticPr fontId="13"/>
  </si>
  <si>
    <t>JF5-1051034</t>
    <phoneticPr fontId="13"/>
  </si>
  <si>
    <t>手帳　取説</t>
    <rPh sb="0" eb="2">
      <t>テチョウ</t>
    </rPh>
    <rPh sb="3" eb="5">
      <t>トリセツ</t>
    </rPh>
    <phoneticPr fontId="13"/>
  </si>
  <si>
    <t>ﾎﾞﾙﾎﾞV60　ｸﾛｽｶﾝﾄﾘｰ　D4ｸﾗｼｯｸ</t>
    <phoneticPr fontId="13"/>
  </si>
  <si>
    <t>保証書　手帳　取説　ﾘﾓｺﾝ車載</t>
    <rPh sb="0" eb="3">
      <t>ホショウショ</t>
    </rPh>
    <rPh sb="4" eb="6">
      <t>テチョウ</t>
    </rPh>
    <rPh sb="7" eb="9">
      <t>トリセツ</t>
    </rPh>
    <rPh sb="14" eb="16">
      <t>シャサイ</t>
    </rPh>
    <phoneticPr fontId="13"/>
  </si>
  <si>
    <t>ﾃｽﾗ　ﾓﾃﾞﾙ3　ﾛﾝｸﾞﾚﾝｼﾞ</t>
    <phoneticPr fontId="13"/>
  </si>
  <si>
    <t>ﾎﾞﾙﾎﾞXC60　ｱﾙﾃｨﾒｯﾄB5</t>
    <phoneticPr fontId="13"/>
  </si>
  <si>
    <t>保証書　手帳　取説　</t>
    <rPh sb="0" eb="3">
      <t>ホショウショ</t>
    </rPh>
    <rPh sb="4" eb="6">
      <t>テチョウ</t>
    </rPh>
    <rPh sb="7" eb="9">
      <t>トリセツ</t>
    </rPh>
    <phoneticPr fontId="13"/>
  </si>
  <si>
    <t>BMWﾐﾆﾜﾝ　ｸﾗﾌﾞﾏﾝ　ﾊﾞｯｷﾝｶﾞﾑ</t>
    <phoneticPr fontId="13"/>
  </si>
  <si>
    <t>保証書　手帳　取説</t>
    <rPh sb="0" eb="3">
      <t>ホショウショ</t>
    </rPh>
    <rPh sb="4" eb="6">
      <t>テチョウ</t>
    </rPh>
    <rPh sb="7" eb="9">
      <t>トリセツ</t>
    </rPh>
    <phoneticPr fontId="13"/>
  </si>
  <si>
    <t>ﾎﾞﾙﾎﾞV70　T5　SE</t>
    <phoneticPr fontId="13"/>
  </si>
  <si>
    <t>一宮　330　そ　1537</t>
    <rPh sb="0" eb="2">
      <t>イチノミヤ</t>
    </rPh>
    <phoneticPr fontId="13"/>
  </si>
  <si>
    <t>VWｻﾞ･ﾋﾞｰﾄﾙ　ﾀｰﾎﾞ</t>
    <phoneticPr fontId="13"/>
  </si>
  <si>
    <t>岐阜　303　て　1564</t>
    <rPh sb="0" eb="2">
      <t>ギフ</t>
    </rPh>
    <phoneticPr fontId="13"/>
  </si>
  <si>
    <t>湘南　302　さ　954</t>
    <rPh sb="0" eb="2">
      <t>ショウナン</t>
    </rPh>
    <phoneticPr fontId="13"/>
  </si>
  <si>
    <t>VF73AEHYRKJ773992</t>
    <phoneticPr fontId="13"/>
  </si>
  <si>
    <t>MﾍﾞﾝﾂC200　ﾛｰﾚｳｽED　ｽﾎﾟｰﾂﾌﾟﾗｽ</t>
    <phoneticPr fontId="13"/>
  </si>
  <si>
    <t>WDD2050772R548595</t>
    <phoneticPr fontId="13"/>
  </si>
  <si>
    <t>MﾍﾞﾝﾂE220ｄ　AVGｽﾎﾟｰﾂ</t>
    <phoneticPr fontId="13"/>
  </si>
  <si>
    <t>ﾀﾝﾄ　Gｽﾍﾟｼｬﾙ</t>
    <phoneticPr fontId="13"/>
  </si>
  <si>
    <t>9/5/30</t>
    <phoneticPr fontId="13"/>
  </si>
  <si>
    <t>ﾜｺﾞﾝR　ﾊｲﾌﾞﾘｯﾄﾞX</t>
    <phoneticPr fontId="13"/>
  </si>
  <si>
    <t>ｱﾙﾌｧｰﾄﾞ　2.5S</t>
    <phoneticPr fontId="13"/>
  </si>
  <si>
    <t>9/8/25</t>
    <phoneticPr fontId="13"/>
  </si>
  <si>
    <t>10/6/2</t>
    <phoneticPr fontId="13"/>
  </si>
  <si>
    <t>保証書　整備手帳　取説</t>
    <rPh sb="0" eb="3">
      <t>ホショウショ</t>
    </rPh>
    <rPh sb="4" eb="8">
      <t>セイビテチョウ</t>
    </rPh>
    <rPh sb="9" eb="11">
      <t>トリセツ</t>
    </rPh>
    <phoneticPr fontId="13"/>
  </si>
  <si>
    <t>ｱﾙﾌｧｰﾄﾞ　2.5S　Cﾊﾟｯｹｰｼﾞ</t>
    <phoneticPr fontId="13"/>
  </si>
  <si>
    <t>8/2/9</t>
    <phoneticPr fontId="13"/>
  </si>
  <si>
    <t>9/6/7</t>
    <phoneticPr fontId="13"/>
  </si>
  <si>
    <t>ｴｽﾃｨﾏ　ｱｴﾗｽ　ﾌﾟﾚﾐｱﾑED</t>
    <phoneticPr fontId="13"/>
  </si>
  <si>
    <t>ﾏﾂﾀﾞCX-5　20SﾌﾞﾗｯｸﾄｰﾝED</t>
    <phoneticPr fontId="13"/>
  </si>
  <si>
    <t>8/10/18</t>
    <phoneticPr fontId="13"/>
  </si>
  <si>
    <t>保証書　整備手帳　取説　ﾜﾝｵｰﾅｰ</t>
    <rPh sb="0" eb="3">
      <t>ホショウショ</t>
    </rPh>
    <rPh sb="4" eb="8">
      <t>セイビテチョウ</t>
    </rPh>
    <rPh sb="9" eb="11">
      <t>トリセツ</t>
    </rPh>
    <phoneticPr fontId="13"/>
  </si>
  <si>
    <t>ｷｯｸｽ　XﾂｰﾄｰﾝｲﾝﾃﾘｱED</t>
    <phoneticPr fontId="13"/>
  </si>
  <si>
    <t>ｼﾙﾊﾞｰM</t>
    <phoneticPr fontId="13"/>
  </si>
  <si>
    <t>ﾏｰｸX　250RDS</t>
    <phoneticPr fontId="13"/>
  </si>
  <si>
    <t>ﾐﾗｲｰｽ　L　SA</t>
    <phoneticPr fontId="13"/>
  </si>
  <si>
    <t>ﾊｲｾﾞｯﾄｶｰｺﾞ　ｸﾙｰｽﾞSaⅢ</t>
    <phoneticPr fontId="13"/>
  </si>
  <si>
    <t>S321V-0439090</t>
    <phoneticPr fontId="13"/>
  </si>
  <si>
    <t>ﾊｽﾗｰ　特別仕様車　Jｽﾀｲﾙﾀｰﾎﾞ</t>
    <rPh sb="5" eb="10">
      <t>トクベツシヨウシャ</t>
    </rPh>
    <phoneticPr fontId="13"/>
  </si>
  <si>
    <t>MR52S-126697</t>
    <phoneticPr fontId="13"/>
  </si>
  <si>
    <t>ﾊｲｾﾞｯﾄｶｰｺﾞ　ｸﾙｰｽﾞ</t>
    <phoneticPr fontId="13"/>
  </si>
  <si>
    <t>S700V-0125978</t>
    <phoneticPr fontId="13"/>
  </si>
  <si>
    <t>ﾜｺﾞﾝR　ﾊｲﾌﾞﾘｯﾄﾞFX</t>
    <phoneticPr fontId="13"/>
  </si>
  <si>
    <t>MH95S-161050</t>
    <phoneticPr fontId="13"/>
  </si>
  <si>
    <t>ﾐﾗｲｰｽ　X　SaⅢ</t>
    <phoneticPr fontId="13"/>
  </si>
  <si>
    <t>LA350S-0332932</t>
    <phoneticPr fontId="13"/>
  </si>
  <si>
    <t>ﾀﾝﾄｶｽﾀﾑ　RS</t>
    <phoneticPr fontId="13"/>
  </si>
  <si>
    <t>LA650S-0293005</t>
    <phoneticPr fontId="13"/>
  </si>
  <si>
    <t>ﾚﾝｼﾞﾛｰﾊﾞｰｲｳﾞｫｰｸﾞ　S　P200</t>
    <phoneticPr fontId="13"/>
  </si>
  <si>
    <t>LA350S-0318212</t>
    <phoneticPr fontId="13"/>
  </si>
  <si>
    <t>LA850S-0011326</t>
    <phoneticPr fontId="13"/>
  </si>
  <si>
    <t>ﾌﾟﾛﾎﾞｯｸｽ　ﾊｲﾌﾞﾘｯﾄﾞDX</t>
    <phoneticPr fontId="13"/>
  </si>
  <si>
    <t>ﾑｰｳﾞｶｽﾀﾑ　RS　ﾊｲﾊﾟｰSaⅡ</t>
    <phoneticPr fontId="13"/>
  </si>
  <si>
    <t>LA150S-0096785</t>
    <phoneticPr fontId="13"/>
  </si>
  <si>
    <t>27-2633</t>
  </si>
  <si>
    <t>27-2634</t>
  </si>
  <si>
    <t>27-2635</t>
  </si>
  <si>
    <t>27-2636</t>
  </si>
  <si>
    <t>27-2637</t>
  </si>
  <si>
    <t>27-2638</t>
  </si>
  <si>
    <t>27-2639</t>
  </si>
  <si>
    <t>27-2640</t>
  </si>
  <si>
    <t>27-2641</t>
  </si>
  <si>
    <t>27-2642</t>
  </si>
  <si>
    <t>27-2643</t>
  </si>
  <si>
    <t>27-2644</t>
  </si>
  <si>
    <t>27-2645</t>
  </si>
  <si>
    <t>27-2646</t>
  </si>
  <si>
    <t>27-2647</t>
  </si>
  <si>
    <t>27-2648</t>
  </si>
  <si>
    <t>27-2649</t>
  </si>
  <si>
    <t>27-2650</t>
  </si>
  <si>
    <t>27-2651</t>
  </si>
  <si>
    <t>27-2652</t>
  </si>
  <si>
    <t>27-2653</t>
  </si>
  <si>
    <t>27-2654</t>
  </si>
  <si>
    <t>ﾌﾟﾘｳｽｱﾙﾌｧ　Sﾂｰﾘﾝｸﾞｾﾚｸｼｮﾝ</t>
    <phoneticPr fontId="13"/>
  </si>
  <si>
    <t>ZVW40W-0015987</t>
    <phoneticPr fontId="13"/>
  </si>
  <si>
    <t>ｼｴﾝﾀ　Z</t>
    <phoneticPr fontId="13"/>
  </si>
  <si>
    <t>MXPC10G-1014819</t>
    <phoneticPr fontId="13"/>
  </si>
  <si>
    <t>ﾓｺ　S</t>
    <phoneticPr fontId="13"/>
  </si>
  <si>
    <t>MG33S-685323</t>
    <phoneticPr fontId="13"/>
  </si>
  <si>
    <t>ﾜｺﾞﾝR　FA</t>
    <phoneticPr fontId="13"/>
  </si>
  <si>
    <t>MH85S-119403</t>
    <phoneticPr fontId="13"/>
  </si>
  <si>
    <t>ｷｬｽﾄ　ｽﾎﾟｰﾂSaⅢ</t>
    <phoneticPr fontId="13"/>
  </si>
  <si>
    <t>LA250S-0139888</t>
    <phoneticPr fontId="13"/>
  </si>
  <si>
    <t>ﾃﾞｲｽﾞ　J</t>
    <phoneticPr fontId="13"/>
  </si>
  <si>
    <t>B21W-0310964</t>
    <phoneticPr fontId="13"/>
  </si>
  <si>
    <t>ｱﾙﾌｧﾛﾒｵ　ｽﾃﾙｳﾞｨｵ　ﾌｧｰｽﾄED</t>
    <phoneticPr fontId="13"/>
  </si>
  <si>
    <t>MﾍﾞﾝﾂGLB200ｄ　AMGﾗｲﾝ</t>
    <phoneticPr fontId="13"/>
  </si>
  <si>
    <t>W1N2476122W085252</t>
    <phoneticPr fontId="13"/>
  </si>
  <si>
    <t>ｸﾞﾘｰﾝⅡ</t>
    <phoneticPr fontId="13"/>
  </si>
  <si>
    <t>SALZA2AX2LH065121</t>
    <phoneticPr fontId="13"/>
  </si>
  <si>
    <t>広島　343　た　311</t>
    <rPh sb="0" eb="2">
      <t>ヒロシマ</t>
    </rPh>
    <phoneticPr fontId="13"/>
  </si>
  <si>
    <t>保証書　取説　ﾅﾋﾞ取</t>
    <rPh sb="0" eb="3">
      <t>ホショウショ</t>
    </rPh>
    <rPh sb="4" eb="6">
      <t>トリセツ</t>
    </rPh>
    <rPh sb="10" eb="11">
      <t>トリ</t>
    </rPh>
    <phoneticPr fontId="13"/>
  </si>
  <si>
    <t>ﾌﾟﾛﾎﾞｯｸｽ　ﾊｲﾌﾞﾘｯﾄﾞGL</t>
    <rPh sb="0" eb="2">
      <t>カガワ</t>
    </rPh>
    <phoneticPr fontId="13"/>
  </si>
  <si>
    <t>香川　583　い　7768</t>
    <rPh sb="0" eb="2">
      <t>カガワ</t>
    </rPh>
    <phoneticPr fontId="13"/>
  </si>
  <si>
    <t>保証書　ﾅﾋﾞ取</t>
    <rPh sb="0" eb="3">
      <t>ホショウショ</t>
    </rPh>
    <rPh sb="7" eb="8">
      <t>トリ</t>
    </rPh>
    <phoneticPr fontId="13"/>
  </si>
  <si>
    <t>川越　330　な　2513</t>
    <rPh sb="0" eb="2">
      <t>カワゴエ</t>
    </rPh>
    <phoneticPr fontId="13"/>
  </si>
  <si>
    <t>広島　581　め　1768</t>
    <rPh sb="0" eb="2">
      <t>ヒロシマ</t>
    </rPh>
    <phoneticPr fontId="13"/>
  </si>
  <si>
    <t>保証書　取説　ﾅﾋﾞ取　ｷｰﾚｽ</t>
    <rPh sb="0" eb="3">
      <t>ホショウショ</t>
    </rPh>
    <rPh sb="4" eb="6">
      <t>トリセツ</t>
    </rPh>
    <rPh sb="10" eb="11">
      <t>トリ</t>
    </rPh>
    <phoneticPr fontId="13"/>
  </si>
  <si>
    <t>ZARFAHHN0J7C19094</t>
    <phoneticPr fontId="13"/>
  </si>
  <si>
    <t>ﾌﾟﾛﾎﾞｯｸｽ　DXｺﾝﾌｫｰﾄ</t>
    <rPh sb="0" eb="2">
      <t>カガワ</t>
    </rPh>
    <phoneticPr fontId="13"/>
  </si>
  <si>
    <t>NSP160-0062773</t>
    <phoneticPr fontId="13"/>
  </si>
  <si>
    <t>ｶﾛｰﾗﾌｨｰﾙﾀﾞｰ　ﾊｲﾌﾞﾘｯﾄﾞEX</t>
    <phoneticPr fontId="13"/>
  </si>
  <si>
    <t>NKE165-7241969</t>
    <phoneticPr fontId="13"/>
  </si>
  <si>
    <t>ｴﾌﾞﾘｨV　ｼﾞｮｲﾝ</t>
    <phoneticPr fontId="13"/>
  </si>
  <si>
    <t>DA17V-508555</t>
    <phoneticPr fontId="13"/>
  </si>
  <si>
    <t>A321217</t>
    <phoneticPr fontId="13"/>
  </si>
  <si>
    <t>MXWH60-4083967</t>
    <phoneticPr fontId="13"/>
  </si>
  <si>
    <t>ﾌﾘｰﾄﾞ　HV　G</t>
    <phoneticPr fontId="13"/>
  </si>
  <si>
    <t>GB7-3113414</t>
    <phoneticPr fontId="13"/>
  </si>
  <si>
    <t>付属品預かってる</t>
    <rPh sb="0" eb="3">
      <t>フゾクヒン</t>
    </rPh>
    <rPh sb="3" eb="4">
      <t>アズ</t>
    </rPh>
    <phoneticPr fontId="13"/>
  </si>
  <si>
    <t>所沢 585 き 7716</t>
    <rPh sb="0" eb="2">
      <t>トコロザワ</t>
    </rPh>
    <phoneticPr fontId="13"/>
  </si>
  <si>
    <t>松浦 弦一</t>
    <rPh sb="0" eb="2">
      <t>マツウラ</t>
    </rPh>
    <rPh sb="3" eb="4">
      <t>ゲン</t>
    </rPh>
    <rPh sb="4" eb="5">
      <t>イチ</t>
    </rPh>
    <phoneticPr fontId="13"/>
  </si>
  <si>
    <t>1/22</t>
    <phoneticPr fontId="13"/>
  </si>
  <si>
    <t>岐阜 585 こ 64</t>
    <rPh sb="0" eb="2">
      <t>ギフ</t>
    </rPh>
    <phoneticPr fontId="13"/>
  </si>
  <si>
    <t>矢野 淳</t>
    <rPh sb="0" eb="2">
      <t>ヤノ</t>
    </rPh>
    <rPh sb="3" eb="4">
      <t>ジュン</t>
    </rPh>
    <phoneticPr fontId="13"/>
  </si>
  <si>
    <t>所沢 586 か 1223</t>
    <rPh sb="0" eb="2">
      <t>トコロザワ</t>
    </rPh>
    <phoneticPr fontId="13"/>
  </si>
  <si>
    <t>高橋 杏子</t>
    <rPh sb="0" eb="2">
      <t>タカハシ</t>
    </rPh>
    <rPh sb="3" eb="5">
      <t>キョウコ</t>
    </rPh>
    <phoneticPr fontId="13"/>
  </si>
  <si>
    <t>なにわ 59C つ 934</t>
    <phoneticPr fontId="13"/>
  </si>
  <si>
    <t>奈良 337 せ 1718</t>
    <rPh sb="0" eb="2">
      <t>ナラ</t>
    </rPh>
    <phoneticPr fontId="13"/>
  </si>
  <si>
    <t>和歌山 532 さ 568</t>
    <rPh sb="0" eb="3">
      <t>ワカヤマ</t>
    </rPh>
    <phoneticPr fontId="13"/>
  </si>
  <si>
    <t>和歌山ﾄﾖﾀ自動車株式会社</t>
    <rPh sb="0" eb="3">
      <t>ワカヤマ</t>
    </rPh>
    <rPh sb="6" eb="13">
      <t>ジドウシャカブシキガイシャ</t>
    </rPh>
    <phoneticPr fontId="13"/>
  </si>
  <si>
    <t>堺 399 ひ 5940</t>
    <rPh sb="0" eb="1">
      <t>サカイ</t>
    </rPh>
    <phoneticPr fontId="13"/>
  </si>
  <si>
    <t>保証書 取説 ﾘﾓｺﾝ(車内)ﾜﾝｵｰﾅｰ</t>
    <rPh sb="0" eb="3">
      <t>ホショウショ</t>
    </rPh>
    <rPh sb="4" eb="6">
      <t>トリセツ</t>
    </rPh>
    <rPh sb="12" eb="14">
      <t>シャナイ</t>
    </rPh>
    <phoneticPr fontId="13"/>
  </si>
  <si>
    <t>なにわ 341 な 525</t>
    <phoneticPr fontId="13"/>
  </si>
  <si>
    <t>双日ｵｰﾄｸﾞﾙｰﾌﾟ大阪株式会社</t>
    <rPh sb="0" eb="1">
      <t>フタ</t>
    </rPh>
    <rPh sb="1" eb="2">
      <t>ビ</t>
    </rPh>
    <rPh sb="11" eb="15">
      <t>カブシキガイシャ</t>
    </rPh>
    <phoneticPr fontId="13"/>
  </si>
  <si>
    <t>ﾘﾓｺﾝ2個(車内)保証書 取説 ｷｰﾚｽ ﾜﾝｵｰﾅｰ？</t>
    <rPh sb="5" eb="6">
      <t>コ</t>
    </rPh>
    <rPh sb="7" eb="9">
      <t>シャナイ</t>
    </rPh>
    <rPh sb="10" eb="13">
      <t>ホショウショ</t>
    </rPh>
    <rPh sb="14" eb="16">
      <t>トリセツ</t>
    </rPh>
    <phoneticPr fontId="13"/>
  </si>
  <si>
    <t>岐阜 31Y む 358</t>
    <rPh sb="0" eb="2">
      <t>ギフ</t>
    </rPh>
    <phoneticPr fontId="13"/>
  </si>
  <si>
    <t>千葉 303 た 2859</t>
    <rPh sb="0" eb="2">
      <t>チバ</t>
    </rPh>
    <phoneticPr fontId="13"/>
  </si>
  <si>
    <t>野田 362 ね 55</t>
    <rPh sb="0" eb="2">
      <t>ノダ</t>
    </rPh>
    <phoneticPr fontId="13"/>
  </si>
  <si>
    <t>VSS奈良株式会社</t>
    <rPh sb="3" eb="5">
      <t>ナラ</t>
    </rPh>
    <rPh sb="5" eb="9">
      <t>カブシキガイシャ</t>
    </rPh>
    <phoneticPr fontId="13"/>
  </si>
  <si>
    <t>品川 5X2 ろ 9974</t>
    <rPh sb="0" eb="2">
      <t>シナガワ</t>
    </rPh>
    <phoneticPr fontId="13"/>
  </si>
  <si>
    <t>品川 5X2 ろ 9253</t>
    <rPh sb="0" eb="2">
      <t>シナガワ</t>
    </rPh>
    <phoneticPr fontId="13"/>
  </si>
  <si>
    <t>なにわ 5P8 ろ 7717</t>
    <phoneticPr fontId="13"/>
  </si>
  <si>
    <t>品川 5X2 ろ 9254</t>
    <rPh sb="0" eb="2">
      <t>シナガワ</t>
    </rPh>
    <phoneticPr fontId="13"/>
  </si>
  <si>
    <t>多摩 592 ろ 6267</t>
    <rPh sb="0" eb="2">
      <t>タマ</t>
    </rPh>
    <phoneticPr fontId="13"/>
  </si>
  <si>
    <t>神戸 596 ろ 5691</t>
    <rPh sb="0" eb="2">
      <t>コウベ</t>
    </rPh>
    <phoneticPr fontId="13"/>
  </si>
  <si>
    <t>株式会社ﾅｯｸ</t>
    <rPh sb="0" eb="4">
      <t>カブシキガイシャ</t>
    </rPh>
    <phoneticPr fontId="13"/>
  </si>
  <si>
    <t>保証書 取説 ﾅﾋﾞ取 ｽﾍﾟｱｷｰ 地図SD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</si>
  <si>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高松 310 て 8228</t>
    <rPh sb="0" eb="2">
      <t>タカマツ</t>
    </rPh>
    <phoneticPr fontId="13"/>
  </si>
  <si>
    <t>高橋 誠</t>
    <rPh sb="0" eb="2">
      <t>タカハシ</t>
    </rPh>
    <rPh sb="3" eb="4">
      <t>マコト</t>
    </rPh>
    <phoneticPr fontId="13"/>
  </si>
  <si>
    <t>北九州 334 ほ 802</t>
    <rPh sb="0" eb="3">
      <t>キタキュウシュウ</t>
    </rPh>
    <phoneticPr fontId="13"/>
  </si>
  <si>
    <t>ﾀｽﾃｯｸ・ﾚﾝﾀﾘｰｽ株式会社</t>
    <rPh sb="12" eb="16">
      <t>カブシキガイシャ</t>
    </rPh>
    <phoneticPr fontId="13"/>
  </si>
  <si>
    <t>地図SD(車内)取説 ﾅﾋﾞ取 ｷｰﾚｽ</t>
    <rPh sb="0" eb="2">
      <t>チズ</t>
    </rPh>
    <rPh sb="5" eb="7">
      <t>シャナイ</t>
    </rPh>
    <rPh sb="8" eb="10">
      <t>トリセツ</t>
    </rPh>
    <rPh sb="14" eb="15">
      <t>トリ</t>
    </rPh>
    <phoneticPr fontId="13"/>
  </si>
  <si>
    <t>広島 399 に 2389</t>
    <rPh sb="0" eb="2">
      <t>ヒロシマ</t>
    </rPh>
    <phoneticPr fontId="13"/>
  </si>
  <si>
    <t>広島 594 と 100</t>
    <rPh sb="0" eb="2">
      <t>ヒロシマ</t>
    </rPh>
    <phoneticPr fontId="13"/>
  </si>
  <si>
    <t>岡山 30Y な 1000</t>
    <rPh sb="0" eb="2">
      <t>オカヤマ</t>
    </rPh>
    <phoneticPr fontId="13"/>
  </si>
  <si>
    <t>地図SD(車内)ﾅﾋﾞ取 ｽﾍﾟｱｷｰ</t>
    <rPh sb="11" eb="12">
      <t>トリ</t>
    </rPh>
    <phoneticPr fontId="13"/>
  </si>
  <si>
    <t>塩井川  彪</t>
    <rPh sb="0" eb="3">
      <t>シオイガワ</t>
    </rPh>
    <phoneticPr fontId="13"/>
  </si>
  <si>
    <t>取説 2/13まで</t>
    <rPh sb="0" eb="2">
      <t>トリセツ</t>
    </rPh>
    <phoneticPr fontId="13"/>
  </si>
  <si>
    <t>梶田 千絵子</t>
    <rPh sb="0" eb="2">
      <t>カジタ</t>
    </rPh>
    <rPh sb="3" eb="6">
      <t>チエコ</t>
    </rPh>
    <phoneticPr fontId="13"/>
  </si>
  <si>
    <t>名古屋 401 ま 74</t>
    <rPh sb="0" eb="3">
      <t>ナゴヤ</t>
    </rPh>
    <phoneticPr fontId="13"/>
  </si>
  <si>
    <t>ﾄﾖﾀﾓﾋﾞﾘﾃｨｻｰﾋﾞｽ東名古屋株式会社</t>
    <rPh sb="16" eb="20">
      <t>カブシキガイシャ</t>
    </rPh>
    <rPh sb="18" eb="22">
      <t>カブシキガイシャ</t>
    </rPh>
    <phoneticPr fontId="13"/>
  </si>
  <si>
    <t>岡山 358 せ 21</t>
    <rPh sb="0" eb="2">
      <t>オカヤマ</t>
    </rPh>
    <phoneticPr fontId="13"/>
  </si>
  <si>
    <t>島根 300 ほ 9063</t>
    <rPh sb="0" eb="2">
      <t>シマネ</t>
    </rPh>
    <phoneticPr fontId="13"/>
  </si>
  <si>
    <t>保証書  取説 Sｷｰ</t>
    <rPh sb="5" eb="7">
      <t>トリセツ</t>
    </rPh>
    <phoneticPr fontId="13"/>
  </si>
  <si>
    <t>福岡 59A に 3871</t>
    <rPh sb="0" eb="2">
      <t>フクオカ</t>
    </rPh>
    <phoneticPr fontId="13"/>
  </si>
  <si>
    <t>ﾄﾖﾀｶﾛｰﾗ福岡株式会社</t>
    <rPh sb="7" eb="9">
      <t>フクオカ</t>
    </rPh>
    <rPh sb="9" eb="13">
      <t>カブシキガイシャ</t>
    </rPh>
    <phoneticPr fontId="13"/>
  </si>
  <si>
    <t>地図SD(車内) 保証書</t>
    <rPh sb="9" eb="12">
      <t>ホショウショ</t>
    </rPh>
    <phoneticPr fontId="13"/>
  </si>
  <si>
    <t>下関 580 せ 2329</t>
    <rPh sb="0" eb="2">
      <t>シモノセキ</t>
    </rPh>
    <phoneticPr fontId="13"/>
  </si>
  <si>
    <t>白石 恵子</t>
    <rPh sb="0" eb="2">
      <t>シライシ</t>
    </rPh>
    <rPh sb="3" eb="5">
      <t>ケイコ</t>
    </rPh>
    <phoneticPr fontId="13"/>
  </si>
  <si>
    <t>徳島 580 ほ 3340</t>
    <rPh sb="0" eb="2">
      <t>トクシマ</t>
    </rPh>
    <phoneticPr fontId="13"/>
  </si>
  <si>
    <t>有限会社西村自動車</t>
    <rPh sb="0" eb="4">
      <t>ユウゲンカイシャ</t>
    </rPh>
    <rPh sb="4" eb="6">
      <t>ニシムラ</t>
    </rPh>
    <rPh sb="6" eb="9">
      <t>ジドウシャ</t>
    </rPh>
    <phoneticPr fontId="13"/>
  </si>
  <si>
    <t xml:space="preserve">地図SD(車内)保証書 取説 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</si>
  <si>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有限会社坂元商会</t>
    <rPh sb="0" eb="4">
      <t>ユウゲンカイシャ</t>
    </rPh>
    <rPh sb="4" eb="6">
      <t>サカモト</t>
    </rPh>
    <rPh sb="6" eb="8">
      <t>ショウカイ</t>
    </rPh>
    <phoneticPr fontId="13"/>
  </si>
  <si>
    <t>株式会社森ﾓｰﾀｰｽ</t>
    <rPh sb="0" eb="4">
      <t>カブシキガイシャ</t>
    </rPh>
    <rPh sb="4" eb="5">
      <t>モリ</t>
    </rPh>
    <phoneticPr fontId="13"/>
  </si>
  <si>
    <t>名古屋 780 ろ 4735</t>
    <rPh sb="0" eb="3">
      <t>ナゴヤ</t>
    </rPh>
    <phoneticPr fontId="13"/>
  </si>
  <si>
    <t>一宮 580 せ 9532</t>
    <rPh sb="0" eb="2">
      <t>イチノミヤ</t>
    </rPh>
    <phoneticPr fontId="13"/>
  </si>
  <si>
    <t>株式会社ｺﾚｯﾄ</t>
    <rPh sb="0" eb="4">
      <t>カブシキガイシャ</t>
    </rPh>
    <phoneticPr fontId="13"/>
  </si>
  <si>
    <t>車輌番号/所有者</t>
    <phoneticPr fontId="13"/>
  </si>
  <si>
    <t>品川 5X2 ろ 8469</t>
    <rPh sb="0" eb="2">
      <t>シナガワ</t>
    </rPh>
    <phoneticPr fontId="13"/>
  </si>
  <si>
    <t>京都三菱自動車販売株式会社</t>
    <rPh sb="0" eb="2">
      <t>キョウト</t>
    </rPh>
    <rPh sb="2" eb="4">
      <t>ミツビシ</t>
    </rPh>
    <rPh sb="4" eb="13">
      <t>ジドウシャハンバイカブシキガイシャ</t>
    </rPh>
    <phoneticPr fontId="13"/>
  </si>
  <si>
    <t>取説 ﾅﾋﾞ取 Sｷｰ</t>
    <rPh sb="0" eb="2">
      <t>トリセツ</t>
    </rPh>
    <rPh sb="6" eb="7">
      <t>トリ</t>
    </rPh>
    <phoneticPr fontId="13"/>
  </si>
  <si>
    <t>名古屋 780 ろ 4324</t>
    <rPh sb="0" eb="3">
      <t>ナゴヤ</t>
    </rPh>
    <phoneticPr fontId="13"/>
  </si>
  <si>
    <t>有限会社岡野商会</t>
    <rPh sb="0" eb="4">
      <t>ユウゲンカイシャ</t>
    </rPh>
    <rPh sb="4" eb="6">
      <t>オカノ</t>
    </rPh>
    <rPh sb="6" eb="8">
      <t>ショウカイ</t>
    </rPh>
    <phoneticPr fontId="13"/>
  </si>
  <si>
    <t>SD写メあり上がってきてない保証書 取説 Sｷｰ</t>
    <rPh sb="2" eb="3">
      <t>シャ</t>
    </rPh>
    <rPh sb="6" eb="7">
      <t>ア</t>
    </rPh>
    <rPh sb="14" eb="17">
      <t>ホショウショ</t>
    </rPh>
    <rPh sb="18" eb="20">
      <t>トリセツ</t>
    </rPh>
    <phoneticPr fontId="13"/>
  </si>
  <si>
    <t>神戸 583 く 7085</t>
    <rPh sb="0" eb="2">
      <t>コウベ</t>
    </rPh>
    <phoneticPr fontId="13"/>
  </si>
  <si>
    <t>株式会社ｳｨｯﾂ</t>
    <rPh sb="0" eb="4">
      <t>カブシキガイシャ</t>
    </rPh>
    <phoneticPr fontId="13"/>
  </si>
  <si>
    <t>保証書 取説 Sｷｰ ﾛｯｸﾅｯﾄ</t>
    <rPh sb="0" eb="3">
      <t>ホショウショ</t>
    </rPh>
    <rPh sb="4" eb="6">
      <t>トリセツ</t>
    </rPh>
    <phoneticPr fontId="13"/>
  </si>
  <si>
    <t>滋賀 582 ろ 9807</t>
    <rPh sb="0" eb="2">
      <t>シガ</t>
    </rPh>
    <phoneticPr fontId="13"/>
  </si>
  <si>
    <t>株式会社ｱｲﾜﾓｰﾀｰｽ</t>
    <rPh sb="0" eb="4">
      <t>カブシキガイシャ</t>
    </rPh>
    <phoneticPr fontId="13"/>
  </si>
  <si>
    <t>多摩 591 ろ 9119</t>
    <rPh sb="0" eb="2">
      <t>タマ</t>
    </rPh>
    <phoneticPr fontId="13"/>
  </si>
  <si>
    <t>なにわ 5P9 ろ 551</t>
    <phoneticPr fontId="13"/>
  </si>
  <si>
    <t>三重 583 な 1308</t>
    <rPh sb="0" eb="2">
      <t>ミエ</t>
    </rPh>
    <phoneticPr fontId="13"/>
  </si>
  <si>
    <t>MTﾎｰﾙﾃﾞｨﾝｸﾞｽ株式会社</t>
    <rPh sb="12" eb="16">
      <t>カブシキガイシャ</t>
    </rPh>
    <phoneticPr fontId="13"/>
  </si>
  <si>
    <t>582 い 9484</t>
    <phoneticPr fontId="13"/>
  </si>
  <si>
    <t>品川 5X2 ろ 7118</t>
    <rPh sb="0" eb="2">
      <t>シナガワ</t>
    </rPh>
    <phoneticPr fontId="13"/>
  </si>
  <si>
    <t>宇都宮 581 く 3878</t>
    <rPh sb="0" eb="3">
      <t>ウツノミヤ</t>
    </rPh>
    <phoneticPr fontId="13"/>
  </si>
  <si>
    <t>齊藤 正宏</t>
    <rPh sb="0" eb="2">
      <t>サイトウ</t>
    </rPh>
    <rPh sb="3" eb="4">
      <t>タダシ</t>
    </rPh>
    <rPh sb="4" eb="5">
      <t>ヒロシ</t>
    </rPh>
    <phoneticPr fontId="13"/>
  </si>
  <si>
    <t>ﾑｰｳﾞｷｬﾝﾊﾞｽ　ｾｵﾘｰX</t>
    <phoneticPr fontId="13"/>
  </si>
  <si>
    <t>角印なしそのまま発送</t>
    <rPh sb="0" eb="2">
      <t>カクイン</t>
    </rPh>
    <rPh sb="8" eb="10">
      <t>ハッソウ</t>
    </rPh>
    <phoneticPr fontId="13"/>
  </si>
  <si>
    <t>USS名古屋山森さん</t>
    <rPh sb="3" eb="6">
      <t>ナゴヤ</t>
    </rPh>
    <rPh sb="6" eb="8">
      <t>ヤマモリ</t>
    </rPh>
    <phoneticPr fontId="13"/>
  </si>
  <si>
    <t>WMWLR920402H12505</t>
    <phoneticPr fontId="13"/>
  </si>
  <si>
    <t>記録紙1枚 福祉車両返金OK</t>
    <rPh sb="0" eb="3">
      <t>キロクシ</t>
    </rPh>
    <rPh sb="4" eb="5">
      <t>マイ</t>
    </rPh>
    <rPh sb="6" eb="10">
      <t>フクシシャリョウ</t>
    </rPh>
    <rPh sb="10" eb="12">
      <t>ヘンキン</t>
    </rPh>
    <phoneticPr fontId="13"/>
  </si>
  <si>
    <t>尾張小牧 334 さ 704</t>
    <rPh sb="0" eb="4">
      <t>オワリコマキ</t>
    </rPh>
    <phoneticPr fontId="13"/>
  </si>
  <si>
    <t>中島 克也</t>
    <rPh sb="0" eb="2">
      <t>ナカジマ</t>
    </rPh>
    <rPh sb="3" eb="5">
      <t>カツヤ</t>
    </rPh>
    <phoneticPr fontId="13"/>
  </si>
  <si>
    <t>1/23</t>
    <phoneticPr fontId="13"/>
  </si>
  <si>
    <t>京都 582 ち 6952</t>
    <rPh sb="0" eb="2">
      <t>キョウト</t>
    </rPh>
    <phoneticPr fontId="13"/>
  </si>
  <si>
    <t>山下 敬一郎</t>
    <rPh sb="0" eb="2">
      <t>ヤマシタ</t>
    </rPh>
    <rPh sb="3" eb="6">
      <t>ケイイチロウ</t>
    </rPh>
    <phoneticPr fontId="13"/>
  </si>
  <si>
    <t>岡山 301 や 2746</t>
    <rPh sb="0" eb="2">
      <t>オカヤマ</t>
    </rPh>
    <phoneticPr fontId="13"/>
  </si>
  <si>
    <t>宇都宮 348 て 1225</t>
    <rPh sb="0" eb="3">
      <t>ウツノミヤ</t>
    </rPh>
    <phoneticPr fontId="13"/>
  </si>
  <si>
    <t>株式会社ﾎﾝﾀﾞｶｰｽﾞ栃木県央</t>
    <rPh sb="0" eb="4">
      <t>カブシキガイシャ</t>
    </rPh>
    <rPh sb="12" eb="14">
      <t>トチキ</t>
    </rPh>
    <rPh sb="14" eb="15">
      <t>ケン</t>
    </rPh>
    <rPh sb="15" eb="16">
      <t>オウ</t>
    </rPh>
    <phoneticPr fontId="13"/>
  </si>
  <si>
    <t>保証書(保証書としてOK) 取説 ｷｰﾚｽ(車内)</t>
    <rPh sb="0" eb="3">
      <t>ホショウショ</t>
    </rPh>
    <rPh sb="4" eb="7">
      <t>ホショウショ</t>
    </rPh>
    <rPh sb="14" eb="16">
      <t>トリセツ</t>
    </rPh>
    <rPh sb="22" eb="24">
      <t>シャナイ</t>
    </rPh>
    <phoneticPr fontId="13"/>
  </si>
  <si>
    <t>品番；NSZP-W670</t>
    <rPh sb="0" eb="2">
      <t>ヒンバン</t>
    </rPh>
    <phoneticPr fontId="13"/>
  </si>
  <si>
    <t>取説 ｷｰﾚｽ ｽﾍﾟｱｷｰ(車内)保証書</t>
    <rPh sb="0" eb="2">
      <t>トリセツ</t>
    </rPh>
    <rPh sb="18" eb="21">
      <t>ホショウショ</t>
    </rPh>
    <phoneticPr fontId="13"/>
  </si>
  <si>
    <t>服部 修</t>
    <rPh sb="0" eb="2">
      <t>ハットリ</t>
    </rPh>
    <rPh sb="3" eb="4">
      <t>シュウ</t>
    </rPh>
    <phoneticPr fontId="13"/>
  </si>
  <si>
    <t>(株)SWITCH</t>
    <rPh sb="0" eb="3">
      <t>カブシキガイシャ</t>
    </rPh>
    <phoneticPr fontId="13"/>
  </si>
  <si>
    <t>根本 孝</t>
    <rPh sb="0" eb="2">
      <t>ネモト</t>
    </rPh>
    <rPh sb="3" eb="4">
      <t>タカ</t>
    </rPh>
    <phoneticPr fontId="13"/>
  </si>
  <si>
    <t>中村 可菜央</t>
    <rPh sb="0" eb="2">
      <t>ナカムラ</t>
    </rPh>
    <rPh sb="3" eb="4">
      <t>カ</t>
    </rPh>
    <rPh sb="4" eb="5">
      <t>ナ</t>
    </rPh>
    <rPh sb="5" eb="6">
      <t>オウ</t>
    </rPh>
    <phoneticPr fontId="13"/>
  </si>
  <si>
    <t>上川 善春</t>
    <rPh sb="0" eb="2">
      <t>カミカワ</t>
    </rPh>
    <rPh sb="3" eb="4">
      <t>ゼン</t>
    </rPh>
    <rPh sb="4" eb="5">
      <t>ハル</t>
    </rPh>
    <phoneticPr fontId="13"/>
  </si>
  <si>
    <t>明賀 千奈津</t>
    <rPh sb="0" eb="1">
      <t>アカ</t>
    </rPh>
    <rPh sb="1" eb="2">
      <t>ガ</t>
    </rPh>
    <rPh sb="3" eb="6">
      <t>チナツ</t>
    </rPh>
    <phoneticPr fontId="13"/>
  </si>
  <si>
    <t>阿部 倫子</t>
    <rPh sb="0" eb="2">
      <t>アベ</t>
    </rPh>
    <rPh sb="3" eb="5">
      <t>リンコ</t>
    </rPh>
    <phoneticPr fontId="13"/>
  </si>
  <si>
    <t>澁川 輝芳</t>
    <rPh sb="0" eb="2">
      <t>シブカワ</t>
    </rPh>
    <rPh sb="3" eb="4">
      <t>テル</t>
    </rPh>
    <rPh sb="4" eb="5">
      <t>ヨシ</t>
    </rPh>
    <phoneticPr fontId="13"/>
  </si>
  <si>
    <t>車内ｽﾍﾟｱｷｰのみ 保証書 取説 ﾘﾓｺﾝ</t>
    <rPh sb="0" eb="2">
      <t>シャナイ</t>
    </rPh>
    <rPh sb="13" eb="14">
      <t>　</t>
    </rPh>
    <rPh sb="15" eb="16">
      <t>トリセツ</t>
    </rPh>
    <rPh sb="16" eb="17">
      <t>　</t>
    </rPh>
    <phoneticPr fontId="13"/>
  </si>
  <si>
    <t>D A MITSUOKA株式会社</t>
    <rPh sb="12" eb="16">
      <t>カブシキガイシャ</t>
    </rPh>
    <phoneticPr fontId="13"/>
  </si>
  <si>
    <t>和泉 30P に 3</t>
    <rPh sb="0" eb="2">
      <t>イズミ</t>
    </rPh>
    <phoneticPr fontId="13"/>
  </si>
  <si>
    <t>岩村 雄貴</t>
    <rPh sb="0" eb="2">
      <t>イワムラ</t>
    </rPh>
    <rPh sb="3" eb="4">
      <t>オス</t>
    </rPh>
    <rPh sb="4" eb="5">
      <t>タカ</t>
    </rPh>
    <phoneticPr fontId="13"/>
  </si>
  <si>
    <t>1/24</t>
    <phoneticPr fontId="13"/>
  </si>
  <si>
    <t>WDD2132042A618021</t>
    <phoneticPr fontId="13"/>
  </si>
  <si>
    <t>なにわ 39A め 4681</t>
    <phoneticPr fontId="13"/>
  </si>
  <si>
    <t>愛媛 330 の 8258</t>
    <rPh sb="0" eb="2">
      <t>エヒメ</t>
    </rPh>
    <phoneticPr fontId="13"/>
  </si>
  <si>
    <t>森田 幸一</t>
    <rPh sb="0" eb="2">
      <t>モリタ</t>
    </rPh>
    <rPh sb="3" eb="5">
      <t>コウイチ</t>
    </rPh>
    <phoneticPr fontId="13"/>
  </si>
  <si>
    <t>書類返送1/24</t>
    <rPh sb="0" eb="2">
      <t>ショルイ</t>
    </rPh>
    <rPh sb="2" eb="4">
      <t>ヘンソウ</t>
    </rPh>
    <phoneticPr fontId="13"/>
  </si>
  <si>
    <t>MN71S-133441</t>
    <phoneticPr fontId="13"/>
  </si>
  <si>
    <t>27-2655</t>
  </si>
  <si>
    <t>27-2656</t>
  </si>
  <si>
    <t>MN71S-139203</t>
    <phoneticPr fontId="13"/>
  </si>
  <si>
    <t>27-2657</t>
  </si>
  <si>
    <t>27-2658</t>
  </si>
  <si>
    <t>27-2659</t>
  </si>
  <si>
    <t>27-2660</t>
  </si>
  <si>
    <t>27-2661</t>
  </si>
  <si>
    <t>27-2662</t>
  </si>
  <si>
    <t>27-2663</t>
  </si>
  <si>
    <t>LA800S-0270790</t>
    <phoneticPr fontId="13"/>
  </si>
  <si>
    <t>JF1-1945364</t>
    <phoneticPr fontId="13"/>
  </si>
  <si>
    <t>ZFA3120000JD03395</t>
    <phoneticPr fontId="13"/>
  </si>
  <si>
    <t>VW ｱｯﾌﾟ ！</t>
    <phoneticPr fontId="13"/>
  </si>
  <si>
    <t>WVWZZZAAZHD081568</t>
    <phoneticPr fontId="13"/>
  </si>
  <si>
    <t>ﾑｰﾌﾞｷｬﾝﾊﾞｽ GﾎﾜｲﾄｱｸｾﾝﾄVS</t>
    <phoneticPr fontId="13"/>
  </si>
  <si>
    <t>一宮 580 て 4510</t>
    <rPh sb="0" eb="2">
      <t>イチノミヤ</t>
    </rPh>
    <phoneticPr fontId="13"/>
  </si>
  <si>
    <t>三河 580 も 5693</t>
    <rPh sb="0" eb="2">
      <t>ミカワ</t>
    </rPh>
    <phoneticPr fontId="13"/>
  </si>
  <si>
    <t>ﾌｨｱｯﾄ500C 1.2ﾎﾟｯﾌﾟ</t>
    <phoneticPr fontId="13"/>
  </si>
  <si>
    <t>三河 538 ろ 500</t>
    <rPh sb="0" eb="2">
      <t>ミカワ</t>
    </rPh>
    <phoneticPr fontId="13"/>
  </si>
  <si>
    <t>ﾒﾙｾﾃﾞｽﾍﾞﾝﾂA180</t>
    <phoneticPr fontId="13"/>
  </si>
  <si>
    <t>W1K1770842V075207</t>
    <phoneticPr fontId="13"/>
  </si>
  <si>
    <t>WBY8P420507G42645</t>
    <phoneticPr fontId="13"/>
  </si>
  <si>
    <t>BMW i3 ﾚﾝｼﾞｴｸｽﾃﾝﾀﾞｰ</t>
    <phoneticPr fontId="13"/>
  </si>
  <si>
    <t>保証書 ｽﾍﾟｱｷｰ 充電ｹｰﾌﾞﾙ車内</t>
    <rPh sb="0" eb="3">
      <t>ホショウショ</t>
    </rPh>
    <rPh sb="11" eb="13">
      <t>ジュウデン</t>
    </rPh>
    <rPh sb="18" eb="20">
      <t>シャナイ</t>
    </rPh>
    <phoneticPr fontId="13"/>
  </si>
  <si>
    <t>ﾚｸｻｽ UX ｱｰﾊﾞﾝｴﾚｶﾞﾝｽ</t>
    <phoneticPr fontId="13"/>
  </si>
  <si>
    <t>MZAH10-2087741</t>
    <phoneticPr fontId="13"/>
  </si>
  <si>
    <t>ｻﾝｾﾌﾞﾝ中川自動車株式会社</t>
    <rPh sb="6" eb="8">
      <t>ナカガワ</t>
    </rPh>
    <rPh sb="8" eb="11">
      <t>ジドウシャ</t>
    </rPh>
    <rPh sb="11" eb="15">
      <t>カブシキガイシャ</t>
    </rPh>
    <phoneticPr fontId="13"/>
  </si>
  <si>
    <t>岡山 399 な 4197</t>
    <rPh sb="0" eb="2">
      <t>オカヤマ</t>
    </rPh>
    <phoneticPr fontId="13"/>
  </si>
  <si>
    <t>ZRE162-7001958</t>
    <phoneticPr fontId="13"/>
  </si>
  <si>
    <t>岡山 584 ろ 2871</t>
    <rPh sb="0" eb="2">
      <t>オカヤマ</t>
    </rPh>
    <phoneticPr fontId="13"/>
  </si>
  <si>
    <t>小川 健</t>
    <rPh sb="0" eb="2">
      <t>オガワ</t>
    </rPh>
    <rPh sb="3" eb="4">
      <t>ケン</t>
    </rPh>
    <phoneticPr fontId="13"/>
  </si>
  <si>
    <t>和泉 583 せ 4848</t>
    <rPh sb="0" eb="2">
      <t>イズミ</t>
    </rPh>
    <phoneticPr fontId="13"/>
  </si>
  <si>
    <t>大阪 599 ら 4328</t>
    <rPh sb="0" eb="2">
      <t>オオサカ</t>
    </rPh>
    <phoneticPr fontId="13"/>
  </si>
  <si>
    <t>鳥取 580 わ 3389</t>
    <rPh sb="0" eb="2">
      <t>トットリ</t>
    </rPh>
    <phoneticPr fontId="13"/>
  </si>
  <si>
    <t>保証書 取説 ﾅﾋﾞ取 ｷｰﾚｽ ﾄﾞﾗﾚｺSD ﾚﾝﾀｶｰ</t>
    <rPh sb="0" eb="3">
      <t>ホショウショ</t>
    </rPh>
    <rPh sb="4" eb="6">
      <t>トリセツ</t>
    </rPh>
    <rPh sb="10" eb="11">
      <t>トリ</t>
    </rPh>
    <phoneticPr fontId="13"/>
  </si>
  <si>
    <t>保証書 取説 ﾅﾋﾞ取 地図SD SD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</si>
  <si>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小川 正</t>
    <rPh sb="0" eb="2">
      <t>オガワ</t>
    </rPh>
    <rPh sb="3" eb="4">
      <t>タダシ</t>
    </rPh>
    <phoneticPr fontId="13"/>
  </si>
  <si>
    <t>保証書 取説 ﾛｯｸﾅｯﾄ</t>
    <rPh sb="0" eb="3">
      <t>ホショウショ</t>
    </rPh>
    <rPh sb="4" eb="6">
      <t>トリセツ</t>
    </rPh>
    <phoneticPr fontId="13"/>
  </si>
  <si>
    <t>神戸 504 ら 4950</t>
    <rPh sb="0" eb="2">
      <t>コウベ</t>
    </rPh>
    <phoneticPr fontId="13"/>
  </si>
  <si>
    <t>松岡 正明</t>
    <rPh sb="0" eb="2">
      <t>マツオカ</t>
    </rPh>
    <rPh sb="3" eb="5">
      <t>マサアキ</t>
    </rPh>
    <phoneticPr fontId="13"/>
  </si>
  <si>
    <t>岡山 32F ひ 8</t>
    <rPh sb="0" eb="2">
      <t>オカヤマ</t>
    </rPh>
    <phoneticPr fontId="13"/>
  </si>
  <si>
    <t>姫路 587 ろ 654</t>
    <rPh sb="0" eb="2">
      <t>ヒメジ</t>
    </rPh>
    <phoneticPr fontId="13"/>
  </si>
  <si>
    <t>有限会社岡本商店</t>
    <rPh sb="0" eb="4">
      <t>ユウゲンカイシャ</t>
    </rPh>
    <rPh sb="4" eb="6">
      <t>オカモト</t>
    </rPh>
    <rPh sb="6" eb="8">
      <t>ショウテン</t>
    </rPh>
    <phoneticPr fontId="13"/>
  </si>
  <si>
    <t>名古屋 58A ま 5810</t>
    <rPh sb="0" eb="3">
      <t>ナゴヤ</t>
    </rPh>
    <phoneticPr fontId="13"/>
  </si>
  <si>
    <t>取説 ｷｰﾚｽ ﾅﾝﾊﾞｰ</t>
    <rPh sb="0" eb="2">
      <t>トリセツ</t>
    </rPh>
    <phoneticPr fontId="13"/>
  </si>
  <si>
    <t>名古屋 780 ろ 5473</t>
    <rPh sb="0" eb="3">
      <t>ナゴヤ</t>
    </rPh>
    <phoneticPr fontId="13"/>
  </si>
  <si>
    <t>地図SD(車内)取説 ﾅﾋﾞ取 ｷｰﾚｽ</t>
    <rPh sb="8" eb="10">
      <t>トリセツ</t>
    </rPh>
    <rPh sb="14" eb="15">
      <t>トリ</t>
    </rPh>
    <phoneticPr fontId="13"/>
  </si>
  <si>
    <t>神戸 486 ろ 262</t>
    <rPh sb="0" eb="2">
      <t>コウベ</t>
    </rPh>
    <phoneticPr fontId="13"/>
  </si>
  <si>
    <t>ｽﾍﾟｱｷｰ3個</t>
    <rPh sb="7" eb="8">
      <t>コ</t>
    </rPh>
    <phoneticPr fontId="13"/>
  </si>
  <si>
    <t>野田 399 ま 5952</t>
    <rPh sb="0" eb="2">
      <t>ノダ</t>
    </rPh>
    <phoneticPr fontId="13"/>
  </si>
  <si>
    <t>株式会社ｴｺｽﾀｲﾙ</t>
    <rPh sb="0" eb="4">
      <t>カブシキガイシャ</t>
    </rPh>
    <phoneticPr fontId="13"/>
  </si>
  <si>
    <t>練馬 357 は 211</t>
    <rPh sb="0" eb="2">
      <t>ネリマ</t>
    </rPh>
    <phoneticPr fontId="13"/>
  </si>
  <si>
    <t>河野 葉子</t>
    <rPh sb="0" eb="2">
      <t>コウノ</t>
    </rPh>
    <rPh sb="3" eb="5">
      <t>ヨウコ</t>
    </rPh>
    <phoneticPr fontId="13"/>
  </si>
  <si>
    <t>保証書 取説</t>
    <phoneticPr fontId="13"/>
  </si>
  <si>
    <r>
      <rPr>
        <sz val="11"/>
        <color rgb="FFFF0000"/>
        <rFont val="ＭＳ Ｐゴシック"/>
        <family val="3"/>
        <charset val="128"/>
        <scheme val="minor"/>
      </rPr>
      <t>手帳問い合わせ中ｸﾚｰﾑ期間過ぎた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ｷｰﾚｽ</t>
    </r>
    <rPh sb="0" eb="2">
      <t>テチョウ</t>
    </rPh>
    <rPh sb="2" eb="3">
      <t>ト</t>
    </rPh>
    <rPh sb="4" eb="5">
      <t>ア</t>
    </rPh>
    <rPh sb="7" eb="8">
      <t>チュウ</t>
    </rPh>
    <rPh sb="12" eb="14">
      <t>キカン</t>
    </rPh>
    <rPh sb="14" eb="15">
      <t>ス</t>
    </rPh>
    <rPh sb="18" eb="20">
      <t>トリセツ</t>
    </rPh>
    <phoneticPr fontId="13"/>
  </si>
  <si>
    <t>名古屋 38L に 17</t>
    <rPh sb="0" eb="3">
      <t>ナゴヤ</t>
    </rPh>
    <phoneticPr fontId="13"/>
  </si>
  <si>
    <t>宇都宮 331 め 2117</t>
    <rPh sb="0" eb="3">
      <t>ウツノミヤ</t>
    </rPh>
    <phoneticPr fontId="13"/>
  </si>
  <si>
    <t>株式会社ﾓﾘｽ</t>
    <rPh sb="0" eb="4">
      <t>カブシキガイシャ</t>
    </rPh>
    <phoneticPr fontId="13"/>
  </si>
  <si>
    <t>27-2664</t>
  </si>
  <si>
    <t>27-2665</t>
  </si>
  <si>
    <t>27-2666</t>
  </si>
  <si>
    <t>27-2667</t>
  </si>
  <si>
    <t>27-2668</t>
  </si>
  <si>
    <t>27-2669</t>
  </si>
  <si>
    <t>27-2670</t>
  </si>
  <si>
    <t>27-2671</t>
  </si>
  <si>
    <t>27-2672</t>
  </si>
  <si>
    <t>27-2673</t>
  </si>
  <si>
    <t>27-2674</t>
  </si>
  <si>
    <t>27-2675</t>
  </si>
  <si>
    <t>27-2676</t>
  </si>
  <si>
    <t>27-2677</t>
  </si>
  <si>
    <t>27-2678</t>
  </si>
  <si>
    <t>NHP10-6737825</t>
    <phoneticPr fontId="13"/>
  </si>
  <si>
    <t>DK5FW-126845</t>
    <phoneticPr fontId="13"/>
  </si>
  <si>
    <t>ZWE211W-6023331</t>
    <phoneticPr fontId="13"/>
  </si>
  <si>
    <t>ZVW50-6108275</t>
    <phoneticPr fontId="13"/>
  </si>
  <si>
    <t>ﾊｲｾﾞｯﾄﾄﾗｯｸ　</t>
    <phoneticPr fontId="13"/>
  </si>
  <si>
    <t>S500P-0173294</t>
    <phoneticPr fontId="13"/>
  </si>
  <si>
    <t>JF3-8202990</t>
    <phoneticPr fontId="13"/>
  </si>
  <si>
    <t>MK53S-351111</t>
    <phoneticPr fontId="13"/>
  </si>
  <si>
    <t>JF3-5147973</t>
    <phoneticPr fontId="13"/>
  </si>
  <si>
    <t>DA17V-581655</t>
    <phoneticPr fontId="13"/>
  </si>
  <si>
    <t>DA16T-644673</t>
    <phoneticPr fontId="13"/>
  </si>
  <si>
    <t>27-2679</t>
  </si>
  <si>
    <t>27-2680</t>
  </si>
  <si>
    <t>27-2681</t>
  </si>
  <si>
    <t>27-2682</t>
  </si>
  <si>
    <t>27-2683</t>
  </si>
  <si>
    <t>27-2684</t>
  </si>
  <si>
    <t>27-2685</t>
  </si>
  <si>
    <t>27-2686</t>
  </si>
  <si>
    <t>27-2687</t>
  </si>
  <si>
    <t>ﾌﾟﾘｳｽ　Aﾂｰﾘﾝｸﾞｾﾚｸｼｮﾝ</t>
    <phoneticPr fontId="13"/>
  </si>
  <si>
    <t>ZVW51-6063648</t>
    <phoneticPr fontId="13"/>
  </si>
  <si>
    <t>ｳﾞｪﾙﾌｧｲｱ　2.4ZｺﾞｰﾙﾃﾞﾝｱｲｽﾞⅡ</t>
    <phoneticPr fontId="13"/>
  </si>
  <si>
    <t>ANH20W-8317539</t>
    <phoneticPr fontId="13"/>
  </si>
  <si>
    <t>ｶﾛｰﾗﾌｨｰﾙﾀﾞｰ　1.5G</t>
    <phoneticPr fontId="13"/>
  </si>
  <si>
    <t>NRE161G-8008686</t>
    <phoneticPr fontId="13"/>
  </si>
  <si>
    <t>ﾀﾝﾄｶｽﾀﾑ　RSﾄｯﾌﾟｴﾃﾞｨｼｮﾝ</t>
    <phoneticPr fontId="13"/>
  </si>
  <si>
    <t>LA600S-0742431</t>
    <phoneticPr fontId="13"/>
  </si>
  <si>
    <t>HFC26-258507</t>
    <phoneticPr fontId="13"/>
  </si>
  <si>
    <t>ｾﾚﾅ　HｽﾀｰVｾﾚｸｼｮﾝ</t>
    <phoneticPr fontId="13"/>
  </si>
  <si>
    <t>27-2688</t>
  </si>
  <si>
    <t>27-2689</t>
  </si>
  <si>
    <t>27-2690</t>
  </si>
  <si>
    <t>27-2691</t>
  </si>
  <si>
    <t>27-2692</t>
  </si>
  <si>
    <t>27-2693</t>
  </si>
  <si>
    <t>27-2694</t>
  </si>
  <si>
    <t>27-2695</t>
  </si>
  <si>
    <t>27-2696</t>
  </si>
  <si>
    <t>27-2697</t>
  </si>
  <si>
    <t>27-2698</t>
  </si>
  <si>
    <t>27-2699</t>
  </si>
  <si>
    <t>27-2700</t>
  </si>
  <si>
    <t>27-2701</t>
  </si>
  <si>
    <t>27-2702</t>
  </si>
  <si>
    <t>27-2703</t>
  </si>
  <si>
    <t>27-2704</t>
  </si>
  <si>
    <t>27-2705</t>
  </si>
  <si>
    <t>ML21S-820524</t>
    <phoneticPr fontId="13"/>
  </si>
  <si>
    <t>MK21S-958283</t>
    <phoneticPr fontId="13"/>
  </si>
  <si>
    <t>ﾊｲｾﾞｯﾄT</t>
    <phoneticPr fontId="13"/>
  </si>
  <si>
    <t>S510P-0620477</t>
    <phoneticPr fontId="13"/>
  </si>
  <si>
    <t>LA360S-0025021</t>
    <phoneticPr fontId="13"/>
  </si>
  <si>
    <t>LA350S-0248994</t>
    <phoneticPr fontId="13"/>
  </si>
  <si>
    <t>JF3-2348450</t>
    <phoneticPr fontId="13"/>
  </si>
  <si>
    <t>ｾﾚﾅ　Sﾊｲﾌﾞﾘｯﾄﾞ</t>
    <phoneticPr fontId="13"/>
  </si>
  <si>
    <t>GFC27-028303</t>
    <phoneticPr fontId="13"/>
  </si>
  <si>
    <t>MH34S-958999</t>
    <phoneticPr fontId="13"/>
  </si>
  <si>
    <t>GB5-3154230</t>
    <phoneticPr fontId="13"/>
  </si>
  <si>
    <t>GSE31-5029801</t>
    <phoneticPr fontId="13"/>
  </si>
  <si>
    <t>ZWR80-0289609</t>
    <phoneticPr fontId="13"/>
  </si>
  <si>
    <t>NHP10-2559864</t>
    <phoneticPr fontId="13"/>
  </si>
  <si>
    <t>ﾑｰｳﾞ　L　SaⅢ</t>
    <phoneticPr fontId="13"/>
  </si>
  <si>
    <t>LA150S-0173647</t>
    <phoneticPr fontId="13"/>
  </si>
  <si>
    <t>ｴﾌﾞﾘｨﾜｺﾞﾝ　PZﾀｰﾎﾞ</t>
    <phoneticPr fontId="13"/>
  </si>
  <si>
    <t>DA64W-337957</t>
    <phoneticPr fontId="13"/>
  </si>
  <si>
    <t>CX-30　20S</t>
    <phoneticPr fontId="13"/>
  </si>
  <si>
    <t>DMEP-122120</t>
    <phoneticPr fontId="13"/>
  </si>
  <si>
    <t>BMWﾐﾆ　ｸｰﾊﾟｰ　ﾋﾟｶﾃﾞﾘｰ</t>
    <phoneticPr fontId="13"/>
  </si>
  <si>
    <t>WMWXR320702P10923</t>
    <phoneticPr fontId="13"/>
  </si>
  <si>
    <t>MK53S-315863</t>
    <phoneticPr fontId="13"/>
  </si>
  <si>
    <t>MK53S-276148</t>
    <phoneticPr fontId="13"/>
  </si>
  <si>
    <t>MH34S-702522</t>
    <phoneticPr fontId="13"/>
  </si>
  <si>
    <t>MR92S-166170</t>
    <phoneticPr fontId="13"/>
  </si>
  <si>
    <t>MR31S-318619</t>
    <phoneticPr fontId="13"/>
  </si>
  <si>
    <t>MR31S-314782</t>
    <phoneticPr fontId="13"/>
  </si>
  <si>
    <t>ｴﾌﾞﾘｨ　ｼﾞｮｲﾝ</t>
    <phoneticPr fontId="13"/>
  </si>
  <si>
    <t>DA17V-598665</t>
    <phoneticPr fontId="13"/>
  </si>
  <si>
    <t>MR41S-331415</t>
    <phoneticPr fontId="13"/>
  </si>
  <si>
    <t>MH55S-155088</t>
    <phoneticPr fontId="13"/>
  </si>
  <si>
    <t>27-2707</t>
  </si>
  <si>
    <t>27-2708</t>
  </si>
  <si>
    <t>27-2709</t>
  </si>
  <si>
    <t>27-2710</t>
  </si>
  <si>
    <t>27-2711</t>
  </si>
  <si>
    <t>27-2712</t>
  </si>
  <si>
    <t>27-2713</t>
  </si>
  <si>
    <t>27-2714</t>
  </si>
  <si>
    <t>ﾐﾗｲﾌﾞ愛知（ｱｲｵｰｸ）</t>
    <rPh sb="5" eb="7">
      <t>アイチ</t>
    </rPh>
    <phoneticPr fontId="13"/>
  </si>
  <si>
    <t>LA350S-0290647</t>
    <phoneticPr fontId="13"/>
  </si>
  <si>
    <t>MR92S-358908</t>
    <phoneticPr fontId="13"/>
  </si>
  <si>
    <t>DA17W-287391</t>
    <phoneticPr fontId="13"/>
  </si>
  <si>
    <t>LA150S-1017209</t>
    <phoneticPr fontId="13"/>
  </si>
  <si>
    <t>MK53S-352516</t>
    <phoneticPr fontId="13"/>
  </si>
  <si>
    <t>DR17W-252334</t>
    <phoneticPr fontId="13"/>
  </si>
  <si>
    <t>MH55S-178770</t>
    <phoneticPr fontId="13"/>
  </si>
  <si>
    <t>ｱﾗｲﾍﾞｲｻｲﾄﾞ</t>
    <phoneticPr fontId="13"/>
  </si>
  <si>
    <t>BMWﾐﾆ　ｸｰﾊﾟｰDｸﾗﾌﾞﾏﾝ</t>
    <phoneticPr fontId="13"/>
  </si>
  <si>
    <t>WMW72BB0X02P76588</t>
    <phoneticPr fontId="13"/>
  </si>
  <si>
    <t>27-2715</t>
  </si>
  <si>
    <t>27-2716</t>
  </si>
  <si>
    <t>27-2717</t>
  </si>
  <si>
    <t>27-2718</t>
  </si>
  <si>
    <t>27-2719</t>
  </si>
  <si>
    <t>BMWﾐﾆ　ｸｰﾊﾟｰSｸﾗﾌﾞﾏﾝ</t>
    <phoneticPr fontId="13"/>
  </si>
  <si>
    <t>MﾍﾞﾝﾂCLA180　SBｽﾎﾟｰﾂ</t>
    <phoneticPr fontId="13"/>
  </si>
  <si>
    <t>27-2720</t>
  </si>
  <si>
    <t>27-2721</t>
  </si>
  <si>
    <t>27-2722</t>
  </si>
  <si>
    <t>27-2723</t>
  </si>
  <si>
    <t>27-2724</t>
  </si>
  <si>
    <t>27-2725</t>
  </si>
  <si>
    <t>27-2726</t>
  </si>
  <si>
    <t>27-2727</t>
  </si>
  <si>
    <t>27-2728</t>
  </si>
  <si>
    <t>27-2729</t>
  </si>
  <si>
    <t>27-2730</t>
  </si>
  <si>
    <t>27-2731</t>
  </si>
  <si>
    <t>A321554</t>
    <phoneticPr fontId="13"/>
  </si>
  <si>
    <t>AZSH36-4034400</t>
    <phoneticPr fontId="13"/>
  </si>
  <si>
    <t>A321709</t>
    <phoneticPr fontId="13"/>
  </si>
  <si>
    <t>ZYX11-2036510</t>
    <phoneticPr fontId="13"/>
  </si>
  <si>
    <t>A322980</t>
    <phoneticPr fontId="13"/>
  </si>
  <si>
    <t>AGH30-9034357</t>
    <phoneticPr fontId="13"/>
  </si>
  <si>
    <t>A319618</t>
    <phoneticPr fontId="13"/>
  </si>
  <si>
    <t>AGH30-0359990</t>
    <phoneticPr fontId="13"/>
  </si>
  <si>
    <t>A322693</t>
    <phoneticPr fontId="13"/>
  </si>
  <si>
    <t>LA800S-0166628</t>
    <phoneticPr fontId="13"/>
  </si>
  <si>
    <t>A322830</t>
    <phoneticPr fontId="13"/>
  </si>
  <si>
    <t>KF2P-611414</t>
    <phoneticPr fontId="13"/>
  </si>
  <si>
    <t>A323081</t>
    <phoneticPr fontId="13"/>
  </si>
  <si>
    <t>AZSH36-4025004</t>
    <phoneticPr fontId="13"/>
  </si>
  <si>
    <t>A321589</t>
    <phoneticPr fontId="13"/>
  </si>
  <si>
    <t>MK54S-144468</t>
    <phoneticPr fontId="13"/>
  </si>
  <si>
    <t>A322432</t>
    <phoneticPr fontId="13"/>
  </si>
  <si>
    <t>JG3-2115069</t>
    <phoneticPr fontId="13"/>
  </si>
  <si>
    <t>A321624</t>
    <phoneticPr fontId="13"/>
  </si>
  <si>
    <t>JF1-1458994</t>
    <phoneticPr fontId="13"/>
  </si>
  <si>
    <t>A320401</t>
    <phoneticPr fontId="13"/>
  </si>
  <si>
    <t>NSP170-7272580</t>
    <phoneticPr fontId="13"/>
  </si>
  <si>
    <t>A317181</t>
    <phoneticPr fontId="13"/>
  </si>
  <si>
    <t>RP8-1069508</t>
    <phoneticPr fontId="13"/>
  </si>
  <si>
    <t>A322398</t>
    <phoneticPr fontId="13"/>
  </si>
  <si>
    <t>LA900S-0135678</t>
    <phoneticPr fontId="13"/>
  </si>
  <si>
    <t>A321920</t>
    <phoneticPr fontId="13"/>
  </si>
  <si>
    <t>JF1-1884650</t>
    <phoneticPr fontId="13"/>
  </si>
  <si>
    <t>A321975</t>
    <phoneticPr fontId="13"/>
  </si>
  <si>
    <t>MJ34S-703143</t>
    <phoneticPr fontId="13"/>
  </si>
  <si>
    <t>ﾙｰｸｽ　ﾊｲｳｪｲｽﾀｰﾀｰﾎﾞ</t>
    <phoneticPr fontId="13"/>
  </si>
  <si>
    <t>ｱﾙﾌｧｰﾄﾞ　240Sﾌﾟﾗｲﾑｾﾚｸｼｮﾝ</t>
    <phoneticPr fontId="13"/>
  </si>
  <si>
    <t>ANH20-8143504</t>
    <phoneticPr fontId="13"/>
  </si>
  <si>
    <t>名古屋　355　め　1217</t>
    <rPh sb="0" eb="3">
      <t>ナゴヤ</t>
    </rPh>
    <phoneticPr fontId="13"/>
  </si>
  <si>
    <t>ﾊﾟﾚｯﾄ　TS</t>
    <phoneticPr fontId="13"/>
  </si>
  <si>
    <t>8/6/23</t>
    <phoneticPr fontId="13"/>
  </si>
  <si>
    <t>三河　580　と　7195</t>
    <rPh sb="0" eb="2">
      <t>ミカワ</t>
    </rPh>
    <phoneticPr fontId="13"/>
  </si>
  <si>
    <t>ｽﾍﾟｱｽﾏｰﾄｷｰ　ﾜﾝｵｰﾅｰ</t>
    <phoneticPr fontId="13"/>
  </si>
  <si>
    <t>9/5/7</t>
    <phoneticPr fontId="13"/>
  </si>
  <si>
    <t>三河　483　い　6573</t>
    <rPh sb="0" eb="2">
      <t>ミカワ</t>
    </rPh>
    <phoneticPr fontId="13"/>
  </si>
  <si>
    <t>ｽﾏｰﾄｷｰX2（ﾘｽﾄに記載あり）</t>
    <rPh sb="13" eb="15">
      <t>キサイ</t>
    </rPh>
    <phoneticPr fontId="13"/>
  </si>
  <si>
    <t>　ﾐﾗｲｰｽ　G　SaⅢ</t>
    <phoneticPr fontId="13"/>
  </si>
  <si>
    <t>ﾐﾗｲｰｽ　L　SaⅢ</t>
    <phoneticPr fontId="13"/>
  </si>
  <si>
    <t>N　BOXｶｽﾀﾑ　Lﾀｰﾎﾞ</t>
    <phoneticPr fontId="13"/>
  </si>
  <si>
    <t>WMW52DK0402R23510</t>
    <phoneticPr fontId="13"/>
  </si>
  <si>
    <t>横浜　382　す　1007</t>
    <rPh sb="0" eb="2">
      <t>ヨコハマ</t>
    </rPh>
    <phoneticPr fontId="13"/>
  </si>
  <si>
    <t>名古屋　331　さ　7308</t>
    <rPh sb="0" eb="3">
      <t>ナゴヤ</t>
    </rPh>
    <phoneticPr fontId="13"/>
  </si>
  <si>
    <t>三重　336　ほ　87</t>
    <rPh sb="0" eb="2">
      <t>ミエ</t>
    </rPh>
    <phoneticPr fontId="13"/>
  </si>
  <si>
    <t>三重　503　な　6809</t>
    <rPh sb="0" eb="2">
      <t>ミエ</t>
    </rPh>
    <phoneticPr fontId="13"/>
  </si>
  <si>
    <t>ｱｸｱ　G</t>
    <phoneticPr fontId="13"/>
  </si>
  <si>
    <t>保証書　取説　　名変期限3/31</t>
    <rPh sb="0" eb="3">
      <t>ホショウショ</t>
    </rPh>
    <rPh sb="4" eb="6">
      <t>トリセツ</t>
    </rPh>
    <rPh sb="8" eb="10">
      <t>メイヘン</t>
    </rPh>
    <rPh sb="10" eb="12">
      <t>キゲン</t>
    </rPh>
    <phoneticPr fontId="13"/>
  </si>
  <si>
    <t>横浜　306　て　7930</t>
    <rPh sb="0" eb="2">
      <t>ヨコハマ</t>
    </rPh>
    <phoneticPr fontId="13"/>
  </si>
  <si>
    <t>27-2732</t>
  </si>
  <si>
    <t>WMWXY520002N78182</t>
    <phoneticPr fontId="13"/>
  </si>
  <si>
    <t>27-2733</t>
  </si>
  <si>
    <t>ｴﾌﾞﾘｨﾜｺﾞﾝ　PZﾀｰﾎﾞｽﾍﾟｼｬﾙ</t>
    <phoneticPr fontId="13"/>
  </si>
  <si>
    <t>DA17W-263703</t>
    <phoneticPr fontId="13"/>
  </si>
  <si>
    <t>ｱｸｱ　Sﾘﾙｳﾞｨｰ</t>
    <phoneticPr fontId="13"/>
  </si>
  <si>
    <t>三重　532　ち　61</t>
    <rPh sb="0" eb="2">
      <t>ミエ</t>
    </rPh>
    <phoneticPr fontId="13"/>
  </si>
  <si>
    <t>CX-3　XDﾂｰﾘﾝｸﾞLﾊﾟｯｹｰｼﾞ</t>
    <phoneticPr fontId="13"/>
  </si>
  <si>
    <t>保証書　取説　ﾅﾋﾞ取　SD</t>
    <rPh sb="0" eb="3">
      <t>ホショウショ</t>
    </rPh>
    <rPh sb="4" eb="6">
      <t>トリセツ</t>
    </rPh>
    <rPh sb="10" eb="11">
      <t>トリ</t>
    </rPh>
    <phoneticPr fontId="13"/>
  </si>
  <si>
    <t>ｶﾛｰﾗﾂｰﾘﾝｸﾞ　HVﾀﾞﾌﾞﾙﾊﾞｲﾋﾞｰ</t>
    <phoneticPr fontId="13"/>
  </si>
  <si>
    <t>ﾌﾟﾘｳｽ　Sﾂｰﾘﾝｸﾞｾﾚｸｼｮﾝ</t>
    <phoneticPr fontId="13"/>
  </si>
  <si>
    <t>なにわ　301　は　9180</t>
    <phoneticPr fontId="13"/>
  </si>
  <si>
    <t>堺　480　け　8512</t>
    <rPh sb="0" eb="1">
      <t>サカイ</t>
    </rPh>
    <phoneticPr fontId="13"/>
  </si>
  <si>
    <t>N　BOX　Ｇ　ｽﾛｰﾌﾟ</t>
    <phoneticPr fontId="13"/>
  </si>
  <si>
    <t>保証書　ﾅﾋﾞ取　SD　ｽﾏｰﾄｷｰ</t>
    <rPh sb="0" eb="3">
      <t>ホショウショ</t>
    </rPh>
    <rPh sb="7" eb="8">
      <t>トリ</t>
    </rPh>
    <phoneticPr fontId="13"/>
  </si>
  <si>
    <t>N　BOX　L</t>
    <phoneticPr fontId="13"/>
  </si>
  <si>
    <t>奈良　583　こ　4976</t>
    <rPh sb="0" eb="2">
      <t>ナラ</t>
    </rPh>
    <phoneticPr fontId="13"/>
  </si>
  <si>
    <t>ｴﾌﾞﾘｨﾊﾞﾝ　ｼﾞｮｲﾝ</t>
    <phoneticPr fontId="13"/>
  </si>
  <si>
    <t>大阪　483　ね　210</t>
    <rPh sb="0" eb="2">
      <t>オオサカ</t>
    </rPh>
    <phoneticPr fontId="13"/>
  </si>
  <si>
    <t>9/11/21</t>
    <phoneticPr fontId="13"/>
  </si>
  <si>
    <t>ｷｬﾘｨﾄﾗｯｸ　KC　ｴｱｺﾝﾊﾟﾜｽﾃ</t>
    <phoneticPr fontId="13"/>
  </si>
  <si>
    <t>ﾜｺﾞﾝRｽﾃｨﾝｸﾞﾚｰ　T</t>
    <phoneticPr fontId="13"/>
  </si>
  <si>
    <t>取説　　名変期限2/28</t>
    <rPh sb="0" eb="2">
      <t>トリセツ</t>
    </rPh>
    <rPh sb="4" eb="8">
      <t>メイヘンキゲン</t>
    </rPh>
    <phoneticPr fontId="13"/>
  </si>
  <si>
    <t>ﾌﾘｰﾄﾞ　ﾌﾟﾗｽ　ｸﾛｽﾀｰﾎﾝﾀﾞｾﾝｼﾝｸﾞ</t>
    <phoneticPr fontId="13"/>
  </si>
  <si>
    <t>保証書　取説　　名変期限2/28</t>
    <rPh sb="0" eb="3">
      <t>ホショウショ</t>
    </rPh>
    <rPh sb="4" eb="6">
      <t>トリセツ</t>
    </rPh>
    <rPh sb="8" eb="12">
      <t>メイヘンキゲン</t>
    </rPh>
    <phoneticPr fontId="13"/>
  </si>
  <si>
    <t>ﾚｸｻｽ　IS350　Fｽﾎﾟｰﾂ</t>
    <phoneticPr fontId="13"/>
  </si>
  <si>
    <t>8/2/12</t>
    <phoneticPr fontId="13"/>
  </si>
  <si>
    <t>名変期限2/28</t>
    <rPh sb="0" eb="4">
      <t>メイヘンキゲン</t>
    </rPh>
    <phoneticPr fontId="13"/>
  </si>
  <si>
    <t>ｴｸｽﾌｧｲｱ　ﾊｲﾌﾞﾘｯﾄﾞ　GI</t>
    <phoneticPr fontId="13"/>
  </si>
  <si>
    <t>27-2706</t>
    <phoneticPr fontId="13"/>
  </si>
  <si>
    <t>9/7/24</t>
    <phoneticPr fontId="13"/>
  </si>
  <si>
    <t>9/1/5</t>
    <phoneticPr fontId="13"/>
  </si>
  <si>
    <t>保証書　取説　ﾃﾞｨｰﾗｰ記録簿　ﾚﾝﾀｶｰ</t>
    <rPh sb="0" eb="3">
      <t>ホショウショ</t>
    </rPh>
    <rPh sb="4" eb="6">
      <t>トリセツ</t>
    </rPh>
    <rPh sb="13" eb="16">
      <t>キロクボ</t>
    </rPh>
    <phoneticPr fontId="13"/>
  </si>
  <si>
    <t>保証書　BMWﾃﾞｨｰﾗｰ記録簿</t>
    <rPh sb="0" eb="3">
      <t>ホショウショ</t>
    </rPh>
    <rPh sb="13" eb="16">
      <t>キロクボ</t>
    </rPh>
    <phoneticPr fontId="13"/>
  </si>
  <si>
    <t>ﾊｽﾗｰ　ﾊｲﾌﾞﾘｯﾄﾞX</t>
    <phoneticPr fontId="13"/>
  </si>
  <si>
    <t>名古屋　58A　ほ　7606</t>
    <rPh sb="0" eb="3">
      <t>ナゴヤ</t>
    </rPh>
    <phoneticPr fontId="13"/>
  </si>
  <si>
    <t>ｴﾌﾞﾘｨﾜｺﾞﾝ　　PZﾀｰﾎﾞｽﾍﾟｼｬﾙ</t>
    <phoneticPr fontId="13"/>
  </si>
  <si>
    <t>浜松　793　ぬ　358</t>
    <rPh sb="0" eb="2">
      <t>ハママツ</t>
    </rPh>
    <phoneticPr fontId="13"/>
  </si>
  <si>
    <t>ﾑｰｳﾞｶｽﾀﾑ　RS</t>
    <phoneticPr fontId="13"/>
  </si>
  <si>
    <t>福井　583　た　3854</t>
    <rPh sb="0" eb="2">
      <t>フクイ</t>
    </rPh>
    <phoneticPr fontId="13"/>
  </si>
  <si>
    <t>NV100ｸﾘｯﾊﾟｰﾘｵ　E</t>
    <phoneticPr fontId="13"/>
  </si>
  <si>
    <t>ZFA3120000JD78780</t>
    <phoneticPr fontId="13"/>
  </si>
  <si>
    <t>名古屋　543　さ　72</t>
    <rPh sb="0" eb="3">
      <t>ナゴヤ</t>
    </rPh>
    <phoneticPr fontId="13"/>
  </si>
  <si>
    <t>保証書　取説　ﾒｲﾝｷｰ　ｽﾍﾟｱｷｰ　ﾛｯｸﾅｯﾄ</t>
    <rPh sb="0" eb="3">
      <t>ホショウショ</t>
    </rPh>
    <rPh sb="4" eb="6">
      <t>トリセツ</t>
    </rPh>
    <phoneticPr fontId="13"/>
  </si>
  <si>
    <t>WMWLN720702H57356</t>
    <phoneticPr fontId="13"/>
  </si>
  <si>
    <t>豊橋　301　む　835</t>
    <rPh sb="0" eb="2">
      <t>トヨハシ</t>
    </rPh>
    <phoneticPr fontId="13"/>
  </si>
  <si>
    <t>WDD1179422N644635</t>
    <phoneticPr fontId="13"/>
  </si>
  <si>
    <t>9/6/25</t>
    <phoneticPr fontId="13"/>
  </si>
  <si>
    <t>尾張小牧341　に　707</t>
    <rPh sb="0" eb="4">
      <t>オワリコマキ</t>
    </rPh>
    <phoneticPr fontId="13"/>
  </si>
  <si>
    <t>ｸﾗｳﾝｽﾎﾟｰﾂ　Z</t>
    <phoneticPr fontId="13"/>
  </si>
  <si>
    <t>C-HR　Gﾓｰﾄﾞ</t>
    <phoneticPr fontId="13"/>
  </si>
  <si>
    <t>8/6/12</t>
    <phoneticPr fontId="13"/>
  </si>
  <si>
    <t>ｳﾞｪﾙﾌｧｲｱ　　2.5Z　Gｴﾃﾞｨｼｮﾝ</t>
    <phoneticPr fontId="13"/>
  </si>
  <si>
    <t>10/1/19</t>
    <phoneticPr fontId="13"/>
  </si>
  <si>
    <t>CX-5　XDｴｸｽｸﾙｰｼﾌﾞ</t>
    <phoneticPr fontId="13"/>
  </si>
  <si>
    <t>9/10/9</t>
    <phoneticPr fontId="13"/>
  </si>
  <si>
    <t>9/8/22</t>
    <phoneticPr fontId="13"/>
  </si>
  <si>
    <t>ｽﾍﾟｰｼｱｶｽﾀﾑ　ﾊｲﾌﾞﾘｯﾄﾞXSﾀｰﾎﾞ</t>
    <phoneticPr fontId="13"/>
  </si>
  <si>
    <t>N　ONE　ﾌﾟﾚﾐｱﾑﾂｱﾗｰ</t>
    <phoneticPr fontId="13"/>
  </si>
  <si>
    <t>9/11/10</t>
    <phoneticPr fontId="13"/>
  </si>
  <si>
    <t>保証書　取説　ﾜﾝｵｰﾅｰ</t>
    <phoneticPr fontId="13"/>
  </si>
  <si>
    <t>N BOXｶｽﾀﾑ　SSﾊﾟｯｹｰｼﾞ</t>
    <phoneticPr fontId="13"/>
  </si>
  <si>
    <t>9/7/22</t>
    <phoneticPr fontId="13"/>
  </si>
  <si>
    <t>ｼｴﾝﾀ　G　ｸｴﾛ</t>
    <phoneticPr fontId="13"/>
  </si>
  <si>
    <t>ｽﾃｯﾌﾟﾜｺﾞﾝ　E　HEVｽﾊﾟｰﾀﾞ</t>
    <phoneticPr fontId="13"/>
  </si>
  <si>
    <t>9/4/3</t>
    <phoneticPr fontId="13"/>
  </si>
  <si>
    <t>ﾀﾌﾄ　Gﾀｰﾎﾞ</t>
    <phoneticPr fontId="13"/>
  </si>
  <si>
    <t>N　BOXｶｽﾀﾑ　G　SSﾊﾟｯｹｰｼﾞ</t>
    <phoneticPr fontId="13"/>
  </si>
  <si>
    <t>9/11/24</t>
    <phoneticPr fontId="13"/>
  </si>
  <si>
    <t>ﾌﾚｱｶｽﾀﾑ　ｽﾀｲﾙ　XS</t>
    <phoneticPr fontId="13"/>
  </si>
  <si>
    <t>8/5/9</t>
    <phoneticPr fontId="13"/>
  </si>
  <si>
    <t>27-2734</t>
  </si>
  <si>
    <t>27-2735</t>
  </si>
  <si>
    <t>27-2736</t>
  </si>
  <si>
    <t>27-2737</t>
  </si>
  <si>
    <t>27-2738</t>
  </si>
  <si>
    <t>27-2739</t>
  </si>
  <si>
    <t>27-2740</t>
  </si>
  <si>
    <t>27-2741</t>
  </si>
  <si>
    <t>27-2742</t>
  </si>
  <si>
    <t>27-2743</t>
  </si>
  <si>
    <t>27-2744</t>
  </si>
  <si>
    <t>27-2745</t>
  </si>
  <si>
    <t>27-2746</t>
  </si>
  <si>
    <t>ｼﾄﾛｴﾝC3 ﾌｨｰﾙ</t>
    <phoneticPr fontId="13"/>
  </si>
  <si>
    <t>ﾌﾟﾗﾄﾞ　TX　Lﾊﾟｯｹｰｼﾞ</t>
    <phoneticPr fontId="13"/>
  </si>
  <si>
    <t>TRJ150-0147502</t>
    <phoneticPr fontId="13"/>
  </si>
  <si>
    <t>MK53S-721908</t>
    <phoneticPr fontId="13"/>
  </si>
  <si>
    <t>ﾊｲｾﾞｯﾄｶｰｺﾞ　ﾃﾞﾗｯｸｽ</t>
    <phoneticPr fontId="13"/>
  </si>
  <si>
    <t>S700V-0134950</t>
    <phoneticPr fontId="13"/>
  </si>
  <si>
    <t>ﾀﾝﾄｶｽﾀﾑ　RSﾄｯﾌﾟｴﾃﾞｨｼｮﾝSaⅢ</t>
    <phoneticPr fontId="13"/>
  </si>
  <si>
    <t>LA600S-0615943</t>
    <phoneticPr fontId="13"/>
  </si>
  <si>
    <t>DA17W-137771</t>
    <phoneticPr fontId="13"/>
  </si>
  <si>
    <t>MR92S-487123</t>
    <phoneticPr fontId="13"/>
  </si>
  <si>
    <t>MK53S-738552</t>
    <phoneticPr fontId="13"/>
  </si>
  <si>
    <t>MR41S-308528</t>
    <phoneticPr fontId="13"/>
  </si>
  <si>
    <t>HE33S-506171</t>
    <phoneticPr fontId="13"/>
  </si>
  <si>
    <t>MK53S-962280</t>
    <phoneticPr fontId="13"/>
  </si>
  <si>
    <t>BMWﾐﾆ　JCWｸﾛｽｵｰﾊﾞｰ</t>
    <phoneticPr fontId="13"/>
  </si>
  <si>
    <t>BMW420I　ｸﾞﾗﾝｸｰﾍﾟMｽﾎﾟｰﾂ</t>
    <phoneticPr fontId="13"/>
  </si>
  <si>
    <t>BMWﾐﾆ　ｼﾞｮﾝｸｰﾊﾟｰﾜｰｸｽ</t>
    <phoneticPr fontId="13"/>
  </si>
  <si>
    <t>27-2747</t>
  </si>
  <si>
    <t>27-2748</t>
  </si>
  <si>
    <t>27-2749</t>
  </si>
  <si>
    <t>27-2750</t>
  </si>
  <si>
    <t>VF7SXHNPYLT584880</t>
    <phoneticPr fontId="13"/>
  </si>
  <si>
    <t>WMW72BB0902M78663</t>
    <phoneticPr fontId="13"/>
  </si>
  <si>
    <t>岡山　339　つ　312</t>
    <rPh sb="0" eb="2">
      <t>オカヤマ</t>
    </rPh>
    <phoneticPr fontId="13"/>
  </si>
  <si>
    <t>保証書　ｽﾍﾟｱｷｰ有り（ﾘｽﾄに記載有り）</t>
    <rPh sb="0" eb="3">
      <t>ホショウショ</t>
    </rPh>
    <rPh sb="10" eb="11">
      <t>ア</t>
    </rPh>
    <rPh sb="17" eb="19">
      <t>キサイ</t>
    </rPh>
    <rPh sb="19" eb="20">
      <t>ア</t>
    </rPh>
    <phoneticPr fontId="13"/>
  </si>
  <si>
    <t>WMWXM72070T961523</t>
    <phoneticPr fontId="13"/>
  </si>
  <si>
    <t>保証書　</t>
    <phoneticPr fontId="13"/>
  </si>
  <si>
    <t>大阪　581　な　5778</t>
    <rPh sb="0" eb="2">
      <t>オオサカ</t>
    </rPh>
    <phoneticPr fontId="13"/>
  </si>
  <si>
    <t>9/12/23</t>
    <phoneticPr fontId="13"/>
  </si>
  <si>
    <t>徳島　581　あ　6069</t>
    <rPh sb="0" eb="2">
      <t>トクシマ</t>
    </rPh>
    <phoneticPr fontId="13"/>
  </si>
  <si>
    <t>愛媛　581　ふ　688</t>
    <rPh sb="0" eb="2">
      <t>エヒメ</t>
    </rPh>
    <phoneticPr fontId="13"/>
  </si>
  <si>
    <t>岡山　581　ほ　7255</t>
    <rPh sb="0" eb="2">
      <t>オカヤマ</t>
    </rPh>
    <phoneticPr fontId="13"/>
  </si>
  <si>
    <t>神戸　58A　か　7899</t>
    <rPh sb="0" eb="2">
      <t>コウベ</t>
    </rPh>
    <phoneticPr fontId="13"/>
  </si>
  <si>
    <t>Dｸﾞﾘｰﾝ</t>
    <phoneticPr fontId="13"/>
  </si>
  <si>
    <t>9/2/17</t>
    <phoneticPr fontId="13"/>
  </si>
  <si>
    <t>島根　581　え　1203</t>
    <rPh sb="0" eb="2">
      <t>シマネ</t>
    </rPh>
    <phoneticPr fontId="13"/>
  </si>
  <si>
    <t>保証書　ｲﾝﾃﾘｷｰ</t>
    <rPh sb="0" eb="3">
      <t>ホショウショ</t>
    </rPh>
    <phoneticPr fontId="13"/>
  </si>
  <si>
    <t>取説　ﾅﾋﾞ取　ﾚﾝﾀｶｰ</t>
    <rPh sb="0" eb="2">
      <t>トリセツ</t>
    </rPh>
    <rPh sb="6" eb="7">
      <t>トリ</t>
    </rPh>
    <phoneticPr fontId="13"/>
  </si>
  <si>
    <t>WMWXS720802E44696</t>
    <phoneticPr fontId="13"/>
  </si>
  <si>
    <t>WMWYV920X03E43518</t>
    <phoneticPr fontId="13"/>
  </si>
  <si>
    <t>和泉　330　む　7031</t>
    <rPh sb="0" eb="2">
      <t>イズミ</t>
    </rPh>
    <phoneticPr fontId="13"/>
  </si>
  <si>
    <t>WBA4H32040BP27622</t>
    <phoneticPr fontId="13"/>
  </si>
  <si>
    <t>WMWXR920802N80184</t>
    <phoneticPr fontId="13"/>
  </si>
  <si>
    <t>横浜 39A ゆ 6722</t>
    <rPh sb="0" eb="2">
      <t>ヨコハマ</t>
    </rPh>
    <phoneticPr fontId="13"/>
  </si>
  <si>
    <t>沖縄 341 は 24</t>
    <rPh sb="0" eb="2">
      <t>オキナワ</t>
    </rPh>
    <phoneticPr fontId="13"/>
  </si>
  <si>
    <t>入波平 優勝</t>
    <rPh sb="0" eb="3">
      <t>イリナミヒラ</t>
    </rPh>
    <rPh sb="4" eb="6">
      <t>ユウショウ</t>
    </rPh>
    <phoneticPr fontId="13"/>
  </si>
  <si>
    <t>福井 337 ほ 34</t>
    <rPh sb="0" eb="2">
      <t>フクイ</t>
    </rPh>
    <phoneticPr fontId="13"/>
  </si>
  <si>
    <t>佐藤 訓</t>
    <rPh sb="0" eb="2">
      <t>サトウ</t>
    </rPh>
    <rPh sb="3" eb="4">
      <t>クン</t>
    </rPh>
    <phoneticPr fontId="13"/>
  </si>
  <si>
    <t>株式会社山勝</t>
    <rPh sb="0" eb="4">
      <t>カブシキガイシャ</t>
    </rPh>
    <rPh sb="4" eb="5">
      <t>ヤマ</t>
    </rPh>
    <rPh sb="5" eb="6">
      <t>カツ</t>
    </rPh>
    <phoneticPr fontId="13"/>
  </si>
  <si>
    <t>京都 582 か 5441</t>
    <rPh sb="0" eb="2">
      <t>キョウト</t>
    </rPh>
    <phoneticPr fontId="13"/>
  </si>
  <si>
    <t>瀬島 伸吾</t>
    <rPh sb="0" eb="2">
      <t>セジマ</t>
    </rPh>
    <rPh sb="3" eb="5">
      <t>シンゴ</t>
    </rPh>
    <phoneticPr fontId="13"/>
  </si>
  <si>
    <t>岡山 330 も 1153</t>
    <rPh sb="0" eb="2">
      <t>オカヤマ</t>
    </rPh>
    <phoneticPr fontId="13"/>
  </si>
  <si>
    <t>ｷｰﾚｽ ｶｰﾄﾞｷｰ ﾜﾝｵｰﾅｰ？</t>
    <phoneticPr fontId="13"/>
  </si>
  <si>
    <t>山梨 330 ち 5106</t>
    <rPh sb="0" eb="2">
      <t>ヤマナシ</t>
    </rPh>
    <phoneticPr fontId="13"/>
  </si>
  <si>
    <t>ﾒﾙｾﾃﾞｽﾍﾞﾝﾂGLB200d</t>
    <phoneticPr fontId="13"/>
  </si>
  <si>
    <t>W1N2476132W274312</t>
    <phoneticPr fontId="13"/>
  </si>
  <si>
    <t>VF73A5GFRKJ631080</t>
    <phoneticPr fontId="13"/>
  </si>
  <si>
    <t>27-2751</t>
  </si>
  <si>
    <t>27-2752</t>
  </si>
  <si>
    <t>ｼﾄﾛｴﾝ ｸﾞﾗﾝﾄﾞC4 ｽﾍﾟｰｽﾂｱﾗｰ</t>
    <phoneticPr fontId="13"/>
  </si>
  <si>
    <t>川越 300 ね 6430</t>
    <rPh sb="0" eb="2">
      <t>カワゴエ</t>
    </rPh>
    <phoneticPr fontId="13"/>
  </si>
  <si>
    <t>葛飾 510 そ 214</t>
    <rPh sb="0" eb="2">
      <t>カツシカ</t>
    </rPh>
    <phoneticPr fontId="13"/>
  </si>
  <si>
    <t>澤井 建造</t>
    <rPh sb="0" eb="2">
      <t>サワイ</t>
    </rPh>
    <rPh sb="3" eb="5">
      <t>ケンゾウ</t>
    </rPh>
    <phoneticPr fontId="13"/>
  </si>
  <si>
    <t>1/26</t>
    <phoneticPr fontId="13"/>
  </si>
  <si>
    <t>A321747</t>
    <phoneticPr fontId="13"/>
  </si>
  <si>
    <t>ｱﾙﾄ ﾊｲﾌﾞﾘｯﾄﾞX</t>
    <phoneticPr fontId="13"/>
  </si>
  <si>
    <t>HA97S-120933</t>
    <phoneticPr fontId="13"/>
  </si>
  <si>
    <t>8/5/7</t>
    <phoneticPr fontId="13"/>
  </si>
  <si>
    <t>27-2753</t>
  </si>
  <si>
    <t>保証書 整備手帳 取説ｸﾚｰﾑ済</t>
    <rPh sb="0" eb="3">
      <t>ホショウショ</t>
    </rPh>
    <rPh sb="4" eb="8">
      <t>セイビテチョウ</t>
    </rPh>
    <rPh sb="9" eb="11">
      <t>トリセツ</t>
    </rPh>
    <rPh sb="15" eb="16">
      <t>ズ</t>
    </rPh>
    <phoneticPr fontId="13"/>
  </si>
  <si>
    <t>ｽﾍﾟｱｷｰ(車内)</t>
    <phoneticPr fontId="13"/>
  </si>
  <si>
    <t>ｷｰﾚｽ 地図SD(車内)整備手帳 取説</t>
    <rPh sb="5" eb="7">
      <t>チズ</t>
    </rPh>
    <rPh sb="13" eb="17">
      <t>セイビテチョウ</t>
    </rPh>
    <rPh sb="18" eb="20">
      <t>トリセツ</t>
    </rPh>
    <phoneticPr fontId="13"/>
  </si>
  <si>
    <t>A323901</t>
    <phoneticPr fontId="13"/>
  </si>
  <si>
    <t>HE33S-173475</t>
    <phoneticPr fontId="13"/>
  </si>
  <si>
    <t>A322374</t>
    <phoneticPr fontId="13"/>
  </si>
  <si>
    <t>ASC10-6000529</t>
    <phoneticPr fontId="13"/>
  </si>
  <si>
    <t>A322268</t>
    <phoneticPr fontId="13"/>
  </si>
  <si>
    <t>LA900S-0048425</t>
    <phoneticPr fontId="13"/>
  </si>
  <si>
    <t>A322147</t>
    <phoneticPr fontId="13"/>
  </si>
  <si>
    <t>MXUA80-0086070</t>
    <phoneticPr fontId="13"/>
  </si>
  <si>
    <t>ﾚｸｻｽ RC200 t Fｽﾎﾟｰﾂ</t>
    <phoneticPr fontId="13"/>
  </si>
  <si>
    <t>ﾊﾘｱｰ Z ﾚｻﾞｰﾊﾟｯｹｰｼﾞ</t>
    <phoneticPr fontId="13"/>
  </si>
  <si>
    <t>YV1MZ402CH2127466</t>
    <phoneticPr fontId="13"/>
  </si>
  <si>
    <t>ﾎﾞﾙﾎﾞ V60 D4 ﾀﾞｲﾅﾐｯｸｴﾃﾞｨｼｮﾝ</t>
    <phoneticPr fontId="13"/>
  </si>
  <si>
    <t>YV1FWA8RDH1350126</t>
    <phoneticPr fontId="13"/>
  </si>
  <si>
    <t>BMW 2ｼﾘｰｽﾞｱｸﾃｨﾌﾞﾂｱﾗｰ 218i</t>
    <phoneticPr fontId="13"/>
  </si>
  <si>
    <t>WBA6S120107E70178</t>
    <phoneticPr fontId="13"/>
  </si>
  <si>
    <t>保証書 取説  ｽﾍﾟｱｷｰ車内確認 名変期限2/25まで</t>
    <rPh sb="0" eb="3">
      <t>ホショウショ</t>
    </rPh>
    <rPh sb="4" eb="6">
      <t>トリセツ</t>
    </rPh>
    <rPh sb="14" eb="16">
      <t>シャナイ</t>
    </rPh>
    <rPh sb="16" eb="18">
      <t>カクニン</t>
    </rPh>
    <rPh sb="19" eb="23">
      <t>メイヘンキゲン</t>
    </rPh>
    <phoneticPr fontId="13"/>
  </si>
  <si>
    <t>BMW ３ｼﾘｰｽﾞ 320i</t>
    <phoneticPr fontId="13"/>
  </si>
  <si>
    <t>WBA8A16000NT28337</t>
    <phoneticPr fontId="13"/>
  </si>
  <si>
    <t>名古屋 305 に 3454</t>
    <rPh sb="0" eb="3">
      <t>ナゴヤ</t>
    </rPh>
    <phoneticPr fontId="13"/>
  </si>
  <si>
    <t>神戸 332 な 5025</t>
    <rPh sb="0" eb="2">
      <t>コウベ</t>
    </rPh>
    <phoneticPr fontId="13"/>
  </si>
  <si>
    <t>WMW22BU0203M43688</t>
    <phoneticPr fontId="13"/>
  </si>
  <si>
    <t>品川 303 て 489</t>
    <rPh sb="0" eb="2">
      <t>シナガワ</t>
    </rPh>
    <phoneticPr fontId="13"/>
  </si>
  <si>
    <t>赤/白</t>
    <rPh sb="0" eb="1">
      <t>アカ</t>
    </rPh>
    <rPh sb="2" eb="3">
      <t>シロ</t>
    </rPh>
    <phoneticPr fontId="13"/>
  </si>
  <si>
    <t xml:space="preserve">BMWﾐﾆｸｰﾊﾟｰSD </t>
    <phoneticPr fontId="13"/>
  </si>
  <si>
    <t>WMWXT720X02G65861</t>
    <phoneticPr fontId="13"/>
  </si>
  <si>
    <t>品川 303 て 487</t>
    <rPh sb="0" eb="2">
      <t>シナガワ</t>
    </rPh>
    <phoneticPr fontId="13"/>
  </si>
  <si>
    <t>ﾒﾙｾﾃﾞｽﾍﾞﾝﾂCｸﾗｽ ｽﾃｰｼｮﾝﾜｺﾞﾝ C200</t>
    <phoneticPr fontId="13"/>
  </si>
  <si>
    <t>WDD2052422F158603</t>
    <phoneticPr fontId="13"/>
  </si>
  <si>
    <t>WMW42BT0103M71377</t>
    <phoneticPr fontId="13"/>
  </si>
  <si>
    <t>ZFA3120000JD83949</t>
    <phoneticPr fontId="13"/>
  </si>
  <si>
    <t>BMW 2ｼﾘｰｽﾞﾜｺﾞﾝ218d ｸﾞﾗﾝﾄﾞﾂｱﾗｰM</t>
    <phoneticPr fontId="13"/>
  </si>
  <si>
    <t>A321694</t>
    <phoneticPr fontId="13"/>
  </si>
  <si>
    <t>S700V-0146895</t>
    <phoneticPr fontId="13"/>
  </si>
  <si>
    <t>ﾊｲｾﾞｯﾄｶｰｺﾞ ｽﾍﾟｼｬﾙ</t>
    <phoneticPr fontId="13"/>
  </si>
  <si>
    <t>A323761</t>
    <phoneticPr fontId="13"/>
  </si>
  <si>
    <t>ﾌﾟﾘｳｽ α</t>
    <phoneticPr fontId="13"/>
  </si>
  <si>
    <t>ZVW41-0031409</t>
    <phoneticPr fontId="13"/>
  </si>
  <si>
    <t>8/10/1</t>
    <phoneticPr fontId="13"/>
  </si>
  <si>
    <t>27-2754</t>
  </si>
  <si>
    <t>27-2755</t>
  </si>
  <si>
    <t>27-2756</t>
  </si>
  <si>
    <t>27-2757</t>
  </si>
  <si>
    <t>27-2758</t>
  </si>
  <si>
    <t>27-2759</t>
  </si>
  <si>
    <t>27-2760</t>
  </si>
  <si>
    <t>27-2761</t>
  </si>
  <si>
    <t>27-2762</t>
  </si>
  <si>
    <t>27-2763</t>
  </si>
  <si>
    <t>27-2764</t>
  </si>
  <si>
    <t>27-2765</t>
  </si>
  <si>
    <t>27-2766</t>
  </si>
  <si>
    <t>27-2767</t>
  </si>
  <si>
    <t>27-2768</t>
  </si>
  <si>
    <t>27-2769</t>
  </si>
  <si>
    <t>27-2770</t>
  </si>
  <si>
    <t>保証書　ﾘﾓｺﾝ　ｽﾍﾟｷｰ　ｽﾛｰﾌﾟ仕様車（非課税TEL返金OK)</t>
    <rPh sb="0" eb="3">
      <t>ホショウショ</t>
    </rPh>
    <rPh sb="20" eb="23">
      <t>シヨウシャ</t>
    </rPh>
    <rPh sb="24" eb="27">
      <t>ヒカゼイ</t>
    </rPh>
    <rPh sb="30" eb="32">
      <t>ヘンキン</t>
    </rPh>
    <phoneticPr fontId="13"/>
  </si>
  <si>
    <t>福井 333 な 807</t>
    <rPh sb="0" eb="2">
      <t>フクイ</t>
    </rPh>
    <phoneticPr fontId="13"/>
  </si>
  <si>
    <t>1/27</t>
    <phoneticPr fontId="13"/>
  </si>
  <si>
    <t>なにわ 534 ほ 216</t>
    <phoneticPr fontId="13"/>
  </si>
  <si>
    <t>有限会社萬寿薬局</t>
    <rPh sb="0" eb="4">
      <t>ユウゲンカイシャ</t>
    </rPh>
    <rPh sb="4" eb="5">
      <t>マン</t>
    </rPh>
    <rPh sb="5" eb="6">
      <t>コトブキ</t>
    </rPh>
    <rPh sb="6" eb="8">
      <t>ヤッキョク</t>
    </rPh>
    <phoneticPr fontId="13"/>
  </si>
  <si>
    <t>秋田 335 ふ 1007</t>
    <rPh sb="0" eb="2">
      <t>アキタ</t>
    </rPh>
    <phoneticPr fontId="13"/>
  </si>
  <si>
    <t>門間 徹</t>
    <rPh sb="0" eb="2">
      <t>カドマ</t>
    </rPh>
    <rPh sb="3" eb="4">
      <t>トオル</t>
    </rPh>
    <phoneticPr fontId="13"/>
  </si>
  <si>
    <t>保証書 取説 ｷｰﾚｽ  ﾅﾋﾞ取 ﾜﾝｵｰﾅｰ</t>
    <rPh sb="0" eb="3">
      <t>ホショウショ</t>
    </rPh>
    <rPh sb="4" eb="6">
      <t>トリセツ</t>
    </rPh>
    <rPh sb="16" eb="17">
      <t>トリ</t>
    </rPh>
    <phoneticPr fontId="13"/>
  </si>
  <si>
    <t>姫路 301 ぬ 5775</t>
    <rPh sb="0" eb="2">
      <t>ヒメジ</t>
    </rPh>
    <phoneticPr fontId="13"/>
  </si>
  <si>
    <t>豊田 静佳</t>
    <rPh sb="0" eb="2">
      <t>トヨタ</t>
    </rPh>
    <rPh sb="3" eb="4">
      <t>シズ</t>
    </rPh>
    <rPh sb="4" eb="5">
      <t>カ</t>
    </rPh>
    <phoneticPr fontId="13"/>
  </si>
  <si>
    <t>堺 580 ほ 4036</t>
    <rPh sb="0" eb="1">
      <t>サカイ</t>
    </rPh>
    <phoneticPr fontId="13"/>
  </si>
  <si>
    <t>吉田 秀夫</t>
    <rPh sb="0" eb="2">
      <t>ヨシダ</t>
    </rPh>
    <rPh sb="3" eb="5">
      <t>ヒデオ</t>
    </rPh>
    <phoneticPr fontId="13"/>
  </si>
  <si>
    <t>ｱｳﾃﾞｨA3 ｾﾀﾞﾝ</t>
    <phoneticPr fontId="13"/>
  </si>
  <si>
    <t>WAUZZZ8V5J1094421</t>
    <phoneticPr fontId="13"/>
  </si>
  <si>
    <t>福岡 302 む 7988</t>
    <rPh sb="0" eb="2">
      <t>フクオカ</t>
    </rPh>
    <phoneticPr fontId="13"/>
  </si>
  <si>
    <t>売ｷｬﾝｾﾙ書類戻ってきた</t>
    <rPh sb="0" eb="1">
      <t>ウ</t>
    </rPh>
    <rPh sb="6" eb="8">
      <t>ショルイ</t>
    </rPh>
    <rPh sb="8" eb="9">
      <t>モド</t>
    </rPh>
    <phoneticPr fontId="13"/>
  </si>
  <si>
    <t>NHP160-0028262</t>
    <phoneticPr fontId="13"/>
  </si>
  <si>
    <t>NHP160-0027380</t>
    <phoneticPr fontId="13"/>
  </si>
  <si>
    <t>品番；MC312D-A</t>
    <rPh sb="0" eb="2">
      <t>ヒンバン</t>
    </rPh>
    <phoneticPr fontId="13"/>
  </si>
  <si>
    <t>三重 581 ま 3530</t>
    <rPh sb="0" eb="2">
      <t>ミエ</t>
    </rPh>
    <phoneticPr fontId="13"/>
  </si>
  <si>
    <t>兼岩 桃子</t>
    <rPh sb="0" eb="1">
      <t>ケン</t>
    </rPh>
    <rPh sb="1" eb="2">
      <t>イワ</t>
    </rPh>
    <rPh sb="3" eb="5">
      <t>モモコ</t>
    </rPh>
    <phoneticPr fontId="13"/>
  </si>
  <si>
    <t>有限会社ｱｷﾔﾏ自販</t>
    <rPh sb="0" eb="4">
      <t>ユウゲンカイシャ</t>
    </rPh>
    <rPh sb="8" eb="10">
      <t>ジハン</t>
    </rPh>
    <phoneticPr fontId="13"/>
  </si>
  <si>
    <t>浜松 584 ろ 8152</t>
    <rPh sb="0" eb="2">
      <t>ハママツ</t>
    </rPh>
    <phoneticPr fontId="13"/>
  </si>
  <si>
    <t>静岡ﾀﾞｲﾊﾂ販売株式会社</t>
    <rPh sb="0" eb="2">
      <t>シズオカ</t>
    </rPh>
    <rPh sb="7" eb="13">
      <t>ハンバイカブシキガイシャ</t>
    </rPh>
    <phoneticPr fontId="13"/>
  </si>
  <si>
    <t>品川 5X2 ろ 9430</t>
    <rPh sb="0" eb="2">
      <t>シナガワ</t>
    </rPh>
    <phoneticPr fontId="13"/>
  </si>
  <si>
    <t>松本 580 ゆ 713</t>
    <rPh sb="0" eb="2">
      <t>マツモト</t>
    </rPh>
    <phoneticPr fontId="13"/>
  </si>
  <si>
    <t>特定非営利活動法人きどころﾊｳｽ</t>
    <rPh sb="0" eb="9">
      <t>トクテイヒエイリカツドウホウジン</t>
    </rPh>
    <phoneticPr fontId="13"/>
  </si>
  <si>
    <t>豊田 580 た 3280</t>
    <rPh sb="0" eb="2">
      <t>トヨダ</t>
    </rPh>
    <phoneticPr fontId="13"/>
  </si>
  <si>
    <t>MUHAMMAD NASSAR AHAMED</t>
    <phoneticPr fontId="13"/>
  </si>
  <si>
    <t>広島 399 に 2376</t>
    <rPh sb="0" eb="2">
      <t>ヒロシマ</t>
    </rPh>
    <phoneticPr fontId="13"/>
  </si>
  <si>
    <t>福山 581 さ 7937</t>
    <rPh sb="0" eb="2">
      <t>フクヤマ</t>
    </rPh>
    <phoneticPr fontId="13"/>
  </si>
  <si>
    <t>株式会社車のﾀﾝﾁ</t>
    <rPh sb="0" eb="4">
      <t>カブシキガイシャ</t>
    </rPh>
    <rPh sb="4" eb="5">
      <t>クルマ</t>
    </rPh>
    <phoneticPr fontId="13"/>
  </si>
  <si>
    <t>広島 581 こ 1901</t>
    <rPh sb="0" eb="2">
      <t>ヒロシマ</t>
    </rPh>
    <phoneticPr fontId="13"/>
  </si>
  <si>
    <t>広島ﾄﾖﾍﾟｯﾄ株式会社</t>
    <rPh sb="0" eb="2">
      <t>ヒロシマ</t>
    </rPh>
    <rPh sb="8" eb="12">
      <t>カブシキガイシャ</t>
    </rPh>
    <phoneticPr fontId="13"/>
  </si>
  <si>
    <t>三方 雅明</t>
    <rPh sb="0" eb="2">
      <t>ミカタ</t>
    </rPh>
    <rPh sb="3" eb="5">
      <t>マサアキ</t>
    </rPh>
    <phoneticPr fontId="13"/>
  </si>
  <si>
    <t>広島 599 ふ 8666</t>
    <rPh sb="0" eb="2">
      <t>ヒロシマ</t>
    </rPh>
    <phoneticPr fontId="13"/>
  </si>
  <si>
    <t>千葉 793 ろ 1449</t>
    <rPh sb="0" eb="2">
      <t>チバ</t>
    </rPh>
    <phoneticPr fontId="13"/>
  </si>
  <si>
    <t>ｷｰﾚｽ ﾜﾝｵｰﾅｰ？</t>
    <phoneticPr fontId="13"/>
  </si>
  <si>
    <t>株式会社日動建興</t>
    <rPh sb="0" eb="4">
      <t>カブシキガイシャ</t>
    </rPh>
    <rPh sb="4" eb="6">
      <t>ニチドウ</t>
    </rPh>
    <rPh sb="6" eb="8">
      <t>ケンコウ</t>
    </rPh>
    <phoneticPr fontId="13"/>
  </si>
  <si>
    <t>所沢 302 さ 1357</t>
    <rPh sb="0" eb="2">
      <t>トコロザワ</t>
    </rPh>
    <phoneticPr fontId="13"/>
  </si>
  <si>
    <t>山路 正</t>
    <rPh sb="0" eb="2">
      <t>ヤマジ</t>
    </rPh>
    <rPh sb="3" eb="4">
      <t>タダシ</t>
    </rPh>
    <phoneticPr fontId="13"/>
  </si>
  <si>
    <t>大阪 480 も 8591</t>
    <rPh sb="0" eb="2">
      <t>オオサカ</t>
    </rPh>
    <phoneticPr fontId="13"/>
  </si>
  <si>
    <t>藤原自動車株式会社</t>
    <rPh sb="0" eb="2">
      <t>フジワラ</t>
    </rPh>
    <rPh sb="2" eb="5">
      <t>ジドウシャ</t>
    </rPh>
    <rPh sb="5" eb="9">
      <t>カブシキガイシャ</t>
    </rPh>
    <phoneticPr fontId="13"/>
  </si>
  <si>
    <t>保証書  取説  ｷｰﾚｽ ﾘﾓｺﾝ</t>
    <rPh sb="5" eb="7">
      <t>トリセツ</t>
    </rPh>
    <phoneticPr fontId="13"/>
  </si>
  <si>
    <t>神戸 589 ぬ 1016</t>
    <rPh sb="0" eb="2">
      <t>コウベ</t>
    </rPh>
    <phoneticPr fontId="13"/>
  </si>
  <si>
    <t>奈良 583 け 5116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</si>
  <si>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</si>
  <si>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品川 5X2 ろ 9580</t>
    <rPh sb="0" eb="2">
      <t>シナガワ</t>
    </rPh>
    <phoneticPr fontId="13"/>
  </si>
  <si>
    <t>品川 49A そ 8817</t>
    <rPh sb="0" eb="2">
      <t>シナガワ</t>
    </rPh>
    <phoneticPr fontId="13"/>
  </si>
  <si>
    <t>品川 49A そ 8816</t>
    <rPh sb="0" eb="2">
      <t>シナガワ</t>
    </rPh>
    <phoneticPr fontId="13"/>
  </si>
  <si>
    <t>奈良 501 み 918</t>
    <rPh sb="0" eb="2">
      <t>ナラ</t>
    </rPh>
    <phoneticPr fontId="13"/>
  </si>
  <si>
    <t>小林 勝教</t>
    <rPh sb="0" eb="2">
      <t>コバヤシ</t>
    </rPh>
    <rPh sb="3" eb="4">
      <t>マサル</t>
    </rPh>
    <rPh sb="4" eb="5">
      <t>キョウ</t>
    </rPh>
    <phoneticPr fontId="13"/>
  </si>
  <si>
    <t>保証書  取説  ｷｰﾚｽ  ﾏｲｸﾛSD</t>
    <rPh sb="5" eb="7">
      <t>トリセツ</t>
    </rPh>
    <phoneticPr fontId="13"/>
  </si>
  <si>
    <t>岡山 351 む 1717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</si>
  <si>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</si>
  <si>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品川 5X2 ろ 3994</t>
    <rPh sb="0" eb="2">
      <t>シナガワ</t>
    </rPh>
    <phoneticPr fontId="13"/>
  </si>
  <si>
    <t>神戸 582 み 1106</t>
    <rPh sb="0" eb="2">
      <t>コウベ</t>
    </rPh>
    <phoneticPr fontId="13"/>
  </si>
  <si>
    <t>木村 暉</t>
    <rPh sb="0" eb="2">
      <t>キムラ</t>
    </rPh>
    <rPh sb="3" eb="4">
      <t>テル</t>
    </rPh>
    <phoneticPr fontId="13"/>
  </si>
  <si>
    <t>なにわ 581 き 1293</t>
    <phoneticPr fontId="13"/>
  </si>
  <si>
    <t>なにわ 691 ろ 4723</t>
    <phoneticPr fontId="13"/>
  </si>
  <si>
    <t>広島 581 す 2951</t>
    <rPh sb="0" eb="2">
      <t>ヒロシマ</t>
    </rPh>
    <phoneticPr fontId="13"/>
  </si>
  <si>
    <t>株式会社ｻｺﾀﾞ車輌</t>
    <rPh sb="0" eb="4">
      <t>カブシキガイシャ</t>
    </rPh>
    <phoneticPr fontId="13"/>
  </si>
  <si>
    <t>とちぎ 347 は 17</t>
    <phoneticPr fontId="13"/>
  </si>
  <si>
    <t>早乙女 洸斗</t>
    <rPh sb="0" eb="3">
      <t>サオトメ</t>
    </rPh>
    <rPh sb="4" eb="5">
      <t>コウ</t>
    </rPh>
    <rPh sb="5" eb="6">
      <t>ト</t>
    </rPh>
    <phoneticPr fontId="13"/>
  </si>
  <si>
    <t>山本様</t>
    <rPh sb="0" eb="2">
      <t>ヤマモト</t>
    </rPh>
    <rPh sb="2" eb="3">
      <t>サマ</t>
    </rPh>
    <phoneticPr fontId="13"/>
  </si>
  <si>
    <t>27-2771</t>
    <phoneticPr fontId="13"/>
  </si>
  <si>
    <t>WMWWJ920903L04495</t>
    <phoneticPr fontId="13"/>
  </si>
  <si>
    <t>姫路 378 ぬ 15</t>
    <rPh sb="0" eb="2">
      <t>ヒメジ</t>
    </rPh>
    <phoneticPr fontId="13"/>
  </si>
  <si>
    <t>山本 隆行</t>
    <rPh sb="0" eb="2">
      <t>ヤマモト</t>
    </rPh>
    <rPh sb="3" eb="4">
      <t>リュウ</t>
    </rPh>
    <rPh sb="4" eb="5">
      <t>イキ</t>
    </rPh>
    <phoneticPr fontId="13"/>
  </si>
  <si>
    <t>名古屋 780 ろ 4664</t>
    <rPh sb="0" eb="3">
      <t>ナゴヤ</t>
    </rPh>
    <phoneticPr fontId="13"/>
  </si>
  <si>
    <t>Ｊ-netﾚﾝﾀﾘｰｽ株式会社</t>
    <rPh sb="11" eb="15">
      <t>カブシキガイシャ</t>
    </rPh>
    <phoneticPr fontId="13"/>
  </si>
  <si>
    <t>ｽﾍﾟｱｷｰ　ﾚﾝﾀｶｰ</t>
    <phoneticPr fontId="13"/>
  </si>
  <si>
    <t>保証書 取説 ﾅﾋﾞ取 ｽﾍﾟｱｷｰ ﾚﾝﾀｶｰ</t>
    <rPh sb="0" eb="3">
      <t>ホショウショ</t>
    </rPh>
    <rPh sb="4" eb="6">
      <t>トリセツ</t>
    </rPh>
    <rPh sb="10" eb="11">
      <t>トリ</t>
    </rPh>
    <phoneticPr fontId="13"/>
  </si>
  <si>
    <t>301 ね 6480</t>
    <phoneticPr fontId="13"/>
  </si>
  <si>
    <t>27-2772</t>
  </si>
  <si>
    <t>27-2773</t>
  </si>
  <si>
    <t>27-2774</t>
  </si>
  <si>
    <t>27-2775</t>
  </si>
  <si>
    <t>27-2776</t>
  </si>
  <si>
    <t>27-2777</t>
  </si>
  <si>
    <t>27-2778</t>
  </si>
  <si>
    <t>27-2779</t>
  </si>
  <si>
    <t>27-2780</t>
  </si>
  <si>
    <t>27-2781</t>
  </si>
  <si>
    <t>DA17W-130460</t>
    <phoneticPr fontId="13"/>
  </si>
  <si>
    <t>保証書　　取説　ﾅﾝﾊﾞｰ</t>
    <rPh sb="5" eb="7">
      <t>トリセツ</t>
    </rPh>
    <phoneticPr fontId="13"/>
  </si>
  <si>
    <t>LA350S-0291548</t>
    <phoneticPr fontId="13"/>
  </si>
  <si>
    <t>ﾎﾞﾙﾎﾞXC40　B4AWD　Rﾃﾞｻﾞｲﾝ</t>
    <phoneticPr fontId="13"/>
  </si>
  <si>
    <t>YV1XZK9MCM2529071</t>
    <phoneticPr fontId="13"/>
  </si>
  <si>
    <t>MﾍﾞﾝﾂA180</t>
    <phoneticPr fontId="13"/>
  </si>
  <si>
    <t>W1K1771842J185201</t>
    <phoneticPr fontId="13"/>
  </si>
  <si>
    <t>ﾎﾞﾙﾎﾞXC60　4WD</t>
    <phoneticPr fontId="13"/>
  </si>
  <si>
    <t>YV1UZ10MCJ1092985</t>
    <phoneticPr fontId="13"/>
  </si>
  <si>
    <t>WMWYT920303H97032</t>
    <phoneticPr fontId="13"/>
  </si>
  <si>
    <t>ﾜｺﾞﾝR　ﾊｲﾌﾞﾘｯﾄﾞFZ</t>
    <phoneticPr fontId="13"/>
  </si>
  <si>
    <t>MH55S-147768</t>
    <phoneticPr fontId="13"/>
  </si>
  <si>
    <t>N　VAN＋ｽﾀｲﾙ　ﾌｧﾝ</t>
    <phoneticPr fontId="13"/>
  </si>
  <si>
    <t>JJ1-5016232</t>
    <phoneticPr fontId="13"/>
  </si>
  <si>
    <t>保証書　取説　ﾅﾋﾞ取　ﾅﾝﾊﾞｰ</t>
    <rPh sb="0" eb="3">
      <t>ホショウショ</t>
    </rPh>
    <rPh sb="4" eb="6">
      <t>トリセツ</t>
    </rPh>
    <rPh sb="10" eb="11">
      <t>トリ</t>
    </rPh>
    <phoneticPr fontId="13"/>
  </si>
  <si>
    <t>ﾌﾟﾘｳｽｱﾙﾌｧ　S　ﾁｪｰﾝﾌﾞﾗｯｸⅡ</t>
    <phoneticPr fontId="13"/>
  </si>
  <si>
    <t>ZVW41-0071112</t>
    <phoneticPr fontId="13"/>
  </si>
  <si>
    <t>高松　310　て　567</t>
    <rPh sb="0" eb="2">
      <t>タカマツ</t>
    </rPh>
    <phoneticPr fontId="13"/>
  </si>
  <si>
    <t>ﾑｰｳﾞ　L　SA</t>
    <phoneticPr fontId="13"/>
  </si>
  <si>
    <t>LA100S-0275423</t>
    <phoneticPr fontId="13"/>
  </si>
  <si>
    <t>福山　584　え　1208</t>
    <rPh sb="0" eb="2">
      <t>フクヤマ</t>
    </rPh>
    <phoneticPr fontId="13"/>
  </si>
  <si>
    <t>ｷｬｽﾄ　ｽﾀｲﾙG　VS　SaⅢ</t>
    <phoneticPr fontId="13"/>
  </si>
  <si>
    <t>LA250S-0184395</t>
    <phoneticPr fontId="13"/>
  </si>
  <si>
    <t>福山　580　よ　1086</t>
    <rPh sb="0" eb="2">
      <t>フクヤマ</t>
    </rPh>
    <phoneticPr fontId="13"/>
  </si>
  <si>
    <t>ﾊｲｾﾞｯﾄｶｰｺﾞ　DX</t>
    <phoneticPr fontId="13"/>
  </si>
  <si>
    <t>S700V-0141705</t>
    <phoneticPr fontId="13"/>
  </si>
  <si>
    <t>広島　480　ね　659</t>
    <rPh sb="0" eb="2">
      <t>ヒロシマ</t>
    </rPh>
    <phoneticPr fontId="13"/>
  </si>
  <si>
    <t>ﾙｰｸｽ　E</t>
    <phoneticPr fontId="13"/>
  </si>
  <si>
    <t>ML21S-162243</t>
    <phoneticPr fontId="13"/>
  </si>
  <si>
    <t>ﾃﾞﾐｵ　XDﾂｰﾘﾝｸﾞ　Lﾊﾟｯｹｰｼﾞ</t>
    <phoneticPr fontId="13"/>
  </si>
  <si>
    <t>DJ5FS-308241</t>
    <phoneticPr fontId="13"/>
  </si>
  <si>
    <t>BMWﾐﾆ　ｸｰﾊﾟｰD</t>
    <phoneticPr fontId="13"/>
  </si>
  <si>
    <t>WMWXN320802L79880</t>
    <phoneticPr fontId="13"/>
  </si>
  <si>
    <t>広島　380　つ　23</t>
    <rPh sb="0" eb="2">
      <t>ヒロシマ</t>
    </rPh>
    <phoneticPr fontId="13"/>
  </si>
  <si>
    <t>取説　ｷｰﾚｽ</t>
    <rPh sb="0" eb="2">
      <t>トリセツ</t>
    </rPh>
    <phoneticPr fontId="13"/>
  </si>
  <si>
    <t>CAA岐阜</t>
    <rPh sb="3" eb="5">
      <t>ギフ</t>
    </rPh>
    <phoneticPr fontId="13"/>
  </si>
  <si>
    <t>ﾎﾟﾙｼｪ　ﾏｶﾝ　GTS</t>
    <phoneticPr fontId="13"/>
  </si>
  <si>
    <t>WP1ZZZ95ZHLB66851</t>
    <phoneticPr fontId="13"/>
  </si>
  <si>
    <t>岐阜　32L　め　18</t>
    <rPh sb="0" eb="2">
      <t>ギフ</t>
    </rPh>
    <phoneticPr fontId="13"/>
  </si>
  <si>
    <t>27-2782</t>
  </si>
  <si>
    <t>27-2783</t>
  </si>
  <si>
    <t>27-2784</t>
  </si>
  <si>
    <t>27-2785</t>
  </si>
  <si>
    <t>27-2786</t>
  </si>
  <si>
    <t>27-2787</t>
  </si>
  <si>
    <t>27-2788</t>
  </si>
  <si>
    <t>27-2789</t>
  </si>
  <si>
    <t>ｵﾘｯｸｽ神戸（ｱｲｵｰｸ）</t>
    <rPh sb="5" eb="7">
      <t>コウベ</t>
    </rPh>
    <phoneticPr fontId="13"/>
  </si>
  <si>
    <t>LA360S-0036688</t>
    <phoneticPr fontId="13"/>
  </si>
  <si>
    <t>整備手帳　ﾚﾝﾀｶｰ</t>
    <rPh sb="0" eb="4">
      <t>セイビテチョウ</t>
    </rPh>
    <phoneticPr fontId="13"/>
  </si>
  <si>
    <t>ｳｪｲｸ　D　SaⅢ</t>
    <phoneticPr fontId="13"/>
  </si>
  <si>
    <t>LA700S-0148445</t>
    <phoneticPr fontId="13"/>
  </si>
  <si>
    <t>27-2790</t>
  </si>
  <si>
    <t>27-2791</t>
  </si>
  <si>
    <t>ﾌｨｯﾄ　ﾎｰﾑ</t>
    <phoneticPr fontId="13"/>
  </si>
  <si>
    <t>GS4-1009033</t>
    <phoneticPr fontId="13"/>
  </si>
  <si>
    <t>ﾜｺﾞﾝRｽﾃｨﾝｸﾞﾚｰ　ﾊｲﾌﾞﾘｯﾄﾞX</t>
    <phoneticPr fontId="13"/>
  </si>
  <si>
    <t>MH55S-704669</t>
    <phoneticPr fontId="13"/>
  </si>
  <si>
    <t>徳島　581　い　7392</t>
    <rPh sb="0" eb="2">
      <t>トクシマ</t>
    </rPh>
    <phoneticPr fontId="13"/>
  </si>
  <si>
    <t>書類返却1/29</t>
    <phoneticPr fontId="13"/>
  </si>
  <si>
    <t>事故(当てられ相手買取)USS神戸</t>
    <rPh sb="0" eb="2">
      <t>ジコ</t>
    </rPh>
    <rPh sb="3" eb="4">
      <t>ア</t>
    </rPh>
    <rPh sb="7" eb="9">
      <t>アイテ</t>
    </rPh>
    <rPh sb="9" eb="11">
      <t>カイトリ</t>
    </rPh>
    <rPh sb="15" eb="17">
      <t>コウベ</t>
    </rPh>
    <phoneticPr fontId="13"/>
  </si>
  <si>
    <t>売上日/売上先</t>
    <phoneticPr fontId="13"/>
  </si>
  <si>
    <t>和泉 581 よ 7707</t>
    <rPh sb="0" eb="2">
      <t>イズミ</t>
    </rPh>
    <phoneticPr fontId="13"/>
  </si>
  <si>
    <t>千賀 浩二</t>
    <rPh sb="0" eb="2">
      <t>センガ</t>
    </rPh>
    <rPh sb="3" eb="5">
      <t>コウジ</t>
    </rPh>
    <phoneticPr fontId="13"/>
  </si>
  <si>
    <t>名古屋 552 な 211</t>
    <rPh sb="0" eb="3">
      <t>ナゴヤ</t>
    </rPh>
    <phoneticPr fontId="13"/>
  </si>
  <si>
    <t>吉野 宏二</t>
    <rPh sb="0" eb="2">
      <t>ヨシノ</t>
    </rPh>
    <rPh sb="3" eb="4">
      <t>ヒロ</t>
    </rPh>
    <rPh sb="4" eb="5">
      <t>ニ</t>
    </rPh>
    <phoneticPr fontId="13"/>
  </si>
  <si>
    <t>27-2792</t>
  </si>
  <si>
    <t>27-2793</t>
  </si>
  <si>
    <t>27-2794</t>
  </si>
  <si>
    <t>ｾﾚﾅ ﾊｲｳｪｲｽﾀｰ Vｾﾚｸｼｮﾝ</t>
    <phoneticPr fontId="13"/>
  </si>
  <si>
    <t>GFC27-076498</t>
    <phoneticPr fontId="13"/>
  </si>
  <si>
    <t>相模 331 ひ 3215</t>
    <rPh sb="0" eb="2">
      <t>サガミ</t>
    </rPh>
    <phoneticPr fontId="13"/>
  </si>
  <si>
    <t>保証書 取説 予備ｷｰ ﾅﾋﾞSD ﾅﾋﾞ取 ﾘﾓｺﾝ</t>
    <rPh sb="0" eb="3">
      <t>ホショウショ</t>
    </rPh>
    <rPh sb="4" eb="6">
      <t>トリセツ</t>
    </rPh>
    <rPh sb="7" eb="9">
      <t>ヨビ</t>
    </rPh>
    <rPh sb="21" eb="25">
      <t>リモコン</t>
    </rPh>
    <phoneticPr fontId="13"/>
  </si>
  <si>
    <t>WMWXS520802C86610</t>
    <phoneticPr fontId="13"/>
  </si>
  <si>
    <t>静岡 331 と 3298</t>
    <rPh sb="0" eb="2">
      <t>シズオカ</t>
    </rPh>
    <phoneticPr fontId="13"/>
  </si>
  <si>
    <t>保証書 取説 予備ｷｰ ﾜﾝｵｰﾅｰ 名変期限2/25まで</t>
    <rPh sb="0" eb="3">
      <t>ホショウショ</t>
    </rPh>
    <rPh sb="4" eb="6">
      <t>トリセツ</t>
    </rPh>
    <rPh sb="7" eb="9">
      <t>ヨビ</t>
    </rPh>
    <rPh sb="19" eb="23">
      <t>メイヘンキゲン</t>
    </rPh>
    <phoneticPr fontId="13"/>
  </si>
  <si>
    <t>YV1LFA2MCJ1370703</t>
    <phoneticPr fontId="13"/>
  </si>
  <si>
    <t>岐阜 344 ぬ 308</t>
    <rPh sb="0" eb="2">
      <t>ギフ</t>
    </rPh>
    <phoneticPr fontId="13"/>
  </si>
  <si>
    <t>乗用車 ｼﾞﾑﾆｰﾉﾏﾄﾞ　FC</t>
    <rPh sb="0" eb="3">
      <t>ジョウヨウシャ</t>
    </rPh>
    <phoneticPr fontId="13"/>
  </si>
  <si>
    <t>車検証きたら社長へ←FAX依頼した</t>
    <rPh sb="0" eb="3">
      <t>シャケンショウ</t>
    </rPh>
    <rPh sb="6" eb="8">
      <t>シャチョウ</t>
    </rPh>
    <rPh sb="13" eb="15">
      <t>イライ</t>
    </rPh>
    <phoneticPr fontId="13"/>
  </si>
  <si>
    <t>なにわ 330 ね 5565</t>
    <phoneticPr fontId="13"/>
  </si>
  <si>
    <t>広島 302 な 7470</t>
    <rPh sb="0" eb="2">
      <t>ヒロシマ</t>
    </rPh>
    <phoneticPr fontId="13"/>
  </si>
  <si>
    <t>品番；NSZT-W68T</t>
    <rPh sb="0" eb="2">
      <t>ヒンバン</t>
    </rPh>
    <phoneticPr fontId="13"/>
  </si>
  <si>
    <t>滋賀 59H の 1122</t>
    <rPh sb="0" eb="2">
      <t>シガ</t>
    </rPh>
    <phoneticPr fontId="13"/>
  </si>
  <si>
    <t>宮本 幸久</t>
    <rPh sb="0" eb="2">
      <t>ミヤモト</t>
    </rPh>
    <rPh sb="3" eb="4">
      <t>サチ</t>
    </rPh>
    <rPh sb="4" eb="5">
      <t>ヒサ</t>
    </rPh>
    <phoneticPr fontId="13"/>
  </si>
  <si>
    <t>川口 580 か 4453</t>
    <rPh sb="0" eb="2">
      <t>カワグチ</t>
    </rPh>
    <phoneticPr fontId="13"/>
  </si>
  <si>
    <t>石橋 大和</t>
    <rPh sb="0" eb="2">
      <t>イシバシ</t>
    </rPh>
    <rPh sb="3" eb="5">
      <t>ヤマト</t>
    </rPh>
    <phoneticPr fontId="13"/>
  </si>
  <si>
    <t>野田 541 ほ 8008</t>
    <rPh sb="0" eb="2">
      <t>ノダ</t>
    </rPh>
    <phoneticPr fontId="13"/>
  </si>
  <si>
    <t>吉岡 一成</t>
    <rPh sb="0" eb="2">
      <t>ヨシオカ</t>
    </rPh>
    <rPh sb="3" eb="5">
      <t>カズナリ</t>
    </rPh>
    <phoneticPr fontId="13"/>
  </si>
  <si>
    <t>なにわ 535 ひ 8</t>
    <phoneticPr fontId="13"/>
  </si>
  <si>
    <t>岡山 581 な 7534</t>
    <rPh sb="0" eb="2">
      <t>オカヤマ</t>
    </rPh>
    <phoneticPr fontId="13"/>
  </si>
  <si>
    <t>倉敷 580 の 7486</t>
    <rPh sb="0" eb="2">
      <t>クラシキ</t>
    </rPh>
    <phoneticPr fontId="13"/>
  </si>
  <si>
    <t>福山 583 ろ 503</t>
    <rPh sb="0" eb="2">
      <t>フクヤマ</t>
    </rPh>
    <phoneticPr fontId="13"/>
  </si>
  <si>
    <t>なにわ 691 ろ 869</t>
    <phoneticPr fontId="13"/>
  </si>
  <si>
    <t>株式会社SUCCES</t>
    <rPh sb="0" eb="4">
      <t>カブシキガイシャ</t>
    </rPh>
    <phoneticPr fontId="13"/>
  </si>
  <si>
    <t>なにわ 5P7 ろ 8782</t>
    <phoneticPr fontId="13"/>
  </si>
  <si>
    <t>保証書 ｷｰﾚｽ ﾘﾓｺﾝ</t>
    <rPh sb="0" eb="3">
      <t>ホショウショ</t>
    </rPh>
    <phoneticPr fontId="13"/>
  </si>
  <si>
    <t>名古屋 780 ろ 6121</t>
    <rPh sb="0" eb="3">
      <t>ナゴヤ</t>
    </rPh>
    <phoneticPr fontId="13"/>
  </si>
  <si>
    <t>愛知県中古自動車販売商工組合</t>
    <rPh sb="0" eb="3">
      <t>アイチケン</t>
    </rPh>
    <rPh sb="3" eb="5">
      <t>チュウコ</t>
    </rPh>
    <rPh sb="5" eb="8">
      <t>ジドウシャ</t>
    </rPh>
    <rPh sb="8" eb="10">
      <t>ハンバイ</t>
    </rPh>
    <rPh sb="10" eb="12">
      <t>ショウコウ</t>
    </rPh>
    <rPh sb="12" eb="14">
      <t>クミアイ</t>
    </rPh>
    <phoneticPr fontId="13"/>
  </si>
  <si>
    <t>堺 586 ろ 4362</t>
    <rPh sb="0" eb="1">
      <t>サカイ</t>
    </rPh>
    <phoneticPr fontId="13"/>
  </si>
  <si>
    <t>三重 301 ふ 57</t>
    <rPh sb="0" eb="2">
      <t>ミエ</t>
    </rPh>
    <phoneticPr fontId="13"/>
  </si>
  <si>
    <t>三重ｽﾊﾞﾙ自動車株式会社</t>
    <rPh sb="0" eb="2">
      <t>ミエ</t>
    </rPh>
    <rPh sb="6" eb="13">
      <t>ジドウシャカブシキガイシャ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</si>
  <si>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phoneticPr fontId="13"/>
  </si>
  <si>
    <t>湘南 483 う 8788</t>
    <rPh sb="0" eb="2">
      <t>ショウナン</t>
    </rPh>
    <phoneticPr fontId="13"/>
  </si>
  <si>
    <t>藤井 健司</t>
    <rPh sb="0" eb="2">
      <t>フジイ</t>
    </rPh>
    <rPh sb="3" eb="5">
      <t>ケンジ</t>
    </rPh>
    <phoneticPr fontId="13"/>
  </si>
  <si>
    <t>岡山 343 や 525</t>
    <rPh sb="0" eb="2">
      <t>オカヤマ</t>
    </rPh>
    <phoneticPr fontId="13"/>
  </si>
  <si>
    <t>村井 功</t>
    <rPh sb="0" eb="2">
      <t>ムライ</t>
    </rPh>
    <rPh sb="3" eb="4">
      <t>コウ</t>
    </rPh>
    <phoneticPr fontId="13"/>
  </si>
  <si>
    <t>世田谷 399 そ 3588</t>
    <rPh sb="0" eb="3">
      <t>セタガヤ</t>
    </rPh>
    <phoneticPr fontId="13"/>
  </si>
  <si>
    <t>大阪 399 ゆ 2010</t>
    <rPh sb="0" eb="2">
      <t>オオサカ</t>
    </rPh>
    <phoneticPr fontId="13"/>
  </si>
  <si>
    <t>名古屋 393 の 72</t>
    <rPh sb="0" eb="3">
      <t>ナゴヤ</t>
    </rPh>
    <phoneticPr fontId="13"/>
  </si>
  <si>
    <t>伴さん充電ｹｰﾌﾞﾙ持ってる 保証書 取説 ｷｰﾚｽ</t>
    <rPh sb="0" eb="1">
      <t>バン</t>
    </rPh>
    <rPh sb="3" eb="5">
      <t>ジュウデン</t>
    </rPh>
    <rPh sb="10" eb="11">
      <t>モ</t>
    </rPh>
    <rPh sb="15" eb="18">
      <t>ホショウショ</t>
    </rPh>
    <rPh sb="19" eb="21">
      <t>トリセツ</t>
    </rPh>
    <phoneticPr fontId="13"/>
  </si>
  <si>
    <t>大宮 39A す 7232</t>
    <rPh sb="0" eb="2">
      <t>オオミヤ</t>
    </rPh>
    <phoneticPr fontId="13"/>
  </si>
  <si>
    <t>名古屋 507 せ 2168</t>
    <rPh sb="0" eb="3">
      <t>ナゴヤ</t>
    </rPh>
    <phoneticPr fontId="13"/>
  </si>
  <si>
    <t>品川 39A め 3959</t>
    <rPh sb="0" eb="2">
      <t>シナガワ</t>
    </rPh>
    <phoneticPr fontId="13"/>
  </si>
  <si>
    <t>NX・TCﾘｰｽ&amp;ﾌｧｲﾅﾝｽ株式会社</t>
    <rPh sb="15" eb="19">
      <t>カブシキガイシャ</t>
    </rPh>
    <phoneticPr fontId="13"/>
  </si>
  <si>
    <t>取説 ﾘﾓｺﾝ(車内)保証書</t>
    <rPh sb="0" eb="2">
      <t>トリセツ</t>
    </rPh>
    <rPh sb="11" eb="14">
      <t>ホショウショ</t>
    </rPh>
    <phoneticPr fontId="13"/>
  </si>
  <si>
    <t>広島 399 に 2326</t>
    <rPh sb="0" eb="2">
      <t>ヒロシマ</t>
    </rPh>
    <phoneticPr fontId="13"/>
  </si>
  <si>
    <t>豊橋 583 い 9156</t>
    <rPh sb="0" eb="2">
      <t>トヨハシ</t>
    </rPh>
    <phoneticPr fontId="13"/>
  </si>
  <si>
    <t>東愛知日産自動車株式会社</t>
    <rPh sb="0" eb="1">
      <t>ヒガシ</t>
    </rPh>
    <rPh sb="1" eb="3">
      <t>アイチ</t>
    </rPh>
    <rPh sb="3" eb="12">
      <t>ニッサンジドウシャカブシキガイシャ</t>
    </rPh>
    <phoneticPr fontId="13"/>
  </si>
  <si>
    <t>習志野 335 つ 8739</t>
    <rPh sb="0" eb="3">
      <t>ナラシノ</t>
    </rPh>
    <phoneticPr fontId="13"/>
  </si>
  <si>
    <t>東邦ｵｰﾄ株式会社</t>
    <rPh sb="0" eb="2">
      <t>ヒガシホウ</t>
    </rPh>
    <rPh sb="5" eb="9">
      <t>カブシキガイシャ</t>
    </rPh>
    <phoneticPr fontId="13"/>
  </si>
  <si>
    <t>習志野 337 の 112</t>
    <rPh sb="0" eb="3">
      <t>ナラシノ</t>
    </rPh>
    <phoneticPr fontId="13"/>
  </si>
  <si>
    <t>神戸 33K め 888</t>
    <rPh sb="0" eb="2">
      <t>コウベ</t>
    </rPh>
    <phoneticPr fontId="13"/>
  </si>
  <si>
    <t>大阪 345 ろ 30</t>
    <rPh sb="0" eb="2">
      <t>オオサカ</t>
    </rPh>
    <phoneticPr fontId="13"/>
  </si>
  <si>
    <t>和泉 333 ゆ 5963</t>
    <rPh sb="0" eb="2">
      <t>イズミ</t>
    </rPh>
    <phoneticPr fontId="13"/>
  </si>
  <si>
    <t>新垣博</t>
    <rPh sb="0" eb="2">
      <t>ニイガキ</t>
    </rPh>
    <rPh sb="2" eb="3">
      <t>ヒロシ</t>
    </rPh>
    <phoneticPr fontId="13"/>
  </si>
  <si>
    <t>みずほｵｰﾄﾘｰｽ株式会社</t>
    <rPh sb="9" eb="13">
      <t>カブシキガイシャ</t>
    </rPh>
    <phoneticPr fontId="13"/>
  </si>
  <si>
    <t>堺 586 ろ 4398</t>
    <rPh sb="0" eb="1">
      <t>サカイ</t>
    </rPh>
    <phoneticPr fontId="13"/>
  </si>
  <si>
    <t>保証書 ｷｰﾚｽ SD ﾅﾋﾞ取</t>
    <rPh sb="0" eb="3">
      <t>ホショウショ</t>
    </rPh>
    <rPh sb="15" eb="16">
      <t>トリ</t>
    </rPh>
    <phoneticPr fontId="13"/>
  </si>
  <si>
    <t>品番；GCX714 ｸﾗﾘｵﾝ</t>
    <rPh sb="0" eb="2">
      <t>ヒンバン</t>
    </rPh>
    <phoneticPr fontId="13"/>
  </si>
  <si>
    <t>地図SD ﾘﾓｺﾝ(車内)保証書 取説 ｷｰﾚｽ</t>
    <rPh sb="0" eb="2">
      <t>チズ</t>
    </rPh>
    <rPh sb="13" eb="16">
      <t>ホショウショ</t>
    </rPh>
    <rPh sb="17" eb="19">
      <t>トリセツ</t>
    </rPh>
    <phoneticPr fontId="13"/>
  </si>
  <si>
    <t>ｷｰﾚｽ(車内)保証書</t>
    <rPh sb="8" eb="11">
      <t>ホショウショ</t>
    </rPh>
    <phoneticPr fontId="13"/>
  </si>
  <si>
    <t>地図SD(車内)保証書 取説 ｷｰﾚｽ ﾚﾝﾀｶｰ</t>
    <rPh sb="0" eb="2">
      <t>チズ</t>
    </rPh>
    <rPh sb="8" eb="11">
      <t>ホショウショ</t>
    </rPh>
    <rPh sb="12" eb="14">
      <t>トリセツ</t>
    </rPh>
    <phoneticPr fontId="13"/>
  </si>
  <si>
    <t>ﾏｲｸﾛ地図SD(車内)保証書 取説</t>
    <rPh sb="4" eb="6">
      <t>チズ</t>
    </rPh>
    <rPh sb="12" eb="15">
      <t>ホショウショ</t>
    </rPh>
    <rPh sb="16" eb="18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</si>
  <si>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</si>
  <si>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保証書 ｷｰﾚｽ(車内)</t>
    <rPh sb="0" eb="3">
      <t>ホショウショ</t>
    </rPh>
    <phoneticPr fontId="13"/>
  </si>
  <si>
    <t>保証書 ﾏｲｸﾛ地図(車内)</t>
    <rPh sb="0" eb="3">
      <t>ホショウショ</t>
    </rPh>
    <rPh sb="8" eb="10">
      <t>チズ</t>
    </rPh>
    <phoneticPr fontId="13"/>
  </si>
  <si>
    <t>多摩 799 ふ 1930</t>
    <rPh sb="0" eb="2">
      <t>タマ</t>
    </rPh>
    <phoneticPr fontId="13"/>
  </si>
  <si>
    <t>1/30</t>
    <phoneticPr fontId="13"/>
  </si>
  <si>
    <t>なにわ 691 ろ 4720</t>
    <phoneticPr fontId="13"/>
  </si>
  <si>
    <t>27-2795</t>
  </si>
  <si>
    <t>27-2796</t>
  </si>
  <si>
    <t>27-2797</t>
  </si>
  <si>
    <t>27-2798</t>
  </si>
  <si>
    <t>27-2799</t>
  </si>
  <si>
    <t>27-2800</t>
  </si>
  <si>
    <t>27-2801</t>
  </si>
  <si>
    <t>27-2802</t>
  </si>
  <si>
    <t>27-2803</t>
  </si>
  <si>
    <t>JF3-1437913</t>
    <phoneticPr fontId="13"/>
  </si>
  <si>
    <t>LA900S-0069597</t>
    <phoneticPr fontId="13"/>
  </si>
  <si>
    <t>LA600S-0387132</t>
    <phoneticPr fontId="13"/>
  </si>
  <si>
    <t>LA400K-0002490</t>
    <phoneticPr fontId="13"/>
  </si>
  <si>
    <t>MK94S-249169</t>
    <phoneticPr fontId="13"/>
  </si>
  <si>
    <t>LA800S-0114502</t>
    <phoneticPr fontId="13"/>
  </si>
  <si>
    <t>MR92S-351580</t>
    <phoneticPr fontId="13"/>
  </si>
  <si>
    <t>MK53S-792001</t>
    <phoneticPr fontId="13"/>
  </si>
  <si>
    <t>MR92S-177789</t>
    <phoneticPr fontId="13"/>
  </si>
  <si>
    <t>ｷｬﾝｾﾙ書類返送1/30</t>
    <rPh sb="5" eb="7">
      <t>ショルイ</t>
    </rPh>
    <rPh sb="7" eb="9">
      <t>ヘンソウ</t>
    </rPh>
    <phoneticPr fontId="13"/>
  </si>
  <si>
    <t>ﾒﾙｾﾃﾞｽﾍﾞﾝﾂB 200d</t>
    <phoneticPr fontId="13"/>
  </si>
  <si>
    <t>W1K2470122J103944</t>
    <phoneticPr fontId="13"/>
  </si>
  <si>
    <t>ﾒﾙｾﾃﾞｽﾍﾞﾝﾂ GLB 200d</t>
    <phoneticPr fontId="13"/>
  </si>
  <si>
    <t>W1N2476122W063288</t>
    <phoneticPr fontId="13"/>
  </si>
  <si>
    <t>ﾒﾙｾﾃﾞｽﾍﾞﾝﾂ A250</t>
    <phoneticPr fontId="13"/>
  </si>
  <si>
    <t>WDD1771472W027038</t>
    <phoneticPr fontId="13"/>
  </si>
  <si>
    <t>27-2804</t>
  </si>
  <si>
    <t>27-2805</t>
  </si>
  <si>
    <t>27-2806</t>
  </si>
  <si>
    <t>長屋 幸太</t>
    <rPh sb="0" eb="2">
      <t>ナガヤ</t>
    </rPh>
    <rPh sb="3" eb="4">
      <t>サチ</t>
    </rPh>
    <rPh sb="4" eb="5">
      <t>タ</t>
    </rPh>
    <phoneticPr fontId="13"/>
  </si>
  <si>
    <t xml:space="preserve">保証書  取説  ｷｰﾚｽ  </t>
    <rPh sb="5" eb="7">
      <t>トリセツ</t>
    </rPh>
    <phoneticPr fontId="13"/>
  </si>
  <si>
    <t>宗安 裕子</t>
    <rPh sb="0" eb="2">
      <t>ムネヤス</t>
    </rPh>
    <rPh sb="3" eb="5">
      <t>ユウコ</t>
    </rPh>
    <phoneticPr fontId="13"/>
  </si>
  <si>
    <t>岡山 583 か 8158</t>
    <rPh sb="0" eb="2">
      <t>オカヤマ</t>
    </rPh>
    <phoneticPr fontId="13"/>
  </si>
  <si>
    <t>27-710</t>
    <phoneticPr fontId="13"/>
  </si>
  <si>
    <t>有限会社ﾀｶﾔﾏ自販</t>
    <rPh sb="0" eb="4">
      <t>ユウゲンカイシャ</t>
    </rPh>
    <rPh sb="8" eb="10">
      <t>ジハン</t>
    </rPh>
    <phoneticPr fontId="13"/>
  </si>
  <si>
    <t>多摩 499 つ 9281</t>
    <rPh sb="0" eb="2">
      <t>タマ</t>
    </rPh>
    <phoneticPr fontId="13"/>
  </si>
  <si>
    <t>9/1/22</t>
    <phoneticPr fontId="13"/>
  </si>
  <si>
    <t>三重 581 も 2295</t>
    <rPh sb="0" eb="2">
      <t>ミエ</t>
    </rPh>
    <phoneticPr fontId="13"/>
  </si>
  <si>
    <t>ﾀﾌﾄ X</t>
    <phoneticPr fontId="13"/>
  </si>
  <si>
    <t>ﾀﾝﾄｶｽﾀﾑ　RSﾄｯﾌﾟｴﾃﾞｨｼｮﾝSaⅡ</t>
    <phoneticPr fontId="13"/>
  </si>
  <si>
    <t>三重 581 つ 2467</t>
    <rPh sb="0" eb="2">
      <t>ミエ</t>
    </rPh>
    <phoneticPr fontId="13"/>
  </si>
  <si>
    <t>ｺﾍﾟﾝ ROBE</t>
    <phoneticPr fontId="13"/>
  </si>
  <si>
    <t>鈴鹿 585 ち 1221</t>
    <rPh sb="0" eb="2">
      <t>スズカ</t>
    </rPh>
    <phoneticPr fontId="13"/>
  </si>
  <si>
    <t>名変期限2/27まで</t>
    <rPh sb="0" eb="4">
      <t>メイヘンキゲン</t>
    </rPh>
    <phoneticPr fontId="13"/>
  </si>
  <si>
    <t>10/1/20</t>
    <phoneticPr fontId="13"/>
  </si>
  <si>
    <t>滋賀 581 ゆ 950</t>
    <rPh sb="0" eb="2">
      <t>シガ</t>
    </rPh>
    <phoneticPr fontId="13"/>
  </si>
  <si>
    <t>ﾒﾝﾃﾅｽﾉｰﾄ 取説 名変期限2/27</t>
    <rPh sb="9" eb="11">
      <t>トリセツ</t>
    </rPh>
    <rPh sb="12" eb="16">
      <t>メイヘンキゲン</t>
    </rPh>
    <phoneticPr fontId="13"/>
  </si>
  <si>
    <t>ﾑｰﾌﾞｷｬﾝﾊﾞｽ X ﾒｲｸｱｯﾌﾟSA3</t>
    <phoneticPr fontId="13"/>
  </si>
  <si>
    <t>赤/黒</t>
    <rPh sb="0" eb="1">
      <t>アカ</t>
    </rPh>
    <rPh sb="2" eb="3">
      <t>クロ</t>
    </rPh>
    <phoneticPr fontId="13"/>
  </si>
  <si>
    <t>ｽﾍﾟｰｼｱ ｷﾞｱ ﾊｲﾌﾞﾘｯﾄﾞXZ</t>
    <phoneticPr fontId="13"/>
  </si>
  <si>
    <t>神戸 304 や 3769</t>
    <rPh sb="0" eb="2">
      <t>コウベ</t>
    </rPh>
    <phoneticPr fontId="13"/>
  </si>
  <si>
    <t>神戸 304 や 3768</t>
    <rPh sb="0" eb="2">
      <t>コウベ</t>
    </rPh>
    <phoneticPr fontId="13"/>
  </si>
  <si>
    <t>取説　</t>
    <rPh sb="0" eb="2">
      <t>トリセツ</t>
    </rPh>
    <phoneticPr fontId="13"/>
  </si>
  <si>
    <t>相模 502 ふ 7294</t>
    <rPh sb="0" eb="1">
      <t>アイ</t>
    </rPh>
    <rPh sb="1" eb="2">
      <t>モ</t>
    </rPh>
    <phoneticPr fontId="13"/>
  </si>
  <si>
    <t>USOUQ株式会社</t>
    <rPh sb="5" eb="9">
      <t>カブシキガイシャ</t>
    </rPh>
    <phoneticPr fontId="13"/>
  </si>
  <si>
    <t>市川 310 さ  7284</t>
    <rPh sb="0" eb="2">
      <t>イチカワ</t>
    </rPh>
    <phoneticPr fontId="13"/>
  </si>
  <si>
    <t>志賀 康彦</t>
    <rPh sb="0" eb="2">
      <t>シガ</t>
    </rPh>
    <rPh sb="3" eb="5">
      <t>ヤスヒコ</t>
    </rPh>
    <phoneticPr fontId="13"/>
  </si>
  <si>
    <t>27-2807</t>
  </si>
  <si>
    <t>27-2808</t>
  </si>
  <si>
    <t>27-2809</t>
  </si>
  <si>
    <t>27-2810</t>
  </si>
  <si>
    <t>27-2811</t>
  </si>
  <si>
    <t>27-2812</t>
  </si>
  <si>
    <t>27-2813</t>
  </si>
  <si>
    <t>27-2814</t>
  </si>
  <si>
    <t>27-2815</t>
  </si>
  <si>
    <t>27-2816</t>
  </si>
  <si>
    <t>27-2817</t>
  </si>
  <si>
    <t>27-2818</t>
  </si>
  <si>
    <t>GGH30-0010233</t>
    <phoneticPr fontId="13"/>
  </si>
  <si>
    <t>GFC27-014638</t>
    <phoneticPr fontId="13"/>
  </si>
  <si>
    <t>MK94S-229050</t>
    <phoneticPr fontId="13"/>
  </si>
  <si>
    <t>DA17W-311909</t>
    <phoneticPr fontId="13"/>
  </si>
  <si>
    <t>MK53S-945255</t>
    <phoneticPr fontId="13"/>
  </si>
  <si>
    <t>HE33S-304488</t>
    <phoneticPr fontId="13"/>
  </si>
  <si>
    <t>B44A-0504340</t>
    <phoneticPr fontId="13"/>
  </si>
  <si>
    <t>MS92S-109668</t>
    <phoneticPr fontId="13"/>
  </si>
  <si>
    <t>B44W-0404904</t>
    <phoneticPr fontId="13"/>
  </si>
  <si>
    <t>B44W-0404827</t>
    <phoneticPr fontId="13"/>
  </si>
  <si>
    <t>JW5-1000470</t>
    <phoneticPr fontId="13"/>
  </si>
  <si>
    <t>DA64V-811960</t>
    <phoneticPr fontId="13"/>
  </si>
  <si>
    <t>ｳﾞｪﾙﾌｧｲｱ ZA Gｴﾃﾞｨｼｮﾝ</t>
    <phoneticPr fontId="13"/>
  </si>
  <si>
    <t>大阪 302 ま 7513</t>
    <rPh sb="0" eb="2">
      <t>オオサカ</t>
    </rPh>
    <phoneticPr fontId="13"/>
  </si>
  <si>
    <t>ｾﾚﾅ ﾊｲｳｪｲｽﾀｰ G</t>
    <phoneticPr fontId="13"/>
  </si>
  <si>
    <t>保証書　 取説 SD ｽﾍﾟｱｷｰ</t>
    <rPh sb="5" eb="7">
      <t>トリセツ</t>
    </rPh>
    <phoneticPr fontId="13"/>
  </si>
  <si>
    <t>保証書　 取説 ﾅﾋﾞ取 ﾅﾝﾊﾞｰ</t>
    <rPh sb="5" eb="7">
      <t>トリセツ</t>
    </rPh>
    <rPh sb="11" eb="12">
      <t>トリ</t>
    </rPh>
    <phoneticPr fontId="13"/>
  </si>
  <si>
    <t>奈良 581 と 4912</t>
    <rPh sb="0" eb="2">
      <t>ナラ</t>
    </rPh>
    <phoneticPr fontId="13"/>
  </si>
  <si>
    <t>ｽﾍﾟｰｼｱｶｽﾀﾑ ﾊｲﾌﾞﾘｯﾄﾞXSAﾀｰﾎﾞ</t>
    <phoneticPr fontId="13"/>
  </si>
  <si>
    <t xml:space="preserve">ﾙｰｸｽ ﾊｲｳｪｲｽﾀｰX </t>
    <phoneticPr fontId="13"/>
  </si>
  <si>
    <t>ﾌﾚｱｸﾛｽｵｰﾊﾞｰ ﾊｲﾌﾞﾘｯﾄﾞXS</t>
    <phoneticPr fontId="13"/>
  </si>
  <si>
    <t>神戸 58A あ 7454</t>
    <rPh sb="0" eb="2">
      <t>コウベ</t>
    </rPh>
    <phoneticPr fontId="13"/>
  </si>
  <si>
    <t>ﾃﾞｲｽﾞﾊｲｳｪｲｽﾀｰX</t>
    <phoneticPr fontId="13"/>
  </si>
  <si>
    <t>和泉 795 か 123</t>
    <rPh sb="0" eb="2">
      <t>イズミ</t>
    </rPh>
    <phoneticPr fontId="13"/>
  </si>
  <si>
    <t>ｴﾌﾞﾘｲﾊﾞﾝ ﾜｰｹﾞﾝﾊﾞｽ仕様</t>
    <rPh sb="17" eb="19">
      <t>シヨウ</t>
    </rPh>
    <phoneticPr fontId="13"/>
  </si>
  <si>
    <t>ﾅﾝﾊﾞｰ相談 検付き？抹消？</t>
    <rPh sb="5" eb="7">
      <t>ソウダン</t>
    </rPh>
    <rPh sb="8" eb="10">
      <t>ケンツ</t>
    </rPh>
    <rPh sb="12" eb="14">
      <t>マッショウ</t>
    </rPh>
    <phoneticPr fontId="13"/>
  </si>
  <si>
    <t>MK53S-942149</t>
    <phoneticPr fontId="13"/>
  </si>
  <si>
    <t>春日井 583 そ 711</t>
    <rPh sb="0" eb="3">
      <t>カスガイ</t>
    </rPh>
    <phoneticPr fontId="13"/>
  </si>
  <si>
    <t>MK53S-452283</t>
    <phoneticPr fontId="13"/>
  </si>
  <si>
    <t>ﾀﾝﾄ Xｽﾏｰﾄｾﾚｸｼｮﾝ</t>
    <phoneticPr fontId="13"/>
  </si>
  <si>
    <t>LA610S-0031502</t>
    <phoneticPr fontId="13"/>
  </si>
  <si>
    <t>尾張小牧 593 す 2525</t>
    <rPh sb="0" eb="4">
      <t>オワリコマキ</t>
    </rPh>
    <phoneticPr fontId="13"/>
  </si>
  <si>
    <t>ｺﾍﾟﾝ  GRｽﾎﾟｰﾂ</t>
    <phoneticPr fontId="13"/>
  </si>
  <si>
    <t>LA400K-0042721</t>
    <phoneticPr fontId="13"/>
  </si>
  <si>
    <t>取説 名変期限3/31</t>
    <rPh sb="0" eb="2">
      <t>トリセツ</t>
    </rPh>
    <rPh sb="3" eb="7">
      <t>メイヘンキゲン</t>
    </rPh>
    <phoneticPr fontId="13"/>
  </si>
  <si>
    <t>MXWH60-4029268</t>
    <phoneticPr fontId="13"/>
  </si>
  <si>
    <t>ﾋﾟｸｼｽﾊﾞﾝ ｸﾙｰｽﾞﾀｰﾎﾞ</t>
    <phoneticPr fontId="13"/>
  </si>
  <si>
    <t>S700M-0017185</t>
    <phoneticPr fontId="13"/>
  </si>
  <si>
    <t>ｽﾃｯﾌﾟﾜｺﾞﾝ ｽﾊﾟｰﾀﾞ ﾌﾟﾚﾐｱﾑﾗｲﾝ</t>
    <phoneticPr fontId="13"/>
  </si>
  <si>
    <t>RP6-1119701</t>
    <phoneticPr fontId="13"/>
  </si>
  <si>
    <t>保証書 取説 名変期限3/31</t>
    <rPh sb="0" eb="3">
      <t>ホショウショ</t>
    </rPh>
    <rPh sb="4" eb="6">
      <t>トリセツ</t>
    </rPh>
    <rPh sb="7" eb="11">
      <t>メイヘンキゲン</t>
    </rPh>
    <phoneticPr fontId="13"/>
  </si>
  <si>
    <t>A324077</t>
    <phoneticPr fontId="13"/>
  </si>
  <si>
    <t>MH34S-386014</t>
    <phoneticPr fontId="13"/>
  </si>
  <si>
    <t>整備手帳なしそのまま送る</t>
    <rPh sb="0" eb="4">
      <t>セイビテチョウ</t>
    </rPh>
    <rPh sb="10" eb="11">
      <t>オク</t>
    </rPh>
    <phoneticPr fontId="13"/>
  </si>
  <si>
    <t>A324259</t>
    <phoneticPr fontId="13"/>
  </si>
  <si>
    <t>B21A-0522273</t>
    <phoneticPr fontId="13"/>
  </si>
  <si>
    <t>A325228</t>
    <phoneticPr fontId="13"/>
  </si>
  <si>
    <t>RU3-1329524</t>
    <phoneticPr fontId="13"/>
  </si>
  <si>
    <t>A325266</t>
    <phoneticPr fontId="13"/>
  </si>
  <si>
    <t>AVE30-5075414</t>
    <phoneticPr fontId="13"/>
  </si>
  <si>
    <t>A323302</t>
    <phoneticPr fontId="13"/>
  </si>
  <si>
    <t>KE5FW-201596</t>
    <phoneticPr fontId="13"/>
  </si>
  <si>
    <t>A325063</t>
    <phoneticPr fontId="13"/>
  </si>
  <si>
    <t>MK54S-128517</t>
    <phoneticPr fontId="13"/>
  </si>
  <si>
    <t>A323884</t>
    <phoneticPr fontId="13"/>
  </si>
  <si>
    <t>A323464</t>
    <phoneticPr fontId="13"/>
  </si>
  <si>
    <t>TRJ150-0088192</t>
    <phoneticPr fontId="13"/>
  </si>
  <si>
    <t>301 ね 6724</t>
    <phoneticPr fontId="13"/>
  </si>
  <si>
    <t>A322587</t>
    <phoneticPr fontId="13"/>
  </si>
  <si>
    <t>JW5-1201233</t>
    <phoneticPr fontId="13"/>
  </si>
  <si>
    <t>A324175</t>
    <phoneticPr fontId="13"/>
  </si>
  <si>
    <t>DA17W-253228</t>
    <phoneticPr fontId="13"/>
  </si>
  <si>
    <t>CX60 25Sｴｸｽｸﾙｰｼﾌﾞﾓｰﾄﾞ</t>
    <phoneticPr fontId="13"/>
  </si>
  <si>
    <t>9/2/28</t>
    <phoneticPr fontId="13"/>
  </si>
  <si>
    <t>ｳﾞｪｾﾞﾙ ﾊｲﾌﾞﾘｯﾄﾞZ ﾎﾝﾀﾞｾﾝｼﾝｸﾞ</t>
    <phoneticPr fontId="13"/>
  </si>
  <si>
    <t>ﾃﾞｲｽﾞﾙｰｸｽ X Vｾﾚｸｼｮﾝ</t>
    <phoneticPr fontId="13"/>
  </si>
  <si>
    <t>9/9/17</t>
    <phoneticPr fontId="13"/>
  </si>
  <si>
    <t>整備手帳 ﾜﾝｵｰﾅｰ</t>
    <rPh sb="0" eb="4">
      <t>セイビテチョウ</t>
    </rPh>
    <phoneticPr fontId="13"/>
  </si>
  <si>
    <t>9/6/19</t>
    <phoneticPr fontId="13"/>
  </si>
  <si>
    <t>ﾚｸｻｽ IS 300h ﾌﾞﾗｯｸｼｰｸｴﾝｽ</t>
    <phoneticPr fontId="13"/>
  </si>
  <si>
    <t>S660  α</t>
    <phoneticPr fontId="13"/>
  </si>
  <si>
    <t>ｴﾌﾞﾘｲﾜｺﾞﾝ  PZﾀｰﾎﾞｽﾍﾟｼｬﾙ</t>
    <phoneticPr fontId="13"/>
  </si>
  <si>
    <t>　車体番号</t>
    <rPh sb="1" eb="5">
      <t>シャタイバンゴウ</t>
    </rPh>
    <phoneticPr fontId="13"/>
  </si>
  <si>
    <t>582 う 402</t>
    <phoneticPr fontId="13"/>
  </si>
  <si>
    <t>582 う 403</t>
    <phoneticPr fontId="13"/>
  </si>
  <si>
    <t>ｷｬﾝｾﾙ書類返送1/31</t>
    <rPh sb="5" eb="7">
      <t>ショルイ</t>
    </rPh>
    <rPh sb="7" eb="9">
      <t>ヘンソウ</t>
    </rPh>
    <phoneticPr fontId="13"/>
  </si>
  <si>
    <t>27-2819</t>
  </si>
  <si>
    <t>27-2820</t>
  </si>
  <si>
    <t>27-2821</t>
  </si>
  <si>
    <t>27-2822</t>
  </si>
  <si>
    <t>27-2823</t>
  </si>
  <si>
    <t>27-2824</t>
  </si>
  <si>
    <t>27-2825</t>
  </si>
  <si>
    <t>27-2826</t>
  </si>
  <si>
    <t>27-2827</t>
  </si>
  <si>
    <t>27-2828</t>
  </si>
  <si>
    <t>27-2829</t>
  </si>
  <si>
    <t>27-2830</t>
  </si>
  <si>
    <t>27-2831</t>
  </si>
  <si>
    <t>27-2832</t>
  </si>
  <si>
    <t>27-2833</t>
  </si>
  <si>
    <t>27-2834</t>
  </si>
  <si>
    <t>27-2835</t>
  </si>
  <si>
    <t>27-2836</t>
  </si>
  <si>
    <t>27-2837</t>
  </si>
  <si>
    <t>A324406</t>
    <phoneticPr fontId="13"/>
  </si>
  <si>
    <t>ANH20-8318779</t>
    <phoneticPr fontId="13"/>
  </si>
  <si>
    <t>A324386</t>
    <phoneticPr fontId="13"/>
  </si>
  <si>
    <t>MA3JJC74W00231340</t>
    <phoneticPr fontId="13"/>
  </si>
  <si>
    <t>27-2838</t>
  </si>
  <si>
    <t>ｳﾞｪﾙﾌｧｲｱ  2.4Z ｺﾞｰﾙﾃﾞﾝｱｲｽﾞ</t>
    <phoneticPr fontId="13"/>
  </si>
  <si>
    <t>9/2/16</t>
    <phoneticPr fontId="13"/>
  </si>
  <si>
    <t>ｼﾞﾑﾆｰﾉﾏﾄﾞ FC</t>
    <phoneticPr fontId="13"/>
  </si>
  <si>
    <t>10/7/2</t>
    <phoneticPr fontId="13"/>
  </si>
  <si>
    <t>WMWXR120902M36578</t>
    <phoneticPr fontId="13"/>
  </si>
  <si>
    <t>9/8/6</t>
    <phoneticPr fontId="13"/>
  </si>
  <si>
    <t>神戸 361 ね 126</t>
    <rPh sb="0" eb="2">
      <t>コウベ</t>
    </rPh>
    <phoneticPr fontId="13"/>
  </si>
  <si>
    <t>一宮 300 ね 1239</t>
    <rPh sb="0" eb="2">
      <t>イチノミヤ</t>
    </rPh>
    <phoneticPr fontId="13"/>
  </si>
  <si>
    <t>後藤 豪斗</t>
    <rPh sb="0" eb="2">
      <t>ゴトウ</t>
    </rPh>
    <rPh sb="3" eb="4">
      <t>ゴウ</t>
    </rPh>
    <rPh sb="4" eb="5">
      <t>ト</t>
    </rPh>
    <phoneticPr fontId="13"/>
  </si>
  <si>
    <t>奈良 581 と 2644</t>
    <rPh sb="0" eb="2">
      <t>ナラ</t>
    </rPh>
    <phoneticPr fontId="13"/>
  </si>
  <si>
    <t>嶌中 秀介</t>
    <rPh sb="0" eb="1">
      <t>シマ</t>
    </rPh>
    <rPh sb="1" eb="2">
      <t>ナカ</t>
    </rPh>
    <rPh sb="3" eb="5">
      <t>シュウスケ</t>
    </rPh>
    <phoneticPr fontId="13"/>
  </si>
  <si>
    <t>保証書  取説  ﾅﾋﾞ取</t>
    <rPh sb="5" eb="7">
      <t>トリセツ</t>
    </rPh>
    <rPh sb="12" eb="13">
      <t>トリ</t>
    </rPh>
    <phoneticPr fontId="13"/>
  </si>
  <si>
    <t>なにわ 39A も 3853</t>
    <phoneticPr fontId="13"/>
  </si>
  <si>
    <t>古谷 達也</t>
    <rPh sb="0" eb="2">
      <t>フルヤ</t>
    </rPh>
    <rPh sb="3" eb="5">
      <t>タツヤ</t>
    </rPh>
    <phoneticPr fontId="13"/>
  </si>
  <si>
    <t>保証書 取説 B-CAS</t>
    <rPh sb="0" eb="3">
      <t>ホショウショ</t>
    </rPh>
    <rPh sb="4" eb="6">
      <t>トリセツ</t>
    </rPh>
    <phoneticPr fontId="13"/>
  </si>
  <si>
    <t>島根 580 や 7290</t>
    <rPh sb="0" eb="2">
      <t>シマネ</t>
    </rPh>
    <phoneticPr fontId="13"/>
  </si>
  <si>
    <t>島根w 480 ろ 5426</t>
    <rPh sb="0" eb="2">
      <t>シマネ</t>
    </rPh>
    <phoneticPr fontId="13"/>
  </si>
  <si>
    <t>株式会社ｽｽﾞｷ自販新兵庫</t>
    <rPh sb="0" eb="4">
      <t>カブシキガイシャ</t>
    </rPh>
    <rPh sb="8" eb="10">
      <t>ジハン</t>
    </rPh>
    <rPh sb="10" eb="13">
      <t>シンヒョウゴ</t>
    </rPh>
    <phoneticPr fontId="13"/>
  </si>
  <si>
    <t>取説 ﾅﾋﾞ取 ﾚﾝﾀｶｰ</t>
    <rPh sb="0" eb="2">
      <t>トリセツ</t>
    </rPh>
    <rPh sb="6" eb="7">
      <t>トリ</t>
    </rPh>
    <phoneticPr fontId="13"/>
  </si>
  <si>
    <t>岐阜 585 み 224</t>
    <rPh sb="0" eb="2">
      <t>ギフ</t>
    </rPh>
    <phoneticPr fontId="13"/>
  </si>
  <si>
    <t>岡野 哲也</t>
    <rPh sb="0" eb="2">
      <t>オカノ</t>
    </rPh>
    <rPh sb="3" eb="5">
      <t>テツヤ</t>
    </rPh>
    <phoneticPr fontId="13"/>
  </si>
  <si>
    <t>和泉 582 い 8187</t>
    <rPh sb="0" eb="2">
      <t>イズミ</t>
    </rPh>
    <phoneticPr fontId="13"/>
  </si>
  <si>
    <t>木村 奈保子</t>
    <rPh sb="0" eb="2">
      <t>キムラ</t>
    </rPh>
    <rPh sb="3" eb="6">
      <t>ナホコ</t>
    </rPh>
    <phoneticPr fontId="13"/>
  </si>
  <si>
    <t>ｷｰﾚｽ(車内)保証書 取説 SD</t>
    <rPh sb="8" eb="11">
      <t>ホショウショ</t>
    </rPh>
    <rPh sb="12" eb="14">
      <t>トリセツ</t>
    </rPh>
    <phoneticPr fontId="13"/>
  </si>
  <si>
    <t>横浜 490 ろ 804</t>
    <rPh sb="0" eb="2">
      <t>ヨコハマ</t>
    </rPh>
    <phoneticPr fontId="13"/>
  </si>
  <si>
    <t>京都 348 ぬ 707</t>
    <rPh sb="0" eb="2">
      <t>キョウト</t>
    </rPh>
    <phoneticPr fontId="13"/>
  </si>
  <si>
    <t>愛媛 330 も 2520</t>
    <rPh sb="0" eb="2">
      <t>エヒメ</t>
    </rPh>
    <phoneticPr fontId="13"/>
  </si>
  <si>
    <t>ﾚｸｻｽ松山城北株式会社</t>
    <rPh sb="4" eb="6">
      <t>マツヤマ</t>
    </rPh>
    <rPh sb="6" eb="7">
      <t>シロ</t>
    </rPh>
    <rPh sb="7" eb="8">
      <t>キタ</t>
    </rPh>
    <rPh sb="8" eb="12">
      <t>カブシキガイシャ</t>
    </rPh>
    <phoneticPr fontId="13"/>
  </si>
  <si>
    <t>谷口 剛</t>
    <rPh sb="0" eb="2">
      <t>タニグチ</t>
    </rPh>
    <rPh sb="3" eb="4">
      <t>ツヨシ</t>
    </rPh>
    <phoneticPr fontId="13"/>
  </si>
  <si>
    <t>品川 39A め 4117</t>
    <rPh sb="0" eb="2">
      <t>シナガワ</t>
    </rPh>
    <phoneticPr fontId="13"/>
  </si>
  <si>
    <t>株式会社ｼｭﾃﾙﾝ中央</t>
    <rPh sb="0" eb="4">
      <t>カブシキガイシャ</t>
    </rPh>
    <rPh sb="9" eb="11">
      <t>チュウオウ</t>
    </rPh>
    <phoneticPr fontId="13"/>
  </si>
  <si>
    <t>曽根自動車株式会社</t>
    <rPh sb="0" eb="2">
      <t>ソネ</t>
    </rPh>
    <rPh sb="2" eb="9">
      <t>ジドウシャカブシキガイシャ</t>
    </rPh>
    <phoneticPr fontId="13"/>
  </si>
  <si>
    <t>久留米 599 な 5750</t>
    <rPh sb="0" eb="3">
      <t>クルメ</t>
    </rPh>
    <phoneticPr fontId="13"/>
  </si>
  <si>
    <t>株式会社ﾎﾝﾀﾞﾕｰﾃｯｸ</t>
    <rPh sb="0" eb="4">
      <t>カブシキガイシャ</t>
    </rPh>
    <phoneticPr fontId="13"/>
  </si>
  <si>
    <t>大阪 304 せ 9238</t>
    <rPh sb="0" eb="2">
      <t>オオサカ</t>
    </rPh>
    <phoneticPr fontId="13"/>
  </si>
  <si>
    <t>株式会社ﾏﾂﾓﾄ自動車</t>
    <rPh sb="0" eb="4">
      <t>カブシキガイシャ</t>
    </rPh>
    <rPh sb="8" eb="11">
      <t>ジドウシャ</t>
    </rPh>
    <phoneticPr fontId="13"/>
  </si>
  <si>
    <t>保証書 取説 ｷｰﾚｽ ﾛｯｸﾅｯﾄ ﾅﾋﾞ取 ｾｷｭﾘﾃｨｰｶｰﾄﾞ</t>
    <rPh sb="0" eb="3">
      <t>ホショウショ</t>
    </rPh>
    <rPh sb="4" eb="6">
      <t>トリセツ</t>
    </rPh>
    <rPh sb="22" eb="23">
      <t>トリ</t>
    </rPh>
    <phoneticPr fontId="13"/>
  </si>
  <si>
    <t>徳島 580 ち 6648</t>
    <rPh sb="0" eb="2">
      <t>トクシマ</t>
    </rPh>
    <phoneticPr fontId="13"/>
  </si>
  <si>
    <t>株式会社ｽｽﾞｷ自販徳島</t>
    <rPh sb="0" eb="4">
      <t>カブシキガイシャ</t>
    </rPh>
    <rPh sb="8" eb="10">
      <t>ジハン</t>
    </rPh>
    <rPh sb="10" eb="12">
      <t>トクシマ</t>
    </rPh>
    <phoneticPr fontId="13"/>
  </si>
  <si>
    <t>島根 583 を 1102</t>
    <rPh sb="0" eb="2">
      <t>シマネ</t>
    </rPh>
    <phoneticPr fontId="13"/>
  </si>
  <si>
    <t>島根 580 み 7733</t>
    <rPh sb="0" eb="2">
      <t>シマネ</t>
    </rPh>
    <phoneticPr fontId="13"/>
  </si>
  <si>
    <t>株式会社ｽｽﾞｷ自販島根</t>
    <rPh sb="0" eb="4">
      <t>カブシキガイシャ</t>
    </rPh>
    <rPh sb="8" eb="12">
      <t>ジハンシマネ</t>
    </rPh>
    <phoneticPr fontId="13"/>
  </si>
  <si>
    <t>島根 583 と 135</t>
    <rPh sb="0" eb="2">
      <t>シマネ</t>
    </rPh>
    <phoneticPr fontId="13"/>
  </si>
  <si>
    <t>ﾅﾝﾊﾞｰ愛媛 そのまま送るOK</t>
    <rPh sb="5" eb="7">
      <t>エヒメ</t>
    </rPh>
    <rPh sb="12" eb="13">
      <t>オク</t>
    </rPh>
    <phoneticPr fontId="13"/>
  </si>
  <si>
    <t>尾張小牧 400 の 3850</t>
    <rPh sb="0" eb="4">
      <t>オワリコマキ</t>
    </rPh>
    <phoneticPr fontId="13"/>
  </si>
  <si>
    <t>ﾄﾖﾀﾓﾋﾞﾘﾃｨ中京株式会社</t>
    <rPh sb="9" eb="11">
      <t>ナカキョウ</t>
    </rPh>
    <rPh sb="11" eb="15">
      <t>カブシキガイシャ</t>
    </rPh>
    <phoneticPr fontId="13"/>
  </si>
  <si>
    <t>ﾏｲｸﾛ地図SD(車内)保証書 取説 ｽﾏｰﾄｷｰ</t>
    <rPh sb="4" eb="6">
      <t>チズ</t>
    </rPh>
    <rPh sb="12" eb="15">
      <t>ホショウショ</t>
    </rPh>
    <rPh sb="16" eb="18">
      <t>トリセツ</t>
    </rPh>
    <phoneticPr fontId="13"/>
  </si>
  <si>
    <t>27-2839</t>
  </si>
  <si>
    <t>27-2840</t>
  </si>
  <si>
    <t>27-2841</t>
  </si>
  <si>
    <t>27-2842</t>
  </si>
  <si>
    <t>27-2843</t>
  </si>
  <si>
    <t>27-2844</t>
  </si>
  <si>
    <t>27-2845</t>
  </si>
  <si>
    <t>27-2846</t>
  </si>
  <si>
    <t>27-2847</t>
  </si>
  <si>
    <t>27-2848</t>
  </si>
  <si>
    <t>27-2849</t>
  </si>
  <si>
    <t>MR31S-313000</t>
    <phoneticPr fontId="13"/>
  </si>
  <si>
    <t>N　BOX　G　Lﾊﾟｯｹｰｼﾞ</t>
    <phoneticPr fontId="13"/>
  </si>
  <si>
    <t>JF1-1651134</t>
    <phoneticPr fontId="13"/>
  </si>
  <si>
    <t>ｶﾛｰﾗﾌｨｰﾙﾀﾞｰ　ﾊｲﾌﾞﾘｯﾄﾞ</t>
    <phoneticPr fontId="13"/>
  </si>
  <si>
    <t>NKE165-7031472</t>
    <phoneticPr fontId="13"/>
  </si>
  <si>
    <t>ｱﾙﾄ　ﾊｲﾌﾞﾘｯﾄﾞX</t>
    <phoneticPr fontId="13"/>
  </si>
  <si>
    <t>HA97S-120935</t>
    <phoneticPr fontId="13"/>
  </si>
  <si>
    <t>TRJ150-0130783</t>
    <phoneticPr fontId="13"/>
  </si>
  <si>
    <t>ZVW40-0015780</t>
    <phoneticPr fontId="13"/>
  </si>
  <si>
    <t>ｳﾞｪﾙﾌｧｲｱ　3.5ZA　G</t>
    <phoneticPr fontId="13"/>
  </si>
  <si>
    <t>GCH30-0006482</t>
    <phoneticPr fontId="13"/>
  </si>
  <si>
    <t>ﾀﾝﾄ　X　SaⅢ</t>
    <phoneticPr fontId="13"/>
  </si>
  <si>
    <t>LA600S-0560359</t>
    <phoneticPr fontId="13"/>
  </si>
  <si>
    <t>ﾀﾝﾄ　L</t>
    <phoneticPr fontId="13"/>
  </si>
  <si>
    <t>LA600S-0728624</t>
    <phoneticPr fontId="13"/>
  </si>
  <si>
    <t>N　BOXｽﾗｯｼｭ　X</t>
    <phoneticPr fontId="13"/>
  </si>
  <si>
    <t>JF1-7011076</t>
    <phoneticPr fontId="13"/>
  </si>
  <si>
    <t>ﾊﾞﾓｽ　G</t>
    <phoneticPr fontId="13"/>
  </si>
  <si>
    <t>HM1-1900886</t>
    <phoneticPr fontId="13"/>
  </si>
  <si>
    <t>LA150S-0023691</t>
    <phoneticPr fontId="13"/>
  </si>
  <si>
    <t>ﾑｰｳﾞ　L　</t>
    <phoneticPr fontId="13"/>
  </si>
  <si>
    <t>LA100S-1065445</t>
    <phoneticPr fontId="13"/>
  </si>
  <si>
    <t>27-2850</t>
  </si>
  <si>
    <t>27-2851</t>
  </si>
  <si>
    <t>27-2852</t>
  </si>
  <si>
    <t>27-2853</t>
  </si>
  <si>
    <t>27-2854</t>
  </si>
  <si>
    <t>27-2855</t>
  </si>
  <si>
    <t>ﾃﾞﾐｵ　XDﾃｰﾗｰﾄﾞﾌﾞﾗｳﾝ</t>
    <phoneticPr fontId="13"/>
  </si>
  <si>
    <t>DJ5FS-308245</t>
    <phoneticPr fontId="13"/>
  </si>
  <si>
    <t>LA650S-0271288</t>
    <phoneticPr fontId="13"/>
  </si>
  <si>
    <t>ｽｸﾗﾑﾜｺﾞﾝ　PXﾀｰﾎﾞ</t>
    <phoneticPr fontId="13"/>
  </si>
  <si>
    <t>DG17W-301417</t>
    <phoneticPr fontId="13"/>
  </si>
  <si>
    <t>N　BOXｶｽﾀﾑ　</t>
    <phoneticPr fontId="13"/>
  </si>
  <si>
    <t>JF5-1325544</t>
    <phoneticPr fontId="13"/>
  </si>
  <si>
    <t>相模　581　ち　7870</t>
    <rPh sb="0" eb="2">
      <t>サガミ</t>
    </rPh>
    <phoneticPr fontId="13"/>
  </si>
  <si>
    <t>保証書　取説　　　ｽﾏｰﾄｷｰ2（ﾘｽﾄに記載有り）</t>
    <rPh sb="0" eb="3">
      <t>ホショウショ</t>
    </rPh>
    <rPh sb="4" eb="6">
      <t>トリセツ</t>
    </rPh>
    <rPh sb="21" eb="24">
      <t>キサイア</t>
    </rPh>
    <phoneticPr fontId="13"/>
  </si>
  <si>
    <t>10/1/21</t>
    <phoneticPr fontId="13"/>
  </si>
  <si>
    <t>保証書　取説　　　</t>
    <rPh sb="0" eb="3">
      <t>ホショウショ</t>
    </rPh>
    <rPh sb="4" eb="6">
      <t>トリセツ</t>
    </rPh>
    <phoneticPr fontId="13"/>
  </si>
  <si>
    <t>9/10/26</t>
    <phoneticPr fontId="13"/>
  </si>
  <si>
    <t>8/4/5</t>
    <phoneticPr fontId="13"/>
  </si>
  <si>
    <t>8/10/15</t>
    <phoneticPr fontId="13"/>
  </si>
  <si>
    <t>取説　地図SD</t>
    <rPh sb="0" eb="2">
      <t>トリセツ</t>
    </rPh>
    <rPh sb="3" eb="5">
      <t>チズ</t>
    </rPh>
    <phoneticPr fontId="13"/>
  </si>
  <si>
    <t>27-2856</t>
  </si>
  <si>
    <t>27-2857</t>
  </si>
  <si>
    <t>27-2858</t>
  </si>
  <si>
    <t>27-2859</t>
  </si>
  <si>
    <t>27-2861</t>
  </si>
  <si>
    <t>27-2862</t>
  </si>
  <si>
    <t>27-2863</t>
  </si>
  <si>
    <t>27-2864</t>
  </si>
  <si>
    <t>27-2865</t>
  </si>
  <si>
    <t>27-2866</t>
  </si>
  <si>
    <t>27-2867</t>
  </si>
  <si>
    <t>27-2868</t>
  </si>
  <si>
    <t>27-2869</t>
  </si>
  <si>
    <t>27-2870</t>
  </si>
  <si>
    <t>ﾌﾚｱﾜｺﾞﾝ　ﾀﾌｽﾀｲﾙ　XS</t>
    <phoneticPr fontId="13"/>
  </si>
  <si>
    <t>MM94S-119430</t>
    <phoneticPr fontId="13"/>
  </si>
  <si>
    <t>ｶﾛｰﾗﾂｰﾘﾝｸﾞ　WXB</t>
    <phoneticPr fontId="13"/>
  </si>
  <si>
    <t>ZRE212-6014965</t>
    <phoneticPr fontId="13"/>
  </si>
  <si>
    <t>GUN125-3931598</t>
    <phoneticPr fontId="13"/>
  </si>
  <si>
    <t>DA17W-312045</t>
    <phoneticPr fontId="13"/>
  </si>
  <si>
    <t>ｱｸｱ　G　GS</t>
    <phoneticPr fontId="13"/>
  </si>
  <si>
    <t>NHP10-2565340</t>
    <phoneticPr fontId="13"/>
  </si>
  <si>
    <t>ｴｽﾃｨﾏ　ｱｴﾗｽﾚｻﾞｰP</t>
    <phoneticPr fontId="13"/>
  </si>
  <si>
    <t>ACR50-0142403</t>
    <phoneticPr fontId="13"/>
  </si>
  <si>
    <t>ｺﾍﾟﾝ　ﾛｰﾌﾞ</t>
    <phoneticPr fontId="13"/>
  </si>
  <si>
    <t>LA400K-0053932</t>
    <phoneticPr fontId="13"/>
  </si>
  <si>
    <t>N　BOXｶｽﾀﾑ　ﾀｰﾎﾞSSﾊﾟｯｹｰｼﾞ</t>
    <phoneticPr fontId="13"/>
  </si>
  <si>
    <t>JF1-2545121</t>
    <phoneticPr fontId="13"/>
  </si>
  <si>
    <t>ｱｳﾃﾞｨTTｸｰﾍﾟ　40TFSI</t>
    <phoneticPr fontId="13"/>
  </si>
  <si>
    <t>BMWﾐﾆ　ｸｰﾊﾟｰ</t>
    <phoneticPr fontId="13"/>
  </si>
  <si>
    <t>BMWﾐﾆ　ｸｰﾊﾟｰｺﾝﾊﾞｰﾁﾌﾞﾙ</t>
    <phoneticPr fontId="13"/>
  </si>
  <si>
    <t>BMW　X1　Xﾄﾞﾗｲﾌﾞ18ｄ　Ｘﾗｲﾝ</t>
    <phoneticPr fontId="13"/>
  </si>
  <si>
    <t>神戸　781　き　178</t>
    <rPh sb="0" eb="2">
      <t>コウベ</t>
    </rPh>
    <phoneticPr fontId="13"/>
  </si>
  <si>
    <t>京都　302　て　6652</t>
    <rPh sb="0" eb="2">
      <t>キョウト</t>
    </rPh>
    <phoneticPr fontId="13"/>
  </si>
  <si>
    <t>ﾊｲﾗｯｸｽ　Z　GRｽﾎﾟｰﾂ</t>
    <phoneticPr fontId="13"/>
  </si>
  <si>
    <t>9/8/28</t>
    <phoneticPr fontId="13"/>
  </si>
  <si>
    <t>岡山　531　そ　2858</t>
    <rPh sb="0" eb="2">
      <t>オカヤマ</t>
    </rPh>
    <phoneticPr fontId="13"/>
  </si>
  <si>
    <t>保証書　ｽﾍﾟｱｷｰ　　地図SD　B-CAS</t>
    <rPh sb="0" eb="3">
      <t>ホショウショ</t>
    </rPh>
    <rPh sb="12" eb="14">
      <t>チズ</t>
    </rPh>
    <phoneticPr fontId="13"/>
  </si>
  <si>
    <t>9/3/15</t>
    <phoneticPr fontId="13"/>
  </si>
  <si>
    <t>神戸　397　も　3</t>
    <rPh sb="0" eb="2">
      <t>コウベ</t>
    </rPh>
    <phoneticPr fontId="13"/>
  </si>
  <si>
    <t>愛媛　581　ふ　5064</t>
    <rPh sb="0" eb="2">
      <t>エヒメ</t>
    </rPh>
    <phoneticPr fontId="13"/>
  </si>
  <si>
    <t>8/3/8</t>
    <phoneticPr fontId="13"/>
  </si>
  <si>
    <t>岡山　791　る　77</t>
    <rPh sb="0" eb="2">
      <t>オカヤマ</t>
    </rPh>
    <phoneticPr fontId="13"/>
  </si>
  <si>
    <t>TRUZZZFV4K1004463</t>
    <phoneticPr fontId="13"/>
  </si>
  <si>
    <t>大阪　349　た　126</t>
    <rPh sb="0" eb="2">
      <t>オオサカ</t>
    </rPh>
    <phoneticPr fontId="13"/>
  </si>
  <si>
    <t>取説　ｽﾏｰﾄｷｰ</t>
    <rPh sb="0" eb="2">
      <t>トリセツ</t>
    </rPh>
    <phoneticPr fontId="13"/>
  </si>
  <si>
    <t>ﾗﾝﾄﾞﾞﾛｰﾊﾞｰﾃﾞｨｽｶﾊﾞﾘｰｽﾎﾟｰﾂ　HSE</t>
    <phoneticPr fontId="13"/>
  </si>
  <si>
    <t>SALCA2AG3HH644681</t>
    <phoneticPr fontId="13"/>
  </si>
  <si>
    <t>WMWXS520102C92717</t>
    <phoneticPr fontId="13"/>
  </si>
  <si>
    <t>WMWWJ320503G47076</t>
    <phoneticPr fontId="13"/>
  </si>
  <si>
    <t>WMWXR920202N81590</t>
    <phoneticPr fontId="13"/>
  </si>
  <si>
    <t>取説　ｽﾍﾟｱｷｰ</t>
    <rPh sb="0" eb="2">
      <t>トリセツ</t>
    </rPh>
    <phoneticPr fontId="13"/>
  </si>
  <si>
    <t>WBAHT920703D35699</t>
    <phoneticPr fontId="13"/>
  </si>
  <si>
    <t>広島　346　て　503</t>
    <rPh sb="0" eb="2">
      <t>ヒロシマ</t>
    </rPh>
    <phoneticPr fontId="13"/>
  </si>
  <si>
    <t>2026/1/10HAA神戸（ﾜﾝｸﾘ）</t>
    <rPh sb="12" eb="14">
      <t>コウベ</t>
    </rPh>
    <phoneticPr fontId="13"/>
  </si>
  <si>
    <t>1283回60252売ｷｬﾝｾﾙ買ｷｬﾝｾﾙ2/2返送</t>
    <rPh sb="4" eb="5">
      <t>カイ</t>
    </rPh>
    <rPh sb="10" eb="11">
      <t>ウ</t>
    </rPh>
    <rPh sb="16" eb="17">
      <t>バイ</t>
    </rPh>
    <rPh sb="25" eb="27">
      <t>ヘンソウ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</si>
  <si>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委任状譲渡証差し替えOK</t>
    </r>
    <rPh sb="0" eb="3">
      <t>ホショウショ</t>
    </rPh>
    <rPh sb="4" eb="6">
      <t>トリセツ</t>
    </rPh>
    <rPh sb="12" eb="15">
      <t>イニンジョウ</t>
    </rPh>
    <rPh sb="15" eb="16">
      <t>ユズル</t>
    </rPh>
    <rPh sb="16" eb="17">
      <t>ワタ</t>
    </rPh>
    <rPh sb="17" eb="18">
      <t>ショウ</t>
    </rPh>
    <rPh sb="18" eb="19">
      <t>サ</t>
    </rPh>
    <rPh sb="20" eb="21">
      <t>カ</t>
    </rPh>
    <phoneticPr fontId="13"/>
  </si>
  <si>
    <t>京都 382 る 15</t>
    <rPh sb="0" eb="2">
      <t>キョウト</t>
    </rPh>
    <phoneticPr fontId="13"/>
  </si>
  <si>
    <t>香山 倖司郎</t>
    <rPh sb="0" eb="2">
      <t>カヤマ</t>
    </rPh>
    <rPh sb="3" eb="4">
      <t>サチ</t>
    </rPh>
    <rPh sb="4" eb="6">
      <t>シロウ</t>
    </rPh>
    <phoneticPr fontId="13"/>
  </si>
  <si>
    <t>豊田 347 ふ 358</t>
    <rPh sb="0" eb="2">
      <t>トヨタ</t>
    </rPh>
    <phoneticPr fontId="13"/>
  </si>
  <si>
    <t>藤澤 隆</t>
    <rPh sb="0" eb="2">
      <t>フジサワ</t>
    </rPh>
    <rPh sb="3" eb="4">
      <t>タカシ</t>
    </rPh>
    <phoneticPr fontId="13"/>
  </si>
  <si>
    <t>株式会社吉田ﾓｰﾀｰｽ</t>
    <rPh sb="0" eb="4">
      <t>カブシキガイシャ</t>
    </rPh>
    <rPh sb="4" eb="6">
      <t>ヨシダ</t>
    </rPh>
    <phoneticPr fontId="13"/>
  </si>
  <si>
    <t>保証書 取説 ｷｰﾚｽ ｽﾍﾟｱｷｰ ﾛｯｸﾅｯﾄ</t>
    <rPh sb="0" eb="3">
      <t>ホショウショ</t>
    </rPh>
    <rPh sb="4" eb="6">
      <t>トリセツ</t>
    </rPh>
    <phoneticPr fontId="13"/>
  </si>
  <si>
    <t>大津 滋</t>
    <rPh sb="0" eb="2">
      <t>オオツ</t>
    </rPh>
    <rPh sb="3" eb="4">
      <t>シゲル</t>
    </rPh>
    <phoneticPr fontId="13"/>
  </si>
  <si>
    <t>保証書　整備手帳　取説　Sｷｰ　構造変更書類</t>
    <rPh sb="0" eb="3">
      <t>ホショウショ</t>
    </rPh>
    <rPh sb="4" eb="8">
      <t>セイビテチョウ</t>
    </rPh>
    <rPh sb="9" eb="11">
      <t>トリセツ</t>
    </rPh>
    <rPh sb="16" eb="18">
      <t>コウゾウ</t>
    </rPh>
    <rPh sb="18" eb="20">
      <t>ヘンコウ</t>
    </rPh>
    <rPh sb="20" eb="22">
      <t>ショルイ</t>
    </rPh>
    <phoneticPr fontId="13"/>
  </si>
  <si>
    <t>相模 337 る 350</t>
    <rPh sb="0" eb="1">
      <t>アイ</t>
    </rPh>
    <rPh sb="1" eb="2">
      <t>モ</t>
    </rPh>
    <phoneticPr fontId="13"/>
  </si>
  <si>
    <t>山田 悦夫</t>
    <rPh sb="0" eb="2">
      <t>ヤマダ</t>
    </rPh>
    <rPh sb="3" eb="5">
      <t>エツオ</t>
    </rPh>
    <phoneticPr fontId="13"/>
  </si>
  <si>
    <t>袖ヶ浦 580 ゆ 2188</t>
    <rPh sb="0" eb="3">
      <t>ソデガウラ</t>
    </rPh>
    <phoneticPr fontId="13"/>
  </si>
  <si>
    <t>後藤 雅史</t>
    <rPh sb="0" eb="2">
      <t>ゴトウ</t>
    </rPh>
    <rPh sb="3" eb="4">
      <t>マサシ</t>
    </rPh>
    <rPh sb="4" eb="5">
      <t>シ</t>
    </rPh>
    <phoneticPr fontId="13"/>
  </si>
  <si>
    <t>保証書 取説 ｷｰﾚｽ ﾏｲｸﾛ地図SD(車内)</t>
    <rPh sb="0" eb="3">
      <t>ホショウショ</t>
    </rPh>
    <rPh sb="4" eb="6">
      <t>トリセツ</t>
    </rPh>
    <rPh sb="16" eb="18">
      <t>チズ</t>
    </rPh>
    <rPh sb="21" eb="23">
      <t>シャナイ</t>
    </rPh>
    <phoneticPr fontId="13"/>
  </si>
  <si>
    <t>取説(車内)保証書 ﾚﾝﾀｶｰ</t>
    <rPh sb="0" eb="2">
      <t>トリセツ</t>
    </rPh>
    <rPh sb="6" eb="9">
      <t>ホショウショ</t>
    </rPh>
    <phoneticPr fontId="13"/>
  </si>
  <si>
    <r>
      <t>地図SD車内なし</t>
    </r>
    <r>
      <rPr>
        <sz val="11"/>
        <color rgb="FFFF0000"/>
        <rFont val="ＭＳ Ｐゴシック"/>
        <family val="3"/>
        <charset val="128"/>
        <scheme val="minor"/>
      </rPr>
      <t>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保証書 取説 ｷｰﾚｽ ﾜﾝｵｰﾅｰ </t>
    </r>
    <rPh sb="0" eb="2">
      <t>チズ</t>
    </rPh>
    <rPh sb="4" eb="6">
      <t>シャナイ</t>
    </rPh>
    <rPh sb="8" eb="9">
      <t>ト</t>
    </rPh>
    <rPh sb="10" eb="11">
      <t>ア</t>
    </rPh>
    <rPh sb="13" eb="14">
      <t>チュウ</t>
    </rPh>
    <rPh sb="15" eb="18">
      <t>ホショウショ</t>
    </rPh>
    <rPh sb="19" eb="21">
      <t>トリセツ</t>
    </rPh>
    <phoneticPr fontId="13"/>
  </si>
  <si>
    <t>保証書 ﾅﾋﾞ取なしOK</t>
    <rPh sb="0" eb="3">
      <t>ホショウショ</t>
    </rPh>
    <rPh sb="7" eb="8">
      <t>トリ</t>
    </rPh>
    <phoneticPr fontId="13"/>
  </si>
  <si>
    <t>ﾎﾞﾙﾎﾞV40 ｸﾛｽｶﾝﾄﾘｰ T5</t>
    <phoneticPr fontId="13"/>
  </si>
  <si>
    <t>YV1MZ6356E2034986</t>
    <phoneticPr fontId="13"/>
  </si>
  <si>
    <t>神戸 304 ゆ 4300</t>
    <rPh sb="0" eb="2">
      <t>コウベ</t>
    </rPh>
    <phoneticPr fontId="13"/>
  </si>
  <si>
    <t>ｱｳﾃﾞｨ Q2 30TFSIｽﾎﾟｰﾂ</t>
    <phoneticPr fontId="13"/>
  </si>
  <si>
    <t>WAUZZZGA0KA003183</t>
    <phoneticPr fontId="13"/>
  </si>
  <si>
    <t>BMW X1 xﾄﾞﾗｲﾌﾞ18d</t>
    <phoneticPr fontId="13"/>
  </si>
  <si>
    <t>WBA32AD0205S67177</t>
    <phoneticPr fontId="13"/>
  </si>
  <si>
    <t>BMW 3ｼﾘｰｽﾞｾﾀﾞﾝ320iｽﾎﾟｰﾂ</t>
    <phoneticPr fontId="13"/>
  </si>
  <si>
    <t>WBA8A16040NU74238</t>
    <phoneticPr fontId="13"/>
  </si>
  <si>
    <t>ｼﾙﾊﾞｰ/黒</t>
    <rPh sb="6" eb="7">
      <t>クロ</t>
    </rPh>
    <phoneticPr fontId="13"/>
  </si>
  <si>
    <t>WMWXT320502H68372</t>
    <phoneticPr fontId="13"/>
  </si>
  <si>
    <t>保証書 取説 ｽﾏｰﾄｷｰ2個ﾘｽﾄ記載</t>
    <rPh sb="0" eb="3">
      <t>ホショウショ</t>
    </rPh>
    <rPh sb="4" eb="6">
      <t>トリセツ</t>
    </rPh>
    <rPh sb="14" eb="15">
      <t>コ</t>
    </rPh>
    <rPh sb="18" eb="20">
      <t>キサイ</t>
    </rPh>
    <phoneticPr fontId="13"/>
  </si>
  <si>
    <t>BMWﾐﾆｸｰﾊﾟｰS ｼﾞｮﾝｸｰﾊﾟｰﾜｰｸｽ</t>
    <phoneticPr fontId="13"/>
  </si>
  <si>
    <t>A325902</t>
    <phoneticPr fontId="13"/>
  </si>
  <si>
    <t>LA850S-0066497</t>
    <phoneticPr fontId="13"/>
  </si>
  <si>
    <t>A324771</t>
    <phoneticPr fontId="13"/>
  </si>
  <si>
    <t>AGH35-0056365</t>
    <phoneticPr fontId="13"/>
  </si>
  <si>
    <t>ｱﾙﾌｧｰﾄﾞ 2.5S ﾀｲﾌﾟｺﾞｰﾙﾄﾞ3</t>
    <phoneticPr fontId="13"/>
  </si>
  <si>
    <t>27-2860</t>
    <phoneticPr fontId="13"/>
  </si>
  <si>
    <t>ﾃﾞｲｽﾞﾙｰｸｽ XVｾﾚｸｼｮﾝ ｾｰﾌﾃｨ2</t>
    <phoneticPr fontId="13"/>
  </si>
  <si>
    <t>B21A-0103632</t>
    <phoneticPr fontId="13"/>
  </si>
  <si>
    <t>A324230</t>
    <phoneticPr fontId="13"/>
  </si>
  <si>
    <t>27-2871</t>
  </si>
  <si>
    <t>27-2872</t>
  </si>
  <si>
    <t>27-2873</t>
  </si>
  <si>
    <t>27-2874</t>
  </si>
  <si>
    <t>27-2875</t>
  </si>
  <si>
    <t>27-2876</t>
  </si>
  <si>
    <t>27-2877</t>
  </si>
  <si>
    <t>27-2878</t>
  </si>
  <si>
    <t>27-2879</t>
  </si>
  <si>
    <t>27-2880</t>
  </si>
  <si>
    <t>岡崎 580 ね 7124</t>
    <rPh sb="0" eb="2">
      <t>オカザキ</t>
    </rPh>
    <phoneticPr fontId="13"/>
  </si>
  <si>
    <t>岩村 秀貴</t>
    <rPh sb="0" eb="2">
      <t>イワムラ</t>
    </rPh>
    <rPh sb="3" eb="4">
      <t>ヒデ</t>
    </rPh>
    <rPh sb="4" eb="5">
      <t>タカシ</t>
    </rPh>
    <phoneticPr fontId="13"/>
  </si>
  <si>
    <t xml:space="preserve">保証書  取説  </t>
    <rPh sb="5" eb="7">
      <t>トリセツ</t>
    </rPh>
    <phoneticPr fontId="13"/>
  </si>
  <si>
    <t>豊田 300 ね 3686</t>
    <rPh sb="0" eb="2">
      <t>トヨタ</t>
    </rPh>
    <phoneticPr fontId="13"/>
  </si>
  <si>
    <t>市古 昌明</t>
    <rPh sb="0" eb="2">
      <t>イチコ</t>
    </rPh>
    <rPh sb="3" eb="4">
      <t>ショウ</t>
    </rPh>
    <rPh sb="4" eb="5">
      <t>メイ</t>
    </rPh>
    <phoneticPr fontId="13"/>
  </si>
  <si>
    <t>ｽｽﾞｷﾌｧｲﾅﾝｽ株式会社</t>
    <rPh sb="10" eb="14">
      <t>カブシキガイシャ</t>
    </rPh>
    <phoneticPr fontId="13"/>
  </si>
  <si>
    <t>保証書付属品(TAA預かってる)</t>
    <rPh sb="0" eb="3">
      <t>ホショウショ</t>
    </rPh>
    <rPh sb="3" eb="6">
      <t>フゾクヒン</t>
    </rPh>
    <rPh sb="10" eb="11">
      <t>アズ</t>
    </rPh>
    <phoneticPr fontId="13"/>
  </si>
  <si>
    <t>保証書 付属品(TAA預かってる)</t>
    <rPh sb="0" eb="3">
      <t>ホショウショ</t>
    </rPh>
    <rPh sb="4" eb="7">
      <t>フゾクヒン</t>
    </rPh>
    <rPh sb="11" eb="12">
      <t>アズ</t>
    </rPh>
    <phoneticPr fontId="13"/>
  </si>
  <si>
    <t>品川 5X3 ろ 1408</t>
    <rPh sb="0" eb="2">
      <t>シナガワ</t>
    </rPh>
    <phoneticPr fontId="13"/>
  </si>
  <si>
    <t>品川 5X3 ろ 1410</t>
    <rPh sb="0" eb="2">
      <t>シナガワ</t>
    </rPh>
    <phoneticPr fontId="13"/>
  </si>
  <si>
    <t>大阪 480 も 9640</t>
    <rPh sb="0" eb="2">
      <t>オオサカ</t>
    </rPh>
    <phoneticPr fontId="13"/>
  </si>
  <si>
    <t>保証書  取説  ﾅﾋﾞ取 ﾅﾝﾊﾞｰ</t>
    <rPh sb="5" eb="7">
      <t>トリセツ</t>
    </rPh>
    <rPh sb="12" eb="13">
      <t>トリ</t>
    </rPh>
    <phoneticPr fontId="13"/>
  </si>
  <si>
    <t>大阪 399 ゆ 2439</t>
    <rPh sb="0" eb="2">
      <t>オオサカ</t>
    </rPh>
    <phoneticPr fontId="13"/>
  </si>
  <si>
    <t>ﾈｯﾂﾄﾖﾀﾆｭｰﾘｰ北大阪株式会社</t>
    <rPh sb="11" eb="14">
      <t>キタオオサカ</t>
    </rPh>
    <rPh sb="14" eb="18">
      <t>カブシキガイシャ</t>
    </rPh>
    <phoneticPr fontId="13"/>
  </si>
  <si>
    <t>整備手帳 取説(車内)保証書</t>
    <rPh sb="0" eb="4">
      <t>セイビテチョウ</t>
    </rPh>
    <rPh sb="5" eb="7">
      <t>トリセツ</t>
    </rPh>
    <rPh sb="11" eb="14">
      <t>ホショウショ</t>
    </rPh>
    <phoneticPr fontId="13"/>
  </si>
  <si>
    <t>江東 399 さ 6705</t>
    <rPh sb="0" eb="2">
      <t>エトウ</t>
    </rPh>
    <phoneticPr fontId="13"/>
  </si>
  <si>
    <t>品川 5X3 ろ 1407</t>
    <rPh sb="0" eb="2">
      <t>シナガワ</t>
    </rPh>
    <phoneticPr fontId="13"/>
  </si>
  <si>
    <t>品川 5X3 ろ 1409</t>
    <rPh sb="0" eb="2">
      <t>シナガワ</t>
    </rPh>
    <phoneticPr fontId="13"/>
  </si>
  <si>
    <t>川邉 知弘</t>
    <rPh sb="0" eb="2">
      <t>カワナベ</t>
    </rPh>
    <rPh sb="3" eb="4">
      <t>チ</t>
    </rPh>
    <rPh sb="4" eb="5">
      <t>ヒロシ</t>
    </rPh>
    <phoneticPr fontId="13"/>
  </si>
  <si>
    <t>萩 成美</t>
    <rPh sb="0" eb="1">
      <t>ハギ</t>
    </rPh>
    <rPh sb="2" eb="4">
      <t>ナルミ</t>
    </rPh>
    <phoneticPr fontId="13"/>
  </si>
  <si>
    <t>広島 580 も 9106</t>
    <rPh sb="0" eb="2">
      <t>ヒロシマ</t>
    </rPh>
    <phoneticPr fontId="13"/>
  </si>
  <si>
    <t>ﾀﾞｲﾊﾂ販売株式会社</t>
    <rPh sb="5" eb="11">
      <t>ハンバイカブシキガイシャ</t>
    </rPh>
    <phoneticPr fontId="13"/>
  </si>
  <si>
    <t>なにわ 5P9 ろ 2888</t>
    <phoneticPr fontId="13"/>
  </si>
  <si>
    <t>堺 580 て 5256</t>
    <rPh sb="0" eb="1">
      <t>サカイ</t>
    </rPh>
    <phoneticPr fontId="13"/>
  </si>
  <si>
    <t>京都 582 な 2659</t>
    <rPh sb="0" eb="2">
      <t>キョウト</t>
    </rPh>
    <phoneticPr fontId="13"/>
  </si>
  <si>
    <t>株式会社ｽｽﾞｷ自販関西枚方営業所</t>
    <rPh sb="0" eb="4">
      <t>カブシキガイシャ</t>
    </rPh>
    <rPh sb="8" eb="10">
      <t>ジハン</t>
    </rPh>
    <rPh sb="10" eb="12">
      <t>カンサイ</t>
    </rPh>
    <rPh sb="12" eb="14">
      <t>ヒラカタ</t>
    </rPh>
    <rPh sb="14" eb="17">
      <t>エイギョウショ</t>
    </rPh>
    <phoneticPr fontId="13"/>
  </si>
  <si>
    <t>江東 399 さ 6716</t>
    <rPh sb="0" eb="2">
      <t>エトウ</t>
    </rPh>
    <phoneticPr fontId="13"/>
  </si>
  <si>
    <t>奈良 380 り 18</t>
    <rPh sb="0" eb="2">
      <t>ナラ</t>
    </rPh>
    <phoneticPr fontId="13"/>
  </si>
  <si>
    <t>ﾄﾖﾀﾕﾅｲﾃｯﾄﾞ奈良株式会社</t>
    <rPh sb="10" eb="12">
      <t>ナラ</t>
    </rPh>
    <rPh sb="12" eb="16">
      <t>カブシキガイシャ</t>
    </rPh>
    <phoneticPr fontId="13"/>
  </si>
  <si>
    <t>LATIF ASAD</t>
    <phoneticPr fontId="13"/>
  </si>
  <si>
    <t>島根 581 い 5708</t>
    <rPh sb="0" eb="2">
      <t>シマネ</t>
    </rPh>
    <phoneticPr fontId="13"/>
  </si>
  <si>
    <t>広島 539 ゆ 1031</t>
    <rPh sb="0" eb="2">
      <t>ヒロシマ</t>
    </rPh>
    <phoneticPr fontId="13"/>
  </si>
  <si>
    <t>牛山 貴文</t>
    <rPh sb="0" eb="2">
      <t>ウシヤマ</t>
    </rPh>
    <rPh sb="3" eb="5">
      <t>タカフミ</t>
    </rPh>
    <phoneticPr fontId="13"/>
  </si>
  <si>
    <t>大阪 536 そ 601</t>
    <rPh sb="0" eb="2">
      <t>オオサカ</t>
    </rPh>
    <phoneticPr fontId="13"/>
  </si>
  <si>
    <t>加藤 信之</t>
    <rPh sb="0" eb="2">
      <t>カトウ</t>
    </rPh>
    <rPh sb="3" eb="5">
      <t>ノブユキ</t>
    </rPh>
    <phoneticPr fontId="13"/>
  </si>
  <si>
    <t>WBA7P12010EH83720</t>
    <phoneticPr fontId="13"/>
  </si>
  <si>
    <t>大阪 398 ま 1717</t>
    <rPh sb="0" eb="2">
      <t>オオサカ</t>
    </rPh>
    <phoneticPr fontId="13"/>
  </si>
  <si>
    <t xml:space="preserve"> 保証書 取説 ｷｰﾚｽ</t>
    <rPh sb="1" eb="4">
      <t>ホショウショ</t>
    </rPh>
    <rPh sb="5" eb="7">
      <t>トリセツ</t>
    </rPh>
    <phoneticPr fontId="13"/>
  </si>
  <si>
    <t>練馬 345 た 3939</t>
    <rPh sb="0" eb="2">
      <t>ネリマ</t>
    </rPh>
    <phoneticPr fontId="13"/>
  </si>
  <si>
    <t>清水 雄峰</t>
    <rPh sb="0" eb="2">
      <t>シミズ</t>
    </rPh>
    <rPh sb="3" eb="4">
      <t>オス</t>
    </rPh>
    <rPh sb="4" eb="5">
      <t>ミネ</t>
    </rPh>
    <phoneticPr fontId="13"/>
  </si>
  <si>
    <t>久留米 300 ら 7692</t>
    <rPh sb="0" eb="3">
      <t>クルメ</t>
    </rPh>
    <phoneticPr fontId="13"/>
  </si>
  <si>
    <t>坂田 幸治</t>
    <rPh sb="0" eb="2">
      <t>サカタ</t>
    </rPh>
    <rPh sb="3" eb="5">
      <t>コウジ</t>
    </rPh>
    <phoneticPr fontId="13"/>
  </si>
  <si>
    <t>582 う 653</t>
    <phoneticPr fontId="13"/>
  </si>
  <si>
    <t>582 う 651</t>
    <phoneticPr fontId="13"/>
  </si>
  <si>
    <t>582 う 652</t>
    <phoneticPr fontId="13"/>
  </si>
  <si>
    <t>501 ゆ 3950</t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</si>
  <si>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SD問い合わせ中</t>
    </r>
    <r>
      <rPr>
        <sz val="11"/>
        <color theme="4" tint="-0.499984740745262"/>
        <rFont val="ＭＳ Ｐゴシック"/>
        <family val="3"/>
        <charset val="128"/>
        <scheme val="minor"/>
      </rPr>
      <t>映らないｸﾚｰﾑ良さんへ</t>
    </r>
    <rPh sb="0" eb="3">
      <t>ホショウショ</t>
    </rPh>
    <rPh sb="4" eb="6">
      <t>トリセツ</t>
    </rPh>
    <rPh sb="14" eb="15">
      <t>ト</t>
    </rPh>
    <rPh sb="16" eb="17">
      <t>ア</t>
    </rPh>
    <rPh sb="19" eb="20">
      <t>チュウ</t>
    </rPh>
    <rPh sb="20" eb="21">
      <t>ウツ</t>
    </rPh>
    <rPh sb="28" eb="29">
      <t>リョウ</t>
    </rPh>
    <phoneticPr fontId="13"/>
  </si>
  <si>
    <t>27-2881</t>
  </si>
  <si>
    <t>27-2882</t>
  </si>
  <si>
    <t>27-2883</t>
  </si>
  <si>
    <t>27-2884</t>
  </si>
  <si>
    <t>27-2885</t>
  </si>
  <si>
    <t>27-2886</t>
  </si>
  <si>
    <t>VWｻﾞ･ﾋﾞｰﾄﾙ　ﾃﾞｻﾞｲﾝﾚｻﾞｰP</t>
    <phoneticPr fontId="13"/>
  </si>
  <si>
    <t>WVWZZZ16ZDM641123</t>
    <phoneticPr fontId="13"/>
  </si>
  <si>
    <t>横浜　334　め　1255</t>
    <rPh sb="0" eb="2">
      <t>ヨコハマ</t>
    </rPh>
    <phoneticPr fontId="13"/>
  </si>
  <si>
    <t>JF3-5326346</t>
    <phoneticPr fontId="13"/>
  </si>
  <si>
    <t>27-2887</t>
  </si>
  <si>
    <t>27-2888</t>
  </si>
  <si>
    <t>27-2889</t>
  </si>
  <si>
    <t>27-2890</t>
  </si>
  <si>
    <t>27-2891</t>
  </si>
  <si>
    <t>27-2892</t>
  </si>
  <si>
    <t>27-2893</t>
  </si>
  <si>
    <t>27-2894</t>
  </si>
  <si>
    <t>27-2895</t>
  </si>
  <si>
    <t>ｳﾞｫｸｼｰ　ZS　ｷﾗﾒｷ</t>
    <phoneticPr fontId="13"/>
  </si>
  <si>
    <t>ZRR80-0225674</t>
    <phoneticPr fontId="13"/>
  </si>
  <si>
    <t>DA17W-259893</t>
    <phoneticPr fontId="13"/>
  </si>
  <si>
    <t>ﾙｰﾃｼｱ　ｲﾝﾃﾝｽ　ﾃｯｸﾊﾟｯｸ</t>
    <phoneticPr fontId="13"/>
  </si>
  <si>
    <t>ﾊｽﾗｰ　Jｽﾀｲﾙ2ﾀｰﾎﾞ</t>
    <phoneticPr fontId="13"/>
  </si>
  <si>
    <t>MR52S-312755</t>
    <phoneticPr fontId="13"/>
  </si>
  <si>
    <t>LA650S-0118626</t>
    <phoneticPr fontId="13"/>
  </si>
  <si>
    <t>ﾌﾚｱ　XG</t>
    <phoneticPr fontId="13"/>
  </si>
  <si>
    <t>MJ34S-101857</t>
    <phoneticPr fontId="13"/>
  </si>
  <si>
    <t>ｱｳﾃﾞｨA6ｱﾊﾞﾝﾄ　45TFSIｸﾜﾄﾛｽﾎﾟｰﾂ</t>
    <phoneticPr fontId="13"/>
  </si>
  <si>
    <t>ﾜｺﾞﾝR　ﾊｲﾌﾞﾘｯﾄﾞFX-S</t>
    <phoneticPr fontId="13"/>
  </si>
  <si>
    <t>MH95S-230571</t>
    <phoneticPr fontId="13"/>
  </si>
  <si>
    <t>ﾊｽﾗｰ　JｽﾀｲﾙⅡ</t>
    <phoneticPr fontId="13"/>
  </si>
  <si>
    <t>MR41S-211637</t>
    <phoneticPr fontId="13"/>
  </si>
  <si>
    <t>MH95S-230005</t>
    <phoneticPr fontId="13"/>
  </si>
  <si>
    <t>ｷｬｽﾄ　ｽﾀｲﾙGﾌﾟﾗｲﾑｺﾚｸｼｮﾝSaⅢ</t>
    <phoneticPr fontId="13"/>
  </si>
  <si>
    <t>LA250S-0138078</t>
    <phoneticPr fontId="13"/>
  </si>
  <si>
    <t>ｳｪｲｸ　G　ﾀｰﾎﾞ</t>
    <phoneticPr fontId="13"/>
  </si>
  <si>
    <t>LA700S-0056068</t>
    <phoneticPr fontId="13"/>
  </si>
  <si>
    <t>ﾑｰｳﾞｶｽﾀﾑ　ｶｽﾀﾑX</t>
    <phoneticPr fontId="13"/>
  </si>
  <si>
    <t>LA150S-0020954</t>
    <phoneticPr fontId="13"/>
  </si>
  <si>
    <t>ｽﾍﾟｰｼｱｷﾞｱ　ﾊｲﾌﾞﾘｯﾄﾞXZ</t>
    <phoneticPr fontId="13"/>
  </si>
  <si>
    <t>MK53S-502454</t>
    <phoneticPr fontId="13"/>
  </si>
  <si>
    <t>MﾍﾞﾝﾂE200　AVGｽﾎﾟｰﾂ</t>
    <phoneticPr fontId="13"/>
  </si>
  <si>
    <t>27-2896</t>
  </si>
  <si>
    <t>27-2897</t>
  </si>
  <si>
    <t>京都　302　め　7393</t>
    <rPh sb="0" eb="2">
      <t>キョウト</t>
    </rPh>
    <phoneticPr fontId="13"/>
  </si>
  <si>
    <t>保証書　他ﾘﾓｺﾝ</t>
    <rPh sb="0" eb="3">
      <t>ホショウショ</t>
    </rPh>
    <rPh sb="4" eb="5">
      <t>タ</t>
    </rPh>
    <phoneticPr fontId="13"/>
  </si>
  <si>
    <t>保証書　取説　予備ｷｰ</t>
    <rPh sb="0" eb="3">
      <t>ホショウショ</t>
    </rPh>
    <rPh sb="4" eb="6">
      <t>トリセツ</t>
    </rPh>
    <rPh sb="7" eb="9">
      <t>ヨビ</t>
    </rPh>
    <phoneticPr fontId="13"/>
  </si>
  <si>
    <t>ﾌﾞﾗｳﾝⅡ</t>
    <phoneticPr fontId="13"/>
  </si>
  <si>
    <t>青Ⅱ</t>
    <rPh sb="0" eb="1">
      <t>アオ</t>
    </rPh>
    <phoneticPr fontId="13"/>
  </si>
  <si>
    <t>WAUZZZF20LN044854</t>
    <phoneticPr fontId="13"/>
  </si>
  <si>
    <t>高松　310　さ　218</t>
    <rPh sb="0" eb="2">
      <t>タカマツ</t>
    </rPh>
    <phoneticPr fontId="13"/>
  </si>
  <si>
    <t>山口　580　わ　6769</t>
    <rPh sb="0" eb="2">
      <t>ヤマグチ</t>
    </rPh>
    <phoneticPr fontId="13"/>
  </si>
  <si>
    <t>山口　580　わ　6765</t>
    <rPh sb="0" eb="2">
      <t>ヤマグチ</t>
    </rPh>
    <phoneticPr fontId="13"/>
  </si>
  <si>
    <t>Dﾌﾞﾙｰ</t>
    <phoneticPr fontId="13"/>
  </si>
  <si>
    <t>広島　584　う　48</t>
    <rPh sb="0" eb="2">
      <t>ヒロシマ</t>
    </rPh>
    <phoneticPr fontId="13"/>
  </si>
  <si>
    <t>WDD2130422A010691</t>
    <phoneticPr fontId="13"/>
  </si>
  <si>
    <t>倉敷　300　ぬ　7980</t>
    <rPh sb="0" eb="2">
      <t>クラシキ</t>
    </rPh>
    <phoneticPr fontId="13"/>
  </si>
  <si>
    <t>27-2898</t>
  </si>
  <si>
    <t>S710V-0110514</t>
    <phoneticPr fontId="13"/>
  </si>
  <si>
    <t>鳥取　480　た　1516</t>
    <rPh sb="0" eb="2">
      <t>トットリ</t>
    </rPh>
    <phoneticPr fontId="13"/>
  </si>
  <si>
    <t>ﾚｳﾞｫｰｸﾞ 1.6 GT ｱｲｻｲﾄ Sｽﾀｲﾙ</t>
    <phoneticPr fontId="13"/>
  </si>
  <si>
    <t>27-2899</t>
  </si>
  <si>
    <t>WAUZZZGA8KA000404</t>
    <phoneticPr fontId="13"/>
  </si>
  <si>
    <t xml:space="preserve">ｱｳﾃﾞｨ Q2 </t>
    <phoneticPr fontId="13"/>
  </si>
  <si>
    <t>27-2900</t>
  </si>
  <si>
    <t>27-2901</t>
  </si>
  <si>
    <t>27-2902</t>
  </si>
  <si>
    <t>ｴﾌﾞﾘｨﾜｺﾞﾝ PALTDｾｰﾌﾃｨｻﾎﾟｰﾄ</t>
    <phoneticPr fontId="13"/>
  </si>
  <si>
    <t>DA17V-583718</t>
    <phoneticPr fontId="13"/>
  </si>
  <si>
    <t>GFC27-045749</t>
    <phoneticPr fontId="13"/>
  </si>
  <si>
    <t>ｶﾛｰﾗﾌｨｰﾙﾀﾞｰEX</t>
    <phoneticPr fontId="13"/>
  </si>
  <si>
    <t>NRE161-0117774</t>
    <phoneticPr fontId="13"/>
  </si>
  <si>
    <t xml:space="preserve">地図SD </t>
    <rPh sb="0" eb="2">
      <t>チズ</t>
    </rPh>
    <phoneticPr fontId="13"/>
  </si>
  <si>
    <t>鳥取 309 も 111</t>
    <rPh sb="0" eb="2">
      <t>トットリ</t>
    </rPh>
    <phoneticPr fontId="13"/>
  </si>
  <si>
    <t>福山 581 こ 4268</t>
    <rPh sb="0" eb="2">
      <t>フクヤマ</t>
    </rPh>
    <phoneticPr fontId="13"/>
  </si>
  <si>
    <t>広島 582 せ 7583</t>
    <rPh sb="0" eb="2">
      <t>ヒロシマ</t>
    </rPh>
    <phoneticPr fontId="13"/>
  </si>
  <si>
    <t>北浦 勝</t>
    <rPh sb="0" eb="2">
      <t>キタウラ</t>
    </rPh>
    <rPh sb="3" eb="4">
      <t>カツ</t>
    </rPh>
    <phoneticPr fontId="13"/>
  </si>
  <si>
    <t>島根 581 け 1516</t>
    <rPh sb="0" eb="2">
      <t>シマネ</t>
    </rPh>
    <phoneticPr fontId="13"/>
  </si>
  <si>
    <t>山藤 敬</t>
    <rPh sb="0" eb="2">
      <t>ヤマフジ</t>
    </rPh>
    <rPh sb="3" eb="4">
      <t>ケイ</t>
    </rPh>
    <phoneticPr fontId="13"/>
  </si>
  <si>
    <t>品川 5X3 ろ 809</t>
    <rPh sb="0" eb="2">
      <t>シナガワ</t>
    </rPh>
    <phoneticPr fontId="13"/>
  </si>
  <si>
    <t>堺 584 や 121</t>
    <rPh sb="0" eb="1">
      <t>サカイ</t>
    </rPh>
    <phoneticPr fontId="13"/>
  </si>
  <si>
    <t>保証書  取説  ﾅﾋﾞ取 ｷｰﾚｽ SD</t>
    <rPh sb="5" eb="7">
      <t>トリセツ</t>
    </rPh>
    <rPh sb="12" eb="13">
      <t>トリ</t>
    </rPh>
    <phoneticPr fontId="13"/>
  </si>
  <si>
    <t>和泉 581 の 4936</t>
    <rPh sb="0" eb="2">
      <t>イズミ</t>
    </rPh>
    <phoneticPr fontId="13"/>
  </si>
  <si>
    <t>株式会社南海ｽｽﾞｷ</t>
    <rPh sb="0" eb="6">
      <t>カブシキガイシャナンカイ</t>
    </rPh>
    <phoneticPr fontId="13"/>
  </si>
  <si>
    <t>なにわ 39A み 3620</t>
    <phoneticPr fontId="13"/>
  </si>
  <si>
    <t>川村 遼</t>
    <rPh sb="0" eb="2">
      <t>カワムラ</t>
    </rPh>
    <rPh sb="3" eb="4">
      <t>リョウ</t>
    </rPh>
    <phoneticPr fontId="13"/>
  </si>
  <si>
    <t>名古屋 780 ろ 6606</t>
    <rPh sb="0" eb="3">
      <t>ナゴヤ</t>
    </rPh>
    <phoneticPr fontId="13"/>
  </si>
  <si>
    <t>岡山 583 め 1257</t>
    <rPh sb="0" eb="2">
      <t>オカヤマ</t>
    </rPh>
    <phoneticPr fontId="13"/>
  </si>
  <si>
    <t>東中国ｽｽﾞｷ自動車株式会社岡山営業所</t>
    <rPh sb="0" eb="1">
      <t>ヒガシ</t>
    </rPh>
    <rPh sb="1" eb="3">
      <t>チュウゴク</t>
    </rPh>
    <rPh sb="9" eb="13">
      <t>カブシキガイシャ</t>
    </rPh>
    <rPh sb="13" eb="15">
      <t>オカヤマ</t>
    </rPh>
    <rPh sb="15" eb="18">
      <t>エイギョウショ</t>
    </rPh>
    <phoneticPr fontId="13"/>
  </si>
  <si>
    <t>姫路 552 ち 88</t>
    <rPh sb="0" eb="2">
      <t>ヒメジ</t>
    </rPh>
    <phoneticPr fontId="13"/>
  </si>
  <si>
    <t>筑豊 333 と 1102</t>
    <rPh sb="0" eb="2">
      <t>チクホウ</t>
    </rPh>
    <phoneticPr fontId="13"/>
  </si>
  <si>
    <t>株式会社九州ﾏﾂﾀﾞ</t>
    <rPh sb="0" eb="4">
      <t>カブシキガイシャ</t>
    </rPh>
    <rPh sb="4" eb="6">
      <t>キュウシュウ</t>
    </rPh>
    <phoneticPr fontId="13"/>
  </si>
  <si>
    <t>地図SD(車内) 保証書 取説 ﾅﾋﾞ取 ｽﾍﾟｱｷｰ</t>
    <rPh sb="0" eb="2">
      <t>チズ</t>
    </rPh>
    <rPh sb="9" eb="12">
      <t>ホショウショ</t>
    </rPh>
    <rPh sb="13" eb="15">
      <t>トリセツ</t>
    </rPh>
    <rPh sb="19" eb="20">
      <t>トリ</t>
    </rPh>
    <phoneticPr fontId="13"/>
  </si>
  <si>
    <t>奈良 430 と 611</t>
    <rPh sb="0" eb="2">
      <t>ナラ</t>
    </rPh>
    <phoneticPr fontId="13"/>
  </si>
  <si>
    <t>川越 300 ぬ 3272</t>
    <rPh sb="0" eb="2">
      <t>カワゴエ</t>
    </rPh>
    <phoneticPr fontId="13"/>
  </si>
  <si>
    <t>田鹿 政史</t>
    <rPh sb="0" eb="1">
      <t>タ</t>
    </rPh>
    <rPh sb="1" eb="2">
      <t>シカ</t>
    </rPh>
    <rPh sb="3" eb="4">
      <t>マサ</t>
    </rPh>
    <rPh sb="4" eb="5">
      <t>シ</t>
    </rPh>
    <phoneticPr fontId="13"/>
  </si>
  <si>
    <t>距離おかしい問い合わせ中 保証書 取説</t>
    <rPh sb="0" eb="2">
      <t>キョリ</t>
    </rPh>
    <rPh sb="6" eb="7">
      <t>ト</t>
    </rPh>
    <rPh sb="8" eb="9">
      <t>ア</t>
    </rPh>
    <rPh sb="11" eb="12">
      <t>チュウ</t>
    </rPh>
    <rPh sb="13" eb="16">
      <t>ホショウショ</t>
    </rPh>
    <rPh sb="17" eb="19">
      <t>トリセツ</t>
    </rPh>
    <phoneticPr fontId="13"/>
  </si>
  <si>
    <t>SD USS神戸タカヒラさん連絡あり</t>
    <rPh sb="6" eb="8">
      <t>コウベ</t>
    </rPh>
    <rPh sb="14" eb="16">
      <t>レンラク</t>
    </rPh>
    <phoneticPr fontId="13"/>
  </si>
  <si>
    <t>稲田 和貴</t>
    <rPh sb="0" eb="2">
      <t>イナダ</t>
    </rPh>
    <rPh sb="3" eb="5">
      <t>カズタカ</t>
    </rPh>
    <phoneticPr fontId="13"/>
  </si>
  <si>
    <t>車庫出し 取説(車内) ｷｰﾚｽ</t>
    <rPh sb="0" eb="3">
      <t>シャコダ</t>
    </rPh>
    <rPh sb="5" eb="7">
      <t>トリセツ</t>
    </rPh>
    <phoneticPr fontId="13"/>
  </si>
  <si>
    <t>神戸 304 や 2068</t>
    <rPh sb="0" eb="2">
      <t>コウベ</t>
    </rPh>
    <phoneticPr fontId="13"/>
  </si>
  <si>
    <t>名古屋 333 る 2019</t>
    <rPh sb="0" eb="3">
      <t>ナゴヤ</t>
    </rPh>
    <phoneticPr fontId="13"/>
  </si>
  <si>
    <t>The Vehicles株式会社</t>
    <rPh sb="12" eb="16">
      <t>カブシキガイシャ</t>
    </rPh>
    <phoneticPr fontId="13"/>
  </si>
  <si>
    <t>480 ね 3846</t>
    <phoneticPr fontId="13"/>
  </si>
  <si>
    <t>480 ね 3845</t>
    <phoneticPr fontId="13"/>
  </si>
  <si>
    <t>春日部 580 と 3539</t>
    <rPh sb="0" eb="3">
      <t>カスカベ</t>
    </rPh>
    <phoneticPr fontId="13"/>
  </si>
  <si>
    <t>吉戸 智恵美</t>
    <rPh sb="0" eb="1">
      <t>ヨシ</t>
    </rPh>
    <rPh sb="1" eb="2">
      <t>ト</t>
    </rPh>
    <rPh sb="3" eb="6">
      <t>チエミ</t>
    </rPh>
    <phoneticPr fontId="13"/>
  </si>
  <si>
    <t>岡山 530 み 3816</t>
    <rPh sb="0" eb="2">
      <t>オカヤマ</t>
    </rPh>
    <phoneticPr fontId="13"/>
  </si>
  <si>
    <t>株式会社岡山ﾏﾂﾀﾞ</t>
    <rPh sb="0" eb="4">
      <t>カブシキガイシャ</t>
    </rPh>
    <rPh sb="4" eb="6">
      <t>オカヤマ</t>
    </rPh>
    <phoneticPr fontId="13"/>
  </si>
  <si>
    <t>整備手帳 取説 SD</t>
    <rPh sb="0" eb="4">
      <t>セイビテチョウ</t>
    </rPh>
    <rPh sb="5" eb="7">
      <t>トリセツ</t>
    </rPh>
    <phoneticPr fontId="13"/>
  </si>
  <si>
    <t>神戸 486 ろ 623</t>
    <rPh sb="0" eb="2">
      <t>コウベ</t>
    </rPh>
    <phoneticPr fontId="13"/>
  </si>
  <si>
    <t>滋賀 593 く 818</t>
    <rPh sb="0" eb="2">
      <t>シガ</t>
    </rPh>
    <phoneticPr fontId="13"/>
  </si>
  <si>
    <t>滋賀ﾀﾞｲﾊﾂ販売株式会社</t>
    <rPh sb="0" eb="2">
      <t>シガ</t>
    </rPh>
    <rPh sb="7" eb="13">
      <t>ハンバイカブシキガイシャ</t>
    </rPh>
    <phoneticPr fontId="13"/>
  </si>
  <si>
    <t>川﨑 332 ろ 375</t>
    <rPh sb="0" eb="2">
      <t>カワサキ</t>
    </rPh>
    <phoneticPr fontId="13"/>
  </si>
  <si>
    <t>川野 進</t>
    <rPh sb="0" eb="2">
      <t>カワノ</t>
    </rPh>
    <rPh sb="3" eb="4">
      <t>ススム</t>
    </rPh>
    <phoneticPr fontId="13"/>
  </si>
  <si>
    <t>板橋 583 い 6600</t>
    <rPh sb="0" eb="2">
      <t>イタバシ</t>
    </rPh>
    <phoneticPr fontId="13"/>
  </si>
  <si>
    <t>株式会社ﾎﾝﾀﾞｶｰｽﾞ神奈川西</t>
    <rPh sb="0" eb="4">
      <t>カブシキガイシャ</t>
    </rPh>
    <rPh sb="10" eb="13">
      <t>カナガワ</t>
    </rPh>
    <rPh sb="13" eb="14">
      <t>ニシ</t>
    </rPh>
    <phoneticPr fontId="13"/>
  </si>
  <si>
    <t>諏訪冷機株式会社</t>
    <rPh sb="1" eb="2">
      <t>オトズ</t>
    </rPh>
    <rPh sb="2" eb="4">
      <t>レイキ</t>
    </rPh>
    <rPh sb="4" eb="8">
      <t>カブシキガイシャ</t>
    </rPh>
    <phoneticPr fontId="13"/>
  </si>
  <si>
    <t>要海 秀樹</t>
    <rPh sb="0" eb="1">
      <t>ヨウ</t>
    </rPh>
    <rPh sb="1" eb="2">
      <t>ウミ</t>
    </rPh>
    <rPh sb="3" eb="5">
      <t>ヒデキ</t>
    </rPh>
    <phoneticPr fontId="13"/>
  </si>
  <si>
    <t>福山 580 ふ 3862</t>
    <rPh sb="0" eb="2">
      <t>フクヤマ</t>
    </rPh>
    <phoneticPr fontId="13"/>
  </si>
  <si>
    <t>高宮 絹代</t>
    <rPh sb="0" eb="2">
      <t>タカミヤ</t>
    </rPh>
    <rPh sb="3" eb="5">
      <t>キヌヨ</t>
    </rPh>
    <phoneticPr fontId="13"/>
  </si>
  <si>
    <t>広島 587 ろ 18</t>
    <rPh sb="0" eb="2">
      <t>ヒロシマ</t>
    </rPh>
    <phoneticPr fontId="13"/>
  </si>
  <si>
    <t>岡山 581 こ 7011</t>
    <rPh sb="0" eb="2">
      <t>オカヤマ</t>
    </rPh>
    <phoneticPr fontId="13"/>
  </si>
  <si>
    <t>中森 正樹</t>
    <rPh sb="0" eb="2">
      <t>ナカモリ</t>
    </rPh>
    <rPh sb="3" eb="5">
      <t>マサキ</t>
    </rPh>
    <phoneticPr fontId="13"/>
  </si>
  <si>
    <t>藤本 明宏</t>
    <rPh sb="0" eb="2">
      <t>フジモト</t>
    </rPh>
    <rPh sb="3" eb="4">
      <t>アキ</t>
    </rPh>
    <rPh sb="4" eb="5">
      <t>ヒロ</t>
    </rPh>
    <phoneticPr fontId="13"/>
  </si>
  <si>
    <t>島根 581 け 146</t>
    <rPh sb="0" eb="2">
      <t>シマネ</t>
    </rPh>
    <phoneticPr fontId="13"/>
  </si>
  <si>
    <t>月森 飛雄馬</t>
    <rPh sb="0" eb="2">
      <t>ツキモリ</t>
    </rPh>
    <rPh sb="3" eb="4">
      <t>ト</t>
    </rPh>
    <rPh sb="4" eb="5">
      <t>オス</t>
    </rPh>
    <rPh sb="5" eb="6">
      <t>ウマ</t>
    </rPh>
    <phoneticPr fontId="13"/>
  </si>
  <si>
    <t>堺 332 て 1238</t>
    <rPh sb="0" eb="1">
      <t>サカイ</t>
    </rPh>
    <phoneticPr fontId="13"/>
  </si>
  <si>
    <t>安田 嘉男</t>
    <rPh sb="0" eb="2">
      <t>ヤスダ</t>
    </rPh>
    <rPh sb="3" eb="5">
      <t>ヨシオ</t>
    </rPh>
    <phoneticPr fontId="13"/>
  </si>
  <si>
    <t>滋賀 581 や 6253</t>
    <rPh sb="0" eb="2">
      <t>シガ</t>
    </rPh>
    <phoneticPr fontId="13"/>
  </si>
  <si>
    <t>株式会社奥村ﾓｰﾀｰｽ</t>
    <rPh sb="0" eb="4">
      <t>カブシキガイシャ</t>
    </rPh>
    <rPh sb="4" eb="6">
      <t>オクムラ</t>
    </rPh>
    <phoneticPr fontId="13"/>
  </si>
  <si>
    <t>保証書 取説 ﾅﾋﾞ取 ｷｰﾚｽ ﾅﾝﾊﾞｰ</t>
    <rPh sb="0" eb="3">
      <t>ホショウショ</t>
    </rPh>
    <rPh sb="4" eb="6">
      <t>トリセツ</t>
    </rPh>
    <rPh sb="10" eb="11">
      <t>トリ</t>
    </rPh>
    <phoneticPr fontId="13"/>
  </si>
  <si>
    <t>世田谷 581 ろ 3646</t>
    <rPh sb="0" eb="3">
      <t>セタガヤ</t>
    </rPh>
    <phoneticPr fontId="13"/>
  </si>
  <si>
    <t>株式会社日産ｶｰﾚﾝﾀﾙｿﾘｭｰｼｮﾝ</t>
    <rPh sb="0" eb="4">
      <t>カブシキガイシャ</t>
    </rPh>
    <rPh sb="4" eb="6">
      <t>ニッサン</t>
    </rPh>
    <phoneticPr fontId="13"/>
  </si>
  <si>
    <t>尾張小牧 589 ろ 1356</t>
    <rPh sb="0" eb="4">
      <t>オワリコマキ</t>
    </rPh>
    <phoneticPr fontId="13"/>
  </si>
  <si>
    <t>和歌山 334 は 728</t>
    <rPh sb="0" eb="3">
      <t>ワカヤマ</t>
    </rPh>
    <phoneticPr fontId="13"/>
  </si>
  <si>
    <t>車内</t>
    <rPh sb="0" eb="2">
      <t>シャナイ</t>
    </rPh>
    <phoneticPr fontId="13"/>
  </si>
  <si>
    <t>保証書 取説 ｷｰﾚｽ ﾜﾝｵｰﾅｰ ﾘﾓｺﾝ</t>
    <rPh sb="0" eb="3">
      <t>ホショウショ</t>
    </rPh>
    <rPh sb="4" eb="6">
      <t>トリセツ</t>
    </rPh>
    <phoneticPr fontId="13"/>
  </si>
  <si>
    <t>保証書　取説　ﾚﾝﾀｶｰ　　　　ﾜﾝｵｰﾅｰ記載有り、ﾚﾝﾀｶｰなのでｸﾚｰﾑ済</t>
    <rPh sb="0" eb="3">
      <t>ホショウショ</t>
    </rPh>
    <rPh sb="4" eb="6">
      <t>トリセツ</t>
    </rPh>
    <rPh sb="22" eb="24">
      <t>キサイ</t>
    </rPh>
    <rPh sb="24" eb="25">
      <t>ア</t>
    </rPh>
    <rPh sb="39" eb="40">
      <t>スミ</t>
    </rPh>
    <phoneticPr fontId="13"/>
  </si>
  <si>
    <t>なにわ 344 の 717</t>
    <phoneticPr fontId="13"/>
  </si>
  <si>
    <t>取説 ｷｰﾚｽ ﾜﾝｵｰﾅｰ？</t>
    <rPh sb="0" eb="2">
      <t>トリセツ</t>
    </rPh>
    <phoneticPr fontId="13"/>
  </si>
  <si>
    <t>株式会社NEXT INNOVATION</t>
    <rPh sb="0" eb="4">
      <t>カブシキガイシャ</t>
    </rPh>
    <phoneticPr fontId="13"/>
  </si>
  <si>
    <t>和歌山 300 め 3173</t>
    <rPh sb="0" eb="3">
      <t>ワカヤマ</t>
    </rPh>
    <phoneticPr fontId="13"/>
  </si>
  <si>
    <t>繁野 恭佑</t>
    <rPh sb="0" eb="1">
      <t>シゲ</t>
    </rPh>
    <rPh sb="1" eb="2">
      <t>ノ</t>
    </rPh>
    <rPh sb="3" eb="4">
      <t>ヤスシ</t>
    </rPh>
    <rPh sb="4" eb="5">
      <t>ユウ</t>
    </rPh>
    <phoneticPr fontId="13"/>
  </si>
  <si>
    <t>倉敷 399 す 5714</t>
    <rPh sb="0" eb="2">
      <t>クラシキ</t>
    </rPh>
    <phoneticPr fontId="13"/>
  </si>
  <si>
    <t>石原 彰一</t>
    <rPh sb="0" eb="2">
      <t>イシハラ</t>
    </rPh>
    <rPh sb="3" eb="4">
      <t>アキ</t>
    </rPh>
    <rPh sb="4" eb="5">
      <t>イチ</t>
    </rPh>
    <phoneticPr fontId="13"/>
  </si>
  <si>
    <t xml:space="preserve"> 保証書 取説 新車保+認定保</t>
    <rPh sb="1" eb="4">
      <t>ホショウショ</t>
    </rPh>
    <rPh sb="5" eb="7">
      <t>トリセツ</t>
    </rPh>
    <rPh sb="8" eb="10">
      <t>シンシャ</t>
    </rPh>
    <rPh sb="10" eb="11">
      <t>ホ</t>
    </rPh>
    <rPh sb="12" eb="14">
      <t>ニンテイ</t>
    </rPh>
    <rPh sb="14" eb="15">
      <t>ホ</t>
    </rPh>
    <phoneticPr fontId="13"/>
  </si>
  <si>
    <t>和泉 59A さ 2804</t>
    <rPh sb="0" eb="2">
      <t>イズミ</t>
    </rPh>
    <phoneticPr fontId="13"/>
  </si>
  <si>
    <t>保証書 取説 ﾅﾋﾞ取 ｷｰﾚｽ ﾚﾝﾀｶｰ</t>
    <rPh sb="0" eb="3">
      <t>ホショウショ</t>
    </rPh>
    <rPh sb="4" eb="6">
      <t>トリセツ</t>
    </rPh>
    <rPh sb="10" eb="11">
      <t>トリ</t>
    </rPh>
    <phoneticPr fontId="13"/>
  </si>
  <si>
    <t>山口 343 り 19</t>
    <rPh sb="0" eb="2">
      <t>ヤマグチ</t>
    </rPh>
    <phoneticPr fontId="13"/>
  </si>
  <si>
    <t>藤田 紀喜</t>
    <rPh sb="0" eb="2">
      <t>フジタ</t>
    </rPh>
    <rPh sb="3" eb="4">
      <t>キ</t>
    </rPh>
    <rPh sb="4" eb="5">
      <t>キ</t>
    </rPh>
    <phoneticPr fontId="13"/>
  </si>
  <si>
    <t>岡山 581 ま 4853</t>
    <rPh sb="0" eb="2">
      <t>オカヤマ</t>
    </rPh>
    <phoneticPr fontId="13"/>
  </si>
  <si>
    <t>福山 336 す 1130</t>
    <rPh sb="0" eb="2">
      <t>フクヤマ</t>
    </rPh>
    <phoneticPr fontId="13"/>
  </si>
  <si>
    <t>品川 39A め 5793</t>
    <rPh sb="0" eb="2">
      <t>シナガワ</t>
    </rPh>
    <phoneticPr fontId="13"/>
  </si>
  <si>
    <t>つくば 371 ゆ 10</t>
    <phoneticPr fontId="13"/>
  </si>
  <si>
    <t>伊藤 拓夫</t>
    <rPh sb="0" eb="2">
      <t>イトウ</t>
    </rPh>
    <rPh sb="3" eb="5">
      <t>タクオ</t>
    </rPh>
    <phoneticPr fontId="13"/>
  </si>
  <si>
    <t>堺 334 の 221</t>
    <rPh sb="0" eb="1">
      <t>サカイ</t>
    </rPh>
    <phoneticPr fontId="13"/>
  </si>
  <si>
    <t>土浦 532 ゆ 307</t>
    <rPh sb="0" eb="2">
      <t>ツチウラ</t>
    </rPh>
    <phoneticPr fontId="13"/>
  </si>
  <si>
    <t>額賀 雄純</t>
    <rPh sb="0" eb="1">
      <t>ガク</t>
    </rPh>
    <rPh sb="3" eb="4">
      <t>オ</t>
    </rPh>
    <rPh sb="4" eb="5">
      <t>ジュン</t>
    </rPh>
    <phoneticPr fontId="13"/>
  </si>
  <si>
    <t>所沢 300 ゆ 3103</t>
    <rPh sb="0" eb="2">
      <t>トコロザワ</t>
    </rPh>
    <phoneticPr fontId="13"/>
  </si>
  <si>
    <t>品田 信朗</t>
    <rPh sb="0" eb="2">
      <t>シナダ</t>
    </rPh>
    <rPh sb="3" eb="4">
      <t>ノブ</t>
    </rPh>
    <rPh sb="4" eb="5">
      <t>ロウ</t>
    </rPh>
    <phoneticPr fontId="13"/>
  </si>
  <si>
    <t>所沢 330 さ 4840</t>
    <rPh sb="0" eb="2">
      <t>トコロザワ</t>
    </rPh>
    <phoneticPr fontId="13"/>
  </si>
  <si>
    <t>江村 幸博</t>
    <rPh sb="0" eb="2">
      <t>エムラ</t>
    </rPh>
    <rPh sb="3" eb="4">
      <t>ユキ</t>
    </rPh>
    <rPh sb="4" eb="5">
      <t>ヒロシ</t>
    </rPh>
    <phoneticPr fontId="13"/>
  </si>
  <si>
    <t>和泉 301 む 5539</t>
    <rPh sb="0" eb="2">
      <t>イズミ</t>
    </rPh>
    <phoneticPr fontId="13"/>
  </si>
  <si>
    <t>株式会社E&amp;K</t>
    <rPh sb="0" eb="4">
      <t>カブシキガイシャ</t>
    </rPh>
    <phoneticPr fontId="13"/>
  </si>
  <si>
    <t>松本 580 わ 2499</t>
    <rPh sb="0" eb="2">
      <t>マツモト</t>
    </rPh>
    <phoneticPr fontId="13"/>
  </si>
  <si>
    <t>世田谷 581 ろ 3650</t>
    <rPh sb="0" eb="3">
      <t>セタガヤ</t>
    </rPh>
    <phoneticPr fontId="13"/>
  </si>
  <si>
    <t>世田谷 581 ろ 3658</t>
    <rPh sb="0" eb="3">
      <t>セタガヤ</t>
    </rPh>
    <phoneticPr fontId="13"/>
  </si>
  <si>
    <t>582 う 908</t>
    <phoneticPr fontId="13"/>
  </si>
  <si>
    <t>582 う 913</t>
    <phoneticPr fontId="13"/>
  </si>
  <si>
    <t>582 う 914</t>
    <phoneticPr fontId="13"/>
  </si>
  <si>
    <t>582 う 916</t>
    <phoneticPr fontId="13"/>
  </si>
  <si>
    <t>582 う 909</t>
    <phoneticPr fontId="13"/>
  </si>
  <si>
    <t>582 う 912</t>
    <phoneticPr fontId="13"/>
  </si>
  <si>
    <t>582 う 915</t>
    <phoneticPr fontId="13"/>
  </si>
  <si>
    <t>480 ね 3872</t>
    <phoneticPr fontId="13"/>
  </si>
  <si>
    <t>582 う 910</t>
    <phoneticPr fontId="13"/>
  </si>
  <si>
    <t>582 う 917</t>
    <phoneticPr fontId="13"/>
  </si>
  <si>
    <t>582 う 911</t>
    <phoneticPr fontId="13"/>
  </si>
  <si>
    <t>株式会社ｱｰﾊﾞﾝﾌﾞﾚｽ</t>
    <rPh sb="0" eb="4">
      <t>カブシキガイシャ</t>
    </rPh>
    <phoneticPr fontId="13"/>
  </si>
  <si>
    <t>映クラ株式会社</t>
    <rPh sb="0" eb="1">
      <t>エイ</t>
    </rPh>
    <rPh sb="3" eb="7">
      <t>カブシキガイシャ</t>
    </rPh>
    <phoneticPr fontId="13"/>
  </si>
  <si>
    <t>立花 賢一</t>
    <rPh sb="0" eb="2">
      <t>タチバナ</t>
    </rPh>
    <rPh sb="3" eb="5">
      <t>ケンイチ</t>
    </rPh>
    <phoneticPr fontId="13"/>
  </si>
  <si>
    <t>山田 芳久</t>
    <rPh sb="0" eb="2">
      <t>ヤマダ</t>
    </rPh>
    <rPh sb="3" eb="4">
      <t>ヨシ</t>
    </rPh>
    <rPh sb="4" eb="5">
      <t>ヒサ</t>
    </rPh>
    <phoneticPr fontId="13"/>
  </si>
  <si>
    <t>林 恭弘</t>
    <rPh sb="0" eb="1">
      <t>ハヤシ</t>
    </rPh>
    <rPh sb="2" eb="4">
      <t>ヤスヒロ</t>
    </rPh>
    <phoneticPr fontId="13"/>
  </si>
  <si>
    <t>大阪 583 ま 3100</t>
    <rPh sb="0" eb="2">
      <t>オオサカ</t>
    </rPh>
    <phoneticPr fontId="13"/>
  </si>
  <si>
    <t>佐藤 辰典</t>
    <rPh sb="0" eb="2">
      <t>サトウ</t>
    </rPh>
    <rPh sb="3" eb="4">
      <t>タツ</t>
    </rPh>
    <rPh sb="4" eb="5">
      <t>テン</t>
    </rPh>
    <phoneticPr fontId="13"/>
  </si>
  <si>
    <t>ｷｬﾝｾﾙ2/7返送</t>
    <rPh sb="8" eb="10">
      <t>ヘンソウ</t>
    </rPh>
    <phoneticPr fontId="13"/>
  </si>
  <si>
    <t>ﾎﾞﾙﾎﾞS60 D4</t>
    <phoneticPr fontId="13"/>
  </si>
  <si>
    <t>所沢 337 す 619</t>
    <rPh sb="0" eb="2">
      <t>トコロザワ</t>
    </rPh>
    <phoneticPr fontId="13"/>
  </si>
  <si>
    <t>中嶋 嵐</t>
    <rPh sb="0" eb="2">
      <t>ナカジマ</t>
    </rPh>
    <rPh sb="3" eb="4">
      <t>アラシ</t>
    </rPh>
    <phoneticPr fontId="13"/>
  </si>
  <si>
    <t>保証書 ｷｰﾚｽ ｶｰﾄﾞｷｰ(車内)</t>
    <rPh sb="0" eb="3">
      <t>ホショウショ</t>
    </rPh>
    <rPh sb="16" eb="18">
      <t>シャナイ</t>
    </rPh>
    <phoneticPr fontId="13"/>
  </si>
  <si>
    <t xml:space="preserve">ﾏｲｸﾛSD(車内)保証書 取説 ｷｰﾚｽ </t>
    <rPh sb="7" eb="9">
      <t>シャナイ</t>
    </rPh>
    <phoneticPr fontId="13"/>
  </si>
  <si>
    <t>地図SD(車内)保証書 取説 ﾅﾋﾞ取 ｷｰﾚｽ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</si>
  <si>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保証書 ｷｰﾚｽ 地図SD(車内)</t>
    <rPh sb="0" eb="3">
      <t>ホショウショ</t>
    </rPh>
    <rPh sb="9" eb="11">
      <t>チズ</t>
    </rPh>
    <phoneticPr fontId="13"/>
  </si>
  <si>
    <t>ﾏｲｸﾛ地図SD(車内)保証書 取説 ﾅﾋﾞ取 ｷｰﾚｽ ﾜﾝｵｰﾅｰ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</si>
  <si>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ｷｰﾚｽ(車内)整備手帳 取説</t>
    <rPh sb="8" eb="12">
      <t>セイビテチョウ</t>
    </rPh>
    <rPh sb="13" eb="15">
      <t>トリセツ</t>
    </rPh>
    <phoneticPr fontId="13"/>
  </si>
  <si>
    <t>2/4車内写メあり上がってきてない 保証書 ｷｰﾚｽ</t>
    <rPh sb="3" eb="5">
      <t>シャナイ</t>
    </rPh>
    <rPh sb="5" eb="6">
      <t>シャ</t>
    </rPh>
    <rPh sb="9" eb="10">
      <t>ア</t>
    </rPh>
    <rPh sb="18" eb="21">
      <t>ホショウショ</t>
    </rPh>
    <phoneticPr fontId="13"/>
  </si>
  <si>
    <t>27-2903</t>
  </si>
  <si>
    <t>27-2904</t>
  </si>
  <si>
    <t>27-2905</t>
  </si>
  <si>
    <t>1G6D85RK5M0146544</t>
    <phoneticPr fontId="13"/>
  </si>
  <si>
    <t>VW ｺﾞﾙﾌｳﾞｪﾘｱﾝﾄTSI</t>
    <phoneticPr fontId="13"/>
  </si>
  <si>
    <t>WVWZZZAUZHP788180</t>
    <phoneticPr fontId="13"/>
  </si>
  <si>
    <t>ﾗﾝﾄﾞｸﾙｰｻﾞｰ ﾌﾟﾗﾄﾞ TX</t>
    <phoneticPr fontId="13"/>
  </si>
  <si>
    <t>姫路 301 と 9754</t>
    <rPh sb="0" eb="2">
      <t>ヒメジ</t>
    </rPh>
    <phoneticPr fontId="13"/>
  </si>
  <si>
    <t>ｷｬﾃﾞﾗｯｸ CT5 ｽﾎﾟｰﾂ</t>
    <phoneticPr fontId="13"/>
  </si>
  <si>
    <t>奈良 392 ま 358</t>
    <rPh sb="0" eb="2">
      <t>ナラ</t>
    </rPh>
    <phoneticPr fontId="13"/>
  </si>
  <si>
    <t>27-2906</t>
  </si>
  <si>
    <t>27-2907</t>
  </si>
  <si>
    <t>27-2908</t>
  </si>
  <si>
    <t>27-2909</t>
  </si>
  <si>
    <t>27-2910</t>
  </si>
  <si>
    <t>ﾀﾝﾄｶｽﾀﾑ X ﾄｯﾌﾟｴﾃﾞｨｼｮﾝ</t>
    <phoneticPr fontId="13"/>
  </si>
  <si>
    <t>LA600S-0761828</t>
    <phoneticPr fontId="13"/>
  </si>
  <si>
    <t>ﾌﾟﾘｳｽ S ﾂｰﾘﾝｸﾞｾﾚｸｼｮﾝ</t>
    <phoneticPr fontId="13"/>
  </si>
  <si>
    <t>ZVW30-5752250</t>
    <phoneticPr fontId="13"/>
  </si>
  <si>
    <t>豊橋 312 つ 1111</t>
    <rPh sb="0" eb="2">
      <t>トヨハシ</t>
    </rPh>
    <phoneticPr fontId="13"/>
  </si>
  <si>
    <t>ｼﾌﾄﾉﾌﾞ</t>
    <phoneticPr fontId="13"/>
  </si>
  <si>
    <t>WMWXM720902A73994</t>
    <phoneticPr fontId="13"/>
  </si>
  <si>
    <t>WMWXM520402D02490</t>
    <phoneticPr fontId="13"/>
  </si>
  <si>
    <t>BMWﾐﾆ ｼﾞｮﾝｸｰﾊﾟｰﾜｰｸｽｸﾗﾌﾞﾏﾝ</t>
    <phoneticPr fontId="13"/>
  </si>
  <si>
    <t>WMWJZ920302P00690</t>
    <phoneticPr fontId="13"/>
  </si>
  <si>
    <t>品川 39A め 3484</t>
    <rPh sb="0" eb="2">
      <t>シナガワ</t>
    </rPh>
    <phoneticPr fontId="13"/>
  </si>
  <si>
    <t>神戸 39A そ 9527</t>
    <rPh sb="0" eb="2">
      <t>コウベ</t>
    </rPh>
    <phoneticPr fontId="13"/>
  </si>
  <si>
    <t>TRJ150-0173439</t>
    <phoneticPr fontId="13"/>
  </si>
  <si>
    <t>なにわ 581 き 4978</t>
    <phoneticPr fontId="13"/>
  </si>
  <si>
    <t>株式会社芝田自動車</t>
    <rPh sb="0" eb="4">
      <t>カブシキガイシャ</t>
    </rPh>
    <rPh sb="4" eb="6">
      <t>シバタ</t>
    </rPh>
    <rPh sb="6" eb="9">
      <t>ジドウシャ</t>
    </rPh>
    <phoneticPr fontId="13"/>
  </si>
  <si>
    <t>豊田 583 く 923</t>
    <rPh sb="0" eb="2">
      <t>トヨタ</t>
    </rPh>
    <phoneticPr fontId="13"/>
  </si>
  <si>
    <t>池内 知沙</t>
    <rPh sb="0" eb="2">
      <t>イケウチ</t>
    </rPh>
    <rPh sb="3" eb="4">
      <t>チ</t>
    </rPh>
    <rPh sb="4" eb="5">
      <t>サ</t>
    </rPh>
    <phoneticPr fontId="13"/>
  </si>
  <si>
    <t>27-2911</t>
  </si>
  <si>
    <t>濱野様</t>
    <rPh sb="0" eb="2">
      <t>ハマノ</t>
    </rPh>
    <rPh sb="2" eb="3">
      <t>サマ</t>
    </rPh>
    <phoneticPr fontId="13"/>
  </si>
  <si>
    <t>ZFA3120000J611479</t>
    <phoneticPr fontId="13"/>
  </si>
  <si>
    <t>姫路 538 ま 5003</t>
    <rPh sb="0" eb="2">
      <t>ヒメジ</t>
    </rPh>
    <phoneticPr fontId="13"/>
  </si>
  <si>
    <t>27-2912</t>
  </si>
  <si>
    <t>神吉様</t>
    <rPh sb="0" eb="1">
      <t>カミ</t>
    </rPh>
    <rPh sb="1" eb="2">
      <t>キチ</t>
    </rPh>
    <rPh sb="2" eb="3">
      <t>サマ</t>
    </rPh>
    <phoneticPr fontId="13"/>
  </si>
  <si>
    <t>21/2</t>
    <phoneticPr fontId="13"/>
  </si>
  <si>
    <t>MPV</t>
    <phoneticPr fontId="13"/>
  </si>
  <si>
    <t>LY3P-213301</t>
    <phoneticPr fontId="13"/>
  </si>
  <si>
    <t>姫路 300 ほ 8732</t>
    <rPh sb="0" eb="2">
      <t>ヒメジ</t>
    </rPh>
    <phoneticPr fontId="13"/>
  </si>
  <si>
    <t>神吉 知弘</t>
    <rPh sb="0" eb="1">
      <t>カミ</t>
    </rPh>
    <rPh sb="1" eb="2">
      <t>キチ</t>
    </rPh>
    <rPh sb="3" eb="5">
      <t>チヒロ</t>
    </rPh>
    <phoneticPr fontId="13"/>
  </si>
  <si>
    <t>保証書 取説 ﾅﾋﾞ取</t>
    <rPh sb="0" eb="3">
      <t>ホショウショ</t>
    </rPh>
    <rPh sb="4" eb="6">
      <t>トリセツ</t>
    </rPh>
    <phoneticPr fontId="13"/>
  </si>
  <si>
    <t>諏訪 583 あ 1963</t>
    <phoneticPr fontId="13"/>
  </si>
  <si>
    <t>小尾 しのぶ</t>
    <rPh sb="0" eb="1">
      <t>ショウ</t>
    </rPh>
    <rPh sb="1" eb="2">
      <t>オ</t>
    </rPh>
    <phoneticPr fontId="13"/>
  </si>
  <si>
    <t>O-RUSHｲﾝﾀｰﾝﾅｼｮﾅﾙ株式会社</t>
    <rPh sb="16" eb="20">
      <t>カブシキガイシャ</t>
    </rPh>
    <phoneticPr fontId="13"/>
  </si>
  <si>
    <t>長崎 332 は 922</t>
    <rPh sb="0" eb="2">
      <t>ナガサキ</t>
    </rPh>
    <phoneticPr fontId="13"/>
  </si>
  <si>
    <t>ﾘﾓｺﾝ(車内)保証書 取説 ｷｰﾚｽ</t>
    <rPh sb="8" eb="11">
      <t>ホショウショ</t>
    </rPh>
    <rPh sb="12" eb="14">
      <t>トリセツ</t>
    </rPh>
    <phoneticPr fontId="13"/>
  </si>
  <si>
    <t>山口 397 ま 1</t>
    <rPh sb="0" eb="2">
      <t>ヤマグチ</t>
    </rPh>
    <phoneticPr fontId="13"/>
  </si>
  <si>
    <t>27-2913</t>
  </si>
  <si>
    <t>27-2914</t>
  </si>
  <si>
    <t>27-2915</t>
  </si>
  <si>
    <t>27-2916</t>
  </si>
  <si>
    <t>27-2917</t>
  </si>
  <si>
    <t>27-2918</t>
  </si>
  <si>
    <t>27-2919</t>
  </si>
  <si>
    <t>27-2920</t>
  </si>
  <si>
    <t>27-2921</t>
  </si>
  <si>
    <t>27-2922</t>
  </si>
  <si>
    <t>27-2923</t>
  </si>
  <si>
    <t>27-2924</t>
  </si>
  <si>
    <t>27-2925</t>
  </si>
  <si>
    <t>27-2926</t>
  </si>
  <si>
    <t>27-2927</t>
  </si>
  <si>
    <t>27-2928</t>
  </si>
  <si>
    <t>MR41S-200680</t>
    <phoneticPr fontId="13"/>
  </si>
  <si>
    <t>LA150S-2012075</t>
    <phoneticPr fontId="13"/>
  </si>
  <si>
    <t>MR92S-124894</t>
    <phoneticPr fontId="13"/>
  </si>
  <si>
    <t>HE33S-254461</t>
    <phoneticPr fontId="13"/>
  </si>
  <si>
    <t>LA600S-0772329</t>
    <phoneticPr fontId="13"/>
  </si>
  <si>
    <t>B21A-0515148</t>
    <phoneticPr fontId="13"/>
  </si>
  <si>
    <t>JB23W-741659</t>
    <phoneticPr fontId="13"/>
  </si>
  <si>
    <t>LA250S-0003141</t>
    <phoneticPr fontId="13"/>
  </si>
  <si>
    <t>LA150S-2125181</t>
    <phoneticPr fontId="13"/>
  </si>
  <si>
    <t>LA150S-2125227</t>
    <phoneticPr fontId="13"/>
  </si>
  <si>
    <t>LA150S-2125280</t>
    <phoneticPr fontId="13"/>
  </si>
  <si>
    <t>MK53S-953842</t>
    <phoneticPr fontId="13"/>
  </si>
  <si>
    <t>MR92S-151487</t>
    <phoneticPr fontId="13"/>
  </si>
  <si>
    <t>HA36S-934396</t>
    <phoneticPr fontId="13"/>
  </si>
  <si>
    <t>ﾜｺﾞﾝR　ｽﾏｲﾙ</t>
    <phoneticPr fontId="13"/>
  </si>
  <si>
    <t>MX91S-129679</t>
    <phoneticPr fontId="13"/>
  </si>
  <si>
    <t>JF3-2400699</t>
    <phoneticPr fontId="13"/>
  </si>
  <si>
    <t>JF1-2525845</t>
    <phoneticPr fontId="13"/>
  </si>
  <si>
    <t>ﾀﾝﾄ</t>
    <phoneticPr fontId="13"/>
  </si>
  <si>
    <t>LA600S-0671712</t>
    <phoneticPr fontId="13"/>
  </si>
  <si>
    <t>27-2929</t>
  </si>
  <si>
    <t>27-2930</t>
  </si>
  <si>
    <t>27-2931</t>
  </si>
  <si>
    <t>27-2932</t>
  </si>
  <si>
    <t>27-2933</t>
  </si>
  <si>
    <t>27-2934</t>
  </si>
  <si>
    <t>27-2935</t>
  </si>
  <si>
    <t>27-2936</t>
  </si>
  <si>
    <t>27-2937</t>
  </si>
  <si>
    <t>27-2938</t>
  </si>
  <si>
    <t>27-2939</t>
  </si>
  <si>
    <t>27-2940</t>
  </si>
  <si>
    <t>27-2941</t>
  </si>
  <si>
    <t>27-2942</t>
  </si>
  <si>
    <t>27-2943</t>
  </si>
  <si>
    <t>27-2944</t>
  </si>
  <si>
    <t>27-2945</t>
  </si>
  <si>
    <t>27-2946</t>
  </si>
  <si>
    <t>27-2947</t>
  </si>
  <si>
    <t>27-2948</t>
  </si>
  <si>
    <t>27-2949</t>
  </si>
  <si>
    <t>27-2950</t>
  </si>
  <si>
    <t>27-2951</t>
  </si>
  <si>
    <t>27-2952</t>
  </si>
  <si>
    <t>27-2953</t>
  </si>
  <si>
    <t>27-2954</t>
  </si>
  <si>
    <t>27-2955</t>
  </si>
  <si>
    <t>27-2956</t>
  </si>
  <si>
    <t>27-2957</t>
  </si>
  <si>
    <t>27-2958</t>
  </si>
  <si>
    <t>27-2959</t>
  </si>
  <si>
    <t>27-2960</t>
  </si>
  <si>
    <t>27-2961</t>
  </si>
  <si>
    <t>27-2962</t>
  </si>
  <si>
    <t>27-2963</t>
  </si>
  <si>
    <t>27-2964</t>
  </si>
  <si>
    <t>27-2965</t>
  </si>
  <si>
    <t>27-2966</t>
  </si>
  <si>
    <t>27-2967</t>
  </si>
  <si>
    <t>27-2968</t>
  </si>
  <si>
    <t>27-2969</t>
  </si>
  <si>
    <t>27-2970</t>
  </si>
  <si>
    <t>ｼﾞｬｶﾞｰXF　300ｽﾎﾟｰﾂ</t>
    <phoneticPr fontId="13"/>
  </si>
  <si>
    <t>KH3P-101508</t>
    <phoneticPr fontId="13"/>
  </si>
  <si>
    <t>ｳﾞｪｾﾞﾙ　ﾊｲﾌﾞﾘｯﾄﾞ</t>
    <phoneticPr fontId="13"/>
  </si>
  <si>
    <t>RV5-1002003</t>
    <phoneticPr fontId="13"/>
  </si>
  <si>
    <t>JF3-1259706</t>
    <phoneticPr fontId="13"/>
  </si>
  <si>
    <t>LA600S-0626633</t>
    <phoneticPr fontId="13"/>
  </si>
  <si>
    <t>JH4-1001173</t>
    <phoneticPr fontId="13"/>
  </si>
  <si>
    <t>MK53S-625472</t>
    <phoneticPr fontId="13"/>
  </si>
  <si>
    <t>B44W-0404992</t>
    <phoneticPr fontId="13"/>
  </si>
  <si>
    <t>B44W-0404677</t>
    <phoneticPr fontId="13"/>
  </si>
  <si>
    <t>B44A-0504414</t>
    <phoneticPr fontId="13"/>
  </si>
  <si>
    <t>B44W-0404639</t>
    <phoneticPr fontId="13"/>
  </si>
  <si>
    <t>B44W-0404570</t>
    <phoneticPr fontId="13"/>
  </si>
  <si>
    <t>B44A-0504494</t>
    <phoneticPr fontId="13"/>
  </si>
  <si>
    <t>JG1-1209080</t>
    <phoneticPr fontId="13"/>
  </si>
  <si>
    <t>B44W-0403939</t>
    <phoneticPr fontId="13"/>
  </si>
  <si>
    <t>B44A-0504268</t>
    <phoneticPr fontId="13"/>
  </si>
  <si>
    <t>B44A-0504490</t>
    <phoneticPr fontId="13"/>
  </si>
  <si>
    <t>S510P-0586706</t>
    <phoneticPr fontId="13"/>
  </si>
  <si>
    <t>B6AW-0038147</t>
    <phoneticPr fontId="13"/>
  </si>
  <si>
    <t>S700M-0005175</t>
    <phoneticPr fontId="13"/>
  </si>
  <si>
    <t>HA97S-114077</t>
    <phoneticPr fontId="13"/>
  </si>
  <si>
    <t>ﾌﾟﾘｳｽｱﾙﾌｧ　S</t>
    <phoneticPr fontId="13"/>
  </si>
  <si>
    <t>ZVW40-3107765</t>
    <phoneticPr fontId="13"/>
  </si>
  <si>
    <t>ZVW40-3375714</t>
    <phoneticPr fontId="13"/>
  </si>
  <si>
    <t>ｸﾗｲｽﾗｰｼﾞｰﾌﾟ　ﾗﾝｸﾞﾗｰUL4W　ｻﾊﾗ</t>
    <phoneticPr fontId="13"/>
  </si>
  <si>
    <t>ﾙﾉｰﾄｩｲﾝｺﾞ　ｲﾝﾃﾝｽ</t>
    <phoneticPr fontId="13"/>
  </si>
  <si>
    <t>BMWﾐﾆ　ｸｰﾊﾟｰDXｵｰﾊﾞｰｵｰﾙ4</t>
    <phoneticPr fontId="13"/>
  </si>
  <si>
    <t>BMWﾐﾆ　ｸｰﾊﾟｰSｺﾝﾊﾞｰﾁﾌﾞﾙ</t>
    <phoneticPr fontId="13"/>
  </si>
  <si>
    <t>MH34S-509954</t>
    <phoneticPr fontId="13"/>
  </si>
  <si>
    <t>MXWH65-4005204</t>
    <phoneticPr fontId="13"/>
  </si>
  <si>
    <t>WMW22DV0X02U66376</t>
    <phoneticPr fontId="13"/>
  </si>
  <si>
    <t>HE33S-139112</t>
    <phoneticPr fontId="13"/>
  </si>
  <si>
    <t>N BOX　G　Lﾊﾟｯｹｰｼﾞ</t>
    <phoneticPr fontId="13"/>
  </si>
  <si>
    <t>JF1-1638869</t>
    <phoneticPr fontId="13"/>
  </si>
  <si>
    <t>S660　a</t>
    <phoneticPr fontId="13"/>
  </si>
  <si>
    <t>JW5-1006751</t>
    <phoneticPr fontId="13"/>
  </si>
  <si>
    <t>ﾃﾞｲｽﾞﾙｰｸｽ　ﾗｲﾀﾞｰ　ﾊｲｳｪｲｽﾀｰ</t>
    <phoneticPr fontId="13"/>
  </si>
  <si>
    <t>B21A-0334132</t>
    <phoneticPr fontId="13"/>
  </si>
  <si>
    <t>BP5P-200474</t>
    <phoneticPr fontId="13"/>
  </si>
  <si>
    <t>ｼﾞﾑﾆｰｼｴﾗ　JC</t>
    <phoneticPr fontId="13"/>
  </si>
  <si>
    <t>JB74W-156493</t>
    <phoneticPr fontId="13"/>
  </si>
  <si>
    <t>ﾃﾞﾘｶﾐﾆ　Tﾌﾟﾚﾐｱﾑ</t>
    <phoneticPr fontId="13"/>
  </si>
  <si>
    <t>B38A-0506357</t>
    <phoneticPr fontId="13"/>
  </si>
  <si>
    <t>ﾑｰｳﾞｶｽﾀﾑ　RSﾊｲﾊﾟｰ</t>
    <phoneticPr fontId="13"/>
  </si>
  <si>
    <t>LA150S-2044416</t>
    <phoneticPr fontId="13"/>
  </si>
  <si>
    <t>27-2971</t>
  </si>
  <si>
    <t>27-2972</t>
  </si>
  <si>
    <t>27-2973</t>
  </si>
  <si>
    <t>27-2974</t>
  </si>
  <si>
    <t>27-2975</t>
  </si>
  <si>
    <t>27-2976</t>
  </si>
  <si>
    <t>ｷｬｽﾄ　ｽﾀｲﾙGﾘﾐﾃｯﾄﾞ</t>
    <phoneticPr fontId="13"/>
  </si>
  <si>
    <t>LA250S-0154132</t>
    <phoneticPr fontId="13"/>
  </si>
  <si>
    <t>ﾀｳﾝﾎﾞｯｸｽ　Gｽﾍﾟｼｬﾙ</t>
    <phoneticPr fontId="13"/>
  </si>
  <si>
    <t>DS17W-250211</t>
    <phoneticPr fontId="13"/>
  </si>
  <si>
    <t>ｼｴﾝﾀ　G　車椅子仕様車</t>
    <rPh sb="7" eb="10">
      <t>クルマイス</t>
    </rPh>
    <rPh sb="10" eb="13">
      <t>シヨウシャ</t>
    </rPh>
    <phoneticPr fontId="13"/>
  </si>
  <si>
    <t>NSP172-7003798</t>
    <phoneticPr fontId="13"/>
  </si>
  <si>
    <t>DS17W-280256</t>
    <phoneticPr fontId="13"/>
  </si>
  <si>
    <t>BMWX3　Xﾄﾞﾗｲﾌﾞ　20ｄ　Ｘﾗｲﾝ</t>
    <phoneticPr fontId="13"/>
  </si>
  <si>
    <t>WBATX32050LR76097</t>
    <phoneticPr fontId="13"/>
  </si>
  <si>
    <t>ﾀﾝﾄｶｽﾀﾑ　Xｽﾍﾟｼｬﾙ</t>
    <phoneticPr fontId="13"/>
  </si>
  <si>
    <t>L375S-0662028</t>
    <phoneticPr fontId="13"/>
  </si>
  <si>
    <t>27-2977</t>
  </si>
  <si>
    <t>27-2978</t>
  </si>
  <si>
    <t>27-2979</t>
  </si>
  <si>
    <t>27-2980</t>
  </si>
  <si>
    <t>27-2981</t>
  </si>
  <si>
    <t>27-2982</t>
  </si>
  <si>
    <t>27-2983</t>
  </si>
  <si>
    <t>A326779</t>
    <phoneticPr fontId="13"/>
  </si>
  <si>
    <t>JF3-2342592</t>
    <phoneticPr fontId="13"/>
  </si>
  <si>
    <t>A327190</t>
    <phoneticPr fontId="13"/>
  </si>
  <si>
    <t>MH34S-199358</t>
    <phoneticPr fontId="13"/>
  </si>
  <si>
    <t>A326401</t>
    <phoneticPr fontId="13"/>
  </si>
  <si>
    <t>HE33S-171904</t>
    <phoneticPr fontId="13"/>
  </si>
  <si>
    <t>A324948</t>
    <phoneticPr fontId="13"/>
  </si>
  <si>
    <t>AGH30-0446806</t>
    <phoneticPr fontId="13"/>
  </si>
  <si>
    <t>A322647</t>
    <phoneticPr fontId="13"/>
  </si>
  <si>
    <t>JB64W-290948</t>
    <phoneticPr fontId="13"/>
  </si>
  <si>
    <t>A319602</t>
    <phoneticPr fontId="13"/>
  </si>
  <si>
    <t>HE33S-189230</t>
    <phoneticPr fontId="13"/>
  </si>
  <si>
    <t>A323135</t>
    <phoneticPr fontId="13"/>
  </si>
  <si>
    <t>JC1-1262822</t>
    <phoneticPr fontId="13"/>
  </si>
  <si>
    <t>27-2984</t>
  </si>
  <si>
    <t>LA350S-0328845</t>
    <phoneticPr fontId="13"/>
  </si>
  <si>
    <t>27-2985</t>
  </si>
  <si>
    <t>A326568</t>
    <phoneticPr fontId="13"/>
  </si>
  <si>
    <t>27-2986</t>
  </si>
  <si>
    <t>27-2987</t>
  </si>
  <si>
    <t>27-2988</t>
  </si>
  <si>
    <t>27-2989</t>
  </si>
  <si>
    <t>27-2990</t>
  </si>
  <si>
    <t>27-2991</t>
  </si>
  <si>
    <t>AGH30-0457847</t>
    <phoneticPr fontId="13"/>
  </si>
  <si>
    <t>ﾑｰｳﾞ　XﾘﾐﾃｯﾄﾞSaⅢ</t>
    <phoneticPr fontId="13"/>
  </si>
  <si>
    <t>Lｸﾞﾘｰﾝ</t>
    <phoneticPr fontId="13"/>
  </si>
  <si>
    <t>名古屋　58A　ま　9563</t>
    <rPh sb="0" eb="3">
      <t>ナゴヤ</t>
    </rPh>
    <phoneticPr fontId="13"/>
  </si>
  <si>
    <t>保証書　取説　ﾅﾋﾞ取　ｽﾍﾟｱｷｰ</t>
    <rPh sb="0" eb="3">
      <t>ホショウショ</t>
    </rPh>
    <rPh sb="4" eb="6">
      <t>トリセツ</t>
    </rPh>
    <rPh sb="10" eb="11">
      <t>トリ</t>
    </rPh>
    <phoneticPr fontId="13"/>
  </si>
  <si>
    <t>ﾀﾝﾄｶｽﾀﾑ　RS　ﾄｯﾌﾟｴﾃﾞｨｼｮﾝVS　SaⅢ</t>
    <phoneticPr fontId="13"/>
  </si>
  <si>
    <t xml:space="preserve">ﾃﾞｲｽﾞﾙｰｸｽ XVｾﾚｸｼｮﾝ </t>
    <phoneticPr fontId="13"/>
  </si>
  <si>
    <t>ｼﾞﾑﾆｰ　ﾗﾝﾄﾞﾍﾞﾝﾁｬｰ</t>
    <phoneticPr fontId="13"/>
  </si>
  <si>
    <t>富士山　583　や　25</t>
    <rPh sb="0" eb="3">
      <t>フジヤマ</t>
    </rPh>
    <phoneticPr fontId="13"/>
  </si>
  <si>
    <t>ｷｬｽﾄ　ｽﾀｲﾙ　G　SaⅡ</t>
    <phoneticPr fontId="13"/>
  </si>
  <si>
    <t>名古屋　58A　ま　5324</t>
    <rPh sb="0" eb="3">
      <t>ナゴヤ</t>
    </rPh>
    <phoneticPr fontId="13"/>
  </si>
  <si>
    <t>ﾑｰｳﾞ　X　ﾘﾐﾃｯﾄﾞⅡ</t>
    <phoneticPr fontId="13"/>
  </si>
  <si>
    <t>保証書　取説　ﾅﾋﾞ取　ﾅﾋﾞSD　ｽﾍﾟｱｽﾏｰﾄｷｰ　　ﾚﾝﾀｶｰ</t>
    <rPh sb="0" eb="3">
      <t>ホショウショ</t>
    </rPh>
    <rPh sb="4" eb="6">
      <t>トリセツ</t>
    </rPh>
    <rPh sb="10" eb="11">
      <t>トリ</t>
    </rPh>
    <phoneticPr fontId="13"/>
  </si>
  <si>
    <t>8/11/11</t>
    <phoneticPr fontId="13"/>
  </si>
  <si>
    <t>三重　582　い　7461</t>
    <rPh sb="0" eb="2">
      <t>ミエ</t>
    </rPh>
    <phoneticPr fontId="13"/>
  </si>
  <si>
    <t>岐阜　786　な　1</t>
    <rPh sb="0" eb="2">
      <t>ギフ</t>
    </rPh>
    <phoneticPr fontId="13"/>
  </si>
  <si>
    <t>名古屋　58A　ま　8822</t>
    <rPh sb="0" eb="3">
      <t>ナゴヤ</t>
    </rPh>
    <phoneticPr fontId="13"/>
  </si>
  <si>
    <t>N　BOXｶｽﾀﾑ　Gﾀｰﾎﾞ</t>
    <phoneticPr fontId="13"/>
  </si>
  <si>
    <t>松本　584　ほ　87</t>
    <rPh sb="0" eb="2">
      <t>マツモト</t>
    </rPh>
    <phoneticPr fontId="13"/>
  </si>
  <si>
    <t>9/1/26</t>
    <phoneticPr fontId="13"/>
  </si>
  <si>
    <t>SAJAB4AX3KCP45488</t>
    <phoneticPr fontId="13"/>
  </si>
  <si>
    <t>横浜　304　ゆ　3964</t>
    <rPh sb="0" eb="2">
      <t>ヨコハマ</t>
    </rPh>
    <phoneticPr fontId="13"/>
  </si>
  <si>
    <t>保証書　取説　記録簿　ﾜﾝｵｰﾅｰ</t>
    <rPh sb="0" eb="3">
      <t>ホショウショ</t>
    </rPh>
    <rPh sb="4" eb="6">
      <t>トリセツ</t>
    </rPh>
    <rPh sb="7" eb="10">
      <t>キロクボ</t>
    </rPh>
    <phoneticPr fontId="13"/>
  </si>
  <si>
    <t>CX-60　XD　Lﾊﾟｯｹｰｼﾞ</t>
    <phoneticPr fontId="13"/>
  </si>
  <si>
    <t>N BOX　G　Lﾎﾝﾀﾞｾﾝｼﾝｸﾞ</t>
    <phoneticPr fontId="13"/>
  </si>
  <si>
    <t>保証書　SD　ｽﾍﾟｱｷｰ</t>
    <rPh sb="0" eb="3">
      <t>ホショウショ</t>
    </rPh>
    <phoneticPr fontId="13"/>
  </si>
  <si>
    <t>ﾀﾝﾄ　L　SaⅢ</t>
    <phoneticPr fontId="13"/>
  </si>
  <si>
    <t>9/1/29</t>
    <phoneticPr fontId="13"/>
  </si>
  <si>
    <t>Nﾜｺﾞﾝ　Lﾎﾝﾀﾞｾﾝｼﾝｸﾞ</t>
    <phoneticPr fontId="13"/>
  </si>
  <si>
    <t>京都　582　な　3769</t>
    <rPh sb="0" eb="2">
      <t>キョウト</t>
    </rPh>
    <phoneticPr fontId="13"/>
  </si>
  <si>
    <t>堺　580　と　2779</t>
    <rPh sb="0" eb="1">
      <t>サカイ</t>
    </rPh>
    <phoneticPr fontId="13"/>
  </si>
  <si>
    <t>神戸　582　す　915</t>
    <rPh sb="0" eb="2">
      <t>コウベ</t>
    </rPh>
    <phoneticPr fontId="13"/>
  </si>
  <si>
    <t>ﾃﾞｲｽﾞﾊｲｳｪｲｽﾀｰ　ﾊｲｳｪｲｽﾀｰX</t>
    <phoneticPr fontId="13"/>
  </si>
  <si>
    <t>保証書　取説　ﾚﾝﾀｶｰ</t>
    <rPh sb="0" eb="3">
      <t>ホショウショ</t>
    </rPh>
    <rPh sb="4" eb="6">
      <t>トリセツ</t>
    </rPh>
    <phoneticPr fontId="13"/>
  </si>
  <si>
    <t>ﾙｰｸｽﾊｲｳｪｲｽﾀｰ　ﾊｲｳｪｲｽﾀｰX</t>
    <phoneticPr fontId="13"/>
  </si>
  <si>
    <t>保証書　ﾚﾝﾀｶｰ</t>
    <rPh sb="0" eb="3">
      <t>ホショウショ</t>
    </rPh>
    <phoneticPr fontId="13"/>
  </si>
  <si>
    <t>保証書　取説？　ﾚﾝﾀｶｰ</t>
    <rPh sb="0" eb="3">
      <t>ホショウショ</t>
    </rPh>
    <rPh sb="4" eb="6">
      <t>トリセツ</t>
    </rPh>
    <phoneticPr fontId="13"/>
  </si>
  <si>
    <t>N　ONE　G　Lﾊﾟｯｹｰｼﾞ</t>
    <phoneticPr fontId="13"/>
  </si>
  <si>
    <t>大阪　582　な　8622</t>
    <rPh sb="0" eb="2">
      <t>オオサカ</t>
    </rPh>
    <phoneticPr fontId="13"/>
  </si>
  <si>
    <t>N BOXｶｽﾀﾑ　Lﾀｰﾎﾞ</t>
    <phoneticPr fontId="13"/>
  </si>
  <si>
    <t>9/12/11</t>
    <phoneticPr fontId="13"/>
  </si>
  <si>
    <t>ｼﾞﾑﾆｰ　XC</t>
    <phoneticPr fontId="13"/>
  </si>
  <si>
    <t>9/9/8</t>
    <phoneticPr fontId="13"/>
  </si>
  <si>
    <t>ﾗｲﾌ　G</t>
    <phoneticPr fontId="13"/>
  </si>
  <si>
    <t>ｻｸﾗ　X</t>
    <phoneticPr fontId="13"/>
  </si>
  <si>
    <t>ﾋﾟｸｼｽﾊﾞﾝ　ﾃﾞﾗｯｸｽ</t>
    <phoneticPr fontId="13"/>
  </si>
  <si>
    <t>保証書　取説　ﾅﾋﾞ取　ｽﾍﾟｱｷｰ　ﾅﾋﾞSD　B-CAS</t>
    <rPh sb="0" eb="3">
      <t>ホショウショ</t>
    </rPh>
    <rPh sb="4" eb="6">
      <t>トリセツ</t>
    </rPh>
    <rPh sb="10" eb="11">
      <t>トリ</t>
    </rPh>
    <phoneticPr fontId="13"/>
  </si>
  <si>
    <t>ｼﾞｬｶﾞｰEﾍﾟｲｽ　R　ﾀﾞｲﾅﾐｯｸS</t>
    <phoneticPr fontId="13"/>
  </si>
  <si>
    <t>SADFA2AX5J1Z07695</t>
    <phoneticPr fontId="13"/>
  </si>
  <si>
    <t>大阪　332　ひ　2108</t>
    <rPh sb="0" eb="2">
      <t>オオサカ</t>
    </rPh>
    <phoneticPr fontId="13"/>
  </si>
  <si>
    <t>1C4HJXLG4KW576241</t>
    <phoneticPr fontId="13"/>
  </si>
  <si>
    <t>VF1AH0001M0823330</t>
    <phoneticPr fontId="13"/>
  </si>
  <si>
    <t>豊橋　534　た　3588</t>
    <rPh sb="0" eb="2">
      <t>トヨハシ</t>
    </rPh>
    <phoneticPr fontId="13"/>
  </si>
  <si>
    <t>WMWYU120903E05394</t>
    <phoneticPr fontId="13"/>
  </si>
  <si>
    <t>WMWWG720003A79406</t>
    <phoneticPr fontId="13"/>
  </si>
  <si>
    <t>9/5/16</t>
    <phoneticPr fontId="13"/>
  </si>
  <si>
    <t>名古屋　307　つ　3455</t>
    <rPh sb="0" eb="3">
      <t>ナゴヤ</t>
    </rPh>
    <phoneticPr fontId="13"/>
  </si>
  <si>
    <t>27/11</t>
    <phoneticPr fontId="13"/>
  </si>
  <si>
    <t>ﾌﾞﾗｳﾝ</t>
    <phoneticPr fontId="13"/>
  </si>
  <si>
    <t>8/11/26</t>
    <phoneticPr fontId="13"/>
  </si>
  <si>
    <t>名変期限2月末</t>
    <rPh sb="0" eb="4">
      <t>メイヘンキゲン</t>
    </rPh>
    <rPh sb="5" eb="6">
      <t>ガツ</t>
    </rPh>
    <rPh sb="6" eb="7">
      <t>マツ</t>
    </rPh>
    <phoneticPr fontId="13"/>
  </si>
  <si>
    <t>5/6</t>
    <phoneticPr fontId="13"/>
  </si>
  <si>
    <t>黒</t>
    <rPh sb="0" eb="1">
      <t>クロ</t>
    </rPh>
    <phoneticPr fontId="13"/>
  </si>
  <si>
    <t>5/9</t>
    <phoneticPr fontId="13"/>
  </si>
  <si>
    <t>白</t>
    <rPh sb="0" eb="1">
      <t>シロ</t>
    </rPh>
    <phoneticPr fontId="13"/>
  </si>
  <si>
    <t>8/9/26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</si>
  <si>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</si>
  <si>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28/5</t>
    <phoneticPr fontId="13"/>
  </si>
  <si>
    <t>ﾐﾝﾄ</t>
    <phoneticPr fontId="13"/>
  </si>
  <si>
    <t>27/9</t>
    <phoneticPr fontId="13"/>
  </si>
  <si>
    <t>8/10/24</t>
    <phoneticPr fontId="13"/>
  </si>
  <si>
    <t>保証書　取説　ｽﾏｰﾄｷｰ　ﾜﾝｵｰﾅｰ</t>
    <rPh sb="0" eb="3">
      <t>ホショウショ</t>
    </rPh>
    <rPh sb="4" eb="6">
      <t>トリセツ</t>
    </rPh>
    <phoneticPr fontId="13"/>
  </si>
  <si>
    <t>27/10</t>
    <phoneticPr fontId="13"/>
  </si>
  <si>
    <t>ｲｴﾛｰ</t>
    <phoneticPr fontId="13"/>
  </si>
  <si>
    <t>保証書　取説</t>
    <rPh sb="0" eb="3">
      <t>ホショウショ</t>
    </rPh>
    <rPh sb="4" eb="6">
      <t>トリセツ</t>
    </rPh>
    <phoneticPr fontId="13"/>
  </si>
  <si>
    <t>29/4</t>
    <phoneticPr fontId="13"/>
  </si>
  <si>
    <t>9/3/30</t>
    <phoneticPr fontId="13"/>
  </si>
  <si>
    <t>3/11</t>
    <phoneticPr fontId="13"/>
  </si>
  <si>
    <t>ｶﾞﾝﾒﾀ</t>
    <phoneticPr fontId="13"/>
  </si>
  <si>
    <t>MAZDA3　ﾌｧｽﾄﾊﾞｯｸ　15Sﾂｰﾘﾝｸﾞ</t>
    <phoneticPr fontId="13"/>
  </si>
  <si>
    <t>8/11/14</t>
    <phoneticPr fontId="13"/>
  </si>
  <si>
    <t>保証書　取説　ﾅﾋﾞSD</t>
    <rPh sb="0" eb="3">
      <t>ホショウショ</t>
    </rPh>
    <rPh sb="4" eb="6">
      <t>トリセツ</t>
    </rPh>
    <phoneticPr fontId="13"/>
  </si>
  <si>
    <t>4/3</t>
    <phoneticPr fontId="13"/>
  </si>
  <si>
    <t>5/10</t>
    <phoneticPr fontId="13"/>
  </si>
  <si>
    <t>8/10/15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</si>
  <si>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</si>
  <si>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2/4</t>
    <phoneticPr fontId="13"/>
  </si>
  <si>
    <t>31/2</t>
    <phoneticPr fontId="13"/>
  </si>
  <si>
    <t>ｸﾞﾘｰﾝ</t>
    <phoneticPr fontId="13"/>
  </si>
  <si>
    <t>9/10</t>
    <phoneticPr fontId="13"/>
  </si>
  <si>
    <t>保証書　取説　ｽﾍﾟｱｷｰ　ﾅﾝﾊﾞｰ</t>
    <rPh sb="0" eb="3">
      <t>ホショウショ</t>
    </rPh>
    <rPh sb="4" eb="6">
      <t>トリセツ</t>
    </rPh>
    <phoneticPr fontId="13"/>
  </si>
  <si>
    <t>2/12</t>
    <phoneticPr fontId="13"/>
  </si>
  <si>
    <t>29/3</t>
    <phoneticPr fontId="13"/>
  </si>
  <si>
    <t>ｼﾙﾊﾞｰ</t>
    <phoneticPr fontId="13"/>
  </si>
  <si>
    <t>9/3/17</t>
    <phoneticPr fontId="13"/>
  </si>
  <si>
    <t>2/3</t>
    <phoneticPr fontId="13"/>
  </si>
  <si>
    <t>9/3/29</t>
    <phoneticPr fontId="13"/>
  </si>
  <si>
    <t>BMWﾃﾞｨｰﾗｰ記録簿</t>
    <rPh sb="9" eb="12">
      <t>キロクボ</t>
    </rPh>
    <phoneticPr fontId="13"/>
  </si>
  <si>
    <t>25/5</t>
    <phoneticPr fontId="13"/>
  </si>
  <si>
    <t>ﾌﾞﾛﾝｽﾞ</t>
    <phoneticPr fontId="13"/>
  </si>
  <si>
    <t>HAA神戸</t>
    <rPh sb="3" eb="5">
      <t>コウベ</t>
    </rPh>
    <phoneticPr fontId="13"/>
  </si>
  <si>
    <t>27-2992</t>
  </si>
  <si>
    <t>27-2993</t>
  </si>
  <si>
    <t>27-2994</t>
  </si>
  <si>
    <t>27-2995</t>
  </si>
  <si>
    <t>27-2996</t>
  </si>
  <si>
    <t>27-2997</t>
  </si>
  <si>
    <t>27-2998</t>
  </si>
  <si>
    <t>27-2999</t>
  </si>
  <si>
    <t>27-3000</t>
  </si>
  <si>
    <t>27-3001</t>
  </si>
  <si>
    <t>ｾﾚﾅ　ﾊｲｳｪｲｽﾀｰ</t>
    <phoneticPr fontId="13"/>
  </si>
  <si>
    <t>GFC27-029950</t>
    <phoneticPr fontId="13"/>
  </si>
  <si>
    <t>ｴｽﾃｨﾏ　ｱｴﾗｽ</t>
    <phoneticPr fontId="13"/>
  </si>
  <si>
    <t>ACR55-0035235</t>
    <phoneticPr fontId="13"/>
  </si>
  <si>
    <t>ｱｸｱ　G　GS</t>
    <phoneticPr fontId="13"/>
  </si>
  <si>
    <t>NHP10-2586303</t>
    <phoneticPr fontId="13"/>
  </si>
  <si>
    <t>ｶﾛｰﾗﾌｨｰﾙﾀﾞｰ　HV　G　WXB</t>
    <phoneticPr fontId="13"/>
  </si>
  <si>
    <t>NKE165-8047384</t>
    <phoneticPr fontId="13"/>
  </si>
  <si>
    <t>ｼﾞﾑﾆｰ　XC</t>
    <phoneticPr fontId="13"/>
  </si>
  <si>
    <t>JB23W-402818</t>
    <phoneticPr fontId="13"/>
  </si>
  <si>
    <t>ｼﾞﾑﾆｰ　ﾗﾝﾄﾞﾍﾞﾝﾁｬｰ</t>
    <phoneticPr fontId="13"/>
  </si>
  <si>
    <t>JB23W-757393</t>
    <phoneticPr fontId="13"/>
  </si>
  <si>
    <t>JB23W-776542</t>
    <phoneticPr fontId="13"/>
  </si>
  <si>
    <t>JF1-2557434</t>
    <phoneticPr fontId="13"/>
  </si>
  <si>
    <t>BMWﾐﾆ　ｸｰﾊﾟｰSDｸﾗﾌﾞﾏﾝ</t>
    <phoneticPr fontId="13"/>
  </si>
  <si>
    <t>ﾌｨｱｯﾄ500　1.2POP</t>
    <phoneticPr fontId="13"/>
  </si>
  <si>
    <t>ﾙﾉｰﾄｩｲﾝｺﾞ　ｲﾝﾃﾝｽﾘﾐﾃｯﾄﾞ</t>
    <phoneticPr fontId="13"/>
  </si>
  <si>
    <t>BMW　M3</t>
    <phoneticPr fontId="13"/>
  </si>
  <si>
    <t>5/3</t>
    <phoneticPr fontId="13"/>
  </si>
  <si>
    <t>8/3/13</t>
    <phoneticPr fontId="13"/>
  </si>
  <si>
    <t>3/2</t>
    <phoneticPr fontId="13"/>
  </si>
  <si>
    <t>WMW32BS0903M35885</t>
    <phoneticPr fontId="13"/>
  </si>
  <si>
    <t>保証書　ｽﾏｰﾄｷｰX2（ﾘｽﾄに記載有り）</t>
    <rPh sb="0" eb="3">
      <t>ホショウショ</t>
    </rPh>
    <rPh sb="17" eb="20">
      <t>キサイアリ</t>
    </rPh>
    <phoneticPr fontId="13"/>
  </si>
  <si>
    <t>WMWXU920702P21132</t>
    <phoneticPr fontId="13"/>
  </si>
  <si>
    <t>保証書　取説　ﾅﾋﾞ取　ｽﾍﾟｱｷｰ　ﾜﾝｵｰﾅｰ</t>
    <rPh sb="0" eb="3">
      <t>ホショウショ</t>
    </rPh>
    <rPh sb="4" eb="6">
      <t>トリセツ</t>
    </rPh>
    <rPh sb="10" eb="11">
      <t>トリ</t>
    </rPh>
    <phoneticPr fontId="13"/>
  </si>
  <si>
    <t>26/1</t>
    <phoneticPr fontId="13"/>
  </si>
  <si>
    <t>9/1</t>
    <phoneticPr fontId="13"/>
  </si>
  <si>
    <t>広島　330　ち　779</t>
    <rPh sb="0" eb="2">
      <t>ヒロシマ</t>
    </rPh>
    <phoneticPr fontId="13"/>
  </si>
  <si>
    <t>保証書　ｽﾏｰﾄｷｰ</t>
    <rPh sb="0" eb="3">
      <t>ホショウショ</t>
    </rPh>
    <phoneticPr fontId="13"/>
  </si>
  <si>
    <t>28/11</t>
    <phoneticPr fontId="13"/>
  </si>
  <si>
    <t>9/11/3</t>
    <phoneticPr fontId="13"/>
  </si>
  <si>
    <t>福山　532　ろ　1110</t>
    <rPh sb="0" eb="2">
      <t>フクヤマ</t>
    </rPh>
    <phoneticPr fontId="13"/>
  </si>
  <si>
    <t>28/12</t>
    <phoneticPr fontId="13"/>
  </si>
  <si>
    <t>ﾊﾟｰﾌﾟﾙ</t>
    <phoneticPr fontId="13"/>
  </si>
  <si>
    <t>保証書</t>
    <rPh sb="0" eb="3">
      <t>ホショウショ</t>
    </rPh>
    <phoneticPr fontId="13"/>
  </si>
  <si>
    <t>16/12</t>
    <phoneticPr fontId="13"/>
  </si>
  <si>
    <t>28/8</t>
    <phoneticPr fontId="13"/>
  </si>
  <si>
    <t>30/2</t>
    <phoneticPr fontId="13"/>
  </si>
  <si>
    <t>ﾊﾟｰﾙ</t>
    <phoneticPr fontId="13"/>
  </si>
  <si>
    <t>9/2</t>
    <phoneticPr fontId="13"/>
  </si>
  <si>
    <t>姫路　594　つ　23</t>
    <rPh sb="0" eb="2">
      <t>ヒメジ</t>
    </rPh>
    <phoneticPr fontId="13"/>
  </si>
  <si>
    <t>29/6</t>
    <phoneticPr fontId="13"/>
  </si>
  <si>
    <t>8/6</t>
    <phoneticPr fontId="13"/>
  </si>
  <si>
    <t>奈良　584　ほ　401</t>
    <rPh sb="0" eb="2">
      <t>ナラ</t>
    </rPh>
    <phoneticPr fontId="13"/>
  </si>
  <si>
    <t>4/5</t>
    <phoneticPr fontId="13"/>
  </si>
  <si>
    <t>赤</t>
    <rPh sb="0" eb="1">
      <t>アカ</t>
    </rPh>
    <phoneticPr fontId="13"/>
  </si>
  <si>
    <t>WMW32BC0902S47551</t>
    <phoneticPr fontId="13"/>
  </si>
  <si>
    <t>9/5</t>
    <phoneticPr fontId="13"/>
  </si>
  <si>
    <t>姫路　330　ち　7444</t>
    <rPh sb="0" eb="2">
      <t>ヒメジ</t>
    </rPh>
    <phoneticPr fontId="13"/>
  </si>
  <si>
    <t>保証書　ｽﾍﾟｱｷｰ　　　名変期限3/15</t>
    <rPh sb="0" eb="3">
      <t>ホショウショ</t>
    </rPh>
    <rPh sb="13" eb="17">
      <t>メイヘンキゲン</t>
    </rPh>
    <phoneticPr fontId="13"/>
  </si>
  <si>
    <t>3/5</t>
    <phoneticPr fontId="13"/>
  </si>
  <si>
    <t>ZFA3120000JE76486</t>
    <phoneticPr fontId="13"/>
  </si>
  <si>
    <t>8/5/12</t>
    <phoneticPr fontId="13"/>
  </si>
  <si>
    <t>福山　534　す　37</t>
    <rPh sb="0" eb="2">
      <t>フクヤマ</t>
    </rPh>
    <phoneticPr fontId="13"/>
  </si>
  <si>
    <t>3/9</t>
    <phoneticPr fontId="13"/>
  </si>
  <si>
    <t>8/9</t>
    <phoneticPr fontId="13"/>
  </si>
  <si>
    <t>大谷　535　た　163</t>
    <rPh sb="0" eb="2">
      <t>オオタニ</t>
    </rPh>
    <phoneticPr fontId="13"/>
  </si>
  <si>
    <t>保証書　ﾜﾝｵｰﾅｰ</t>
    <rPh sb="0" eb="3">
      <t>ホショウショ</t>
    </rPh>
    <phoneticPr fontId="13"/>
  </si>
  <si>
    <t>1/9</t>
    <phoneticPr fontId="13"/>
  </si>
  <si>
    <t>Dﾌﾞﾙｰ</t>
    <phoneticPr fontId="13"/>
  </si>
  <si>
    <t>WMWLR520802H70321</t>
    <phoneticPr fontId="13"/>
  </si>
  <si>
    <t>大阪　338　て　807</t>
    <rPh sb="0" eb="2">
      <t>オオサカ</t>
    </rPh>
    <phoneticPr fontId="13"/>
  </si>
  <si>
    <t>WBS8M92040P972130</t>
    <phoneticPr fontId="13"/>
  </si>
  <si>
    <t>8/9/29</t>
    <phoneticPr fontId="13"/>
  </si>
  <si>
    <t>姫路　368　さ　7788</t>
    <rPh sb="0" eb="2">
      <t>ヒメジ</t>
    </rPh>
    <phoneticPr fontId="13"/>
  </si>
  <si>
    <t>30/11</t>
    <phoneticPr fontId="13"/>
  </si>
  <si>
    <t>WMWXT320802H68253</t>
    <phoneticPr fontId="13"/>
  </si>
  <si>
    <t>9/11</t>
    <phoneticPr fontId="13"/>
  </si>
  <si>
    <t>神戸　333　も　377</t>
    <rPh sb="0" eb="2">
      <t>コウベ</t>
    </rPh>
    <phoneticPr fontId="13"/>
  </si>
  <si>
    <t>保証書　ｽﾍﾟｱｷｰ</t>
    <rPh sb="0" eb="3">
      <t>ホショウショ</t>
    </rPh>
    <phoneticPr fontId="13"/>
  </si>
  <si>
    <t>ﾏｲｸﾛ地図SD 保証書 取説 ｷｰﾚｽ</t>
    <rPh sb="4" eb="6">
      <t>チズ</t>
    </rPh>
    <rPh sb="9" eb="12">
      <t>ホショウショ</t>
    </rPh>
    <rPh sb="13" eb="15">
      <t>トリセツ</t>
    </rPh>
    <phoneticPr fontId="13"/>
  </si>
  <si>
    <t>SD発送してくれる2/6 着OK</t>
    <rPh sb="2" eb="4">
      <t>ハッソウ</t>
    </rPh>
    <rPh sb="13" eb="14">
      <t>チャク</t>
    </rPh>
    <phoneticPr fontId="13"/>
  </si>
  <si>
    <t>名古屋 326 め 278</t>
    <rPh sb="0" eb="3">
      <t>ナゴヤ</t>
    </rPh>
    <phoneticPr fontId="13"/>
  </si>
  <si>
    <t>保証書 取説 ｷｰﾚｽ(車内)ｼﾌﾄﾉﾌﾞ</t>
    <rPh sb="0" eb="3">
      <t>ホショウショ</t>
    </rPh>
    <rPh sb="4" eb="6">
      <t>トリセツ</t>
    </rPh>
    <rPh sb="12" eb="14">
      <t>シャナイ</t>
    </rPh>
    <phoneticPr fontId="13"/>
  </si>
  <si>
    <t>WMW52DH0202R50440</t>
    <phoneticPr fontId="13"/>
  </si>
  <si>
    <t>姫路 399 な 5493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</si>
  <si>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</si>
  <si>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YV1FSA8RDH2424477</t>
    <phoneticPr fontId="13"/>
  </si>
  <si>
    <t>滋賀 301 ぬ 3555</t>
    <rPh sb="0" eb="2">
      <t>シガ</t>
    </rPh>
    <phoneticPr fontId="13"/>
  </si>
  <si>
    <t>整備手帳 取説(車内)ｷｰﾚｽ</t>
    <rPh sb="0" eb="4">
      <t>セイビテチョウ</t>
    </rPh>
    <rPh sb="5" eb="7">
      <t>トリセツ</t>
    </rPh>
    <phoneticPr fontId="13"/>
  </si>
  <si>
    <t>千葉 31C の 1000</t>
    <rPh sb="0" eb="2">
      <t>チバ</t>
    </rPh>
    <phoneticPr fontId="13"/>
  </si>
  <si>
    <t>三重 480 ふ 158</t>
    <rPh sb="0" eb="2">
      <t>ミエ</t>
    </rPh>
    <phoneticPr fontId="13"/>
  </si>
  <si>
    <t>株式会社ﾜｰﾙﾄﾞ</t>
    <rPh sb="0" eb="4">
      <t>カブシキガイシャ</t>
    </rPh>
    <phoneticPr fontId="13"/>
  </si>
  <si>
    <t>保証書 取説 ｽﾍﾟｱｷｰ SD ﾅﾋﾞ取</t>
    <rPh sb="0" eb="3">
      <t>ホショウショ</t>
    </rPh>
    <rPh sb="4" eb="6">
      <t>トリセツ</t>
    </rPh>
    <rPh sb="20" eb="21">
      <t>トリ</t>
    </rPh>
    <phoneticPr fontId="13"/>
  </si>
  <si>
    <t>奈良 530 る 3138</t>
    <rPh sb="0" eb="2">
      <t>ナラ</t>
    </rPh>
    <phoneticPr fontId="13"/>
  </si>
  <si>
    <t>仙台 130 す 322</t>
    <rPh sb="0" eb="2">
      <t>センダイ</t>
    </rPh>
    <phoneticPr fontId="13"/>
  </si>
  <si>
    <t>7/10/10</t>
    <phoneticPr fontId="13"/>
  </si>
  <si>
    <t>岐阜 590 ゆ 4</t>
    <rPh sb="0" eb="2">
      <t>ギフ</t>
    </rPh>
    <phoneticPr fontId="13"/>
  </si>
  <si>
    <t>黄竜株式会社</t>
    <rPh sb="0" eb="1">
      <t>キ</t>
    </rPh>
    <rPh sb="1" eb="2">
      <t>タツ</t>
    </rPh>
    <rPh sb="2" eb="6">
      <t>カブシキガイシャ</t>
    </rPh>
    <phoneticPr fontId="13"/>
  </si>
  <si>
    <t>３０１ね 7028</t>
    <phoneticPr fontId="13"/>
  </si>
  <si>
    <t>301 ね 7021</t>
    <phoneticPr fontId="13"/>
  </si>
  <si>
    <t>陸送TELあれば良さんに連絡する</t>
    <rPh sb="0" eb="2">
      <t>リクソウ</t>
    </rPh>
    <rPh sb="8" eb="9">
      <t>リョウ</t>
    </rPh>
    <rPh sb="12" eb="14">
      <t>レンラク</t>
    </rPh>
    <phoneticPr fontId="13"/>
  </si>
  <si>
    <t>301 ね 7024</t>
    <phoneticPr fontId="13"/>
  </si>
  <si>
    <t>301 ね 7022</t>
    <phoneticPr fontId="13"/>
  </si>
  <si>
    <t>301 ね 7023</t>
    <phoneticPr fontId="13"/>
  </si>
  <si>
    <t>301 ね 7025</t>
    <phoneticPr fontId="13"/>
  </si>
  <si>
    <t>301 ね 7026</t>
    <phoneticPr fontId="13"/>
  </si>
  <si>
    <t>301 ね 7027</t>
    <phoneticPr fontId="13"/>
  </si>
  <si>
    <t>YV1FWA8RDJ2389453</t>
    <phoneticPr fontId="13"/>
  </si>
  <si>
    <t>ｱｳﾃﾞｨA4 45TFSIｸﾜﾄﾛｽﾎﾟｰﾂS</t>
    <phoneticPr fontId="13"/>
  </si>
  <si>
    <t>WAUZZZF43KA050073</t>
    <phoneticPr fontId="13"/>
  </si>
  <si>
    <t>つくば 330 さ 6149</t>
    <phoneticPr fontId="13"/>
  </si>
  <si>
    <t>BMWﾐﾆﾜｺﾞﾝ ｸｰﾊﾟｰDｸﾛｽｵｰﾊﾞｰ</t>
    <phoneticPr fontId="13"/>
  </si>
  <si>
    <t>WMWYU120203E05558</t>
    <phoneticPr fontId="13"/>
  </si>
  <si>
    <t>佐賀 330 そ 8786</t>
    <rPh sb="0" eb="2">
      <t>サガ</t>
    </rPh>
    <phoneticPr fontId="13"/>
  </si>
  <si>
    <t>広島 301 も 3780</t>
    <rPh sb="0" eb="2">
      <t>ヒロシマ</t>
    </rPh>
    <phoneticPr fontId="13"/>
  </si>
  <si>
    <t>LA350S-0411650</t>
    <phoneticPr fontId="13"/>
  </si>
  <si>
    <t>ﾐﾗｲｰｽ G SA</t>
    <phoneticPr fontId="13"/>
  </si>
  <si>
    <t>保証書 名変期限3/31</t>
    <rPh sb="0" eb="3">
      <t>ホショウショ</t>
    </rPh>
    <rPh sb="4" eb="8">
      <t>メイヘンキゲン</t>
    </rPh>
    <phoneticPr fontId="13"/>
  </si>
  <si>
    <t>A327075</t>
    <phoneticPr fontId="13"/>
  </si>
  <si>
    <t>N-BOXｶｽﾀﾑ GLﾀｰﾎﾞ ﾎﾝﾀﾞｾﾝｼﾝｸﾞ</t>
    <phoneticPr fontId="13"/>
  </si>
  <si>
    <t>JF3-2074065</t>
    <phoneticPr fontId="13"/>
  </si>
  <si>
    <t>9/12/27</t>
    <phoneticPr fontId="13"/>
  </si>
  <si>
    <t>A327719</t>
    <phoneticPr fontId="13"/>
  </si>
  <si>
    <t>ｸﾗｳﾝｸﾛｽｵｰﾊﾞｰ G</t>
    <phoneticPr fontId="13"/>
  </si>
  <si>
    <t>AZSH35-4016621</t>
    <phoneticPr fontId="13"/>
  </si>
  <si>
    <t>8/11/9</t>
    <phoneticPr fontId="13"/>
  </si>
  <si>
    <t>生田 英司</t>
    <rPh sb="0" eb="2">
      <t>イクタ</t>
    </rPh>
    <rPh sb="3" eb="4">
      <t>ヒデ</t>
    </rPh>
    <phoneticPr fontId="13"/>
  </si>
  <si>
    <t>永見 修平</t>
    <rPh sb="0" eb="2">
      <t>ナガミ</t>
    </rPh>
    <rPh sb="3" eb="5">
      <t>シュウヘイ</t>
    </rPh>
    <phoneticPr fontId="13"/>
  </si>
  <si>
    <t>佐藤 真紀</t>
    <rPh sb="0" eb="2">
      <t>サトウ</t>
    </rPh>
    <rPh sb="3" eb="5">
      <t>マキ</t>
    </rPh>
    <phoneticPr fontId="13"/>
  </si>
  <si>
    <t>582 う 1032</t>
    <phoneticPr fontId="13"/>
  </si>
  <si>
    <t>582 う 1024</t>
    <phoneticPr fontId="13"/>
  </si>
  <si>
    <t>582 う 1023</t>
    <phoneticPr fontId="13"/>
  </si>
  <si>
    <t>480 ね 3892</t>
    <phoneticPr fontId="13"/>
  </si>
  <si>
    <t>582 う 1022</t>
    <phoneticPr fontId="13"/>
  </si>
  <si>
    <t>582 う 1021</t>
    <phoneticPr fontId="13"/>
  </si>
  <si>
    <t>582 う 1020</t>
    <phoneticPr fontId="13"/>
  </si>
  <si>
    <t>582 う 1019</t>
    <phoneticPr fontId="13"/>
  </si>
  <si>
    <t>301 ね 7035</t>
    <phoneticPr fontId="13"/>
  </si>
  <si>
    <t>301 ね 7033</t>
    <phoneticPr fontId="13"/>
  </si>
  <si>
    <t>301 ね 7034</t>
    <phoneticPr fontId="13"/>
  </si>
  <si>
    <t>27-3002</t>
  </si>
  <si>
    <t>27-3003</t>
  </si>
  <si>
    <t>27-3004</t>
  </si>
  <si>
    <t>27-3005</t>
  </si>
  <si>
    <t>27-3006</t>
  </si>
  <si>
    <t>27-3007</t>
  </si>
  <si>
    <t>27-3008</t>
  </si>
  <si>
    <t>27-3009</t>
  </si>
  <si>
    <t>ﾎﾝﾀﾞ九州(まとめ)</t>
    <rPh sb="4" eb="6">
      <t>キュウシュウ</t>
    </rPh>
    <phoneticPr fontId="13"/>
  </si>
  <si>
    <t>A328093</t>
    <phoneticPr fontId="13"/>
  </si>
  <si>
    <t>AGH30-0204246</t>
    <phoneticPr fontId="13"/>
  </si>
  <si>
    <t>27-3010</t>
  </si>
  <si>
    <t>27-3011</t>
  </si>
  <si>
    <t>27-3012</t>
  </si>
  <si>
    <t>27-3013</t>
  </si>
  <si>
    <t>27-3014</t>
  </si>
  <si>
    <t>27-3015</t>
  </si>
  <si>
    <t>27-3016</t>
  </si>
  <si>
    <t>27-3017</t>
  </si>
  <si>
    <t>27-3018</t>
  </si>
  <si>
    <t>A327129</t>
    <phoneticPr fontId="13"/>
  </si>
  <si>
    <t>CX30 20S ﾌﾟﾛｱｸﾃｨﾌﾞ</t>
    <phoneticPr fontId="13"/>
  </si>
  <si>
    <t>DMEJ3R-102212</t>
    <phoneticPr fontId="13"/>
  </si>
  <si>
    <t>A327535</t>
    <phoneticPr fontId="13"/>
  </si>
  <si>
    <t>ﾚｸｻｽ UX 300h ﾊﾞｰｼﾞｮﾝL</t>
    <phoneticPr fontId="13"/>
  </si>
  <si>
    <t>MZAH11-3002564</t>
    <phoneticPr fontId="13"/>
  </si>
  <si>
    <t>A327001</t>
    <phoneticPr fontId="13"/>
  </si>
  <si>
    <t>ZN8-021931</t>
    <phoneticPr fontId="13"/>
  </si>
  <si>
    <t>A325638</t>
    <phoneticPr fontId="13"/>
  </si>
  <si>
    <t>JF1-1423236</t>
    <phoneticPr fontId="13"/>
  </si>
  <si>
    <t>A327282</t>
    <phoneticPr fontId="13"/>
  </si>
  <si>
    <t>ｴﾌﾞﾘｨﾜｺﾞﾝ JPﾀｰﾎﾞ</t>
    <phoneticPr fontId="13"/>
  </si>
  <si>
    <t>DA17W-324749</t>
    <phoneticPr fontId="13"/>
  </si>
  <si>
    <t>A322111</t>
    <phoneticPr fontId="13"/>
  </si>
  <si>
    <t>MXWH60-4111625</t>
    <phoneticPr fontId="13"/>
  </si>
  <si>
    <t>10/1/28</t>
    <phoneticPr fontId="13"/>
  </si>
  <si>
    <t>姫路 399 な 5909</t>
    <rPh sb="0" eb="2">
      <t>ヒメジ</t>
    </rPh>
    <phoneticPr fontId="13"/>
  </si>
  <si>
    <t>有限会社ｾﾞｽﾄ</t>
    <rPh sb="0" eb="4">
      <t>ユウゲンカイシャ</t>
    </rPh>
    <phoneticPr fontId="13"/>
  </si>
  <si>
    <t>記録紙1枚 取説 ｷｰﾚｽ B-CAS</t>
    <rPh sb="0" eb="3">
      <t>キロクシ</t>
    </rPh>
    <rPh sb="4" eb="5">
      <t>マイ</t>
    </rPh>
    <rPh sb="6" eb="8">
      <t>トリセツ</t>
    </rPh>
    <phoneticPr fontId="13"/>
  </si>
  <si>
    <t>山口 581 ほ 515</t>
    <rPh sb="0" eb="2">
      <t>ヤマグチ</t>
    </rPh>
    <phoneticPr fontId="13"/>
  </si>
  <si>
    <t>加村 和義</t>
    <rPh sb="0" eb="2">
      <t>カムラ</t>
    </rPh>
    <rPh sb="3" eb="5">
      <t>カズヨシ</t>
    </rPh>
    <phoneticPr fontId="13"/>
  </si>
  <si>
    <t>なにわ 5P9 ろ 5060</t>
    <phoneticPr fontId="13"/>
  </si>
  <si>
    <t>京都 583 け 2251</t>
    <rPh sb="0" eb="2">
      <t>キョウト</t>
    </rPh>
    <phoneticPr fontId="13"/>
  </si>
  <si>
    <t>ﾄﾖﾀｶﾛｰﾗ京都株式会社</t>
    <rPh sb="7" eb="9">
      <t>キョウト</t>
    </rPh>
    <rPh sb="9" eb="13">
      <t>カブシキガイシャ</t>
    </rPh>
    <phoneticPr fontId="13"/>
  </si>
  <si>
    <t>岡山 584 ろ 3300</t>
    <rPh sb="0" eb="2">
      <t>オカヤマ</t>
    </rPh>
    <phoneticPr fontId="13"/>
  </si>
  <si>
    <t>板橋 580 ろ 8129</t>
    <rPh sb="0" eb="2">
      <t>イタバシ</t>
    </rPh>
    <phoneticPr fontId="13"/>
  </si>
  <si>
    <t>小山 雄太</t>
    <rPh sb="0" eb="2">
      <t>コヤマ</t>
    </rPh>
    <rPh sb="3" eb="5">
      <t>ユウタ</t>
    </rPh>
    <phoneticPr fontId="13"/>
  </si>
  <si>
    <t>取説 ｷｰﾚｽ(車内)保証書 ﾘﾓｺﾝ</t>
    <rPh sb="0" eb="2">
      <t>トリセツ</t>
    </rPh>
    <rPh sb="11" eb="14">
      <t>ホショウショ</t>
    </rPh>
    <phoneticPr fontId="13"/>
  </si>
  <si>
    <t>広島 582 え 7680</t>
    <rPh sb="0" eb="2">
      <t>ヒロシマ</t>
    </rPh>
    <phoneticPr fontId="13"/>
  </si>
  <si>
    <t>島根 580 ほ 8010</t>
    <rPh sb="0" eb="2">
      <t>シマネ</t>
    </rPh>
    <phoneticPr fontId="13"/>
  </si>
  <si>
    <t>なにわ 5P9 ろ 4434</t>
    <phoneticPr fontId="13"/>
  </si>
  <si>
    <t>高知 586 き 1515</t>
    <rPh sb="0" eb="2">
      <t>コウチ</t>
    </rPh>
    <phoneticPr fontId="13"/>
  </si>
  <si>
    <t>奥島 大貴</t>
    <rPh sb="0" eb="2">
      <t>オクシマ</t>
    </rPh>
    <rPh sb="3" eb="5">
      <t>ダイキ</t>
    </rPh>
    <phoneticPr fontId="13"/>
  </si>
  <si>
    <t>藤澤 茂</t>
    <rPh sb="0" eb="2">
      <t>フジサワ</t>
    </rPh>
    <rPh sb="3" eb="4">
      <t>シゲ</t>
    </rPh>
    <phoneticPr fontId="13"/>
  </si>
  <si>
    <t>熊本 301 て 1628</t>
    <rPh sb="0" eb="2">
      <t>クマモト</t>
    </rPh>
    <phoneticPr fontId="13"/>
  </si>
  <si>
    <t>高瀬 諒</t>
    <rPh sb="0" eb="2">
      <t>タカセ</t>
    </rPh>
    <rPh sb="3" eb="4">
      <t>リョウ</t>
    </rPh>
    <phoneticPr fontId="13"/>
  </si>
  <si>
    <t>保証書 取説 ﾅﾋﾞ取 ｷｰﾚｽ(車内)</t>
    <rPh sb="10" eb="11">
      <t>トリ</t>
    </rPh>
    <rPh sb="17" eb="19">
      <t>シャナイ</t>
    </rPh>
    <phoneticPr fontId="13"/>
  </si>
  <si>
    <t>書類届いたら良さんに連絡名変期限確認済</t>
    <rPh sb="0" eb="2">
      <t>ショルイ</t>
    </rPh>
    <rPh sb="2" eb="3">
      <t>トド</t>
    </rPh>
    <rPh sb="6" eb="7">
      <t>リョウ</t>
    </rPh>
    <rPh sb="10" eb="12">
      <t>レンラク</t>
    </rPh>
    <rPh sb="12" eb="14">
      <t>メイヘン</t>
    </rPh>
    <rPh sb="14" eb="16">
      <t>キゲン</t>
    </rPh>
    <rPh sb="16" eb="18">
      <t>カクニン</t>
    </rPh>
    <rPh sb="18" eb="19">
      <t>ズ</t>
    </rPh>
    <phoneticPr fontId="13"/>
  </si>
  <si>
    <t>静岡 399 ぬ 1101</t>
    <rPh sb="0" eb="2">
      <t>シズオカ</t>
    </rPh>
    <phoneticPr fontId="13"/>
  </si>
  <si>
    <t>KH5P-101440</t>
    <phoneticPr fontId="13"/>
  </si>
  <si>
    <t>仙台 301 ぬ 7154</t>
    <rPh sb="0" eb="2">
      <t>センダイ</t>
    </rPh>
    <phoneticPr fontId="13"/>
  </si>
  <si>
    <t>武藤 巧</t>
    <rPh sb="0" eb="2">
      <t>ムトウ</t>
    </rPh>
    <rPh sb="3" eb="4">
      <t>タクミ</t>
    </rPh>
    <phoneticPr fontId="13"/>
  </si>
  <si>
    <t>582 う 1158</t>
    <phoneticPr fontId="13"/>
  </si>
  <si>
    <t>整備手帳 取説 ｷｰﾚｽ(車内)ﾜﾝｵｰﾅｰ</t>
    <rPh sb="0" eb="4">
      <t>セイビテチョウ</t>
    </rPh>
    <rPh sb="5" eb="7">
      <t>トリセツ</t>
    </rPh>
    <rPh sb="13" eb="15">
      <t>シャナイ</t>
    </rPh>
    <phoneticPr fontId="13"/>
  </si>
  <si>
    <t>富山 39A そ 1631</t>
    <rPh sb="0" eb="2">
      <t>トヤマ</t>
    </rPh>
    <phoneticPr fontId="13"/>
  </si>
  <si>
    <t>富山 330 の 7710</t>
    <rPh sb="0" eb="2">
      <t>トヤマ</t>
    </rPh>
    <phoneticPr fontId="13"/>
  </si>
  <si>
    <t>GR86 RZ10thｱﾆﾊﾞｰｻﾘｰﾘﾐﾃｯﾄﾞ</t>
    <phoneticPr fontId="13"/>
  </si>
  <si>
    <t>27-3019</t>
  </si>
  <si>
    <t>27-3020</t>
  </si>
  <si>
    <t>27-3021</t>
  </si>
  <si>
    <t>27-3022</t>
  </si>
  <si>
    <t>27-3023</t>
  </si>
  <si>
    <t>27-3024</t>
  </si>
  <si>
    <t>27-3025</t>
  </si>
  <si>
    <t>27-3026</t>
  </si>
  <si>
    <t>27-3027</t>
  </si>
  <si>
    <t>27-3028</t>
  </si>
  <si>
    <t>27-3029</t>
  </si>
  <si>
    <t>27-3030</t>
  </si>
  <si>
    <t>27-3031</t>
  </si>
  <si>
    <t>27-3032</t>
  </si>
  <si>
    <t>27-3033</t>
  </si>
  <si>
    <t>ﾎﾞﾙﾎﾞV60　ﾌﾟﾗｽB4</t>
    <phoneticPr fontId="13"/>
  </si>
  <si>
    <t>ﾋﾟｸｼｽｼﾞｮｲ　FX</t>
    <phoneticPr fontId="13"/>
  </si>
  <si>
    <t>LA260A-0005478</t>
    <phoneticPr fontId="13"/>
  </si>
  <si>
    <t>LA260A-0005475</t>
    <phoneticPr fontId="13"/>
  </si>
  <si>
    <t>DA64W-337087</t>
    <phoneticPr fontId="13"/>
  </si>
  <si>
    <t>N　BOXｶｽﾀﾑ　G　Lﾊﾟｯｹｰｼﾞ</t>
    <phoneticPr fontId="13"/>
  </si>
  <si>
    <t>JF2-1509913</t>
    <phoneticPr fontId="13"/>
  </si>
  <si>
    <t>ﾀﾝﾄ　X　ﾎﾜｲﾄｱｸｾﾝﾄSaⅢ</t>
    <phoneticPr fontId="13"/>
  </si>
  <si>
    <t>LA600S-0659908</t>
    <phoneticPr fontId="13"/>
  </si>
  <si>
    <t>VWﾊﾟｻｰﾄｳﾞｧﾘｱﾝﾄ　TDI　Rﾗｲﾝ</t>
    <phoneticPr fontId="13"/>
  </si>
  <si>
    <t>BMWﾐﾆ　ﾜﾝ</t>
    <phoneticPr fontId="13"/>
  </si>
  <si>
    <t>ﾀﾝﾄｶｽﾀﾑ　RS　ﾄｯﾌﾟｴﾃﾞｨｼｮﾝVS</t>
    <phoneticPr fontId="13"/>
  </si>
  <si>
    <t>LA610S-0146298</t>
    <phoneticPr fontId="13"/>
  </si>
  <si>
    <t>MH95S-231027</t>
    <phoneticPr fontId="13"/>
  </si>
  <si>
    <t>MH95S-230944</t>
    <phoneticPr fontId="13"/>
  </si>
  <si>
    <t>BMWﾐﾆ　ｸｰﾊﾟｰSXｵｰﾊﾞｰ</t>
    <phoneticPr fontId="13"/>
  </si>
  <si>
    <t>ﾌﾟﾛﾎﾞｯｸｽ　DXｺﾝﾌｫｰﾄ</t>
    <phoneticPr fontId="13"/>
  </si>
  <si>
    <t>YV1ZWK8MXP2530705</t>
    <phoneticPr fontId="13"/>
  </si>
  <si>
    <t>川崎　301　ね　3124</t>
    <rPh sb="0" eb="2">
      <t>カワサキ</t>
    </rPh>
    <phoneticPr fontId="13"/>
  </si>
  <si>
    <t>保証書　ﾅﾋﾞﾛﾑ　　ﾚﾝﾀｶｰ</t>
    <rPh sb="0" eb="3">
      <t>ホショウショ</t>
    </rPh>
    <phoneticPr fontId="13"/>
  </si>
  <si>
    <t>21/12</t>
    <phoneticPr fontId="13"/>
  </si>
  <si>
    <t>WBA32AD0303Ｍ48817</t>
    <phoneticPr fontId="13"/>
  </si>
  <si>
    <t>BMW　X1　Xﾄﾞﾗｲﾌﾞ　18ｄ　Ｘﾗｲﾝ</t>
    <phoneticPr fontId="13"/>
  </si>
  <si>
    <t>WVWZZZ3CZPE036546</t>
    <phoneticPr fontId="13"/>
  </si>
  <si>
    <t>WMWXN720803A94889</t>
    <phoneticPr fontId="13"/>
  </si>
  <si>
    <t>山口　580　わ　6678</t>
    <rPh sb="0" eb="2">
      <t>ヤマグチ</t>
    </rPh>
    <phoneticPr fontId="13"/>
  </si>
  <si>
    <t>WMWYS920203G51935</t>
    <phoneticPr fontId="13"/>
  </si>
  <si>
    <t>ZFA3120000J751519</t>
    <phoneticPr fontId="13"/>
  </si>
  <si>
    <t>27-3034</t>
  </si>
  <si>
    <t>27-3035</t>
  </si>
  <si>
    <t>BMW118I　ﾌｧｯｼｮﾆｽﾀ</t>
    <phoneticPr fontId="13"/>
  </si>
  <si>
    <t>WBA1R520405L50610</t>
    <phoneticPr fontId="13"/>
  </si>
  <si>
    <t>YV1FWA8RDJ2390334</t>
    <phoneticPr fontId="13"/>
  </si>
  <si>
    <t>練馬　302　て　1563</t>
    <rPh sb="0" eb="2">
      <t>ネリマ</t>
    </rPh>
    <phoneticPr fontId="13"/>
  </si>
  <si>
    <t>27-3036</t>
  </si>
  <si>
    <t>27-3037</t>
  </si>
  <si>
    <t>27-3038</t>
  </si>
  <si>
    <t>27-3039</t>
  </si>
  <si>
    <t>ﾌﾟﾛﾎﾞｯｸｽﾊﾞﾝ　GL</t>
    <phoneticPr fontId="13"/>
  </si>
  <si>
    <t>NSP160-0055937</t>
    <phoneticPr fontId="13"/>
  </si>
  <si>
    <t xml:space="preserve">整備手帳 </t>
    <rPh sb="0" eb="4">
      <t>セイビテチョウ</t>
    </rPh>
    <phoneticPr fontId="13"/>
  </si>
  <si>
    <t>MH95S-118528</t>
    <phoneticPr fontId="13"/>
  </si>
  <si>
    <t>ﾑｰｳﾞｷｬﾝﾊﾟｽ　G　ﾒｲｸｱｯﾌﾟVS</t>
    <phoneticPr fontId="13"/>
  </si>
  <si>
    <t>LA800S-1020045</t>
    <phoneticPr fontId="13"/>
  </si>
  <si>
    <t>ﾊｲｾﾞｯﾄｶｰｺﾞ　CNG</t>
    <phoneticPr fontId="13"/>
  </si>
  <si>
    <t>S321V-0289020</t>
    <phoneticPr fontId="13"/>
  </si>
  <si>
    <t>27-3040</t>
  </si>
  <si>
    <t>JF1-1929035</t>
    <phoneticPr fontId="13"/>
  </si>
  <si>
    <t>WMWXU92080TN55214</t>
    <phoneticPr fontId="13"/>
  </si>
  <si>
    <t>27-3041</t>
  </si>
  <si>
    <t>ｷｬﾝｾﾙ返送2/12</t>
    <rPh sb="5" eb="7">
      <t>ヘンソウ</t>
    </rPh>
    <phoneticPr fontId="13"/>
  </si>
  <si>
    <t>和泉 342 ゆ 44</t>
    <rPh sb="0" eb="2">
      <t>イズミ</t>
    </rPh>
    <phoneticPr fontId="13"/>
  </si>
  <si>
    <t>HAA神戸(ﾜﾝﾌﾟﾗ)</t>
    <rPh sb="3" eb="5">
      <t>コウベ</t>
    </rPh>
    <phoneticPr fontId="13"/>
  </si>
  <si>
    <t>名古屋 336 つ 875</t>
    <rPh sb="0" eb="3">
      <t>ナゴヤ</t>
    </rPh>
    <phoneticPr fontId="13"/>
  </si>
  <si>
    <t>27-3042</t>
  </si>
  <si>
    <t>27-3043</t>
  </si>
  <si>
    <t>27-3044</t>
  </si>
  <si>
    <t>ｳﾞｫｸｼｰ ZS 煌</t>
    <rPh sb="10" eb="11">
      <t>キラ</t>
    </rPh>
    <phoneticPr fontId="13"/>
  </si>
  <si>
    <t>ZRR80-0177108</t>
    <phoneticPr fontId="13"/>
  </si>
  <si>
    <t>ACR50-7116090</t>
    <phoneticPr fontId="13"/>
  </si>
  <si>
    <t>BMW1ｼﾘｰｽﾞ 118i Mｽﾎﾟｰﾂｴﾃﾞｨｼｮﾝ</t>
    <phoneticPr fontId="13"/>
  </si>
  <si>
    <t>WBA1R520005C81997</t>
    <phoneticPr fontId="13"/>
  </si>
  <si>
    <t>有限会社ｶｰﾗｲﾌ名古屋</t>
    <rPh sb="0" eb="4">
      <t>ユウゲンカイシャ</t>
    </rPh>
    <rPh sb="9" eb="12">
      <t>ナゴヤ</t>
    </rPh>
    <phoneticPr fontId="13"/>
  </si>
  <si>
    <t>品川 5X3 ろ 2145</t>
    <rPh sb="0" eb="2">
      <t>シナガワ</t>
    </rPh>
    <phoneticPr fontId="13"/>
  </si>
  <si>
    <t>滋賀 583 こ 7779</t>
    <rPh sb="0" eb="2">
      <t>シガ</t>
    </rPh>
    <phoneticPr fontId="13"/>
  </si>
  <si>
    <t>加藤 厚子</t>
    <rPh sb="0" eb="2">
      <t>カトウ</t>
    </rPh>
    <rPh sb="3" eb="5">
      <t>アツコ</t>
    </rPh>
    <phoneticPr fontId="13"/>
  </si>
  <si>
    <t>藤田 弘一</t>
    <rPh sb="0" eb="2">
      <t>フジタ</t>
    </rPh>
    <rPh sb="3" eb="5">
      <t>コウイチ</t>
    </rPh>
    <phoneticPr fontId="13"/>
  </si>
  <si>
    <t>品川 48F ろ 4227</t>
    <rPh sb="0" eb="2">
      <t>シナガワ</t>
    </rPh>
    <phoneticPr fontId="13"/>
  </si>
  <si>
    <t>三重 585 む 82</t>
    <rPh sb="0" eb="2">
      <t>ミエ</t>
    </rPh>
    <phoneticPr fontId="13"/>
  </si>
  <si>
    <t>HIGH BEAM CORPORATION 株式会社</t>
    <rPh sb="22" eb="26">
      <t>カブシキガイシャ</t>
    </rPh>
    <phoneticPr fontId="13"/>
  </si>
  <si>
    <t>神戸 583 ふ 2568</t>
    <rPh sb="0" eb="2">
      <t>コウベ</t>
    </rPh>
    <phoneticPr fontId="13"/>
  </si>
  <si>
    <t>兵庫三菱自動車販売株式会社</t>
    <rPh sb="0" eb="4">
      <t>ヒョウゴミツビシ</t>
    </rPh>
    <rPh sb="4" eb="13">
      <t>ジドウシャハンバイカブシキガイシャ</t>
    </rPh>
    <phoneticPr fontId="13"/>
  </si>
  <si>
    <t>千葉 581 や 4418</t>
    <rPh sb="0" eb="2">
      <t>チバ</t>
    </rPh>
    <phoneticPr fontId="13"/>
  </si>
  <si>
    <t>株式会社ｽｽﾞｷ自販千葉</t>
    <rPh sb="0" eb="4">
      <t>カブシキガイシャ</t>
    </rPh>
    <rPh sb="8" eb="10">
      <t>ジハン</t>
    </rPh>
    <rPh sb="10" eb="12">
      <t>チバ</t>
    </rPh>
    <phoneticPr fontId="13"/>
  </si>
  <si>
    <t>有限会社ｶｰﾗｲﾌｻｰﾋﾞｽﾔﾏﾀﾞ</t>
    <rPh sb="0" eb="4">
      <t>ユウゲンカイシャ</t>
    </rPh>
    <phoneticPr fontId="13"/>
  </si>
  <si>
    <t>NCP160-0155528</t>
    <phoneticPr fontId="13"/>
  </si>
  <si>
    <t>広島 334 ひ 2700</t>
    <rPh sb="0" eb="2">
      <t>ヒロシマ</t>
    </rPh>
    <phoneticPr fontId="13"/>
  </si>
  <si>
    <t>保証書 ﾅﾋﾞ取 ｷｰﾚｽ SD</t>
    <rPh sb="0" eb="3">
      <t>ホショウショ</t>
    </rPh>
    <rPh sb="7" eb="8">
      <t>トリ</t>
    </rPh>
    <phoneticPr fontId="13"/>
  </si>
  <si>
    <t>堺 586 ろ 4549</t>
    <rPh sb="0" eb="1">
      <t>サカイ</t>
    </rPh>
    <phoneticPr fontId="13"/>
  </si>
  <si>
    <t>神戸 583 か 5292</t>
    <rPh sb="0" eb="2">
      <t>コウベ</t>
    </rPh>
    <phoneticPr fontId="13"/>
  </si>
  <si>
    <t>佐々木 雅之</t>
    <rPh sb="0" eb="3">
      <t>ササキ</t>
    </rPh>
    <rPh sb="4" eb="6">
      <t>マサユキ</t>
    </rPh>
    <phoneticPr fontId="13"/>
  </si>
  <si>
    <t>保証書 取説 ﾅﾋﾞ取 ｷｰﾚｽ 充電ｹｰﾌﾞﾙ</t>
    <rPh sb="0" eb="3">
      <t>ホショウショ</t>
    </rPh>
    <rPh sb="4" eb="6">
      <t>トリセツ</t>
    </rPh>
    <rPh sb="10" eb="11">
      <t>トリ</t>
    </rPh>
    <rPh sb="17" eb="19">
      <t>ジュウデン</t>
    </rPh>
    <phoneticPr fontId="13"/>
  </si>
  <si>
    <t>大宮 490 ろ 564</t>
    <rPh sb="0" eb="2">
      <t>オオミヤ</t>
    </rPh>
    <phoneticPr fontId="13"/>
  </si>
  <si>
    <t>堺 338 り 44</t>
    <rPh sb="0" eb="1">
      <t>サカイ</t>
    </rPh>
    <phoneticPr fontId="13"/>
  </si>
  <si>
    <t>福島 338 も 5005</t>
    <rPh sb="0" eb="2">
      <t>フクシマ</t>
    </rPh>
    <phoneticPr fontId="13"/>
  </si>
  <si>
    <t>武藤 海</t>
    <rPh sb="0" eb="2">
      <t>ムトウ</t>
    </rPh>
    <rPh sb="3" eb="4">
      <t>カイ</t>
    </rPh>
    <phoneticPr fontId="13"/>
  </si>
  <si>
    <t>北九州 587 ふ 3838</t>
    <rPh sb="0" eb="3">
      <t>キタキュウシュウ</t>
    </rPh>
    <phoneticPr fontId="13"/>
  </si>
  <si>
    <t>茅原 孝弘</t>
    <rPh sb="1" eb="2">
      <t>ハラ</t>
    </rPh>
    <rPh sb="3" eb="5">
      <t>タカヒロ</t>
    </rPh>
    <phoneticPr fontId="13"/>
  </si>
  <si>
    <t>27-3045</t>
  </si>
  <si>
    <t>27-3046</t>
  </si>
  <si>
    <t>27-3047</t>
  </si>
  <si>
    <t>27-3048</t>
  </si>
  <si>
    <t>27-3049</t>
  </si>
  <si>
    <t>27-3050</t>
  </si>
  <si>
    <t>27-3051</t>
  </si>
  <si>
    <t>27-3052</t>
  </si>
  <si>
    <t>WMWLN320202H09658</t>
    <phoneticPr fontId="13"/>
  </si>
  <si>
    <t>和泉 371 め 1212</t>
    <rPh sb="0" eb="2">
      <t>イズミ</t>
    </rPh>
    <phoneticPr fontId="13"/>
  </si>
  <si>
    <t>BMW118d Mｽﾎﾟｰﾂｴﾃﾞｨｼｮﾝ</t>
    <phoneticPr fontId="13"/>
  </si>
  <si>
    <t>WBA1S520205K17459</t>
    <phoneticPr fontId="13"/>
  </si>
  <si>
    <t>広島 394 た 1122</t>
    <rPh sb="0" eb="2">
      <t>ヒロシマ</t>
    </rPh>
    <phoneticPr fontId="13"/>
  </si>
  <si>
    <t>ﾌﾟｼﾞｮｰ3008 GTﾗｲﾝ</t>
    <phoneticPr fontId="13"/>
  </si>
  <si>
    <t>VF3MJEHZRLS256234</t>
    <phoneticPr fontId="13"/>
  </si>
  <si>
    <t>WBATX32060LB32508</t>
    <phoneticPr fontId="13"/>
  </si>
  <si>
    <t>ﾒﾙｾﾃﾞｽﾍﾞﾝﾂ A250 4Mｾﾀﾞﾝ</t>
    <phoneticPr fontId="13"/>
  </si>
  <si>
    <t>WDD1771472W034998</t>
    <phoneticPr fontId="13"/>
  </si>
  <si>
    <t>大阪 330 ふ 7714</t>
    <rPh sb="0" eb="2">
      <t>オオサカ</t>
    </rPh>
    <phoneticPr fontId="13"/>
  </si>
  <si>
    <t>ﾏﾂﾀﾞ ﾌﾚｱ XS</t>
    <phoneticPr fontId="13"/>
  </si>
  <si>
    <t>MJ34S-101103</t>
    <phoneticPr fontId="13"/>
  </si>
  <si>
    <t>LA850S-1014340</t>
    <phoneticPr fontId="13"/>
  </si>
  <si>
    <t>和歌山 300 や 7954</t>
    <rPh sb="0" eb="3">
      <t>ワカヤマ</t>
    </rPh>
    <phoneticPr fontId="13"/>
  </si>
  <si>
    <t>東京ﾚｼﾞｬｰ開発株式会社</t>
    <rPh sb="0" eb="2">
      <t>トウキョウ</t>
    </rPh>
    <rPh sb="7" eb="9">
      <t>カイハツ</t>
    </rPh>
    <rPh sb="9" eb="13">
      <t>カブシキガイシャ</t>
    </rPh>
    <phoneticPr fontId="13"/>
  </si>
  <si>
    <t>福岡 302 わ 3479</t>
    <rPh sb="0" eb="2">
      <t>フクオカ</t>
    </rPh>
    <phoneticPr fontId="13"/>
  </si>
  <si>
    <t>丹羽 譲</t>
    <rPh sb="0" eb="2">
      <t>タンバ</t>
    </rPh>
    <rPh sb="3" eb="4">
      <t>ジョウ</t>
    </rPh>
    <phoneticPr fontId="13"/>
  </si>
  <si>
    <t>千葉 303 た 4681</t>
    <rPh sb="0" eb="2">
      <t>チバ</t>
    </rPh>
    <phoneticPr fontId="13"/>
  </si>
  <si>
    <t>島根 331 せ 912</t>
    <rPh sb="0" eb="2">
      <t>シマネ</t>
    </rPh>
    <phoneticPr fontId="13"/>
  </si>
  <si>
    <t>島根ﾄﾖﾀ自動車株式会社</t>
    <rPh sb="0" eb="2">
      <t>シマネ</t>
    </rPh>
    <rPh sb="5" eb="12">
      <t>ジドウシャカブシキガイシャ</t>
    </rPh>
    <phoneticPr fontId="13"/>
  </si>
  <si>
    <t>尾張小牧 399 の 9416</t>
    <rPh sb="0" eb="4">
      <t>オワリコマキ</t>
    </rPh>
    <phoneticPr fontId="13"/>
  </si>
  <si>
    <t>千葉 326 た 9408</t>
    <rPh sb="0" eb="2">
      <t>チバ</t>
    </rPh>
    <phoneticPr fontId="13"/>
  </si>
  <si>
    <t>株式会社oneK</t>
    <rPh sb="0" eb="4">
      <t>カブシキガイシャ</t>
    </rPh>
    <phoneticPr fontId="13"/>
  </si>
  <si>
    <t>WMWXS720502C49834</t>
    <phoneticPr fontId="13"/>
  </si>
  <si>
    <t>滋賀 344 と 21</t>
    <rPh sb="0" eb="2">
      <t>シガ</t>
    </rPh>
    <phoneticPr fontId="13"/>
  </si>
  <si>
    <t>滋賀三菱自動車販売株式会社</t>
    <rPh sb="0" eb="2">
      <t>シガ</t>
    </rPh>
    <rPh sb="2" eb="4">
      <t>ミツビシ</t>
    </rPh>
    <rPh sb="4" eb="13">
      <t>ジドウシャハンバイカブシキガイシャ</t>
    </rPh>
    <phoneticPr fontId="13"/>
  </si>
  <si>
    <t>株式会社花こ</t>
    <rPh sb="0" eb="4">
      <t>カブシキガイシャ</t>
    </rPh>
    <rPh sb="4" eb="5">
      <t>ハナ</t>
    </rPh>
    <phoneticPr fontId="13"/>
  </si>
  <si>
    <t>VF1RJA001L0816499</t>
    <phoneticPr fontId="13"/>
  </si>
  <si>
    <t>9/4/14</t>
    <phoneticPr fontId="13"/>
  </si>
  <si>
    <t>広島 302 な 7426</t>
    <rPh sb="0" eb="2">
      <t>ヒロシマ</t>
    </rPh>
    <phoneticPr fontId="13"/>
  </si>
  <si>
    <t>岡山 359 む 32</t>
    <rPh sb="0" eb="2">
      <t>オカヤマ</t>
    </rPh>
    <phoneticPr fontId="13"/>
  </si>
  <si>
    <t>世田谷 581 ろ 3768</t>
    <rPh sb="0" eb="3">
      <t>セタガヤ</t>
    </rPh>
    <phoneticPr fontId="13"/>
  </si>
  <si>
    <t>世田谷 581 ろ 3755</t>
    <rPh sb="0" eb="3">
      <t>セタガヤ</t>
    </rPh>
    <phoneticPr fontId="13"/>
  </si>
  <si>
    <t>世田谷 581 ろ 3754</t>
    <rPh sb="0" eb="3">
      <t>セタガヤ</t>
    </rPh>
    <phoneticPr fontId="13"/>
  </si>
  <si>
    <t>和泉 329 に 5381</t>
    <rPh sb="0" eb="2">
      <t>イズミ</t>
    </rPh>
    <phoneticPr fontId="13"/>
  </si>
  <si>
    <t>世田谷 581 ろ 3763</t>
    <rPh sb="0" eb="3">
      <t>セタガヤ</t>
    </rPh>
    <phoneticPr fontId="13"/>
  </si>
  <si>
    <t>世田谷 581 ろ 3753</t>
    <rPh sb="0" eb="3">
      <t>セタガヤ</t>
    </rPh>
    <phoneticPr fontId="13"/>
  </si>
  <si>
    <t>保証書 取説 ﾅﾋﾞ取 ｷｰﾚｽ ﾚﾝﾀｶｰ</t>
    <phoneticPr fontId="13"/>
  </si>
  <si>
    <t>世田谷 581 ろ 3772</t>
    <rPh sb="0" eb="3">
      <t>セタガヤ</t>
    </rPh>
    <phoneticPr fontId="13"/>
  </si>
  <si>
    <t>株式会社日産ｶｰﾚﾝﾀﾙｿﾘｭｰｼｮﾝ</t>
    <rPh sb="0" eb="6">
      <t>カブシキガイシャニッサン</t>
    </rPh>
    <phoneticPr fontId="13"/>
  </si>
  <si>
    <t>保証書 ｷｰﾚｽ ﾚﾝﾀｶｰ</t>
    <phoneticPr fontId="13"/>
  </si>
  <si>
    <t>世田谷 581 ろ 3771</t>
    <rPh sb="0" eb="3">
      <t>セタガヤ</t>
    </rPh>
    <phoneticPr fontId="13"/>
  </si>
  <si>
    <t>保証書 取説 ﾅﾋﾞ取 ﾚﾝﾀｶｰ</t>
    <rPh sb="0" eb="3">
      <t>ホショウショ</t>
    </rPh>
    <rPh sb="4" eb="6">
      <t>トリセツ</t>
    </rPh>
    <rPh sb="10" eb="11">
      <t>トリ</t>
    </rPh>
    <phoneticPr fontId="13"/>
  </si>
  <si>
    <t>世田谷 581 ろ 3758</t>
    <rPh sb="0" eb="3">
      <t>セタガヤ</t>
    </rPh>
    <phoneticPr fontId="13"/>
  </si>
  <si>
    <t>世田谷 581 ろ 3769</t>
    <rPh sb="0" eb="3">
      <t>セタガヤ</t>
    </rPh>
    <phoneticPr fontId="13"/>
  </si>
  <si>
    <t>名古屋 487 ろ 2213</t>
    <rPh sb="0" eb="3">
      <t>ナゴヤ</t>
    </rPh>
    <phoneticPr fontId="13"/>
  </si>
  <si>
    <t>富山 580 わ 4786</t>
    <rPh sb="0" eb="2">
      <t>トヤマ</t>
    </rPh>
    <phoneticPr fontId="13"/>
  </si>
  <si>
    <t>富山 580 わ 4785</t>
    <rPh sb="0" eb="2">
      <t>トヤマ</t>
    </rPh>
    <phoneticPr fontId="13"/>
  </si>
  <si>
    <t>保証書 取説 ﾅﾋﾞ取 ｷｰﾚｽ ﾏｲｸﾛ地図SD ﾚﾝﾀｶｰ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</si>
  <si>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福井 580 わ 3388</t>
    <rPh sb="0" eb="2">
      <t>フクイ</t>
    </rPh>
    <phoneticPr fontId="13"/>
  </si>
  <si>
    <t>保証書 取説 ｷｰﾚｽ ﾏｲｸﾛ地図SD ﾅﾋﾞ取 ﾚﾝﾀｶｰ</t>
    <rPh sb="0" eb="3">
      <t>ホショウショ</t>
    </rPh>
    <rPh sb="4" eb="6">
      <t>トリセツ</t>
    </rPh>
    <rPh sb="16" eb="18">
      <t>チズ</t>
    </rPh>
    <rPh sb="24" eb="25">
      <t>トリ</t>
    </rPh>
    <phoneticPr fontId="13"/>
  </si>
  <si>
    <t>横浜 483 か 3579</t>
    <rPh sb="0" eb="2">
      <t>ヨコハマ</t>
    </rPh>
    <phoneticPr fontId="13"/>
  </si>
  <si>
    <t>伊波土木株式会社</t>
    <rPh sb="0" eb="1">
      <t>イ</t>
    </rPh>
    <rPh sb="1" eb="2">
      <t>ハ</t>
    </rPh>
    <rPh sb="2" eb="4">
      <t>ドボク</t>
    </rPh>
    <rPh sb="4" eb="8">
      <t>カブシキガイシャ</t>
    </rPh>
    <phoneticPr fontId="13"/>
  </si>
  <si>
    <t>品川 5P0 ろ 3728</t>
    <rPh sb="0" eb="2">
      <t>シナガワ</t>
    </rPh>
    <phoneticPr fontId="13"/>
  </si>
  <si>
    <t>品川 5X3 ろ 966</t>
    <rPh sb="0" eb="2">
      <t>シナガワ</t>
    </rPh>
    <phoneticPr fontId="13"/>
  </si>
  <si>
    <t>千葉 792 ろ 9811</t>
    <rPh sb="0" eb="2">
      <t>チバ</t>
    </rPh>
    <phoneticPr fontId="13"/>
  </si>
  <si>
    <t>保証書 取説 ﾅﾋﾞ取 ｷｰﾚｽ SD2個</t>
    <rPh sb="0" eb="3">
      <t>ホショウショ</t>
    </rPh>
    <rPh sb="4" eb="6">
      <t>トリセツ</t>
    </rPh>
    <rPh sb="10" eb="11">
      <t>トリ</t>
    </rPh>
    <rPh sb="20" eb="21">
      <t>コ</t>
    </rPh>
    <phoneticPr fontId="13"/>
  </si>
  <si>
    <t>尾張小牧 581 す 3040</t>
    <rPh sb="0" eb="4">
      <t>オワリコマキ</t>
    </rPh>
    <phoneticPr fontId="13"/>
  </si>
  <si>
    <t>尾関 進</t>
    <rPh sb="0" eb="2">
      <t>オセキ</t>
    </rPh>
    <rPh sb="3" eb="4">
      <t>ススム</t>
    </rPh>
    <phoneticPr fontId="13"/>
  </si>
  <si>
    <t>品川 5P8 ろ 766</t>
    <rPh sb="0" eb="2">
      <t>シナガワ</t>
    </rPh>
    <phoneticPr fontId="13"/>
  </si>
  <si>
    <t>多摩 592 ろ 6376</t>
    <rPh sb="0" eb="2">
      <t>タマ</t>
    </rPh>
    <phoneticPr fontId="13"/>
  </si>
  <si>
    <t>東日本三菱自動車販売株式会社</t>
    <rPh sb="0" eb="1">
      <t>ヒガシ</t>
    </rPh>
    <rPh sb="1" eb="3">
      <t>ニホン</t>
    </rPh>
    <rPh sb="3" eb="5">
      <t>ミツビシ</t>
    </rPh>
    <rPh sb="5" eb="8">
      <t>ジドウシャ</t>
    </rPh>
    <rPh sb="8" eb="14">
      <t>ハンバイカブシキガイシャ</t>
    </rPh>
    <phoneticPr fontId="13"/>
  </si>
  <si>
    <t>ｷｰﾚｽ 地図SD</t>
    <rPh sb="5" eb="7">
      <t>チズ</t>
    </rPh>
    <phoneticPr fontId="13"/>
  </si>
  <si>
    <t>出雲 399 さ 1623</t>
    <rPh sb="0" eb="2">
      <t>イヅモ</t>
    </rPh>
    <phoneticPr fontId="13"/>
  </si>
  <si>
    <t>有限会社吾郷自動車商会</t>
    <rPh sb="0" eb="4">
      <t>ユウゲンカイシャ</t>
    </rPh>
    <rPh sb="4" eb="5">
      <t>ゴ</t>
    </rPh>
    <rPh sb="5" eb="6">
      <t>サト</t>
    </rPh>
    <rPh sb="6" eb="9">
      <t>ジドウシャ</t>
    </rPh>
    <rPh sb="9" eb="11">
      <t>ショウカイ</t>
    </rPh>
    <phoneticPr fontId="13"/>
  </si>
  <si>
    <t>保証書 取説 ﾅﾋﾞ取 ｷｰﾚｽ B-CAS ﾏｲｸﾛ SD</t>
    <rPh sb="0" eb="3">
      <t>ホショウショ</t>
    </rPh>
    <rPh sb="4" eb="6">
      <t>トリセツ</t>
    </rPh>
    <rPh sb="10" eb="11">
      <t>トリ</t>
    </rPh>
    <phoneticPr fontId="13"/>
  </si>
  <si>
    <t>なにわ 581 き 4010</t>
    <phoneticPr fontId="13"/>
  </si>
  <si>
    <t>八王子 358 ふ 1010</t>
    <rPh sb="0" eb="3">
      <t>ハチオウジ</t>
    </rPh>
    <phoneticPr fontId="13"/>
  </si>
  <si>
    <t>中野 寛之</t>
    <rPh sb="0" eb="2">
      <t>ナカノ</t>
    </rPh>
    <rPh sb="3" eb="5">
      <t>ヒロユキ</t>
    </rPh>
    <phoneticPr fontId="13"/>
  </si>
  <si>
    <t>広島 587 は 1219</t>
    <rPh sb="0" eb="2">
      <t>ヒロシマ</t>
    </rPh>
    <phoneticPr fontId="13"/>
  </si>
  <si>
    <t>株式会社Come</t>
    <rPh sb="0" eb="4">
      <t>カブシキガイシャ</t>
    </rPh>
    <phoneticPr fontId="13"/>
  </si>
  <si>
    <t>春日井 582 ろ 8455</t>
    <rPh sb="0" eb="3">
      <t>カスガイ</t>
    </rPh>
    <phoneticPr fontId="13"/>
  </si>
  <si>
    <t>株式会社ﾌｧｲﾝﾄﾗｽﾄ</t>
    <rPh sb="0" eb="4">
      <t>カブシキガイシャ</t>
    </rPh>
    <phoneticPr fontId="13"/>
  </si>
  <si>
    <t>地図SD(書類と保管)</t>
    <rPh sb="0" eb="2">
      <t>チズ</t>
    </rPh>
    <rPh sb="5" eb="7">
      <t>ショルイ</t>
    </rPh>
    <rPh sb="8" eb="10">
      <t>ホカン</t>
    </rPh>
    <phoneticPr fontId="13"/>
  </si>
  <si>
    <t>愛媛 584 む 2106</t>
    <rPh sb="0" eb="2">
      <t>エヒメ</t>
    </rPh>
    <phoneticPr fontId="13"/>
  </si>
  <si>
    <t>倉敷 581 あ 5723</t>
    <rPh sb="0" eb="2">
      <t>クラシキ</t>
    </rPh>
    <phoneticPr fontId="13"/>
  </si>
  <si>
    <t>姫路 583 は 875</t>
    <rPh sb="0" eb="2">
      <t>ヒメジ</t>
    </rPh>
    <phoneticPr fontId="13"/>
  </si>
  <si>
    <t>松尾 結香</t>
    <rPh sb="0" eb="2">
      <t>マツオ</t>
    </rPh>
    <rPh sb="3" eb="4">
      <t>ユイ</t>
    </rPh>
    <rPh sb="4" eb="5">
      <t>カ</t>
    </rPh>
    <phoneticPr fontId="13"/>
  </si>
  <si>
    <t>千葉 587 く 720</t>
    <rPh sb="0" eb="2">
      <t>チバ</t>
    </rPh>
    <phoneticPr fontId="13"/>
  </si>
  <si>
    <t>株式会社ﾋﾞｰｴﾑﾎｰﾙﾃﾞｨﾝｸﾞｽ</t>
    <rPh sb="0" eb="4">
      <t>カブシキガイシャ</t>
    </rPh>
    <phoneticPr fontId="13"/>
  </si>
  <si>
    <t>徳島 512 ら 888</t>
    <rPh sb="0" eb="2">
      <t>トクシマ</t>
    </rPh>
    <phoneticPr fontId="13"/>
  </si>
  <si>
    <t>徳島三菱自動車販売株式会社</t>
    <rPh sb="0" eb="2">
      <t>トクシマ</t>
    </rPh>
    <rPh sb="2" eb="13">
      <t>ミツビシジドウシャハンバイカブシキガイシャ</t>
    </rPh>
    <phoneticPr fontId="13"/>
  </si>
  <si>
    <t>広島 583 け 243</t>
    <rPh sb="0" eb="2">
      <t>ヒロシマ</t>
    </rPh>
    <phoneticPr fontId="13"/>
  </si>
  <si>
    <t>大澤 奈々</t>
    <rPh sb="0" eb="2">
      <t>オオサワ</t>
    </rPh>
    <rPh sb="3" eb="5">
      <t>ナナ</t>
    </rPh>
    <phoneticPr fontId="13"/>
  </si>
  <si>
    <t>徳島 580 も 6254</t>
    <rPh sb="0" eb="2">
      <t>トクシマ</t>
    </rPh>
    <phoneticPr fontId="13"/>
  </si>
  <si>
    <t>広島 595 え 16</t>
    <rPh sb="0" eb="2">
      <t>ヒロシマ</t>
    </rPh>
    <phoneticPr fontId="13"/>
  </si>
  <si>
    <t>堀元 弘則</t>
    <rPh sb="0" eb="2">
      <t>ホリモト</t>
    </rPh>
    <rPh sb="3" eb="4">
      <t>ヒロシ</t>
    </rPh>
    <rPh sb="4" eb="5">
      <t>ノリ</t>
    </rPh>
    <phoneticPr fontId="13"/>
  </si>
  <si>
    <t>北九州 593 ほ 111</t>
    <rPh sb="0" eb="3">
      <t>キタキュウシュウ</t>
    </rPh>
    <phoneticPr fontId="13"/>
  </si>
  <si>
    <t>宮崎 正巳</t>
    <rPh sb="0" eb="2">
      <t>ミヤザキ</t>
    </rPh>
    <rPh sb="3" eb="4">
      <t>マサ</t>
    </rPh>
    <rPh sb="4" eb="5">
      <t>ミ</t>
    </rPh>
    <phoneticPr fontId="13"/>
  </si>
  <si>
    <t>長崎 336 り 1125</t>
    <rPh sb="0" eb="2">
      <t>ナガサキ</t>
    </rPh>
    <phoneticPr fontId="13"/>
  </si>
  <si>
    <t>徳島 580 ね 8765</t>
    <rPh sb="0" eb="2">
      <t>トクシマ</t>
    </rPh>
    <phoneticPr fontId="13"/>
  </si>
  <si>
    <t>地図SD(車内)保証書 取説 ﾅﾋﾞ取 ｽﾍﾟｱｷｰ</t>
    <rPh sb="0" eb="2">
      <t>チズ</t>
    </rPh>
    <rPh sb="5" eb="7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</si>
  <si>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湘南 580 ひ 3533</t>
    <rPh sb="0" eb="2">
      <t>ショウナン</t>
    </rPh>
    <phoneticPr fontId="13"/>
  </si>
  <si>
    <t>臼井 清一</t>
    <rPh sb="0" eb="2">
      <t>ウスイ</t>
    </rPh>
    <rPh sb="3" eb="4">
      <t>キヨシ</t>
    </rPh>
    <rPh sb="4" eb="5">
      <t>イチ</t>
    </rPh>
    <phoneticPr fontId="13"/>
  </si>
  <si>
    <t>横浜 591 る 510</t>
    <rPh sb="0" eb="2">
      <t>ヨコハマ</t>
    </rPh>
    <phoneticPr fontId="13"/>
  </si>
  <si>
    <t>後藤 太樹</t>
    <rPh sb="0" eb="2">
      <t>ゴトウ</t>
    </rPh>
    <rPh sb="3" eb="4">
      <t>フト</t>
    </rPh>
    <rPh sb="4" eb="5">
      <t>キ</t>
    </rPh>
    <phoneticPr fontId="13"/>
  </si>
  <si>
    <t>582 う 1409</t>
    <phoneticPr fontId="13"/>
  </si>
  <si>
    <t>582 う 1410</t>
    <phoneticPr fontId="13"/>
  </si>
  <si>
    <t>582 う 1411</t>
    <phoneticPr fontId="13"/>
  </si>
  <si>
    <t>582 う 1412</t>
    <phoneticPr fontId="13"/>
  </si>
  <si>
    <t>TAA近畿(ﾜﾝﾌﾟﾗ)</t>
    <phoneticPr fontId="13"/>
  </si>
  <si>
    <t>ｷｬﾝｾﾙ返送2/14</t>
    <rPh sb="5" eb="7">
      <t>ヘンソウ</t>
    </rPh>
    <phoneticPr fontId="13"/>
  </si>
  <si>
    <t>非課税車OK</t>
    <rPh sb="0" eb="3">
      <t>ヒカゼイ</t>
    </rPh>
    <rPh sb="3" eb="4">
      <t>シャ</t>
    </rPh>
    <phoneticPr fontId="13"/>
  </si>
  <si>
    <t>TAA近畿売 ｷｰﾚｽﾀﾞﾐｰ送る</t>
    <rPh sb="3" eb="5">
      <t>キンキ</t>
    </rPh>
    <rPh sb="5" eb="6">
      <t>ウ</t>
    </rPh>
    <rPh sb="15" eb="16">
      <t>オク</t>
    </rPh>
    <phoneticPr fontId="13"/>
  </si>
  <si>
    <t>VW Tｸﾛｽ TSIﾌｧｰｽﾄﾌﾟﾗｽ</t>
    <phoneticPr fontId="13"/>
  </si>
  <si>
    <t>品番；CN-RZ876</t>
    <rPh sb="0" eb="2">
      <t>ヒンバン</t>
    </rPh>
    <phoneticPr fontId="13"/>
  </si>
  <si>
    <t>ｷｰﾚｽ(車内)保証書</t>
    <rPh sb="5" eb="7">
      <t>シャナイ</t>
    </rPh>
    <rPh sb="8" eb="11">
      <t>ホショウショ</t>
    </rPh>
    <phoneticPr fontId="13"/>
  </si>
  <si>
    <t>品番；NSZT-W62G</t>
    <rPh sb="0" eb="2">
      <t>ヒンバン</t>
    </rPh>
    <phoneticPr fontId="13"/>
  </si>
  <si>
    <t>品番；NSZT-W66T</t>
    <rPh sb="0" eb="2">
      <t>ヒンバン</t>
    </rPh>
    <phoneticPr fontId="13"/>
  </si>
  <si>
    <t>わﾅﾝﾊﾞｰ記載あり ｸﾚｰﾑ中</t>
    <rPh sb="6" eb="8">
      <t>キサイ</t>
    </rPh>
    <rPh sb="15" eb="16">
      <t>チュウ</t>
    </rPh>
    <phoneticPr fontId="13"/>
  </si>
  <si>
    <r>
      <t xml:space="preserve">取説 ｷｰﾚｽ </t>
    </r>
    <r>
      <rPr>
        <sz val="11"/>
        <color theme="3"/>
        <rFont val="ＭＳ Ｐゴシック"/>
        <family val="3"/>
        <charset val="128"/>
        <scheme val="minor"/>
      </rPr>
      <t>保証書</t>
    </r>
    <rPh sb="0" eb="2">
      <t>トリセツ</t>
    </rPh>
    <rPh sb="8" eb="11">
      <t>ホショウショ</t>
    </rPh>
    <phoneticPr fontId="13"/>
  </si>
  <si>
    <t>保証書白紙訂正済</t>
    <rPh sb="0" eb="3">
      <t>ホショウショ</t>
    </rPh>
    <rPh sb="3" eb="5">
      <t>ハクシ</t>
    </rPh>
    <rPh sb="5" eb="7">
      <t>テイセイ</t>
    </rPh>
    <rPh sb="7" eb="8">
      <t>ズ</t>
    </rPh>
    <phoneticPr fontId="13"/>
  </si>
  <si>
    <t>地図SD(車内)整備手帳 取説 ﾅﾋﾞ取</t>
    <rPh sb="8" eb="12">
      <t>セイビテチョウ</t>
    </rPh>
    <rPh sb="13" eb="15">
      <t>トリセツ</t>
    </rPh>
    <rPh sb="19" eb="20">
      <t>トリ</t>
    </rPh>
    <phoneticPr fontId="13"/>
  </si>
  <si>
    <t>保証書 取説 ﾘｻｲｸﾙ券(車内)</t>
    <rPh sb="0" eb="3">
      <t>ホショウショ</t>
    </rPh>
    <rPh sb="4" eb="6">
      <t>トリセツ</t>
    </rPh>
    <rPh sb="12" eb="13">
      <t>ケン</t>
    </rPh>
    <phoneticPr fontId="13"/>
  </si>
  <si>
    <t>整備手帳 取説 地図SD(車内)  ｷｰﾚｽ</t>
    <rPh sb="0" eb="4">
      <t>セイビテチョウ</t>
    </rPh>
    <rPh sb="5" eb="7">
      <t>トリセツ</t>
    </rPh>
    <rPh sb="8" eb="10">
      <t>チズ</t>
    </rPh>
    <phoneticPr fontId="13"/>
  </si>
  <si>
    <t>ﾏｲｸﾛ地図SD(車内)保証書 取説 ﾅﾋﾞ取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</si>
  <si>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ﾏｲｸﾛ地図SD(車内)保証書 取説 ﾅﾋﾞ取 ｳｪﾙｷｬﾌﾞ取説</t>
    <rPh sb="4" eb="6">
      <t>チズ</t>
    </rPh>
    <rPh sb="12" eb="15">
      <t>ホショウショ</t>
    </rPh>
    <rPh sb="16" eb="18">
      <t>トリセツ</t>
    </rPh>
    <rPh sb="22" eb="23">
      <t>トリ</t>
    </rPh>
    <rPh sb="31" eb="33">
      <t>トリセツ</t>
    </rPh>
    <phoneticPr fontId="13"/>
  </si>
  <si>
    <t>地図SD(車内)保証書 取説 ﾅﾋﾞ取 ｷｰﾚｽ ﾅﾝﾊﾞｰ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</si>
  <si>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地図SD(車内)保証書 取説 ｷｰﾚｽ ﾅﾋﾞ取 ﾜﾝｵｰﾅｰ？</t>
    <rPh sb="0" eb="2">
      <t>チズ</t>
    </rPh>
    <rPh sb="8" eb="11">
      <t>ホショウショ</t>
    </rPh>
    <rPh sb="12" eb="14">
      <t>トリセツ</t>
    </rPh>
    <rPh sb="23" eb="24">
      <t>トリ</t>
    </rPh>
    <phoneticPr fontId="13"/>
  </si>
  <si>
    <t>宮城 581 い 3947</t>
    <rPh sb="0" eb="2">
      <t>ミヤギ</t>
    </rPh>
    <phoneticPr fontId="13"/>
  </si>
  <si>
    <t>佐々木 順悦</t>
    <rPh sb="0" eb="3">
      <t>ササキ</t>
    </rPh>
    <rPh sb="4" eb="5">
      <t>ジュン</t>
    </rPh>
    <rPh sb="5" eb="6">
      <t>エツ</t>
    </rPh>
    <phoneticPr fontId="13"/>
  </si>
  <si>
    <t>2/14</t>
    <phoneticPr fontId="13"/>
  </si>
  <si>
    <t>保証書 取説 ﾜﾝｵｰﾅｰ</t>
    <rPh sb="4" eb="6">
      <t>トリセツ</t>
    </rPh>
    <phoneticPr fontId="13"/>
  </si>
  <si>
    <t>山口 580 ゆ 8032</t>
    <rPh sb="0" eb="2">
      <t>ヤマグチ</t>
    </rPh>
    <phoneticPr fontId="13"/>
  </si>
  <si>
    <t>広島 358 に 111</t>
    <rPh sb="0" eb="2">
      <t>ヒロシマ</t>
    </rPh>
    <phoneticPr fontId="13"/>
  </si>
  <si>
    <t>高橋 蓮</t>
    <rPh sb="0" eb="2">
      <t>タカハシ</t>
    </rPh>
    <rPh sb="3" eb="4">
      <t>レン</t>
    </rPh>
    <phoneticPr fontId="13"/>
  </si>
  <si>
    <t>初年度R1 ｸﾚｰﾑ</t>
    <rPh sb="0" eb="2">
      <t>ショネン</t>
    </rPh>
    <rPh sb="2" eb="3">
      <t>ド</t>
    </rPh>
    <phoneticPr fontId="13"/>
  </si>
  <si>
    <t>株式会社横浜ﾕｰﾎﾟｽ</t>
    <rPh sb="0" eb="4">
      <t>カブシキガイシャ</t>
    </rPh>
    <rPh sb="4" eb="6">
      <t>ヨコハマ</t>
    </rPh>
    <phoneticPr fontId="13"/>
  </si>
  <si>
    <t>大阪 589 ろ 9394</t>
    <rPh sb="0" eb="2">
      <t>オオサカ</t>
    </rPh>
    <phoneticPr fontId="13"/>
  </si>
  <si>
    <t>株式会社大衆自動車商会</t>
    <rPh sb="0" eb="4">
      <t>カブシキガイシャ</t>
    </rPh>
    <rPh sb="4" eb="9">
      <t>タイシュウジドウシャ</t>
    </rPh>
    <rPh sb="9" eb="11">
      <t>ショウカイ</t>
    </rPh>
    <phoneticPr fontId="13"/>
  </si>
  <si>
    <t>岡山 301 み 1710</t>
    <rPh sb="0" eb="2">
      <t>オカヤマ</t>
    </rPh>
    <phoneticPr fontId="13"/>
  </si>
  <si>
    <t>地図SD(車内)保証書 取説 ﾅﾋﾞ取 ｽﾍﾟｱｷｰ ﾜﾝｵｰﾅｰ</t>
    <rPh sb="0" eb="2">
      <t>チズ</t>
    </rPh>
    <rPh sb="8" eb="11">
      <t>ホショウショ</t>
    </rPh>
    <rPh sb="12" eb="14">
      <t>トリセツ</t>
    </rPh>
    <rPh sb="18" eb="19">
      <t>トリ</t>
    </rPh>
    <phoneticPr fontId="13"/>
  </si>
  <si>
    <t>吉澤 百合子</t>
    <rPh sb="0" eb="2">
      <t>ヨシザワ</t>
    </rPh>
    <rPh sb="3" eb="6">
      <t>ユリコ</t>
    </rPh>
    <phoneticPr fontId="13"/>
  </si>
  <si>
    <t>福山 580 に 4136</t>
    <rPh sb="0" eb="2">
      <t>フクヤマ</t>
    </rPh>
    <phoneticPr fontId="13"/>
  </si>
  <si>
    <t>なにわ 5P9 ろ 5037</t>
    <phoneticPr fontId="13"/>
  </si>
  <si>
    <t>多摩 304 ち 2333</t>
    <rPh sb="0" eb="2">
      <t>タマ</t>
    </rPh>
    <phoneticPr fontId="13"/>
  </si>
  <si>
    <t>寺廻 孝晃</t>
    <rPh sb="0" eb="1">
      <t>テラ</t>
    </rPh>
    <rPh sb="3" eb="5">
      <t>タカアキ</t>
    </rPh>
    <phoneticPr fontId="13"/>
  </si>
  <si>
    <t>ｾﾝﾁｭﾘｰﾋﾞｰｸﾙｽﾞ株式会社 ｱｳﾃﾞｨつくば</t>
    <rPh sb="13" eb="17">
      <t>カブシキガイシャ</t>
    </rPh>
    <phoneticPr fontId="13"/>
  </si>
  <si>
    <t>HE33S-223672</t>
    <phoneticPr fontId="13"/>
  </si>
  <si>
    <t>S700V-0086871</t>
    <phoneticPr fontId="13"/>
  </si>
  <si>
    <t>S700W-0000366</t>
    <phoneticPr fontId="13"/>
  </si>
  <si>
    <t>MS52S-102873</t>
    <phoneticPr fontId="13"/>
  </si>
  <si>
    <t>MK53S-344692</t>
    <phoneticPr fontId="13"/>
  </si>
  <si>
    <t>JF5-2054830</t>
    <phoneticPr fontId="13"/>
  </si>
  <si>
    <t>MR92S-122959</t>
    <phoneticPr fontId="13"/>
  </si>
  <si>
    <t>27-3053</t>
  </si>
  <si>
    <t>27-3054</t>
  </si>
  <si>
    <t>27-3055</t>
  </si>
  <si>
    <t>27-3056</t>
  </si>
  <si>
    <t>27-3057</t>
  </si>
  <si>
    <t>27-3058</t>
  </si>
  <si>
    <t>27-3059</t>
  </si>
  <si>
    <t>27-3060</t>
  </si>
  <si>
    <t>27-3061</t>
  </si>
  <si>
    <t>27-3062</t>
  </si>
  <si>
    <t>27-3063</t>
  </si>
  <si>
    <t>27-3064</t>
  </si>
  <si>
    <t>27-3065</t>
  </si>
  <si>
    <t>27-3066</t>
  </si>
  <si>
    <t>27-3067</t>
  </si>
  <si>
    <t>27-3068</t>
  </si>
  <si>
    <t>27-3069</t>
  </si>
  <si>
    <t>27-3070</t>
  </si>
  <si>
    <t>27-3071</t>
  </si>
  <si>
    <t>27-3072</t>
  </si>
  <si>
    <t>27-3073</t>
  </si>
  <si>
    <t>27-3074</t>
  </si>
  <si>
    <t>27-3075</t>
  </si>
  <si>
    <t>27-3076</t>
  </si>
  <si>
    <t>27-3077</t>
  </si>
  <si>
    <t>27-3078</t>
  </si>
  <si>
    <t>NSP170-7236189</t>
    <phoneticPr fontId="13"/>
  </si>
  <si>
    <t>MK53S-731428</t>
    <phoneticPr fontId="13"/>
  </si>
  <si>
    <t>JF3-8200370</t>
    <phoneticPr fontId="13"/>
  </si>
  <si>
    <t>JB64W-174774</t>
    <phoneticPr fontId="13"/>
  </si>
  <si>
    <t>JB64W-407054</t>
    <phoneticPr fontId="13"/>
  </si>
  <si>
    <t>JB23W-701144</t>
    <phoneticPr fontId="13"/>
  </si>
  <si>
    <t>MK53S-456984</t>
    <phoneticPr fontId="13"/>
  </si>
  <si>
    <t>DA64W-437164</t>
    <phoneticPr fontId="13"/>
  </si>
  <si>
    <t>ﾀﾝﾄ　L　ｽﾛｰﾊﾟｰ</t>
    <phoneticPr fontId="13"/>
  </si>
  <si>
    <t>LA650S-0080885</t>
    <phoneticPr fontId="13"/>
  </si>
  <si>
    <t>JF3-5118415</t>
    <phoneticPr fontId="13"/>
  </si>
  <si>
    <t>JF1-1535530</t>
    <phoneticPr fontId="13"/>
  </si>
  <si>
    <t>BMWﾐﾆ　ｸｰﾊﾟｰDｶﾑﾃﾞﾝED</t>
    <phoneticPr fontId="13"/>
  </si>
  <si>
    <t>ｼﾄﾛｴﾝ　ﾍﾞﾙﾗﾝｺﾞ　ｼｬｲﾝ</t>
    <phoneticPr fontId="13"/>
  </si>
  <si>
    <t>MﾍﾞﾝﾂCLA200D　AMGﾗｲﾝ</t>
    <phoneticPr fontId="13"/>
  </si>
  <si>
    <t>27-3079</t>
  </si>
  <si>
    <t>27-3080</t>
  </si>
  <si>
    <t>27-3081</t>
  </si>
  <si>
    <t>27-3082</t>
  </si>
  <si>
    <t>27-3083</t>
  </si>
  <si>
    <t>27-3084</t>
  </si>
  <si>
    <t>27-3085</t>
  </si>
  <si>
    <t>27-3086</t>
  </si>
  <si>
    <t>27-3087</t>
  </si>
  <si>
    <t>27-3088</t>
  </si>
  <si>
    <t>27-3089</t>
  </si>
  <si>
    <t>A329295</t>
    <phoneticPr fontId="13"/>
  </si>
  <si>
    <t>GR1-1026020</t>
    <phoneticPr fontId="13"/>
  </si>
  <si>
    <t>A328156</t>
    <phoneticPr fontId="13"/>
  </si>
  <si>
    <t>NHP160-0119872</t>
    <phoneticPr fontId="13"/>
  </si>
  <si>
    <t>ﾌｨｯﾄ　ﾘｭｸｽ　</t>
    <phoneticPr fontId="13"/>
  </si>
  <si>
    <t>ﾌﾟﾛﾎﾞｯｸｽ　ﾊｲﾌﾞﾘｯﾄﾞF</t>
    <phoneticPr fontId="13"/>
  </si>
  <si>
    <t>A329262</t>
    <phoneticPr fontId="13"/>
  </si>
  <si>
    <t>AGH30-9026039</t>
    <phoneticPr fontId="13"/>
  </si>
  <si>
    <t>ｱﾙﾌｧｰﾄﾞ　2.5S　</t>
    <phoneticPr fontId="13"/>
  </si>
  <si>
    <t>A329341</t>
    <phoneticPr fontId="13"/>
  </si>
  <si>
    <t>TRJ250-0016331</t>
    <phoneticPr fontId="13"/>
  </si>
  <si>
    <t>ﾗﾝﾄﾞｸﾙｰｻﾞｰ250　VX</t>
    <phoneticPr fontId="13"/>
  </si>
  <si>
    <t>A329462</t>
    <phoneticPr fontId="13"/>
  </si>
  <si>
    <t>KF5P-603421</t>
    <phoneticPr fontId="13"/>
  </si>
  <si>
    <t>CX-5　25S　ｽﾎﾟｰﾂｱﾋﾟｱﾗﾝｽ</t>
    <phoneticPr fontId="13"/>
  </si>
  <si>
    <t>A327456</t>
    <phoneticPr fontId="13"/>
  </si>
  <si>
    <t>MR31S-112757</t>
    <phoneticPr fontId="13"/>
  </si>
  <si>
    <t>A327583</t>
    <phoneticPr fontId="13"/>
  </si>
  <si>
    <t>HE33S-409689</t>
    <phoneticPr fontId="13"/>
  </si>
  <si>
    <t>ｱﾙﾄﾗﾊﾟﾝ　LC　X</t>
    <phoneticPr fontId="13"/>
  </si>
  <si>
    <t>A329118</t>
    <phoneticPr fontId="13"/>
  </si>
  <si>
    <t>RV5-1209576</t>
    <phoneticPr fontId="13"/>
  </si>
  <si>
    <t>ｳﾞｪｾﾞﾙ　e：HEV　Z</t>
    <phoneticPr fontId="13"/>
  </si>
  <si>
    <t>A328050</t>
    <phoneticPr fontId="13"/>
  </si>
  <si>
    <t>RV5-1103309</t>
    <phoneticPr fontId="13"/>
  </si>
  <si>
    <t>1/4</t>
    <phoneticPr fontId="13"/>
  </si>
  <si>
    <t>三重　581　み　3275</t>
    <rPh sb="0" eb="2">
      <t>ミエ</t>
    </rPh>
    <phoneticPr fontId="13"/>
  </si>
  <si>
    <t>9/10/1</t>
    <phoneticPr fontId="13"/>
  </si>
  <si>
    <t>保証書　取説　ﾅﾝﾊﾞｰ</t>
    <rPh sb="0" eb="3">
      <t>ホショウショ</t>
    </rPh>
    <rPh sb="4" eb="6">
      <t>トリセツ</t>
    </rPh>
    <phoneticPr fontId="13"/>
  </si>
  <si>
    <t>ｱﾄﾚｰ　ﾃﾞｯｷﾊﾞﾝ</t>
    <phoneticPr fontId="13"/>
  </si>
  <si>
    <t>春日井　480　い　2555</t>
    <rPh sb="0" eb="3">
      <t>カスガイ</t>
    </rPh>
    <phoneticPr fontId="13"/>
  </si>
  <si>
    <t>ﾌﾚｱｸﾛｽｵｰﾊﾞｰ　ﾊｲﾌﾞﾘｯﾄﾞXT</t>
    <phoneticPr fontId="13"/>
  </si>
  <si>
    <t>9/5/8</t>
    <phoneticPr fontId="13"/>
  </si>
  <si>
    <t>名古屋　58A　き　9405</t>
    <rPh sb="0" eb="3">
      <t>ナゴヤ</t>
    </rPh>
    <phoneticPr fontId="13"/>
  </si>
  <si>
    <t>N　BOXｶｽﾀﾑ　ﾀｰﾎﾞ</t>
    <phoneticPr fontId="13"/>
  </si>
  <si>
    <t>ｸﾘｰﾑ</t>
    <phoneticPr fontId="13"/>
  </si>
  <si>
    <t>ｼｴﾝﾀ　X</t>
    <phoneticPr fontId="13"/>
  </si>
  <si>
    <t>N　BOX　GｽﾛｰﾌﾟL　ﾎﾝﾀﾞｾﾝｼﾝｸﾞ</t>
    <phoneticPr fontId="13"/>
  </si>
  <si>
    <t>奈良　589　せ　1005</t>
    <rPh sb="0" eb="2">
      <t>ナラ</t>
    </rPh>
    <phoneticPr fontId="13"/>
  </si>
  <si>
    <t>取説　ﾅﾋﾞ取　ｽﾍﾟｱｷｰ　　　非課税車申請済</t>
    <rPh sb="0" eb="2">
      <t>トリセツ</t>
    </rPh>
    <rPh sb="6" eb="7">
      <t>トリ</t>
    </rPh>
    <rPh sb="17" eb="21">
      <t>ヒカゼイシャ</t>
    </rPh>
    <rPh sb="21" eb="24">
      <t>シンセイズミ</t>
    </rPh>
    <phoneticPr fontId="13"/>
  </si>
  <si>
    <t>和泉　597　も　10</t>
    <rPh sb="0" eb="2">
      <t>イズミ</t>
    </rPh>
    <phoneticPr fontId="13"/>
  </si>
  <si>
    <t>三重　582　そ　3723</t>
    <rPh sb="0" eb="2">
      <t>ミエ</t>
    </rPh>
    <phoneticPr fontId="13"/>
  </si>
  <si>
    <t>ｼﾞﾑﾆｰ　ｸﾛｽｱﾄﾞﾍﾞﾝﾁｬｰ</t>
    <phoneticPr fontId="13"/>
  </si>
  <si>
    <t>奈良　580　の　9498</t>
    <rPh sb="0" eb="2">
      <t>ナラ</t>
    </rPh>
    <phoneticPr fontId="13"/>
  </si>
  <si>
    <t>保証書　取説　ﾅﾋﾞ取　SD　HDDﾕﾆｯﾄ</t>
    <rPh sb="0" eb="3">
      <t>ホショウショ</t>
    </rPh>
    <rPh sb="4" eb="6">
      <t>トリセツ</t>
    </rPh>
    <rPh sb="10" eb="11">
      <t>トリ</t>
    </rPh>
    <phoneticPr fontId="13"/>
  </si>
  <si>
    <t>堺　583　あ　7304</t>
    <rPh sb="0" eb="1">
      <t>サカイ</t>
    </rPh>
    <phoneticPr fontId="13"/>
  </si>
  <si>
    <t>保証書　取説　ﾅﾋﾞ取　ｽﾏｰﾄｷｰ　ﾅﾋﾞSD　ﾜﾝｵｰﾅｰ</t>
    <rPh sb="0" eb="3">
      <t>ホショウショ</t>
    </rPh>
    <rPh sb="4" eb="6">
      <t>トリセツ</t>
    </rPh>
    <rPh sb="10" eb="11">
      <t>トリ</t>
    </rPh>
    <phoneticPr fontId="13"/>
  </si>
  <si>
    <t>DM8P-102296</t>
    <phoneticPr fontId="13"/>
  </si>
  <si>
    <t>9/8/19</t>
    <phoneticPr fontId="13"/>
  </si>
  <si>
    <t>CX-30　XD　ﾌﾟﾛｱｸﾃｨﾌﾞ</t>
    <phoneticPr fontId="13"/>
  </si>
  <si>
    <t>保証書　ﾅﾋﾞSD</t>
    <rPh sb="0" eb="3">
      <t>ホショウショ</t>
    </rPh>
    <phoneticPr fontId="13"/>
  </si>
  <si>
    <t>保証書　ｽﾏｰﾄｷｰ　　ﾚﾝﾀｶｰ</t>
    <rPh sb="0" eb="3">
      <t>ホショウショ</t>
    </rPh>
    <phoneticPr fontId="13"/>
  </si>
  <si>
    <t>N　BOXｶｽﾀﾑ　SSﾊﾟｯｹｰｼﾞ</t>
    <phoneticPr fontId="13"/>
  </si>
  <si>
    <t>岐阜　586　け　345</t>
    <rPh sb="0" eb="2">
      <t>ギフ</t>
    </rPh>
    <phoneticPr fontId="13"/>
  </si>
  <si>
    <t>WMW12DV0802V64253</t>
    <phoneticPr fontId="13"/>
  </si>
  <si>
    <t>保証書　整備手帳　取説　ｽﾍﾟｱｷｰ</t>
    <rPh sb="0" eb="3">
      <t>ホショウショ</t>
    </rPh>
    <rPh sb="4" eb="8">
      <t>セイビテチョウ</t>
    </rPh>
    <rPh sb="9" eb="11">
      <t>トリセツ</t>
    </rPh>
    <phoneticPr fontId="13"/>
  </si>
  <si>
    <t>三重　302　て　9040</t>
    <rPh sb="0" eb="2">
      <t>ミエ</t>
    </rPh>
    <phoneticPr fontId="13"/>
  </si>
  <si>
    <t>VR7ECYHZ3NJ757160</t>
    <phoneticPr fontId="13"/>
  </si>
  <si>
    <t>MﾍﾞﾝﾂC220D　SW　ﾛｰﾚｳｽED</t>
    <phoneticPr fontId="13"/>
  </si>
  <si>
    <t>W1K2052142G080078</t>
    <phoneticPr fontId="13"/>
  </si>
  <si>
    <t>WDD1183122N035600</t>
    <phoneticPr fontId="13"/>
  </si>
  <si>
    <t>WMWXV320X02N76050</t>
    <phoneticPr fontId="13"/>
  </si>
  <si>
    <t>8/6/19</t>
    <phoneticPr fontId="13"/>
  </si>
  <si>
    <t>名古屋　308　た　4903</t>
    <rPh sb="0" eb="3">
      <t>ナゴヤ</t>
    </rPh>
    <phoneticPr fontId="13"/>
  </si>
  <si>
    <t>8/3/1</t>
    <phoneticPr fontId="13"/>
  </si>
  <si>
    <t>10/3/30</t>
    <phoneticPr fontId="13"/>
  </si>
  <si>
    <t>9/11/8</t>
    <phoneticPr fontId="13"/>
  </si>
  <si>
    <t>A329199</t>
    <phoneticPr fontId="13"/>
  </si>
  <si>
    <t>ｳﾞｪﾙﾌｧｲｱ　3.5Z　G</t>
    <phoneticPr fontId="13"/>
  </si>
  <si>
    <t>GGH35-0010385</t>
    <phoneticPr fontId="13"/>
  </si>
  <si>
    <t>27-3090</t>
  </si>
  <si>
    <t>27-3091</t>
  </si>
  <si>
    <t>27-3092</t>
  </si>
  <si>
    <t>27-3093</t>
  </si>
  <si>
    <t>27-3094</t>
  </si>
  <si>
    <t>27-3095</t>
  </si>
  <si>
    <t>27-3096</t>
  </si>
  <si>
    <t>27-3097</t>
  </si>
  <si>
    <t>27-3098</t>
  </si>
  <si>
    <t>27-3099</t>
  </si>
  <si>
    <t>27-3100</t>
  </si>
  <si>
    <t>27-3101</t>
  </si>
  <si>
    <t>ｳﾞｫｸｼｰ　ZS</t>
    <phoneticPr fontId="13"/>
  </si>
  <si>
    <t>ZRR80-0634198</t>
    <phoneticPr fontId="13"/>
  </si>
  <si>
    <t>MZAH10-2070893</t>
    <phoneticPr fontId="13"/>
  </si>
  <si>
    <t>ACR50-0155781</t>
    <phoneticPr fontId="13"/>
  </si>
  <si>
    <t>ｸﾛｽﾋﾞｰ　ﾊｲﾌﾞﾘｯﾄﾞMZ</t>
    <phoneticPr fontId="13"/>
  </si>
  <si>
    <t>MN71S-404999</t>
    <phoneticPr fontId="13"/>
  </si>
  <si>
    <t>CX-30　XDﾂｰﾘﾝｸﾞ　Lﾊﾟｯｹｰｼﾞ</t>
    <phoneticPr fontId="13"/>
  </si>
  <si>
    <t>DK5FW-107315</t>
    <phoneticPr fontId="13"/>
  </si>
  <si>
    <t>ZVW41-0035287</t>
    <phoneticPr fontId="13"/>
  </si>
  <si>
    <t>HE33S-160672</t>
    <phoneticPr fontId="13"/>
  </si>
  <si>
    <t>MR92S-466908</t>
    <phoneticPr fontId="13"/>
  </si>
  <si>
    <t>ﾊｲｾﾞｯﾄﾄﾗｯｸ　ｴｸｽﾄﾗ</t>
    <phoneticPr fontId="13"/>
  </si>
  <si>
    <t>S500P-0156721</t>
    <phoneticPr fontId="13"/>
  </si>
  <si>
    <t>JF1-1927988</t>
    <phoneticPr fontId="13"/>
  </si>
  <si>
    <t>ﾊｽﾗｰ　Gﾀｰﾎﾞ</t>
    <phoneticPr fontId="13"/>
  </si>
  <si>
    <t>MR41S-617295</t>
    <phoneticPr fontId="13"/>
  </si>
  <si>
    <t>8/6/25</t>
    <phoneticPr fontId="13"/>
  </si>
  <si>
    <t>9/9/10</t>
    <phoneticPr fontId="13"/>
  </si>
  <si>
    <t>神戸　332　す　5178</t>
    <rPh sb="0" eb="2">
      <t>コウベ</t>
    </rPh>
    <phoneticPr fontId="13"/>
  </si>
  <si>
    <t>保証書　取説　ｽﾍﾟｱｷｰ　地図SD</t>
    <rPh sb="0" eb="3">
      <t>ホショウショ</t>
    </rPh>
    <rPh sb="4" eb="6">
      <t>トリセツ</t>
    </rPh>
    <rPh sb="14" eb="16">
      <t>チズ</t>
    </rPh>
    <phoneticPr fontId="13"/>
  </si>
  <si>
    <t>ﾚｸｻｽUX　UX250H　VER-C</t>
    <phoneticPr fontId="13"/>
  </si>
  <si>
    <t>福島　301　ぬ　7469</t>
    <rPh sb="0" eb="2">
      <t>フクシマ</t>
    </rPh>
    <phoneticPr fontId="13"/>
  </si>
  <si>
    <t>9/10/28</t>
    <phoneticPr fontId="13"/>
  </si>
  <si>
    <t>堺　331　ち　723</t>
    <rPh sb="0" eb="1">
      <t>サカイ</t>
    </rPh>
    <phoneticPr fontId="13"/>
  </si>
  <si>
    <t>9/5/12</t>
    <phoneticPr fontId="13"/>
  </si>
  <si>
    <t>大阪　542　ほ　705</t>
    <rPh sb="0" eb="2">
      <t>オオサカ</t>
    </rPh>
    <phoneticPr fontId="13"/>
  </si>
  <si>
    <t>保証書　取説　ｽﾍﾟｱｷｰX2有　　ﾜﾝｵｰﾅｰ</t>
    <rPh sb="0" eb="3">
      <t>ホショウショ</t>
    </rPh>
    <rPh sb="4" eb="6">
      <t>トリセツ</t>
    </rPh>
    <rPh sb="15" eb="16">
      <t>アリ</t>
    </rPh>
    <phoneticPr fontId="13"/>
  </si>
  <si>
    <t>ｾﾗﾐｯｸ</t>
    <phoneticPr fontId="13"/>
  </si>
  <si>
    <t>徳島　333　め　715</t>
    <rPh sb="0" eb="2">
      <t>トクシマ</t>
    </rPh>
    <phoneticPr fontId="13"/>
  </si>
  <si>
    <t>保証書　取説　ﾅﾋﾞ取　地図SD　B-CAS　ﾜﾝｵｰﾅｰ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</si>
  <si>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京都　484　ふ　3939</t>
    <rPh sb="0" eb="2">
      <t>キョウト</t>
    </rPh>
    <phoneticPr fontId="13"/>
  </si>
  <si>
    <t>BMWﾐﾆ　ｸｰﾊﾟｰ　ﾌﾟﾚﾐｱﾑﾌﾟﾗｽﾗｲﾝ</t>
    <phoneticPr fontId="13"/>
  </si>
  <si>
    <t>WMW32DK0002T65470</t>
    <phoneticPr fontId="13"/>
  </si>
  <si>
    <t>WMWXM720402A75667</t>
    <phoneticPr fontId="13"/>
  </si>
  <si>
    <t>8/9/9</t>
    <phoneticPr fontId="13"/>
  </si>
  <si>
    <t>大阪　346　す　105</t>
    <rPh sb="0" eb="2">
      <t>オオサカ</t>
    </rPh>
    <phoneticPr fontId="13"/>
  </si>
  <si>
    <t>WMWWG720403C84047</t>
    <phoneticPr fontId="13"/>
  </si>
  <si>
    <t>広島　302　な　8917</t>
    <rPh sb="0" eb="2">
      <t>ヒロシマ</t>
    </rPh>
    <phoneticPr fontId="13"/>
  </si>
  <si>
    <t>WMWXR92080TP21393</t>
    <phoneticPr fontId="13"/>
  </si>
  <si>
    <t>大阪　303　や　8115</t>
    <rPh sb="0" eb="2">
      <t>オオサカ</t>
    </rPh>
    <phoneticPr fontId="13"/>
  </si>
  <si>
    <t>姫路 568 も 77</t>
    <rPh sb="0" eb="2">
      <t>ヒメジ</t>
    </rPh>
    <phoneticPr fontId="13"/>
  </si>
  <si>
    <t>ﾏｲｸﾛ地図SD(車内)保証書 取説 ﾅﾋﾞ取 ｽﾍﾟｱｷｰ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</si>
  <si>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大宮 583 そ 1567</t>
    <rPh sb="0" eb="2">
      <t>オオミヤ</t>
    </rPh>
    <phoneticPr fontId="13"/>
  </si>
  <si>
    <t>埼玉ﾀﾞｲﾊﾂ販売株式会社</t>
    <rPh sb="0" eb="2">
      <t>サイタマ</t>
    </rPh>
    <rPh sb="7" eb="13">
      <t>ハンバイカブシキガイシャ</t>
    </rPh>
    <phoneticPr fontId="13"/>
  </si>
  <si>
    <t>千葉 583 ち 2678</t>
    <rPh sb="0" eb="2">
      <t>チバ</t>
    </rPh>
    <phoneticPr fontId="13"/>
  </si>
  <si>
    <t>株式会社大勝</t>
    <rPh sb="0" eb="4">
      <t>カブシキガイシャ</t>
    </rPh>
    <rPh sb="4" eb="5">
      <t>タイ</t>
    </rPh>
    <rPh sb="5" eb="6">
      <t>カツ</t>
    </rPh>
    <phoneticPr fontId="13"/>
  </si>
  <si>
    <t>笹井 衛</t>
    <rPh sb="0" eb="2">
      <t>ササイ</t>
    </rPh>
    <rPh sb="3" eb="4">
      <t>マモル</t>
    </rPh>
    <phoneticPr fontId="13"/>
  </si>
  <si>
    <t>WMWXM720803B16294</t>
    <phoneticPr fontId="13"/>
  </si>
  <si>
    <t>WMWXM520702D00216</t>
    <phoneticPr fontId="13"/>
  </si>
  <si>
    <t>徳島 330 つ 3265</t>
    <rPh sb="0" eb="2">
      <t>トクシマ</t>
    </rPh>
    <phoneticPr fontId="13"/>
  </si>
  <si>
    <t>WMWXR52090TV09594</t>
    <phoneticPr fontId="13"/>
  </si>
  <si>
    <t>京都 352 て 373</t>
    <rPh sb="0" eb="2">
      <t>キョウト</t>
    </rPh>
    <phoneticPr fontId="13"/>
  </si>
  <si>
    <t>WVGZZZC1ZMY033254</t>
    <phoneticPr fontId="13"/>
  </si>
  <si>
    <t>京都 329 さ 9615</t>
    <rPh sb="0" eb="2">
      <t>キョウト</t>
    </rPh>
    <phoneticPr fontId="13"/>
  </si>
  <si>
    <t>名古屋 499 む 4790</t>
    <rPh sb="0" eb="3">
      <t>ナゴヤ</t>
    </rPh>
    <phoneticPr fontId="13"/>
  </si>
  <si>
    <t>延近自動車株式会社</t>
    <rPh sb="0" eb="1">
      <t>ノ</t>
    </rPh>
    <rPh sb="1" eb="2">
      <t>チカ</t>
    </rPh>
    <rPh sb="2" eb="9">
      <t>ジドウシャカブシキガイシャ</t>
    </rPh>
    <phoneticPr fontId="13"/>
  </si>
  <si>
    <t xml:space="preserve">ﾏｲｸﾛ地図SD(車内)保証書 取説 ﾅﾋﾞ取 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</si>
  <si>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神戸 303 て 2275</t>
    <rPh sb="0" eb="2">
      <t>コウベ</t>
    </rPh>
    <phoneticPr fontId="13"/>
  </si>
  <si>
    <t>株式会社EN</t>
    <rPh sb="0" eb="4">
      <t>カブシキガイシャ</t>
    </rPh>
    <phoneticPr fontId="13"/>
  </si>
  <si>
    <t>保証書 取説 ﾜﾝｵｰﾅｰ ｷｰﾚｽ ﾅﾋﾞ取</t>
    <rPh sb="4" eb="6">
      <t>トリセツ</t>
    </rPh>
    <rPh sb="22" eb="23">
      <t>トリ</t>
    </rPh>
    <phoneticPr fontId="13"/>
  </si>
  <si>
    <t>有木 麗霞</t>
    <rPh sb="0" eb="2">
      <t>アリキ</t>
    </rPh>
    <rPh sb="3" eb="4">
      <t>レイ</t>
    </rPh>
    <rPh sb="4" eb="5">
      <t>カスミ</t>
    </rPh>
    <phoneticPr fontId="13"/>
  </si>
  <si>
    <t>保証書 ｷｰﾚｽ 地図SD ﾐﾆB-CAS</t>
    <rPh sb="0" eb="3">
      <t>ホショウショ</t>
    </rPh>
    <rPh sb="9" eb="11">
      <t>チズ</t>
    </rPh>
    <phoneticPr fontId="13"/>
  </si>
  <si>
    <t>神戸 799 ら 4524</t>
    <rPh sb="0" eb="2">
      <t>コウベ</t>
    </rPh>
    <phoneticPr fontId="13"/>
  </si>
  <si>
    <r>
      <t xml:space="preserve">地図SD車内なし 保証書 取説 ﾅﾋﾞ取  </t>
    </r>
    <r>
      <rPr>
        <sz val="11"/>
        <color rgb="FFFF0000"/>
        <rFont val="ＭＳ Ｐゴシック"/>
        <family val="3"/>
        <charset val="128"/>
        <scheme val="minor"/>
      </rPr>
      <t>SD未着</t>
    </r>
    <rPh sb="0" eb="2">
      <t>チズ</t>
    </rPh>
    <rPh sb="4" eb="6">
      <t>シャナイ</t>
    </rPh>
    <rPh sb="9" eb="12">
      <t>ホショウショ</t>
    </rPh>
    <rPh sb="13" eb="15">
      <t>トリセツ</t>
    </rPh>
    <rPh sb="19" eb="20">
      <t>トリ</t>
    </rPh>
    <rPh sb="24" eb="26">
      <t>ミチャク</t>
    </rPh>
    <phoneticPr fontId="13"/>
  </si>
  <si>
    <t>杉本 侑輝</t>
    <rPh sb="0" eb="2">
      <t>スギモト</t>
    </rPh>
    <rPh sb="3" eb="4">
      <t>ユウ</t>
    </rPh>
    <rPh sb="4" eb="5">
      <t>カガヤ</t>
    </rPh>
    <phoneticPr fontId="13"/>
  </si>
  <si>
    <t>滋賀 583 ろ 99</t>
    <rPh sb="0" eb="2">
      <t>シガ</t>
    </rPh>
    <phoneticPr fontId="13"/>
  </si>
  <si>
    <t>徳島 583 て 1951</t>
    <rPh sb="0" eb="2">
      <t>トクシマ</t>
    </rPh>
    <phoneticPr fontId="13"/>
  </si>
  <si>
    <t>福岡 332 て 3121</t>
    <rPh sb="0" eb="2">
      <t>フクオカ</t>
    </rPh>
    <phoneticPr fontId="13"/>
  </si>
  <si>
    <t>合同会社ｸﾘｱｽﾍﾟｰｽ</t>
    <rPh sb="0" eb="4">
      <t>ゴウドウカイシャ</t>
    </rPh>
    <phoneticPr fontId="13"/>
  </si>
  <si>
    <t>横田 一樹</t>
    <rPh sb="0" eb="2">
      <t>ヨコタ</t>
    </rPh>
    <rPh sb="3" eb="5">
      <t>カズキ</t>
    </rPh>
    <phoneticPr fontId="13"/>
  </si>
  <si>
    <t>保証書 取説 ｷｰﾚｽ ﾜﾝｵｰﾅｰ 名変期限3/18</t>
    <rPh sb="0" eb="3">
      <t>ホショウショ</t>
    </rPh>
    <rPh sb="4" eb="6">
      <t>トリセツ</t>
    </rPh>
    <rPh sb="19" eb="23">
      <t>メイヘンキゲン</t>
    </rPh>
    <phoneticPr fontId="13"/>
  </si>
  <si>
    <t>保証書 取説 ｷｰﾚｽ ﾜﾝｵｰﾅｰ 名変期限3/15</t>
    <rPh sb="0" eb="3">
      <t>ホショウショ</t>
    </rPh>
    <rPh sb="4" eb="6">
      <t>トリセツ</t>
    </rPh>
    <rPh sb="19" eb="23">
      <t>メイヘンキゲン</t>
    </rPh>
    <phoneticPr fontId="13"/>
  </si>
  <si>
    <t>長谷川 雅一</t>
    <rPh sb="0" eb="3">
      <t>ハセガワ</t>
    </rPh>
    <rPh sb="4" eb="6">
      <t>マサイチ</t>
    </rPh>
    <phoneticPr fontId="13"/>
  </si>
  <si>
    <t>習志野 393 り 11</t>
    <rPh sb="0" eb="3">
      <t>ナラシノ</t>
    </rPh>
    <phoneticPr fontId="13"/>
  </si>
  <si>
    <t>沼津 399 ち 6016</t>
    <rPh sb="0" eb="2">
      <t>ヌマヅ</t>
    </rPh>
    <phoneticPr fontId="13"/>
  </si>
  <si>
    <t>株式会社ALC Motoren</t>
    <rPh sb="0" eb="4">
      <t>カブシキガイシャ</t>
    </rPh>
    <phoneticPr fontId="13"/>
  </si>
  <si>
    <t>福祉車両非課税車 連絡済 対応OK</t>
    <rPh sb="0" eb="4">
      <t>フクシシャリョウ</t>
    </rPh>
    <rPh sb="4" eb="7">
      <t>ヒカゼイ</t>
    </rPh>
    <rPh sb="7" eb="8">
      <t>シャ</t>
    </rPh>
    <rPh sb="9" eb="11">
      <t>レンラク</t>
    </rPh>
    <rPh sb="11" eb="12">
      <t>ズ</t>
    </rPh>
    <rPh sb="13" eb="15">
      <t>タイオウ</t>
    </rPh>
    <phoneticPr fontId="13"/>
  </si>
  <si>
    <t>ｱｳﾃﾞｨ A3 30TFSIｽﾎﾟｰﾂ</t>
    <phoneticPr fontId="13"/>
  </si>
  <si>
    <t>WAUZZZ8VXLA009446</t>
    <phoneticPr fontId="13"/>
  </si>
  <si>
    <t>堺 300 ま 4366</t>
    <rPh sb="0" eb="1">
      <t>サカイ</t>
    </rPh>
    <phoneticPr fontId="13"/>
  </si>
  <si>
    <t>プジョｰ5008 ｱﾘｭｰﾙ</t>
    <phoneticPr fontId="13"/>
  </si>
  <si>
    <t>VF3M45GZWHL052892</t>
    <phoneticPr fontId="13"/>
  </si>
  <si>
    <t>所沢 302 ち 3960</t>
    <rPh sb="0" eb="2">
      <t>トコロザワ</t>
    </rPh>
    <phoneticPr fontId="13"/>
  </si>
  <si>
    <t>ｱｳﾃﾞｨQ2 30TFSIｽﾎﾟｰﾂ</t>
    <phoneticPr fontId="13"/>
  </si>
  <si>
    <t>WAUZZZGA9LA056787</t>
    <phoneticPr fontId="13"/>
  </si>
  <si>
    <t xml:space="preserve"> ﾒﾙｾﾃﾞｽﾍﾞﾝﾂ Bｸﾗｽ 200d</t>
    <phoneticPr fontId="13"/>
  </si>
  <si>
    <t>WDD1470122J055189</t>
    <phoneticPr fontId="13"/>
  </si>
  <si>
    <t>佐賀 330 た 3876</t>
    <rPh sb="0" eb="2">
      <t>サガ</t>
    </rPh>
    <phoneticPr fontId="13"/>
  </si>
  <si>
    <t>電子ｷｰ</t>
    <rPh sb="0" eb="2">
      <t>デンシ</t>
    </rPh>
    <phoneticPr fontId="13"/>
  </si>
  <si>
    <t>XC40 ｱﾙﾃｨﾒｯﾄｴﾃﾞｨｼｮﾝ</t>
    <phoneticPr fontId="13"/>
  </si>
  <si>
    <t>YV1XZK8M3P2992862</t>
    <phoneticPr fontId="13"/>
  </si>
  <si>
    <t>地図SD(車内)保証書 ﾜﾝｵｰﾅｰ</t>
    <rPh sb="0" eb="2">
      <t>チズ</t>
    </rPh>
    <rPh sb="5" eb="7">
      <t>シャナイ</t>
    </rPh>
    <rPh sb="8" eb="11">
      <t>ホショウショ</t>
    </rPh>
    <phoneticPr fontId="13"/>
  </si>
  <si>
    <t>ﾏｲｸﾛ地図SD(車内)保証書 取説ﾅﾋﾞ取 ｷｰﾚｽ</t>
    <rPh sb="12" eb="15">
      <t>ホショウショ</t>
    </rPh>
    <rPh sb="16" eb="18">
      <t>トリセツ</t>
    </rPh>
    <rPh sb="21" eb="22">
      <t>トリ</t>
    </rPh>
    <phoneticPr fontId="13"/>
  </si>
  <si>
    <t>保証書 取説 ｷｰﾚｽ ｴﾝｼﾞﾝｽﾀｰﾀｰ(車内)</t>
    <rPh sb="0" eb="3">
      <t>ホショウショ</t>
    </rPh>
    <rPh sb="4" eb="6">
      <t>トリセツ</t>
    </rPh>
    <phoneticPr fontId="13"/>
  </si>
  <si>
    <t>582 う 1517</t>
    <phoneticPr fontId="13"/>
  </si>
  <si>
    <t>582 う 1518</t>
    <phoneticPr fontId="13"/>
  </si>
  <si>
    <t>582 う 1519</t>
    <phoneticPr fontId="13"/>
  </si>
  <si>
    <t>582 う 1520</t>
    <phoneticPr fontId="13"/>
  </si>
  <si>
    <t>582 う 1521</t>
    <phoneticPr fontId="13"/>
  </si>
  <si>
    <t>480 ね 4050</t>
    <phoneticPr fontId="13"/>
  </si>
  <si>
    <t>582 う 1522</t>
    <phoneticPr fontId="13"/>
  </si>
  <si>
    <t>480 ね 4051</t>
    <phoneticPr fontId="13"/>
  </si>
  <si>
    <t>301 ね 7251</t>
    <phoneticPr fontId="13"/>
  </si>
  <si>
    <t>301 ね 7252</t>
    <phoneticPr fontId="13"/>
  </si>
  <si>
    <t>301 ね 7253</t>
    <phoneticPr fontId="13"/>
  </si>
  <si>
    <t>301 ね 7254</t>
    <phoneticPr fontId="13"/>
  </si>
  <si>
    <t>301 ね 7255</t>
    <phoneticPr fontId="13"/>
  </si>
  <si>
    <t>301 ね 7256</t>
    <phoneticPr fontId="13"/>
  </si>
  <si>
    <t>301 ね 7261</t>
    <phoneticPr fontId="13"/>
  </si>
  <si>
    <t>501 ゆ 4224</t>
    <phoneticPr fontId="13"/>
  </si>
  <si>
    <t>WMWLR920602H10738</t>
    <phoneticPr fontId="13"/>
  </si>
  <si>
    <t>水戸 302 つ 4228</t>
    <rPh sb="0" eb="2">
      <t>ミト</t>
    </rPh>
    <phoneticPr fontId="13"/>
  </si>
  <si>
    <t>ｷｬﾝｾﾙ返送2/16</t>
    <rPh sb="5" eb="7">
      <t>ヘンソウ</t>
    </rPh>
    <phoneticPr fontId="13"/>
  </si>
  <si>
    <t>A330061</t>
    <phoneticPr fontId="13"/>
  </si>
  <si>
    <t>AWL10-6000958</t>
    <phoneticPr fontId="13"/>
  </si>
  <si>
    <t>A326658</t>
    <phoneticPr fontId="13"/>
  </si>
  <si>
    <t>LA650S-0127545</t>
    <phoneticPr fontId="13"/>
  </si>
  <si>
    <t>A328490</t>
    <phoneticPr fontId="13"/>
  </si>
  <si>
    <t>NHP10-6685079</t>
    <phoneticPr fontId="13"/>
  </si>
  <si>
    <t>A329581</t>
    <phoneticPr fontId="13"/>
  </si>
  <si>
    <t>NKE165-8004268</t>
    <phoneticPr fontId="13"/>
  </si>
  <si>
    <t>A322357</t>
    <phoneticPr fontId="13"/>
  </si>
  <si>
    <t>DK5FW-120765</t>
    <phoneticPr fontId="13"/>
  </si>
  <si>
    <t>A325507</t>
    <phoneticPr fontId="13"/>
  </si>
  <si>
    <t>KEEP-501295</t>
    <phoneticPr fontId="13"/>
  </si>
  <si>
    <t>A329566</t>
    <phoneticPr fontId="13"/>
  </si>
  <si>
    <t>DK5FW-115619</t>
    <phoneticPr fontId="13"/>
  </si>
  <si>
    <t>A329987</t>
    <phoneticPr fontId="13"/>
  </si>
  <si>
    <t>GFC27-023045</t>
    <phoneticPr fontId="13"/>
  </si>
  <si>
    <t>A325271</t>
    <phoneticPr fontId="13"/>
  </si>
  <si>
    <t>URJ201-4211218</t>
    <phoneticPr fontId="13"/>
  </si>
  <si>
    <t>A327749</t>
    <phoneticPr fontId="13"/>
  </si>
  <si>
    <t>GDJ150-0057586</t>
    <phoneticPr fontId="13"/>
  </si>
  <si>
    <t>A330076</t>
    <phoneticPr fontId="13"/>
  </si>
  <si>
    <t>URZ100-0001777</t>
    <phoneticPr fontId="13"/>
  </si>
  <si>
    <t>A327304</t>
    <phoneticPr fontId="13"/>
  </si>
  <si>
    <t>GFC27-235187</t>
    <phoneticPr fontId="13"/>
  </si>
  <si>
    <t>ﾚｸｻｽ GS 300h Iﾊﾟｯｹｰｼﾞ</t>
    <phoneticPr fontId="13"/>
  </si>
  <si>
    <t>10/3/10</t>
    <phoneticPr fontId="13"/>
  </si>
  <si>
    <t xml:space="preserve">保証書 取説  </t>
    <rPh sb="0" eb="3">
      <t>ホショウショ</t>
    </rPh>
    <rPh sb="4" eb="6">
      <t>トリセツ</t>
    </rPh>
    <phoneticPr fontId="13"/>
  </si>
  <si>
    <t>ｱｸｱ Sｽﾀｲﾙ</t>
    <phoneticPr fontId="13"/>
  </si>
  <si>
    <t>8/11/30</t>
    <phoneticPr fontId="13"/>
  </si>
  <si>
    <t>ｶﾛｰﾗﾌｨｰﾙﾀﾞｰ ﾊｲﾌﾞﾘｯﾄﾞG</t>
    <phoneticPr fontId="13"/>
  </si>
  <si>
    <t>CX5 20S ﾌﾞﾗｯｸﾄｰﾝｴﾃﾞｨｼｮﾝ</t>
    <phoneticPr fontId="13"/>
  </si>
  <si>
    <t>8/12/16</t>
    <phoneticPr fontId="13"/>
  </si>
  <si>
    <t>ｾﾚﾅ ﾊｲｳｪｲｽﾀｰ ﾌﾟﾛﾊﾟｲﾛｯﾄｴﾃﾞｨｼｮﾝ</t>
    <phoneticPr fontId="13"/>
  </si>
  <si>
    <t>8/3/3</t>
    <phoneticPr fontId="13"/>
  </si>
  <si>
    <t>ﾚｸｻｽ LX 570</t>
    <phoneticPr fontId="13"/>
  </si>
  <si>
    <t>ﾚｸｻｽ LC LC500Sﾊﾟｯｹｰｼﾞ</t>
    <phoneticPr fontId="13"/>
  </si>
  <si>
    <t>ｾﾚﾅ ﾁｪｱｷｬﾌﾞｽﾛｰﾌﾟ車椅子ｾｶﾝﾄﾞ仕様</t>
    <rPh sb="16" eb="19">
      <t>クルマイス</t>
    </rPh>
    <rPh sb="24" eb="26">
      <t>シヨウ</t>
    </rPh>
    <phoneticPr fontId="13"/>
  </si>
  <si>
    <t>8/10/7</t>
    <phoneticPr fontId="13"/>
  </si>
  <si>
    <t>神戸 781 き 178</t>
    <rPh sb="0" eb="2">
      <t>コウベ</t>
    </rPh>
    <phoneticPr fontId="13"/>
  </si>
  <si>
    <t>582 う 1552</t>
    <phoneticPr fontId="13"/>
  </si>
  <si>
    <t>582 う 1553</t>
    <phoneticPr fontId="13"/>
  </si>
  <si>
    <t>A329095</t>
    <phoneticPr fontId="13"/>
  </si>
  <si>
    <t>JF3-5185163</t>
    <phoneticPr fontId="13"/>
  </si>
  <si>
    <t>A327999</t>
    <phoneticPr fontId="13"/>
  </si>
  <si>
    <t>KEEP-604723</t>
    <phoneticPr fontId="13"/>
  </si>
  <si>
    <t>A328109</t>
    <phoneticPr fontId="13"/>
  </si>
  <si>
    <t>MXUA80-0110706</t>
    <phoneticPr fontId="13"/>
  </si>
  <si>
    <t>保証書 取説 ﾜﾝｵｰﾅｰ 福祉車両</t>
    <rPh sb="0" eb="3">
      <t>ホショウショ</t>
    </rPh>
    <rPh sb="4" eb="6">
      <t>トリセツ</t>
    </rPh>
    <rPh sb="14" eb="18">
      <t>フクシシャリョウ</t>
    </rPh>
    <phoneticPr fontId="13"/>
  </si>
  <si>
    <t>N-BOX L</t>
    <phoneticPr fontId="13"/>
  </si>
  <si>
    <t>9/8/8</t>
    <phoneticPr fontId="13"/>
  </si>
  <si>
    <t>ﾊﾘｱｰ Z</t>
    <phoneticPr fontId="13"/>
  </si>
  <si>
    <t>27-3102</t>
  </si>
  <si>
    <t>27-3103</t>
  </si>
  <si>
    <t>27-3104</t>
  </si>
  <si>
    <t>27-3105</t>
  </si>
  <si>
    <t>27-3106</t>
  </si>
  <si>
    <t>27-3107</t>
  </si>
  <si>
    <t>27-3108</t>
  </si>
  <si>
    <t>27-3109</t>
  </si>
  <si>
    <t>27-3110</t>
  </si>
  <si>
    <t>27-3111</t>
  </si>
  <si>
    <t>27-3112</t>
  </si>
  <si>
    <t>27-3113</t>
  </si>
  <si>
    <t>27-3114</t>
  </si>
  <si>
    <t>27-3115</t>
  </si>
  <si>
    <t>27-3116</t>
  </si>
  <si>
    <t>27-3117</t>
  </si>
  <si>
    <t>27-3118</t>
  </si>
  <si>
    <t>27-3119</t>
  </si>
  <si>
    <t>27-3120</t>
  </si>
  <si>
    <t>27-3121</t>
  </si>
  <si>
    <t>27-3122</t>
  </si>
  <si>
    <t>八王子 130 す 2507</t>
    <rPh sb="0" eb="3">
      <t>ハチオウジ</t>
    </rPh>
    <phoneticPr fontId="13"/>
  </si>
  <si>
    <t>ﾄﾖﾀS&amp;D西東京株式会社</t>
    <rPh sb="6" eb="9">
      <t>ニシトウキョウ</t>
    </rPh>
    <rPh sb="9" eb="13">
      <t>カブシキガイシャ</t>
    </rPh>
    <phoneticPr fontId="13"/>
  </si>
  <si>
    <t>保証書 取説 ﾅﾋﾞ取 ｽﾍﾟｱｷｰ2個</t>
    <rPh sb="0" eb="3">
      <t>ホショウショ</t>
    </rPh>
    <rPh sb="4" eb="6">
      <t>トリセツ</t>
    </rPh>
    <rPh sb="10" eb="11">
      <t>トリ</t>
    </rPh>
    <rPh sb="19" eb="20">
      <t>コ</t>
    </rPh>
    <phoneticPr fontId="13"/>
  </si>
  <si>
    <t>横浜 583 き 2240</t>
    <rPh sb="0" eb="2">
      <t>ヨコハマ</t>
    </rPh>
    <phoneticPr fontId="13"/>
  </si>
  <si>
    <t>東日本三菱自動車株式会社</t>
    <rPh sb="0" eb="3">
      <t>ヒガシニホン</t>
    </rPh>
    <rPh sb="3" eb="5">
      <t>ミツビシ</t>
    </rPh>
    <rPh sb="5" eb="12">
      <t>ジドウシャカブシキガイシャ</t>
    </rPh>
    <phoneticPr fontId="13"/>
  </si>
  <si>
    <t>山口 336 そ 128</t>
    <rPh sb="0" eb="2">
      <t>ヤマグチ</t>
    </rPh>
    <phoneticPr fontId="13"/>
  </si>
  <si>
    <t>NSP160-0053290</t>
    <phoneticPr fontId="13"/>
  </si>
  <si>
    <t>福岡 499 て 6004</t>
    <rPh sb="0" eb="2">
      <t>フクオカ</t>
    </rPh>
    <phoneticPr fontId="13"/>
  </si>
  <si>
    <t>滋賀 301 は 1641</t>
    <rPh sb="0" eb="2">
      <t>シガ</t>
    </rPh>
    <phoneticPr fontId="13"/>
  </si>
  <si>
    <t>滋賀日産自動車株式会社</t>
    <rPh sb="0" eb="2">
      <t>シガ</t>
    </rPh>
    <rPh sb="2" eb="11">
      <t>ニッサンジドウシャカブシキガイシャ</t>
    </rPh>
    <phoneticPr fontId="13"/>
  </si>
  <si>
    <t>有限会社小川自動車</t>
    <rPh sb="0" eb="4">
      <t>ユウゲンカイシャ</t>
    </rPh>
    <rPh sb="4" eb="6">
      <t>オガワ</t>
    </rPh>
    <rPh sb="6" eb="9">
      <t>ジドウシャ</t>
    </rPh>
    <phoneticPr fontId="13"/>
  </si>
  <si>
    <t>神戸 334 る 2212</t>
    <rPh sb="0" eb="2">
      <t>コウベ</t>
    </rPh>
    <phoneticPr fontId="13"/>
  </si>
  <si>
    <t>高松 399 す 5559</t>
    <rPh sb="0" eb="2">
      <t>タカマツ</t>
    </rPh>
    <phoneticPr fontId="13"/>
  </si>
  <si>
    <t>香川 300 み 7305</t>
    <rPh sb="0" eb="2">
      <t>カガワ</t>
    </rPh>
    <phoneticPr fontId="13"/>
  </si>
  <si>
    <t>大分 543 み 24</t>
    <rPh sb="0" eb="2">
      <t>オオイタ</t>
    </rPh>
    <phoneticPr fontId="13"/>
  </si>
  <si>
    <t>岡崎 330 つ 5700</t>
    <rPh sb="0" eb="2">
      <t>オカザキ</t>
    </rPh>
    <phoneticPr fontId="13"/>
  </si>
  <si>
    <t>保証書 取説 ｷｰﾚｽ(車内) わﾅﾝﾊﾞｰ切り取る</t>
    <rPh sb="0" eb="3">
      <t>ホショウショ</t>
    </rPh>
    <rPh sb="4" eb="6">
      <t>トリセツ</t>
    </rPh>
    <rPh sb="12" eb="14">
      <t>シャナイ</t>
    </rPh>
    <rPh sb="22" eb="23">
      <t>キ</t>
    </rPh>
    <rPh sb="24" eb="25">
      <t>ト</t>
    </rPh>
    <phoneticPr fontId="13"/>
  </si>
  <si>
    <t>鳥取 584 な 1118</t>
    <rPh sb="0" eb="2">
      <t>トットリ</t>
    </rPh>
    <phoneticPr fontId="13"/>
  </si>
  <si>
    <t>鳥取ﾀﾞｲﾊﾂ販売株式会社</t>
    <rPh sb="0" eb="2">
      <t>トットリ</t>
    </rPh>
    <rPh sb="7" eb="13">
      <t>ハンバイカブシキガイシャ</t>
    </rPh>
    <phoneticPr fontId="13"/>
  </si>
  <si>
    <t>岡崎 580 た 6229</t>
    <rPh sb="0" eb="2">
      <t>オカザキ</t>
    </rPh>
    <phoneticPr fontId="13"/>
  </si>
  <si>
    <t>株式会社ｽｽﾞｷ自販中部</t>
    <rPh sb="0" eb="4">
      <t>カブシキガイシャ</t>
    </rPh>
    <rPh sb="9" eb="11">
      <t>チュウブ</t>
    </rPh>
    <phoneticPr fontId="13"/>
  </si>
  <si>
    <t>なにわ 5P8 ろ 9518</t>
    <phoneticPr fontId="13"/>
  </si>
  <si>
    <t>京都 580 わ 8269</t>
    <rPh sb="0" eb="2">
      <t>キョウト</t>
    </rPh>
    <phoneticPr fontId="13"/>
  </si>
  <si>
    <t>保証書 地図SD</t>
    <rPh sb="4" eb="6">
      <t>チズ</t>
    </rPh>
    <phoneticPr fontId="13"/>
  </si>
  <si>
    <t>和泉 586 よ 70</t>
    <rPh sb="0" eb="2">
      <t>イズミ</t>
    </rPh>
    <phoneticPr fontId="13"/>
  </si>
  <si>
    <t>株式会社ﾎﾝﾀﾞ泉州販売</t>
    <rPh sb="0" eb="4">
      <t>カブシキガイシャ</t>
    </rPh>
    <rPh sb="8" eb="10">
      <t>センシュウ</t>
    </rPh>
    <rPh sb="10" eb="12">
      <t>ハンバイ</t>
    </rPh>
    <phoneticPr fontId="13"/>
  </si>
  <si>
    <t>京都 580 わ 8268</t>
    <rPh sb="0" eb="2">
      <t>キョウト</t>
    </rPh>
    <phoneticPr fontId="13"/>
  </si>
  <si>
    <t>広島 580 ゆ 2159</t>
    <rPh sb="0" eb="2">
      <t>ヒロシマ</t>
    </rPh>
    <phoneticPr fontId="13"/>
  </si>
  <si>
    <t>保証書 取説 ｷｰﾚｽ SD</t>
    <rPh sb="4" eb="6">
      <t>トリセツ</t>
    </rPh>
    <phoneticPr fontId="13"/>
  </si>
  <si>
    <t>名古屋 326 め 3180</t>
    <rPh sb="0" eb="3">
      <t>ナゴヤ</t>
    </rPh>
    <phoneticPr fontId="13"/>
  </si>
  <si>
    <t>名古屋 347 め 93</t>
    <rPh sb="0" eb="3">
      <t>ナゴヤ</t>
    </rPh>
    <phoneticPr fontId="13"/>
  </si>
  <si>
    <t>広島 580 わ 8469</t>
    <rPh sb="0" eb="2">
      <t>ヒロシマ</t>
    </rPh>
    <phoneticPr fontId="13"/>
  </si>
  <si>
    <t>広島 587 こ 225</t>
    <rPh sb="0" eb="2">
      <t>ヒロシマ</t>
    </rPh>
    <phoneticPr fontId="13"/>
  </si>
  <si>
    <t>竹林自動車販売株式会社</t>
    <rPh sb="0" eb="2">
      <t>タケバヤシ</t>
    </rPh>
    <rPh sb="2" eb="5">
      <t>ジドウシャ</t>
    </rPh>
    <rPh sb="5" eb="7">
      <t>ハンバイ</t>
    </rPh>
    <rPh sb="7" eb="11">
      <t>カブシキガイシャ</t>
    </rPh>
    <phoneticPr fontId="13"/>
  </si>
  <si>
    <t>板橋 580 ろ 6771</t>
    <rPh sb="0" eb="2">
      <t>イタバシ</t>
    </rPh>
    <phoneticPr fontId="13"/>
  </si>
  <si>
    <t>品川 5X3 ろ 3030</t>
    <rPh sb="0" eb="2">
      <t>シナガワ</t>
    </rPh>
    <phoneticPr fontId="13"/>
  </si>
  <si>
    <t>寒川 太一</t>
    <rPh sb="0" eb="2">
      <t>サムカワ</t>
    </rPh>
    <rPh sb="3" eb="5">
      <t>タイチ</t>
    </rPh>
    <phoneticPr fontId="13"/>
  </si>
  <si>
    <t>保証書 取説 ｷｰﾚｽ SD ﾅﾋﾞ取 ﾜﾝｵｰﾅｰ</t>
    <rPh sb="0" eb="3">
      <t>ホショウショ</t>
    </rPh>
    <rPh sb="4" eb="6">
      <t>トリセツ</t>
    </rPh>
    <rPh sb="18" eb="19">
      <t>トリ</t>
    </rPh>
    <phoneticPr fontId="13"/>
  </si>
  <si>
    <t>ｱﾌﾞﾄﾞｩﾙ ﾜﾋﾄﾞ</t>
    <phoneticPr fontId="13"/>
  </si>
  <si>
    <t>582 う 1611</t>
    <phoneticPr fontId="13"/>
  </si>
  <si>
    <t>書類3月1週目着との連絡あり</t>
    <rPh sb="0" eb="2">
      <t>ショルイ</t>
    </rPh>
    <rPh sb="3" eb="4">
      <t>ガツ</t>
    </rPh>
    <rPh sb="5" eb="7">
      <t>シュウメ</t>
    </rPh>
    <rPh sb="7" eb="8">
      <t>チャク</t>
    </rPh>
    <rPh sb="10" eb="12">
      <t>レンラク</t>
    </rPh>
    <phoneticPr fontId="13"/>
  </si>
  <si>
    <r>
      <t>←書類車内よりあがってきた保証書 取説 ｷｰﾚｽ ﾘﾓｺﾝ(車内)</t>
    </r>
    <r>
      <rPr>
        <sz val="9"/>
        <color theme="3"/>
        <rFont val="ＭＳ Ｐゴシック"/>
        <family val="3"/>
        <charset val="128"/>
        <scheme val="minor"/>
      </rPr>
      <t xml:space="preserve"> 必要OK</t>
    </r>
    <rPh sb="1" eb="3">
      <t>ショルイ</t>
    </rPh>
    <rPh sb="3" eb="5">
      <t>シャナイ</t>
    </rPh>
    <rPh sb="13" eb="16">
      <t>ホショウショ</t>
    </rPh>
    <rPh sb="17" eb="19">
      <t>トリセツ</t>
    </rPh>
    <rPh sb="30" eb="32">
      <t>シャナイ</t>
    </rPh>
    <rPh sb="34" eb="36">
      <t>ヒツヨウ</t>
    </rPh>
    <phoneticPr fontId="13"/>
  </si>
  <si>
    <r>
      <t>保証書 ｷｰﾚｽ ﾜﾝｵｰﾅｰ</t>
    </r>
    <r>
      <rPr>
        <sz val="11"/>
        <color theme="3"/>
        <rFont val="ＭＳ Ｐゴシック"/>
        <family val="3"/>
        <charset val="128"/>
        <scheme val="minor"/>
      </rPr>
      <t xml:space="preserve"> 距離おかしい</t>
    </r>
    <rPh sb="0" eb="3">
      <t>ホショウショ</t>
    </rPh>
    <rPh sb="16" eb="18">
      <t>キョリ</t>
    </rPh>
    <phoneticPr fontId="13"/>
  </si>
  <si>
    <r>
      <rPr>
        <sz val="11"/>
        <color theme="3"/>
        <rFont val="ＭＳ Ｐゴシック"/>
        <family val="3"/>
        <charset val="128"/>
        <scheme val="minor"/>
      </rPr>
      <t>保証書 取説 ﾅﾋﾞ取 ﾏｲｸﾛSD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ﾚﾝﾀｶｰｽﾍﾟｱｷｰなしｸﾚｰﾑ済</t>
    </r>
    <rPh sb="0" eb="3">
      <t>ホショウショ</t>
    </rPh>
    <rPh sb="4" eb="6">
      <t>トリセツ</t>
    </rPh>
    <rPh sb="10" eb="11">
      <t>トリ</t>
    </rPh>
    <rPh sb="36" eb="37">
      <t>ズ</t>
    </rPh>
    <phoneticPr fontId="13"/>
  </si>
  <si>
    <t>27-3123</t>
  </si>
  <si>
    <t>27-3124</t>
  </si>
  <si>
    <t>27-3125</t>
  </si>
  <si>
    <t>27-3126</t>
  </si>
  <si>
    <t>27-3127</t>
  </si>
  <si>
    <t>27-3128</t>
  </si>
  <si>
    <t>27-3129</t>
  </si>
  <si>
    <t>27-3130</t>
  </si>
  <si>
    <t>27-3131</t>
  </si>
  <si>
    <t>TA近畿</t>
    <rPh sb="2" eb="4">
      <t>キンキ</t>
    </rPh>
    <phoneticPr fontId="13"/>
  </si>
  <si>
    <t>ﾀﾝﾄ　L　</t>
    <phoneticPr fontId="13"/>
  </si>
  <si>
    <t>LA650S-0108983</t>
    <phoneticPr fontId="13"/>
  </si>
  <si>
    <t>ﾎﾞﾙﾎﾞXC90　T5　AWDﾓｰﾒﾝﾀﾑ</t>
    <phoneticPr fontId="13"/>
  </si>
  <si>
    <t>N BOXｶｽﾀﾑ　SSﾌﾞﾗｯｸｽﾀｲﾙﾊﾟｯｹｰｼﾞ</t>
    <phoneticPr fontId="13"/>
  </si>
  <si>
    <t>JF1-2553244</t>
    <phoneticPr fontId="13"/>
  </si>
  <si>
    <t>VWｻﾞ･ﾋﾞｰﾄﾙ</t>
    <phoneticPr fontId="13"/>
  </si>
  <si>
    <t>ﾌﾟﾛﾎﾞｯｸｽ　GL</t>
    <phoneticPr fontId="13"/>
  </si>
  <si>
    <t>NHP160-0028752</t>
    <phoneticPr fontId="13"/>
  </si>
  <si>
    <t>ﾙﾉｰﾄｩｲﾝｺﾞ　EDC</t>
    <phoneticPr fontId="13"/>
  </si>
  <si>
    <t>ｼﾞｰﾌﾟ　ﾚﾈｹﾞｰﾄﾞ　ﾘﾐﾃｯﾄﾞ</t>
    <phoneticPr fontId="13"/>
  </si>
  <si>
    <t>ｺﾍﾟﾝ　ｴｸｽﾌﾟﾚｲS</t>
    <phoneticPr fontId="13"/>
  </si>
  <si>
    <t>LA400K-0011556</t>
    <phoneticPr fontId="13"/>
  </si>
  <si>
    <t>MR92S-132369</t>
    <phoneticPr fontId="13"/>
  </si>
  <si>
    <t>　</t>
    <phoneticPr fontId="13"/>
  </si>
  <si>
    <t>VW　Tｸﾛｽ　TSI</t>
    <phoneticPr fontId="13"/>
  </si>
  <si>
    <t>27-3132</t>
  </si>
  <si>
    <t>27-3133</t>
  </si>
  <si>
    <t>27-3134</t>
  </si>
  <si>
    <t>27-3135</t>
  </si>
  <si>
    <t>27-3136</t>
  </si>
  <si>
    <t>27-3137</t>
  </si>
  <si>
    <t>27-3138</t>
  </si>
  <si>
    <t>ｵﾘｯｸｽ神戸</t>
    <rPh sb="5" eb="7">
      <t>コウベ</t>
    </rPh>
    <phoneticPr fontId="13"/>
  </si>
  <si>
    <t>YV1LF10MCJ1203282</t>
    <phoneticPr fontId="13"/>
  </si>
  <si>
    <t>WVWZZZ16ZFM628895</t>
    <phoneticPr fontId="13"/>
  </si>
  <si>
    <t>VF1AH000XK0804000</t>
    <phoneticPr fontId="13"/>
  </si>
  <si>
    <t>愛媛　501　み　3665</t>
    <rPh sb="0" eb="2">
      <t>エヒメ</t>
    </rPh>
    <phoneticPr fontId="13"/>
  </si>
  <si>
    <t>1C4BU0000LPL57857</t>
    <phoneticPr fontId="13"/>
  </si>
  <si>
    <t>愛媛　330　ち　7027</t>
    <rPh sb="0" eb="2">
      <t>エヒメ</t>
    </rPh>
    <phoneticPr fontId="13"/>
  </si>
  <si>
    <t>広島　582　せ　4346</t>
    <rPh sb="0" eb="2">
      <t>ヒロシマ</t>
    </rPh>
    <phoneticPr fontId="13"/>
  </si>
  <si>
    <t>ZFA3340000P897098</t>
    <phoneticPr fontId="13"/>
  </si>
  <si>
    <t>WVGZZZC1ZMY037508</t>
    <phoneticPr fontId="13"/>
  </si>
  <si>
    <t>MﾍﾞﾝﾂA180　ｽﾀｲﾙｾﾀﾞﾝ　AMGﾗｲﾝ</t>
    <phoneticPr fontId="13"/>
  </si>
  <si>
    <t>横浜　306　つ　9628</t>
    <rPh sb="0" eb="2">
      <t>ヨコハマ</t>
    </rPh>
    <phoneticPr fontId="13"/>
  </si>
  <si>
    <t>手帳　取説　ｽﾍﾟｱｷｰ　ﾜﾝｵｰﾅｰ</t>
    <rPh sb="0" eb="2">
      <t>テチョウ</t>
    </rPh>
    <rPh sb="3" eb="5">
      <t>トリセツ</t>
    </rPh>
    <phoneticPr fontId="13"/>
  </si>
  <si>
    <t>ｳｪｲｸ　Gﾀｰﾎﾞ　SaⅢ</t>
    <phoneticPr fontId="13"/>
  </si>
  <si>
    <t>LA700S-0133349</t>
    <phoneticPr fontId="13"/>
  </si>
  <si>
    <t>LA350S-0309186</t>
    <phoneticPr fontId="13"/>
  </si>
  <si>
    <t>LA650S-1022816</t>
    <phoneticPr fontId="13"/>
  </si>
  <si>
    <t>整備手帳　　ﾚﾝﾀｶｰ</t>
    <rPh sb="0" eb="4">
      <t>セイビテチョウ</t>
    </rPh>
    <phoneticPr fontId="13"/>
  </si>
  <si>
    <t>MR92S-489636</t>
    <phoneticPr fontId="13"/>
  </si>
  <si>
    <t>27-3139</t>
  </si>
  <si>
    <t>27-3140</t>
  </si>
  <si>
    <t>27-3141</t>
  </si>
  <si>
    <t>27-3142</t>
  </si>
  <si>
    <t>27-3143</t>
  </si>
  <si>
    <t>LA650S-0202749</t>
    <phoneticPr fontId="13"/>
  </si>
  <si>
    <t>MK53S-101478</t>
    <phoneticPr fontId="13"/>
  </si>
  <si>
    <t>HE22S-188472</t>
    <phoneticPr fontId="13"/>
  </si>
  <si>
    <t>N　ONE　ﾌﾟﾚﾐｱﾑLﾊﾟｯｹｰｼﾞ</t>
    <phoneticPr fontId="13"/>
  </si>
  <si>
    <t>JG1-1075120</t>
    <phoneticPr fontId="13"/>
  </si>
  <si>
    <t>広島　591　を　66</t>
    <rPh sb="0" eb="2">
      <t>ヒロシマ</t>
    </rPh>
    <phoneticPr fontId="13"/>
  </si>
  <si>
    <t>茶</t>
    <rPh sb="0" eb="1">
      <t>チャ</t>
    </rPh>
    <phoneticPr fontId="13"/>
  </si>
  <si>
    <t>WMWLN720902D33791</t>
    <phoneticPr fontId="13"/>
  </si>
  <si>
    <t>保証書 取説 ｷｰﾚｽ ﾅﾋﾞ取 ﾐﾆB-CAS</t>
    <phoneticPr fontId="13"/>
  </si>
  <si>
    <t>582 う 1686</t>
    <phoneticPr fontId="13"/>
  </si>
  <si>
    <t>奈良 580 め 5165</t>
    <rPh sb="0" eb="2">
      <t>ナラ</t>
    </rPh>
    <phoneticPr fontId="13"/>
  </si>
  <si>
    <t>井上 美千子</t>
    <rPh sb="0" eb="2">
      <t>イノウエ</t>
    </rPh>
    <rPh sb="3" eb="4">
      <t>ミ</t>
    </rPh>
    <rPh sb="4" eb="5">
      <t>セン</t>
    </rPh>
    <rPh sb="5" eb="6">
      <t>コ</t>
    </rPh>
    <phoneticPr fontId="13"/>
  </si>
  <si>
    <t>2/19</t>
    <phoneticPr fontId="13"/>
  </si>
  <si>
    <t>ｷｬｾﾙ返送 2/19</t>
    <rPh sb="4" eb="6">
      <t>ヘンソウ</t>
    </rPh>
    <phoneticPr fontId="13"/>
  </si>
  <si>
    <t>ﾎﾝﾀﾞ奈良自販株式会社</t>
    <rPh sb="4" eb="6">
      <t>ナラ</t>
    </rPh>
    <rPh sb="6" eb="8">
      <t>ジハン</t>
    </rPh>
    <rPh sb="8" eb="12">
      <t>カブシキガイシャ</t>
    </rPh>
    <phoneticPr fontId="13"/>
  </si>
  <si>
    <t>名古屋 582 ゆ 4666</t>
    <rPh sb="0" eb="3">
      <t>ナゴヤ</t>
    </rPh>
    <phoneticPr fontId="13"/>
  </si>
  <si>
    <t>愛知県中古自動車販売商工組合</t>
    <rPh sb="0" eb="2">
      <t>アイチ</t>
    </rPh>
    <rPh sb="2" eb="3">
      <t>ケン</t>
    </rPh>
    <rPh sb="3" eb="10">
      <t>チュウコジドウシャハンバイ</t>
    </rPh>
    <rPh sb="10" eb="14">
      <t>ショウコウクミアイ</t>
    </rPh>
    <phoneticPr fontId="13"/>
  </si>
  <si>
    <t xml:space="preserve">保証書 取説 ｷｰﾚｽ </t>
    <rPh sb="4" eb="6">
      <t>トリセツ</t>
    </rPh>
    <phoneticPr fontId="13"/>
  </si>
  <si>
    <t>保証書 取説 ｷｰﾚｽ ﾘﾓｺﾝ ﾏｲｸﾛ地図SD</t>
    <rPh sb="0" eb="3">
      <t>ホショウショ</t>
    </rPh>
    <rPh sb="4" eb="6">
      <t>トリセツ</t>
    </rPh>
    <rPh sb="21" eb="23">
      <t>チズ</t>
    </rPh>
    <phoneticPr fontId="13"/>
  </si>
  <si>
    <t>倉本 勤次</t>
    <rPh sb="0" eb="2">
      <t>クラモト</t>
    </rPh>
    <rPh sb="3" eb="4">
      <t>ツトム</t>
    </rPh>
    <rPh sb="4" eb="5">
      <t>ジ</t>
    </rPh>
    <phoneticPr fontId="13"/>
  </si>
  <si>
    <t>保証書 取説 ｷｰﾚｽ  地図SD</t>
    <rPh sb="4" eb="6">
      <t>トリセツ</t>
    </rPh>
    <rPh sb="13" eb="15">
      <t>チズ</t>
    </rPh>
    <phoneticPr fontId="13"/>
  </si>
  <si>
    <t>森田金属株式会社</t>
    <rPh sb="0" eb="2">
      <t>モリタ</t>
    </rPh>
    <rPh sb="2" eb="4">
      <t>キンゾク</t>
    </rPh>
    <rPh sb="4" eb="8">
      <t>カブシキガイシャ</t>
    </rPh>
    <phoneticPr fontId="13"/>
  </si>
  <si>
    <t>保証書 取説 ﾅﾋﾞ取 ｷｰﾚｽ2個 ﾜﾝｵｰﾅｰ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</si>
  <si>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和泉 585 ろ 8517</t>
    <rPh sb="0" eb="2">
      <t>イズミ</t>
    </rPh>
    <phoneticPr fontId="13"/>
  </si>
  <si>
    <t>保証書 取説 ﾅﾋﾞSD</t>
    <rPh sb="0" eb="3">
      <t>ホショウショ</t>
    </rPh>
    <rPh sb="4" eb="6">
      <t>トリセツ</t>
    </rPh>
    <phoneticPr fontId="13"/>
  </si>
  <si>
    <t>VW ｻﾞﾋﾞｰﾄﾙ</t>
    <phoneticPr fontId="13"/>
  </si>
  <si>
    <t>WVWZZZ16ZKM704247</t>
    <phoneticPr fontId="13"/>
  </si>
  <si>
    <t>ﾊｲｾﾞｯﾄｶｰｺﾞ ﾃﾞﾗｯｸｽ</t>
    <phoneticPr fontId="13"/>
  </si>
  <si>
    <t>S700V-0173306</t>
    <phoneticPr fontId="13"/>
  </si>
  <si>
    <t>安雲野 480 あ 320</t>
    <rPh sb="0" eb="1">
      <t>ヤス</t>
    </rPh>
    <rPh sb="1" eb="2">
      <t>クモ</t>
    </rPh>
    <rPh sb="2" eb="3">
      <t>ノ</t>
    </rPh>
    <phoneticPr fontId="13"/>
  </si>
  <si>
    <t>582 う 1873</t>
    <phoneticPr fontId="13"/>
  </si>
  <si>
    <t>301 ね 7417</t>
    <phoneticPr fontId="13"/>
  </si>
  <si>
    <t>27-3144</t>
  </si>
  <si>
    <t>27-3145</t>
  </si>
  <si>
    <t>27-3146</t>
  </si>
  <si>
    <t>27-3147</t>
  </si>
  <si>
    <t>27-3148</t>
  </si>
  <si>
    <t>27-3149</t>
  </si>
  <si>
    <t>27-3150</t>
  </si>
  <si>
    <t>YV1FWA8RDH1354163</t>
    <phoneticPr fontId="13"/>
  </si>
  <si>
    <t>WMWXU52060TH96152</t>
    <phoneticPr fontId="13"/>
  </si>
  <si>
    <t>BMW 530 Iﾂｰﾘﾝｸﾞ MSP</t>
    <phoneticPr fontId="13"/>
  </si>
  <si>
    <t>WBA32BM020CG44448</t>
    <phoneticPr fontId="13"/>
  </si>
  <si>
    <t>ﾊﾘｱｰ ｴﾚｶﾞﾝｽ</t>
    <phoneticPr fontId="13"/>
  </si>
  <si>
    <t>ﾒﾙｾﾃﾞｽﾍﾞﾝﾂ C 220d</t>
    <phoneticPr fontId="13"/>
  </si>
  <si>
    <t>W1K2052142G080033</t>
    <phoneticPr fontId="13"/>
  </si>
  <si>
    <t>974(312)</t>
    <phoneticPr fontId="13"/>
  </si>
  <si>
    <t>975(18)</t>
    <phoneticPr fontId="13"/>
  </si>
  <si>
    <t>ﾎﾞﾙﾎﾞV60 D4 ﾀﾞｲﾅﾐｯｸｴﾃﾞｨｼｮﾝ</t>
    <phoneticPr fontId="13"/>
  </si>
  <si>
    <t>名古屋 331 す 8287</t>
    <rPh sb="0" eb="3">
      <t>ナゴヤ</t>
    </rPh>
    <phoneticPr fontId="13"/>
  </si>
  <si>
    <t>ZSU60-109402</t>
    <phoneticPr fontId="13"/>
  </si>
  <si>
    <t>保証書 ｽﾍﾟｱｷｰ ﾐﾆB-CASｶｰﾄﾞ</t>
    <rPh sb="0" eb="3">
      <t>ホショウショ</t>
    </rPh>
    <phoneticPr fontId="13"/>
  </si>
  <si>
    <t>四日市 310　め　11</t>
    <rPh sb="0" eb="3">
      <t>ヨッカイチ</t>
    </rPh>
    <phoneticPr fontId="13"/>
  </si>
  <si>
    <t>株式会社ｼｭﾃﾙﾝﾃｨｰｱｲ</t>
    <rPh sb="0" eb="4">
      <t>カブシキガイシャ</t>
    </rPh>
    <phoneticPr fontId="13"/>
  </si>
  <si>
    <t>永山 雅也</t>
    <rPh sb="0" eb="2">
      <t>ナガヤマ</t>
    </rPh>
    <rPh sb="3" eb="5">
      <t>マサヤ</t>
    </rPh>
    <phoneticPr fontId="13"/>
  </si>
  <si>
    <t>株式会社木澤自動車</t>
    <rPh sb="0" eb="4">
      <t>カブシキガイシャ</t>
    </rPh>
    <rPh sb="4" eb="6">
      <t>キサワ</t>
    </rPh>
    <rPh sb="6" eb="9">
      <t>ジドウシャ</t>
    </rPh>
    <phoneticPr fontId="13"/>
  </si>
  <si>
    <t>株式会社ｸﾞﾗﾝﾄﾞｴﾝﾀｰﾌﾟﾗｲｽﾞ</t>
    <rPh sb="0" eb="4">
      <t>カブシキガイシャ</t>
    </rPh>
    <phoneticPr fontId="13"/>
  </si>
  <si>
    <t>名古屋 360 の 610</t>
    <rPh sb="0" eb="3">
      <t>ナゴヤ</t>
    </rPh>
    <phoneticPr fontId="13"/>
  </si>
  <si>
    <t>ﾌｧｰﾚﾝ名古屋中央株式会社</t>
    <rPh sb="5" eb="8">
      <t>ナゴヤ</t>
    </rPh>
    <rPh sb="8" eb="10">
      <t>チュウオウ</t>
    </rPh>
    <rPh sb="10" eb="14">
      <t>カブシキガイシャ</t>
    </rPh>
    <phoneticPr fontId="13"/>
  </si>
  <si>
    <t>名古屋 372 そ 1002</t>
    <rPh sb="0" eb="3">
      <t>ナゴヤ</t>
    </rPh>
    <phoneticPr fontId="13"/>
  </si>
  <si>
    <t>Case株式会社</t>
    <rPh sb="4" eb="8">
      <t>カブシキガイシャ</t>
    </rPh>
    <phoneticPr fontId="13"/>
  </si>
  <si>
    <t>立田 優希</t>
    <rPh sb="0" eb="2">
      <t>タテダ</t>
    </rPh>
    <rPh sb="3" eb="5">
      <t>ユウキ</t>
    </rPh>
    <phoneticPr fontId="13"/>
  </si>
  <si>
    <t>保証書 取説 ﾅﾋﾞ取 ｷｰﾚｽ(ﾒｶｷｰなし)</t>
    <rPh sb="0" eb="3">
      <t>ホショウショ</t>
    </rPh>
    <rPh sb="4" eb="6">
      <t>トリセツ</t>
    </rPh>
    <rPh sb="10" eb="11">
      <t>トリ</t>
    </rPh>
    <phoneticPr fontId="13"/>
  </si>
  <si>
    <t>名古屋 581 わ 7184</t>
    <rPh sb="0" eb="3">
      <t>ナゴヤ</t>
    </rPh>
    <phoneticPr fontId="13"/>
  </si>
  <si>
    <t>J-netﾚﾝﾀﾘｰｽ株式会社</t>
    <rPh sb="2" eb="15">
      <t>NETレンタリースカブシキガイシャ</t>
    </rPh>
    <phoneticPr fontId="13"/>
  </si>
  <si>
    <t>宮田 真吾</t>
    <rPh sb="0" eb="2">
      <t>ミヤタ</t>
    </rPh>
    <rPh sb="3" eb="5">
      <t>シンゴ</t>
    </rPh>
    <phoneticPr fontId="13"/>
  </si>
  <si>
    <t>奈良 500 わ 7687</t>
    <rPh sb="0" eb="2">
      <t>ナラ</t>
    </rPh>
    <phoneticPr fontId="13"/>
  </si>
  <si>
    <t>株式会社ｷﾝｷﾚﾝﾀｶｰ大阪</t>
    <rPh sb="0" eb="4">
      <t>カブシキガイシャ</t>
    </rPh>
    <rPh sb="12" eb="14">
      <t>オオサカ</t>
    </rPh>
    <phoneticPr fontId="13"/>
  </si>
  <si>
    <t>大阪 33P り 88</t>
    <rPh sb="0" eb="2">
      <t>オオサカ</t>
    </rPh>
    <phoneticPr fontId="13"/>
  </si>
  <si>
    <t>ﾄﾖﾀﾓﾋﾞﾘﾃｨ新大阪株式会社</t>
    <rPh sb="9" eb="12">
      <t>シンダイサカ</t>
    </rPh>
    <rPh sb="12" eb="16">
      <t>カブシキガイシャ</t>
    </rPh>
    <phoneticPr fontId="13"/>
  </si>
  <si>
    <t>広島 333 と 404</t>
    <rPh sb="0" eb="2">
      <t>ヒロシマ</t>
    </rPh>
    <phoneticPr fontId="13"/>
  </si>
  <si>
    <t>齋藤 茂樹</t>
    <rPh sb="0" eb="2">
      <t>サイトウ</t>
    </rPh>
    <rPh sb="3" eb="5">
      <t>シゲキ</t>
    </rPh>
    <phoneticPr fontId="13"/>
  </si>
  <si>
    <t>保証書 ﾅﾋﾞ取 地図SD</t>
    <rPh sb="0" eb="3">
      <t>ホショウショ</t>
    </rPh>
    <rPh sb="7" eb="8">
      <t>トリ</t>
    </rPh>
    <rPh sb="9" eb="11">
      <t>チズ</t>
    </rPh>
    <phoneticPr fontId="13"/>
  </si>
  <si>
    <t>岡山 583 ち 3522</t>
    <rPh sb="0" eb="2">
      <t>オカヤマ</t>
    </rPh>
    <phoneticPr fontId="13"/>
  </si>
  <si>
    <t>藤森 拓也</t>
    <rPh sb="0" eb="2">
      <t>フジモリ</t>
    </rPh>
    <rPh sb="3" eb="5">
      <t>タクヤ</t>
    </rPh>
    <phoneticPr fontId="13"/>
  </si>
  <si>
    <t>広島 330 ら 5570</t>
    <rPh sb="0" eb="2">
      <t>ヒロシマ</t>
    </rPh>
    <phoneticPr fontId="13"/>
  </si>
  <si>
    <t>品川 5X0 ろ 3646</t>
    <rPh sb="0" eb="2">
      <t>シナガワ</t>
    </rPh>
    <phoneticPr fontId="13"/>
  </si>
  <si>
    <t>名鉄協商株式会社</t>
    <rPh sb="0" eb="2">
      <t>メイテツ</t>
    </rPh>
    <rPh sb="2" eb="3">
      <t>キョウ</t>
    </rPh>
    <rPh sb="3" eb="4">
      <t>ショウ</t>
    </rPh>
    <rPh sb="4" eb="8">
      <t>カブシキガイシャ</t>
    </rPh>
    <phoneticPr fontId="13"/>
  </si>
  <si>
    <t>ｽﾛｰﾊﾟｰﾘﾓｺﾝ</t>
    <phoneticPr fontId="13"/>
  </si>
  <si>
    <t>倉敷 532 む 326</t>
    <rPh sb="0" eb="2">
      <t>クラシキ</t>
    </rPh>
    <phoneticPr fontId="13"/>
  </si>
  <si>
    <t>尾崎 直也</t>
    <rPh sb="0" eb="2">
      <t>オザキ</t>
    </rPh>
    <rPh sb="3" eb="5">
      <t>ナオヤ</t>
    </rPh>
    <phoneticPr fontId="13"/>
  </si>
  <si>
    <t>豊橋 399 つ 2282</t>
    <rPh sb="0" eb="2">
      <t>トヨハシ</t>
    </rPh>
    <phoneticPr fontId="13"/>
  </si>
  <si>
    <r>
      <t>保証書  ｷｰﾚｽ</t>
    </r>
    <r>
      <rPr>
        <sz val="11"/>
        <color rgb="FFFF0000"/>
        <rFont val="ＭＳ Ｐゴシック"/>
        <family val="3"/>
        <charset val="128"/>
        <scheme val="minor"/>
      </rPr>
      <t xml:space="preserve"> 取説車内にある上げってきない</t>
    </r>
    <rPh sb="0" eb="3">
      <t>ホショウショ</t>
    </rPh>
    <rPh sb="10" eb="12">
      <t>トリセツ</t>
    </rPh>
    <rPh sb="12" eb="14">
      <t>シャナイ</t>
    </rPh>
    <rPh sb="17" eb="18">
      <t>ア</t>
    </rPh>
    <phoneticPr fontId="13"/>
  </si>
  <si>
    <t>京都 582 た 6138</t>
    <rPh sb="0" eb="2">
      <t>キョウト</t>
    </rPh>
    <phoneticPr fontId="13"/>
  </si>
  <si>
    <t>藤﨑 隆博</t>
    <rPh sb="0" eb="2">
      <t>フジサキ</t>
    </rPh>
    <rPh sb="3" eb="4">
      <t>タカシ</t>
    </rPh>
    <rPh sb="4" eb="5">
      <t>ヒロシ</t>
    </rPh>
    <phoneticPr fontId="13"/>
  </si>
  <si>
    <t>2/20</t>
    <phoneticPr fontId="13"/>
  </si>
  <si>
    <t>春日井 311 て 68</t>
    <rPh sb="0" eb="3">
      <t>カスガイ</t>
    </rPh>
    <phoneticPr fontId="13"/>
  </si>
  <si>
    <t>北 善文</t>
    <rPh sb="0" eb="1">
      <t>キタ</t>
    </rPh>
    <rPh sb="2" eb="3">
      <t>ゼン</t>
    </rPh>
    <rPh sb="3" eb="4">
      <t>フミ</t>
    </rPh>
    <phoneticPr fontId="13"/>
  </si>
  <si>
    <t>神戸 32M て 1</t>
    <rPh sb="0" eb="2">
      <t>コウベ</t>
    </rPh>
    <phoneticPr fontId="13"/>
  </si>
  <si>
    <t>なにわ 5P9 ろ 6777</t>
    <phoneticPr fontId="13"/>
  </si>
  <si>
    <t>中尾 晃久</t>
    <rPh sb="0" eb="2">
      <t>ナカオ</t>
    </rPh>
    <rPh sb="3" eb="5">
      <t>アキヒサ</t>
    </rPh>
    <phoneticPr fontId="13"/>
  </si>
  <si>
    <t>なにわ 5P9 ろ 6771</t>
    <phoneticPr fontId="13"/>
  </si>
  <si>
    <t>大宮 490 ろ 1766</t>
    <rPh sb="0" eb="2">
      <t>オオミヤ</t>
    </rPh>
    <phoneticPr fontId="13"/>
  </si>
  <si>
    <t>株式会社タウ</t>
    <rPh sb="0" eb="4">
      <t>カブシキガイシャ</t>
    </rPh>
    <phoneticPr fontId="13"/>
  </si>
  <si>
    <t>尾張小牧 499 ち 8478</t>
    <rPh sb="0" eb="4">
      <t>オワリコマキ</t>
    </rPh>
    <phoneticPr fontId="13"/>
  </si>
  <si>
    <t>ｷｬｾﾙ返送2/20</t>
    <rPh sb="4" eb="6">
      <t>ヘンソウ</t>
    </rPh>
    <phoneticPr fontId="13"/>
  </si>
  <si>
    <t>多摩 339 め 222</t>
    <rPh sb="0" eb="2">
      <t>タマ</t>
    </rPh>
    <phoneticPr fontId="13"/>
  </si>
  <si>
    <t>27-3151</t>
  </si>
  <si>
    <t>27-3152</t>
  </si>
  <si>
    <t>27-3153</t>
  </si>
  <si>
    <t>27-3154</t>
  </si>
  <si>
    <t>27-3155</t>
  </si>
  <si>
    <t>27-3156</t>
  </si>
  <si>
    <t>27-3157</t>
  </si>
  <si>
    <t>MK32S-154916</t>
    <phoneticPr fontId="13"/>
  </si>
  <si>
    <t>DS17V-254127</t>
    <phoneticPr fontId="13"/>
  </si>
  <si>
    <t>LA850S-0070918</t>
    <phoneticPr fontId="13"/>
  </si>
  <si>
    <t>LA600S-0730964</t>
    <phoneticPr fontId="13"/>
  </si>
  <si>
    <t>LA350S-0345034</t>
    <phoneticPr fontId="13"/>
  </si>
  <si>
    <t>LA800S-0270165</t>
    <phoneticPr fontId="13"/>
  </si>
  <si>
    <t>HE22S-407540</t>
    <phoneticPr fontId="13"/>
  </si>
  <si>
    <t>ｽﾍﾟｰｼｱ  X</t>
    <phoneticPr fontId="13"/>
  </si>
  <si>
    <t>ﾐﾆｷｬﾌﾞ V ﾌﾞﾗﾎﾞｰ 4WD</t>
    <phoneticPr fontId="13"/>
  </si>
  <si>
    <t>9/9/11</t>
    <phoneticPr fontId="13"/>
  </si>
  <si>
    <t>保証書 取説 ｽﾍﾟｱｷｰ ﾅﾝﾊﾞｰ ﾜﾝｵｰﾅｰ</t>
    <rPh sb="0" eb="3">
      <t>ホショウショ</t>
    </rPh>
    <rPh sb="4" eb="6">
      <t>トリセツ</t>
    </rPh>
    <phoneticPr fontId="13"/>
  </si>
  <si>
    <t>ﾀﾝﾄｶｽﾀﾑ　 X ﾄｯﾌﾟｴﾃﾞｨｼｮﾝ</t>
    <phoneticPr fontId="13"/>
  </si>
  <si>
    <t>保証書 取説 地図SD ｽﾍﾟｱｷｰ ﾜﾝｵｰﾅｰ</t>
    <rPh sb="0" eb="3">
      <t>ホショウショ</t>
    </rPh>
    <rPh sb="4" eb="6">
      <t>トリセツ</t>
    </rPh>
    <rPh sb="7" eb="9">
      <t>チズ</t>
    </rPh>
    <phoneticPr fontId="13"/>
  </si>
  <si>
    <t>ﾑｰﾌﾞｷｬﾝﾊﾞｽ X ﾒｲｸｱｯﾌﾟﾘﾐﾃｯﾄﾞ</t>
    <phoneticPr fontId="13"/>
  </si>
  <si>
    <t>ｱﾙﾄﾗﾊﾟﾝ X ｾﾚｸｼｮﾝ</t>
    <phoneticPr fontId="13"/>
  </si>
  <si>
    <t>ﾊﾟｰﾙ/ﾍﾞｰｼﾞｭ</t>
    <phoneticPr fontId="13"/>
  </si>
  <si>
    <t>27-3158</t>
  </si>
  <si>
    <t>27-3159</t>
  </si>
  <si>
    <t>27-3160</t>
  </si>
  <si>
    <t>27-3161</t>
  </si>
  <si>
    <t>27-3162</t>
  </si>
  <si>
    <t>27-3163</t>
  </si>
  <si>
    <t>27-3164</t>
  </si>
  <si>
    <t>27-3165</t>
  </si>
  <si>
    <t>NSP170-7159749</t>
    <phoneticPr fontId="13"/>
  </si>
  <si>
    <t>NCP160-0153999</t>
    <phoneticPr fontId="13"/>
  </si>
  <si>
    <t>S700V-0133146</t>
    <phoneticPr fontId="13"/>
  </si>
  <si>
    <t>MM53S-715244</t>
    <phoneticPr fontId="13"/>
  </si>
  <si>
    <t>B44W-0400667</t>
    <phoneticPr fontId="13"/>
  </si>
  <si>
    <t>B44W-0400623</t>
    <phoneticPr fontId="13"/>
  </si>
  <si>
    <t>B44W-0400613</t>
    <phoneticPr fontId="13"/>
  </si>
  <si>
    <t>DA17W-213766</t>
    <phoneticPr fontId="13"/>
  </si>
  <si>
    <t>ｼｴﾝﾀ G ｸｴﾛ</t>
    <phoneticPr fontId="13"/>
  </si>
  <si>
    <t>保証書 取説 ﾅﾋﾞ取 SD</t>
    <rPh sb="0" eb="3">
      <t>ホショウショ</t>
    </rPh>
    <rPh sb="4" eb="6">
      <t>トリセツ</t>
    </rPh>
    <rPh sb="10" eb="11">
      <t>　</t>
    </rPh>
    <phoneticPr fontId="13"/>
  </si>
  <si>
    <t>ﾊｲｾﾞｯﾄｶｰｺﾞ  ﾃﾞﾗｯｸｽ</t>
    <phoneticPr fontId="13"/>
  </si>
  <si>
    <t>なにわ 484 と 99</t>
    <phoneticPr fontId="13"/>
  </si>
  <si>
    <t>ﾌﾚｱﾜｺﾞﾝｶｽﾀﾑ ﾊｲﾌﾞﾘｯﾄﾞXS</t>
    <phoneticPr fontId="13"/>
  </si>
  <si>
    <t>広島 799 ね 3</t>
    <rPh sb="0" eb="2">
      <t>ヒロシマ</t>
    </rPh>
    <phoneticPr fontId="13"/>
  </si>
  <si>
    <t>ﾃﾞｲｽﾞﾊｲｳｪｲｽﾀｰ X ﾌﾟﾛﾊﾟｲﾛｯﾄｴﾃﾞｨｼｮﾝ</t>
    <phoneticPr fontId="13"/>
  </si>
  <si>
    <t>ﾃﾞｲｽﾞﾊｲｳｪｲｽﾀｰX ﾌﾟﾛﾊﾟｲﾛｯﾄｴﾃﾞｨｼｮﾝ</t>
    <phoneticPr fontId="13"/>
  </si>
  <si>
    <t>なにわ 584 せ 928</t>
    <phoneticPr fontId="13"/>
  </si>
  <si>
    <t>白/茶</t>
    <rPh sb="0" eb="1">
      <t>シロ</t>
    </rPh>
    <rPh sb="2" eb="3">
      <t>チャ</t>
    </rPh>
    <phoneticPr fontId="13"/>
  </si>
  <si>
    <t>群馬 583 け 7101</t>
    <rPh sb="0" eb="2">
      <t>グンマ</t>
    </rPh>
    <phoneticPr fontId="13"/>
  </si>
  <si>
    <t>金子 富士</t>
    <rPh sb="0" eb="2">
      <t>カネコ</t>
    </rPh>
    <rPh sb="3" eb="5">
      <t>フジ</t>
    </rPh>
    <phoneticPr fontId="13"/>
  </si>
  <si>
    <t>NT32-080223</t>
    <phoneticPr fontId="13"/>
  </si>
  <si>
    <t>ZRR80-0128634</t>
    <phoneticPr fontId="13"/>
  </si>
  <si>
    <t>ﾊｽﾗｰJ</t>
    <phoneticPr fontId="13"/>
  </si>
  <si>
    <t>保証書 取説 名変期限4/30</t>
    <rPh sb="0" eb="3">
      <t>ホショウショ</t>
    </rPh>
    <rPh sb="4" eb="6">
      <t>トリセツ</t>
    </rPh>
    <rPh sb="7" eb="11">
      <t>メイヘンキゲン</t>
    </rPh>
    <phoneticPr fontId="13"/>
  </si>
  <si>
    <t>ｴｸｽﾄﾚｲﾙ 4WD 20X</t>
    <phoneticPr fontId="13"/>
  </si>
  <si>
    <t>名変期限3/31</t>
    <rPh sb="0" eb="4">
      <t>メイヘンキゲン</t>
    </rPh>
    <phoneticPr fontId="13"/>
  </si>
  <si>
    <t>ｴｽｸｧｲｱ Gi</t>
    <phoneticPr fontId="13"/>
  </si>
  <si>
    <t>名変期限4/30</t>
    <rPh sb="0" eb="4">
      <t>メイヘンキゲン</t>
    </rPh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</si>
  <si>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</si>
  <si>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福祉車両連絡済OK</t>
    <rPh sb="0" eb="4">
      <t>フクシシャリョウ</t>
    </rPh>
    <rPh sb="4" eb="6">
      <t>レンラク</t>
    </rPh>
    <rPh sb="6" eb="7">
      <t>ズ</t>
    </rPh>
    <phoneticPr fontId="13"/>
  </si>
  <si>
    <t>27-3166</t>
  </si>
  <si>
    <t>ﾎﾞﾙﾎﾞ XC40 T4 ﾓﾒﾝﾀﾑ</t>
    <phoneticPr fontId="13"/>
  </si>
  <si>
    <t>YV1XZACMDL2245060</t>
    <phoneticPr fontId="13"/>
  </si>
  <si>
    <t>ZFA3120000JE30101</t>
    <phoneticPr fontId="13"/>
  </si>
  <si>
    <t>27-3167</t>
  </si>
  <si>
    <t>27-3168</t>
  </si>
  <si>
    <t>27-3169</t>
  </si>
  <si>
    <t>WMWXV320902N59305</t>
    <phoneticPr fontId="13"/>
  </si>
  <si>
    <t>WMW12DV0602T97035</t>
    <phoneticPr fontId="13"/>
  </si>
  <si>
    <t>301 ね 7518</t>
    <phoneticPr fontId="13"/>
  </si>
  <si>
    <t>保証書 ｷｰﾚｽ</t>
    <phoneticPr fontId="13"/>
  </si>
  <si>
    <t>三重 480 ふ 2746</t>
    <rPh sb="0" eb="2">
      <t>ミエ</t>
    </rPh>
    <phoneticPr fontId="13"/>
  </si>
  <si>
    <t>2/21</t>
    <phoneticPr fontId="13"/>
  </si>
  <si>
    <t>高知 300 ね 9800</t>
    <rPh sb="0" eb="2">
      <t>コウチ</t>
    </rPh>
    <phoneticPr fontId="13"/>
  </si>
  <si>
    <t>西田 義弘</t>
    <rPh sb="0" eb="2">
      <t>ニシダ</t>
    </rPh>
    <rPh sb="3" eb="5">
      <t>ヨシヒロ</t>
    </rPh>
    <phoneticPr fontId="13"/>
  </si>
  <si>
    <t>乾 佐知子</t>
    <rPh sb="0" eb="1">
      <t>イヌイ</t>
    </rPh>
    <rPh sb="2" eb="5">
      <t>サチコ</t>
    </rPh>
    <phoneticPr fontId="13"/>
  </si>
  <si>
    <t>堺 300 ぬ 2497</t>
    <rPh sb="0" eb="1">
      <t>サカイ</t>
    </rPh>
    <phoneticPr fontId="13"/>
  </si>
  <si>
    <t>中西 一真</t>
    <rPh sb="0" eb="2">
      <t>ナカニシ</t>
    </rPh>
    <rPh sb="3" eb="5">
      <t>カズマ</t>
    </rPh>
    <phoneticPr fontId="13"/>
  </si>
  <si>
    <t>保証書2冊 取説 地図SD</t>
    <rPh sb="0" eb="3">
      <t>ホショウショ</t>
    </rPh>
    <rPh sb="4" eb="5">
      <t>サツ</t>
    </rPh>
    <rPh sb="6" eb="8">
      <t>トリセツ</t>
    </rPh>
    <rPh sb="9" eb="11">
      <t>チズ</t>
    </rPh>
    <phoneticPr fontId="13"/>
  </si>
  <si>
    <t>ミニB-CAS</t>
    <phoneticPr fontId="13"/>
  </si>
  <si>
    <t>松崎 稔</t>
    <rPh sb="0" eb="2">
      <t>マツサキ</t>
    </rPh>
    <rPh sb="3" eb="4">
      <t>ミノリ</t>
    </rPh>
    <phoneticPr fontId="13"/>
  </si>
  <si>
    <t>保証書 取説 ﾅﾋﾞ取 ﾏｲｸﾛ地図SD ミニB-CAS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</si>
  <si>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福島ﾄﾖﾀ自動車株式会社</t>
    <rPh sb="0" eb="2">
      <t>フクシマ</t>
    </rPh>
    <rPh sb="5" eb="12">
      <t>ジドウシャカブシキガイシャ</t>
    </rPh>
    <phoneticPr fontId="13"/>
  </si>
  <si>
    <t>保証書 ｷｰﾚｽ ｶｰﾄﾞｷｰ ﾜﾝｵｰﾅｰ</t>
    <rPh sb="0" eb="3">
      <t>ホショウショ</t>
    </rPh>
    <phoneticPr fontId="13"/>
  </si>
  <si>
    <t>広島 593 ふ 358</t>
    <rPh sb="0" eb="2">
      <t>ヒロシマ</t>
    </rPh>
    <phoneticPr fontId="13"/>
  </si>
  <si>
    <t>岡山 584 ろ 2349</t>
    <rPh sb="0" eb="2">
      <t>オカヤマ</t>
    </rPh>
    <phoneticPr fontId="13"/>
  </si>
  <si>
    <t>東中国ｽｽﾞｷ自動車株式会社岡山営業所</t>
    <rPh sb="0" eb="3">
      <t>ヒガシチュウゴク</t>
    </rPh>
    <rPh sb="7" eb="14">
      <t>ジドウシャカブシキガイシャ</t>
    </rPh>
    <rPh sb="14" eb="16">
      <t>オカヤマ</t>
    </rPh>
    <rPh sb="16" eb="19">
      <t>エイギョウショ</t>
    </rPh>
    <phoneticPr fontId="13"/>
  </si>
  <si>
    <t>株式会社ｴｯｼﾞﾙｰﾌﾟ</t>
    <rPh sb="0" eb="4">
      <t>カブシキガイシャ</t>
    </rPh>
    <phoneticPr fontId="13"/>
  </si>
  <si>
    <t>保証書 取説 ﾅﾋﾞ取 ｷｰﾚｽ ｽﾍﾟｱｷｰ4個</t>
    <rPh sb="0" eb="3">
      <t>ホショウショ</t>
    </rPh>
    <rPh sb="4" eb="6">
      <t>トリセツ</t>
    </rPh>
    <rPh sb="10" eb="11">
      <t>トリ</t>
    </rPh>
    <rPh sb="24" eb="25">
      <t>コ</t>
    </rPh>
    <phoneticPr fontId="13"/>
  </si>
  <si>
    <t>品川 5X0 ろ 9874</t>
    <rPh sb="0" eb="2">
      <t>シナガワ</t>
    </rPh>
    <phoneticPr fontId="13"/>
  </si>
  <si>
    <t>堺 584 さ 130</t>
    <rPh sb="0" eb="1">
      <t>サカイ</t>
    </rPh>
    <phoneticPr fontId="13"/>
  </si>
  <si>
    <t>豊田 330 つ 1330</t>
    <rPh sb="0" eb="2">
      <t>トヨタ</t>
    </rPh>
    <phoneticPr fontId="13"/>
  </si>
  <si>
    <t>金丸 雅俊</t>
    <rPh sb="0" eb="2">
      <t>カナマル</t>
    </rPh>
    <rPh sb="3" eb="5">
      <t>マサトシ</t>
    </rPh>
    <phoneticPr fontId="13"/>
  </si>
  <si>
    <t>姫路 588 む 1021</t>
    <rPh sb="0" eb="2">
      <t>ヒメジ</t>
    </rPh>
    <phoneticPr fontId="13"/>
  </si>
  <si>
    <t>永岡 宣幸</t>
    <rPh sb="0" eb="2">
      <t>ナガオカ</t>
    </rPh>
    <rPh sb="3" eb="5">
      <t>ノブユキ</t>
    </rPh>
    <phoneticPr fontId="13"/>
  </si>
  <si>
    <t>27-3170</t>
  </si>
  <si>
    <t>27-3171</t>
  </si>
  <si>
    <t>27-3172</t>
  </si>
  <si>
    <t>27-3173</t>
  </si>
  <si>
    <t>27-3174</t>
  </si>
  <si>
    <t>27-3175</t>
  </si>
  <si>
    <t>27-3176</t>
  </si>
  <si>
    <t>27-3177</t>
  </si>
  <si>
    <t>27-3178</t>
  </si>
  <si>
    <t>27-3179</t>
  </si>
  <si>
    <t>LA400K-0012663</t>
    <phoneticPr fontId="13"/>
  </si>
  <si>
    <t>MH55S-167582</t>
    <phoneticPr fontId="13"/>
  </si>
  <si>
    <t>MH34S-259902</t>
    <phoneticPr fontId="13"/>
  </si>
  <si>
    <t>MK32S-236474</t>
    <phoneticPr fontId="13"/>
  </si>
  <si>
    <t>MH85S-193927</t>
    <phoneticPr fontId="13"/>
  </si>
  <si>
    <t>MK42S-129046</t>
    <phoneticPr fontId="13"/>
  </si>
  <si>
    <t>MX91S-153493</t>
    <phoneticPr fontId="13"/>
  </si>
  <si>
    <t>S510P-0215949</t>
    <phoneticPr fontId="13"/>
  </si>
  <si>
    <t>JB64W-143943</t>
    <phoneticPr fontId="13"/>
  </si>
  <si>
    <t>MX91S-117785</t>
    <phoneticPr fontId="13"/>
  </si>
  <si>
    <t>ﾑｰﾌﾞ RS ｴｱﾛ</t>
    <phoneticPr fontId="13"/>
  </si>
  <si>
    <t>LA850S-2028338</t>
    <phoneticPr fontId="13"/>
  </si>
  <si>
    <t>ﾌｨｯﾄ e：HEVﾎｰﾑ</t>
    <phoneticPr fontId="13"/>
  </si>
  <si>
    <t>GR3-1027269</t>
    <phoneticPr fontId="13"/>
  </si>
  <si>
    <t>JB23W-746713</t>
    <phoneticPr fontId="13"/>
  </si>
  <si>
    <t>ｳﾞｪｾﾞﾙ　ﾊｲﾌﾞﾘｯﾄﾞZ</t>
    <phoneticPr fontId="13"/>
  </si>
  <si>
    <t>RU3-1338230</t>
    <phoneticPr fontId="13"/>
  </si>
  <si>
    <t>LA800S-0134439</t>
    <phoneticPr fontId="13"/>
  </si>
  <si>
    <t>ｼｴﾝﾀ ﾊｲﾌﾞﾘｯﾄﾞG</t>
    <phoneticPr fontId="13"/>
  </si>
  <si>
    <t>MXPL10-1055284</t>
    <phoneticPr fontId="13"/>
  </si>
  <si>
    <t>N-ONE ﾂｱﾗｰ</t>
    <phoneticPr fontId="13"/>
  </si>
  <si>
    <t>JG1-2203609</t>
    <phoneticPr fontId="13"/>
  </si>
  <si>
    <t>LA800S-0153549</t>
    <phoneticPr fontId="13"/>
  </si>
  <si>
    <t>ｽﾍﾟｰｼｱｶｽﾀﾑﾊｲﾌﾞﾘｯﾄﾞ</t>
    <phoneticPr fontId="13"/>
  </si>
  <si>
    <t>MK94S-103034</t>
    <phoneticPr fontId="13"/>
  </si>
  <si>
    <t>ﾜｺﾞﾝRｶｽﾀﾑ Z ﾊｲﾌﾞﾘｯﾄﾞ</t>
    <phoneticPr fontId="13"/>
  </si>
  <si>
    <t>MH55S-932978</t>
    <phoneticPr fontId="13"/>
  </si>
  <si>
    <t>ｽｲﾌﾄ ﾊｲﾌﾞﾘｯﾄﾞMZ</t>
    <phoneticPr fontId="13"/>
  </si>
  <si>
    <t>ZCEDS-114201</t>
    <phoneticPr fontId="13"/>
  </si>
  <si>
    <t>MK21S-388102</t>
    <phoneticPr fontId="13"/>
  </si>
  <si>
    <t>MR31S-836351</t>
    <phoneticPr fontId="13"/>
  </si>
  <si>
    <t>MK53S-328402</t>
    <phoneticPr fontId="13"/>
  </si>
  <si>
    <t>JF1-1645153</t>
    <phoneticPr fontId="13"/>
  </si>
  <si>
    <t>MRﾜｺﾞﾝ X</t>
    <phoneticPr fontId="13"/>
  </si>
  <si>
    <t>MF33S-112518</t>
    <phoneticPr fontId="13"/>
  </si>
  <si>
    <t>27-3180</t>
  </si>
  <si>
    <t>27-3181</t>
  </si>
  <si>
    <t>27-3182</t>
  </si>
  <si>
    <t>27-3183</t>
  </si>
  <si>
    <t>27-3184</t>
  </si>
  <si>
    <t>27-3185</t>
  </si>
  <si>
    <t>27-3186</t>
  </si>
  <si>
    <t>27-3187</t>
  </si>
  <si>
    <t>27-3188</t>
  </si>
  <si>
    <t>27-3189</t>
  </si>
  <si>
    <t>27-3190</t>
  </si>
  <si>
    <t>27-3191</t>
  </si>
  <si>
    <t>27-3192</t>
  </si>
  <si>
    <t>27-3193</t>
  </si>
  <si>
    <t>27-3194</t>
  </si>
  <si>
    <t>27-3195</t>
  </si>
  <si>
    <t>27-3196</t>
  </si>
  <si>
    <t>27-3197</t>
  </si>
  <si>
    <t>27-3198</t>
  </si>
  <si>
    <t>27-3199</t>
  </si>
  <si>
    <t>岩﨑様</t>
    <rPh sb="0" eb="2">
      <t>イワサキ</t>
    </rPh>
    <rPh sb="2" eb="3">
      <t>サマ</t>
    </rPh>
    <phoneticPr fontId="13"/>
  </si>
  <si>
    <t>BMW 435 ｸｰﾍﾟ Mｽﾎﾟｰﾂ</t>
    <phoneticPr fontId="13"/>
  </si>
  <si>
    <t>WBA3R120X0K002877</t>
    <phoneticPr fontId="13"/>
  </si>
  <si>
    <t>8/2/19</t>
    <phoneticPr fontId="13"/>
  </si>
  <si>
    <t>姫路 357 ほ 32</t>
    <rPh sb="0" eb="2">
      <t>ヒメジ</t>
    </rPh>
    <phoneticPr fontId="13"/>
  </si>
  <si>
    <t>岩﨑 夢叶</t>
    <rPh sb="0" eb="2">
      <t>イワサキ</t>
    </rPh>
    <rPh sb="3" eb="4">
      <t>ユメ</t>
    </rPh>
    <rPh sb="4" eb="5">
      <t>カナ</t>
    </rPh>
    <phoneticPr fontId="13"/>
  </si>
  <si>
    <t>岡崎 580 て 2683</t>
    <rPh sb="0" eb="2">
      <t>オカザキ</t>
    </rPh>
    <phoneticPr fontId="13"/>
  </si>
  <si>
    <t>岐阜 58A あ 4539</t>
    <rPh sb="0" eb="2">
      <t>ギフ</t>
    </rPh>
    <phoneticPr fontId="13"/>
  </si>
  <si>
    <t>ﾜｺﾞﾝR 20周年記念車</t>
    <rPh sb="8" eb="10">
      <t>シュウネン</t>
    </rPh>
    <rPh sb="10" eb="12">
      <t>キネン</t>
    </rPh>
    <rPh sb="12" eb="13">
      <t>シャ</t>
    </rPh>
    <phoneticPr fontId="13"/>
  </si>
  <si>
    <t>名古屋 581 ね 9538</t>
    <rPh sb="0" eb="3">
      <t>ナゴヤ</t>
    </rPh>
    <phoneticPr fontId="13"/>
  </si>
  <si>
    <t>名変期限3/13まで</t>
    <rPh sb="0" eb="4">
      <t>メイヘンキゲン</t>
    </rPh>
    <phoneticPr fontId="13"/>
  </si>
  <si>
    <t>ｽﾍﾟｱｷｰ記載あり</t>
    <rPh sb="6" eb="8">
      <t>キサイ</t>
    </rPh>
    <phoneticPr fontId="13"/>
  </si>
  <si>
    <t>ｽﾍﾟｰｼｱ Gﾘﾐﾃｯﾄﾞ</t>
    <phoneticPr fontId="13"/>
  </si>
  <si>
    <t>9/10/2</t>
    <phoneticPr fontId="13"/>
  </si>
  <si>
    <t>ﾊﾟﾚｯﾄ SW XS</t>
    <phoneticPr fontId="13"/>
  </si>
  <si>
    <t>8/7/9</t>
    <phoneticPr fontId="13"/>
  </si>
  <si>
    <t>31/？</t>
    <phoneticPr fontId="13"/>
  </si>
  <si>
    <t>ﾊﾟｰﾙ/ﾐﾝﾄ</t>
    <phoneticPr fontId="13"/>
  </si>
  <si>
    <t>10/10/2</t>
    <phoneticPr fontId="13"/>
  </si>
  <si>
    <t>MR41S-347549</t>
    <phoneticPr fontId="13"/>
  </si>
  <si>
    <t>所沢 530 そ 8974</t>
    <rPh sb="0" eb="2">
      <t>トコロザワ</t>
    </rPh>
    <phoneticPr fontId="13"/>
  </si>
  <si>
    <t>田中 広之</t>
    <rPh sb="0" eb="2">
      <t>タナカ</t>
    </rPh>
    <rPh sb="3" eb="5">
      <t>ヒロユキ</t>
    </rPh>
    <phoneticPr fontId="13"/>
  </si>
  <si>
    <t>(車検証 自賠責 保証書 取説 車内に入れままと連絡あり)</t>
    <rPh sb="1" eb="4">
      <t>シャケンショウ</t>
    </rPh>
    <rPh sb="5" eb="8">
      <t>ジバイセキ</t>
    </rPh>
    <rPh sb="9" eb="12">
      <t>ホショウショ</t>
    </rPh>
    <rPh sb="13" eb="15">
      <t>トリセツ</t>
    </rPh>
    <rPh sb="16" eb="18">
      <t>シャナイ</t>
    </rPh>
    <rPh sb="19" eb="20">
      <t>イ</t>
    </rPh>
    <rPh sb="24" eb="26">
      <t>レンラク</t>
    </rPh>
    <phoneticPr fontId="13"/>
  </si>
  <si>
    <t>27-3200</t>
  </si>
  <si>
    <t>27-3201</t>
  </si>
  <si>
    <t>27-3202</t>
  </si>
  <si>
    <t>27-3203</t>
  </si>
  <si>
    <t>MﾍﾞﾝﾂGLA</t>
    <phoneticPr fontId="13"/>
  </si>
  <si>
    <t>W1N2477132J220525</t>
    <phoneticPr fontId="13"/>
  </si>
  <si>
    <t>BMW330I　4ﾏﾁｯｸ　Mｽﾎﾟｰﾂ</t>
    <phoneticPr fontId="13"/>
  </si>
  <si>
    <t>WBA5R12030FH22185</t>
    <phoneticPr fontId="13"/>
  </si>
  <si>
    <t>VWｻﾞ･ﾋﾞｰﾄﾙ　ﾃﾞｭｰﾝ</t>
    <phoneticPr fontId="13"/>
  </si>
  <si>
    <t>27-3204</t>
  </si>
  <si>
    <t>27-3205</t>
  </si>
  <si>
    <t>27-3206</t>
  </si>
  <si>
    <t>27-3207</t>
  </si>
  <si>
    <t>27-3208</t>
  </si>
  <si>
    <t>27-3209</t>
  </si>
  <si>
    <t>27-3210</t>
  </si>
  <si>
    <t>27-3211</t>
  </si>
  <si>
    <t>27-3212</t>
  </si>
  <si>
    <t>27-3213</t>
  </si>
  <si>
    <t>27-3214</t>
  </si>
  <si>
    <t>27-3215</t>
  </si>
  <si>
    <t>27-3216</t>
  </si>
  <si>
    <t>27-3217</t>
  </si>
  <si>
    <t>27-3218</t>
  </si>
  <si>
    <t>多摩　304　ち　5101</t>
    <rPh sb="0" eb="2">
      <t>タマ</t>
    </rPh>
    <phoneticPr fontId="13"/>
  </si>
  <si>
    <t>WMWLN720902D96809</t>
    <phoneticPr fontId="13"/>
  </si>
  <si>
    <t>岡山　301　め　6137</t>
    <rPh sb="0" eb="2">
      <t>オカヤマ</t>
    </rPh>
    <phoneticPr fontId="13"/>
  </si>
  <si>
    <t>BMWﾐﾆ　ｸｰﾊﾟｰSｸﾗﾌﾞﾏﾝ　JCWﾁﾘP</t>
    <phoneticPr fontId="13"/>
  </si>
  <si>
    <t>WVWZZZ16ZGM626361</t>
    <phoneticPr fontId="13"/>
  </si>
  <si>
    <t>整備手帳　取説　ｽﾍﾟｱｷｰ</t>
    <rPh sb="0" eb="4">
      <t>セイビテチョウ</t>
    </rPh>
    <rPh sb="5" eb="7">
      <t>トリセツ</t>
    </rPh>
    <phoneticPr fontId="13"/>
  </si>
  <si>
    <t>ｼｴﾝﾀ 　G</t>
    <phoneticPr fontId="13"/>
  </si>
  <si>
    <t>NSP170-7107986</t>
    <phoneticPr fontId="13"/>
  </si>
  <si>
    <t>ｴﾙｸﾞﾗﾝﾄﾞ　ﾊｲｳｪｲｽﾀｰﾌﾟﾚﾐｱﾑｱｰﾊﾞﾝｸﾛﾑ</t>
    <phoneticPr fontId="13"/>
  </si>
  <si>
    <t>TE52-146445</t>
    <phoneticPr fontId="13"/>
  </si>
  <si>
    <t>京都　32C　ち　55</t>
    <rPh sb="0" eb="2">
      <t>キョウト</t>
    </rPh>
    <phoneticPr fontId="13"/>
  </si>
  <si>
    <t>ｳﾞｪﾙﾌｧｲｱ　2.5Zｺﾞｰﾙﾃﾞﾝｱｲｽﾞ</t>
    <phoneticPr fontId="13"/>
  </si>
  <si>
    <t>AGH30-9015081</t>
    <phoneticPr fontId="13"/>
  </si>
  <si>
    <t>神戸　351　ろ　503</t>
    <rPh sb="0" eb="2">
      <t>コウベ</t>
    </rPh>
    <phoneticPr fontId="13"/>
  </si>
  <si>
    <t>保証書　取説　後席ﾓﾆﾀｰﾘﾓｺﾝ＆取説　ｽﾍﾟｱｷｰ</t>
    <rPh sb="0" eb="3">
      <t>ホショウショ</t>
    </rPh>
    <rPh sb="4" eb="6">
      <t>トリセツ</t>
    </rPh>
    <rPh sb="7" eb="8">
      <t>ウシ</t>
    </rPh>
    <rPh sb="8" eb="9">
      <t>セキ</t>
    </rPh>
    <rPh sb="18" eb="20">
      <t>トリセツ</t>
    </rPh>
    <phoneticPr fontId="13"/>
  </si>
  <si>
    <t>N　BOXｶｽﾀﾑ　G　Lﾎﾝﾀﾞｾﾝｼﾝｸﾞ</t>
    <phoneticPr fontId="13"/>
  </si>
  <si>
    <t>JF3-1437933</t>
    <phoneticPr fontId="13"/>
  </si>
  <si>
    <t>京都　583　す　7633</t>
    <rPh sb="0" eb="2">
      <t>キョウト</t>
    </rPh>
    <phoneticPr fontId="13"/>
  </si>
  <si>
    <t>ｱﾙﾌｧｰﾄﾞ　240S　ﾀｲﾌﾟｺﾞｰﾙﾄﾞⅡ</t>
    <phoneticPr fontId="13"/>
  </si>
  <si>
    <t>ANH20-8312821</t>
    <phoneticPr fontId="13"/>
  </si>
  <si>
    <t>高松　301　り　333</t>
    <rPh sb="0" eb="2">
      <t>タカマツ</t>
    </rPh>
    <phoneticPr fontId="13"/>
  </si>
  <si>
    <t>ｶﾛｰﾗﾌｨｰﾙﾀﾞｰ　ﾊｲﾌﾞﾘｯﾄﾞG</t>
    <phoneticPr fontId="13"/>
  </si>
  <si>
    <t>NKE165-7148626</t>
    <phoneticPr fontId="13"/>
  </si>
  <si>
    <t>神戸　554　ひ　1113</t>
    <rPh sb="0" eb="2">
      <t>コウベ</t>
    </rPh>
    <phoneticPr fontId="13"/>
  </si>
  <si>
    <t>NHP10-2517271</t>
    <phoneticPr fontId="13"/>
  </si>
  <si>
    <t>NCP160-0155188</t>
    <phoneticPr fontId="13"/>
  </si>
  <si>
    <t>MK54S-104417</t>
    <phoneticPr fontId="13"/>
  </si>
  <si>
    <t>和泉　784　た　7</t>
    <rPh sb="0" eb="2">
      <t>イズミ</t>
    </rPh>
    <phoneticPr fontId="13"/>
  </si>
  <si>
    <t>整備手帳（保証書に印無）　取説　ｽﾍﾟｱｷｰ　ﾜﾝｵｰﾅｰ</t>
    <rPh sb="0" eb="4">
      <t>セイビテチョウ</t>
    </rPh>
    <rPh sb="5" eb="8">
      <t>ホショウショ</t>
    </rPh>
    <rPh sb="9" eb="10">
      <t>イン</t>
    </rPh>
    <rPh sb="10" eb="11">
      <t>ナ</t>
    </rPh>
    <rPh sb="13" eb="15">
      <t>トリセツ</t>
    </rPh>
    <phoneticPr fontId="13"/>
  </si>
  <si>
    <t>DA17W-301995</t>
    <phoneticPr fontId="13"/>
  </si>
  <si>
    <t>LA900S-0056185</t>
    <phoneticPr fontId="13"/>
  </si>
  <si>
    <t>香川　581　く　7439</t>
    <rPh sb="0" eb="2">
      <t>カガワ</t>
    </rPh>
    <phoneticPr fontId="13"/>
  </si>
  <si>
    <t>LA650S-1013767</t>
    <phoneticPr fontId="13"/>
  </si>
  <si>
    <t>JF1-2542897</t>
    <phoneticPr fontId="13"/>
  </si>
  <si>
    <t>岡山　581　よ　1084</t>
    <rPh sb="0" eb="2">
      <t>オカヤマ</t>
    </rPh>
    <phoneticPr fontId="13"/>
  </si>
  <si>
    <t>ﾌｨｱｯﾄ500　1.2ﾄﾞﾙﾁｪ</t>
    <phoneticPr fontId="13"/>
  </si>
  <si>
    <t>ZFABF1CG1NJG68245</t>
    <phoneticPr fontId="13"/>
  </si>
  <si>
    <t>保証書　取説　ｽﾍﾟｱｷｰ　ﾄﾞﾗﾚｺSD　 ﾜﾝｵｰﾅｰ</t>
    <rPh sb="0" eb="3">
      <t>ホショウショ</t>
    </rPh>
    <rPh sb="4" eb="6">
      <t>トリセツ</t>
    </rPh>
    <phoneticPr fontId="13"/>
  </si>
  <si>
    <t>ｺﾍﾟﾝ　2ndｱﾆﾊﾞｰｻﾘｰED</t>
    <phoneticPr fontId="13"/>
  </si>
  <si>
    <t>18/2</t>
    <phoneticPr fontId="13"/>
  </si>
  <si>
    <t>L880K-0031559</t>
    <phoneticPr fontId="13"/>
  </si>
  <si>
    <t>橋口様</t>
    <rPh sb="0" eb="2">
      <t>ハシグチ</t>
    </rPh>
    <rPh sb="2" eb="3">
      <t>サマ</t>
    </rPh>
    <phoneticPr fontId="13"/>
  </si>
  <si>
    <t>ﾎﾝﾀﾞ ｲﾝｻｲﾄ</t>
    <phoneticPr fontId="13"/>
  </si>
  <si>
    <t>ZE2-1120245</t>
    <phoneticPr fontId="13"/>
  </si>
  <si>
    <t>8/4/26</t>
    <phoneticPr fontId="13"/>
  </si>
  <si>
    <t>姫路 501 せ 1350</t>
    <rPh sb="0" eb="2">
      <t>ヒメジ</t>
    </rPh>
    <phoneticPr fontId="13"/>
  </si>
  <si>
    <t>橋口 ユリ子</t>
    <rPh sb="0" eb="2">
      <t>ハシグチ</t>
    </rPh>
    <rPh sb="5" eb="6">
      <t>コ</t>
    </rPh>
    <phoneticPr fontId="13"/>
  </si>
  <si>
    <t>27-3219</t>
  </si>
  <si>
    <t>27-3220</t>
  </si>
  <si>
    <t>27-3221</t>
  </si>
  <si>
    <t>黒木様</t>
    <rPh sb="0" eb="2">
      <t>クロキ</t>
    </rPh>
    <rPh sb="2" eb="3">
      <t>サマ</t>
    </rPh>
    <phoneticPr fontId="13"/>
  </si>
  <si>
    <t>ﾚｸｻｽ RX350</t>
    <phoneticPr fontId="13"/>
  </si>
  <si>
    <t>TALA15-1007972</t>
    <phoneticPr fontId="13"/>
  </si>
  <si>
    <t>岡山 317 も 9</t>
    <rPh sb="0" eb="2">
      <t>オカヤマ</t>
    </rPh>
    <phoneticPr fontId="13"/>
  </si>
  <si>
    <t>岡本ﾄﾖﾀ自動車株式会社</t>
    <rPh sb="0" eb="2">
      <t>オカモト</t>
    </rPh>
    <rPh sb="5" eb="8">
      <t>ジドウシャ</t>
    </rPh>
    <rPh sb="8" eb="12">
      <t>カブシキガイシャ</t>
    </rPh>
    <phoneticPr fontId="13"/>
  </si>
  <si>
    <t>村角様</t>
    <rPh sb="0" eb="2">
      <t>ムラカド</t>
    </rPh>
    <rPh sb="2" eb="3">
      <t>サマ</t>
    </rPh>
    <phoneticPr fontId="13"/>
  </si>
  <si>
    <t>LA600S-0527856</t>
    <phoneticPr fontId="13"/>
  </si>
  <si>
    <t>香川 584 む 512</t>
    <rPh sb="0" eb="2">
      <t>カガワ</t>
    </rPh>
    <phoneticPr fontId="13"/>
  </si>
  <si>
    <t>ｷｬｾﾙ</t>
    <phoneticPr fontId="13"/>
  </si>
  <si>
    <t>出品店書類出せず ｷｬﾝｾﾙ</t>
    <rPh sb="0" eb="3">
      <t>シュッピンテン</t>
    </rPh>
    <rPh sb="3" eb="5">
      <t>ショルイ</t>
    </rPh>
    <rPh sb="5" eb="6">
      <t>ダ</t>
    </rPh>
    <phoneticPr fontId="13"/>
  </si>
  <si>
    <t>村角 和代</t>
    <rPh sb="0" eb="2">
      <t>ムラカド</t>
    </rPh>
    <rPh sb="3" eb="4">
      <t>カズ</t>
    </rPh>
    <rPh sb="4" eb="5">
      <t>ヨ</t>
    </rPh>
    <phoneticPr fontId="13"/>
  </si>
  <si>
    <t>堺 399 ひ 6988</t>
    <rPh sb="0" eb="1">
      <t>サカイ</t>
    </rPh>
    <phoneticPr fontId="13"/>
  </si>
  <si>
    <t>白石 武士</t>
    <rPh sb="0" eb="2">
      <t>シライシ</t>
    </rPh>
    <rPh sb="3" eb="4">
      <t>タケ</t>
    </rPh>
    <rPh sb="4" eb="5">
      <t>シ</t>
    </rPh>
    <phoneticPr fontId="13"/>
  </si>
  <si>
    <t>なにわ 5P9 ろ 7573</t>
    <phoneticPr fontId="13"/>
  </si>
  <si>
    <t>株式会社ﾎﾝﾀﾞﾓﾋﾞﾘﾃｨ北関東</t>
    <rPh sb="0" eb="4">
      <t>カブシキガイシャ</t>
    </rPh>
    <rPh sb="14" eb="17">
      <t>キタカントウ</t>
    </rPh>
    <phoneticPr fontId="13"/>
  </si>
  <si>
    <t>保証書 取説 ﾅﾋﾞ取 ﾘﾓｺﾝ ﾌﾞﾚｲﾝﾕﾆｯﾄ(SDなしで使える)</t>
    <rPh sb="0" eb="3">
      <t>ホショウショ</t>
    </rPh>
    <rPh sb="4" eb="6">
      <t>トリセツ</t>
    </rPh>
    <rPh sb="10" eb="11">
      <t>トリ</t>
    </rPh>
    <rPh sb="32" eb="33">
      <t>ツカ</t>
    </rPh>
    <phoneticPr fontId="13"/>
  </si>
  <si>
    <t>保証書 ﾅﾋﾞ取 ｷｰﾚｽ  地図SD</t>
    <rPh sb="0" eb="3">
      <t>ホショウショ</t>
    </rPh>
    <rPh sb="7" eb="8">
      <t>トリ</t>
    </rPh>
    <rPh sb="15" eb="17">
      <t>チズ</t>
    </rPh>
    <phoneticPr fontId="13"/>
  </si>
  <si>
    <t>奈良 400 つ 1424</t>
    <rPh sb="0" eb="2">
      <t>ナラ</t>
    </rPh>
    <phoneticPr fontId="13"/>
  </si>
  <si>
    <t>株式会社ﾄﾖﾀﾚﾝﾘｰｽ奈良</t>
    <rPh sb="0" eb="4">
      <t>カブシキガイシャ</t>
    </rPh>
    <rPh sb="12" eb="14">
      <t>ナラ</t>
    </rPh>
    <phoneticPr fontId="13"/>
  </si>
  <si>
    <t>なにわ 5P9 ろ 7855</t>
    <phoneticPr fontId="13"/>
  </si>
  <si>
    <t>広島 581 ま 7204</t>
    <rPh sb="0" eb="2">
      <t>ヒロシマ</t>
    </rPh>
    <phoneticPr fontId="13"/>
  </si>
  <si>
    <t>有限会社ﾐｳﾗｵｰﾄｻｰﾋﾞｽ</t>
    <rPh sb="0" eb="4">
      <t>ユウゲンカイシャ</t>
    </rPh>
    <phoneticPr fontId="13"/>
  </si>
  <si>
    <t>和泉 586 ろ 199</t>
    <rPh sb="0" eb="2">
      <t>イズミ</t>
    </rPh>
    <phoneticPr fontId="13"/>
  </si>
  <si>
    <t>株式会社ﾊﾟﾊﾟﾏﾏｶｰｽﾞ</t>
    <rPh sb="0" eb="4">
      <t>カブシキガイシャ</t>
    </rPh>
    <phoneticPr fontId="13"/>
  </si>
  <si>
    <t>地図SD(車内)保証書 取説 ｷｰﾚｽ ﾅﾋﾞ取</t>
    <rPh sb="0" eb="2">
      <t>チズ</t>
    </rPh>
    <rPh sb="8" eb="11">
      <t>ホショウショ</t>
    </rPh>
    <rPh sb="12" eb="14">
      <t>トリセツ</t>
    </rPh>
    <phoneticPr fontId="13"/>
  </si>
  <si>
    <t>W1K1771842W046099</t>
    <phoneticPr fontId="13"/>
  </si>
  <si>
    <t>岡山 399 な 4926</t>
    <rPh sb="0" eb="2">
      <t>オカヤマ</t>
    </rPh>
    <phoneticPr fontId="13"/>
  </si>
  <si>
    <t>岡山ﾄﾖﾍﾟｯﾄ株式会社</t>
    <rPh sb="0" eb="2">
      <t>オカヤマ</t>
    </rPh>
    <rPh sb="8" eb="12">
      <t>カブシキガイシャ</t>
    </rPh>
    <phoneticPr fontId="13"/>
  </si>
  <si>
    <t>保証書 取説 ｷｰﾚｽ ※記録紙1部切り取り書類の中</t>
    <rPh sb="0" eb="3">
      <t>ホショウショ</t>
    </rPh>
    <rPh sb="4" eb="6">
      <t>トリセツ</t>
    </rPh>
    <rPh sb="13" eb="16">
      <t>キロクシ</t>
    </rPh>
    <rPh sb="17" eb="18">
      <t>ブ</t>
    </rPh>
    <rPh sb="18" eb="19">
      <t>キ</t>
    </rPh>
    <rPh sb="20" eb="21">
      <t>ト</t>
    </rPh>
    <rPh sb="22" eb="24">
      <t>ショルイ</t>
    </rPh>
    <rPh sb="25" eb="26">
      <t>ナカ</t>
    </rPh>
    <phoneticPr fontId="13"/>
  </si>
  <si>
    <t>神戸 302 や 7125</t>
    <rPh sb="0" eb="2">
      <t>コウベ</t>
    </rPh>
    <phoneticPr fontId="13"/>
  </si>
  <si>
    <t>j兵庫ｽﾊﾞﾙ自動車株式会社</t>
    <rPh sb="1" eb="3">
      <t>ヒョウゴ</t>
    </rPh>
    <rPh sb="7" eb="14">
      <t>ジドウシャカブシキガイシャ</t>
    </rPh>
    <phoneticPr fontId="13"/>
  </si>
  <si>
    <t>臼井 美津子</t>
    <rPh sb="0" eb="2">
      <t>ウスイ</t>
    </rPh>
    <rPh sb="3" eb="6">
      <t>ミツコ</t>
    </rPh>
    <phoneticPr fontId="13"/>
  </si>
  <si>
    <t>長崎 330 ほ 2512</t>
    <rPh sb="0" eb="2">
      <t>ナガサキ</t>
    </rPh>
    <phoneticPr fontId="13"/>
  </si>
  <si>
    <t>久留米 341 た 1008</t>
    <rPh sb="0" eb="3">
      <t>クルメ</t>
    </rPh>
    <phoneticPr fontId="13"/>
  </si>
  <si>
    <t>保証書 整備手帳 ｷｰﾚｽ</t>
    <rPh sb="0" eb="3">
      <t>ホショウショ</t>
    </rPh>
    <rPh sb="4" eb="8">
      <t>セイビテチョウ</t>
    </rPh>
    <phoneticPr fontId="13"/>
  </si>
  <si>
    <t>株式会社ﾎﾝﾀﾞｶｰｽﾞ中央佐賀</t>
    <rPh sb="0" eb="4">
      <t>カブシキガイシャ</t>
    </rPh>
    <rPh sb="12" eb="14">
      <t>チュウオウ</t>
    </rPh>
    <rPh sb="14" eb="16">
      <t>サガ</t>
    </rPh>
    <phoneticPr fontId="13"/>
  </si>
  <si>
    <t>神戸 380 な 321</t>
    <rPh sb="0" eb="2">
      <t>コウベ</t>
    </rPh>
    <phoneticPr fontId="13"/>
  </si>
  <si>
    <t>静岡 584 え 128</t>
    <rPh sb="0" eb="2">
      <t>シズオカ</t>
    </rPh>
    <phoneticPr fontId="13"/>
  </si>
  <si>
    <t>名倉 沙緒理</t>
    <rPh sb="0" eb="2">
      <t>ナグラ</t>
    </rPh>
    <rPh sb="3" eb="4">
      <t>サ</t>
    </rPh>
    <rPh sb="4" eb="5">
      <t>チョ</t>
    </rPh>
    <rPh sb="5" eb="6">
      <t>オサム</t>
    </rPh>
    <phoneticPr fontId="13"/>
  </si>
  <si>
    <t>神戸 365 た 1024</t>
    <rPh sb="0" eb="2">
      <t>コウベ</t>
    </rPh>
    <phoneticPr fontId="13"/>
  </si>
  <si>
    <t>植松 宙</t>
    <rPh sb="0" eb="2">
      <t>ウエマツ</t>
    </rPh>
    <rPh sb="3" eb="4">
      <t>チュウ</t>
    </rPh>
    <phoneticPr fontId="13"/>
  </si>
  <si>
    <t>久留米 533 ふ 323</t>
    <rPh sb="0" eb="3">
      <t>クルメ</t>
    </rPh>
    <phoneticPr fontId="13"/>
  </si>
  <si>
    <t>三河 581 す 2028</t>
    <rPh sb="0" eb="2">
      <t>ミカワ</t>
    </rPh>
    <phoneticPr fontId="13"/>
  </si>
  <si>
    <t>梅元 笙汰</t>
    <rPh sb="0" eb="2">
      <t>ウメモト</t>
    </rPh>
    <rPh sb="3" eb="4">
      <t>ショウ</t>
    </rPh>
    <rPh sb="4" eb="5">
      <t>タ</t>
    </rPh>
    <phoneticPr fontId="13"/>
  </si>
  <si>
    <t>三重 332 ら 2355</t>
    <rPh sb="0" eb="2">
      <t>ミエ</t>
    </rPh>
    <phoneticPr fontId="13"/>
  </si>
  <si>
    <t>永井自動車工業株式会社</t>
    <rPh sb="0" eb="2">
      <t>ナガイ</t>
    </rPh>
    <rPh sb="2" eb="11">
      <t>ジドウシャコウギョウカブシキガイシャ</t>
    </rPh>
    <phoneticPr fontId="13"/>
  </si>
  <si>
    <t>鳥取 331 は 730</t>
    <rPh sb="0" eb="2">
      <t>トットリ</t>
    </rPh>
    <phoneticPr fontId="13"/>
  </si>
  <si>
    <t>吉田 桃也</t>
    <rPh sb="0" eb="2">
      <t>ヨシダ</t>
    </rPh>
    <rPh sb="3" eb="4">
      <t>モモ</t>
    </rPh>
    <rPh sb="4" eb="5">
      <t>ヤ</t>
    </rPh>
    <phoneticPr fontId="13"/>
  </si>
  <si>
    <t>整備手帳なし HAA売れそのまま送る</t>
    <rPh sb="0" eb="4">
      <t>セイビテチョウ</t>
    </rPh>
    <rPh sb="10" eb="11">
      <t>ウ</t>
    </rPh>
    <rPh sb="16" eb="17">
      <t>オク</t>
    </rPh>
    <phoneticPr fontId="13"/>
  </si>
  <si>
    <t>横浜 39A ら 7625</t>
    <rPh sb="0" eb="2">
      <t>ヨコハマ</t>
    </rPh>
    <phoneticPr fontId="13"/>
  </si>
  <si>
    <t>保証書 取説 ﾅﾋﾞ取 ｷｰﾚｽ ミニB-CAS</t>
    <rPh sb="0" eb="3">
      <t>ホショウショ</t>
    </rPh>
    <rPh sb="4" eb="6">
      <t>トリセツ</t>
    </rPh>
    <rPh sb="10" eb="11">
      <t>トリ</t>
    </rPh>
    <phoneticPr fontId="13"/>
  </si>
  <si>
    <t>品番；CN-RZ865</t>
    <rPh sb="0" eb="2">
      <t>ヒンバン</t>
    </rPh>
    <phoneticPr fontId="13"/>
  </si>
  <si>
    <t>品番；WVGA</t>
    <rPh sb="0" eb="2">
      <t>ヒンバン</t>
    </rPh>
    <phoneticPr fontId="13"/>
  </si>
  <si>
    <t>地図SD(車内)保証書</t>
    <rPh sb="8" eb="11">
      <t>ホショウショ</t>
    </rPh>
    <phoneticPr fontId="13"/>
  </si>
  <si>
    <t>ｷｰﾚｽ 地図SD(車内)保証書 取説</t>
    <rPh sb="5" eb="7">
      <t>チズ</t>
    </rPh>
    <rPh sb="13" eb="16">
      <t>ホショウショ</t>
    </rPh>
    <rPh sb="17" eb="19">
      <t>トリセツ</t>
    </rPh>
    <phoneticPr fontId="13"/>
  </si>
  <si>
    <t>27-3222</t>
  </si>
  <si>
    <t>27-3223</t>
  </si>
  <si>
    <t>BMW2ｼﾘｰｽﾞ ﾜｺﾞﾝ</t>
    <phoneticPr fontId="13"/>
  </si>
  <si>
    <t>ｼﾞｭﾘｴｯﾀ ヴｪﾛｰﾁｪ</t>
    <phoneticPr fontId="13"/>
  </si>
  <si>
    <t>岐阜 303 た 8251</t>
    <rPh sb="0" eb="2">
      <t>ギフ</t>
    </rPh>
    <phoneticPr fontId="13"/>
  </si>
  <si>
    <t>27-3224</t>
  </si>
  <si>
    <t>27-3225</t>
  </si>
  <si>
    <t>27-3226</t>
  </si>
  <si>
    <t>27-3227</t>
  </si>
  <si>
    <t>27-3228</t>
  </si>
  <si>
    <t>27-3229</t>
  </si>
  <si>
    <t>ﾎﾞﾙﾎﾞ XC60 D4 ﾓﾒﾝﾀﾑ</t>
    <phoneticPr fontId="13"/>
  </si>
  <si>
    <t>YV1UZA8MCJ1080963</t>
    <phoneticPr fontId="13"/>
  </si>
  <si>
    <t>ﾒﾙｾﾃﾞｽﾍﾞﾝﾂ Eｸﾗｽ E300ｱﾊﾞﾝｷﾞｬﾙﾄ</t>
    <phoneticPr fontId="13"/>
  </si>
  <si>
    <t>WDD2132832A607857</t>
    <phoneticPr fontId="13"/>
  </si>
  <si>
    <t>浜松 377 た 11</t>
    <rPh sb="0" eb="2">
      <t>ハママツ</t>
    </rPh>
    <phoneticPr fontId="13"/>
  </si>
  <si>
    <t>WMWXU52050TH95834</t>
    <phoneticPr fontId="13"/>
  </si>
  <si>
    <t>BMWﾐﾆﾜﾝ ｸﾛｽｵｰﾊﾞｰ ﾊﾞｯｷﾝｶﾞﾑ</t>
    <phoneticPr fontId="13"/>
  </si>
  <si>
    <t>WMWYV720003B88558</t>
    <phoneticPr fontId="13"/>
  </si>
  <si>
    <t>宇都宮 330 や 8850</t>
    <rPh sb="0" eb="3">
      <t>ウツノミヤ</t>
    </rPh>
    <phoneticPr fontId="13"/>
  </si>
  <si>
    <t>白/黒</t>
    <rPh sb="0" eb="1">
      <t>シロ</t>
    </rPh>
    <rPh sb="2" eb="3">
      <t>クロ</t>
    </rPh>
    <phoneticPr fontId="13"/>
  </si>
  <si>
    <t>WMWYU520803D54784</t>
    <phoneticPr fontId="13"/>
  </si>
  <si>
    <t>宇都宮 330 つ 631</t>
    <rPh sb="0" eb="3">
      <t>ウツノミヤ</t>
    </rPh>
    <phoneticPr fontId="13"/>
  </si>
  <si>
    <t>BMWﾐﾆｸｰﾊﾟｰSｺﾝﾊﾞｰﾁﾌﾞﾙ</t>
    <phoneticPr fontId="13"/>
  </si>
  <si>
    <t>WMWRH32060TK50367</t>
    <phoneticPr fontId="13"/>
  </si>
  <si>
    <t>582 う 2232</t>
    <phoneticPr fontId="13"/>
  </si>
  <si>
    <t>27-3230</t>
  </si>
  <si>
    <t>27-3231</t>
  </si>
  <si>
    <t>27-3232</t>
  </si>
  <si>
    <t>27-3233</t>
  </si>
  <si>
    <t>27-3234</t>
  </si>
  <si>
    <t>27-3235</t>
  </si>
  <si>
    <t>27-3236</t>
  </si>
  <si>
    <t>27-3237</t>
  </si>
  <si>
    <t>27-3238</t>
  </si>
  <si>
    <t>27-3239</t>
  </si>
  <si>
    <t>27-3240</t>
  </si>
  <si>
    <t>USS横浜</t>
    <rPh sb="3" eb="5">
      <t>ヨコハマ</t>
    </rPh>
    <phoneticPr fontId="13"/>
  </si>
  <si>
    <t>BMWﾐﾆ　ｸｰﾊﾟｰDｸﾛｽｵｰﾊﾞｰ</t>
    <phoneticPr fontId="13"/>
  </si>
  <si>
    <t>MﾍﾞﾝﾂB180</t>
    <phoneticPr fontId="13"/>
  </si>
  <si>
    <t>WMW42BT0703N88123</t>
    <phoneticPr fontId="13"/>
  </si>
  <si>
    <t>横浜　379　ゆ　1112</t>
    <rPh sb="0" eb="2">
      <t>ヨコハマ</t>
    </rPh>
    <phoneticPr fontId="13"/>
  </si>
  <si>
    <t>ﾒﾙｾﾃﾞｽAMG　GLB35　4ﾏﾁｯｸ</t>
    <phoneticPr fontId="13"/>
  </si>
  <si>
    <t>W1N2476512W088033</t>
    <phoneticPr fontId="13"/>
  </si>
  <si>
    <t>WDD2462422J503712</t>
    <phoneticPr fontId="13"/>
  </si>
  <si>
    <t>ﾑｰｳﾞｶｽﾀﾑ　Xﾘﾐﾃｯﾄﾞ　SaⅢ</t>
    <phoneticPr fontId="13"/>
  </si>
  <si>
    <t>LA160S-2014258</t>
    <phoneticPr fontId="13"/>
  </si>
  <si>
    <t>BMW318I　ﾂｰﾘﾝｸﾞMｽﾎﾟｰﾂ</t>
    <phoneticPr fontId="13"/>
  </si>
  <si>
    <t>ｽﾍﾟｰｼｱｷﾞｱ　ﾊｲﾌﾞﾘｯﾄﾞXZﾀｰﾎﾞ</t>
    <phoneticPr fontId="13"/>
  </si>
  <si>
    <t>MK53S-922391</t>
    <phoneticPr fontId="13"/>
  </si>
  <si>
    <t>S700V-0069487</t>
    <phoneticPr fontId="13"/>
  </si>
  <si>
    <t>N　BOXｶｽﾀﾑ　GﾀｰﾎﾞSS</t>
    <phoneticPr fontId="13"/>
  </si>
  <si>
    <t>JF2-2505758</t>
    <phoneticPr fontId="13"/>
  </si>
  <si>
    <t>BMW420I　ｸﾞﾗﾝｸｰﾍﾟ</t>
    <phoneticPr fontId="13"/>
  </si>
  <si>
    <t>27-3241</t>
  </si>
  <si>
    <t>27-3242</t>
  </si>
  <si>
    <t>27-3243</t>
  </si>
  <si>
    <t>ｱｸｱ　G　G's</t>
    <phoneticPr fontId="13"/>
  </si>
  <si>
    <t>NHP10-2462520</t>
    <phoneticPr fontId="13"/>
  </si>
  <si>
    <t>LA600S-0757893</t>
    <phoneticPr fontId="13"/>
  </si>
  <si>
    <t>MK53S-985504</t>
    <phoneticPr fontId="13"/>
  </si>
  <si>
    <t>MR92S-503153</t>
    <phoneticPr fontId="13"/>
  </si>
  <si>
    <t>ﾌﾟｼﾞｮｰ2008　GT　ﾌﾞﾙｰHDI</t>
    <phoneticPr fontId="13"/>
  </si>
  <si>
    <t>京都　582　な　2476</t>
    <rPh sb="0" eb="2">
      <t>キョウト</t>
    </rPh>
    <phoneticPr fontId="13"/>
  </si>
  <si>
    <t>保証書　取説　ﾅﾋﾞ取　地図SD　予備ｷｰ</t>
    <rPh sb="0" eb="3">
      <t>ホショウショ</t>
    </rPh>
    <rPh sb="4" eb="6">
      <t>トリセツ</t>
    </rPh>
    <rPh sb="10" eb="11">
      <t>トリ</t>
    </rPh>
    <rPh sb="12" eb="14">
      <t>チズ</t>
    </rPh>
    <rPh sb="17" eb="19">
      <t>ヨビ</t>
    </rPh>
    <phoneticPr fontId="13"/>
  </si>
  <si>
    <t>WBA72DZ050FK09747</t>
    <phoneticPr fontId="13"/>
  </si>
  <si>
    <t>保証書　取説　予備ｷｰ　　事業用</t>
    <rPh sb="0" eb="3">
      <t>ホショウショ</t>
    </rPh>
    <rPh sb="4" eb="6">
      <t>トリセツ</t>
    </rPh>
    <rPh sb="7" eb="9">
      <t>ヨビ</t>
    </rPh>
    <rPh sb="13" eb="16">
      <t>ジギョウヨウ</t>
    </rPh>
    <phoneticPr fontId="13"/>
  </si>
  <si>
    <t>WBA4D32080G754577</t>
    <phoneticPr fontId="13"/>
  </si>
  <si>
    <t>広島　582　こ　7871</t>
    <rPh sb="0" eb="2">
      <t>ヒロシマ</t>
    </rPh>
    <phoneticPr fontId="13"/>
  </si>
  <si>
    <t>VR3UDYHZSNJ767908</t>
    <phoneticPr fontId="13"/>
  </si>
  <si>
    <t>27-3244</t>
  </si>
  <si>
    <t>27-3245</t>
  </si>
  <si>
    <t>27-3246</t>
  </si>
  <si>
    <t>27-3247</t>
  </si>
  <si>
    <t>HA37S-126696</t>
    <phoneticPr fontId="13"/>
  </si>
  <si>
    <t>HA37S-129148</t>
    <phoneticPr fontId="13"/>
  </si>
  <si>
    <t>N　BOX　G　Lﾎﾝﾀﾞｾﾝｼﾝｸﾞ</t>
    <phoneticPr fontId="13"/>
  </si>
  <si>
    <t>JF4-1105714</t>
    <phoneticPr fontId="13"/>
  </si>
  <si>
    <t>MK53S-255139</t>
    <phoneticPr fontId="13"/>
  </si>
  <si>
    <t>27-3248</t>
  </si>
  <si>
    <t>27-3249</t>
  </si>
  <si>
    <t>ｼｴﾝﾀ　ﾊｲﾌﾞﾘｯﾄﾞZ</t>
    <phoneticPr fontId="13"/>
  </si>
  <si>
    <t>MXPL10-1196706</t>
    <phoneticPr fontId="13"/>
  </si>
  <si>
    <t>DA17W-122541</t>
    <phoneticPr fontId="13"/>
  </si>
  <si>
    <t>姫路　501　ゆ　3353</t>
    <rPh sb="0" eb="2">
      <t>ヒメジ</t>
    </rPh>
    <phoneticPr fontId="13"/>
  </si>
  <si>
    <t>保証書　　ﾚﾝﾀｶｰ</t>
    <rPh sb="0" eb="3">
      <t>ホショウショ</t>
    </rPh>
    <phoneticPr fontId="13"/>
  </si>
  <si>
    <t>301 ね 7587</t>
    <phoneticPr fontId="13"/>
  </si>
  <si>
    <t>301 ね 7591</t>
    <phoneticPr fontId="13"/>
  </si>
  <si>
    <t>301 ね 7594</t>
    <phoneticPr fontId="13"/>
  </si>
  <si>
    <t>湯川 時雄</t>
    <rPh sb="0" eb="2">
      <t>ユカワ</t>
    </rPh>
    <rPh sb="3" eb="5">
      <t>トキオ</t>
    </rPh>
    <phoneticPr fontId="13"/>
  </si>
  <si>
    <t>2/26</t>
    <phoneticPr fontId="13"/>
  </si>
  <si>
    <t>301 ね 7657</t>
    <phoneticPr fontId="13"/>
  </si>
  <si>
    <t>神戸 596 ろ 7214</t>
    <rPh sb="0" eb="2">
      <t>コウベ</t>
    </rPh>
    <phoneticPr fontId="13"/>
  </si>
  <si>
    <t>ｳﾞｧﾙﾀﾞｸﾞ・ﾌﾞﾗｻﾞｰｽﾞ株式会社</t>
    <rPh sb="17" eb="21">
      <t>カブシキガイシャ</t>
    </rPh>
    <phoneticPr fontId="13"/>
  </si>
  <si>
    <t>CAA東京</t>
    <rPh sb="3" eb="5">
      <t>トウキョウ</t>
    </rPh>
    <phoneticPr fontId="13"/>
  </si>
  <si>
    <t>SALVA2AX3KH327306</t>
    <phoneticPr fontId="13"/>
  </si>
  <si>
    <t>27-3250</t>
  </si>
  <si>
    <t>27-3251</t>
  </si>
  <si>
    <t>27-3252</t>
  </si>
  <si>
    <t>27-3253</t>
  </si>
  <si>
    <t>ﾚﾝｼﾞﾛｰﾊﾞｰｲｳﾞｫｰｸ ﾌﾘｰｽﾀｲﾙ 4WD</t>
    <phoneticPr fontId="13"/>
  </si>
  <si>
    <t>27-3254</t>
  </si>
  <si>
    <t>27-3255</t>
  </si>
  <si>
    <t>27-3256</t>
  </si>
  <si>
    <t>27-3257</t>
  </si>
  <si>
    <t>27-3258</t>
  </si>
  <si>
    <t>27-3259</t>
  </si>
  <si>
    <t>27-3260</t>
  </si>
  <si>
    <t>27-3261</t>
  </si>
  <si>
    <t>JF1-1944149</t>
    <phoneticPr fontId="13"/>
  </si>
  <si>
    <t>ACR50-0160544</t>
    <phoneticPr fontId="13"/>
  </si>
  <si>
    <t>保証書 取説 ﾜﾝｵｰﾅｰ ｽﾏｰﾄｷｰ</t>
    <rPh sb="0" eb="3">
      <t>ホショウショ</t>
    </rPh>
    <rPh sb="4" eb="6">
      <t>トリセツ</t>
    </rPh>
    <phoneticPr fontId="13"/>
  </si>
  <si>
    <t>ﾌﾟﾘｳｽｱﾙﾌｧ G</t>
    <phoneticPr fontId="13"/>
  </si>
  <si>
    <t>ZVW41-3387970</t>
    <phoneticPr fontId="13"/>
  </si>
  <si>
    <t>ｳﾞｪﾙﾌｧｲｱ 2.4 Z ｺﾞｰﾙﾃﾞﾝｱｲｽﾞ2</t>
    <phoneticPr fontId="13"/>
  </si>
  <si>
    <t>ANH20-8326294</t>
    <phoneticPr fontId="13"/>
  </si>
  <si>
    <t>名古屋 361 ぬ 315</t>
    <rPh sb="0" eb="3">
      <t>ナゴヤ</t>
    </rPh>
    <phoneticPr fontId="13"/>
  </si>
  <si>
    <t xml:space="preserve">ｶﾛｰﾗﾌｨｰﾙﾀﾞｰ　ﾊｲﾌﾞﾘｯﾄﾞG </t>
    <phoneticPr fontId="13"/>
  </si>
  <si>
    <t>NKE165-8032469</t>
    <phoneticPr fontId="13"/>
  </si>
  <si>
    <t>BMWﾐﾆｸｰﾊﾟｰD ｸﾗﾌﾞﾏﾝｸﾗｼｯｸﾄﾘﾑ</t>
    <phoneticPr fontId="13"/>
  </si>
  <si>
    <t>WMW72BB0402M68283</t>
    <phoneticPr fontId="13"/>
  </si>
  <si>
    <t>WMWXM520503A55586</t>
    <phoneticPr fontId="13"/>
  </si>
  <si>
    <t>飛騨 300 た 5795</t>
    <rPh sb="0" eb="2">
      <t>ヒダ</t>
    </rPh>
    <phoneticPr fontId="13"/>
  </si>
  <si>
    <t>ﾐﾗｲﾌﾞ大阪</t>
    <rPh sb="5" eb="7">
      <t>オオサカ</t>
    </rPh>
    <phoneticPr fontId="13"/>
  </si>
  <si>
    <t>ｷｬﾝｾﾙ返送2/26</t>
    <rPh sb="5" eb="7">
      <t>ヘンソウ</t>
    </rPh>
    <phoneticPr fontId="13"/>
  </si>
  <si>
    <t>27-3262</t>
  </si>
  <si>
    <t>27-3263</t>
  </si>
  <si>
    <t>27-3264</t>
  </si>
  <si>
    <t>27-3265</t>
  </si>
  <si>
    <t>27-3266</t>
  </si>
  <si>
    <t>27-3267</t>
  </si>
  <si>
    <t>27-3268</t>
  </si>
  <si>
    <t>27-3269</t>
  </si>
  <si>
    <t>27-3270</t>
  </si>
  <si>
    <t>27-3271</t>
  </si>
  <si>
    <t>27-3272</t>
  </si>
  <si>
    <t>27-3273</t>
  </si>
  <si>
    <t>27-3274</t>
  </si>
  <si>
    <t>27-3275</t>
  </si>
  <si>
    <t>27-3276</t>
  </si>
  <si>
    <t>27-3277</t>
  </si>
  <si>
    <t>ｽﾃｯﾌﾟﾜｺﾞﾝｽﾊﾟｰﾀﾞHV Gﾎﾝﾀﾞｾﾝｼﾝｸﾞ</t>
    <phoneticPr fontId="13"/>
  </si>
  <si>
    <t>RP5-1075071</t>
    <phoneticPr fontId="13"/>
  </si>
  <si>
    <t>大阪 354 め 1211</t>
    <rPh sb="0" eb="2">
      <t>オオサカ</t>
    </rPh>
    <phoneticPr fontId="13"/>
  </si>
  <si>
    <t>ﾓｺ Sｱｲﾄﾞﾘﾝｸﾞｽﾄｯﾌﾟ</t>
    <phoneticPr fontId="13"/>
  </si>
  <si>
    <t>MG33S-622195</t>
    <phoneticPr fontId="13"/>
  </si>
  <si>
    <t>岡山 581 ふ 7260</t>
    <rPh sb="0" eb="2">
      <t>オカヤマ</t>
    </rPh>
    <phoneticPr fontId="13"/>
  </si>
  <si>
    <t>ｽﾍﾟｰｼｱｶｽﾀﾑ ﾊｲﾌﾞﾘｯﾄﾞGS</t>
    <phoneticPr fontId="13"/>
  </si>
  <si>
    <t>MK53S-615178</t>
    <phoneticPr fontId="13"/>
  </si>
  <si>
    <t>JF3-5067663</t>
    <phoneticPr fontId="13"/>
  </si>
  <si>
    <t>奈良 581 け 8385</t>
    <rPh sb="0" eb="2">
      <t>ナラ</t>
    </rPh>
    <phoneticPr fontId="13"/>
  </si>
  <si>
    <t>ﾃﾞｲｽﾞﾙｰｸｽ ﾊｲｳｪｲｽﾀｰXVｾﾚｸｼｮﾝ</t>
    <phoneticPr fontId="13"/>
  </si>
  <si>
    <t>B21A-0501249</t>
    <phoneticPr fontId="13"/>
  </si>
  <si>
    <t>なにわ 580 も 3088</t>
    <phoneticPr fontId="13"/>
  </si>
  <si>
    <t>LA850S-1023943</t>
    <phoneticPr fontId="13"/>
  </si>
  <si>
    <t>MK53S-963564</t>
    <phoneticPr fontId="13"/>
  </si>
  <si>
    <t>和泉 583 き 5639</t>
    <rPh sb="0" eb="2">
      <t>イズミ</t>
    </rPh>
    <phoneticPr fontId="13"/>
  </si>
  <si>
    <t>JF1-2509946</t>
    <phoneticPr fontId="13"/>
  </si>
  <si>
    <t>和泉 780 つ 123</t>
    <rPh sb="0" eb="2">
      <t>イズミ</t>
    </rPh>
    <phoneticPr fontId="13"/>
  </si>
  <si>
    <t>JF3-5050517</t>
    <phoneticPr fontId="13"/>
  </si>
  <si>
    <t>JF3-5160310</t>
    <phoneticPr fontId="13"/>
  </si>
  <si>
    <t>和泉 583 つ 2204</t>
    <rPh sb="0" eb="2">
      <t>イズミ</t>
    </rPh>
    <phoneticPr fontId="13"/>
  </si>
  <si>
    <t>LA800S-0257644</t>
    <phoneticPr fontId="13"/>
  </si>
  <si>
    <t>JF3-5014945</t>
    <phoneticPr fontId="13"/>
  </si>
  <si>
    <t>JF3-2343497</t>
    <phoneticPr fontId="13"/>
  </si>
  <si>
    <t>和泉 584 つ 401</t>
    <rPh sb="0" eb="2">
      <t>イズミ</t>
    </rPh>
    <phoneticPr fontId="13"/>
  </si>
  <si>
    <t>N-ONE G SSﾌﾞﾗｳﾝｽﾀｲﾙ</t>
    <phoneticPr fontId="13"/>
  </si>
  <si>
    <t>JG1-1206346</t>
    <phoneticPr fontId="13"/>
  </si>
  <si>
    <t>鳥取 583 え 53</t>
    <rPh sb="0" eb="2">
      <t>トットリ</t>
    </rPh>
    <phoneticPr fontId="13"/>
  </si>
  <si>
    <t>JF3-5249547</t>
    <phoneticPr fontId="13"/>
  </si>
  <si>
    <t>LA850S-2011267</t>
    <phoneticPr fontId="13"/>
  </si>
  <si>
    <t>堺 580 ま 8568</t>
    <rPh sb="0" eb="1">
      <t>サカイ</t>
    </rPh>
    <phoneticPr fontId="13"/>
  </si>
  <si>
    <t>尾張小牧 589 ろ 9553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</si>
  <si>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</si>
  <si>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ｽﾍﾟｱｷｰ 地図SD  ﾜﾝｵｰﾅｰ</t>
    <rPh sb="0" eb="3">
      <t>ホショウショ</t>
    </rPh>
    <rPh sb="4" eb="6">
      <t>トリセツ</t>
    </rPh>
    <rPh sb="14" eb="16">
      <t>チズ</t>
    </rPh>
    <phoneticPr fontId="13"/>
  </si>
  <si>
    <t>福山 584 ほ 1106</t>
    <rPh sb="0" eb="2">
      <t>フクヤマ</t>
    </rPh>
    <phoneticPr fontId="13"/>
  </si>
  <si>
    <t>有限会社植島工業所</t>
    <rPh sb="0" eb="4">
      <t>ユウゲンカイシャ</t>
    </rPh>
    <rPh sb="4" eb="6">
      <t>ウエシマ</t>
    </rPh>
    <rPh sb="6" eb="9">
      <t>コウギョウショ</t>
    </rPh>
    <phoneticPr fontId="13"/>
  </si>
  <si>
    <t>品川 49A た 607</t>
    <rPh sb="0" eb="2">
      <t>シナガワ</t>
    </rPh>
    <phoneticPr fontId="13"/>
  </si>
  <si>
    <t>品川 580 つ 3592</t>
    <rPh sb="0" eb="2">
      <t>シナガワ</t>
    </rPh>
    <phoneticPr fontId="13"/>
  </si>
  <si>
    <t>保証書 取説 ｷｰﾚｽ ﾘﾓｺﾝ ﾅﾝﾊﾞｰ ﾜﾝｵｰﾅｰ</t>
    <rPh sb="0" eb="3">
      <t>ホショウショ</t>
    </rPh>
    <rPh sb="4" eb="6">
      <t>トリセツ</t>
    </rPh>
    <phoneticPr fontId="13"/>
  </si>
  <si>
    <t>品川 5X3 ろ 4040</t>
    <rPh sb="0" eb="2">
      <t>シナガワ</t>
    </rPh>
    <phoneticPr fontId="13"/>
  </si>
  <si>
    <t>名古屋 581 ね 4367</t>
    <rPh sb="0" eb="3">
      <t>ナゴヤ</t>
    </rPh>
    <phoneticPr fontId="13"/>
  </si>
  <si>
    <t>藤島 幸子</t>
    <rPh sb="0" eb="2">
      <t>フジシマ</t>
    </rPh>
    <rPh sb="3" eb="5">
      <t>サチコ</t>
    </rPh>
    <phoneticPr fontId="13"/>
  </si>
  <si>
    <t>一宮 580 せ 7285</t>
    <rPh sb="0" eb="2">
      <t>イチノミヤ</t>
    </rPh>
    <phoneticPr fontId="13"/>
  </si>
  <si>
    <t>有限会社光田ﾓｰﾀｰｽ</t>
    <rPh sb="0" eb="4">
      <t>ユウゲンカイシャ</t>
    </rPh>
    <rPh sb="4" eb="6">
      <t>ミツダ</t>
    </rPh>
    <phoneticPr fontId="13"/>
  </si>
  <si>
    <t>OHASI DE SOUZA CRISTIANO</t>
    <phoneticPr fontId="13"/>
  </si>
  <si>
    <t>神戸 336 ふ 3678</t>
    <rPh sb="0" eb="2">
      <t>コウベ</t>
    </rPh>
    <phoneticPr fontId="13"/>
  </si>
  <si>
    <t>ﾈｯﾂﾄﾖﾀｿﾞﾅ神戸株式会社</t>
    <rPh sb="9" eb="11">
      <t>コウベ</t>
    </rPh>
    <rPh sb="11" eb="15">
      <t>カブシキガイシャ</t>
    </rPh>
    <phoneticPr fontId="13"/>
  </si>
  <si>
    <t>千葉 302 ひ 5284</t>
    <rPh sb="0" eb="2">
      <t>チバ</t>
    </rPh>
    <phoneticPr fontId="13"/>
  </si>
  <si>
    <t>株式会社ﾓﾄｰﾚﾝ東名横浜</t>
    <rPh sb="0" eb="4">
      <t>カブシキガイシャ</t>
    </rPh>
    <rPh sb="9" eb="11">
      <t>トウメイ</t>
    </rPh>
    <rPh sb="11" eb="13">
      <t>ヨコハマ</t>
    </rPh>
    <phoneticPr fontId="13"/>
  </si>
  <si>
    <t>保証書 取説 ﾅﾋﾞ取 ｷｰﾚｽ 地図SD(車内)ﾜﾝｵｰﾅｰ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</si>
  <si>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株式会社ﾓｺｶﾞﾚｰｼﾞ</t>
    <rPh sb="0" eb="4">
      <t>カブシキガイシャ</t>
    </rPh>
    <phoneticPr fontId="13"/>
  </si>
  <si>
    <t>保証書 ｷｰﾚｽ(車内)ﾜﾝｵｰﾅｰ</t>
    <rPh sb="0" eb="3">
      <t>ホショウショ</t>
    </rPh>
    <rPh sb="9" eb="11">
      <t>シャナイ</t>
    </rPh>
    <phoneticPr fontId="13"/>
  </si>
  <si>
    <t>ﾊｲｾﾞｯﾄｶｰｺﾞ　ｽﾍﾟｼｬﾙSA3</t>
    <phoneticPr fontId="13"/>
  </si>
  <si>
    <t>S321V-0484483</t>
    <phoneticPr fontId="13"/>
  </si>
  <si>
    <t>JB23W-764558</t>
    <phoneticPr fontId="13"/>
  </si>
  <si>
    <t>YV1FZ40MCJ2044397</t>
    <phoneticPr fontId="13"/>
  </si>
  <si>
    <t xml:space="preserve">ｼﾞｬｶﾞｰ XFｽﾎﾟｰﾂﾌﾟﾚｲ </t>
    <phoneticPr fontId="13"/>
  </si>
  <si>
    <t>SAJBB2AX2JCY61420</t>
    <phoneticPr fontId="13"/>
  </si>
  <si>
    <t>ﾒﾙｾﾃﾞｽﾍﾞﾝﾂ GLC220d</t>
    <phoneticPr fontId="13"/>
  </si>
  <si>
    <t>W1N2539152F956890</t>
    <phoneticPr fontId="13"/>
  </si>
  <si>
    <t>WDD2132422A509574</t>
    <phoneticPr fontId="13"/>
  </si>
  <si>
    <t>W1N2476122W079695</t>
    <phoneticPr fontId="13"/>
  </si>
  <si>
    <t>BMW 218 dｱｸﾃｨﾌﾞﾂｱﾗｰ</t>
    <phoneticPr fontId="13"/>
  </si>
  <si>
    <t>WBA6Z12080VF79065</t>
    <phoneticPr fontId="13"/>
  </si>
  <si>
    <t>27-3278</t>
  </si>
  <si>
    <t>27-3279</t>
  </si>
  <si>
    <t>27-3280</t>
  </si>
  <si>
    <t>27-3281</t>
  </si>
  <si>
    <t>27-3282</t>
  </si>
  <si>
    <t>27-3283</t>
  </si>
  <si>
    <t>27-3284</t>
  </si>
  <si>
    <t>27-3285</t>
  </si>
  <si>
    <t>27-3286</t>
  </si>
  <si>
    <t>27-3287</t>
  </si>
  <si>
    <t>27-3288</t>
  </si>
  <si>
    <t>ZVW41-0051259</t>
    <phoneticPr fontId="13"/>
  </si>
  <si>
    <t>NSP170-7155958</t>
    <phoneticPr fontId="13"/>
  </si>
  <si>
    <t>ZVW41-0037689</t>
    <phoneticPr fontId="13"/>
  </si>
  <si>
    <t>27-3289</t>
  </si>
  <si>
    <t>ﾒﾙｾﾃﾞｽﾍﾞﾝﾂ GLB250 Mｽﾎﾟｰﾂ</t>
    <phoneticPr fontId="13"/>
  </si>
  <si>
    <t>W1N2476472W097979</t>
    <phoneticPr fontId="13"/>
  </si>
  <si>
    <t>ﾌﾟﾘｳｽｱﾙﾌｧ Sﾁｭｰﾝﾌﾞﾗｯｸ2</t>
    <phoneticPr fontId="13"/>
  </si>
  <si>
    <t>保証書 取説 SD ｽﾍﾟｱｷｰ</t>
    <rPh sb="0" eb="3">
      <t>ホショウショ</t>
    </rPh>
    <rPh sb="4" eb="6">
      <t>トリセツ</t>
    </rPh>
    <phoneticPr fontId="13"/>
  </si>
  <si>
    <t>大阪 530 ち 7884</t>
    <rPh sb="0" eb="2">
      <t>オオサカ</t>
    </rPh>
    <phoneticPr fontId="13"/>
  </si>
  <si>
    <t>ﾌﾟﾘｳｽｱﾙﾌｧ Sﾂｰﾘﾝｸﾞｾﾚｸｼｮﾝ</t>
    <phoneticPr fontId="13"/>
  </si>
  <si>
    <t>飛鳥 300 す 1483</t>
    <rPh sb="0" eb="2">
      <t>アスカ</t>
    </rPh>
    <phoneticPr fontId="13"/>
  </si>
  <si>
    <t>MK53S-732277</t>
    <phoneticPr fontId="13"/>
  </si>
  <si>
    <t>JF3-5041832</t>
    <phoneticPr fontId="13"/>
  </si>
  <si>
    <t>S700V-0000121</t>
    <phoneticPr fontId="13"/>
  </si>
  <si>
    <t>HE33S-121067</t>
    <phoneticPr fontId="13"/>
  </si>
  <si>
    <t>JF1-2524669</t>
    <phoneticPr fontId="13"/>
  </si>
  <si>
    <t>JF3-1224492</t>
    <phoneticPr fontId="13"/>
  </si>
  <si>
    <t>LA700S-0098124</t>
    <phoneticPr fontId="13"/>
  </si>
  <si>
    <t>JF3-5240214</t>
    <phoneticPr fontId="13"/>
  </si>
  <si>
    <t>LA650S-0416192</t>
    <phoneticPr fontId="13"/>
  </si>
  <si>
    <t>LA850S-0002819</t>
    <phoneticPr fontId="13"/>
  </si>
  <si>
    <t>MK94S-131444</t>
    <phoneticPr fontId="13"/>
  </si>
  <si>
    <t>LA850S-0056713</t>
    <phoneticPr fontId="13"/>
  </si>
  <si>
    <t>MR92S-224338</t>
    <phoneticPr fontId="13"/>
  </si>
  <si>
    <t>DA16T-594531</t>
    <phoneticPr fontId="13"/>
  </si>
  <si>
    <t>27-3290</t>
  </si>
  <si>
    <t>27-3291</t>
  </si>
  <si>
    <t>27-3292</t>
  </si>
  <si>
    <t>27-3293</t>
  </si>
  <si>
    <t>27-3294</t>
  </si>
  <si>
    <t>27-3295</t>
  </si>
  <si>
    <t>27-3296</t>
  </si>
  <si>
    <t>27-3297</t>
  </si>
  <si>
    <t>27-3298</t>
  </si>
  <si>
    <t>27-3299</t>
  </si>
  <si>
    <t>27-3300</t>
  </si>
  <si>
    <t>27-3301</t>
  </si>
  <si>
    <t>27-3302</t>
  </si>
  <si>
    <t>27-3303</t>
  </si>
  <si>
    <t>MK53S-192267</t>
    <phoneticPr fontId="13"/>
  </si>
  <si>
    <t>JF5-1074226</t>
    <phoneticPr fontId="13"/>
  </si>
  <si>
    <t>三河 581 つ 9870</t>
    <rPh sb="0" eb="2">
      <t>ミカワ</t>
    </rPh>
    <phoneticPr fontId="13"/>
  </si>
  <si>
    <t>MK53S-938307</t>
    <phoneticPr fontId="13"/>
  </si>
  <si>
    <t>MH34S-737045</t>
    <phoneticPr fontId="13"/>
  </si>
  <si>
    <t>JB64W-400401</t>
    <phoneticPr fontId="13"/>
  </si>
  <si>
    <t>三河 583 ね 262</t>
    <rPh sb="0" eb="2">
      <t>ミカワ</t>
    </rPh>
    <phoneticPr fontId="13"/>
  </si>
  <si>
    <t>HE33S-170801</t>
    <phoneticPr fontId="13"/>
  </si>
  <si>
    <t>名古屋 58A み 2811</t>
    <rPh sb="0" eb="3">
      <t>ナゴヤ</t>
    </rPh>
    <phoneticPr fontId="13"/>
  </si>
  <si>
    <t>N-BOX EX</t>
    <phoneticPr fontId="13"/>
  </si>
  <si>
    <t>ﾊｲｾﾞｯﾄ V ｸﾙｰｽﾞ</t>
    <phoneticPr fontId="13"/>
  </si>
  <si>
    <t>名古屋 58A み 2429</t>
    <rPh sb="0" eb="3">
      <t>ナゴヤ</t>
    </rPh>
    <phoneticPr fontId="13"/>
  </si>
  <si>
    <t>三重 581 と 3614</t>
    <rPh sb="0" eb="2">
      <t>ミエ</t>
    </rPh>
    <phoneticPr fontId="13"/>
  </si>
  <si>
    <t>ｳｪｲｸ　 L ﾚｼﾞｬｰｴﾃﾞｨｼｮﾝ</t>
    <phoneticPr fontId="13"/>
  </si>
  <si>
    <t>8/7/19</t>
    <phoneticPr fontId="13"/>
  </si>
  <si>
    <t>鈴鹿 580 つ 4577</t>
    <rPh sb="0" eb="2">
      <t>スズカ</t>
    </rPh>
    <phoneticPr fontId="13"/>
  </si>
  <si>
    <t>9/12/19</t>
    <phoneticPr fontId="13"/>
  </si>
  <si>
    <t xml:space="preserve">保証書 取説 ﾜﾝｵｰﾅｰ </t>
    <rPh sb="0" eb="3">
      <t>ホショウショ</t>
    </rPh>
    <rPh sb="4" eb="6">
      <t>トリセツ</t>
    </rPh>
    <phoneticPr fontId="13"/>
  </si>
  <si>
    <t>金沢 583 あ 5222</t>
    <rPh sb="0" eb="2">
      <t>カナザワ</t>
    </rPh>
    <phoneticPr fontId="13"/>
  </si>
  <si>
    <t>9/7/25</t>
    <phoneticPr fontId="13"/>
  </si>
  <si>
    <t>尾張小牧 581 と 6381</t>
    <rPh sb="0" eb="4">
      <t>オワリコマキ</t>
    </rPh>
    <phoneticPr fontId="13"/>
  </si>
  <si>
    <t>ﾑｰﾌﾞｷｬﾝﾊﾞｽ ｽﾄﾗｲﾌﾟｽ Gﾀｰﾎﾞ</t>
    <phoneticPr fontId="13"/>
  </si>
  <si>
    <t>8/12/6</t>
    <phoneticPr fontId="13"/>
  </si>
  <si>
    <t>袖ヶ浦 581 う 4563</t>
    <rPh sb="0" eb="3">
      <t>ソデガウラ</t>
    </rPh>
    <phoneticPr fontId="13"/>
  </si>
  <si>
    <t xml:space="preserve">ｷｬﾘｰﾄﾗｯｸ </t>
    <phoneticPr fontId="13"/>
  </si>
  <si>
    <t>岐阜 480 ま 2791</t>
    <rPh sb="0" eb="2">
      <t>ギフ</t>
    </rPh>
    <phoneticPr fontId="13"/>
  </si>
  <si>
    <t>千葉 326 た 9428</t>
    <rPh sb="0" eb="2">
      <t>チバ</t>
    </rPh>
    <phoneticPr fontId="13"/>
  </si>
  <si>
    <t>大宮 585 ま 630</t>
    <rPh sb="0" eb="2">
      <t>オオミヤ</t>
    </rPh>
    <phoneticPr fontId="13"/>
  </si>
  <si>
    <t>株式会社ｵﾘｺﾌﾟﾛﾀﾞｸﾄﾌｧｲﾅﾝｽ</t>
    <rPh sb="0" eb="4">
      <t>カブシキガイシャ</t>
    </rPh>
    <phoneticPr fontId="13"/>
  </si>
  <si>
    <t>名古屋 780 ろ 7840</t>
    <rPh sb="0" eb="3">
      <t>ナゴヤ</t>
    </rPh>
    <phoneticPr fontId="13"/>
  </si>
  <si>
    <t>FAYYAZ MAHSAB</t>
    <phoneticPr fontId="13"/>
  </si>
  <si>
    <t>つくば 340 ま 5050</t>
    <phoneticPr fontId="13"/>
  </si>
  <si>
    <t>山田 真澄</t>
    <rPh sb="0" eb="2">
      <t>ヤマダ</t>
    </rPh>
    <rPh sb="3" eb="5">
      <t>マスミ</t>
    </rPh>
    <phoneticPr fontId="13"/>
  </si>
  <si>
    <t>土浦 340 す 220</t>
    <rPh sb="0" eb="2">
      <t>ツチウラ</t>
    </rPh>
    <phoneticPr fontId="13"/>
  </si>
  <si>
    <t>株式会社孝建</t>
    <rPh sb="0" eb="4">
      <t>カブシキガイシャ</t>
    </rPh>
    <rPh sb="4" eb="5">
      <t>タカ</t>
    </rPh>
    <rPh sb="5" eb="6">
      <t>ケン</t>
    </rPh>
    <phoneticPr fontId="13"/>
  </si>
  <si>
    <t>大阪 346 は 311</t>
    <rPh sb="0" eb="2">
      <t>オオサカ</t>
    </rPh>
    <phoneticPr fontId="13"/>
  </si>
  <si>
    <t>竹井 義晴</t>
    <rPh sb="0" eb="2">
      <t>タケイ</t>
    </rPh>
    <rPh sb="3" eb="5">
      <t>ヨシハル</t>
    </rPh>
    <phoneticPr fontId="13"/>
  </si>
  <si>
    <t>群馬 581 ち 2038</t>
    <rPh sb="0" eb="2">
      <t>グンマ</t>
    </rPh>
    <phoneticPr fontId="13"/>
  </si>
  <si>
    <t>渡邉 英明</t>
    <rPh sb="0" eb="2">
      <t>ワタナベ</t>
    </rPh>
    <rPh sb="3" eb="5">
      <t>ヒデアキ</t>
    </rPh>
    <phoneticPr fontId="13"/>
  </si>
  <si>
    <t>所沢 343 と 1021</t>
    <rPh sb="0" eb="2">
      <t>トコロザワ</t>
    </rPh>
    <phoneticPr fontId="13"/>
  </si>
  <si>
    <t>嵯峨 謙治</t>
    <rPh sb="0" eb="2">
      <t>サガ</t>
    </rPh>
    <rPh sb="3" eb="5">
      <t>ケンジ</t>
    </rPh>
    <phoneticPr fontId="13"/>
  </si>
  <si>
    <t>保証書 取説 ﾅﾋﾞ取 ｷｰﾚｽ ｶｰﾄﾞｷｰ ﾜﾝｵｰﾅｰ</t>
    <rPh sb="0" eb="3">
      <t>ホショウショ</t>
    </rPh>
    <rPh sb="4" eb="6">
      <t>トリセツ</t>
    </rPh>
    <rPh sb="10" eb="11">
      <t>トリ</t>
    </rPh>
    <phoneticPr fontId="13"/>
  </si>
  <si>
    <t>春日部 502 す 8001</t>
    <rPh sb="0" eb="3">
      <t>カスカベ</t>
    </rPh>
    <phoneticPr fontId="13"/>
  </si>
  <si>
    <t>佐藤 博幸</t>
    <rPh sb="0" eb="2">
      <t>サトウ</t>
    </rPh>
    <rPh sb="3" eb="5">
      <t>ヒロユキ</t>
    </rPh>
    <phoneticPr fontId="13"/>
  </si>
  <si>
    <t>取説 ﾘﾓｺﾝ 保証書なしｸﾚｰﾑ済</t>
    <rPh sb="0" eb="2">
      <t>トリセツ</t>
    </rPh>
    <rPh sb="8" eb="11">
      <t>ホショウショ</t>
    </rPh>
    <rPh sb="17" eb="18">
      <t>ズ</t>
    </rPh>
    <phoneticPr fontId="13"/>
  </si>
  <si>
    <t>京都 329 す 403</t>
    <rPh sb="0" eb="2">
      <t>キョウト</t>
    </rPh>
    <phoneticPr fontId="13"/>
  </si>
  <si>
    <t>保証書 取説 ｷｰﾚｽ ｽﾍﾟｱｷｰ2個 ﾚﾝﾀｶｰ</t>
    <rPh sb="0" eb="3">
      <t>ホショウショ</t>
    </rPh>
    <rPh sb="4" eb="6">
      <t>トリセツ</t>
    </rPh>
    <rPh sb="19" eb="20">
      <t>コ</t>
    </rPh>
    <phoneticPr fontId="13"/>
  </si>
  <si>
    <t>神戸 39A す 8195</t>
    <rPh sb="0" eb="2">
      <t>コウベ</t>
    </rPh>
    <phoneticPr fontId="13"/>
  </si>
  <si>
    <t>AZIZZADEH JAFAR</t>
    <phoneticPr fontId="13"/>
  </si>
  <si>
    <t>滋賀 532 と 595</t>
    <rPh sb="0" eb="2">
      <t>シガ</t>
    </rPh>
    <phoneticPr fontId="13"/>
  </si>
  <si>
    <t>神戸 39A た 2825</t>
    <rPh sb="0" eb="2">
      <t>コウベ</t>
    </rPh>
    <phoneticPr fontId="13"/>
  </si>
  <si>
    <t>VF1AH0008M0823468</t>
    <phoneticPr fontId="13"/>
  </si>
  <si>
    <t>株式会社NECST</t>
    <rPh sb="0" eb="4">
      <t>カブシキガイシャ</t>
    </rPh>
    <phoneticPr fontId="13"/>
  </si>
  <si>
    <t>TAA近畿保証書ﾀﾞﾐｰ送る</t>
    <rPh sb="3" eb="5">
      <t>キンキ</t>
    </rPh>
    <rPh sb="5" eb="8">
      <t>ホショウショ</t>
    </rPh>
    <rPh sb="12" eb="13">
      <t>オク</t>
    </rPh>
    <phoneticPr fontId="13"/>
  </si>
  <si>
    <t>名古屋 582 い 5473</t>
    <rPh sb="0" eb="3">
      <t>ナゴヤ</t>
    </rPh>
    <phoneticPr fontId="13"/>
  </si>
  <si>
    <t>和泉 581 は 1434</t>
    <rPh sb="0" eb="2">
      <t>イズミ</t>
    </rPh>
    <phoneticPr fontId="13"/>
  </si>
  <si>
    <t>中下 剛伸</t>
    <rPh sb="0" eb="2">
      <t>ナカシタ</t>
    </rPh>
    <rPh sb="3" eb="4">
      <t>ツヨシ</t>
    </rPh>
    <rPh sb="4" eb="5">
      <t>ノ</t>
    </rPh>
    <phoneticPr fontId="13"/>
  </si>
  <si>
    <t>鳥取 581 う 1617</t>
    <rPh sb="0" eb="2">
      <t>トットリ</t>
    </rPh>
    <phoneticPr fontId="13"/>
  </si>
  <si>
    <t>倉敷 581 あ 3194</t>
    <rPh sb="0" eb="2">
      <t>クラシキ</t>
    </rPh>
    <phoneticPr fontId="13"/>
  </si>
  <si>
    <t>濱田 真一郎</t>
    <rPh sb="0" eb="2">
      <t>ハマダ</t>
    </rPh>
    <rPh sb="3" eb="6">
      <t>シンイチロウ</t>
    </rPh>
    <phoneticPr fontId="13"/>
  </si>
  <si>
    <t>岡山 581 と 2313</t>
    <rPh sb="0" eb="2">
      <t>オカヤマ</t>
    </rPh>
    <phoneticPr fontId="13"/>
  </si>
  <si>
    <t>難波 和博</t>
    <rPh sb="0" eb="2">
      <t>ナンバ</t>
    </rPh>
    <rPh sb="3" eb="5">
      <t>カズヒロ</t>
    </rPh>
    <phoneticPr fontId="13"/>
  </si>
  <si>
    <t>ZC33S-503303</t>
    <phoneticPr fontId="13"/>
  </si>
  <si>
    <t>WMWWJ520303N02188</t>
    <phoneticPr fontId="13"/>
  </si>
  <si>
    <t>ﾎﾞﾙﾎﾞXC40 ｱﾙﾃｨﾒｯﾄ</t>
    <phoneticPr fontId="13"/>
  </si>
  <si>
    <t>YV1XZK8MXP2012060</t>
    <phoneticPr fontId="13"/>
  </si>
  <si>
    <t>ﾌｨｱｯﾄ500 1.2ｶﾙﾄ</t>
    <phoneticPr fontId="13"/>
  </si>
  <si>
    <t>ZFABF1BGXNJG01869</t>
    <phoneticPr fontId="13"/>
  </si>
  <si>
    <t>9/4/24</t>
    <phoneticPr fontId="13"/>
  </si>
  <si>
    <t>三河 544 つ 55</t>
    <rPh sb="0" eb="2">
      <t>ミカワ</t>
    </rPh>
    <phoneticPr fontId="13"/>
  </si>
  <si>
    <t xml:space="preserve">整備手帳 ﾅﾋﾞ取(車内)保証書  取説  ｷｰﾚｽ </t>
    <rPh sb="0" eb="4">
      <t>セイビテチョウ</t>
    </rPh>
    <rPh sb="8" eb="9">
      <t>トリ</t>
    </rPh>
    <rPh sb="10" eb="12">
      <t>シャナイ</t>
    </rPh>
    <rPh sb="18" eb="20">
      <t>トリセツ</t>
    </rPh>
    <phoneticPr fontId="13"/>
  </si>
  <si>
    <t>岐阜 599 ひ 224</t>
    <rPh sb="0" eb="2">
      <t>ギフ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</si>
  <si>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</si>
  <si>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沖縄 330 つ 1075</t>
    <rPh sb="0" eb="2">
      <t>オキナワ</t>
    </rPh>
    <phoneticPr fontId="13"/>
  </si>
  <si>
    <t>高知 580 ひ 7358</t>
    <rPh sb="0" eb="2">
      <t>コウチ</t>
    </rPh>
    <phoneticPr fontId="13"/>
  </si>
  <si>
    <t>株式会社ｽｽﾞｷ自販高知</t>
    <rPh sb="0" eb="4">
      <t>カブシキガイシャ</t>
    </rPh>
    <rPh sb="8" eb="10">
      <t>ジハン</t>
    </rPh>
    <rPh sb="10" eb="12">
      <t>コウチ</t>
    </rPh>
    <phoneticPr fontId="13"/>
  </si>
  <si>
    <t>高知 580 ひ 1636</t>
    <rPh sb="0" eb="2">
      <t>コウチ</t>
    </rPh>
    <phoneticPr fontId="13"/>
  </si>
  <si>
    <t>広島 582 か 6524</t>
    <rPh sb="0" eb="2">
      <t>ヒロシマ</t>
    </rPh>
    <phoneticPr fontId="13"/>
  </si>
  <si>
    <t>広島 503 せ 954</t>
    <rPh sb="0" eb="2">
      <t>ヒロシマ</t>
    </rPh>
    <phoneticPr fontId="13"/>
  </si>
  <si>
    <t>株式会社ｽｽﾞｷ自販広島</t>
    <rPh sb="0" eb="4">
      <t>カブシキガイシャ</t>
    </rPh>
    <rPh sb="8" eb="12">
      <t>ジハンヒロシマ</t>
    </rPh>
    <phoneticPr fontId="13"/>
  </si>
  <si>
    <t>岡山 582 あ 7657</t>
    <rPh sb="0" eb="2">
      <t>オカヤマ</t>
    </rPh>
    <phoneticPr fontId="13"/>
  </si>
  <si>
    <t>株式会社ﾏﾃｨｸｽﾘﾃｰﾙｻｰﾋﾞｽ</t>
    <rPh sb="0" eb="4">
      <t>カブシキガイシャ</t>
    </rPh>
    <phoneticPr fontId="13"/>
  </si>
  <si>
    <t>金沢 481 ろ 289</t>
    <rPh sb="0" eb="2">
      <t>カナザワ</t>
    </rPh>
    <phoneticPr fontId="13"/>
  </si>
  <si>
    <t>金沢三菱自動車販売株式会社</t>
    <rPh sb="0" eb="2">
      <t>カナザワ</t>
    </rPh>
    <rPh sb="2" eb="4">
      <t>ミツビシ</t>
    </rPh>
    <rPh sb="4" eb="13">
      <t>ジドウシャハンバイカブシキガイシャ</t>
    </rPh>
    <phoneticPr fontId="13"/>
  </si>
  <si>
    <t>名古屋 780 ろ 6971</t>
    <rPh sb="0" eb="3">
      <t>ナゴヤ</t>
    </rPh>
    <phoneticPr fontId="13"/>
  </si>
  <si>
    <t>地図SD(車内)取説 ｷｰﾚｽ ﾅﾋﾞ取</t>
    <rPh sb="0" eb="2">
      <t>チズ</t>
    </rPh>
    <rPh sb="5" eb="7">
      <t>シャナイ</t>
    </rPh>
    <rPh sb="8" eb="10">
      <t>トリセツ</t>
    </rPh>
    <rPh sb="19" eb="20">
      <t>トリ</t>
    </rPh>
    <phoneticPr fontId="13"/>
  </si>
  <si>
    <t>長沼 和弘</t>
    <rPh sb="0" eb="2">
      <t>ナガヌマ</t>
    </rPh>
    <rPh sb="3" eb="5">
      <t>カズヒロ</t>
    </rPh>
    <phoneticPr fontId="13"/>
  </si>
  <si>
    <t>中橋 章</t>
    <rPh sb="0" eb="2">
      <t>ナカハシ</t>
    </rPh>
    <rPh sb="3" eb="4">
      <t>アキラ</t>
    </rPh>
    <phoneticPr fontId="13"/>
  </si>
  <si>
    <t>三重 581 す 2108</t>
    <rPh sb="0" eb="2">
      <t>ミエ</t>
    </rPh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</si>
  <si>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3">
      <t>ナカ</t>
    </rPh>
    <rPh sb="13" eb="14">
      <t>キョウ</t>
    </rPh>
    <phoneticPr fontId="13"/>
  </si>
  <si>
    <t>岐阜 586 ろ 2123</t>
    <rPh sb="0" eb="2">
      <t>ギフ</t>
    </rPh>
    <phoneticPr fontId="13"/>
  </si>
  <si>
    <t>土岐三菱自動車販売株式会社</t>
    <rPh sb="0" eb="1">
      <t>ツチ</t>
    </rPh>
    <rPh sb="2" eb="13">
      <t>ミツビシジドウシャハンバイカブシキガイシャ</t>
    </rPh>
    <phoneticPr fontId="13"/>
  </si>
  <si>
    <t>名古屋 597 ろ 8455</t>
    <rPh sb="0" eb="3">
      <t>ナゴヤ</t>
    </rPh>
    <phoneticPr fontId="13"/>
  </si>
  <si>
    <t>神戸 596 ろ 7131</t>
    <rPh sb="0" eb="2">
      <t>コウベ</t>
    </rPh>
    <phoneticPr fontId="13"/>
  </si>
  <si>
    <t>一宮 599 せ 8599</t>
    <rPh sb="0" eb="2">
      <t>イチノミヤ</t>
    </rPh>
    <phoneticPr fontId="13"/>
  </si>
  <si>
    <t>出光ﾘﾃｰﾙ販売株式会社</t>
    <rPh sb="0" eb="2">
      <t>イデミツ</t>
    </rPh>
    <rPh sb="6" eb="8">
      <t>ハンバイ</t>
    </rPh>
    <rPh sb="8" eb="12">
      <t>カブシキガイシャ</t>
    </rPh>
    <phoneticPr fontId="13"/>
  </si>
  <si>
    <t>医療法人中重会</t>
    <rPh sb="0" eb="4">
      <t>イリョウホウジン</t>
    </rPh>
    <rPh sb="4" eb="6">
      <t>ナカシゲ</t>
    </rPh>
    <rPh sb="6" eb="7">
      <t>カイ</t>
    </rPh>
    <phoneticPr fontId="13"/>
  </si>
  <si>
    <t>582 う 2874</t>
    <phoneticPr fontId="13"/>
  </si>
  <si>
    <t>地図SD(車内)保証書 取説 ｷｰﾚｽ ﾅﾋﾞ取</t>
    <rPh sb="12" eb="14">
      <t>トリセツ</t>
    </rPh>
    <rPh sb="23" eb="24">
      <t>トリ</t>
    </rPh>
    <phoneticPr fontId="13"/>
  </si>
  <si>
    <t>WMW72BB0X02M65405</t>
    <phoneticPr fontId="13"/>
  </si>
  <si>
    <t>27-3304</t>
  </si>
  <si>
    <t>27-3305</t>
  </si>
  <si>
    <t>27-3306</t>
  </si>
  <si>
    <t>27-3307</t>
  </si>
  <si>
    <t>27-3308</t>
  </si>
  <si>
    <t>27-3309</t>
  </si>
  <si>
    <t>27-3310</t>
  </si>
  <si>
    <t>27-3311</t>
  </si>
  <si>
    <t>27-3312</t>
  </si>
  <si>
    <t>27-3313</t>
  </si>
  <si>
    <t>27-3314</t>
  </si>
  <si>
    <t>27-3315</t>
  </si>
  <si>
    <t>27-3316</t>
  </si>
  <si>
    <t>27-3317</t>
  </si>
  <si>
    <t>27-3318</t>
  </si>
  <si>
    <t>27-3319</t>
  </si>
  <si>
    <t>27-3320</t>
  </si>
  <si>
    <t>27-3321</t>
  </si>
  <si>
    <t>27-3322</t>
  </si>
  <si>
    <t>27-3323</t>
  </si>
  <si>
    <t>27-3324</t>
  </si>
  <si>
    <t>27-3325</t>
  </si>
  <si>
    <t>27-3326</t>
  </si>
  <si>
    <t>27-3327</t>
  </si>
  <si>
    <t>27-3328</t>
  </si>
  <si>
    <t>27-3329</t>
  </si>
  <si>
    <t>27-3330</t>
  </si>
  <si>
    <t>27-3331</t>
  </si>
  <si>
    <t>JF14-1636302</t>
    <phoneticPr fontId="13"/>
  </si>
  <si>
    <t>LA150S-2004814</t>
    <phoneticPr fontId="13"/>
  </si>
  <si>
    <t>ﾀﾝﾄ X ﾎﾜｲﾄｱｸｾﾝﾄ</t>
    <phoneticPr fontId="13"/>
  </si>
  <si>
    <t>LA600S-0506062</t>
    <phoneticPr fontId="13"/>
  </si>
  <si>
    <t>S500P-0149305</t>
    <phoneticPr fontId="13"/>
  </si>
  <si>
    <t>ｷｬｽﾄ ｱｸﾃｨﾊﾞG</t>
    <phoneticPr fontId="13"/>
  </si>
  <si>
    <t>LA250S-0159840</t>
    <phoneticPr fontId="13"/>
  </si>
  <si>
    <t>MN71S-208471</t>
    <phoneticPr fontId="13"/>
  </si>
  <si>
    <t>KG2P-209759</t>
    <phoneticPr fontId="13"/>
  </si>
  <si>
    <t>ﾊﾟｯｿ ﾓｰﾀﾞGﾊﾟｯｹｰｼﾞ</t>
    <phoneticPr fontId="13"/>
  </si>
  <si>
    <t>M700A-0136638</t>
    <phoneticPr fontId="13"/>
  </si>
  <si>
    <t>MR41S-328583</t>
    <phoneticPr fontId="13"/>
  </si>
  <si>
    <t>DMEJ3P-100311</t>
    <phoneticPr fontId="13"/>
  </si>
  <si>
    <t>WBAHT920205L81264</t>
    <phoneticPr fontId="13"/>
  </si>
  <si>
    <t>NHP10-6400633</t>
    <phoneticPr fontId="13"/>
  </si>
  <si>
    <t>ZVW30-5763849</t>
    <phoneticPr fontId="13"/>
  </si>
  <si>
    <t>ｽﾍﾟｰｼｱﾊｲﾌﾞﾘｯﾄﾞG</t>
    <phoneticPr fontId="13"/>
  </si>
  <si>
    <t>MK53S-184925</t>
    <phoneticPr fontId="13"/>
  </si>
  <si>
    <t>GP5-3026623</t>
    <phoneticPr fontId="13"/>
  </si>
  <si>
    <t>JF2-1212478</t>
    <phoneticPr fontId="13"/>
  </si>
  <si>
    <t>9/9/15</t>
    <phoneticPr fontId="13"/>
  </si>
  <si>
    <t>ｽﾏｰﾄｷｰ記載あり</t>
    <rPh sb="6" eb="8">
      <t>キサイ</t>
    </rPh>
    <phoneticPr fontId="13"/>
  </si>
  <si>
    <t>MXWH60-4136076</t>
    <phoneticPr fontId="13"/>
  </si>
  <si>
    <t>10/8/28</t>
    <phoneticPr fontId="13"/>
  </si>
  <si>
    <t>BMW X1 xdrive 18D</t>
    <phoneticPr fontId="13"/>
  </si>
  <si>
    <t>保証書 ｽﾏｰﾄｷｰ(車内記載)</t>
    <rPh sb="0" eb="3">
      <t>ホショウショ</t>
    </rPh>
    <rPh sb="11" eb="13">
      <t>シャナイ</t>
    </rPh>
    <rPh sb="13" eb="15">
      <t>キサイ</t>
    </rPh>
    <phoneticPr fontId="13"/>
  </si>
  <si>
    <t>ﾌｨｯﾄﾊｲﾌﾞﾘｯﾄ Sﾊﾟｯｹｰｼﾞ</t>
    <phoneticPr fontId="13"/>
  </si>
  <si>
    <t>神戸 589 な 73</t>
    <rPh sb="0" eb="2">
      <t>コウベ</t>
    </rPh>
    <phoneticPr fontId="13"/>
  </si>
  <si>
    <t>京都 581 ふ 510</t>
    <rPh sb="0" eb="2">
      <t>キョウト</t>
    </rPh>
    <phoneticPr fontId="13"/>
  </si>
  <si>
    <t>小谷 美咲</t>
    <rPh sb="0" eb="2">
      <t>コタニ</t>
    </rPh>
    <rPh sb="3" eb="5">
      <t>ミサキ</t>
    </rPh>
    <phoneticPr fontId="13"/>
  </si>
  <si>
    <t>R27-007</t>
  </si>
  <si>
    <t>⑦</t>
    <phoneticPr fontId="13"/>
  </si>
  <si>
    <t>2026/2 ﾚﾝﾀｶｰに移行</t>
    <rPh sb="13" eb="15">
      <t>イコウ</t>
    </rPh>
    <phoneticPr fontId="13"/>
  </si>
  <si>
    <t>27-110からR27-007へ変更</t>
    <rPh sb="16" eb="18">
      <t>ヘンコウ</t>
    </rPh>
    <phoneticPr fontId="13"/>
  </si>
  <si>
    <t>330 ち 7444</t>
    <phoneticPr fontId="13"/>
  </si>
  <si>
    <t>名古屋 487 ろ 2374</t>
    <rPh sb="0" eb="3">
      <t>ナゴヤ</t>
    </rPh>
    <phoneticPr fontId="13"/>
  </si>
  <si>
    <t>多摩 592 ろ 7687</t>
    <rPh sb="0" eb="2">
      <t>タマ</t>
    </rPh>
    <phoneticPr fontId="13"/>
  </si>
  <si>
    <t>大阪 504 た 74</t>
    <rPh sb="0" eb="2">
      <t>オオサカ</t>
    </rPh>
    <phoneticPr fontId="13"/>
  </si>
  <si>
    <t>片山 晃良</t>
    <rPh sb="0" eb="2">
      <t>カタヤマ</t>
    </rPh>
    <rPh sb="3" eb="4">
      <t>アキラ</t>
    </rPh>
    <rPh sb="4" eb="5">
      <t>リョウ</t>
    </rPh>
    <phoneticPr fontId="13"/>
  </si>
  <si>
    <t>株式会社ﾊﾞｲ・ｾﾚｸｼｮﾝ</t>
    <rPh sb="0" eb="4">
      <t>カブシキガイシャ</t>
    </rPh>
    <phoneticPr fontId="13"/>
  </si>
  <si>
    <t>保証書 取説  ﾅﾋﾞ取 ｷｰﾚｽ</t>
    <rPh sb="0" eb="3">
      <t>ホショウショ</t>
    </rPh>
    <rPh sb="4" eb="6">
      <t>トリセツ</t>
    </rPh>
    <rPh sb="11" eb="12">
      <t>トリ</t>
    </rPh>
    <phoneticPr fontId="13"/>
  </si>
  <si>
    <t>熊本 399 た 2111</t>
    <rPh sb="0" eb="2">
      <t>クマモト</t>
    </rPh>
    <phoneticPr fontId="13"/>
  </si>
  <si>
    <t>株式会社ｵｰﾄﾊﾞｯｸｽ南日本販売</t>
    <rPh sb="0" eb="4">
      <t>カブシキガイシャ</t>
    </rPh>
    <rPh sb="12" eb="13">
      <t>ミナミ</t>
    </rPh>
    <rPh sb="13" eb="15">
      <t>ニホン</t>
    </rPh>
    <rPh sb="15" eb="17">
      <t>ハンバイ</t>
    </rPh>
    <phoneticPr fontId="13"/>
  </si>
  <si>
    <t>福山　531　ま　2020</t>
    <rPh sb="0" eb="2">
      <t>フクヤマ</t>
    </rPh>
    <phoneticPr fontId="13"/>
  </si>
  <si>
    <t>京都 570 す 358</t>
    <rPh sb="0" eb="2">
      <t>キョウト</t>
    </rPh>
    <phoneticPr fontId="13"/>
  </si>
  <si>
    <t>三木 由加里</t>
    <rPh sb="0" eb="2">
      <t>ミキ</t>
    </rPh>
    <rPh sb="3" eb="6">
      <t>ユカリ</t>
    </rPh>
    <phoneticPr fontId="13"/>
  </si>
  <si>
    <t>保証書 取説 ｽﾍﾟｱｷｰ ﾄﾞﾗﾚｺSD ﾜﾝｵｰﾅｰ</t>
    <rPh sb="0" eb="3">
      <t>ホショウショ</t>
    </rPh>
    <rPh sb="4" eb="6">
      <t>トリセツ</t>
    </rPh>
    <phoneticPr fontId="13"/>
  </si>
  <si>
    <t>岡山 502 ね 1200</t>
    <rPh sb="0" eb="2">
      <t>オカヤマ</t>
    </rPh>
    <phoneticPr fontId="13"/>
  </si>
  <si>
    <t>株式会社家夢花夢</t>
    <rPh sb="0" eb="4">
      <t>カブシキガイシャ</t>
    </rPh>
    <rPh sb="4" eb="5">
      <t>イエ</t>
    </rPh>
    <rPh sb="5" eb="6">
      <t>ユメ</t>
    </rPh>
    <rPh sb="6" eb="7">
      <t>ハナ</t>
    </rPh>
    <rPh sb="7" eb="8">
      <t>ユメ</t>
    </rPh>
    <phoneticPr fontId="13"/>
  </si>
  <si>
    <t>大阪 589 ろ 8487</t>
    <rPh sb="0" eb="2">
      <t>オオサカ</t>
    </rPh>
    <phoneticPr fontId="13"/>
  </si>
  <si>
    <t>保証書 取説 ﾘﾓｺﾝ2個</t>
    <rPh sb="0" eb="3">
      <t>ホショウショ</t>
    </rPh>
    <rPh sb="4" eb="6">
      <t>トリセツ</t>
    </rPh>
    <rPh sb="12" eb="13">
      <t>コ</t>
    </rPh>
    <phoneticPr fontId="13"/>
  </si>
  <si>
    <t>岐阜 580 わ 6352</t>
    <rPh sb="0" eb="2">
      <t>ギフ</t>
    </rPh>
    <phoneticPr fontId="13"/>
  </si>
  <si>
    <t>なにわ 5P9 ろ 8314</t>
    <phoneticPr fontId="13"/>
  </si>
  <si>
    <t>石田 和樹</t>
    <rPh sb="0" eb="2">
      <t>イシダ</t>
    </rPh>
    <rPh sb="3" eb="5">
      <t>カズキ</t>
    </rPh>
    <phoneticPr fontId="13"/>
  </si>
  <si>
    <t>保証書 取説 ｷｰﾚｽ ﾘﾓｺﾝ ﾅﾋﾞ取</t>
    <rPh sb="0" eb="3">
      <t>ホショウショ</t>
    </rPh>
    <rPh sb="4" eb="6">
      <t>トリセツ</t>
    </rPh>
    <rPh sb="20" eb="21">
      <t>トリ</t>
    </rPh>
    <phoneticPr fontId="13"/>
  </si>
  <si>
    <t>保証書 取説 ﾅﾋﾞ取 ｷｰﾚｽ ﾐﾆB-CAS</t>
    <rPh sb="0" eb="3">
      <t>ホショウショ</t>
    </rPh>
    <rPh sb="4" eb="6">
      <t>トリセツ</t>
    </rPh>
    <rPh sb="10" eb="11">
      <t>トリ</t>
    </rPh>
    <phoneticPr fontId="13"/>
  </si>
  <si>
    <t>ﾄﾖﾀｶﾛｰﾗ兵庫株式会社</t>
    <rPh sb="7" eb="9">
      <t>ヒョウゴ</t>
    </rPh>
    <rPh sb="9" eb="13">
      <t>カブシキガイシャ</t>
    </rPh>
    <phoneticPr fontId="13"/>
  </si>
  <si>
    <t>地図SD(車内)保証書 取説 ｷｰﾚｽ ﾅﾋﾞ取</t>
    <rPh sb="8" eb="11">
      <t>ホショウショ</t>
    </rPh>
    <rPh sb="12" eb="14">
      <t>トリセツ</t>
    </rPh>
    <rPh sb="23" eb="24">
      <t>トリ</t>
    </rPh>
    <phoneticPr fontId="13"/>
  </si>
  <si>
    <t>上林 早苗</t>
    <rPh sb="0" eb="2">
      <t>ウエバヤシ</t>
    </rPh>
    <rPh sb="3" eb="5">
      <t>サナエ</t>
    </rPh>
    <phoneticPr fontId="13"/>
  </si>
  <si>
    <t>滋賀 499 さ 6311</t>
    <rPh sb="0" eb="2">
      <t>シガ</t>
    </rPh>
    <phoneticPr fontId="13"/>
  </si>
  <si>
    <t>ﾄｰﾙ ｶｽﾀﾑG ﾀｰﾎﾞSA3</t>
    <phoneticPr fontId="13"/>
  </si>
  <si>
    <t>M900S-0064536</t>
    <phoneticPr fontId="13"/>
  </si>
  <si>
    <t>名古屋 507 む 5719</t>
    <rPh sb="0" eb="3">
      <t>ナゴヤ</t>
    </rPh>
    <phoneticPr fontId="13"/>
  </si>
  <si>
    <t>AGH30-0323480</t>
    <phoneticPr fontId="13"/>
  </si>
  <si>
    <t>神戸 342 さ 414</t>
    <rPh sb="0" eb="2">
      <t>コウベ</t>
    </rPh>
    <phoneticPr fontId="13"/>
  </si>
  <si>
    <t>ｱｸｱ G G´S</t>
    <phoneticPr fontId="13"/>
  </si>
  <si>
    <t>NHP10-2477374</t>
    <phoneticPr fontId="13"/>
  </si>
  <si>
    <t>神戸 547 せ 4</t>
    <rPh sb="0" eb="2">
      <t>コウベ</t>
    </rPh>
    <phoneticPr fontId="13"/>
  </si>
  <si>
    <t>保証書 取説 ｽﾏｰﾄｷｰ 地図SD B-CAS</t>
    <rPh sb="0" eb="3">
      <t>ホショウショ</t>
    </rPh>
    <rPh sb="4" eb="6">
      <t>トリセツ</t>
    </rPh>
    <rPh sb="14" eb="16">
      <t>チズ</t>
    </rPh>
    <phoneticPr fontId="13"/>
  </si>
  <si>
    <t xml:space="preserve">ﾊｲｾﾞｯﾄﾄﾗｯｸ </t>
    <phoneticPr fontId="13"/>
  </si>
  <si>
    <t>S500P-0138419</t>
    <phoneticPr fontId="13"/>
  </si>
  <si>
    <t>9/4/6</t>
    <phoneticPr fontId="13"/>
  </si>
  <si>
    <t>大阪 483 ね 1216</t>
    <rPh sb="0" eb="2">
      <t>オオサカ</t>
    </rPh>
    <phoneticPr fontId="13"/>
  </si>
  <si>
    <t>WMWXU920902N45412</t>
    <phoneticPr fontId="13"/>
  </si>
  <si>
    <t>BMW X1 18d X ﾗｲﾝ ｴﾃﾞｨｼｮﾝ</t>
    <phoneticPr fontId="13"/>
  </si>
  <si>
    <t>WBA32AD0005S55593</t>
    <phoneticPr fontId="13"/>
  </si>
  <si>
    <t>WMWYT920303L16211</t>
    <phoneticPr fontId="13"/>
  </si>
  <si>
    <t>9/1/7</t>
    <phoneticPr fontId="13"/>
  </si>
  <si>
    <t>なにわ 334 ひ 1518</t>
    <phoneticPr fontId="13"/>
  </si>
  <si>
    <t>HE33S-174374</t>
    <phoneticPr fontId="13"/>
  </si>
  <si>
    <t>田中 虎雄</t>
    <rPh sb="0" eb="2">
      <t>タナカ</t>
    </rPh>
    <rPh sb="3" eb="4">
      <t>トラ</t>
    </rPh>
    <rPh sb="4" eb="5">
      <t>オ</t>
    </rPh>
    <phoneticPr fontId="13"/>
  </si>
  <si>
    <t>広島 583 か 8209</t>
    <rPh sb="0" eb="2">
      <t>ヒロシマ</t>
    </rPh>
    <phoneticPr fontId="13"/>
  </si>
  <si>
    <t>三井住友カード株式会社</t>
    <rPh sb="0" eb="4">
      <t>ミツイスミトモ</t>
    </rPh>
    <rPh sb="7" eb="11">
      <t>カブシキガイシャ</t>
    </rPh>
    <phoneticPr fontId="13"/>
  </si>
  <si>
    <t>京都 580 か 4664</t>
    <rPh sb="0" eb="2">
      <t>キョウト</t>
    </rPh>
    <phoneticPr fontId="13"/>
  </si>
  <si>
    <t>京都ﾀﾞｲﾊﾂ販売株式会社</t>
    <rPh sb="0" eb="2">
      <t>キョウト</t>
    </rPh>
    <rPh sb="7" eb="9">
      <t>ハンバイ</t>
    </rPh>
    <rPh sb="9" eb="13">
      <t>カブシキガイシャ</t>
    </rPh>
    <phoneticPr fontId="13"/>
  </si>
  <si>
    <t>MR92S-481711</t>
    <phoneticPr fontId="13"/>
  </si>
  <si>
    <t>10/1/30</t>
    <phoneticPr fontId="13"/>
  </si>
  <si>
    <t>香川 581 せ 7440</t>
    <rPh sb="0" eb="2">
      <t>カガワ</t>
    </rPh>
    <phoneticPr fontId="13"/>
  </si>
  <si>
    <t>ﾑｰﾌﾞｷｬﾝﾊﾞｽ Gﾒｲｸｱｯﾌﾟ ﾘﾐﾃｯﾄﾞSA3</t>
    <phoneticPr fontId="13"/>
  </si>
  <si>
    <t>LA800S-0252227</t>
    <phoneticPr fontId="13"/>
  </si>
  <si>
    <t>保証書 地図SD ﾄﾞﾗﾚｺSD</t>
    <rPh sb="0" eb="3">
      <t>ホショウショ</t>
    </rPh>
    <rPh sb="4" eb="6">
      <t>チズ</t>
    </rPh>
    <phoneticPr fontId="13"/>
  </si>
  <si>
    <t>LA900S-0133965</t>
    <phoneticPr fontId="13"/>
  </si>
  <si>
    <t>BMW320d xdrive Mｽﾎﾟｰﾂ</t>
    <phoneticPr fontId="13"/>
  </si>
  <si>
    <t>WBA5V700108B67002</t>
    <phoneticPr fontId="13"/>
  </si>
  <si>
    <t>WDC2539052F578971</t>
    <phoneticPr fontId="13"/>
  </si>
  <si>
    <t>富士山 581 ぬ 9015</t>
    <rPh sb="0" eb="3">
      <t>フジサン</t>
    </rPh>
    <phoneticPr fontId="13"/>
  </si>
  <si>
    <t>白川 侑子</t>
    <rPh sb="0" eb="2">
      <t>シラカワ</t>
    </rPh>
    <rPh sb="3" eb="5">
      <t>ユウコ</t>
    </rPh>
    <phoneticPr fontId="13"/>
  </si>
  <si>
    <t>杉並 310 の 2313</t>
    <rPh sb="0" eb="2">
      <t>スギナミ</t>
    </rPh>
    <phoneticPr fontId="13"/>
  </si>
  <si>
    <t>桑原 裕樹</t>
    <rPh sb="0" eb="1">
      <t>クワ</t>
    </rPh>
    <rPh sb="1" eb="2">
      <t>ハラ</t>
    </rPh>
    <rPh sb="3" eb="4">
      <t>ユウ</t>
    </rPh>
    <rPh sb="4" eb="5">
      <t>キ</t>
    </rPh>
    <phoneticPr fontId="13"/>
  </si>
  <si>
    <t>WMWXU720802P16123</t>
    <phoneticPr fontId="13"/>
  </si>
  <si>
    <t>ZAR94000007532377</t>
    <phoneticPr fontId="13"/>
  </si>
  <si>
    <t>株式会社ﾎﾝﾀﾞｶｰｽﾞ岐阜</t>
    <rPh sb="0" eb="4">
      <t>カブシキガイシャ</t>
    </rPh>
    <rPh sb="12" eb="14">
      <t>ギフ</t>
    </rPh>
    <phoneticPr fontId="13"/>
  </si>
  <si>
    <t>保証書 取説 ｽﾍﾟｱｷｰ ｺｰﾄﾞｶｰﾄﾞ</t>
    <rPh sb="0" eb="3">
      <t>ホショウショ</t>
    </rPh>
    <rPh sb="4" eb="6">
      <t>トリセツ</t>
    </rPh>
    <phoneticPr fontId="13"/>
  </si>
  <si>
    <t>世田谷 581 ろ 4133</t>
    <rPh sb="0" eb="3">
      <t>セタガヤ</t>
    </rPh>
    <phoneticPr fontId="13"/>
  </si>
  <si>
    <t>27-3332</t>
  </si>
  <si>
    <t>27-3333</t>
  </si>
  <si>
    <t>W1N2476122W096766</t>
    <phoneticPr fontId="13"/>
  </si>
  <si>
    <t>練馬 329 せ 3061</t>
    <rPh sb="0" eb="2">
      <t>ネリマ</t>
    </rPh>
    <phoneticPr fontId="13"/>
  </si>
  <si>
    <t>宮園輸入車販売株式会社</t>
    <rPh sb="0" eb="2">
      <t>ミヤゾノ</t>
    </rPh>
    <rPh sb="2" eb="5">
      <t>ユニュウシャ</t>
    </rPh>
    <rPh sb="5" eb="11">
      <t>ハンバイカブシキガイシャ</t>
    </rPh>
    <phoneticPr fontId="13"/>
  </si>
  <si>
    <t>上ヶ吹 豊孝</t>
    <rPh sb="0" eb="1">
      <t>ウエ</t>
    </rPh>
    <rPh sb="2" eb="3">
      <t>フ</t>
    </rPh>
    <rPh sb="4" eb="5">
      <t>トヨ</t>
    </rPh>
    <rPh sb="5" eb="6">
      <t>タカ</t>
    </rPh>
    <phoneticPr fontId="13"/>
  </si>
  <si>
    <t>多摩 304 せ 4968</t>
    <rPh sb="0" eb="2">
      <t>タマ</t>
    </rPh>
    <phoneticPr fontId="13"/>
  </si>
  <si>
    <t>藤本 翔</t>
    <rPh sb="0" eb="2">
      <t>フジモト</t>
    </rPh>
    <rPh sb="3" eb="4">
      <t>ショウ</t>
    </rPh>
    <phoneticPr fontId="13"/>
  </si>
  <si>
    <t>岐阜 531 そ 368</t>
    <rPh sb="0" eb="2">
      <t>ギフ</t>
    </rPh>
    <phoneticPr fontId="13"/>
  </si>
  <si>
    <t>安藤 佳子</t>
    <rPh sb="0" eb="2">
      <t>アンドウ</t>
    </rPh>
    <rPh sb="3" eb="5">
      <t>ケイコ</t>
    </rPh>
    <phoneticPr fontId="13"/>
  </si>
  <si>
    <t>沖縄 382 ま 358</t>
    <rPh sb="0" eb="2">
      <t>オキナワ</t>
    </rPh>
    <phoneticPr fontId="13"/>
  </si>
  <si>
    <t>仲地 仁慈華</t>
    <rPh sb="0" eb="1">
      <t>ナカ</t>
    </rPh>
    <rPh sb="1" eb="2">
      <t>チ</t>
    </rPh>
    <rPh sb="3" eb="4">
      <t>ジン</t>
    </rPh>
    <rPh sb="4" eb="5">
      <t>ジ</t>
    </rPh>
    <rPh sb="5" eb="6">
      <t>ハル</t>
    </rPh>
    <phoneticPr fontId="13"/>
  </si>
  <si>
    <t>保証書 取説 ｷｰﾚｽ 自賠離島</t>
    <rPh sb="0" eb="3">
      <t>ホショウショ</t>
    </rPh>
    <rPh sb="4" eb="6">
      <t>トリセツ</t>
    </rPh>
    <rPh sb="12" eb="14">
      <t>ジバイ</t>
    </rPh>
    <rPh sb="14" eb="16">
      <t>リトウ</t>
    </rPh>
    <phoneticPr fontId="13"/>
  </si>
  <si>
    <t>世田谷 581 ろ 4134</t>
    <rPh sb="0" eb="3">
      <t>セタガヤ</t>
    </rPh>
    <phoneticPr fontId="13"/>
  </si>
  <si>
    <t>世田谷 581 ろ 4089</t>
    <rPh sb="0" eb="3">
      <t>セタガヤ</t>
    </rPh>
    <phoneticPr fontId="13"/>
  </si>
  <si>
    <t>大宮 799 ろ 8008</t>
    <rPh sb="0" eb="2">
      <t>オオミヤ</t>
    </rPh>
    <phoneticPr fontId="13"/>
  </si>
  <si>
    <t>SD(書類と一緒に保管)</t>
    <rPh sb="3" eb="5">
      <t>ショルイ</t>
    </rPh>
    <rPh sb="6" eb="8">
      <t>イッショ</t>
    </rPh>
    <rPh sb="9" eb="11">
      <t>ホカン</t>
    </rPh>
    <phoneticPr fontId="13"/>
  </si>
  <si>
    <t>千葉 793 ろ 6389</t>
    <rPh sb="0" eb="2">
      <t>チバ</t>
    </rPh>
    <phoneticPr fontId="13"/>
  </si>
  <si>
    <t>27-3334</t>
  </si>
  <si>
    <t>27-3335</t>
  </si>
  <si>
    <t>27-3336</t>
  </si>
  <si>
    <t>27-3337</t>
  </si>
  <si>
    <t>27-3338</t>
  </si>
  <si>
    <t>27-3339</t>
  </si>
  <si>
    <t>27-3340</t>
  </si>
  <si>
    <t>27-3341</t>
  </si>
  <si>
    <t>27-3342</t>
  </si>
  <si>
    <t>27-3343</t>
  </si>
  <si>
    <t>27-3344</t>
  </si>
  <si>
    <t>27-3345</t>
  </si>
  <si>
    <t>27-3346</t>
  </si>
  <si>
    <t>27-3347</t>
  </si>
  <si>
    <t>ﾎﾞﾙﾎﾞXC60 T5 ｲﾝｽｸﾘﾌﾟｼｮﾝ</t>
    <phoneticPr fontId="13"/>
  </si>
  <si>
    <t>9/2/15</t>
    <phoneticPr fontId="13"/>
  </si>
  <si>
    <t>名古屋 307 と 4902</t>
    <rPh sb="0" eb="3">
      <t>ナゴヤ</t>
    </rPh>
    <phoneticPr fontId="13"/>
  </si>
  <si>
    <t>WMWXS520002F20979</t>
    <phoneticPr fontId="13"/>
  </si>
  <si>
    <t>ﾒﾙｾﾃﾞｽﾍﾞﾝﾂ Aｸﾗｽ180</t>
    <phoneticPr fontId="13"/>
  </si>
  <si>
    <t>BMWﾐﾆ ｸﾗﾌﾞﾏﾝﾊﾞｯｷﾝｶﾞﾑ</t>
    <phoneticPr fontId="13"/>
  </si>
  <si>
    <t>豊橋 301 ぬ 9509</t>
    <rPh sb="0" eb="2">
      <t>トヨハシ</t>
    </rPh>
    <phoneticPr fontId="13"/>
  </si>
  <si>
    <t>BMW3ｼﾘｰｽﾞﾂｰﾘﾝｸﾞ 320d xdrive</t>
    <phoneticPr fontId="13"/>
  </si>
  <si>
    <t>WBA6L72070FH88635</t>
    <phoneticPr fontId="13"/>
  </si>
  <si>
    <t>一宮 300 は 1187</t>
    <rPh sb="0" eb="2">
      <t>イチノミヤ</t>
    </rPh>
    <phoneticPr fontId="13"/>
  </si>
  <si>
    <t>WMWXN320003C49881</t>
    <phoneticPr fontId="13"/>
  </si>
  <si>
    <t>品川 303 て 1441</t>
    <rPh sb="0" eb="2">
      <t>シナガワ</t>
    </rPh>
    <phoneticPr fontId="13"/>
  </si>
  <si>
    <t>品番；AVN-R7</t>
    <rPh sb="0" eb="2">
      <t>ヒンバン</t>
    </rPh>
    <phoneticPr fontId="13"/>
  </si>
  <si>
    <t>ｷｰﾚｽ 地図SD(車内)保証書 取説 ﾅﾋﾞ取 ﾜﾝｵｰﾅｰ</t>
    <rPh sb="13" eb="16">
      <t>ホショウショ</t>
    </rPh>
    <rPh sb="17" eb="19">
      <t>トリセツ</t>
    </rPh>
    <rPh sb="23" eb="24">
      <t>トリ</t>
    </rPh>
    <phoneticPr fontId="13"/>
  </si>
  <si>
    <t>地図SD(車内) 保証書 取説 ｷｰﾚｽ ﾄﾞﾗﾚｺﾏｲｸﾛSD ﾜﾝｵｰﾅｰ</t>
    <rPh sb="9" eb="12">
      <t>ホショウショ</t>
    </rPh>
    <rPh sb="13" eb="15">
      <t>トリセツ</t>
    </rPh>
    <phoneticPr fontId="13"/>
  </si>
  <si>
    <t>地図SD(車内) 保証書 取説 ｷｰﾚｽ</t>
    <rPh sb="9" eb="12">
      <t>ホショウショ</t>
    </rPh>
    <rPh sb="13" eb="15">
      <t>トリセツ</t>
    </rPh>
    <phoneticPr fontId="13"/>
  </si>
  <si>
    <t>地図SD(車内)保証書 取説 ﾅﾋﾞ取 ｷｰﾚｽ ﾜﾝｵｰﾅｰ</t>
    <rPh sb="8" eb="11">
      <t>ホショウショ</t>
    </rPh>
    <rPh sb="12" eb="14">
      <t>トリセツ</t>
    </rPh>
    <rPh sb="18" eb="19">
      <t>トリ</t>
    </rPh>
    <phoneticPr fontId="13"/>
  </si>
  <si>
    <t xml:space="preserve">地図SD(車内)保証書 取説 ｷｰﾚｽ ﾅﾋﾞ取 </t>
    <phoneticPr fontId="13"/>
  </si>
  <si>
    <t>保証書 取説 ｷｰﾚｽ(車内)SD</t>
    <rPh sb="0" eb="3">
      <t>ホショウショ</t>
    </rPh>
    <rPh sb="4" eb="6">
      <t>トリセツ</t>
    </rPh>
    <rPh sb="12" eb="14">
      <t>シャナイ</t>
    </rPh>
    <phoneticPr fontId="13"/>
  </si>
  <si>
    <t>ﾙﾉｰｶﾝｸﾞｰ  ｾﾞﾝ</t>
    <phoneticPr fontId="13"/>
  </si>
  <si>
    <t>300 わ 7016</t>
    <phoneticPr fontId="13"/>
  </si>
  <si>
    <t>27-3348</t>
  </si>
  <si>
    <t>27-3349</t>
  </si>
  <si>
    <t>27-3350</t>
  </si>
  <si>
    <t>27-3351</t>
  </si>
  <si>
    <t>27-3352</t>
  </si>
  <si>
    <t>27-3353</t>
  </si>
  <si>
    <t>和泉 583 く 1820</t>
    <rPh sb="0" eb="2">
      <t>イズミ</t>
    </rPh>
    <phoneticPr fontId="13"/>
  </si>
  <si>
    <t>神戸 334 ぬ 1172</t>
    <rPh sb="0" eb="2">
      <t>コウベ</t>
    </rPh>
    <phoneticPr fontId="13"/>
  </si>
  <si>
    <t>広島 585 す 76</t>
    <rPh sb="0" eb="2">
      <t>ヒロシマ</t>
    </rPh>
    <phoneticPr fontId="13"/>
  </si>
  <si>
    <t>株式会社ﾊｰﾂ</t>
    <rPh sb="0" eb="4">
      <t>カブシキガイシャ</t>
    </rPh>
    <phoneticPr fontId="13"/>
  </si>
  <si>
    <t>広島 585 こ 164</t>
    <rPh sb="0" eb="2">
      <t>ヒロシマ</t>
    </rPh>
    <phoneticPr fontId="13"/>
  </si>
  <si>
    <t>浜木 秀樹</t>
    <rPh sb="0" eb="2">
      <t>ハマキ</t>
    </rPh>
    <rPh sb="3" eb="5">
      <t>ヒデキ</t>
    </rPh>
    <phoneticPr fontId="13"/>
  </si>
  <si>
    <t>高知 480 た 6688</t>
    <rPh sb="0" eb="2">
      <t>コウチ</t>
    </rPh>
    <phoneticPr fontId="13"/>
  </si>
  <si>
    <t>高松 581 ろ 4007</t>
    <rPh sb="0" eb="2">
      <t>タカマツ</t>
    </rPh>
    <phoneticPr fontId="13"/>
  </si>
  <si>
    <t>名古屋 326 め 2820</t>
    <rPh sb="0" eb="3">
      <t>ナゴヤ</t>
    </rPh>
    <phoneticPr fontId="13"/>
  </si>
  <si>
    <t>ｷｰﾚｽ ﾏｲｸﾛ地図SD(車内)保証書</t>
    <rPh sb="17" eb="20">
      <t>ホショウショ</t>
    </rPh>
    <phoneticPr fontId="13"/>
  </si>
  <si>
    <t>WBA7P120305P26982</t>
    <phoneticPr fontId="13"/>
  </si>
  <si>
    <t>なにわ 337 む 613</t>
    <phoneticPr fontId="13"/>
  </si>
  <si>
    <t>千葉 326 ち 1601</t>
    <rPh sb="0" eb="2">
      <t>チバ</t>
    </rPh>
    <phoneticPr fontId="13"/>
  </si>
  <si>
    <r>
      <t>地図SD車内なし←</t>
    </r>
    <r>
      <rPr>
        <sz val="11"/>
        <color rgb="FFFF0000"/>
        <rFont val="ＭＳ Ｐゴシック"/>
        <family val="3"/>
        <charset val="128"/>
        <scheme val="minor"/>
      </rPr>
      <t>問い合わせｸﾚｰﾑ済</t>
    </r>
    <r>
      <rPr>
        <sz val="11"/>
        <color theme="4" tint="-0.499984740745262"/>
        <rFont val="ＭＳ Ｐゴシック"/>
        <family val="3"/>
        <charset val="128"/>
        <scheme val="minor"/>
      </rPr>
      <t xml:space="preserve"> 取説 </t>
    </r>
    <rPh sb="0" eb="2">
      <t>チズ</t>
    </rPh>
    <rPh sb="4" eb="6">
      <t>シャナイ</t>
    </rPh>
    <rPh sb="9" eb="10">
      <t>ト</t>
    </rPh>
    <rPh sb="11" eb="12">
      <t>ア</t>
    </rPh>
    <rPh sb="18" eb="19">
      <t>ズ</t>
    </rPh>
    <rPh sb="20" eb="22">
      <t>トリセツ</t>
    </rPh>
    <phoneticPr fontId="13"/>
  </si>
  <si>
    <t>神戸 39A た 3069</t>
    <rPh sb="0" eb="2">
      <t>コウベ</t>
    </rPh>
    <phoneticPr fontId="13"/>
  </si>
  <si>
    <t>神戸 39A た 3070</t>
    <rPh sb="0" eb="2">
      <t>コウベ</t>
    </rPh>
    <phoneticPr fontId="13"/>
  </si>
  <si>
    <t>神戸 39A た 2815</t>
    <rPh sb="0" eb="2">
      <t>コウベ</t>
    </rPh>
    <phoneticPr fontId="13"/>
  </si>
  <si>
    <t>ﾏｲｸﾛ地図SD(車内)保証書 取説 ｷｰﾚｽ ﾅﾋﾞ取 ﾜﾝｵｰﾅｰ×ｸﾚｰﾑ済</t>
    <rPh sb="12" eb="15">
      <t>ホショウショ</t>
    </rPh>
    <rPh sb="16" eb="18">
      <t>トリセツ</t>
    </rPh>
    <rPh sb="27" eb="28">
      <t>トリ</t>
    </rPh>
    <rPh sb="40" eb="41">
      <t>ズ</t>
    </rPh>
    <phoneticPr fontId="13"/>
  </si>
  <si>
    <t>広島 333 め 1189</t>
    <rPh sb="0" eb="2">
      <t>ヒロシマ</t>
    </rPh>
    <phoneticPr fontId="13"/>
  </si>
  <si>
    <t>神戸 39A そ 3425</t>
    <rPh sb="0" eb="2">
      <t>コウベ</t>
    </rPh>
    <phoneticPr fontId="13"/>
  </si>
  <si>
    <t>愛媛 301 た 1266</t>
    <rPh sb="0" eb="2">
      <t>エヒメ</t>
    </rPh>
    <phoneticPr fontId="13"/>
  </si>
  <si>
    <t>三重三菱自動車販売株式会社</t>
    <rPh sb="0" eb="2">
      <t>ミエ</t>
    </rPh>
    <rPh sb="2" eb="4">
      <t>ミツビシ</t>
    </rPh>
    <rPh sb="4" eb="13">
      <t>ジドウシャハンバイカブシキガイシャ</t>
    </rPh>
    <phoneticPr fontId="13"/>
  </si>
  <si>
    <t>四日市 580 か 9279</t>
    <rPh sb="0" eb="3">
      <t>ヨッカイチ</t>
    </rPh>
    <phoneticPr fontId="13"/>
  </si>
  <si>
    <t>三菱自動車販売株式会社</t>
    <rPh sb="0" eb="11">
      <t>ミツビシジドウシャハンバイカブシキガイシャ</t>
    </rPh>
    <phoneticPr fontId="13"/>
  </si>
  <si>
    <t>鈴鹿 580 そ 1345</t>
    <rPh sb="0" eb="2">
      <t>スズカ</t>
    </rPh>
    <phoneticPr fontId="13"/>
  </si>
  <si>
    <t>山口 483 つ 164</t>
    <rPh sb="0" eb="2">
      <t>ヤマグチ</t>
    </rPh>
    <phoneticPr fontId="13"/>
  </si>
  <si>
    <t>株式会社光成</t>
    <rPh sb="0" eb="4">
      <t>カブシキガイシャ</t>
    </rPh>
    <rPh sb="4" eb="5">
      <t>ヒカリ</t>
    </rPh>
    <rPh sb="5" eb="6">
      <t>ナリ</t>
    </rPh>
    <phoneticPr fontId="13"/>
  </si>
  <si>
    <t>二昌自動車株式会社</t>
    <rPh sb="0" eb="1">
      <t>ニ</t>
    </rPh>
    <rPh sb="1" eb="2">
      <t>アキラ</t>
    </rPh>
    <rPh sb="2" eb="9">
      <t>ジドウシャカブシキガイシャ</t>
    </rPh>
    <phoneticPr fontId="13"/>
  </si>
  <si>
    <t>株式会社ｶｰｾﾌﾞﾝﾃﾞｼﾞﾌｨｰﾙﾄﾞ</t>
    <rPh sb="0" eb="4">
      <t>カブシキガイシャ</t>
    </rPh>
    <phoneticPr fontId="13"/>
  </si>
  <si>
    <t>保証書 取説 ｷｰﾚｽ ﾅﾋﾞ取 ｴﾝｼﾞﾝｽﾀｰﾀｰ</t>
    <rPh sb="0" eb="3">
      <t>ホショウショ</t>
    </rPh>
    <rPh sb="4" eb="6">
      <t>トリセツ</t>
    </rPh>
    <rPh sb="15" eb="16">
      <t>トリ</t>
    </rPh>
    <phoneticPr fontId="13"/>
  </si>
  <si>
    <t>保証書 取説 ﾅﾋﾞ取 ｽﾏｰﾄｷｰ ｴﾝｼﾞﾝｽﾀｰﾀｰ</t>
    <rPh sb="0" eb="3">
      <t>ホショウショ</t>
    </rPh>
    <rPh sb="4" eb="6">
      <t>トリセツ</t>
    </rPh>
    <rPh sb="10" eb="11">
      <t>トリ</t>
    </rPh>
    <phoneticPr fontId="13"/>
  </si>
  <si>
    <t>BUTT HAMZA</t>
    <phoneticPr fontId="13"/>
  </si>
  <si>
    <t>品川 5X3 ろ 4855</t>
    <rPh sb="0" eb="2">
      <t>シナガワ</t>
    </rPh>
    <phoneticPr fontId="13"/>
  </si>
  <si>
    <t>品川 5X3 ろ 4856</t>
    <rPh sb="0" eb="2">
      <t>シナガワ</t>
    </rPh>
    <phoneticPr fontId="13"/>
  </si>
  <si>
    <t>習志野 330 は 5224</t>
    <rPh sb="0" eb="3">
      <t>ナラシノ</t>
    </rPh>
    <phoneticPr fontId="13"/>
  </si>
  <si>
    <t>株式会社ﾘﾝｸﾞ</t>
    <rPh sb="0" eb="4">
      <t>カブシキガイシャ</t>
    </rPh>
    <phoneticPr fontId="13"/>
  </si>
  <si>
    <t>保証書 取説 ｷｰﾚｽ ｶｰﾄﾞｷｰ</t>
    <rPh sb="0" eb="3">
      <t>ホショウショ</t>
    </rPh>
    <rPh sb="4" eb="6">
      <t>トリセツ</t>
    </rPh>
    <phoneticPr fontId="13"/>
  </si>
  <si>
    <t>湘南 301 や 5095</t>
    <rPh sb="0" eb="2">
      <t>ショウナン</t>
    </rPh>
    <phoneticPr fontId="13"/>
  </si>
  <si>
    <t>伊藤まなぶ</t>
    <rPh sb="0" eb="2">
      <t>イトウ</t>
    </rPh>
    <phoneticPr fontId="13"/>
  </si>
  <si>
    <t>山科ﾏﾂﾀﾞ有限会社</t>
    <rPh sb="0" eb="2">
      <t>ヤマシナ</t>
    </rPh>
    <rPh sb="6" eb="10">
      <t>ユウゲンカイシャ</t>
    </rPh>
    <phoneticPr fontId="13"/>
  </si>
  <si>
    <t>保証書 取説 ｷｰﾚｽ ﾅﾋﾞ取 SD</t>
    <rPh sb="0" eb="3">
      <t>ホショウショ</t>
    </rPh>
    <rPh sb="4" eb="6">
      <t>トリセツ</t>
    </rPh>
    <rPh sb="15" eb="16">
      <t>トリ</t>
    </rPh>
    <phoneticPr fontId="13"/>
  </si>
  <si>
    <t>山口 533 ち 710</t>
    <rPh sb="0" eb="2">
      <t>ヤマグチ</t>
    </rPh>
    <phoneticPr fontId="13"/>
  </si>
  <si>
    <t>ﾄﾖﾀｶﾛｰﾗ山口株式会社</t>
    <rPh sb="7" eb="9">
      <t>ヤマグチ</t>
    </rPh>
    <rPh sb="9" eb="13">
      <t>カブシキガイシャ</t>
    </rPh>
    <phoneticPr fontId="13"/>
  </si>
  <si>
    <t>地図SD(車内)ﾅﾝﾊﾞｰ</t>
    <phoneticPr fontId="13"/>
  </si>
  <si>
    <t>大阪 582 に 3394</t>
    <rPh sb="0" eb="2">
      <t>オオサカ</t>
    </rPh>
    <phoneticPr fontId="13"/>
  </si>
  <si>
    <t>岡山 301 も 7510</t>
    <rPh sb="0" eb="2">
      <t>オカヤマ</t>
    </rPh>
    <phoneticPr fontId="13"/>
  </si>
  <si>
    <t>岡山 501 わ 8246</t>
    <rPh sb="0" eb="2">
      <t>オカヤマ</t>
    </rPh>
    <phoneticPr fontId="13"/>
  </si>
  <si>
    <t>広島 589 う 703</t>
    <rPh sb="0" eb="2">
      <t>ヒロシマ</t>
    </rPh>
    <phoneticPr fontId="13"/>
  </si>
  <si>
    <t>田中 奈緒美</t>
    <rPh sb="0" eb="2">
      <t>タナカ</t>
    </rPh>
    <rPh sb="3" eb="6">
      <t>ナオミ</t>
    </rPh>
    <phoneticPr fontId="13"/>
  </si>
  <si>
    <t>整備手帳 取説 ﾅﾋﾞ取(車内)ｷｰﾚｽ</t>
    <rPh sb="0" eb="4">
      <t>セイビテチョウ</t>
    </rPh>
    <rPh sb="5" eb="7">
      <t>トリセツ</t>
    </rPh>
    <rPh sb="11" eb="12">
      <t>トリ</t>
    </rPh>
    <rPh sb="13" eb="15">
      <t>シャナイ</t>
    </rPh>
    <phoneticPr fontId="13"/>
  </si>
  <si>
    <t>島根 581 か 7448</t>
    <rPh sb="0" eb="2">
      <t>シマネ</t>
    </rPh>
    <phoneticPr fontId="13"/>
  </si>
  <si>
    <t>株式会社ｽｽﾞｷ自販島根</t>
    <rPh sb="0" eb="4">
      <t>カブシキガイシャ</t>
    </rPh>
    <rPh sb="9" eb="11">
      <t>シマネ</t>
    </rPh>
    <phoneticPr fontId="13"/>
  </si>
  <si>
    <t>岡山 584 ろ 3353</t>
    <rPh sb="0" eb="2">
      <t>オカヤマ</t>
    </rPh>
    <phoneticPr fontId="13"/>
  </si>
  <si>
    <t>3./3</t>
    <phoneticPr fontId="13"/>
  </si>
  <si>
    <t xml:space="preserve">地図SD(車内)取説 ﾅﾋﾞ取 </t>
    <rPh sb="8" eb="10">
      <t>トリセツ</t>
    </rPh>
    <rPh sb="14" eb="15">
      <t>トリ</t>
    </rPh>
    <phoneticPr fontId="13"/>
  </si>
  <si>
    <t>倉敷 580 こ 596</t>
    <rPh sb="0" eb="2">
      <t>クラシキ</t>
    </rPh>
    <phoneticPr fontId="13"/>
  </si>
  <si>
    <t>横浜 364 つ 35</t>
    <rPh sb="0" eb="2">
      <t>ヨコハマ</t>
    </rPh>
    <phoneticPr fontId="13"/>
  </si>
  <si>
    <t>27-3354</t>
  </si>
  <si>
    <t>27-3355</t>
  </si>
  <si>
    <t>27-3356</t>
  </si>
  <si>
    <t>27-3357</t>
  </si>
  <si>
    <t>27-3358</t>
  </si>
  <si>
    <t>27-3359</t>
  </si>
  <si>
    <t>27-3360</t>
  </si>
  <si>
    <t>27-3361</t>
  </si>
  <si>
    <t>27-3362</t>
  </si>
  <si>
    <t>27-3363</t>
  </si>
  <si>
    <t>27-3364</t>
  </si>
  <si>
    <t>27-3365</t>
  </si>
  <si>
    <t>27-3366</t>
  </si>
  <si>
    <t>27-3367</t>
  </si>
  <si>
    <t>MﾍﾞﾝﾂGLA180　BSG　AMGﾗｲﾝP</t>
    <phoneticPr fontId="13"/>
  </si>
  <si>
    <t>ｸﾗｲｽﾗｰｼﾞｰﾌﾟ　Jﾗﾝｸﾞﾗｰｱﾝﾘﾐﾃｯﾄﾞ　ｻﾊﾗ</t>
    <phoneticPr fontId="13"/>
  </si>
  <si>
    <t>W1N2477842J583580</t>
    <phoneticPr fontId="13"/>
  </si>
  <si>
    <t>9/8/27</t>
    <phoneticPr fontId="13"/>
  </si>
  <si>
    <t>千葉　302　る　9913</t>
    <rPh sb="0" eb="2">
      <t>チバ</t>
    </rPh>
    <phoneticPr fontId="13"/>
  </si>
  <si>
    <t>1C4HJXLG7KW559305</t>
    <phoneticPr fontId="13"/>
  </si>
  <si>
    <t>8/10/2</t>
    <phoneticPr fontId="13"/>
  </si>
  <si>
    <t>柏　300　の　8231</t>
    <rPh sb="0" eb="1">
      <t>カシワ</t>
    </rPh>
    <phoneticPr fontId="13"/>
  </si>
  <si>
    <t>NKE165-7237480</t>
    <phoneticPr fontId="13"/>
  </si>
  <si>
    <t>LA350S-0400356</t>
    <phoneticPr fontId="13"/>
  </si>
  <si>
    <t>LA350S-0334373</t>
    <phoneticPr fontId="13"/>
  </si>
  <si>
    <t>LA800S-0179750</t>
    <phoneticPr fontId="13"/>
  </si>
  <si>
    <t>L375S-0611641</t>
    <phoneticPr fontId="13"/>
  </si>
  <si>
    <t>ﾐﾗｼﾞｰﾉ　ﾐﾆﾗｲﾄ</t>
    <phoneticPr fontId="13"/>
  </si>
  <si>
    <t>L650S-0030863</t>
    <phoneticPr fontId="13"/>
  </si>
  <si>
    <t>LA350S-0334991</t>
    <phoneticPr fontId="13"/>
  </si>
  <si>
    <t>LA150S-2114237</t>
    <phoneticPr fontId="13"/>
  </si>
  <si>
    <t>VWｺﾞﾙﾌｵｰﾙﾄﾗｯｸ　TSI4ﾓｰｼｮﾝ</t>
    <phoneticPr fontId="13"/>
  </si>
  <si>
    <t>ﾌﾟﾘｳｽ　Aﾌﾟﾚﾐｱﾑ　ﾂｰﾘﾝｸﾞｾﾚｸｼｮﾝ</t>
    <phoneticPr fontId="13"/>
  </si>
  <si>
    <t>ZVW51-8032511</t>
    <phoneticPr fontId="13"/>
  </si>
  <si>
    <t>27-3368</t>
  </si>
  <si>
    <t>27-3369</t>
  </si>
  <si>
    <t>27-3370</t>
  </si>
  <si>
    <t>27-3371</t>
  </si>
  <si>
    <t>27-3372</t>
  </si>
  <si>
    <t>27-3373</t>
  </si>
  <si>
    <t>N　BOX+ｶｽﾀﾑ　G　Lﾊﾟｯｹｰｼﾞ</t>
    <phoneticPr fontId="13"/>
  </si>
  <si>
    <t>JF1-3500064</t>
    <phoneticPr fontId="13"/>
  </si>
  <si>
    <t>MH95S-234640</t>
    <phoneticPr fontId="13"/>
  </si>
  <si>
    <t>BMWﾐﾆ　ｸｰﾊﾟｰSｸﾗﾌﾞﾏﾝ　ｵｰﾙ4</t>
    <phoneticPr fontId="13"/>
  </si>
  <si>
    <t>HE33S-200911</t>
    <phoneticPr fontId="13"/>
  </si>
  <si>
    <t>VWｺﾞﾙﾌｳﾞｧﾘｱﾝﾄ　TSIﾊｲﾗｲﾝ</t>
    <phoneticPr fontId="13"/>
  </si>
  <si>
    <t>ﾎﾞﾙﾎﾞV60　D4　SE</t>
    <phoneticPr fontId="13"/>
  </si>
  <si>
    <t>ﾎﾞﾙﾎﾞV40</t>
    <phoneticPr fontId="13"/>
  </si>
  <si>
    <t>27-3374</t>
  </si>
  <si>
    <t>MﾍﾞﾝﾂCLA200ｄ　AMGﾗｲﾝ</t>
    <phoneticPr fontId="13"/>
  </si>
  <si>
    <t>和歌山　333　つ　305</t>
    <rPh sb="0" eb="3">
      <t>ワカヤマ</t>
    </rPh>
    <phoneticPr fontId="13"/>
  </si>
  <si>
    <t>保証書　取説　Sｷｰ車載</t>
    <rPh sb="0" eb="3">
      <t>ホショウショ</t>
    </rPh>
    <rPh sb="4" eb="6">
      <t>トリセツ</t>
    </rPh>
    <rPh sb="10" eb="12">
      <t>シャサイ</t>
    </rPh>
    <phoneticPr fontId="13"/>
  </si>
  <si>
    <t>WVWZZZAUZJP588811</t>
    <phoneticPr fontId="13"/>
  </si>
  <si>
    <t>徳島　300　の　8364</t>
    <rPh sb="0" eb="2">
      <t>トクシマ</t>
    </rPh>
    <phoneticPr fontId="13"/>
  </si>
  <si>
    <t>ﾊﾟｰﾌﾟﾙⅡ</t>
    <phoneticPr fontId="13"/>
  </si>
  <si>
    <t>広島　583　す　1716</t>
    <rPh sb="0" eb="2">
      <t>ヒロシマ</t>
    </rPh>
    <phoneticPr fontId="13"/>
  </si>
  <si>
    <t>福山　580　わ　3578</t>
    <rPh sb="0" eb="2">
      <t>フクヤマ</t>
    </rPh>
    <phoneticPr fontId="13"/>
  </si>
  <si>
    <t>WMWXJ120202P29679</t>
    <phoneticPr fontId="13"/>
  </si>
  <si>
    <t>WVWZZZAUZKP521718</t>
    <phoneticPr fontId="13"/>
  </si>
  <si>
    <t>YV1FWA8RDH1357544</t>
    <phoneticPr fontId="13"/>
  </si>
  <si>
    <t>YV1MVA8RDJ2473078</t>
    <phoneticPr fontId="13"/>
  </si>
  <si>
    <t>ﾚﾝﾀｶｰ　　名変期限3/31</t>
    <rPh sb="7" eb="11">
      <t>メイヘンキゲン</t>
    </rPh>
    <phoneticPr fontId="13"/>
  </si>
  <si>
    <t>27-3375</t>
  </si>
  <si>
    <t>27-3376</t>
  </si>
  <si>
    <t>S321V-0520446</t>
    <phoneticPr fontId="13"/>
  </si>
  <si>
    <t xml:space="preserve">CX3 XD </t>
    <phoneticPr fontId="13"/>
  </si>
  <si>
    <t>DK5FW-203285</t>
    <phoneticPr fontId="13"/>
  </si>
  <si>
    <t>ｽﾍﾟｱｷｰ SD ﾜﾝｵｰﾅｰ</t>
    <phoneticPr fontId="13"/>
  </si>
  <si>
    <t>株式会社ﾜｰﾙﾄﾞﾓｰﾀｰｽｸﾞﾙｰﾌﾟ</t>
    <rPh sb="0" eb="4">
      <t>カブシキガイシャ</t>
    </rPh>
    <phoneticPr fontId="13"/>
  </si>
  <si>
    <t>株式会社ｽｽﾞｷ中兵庫販売</t>
    <rPh sb="0" eb="4">
      <t>カブシキガイシャ</t>
    </rPh>
    <rPh sb="8" eb="9">
      <t>ナカ</t>
    </rPh>
    <rPh sb="9" eb="11">
      <t>ヒョウゴ</t>
    </rPh>
    <rPh sb="11" eb="13">
      <t>ハンバイ</t>
    </rPh>
    <phoneticPr fontId="13"/>
  </si>
  <si>
    <t>保証書 取説  ﾚﾝﾀｶｰ</t>
    <rPh sb="0" eb="3">
      <t>ホショウショ</t>
    </rPh>
    <rPh sb="4" eb="6">
      <t>トリセツ</t>
    </rPh>
    <phoneticPr fontId="13"/>
  </si>
  <si>
    <t>愛媛 581 て 4931</t>
    <rPh sb="0" eb="2">
      <t>エヒメ</t>
    </rPh>
    <phoneticPr fontId="13"/>
  </si>
  <si>
    <t>地図SD(車内)保証書 取説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</si>
  <si>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株式会社豊和自動車</t>
    <rPh sb="0" eb="4">
      <t>カブシキガイシャ</t>
    </rPh>
    <rPh sb="4" eb="6">
      <t>トヨカズ</t>
    </rPh>
    <rPh sb="6" eb="9">
      <t>ジドウシャ</t>
    </rPh>
    <phoneticPr fontId="13"/>
  </si>
  <si>
    <t>奈良 782 ち 1010</t>
    <rPh sb="0" eb="2">
      <t>ナラ</t>
    </rPh>
    <phoneticPr fontId="13"/>
  </si>
  <si>
    <t>堺 586 ろ 4118</t>
    <rPh sb="0" eb="1">
      <t>サカイ</t>
    </rPh>
    <phoneticPr fontId="13"/>
  </si>
  <si>
    <t>岡山 338 た 527</t>
    <rPh sb="0" eb="2">
      <t>オカヤマ</t>
    </rPh>
    <phoneticPr fontId="13"/>
  </si>
  <si>
    <t>清水 和夫</t>
    <rPh sb="0" eb="2">
      <t>シミズ</t>
    </rPh>
    <rPh sb="3" eb="5">
      <t>カズオ</t>
    </rPh>
    <phoneticPr fontId="13"/>
  </si>
  <si>
    <t>春日井 582 ろ 9027</t>
    <rPh sb="0" eb="3">
      <t>カスガイ</t>
    </rPh>
    <phoneticPr fontId="13"/>
  </si>
  <si>
    <t>溝尾 勝利</t>
    <rPh sb="0" eb="2">
      <t>ミゾオ</t>
    </rPh>
    <rPh sb="3" eb="4">
      <t>カツ</t>
    </rPh>
    <rPh sb="4" eb="5">
      <t>トシ</t>
    </rPh>
    <phoneticPr fontId="13"/>
  </si>
  <si>
    <t>米村 賢二</t>
    <rPh sb="0" eb="2">
      <t>ヨネムラ</t>
    </rPh>
    <rPh sb="3" eb="5">
      <t>ケンジ</t>
    </rPh>
    <phoneticPr fontId="13"/>
  </si>
  <si>
    <t>福山 480 そ 9983</t>
    <rPh sb="0" eb="2">
      <t>フクヤマ</t>
    </rPh>
    <phoneticPr fontId="13"/>
  </si>
  <si>
    <t>河本 和也</t>
    <rPh sb="0" eb="2">
      <t>コウモト</t>
    </rPh>
    <rPh sb="3" eb="5">
      <t>カズヤ</t>
    </rPh>
    <phoneticPr fontId="13"/>
  </si>
  <si>
    <t>鳥取三菱自動車販売株式会社</t>
    <rPh sb="0" eb="2">
      <t>トットリ</t>
    </rPh>
    <rPh sb="2" eb="4">
      <t>ミツビシ</t>
    </rPh>
    <rPh sb="4" eb="13">
      <t>ジドウシャハンバイカブシキガイシャ</t>
    </rPh>
    <phoneticPr fontId="13"/>
  </si>
  <si>
    <t>広島 301 も 8108</t>
    <rPh sb="0" eb="2">
      <t>ヒロシマ</t>
    </rPh>
    <phoneticPr fontId="13"/>
  </si>
  <si>
    <t>春日井 399 つ 2843</t>
    <rPh sb="0" eb="3">
      <t>カスガイ</t>
    </rPh>
    <phoneticPr fontId="13"/>
  </si>
  <si>
    <t>福井 356 て 23</t>
    <rPh sb="0" eb="2">
      <t>フクイ</t>
    </rPh>
    <phoneticPr fontId="13"/>
  </si>
  <si>
    <t>岡崎 315 ね 8888</t>
    <rPh sb="0" eb="2">
      <t>オカザキ</t>
    </rPh>
    <phoneticPr fontId="13"/>
  </si>
  <si>
    <t>ﾌﾟﾚﾐｱ株式会社</t>
    <rPh sb="5" eb="7">
      <t>カブシキ</t>
    </rPh>
    <rPh sb="7" eb="9">
      <t>カイシャ</t>
    </rPh>
    <phoneticPr fontId="13"/>
  </si>
  <si>
    <t>長野 301 す 159</t>
    <rPh sb="0" eb="2">
      <t>ナガノ</t>
    </rPh>
    <phoneticPr fontId="13"/>
  </si>
  <si>
    <t>長野ﾄﾖﾀ自動車株式会社</t>
    <rPh sb="0" eb="2">
      <t>ナガノ</t>
    </rPh>
    <rPh sb="5" eb="12">
      <t>ジドウシャカブシキガイシャ</t>
    </rPh>
    <phoneticPr fontId="13"/>
  </si>
  <si>
    <t>株式会社ABEMOTORS</t>
    <rPh sb="0" eb="4">
      <t>カブシキカイシャ</t>
    </rPh>
    <phoneticPr fontId="13"/>
  </si>
  <si>
    <t>野田 330 と 5417</t>
    <rPh sb="0" eb="2">
      <t>ノダ</t>
    </rPh>
    <phoneticPr fontId="13"/>
  </si>
  <si>
    <t>株式会社千葉ﾏﾂﾀﾞ</t>
    <rPh sb="0" eb="4">
      <t>カブシキカイシャ</t>
    </rPh>
    <rPh sb="4" eb="6">
      <t>チバ</t>
    </rPh>
    <phoneticPr fontId="13"/>
  </si>
  <si>
    <t>徳島 580 ほ 5640</t>
    <rPh sb="0" eb="2">
      <t>トクシマ</t>
    </rPh>
    <phoneticPr fontId="13"/>
  </si>
  <si>
    <t>株式会社ﾎﾝﾀﾞ北徳島</t>
    <rPh sb="0" eb="4">
      <t>カブシキカイシャ</t>
    </rPh>
    <rPh sb="8" eb="9">
      <t>キタ</t>
    </rPh>
    <rPh sb="9" eb="11">
      <t>トクシマ</t>
    </rPh>
    <phoneticPr fontId="13"/>
  </si>
  <si>
    <t>一宮 332 ち 930</t>
    <rPh sb="0" eb="2">
      <t>イチノミヤ</t>
    </rPh>
    <phoneticPr fontId="13"/>
  </si>
  <si>
    <t>水野 一也</t>
    <rPh sb="0" eb="2">
      <t>ミズノ</t>
    </rPh>
    <rPh sb="3" eb="5">
      <t>カズヤ</t>
    </rPh>
    <phoneticPr fontId="13"/>
  </si>
  <si>
    <t>富山 581 ち 4275</t>
    <rPh sb="0" eb="2">
      <t>トヤマ</t>
    </rPh>
    <phoneticPr fontId="13"/>
  </si>
  <si>
    <t>金山 樹美花</t>
    <rPh sb="0" eb="2">
      <t>カナヤマ</t>
    </rPh>
    <rPh sb="3" eb="4">
      <t>イツキ</t>
    </rPh>
    <rPh sb="4" eb="6">
      <t>ミカ</t>
    </rPh>
    <phoneticPr fontId="13"/>
  </si>
  <si>
    <t>広島 480 ね 1043</t>
    <rPh sb="0" eb="2">
      <t>ヒロシマ</t>
    </rPh>
    <phoneticPr fontId="13"/>
  </si>
  <si>
    <t>株式会社JANOH</t>
    <rPh sb="0" eb="4">
      <t>カブシキカイシャ</t>
    </rPh>
    <phoneticPr fontId="13"/>
  </si>
  <si>
    <t>横浜 335 ち 2525</t>
    <rPh sb="0" eb="2">
      <t>ヨコハマ</t>
    </rPh>
    <phoneticPr fontId="13"/>
  </si>
  <si>
    <t>野﨑 卓朗</t>
    <rPh sb="0" eb="2">
      <t>ノザキ</t>
    </rPh>
    <rPh sb="3" eb="4">
      <t>タク</t>
    </rPh>
    <rPh sb="4" eb="5">
      <t>ロウ</t>
    </rPh>
    <phoneticPr fontId="13"/>
  </si>
  <si>
    <t>練馬 342 に 126</t>
    <rPh sb="0" eb="2">
      <t>ネリマ</t>
    </rPh>
    <phoneticPr fontId="13"/>
  </si>
  <si>
    <t>株式会社関西ﾏﾂﾀﾞ</t>
    <rPh sb="0" eb="4">
      <t>カブシキカイシャ</t>
    </rPh>
    <rPh sb="4" eb="6">
      <t>カンサイ</t>
    </rPh>
    <phoneticPr fontId="13"/>
  </si>
  <si>
    <t>高松 581 ろ 4004</t>
    <rPh sb="0" eb="2">
      <t>タカマツ</t>
    </rPh>
    <phoneticPr fontId="13"/>
  </si>
  <si>
    <t>株式会社ﾊﾞｼﾞｪｯﾄ・ﾚﾝﾀｶｰ四国</t>
    <rPh sb="0" eb="4">
      <t>カブシキカイシャ</t>
    </rPh>
    <rPh sb="17" eb="19">
      <t>シコク</t>
    </rPh>
    <phoneticPr fontId="13"/>
  </si>
  <si>
    <t>春日井 582 ろ 9125</t>
    <rPh sb="0" eb="3">
      <t>カスガイ</t>
    </rPh>
    <phoneticPr fontId="13"/>
  </si>
  <si>
    <t>株式会社ｺﾞﾄｳｽﾊﾞﾙ</t>
    <rPh sb="0" eb="4">
      <t>カブシキカイシャ</t>
    </rPh>
    <phoneticPr fontId="13"/>
  </si>
  <si>
    <t>株式会社ｵﾘｺｵｰﾄﾘｰｽ</t>
    <rPh sb="0" eb="4">
      <t>カブシキカイシャ</t>
    </rPh>
    <phoneticPr fontId="13"/>
  </si>
  <si>
    <t>尾張小牧 581 な 5419</t>
    <rPh sb="0" eb="4">
      <t>オワリコマキ</t>
    </rPh>
    <phoneticPr fontId="13"/>
  </si>
  <si>
    <t>株式会社ｶｰｴｽｲﾉﾍﾞｰｼｮﾝ</t>
    <rPh sb="0" eb="4">
      <t>カブシキカイシャ</t>
    </rPh>
    <phoneticPr fontId="13"/>
  </si>
  <si>
    <t>和泉 581 は 5080</t>
    <rPh sb="0" eb="2">
      <t>イズミ</t>
    </rPh>
    <phoneticPr fontId="13"/>
  </si>
  <si>
    <t>株式会社ﾎﾝﾀﾞ泉州販売</t>
    <rPh sb="0" eb="4">
      <t>カブシキカイシャ</t>
    </rPh>
    <rPh sb="8" eb="12">
      <t>センシュウハンバイ</t>
    </rPh>
    <phoneticPr fontId="13"/>
  </si>
  <si>
    <t>和泉 587 る 1024</t>
    <rPh sb="0" eb="2">
      <t>イズミ</t>
    </rPh>
    <phoneticPr fontId="13"/>
  </si>
  <si>
    <t>なにわ 5P9 ろ 9208</t>
    <phoneticPr fontId="13"/>
  </si>
  <si>
    <t>株式会社はなまる</t>
    <rPh sb="0" eb="4">
      <t>カブシキカイシャ</t>
    </rPh>
    <phoneticPr fontId="13"/>
  </si>
  <si>
    <t>大阪 583 た 3123</t>
    <rPh sb="0" eb="2">
      <t>オオサカ</t>
    </rPh>
    <phoneticPr fontId="13"/>
  </si>
  <si>
    <t>株式会社ｶｰﾁｽ</t>
    <rPh sb="0" eb="4">
      <t>カブシキカイシャ</t>
    </rPh>
    <phoneticPr fontId="13"/>
  </si>
  <si>
    <t>田谷 文孝</t>
    <rPh sb="0" eb="2">
      <t>タタニ</t>
    </rPh>
    <rPh sb="3" eb="5">
      <t>フミタカ</t>
    </rPh>
    <phoneticPr fontId="13"/>
  </si>
  <si>
    <t>保証書2個 取説(車内)ｷｰﾚｽ</t>
    <rPh sb="0" eb="3">
      <t>ホショウショ</t>
    </rPh>
    <rPh sb="4" eb="5">
      <t>コ</t>
    </rPh>
    <rPh sb="6" eb="8">
      <t>トリセツ</t>
    </rPh>
    <phoneticPr fontId="13"/>
  </si>
  <si>
    <t>SD ｷｰﾚｽ</t>
    <phoneticPr fontId="13"/>
  </si>
  <si>
    <t>ｼｬﾊﾞｽﾞ ﾑﾊﾏﾄﾞ</t>
    <phoneticPr fontId="13"/>
  </si>
  <si>
    <t>林 明子</t>
    <rPh sb="0" eb="1">
      <t>ハヤシ</t>
    </rPh>
    <rPh sb="2" eb="4">
      <t>アキコ</t>
    </rPh>
    <phoneticPr fontId="13"/>
  </si>
  <si>
    <t>作本 治則</t>
    <rPh sb="0" eb="2">
      <t>サクモト</t>
    </rPh>
    <rPh sb="3" eb="4">
      <t>ナオ</t>
    </rPh>
    <rPh sb="4" eb="5">
      <t>ノリ</t>
    </rPh>
    <phoneticPr fontId="13"/>
  </si>
  <si>
    <t>福山 583 ろ 705</t>
    <rPh sb="0" eb="2">
      <t>フクヤマ</t>
    </rPh>
    <phoneticPr fontId="13"/>
  </si>
  <si>
    <t>岡山 584 ろ 3068</t>
    <rPh sb="0" eb="2">
      <t>オカヤマ</t>
    </rPh>
    <phoneticPr fontId="13"/>
  </si>
  <si>
    <t>広島 581 く 9609</t>
    <rPh sb="0" eb="2">
      <t>ヒロシマ</t>
    </rPh>
    <phoneticPr fontId="13"/>
  </si>
  <si>
    <t>福山 583 く 2260</t>
    <rPh sb="0" eb="2">
      <t>フクヤマ</t>
    </rPh>
    <phoneticPr fontId="13"/>
  </si>
  <si>
    <t>岡山 788 ひ 77</t>
    <rPh sb="0" eb="2">
      <t>オカヤマ</t>
    </rPh>
    <phoneticPr fontId="13"/>
  </si>
  <si>
    <t>株式会社ｼﾃｨﾗｲﾄ</t>
    <rPh sb="0" eb="4">
      <t>カブシキカイシャ</t>
    </rPh>
    <phoneticPr fontId="13"/>
  </si>
  <si>
    <t>地図SD(車内)保証書 ｽﾍﾟｱｷｰ</t>
    <rPh sb="8" eb="11">
      <t>ホショウショ</t>
    </rPh>
    <phoneticPr fontId="13"/>
  </si>
  <si>
    <t>福山 354 す 9</t>
    <rPh sb="0" eb="2">
      <t>フクヤマ</t>
    </rPh>
    <phoneticPr fontId="13"/>
  </si>
  <si>
    <t>島根 599 ち 74</t>
    <rPh sb="0" eb="2">
      <t>シマネ</t>
    </rPh>
    <phoneticPr fontId="13"/>
  </si>
  <si>
    <t>ｷｬﾝｾﾙ返送3/5</t>
    <rPh sb="5" eb="7">
      <t>ヘンソウ</t>
    </rPh>
    <phoneticPr fontId="13"/>
  </si>
  <si>
    <t>582 う 3282</t>
    <phoneticPr fontId="13"/>
  </si>
  <si>
    <t>582 う 3284</t>
    <phoneticPr fontId="13"/>
  </si>
  <si>
    <t>582 う 3281</t>
    <phoneticPr fontId="13"/>
  </si>
  <si>
    <t>582 う 3283</t>
    <phoneticPr fontId="13"/>
  </si>
  <si>
    <t>ｸｲｯｸﾈｯﾄﾜｰｸ</t>
    <phoneticPr fontId="13"/>
  </si>
  <si>
    <t>HAA神戸(ﾜﾝｸﾘ)</t>
    <rPh sb="3" eb="5">
      <t>コウベ</t>
    </rPh>
    <phoneticPr fontId="13"/>
  </si>
  <si>
    <t>HAA神戸(ﾜﾝｸ)</t>
    <rPh sb="3" eb="5">
      <t>コウベ</t>
    </rPh>
    <phoneticPr fontId="13"/>
  </si>
  <si>
    <t>USS神戸(ﾜﾝｸﾘ)</t>
    <rPh sb="3" eb="5">
      <t>コウベ</t>
    </rPh>
    <phoneticPr fontId="13"/>
  </si>
  <si>
    <t>和泉 586 ろ 340</t>
    <rPh sb="0" eb="2">
      <t>イズミ</t>
    </rPh>
    <phoneticPr fontId="13"/>
  </si>
  <si>
    <t>株式会社ﾊﾟﾊﾟﾏﾏｶｰｽﾞ</t>
    <rPh sb="0" eb="4">
      <t>カブシキカイシャ</t>
    </rPh>
    <phoneticPr fontId="13"/>
  </si>
  <si>
    <t>3/5</t>
    <phoneticPr fontId="13"/>
  </si>
  <si>
    <t>保証書 取説 ｽﾍﾟｱｷｰ SD</t>
    <rPh sb="0" eb="3">
      <t>ホショウショ</t>
    </rPh>
    <rPh sb="4" eb="6">
      <t>トリセツ</t>
    </rPh>
    <phoneticPr fontId="13"/>
  </si>
  <si>
    <t>保証書</t>
    <rPh sb="0" eb="3">
      <t>ホショウショ</t>
    </rPh>
    <phoneticPr fontId="13"/>
  </si>
  <si>
    <t>保証書 ｷｰﾚｽ ﾚﾝﾀｶｰ</t>
    <rPh sb="0" eb="3">
      <t>ホショウショ</t>
    </rPh>
    <phoneticPr fontId="13"/>
  </si>
  <si>
    <t>重複27-3251</t>
    <rPh sb="0" eb="2">
      <t>ジュウフク</t>
    </rPh>
    <phoneticPr fontId="13"/>
  </si>
  <si>
    <t>重複</t>
    <rPh sb="0" eb="2">
      <t>ジュウフク</t>
    </rPh>
    <phoneticPr fontId="13"/>
  </si>
  <si>
    <t>重複27-3252</t>
    <rPh sb="0" eb="2">
      <t>ジュウフク</t>
    </rPh>
    <phoneticPr fontId="13"/>
  </si>
  <si>
    <t>重複27-3253</t>
    <rPh sb="0" eb="2">
      <t>ジュウフク</t>
    </rPh>
    <phoneticPr fontId="13"/>
  </si>
  <si>
    <t>重複27-3254</t>
    <rPh sb="0" eb="2">
      <t>ジュウフク</t>
    </rPh>
    <phoneticPr fontId="13"/>
  </si>
  <si>
    <t>ZiP大阪</t>
    <rPh sb="3" eb="5">
      <t>オオサカ</t>
    </rPh>
    <phoneticPr fontId="13"/>
  </si>
  <si>
    <t>なにわ 59C と 7526</t>
    <phoneticPr fontId="13"/>
  </si>
  <si>
    <t>株式会社ｶｰﾈｸｽﾄ</t>
    <rPh sb="0" eb="4">
      <t>カブシキカイシャ</t>
    </rPh>
    <phoneticPr fontId="13"/>
  </si>
  <si>
    <t>3/6</t>
    <phoneticPr fontId="13"/>
  </si>
  <si>
    <t xml:space="preserve">SD </t>
    <phoneticPr fontId="13"/>
  </si>
  <si>
    <t>富士山 594 け 3588</t>
    <rPh sb="0" eb="3">
      <t>フジサン</t>
    </rPh>
    <phoneticPr fontId="13"/>
  </si>
  <si>
    <t>株式会社ｼﾞｬｯｸｽ</t>
    <rPh sb="0" eb="4">
      <t>カブシキカイシャ</t>
    </rPh>
    <phoneticPr fontId="13"/>
  </si>
  <si>
    <t>保証書 取説 ﾜﾝｵｰﾅｰ  ｷｰﾚｽ</t>
    <rPh sb="0" eb="3">
      <t>ホショウショ</t>
    </rPh>
    <rPh sb="4" eb="6">
      <t>トリセツ</t>
    </rPh>
    <phoneticPr fontId="13"/>
  </si>
  <si>
    <t>広島 541 た 1023</t>
    <rPh sb="0" eb="2">
      <t>ヒロシマ</t>
    </rPh>
    <phoneticPr fontId="13"/>
  </si>
  <si>
    <t>砂原 裕子</t>
    <rPh sb="0" eb="2">
      <t>スナハラ</t>
    </rPh>
    <rPh sb="3" eb="5">
      <t>ユウコ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</si>
  <si>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</si>
  <si>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筑豊 430 た 727</t>
    <rPh sb="0" eb="2">
      <t>チクホウ</t>
    </rPh>
    <phoneticPr fontId="13"/>
  </si>
  <si>
    <t>ﾈｯﾂﾄﾖﾀ北九州株式会社</t>
    <rPh sb="6" eb="9">
      <t>キタキュウシュウ</t>
    </rPh>
    <rPh sb="9" eb="13">
      <t>カブシキカイシャ</t>
    </rPh>
    <phoneticPr fontId="13"/>
  </si>
  <si>
    <t>熊本 301 ひ 6093</t>
    <rPh sb="0" eb="2">
      <t>クマモト</t>
    </rPh>
    <phoneticPr fontId="13"/>
  </si>
  <si>
    <t>株式会社ｵﾘｴﾝﾄｺｰﾎﾟﾚｰｼｮﾝ</t>
    <rPh sb="0" eb="4">
      <t>カブシキカイシャ</t>
    </rPh>
    <phoneticPr fontId="13"/>
  </si>
  <si>
    <t>姫路 399 な 4531</t>
    <rPh sb="0" eb="2">
      <t>ヒメジ</t>
    </rPh>
    <phoneticPr fontId="13"/>
  </si>
  <si>
    <t>株式会社ｶｰﾁｽ</t>
    <rPh sb="0" eb="4">
      <t>カブシキカイシャ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</si>
  <si>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</si>
  <si>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なにわ 5P9 ろ 9935</t>
    <phoneticPr fontId="13"/>
  </si>
  <si>
    <t>ｵﾘｯｸｽ自動車株式会社</t>
    <rPh sb="5" eb="12">
      <t>ジドウシャカブシキガイシャ</t>
    </rPh>
    <phoneticPr fontId="13"/>
  </si>
  <si>
    <t>なにわ 5P9 ろ 9934</t>
    <phoneticPr fontId="13"/>
  </si>
  <si>
    <t>長野 580 わ 2854</t>
    <rPh sb="0" eb="2">
      <t>ナガノ</t>
    </rPh>
    <phoneticPr fontId="13"/>
  </si>
  <si>
    <t>株式会社ﾀｶｻﾜ</t>
    <rPh sb="0" eb="4">
      <t>カブシキガイシャ</t>
    </rPh>
    <phoneticPr fontId="13"/>
  </si>
  <si>
    <t>長野 580 わ 2871</t>
    <rPh sb="0" eb="2">
      <t>ナガノ</t>
    </rPh>
    <phoneticPr fontId="13"/>
  </si>
  <si>
    <t>三河 581 つ 8534</t>
    <rPh sb="0" eb="2">
      <t>ミカワ</t>
    </rPh>
    <phoneticPr fontId="13"/>
  </si>
  <si>
    <t>株式会社ﾔﾏﾐ企業</t>
    <rPh sb="0" eb="4">
      <t>カブシキガイシャ</t>
    </rPh>
    <rPh sb="7" eb="9">
      <t>キギョウ</t>
    </rPh>
    <phoneticPr fontId="13"/>
  </si>
  <si>
    <t>SD ﾏｲｸﾛSD</t>
    <phoneticPr fontId="13"/>
  </si>
  <si>
    <t>株式会社ﾎﾝﾀﾞﾌｧｲﾅﾝｽ</t>
    <rPh sb="0" eb="4">
      <t>カブシキガイシャ</t>
    </rPh>
    <phoneticPr fontId="13"/>
  </si>
  <si>
    <t>保証書 取説 (車内)ｷｰﾚｽ</t>
    <rPh sb="0" eb="3">
      <t>ホショウショ</t>
    </rPh>
    <rPh sb="4" eb="6">
      <t>トリセツ</t>
    </rPh>
    <phoneticPr fontId="13"/>
  </si>
  <si>
    <t>広島 340 は 3030</t>
    <rPh sb="0" eb="2">
      <t>ヒロシマ</t>
    </rPh>
    <phoneticPr fontId="13"/>
  </si>
  <si>
    <t>呉田 雅文</t>
    <rPh sb="0" eb="1">
      <t>クレ</t>
    </rPh>
    <rPh sb="1" eb="2">
      <t>タ</t>
    </rPh>
    <rPh sb="3" eb="5">
      <t>マサフミ</t>
    </rPh>
    <phoneticPr fontId="13"/>
  </si>
  <si>
    <t>出雲 580 か 48</t>
    <rPh sb="0" eb="2">
      <t>イヅモ</t>
    </rPh>
    <phoneticPr fontId="13"/>
  </si>
  <si>
    <t>西日本三菱自動車株式会社 山陰営業部</t>
    <rPh sb="0" eb="12">
      <t>ニシニホンミツビシジドウシャカブシキガイシャ</t>
    </rPh>
    <rPh sb="13" eb="15">
      <t>サンイン</t>
    </rPh>
    <rPh sb="15" eb="18">
      <t>エイギョウブ</t>
    </rPh>
    <phoneticPr fontId="13"/>
  </si>
  <si>
    <t>保証書 取説 ﾅﾝﾊﾞｰ</t>
    <rPh sb="0" eb="3">
      <t>ホショウショ</t>
    </rPh>
    <rPh sb="4" eb="6">
      <t>トリセツ</t>
    </rPh>
    <phoneticPr fontId="13"/>
  </si>
  <si>
    <t>練馬 333 す 3298</t>
    <rPh sb="0" eb="2">
      <t>ネリマ</t>
    </rPh>
    <phoneticPr fontId="13"/>
  </si>
  <si>
    <t>株式会社三恵ﾎﾝﾀﾞ販売</t>
    <rPh sb="0" eb="4">
      <t>カブシキガイシャ</t>
    </rPh>
    <rPh sb="4" eb="5">
      <t>ミ</t>
    </rPh>
    <rPh sb="5" eb="6">
      <t>メグミ</t>
    </rPh>
    <rPh sb="10" eb="12">
      <t>ハンバイ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</si>
  <si>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</si>
  <si>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横浜 39Ａ ら 8585</t>
    <rPh sb="0" eb="2">
      <t>ヨコハマ</t>
    </rPh>
    <phoneticPr fontId="13"/>
  </si>
  <si>
    <t>株式会社ﾔﾅｾ</t>
    <rPh sb="0" eb="4">
      <t>カブシキガイシャ</t>
    </rPh>
    <phoneticPr fontId="13"/>
  </si>
  <si>
    <t>ﾔﾅｾｵｰﾄﾓｰﾃｨﾌﾞ株式会社</t>
    <rPh sb="12" eb="16">
      <t>カブシキガイシャ</t>
    </rPh>
    <phoneticPr fontId="13"/>
  </si>
  <si>
    <t>WDD1183122N019831</t>
    <phoneticPr fontId="13"/>
  </si>
  <si>
    <t>清水 俊材</t>
    <rPh sb="0" eb="2">
      <t>シミズ</t>
    </rPh>
    <rPh sb="3" eb="4">
      <t>シュン</t>
    </rPh>
    <rPh sb="4" eb="5">
      <t>ザイ</t>
    </rPh>
    <phoneticPr fontId="13"/>
  </si>
  <si>
    <t>582 う 3424</t>
    <phoneticPr fontId="13"/>
  </si>
  <si>
    <t>480 ね 4554</t>
    <phoneticPr fontId="13"/>
  </si>
  <si>
    <t>582 う 3423</t>
    <phoneticPr fontId="13"/>
  </si>
  <si>
    <t>582 う 3422</t>
    <phoneticPr fontId="13"/>
  </si>
  <si>
    <t>582 う 3420</t>
    <phoneticPr fontId="13"/>
  </si>
  <si>
    <t>582 う 3419</t>
    <phoneticPr fontId="13"/>
  </si>
  <si>
    <t>582 う 3418</t>
    <phoneticPr fontId="13"/>
  </si>
  <si>
    <t>582 う 3417</t>
    <phoneticPr fontId="13"/>
  </si>
  <si>
    <t>地図SD(車内)</t>
    <rPh sb="0" eb="2">
      <t>チズ</t>
    </rPh>
    <rPh sb="5" eb="7">
      <t>シャナイ</t>
    </rPh>
    <phoneticPr fontId="13"/>
  </si>
  <si>
    <t>ﾏｲｸﾛ地図SD(車内)</t>
    <phoneticPr fontId="13"/>
  </si>
  <si>
    <r>
      <t>地図SD(車内)保証書 取説 ｷｰﾚｽ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ﾜﾝｵｰﾅｰ×ｸﾚｰﾑ済</t>
    </r>
    <rPh sb="8" eb="11">
      <t>ホショウショ</t>
    </rPh>
    <rPh sb="12" eb="14">
      <t>トリセツ</t>
    </rPh>
    <rPh sb="31" eb="32">
      <t>ズ</t>
    </rPh>
    <phoneticPr fontId="13"/>
  </si>
  <si>
    <t>取説 ｷｰﾚｽ2個(車内)</t>
    <rPh sb="0" eb="2">
      <t>トリセツ</t>
    </rPh>
    <rPh sb="8" eb="9">
      <t>コ</t>
    </rPh>
    <rPh sb="10" eb="12">
      <t>シャナイ</t>
    </rPh>
    <phoneticPr fontId="13"/>
  </si>
  <si>
    <t>ｽﾍﾟｱｷｰ(車内)保証書 取説</t>
    <rPh sb="6" eb="8">
      <t>シャナイ</t>
    </rPh>
    <rPh sb="8" eb="9">
      <t>）</t>
    </rPh>
    <rPh sb="9" eb="12">
      <t>ホショウショ</t>
    </rPh>
    <rPh sb="12" eb="14">
      <t>ホショウショ</t>
    </rPh>
    <rPh sb="14" eb="16">
      <t>トリセツ</t>
    </rPh>
    <phoneticPr fontId="13"/>
  </si>
  <si>
    <t>整備手帳(車内)</t>
    <rPh sb="0" eb="2">
      <t>セイビ</t>
    </rPh>
    <rPh sb="2" eb="4">
      <t>テチョウ</t>
    </rPh>
    <rPh sb="5" eb="7">
      <t>シャナイ</t>
    </rPh>
    <phoneticPr fontId="13"/>
  </si>
  <si>
    <t>取説ﾘﾓｺﾝ(車内)保証書 取説</t>
    <rPh sb="0" eb="2">
      <t>トリセツ</t>
    </rPh>
    <rPh sb="10" eb="13">
      <t>ホショウショ</t>
    </rPh>
    <rPh sb="14" eb="16">
      <t>トリセツ</t>
    </rPh>
    <phoneticPr fontId="13"/>
  </si>
  <si>
    <t>ｷｰﾚｽ ﾘﾓｺﾝ(車内)保証書 取説</t>
    <rPh sb="13" eb="16">
      <t>ホショウショ</t>
    </rPh>
    <rPh sb="17" eb="19">
      <t>トリセツ</t>
    </rPh>
    <phoneticPr fontId="13"/>
  </si>
  <si>
    <t>保証書 取説 ﾅﾋﾞ取 地図SD ﾚﾝﾀｶｰ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</si>
  <si>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三河 333 ほ 210</t>
    <rPh sb="0" eb="2">
      <t>ミカワ</t>
    </rPh>
    <phoneticPr fontId="13"/>
  </si>
  <si>
    <t>榊原 和浩</t>
    <rPh sb="0" eb="2">
      <t>サカキバラ</t>
    </rPh>
    <rPh sb="3" eb="4">
      <t>カズ</t>
    </rPh>
    <rPh sb="4" eb="5">
      <t>ヒロ</t>
    </rPh>
    <phoneticPr fontId="13"/>
  </si>
  <si>
    <t>W1K1771842J193719</t>
    <phoneticPr fontId="13"/>
  </si>
  <si>
    <t>金沢 332 も 828</t>
    <rPh sb="0" eb="2">
      <t>キムザワ</t>
    </rPh>
    <phoneticPr fontId="13"/>
  </si>
  <si>
    <t>株式会社ﾎﾝﾀﾞｶｰｽﾞ石川</t>
    <rPh sb="0" eb="4">
      <t>カブシキガイシャ</t>
    </rPh>
    <rPh sb="12" eb="14">
      <t>イシカワ</t>
    </rPh>
    <phoneticPr fontId="13"/>
  </si>
  <si>
    <t>WMWLV120402N04005</t>
    <phoneticPr fontId="13"/>
  </si>
  <si>
    <t>岸本様</t>
    <rPh sb="0" eb="2">
      <t>キシモト</t>
    </rPh>
    <rPh sb="2" eb="3">
      <t>サマ</t>
    </rPh>
    <phoneticPr fontId="13"/>
  </si>
  <si>
    <t>SALVA2AG4DH824111</t>
    <phoneticPr fontId="13"/>
  </si>
  <si>
    <t>9/7/13</t>
    <phoneticPr fontId="13"/>
  </si>
  <si>
    <t>神戸 335 ひ 993</t>
    <rPh sb="0" eb="2">
      <t>コウベ</t>
    </rPh>
    <phoneticPr fontId="13"/>
  </si>
  <si>
    <t>27-3377</t>
  </si>
  <si>
    <t>倉敷 531 そ 202</t>
    <rPh sb="0" eb="2">
      <t>クラシキ</t>
    </rPh>
    <phoneticPr fontId="13"/>
  </si>
  <si>
    <t>春日井 582 ろ 9376</t>
    <rPh sb="0" eb="3">
      <t>カスガイ</t>
    </rPh>
    <phoneticPr fontId="13"/>
  </si>
  <si>
    <t>愛媛 501 ま 745</t>
    <rPh sb="0" eb="2">
      <t>エヒメ</t>
    </rPh>
    <phoneticPr fontId="13"/>
  </si>
  <si>
    <t>えひめ南農業協同組合</t>
    <rPh sb="3" eb="4">
      <t>ミナミ</t>
    </rPh>
    <rPh sb="4" eb="6">
      <t>ノウギョウ</t>
    </rPh>
    <rPh sb="6" eb="10">
      <t>キョウドウクミアイ</t>
    </rPh>
    <phoneticPr fontId="13"/>
  </si>
  <si>
    <t>宮崎 330 ほ 2238</t>
    <rPh sb="0" eb="2">
      <t>ミヤザキ</t>
    </rPh>
    <phoneticPr fontId="13"/>
  </si>
  <si>
    <t>CAA中部</t>
    <rPh sb="3" eb="5">
      <t>チュウブ</t>
    </rPh>
    <phoneticPr fontId="13"/>
  </si>
  <si>
    <t>27-3378</t>
  </si>
  <si>
    <t>27-3379</t>
  </si>
  <si>
    <t>27-3380</t>
  </si>
  <si>
    <t>27-3381</t>
  </si>
  <si>
    <t>27-3382</t>
  </si>
  <si>
    <t>27-3383</t>
  </si>
  <si>
    <t>27-3384</t>
  </si>
  <si>
    <t>NV100ｸﾘｯﾊﾟｰﾊﾞﾝ DX</t>
    <phoneticPr fontId="13"/>
  </si>
  <si>
    <t>DR17V-653510</t>
    <phoneticPr fontId="13"/>
  </si>
  <si>
    <t>WMW42BT0903N10281</t>
    <phoneticPr fontId="13"/>
  </si>
  <si>
    <t>27-3385</t>
  </si>
  <si>
    <t>DA17W-213997</t>
    <phoneticPr fontId="13"/>
  </si>
  <si>
    <t>三河 581 つ 9100</t>
    <rPh sb="0" eb="2">
      <t>ミカワ</t>
    </rPh>
    <phoneticPr fontId="13"/>
  </si>
  <si>
    <t>ｳﾞｫｸｼｰ ZS煌</t>
    <rPh sb="9" eb="10">
      <t>キラ</t>
    </rPh>
    <phoneticPr fontId="13"/>
  </si>
  <si>
    <t>ZRR80-0160429</t>
    <phoneticPr fontId="13"/>
  </si>
  <si>
    <t>WMWXM520202A62386</t>
    <phoneticPr fontId="13"/>
  </si>
  <si>
    <t>福井 337 り 303</t>
    <rPh sb="0" eb="2">
      <t>フクイ</t>
    </rPh>
    <phoneticPr fontId="13"/>
  </si>
  <si>
    <t>BMW 2ｼﾘｰｽﾞ 218dｱｸﾃｨﾌﾞﾂｱﾗｰ</t>
    <phoneticPr fontId="13"/>
  </si>
  <si>
    <t>WBA6Z120507D96517</t>
    <phoneticPr fontId="13"/>
  </si>
  <si>
    <t>ｼﾄﾛｴﾝﾍﾞﾙﾗﾝｺﾞ ｼｬｲﾝXTRﾊﾟｯｸ</t>
    <phoneticPr fontId="13"/>
  </si>
  <si>
    <t>VR7ECYHZ3NJ781099</t>
    <phoneticPr fontId="13"/>
  </si>
  <si>
    <t>三重 348 む 666</t>
    <rPh sb="0" eb="2">
      <t>ミエ</t>
    </rPh>
    <phoneticPr fontId="13"/>
  </si>
  <si>
    <t>保証書 取説 予備ｷｰ 名変期限3/31</t>
    <rPh sb="0" eb="3">
      <t>ホショウショ</t>
    </rPh>
    <rPh sb="4" eb="6">
      <t>トリセツ</t>
    </rPh>
    <rPh sb="7" eb="9">
      <t>ヨビ</t>
    </rPh>
    <rPh sb="12" eb="16">
      <t>メイヘンキゲン</t>
    </rPh>
    <phoneticPr fontId="13"/>
  </si>
  <si>
    <t>ZRR80-0146634</t>
    <phoneticPr fontId="13"/>
  </si>
  <si>
    <t>神戸 360 ひ 138</t>
    <rPh sb="0" eb="2">
      <t>コウベ</t>
    </rPh>
    <phoneticPr fontId="13"/>
  </si>
  <si>
    <t>BMWﾐﾆｸｰﾊﾟｰｸﾛｽｵｰﾊﾞｰ ﾎﾞｰﾄﾞｳｫｰｸ</t>
    <phoneticPr fontId="13"/>
  </si>
  <si>
    <t>和泉 482 ろ 9347</t>
    <rPh sb="0" eb="2">
      <t>イズミ</t>
    </rPh>
    <phoneticPr fontId="13"/>
  </si>
  <si>
    <t>取説 ﾅﾋﾞ取 ﾜﾝｵｰﾅｰ？</t>
    <rPh sb="0" eb="2">
      <t>トリセツ</t>
    </rPh>
    <rPh sb="6" eb="7">
      <t>トリ</t>
    </rPh>
    <phoneticPr fontId="13"/>
  </si>
  <si>
    <t>倉敷 580 ま 7879</t>
    <rPh sb="0" eb="2">
      <t>クラシキ</t>
    </rPh>
    <phoneticPr fontId="13"/>
  </si>
  <si>
    <t>保証書 地図SD SD ﾏｲｸﾛSD</t>
    <rPh sb="0" eb="3">
      <t>ホショウショ</t>
    </rPh>
    <rPh sb="4" eb="6">
      <t>チズ</t>
    </rPh>
    <phoneticPr fontId="13"/>
  </si>
  <si>
    <t>神戸 596 ろ 7977</t>
    <rPh sb="0" eb="2">
      <t>コウベ</t>
    </rPh>
    <phoneticPr fontId="13"/>
  </si>
  <si>
    <t>清水 博仁</t>
    <rPh sb="0" eb="2">
      <t>シミズ</t>
    </rPh>
    <rPh sb="3" eb="5">
      <t>ヒロヒト</t>
    </rPh>
    <phoneticPr fontId="13"/>
  </si>
  <si>
    <t>保証書 ﾅﾋﾞ取 ｷｰﾚｽ 取説</t>
    <rPh sb="0" eb="3">
      <t>ホショウショ</t>
    </rPh>
    <rPh sb="7" eb="8">
      <t>トリ</t>
    </rPh>
    <rPh sb="14" eb="16">
      <t>トリセツ</t>
    </rPh>
    <phoneticPr fontId="13"/>
  </si>
  <si>
    <t>神戸 332 と 1532</t>
    <rPh sb="0" eb="2">
      <t>コウベ</t>
    </rPh>
    <phoneticPr fontId="13"/>
  </si>
  <si>
    <t>神戸 39A た 3223</t>
    <rPh sb="0" eb="2">
      <t>コウベ</t>
    </rPh>
    <phoneticPr fontId="13"/>
  </si>
  <si>
    <t>品川 39A め 9011</t>
    <rPh sb="0" eb="2">
      <t>シナガワ</t>
    </rPh>
    <phoneticPr fontId="13"/>
  </si>
  <si>
    <t>大阪 399 ゆ 4059</t>
    <rPh sb="0" eb="2">
      <t>オオサカ</t>
    </rPh>
    <phoneticPr fontId="13"/>
  </si>
  <si>
    <t>植田 敬正</t>
    <rPh sb="0" eb="2">
      <t>ウエダ</t>
    </rPh>
    <rPh sb="3" eb="4">
      <t>ケイ</t>
    </rPh>
    <rPh sb="4" eb="5">
      <t>セイ</t>
    </rPh>
    <phoneticPr fontId="13"/>
  </si>
  <si>
    <t>冨永 佳隆</t>
    <rPh sb="0" eb="2">
      <t>トミナガ</t>
    </rPh>
    <rPh sb="3" eb="4">
      <t>カ</t>
    </rPh>
    <rPh sb="4" eb="5">
      <t>タカシ</t>
    </rPh>
    <phoneticPr fontId="13"/>
  </si>
  <si>
    <t>保証書 取説 ｷｰﾚｽ ﾅﾋﾞ取 B-CAS ﾏｲｸﾛSD2個</t>
    <rPh sb="0" eb="3">
      <t>ホショウショ</t>
    </rPh>
    <rPh sb="4" eb="6">
      <t>トリセツ</t>
    </rPh>
    <rPh sb="15" eb="16">
      <t>トリ</t>
    </rPh>
    <rPh sb="30" eb="31">
      <t>コ</t>
    </rPh>
    <phoneticPr fontId="13"/>
  </si>
  <si>
    <t>中辻 信裕</t>
    <rPh sb="0" eb="2">
      <t>ナカツジ</t>
    </rPh>
    <rPh sb="3" eb="4">
      <t>ノブ</t>
    </rPh>
    <rPh sb="4" eb="5">
      <t>ユウ</t>
    </rPh>
    <phoneticPr fontId="13"/>
  </si>
  <si>
    <t>保証書 取説 ｽﾍﾟｱｷｰ ﾛｯｸﾅｯﾄ</t>
    <rPh sb="0" eb="3">
      <t>ホショウショ</t>
    </rPh>
    <rPh sb="4" eb="6">
      <t>トリセツ</t>
    </rPh>
    <phoneticPr fontId="13"/>
  </si>
  <si>
    <t>滋賀 583 ろ 345</t>
    <rPh sb="0" eb="2">
      <t>シガ</t>
    </rPh>
    <phoneticPr fontId="13"/>
  </si>
  <si>
    <t>27-3386</t>
  </si>
  <si>
    <t>27-3387</t>
  </si>
  <si>
    <t>27-3388</t>
  </si>
  <si>
    <t>27-3389</t>
  </si>
  <si>
    <t>27-3390</t>
  </si>
  <si>
    <t>27-3391</t>
  </si>
  <si>
    <t>27-3392</t>
  </si>
  <si>
    <t>27-3393</t>
  </si>
  <si>
    <t>27-3394</t>
  </si>
  <si>
    <t>27-3395</t>
  </si>
  <si>
    <t>27-3396</t>
  </si>
  <si>
    <t>27-3397</t>
  </si>
  <si>
    <t>27-3398</t>
  </si>
  <si>
    <t>27-3399</t>
  </si>
  <si>
    <t>27-3400</t>
  </si>
  <si>
    <t>27-3401</t>
  </si>
  <si>
    <t>27-3402</t>
  </si>
  <si>
    <t>27-3403</t>
  </si>
  <si>
    <t>27-3404</t>
  </si>
  <si>
    <t>27-3405</t>
  </si>
  <si>
    <t>27-3406</t>
  </si>
  <si>
    <t>27-3407</t>
  </si>
  <si>
    <t>27-3408</t>
  </si>
  <si>
    <t>27-3409</t>
  </si>
  <si>
    <t>27-3410</t>
  </si>
  <si>
    <t>RV5-1089071</t>
    <phoneticPr fontId="13"/>
  </si>
  <si>
    <t>RV5-1013330</t>
    <phoneticPr fontId="13"/>
  </si>
  <si>
    <t>SNT133-017815</t>
    <phoneticPr fontId="13"/>
  </si>
  <si>
    <t>S700V-0116498</t>
    <phoneticPr fontId="13"/>
  </si>
  <si>
    <t>JF3-2082653</t>
    <phoneticPr fontId="13"/>
  </si>
  <si>
    <t>DA17V-970583</t>
    <phoneticPr fontId="13"/>
  </si>
  <si>
    <t>JF3-5085418</t>
    <phoneticPr fontId="13"/>
  </si>
  <si>
    <t>DR17W-282090</t>
    <phoneticPr fontId="13"/>
  </si>
  <si>
    <t>27-3411</t>
  </si>
  <si>
    <t>27-3412</t>
  </si>
  <si>
    <t>27-3413</t>
  </si>
  <si>
    <t>27-3414</t>
  </si>
  <si>
    <t>27-3415</t>
  </si>
  <si>
    <t>27-3416</t>
  </si>
  <si>
    <t>27-3417</t>
  </si>
  <si>
    <t>27-3418</t>
  </si>
  <si>
    <t>27-3419</t>
  </si>
  <si>
    <t>27-3420</t>
  </si>
  <si>
    <t>27-3421</t>
  </si>
  <si>
    <t>27-3422</t>
  </si>
  <si>
    <t>27-3423</t>
  </si>
  <si>
    <t>27-3424</t>
  </si>
  <si>
    <t>27-3425</t>
  </si>
  <si>
    <t>27-3426</t>
  </si>
  <si>
    <t>27-3427</t>
  </si>
  <si>
    <t>27-3428</t>
  </si>
  <si>
    <t>LA350S-0250725</t>
    <phoneticPr fontId="13"/>
  </si>
  <si>
    <t>LA350S-0250777</t>
    <phoneticPr fontId="13"/>
  </si>
  <si>
    <t>LA600S-0299600</t>
    <phoneticPr fontId="13"/>
  </si>
  <si>
    <t>JF3-2360418</t>
    <phoneticPr fontId="13"/>
  </si>
  <si>
    <t>DA16T-728081</t>
    <phoneticPr fontId="13"/>
  </si>
  <si>
    <t>LA700S-0166724</t>
    <phoneticPr fontId="13"/>
  </si>
  <si>
    <t>LA600S-0725802</t>
    <phoneticPr fontId="13"/>
  </si>
  <si>
    <t>LA350S-0241642</t>
    <phoneticPr fontId="13"/>
  </si>
  <si>
    <t>LA350S-0166193</t>
    <phoneticPr fontId="13"/>
  </si>
  <si>
    <t>S201P-0125225</t>
    <phoneticPr fontId="13"/>
  </si>
  <si>
    <t>MK94S-280398</t>
    <phoneticPr fontId="13"/>
  </si>
  <si>
    <t>LA400K-0059724</t>
    <phoneticPr fontId="13"/>
  </si>
  <si>
    <t>LA850S-0051663</t>
    <phoneticPr fontId="13"/>
  </si>
  <si>
    <t>L675S-0115879</t>
    <phoneticPr fontId="13"/>
  </si>
  <si>
    <t>JF5-1028844</t>
    <phoneticPr fontId="13"/>
  </si>
  <si>
    <t>LA850S-0098724</t>
    <phoneticPr fontId="13"/>
  </si>
  <si>
    <t>JF5-1163740</t>
    <phoneticPr fontId="13"/>
  </si>
  <si>
    <t>MK53S-452454</t>
    <phoneticPr fontId="13"/>
  </si>
  <si>
    <t>MﾍﾞﾝﾂA250　4ﾏﾁｯｸ</t>
    <phoneticPr fontId="13"/>
  </si>
  <si>
    <t>MH44S-801676</t>
    <phoneticPr fontId="13"/>
  </si>
  <si>
    <t>ﾊﾟｯｿ ﾓｰﾀﾞ　ﾁｬｰﾑ</t>
    <phoneticPr fontId="13"/>
  </si>
  <si>
    <t>M700A-1025842</t>
    <phoneticPr fontId="13"/>
  </si>
  <si>
    <t>LA800S-0127365</t>
    <phoneticPr fontId="13"/>
  </si>
  <si>
    <t>MH85S-131678</t>
    <phoneticPr fontId="13"/>
  </si>
  <si>
    <t>MN71S-170861</t>
    <phoneticPr fontId="13"/>
  </si>
  <si>
    <t>MR31S-314835</t>
    <phoneticPr fontId="13"/>
  </si>
  <si>
    <t>ﾀﾝﾄ　X　ｽﾏｰﾄｾﾚｸｼｮﾝ</t>
    <phoneticPr fontId="13"/>
  </si>
  <si>
    <t>LA600S-0183115</t>
    <phoneticPr fontId="13"/>
  </si>
  <si>
    <t>LA800S-0129778</t>
    <phoneticPr fontId="13"/>
  </si>
  <si>
    <t>CX-5　XD　ｴｸｽｸﾙｰｼﾌﾞ</t>
    <phoneticPr fontId="13"/>
  </si>
  <si>
    <t>KF2P-550620</t>
    <phoneticPr fontId="13"/>
  </si>
  <si>
    <t>N ONE　RSﾀｰﾎﾞ</t>
    <phoneticPr fontId="13"/>
  </si>
  <si>
    <t>JG3-2013729</t>
    <phoneticPr fontId="13"/>
  </si>
  <si>
    <t>ﾑｰｳﾞ　X</t>
    <phoneticPr fontId="13"/>
  </si>
  <si>
    <t>LA850S-2008189</t>
    <phoneticPr fontId="13"/>
  </si>
  <si>
    <t>ﾑｰｳﾞｷｬﾝﾊﾞｽ　Gﾒｲｸｱｯﾌﾟ</t>
    <phoneticPr fontId="13"/>
  </si>
  <si>
    <t>LA800S-0069148</t>
    <phoneticPr fontId="13"/>
  </si>
  <si>
    <t>ﾊｲｾﾞｯﾄﾄﾗｯｸ　ｴｱｺﾝﾊﾟﾜｽﾃ</t>
    <phoneticPr fontId="13"/>
  </si>
  <si>
    <t>S201P-0115436</t>
    <phoneticPr fontId="13"/>
  </si>
  <si>
    <t>ｲﾝﾌﾟﾚｯｻ　WRX　STI</t>
    <phoneticPr fontId="13"/>
  </si>
  <si>
    <t>GDB-041703</t>
    <phoneticPr fontId="13"/>
  </si>
  <si>
    <t>27-3429</t>
  </si>
  <si>
    <t>27-3430</t>
  </si>
  <si>
    <t>27-3431</t>
  </si>
  <si>
    <t>27-3432</t>
  </si>
  <si>
    <t>27-3433</t>
  </si>
  <si>
    <t>27-3434</t>
  </si>
  <si>
    <t>27-3435</t>
  </si>
  <si>
    <t>27-3436</t>
  </si>
  <si>
    <t>27-3437</t>
  </si>
  <si>
    <t>27-3438</t>
  </si>
  <si>
    <t>27-3439</t>
  </si>
  <si>
    <t>27-3440</t>
  </si>
  <si>
    <t>LA900S-0169724</t>
    <phoneticPr fontId="13"/>
  </si>
  <si>
    <t>L800K-0054942</t>
    <phoneticPr fontId="13"/>
  </si>
  <si>
    <t>DA17W-325427</t>
    <phoneticPr fontId="13"/>
  </si>
  <si>
    <t>A335569</t>
    <phoneticPr fontId="13"/>
  </si>
  <si>
    <t>AGH40-4011367</t>
    <phoneticPr fontId="13"/>
  </si>
  <si>
    <t>A335534</t>
    <phoneticPr fontId="13"/>
  </si>
  <si>
    <t>A335802</t>
    <phoneticPr fontId="13"/>
  </si>
  <si>
    <t>LA650S-0063897</t>
    <phoneticPr fontId="13"/>
  </si>
  <si>
    <t>RV3-1005688</t>
    <phoneticPr fontId="13"/>
  </si>
  <si>
    <t>ZRR80-0449988</t>
    <phoneticPr fontId="13"/>
  </si>
  <si>
    <t>JF1-1901829</t>
    <phoneticPr fontId="13"/>
  </si>
  <si>
    <t>27-3441</t>
  </si>
  <si>
    <t>27-3442</t>
  </si>
  <si>
    <t>27-3443</t>
  </si>
  <si>
    <t>27-3444</t>
  </si>
  <si>
    <t>27-3445</t>
  </si>
  <si>
    <t>27-3446</t>
  </si>
  <si>
    <t>27-3447</t>
  </si>
  <si>
    <t>27-3448</t>
  </si>
  <si>
    <t>27-3449</t>
  </si>
  <si>
    <t>ﾐﾗｲｰｽ　L SaⅢ</t>
    <phoneticPr fontId="13"/>
  </si>
  <si>
    <t>名古屋　581　や　7209</t>
    <rPh sb="0" eb="3">
      <t>ナゴヤ</t>
    </rPh>
    <phoneticPr fontId="13"/>
  </si>
  <si>
    <t>ﾅﾋﾞ取　　名変期限3/31</t>
    <rPh sb="3" eb="4">
      <t>トリ</t>
    </rPh>
    <rPh sb="6" eb="10">
      <t>メイヘンキゲン</t>
    </rPh>
    <phoneticPr fontId="13"/>
  </si>
  <si>
    <t>N　BOXｶｽﾀﾑ　LﾀｰﾎﾞｽﾀｲﾙBK</t>
    <phoneticPr fontId="13"/>
  </si>
  <si>
    <t>9/3/23</t>
    <phoneticPr fontId="13"/>
  </si>
  <si>
    <t>多摩　581　て　8525</t>
    <rPh sb="0" eb="2">
      <t>タマ</t>
    </rPh>
    <phoneticPr fontId="13"/>
  </si>
  <si>
    <t>ｷｬﾘｰT　KCｴｱｺﾝﾊﾟﾜｽﾃ</t>
    <phoneticPr fontId="13"/>
  </si>
  <si>
    <t>ｳｪｲｸ　Gﾀｰﾎﾞﾘﾐﾃｯﾄﾞ　SaⅢ</t>
    <phoneticPr fontId="13"/>
  </si>
  <si>
    <t>鈴鹿　580　つ　5617</t>
    <rPh sb="0" eb="2">
      <t>スズカ</t>
    </rPh>
    <phoneticPr fontId="13"/>
  </si>
  <si>
    <t>ﾀﾝﾄｶｽﾀﾑ　X　ﾄｯﾌﾟED</t>
    <phoneticPr fontId="13"/>
  </si>
  <si>
    <t>豊橋　580　も　3451</t>
    <rPh sb="0" eb="2">
      <t>トヨハシ</t>
    </rPh>
    <phoneticPr fontId="13"/>
  </si>
  <si>
    <t>ﾐﾗｲｰｽ　L</t>
    <phoneticPr fontId="13"/>
  </si>
  <si>
    <t>ﾐﾗｲｰｽ　Xﾘﾐﾃｯﾄﾞ　SaⅢ</t>
    <phoneticPr fontId="13"/>
  </si>
  <si>
    <t>8/7/18</t>
    <phoneticPr fontId="13"/>
  </si>
  <si>
    <t>滋賀　586　こ　1114</t>
    <rPh sb="0" eb="2">
      <t>シガ</t>
    </rPh>
    <phoneticPr fontId="13"/>
  </si>
  <si>
    <t>ﾊｲｾﾞｯﾄT　ｴｱｺﾝﾊﾟﾜｽﾃｽﾍﾟｼｬﾙ</t>
    <phoneticPr fontId="13"/>
  </si>
  <si>
    <t>8/8/6</t>
    <phoneticPr fontId="13"/>
  </si>
  <si>
    <t>岐阜　480　ち　1517</t>
    <rPh sb="0" eb="2">
      <t>ギフ</t>
    </rPh>
    <phoneticPr fontId="13"/>
  </si>
  <si>
    <t>保証書　ｽﾍﾟｱｷｰ　　名変期限3/31</t>
    <rPh sb="0" eb="3">
      <t>ホショウショ</t>
    </rPh>
    <rPh sb="12" eb="16">
      <t>メイヘンキゲン</t>
    </rPh>
    <phoneticPr fontId="13"/>
  </si>
  <si>
    <t>ｽﾍﾟｰｼｱ　ﾊｲﾌﾞﾘｯﾄﾞG</t>
    <phoneticPr fontId="13"/>
  </si>
  <si>
    <t>ﾐﾗｺｺｱ　ﾌﾟﾗｽG</t>
    <phoneticPr fontId="13"/>
  </si>
  <si>
    <t>保証書　ﾅﾋﾞ取　ｽﾍﾟｱｷｰ　　車検記録H27,29、R1，3，5有　　ﾜﾝｵｰﾅｰ</t>
    <rPh sb="0" eb="3">
      <t>ホショウショ</t>
    </rPh>
    <rPh sb="7" eb="8">
      <t>トリ</t>
    </rPh>
    <rPh sb="17" eb="21">
      <t>シャケンキロク</t>
    </rPh>
    <rPh sb="34" eb="35">
      <t>アリ</t>
    </rPh>
    <phoneticPr fontId="13"/>
  </si>
  <si>
    <t>ﾂｰﾄﾝ</t>
    <phoneticPr fontId="13"/>
  </si>
  <si>
    <t>10/3/6</t>
    <phoneticPr fontId="13"/>
  </si>
  <si>
    <t>徳島　581　い　9070</t>
    <rPh sb="0" eb="2">
      <t>トクシマ</t>
    </rPh>
    <phoneticPr fontId="13"/>
  </si>
  <si>
    <t>BMWZ4　Sﾄﾞﾗｲﾌﾞ20IMｽﾎﾟｰﾂ</t>
    <phoneticPr fontId="13"/>
  </si>
  <si>
    <t>WBAHF120X0WW56897</t>
    <phoneticPr fontId="13"/>
  </si>
  <si>
    <t>世田谷　300　ぬ　763</t>
    <rPh sb="0" eb="3">
      <t>セタガヤ</t>
    </rPh>
    <phoneticPr fontId="13"/>
  </si>
  <si>
    <t>ｳﾞｪｾﾞﾙ　ﾊｲﾌﾞﾘｯﾄﾞE　HEVﾌﾟﾚｲ</t>
    <phoneticPr fontId="13"/>
  </si>
  <si>
    <t>大分　338　め　127</t>
    <rPh sb="0" eb="2">
      <t>オオイタ</t>
    </rPh>
    <phoneticPr fontId="13"/>
  </si>
  <si>
    <t>ｳﾞｪｾﾞﾙ　G</t>
    <phoneticPr fontId="13"/>
  </si>
  <si>
    <t>取説　SD　ｽﾍﾟｱｷｰ</t>
    <rPh sb="0" eb="2">
      <t>トリセツ</t>
    </rPh>
    <phoneticPr fontId="13"/>
  </si>
  <si>
    <t>ｴｸｽﾄﾚｲﾙ　ﾊｲﾌﾞﾘｯﾄﾞ</t>
    <phoneticPr fontId="13"/>
  </si>
  <si>
    <t>ﾊｲｾﾞｯﾄｶｰｺﾞ 　ｽﾍﾟｼｬﾙ</t>
    <phoneticPr fontId="13"/>
  </si>
  <si>
    <t>保証書　ﾅﾝﾊﾞｰ</t>
    <rPh sb="0" eb="3">
      <t>ホショウショ</t>
    </rPh>
    <phoneticPr fontId="13"/>
  </si>
  <si>
    <t>N　BOXｶｽﾀﾑ　G　Lﾀｰﾎﾞ</t>
    <phoneticPr fontId="13"/>
  </si>
  <si>
    <t>ｴﾌﾞﾘｨﾊﾞﾝ　PAﾘﾐﾃｯﾄﾞ</t>
    <phoneticPr fontId="13"/>
  </si>
  <si>
    <t>和歌山　492　る　358</t>
    <rPh sb="0" eb="3">
      <t>ワカヤマ</t>
    </rPh>
    <phoneticPr fontId="13"/>
  </si>
  <si>
    <t>保証書　取説　ｽﾍﾟｱｷｰ　　</t>
    <rPh sb="0" eb="3">
      <t>ホショウショ</t>
    </rPh>
    <rPh sb="4" eb="6">
      <t>トリセツ</t>
    </rPh>
    <phoneticPr fontId="13"/>
  </si>
  <si>
    <t>NV100ｸﾘｯﾊﾟｰﾘｵ　G</t>
    <phoneticPr fontId="13"/>
  </si>
  <si>
    <t>京都　582　き　5515</t>
    <rPh sb="0" eb="2">
      <t>キョウト</t>
    </rPh>
    <phoneticPr fontId="13"/>
  </si>
  <si>
    <t>保証書　取説　　名変期限3/31</t>
    <rPh sb="0" eb="3">
      <t>ホショウショ</t>
    </rPh>
    <rPh sb="4" eb="6">
      <t>トリセツ</t>
    </rPh>
    <rPh sb="8" eb="12">
      <t>メイヘンキゲン</t>
    </rPh>
    <phoneticPr fontId="13"/>
  </si>
  <si>
    <t>ｱﾙﾌｧｰﾄﾞ　Z</t>
    <phoneticPr fontId="13"/>
  </si>
  <si>
    <t>9/1/15</t>
    <phoneticPr fontId="13"/>
  </si>
  <si>
    <t>ﾐﾗｺｺｱ　ﾌﾟﾗｽXﾘﾐﾃｯﾄﾞ</t>
    <phoneticPr fontId="13"/>
  </si>
  <si>
    <t>10/1/26</t>
    <phoneticPr fontId="13"/>
  </si>
  <si>
    <t>整備手帳　ｽﾍﾟｱｷｰ　　ﾚﾝﾀｶｰ</t>
    <rPh sb="0" eb="4">
      <t>セイビテチョウ</t>
    </rPh>
    <phoneticPr fontId="13"/>
  </si>
  <si>
    <t>9/9/21</t>
    <phoneticPr fontId="13"/>
  </si>
  <si>
    <t>取説　ﾏｲｸﾛSD</t>
    <rPh sb="0" eb="2">
      <t>トリセツ</t>
    </rPh>
    <phoneticPr fontId="13"/>
  </si>
  <si>
    <t>ﾑｰｳﾞｷｬﾝﾊﾞｽ　G　SaⅢ</t>
    <phoneticPr fontId="13"/>
  </si>
  <si>
    <t>9/6/5</t>
    <phoneticPr fontId="13"/>
  </si>
  <si>
    <t>10/7/6</t>
    <phoneticPr fontId="13"/>
  </si>
  <si>
    <t>ﾛｰｽﾞⅡ</t>
    <phoneticPr fontId="13"/>
  </si>
  <si>
    <t>ﾀﾌﾄ　Gｸﾛﾑﾍﾞﾝﾁｬｰ</t>
    <phoneticPr fontId="13"/>
  </si>
  <si>
    <t>一宮　580　ぬ　6114</t>
    <rPh sb="0" eb="2">
      <t>イチノミヤ</t>
    </rPh>
    <phoneticPr fontId="13"/>
  </si>
  <si>
    <t>和泉　791　せ　1010</t>
    <rPh sb="0" eb="2">
      <t>イズミ</t>
    </rPh>
    <phoneticPr fontId="13"/>
  </si>
  <si>
    <t>保証書　取説　ﾜﾝｵｰﾅｰ　　名変期限3/31</t>
    <rPh sb="0" eb="3">
      <t>ホショウショ</t>
    </rPh>
    <rPh sb="4" eb="6">
      <t>トリセツ</t>
    </rPh>
    <rPh sb="15" eb="19">
      <t>メイヘンキゲン</t>
    </rPh>
    <phoneticPr fontId="13"/>
  </si>
  <si>
    <t>WMWLR920702E72849</t>
    <phoneticPr fontId="13"/>
  </si>
  <si>
    <t>9/10/30</t>
    <phoneticPr fontId="13"/>
  </si>
  <si>
    <t>堺　300　ま　5285</t>
    <rPh sb="0" eb="1">
      <t>サカイ</t>
    </rPh>
    <phoneticPr fontId="13"/>
  </si>
  <si>
    <t>WMW52DH0602T45157</t>
    <phoneticPr fontId="13"/>
  </si>
  <si>
    <t>W1N2476122W101670</t>
    <phoneticPr fontId="13"/>
  </si>
  <si>
    <t>保証書　ﾜﾝｵｰﾅｰ　　ｽﾏｰﾄｷｰX2（ﾘｽﾄに記載有り）</t>
    <rPh sb="0" eb="3">
      <t>ホショウショ</t>
    </rPh>
    <rPh sb="25" eb="28">
      <t>キサイアリ</t>
    </rPh>
    <phoneticPr fontId="13"/>
  </si>
  <si>
    <t>ｳﾞｫｸｼｰ　ZSｷﾗﾒｷ</t>
    <phoneticPr fontId="13"/>
  </si>
  <si>
    <t>N　BOXｶｽﾀﾑ　SSﾌﾞﾗｯｸｽﾀｲﾙP</t>
    <phoneticPr fontId="13"/>
  </si>
  <si>
    <t>保証書　取説　名変期限4/30</t>
    <rPh sb="0" eb="3">
      <t>ホショウショ</t>
    </rPh>
    <rPh sb="4" eb="6">
      <t>トリセツ</t>
    </rPh>
    <rPh sb="7" eb="11">
      <t>メイヘンキゲン</t>
    </rPh>
    <phoneticPr fontId="13"/>
  </si>
  <si>
    <t>ｱﾊﾞﾙﾄ595　ｽｺﾙﾋﾟｵｰﾈｵｰﾛ</t>
    <phoneticPr fontId="13"/>
  </si>
  <si>
    <t>27-3450</t>
  </si>
  <si>
    <t>27-3451</t>
  </si>
  <si>
    <t>27-3452</t>
  </si>
  <si>
    <t>CX-3　XDﾌﾟﾛｱｸﾃｨﾌﾞ</t>
    <phoneticPr fontId="13"/>
  </si>
  <si>
    <t>DK5FW-203144</t>
    <phoneticPr fontId="13"/>
  </si>
  <si>
    <t>GFC27-144198</t>
    <phoneticPr fontId="13"/>
  </si>
  <si>
    <t>DA17W-251438</t>
    <phoneticPr fontId="13"/>
  </si>
  <si>
    <t>ﾀﾌﾄ　G</t>
    <phoneticPr fontId="13"/>
  </si>
  <si>
    <t>LA900S-0089475</t>
    <phoneticPr fontId="13"/>
  </si>
  <si>
    <t>BMWﾐﾆｸｰﾊﾟｰ　ｸﾗﾌﾞﾏﾝ</t>
    <phoneticPr fontId="13"/>
  </si>
  <si>
    <t>BMWﾐﾆｸｰﾊﾟｰ　</t>
    <phoneticPr fontId="13"/>
  </si>
  <si>
    <t>ｱﾊﾞﾙﾄ595　ﾂｰﾘｽﾞﾓ</t>
    <phoneticPr fontId="13"/>
  </si>
  <si>
    <t>BMW　X1　Sﾄﾞﾗｲﾌﾞ18I　Xﾗｲﾝ</t>
    <phoneticPr fontId="13"/>
  </si>
  <si>
    <t>ﾌｨｱｯﾄ500　1.2ｶｯﾄ</t>
    <phoneticPr fontId="13"/>
  </si>
  <si>
    <t>BMWﾐﾆｸｰﾊﾟｰ　ｺﾝﾊﾞｰﾁﾌﾞﾙ</t>
    <phoneticPr fontId="13"/>
  </si>
  <si>
    <t>ZFA3120000JE25836</t>
    <phoneticPr fontId="13"/>
  </si>
  <si>
    <t>福岡　533　ろ　595</t>
    <rPh sb="0" eb="2">
      <t>フクオカ</t>
    </rPh>
    <phoneticPr fontId="13"/>
  </si>
  <si>
    <t>9/12/22</t>
    <phoneticPr fontId="13"/>
  </si>
  <si>
    <t>神戸　304　ゆ　2372</t>
    <rPh sb="0" eb="2">
      <t>コウベ</t>
    </rPh>
    <phoneticPr fontId="13"/>
  </si>
  <si>
    <t>地図SD　　名変期限3/31</t>
    <rPh sb="0" eb="2">
      <t>チズ</t>
    </rPh>
    <rPh sb="6" eb="10">
      <t>メイヘンキゲン</t>
    </rPh>
    <phoneticPr fontId="13"/>
  </si>
  <si>
    <t>奈良　583　む　2527</t>
    <rPh sb="0" eb="2">
      <t>ナラ</t>
    </rPh>
    <phoneticPr fontId="13"/>
  </si>
  <si>
    <t>和泉　580　ふ　6709</t>
    <rPh sb="0" eb="2">
      <t>イズミ</t>
    </rPh>
    <phoneticPr fontId="13"/>
  </si>
  <si>
    <t>地図SD　ﾜﾝｵｰﾅｰ</t>
    <rPh sb="0" eb="2">
      <t>チズ</t>
    </rPh>
    <phoneticPr fontId="13"/>
  </si>
  <si>
    <t>WMWLN320202D74059</t>
    <phoneticPr fontId="13"/>
  </si>
  <si>
    <t>WMW32DK0102R89066</t>
    <phoneticPr fontId="13"/>
  </si>
  <si>
    <t>京都　302　ほ　8711</t>
    <rPh sb="0" eb="2">
      <t>キョウト</t>
    </rPh>
    <phoneticPr fontId="13"/>
  </si>
  <si>
    <t>保証書　取説　ｽﾍﾟｱｷｰ　　ﾚﾝﾀｶｰ</t>
    <rPh sb="0" eb="3">
      <t>ホショウショ</t>
    </rPh>
    <rPh sb="4" eb="6">
      <t>トリセツ</t>
    </rPh>
    <phoneticPr fontId="13"/>
  </si>
  <si>
    <t>ZFA3120000J603412</t>
    <phoneticPr fontId="13"/>
  </si>
  <si>
    <t>WBA32AA0305S49775</t>
    <phoneticPr fontId="13"/>
  </si>
  <si>
    <t>ZFA3120000JF00559</t>
    <phoneticPr fontId="13"/>
  </si>
  <si>
    <t>WMWXY320902N95566</t>
    <phoneticPr fontId="13"/>
  </si>
  <si>
    <t>京都　331　ま　1817</t>
    <rPh sb="0" eb="2">
      <t>キョウト</t>
    </rPh>
    <phoneticPr fontId="13"/>
  </si>
  <si>
    <t>ﾁﾘﾚｯﾄﾞ</t>
    <phoneticPr fontId="13"/>
  </si>
  <si>
    <t>WMWWJ320703J77744</t>
    <phoneticPr fontId="13"/>
  </si>
  <si>
    <t>姫路　301　ね　3077</t>
    <rPh sb="0" eb="2">
      <t>ヒメジ</t>
    </rPh>
    <phoneticPr fontId="13"/>
  </si>
  <si>
    <t>MﾍﾞﾝﾂC200　ｽﾎﾟｰﾂ</t>
    <phoneticPr fontId="13"/>
  </si>
  <si>
    <t>ｷｬﾝｾﾙ返送3/9</t>
    <rPh sb="5" eb="7">
      <t>ヘンソウ</t>
    </rPh>
    <phoneticPr fontId="13"/>
  </si>
  <si>
    <t>横浜 305 ゆ 1645</t>
    <rPh sb="0" eb="2">
      <t>ヨコハマ</t>
    </rPh>
    <phoneticPr fontId="13"/>
  </si>
  <si>
    <t>株式会社FSB</t>
    <rPh sb="0" eb="4">
      <t>カブシキガイシャ</t>
    </rPh>
    <phoneticPr fontId="13"/>
  </si>
  <si>
    <t>保証書 取説 ｽﾀｰﾄﾎﾞﾀﾝ</t>
    <rPh sb="0" eb="3">
      <t>ホショウショ</t>
    </rPh>
    <rPh sb="4" eb="6">
      <t>トリセツ</t>
    </rPh>
    <phoneticPr fontId="13"/>
  </si>
  <si>
    <t>柏 399 ぬ 8360</t>
    <rPh sb="0" eb="1">
      <t>カシワ</t>
    </rPh>
    <phoneticPr fontId="13"/>
  </si>
  <si>
    <t>株式会社Tauros Japan</t>
    <rPh sb="0" eb="4">
      <t>カブシキガイシャ</t>
    </rPh>
    <phoneticPr fontId="13"/>
  </si>
  <si>
    <t>なにわ 39A や 761</t>
    <phoneticPr fontId="13"/>
  </si>
  <si>
    <t>保証書 取説 (車内)ﾜﾝｵｰﾅｰｷｰﾚｽ SD</t>
    <rPh sb="0" eb="3">
      <t>ホショウショ</t>
    </rPh>
    <rPh sb="4" eb="6">
      <t>トリセツ</t>
    </rPh>
    <phoneticPr fontId="13"/>
  </si>
  <si>
    <t>VF1KW14B3K0793186</t>
    <phoneticPr fontId="13"/>
  </si>
  <si>
    <t>大阪 339 る 624</t>
    <rPh sb="0" eb="2">
      <t>オオサカ</t>
    </rPh>
    <phoneticPr fontId="13"/>
  </si>
  <si>
    <t>保証書 取説 ﾘﾓｺﾝ(車内)</t>
    <rPh sb="0" eb="3">
      <t>ホショウショ</t>
    </rPh>
    <rPh sb="4" eb="6">
      <t>トリセツ</t>
    </rPh>
    <rPh sb="12" eb="14">
      <t>シャナイ</t>
    </rPh>
    <phoneticPr fontId="13"/>
  </si>
  <si>
    <t>品番；CN-RE06D</t>
    <rPh sb="0" eb="2">
      <t>ヒンバン</t>
    </rPh>
    <phoneticPr fontId="13"/>
  </si>
  <si>
    <t>品番；AVN134MW</t>
    <rPh sb="0" eb="2">
      <t>ヒンバン</t>
    </rPh>
    <phoneticPr fontId="13"/>
  </si>
  <si>
    <t>保証書 取説(車内)</t>
    <phoneticPr fontId="13"/>
  </si>
  <si>
    <t>ｱｳﾃﾞｨA3 ｽﾎﾟｰﾂﾊﾞｯｸ30TFSI</t>
    <phoneticPr fontId="13"/>
  </si>
  <si>
    <t>WAUZZZGY9NA080474</t>
    <phoneticPr fontId="13"/>
  </si>
  <si>
    <t>名古屋 307 た 5511</t>
    <rPh sb="0" eb="3">
      <t>ナゴヤ</t>
    </rPh>
    <phoneticPr fontId="13"/>
  </si>
  <si>
    <t>整備手帳 取説 ｽﾏｰﾄｷｰ2個記載</t>
    <rPh sb="0" eb="4">
      <t>セイビテチョウ</t>
    </rPh>
    <rPh sb="5" eb="7">
      <t>トリセツ</t>
    </rPh>
    <rPh sb="15" eb="16">
      <t>コ</t>
    </rPh>
    <rPh sb="16" eb="18">
      <t>キサイ</t>
    </rPh>
    <phoneticPr fontId="13"/>
  </si>
  <si>
    <t>WMW22DV0402U75512</t>
    <phoneticPr fontId="13"/>
  </si>
  <si>
    <t>BMW 5ｼﾘｰｽﾞ 528i Mｽﾎﾟｰﾂ</t>
    <phoneticPr fontId="13"/>
  </si>
  <si>
    <t>WBA5G520X0D181495</t>
    <phoneticPr fontId="13"/>
  </si>
  <si>
    <t>名古屋 306 ね 5529</t>
    <rPh sb="0" eb="3">
      <t>ナゴヤ</t>
    </rPh>
    <phoneticPr fontId="13"/>
  </si>
  <si>
    <t>BMW3ｼﾘｰｽﾞｾﾀﾞﾝ 320d</t>
    <phoneticPr fontId="13"/>
  </si>
  <si>
    <t>WBA8B56080NT31703</t>
    <phoneticPr fontId="13"/>
  </si>
  <si>
    <t>名古屋 335 さ 905</t>
    <rPh sb="0" eb="3">
      <t>ナゴヤ</t>
    </rPh>
    <phoneticPr fontId="13"/>
  </si>
  <si>
    <t>WMWXU52020TH94947</t>
    <phoneticPr fontId="13"/>
  </si>
  <si>
    <t>WDD1771472W018277</t>
    <phoneticPr fontId="13"/>
  </si>
  <si>
    <t>高松 310 す 2057</t>
    <rPh sb="0" eb="2">
      <t>タカマツ</t>
    </rPh>
    <phoneticPr fontId="13"/>
  </si>
  <si>
    <t>BMW 2ｼﾘｰｽﾞﾜｺﾞﾝ</t>
    <phoneticPr fontId="13"/>
  </si>
  <si>
    <t>広島 358 た 23</t>
    <rPh sb="0" eb="2">
      <t>ヒロシマ</t>
    </rPh>
    <phoneticPr fontId="13"/>
  </si>
  <si>
    <t>保証書 sｷｰ</t>
    <rPh sb="0" eb="3">
      <t>ホショウショ</t>
    </rPh>
    <phoneticPr fontId="13"/>
  </si>
  <si>
    <t>A333608</t>
    <phoneticPr fontId="13"/>
  </si>
  <si>
    <t>MS41S-177622</t>
    <phoneticPr fontId="13"/>
  </si>
  <si>
    <t>A334215</t>
    <phoneticPr fontId="13"/>
  </si>
  <si>
    <t>ﾌﾟﾚｼﾞﾃﾞﾝﾄJS</t>
    <phoneticPr fontId="13"/>
  </si>
  <si>
    <t>PG50-500307</t>
    <phoneticPr fontId="13"/>
  </si>
  <si>
    <t>A336530</t>
    <phoneticPr fontId="13"/>
  </si>
  <si>
    <t>TRJ250-0022544</t>
    <phoneticPr fontId="13"/>
  </si>
  <si>
    <t>10/3/23</t>
    <phoneticPr fontId="13"/>
  </si>
  <si>
    <t>ﾌﾚｱｸﾛｽｵｰﾊﾞｰ XG</t>
    <phoneticPr fontId="13"/>
  </si>
  <si>
    <t>582 う 3550</t>
    <phoneticPr fontId="13"/>
  </si>
  <si>
    <t>582 う 3548</t>
    <phoneticPr fontId="13"/>
  </si>
  <si>
    <t>301 ね 8248</t>
    <phoneticPr fontId="13"/>
  </si>
  <si>
    <t>A334475</t>
    <phoneticPr fontId="13"/>
  </si>
  <si>
    <t>TRJ250-0021834</t>
    <phoneticPr fontId="13"/>
  </si>
  <si>
    <t>10/3/13</t>
    <phoneticPr fontId="13"/>
  </si>
  <si>
    <t>保証書 取説 ｷｰﾚｽ ﾜﾝｵｰﾅｰ×ｸﾚｰﾑ</t>
    <rPh sb="0" eb="3">
      <t>ホショウショ</t>
    </rPh>
    <rPh sb="4" eb="6">
      <t>トリセツ</t>
    </rPh>
    <phoneticPr fontId="13"/>
  </si>
  <si>
    <t>27-3453</t>
  </si>
  <si>
    <t>27-3454</t>
  </si>
  <si>
    <t>27-3455</t>
  </si>
  <si>
    <t>27-3456</t>
  </si>
  <si>
    <t>27-3457</t>
  </si>
  <si>
    <t>27-3458</t>
  </si>
  <si>
    <t>27-3459</t>
  </si>
  <si>
    <t>27-3460</t>
  </si>
  <si>
    <t>27-3461</t>
  </si>
  <si>
    <t>27-3462</t>
  </si>
  <si>
    <t>27-3463</t>
  </si>
  <si>
    <t>27-3464</t>
  </si>
  <si>
    <t>A332729</t>
    <phoneticPr fontId="13"/>
  </si>
  <si>
    <t>JB64W-304338</t>
    <phoneticPr fontId="13"/>
  </si>
  <si>
    <t>ｼﾞﾑﾆｰ XL</t>
    <phoneticPr fontId="13"/>
  </si>
  <si>
    <t>WDD2052422F325253</t>
    <phoneticPr fontId="13"/>
  </si>
  <si>
    <t>品川 5X3 ろ 4334</t>
    <rPh sb="0" eb="2">
      <t>シナガワ</t>
    </rPh>
    <phoneticPr fontId="13"/>
  </si>
  <si>
    <t>なにわ 339 す 214</t>
    <phoneticPr fontId="13"/>
  </si>
  <si>
    <t>品川 5X3 ろ 5272</t>
    <rPh sb="0" eb="2">
      <t>シナガワ</t>
    </rPh>
    <phoneticPr fontId="13"/>
  </si>
  <si>
    <t>なにわ 5X0 ろ 2364</t>
    <phoneticPr fontId="13"/>
  </si>
  <si>
    <t>愛媛 582 ろ 883</t>
    <rPh sb="0" eb="2">
      <t>エヒメ</t>
    </rPh>
    <phoneticPr fontId="13"/>
  </si>
  <si>
    <t>株式会社ﾄﾖﾀﾚﾝﾀﾘｰｽ西四国</t>
    <rPh sb="0" eb="4">
      <t>カブシキガイシャ</t>
    </rPh>
    <rPh sb="13" eb="14">
      <t>ニシ</t>
    </rPh>
    <rPh sb="14" eb="16">
      <t>シコク</t>
    </rPh>
    <phoneticPr fontId="13"/>
  </si>
  <si>
    <t>石川 正夫</t>
    <rPh sb="0" eb="2">
      <t>イシカワ</t>
    </rPh>
    <rPh sb="3" eb="5">
      <t>マサオ</t>
    </rPh>
    <phoneticPr fontId="13"/>
  </si>
  <si>
    <t>名古屋 582 ゆ 5425</t>
    <rPh sb="0" eb="3">
      <t>ナゴヤ</t>
    </rPh>
    <phoneticPr fontId="13"/>
  </si>
  <si>
    <t>豊橋 580 て 6530</t>
    <rPh sb="0" eb="2">
      <t>トヨハシ</t>
    </rPh>
    <phoneticPr fontId="13"/>
  </si>
  <si>
    <t>有限会社ｲｰ・ ｱｲ・ﾃｨ</t>
    <rPh sb="0" eb="4">
      <t>ユウゲンカイシャ</t>
    </rPh>
    <phoneticPr fontId="13"/>
  </si>
  <si>
    <r>
      <t>地図SD車内なしｸﾚｰﾑならない</t>
    </r>
    <r>
      <rPr>
        <sz val="11"/>
        <color theme="3"/>
        <rFont val="ＭＳ Ｐゴシック"/>
        <family val="3"/>
        <charset val="128"/>
        <scheme val="minor"/>
      </rPr>
      <t xml:space="preserve"> 取説 ﾅﾋﾞ取</t>
    </r>
    <rPh sb="0" eb="2">
      <t>チズ</t>
    </rPh>
    <rPh sb="4" eb="6">
      <t>シャナイ</t>
    </rPh>
    <rPh sb="17" eb="19">
      <t>トリセツ</t>
    </rPh>
    <phoneticPr fontId="13"/>
  </si>
  <si>
    <t>株式会社ｶｰｼｮｯﾌﾟ中西</t>
    <rPh sb="0" eb="4">
      <t>カブシキガイシャ</t>
    </rPh>
    <rPh sb="11" eb="13">
      <t>ナカニシ</t>
    </rPh>
    <phoneticPr fontId="13"/>
  </si>
  <si>
    <t>品川 580 そ 2754</t>
    <rPh sb="0" eb="2">
      <t>シナガワ</t>
    </rPh>
    <phoneticPr fontId="13"/>
  </si>
  <si>
    <t>日進商事株式会社</t>
    <rPh sb="0" eb="2">
      <t>ニッシン</t>
    </rPh>
    <rPh sb="2" eb="4">
      <t>ショウジ</t>
    </rPh>
    <rPh sb="4" eb="8">
      <t>カブシキガイシャ</t>
    </rPh>
    <phoneticPr fontId="13"/>
  </si>
  <si>
    <t>品川 580 そ 2746</t>
    <rPh sb="0" eb="2">
      <t>シナガワ</t>
    </rPh>
    <phoneticPr fontId="13"/>
  </si>
  <si>
    <t>東日本三菱自動車販売株式会社</t>
    <rPh sb="0" eb="3">
      <t>ヒガシニホン</t>
    </rPh>
    <rPh sb="3" eb="14">
      <t>ミツビシジドウシャハンバイカブシキガイシャ</t>
    </rPh>
    <phoneticPr fontId="13"/>
  </si>
  <si>
    <t>AWAN MALIK MUHAMMAD AHTISHAM</t>
    <phoneticPr fontId="13"/>
  </si>
  <si>
    <t>小峰 信義</t>
    <rPh sb="0" eb="2">
      <t>コミネ</t>
    </rPh>
    <rPh sb="3" eb="4">
      <t>ノブ</t>
    </rPh>
    <rPh sb="4" eb="5">
      <t>ヨシ</t>
    </rPh>
    <phoneticPr fontId="13"/>
  </si>
  <si>
    <t>品川 5X3 ろ 5857</t>
    <rPh sb="0" eb="2">
      <t>シナガワ</t>
    </rPh>
    <phoneticPr fontId="13"/>
  </si>
  <si>
    <t>品川 5X3 ろ 5852</t>
    <rPh sb="0" eb="2">
      <t>シナガワ</t>
    </rPh>
    <phoneticPr fontId="13"/>
  </si>
  <si>
    <t>品川 5X3 ろ 5853</t>
    <rPh sb="0" eb="2">
      <t>シナガワ</t>
    </rPh>
    <phoneticPr fontId="13"/>
  </si>
  <si>
    <t>品川 5X3 ろ 5855</t>
    <rPh sb="0" eb="2">
      <t>シナガワ</t>
    </rPh>
    <phoneticPr fontId="13"/>
  </si>
  <si>
    <t>品川 5X3 ろ 5865</t>
    <rPh sb="0" eb="2">
      <t>シナガワ</t>
    </rPh>
    <phoneticPr fontId="13"/>
  </si>
  <si>
    <t>品川 5X3 ろ 5854</t>
    <rPh sb="0" eb="2">
      <t>シナガワ</t>
    </rPh>
    <phoneticPr fontId="13"/>
  </si>
  <si>
    <t>品川 5X3 ろ 5856</t>
    <rPh sb="0" eb="2">
      <t>シナガワ</t>
    </rPh>
    <phoneticPr fontId="13"/>
  </si>
  <si>
    <t>愛媛 300 も .3658</t>
    <rPh sb="0" eb="2">
      <t>エヒメ</t>
    </rPh>
    <phoneticPr fontId="13"/>
  </si>
  <si>
    <t>鳥取 580 ち 2712</t>
    <rPh sb="0" eb="2">
      <t>トットリ</t>
    </rPh>
    <phoneticPr fontId="13"/>
  </si>
  <si>
    <t>株式会社ﾄﾖﾀﾚﾝﾘｰｽ鳥取</t>
    <rPh sb="0" eb="4">
      <t>カブシキガイシャ</t>
    </rPh>
    <rPh sb="12" eb="14">
      <t>トットリ</t>
    </rPh>
    <phoneticPr fontId="13"/>
  </si>
  <si>
    <t>品川 5X1 ろ 8853</t>
    <rPh sb="0" eb="2">
      <t>シナガワ</t>
    </rPh>
    <phoneticPr fontId="13"/>
  </si>
  <si>
    <t>神戸 583 ひ 1255</t>
    <rPh sb="0" eb="2">
      <t>コウベ</t>
    </rPh>
    <phoneticPr fontId="13"/>
  </si>
  <si>
    <t>岩金 誠治</t>
    <rPh sb="0" eb="2">
      <t>イワキン</t>
    </rPh>
    <rPh sb="3" eb="4">
      <t>マコト</t>
    </rPh>
    <rPh sb="4" eb="5">
      <t>ジ</t>
    </rPh>
    <phoneticPr fontId="13"/>
  </si>
  <si>
    <t>ﾏｴﾀﾞ産業株式会社</t>
    <rPh sb="4" eb="6">
      <t>サンギョウ</t>
    </rPh>
    <rPh sb="6" eb="10">
      <t>カブシキガイシャ</t>
    </rPh>
    <phoneticPr fontId="13"/>
  </si>
  <si>
    <t>株式会社Stablish</t>
    <rPh sb="0" eb="4">
      <t>カブシキガイシャ</t>
    </rPh>
    <phoneticPr fontId="13"/>
  </si>
  <si>
    <t>広島 342 ゆ 720</t>
    <rPh sb="0" eb="2">
      <t>ヒロシマ</t>
    </rPh>
    <phoneticPr fontId="13"/>
  </si>
  <si>
    <t>保証書 取説 ｷｰﾚｽ ﾘﾓｺﾝ(車内)ﾜﾝｵｰﾅｰ</t>
    <rPh sb="0" eb="3">
      <t>ホショウショ</t>
    </rPh>
    <rPh sb="4" eb="6">
      <t>トリセツ</t>
    </rPh>
    <phoneticPr fontId="13"/>
  </si>
  <si>
    <t>所沢 330 は 7035</t>
    <rPh sb="0" eb="2">
      <t>トコロザワ</t>
    </rPh>
    <phoneticPr fontId="13"/>
  </si>
  <si>
    <t>藤垣 一</t>
    <rPh sb="0" eb="2">
      <t>フジガキ</t>
    </rPh>
    <rPh sb="3" eb="4">
      <t>イチ</t>
    </rPh>
    <phoneticPr fontId="13"/>
  </si>
  <si>
    <t>豊田 300 ね 1676</t>
    <rPh sb="0" eb="2">
      <t>トヨタ</t>
    </rPh>
    <phoneticPr fontId="13"/>
  </si>
  <si>
    <t>末永 千尋</t>
    <rPh sb="0" eb="2">
      <t>マツナガ</t>
    </rPh>
    <rPh sb="3" eb="5">
      <t>チヒロ</t>
    </rPh>
    <phoneticPr fontId="13"/>
  </si>
  <si>
    <t>保証書 取説 ｷｰﾚｽ ←ｽﾄｯｸ</t>
    <rPh sb="0" eb="3">
      <t>ホショウショ</t>
    </rPh>
    <rPh sb="4" eb="6">
      <t>トリセツ</t>
    </rPh>
    <phoneticPr fontId="13"/>
  </si>
  <si>
    <t>熊本 585 ね 106</t>
    <rPh sb="0" eb="2">
      <t>クマモト</t>
    </rPh>
    <phoneticPr fontId="13"/>
  </si>
  <si>
    <t>株式会社ﾄﾖﾀﾚﾝﾘｰｽ熊本</t>
    <rPh sb="0" eb="4">
      <t>カブシキガイシャ</t>
    </rPh>
    <rPh sb="12" eb="14">
      <t>クマモト</t>
    </rPh>
    <phoneticPr fontId="13"/>
  </si>
  <si>
    <t>北九州 338 た 1515</t>
    <rPh sb="0" eb="3">
      <t>キタキュウシュウ</t>
    </rPh>
    <phoneticPr fontId="13"/>
  </si>
  <si>
    <t>ﾈｯﾂﾄﾖﾀ中部株式会社北九州株式会社</t>
    <rPh sb="6" eb="8">
      <t>チュウブ</t>
    </rPh>
    <rPh sb="8" eb="12">
      <t>カブシキガイシャ</t>
    </rPh>
    <rPh sb="12" eb="15">
      <t>キタキュウシュウ</t>
    </rPh>
    <rPh sb="15" eb="19">
      <t>カブシキガイシャ</t>
    </rPh>
    <phoneticPr fontId="13"/>
  </si>
  <si>
    <t>保証書(車内)ﾜﾝｵｰﾅｰ</t>
    <rPh sb="0" eb="3">
      <t>ホショウショ</t>
    </rPh>
    <phoneticPr fontId="13"/>
  </si>
  <si>
    <t>保証書のみ(手帳なし) 取説 ｷｰﾚｽ(車内)</t>
    <rPh sb="0" eb="3">
      <t>ホショウショ</t>
    </rPh>
    <rPh sb="6" eb="8">
      <t>テチョウ</t>
    </rPh>
    <rPh sb="12" eb="14">
      <t>トリセツ</t>
    </rPh>
    <phoneticPr fontId="13"/>
  </si>
  <si>
    <t>福岡 342 ろ 626</t>
    <rPh sb="0" eb="2">
      <t>フクオカ</t>
    </rPh>
    <phoneticPr fontId="13"/>
  </si>
  <si>
    <t>北九州 399 て 8219</t>
    <rPh sb="0" eb="3">
      <t>キタキュウシュウ</t>
    </rPh>
    <phoneticPr fontId="13"/>
  </si>
  <si>
    <t>春日井 399 つ 5677</t>
    <rPh sb="0" eb="3">
      <t>カスガイ</t>
    </rPh>
    <phoneticPr fontId="13"/>
  </si>
  <si>
    <t>片岡 貴志</t>
    <rPh sb="0" eb="2">
      <t>カタオカ</t>
    </rPh>
    <rPh sb="3" eb="4">
      <t>タカシ</t>
    </rPh>
    <rPh sb="4" eb="5">
      <t>ココロザシ</t>
    </rPh>
    <phoneticPr fontId="13"/>
  </si>
  <si>
    <t>開発様</t>
    <rPh sb="0" eb="2">
      <t>カイハツ</t>
    </rPh>
    <rPh sb="2" eb="3">
      <t>サマ</t>
    </rPh>
    <phoneticPr fontId="13"/>
  </si>
  <si>
    <t>27-3465</t>
  </si>
  <si>
    <t>15/3</t>
    <phoneticPr fontId="13"/>
  </si>
  <si>
    <t>ﾌｪｱﾚﾃﾞｨｰ Z</t>
    <phoneticPr fontId="13"/>
  </si>
  <si>
    <t>Z33-011386</t>
    <phoneticPr fontId="13"/>
  </si>
  <si>
    <t>8/5/17</t>
    <phoneticPr fontId="13"/>
  </si>
  <si>
    <t>神戸 303 も 9813</t>
    <rPh sb="0" eb="2">
      <t>コウベ</t>
    </rPh>
    <phoneticPr fontId="13"/>
  </si>
  <si>
    <t>開発 一郎</t>
    <rPh sb="0" eb="2">
      <t>カイハツ</t>
    </rPh>
    <rPh sb="3" eb="5">
      <t>イチロウ</t>
    </rPh>
    <phoneticPr fontId="13"/>
  </si>
  <si>
    <t>582 う 3725</t>
    <phoneticPr fontId="13"/>
  </si>
  <si>
    <t>301 ね 8308</t>
    <phoneticPr fontId="13"/>
  </si>
  <si>
    <t>301 ね 8305</t>
    <phoneticPr fontId="13"/>
  </si>
  <si>
    <t>301 ね 8306</t>
    <phoneticPr fontId="13"/>
  </si>
  <si>
    <t>301 ね 8307</t>
    <phoneticPr fontId="13"/>
  </si>
  <si>
    <t>27-3466</t>
  </si>
  <si>
    <t>27-3467</t>
  </si>
  <si>
    <t>27-3468</t>
  </si>
  <si>
    <t>27-3469</t>
  </si>
  <si>
    <t>27-3470</t>
  </si>
  <si>
    <t>27-3471</t>
  </si>
  <si>
    <t>27-3472</t>
  </si>
  <si>
    <t>27-3473</t>
  </si>
  <si>
    <t>27-3474</t>
  </si>
  <si>
    <t>N　BOX　特別仕様車G　Lﾎﾝﾀﾞｾﾝｼﾝｸﾞ</t>
    <rPh sb="6" eb="11">
      <t>トクベツシヨウシャ</t>
    </rPh>
    <phoneticPr fontId="13"/>
  </si>
  <si>
    <t>JF3-1221930</t>
    <phoneticPr fontId="13"/>
  </si>
  <si>
    <t>JF5-2007702</t>
    <phoneticPr fontId="13"/>
  </si>
  <si>
    <t>DA17V-445434</t>
    <phoneticPr fontId="13"/>
  </si>
  <si>
    <t>MR31S-841698</t>
    <phoneticPr fontId="13"/>
  </si>
  <si>
    <t>ﾀﾝﾄｶｽﾀﾑ　ｶｽﾀﾑRSﾄｯﾌﾟED</t>
    <phoneticPr fontId="13"/>
  </si>
  <si>
    <t>LA600S-0540288</t>
    <phoneticPr fontId="13"/>
  </si>
  <si>
    <t>ｼﾄﾛｴﾝC3　ｼｬｲﾝ　ﾃﾞﾋﾞｭｰED</t>
    <phoneticPr fontId="13"/>
  </si>
  <si>
    <t>ﾑｰｳﾞｷｬﾝﾊﾞｽ　GﾎﾜｲﾄｱｸｾﾝﾄLTD</t>
    <phoneticPr fontId="13"/>
  </si>
  <si>
    <t>ﾑｰｳﾞｷｬﾝﾊﾞｽ　Xﾘﾐﾃｯﾄﾞ</t>
    <phoneticPr fontId="13"/>
  </si>
  <si>
    <t>ﾑｰｳﾞｷｬﾝﾊﾞｽ　ｽﾄﾗｲﾌﾟｽG</t>
    <phoneticPr fontId="13"/>
  </si>
  <si>
    <t>ﾑｰｳﾞｷｬﾝﾊﾞｽ　GﾌﾞﾗｯｸｱｸｾﾝﾄLTD</t>
    <phoneticPr fontId="13"/>
  </si>
  <si>
    <t>ﾑｰｳﾞｷｬﾝﾊﾞｽ　GﾌﾞﾗｯｸｲﾝﾃﾘｱﾘﾐﾃｯﾄﾞSaⅢ</t>
    <phoneticPr fontId="13"/>
  </si>
  <si>
    <t>LA800S-0181856</t>
    <phoneticPr fontId="13"/>
  </si>
  <si>
    <t>LA350S-0336837</t>
    <phoneticPr fontId="13"/>
  </si>
  <si>
    <t>NHP10-6599239</t>
    <phoneticPr fontId="13"/>
  </si>
  <si>
    <t>27-3475</t>
  </si>
  <si>
    <t>27-3476</t>
  </si>
  <si>
    <t>27-3477</t>
  </si>
  <si>
    <t>27-3478</t>
  </si>
  <si>
    <t>27-3479</t>
  </si>
  <si>
    <t>27-3480</t>
  </si>
  <si>
    <t>27-3481</t>
  </si>
  <si>
    <t>27-3482</t>
  </si>
  <si>
    <t>27-3483</t>
  </si>
  <si>
    <t>ﾑｰｳﾞｷｬﾝﾊﾞｽ　GﾌﾞﾗｯｸｲﾝﾃﾘｱLTD</t>
    <phoneticPr fontId="13"/>
  </si>
  <si>
    <t>LA800S-0250675</t>
    <phoneticPr fontId="13"/>
  </si>
  <si>
    <t>S700V-0136252</t>
    <phoneticPr fontId="13"/>
  </si>
  <si>
    <t>ﾀﾝﾄｶｽﾀﾑ　RSｽﾀｲﾙｾﾚｸｼｮﾝ</t>
    <phoneticPr fontId="13"/>
  </si>
  <si>
    <t>LA650S-0150278</t>
    <phoneticPr fontId="13"/>
  </si>
  <si>
    <t>27-3484</t>
  </si>
  <si>
    <t>27-3485</t>
  </si>
  <si>
    <t>27-3486</t>
  </si>
  <si>
    <t>27-3487</t>
  </si>
  <si>
    <t>27-3488</t>
  </si>
  <si>
    <t>27-3489</t>
  </si>
  <si>
    <t>27-3490</t>
  </si>
  <si>
    <t>LA850S-0106068</t>
    <phoneticPr fontId="13"/>
  </si>
  <si>
    <t>ﾊｲｾﾞｯﾄｶｰｺﾞ　DX　SaⅢ</t>
    <phoneticPr fontId="13"/>
  </si>
  <si>
    <t>S321V-0504023</t>
    <phoneticPr fontId="13"/>
  </si>
  <si>
    <t>DA17V-610682</t>
    <phoneticPr fontId="13"/>
  </si>
  <si>
    <t>ｼﾄﾛｴﾝ　ﾍﾞﾙﾗﾝｺﾞ　ｼｬｲﾝ　XTR</t>
    <phoneticPr fontId="13"/>
  </si>
  <si>
    <t>ｼﾞｰﾌﾟ　ﾚﾈｹﾞｰﾄﾞ</t>
    <phoneticPr fontId="13"/>
  </si>
  <si>
    <t>LA350S-0253351</t>
    <phoneticPr fontId="13"/>
  </si>
  <si>
    <t>NCP160-0154752</t>
    <phoneticPr fontId="13"/>
  </si>
  <si>
    <t>ﾙﾉｰ　ﾙｰﾃｼｱ　ｲﾝﾃﾝｽ</t>
    <phoneticPr fontId="13"/>
  </si>
  <si>
    <t>BMW　5ｼﾘｰｽﾞ</t>
    <phoneticPr fontId="13"/>
  </si>
  <si>
    <t>ﾌﾟﾛﾎﾞｯｸｽ　ﾊｲﾌﾞﾘｯﾄﾞGX</t>
    <phoneticPr fontId="13"/>
  </si>
  <si>
    <t>NHP160-0090727</t>
    <phoneticPr fontId="13"/>
  </si>
  <si>
    <t>奈良　480　わ　2466</t>
    <rPh sb="0" eb="2">
      <t>ナラ</t>
    </rPh>
    <phoneticPr fontId="13"/>
  </si>
  <si>
    <t>ﾚﾝﾀｶｰ　　　名変期限3/31</t>
    <rPh sb="8" eb="12">
      <t>メイヘンキゲン</t>
    </rPh>
    <phoneticPr fontId="13"/>
  </si>
  <si>
    <t>ﾍﾞｰｼﾞｭⅡ</t>
    <phoneticPr fontId="13"/>
  </si>
  <si>
    <t>VF7SXHNZTHT596541</t>
    <phoneticPr fontId="13"/>
  </si>
  <si>
    <t>山口　480　な　8674</t>
    <rPh sb="0" eb="2">
      <t>ヤマグチ</t>
    </rPh>
    <phoneticPr fontId="13"/>
  </si>
  <si>
    <t>広島　583　ほ　5510</t>
    <rPh sb="0" eb="2">
      <t>ヒロシマ</t>
    </rPh>
    <phoneticPr fontId="13"/>
  </si>
  <si>
    <t>広島　582　さ　3255</t>
    <rPh sb="0" eb="2">
      <t>ヒロシマ</t>
    </rPh>
    <phoneticPr fontId="13"/>
  </si>
  <si>
    <t>VR7ECYHZ3NJ780994</t>
    <phoneticPr fontId="13"/>
  </si>
  <si>
    <t>1C4NJCD19NPN68947</t>
    <phoneticPr fontId="13"/>
  </si>
  <si>
    <t>WMWXN920802D26778</t>
    <phoneticPr fontId="13"/>
  </si>
  <si>
    <t>3/</t>
    <phoneticPr fontId="13"/>
  </si>
  <si>
    <t>ﾐｽﾞｲﾛ</t>
    <phoneticPr fontId="13"/>
  </si>
  <si>
    <t>VF1RJZ009M0817871</t>
    <phoneticPr fontId="13"/>
  </si>
  <si>
    <t>DR17W-251859</t>
    <phoneticPr fontId="13"/>
  </si>
  <si>
    <t>NV100ｸﾘｯﾊﾟｰﾘｵ　ﾁｪｱｷｬﾌﾞ　ｽﾛｰﾌﾟﾀｲﾌﾟ</t>
    <phoneticPr fontId="13"/>
  </si>
  <si>
    <t>WBAJM72050G637579</t>
    <phoneticPr fontId="13"/>
  </si>
  <si>
    <t>福岡　331　こ　5501</t>
    <rPh sb="0" eb="2">
      <t>フクオカ</t>
    </rPh>
    <phoneticPr fontId="13"/>
  </si>
  <si>
    <t>TAA近畿</t>
    <phoneticPr fontId="13"/>
  </si>
  <si>
    <t>27-3491</t>
  </si>
  <si>
    <t>27-3492</t>
  </si>
  <si>
    <t>USS神戸</t>
    <rPh sb="3" eb="5">
      <t>コウベ</t>
    </rPh>
    <phoneticPr fontId="13"/>
  </si>
  <si>
    <t>ﾀﾌﾄ　G</t>
    <phoneticPr fontId="13"/>
  </si>
  <si>
    <t>LA900S-0072801</t>
    <phoneticPr fontId="13"/>
  </si>
  <si>
    <t>N　BOX</t>
    <phoneticPr fontId="13"/>
  </si>
  <si>
    <t>JF5-1062848</t>
    <phoneticPr fontId="13"/>
  </si>
  <si>
    <t>ﾊﾘｱｰ　Z</t>
    <phoneticPr fontId="13"/>
  </si>
  <si>
    <t>MXUA80-0042108</t>
    <phoneticPr fontId="13"/>
  </si>
  <si>
    <t>3/10</t>
    <phoneticPr fontId="13"/>
  </si>
  <si>
    <t>8/10/27</t>
    <phoneticPr fontId="13"/>
  </si>
  <si>
    <t>神戸　58A　え　8295</t>
    <rPh sb="0" eb="2">
      <t>コウベ</t>
    </rPh>
    <phoneticPr fontId="13"/>
  </si>
  <si>
    <t>保証書　取説　ﾅﾋﾞ取　ｽﾍﾟｱｷｰ</t>
    <rPh sb="0" eb="3">
      <t>ホショウショ</t>
    </rPh>
    <rPh sb="4" eb="6">
      <t>トリセツ</t>
    </rPh>
    <rPh sb="10" eb="11">
      <t>トリ</t>
    </rPh>
    <phoneticPr fontId="13"/>
  </si>
  <si>
    <t>6/6</t>
    <phoneticPr fontId="13"/>
  </si>
  <si>
    <t>9/6/26</t>
    <phoneticPr fontId="13"/>
  </si>
  <si>
    <t>神戸　58A　え　7572</t>
    <rPh sb="0" eb="2">
      <t>コウベ</t>
    </rPh>
    <phoneticPr fontId="13"/>
  </si>
  <si>
    <t>保証書　取説　ｽﾍﾟｱｷｰ</t>
    <rPh sb="0" eb="3">
      <t>ホショウショ</t>
    </rPh>
    <rPh sb="4" eb="6">
      <t>トリセツ</t>
    </rPh>
    <phoneticPr fontId="13"/>
  </si>
  <si>
    <t>3/3</t>
    <phoneticPr fontId="13"/>
  </si>
  <si>
    <t>黒</t>
    <rPh sb="0" eb="1">
      <t>クロ</t>
    </rPh>
    <phoneticPr fontId="13"/>
  </si>
  <si>
    <t>ﾌﾟﾘｳｽｱﾙﾌｧ S</t>
    <phoneticPr fontId="13"/>
  </si>
  <si>
    <t>ZVW41-3372025</t>
    <phoneticPr fontId="13"/>
  </si>
  <si>
    <t>27-3493</t>
  </si>
  <si>
    <t>WMWXU72090TN22775</t>
    <phoneticPr fontId="13"/>
  </si>
  <si>
    <t>27-3494</t>
  </si>
  <si>
    <t>27-3495</t>
  </si>
  <si>
    <t>27-3496</t>
  </si>
  <si>
    <t>27-3497</t>
  </si>
  <si>
    <t>27-3498</t>
  </si>
  <si>
    <t xml:space="preserve">紫 </t>
    <rPh sb="0" eb="1">
      <t>ムラサキ</t>
    </rPh>
    <phoneticPr fontId="13"/>
  </si>
  <si>
    <t>DA17V-884027</t>
    <phoneticPr fontId="13"/>
  </si>
  <si>
    <t>ｼﾞﾑﾆｰ XC 4WD</t>
    <phoneticPr fontId="13"/>
  </si>
  <si>
    <t>JB23W-763625</t>
    <phoneticPr fontId="13"/>
  </si>
  <si>
    <t>13/10</t>
    <phoneticPr fontId="13"/>
  </si>
  <si>
    <t>L700S-0256077</t>
    <phoneticPr fontId="13"/>
  </si>
  <si>
    <t>BMW 1ｼﾘｰｽﾞ 118i Mｽﾎﾟｰﾂ</t>
    <phoneticPr fontId="13"/>
  </si>
  <si>
    <t>WBA1R520105C79398</t>
    <phoneticPr fontId="13"/>
  </si>
  <si>
    <t>名古屋 355 そ 1124</t>
    <rPh sb="0" eb="3">
      <t>ナゴヤ</t>
    </rPh>
    <phoneticPr fontId="13"/>
  </si>
  <si>
    <t>初年度月違う そのままHA送るOK</t>
    <rPh sb="0" eb="3">
      <t>ショネンド</t>
    </rPh>
    <rPh sb="3" eb="4">
      <t>ツキ</t>
    </rPh>
    <rPh sb="4" eb="5">
      <t>チガ</t>
    </rPh>
    <rPh sb="13" eb="14">
      <t>オク</t>
    </rPh>
    <phoneticPr fontId="13"/>
  </si>
  <si>
    <t>ｷｬﾝｾﾙ返送3/12</t>
    <rPh sb="5" eb="7">
      <t>ヘンソウ</t>
    </rPh>
    <phoneticPr fontId="13"/>
  </si>
  <si>
    <t>301 ね 8386</t>
    <phoneticPr fontId="13"/>
  </si>
  <si>
    <t>301 ね 8387</t>
    <phoneticPr fontId="13"/>
  </si>
  <si>
    <t>301ね 8388</t>
    <phoneticPr fontId="13"/>
  </si>
  <si>
    <t>301 ね 8389</t>
    <phoneticPr fontId="13"/>
  </si>
  <si>
    <t>301 ね 8390</t>
    <phoneticPr fontId="13"/>
  </si>
  <si>
    <t>301 ね 8391</t>
    <phoneticPr fontId="13"/>
  </si>
  <si>
    <t>301 ね 8392</t>
    <phoneticPr fontId="13"/>
  </si>
  <si>
    <t>301 ね 8393</t>
    <phoneticPr fontId="13"/>
  </si>
  <si>
    <t>501 ゆ 4934</t>
    <phoneticPr fontId="13"/>
  </si>
  <si>
    <t>501 ゆ 4935</t>
    <phoneticPr fontId="13"/>
  </si>
  <si>
    <t>株式会社ｻﾝﾎｰｸ</t>
    <rPh sb="0" eb="4">
      <t>カブシキガイシャ</t>
    </rPh>
    <phoneticPr fontId="13"/>
  </si>
  <si>
    <t>品川 480 せ 6877</t>
    <rPh sb="0" eb="2">
      <t>シナガワ</t>
    </rPh>
    <phoneticPr fontId="13"/>
  </si>
  <si>
    <t>取説 ｽﾍﾟｱｷｰ ﾅﾝﾊﾞｰ</t>
    <rPh sb="0" eb="2">
      <t>トリセツ</t>
    </rPh>
    <phoneticPr fontId="13"/>
  </si>
  <si>
    <t>岡山 582 あ 2432</t>
    <rPh sb="0" eb="2">
      <t>オカヤマ</t>
    </rPh>
    <phoneticPr fontId="13"/>
  </si>
  <si>
    <t>岡山 582 あ 6299</t>
    <rPh sb="0" eb="2">
      <t>オカヤマ</t>
    </rPh>
    <phoneticPr fontId="13"/>
  </si>
  <si>
    <t>取説 ﾅﾋﾞ取 ｽﾍﾟｱｷｰ</t>
    <rPh sb="0" eb="2">
      <t>トリセツ</t>
    </rPh>
    <rPh sb="6" eb="7">
      <t>トリ</t>
    </rPh>
    <phoneticPr fontId="13"/>
  </si>
  <si>
    <t>大宮 480 ね 9791</t>
    <rPh sb="0" eb="2">
      <t>オオミヤ</t>
    </rPh>
    <phoneticPr fontId="13"/>
  </si>
  <si>
    <t>8/8/24</t>
    <phoneticPr fontId="13"/>
  </si>
  <si>
    <t>株式会社ｳｲﾝｸﾞｵｰﾄ</t>
    <rPh sb="0" eb="4">
      <t>カブシキガイシャ</t>
    </rPh>
    <phoneticPr fontId="13"/>
  </si>
  <si>
    <t>品川 302 や 1814</t>
    <rPh sb="0" eb="2">
      <t>シナガワ</t>
    </rPh>
    <phoneticPr fontId="13"/>
  </si>
  <si>
    <t>豊橋 330 つ 5637</t>
    <rPh sb="0" eb="2">
      <t>トヨハシ</t>
    </rPh>
    <phoneticPr fontId="13"/>
  </si>
  <si>
    <t>保証書 取説 ﾛｯｸﾅｯﾄ</t>
    <phoneticPr fontId="13"/>
  </si>
  <si>
    <t>大宮 302 ほ 4317</t>
    <rPh sb="0" eb="2">
      <t>オオミヤ</t>
    </rPh>
    <phoneticPr fontId="13"/>
  </si>
  <si>
    <t>LEE CHI LUN</t>
    <phoneticPr fontId="13"/>
  </si>
  <si>
    <t>浜松 375 す 8008</t>
    <rPh sb="0" eb="2">
      <t>ハママツ</t>
    </rPh>
    <phoneticPr fontId="13"/>
  </si>
  <si>
    <t>保証書 取説  ｷｰﾚｽ</t>
    <phoneticPr fontId="13"/>
  </si>
  <si>
    <t>400 な 7889</t>
    <phoneticPr fontId="13"/>
  </si>
  <si>
    <t>301 ね 8409</t>
    <phoneticPr fontId="13"/>
  </si>
  <si>
    <t>582 う 3938</t>
    <phoneticPr fontId="13"/>
  </si>
  <si>
    <t>582 う 3939</t>
    <phoneticPr fontId="13"/>
  </si>
  <si>
    <t>582 う 3937</t>
    <phoneticPr fontId="13"/>
  </si>
  <si>
    <t>582 う 3936</t>
    <phoneticPr fontId="13"/>
  </si>
  <si>
    <t>岡山 301 や 100</t>
    <rPh sb="0" eb="2">
      <t>オカヤマ</t>
    </rPh>
    <phoneticPr fontId="13"/>
  </si>
  <si>
    <t>久留米 530 ひ 1289</t>
    <rPh sb="0" eb="3">
      <t>クルメ</t>
    </rPh>
    <phoneticPr fontId="13"/>
  </si>
  <si>
    <t>姫路 583 ふ 2319</t>
    <rPh sb="0" eb="2">
      <t>ヒメジ</t>
    </rPh>
    <phoneticPr fontId="13"/>
  </si>
  <si>
    <t>岡山 589 き 3113</t>
    <rPh sb="0" eb="2">
      <t>オカヤマ</t>
    </rPh>
    <phoneticPr fontId="13"/>
  </si>
  <si>
    <t>上原 省吾</t>
    <rPh sb="0" eb="2">
      <t>ウエハラ</t>
    </rPh>
    <rPh sb="3" eb="5">
      <t>ショウゴ</t>
    </rPh>
    <phoneticPr fontId="13"/>
  </si>
  <si>
    <t>広島 480 ね 8760</t>
    <rPh sb="0" eb="2">
      <t>ヒロシマ</t>
    </rPh>
    <phoneticPr fontId="13"/>
  </si>
  <si>
    <t>島根 300 ふ 8216</t>
    <rPh sb="0" eb="2">
      <t>シマネ</t>
    </rPh>
    <phoneticPr fontId="13"/>
  </si>
  <si>
    <t>野津 秀雄</t>
    <rPh sb="0" eb="2">
      <t>ノツ</t>
    </rPh>
    <rPh sb="3" eb="5">
      <t>ヒデオ</t>
    </rPh>
    <phoneticPr fontId="13"/>
  </si>
  <si>
    <t>岡山 581 も 5579</t>
    <rPh sb="0" eb="2">
      <t>オカヤマ</t>
    </rPh>
    <phoneticPr fontId="13"/>
  </si>
  <si>
    <t>倉敷 584 さ 126</t>
    <rPh sb="0" eb="2">
      <t>クラシキ</t>
    </rPh>
    <phoneticPr fontId="13"/>
  </si>
  <si>
    <t>取説 ﾏｲｸﾛSD</t>
    <rPh sb="0" eb="2">
      <t>トリセツ</t>
    </rPh>
    <phoneticPr fontId="13"/>
  </si>
  <si>
    <t>和泉 585 や 625</t>
    <rPh sb="0" eb="2">
      <t>イズミ</t>
    </rPh>
    <phoneticPr fontId="13"/>
  </si>
  <si>
    <t>平木 明</t>
    <rPh sb="0" eb="2">
      <t>ヒラキ</t>
    </rPh>
    <rPh sb="3" eb="4">
      <t>アキラ</t>
    </rPh>
    <phoneticPr fontId="13"/>
  </si>
  <si>
    <t>名古屋 581 か 7756</t>
    <rPh sb="0" eb="3">
      <t>ナゴヤ</t>
    </rPh>
    <phoneticPr fontId="13"/>
  </si>
  <si>
    <t>NIPPON TRUST株式会社</t>
    <rPh sb="12" eb="16">
      <t>カブシキガイシャ</t>
    </rPh>
    <phoneticPr fontId="13"/>
  </si>
  <si>
    <t>和歌山 581 こ 1832</t>
    <rPh sb="0" eb="3">
      <t>ワカヤマ</t>
    </rPh>
    <phoneticPr fontId="13"/>
  </si>
  <si>
    <t>和歌山 339 の 510</t>
    <rPh sb="0" eb="3">
      <t>ワカヤマ</t>
    </rPh>
    <phoneticPr fontId="13"/>
  </si>
  <si>
    <t>名古屋 326 め 2555</t>
    <rPh sb="0" eb="3">
      <t>ナゴヤ</t>
    </rPh>
    <phoneticPr fontId="13"/>
  </si>
  <si>
    <t>ﾄﾖﾀﾓﾋﾞﾘﾃｨｻｰﾋﾞｽ中京株式会社</t>
    <rPh sb="14" eb="16">
      <t>チュウキョウ</t>
    </rPh>
    <rPh sb="16" eb="20">
      <t>カブシキガイシャ</t>
    </rPh>
    <phoneticPr fontId="13"/>
  </si>
  <si>
    <t xml:space="preserve">   </t>
    <phoneticPr fontId="13"/>
  </si>
  <si>
    <t>地図SD(車内)保証書  ｷｰﾚｽ車内2個写あり</t>
    <rPh sb="0" eb="2">
      <t>チズ</t>
    </rPh>
    <rPh sb="5" eb="7">
      <t>シャナイ</t>
    </rPh>
    <rPh sb="8" eb="11">
      <t>ホショウショ</t>
    </rPh>
    <rPh sb="17" eb="19">
      <t>シャナイ</t>
    </rPh>
    <rPh sb="20" eb="21">
      <t>コ</t>
    </rPh>
    <rPh sb="21" eb="22">
      <t>シャ</t>
    </rPh>
    <phoneticPr fontId="13"/>
  </si>
  <si>
    <t>27-3499</t>
  </si>
  <si>
    <t>27-3500</t>
  </si>
  <si>
    <t>27-3501</t>
  </si>
  <si>
    <t>ｼﾞｬｶﾞｰ XE RﾀﾞｲﾅﾐｯｸSE</t>
    <phoneticPr fontId="13"/>
  </si>
  <si>
    <t>SAJAB4AX5LCP57627</t>
    <phoneticPr fontId="13"/>
  </si>
  <si>
    <t>BMWﾐﾆ ｸﾛｽｵｰﾊﾞｰ</t>
    <phoneticPr fontId="13"/>
  </si>
  <si>
    <t>WMW42BT0403N10298</t>
    <phoneticPr fontId="13"/>
  </si>
  <si>
    <t>ﾒﾙｾﾃﾞｽﾍﾞﾝﾂ A 200d</t>
    <phoneticPr fontId="13"/>
  </si>
  <si>
    <t>W1K1770122V192930</t>
    <phoneticPr fontId="13"/>
  </si>
  <si>
    <t>和歌山 301 さ 1832</t>
    <rPh sb="0" eb="3">
      <t>ワカヤマ</t>
    </rPh>
    <phoneticPr fontId="13"/>
  </si>
  <si>
    <t>27-3502</t>
  </si>
  <si>
    <t>ｼﾞｬｶﾞｰXE Rﾀﾞｲﾅﾐｯｸﾌﾞﾗｯｸ</t>
    <phoneticPr fontId="13"/>
  </si>
  <si>
    <t>SAJAB4AX9NCP69752</t>
    <phoneticPr fontId="13"/>
  </si>
  <si>
    <t>葛飾 306 そ 8888</t>
    <rPh sb="0" eb="2">
      <t>カツシカ</t>
    </rPh>
    <phoneticPr fontId="13"/>
  </si>
  <si>
    <t>582 う 3976</t>
    <phoneticPr fontId="13"/>
  </si>
  <si>
    <t>582 う 3977</t>
    <phoneticPr fontId="13"/>
  </si>
  <si>
    <t>582 う 3978</t>
    <phoneticPr fontId="13"/>
  </si>
  <si>
    <t>582 う 3979</t>
    <phoneticPr fontId="13"/>
  </si>
  <si>
    <t>582 う 3980</t>
    <phoneticPr fontId="13"/>
  </si>
  <si>
    <t>480 ね 4688</t>
    <phoneticPr fontId="13"/>
  </si>
  <si>
    <t>582 う 3981</t>
    <phoneticPr fontId="13"/>
  </si>
  <si>
    <t>582 う 3982</t>
    <phoneticPr fontId="13"/>
  </si>
  <si>
    <t>582 う 3983</t>
    <phoneticPr fontId="13"/>
  </si>
  <si>
    <t>480 ね 4689</t>
    <phoneticPr fontId="13"/>
  </si>
  <si>
    <t>岡山 399 な 5338</t>
    <rPh sb="0" eb="2">
      <t>オカヤマ</t>
    </rPh>
    <phoneticPr fontId="13"/>
  </si>
  <si>
    <t>3/13</t>
    <phoneticPr fontId="13"/>
  </si>
  <si>
    <t>和泉 301 と 7176</t>
    <rPh sb="0" eb="2">
      <t>イズミ</t>
    </rPh>
    <phoneticPr fontId="13"/>
  </si>
  <si>
    <t>杉村 良作</t>
    <rPh sb="0" eb="2">
      <t>スギムラ</t>
    </rPh>
    <rPh sb="3" eb="4">
      <t>リョウ</t>
    </rPh>
    <phoneticPr fontId="13"/>
  </si>
  <si>
    <t>保証書 取説 地図SD ﾅﾋﾞ取 ｷｰﾚｽ ﾜﾝｵｰﾅｰ</t>
    <rPh sb="0" eb="3">
      <t>ホショウショ</t>
    </rPh>
    <rPh sb="4" eb="6">
      <t>トリセツ</t>
    </rPh>
    <rPh sb="7" eb="9">
      <t>チズ</t>
    </rPh>
    <rPh sb="15" eb="16">
      <t>トリ</t>
    </rPh>
    <phoneticPr fontId="13"/>
  </si>
  <si>
    <t>名古屋 487 ろ 2762</t>
    <rPh sb="0" eb="3">
      <t>ナゴヤ</t>
    </rPh>
    <phoneticPr fontId="13"/>
  </si>
  <si>
    <t>なにわ 5X0 ろ 1321</t>
    <phoneticPr fontId="13"/>
  </si>
  <si>
    <t>多摩 799 ふ 5620</t>
    <rPh sb="0" eb="2">
      <t>タマ</t>
    </rPh>
    <phoneticPr fontId="13"/>
  </si>
  <si>
    <t>千葉 326 ち 3492</t>
    <rPh sb="0" eb="2">
      <t>チバ</t>
    </rPh>
    <phoneticPr fontId="13"/>
  </si>
  <si>
    <t>ｷｰﾚｽ(車内)保証書(印なし点検時印あり) 取説 ﾜﾝｵｰﾅｰ</t>
    <rPh sb="5" eb="7">
      <t>シャナイ</t>
    </rPh>
    <rPh sb="8" eb="11">
      <t>ホショウショ</t>
    </rPh>
    <rPh sb="12" eb="13">
      <t>イン</t>
    </rPh>
    <rPh sb="15" eb="17">
      <t>テンケン</t>
    </rPh>
    <rPh sb="17" eb="18">
      <t>ジ</t>
    </rPh>
    <rPh sb="18" eb="19">
      <t>イン</t>
    </rPh>
    <rPh sb="23" eb="25">
      <t>トリセツ</t>
    </rPh>
    <phoneticPr fontId="13"/>
  </si>
  <si>
    <t>ｽﾍﾟｱｷｰ車内ありまだ上がってきてない</t>
    <rPh sb="6" eb="8">
      <t>シャナイ</t>
    </rPh>
    <rPh sb="12" eb="13">
      <t>ア</t>
    </rPh>
    <phoneticPr fontId="13"/>
  </si>
  <si>
    <t>ﾘﾓｺﾝ(車内)保証書 取説 ｷｰﾚｽ</t>
    <rPh sb="5" eb="7">
      <t>シャナイ</t>
    </rPh>
    <rPh sb="8" eb="11">
      <t>ホショウショ</t>
    </rPh>
    <rPh sb="12" eb="14">
      <t>トリセツ</t>
    </rPh>
    <phoneticPr fontId="13"/>
  </si>
  <si>
    <t>地図SD(車内)保証書 取説 ｽﾍﾟｱｷｰ2個 ﾜﾝｵｰﾅｰ</t>
    <rPh sb="8" eb="11">
      <t>ホショウショ</t>
    </rPh>
    <rPh sb="12" eb="14">
      <t>トリセツ</t>
    </rPh>
    <rPh sb="22" eb="23">
      <t>コ</t>
    </rPh>
    <phoneticPr fontId="13"/>
  </si>
  <si>
    <t xml:space="preserve">地図SD(車内)保証書 取説 </t>
    <phoneticPr fontId="13"/>
  </si>
  <si>
    <t>整備手帳(記録なし)取説 ｷｰﾚｽ(車内)</t>
    <rPh sb="0" eb="4">
      <t>セイビテチョウ</t>
    </rPh>
    <rPh sb="5" eb="7">
      <t>キロク</t>
    </rPh>
    <rPh sb="10" eb="12">
      <t>トリセツ</t>
    </rPh>
    <rPh sb="18" eb="20">
      <t>シャナイ</t>
    </rPh>
    <phoneticPr fontId="13"/>
  </si>
  <si>
    <t>301 ね 8484</t>
    <phoneticPr fontId="13"/>
  </si>
  <si>
    <t>301 ね 8485</t>
    <phoneticPr fontId="13"/>
  </si>
  <si>
    <t>保証書 取説 ﾅﾋﾞ取 ｷｰﾚｽ 地図SD(車内)</t>
    <rPh sb="0" eb="3">
      <t>ホショウショ</t>
    </rPh>
    <rPh sb="4" eb="6">
      <t>トリセツ</t>
    </rPh>
    <rPh sb="10" eb="11">
      <t>トリ</t>
    </rPh>
    <rPh sb="17" eb="19">
      <t>チズ</t>
    </rPh>
    <rPh sb="22" eb="24">
      <t>シャナイ</t>
    </rPh>
    <phoneticPr fontId="13"/>
  </si>
  <si>
    <t>福山 300 も 9229</t>
    <rPh sb="0" eb="2">
      <t>フクヤマ</t>
    </rPh>
    <phoneticPr fontId="13"/>
  </si>
  <si>
    <t>ｷｬﾝｾﾙ返送3/14</t>
    <rPh sb="5" eb="7">
      <t>ヘンソウ</t>
    </rPh>
    <phoneticPr fontId="13"/>
  </si>
  <si>
    <t xml:space="preserve">ｽﾏｰﾄｷｰ問い合わせ </t>
    <rPh sb="6" eb="7">
      <t>ト</t>
    </rPh>
    <rPh sb="8" eb="9">
      <t>ア</t>
    </rPh>
    <phoneticPr fontId="13"/>
  </si>
  <si>
    <t>有限会社ﾅﾙﾃﾞｨ</t>
    <rPh sb="0" eb="4">
      <t>ユウゲンカイシャ</t>
    </rPh>
    <phoneticPr fontId="13"/>
  </si>
  <si>
    <t>株式会社ｸﾞﾛｰﾊﾞﾙｼｮｯﾌﾟ福岡</t>
    <rPh sb="0" eb="4">
      <t>カブシキガイシャ</t>
    </rPh>
    <rPh sb="16" eb="18">
      <t>フクオカ</t>
    </rPh>
    <phoneticPr fontId="13"/>
  </si>
  <si>
    <t>新潟 301 る 7188</t>
    <rPh sb="0" eb="2">
      <t>ニイガタ</t>
    </rPh>
    <phoneticPr fontId="13"/>
  </si>
  <si>
    <t>島根 531 さ 7010</t>
    <rPh sb="0" eb="2">
      <t>シマネ</t>
    </rPh>
    <phoneticPr fontId="13"/>
  </si>
  <si>
    <t>株式会社ｽﾞｽｷ自販島根</t>
    <rPh sb="0" eb="4">
      <t>カブシキガイシャ</t>
    </rPh>
    <rPh sb="8" eb="10">
      <t>ジハン</t>
    </rPh>
    <rPh sb="10" eb="12">
      <t>シマネ</t>
    </rPh>
    <phoneticPr fontId="13"/>
  </si>
  <si>
    <t>岡山 582 あ 9078</t>
    <rPh sb="0" eb="2">
      <t>オカヤマ</t>
    </rPh>
    <phoneticPr fontId="13"/>
  </si>
  <si>
    <t>27-3503</t>
  </si>
  <si>
    <t>27-3504</t>
  </si>
  <si>
    <t>27-3505</t>
  </si>
  <si>
    <t>27-3506</t>
  </si>
  <si>
    <t>27-3507</t>
  </si>
  <si>
    <t>LA800S-0114877</t>
    <phoneticPr fontId="13"/>
  </si>
  <si>
    <t>LA800S-0238279</t>
    <phoneticPr fontId="13"/>
  </si>
  <si>
    <t>LA650S-0216887</t>
    <phoneticPr fontId="13"/>
  </si>
  <si>
    <t>MK54S-122372</t>
    <phoneticPr fontId="13"/>
  </si>
  <si>
    <t>ﾑｰﾌﾞｷｬﾝﾊﾞｽ GﾒｲｸｱｯﾌﾟSA3</t>
    <phoneticPr fontId="13"/>
  </si>
  <si>
    <t>ﾑｰﾌﾞｷｬﾝﾊﾞｽ Gﾎﾜｲﾄｱｸｾﾝﾄﾘﾐﾃｯﾄﾞ</t>
    <phoneticPr fontId="13"/>
  </si>
  <si>
    <t>ﾀﾝﾄｶｽﾀﾑ RSｾﾚｸｼｮﾝ</t>
    <phoneticPr fontId="13"/>
  </si>
  <si>
    <t>保証書 取説(抜粋版)</t>
    <rPh sb="0" eb="3">
      <t>ホショウショ</t>
    </rPh>
    <rPh sb="4" eb="6">
      <t>トリセツ</t>
    </rPh>
    <rPh sb="7" eb="10">
      <t>バッスイバン</t>
    </rPh>
    <phoneticPr fontId="13"/>
  </si>
  <si>
    <t>三重 582 い 2370</t>
    <rPh sb="0" eb="2">
      <t>ミエ</t>
    </rPh>
    <phoneticPr fontId="13"/>
  </si>
  <si>
    <t>27-3508</t>
  </si>
  <si>
    <t>27-3509</t>
  </si>
  <si>
    <t>27-3510</t>
  </si>
  <si>
    <t>27-3511</t>
  </si>
  <si>
    <t>27-3512</t>
  </si>
  <si>
    <t>27-3513</t>
  </si>
  <si>
    <t>27-3514</t>
  </si>
  <si>
    <t>27-3515</t>
  </si>
  <si>
    <t>27-3516</t>
  </si>
  <si>
    <t>27-3517</t>
  </si>
  <si>
    <t>27-3518</t>
  </si>
  <si>
    <t>TRJ150-0152199</t>
    <phoneticPr fontId="13"/>
  </si>
  <si>
    <t>AGH30-9014760</t>
    <phoneticPr fontId="13"/>
  </si>
  <si>
    <t>AGH30-0252105</t>
    <phoneticPr fontId="13"/>
  </si>
  <si>
    <t>MXPC10G-1052718</t>
    <phoneticPr fontId="13"/>
  </si>
  <si>
    <t>FE13-305585</t>
    <phoneticPr fontId="13"/>
  </si>
  <si>
    <t>S700V-0150398</t>
    <phoneticPr fontId="13"/>
  </si>
  <si>
    <t>MK53S-228308</t>
    <phoneticPr fontId="13"/>
  </si>
  <si>
    <t>JF3-1088206</t>
    <phoneticPr fontId="13"/>
  </si>
  <si>
    <t>S710V-0113204</t>
    <phoneticPr fontId="13"/>
  </si>
  <si>
    <t>JF3-1541064</t>
    <phoneticPr fontId="13"/>
  </si>
  <si>
    <t>JF5-2048492</t>
    <phoneticPr fontId="13"/>
  </si>
  <si>
    <t>ﾉｰﾄ ｵｰﾗ G</t>
    <phoneticPr fontId="13"/>
  </si>
  <si>
    <t>和泉 543 な 12</t>
    <rPh sb="0" eb="2">
      <t>イズミ</t>
    </rPh>
    <phoneticPr fontId="13"/>
  </si>
  <si>
    <t>和泉 301 は 6521</t>
    <rPh sb="0" eb="2">
      <t>イズミ</t>
    </rPh>
    <phoneticPr fontId="13"/>
  </si>
  <si>
    <t>ｱﾙﾌｧｰﾄﾞ Sﾀｲﾌﾟｺﾞｰﾙﾄﾞ</t>
    <phoneticPr fontId="13"/>
  </si>
  <si>
    <t>和泉 398 る 18</t>
    <rPh sb="0" eb="2">
      <t>イズミ</t>
    </rPh>
    <phoneticPr fontId="13"/>
  </si>
  <si>
    <t>保証書 ﾘﾓｺﾝ ｽﾏｰﾄｷｰ ﾜﾝｵｰﾅｰ 名変期限3/31</t>
    <rPh sb="0" eb="3">
      <t>ホショウショ</t>
    </rPh>
    <rPh sb="23" eb="27">
      <t>メイヘンキゲン</t>
    </rPh>
    <phoneticPr fontId="13"/>
  </si>
  <si>
    <t>ﾗﾝﾄﾞｸﾙｰｻﾞｰ ﾌﾟﾗﾄﾞ TX Lﾊﾟｯｹｰｼﾞ</t>
    <phoneticPr fontId="13"/>
  </si>
  <si>
    <t>なにわ 581 こ 9704</t>
    <phoneticPr fontId="13"/>
  </si>
  <si>
    <t>ｽﾍﾟｰｼｱｶｽﾀﾑ ﾊｲﾌﾞﾘｯﾄﾞX</t>
    <phoneticPr fontId="13"/>
  </si>
  <si>
    <t>保証書 取説 SD ﾜﾝｵｰﾅｰ</t>
    <rPh sb="0" eb="3">
      <t>ホショウショ</t>
    </rPh>
    <rPh sb="4" eb="6">
      <t>トリセツ</t>
    </rPh>
    <phoneticPr fontId="13"/>
  </si>
  <si>
    <t>和泉 480 ね 4815</t>
    <rPh sb="0" eb="2">
      <t>イズミ</t>
    </rPh>
    <phoneticPr fontId="13"/>
  </si>
  <si>
    <t>ｼﾞｰﾌﾟﾗﾝｸﾞﾗｰ  ｱﾝﾘﾐﾃｯﾄﾞｻﾊﾗ</t>
    <phoneticPr fontId="13"/>
  </si>
  <si>
    <t>1C4HJXLN8PW526528</t>
    <phoneticPr fontId="13"/>
  </si>
  <si>
    <t>27-3519</t>
  </si>
  <si>
    <t>27-3520</t>
  </si>
  <si>
    <t>27-3521</t>
  </si>
  <si>
    <t>27-3522</t>
  </si>
  <si>
    <t>27-3523</t>
  </si>
  <si>
    <t>27-3524</t>
  </si>
  <si>
    <t>27-3525</t>
  </si>
  <si>
    <t>WMW22DK0602R68791</t>
    <phoneticPr fontId="13"/>
  </si>
  <si>
    <t>BMW X3 Xﾄﾞﾗｲﾌﾞ20i</t>
    <phoneticPr fontId="13"/>
  </si>
  <si>
    <t>WBATY16050N033322</t>
    <phoneticPr fontId="13"/>
  </si>
  <si>
    <t>ﾌｨｱｯﾄ500X ｽﾎﾟｰﾂ</t>
    <phoneticPr fontId="13"/>
  </si>
  <si>
    <t>ZFA3340000P870426</t>
    <phoneticPr fontId="13"/>
  </si>
  <si>
    <t>WMWXY320502P11622</t>
    <phoneticPr fontId="13"/>
  </si>
  <si>
    <t>ZFA3120000J930970</t>
    <phoneticPr fontId="13"/>
  </si>
  <si>
    <t>27-3526</t>
  </si>
  <si>
    <t>27-3527</t>
  </si>
  <si>
    <t>27-3528</t>
  </si>
  <si>
    <t>A338070</t>
    <phoneticPr fontId="13"/>
  </si>
  <si>
    <t>L700S-0336146</t>
    <phoneticPr fontId="13"/>
  </si>
  <si>
    <t>A336979</t>
    <phoneticPr fontId="13"/>
  </si>
  <si>
    <t>MK42S-618986</t>
    <phoneticPr fontId="13"/>
  </si>
  <si>
    <t>A336153</t>
    <phoneticPr fontId="13"/>
  </si>
  <si>
    <t>JF1-1835701</t>
    <phoneticPr fontId="13"/>
  </si>
  <si>
    <t>A335533</t>
    <phoneticPr fontId="13"/>
  </si>
  <si>
    <t>JF3-2329237</t>
    <phoneticPr fontId="13"/>
  </si>
  <si>
    <t>ｽﾍﾟｰｼｱｶｽﾀﾑ XSﾃﾞｭｱﾙｶﾒﾗ</t>
    <phoneticPr fontId="13"/>
  </si>
  <si>
    <t>9/6/27</t>
    <phoneticPr fontId="13"/>
  </si>
  <si>
    <t>16/3</t>
    <phoneticPr fontId="13"/>
  </si>
  <si>
    <t>ﾐﾗｲﾌﾞ愛知</t>
    <rPh sb="5" eb="7">
      <t>アイチ</t>
    </rPh>
    <phoneticPr fontId="13"/>
  </si>
  <si>
    <t>27-3529</t>
  </si>
  <si>
    <t>27-3530</t>
  </si>
  <si>
    <t>27-3531</t>
  </si>
  <si>
    <t>27-3532</t>
  </si>
  <si>
    <t>27-3533</t>
  </si>
  <si>
    <t>27-3534</t>
  </si>
  <si>
    <t>MK53S-019108</t>
    <phoneticPr fontId="13"/>
  </si>
  <si>
    <t>LA300S-1327987</t>
    <phoneticPr fontId="13"/>
  </si>
  <si>
    <t>MK53S-352548</t>
    <phoneticPr fontId="13"/>
  </si>
  <si>
    <t>JB23W-779211</t>
    <phoneticPr fontId="13"/>
  </si>
  <si>
    <t>LA300S-1400195</t>
    <phoneticPr fontId="13"/>
  </si>
  <si>
    <t>DA17V-850187</t>
    <phoneticPr fontId="13"/>
  </si>
  <si>
    <t>ｴﾌﾞﾘｨﾊﾞﾝ　ｼﾞｮｲﾝﾀｰﾎﾞ</t>
    <phoneticPr fontId="13"/>
  </si>
  <si>
    <t>ﾐﾗｲｰｽ　 L SA</t>
    <phoneticPr fontId="13"/>
  </si>
  <si>
    <t>ｽﾍﾟｰｼ ﾊｲﾌﾞﾘｯﾄﾞG</t>
    <phoneticPr fontId="13"/>
  </si>
  <si>
    <t>ﾐﾗｲｰｽ　XﾘﾐﾃｯﾄﾞSA</t>
    <phoneticPr fontId="13"/>
  </si>
  <si>
    <t>株式会社ﾏﾂｼﾏﾎｰﾙﾃﾞｨﾝｸﾞｽ</t>
    <rPh sb="0" eb="4">
      <t>カブシキガイシャ</t>
    </rPh>
    <phoneticPr fontId="13"/>
  </si>
  <si>
    <t>姫路 313 る 1010</t>
    <rPh sb="0" eb="2">
      <t>ヒメジ</t>
    </rPh>
    <phoneticPr fontId="13"/>
  </si>
  <si>
    <t>青木 慎吾</t>
    <rPh sb="0" eb="2">
      <t>アオキ</t>
    </rPh>
    <rPh sb="3" eb="5">
      <t>シンゴ</t>
    </rPh>
    <phoneticPr fontId="13"/>
  </si>
  <si>
    <t>西 徹也</t>
    <rPh sb="0" eb="1">
      <t>ニシ</t>
    </rPh>
    <rPh sb="2" eb="4">
      <t>テツヤ</t>
    </rPh>
    <phoneticPr fontId="13"/>
  </si>
  <si>
    <t>保証書 取説 地図SD SD</t>
    <rPh sb="0" eb="3">
      <t>ホショウショ</t>
    </rPh>
    <rPh sb="4" eb="6">
      <t>トリセツ</t>
    </rPh>
    <rPh sb="7" eb="9">
      <t>チズ</t>
    </rPh>
    <phoneticPr fontId="13"/>
  </si>
  <si>
    <t>姫路 599 に 458</t>
    <rPh sb="0" eb="2">
      <t>ヒメジ</t>
    </rPh>
    <phoneticPr fontId="13"/>
  </si>
  <si>
    <t>株式会社ｱｰﾙｴｽ</t>
    <rPh sb="0" eb="4">
      <t>カブシキガイシャ</t>
    </rPh>
    <phoneticPr fontId="13"/>
  </si>
  <si>
    <t>地図SD ﾜﾝｵｰﾅｰ</t>
    <rPh sb="0" eb="2">
      <t>チズ</t>
    </rPh>
    <phoneticPr fontId="13"/>
  </si>
  <si>
    <t>広島 301 も 8199</t>
    <rPh sb="0" eb="2">
      <t>ヒロシマ</t>
    </rPh>
    <phoneticPr fontId="13"/>
  </si>
  <si>
    <t>日産ﾌﾟﾘﾝｽ広島販売株式会社</t>
    <rPh sb="0" eb="2">
      <t>ニッサン</t>
    </rPh>
    <rPh sb="7" eb="9">
      <t>ヒロシマ</t>
    </rPh>
    <rPh sb="9" eb="15">
      <t>ハンバイカブシキガイシャ</t>
    </rPh>
    <phoneticPr fontId="13"/>
  </si>
  <si>
    <t>ｷｰﾚｽ(車内)保証書 取説 ﾘﾓｺﾝ</t>
    <rPh sb="5" eb="7">
      <t>シャナイ</t>
    </rPh>
    <rPh sb="8" eb="11">
      <t>ホショウショ</t>
    </rPh>
    <rPh sb="12" eb="14">
      <t>トリセツ</t>
    </rPh>
    <phoneticPr fontId="13"/>
  </si>
  <si>
    <t>保証書 取説 ｷｰﾚｽ ﾜﾝｵｰﾅｰかも？</t>
    <rPh sb="0" eb="3">
      <t>ホショウショ</t>
    </rPh>
    <rPh sb="4" eb="6">
      <t>トリセツ</t>
    </rPh>
    <phoneticPr fontId="13"/>
  </si>
  <si>
    <t>奈良 599 と 7921</t>
    <rPh sb="0" eb="2">
      <t>ナラ</t>
    </rPh>
    <phoneticPr fontId="13"/>
  </si>
  <si>
    <t>八光自動車工業株式会社</t>
    <rPh sb="0" eb="2">
      <t>ハチミツ</t>
    </rPh>
    <rPh sb="2" eb="5">
      <t>ジドウシャ</t>
    </rPh>
    <rPh sb="5" eb="11">
      <t>コウギョウカブシキガイシャ</t>
    </rPh>
    <phoneticPr fontId="13"/>
  </si>
  <si>
    <t>愛媛 330 ほ 8055</t>
    <rPh sb="0" eb="2">
      <t>エヒメ</t>
    </rPh>
    <phoneticPr fontId="13"/>
  </si>
  <si>
    <t>長野 幸利</t>
    <rPh sb="0" eb="2">
      <t>ナガノ</t>
    </rPh>
    <rPh sb="3" eb="5">
      <t>ユキトシ</t>
    </rPh>
    <phoneticPr fontId="13"/>
  </si>
  <si>
    <t>27-3535</t>
  </si>
  <si>
    <t>27-3536</t>
  </si>
  <si>
    <t>27-3537</t>
  </si>
  <si>
    <t>27-3538</t>
  </si>
  <si>
    <t>27-3539</t>
  </si>
  <si>
    <t>27-3540</t>
  </si>
  <si>
    <t>27-3541</t>
  </si>
  <si>
    <t>27-3542</t>
  </si>
  <si>
    <t>27-3543</t>
  </si>
  <si>
    <t>27-3544</t>
  </si>
  <si>
    <t>27-3545</t>
  </si>
  <si>
    <t>27-3546</t>
  </si>
  <si>
    <t>27-3547</t>
  </si>
  <si>
    <t>27-3548</t>
  </si>
  <si>
    <t>27-3549</t>
  </si>
  <si>
    <t>JW5-1021249</t>
    <phoneticPr fontId="13"/>
  </si>
  <si>
    <t>LA700S-0166998</t>
    <phoneticPr fontId="13"/>
  </si>
  <si>
    <t>ﾌﾟﾘｳｽa　Sﾂｰﾘﾝｸﾞｾﾚｸｼｮﾝ</t>
    <phoneticPr fontId="13"/>
  </si>
  <si>
    <t>ZVW40-3114591</t>
    <phoneticPr fontId="13"/>
  </si>
  <si>
    <t>HE33S-438077</t>
    <phoneticPr fontId="13"/>
  </si>
  <si>
    <t>DA17V-779119</t>
    <phoneticPr fontId="13"/>
  </si>
  <si>
    <t>MN71S-115092</t>
    <phoneticPr fontId="13"/>
  </si>
  <si>
    <t>ﾜｺﾞﾝR FA　</t>
    <phoneticPr fontId="13"/>
  </si>
  <si>
    <t>MH34S-380682</t>
    <phoneticPr fontId="13"/>
  </si>
  <si>
    <t>DA17V-763818</t>
    <phoneticPr fontId="13"/>
  </si>
  <si>
    <t>ﾊｽﾗｰ　Jｽﾀｲﾙ</t>
    <phoneticPr fontId="13"/>
  </si>
  <si>
    <t>MR92S-158163</t>
    <phoneticPr fontId="13"/>
  </si>
  <si>
    <t>MR41S-108109</t>
    <phoneticPr fontId="13"/>
  </si>
  <si>
    <t>HE33S-236839</t>
    <phoneticPr fontId="13"/>
  </si>
  <si>
    <t>HE33S-220527</t>
    <phoneticPr fontId="13"/>
  </si>
  <si>
    <t>ｴﾌﾞﾘｨ　ｼﾞｮｲﾝﾀｰﾎﾞ</t>
    <phoneticPr fontId="13"/>
  </si>
  <si>
    <t>DA17V-746991</t>
    <phoneticPr fontId="13"/>
  </si>
  <si>
    <t>MH55S-277272</t>
    <phoneticPr fontId="13"/>
  </si>
  <si>
    <t>DA17V-390990</t>
    <phoneticPr fontId="13"/>
  </si>
  <si>
    <t>27-3550</t>
  </si>
  <si>
    <t>27-3551</t>
  </si>
  <si>
    <t>27-3552</t>
  </si>
  <si>
    <t>27-3553</t>
  </si>
  <si>
    <t>27-3554</t>
  </si>
  <si>
    <t>27-3555</t>
  </si>
  <si>
    <t>27-3556</t>
  </si>
  <si>
    <t>27-3557</t>
  </si>
  <si>
    <t>27-3558</t>
  </si>
  <si>
    <t>ｼﾞｬｶﾞｰXE　Rｽﾎﾟｰﾂ</t>
    <phoneticPr fontId="13"/>
  </si>
  <si>
    <t>27-3559</t>
  </si>
  <si>
    <t>27-3560</t>
  </si>
  <si>
    <t>27-3561</t>
  </si>
  <si>
    <t>27-3562</t>
  </si>
  <si>
    <t>27-3563</t>
  </si>
  <si>
    <t>27-3564</t>
  </si>
  <si>
    <t>27-3565</t>
  </si>
  <si>
    <t>ﾌﾟﾘｳｽｱﾙﾌｧ　G</t>
    <phoneticPr fontId="13"/>
  </si>
  <si>
    <t>ZVW41-3386438</t>
    <phoneticPr fontId="13"/>
  </si>
  <si>
    <t>ﾌﾟﾘｳｽ　SﾂｰﾘﾝｸﾞｾﾚｸｼｮﾝGS</t>
    <phoneticPr fontId="13"/>
  </si>
  <si>
    <t>ZVW30-5735728</t>
    <phoneticPr fontId="13"/>
  </si>
  <si>
    <t>ZR-V　Z</t>
    <phoneticPr fontId="13"/>
  </si>
  <si>
    <t>RZ3-1000814</t>
    <phoneticPr fontId="13"/>
  </si>
  <si>
    <t>ZVW51-6006519</t>
    <phoneticPr fontId="13"/>
  </si>
  <si>
    <t>HE33S-162979</t>
    <phoneticPr fontId="13"/>
  </si>
  <si>
    <t>ﾊｲｾﾞｯﾄｶｰｺﾞ ｸﾙｰｽﾞ　ﾀｰﾎﾞ</t>
    <phoneticPr fontId="13"/>
  </si>
  <si>
    <t>S700V-0088091</t>
    <phoneticPr fontId="13"/>
  </si>
  <si>
    <t>ﾎﾟﾙｼｪ　ﾏｶﾝ</t>
    <phoneticPr fontId="13"/>
  </si>
  <si>
    <t>MﾍﾞﾝﾂGLB200ｄ　4ﾏﾁｯｸAMGﾗｲﾝ</t>
    <phoneticPr fontId="13"/>
  </si>
  <si>
    <t>27-3566</t>
  </si>
  <si>
    <t>27-3567</t>
  </si>
  <si>
    <t>27-3568</t>
  </si>
  <si>
    <t>ZRR80-0163024</t>
    <phoneticPr fontId="13"/>
  </si>
  <si>
    <t>BMWX1　Xﾄﾞﾗｲﾌﾞ　18ｄ　Ｍｽﾎﾟｰﾂ</t>
    <phoneticPr fontId="13"/>
  </si>
  <si>
    <t>BMWﾐﾆ　ｸｰﾊﾟｰｸﾗﾌﾞﾏﾝ</t>
    <phoneticPr fontId="13"/>
  </si>
  <si>
    <t>保証書　取説　ｽﾏｰﾄｷｰX2（ﾘｽﾄに記載有）　　ﾜﾝｵｰﾅｰ</t>
    <rPh sb="0" eb="3">
      <t>ホショウショ</t>
    </rPh>
    <rPh sb="4" eb="6">
      <t>トリセツ</t>
    </rPh>
    <rPh sb="20" eb="23">
      <t>キサイアリ</t>
    </rPh>
    <phoneticPr fontId="13"/>
  </si>
  <si>
    <t>31/</t>
    <phoneticPr fontId="13"/>
  </si>
  <si>
    <t>WMWYT920403D50953</t>
    <phoneticPr fontId="13"/>
  </si>
  <si>
    <t>SAJAB4AX9KCP51960</t>
    <phoneticPr fontId="13"/>
  </si>
  <si>
    <t>保証書　取説　ｽﾍﾟｱｷｰ　ﾘﾓｺﾝ　ﾜﾝｵｰﾅｰ</t>
    <rPh sb="0" eb="3">
      <t>ホショウショ</t>
    </rPh>
    <rPh sb="4" eb="6">
      <t>トリセツ</t>
    </rPh>
    <phoneticPr fontId="13"/>
  </si>
  <si>
    <t>VF1AH0002K0804038</t>
    <phoneticPr fontId="13"/>
  </si>
  <si>
    <t>WMWXT720602F35303</t>
    <phoneticPr fontId="13"/>
  </si>
  <si>
    <t>神戸　304　ゆ　1317</t>
    <rPh sb="0" eb="2">
      <t>コウベ</t>
    </rPh>
    <phoneticPr fontId="13"/>
  </si>
  <si>
    <t>愛媛　333　も　716</t>
    <rPh sb="0" eb="2">
      <t>エヒメ</t>
    </rPh>
    <phoneticPr fontId="13"/>
  </si>
  <si>
    <t>神戸　480　よ　2624</t>
    <rPh sb="0" eb="2">
      <t>コウベ</t>
    </rPh>
    <phoneticPr fontId="13"/>
  </si>
  <si>
    <t>WP1ZZZ95ZMLB04598</t>
    <phoneticPr fontId="13"/>
  </si>
  <si>
    <t>愛媛　334　り　205</t>
    <rPh sb="0" eb="2">
      <t>エヒメ</t>
    </rPh>
    <phoneticPr fontId="13"/>
  </si>
  <si>
    <t>保証書　法人ﾜﾝｵｰﾅｰ</t>
    <rPh sb="0" eb="3">
      <t>ホショウショ</t>
    </rPh>
    <rPh sb="4" eb="6">
      <t>ホウジン</t>
    </rPh>
    <phoneticPr fontId="13"/>
  </si>
  <si>
    <t>WMWXR9200102L03683</t>
    <phoneticPr fontId="13"/>
  </si>
  <si>
    <t>W1N2476132W257922</t>
    <phoneticPr fontId="13"/>
  </si>
  <si>
    <t>大阪　304　た　2307</t>
    <rPh sb="0" eb="2">
      <t>オオサカ</t>
    </rPh>
    <phoneticPr fontId="13"/>
  </si>
  <si>
    <t>MﾍﾞﾝﾂE250　AVGｽﾎﾟｰﾂ</t>
    <phoneticPr fontId="13"/>
  </si>
  <si>
    <t>WDD2132452A236337</t>
    <phoneticPr fontId="13"/>
  </si>
  <si>
    <t>WMWLN720X02H57495</t>
    <phoneticPr fontId="13"/>
  </si>
  <si>
    <t>WBA32AD0X03Ｍ30671</t>
    <phoneticPr fontId="13"/>
  </si>
  <si>
    <t>練馬　302　ね　9175</t>
    <rPh sb="0" eb="2">
      <t>ネリマ</t>
    </rPh>
    <phoneticPr fontId="13"/>
  </si>
  <si>
    <t>WMWLV320402L40752</t>
    <phoneticPr fontId="13"/>
  </si>
  <si>
    <r>
      <t>保証書 取説 ﾚﾝﾀｶｰ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ｽﾍﾟｱｷｰなしｸﾚｰﾑ済</t>
    </r>
    <rPh sb="0" eb="3">
      <t>ホショウショ</t>
    </rPh>
    <rPh sb="4" eb="6">
      <t>トリセツ</t>
    </rPh>
    <rPh sb="25" eb="26">
      <t>ズ</t>
    </rPh>
    <phoneticPr fontId="13"/>
  </si>
  <si>
    <t>一宮 300 ぬ 6968</t>
    <rPh sb="0" eb="2">
      <t>イチノミヤ</t>
    </rPh>
    <phoneticPr fontId="13"/>
  </si>
  <si>
    <t>地図SD(車内)保証書 取説 ﾅﾋﾞ取 ｽﾍﾟｱｷｰ ﾜﾝｵｰﾅｰ</t>
    <rPh sb="8" eb="11">
      <t>ホショウショ</t>
    </rPh>
    <rPh sb="12" eb="14">
      <t>トリセツ</t>
    </rPh>
    <rPh sb="18" eb="19">
      <t>トリ</t>
    </rPh>
    <phoneticPr fontId="13"/>
  </si>
  <si>
    <t>ｷｬﾝｾﾙ返送3/16</t>
    <rPh sb="5" eb="7">
      <t>ヘンソウ</t>
    </rPh>
    <phoneticPr fontId="13"/>
  </si>
  <si>
    <t>京都 30H ろ 7</t>
    <rPh sb="0" eb="2">
      <t>キョウト</t>
    </rPh>
    <phoneticPr fontId="13"/>
  </si>
  <si>
    <t>田尻 浩樹</t>
    <rPh sb="0" eb="2">
      <t>タジリ</t>
    </rPh>
    <rPh sb="3" eb="4">
      <t>ヒロシ</t>
    </rPh>
    <rPh sb="4" eb="5">
      <t>キ</t>
    </rPh>
    <phoneticPr fontId="13"/>
  </si>
  <si>
    <t>保証書 取説 ｷｰﾚｽ 印鑑証明6/5</t>
    <rPh sb="0" eb="3">
      <t>ホショウショ</t>
    </rPh>
    <rPh sb="4" eb="6">
      <t>トリセツ</t>
    </rPh>
    <rPh sb="12" eb="16">
      <t>インカンショウメイ</t>
    </rPh>
    <phoneticPr fontId="13"/>
  </si>
  <si>
    <t>古賀 柊二</t>
    <rPh sb="0" eb="2">
      <t>コガ</t>
    </rPh>
    <rPh sb="3" eb="4">
      <t>シュウ</t>
    </rPh>
    <rPh sb="4" eb="5">
      <t>ニ</t>
    </rPh>
    <phoneticPr fontId="13"/>
  </si>
  <si>
    <t>和泉 329 に 7637</t>
    <rPh sb="0" eb="2">
      <t>イズミ</t>
    </rPh>
    <phoneticPr fontId="13"/>
  </si>
  <si>
    <t>WBA2C12090V611714</t>
    <phoneticPr fontId="13"/>
  </si>
  <si>
    <t>WMWR32000TL99555</t>
    <phoneticPr fontId="13"/>
  </si>
  <si>
    <t>株式会社ﾎﾝﾀﾞﾓﾋﾞﾘﾃｨ中四国</t>
    <rPh sb="0" eb="4">
      <t>カブシキガイシャ</t>
    </rPh>
    <phoneticPr fontId="13"/>
  </si>
  <si>
    <t>付属品車内？問い合わせ中</t>
    <rPh sb="0" eb="3">
      <t>フゾクヒン</t>
    </rPh>
    <rPh sb="3" eb="5">
      <t>シャナイ</t>
    </rPh>
    <rPh sb="6" eb="7">
      <t>ト</t>
    </rPh>
    <rPh sb="8" eb="9">
      <t>ア</t>
    </rPh>
    <rPh sb="11" eb="12">
      <t>チュウ</t>
    </rPh>
    <phoneticPr fontId="13"/>
  </si>
  <si>
    <t>ｽﾍﾟｱｷｰ？なしそのまま送る</t>
    <rPh sb="13" eb="14">
      <t>オク</t>
    </rPh>
    <phoneticPr fontId="13"/>
  </si>
  <si>
    <t>USS連絡あり</t>
    <rPh sb="3" eb="5">
      <t>レンラク</t>
    </rPh>
    <phoneticPr fontId="13"/>
  </si>
  <si>
    <t>塚田様</t>
    <rPh sb="0" eb="2">
      <t>ツカダ</t>
    </rPh>
    <rPh sb="2" eb="3">
      <t>サマ</t>
    </rPh>
    <phoneticPr fontId="13"/>
  </si>
  <si>
    <t>27-3569</t>
  </si>
  <si>
    <t>27-3570</t>
  </si>
  <si>
    <t>BMWﾐﾆ ｼﾞｮﾝｸｰﾊﾟｰﾜｰｸｽ ｸﾛｽｵｰﾊﾞｰ</t>
    <phoneticPr fontId="13"/>
  </si>
  <si>
    <t>WMWYV920203E42556</t>
    <phoneticPr fontId="13"/>
  </si>
  <si>
    <t>神戸 348 ち 60</t>
    <rPh sb="0" eb="2">
      <t>コウベ</t>
    </rPh>
    <phoneticPr fontId="13"/>
  </si>
  <si>
    <t>ZHANG様</t>
    <rPh sb="5" eb="6">
      <t>サマ</t>
    </rPh>
    <phoneticPr fontId="13"/>
  </si>
  <si>
    <t>ﾚｸｻｽ</t>
    <phoneticPr fontId="13"/>
  </si>
  <si>
    <t>GRL10-6000233</t>
    <phoneticPr fontId="13"/>
  </si>
  <si>
    <t>9/1/25</t>
    <phoneticPr fontId="13"/>
  </si>
  <si>
    <t>塚田 理人</t>
    <phoneticPr fontId="13"/>
  </si>
  <si>
    <t>姫路 331 め 6060</t>
    <rPh sb="0" eb="2">
      <t>ヒメジ</t>
    </rPh>
    <phoneticPr fontId="13"/>
  </si>
  <si>
    <t>ZHANG YINSHENG</t>
    <phoneticPr fontId="13"/>
  </si>
  <si>
    <t>保証書  取説 ｷｰﾚｽ 地図SD(車内)</t>
    <rPh sb="5" eb="7">
      <t>トリセツ</t>
    </rPh>
    <rPh sb="13" eb="15">
      <t>チズ</t>
    </rPh>
    <rPh sb="18" eb="20">
      <t>シャナイ</t>
    </rPh>
    <phoneticPr fontId="13"/>
  </si>
  <si>
    <t>保証書 取説 ﾘｻｲｸﾙ券(車内)ｷｰﾚｽ</t>
    <rPh sb="0" eb="3">
      <t>ホショウショ</t>
    </rPh>
    <rPh sb="4" eb="6">
      <t>トリセツ</t>
    </rPh>
    <rPh sb="12" eb="13">
      <t>ケン</t>
    </rPh>
    <phoneticPr fontId="13"/>
  </si>
  <si>
    <t>27-3571</t>
  </si>
  <si>
    <t>27-3572</t>
  </si>
  <si>
    <t>27-3573</t>
  </si>
  <si>
    <t>27-3574</t>
  </si>
  <si>
    <t>27-3575</t>
  </si>
  <si>
    <t>ﾒﾙｾﾃﾞｽﾍﾞﾝﾂ Bｸﾗｽ 180 AMGﾗｲﾝ</t>
    <phoneticPr fontId="13"/>
  </si>
  <si>
    <t>W1K2470842J170402</t>
    <phoneticPr fontId="13"/>
  </si>
  <si>
    <t>和歌山 356 り 1010</t>
    <rPh sb="0" eb="3">
      <t>ワカヤマ</t>
    </rPh>
    <phoneticPr fontId="13"/>
  </si>
  <si>
    <t>BMWﾐﾆｸｰﾊﾟｰDD ｸﾗﾌﾞﾏﾝ</t>
    <phoneticPr fontId="13"/>
  </si>
  <si>
    <t>WMWLR920002E73373</t>
    <phoneticPr fontId="13"/>
  </si>
  <si>
    <t>一宮 300 は 1638</t>
    <rPh sb="0" eb="2">
      <t>イチノミヤ</t>
    </rPh>
    <phoneticPr fontId="13"/>
  </si>
  <si>
    <t>保証書 取説 ｽﾏｰﾄｷｰ(記載あり車内確認)</t>
    <rPh sb="0" eb="3">
      <t>ホショウショ</t>
    </rPh>
    <rPh sb="4" eb="6">
      <t>トリセツ</t>
    </rPh>
    <rPh sb="14" eb="16">
      <t>キサイ</t>
    </rPh>
    <rPh sb="18" eb="20">
      <t>シャナイ</t>
    </rPh>
    <rPh sb="20" eb="22">
      <t>カクニン</t>
    </rPh>
    <phoneticPr fontId="13"/>
  </si>
  <si>
    <t>保証書 取説  ｽﾏｰﾄｷｰ(記載り車内確認)</t>
    <rPh sb="0" eb="3">
      <t>ホショウショ</t>
    </rPh>
    <rPh sb="4" eb="6">
      <t>トリセツ</t>
    </rPh>
    <rPh sb="15" eb="17">
      <t>キサイ</t>
    </rPh>
    <rPh sb="18" eb="20">
      <t>シャナイ</t>
    </rPh>
    <rPh sb="20" eb="22">
      <t>カクニン</t>
    </rPh>
    <phoneticPr fontId="13"/>
  </si>
  <si>
    <t>BMWﾐﾆｸｰﾊﾟｰS Eｸﾛｽｵｰﾊﾞｰ</t>
    <phoneticPr fontId="13"/>
  </si>
  <si>
    <t>WMWYU720X03E33448</t>
    <phoneticPr fontId="13"/>
  </si>
  <si>
    <t>ｽﾏｰﾄｷ-(記載あり車内確認)</t>
    <phoneticPr fontId="13"/>
  </si>
  <si>
    <t>品川 334 む 3298</t>
    <rPh sb="0" eb="2">
      <t>シナガワ</t>
    </rPh>
    <phoneticPr fontId="13"/>
  </si>
  <si>
    <t>BMWﾐﾆｸﾗﾌﾞﾏﾝ ｸｰﾊﾟｰ</t>
    <phoneticPr fontId="13"/>
  </si>
  <si>
    <t>WMWLN320402D75343</t>
    <phoneticPr fontId="13"/>
  </si>
  <si>
    <t>27-3576</t>
  </si>
  <si>
    <t>27-3577</t>
  </si>
  <si>
    <t>BMW X2 xﾄﾞﾗｲﾌﾞ20i Mｽﾎﾟｰﾂ</t>
    <phoneticPr fontId="13"/>
  </si>
  <si>
    <t>大阪 355 そ 178</t>
    <rPh sb="0" eb="2">
      <t>オオサカ</t>
    </rPh>
    <phoneticPr fontId="13"/>
  </si>
  <si>
    <t>取説がﾅﾋﾞ取だったと連絡あり</t>
    <rPh sb="0" eb="2">
      <t>トリセツ</t>
    </rPh>
    <rPh sb="6" eb="7">
      <t>トリ</t>
    </rPh>
    <rPh sb="11" eb="13">
      <t>レンラク</t>
    </rPh>
    <phoneticPr fontId="13"/>
  </si>
  <si>
    <t>A336608</t>
    <phoneticPr fontId="13"/>
  </si>
  <si>
    <t>MR41S-111221</t>
    <phoneticPr fontId="13"/>
  </si>
  <si>
    <t>A336402</t>
    <phoneticPr fontId="13"/>
  </si>
  <si>
    <t>LA150S-0121985</t>
    <phoneticPr fontId="13"/>
  </si>
  <si>
    <t>8/6/18</t>
    <phoneticPr fontId="13"/>
  </si>
  <si>
    <t>ﾑｰﾌﾞｶｽﾀﾑX ﾘﾐﾃｯﾄﾞSA</t>
    <phoneticPr fontId="13"/>
  </si>
  <si>
    <t>301 ね 8559</t>
    <phoneticPr fontId="13"/>
  </si>
  <si>
    <t>301 ね 8558</t>
    <phoneticPr fontId="13"/>
  </si>
  <si>
    <t>３０１ね 8560</t>
    <phoneticPr fontId="13"/>
  </si>
  <si>
    <t>岐阜 593 て 1107</t>
    <rPh sb="0" eb="2">
      <t>ギフ</t>
    </rPh>
    <phoneticPr fontId="13"/>
  </si>
  <si>
    <t>岐阜ﾀﾞｲﾊﾂ販売株式会社</t>
    <rPh sb="0" eb="2">
      <t>ギフ</t>
    </rPh>
    <rPh sb="7" eb="13">
      <t>ハンバイカブシキガイシャ</t>
    </rPh>
    <phoneticPr fontId="13"/>
  </si>
  <si>
    <t>保証書 取説 ｽﾍﾟｱｷｰ ﾜﾝｵｰﾅｰ</t>
    <phoneticPr fontId="13"/>
  </si>
  <si>
    <t>301 と 9754</t>
    <phoneticPr fontId="13"/>
  </si>
  <si>
    <t>静岡 399 んぶ 2160</t>
    <rPh sb="0" eb="2">
      <t>シズオカ</t>
    </rPh>
    <phoneticPr fontId="13"/>
  </si>
  <si>
    <t xml:space="preserve">保証書 取説 </t>
    <rPh sb="4" eb="6">
      <t>トリセツ</t>
    </rPh>
    <phoneticPr fontId="13"/>
  </si>
  <si>
    <t>399 ね 6939</t>
    <phoneticPr fontId="13"/>
  </si>
  <si>
    <t>480 ね 4759</t>
    <phoneticPr fontId="13"/>
  </si>
  <si>
    <t>582 う 4214</t>
    <phoneticPr fontId="13"/>
  </si>
  <si>
    <t>582 う 4216</t>
    <phoneticPr fontId="13"/>
  </si>
  <si>
    <t>582 う 4215</t>
    <phoneticPr fontId="13"/>
  </si>
  <si>
    <t>480 ね 4758</t>
    <phoneticPr fontId="13"/>
  </si>
  <si>
    <t>582 う 4217</t>
    <phoneticPr fontId="13"/>
  </si>
  <si>
    <t>27-3578</t>
  </si>
  <si>
    <t>27-3579</t>
  </si>
  <si>
    <t>NTP名古屋ﾄﾖﾍﾟｯﾄ株式会社</t>
    <rPh sb="3" eb="6">
      <t>ナゴヤ</t>
    </rPh>
    <rPh sb="12" eb="16">
      <t>カブシキガイシャ</t>
    </rPh>
    <phoneticPr fontId="13"/>
  </si>
  <si>
    <t>滋賀 581 さ 5169</t>
    <rPh sb="0" eb="2">
      <t>シガ</t>
    </rPh>
    <phoneticPr fontId="13"/>
  </si>
  <si>
    <t>岐阜 485 け 510</t>
    <rPh sb="0" eb="2">
      <t>ギフ</t>
    </rPh>
    <phoneticPr fontId="13"/>
  </si>
  <si>
    <t>とちぎ 580 や 4071</t>
    <phoneticPr fontId="13"/>
  </si>
  <si>
    <t>株式会社ひさごや</t>
    <rPh sb="0" eb="4">
      <t>カブシキガイシャ</t>
    </rPh>
    <phoneticPr fontId="13"/>
  </si>
  <si>
    <t>名古屋 487 ろ 2692</t>
    <rPh sb="0" eb="3">
      <t>ナゴヤ</t>
    </rPh>
    <phoneticPr fontId="13"/>
  </si>
  <si>
    <t>なにわ 5P9 ろ 6713</t>
    <phoneticPr fontId="13"/>
  </si>
  <si>
    <t>ﾒﾙｾﾃﾞｽﾍﾞﾝﾂ ﾌｧｲﾅﾝｽ株式会社</t>
    <rPh sb="17" eb="21">
      <t>カブシキガイシャ</t>
    </rPh>
    <phoneticPr fontId="13"/>
  </si>
  <si>
    <t>神戸 39A た 5700</t>
    <rPh sb="0" eb="2">
      <t>コウベ</t>
    </rPh>
    <phoneticPr fontId="13"/>
  </si>
  <si>
    <t>神戸 362 ま 35</t>
    <rPh sb="0" eb="2">
      <t>コウベ</t>
    </rPh>
    <phoneticPr fontId="13"/>
  </si>
  <si>
    <t>582 う 4374</t>
    <phoneticPr fontId="13"/>
  </si>
  <si>
    <t>27-3580</t>
  </si>
  <si>
    <t>27-3581</t>
  </si>
  <si>
    <t>27-3582</t>
  </si>
  <si>
    <t>27-3583</t>
  </si>
  <si>
    <t>27-3584</t>
  </si>
  <si>
    <t>27-3585</t>
  </si>
  <si>
    <t>27-3586</t>
  </si>
  <si>
    <t>27-3587</t>
  </si>
  <si>
    <t>27-3588</t>
  </si>
  <si>
    <t>27-3589</t>
  </si>
  <si>
    <t>27-3590</t>
  </si>
  <si>
    <t>27-3591</t>
  </si>
  <si>
    <t>27-3592</t>
  </si>
  <si>
    <t>27-3593</t>
  </si>
  <si>
    <t>27-3594</t>
  </si>
  <si>
    <t>ﾙﾉｰｶﾝｸﾞｰ　ｾﾞﾝ</t>
    <phoneticPr fontId="13"/>
  </si>
  <si>
    <t>VF1KW14B3K0803365</t>
    <phoneticPr fontId="13"/>
  </si>
  <si>
    <t>9/2/12</t>
    <phoneticPr fontId="13"/>
  </si>
  <si>
    <t>横浜　373　み　830</t>
    <rPh sb="0" eb="2">
      <t>ヨコハマ</t>
    </rPh>
    <phoneticPr fontId="13"/>
  </si>
  <si>
    <t>WMWXU920902P12772</t>
    <phoneticPr fontId="13"/>
  </si>
  <si>
    <t>保証書　取説　R4/5,R5/4,R6/4,R7/7記録有　ｽﾏｰﾄｷｰX2（ﾘｽﾄに記載）</t>
    <rPh sb="0" eb="3">
      <t>ホショウショ</t>
    </rPh>
    <rPh sb="4" eb="6">
      <t>トリセツ</t>
    </rPh>
    <rPh sb="26" eb="28">
      <t>キロク</t>
    </rPh>
    <rPh sb="28" eb="29">
      <t>アリ</t>
    </rPh>
    <rPh sb="43" eb="45">
      <t>キサイ</t>
    </rPh>
    <phoneticPr fontId="13"/>
  </si>
  <si>
    <t>ｱﾙﾄ　F</t>
    <phoneticPr fontId="13"/>
  </si>
  <si>
    <t>HA36S-611477</t>
    <phoneticPr fontId="13"/>
  </si>
  <si>
    <t>MK53S-257469</t>
    <phoneticPr fontId="13"/>
  </si>
  <si>
    <t>HA36S-540878</t>
    <phoneticPr fontId="13"/>
  </si>
  <si>
    <t>27-3595</t>
  </si>
  <si>
    <t>27-3596</t>
  </si>
  <si>
    <t>27-3597</t>
  </si>
  <si>
    <t>27-3598</t>
  </si>
  <si>
    <t>27-3599</t>
  </si>
  <si>
    <t>27-3600</t>
  </si>
  <si>
    <t>27-3601</t>
  </si>
  <si>
    <t>27-3602</t>
  </si>
  <si>
    <t>ｳﾞｫｸｼｰ　XSｷﾗﾒｷ</t>
    <phoneticPr fontId="13"/>
  </si>
  <si>
    <t>ZRR80-0203563</t>
    <phoneticPr fontId="13"/>
  </si>
  <si>
    <t>ZVW40-0018867</t>
    <phoneticPr fontId="13"/>
  </si>
  <si>
    <t>LA150S-2120468</t>
    <phoneticPr fontId="13"/>
  </si>
  <si>
    <t>HE33S-250531</t>
    <phoneticPr fontId="13"/>
  </si>
  <si>
    <t>DA17V-914031</t>
    <phoneticPr fontId="13"/>
  </si>
  <si>
    <t>LA150S-2115886</t>
    <phoneticPr fontId="13"/>
  </si>
  <si>
    <t>ｷｬｽﾄ　ｽﾀｲﾙX　SaⅢ</t>
    <phoneticPr fontId="13"/>
  </si>
  <si>
    <t>LA250S-0226180</t>
    <phoneticPr fontId="13"/>
  </si>
  <si>
    <t>LA150S-0056406</t>
    <phoneticPr fontId="13"/>
  </si>
  <si>
    <t>DA17W-173169</t>
    <phoneticPr fontId="13"/>
  </si>
  <si>
    <t>ｽﾍﾟｰｼｱｶｽﾀﾑ　ﾊｲﾌﾞﾘｯﾄﾞ　ｶｽﾀﾑXSﾀｰﾎﾞ</t>
    <phoneticPr fontId="13"/>
  </si>
  <si>
    <t>MK53S-947901</t>
    <phoneticPr fontId="13"/>
  </si>
  <si>
    <t>S510P-0501533</t>
    <phoneticPr fontId="13"/>
  </si>
  <si>
    <t>N　BOXｶｽﾀﾑ　ﾀｰﾎﾞSSﾌﾞﾗｯｸｽﾀｲﾙ</t>
    <phoneticPr fontId="13"/>
  </si>
  <si>
    <t>JF1-2545313</t>
    <phoneticPr fontId="13"/>
  </si>
  <si>
    <t>MR31S-121192</t>
    <phoneticPr fontId="13"/>
  </si>
  <si>
    <t>MﾍﾞﾝﾂE</t>
    <phoneticPr fontId="13"/>
  </si>
  <si>
    <t>ｱｳﾃﾞｨA4ｱﾊﾞﾝﾄ　35TFSI　Sﾗｲﾝ</t>
    <phoneticPr fontId="13"/>
  </si>
  <si>
    <t>28/2</t>
    <rPh sb="0" eb="2">
      <t>ヨウト</t>
    </rPh>
    <phoneticPr fontId="13"/>
  </si>
  <si>
    <t>京都　343　た　1213</t>
    <rPh sb="0" eb="2">
      <t>キョウト</t>
    </rPh>
    <phoneticPr fontId="13"/>
  </si>
  <si>
    <t>京都　580　わ　8677</t>
    <rPh sb="0" eb="2">
      <t>キョウト</t>
    </rPh>
    <phoneticPr fontId="13"/>
  </si>
  <si>
    <t>保証書　SD　ﾚﾝﾀｶｰ</t>
    <rPh sb="0" eb="3">
      <t>ホショウショ</t>
    </rPh>
    <phoneticPr fontId="13"/>
  </si>
  <si>
    <t>和泉　581　ぬ　1937</t>
    <rPh sb="0" eb="2">
      <t>イズミ</t>
    </rPh>
    <phoneticPr fontId="13"/>
  </si>
  <si>
    <t>京都　480　ま　9403</t>
    <rPh sb="0" eb="2">
      <t>キョウト</t>
    </rPh>
    <phoneticPr fontId="13"/>
  </si>
  <si>
    <t>保証書　ｽﾏｰﾄｷｰX2（ﾘｽﾄに記載有）　ﾅﾝﾊﾞｰ</t>
    <rPh sb="0" eb="3">
      <t>ホショウショ</t>
    </rPh>
    <rPh sb="17" eb="20">
      <t>キサイアリ</t>
    </rPh>
    <phoneticPr fontId="13"/>
  </si>
  <si>
    <t>WMWXS120902C75432</t>
    <phoneticPr fontId="13"/>
  </si>
  <si>
    <t>ｷｰﾚｽX2（ﾘｽﾄに記載有）</t>
    <rPh sb="11" eb="14">
      <t>キサイアリ</t>
    </rPh>
    <phoneticPr fontId="13"/>
  </si>
  <si>
    <t>広島　788　む　33</t>
    <rPh sb="0" eb="2">
      <t>ヒロシマ</t>
    </rPh>
    <phoneticPr fontId="13"/>
  </si>
  <si>
    <t>福山　480　せ　5368</t>
    <rPh sb="0" eb="2">
      <t>フクヤマ</t>
    </rPh>
    <phoneticPr fontId="13"/>
  </si>
  <si>
    <t>保証書　取説　ｷｰﾚｽ　予備ｷｰ</t>
    <rPh sb="0" eb="3">
      <t>ホショウショ</t>
    </rPh>
    <rPh sb="4" eb="6">
      <t>トリセツ</t>
    </rPh>
    <rPh sb="12" eb="14">
      <t>ヨビ</t>
    </rPh>
    <phoneticPr fontId="13"/>
  </si>
  <si>
    <t>広島　582　す　9399</t>
    <rPh sb="0" eb="2">
      <t>ヒロシマ</t>
    </rPh>
    <phoneticPr fontId="13"/>
  </si>
  <si>
    <t>W1K2130772A868130</t>
    <phoneticPr fontId="13"/>
  </si>
  <si>
    <t>WMWLV320X02L52033</t>
    <phoneticPr fontId="13"/>
  </si>
  <si>
    <t>WAUZZZF42PA030159</t>
    <phoneticPr fontId="13"/>
  </si>
  <si>
    <t>保証書　取説　　ﾚﾝﾀｶｰ</t>
    <rPh sb="0" eb="3">
      <t>ホショウショ</t>
    </rPh>
    <rPh sb="4" eb="6">
      <t>トリセツ</t>
    </rPh>
    <phoneticPr fontId="13"/>
  </si>
  <si>
    <t>VF1AHB22AJ0781638</t>
    <phoneticPr fontId="13"/>
  </si>
  <si>
    <t>27-3603</t>
  </si>
  <si>
    <t>27-3604</t>
  </si>
  <si>
    <t>27-3605</t>
  </si>
  <si>
    <t>27-3606</t>
  </si>
  <si>
    <t>27-3607</t>
  </si>
  <si>
    <t>27-3608</t>
  </si>
  <si>
    <t>ﾊｽﾗｰ　ﾊｲﾌﾞﾘｯﾄﾞXﾀｰﾎﾞ</t>
    <phoneticPr fontId="13"/>
  </si>
  <si>
    <t>MR52S-137585</t>
    <phoneticPr fontId="13"/>
  </si>
  <si>
    <t>LA350S-0095819</t>
    <phoneticPr fontId="13"/>
  </si>
  <si>
    <t>MR92S-169249</t>
    <phoneticPr fontId="13"/>
  </si>
  <si>
    <t>ﾑｰｳﾞｷｬﾝﾊﾞｽ　GﾒｲｸｱｯﾌﾟLTD</t>
    <phoneticPr fontId="13"/>
  </si>
  <si>
    <t>LA800S-0162630</t>
    <phoneticPr fontId="13"/>
  </si>
  <si>
    <t>MR92S-159480</t>
    <phoneticPr fontId="13"/>
  </si>
  <si>
    <t>DA17V-970742</t>
    <phoneticPr fontId="13"/>
  </si>
  <si>
    <t>山口　581　ゆ　5152</t>
    <rPh sb="0" eb="2">
      <t>ヤマグチ</t>
    </rPh>
    <phoneticPr fontId="13"/>
  </si>
  <si>
    <t>保証書　取説（抜粋版）　ｽﾍﾟｱｷｰ</t>
    <rPh sb="0" eb="3">
      <t>ホショウショ</t>
    </rPh>
    <rPh sb="4" eb="6">
      <t>トリセツ</t>
    </rPh>
    <rPh sb="7" eb="10">
      <t>バッスイバン</t>
    </rPh>
    <phoneticPr fontId="13"/>
  </si>
  <si>
    <t>神戸　588　う　129</t>
    <rPh sb="0" eb="2">
      <t>コウベ</t>
    </rPh>
    <phoneticPr fontId="13"/>
  </si>
  <si>
    <t>保証書　取説　地図SD　ﾜﾝｵｰﾅｰ</t>
    <rPh sb="0" eb="3">
      <t>ホショウショ</t>
    </rPh>
    <rPh sb="4" eb="6">
      <t>トリセツ</t>
    </rPh>
    <rPh sb="7" eb="9">
      <t>チズ</t>
    </rPh>
    <phoneticPr fontId="13"/>
  </si>
  <si>
    <t>保証書　ｽﾏｰﾄｷｰX2（ﾘｽﾄに記載有）　</t>
    <rPh sb="0" eb="3">
      <t>ホショウショ</t>
    </rPh>
    <rPh sb="17" eb="20">
      <t>キサイアリ</t>
    </rPh>
    <phoneticPr fontId="13"/>
  </si>
  <si>
    <t>福山　480　た　94</t>
    <rPh sb="0" eb="2">
      <t>フクヤマ</t>
    </rPh>
    <phoneticPr fontId="13"/>
  </si>
  <si>
    <t>LA850S-0007647</t>
    <phoneticPr fontId="13"/>
  </si>
  <si>
    <t>MH23S-919188</t>
    <phoneticPr fontId="13"/>
  </si>
  <si>
    <t>岡山 584 ろ 3748</t>
    <rPh sb="0" eb="2">
      <t>オカヤマ</t>
    </rPh>
    <phoneticPr fontId="13"/>
  </si>
  <si>
    <t>広島 581 ゆ 5489</t>
    <rPh sb="0" eb="2">
      <t>ヒロシマ</t>
    </rPh>
    <phoneticPr fontId="13"/>
  </si>
  <si>
    <t>岡田 優</t>
    <rPh sb="0" eb="2">
      <t>オカダ</t>
    </rPh>
    <rPh sb="3" eb="4">
      <t>ヤサ</t>
    </rPh>
    <phoneticPr fontId="13"/>
  </si>
  <si>
    <t>ｷｬﾝｾﾙ返送3/19</t>
    <rPh sb="5" eb="7">
      <t>ヘンソウ</t>
    </rPh>
    <phoneticPr fontId="13"/>
  </si>
  <si>
    <t>27-3609</t>
  </si>
  <si>
    <t>27-3610</t>
  </si>
  <si>
    <t>WMWXS120X02C73379</t>
    <phoneticPr fontId="13"/>
  </si>
  <si>
    <t>WMWXM520502D02563</t>
    <phoneticPr fontId="13"/>
  </si>
  <si>
    <t>27-3611</t>
  </si>
  <si>
    <t>27-3612</t>
  </si>
  <si>
    <t>27-3613</t>
  </si>
  <si>
    <t>27-3614</t>
  </si>
  <si>
    <t>27-3615</t>
  </si>
  <si>
    <t>27-3616</t>
  </si>
  <si>
    <t>27-3617</t>
  </si>
  <si>
    <t>ｱﾙﾄﾗﾊﾟﾝ ﾓｰﾄﾞ 4WD</t>
    <phoneticPr fontId="13"/>
  </si>
  <si>
    <t>HE33S-339621</t>
    <phoneticPr fontId="13"/>
  </si>
  <si>
    <t>名古屋 58A つ 8373</t>
    <rPh sb="0" eb="3">
      <t>ナゴヤ</t>
    </rPh>
    <phoneticPr fontId="13"/>
  </si>
  <si>
    <t xml:space="preserve">ﾐﾗｺｺｱ X </t>
    <phoneticPr fontId="13"/>
  </si>
  <si>
    <t>L685S-0026785</t>
    <phoneticPr fontId="13"/>
  </si>
  <si>
    <t>松本 581 え 6753</t>
    <rPh sb="0" eb="2">
      <t>マツモト</t>
    </rPh>
    <phoneticPr fontId="13"/>
  </si>
  <si>
    <t>ACR50-0172522</t>
    <phoneticPr fontId="13"/>
  </si>
  <si>
    <t>名古屋 337 ら 2106</t>
    <rPh sb="0" eb="3">
      <t>ナゴヤ</t>
    </rPh>
    <phoneticPr fontId="13"/>
  </si>
  <si>
    <t>MN71S-217454</t>
    <phoneticPr fontId="13"/>
  </si>
  <si>
    <t>豊田 531 む 1203</t>
    <rPh sb="0" eb="2">
      <t>トヨタ</t>
    </rPh>
    <phoneticPr fontId="13"/>
  </si>
  <si>
    <t>ZVW41-3373533</t>
    <phoneticPr fontId="13"/>
  </si>
  <si>
    <t>BMWﾐﾆｸｰﾊﾟｰ ﾊﾞｰｶﾞﾝﾃﾞｨ</t>
    <phoneticPr fontId="13"/>
  </si>
  <si>
    <t>WMWXU72090TR61796</t>
    <phoneticPr fontId="13"/>
  </si>
  <si>
    <t>WMWXT320302L53502</t>
    <phoneticPr fontId="13"/>
  </si>
  <si>
    <t>北九州 581 て 4250</t>
    <rPh sb="0" eb="3">
      <t>キタキュウシュウ</t>
    </rPh>
    <phoneticPr fontId="13"/>
  </si>
  <si>
    <t>3/19</t>
    <phoneticPr fontId="13"/>
  </si>
  <si>
    <t>品川 5X3 ろ 6885</t>
    <rPh sb="0" eb="2">
      <t>シナガワ</t>
    </rPh>
    <phoneticPr fontId="13"/>
  </si>
  <si>
    <t>三重 591 め 810</t>
    <rPh sb="0" eb="2">
      <t>ミエ</t>
    </rPh>
    <phoneticPr fontId="13"/>
  </si>
  <si>
    <t>三重 582 そ 1813</t>
    <rPh sb="0" eb="2">
      <t>ミエ</t>
    </rPh>
    <phoneticPr fontId="13"/>
  </si>
  <si>
    <t>広島 480 ぬ 8726</t>
    <rPh sb="0" eb="2">
      <t>ヒロシマ</t>
    </rPh>
    <phoneticPr fontId="13"/>
  </si>
  <si>
    <t>福山 330 ま 4416</t>
    <rPh sb="0" eb="2">
      <t>フクヤマ</t>
    </rPh>
    <phoneticPr fontId="13"/>
  </si>
  <si>
    <t>徳島 335 て 1100</t>
    <rPh sb="0" eb="2">
      <t>トクシマ</t>
    </rPh>
    <phoneticPr fontId="13"/>
  </si>
  <si>
    <t>株式会社ｲｰﾀﾞｯｼｭ</t>
    <rPh sb="0" eb="4">
      <t>カブシキガイシャ</t>
    </rPh>
    <phoneticPr fontId="13"/>
  </si>
  <si>
    <t>阪本 淳</t>
    <rPh sb="0" eb="2">
      <t>サカモト</t>
    </rPh>
    <rPh sb="3" eb="4">
      <t>ジュン</t>
    </rPh>
    <phoneticPr fontId="13"/>
  </si>
  <si>
    <t>品川 5X3 ろ 3342</t>
    <rPh sb="0" eb="2">
      <t>シナガワ</t>
    </rPh>
    <phoneticPr fontId="13"/>
  </si>
  <si>
    <t>株式会社ｱｸﾃｨｵ</t>
    <rPh sb="0" eb="4">
      <t>カブシキガイシャ</t>
    </rPh>
    <phoneticPr fontId="13"/>
  </si>
  <si>
    <t>ｽﾍﾟｱｷｰかも？保管中 ZIP言われたら送る</t>
    <rPh sb="9" eb="11">
      <t>ホカン</t>
    </rPh>
    <rPh sb="11" eb="12">
      <t>　</t>
    </rPh>
    <rPh sb="15" eb="20">
      <t>イワレタラ</t>
    </rPh>
    <rPh sb="20" eb="22">
      <t>オクル</t>
    </rPh>
    <phoneticPr fontId="13"/>
  </si>
  <si>
    <t>MH85S-126266</t>
    <phoneticPr fontId="13"/>
  </si>
  <si>
    <t>山口 531 ち 595</t>
    <rPh sb="0" eb="2">
      <t>ヤマグチ</t>
    </rPh>
    <phoneticPr fontId="13"/>
  </si>
  <si>
    <t>有福 栄治</t>
    <rPh sb="0" eb="2">
      <t>ユウフク</t>
    </rPh>
    <rPh sb="3" eb="4">
      <t>エイ</t>
    </rPh>
    <rPh sb="4" eb="5">
      <t>ジ</t>
    </rPh>
    <phoneticPr fontId="13"/>
  </si>
  <si>
    <t>岡山 399 な 4874</t>
    <rPh sb="0" eb="2">
      <t>オカヤマ</t>
    </rPh>
    <phoneticPr fontId="13"/>
  </si>
  <si>
    <t>足立 331 の 1720</t>
    <rPh sb="0" eb="2">
      <t>アダチ</t>
    </rPh>
    <phoneticPr fontId="13"/>
  </si>
  <si>
    <t>三河 338 ゆ 1108</t>
    <rPh sb="0" eb="2">
      <t>ミカワ</t>
    </rPh>
    <phoneticPr fontId="13"/>
  </si>
  <si>
    <t>相模久 302 な 2464</t>
    <rPh sb="0" eb="2">
      <t>サガミ</t>
    </rPh>
    <rPh sb="2" eb="3">
      <t>ク</t>
    </rPh>
    <phoneticPr fontId="13"/>
  </si>
  <si>
    <t>株式会社ﾌｧｲﾌﾞｽﾀｰ東名横浜</t>
    <rPh sb="0" eb="4">
      <t>カブシキガイシャ</t>
    </rPh>
    <rPh sb="12" eb="14">
      <t>トウメイ</t>
    </rPh>
    <rPh sb="14" eb="16">
      <t>ヨコハマ</t>
    </rPh>
    <phoneticPr fontId="13"/>
  </si>
  <si>
    <t>品川 39A も 1806</t>
    <rPh sb="0" eb="2">
      <t>シナガワ</t>
    </rPh>
    <phoneticPr fontId="13"/>
  </si>
  <si>
    <t>宇都宮 399 ぬ 9878</t>
    <rPh sb="0" eb="3">
      <t>ウツノミヤ</t>
    </rPh>
    <phoneticPr fontId="13"/>
  </si>
  <si>
    <t>ﾐｯﾄﾞﾗﾝｽﾞ株式会社</t>
    <rPh sb="8" eb="12">
      <t>カブシキガイシャ</t>
    </rPh>
    <phoneticPr fontId="13"/>
  </si>
  <si>
    <t>福岡 373 す 1103</t>
    <rPh sb="0" eb="2">
      <t>フクオカ</t>
    </rPh>
    <phoneticPr fontId="13"/>
  </si>
  <si>
    <t>朝日自動車株式会社</t>
    <rPh sb="0" eb="2">
      <t>アサヒ</t>
    </rPh>
    <rPh sb="2" eb="9">
      <t>ジドウシャカブシキガイシャ</t>
    </rPh>
    <phoneticPr fontId="13"/>
  </si>
  <si>
    <t>なにわ 59C さ 1177</t>
    <phoneticPr fontId="13"/>
  </si>
  <si>
    <t>久留米 330 ね 2838</t>
    <rPh sb="0" eb="3">
      <t>クルメ</t>
    </rPh>
    <phoneticPr fontId="13"/>
  </si>
  <si>
    <t>保証書 取説 ｷｰﾚｽ  印鑑証明6/2まで</t>
    <rPh sb="0" eb="3">
      <t>ホショウショ</t>
    </rPh>
    <rPh sb="4" eb="6">
      <t>トリセツ</t>
    </rPh>
    <rPh sb="13" eb="17">
      <t>インカンショウメイ</t>
    </rPh>
    <phoneticPr fontId="13"/>
  </si>
  <si>
    <t>三重 333 る 7733</t>
    <rPh sb="0" eb="2">
      <t>ミエ</t>
    </rPh>
    <phoneticPr fontId="13"/>
  </si>
  <si>
    <t>保証書 取説 ｷｰﾚｽ 印鑑証明5/11まで</t>
    <rPh sb="0" eb="3">
      <t>ホショウショ</t>
    </rPh>
    <rPh sb="4" eb="6">
      <t>トリセツ</t>
    </rPh>
    <rPh sb="12" eb="16">
      <t>インカンショウメイ</t>
    </rPh>
    <phoneticPr fontId="13"/>
  </si>
  <si>
    <t>名古屋 58A み 6973</t>
    <rPh sb="0" eb="3">
      <t>ナゴヤ</t>
    </rPh>
    <phoneticPr fontId="13"/>
  </si>
  <si>
    <t>株式会社ZAIN</t>
    <rPh sb="0" eb="4">
      <t>カブシキガイシャ</t>
    </rPh>
    <phoneticPr fontId="13"/>
  </si>
  <si>
    <t>岐阜 331 む 1520</t>
    <rPh sb="0" eb="2">
      <t>ギフ</t>
    </rPh>
    <phoneticPr fontId="13"/>
  </si>
  <si>
    <t>NTP名古屋ﾄﾖﾍﾟｯﾄ株式会社</t>
    <phoneticPr fontId="13"/>
  </si>
  <si>
    <t>保証書 取説 ｷｰﾚｽ 印鑑証明6/2まで</t>
    <rPh sb="0" eb="3">
      <t>ホショウショ</t>
    </rPh>
    <rPh sb="4" eb="6">
      <t>トリセツ</t>
    </rPh>
    <rPh sb="12" eb="16">
      <t>インカンショウメイ</t>
    </rPh>
    <phoneticPr fontId="13"/>
  </si>
  <si>
    <t>春日井 582 ろ 9392</t>
    <rPh sb="0" eb="3">
      <t>カスガイ</t>
    </rPh>
    <phoneticPr fontId="13"/>
  </si>
  <si>
    <t>なにわ 581 あ 8706</t>
    <phoneticPr fontId="13"/>
  </si>
  <si>
    <t>保証書 Ｓキー</t>
    <rPh sb="0" eb="3">
      <t>ホショウショ</t>
    </rPh>
    <phoneticPr fontId="13"/>
  </si>
  <si>
    <t>大阪 582 な 7597</t>
    <rPh sb="0" eb="2">
      <t>オオサカ</t>
    </rPh>
    <phoneticPr fontId="13"/>
  </si>
  <si>
    <t>保証書 取説 Ｓキー</t>
    <rPh sb="0" eb="3">
      <t>ホショウショ</t>
    </rPh>
    <rPh sb="4" eb="6">
      <t>トリセツ</t>
    </rPh>
    <phoneticPr fontId="13"/>
  </si>
  <si>
    <t>滋賀 582 ろ 9341</t>
    <rPh sb="0" eb="2">
      <t>シガ</t>
    </rPh>
    <phoneticPr fontId="13"/>
  </si>
  <si>
    <t>品川 39A み 8747</t>
    <rPh sb="0" eb="2">
      <t>シナガワ</t>
    </rPh>
    <phoneticPr fontId="13"/>
  </si>
  <si>
    <t>Ｓキー</t>
    <phoneticPr fontId="13"/>
  </si>
  <si>
    <t>和泉 584 こ 43</t>
    <rPh sb="0" eb="2">
      <t>イズミ</t>
    </rPh>
    <phoneticPr fontId="13"/>
  </si>
  <si>
    <t>地図SD(車内)保証書 取説 Ｓキー</t>
    <rPh sb="0" eb="2">
      <t>チズ</t>
    </rPh>
    <rPh sb="8" eb="11">
      <t>ホショウショ</t>
    </rPh>
    <rPh sb="12" eb="14">
      <t>トリセツ</t>
    </rPh>
    <phoneticPr fontId="13"/>
  </si>
  <si>
    <t>神戸 344 つ 226</t>
    <rPh sb="0" eb="2">
      <t>コウベ</t>
    </rPh>
    <phoneticPr fontId="13"/>
  </si>
  <si>
    <t>ﾈｯﾂﾄﾖﾀｳｴｽﾄ兵庫株式会社</t>
    <rPh sb="10" eb="12">
      <t>ヒョウゴ</t>
    </rPh>
    <rPh sb="12" eb="16">
      <t>カブシキガイシャ</t>
    </rPh>
    <phoneticPr fontId="13"/>
  </si>
  <si>
    <t>多摩 592 ろ 8616</t>
    <rPh sb="0" eb="2">
      <t>タマ</t>
    </rPh>
    <phoneticPr fontId="13"/>
  </si>
  <si>
    <t>なにわ 5X0 ろ 3425</t>
    <phoneticPr fontId="13"/>
  </si>
  <si>
    <t>なにわ 581 せ 9914</t>
    <phoneticPr fontId="13"/>
  </si>
  <si>
    <t>品川 5X1 ろ 888</t>
    <rPh sb="0" eb="2">
      <t>シナガワ</t>
    </rPh>
    <phoneticPr fontId="13"/>
  </si>
  <si>
    <t>高知 480 た 2323</t>
    <rPh sb="0" eb="2">
      <t>コウチ</t>
    </rPh>
    <phoneticPr fontId="13"/>
  </si>
  <si>
    <t>仙台 586 ろ 5825</t>
    <rPh sb="0" eb="2">
      <t>センダイ</t>
    </rPh>
    <phoneticPr fontId="13"/>
  </si>
  <si>
    <t>株式会社ｵｰｴｽ</t>
    <rPh sb="0" eb="4">
      <t>カブシキガイシャ</t>
    </rPh>
    <phoneticPr fontId="13"/>
  </si>
  <si>
    <t>保証書 取説 Ｓキー ﾛｯｸﾅｯﾄ</t>
    <rPh sb="0" eb="3">
      <t>ホショウショ</t>
    </rPh>
    <rPh sb="4" eb="6">
      <t>トリセツ</t>
    </rPh>
    <phoneticPr fontId="13"/>
  </si>
  <si>
    <t>鳥取 580 よ 572</t>
    <rPh sb="0" eb="2">
      <t>トットリ</t>
    </rPh>
    <phoneticPr fontId="13"/>
  </si>
  <si>
    <t>日本海三菱自動車販売株式会社</t>
    <rPh sb="0" eb="3">
      <t>ニホンカイ</t>
    </rPh>
    <rPh sb="3" eb="14">
      <t>ミツビシジドウシャハンバイカブシキガイシャ</t>
    </rPh>
    <phoneticPr fontId="13"/>
  </si>
  <si>
    <t>高知 580 ひ 4044</t>
    <rPh sb="0" eb="2">
      <t>コウチ</t>
    </rPh>
    <phoneticPr fontId="13"/>
  </si>
  <si>
    <t>株式会社ｽｽﾞｷ自販高知</t>
    <rPh sb="0" eb="4">
      <t>カブシキガイシャ</t>
    </rPh>
    <rPh sb="8" eb="12">
      <t>ジハンコウチ</t>
    </rPh>
    <phoneticPr fontId="13"/>
  </si>
  <si>
    <t>582 う 4640</t>
    <phoneticPr fontId="13"/>
  </si>
  <si>
    <t>582 う 4641</t>
    <phoneticPr fontId="13"/>
  </si>
  <si>
    <t>品川 48F ろ 9975</t>
    <rPh sb="0" eb="2">
      <t>シナガワ</t>
    </rPh>
    <phoneticPr fontId="13"/>
  </si>
  <si>
    <t>3/20</t>
    <phoneticPr fontId="13"/>
  </si>
  <si>
    <t>長崎 400 そ 5323</t>
    <rPh sb="0" eb="2">
      <t>ナガサキ</t>
    </rPh>
    <phoneticPr fontId="13"/>
  </si>
  <si>
    <t>株式会社ﾄﾖﾀﾚﾝﾀﾘｰｽ長崎</t>
    <rPh sb="0" eb="4">
      <t>カブシキガイシャ</t>
    </rPh>
    <rPh sb="13" eb="15">
      <t>ナガサキ</t>
    </rPh>
    <phoneticPr fontId="13"/>
  </si>
  <si>
    <t>山口ﾀﾞｲﾊﾂ販売株式会社</t>
    <rPh sb="0" eb="2">
      <t>ヤマグチ</t>
    </rPh>
    <rPh sb="7" eb="13">
      <t>ハンバイカブシキガイシャ</t>
    </rPh>
    <phoneticPr fontId="13"/>
  </si>
  <si>
    <t>広島 333 ゆ 2510</t>
    <rPh sb="0" eb="2">
      <t>ヒロシマ</t>
    </rPh>
    <phoneticPr fontId="13"/>
  </si>
  <si>
    <t>品川 5X3 ろ 6225</t>
    <rPh sb="0" eb="2">
      <t>シナガワ</t>
    </rPh>
    <phoneticPr fontId="13"/>
  </si>
  <si>
    <t>岡山 581 ね 209</t>
    <rPh sb="0" eb="2">
      <t>オカヤマ</t>
    </rPh>
    <phoneticPr fontId="13"/>
  </si>
  <si>
    <t>株式会社ﾄﾖﾀﾚﾝﾀﾘｰｽ新岡山</t>
    <rPh sb="0" eb="4">
      <t>カブシキガイシャ</t>
    </rPh>
    <rPh sb="13" eb="16">
      <t>シンオカヤマ</t>
    </rPh>
    <phoneticPr fontId="13"/>
  </si>
  <si>
    <t>福山 356 り 3</t>
    <rPh sb="0" eb="2">
      <t>フクヤマ</t>
    </rPh>
    <phoneticPr fontId="13"/>
  </si>
  <si>
    <t>福山 300 ゆ 5334</t>
    <rPh sb="0" eb="2">
      <t>フクヤマ</t>
    </rPh>
    <phoneticPr fontId="13"/>
  </si>
  <si>
    <t>大阪 399 ゆ 3839</t>
    <rPh sb="0" eb="2">
      <t>オオサカ</t>
    </rPh>
    <phoneticPr fontId="13"/>
  </si>
  <si>
    <t>福岡 303 さ 5365</t>
    <rPh sb="0" eb="2">
      <t>フクオカ</t>
    </rPh>
    <phoneticPr fontId="13"/>
  </si>
  <si>
    <t>株式会社堀兄弟自動車</t>
    <rPh sb="0" eb="4">
      <t>カブシキガイシャ</t>
    </rPh>
    <rPh sb="4" eb="5">
      <t>ホリ</t>
    </rPh>
    <rPh sb="5" eb="7">
      <t>キョウダイ</t>
    </rPh>
    <rPh sb="7" eb="10">
      <t>ジドウシャ</t>
    </rPh>
    <phoneticPr fontId="13"/>
  </si>
  <si>
    <t>堺 399 ひ 8378</t>
    <rPh sb="0" eb="1">
      <t>サカイ</t>
    </rPh>
    <phoneticPr fontId="13"/>
  </si>
  <si>
    <t>取説 ｷｰﾚｽ 記録紙1枚</t>
    <rPh sb="0" eb="2">
      <t>トリセツ</t>
    </rPh>
    <rPh sb="8" eb="11">
      <t>キロクシ</t>
    </rPh>
    <rPh sb="12" eb="13">
      <t>マイ</t>
    </rPh>
    <phoneticPr fontId="13"/>
  </si>
  <si>
    <t>大阪 304 た 1844</t>
    <rPh sb="0" eb="2">
      <t>オオサカ</t>
    </rPh>
    <phoneticPr fontId="13"/>
  </si>
  <si>
    <t>松創国際株式会社</t>
    <rPh sb="0" eb="1">
      <t>マツ</t>
    </rPh>
    <rPh sb="1" eb="2">
      <t>ソウ</t>
    </rPh>
    <rPh sb="2" eb="4">
      <t>コクサイ</t>
    </rPh>
    <rPh sb="4" eb="8">
      <t>カブシキガイシャ</t>
    </rPh>
    <phoneticPr fontId="13"/>
  </si>
  <si>
    <t>姫路 483 ろ 7335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</si>
  <si>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</si>
  <si>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福山 590 ち 310</t>
    <rPh sb="0" eb="2">
      <t>フクヤマ</t>
    </rPh>
    <phoneticPr fontId="13"/>
  </si>
  <si>
    <t>有限会社松葉ﾓｰﾀｰｽ</t>
    <rPh sb="0" eb="4">
      <t>ユウゲンカイシャ</t>
    </rPh>
    <rPh sb="4" eb="6">
      <t>マツバ</t>
    </rPh>
    <phoneticPr fontId="13"/>
  </si>
  <si>
    <t>山口 480 て 7701</t>
    <rPh sb="0" eb="2">
      <t>ヤマグチ</t>
    </rPh>
    <phoneticPr fontId="13"/>
  </si>
  <si>
    <t>岡 英雄</t>
    <rPh sb="0" eb="1">
      <t>オカ</t>
    </rPh>
    <rPh sb="2" eb="4">
      <t>ヒデオ</t>
    </rPh>
    <phoneticPr fontId="13"/>
  </si>
  <si>
    <t>大坂 581 み 24</t>
    <rPh sb="0" eb="2">
      <t>オオサカ</t>
    </rPh>
    <phoneticPr fontId="13"/>
  </si>
  <si>
    <t>大坂ﾀﾞｲﾊﾂ販売株式会社</t>
    <rPh sb="0" eb="2">
      <t>オオサカ</t>
    </rPh>
    <rPh sb="7" eb="13">
      <t>ハンバイカブシキガイシャ</t>
    </rPh>
    <phoneticPr fontId="13"/>
  </si>
  <si>
    <t>鳥取 580 ほ 3594</t>
    <rPh sb="0" eb="2">
      <t>トットリ</t>
    </rPh>
    <phoneticPr fontId="13"/>
  </si>
  <si>
    <t>鳥取ﾄﾖﾍﾟｯﾄ株式会社</t>
    <rPh sb="0" eb="2">
      <t>トットリ</t>
    </rPh>
    <rPh sb="8" eb="12">
      <t>カブシキガイシャ</t>
    </rPh>
    <phoneticPr fontId="13"/>
  </si>
  <si>
    <t>株式会社Ricｋer s</t>
    <rPh sb="0" eb="4">
      <t>カブシキガイシャ</t>
    </rPh>
    <phoneticPr fontId="13"/>
  </si>
  <si>
    <t>大坂 784 ふ 111</t>
    <rPh sb="0" eb="2">
      <t>オオサカ</t>
    </rPh>
    <phoneticPr fontId="13"/>
  </si>
  <si>
    <t>松山 智樹</t>
    <rPh sb="0" eb="2">
      <t>マツヤマ</t>
    </rPh>
    <rPh sb="3" eb="5">
      <t>トモキ</t>
    </rPh>
    <phoneticPr fontId="13"/>
  </si>
  <si>
    <t>和泉 585 ろ 9359</t>
    <rPh sb="0" eb="2">
      <t>イズミ</t>
    </rPh>
    <phoneticPr fontId="13"/>
  </si>
  <si>
    <t>岡山 584 ろ 3826</t>
    <rPh sb="0" eb="2">
      <t>オカヤマ</t>
    </rPh>
    <phoneticPr fontId="13"/>
  </si>
  <si>
    <t>保証書 取説 ｷｰﾚｽ ﾅﾋﾞ取 ﾘﾓｺﾝ ﾛｯｸﾅｯﾄ ﾜﾝｵｰﾅｰ</t>
    <rPh sb="0" eb="3">
      <t>ホショウショ</t>
    </rPh>
    <rPh sb="4" eb="6">
      <t>トリセツ</t>
    </rPh>
    <rPh sb="15" eb="16">
      <t>トリ</t>
    </rPh>
    <phoneticPr fontId="13"/>
  </si>
  <si>
    <t>保証書 取説 ｷｰﾚｽ ﾏｲｸﾛSD ﾜﾝｵｰﾅｰ</t>
    <rPh sb="0" eb="3">
      <t>ホショウショ</t>
    </rPh>
    <rPh sb="4" eb="6">
      <t>トリセツ</t>
    </rPh>
    <phoneticPr fontId="13"/>
  </si>
  <si>
    <t>滋賀 301 め 9666</t>
    <rPh sb="0" eb="2">
      <t>シガ</t>
    </rPh>
    <phoneticPr fontId="13"/>
  </si>
  <si>
    <t>ﾏｲｸﾛ地図SD(車内)保証書 取説 ﾅﾋﾞ取 ﾜﾝｵｰﾅｰ？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</si>
  <si>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香川 530 て 4432</t>
    <rPh sb="0" eb="2">
      <t>カガワ</t>
    </rPh>
    <phoneticPr fontId="13"/>
  </si>
  <si>
    <t>瀬尾 彰二</t>
    <rPh sb="0" eb="2">
      <t>セオ</t>
    </rPh>
    <rPh sb="3" eb="4">
      <t>アキラ</t>
    </rPh>
    <rPh sb="4" eb="5">
      <t>ニ</t>
    </rPh>
    <phoneticPr fontId="13"/>
  </si>
  <si>
    <t>岡山 400 な 6022</t>
    <rPh sb="0" eb="2">
      <t>オカヤマ</t>
    </rPh>
    <phoneticPr fontId="13"/>
  </si>
  <si>
    <t>株式会社ｽｽﾞｷ自販徳島</t>
    <phoneticPr fontId="13"/>
  </si>
  <si>
    <t>徳島 580 ち 2183</t>
    <rPh sb="0" eb="2">
      <t>トクシマ</t>
    </rPh>
    <phoneticPr fontId="13"/>
  </si>
  <si>
    <t>徳島 580 な 9821</t>
    <rPh sb="0" eb="2">
      <t>トクシマ</t>
    </rPh>
    <phoneticPr fontId="13"/>
  </si>
  <si>
    <t>徳島 530 は 380</t>
    <rPh sb="0" eb="2">
      <t>トクシマ</t>
    </rPh>
    <phoneticPr fontId="13"/>
  </si>
  <si>
    <t>なにわ 340 の 202</t>
    <phoneticPr fontId="13"/>
  </si>
  <si>
    <t>株式会社Nexst</t>
    <rPh sb="0" eb="4">
      <t>カブシキガイシャ</t>
    </rPh>
    <phoneticPr fontId="13"/>
  </si>
  <si>
    <t>保証書 取説 ｷｰﾚｽ ﾜﾝｵｰﾅｰ 印鑑証明6/5まで</t>
    <rPh sb="0" eb="3">
      <t>ホショウショ</t>
    </rPh>
    <rPh sb="4" eb="6">
      <t>トリセツ</t>
    </rPh>
    <rPh sb="19" eb="21">
      <t>インカン</t>
    </rPh>
    <rPh sb="21" eb="23">
      <t>ショウメイ</t>
    </rPh>
    <phoneticPr fontId="13"/>
  </si>
  <si>
    <t>姫路 399 な 6519</t>
    <rPh sb="0" eb="2">
      <t>ヒメジ</t>
    </rPh>
    <phoneticPr fontId="13"/>
  </si>
  <si>
    <t>愛媛 300 ら 914</t>
    <rPh sb="0" eb="2">
      <t>エヒメ</t>
    </rPh>
    <phoneticPr fontId="13"/>
  </si>
  <si>
    <t>日比野 宏美</t>
    <rPh sb="0" eb="3">
      <t>ヒビノ</t>
    </rPh>
    <rPh sb="4" eb="6">
      <t>ヒロミ</t>
    </rPh>
    <phoneticPr fontId="13"/>
  </si>
  <si>
    <t>有限会社 プロローグ</t>
    <rPh sb="0" eb="4">
      <t>ユウゲンカイシャ</t>
    </rPh>
    <phoneticPr fontId="13"/>
  </si>
  <si>
    <t>保証書 取説 ｽﾍﾟｱｷｰ車内ありOK</t>
    <rPh sb="0" eb="3">
      <t>ホショウショ</t>
    </rPh>
    <rPh sb="4" eb="6">
      <t>トリセツ</t>
    </rPh>
    <rPh sb="13" eb="15">
      <t>シャナイ</t>
    </rPh>
    <phoneticPr fontId="13"/>
  </si>
  <si>
    <t>広島 332 ち 3011</t>
    <rPh sb="0" eb="2">
      <t>ヒロシマ</t>
    </rPh>
    <phoneticPr fontId="13"/>
  </si>
  <si>
    <t>山口 301 つ 4435</t>
    <rPh sb="0" eb="2">
      <t>ヤマグチ</t>
    </rPh>
    <phoneticPr fontId="13"/>
  </si>
  <si>
    <t>山口ﾏﾂﾀﾞ株式会社</t>
    <rPh sb="0" eb="2">
      <t>ヤマグチ</t>
    </rPh>
    <rPh sb="6" eb="10">
      <t>カブシキガイシャ</t>
    </rPh>
    <phoneticPr fontId="13"/>
  </si>
  <si>
    <t>相模 356 ま 32</t>
    <rPh sb="0" eb="2">
      <t>サガミ</t>
    </rPh>
    <phoneticPr fontId="13"/>
  </si>
  <si>
    <t>合同会社ENDLESS</t>
    <rPh sb="0" eb="4">
      <t>ゴウドウカイシャ</t>
    </rPh>
    <phoneticPr fontId="13"/>
  </si>
  <si>
    <t>奈良 336 ゆ 307</t>
    <rPh sb="0" eb="2">
      <t>ナラ</t>
    </rPh>
    <phoneticPr fontId="13"/>
  </si>
  <si>
    <t>大分 533 た 813</t>
    <rPh sb="0" eb="2">
      <t>オオイタ</t>
    </rPh>
    <phoneticPr fontId="13"/>
  </si>
  <si>
    <t>名古屋 336 す 3298</t>
    <rPh sb="0" eb="3">
      <t>ナゴヤ</t>
    </rPh>
    <phoneticPr fontId="13"/>
  </si>
  <si>
    <t>株式会社ﾎﾝﾀﾞﾓﾋﾞﾘﾃｨ中部</t>
    <rPh sb="14" eb="16">
      <t>チュウブ</t>
    </rPh>
    <phoneticPr fontId="13"/>
  </si>
  <si>
    <t>取説 ｽﾍﾟｱｷｰ</t>
    <phoneticPr fontId="13"/>
  </si>
  <si>
    <t>横浜　365　て 1012</t>
    <rPh sb="0" eb="2">
      <t>ヨコハマ</t>
    </rPh>
    <phoneticPr fontId="13"/>
  </si>
  <si>
    <t>永迫 智規</t>
    <rPh sb="0" eb="2">
      <t>ナガサコ</t>
    </rPh>
    <rPh sb="3" eb="4">
      <t>トモ</t>
    </rPh>
    <rPh sb="4" eb="5">
      <t>キ</t>
    </rPh>
    <phoneticPr fontId="13"/>
  </si>
  <si>
    <t>広島 581 は 1611</t>
    <rPh sb="0" eb="2">
      <t>ヒロシマ</t>
    </rPh>
    <phoneticPr fontId="13"/>
  </si>
  <si>
    <t>株式会社ｻｺﾀﾞ車輛</t>
    <rPh sb="8" eb="10">
      <t>シャリョウ</t>
    </rPh>
    <phoneticPr fontId="13"/>
  </si>
  <si>
    <t>広島 583 う 4583</t>
    <rPh sb="0" eb="2">
      <t>ヒロシマ</t>
    </rPh>
    <phoneticPr fontId="13"/>
  </si>
  <si>
    <t>岡崎 580 ね 9565</t>
    <rPh sb="0" eb="2">
      <t>オカザキ</t>
    </rPh>
    <phoneticPr fontId="13"/>
  </si>
  <si>
    <t>中村 誠</t>
    <rPh sb="0" eb="2">
      <t>ナカムラ</t>
    </rPh>
    <rPh sb="3" eb="4">
      <t>マコト</t>
    </rPh>
    <phoneticPr fontId="13"/>
  </si>
  <si>
    <t xml:space="preserve">取説 ﾅﾋﾞ取 ｽﾍﾟｱｷｰ(車内)保証書 SD </t>
    <rPh sb="0" eb="2">
      <t>トリセツ</t>
    </rPh>
    <rPh sb="6" eb="7">
      <t>トリ</t>
    </rPh>
    <rPh sb="15" eb="17">
      <t>シャナイ</t>
    </rPh>
    <rPh sb="18" eb="21">
      <t>ホショウショ</t>
    </rPh>
    <phoneticPr fontId="13"/>
  </si>
  <si>
    <t>京都 580 わ 8443</t>
    <rPh sb="0" eb="2">
      <t>キョウト</t>
    </rPh>
    <phoneticPr fontId="13"/>
  </si>
  <si>
    <t>取説 ｽﾍﾟｱｷｰ(車内)保証書 SD</t>
    <rPh sb="0" eb="2">
      <t>トリセツ</t>
    </rPh>
    <rPh sb="10" eb="12">
      <t>シャナイ</t>
    </rPh>
    <rPh sb="13" eb="16">
      <t>ホショウショ</t>
    </rPh>
    <phoneticPr fontId="13"/>
  </si>
  <si>
    <t>島根 580 よ 7227</t>
    <rPh sb="0" eb="2">
      <t>シマネ</t>
    </rPh>
    <phoneticPr fontId="13"/>
  </si>
  <si>
    <t>徳島 580 よ 5698</t>
    <rPh sb="0" eb="2">
      <t>トクシマ</t>
    </rPh>
    <phoneticPr fontId="13"/>
  </si>
  <si>
    <t>島根 480 せ 9411</t>
    <rPh sb="0" eb="2">
      <t>シマネ</t>
    </rPh>
    <phoneticPr fontId="13"/>
  </si>
  <si>
    <t>保証書 取説 ｷｰﾚｽ SD(車内)</t>
    <rPh sb="0" eb="3">
      <t>ホショウショ</t>
    </rPh>
    <rPh sb="4" eb="6">
      <t>トリセツ</t>
    </rPh>
    <rPh sb="15" eb="17">
      <t>シャナイ</t>
    </rPh>
    <phoneticPr fontId="13"/>
  </si>
  <si>
    <t>八王子 583 か 3955</t>
    <rPh sb="0" eb="3">
      <t>ハチオウジ</t>
    </rPh>
    <phoneticPr fontId="13"/>
  </si>
  <si>
    <t>水村 英子</t>
    <rPh sb="0" eb="2">
      <t>ミズムラ</t>
    </rPh>
    <rPh sb="3" eb="5">
      <t>ヒデコ</t>
    </rPh>
    <phoneticPr fontId="13"/>
  </si>
  <si>
    <t>佐賀 300 や 9410</t>
    <rPh sb="0" eb="2">
      <t>サガ</t>
    </rPh>
    <phoneticPr fontId="13"/>
  </si>
  <si>
    <t>27-3618</t>
  </si>
  <si>
    <t>27-3619</t>
  </si>
  <si>
    <t>27-3620</t>
  </si>
  <si>
    <t>27-3621</t>
  </si>
  <si>
    <t>27-3622</t>
  </si>
  <si>
    <t>27-3623</t>
  </si>
  <si>
    <t>27-3624</t>
  </si>
  <si>
    <t>27-3625</t>
  </si>
  <si>
    <t>27-3626</t>
  </si>
  <si>
    <t>27-3627</t>
  </si>
  <si>
    <t>27-3628</t>
  </si>
  <si>
    <t>27-3629</t>
  </si>
  <si>
    <t>27-3630</t>
  </si>
  <si>
    <t>27-3631</t>
  </si>
  <si>
    <t>27-3632</t>
  </si>
  <si>
    <t>BMWﾐﾆ　ﾜﾝｸﾛｽｵｰﾊﾞｰ</t>
    <phoneticPr fontId="13"/>
  </si>
  <si>
    <t>WMWYV720403B88580</t>
    <phoneticPr fontId="13"/>
  </si>
  <si>
    <t>W1K1770512V074133</t>
    <phoneticPr fontId="13"/>
  </si>
  <si>
    <t>BMW530　Iﾂｰﾘﾝｸﾞ　Mｽﾎﾟｰﾂ</t>
    <phoneticPr fontId="13"/>
  </si>
  <si>
    <t>WBA32BM060CF72864</t>
    <phoneticPr fontId="13"/>
  </si>
  <si>
    <t>MﾍﾞﾝﾂB200ｄ</t>
    <phoneticPr fontId="13"/>
  </si>
  <si>
    <t>W1K2470122J288749</t>
    <phoneticPr fontId="13"/>
  </si>
  <si>
    <t>MﾍﾞﾝﾂE200　SP</t>
    <phoneticPr fontId="13"/>
  </si>
  <si>
    <t>W1K2130772A868012</t>
    <phoneticPr fontId="13"/>
  </si>
  <si>
    <t>27-3633</t>
  </si>
  <si>
    <t>27-3634</t>
  </si>
  <si>
    <t>27-3635</t>
  </si>
  <si>
    <t>27-3636</t>
  </si>
  <si>
    <t>27-3637</t>
  </si>
  <si>
    <t>27-3638</t>
  </si>
  <si>
    <t>27-3639</t>
  </si>
  <si>
    <t>27-3640</t>
  </si>
  <si>
    <t>27-3641</t>
  </si>
  <si>
    <t>27-3642</t>
  </si>
  <si>
    <t>27-3643</t>
  </si>
  <si>
    <t>27-3644</t>
  </si>
  <si>
    <t>27-3645</t>
  </si>
  <si>
    <t>27-3646</t>
  </si>
  <si>
    <t>27-3647</t>
  </si>
  <si>
    <t>27-3648</t>
  </si>
  <si>
    <t>27-3649</t>
  </si>
  <si>
    <t>27-3650</t>
  </si>
  <si>
    <t>27-3651</t>
  </si>
  <si>
    <t>27-3652</t>
  </si>
  <si>
    <t>27-3653</t>
  </si>
  <si>
    <t>27-3654</t>
  </si>
  <si>
    <t>27-3655</t>
  </si>
  <si>
    <t>27-3656</t>
  </si>
  <si>
    <t>27-3657</t>
  </si>
  <si>
    <t>27-3658</t>
  </si>
  <si>
    <t>27-3659</t>
  </si>
  <si>
    <t>27-3660</t>
  </si>
  <si>
    <t>27-3661</t>
  </si>
  <si>
    <t>27-3662</t>
  </si>
  <si>
    <t>27-3663</t>
  </si>
  <si>
    <t>27-3664</t>
  </si>
  <si>
    <t>27-3665</t>
  </si>
  <si>
    <t>27-3666</t>
  </si>
  <si>
    <t>27-3667</t>
  </si>
  <si>
    <t>27-3668</t>
  </si>
  <si>
    <t>27-3669</t>
  </si>
  <si>
    <t>27-3670</t>
  </si>
  <si>
    <t>LA350S-0326019</t>
    <phoneticPr fontId="13"/>
  </si>
  <si>
    <t>LA350S-0400864</t>
    <phoneticPr fontId="13"/>
  </si>
  <si>
    <t>JF3-1526397</t>
    <phoneticPr fontId="13"/>
  </si>
  <si>
    <t>MK32S-222992</t>
    <phoneticPr fontId="13"/>
  </si>
  <si>
    <t>LA600S-0537788</t>
    <phoneticPr fontId="13"/>
  </si>
  <si>
    <t>JF1-2507131</t>
    <phoneticPr fontId="13"/>
  </si>
  <si>
    <t>JF1-1629701</t>
    <phoneticPr fontId="13"/>
  </si>
  <si>
    <t>JF3-2374457</t>
    <phoneticPr fontId="13"/>
  </si>
  <si>
    <t>ZVW51-6052409</t>
    <phoneticPr fontId="13"/>
  </si>
  <si>
    <t>JF1-2530060</t>
    <phoneticPr fontId="13"/>
  </si>
  <si>
    <t>ﾉｰﾄ　eﾊﾟﾜｰ</t>
    <phoneticPr fontId="13"/>
  </si>
  <si>
    <t>E13-028829</t>
    <phoneticPr fontId="13"/>
  </si>
  <si>
    <t>BPFP-115330</t>
    <phoneticPr fontId="13"/>
  </si>
  <si>
    <t>TRH200-0238484</t>
    <phoneticPr fontId="13"/>
  </si>
  <si>
    <t>BN9-005143</t>
    <phoneticPr fontId="13"/>
  </si>
  <si>
    <t>LA400K-0042407</t>
    <phoneticPr fontId="13"/>
  </si>
  <si>
    <t>S510P-0644077</t>
    <phoneticPr fontId="13"/>
  </si>
  <si>
    <t>MK42S-201133</t>
    <phoneticPr fontId="13"/>
  </si>
  <si>
    <t>LA800S-0269911</t>
    <phoneticPr fontId="13"/>
  </si>
  <si>
    <t>LA660S-0070681</t>
    <phoneticPr fontId="13"/>
  </si>
  <si>
    <t>LA650S-0316944</t>
    <phoneticPr fontId="13"/>
  </si>
  <si>
    <t>MH85S-157318</t>
    <phoneticPr fontId="13"/>
  </si>
  <si>
    <t>LA400K-0007290</t>
    <phoneticPr fontId="13"/>
  </si>
  <si>
    <t>ZVW41-3386297</t>
    <phoneticPr fontId="13"/>
  </si>
  <si>
    <t>BMWZ4　Sﾄﾞﾗｲﾌﾞ20Iｽﾎﾟｰﾂ</t>
    <phoneticPr fontId="13"/>
  </si>
  <si>
    <t>ｸﾗｲｽﾗｰｼﾞｰﾌﾟﾚﾈｹﾞｰﾄﾞ　ﾄﾚｲﾙﾎｰｸ4XE</t>
    <phoneticPr fontId="13"/>
  </si>
  <si>
    <t>ﾌｨｱｯﾄ500　1.2ｶﾙﾄ</t>
    <phoneticPr fontId="13"/>
  </si>
  <si>
    <t>ﾗﾝﾄﾞﾛｰﾊﾞｰﾚﾝｼﾞﾛｰﾊﾞｰ　ｳﾞｫｰｸﾞ</t>
    <phoneticPr fontId="13"/>
  </si>
  <si>
    <t>27-3671</t>
  </si>
  <si>
    <t>27-3672</t>
  </si>
  <si>
    <t>27-3673</t>
  </si>
  <si>
    <t>27-3674</t>
  </si>
  <si>
    <t>27-3675</t>
  </si>
  <si>
    <t>27-3676</t>
  </si>
  <si>
    <t>27-3677</t>
  </si>
  <si>
    <t>27-3678</t>
  </si>
  <si>
    <t>27-3679</t>
  </si>
  <si>
    <t>27-3680</t>
  </si>
  <si>
    <t>27-3681</t>
  </si>
  <si>
    <t>27-3682</t>
  </si>
  <si>
    <t>27-3683</t>
  </si>
  <si>
    <t>27-3684</t>
  </si>
  <si>
    <t>27-3685</t>
  </si>
  <si>
    <t>HE33S-231710</t>
    <phoneticPr fontId="13"/>
  </si>
  <si>
    <t>ｽｸﾗﾑ　ﾊﾞｽﾀｰ</t>
    <phoneticPr fontId="13"/>
  </si>
  <si>
    <t>DG17V-427167</t>
    <phoneticPr fontId="13"/>
  </si>
  <si>
    <t>ZVW30-5723608</t>
    <phoneticPr fontId="13"/>
  </si>
  <si>
    <t>ZVW51-6049982</t>
    <phoneticPr fontId="13"/>
  </si>
  <si>
    <t>MN71S-141646</t>
    <phoneticPr fontId="13"/>
  </si>
  <si>
    <t>NSP170-7001704</t>
    <phoneticPr fontId="13"/>
  </si>
  <si>
    <t>ZVW51-6168095</t>
    <phoneticPr fontId="13"/>
  </si>
  <si>
    <t>ﾐﾗｺｺｱ　ｺｺｱL</t>
    <phoneticPr fontId="13"/>
  </si>
  <si>
    <t>L675S-0154735</t>
    <phoneticPr fontId="13"/>
  </si>
  <si>
    <t>JB23W-761243</t>
    <phoneticPr fontId="13"/>
  </si>
  <si>
    <t>C-HR　G-Tﾓｰﾄﾞﾈﾛ</t>
    <phoneticPr fontId="13"/>
  </si>
  <si>
    <t>NGX10-2020281</t>
    <phoneticPr fontId="13"/>
  </si>
  <si>
    <t>N　BOX　Lﾎﾝﾀﾞｾﾝｼﾝｸﾞ</t>
    <phoneticPr fontId="13"/>
  </si>
  <si>
    <t>JF3-5029914</t>
    <phoneticPr fontId="13"/>
  </si>
  <si>
    <t>ﾜｺﾞﾝR　ｽﾏｲﾙG</t>
    <phoneticPr fontId="13"/>
  </si>
  <si>
    <t>MX81S-203421</t>
    <phoneticPr fontId="13"/>
  </si>
  <si>
    <t>ﾌｨｯﾄ　ﾍﾞｰｼｯｸ　ﾎﾝﾀﾞｾﾝｼﾝｸﾞ</t>
    <phoneticPr fontId="13"/>
  </si>
  <si>
    <t>GR1-1028932</t>
    <phoneticPr fontId="13"/>
  </si>
  <si>
    <t>ｴｽｸｧｲｱ　ﾊｲﾌﾞﾘｯﾄﾞGi</t>
    <phoneticPr fontId="13"/>
  </si>
  <si>
    <t>ZWR80-0112829</t>
    <phoneticPr fontId="13"/>
  </si>
  <si>
    <t>ｱﾙﾌｧｰﾄﾞ　240S　Cﾊﾟｯｹｰｼﾞ</t>
    <phoneticPr fontId="13"/>
  </si>
  <si>
    <t>ANH20-8337426</t>
    <phoneticPr fontId="13"/>
  </si>
  <si>
    <t>JF1-2502668</t>
    <phoneticPr fontId="13"/>
  </si>
  <si>
    <t>ｷｬﾘｨﾄﾗｯｸ　KCｴｱｺﾝ</t>
    <phoneticPr fontId="13"/>
  </si>
  <si>
    <t>DA16T-675990</t>
    <phoneticPr fontId="13"/>
  </si>
  <si>
    <t>ﾐﾗｺｺｱ　ｺｺｱXｽﾍﾟｼｬﾙ</t>
    <phoneticPr fontId="13"/>
  </si>
  <si>
    <t>L675S-0161301</t>
    <phoneticPr fontId="13"/>
  </si>
  <si>
    <t>HE33S-320074</t>
    <phoneticPr fontId="13"/>
  </si>
  <si>
    <t>TE52-070640</t>
    <phoneticPr fontId="13"/>
  </si>
  <si>
    <t>ﾑｰｳﾞｶｽﾀﾑ　X</t>
    <phoneticPr fontId="13"/>
  </si>
  <si>
    <t>LA100S-1038066</t>
    <phoneticPr fontId="13"/>
  </si>
  <si>
    <t>N　BOX　G　SSﾊﾟｯｹｰｼﾞ</t>
    <phoneticPr fontId="13"/>
  </si>
  <si>
    <t>JF1-1929374</t>
    <phoneticPr fontId="13"/>
  </si>
  <si>
    <t>MH23S-738048</t>
    <phoneticPr fontId="13"/>
  </si>
  <si>
    <t>A338356</t>
    <phoneticPr fontId="13"/>
  </si>
  <si>
    <t>RV5-1259449</t>
    <phoneticPr fontId="13"/>
  </si>
  <si>
    <t>A339024</t>
    <phoneticPr fontId="13"/>
  </si>
  <si>
    <t>MXWH60-4034445</t>
    <phoneticPr fontId="13"/>
  </si>
  <si>
    <t>A339472</t>
    <phoneticPr fontId="13"/>
  </si>
  <si>
    <t>ZVW51-6061940</t>
    <phoneticPr fontId="13"/>
  </si>
  <si>
    <t>A338631</t>
    <phoneticPr fontId="13"/>
  </si>
  <si>
    <t>B21W-0252051</t>
    <phoneticPr fontId="13"/>
  </si>
  <si>
    <t>A339123</t>
    <phoneticPr fontId="13"/>
  </si>
  <si>
    <t>JF3-2117846</t>
    <phoneticPr fontId="13"/>
  </si>
  <si>
    <t>A338785</t>
    <phoneticPr fontId="13"/>
  </si>
  <si>
    <t>B21A-0345370</t>
    <phoneticPr fontId="13"/>
  </si>
  <si>
    <t>ﾐﾗｲｰｽ　XﾘﾐﾃｯﾄﾞSaⅢ</t>
    <phoneticPr fontId="13"/>
  </si>
  <si>
    <t>9/6/11</t>
    <phoneticPr fontId="13"/>
  </si>
  <si>
    <t>春日井　580　さ　4521</t>
    <rPh sb="0" eb="3">
      <t>カスガイ</t>
    </rPh>
    <phoneticPr fontId="13"/>
  </si>
  <si>
    <t>滋賀　588　や　1207</t>
    <rPh sb="0" eb="2">
      <t>シガ</t>
    </rPh>
    <phoneticPr fontId="13"/>
  </si>
  <si>
    <t>ﾀﾝﾄｶｽﾀﾑ　Xﾄｯﾌﾟｴﾃﾞｨｼｮﾝ</t>
    <phoneticPr fontId="13"/>
  </si>
  <si>
    <t>保証書　取説　ｽﾏｰﾄｷｰ　ｽﾍﾟｱ　　ﾅﾝﾊﾞｰ</t>
    <rPh sb="0" eb="3">
      <t>ホショウショ</t>
    </rPh>
    <rPh sb="4" eb="6">
      <t>トリセツ</t>
    </rPh>
    <phoneticPr fontId="13"/>
  </si>
  <si>
    <t>富山　581　に　5658</t>
    <rPh sb="0" eb="2">
      <t>トヤマ</t>
    </rPh>
    <phoneticPr fontId="13"/>
  </si>
  <si>
    <t>N BOXｶｽﾀﾑ　ｶｽﾀﾑG　Lﾊﾟｯｹｰｼﾞ</t>
    <phoneticPr fontId="13"/>
  </si>
  <si>
    <t>豊橋　584　た　8787</t>
    <rPh sb="0" eb="2">
      <t>トヨハシ</t>
    </rPh>
    <phoneticPr fontId="13"/>
  </si>
  <si>
    <t>N BOXｶｽﾀﾑ　G　Lﾀｰﾎﾞ</t>
    <phoneticPr fontId="13"/>
  </si>
  <si>
    <t>9/8/23</t>
    <phoneticPr fontId="13"/>
  </si>
  <si>
    <t>春日井　580　さ　8559</t>
    <rPh sb="0" eb="3">
      <t>カスガイ</t>
    </rPh>
    <phoneticPr fontId="13"/>
  </si>
  <si>
    <t>保証書　取説　ｽﾍﾟｱｷｰ　　名変期限4/17</t>
    <rPh sb="0" eb="3">
      <t>ホショウショ</t>
    </rPh>
    <rPh sb="4" eb="6">
      <t>トリセツ</t>
    </rPh>
    <rPh sb="15" eb="19">
      <t>メイヘンキゲン</t>
    </rPh>
    <phoneticPr fontId="13"/>
  </si>
  <si>
    <t>MﾍﾞﾝﾂAMG　A35　4M</t>
    <phoneticPr fontId="13"/>
  </si>
  <si>
    <t>福岡　303　ま　4888</t>
    <rPh sb="0" eb="2">
      <t>フクオカ</t>
    </rPh>
    <phoneticPr fontId="13"/>
  </si>
  <si>
    <t>LA650S-0364987</t>
    <phoneticPr fontId="13"/>
  </si>
  <si>
    <t>神戸　58A　き　5765</t>
    <rPh sb="0" eb="2">
      <t>コウベ</t>
    </rPh>
    <phoneticPr fontId="13"/>
  </si>
  <si>
    <t>29076＄</t>
    <phoneticPr fontId="13"/>
  </si>
  <si>
    <t>WMWYV920203E43710</t>
    <phoneticPr fontId="13"/>
  </si>
  <si>
    <t>8/9/8</t>
    <phoneticPr fontId="13"/>
  </si>
  <si>
    <t>宮城　302　と4523</t>
    <rPh sb="0" eb="2">
      <t>ミヤギ</t>
    </rPh>
    <phoneticPr fontId="13"/>
  </si>
  <si>
    <t>奈良　398　り　33</t>
    <rPh sb="0" eb="2">
      <t>ナラ</t>
    </rPh>
    <phoneticPr fontId="13"/>
  </si>
  <si>
    <t>ﾏﾂﾀﾞ3　ﾌｧｽﾄﾊﾞｯｸ　ﾊﾞｰｶﾞﾝﾃﾞｨｾﾚｸｼｮﾝ</t>
    <phoneticPr fontId="13"/>
  </si>
  <si>
    <t>ﾊｲｴｰｽﾊﾞﾝ　ﾛﾝｸﾞｽｰﾊﾟｰGL</t>
    <phoneticPr fontId="13"/>
  </si>
  <si>
    <t>なにわ　430　て　430</t>
    <phoneticPr fontId="13"/>
  </si>
  <si>
    <t>ﾚｶﾞｼｨB4　ﾘﾐﾃｯﾄﾞ</t>
    <phoneticPr fontId="13"/>
  </si>
  <si>
    <t>保証書　取説　ｽﾍﾟｱｷｰ　SD</t>
    <rPh sb="0" eb="3">
      <t>ホショウショ</t>
    </rPh>
    <rPh sb="4" eb="6">
      <t>トリセツ</t>
    </rPh>
    <phoneticPr fontId="13"/>
  </si>
  <si>
    <t>堺　583　あ　8353</t>
    <rPh sb="0" eb="1">
      <t>サカイ</t>
    </rPh>
    <phoneticPr fontId="13"/>
  </si>
  <si>
    <t>保証書　取説　ｽﾏｰﾄｷｰ　地図SD　ﾄﾞﾗﾚｺﾏｲｸﾛSD</t>
    <rPh sb="0" eb="3">
      <t>ホショウショ</t>
    </rPh>
    <rPh sb="4" eb="6">
      <t>トリセツ</t>
    </rPh>
    <rPh sb="14" eb="16">
      <t>チズ</t>
    </rPh>
    <phoneticPr fontId="13"/>
  </si>
  <si>
    <t>ﾊｲｾﾞｯﾄﾄﾗｯｸ　ﾛｰﾀﾞﾝﾌﾟ</t>
    <phoneticPr fontId="13"/>
  </si>
  <si>
    <t>三重　480　ひ　9981</t>
    <rPh sb="0" eb="2">
      <t>ミエ</t>
    </rPh>
    <phoneticPr fontId="13"/>
  </si>
  <si>
    <t>ｽﾍﾟｰｼｱ　Gﾘﾐﾃｯﾄﾞ</t>
    <phoneticPr fontId="13"/>
  </si>
  <si>
    <t>保証書　取説　ﾅﾋﾞ取　SD　ｽﾍﾟｱｷｰ　ﾜﾝｵｰﾅｰ</t>
    <rPh sb="0" eb="3">
      <t>ホショウショ</t>
    </rPh>
    <rPh sb="4" eb="6">
      <t>トリセツ</t>
    </rPh>
    <rPh sb="10" eb="11">
      <t>トリ</t>
    </rPh>
    <phoneticPr fontId="13"/>
  </si>
  <si>
    <t>ﾀﾝﾄｶｽﾀﾑ　ｶｽﾀﾑRS</t>
    <phoneticPr fontId="13"/>
  </si>
  <si>
    <t>保証書　取説　　名変期限4/30</t>
    <rPh sb="0" eb="3">
      <t>ホショウショ</t>
    </rPh>
    <rPh sb="4" eb="6">
      <t>トリセツ</t>
    </rPh>
    <rPh sb="8" eb="12">
      <t>メイヘンキゲン</t>
    </rPh>
    <phoneticPr fontId="13"/>
  </si>
  <si>
    <t>ｺﾍﾟﾝ　ﾛｰﾌﾞS</t>
    <phoneticPr fontId="13"/>
  </si>
  <si>
    <t>ﾌﾟﾘｳｽa　G</t>
    <phoneticPr fontId="13"/>
  </si>
  <si>
    <t>保証書　取説　ﾅﾋﾞ取　SD　ｽﾏｰﾄｷｰ</t>
    <rPh sb="0" eb="3">
      <t>ホショウショ</t>
    </rPh>
    <rPh sb="4" eb="6">
      <t>トリセツ</t>
    </rPh>
    <rPh sb="10" eb="11">
      <t>トリ</t>
    </rPh>
    <phoneticPr fontId="13"/>
  </si>
  <si>
    <t>WBAHF12020WX01962</t>
    <phoneticPr fontId="13"/>
  </si>
  <si>
    <t>1C4PJDCW5NP034386</t>
    <phoneticPr fontId="13"/>
  </si>
  <si>
    <t>充電ｹｰﾌﾞﾙ</t>
    <rPh sb="0" eb="2">
      <t>ジュウデン</t>
    </rPh>
    <phoneticPr fontId="13"/>
  </si>
  <si>
    <t>ZFABF1BG8NJG02289</t>
    <phoneticPr fontId="13"/>
  </si>
  <si>
    <t>9/4/21</t>
    <phoneticPr fontId="13"/>
  </si>
  <si>
    <t>名古屋　552　ほ　1023</t>
    <rPh sb="0" eb="3">
      <t>ナゴヤ</t>
    </rPh>
    <phoneticPr fontId="13"/>
  </si>
  <si>
    <t>保証書　取説　ｷｰﾚｽX2（ﾘｽﾄに記載有）　ﾜﾝｵｰﾅｰ</t>
    <rPh sb="0" eb="3">
      <t>ホショウショ</t>
    </rPh>
    <rPh sb="4" eb="6">
      <t>トリセツ</t>
    </rPh>
    <rPh sb="18" eb="21">
      <t>キサイアリ</t>
    </rPh>
    <phoneticPr fontId="13"/>
  </si>
  <si>
    <t>WMWXU920002N18678</t>
    <phoneticPr fontId="13"/>
  </si>
  <si>
    <t>滋賀　333　り　414</t>
    <rPh sb="0" eb="2">
      <t>シガ</t>
    </rPh>
    <phoneticPr fontId="13"/>
  </si>
  <si>
    <t>SALGA2EK1HA329936</t>
    <phoneticPr fontId="13"/>
  </si>
  <si>
    <t>9/1/21</t>
    <phoneticPr fontId="13"/>
  </si>
  <si>
    <t>ｽﾍﾟｱｷｰ　地図SD　B-CASｶｰﾄﾞ</t>
    <rPh sb="7" eb="9">
      <t>チズ</t>
    </rPh>
    <phoneticPr fontId="13"/>
  </si>
  <si>
    <t>10/3/4</t>
    <phoneticPr fontId="13"/>
  </si>
  <si>
    <t>保証書　取説　ﾅﾋﾞ取　地図SD　ﾜﾝｵｰﾅｰ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</si>
  <si>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9/6/6</t>
    <phoneticPr fontId="13"/>
  </si>
  <si>
    <t>保証書　取説　ｽﾏｰﾄｷｰX2（ﾘｽﾄに記載有）　ﾚﾝﾀｶｰ</t>
    <rPh sb="0" eb="3">
      <t>ホショウショ</t>
    </rPh>
    <rPh sb="4" eb="6">
      <t>トリセツ</t>
    </rPh>
    <rPh sb="20" eb="23">
      <t>キサイアリ</t>
    </rPh>
    <phoneticPr fontId="13"/>
  </si>
  <si>
    <t>ｳﾞｪｾﾞﾙ　e:HEV　Z</t>
    <phoneticPr fontId="13"/>
  </si>
  <si>
    <t>10/6/22</t>
    <phoneticPr fontId="13"/>
  </si>
  <si>
    <t>ﾌﾟﾘｳｽ　G</t>
    <phoneticPr fontId="13"/>
  </si>
  <si>
    <t>9/1/4</t>
    <phoneticPr fontId="13"/>
  </si>
  <si>
    <t>ﾃﾞｲｽﾞ　X　Vｾﾚｸｼｮﾝ</t>
    <phoneticPr fontId="13"/>
  </si>
  <si>
    <t>ﾃﾞｲｽﾞﾙｰｸｽ　ﾊｲｳｪｲｽﾀｰXVｾﾚｸｼｮﾝ</t>
    <phoneticPr fontId="13"/>
  </si>
  <si>
    <t>27-3686</t>
  </si>
  <si>
    <t>27-3687</t>
  </si>
  <si>
    <t>27-3688</t>
  </si>
  <si>
    <t>27-3689</t>
  </si>
  <si>
    <t>27-3690</t>
  </si>
  <si>
    <t>27-3691</t>
  </si>
  <si>
    <t>27-3692</t>
  </si>
  <si>
    <t>27-3693</t>
  </si>
  <si>
    <t>27-3694</t>
  </si>
  <si>
    <t>LA350S-0336025</t>
    <phoneticPr fontId="13"/>
  </si>
  <si>
    <t>LA150S-2120484</t>
    <phoneticPr fontId="13"/>
  </si>
  <si>
    <t>ﾊｽﾗｰ　J</t>
    <phoneticPr fontId="13"/>
  </si>
  <si>
    <t>MR41S-355994</t>
    <phoneticPr fontId="13"/>
  </si>
  <si>
    <t>ﾌﾟｼﾞｮｰ　RCZ　GTﾗｲﾝ</t>
    <phoneticPr fontId="13"/>
  </si>
  <si>
    <t>ﾎﾞﾙﾎﾞV60　ｱﾙﾃｨﾒｯﾄ　B4</t>
    <phoneticPr fontId="13"/>
  </si>
  <si>
    <t>BMWﾐﾆｸｰﾊﾟｰD　ｸﾗﾌﾞﾏﾝ</t>
    <phoneticPr fontId="13"/>
  </si>
  <si>
    <t>27-3695</t>
  </si>
  <si>
    <t>27-3696</t>
  </si>
  <si>
    <t>27-3697</t>
  </si>
  <si>
    <t>27-3698</t>
  </si>
  <si>
    <t>27-3699</t>
  </si>
  <si>
    <t>27-3700</t>
  </si>
  <si>
    <t>JB64W-307973</t>
    <phoneticPr fontId="13"/>
  </si>
  <si>
    <t>ﾌﾟﾘｳｽｱﾙﾌｧ　SﾁｭｰﾝﾌﾞﾗｯｸⅡ</t>
    <phoneticPr fontId="13"/>
  </si>
  <si>
    <t>ZVW41-0085846</t>
    <phoneticPr fontId="13"/>
  </si>
  <si>
    <t>ZRR80-0205321</t>
    <phoneticPr fontId="13"/>
  </si>
  <si>
    <t>LA150S-2117810</t>
    <phoneticPr fontId="13"/>
  </si>
  <si>
    <t>JB23W-781177</t>
    <phoneticPr fontId="13"/>
  </si>
  <si>
    <t>DA17W-302766</t>
    <phoneticPr fontId="13"/>
  </si>
  <si>
    <t>RV5-1012038</t>
    <phoneticPr fontId="13"/>
  </si>
  <si>
    <t>ｸﾗｲｽﾗｰｼﾞｰﾌﾟ　ﾚﾈｹﾞｰﾄﾞ　ﾘﾐﾃｯﾄﾞ</t>
    <phoneticPr fontId="13"/>
  </si>
  <si>
    <t>MﾍﾞﾝﾂA180　AMG</t>
    <phoneticPr fontId="13"/>
  </si>
  <si>
    <t>L880K-0038703</t>
    <phoneticPr fontId="13"/>
  </si>
  <si>
    <t>京都　580　わ　8679</t>
    <rPh sb="0" eb="2">
      <t>キョウト</t>
    </rPh>
    <phoneticPr fontId="13"/>
  </si>
  <si>
    <t>VF34J5FVAFP003300</t>
    <phoneticPr fontId="13"/>
  </si>
  <si>
    <t>YV1ZWK8M9P1532872</t>
    <phoneticPr fontId="13"/>
  </si>
  <si>
    <t>WMW72BB0202N66454</t>
    <phoneticPr fontId="13"/>
  </si>
  <si>
    <t>WMW42BT0003P15021</t>
    <phoneticPr fontId="13"/>
  </si>
  <si>
    <t>長崎　330　た　3260</t>
    <rPh sb="0" eb="2">
      <t>ナガサキ</t>
    </rPh>
    <phoneticPr fontId="13"/>
  </si>
  <si>
    <t>滋賀　581　む　6963</t>
    <rPh sb="0" eb="2">
      <t>シガ</t>
    </rPh>
    <phoneticPr fontId="13"/>
  </si>
  <si>
    <t>8/12/20</t>
    <phoneticPr fontId="13"/>
  </si>
  <si>
    <t>京都　335　ほ　134</t>
    <rPh sb="0" eb="2">
      <t>キョウト</t>
    </rPh>
    <phoneticPr fontId="13"/>
  </si>
  <si>
    <t>ｽﾏｰﾄｷｰ　SD</t>
    <phoneticPr fontId="13"/>
  </si>
  <si>
    <t>姫路　335　さ　628</t>
    <rPh sb="0" eb="2">
      <t>ヒメジ</t>
    </rPh>
    <phoneticPr fontId="13"/>
  </si>
  <si>
    <t>保証書　取説　ﾅﾋﾞ取　予備ｷｰ　ﾜﾝｵｰﾅｰ　　記録簿R5.R7有り</t>
    <rPh sb="0" eb="3">
      <t>ホショウショ</t>
    </rPh>
    <rPh sb="4" eb="6">
      <t>トリセツ</t>
    </rPh>
    <rPh sb="10" eb="11">
      <t>トリ</t>
    </rPh>
    <rPh sb="12" eb="14">
      <t>ヨビ</t>
    </rPh>
    <rPh sb="25" eb="28">
      <t>キロクボ</t>
    </rPh>
    <rPh sb="33" eb="34">
      <t>アリ</t>
    </rPh>
    <phoneticPr fontId="13"/>
  </si>
  <si>
    <t>鳥取　581　え　485</t>
    <rPh sb="0" eb="2">
      <t>トットリ</t>
    </rPh>
    <phoneticPr fontId="13"/>
  </si>
  <si>
    <t>保証書　取説　板ｽﾍﾟｱｷｰ　ﾜﾝｵｰﾅｰ</t>
    <rPh sb="0" eb="3">
      <t>ホショウショ</t>
    </rPh>
    <rPh sb="4" eb="6">
      <t>トリセツ</t>
    </rPh>
    <rPh sb="7" eb="8">
      <t>イタ</t>
    </rPh>
    <phoneticPr fontId="13"/>
  </si>
  <si>
    <t>京都　598　つ　8787</t>
    <rPh sb="0" eb="2">
      <t>キョウト</t>
    </rPh>
    <phoneticPr fontId="13"/>
  </si>
  <si>
    <t>和泉　582　い　5919</t>
    <rPh sb="0" eb="2">
      <t>イズミ</t>
    </rPh>
    <phoneticPr fontId="13"/>
  </si>
  <si>
    <t>1C4NJCD10PPP65685</t>
    <phoneticPr fontId="13"/>
  </si>
  <si>
    <t>WMWXM720602E25462</t>
    <phoneticPr fontId="13"/>
  </si>
  <si>
    <t>W1K1771842J220151</t>
    <phoneticPr fontId="13"/>
  </si>
  <si>
    <t>9/12/17</t>
    <phoneticPr fontId="13"/>
  </si>
  <si>
    <t>広島　348　め　121</t>
    <rPh sb="0" eb="2">
      <t>ヒロシマ</t>
    </rPh>
    <phoneticPr fontId="13"/>
  </si>
  <si>
    <t>19/4</t>
    <phoneticPr fontId="13"/>
  </si>
  <si>
    <t>8/8/9</t>
    <phoneticPr fontId="13"/>
  </si>
  <si>
    <t>和歌山　584　を　2002</t>
    <rPh sb="0" eb="3">
      <t>ワカヤマ</t>
    </rPh>
    <phoneticPr fontId="13"/>
  </si>
  <si>
    <t>直送</t>
    <rPh sb="0" eb="2">
      <t>チョクソウ</t>
    </rPh>
    <phoneticPr fontId="13"/>
  </si>
  <si>
    <t>27-3701</t>
  </si>
  <si>
    <t>ZIP東京</t>
    <rPh sb="3" eb="5">
      <t>トウキョウ</t>
    </rPh>
    <phoneticPr fontId="13"/>
  </si>
  <si>
    <t>BMWﾐﾆｸｰﾊﾟｰ</t>
    <phoneticPr fontId="13"/>
  </si>
  <si>
    <t>WMWXU72010TR60254</t>
    <phoneticPr fontId="13"/>
  </si>
  <si>
    <t>31/3</t>
    <phoneticPr fontId="13"/>
  </si>
  <si>
    <t>赤</t>
    <rPh sb="0" eb="1">
      <t>アカ</t>
    </rPh>
    <phoneticPr fontId="13"/>
  </si>
  <si>
    <t>保証書 ｽﾍﾟｱｷｰ</t>
    <rPh sb="0" eb="3">
      <t>ホショウショ</t>
    </rPh>
    <phoneticPr fontId="13"/>
  </si>
  <si>
    <t>そのまま送る 27-3442の取説送る</t>
    <rPh sb="4" eb="5">
      <t>オク</t>
    </rPh>
    <rPh sb="15" eb="17">
      <t>トリセツ</t>
    </rPh>
    <rPh sb="17" eb="18">
      <t>オク</t>
    </rPh>
    <phoneticPr fontId="13"/>
  </si>
  <si>
    <t>整備手帳  ﾅﾋﾞ取 ｷｰﾚｽ SD</t>
    <rPh sb="0" eb="2">
      <t>セイビ</t>
    </rPh>
    <rPh sb="2" eb="4">
      <t>テチョウ</t>
    </rPh>
    <rPh sb="9" eb="10">
      <t>　</t>
    </rPh>
    <phoneticPr fontId="13"/>
  </si>
  <si>
    <t>取説1292回31480に使った</t>
    <rPh sb="0" eb="2">
      <t>トリセツ</t>
    </rPh>
    <rPh sb="6" eb="7">
      <t>カイ</t>
    </rPh>
    <rPh sb="13" eb="14">
      <t>ツカ</t>
    </rPh>
    <phoneticPr fontId="13"/>
  </si>
  <si>
    <t>取説なし言われたら会長へ</t>
    <rPh sb="0" eb="2">
      <t>トリセツ</t>
    </rPh>
    <rPh sb="4" eb="5">
      <t>イ</t>
    </rPh>
    <rPh sb="9" eb="11">
      <t>カイチョウ</t>
    </rPh>
    <phoneticPr fontId="13"/>
  </si>
  <si>
    <t>温泉ｺﾝｻﾙﾀﾝﾄ株式会社</t>
    <rPh sb="0" eb="2">
      <t>オンセン</t>
    </rPh>
    <rPh sb="9" eb="13">
      <t>カブシキガイシャ</t>
    </rPh>
    <phoneticPr fontId="13"/>
  </si>
  <si>
    <t>3/22</t>
    <phoneticPr fontId="13"/>
  </si>
  <si>
    <t>株式会社WECARS</t>
    <rPh sb="0" eb="4">
      <t>カブシキガイシャ</t>
    </rPh>
    <phoneticPr fontId="13"/>
  </si>
  <si>
    <t>保証書 取説 ﾅﾋﾞ取 ｽﾍﾟｱｷｰ ﾏｲｸﾛSD ﾐﾆB-CAS</t>
    <rPh sb="0" eb="3">
      <t>ホショウショ</t>
    </rPh>
    <rPh sb="4" eb="6">
      <t>トリセツ</t>
    </rPh>
    <rPh sb="10" eb="11">
      <t>トリ</t>
    </rPh>
    <phoneticPr fontId="13"/>
  </si>
  <si>
    <t>徳島 300 ま 7209</t>
    <rPh sb="0" eb="2">
      <t>トクシマ</t>
    </rPh>
    <phoneticPr fontId="13"/>
  </si>
  <si>
    <t>株式会社Hill Field</t>
    <rPh sb="0" eb="4">
      <t>カブシキガイシャ</t>
    </rPh>
    <phoneticPr fontId="13"/>
  </si>
  <si>
    <t>ｽﾍﾟｱｷｰ</t>
    <phoneticPr fontId="13"/>
  </si>
  <si>
    <t>株式会社ｸﾞﾗﾝﾄﾞﾓｰﾀｰ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</si>
  <si>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</si>
  <si>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株式会社ﾍﾞｽﾄｶｰﾔﾏﾅｶ</t>
    <rPh sb="0" eb="4">
      <t>カブシキガイシャ</t>
    </rPh>
    <phoneticPr fontId="13"/>
  </si>
  <si>
    <t>神戸 381 ゆ 515</t>
    <rPh sb="0" eb="2">
      <t>コウベ</t>
    </rPh>
    <phoneticPr fontId="13"/>
  </si>
  <si>
    <t>医療法人社団ぱくﾍﾟｲﾝｸﾘﾆｯｸ</t>
    <rPh sb="0" eb="4">
      <t>イリョウホウジン</t>
    </rPh>
    <rPh sb="4" eb="6">
      <t>シャダン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</si>
  <si>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</si>
  <si>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なにわ 39A も 1772</t>
    <phoneticPr fontId="13"/>
  </si>
  <si>
    <t>大阪ﾄﾖﾍﾟｯﾄ株式会社</t>
    <rPh sb="0" eb="2">
      <t>オオサカ</t>
    </rPh>
    <rPh sb="8" eb="12">
      <t>カブシキガイシャ</t>
    </rPh>
    <phoneticPr fontId="13"/>
  </si>
  <si>
    <t>大坂 336 て 8855</t>
    <rPh sb="0" eb="2">
      <t>オオサカ</t>
    </rPh>
    <phoneticPr fontId="13"/>
  </si>
  <si>
    <t>株式会社ｲﾃﾞｲｱ</t>
    <rPh sb="0" eb="4">
      <t>カブシキガイシャ</t>
    </rPh>
    <phoneticPr fontId="13"/>
  </si>
  <si>
    <t>福岡 582 ち 3351</t>
    <rPh sb="0" eb="2">
      <t>フクオカ</t>
    </rPh>
    <phoneticPr fontId="13"/>
  </si>
  <si>
    <t>木村 亮太</t>
    <rPh sb="0" eb="2">
      <t>キムラ</t>
    </rPh>
    <rPh sb="3" eb="5">
      <t>リョウタ</t>
    </rPh>
    <phoneticPr fontId="13"/>
  </si>
  <si>
    <t>取説 保証書 ｷｰﾚｽ ﾅﾋﾞ取</t>
    <rPh sb="0" eb="2">
      <t>トリセツ</t>
    </rPh>
    <rPh sb="3" eb="6">
      <t>ホショウショ</t>
    </rPh>
    <rPh sb="15" eb="16">
      <t>トリ</t>
    </rPh>
    <phoneticPr fontId="13"/>
  </si>
  <si>
    <t>神戸 584 か 145</t>
    <rPh sb="0" eb="2">
      <t>コウベ</t>
    </rPh>
    <phoneticPr fontId="13"/>
  </si>
  <si>
    <t>石神 輝彦</t>
    <rPh sb="0" eb="2">
      <t>イシガミ</t>
    </rPh>
    <rPh sb="3" eb="5">
      <t>テルヒコ</t>
    </rPh>
    <phoneticPr fontId="13"/>
  </si>
  <si>
    <t>広島 582 か 7356</t>
    <rPh sb="0" eb="2">
      <t>ヒロシマ</t>
    </rPh>
    <phoneticPr fontId="13"/>
  </si>
  <si>
    <t>勝岡 航海</t>
    <rPh sb="0" eb="1">
      <t>カツ</t>
    </rPh>
    <rPh sb="1" eb="2">
      <t>オカ</t>
    </rPh>
    <rPh sb="3" eb="5">
      <t>コウカイ</t>
    </rPh>
    <phoneticPr fontId="13"/>
  </si>
  <si>
    <t>島根 583 こ 1888</t>
    <rPh sb="0" eb="2">
      <t>シマネ</t>
    </rPh>
    <phoneticPr fontId="13"/>
  </si>
  <si>
    <t>ﾄｰｱﾄﾞｯﾄｺﾑ株式会社</t>
    <rPh sb="9" eb="13">
      <t>カブシキガイシャ</t>
    </rPh>
    <phoneticPr fontId="13"/>
  </si>
  <si>
    <t>保証書 取説 ｽﾏｰﾄｷｰ ﾜﾝｵｰﾅｰ</t>
    <rPh sb="0" eb="3">
      <t>ホショウショ</t>
    </rPh>
    <rPh sb="4" eb="6">
      <t>トリセツ</t>
    </rPh>
    <phoneticPr fontId="13"/>
  </si>
  <si>
    <t>神戸 39Ａ た 5336</t>
    <rPh sb="0" eb="2">
      <t>コウベ</t>
    </rPh>
    <phoneticPr fontId="13"/>
  </si>
  <si>
    <t>株式会社ＨＫＣ</t>
    <rPh sb="0" eb="4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</si>
  <si>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</si>
  <si>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おくるまﾈｯﾄﾜｰｸ株式会社</t>
    <rPh sb="10" eb="14">
      <t>カブシキガイシャ</t>
    </rPh>
    <phoneticPr fontId="13"/>
  </si>
  <si>
    <t>保証書 取説 ﾅﾋﾞ取 ｷｰﾚｽ SD</t>
    <rPh sb="0" eb="3">
      <t>ホショウショ</t>
    </rPh>
    <rPh sb="4" eb="6">
      <t>トリセツ</t>
    </rPh>
    <rPh sb="10" eb="11">
      <t>トリ</t>
    </rPh>
    <phoneticPr fontId="13"/>
  </si>
  <si>
    <t>HAA神戸</t>
    <rPh sb="3" eb="5">
      <t>コウベ</t>
    </rPh>
    <phoneticPr fontId="13"/>
  </si>
  <si>
    <t>WMWXT320102H68367</t>
    <phoneticPr fontId="13"/>
  </si>
  <si>
    <t>姫路 399 な 6341</t>
    <rPh sb="0" eb="2">
      <t>ヒメジ</t>
    </rPh>
    <phoneticPr fontId="13"/>
  </si>
  <si>
    <t>株式会社ﾎﾝﾀﾞｶｰｽﾞ兵庫中央</t>
    <rPh sb="0" eb="4">
      <t>カブシキガイシャ</t>
    </rPh>
    <rPh sb="12" eb="14">
      <t>ヒョウゴ</t>
    </rPh>
    <rPh sb="14" eb="16">
      <t>チュウオウ</t>
    </rPh>
    <phoneticPr fontId="13"/>
  </si>
  <si>
    <t>3/23</t>
    <phoneticPr fontId="13"/>
  </si>
  <si>
    <t>WMWXU72090TN23909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</si>
  <si>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</si>
  <si>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取説 ｷｰﾚｽ(車内)</t>
    <rPh sb="0" eb="2">
      <t>トリセツ</t>
    </rPh>
    <rPh sb="8" eb="10">
      <t>シャナイ</t>
    </rPh>
    <phoneticPr fontId="13"/>
  </si>
  <si>
    <t>WBAYH520505T29606</t>
    <phoneticPr fontId="13"/>
  </si>
  <si>
    <t>広島 362 さ 310</t>
    <rPh sb="0" eb="2">
      <t>ヒロシマ</t>
    </rPh>
    <phoneticPr fontId="13"/>
  </si>
  <si>
    <t>株式会社ﾎﾝﾀﾞﾓﾋﾞﾘﾃｨ中四国</t>
    <rPh sb="15" eb="16">
      <t>シコク</t>
    </rPh>
    <phoneticPr fontId="13"/>
  </si>
  <si>
    <t>高松 580 え 8678</t>
    <rPh sb="0" eb="2">
      <t>タカマツ</t>
    </rPh>
    <phoneticPr fontId="13"/>
  </si>
  <si>
    <t>山本 崇義</t>
    <rPh sb="0" eb="2">
      <t>ヤマモト</t>
    </rPh>
    <rPh sb="3" eb="5">
      <t>タカヨシ</t>
    </rPh>
    <phoneticPr fontId="13"/>
  </si>
  <si>
    <t>HAA神戸(ﾜﾝｸﾘ)</t>
    <rPh sb="3" eb="5">
      <t>コウベ</t>
    </rPh>
    <phoneticPr fontId="13"/>
  </si>
  <si>
    <t>USS神戸(ﾜﾝｸﾘ)</t>
    <rPh sb="3" eb="5">
      <t>コウベ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</si>
  <si>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</si>
  <si>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保証書 取説 ﾏｲｸﾛSD(車内)</t>
    <rPh sb="0" eb="3">
      <t>ホショウショ</t>
    </rPh>
    <rPh sb="4" eb="6">
      <t>トリセツ</t>
    </rPh>
    <rPh sb="14" eb="16">
      <t>シャナイ</t>
    </rPh>
    <phoneticPr fontId="13"/>
  </si>
  <si>
    <t>取説 ｷｰﾚｽ ﾘﾓｺﾝ(車内)保証書</t>
    <rPh sb="0" eb="2">
      <t>トリセツ</t>
    </rPh>
    <rPh sb="16" eb="19">
      <t>ホショウショ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</si>
  <si>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</si>
  <si>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地図SD(車内)</t>
    <rPh sb="0" eb="2">
      <t>チズ</t>
    </rPh>
    <phoneticPr fontId="13"/>
  </si>
  <si>
    <t>地図SD(車内)ｽﾍﾟｱｷｰ</t>
    <rPh sb="0" eb="2">
      <t>チズ</t>
    </rPh>
    <phoneticPr fontId="13"/>
  </si>
  <si>
    <t>ｷｰﾚｽ(車内)保証書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</si>
  <si>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582 う 4770</t>
    <phoneticPr fontId="13"/>
  </si>
  <si>
    <t>582 う 4769</t>
    <phoneticPr fontId="13"/>
  </si>
  <si>
    <t>582 う 4768</t>
    <phoneticPr fontId="13"/>
  </si>
  <si>
    <t>582 う 4767</t>
    <phoneticPr fontId="13"/>
  </si>
  <si>
    <t>582 う 4766</t>
    <phoneticPr fontId="13"/>
  </si>
  <si>
    <t>582 う 4765</t>
    <phoneticPr fontId="13"/>
  </si>
  <si>
    <t>582 う 4764</t>
    <phoneticPr fontId="13"/>
  </si>
  <si>
    <t>480 ね 4924</t>
    <phoneticPr fontId="13"/>
  </si>
  <si>
    <t>480 ね 4923</t>
    <phoneticPr fontId="13"/>
  </si>
  <si>
    <t>582 う 4771</t>
    <phoneticPr fontId="13"/>
  </si>
  <si>
    <t>582 う 4772</t>
    <phoneticPr fontId="13"/>
  </si>
  <si>
    <t>582 う 4773</t>
    <phoneticPr fontId="13"/>
  </si>
  <si>
    <t>582 う 4774</t>
    <phoneticPr fontId="13"/>
  </si>
  <si>
    <t>582 う 4775</t>
    <phoneticPr fontId="13"/>
  </si>
  <si>
    <t>582 う 4776</t>
    <phoneticPr fontId="13"/>
  </si>
  <si>
    <t>582 う 4777</t>
    <phoneticPr fontId="13"/>
  </si>
  <si>
    <t>480 ね 4925</t>
    <phoneticPr fontId="13"/>
  </si>
  <si>
    <t>582 う 4778</t>
    <phoneticPr fontId="13"/>
  </si>
  <si>
    <t>301 ね 8869</t>
    <phoneticPr fontId="13"/>
  </si>
  <si>
    <t>301 ね 8868</t>
    <phoneticPr fontId="13"/>
  </si>
  <si>
    <t>301 ね 8867</t>
    <phoneticPr fontId="13"/>
  </si>
  <si>
    <t>301 ね 8866</t>
    <phoneticPr fontId="13"/>
  </si>
  <si>
    <t>27-3702</t>
  </si>
  <si>
    <t>27-3703</t>
  </si>
  <si>
    <t>27-3704</t>
  </si>
  <si>
    <t>27-3705</t>
  </si>
  <si>
    <t>27-3706</t>
  </si>
  <si>
    <t>ﾎﾞﾙﾎﾞS60 T3 ｸﾗｼｯｸ</t>
    <phoneticPr fontId="13"/>
  </si>
  <si>
    <t>YV1FS29M0J2450934</t>
    <phoneticPr fontId="13"/>
  </si>
  <si>
    <t>ｱｳﾃﾞｨA3 ｽﾊﾟｰﾂﾊﾞｯｸ 1.4TFSI</t>
    <phoneticPr fontId="13"/>
  </si>
  <si>
    <t>WAUZZZ8VXJA073225</t>
    <phoneticPr fontId="13"/>
  </si>
  <si>
    <t>名古屋 370 の 1225</t>
    <rPh sb="0" eb="3">
      <t>ナゴヤ</t>
    </rPh>
    <phoneticPr fontId="13"/>
  </si>
  <si>
    <t>保証書 取説 ｽﾏｰﾄｷｰ記載あり車内確認</t>
    <rPh sb="0" eb="3">
      <t>ホショウショ</t>
    </rPh>
    <rPh sb="4" eb="6">
      <t>トリセツ</t>
    </rPh>
    <rPh sb="13" eb="15">
      <t>キサイ</t>
    </rPh>
    <rPh sb="17" eb="19">
      <t>シャナイ</t>
    </rPh>
    <rPh sb="19" eb="21">
      <t>カクニン</t>
    </rPh>
    <phoneticPr fontId="13"/>
  </si>
  <si>
    <t>保証書 取説 ｽﾏｰﾄｷｰ 記載あり車内確認</t>
    <rPh sb="0" eb="3">
      <t>ホショウショ</t>
    </rPh>
    <rPh sb="4" eb="6">
      <t>トリセツ</t>
    </rPh>
    <rPh sb="14" eb="16">
      <t>キサイ</t>
    </rPh>
    <rPh sb="18" eb="20">
      <t>シャナイ</t>
    </rPh>
    <rPh sb="20" eb="22">
      <t>カクニン</t>
    </rPh>
    <phoneticPr fontId="13"/>
  </si>
  <si>
    <t>BMW 2ｼﾘｰｽﾞ 218i Mｽﾎﾟｰﾂ</t>
    <phoneticPr fontId="13"/>
  </si>
  <si>
    <t>WBA2D320105L02988</t>
    <phoneticPr fontId="13"/>
  </si>
  <si>
    <t>BMWﾐﾆｸﾗﾌﾞﾏﾝ ｼﾞｮﾝｸｰﾊﾟｰﾜｰｸｽ</t>
    <phoneticPr fontId="13"/>
  </si>
  <si>
    <t>WMWJZ920302M64882</t>
    <phoneticPr fontId="13"/>
  </si>
  <si>
    <t>WMW12DV0902R78903</t>
    <phoneticPr fontId="13"/>
  </si>
  <si>
    <t>所沢 302 ち 1659</t>
    <rPh sb="0" eb="2">
      <t>トコロザワ</t>
    </rPh>
    <phoneticPr fontId="13"/>
  </si>
  <si>
    <t>WMWXU920802L71624</t>
    <phoneticPr fontId="13"/>
  </si>
  <si>
    <t>高知 500 み 4947</t>
    <rPh sb="0" eb="2">
      <t>コウチ</t>
    </rPh>
    <phoneticPr fontId="13"/>
  </si>
  <si>
    <t>ｽﾏｰﾄﾌｫｰﾌｫｰ ﾌﾞﾗﾊﾞｽｴｸｽｸﾙｰｼﾌﾞ</t>
    <phoneticPr fontId="13"/>
  </si>
  <si>
    <t>滋賀 502 そ 8222</t>
    <rPh sb="0" eb="2">
      <t>シガ</t>
    </rPh>
    <phoneticPr fontId="13"/>
  </si>
  <si>
    <t>27-3707</t>
  </si>
  <si>
    <t>27-3708</t>
  </si>
  <si>
    <t>27-3709</t>
  </si>
  <si>
    <t>27-3710</t>
  </si>
  <si>
    <t>27-3711</t>
  </si>
  <si>
    <t>27-3712</t>
  </si>
  <si>
    <t>27-3713</t>
  </si>
  <si>
    <t>27-3714</t>
  </si>
  <si>
    <t>A340358</t>
    <phoneticPr fontId="13"/>
  </si>
  <si>
    <t>ZVW50-6067266</t>
    <phoneticPr fontId="13"/>
  </si>
  <si>
    <t>A334513</t>
    <phoneticPr fontId="13"/>
  </si>
  <si>
    <t>GDJ150-0073386</t>
    <phoneticPr fontId="13"/>
  </si>
  <si>
    <t>A337669</t>
    <phoneticPr fontId="13"/>
  </si>
  <si>
    <t>NHP10-2557416</t>
    <phoneticPr fontId="13"/>
  </si>
  <si>
    <t>A339150</t>
    <phoneticPr fontId="13"/>
  </si>
  <si>
    <t>TRJ250-0012387</t>
    <phoneticPr fontId="13"/>
  </si>
  <si>
    <t>A337538</t>
    <phoneticPr fontId="13"/>
  </si>
  <si>
    <t>AXVH70-1065326</t>
    <phoneticPr fontId="13"/>
  </si>
  <si>
    <t>ｱｸｱ G G´s</t>
    <phoneticPr fontId="13"/>
  </si>
  <si>
    <t>9/10/22</t>
    <phoneticPr fontId="13"/>
  </si>
  <si>
    <t>ｶﾑﾘ G</t>
    <phoneticPr fontId="13"/>
  </si>
  <si>
    <t>9/9/16</t>
    <phoneticPr fontId="13"/>
  </si>
  <si>
    <t>神戸 332 ろ 2353</t>
    <rPh sb="0" eb="2">
      <t>コウベ</t>
    </rPh>
    <phoneticPr fontId="13"/>
  </si>
  <si>
    <t>兵庫日産自動車株式会社</t>
    <rPh sb="0" eb="2">
      <t>ヒョウゴ</t>
    </rPh>
    <rPh sb="2" eb="11">
      <t>ニッサンジドウシャカブシキガイシャ</t>
    </rPh>
    <phoneticPr fontId="13"/>
  </si>
  <si>
    <t>3/24</t>
    <phoneticPr fontId="13"/>
  </si>
  <si>
    <t>ﾘﾓｺﾝ(車内)保証書 取説 ﾅﾋﾞ取 ｽﾍﾟｱｷｰ</t>
    <rPh sb="8" eb="11">
      <t>ホショウショ</t>
    </rPh>
    <rPh sb="12" eb="14">
      <t>トリセツ</t>
    </rPh>
    <rPh sb="18" eb="19">
      <t>トリ</t>
    </rPh>
    <phoneticPr fontId="13"/>
  </si>
  <si>
    <t>倉敷 581 ろ 5931</t>
    <rPh sb="0" eb="2">
      <t>クラシキ</t>
    </rPh>
    <phoneticPr fontId="13"/>
  </si>
  <si>
    <t>株式会社ｽｽﾞｷ自販関西倉敷営業所</t>
    <rPh sb="0" eb="4">
      <t>カブシキガイシャ</t>
    </rPh>
    <rPh sb="8" eb="10">
      <t>ジハン</t>
    </rPh>
    <rPh sb="10" eb="12">
      <t>カンサイ</t>
    </rPh>
    <rPh sb="12" eb="17">
      <t>クラシキエイギョウショ</t>
    </rPh>
    <phoneticPr fontId="13"/>
  </si>
  <si>
    <t>地図SD(車内)保証書 取説 ﾅﾋﾞ取</t>
    <rPh sb="2" eb="4">
      <t>シャナイ</t>
    </rPh>
    <rPh sb="8" eb="11">
      <t>ホショウショ</t>
    </rPh>
    <rPh sb="12" eb="14">
      <t>トリセツ</t>
    </rPh>
    <rPh sb="18" eb="19">
      <t>トリ</t>
    </rPh>
    <phoneticPr fontId="13"/>
  </si>
  <si>
    <t>香川 480 つ 1395</t>
    <rPh sb="0" eb="2">
      <t>カガワ</t>
    </rPh>
    <phoneticPr fontId="13"/>
  </si>
  <si>
    <t>株式会社ｽｽﾞｷ自販関西 高松営業所</t>
    <rPh sb="10" eb="12">
      <t>カンサイ</t>
    </rPh>
    <rPh sb="13" eb="15">
      <t>タカマツ</t>
    </rPh>
    <rPh sb="15" eb="18">
      <t>エイギョウショ</t>
    </rPh>
    <phoneticPr fontId="13"/>
  </si>
  <si>
    <t>岡山 588 と 122</t>
    <rPh sb="0" eb="2">
      <t>オカヤマ</t>
    </rPh>
    <phoneticPr fontId="13"/>
  </si>
  <si>
    <t>なにわ 39A や 7206</t>
    <phoneticPr fontId="13"/>
  </si>
  <si>
    <t>ﾈｯﾂﾄﾖﾀ大阪株式会社</t>
    <rPh sb="6" eb="8">
      <t>オオサカ</t>
    </rPh>
    <rPh sb="8" eb="12">
      <t>カブシキガイシャ</t>
    </rPh>
    <phoneticPr fontId="13"/>
  </si>
  <si>
    <t>取説 ｷｰﾚｽ(車内)保証書 ﾘﾓｺﾝ2個</t>
    <rPh sb="0" eb="2">
      <t>トリセツ</t>
    </rPh>
    <rPh sb="11" eb="14">
      <t>ホショウショ</t>
    </rPh>
    <rPh sb="20" eb="21">
      <t>コ</t>
    </rPh>
    <phoneticPr fontId="13"/>
  </si>
  <si>
    <t>鳥取 580 に 9554</t>
    <rPh sb="0" eb="2">
      <t>トットリ</t>
    </rPh>
    <phoneticPr fontId="13"/>
  </si>
  <si>
    <t>鳥取ﾀﾞｲﾊﾂ販売株式会社</t>
    <rPh sb="0" eb="2">
      <t>トットリ</t>
    </rPh>
    <rPh sb="6" eb="8">
      <t>ハンバイ</t>
    </rPh>
    <rPh sb="8" eb="12">
      <t>カブシキガイシャ</t>
    </rPh>
    <phoneticPr fontId="13"/>
  </si>
  <si>
    <t>27-3715</t>
  </si>
  <si>
    <t>八代田様</t>
    <rPh sb="0" eb="2">
      <t>ヤシロ</t>
    </rPh>
    <rPh sb="2" eb="3">
      <t>タ</t>
    </rPh>
    <rPh sb="3" eb="4">
      <t>サマ</t>
    </rPh>
    <phoneticPr fontId="13"/>
  </si>
  <si>
    <t>ﾒﾙｾﾃﾞｽﾍﾞﾝﾂ A180</t>
    <phoneticPr fontId="13"/>
  </si>
  <si>
    <t>WDD1760422J168902</t>
    <phoneticPr fontId="13"/>
  </si>
  <si>
    <t>神戸 31A て 88</t>
    <rPh sb="0" eb="2">
      <t>コウベ</t>
    </rPh>
    <phoneticPr fontId="13"/>
  </si>
  <si>
    <t>八代田 幸子</t>
    <rPh sb="0" eb="3">
      <t>ヤシロダ</t>
    </rPh>
    <rPh sb="4" eb="6">
      <t>サチコ</t>
    </rPh>
    <phoneticPr fontId="13"/>
  </si>
  <si>
    <t>保証書 取説 ｷｰﾚｽ 充電ｹｰﾌﾞﾙ</t>
    <rPh sb="0" eb="3">
      <t>ホショウショ</t>
    </rPh>
    <rPh sb="4" eb="6">
      <t>トリセツ</t>
    </rPh>
    <rPh sb="12" eb="14">
      <t>ジュウデン</t>
    </rPh>
    <phoneticPr fontId="13"/>
  </si>
  <si>
    <t>岐阜 302 ち 1720</t>
    <rPh sb="0" eb="2">
      <t>ギフ</t>
    </rPh>
    <phoneticPr fontId="13"/>
  </si>
  <si>
    <t>株式会社ｻｺﾀﾞ車輛ﾎﾝﾀﾞｶｰｽﾞ東海</t>
    <rPh sb="8" eb="10">
      <t>シャリョウ</t>
    </rPh>
    <rPh sb="18" eb="20">
      <t>トウカイ</t>
    </rPh>
    <phoneticPr fontId="13"/>
  </si>
  <si>
    <t>名古屋 333 つ 3088</t>
    <rPh sb="0" eb="3">
      <t>ナゴヤ</t>
    </rPh>
    <phoneticPr fontId="13"/>
  </si>
  <si>
    <t>前田 有輝</t>
    <rPh sb="0" eb="2">
      <t>マエダ</t>
    </rPh>
    <rPh sb="3" eb="4">
      <t>アリ</t>
    </rPh>
    <rPh sb="4" eb="5">
      <t>カガヤ</t>
    </rPh>
    <phoneticPr fontId="13"/>
  </si>
  <si>
    <t>保証書 取説 ﾅﾋﾞ取 ｷｰﾚｽ2個 ﾜﾝｵｰﾅｰ SD</t>
    <rPh sb="0" eb="3">
      <t>ホショウショ</t>
    </rPh>
    <rPh sb="4" eb="6">
      <t>トリセツ</t>
    </rPh>
    <rPh sb="10" eb="11">
      <t>トリ</t>
    </rPh>
    <rPh sb="17" eb="18">
      <t>コ</t>
    </rPh>
    <phoneticPr fontId="13"/>
  </si>
  <si>
    <t>北九州 399 て 8370</t>
    <rPh sb="0" eb="3">
      <t>キタキュウシュウ</t>
    </rPh>
    <phoneticPr fontId="13"/>
  </si>
  <si>
    <t>27-3716</t>
  </si>
  <si>
    <t>27-3717</t>
  </si>
  <si>
    <t>27-3718</t>
  </si>
  <si>
    <t>27-3719</t>
  </si>
  <si>
    <t>27-3720</t>
  </si>
  <si>
    <t>27-3721</t>
  </si>
  <si>
    <t>27-3722</t>
  </si>
  <si>
    <t>27-3723</t>
  </si>
  <si>
    <t>27-3724</t>
  </si>
  <si>
    <t>27-3725</t>
  </si>
  <si>
    <t>27-3726</t>
  </si>
  <si>
    <t>27-3727</t>
  </si>
  <si>
    <t>27-3728</t>
  </si>
  <si>
    <t>27-3729</t>
  </si>
  <si>
    <t>27-3730</t>
  </si>
  <si>
    <t>27-3731</t>
  </si>
  <si>
    <t>27-3732</t>
  </si>
  <si>
    <t>27-3733</t>
  </si>
  <si>
    <t>MH55S-153930</t>
    <phoneticPr fontId="13"/>
  </si>
  <si>
    <t>LA150S-2115990</t>
    <phoneticPr fontId="13"/>
  </si>
  <si>
    <t>ｳｪｲｸ　X　SA</t>
    <phoneticPr fontId="13"/>
  </si>
  <si>
    <t>LA710S-0005891</t>
    <phoneticPr fontId="13"/>
  </si>
  <si>
    <t>LA650S-0288565</t>
    <phoneticPr fontId="13"/>
  </si>
  <si>
    <t>ｶﾛｰﾗﾌｨｰﾙﾀﾞｰ　HV　G</t>
    <phoneticPr fontId="13"/>
  </si>
  <si>
    <t>NKE165-7166610</t>
    <phoneticPr fontId="13"/>
  </si>
  <si>
    <t>N　BOXｶｽﾀﾑ　ﾓﾃﾞｭｰﾛX　Gﾀｰﾎﾞ</t>
    <phoneticPr fontId="13"/>
  </si>
  <si>
    <t>JF1-6500733</t>
    <phoneticPr fontId="13"/>
  </si>
  <si>
    <t>S710V-0118573</t>
    <phoneticPr fontId="13"/>
  </si>
  <si>
    <t>ﾐﾗｲｰｽ　G　ﾘﾐﾃｯﾄﾞ　SaⅢ</t>
    <phoneticPr fontId="13"/>
  </si>
  <si>
    <t>LA350S-0394877</t>
    <phoneticPr fontId="13"/>
  </si>
  <si>
    <t>ﾐﾗｺｺｱ　ｺｺｱﾌﾟﾗｽX</t>
    <phoneticPr fontId="13"/>
  </si>
  <si>
    <t>L675S-0213394</t>
    <phoneticPr fontId="13"/>
  </si>
  <si>
    <t>NCP160-0152363</t>
    <phoneticPr fontId="13"/>
  </si>
  <si>
    <t>ﾌﾟﾛﾎﾞｯｸｽ　ﾊｲﾌﾞﾘｯﾄﾞDXｺﾝﾌｫｰﾄ</t>
    <phoneticPr fontId="13"/>
  </si>
  <si>
    <t>NHP160-0026401</t>
    <phoneticPr fontId="13"/>
  </si>
  <si>
    <t>保証書　取説　ﾅﾋﾞ取　予備ｷｰ</t>
    <rPh sb="0" eb="3">
      <t>ホショウショ</t>
    </rPh>
    <rPh sb="4" eb="6">
      <t>トリセツ</t>
    </rPh>
    <rPh sb="10" eb="11">
      <t>トリ</t>
    </rPh>
    <rPh sb="12" eb="14">
      <t>ヨビ</t>
    </rPh>
    <phoneticPr fontId="13"/>
  </si>
  <si>
    <t>WMWXR320202L85923</t>
    <phoneticPr fontId="13"/>
  </si>
  <si>
    <t>赤</t>
    <phoneticPr fontId="13"/>
  </si>
  <si>
    <t>保証書　取説　予備ｷｰ　ﾄﾞﾗﾚｺ取説　ﾄﾞﾗﾚｺSD</t>
    <rPh sb="0" eb="3">
      <t>ホショウショ</t>
    </rPh>
    <rPh sb="4" eb="6">
      <t>トリセツ</t>
    </rPh>
    <rPh sb="7" eb="9">
      <t>ヨビ</t>
    </rPh>
    <rPh sb="17" eb="19">
      <t>トリセツ</t>
    </rPh>
    <phoneticPr fontId="13"/>
  </si>
  <si>
    <t>高知　480　た　6487</t>
    <rPh sb="0" eb="2">
      <t>コウチ</t>
    </rPh>
    <phoneticPr fontId="13"/>
  </si>
  <si>
    <t>WMWXS520X02F21993</t>
    <phoneticPr fontId="13"/>
  </si>
  <si>
    <t>1C4BU0000LPL78620</t>
    <phoneticPr fontId="13"/>
  </si>
  <si>
    <t>評価損</t>
    <rPh sb="0" eb="2">
      <t>コウチ</t>
    </rPh>
    <phoneticPr fontId="13"/>
  </si>
  <si>
    <t>高知　300　の　4970</t>
    <rPh sb="0" eb="2">
      <t>コウチ</t>
    </rPh>
    <phoneticPr fontId="13"/>
  </si>
  <si>
    <t>WMWXS520902F22858</t>
    <phoneticPr fontId="13"/>
  </si>
  <si>
    <t>香川　581　う　6671</t>
    <rPh sb="0" eb="2">
      <t>カガワ</t>
    </rPh>
    <phoneticPr fontId="13"/>
  </si>
  <si>
    <t>ZFANF2D12MP909154</t>
    <phoneticPr fontId="13"/>
  </si>
  <si>
    <t>WMWYU520103D54254</t>
    <phoneticPr fontId="13"/>
  </si>
  <si>
    <t>27-3734</t>
  </si>
  <si>
    <t>27-3735</t>
  </si>
  <si>
    <t>JF5-1128787</t>
    <phoneticPr fontId="13"/>
  </si>
  <si>
    <t>DA17V-462291</t>
    <phoneticPr fontId="13"/>
  </si>
  <si>
    <t>N　BOXｶｽﾀﾑ　G　EX　ﾎﾝﾀﾞｾﾝｼﾝｸﾞ</t>
    <phoneticPr fontId="13"/>
  </si>
  <si>
    <t>JF3-1023452</t>
    <phoneticPr fontId="13"/>
  </si>
  <si>
    <t>27-3736</t>
  </si>
  <si>
    <t>27-3737</t>
  </si>
  <si>
    <t>27-3738</t>
  </si>
  <si>
    <t>27-3739</t>
  </si>
  <si>
    <t>27-3740</t>
  </si>
  <si>
    <t>27-3741</t>
  </si>
  <si>
    <t>27-3742</t>
  </si>
  <si>
    <t>27-3743</t>
  </si>
  <si>
    <t>ｱﾙﾄﾗﾊﾟﾝ　S</t>
    <phoneticPr fontId="13"/>
  </si>
  <si>
    <t>HE33S-137398</t>
    <phoneticPr fontId="13"/>
  </si>
  <si>
    <t>N　BOX　GﾀｰﾎﾞLﾊﾟｯｹｰｼﾞ</t>
    <phoneticPr fontId="13"/>
  </si>
  <si>
    <t>JF1-2511943</t>
    <phoneticPr fontId="13"/>
  </si>
  <si>
    <t>ZVW51-6087395</t>
    <phoneticPr fontId="13"/>
  </si>
  <si>
    <t>ﾚｸｻｽ　LS500ﾊﾞｰｼﾞｮﾝL</t>
    <phoneticPr fontId="13"/>
  </si>
  <si>
    <t>VXFA50-6003140</t>
    <phoneticPr fontId="13"/>
  </si>
  <si>
    <t>ｴｸｽﾄﾚｲﾙ　20XIﾚｻﾞｰED　Vｾﾚｸｼｮﾝ</t>
    <phoneticPr fontId="13"/>
  </si>
  <si>
    <t>NT32-607881</t>
    <phoneticPr fontId="13"/>
  </si>
  <si>
    <t>MH55S-732469</t>
    <phoneticPr fontId="13"/>
  </si>
  <si>
    <t>ﾐﾆｷｬﾌﾞﾄﾗｯｸ　ﾐﾉﾘ</t>
    <phoneticPr fontId="13"/>
  </si>
  <si>
    <t>DS16T-693915</t>
    <phoneticPr fontId="13"/>
  </si>
  <si>
    <t>MXWH60-4035284</t>
    <phoneticPr fontId="13"/>
  </si>
  <si>
    <t>神戸　58A　き　4767</t>
    <rPh sb="0" eb="2">
      <t>コウベ</t>
    </rPh>
    <phoneticPr fontId="13"/>
  </si>
  <si>
    <t>神戸　581　み　5199</t>
    <rPh sb="0" eb="2">
      <t>コウベ</t>
    </rPh>
    <phoneticPr fontId="13"/>
  </si>
  <si>
    <t>整備手帳　取説　ﾅﾋﾞ取　ｽﾍﾟｱｷｰ　ﾜﾝｵｰﾅｰ</t>
    <rPh sb="0" eb="4">
      <t>セイビテチョウ</t>
    </rPh>
    <rPh sb="5" eb="7">
      <t>トリセツ</t>
    </rPh>
    <rPh sb="11" eb="12">
      <t>トリ</t>
    </rPh>
    <phoneticPr fontId="13"/>
  </si>
  <si>
    <t>徳島　300　ま　6414</t>
    <rPh sb="0" eb="2">
      <t>トクシマ</t>
    </rPh>
    <phoneticPr fontId="13"/>
  </si>
  <si>
    <t>保証書　取説　　ﾅﾋﾞ取　Sｽﾏｰﾄ　ｶｰﾄﾞｷｰ</t>
    <rPh sb="0" eb="3">
      <t>ホショウショ</t>
    </rPh>
    <rPh sb="4" eb="6">
      <t>トリセツ</t>
    </rPh>
    <rPh sb="11" eb="12">
      <t>トリ</t>
    </rPh>
    <phoneticPr fontId="13"/>
  </si>
  <si>
    <t>10/1/4</t>
    <phoneticPr fontId="13"/>
  </si>
  <si>
    <t>岡山　330　ね　8623</t>
    <rPh sb="0" eb="2">
      <t>オカヤマ</t>
    </rPh>
    <phoneticPr fontId="13"/>
  </si>
  <si>
    <t>姫路　301　に　1876</t>
    <rPh sb="0" eb="2">
      <t>ヒメジ</t>
    </rPh>
    <phoneticPr fontId="13"/>
  </si>
  <si>
    <t>ｷｬﾝｾﾙ3/26返送</t>
    <rPh sb="9" eb="11">
      <t>ヘンソウ</t>
    </rPh>
    <phoneticPr fontId="13"/>
  </si>
  <si>
    <t>27-3744</t>
  </si>
  <si>
    <t>27-3745</t>
  </si>
  <si>
    <t>HE33S-176379</t>
    <phoneticPr fontId="13"/>
  </si>
  <si>
    <t>ZVW40-3109523</t>
    <phoneticPr fontId="13"/>
  </si>
  <si>
    <t>27-3746</t>
  </si>
  <si>
    <t>27-3747</t>
  </si>
  <si>
    <t>ﾌﾟﾘｳｽ Sﾂｰﾘﾝｸﾞ ｾﾚｸｼｮﾝ</t>
    <phoneticPr fontId="13"/>
  </si>
  <si>
    <t>ZVW50-6041928</t>
    <phoneticPr fontId="13"/>
  </si>
  <si>
    <t>名古屋 36C ゆ 8000</t>
    <rPh sb="0" eb="3">
      <t>ナゴヤ</t>
    </rPh>
    <phoneticPr fontId="13"/>
  </si>
  <si>
    <t>保証書 取説 ﾅﾋﾞﾛﾑ ﾅﾋﾞ取</t>
    <rPh sb="0" eb="3">
      <t>ホショウショ</t>
    </rPh>
    <rPh sb="4" eb="6">
      <t>トリセツ</t>
    </rPh>
    <rPh sb="16" eb="17">
      <t>トリ</t>
    </rPh>
    <phoneticPr fontId="13"/>
  </si>
  <si>
    <t>NCP160-0157249</t>
    <phoneticPr fontId="13"/>
  </si>
  <si>
    <t>8/7/25</t>
    <phoneticPr fontId="13"/>
  </si>
  <si>
    <t>南本 哲</t>
    <rPh sb="0" eb="1">
      <t>ミナミ</t>
    </rPh>
    <rPh sb="1" eb="2">
      <t>モト</t>
    </rPh>
    <rPh sb="3" eb="4">
      <t>テツ</t>
    </rPh>
    <phoneticPr fontId="13"/>
  </si>
  <si>
    <t>保証書 取説 ｴﾝｼﾞﾝｽﾀｰﾀｰ</t>
    <rPh sb="0" eb="3">
      <t>ホショウショ</t>
    </rPh>
    <rPh sb="4" eb="6">
      <t>トリセツ</t>
    </rPh>
    <phoneticPr fontId="13"/>
  </si>
  <si>
    <t>ｼｬﾗｲｽﾞｨ合同会社</t>
    <rPh sb="7" eb="11">
      <t>ゴウドウカイシャ</t>
    </rPh>
    <phoneticPr fontId="13"/>
  </si>
  <si>
    <t>福山 300 も 867</t>
    <rPh sb="0" eb="2">
      <t>フクヤマ</t>
    </rPh>
    <phoneticPr fontId="13"/>
  </si>
  <si>
    <t>名古屋 346 ふ 610</t>
    <rPh sb="0" eb="3">
      <t>ナゴヤ</t>
    </rPh>
    <phoneticPr fontId="13"/>
  </si>
  <si>
    <t>神戸 596 ろ 3869</t>
    <rPh sb="0" eb="2">
      <t>コウベ</t>
    </rPh>
    <phoneticPr fontId="13"/>
  </si>
  <si>
    <t>和泉 780 え 7788</t>
    <rPh sb="0" eb="2">
      <t>イズミ</t>
    </rPh>
    <phoneticPr fontId="13"/>
  </si>
  <si>
    <t>株式会社SANKYOｶﾞﾘﾊﾞｰ岩国店</t>
    <rPh sb="0" eb="4">
      <t>カブシキガイシャ</t>
    </rPh>
    <rPh sb="16" eb="18">
      <t>イワクニ</t>
    </rPh>
    <rPh sb="18" eb="19">
      <t>テン</t>
    </rPh>
    <phoneticPr fontId="13"/>
  </si>
  <si>
    <r>
      <t xml:space="preserve">保証書 取説 ｷｰﾚｽ ﾜﾝｵｰﾅｰ </t>
    </r>
    <r>
      <rPr>
        <sz val="11"/>
        <color rgb="FFFF0000"/>
        <rFont val="ＭＳ Ｐゴシック"/>
        <family val="3"/>
        <charset val="128"/>
        <scheme val="minor"/>
      </rPr>
      <t>ﾘﾓｺﾝ動作確認中</t>
    </r>
    <rPh sb="0" eb="3">
      <t>ホショウショ</t>
    </rPh>
    <rPh sb="4" eb="6">
      <t>トリセツ</t>
    </rPh>
    <rPh sb="23" eb="25">
      <t>ドウサ</t>
    </rPh>
    <rPh sb="25" eb="28">
      <t>カクニンチュウ</t>
    </rPh>
    <phoneticPr fontId="13"/>
  </si>
  <si>
    <t>岡山 480 に 669</t>
    <rPh sb="0" eb="2">
      <t>オカヤマ</t>
    </rPh>
    <phoneticPr fontId="13"/>
  </si>
  <si>
    <t>株式会社ﾋｶﾘｲﾝﾀｰﾅｼｮﾅﾙ</t>
    <phoneticPr fontId="13"/>
  </si>
  <si>
    <t>和泉 59A さ 4027</t>
    <rPh sb="0" eb="2">
      <t>イズミ</t>
    </rPh>
    <phoneticPr fontId="13"/>
  </si>
  <si>
    <t>ｴﾙﾍﾞｵｰﾄ株式会社</t>
    <rPh sb="7" eb="11">
      <t>カブシキガイシャ</t>
    </rPh>
    <phoneticPr fontId="13"/>
  </si>
  <si>
    <t>大坂 582 い 6176</t>
    <rPh sb="0" eb="2">
      <t>オオサカ</t>
    </rPh>
    <phoneticPr fontId="13"/>
  </si>
  <si>
    <t>保証書 取説 ﾅﾋﾞ取 ｷｰﾚｽ SD  ﾜﾝｵｰﾅｰ</t>
    <rPh sb="0" eb="3">
      <t>ホショウショ</t>
    </rPh>
    <rPh sb="4" eb="6">
      <t>トリセツ</t>
    </rPh>
    <rPh sb="10" eb="11">
      <t>トリ</t>
    </rPh>
    <phoneticPr fontId="13"/>
  </si>
  <si>
    <t>大坂 399 ゆ 5119</t>
    <rPh sb="0" eb="2">
      <t>オオサカ</t>
    </rPh>
    <phoneticPr fontId="13"/>
  </si>
  <si>
    <t>ｸｵｰﾚ不動産販株式会社</t>
    <rPh sb="4" eb="7">
      <t>フドウサン</t>
    </rPh>
    <rPh sb="7" eb="8">
      <t>ハン</t>
    </rPh>
    <rPh sb="8" eb="12">
      <t>カブシキガイシャ</t>
    </rPh>
    <phoneticPr fontId="13"/>
  </si>
  <si>
    <t>なにわ 5P9 ろ 4682</t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</si>
  <si>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</si>
  <si>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名古屋 330 す 9915</t>
    <rPh sb="0" eb="3">
      <t>ナゴヤ</t>
    </rPh>
    <phoneticPr fontId="13"/>
  </si>
  <si>
    <t>静岡 301 は 7611</t>
    <rPh sb="0" eb="2">
      <t>シズオカ</t>
    </rPh>
    <phoneticPr fontId="13"/>
  </si>
  <si>
    <t>27-3748</t>
  </si>
  <si>
    <t>一宮様</t>
    <rPh sb="0" eb="2">
      <t>イチミヤ</t>
    </rPh>
    <rPh sb="2" eb="3">
      <t>サマ</t>
    </rPh>
    <phoneticPr fontId="13"/>
  </si>
  <si>
    <t>ﾗｲﾌ</t>
    <phoneticPr fontId="13"/>
  </si>
  <si>
    <t>JB5-4749271</t>
    <phoneticPr fontId="13"/>
  </si>
  <si>
    <t>姫路 583 ひ 1129</t>
    <rPh sb="0" eb="2">
      <t>ヒメジ</t>
    </rPh>
    <phoneticPr fontId="13"/>
  </si>
  <si>
    <t>安茂 孝司</t>
    <rPh sb="0" eb="2">
      <t>ヤスシゲ</t>
    </rPh>
    <rPh sb="3" eb="4">
      <t>タカシ</t>
    </rPh>
    <rPh sb="4" eb="5">
      <t>ツカサ</t>
    </rPh>
    <phoneticPr fontId="13"/>
  </si>
  <si>
    <t>譲渡証差し替えHAA</t>
    <rPh sb="0" eb="1">
      <t>ユズル</t>
    </rPh>
    <rPh sb="1" eb="2">
      <t>ワタ</t>
    </rPh>
    <rPh sb="2" eb="3">
      <t>ショウ</t>
    </rPh>
    <rPh sb="3" eb="4">
      <t>サ</t>
    </rPh>
    <rPh sb="5" eb="6">
      <t>カ</t>
    </rPh>
    <phoneticPr fontId="13"/>
  </si>
  <si>
    <t>有限会社ｻﾝｴｲ車輛</t>
    <rPh sb="0" eb="4">
      <t>ユウゲンカイシャ</t>
    </rPh>
    <rPh sb="8" eb="10">
      <t>シャリョウ</t>
    </rPh>
    <phoneticPr fontId="13"/>
  </si>
  <si>
    <t>福岡 583 な 7773</t>
    <rPh sb="0" eb="2">
      <t>フクオカ</t>
    </rPh>
    <phoneticPr fontId="13"/>
  </si>
  <si>
    <t>大谷 征也</t>
    <rPh sb="0" eb="2">
      <t>オオタニ</t>
    </rPh>
    <rPh sb="3" eb="5">
      <t>マサヤ</t>
    </rPh>
    <phoneticPr fontId="13"/>
  </si>
  <si>
    <t>神戸 582 こ 7124</t>
    <rPh sb="0" eb="2">
      <t>コウベ</t>
    </rPh>
    <phoneticPr fontId="13"/>
  </si>
  <si>
    <t>小西 敬人</t>
    <rPh sb="0" eb="2">
      <t>コニシ</t>
    </rPh>
    <rPh sb="3" eb="4">
      <t>ケイ</t>
    </rPh>
    <rPh sb="4" eb="5">
      <t>ヒト</t>
    </rPh>
    <phoneticPr fontId="13"/>
  </si>
  <si>
    <t>上間 航基</t>
    <rPh sb="0" eb="2">
      <t>ウエマ</t>
    </rPh>
    <rPh sb="3" eb="4">
      <t>コウ</t>
    </rPh>
    <rPh sb="4" eb="5">
      <t>キ</t>
    </rPh>
    <phoneticPr fontId="13"/>
  </si>
  <si>
    <t>岡山 581 よ 4912</t>
    <rPh sb="0" eb="2">
      <t>オカヤマ</t>
    </rPh>
    <phoneticPr fontId="13"/>
  </si>
  <si>
    <t>広島 587 め 7000</t>
    <rPh sb="0" eb="2">
      <t>ヒロシマ</t>
    </rPh>
    <phoneticPr fontId="13"/>
  </si>
  <si>
    <t>岡山 399 な 5778</t>
    <rPh sb="0" eb="2">
      <t>オカヤマ</t>
    </rPh>
    <phoneticPr fontId="13"/>
  </si>
  <si>
    <t>岡山 599 に 7565</t>
    <rPh sb="0" eb="2">
      <t>オカヤマ</t>
    </rPh>
    <phoneticPr fontId="13"/>
  </si>
  <si>
    <t>広島 581 ひ 5332</t>
    <rPh sb="0" eb="2">
      <t>ヒロシマ</t>
    </rPh>
    <phoneticPr fontId="13"/>
  </si>
  <si>
    <t>株式会社ﾎﾝﾀﾞｶｰｽﾞ愛知県央</t>
    <rPh sb="0" eb="4">
      <t>カブシキガイシャ</t>
    </rPh>
    <rPh sb="12" eb="14">
      <t>アイチ</t>
    </rPh>
    <rPh sb="14" eb="15">
      <t>ケン</t>
    </rPh>
    <rPh sb="15" eb="16">
      <t>オウ</t>
    </rPh>
    <phoneticPr fontId="13"/>
  </si>
  <si>
    <t>保証書 取説 Ｓｷｰ ＳＤ</t>
    <rPh sb="0" eb="3">
      <t>ホショウショ</t>
    </rPh>
    <rPh sb="4" eb="6">
      <t>トリセツ</t>
    </rPh>
    <phoneticPr fontId="13"/>
  </si>
  <si>
    <t>倉敷 334 み 222</t>
    <rPh sb="0" eb="2">
      <t>クラシキ</t>
    </rPh>
    <phoneticPr fontId="13"/>
  </si>
  <si>
    <t>丹羽 照文</t>
    <rPh sb="0" eb="2">
      <t>タンバ</t>
    </rPh>
    <rPh sb="3" eb="4">
      <t>テ</t>
    </rPh>
    <rPh sb="4" eb="5">
      <t>フミ</t>
    </rPh>
    <phoneticPr fontId="13"/>
  </si>
  <si>
    <t>ｷｰﾚｽ (車内)保証書 取説 SD</t>
    <rPh sb="9" eb="12">
      <t>ホショウショ</t>
    </rPh>
    <rPh sb="13" eb="15">
      <t>トリセツ</t>
    </rPh>
    <phoneticPr fontId="13"/>
  </si>
  <si>
    <t>大坂 581 ぬ 2561</t>
    <rPh sb="0" eb="2">
      <t>オオサカ</t>
    </rPh>
    <phoneticPr fontId="13"/>
  </si>
  <si>
    <t>大坂 582 く 7797</t>
    <rPh sb="0" eb="2">
      <t>オオサカ</t>
    </rPh>
    <phoneticPr fontId="13"/>
  </si>
  <si>
    <t>齋藤 裕久</t>
    <rPh sb="0" eb="2">
      <t>サイトウ</t>
    </rPh>
    <rPh sb="3" eb="4">
      <t>ユウ</t>
    </rPh>
    <rPh sb="4" eb="5">
      <t>ヒサ</t>
    </rPh>
    <phoneticPr fontId="13"/>
  </si>
  <si>
    <t>株式会社ｵｰﾄﾚｯﾂ</t>
    <rPh sb="0" eb="4">
      <t>カブシキガイシャ</t>
    </rPh>
    <phoneticPr fontId="13"/>
  </si>
  <si>
    <t>品川 5X3 ろ 6195</t>
    <rPh sb="0" eb="2">
      <t>シナガワ</t>
    </rPh>
    <phoneticPr fontId="13"/>
  </si>
  <si>
    <t>ﾊｯｻﾝ ｻﾊﾞ ｳﾙ</t>
    <phoneticPr fontId="13"/>
  </si>
  <si>
    <t>三重 587 む 235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</si>
  <si>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</si>
  <si>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尾張小牧 581 ほ 1187</t>
    <rPh sb="0" eb="4">
      <t>オワリコマキ</t>
    </rPh>
    <phoneticPr fontId="13"/>
  </si>
  <si>
    <t>501 ゆ 5394</t>
    <phoneticPr fontId="13"/>
  </si>
  <si>
    <t>301 ね 9135</t>
    <phoneticPr fontId="13"/>
  </si>
  <si>
    <t>姫路 501 ゆ 5395</t>
    <rPh sb="0" eb="2">
      <t>ヒメジ</t>
    </rPh>
    <phoneticPr fontId="13"/>
  </si>
  <si>
    <t>旧27-2584</t>
    <rPh sb="0" eb="1">
      <t>キュウ</t>
    </rPh>
    <phoneticPr fontId="13"/>
  </si>
  <si>
    <t>広島 501 わ 9482</t>
    <rPh sb="0" eb="2">
      <t>ヒロシマ</t>
    </rPh>
    <phoneticPr fontId="13"/>
  </si>
  <si>
    <t>ZiP大阪</t>
    <rPh sb="3" eb="5">
      <t>オオサカ</t>
    </rPh>
    <phoneticPr fontId="13"/>
  </si>
  <si>
    <t>ZiP大阪(ﾜﾝﾌﾟﾗ)</t>
    <rPh sb="3" eb="5">
      <t>オオサカ</t>
    </rPh>
    <phoneticPr fontId="13"/>
  </si>
  <si>
    <t>HAA神戸(ﾜﾝｸﾘ)</t>
    <rPh sb="3" eb="5">
      <t>コウベ</t>
    </rPh>
    <phoneticPr fontId="13"/>
  </si>
  <si>
    <t>27-3749</t>
  </si>
  <si>
    <t>ｱｸｱ S</t>
    <phoneticPr fontId="13"/>
  </si>
  <si>
    <t>27/2</t>
    <phoneticPr fontId="13"/>
  </si>
  <si>
    <t>赤</t>
    <rPh sb="0" eb="1">
      <t>アカ</t>
    </rPh>
    <phoneticPr fontId="13"/>
  </si>
  <si>
    <t>NHP10-2420591</t>
    <phoneticPr fontId="13"/>
  </si>
  <si>
    <t>ﾘﾓｺﾝ B-CAS</t>
    <phoneticPr fontId="13"/>
  </si>
  <si>
    <t>TAA中部</t>
    <rPh sb="3" eb="5">
      <t>チュウブ</t>
    </rPh>
    <phoneticPr fontId="13"/>
  </si>
  <si>
    <t>27-3750</t>
  </si>
  <si>
    <t>29/7</t>
    <phoneticPr fontId="13"/>
  </si>
  <si>
    <t>ﾌﾟﾘｳｽｱﾙﾌｧ S ﾁｭｰﾝ</t>
    <phoneticPr fontId="13"/>
  </si>
  <si>
    <t>ZVW41-0063335</t>
    <phoneticPr fontId="13"/>
  </si>
  <si>
    <t>堺 340 ま 8080</t>
    <rPh sb="0" eb="1">
      <t>サカイ</t>
    </rPh>
    <phoneticPr fontId="13"/>
  </si>
  <si>
    <t>株式会社ﾈｸｽﾃｰｼﾞ</t>
    <rPh sb="0" eb="4">
      <t>カブシキガイシャ</t>
    </rPh>
    <phoneticPr fontId="13"/>
  </si>
  <si>
    <t>3/26</t>
    <phoneticPr fontId="13"/>
  </si>
  <si>
    <t>保証書 取説 ｷｰﾚｽ</t>
    <rPh sb="0" eb="3">
      <t>ホショウショ</t>
    </rPh>
    <rPh sb="4" eb="6">
      <t>トリセツ</t>
    </rPh>
    <phoneticPr fontId="13"/>
  </si>
  <si>
    <t>大坂 304 そ 8401</t>
    <rPh sb="0" eb="2">
      <t>オオサカ</t>
    </rPh>
    <phoneticPr fontId="13"/>
  </si>
  <si>
    <t>株式会社ﾎﾟﾛ</t>
    <rPh sb="0" eb="4">
      <t>カブシキガイシャ</t>
    </rPh>
    <phoneticPr fontId="13"/>
  </si>
  <si>
    <t>千葉 326 ち 6750</t>
    <rPh sb="0" eb="2">
      <t>チバ</t>
    </rPh>
    <phoneticPr fontId="13"/>
  </si>
  <si>
    <t>東邦ｵｰﾄ株式会社</t>
    <rPh sb="0" eb="2">
      <t>トウホウ</t>
    </rPh>
    <rPh sb="5" eb="9">
      <t>カブシキガイシャ</t>
    </rPh>
    <phoneticPr fontId="13"/>
  </si>
  <si>
    <t>八王子 399 と 8640</t>
    <rPh sb="0" eb="3">
      <t>ハチオウジ</t>
    </rPh>
    <phoneticPr fontId="13"/>
  </si>
  <si>
    <t>株式会社村内外車ｾﾝﾀｰ</t>
    <rPh sb="0" eb="4">
      <t>カブシキガイシャ</t>
    </rPh>
    <rPh sb="4" eb="6">
      <t>ムラナイ</t>
    </rPh>
    <rPh sb="6" eb="8">
      <t>ガイシャ</t>
    </rPh>
    <phoneticPr fontId="13"/>
  </si>
  <si>
    <t>沖縄 300 る 7745</t>
    <rPh sb="0" eb="2">
      <t>オキナワ</t>
    </rPh>
    <phoneticPr fontId="13"/>
  </si>
  <si>
    <t>ﾓﾄｰﾚﾝ沖縄株式会社</t>
    <rPh sb="5" eb="7">
      <t>オキナワ</t>
    </rPh>
    <rPh sb="7" eb="11">
      <t>カブシキガイシャ</t>
    </rPh>
    <phoneticPr fontId="13"/>
  </si>
  <si>
    <t>沖縄 330 す 3254</t>
    <rPh sb="0" eb="2">
      <t>オキナワ</t>
    </rPh>
    <phoneticPr fontId="13"/>
  </si>
  <si>
    <t>保証書 取説 ｷｰﾚｽ ﾜﾝｵｰﾅｰ？</t>
    <rPh sb="0" eb="3">
      <t>ホショウショ</t>
    </rPh>
    <rPh sb="4" eb="6">
      <t>トリセツ</t>
    </rPh>
    <phoneticPr fontId="13"/>
  </si>
  <si>
    <t>春日井 399 つ 6270</t>
    <rPh sb="0" eb="3">
      <t>カスガイ</t>
    </rPh>
    <phoneticPr fontId="13"/>
  </si>
  <si>
    <t>株式会社ﾊﾟｯｼｮﾝ</t>
    <rPh sb="0" eb="4">
      <t>カブシキガイシャ</t>
    </rPh>
    <phoneticPr fontId="13"/>
  </si>
  <si>
    <t>大宮 357 さ 22</t>
    <rPh sb="0" eb="2">
      <t>オオミヤ</t>
    </rPh>
    <phoneticPr fontId="13"/>
  </si>
  <si>
    <t>埼玉ﾄﾖﾍﾟｯﾄ株式会社</t>
    <rPh sb="0" eb="2">
      <t>サイタマ</t>
    </rPh>
    <rPh sb="8" eb="12">
      <t>カブシキガイシャ</t>
    </rPh>
    <phoneticPr fontId="13"/>
  </si>
  <si>
    <t>ｷｰﾚｽ(車内)</t>
    <rPh sb="5" eb="7">
      <t>シャナイ</t>
    </rPh>
    <phoneticPr fontId="13"/>
  </si>
  <si>
    <t>USS神戸(ﾜﾝｸﾘ)</t>
    <rPh sb="3" eb="5">
      <t>コウベ</t>
    </rPh>
    <phoneticPr fontId="13"/>
  </si>
  <si>
    <t>株式会社ｵﾘｴﾝﾄｺｰﾎﾟﾚｰｼｮﾝ</t>
    <rPh sb="0" eb="4">
      <t>カブシキガイシャ</t>
    </rPh>
    <phoneticPr fontId="13"/>
  </si>
  <si>
    <t>3/27</t>
    <phoneticPr fontId="13"/>
  </si>
  <si>
    <t>有限会社ﾌｼﾞﾐｵｰﾄ</t>
    <rPh sb="0" eb="4">
      <t>ユウゲンカイシャ</t>
    </rPh>
    <phoneticPr fontId="13"/>
  </si>
  <si>
    <t>保証書 ｷｰﾚｽ</t>
    <rPh sb="0" eb="3">
      <t>ホショウショ</t>
    </rPh>
    <phoneticPr fontId="13"/>
  </si>
  <si>
    <t>横浜 332 つ 3757</t>
    <rPh sb="0" eb="2">
      <t>ヨコハマ</t>
    </rPh>
    <phoneticPr fontId="13"/>
  </si>
  <si>
    <t>神奈川ﾄﾖﾀ自動車株式会社</t>
    <rPh sb="0" eb="3">
      <t>カナガワ</t>
    </rPh>
    <rPh sb="6" eb="13">
      <t>ジドウシャカブシキガイシャ</t>
    </rPh>
    <phoneticPr fontId="13"/>
  </si>
  <si>
    <t>保証書 ﾜﾝｵｰﾅｰ</t>
    <rPh sb="0" eb="3">
      <t>ホショウショ</t>
    </rPh>
    <phoneticPr fontId="13"/>
  </si>
  <si>
    <t>三重 301 む 8120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</si>
  <si>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</si>
  <si>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広島 582 そ 4504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</si>
  <si>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</si>
  <si>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</si>
  <si>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>岡山 580 め 2632</t>
    <rPh sb="0" eb="2">
      <t>オカヤマ</t>
    </rPh>
    <phoneticPr fontId="13"/>
  </si>
  <si>
    <t>株式会社ﾀﾞﾌﾞﾙﾂﾘｰ</t>
    <rPh sb="0" eb="4">
      <t>カブシキガイシャ</t>
    </rPh>
    <phoneticPr fontId="13"/>
  </si>
  <si>
    <t>柏 530 て 2513</t>
    <rPh sb="0" eb="1">
      <t>カシワ</t>
    </rPh>
    <phoneticPr fontId="13"/>
  </si>
  <si>
    <t>株式会社ﾆﾁｴｲ ・ｶｰﾏｯｸｽ</t>
    <rPh sb="0" eb="4">
      <t>カブシキガイシャ</t>
    </rPh>
    <phoneticPr fontId="13"/>
  </si>
  <si>
    <t>神戸 596 ろ 8721</t>
    <rPh sb="0" eb="2">
      <t>コウベ</t>
    </rPh>
    <phoneticPr fontId="13"/>
  </si>
  <si>
    <t>株式会社ｽｽﾞｷ中兵庫販売</t>
    <rPh sb="0" eb="4">
      <t>カブシキガイシャ</t>
    </rPh>
    <rPh sb="8" eb="11">
      <t>ナカヒョウゴ</t>
    </rPh>
    <rPh sb="11" eb="13">
      <t>ハンバイ</t>
    </rPh>
    <phoneticPr fontId="13"/>
  </si>
  <si>
    <t>保証書　取説　ｽﾍﾟｱｷｰ　ﾚﾝﾀｶｰ　2023.6/1.14022㎞時ｲﾝｽﾄﾙﾒﾝﾄｸﾗｽﾀｰ交換</t>
    <rPh sb="0" eb="3">
      <t>ホショウショ</t>
    </rPh>
    <rPh sb="4" eb="6">
      <t>トリセツ</t>
    </rPh>
    <rPh sb="35" eb="36">
      <t>トキ</t>
    </rPh>
    <rPh sb="49" eb="51">
      <t>コウカン</t>
    </rPh>
    <phoneticPr fontId="13"/>
  </si>
  <si>
    <t>神戸 301 わ 9439</t>
    <rPh sb="0" eb="2">
      <t>コウベ</t>
    </rPh>
    <phoneticPr fontId="13"/>
  </si>
  <si>
    <t>株式会社ﾔﾅｾ</t>
    <rPh sb="0" eb="4">
      <t>カブシキガイシャ</t>
    </rPh>
    <phoneticPr fontId="13"/>
  </si>
  <si>
    <t>HAA売 ﾚﾝﾀｶｰ記載なしそのままおくる</t>
    <rPh sb="3" eb="4">
      <t>ウ</t>
    </rPh>
    <rPh sb="10" eb="12">
      <t>キサイ</t>
    </rPh>
    <phoneticPr fontId="13"/>
  </si>
  <si>
    <t>愛媛 534 に 2015</t>
    <rPh sb="0" eb="2">
      <t>エヒメ</t>
    </rPh>
    <phoneticPr fontId="13"/>
  </si>
  <si>
    <t>森川 真</t>
    <rPh sb="0" eb="2">
      <t>モリカワ</t>
    </rPh>
    <rPh sb="3" eb="4">
      <t>マコト</t>
    </rPh>
    <phoneticPr fontId="13"/>
  </si>
  <si>
    <t>保証書 取説 ﾅﾋﾞ取 ｷｰﾚｽ ミニB-CAS ﾏｲｸﾛSD</t>
    <rPh sb="0" eb="3">
      <t>ホショウショ</t>
    </rPh>
    <rPh sb="4" eb="6">
      <t>トリセツ</t>
    </rPh>
    <rPh sb="10" eb="11">
      <t>トリ</t>
    </rPh>
    <phoneticPr fontId="13"/>
  </si>
  <si>
    <t>倉敷 580 そ 5811</t>
    <rPh sb="0" eb="2">
      <t>クラシキ</t>
    </rPh>
    <phoneticPr fontId="13"/>
  </si>
  <si>
    <t>株式会社ｼﾃｨﾗｲﾄ</t>
    <rPh sb="0" eb="4">
      <t>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</si>
  <si>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</si>
  <si>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330 て 8088</t>
    <rPh sb="0" eb="2">
      <t>シマネ</t>
    </rPh>
    <phoneticPr fontId="13"/>
  </si>
  <si>
    <t>株式会社ｼﾞｬｯｸｽ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</si>
  <si>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</si>
  <si>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神戸 369 た 35</t>
    <rPh sb="0" eb="2">
      <t>コウベ</t>
    </rPh>
    <phoneticPr fontId="13"/>
  </si>
  <si>
    <t>京都 330 ふ 5243</t>
    <rPh sb="0" eb="2">
      <t>キョウト</t>
    </rPh>
    <phoneticPr fontId="13"/>
  </si>
  <si>
    <t>小西 浩生</t>
    <rPh sb="0" eb="2">
      <t>コニシ</t>
    </rPh>
    <rPh sb="3" eb="4">
      <t>ヒロ</t>
    </rPh>
    <rPh sb="4" eb="5">
      <t>ショウ</t>
    </rPh>
    <phoneticPr fontId="13"/>
  </si>
  <si>
    <t>和泉 386 ろ 1003</t>
    <rPh sb="0" eb="2">
      <t>イズミ</t>
    </rPh>
    <phoneticPr fontId="13"/>
  </si>
  <si>
    <t>株式会社MIRIVE</t>
    <rPh sb="0" eb="4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</si>
  <si>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</si>
  <si>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L675S-0218661</t>
    <phoneticPr fontId="13"/>
  </si>
  <si>
    <t>広島 586 ら 1218</t>
    <rPh sb="0" eb="2">
      <t>ヒロシマ</t>
    </rPh>
    <phoneticPr fontId="13"/>
  </si>
  <si>
    <t>平田 知令</t>
    <rPh sb="0" eb="2">
      <t>ヒラタ</t>
    </rPh>
    <rPh sb="3" eb="4">
      <t>チ</t>
    </rPh>
    <rPh sb="4" eb="5">
      <t>レイ</t>
    </rPh>
    <phoneticPr fontId="13"/>
  </si>
  <si>
    <t>品番；CN-RE04D</t>
    <rPh sb="0" eb="2">
      <t>ヒンバン</t>
    </rPh>
    <phoneticPr fontId="13"/>
  </si>
  <si>
    <t>保証書 取説 ｽﾍﾟｱｷｰ 地図SD(車内)ﾚﾝﾀｶｰ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</si>
  <si>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(車内)SD Sｷｰ</t>
    <rPh sb="0" eb="3">
      <t>ホショウショ</t>
    </rPh>
    <rPh sb="4" eb="6">
      <t>トリセツ</t>
    </rPh>
    <phoneticPr fontId="13"/>
  </si>
  <si>
    <t>保証書(車内)</t>
    <rPh sb="0" eb="3">
      <t>ホショウショ</t>
    </rPh>
    <phoneticPr fontId="13"/>
  </si>
  <si>
    <t>ﾘﾓｺﾝ(車内)</t>
    <phoneticPr fontId="13"/>
  </si>
  <si>
    <t>地図SD(車内)保証書 ｷｰﾚｽ</t>
    <rPh sb="0" eb="2">
      <t>チズ</t>
    </rPh>
    <rPh sb="8" eb="11">
      <t>ホショウショ</t>
    </rPh>
    <phoneticPr fontId="13"/>
  </si>
  <si>
    <t>ｷｰﾚｽ ﾏｲｸﾛ地図SD(車内)</t>
    <rPh sb="9" eb="11">
      <t>チズ</t>
    </rPh>
    <phoneticPr fontId="13"/>
  </si>
  <si>
    <t>ﾏｲｸﾛSD(車内)保証書</t>
    <rPh sb="10" eb="13">
      <t>ホショウショ</t>
    </rPh>
    <phoneticPr fontId="13"/>
  </si>
  <si>
    <t>ｷｰﾚｽ 保証書 取説 (車内)</t>
    <rPh sb="5" eb="8">
      <t>ホショウショ</t>
    </rPh>
    <rPh sb="9" eb="11">
      <t>トリセツ</t>
    </rPh>
    <phoneticPr fontId="13"/>
  </si>
  <si>
    <t>取説 ｷｰﾚｽ(車内)</t>
    <rPh sb="0" eb="2">
      <t>トリセツ</t>
    </rPh>
    <phoneticPr fontId="13"/>
  </si>
  <si>
    <t>整備手帳 取説 ｷｰﾚｽ 地図SD(車内)ﾅﾝﾊﾞｰ</t>
    <rPh sb="0" eb="4">
      <t>セイビテチョウ</t>
    </rPh>
    <rPh sb="5" eb="7">
      <t>トリセツ</t>
    </rPh>
    <rPh sb="13" eb="15">
      <t>チズ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</si>
  <si>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</si>
  <si>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三浦 朋生</t>
    <rPh sb="0" eb="2">
      <t>ミウラ</t>
    </rPh>
    <rPh sb="3" eb="4">
      <t>トモ</t>
    </rPh>
    <rPh sb="4" eb="5">
      <t>イ</t>
    </rPh>
    <phoneticPr fontId="13"/>
  </si>
  <si>
    <t>3/27</t>
    <phoneticPr fontId="13"/>
  </si>
  <si>
    <t>なにわ 331 ね 441</t>
    <phoneticPr fontId="13"/>
  </si>
  <si>
    <t>ﾄﾖﾀﾓﾋﾞﾘﾃｨ新大阪株式会社</t>
    <rPh sb="9" eb="12">
      <t>シンオオサカ</t>
    </rPh>
    <rPh sb="12" eb="16">
      <t>カブシキガイシャ</t>
    </rPh>
    <phoneticPr fontId="13"/>
  </si>
  <si>
    <t>直送</t>
    <rPh sb="0" eb="2">
      <t>チョクソウ</t>
    </rPh>
    <phoneticPr fontId="13"/>
  </si>
  <si>
    <t>保証書 取説 ﾜﾝｵｰﾅｰ</t>
    <rPh sb="0" eb="3">
      <t>ホショウショ</t>
    </rPh>
    <rPh sb="4" eb="6">
      <t>トリセツ</t>
    </rPh>
    <phoneticPr fontId="13"/>
  </si>
  <si>
    <t>谷川様</t>
    <rPh sb="0" eb="2">
      <t>タニガワ</t>
    </rPh>
    <rPh sb="2" eb="3">
      <t>サマ</t>
    </rPh>
    <phoneticPr fontId="13"/>
  </si>
  <si>
    <t>26/1</t>
    <phoneticPr fontId="13"/>
  </si>
  <si>
    <t>BMWﾐﾆｸｰﾊﾟｰS ﾍﾟｰｽﾏﾝ</t>
    <phoneticPr fontId="13"/>
  </si>
  <si>
    <t>WMWSS720X0WN75550</t>
    <phoneticPr fontId="13"/>
  </si>
  <si>
    <t>9/4/13</t>
    <phoneticPr fontId="13"/>
  </si>
  <si>
    <t>姫路 340 め 87</t>
    <rPh sb="0" eb="2">
      <t>ヒメジ</t>
    </rPh>
    <phoneticPr fontId="13"/>
  </si>
  <si>
    <t>谷川 昌平</t>
    <rPh sb="0" eb="2">
      <t>タニガワ</t>
    </rPh>
    <rPh sb="3" eb="5">
      <t>ショウヘイ</t>
    </rPh>
    <phoneticPr fontId="13"/>
  </si>
  <si>
    <t>保証書 取説</t>
    <rPh sb="0" eb="3">
      <t>ホショウショ</t>
    </rPh>
    <rPh sb="4" eb="6">
      <t>トリセツ</t>
    </rPh>
    <phoneticPr fontId="13"/>
  </si>
  <si>
    <t>27-3751</t>
  </si>
  <si>
    <t>姫路 332 や 2324</t>
    <rPh sb="0" eb="2">
      <t>ヒメジ</t>
    </rPh>
    <phoneticPr fontId="13"/>
  </si>
  <si>
    <t>西村 泰咲</t>
    <rPh sb="0" eb="2">
      <t>ニシムラ</t>
    </rPh>
    <rPh sb="3" eb="4">
      <t>カナ</t>
    </rPh>
    <rPh sb="4" eb="5">
      <t>サキ</t>
    </rPh>
    <phoneticPr fontId="13"/>
  </si>
  <si>
    <t>3/28</t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</si>
  <si>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</si>
  <si>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336 て 8118</t>
    <rPh sb="0" eb="2">
      <t>ナガサキ</t>
    </rPh>
    <phoneticPr fontId="13"/>
  </si>
  <si>
    <t>札田 勇二</t>
    <rPh sb="0" eb="1">
      <t>サツ</t>
    </rPh>
    <rPh sb="1" eb="2">
      <t>タ</t>
    </rPh>
    <rPh sb="3" eb="4">
      <t>イサム</t>
    </rPh>
    <rPh sb="4" eb="5">
      <t>フタ</t>
    </rPh>
    <phoneticPr fontId="13"/>
  </si>
  <si>
    <t>保証書</t>
    <rPh sb="0" eb="3">
      <t>ホショウショ</t>
    </rPh>
    <phoneticPr fontId="13"/>
  </si>
  <si>
    <t>福岡 582 き 8661</t>
    <rPh sb="0" eb="2">
      <t>フクオカ</t>
    </rPh>
    <phoneticPr fontId="13"/>
  </si>
  <si>
    <t>伊藤 由佳</t>
    <rPh sb="0" eb="2">
      <t>イトウ</t>
    </rPh>
    <rPh sb="3" eb="5">
      <t>ユカ</t>
    </rPh>
    <phoneticPr fontId="13"/>
  </si>
  <si>
    <t>USS神戸(ﾜﾝｸﾘ)</t>
    <rPh sb="3" eb="5">
      <t>コウベ</t>
    </rPh>
    <phoneticPr fontId="13"/>
  </si>
  <si>
    <t>熊谷 330 め 591</t>
    <rPh sb="0" eb="2">
      <t>クマヤ</t>
    </rPh>
    <phoneticPr fontId="13"/>
  </si>
  <si>
    <t>株式会社ｽｽﾞｷ自販西埼玉</t>
    <rPh sb="0" eb="4">
      <t>カブシキガイシャ</t>
    </rPh>
    <rPh sb="8" eb="10">
      <t>ジハン</t>
    </rPh>
    <rPh sb="10" eb="11">
      <t>ニシ</t>
    </rPh>
    <rPh sb="11" eb="13">
      <t>サイタマ</t>
    </rPh>
    <phoneticPr fontId="13"/>
  </si>
  <si>
    <t>保証書 取説  ｽﾍﾟｱｷｰ</t>
    <phoneticPr fontId="13"/>
  </si>
  <si>
    <t>姫路　581　よ 1603</t>
    <rPh sb="0" eb="2">
      <t>ヒメジ</t>
    </rPh>
    <phoneticPr fontId="13"/>
  </si>
  <si>
    <t>北山 久美子</t>
    <rPh sb="0" eb="2">
      <t>キタヤマ</t>
    </rPh>
    <rPh sb="3" eb="6">
      <t>クミコ</t>
    </rPh>
    <phoneticPr fontId="13"/>
  </si>
  <si>
    <t>保証書なしｸﾚｰﾑ済 取説 ｽﾏｰﾄｷｰ(ﾒｶｷｰなし)</t>
    <rPh sb="0" eb="3">
      <t>ホショウショ</t>
    </rPh>
    <rPh sb="9" eb="10">
      <t>ズ</t>
    </rPh>
    <rPh sb="11" eb="13">
      <t>トリセツ</t>
    </rPh>
    <phoneticPr fontId="13"/>
  </si>
  <si>
    <t>品川 5X3 ろ 7863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</si>
  <si>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</si>
  <si>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仙台 531 み 715</t>
    <rPh sb="0" eb="2">
      <t>センダイ</t>
    </rPh>
    <phoneticPr fontId="13"/>
  </si>
  <si>
    <t>ﾄﾖﾀｶﾛｰﾗ宮城株式会社</t>
    <rPh sb="7" eb="9">
      <t>ミヤギ</t>
    </rPh>
    <rPh sb="9" eb="13">
      <t>カブシキガイシャ</t>
    </rPh>
    <phoneticPr fontId="13"/>
  </si>
  <si>
    <t>株式会社ﾎﾝﾀﾞﾓﾋﾞﾘﾃｨ南関東</t>
    <rPh sb="14" eb="15">
      <t>ミナミ</t>
    </rPh>
    <rPh sb="15" eb="17">
      <t>カントウ</t>
    </rPh>
    <phoneticPr fontId="13"/>
  </si>
  <si>
    <t>松本 580 わ 2529</t>
    <rPh sb="0" eb="2">
      <t>マツモト</t>
    </rPh>
    <phoneticPr fontId="13"/>
  </si>
  <si>
    <t>株式会社ﾀｶｻﾜ</t>
    <rPh sb="0" eb="4">
      <t>カブシキガイシャ</t>
    </rPh>
    <phoneticPr fontId="13"/>
  </si>
  <si>
    <t>倉敷 480 け 2238</t>
    <rPh sb="0" eb="2">
      <t>クラシキ</t>
    </rPh>
    <phoneticPr fontId="13"/>
  </si>
  <si>
    <t>有限会社大三宅自動車ｻｰﾋﾞｽ工場</t>
    <rPh sb="0" eb="4">
      <t>ユウゲンカイシャ</t>
    </rPh>
    <rPh sb="4" eb="5">
      <t>オオ</t>
    </rPh>
    <rPh sb="5" eb="7">
      <t>ミヤケ</t>
    </rPh>
    <rPh sb="7" eb="10">
      <t>ジドウシャ</t>
    </rPh>
    <rPh sb="15" eb="17">
      <t>コウジョウ</t>
    </rPh>
    <phoneticPr fontId="13"/>
  </si>
  <si>
    <t>広島 31M て 3</t>
    <rPh sb="0" eb="2">
      <t>ヒロシマ</t>
    </rPh>
    <phoneticPr fontId="13"/>
  </si>
  <si>
    <t>株式会社ﾈｸｽﾃｰｼﾞ</t>
    <rPh sb="0" eb="4">
      <t>カブシキガイシャ</t>
    </rPh>
    <phoneticPr fontId="13"/>
  </si>
  <si>
    <t>WMWYT920503M01163</t>
    <phoneticPr fontId="13"/>
  </si>
  <si>
    <t>北九州 331 む 588</t>
    <rPh sb="0" eb="3">
      <t>キタキュウシュウ</t>
    </rPh>
    <phoneticPr fontId="13"/>
  </si>
  <si>
    <t>九州三菱自動車販売株式会社</t>
    <rPh sb="0" eb="2">
      <t>キュウシュウ</t>
    </rPh>
    <rPh sb="2" eb="4">
      <t>ミツビシ</t>
    </rPh>
    <rPh sb="4" eb="13">
      <t>ジドウシャハンバイカブシキガイシャ</t>
    </rPh>
    <phoneticPr fontId="13"/>
  </si>
  <si>
    <t>株式会社WECARS</t>
    <rPh sb="0" eb="4">
      <t>カブシキガイシャ</t>
    </rPh>
    <phoneticPr fontId="13"/>
  </si>
  <si>
    <t>保証書(ﾃﾞｨｰﾗｰ印角印なし)取説 ｷｰﾚｽ</t>
    <rPh sb="0" eb="3">
      <t>ホショウショ</t>
    </rPh>
    <rPh sb="10" eb="11">
      <t>イン</t>
    </rPh>
    <rPh sb="11" eb="13">
      <t>カクイン</t>
    </rPh>
    <rPh sb="16" eb="18">
      <t>トリセツ</t>
    </rPh>
    <phoneticPr fontId="13"/>
  </si>
  <si>
    <t>岐阜 399 の 4586</t>
    <rPh sb="0" eb="2">
      <t>ギフ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</si>
  <si>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</si>
  <si>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宇都宮 301 ら 645</t>
    <rPh sb="0" eb="3">
      <t>ウツノミヤ</t>
    </rPh>
    <phoneticPr fontId="13"/>
  </si>
  <si>
    <t>株式会社モリス</t>
    <rPh sb="0" eb="4">
      <t>カブシキガイシャ</t>
    </rPh>
    <phoneticPr fontId="13"/>
  </si>
  <si>
    <t>和泉 581 せ 2232</t>
    <rPh sb="0" eb="2">
      <t>イズミ</t>
    </rPh>
    <phoneticPr fontId="13"/>
  </si>
  <si>
    <t>株式会社ﾛｰﾄﾞｶｰ</t>
    <phoneticPr fontId="13"/>
  </si>
  <si>
    <t>取説 ﾅﾋﾞ取 ｷｰﾚｽ</t>
    <rPh sb="0" eb="2">
      <t>トリセツ</t>
    </rPh>
    <rPh sb="6" eb="7">
      <t>トリ</t>
    </rPh>
    <phoneticPr fontId="13"/>
  </si>
  <si>
    <t>名古屋 582 ま 3461</t>
    <rPh sb="0" eb="3">
      <t>ナゴヤ</t>
    </rPh>
    <phoneticPr fontId="13"/>
  </si>
  <si>
    <t>ｷﾑﾗﾕﾆﾃｨｰ株式会社</t>
    <rPh sb="8" eb="12">
      <t>カブシキガイシャ</t>
    </rPh>
    <phoneticPr fontId="13"/>
  </si>
  <si>
    <t>多摩 592 ろ 8840</t>
    <rPh sb="0" eb="2">
      <t>タマ</t>
    </rPh>
    <phoneticPr fontId="13"/>
  </si>
  <si>
    <t>ｵﾘｯｸｽ自動車株式会社</t>
    <rPh sb="5" eb="12">
      <t>ジドウシャカブシキガイシャ</t>
    </rPh>
    <phoneticPr fontId="13"/>
  </si>
  <si>
    <t>広島 584 を 1173</t>
    <rPh sb="0" eb="2">
      <t>ヒロシマ</t>
    </rPh>
    <phoneticPr fontId="13"/>
  </si>
  <si>
    <t>西村 貴史</t>
    <rPh sb="0" eb="2">
      <t>ニシムラ</t>
    </rPh>
    <rPh sb="3" eb="4">
      <t>タカシ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</si>
  <si>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</si>
  <si>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岡山 599 に 7634</t>
    <rPh sb="0" eb="2">
      <t>オカヤマ</t>
    </rPh>
    <phoneticPr fontId="13"/>
  </si>
  <si>
    <t>株式会社ｼﾃｨﾗｲﾄ</t>
    <rPh sb="0" eb="4">
      <t>カブシキガイシャ</t>
    </rPh>
    <phoneticPr fontId="13"/>
  </si>
  <si>
    <t>地図SD(車内)保証書 取説 ｽﾍﾟｱｷｰ</t>
    <rPh sb="0" eb="2">
      <t>チズ</t>
    </rPh>
    <rPh sb="8" eb="11">
      <t>ホショウショ</t>
    </rPh>
    <rPh sb="12" eb="14">
      <t>トリセツ</t>
    </rPh>
    <phoneticPr fontId="13"/>
  </si>
  <si>
    <t>SD？そのまま送る</t>
    <rPh sb="7" eb="8">
      <t>オク</t>
    </rPh>
    <phoneticPr fontId="13"/>
  </si>
  <si>
    <t>ﾘﾓｺﾝ(車内)保証書 取説 Sｷｰ</t>
    <rPh sb="5" eb="7">
      <t>シャナイ</t>
    </rPh>
    <rPh sb="8" eb="11">
      <t>ホショウショ</t>
    </rPh>
    <rPh sb="12" eb="14">
      <t>トリセツ</t>
    </rPh>
    <phoneticPr fontId="13"/>
  </si>
  <si>
    <t>ﾏｲｸﾛ地図SD(車内)取説 ｷｰﾚｽ ﾅﾋﾞ取</t>
    <rPh sb="4" eb="6">
      <t>チズ</t>
    </rPh>
    <rPh sb="9" eb="11">
      <t>シャナイ</t>
    </rPh>
    <rPh sb="12" eb="14">
      <t>トリセツ</t>
    </rPh>
    <rPh sb="23" eb="24">
      <t>トリ</t>
    </rPh>
    <phoneticPr fontId="13"/>
  </si>
  <si>
    <t>地図SD(車内)</t>
    <phoneticPr fontId="13"/>
  </si>
  <si>
    <t>ｷｰﾚｽ(車内)</t>
    <rPh sb="5" eb="7">
      <t>シャナイ</t>
    </rPh>
    <phoneticPr fontId="13"/>
  </si>
  <si>
    <t>北九州 399 て 8366</t>
    <rPh sb="0" eb="3">
      <t>キタキュウシュウ</t>
    </rPh>
    <phoneticPr fontId="13"/>
  </si>
  <si>
    <t>ｽｶｲﾚﾝﾀｶｰ九州株式会社</t>
    <rPh sb="8" eb="10">
      <t>キュウシュウ</t>
    </rPh>
    <rPh sb="10" eb="14">
      <t>カブシキガイシャ</t>
    </rPh>
    <phoneticPr fontId="13"/>
  </si>
  <si>
    <t>保証書　取説 ﾚﾝﾀｶｰ</t>
    <rPh sb="0" eb="3">
      <t>ホショウショ</t>
    </rPh>
    <rPh sb="4" eb="6">
      <t>トリセツ</t>
    </rPh>
    <phoneticPr fontId="13"/>
  </si>
  <si>
    <t>保証書 取説 ｷｰﾚｽ ﾚﾝﾀｶｰ</t>
    <rPh sb="0" eb="3">
      <t>ホショウショ</t>
    </rPh>
    <rPh sb="4" eb="6">
      <t>トリセツ</t>
    </rPh>
    <phoneticPr fontId="13"/>
  </si>
  <si>
    <t xml:space="preserve"> </t>
    <phoneticPr fontId="13"/>
  </si>
  <si>
    <t>保証書 取説 ｷｰﾚｽ</t>
    <rPh sb="0" eb="3">
      <t>ホショウショ</t>
    </rPh>
    <rPh sb="4" eb="6">
      <t>トリセツ</t>
    </rPh>
    <phoneticPr fontId="13"/>
  </si>
  <si>
    <t>株式会社ｶｰﾛｰﾄﾞ山陰</t>
    <rPh sb="0" eb="4">
      <t>カブシキガイシャ</t>
    </rPh>
    <rPh sb="10" eb="12">
      <t>サンイン</t>
    </rPh>
    <phoneticPr fontId="13"/>
  </si>
  <si>
    <t>ﾏｲｸﾛSD(車内)保証書 取説 ｽﾍﾟｱｷｰ</t>
    <rPh sb="10" eb="13">
      <t>ホショウショ</t>
    </rPh>
    <rPh sb="14" eb="16">
      <t>トリセツ</t>
    </rPh>
    <phoneticPr fontId="13"/>
  </si>
  <si>
    <t>平田 瑶祐</t>
    <rPh sb="0" eb="2">
      <t>ヒラタ</t>
    </rPh>
    <phoneticPr fontId="13"/>
  </si>
  <si>
    <t>保証書 取説 ﾅﾋﾞ取 ｽﾍﾟｱｷｰ ﾏｲｸﾛ地図SD</t>
    <rPh sb="0" eb="3">
      <t>ホショウショ</t>
    </rPh>
    <rPh sb="4" eb="6">
      <t>トリセツ</t>
    </rPh>
    <rPh sb="10" eb="11">
      <t>トリ</t>
    </rPh>
    <rPh sb="23" eb="25">
      <t>チズ</t>
    </rPh>
    <phoneticPr fontId="13"/>
  </si>
  <si>
    <t>保証書 取説 SD(車内)</t>
    <rPh sb="0" eb="3">
      <t>ホショウショ</t>
    </rPh>
    <rPh sb="4" eb="6">
      <t>トリセツ</t>
    </rPh>
    <rPh sb="10" eb="12">
      <t>シャナイ</t>
    </rPh>
    <phoneticPr fontId="13"/>
  </si>
  <si>
    <t>整備手帳  ｷｰﾚｽ 取説</t>
    <rPh sb="0" eb="4">
      <t>セイビテチョウ</t>
    </rPh>
    <rPh sb="11" eb="13">
      <t>トリセツ</t>
    </rPh>
    <phoneticPr fontId="13"/>
  </si>
  <si>
    <t>株式会社ｽｽﾞｷ自販近畿中古車本部</t>
    <rPh sb="0" eb="4">
      <t>カブシキガイシャ</t>
    </rPh>
    <rPh sb="8" eb="10">
      <t>ジハン</t>
    </rPh>
    <rPh sb="10" eb="17">
      <t>キンキチュウコシャホンブ</t>
    </rPh>
    <phoneticPr fontId="13"/>
  </si>
  <si>
    <t>洪水 浩巳</t>
    <rPh sb="0" eb="2">
      <t>コウズイ</t>
    </rPh>
    <rPh sb="3" eb="4">
      <t>ヒロ</t>
    </rPh>
    <rPh sb="4" eb="5">
      <t>ミ</t>
    </rPh>
    <phoneticPr fontId="13"/>
  </si>
  <si>
    <t>株式会社IDOM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</si>
  <si>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</si>
  <si>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寺嶋 一雄</t>
    <rPh sb="0" eb="2">
      <t>テラシマ</t>
    </rPh>
    <rPh sb="3" eb="5">
      <t>カズオ</t>
    </rPh>
    <phoneticPr fontId="13"/>
  </si>
  <si>
    <t>ﾏｲｸﾛSD(車内)保証書 取説 ｷｰﾚｽ ﾅﾋﾞ取 ﾘﾓｺﾝ</t>
    <rPh sb="10" eb="13">
      <t>ホショウショ</t>
    </rPh>
    <rPh sb="14" eb="16">
      <t>トリセツ</t>
    </rPh>
    <rPh sb="25" eb="26">
      <t>トリ</t>
    </rPh>
    <phoneticPr fontId="13"/>
  </si>
  <si>
    <t>27-3752</t>
  </si>
  <si>
    <t>27-3753</t>
  </si>
  <si>
    <t>27-3754</t>
  </si>
  <si>
    <t>27-3755</t>
  </si>
  <si>
    <t>27-3756</t>
  </si>
  <si>
    <t>27-3757</t>
  </si>
  <si>
    <t>27-3758</t>
  </si>
  <si>
    <t>27-3759</t>
  </si>
  <si>
    <t>27-3760</t>
  </si>
  <si>
    <t>27-3761</t>
  </si>
  <si>
    <t>27-3762</t>
  </si>
  <si>
    <t>27-3763</t>
  </si>
  <si>
    <t>ML21S-603543</t>
    <phoneticPr fontId="13"/>
  </si>
  <si>
    <t>NHP10-6307640</t>
    <phoneticPr fontId="13"/>
  </si>
  <si>
    <t>H58A-1010471</t>
    <phoneticPr fontId="13"/>
  </si>
  <si>
    <t>HE22S-431091</t>
    <phoneticPr fontId="13"/>
  </si>
  <si>
    <t>EC22S-120998</t>
    <phoneticPr fontId="13"/>
  </si>
  <si>
    <t>ZSU60-0140495</t>
    <phoneticPr fontId="13"/>
  </si>
  <si>
    <t>LA600S-0323595</t>
    <phoneticPr fontId="13"/>
  </si>
  <si>
    <t>MK53S-429019</t>
    <phoneticPr fontId="13"/>
  </si>
  <si>
    <t>DA17W-260561</t>
    <phoneticPr fontId="13"/>
  </si>
  <si>
    <t>JF3-5214515</t>
    <phoneticPr fontId="13"/>
  </si>
  <si>
    <t>LA600S-0580342</t>
    <phoneticPr fontId="13"/>
  </si>
  <si>
    <t>L700S-0075509</t>
    <phoneticPr fontId="13"/>
  </si>
  <si>
    <t>27-3764</t>
  </si>
  <si>
    <t>27-3765</t>
  </si>
  <si>
    <t>27-3766</t>
  </si>
  <si>
    <t>27-3767</t>
  </si>
  <si>
    <t>27-3768</t>
  </si>
  <si>
    <t>27-3769</t>
  </si>
  <si>
    <t>27-3770</t>
  </si>
  <si>
    <t>27-3771</t>
  </si>
  <si>
    <t>27-3772</t>
  </si>
  <si>
    <t>27-3773</t>
  </si>
  <si>
    <t>27-3774</t>
  </si>
  <si>
    <t>27-3775</t>
  </si>
  <si>
    <t>27-3776</t>
  </si>
  <si>
    <t>27-3777</t>
  </si>
  <si>
    <t>27-3778</t>
  </si>
  <si>
    <t>27-3779</t>
  </si>
  <si>
    <t>27-3780</t>
  </si>
  <si>
    <t>27-3781</t>
  </si>
  <si>
    <t>27-3782</t>
  </si>
  <si>
    <t>27-3783</t>
  </si>
  <si>
    <t>27-3784</t>
  </si>
  <si>
    <t>NHP170-7107423</t>
    <phoneticPr fontId="13"/>
  </si>
  <si>
    <t>HFC27-013171</t>
    <phoneticPr fontId="13"/>
  </si>
  <si>
    <t>MX91S-212952</t>
    <phoneticPr fontId="13"/>
  </si>
  <si>
    <t>DA17W-262347</t>
    <phoneticPr fontId="13"/>
  </si>
  <si>
    <t>LA650S-361374</t>
    <phoneticPr fontId="13"/>
  </si>
  <si>
    <t>LA810S-0032603</t>
    <phoneticPr fontId="13"/>
  </si>
  <si>
    <t>MH55S-143045</t>
    <phoneticPr fontId="13"/>
  </si>
  <si>
    <t>KF2-513192</t>
    <phoneticPr fontId="13"/>
  </si>
  <si>
    <t>JW5-6100765</t>
    <phoneticPr fontId="13"/>
  </si>
  <si>
    <t>MXPK11-2129429</t>
    <phoneticPr fontId="13"/>
  </si>
  <si>
    <t>DR17W-255362</t>
    <phoneticPr fontId="13"/>
  </si>
  <si>
    <t>GDH206-1009182</t>
    <phoneticPr fontId="13"/>
  </si>
  <si>
    <t>ﾌﾟｼﾞｮｰ208　GT</t>
    <phoneticPr fontId="13"/>
  </si>
  <si>
    <t>BMWﾐﾆｸｰﾊﾟｰD　ｸﾛｽｵｰﾊﾞｰ</t>
    <phoneticPr fontId="13"/>
  </si>
  <si>
    <t>27-3785</t>
  </si>
  <si>
    <t>27-3786</t>
  </si>
  <si>
    <t>27-3787</t>
  </si>
  <si>
    <t>27-3788</t>
  </si>
  <si>
    <t>27-3789</t>
  </si>
  <si>
    <t>27-3790</t>
  </si>
  <si>
    <t>27-3791</t>
  </si>
  <si>
    <t>27-3792</t>
  </si>
  <si>
    <t>27-3793</t>
  </si>
  <si>
    <t>27-3794</t>
  </si>
  <si>
    <t>27-3795</t>
  </si>
  <si>
    <t>27-3796</t>
  </si>
  <si>
    <t>27-3797</t>
  </si>
  <si>
    <t>27-3798</t>
  </si>
  <si>
    <t>27-3799</t>
  </si>
  <si>
    <t>27-3800</t>
  </si>
  <si>
    <t>27-3801</t>
  </si>
  <si>
    <t>N　BOXｶｽﾀﾑ　ﾀｰﾎﾞSS</t>
    <phoneticPr fontId="13"/>
  </si>
  <si>
    <t>JF1-2540484</t>
    <phoneticPr fontId="13"/>
  </si>
  <si>
    <t>JB74W-227075</t>
    <phoneticPr fontId="13"/>
  </si>
  <si>
    <t>ZWA10-2178178</t>
    <phoneticPr fontId="13"/>
  </si>
  <si>
    <t>86　GT</t>
    <phoneticPr fontId="13"/>
  </si>
  <si>
    <t>ZN6-030970</t>
    <phoneticPr fontId="13"/>
  </si>
  <si>
    <t>ﾊﾟｼﾞｪﾛ　ｽｰﾊﾟｰｴｸｼｰﾄﾞ</t>
    <phoneticPr fontId="13"/>
  </si>
  <si>
    <t>LA850S-1021500</t>
    <phoneticPr fontId="13"/>
  </si>
  <si>
    <t>B21A-0339472</t>
    <phoneticPr fontId="13"/>
  </si>
  <si>
    <t>ﾊｲｾﾞｯﾄﾄﾗｯｸ　ｽﾀﾝﾀﾞｰﾄﾞ</t>
    <phoneticPr fontId="13"/>
  </si>
  <si>
    <t>S510P-0285698</t>
    <phoneticPr fontId="13"/>
  </si>
  <si>
    <t>ZRR80-0365927</t>
    <phoneticPr fontId="13"/>
  </si>
  <si>
    <t>ZVW50-8074569</t>
    <phoneticPr fontId="13"/>
  </si>
  <si>
    <t>ﾌﾟﾘｳｽｱﾙﾌｧ　G　ﾁｭｰﾝ</t>
    <phoneticPr fontId="13"/>
  </si>
  <si>
    <t>ZVW41-3301023</t>
    <phoneticPr fontId="13"/>
  </si>
  <si>
    <t>MR92S-219089</t>
    <phoneticPr fontId="13"/>
  </si>
  <si>
    <t>ﾌｨｯﾄ　13G　Sﾎﾝﾀﾞｾﾝｼﾝｸﾞ</t>
    <phoneticPr fontId="13"/>
  </si>
  <si>
    <t>GK3-1330160</t>
    <phoneticPr fontId="13"/>
  </si>
  <si>
    <t>VY12-317931</t>
    <phoneticPr fontId="13"/>
  </si>
  <si>
    <t>FJｸﾙｰｻﾞｰ　ｶﾗｰﾊﾟｯｹｰｼﾞ</t>
    <phoneticPr fontId="13"/>
  </si>
  <si>
    <t>GSJ15-0129834</t>
    <phoneticPr fontId="13"/>
  </si>
  <si>
    <t>ﾙｰﾐｰ　X</t>
    <phoneticPr fontId="13"/>
  </si>
  <si>
    <t>27-3802</t>
  </si>
  <si>
    <t>27-3803</t>
  </si>
  <si>
    <t>27-3804</t>
  </si>
  <si>
    <t>27-3805</t>
  </si>
  <si>
    <t>27-3806</t>
  </si>
  <si>
    <t>A342242</t>
    <phoneticPr fontId="13"/>
  </si>
  <si>
    <t>GVF50-6003842</t>
    <phoneticPr fontId="13"/>
  </si>
  <si>
    <t>A339392</t>
    <phoneticPr fontId="13"/>
  </si>
  <si>
    <t>MA3JJC74W00264748</t>
    <phoneticPr fontId="13"/>
  </si>
  <si>
    <t>A341696</t>
    <phoneticPr fontId="13"/>
  </si>
  <si>
    <t>TRJ250-0011723</t>
    <phoneticPr fontId="13"/>
  </si>
  <si>
    <t>A341502</t>
    <phoneticPr fontId="13"/>
  </si>
  <si>
    <t>AGH40-0017054</t>
    <phoneticPr fontId="13"/>
  </si>
  <si>
    <t>A339772</t>
    <phoneticPr fontId="13"/>
  </si>
  <si>
    <t>GDH206-1096996</t>
    <phoneticPr fontId="13"/>
  </si>
  <si>
    <t>A340940</t>
    <phoneticPr fontId="13"/>
  </si>
  <si>
    <t>ZN6-050713</t>
    <phoneticPr fontId="13"/>
  </si>
  <si>
    <t>A340938</t>
    <phoneticPr fontId="13"/>
  </si>
  <si>
    <t>B21A-0582442</t>
    <phoneticPr fontId="13"/>
  </si>
  <si>
    <t>A340888</t>
    <phoneticPr fontId="13"/>
  </si>
  <si>
    <t>TRJ250-0022143</t>
    <phoneticPr fontId="13"/>
  </si>
  <si>
    <t>27-3807</t>
  </si>
  <si>
    <t>27-3808</t>
  </si>
  <si>
    <t>27-3809</t>
  </si>
  <si>
    <t>27-3810</t>
  </si>
  <si>
    <t>27-3811</t>
  </si>
  <si>
    <t>27-3812</t>
  </si>
  <si>
    <t>27-3813</t>
  </si>
  <si>
    <t>27-3814</t>
  </si>
  <si>
    <t>27-3815</t>
  </si>
  <si>
    <t>ZVW41-3395079</t>
    <phoneticPr fontId="13"/>
  </si>
  <si>
    <t>ZVW50-8020721</t>
    <phoneticPr fontId="13"/>
  </si>
  <si>
    <t>DA17V-955145</t>
    <phoneticPr fontId="13"/>
  </si>
  <si>
    <t>LA650S-0323570</t>
    <phoneticPr fontId="13"/>
  </si>
  <si>
    <t>BMWﾐﾆｸｰﾊﾟｰ　ｳﾞｨｸﾄﾘｱ</t>
    <phoneticPr fontId="13"/>
  </si>
  <si>
    <t>ﾙｰｸｽ　ﾊｲｳｪｲｽﾀｰ</t>
    <phoneticPr fontId="13"/>
  </si>
  <si>
    <t>石川　501　ぬ　2023</t>
    <rPh sb="0" eb="2">
      <t>イシカワ</t>
    </rPh>
    <phoneticPr fontId="13"/>
  </si>
  <si>
    <t>ﾊﾟｼﾞｪﾛﾐﾆ　VR</t>
    <phoneticPr fontId="13"/>
  </si>
  <si>
    <t>福井　580　ち　131</t>
    <rPh sb="0" eb="2">
      <t>フクイ</t>
    </rPh>
    <phoneticPr fontId="13"/>
  </si>
  <si>
    <t>ｱﾙﾄﾗﾊﾟﾝ　G</t>
    <phoneticPr fontId="13"/>
  </si>
  <si>
    <t>岐阜　581　ち　8609</t>
    <rPh sb="0" eb="2">
      <t>ギフ</t>
    </rPh>
    <phoneticPr fontId="13"/>
  </si>
  <si>
    <t>ﾂｲﾝ　ｶﾞｿﾘﾝB</t>
    <phoneticPr fontId="13"/>
  </si>
  <si>
    <t>岐阜　51　す　1278</t>
    <rPh sb="0" eb="2">
      <t>ギフ</t>
    </rPh>
    <phoneticPr fontId="13"/>
  </si>
  <si>
    <t>ﾊﾘｱｰ　ﾌﾟﾚﾐｱﾑ</t>
    <phoneticPr fontId="13"/>
  </si>
  <si>
    <t>ﾅﾋﾞSD</t>
    <phoneticPr fontId="13"/>
  </si>
  <si>
    <t>ﾀﾝﾄｶｽﾀﾑ　X　ﾄｯﾌﾟｴﾃﾞｨｼｮﾝSaⅡ</t>
    <phoneticPr fontId="13"/>
  </si>
  <si>
    <t>8/8/20</t>
    <phoneticPr fontId="13"/>
  </si>
  <si>
    <t>岐阜　58A　い　8954</t>
    <rPh sb="0" eb="2">
      <t>ギフ</t>
    </rPh>
    <phoneticPr fontId="13"/>
  </si>
  <si>
    <t>ｽﾍﾟｰｼｱ　HV　G</t>
    <phoneticPr fontId="13"/>
  </si>
  <si>
    <t>三重　787　く　18</t>
    <rPh sb="0" eb="2">
      <t>ミエ</t>
    </rPh>
    <phoneticPr fontId="13"/>
  </si>
  <si>
    <t>名古屋　58A　み　9032</t>
    <rPh sb="0" eb="3">
      <t>ナゴヤ</t>
    </rPh>
    <phoneticPr fontId="13"/>
  </si>
  <si>
    <t>N　BOX　L　ｺｰﾃﾞｨﾈｰﾄｽﾀｲﾙ</t>
    <phoneticPr fontId="13"/>
  </si>
  <si>
    <t>尾張小牧　581　ふ　7943</t>
    <rPh sb="0" eb="4">
      <t>オワリコマキ</t>
    </rPh>
    <phoneticPr fontId="13"/>
  </si>
  <si>
    <t>ﾐﾗｼﾞｰﾉ　ﾀｰﾎﾞ</t>
    <phoneticPr fontId="13"/>
  </si>
  <si>
    <t>27-3816</t>
  </si>
  <si>
    <t>ﾚｸｻｽ　LS500ｈ　Iﾊﾟｯｹｰｼﾞ</t>
    <phoneticPr fontId="13"/>
  </si>
  <si>
    <t>ｼﾞﾑﾆｰ　ﾉﾏﾄﾞFC</t>
    <phoneticPr fontId="13"/>
  </si>
  <si>
    <t>10/12/24</t>
    <phoneticPr fontId="13"/>
  </si>
  <si>
    <t>ﾊｲｴｰｽﾊﾞﾝ　ｽｰﾊﾟｰGL　</t>
    <phoneticPr fontId="13"/>
  </si>
  <si>
    <t>ﾃﾞｲｽﾞﾙｰｸｽ　ﾊｲｳｪｲｽﾀｰXﾀｰﾎﾞ</t>
    <phoneticPr fontId="13"/>
  </si>
  <si>
    <t>ﾗﾝﾄﾞｸﾙｰｻﾞｰ250 　VX</t>
    <phoneticPr fontId="13"/>
  </si>
  <si>
    <t>10/2/27</t>
    <phoneticPr fontId="13"/>
  </si>
  <si>
    <t>CX-3　20Sﾌﾟﾛｱｸﾃｨﾌﾞ</t>
    <phoneticPr fontId="13"/>
  </si>
  <si>
    <t>DKEFW-102460</t>
    <phoneticPr fontId="13"/>
  </si>
  <si>
    <t>ｷｬﾘｨﾄﾗｯｸ　KCｴｱｺﾝﾊﾟﾜｽﾃ</t>
    <phoneticPr fontId="13"/>
  </si>
  <si>
    <t>DA16T-583354</t>
    <phoneticPr fontId="13"/>
  </si>
  <si>
    <t>神戸　480　ま　7238</t>
    <rPh sb="0" eb="2">
      <t>コウベ</t>
    </rPh>
    <phoneticPr fontId="13"/>
  </si>
  <si>
    <t>ﾗﾝﾄﾞﾛｰﾊﾞｰﾃﾞｨｽｶﾊﾞﾘｰｽﾎﾟｰﾂ　HSE</t>
    <phoneticPr fontId="13"/>
  </si>
  <si>
    <t>SALCA2AX0JH747983</t>
    <phoneticPr fontId="13"/>
  </si>
  <si>
    <t>ﾎﾞﾙﾄﾞｰ</t>
    <phoneticPr fontId="13"/>
  </si>
  <si>
    <t>ｼｴﾝﾀ　HV　Gｸｴﾛ</t>
    <phoneticPr fontId="13"/>
  </si>
  <si>
    <t>ｾﾚﾅ　Eﾊﾟﾜｰﾊｲｳｪｲｽﾀｰ　</t>
    <phoneticPr fontId="13"/>
  </si>
  <si>
    <t>和泉　330　ゆ　5010</t>
    <rPh sb="0" eb="2">
      <t>イズミ</t>
    </rPh>
    <phoneticPr fontId="13"/>
  </si>
  <si>
    <t>保証書　取説　ﾅﾋﾞ取　ｽﾍﾟｱｷｰ　ﾘﾓｺﾝ　ﾜﾝｵｰﾅｰ　　　</t>
    <rPh sb="0" eb="3">
      <t>ホショウショ</t>
    </rPh>
    <rPh sb="4" eb="6">
      <t>トリセツ</t>
    </rPh>
    <rPh sb="10" eb="11">
      <t>トリ</t>
    </rPh>
    <phoneticPr fontId="13"/>
  </si>
  <si>
    <t>福祉車両非課税処理済</t>
    <rPh sb="0" eb="4">
      <t>フクシシャリョウ</t>
    </rPh>
    <rPh sb="4" eb="7">
      <t>ヒカゼイ</t>
    </rPh>
    <rPh sb="7" eb="10">
      <t>ショリズ</t>
    </rPh>
    <phoneticPr fontId="13"/>
  </si>
  <si>
    <t>ｽｲﾌﾄ　ﾊｲﾌﾞﾘｯﾄﾞMZ</t>
    <phoneticPr fontId="13"/>
  </si>
  <si>
    <t>ﾜｺﾞﾝRｽﾏｲﾙ　ﾊｲﾌﾞﾘｯﾄﾞX</t>
    <phoneticPr fontId="13"/>
  </si>
  <si>
    <t>保証書　取説　ｽﾏｰﾄｷｰ　　ﾚﾝﾀｶｰ</t>
    <rPh sb="0" eb="3">
      <t>ホショウショ</t>
    </rPh>
    <rPh sb="4" eb="6">
      <t>トリセツ</t>
    </rPh>
    <phoneticPr fontId="13"/>
  </si>
  <si>
    <t>ﾀﾝﾄ　ﾌｧﾝｸﾛｽ　ﾀｰﾎﾞ</t>
    <phoneticPr fontId="13"/>
  </si>
  <si>
    <t>ﾐｽﾞｲﾛⅡ</t>
    <phoneticPr fontId="13"/>
  </si>
  <si>
    <t>ﾑｰｳﾞｷｬﾝﾊﾞｽ　Gﾒｲｸｱｯﾌﾟﾘﾐﾃｯﾄﾞ　SaⅢ</t>
    <phoneticPr fontId="13"/>
  </si>
  <si>
    <t>保証書　取説　SD</t>
    <rPh sb="0" eb="3">
      <t>ホショウショ</t>
    </rPh>
    <rPh sb="4" eb="6">
      <t>トリセツ</t>
    </rPh>
    <phoneticPr fontId="13"/>
  </si>
  <si>
    <t>CX-5　XDﾌﾟﾛｱｸﾃｨﾌﾞ</t>
    <phoneticPr fontId="13"/>
  </si>
  <si>
    <t>S660　ﾓﾃﾞｭｰﾛX</t>
    <phoneticPr fontId="13"/>
  </si>
  <si>
    <t>取説　名変期限5/31</t>
    <rPh sb="0" eb="2">
      <t>トリセツ</t>
    </rPh>
    <rPh sb="3" eb="7">
      <t>メイヘンキゲン</t>
    </rPh>
    <phoneticPr fontId="13"/>
  </si>
  <si>
    <t>保証書　取説　　名変期限5/31</t>
    <rPh sb="0" eb="3">
      <t>ホショウショ</t>
    </rPh>
    <rPh sb="4" eb="6">
      <t>トリセツ</t>
    </rPh>
    <rPh sb="8" eb="12">
      <t>メイヘンキゲン</t>
    </rPh>
    <phoneticPr fontId="13"/>
  </si>
  <si>
    <t>保証書　取説　　名変期限6/30</t>
    <rPh sb="0" eb="3">
      <t>ホショウショ</t>
    </rPh>
    <rPh sb="4" eb="6">
      <t>トリセツ</t>
    </rPh>
    <rPh sb="8" eb="12">
      <t>メイヘンキゲン</t>
    </rPh>
    <phoneticPr fontId="13"/>
  </si>
  <si>
    <t>NV100ｸﾘｯﾊﾟｰﾘｵ　　G</t>
    <phoneticPr fontId="13"/>
  </si>
  <si>
    <t>豊橋　583　う　5646</t>
    <rPh sb="0" eb="2">
      <t>トヨハシ</t>
    </rPh>
    <phoneticPr fontId="13"/>
  </si>
  <si>
    <t>ﾊｲｴｰｽﾊﾞﾝ　ﾛﾝｸﾞｽｰﾊﾟｰGL　</t>
    <phoneticPr fontId="13"/>
  </si>
  <si>
    <t>大阪　303　も　3622</t>
    <rPh sb="0" eb="2">
      <t>オオサカ</t>
    </rPh>
    <phoneticPr fontId="13"/>
  </si>
  <si>
    <t>ｼﾄﾛｴﾝC3　ｲﾝｽﾊﾟｲｱｰﾄﾞ　</t>
    <phoneticPr fontId="13"/>
  </si>
  <si>
    <t>VF7SXHNPYLT585097</t>
    <phoneticPr fontId="13"/>
  </si>
  <si>
    <t>岐阜　303　は　5439</t>
    <rPh sb="0" eb="2">
      <t>ギフ</t>
    </rPh>
    <phoneticPr fontId="13"/>
  </si>
  <si>
    <t>ﾎﾞﾙﾎﾞXC40　B4　ｲﾝｽｸﾘﾌﾟｼｮﾝ</t>
    <phoneticPr fontId="13"/>
  </si>
  <si>
    <t>YV1XZK9MCM2527961</t>
    <phoneticPr fontId="13"/>
  </si>
  <si>
    <t>WMWYT920403D51052</t>
    <phoneticPr fontId="13"/>
  </si>
  <si>
    <t>取説　ｽﾍﾟｱｷｰ　ﾜﾝｵｰﾅｰ</t>
    <rPh sb="0" eb="2">
      <t>トリセツ</t>
    </rPh>
    <phoneticPr fontId="13"/>
  </si>
  <si>
    <t>ﾚｸｻｽCT200ｈ　Ｆｽﾎﾟｰﾂ</t>
    <phoneticPr fontId="13"/>
  </si>
  <si>
    <t>9/3/6</t>
    <phoneticPr fontId="13"/>
  </si>
  <si>
    <t>18/10</t>
    <phoneticPr fontId="13"/>
  </si>
  <si>
    <t>V97W-0000707</t>
    <phoneticPr fontId="13"/>
  </si>
  <si>
    <t>8/10/22</t>
    <phoneticPr fontId="13"/>
  </si>
  <si>
    <t>ｽﾍﾟｱｷｰ　地図SD</t>
    <rPh sb="7" eb="9">
      <t>チズ</t>
    </rPh>
    <phoneticPr fontId="13"/>
  </si>
  <si>
    <t>8/12/17</t>
    <phoneticPr fontId="13"/>
  </si>
  <si>
    <t>ZC33S-123965</t>
    <phoneticPr fontId="13"/>
  </si>
  <si>
    <t>保証書　取説　ｽﾏｰﾄｷｰ　</t>
    <rPh sb="0" eb="3">
      <t>ホショウショ</t>
    </rPh>
    <rPh sb="4" eb="6">
      <t>トリセツ</t>
    </rPh>
    <phoneticPr fontId="13"/>
  </si>
  <si>
    <t>Lぶるー</t>
    <phoneticPr fontId="13"/>
  </si>
  <si>
    <t>ADV　VE　ｴﾏｰｼﾞｪﾝｼｰﾌﾞﾚｰｷ</t>
    <phoneticPr fontId="13"/>
  </si>
  <si>
    <t>10/3/1</t>
    <phoneticPr fontId="13"/>
  </si>
  <si>
    <t>保証書　取説　ｷｰ</t>
    <rPh sb="0" eb="3">
      <t>ホショウショ</t>
    </rPh>
    <rPh sb="4" eb="6">
      <t>トリセツ</t>
    </rPh>
    <phoneticPr fontId="13"/>
  </si>
  <si>
    <t>M900A-0271013</t>
    <phoneticPr fontId="13"/>
  </si>
  <si>
    <t>9/5/14</t>
    <phoneticPr fontId="13"/>
  </si>
  <si>
    <t>神戸　342　み　73</t>
    <rPh sb="0" eb="2">
      <t>コウベ</t>
    </rPh>
    <phoneticPr fontId="13"/>
  </si>
  <si>
    <t>保証書　取説　ﾅﾋﾞ取　B-CASｶｰﾄﾞ　Sｽﾏｰﾄｷｰ　ﾜﾝｵｰﾅｰ</t>
    <rPh sb="0" eb="3">
      <t>ホショウショ</t>
    </rPh>
    <rPh sb="4" eb="6">
      <t>トリセツ</t>
    </rPh>
    <rPh sb="10" eb="11">
      <t>トリ</t>
    </rPh>
    <phoneticPr fontId="13"/>
  </si>
  <si>
    <t>8/7/5</t>
    <phoneticPr fontId="13"/>
  </si>
  <si>
    <t>保証書　取説　ﾘﾓｺﾝ　ﾅﾝﾊﾞｰ　　福祉車両</t>
    <rPh sb="0" eb="3">
      <t>ホショウショ</t>
    </rPh>
    <rPh sb="4" eb="6">
      <t>トリセツ</t>
    </rPh>
    <rPh sb="19" eb="23">
      <t>フクシシャリョウ</t>
    </rPh>
    <phoneticPr fontId="13"/>
  </si>
  <si>
    <t>WVWZZZ16ZHM634237</t>
    <phoneticPr fontId="13"/>
  </si>
  <si>
    <t>大阪　341　ら　827</t>
    <rPh sb="0" eb="2">
      <t>オオサカ</t>
    </rPh>
    <phoneticPr fontId="13"/>
  </si>
  <si>
    <t>WMWXU52000TH95580</t>
    <phoneticPr fontId="13"/>
  </si>
  <si>
    <t>京都　332　ね　3201</t>
    <rPh sb="0" eb="2">
      <t>キョウト</t>
    </rPh>
    <phoneticPr fontId="13"/>
  </si>
  <si>
    <t>ZFA3120000JC24738</t>
    <phoneticPr fontId="13"/>
  </si>
  <si>
    <t>ｱﾊﾞﾙﾄ595　ｺﾝﾍﾟﾃｨﾂｨｵｰﾈ　ﾊﾟﾌｫｰﾏﾝｽP</t>
    <phoneticPr fontId="13"/>
  </si>
  <si>
    <t>8/9/16</t>
    <phoneticPr fontId="13"/>
  </si>
  <si>
    <t>岡山　532　る　595</t>
    <rPh sb="0" eb="2">
      <t>オカヤマ</t>
    </rPh>
    <phoneticPr fontId="13"/>
  </si>
  <si>
    <t>WMWYT920103L60336</t>
    <phoneticPr fontId="13"/>
  </si>
  <si>
    <t>高知　300　は　5045</t>
    <rPh sb="0" eb="2">
      <t>コウチ</t>
    </rPh>
    <phoneticPr fontId="13"/>
  </si>
  <si>
    <t>ZFA3120000J875603</t>
    <phoneticPr fontId="13"/>
  </si>
  <si>
    <t>愛媛 301 つ 3494</t>
    <rPh sb="0" eb="2">
      <t>エヒメ</t>
    </rPh>
    <phoneticPr fontId="13"/>
  </si>
  <si>
    <t>近藤 健輔</t>
    <rPh sb="0" eb="2">
      <t>コンドウ</t>
    </rPh>
    <rPh sb="3" eb="4">
      <t>ケン</t>
    </rPh>
    <rPh sb="4" eb="5">
      <t>スケ</t>
    </rPh>
    <phoneticPr fontId="13"/>
  </si>
  <si>
    <t>四日市 580 き 1263</t>
    <rPh sb="0" eb="3">
      <t>ヨッカイチ</t>
    </rPh>
    <phoneticPr fontId="13"/>
  </si>
  <si>
    <t>ABBAS AGHA</t>
    <phoneticPr fontId="13"/>
  </si>
  <si>
    <t>尾張小牧 580 ゆ 7595</t>
    <rPh sb="0" eb="4">
      <t>オワリコマキ</t>
    </rPh>
    <phoneticPr fontId="13"/>
  </si>
  <si>
    <t>冨田 健司</t>
    <rPh sb="0" eb="2">
      <t>トミタ</t>
    </rPh>
    <rPh sb="3" eb="5">
      <t>ケンジ</t>
    </rPh>
    <phoneticPr fontId="13"/>
  </si>
  <si>
    <t>27-3817</t>
  </si>
  <si>
    <t>17/5</t>
    <phoneticPr fontId="13"/>
  </si>
  <si>
    <t>BMW 318iA</t>
    <phoneticPr fontId="13"/>
  </si>
  <si>
    <t>WBABX92080PN91723</t>
    <phoneticPr fontId="13"/>
  </si>
  <si>
    <t>神戸 333 ふ 1971</t>
    <rPh sb="0" eb="2">
      <t>コウベ</t>
    </rPh>
    <phoneticPr fontId="13"/>
  </si>
  <si>
    <t>藤原 敬浩</t>
    <rPh sb="0" eb="2">
      <t>フジワラ</t>
    </rPh>
    <rPh sb="3" eb="4">
      <t>ケイ</t>
    </rPh>
    <rPh sb="4" eb="5">
      <t>コウ</t>
    </rPh>
    <phoneticPr fontId="13"/>
  </si>
  <si>
    <t>保証書 ﾏｲｸﾛSD(車内)</t>
    <rPh sb="0" eb="3">
      <t>ホショウショ</t>
    </rPh>
    <rPh sb="11" eb="13">
      <t>シャナイ</t>
    </rPh>
    <phoneticPr fontId="13"/>
  </si>
  <si>
    <t>神吉 知弘</t>
    <rPh sb="0" eb="2">
      <t>カンキ</t>
    </rPh>
    <rPh sb="3" eb="5">
      <t>チヒロ</t>
    </rPh>
    <phoneticPr fontId="13"/>
  </si>
  <si>
    <t>ｸﾚｰﾑ中 ｷｬﾝｾﾙなるかも？</t>
    <rPh sb="4" eb="5">
      <t>チュウ</t>
    </rPh>
    <phoneticPr fontId="13"/>
  </si>
  <si>
    <t>椛島 伸也</t>
    <rPh sb="0" eb="1">
      <t>モミジ</t>
    </rPh>
    <rPh sb="1" eb="2">
      <t>シマ</t>
    </rPh>
    <rPh sb="3" eb="4">
      <t>ノブ</t>
    </rPh>
    <rPh sb="4" eb="5">
      <t>ヤ</t>
    </rPh>
    <phoneticPr fontId="13"/>
  </si>
  <si>
    <t>黒木 崇夫</t>
    <rPh sb="0" eb="2">
      <t>クロキ</t>
    </rPh>
    <rPh sb="3" eb="4">
      <t>タカ</t>
    </rPh>
    <rPh sb="4" eb="5">
      <t>オット</t>
    </rPh>
    <phoneticPr fontId="13"/>
  </si>
  <si>
    <t>(有)佐藤喜久夫商店</t>
    <rPh sb="1" eb="2">
      <t>ユウ</t>
    </rPh>
    <rPh sb="3" eb="5">
      <t>サトウ</t>
    </rPh>
    <rPh sb="5" eb="8">
      <t>キクオ</t>
    </rPh>
    <rPh sb="8" eb="10">
      <t>ショウテン</t>
    </rPh>
    <phoneticPr fontId="13"/>
  </si>
  <si>
    <t>村角 威夫</t>
    <rPh sb="0" eb="2">
      <t>ムラカド</t>
    </rPh>
    <rPh sb="3" eb="5">
      <t>タケオ</t>
    </rPh>
    <phoneticPr fontId="13"/>
  </si>
  <si>
    <t>27-3818</t>
  </si>
  <si>
    <t>27-3819</t>
  </si>
  <si>
    <t>27-3820</t>
  </si>
  <si>
    <t>27-3821</t>
  </si>
  <si>
    <t>ﾎﾞﾙﾎﾞV40 D4 ﾓﾒﾝﾀﾑ</t>
    <phoneticPr fontId="13"/>
  </si>
  <si>
    <t>YV1MVA8RDJ2481538</t>
    <phoneticPr fontId="13"/>
  </si>
  <si>
    <t>名古屋 379 ほ 1113</t>
    <rPh sb="0" eb="3">
      <t>ナゴヤ</t>
    </rPh>
    <phoneticPr fontId="13"/>
  </si>
  <si>
    <t>BMW 2ｼﾘｰｽﾞ ｸﾞﾗﾝﾄﾞﾂｱﾗｰ 218d</t>
    <phoneticPr fontId="13"/>
  </si>
  <si>
    <t>WBA7P12050EH83767</t>
    <phoneticPr fontId="13"/>
  </si>
  <si>
    <t>ｽﾏｰﾄｷｰ×2車内確認</t>
    <rPh sb="8" eb="10">
      <t>シャナイ</t>
    </rPh>
    <rPh sb="10" eb="12">
      <t>カクニン</t>
    </rPh>
    <phoneticPr fontId="13"/>
  </si>
  <si>
    <t>WMWXT720102F35371</t>
    <phoneticPr fontId="13"/>
  </si>
  <si>
    <t>WMWXS720402B60790</t>
    <phoneticPr fontId="13"/>
  </si>
  <si>
    <t>27-3822</t>
  </si>
  <si>
    <t>鳥取 335 ね 6</t>
    <rPh sb="0" eb="2">
      <t>トットリ</t>
    </rPh>
    <phoneticPr fontId="13"/>
  </si>
  <si>
    <t>A343101</t>
    <phoneticPr fontId="13"/>
  </si>
  <si>
    <t>ﾀﾝﾄ　ﾌｧﾝ ｸﾛｽ</t>
    <phoneticPr fontId="13"/>
  </si>
  <si>
    <t>LA650S-0319900</t>
    <phoneticPr fontId="13"/>
  </si>
  <si>
    <t>A341723</t>
    <phoneticPr fontId="13"/>
  </si>
  <si>
    <t>ｳﾞｪﾙﾌｧｲｱ2.4Z ﾌﾟﾗﾁﾅｾﾚｸｼｮﾝ2</t>
    <phoneticPr fontId="13"/>
  </si>
  <si>
    <t>ANH20-8130189</t>
    <phoneticPr fontId="13"/>
  </si>
  <si>
    <t>A341965</t>
    <phoneticPr fontId="13"/>
  </si>
  <si>
    <t>ﾊｲﾗｯｸｽZ</t>
    <phoneticPr fontId="13"/>
  </si>
  <si>
    <t>GUN125-3920458</t>
    <phoneticPr fontId="13"/>
  </si>
  <si>
    <t>A341742</t>
    <phoneticPr fontId="13"/>
  </si>
  <si>
    <t>DA17V-663248</t>
    <phoneticPr fontId="13"/>
  </si>
  <si>
    <t>27-3823</t>
  </si>
  <si>
    <t>27-3824</t>
  </si>
  <si>
    <t>27-3825</t>
  </si>
  <si>
    <t>27-3826</t>
  </si>
  <si>
    <t>581 よ 1603</t>
    <phoneticPr fontId="13"/>
  </si>
  <si>
    <t>27-3827</t>
  </si>
  <si>
    <t>27-3828</t>
  </si>
  <si>
    <t>WMW32BC0802P28911</t>
    <phoneticPr fontId="13"/>
  </si>
  <si>
    <t xml:space="preserve">ﾙﾉｰｶﾝｸﾞｰ </t>
    <phoneticPr fontId="13"/>
  </si>
  <si>
    <t>VF1KW14BK0802312</t>
    <phoneticPr fontId="13"/>
  </si>
  <si>
    <t>岐阜 302 め 1330</t>
    <rPh sb="0" eb="2">
      <t>ギフ</t>
    </rPh>
    <phoneticPr fontId="13"/>
  </si>
  <si>
    <t>徳島 335 ま 1023</t>
    <rPh sb="0" eb="2">
      <t>トクシマ</t>
    </rPh>
    <phoneticPr fontId="13"/>
  </si>
  <si>
    <t>なにわ 39A ゆ 2190</t>
    <phoneticPr fontId="13"/>
  </si>
  <si>
    <t>大坂ﾄﾖﾀNorth株式会社</t>
    <rPh sb="0" eb="2">
      <t>オオサカ</t>
    </rPh>
    <rPh sb="10" eb="14">
      <t>カブシキガイシャ</t>
    </rPh>
    <phoneticPr fontId="13"/>
  </si>
  <si>
    <t>なにわ 33M ち 8888</t>
    <phoneticPr fontId="13"/>
  </si>
  <si>
    <t>萩原 智輝</t>
    <rPh sb="0" eb="2">
      <t>ハギワラ</t>
    </rPh>
    <rPh sb="3" eb="4">
      <t>チ</t>
    </rPh>
    <rPh sb="4" eb="5">
      <t>カガヤ</t>
    </rPh>
    <phoneticPr fontId="13"/>
  </si>
  <si>
    <t>保証書 取説 ｷｰﾚｽ 印鑑証明5/26まで</t>
    <rPh sb="0" eb="3">
      <t>ホショウショ</t>
    </rPh>
    <rPh sb="4" eb="6">
      <t>トリセツ</t>
    </rPh>
    <rPh sb="12" eb="16">
      <t>インカンショウメイ</t>
    </rPh>
    <phoneticPr fontId="13"/>
  </si>
  <si>
    <t>京都 581 さ 5111</t>
    <rPh sb="0" eb="2">
      <t>キョウト</t>
    </rPh>
    <phoneticPr fontId="13"/>
  </si>
  <si>
    <t>大坂 581 ぬ 2388</t>
    <rPh sb="0" eb="2">
      <t>オオサカ</t>
    </rPh>
    <phoneticPr fontId="13"/>
  </si>
  <si>
    <t>保証書(印なし点検時印あり) 取説 ﾅﾋﾞ取 ｷｰﾚｽ</t>
    <rPh sb="0" eb="3">
      <t>ホショウショ</t>
    </rPh>
    <rPh sb="4" eb="5">
      <t>イン</t>
    </rPh>
    <rPh sb="7" eb="9">
      <t>テンケン</t>
    </rPh>
    <rPh sb="9" eb="10">
      <t>ジ</t>
    </rPh>
    <rPh sb="10" eb="11">
      <t>イン</t>
    </rPh>
    <rPh sb="15" eb="17">
      <t>トリセツ</t>
    </rPh>
    <rPh sb="21" eb="22">
      <t>トリ</t>
    </rPh>
    <phoneticPr fontId="13"/>
  </si>
  <si>
    <t>和歌山 581 せ 8684</t>
    <rPh sb="0" eb="3">
      <t>ワカヤマ</t>
    </rPh>
    <phoneticPr fontId="13"/>
  </si>
  <si>
    <t>田辺ﾀﾞｲﾊﾂ販売株式会社</t>
    <rPh sb="0" eb="2">
      <t>タナベ</t>
    </rPh>
    <rPh sb="7" eb="13">
      <t>ハンバイカブシキガイシャ</t>
    </rPh>
    <phoneticPr fontId="13"/>
  </si>
  <si>
    <t>保証書 取説 ｷｰﾚｽ ﾄﾞﾗﾚｺ取説 ﾄﾞﾗﾚｺSD</t>
    <rPh sb="0" eb="3">
      <t>ホショウショ</t>
    </rPh>
    <rPh sb="4" eb="6">
      <t>トリセツ</t>
    </rPh>
    <rPh sb="17" eb="19">
      <t>トリセツ</t>
    </rPh>
    <phoneticPr fontId="13"/>
  </si>
  <si>
    <t>京都 580 わ 8445</t>
    <rPh sb="0" eb="2">
      <t>キョウト</t>
    </rPh>
    <phoneticPr fontId="13"/>
  </si>
  <si>
    <t>取説 ｽﾍﾟｱｷｰ 地図SD (車内)保証書 ﾚﾝﾀｶｰ</t>
    <rPh sb="0" eb="2">
      <t>トリセツ</t>
    </rPh>
    <rPh sb="10" eb="12">
      <t>チズ</t>
    </rPh>
    <rPh sb="16" eb="18">
      <t>シャナイ</t>
    </rPh>
    <rPh sb="19" eb="22">
      <t>ホショウショ</t>
    </rPh>
    <phoneticPr fontId="13"/>
  </si>
  <si>
    <t>大阪 570 ゆ 1123</t>
    <rPh sb="0" eb="2">
      <t>オオサカ</t>
    </rPh>
    <phoneticPr fontId="13"/>
  </si>
  <si>
    <t>高松 583 こ 408</t>
    <rPh sb="0" eb="2">
      <t>タカマツ</t>
    </rPh>
    <phoneticPr fontId="13"/>
  </si>
  <si>
    <t>谷川 誉惠</t>
    <rPh sb="0" eb="2">
      <t>タニガワ</t>
    </rPh>
    <rPh sb="3" eb="4">
      <t>ホマレ</t>
    </rPh>
    <rPh sb="4" eb="5">
      <t>メグミ</t>
    </rPh>
    <phoneticPr fontId="13"/>
  </si>
  <si>
    <t>岡山 580 ま 238</t>
    <rPh sb="0" eb="2">
      <t>オカヤマ</t>
    </rPh>
    <phoneticPr fontId="13"/>
  </si>
  <si>
    <t>株式会社ｴﾙｼﾞｵ</t>
    <rPh sb="0" eb="4">
      <t>カブシキガイシャ</t>
    </rPh>
    <phoneticPr fontId="13"/>
  </si>
  <si>
    <t>尾張小牧 399 は 559</t>
    <rPh sb="0" eb="4">
      <t>オワリコマキ</t>
    </rPh>
    <phoneticPr fontId="13"/>
  </si>
  <si>
    <t>名古屋 499 む 5636</t>
    <rPh sb="0" eb="3">
      <t>ナゴヤ</t>
    </rPh>
    <phoneticPr fontId="13"/>
  </si>
  <si>
    <t>株式会社ﾄﾖﾀﾚﾝﾀﾘｰｽ名古屋</t>
    <rPh sb="13" eb="16">
      <t>ナゴヤ</t>
    </rPh>
    <phoneticPr fontId="13"/>
  </si>
  <si>
    <t>山口 581 け 8424</t>
    <rPh sb="0" eb="2">
      <t>ヤマグチ</t>
    </rPh>
    <phoneticPr fontId="13"/>
  </si>
  <si>
    <t>塩見 優花</t>
    <rPh sb="0" eb="2">
      <t>シオミ</t>
    </rPh>
    <rPh sb="3" eb="4">
      <t>ユウ</t>
    </rPh>
    <rPh sb="4" eb="5">
      <t>ハナ</t>
    </rPh>
    <phoneticPr fontId="13"/>
  </si>
  <si>
    <t>徳島 300 の 1702</t>
    <rPh sb="0" eb="2">
      <t>トクシマ</t>
    </rPh>
    <phoneticPr fontId="13"/>
  </si>
  <si>
    <t>広島 331 も 1156</t>
    <rPh sb="0" eb="2">
      <t>ヒロシマ</t>
    </rPh>
    <phoneticPr fontId="13"/>
  </si>
  <si>
    <t>神戸 799 ら 8104</t>
    <rPh sb="0" eb="2">
      <t>コウベ</t>
    </rPh>
    <phoneticPr fontId="13"/>
  </si>
  <si>
    <t>ﾘﾓｺﾝ ｷｰﾚｽ ﾐﾆB-CAS</t>
    <phoneticPr fontId="13"/>
  </si>
  <si>
    <t>株式会社ﾎﾝﾀﾞｶｰｽﾞ中高知</t>
    <rPh sb="0" eb="4">
      <t>カブシキガイシャ</t>
    </rPh>
    <rPh sb="12" eb="13">
      <t>ナカ</t>
    </rPh>
    <rPh sb="13" eb="15">
      <t>コウチ</t>
    </rPh>
    <phoneticPr fontId="13"/>
  </si>
  <si>
    <t>WME4530622Y148929</t>
    <phoneticPr fontId="13"/>
  </si>
  <si>
    <t>ｷｬﾝｾﾙ返送3/31</t>
    <rPh sb="5" eb="7">
      <t>ヘンソウ</t>
    </rPh>
    <phoneticPr fontId="13"/>
  </si>
  <si>
    <t>広島 334 ね 3310</t>
    <rPh sb="0" eb="2">
      <t>ヒロシマ</t>
    </rPh>
    <phoneticPr fontId="13"/>
  </si>
  <si>
    <t>藤本 龍司</t>
    <rPh sb="0" eb="2">
      <t>フジモト</t>
    </rPh>
    <rPh sb="3" eb="4">
      <t>リュウ</t>
    </rPh>
    <rPh sb="4" eb="5">
      <t>ツカサ</t>
    </rPh>
    <phoneticPr fontId="13"/>
  </si>
  <si>
    <t>なにわ 479 ゆ 48</t>
    <phoneticPr fontId="13"/>
  </si>
  <si>
    <t>名古屋 499 む 5669</t>
    <rPh sb="0" eb="3">
      <t>ナゴヤ</t>
    </rPh>
    <phoneticPr fontId="13"/>
  </si>
  <si>
    <t>品番：NSZT-W66T</t>
    <rPh sb="0" eb="2">
      <t>ヒンバン</t>
    </rPh>
    <phoneticPr fontId="13"/>
  </si>
  <si>
    <t>ﾏｲｸﾛ地図SD(車内)保証書 取説 ｷｰﾚｽ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</si>
  <si>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27-3829</t>
  </si>
  <si>
    <t>27-3830</t>
  </si>
  <si>
    <t>27-3831</t>
  </si>
  <si>
    <t>27-3832</t>
  </si>
  <si>
    <t>27-3833</t>
  </si>
  <si>
    <t>27-3834</t>
  </si>
  <si>
    <t>27-3835</t>
  </si>
  <si>
    <t>27-3836</t>
  </si>
  <si>
    <t>ｵﾘｯｸｽ神戸</t>
    <rPh sb="5" eb="7">
      <t>コウベ</t>
    </rPh>
    <phoneticPr fontId="13"/>
  </si>
  <si>
    <t>7/6</t>
    <phoneticPr fontId="13"/>
  </si>
  <si>
    <t>黒</t>
    <rPh sb="0" eb="1">
      <t>クロ</t>
    </rPh>
    <phoneticPr fontId="13"/>
  </si>
  <si>
    <t>ﾀﾌﾄ　G</t>
    <phoneticPr fontId="13"/>
  </si>
  <si>
    <t>LA900S-0214106</t>
    <phoneticPr fontId="13"/>
  </si>
  <si>
    <t>保証書</t>
    <rPh sb="0" eb="3">
      <t>ホショウショ</t>
    </rPh>
    <phoneticPr fontId="13"/>
  </si>
  <si>
    <t>7/5</t>
    <phoneticPr fontId="13"/>
  </si>
  <si>
    <t>白</t>
    <rPh sb="0" eb="1">
      <t>シロ</t>
    </rPh>
    <phoneticPr fontId="13"/>
  </si>
  <si>
    <t>ﾌﾟﾛﾎﾞｯｸｽﾊﾞﾝ　GL</t>
    <phoneticPr fontId="13"/>
  </si>
  <si>
    <t>NHP160-0133743</t>
    <phoneticPr fontId="13"/>
  </si>
  <si>
    <t>3/10</t>
    <phoneticPr fontId="13"/>
  </si>
  <si>
    <t>N　BOX　L　</t>
    <phoneticPr fontId="13"/>
  </si>
  <si>
    <t>JF3-5084790</t>
    <phoneticPr fontId="13"/>
  </si>
  <si>
    <t>整備手帳</t>
    <rPh sb="0" eb="4">
      <t>セイビテチョウ</t>
    </rPh>
    <phoneticPr fontId="13"/>
  </si>
  <si>
    <t>6/7</t>
    <phoneticPr fontId="13"/>
  </si>
  <si>
    <t>N　BOX　</t>
    <phoneticPr fontId="13"/>
  </si>
  <si>
    <t>JF5-1071298</t>
    <phoneticPr fontId="13"/>
  </si>
  <si>
    <t>2/2</t>
    <phoneticPr fontId="13"/>
  </si>
  <si>
    <t>JF4-2102556</t>
    <phoneticPr fontId="13"/>
  </si>
  <si>
    <t>N　BOX　G　Lﾀｰﾎﾞ　ﾎﾝﾀﾞｾﾝｼﾝｸﾞ</t>
    <phoneticPr fontId="13"/>
  </si>
  <si>
    <t>整備手帳　ﾚﾝﾀｶｰ</t>
    <rPh sb="0" eb="4">
      <t>セイビテチョウ</t>
    </rPh>
    <phoneticPr fontId="13"/>
  </si>
  <si>
    <t>4/5</t>
    <phoneticPr fontId="13"/>
  </si>
  <si>
    <t>ﾜｲﾝⅡ</t>
    <phoneticPr fontId="13"/>
  </si>
  <si>
    <t>ｽﾍﾟｰｼｱ　ﾊｲﾌﾞﾘｯﾄﾞX</t>
    <phoneticPr fontId="13"/>
  </si>
  <si>
    <t>MK53S-413855</t>
    <phoneticPr fontId="13"/>
  </si>
  <si>
    <t>A339389</t>
    <phoneticPr fontId="13"/>
  </si>
  <si>
    <t>MR92S-174743</t>
    <phoneticPr fontId="13"/>
  </si>
  <si>
    <t>3/3</t>
    <phoneticPr fontId="13"/>
  </si>
  <si>
    <t>ﾃﾞﾆﾑﾌﾞﾙｰ</t>
    <phoneticPr fontId="13"/>
  </si>
  <si>
    <t>10/3/14</t>
    <phoneticPr fontId="13"/>
  </si>
  <si>
    <t>保証書　ﾜﾝｵｰﾅｰ</t>
    <rPh sb="0" eb="3">
      <t>ホショウショ</t>
    </rPh>
    <phoneticPr fontId="13"/>
  </si>
  <si>
    <t>TAA近畿</t>
    <rPh sb="3" eb="5">
      <t>キンキ</t>
    </rPh>
    <phoneticPr fontId="13"/>
  </si>
  <si>
    <t>27-3837</t>
  </si>
  <si>
    <t>27-3838</t>
  </si>
  <si>
    <t>27-3839</t>
  </si>
  <si>
    <t>27-3840</t>
  </si>
  <si>
    <t>27-3841</t>
  </si>
  <si>
    <t>27-3842</t>
  </si>
  <si>
    <t>27-3843</t>
  </si>
  <si>
    <t>27-3844</t>
  </si>
  <si>
    <t>27-3845</t>
  </si>
  <si>
    <t>27-3846</t>
  </si>
  <si>
    <t>ﾑｰｳﾞｶｽﾀﾑ　X　SA</t>
    <phoneticPr fontId="13"/>
  </si>
  <si>
    <t>LA100S-0219453</t>
    <phoneticPr fontId="13"/>
  </si>
  <si>
    <t>ﾃﾞｲｽﾞﾙｰｸｽ　ﾊｲｳｪｲｽﾀｰ　X　Vｾﾚｸｼｮﾝ</t>
    <phoneticPr fontId="13"/>
  </si>
  <si>
    <t>B21A-0378895</t>
    <phoneticPr fontId="13"/>
  </si>
  <si>
    <t>ｱﾄﾚｰﾜｺﾞﾝ　ｶｽﾀﾑﾀｰﾎﾞ　RSﾘﾐﾃｯﾄﾞ</t>
    <phoneticPr fontId="13"/>
  </si>
  <si>
    <t>S321G-0055891</t>
    <phoneticPr fontId="13"/>
  </si>
  <si>
    <t>BMWﾐﾆｸｰﾊﾟｰD　ｸﾛｽｵｰﾊﾞｰ</t>
    <phoneticPr fontId="13"/>
  </si>
  <si>
    <t>TAA四国</t>
    <rPh sb="3" eb="5">
      <t>シコク</t>
    </rPh>
    <phoneticPr fontId="13"/>
  </si>
  <si>
    <t>BMWﾐﾆ</t>
    <phoneticPr fontId="13"/>
  </si>
  <si>
    <t>TAA広島</t>
    <rPh sb="3" eb="5">
      <t>ヒロシマ</t>
    </rPh>
    <phoneticPr fontId="13"/>
  </si>
  <si>
    <t>ﾑｰｳﾞｷｬﾝﾊﾞｽ　GﾒｲｸｱｯﾌﾟSaⅡ</t>
    <phoneticPr fontId="13"/>
  </si>
  <si>
    <t>LA800S-0047889</t>
    <phoneticPr fontId="13"/>
  </si>
  <si>
    <t>ﾊｲｾﾞｯﾄｶｰｺﾞ　ｸﾙｰｽﾞﾀｰﾎﾞ</t>
    <phoneticPr fontId="13"/>
  </si>
  <si>
    <t>S700V-0050753</t>
    <phoneticPr fontId="13"/>
  </si>
  <si>
    <t>ﾐﾗｲｰｽ　G　ﾘﾐﾃｯﾄﾞSaⅢ</t>
    <phoneticPr fontId="13"/>
  </si>
  <si>
    <t>LA350S-0409821</t>
    <phoneticPr fontId="13"/>
  </si>
  <si>
    <t>ﾑｰｳﾞｷｬﾝﾊﾞｽ　ｾｵﾘｰGﾀｰﾎﾞ</t>
    <phoneticPr fontId="13"/>
  </si>
  <si>
    <t>LA850S-1034298</t>
    <phoneticPr fontId="13"/>
  </si>
  <si>
    <t>TAA九州</t>
    <rPh sb="3" eb="5">
      <t>キュウシュウ</t>
    </rPh>
    <phoneticPr fontId="13"/>
  </si>
  <si>
    <t>ﾌﾟﾛﾎﾞｯｸｽﾊﾞﾝ　G</t>
    <phoneticPr fontId="13"/>
  </si>
  <si>
    <t>25/3</t>
    <phoneticPr fontId="13"/>
  </si>
  <si>
    <t>29/12</t>
    <phoneticPr fontId="13"/>
  </si>
  <si>
    <t>青</t>
    <rPh sb="0" eb="1">
      <t>アオ</t>
    </rPh>
    <phoneticPr fontId="13"/>
  </si>
  <si>
    <t>8/12</t>
    <phoneticPr fontId="13"/>
  </si>
  <si>
    <t>神戸　582　う　2883</t>
    <rPh sb="0" eb="2">
      <t>コウベ</t>
    </rPh>
    <phoneticPr fontId="13"/>
  </si>
  <si>
    <t>保証書　予備ｷｰ</t>
    <rPh sb="0" eb="3">
      <t>ホショウショ</t>
    </rPh>
    <rPh sb="4" eb="6">
      <t>ヨビ</t>
    </rPh>
    <phoneticPr fontId="13"/>
  </si>
  <si>
    <t>25/10</t>
    <phoneticPr fontId="13"/>
  </si>
  <si>
    <t>1/5</t>
    <phoneticPr fontId="13"/>
  </si>
  <si>
    <t>白Ⅱ</t>
    <rPh sb="0" eb="1">
      <t>シロ</t>
    </rPh>
    <phoneticPr fontId="13"/>
  </si>
  <si>
    <t>WMWYT920103H97238</t>
    <phoneticPr fontId="13"/>
  </si>
  <si>
    <t>保証書　取説</t>
    <rPh sb="0" eb="3">
      <t>ホショウショ</t>
    </rPh>
    <rPh sb="4" eb="6">
      <t>トリセツ</t>
    </rPh>
    <phoneticPr fontId="13"/>
  </si>
  <si>
    <t>29/6</t>
    <phoneticPr fontId="13"/>
  </si>
  <si>
    <t>ｲｴﾛｰ</t>
    <phoneticPr fontId="13"/>
  </si>
  <si>
    <t>8/6</t>
    <phoneticPr fontId="13"/>
  </si>
  <si>
    <t>徳島　334　に　35</t>
    <rPh sb="0" eb="2">
      <t>トクシマ</t>
    </rPh>
    <phoneticPr fontId="13"/>
  </si>
  <si>
    <t>29/4</t>
    <phoneticPr fontId="13"/>
  </si>
  <si>
    <t>ﾐﾝﾄⅡ</t>
    <phoneticPr fontId="13"/>
  </si>
  <si>
    <t>岡山　581　よ　7683</t>
    <rPh sb="0" eb="2">
      <t>オカヤマ</t>
    </rPh>
    <phoneticPr fontId="13"/>
  </si>
  <si>
    <t>4/11</t>
    <phoneticPr fontId="13"/>
  </si>
  <si>
    <t>8/11</t>
    <phoneticPr fontId="13"/>
  </si>
  <si>
    <t>岡山　480　ね　9193</t>
    <rPh sb="0" eb="2">
      <t>オカヤマ</t>
    </rPh>
    <phoneticPr fontId="13"/>
  </si>
  <si>
    <t>保証書　取説　ﾚﾝﾀｶｰ</t>
    <rPh sb="0" eb="3">
      <t>ホショウショ</t>
    </rPh>
    <rPh sb="4" eb="6">
      <t>トリセツ</t>
    </rPh>
    <phoneticPr fontId="13"/>
  </si>
  <si>
    <t>6/9</t>
    <phoneticPr fontId="13"/>
  </si>
  <si>
    <t>5/12</t>
    <phoneticPr fontId="13"/>
  </si>
  <si>
    <t>WMWXM920602G96310</t>
    <phoneticPr fontId="13"/>
  </si>
  <si>
    <t>4/3</t>
    <phoneticPr fontId="13"/>
  </si>
  <si>
    <t>保証書　取説　予備ｷｰ　ﾚﾝﾀｶｰ</t>
    <rPh sb="0" eb="3">
      <t>ホショウショ</t>
    </rPh>
    <rPh sb="4" eb="6">
      <t>トリセツ</t>
    </rPh>
    <rPh sb="7" eb="9">
      <t>ヨビ</t>
    </rPh>
    <phoneticPr fontId="13"/>
  </si>
  <si>
    <t>HAA神戸</t>
    <rPh sb="3" eb="5">
      <t>コウベ</t>
    </rPh>
    <phoneticPr fontId="13"/>
  </si>
  <si>
    <t>27-3847</t>
  </si>
  <si>
    <t>27-3848</t>
  </si>
  <si>
    <t>SNT33-077413</t>
    <phoneticPr fontId="13"/>
  </si>
  <si>
    <t>MR92S-455372</t>
    <phoneticPr fontId="13"/>
  </si>
  <si>
    <t>ｴｸｽﾄﾚｲﾙ　GE　40RCE</t>
    <phoneticPr fontId="13"/>
  </si>
  <si>
    <t>神戸　302　わ　4238</t>
    <rPh sb="0" eb="2">
      <t>コウベ</t>
    </rPh>
    <phoneticPr fontId="13"/>
  </si>
  <si>
    <t>姫路　581　わ　825</t>
    <rPh sb="0" eb="2">
      <t>ヒメジ</t>
    </rPh>
    <phoneticPr fontId="13"/>
  </si>
  <si>
    <t>保証書　取説　ｽﾍﾟｱﾘﾓｺﾝ　ﾚﾝﾀｶｰ</t>
    <rPh sb="0" eb="3">
      <t>ホショウショ</t>
    </rPh>
    <rPh sb="4" eb="6">
      <t>トリセツ</t>
    </rPh>
    <phoneticPr fontId="13"/>
  </si>
  <si>
    <t>沖縄 480 ぬ 1273</t>
    <rPh sb="0" eb="2">
      <t>オキナワ</t>
    </rPh>
    <phoneticPr fontId="13"/>
  </si>
  <si>
    <t>琉球三菱自動車販売株式会社</t>
    <rPh sb="0" eb="4">
      <t>リュウキュウミツビシ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</si>
  <si>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337 の 817</t>
    <rPh sb="0" eb="2">
      <t>エヒメ</t>
    </rPh>
    <phoneticPr fontId="13"/>
  </si>
  <si>
    <t>ひろぎんﾘｰｽ株式会社</t>
    <rPh sb="7" eb="11">
      <t>カブシキガイシャ</t>
    </rPh>
    <phoneticPr fontId="13"/>
  </si>
  <si>
    <t>横浜 305 ゆ 7474</t>
    <rPh sb="0" eb="2">
      <t>ヨコハマ</t>
    </rPh>
    <phoneticPr fontId="13"/>
  </si>
  <si>
    <t>保証書 取説 ｷｰﾚｽ 付属品直送4/2発送</t>
    <rPh sb="0" eb="3">
      <t>ホショウショ</t>
    </rPh>
    <rPh sb="4" eb="6">
      <t>トリセツ</t>
    </rPh>
    <rPh sb="12" eb="15">
      <t>フゾクヒン</t>
    </rPh>
    <rPh sb="15" eb="17">
      <t>チョクソウ</t>
    </rPh>
    <rPh sb="20" eb="22">
      <t>ハッソウ</t>
    </rPh>
    <phoneticPr fontId="13"/>
  </si>
  <si>
    <t>27-3849</t>
  </si>
  <si>
    <t>YV1ZW10MDL2362607</t>
    <phoneticPr fontId="13"/>
  </si>
  <si>
    <t>27-3850</t>
  </si>
  <si>
    <t>27-3851</t>
  </si>
  <si>
    <t>27-3852</t>
  </si>
  <si>
    <t>ZFA3120000J885553</t>
    <phoneticPr fontId="13"/>
  </si>
  <si>
    <t>ｶﾛｰﾗﾌｨｰﾙﾀﾞｰﾊｲﾌﾞﾘｯﾄﾞG</t>
    <phoneticPr fontId="13"/>
  </si>
  <si>
    <t>NKE165-7197520</t>
    <phoneticPr fontId="13"/>
  </si>
  <si>
    <t>WMWXU72060TR63246</t>
    <phoneticPr fontId="13"/>
  </si>
  <si>
    <t>ﾒﾙｾﾃﾞｽﾍﾞﾝﾂ Cｸﾗｽｽﾃｰｼｮﾝﾜｺﾞﾝ 220d</t>
    <phoneticPr fontId="13"/>
  </si>
  <si>
    <t>WDD2052042F674268</t>
    <phoneticPr fontId="13"/>
  </si>
  <si>
    <t>名古屋 373 ほ 1011</t>
    <rPh sb="0" eb="3">
      <t>ナゴヤ</t>
    </rPh>
    <phoneticPr fontId="13"/>
  </si>
  <si>
    <t>WMWXR320X0TR94669</t>
    <phoneticPr fontId="13"/>
  </si>
  <si>
    <t>NCP160-0155605</t>
    <phoneticPr fontId="13"/>
  </si>
  <si>
    <t>ﾎﾞﾙﾎﾞV60 T5 ｲﾝｽｸﾘﾌﾟｼｮﾝ</t>
    <phoneticPr fontId="13"/>
  </si>
  <si>
    <t>地図SD ｽﾍﾟｱｷｰ</t>
    <rPh sb="0" eb="2">
      <t>チズ</t>
    </rPh>
    <phoneticPr fontId="13"/>
  </si>
  <si>
    <t>名古屋 781 ろ 423</t>
    <rPh sb="0" eb="3">
      <t>ナゴヤ</t>
    </rPh>
    <phoneticPr fontId="13"/>
  </si>
  <si>
    <t>愛知県中古自動車販売商工組合</t>
    <rPh sb="0" eb="8">
      <t>アイチケンチュウコジドウシャ</t>
    </rPh>
    <rPh sb="8" eb="10">
      <t>ハンバイ</t>
    </rPh>
    <rPh sb="10" eb="14">
      <t>ショウコウクミアイ</t>
    </rPh>
    <phoneticPr fontId="13"/>
  </si>
  <si>
    <t>ｷｬﾝｾﾙ4/2返送</t>
    <rPh sb="8" eb="10">
      <t>ヘンソウ</t>
    </rPh>
    <phoneticPr fontId="13"/>
  </si>
  <si>
    <t>半田 有矢</t>
    <rPh sb="0" eb="2">
      <t>ハンダ</t>
    </rPh>
    <rPh sb="3" eb="4">
      <t>ユウ</t>
    </rPh>
    <rPh sb="4" eb="5">
      <t>ヤ</t>
    </rPh>
    <phoneticPr fontId="13"/>
  </si>
  <si>
    <t>保証書 取説 ﾅﾋﾞ取 ﾏｲｸﾛSD ﾐﾆB-CAS</t>
    <rPh sb="0" eb="3">
      <t>ホショウショ</t>
    </rPh>
    <rPh sb="4" eb="6">
      <t>トリセツ</t>
    </rPh>
    <rPh sb="10" eb="11">
      <t>トリ</t>
    </rPh>
    <phoneticPr fontId="13"/>
  </si>
  <si>
    <t>香川 581 ろ 9533</t>
    <rPh sb="0" eb="2">
      <t>カガワ</t>
    </rPh>
    <phoneticPr fontId="13"/>
  </si>
  <si>
    <t>株式会社三木物流</t>
    <rPh sb="0" eb="4">
      <t>カブシキガイシャ</t>
    </rPh>
    <rPh sb="4" eb="6">
      <t>ミキ</t>
    </rPh>
    <rPh sb="6" eb="8">
      <t>ブツリュウ</t>
    </rPh>
    <phoneticPr fontId="13"/>
  </si>
  <si>
    <t>福岡 39A ち 5438</t>
    <rPh sb="0" eb="2">
      <t>フクオカ</t>
    </rPh>
    <phoneticPr fontId="13"/>
  </si>
  <si>
    <t>27-3853</t>
  </si>
  <si>
    <t>27-3854</t>
  </si>
  <si>
    <t>27-3855</t>
  </si>
  <si>
    <t>鷹合 清</t>
    <rPh sb="0" eb="1">
      <t>タカ</t>
    </rPh>
    <rPh sb="1" eb="2">
      <t>ア</t>
    </rPh>
    <rPh sb="3" eb="4">
      <t>キヨシ</t>
    </rPh>
    <phoneticPr fontId="13"/>
  </si>
  <si>
    <t>なにわ 5X0 ろ 7470</t>
    <phoneticPr fontId="13"/>
  </si>
  <si>
    <t>福山 583 ろ 1425</t>
    <rPh sb="0" eb="2">
      <t>フクヤマ</t>
    </rPh>
    <phoneticPr fontId="13"/>
  </si>
  <si>
    <t>倉敷 581 い 423</t>
    <rPh sb="0" eb="2">
      <t>クラシキ</t>
    </rPh>
    <phoneticPr fontId="13"/>
  </si>
  <si>
    <t>名古屋 332 せ 5288</t>
    <rPh sb="0" eb="3">
      <t>ナゴヤ</t>
    </rPh>
    <phoneticPr fontId="13"/>
  </si>
  <si>
    <t>ﾄﾖﾀﾓﾋﾞﾘﾃｨ東名古屋株式会社</t>
    <rPh sb="9" eb="10">
      <t>ヒガシ</t>
    </rPh>
    <rPh sb="10" eb="13">
      <t>ナゴヤ</t>
    </rPh>
    <rPh sb="13" eb="17">
      <t>カブシキガイシャ</t>
    </rPh>
    <phoneticPr fontId="13"/>
  </si>
  <si>
    <t>池田 美保子</t>
    <rPh sb="0" eb="2">
      <t>イケダ</t>
    </rPh>
    <rPh sb="3" eb="6">
      <t>ミホコ</t>
    </rPh>
    <phoneticPr fontId="13"/>
  </si>
  <si>
    <t>佐伯 亜矢子</t>
    <rPh sb="0" eb="2">
      <t>サエキ</t>
    </rPh>
    <rPh sb="3" eb="6">
      <t>アヤコ</t>
    </rPh>
    <phoneticPr fontId="13"/>
  </si>
  <si>
    <t>品川 5X3 ろ 8142</t>
    <rPh sb="0" eb="2">
      <t>シナガワ</t>
    </rPh>
    <phoneticPr fontId="13"/>
  </si>
  <si>
    <t>ﾌﾟﾚﾐｱﾓﾋﾞﾘﾃｨｻｰﾋﾞｽ株式会社</t>
    <rPh sb="16" eb="20">
      <t>カブシキガイシャ</t>
    </rPh>
    <phoneticPr fontId="13"/>
  </si>
  <si>
    <t>長野 582 ろ 9449</t>
    <rPh sb="0" eb="2">
      <t>ナガノ</t>
    </rPh>
    <phoneticPr fontId="13"/>
  </si>
  <si>
    <t>株式会社甲信ﾏﾂﾀﾞ</t>
    <rPh sb="0" eb="4">
      <t>カブシキガイシャ</t>
    </rPh>
    <rPh sb="4" eb="6">
      <t>コウシン</t>
    </rPh>
    <phoneticPr fontId="13"/>
  </si>
  <si>
    <t>品番；MM112-A</t>
    <rPh sb="0" eb="2">
      <t>ヒンバン</t>
    </rPh>
    <phoneticPr fontId="13"/>
  </si>
  <si>
    <t>地図SD車内なし(クレームならず)</t>
    <rPh sb="0" eb="2">
      <t>チズ</t>
    </rPh>
    <rPh sb="4" eb="6">
      <t>シャナイ</t>
    </rPh>
    <phoneticPr fontId="13"/>
  </si>
  <si>
    <t>SDないままUS神戸売れ送る</t>
    <rPh sb="8" eb="10">
      <t>コウベ</t>
    </rPh>
    <rPh sb="10" eb="11">
      <t>ウ</t>
    </rPh>
    <rPh sb="12" eb="13">
      <t>オク</t>
    </rPh>
    <phoneticPr fontId="13"/>
  </si>
  <si>
    <t>11/？</t>
    <phoneticPr fontId="13"/>
  </si>
  <si>
    <t>尾張小牧 590 ろ 544</t>
    <rPh sb="0" eb="4">
      <t>オワリコマキ</t>
    </rPh>
    <phoneticPr fontId="13"/>
  </si>
  <si>
    <t>姫路 587 ろ 37</t>
    <rPh sb="0" eb="2">
      <t>ヒメジ</t>
    </rPh>
    <phoneticPr fontId="13"/>
  </si>
  <si>
    <t>ZCEDS-103143</t>
    <phoneticPr fontId="13"/>
  </si>
  <si>
    <t>堺 535 と 810</t>
    <rPh sb="0" eb="1">
      <t>サカイ</t>
    </rPh>
    <phoneticPr fontId="13"/>
  </si>
  <si>
    <t>月城 英夫</t>
    <rPh sb="0" eb="1">
      <t>ツキ</t>
    </rPh>
    <rPh sb="1" eb="2">
      <t>シロ</t>
    </rPh>
    <rPh sb="3" eb="5">
      <t>ヒデオ</t>
    </rPh>
    <phoneticPr fontId="13"/>
  </si>
  <si>
    <t>福井三菱自動車販売株式会社</t>
    <rPh sb="0" eb="2">
      <t>フクイ</t>
    </rPh>
    <rPh sb="2" eb="4">
      <t>ミツビシ</t>
    </rPh>
    <rPh sb="4" eb="7">
      <t>ジドウシャ</t>
    </rPh>
    <rPh sb="7" eb="9">
      <t>ハンバイ</t>
    </rPh>
    <rPh sb="9" eb="13">
      <t>カブシキガイシャ</t>
    </rPh>
    <phoneticPr fontId="13"/>
  </si>
  <si>
    <t>愛媛 341 さ 3377</t>
    <rPh sb="0" eb="2">
      <t>エヒメ</t>
    </rPh>
    <phoneticPr fontId="13"/>
  </si>
  <si>
    <t>ﾈｯﾂﾄﾖﾀ瀬戸内株式会社</t>
    <rPh sb="6" eb="8">
      <t>セト</t>
    </rPh>
    <rPh sb="8" eb="9">
      <t>ウチ</t>
    </rPh>
    <rPh sb="9" eb="13">
      <t>カブシキガイシャ</t>
    </rPh>
    <phoneticPr fontId="13"/>
  </si>
  <si>
    <t>27-3856</t>
  </si>
  <si>
    <t>27-3857</t>
  </si>
  <si>
    <t>27-3858</t>
  </si>
  <si>
    <t>VW ﾊﾟｻｰﾄ ｳﾞｧﾘｱﾝﾄ</t>
    <phoneticPr fontId="13"/>
  </si>
  <si>
    <t>WVWZZZ3CZJE153035</t>
    <phoneticPr fontId="13"/>
  </si>
  <si>
    <t>BMW 530 I ﾗｸﾞｼﾞｭｱﾘｰ</t>
    <phoneticPr fontId="13"/>
  </si>
  <si>
    <t>WBAJA52040WC08083</t>
    <phoneticPr fontId="13"/>
  </si>
  <si>
    <t>ﾒﾙｾﾃﾞｽﾍﾞﾝﾂ CLA 180</t>
    <phoneticPr fontId="13"/>
  </si>
  <si>
    <t>WDD1179422N627087</t>
    <phoneticPr fontId="13"/>
  </si>
  <si>
    <t>ｴﾝｼﾞﾝｽﾀｰﾀｰ</t>
    <phoneticPr fontId="13"/>
  </si>
  <si>
    <t>沖縄 330 り 413</t>
    <rPh sb="0" eb="2">
      <t>オキナワ</t>
    </rPh>
    <phoneticPr fontId="13"/>
  </si>
  <si>
    <t>ﾓﾄｰﾚﾝ沖縄株式会社</t>
    <rPh sb="5" eb="11">
      <t>オキナワカブシキガイシャ</t>
    </rPh>
    <phoneticPr fontId="13"/>
  </si>
  <si>
    <t>品川 358 ち 1113</t>
    <rPh sb="0" eb="2">
      <t>シナガワ</t>
    </rPh>
    <phoneticPr fontId="13"/>
  </si>
  <si>
    <t>名古屋 326 も 2285</t>
    <rPh sb="0" eb="3">
      <t>ナゴヤ</t>
    </rPh>
    <phoneticPr fontId="13"/>
  </si>
  <si>
    <t>株式会社WECARS</t>
    <phoneticPr fontId="13"/>
  </si>
  <si>
    <t>品川 337 ま 709</t>
    <rPh sb="0" eb="2">
      <t>シナガワ</t>
    </rPh>
    <phoneticPr fontId="13"/>
  </si>
  <si>
    <t>千葉 326 ち 5547</t>
    <rPh sb="0" eb="2">
      <t>チバ</t>
    </rPh>
    <phoneticPr fontId="13"/>
  </si>
  <si>
    <t>なにわ 583 く 2533</t>
    <phoneticPr fontId="13"/>
  </si>
  <si>
    <t>川本 美枝</t>
    <rPh sb="0" eb="2">
      <t>カワモト</t>
    </rPh>
    <rPh sb="3" eb="5">
      <t>ミエ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</si>
  <si>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</si>
  <si>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愛媛 301 せ 7375</t>
    <rPh sb="0" eb="2">
      <t>エヒメ</t>
    </rPh>
    <phoneticPr fontId="13"/>
  </si>
  <si>
    <t>藤田 晃弘</t>
    <rPh sb="0" eb="2">
      <t>フジタ</t>
    </rPh>
    <rPh sb="3" eb="4">
      <t>アキ</t>
    </rPh>
    <rPh sb="4" eb="5">
      <t>ヒロ</t>
    </rPh>
    <phoneticPr fontId="13"/>
  </si>
  <si>
    <t>品川 39A も 6268</t>
    <rPh sb="0" eb="2">
      <t>シナガワ</t>
    </rPh>
    <phoneticPr fontId="13"/>
  </si>
  <si>
    <t>堺 399 ひ 8509</t>
    <rPh sb="0" eb="1">
      <t>サカイ</t>
    </rPh>
    <phoneticPr fontId="13"/>
  </si>
  <si>
    <t>ﾄﾖﾀｶﾛｰﾗ南海株式会社</t>
    <rPh sb="7" eb="8">
      <t>ミナミ</t>
    </rPh>
    <rPh sb="8" eb="9">
      <t>カイ</t>
    </rPh>
    <rPh sb="9" eb="13">
      <t>カブシキガイシャ</t>
    </rPh>
    <phoneticPr fontId="13"/>
  </si>
  <si>
    <t>保証書</t>
    <phoneticPr fontId="13"/>
  </si>
  <si>
    <t>福山 582 た 3333</t>
    <rPh sb="0" eb="2">
      <t>フクヤマ</t>
    </rPh>
    <phoneticPr fontId="13"/>
  </si>
  <si>
    <t>奈良 587 さ 345</t>
    <rPh sb="0" eb="2">
      <t>ナラ</t>
    </rPh>
    <phoneticPr fontId="13"/>
  </si>
  <si>
    <t>奈良中央三菱自動車販売株式会社</t>
    <rPh sb="0" eb="2">
      <t>ナラ</t>
    </rPh>
    <rPh sb="2" eb="4">
      <t>チュウオウ</t>
    </rPh>
    <rPh sb="4" eb="9">
      <t>ミツビシジドウシャ</t>
    </rPh>
    <rPh sb="9" eb="11">
      <t>ハンバイ</t>
    </rPh>
    <rPh sb="11" eb="15">
      <t>カブシキガイシャ</t>
    </rPh>
    <phoneticPr fontId="13"/>
  </si>
  <si>
    <t>堺 583 い 6366</t>
    <rPh sb="0" eb="1">
      <t>サカイ</t>
    </rPh>
    <phoneticPr fontId="13"/>
  </si>
  <si>
    <t>鳥取 580 ゆ 3578</t>
    <rPh sb="0" eb="2">
      <t>トットリ</t>
    </rPh>
    <phoneticPr fontId="13"/>
  </si>
  <si>
    <t>堺 580 わ 3860</t>
    <rPh sb="0" eb="1">
      <t>サカイ</t>
    </rPh>
    <phoneticPr fontId="13"/>
  </si>
  <si>
    <t>株式会社井上ｶｰｸﾞｳﾄﾞ</t>
    <rPh sb="0" eb="4">
      <t>カブシキガイシャ</t>
    </rPh>
    <rPh sb="4" eb="6">
      <t>イノウエ</t>
    </rPh>
    <phoneticPr fontId="13"/>
  </si>
  <si>
    <t>堺 599 ま 6106</t>
    <rPh sb="0" eb="1">
      <t>サカイ</t>
    </rPh>
    <phoneticPr fontId="13"/>
  </si>
  <si>
    <t>荻 瑳彩</t>
    <rPh sb="0" eb="1">
      <t>オギ</t>
    </rPh>
    <rPh sb="2" eb="3">
      <t>サ</t>
    </rPh>
    <rPh sb="3" eb="4">
      <t>アヤ</t>
    </rPh>
    <phoneticPr fontId="13"/>
  </si>
  <si>
    <t>株式会社ｶｰｴｽｲﾉﾍﾞｰｼｮﾝ</t>
    <rPh sb="0" eb="4">
      <t>カブシキガイシャ</t>
    </rPh>
    <phoneticPr fontId="13"/>
  </si>
  <si>
    <t>Explore Lanka株式会社</t>
    <rPh sb="13" eb="17">
      <t>カブシキガイシャ</t>
    </rPh>
    <phoneticPr fontId="13"/>
  </si>
  <si>
    <t>記録紙2枚(書類と一緒に保管)</t>
    <rPh sb="0" eb="3">
      <t>キロクシ</t>
    </rPh>
    <rPh sb="4" eb="5">
      <t>マイ</t>
    </rPh>
    <rPh sb="6" eb="8">
      <t>ショルイ</t>
    </rPh>
    <rPh sb="9" eb="11">
      <t>イッショ</t>
    </rPh>
    <rPh sb="12" eb="14">
      <t>ホカン</t>
    </rPh>
    <phoneticPr fontId="13"/>
  </si>
  <si>
    <t>川﨑 仁美</t>
    <rPh sb="0" eb="2">
      <t>カワサキ</t>
    </rPh>
    <rPh sb="3" eb="5">
      <t>ヒトミ</t>
    </rPh>
    <phoneticPr fontId="13"/>
  </si>
  <si>
    <t>上林 省悟</t>
    <rPh sb="0" eb="2">
      <t>ウエバヤシ</t>
    </rPh>
    <rPh sb="3" eb="5">
      <t>ショウゴ</t>
    </rPh>
    <phoneticPr fontId="13"/>
  </si>
  <si>
    <t>ｷｰﾚｽ ｶｰﾄﾞｷｰ(車内)←ｽﾄｯｸ  ﾏｲｸﾛ地図SD</t>
    <rPh sb="12" eb="14">
      <t>シャナイ</t>
    </rPh>
    <rPh sb="26" eb="28">
      <t>チズ</t>
    </rPh>
    <phoneticPr fontId="13"/>
  </si>
  <si>
    <t>徳島 333 ひ 36</t>
    <rPh sb="0" eb="2">
      <t>トクシマ</t>
    </rPh>
    <phoneticPr fontId="13"/>
  </si>
  <si>
    <t>川端 康弘</t>
    <rPh sb="0" eb="2">
      <t>カワバタ</t>
    </rPh>
    <rPh sb="3" eb="5">
      <t>ヤスヒロ</t>
    </rPh>
    <phoneticPr fontId="13"/>
  </si>
  <si>
    <t>ﾏｲｸﾛ地図SD(車内)保証書 取説 ﾅﾋﾞ取 ｷｰﾚｽ ﾜﾝｵｰﾅｰ</t>
    <rPh sb="12" eb="15">
      <t>ホショウショ</t>
    </rPh>
    <rPh sb="16" eb="18">
      <t>トリセツ</t>
    </rPh>
    <rPh sb="22" eb="23">
      <t>トリ</t>
    </rPh>
    <phoneticPr fontId="13"/>
  </si>
  <si>
    <t>株式会社ﾎﾞﾝｽﾞ</t>
    <rPh sb="0" eb="4">
      <t>カブシキガイシャ</t>
    </rPh>
    <phoneticPr fontId="13"/>
  </si>
  <si>
    <t>多摩 485 ろ 643</t>
    <rPh sb="0" eb="2">
      <t>タマ</t>
    </rPh>
    <phoneticPr fontId="13"/>
  </si>
  <si>
    <t>なにわ 5X0 ろ 8374</t>
    <phoneticPr fontId="13"/>
  </si>
  <si>
    <t>東愛知日産自動車株式会社</t>
    <rPh sb="0" eb="1">
      <t>ヒガシ</t>
    </rPh>
    <rPh sb="1" eb="12">
      <t>アイチニッサンジドウシャカブシキガイシャ</t>
    </rPh>
    <phoneticPr fontId="13"/>
  </si>
  <si>
    <t>広島 502 ま 7646</t>
    <rPh sb="0" eb="2">
      <t>ヒロシマ</t>
    </rPh>
    <phoneticPr fontId="13"/>
  </si>
  <si>
    <t>岡山 301 ち 8309</t>
    <rPh sb="0" eb="2">
      <t>オカヤマ</t>
    </rPh>
    <phoneticPr fontId="13"/>
  </si>
  <si>
    <t>飛鳥ﾎﾝﾀﾞ株式会社</t>
    <rPh sb="0" eb="2">
      <t>アスカ</t>
    </rPh>
    <rPh sb="6" eb="10">
      <t>カブシキガイシャ</t>
    </rPh>
    <phoneticPr fontId="13"/>
  </si>
  <si>
    <t>ﾏｲｸﾛ地図SD(車内)保証書 取説 ｷｰﾚｽ ｽﾍﾟｱｷｰ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</si>
  <si>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岡山 532 て 8808</t>
    <rPh sb="0" eb="2">
      <t>オカヤマ</t>
    </rPh>
    <phoneticPr fontId="13"/>
  </si>
  <si>
    <t>守安 勇人</t>
    <rPh sb="0" eb="2">
      <t>モリヤス</t>
    </rPh>
    <rPh sb="3" eb="5">
      <t>ハヤト</t>
    </rPh>
    <phoneticPr fontId="13"/>
  </si>
  <si>
    <t>有限会社ｱｰﾄｾﾚｸｼｮﾝ</t>
    <rPh sb="0" eb="4">
      <t>ユウゲンカイシャ</t>
    </rPh>
    <phoneticPr fontId="13"/>
  </si>
  <si>
    <t>ABDUL KHALEK ALOKDEH</t>
    <phoneticPr fontId="13"/>
  </si>
  <si>
    <t>堺 586 ろ 5321</t>
    <rPh sb="0" eb="1">
      <t>サカイ</t>
    </rPh>
    <phoneticPr fontId="13"/>
  </si>
  <si>
    <t>株式会社Sam Pratt</t>
    <rPh sb="0" eb="4">
      <t>カブシキガイシャ</t>
    </rPh>
    <phoneticPr fontId="13"/>
  </si>
  <si>
    <t>ﾘﾓｺﾝ(車内)保証書 取説 ﾅﾋﾞ取 ｷｰﾚｽ ﾘﾓｺﾝ2個 ｴﾝｼﾞﾝｽﾀｰﾀｰ ﾜﾝｵｰﾅｰ</t>
    <rPh sb="8" eb="11">
      <t>ホショウショ</t>
    </rPh>
    <rPh sb="12" eb="14">
      <t>トリセツ</t>
    </rPh>
    <rPh sb="18" eb="19">
      <t>トリ</t>
    </rPh>
    <rPh sb="30" eb="31">
      <t>コ</t>
    </rPh>
    <phoneticPr fontId="13"/>
  </si>
  <si>
    <t>地図SD(車内)ﾜﾝｵｰﾅｰ</t>
    <rPh sb="0" eb="2">
      <t>チズ</t>
    </rPh>
    <phoneticPr fontId="13"/>
  </si>
  <si>
    <t>取説 ｷｰﾚｽ ﾘﾓｺﾝ(車内)</t>
    <rPh sb="0" eb="2">
      <t>トリセツ</t>
    </rPh>
    <phoneticPr fontId="13"/>
  </si>
  <si>
    <t>ｷｬﾝｾﾙ4/4返送</t>
    <rPh sb="8" eb="10">
      <t>ヘンソウ</t>
    </rPh>
    <phoneticPr fontId="13"/>
  </si>
  <si>
    <t>582 う 6361</t>
    <phoneticPr fontId="13"/>
  </si>
  <si>
    <t>480 ね 5318</t>
    <phoneticPr fontId="13"/>
  </si>
  <si>
    <t>582 う 6362</t>
    <phoneticPr fontId="13"/>
  </si>
  <si>
    <t>582 う 6363</t>
    <phoneticPr fontId="13"/>
  </si>
  <si>
    <t>四日市 300 せ 3190</t>
    <rPh sb="0" eb="3">
      <t>ヨッカイチ</t>
    </rPh>
    <phoneticPr fontId="13"/>
  </si>
  <si>
    <t>ﾄﾖﾀｶﾛｰﾗ三重株式会社</t>
    <rPh sb="7" eb="9">
      <t>ミエ</t>
    </rPh>
    <rPh sb="9" eb="13">
      <t>カブシキガイシャ</t>
    </rPh>
    <phoneticPr fontId="13"/>
  </si>
  <si>
    <t>4/4</t>
    <phoneticPr fontId="13"/>
  </si>
  <si>
    <t>保証書 取説 ｷｰﾚｽ ﾜﾝｵｰﾅｰ 印鑑証明6/2まで</t>
    <rPh sb="0" eb="3">
      <t>ホショウショ</t>
    </rPh>
    <rPh sb="4" eb="6">
      <t>トリセツ</t>
    </rPh>
    <rPh sb="19" eb="23">
      <t>インカンショウメイ</t>
    </rPh>
    <phoneticPr fontId="13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</si>
  <si>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/>
  </si>
  <si>
    <t>豊橋 332 ち 3298</t>
    <rPh sb="0" eb="2">
      <t>トヨハシ</t>
    </rPh>
    <phoneticPr fontId="13"/>
  </si>
  <si>
    <t>株式会社ﾎﾝﾀﾞｶｰｽﾞ愛知南</t>
    <rPh sb="12" eb="14">
      <t>アイチ</t>
    </rPh>
    <rPh sb="14" eb="15">
      <t>ミナミ</t>
    </rPh>
    <phoneticPr fontId="13"/>
  </si>
  <si>
    <t>株式会社ﾎﾝﾀﾞ自販岐阜</t>
    <rPh sb="0" eb="4">
      <t>カブシキガイシャ</t>
    </rPh>
    <rPh sb="8" eb="10">
      <t>ジハン</t>
    </rPh>
    <rPh sb="10" eb="12">
      <t>ギフ</t>
    </rPh>
    <phoneticPr fontId="13"/>
  </si>
  <si>
    <t>USS神戸(ﾜﾝｸﾘ)</t>
    <rPh sb="3" eb="5">
      <t>コウベ</t>
    </rPh>
    <phoneticPr fontId="13"/>
  </si>
  <si>
    <t>岡山 330 や 5532</t>
    <rPh sb="0" eb="2">
      <t>オカヤマ</t>
    </rPh>
    <phoneticPr fontId="13"/>
  </si>
  <si>
    <t>ｽﾊﾞﾙ中四国株式会社</t>
    <rPh sb="4" eb="7">
      <t>ナカシコク</t>
    </rPh>
    <rPh sb="7" eb="11">
      <t>カブシキガイシャ</t>
    </rPh>
    <phoneticPr fontId="13"/>
  </si>
  <si>
    <t>和泉 301 や 7923</t>
    <rPh sb="0" eb="2">
      <t>イズミ</t>
    </rPh>
    <phoneticPr fontId="13"/>
  </si>
  <si>
    <t>森田 成一</t>
    <rPh sb="0" eb="2">
      <t>モリタ</t>
    </rPh>
    <rPh sb="3" eb="5">
      <t>セイイチ</t>
    </rPh>
    <phoneticPr fontId="13"/>
  </si>
  <si>
    <t>保証書 取説</t>
    <rPh sb="0" eb="3">
      <t>ホショウショ</t>
    </rPh>
    <rPh sb="4" eb="6">
      <t>トリセツ</t>
    </rPh>
    <phoneticPr fontId="13"/>
  </si>
  <si>
    <t>広島 582 け 4592</t>
    <rPh sb="0" eb="2">
      <t>ヒロシマ</t>
    </rPh>
    <phoneticPr fontId="13"/>
  </si>
  <si>
    <t>HTﾄﾚｰﾃﾞｨﾝｸﾞ株式会社</t>
    <rPh sb="11" eb="15">
      <t>カブシキガイシャ</t>
    </rPh>
    <phoneticPr fontId="13"/>
  </si>
  <si>
    <t>保証書</t>
    <rPh sb="0" eb="3">
      <t>ホショウショ</t>
    </rPh>
    <phoneticPr fontId="13"/>
  </si>
  <si>
    <t>NSP160-0066522</t>
    <phoneticPr fontId="13"/>
  </si>
  <si>
    <t>福岡 401 わ 3004</t>
    <rPh sb="0" eb="2">
      <t>フクオカ</t>
    </rPh>
    <phoneticPr fontId="13"/>
  </si>
  <si>
    <t>株式会社ｲﾁﾈﾝ</t>
    <phoneticPr fontId="13"/>
  </si>
  <si>
    <t>保証書 取説 ｽﾍﾟｱｷｰ ﾚﾝﾀｶｰ</t>
    <rPh sb="0" eb="3">
      <t>ホショウショ</t>
    </rPh>
    <rPh sb="4" eb="6">
      <t>トリセツ</t>
    </rPh>
    <phoneticPr fontId="13"/>
  </si>
  <si>
    <t>ﾄﾖﾀｶﾛｰﾗ岡山株式会社</t>
    <rPh sb="7" eb="9">
      <t>オカヤマ</t>
    </rPh>
    <rPh sb="9" eb="13">
      <t>カブシキガイシャ</t>
    </rPh>
    <phoneticPr fontId="13"/>
  </si>
  <si>
    <t>ﾄﾖﾀｶﾛｰﾗ岡山株式会社</t>
    <rPh sb="7" eb="13">
      <t>オカヤマカブシキガイシャ</t>
    </rPh>
    <phoneticPr fontId="13"/>
  </si>
  <si>
    <t>保証書 取説 ﾚﾝﾀｶｰ</t>
    <rPh sb="0" eb="3">
      <t>ホショウショ</t>
    </rPh>
    <rPh sb="4" eb="6">
      <t>トリセツ</t>
    </rPh>
    <phoneticPr fontId="13"/>
  </si>
  <si>
    <t>なにわ 583 う 2310</t>
    <phoneticPr fontId="13"/>
  </si>
  <si>
    <t>株式会社ｶｰﾈｸｽﾄ</t>
    <rPh sb="0" eb="4">
      <t>カブシキガイシャ</t>
    </rPh>
    <phoneticPr fontId="13"/>
  </si>
  <si>
    <t>奈良 581 き 9147</t>
    <rPh sb="0" eb="2">
      <t>ナラ</t>
    </rPh>
    <phoneticPr fontId="13"/>
  </si>
  <si>
    <t>株式会社ﾎﾝﾀﾞﾈｯﾄｷﾝｷ</t>
    <rPh sb="0" eb="4">
      <t>カブシキガイシャ</t>
    </rPh>
    <phoneticPr fontId="13"/>
  </si>
  <si>
    <t>野村 尚広</t>
    <rPh sb="0" eb="2">
      <t>ノムラ</t>
    </rPh>
    <rPh sb="3" eb="4">
      <t>ナオ</t>
    </rPh>
    <rPh sb="4" eb="5">
      <t>ヒロシ</t>
    </rPh>
    <phoneticPr fontId="13"/>
  </si>
  <si>
    <t>保証書 ｷｰﾚｽ</t>
    <rPh sb="0" eb="3">
      <t>ホショウショ</t>
    </rPh>
    <phoneticPr fontId="13"/>
  </si>
  <si>
    <t>VR3UPHNKSNT046984</t>
    <phoneticPr fontId="13"/>
  </si>
  <si>
    <t>赤川 正吉</t>
    <rPh sb="0" eb="2">
      <t>アカガワ</t>
    </rPh>
    <rPh sb="3" eb="5">
      <t>マサヨシ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</si>
  <si>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</si>
  <si>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ｷｰﾚｽ ﾚﾝﾀｶｰ</t>
    <rPh sb="0" eb="3">
      <t>ホショウショ</t>
    </rPh>
    <phoneticPr fontId="13"/>
  </si>
  <si>
    <t>柏 530 ち 4812</t>
    <rPh sb="0" eb="1">
      <t>カシワ</t>
    </rPh>
    <phoneticPr fontId="13"/>
  </si>
  <si>
    <t>ﾄﾖﾀｶﾛｰﾗ千葉株式会社</t>
    <rPh sb="7" eb="9">
      <t>チバ</t>
    </rPh>
    <rPh sb="9" eb="13">
      <t>カブシキガイシャ</t>
    </rPh>
    <phoneticPr fontId="13"/>
  </si>
  <si>
    <t>ﾏｲｸﾛ地図SD ｷｰﾚｽ</t>
    <rPh sb="4" eb="6">
      <t>チズ</t>
    </rPh>
    <phoneticPr fontId="13"/>
  </si>
  <si>
    <t>三重 431 た 37</t>
    <rPh sb="0" eb="2">
      <t>ミエ</t>
    </rPh>
    <phoneticPr fontId="13"/>
  </si>
  <si>
    <t>三重ﾄﾖﾍﾟｯﾄ株式会社</t>
    <rPh sb="0" eb="2">
      <t>ミエ</t>
    </rPh>
    <rPh sb="8" eb="12">
      <t>カブシキガイシャ</t>
    </rPh>
    <phoneticPr fontId="13"/>
  </si>
  <si>
    <t>ﾘﾓｺﾝ(車内)ﾏｲｸﾛ地図SD</t>
    <rPh sb="5" eb="7">
      <t>シャナイ</t>
    </rPh>
    <rPh sb="12" eb="14">
      <t>チズ</t>
    </rPh>
    <phoneticPr fontId="13"/>
  </si>
  <si>
    <t>保証書 取説 ﾅﾋﾞ取 ﾏｲｸﾛ地図SD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</si>
  <si>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広島 386 つ 6</t>
    <rPh sb="0" eb="2">
      <t>ヒロシマ</t>
    </rPh>
    <phoneticPr fontId="13"/>
  </si>
  <si>
    <t>株式会社WECARSｵﾘｴﾝﾄｺｰﾎﾟﾚｰｼｮﾝ</t>
    <phoneticPr fontId="13"/>
  </si>
  <si>
    <t>福山 300 も 2093</t>
    <rPh sb="0" eb="2">
      <t>フクヤマ</t>
    </rPh>
    <phoneticPr fontId="13"/>
  </si>
  <si>
    <t>株式会社ｼﾞｬｯｸｽ</t>
    <rPh sb="0" eb="4">
      <t>カブシキガイシャ</t>
    </rPh>
    <phoneticPr fontId="13"/>
  </si>
  <si>
    <t xml:space="preserve">ﾏｲｸﾛ地図SD(車内)保証書 取説 ｷｰﾚｽ 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</si>
  <si>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27-3859</t>
  </si>
  <si>
    <t>27-3860</t>
  </si>
  <si>
    <t>27-3861</t>
  </si>
  <si>
    <t>27-3862</t>
  </si>
  <si>
    <t>27-3863</t>
  </si>
  <si>
    <t>27-3864</t>
  </si>
  <si>
    <t>27-3865</t>
  </si>
  <si>
    <t>27-3866</t>
  </si>
  <si>
    <t>27-3867</t>
  </si>
  <si>
    <t>27-3868</t>
  </si>
  <si>
    <t>27-3869</t>
  </si>
  <si>
    <t>27-3870</t>
  </si>
  <si>
    <t>NKE165-7236695</t>
    <phoneticPr fontId="13"/>
  </si>
  <si>
    <t>M900A-0562667</t>
    <phoneticPr fontId="13"/>
  </si>
  <si>
    <t>ZVW51-6071778</t>
    <phoneticPr fontId="13"/>
  </si>
  <si>
    <t>NHP10-2639355</t>
    <phoneticPr fontId="13"/>
  </si>
  <si>
    <t>M900A-0704510</t>
    <phoneticPr fontId="13"/>
  </si>
  <si>
    <t>DR17W-251071</t>
    <phoneticPr fontId="13"/>
  </si>
  <si>
    <t>非課税車処理済</t>
    <rPh sb="0" eb="4">
      <t>ヒカゼイシャ</t>
    </rPh>
    <rPh sb="4" eb="7">
      <t>ショリズミ</t>
    </rPh>
    <phoneticPr fontId="13"/>
  </si>
  <si>
    <t>MH95S-122818</t>
    <phoneticPr fontId="13"/>
  </si>
  <si>
    <t>MR41S-613366</t>
    <phoneticPr fontId="13"/>
  </si>
  <si>
    <t>B6AW-0119573</t>
    <phoneticPr fontId="13"/>
  </si>
  <si>
    <t>MH35S-109580</t>
    <phoneticPr fontId="13"/>
  </si>
  <si>
    <t>TRH200-5059992</t>
    <phoneticPr fontId="13"/>
  </si>
  <si>
    <t>27-3871</t>
  </si>
  <si>
    <t>27-3872</t>
  </si>
  <si>
    <t>27-3873</t>
  </si>
  <si>
    <t>27-3874</t>
  </si>
  <si>
    <t>27-3875</t>
  </si>
  <si>
    <t>27-3876</t>
  </si>
  <si>
    <t>27-3877</t>
  </si>
  <si>
    <t>27-3878</t>
  </si>
  <si>
    <t>27-3879</t>
  </si>
  <si>
    <t>ZRR80-0103020</t>
    <phoneticPr fontId="13"/>
  </si>
  <si>
    <t>ｶﾛｰﾗﾌｨｰﾙﾀﾞｰ　ﾊｲﾌﾞﾘｯﾄﾞ　FX</t>
    <phoneticPr fontId="13"/>
  </si>
  <si>
    <t>NKE165-7242159</t>
    <phoneticPr fontId="13"/>
  </si>
  <si>
    <t>DKEFW-101086</t>
    <phoneticPr fontId="13"/>
  </si>
  <si>
    <t>CX-3　20Sﾉｰﾌﾞﾙﾌﾞﾗｳﾝ</t>
    <phoneticPr fontId="13"/>
  </si>
  <si>
    <t>DKEFW-100775</t>
    <phoneticPr fontId="13"/>
  </si>
  <si>
    <t>NHP160-0028516</t>
    <phoneticPr fontId="13"/>
  </si>
  <si>
    <t>27-3880</t>
  </si>
  <si>
    <t>27-3881</t>
  </si>
  <si>
    <t>27-3882</t>
  </si>
  <si>
    <t>27-3883</t>
  </si>
  <si>
    <t>27-3884</t>
  </si>
  <si>
    <t>27-3885</t>
  </si>
  <si>
    <t>27-3886</t>
  </si>
  <si>
    <t>27-3887</t>
  </si>
  <si>
    <t>27-3888</t>
  </si>
  <si>
    <t>27-3889</t>
  </si>
  <si>
    <t>27-3890</t>
  </si>
  <si>
    <t>27-3891</t>
  </si>
  <si>
    <t>27-3892</t>
  </si>
  <si>
    <t>27-3893</t>
  </si>
  <si>
    <t>27-3894</t>
  </si>
  <si>
    <t>27-3895</t>
  </si>
  <si>
    <t>27-3896</t>
  </si>
  <si>
    <t>27-3897</t>
  </si>
  <si>
    <t>27-3898</t>
  </si>
  <si>
    <t>LA100S-0280222</t>
    <phoneticPr fontId="13"/>
  </si>
  <si>
    <t>ZVW30-5710346</t>
    <phoneticPr fontId="13"/>
  </si>
  <si>
    <t>NHP10-2244803</t>
    <phoneticPr fontId="13"/>
  </si>
  <si>
    <t>LA150S-2141563</t>
    <phoneticPr fontId="13"/>
  </si>
  <si>
    <t>LA250S-0013016</t>
    <phoneticPr fontId="13"/>
  </si>
  <si>
    <t>LA350S-0291744</t>
    <phoneticPr fontId="13"/>
  </si>
  <si>
    <t>DA17V-492750</t>
    <phoneticPr fontId="13"/>
  </si>
  <si>
    <t>S700V-0015426</t>
    <phoneticPr fontId="13"/>
  </si>
  <si>
    <t>MR41S-102267</t>
    <phoneticPr fontId="13"/>
  </si>
  <si>
    <t>JB23W-745049</t>
    <phoneticPr fontId="13"/>
  </si>
  <si>
    <t>LA800S-0226359</t>
    <phoneticPr fontId="13"/>
  </si>
  <si>
    <t>ｺﾍﾟﾝ　20ｔｈｱﾆﾊﾞｰｻﾘｰ</t>
    <phoneticPr fontId="13"/>
  </si>
  <si>
    <t>LA400K-0052330</t>
    <phoneticPr fontId="13"/>
  </si>
  <si>
    <t>ｴｸｽﾄﾚｲﾙ　20X</t>
    <phoneticPr fontId="13"/>
  </si>
  <si>
    <t>NT32-080559</t>
    <phoneticPr fontId="13"/>
  </si>
  <si>
    <t>ZSU60-0139669</t>
    <phoneticPr fontId="13"/>
  </si>
  <si>
    <t>JB64W-317266</t>
    <phoneticPr fontId="13"/>
  </si>
  <si>
    <t>JB64W-108756</t>
    <phoneticPr fontId="13"/>
  </si>
  <si>
    <t>RP3-1232372</t>
    <phoneticPr fontId="13"/>
  </si>
  <si>
    <t>BMWﾐﾆｸｰﾊﾟｰD　</t>
    <phoneticPr fontId="13"/>
  </si>
  <si>
    <t>WMWXN320802H82616</t>
    <phoneticPr fontId="13"/>
  </si>
  <si>
    <t>WBAJM720X0G637710</t>
    <phoneticPr fontId="13"/>
  </si>
  <si>
    <t>LA440K-0010847</t>
    <phoneticPr fontId="13"/>
  </si>
  <si>
    <t>ZRR80-0126537</t>
    <phoneticPr fontId="13"/>
  </si>
  <si>
    <t>MR41S-375863</t>
    <phoneticPr fontId="13"/>
  </si>
  <si>
    <t>LA350S-0167555</t>
    <phoneticPr fontId="13"/>
  </si>
  <si>
    <t>LA350S-0263576</t>
    <phoneticPr fontId="13"/>
  </si>
  <si>
    <t>GP5-3025686</t>
    <phoneticPr fontId="13"/>
  </si>
  <si>
    <t>ｸﾞﾛﾘｱ　ﾌﾞﾛｱﾑ</t>
    <phoneticPr fontId="13"/>
  </si>
  <si>
    <t>PY32-419003</t>
    <phoneticPr fontId="13"/>
  </si>
  <si>
    <t>ﾐﾗｼﾞｰﾉ</t>
    <phoneticPr fontId="13"/>
  </si>
  <si>
    <t>L700S-0338762</t>
    <phoneticPr fontId="13"/>
  </si>
  <si>
    <t>HE22S-274640</t>
    <phoneticPr fontId="13"/>
  </si>
  <si>
    <t>ﾊﾟﾚｯﾄSW　ﾘﾐﾃｯﾄﾞⅡ</t>
    <phoneticPr fontId="13"/>
  </si>
  <si>
    <t>MK21S-415434</t>
    <phoneticPr fontId="13"/>
  </si>
  <si>
    <t>27-3899</t>
  </si>
  <si>
    <t>27-3900</t>
  </si>
  <si>
    <t>27-3901</t>
  </si>
  <si>
    <t>27-3902</t>
  </si>
  <si>
    <t>27-3903</t>
  </si>
  <si>
    <t>27-3904</t>
  </si>
  <si>
    <t>27-3905</t>
  </si>
  <si>
    <t>27-3906</t>
  </si>
  <si>
    <t>27-3907</t>
  </si>
  <si>
    <t>27-3908</t>
  </si>
  <si>
    <t>27-3909</t>
  </si>
  <si>
    <t>27-3910</t>
  </si>
  <si>
    <t>27-3911</t>
  </si>
  <si>
    <t>27-3912</t>
  </si>
  <si>
    <t>27-3913</t>
  </si>
  <si>
    <t>27-3914</t>
  </si>
  <si>
    <t>27-3915</t>
  </si>
  <si>
    <t>27-3916</t>
  </si>
  <si>
    <t>LA350S-0251865</t>
    <phoneticPr fontId="13"/>
  </si>
  <si>
    <t>S321V-0444805</t>
    <phoneticPr fontId="13"/>
  </si>
  <si>
    <t>DA17V-327625</t>
    <phoneticPr fontId="13"/>
  </si>
  <si>
    <t>GR3-1323680</t>
    <phoneticPr fontId="13"/>
  </si>
  <si>
    <t>JG1-3203908</t>
    <phoneticPr fontId="13"/>
  </si>
  <si>
    <t>GR3-1323616</t>
    <phoneticPr fontId="13"/>
  </si>
  <si>
    <t>MXPH10-2122809</t>
    <phoneticPr fontId="13"/>
  </si>
  <si>
    <t>MXPH10-2123116</t>
    <phoneticPr fontId="13"/>
  </si>
  <si>
    <t>MXPH10-2122977</t>
    <phoneticPr fontId="13"/>
  </si>
  <si>
    <t>MXPK11-2121196</t>
    <phoneticPr fontId="13"/>
  </si>
  <si>
    <t>GR3-1323615</t>
    <phoneticPr fontId="13"/>
  </si>
  <si>
    <t>MXPK11-2121049</t>
    <phoneticPr fontId="13"/>
  </si>
  <si>
    <t>27-3917</t>
  </si>
  <si>
    <t>27-3918</t>
  </si>
  <si>
    <t>27-3919</t>
  </si>
  <si>
    <t>27-3920</t>
  </si>
  <si>
    <t>27-3921</t>
  </si>
  <si>
    <t>27-3922</t>
  </si>
  <si>
    <t>27-3923</t>
  </si>
  <si>
    <t>27-3924</t>
  </si>
  <si>
    <t>27-3925</t>
  </si>
  <si>
    <t>27-3926</t>
  </si>
  <si>
    <t>27-3927</t>
  </si>
  <si>
    <t>27-3929</t>
  </si>
  <si>
    <t>27-3930</t>
  </si>
  <si>
    <t>27-3931</t>
  </si>
  <si>
    <t>27-3932</t>
  </si>
  <si>
    <t>27-3933</t>
  </si>
  <si>
    <t>27-3934</t>
  </si>
  <si>
    <t>27-3935</t>
  </si>
  <si>
    <t>27-3936</t>
  </si>
  <si>
    <t>27-3937</t>
  </si>
  <si>
    <t>27-3938</t>
  </si>
  <si>
    <t>27-3939</t>
  </si>
  <si>
    <t>27-3940</t>
  </si>
  <si>
    <t>27-3941</t>
  </si>
  <si>
    <t>A344023</t>
    <phoneticPr fontId="13"/>
  </si>
  <si>
    <t>MZAH10-2115916</t>
    <phoneticPr fontId="13"/>
  </si>
  <si>
    <t>A340372</t>
    <phoneticPr fontId="13"/>
  </si>
  <si>
    <t>WDD2383662F005129</t>
    <phoneticPr fontId="13"/>
  </si>
  <si>
    <t>A342605</t>
    <phoneticPr fontId="13"/>
  </si>
  <si>
    <t>GS4-1006686</t>
    <phoneticPr fontId="13"/>
  </si>
  <si>
    <t>A340781</t>
    <phoneticPr fontId="13"/>
  </si>
  <si>
    <t>VR7ECYHZRMJ818745</t>
    <phoneticPr fontId="13"/>
  </si>
  <si>
    <t>A342501</t>
    <phoneticPr fontId="13"/>
  </si>
  <si>
    <t>MH55S-140765</t>
    <phoneticPr fontId="13"/>
  </si>
  <si>
    <t>A341665</t>
    <phoneticPr fontId="13"/>
  </si>
  <si>
    <t>GDH201-1112833</t>
    <phoneticPr fontId="13"/>
  </si>
  <si>
    <t>ﾒﾀﾘｯｸ</t>
    <phoneticPr fontId="13"/>
  </si>
  <si>
    <t>ﾑｰｳﾞｶｽﾀﾑ　RS　SA</t>
    <phoneticPr fontId="13"/>
  </si>
  <si>
    <t>富士山　581　こ　2912</t>
    <rPh sb="0" eb="3">
      <t>フジヤマ</t>
    </rPh>
    <phoneticPr fontId="13"/>
  </si>
  <si>
    <t>ﾌﾟﾘｳｽ　S　ﾏｲｺｰﾃﾞ</t>
    <phoneticPr fontId="13"/>
  </si>
  <si>
    <t>尾張小牧　302　せ　968</t>
    <rPh sb="0" eb="4">
      <t>オバリコマキ</t>
    </rPh>
    <phoneticPr fontId="13"/>
  </si>
  <si>
    <t>9/3/22</t>
    <phoneticPr fontId="13"/>
  </si>
  <si>
    <t>浜松　59X　ち　358</t>
    <rPh sb="0" eb="2">
      <t>ハママツ</t>
    </rPh>
    <phoneticPr fontId="13"/>
  </si>
  <si>
    <t>ｱｸｱ　S</t>
    <phoneticPr fontId="13"/>
  </si>
  <si>
    <t>岐阜　503　さ　5223</t>
    <rPh sb="0" eb="2">
      <t>ギフ</t>
    </rPh>
    <phoneticPr fontId="13"/>
  </si>
  <si>
    <t>ﾑｰｳﾞ　XﾘﾐﾃｯﾄﾞⅡ</t>
    <phoneticPr fontId="13"/>
  </si>
  <si>
    <t>松本　581　く　4103</t>
    <rPh sb="0" eb="2">
      <t>マツモト</t>
    </rPh>
    <phoneticPr fontId="13"/>
  </si>
  <si>
    <t>ｷｬｽﾄ　ｱｸﾃｨﾊﾞG　SaⅡ</t>
    <phoneticPr fontId="13"/>
  </si>
  <si>
    <t>三河　580　め　7828</t>
    <rPh sb="0" eb="2">
      <t>ミカワ</t>
    </rPh>
    <phoneticPr fontId="13"/>
  </si>
  <si>
    <t>保証書　取説　ｽﾍﾟｱｷｰ</t>
    <rPh sb="4" eb="6">
      <t>トリセツ</t>
    </rPh>
    <phoneticPr fontId="13"/>
  </si>
  <si>
    <t>8/12/8</t>
    <phoneticPr fontId="13"/>
  </si>
  <si>
    <t>浜松　792　み　358</t>
    <rPh sb="0" eb="2">
      <t>ハママツ</t>
    </rPh>
    <phoneticPr fontId="13"/>
  </si>
  <si>
    <t>保証書　取説（抜粋版）　ﾜﾝｵｰﾅｰ</t>
    <rPh sb="4" eb="6">
      <t>トリセツ</t>
    </rPh>
    <rPh sb="7" eb="10">
      <t>バッスイバン</t>
    </rPh>
    <phoneticPr fontId="13"/>
  </si>
  <si>
    <t>名古屋　480　ふ　1919</t>
    <rPh sb="0" eb="3">
      <t>ナゴヤ</t>
    </rPh>
    <phoneticPr fontId="13"/>
  </si>
  <si>
    <t>ｱﾄﾚｰﾜｺﾞﾝ　RS</t>
    <phoneticPr fontId="13"/>
  </si>
  <si>
    <t>10/3/5</t>
    <phoneticPr fontId="13"/>
  </si>
  <si>
    <t>三重　486　め　77</t>
    <rPh sb="0" eb="2">
      <t>ミエ</t>
    </rPh>
    <phoneticPr fontId="13"/>
  </si>
  <si>
    <t>名古屋　58A　み　8477</t>
    <rPh sb="0" eb="3">
      <t>ナゴヤ</t>
    </rPh>
    <phoneticPr fontId="13"/>
  </si>
  <si>
    <t>ﾑｰｳﾞｷｬﾝﾊﾞｽ　X　SaⅢ</t>
    <phoneticPr fontId="13"/>
  </si>
  <si>
    <t>名古屋　58A　み　9230</t>
    <rPh sb="0" eb="3">
      <t>ナゴヤ</t>
    </rPh>
    <phoneticPr fontId="13"/>
  </si>
  <si>
    <t>ﾚｸｻｽ　UX250ｈFｽﾎﾟｰﾂ</t>
    <phoneticPr fontId="13"/>
  </si>
  <si>
    <t>8/11/16</t>
    <phoneticPr fontId="13"/>
  </si>
  <si>
    <t>MﾍﾞﾝﾂE400　4ﾏﾁｯｸ　ｸｰﾍﾟｽﾎﾟｰﾂ</t>
    <phoneticPr fontId="13"/>
  </si>
  <si>
    <t>8/7/11</t>
    <phoneticPr fontId="13"/>
  </si>
  <si>
    <t>ﾌｨｯﾄ　RS</t>
    <phoneticPr fontId="13"/>
  </si>
  <si>
    <t>8/12/23</t>
    <phoneticPr fontId="13"/>
  </si>
  <si>
    <t>ﾊｲｴｰｽﾊﾞﾝ　ｽｰﾊﾟｰGL　ﾀﾞｰｸﾌﾟﾗｲﾑS</t>
    <phoneticPr fontId="13"/>
  </si>
  <si>
    <t>VF1KW14B3L0818586</t>
    <phoneticPr fontId="13"/>
  </si>
  <si>
    <t>ｶﾛｰﾗﾌｨｰﾙﾀﾞｰ　ﾊｲﾌﾞﾘｯﾄﾞ　EX</t>
    <phoneticPr fontId="13"/>
  </si>
  <si>
    <t>京都　558　も　358</t>
    <rPh sb="0" eb="2">
      <t>キョウト</t>
    </rPh>
    <phoneticPr fontId="13"/>
  </si>
  <si>
    <t>ﾙｰﾐｰｶｽﾀﾑ　ｶｽﾀﾑG</t>
    <phoneticPr fontId="13"/>
  </si>
  <si>
    <t>滋賀　561　や　1188</t>
    <rPh sb="0" eb="2">
      <t>シガ</t>
    </rPh>
    <phoneticPr fontId="13"/>
  </si>
  <si>
    <t>10/4/22</t>
    <phoneticPr fontId="13"/>
  </si>
  <si>
    <t>保証書　取説　ﾅﾋﾞ取　SD　ｽﾏｰﾄｷｰ　ﾜﾝｵｰﾅｰ</t>
    <rPh sb="0" eb="3">
      <t>ホショウショ</t>
    </rPh>
    <rPh sb="4" eb="6">
      <t>トリセツ</t>
    </rPh>
    <rPh sb="10" eb="11">
      <t>トリ</t>
    </rPh>
    <phoneticPr fontId="13"/>
  </si>
  <si>
    <t>ﾌﾟﾘｳｽ　Aﾌﾟﾚﾐｱﾑﾂｰﾘﾝｸﾞｾﾚｸｼｮﾝ</t>
    <phoneticPr fontId="13"/>
  </si>
  <si>
    <t>なにわ　332　や　709</t>
    <phoneticPr fontId="13"/>
  </si>
  <si>
    <t>なにわ　502　と　764</t>
    <phoneticPr fontId="13"/>
  </si>
  <si>
    <t>ﾊｲｴｰｽﾊﾞﾝ　DX</t>
    <phoneticPr fontId="13"/>
  </si>
  <si>
    <t>なにわ　400　め　90</t>
    <phoneticPr fontId="13"/>
  </si>
  <si>
    <t>ﾙｰﾐｰｶｽﾀﾑ　G-T</t>
    <phoneticPr fontId="13"/>
  </si>
  <si>
    <t>和歌山　549　に　55</t>
    <rPh sb="0" eb="3">
      <t>ワカヤマ</t>
    </rPh>
    <phoneticPr fontId="13"/>
  </si>
  <si>
    <t>保証書　取説　ﾅﾋﾞ取　SD　ｽﾏｰﾄｷｰ　</t>
    <rPh sb="0" eb="3">
      <t>ホショウショ</t>
    </rPh>
    <rPh sb="4" eb="6">
      <t>トリセツ</t>
    </rPh>
    <rPh sb="10" eb="11">
      <t>トリ</t>
    </rPh>
    <phoneticPr fontId="13"/>
  </si>
  <si>
    <t>NV100ｸﾘｯﾊﾟｰﾘｵ　ﾁｪｱｷｬﾌﾞｽﾛｰﾌﾟﾀｲﾌﾟ</t>
    <phoneticPr fontId="13"/>
  </si>
  <si>
    <t>保証書　ﾘﾓｺﾝ</t>
    <rPh sb="0" eb="3">
      <t>ホショウショ</t>
    </rPh>
    <phoneticPr fontId="13"/>
  </si>
  <si>
    <t>ﾊｽﾗｰ　JｽﾀｲﾙⅡﾀｰﾎﾞ</t>
    <phoneticPr fontId="13"/>
  </si>
  <si>
    <t>大阪　581　と　4272</t>
    <rPh sb="0" eb="2">
      <t>オオサカ</t>
    </rPh>
    <phoneticPr fontId="13"/>
  </si>
  <si>
    <t>10/1/9</t>
    <phoneticPr fontId="13"/>
  </si>
  <si>
    <t>ｻｸﾗ　G</t>
    <phoneticPr fontId="13"/>
  </si>
  <si>
    <t>保証書　取説　充電ｹｰﾌﾞﾙ</t>
    <rPh sb="0" eb="3">
      <t>ホショウショ</t>
    </rPh>
    <rPh sb="4" eb="6">
      <t>トリセツ</t>
    </rPh>
    <rPh sb="7" eb="9">
      <t>ジュウデン</t>
    </rPh>
    <phoneticPr fontId="13"/>
  </si>
  <si>
    <t>9/12/14</t>
    <phoneticPr fontId="13"/>
  </si>
  <si>
    <t>保証書　取説　地図SD　ｽﾏｰﾄｷｰ　ｶｰﾄﾞｷｰ　ﾜﾝｵｰﾅｰ</t>
    <rPh sb="0" eb="3">
      <t>ホショウショ</t>
    </rPh>
    <rPh sb="4" eb="6">
      <t>トリセツ</t>
    </rPh>
    <rPh sb="7" eb="9">
      <t>チズ</t>
    </rPh>
    <phoneticPr fontId="13"/>
  </si>
  <si>
    <t>保証書　取説　地図SD　ｽﾏｰﾄｷｰ</t>
    <rPh sb="0" eb="3">
      <t>ホショウショ</t>
    </rPh>
    <rPh sb="4" eb="6">
      <t>トリセツ</t>
    </rPh>
    <rPh sb="7" eb="9">
      <t>チズ</t>
    </rPh>
    <phoneticPr fontId="13"/>
  </si>
  <si>
    <t>ｽﾃｯﾌﾟﾜｺﾞﾝ　ｽﾊﾟｰﾀﾞ　ﾎﾝﾀﾞｾﾝｼﾝｸﾞ</t>
    <phoneticPr fontId="13"/>
  </si>
  <si>
    <t>保証書　取説　BMWﾃﾞｨｰﾗｰ記録簿　　ｽﾏｰﾄｷｰX2（ﾘｽﾄに記載有）</t>
    <rPh sb="0" eb="3">
      <t>ホショウショ</t>
    </rPh>
    <rPh sb="4" eb="6">
      <t>トリセツ</t>
    </rPh>
    <rPh sb="16" eb="19">
      <t>キロクボ</t>
    </rPh>
    <rPh sb="34" eb="37">
      <t>キサイアリ</t>
    </rPh>
    <phoneticPr fontId="13"/>
  </si>
  <si>
    <t>BMW523ｄ　ﾂｰﾘﾝｸﾞ　ﾗｸﾞｼﾞｭｱﾘｰ</t>
    <phoneticPr fontId="13"/>
  </si>
  <si>
    <t>保証書　取説　BMWﾃﾞｨｰﾗｰ記録簿　　ﾃﾞｨｽﾌﾟﾚｲｷｰ</t>
    <rPh sb="0" eb="3">
      <t>ホショウショ</t>
    </rPh>
    <rPh sb="4" eb="6">
      <t>トリセツ</t>
    </rPh>
    <rPh sb="16" eb="19">
      <t>キロクボ</t>
    </rPh>
    <phoneticPr fontId="13"/>
  </si>
  <si>
    <t>ﾌｨｯﾄ　ﾊｲﾌﾞﾘｯﾄﾞ　Lﾊﾟｯｹｰｼﾞ</t>
    <phoneticPr fontId="13"/>
  </si>
  <si>
    <t>16/6</t>
    <phoneticPr fontId="13"/>
  </si>
  <si>
    <t>MﾍﾞﾝﾂCLA180　ｼｭｰﾃｨﾝｸﾞﾌﾞﾚｰｸAMGﾗｲﾝ</t>
    <phoneticPr fontId="13"/>
  </si>
  <si>
    <t>W1K1186842N176467</t>
    <phoneticPr fontId="13"/>
  </si>
  <si>
    <t>WMW12DV0902R18846</t>
    <phoneticPr fontId="13"/>
  </si>
  <si>
    <t>豊橋　301　の　5917</t>
    <rPh sb="0" eb="2">
      <t>トヨハシ</t>
    </rPh>
    <phoneticPr fontId="13"/>
  </si>
  <si>
    <t>ﾊｲｾﾞｯﾄｶｰｺﾞ　法人仕様車</t>
    <rPh sb="11" eb="16">
      <t>ホウジンシヨウシャ</t>
    </rPh>
    <phoneticPr fontId="13"/>
  </si>
  <si>
    <t>ﾌｨｯﾄ　ﾊｲﾌﾞﾘｯﾄﾞ　eHEVﾍﾞｰｼｯｸ</t>
    <phoneticPr fontId="13"/>
  </si>
  <si>
    <t>保証書　取説　ｽﾏｰﾄｷｰ　ﾚﾝﾀｶｰ</t>
    <rPh sb="0" eb="3">
      <t>ホショウショ</t>
    </rPh>
    <rPh sb="4" eb="6">
      <t>トリセツ</t>
    </rPh>
    <phoneticPr fontId="13"/>
  </si>
  <si>
    <t>N　ONE　G　ﾛｰﾀﾞｳﾝ</t>
    <phoneticPr fontId="13"/>
  </si>
  <si>
    <t>ﾔﾘｽ　ﾊｲﾌﾞﾘｯﾄﾞX</t>
    <phoneticPr fontId="13"/>
  </si>
  <si>
    <t>保証書　取説　ﾅﾋﾞ取　ｽﾏｰﾄｷｰ　ﾚﾝﾀｶｰ</t>
    <rPh sb="0" eb="3">
      <t>ホショウショ</t>
    </rPh>
    <rPh sb="4" eb="6">
      <t>トリセツ</t>
    </rPh>
    <rPh sb="10" eb="11">
      <t>トリ</t>
    </rPh>
    <phoneticPr fontId="13"/>
  </si>
  <si>
    <t>27-3928</t>
    <phoneticPr fontId="13"/>
  </si>
  <si>
    <t>NKE165-8016116</t>
    <phoneticPr fontId="13"/>
  </si>
  <si>
    <t>DA17V-742729</t>
    <phoneticPr fontId="13"/>
  </si>
  <si>
    <t>LA350S-0336239</t>
    <phoneticPr fontId="13"/>
  </si>
  <si>
    <t>NSP160-0057228</t>
    <phoneticPr fontId="13"/>
  </si>
  <si>
    <t>ｶﾛｰﾗﾌｨｰﾙﾀﾞｰ　ﾊｲﾌﾞﾘｯﾄﾞ　G</t>
    <phoneticPr fontId="13"/>
  </si>
  <si>
    <t>NKE165-7251053</t>
    <phoneticPr fontId="13"/>
  </si>
  <si>
    <t>NKE165-7251471</t>
    <phoneticPr fontId="13"/>
  </si>
  <si>
    <t>LA650S-0323993</t>
    <phoneticPr fontId="13"/>
  </si>
  <si>
    <t>ZVW51-6172139</t>
    <phoneticPr fontId="13"/>
  </si>
  <si>
    <t>ｱｸｱ　Sｽﾀｲﾙﾌﾞﾗｯｸ</t>
    <phoneticPr fontId="13"/>
  </si>
  <si>
    <t>NHP10-6816502</t>
    <phoneticPr fontId="13"/>
  </si>
  <si>
    <t>LA900S-0131992</t>
    <phoneticPr fontId="13"/>
  </si>
  <si>
    <t>MﾍﾞﾝﾂA35　4ﾏﾁｯｸ</t>
    <phoneticPr fontId="13"/>
  </si>
  <si>
    <t>ｱﾙﾌｧﾛﾒｵｼﾞｭﾘｴｯﾀ　ｳﾞｪﾛｰﾁｪ1750TBI</t>
    <phoneticPr fontId="13"/>
  </si>
  <si>
    <t>ZAR94000007548626</t>
    <phoneticPr fontId="13"/>
  </si>
  <si>
    <t>京都　331　そ　468</t>
    <rPh sb="0" eb="2">
      <t>キョウト</t>
    </rPh>
    <phoneticPr fontId="13"/>
  </si>
  <si>
    <t>保証書　取説　地図SD　　ﾃﾞｨｰﾗｰ記録簿有り（R3.R4.R5.R7）</t>
    <rPh sb="0" eb="3">
      <t>ホショウショ</t>
    </rPh>
    <rPh sb="4" eb="6">
      <t>トリセツ</t>
    </rPh>
    <rPh sb="7" eb="9">
      <t>チズ</t>
    </rPh>
    <rPh sb="19" eb="22">
      <t>キロクボ</t>
    </rPh>
    <rPh sb="22" eb="23">
      <t>ア</t>
    </rPh>
    <phoneticPr fontId="13"/>
  </si>
  <si>
    <t>神戸　505　た　2404</t>
    <rPh sb="0" eb="2">
      <t>コウベ</t>
    </rPh>
    <phoneticPr fontId="13"/>
  </si>
  <si>
    <t>WMWXM520703A55542</t>
    <phoneticPr fontId="13"/>
  </si>
  <si>
    <t>8/12/3</t>
    <phoneticPr fontId="13"/>
  </si>
  <si>
    <t>奈良　335　の　8338</t>
    <rPh sb="0" eb="2">
      <t>ナラ</t>
    </rPh>
    <phoneticPr fontId="13"/>
  </si>
  <si>
    <t>10/2/14</t>
    <phoneticPr fontId="13"/>
  </si>
  <si>
    <t>所沢　586　や　31</t>
    <rPh sb="0" eb="2">
      <t>トコロザワ</t>
    </rPh>
    <phoneticPr fontId="13"/>
  </si>
  <si>
    <t>W1K770512V061739</t>
    <phoneticPr fontId="13"/>
  </si>
  <si>
    <t>奈良　480　た　3837</t>
    <rPh sb="0" eb="2">
      <t>ナラ</t>
    </rPh>
    <phoneticPr fontId="13"/>
  </si>
  <si>
    <t>澤 昌吾</t>
    <rPh sb="0" eb="1">
      <t>サワ</t>
    </rPh>
    <rPh sb="2" eb="3">
      <t>ショウ</t>
    </rPh>
    <rPh sb="3" eb="4">
      <t>ワレ</t>
    </rPh>
    <phoneticPr fontId="13"/>
  </si>
  <si>
    <t>保証書 取説 ﾅﾋﾞ取 ｽﾍﾟｱｷｰ ﾐﾆB-CAS 録音SD</t>
    <rPh sb="0" eb="3">
      <t>ホショウショ</t>
    </rPh>
    <rPh sb="4" eb="6">
      <t>トリセツ</t>
    </rPh>
    <rPh sb="10" eb="11">
      <t>トリ</t>
    </rPh>
    <rPh sb="27" eb="29">
      <t>ロクオン</t>
    </rPh>
    <phoneticPr fontId="13"/>
  </si>
  <si>
    <t>島根 581 ろ 9213</t>
    <rPh sb="0" eb="2">
      <t>シマネ</t>
    </rPh>
    <phoneticPr fontId="13"/>
  </si>
  <si>
    <t>取説 ｷｰﾚｽ(車内)保証書 SD ﾜﾝｵｰﾅｰ</t>
    <rPh sb="0" eb="2">
      <t>トリセツ</t>
    </rPh>
    <rPh sb="11" eb="14">
      <t>ホショウショ</t>
    </rPh>
    <phoneticPr fontId="13"/>
  </si>
  <si>
    <t>大塚 英明</t>
    <rPh sb="0" eb="2">
      <t>オオツカ</t>
    </rPh>
    <rPh sb="3" eb="5">
      <t>ヒデアキ</t>
    </rPh>
    <phoneticPr fontId="13"/>
  </si>
  <si>
    <t>ｽﾍﾟｱｷｰ 地図SD(車内)保証書 取説</t>
    <rPh sb="7" eb="9">
      <t>チズ</t>
    </rPh>
    <rPh sb="13" eb="14">
      <t>ナイ</t>
    </rPh>
    <rPh sb="15" eb="18">
      <t>ホショウショ</t>
    </rPh>
    <rPh sb="19" eb="21">
      <t>トリセツ</t>
    </rPh>
    <phoneticPr fontId="13"/>
  </si>
  <si>
    <t>GLAD CRE8株式会社</t>
    <rPh sb="9" eb="13">
      <t>カブシキガイシャ</t>
    </rPh>
    <phoneticPr fontId="13"/>
  </si>
  <si>
    <t>沖縄 332 に 1027</t>
    <rPh sb="0" eb="2">
      <t>オキナワ</t>
    </rPh>
    <phoneticPr fontId="13"/>
  </si>
  <si>
    <t>ﾄﾖﾀｶﾛｰﾗ名古屋株式会社</t>
    <rPh sb="7" eb="14">
      <t>ナゴヤカブシキガイシャ</t>
    </rPh>
    <phoneticPr fontId="13"/>
  </si>
  <si>
    <t>ｷｬﾝｾﾙ4/6返送</t>
    <rPh sb="8" eb="10">
      <t>ヘンソウ</t>
    </rPh>
    <phoneticPr fontId="13"/>
  </si>
  <si>
    <t>301 ね 9675</t>
    <phoneticPr fontId="13"/>
  </si>
  <si>
    <t>301 ね 9676</t>
    <phoneticPr fontId="13"/>
  </si>
  <si>
    <t>501 ゆ 5681</t>
    <phoneticPr fontId="13"/>
  </si>
  <si>
    <t>A342652</t>
    <phoneticPr fontId="13"/>
  </si>
  <si>
    <t>GDJ250-0012244</t>
    <phoneticPr fontId="13"/>
  </si>
  <si>
    <t>10/3/11</t>
    <phoneticPr fontId="13"/>
  </si>
  <si>
    <t>WMWXS720102C47563</t>
    <phoneticPr fontId="13"/>
  </si>
  <si>
    <t>春日井 310 の 2005</t>
    <rPh sb="0" eb="3">
      <t>カスガイ</t>
    </rPh>
    <phoneticPr fontId="13"/>
  </si>
  <si>
    <t>名古屋 307 さ 8217</t>
    <rPh sb="0" eb="3">
      <t>ナゴヤ</t>
    </rPh>
    <phoneticPr fontId="13"/>
  </si>
  <si>
    <t>尾張小牧 362 に 15</t>
    <rPh sb="0" eb="4">
      <t>オワリコマキ</t>
    </rPh>
    <phoneticPr fontId="13"/>
  </si>
  <si>
    <t>渥美 千恵</t>
    <rPh sb="0" eb="2">
      <t>アツミ</t>
    </rPh>
    <rPh sb="3" eb="5">
      <t>チエ</t>
    </rPh>
    <phoneticPr fontId="13"/>
  </si>
  <si>
    <t>保証書 取説 ﾅﾋﾞ取 ｷｰﾚｽ ﾘﾓｺﾝ3個 印鑑証明6/13まで</t>
    <rPh sb="0" eb="3">
      <t>ホショウショ</t>
    </rPh>
    <rPh sb="4" eb="6">
      <t>トリセツ</t>
    </rPh>
    <rPh sb="10" eb="11">
      <t>トリ</t>
    </rPh>
    <rPh sb="22" eb="23">
      <t>コ</t>
    </rPh>
    <rPh sb="24" eb="28">
      <t>インカンショウメイ</t>
    </rPh>
    <phoneticPr fontId="13"/>
  </si>
  <si>
    <t>京都 480 み 9912</t>
    <rPh sb="0" eb="2">
      <t>キョウト</t>
    </rPh>
    <phoneticPr fontId="13"/>
  </si>
  <si>
    <t>株式会社triples</t>
    <rPh sb="0" eb="4">
      <t>カブシキガイシャ</t>
    </rPh>
    <phoneticPr fontId="13"/>
  </si>
  <si>
    <t>大宮 581 も 9806</t>
    <rPh sb="0" eb="2">
      <t>オオミヤ</t>
    </rPh>
    <phoneticPr fontId="13"/>
  </si>
  <si>
    <t>ｷｰﾚｽ(車内)保証書 取説 ﾅﾝﾊﾞｰ ﾘﾓｺﾝ</t>
    <rPh sb="8" eb="11">
      <t>ホショウショ</t>
    </rPh>
    <rPh sb="12" eb="14">
      <t>トリセツ</t>
    </rPh>
    <phoneticPr fontId="13"/>
  </si>
  <si>
    <t>姫路 301 ね 8420</t>
    <rPh sb="0" eb="2">
      <t>ヒメジ</t>
    </rPh>
    <phoneticPr fontId="13"/>
  </si>
  <si>
    <t>保証書 取説 ｷｰﾚｽ ﾏｲｸﾛ地図SD ﾐﾆB-CASｶｰﾄﾞ ﾜﾝｵｰﾅｰ</t>
    <rPh sb="0" eb="3">
      <t>ホショウショ</t>
    </rPh>
    <rPh sb="4" eb="6">
      <t>トリセツ</t>
    </rPh>
    <rPh sb="16" eb="18">
      <t>チズ</t>
    </rPh>
    <phoneticPr fontId="13"/>
  </si>
  <si>
    <t>480 ね 5351</t>
    <phoneticPr fontId="13"/>
  </si>
  <si>
    <t>582 う 6523</t>
    <phoneticPr fontId="13"/>
  </si>
  <si>
    <t>480 ね 5352</t>
    <phoneticPr fontId="13"/>
  </si>
  <si>
    <t>582 う 6522</t>
    <phoneticPr fontId="13"/>
  </si>
  <si>
    <t>582 う 6521</t>
    <phoneticPr fontId="13"/>
  </si>
  <si>
    <t>582 う 6524</t>
    <phoneticPr fontId="13"/>
  </si>
  <si>
    <t>地図SD(車内)保証書 取説 ｷｰﾚｽ2個</t>
    <rPh sb="0" eb="2">
      <t>チズ</t>
    </rPh>
    <rPh sb="8" eb="11">
      <t>ホショウショ</t>
    </rPh>
    <rPh sb="12" eb="14">
      <t>トリセツ</t>
    </rPh>
    <rPh sb="20" eb="21">
      <t>コ</t>
    </rPh>
    <phoneticPr fontId="13"/>
  </si>
  <si>
    <t>USS神戸売 保証書印なしそのまま送る</t>
    <rPh sb="3" eb="5">
      <t>コウベ</t>
    </rPh>
    <rPh sb="5" eb="6">
      <t>バイ</t>
    </rPh>
    <rPh sb="7" eb="10">
      <t>ホショウショ</t>
    </rPh>
    <rPh sb="10" eb="11">
      <t>イン</t>
    </rPh>
    <rPh sb="17" eb="18">
      <t>オク</t>
    </rPh>
    <phoneticPr fontId="13"/>
  </si>
  <si>
    <t>石川 300 む 8464</t>
    <rPh sb="0" eb="2">
      <t>イシカワ</t>
    </rPh>
    <phoneticPr fontId="13"/>
  </si>
  <si>
    <t>木下 義隆</t>
    <rPh sb="0" eb="2">
      <t>キノシタ</t>
    </rPh>
    <rPh sb="3" eb="5">
      <t>ヨシタカ</t>
    </rPh>
    <phoneticPr fontId="13"/>
  </si>
  <si>
    <t>A343533</t>
    <phoneticPr fontId="13"/>
  </si>
  <si>
    <t>ﾌﾟﾘｳｽa S ﾁｭｰﾝﾌﾞﾗｯｸ2</t>
    <phoneticPr fontId="13"/>
  </si>
  <si>
    <t>ZVW41-0055050</t>
    <phoneticPr fontId="13"/>
  </si>
  <si>
    <t>取説 ｽﾍﾟｱｷｰ(車内)保証書</t>
    <rPh sb="0" eb="2">
      <t>トリセツ</t>
    </rPh>
    <rPh sb="9" eb="11">
      <t>シャナイ</t>
    </rPh>
    <rPh sb="11" eb="12">
      <t>）</t>
    </rPh>
    <rPh sb="12" eb="15">
      <t>ホショウショ</t>
    </rPh>
    <phoneticPr fontId="13"/>
  </si>
  <si>
    <t xml:space="preserve">取説(車内) 保証書 </t>
    <rPh sb="0" eb="2">
      <t>トリセツ</t>
    </rPh>
    <rPh sb="3" eb="5">
      <t>シャナイ</t>
    </rPh>
    <rPh sb="7" eb="10">
      <t>ホショウショ</t>
    </rPh>
    <phoneticPr fontId="13"/>
  </si>
  <si>
    <t>福山 483 い 6861</t>
    <rPh sb="0" eb="2">
      <t>フクヤマ</t>
    </rPh>
    <phoneticPr fontId="13"/>
  </si>
  <si>
    <t>愛媛 330 ち 3248</t>
    <rPh sb="0" eb="2">
      <t>エヒメ</t>
    </rPh>
    <phoneticPr fontId="13"/>
  </si>
  <si>
    <t>高橋 福太郎</t>
    <rPh sb="0" eb="2">
      <t>タカハシ</t>
    </rPh>
    <rPh sb="3" eb="6">
      <t>フクタロウ</t>
    </rPh>
    <phoneticPr fontId="13"/>
  </si>
  <si>
    <t>広島 499 そ 1038</t>
    <rPh sb="0" eb="2">
      <t>ヒロシマ</t>
    </rPh>
    <phoneticPr fontId="13"/>
  </si>
  <si>
    <t>岡山 399 な 6005</t>
    <rPh sb="0" eb="2">
      <t>オカヤマ</t>
    </rPh>
    <phoneticPr fontId="13"/>
  </si>
  <si>
    <t>品番；CN-RZ846</t>
    <rPh sb="0" eb="2">
      <t>ヒンバン</t>
    </rPh>
    <phoneticPr fontId="13"/>
  </si>
  <si>
    <t>飛鳥 510 ぬ 500</t>
    <rPh sb="0" eb="2">
      <t>アスカ</t>
    </rPh>
    <phoneticPr fontId="13"/>
  </si>
  <si>
    <t>USS神戸(ﾜﾝﾌﾟﾗ)</t>
    <rPh sb="3" eb="5">
      <t>コウベ</t>
    </rPh>
    <phoneticPr fontId="13"/>
  </si>
  <si>
    <t>沖縄 581 さ 5021</t>
    <rPh sb="0" eb="2">
      <t>オキナワ</t>
    </rPh>
    <phoneticPr fontId="13"/>
  </si>
  <si>
    <t>有限会社与那原自動車整備ｾﾝﾀｰ</t>
    <rPh sb="0" eb="4">
      <t>ユウゲンカイシャ</t>
    </rPh>
    <rPh sb="4" eb="7">
      <t>ヨナバル</t>
    </rPh>
    <rPh sb="7" eb="10">
      <t>ジドウシャ</t>
    </rPh>
    <rPh sb="10" eb="12">
      <t>セイビ</t>
    </rPh>
    <phoneticPr fontId="13"/>
  </si>
  <si>
    <t>株式会社ｲﾁﾈﾝCARS NET AUCTIONS</t>
    <phoneticPr fontId="13"/>
  </si>
  <si>
    <t>三浦 元晴</t>
    <rPh sb="0" eb="2">
      <t>ミウラ</t>
    </rPh>
    <rPh sb="3" eb="5">
      <t>モトハル</t>
    </rPh>
    <phoneticPr fontId="13"/>
  </si>
  <si>
    <t>　青木 建夫</t>
    <rPh sb="1" eb="3">
      <t>アオキ</t>
    </rPh>
    <rPh sb="4" eb="5">
      <t>ケン</t>
    </rPh>
    <rPh sb="5" eb="6">
      <t>オット</t>
    </rPh>
    <phoneticPr fontId="13"/>
  </si>
  <si>
    <t>橋本 秋子</t>
    <rPh sb="0" eb="2">
      <t>ハシモト</t>
    </rPh>
    <rPh sb="3" eb="5">
      <t>アキコ</t>
    </rPh>
    <phoneticPr fontId="13"/>
  </si>
  <si>
    <t>名古屋 499 む 5767</t>
    <rPh sb="0" eb="3">
      <t>ナゴヤ</t>
    </rPh>
    <phoneticPr fontId="13"/>
  </si>
  <si>
    <t>愛媛 581 く 1204</t>
    <rPh sb="0" eb="2">
      <t>エヒメ</t>
    </rPh>
    <phoneticPr fontId="13"/>
  </si>
  <si>
    <t>高田 健弘</t>
    <rPh sb="0" eb="2">
      <t>タカダ</t>
    </rPh>
    <rPh sb="3" eb="4">
      <t>ケン</t>
    </rPh>
    <rPh sb="4" eb="5">
      <t>ヒロ</t>
    </rPh>
    <phoneticPr fontId="13"/>
  </si>
  <si>
    <t xml:space="preserve">保証書 取説 ｷｰﾚｽ ﾅﾋﾞ取 </t>
    <rPh sb="0" eb="3">
      <t>ホショウショ</t>
    </rPh>
    <rPh sb="4" eb="6">
      <t>トリセツ</t>
    </rPh>
    <rPh sb="15" eb="16">
      <t>トリ</t>
    </rPh>
    <phoneticPr fontId="13"/>
  </si>
  <si>
    <t>姫路 499 そ 8556</t>
    <rPh sb="0" eb="2">
      <t>ヒメジ</t>
    </rPh>
    <phoneticPr fontId="13"/>
  </si>
  <si>
    <t>ｾﾝﾅﾘﾌｰｽﾞ株式会社</t>
    <rPh sb="8" eb="12">
      <t>カブシキガイシャ</t>
    </rPh>
    <phoneticPr fontId="13"/>
  </si>
  <si>
    <t>なにわ 59C つ 9633</t>
    <phoneticPr fontId="13"/>
  </si>
  <si>
    <t>神戸 531 む 7810</t>
    <rPh sb="0" eb="2">
      <t>コウベ</t>
    </rPh>
    <phoneticPr fontId="13"/>
  </si>
  <si>
    <t>なにわ 59C つ 7563</t>
    <phoneticPr fontId="13"/>
  </si>
  <si>
    <t>名古屋 326 も 1379</t>
    <rPh sb="0" eb="3">
      <t>ナゴヤ</t>
    </rPh>
    <phoneticPr fontId="13"/>
  </si>
  <si>
    <t>名古屋 345 は 816</t>
    <rPh sb="0" eb="3">
      <t>ナゴヤ</t>
    </rPh>
    <phoneticPr fontId="13"/>
  </si>
  <si>
    <t>名古屋 340 ふ 301</t>
    <rPh sb="0" eb="3">
      <t>ナゴヤ</t>
    </rPh>
    <phoneticPr fontId="13"/>
  </si>
  <si>
    <t>名古屋 778 つ 1228</t>
    <phoneticPr fontId="13"/>
  </si>
  <si>
    <t>若山 泰伸</t>
    <rPh sb="0" eb="2">
      <t>ワカヤマ</t>
    </rPh>
    <rPh sb="3" eb="4">
      <t>ヤスシ</t>
    </rPh>
    <rPh sb="4" eb="5">
      <t>シン</t>
    </rPh>
    <phoneticPr fontId="13"/>
  </si>
  <si>
    <t>ｷｰﾚｽ ｽﾀｰﾄﾎﾞﾀﾝ(車内)保証書 取説</t>
    <rPh sb="17" eb="20">
      <t>ホショウショ</t>
    </rPh>
    <rPh sb="21" eb="23">
      <t>トリセツ</t>
    </rPh>
    <phoneticPr fontId="13"/>
  </si>
  <si>
    <t>沼津 399 ち 6927</t>
    <rPh sb="0" eb="2">
      <t>ヌマヅ</t>
    </rPh>
    <phoneticPr fontId="13"/>
  </si>
  <si>
    <t>名変4月 LAAへﾍﾟﾅ32800</t>
    <rPh sb="0" eb="2">
      <t>メイヘン</t>
    </rPh>
    <rPh sb="3" eb="4">
      <t>ガツ</t>
    </rPh>
    <phoneticPr fontId="13"/>
  </si>
  <si>
    <t>301 ね 9754</t>
    <phoneticPr fontId="13"/>
  </si>
  <si>
    <t>301 ね 9755</t>
    <phoneticPr fontId="13"/>
  </si>
  <si>
    <t>582 う 6634</t>
    <phoneticPr fontId="13"/>
  </si>
  <si>
    <t>480 ね 5387</t>
    <phoneticPr fontId="13"/>
  </si>
  <si>
    <t>582 う 6635</t>
    <phoneticPr fontId="13"/>
  </si>
  <si>
    <t>27-3942</t>
  </si>
  <si>
    <t>27-3943</t>
  </si>
  <si>
    <t>27-3944</t>
  </si>
  <si>
    <t>27-3945</t>
  </si>
  <si>
    <t>27-3946</t>
  </si>
  <si>
    <t>27-3947</t>
  </si>
  <si>
    <t>27-3948</t>
  </si>
  <si>
    <t>27-3949</t>
  </si>
  <si>
    <t>27-3950</t>
  </si>
  <si>
    <t>27-3951</t>
  </si>
  <si>
    <t>27-3952</t>
  </si>
  <si>
    <t>27-3953</t>
  </si>
  <si>
    <t>27-3954</t>
  </si>
  <si>
    <t>27-3955</t>
  </si>
  <si>
    <t>27-3956</t>
  </si>
  <si>
    <t>VR7ECYHZRMJ810922</t>
    <phoneticPr fontId="13"/>
  </si>
  <si>
    <t>ｼﾞｬｶﾞｰ　XJｼﾘｰｽﾞ</t>
    <phoneticPr fontId="13"/>
  </si>
  <si>
    <t>SAJKC72N24RG20999</t>
    <phoneticPr fontId="13"/>
  </si>
  <si>
    <t>WAUZZZ4M4GD040953</t>
    <phoneticPr fontId="13"/>
  </si>
  <si>
    <t>WMWLR920102E71888</t>
    <phoneticPr fontId="13"/>
  </si>
  <si>
    <t>WDD2462422J505639</t>
    <phoneticPr fontId="13"/>
  </si>
  <si>
    <t>WDC2533052F205806</t>
    <phoneticPr fontId="13"/>
  </si>
  <si>
    <t>WMWXT320102J07449</t>
    <phoneticPr fontId="13"/>
  </si>
  <si>
    <t>ZVW51-6031630</t>
    <phoneticPr fontId="13"/>
  </si>
  <si>
    <t>ﾀﾝﾄｶｽﾀﾑ　RS　SaⅢ</t>
    <phoneticPr fontId="13"/>
  </si>
  <si>
    <t>LA600S-0705538</t>
    <phoneticPr fontId="13"/>
  </si>
  <si>
    <t>MR41S-131087</t>
    <phoneticPr fontId="13"/>
  </si>
  <si>
    <t>MH55S-135320</t>
    <phoneticPr fontId="13"/>
  </si>
  <si>
    <t>BMW　X6　Xﾄﾞﾗｲﾌﾞ　35I　Mｽﾎﾟｰﾂ</t>
    <phoneticPr fontId="13"/>
  </si>
  <si>
    <t>MK53S-951504</t>
    <phoneticPr fontId="13"/>
  </si>
  <si>
    <t>ﾑｰｳﾞｷｬﾝﾊﾞｽ　ｾｵﾘｰG</t>
    <phoneticPr fontId="13"/>
  </si>
  <si>
    <t>LA850S-1024981</t>
    <phoneticPr fontId="13"/>
  </si>
  <si>
    <t>JF1-2523756</t>
    <phoneticPr fontId="13"/>
  </si>
  <si>
    <t>DA17V-510120</t>
    <phoneticPr fontId="13"/>
  </si>
  <si>
    <t>LA350S-0249991</t>
    <phoneticPr fontId="13"/>
  </si>
  <si>
    <t>27-3957</t>
  </si>
  <si>
    <t>27-3958</t>
  </si>
  <si>
    <t>27-3959</t>
  </si>
  <si>
    <t>27-3960</t>
  </si>
  <si>
    <t>27-3961</t>
  </si>
  <si>
    <t>27-3962</t>
  </si>
  <si>
    <t>27-3963</t>
  </si>
  <si>
    <t>27-3964</t>
  </si>
  <si>
    <t>27-3965</t>
  </si>
  <si>
    <t>27-3966</t>
  </si>
  <si>
    <t>27-3967</t>
  </si>
  <si>
    <t>27-3968</t>
  </si>
  <si>
    <t>27-3969</t>
  </si>
  <si>
    <t>27-3970</t>
  </si>
  <si>
    <t>27-3971</t>
  </si>
  <si>
    <t>27-3972</t>
  </si>
  <si>
    <t>27-3973</t>
  </si>
  <si>
    <t>27-3974</t>
  </si>
  <si>
    <t>27-3975</t>
  </si>
  <si>
    <t>ﾊｽﾗー　JｽﾀｲﾙⅡ</t>
    <phoneticPr fontId="13"/>
  </si>
  <si>
    <t>MR41S-207485</t>
    <phoneticPr fontId="13"/>
  </si>
  <si>
    <t>JF5-1114460</t>
    <phoneticPr fontId="13"/>
  </si>
  <si>
    <t>JF5-1114457</t>
    <phoneticPr fontId="13"/>
  </si>
  <si>
    <t>JF5-1114461</t>
    <phoneticPr fontId="13"/>
  </si>
  <si>
    <t>ZVW50-6126306</t>
    <phoneticPr fontId="13"/>
  </si>
  <si>
    <t>DA17W-305985</t>
    <phoneticPr fontId="13"/>
  </si>
  <si>
    <t>LA650S-0126845</t>
    <phoneticPr fontId="13"/>
  </si>
  <si>
    <t>MH34S-384400</t>
    <phoneticPr fontId="13"/>
  </si>
  <si>
    <t>LA600S-0465364</t>
    <phoneticPr fontId="13"/>
  </si>
  <si>
    <t>LA350S-0248389</t>
    <phoneticPr fontId="13"/>
  </si>
  <si>
    <t>MH35S-112559</t>
    <phoneticPr fontId="13"/>
  </si>
  <si>
    <t>A343194</t>
    <phoneticPr fontId="13"/>
  </si>
  <si>
    <t>TRJ250-0005552</t>
    <phoneticPr fontId="13"/>
  </si>
  <si>
    <t>ﾗﾝﾄﾞｸﾙｰｻﾞｰ250 　VXﾌｧｰｽﾄED</t>
    <phoneticPr fontId="13"/>
  </si>
  <si>
    <t>27-3976</t>
  </si>
  <si>
    <t>27-3977</t>
  </si>
  <si>
    <t>27-3978</t>
  </si>
  <si>
    <t>27-3979</t>
  </si>
  <si>
    <t>27-3980</t>
  </si>
  <si>
    <t>27-3981</t>
  </si>
  <si>
    <t>27-3982</t>
  </si>
  <si>
    <t>27-3983</t>
  </si>
  <si>
    <t>HA36S-603174</t>
    <phoneticPr fontId="13"/>
  </si>
  <si>
    <t>LA350S-0252308</t>
    <phoneticPr fontId="13"/>
  </si>
  <si>
    <t>52858＄</t>
    <phoneticPr fontId="13"/>
  </si>
  <si>
    <t>整備手帳　メーター交換記録有2022/1/6　11,868㎞時（現ｵﾄﾞ40,990㎞）</t>
    <rPh sb="0" eb="4">
      <t>セイビテチョウ</t>
    </rPh>
    <rPh sb="9" eb="11">
      <t>コウカン</t>
    </rPh>
    <rPh sb="11" eb="14">
      <t>キロクアリ</t>
    </rPh>
    <rPh sb="30" eb="31">
      <t>トキ</t>
    </rPh>
    <rPh sb="32" eb="33">
      <t>ゲン</t>
    </rPh>
    <phoneticPr fontId="13"/>
  </si>
  <si>
    <t>MH85S-118798</t>
    <phoneticPr fontId="13"/>
  </si>
  <si>
    <t>LA350S-0257287</t>
    <phoneticPr fontId="13"/>
  </si>
  <si>
    <t>LA150S-2112955</t>
    <phoneticPr fontId="13"/>
  </si>
  <si>
    <t>鳥取 300 の 3720</t>
    <rPh sb="0" eb="2">
      <t>トットリ</t>
    </rPh>
    <phoneticPr fontId="13"/>
  </si>
  <si>
    <t>ﾏｲｸﾛ地図SD(車内)保証書 取説 ﾅﾋﾞ取 ｽﾏｰﾄｷｰ ｴﾝｼﾞﾝｽﾀｰﾀｰ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</si>
  <si>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>ﾘﾓｺﾝ(車内)保証書 取説 ｷｰﾚｽ SD ﾅﾋﾞ取</t>
    <rPh sb="8" eb="11">
      <t>ホショウショ</t>
    </rPh>
    <rPh sb="12" eb="14">
      <t>トリセツ</t>
    </rPh>
    <rPh sb="26" eb="27">
      <t>トリ</t>
    </rPh>
    <phoneticPr fontId="13"/>
  </si>
  <si>
    <t>ｼﾄﾛｴﾝ　C3 ｴﾃﾞｨｼｮﾝ2021</t>
    <phoneticPr fontId="13"/>
  </si>
  <si>
    <t>VF7SXHNPYLT636607</t>
    <phoneticPr fontId="13"/>
  </si>
  <si>
    <t>27-3984</t>
  </si>
  <si>
    <t>27-3985</t>
  </si>
  <si>
    <t>ﾌﾟﾘｳｽｱﾙﾌｧS</t>
    <phoneticPr fontId="13"/>
  </si>
  <si>
    <t>ZVW41-3384637</t>
    <phoneticPr fontId="13"/>
  </si>
  <si>
    <t>保証書 取説 予備ｷｰ ﾅﾋﾞSD</t>
    <rPh sb="0" eb="3">
      <t>ホショウショ</t>
    </rPh>
    <rPh sb="4" eb="6">
      <t>トリセツ</t>
    </rPh>
    <rPh sb="7" eb="9">
      <t>ヨビ</t>
    </rPh>
    <phoneticPr fontId="13"/>
  </si>
  <si>
    <t>ZVW41-3378600</t>
    <phoneticPr fontId="13"/>
  </si>
  <si>
    <t>ZFA3120000J700748</t>
    <phoneticPr fontId="13"/>
  </si>
  <si>
    <t>WMWXM520002A62449</t>
    <phoneticPr fontId="13"/>
  </si>
  <si>
    <t>27-3986</t>
  </si>
  <si>
    <t>27-3987</t>
  </si>
  <si>
    <t>神戸 581 み 5199</t>
    <rPh sb="0" eb="2">
      <t>コウベ</t>
    </rPh>
    <phoneticPr fontId="13"/>
  </si>
  <si>
    <t>保証書　取説　　名変期限5/31</t>
    <rPh sb="0" eb="4">
      <t>ショルイサイソク</t>
    </rPh>
    <phoneticPr fontId="13"/>
  </si>
  <si>
    <t>ﾌﾟﾛﾎﾞｯｸｽ ﾊｲﾌﾞﾘｯﾄﾞGX</t>
    <phoneticPr fontId="13"/>
  </si>
  <si>
    <t>NHP160-0093760</t>
    <phoneticPr fontId="13"/>
  </si>
  <si>
    <t>大阪 302 る 4348</t>
    <rPh sb="0" eb="2">
      <t>オオサカ</t>
    </rPh>
    <phoneticPr fontId="13"/>
  </si>
  <si>
    <r>
      <t>ﾘﾓｺﾝ(車内)保証書 取説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3"/>
        <rFont val="ＭＳ Ｐゴシック"/>
        <family val="3"/>
        <charset val="128"/>
        <scheme val="minor"/>
      </rPr>
      <t>ｽﾍﾟｱｷｰなしクレーム済み</t>
    </r>
    <rPh sb="8" eb="11">
      <t>ホショウショ</t>
    </rPh>
    <rPh sb="12" eb="14">
      <t>トリセツ</t>
    </rPh>
    <rPh sb="27" eb="28">
      <t>ズ</t>
    </rPh>
    <phoneticPr fontId="13"/>
  </si>
  <si>
    <t>広島 302 ち 7453</t>
    <rPh sb="0" eb="2">
      <t>ヒロシマ</t>
    </rPh>
    <phoneticPr fontId="13"/>
  </si>
  <si>
    <t>多摩 592 ろ 9717</t>
    <rPh sb="0" eb="2">
      <t>タマ</t>
    </rPh>
    <phoneticPr fontId="13"/>
  </si>
  <si>
    <t>なにわ 5X1 ろ 965</t>
    <phoneticPr fontId="13"/>
  </si>
  <si>
    <t>有限会社ﾏﾂﾓﾄ自動車</t>
    <rPh sb="0" eb="4">
      <t>ユウゲンカイシャ</t>
    </rPh>
    <rPh sb="8" eb="11">
      <t>ジドウシャ</t>
    </rPh>
    <phoneticPr fontId="13"/>
  </si>
  <si>
    <t>301 ね 3077</t>
    <phoneticPr fontId="13"/>
  </si>
  <si>
    <t>301 ね 9833</t>
    <phoneticPr fontId="13"/>
  </si>
  <si>
    <t>301 ね 9832</t>
    <phoneticPr fontId="13"/>
  </si>
  <si>
    <t>501 ゆ 5766</t>
    <phoneticPr fontId="13"/>
  </si>
  <si>
    <t>301 ね 9831</t>
    <phoneticPr fontId="13"/>
  </si>
  <si>
    <t>301 ね 9830</t>
    <phoneticPr fontId="13"/>
  </si>
  <si>
    <t>301 ね 9829</t>
    <phoneticPr fontId="13"/>
  </si>
  <si>
    <t>501 ゆ 5765</t>
    <phoneticPr fontId="13"/>
  </si>
  <si>
    <t>名古屋 487 ろ 3097</t>
    <rPh sb="0" eb="3">
      <t>ナゴヤ</t>
    </rPh>
    <phoneticPr fontId="13"/>
  </si>
  <si>
    <t>株式会社中電ｵｰﾄﾘｰｽ</t>
    <rPh sb="4" eb="6">
      <t>ナカデン</t>
    </rPh>
    <phoneticPr fontId="13"/>
  </si>
  <si>
    <t>なにわ 5X0 ろ 2686</t>
    <phoneticPr fontId="13"/>
  </si>
  <si>
    <t>保証書 ﾘﾓｺﾝ</t>
    <rPh sb="0" eb="3">
      <t>ホショウショ</t>
    </rPh>
    <phoneticPr fontId="13"/>
  </si>
  <si>
    <t>品川 5X3 ろ 9962</t>
    <rPh sb="0" eb="2">
      <t>シナガワ</t>
    </rPh>
    <phoneticPr fontId="13"/>
  </si>
  <si>
    <t>広島 301 め 852</t>
    <rPh sb="0" eb="2">
      <t>ヒロシマ</t>
    </rPh>
    <phoneticPr fontId="13"/>
  </si>
  <si>
    <t>札幌 328 ま 1122</t>
    <rPh sb="0" eb="2">
      <t>サッポロ</t>
    </rPh>
    <phoneticPr fontId="13"/>
  </si>
  <si>
    <t>札幌日産自動車株式会社</t>
    <rPh sb="0" eb="2">
      <t>サッポロ</t>
    </rPh>
    <rPh sb="2" eb="7">
      <t>ニッサンジドウシャ</t>
    </rPh>
    <rPh sb="7" eb="11">
      <t>カブシキガイシャ</t>
    </rPh>
    <phoneticPr fontId="13"/>
  </si>
  <si>
    <t>ｷｬﾝｾﾙ4/9返送</t>
    <rPh sb="8" eb="10">
      <t>ヘンソウ</t>
    </rPh>
    <phoneticPr fontId="13"/>
  </si>
  <si>
    <t>582 う 6852</t>
    <phoneticPr fontId="13"/>
  </si>
  <si>
    <t>582 う 6851</t>
    <phoneticPr fontId="13"/>
  </si>
  <si>
    <t>582 う 6850</t>
    <phoneticPr fontId="13"/>
  </si>
  <si>
    <t>582 う 6848</t>
    <phoneticPr fontId="13"/>
  </si>
  <si>
    <t>WMW12DV0202S17131</t>
    <phoneticPr fontId="13"/>
  </si>
  <si>
    <t>27-3988</t>
  </si>
  <si>
    <t>27-3989</t>
  </si>
  <si>
    <t>LA350S-0334688</t>
    <phoneticPr fontId="13"/>
  </si>
  <si>
    <t>NHP160-0048932</t>
    <phoneticPr fontId="13"/>
  </si>
  <si>
    <t>取説 予備ｷｰ ﾅﾋﾞSD ﾅﾋﾞ取 ﾚﾝﾀｶｰ</t>
    <rPh sb="0" eb="2">
      <t>トリセツ</t>
    </rPh>
    <rPh sb="3" eb="5">
      <t>ヨビ</t>
    </rPh>
    <rPh sb="17" eb="18">
      <t>トリ</t>
    </rPh>
    <phoneticPr fontId="13"/>
  </si>
  <si>
    <t>BMWﾐﾆｸｰﾊﾟｰD　 ﾌﾞﾘｯｸﾚｰﾝｴﾃﾞｨｼｮﾝ</t>
    <phoneticPr fontId="13"/>
  </si>
  <si>
    <t>神戸 304 ら 5892</t>
    <rPh sb="0" eb="2">
      <t>コウベ</t>
    </rPh>
    <phoneticPr fontId="13"/>
  </si>
  <si>
    <t>神戸 582 う 2883</t>
    <rPh sb="0" eb="2">
      <t>コウベ</t>
    </rPh>
    <phoneticPr fontId="13"/>
  </si>
  <si>
    <t>神戸 587 さ 1881</t>
    <rPh sb="0" eb="2">
      <t>コウベ</t>
    </rPh>
    <phoneticPr fontId="13"/>
  </si>
  <si>
    <t>香川 幸美</t>
    <rPh sb="0" eb="2">
      <t>カガワ</t>
    </rPh>
    <rPh sb="3" eb="5">
      <t>ユキミ</t>
    </rPh>
    <phoneticPr fontId="13"/>
  </si>
  <si>
    <t>大宮 545 む 8118</t>
    <rPh sb="0" eb="2">
      <t>オオミヤ</t>
    </rPh>
    <phoneticPr fontId="13"/>
  </si>
  <si>
    <t>.安藤 良幸</t>
    <rPh sb="1" eb="3">
      <t>アンドウ</t>
    </rPh>
    <rPh sb="4" eb="6">
      <t>ヨシユキ</t>
    </rPh>
    <phoneticPr fontId="13"/>
  </si>
  <si>
    <t>記録紙1枚(書類と保管) ｷｰﾚｽ 印鑑証明6/23</t>
    <rPh sb="0" eb="3">
      <t>キロクシ</t>
    </rPh>
    <rPh sb="4" eb="5">
      <t>マイ</t>
    </rPh>
    <rPh sb="6" eb="8">
      <t>ショルイ</t>
    </rPh>
    <rPh sb="9" eb="11">
      <t>ホカン</t>
    </rPh>
    <rPh sb="18" eb="22">
      <t>インカンショウメイ</t>
    </rPh>
    <phoneticPr fontId="13"/>
  </si>
  <si>
    <t>WMWXR920002N53092</t>
    <phoneticPr fontId="13"/>
  </si>
  <si>
    <t>宮崎 331 す 2940</t>
    <rPh sb="0" eb="2">
      <t>ミヤザキ</t>
    </rPh>
    <phoneticPr fontId="13"/>
  </si>
  <si>
    <t>WMWXR32040TL82449</t>
    <phoneticPr fontId="13"/>
  </si>
  <si>
    <t>所沢 302 ち 8332</t>
    <rPh sb="0" eb="2">
      <t>トコロザワ</t>
    </rPh>
    <phoneticPr fontId="13"/>
  </si>
  <si>
    <t>WMWXM720102E24946</t>
    <phoneticPr fontId="13"/>
  </si>
  <si>
    <t>大西 孝明</t>
    <rPh sb="0" eb="2">
      <t>オオニシ</t>
    </rPh>
    <rPh sb="3" eb="5">
      <t>タカアキ</t>
    </rPh>
    <phoneticPr fontId="13"/>
  </si>
  <si>
    <t>八王子 301 な 8038</t>
    <rPh sb="0" eb="3">
      <t>ハチオウジ</t>
    </rPh>
    <phoneticPr fontId="13"/>
  </si>
  <si>
    <t>品川 39A も 6861</t>
    <rPh sb="0" eb="2">
      <t>シナガワ</t>
    </rPh>
    <phoneticPr fontId="13"/>
  </si>
  <si>
    <t>株式会社JCM</t>
    <phoneticPr fontId="13"/>
  </si>
  <si>
    <t>一宮 300 は 2308</t>
    <rPh sb="0" eb="2">
      <t>イチノミヤ</t>
    </rPh>
    <phoneticPr fontId="13"/>
  </si>
  <si>
    <t>神戸 39A た 9246</t>
    <rPh sb="0" eb="2">
      <t>コウベ</t>
    </rPh>
    <phoneticPr fontId="13"/>
  </si>
  <si>
    <t>奈良 399 て 3473</t>
    <rPh sb="0" eb="2">
      <t>ナラ</t>
    </rPh>
    <phoneticPr fontId="13"/>
  </si>
  <si>
    <t>神戸 39A た 8614</t>
    <rPh sb="0" eb="2">
      <t>コウベ</t>
    </rPh>
    <phoneticPr fontId="13"/>
  </si>
  <si>
    <t>ｼﾄﾛｴﾝ　ﾍﾞﾙﾗﾝｺﾞ ｻｰﾌｴﾃﾞｨｼｮﾝ</t>
    <phoneticPr fontId="13"/>
  </si>
  <si>
    <t>福井 330 せ 5473</t>
    <rPh sb="0" eb="2">
      <t>フクイ</t>
    </rPh>
    <phoneticPr fontId="13"/>
  </si>
  <si>
    <t>保証書 取説 ｽﾏｰﾄｷｰ2個記載 ﾜﾝｵｰﾅｰ</t>
    <rPh sb="0" eb="3">
      <t>ホショウショ</t>
    </rPh>
    <rPh sb="4" eb="6">
      <t>トリセツ</t>
    </rPh>
    <rPh sb="14" eb="15">
      <t>コ</t>
    </rPh>
    <rPh sb="15" eb="17">
      <t>キサイ</t>
    </rPh>
    <phoneticPr fontId="13"/>
  </si>
  <si>
    <t>15/12</t>
    <phoneticPr fontId="13"/>
  </si>
  <si>
    <t>ｱｳﾃﾞｨQ7 3.0TFSI</t>
    <phoneticPr fontId="13"/>
  </si>
  <si>
    <t>名古屋 347 も 215</t>
    <rPh sb="0" eb="3">
      <t>ナゴヤ</t>
    </rPh>
    <phoneticPr fontId="13"/>
  </si>
  <si>
    <t>Mﾍﾞﾝﾂ Bｸﾗｽ B180</t>
    <phoneticPr fontId="13"/>
  </si>
  <si>
    <t>岐阜 346 り 1007</t>
    <rPh sb="0" eb="2">
      <t>ギフ</t>
    </rPh>
    <phoneticPr fontId="13"/>
  </si>
  <si>
    <t>MﾍﾞﾝﾂGLC 220d</t>
    <phoneticPr fontId="13"/>
  </si>
  <si>
    <t>取説 ｽﾏｰﾄｷｰ記載あり車内確認</t>
    <rPh sb="0" eb="2">
      <t>トリセツ</t>
    </rPh>
    <rPh sb="9" eb="11">
      <t>キサイ</t>
    </rPh>
    <rPh sb="13" eb="17">
      <t>シャナイカクニン</t>
    </rPh>
    <phoneticPr fontId="13"/>
  </si>
  <si>
    <t>保証書 取説 ｽﾏｰﾄｷｰ記載あり車内確認</t>
    <rPh sb="0" eb="3">
      <t>ホショウショ</t>
    </rPh>
    <rPh sb="4" eb="6">
      <t>トリセツ</t>
    </rPh>
    <rPh sb="13" eb="15">
      <t>キサイ</t>
    </rPh>
    <rPh sb="17" eb="21">
      <t>シャナイカクニン</t>
    </rPh>
    <phoneticPr fontId="13"/>
  </si>
  <si>
    <t>大阪 331 つ 2077</t>
    <rPh sb="0" eb="2">
      <t>オオサカ</t>
    </rPh>
    <phoneticPr fontId="13"/>
  </si>
  <si>
    <t>WBAKU220000P56561</t>
    <phoneticPr fontId="13"/>
  </si>
  <si>
    <t>取説 ｷｰﾚｽ ﾅﾋﾞ取</t>
    <rPh sb="0" eb="2">
      <t>トリセツ</t>
    </rPh>
    <rPh sb="11" eb="12">
      <t>トリ</t>
    </rPh>
    <phoneticPr fontId="13"/>
  </si>
  <si>
    <t>京都 480 は 5503</t>
    <rPh sb="0" eb="2">
      <t>キョウト</t>
    </rPh>
    <phoneticPr fontId="13"/>
  </si>
  <si>
    <t>高知 580 ぬ 2952</t>
    <rPh sb="0" eb="2">
      <t>コウチ</t>
    </rPh>
    <phoneticPr fontId="13"/>
  </si>
  <si>
    <t>高松 580 わ 2037</t>
    <rPh sb="0" eb="2">
      <t>タカマツ</t>
    </rPh>
    <phoneticPr fontId="13"/>
  </si>
  <si>
    <t>高松 580 わ 2040</t>
    <rPh sb="0" eb="2">
      <t>タカマツ</t>
    </rPh>
    <phoneticPr fontId="13"/>
  </si>
  <si>
    <t>高松 580 わ 2044</t>
    <rPh sb="0" eb="2">
      <t>タカマツ</t>
    </rPh>
    <phoneticPr fontId="13"/>
  </si>
  <si>
    <t>WMWXU720502M13851</t>
    <phoneticPr fontId="13"/>
  </si>
  <si>
    <t>愛媛 323 ふ 5678</t>
    <rPh sb="0" eb="2">
      <t>エヒメ</t>
    </rPh>
    <phoneticPr fontId="13"/>
  </si>
  <si>
    <t>YV1MV2920K2605801</t>
    <phoneticPr fontId="13"/>
  </si>
  <si>
    <t>久留米 321 や 111</t>
    <rPh sb="0" eb="3">
      <t>クルメ</t>
    </rPh>
    <phoneticPr fontId="13"/>
  </si>
  <si>
    <t>名義変更4/30まで</t>
    <rPh sb="0" eb="4">
      <t>メイギヘンコウ</t>
    </rPh>
    <phoneticPr fontId="13"/>
  </si>
  <si>
    <t>保証書 取説 ｷｰﾚｽ ﾏｲｸﾛ地図SD ﾜﾝｵｰﾅｰ</t>
    <rPh sb="0" eb="3">
      <t>ホショウショ</t>
    </rPh>
    <rPh sb="4" eb="6">
      <t>トリセツ</t>
    </rPh>
    <rPh sb="16" eb="18">
      <t>チズ</t>
    </rPh>
    <phoneticPr fontId="13"/>
  </si>
  <si>
    <t>保証書 ｷｰﾚｽ ﾏｲｸﾛ地図SD</t>
    <rPh sb="0" eb="3">
      <t>ホショウショ</t>
    </rPh>
    <rPh sb="13" eb="15">
      <t>チズ</t>
    </rPh>
    <phoneticPr fontId="13"/>
  </si>
  <si>
    <t>なにわ 5P4 ろ 9989</t>
    <phoneticPr fontId="13"/>
  </si>
  <si>
    <t>春日井 582 ろ 9423</t>
    <rPh sb="0" eb="3">
      <t>カスガイ</t>
    </rPh>
    <phoneticPr fontId="13"/>
  </si>
  <si>
    <t>なにわ 5X1 ろ 2521</t>
    <phoneticPr fontId="13"/>
  </si>
  <si>
    <t>伊佐地 友哉</t>
    <rPh sb="0" eb="1">
      <t>イ</t>
    </rPh>
    <rPh sb="1" eb="2">
      <t>サ</t>
    </rPh>
    <rPh sb="2" eb="3">
      <t>チ</t>
    </rPh>
    <rPh sb="4" eb="5">
      <t>トモ</t>
    </rPh>
    <rPh sb="5" eb="6">
      <t>ヤ</t>
    </rPh>
    <phoneticPr fontId="13"/>
  </si>
  <si>
    <t>なにわ 5X1 ろ 959</t>
    <phoneticPr fontId="13"/>
  </si>
  <si>
    <t>長野 580 わ 2886</t>
    <rPh sb="0" eb="2">
      <t>ナガノ</t>
    </rPh>
    <phoneticPr fontId="13"/>
  </si>
  <si>
    <t>品川 5X2 ろ 800</t>
    <rPh sb="0" eb="2">
      <t>シナガワ</t>
    </rPh>
    <phoneticPr fontId="13"/>
  </si>
  <si>
    <t>ﾏｲｸﾛ地図SD(車内)保証書</t>
    <rPh sb="4" eb="6">
      <t>チズ</t>
    </rPh>
    <rPh sb="12" eb="15">
      <t>ホショウショ</t>
    </rPh>
    <phoneticPr fontId="13"/>
  </si>
  <si>
    <t>多摩 499 て 1139</t>
    <rPh sb="0" eb="2">
      <t>タマ</t>
    </rPh>
    <phoneticPr fontId="13"/>
  </si>
  <si>
    <t>小原 正彦</t>
    <rPh sb="0" eb="2">
      <t>コハラ</t>
    </rPh>
    <rPh sb="3" eb="5">
      <t>マサヒコ</t>
    </rPh>
    <phoneticPr fontId="13"/>
  </si>
  <si>
    <t>田中 大介</t>
    <rPh sb="0" eb="2">
      <t>タナカ</t>
    </rPh>
    <rPh sb="3" eb="5">
      <t>ダイスケ</t>
    </rPh>
    <phoneticPr fontId="13"/>
  </si>
  <si>
    <t>品川 5X4 ろ 429</t>
    <rPh sb="0" eb="2">
      <t>シナガワ</t>
    </rPh>
    <phoneticPr fontId="13"/>
  </si>
  <si>
    <t>品川 49A た 989</t>
    <rPh sb="0" eb="2">
      <t>シナガワ</t>
    </rPh>
    <phoneticPr fontId="13"/>
  </si>
  <si>
    <t>姫路 581 さ 8728</t>
    <rPh sb="0" eb="2">
      <t>ヒメジ</t>
    </rPh>
    <phoneticPr fontId="13"/>
  </si>
  <si>
    <t>東原 輝佳</t>
    <rPh sb="0" eb="2">
      <t>ヒガシハラ</t>
    </rPh>
    <rPh sb="3" eb="4">
      <t>テル</t>
    </rPh>
    <rPh sb="4" eb="5">
      <t>カ</t>
    </rPh>
    <phoneticPr fontId="13"/>
  </si>
  <si>
    <t>多摩 799 ふ 4007</t>
    <rPh sb="0" eb="2">
      <t>タマ</t>
    </rPh>
    <phoneticPr fontId="13"/>
  </si>
  <si>
    <t>品川 48F ろ 6502</t>
    <rPh sb="0" eb="2">
      <t>シナガワ</t>
    </rPh>
    <phoneticPr fontId="13"/>
  </si>
  <si>
    <t>多摩 799 ふ 4093</t>
    <rPh sb="0" eb="2">
      <t>タマ</t>
    </rPh>
    <phoneticPr fontId="13"/>
  </si>
  <si>
    <t>愛媛 585 を 1019</t>
    <rPh sb="0" eb="2">
      <t>エヒメ</t>
    </rPh>
    <phoneticPr fontId="13"/>
  </si>
  <si>
    <t>十亀 博之</t>
    <rPh sb="0" eb="2">
      <t>トカメ</t>
    </rPh>
    <rPh sb="3" eb="5">
      <t>ヒロユキ</t>
    </rPh>
    <phoneticPr fontId="13"/>
  </si>
  <si>
    <t>愛媛 583 う 364</t>
    <rPh sb="0" eb="2">
      <t>エヒメ</t>
    </rPh>
    <phoneticPr fontId="13"/>
  </si>
  <si>
    <t>渡辺 裕子</t>
    <rPh sb="0" eb="2">
      <t>ワタナベ</t>
    </rPh>
    <rPh sb="3" eb="5">
      <t>ユウコ</t>
    </rPh>
    <phoneticPr fontId="13"/>
  </si>
  <si>
    <t>保証書 取説 ｷｰﾚｽ ｶｷﾞ3個</t>
    <rPh sb="0" eb="3">
      <t>ホショウショ</t>
    </rPh>
    <rPh sb="4" eb="6">
      <t>トリセツ</t>
    </rPh>
    <rPh sb="16" eb="17">
      <t>コ</t>
    </rPh>
    <phoneticPr fontId="13"/>
  </si>
  <si>
    <t>山口 581 め 3911</t>
    <rPh sb="0" eb="2">
      <t>ヤマグチ</t>
    </rPh>
    <phoneticPr fontId="13"/>
  </si>
  <si>
    <t>京都 345 せ 8739</t>
    <rPh sb="0" eb="2">
      <t>キョウト</t>
    </rPh>
    <phoneticPr fontId="13"/>
  </si>
  <si>
    <t>なにわ 39A ゆ 4604</t>
    <phoneticPr fontId="13"/>
  </si>
  <si>
    <t>品川 5X3 ろ 2655</t>
    <rPh sb="0" eb="2">
      <t>シナガワ</t>
    </rPh>
    <phoneticPr fontId="13"/>
  </si>
  <si>
    <t>多摩 799 ふ 3864</t>
    <rPh sb="0" eb="2">
      <t>タマ</t>
    </rPh>
    <phoneticPr fontId="13"/>
  </si>
  <si>
    <t>川島 将</t>
    <rPh sb="0" eb="2">
      <t>カワシマ</t>
    </rPh>
    <rPh sb="3" eb="4">
      <t>マサル</t>
    </rPh>
    <phoneticPr fontId="13"/>
  </si>
  <si>
    <t>多摩 799 ふ 3920</t>
    <rPh sb="0" eb="2">
      <t>タマ</t>
    </rPh>
    <phoneticPr fontId="13"/>
  </si>
  <si>
    <t>多摩 799 ふ 4094</t>
    <rPh sb="0" eb="2">
      <t>タマ</t>
    </rPh>
    <phoneticPr fontId="13"/>
  </si>
  <si>
    <t>多摩 799 ふ 3868</t>
    <rPh sb="0" eb="2">
      <t>タマ</t>
    </rPh>
    <phoneticPr fontId="13"/>
  </si>
  <si>
    <t>多摩 799 ふ 3867</t>
    <rPh sb="0" eb="2">
      <t>タマ</t>
    </rPh>
    <phoneticPr fontId="13"/>
  </si>
  <si>
    <t>多摩 799 ふ 4091</t>
    <rPh sb="0" eb="2">
      <t>タマ</t>
    </rPh>
    <phoneticPr fontId="13"/>
  </si>
  <si>
    <t>神戸 587 よ 44</t>
    <rPh sb="0" eb="2">
      <t>コウベ</t>
    </rPh>
    <phoneticPr fontId="13"/>
  </si>
  <si>
    <t>岡山 399 な 6229</t>
    <rPh sb="0" eb="2">
      <t>オカヤマ</t>
    </rPh>
    <phoneticPr fontId="13"/>
  </si>
  <si>
    <t>瀬戸川 雄太</t>
    <rPh sb="0" eb="3">
      <t>セトガワ</t>
    </rPh>
    <rPh sb="4" eb="6">
      <t>ユウタ</t>
    </rPh>
    <phoneticPr fontId="13"/>
  </si>
  <si>
    <t>倉敷 500 は 2314</t>
    <rPh sb="0" eb="2">
      <t>クラシキ</t>
    </rPh>
    <phoneticPr fontId="13"/>
  </si>
  <si>
    <t>株式会社ﾓﾄﾔﾓﾋﾞﾘﾃｨｰｽﾞ</t>
    <rPh sb="0" eb="4">
      <t>カブシキガイシャ</t>
    </rPh>
    <phoneticPr fontId="13"/>
  </si>
  <si>
    <t>豊田 583 ま 116</t>
    <rPh sb="0" eb="2">
      <t>トヨタ</t>
    </rPh>
    <phoneticPr fontId="13"/>
  </si>
  <si>
    <t>福山 581 け 5919</t>
    <rPh sb="0" eb="2">
      <t>フクヤマ</t>
    </rPh>
    <phoneticPr fontId="13"/>
  </si>
  <si>
    <t>岡山 59P さ 55</t>
    <rPh sb="0" eb="2">
      <t>オカヤマ</t>
    </rPh>
    <phoneticPr fontId="13"/>
  </si>
  <si>
    <t>岡山 582 あ 6297</t>
    <rPh sb="0" eb="2">
      <t>オカヤマ</t>
    </rPh>
    <phoneticPr fontId="13"/>
  </si>
  <si>
    <t>広島 581 け 299</t>
    <rPh sb="0" eb="2">
      <t>ヒロシマ</t>
    </rPh>
    <phoneticPr fontId="13"/>
  </si>
  <si>
    <t>光永 菜月</t>
    <rPh sb="0" eb="2">
      <t>ミツナガ</t>
    </rPh>
    <rPh sb="3" eb="5">
      <t>ナツキ</t>
    </rPh>
    <phoneticPr fontId="13"/>
  </si>
  <si>
    <t>神戸 480 ま 7238</t>
    <rPh sb="0" eb="2">
      <t>コウベ</t>
    </rPh>
    <phoneticPr fontId="13"/>
  </si>
  <si>
    <t>神戸 58A き 4767</t>
    <rPh sb="0" eb="2">
      <t>コウベ</t>
    </rPh>
    <phoneticPr fontId="13"/>
  </si>
  <si>
    <t>USS神戸/1012/9070</t>
    <rPh sb="3" eb="5">
      <t>コウベ</t>
    </rPh>
    <phoneticPr fontId="13"/>
  </si>
  <si>
    <t>USS神戸/1012/9072</t>
    <rPh sb="3" eb="5">
      <t>コウベ</t>
    </rPh>
    <phoneticPr fontId="13"/>
  </si>
  <si>
    <t>USS神戸/1012/10161</t>
    <rPh sb="3" eb="5">
      <t>コウベ</t>
    </rPh>
    <phoneticPr fontId="13"/>
  </si>
  <si>
    <t>福岡 39A ち 5509</t>
    <rPh sb="0" eb="2">
      <t>フクオカ</t>
    </rPh>
    <phoneticPr fontId="13"/>
  </si>
  <si>
    <t>ｾｺｲｱ株式会社</t>
    <rPh sb="4" eb="8">
      <t>カブシキガイシャ</t>
    </rPh>
    <phoneticPr fontId="13"/>
  </si>
  <si>
    <t>4/11</t>
    <phoneticPr fontId="13"/>
  </si>
  <si>
    <t>保証書 取説</t>
    <rPh sb="0" eb="3">
      <t>ホショウショ</t>
    </rPh>
    <rPh sb="4" eb="6">
      <t>トリセツ</t>
    </rPh>
    <phoneticPr fontId="13"/>
  </si>
  <si>
    <t>大阪 303 ち 3103</t>
    <rPh sb="0" eb="2">
      <t>オオサカ</t>
    </rPh>
    <phoneticPr fontId="13"/>
  </si>
  <si>
    <t>大坂ﾄﾖﾍﾟｯﾄ株式会社</t>
    <rPh sb="0" eb="2">
      <t>オオサカ</t>
    </rPh>
    <rPh sb="8" eb="12">
      <t>カブシキガイシャ</t>
    </rPh>
    <phoneticPr fontId="13"/>
  </si>
  <si>
    <t>なにわ 5X0 ろ 9723</t>
    <phoneticPr fontId="13"/>
  </si>
  <si>
    <t>株式会社JCMｶｰﾈｸｽﾄ</t>
    <phoneticPr fontId="13"/>
  </si>
  <si>
    <t>なにわ 5X0 ろ 1349</t>
    <phoneticPr fontId="13"/>
  </si>
  <si>
    <t>株式会社はなまる</t>
    <rPh sb="0" eb="4">
      <t>カブシキガイシャ</t>
    </rPh>
    <phoneticPr fontId="13"/>
  </si>
  <si>
    <t>ｷｰﾚｽ</t>
    <phoneticPr fontId="13"/>
  </si>
  <si>
    <t>広島 597 て 23</t>
    <rPh sb="0" eb="2">
      <t>ヒロシマ</t>
    </rPh>
    <phoneticPr fontId="13"/>
  </si>
  <si>
    <t>有限会社ﾏﾙｿｳ自動車</t>
    <rPh sb="0" eb="4">
      <t>ユウゲンカイシャ</t>
    </rPh>
    <rPh sb="8" eb="11">
      <t>ジドウシャ</t>
    </rPh>
    <phoneticPr fontId="13"/>
  </si>
  <si>
    <t>島根 584 ほ 32</t>
    <rPh sb="0" eb="2">
      <t>シマネ</t>
    </rPh>
    <phoneticPr fontId="13"/>
  </si>
  <si>
    <t>島根ﾄﾖﾍﾟｯﾄ株式会社</t>
    <rPh sb="0" eb="2">
      <t>シマネ</t>
    </rPh>
    <rPh sb="8" eb="12">
      <t>カブシキガイシャ</t>
    </rPh>
    <phoneticPr fontId="13"/>
  </si>
  <si>
    <t>奈良 584 ろ 3211</t>
    <rPh sb="0" eb="2">
      <t>ナラ</t>
    </rPh>
    <phoneticPr fontId="13"/>
  </si>
  <si>
    <t>奈良ﾀﾞｲﾊﾂ株式会社</t>
    <rPh sb="0" eb="2">
      <t>ナラ</t>
    </rPh>
    <rPh sb="7" eb="11">
      <t>カブシキガイシャ</t>
    </rPh>
    <phoneticPr fontId="13"/>
  </si>
  <si>
    <t>保証書 取説 ﾅﾋﾞ取 ｷｰﾚｽ</t>
    <rPh sb="0" eb="3">
      <t>ホショウショ</t>
    </rPh>
    <rPh sb="4" eb="6">
      <t>トリセツ</t>
    </rPh>
    <rPh sb="10" eb="11">
      <t>トリ</t>
    </rPh>
    <phoneticPr fontId="13"/>
  </si>
  <si>
    <t>なにわ 5X0 ろ 9116</t>
    <phoneticPr fontId="13"/>
  </si>
  <si>
    <t>広島 581 た 3194</t>
    <rPh sb="0" eb="2">
      <t>ヒロシマ</t>
    </rPh>
    <phoneticPr fontId="13"/>
  </si>
  <si>
    <t>株式会社ｻｺﾀﾞ車輌</t>
    <rPh sb="0" eb="4">
      <t>カブシキガイシャ</t>
    </rPh>
    <rPh sb="8" eb="10">
      <t>シャリョウ</t>
    </rPh>
    <phoneticPr fontId="13"/>
  </si>
  <si>
    <t>広島 587 ろ 641</t>
    <rPh sb="0" eb="2">
      <t>ヒロシマ</t>
    </rPh>
    <phoneticPr fontId="13"/>
  </si>
  <si>
    <t>ﾀﾞｲﾊﾂ広島販売株式会社</t>
    <rPh sb="5" eb="13">
      <t>ヒロシマハンバイカブシキガイシャ</t>
    </rPh>
    <phoneticPr fontId="13"/>
  </si>
  <si>
    <t>なにわ 5X0 ろ 1240</t>
    <phoneticPr fontId="13"/>
  </si>
  <si>
    <t>株式会社ｲﾁﾈﾝ</t>
    <rPh sb="0" eb="4">
      <t>カブシキガイシャ</t>
    </rPh>
    <phoneticPr fontId="13"/>
  </si>
  <si>
    <t>広島 581 く 7846</t>
    <rPh sb="0" eb="2">
      <t>ヒロシマ</t>
    </rPh>
    <phoneticPr fontId="13"/>
  </si>
  <si>
    <t>ﾈｯﾂﾄﾖﾀ南国株式会社</t>
    <rPh sb="6" eb="8">
      <t>ナンゴク</t>
    </rPh>
    <rPh sb="8" eb="12">
      <t>カブシキガイシャ</t>
    </rPh>
    <phoneticPr fontId="13"/>
  </si>
  <si>
    <t>芙蓉ｵｰﾄﾘｰｽ株式会社</t>
    <rPh sb="0" eb="2">
      <t>フヨウ</t>
    </rPh>
    <rPh sb="8" eb="12">
      <t>カブシキガイシャ</t>
    </rPh>
    <phoneticPr fontId="13"/>
  </si>
  <si>
    <t>保証書 ｷｰﾚｽ ﾚﾝﾀｶｰ</t>
    <rPh sb="0" eb="3">
      <t>ホショウショ</t>
    </rPh>
    <phoneticPr fontId="13"/>
  </si>
  <si>
    <t>USS神戸(ﾜﾝｸﾘ)</t>
    <rPh sb="3" eb="5">
      <t>コウベ</t>
    </rPh>
    <phoneticPr fontId="13"/>
  </si>
  <si>
    <t>株式会社名鉄ｱｵﾄ</t>
    <rPh sb="0" eb="4">
      <t>カブシキガイシャ</t>
    </rPh>
    <rPh sb="4" eb="6">
      <t>メイテツ</t>
    </rPh>
    <phoneticPr fontId="13"/>
  </si>
  <si>
    <t>ｷｰﾚｽ ｽﾀｰﾄﾎﾞﾀﾝ(車内) 保証書 取説</t>
    <rPh sb="14" eb="16">
      <t>シャナイ</t>
    </rPh>
    <rPh sb="18" eb="21">
      <t>ホショウショ</t>
    </rPh>
    <rPh sb="22" eb="24">
      <t>トリセツ</t>
    </rPh>
    <phoneticPr fontId="13"/>
  </si>
  <si>
    <t>ｷｰﾚｽ ｽﾀｰﾄﾎﾞﾀﾝ(車内) 取説</t>
    <rPh sb="14" eb="16">
      <t>シャナイ</t>
    </rPh>
    <rPh sb="18" eb="20">
      <t>トリセツ</t>
    </rPh>
    <phoneticPr fontId="13"/>
  </si>
  <si>
    <t>岐阜 399 の 6293</t>
    <rPh sb="0" eb="2">
      <t>ギフ</t>
    </rPh>
    <phoneticPr fontId="13"/>
  </si>
  <si>
    <t>株式会社名鉄ｱｵﾄ</t>
    <rPh sb="0" eb="6">
      <t>カブシキガイシャメイテツ</t>
    </rPh>
    <phoneticPr fontId="13"/>
  </si>
  <si>
    <t>ﾕﾆﾊﾞｰｻﾙﾓｰﾀｰ株式会社</t>
    <rPh sb="11" eb="15">
      <t>カブシキガイシャ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</si>
  <si>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</si>
  <si>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長崎 300 ひ 5708</t>
    <rPh sb="0" eb="2">
      <t>ナガサキ</t>
    </rPh>
    <phoneticPr fontId="13"/>
  </si>
  <si>
    <t>株式会社MATSUFUJI</t>
    <rPh sb="0" eb="4">
      <t>カブシキガイシャ</t>
    </rPh>
    <phoneticPr fontId="13"/>
  </si>
  <si>
    <t>保証書 取説 ｽﾏｰﾄｷｰ</t>
    <rPh sb="0" eb="3">
      <t>ホショウショ</t>
    </rPh>
    <rPh sb="4" eb="6">
      <t>トリセツ</t>
    </rPh>
    <phoneticPr fontId="13"/>
  </si>
  <si>
    <t>広島 302 す 7658</t>
    <rPh sb="0" eb="2">
      <t>ヒロシマ</t>
    </rPh>
    <phoneticPr fontId="13"/>
  </si>
  <si>
    <t>株式会社ﾊﾞﾙｺﾑﾓｰﾀｰｽ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</si>
  <si>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</si>
  <si>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広島 302 に 1430</t>
    <rPh sb="0" eb="2">
      <t>ヒロシマ</t>
    </rPh>
    <phoneticPr fontId="13"/>
  </si>
  <si>
    <t>保証書 取説 ﾃﾞｨｽﾌﾟﾚｲｷｰ ﾒｶｷｰ</t>
    <rPh sb="0" eb="3">
      <t>ホショウショ</t>
    </rPh>
    <rPh sb="4" eb="6">
      <t>トリセツ</t>
    </rPh>
    <phoneticPr fontId="13"/>
  </si>
  <si>
    <t>広島 583 え 8487</t>
    <rPh sb="0" eb="2">
      <t>ヒロシマ</t>
    </rPh>
    <phoneticPr fontId="13"/>
  </si>
  <si>
    <t>X STAR株式会社</t>
    <rPh sb="6" eb="10">
      <t>カブシキガイシャ</t>
    </rPh>
    <phoneticPr fontId="13"/>
  </si>
  <si>
    <t>保証書 取説 ｷｰﾚｽ ﾅﾋﾞ取</t>
    <rPh sb="0" eb="3">
      <t>ホショウショ</t>
    </rPh>
    <rPh sb="4" eb="6">
      <t>トリセツ</t>
    </rPh>
    <rPh sb="15" eb="16">
      <t>トリ</t>
    </rPh>
    <phoneticPr fontId="13"/>
  </si>
  <si>
    <t>湘南 338 ゆ 926</t>
    <rPh sb="0" eb="2">
      <t>ショウナン</t>
    </rPh>
    <phoneticPr fontId="13"/>
  </si>
  <si>
    <t>山本 裕太</t>
    <rPh sb="0" eb="2">
      <t>ヤマモト</t>
    </rPh>
    <rPh sb="3" eb="5">
      <t>ユウタ</t>
    </rPh>
    <phoneticPr fontId="13"/>
  </si>
  <si>
    <t>保証書 取説 ｷｰﾚｽ ﾜﾝｵｰﾅｰ 印鑑証明6/29</t>
    <rPh sb="0" eb="3">
      <t>ホショウショ</t>
    </rPh>
    <rPh sb="4" eb="6">
      <t>トリセツ</t>
    </rPh>
    <rPh sb="19" eb="23">
      <t>インカンショウメイ</t>
    </rPh>
    <phoneticPr fontId="13"/>
  </si>
  <si>
    <t>岡山 583 う 1190</t>
    <rPh sb="0" eb="2">
      <t>オカヤマ</t>
    </rPh>
    <phoneticPr fontId="13"/>
  </si>
  <si>
    <t>栗原 喜美子</t>
    <rPh sb="0" eb="2">
      <t>クリハラ</t>
    </rPh>
    <rPh sb="3" eb="6">
      <t>キミコ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</si>
  <si>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</si>
  <si>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安達建設株式会社</t>
    <rPh sb="0" eb="2">
      <t>アダチ</t>
    </rPh>
    <rPh sb="2" eb="4">
      <t>ケンセツ</t>
    </rPh>
    <rPh sb="4" eb="8">
      <t>カブシキガイシャ</t>
    </rPh>
    <phoneticPr fontId="13"/>
  </si>
  <si>
    <t>保証書 取説 ｷｰﾚｽ(車内)</t>
    <rPh sb="0" eb="3">
      <t>ホショウショ</t>
    </rPh>
    <rPh sb="4" eb="6">
      <t>トリセツ</t>
    </rPh>
    <rPh sb="12" eb="14">
      <t>シャナイ</t>
    </rPh>
    <phoneticPr fontId="13"/>
  </si>
  <si>
    <t>地図SD(車内)保証書 取説 ﾅﾋﾞ取</t>
    <rPh sb="8" eb="11">
      <t>ホショウショ</t>
    </rPh>
    <rPh sb="12" eb="14">
      <t>トリセツ</t>
    </rPh>
    <rPh sb="18" eb="19">
      <t>トリ</t>
    </rPh>
    <phoneticPr fontId="13"/>
  </si>
  <si>
    <t>地図SD(車内)</t>
    <phoneticPr fontId="13"/>
  </si>
  <si>
    <t>地図SD(車内)取説 ｷｰﾚｽ 記録紙1枚</t>
    <rPh sb="8" eb="10">
      <t>トリセツ</t>
    </rPh>
    <rPh sb="16" eb="19">
      <t>キロクシ</t>
    </rPh>
    <rPh sb="20" eb="21">
      <t>マイ</t>
    </rPh>
    <phoneticPr fontId="13"/>
  </si>
  <si>
    <t>SD(書類と一緒に)保証書 取説 ｷｰﾚｽ(車内)</t>
    <rPh sb="3" eb="5">
      <t>ショルイ</t>
    </rPh>
    <rPh sb="6" eb="8">
      <t>イッショ</t>
    </rPh>
    <rPh sb="10" eb="13">
      <t>ホショウショ</t>
    </rPh>
    <rPh sb="14" eb="16">
      <t>トリセツ</t>
    </rPh>
    <rPh sb="22" eb="24">
      <t>シャナイ</t>
    </rPh>
    <phoneticPr fontId="13"/>
  </si>
  <si>
    <t>保証書 取説 ｽﾍﾟｱｷｰ(車内)</t>
    <rPh sb="0" eb="3">
      <t>ホショウショ</t>
    </rPh>
    <rPh sb="4" eb="6">
      <t>トリセツ</t>
    </rPh>
    <rPh sb="14" eb="16">
      <t>シャナイ</t>
    </rPh>
    <phoneticPr fontId="13"/>
  </si>
  <si>
    <t>取説 ｷｰﾚｽ(車内)</t>
    <rPh sb="0" eb="2">
      <t>トリセツ</t>
    </rPh>
    <phoneticPr fontId="13"/>
  </si>
  <si>
    <t>取説 ｽﾍﾟｱｷｰ(車内)</t>
    <rPh sb="0" eb="2">
      <t>トリセツ</t>
    </rPh>
    <phoneticPr fontId="13"/>
  </si>
  <si>
    <t>保証書 取説 地図SD(車内)</t>
    <rPh sb="0" eb="3">
      <t>ホショウショ</t>
    </rPh>
    <rPh sb="4" eb="6">
      <t>トリセツ</t>
    </rPh>
    <rPh sb="7" eb="9">
      <t>チズ</t>
    </rPh>
    <phoneticPr fontId="13"/>
  </si>
  <si>
    <t>保証書 取説(車内)</t>
    <rPh sb="0" eb="3">
      <t>ホショウショ</t>
    </rPh>
    <rPh sb="4" eb="6">
      <t>トリセツ</t>
    </rPh>
    <phoneticPr fontId="13"/>
  </si>
  <si>
    <t>27-3990</t>
  </si>
  <si>
    <t>27-3991</t>
  </si>
  <si>
    <t>27-3992</t>
  </si>
  <si>
    <t>27-3993</t>
  </si>
  <si>
    <t>27-3994</t>
  </si>
  <si>
    <t>27-3995</t>
  </si>
  <si>
    <t>27-3996</t>
  </si>
  <si>
    <t>27-3997</t>
  </si>
  <si>
    <t>27-3998</t>
  </si>
  <si>
    <t>27-3999</t>
  </si>
  <si>
    <t>27-4000</t>
  </si>
  <si>
    <t>27-4001</t>
  </si>
  <si>
    <t>27-4002</t>
  </si>
  <si>
    <t>27-4003</t>
  </si>
  <si>
    <t>27-4004</t>
  </si>
  <si>
    <t>27-4005</t>
  </si>
  <si>
    <t>27-4006</t>
  </si>
  <si>
    <t>27-4007</t>
  </si>
  <si>
    <t>27-4008</t>
  </si>
  <si>
    <t>27-4009</t>
  </si>
  <si>
    <t>27-4010</t>
  </si>
  <si>
    <t>27-4011</t>
  </si>
  <si>
    <t>27-4012</t>
  </si>
  <si>
    <t>27-4013</t>
  </si>
  <si>
    <t>27-4014</t>
  </si>
  <si>
    <t>27-4015</t>
  </si>
  <si>
    <t>27-4016</t>
  </si>
  <si>
    <t>27-4017</t>
  </si>
  <si>
    <t>27-4018</t>
  </si>
  <si>
    <t>27-4019</t>
  </si>
  <si>
    <t>27-4020</t>
  </si>
  <si>
    <t>27-4021</t>
  </si>
  <si>
    <t>27-4022</t>
  </si>
  <si>
    <t>27-4023</t>
  </si>
  <si>
    <t>27-4024</t>
  </si>
  <si>
    <t>27-4025</t>
  </si>
  <si>
    <t>27-4026</t>
  </si>
  <si>
    <t>LA250S-0038888</t>
    <phoneticPr fontId="13"/>
  </si>
  <si>
    <t>MG33S-662496</t>
    <phoneticPr fontId="13"/>
  </si>
  <si>
    <t>DS64V-900093</t>
    <phoneticPr fontId="13"/>
  </si>
  <si>
    <t>LA300S-1368586</t>
    <phoneticPr fontId="13"/>
  </si>
  <si>
    <t>H58A-0806034</t>
    <phoneticPr fontId="13"/>
  </si>
  <si>
    <t>MK33V-204748</t>
    <phoneticPr fontId="13"/>
  </si>
  <si>
    <t>MR41S-377611</t>
    <phoneticPr fontId="13"/>
  </si>
  <si>
    <t>LA150S-0173836</t>
    <phoneticPr fontId="13"/>
  </si>
  <si>
    <t>LA600S-0713544</t>
    <phoneticPr fontId="13"/>
  </si>
  <si>
    <t>DA17V-454125</t>
    <phoneticPr fontId="13"/>
  </si>
  <si>
    <t>LA800S-0226504</t>
    <phoneticPr fontId="13"/>
  </si>
  <si>
    <t>DA17V-471149</t>
    <phoneticPr fontId="13"/>
  </si>
  <si>
    <t>MK53S-346959</t>
    <phoneticPr fontId="13"/>
  </si>
  <si>
    <t>MR41S-280368</t>
    <phoneticPr fontId="13"/>
  </si>
  <si>
    <t>ﾐﾗｲﾌﾞ大阪（ｱｲｵｰｸ）</t>
    <rPh sb="5" eb="7">
      <t>オオサカ</t>
    </rPh>
    <phoneticPr fontId="13"/>
  </si>
  <si>
    <t>ZRR80-0422941</t>
    <phoneticPr fontId="13"/>
  </si>
  <si>
    <t>UCF31-0054470</t>
    <phoneticPr fontId="13"/>
  </si>
  <si>
    <t>NKE165-7191728</t>
    <phoneticPr fontId="13"/>
  </si>
  <si>
    <t>MXPH10-2036141</t>
    <phoneticPr fontId="13"/>
  </si>
  <si>
    <t>AXUH80-0082855</t>
    <phoneticPr fontId="13"/>
  </si>
  <si>
    <t>RV5-1023770</t>
    <phoneticPr fontId="13"/>
  </si>
  <si>
    <t>DKLFW-105050</t>
    <phoneticPr fontId="13"/>
  </si>
  <si>
    <t>LA800S-0153563</t>
    <phoneticPr fontId="13"/>
  </si>
  <si>
    <t>ﾊｲｾﾞｯﾄﾄﾗｯｸ</t>
    <phoneticPr fontId="13"/>
  </si>
  <si>
    <t>S500P-0069763</t>
    <phoneticPr fontId="13"/>
  </si>
  <si>
    <t>JF1-1507246</t>
    <phoneticPr fontId="13"/>
  </si>
  <si>
    <t>LA350S-0249516</t>
    <phoneticPr fontId="13"/>
  </si>
  <si>
    <t>S510P-0431210</t>
    <phoneticPr fontId="13"/>
  </si>
  <si>
    <t>LA800S-0291255</t>
    <phoneticPr fontId="13"/>
  </si>
  <si>
    <t>DA17V-576505</t>
    <phoneticPr fontId="13"/>
  </si>
  <si>
    <t>S321V-0394554</t>
    <phoneticPr fontId="13"/>
  </si>
  <si>
    <t>DA17V-611828</t>
    <phoneticPr fontId="13"/>
  </si>
  <si>
    <t>HE33S-129487</t>
    <phoneticPr fontId="13"/>
  </si>
  <si>
    <t>LA350S-0251744</t>
    <phoneticPr fontId="13"/>
  </si>
  <si>
    <t>LA350S-0251797</t>
    <phoneticPr fontId="13"/>
  </si>
  <si>
    <t>MK53S-613526</t>
    <phoneticPr fontId="13"/>
  </si>
  <si>
    <t>DA17V-884050</t>
    <phoneticPr fontId="13"/>
  </si>
  <si>
    <t>MH23S-916908</t>
    <phoneticPr fontId="13"/>
  </si>
  <si>
    <t>DA64W-381425</t>
    <phoneticPr fontId="13"/>
  </si>
  <si>
    <t>E13-225590</t>
    <phoneticPr fontId="13"/>
  </si>
  <si>
    <t>E13-225170</t>
    <phoneticPr fontId="13"/>
  </si>
  <si>
    <t>E13-224579</t>
    <phoneticPr fontId="13"/>
  </si>
  <si>
    <t>27-4027</t>
  </si>
  <si>
    <t>27-4028</t>
  </si>
  <si>
    <t>27-4029</t>
  </si>
  <si>
    <t>27-4030</t>
  </si>
  <si>
    <t>27-4031</t>
  </si>
  <si>
    <t>27-4032</t>
  </si>
  <si>
    <t>27-4033</t>
  </si>
  <si>
    <t>27-4034</t>
  </si>
  <si>
    <t>27-4035</t>
  </si>
  <si>
    <t>27-4036</t>
  </si>
  <si>
    <t>27-4037</t>
  </si>
  <si>
    <t>27-4038</t>
  </si>
  <si>
    <t>27-4039</t>
  </si>
  <si>
    <t>27-4040</t>
  </si>
  <si>
    <t>27-4041</t>
  </si>
  <si>
    <t>27-4042</t>
  </si>
  <si>
    <t>27-4043</t>
  </si>
  <si>
    <t>E13-225152</t>
    <phoneticPr fontId="13"/>
  </si>
  <si>
    <t>S510P-0428439</t>
    <phoneticPr fontId="13"/>
  </si>
  <si>
    <t>USS大阪</t>
    <rPh sb="3" eb="5">
      <t>オオサカ</t>
    </rPh>
    <phoneticPr fontId="13"/>
  </si>
  <si>
    <t>DA17W-206109</t>
    <phoneticPr fontId="13"/>
  </si>
  <si>
    <t>USS名古屋</t>
    <rPh sb="3" eb="6">
      <t>ナゴヤ</t>
    </rPh>
    <phoneticPr fontId="13"/>
  </si>
  <si>
    <t>ﾙﾉｰｶﾝｸﾞｰ　ｾﾞﾝ</t>
    <phoneticPr fontId="13"/>
  </si>
  <si>
    <t>BMWﾐﾆｸｰﾊﾟｰ　ｸﾛｽｵｰﾊﾞｰ</t>
    <phoneticPr fontId="13"/>
  </si>
  <si>
    <t>LAA岡山</t>
    <rPh sb="3" eb="5">
      <t>オカヤマ</t>
    </rPh>
    <phoneticPr fontId="13"/>
  </si>
  <si>
    <t>27-4044</t>
  </si>
  <si>
    <t>27-4045</t>
  </si>
  <si>
    <t>27-4046</t>
  </si>
  <si>
    <t>27-4047</t>
  </si>
  <si>
    <t>27-4048</t>
  </si>
  <si>
    <t>27-4049</t>
  </si>
  <si>
    <t>27-4050</t>
  </si>
  <si>
    <t>27-4051</t>
  </si>
  <si>
    <t>27-4052</t>
  </si>
  <si>
    <t>27-4053</t>
  </si>
  <si>
    <t>27-4054</t>
  </si>
  <si>
    <t>27-4055</t>
  </si>
  <si>
    <t>27-4056</t>
  </si>
  <si>
    <t>27-4057</t>
  </si>
  <si>
    <t>27-4058</t>
  </si>
  <si>
    <t>ﾌｨｯﾄ　13G　Sﾎﾝﾀﾞｾﾝｼﾝｸﾞ</t>
    <phoneticPr fontId="13"/>
  </si>
  <si>
    <t>GK3-1330160</t>
    <phoneticPr fontId="13"/>
  </si>
  <si>
    <t>ZVW50-8015452</t>
    <phoneticPr fontId="13"/>
  </si>
  <si>
    <t>ｷｬｽﾄｽﾀｲﾙ　G　SaⅡ</t>
    <phoneticPr fontId="13"/>
  </si>
  <si>
    <t>LA250S-0015239</t>
    <phoneticPr fontId="13"/>
  </si>
  <si>
    <t>ｳﾞｪﾙﾌｧｲｱ　Z　Aｴﾃﾞｨｼｮﾝ</t>
    <phoneticPr fontId="13"/>
  </si>
  <si>
    <t>AGH30-0125594</t>
    <phoneticPr fontId="13"/>
  </si>
  <si>
    <t>ｴｸｽﾄﾚｲﾙ　20XI</t>
    <phoneticPr fontId="13"/>
  </si>
  <si>
    <t>NT32-304987</t>
    <phoneticPr fontId="13"/>
  </si>
  <si>
    <t>ﾌｨｯﾄ　ｸﾛｽﾀｰ</t>
    <phoneticPr fontId="13"/>
  </si>
  <si>
    <t>GR5-1001936</t>
    <phoneticPr fontId="13"/>
  </si>
  <si>
    <t>ﾗﾝﾄﾞｸﾙｰｻﾞｰﾌﾟﾗﾄﾞ　TX</t>
    <phoneticPr fontId="13"/>
  </si>
  <si>
    <t>TRJ150-0087139</t>
    <phoneticPr fontId="13"/>
  </si>
  <si>
    <t>ｸﾗｳﾝﾏｼﾞｪｽﾀ　Fﾊﾞｰｼﾞｮﾝ</t>
    <phoneticPr fontId="13"/>
  </si>
  <si>
    <t>GWS214-6013716</t>
    <phoneticPr fontId="13"/>
  </si>
  <si>
    <t>CX-30　20S　ﾌﾟﾛｱｸﾃｨﾌﾞ</t>
    <phoneticPr fontId="13"/>
  </si>
  <si>
    <t>DMEP-116180</t>
    <phoneticPr fontId="13"/>
  </si>
  <si>
    <t>ﾊﾘｱｰﾊｲﾌﾞﾘｯﾄﾞ　ﾌﾟﾚﾐｱﾑ</t>
    <phoneticPr fontId="13"/>
  </si>
  <si>
    <t>AVU65-0033049</t>
    <phoneticPr fontId="13"/>
  </si>
  <si>
    <t>LA650S-0126878</t>
    <phoneticPr fontId="13"/>
  </si>
  <si>
    <t>NHP170-7241402</t>
    <phoneticPr fontId="13"/>
  </si>
  <si>
    <t>MK53S-863481</t>
    <phoneticPr fontId="13"/>
  </si>
  <si>
    <t>ﾃﾞｲｽﾞ　X</t>
    <phoneticPr fontId="13"/>
  </si>
  <si>
    <t>B43W-0514756</t>
    <phoneticPr fontId="13"/>
  </si>
  <si>
    <t>Sellca</t>
    <phoneticPr fontId="13"/>
  </si>
  <si>
    <t>A344599</t>
    <phoneticPr fontId="13"/>
  </si>
  <si>
    <t>BP8P-202914</t>
    <phoneticPr fontId="13"/>
  </si>
  <si>
    <t>A343557</t>
    <phoneticPr fontId="13"/>
  </si>
  <si>
    <t>LA600S-0540943</t>
    <phoneticPr fontId="13"/>
  </si>
  <si>
    <t>ZIP東京</t>
    <rPh sb="3" eb="5">
      <t>トウキョウ</t>
    </rPh>
    <phoneticPr fontId="13"/>
  </si>
  <si>
    <t>28/3</t>
    <phoneticPr fontId="13"/>
  </si>
  <si>
    <t>青</t>
    <rPh sb="0" eb="1">
      <t>アオ</t>
    </rPh>
    <phoneticPr fontId="13"/>
  </si>
  <si>
    <t>ｷｬｽﾄ　ｱｸﾃｨﾊﾞX</t>
    <phoneticPr fontId="13"/>
  </si>
  <si>
    <t>9/3/30</t>
    <phoneticPr fontId="13"/>
  </si>
  <si>
    <t>滋賀　581　く　2906</t>
    <rPh sb="0" eb="2">
      <t>シガ</t>
    </rPh>
    <phoneticPr fontId="13"/>
  </si>
  <si>
    <t>26/2</t>
    <phoneticPr fontId="13"/>
  </si>
  <si>
    <t>ﾓｺ　S</t>
    <phoneticPr fontId="13"/>
  </si>
  <si>
    <t>9/2/19</t>
    <phoneticPr fontId="13"/>
  </si>
  <si>
    <t>ﾐﾆｷｬﾌﾞV　ﾌﾞﾗﾎﾞｰﾀｰﾎﾞ</t>
    <phoneticPr fontId="13"/>
  </si>
  <si>
    <t>黒</t>
    <rPh sb="0" eb="1">
      <t>クロ</t>
    </rPh>
    <phoneticPr fontId="13"/>
  </si>
  <si>
    <t>ﾐﾗｲｰｽ　XﾘﾐﾃｯﾄﾞSA</t>
    <phoneticPr fontId="13"/>
  </si>
  <si>
    <t>9/3/9</t>
    <phoneticPr fontId="13"/>
  </si>
  <si>
    <t>浜松　582　く　2459</t>
    <rPh sb="0" eb="2">
      <t>ハママツ</t>
    </rPh>
    <phoneticPr fontId="13"/>
  </si>
  <si>
    <t>取説</t>
    <rPh sb="0" eb="2">
      <t>トリセツ</t>
    </rPh>
    <phoneticPr fontId="13"/>
  </si>
  <si>
    <t>21/2</t>
    <phoneticPr fontId="13"/>
  </si>
  <si>
    <t>ﾊﾟｼﾞｪﾛﾐﾆ　VR</t>
    <phoneticPr fontId="13"/>
  </si>
  <si>
    <t>Sｷｰ</t>
    <phoneticPr fontId="13"/>
  </si>
  <si>
    <t>6/8</t>
    <phoneticPr fontId="13"/>
  </si>
  <si>
    <t>ｽﾍﾟｰｼｱ　XF</t>
    <phoneticPr fontId="13"/>
  </si>
  <si>
    <t>保証書</t>
    <rPh sb="0" eb="3">
      <t>ホショウショ</t>
    </rPh>
    <phoneticPr fontId="13"/>
  </si>
  <si>
    <t>1/11</t>
    <phoneticPr fontId="13"/>
  </si>
  <si>
    <t>赤</t>
    <rPh sb="0" eb="1">
      <t>アカ</t>
    </rPh>
    <phoneticPr fontId="13"/>
  </si>
  <si>
    <t>ﾊｽﾗｰ　G</t>
    <phoneticPr fontId="13"/>
  </si>
  <si>
    <t>8/11/19</t>
    <phoneticPr fontId="13"/>
  </si>
  <si>
    <t>浜松　582　う　9484</t>
    <rPh sb="0" eb="2">
      <t>ハママツ</t>
    </rPh>
    <phoneticPr fontId="13"/>
  </si>
  <si>
    <t>31/1</t>
    <phoneticPr fontId="13"/>
  </si>
  <si>
    <t>ｲｴﾛｰ</t>
    <phoneticPr fontId="13"/>
  </si>
  <si>
    <t>ﾑｰｳﾞ　L SaⅢ</t>
    <phoneticPr fontId="13"/>
  </si>
  <si>
    <t>ﾋﾟﾝｸ</t>
    <phoneticPr fontId="13"/>
  </si>
  <si>
    <t>ﾀﾝﾄ　L　SaⅢ</t>
    <phoneticPr fontId="13"/>
  </si>
  <si>
    <t>2/1</t>
    <phoneticPr fontId="13"/>
  </si>
  <si>
    <t>白</t>
    <rPh sb="0" eb="1">
      <t>シロ</t>
    </rPh>
    <phoneticPr fontId="13"/>
  </si>
  <si>
    <t>ｴﾌﾞﾘｨV　ｼﾞｮｲﾝ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</si>
  <si>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</si>
  <si>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2/4</t>
    <phoneticPr fontId="13"/>
  </si>
  <si>
    <t>2/8</t>
    <phoneticPr fontId="13"/>
  </si>
  <si>
    <t>ﾑｰｳﾞｷｬﾝﾊﾞｽ　G　ﾌﾞﾗｯｸｲﾝﾃﾘｱLTD</t>
    <phoneticPr fontId="13"/>
  </si>
  <si>
    <t>9/8/3</t>
    <phoneticPr fontId="13"/>
  </si>
  <si>
    <t>保証書　取説　地図SD　ｽﾍﾟｱｷｰ　ﾜﾝｵｰﾅｰ</t>
    <rPh sb="0" eb="3">
      <t>ホショウショ</t>
    </rPh>
    <rPh sb="4" eb="6">
      <t>トリセツ</t>
    </rPh>
    <rPh sb="7" eb="9">
      <t>チズ</t>
    </rPh>
    <phoneticPr fontId="13"/>
  </si>
  <si>
    <t>ｴﾌﾞﾘｨV　PA</t>
    <phoneticPr fontId="13"/>
  </si>
  <si>
    <t>3/3</t>
    <phoneticPr fontId="13"/>
  </si>
  <si>
    <t>ｽﾍﾟｰｼｱ　ﾊｲﾌﾞﾘｯﾄﾞX</t>
    <phoneticPr fontId="13"/>
  </si>
  <si>
    <t>保証書　取説　ｽﾍﾟｱｽﾏｰﾄｷｰ</t>
    <rPh sb="0" eb="3">
      <t>ホショウショ</t>
    </rPh>
    <rPh sb="4" eb="6">
      <t>トリセツ</t>
    </rPh>
    <phoneticPr fontId="13"/>
  </si>
  <si>
    <t>30/4</t>
    <phoneticPr fontId="13"/>
  </si>
  <si>
    <t>ﾊｽﾗー　G</t>
    <phoneticPr fontId="13"/>
  </si>
  <si>
    <t>5/1</t>
    <phoneticPr fontId="13"/>
  </si>
  <si>
    <t>ｸﾞﾚｰ</t>
    <phoneticPr fontId="13"/>
  </si>
  <si>
    <t>MAZDA3　ﾌｧｽﾄﾊﾞｯｸ　XDﾌﾟﾛｱｸﾃｨﾌﾞ</t>
    <phoneticPr fontId="13"/>
  </si>
  <si>
    <t>10/1/28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</si>
  <si>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</si>
  <si>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29/4</t>
    <phoneticPr fontId="13"/>
  </si>
  <si>
    <t>ﾀﾝﾄｶｽﾀﾑ　X　SaⅢ</t>
    <phoneticPr fontId="13"/>
  </si>
  <si>
    <t>ｳﾞｫｸｼｰ　ZSｷﾗﾒｷ</t>
    <phoneticPr fontId="13"/>
  </si>
  <si>
    <t>9/4</t>
    <phoneticPr fontId="13"/>
  </si>
  <si>
    <t>奈良　344　た　13</t>
    <rPh sb="0" eb="2">
      <t>ナラ</t>
    </rPh>
    <phoneticPr fontId="13"/>
  </si>
  <si>
    <t>保証書　取説　ﾅﾋﾞ取</t>
    <rPh sb="0" eb="3">
      <t>ホショウショ</t>
    </rPh>
    <rPh sb="4" eb="6">
      <t>トリセツ</t>
    </rPh>
    <rPh sb="10" eb="11">
      <t>トリ</t>
    </rPh>
    <phoneticPr fontId="13"/>
  </si>
  <si>
    <t>15/11</t>
    <phoneticPr fontId="13"/>
  </si>
  <si>
    <t>ｾﾙｼｵ　C</t>
    <phoneticPr fontId="13"/>
  </si>
  <si>
    <t>30/8</t>
    <phoneticPr fontId="13"/>
  </si>
  <si>
    <t>ｶﾛｰﾗﾌｨｰﾙﾀﾞｰ　ﾊｲﾌﾞﾘｯﾄﾞG　ﾀﾞﾌﾞﾙﾊﾞｲﾋﾞｰ</t>
    <phoneticPr fontId="13"/>
  </si>
  <si>
    <t>保証書　地図SD　ｽﾍﾟｱｷｰ</t>
    <rPh sb="0" eb="3">
      <t>ホショウショ</t>
    </rPh>
    <rPh sb="4" eb="6">
      <t>チズ</t>
    </rPh>
    <phoneticPr fontId="13"/>
  </si>
  <si>
    <t>2/10</t>
    <phoneticPr fontId="13"/>
  </si>
  <si>
    <t>ﾔﾘｽ　ﾊｲﾌﾞﾘｯﾄﾞX</t>
    <phoneticPr fontId="13"/>
  </si>
  <si>
    <t>5/12</t>
    <phoneticPr fontId="13"/>
  </si>
  <si>
    <t>ﾊﾘｱｰ　ﾊｲﾌﾞﾘｯﾄﾞG</t>
    <phoneticPr fontId="13"/>
  </si>
  <si>
    <t>8/12</t>
    <phoneticPr fontId="13"/>
  </si>
  <si>
    <t>なにわ　301　る　2184</t>
    <phoneticPr fontId="13"/>
  </si>
  <si>
    <t>保証書　取説　</t>
    <rPh sb="0" eb="3">
      <t>ホショウショ</t>
    </rPh>
    <rPh sb="4" eb="6">
      <t>トリセツ</t>
    </rPh>
    <phoneticPr fontId="13"/>
  </si>
  <si>
    <t>3/10</t>
    <phoneticPr fontId="13"/>
  </si>
  <si>
    <t>ｳﾞｪｾﾞﾙ　ﾊｲﾌﾞﾘｯﾄﾞ　eHEV-Z</t>
    <phoneticPr fontId="13"/>
  </si>
  <si>
    <t>SD</t>
    <phoneticPr fontId="13"/>
  </si>
  <si>
    <t>3/2</t>
    <phoneticPr fontId="13"/>
  </si>
  <si>
    <t>CX-3　15Sｱｰﾊﾞﾝﾄﾞﾚｯｻｰ</t>
    <phoneticPr fontId="13"/>
  </si>
  <si>
    <t>SD　ｽﾍﾟｱｷｰ</t>
    <phoneticPr fontId="13"/>
  </si>
  <si>
    <t>31/2</t>
    <phoneticPr fontId="13"/>
  </si>
  <si>
    <t>ﾑｰｳﾞｷｬﾝﾊﾞｽ　　X　SaⅢ</t>
    <phoneticPr fontId="13"/>
  </si>
  <si>
    <t>保証書　ｽﾍﾟｱｷｰ</t>
    <rPh sb="0" eb="3">
      <t>ホショウショ</t>
    </rPh>
    <phoneticPr fontId="13"/>
  </si>
  <si>
    <t>30/1</t>
    <phoneticPr fontId="13"/>
  </si>
  <si>
    <t>26/12</t>
    <phoneticPr fontId="13"/>
  </si>
  <si>
    <t>N　BOX　SSﾊﾟｯｹｰｼﾞ</t>
    <phoneticPr fontId="13"/>
  </si>
  <si>
    <t>9/12</t>
    <phoneticPr fontId="13"/>
  </si>
  <si>
    <t>名古屋　582　ひ　6825</t>
    <rPh sb="0" eb="3">
      <t>ナゴヤ</t>
    </rPh>
    <phoneticPr fontId="13"/>
  </si>
  <si>
    <t>4/2</t>
    <phoneticPr fontId="13"/>
  </si>
  <si>
    <t>ﾊｲｾﾞｯﾄﾄﾗｯｸ　ｼﾞｬﾝﾎﾞｴｸｽﾄﾗ</t>
    <phoneticPr fontId="13"/>
  </si>
  <si>
    <t>ﾑｰｳﾞｷｬﾝﾊﾞｽ　　Gﾌﾞﾗｯｸｲﾝﾃﾘｱ</t>
    <phoneticPr fontId="13"/>
  </si>
  <si>
    <t>9/2</t>
    <phoneticPr fontId="13"/>
  </si>
  <si>
    <t>神戸　582　ま　7393</t>
    <rPh sb="0" eb="2">
      <t>コウベ</t>
    </rPh>
    <phoneticPr fontId="13"/>
  </si>
  <si>
    <t>4/1</t>
    <phoneticPr fontId="13"/>
  </si>
  <si>
    <t>ｴﾌﾞﾘｨV　PAﾘﾐﾃｯﾄﾞ</t>
    <phoneticPr fontId="13"/>
  </si>
  <si>
    <t>ﾊｲｾﾞｯﾄｶｰｺﾞ　ﾃﾞﾗｯｸｽ　SaⅢ</t>
    <phoneticPr fontId="13"/>
  </si>
  <si>
    <t>堺　480　き　9712</t>
    <rPh sb="0" eb="1">
      <t>サカイ</t>
    </rPh>
    <phoneticPr fontId="13"/>
  </si>
  <si>
    <t>4/4</t>
    <phoneticPr fontId="13"/>
  </si>
  <si>
    <t>28/1</t>
    <phoneticPr fontId="13"/>
  </si>
  <si>
    <t>ｱﾙﾄﾗﾊﾟﾝ　L</t>
    <phoneticPr fontId="13"/>
  </si>
  <si>
    <t>ﾐﾗｲｰｽ　L　</t>
    <phoneticPr fontId="13"/>
  </si>
  <si>
    <t>ｵﾌﾌﾞﾙｰ</t>
    <phoneticPr fontId="13"/>
  </si>
  <si>
    <t>　ｴﾌﾞﾘｨV　ｼﾞｮｲﾝﾀｰﾎﾞ</t>
    <phoneticPr fontId="13"/>
  </si>
  <si>
    <t>地図SD　ﾐﾆB-CASｶｰﾄﾞ　ﾅﾝﾊﾞｰ</t>
    <rPh sb="0" eb="2">
      <t>チズ</t>
    </rPh>
    <phoneticPr fontId="13"/>
  </si>
  <si>
    <t>ﾉｰﾄ　X</t>
    <phoneticPr fontId="13"/>
  </si>
  <si>
    <t>大阪　580　わ　7378</t>
    <rPh sb="0" eb="2">
      <t>オオサカ</t>
    </rPh>
    <phoneticPr fontId="13"/>
  </si>
  <si>
    <t>保証書　取説　ﾅﾋﾞ取　ETC取説　ｽﾍﾟｱｽﾏｰﾄｷｰ　ﾚﾝﾀｶｰ</t>
    <rPh sb="0" eb="3">
      <t>ホショウショ</t>
    </rPh>
    <rPh sb="4" eb="6">
      <t>トリセツ</t>
    </rPh>
    <rPh sb="10" eb="11">
      <t>トリ</t>
    </rPh>
    <rPh sb="15" eb="17">
      <t>トリセツ</t>
    </rPh>
    <phoneticPr fontId="13"/>
  </si>
  <si>
    <t>VF1KW14B3K0805638</t>
    <phoneticPr fontId="13"/>
  </si>
  <si>
    <t>三河　302　ほ　5477</t>
    <rPh sb="0" eb="2">
      <t>ミカワ</t>
    </rPh>
    <phoneticPr fontId="13"/>
  </si>
  <si>
    <t>WMWYW320003L09303</t>
    <phoneticPr fontId="13"/>
  </si>
  <si>
    <t>9/9/24</t>
    <phoneticPr fontId="13"/>
  </si>
  <si>
    <t>名古屋　339　り　841</t>
    <rPh sb="0" eb="3">
      <t>ナゴヤ</t>
    </rPh>
    <phoneticPr fontId="13"/>
  </si>
  <si>
    <t>ﾌﾞﾛﾝﾄﾞ</t>
    <phoneticPr fontId="13"/>
  </si>
  <si>
    <t>9/4/15</t>
    <phoneticPr fontId="13"/>
  </si>
  <si>
    <t>8/11/12</t>
    <phoneticPr fontId="13"/>
  </si>
  <si>
    <t>10/3/25</t>
    <phoneticPr fontId="13"/>
  </si>
  <si>
    <t>ｱﾄﾞﾊﾞﾝｽｷｰX2（ﾘｽﾄに記載有）</t>
    <rPh sb="16" eb="19">
      <t>キサイアリ</t>
    </rPh>
    <phoneticPr fontId="13"/>
  </si>
  <si>
    <t>ﾀﾝﾄｶｽﾀﾑ　X　</t>
    <phoneticPr fontId="13"/>
  </si>
  <si>
    <t>ｼｴﾝﾀ　ﾊｲﾌﾞﾘｯﾄﾞ　ﾌｧﾝﾍﾞｰｽ　Gｸｴﾛ</t>
    <phoneticPr fontId="13"/>
  </si>
  <si>
    <t>10/3/20</t>
    <phoneticPr fontId="13"/>
  </si>
  <si>
    <t>NHP160-0030288</t>
    <phoneticPr fontId="13"/>
  </si>
  <si>
    <t>NHP160-0155756</t>
    <phoneticPr fontId="13"/>
  </si>
  <si>
    <t>NCP160-0157123</t>
    <phoneticPr fontId="13"/>
  </si>
  <si>
    <t>MN71S-138785</t>
    <phoneticPr fontId="13"/>
  </si>
  <si>
    <t>DK5FW-131957</t>
    <phoneticPr fontId="13"/>
  </si>
  <si>
    <t>ｶﾛｰﾗﾌｨｰﾙﾀﾞｰ　ﾊｲﾌﾞﾘｯﾄﾞG　WXB</t>
    <phoneticPr fontId="13"/>
  </si>
  <si>
    <t>NKE165-8018751</t>
    <phoneticPr fontId="13"/>
  </si>
  <si>
    <t>ｷｬﾘｨﾄﾗｯｸ　ｾｲｿｳﾀﾞﾝﾌﾟ</t>
    <phoneticPr fontId="13"/>
  </si>
  <si>
    <t>DA63T-633548</t>
    <phoneticPr fontId="13"/>
  </si>
  <si>
    <t>S500P-0115996</t>
    <phoneticPr fontId="13"/>
  </si>
  <si>
    <t>BMW320I　ﾂｰﾘﾝｸﾞMｽﾎﾟｰﾂ</t>
    <phoneticPr fontId="13"/>
  </si>
  <si>
    <t>27-4059</t>
  </si>
  <si>
    <t>27-4060</t>
  </si>
  <si>
    <t>27-4061</t>
  </si>
  <si>
    <t>27-4062</t>
  </si>
  <si>
    <t>27-4063</t>
  </si>
  <si>
    <t>27-4064</t>
  </si>
  <si>
    <t>BMWﾐﾆ　ｼﾞｮﾝｸｰﾊﾟｰﾜｰｸｽ　ｺﾝﾊﾞｰﾁﾌﾞﾙ</t>
    <phoneticPr fontId="13"/>
  </si>
  <si>
    <t>BMWX3　Xﾄﾞﾗｲﾌﾞ20DMｽﾎﾟｰﾂ</t>
    <phoneticPr fontId="13"/>
  </si>
  <si>
    <t>WMWXR92060TP21165</t>
    <phoneticPr fontId="13"/>
  </si>
  <si>
    <t>相模　331　に　2118</t>
    <rPh sb="0" eb="2">
      <t>サガミ</t>
    </rPh>
    <phoneticPr fontId="13"/>
  </si>
  <si>
    <t>保証書　取説　ﾅﾋﾞ取　ｽﾍﾟｱｽﾏｰﾄｷｰ　ﾜﾝｵｰﾅｰ</t>
    <rPh sb="0" eb="3">
      <t>ホショウショ</t>
    </rPh>
    <rPh sb="4" eb="6">
      <t>トリセツ</t>
    </rPh>
    <rPh sb="10" eb="11">
      <t>トリ</t>
    </rPh>
    <phoneticPr fontId="13"/>
  </si>
  <si>
    <t>保証書　取説　ﾅﾋﾞ取　地図SD　B-CASｶｰﾄﾞ　ｽﾏｰﾄｷｰ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</si>
  <si>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京都　480　は　6534</t>
    <rPh sb="0" eb="2">
      <t>キョウト</t>
    </rPh>
    <phoneticPr fontId="13"/>
  </si>
  <si>
    <t>保証書　取説　荷台鍵</t>
    <rPh sb="0" eb="3">
      <t>ホショウショ</t>
    </rPh>
    <rPh sb="4" eb="6">
      <t>トリセツ</t>
    </rPh>
    <rPh sb="7" eb="9">
      <t>ニダイ</t>
    </rPh>
    <rPh sb="9" eb="10">
      <t>カギ</t>
    </rPh>
    <phoneticPr fontId="13"/>
  </si>
  <si>
    <t>保証書　取説　地図SD　B-CASｶｰﾄﾞ　ﾅﾝﾊﾞｰ</t>
    <rPh sb="0" eb="3">
      <t>ホショウショ</t>
    </rPh>
    <rPh sb="4" eb="6">
      <t>トリセツ</t>
    </rPh>
    <rPh sb="7" eb="9">
      <t>チズ</t>
    </rPh>
    <phoneticPr fontId="13"/>
  </si>
  <si>
    <t>WBA6K320X0FK48169</t>
    <phoneticPr fontId="13"/>
  </si>
  <si>
    <t>WP1ZZZ95ZMLB05774</t>
    <phoneticPr fontId="13"/>
  </si>
  <si>
    <t>WMWWJ920303H63766</t>
    <phoneticPr fontId="13"/>
  </si>
  <si>
    <t>広島　335　そ　3298</t>
    <rPh sb="0" eb="2">
      <t>ヒロシマ</t>
    </rPh>
    <phoneticPr fontId="13"/>
  </si>
  <si>
    <t>WBA16BZ080N249938</t>
    <phoneticPr fontId="13"/>
  </si>
  <si>
    <t>WMWWJ920803C54062</t>
    <phoneticPr fontId="13"/>
  </si>
  <si>
    <t>大阪　338　ほ　82</t>
    <rPh sb="0" eb="2">
      <t>オオサカ</t>
    </rPh>
    <phoneticPr fontId="13"/>
  </si>
  <si>
    <t>保証書 取説 ﾅﾋﾞ取 ｷｰﾚｽ(車内)</t>
    <rPh sb="0" eb="3">
      <t>ホショウショ</t>
    </rPh>
    <rPh sb="4" eb="6">
      <t>トリセツ</t>
    </rPh>
    <rPh sb="10" eb="11">
      <t>トリ</t>
    </rPh>
    <rPh sb="17" eb="19">
      <t>シャナイ</t>
    </rPh>
    <phoneticPr fontId="13"/>
  </si>
  <si>
    <t>取説 ｷｰﾚｽ 地図SD(車内)保証書</t>
    <rPh sb="0" eb="2">
      <t>トリセツ</t>
    </rPh>
    <rPh sb="8" eb="10">
      <t>チズ</t>
    </rPh>
    <rPh sb="13" eb="15">
      <t>シャナイ</t>
    </rPh>
    <rPh sb="16" eb="19">
      <t>ホショウショ</t>
    </rPh>
    <phoneticPr fontId="13"/>
  </si>
  <si>
    <t>保証書 取説 ｷｰﾚｽ(車内)ﾅﾝﾊﾞｰ</t>
    <rPh sb="0" eb="3">
      <t>ホショウショ</t>
    </rPh>
    <rPh sb="4" eb="6">
      <t>トリセツ</t>
    </rPh>
    <rPh sb="12" eb="14">
      <t>シャナイ</t>
    </rPh>
    <phoneticPr fontId="13"/>
  </si>
  <si>
    <t>保証書 ﾏｲｸﾛ地図SD(車内)</t>
    <rPh sb="0" eb="3">
      <t>ホショウショ</t>
    </rPh>
    <phoneticPr fontId="13"/>
  </si>
  <si>
    <t xml:space="preserve"> 取説 ｷｰﾚｽ 地図SD(車内)保証書</t>
    <rPh sb="1" eb="3">
      <t>トリセツ</t>
    </rPh>
    <rPh sb="9" eb="11">
      <t>チズ</t>
    </rPh>
    <rPh sb="17" eb="20">
      <t>ホショウショ</t>
    </rPh>
    <phoneticPr fontId="13"/>
  </si>
  <si>
    <t>保証書 取説 ｷｰﾚｽ ﾏｲｸﾛ地図SD(車内)</t>
    <rPh sb="0" eb="3">
      <t>ホショウショ</t>
    </rPh>
    <rPh sb="4" eb="6">
      <t>トリセツ</t>
    </rPh>
    <phoneticPr fontId="13"/>
  </si>
  <si>
    <t>WMWYT920703D53314</t>
    <phoneticPr fontId="13"/>
  </si>
  <si>
    <t>4/13</t>
    <phoneticPr fontId="13"/>
  </si>
  <si>
    <t>ZFA3120000JE88092</t>
    <phoneticPr fontId="13"/>
  </si>
  <si>
    <t>京都 551 ふ 500</t>
    <rPh sb="0" eb="2">
      <t>キョウト</t>
    </rPh>
    <phoneticPr fontId="13"/>
  </si>
  <si>
    <t>神戸 304 や 5469</t>
    <rPh sb="0" eb="2">
      <t>コウベ</t>
    </rPh>
    <phoneticPr fontId="13"/>
  </si>
  <si>
    <t>平山 隆之</t>
    <rPh sb="0" eb="2">
      <t>ヒラヤマ</t>
    </rPh>
    <rPh sb="3" eb="5">
      <t>タカユキ</t>
    </rPh>
    <phoneticPr fontId="13"/>
  </si>
  <si>
    <t>神戸 505 そ 7015</t>
    <rPh sb="0" eb="2">
      <t>コウベ</t>
    </rPh>
    <phoneticPr fontId="13"/>
  </si>
  <si>
    <t>蓬萊 隆史</t>
    <rPh sb="0" eb="1">
      <t>ヨモギ</t>
    </rPh>
    <rPh sb="1" eb="2">
      <t>アカザ</t>
    </rPh>
    <rPh sb="3" eb="5">
      <t>タカシ</t>
    </rPh>
    <phoneticPr fontId="13"/>
  </si>
  <si>
    <t>保証書 取説 ｷｰﾚｽ ﾜﾝｵｰﾅｰ 印鑑証明6/26</t>
    <rPh sb="0" eb="3">
      <t>ホショウショ</t>
    </rPh>
    <rPh sb="4" eb="6">
      <t>トリセツ</t>
    </rPh>
    <rPh sb="19" eb="23">
      <t>インカンショウメイ</t>
    </rPh>
    <phoneticPr fontId="13"/>
  </si>
  <si>
    <t>正岡 博美</t>
    <rPh sb="0" eb="2">
      <t>マサオカ</t>
    </rPh>
    <rPh sb="3" eb="5">
      <t>ヒロミ</t>
    </rPh>
    <phoneticPr fontId="13"/>
  </si>
  <si>
    <t>愛媛ﾄﾖﾍﾟｯﾄ株式会社</t>
    <rPh sb="0" eb="2">
      <t>エヒメ</t>
    </rPh>
    <rPh sb="8" eb="12">
      <t>カブシキガイシャ</t>
    </rPh>
    <phoneticPr fontId="13"/>
  </si>
  <si>
    <t>福山 399 た 7544</t>
    <rPh sb="0" eb="2">
      <t>フクヤマ</t>
    </rPh>
    <phoneticPr fontId="13"/>
  </si>
  <si>
    <t>株式会社BINGO</t>
    <rPh sb="0" eb="4">
      <t>カブシキガイシャ</t>
    </rPh>
    <phoneticPr fontId="13"/>
  </si>
  <si>
    <t>保証書 取説 ﾅﾋﾞ取 ｽﾍﾟｱｷｰ ﾅﾝﾊﾞｰ SD</t>
    <rPh sb="0" eb="3">
      <t>ホショウショ</t>
    </rPh>
    <rPh sb="4" eb="6">
      <t>トリセツ</t>
    </rPh>
    <rPh sb="10" eb="11">
      <t>トリ</t>
    </rPh>
    <phoneticPr fontId="13"/>
  </si>
  <si>
    <t>中井 陽介</t>
    <rPh sb="0" eb="2">
      <t>ナカイ</t>
    </rPh>
    <rPh sb="3" eb="5">
      <t>ヨウスケ</t>
    </rPh>
    <phoneticPr fontId="13"/>
  </si>
  <si>
    <t>酒造 祐介</t>
    <rPh sb="0" eb="1">
      <t>サケ</t>
    </rPh>
    <rPh sb="1" eb="2">
      <t>ゾウ</t>
    </rPh>
    <rPh sb="3" eb="5">
      <t>ユウスケ</t>
    </rPh>
    <phoneticPr fontId="13"/>
  </si>
  <si>
    <t>地図SD(車内)ﾅﾋﾞ取 取説</t>
    <rPh sb="11" eb="12">
      <t>トリ</t>
    </rPh>
    <rPh sb="13" eb="15">
      <t>トリセツ</t>
    </rPh>
    <phoneticPr fontId="13"/>
  </si>
  <si>
    <t>大宮 581 も 9807</t>
    <rPh sb="0" eb="2">
      <t>オオミヤ</t>
    </rPh>
    <phoneticPr fontId="13"/>
  </si>
  <si>
    <t>保証書 取説 ﾅﾝﾊﾞｰ ｽﾛｰﾊﾟｰ取説 ﾘﾓｺﾝ</t>
    <rPh sb="0" eb="3">
      <t>ホショウショ</t>
    </rPh>
    <rPh sb="4" eb="6">
      <t>トリセツ</t>
    </rPh>
    <rPh sb="19" eb="21">
      <t>トリセツ</t>
    </rPh>
    <phoneticPr fontId="13"/>
  </si>
  <si>
    <t>ｵｰﾄﾓｰｼｮﾝ株式会社</t>
    <rPh sb="8" eb="12">
      <t>カブシキガイシャ</t>
    </rPh>
    <phoneticPr fontId="13"/>
  </si>
  <si>
    <t>保証書 取説 ﾏｲｸﾛ地図SD ﾅﾋﾞ取</t>
    <rPh sb="0" eb="3">
      <t>ホショウショ</t>
    </rPh>
    <rPh sb="4" eb="6">
      <t>トリセツ</t>
    </rPh>
    <rPh sb="11" eb="13">
      <t>チズ</t>
    </rPh>
    <rPh sb="19" eb="20">
      <t>トリ</t>
    </rPh>
    <phoneticPr fontId="13"/>
  </si>
  <si>
    <t>大阪 582 に 8537</t>
    <rPh sb="0" eb="2">
      <t>オオサカ</t>
    </rPh>
    <phoneticPr fontId="13"/>
  </si>
  <si>
    <t>地図SD(車内)保証書 取説 ﾅﾝﾊﾞｰ</t>
    <rPh sb="8" eb="11">
      <t>ホショウショ</t>
    </rPh>
    <rPh sb="12" eb="14">
      <t>トリセツ</t>
    </rPh>
    <phoneticPr fontId="13"/>
  </si>
  <si>
    <t>品川 5X3 ろ 1030</t>
    <rPh sb="0" eb="2">
      <t>シナガワ</t>
    </rPh>
    <phoneticPr fontId="13"/>
  </si>
  <si>
    <t>岐阜 400 わ 7224</t>
    <rPh sb="0" eb="2">
      <t>ギフ</t>
    </rPh>
    <phoneticPr fontId="13"/>
  </si>
  <si>
    <t>株式会社ﾄﾖﾀﾚﾝﾀﾘｰｽ岐阜</t>
    <rPh sb="0" eb="4">
      <t>カブシキガイシャ</t>
    </rPh>
    <rPh sb="13" eb="15">
      <t>ギフ</t>
    </rPh>
    <phoneticPr fontId="13"/>
  </si>
  <si>
    <t>保証書 取説 SD ﾅﾋﾞ取 ｽﾍﾟｱｷｰ ﾚﾝﾀｶｰ</t>
    <rPh sb="0" eb="3">
      <t>ホショウショ</t>
    </rPh>
    <rPh sb="4" eb="6">
      <t>トリセツ</t>
    </rPh>
    <rPh sb="13" eb="14">
      <t>トリ</t>
    </rPh>
    <phoneticPr fontId="13"/>
  </si>
  <si>
    <t>ﾎﾞﾙﾎﾞV40 D4 ｲﾝｽｸﾘﾌﾟｼｮﾝ</t>
    <phoneticPr fontId="13"/>
  </si>
  <si>
    <t>YV1MVA8RDH2417389</t>
    <phoneticPr fontId="13"/>
  </si>
  <si>
    <t>BMWﾐﾆ ｸﾗﾌﾞﾏﾝ ｼﾞｮﾝｸｰﾊﾟｰﾜｰｸｽ</t>
    <phoneticPr fontId="13"/>
  </si>
  <si>
    <t>WMWJZ920202L42854</t>
    <phoneticPr fontId="13"/>
  </si>
  <si>
    <t>ｱｳﾃﾞｨｰS1 TFSI クワトロ</t>
    <phoneticPr fontId="13"/>
  </si>
  <si>
    <t>WAUZZZ8X7GB002102</t>
    <phoneticPr fontId="13"/>
  </si>
  <si>
    <t>保証書 取説  ｽﾏｰﾄｷｰ車内確認</t>
    <rPh sb="0" eb="3">
      <t>ホショウショ</t>
    </rPh>
    <rPh sb="4" eb="6">
      <t>トリセツ</t>
    </rPh>
    <rPh sb="14" eb="16">
      <t>シャナイ</t>
    </rPh>
    <rPh sb="16" eb="18">
      <t>カクニン</t>
    </rPh>
    <phoneticPr fontId="13"/>
  </si>
  <si>
    <t>301 ね 9974</t>
    <phoneticPr fontId="13"/>
  </si>
  <si>
    <t>301 ね 9975</t>
    <phoneticPr fontId="13"/>
  </si>
  <si>
    <t>501 ゆ 5853</t>
    <phoneticPr fontId="13"/>
  </si>
  <si>
    <t>301 ね 9976</t>
    <phoneticPr fontId="13"/>
  </si>
  <si>
    <t>301 ね 9977</t>
    <phoneticPr fontId="13"/>
  </si>
  <si>
    <t>301 ね 9973</t>
    <phoneticPr fontId="13"/>
  </si>
  <si>
    <t>301 ね 9978</t>
    <phoneticPr fontId="13"/>
  </si>
  <si>
    <t>飛騨 300 ち 901</t>
    <rPh sb="0" eb="2">
      <t>ヒダ</t>
    </rPh>
    <phoneticPr fontId="13"/>
  </si>
  <si>
    <t>岡田 久</t>
    <rPh sb="0" eb="2">
      <t>オカダ</t>
    </rPh>
    <rPh sb="3" eb="4">
      <t>ヒサ</t>
    </rPh>
    <phoneticPr fontId="13"/>
  </si>
  <si>
    <t>BMW 2ｼﾘｰｽﾞ ｱｸﾃｨﾌﾞﾂｱﾗｰ 218i</t>
    <phoneticPr fontId="13"/>
  </si>
  <si>
    <t>WBA2A32060V465225</t>
    <phoneticPr fontId="13"/>
  </si>
  <si>
    <t>BMWﾐﾆﾜﾝ ｸﾛｽｵｰﾊﾞｰ</t>
    <phoneticPr fontId="13"/>
  </si>
  <si>
    <t>WMWZA320X0WN23653</t>
    <phoneticPr fontId="13"/>
  </si>
  <si>
    <t>名古屋 307 な 2985</t>
    <rPh sb="0" eb="3">
      <t>ナゴヤ</t>
    </rPh>
    <phoneticPr fontId="13"/>
  </si>
  <si>
    <t>保証書 取説 ｷｰﾚｽ車内確認</t>
    <rPh sb="0" eb="3">
      <t>ホショウショ</t>
    </rPh>
    <rPh sb="4" eb="6">
      <t>トリセツ</t>
    </rPh>
    <rPh sb="11" eb="15">
      <t>シャナイカクニン</t>
    </rPh>
    <phoneticPr fontId="13"/>
  </si>
  <si>
    <t>BMWﾐﾆｸｰﾊﾟｰ　 ﾍﾟｰｽﾏﾝ</t>
    <phoneticPr fontId="13"/>
  </si>
  <si>
    <t>WMWSS12000WN74453</t>
    <phoneticPr fontId="13"/>
  </si>
  <si>
    <t>一宮 300 た 8438</t>
    <rPh sb="0" eb="2">
      <t>イチノミヤ</t>
    </rPh>
    <phoneticPr fontId="13"/>
  </si>
  <si>
    <t>ｱｳﾃﾞｨ A3 ｾﾀﾞﾝ1.4 TFSI</t>
    <phoneticPr fontId="13"/>
  </si>
  <si>
    <t>WAUZZZ8V7F1080575</t>
    <phoneticPr fontId="13"/>
  </si>
  <si>
    <t>保証書 取説 ﾅﾋﾞ取 ｷｰﾚｽ 印鑑証明6/25</t>
    <rPh sb="0" eb="3">
      <t>ホショウショ</t>
    </rPh>
    <rPh sb="4" eb="6">
      <t>トリセツ</t>
    </rPh>
    <rPh sb="10" eb="11">
      <t>トリ</t>
    </rPh>
    <rPh sb="17" eb="21">
      <t>インカンショウメイ</t>
    </rPh>
    <phoneticPr fontId="13"/>
  </si>
  <si>
    <t>A342613</t>
    <phoneticPr fontId="13"/>
  </si>
  <si>
    <t>ｱﾙﾄ ﾊｲﾌﾞﾘｯﾄﾞS</t>
    <phoneticPr fontId="13"/>
  </si>
  <si>
    <t>HA97S-117855</t>
    <phoneticPr fontId="13"/>
  </si>
  <si>
    <t>A344043</t>
    <phoneticPr fontId="13"/>
  </si>
  <si>
    <t>TRJ250-0014609</t>
    <phoneticPr fontId="13"/>
  </si>
  <si>
    <t>9/11/17</t>
    <phoneticPr fontId="13"/>
  </si>
  <si>
    <t>A343980</t>
    <phoneticPr fontId="13"/>
  </si>
  <si>
    <t>B21A-0624270</t>
    <phoneticPr fontId="13"/>
  </si>
  <si>
    <t>宮城 302 そ 9306</t>
    <rPh sb="0" eb="2">
      <t>ミヤギ</t>
    </rPh>
    <phoneticPr fontId="13"/>
  </si>
  <si>
    <t>八島 忍</t>
    <rPh sb="0" eb="2">
      <t>ヤジマ</t>
    </rPh>
    <rPh sb="3" eb="4">
      <t>シノブ</t>
    </rPh>
    <phoneticPr fontId="13"/>
  </si>
  <si>
    <t>保証書 取説 ｷｰﾚｽ ﾅﾋﾞ取 印鑑証明6/18</t>
    <rPh sb="0" eb="3">
      <t>ホショウショ</t>
    </rPh>
    <rPh sb="4" eb="6">
      <t>トリセツ</t>
    </rPh>
    <rPh sb="15" eb="16">
      <t>トリ</t>
    </rPh>
    <rPh sb="17" eb="21">
      <t>インカンショウメイ</t>
    </rPh>
    <phoneticPr fontId="13"/>
  </si>
  <si>
    <t>9/2/7</t>
    <phoneticPr fontId="13"/>
  </si>
  <si>
    <t>大宮 482 ま 888</t>
    <rPh sb="0" eb="2">
      <t>オオミヤ</t>
    </rPh>
    <phoneticPr fontId="13"/>
  </si>
  <si>
    <t>株式会社華穂</t>
    <rPh sb="0" eb="4">
      <t>カブシキガイシャ</t>
    </rPh>
    <rPh sb="4" eb="6">
      <t>カホ</t>
    </rPh>
    <phoneticPr fontId="13"/>
  </si>
  <si>
    <t>582 う 7081</t>
    <phoneticPr fontId="13"/>
  </si>
  <si>
    <t>582 う 7077</t>
    <phoneticPr fontId="13"/>
  </si>
  <si>
    <t>582 う 7082</t>
    <phoneticPr fontId="13"/>
  </si>
  <si>
    <t>582 う 7080</t>
    <phoneticPr fontId="13"/>
  </si>
  <si>
    <t>27-4065</t>
  </si>
  <si>
    <t>27-4066</t>
  </si>
  <si>
    <t>27-4067</t>
  </si>
  <si>
    <t>27-4068</t>
  </si>
  <si>
    <t>27-4069</t>
  </si>
  <si>
    <t>27-4070</t>
  </si>
  <si>
    <t>27-4071</t>
  </si>
  <si>
    <t>27-4072</t>
  </si>
  <si>
    <t>A344456</t>
    <phoneticPr fontId="13"/>
  </si>
  <si>
    <t>GDJ250-0007605</t>
    <phoneticPr fontId="13"/>
  </si>
  <si>
    <t>27-4073</t>
  </si>
  <si>
    <t>27-4074</t>
  </si>
  <si>
    <t>27-4075</t>
  </si>
  <si>
    <t>27-4076</t>
  </si>
  <si>
    <t>27-4077</t>
  </si>
  <si>
    <t>27-4078</t>
  </si>
  <si>
    <t>27-4079</t>
  </si>
  <si>
    <t>A345079</t>
    <phoneticPr fontId="13"/>
  </si>
  <si>
    <t>HE33S-125364</t>
    <phoneticPr fontId="13"/>
  </si>
  <si>
    <t>A343962</t>
    <phoneticPr fontId="13"/>
  </si>
  <si>
    <t>MK53S-358745</t>
    <phoneticPr fontId="13"/>
  </si>
  <si>
    <t>A345505</t>
    <phoneticPr fontId="13"/>
  </si>
  <si>
    <t>MR41S-646855</t>
    <phoneticPr fontId="13"/>
  </si>
  <si>
    <t>6/9</t>
    <phoneticPr fontId="13"/>
  </si>
  <si>
    <t>白</t>
    <rPh sb="0" eb="1">
      <t>シロ</t>
    </rPh>
    <phoneticPr fontId="13"/>
  </si>
  <si>
    <t>9/9/3</t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</si>
  <si>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</si>
  <si>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28/5</t>
    <phoneticPr fontId="13"/>
  </si>
  <si>
    <t>9/5/25</t>
    <phoneticPr fontId="13"/>
  </si>
  <si>
    <t>保証書 取説</t>
    <rPh sb="0" eb="3">
      <t>ホショウショ</t>
    </rPh>
    <rPh sb="4" eb="6">
      <t>トリセツ</t>
    </rPh>
    <phoneticPr fontId="13"/>
  </si>
  <si>
    <t>3/4</t>
    <phoneticPr fontId="13"/>
  </si>
  <si>
    <t>青</t>
    <rPh sb="0" eb="1">
      <t>アオ</t>
    </rPh>
    <phoneticPr fontId="13"/>
  </si>
  <si>
    <t>ｱﾙﾄﾗﾊﾟﾝ　 L</t>
    <phoneticPr fontId="13"/>
  </si>
  <si>
    <t>ｽﾍﾟｰｼｱ ﾊｲﾌﾞﾘｯﾄﾞX</t>
    <phoneticPr fontId="13"/>
  </si>
  <si>
    <t>8/4/21</t>
    <phoneticPr fontId="13"/>
  </si>
  <si>
    <t>1/9</t>
    <phoneticPr fontId="13"/>
  </si>
  <si>
    <t>ﾊｽﾗｰ Gﾀｰﾎﾞ</t>
    <phoneticPr fontId="13"/>
  </si>
  <si>
    <t>8/9/28</t>
    <phoneticPr fontId="13"/>
  </si>
  <si>
    <t>ﾜｲﾝ</t>
    <phoneticPr fontId="13"/>
  </si>
  <si>
    <t>ｸｲｯｸﾈｯﾄﾜｰｸ</t>
    <phoneticPr fontId="13"/>
  </si>
  <si>
    <t>HAA神戸</t>
    <rPh sb="3" eb="5">
      <t>コウベ</t>
    </rPh>
    <phoneticPr fontId="13"/>
  </si>
  <si>
    <t>愛媛 337 や 223</t>
    <rPh sb="0" eb="2">
      <t>エヒメ</t>
    </rPh>
    <phoneticPr fontId="13"/>
  </si>
  <si>
    <t>株式会社竹葉</t>
    <rPh sb="0" eb="4">
      <t>カブシキガイシャ</t>
    </rPh>
    <rPh sb="4" eb="5">
      <t>タケ</t>
    </rPh>
    <rPh sb="5" eb="6">
      <t>ハ</t>
    </rPh>
    <phoneticPr fontId="13"/>
  </si>
  <si>
    <t>4/14</t>
    <phoneticPr fontId="13"/>
  </si>
  <si>
    <t>ｳｴｽﾄﾚﾝﾀｶｰ株式会社</t>
    <rPh sb="9" eb="13">
      <t>カブシキガイシャ</t>
    </rPh>
    <phoneticPr fontId="13"/>
  </si>
  <si>
    <t>保証書 取説 ﾅﾋﾞ取 ETC取説 ｷｰﾚｽ ﾚﾝﾀｶｰ</t>
    <rPh sb="0" eb="3">
      <t>ホショウショ</t>
    </rPh>
    <rPh sb="4" eb="6">
      <t>トリセツ</t>
    </rPh>
    <rPh sb="10" eb="11">
      <t>トリ</t>
    </rPh>
    <rPh sb="15" eb="17">
      <t>トリセツ</t>
    </rPh>
    <phoneticPr fontId="13"/>
  </si>
  <si>
    <t>福山 583 ろ 1461</t>
    <rPh sb="0" eb="2">
      <t>フクヤマ</t>
    </rPh>
    <phoneticPr fontId="13"/>
  </si>
  <si>
    <t>株式会社ﾈｸｽﾃｰｼﾞ</t>
    <rPh sb="0" eb="4">
      <t>カブシキガイシャ</t>
    </rPh>
    <phoneticPr fontId="13"/>
  </si>
  <si>
    <t>富山 581 き 4568</t>
    <rPh sb="0" eb="2">
      <t>トヤマ</t>
    </rPh>
    <phoneticPr fontId="13"/>
  </si>
  <si>
    <t>株式会社古城ﾓｰﾀｰｽ</t>
    <rPh sb="0" eb="4">
      <t>カブシキガイシャ</t>
    </rPh>
    <rPh sb="4" eb="6">
      <t>フルシロ</t>
    </rPh>
    <phoneticPr fontId="13"/>
  </si>
  <si>
    <t>保証書</t>
    <rPh sb="0" eb="3">
      <t>ホショウショ</t>
    </rPh>
    <phoneticPr fontId="13"/>
  </si>
  <si>
    <t>倉敷 331 さ 5566</t>
    <rPh sb="0" eb="2">
      <t>クラシキ</t>
    </rPh>
    <phoneticPr fontId="13"/>
  </si>
  <si>
    <t>三備ﾎﾝﾀﾞ販売株式会社</t>
    <rPh sb="0" eb="1">
      <t>サン</t>
    </rPh>
    <rPh sb="1" eb="2">
      <t>ビ</t>
    </rPh>
    <rPh sb="5" eb="7">
      <t>ハンバイ</t>
    </rPh>
    <rPh sb="7" eb="11">
      <t>カブシキガイシャ</t>
    </rPh>
    <phoneticPr fontId="13"/>
  </si>
  <si>
    <t>直送</t>
    <rPh sb="0" eb="2">
      <t>チョクソウ</t>
    </rPh>
    <phoneticPr fontId="13"/>
  </si>
  <si>
    <t>沼津 399 ち 7176</t>
    <rPh sb="0" eb="2">
      <t>ヌマヅ</t>
    </rPh>
    <phoneticPr fontId="13"/>
  </si>
  <si>
    <t>株式会社ALCMotoren</t>
    <phoneticPr fontId="13"/>
  </si>
  <si>
    <t>名古屋 780 ろ 9262</t>
    <rPh sb="0" eb="3">
      <t>ナゴヤ</t>
    </rPh>
    <phoneticPr fontId="13"/>
  </si>
  <si>
    <t>名鉄協商株式会社</t>
    <rPh sb="0" eb="2">
      <t>メイテツ</t>
    </rPh>
    <rPh sb="2" eb="8">
      <t>キョウショウカブシキガイシャ</t>
    </rPh>
    <phoneticPr fontId="13"/>
  </si>
  <si>
    <t>名鉄協商株式会社</t>
    <phoneticPr fontId="13"/>
  </si>
  <si>
    <t>名古屋 780 ろ 9261</t>
    <rPh sb="0" eb="3">
      <t>ナゴヤ</t>
    </rPh>
    <phoneticPr fontId="13"/>
  </si>
  <si>
    <t>三重 582 た 9483</t>
    <rPh sb="0" eb="2">
      <t>ミエ</t>
    </rPh>
    <phoneticPr fontId="13"/>
  </si>
  <si>
    <t>ﾅﾝﾊﾞｰ</t>
    <phoneticPr fontId="13"/>
  </si>
  <si>
    <t>尾張小牧 581 ふ 2894</t>
    <rPh sb="0" eb="4">
      <t>オワリコマキ</t>
    </rPh>
    <phoneticPr fontId="13"/>
  </si>
  <si>
    <t>株式会社ｳｪｲｸｱｯﾌﾟ</t>
    <rPh sb="0" eb="4">
      <t>カブシキガイシャ</t>
    </rPh>
    <phoneticPr fontId="13"/>
  </si>
  <si>
    <t>保証書 取説 SD ｷｰﾚｽ ﾜﾝｵｰﾅｰ</t>
    <rPh sb="0" eb="3">
      <t>ホショウショ</t>
    </rPh>
    <rPh sb="4" eb="6">
      <t>トリセツ</t>
    </rPh>
    <phoneticPr fontId="13"/>
  </si>
  <si>
    <t>名古屋 480 ひ 2775</t>
    <rPh sb="0" eb="3">
      <t>ナゴヤ</t>
    </rPh>
    <phoneticPr fontId="13"/>
  </si>
  <si>
    <t>名鉄協商株式会社</t>
    <rPh sb="0" eb="8">
      <t>メイテツキョウショウカブシキガイシャ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</si>
  <si>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</si>
  <si>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多摩 592 ろ 8282</t>
    <rPh sb="0" eb="2">
      <t>タマ</t>
    </rPh>
    <phoneticPr fontId="13"/>
  </si>
  <si>
    <t>東日本三菱自動車株式会社</t>
    <rPh sb="0" eb="12">
      <t>ヒガシニホンミツビシジドウシャカブシキガイシャ</t>
    </rPh>
    <phoneticPr fontId="13"/>
  </si>
  <si>
    <t>ｽﾍﾟｱｷｰ</t>
    <phoneticPr fontId="13"/>
  </si>
  <si>
    <t>伊村 崇宏</t>
    <rPh sb="0" eb="2">
      <t>イムラ</t>
    </rPh>
    <rPh sb="3" eb="5">
      <t>タカヒロ</t>
    </rPh>
    <phoneticPr fontId="13"/>
  </si>
  <si>
    <t>多摩 485 ろ 599</t>
    <rPh sb="0" eb="2">
      <t>タマ</t>
    </rPh>
    <phoneticPr fontId="13"/>
  </si>
  <si>
    <t>姫路 499 そ 8680</t>
    <rPh sb="0" eb="2">
      <t>ヒメジ</t>
    </rPh>
    <phoneticPr fontId="13"/>
  </si>
  <si>
    <t>株式会社ﾄﾖﾀﾚﾝﾀﾘｰｽ兵庫</t>
    <rPh sb="0" eb="4">
      <t>カブシキガイシャ</t>
    </rPh>
    <rPh sb="13" eb="15">
      <t>ヒョウゴ</t>
    </rPh>
    <phoneticPr fontId="13"/>
  </si>
  <si>
    <t>島根 334 に 8800</t>
    <rPh sb="0" eb="2">
      <t>シマネ</t>
    </rPh>
    <phoneticPr fontId="13"/>
  </si>
  <si>
    <t>ﾄﾖﾀｶﾛｰﾗ島根株式会社</t>
    <rPh sb="7" eb="9">
      <t>シマネ</t>
    </rPh>
    <rPh sb="9" eb="13">
      <t>カブシキガイシャ</t>
    </rPh>
    <phoneticPr fontId="13"/>
  </si>
  <si>
    <t>名古屋 326 も 5760</t>
    <rPh sb="0" eb="3">
      <t>ナゴヤ</t>
    </rPh>
    <phoneticPr fontId="13"/>
  </si>
  <si>
    <t>保証書 取説 ﾅﾋﾞ取 ｷｰﾚｽ ﾏｲｸﾛ地図SD</t>
    <rPh sb="0" eb="3">
      <t>ホショウショ</t>
    </rPh>
    <rPh sb="4" eb="6">
      <t>トリセツ</t>
    </rPh>
    <rPh sb="10" eb="11">
      <t>トリ</t>
    </rPh>
    <rPh sb="21" eb="23">
      <t>チズ</t>
    </rPh>
    <phoneticPr fontId="13"/>
  </si>
  <si>
    <t>品番；CN-RZ743W</t>
    <rPh sb="0" eb="2">
      <t>ヒンバン</t>
    </rPh>
    <phoneticPr fontId="13"/>
  </si>
  <si>
    <t>USS神戸(ﾜﾝｸﾘ)</t>
    <rPh sb="3" eb="5">
      <t>コウベ</t>
    </rPh>
    <phoneticPr fontId="13"/>
  </si>
  <si>
    <t>ｷｬﾝｾﾙ4/14返送</t>
    <rPh sb="9" eb="11">
      <t>ヘンソウ</t>
    </rPh>
    <phoneticPr fontId="13"/>
  </si>
  <si>
    <t>地図SD(車内)</t>
    <rPh sb="0" eb="2">
      <t>チズ</t>
    </rPh>
    <phoneticPr fontId="13"/>
  </si>
  <si>
    <t>USS神戸落札店保証書の問い合わせ連絡あり4/14</t>
    <rPh sb="3" eb="5">
      <t>コウベ</t>
    </rPh>
    <rPh sb="5" eb="8">
      <t>ラクサツテン</t>
    </rPh>
    <rPh sb="8" eb="11">
      <t>ホショウショ</t>
    </rPh>
    <rPh sb="12" eb="13">
      <t>ト</t>
    </rPh>
    <rPh sb="14" eb="15">
      <t>ア</t>
    </rPh>
    <rPh sb="17" eb="19">
      <t>レンラク</t>
    </rPh>
    <phoneticPr fontId="13"/>
  </si>
  <si>
    <t>ﾏｲｸﾛ地図SD(車内)</t>
    <rPh sb="4" eb="6">
      <t>チズ</t>
    </rPh>
    <phoneticPr fontId="13"/>
  </si>
  <si>
    <t xml:space="preserve">地図SD(車内) 保証書 取説 </t>
    <rPh sb="0" eb="2">
      <t>チズ</t>
    </rPh>
    <rPh sb="9" eb="12">
      <t>ホショウショ</t>
    </rPh>
    <rPh sb="13" eb="15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</si>
  <si>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</si>
  <si>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</si>
  <si>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583 ふ 2319</t>
    <phoneticPr fontId="13"/>
  </si>
  <si>
    <t>HAA神戸(ﾜﾝｸﾘ)</t>
    <rPh sb="3" eb="5">
      <t>コウベ</t>
    </rPh>
    <phoneticPr fontId="13"/>
  </si>
  <si>
    <t>27-4080</t>
  </si>
  <si>
    <t>27-4081</t>
  </si>
  <si>
    <t>27-4082</t>
  </si>
  <si>
    <t>27-4083</t>
  </si>
  <si>
    <t>27-4084</t>
  </si>
  <si>
    <t>27-4085</t>
  </si>
  <si>
    <t>27-4086</t>
  </si>
  <si>
    <t>27-4087</t>
  </si>
  <si>
    <t>27-4088</t>
  </si>
  <si>
    <t>27-4089</t>
  </si>
  <si>
    <t>27-4090</t>
  </si>
  <si>
    <t>TAA近畿</t>
    <rPh sb="3" eb="5">
      <t>キンキ</t>
    </rPh>
    <phoneticPr fontId="13"/>
  </si>
  <si>
    <t>ﾊｽﾗｰﾊｲﾌﾞﾘｯﾄﾞX</t>
    <phoneticPr fontId="13"/>
  </si>
  <si>
    <t>MR92S-112898</t>
    <phoneticPr fontId="13"/>
  </si>
  <si>
    <t>ｱﾙﾄﾗﾊﾟﾝ　 S</t>
    <phoneticPr fontId="13"/>
  </si>
  <si>
    <t>HE33S-196694</t>
    <phoneticPr fontId="13"/>
  </si>
  <si>
    <t>ｴﾌﾞﾘｨ　PCﾘﾐﾃｯﾄﾞ</t>
    <phoneticPr fontId="13"/>
  </si>
  <si>
    <t>DA17V-515198</t>
    <phoneticPr fontId="13"/>
  </si>
  <si>
    <t>ﾜｺﾞﾝR　FA</t>
    <phoneticPr fontId="13"/>
  </si>
  <si>
    <t>MH85S-116743</t>
    <phoneticPr fontId="13"/>
  </si>
  <si>
    <t>ﾜｺﾞﾝR　</t>
    <phoneticPr fontId="13"/>
  </si>
  <si>
    <t>MH55S-264035</t>
    <phoneticPr fontId="13"/>
  </si>
  <si>
    <t>ｱﾙﾄﾗﾊﾟﾝ</t>
    <phoneticPr fontId="13"/>
  </si>
  <si>
    <t>HE22S-828133</t>
    <phoneticPr fontId="13"/>
  </si>
  <si>
    <t>ｱｳﾃﾞｨA1　ｽﾎﾟｰﾂﾊﾞｯｸ　1.0TFSI</t>
    <phoneticPr fontId="13"/>
  </si>
  <si>
    <t>ﾀﾝﾄｶｽﾀﾑ　RSﾄｯﾌﾟｴﾃﾞｨｼｮﾝSaⅢ</t>
    <phoneticPr fontId="13"/>
  </si>
  <si>
    <t>LA600S-0519226</t>
    <phoneticPr fontId="13"/>
  </si>
  <si>
    <t>NCP160-0156227</t>
    <phoneticPr fontId="13"/>
  </si>
  <si>
    <t>27-4091</t>
  </si>
  <si>
    <t>27-4092</t>
  </si>
  <si>
    <t>27-4093</t>
  </si>
  <si>
    <t>27-4094</t>
  </si>
  <si>
    <t>27-4095</t>
  </si>
  <si>
    <t>27-4096</t>
  </si>
  <si>
    <t>27-4097</t>
  </si>
  <si>
    <t>27-4098</t>
  </si>
  <si>
    <t>27-4099</t>
  </si>
  <si>
    <t>TAA四国</t>
    <rPh sb="3" eb="5">
      <t>シコク</t>
    </rPh>
    <phoneticPr fontId="13"/>
  </si>
  <si>
    <t>NCP160-0154574</t>
    <phoneticPr fontId="13"/>
  </si>
  <si>
    <t>ﾌﾟﾛﾎﾞｯｸｽ　ﾊｲﾌﾞﾘｯﾄﾞGX</t>
    <phoneticPr fontId="13"/>
  </si>
  <si>
    <t>NHP160-0088792</t>
    <phoneticPr fontId="13"/>
  </si>
  <si>
    <t>VWｻﾞﾋﾞｰﾄﾙ</t>
    <phoneticPr fontId="13"/>
  </si>
  <si>
    <t>BMWX1　Xﾄﾞﾗｲﾌﾞ18DXﾗｲﾝED</t>
    <phoneticPr fontId="13"/>
  </si>
  <si>
    <t>TAA広島</t>
    <rPh sb="3" eb="5">
      <t>ヒロシマ</t>
    </rPh>
    <phoneticPr fontId="13"/>
  </si>
  <si>
    <t>ﾑｰｳﾞ　XﾘﾐﾃｯﾄﾞⅡ　SaⅢ</t>
    <phoneticPr fontId="13"/>
  </si>
  <si>
    <t>LA150S-2080671</t>
    <phoneticPr fontId="13"/>
  </si>
  <si>
    <t>ﾐﾗｲｰｽ　XﾘﾐﾃｯﾄﾞSaⅢ</t>
    <phoneticPr fontId="13"/>
  </si>
  <si>
    <t>LA350S-0239653</t>
    <phoneticPr fontId="13"/>
  </si>
  <si>
    <t>ﾀﾝﾄ　LﾘﾐﾃｯﾄﾞSaⅢ</t>
    <phoneticPr fontId="13"/>
  </si>
  <si>
    <t>LA600S-0757749</t>
    <phoneticPr fontId="13"/>
  </si>
  <si>
    <t>ｱｳﾃﾞｨA3</t>
    <phoneticPr fontId="13"/>
  </si>
  <si>
    <t>TAA南九州</t>
    <rPh sb="3" eb="6">
      <t>ミナミキュウシュウ</t>
    </rPh>
    <phoneticPr fontId="13"/>
  </si>
  <si>
    <t>ﾌｨｱｯﾄ595　ｽｺﾙﾋﾟ　ｵｰﾈｵｰﾛ</t>
    <phoneticPr fontId="13"/>
  </si>
  <si>
    <t>27-4100</t>
  </si>
  <si>
    <t>27-4101</t>
  </si>
  <si>
    <t>27-4102</t>
  </si>
  <si>
    <t>27-4103</t>
  </si>
  <si>
    <t>27-4104</t>
  </si>
  <si>
    <t>27-4105</t>
  </si>
  <si>
    <t>27-4106</t>
  </si>
  <si>
    <t>27-4107</t>
  </si>
  <si>
    <t>27-4108</t>
  </si>
  <si>
    <t>27-4109</t>
  </si>
  <si>
    <t>27-4110</t>
  </si>
  <si>
    <t>ｵﾘｯｸｽ神戸</t>
    <rPh sb="5" eb="7">
      <t>コウベ</t>
    </rPh>
    <phoneticPr fontId="13"/>
  </si>
  <si>
    <t>2/3</t>
    <phoneticPr fontId="13"/>
  </si>
  <si>
    <t>ｵﾚﾝｼﾞⅡ</t>
    <phoneticPr fontId="13"/>
  </si>
  <si>
    <t>10/3</t>
    <phoneticPr fontId="13"/>
  </si>
  <si>
    <t>大阪　580　わ　7519</t>
    <rPh sb="0" eb="2">
      <t>オオサカ</t>
    </rPh>
    <phoneticPr fontId="13"/>
  </si>
  <si>
    <t>ﾚﾝﾀｶｰ</t>
    <phoneticPr fontId="13"/>
  </si>
  <si>
    <t>30/4</t>
    <phoneticPr fontId="13"/>
  </si>
  <si>
    <t>ﾐｽﾞｲﾛⅡ</t>
    <phoneticPr fontId="13"/>
  </si>
  <si>
    <t>9/4</t>
    <phoneticPr fontId="13"/>
  </si>
  <si>
    <t>ﾅﾝﾊﾞｰ</t>
    <phoneticPr fontId="13"/>
  </si>
  <si>
    <t>3/3</t>
    <phoneticPr fontId="13"/>
  </si>
  <si>
    <t>黒</t>
    <rPh sb="0" eb="1">
      <t>クロ</t>
    </rPh>
    <phoneticPr fontId="13"/>
  </si>
  <si>
    <t>3/1</t>
    <phoneticPr fontId="13"/>
  </si>
  <si>
    <t>白</t>
    <rPh sb="0" eb="1">
      <t>シロ</t>
    </rPh>
    <phoneticPr fontId="13"/>
  </si>
  <si>
    <t>9/1</t>
    <phoneticPr fontId="13"/>
  </si>
  <si>
    <t>大阪　580　わ　8171</t>
    <rPh sb="0" eb="2">
      <t>オオサカ</t>
    </rPh>
    <phoneticPr fontId="13"/>
  </si>
  <si>
    <t>31/1</t>
    <phoneticPr fontId="13"/>
  </si>
  <si>
    <t>26/2</t>
    <phoneticPr fontId="13"/>
  </si>
  <si>
    <t>ﾌﾞﾗｳﾝ</t>
    <phoneticPr fontId="13"/>
  </si>
  <si>
    <t>9/2</t>
    <phoneticPr fontId="13"/>
  </si>
  <si>
    <t>27/7</t>
    <phoneticPr fontId="13"/>
  </si>
  <si>
    <t>赤</t>
    <rPh sb="0" eb="1">
      <t>アカ</t>
    </rPh>
    <phoneticPr fontId="13"/>
  </si>
  <si>
    <t>29/2</t>
    <phoneticPr fontId="13"/>
  </si>
  <si>
    <t>保証書　取説　ﾅﾋﾞ取</t>
    <rPh sb="0" eb="3">
      <t>ホショウショ</t>
    </rPh>
    <rPh sb="4" eb="6">
      <t>トリセツ</t>
    </rPh>
    <rPh sb="10" eb="11">
      <t>トリ</t>
    </rPh>
    <phoneticPr fontId="13"/>
  </si>
  <si>
    <t>3/2</t>
    <phoneticPr fontId="13"/>
  </si>
  <si>
    <t>5/10</t>
    <phoneticPr fontId="13"/>
  </si>
  <si>
    <t>29/7</t>
    <phoneticPr fontId="13"/>
  </si>
  <si>
    <t>WVWZZZ16ZHM635029</t>
    <phoneticPr fontId="13"/>
  </si>
  <si>
    <t>3/6</t>
    <phoneticPr fontId="13"/>
  </si>
  <si>
    <t>WBA32AD0405T55549</t>
    <phoneticPr fontId="13"/>
  </si>
  <si>
    <t>8/6</t>
    <phoneticPr fontId="13"/>
  </si>
  <si>
    <t>愛媛　330　さ　9863</t>
    <rPh sb="0" eb="2">
      <t>エヒメ</t>
    </rPh>
    <phoneticPr fontId="13"/>
  </si>
  <si>
    <t>保証書　取説　予備ｷｰ</t>
    <rPh sb="0" eb="3">
      <t>ホショウショ</t>
    </rPh>
    <rPh sb="4" eb="6">
      <t>トリセツ</t>
    </rPh>
    <rPh sb="7" eb="9">
      <t>ヨビ</t>
    </rPh>
    <phoneticPr fontId="13"/>
  </si>
  <si>
    <t>2/12</t>
    <phoneticPr fontId="13"/>
  </si>
  <si>
    <t>10/1</t>
    <phoneticPr fontId="13"/>
  </si>
  <si>
    <t>31/3</t>
    <phoneticPr fontId="13"/>
  </si>
  <si>
    <t>ﾋﾟﾝｸ</t>
    <phoneticPr fontId="13"/>
  </si>
  <si>
    <t>29/12</t>
    <phoneticPr fontId="13"/>
  </si>
  <si>
    <t>WAUZZZ8VXJA052519</t>
    <phoneticPr fontId="13"/>
  </si>
  <si>
    <t>4/3</t>
    <phoneticPr fontId="13"/>
  </si>
  <si>
    <t>WMW42BT0203P15473</t>
    <phoneticPr fontId="13"/>
  </si>
  <si>
    <t>9/3</t>
    <phoneticPr fontId="13"/>
  </si>
  <si>
    <t>宇都宮　388　ち　358</t>
    <rPh sb="0" eb="3">
      <t>ウツノミヤ</t>
    </rPh>
    <phoneticPr fontId="13"/>
  </si>
  <si>
    <t>取説　ｷｰﾚｽ</t>
    <rPh sb="0" eb="2">
      <t>トリセツ</t>
    </rPh>
    <phoneticPr fontId="13"/>
  </si>
  <si>
    <t>ZFA3120000JE26090</t>
    <phoneticPr fontId="13"/>
  </si>
  <si>
    <t>2/1</t>
    <phoneticPr fontId="13"/>
  </si>
  <si>
    <t>ｽﾍﾟｰｼｱｶｽﾀﾑ　ﾊｲﾌﾞﾘｯﾄﾞXS</t>
    <phoneticPr fontId="13"/>
  </si>
  <si>
    <t>MK53S-657869</t>
    <phoneticPr fontId="13"/>
  </si>
  <si>
    <t>MH55S-272540</t>
    <phoneticPr fontId="13"/>
  </si>
  <si>
    <t>JF3-2321606</t>
    <phoneticPr fontId="13"/>
  </si>
  <si>
    <t>NV100ｸﾘｯﾊﾟｰ　GX</t>
    <phoneticPr fontId="13"/>
  </si>
  <si>
    <t>DR17V-428689</t>
    <phoneticPr fontId="13"/>
  </si>
  <si>
    <t>N　BOX　EXﾀｰﾎﾞ</t>
    <phoneticPr fontId="13"/>
  </si>
  <si>
    <t>JF3-2439316</t>
    <phoneticPr fontId="13"/>
  </si>
  <si>
    <t>ﾐﾗｲｰｽ　　L　SaⅢ</t>
    <phoneticPr fontId="13"/>
  </si>
  <si>
    <t>LA350S-0258983</t>
    <phoneticPr fontId="13"/>
  </si>
  <si>
    <t>L350S-0244976</t>
    <phoneticPr fontId="13"/>
  </si>
  <si>
    <t>NKE165-7235099</t>
    <phoneticPr fontId="13"/>
  </si>
  <si>
    <t>NKE165-7237864</t>
    <phoneticPr fontId="13"/>
  </si>
  <si>
    <t>ｶﾛｰﾗﾂｰﾘﾝｸﾞ　ﾊｲﾌﾞﾘｯﾄﾞS</t>
    <phoneticPr fontId="13"/>
  </si>
  <si>
    <t>ZWE211-6047009</t>
    <phoneticPr fontId="13"/>
  </si>
  <si>
    <t>ｷｬﾝｾﾙ4/16返送</t>
    <rPh sb="9" eb="11">
      <t>ヘンソウ</t>
    </rPh>
    <phoneticPr fontId="13"/>
  </si>
  <si>
    <t>MN71S-150865</t>
    <phoneticPr fontId="13"/>
  </si>
  <si>
    <t>USS売 非課税連絡きたら伴さん報告</t>
    <rPh sb="3" eb="4">
      <t>ウ</t>
    </rPh>
    <rPh sb="5" eb="8">
      <t>ヒカゼイ</t>
    </rPh>
    <rPh sb="8" eb="10">
      <t>レンラク</t>
    </rPh>
    <rPh sb="13" eb="14">
      <t>バン</t>
    </rPh>
    <rPh sb="16" eb="18">
      <t>ホウコク</t>
    </rPh>
    <phoneticPr fontId="13"/>
  </si>
  <si>
    <t>27-4111</t>
  </si>
  <si>
    <t>27-4112</t>
  </si>
  <si>
    <t>27-4113</t>
  </si>
  <si>
    <t>LA350S-0337236</t>
    <phoneticPr fontId="13"/>
  </si>
  <si>
    <t>保証書 ｽﾍﾟｱ車内あり</t>
    <rPh sb="0" eb="3">
      <t>ホショウショ</t>
    </rPh>
    <rPh sb="8" eb="10">
      <t>シャナイ</t>
    </rPh>
    <phoneticPr fontId="13"/>
  </si>
  <si>
    <t>S321G-0069195</t>
    <phoneticPr fontId="13"/>
  </si>
  <si>
    <t>名古屋 582 た 287</t>
    <rPh sb="0" eb="3">
      <t>ナゴヤ</t>
    </rPh>
    <phoneticPr fontId="13"/>
  </si>
  <si>
    <t>保証書 他ﾘﾓｺﾝ</t>
    <rPh sb="0" eb="3">
      <t>ホショウショ</t>
    </rPh>
    <rPh sb="4" eb="5">
      <t>ホカ</t>
    </rPh>
    <phoneticPr fontId="13"/>
  </si>
  <si>
    <t>ﾎﾞﾙﾎﾞ V40 D4 Rﾃﾞｻﾞｲﾝﾎﾟｰﾙ</t>
    <phoneticPr fontId="13"/>
  </si>
  <si>
    <t>YV1MVA8RDH2391724</t>
    <phoneticPr fontId="13"/>
  </si>
  <si>
    <t>BMWﾐﾆｸﾛｽｵｰﾊﾞｰ ﾊﾞｯｷﾝｶﾞﾑ</t>
    <phoneticPr fontId="13"/>
  </si>
  <si>
    <t>WMWYV72003F10616</t>
    <phoneticPr fontId="13"/>
  </si>
  <si>
    <t>27-4114</t>
  </si>
  <si>
    <t>ﾒﾙｾﾃﾞｽﾍﾞﾝﾂ Cｸﾗｽ</t>
    <phoneticPr fontId="13"/>
  </si>
  <si>
    <t>WDD2050772F858572</t>
    <phoneticPr fontId="13"/>
  </si>
  <si>
    <t>名古屋 392 は 999</t>
    <rPh sb="0" eb="3">
      <t>ナゴヤ</t>
    </rPh>
    <phoneticPr fontId="13"/>
  </si>
  <si>
    <r>
      <t xml:space="preserve">取説 SD ｷｰﾚｽ </t>
    </r>
    <r>
      <rPr>
        <sz val="11"/>
        <color theme="3"/>
        <rFont val="ＭＳ Ｐゴシック"/>
        <family val="3"/>
        <charset val="128"/>
        <scheme val="minor"/>
      </rPr>
      <t>保証書なしｸﾚｰﾑ対応済</t>
    </r>
    <rPh sb="0" eb="2">
      <t>トリセツ</t>
    </rPh>
    <rPh sb="11" eb="14">
      <t>ホショウショ</t>
    </rPh>
    <rPh sb="20" eb="22">
      <t>タイオウ</t>
    </rPh>
    <rPh sb="22" eb="23">
      <t>ズ</t>
    </rPh>
    <phoneticPr fontId="13"/>
  </si>
  <si>
    <t>雹害ｷｬﾝｾﾙ 書類止めてる 付属品は保管</t>
    <rPh sb="0" eb="1">
      <t>ヒョウ</t>
    </rPh>
    <rPh sb="1" eb="2">
      <t>ガイ</t>
    </rPh>
    <rPh sb="8" eb="10">
      <t>ショルイ</t>
    </rPh>
    <rPh sb="10" eb="11">
      <t>ト</t>
    </rPh>
    <rPh sb="15" eb="18">
      <t>フゾクヒン</t>
    </rPh>
    <rPh sb="19" eb="21">
      <t>ホカン</t>
    </rPh>
    <phoneticPr fontId="13"/>
  </si>
  <si>
    <t>ｷｬﾝｾﾙ返送4/16</t>
    <rPh sb="5" eb="7">
      <t>ヘンソウ</t>
    </rPh>
    <phoneticPr fontId="13"/>
  </si>
  <si>
    <t>春日井 399 つ 7133</t>
    <rPh sb="0" eb="3">
      <t>カスガイ</t>
    </rPh>
    <phoneticPr fontId="13"/>
  </si>
  <si>
    <t>浜松 530 も 3443</t>
    <rPh sb="0" eb="2">
      <t>ハママツ</t>
    </rPh>
    <phoneticPr fontId="13"/>
  </si>
  <si>
    <t>三好 守</t>
    <rPh sb="0" eb="2">
      <t>ミヨシ</t>
    </rPh>
    <rPh sb="3" eb="4">
      <t>マモル</t>
    </rPh>
    <phoneticPr fontId="13"/>
  </si>
  <si>
    <t>株式会社京慈ﾏﾂﾀﾞ</t>
    <rPh sb="0" eb="4">
      <t>カブシキガイシャ</t>
    </rPh>
    <rPh sb="4" eb="5">
      <t>キョウ</t>
    </rPh>
    <rPh sb="5" eb="6">
      <t>ジ</t>
    </rPh>
    <phoneticPr fontId="13"/>
  </si>
  <si>
    <t>名古屋 781 ろ 1194</t>
    <rPh sb="0" eb="3">
      <t>ナゴヤ</t>
    </rPh>
    <phoneticPr fontId="13"/>
  </si>
  <si>
    <t>愛知中古自動車販売商工組合</t>
    <rPh sb="0" eb="4">
      <t>アイチチュウコ</t>
    </rPh>
    <rPh sb="4" eb="7">
      <t>ジドウシャ</t>
    </rPh>
    <rPh sb="7" eb="11">
      <t>ハンバイショウコウ</t>
    </rPh>
    <rPh sb="11" eb="13">
      <t>クミアイ</t>
    </rPh>
    <phoneticPr fontId="13"/>
  </si>
  <si>
    <t>花松 華子</t>
    <rPh sb="0" eb="2">
      <t>ハナマツ</t>
    </rPh>
    <rPh sb="3" eb="5">
      <t>ハナコ</t>
    </rPh>
    <phoneticPr fontId="13"/>
  </si>
  <si>
    <t>和歌山 488 え 8</t>
    <rPh sb="0" eb="3">
      <t>ワカヤマ</t>
    </rPh>
    <phoneticPr fontId="13"/>
  </si>
  <si>
    <t>有限会社農協自動車</t>
    <rPh sb="0" eb="4">
      <t>ユウゲンガイシャ</t>
    </rPh>
    <rPh sb="4" eb="6">
      <t>ノウキョウ</t>
    </rPh>
    <rPh sb="6" eb="9">
      <t>ジドウシャ</t>
    </rPh>
    <phoneticPr fontId="13"/>
  </si>
  <si>
    <t>倉敷 330 せ 783</t>
    <rPh sb="0" eb="2">
      <t>クラシキ</t>
    </rPh>
    <phoneticPr fontId="13"/>
  </si>
  <si>
    <t>なにわ 691 ろ 5189</t>
    <phoneticPr fontId="13"/>
  </si>
  <si>
    <t>なにわ 5X1 ろ 4543</t>
    <phoneticPr fontId="13"/>
  </si>
  <si>
    <t>株式会社ﾀはなまる</t>
    <phoneticPr fontId="13"/>
  </si>
  <si>
    <t>なにわ 5X0 ろ 1066</t>
    <phoneticPr fontId="13"/>
  </si>
  <si>
    <t>保証書(車内)ｽﾍﾟｱｷｰ</t>
    <rPh sb="0" eb="3">
      <t>ホショウショ</t>
    </rPh>
    <phoneticPr fontId="13"/>
  </si>
  <si>
    <t>横浜 30P と 888</t>
    <rPh sb="0" eb="2">
      <t>ヨコハマ</t>
    </rPh>
    <phoneticPr fontId="13"/>
  </si>
  <si>
    <t>松本 則夫</t>
    <rPh sb="0" eb="2">
      <t>マツモト</t>
    </rPh>
    <rPh sb="3" eb="5">
      <t>ノリオ</t>
    </rPh>
    <phoneticPr fontId="13"/>
  </si>
  <si>
    <t>保証書 取説 ｷｰﾚｽ ﾏﾌﾗｰ切り替えｽｲｯﾁ ﾅﾋﾞSSD</t>
    <rPh sb="0" eb="3">
      <t>ホショウショ</t>
    </rPh>
    <rPh sb="4" eb="6">
      <t>トリセツ</t>
    </rPh>
    <rPh sb="16" eb="17">
      <t>キ</t>
    </rPh>
    <rPh sb="18" eb="19">
      <t>カ</t>
    </rPh>
    <phoneticPr fontId="13"/>
  </si>
  <si>
    <t>株式会社IDOM</t>
    <phoneticPr fontId="13"/>
  </si>
  <si>
    <t>高松 310 さ 1998</t>
    <rPh sb="0" eb="2">
      <t>タカマツ</t>
    </rPh>
    <phoneticPr fontId="13"/>
  </si>
  <si>
    <t>大石 美智代</t>
    <rPh sb="0" eb="2">
      <t>オオイシ</t>
    </rPh>
    <rPh sb="3" eb="6">
      <t>ミチヨ</t>
    </rPh>
    <phoneticPr fontId="13"/>
  </si>
  <si>
    <t>保証書 取説  ｷｰﾚｽ ﾜﾝｵｰﾅｰ</t>
    <rPh sb="0" eb="3">
      <t>ホショウショ</t>
    </rPh>
    <rPh sb="4" eb="6">
      <t>トリセツ</t>
    </rPh>
    <phoneticPr fontId="13"/>
  </si>
  <si>
    <t>株式会社名鉄ｱｵﾄ</t>
    <rPh sb="4" eb="6">
      <t>メイテツ</t>
    </rPh>
    <phoneticPr fontId="13"/>
  </si>
  <si>
    <t>習志野 337 ゆ 1014</t>
    <rPh sb="0" eb="3">
      <t>ナラシノ</t>
    </rPh>
    <phoneticPr fontId="13"/>
  </si>
  <si>
    <t>島根 581 こ 7836</t>
    <rPh sb="0" eb="2">
      <t>シマネ</t>
    </rPh>
    <phoneticPr fontId="13"/>
  </si>
  <si>
    <t>神戸 433 に 15</t>
    <rPh sb="0" eb="2">
      <t>コウベ</t>
    </rPh>
    <phoneticPr fontId="13"/>
  </si>
  <si>
    <t>岡山 339 の 828</t>
    <rPh sb="0" eb="2">
      <t>オカヤマ</t>
    </rPh>
    <phoneticPr fontId="13"/>
  </si>
  <si>
    <t>岡山 350 み 12</t>
    <rPh sb="0" eb="2">
      <t>オカヤマ</t>
    </rPh>
    <phoneticPr fontId="13"/>
  </si>
  <si>
    <t>原田 美紀</t>
    <rPh sb="0" eb="2">
      <t>ハラダ</t>
    </rPh>
    <rPh sb="3" eb="5">
      <t>ミキ</t>
    </rPh>
    <phoneticPr fontId="13"/>
  </si>
  <si>
    <t>福山 584 ほ 75</t>
    <rPh sb="0" eb="2">
      <t>フクヤマ</t>
    </rPh>
    <phoneticPr fontId="13"/>
  </si>
  <si>
    <t>芳原 唯</t>
    <rPh sb="0" eb="1">
      <t>ヨシ</t>
    </rPh>
    <rPh sb="1" eb="2">
      <t>ハラ</t>
    </rPh>
    <rPh sb="3" eb="4">
      <t>ユイ</t>
    </rPh>
    <phoneticPr fontId="13"/>
  </si>
  <si>
    <t>岡山 399 な 6171</t>
    <rPh sb="0" eb="2">
      <t>オカヤマ</t>
    </rPh>
    <phoneticPr fontId="13"/>
  </si>
  <si>
    <t>品川 5X3 ろ 807</t>
    <rPh sb="0" eb="2">
      <t>シナガワ</t>
    </rPh>
    <phoneticPr fontId="13"/>
  </si>
  <si>
    <t>安居 詩帆</t>
    <rPh sb="0" eb="2">
      <t>ヤスイ</t>
    </rPh>
    <rPh sb="3" eb="5">
      <t>シホ</t>
    </rPh>
    <phoneticPr fontId="13"/>
  </si>
  <si>
    <t>品川 49A た 6130</t>
    <rPh sb="0" eb="2">
      <t>シナガワ</t>
    </rPh>
    <phoneticPr fontId="13"/>
  </si>
  <si>
    <t>付属品？</t>
    <rPh sb="0" eb="3">
      <t>フゾクヒン</t>
    </rPh>
    <phoneticPr fontId="13"/>
  </si>
  <si>
    <t>品川 49A た 6823</t>
    <rPh sb="0" eb="2">
      <t>シナガワ</t>
    </rPh>
    <phoneticPr fontId="13"/>
  </si>
  <si>
    <t>岡山 583 こ 5587</t>
    <rPh sb="0" eb="2">
      <t>オカヤマ</t>
    </rPh>
    <phoneticPr fontId="13"/>
  </si>
  <si>
    <t>奥田 裕太</t>
    <rPh sb="0" eb="2">
      <t>オクダ</t>
    </rPh>
    <rPh sb="3" eb="5">
      <t>ユウタ</t>
    </rPh>
    <phoneticPr fontId="13"/>
  </si>
  <si>
    <t>河合 宣昌</t>
    <rPh sb="0" eb="2">
      <t>カワイ</t>
    </rPh>
    <rPh sb="3" eb="4">
      <t>ノリ</t>
    </rPh>
    <rPh sb="4" eb="5">
      <t>ショウ</t>
    </rPh>
    <phoneticPr fontId="13"/>
  </si>
  <si>
    <t>なにわ 691 ろ 5471</t>
    <phoneticPr fontId="13"/>
  </si>
  <si>
    <t>浜松 480 て 5664</t>
    <rPh sb="0" eb="2">
      <t>ハママツ</t>
    </rPh>
    <phoneticPr fontId="13"/>
  </si>
  <si>
    <t>静岡ﾄﾖﾀ自動車株式会社</t>
    <rPh sb="0" eb="2">
      <t>シズオカ</t>
    </rPh>
    <rPh sb="5" eb="8">
      <t>ジドウシャ</t>
    </rPh>
    <rPh sb="8" eb="12">
      <t>カブシキガイシャ</t>
    </rPh>
    <phoneticPr fontId="13"/>
  </si>
  <si>
    <t>和泉 329 に 9812</t>
    <rPh sb="0" eb="2">
      <t>イズミ</t>
    </rPh>
    <phoneticPr fontId="13"/>
  </si>
  <si>
    <t>株式会社ｵｸﾋﾗ</t>
    <rPh sb="0" eb="4">
      <t>カブシキガイシャ</t>
    </rPh>
    <phoneticPr fontId="13"/>
  </si>
  <si>
    <t>多摩 592 ろ 9307</t>
    <rPh sb="0" eb="2">
      <t>タマ</t>
    </rPh>
    <phoneticPr fontId="13"/>
  </si>
  <si>
    <t>多摩 592 ろ 9476</t>
    <rPh sb="0" eb="2">
      <t>タマ</t>
    </rPh>
    <phoneticPr fontId="13"/>
  </si>
  <si>
    <t>多摩 592 ろ 9309</t>
    <rPh sb="0" eb="2">
      <t>タマ</t>
    </rPh>
    <phoneticPr fontId="13"/>
  </si>
  <si>
    <t>なにわ 5X1 ろ 4170</t>
    <phoneticPr fontId="13"/>
  </si>
  <si>
    <t>多摩 592 ろ 8521</t>
    <rPh sb="0" eb="2">
      <t>タマ</t>
    </rPh>
    <phoneticPr fontId="13"/>
  </si>
  <si>
    <t>なにわ 5Ｘ０ ろ 1250</t>
    <phoneticPr fontId="13"/>
  </si>
  <si>
    <t>品川 39A も 6139</t>
    <rPh sb="0" eb="2">
      <t>シナガワ</t>
    </rPh>
    <phoneticPr fontId="13"/>
  </si>
  <si>
    <t>和泉 485 さ 17</t>
    <rPh sb="0" eb="2">
      <t>イズミ</t>
    </rPh>
    <phoneticPr fontId="13"/>
  </si>
  <si>
    <t>長田 栄次</t>
    <rPh sb="0" eb="2">
      <t>ナガタ</t>
    </rPh>
    <rPh sb="3" eb="4">
      <t>エイ</t>
    </rPh>
    <rPh sb="4" eb="5">
      <t>ジ</t>
    </rPh>
    <phoneticPr fontId="13"/>
  </si>
  <si>
    <t>保証書 取説 ドアノブ</t>
    <rPh sb="0" eb="3">
      <t>ホショウショ</t>
    </rPh>
    <rPh sb="4" eb="6">
      <t>トリセツ</t>
    </rPh>
    <phoneticPr fontId="13"/>
  </si>
  <si>
    <t>福岡 582 き 5376</t>
    <rPh sb="0" eb="2">
      <t>フクオカ</t>
    </rPh>
    <phoneticPr fontId="13"/>
  </si>
  <si>
    <t>小谷 桂介</t>
    <rPh sb="0" eb="2">
      <t>コタニ</t>
    </rPh>
    <rPh sb="3" eb="4">
      <t>カツラ</t>
    </rPh>
    <rPh sb="4" eb="5">
      <t>スケ</t>
    </rPh>
    <phoneticPr fontId="13"/>
  </si>
  <si>
    <t>ZiP大阪</t>
    <rPh sb="3" eb="5">
      <t>オオサカ</t>
    </rPh>
    <phoneticPr fontId="13"/>
  </si>
  <si>
    <t>ZiP大阪(ﾜﾝｸﾘ)</t>
    <rPh sb="3" eb="5">
      <t>オオサカ</t>
    </rPh>
    <phoneticPr fontId="13"/>
  </si>
  <si>
    <t>971(69)</t>
    <phoneticPr fontId="13"/>
  </si>
  <si>
    <t>27-4115</t>
  </si>
  <si>
    <t>27-4116</t>
  </si>
  <si>
    <t>27-4117</t>
  </si>
  <si>
    <t>ZFABF1C85NJF66455</t>
    <phoneticPr fontId="13"/>
  </si>
  <si>
    <t>WMWZC52040WP81298</t>
    <phoneticPr fontId="13"/>
  </si>
  <si>
    <t>27-4118</t>
  </si>
  <si>
    <t>27-4119</t>
  </si>
  <si>
    <t>3/3</t>
    <phoneticPr fontId="13"/>
  </si>
  <si>
    <t>茶色</t>
    <rPh sb="0" eb="2">
      <t>チャイロ</t>
    </rPh>
    <phoneticPr fontId="13"/>
  </si>
  <si>
    <t>TAA関東</t>
    <rPh sb="3" eb="5">
      <t>カントウ</t>
    </rPh>
    <phoneticPr fontId="13"/>
  </si>
  <si>
    <t>30/3</t>
    <phoneticPr fontId="13"/>
  </si>
  <si>
    <t>ﾌﾟｼﾞｮｰ3008</t>
    <phoneticPr fontId="13"/>
  </si>
  <si>
    <t>VF3M45GZWJS050323</t>
    <phoneticPr fontId="13"/>
  </si>
  <si>
    <t>TAA中部</t>
    <rPh sb="3" eb="5">
      <t>チュウブ</t>
    </rPh>
    <phoneticPr fontId="13"/>
  </si>
  <si>
    <t>白</t>
    <rPh sb="0" eb="1">
      <t>シロ</t>
    </rPh>
    <phoneticPr fontId="13"/>
  </si>
  <si>
    <t>ﾌﾟﾛﾎﾞｯｸｽ DVｺﾝﾌｫｰﾄ</t>
    <phoneticPr fontId="13"/>
  </si>
  <si>
    <t>NSP160-0058652</t>
    <phoneticPr fontId="13"/>
  </si>
  <si>
    <t>25/2</t>
    <phoneticPr fontId="13"/>
  </si>
  <si>
    <t>BMWﾐﾆｸｰﾊﾟｰS ｸﾛｽｵｰﾊﾞｰ</t>
    <phoneticPr fontId="13"/>
  </si>
  <si>
    <t>保証書</t>
    <rPh sb="0" eb="3">
      <t>ホショウショ</t>
    </rPh>
    <phoneticPr fontId="13"/>
  </si>
  <si>
    <t>3/12</t>
    <phoneticPr fontId="13"/>
  </si>
  <si>
    <t>ﾌｨｱｯﾄ 500 ﾂｲﾝｴｱﾄﾞﾙﾁｪｳﾞｨｰﾀ</t>
    <phoneticPr fontId="13"/>
  </si>
  <si>
    <t>8/12</t>
    <phoneticPr fontId="13"/>
  </si>
  <si>
    <t>京都 551 と 111</t>
    <rPh sb="0" eb="2">
      <t>キョウト</t>
    </rPh>
    <phoneticPr fontId="13"/>
  </si>
  <si>
    <t>保証書 ｽﾍﾟｱｷｰ</t>
    <rPh sb="0" eb="3">
      <t>ホショウショ</t>
    </rPh>
    <phoneticPr fontId="13"/>
  </si>
  <si>
    <t>3/1</t>
    <phoneticPr fontId="13"/>
  </si>
  <si>
    <t>ﾎﾞﾙﾎﾞ XC40 B4</t>
    <phoneticPr fontId="13"/>
  </si>
  <si>
    <t>ｽﾍﾟｱｷｰ</t>
    <phoneticPr fontId="13"/>
  </si>
  <si>
    <t>足立 367 ふ 15</t>
    <rPh sb="0" eb="2">
      <t>アダチ</t>
    </rPh>
    <phoneticPr fontId="13"/>
  </si>
  <si>
    <t>直送</t>
    <rPh sb="0" eb="2">
      <t>チョクソウ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</si>
  <si>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</si>
  <si>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姫路 430 そ 5161</t>
    <rPh sb="0" eb="2">
      <t>ヒメジ</t>
    </rPh>
    <phoneticPr fontId="13"/>
  </si>
  <si>
    <t>ｻﾝﾃｯｸ株式会社</t>
    <rPh sb="5" eb="9">
      <t>カブシキガイシャ</t>
    </rPh>
    <phoneticPr fontId="13"/>
  </si>
  <si>
    <t>4/17</t>
    <phoneticPr fontId="13"/>
  </si>
  <si>
    <t>ﾌﾟｼﾞｮｰ 3008</t>
    <phoneticPr fontId="13"/>
  </si>
  <si>
    <t>VF3M45GFRKS199172</t>
    <phoneticPr fontId="13"/>
  </si>
  <si>
    <t>宮崎 341 の 10</t>
    <rPh sb="0" eb="2">
      <t>ミヤザキ</t>
    </rPh>
    <phoneticPr fontId="13"/>
  </si>
  <si>
    <t>ｱﾙｽﾀｰｵｰﾄ株式会社</t>
    <rPh sb="8" eb="12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</si>
  <si>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</si>
  <si>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</si>
  <si>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熊谷　333　ち 85</t>
    <rPh sb="0" eb="2">
      <t>クマタニ</t>
    </rPh>
    <phoneticPr fontId="13"/>
  </si>
  <si>
    <t>株式会社ﾎﾝﾀﾞﾌｧｲﾅﾝｽ</t>
    <rPh sb="0" eb="4">
      <t>カブシキガイシャ</t>
    </rPh>
    <phoneticPr fontId="13"/>
  </si>
  <si>
    <t>品川 5X3 ろ 5599</t>
    <rPh sb="0" eb="2">
      <t>シナガワ</t>
    </rPh>
    <phoneticPr fontId="13"/>
  </si>
  <si>
    <t>千葉 488 ろ 193</t>
    <rPh sb="0" eb="2">
      <t>チバ</t>
    </rPh>
    <phoneticPr fontId="13"/>
  </si>
  <si>
    <t>株式会社IDOM</t>
    <rPh sb="0" eb="4">
      <t>カブシキガイシャ</t>
    </rPh>
    <phoneticPr fontId="13"/>
  </si>
  <si>
    <t>地図SD(車内)</t>
    <rPh sb="0" eb="2">
      <t>チズ</t>
    </rPh>
    <rPh sb="5" eb="7">
      <t>シャナイ</t>
    </rPh>
    <phoneticPr fontId="13"/>
  </si>
  <si>
    <t>USS神戸(ﾜﾝｸﾘ)</t>
    <rPh sb="3" eb="5">
      <t>コウベ</t>
    </rPh>
    <phoneticPr fontId="13"/>
  </si>
  <si>
    <t>なにわ 581 せ 9848</t>
    <phoneticPr fontId="13"/>
  </si>
  <si>
    <t>株式会社はなまる</t>
    <rPh sb="0" eb="4">
      <t>カブシキガイシャ</t>
    </rPh>
    <phoneticPr fontId="13"/>
  </si>
  <si>
    <t>地図SD ﾐﾆB-CAS ｽﾍﾟｱｷｰ ﾅﾝﾊﾞｰ</t>
    <rPh sb="0" eb="2">
      <t>チズ</t>
    </rPh>
    <phoneticPr fontId="13"/>
  </si>
  <si>
    <t xml:space="preserve"> ｽﾏｰﾄｷｰ車内確認   保証書 取説 </t>
    <rPh sb="14" eb="17">
      <t>ホショウショ</t>
    </rPh>
    <rPh sb="18" eb="20">
      <t>トリセツ</t>
    </rPh>
    <phoneticPr fontId="13"/>
  </si>
  <si>
    <t xml:space="preserve">ｽﾏｰﾄｷｰ車内確認   保証書 取説 </t>
    <rPh sb="13" eb="16">
      <t>ホショウショ</t>
    </rPh>
    <rPh sb="17" eb="19">
      <t>トリセツ</t>
    </rPh>
    <phoneticPr fontId="13"/>
  </si>
  <si>
    <t>愛媛 319 ぬ 1111</t>
    <rPh sb="0" eb="2">
      <t>エヒメ</t>
    </rPh>
    <phoneticPr fontId="13"/>
  </si>
  <si>
    <t>愛媛ﾄﾖﾀ自動車株式会社</t>
    <rPh sb="0" eb="2">
      <t>エヒメ</t>
    </rPh>
    <rPh sb="5" eb="12">
      <t>ジドウシャカブシキガイシャ</t>
    </rPh>
    <phoneticPr fontId="13"/>
  </si>
  <si>
    <t>保証書 ﾏｲｸﾛ地図SD</t>
    <rPh sb="0" eb="3">
      <t>ホショウショ</t>
    </rPh>
    <rPh sb="8" eb="10">
      <t>チズ</t>
    </rPh>
    <phoneticPr fontId="13"/>
  </si>
  <si>
    <t>保証書 取説 ﾅﾋﾞ取 ﾏｲｸﾛ地図SD  ｷｰﾚｽ ｶｰﾄﾞｷｰ ﾜﾝｵｰﾅｰ</t>
    <rPh sb="0" eb="3">
      <t>ホショウショ</t>
    </rPh>
    <rPh sb="4" eb="6">
      <t>トリセツ</t>
    </rPh>
    <rPh sb="10" eb="11">
      <t>トリ</t>
    </rPh>
    <rPh sb="16" eb="18">
      <t>チズ</t>
    </rPh>
    <phoneticPr fontId="13"/>
  </si>
  <si>
    <t>品川 59F す 8317</t>
    <rPh sb="0" eb="2">
      <t>シナガワ</t>
    </rPh>
    <phoneticPr fontId="13"/>
  </si>
  <si>
    <t>保証書 取説</t>
    <rPh sb="0" eb="3">
      <t>ホショウショ</t>
    </rPh>
    <rPh sb="4" eb="6">
      <t>トリセツ</t>
    </rPh>
    <phoneticPr fontId="13"/>
  </si>
  <si>
    <t>品川 5X3 ろ 6523</t>
    <rPh sb="0" eb="2">
      <t>シナガワ</t>
    </rPh>
    <phoneticPr fontId="13"/>
  </si>
  <si>
    <t>春日井 582 ろ 9425</t>
    <rPh sb="0" eb="3">
      <t>カスガイ</t>
    </rPh>
    <phoneticPr fontId="13"/>
  </si>
  <si>
    <t>株式会社ｸﾞｯﾄﾞｽﾋﾟｰﾄﾞ</t>
    <rPh sb="0" eb="4">
      <t>カブシキガイシャ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</si>
  <si>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</si>
  <si>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品川 39A も 334</t>
    <rPh sb="0" eb="2">
      <t>シナガワ</t>
    </rPh>
    <phoneticPr fontId="13"/>
  </si>
  <si>
    <t>SD ｽﾍﾟｱｷｰ</t>
    <phoneticPr fontId="13"/>
  </si>
  <si>
    <t>品川 59F さ 8914</t>
    <rPh sb="0" eb="2">
      <t>シナガワ</t>
    </rPh>
    <phoneticPr fontId="13"/>
  </si>
  <si>
    <t>保証書 ｽﾍﾟｱｷｰ ﾏｲｸﾛ地図SD</t>
    <rPh sb="0" eb="3">
      <t>ホショウショ</t>
    </rPh>
    <rPh sb="15" eb="17">
      <t>チズ</t>
    </rPh>
    <phoneticPr fontId="13"/>
  </si>
  <si>
    <t>春日井 582 ろ 9551</t>
    <rPh sb="0" eb="3">
      <t>カスガイ</t>
    </rPh>
    <phoneticPr fontId="13"/>
  </si>
  <si>
    <t>取説 ﾅﾋﾞ取</t>
    <rPh sb="0" eb="2">
      <t>トリセツ</t>
    </rPh>
    <rPh sb="6" eb="7">
      <t>トリ</t>
    </rPh>
    <phoneticPr fontId="13"/>
  </si>
  <si>
    <t>品川 48F ろ 8106</t>
    <rPh sb="0" eb="2">
      <t>シナガワ</t>
    </rPh>
    <phoneticPr fontId="13"/>
  </si>
  <si>
    <t>ﾚﾝﾀｶｰ</t>
    <phoneticPr fontId="13"/>
  </si>
  <si>
    <t>480 ね 5637</t>
    <phoneticPr fontId="13"/>
  </si>
  <si>
    <t>582 う 7493</t>
    <phoneticPr fontId="13"/>
  </si>
  <si>
    <t>582 う 7492</t>
    <phoneticPr fontId="13"/>
  </si>
  <si>
    <t>582 う 7491</t>
    <phoneticPr fontId="13"/>
  </si>
  <si>
    <t>582 う 7490</t>
    <phoneticPr fontId="13"/>
  </si>
  <si>
    <t>取説 ｷｰﾚｽ(車内)</t>
    <rPh sb="0" eb="2">
      <t>トリセツ</t>
    </rPh>
    <rPh sb="8" eb="10">
      <t>シャナイ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</si>
  <si>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</si>
  <si>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記録『わ』記載ありｸﾚｰﾑ済 保証書 取説 ｷｰﾚｽ(車内)</t>
    <rPh sb="5" eb="7">
      <t>キサイ</t>
    </rPh>
    <rPh sb="13" eb="14">
      <t>スミ</t>
    </rPh>
    <rPh sb="15" eb="18">
      <t>ホショウショ</t>
    </rPh>
    <rPh sb="19" eb="21">
      <t>トリセツ</t>
    </rPh>
    <phoneticPr fontId="13"/>
  </si>
  <si>
    <t>WAUZZZ8X3FB041381</t>
    <phoneticPr fontId="13"/>
  </si>
  <si>
    <t>川越 583 た 3517</t>
    <rPh sb="0" eb="2">
      <t>カワゴエ</t>
    </rPh>
    <phoneticPr fontId="13"/>
  </si>
  <si>
    <t>株式会社ｵｰﾄｾﾝﾀｰ新生</t>
    <rPh sb="0" eb="4">
      <t>カブシキガイシャ</t>
    </rPh>
    <rPh sb="11" eb="13">
      <t>シンセイ</t>
    </rPh>
    <phoneticPr fontId="13"/>
  </si>
  <si>
    <t>JU愛知(まとめ)</t>
    <rPh sb="2" eb="4">
      <t>アイチ</t>
    </rPh>
    <phoneticPr fontId="13"/>
  </si>
  <si>
    <t>27-4120</t>
  </si>
  <si>
    <t>27-4121</t>
  </si>
  <si>
    <t>27-4122</t>
  </si>
  <si>
    <t>27-4123</t>
  </si>
  <si>
    <t>27-4124</t>
  </si>
  <si>
    <t>27-4125</t>
  </si>
  <si>
    <t>25/5</t>
    <phoneticPr fontId="13"/>
  </si>
  <si>
    <t>黒</t>
    <rPh sb="0" eb="1">
      <t>クロ</t>
    </rPh>
    <phoneticPr fontId="13"/>
  </si>
  <si>
    <t>ｳｨｯｼｭ 1.8S</t>
    <phoneticPr fontId="13"/>
  </si>
  <si>
    <t>ZGE20-0160788</t>
    <phoneticPr fontId="13"/>
  </si>
  <si>
    <t>MR41S-199750</t>
    <phoneticPr fontId="13"/>
  </si>
  <si>
    <t>LA650S-0104033</t>
    <phoneticPr fontId="13"/>
  </si>
  <si>
    <t>MR92S-302981</t>
    <phoneticPr fontId="13"/>
  </si>
  <si>
    <t>MR92S-478283</t>
    <phoneticPr fontId="13"/>
  </si>
  <si>
    <t>ﾅﾋﾞSD</t>
    <phoneticPr fontId="13"/>
  </si>
  <si>
    <t>28/5</t>
    <phoneticPr fontId="13"/>
  </si>
  <si>
    <t>ﾊｽﾗｰ  Jｽﾀｲﾙ 2</t>
    <phoneticPr fontId="13"/>
  </si>
  <si>
    <t>2/11</t>
    <phoneticPr fontId="13"/>
  </si>
  <si>
    <t>青</t>
    <rPh sb="0" eb="1">
      <t>アオ</t>
    </rPh>
    <phoneticPr fontId="13"/>
  </si>
  <si>
    <t>ﾀﾝﾄｶｽﾀﾑ Xｾﾚｸｼｮﾝ</t>
    <phoneticPr fontId="13"/>
  </si>
  <si>
    <t>4/6</t>
    <phoneticPr fontId="13"/>
  </si>
  <si>
    <t>赤</t>
    <rPh sb="0" eb="1">
      <t>アカ</t>
    </rPh>
    <phoneticPr fontId="13"/>
  </si>
  <si>
    <t>ﾊｽﾗｰ  HV G</t>
    <phoneticPr fontId="13"/>
  </si>
  <si>
    <t>保証書 取説 ｽﾍﾟｱｷｰ SD</t>
    <rPh sb="0" eb="3">
      <t>ホショウショ</t>
    </rPh>
    <rPh sb="4" eb="6">
      <t>トリセツ</t>
    </rPh>
    <phoneticPr fontId="13"/>
  </si>
  <si>
    <t>6/10</t>
    <phoneticPr fontId="13"/>
  </si>
  <si>
    <t>ﾊｽﾗｰ ﾊｲﾌﾞﾘｯﾄﾞ G</t>
    <phoneticPr fontId="13"/>
  </si>
  <si>
    <t>9/10/24</t>
    <phoneticPr fontId="13"/>
  </si>
  <si>
    <t>浜松 582 か 7219</t>
    <rPh sb="0" eb="2">
      <t>ハママツ</t>
    </rPh>
    <phoneticPr fontId="13"/>
  </si>
  <si>
    <t>保証書 取説 ﾜﾝｵｰﾅｰ</t>
    <rPh sb="0" eb="3">
      <t>ホショウショ</t>
    </rPh>
    <rPh sb="4" eb="6">
      <t>トリセツ</t>
    </rPh>
    <phoneticPr fontId="13"/>
  </si>
  <si>
    <t>1/6</t>
    <phoneticPr fontId="13"/>
  </si>
  <si>
    <t>BMWﾐﾆｸｰﾊﾟｰS 5ﾄﾞｱ</t>
    <phoneticPr fontId="13"/>
  </si>
  <si>
    <t>ｽﾏｰﾄｷｰ ﾜﾝｵｰﾅｰ</t>
    <phoneticPr fontId="13"/>
  </si>
  <si>
    <t>ｷｬﾝｾﾙ返送4/18</t>
    <rPh sb="5" eb="7">
      <t>ヘンソウ</t>
    </rPh>
    <phoneticPr fontId="13"/>
  </si>
  <si>
    <t>品番；CN-RZ776W</t>
    <rPh sb="0" eb="2">
      <t>ヒンバン</t>
    </rPh>
    <phoneticPr fontId="13"/>
  </si>
  <si>
    <t>27-4126</t>
  </si>
  <si>
    <t>27-4127</t>
  </si>
  <si>
    <t>27-4128</t>
  </si>
  <si>
    <t>27-4129</t>
  </si>
  <si>
    <t>27-4130</t>
  </si>
  <si>
    <t>27-4131</t>
  </si>
  <si>
    <t>27-4132</t>
  </si>
  <si>
    <t>27-4133</t>
  </si>
  <si>
    <t>27-4134</t>
  </si>
  <si>
    <t>NHP10-2600447</t>
    <phoneticPr fontId="13"/>
  </si>
  <si>
    <t>ZRR80-0663227</t>
    <phoneticPr fontId="13"/>
  </si>
  <si>
    <t>GR3-1048977</t>
    <phoneticPr fontId="13"/>
  </si>
  <si>
    <t>A210S-0005832</t>
    <phoneticPr fontId="13"/>
  </si>
  <si>
    <t>LA800S-0019034</t>
    <phoneticPr fontId="13"/>
  </si>
  <si>
    <t>HE33S-178184</t>
    <phoneticPr fontId="13"/>
  </si>
  <si>
    <t>MH34S-152144</t>
    <phoneticPr fontId="13"/>
  </si>
  <si>
    <t>HE33S-311114</t>
    <phoneticPr fontId="13"/>
  </si>
  <si>
    <t>ﾛｯｷｰ G</t>
    <phoneticPr fontId="13"/>
  </si>
  <si>
    <t>神戸 505 た 1902</t>
    <rPh sb="0" eb="2">
      <t>コウベ</t>
    </rPh>
    <phoneticPr fontId="13"/>
  </si>
  <si>
    <t>ﾌｨｯﾄ ﾊｲﾌﾞﾘｯﾄﾞ eHEVﾍﾞｰｼｯｸ</t>
    <phoneticPr fontId="13"/>
  </si>
  <si>
    <t>ｳﾞｫｸｼｰ ZS ｷﾗﾒｷ3</t>
    <phoneticPr fontId="13"/>
  </si>
  <si>
    <t>保証書 取説 ﾅﾋﾞ取 SD ｽﾍﾟｱｷｰ</t>
    <rPh sb="0" eb="3">
      <t>ホショウショ</t>
    </rPh>
    <rPh sb="4" eb="6">
      <t>トリセツ</t>
    </rPh>
    <rPh sb="10" eb="11">
      <t>トリ</t>
    </rPh>
    <phoneticPr fontId="13"/>
  </si>
  <si>
    <t>ﾚｸｻｽ RX 200t Fｽﾎﾟｰﾂ</t>
    <phoneticPr fontId="13"/>
  </si>
  <si>
    <t>AGL20-0005957</t>
    <phoneticPr fontId="13"/>
  </si>
  <si>
    <t>SD ﾚﾝﾀｶｰ</t>
    <phoneticPr fontId="13"/>
  </si>
  <si>
    <t>ｱｸｱ  S</t>
    <phoneticPr fontId="13"/>
  </si>
  <si>
    <t>和泉 581 は 814</t>
    <rPh sb="0" eb="2">
      <t>イズミ</t>
    </rPh>
    <phoneticPr fontId="13"/>
  </si>
  <si>
    <t>保証書 取説 ｽﾍﾟｱｷｰ ﾜﾝｵｰﾅｰ 名変期限5/31</t>
    <rPh sb="0" eb="3">
      <t>ホショウショ</t>
    </rPh>
    <rPh sb="4" eb="6">
      <t>トリセツ</t>
    </rPh>
    <rPh sb="21" eb="23">
      <t>メイヘン</t>
    </rPh>
    <rPh sb="23" eb="25">
      <t>キゲン</t>
    </rPh>
    <phoneticPr fontId="13"/>
  </si>
  <si>
    <t>和歌山 585 あ 1120</t>
    <rPh sb="0" eb="3">
      <t>ワカヤマ</t>
    </rPh>
    <phoneticPr fontId="13"/>
  </si>
  <si>
    <t>取説 ﾅﾋﾞ取 SD ｽﾏｰﾄｷｰ</t>
    <rPh sb="0" eb="2">
      <t>トリセツ</t>
    </rPh>
    <rPh sb="6" eb="7">
      <t>トリ</t>
    </rPh>
    <phoneticPr fontId="13"/>
  </si>
  <si>
    <t>名古屋 487 ろ 3492</t>
    <rPh sb="0" eb="3">
      <t>ナゴヤ</t>
    </rPh>
    <phoneticPr fontId="13"/>
  </si>
  <si>
    <t>角田 琢朗</t>
    <rPh sb="0" eb="2">
      <t>スミタ</t>
    </rPh>
    <rPh sb="3" eb="5">
      <t>タクロウ</t>
    </rPh>
    <phoneticPr fontId="13"/>
  </si>
  <si>
    <t>広島 582 そ 7741</t>
    <rPh sb="0" eb="2">
      <t>ヒロシマ</t>
    </rPh>
    <phoneticPr fontId="13"/>
  </si>
  <si>
    <t>広島 582 そ 5020</t>
    <rPh sb="0" eb="2">
      <t>ヒロシマ</t>
    </rPh>
    <phoneticPr fontId="13"/>
  </si>
  <si>
    <t>ﾋﾞｼﾞﾈｽﾚﾝﾀﾘｰｽ株式会社</t>
    <rPh sb="12" eb="16">
      <t>カブシキガイシャ</t>
    </rPh>
    <phoneticPr fontId="13"/>
  </si>
  <si>
    <t>地図SD(車内)ｷｰﾚｽ  ﾚﾝﾀｶｰ</t>
    <phoneticPr fontId="13"/>
  </si>
  <si>
    <t>大宮 581 や 1207</t>
    <rPh sb="0" eb="2">
      <t>オオミヤ</t>
    </rPh>
    <phoneticPr fontId="13"/>
  </si>
  <si>
    <t>ﾏｲｸﾛ地図SD(車内)ﾅﾝﾊﾞｰ</t>
    <rPh sb="4" eb="6">
      <t>チズ</t>
    </rPh>
    <rPh sb="9" eb="11">
      <t>シャナイ</t>
    </rPh>
    <phoneticPr fontId="13"/>
  </si>
  <si>
    <t>なにわ 581 そ 1962</t>
    <phoneticPr fontId="13"/>
  </si>
  <si>
    <t>なにわ 481 り 1107</t>
    <phoneticPr fontId="13"/>
  </si>
  <si>
    <t>なにわ 580 も 7958</t>
    <phoneticPr fontId="13"/>
  </si>
  <si>
    <t>VF7SXHNZTHT557161</t>
    <phoneticPr fontId="13"/>
  </si>
  <si>
    <t>WBS3R92060K343851</t>
    <phoneticPr fontId="13"/>
  </si>
  <si>
    <t>27-4135</t>
  </si>
  <si>
    <t>27-4136</t>
  </si>
  <si>
    <t>27-4137</t>
  </si>
  <si>
    <t>(株)ﾘﾊﾞﾃｨ</t>
    <rPh sb="0" eb="3">
      <t>カブシキガイシャ</t>
    </rPh>
    <phoneticPr fontId="13"/>
  </si>
  <si>
    <t xml:space="preserve">ﾑｰﾌﾞｷｬﾝﾊﾞｽ </t>
    <phoneticPr fontId="13"/>
  </si>
  <si>
    <t>LA850S-0134973</t>
    <phoneticPr fontId="13"/>
  </si>
  <si>
    <t>神戸 599 は 8787</t>
    <rPh sb="0" eb="2">
      <t>コウベ</t>
    </rPh>
    <phoneticPr fontId="13"/>
  </si>
  <si>
    <t>山口 沙織</t>
    <rPh sb="0" eb="2">
      <t>ヤマグチ</t>
    </rPh>
    <rPh sb="3" eb="5">
      <t>サオリ</t>
    </rPh>
    <phoneticPr fontId="13"/>
  </si>
  <si>
    <t>山口 陽子</t>
    <rPh sb="0" eb="2">
      <t>ヤマグチ</t>
    </rPh>
    <rPh sb="3" eb="5">
      <t>ヨウコ</t>
    </rPh>
    <phoneticPr fontId="13"/>
  </si>
  <si>
    <t>(株)ｽｽﾞｷ中兵庫販売</t>
    <rPh sb="0" eb="3">
      <t>カブシキガイシャ</t>
    </rPh>
    <rPh sb="7" eb="8">
      <t>ナカ</t>
    </rPh>
    <rPh sb="8" eb="10">
      <t>ヒョウゴ</t>
    </rPh>
    <rPh sb="10" eb="12">
      <t>ハンバイ</t>
    </rPh>
    <phoneticPr fontId="13"/>
  </si>
  <si>
    <t>MR92S-573028</t>
    <phoneticPr fontId="13"/>
  </si>
  <si>
    <t>姫路 785 す 7</t>
    <rPh sb="0" eb="2">
      <t>ヒメジ</t>
    </rPh>
    <phoneticPr fontId="13"/>
  </si>
  <si>
    <t>濱野 昌彦</t>
    <rPh sb="0" eb="2">
      <t>ハマノ</t>
    </rPh>
    <rPh sb="3" eb="5">
      <t>マサヒコ</t>
    </rPh>
    <phoneticPr fontId="13"/>
  </si>
  <si>
    <t>山口様</t>
    <rPh sb="0" eb="2">
      <t>ヤマグチ</t>
    </rPh>
    <rPh sb="2" eb="3">
      <t>サマ</t>
    </rPh>
    <phoneticPr fontId="13"/>
  </si>
  <si>
    <t>WMWSU32010T628625</t>
    <phoneticPr fontId="13"/>
  </si>
  <si>
    <t>神戸 566 や 8787</t>
    <rPh sb="0" eb="2">
      <t>コウベ</t>
    </rPh>
    <phoneticPr fontId="13"/>
  </si>
  <si>
    <t>山口 信吾</t>
    <rPh sb="0" eb="2">
      <t>ヤマグチ</t>
    </rPh>
    <rPh sb="3" eb="5">
      <t>シンゴ</t>
    </rPh>
    <phoneticPr fontId="13"/>
  </si>
  <si>
    <t>27-4138</t>
  </si>
  <si>
    <t>三上様</t>
    <rPh sb="0" eb="2">
      <t>ミカミ</t>
    </rPh>
    <rPh sb="2" eb="3">
      <t>サマ</t>
    </rPh>
    <phoneticPr fontId="13"/>
  </si>
  <si>
    <t>WMWXM520702G36688</t>
    <phoneticPr fontId="13"/>
  </si>
  <si>
    <t>姫路 331 ね 1952</t>
    <rPh sb="0" eb="2">
      <t>ヒメジ</t>
    </rPh>
    <phoneticPr fontId="13"/>
  </si>
  <si>
    <t>三上 真司</t>
    <rPh sb="0" eb="2">
      <t>ミカミ</t>
    </rPh>
    <rPh sb="3" eb="5">
      <t>シンジ</t>
    </rPh>
    <phoneticPr fontId="13"/>
  </si>
  <si>
    <t>多摩 799 ひ 7309</t>
    <rPh sb="0" eb="2">
      <t>タマ</t>
    </rPh>
    <phoneticPr fontId="13"/>
  </si>
  <si>
    <t>多摩 799 ひ 7365</t>
    <rPh sb="0" eb="2">
      <t>タマ</t>
    </rPh>
    <phoneticPr fontId="13"/>
  </si>
  <si>
    <t>大阪 399 ゆ 5986</t>
    <rPh sb="0" eb="2">
      <t>オオサカ</t>
    </rPh>
    <phoneticPr fontId="13"/>
  </si>
  <si>
    <t>市川 399 す 2188</t>
    <rPh sb="0" eb="2">
      <t>イチカワ</t>
    </rPh>
    <phoneticPr fontId="13"/>
  </si>
  <si>
    <t>多摩 799 ひ 7387</t>
    <rPh sb="0" eb="2">
      <t>タマ</t>
    </rPh>
    <phoneticPr fontId="13"/>
  </si>
  <si>
    <t>多摩 799 ひ 7357</t>
    <rPh sb="0" eb="2">
      <t>タマ</t>
    </rPh>
    <phoneticPr fontId="13"/>
  </si>
  <si>
    <t>なにわ 531 の 3200</t>
    <phoneticPr fontId="13"/>
  </si>
  <si>
    <t>福山 340 つ 16</t>
    <rPh sb="0" eb="2">
      <t>フクヤマ</t>
    </rPh>
    <phoneticPr fontId="13"/>
  </si>
  <si>
    <t>竹ノ内 俊秀</t>
    <rPh sb="0" eb="1">
      <t>タケ</t>
    </rPh>
    <rPh sb="2" eb="3">
      <t>ウチ</t>
    </rPh>
    <rPh sb="4" eb="5">
      <t>シュン</t>
    </rPh>
    <rPh sb="5" eb="6">
      <t>ヒデ</t>
    </rPh>
    <phoneticPr fontId="13"/>
  </si>
  <si>
    <t>佐世保 330 す 2701</t>
    <rPh sb="0" eb="1">
      <t>サ</t>
    </rPh>
    <rPh sb="1" eb="2">
      <t>ヨ</t>
    </rPh>
    <rPh sb="2" eb="3">
      <t>ホ</t>
    </rPh>
    <phoneticPr fontId="13"/>
  </si>
  <si>
    <t>医療法人ｳｪﾙﾈｽ</t>
    <rPh sb="0" eb="4">
      <t>イリョウホウジン</t>
    </rPh>
    <phoneticPr fontId="13"/>
  </si>
  <si>
    <t>YV1UZ10MCJ1033150</t>
    <phoneticPr fontId="13"/>
  </si>
  <si>
    <t>27-4139</t>
  </si>
  <si>
    <t>27-4140</t>
  </si>
  <si>
    <t>27-4141</t>
  </si>
  <si>
    <t>27-4142</t>
  </si>
  <si>
    <t>27-4143</t>
  </si>
  <si>
    <t>27-4144</t>
  </si>
  <si>
    <t>27-4145</t>
  </si>
  <si>
    <t>27-4146</t>
  </si>
  <si>
    <t>27-4147</t>
  </si>
  <si>
    <t>27-4148</t>
  </si>
  <si>
    <t>27-4149</t>
  </si>
  <si>
    <t>27-4150</t>
  </si>
  <si>
    <t>ﾐﾗｲﾌﾞ愛知（ｱｲｵｰｸ）</t>
    <rPh sb="5" eb="7">
      <t>アイチ</t>
    </rPh>
    <phoneticPr fontId="13"/>
  </si>
  <si>
    <t>L375S-0629573</t>
    <phoneticPr fontId="13"/>
  </si>
  <si>
    <t>MH23S-728963</t>
    <phoneticPr fontId="13"/>
  </si>
  <si>
    <t>MH34S-312380</t>
    <phoneticPr fontId="13"/>
  </si>
  <si>
    <t>DKEFW-206430</t>
    <phoneticPr fontId="13"/>
  </si>
  <si>
    <t>HA36S-304345</t>
    <phoneticPr fontId="13"/>
  </si>
  <si>
    <t>LA150S-2082487</t>
    <phoneticPr fontId="13"/>
  </si>
  <si>
    <t>GVF-005096</t>
    <phoneticPr fontId="13"/>
  </si>
  <si>
    <t>27-4151</t>
  </si>
  <si>
    <t>27-4152</t>
  </si>
  <si>
    <t>27-4153</t>
  </si>
  <si>
    <t>27-4154</t>
  </si>
  <si>
    <t>27-4155</t>
  </si>
  <si>
    <t>27-4156</t>
  </si>
  <si>
    <t>27-4157</t>
  </si>
  <si>
    <t>27-4158</t>
  </si>
  <si>
    <t>27-4159</t>
  </si>
  <si>
    <t>27-4160</t>
  </si>
  <si>
    <t>27-4161</t>
  </si>
  <si>
    <t>USS名古屋</t>
    <rPh sb="3" eb="6">
      <t>ナゴヤ</t>
    </rPh>
    <phoneticPr fontId="13"/>
  </si>
  <si>
    <t>MﾍﾞﾝﾂC200　ｱﾊﾞﾝｷﾞｬﾙﾄﾞAMGﾗｲﾝ</t>
    <phoneticPr fontId="13"/>
  </si>
  <si>
    <t>LRﾚﾝｼﾞﾛｰﾊﾞｰ　3.0V6SCｳﾞｫｰｸﾞ</t>
    <phoneticPr fontId="13"/>
  </si>
  <si>
    <t>LAA岡山</t>
    <rPh sb="3" eb="5">
      <t>オカヤマ</t>
    </rPh>
    <phoneticPr fontId="13"/>
  </si>
  <si>
    <t>27-4162</t>
  </si>
  <si>
    <t>27-4163</t>
  </si>
  <si>
    <t>27-4164</t>
  </si>
  <si>
    <t>27-4165</t>
  </si>
  <si>
    <t>27-4166</t>
  </si>
  <si>
    <t>27-4167</t>
  </si>
  <si>
    <t>27-4168</t>
  </si>
  <si>
    <t>27-4169</t>
  </si>
  <si>
    <t>27-4170</t>
  </si>
  <si>
    <t>27-4171</t>
  </si>
  <si>
    <t>27-4172</t>
  </si>
  <si>
    <t>　ﾚｸｻｽ GS350　Fｽﾎﾟｰﾂ</t>
    <phoneticPr fontId="13"/>
  </si>
  <si>
    <t>GRL10-6002431</t>
    <phoneticPr fontId="13"/>
  </si>
  <si>
    <t>ｸﾗｳﾝ　2.5ｱｽﾘｰﾄ</t>
    <phoneticPr fontId="13"/>
  </si>
  <si>
    <t>GRS200-0061620</t>
    <phoneticPr fontId="13"/>
  </si>
  <si>
    <t>MK53S-763162</t>
    <phoneticPr fontId="13"/>
  </si>
  <si>
    <t>ﾌｨｯﾄ　ﾎｰﾑ</t>
    <phoneticPr fontId="13"/>
  </si>
  <si>
    <t>GR1-1023220</t>
    <phoneticPr fontId="13"/>
  </si>
  <si>
    <t>N　BOX　GﾀｰﾎﾞSSﾊﾟｯｹｰｼﾞ</t>
    <phoneticPr fontId="13"/>
  </si>
  <si>
    <t>JF1-2547422</t>
    <phoneticPr fontId="13"/>
  </si>
  <si>
    <t>SAI　G　ｳﾞｨｵﾗ</t>
    <phoneticPr fontId="13"/>
  </si>
  <si>
    <t>AZK10-2098834</t>
    <phoneticPr fontId="13"/>
  </si>
  <si>
    <t>DA17V-750120</t>
    <phoneticPr fontId="13"/>
  </si>
  <si>
    <t>ｷｯｸｽ　X</t>
    <phoneticPr fontId="13"/>
  </si>
  <si>
    <t>P15-018424</t>
    <phoneticPr fontId="13"/>
  </si>
  <si>
    <t>ｸﾗｳﾝ　ﾊｲﾌﾞﾘｯﾄﾞｱｽﾘｰﾄ</t>
    <phoneticPr fontId="13"/>
  </si>
  <si>
    <t>AWS210-6125182</t>
    <phoneticPr fontId="13"/>
  </si>
  <si>
    <t>ﾏｰｸX　250G　Sﾊﾟｯｹｰｼﾞ</t>
    <phoneticPr fontId="13"/>
  </si>
  <si>
    <t>GRX130-6099328</t>
    <phoneticPr fontId="13"/>
  </si>
  <si>
    <t>MAZDA3　ﾌｧｽﾄﾊﾞｯｸ</t>
    <phoneticPr fontId="13"/>
  </si>
  <si>
    <t>BPFP-102084</t>
    <phoneticPr fontId="13"/>
  </si>
  <si>
    <t>ｱﾙﾄﾗﾊﾟﾝ　X</t>
    <phoneticPr fontId="13"/>
  </si>
  <si>
    <t>HE33S-305155</t>
    <phoneticPr fontId="13"/>
  </si>
  <si>
    <t>MK53S-664304</t>
    <phoneticPr fontId="13"/>
  </si>
  <si>
    <t>ｽﾍﾟｰｼｱ　ﾊｲﾌﾞﾘｯﾄﾞX</t>
    <phoneticPr fontId="13"/>
  </si>
  <si>
    <t>MK53S-356850</t>
    <phoneticPr fontId="13"/>
  </si>
  <si>
    <t>ﾜｺﾞﾝR　FX</t>
    <phoneticPr fontId="13"/>
  </si>
  <si>
    <t>MH34S-178613</t>
    <phoneticPr fontId="13"/>
  </si>
  <si>
    <t>ﾊｽﾗｰ　Jｽﾀｲﾙ</t>
    <phoneticPr fontId="13"/>
  </si>
  <si>
    <t>MR92S-174741</t>
    <phoneticPr fontId="13"/>
  </si>
  <si>
    <t>ﾐﾗｲｰｽ　X　SaⅢ</t>
    <phoneticPr fontId="13"/>
  </si>
  <si>
    <t>LA350S-0070243</t>
    <phoneticPr fontId="13"/>
  </si>
  <si>
    <t>ｴﾌﾞﾘｨ　ｼﾞｮｲﾝﾀｰﾎﾞ　ﾊｲﾌﾞﾘｯﾄﾞ</t>
    <phoneticPr fontId="13"/>
  </si>
  <si>
    <t>DA17V-814028</t>
    <phoneticPr fontId="13"/>
  </si>
  <si>
    <t>ﾌﾟﾚｵﾌﾟﾗｽ　F</t>
    <phoneticPr fontId="13"/>
  </si>
  <si>
    <t>LA350F-0000774</t>
    <phoneticPr fontId="13"/>
  </si>
  <si>
    <t>ｿﾘｵﾊﾞﾝﾃﾞｨｯﾄ　</t>
    <phoneticPr fontId="13"/>
  </si>
  <si>
    <t>MA15S-658999</t>
    <phoneticPr fontId="13"/>
  </si>
  <si>
    <t>ﾌﾟﾘｳｽｱﾙﾌｧ　S　Lｾﾚｸｼｮﾝ</t>
    <phoneticPr fontId="13"/>
  </si>
  <si>
    <t>ZVW41-3399922</t>
    <phoneticPr fontId="13"/>
  </si>
  <si>
    <t>27-4173</t>
  </si>
  <si>
    <t>27-4174</t>
  </si>
  <si>
    <t>27-4175</t>
  </si>
  <si>
    <t>27-4176</t>
  </si>
  <si>
    <t>27-4177</t>
  </si>
  <si>
    <t>27-4178</t>
  </si>
  <si>
    <t>27-4179</t>
  </si>
  <si>
    <t>27-4180</t>
  </si>
  <si>
    <t>Sellca</t>
    <phoneticPr fontId="13"/>
  </si>
  <si>
    <t>A346463</t>
    <phoneticPr fontId="13"/>
  </si>
  <si>
    <t>TRJ250-0014099</t>
    <phoneticPr fontId="13"/>
  </si>
  <si>
    <t>A347046</t>
    <phoneticPr fontId="13"/>
  </si>
  <si>
    <t>TRJ250-0020425</t>
    <phoneticPr fontId="13"/>
  </si>
  <si>
    <t>A344297</t>
    <phoneticPr fontId="13"/>
  </si>
  <si>
    <t>ZVG13-2006707</t>
    <phoneticPr fontId="13"/>
  </si>
  <si>
    <t>A344524</t>
    <phoneticPr fontId="13"/>
  </si>
  <si>
    <t>DA17W-283454</t>
    <phoneticPr fontId="13"/>
  </si>
  <si>
    <t>A345898</t>
    <phoneticPr fontId="13"/>
  </si>
  <si>
    <t>JF3-2416044</t>
    <phoneticPr fontId="13"/>
  </si>
  <si>
    <t>USS岡山</t>
    <rPh sb="3" eb="5">
      <t>オカヤマ</t>
    </rPh>
    <phoneticPr fontId="13"/>
  </si>
  <si>
    <t>BMWﾐﾆｸｰﾊﾟｰS　ｸﾗﾌﾞﾏﾝ</t>
    <phoneticPr fontId="13"/>
  </si>
  <si>
    <t>ZIP東京</t>
    <rPh sb="3" eb="5">
      <t>トウキョウ</t>
    </rPh>
    <phoneticPr fontId="13"/>
  </si>
  <si>
    <t>MﾍﾞﾝﾂGLC220ｄ</t>
    <phoneticPr fontId="13"/>
  </si>
  <si>
    <t>WDC2539152F732347</t>
    <phoneticPr fontId="13"/>
  </si>
  <si>
    <t>USS九州</t>
    <rPh sb="3" eb="5">
      <t>キュウシュウ</t>
    </rPh>
    <phoneticPr fontId="13"/>
  </si>
  <si>
    <t>MﾍﾞﾝﾂB180　AMGﾗｲﾝ</t>
    <phoneticPr fontId="13"/>
  </si>
  <si>
    <t>6/10</t>
    <phoneticPr fontId="13"/>
  </si>
  <si>
    <t>ｸﾞﾚｰ</t>
    <phoneticPr fontId="13"/>
  </si>
  <si>
    <t>ﾗﾝﾄﾞｸﾙｰｻﾞｰ250　VX</t>
    <phoneticPr fontId="13"/>
  </si>
  <si>
    <t>9/10/30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</si>
  <si>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</si>
  <si>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7/1</t>
    <phoneticPr fontId="13"/>
  </si>
  <si>
    <t>10/1/29</t>
    <phoneticPr fontId="13"/>
  </si>
  <si>
    <t>保証書　ﾜﾝｵｰﾅｰ</t>
    <rPh sb="0" eb="3">
      <t>ホショウショ</t>
    </rPh>
    <phoneticPr fontId="13"/>
  </si>
  <si>
    <t>7/7</t>
    <phoneticPr fontId="13"/>
  </si>
  <si>
    <t>黒</t>
    <rPh sb="0" eb="1">
      <t>クロ</t>
    </rPh>
    <phoneticPr fontId="13"/>
  </si>
  <si>
    <t>ｶﾛｰﾗｸﾛｽ　ﾊｲﾌﾞﾘｯﾄﾞZ</t>
    <phoneticPr fontId="13"/>
  </si>
  <si>
    <t>10/7/13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</si>
  <si>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</si>
  <si>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3/11</t>
    <phoneticPr fontId="13"/>
  </si>
  <si>
    <t>ｸﾞﾘｰﾝ</t>
    <phoneticPr fontId="13"/>
  </si>
  <si>
    <t>ｴﾌﾞﾘｨﾜｺﾞﾝ　JPﾀｰﾎﾞ</t>
    <phoneticPr fontId="13"/>
  </si>
  <si>
    <t>9/3/12</t>
    <phoneticPr fontId="13"/>
  </si>
  <si>
    <t>保証書　取説　</t>
    <rPh sb="0" eb="3">
      <t>ホショウショ</t>
    </rPh>
    <rPh sb="4" eb="6">
      <t>トリセツ</t>
    </rPh>
    <phoneticPr fontId="13"/>
  </si>
  <si>
    <t>5/4</t>
    <phoneticPr fontId="13"/>
  </si>
  <si>
    <t>8/4/17</t>
    <phoneticPr fontId="13"/>
  </si>
  <si>
    <t>TAA兵庫</t>
    <rPh sb="3" eb="5">
      <t>ヒョウゴ</t>
    </rPh>
    <phoneticPr fontId="13"/>
  </si>
  <si>
    <t>ZVW41-0029345</t>
    <phoneticPr fontId="13"/>
  </si>
  <si>
    <t>ﾐﾗｲｰｽ</t>
    <phoneticPr fontId="13"/>
  </si>
  <si>
    <t>LA350S-0332132</t>
    <phoneticPr fontId="13"/>
  </si>
  <si>
    <t>27/7</t>
    <phoneticPr fontId="13"/>
  </si>
  <si>
    <t>ﾌﾟﾘｳｽｱﾙﾌｧ　S</t>
    <phoneticPr fontId="13"/>
  </si>
  <si>
    <t>5/1</t>
    <phoneticPr fontId="13"/>
  </si>
  <si>
    <t>白</t>
    <rPh sb="0" eb="1">
      <t>シロ</t>
    </rPh>
    <phoneticPr fontId="13"/>
  </si>
  <si>
    <t>保証書　取説</t>
    <rPh sb="0" eb="3">
      <t>ホショウショ</t>
    </rPh>
    <rPh sb="4" eb="6">
      <t>トリセツ</t>
    </rPh>
    <phoneticPr fontId="13"/>
  </si>
  <si>
    <t>27-4181</t>
  </si>
  <si>
    <t>27-4182</t>
  </si>
  <si>
    <t>27-4183</t>
  </si>
  <si>
    <t>27-4184</t>
  </si>
  <si>
    <t>HAA神戸</t>
    <rPh sb="3" eb="5">
      <t>コウベ</t>
    </rPh>
    <phoneticPr fontId="13"/>
  </si>
  <si>
    <t>GUN125-3917077</t>
    <phoneticPr fontId="13"/>
  </si>
  <si>
    <t>ﾌｨｯﾄ　EHEV　RS</t>
    <phoneticPr fontId="13"/>
  </si>
  <si>
    <t>GR3-1366055</t>
    <phoneticPr fontId="13"/>
  </si>
  <si>
    <t>MN71S-149809</t>
    <phoneticPr fontId="13"/>
  </si>
  <si>
    <t>ｸﾘｯﾊﾟｰV　DX　GLﾊﾟｯｹｰｼﾞ</t>
    <phoneticPr fontId="13"/>
  </si>
  <si>
    <t>27-4185</t>
  </si>
  <si>
    <t>27-4186</t>
  </si>
  <si>
    <t>27-4187</t>
  </si>
  <si>
    <t>27-4188</t>
  </si>
  <si>
    <t>27-4189</t>
  </si>
  <si>
    <t>27-4190</t>
  </si>
  <si>
    <t>27-4191</t>
  </si>
  <si>
    <t>27-4192</t>
  </si>
  <si>
    <t>DR17V-462820</t>
    <phoneticPr fontId="13"/>
  </si>
  <si>
    <t>ﾐﾗｼﾞｰﾉ　ﾐﾆﾗｲﾄｽﾍﾟｼｬﾙTB</t>
    <phoneticPr fontId="13"/>
  </si>
  <si>
    <t>L700S-0255929</t>
    <phoneticPr fontId="13"/>
  </si>
  <si>
    <t>ﾎﾞﾙﾎﾞXC40　B4　Rﾃﾞｻﾞｲﾝ</t>
    <phoneticPr fontId="13"/>
  </si>
  <si>
    <t>ﾌｨｱｯﾄ500　ﾂｲﾝｴｱ　ｶﾙﾄ</t>
    <phoneticPr fontId="13"/>
  </si>
  <si>
    <t>MﾍﾞﾝﾂB180</t>
    <phoneticPr fontId="13"/>
  </si>
  <si>
    <t>27-4193</t>
  </si>
  <si>
    <t>BMW530I　Mｽﾎﾟｰﾂ</t>
    <phoneticPr fontId="13"/>
  </si>
  <si>
    <t>BMWX2　Sﾄﾞﾗｲﾌﾞ18IMｽﾎﾟｰﾂ</t>
    <phoneticPr fontId="13"/>
  </si>
  <si>
    <t>ﾌｨｱｯﾄ500　</t>
    <phoneticPr fontId="13"/>
  </si>
  <si>
    <t>25/1</t>
    <phoneticPr fontId="13"/>
  </si>
  <si>
    <t>ﾀﾝﾄ　ｽﾛｰﾊﾟｰ　ﾘｱｼｰﾄ付仕様</t>
    <rPh sb="16" eb="17">
      <t>ツ</t>
    </rPh>
    <phoneticPr fontId="13"/>
  </si>
  <si>
    <t>ｽﾍﾟｱｷｰ</t>
    <phoneticPr fontId="13"/>
  </si>
  <si>
    <t>23/4</t>
    <phoneticPr fontId="13"/>
  </si>
  <si>
    <t>ﾜｺﾞﾝR　ﾘﾐﾃｯﾄﾞ</t>
    <phoneticPr fontId="13"/>
  </si>
  <si>
    <t>26/3</t>
    <phoneticPr fontId="13"/>
  </si>
  <si>
    <t>ﾋﾟﾝｸ</t>
    <phoneticPr fontId="13"/>
  </si>
  <si>
    <t>ﾜｺﾞﾝR　FXｾｯﾄｵﾌﾟｼｮﾝ</t>
    <phoneticPr fontId="13"/>
  </si>
  <si>
    <t>31/4</t>
    <phoneticPr fontId="13"/>
  </si>
  <si>
    <t>紺</t>
    <rPh sb="0" eb="1">
      <t>コン</t>
    </rPh>
    <phoneticPr fontId="13"/>
  </si>
  <si>
    <t>CX-3　20SﾌﾟﾛｱｸﾃｨﾌﾞSﾊﾟｯｹｰｼﾞ</t>
    <phoneticPr fontId="13"/>
  </si>
  <si>
    <t>保証書　取説　SD　ｽﾏｰﾄｷｰ</t>
    <rPh sb="0" eb="3">
      <t>ホショウショ</t>
    </rPh>
    <rPh sb="4" eb="6">
      <t>トリセツ</t>
    </rPh>
    <phoneticPr fontId="13"/>
  </si>
  <si>
    <t>29/1</t>
    <phoneticPr fontId="13"/>
  </si>
  <si>
    <t>ﾌﾞﾙｰ</t>
    <phoneticPr fontId="13"/>
  </si>
  <si>
    <t>ｱﾙﾄ　L</t>
    <phoneticPr fontId="13"/>
  </si>
  <si>
    <t>29/3</t>
    <phoneticPr fontId="13"/>
  </si>
  <si>
    <t>NV350ｷｬﾗﾊﾞﾝ　ﾌﾟﾚﾐｱﾑGX</t>
    <phoneticPr fontId="13"/>
  </si>
  <si>
    <t>3/1</t>
    <phoneticPr fontId="13"/>
  </si>
  <si>
    <t>ﾑｰｳﾞ　L SaⅢ</t>
    <phoneticPr fontId="13"/>
  </si>
  <si>
    <t>24/6</t>
    <phoneticPr fontId="13"/>
  </si>
  <si>
    <t>ｲﾝﾌﾟﾚｯｻWRX　STI</t>
    <phoneticPr fontId="13"/>
  </si>
  <si>
    <t>保証書　取説　ﾛｯｸﾅｯﾄ</t>
    <rPh sb="0" eb="3">
      <t>ホショウショ</t>
    </rPh>
    <rPh sb="4" eb="6">
      <t>トリセツ</t>
    </rPh>
    <phoneticPr fontId="13"/>
  </si>
  <si>
    <t>WDD2052772F793296</t>
    <phoneticPr fontId="13"/>
  </si>
  <si>
    <t>取説　ｽﾏｰﾄｷｰX2（ﾘｽﾄに記載有）</t>
    <rPh sb="0" eb="2">
      <t>トリセツ</t>
    </rPh>
    <rPh sb="16" eb="19">
      <t>キサイアリ</t>
    </rPh>
    <phoneticPr fontId="13"/>
  </si>
  <si>
    <t>27/4</t>
    <phoneticPr fontId="13"/>
  </si>
  <si>
    <t>SALGA2VE7EA186514</t>
    <phoneticPr fontId="13"/>
  </si>
  <si>
    <t>保証書</t>
    <rPh sb="0" eb="3">
      <t>ホショウショ</t>
    </rPh>
    <phoneticPr fontId="13"/>
  </si>
  <si>
    <t>1/10</t>
    <phoneticPr fontId="13"/>
  </si>
  <si>
    <t>WBATX32060LG60324</t>
    <phoneticPr fontId="13"/>
  </si>
  <si>
    <t>8/10</t>
    <phoneticPr fontId="13"/>
  </si>
  <si>
    <t>福井　333　ほ　418</t>
    <rPh sb="0" eb="2">
      <t>フクイ</t>
    </rPh>
    <phoneticPr fontId="13"/>
  </si>
  <si>
    <t>ｽﾏｰﾄｷｰX2（ﾘｽﾄに記載有）</t>
    <rPh sb="13" eb="16">
      <t>キサイアリ</t>
    </rPh>
    <phoneticPr fontId="13"/>
  </si>
  <si>
    <t>24/7</t>
    <phoneticPr fontId="13"/>
  </si>
  <si>
    <t>赤</t>
    <rPh sb="0" eb="1">
      <t>アカ</t>
    </rPh>
    <phoneticPr fontId="13"/>
  </si>
  <si>
    <t>R</t>
    <phoneticPr fontId="13"/>
  </si>
  <si>
    <t>保証書　取説　ﾃﾞｨｰﾗｰ記録簿</t>
    <rPh sb="0" eb="3">
      <t>ホショウショ</t>
    </rPh>
    <rPh sb="4" eb="6">
      <t>トリセツ</t>
    </rPh>
    <rPh sb="13" eb="16">
      <t>キロクボ</t>
    </rPh>
    <phoneticPr fontId="13"/>
  </si>
  <si>
    <t>3/8</t>
    <phoneticPr fontId="13"/>
  </si>
  <si>
    <t>8/8/22</t>
    <phoneticPr fontId="13"/>
  </si>
  <si>
    <t>保証書　取説　ﾅﾋﾞSD</t>
    <rPh sb="0" eb="3">
      <t>ホショウショ</t>
    </rPh>
    <rPh sb="4" eb="6">
      <t>トリセツ</t>
    </rPh>
    <phoneticPr fontId="13"/>
  </si>
  <si>
    <t>2/10</t>
    <phoneticPr fontId="13"/>
  </si>
  <si>
    <t>9/10/21</t>
    <phoneticPr fontId="13"/>
  </si>
  <si>
    <t>ｱｲﾎﾞﾘｰ</t>
    <phoneticPr fontId="13"/>
  </si>
  <si>
    <t>28/7</t>
    <phoneticPr fontId="13"/>
  </si>
  <si>
    <t>9/2/19</t>
    <phoneticPr fontId="13"/>
  </si>
  <si>
    <t>保証書　取説　ｽﾍﾟｱｷｰ　</t>
    <rPh sb="0" eb="3">
      <t>ホショウショ</t>
    </rPh>
    <rPh sb="4" eb="6">
      <t>トリセツ</t>
    </rPh>
    <phoneticPr fontId="13"/>
  </si>
  <si>
    <t>6/4</t>
    <phoneticPr fontId="13"/>
  </si>
  <si>
    <t>ﾃﾞﾆﾑﾌﾞﾙｰ</t>
    <phoneticPr fontId="13"/>
  </si>
  <si>
    <t>10/4/16</t>
    <phoneticPr fontId="13"/>
  </si>
  <si>
    <t>2/11</t>
    <phoneticPr fontId="13"/>
  </si>
  <si>
    <t>9/11/26</t>
    <phoneticPr fontId="13"/>
  </si>
  <si>
    <t>29/</t>
    <phoneticPr fontId="13"/>
  </si>
  <si>
    <t>9/9/4</t>
    <phoneticPr fontId="13"/>
  </si>
  <si>
    <t>ｽﾏｰﾄｷｰ　地図SD</t>
    <rPh sb="7" eb="9">
      <t>チズ</t>
    </rPh>
    <phoneticPr fontId="13"/>
  </si>
  <si>
    <t>28/6</t>
    <phoneticPr fontId="13"/>
  </si>
  <si>
    <t>保証書　取説　ﾃﾞｨｰﾗｰ記録簿　ｽﾏｰﾄｷｰX2（ﾘｽﾄに記載有）</t>
    <rPh sb="0" eb="3">
      <t>ホショウショ</t>
    </rPh>
    <rPh sb="4" eb="6">
      <t>トリセツ</t>
    </rPh>
    <rPh sb="13" eb="16">
      <t>キロクボ</t>
    </rPh>
    <rPh sb="30" eb="33">
      <t>キサイアリ</t>
    </rPh>
    <phoneticPr fontId="13"/>
  </si>
  <si>
    <t>1/8</t>
    <phoneticPr fontId="13"/>
  </si>
  <si>
    <t>2/12</t>
    <phoneticPr fontId="13"/>
  </si>
  <si>
    <t>2/1</t>
    <phoneticPr fontId="13"/>
  </si>
  <si>
    <t>ｽﾍﾟｰｼｱｷﾞｱ　ﾊｲﾌﾞﾘｯﾄﾞXZ</t>
    <phoneticPr fontId="13"/>
  </si>
  <si>
    <t>9/1/26</t>
    <phoneticPr fontId="13"/>
  </si>
  <si>
    <t>3//4</t>
    <phoneticPr fontId="13"/>
  </si>
  <si>
    <t>25/3</t>
    <phoneticPr fontId="13"/>
  </si>
  <si>
    <t>3/3</t>
    <phoneticPr fontId="13"/>
  </si>
  <si>
    <t>30/3</t>
    <phoneticPr fontId="13"/>
  </si>
  <si>
    <t>9/3/26</t>
    <phoneticPr fontId="13"/>
  </si>
  <si>
    <t>28/11</t>
    <phoneticPr fontId="13"/>
  </si>
  <si>
    <t>事業用</t>
    <rPh sb="0" eb="3">
      <t>ジギョウヨウ</t>
    </rPh>
    <phoneticPr fontId="13"/>
  </si>
  <si>
    <t>29/6</t>
    <phoneticPr fontId="13"/>
  </si>
  <si>
    <t>8/6/25</t>
    <phoneticPr fontId="13"/>
  </si>
  <si>
    <t>25/5</t>
    <phoneticPr fontId="13"/>
  </si>
  <si>
    <t>27/11</t>
    <phoneticPr fontId="13"/>
  </si>
  <si>
    <t>29/5</t>
    <phoneticPr fontId="13"/>
  </si>
  <si>
    <t>ﾌﾞﾗｳﾝ</t>
    <phoneticPr fontId="13"/>
  </si>
  <si>
    <t>WMWLN720402F25801</t>
    <phoneticPr fontId="13"/>
  </si>
  <si>
    <t>1/12</t>
    <phoneticPr fontId="13"/>
  </si>
  <si>
    <t>8/12</t>
    <phoneticPr fontId="13"/>
  </si>
  <si>
    <t>保証書　ｽﾍﾟｱｷｰ</t>
    <rPh sb="0" eb="3">
      <t>ホショウショ</t>
    </rPh>
    <phoneticPr fontId="13"/>
  </si>
  <si>
    <t>3/6</t>
    <phoneticPr fontId="13"/>
  </si>
  <si>
    <t>W1K2470842J268230</t>
    <phoneticPr fontId="13"/>
  </si>
  <si>
    <t>8/6/10</t>
    <phoneticPr fontId="13"/>
  </si>
  <si>
    <t>山口　331　す　2210</t>
    <rPh sb="0" eb="2">
      <t>ヤマグチ</t>
    </rPh>
    <phoneticPr fontId="13"/>
  </si>
  <si>
    <t>2/8</t>
    <phoneticPr fontId="13"/>
  </si>
  <si>
    <t>ﾊｲﾗｯｸｽ　　Z</t>
    <phoneticPr fontId="13"/>
  </si>
  <si>
    <t>8/6</t>
    <phoneticPr fontId="13"/>
  </si>
  <si>
    <t>神戸　133　に　55</t>
    <rPh sb="0" eb="2">
      <t>コウベ</t>
    </rPh>
    <phoneticPr fontId="13"/>
  </si>
  <si>
    <t>6/8</t>
    <phoneticPr fontId="13"/>
  </si>
  <si>
    <t>9/8/18</t>
    <phoneticPr fontId="13"/>
  </si>
  <si>
    <t>鳥取　501　す　1744</t>
    <rPh sb="0" eb="2">
      <t>トットリ</t>
    </rPh>
    <phoneticPr fontId="13"/>
  </si>
  <si>
    <t>保証書　取説　ｽﾏｰﾄｷｰ　ﾜﾝｵｰﾅｰ</t>
    <rPh sb="0" eb="3">
      <t>ホショウショ</t>
    </rPh>
    <rPh sb="4" eb="6">
      <t>トリセツ</t>
    </rPh>
    <phoneticPr fontId="13"/>
  </si>
  <si>
    <t>1/7</t>
    <phoneticPr fontId="13"/>
  </si>
  <si>
    <t>8/7</t>
    <phoneticPr fontId="13"/>
  </si>
  <si>
    <t>なにわ　536　む　323</t>
    <phoneticPr fontId="13"/>
  </si>
  <si>
    <t>3/2</t>
    <phoneticPr fontId="13"/>
  </si>
  <si>
    <t>13/10</t>
    <phoneticPr fontId="13"/>
  </si>
  <si>
    <t>9/3</t>
    <phoneticPr fontId="13"/>
  </si>
  <si>
    <t>岡山　51　つ　6383</t>
    <rPh sb="0" eb="2">
      <t>オカヤマ</t>
    </rPh>
    <phoneticPr fontId="13"/>
  </si>
  <si>
    <t>3/5</t>
    <phoneticPr fontId="13"/>
  </si>
  <si>
    <t>YV1XZK9MCM2559836</t>
    <phoneticPr fontId="13"/>
  </si>
  <si>
    <t>8/5/23</t>
    <phoneticPr fontId="13"/>
  </si>
  <si>
    <t>神戸　303　わ　3351</t>
    <rPh sb="0" eb="2">
      <t>コウベ</t>
    </rPh>
    <phoneticPr fontId="13"/>
  </si>
  <si>
    <t>ｱﾊﾞﾙﾄ595　ｺﾝﾍﾟﾃｨﾂｨｵｰﾈ　ﾊﾟﾌｫｰﾏﾝｽP</t>
    <phoneticPr fontId="13"/>
  </si>
  <si>
    <t>8/9/16</t>
    <phoneticPr fontId="13"/>
  </si>
  <si>
    <t>保証書　取説　ｽﾍﾟｱｷｰ　ﾚﾝﾀｶｰ</t>
    <rPh sb="0" eb="3">
      <t>ホショウショ</t>
    </rPh>
    <rPh sb="4" eb="6">
      <t>トリセツ</t>
    </rPh>
    <phoneticPr fontId="13"/>
  </si>
  <si>
    <t>岡山　532　る　595</t>
    <rPh sb="0" eb="2">
      <t>オカヤマ</t>
    </rPh>
    <phoneticPr fontId="13"/>
  </si>
  <si>
    <t>名変期限5/23まで</t>
    <rPh sb="0" eb="2">
      <t>メイヘン</t>
    </rPh>
    <rPh sb="2" eb="4">
      <t>キゲン</t>
    </rPh>
    <phoneticPr fontId="13"/>
  </si>
  <si>
    <t>1/6</t>
    <phoneticPr fontId="13"/>
  </si>
  <si>
    <t>WBATX32060L59805</t>
    <phoneticPr fontId="13"/>
  </si>
  <si>
    <t>8/6/27</t>
    <phoneticPr fontId="13"/>
  </si>
  <si>
    <t>和歌山　330　ち　1856</t>
    <rPh sb="0" eb="3">
      <t>ワカヤマ</t>
    </rPh>
    <phoneticPr fontId="13"/>
  </si>
  <si>
    <t>3/12</t>
    <phoneticPr fontId="13"/>
  </si>
  <si>
    <t>ZFABF1B82NJF67368</t>
    <phoneticPr fontId="13"/>
  </si>
  <si>
    <t>8/12/21</t>
    <phoneticPr fontId="13"/>
  </si>
  <si>
    <t>広島　537　ひ　528</t>
    <rPh sb="0" eb="2">
      <t>ヒロシマ</t>
    </rPh>
    <phoneticPr fontId="13"/>
  </si>
  <si>
    <t>30/10</t>
    <phoneticPr fontId="13"/>
  </si>
  <si>
    <t>WDD2462422J526473</t>
    <phoneticPr fontId="13"/>
  </si>
  <si>
    <t>9/10/28</t>
    <phoneticPr fontId="13"/>
  </si>
  <si>
    <t>29/2</t>
    <phoneticPr fontId="13"/>
  </si>
  <si>
    <t>WBAJA52050G454647</t>
    <phoneticPr fontId="13"/>
  </si>
  <si>
    <t>保証書　取説　ｽﾏｰﾄｷｰ　</t>
    <rPh sb="0" eb="3">
      <t>ホショウショ</t>
    </rPh>
    <rPh sb="4" eb="6">
      <t>トリセツ</t>
    </rPh>
    <phoneticPr fontId="13"/>
  </si>
  <si>
    <t>WBAYH120X0EM94110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</si>
  <si>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</si>
  <si>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2/9</t>
    <phoneticPr fontId="13"/>
  </si>
  <si>
    <t>ZFA312000JC15886</t>
    <phoneticPr fontId="13"/>
  </si>
  <si>
    <t>TAA近畿成約ｷｬﾝｾﾙ1925回3143</t>
    <rPh sb="3" eb="5">
      <t>キンキ</t>
    </rPh>
    <rPh sb="5" eb="7">
      <t>セイヤク</t>
    </rPh>
    <rPh sb="16" eb="17">
      <t>カイ</t>
    </rPh>
    <phoneticPr fontId="13"/>
  </si>
  <si>
    <t>大阪 34C ひ 55</t>
    <rPh sb="0" eb="2">
      <t>オオサカ</t>
    </rPh>
    <phoneticPr fontId="13"/>
  </si>
  <si>
    <t>4/19</t>
    <phoneticPr fontId="13"/>
  </si>
  <si>
    <t>名古屋 342 み 2727</t>
    <rPh sb="0" eb="3">
      <t>ナゴヤ</t>
    </rPh>
    <phoneticPr fontId="13"/>
  </si>
  <si>
    <t>品川 39A も 4977</t>
    <rPh sb="0" eb="2">
      <t>シナガワ</t>
    </rPh>
    <phoneticPr fontId="13"/>
  </si>
  <si>
    <t>愛媛 340 ろ 1126</t>
    <rPh sb="0" eb="2">
      <t>エヒメ</t>
    </rPh>
    <phoneticPr fontId="13"/>
  </si>
  <si>
    <t>ﾚｸｻｽ松山城北株式会社</t>
    <rPh sb="4" eb="6">
      <t>マツヤマ</t>
    </rPh>
    <rPh sb="6" eb="8">
      <t>ジョウホク</t>
    </rPh>
    <rPh sb="8" eb="12">
      <t>カブシキガイシャ</t>
    </rPh>
    <phoneticPr fontId="13"/>
  </si>
  <si>
    <t>福山 342 ほ 23</t>
    <rPh sb="0" eb="2">
      <t>フクヤマ</t>
    </rPh>
    <phoneticPr fontId="13"/>
  </si>
  <si>
    <t>愛媛 330 つ 1094</t>
    <rPh sb="0" eb="2">
      <t>エヒメ</t>
    </rPh>
    <phoneticPr fontId="13"/>
  </si>
  <si>
    <t>なにわ 479 や 9277</t>
    <phoneticPr fontId="13"/>
  </si>
  <si>
    <t>品川 49A た 1822</t>
    <rPh sb="0" eb="2">
      <t>シナガワ</t>
    </rPh>
    <phoneticPr fontId="13"/>
  </si>
  <si>
    <t>京都 583 ふ 1257</t>
    <rPh sb="0" eb="2">
      <t>キョウト</t>
    </rPh>
    <phoneticPr fontId="13"/>
  </si>
  <si>
    <t>神戸 39A ち 186</t>
    <rPh sb="0" eb="2">
      <t>コウベ</t>
    </rPh>
    <phoneticPr fontId="13"/>
  </si>
  <si>
    <t>和歌山 501 た 4136</t>
    <rPh sb="0" eb="3">
      <t>ワカヤマ</t>
    </rPh>
    <phoneticPr fontId="13"/>
  </si>
  <si>
    <t>保証書 取説 ﾅﾋﾞ取 ﾏｲｸﾛSD ﾐﾆB-CAS ｷｰﾚｽ</t>
    <rPh sb="0" eb="3">
      <t>ホショウショ</t>
    </rPh>
    <rPh sb="4" eb="6">
      <t>トリセツ</t>
    </rPh>
    <rPh sb="10" eb="11">
      <t>トリ</t>
    </rPh>
    <phoneticPr fontId="13"/>
  </si>
  <si>
    <t>神戸 799 ら 6411</t>
    <rPh sb="0" eb="2">
      <t>コウベ</t>
    </rPh>
    <phoneticPr fontId="13"/>
  </si>
  <si>
    <t>保証書 取説 ｷｰﾚｽ ﾅﾋﾞ取 SD2個</t>
    <rPh sb="0" eb="3">
      <t>ホショウショ</t>
    </rPh>
    <rPh sb="4" eb="6">
      <t>トリセツ</t>
    </rPh>
    <rPh sb="15" eb="16">
      <t>トリ</t>
    </rPh>
    <rPh sb="20" eb="21">
      <t>コ</t>
    </rPh>
    <phoneticPr fontId="13"/>
  </si>
  <si>
    <t>なにわ 480 ね 1005</t>
    <phoneticPr fontId="13"/>
  </si>
  <si>
    <t>保証書 取説 SD ﾐﾆB-CAS ﾅﾝﾊﾞｰ</t>
    <rPh sb="0" eb="3">
      <t>ホショウショ</t>
    </rPh>
    <rPh sb="4" eb="6">
      <t>トリセツ</t>
    </rPh>
    <phoneticPr fontId="13"/>
  </si>
  <si>
    <t>保証書 取説 荷台の鍵</t>
    <rPh sb="0" eb="3">
      <t>ホショウショ</t>
    </rPh>
    <rPh sb="4" eb="6">
      <t>トリセツ</t>
    </rPh>
    <rPh sb="7" eb="9">
      <t>ニダイ</t>
    </rPh>
    <rPh sb="10" eb="11">
      <t>カギ</t>
    </rPh>
    <phoneticPr fontId="13"/>
  </si>
  <si>
    <t>広島 331 ろ 3715</t>
    <rPh sb="0" eb="2">
      <t>ヒロシマ</t>
    </rPh>
    <phoneticPr fontId="13"/>
  </si>
  <si>
    <t>吉岡 龍大</t>
    <rPh sb="0" eb="2">
      <t>ヨシオカ</t>
    </rPh>
    <rPh sb="3" eb="4">
      <t>リュウ</t>
    </rPh>
    <rPh sb="4" eb="5">
      <t>ダイ</t>
    </rPh>
    <phoneticPr fontId="13"/>
  </si>
  <si>
    <t>非課税TEL済 よしのさん</t>
    <rPh sb="0" eb="3">
      <t>ヒカゼイ</t>
    </rPh>
    <rPh sb="6" eb="7">
      <t>ズ</t>
    </rPh>
    <phoneticPr fontId="13"/>
  </si>
  <si>
    <t>冠水の為HAA返送する</t>
    <rPh sb="0" eb="2">
      <t>カンスイ</t>
    </rPh>
    <rPh sb="3" eb="4">
      <t>タメ</t>
    </rPh>
    <rPh sb="7" eb="9">
      <t>ヘンソウ</t>
    </rPh>
    <phoneticPr fontId="13"/>
  </si>
  <si>
    <t>ﾏｲｸﾛ地図SD(車内)保証書 取説 ﾜﾝｵｰﾅｰ 印鑑証明6/25</t>
    <rPh sb="12" eb="15">
      <t>ホショウショ</t>
    </rPh>
    <rPh sb="16" eb="18">
      <t>トリセツ</t>
    </rPh>
    <rPh sb="26" eb="30">
      <t>インカンショウメイ</t>
    </rPh>
    <phoneticPr fontId="13"/>
  </si>
  <si>
    <t>保証書 取説 ｷｰﾚｽ 地図SD (車内)</t>
    <rPh sb="0" eb="3">
      <t>ホショウショ</t>
    </rPh>
    <rPh sb="4" eb="6">
      <t>トリセツ</t>
    </rPh>
    <rPh sb="12" eb="14">
      <t>チズ</t>
    </rPh>
    <phoneticPr fontId="13"/>
  </si>
  <si>
    <t xml:space="preserve">取説 ｷｰﾚｽ 地図SD(車内)保証書 </t>
    <rPh sb="0" eb="2">
      <t>トリセツ</t>
    </rPh>
    <rPh sb="8" eb="10">
      <t>チズ</t>
    </rPh>
    <rPh sb="16" eb="19">
      <t>ホショウショ</t>
    </rPh>
    <phoneticPr fontId="13"/>
  </si>
  <si>
    <t>取説 ｽﾍﾟｱｷｰ 地図SD(車内)保証書</t>
    <rPh sb="0" eb="2">
      <t>トリセツ</t>
    </rPh>
    <rPh sb="10" eb="12">
      <t>チズ</t>
    </rPh>
    <rPh sb="18" eb="21">
      <t>ホショウショ</t>
    </rPh>
    <phoneticPr fontId="13"/>
  </si>
  <si>
    <t>582 う 7606</t>
    <phoneticPr fontId="13"/>
  </si>
  <si>
    <t>582 う 7605</t>
    <phoneticPr fontId="13"/>
  </si>
  <si>
    <t>582 う 7604</t>
    <phoneticPr fontId="13"/>
  </si>
  <si>
    <t>582 う 7603</t>
    <phoneticPr fontId="13"/>
  </si>
  <si>
    <t>582 う 7602</t>
    <phoneticPr fontId="13"/>
  </si>
  <si>
    <t>582 う 7601</t>
    <phoneticPr fontId="13"/>
  </si>
  <si>
    <t>582 う 7600</t>
    <phoneticPr fontId="13"/>
  </si>
  <si>
    <t>582 う 7599</t>
    <phoneticPr fontId="13"/>
  </si>
  <si>
    <t>582 う 7598</t>
    <phoneticPr fontId="13"/>
  </si>
  <si>
    <t>582 う 7597</t>
    <phoneticPr fontId="13"/>
  </si>
  <si>
    <t>582 う 7596</t>
    <phoneticPr fontId="13"/>
  </si>
  <si>
    <t>480 ね 5681</t>
    <phoneticPr fontId="13"/>
  </si>
  <si>
    <t>練馬 583 か 2483</t>
    <rPh sb="0" eb="2">
      <t>ネリマ</t>
    </rPh>
    <phoneticPr fontId="13"/>
  </si>
  <si>
    <t>樋口 大志</t>
    <rPh sb="0" eb="2">
      <t>ヒグチ</t>
    </rPh>
    <rPh sb="3" eb="5">
      <t>タイシ</t>
    </rPh>
    <phoneticPr fontId="13"/>
  </si>
  <si>
    <t>27-4194</t>
  </si>
  <si>
    <t>27-4195</t>
  </si>
  <si>
    <t>27-4196</t>
  </si>
  <si>
    <t>27-4197</t>
  </si>
  <si>
    <t>WMW22BU0603N06761</t>
    <phoneticPr fontId="13"/>
  </si>
  <si>
    <t>島根 501 な 4918</t>
    <rPh sb="0" eb="2">
      <t>シマネ</t>
    </rPh>
    <phoneticPr fontId="13"/>
  </si>
  <si>
    <t>27-4198</t>
  </si>
  <si>
    <t>27-4199</t>
  </si>
  <si>
    <t>27-4200</t>
  </si>
  <si>
    <t>27-4201</t>
  </si>
  <si>
    <t>ﾒﾙｾﾃﾞｽﾍﾞﾝﾂ GLCｸﾗｽ 220d 4ﾏﾁｽﾎﾟｰﾂ</t>
    <phoneticPr fontId="13"/>
  </si>
  <si>
    <t>WDC2539052F227098</t>
    <phoneticPr fontId="13"/>
  </si>
  <si>
    <t>WMWXU920102L17517</t>
    <phoneticPr fontId="13"/>
  </si>
  <si>
    <t>沖縄 359 は 358</t>
    <rPh sb="0" eb="2">
      <t>オキナワ</t>
    </rPh>
    <phoneticPr fontId="13"/>
  </si>
  <si>
    <t>WMWZB72020WT67886</t>
    <phoneticPr fontId="13"/>
  </si>
  <si>
    <t>一宮 300 は 2575</t>
    <rPh sb="0" eb="2">
      <t>イチノミヤ</t>
    </rPh>
    <phoneticPr fontId="13"/>
  </si>
  <si>
    <t>WMWYS920X03E58657</t>
    <phoneticPr fontId="13"/>
  </si>
  <si>
    <t>ｽﾏｰﾄｷｰ車内確認    保証書 取説</t>
    <rPh sb="6" eb="8">
      <t>シャナイ</t>
    </rPh>
    <rPh sb="8" eb="10">
      <t>カクニン</t>
    </rPh>
    <rPh sb="14" eb="17">
      <t>ホショウショ</t>
    </rPh>
    <rPh sb="18" eb="20">
      <t>トリセツ</t>
    </rPh>
    <phoneticPr fontId="13"/>
  </si>
  <si>
    <t>ｷｰﾚｽ車内確認     保証書 取説</t>
    <rPh sb="4" eb="6">
      <t>シャナイ</t>
    </rPh>
    <rPh sb="6" eb="8">
      <t>カクニン</t>
    </rPh>
    <rPh sb="13" eb="16">
      <t>ホショウショ</t>
    </rPh>
    <rPh sb="17" eb="19">
      <t>トリセツ</t>
    </rPh>
    <phoneticPr fontId="13"/>
  </si>
  <si>
    <t>WMWXD32090WT54708</t>
    <phoneticPr fontId="13"/>
  </si>
  <si>
    <t>27-4202</t>
  </si>
  <si>
    <t>WMWXU72010TN42650</t>
    <phoneticPr fontId="13"/>
  </si>
  <si>
    <t>A346415</t>
    <phoneticPr fontId="13"/>
  </si>
  <si>
    <t>ｳｪｲｸ GﾀｰﾎﾞSA2</t>
    <phoneticPr fontId="13"/>
  </si>
  <si>
    <t>LA700S-0091643</t>
    <phoneticPr fontId="13"/>
  </si>
  <si>
    <t>9/4/1</t>
    <phoneticPr fontId="13"/>
  </si>
  <si>
    <t>A346990</t>
    <phoneticPr fontId="13"/>
  </si>
  <si>
    <t>RAV4 ﾊｲﾌﾞﾘｯﾄﾞG</t>
    <phoneticPr fontId="13"/>
  </si>
  <si>
    <t>AXAH54-4013324</t>
    <phoneticPr fontId="13"/>
  </si>
  <si>
    <t>A345858</t>
    <phoneticPr fontId="13"/>
  </si>
  <si>
    <t>C-HR GーT</t>
    <phoneticPr fontId="13"/>
  </si>
  <si>
    <t>NGX10-2018453</t>
    <phoneticPr fontId="13"/>
  </si>
  <si>
    <t>301 の 284</t>
    <phoneticPr fontId="13"/>
  </si>
  <si>
    <t>VWｺﾞﾙﾌ ﾜｺﾞﾝTSIｺﾝﾌｫｰﾄﾗｲﾝ</t>
    <phoneticPr fontId="13"/>
  </si>
  <si>
    <t>神戸 304 ち 528</t>
    <rPh sb="0" eb="2">
      <t>コウベ</t>
    </rPh>
    <phoneticPr fontId="13"/>
  </si>
  <si>
    <t>27-4203</t>
  </si>
  <si>
    <t>ﾎﾝﾀﾞ関西</t>
    <rPh sb="4" eb="6">
      <t>カンサイ</t>
    </rPh>
    <phoneticPr fontId="13"/>
  </si>
  <si>
    <t>31/2</t>
    <phoneticPr fontId="13"/>
  </si>
  <si>
    <t>黒</t>
    <rPh sb="0" eb="1">
      <t>クロ</t>
    </rPh>
    <phoneticPr fontId="13"/>
  </si>
  <si>
    <t>BMW 3ｼﾘｰｽﾞ 330i Mｽﾎﾟｰﾂ</t>
    <phoneticPr fontId="13"/>
  </si>
  <si>
    <t>27-4204</t>
  </si>
  <si>
    <t>27-4205</t>
  </si>
  <si>
    <t>27-4206</t>
  </si>
  <si>
    <t>27-4207</t>
  </si>
  <si>
    <t>和泉 587 か 215</t>
    <rPh sb="0" eb="2">
      <t>イズミ</t>
    </rPh>
    <phoneticPr fontId="13"/>
  </si>
  <si>
    <t>植月 淳太</t>
    <rPh sb="0" eb="2">
      <t>ウエツキ</t>
    </rPh>
    <rPh sb="3" eb="4">
      <t>ジュン</t>
    </rPh>
    <rPh sb="4" eb="5">
      <t>フト</t>
    </rPh>
    <phoneticPr fontId="13"/>
  </si>
  <si>
    <t>4/21</t>
    <phoneticPr fontId="13"/>
  </si>
  <si>
    <t>大阪 303 る 4807</t>
    <rPh sb="0" eb="2">
      <t>オオサカ</t>
    </rPh>
    <phoneticPr fontId="13"/>
  </si>
  <si>
    <t>WMWXU92030TX53067</t>
    <phoneticPr fontId="13"/>
  </si>
  <si>
    <t>なにわ 39A ゆ 3502</t>
    <phoneticPr fontId="13"/>
  </si>
  <si>
    <t>名古屋 360 ち 78</t>
    <rPh sb="0" eb="3">
      <t>ナゴヤ</t>
    </rPh>
    <phoneticPr fontId="13"/>
  </si>
  <si>
    <t>品川 39A た 7352</t>
    <rPh sb="0" eb="2">
      <t>シナガワ</t>
    </rPh>
    <phoneticPr fontId="13"/>
  </si>
  <si>
    <t>品川 49A た 1389</t>
    <rPh sb="0" eb="2">
      <t>シナガワ</t>
    </rPh>
    <phoneticPr fontId="13"/>
  </si>
  <si>
    <t>ｷｰﾚｽ  ﾜﾝｵｰﾅｰ？</t>
    <phoneticPr fontId="13"/>
  </si>
  <si>
    <t>品川 5X4 ろ 1451</t>
    <rPh sb="0" eb="2">
      <t>シナガワ</t>
    </rPh>
    <phoneticPr fontId="13"/>
  </si>
  <si>
    <t>社会福祉法人 来光会</t>
    <rPh sb="0" eb="6">
      <t>シャカイフクシホウジン</t>
    </rPh>
    <rPh sb="7" eb="8">
      <t>ク</t>
    </rPh>
    <rPh sb="8" eb="9">
      <t>ヒカリ</t>
    </rPh>
    <rPh sb="9" eb="10">
      <t>カイ</t>
    </rPh>
    <phoneticPr fontId="13"/>
  </si>
  <si>
    <t>取説 ｷｰﾚｽ(車内)保証書 ｽﾛｰﾊﾟｰﾘﾓｺﾝ</t>
    <rPh sb="0" eb="2">
      <t>トリセツ</t>
    </rPh>
    <rPh sb="11" eb="14">
      <t>ホショウショ</t>
    </rPh>
    <phoneticPr fontId="13"/>
  </si>
  <si>
    <t>富士山 588 ろ 349</t>
    <rPh sb="0" eb="3">
      <t>フジサン</t>
    </rPh>
    <phoneticPr fontId="13"/>
  </si>
  <si>
    <t>株式会社Nexus Fuji</t>
    <rPh sb="0" eb="4">
      <t>カブシキガイシャ</t>
    </rPh>
    <phoneticPr fontId="13"/>
  </si>
  <si>
    <t>多摩 593 ろ 18</t>
    <rPh sb="0" eb="2">
      <t>タマ</t>
    </rPh>
    <phoneticPr fontId="13"/>
  </si>
  <si>
    <t>ｷｰﾚｽ ﾐﾆB-CAS</t>
    <phoneticPr fontId="13"/>
  </si>
  <si>
    <t>岡山 599 に 6423</t>
    <rPh sb="0" eb="2">
      <t>オカヤマ</t>
    </rPh>
    <phoneticPr fontId="13"/>
  </si>
  <si>
    <t>ﾏｲｸﾛ地図SD(車内)取説</t>
    <rPh sb="4" eb="6">
      <t>チズ</t>
    </rPh>
    <rPh sb="12" eb="14">
      <t>トリセツ</t>
    </rPh>
    <phoneticPr fontId="13"/>
  </si>
  <si>
    <t>山口 502 せ 3288</t>
    <rPh sb="0" eb="2">
      <t>ヤマグチ</t>
    </rPh>
    <phoneticPr fontId="13"/>
  </si>
  <si>
    <t>大阪 399 ゆ 6427</t>
    <rPh sb="0" eb="2">
      <t>オオサカ</t>
    </rPh>
    <phoneticPr fontId="13"/>
  </si>
  <si>
    <t>株式会社大衆自動車商会</t>
    <rPh sb="4" eb="6">
      <t>タイシュウ</t>
    </rPh>
    <rPh sb="6" eb="9">
      <t>ジドウシャ</t>
    </rPh>
    <rPh sb="9" eb="11">
      <t>ショウカイ</t>
    </rPh>
    <phoneticPr fontId="13"/>
  </si>
  <si>
    <t>湘南 330 や 2505</t>
    <rPh sb="0" eb="2">
      <t>ショウナン</t>
    </rPh>
    <phoneticPr fontId="13"/>
  </si>
  <si>
    <t>岡山 581 よ 8136</t>
    <rPh sb="0" eb="2">
      <t>オカヤマ</t>
    </rPh>
    <phoneticPr fontId="13"/>
  </si>
  <si>
    <t>岡山 584 す 3016</t>
    <rPh sb="0" eb="2">
      <t>オカヤマ</t>
    </rPh>
    <phoneticPr fontId="13"/>
  </si>
  <si>
    <t>福島 584 え 307</t>
    <rPh sb="0" eb="2">
      <t>フクシマ</t>
    </rPh>
    <phoneticPr fontId="13"/>
  </si>
  <si>
    <t>本田 まゆみ</t>
    <rPh sb="0" eb="2">
      <t>ホンダ</t>
    </rPh>
    <phoneticPr fontId="13"/>
  </si>
  <si>
    <t>川﨑 337 も 516</t>
    <rPh sb="0" eb="2">
      <t>カワサキ</t>
    </rPh>
    <phoneticPr fontId="13"/>
  </si>
  <si>
    <t>渡邉 洋美</t>
    <rPh sb="0" eb="2">
      <t>ワタナベ</t>
    </rPh>
    <rPh sb="3" eb="5">
      <t>ヒロミ</t>
    </rPh>
    <phoneticPr fontId="13"/>
  </si>
  <si>
    <t>27-4208</t>
  </si>
  <si>
    <t>27-4209</t>
  </si>
  <si>
    <t>27-4210</t>
  </si>
  <si>
    <t>27-4211</t>
  </si>
  <si>
    <t>27-4212</t>
  </si>
  <si>
    <t>27-4213</t>
  </si>
  <si>
    <t>27-4214</t>
  </si>
  <si>
    <t>27-4215</t>
  </si>
  <si>
    <t>27-4216</t>
  </si>
  <si>
    <t>27-4217</t>
  </si>
  <si>
    <t>27-4218</t>
  </si>
  <si>
    <t>27-4219</t>
  </si>
  <si>
    <t>27-4221</t>
  </si>
  <si>
    <t>27-4222</t>
  </si>
  <si>
    <t>27-4223</t>
  </si>
  <si>
    <t>27-4224</t>
  </si>
  <si>
    <t>LA650S-0094200</t>
    <phoneticPr fontId="13"/>
  </si>
  <si>
    <t>LA350S-0240331</t>
    <phoneticPr fontId="13"/>
  </si>
  <si>
    <t>LA350S-0337451</t>
    <phoneticPr fontId="13"/>
  </si>
  <si>
    <t>ｴﾌﾞﾘｨﾜｺﾞﾝ　PZﾀｰﾎﾞ　</t>
    <phoneticPr fontId="13"/>
  </si>
  <si>
    <t>DA64W-412712</t>
    <phoneticPr fontId="13"/>
  </si>
  <si>
    <t>N　BOX　Gﾀｰﾎﾞ　Lﾊﾟｯｹｰｼﾞ</t>
    <phoneticPr fontId="13"/>
  </si>
  <si>
    <t>JF1-2413899</t>
    <phoneticPr fontId="13"/>
  </si>
  <si>
    <t>ﾌｨｱｯﾄ500　ｻﾞｯﾌｨﾛ</t>
    <phoneticPr fontId="13"/>
  </si>
  <si>
    <t>BMW320I　ｽﾎﾟｰﾂ</t>
    <phoneticPr fontId="13"/>
  </si>
  <si>
    <t>BMW　X1</t>
    <phoneticPr fontId="13"/>
  </si>
  <si>
    <t>NCP160-0155319</t>
    <phoneticPr fontId="13"/>
  </si>
  <si>
    <t>NHP160-0045743</t>
    <phoneticPr fontId="13"/>
  </si>
  <si>
    <t>LA150S-2107246</t>
    <phoneticPr fontId="13"/>
  </si>
  <si>
    <t>27-4220</t>
    <phoneticPr fontId="13"/>
  </si>
  <si>
    <t>MﾍﾞﾝﾂA45　AMG　4ﾏﾁｯｸ</t>
    <phoneticPr fontId="13"/>
  </si>
  <si>
    <t>LA350S-0251747</t>
    <phoneticPr fontId="13"/>
  </si>
  <si>
    <t>ﾎﾞﾙﾎﾞXC40　T4　AWD　Rﾃﾞｻﾞｲﾝ</t>
    <phoneticPr fontId="13"/>
  </si>
  <si>
    <t>ﾌｨｱｯﾄ500C</t>
    <phoneticPr fontId="13"/>
  </si>
  <si>
    <t>N　VAN+ｽﾀｲﾙ　ｸｰﾙ　ﾎﾝﾀﾞｾﾝｼﾝｸﾞ</t>
    <phoneticPr fontId="13"/>
  </si>
  <si>
    <t>JJ1-1000115</t>
    <phoneticPr fontId="13"/>
  </si>
  <si>
    <t>27-4225</t>
  </si>
  <si>
    <t>27-4226</t>
  </si>
  <si>
    <t>27-4227</t>
  </si>
  <si>
    <t>27-4228</t>
  </si>
  <si>
    <t>27-4229</t>
  </si>
  <si>
    <t>27-4230</t>
  </si>
  <si>
    <t>27-4231</t>
  </si>
  <si>
    <t>27-4232</t>
  </si>
  <si>
    <t>ｽﾏｰﾄ　ﾌｫｰﾌｫｰ</t>
    <phoneticPr fontId="13"/>
  </si>
  <si>
    <t>NCP160-0158567</t>
    <phoneticPr fontId="13"/>
  </si>
  <si>
    <t>BMW320I　MｽﾎﾟｰﾂﾊｲﾗｲﾝP</t>
    <phoneticPr fontId="13"/>
  </si>
  <si>
    <t>WBA53F300508BB76534</t>
    <phoneticPr fontId="13"/>
  </si>
  <si>
    <t>WMWXU72040TR60720</t>
    <phoneticPr fontId="13"/>
  </si>
  <si>
    <t>JF3-1441190</t>
    <phoneticPr fontId="13"/>
  </si>
  <si>
    <t>NHP10-6597739</t>
    <phoneticPr fontId="13"/>
  </si>
  <si>
    <t>ﾐﾗｲｰｽ　X　ﾘﾐﾃｯﾄﾞ　SaⅢ</t>
    <phoneticPr fontId="13"/>
  </si>
  <si>
    <t>LA350S-0242949</t>
    <phoneticPr fontId="13"/>
  </si>
  <si>
    <t>3/3</t>
    <phoneticPr fontId="13"/>
  </si>
  <si>
    <t>白</t>
    <rPh sb="0" eb="1">
      <t>シロ</t>
    </rPh>
    <phoneticPr fontId="13"/>
  </si>
  <si>
    <t>5/3</t>
    <phoneticPr fontId="13"/>
  </si>
  <si>
    <t>保証書</t>
    <rPh sb="0" eb="3">
      <t>ホショウショ</t>
    </rPh>
    <phoneticPr fontId="13"/>
  </si>
  <si>
    <t>24/12</t>
    <phoneticPr fontId="13"/>
  </si>
  <si>
    <t>10/1</t>
    <phoneticPr fontId="13"/>
  </si>
  <si>
    <t>ﾅﾝﾊﾞｰ</t>
    <phoneticPr fontId="13"/>
  </si>
  <si>
    <t>27/11</t>
    <phoneticPr fontId="13"/>
  </si>
  <si>
    <t>8/11</t>
    <phoneticPr fontId="13"/>
  </si>
  <si>
    <t>30/10</t>
    <phoneticPr fontId="13"/>
  </si>
  <si>
    <t>紺</t>
    <rPh sb="0" eb="1">
      <t>コン</t>
    </rPh>
    <phoneticPr fontId="13"/>
  </si>
  <si>
    <t>ZFA3120000JA43768</t>
    <phoneticPr fontId="13"/>
  </si>
  <si>
    <t>29/10</t>
    <phoneticPr fontId="13"/>
  </si>
  <si>
    <t>WBA8A16000NU76004</t>
    <phoneticPr fontId="13"/>
  </si>
  <si>
    <t>30/6</t>
    <phoneticPr fontId="13"/>
  </si>
  <si>
    <t>WBAHT920X05L21734</t>
    <phoneticPr fontId="13"/>
  </si>
  <si>
    <t>9/6</t>
    <phoneticPr fontId="13"/>
  </si>
  <si>
    <t>なにわ　361　と　1717</t>
    <phoneticPr fontId="13"/>
  </si>
  <si>
    <t>名変期限5/26まで</t>
    <rPh sb="0" eb="4">
      <t>メイヘンキゲン</t>
    </rPh>
    <phoneticPr fontId="13"/>
  </si>
  <si>
    <t>2/9</t>
    <phoneticPr fontId="13"/>
  </si>
  <si>
    <t>WMW72BB0202N49654</t>
    <phoneticPr fontId="13"/>
  </si>
  <si>
    <t>3/1</t>
    <phoneticPr fontId="13"/>
  </si>
  <si>
    <t>4/4</t>
    <phoneticPr fontId="13"/>
  </si>
  <si>
    <t>4/1</t>
    <phoneticPr fontId="13"/>
  </si>
  <si>
    <t>29/5</t>
    <phoneticPr fontId="13"/>
  </si>
  <si>
    <t>WMWLN720602F25671</t>
    <phoneticPr fontId="13"/>
  </si>
  <si>
    <t>29/3</t>
    <phoneticPr fontId="13"/>
  </si>
  <si>
    <t>WDD1760522J559538</t>
    <phoneticPr fontId="13"/>
  </si>
  <si>
    <t>ｷｰﾚｽ</t>
    <phoneticPr fontId="13"/>
  </si>
  <si>
    <t>1/5</t>
    <phoneticPr fontId="13"/>
  </si>
  <si>
    <t>YV1XZACMCK2143038</t>
    <phoneticPr fontId="13"/>
  </si>
  <si>
    <t>3/2</t>
    <phoneticPr fontId="13"/>
  </si>
  <si>
    <t>ZFA3120000JE30063</t>
    <phoneticPr fontId="13"/>
  </si>
  <si>
    <t>30/7</t>
    <phoneticPr fontId="13"/>
  </si>
  <si>
    <t>黒</t>
    <rPh sb="0" eb="1">
      <t>クロ</t>
    </rPh>
    <phoneticPr fontId="13"/>
  </si>
  <si>
    <t>9/1</t>
    <phoneticPr fontId="13"/>
  </si>
  <si>
    <t>島根　480　そ　9556</t>
    <rPh sb="0" eb="2">
      <t>シマネ</t>
    </rPh>
    <phoneticPr fontId="13"/>
  </si>
  <si>
    <t>30/4</t>
    <phoneticPr fontId="13"/>
  </si>
  <si>
    <t>ｺﾞｰﾙﾄﾞ</t>
    <phoneticPr fontId="13"/>
  </si>
  <si>
    <t>WME4530442Y149254</t>
    <phoneticPr fontId="13"/>
  </si>
  <si>
    <t>3/4</t>
    <phoneticPr fontId="13"/>
  </si>
  <si>
    <t>27-4233</t>
  </si>
  <si>
    <t>27-4234</t>
  </si>
  <si>
    <t>27-4235</t>
  </si>
  <si>
    <t>27-4236</t>
  </si>
  <si>
    <t>USS東北</t>
    <rPh sb="3" eb="5">
      <t>トウホク</t>
    </rPh>
    <phoneticPr fontId="13"/>
  </si>
  <si>
    <t>ｼﾞｭｰｸ　ﾆｽﾓ</t>
    <phoneticPr fontId="13"/>
  </si>
  <si>
    <t>NF15-321618</t>
    <phoneticPr fontId="13"/>
  </si>
  <si>
    <t>USS神戸</t>
    <rPh sb="3" eb="5">
      <t>コウベ</t>
    </rPh>
    <phoneticPr fontId="13"/>
  </si>
  <si>
    <t>ﾚｸｻｽLS500H　Iﾊﾟｯｹｰｼﾞ</t>
    <phoneticPr fontId="13"/>
  </si>
  <si>
    <t>GVF50-6002190</t>
    <phoneticPr fontId="13"/>
  </si>
  <si>
    <t>ﾔﾘｽ　G</t>
    <phoneticPr fontId="13"/>
  </si>
  <si>
    <t>KSP210-0035807</t>
    <phoneticPr fontId="13"/>
  </si>
  <si>
    <t>ﾐﾗｲｰｽ　XﾘﾐﾃｯﾄﾞSaⅢ</t>
    <phoneticPr fontId="13"/>
  </si>
  <si>
    <t>LA350S-0231504</t>
    <phoneticPr fontId="13"/>
  </si>
  <si>
    <t>26/4</t>
    <phoneticPr fontId="13"/>
  </si>
  <si>
    <t>9/4</t>
    <phoneticPr fontId="13"/>
  </si>
  <si>
    <t>盛岡　300　な　5721</t>
    <rPh sb="0" eb="2">
      <t>モリオカ</t>
    </rPh>
    <phoneticPr fontId="13"/>
  </si>
  <si>
    <t>29/12</t>
    <phoneticPr fontId="13"/>
  </si>
  <si>
    <t>9/3/12</t>
    <phoneticPr fontId="13"/>
  </si>
  <si>
    <t>神戸　304　ひ　6686</t>
    <rPh sb="0" eb="2">
      <t>コウベ</t>
    </rPh>
    <phoneticPr fontId="13"/>
  </si>
  <si>
    <t>ｷｬﾝｾﾙ返送4/23</t>
    <rPh sb="5" eb="7">
      <t>ヘンソウ</t>
    </rPh>
    <phoneticPr fontId="13"/>
  </si>
  <si>
    <t>京都 131 な 51</t>
    <rPh sb="0" eb="2">
      <t>キョウト</t>
    </rPh>
    <phoneticPr fontId="13"/>
  </si>
  <si>
    <t>京都ﾄﾖﾀ自動車株式会社</t>
    <rPh sb="0" eb="2">
      <t>キョウト</t>
    </rPh>
    <rPh sb="5" eb="8">
      <t>ジドウシャ</t>
    </rPh>
    <rPh sb="8" eb="12">
      <t>カブシキガイシャ</t>
    </rPh>
    <phoneticPr fontId="13"/>
  </si>
  <si>
    <t>VF34J5FVAFP003713</t>
    <phoneticPr fontId="13"/>
  </si>
  <si>
    <t>27-4237</t>
  </si>
  <si>
    <t>27-4238</t>
  </si>
  <si>
    <t>27-4240</t>
  </si>
  <si>
    <t>CX3 20S ﾌﾟﾛｱｸﾃｨﾌﾞ</t>
    <phoneticPr fontId="13"/>
  </si>
  <si>
    <t>DKEFW-204977</t>
    <phoneticPr fontId="13"/>
  </si>
  <si>
    <t>WMWXN920202D27473</t>
    <phoneticPr fontId="13"/>
  </si>
  <si>
    <t>27-4239</t>
    <phoneticPr fontId="13"/>
  </si>
  <si>
    <t>27-4241</t>
  </si>
  <si>
    <t>YV1ZW10MDK2332438</t>
    <phoneticPr fontId="13"/>
  </si>
  <si>
    <t>ﾌﾟﾛﾎﾞｯｸｽ ﾊｲﾌﾞﾘｯﾄﾞDX</t>
    <phoneticPr fontId="13"/>
  </si>
  <si>
    <t>NHP160-0031326</t>
    <phoneticPr fontId="13"/>
  </si>
  <si>
    <t>富士山 303 ぬ 2052</t>
    <rPh sb="0" eb="3">
      <t>フジサン</t>
    </rPh>
    <phoneticPr fontId="13"/>
  </si>
  <si>
    <t>4/23</t>
    <phoneticPr fontId="13"/>
  </si>
  <si>
    <t>保証書 ｷｰﾚｽ ﾏｲｸﾛSD ﾘﾓｺﾝ</t>
    <rPh sb="0" eb="3">
      <t>ホショウショ</t>
    </rPh>
    <phoneticPr fontId="13"/>
  </si>
  <si>
    <t>鹿児島 536 み 22</t>
    <rPh sb="0" eb="3">
      <t>カゴシマ</t>
    </rPh>
    <phoneticPr fontId="13"/>
  </si>
  <si>
    <t>鹿児島ﾄﾖﾀ自動車株式会社</t>
    <rPh sb="0" eb="3">
      <t>カゴシマ</t>
    </rPh>
    <rPh sb="6" eb="13">
      <t>ジドウシャカブシキガイシャ</t>
    </rPh>
    <phoneticPr fontId="13"/>
  </si>
  <si>
    <t>山口 334 ふ 316</t>
    <rPh sb="0" eb="2">
      <t>ヤマグチ</t>
    </rPh>
    <phoneticPr fontId="13"/>
  </si>
  <si>
    <t>株式会社ﾍﾞﾙ・ﾋﾞｼﾞｮﾝ</t>
    <rPh sb="0" eb="4">
      <t>カブシキガイシャ</t>
    </rPh>
    <phoneticPr fontId="13"/>
  </si>
  <si>
    <t>ﾏｲｸﾛ地図SD(車内)保証書 取説</t>
    <rPh sb="4" eb="6">
      <t>チズ</t>
    </rPh>
    <rPh sb="9" eb="11">
      <t>シャナイ</t>
    </rPh>
    <rPh sb="12" eb="15">
      <t>ホショウショ</t>
    </rPh>
    <rPh sb="16" eb="18">
      <t>トリセツ</t>
    </rPh>
    <phoneticPr fontId="13"/>
  </si>
  <si>
    <t>神戸 400 み 2561</t>
    <rPh sb="0" eb="2">
      <t>コウベ</t>
    </rPh>
    <phoneticPr fontId="13"/>
  </si>
  <si>
    <t>多摩 799 ふ 2362</t>
    <rPh sb="0" eb="2">
      <t>タマ</t>
    </rPh>
    <phoneticPr fontId="13"/>
  </si>
  <si>
    <t>春日井 310 る 1003</t>
    <rPh sb="0" eb="3">
      <t>カスガイ</t>
    </rPh>
    <phoneticPr fontId="13"/>
  </si>
  <si>
    <t>服部 友輔</t>
    <rPh sb="0" eb="2">
      <t>ハットリ</t>
    </rPh>
    <rPh sb="3" eb="4">
      <t>トモ</t>
    </rPh>
    <rPh sb="4" eb="5">
      <t>スケ</t>
    </rPh>
    <phoneticPr fontId="13"/>
  </si>
  <si>
    <t xml:space="preserve">保証書 取説 ﾅﾋﾞ取 ｷｰﾚｽ ﾏｲｸﾛSD </t>
    <rPh sb="0" eb="3">
      <t>ホショウショ</t>
    </rPh>
    <rPh sb="4" eb="6">
      <t>トリセツ</t>
    </rPh>
    <rPh sb="10" eb="11">
      <t>トリ</t>
    </rPh>
    <phoneticPr fontId="13"/>
  </si>
  <si>
    <t>岐阜 303 す 8562</t>
    <rPh sb="0" eb="2">
      <t>ギフ</t>
    </rPh>
    <phoneticPr fontId="13"/>
  </si>
  <si>
    <t>保証書 取説 ｷｰﾚｽ ロックナット</t>
    <rPh sb="0" eb="3">
      <t>ホショウショ</t>
    </rPh>
    <rPh sb="4" eb="6">
      <t>トリセツ</t>
    </rPh>
    <phoneticPr fontId="13"/>
  </si>
  <si>
    <t>藤崎 紀子</t>
    <rPh sb="0" eb="2">
      <t>フジサキ</t>
    </rPh>
    <rPh sb="3" eb="5">
      <t>ノリコ</t>
    </rPh>
    <phoneticPr fontId="13"/>
  </si>
  <si>
    <t>福山 480 こ 1754</t>
    <rPh sb="0" eb="2">
      <t>フクヤマ</t>
    </rPh>
    <phoneticPr fontId="13"/>
  </si>
  <si>
    <t>広島 581 も 8068</t>
    <rPh sb="0" eb="2">
      <t>ヒロシマ</t>
    </rPh>
    <phoneticPr fontId="13"/>
  </si>
  <si>
    <t>藤岡 昭則</t>
    <rPh sb="0" eb="2">
      <t>フジオカ</t>
    </rPh>
    <rPh sb="3" eb="5">
      <t>アキノリ</t>
    </rPh>
    <phoneticPr fontId="13"/>
  </si>
  <si>
    <t>愛媛 337 た 1000</t>
    <rPh sb="0" eb="2">
      <t>エヒメ</t>
    </rPh>
    <phoneticPr fontId="13"/>
  </si>
  <si>
    <t>武田 大我</t>
    <rPh sb="0" eb="2">
      <t>タケダ</t>
    </rPh>
    <rPh sb="3" eb="5">
      <t>タイガ</t>
    </rPh>
    <phoneticPr fontId="13"/>
  </si>
  <si>
    <t>ｽﾏｰﾄｷｰ ﾏｲｸﾛSD</t>
    <phoneticPr fontId="13"/>
  </si>
  <si>
    <t>鳥取 580 む 4580</t>
    <rPh sb="0" eb="2">
      <t>トットリ</t>
    </rPh>
    <phoneticPr fontId="13"/>
  </si>
  <si>
    <t>岡山 399 な 6543</t>
    <rPh sb="0" eb="2">
      <t>オカヤマ</t>
    </rPh>
    <phoneticPr fontId="13"/>
  </si>
  <si>
    <t>DUO岡山株式会社</t>
    <rPh sb="3" eb="5">
      <t>オカヤマ</t>
    </rPh>
    <rPh sb="5" eb="9">
      <t>カブシキガイシャ</t>
    </rPh>
    <phoneticPr fontId="13"/>
  </si>
  <si>
    <t>保証書 取説 ｷｰ ﾘﾓｺﾝ</t>
    <rPh sb="0" eb="3">
      <t>ホショウショ</t>
    </rPh>
    <rPh sb="4" eb="6">
      <t>トリセツ</t>
    </rPh>
    <phoneticPr fontId="13"/>
  </si>
  <si>
    <t>井原 健太</t>
    <rPh sb="0" eb="2">
      <t>イハラ</t>
    </rPh>
    <rPh sb="3" eb="5">
      <t>ケンタ</t>
    </rPh>
    <phoneticPr fontId="13"/>
  </si>
  <si>
    <t>大阪 583 こ 6778</t>
    <rPh sb="0" eb="2">
      <t>オオサカ</t>
    </rPh>
    <phoneticPr fontId="13"/>
  </si>
  <si>
    <t>坂本 和也</t>
    <rPh sb="0" eb="2">
      <t>サカモト</t>
    </rPh>
    <rPh sb="3" eb="5">
      <t>カズヤ</t>
    </rPh>
    <phoneticPr fontId="13"/>
  </si>
  <si>
    <t>久留米 332 と 634</t>
    <rPh sb="0" eb="3">
      <t>クルメ</t>
    </rPh>
    <phoneticPr fontId="13"/>
  </si>
  <si>
    <t>株式会社TAKEZO</t>
    <rPh sb="0" eb="4">
      <t>カブシキガイシャ</t>
    </rPh>
    <phoneticPr fontId="13"/>
  </si>
  <si>
    <t>保証書 取説 ｷｰﾚｽ ﾜﾝｵｰﾅｰ 印鑑証明7/8</t>
    <rPh sb="0" eb="3">
      <t>ホショウショ</t>
    </rPh>
    <rPh sb="4" eb="6">
      <t>トリセツ</t>
    </rPh>
    <rPh sb="19" eb="23">
      <t>インカンショウメイ</t>
    </rPh>
    <phoneticPr fontId="13"/>
  </si>
  <si>
    <t>神戸 35M な 8008</t>
    <rPh sb="0" eb="2">
      <t>コウベ</t>
    </rPh>
    <phoneticPr fontId="13"/>
  </si>
  <si>
    <t>興津 庄吾</t>
    <rPh sb="0" eb="2">
      <t>オキツ</t>
    </rPh>
    <rPh sb="3" eb="4">
      <t>ショウ</t>
    </rPh>
    <rPh sb="4" eb="5">
      <t>ワ</t>
    </rPh>
    <phoneticPr fontId="13"/>
  </si>
  <si>
    <t>保証書 取説 ｷｰﾚｽ ﾜﾝｵｰﾅｰ 印鑑証明7/14</t>
    <rPh sb="0" eb="3">
      <t>ホショウショ</t>
    </rPh>
    <rPh sb="4" eb="6">
      <t>トリセツ</t>
    </rPh>
    <rPh sb="19" eb="23">
      <t>インカンショウメイ</t>
    </rPh>
    <phoneticPr fontId="13"/>
  </si>
  <si>
    <t>YV1XZK9MCM2490425</t>
    <phoneticPr fontId="13"/>
  </si>
  <si>
    <t>神戸 39A そ 7052</t>
    <rPh sb="0" eb="2">
      <t>コウベ</t>
    </rPh>
    <phoneticPr fontId="13"/>
  </si>
  <si>
    <t>川口 399 そ 4503</t>
    <rPh sb="0" eb="2">
      <t>カワグチ</t>
    </rPh>
    <phoneticPr fontId="13"/>
  </si>
  <si>
    <t>ﾈｯﾂﾄﾖﾀ東埼玉株式会社</t>
    <rPh sb="6" eb="7">
      <t>ヒガシ</t>
    </rPh>
    <rPh sb="7" eb="9">
      <t>サイタマ</t>
    </rPh>
    <rPh sb="9" eb="13">
      <t>カブシキガイシャ</t>
    </rPh>
    <phoneticPr fontId="13"/>
  </si>
  <si>
    <t>江東 300 そ 1139</t>
    <rPh sb="0" eb="2">
      <t>エトウ</t>
    </rPh>
    <phoneticPr fontId="13"/>
  </si>
  <si>
    <t>名古屋 394 の 22</t>
    <rPh sb="0" eb="3">
      <t>ナゴヤ</t>
    </rPh>
    <phoneticPr fontId="13"/>
  </si>
  <si>
    <t>株式会社ｲｼﾂﾞｶ</t>
    <rPh sb="0" eb="4">
      <t>カブシキガイシャ</t>
    </rPh>
    <phoneticPr fontId="13"/>
  </si>
  <si>
    <t>保証書 取説 ﾅﾋﾞ取 ﾍｯﾄﾞﾌｫﾝ ｷｰﾚｽ</t>
    <rPh sb="0" eb="3">
      <t>ホショウショ</t>
    </rPh>
    <rPh sb="4" eb="6">
      <t>トリセツ</t>
    </rPh>
    <rPh sb="10" eb="11">
      <t>トリ</t>
    </rPh>
    <phoneticPr fontId="13"/>
  </si>
  <si>
    <t>奈良 330 は 7727</t>
    <rPh sb="0" eb="2">
      <t>ナラ</t>
    </rPh>
    <phoneticPr fontId="13"/>
  </si>
  <si>
    <t>株式会社ﾐﾅﾐｼﾏ自動車販売</t>
    <rPh sb="0" eb="4">
      <t>カブシキガイシャ</t>
    </rPh>
    <rPh sb="9" eb="14">
      <t>ジドウシャハンバイ</t>
    </rPh>
    <phoneticPr fontId="13"/>
  </si>
  <si>
    <t>保証書(保証蘭車番なしﾃﾞｨｰﾗｰ印角印あり) 取説 ｷｰﾚｽ</t>
    <rPh sb="0" eb="3">
      <t>ホショウショ</t>
    </rPh>
    <rPh sb="4" eb="7">
      <t>ホショウラン</t>
    </rPh>
    <rPh sb="7" eb="9">
      <t>シャバン</t>
    </rPh>
    <rPh sb="17" eb="18">
      <t>イン</t>
    </rPh>
    <rPh sb="18" eb="20">
      <t>カクイン</t>
    </rPh>
    <rPh sb="24" eb="26">
      <t>トリセツ</t>
    </rPh>
    <phoneticPr fontId="13"/>
  </si>
  <si>
    <t>ｷｰﾚｽ(車内)取説 ﾜﾝｵｰﾅｰ</t>
    <rPh sb="5" eb="7">
      <t>シャナイ</t>
    </rPh>
    <rPh sb="8" eb="10">
      <t>トリセツ</t>
    </rPh>
    <phoneticPr fontId="13"/>
  </si>
  <si>
    <t>27-4242</t>
  </si>
  <si>
    <t>27-4243</t>
  </si>
  <si>
    <t>27-4244</t>
  </si>
  <si>
    <t>27-4245</t>
  </si>
  <si>
    <t>ZiP大阪</t>
    <rPh sb="3" eb="5">
      <t>オオサカ</t>
    </rPh>
    <phoneticPr fontId="13"/>
  </si>
  <si>
    <t>27-4246</t>
  </si>
  <si>
    <t>5/6</t>
    <phoneticPr fontId="13"/>
  </si>
  <si>
    <t xml:space="preserve">ﾒﾙｾﾃﾞｽﾍﾞﾝﾂ GLCｸﾗｽ 220d </t>
    <phoneticPr fontId="13"/>
  </si>
  <si>
    <t>W1K1186122N373809</t>
    <phoneticPr fontId="13"/>
  </si>
  <si>
    <t>8/6</t>
    <phoneticPr fontId="13"/>
  </si>
  <si>
    <t>大阪 304 た 2693</t>
    <rPh sb="0" eb="2">
      <t>オオサカ</t>
    </rPh>
    <phoneticPr fontId="13"/>
  </si>
  <si>
    <t>保証書 ｽﾍﾟｱｷｰ  2025/4/36606ｷﾛ時ﾒｰﾀｰ交換</t>
    <rPh sb="0" eb="3">
      <t>ホショウショ</t>
    </rPh>
    <rPh sb="26" eb="27">
      <t>ジ</t>
    </rPh>
    <rPh sb="31" eb="33">
      <t>コウカン</t>
    </rPh>
    <phoneticPr fontId="13"/>
  </si>
  <si>
    <t>3/3</t>
    <phoneticPr fontId="13"/>
  </si>
  <si>
    <t>ｱｳﾃﾞｨA3 ｾﾀﾞﾝ 30TFSI</t>
    <phoneticPr fontId="13"/>
  </si>
  <si>
    <t>WAUZZZ8V1LA074380</t>
    <phoneticPr fontId="13"/>
  </si>
  <si>
    <t>ﾜﾝｵｰﾅｰ</t>
    <phoneticPr fontId="13"/>
  </si>
  <si>
    <t>30/6</t>
    <phoneticPr fontId="13"/>
  </si>
  <si>
    <t>白</t>
    <rPh sb="0" eb="1">
      <t>シロ</t>
    </rPh>
    <phoneticPr fontId="13"/>
  </si>
  <si>
    <t>BMW X3 xﾄﾞﾗｲﾌﾞ20d Mｽﾎﾟｰﾂ</t>
    <phoneticPr fontId="13"/>
  </si>
  <si>
    <t>WBATX32070LB25356</t>
    <phoneticPr fontId="13"/>
  </si>
  <si>
    <t>ｽﾍﾟｱｷｰ ﾜﾝｵｰﾅｰ</t>
    <phoneticPr fontId="13"/>
  </si>
  <si>
    <t>29/3</t>
    <phoneticPr fontId="13"/>
  </si>
  <si>
    <t>黒</t>
    <rPh sb="0" eb="1">
      <t>クロ</t>
    </rPh>
    <phoneticPr fontId="13"/>
  </si>
  <si>
    <t>BMW 523i ﾂｰﾘﾝｸﾞMｽﾎﾟｰﾂ</t>
    <phoneticPr fontId="13"/>
  </si>
  <si>
    <t>WBA5G12060D388328</t>
    <phoneticPr fontId="13"/>
  </si>
  <si>
    <t>保証書 ｽﾍﾟｱｷｰ</t>
    <rPh sb="0" eb="3">
      <t>ホショウショ</t>
    </rPh>
    <phoneticPr fontId="13"/>
  </si>
  <si>
    <t>27/2</t>
    <phoneticPr fontId="13"/>
  </si>
  <si>
    <t>ﾒﾙｾﾃﾞｽﾍﾞﾝﾂ SL350</t>
    <phoneticPr fontId="13"/>
  </si>
  <si>
    <t>WDD2314572F033176</t>
    <phoneticPr fontId="13"/>
  </si>
  <si>
    <t>保証書 取説 ｽﾍﾟｱｷｰ ｴﾝｼﾞﾝｽﾀｰﾀｰ</t>
    <rPh sb="0" eb="3">
      <t>ホショウショ</t>
    </rPh>
    <rPh sb="4" eb="6">
      <t>トリセツ</t>
    </rPh>
    <phoneticPr fontId="13"/>
  </si>
  <si>
    <t>HAA神戸(ﾜﾝｸﾘ)</t>
    <rPh sb="3" eb="5">
      <t>コウベ</t>
    </rPh>
    <phoneticPr fontId="13"/>
  </si>
  <si>
    <t>HAA神戸(ﾜﾝｸﾘ)</t>
    <phoneticPr fontId="13"/>
  </si>
  <si>
    <t>27-4247</t>
  </si>
  <si>
    <t>27-4248</t>
  </si>
  <si>
    <t>27-4249</t>
  </si>
  <si>
    <t>27-4250</t>
  </si>
  <si>
    <t>27-4251</t>
  </si>
  <si>
    <t>TAA中部</t>
    <rPh sb="3" eb="5">
      <t>チュウブ</t>
    </rPh>
    <phoneticPr fontId="13"/>
  </si>
  <si>
    <t>5/4</t>
    <phoneticPr fontId="13"/>
  </si>
  <si>
    <t>ﾐﾗｲｰｽ Xﾘﾐﾃｯﾄﾞ SA3</t>
    <phoneticPr fontId="13"/>
  </si>
  <si>
    <t>LA350S-0336354</t>
    <phoneticPr fontId="13"/>
  </si>
  <si>
    <t>保証書</t>
    <rPh sb="0" eb="3">
      <t>ホショウショ</t>
    </rPh>
    <phoneticPr fontId="13"/>
  </si>
  <si>
    <t>3/1</t>
    <phoneticPr fontId="13"/>
  </si>
  <si>
    <t>ﾌﾟﾛﾎﾞｯｸｽ DXｺﾝﾌｫｰﾄ</t>
    <phoneticPr fontId="13"/>
  </si>
  <si>
    <t>NSP160-0057661</t>
    <phoneticPr fontId="13"/>
  </si>
  <si>
    <t>3/4</t>
    <phoneticPr fontId="13"/>
  </si>
  <si>
    <t>NCP160-0158745</t>
    <phoneticPr fontId="13"/>
  </si>
  <si>
    <t>NCP160-0154377</t>
    <phoneticPr fontId="13"/>
  </si>
  <si>
    <t>NSP160-0059673</t>
    <phoneticPr fontId="13"/>
  </si>
  <si>
    <t>高松 310 す 8852</t>
    <rPh sb="0" eb="2">
      <t>タカマツ</t>
    </rPh>
    <phoneticPr fontId="13"/>
  </si>
  <si>
    <t>着</t>
    <phoneticPr fontId="13"/>
  </si>
  <si>
    <t>株式会社ﾈｸｽﾃｰｼﾞ</t>
    <rPh sb="0" eb="4">
      <t>カブシキガイシャ</t>
    </rPh>
    <phoneticPr fontId="13"/>
  </si>
  <si>
    <t>4/23</t>
    <phoneticPr fontId="13"/>
  </si>
  <si>
    <t>ｷｰﾚｽ</t>
    <phoneticPr fontId="13"/>
  </si>
  <si>
    <t>岡山 502 ほ 1898</t>
    <rPh sb="0" eb="2">
      <t>オカヤマ</t>
    </rPh>
    <phoneticPr fontId="13"/>
  </si>
  <si>
    <t>株式会社ｳｫｯｼｭ</t>
    <rPh sb="0" eb="4">
      <t>カブシキガイシャ</t>
    </rPh>
    <phoneticPr fontId="13"/>
  </si>
  <si>
    <t>取説 ｷｰﾚｽ ﾅﾋﾞ取</t>
    <rPh sb="0" eb="2">
      <t>トリセツ</t>
    </rPh>
    <rPh sb="11" eb="12">
      <t>トリ</t>
    </rPh>
    <phoneticPr fontId="13"/>
  </si>
  <si>
    <t>岡山 30Y ゆ 5</t>
    <rPh sb="0" eb="2">
      <t>オカヤマ</t>
    </rPh>
    <phoneticPr fontId="13"/>
  </si>
  <si>
    <t>豊森 雅美</t>
    <rPh sb="0" eb="2">
      <t>トヨモリ</t>
    </rPh>
    <rPh sb="3" eb="5">
      <t>マサミ</t>
    </rPh>
    <phoneticPr fontId="13"/>
  </si>
  <si>
    <t>広島 301 る 6093</t>
    <rPh sb="0" eb="2">
      <t>ヒロシマ</t>
    </rPh>
    <phoneticPr fontId="13"/>
  </si>
  <si>
    <t>福山 584 も 1024</t>
    <rPh sb="0" eb="2">
      <t>フクヤマ</t>
    </rPh>
    <phoneticPr fontId="13"/>
  </si>
  <si>
    <t>ﾌﾟﾚﾐｱ株式会社</t>
    <rPh sb="5" eb="9">
      <t>カブシキガイシャ</t>
    </rPh>
    <phoneticPr fontId="13"/>
  </si>
  <si>
    <t>愛媛 332 ひ 85</t>
    <rPh sb="0" eb="2">
      <t>エヒメ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</si>
  <si>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</si>
  <si>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保証書 取説</t>
    <rPh sb="0" eb="3">
      <t>ホショウショ</t>
    </rPh>
    <rPh sb="4" eb="6">
      <t>トリセツ</t>
    </rPh>
    <phoneticPr fontId="13"/>
  </si>
  <si>
    <t>島根 599 ち 299</t>
    <rPh sb="0" eb="2">
      <t>シマネ</t>
    </rPh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</si>
  <si>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</si>
  <si>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広島 399 に 4334</t>
    <rPh sb="0" eb="2">
      <t>ヒロシマ</t>
    </rPh>
    <phoneticPr fontId="13"/>
  </si>
  <si>
    <t>株式会社ﾊﾞﾙｺﾑﾓｰﾀｰｽ</t>
    <phoneticPr fontId="13"/>
  </si>
  <si>
    <t>品川 5X4 ろ 95</t>
    <rPh sb="0" eb="2">
      <t>シナガワ</t>
    </rPh>
    <phoneticPr fontId="13"/>
  </si>
  <si>
    <t>株式会社JCM</t>
    <rPh sb="0" eb="4">
      <t>カブシキガイシャ</t>
    </rPh>
    <phoneticPr fontId="13"/>
  </si>
  <si>
    <t>群馬 333 そ 432</t>
    <rPh sb="0" eb="2">
      <t>グンマ</t>
    </rPh>
    <phoneticPr fontId="13"/>
  </si>
  <si>
    <t>株式会社ﾎﾝﾀﾞﾓﾋﾞﾘﾃｨ北関東</t>
    <rPh sb="0" eb="4">
      <t>カブシキガイシャ</t>
    </rPh>
    <rPh sb="14" eb="15">
      <t>キタ</t>
    </rPh>
    <rPh sb="15" eb="17">
      <t>カントウ</t>
    </rPh>
    <phoneticPr fontId="13"/>
  </si>
  <si>
    <t>4/24</t>
    <phoneticPr fontId="13"/>
  </si>
  <si>
    <t>折笠 勝浩</t>
    <rPh sb="0" eb="2">
      <t>オリカサ</t>
    </rPh>
    <rPh sb="3" eb="4">
      <t>カツ</t>
    </rPh>
    <rPh sb="4" eb="5">
      <t>ヒロシ</t>
    </rPh>
    <phoneticPr fontId="13"/>
  </si>
  <si>
    <t>福島 580 ゆ 3678</t>
    <rPh sb="0" eb="2">
      <t>フクシマ</t>
    </rPh>
    <phoneticPr fontId="13"/>
  </si>
  <si>
    <t>保証書 取説 ｷｰﾚｽ ﾜﾝｵｰﾅｰ</t>
    <rPh sb="0" eb="3">
      <t>ホショウショ</t>
    </rPh>
    <rPh sb="4" eb="6">
      <t>トリセツ</t>
    </rPh>
    <phoneticPr fontId="13"/>
  </si>
  <si>
    <t>なにわ 5P9 ろ 4924</t>
    <phoneticPr fontId="13"/>
  </si>
  <si>
    <t>株式会社ｲﾁﾈﾝ</t>
    <rPh sb="0" eb="4">
      <t>カブシキガイシャ</t>
    </rPh>
    <phoneticPr fontId="13"/>
  </si>
  <si>
    <t>なにわ 5X0 ろ 9639</t>
    <phoneticPr fontId="13"/>
  </si>
  <si>
    <t>株式会社はなまる</t>
    <rPh sb="0" eb="4">
      <t>カブシキガイシャ</t>
    </rPh>
    <phoneticPr fontId="13"/>
  </si>
  <si>
    <t>ｽﾍﾟｱｷｰ</t>
    <phoneticPr fontId="13"/>
  </si>
  <si>
    <t>倉敷 583 よ 224</t>
    <rPh sb="0" eb="2">
      <t>クラシキ</t>
    </rPh>
    <phoneticPr fontId="13"/>
  </si>
  <si>
    <t>岡山ﾀﾞｲﾊﾂ販売株式会社</t>
    <rPh sb="0" eb="2">
      <t>オカヤマ</t>
    </rPh>
    <rPh sb="7" eb="13">
      <t>ハンバイカブシキガイシャ</t>
    </rPh>
    <phoneticPr fontId="13"/>
  </si>
  <si>
    <t>取説 ﾅﾋﾞ取 SD ｷｰﾚｽ</t>
    <rPh sb="0" eb="2">
      <t>トリセツ</t>
    </rPh>
    <rPh sb="6" eb="7">
      <t>トリ</t>
    </rPh>
    <phoneticPr fontId="13"/>
  </si>
  <si>
    <t>和歌山 501 ぬ 6433</t>
    <rPh sb="0" eb="3">
      <t>ワカヤマ</t>
    </rPh>
    <phoneticPr fontId="13"/>
  </si>
  <si>
    <t>株式会社加藤工業</t>
    <rPh sb="0" eb="4">
      <t>カブシキガイシャ</t>
    </rPh>
    <rPh sb="4" eb="6">
      <t>カトウ</t>
    </rPh>
    <rPh sb="6" eb="8">
      <t>コウギョウ</t>
    </rPh>
    <phoneticPr fontId="13"/>
  </si>
  <si>
    <t>保証書 取説 ﾅﾋﾞ取 ｽﾍﾟｱｷｰ ﾏｲｸﾛSD</t>
    <rPh sb="0" eb="3">
      <t>ホショウショ</t>
    </rPh>
    <rPh sb="4" eb="6">
      <t>トリセツ</t>
    </rPh>
    <rPh sb="10" eb="11">
      <t>トリ</t>
    </rPh>
    <phoneticPr fontId="13"/>
  </si>
  <si>
    <t>ｷｰﾚｽ(車内)</t>
    <rPh sb="5" eb="7">
      <t>シャナイ</t>
    </rPh>
    <phoneticPr fontId="13"/>
  </si>
  <si>
    <t>株式会社ｵﾘｺｵｰﾄﾘｰｽ</t>
    <rPh sb="0" eb="4">
      <t>カブシキガイシャ</t>
    </rPh>
    <phoneticPr fontId="13"/>
  </si>
  <si>
    <t>山口 580 み 2758</t>
    <rPh sb="0" eb="2">
      <t>ヤマグチ</t>
    </rPh>
    <phoneticPr fontId="13"/>
  </si>
  <si>
    <t>ﾈｯﾂﾄﾖﾀ山口株式会社</t>
    <rPh sb="6" eb="8">
      <t>ヤマグチ</t>
    </rPh>
    <rPh sb="8" eb="12">
      <t>カブシキガイシャ</t>
    </rPh>
    <phoneticPr fontId="13"/>
  </si>
  <si>
    <t>名古屋 333 る 8001</t>
    <rPh sb="0" eb="3">
      <t>ナゴヤ</t>
    </rPh>
    <phoneticPr fontId="13"/>
  </si>
  <si>
    <t>株式会社旭ﾓｰﾀｰｽ</t>
    <rPh sb="0" eb="4">
      <t>カブシキガイシャ</t>
    </rPh>
    <rPh sb="4" eb="5">
      <t>アサヒ</t>
    </rPh>
    <phoneticPr fontId="13"/>
  </si>
  <si>
    <t>保証書 取説 ｷｰﾚｽ SD</t>
    <rPh sb="0" eb="3">
      <t>ホショウショ</t>
    </rPh>
    <rPh sb="4" eb="6">
      <t>トリセツ</t>
    </rPh>
    <phoneticPr fontId="13"/>
  </si>
  <si>
    <t>和泉 300 わ 3674</t>
    <rPh sb="0" eb="2">
      <t>イズミ</t>
    </rPh>
    <phoneticPr fontId="13"/>
  </si>
  <si>
    <t>株式会社ｳｪﾙｽﾞﾒｲﾄ</t>
    <rPh sb="0" eb="4">
      <t>カブシキガイシャ</t>
    </rPh>
    <phoneticPr fontId="13"/>
  </si>
  <si>
    <t>保証書 取説 ﾏｲｸﾛSD ﾅﾋﾞ取 ﾚﾝﾀｶｰ</t>
    <rPh sb="0" eb="3">
      <t>ホショウショ</t>
    </rPh>
    <rPh sb="4" eb="6">
      <t>トリセツ</t>
    </rPh>
    <rPh sb="17" eb="18">
      <t>トリ</t>
    </rPh>
    <phoneticPr fontId="13"/>
  </si>
  <si>
    <t>品川 59F す 3233</t>
    <rPh sb="0" eb="2">
      <t>シナガワ</t>
    </rPh>
    <phoneticPr fontId="13"/>
  </si>
  <si>
    <t>日本ｶｰｿﾘｭｰｼﾞｮﾝ株式会社</t>
    <rPh sb="0" eb="2">
      <t>ニホン</t>
    </rPh>
    <rPh sb="12" eb="16">
      <t>カブシキガイシャ</t>
    </rPh>
    <phoneticPr fontId="13"/>
  </si>
  <si>
    <t>品川 59F す 7791</t>
    <rPh sb="0" eb="2">
      <t>シナガワ</t>
    </rPh>
    <phoneticPr fontId="13"/>
  </si>
  <si>
    <t>品川 39A む 2775</t>
    <rPh sb="0" eb="2">
      <t>シナガワ</t>
    </rPh>
    <phoneticPr fontId="13"/>
  </si>
  <si>
    <t>福岡 536 は 415</t>
    <rPh sb="0" eb="2">
      <t>フクオカ</t>
    </rPh>
    <phoneticPr fontId="13"/>
  </si>
  <si>
    <t>福岡ﾄﾖﾀ自動車株式会社</t>
    <rPh sb="0" eb="2">
      <t>フクオカ</t>
    </rPh>
    <rPh sb="5" eb="12">
      <t>ジドウシャカブシキガイシャ</t>
    </rPh>
    <phoneticPr fontId="13"/>
  </si>
  <si>
    <t>なにわ 39A ゆ 8250</t>
    <phoneticPr fontId="13"/>
  </si>
  <si>
    <t>株式会社ｶｰﾈｸｽﾄ</t>
    <rPh sb="0" eb="4">
      <t>カブシキガイシャ</t>
    </rPh>
    <phoneticPr fontId="13"/>
  </si>
  <si>
    <t>ﾏｲｸﾛSD(車内)保証書 取説 ﾅﾋﾞ取 ｷｰﾚｽ ﾜﾝｵｰﾅｰ 印鑑証明7/7</t>
    <rPh sb="10" eb="13">
      <t>ホショウショ</t>
    </rPh>
    <rPh sb="14" eb="16">
      <t>トリセツ</t>
    </rPh>
    <rPh sb="20" eb="21">
      <t>トリ</t>
    </rPh>
    <rPh sb="34" eb="38">
      <t>インカンショウメイ</t>
    </rPh>
    <phoneticPr fontId="13"/>
  </si>
  <si>
    <t>地図SD(車内)</t>
    <rPh sb="0" eb="2">
      <t>チズ</t>
    </rPh>
    <phoneticPr fontId="13"/>
  </si>
  <si>
    <t>ｷｰﾚｽ(車内)</t>
    <phoneticPr fontId="13"/>
  </si>
  <si>
    <t>USS神戸(ﾜﾝｸﾘ)</t>
    <rPh sb="3" eb="5">
      <t>コウベ</t>
    </rPh>
    <phoneticPr fontId="13"/>
  </si>
  <si>
    <t>整備手帳 取説(車内)</t>
    <rPh sb="0" eb="4">
      <t>セイビテチョウ</t>
    </rPh>
    <rPh sb="5" eb="7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</si>
  <si>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</si>
  <si>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取説 ｷｰﾚｽ(車内)</t>
    <rPh sb="0" eb="2">
      <t>トリセツ</t>
    </rPh>
    <phoneticPr fontId="13"/>
  </si>
  <si>
    <t>保証書 取説 ｷｰﾚｽ ﾘﾓｺﾝ(車内)</t>
    <rPh sb="0" eb="3">
      <t>ホショウショ</t>
    </rPh>
    <rPh sb="4" eb="6">
      <t>トリセツ</t>
    </rPh>
    <phoneticPr fontId="13"/>
  </si>
  <si>
    <t>保証書 取説 ﾅﾋﾞ取 ｽﾍﾟｱｷｰ 地図SD(車内)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</si>
  <si>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保証書 取説 ｽﾍﾟｱｷｰ(車内)</t>
    <rPh sb="0" eb="3">
      <t>ホショウショ</t>
    </rPh>
    <rPh sb="4" eb="6">
      <t>トリセツ</t>
    </rPh>
    <phoneticPr fontId="13"/>
  </si>
  <si>
    <t>保証書 取説(車内)</t>
    <rPh sb="0" eb="3">
      <t>ホショウショ</t>
    </rPh>
    <rPh sb="4" eb="6">
      <t>トリセツ</t>
    </rPh>
    <phoneticPr fontId="13"/>
  </si>
  <si>
    <t xml:space="preserve"> HAA神戸(ﾜﾝｸﾘ)</t>
    <rPh sb="4" eb="6">
      <t>コウベ</t>
    </rPh>
    <phoneticPr fontId="13"/>
  </si>
  <si>
    <t>岡山 480 ぬ 6719</t>
    <rPh sb="0" eb="2">
      <t>オカヤマ</t>
    </rPh>
    <phoneticPr fontId="13"/>
  </si>
  <si>
    <t>株式会社ｼﾃｨﾗｲﾄ</t>
    <rPh sb="0" eb="4">
      <t>カブシキガイシャ</t>
    </rPh>
    <phoneticPr fontId="13"/>
  </si>
  <si>
    <t>保証書 取説 ｽﾍﾟｱｷｰ ﾜﾝｵｰﾅｰ</t>
    <rPh sb="0" eb="3">
      <t>ホショウショ</t>
    </rPh>
    <rPh sb="4" eb="6">
      <t>トリセツ</t>
    </rPh>
    <phoneticPr fontId="13"/>
  </si>
  <si>
    <t>岡山 399 な 6879</t>
    <rPh sb="0" eb="2">
      <t>オカヤマ</t>
    </rPh>
    <phoneticPr fontId="13"/>
  </si>
  <si>
    <t xml:space="preserve">保証書 取説 </t>
    <rPh sb="0" eb="3">
      <t>ホショウショ</t>
    </rPh>
    <rPh sb="4" eb="6">
      <t>トリセツ</t>
    </rPh>
    <phoneticPr fontId="13"/>
  </si>
  <si>
    <t>品川 5X3 ろ 1003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</si>
  <si>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</si>
  <si>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多摩 485 ろ 1004</t>
    <rPh sb="0" eb="2">
      <t>タマ</t>
    </rPh>
    <phoneticPr fontId="13"/>
  </si>
  <si>
    <t>多摩 593 ろ 322</t>
    <rPh sb="0" eb="2">
      <t>タマ</t>
    </rPh>
    <phoneticPr fontId="13"/>
  </si>
  <si>
    <t>多摩 593 ろ 317</t>
    <rPh sb="0" eb="2">
      <t>タマ</t>
    </rPh>
    <phoneticPr fontId="13"/>
  </si>
  <si>
    <t>多摩 592 ろ 3973</t>
    <rPh sb="0" eb="2">
      <t>タマ</t>
    </rPh>
    <phoneticPr fontId="13"/>
  </si>
  <si>
    <t>多摩 593 ろ 512</t>
    <rPh sb="0" eb="2">
      <t>タマ</t>
    </rPh>
    <phoneticPr fontId="13"/>
  </si>
  <si>
    <t>岡山 583 き 3286</t>
    <rPh sb="0" eb="2">
      <t>オカヤマ</t>
    </rPh>
    <phoneticPr fontId="13"/>
  </si>
  <si>
    <t>和泉 535 ふ 35</t>
    <rPh sb="0" eb="2">
      <t>イズミ</t>
    </rPh>
    <phoneticPr fontId="13"/>
  </si>
  <si>
    <t>株式会社ﾎﾝﾀﾞﾌｧｲﾅﾝｽ</t>
    <rPh sb="0" eb="4">
      <t>カブシキガイシャ</t>
    </rPh>
    <phoneticPr fontId="13"/>
  </si>
  <si>
    <t>保証書 取説 ｽﾍﾟｱｷｰ</t>
    <rPh sb="0" eb="3">
      <t>ホショウショ</t>
    </rPh>
    <rPh sb="4" eb="6">
      <t>トリセツ</t>
    </rPh>
    <phoneticPr fontId="13"/>
  </si>
  <si>
    <t>名古屋 58A つ 8845</t>
    <rPh sb="0" eb="3">
      <t>ナゴヤ</t>
    </rPh>
    <phoneticPr fontId="13"/>
  </si>
  <si>
    <t>ﾌｼﾞ自動車工業株式会社</t>
    <rPh sb="5" eb="7">
      <t>コウギョウ</t>
    </rPh>
    <rPh sb="7" eb="11">
      <t>カブシキガイシャ</t>
    </rPh>
    <phoneticPr fontId="13"/>
  </si>
  <si>
    <t>保証書 取説(車内) SD</t>
    <rPh sb="0" eb="3">
      <t>ホショウショ</t>
    </rPh>
    <rPh sb="4" eb="6">
      <t>トリセツ</t>
    </rPh>
    <phoneticPr fontId="13"/>
  </si>
  <si>
    <t>なにわ 5X1ろ 5409</t>
    <phoneticPr fontId="13"/>
  </si>
  <si>
    <t>なにわ 5X1 ろ 5412</t>
    <phoneticPr fontId="13"/>
  </si>
  <si>
    <t>名古屋 581 ひ 2429</t>
    <rPh sb="0" eb="3">
      <t>ナゴヤ</t>
    </rPh>
    <phoneticPr fontId="13"/>
  </si>
  <si>
    <t>VR2E26-040577</t>
    <phoneticPr fontId="13"/>
  </si>
  <si>
    <t>品川 39A た 599</t>
    <rPh sb="0" eb="2">
      <t>シナガワ</t>
    </rPh>
    <phoneticPr fontId="13"/>
  </si>
  <si>
    <t>品川 5X3 ろ 1588</t>
    <rPh sb="0" eb="2">
      <t>シナガワ</t>
    </rPh>
    <phoneticPr fontId="13"/>
  </si>
  <si>
    <t>熊谷 342 ち 9000</t>
    <rPh sb="0" eb="2">
      <t>クマガヤ</t>
    </rPh>
    <phoneticPr fontId="13"/>
  </si>
  <si>
    <t>株式会社ｱﾌﾟﾗｽ</t>
    <rPh sb="0" eb="4">
      <t>カブシキガイシャ</t>
    </rPh>
    <phoneticPr fontId="13"/>
  </si>
  <si>
    <t>浜松 330 る 8887</t>
    <rPh sb="0" eb="2">
      <t>ハママツ</t>
    </rPh>
    <phoneticPr fontId="13"/>
  </si>
  <si>
    <t>浜松ﾔﾅｾ株式会社</t>
    <rPh sb="0" eb="2">
      <t>ハママツ</t>
    </rPh>
    <rPh sb="5" eb="9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</si>
  <si>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</si>
  <si>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保証書 取説 ｷｰﾚｽ ﾜﾝｵｰﾅｰかも</t>
    <rPh sb="0" eb="3">
      <t>ホショウショ</t>
    </rPh>
    <rPh sb="4" eb="6">
      <t>トリセツ</t>
    </rPh>
    <phoneticPr fontId="13"/>
  </si>
  <si>
    <t>取説 ｷｰﾚｽ ｽﾍﾟｱｷｰ(車内)</t>
    <rPh sb="0" eb="2">
      <t>トリセツ</t>
    </rPh>
    <phoneticPr fontId="13"/>
  </si>
  <si>
    <t>保証書 取説 ｷｰﾚｽ 地図SD(車内)</t>
    <rPh sb="0" eb="3">
      <t>ホショウショ</t>
    </rPh>
    <rPh sb="4" eb="6">
      <t>トリセツ</t>
    </rPh>
    <rPh sb="12" eb="14">
      <t>チズ</t>
    </rPh>
    <phoneticPr fontId="13"/>
  </si>
  <si>
    <t>27-4252</t>
  </si>
  <si>
    <t>27-4253</t>
  </si>
  <si>
    <t>27-4254</t>
  </si>
  <si>
    <t>27-4255</t>
  </si>
  <si>
    <t>27-4256</t>
  </si>
  <si>
    <t>27-4257</t>
  </si>
  <si>
    <t>27-4258</t>
  </si>
  <si>
    <t>27-4259</t>
  </si>
  <si>
    <t>USS東京</t>
    <rPh sb="3" eb="5">
      <t>トウキョウ</t>
    </rPh>
    <phoneticPr fontId="13"/>
  </si>
  <si>
    <t>ｱﾊﾞﾙﾄ 595 ｺﾝﾍﾟﾃｨｼｮﾝ</t>
    <phoneticPr fontId="13"/>
  </si>
  <si>
    <t>1/9</t>
    <phoneticPr fontId="13"/>
  </si>
  <si>
    <t>8/10/23</t>
    <phoneticPr fontId="13"/>
  </si>
  <si>
    <t>ZFA3120000JC43034</t>
    <phoneticPr fontId="13"/>
  </si>
  <si>
    <t>千葉 542 に 220</t>
    <rPh sb="0" eb="2">
      <t>チバ</t>
    </rPh>
    <phoneticPr fontId="13"/>
  </si>
  <si>
    <t>保証書 取説 ﾜﾝｵｰﾅｰ</t>
    <rPh sb="0" eb="3">
      <t>ホショウショ</t>
    </rPh>
    <rPh sb="4" eb="6">
      <t>トリセツ</t>
    </rPh>
    <phoneticPr fontId="13"/>
  </si>
  <si>
    <t>JU愛知(まとめ)</t>
    <rPh sb="2" eb="4">
      <t>アイチ</t>
    </rPh>
    <phoneticPr fontId="13"/>
  </si>
  <si>
    <t>29/11</t>
    <phoneticPr fontId="13"/>
  </si>
  <si>
    <t>赤</t>
    <rPh sb="0" eb="1">
      <t>アカ</t>
    </rPh>
    <phoneticPr fontId="13"/>
  </si>
  <si>
    <t xml:space="preserve">ﾊﾘｱｰ ﾌﾟﾚﾐｱﾑ </t>
    <phoneticPr fontId="13"/>
  </si>
  <si>
    <t>ASU60-0006227</t>
    <phoneticPr fontId="13"/>
  </si>
  <si>
    <t>8/11/27</t>
    <phoneticPr fontId="13"/>
  </si>
  <si>
    <t>地図SD</t>
    <rPh sb="0" eb="2">
      <t>チズ</t>
    </rPh>
    <phoneticPr fontId="13"/>
  </si>
  <si>
    <t>25/4</t>
    <phoneticPr fontId="13"/>
  </si>
  <si>
    <t>ｱｲﾎﾞﾘｰ</t>
    <phoneticPr fontId="13"/>
  </si>
  <si>
    <t>ﾐﾗｺｺｱ ﾌﾟﾗｽX</t>
    <phoneticPr fontId="13"/>
  </si>
  <si>
    <t>L675S-0140418</t>
    <phoneticPr fontId="13"/>
  </si>
  <si>
    <t>5/3</t>
    <phoneticPr fontId="13"/>
  </si>
  <si>
    <t>ｵﾚﾝｼﾞ</t>
    <phoneticPr fontId="13"/>
  </si>
  <si>
    <t>ﾊｽﾗｰ ﾊｲﾌﾞﾘｯﾄﾞG</t>
    <phoneticPr fontId="13"/>
  </si>
  <si>
    <t>MR92S-343290</t>
    <phoneticPr fontId="13"/>
  </si>
  <si>
    <t>青</t>
    <rPh sb="0" eb="1">
      <t>アオ</t>
    </rPh>
    <phoneticPr fontId="13"/>
  </si>
  <si>
    <t>ｽﾍﾟｰｼｶｽﾀﾑ ﾊｲﾌﾞﾘｯﾄﾞXSﾀｰﾎﾞ</t>
    <phoneticPr fontId="13"/>
  </si>
  <si>
    <t>MK53S-990968</t>
    <phoneticPr fontId="13"/>
  </si>
  <si>
    <t>7/3</t>
    <phoneticPr fontId="13"/>
  </si>
  <si>
    <t>ﾑｰﾌﾞｷｬﾝﾊﾞｽ ｽﾄﾗｲﾌﾟｽX</t>
    <phoneticPr fontId="13"/>
  </si>
  <si>
    <t>LA850S-1044003</t>
    <phoneticPr fontId="13"/>
  </si>
  <si>
    <t>2/3</t>
    <phoneticPr fontId="13"/>
  </si>
  <si>
    <t>N-BOXｶｽﾀﾑ G EXﾀｰﾎﾞﾎﾝﾀﾞｾﾝｼﾝｸﾞ</t>
    <phoneticPr fontId="13"/>
  </si>
  <si>
    <t>JF3-2221741</t>
    <phoneticPr fontId="13"/>
  </si>
  <si>
    <t>9/3/15</t>
    <phoneticPr fontId="13"/>
  </si>
  <si>
    <t>四日市 580 き 1389</t>
    <rPh sb="0" eb="3">
      <t>ヨッカイチ</t>
    </rPh>
    <phoneticPr fontId="13"/>
  </si>
  <si>
    <t>ｽﾏｰﾄｷｰ</t>
    <phoneticPr fontId="13"/>
  </si>
  <si>
    <t>MR92S-180672</t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</si>
  <si>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</si>
  <si>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ｷｬﾝｾﾙ返送4/25</t>
    <rPh sb="5" eb="7">
      <t>ヘンソウ</t>
    </rPh>
    <phoneticPr fontId="13"/>
  </si>
  <si>
    <t>WBA5R12040AE79760</t>
    <phoneticPr fontId="13"/>
  </si>
  <si>
    <t>高松 310 す 1196</t>
    <rPh sb="0" eb="2">
      <t>タカマツ</t>
    </rPh>
    <phoneticPr fontId="13"/>
  </si>
  <si>
    <t>株式会社ﾎﾝﾀﾞﾓﾋﾞﾘﾃｨ中四国</t>
    <rPh sb="14" eb="17">
      <t>ナカシコク</t>
    </rPh>
    <phoneticPr fontId="13"/>
  </si>
  <si>
    <t>4/25</t>
    <phoneticPr fontId="13"/>
  </si>
  <si>
    <t>山本 由樹</t>
    <rPh sb="0" eb="2">
      <t>ヤマモト</t>
    </rPh>
    <rPh sb="3" eb="4">
      <t>ヨシ</t>
    </rPh>
    <rPh sb="4" eb="5">
      <t>キ</t>
    </rPh>
    <phoneticPr fontId="13"/>
  </si>
  <si>
    <t>名古屋 326 も 8798</t>
    <rPh sb="0" eb="3">
      <t>ナゴヤ</t>
    </rPh>
    <phoneticPr fontId="13"/>
  </si>
  <si>
    <t>ﾄﾖﾀﾓﾋﾞﾘﾃｨｻｰﾋﾞｽ東名古屋株式会社</t>
    <rPh sb="14" eb="15">
      <t>ヒガシ</t>
    </rPh>
    <rPh sb="15" eb="22">
      <t>ナゴヤカブシキガイシャ</t>
    </rPh>
    <phoneticPr fontId="13"/>
  </si>
  <si>
    <t>保証書 取説 (車内) SD</t>
    <rPh sb="0" eb="3">
      <t>ホショウショ</t>
    </rPh>
    <rPh sb="4" eb="6">
      <t>トリセツ</t>
    </rPh>
    <phoneticPr fontId="13"/>
  </si>
  <si>
    <t>滋賀 330 そ 2045</t>
    <rPh sb="0" eb="2">
      <t>シガ</t>
    </rPh>
    <phoneticPr fontId="13"/>
  </si>
  <si>
    <t>滋賀ｽﾊﾞﾙ自動車株式会社</t>
    <rPh sb="0" eb="2">
      <t>シガ</t>
    </rPh>
    <rPh sb="6" eb="13">
      <t>ジドウシャカブシキガイシャ</t>
    </rPh>
    <phoneticPr fontId="13"/>
  </si>
  <si>
    <t>なにわ 59C と 8975</t>
    <phoneticPr fontId="13"/>
  </si>
  <si>
    <t>株式会社はなまる</t>
    <phoneticPr fontId="13"/>
  </si>
  <si>
    <t>山口 534 つ 417</t>
    <rPh sb="0" eb="2">
      <t>ヤマグチ</t>
    </rPh>
    <phoneticPr fontId="13"/>
  </si>
  <si>
    <t>稲垣 豊広</t>
    <rPh sb="0" eb="2">
      <t>イナガキ</t>
    </rPh>
    <rPh sb="3" eb="5">
      <t>トヨヒロ</t>
    </rPh>
    <phoneticPr fontId="13"/>
  </si>
  <si>
    <t>なにわ 5P9 ろ 9000</t>
    <phoneticPr fontId="13"/>
  </si>
  <si>
    <t>なにわ 479 や 8245</t>
    <phoneticPr fontId="13"/>
  </si>
  <si>
    <t>なにわ 5X1 ろ 606</t>
    <phoneticPr fontId="13"/>
  </si>
  <si>
    <t>なにわ 479 や 7436</t>
    <phoneticPr fontId="13"/>
  </si>
  <si>
    <t>なにわ 581 そ 2692</t>
    <phoneticPr fontId="13"/>
  </si>
  <si>
    <t>ﾅﾝﾊﾞｰ ｽﾍﾟｱｷｰ</t>
    <phoneticPr fontId="13"/>
  </si>
  <si>
    <t>なにわ 581 そ 2685</t>
    <phoneticPr fontId="13"/>
  </si>
  <si>
    <t>堺 399 ひ 8924</t>
    <rPh sb="0" eb="1">
      <t>サカイ</t>
    </rPh>
    <phoneticPr fontId="13"/>
  </si>
  <si>
    <t>大賀 敏信</t>
    <rPh sb="0" eb="2">
      <t>オオガ</t>
    </rPh>
    <rPh sb="3" eb="5">
      <t>トシノブ</t>
    </rPh>
    <phoneticPr fontId="13"/>
  </si>
  <si>
    <t>島根 583 ほ 1014</t>
    <rPh sb="0" eb="2">
      <t>シマネ</t>
    </rPh>
    <phoneticPr fontId="13"/>
  </si>
  <si>
    <t>長崎 300 の 9976</t>
    <rPh sb="0" eb="2">
      <t>ナガサキ</t>
    </rPh>
    <phoneticPr fontId="13"/>
  </si>
  <si>
    <t>長崎 399 そ 5090</t>
    <rPh sb="0" eb="2">
      <t>ナガサキ</t>
    </rPh>
    <phoneticPr fontId="13"/>
  </si>
  <si>
    <t>横浜 39A る 4691</t>
    <rPh sb="0" eb="2">
      <t>ヨコハマ</t>
    </rPh>
    <phoneticPr fontId="13"/>
  </si>
  <si>
    <t>有限会社ﾋﾞｰｱﾝﾄﾞｴﾑﾖｺﾊﾏ</t>
    <rPh sb="0" eb="4">
      <t>ユウゲンガイシャ</t>
    </rPh>
    <phoneticPr fontId="13"/>
  </si>
  <si>
    <t>なにわ 39A ゆ 5652</t>
    <phoneticPr fontId="13"/>
  </si>
  <si>
    <t>ｷｰﾚｽ 地図SD(車内) 保証書 取説 ﾅﾋﾞ取</t>
    <rPh sb="5" eb="7">
      <t>チズ</t>
    </rPh>
    <rPh sb="10" eb="12">
      <t>シャナイ</t>
    </rPh>
    <rPh sb="14" eb="17">
      <t>ホショウショ</t>
    </rPh>
    <rPh sb="18" eb="20">
      <t>トリセツ</t>
    </rPh>
    <rPh sb="24" eb="25">
      <t>トリ</t>
    </rPh>
    <phoneticPr fontId="13"/>
  </si>
  <si>
    <t>株式会社大衆自動車商会</t>
    <rPh sb="4" eb="6">
      <t>タイシュウ</t>
    </rPh>
    <rPh sb="6" eb="11">
      <t>ジドウシャショウカイ</t>
    </rPh>
    <phoneticPr fontId="13"/>
  </si>
  <si>
    <t>保証書 取説 ｷｰﾚｽ 交換歴あり</t>
    <rPh sb="0" eb="3">
      <t>ホショウショ</t>
    </rPh>
    <rPh sb="4" eb="6">
      <t>トリセツ</t>
    </rPh>
    <rPh sb="12" eb="14">
      <t>コウカン</t>
    </rPh>
    <rPh sb="14" eb="15">
      <t>レキ</t>
    </rPh>
    <phoneticPr fontId="13"/>
  </si>
  <si>
    <t>島根 581 ろ 8900</t>
    <rPh sb="0" eb="2">
      <t>シマネ</t>
    </rPh>
    <phoneticPr fontId="13"/>
  </si>
  <si>
    <t>島根 581 い 7820</t>
    <rPh sb="0" eb="2">
      <t>シマネ</t>
    </rPh>
    <phoneticPr fontId="13"/>
  </si>
  <si>
    <t>島根 580 な 4973</t>
    <rPh sb="0" eb="2">
      <t>シマネ</t>
    </rPh>
    <phoneticPr fontId="13"/>
  </si>
  <si>
    <t>福祉1298回60065非課税申告あり</t>
    <rPh sb="0" eb="2">
      <t>フクシ</t>
    </rPh>
    <rPh sb="6" eb="7">
      <t>カイ</t>
    </rPh>
    <rPh sb="12" eb="15">
      <t>ヒカゼイ</t>
    </rPh>
    <rPh sb="15" eb="17">
      <t>シンコク</t>
    </rPh>
    <phoneticPr fontId="13"/>
  </si>
  <si>
    <t>WVWZZZAUZJW239255</t>
    <phoneticPr fontId="13"/>
  </si>
  <si>
    <t>27-4260</t>
  </si>
  <si>
    <t>27-4261</t>
  </si>
  <si>
    <t>27-4262</t>
  </si>
  <si>
    <t>27-4263</t>
  </si>
  <si>
    <t>27-4264</t>
  </si>
  <si>
    <t>27-4265</t>
  </si>
  <si>
    <t>27-4266</t>
  </si>
  <si>
    <t>27-4267</t>
  </si>
  <si>
    <t>27-4268</t>
  </si>
  <si>
    <t>ﾐﾗｲﾌﾞ大阪（ｱｲｵｰｸ）</t>
    <rPh sb="5" eb="7">
      <t>オオサカ</t>
    </rPh>
    <phoneticPr fontId="13"/>
  </si>
  <si>
    <t>ASU60-0002802</t>
    <phoneticPr fontId="13"/>
  </si>
  <si>
    <t>M900A-0453260</t>
    <phoneticPr fontId="13"/>
  </si>
  <si>
    <t>GR1-1032282</t>
    <phoneticPr fontId="13"/>
  </si>
  <si>
    <t>AGH30-0310707</t>
    <phoneticPr fontId="13"/>
  </si>
  <si>
    <t>TRH214-0063563</t>
    <phoneticPr fontId="13"/>
  </si>
  <si>
    <t>ZWR80-0163117</t>
    <phoneticPr fontId="13"/>
  </si>
  <si>
    <t>JH1-1377928</t>
    <phoneticPr fontId="13"/>
  </si>
  <si>
    <t>LA400K-0004986</t>
    <phoneticPr fontId="13"/>
  </si>
  <si>
    <t>LA350S-0250231</t>
    <phoneticPr fontId="13"/>
  </si>
  <si>
    <t>27-4269</t>
  </si>
  <si>
    <t>27-4270</t>
  </si>
  <si>
    <t>27-4271</t>
  </si>
  <si>
    <t>27-4272</t>
  </si>
  <si>
    <t>27-4273</t>
  </si>
  <si>
    <t>27-4274</t>
  </si>
  <si>
    <t>27-4275</t>
  </si>
  <si>
    <t>27-4276</t>
  </si>
  <si>
    <t>27-4277</t>
  </si>
  <si>
    <t>27-4278</t>
  </si>
  <si>
    <t>27-4279</t>
  </si>
  <si>
    <t>27-4280</t>
  </si>
  <si>
    <t>27-4281</t>
  </si>
  <si>
    <t>27-4282</t>
  </si>
  <si>
    <t>27-4283</t>
  </si>
  <si>
    <t>27-4284</t>
  </si>
  <si>
    <t>27-4285</t>
  </si>
  <si>
    <t>27-4286</t>
  </si>
  <si>
    <t>27-4287</t>
  </si>
  <si>
    <t>27-4288</t>
  </si>
  <si>
    <t>27-4289</t>
  </si>
  <si>
    <t>27-4290</t>
  </si>
  <si>
    <t>27-4291</t>
  </si>
  <si>
    <t>27-4292</t>
  </si>
  <si>
    <t>27-4293</t>
  </si>
  <si>
    <t>27-4294</t>
  </si>
  <si>
    <t>27-4295</t>
  </si>
  <si>
    <t>27-4296</t>
  </si>
  <si>
    <t>27-4297</t>
  </si>
  <si>
    <t>27-4298</t>
  </si>
  <si>
    <t>27-4299</t>
  </si>
  <si>
    <t>27-4300</t>
  </si>
  <si>
    <t>27-4301</t>
  </si>
  <si>
    <t>27-4302</t>
  </si>
  <si>
    <t>27-4303</t>
  </si>
  <si>
    <t>27-4304</t>
  </si>
  <si>
    <t>27-4305</t>
  </si>
  <si>
    <t>27-4306</t>
  </si>
  <si>
    <t>27-4307</t>
  </si>
  <si>
    <t>DA17W-314975</t>
    <phoneticPr fontId="13"/>
  </si>
  <si>
    <t>MH95S-163776</t>
    <phoneticPr fontId="13"/>
  </si>
  <si>
    <t>LA350S-0205929</t>
    <phoneticPr fontId="13"/>
  </si>
  <si>
    <t>JF3-1229916</t>
    <phoneticPr fontId="13"/>
  </si>
  <si>
    <t>S321G-0074926</t>
    <phoneticPr fontId="13"/>
  </si>
  <si>
    <t>DA17V-455237</t>
    <phoneticPr fontId="13"/>
  </si>
  <si>
    <t>LA350S-0247675</t>
    <phoneticPr fontId="13"/>
  </si>
  <si>
    <t>MR41S-343604</t>
    <phoneticPr fontId="13"/>
  </si>
  <si>
    <t>LA900S-0081978</t>
    <phoneticPr fontId="13"/>
  </si>
  <si>
    <t>H58A-0717630</t>
    <phoneticPr fontId="13"/>
  </si>
  <si>
    <t>DJ3FS-148538</t>
    <phoneticPr fontId="13"/>
  </si>
  <si>
    <t>B11A-0206895</t>
    <phoneticPr fontId="13"/>
  </si>
  <si>
    <t>M700A-0114272</t>
    <phoneticPr fontId="13"/>
  </si>
  <si>
    <t>B11W-0217400</t>
    <phoneticPr fontId="13"/>
  </si>
  <si>
    <t>ZVW30-1944517</t>
    <phoneticPr fontId="13"/>
  </si>
  <si>
    <t>HFC26-268840</t>
    <phoneticPr fontId="13"/>
  </si>
  <si>
    <t>ZC83-111726</t>
    <phoneticPr fontId="13"/>
  </si>
  <si>
    <t>LAA岡山</t>
    <rPh sb="3" eb="5">
      <t>オカヤマ</t>
    </rPh>
    <phoneticPr fontId="13"/>
  </si>
  <si>
    <t>ﾌﾟﾘｳｽ　Sﾂｰﾘﾝｸﾞｾﾚｸｼｮﾝ</t>
    <phoneticPr fontId="13"/>
  </si>
  <si>
    <t>ZVW30-5744077</t>
    <phoneticPr fontId="13"/>
  </si>
  <si>
    <t>BPFP-113108</t>
    <phoneticPr fontId="13"/>
  </si>
  <si>
    <t>CX-60　XD　Lﾊﾟｯｹｰｼﾞ</t>
    <phoneticPr fontId="13"/>
  </si>
  <si>
    <t>KH3P-105866</t>
    <phoneticPr fontId="13"/>
  </si>
  <si>
    <t>ｸﾗｳﾝﾏｼﾞｪｽﾀ　ﾊｲﾌﾞﾘｯﾄﾞ　F</t>
    <phoneticPr fontId="13"/>
  </si>
  <si>
    <t>GWS214-6008526</t>
    <phoneticPr fontId="13"/>
  </si>
  <si>
    <t>ｽﾍﾟｰｼｱｶｽﾀﾑ　TS</t>
    <phoneticPr fontId="13"/>
  </si>
  <si>
    <t>MK32S-863636</t>
    <phoneticPr fontId="13"/>
  </si>
  <si>
    <t>ﾐﾗｲｰｽ　G　ﾘﾐﾃｯﾄﾞ</t>
    <phoneticPr fontId="13"/>
  </si>
  <si>
    <t>LA350S-0113548</t>
    <phoneticPr fontId="13"/>
  </si>
  <si>
    <t>ﾊｲｾﾞｯﾄｶｰｺﾞ　ｽﾍﾟｼｬﾙ</t>
    <phoneticPr fontId="13"/>
  </si>
  <si>
    <t>S321V-0451620</t>
    <phoneticPr fontId="13"/>
  </si>
  <si>
    <t>BMWX1　Xﾄﾞﾗｲﾌﾞ　18ｄ　Ｘﾗｲﾝ</t>
    <phoneticPr fontId="13"/>
  </si>
  <si>
    <t>WBA32AD0905S96787</t>
    <phoneticPr fontId="13"/>
  </si>
  <si>
    <t>ｴﾌﾞﾘｨ　ｼﾞｮｲﾝ　ﾊｲﾙｰﾌ</t>
    <phoneticPr fontId="13"/>
  </si>
  <si>
    <t>DA17V-113448</t>
    <phoneticPr fontId="13"/>
  </si>
  <si>
    <t>USS大阪</t>
    <rPh sb="3" eb="5">
      <t>オオサカ</t>
    </rPh>
    <phoneticPr fontId="13"/>
  </si>
  <si>
    <t>USS名古屋</t>
    <rPh sb="3" eb="6">
      <t>ナゴヤ</t>
    </rPh>
    <phoneticPr fontId="13"/>
  </si>
  <si>
    <t>BMWﾐﾆｸｰﾊﾟｰ</t>
    <phoneticPr fontId="13"/>
  </si>
  <si>
    <t>Sellca</t>
    <phoneticPr fontId="13"/>
  </si>
  <si>
    <t>A348025</t>
    <phoneticPr fontId="13"/>
  </si>
  <si>
    <t>ZC33S-407395</t>
    <phoneticPr fontId="13"/>
  </si>
  <si>
    <t>A345322</t>
    <phoneticPr fontId="13"/>
  </si>
  <si>
    <t>TRJ150-0177003</t>
    <phoneticPr fontId="13"/>
  </si>
  <si>
    <t>A346707</t>
    <phoneticPr fontId="13"/>
  </si>
  <si>
    <t>AAZH20-1013146</t>
    <phoneticPr fontId="13"/>
  </si>
  <si>
    <t>USS九州</t>
    <rPh sb="3" eb="5">
      <t>キュウシュウ</t>
    </rPh>
    <phoneticPr fontId="13"/>
  </si>
  <si>
    <t>BMWﾐﾆｸｰﾊﾟｰD　ｸﾛｽｵｰﾊﾞｰ</t>
    <phoneticPr fontId="13"/>
  </si>
  <si>
    <t>BMWﾐﾆｸｰﾊﾟｰ　ｸﾗﾌﾞﾏﾝ</t>
    <phoneticPr fontId="13"/>
  </si>
  <si>
    <t>TAA横浜</t>
    <rPh sb="3" eb="5">
      <t>ヨコハマ</t>
    </rPh>
    <phoneticPr fontId="13"/>
  </si>
  <si>
    <t>ﾙﾉｰﾄｩｲﾝｺﾞ　ｲﾝﾃﾝｽ</t>
    <phoneticPr fontId="13"/>
  </si>
  <si>
    <t>HAA神戸</t>
    <rPh sb="3" eb="5">
      <t>コウベ</t>
    </rPh>
    <phoneticPr fontId="13"/>
  </si>
  <si>
    <t>ｸﾗｳﾝﾏｼﾞｪｽﾀ　Fﾊﾞｰｼﾞｮﾝ</t>
    <phoneticPr fontId="13"/>
  </si>
  <si>
    <t>GWS214-6004469</t>
    <phoneticPr fontId="13"/>
  </si>
  <si>
    <t>ﾀﾌﾄ　G</t>
    <phoneticPr fontId="13"/>
  </si>
  <si>
    <t>LA900S-0177707</t>
    <phoneticPr fontId="13"/>
  </si>
  <si>
    <t>ﾊｽﾗｰ　JｽﾀｲﾙⅡ</t>
    <phoneticPr fontId="13"/>
  </si>
  <si>
    <t>MR92S-308587</t>
    <phoneticPr fontId="13"/>
  </si>
  <si>
    <t>ﾌﾟﾛﾎﾞｯｸｽ　G</t>
    <phoneticPr fontId="13"/>
  </si>
  <si>
    <t>NSP160-0066203</t>
    <phoneticPr fontId="13"/>
  </si>
  <si>
    <t>NSP160-0066188</t>
    <phoneticPr fontId="13"/>
  </si>
  <si>
    <t>ﾙﾉｰﾄｩｲﾝｺﾞ　GT</t>
    <phoneticPr fontId="13"/>
  </si>
  <si>
    <t>ｼｴﾝﾀ　ﾌｧﾝﾍﾞｰｽG</t>
    <phoneticPr fontId="13"/>
  </si>
  <si>
    <t>NSP170-7209999</t>
    <phoneticPr fontId="13"/>
  </si>
  <si>
    <t>ﾊｲｾﾞｯﾄﾄﾗｯｸ</t>
    <phoneticPr fontId="13"/>
  </si>
  <si>
    <t>S500P-0098980</t>
    <phoneticPr fontId="13"/>
  </si>
  <si>
    <t>ｽﾍﾟｰｼｱ　ﾊｲﾌﾞﾘｯﾄﾞX</t>
    <phoneticPr fontId="13"/>
  </si>
  <si>
    <t>MK53S-375457</t>
    <phoneticPr fontId="13"/>
  </si>
  <si>
    <t>N　BOXｶｽﾀﾑ　ﾀｰﾎﾞSSﾊﾟｯｹｰｼﾞ</t>
    <phoneticPr fontId="13"/>
  </si>
  <si>
    <t>JF1-2548247</t>
    <phoneticPr fontId="13"/>
  </si>
  <si>
    <t>DA17W-263694</t>
    <phoneticPr fontId="13"/>
  </si>
  <si>
    <t>ｱﾙﾄﾗﾊﾟﾝ　S</t>
    <phoneticPr fontId="13"/>
  </si>
  <si>
    <t>HE33S-144680</t>
    <phoneticPr fontId="13"/>
  </si>
  <si>
    <t>27-4308</t>
  </si>
  <si>
    <t>27-4309</t>
  </si>
  <si>
    <t>27-4310</t>
  </si>
  <si>
    <t>27-4311</t>
  </si>
  <si>
    <t>27-4312</t>
  </si>
  <si>
    <t>27-4313</t>
  </si>
  <si>
    <t>27-4314</t>
  </si>
  <si>
    <t>27-4315</t>
  </si>
  <si>
    <t>27-4316</t>
  </si>
  <si>
    <t>29/7</t>
    <phoneticPr fontId="13"/>
  </si>
  <si>
    <t>黒</t>
    <rPh sb="0" eb="1">
      <t>クロ</t>
    </rPh>
    <phoneticPr fontId="13"/>
  </si>
  <si>
    <t>9/7</t>
    <phoneticPr fontId="13"/>
  </si>
  <si>
    <t>大分　310　と　5555</t>
    <rPh sb="0" eb="2">
      <t>オオイタ</t>
    </rPh>
    <phoneticPr fontId="13"/>
  </si>
  <si>
    <t>2/4</t>
    <phoneticPr fontId="13"/>
  </si>
  <si>
    <t>ﾀﾝｸｶｽﾀﾑ　ｶｽﾀﾑG</t>
    <phoneticPr fontId="13"/>
  </si>
  <si>
    <t>保証書　取説　SD</t>
    <rPh sb="0" eb="3">
      <t>ホショウショ</t>
    </rPh>
    <rPh sb="4" eb="6">
      <t>トリセツ</t>
    </rPh>
    <phoneticPr fontId="13"/>
  </si>
  <si>
    <t>3/1</t>
    <phoneticPr fontId="13"/>
  </si>
  <si>
    <t>ﾌｨｯﾄ　</t>
    <phoneticPr fontId="13"/>
  </si>
  <si>
    <t>保証書　ｽﾍﾟｱｷｰ</t>
    <rPh sb="0" eb="3">
      <t>ホショウショ</t>
    </rPh>
    <phoneticPr fontId="13"/>
  </si>
  <si>
    <t>2/3</t>
    <phoneticPr fontId="13"/>
  </si>
  <si>
    <t>ｱﾙﾌｧｰﾄﾞ　S　Cﾊﾟｯｹｰｼﾞ</t>
    <phoneticPr fontId="13"/>
  </si>
  <si>
    <t>9/3</t>
    <phoneticPr fontId="13"/>
  </si>
  <si>
    <t>和泉　301　ひ　9100</t>
    <rPh sb="0" eb="2">
      <t>イズミ</t>
    </rPh>
    <phoneticPr fontId="13"/>
  </si>
  <si>
    <t>2/12</t>
    <phoneticPr fontId="13"/>
  </si>
  <si>
    <t>白</t>
    <rPh sb="0" eb="1">
      <t>シロ</t>
    </rPh>
    <phoneticPr fontId="13"/>
  </si>
  <si>
    <t>ﾊｲｴｰｽﾜｺﾞﾝ　DX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</si>
  <si>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</si>
  <si>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28/4</t>
    <phoneticPr fontId="13"/>
  </si>
  <si>
    <t>ﾉｱﾊｲﾌﾞﾘｯﾄﾞ　ﾊｲﾌﾞﾘｯﾄﾞSi</t>
    <phoneticPr fontId="13"/>
  </si>
  <si>
    <t>9/4</t>
    <phoneticPr fontId="13"/>
  </si>
  <si>
    <t>三重　302　と　6939</t>
    <rPh sb="0" eb="2">
      <t>ミエ</t>
    </rPh>
    <phoneticPr fontId="13"/>
  </si>
  <si>
    <t>保証書　取説　B-CASｶｰﾄﾞ　ﾘﾓｺﾝ</t>
    <rPh sb="0" eb="3">
      <t>ホショウショ</t>
    </rPh>
    <rPh sb="4" eb="6">
      <t>トリセツ</t>
    </rPh>
    <phoneticPr fontId="13"/>
  </si>
  <si>
    <t>30/2</t>
    <phoneticPr fontId="13"/>
  </si>
  <si>
    <t>ﾚﾝﾀｶｰ</t>
    <phoneticPr fontId="13"/>
  </si>
  <si>
    <t>26/9</t>
    <phoneticPr fontId="13"/>
  </si>
  <si>
    <t>9/9</t>
    <phoneticPr fontId="13"/>
  </si>
  <si>
    <t>神戸　581　ぬ　1972</t>
    <rPh sb="0" eb="2">
      <t>コウベ</t>
    </rPh>
    <phoneticPr fontId="13"/>
  </si>
  <si>
    <t>保証書　SD　B-CASｶｰﾄﾞ</t>
    <rPh sb="0" eb="3">
      <t>ホショウショ</t>
    </rPh>
    <phoneticPr fontId="13"/>
  </si>
  <si>
    <t>3/3</t>
    <phoneticPr fontId="13"/>
  </si>
  <si>
    <t>5/1</t>
    <phoneticPr fontId="13"/>
  </si>
  <si>
    <t>ﾊﾟｰﾙ</t>
    <phoneticPr fontId="13"/>
  </si>
  <si>
    <t>10/1</t>
    <phoneticPr fontId="13"/>
  </si>
  <si>
    <t>堺　584　こ　58</t>
    <rPh sb="0" eb="1">
      <t>サカイ</t>
    </rPh>
    <phoneticPr fontId="13"/>
  </si>
  <si>
    <t>保証書　SD　ｽﾏｰﾄｷｰ</t>
    <rPh sb="0" eb="3">
      <t>ホショウショ</t>
    </rPh>
    <phoneticPr fontId="13"/>
  </si>
  <si>
    <t>3/4</t>
    <phoneticPr fontId="13"/>
  </si>
  <si>
    <t>ﾐﾗｲｰｽ　GﾘﾐﾃｯﾄﾞSaⅢ</t>
    <phoneticPr fontId="13"/>
  </si>
  <si>
    <t>31/3</t>
    <phoneticPr fontId="13"/>
  </si>
  <si>
    <t>NBOXｶｽﾀﾑ　G　Lﾎﾝﾀﾞｾﾝｼﾝｸﾞ</t>
    <phoneticPr fontId="13"/>
  </si>
  <si>
    <t>ﾊﾟｰﾌﾟﾙ</t>
    <phoneticPr fontId="13"/>
  </si>
  <si>
    <t>ｱﾄﾚｰﾜｺﾞﾝ　ｶｽﾀﾑﾀｰﾎﾞRS　SaⅢ</t>
    <phoneticPr fontId="13"/>
  </si>
  <si>
    <t>保証書　取説</t>
    <rPh sb="0" eb="3">
      <t>ホショウショ</t>
    </rPh>
    <rPh sb="4" eb="6">
      <t>トリセツ</t>
    </rPh>
    <phoneticPr fontId="13"/>
  </si>
  <si>
    <t>2/1</t>
    <phoneticPr fontId="13"/>
  </si>
  <si>
    <t>ｴﾌﾞﾘｨﾊﾞﾝ　PC</t>
    <phoneticPr fontId="13"/>
  </si>
  <si>
    <t>保証書</t>
    <rPh sb="0" eb="3">
      <t>ホショウショ</t>
    </rPh>
    <phoneticPr fontId="13"/>
  </si>
  <si>
    <t>31/2</t>
    <phoneticPr fontId="13"/>
  </si>
  <si>
    <t>ｲｴﾛｰ</t>
    <phoneticPr fontId="13"/>
  </si>
  <si>
    <t>ﾊｽﾗｰ 　G</t>
    <phoneticPr fontId="13"/>
  </si>
  <si>
    <t>10/2</t>
    <phoneticPr fontId="13"/>
  </si>
  <si>
    <t>神戸　58A　け　1644</t>
    <rPh sb="0" eb="2">
      <t>コウベ</t>
    </rPh>
    <phoneticPr fontId="13"/>
  </si>
  <si>
    <t>SD　ｽﾍﾟｱｷｰ</t>
    <phoneticPr fontId="13"/>
  </si>
  <si>
    <t>4/1</t>
    <phoneticPr fontId="13"/>
  </si>
  <si>
    <t>9/1</t>
    <phoneticPr fontId="13"/>
  </si>
  <si>
    <t>大阪　582　ぬ　420</t>
    <rPh sb="0" eb="2">
      <t>オオサカ</t>
    </rPh>
    <phoneticPr fontId="13"/>
  </si>
  <si>
    <t>保証書　取説　ﾅﾋﾞ取　ｽﾍﾟｱｷｰ　ﾄﾞﾗﾚｺSD</t>
    <rPh sb="0" eb="3">
      <t>ホショウショ</t>
    </rPh>
    <rPh sb="4" eb="6">
      <t>トリセツ</t>
    </rPh>
    <rPh sb="10" eb="11">
      <t>トリ</t>
    </rPh>
    <phoneticPr fontId="13"/>
  </si>
  <si>
    <t>20/2</t>
    <phoneticPr fontId="13"/>
  </si>
  <si>
    <t>ﾊﾟｼﾞｪﾛﾐﾆ　ｱｸﾃｨﾌﾞﾌｨｰﾙﾄﾞED</t>
    <phoneticPr fontId="13"/>
  </si>
  <si>
    <t>9/2</t>
    <phoneticPr fontId="13"/>
  </si>
  <si>
    <t>神戸　580　な　2390</t>
    <rPh sb="0" eb="2">
      <t>コウベ</t>
    </rPh>
    <phoneticPr fontId="13"/>
  </si>
  <si>
    <t>取説</t>
    <rPh sb="0" eb="2">
      <t>トリセツ</t>
    </rPh>
    <phoneticPr fontId="13"/>
  </si>
  <si>
    <t>28/3</t>
    <phoneticPr fontId="13"/>
  </si>
  <si>
    <t>ﾃﾞﾐｵ　13S</t>
    <phoneticPr fontId="13"/>
  </si>
  <si>
    <t>三河　503　な　1685</t>
    <rPh sb="0" eb="2">
      <t>ミカワ</t>
    </rPh>
    <phoneticPr fontId="13"/>
  </si>
  <si>
    <t>保証書　取説　SD　ｽﾍﾟｱｷｰ</t>
    <rPh sb="0" eb="3">
      <t>ホショウショ</t>
    </rPh>
    <rPh sb="4" eb="6">
      <t>トリセツ</t>
    </rPh>
    <phoneticPr fontId="13"/>
  </si>
  <si>
    <t>29/5</t>
    <phoneticPr fontId="13"/>
  </si>
  <si>
    <t>ﾌﾞﾙｰ</t>
    <phoneticPr fontId="13"/>
  </si>
  <si>
    <t>EKｽﾍﾟｰｽ　Gｾｰﾌﾃｨﾊﾟｯｹｰｼﾞ</t>
    <phoneticPr fontId="13"/>
  </si>
  <si>
    <t>30/7</t>
    <phoneticPr fontId="13"/>
  </si>
  <si>
    <t>ﾊﾟｯｿ　ﾓｰﾀﾞS</t>
    <phoneticPr fontId="13"/>
  </si>
  <si>
    <t>京都　542　な　206</t>
    <rPh sb="0" eb="2">
      <t>キョウト</t>
    </rPh>
    <phoneticPr fontId="13"/>
  </si>
  <si>
    <t>SD　</t>
    <phoneticPr fontId="13"/>
  </si>
  <si>
    <t>28/8</t>
    <phoneticPr fontId="13"/>
  </si>
  <si>
    <t>EKｶｽﾀﾑ　Gｾｰﾌﾃｨﾊﾟｯｹｰｼﾞ</t>
    <phoneticPr fontId="13"/>
  </si>
  <si>
    <t>27/3</t>
    <phoneticPr fontId="13"/>
  </si>
  <si>
    <t>ﾌﾟﾘｳｽ　Gﾂｰﾘﾝｸﾞｾﾚｸｼｮﾝ</t>
    <phoneticPr fontId="13"/>
  </si>
  <si>
    <t>R</t>
    <phoneticPr fontId="13"/>
  </si>
  <si>
    <t>27/7</t>
    <phoneticPr fontId="13"/>
  </si>
  <si>
    <t>ｾﾚﾅ　ﾊｲｳｪｲｽﾀｰVｾﾚｸｼｮﾝ</t>
    <phoneticPr fontId="13"/>
  </si>
  <si>
    <t>29/9</t>
    <phoneticPr fontId="13"/>
  </si>
  <si>
    <t>ｽｲﾌﾄ　RS</t>
    <phoneticPr fontId="13"/>
  </si>
  <si>
    <t>26/3</t>
    <phoneticPr fontId="13"/>
  </si>
  <si>
    <t>9/3/30</t>
    <phoneticPr fontId="13"/>
  </si>
  <si>
    <t>保証書　取説　ｽﾍﾟｱｽﾏｰﾄｷｰ</t>
    <rPh sb="0" eb="3">
      <t>ホショウショ</t>
    </rPh>
    <rPh sb="4" eb="6">
      <t>トリセツ</t>
    </rPh>
    <phoneticPr fontId="13"/>
  </si>
  <si>
    <t>2/8</t>
    <phoneticPr fontId="13"/>
  </si>
  <si>
    <t>赤</t>
    <rPh sb="0" eb="1">
      <t>アカ</t>
    </rPh>
    <phoneticPr fontId="13"/>
  </si>
  <si>
    <t>MAZDA3　ﾌｧｽﾄﾊﾞｯｸ　20Sﾌﾟﾛｱｸﾃｨﾌﾞ</t>
    <phoneticPr fontId="13"/>
  </si>
  <si>
    <t>5/2</t>
    <phoneticPr fontId="13"/>
  </si>
  <si>
    <t>27/4</t>
    <phoneticPr fontId="13"/>
  </si>
  <si>
    <t>10/3/11</t>
    <phoneticPr fontId="13"/>
  </si>
  <si>
    <t>30/10</t>
    <phoneticPr fontId="13"/>
  </si>
  <si>
    <t>9/10/22</t>
    <phoneticPr fontId="13"/>
  </si>
  <si>
    <t>保証書　取説　ﾃﾞｨｰﾗｰ記録簿　ｷｰX2（ﾘｽﾄに記載有）</t>
    <rPh sb="0" eb="3">
      <t>ホショウショ</t>
    </rPh>
    <rPh sb="4" eb="6">
      <t>トリセツ</t>
    </rPh>
    <rPh sb="13" eb="16">
      <t>キロクボ</t>
    </rPh>
    <rPh sb="26" eb="29">
      <t>キサイアリ</t>
    </rPh>
    <phoneticPr fontId="13"/>
  </si>
  <si>
    <t>MﾍﾞﾝﾂB200D　</t>
    <phoneticPr fontId="13"/>
  </si>
  <si>
    <t>WDD2470122J084264</t>
    <phoneticPr fontId="13"/>
  </si>
  <si>
    <t>奈良　301　ね　8465</t>
    <rPh sb="0" eb="2">
      <t>ナラ</t>
    </rPh>
    <phoneticPr fontId="13"/>
  </si>
  <si>
    <t>WMWXU72060TR58998</t>
    <phoneticPr fontId="13"/>
  </si>
  <si>
    <t>9/9/19</t>
    <phoneticPr fontId="13"/>
  </si>
  <si>
    <t>名古屋　330　て　3794</t>
    <rPh sb="0" eb="3">
      <t>ナゴヤ</t>
    </rPh>
    <phoneticPr fontId="13"/>
  </si>
  <si>
    <t>10/1/17</t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</si>
  <si>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</si>
  <si>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5/11</t>
    <phoneticPr fontId="13"/>
  </si>
  <si>
    <t>8/11/23</t>
    <phoneticPr fontId="13"/>
  </si>
  <si>
    <t>5/8</t>
    <phoneticPr fontId="13"/>
  </si>
  <si>
    <t>ﾚｸｻｽ　NX350ｈ　Ｆｽﾎﾟｰﾂ</t>
    <phoneticPr fontId="13"/>
  </si>
  <si>
    <t>8/8/24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</si>
  <si>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</si>
  <si>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4/11</t>
    <phoneticPr fontId="13"/>
  </si>
  <si>
    <t>VF1AH0006N0846586</t>
    <phoneticPr fontId="13"/>
  </si>
  <si>
    <t>27/6</t>
    <phoneticPr fontId="13"/>
  </si>
  <si>
    <t>WMWXM520203A53407</t>
    <phoneticPr fontId="13"/>
  </si>
  <si>
    <t>28/6</t>
    <phoneticPr fontId="13"/>
  </si>
  <si>
    <t>WMWLN320402D75231</t>
    <phoneticPr fontId="13"/>
  </si>
  <si>
    <t>10/1/29</t>
    <phoneticPr fontId="13"/>
  </si>
  <si>
    <t>北九州　332　つ　3298</t>
    <rPh sb="0" eb="3">
      <t>キタキュウシュウ</t>
    </rPh>
    <phoneticPr fontId="13"/>
  </si>
  <si>
    <t>26/2</t>
    <phoneticPr fontId="13"/>
  </si>
  <si>
    <t>6/7</t>
    <phoneticPr fontId="13"/>
  </si>
  <si>
    <t>9/7/4</t>
    <phoneticPr fontId="13"/>
  </si>
  <si>
    <t>岡山　581　め　8947</t>
    <rPh sb="0" eb="2">
      <t>オカヤマ</t>
    </rPh>
    <phoneticPr fontId="13"/>
  </si>
  <si>
    <t>4/7</t>
    <phoneticPr fontId="13"/>
  </si>
  <si>
    <t>Lﾌﾞﾙｰ</t>
    <phoneticPr fontId="13"/>
  </si>
  <si>
    <t>9/7/28</t>
    <phoneticPr fontId="13"/>
  </si>
  <si>
    <t>神戸　583　さ　1892</t>
    <rPh sb="0" eb="2">
      <t>コウベ</t>
    </rPh>
    <phoneticPr fontId="13"/>
  </si>
  <si>
    <t>ﾜﾝｵｰﾅｰ</t>
    <phoneticPr fontId="13"/>
  </si>
  <si>
    <t>4/3</t>
    <phoneticPr fontId="13"/>
  </si>
  <si>
    <t>保証書　取説　SD　ﾚﾝﾀｶｰ</t>
    <rPh sb="0" eb="3">
      <t>ホショウショ</t>
    </rPh>
    <rPh sb="4" eb="6">
      <t>トリセツ</t>
    </rPh>
    <phoneticPr fontId="13"/>
  </si>
  <si>
    <t>30/3</t>
    <phoneticPr fontId="13"/>
  </si>
  <si>
    <t>ｵﾚﾝｼﾞ</t>
    <phoneticPr fontId="13"/>
  </si>
  <si>
    <t>2/7</t>
    <phoneticPr fontId="13"/>
  </si>
  <si>
    <t>31/4</t>
    <phoneticPr fontId="13"/>
  </si>
  <si>
    <t>奈良　483　あ　2579</t>
    <rPh sb="0" eb="2">
      <t>ナラ</t>
    </rPh>
    <phoneticPr fontId="13"/>
  </si>
  <si>
    <t>3/7</t>
    <phoneticPr fontId="13"/>
  </si>
  <si>
    <t>ﾋﾟﾝｸ</t>
    <phoneticPr fontId="13"/>
  </si>
  <si>
    <t>保証書　取説　ﾅﾋﾞ取　ｽﾏｰﾄｷｰ　SD</t>
    <rPh sb="0" eb="3">
      <t>ホショウショ</t>
    </rPh>
    <rPh sb="4" eb="6">
      <t>トリセツ</t>
    </rPh>
    <rPh sb="10" eb="11">
      <t>トリ</t>
    </rPh>
    <phoneticPr fontId="13"/>
  </si>
  <si>
    <t>8/7/2</t>
    <phoneticPr fontId="13"/>
  </si>
  <si>
    <t>奈良　581　と　8138</t>
    <rPh sb="0" eb="2">
      <t>ナラ</t>
    </rPh>
    <phoneticPr fontId="13"/>
  </si>
  <si>
    <t>10/3/24</t>
    <phoneticPr fontId="13"/>
  </si>
  <si>
    <t>堺　595　た　11</t>
    <rPh sb="0" eb="1">
      <t>サカイ</t>
    </rPh>
    <phoneticPr fontId="13"/>
  </si>
  <si>
    <t>28/7</t>
    <phoneticPr fontId="13"/>
  </si>
  <si>
    <t>神戸　581　む　9938</t>
    <rPh sb="0" eb="2">
      <t>コウベ</t>
    </rPh>
    <phoneticPr fontId="13"/>
  </si>
  <si>
    <t>5/10</t>
    <phoneticPr fontId="13"/>
  </si>
  <si>
    <t>WMW32DH0702V08406</t>
    <phoneticPr fontId="13"/>
  </si>
  <si>
    <t>WMW42BT0303M92229</t>
    <phoneticPr fontId="13"/>
  </si>
  <si>
    <t>非課税ならず</t>
    <rPh sb="0" eb="3">
      <t>ヒカゼイ</t>
    </rPh>
    <phoneticPr fontId="13"/>
  </si>
  <si>
    <t>ZiP東京</t>
    <rPh sb="3" eb="5">
      <t>トウキョウ</t>
    </rPh>
    <phoneticPr fontId="13"/>
  </si>
  <si>
    <t>27-4317</t>
  </si>
  <si>
    <t>27-4318</t>
  </si>
  <si>
    <t>WMW52DH0902T71736</t>
    <phoneticPr fontId="13"/>
  </si>
  <si>
    <t>W1N2476132W130559</t>
    <phoneticPr fontId="13"/>
  </si>
  <si>
    <t>27-4319</t>
  </si>
  <si>
    <t>中野様</t>
    <rPh sb="0" eb="2">
      <t>ナカノ</t>
    </rPh>
    <rPh sb="2" eb="3">
      <t>サマ</t>
    </rPh>
    <phoneticPr fontId="13"/>
  </si>
  <si>
    <t>ｼﾞｬｶﾞｰ XE</t>
    <phoneticPr fontId="13"/>
  </si>
  <si>
    <t>SAJAB4AG4HA973133</t>
    <phoneticPr fontId="13"/>
  </si>
  <si>
    <t>姫路 351 せ 1125</t>
    <rPh sb="0" eb="2">
      <t>ヒメジ</t>
    </rPh>
    <phoneticPr fontId="13"/>
  </si>
  <si>
    <t>中野 善文</t>
    <rPh sb="0" eb="2">
      <t>ナカノ</t>
    </rPh>
    <rPh sb="3" eb="4">
      <t>ゼン</t>
    </rPh>
    <rPh sb="4" eb="5">
      <t>フミ</t>
    </rPh>
    <phoneticPr fontId="13"/>
  </si>
  <si>
    <t>4/26</t>
    <phoneticPr fontId="13"/>
  </si>
  <si>
    <t>品川 5X4 ろ 1458</t>
    <rPh sb="0" eb="2">
      <t>シナガワ</t>
    </rPh>
    <phoneticPr fontId="13"/>
  </si>
  <si>
    <t>神戸 39A ち 566</t>
    <rPh sb="0" eb="2">
      <t>コウベ</t>
    </rPh>
    <phoneticPr fontId="13"/>
  </si>
  <si>
    <t>なにわ 691 ろ 7256</t>
    <phoneticPr fontId="13"/>
  </si>
  <si>
    <t>なにわ 39A や 7054</t>
    <phoneticPr fontId="13"/>
  </si>
  <si>
    <t>小山 善弘</t>
    <rPh sb="0" eb="2">
      <t>コヤマ</t>
    </rPh>
    <rPh sb="3" eb="4">
      <t>ゼン</t>
    </rPh>
    <rPh sb="4" eb="5">
      <t>ヒロ</t>
    </rPh>
    <phoneticPr fontId="13"/>
  </si>
  <si>
    <t>保証書 取説 ﾅﾋﾞ取 ｽﾍﾟｱｷｰ 地図SD ﾘﾓｺﾝ</t>
    <rPh sb="0" eb="3">
      <t>ホショウショ</t>
    </rPh>
    <rPh sb="4" eb="6">
      <t>トリセツ</t>
    </rPh>
    <rPh sb="10" eb="11">
      <t>トリ</t>
    </rPh>
    <rPh sb="19" eb="21">
      <t>チズ</t>
    </rPh>
    <phoneticPr fontId="13"/>
  </si>
  <si>
    <t>株式会社ｏｗｎ</t>
    <rPh sb="0" eb="4">
      <t>カブシキガイシャ</t>
    </rPh>
    <phoneticPr fontId="13"/>
  </si>
  <si>
    <t>株式会社コンクエスト</t>
    <rPh sb="0" eb="4">
      <t>カブシキガイシャ</t>
    </rPh>
    <phoneticPr fontId="13"/>
  </si>
  <si>
    <t>川崎 399 ふ 79</t>
    <rPh sb="0" eb="2">
      <t>カワサキ</t>
    </rPh>
    <phoneticPr fontId="13"/>
  </si>
  <si>
    <t>多摩 593 ろ 324</t>
    <rPh sb="0" eb="2">
      <t>タマ</t>
    </rPh>
    <phoneticPr fontId="13"/>
  </si>
  <si>
    <t>品川 5X3 ろ 1037</t>
    <rPh sb="0" eb="2">
      <t>シナガワ</t>
    </rPh>
    <phoneticPr fontId="13"/>
  </si>
  <si>
    <t>品川 49A た 8123</t>
    <rPh sb="0" eb="2">
      <t>シナガワ</t>
    </rPh>
    <phoneticPr fontId="13"/>
  </si>
  <si>
    <t>なにわ 479 や 6596</t>
    <phoneticPr fontId="13"/>
  </si>
  <si>
    <t>名古屋 401 ほ 1047</t>
    <rPh sb="0" eb="3">
      <t>ナゴヤ</t>
    </rPh>
    <phoneticPr fontId="13"/>
  </si>
  <si>
    <t>SD(書類と一緒)</t>
    <rPh sb="3" eb="5">
      <t>ショルイ</t>
    </rPh>
    <rPh sb="6" eb="8">
      <t>イッショ</t>
    </rPh>
    <phoneticPr fontId="13"/>
  </si>
  <si>
    <t>名古屋 499 む 6575</t>
    <rPh sb="0" eb="3">
      <t>ナゴヤ</t>
    </rPh>
    <phoneticPr fontId="13"/>
  </si>
  <si>
    <t>保証書 取説 ｽﾍﾟｱｷｰ SD 名変期限5/23</t>
    <rPh sb="0" eb="3">
      <t>ホショウショ</t>
    </rPh>
    <rPh sb="4" eb="6">
      <t>トリセツ</t>
    </rPh>
    <rPh sb="17" eb="21">
      <t>メイヘンキゲン</t>
    </rPh>
    <phoneticPr fontId="13"/>
  </si>
  <si>
    <t>堺 300 ま 6096</t>
    <rPh sb="0" eb="1">
      <t>サカイ</t>
    </rPh>
    <phoneticPr fontId="13"/>
  </si>
  <si>
    <t>脇谷 信也</t>
    <rPh sb="0" eb="2">
      <t>ワキタニ</t>
    </rPh>
    <rPh sb="3" eb="5">
      <t>シンヤ</t>
    </rPh>
    <phoneticPr fontId="13"/>
  </si>
  <si>
    <t>EG合同会社</t>
    <rPh sb="2" eb="4">
      <t>ゴウドウ</t>
    </rPh>
    <rPh sb="4" eb="6">
      <t>カイシャ</t>
    </rPh>
    <phoneticPr fontId="13"/>
  </si>
  <si>
    <t>岡山 32K り 77</t>
    <rPh sb="0" eb="2">
      <t>オカヤマ</t>
    </rPh>
    <phoneticPr fontId="13"/>
  </si>
  <si>
    <t>片島 伸司</t>
    <rPh sb="0" eb="2">
      <t>カタシマ</t>
    </rPh>
    <rPh sb="3" eb="5">
      <t>ノブシ</t>
    </rPh>
    <phoneticPr fontId="13"/>
  </si>
  <si>
    <t>神戸 305 た 1212</t>
    <rPh sb="0" eb="2">
      <t>コウベ</t>
    </rPh>
    <phoneticPr fontId="13"/>
  </si>
  <si>
    <t>名古屋 326 も 6259</t>
    <rPh sb="0" eb="3">
      <t>ナゴヤ</t>
    </rPh>
    <phoneticPr fontId="13"/>
  </si>
  <si>
    <t>名古屋 332 ほ 2512</t>
    <rPh sb="0" eb="3">
      <t>ナゴヤ</t>
    </rPh>
    <phoneticPr fontId="13"/>
  </si>
  <si>
    <t>名古屋 30M や 5678</t>
    <rPh sb="0" eb="3">
      <t>ナゴヤ</t>
    </rPh>
    <phoneticPr fontId="13"/>
  </si>
  <si>
    <t>ﾄﾞﾗｲﾌﾞSD伴さん渡してくれてる</t>
    <rPh sb="8" eb="9">
      <t>バン</t>
    </rPh>
    <rPh sb="11" eb="12">
      <t>ワタ</t>
    </rPh>
    <phoneticPr fontId="13"/>
  </si>
  <si>
    <t>ZFA3120000JA96683</t>
    <phoneticPr fontId="13"/>
  </si>
  <si>
    <t>島根 501 ち 4217</t>
    <rPh sb="0" eb="2">
      <t>シマネ</t>
    </rPh>
    <phoneticPr fontId="13"/>
  </si>
  <si>
    <t>株式会社ﾎﾝﾀﾞｶｰｽﾞ島根</t>
    <rPh sb="0" eb="4">
      <t>カブシキガイシャ</t>
    </rPh>
    <rPh sb="12" eb="14">
      <t>シマネ</t>
    </rPh>
    <phoneticPr fontId="13"/>
  </si>
  <si>
    <t>ZFABF1BG0RJJ63155</t>
    <phoneticPr fontId="13"/>
  </si>
  <si>
    <t>神戸 332 め 2714</t>
    <rPh sb="0" eb="2">
      <t>コウベ</t>
    </rPh>
    <phoneticPr fontId="13"/>
  </si>
  <si>
    <t>株式会社ﾎﾝﾀﾞ兵庫</t>
    <rPh sb="0" eb="4">
      <t>カブシキガイシャ</t>
    </rPh>
    <rPh sb="8" eb="10">
      <t>ヒョウゴ</t>
    </rPh>
    <phoneticPr fontId="13"/>
  </si>
  <si>
    <t>品番；VXM-175VFi</t>
    <rPh sb="0" eb="2">
      <t>ヒンバン</t>
    </rPh>
    <phoneticPr fontId="13"/>
  </si>
  <si>
    <t>品番；MC315D-W</t>
    <rPh sb="0" eb="2">
      <t>ヒンバン</t>
    </rPh>
    <phoneticPr fontId="13"/>
  </si>
  <si>
    <t>大西 寛人</t>
    <rPh sb="0" eb="2">
      <t>オオニシ</t>
    </rPh>
    <rPh sb="3" eb="5">
      <t>ヒロト</t>
    </rPh>
    <phoneticPr fontId="13"/>
  </si>
  <si>
    <t>島 一達</t>
    <rPh sb="0" eb="1">
      <t>シマ</t>
    </rPh>
    <rPh sb="2" eb="3">
      <t>イチ</t>
    </rPh>
    <rPh sb="3" eb="4">
      <t>タツ</t>
    </rPh>
    <phoneticPr fontId="13"/>
  </si>
  <si>
    <t>鎌田 千枝</t>
    <rPh sb="0" eb="2">
      <t>カマダ</t>
    </rPh>
    <rPh sb="3" eb="4">
      <t>セン</t>
    </rPh>
    <rPh sb="4" eb="5">
      <t>エ</t>
    </rPh>
    <phoneticPr fontId="13"/>
  </si>
  <si>
    <t>(有)TELLUS INTERNATIONAL</t>
    <rPh sb="1" eb="2">
      <t>ユウ</t>
    </rPh>
    <phoneticPr fontId="13"/>
  </si>
  <si>
    <t>戸城 真帆</t>
    <rPh sb="0" eb="2">
      <t>トジョウ</t>
    </rPh>
    <rPh sb="3" eb="5">
      <t>マホ</t>
    </rPh>
    <phoneticPr fontId="13"/>
  </si>
  <si>
    <t>一宮 健剛</t>
    <rPh sb="0" eb="2">
      <t>イチノミヤ</t>
    </rPh>
    <rPh sb="3" eb="4">
      <t>タケル</t>
    </rPh>
    <rPh sb="4" eb="5">
      <t>ツヨシ</t>
    </rPh>
    <phoneticPr fontId="13"/>
  </si>
  <si>
    <t>松本 祥忍(株)松本</t>
    <rPh sb="0" eb="2">
      <t>マツモト</t>
    </rPh>
    <rPh sb="3" eb="4">
      <t>ショウ</t>
    </rPh>
    <rPh sb="4" eb="5">
      <t>シノブ</t>
    </rPh>
    <rPh sb="5" eb="8">
      <t>カブシキガイシャ</t>
    </rPh>
    <rPh sb="8" eb="10">
      <t>マツモト</t>
    </rPh>
    <phoneticPr fontId="13"/>
  </si>
  <si>
    <t>井倉 涼</t>
    <rPh sb="0" eb="2">
      <t>イクラ</t>
    </rPh>
    <rPh sb="3" eb="4">
      <t>リョウ</t>
    </rPh>
    <phoneticPr fontId="13"/>
  </si>
  <si>
    <t>藤原 敬浩</t>
    <rPh sb="0" eb="2">
      <t>フジワラ</t>
    </rPh>
    <rPh sb="3" eb="4">
      <t>ケイ</t>
    </rPh>
    <rPh sb="4" eb="5">
      <t>ヒロ</t>
    </rPh>
    <phoneticPr fontId="13"/>
  </si>
  <si>
    <t>西脇 博義</t>
    <rPh sb="0" eb="2">
      <t>ニシワキ</t>
    </rPh>
    <rPh sb="3" eb="5">
      <t>ヒロヨシ</t>
    </rPh>
    <phoneticPr fontId="13"/>
  </si>
  <si>
    <t>27-4320</t>
  </si>
  <si>
    <t>27-4321</t>
  </si>
  <si>
    <t>27-4322</t>
  </si>
  <si>
    <t>27-4323</t>
  </si>
  <si>
    <t>27-4324</t>
  </si>
  <si>
    <t>ﾒﾙｾﾃﾞｽﾍﾞﾝﾂ Cｸﾗｽ ｽﾃｰｼｮﾝﾜｺﾞﾝ</t>
    <phoneticPr fontId="13"/>
  </si>
  <si>
    <t>WDD2052432F755481</t>
    <phoneticPr fontId="13"/>
  </si>
  <si>
    <t>なにわ 358 ち 12</t>
    <phoneticPr fontId="13"/>
  </si>
  <si>
    <t>ﾌｨｱｯﾄ500S</t>
    <phoneticPr fontId="13"/>
  </si>
  <si>
    <t>BMW X2 Xﾄﾞﾗｲﾌﾞ20i MｽﾎﾟｰﾂX</t>
    <phoneticPr fontId="13"/>
  </si>
  <si>
    <t>京都 302 も 3399</t>
    <rPh sb="0" eb="2">
      <t>キョウト</t>
    </rPh>
    <phoneticPr fontId="13"/>
  </si>
  <si>
    <t>ﾌｨｱｯﾄ ﾄﾞﾌﾞﾛ</t>
    <phoneticPr fontId="13"/>
  </si>
  <si>
    <t>27-4325</t>
  </si>
  <si>
    <t>WMWXT320202F06955</t>
    <phoneticPr fontId="13"/>
  </si>
  <si>
    <t>301 の 608</t>
    <phoneticPr fontId="13"/>
  </si>
  <si>
    <t>A344890</t>
    <phoneticPr fontId="13"/>
  </si>
  <si>
    <t>ﾉｱ Ｓｉ ﾀﾞﾌﾞﾙﾊﾞｲﾋﾞｰ2</t>
    <phoneticPr fontId="13"/>
  </si>
  <si>
    <t>ZRR80-0539136</t>
    <phoneticPr fontId="13"/>
  </si>
  <si>
    <t>A347500</t>
    <phoneticPr fontId="13"/>
  </si>
  <si>
    <t>FE13-224019</t>
    <phoneticPr fontId="13"/>
  </si>
  <si>
    <t>9/7/6</t>
    <phoneticPr fontId="13"/>
  </si>
  <si>
    <t>ｷｰﾚｽﾀﾞﾐｰ送る</t>
    <rPh sb="8" eb="9">
      <t>オク</t>
    </rPh>
    <phoneticPr fontId="13"/>
  </si>
  <si>
    <t>保証書 取説 ｽﾍﾟｱｷｰ  ﾜﾝｵｰﾅｰ</t>
    <rPh sb="0" eb="3">
      <t>ホショウショ</t>
    </rPh>
    <rPh sb="4" eb="6">
      <t>トリセツ</t>
    </rPh>
    <phoneticPr fontId="13"/>
  </si>
  <si>
    <t>A348315</t>
    <phoneticPr fontId="13"/>
  </si>
  <si>
    <t>ﾗﾝﾄﾞｸﾙｰｻﾞｰﾌ VX</t>
    <phoneticPr fontId="13"/>
  </si>
  <si>
    <t>TRJ250-0022564</t>
    <phoneticPr fontId="13"/>
  </si>
  <si>
    <t>10/3/31</t>
    <phoneticPr fontId="13"/>
  </si>
  <si>
    <t>27-4326</t>
  </si>
  <si>
    <t>27-4327</t>
  </si>
  <si>
    <t>27-4328</t>
  </si>
  <si>
    <t>なにわ 5X1 ろ 1289</t>
    <phoneticPr fontId="13"/>
  </si>
  <si>
    <t>27-4329</t>
  </si>
  <si>
    <t>A338572</t>
    <phoneticPr fontId="13"/>
  </si>
  <si>
    <t>MK53S-900929</t>
    <phoneticPr fontId="13"/>
  </si>
  <si>
    <t>浜松 350 と 21</t>
    <rPh sb="0" eb="2">
      <t>ハママツ</t>
    </rPh>
    <phoneticPr fontId="13"/>
  </si>
  <si>
    <t>佐藤 仁</t>
    <rPh sb="0" eb="2">
      <t>サトウ</t>
    </rPh>
    <rPh sb="3" eb="4">
      <t>ジン</t>
    </rPh>
    <phoneticPr fontId="13"/>
  </si>
  <si>
    <t>保証書 取説 ﾅﾋﾞ取 ｷｰﾚｽ ﾜﾝｵｰﾅｰ 印鑑証明7/11</t>
    <rPh sb="0" eb="3">
      <t>ホショウショ</t>
    </rPh>
    <rPh sb="4" eb="6">
      <t>トリセツ</t>
    </rPh>
    <rPh sb="10" eb="11">
      <t>トリ</t>
    </rPh>
    <rPh sb="24" eb="28">
      <t>インカンショウメイ</t>
    </rPh>
    <phoneticPr fontId="13"/>
  </si>
  <si>
    <t>岡山 330 る 2623</t>
    <rPh sb="0" eb="2">
      <t>オカヤマ</t>
    </rPh>
    <phoneticPr fontId="13"/>
  </si>
  <si>
    <t>広島 581 ま 5339</t>
    <rPh sb="0" eb="2">
      <t>ヒロシマ</t>
    </rPh>
    <phoneticPr fontId="13"/>
  </si>
  <si>
    <t>多摩 326 や 755</t>
    <rPh sb="0" eb="2">
      <t>タマ</t>
    </rPh>
    <phoneticPr fontId="13"/>
  </si>
  <si>
    <t>品川 5X4 ろ 2556</t>
    <rPh sb="0" eb="2">
      <t>シナガワ</t>
    </rPh>
    <phoneticPr fontId="13"/>
  </si>
  <si>
    <t>横浜 499 の 6443</t>
    <rPh sb="0" eb="2">
      <t>ヨコハマ</t>
    </rPh>
    <phoneticPr fontId="13"/>
  </si>
  <si>
    <t>株式会社ﾄﾖﾀﾚﾝﾘｰｽ横浜</t>
    <rPh sb="0" eb="4">
      <t>カブシキガイシャ</t>
    </rPh>
    <rPh sb="12" eb="14">
      <t>ヨコハマ</t>
    </rPh>
    <phoneticPr fontId="13"/>
  </si>
  <si>
    <t>ｷｬﾝｾﾙ返送4/28</t>
    <rPh sb="5" eb="7">
      <t>ヘンソウ</t>
    </rPh>
    <phoneticPr fontId="13"/>
  </si>
  <si>
    <t xml:space="preserve">取説 ｽﾍﾟｱｷｰ(車内)保証書 </t>
    <rPh sb="0" eb="2">
      <t>トリセツ</t>
    </rPh>
    <rPh sb="13" eb="16">
      <t>ホショウショ</t>
    </rPh>
    <phoneticPr fontId="13"/>
  </si>
  <si>
    <t>整備手帳 取説 ｷｰﾚｽ 地図SD(車内)</t>
    <rPh sb="0" eb="4">
      <t>セイビテチョウ</t>
    </rPh>
    <rPh sb="5" eb="7">
      <t>トリセツ</t>
    </rPh>
    <rPh sb="13" eb="15">
      <t>チズ</t>
    </rPh>
    <phoneticPr fontId="13"/>
  </si>
  <si>
    <t>取説 ｽﾍﾟｱｷｰ 地図SD(車内)</t>
    <rPh sb="0" eb="2">
      <t>トリセツ</t>
    </rPh>
    <rPh sb="10" eb="12">
      <t>チズ</t>
    </rPh>
    <phoneticPr fontId="13"/>
  </si>
  <si>
    <t>取説 ｷｰﾚｽ ﾜﾝｵｰﾅｰ</t>
    <rPh sb="0" eb="2">
      <t>トリセツ</t>
    </rPh>
    <phoneticPr fontId="13"/>
  </si>
  <si>
    <t>なにわ 479 ゆ 1831</t>
    <phoneticPr fontId="13"/>
  </si>
  <si>
    <t>名古屋 352 や 228</t>
    <rPh sb="0" eb="3">
      <t>ナゴヤ</t>
    </rPh>
    <phoneticPr fontId="13"/>
  </si>
  <si>
    <t>27-4330</t>
  </si>
  <si>
    <t>27-4331</t>
  </si>
  <si>
    <t>27-4332</t>
  </si>
  <si>
    <t>27-4333</t>
  </si>
  <si>
    <t>27-4334</t>
  </si>
  <si>
    <t>27-4335</t>
  </si>
  <si>
    <t>27-4336</t>
  </si>
  <si>
    <t>27-4337</t>
  </si>
  <si>
    <t>27-4338</t>
  </si>
  <si>
    <t>27-4339</t>
  </si>
  <si>
    <t>27-4340</t>
  </si>
  <si>
    <t>27-4341</t>
  </si>
  <si>
    <t>27-4342</t>
  </si>
  <si>
    <t>27-4343</t>
  </si>
  <si>
    <t>S321V-0483367</t>
    <phoneticPr fontId="13"/>
  </si>
  <si>
    <t>LA350S-0339415</t>
    <phoneticPr fontId="13"/>
  </si>
  <si>
    <t>LA350S-0340100</t>
    <phoneticPr fontId="13"/>
  </si>
  <si>
    <t>LA700S-0140671</t>
    <phoneticPr fontId="13"/>
  </si>
  <si>
    <t>L375S-0429028</t>
    <phoneticPr fontId="13"/>
  </si>
  <si>
    <t>ﾚｸｻｽ　LS500ｈ　Ｉﾊﾟｯｹｰｼﾞ</t>
    <phoneticPr fontId="13"/>
  </si>
  <si>
    <t>GVF50-6008668</t>
    <phoneticPr fontId="13"/>
  </si>
  <si>
    <t>LA350S-0259157</t>
    <phoneticPr fontId="13"/>
  </si>
  <si>
    <t>JF1-1828693</t>
    <phoneticPr fontId="13"/>
  </si>
  <si>
    <t>ｸﾗｳﾝ　ﾛｲﾔﾙｻﾙｰﾝG</t>
    <phoneticPr fontId="13"/>
  </si>
  <si>
    <t>GRS202-0007282</t>
    <phoneticPr fontId="13"/>
  </si>
  <si>
    <t>NHP160-0100996</t>
    <phoneticPr fontId="13"/>
  </si>
  <si>
    <t>NCP160-0153295</t>
    <phoneticPr fontId="13"/>
  </si>
  <si>
    <t>ｼﾞｬｶﾞｰ XE　S</t>
    <phoneticPr fontId="13"/>
  </si>
  <si>
    <t>27-4344</t>
  </si>
  <si>
    <t>27-4345</t>
  </si>
  <si>
    <t>27-4346</t>
  </si>
  <si>
    <t>27-4347</t>
  </si>
  <si>
    <t>27-4348</t>
  </si>
  <si>
    <t>27-4349</t>
  </si>
  <si>
    <t>27-4350</t>
  </si>
  <si>
    <t>27-4351</t>
  </si>
  <si>
    <t>A335820</t>
    <phoneticPr fontId="13"/>
  </si>
  <si>
    <t>TRJ250-0023856</t>
    <phoneticPr fontId="13"/>
  </si>
  <si>
    <t>ｸﾗｳﾝ　ｱｽﾘｰﾄS</t>
    <phoneticPr fontId="13"/>
  </si>
  <si>
    <t>GRS214-6000390</t>
    <phoneticPr fontId="13"/>
  </si>
  <si>
    <t>A348112</t>
    <phoneticPr fontId="13"/>
  </si>
  <si>
    <t>ZRR80-0638376</t>
    <phoneticPr fontId="13"/>
  </si>
  <si>
    <t>堺　480　く　5279</t>
    <rPh sb="0" eb="1">
      <t>サカイ</t>
    </rPh>
    <phoneticPr fontId="13"/>
  </si>
  <si>
    <t>保証書　SD</t>
    <rPh sb="0" eb="3">
      <t>ホショウショ</t>
    </rPh>
    <phoneticPr fontId="13"/>
  </si>
  <si>
    <t>1C4BU0000LPL57307</t>
    <phoneticPr fontId="13"/>
  </si>
  <si>
    <t>徳島　580　め　3141</t>
    <rPh sb="0" eb="2">
      <t>トクシマ</t>
    </rPh>
    <phoneticPr fontId="13"/>
  </si>
  <si>
    <t>20/4</t>
    <phoneticPr fontId="13"/>
  </si>
  <si>
    <t>SAJAB4AV4HA946464</t>
    <phoneticPr fontId="13"/>
  </si>
  <si>
    <t>諏訪　330　て　3009</t>
    <rPh sb="0" eb="2">
      <t>スホウ</t>
    </rPh>
    <phoneticPr fontId="13"/>
  </si>
  <si>
    <t>保証書　取説　ｽﾍﾟｱｷｰ　　H30、R1、2、4、5、7年記録有</t>
    <rPh sb="0" eb="3">
      <t>ホショウショ</t>
    </rPh>
    <rPh sb="4" eb="6">
      <t>トリセツ</t>
    </rPh>
    <rPh sb="29" eb="30">
      <t>ネン</t>
    </rPh>
    <rPh sb="30" eb="33">
      <t>キロクアリ</t>
    </rPh>
    <phoneticPr fontId="13"/>
  </si>
  <si>
    <t>ｴﾌﾞﾘｨﾊﾞﾝ　PA</t>
    <phoneticPr fontId="13"/>
  </si>
  <si>
    <t>DA17V-745925</t>
    <phoneticPr fontId="13"/>
  </si>
  <si>
    <t>NSP160-0059891</t>
    <phoneticPr fontId="13"/>
  </si>
  <si>
    <t>NSP160-0071917</t>
    <phoneticPr fontId="13"/>
  </si>
  <si>
    <t>TRH211-8005912</t>
    <phoneticPr fontId="13"/>
  </si>
  <si>
    <t>JF4-1103333</t>
    <phoneticPr fontId="13"/>
  </si>
  <si>
    <t>10/4/24</t>
    <phoneticPr fontId="13"/>
  </si>
  <si>
    <t>WMWXM920002G55722</t>
    <phoneticPr fontId="13"/>
  </si>
  <si>
    <t>保証書　取説　ｽﾍﾟｱｷｰ　ｱﾝﾃﾅ</t>
    <rPh sb="0" eb="3">
      <t>ホショウショ</t>
    </rPh>
    <rPh sb="4" eb="6">
      <t>トリセツ</t>
    </rPh>
    <phoneticPr fontId="13"/>
  </si>
  <si>
    <t>ﾉｱ　SI　ﾀﾞﾌﾞﾙﾊﾞｲﾋﾞｰⅡ</t>
    <phoneticPr fontId="13"/>
  </si>
  <si>
    <t>HE33S-155748</t>
    <phoneticPr fontId="13"/>
  </si>
  <si>
    <t>27-4352</t>
  </si>
  <si>
    <t>ZN6TU61C00X347013</t>
    <phoneticPr fontId="13"/>
  </si>
  <si>
    <t>ﾏｾﾗﾃｨ ﾚｳﾞｫﾝﾃ</t>
    <phoneticPr fontId="13"/>
  </si>
  <si>
    <t>品川 59F ち 1959</t>
    <rPh sb="0" eb="2">
      <t>シナガワ</t>
    </rPh>
    <phoneticPr fontId="13"/>
  </si>
  <si>
    <t>香川 338 み 34</t>
    <rPh sb="0" eb="2">
      <t>カガワ</t>
    </rPh>
    <phoneticPr fontId="13"/>
  </si>
  <si>
    <t>株式会社ｼｭﾃﾙﾝ丸亀</t>
    <rPh sb="0" eb="4">
      <t>カブシキガイシャ</t>
    </rPh>
    <rPh sb="9" eb="11">
      <t>マルガメ</t>
    </rPh>
    <phoneticPr fontId="13"/>
  </si>
  <si>
    <t>4/30</t>
    <phoneticPr fontId="13"/>
  </si>
  <si>
    <t>保証書 取説 ｽﾀｰﾄﾎﾞﾀﾝ(車内)ｷｰﾚｽ</t>
    <rPh sb="0" eb="3">
      <t>ホショウショ</t>
    </rPh>
    <rPh sb="4" eb="6">
      <t>トリセツ</t>
    </rPh>
    <phoneticPr fontId="13"/>
  </si>
  <si>
    <t>品川 5X2 ろ 9920</t>
    <rPh sb="0" eb="2">
      <t>シナガワ</t>
    </rPh>
    <phoneticPr fontId="13"/>
  </si>
  <si>
    <t>和泉 590 も 1020</t>
    <rPh sb="0" eb="2">
      <t>イズミ</t>
    </rPh>
    <phoneticPr fontId="13"/>
  </si>
  <si>
    <t>株式会社南海ｽｽﾞｷ</t>
    <rPh sb="4" eb="6">
      <t>ナンカイ</t>
    </rPh>
    <phoneticPr fontId="13"/>
  </si>
  <si>
    <t>広島 399 に 3921</t>
    <rPh sb="0" eb="2">
      <t>ヒロシマ</t>
    </rPh>
    <phoneticPr fontId="13"/>
  </si>
  <si>
    <t>堺 599 ま 7008</t>
    <rPh sb="0" eb="1">
      <t>サカイ</t>
    </rPh>
    <phoneticPr fontId="13"/>
  </si>
  <si>
    <t>保証書 取説 ｷｰﾚｽ ﾏｲｸﾛ地図SD</t>
    <rPh sb="0" eb="3">
      <t>ホショウショ</t>
    </rPh>
    <rPh sb="4" eb="6">
      <t>トリセツ</t>
    </rPh>
    <rPh sb="16" eb="18">
      <t>チズ</t>
    </rPh>
    <phoneticPr fontId="13"/>
  </si>
  <si>
    <t>岡山 399 な 5375</t>
    <rPh sb="0" eb="2">
      <t>オカヤマ</t>
    </rPh>
    <phoneticPr fontId="13"/>
  </si>
  <si>
    <t>倉敷 332 ら 519</t>
    <rPh sb="0" eb="2">
      <t>クラシキ</t>
    </rPh>
    <phoneticPr fontId="13"/>
  </si>
  <si>
    <t>田中 勝昭</t>
    <rPh sb="0" eb="2">
      <t>タナカ</t>
    </rPh>
    <rPh sb="3" eb="5">
      <t>カツアキ</t>
    </rPh>
    <phoneticPr fontId="13"/>
  </si>
  <si>
    <t>品川 39A め 1841</t>
    <rPh sb="0" eb="2">
      <t>シナガワ</t>
    </rPh>
    <phoneticPr fontId="13"/>
  </si>
  <si>
    <t>多摩 592 ろ 6999</t>
    <rPh sb="0" eb="2">
      <t>タマ</t>
    </rPh>
    <phoneticPr fontId="13"/>
  </si>
  <si>
    <t>27-4353</t>
  </si>
  <si>
    <t>日産 ｱﾘｱ</t>
    <rPh sb="0" eb="2">
      <t>ニッサン</t>
    </rPh>
    <phoneticPr fontId="13"/>
  </si>
  <si>
    <t>FE0-100324</t>
    <phoneticPr fontId="13"/>
  </si>
  <si>
    <t>神戸 31F ほ 8000</t>
    <rPh sb="0" eb="2">
      <t>コウベ</t>
    </rPh>
    <phoneticPr fontId="13"/>
  </si>
  <si>
    <t>村上 晴佳</t>
    <rPh sb="0" eb="2">
      <t>ムラカミ</t>
    </rPh>
    <rPh sb="3" eb="5">
      <t>ハルカ</t>
    </rPh>
    <phoneticPr fontId="13"/>
  </si>
  <si>
    <t>中古保証書 取説</t>
    <rPh sb="0" eb="2">
      <t>チュウコ</t>
    </rPh>
    <rPh sb="2" eb="5">
      <t>ホショウショ</t>
    </rPh>
    <rPh sb="6" eb="8">
      <t>トリセツ</t>
    </rPh>
    <phoneticPr fontId="13"/>
  </si>
  <si>
    <t>和歌山 583 き 5020</t>
    <rPh sb="0" eb="3">
      <t>ワカヤマ</t>
    </rPh>
    <phoneticPr fontId="13"/>
  </si>
  <si>
    <t>地図SD(車内)Sｷｰ</t>
    <rPh sb="0" eb="2">
      <t>チズ</t>
    </rPh>
    <phoneticPr fontId="13"/>
  </si>
  <si>
    <t>大阪 347 や 7778</t>
    <rPh sb="0" eb="2">
      <t>オオサカ</t>
    </rPh>
    <phoneticPr fontId="13"/>
  </si>
  <si>
    <t>横浜 306 す 987</t>
    <rPh sb="0" eb="2">
      <t>ヨコハマ</t>
    </rPh>
    <phoneticPr fontId="13"/>
  </si>
  <si>
    <t>堀内自動車工業株式会社</t>
    <rPh sb="0" eb="5">
      <t>ホリウチジドウシャ</t>
    </rPh>
    <rPh sb="5" eb="7">
      <t>コウギョウ</t>
    </rPh>
    <rPh sb="7" eb="11">
      <t>カブシキガイシャ</t>
    </rPh>
    <phoneticPr fontId="13"/>
  </si>
  <si>
    <t>保証書 取説 ﾘﾓｺﾝ B-CAS</t>
    <rPh sb="0" eb="3">
      <t>ホショウショ</t>
    </rPh>
    <rPh sb="4" eb="6">
      <t>トリセツ</t>
    </rPh>
    <phoneticPr fontId="13"/>
  </si>
  <si>
    <t>品川 5X4 ろ 569</t>
    <rPh sb="0" eb="2">
      <t>シナガワ</t>
    </rPh>
    <phoneticPr fontId="13"/>
  </si>
  <si>
    <t>多摩 593 ろ 568</t>
    <rPh sb="0" eb="2">
      <t>タマ</t>
    </rPh>
    <phoneticPr fontId="13"/>
  </si>
  <si>
    <t>多摩 799 ほ 571</t>
    <rPh sb="0" eb="2">
      <t>タマ</t>
    </rPh>
    <phoneticPr fontId="13"/>
  </si>
  <si>
    <t>尾張小牧 589 ろ 9250</t>
    <rPh sb="0" eb="4">
      <t>オワリコマキ</t>
    </rPh>
    <phoneticPr fontId="13"/>
  </si>
  <si>
    <t>BG株式会社</t>
    <rPh sb="2" eb="6">
      <t>カブシキガイシャ</t>
    </rPh>
    <phoneticPr fontId="13"/>
  </si>
  <si>
    <t>保証書 Sｷｰ SD</t>
    <rPh sb="0" eb="3">
      <t>ホショウショ</t>
    </rPh>
    <phoneticPr fontId="13"/>
  </si>
  <si>
    <t>平阪 幸造</t>
    <rPh sb="0" eb="2">
      <t>ヒラサカ</t>
    </rPh>
    <rPh sb="3" eb="4">
      <t>シアワ</t>
    </rPh>
    <rPh sb="4" eb="5">
      <t>ゾウ</t>
    </rPh>
    <phoneticPr fontId="13"/>
  </si>
  <si>
    <t>和歌山 336 の 1218</t>
    <rPh sb="0" eb="3">
      <t>ワカヤマ</t>
    </rPh>
    <phoneticPr fontId="13"/>
  </si>
  <si>
    <t>徳田 真一</t>
    <rPh sb="0" eb="2">
      <t>トクダ</t>
    </rPh>
    <rPh sb="3" eb="5">
      <t>シンイチ</t>
    </rPh>
    <phoneticPr fontId="13"/>
  </si>
  <si>
    <t>京都三菱自動車販売株式会社</t>
    <rPh sb="0" eb="2">
      <t>キョウト</t>
    </rPh>
    <rPh sb="2" eb="13">
      <t>ミツビシジドウシャハンバイカブシキガイシャ</t>
    </rPh>
    <phoneticPr fontId="13"/>
  </si>
  <si>
    <t>取説 SD</t>
    <rPh sb="0" eb="2">
      <t>トリセツ</t>
    </rPh>
    <phoneticPr fontId="13"/>
  </si>
  <si>
    <t>多々内 勝</t>
    <rPh sb="0" eb="3">
      <t>タタウチ</t>
    </rPh>
    <rPh sb="4" eb="5">
      <t>マサル</t>
    </rPh>
    <phoneticPr fontId="13"/>
  </si>
  <si>
    <t>大阪 599 ら 6505</t>
    <rPh sb="0" eb="2">
      <t>オオサカ</t>
    </rPh>
    <phoneticPr fontId="13"/>
  </si>
  <si>
    <t>兵庫三菱自動車販売株式会社</t>
    <rPh sb="0" eb="2">
      <t>ヒョウゴ</t>
    </rPh>
    <rPh sb="2" eb="13">
      <t>ミツビシジドウシャハンバイカブシキガイシャ</t>
    </rPh>
    <phoneticPr fontId="13"/>
  </si>
  <si>
    <t>有限会社ｾﾚｰﾉ</t>
    <rPh sb="0" eb="4">
      <t>ユウゲンガイシャ</t>
    </rPh>
    <phoneticPr fontId="13"/>
  </si>
  <si>
    <t>SD Sｷｰ</t>
    <phoneticPr fontId="13"/>
  </si>
  <si>
    <t>なにわ 5X1 ろ 5667</t>
    <phoneticPr fontId="13"/>
  </si>
  <si>
    <t>奈良 581 と 8309</t>
    <rPh sb="0" eb="2">
      <t>ナラ</t>
    </rPh>
    <phoneticPr fontId="13"/>
  </si>
  <si>
    <t>富士山 581 は 1053</t>
    <rPh sb="0" eb="3">
      <t>フジサン</t>
    </rPh>
    <phoneticPr fontId="13"/>
  </si>
  <si>
    <t>東海三菱自動車販売株式会社</t>
    <rPh sb="0" eb="4">
      <t>トウカイミツビシ</t>
    </rPh>
    <rPh sb="4" eb="13">
      <t>ジドウシャハンバイカブシキガイシャ</t>
    </rPh>
    <phoneticPr fontId="13"/>
  </si>
  <si>
    <t>福井 583 か 1806</t>
    <rPh sb="0" eb="2">
      <t>フクイ</t>
    </rPh>
    <phoneticPr fontId="13"/>
  </si>
  <si>
    <t>大阪 583 け 3182</t>
    <rPh sb="0" eb="2">
      <t>オオサカ</t>
    </rPh>
    <phoneticPr fontId="13"/>
  </si>
  <si>
    <t>株式会社VOITURE</t>
    <rPh sb="0" eb="4">
      <t>カブシキガイシャ</t>
    </rPh>
    <phoneticPr fontId="13"/>
  </si>
  <si>
    <t>豊田 300 ひ 601</t>
    <rPh sb="0" eb="2">
      <t>トヨタ</t>
    </rPh>
    <phoneticPr fontId="13"/>
  </si>
  <si>
    <t>保証書(車内)SD</t>
    <rPh sb="0" eb="3">
      <t>ホショウショ</t>
    </rPh>
    <phoneticPr fontId="13"/>
  </si>
  <si>
    <t>名古屋 583 む 1619</t>
    <rPh sb="0" eb="3">
      <t>ナゴヤ</t>
    </rPh>
    <phoneticPr fontId="13"/>
  </si>
  <si>
    <t>愛知県中古自動車販売商工組合</t>
    <rPh sb="0" eb="3">
      <t>アイチケン</t>
    </rPh>
    <rPh sb="3" eb="12">
      <t>チュウコジドウシャハンバイショウコウ</t>
    </rPh>
    <rPh sb="12" eb="14">
      <t>クミアイ</t>
    </rPh>
    <phoneticPr fontId="13"/>
  </si>
  <si>
    <t>神戸 352 ろ 1006</t>
    <rPh sb="0" eb="2">
      <t>コウベ</t>
    </rPh>
    <phoneticPr fontId="13"/>
  </si>
  <si>
    <t>神戸ﾄﾖﾍﾟｯﾄ株式会社</t>
    <rPh sb="0" eb="2">
      <t>コウベ</t>
    </rPh>
    <rPh sb="8" eb="12">
      <t>カブシキガイシャ</t>
    </rPh>
    <phoneticPr fontId="13"/>
  </si>
  <si>
    <t>4/30</t>
    <phoneticPr fontId="13"/>
  </si>
  <si>
    <t>つくば 300 も 2138</t>
    <phoneticPr fontId="13"/>
  </si>
  <si>
    <t>株式会社ﾈｸｽﾃｰｼﾞ</t>
    <rPh sb="0" eb="4">
      <t>カブシキガイシャ</t>
    </rPh>
    <phoneticPr fontId="13"/>
  </si>
  <si>
    <t xml:space="preserve">ｷｰﾚｽ(車内) </t>
    <phoneticPr fontId="13"/>
  </si>
  <si>
    <t>広島 331 た 1257</t>
    <rPh sb="0" eb="2">
      <t>ヒロシマ</t>
    </rPh>
    <phoneticPr fontId="13"/>
  </si>
  <si>
    <t>ﾋﾞｰｴﾑﾀﾞﾌﾞﾘｭｰｼﾞｬﾊﾟﾝﾌｧｲﾅﾝｽ株式会社</t>
    <rPh sb="24" eb="28">
      <t>カブシキガイシャ</t>
    </rPh>
    <phoneticPr fontId="13"/>
  </si>
  <si>
    <t>株式会社ﾓﾄｰﾚﾝﾃｨｰｱｲ</t>
    <rPh sb="0" eb="4">
      <t>カブシキガイシャ</t>
    </rPh>
    <phoneticPr fontId="13"/>
  </si>
  <si>
    <t>保証書 取説 ｷｰﾚｽ</t>
    <rPh sb="0" eb="3">
      <t>ホショウショ</t>
    </rPh>
    <rPh sb="4" eb="6">
      <t>トリセツ</t>
    </rPh>
    <phoneticPr fontId="13"/>
  </si>
  <si>
    <t>柴田 恵美子</t>
    <rPh sb="0" eb="2">
      <t>シバタ</t>
    </rPh>
    <rPh sb="3" eb="6">
      <t>エミコ</t>
    </rPh>
    <phoneticPr fontId="13"/>
  </si>
  <si>
    <t>広島 340 せ 918</t>
    <rPh sb="0" eb="2">
      <t>ヒロシマ</t>
    </rPh>
    <phoneticPr fontId="13"/>
  </si>
  <si>
    <t>27-4354</t>
  </si>
  <si>
    <t>27-4355</t>
  </si>
  <si>
    <t>27-4356</t>
  </si>
  <si>
    <t>27-4357</t>
  </si>
  <si>
    <t>TAA中部</t>
    <rPh sb="3" eb="5">
      <t>チュウブ</t>
    </rPh>
    <phoneticPr fontId="13"/>
  </si>
  <si>
    <t>ZRR80-0246587</t>
    <phoneticPr fontId="13"/>
  </si>
  <si>
    <t>MN71S-136694</t>
    <phoneticPr fontId="13"/>
  </si>
  <si>
    <t>WMWYU520403G97057</t>
    <phoneticPr fontId="13"/>
  </si>
  <si>
    <t>NSP160-0059039</t>
    <phoneticPr fontId="13"/>
  </si>
  <si>
    <t>28/8</t>
    <phoneticPr fontId="13"/>
  </si>
  <si>
    <t>ｳﾞｫｸｼｰ ZS 煌2</t>
    <rPh sb="10" eb="11">
      <t>キラメ</t>
    </rPh>
    <phoneticPr fontId="13"/>
  </si>
  <si>
    <t>9/8</t>
    <phoneticPr fontId="13"/>
  </si>
  <si>
    <t>滋賀 344 に 14</t>
    <rPh sb="0" eb="2">
      <t>シガ</t>
    </rPh>
    <phoneticPr fontId="13"/>
  </si>
  <si>
    <t>31/3</t>
    <phoneticPr fontId="13"/>
  </si>
  <si>
    <t>黒</t>
    <rPh sb="0" eb="1">
      <t>クロ</t>
    </rPh>
    <phoneticPr fontId="13"/>
  </si>
  <si>
    <t>ｸﾛｽﾋﾞｰ ﾊｲﾌﾞﾘｯﾄﾞ MZ</t>
    <phoneticPr fontId="13"/>
  </si>
  <si>
    <t>保証書 取説 ﾅﾋﾞ取</t>
    <rPh sb="0" eb="3">
      <t>ホショウショ</t>
    </rPh>
    <rPh sb="4" eb="6">
      <t>トリセツ</t>
    </rPh>
    <rPh sb="10" eb="11">
      <t>トリ</t>
    </rPh>
    <phoneticPr fontId="13"/>
  </si>
  <si>
    <t>保証書 取説 ﾅﾋﾞ取 SD</t>
    <rPh sb="0" eb="3">
      <t>ホショウショ</t>
    </rPh>
    <rPh sb="4" eb="6">
      <t>トリセツ</t>
    </rPh>
    <rPh sb="10" eb="11">
      <t>トリ</t>
    </rPh>
    <phoneticPr fontId="13"/>
  </si>
  <si>
    <t>1/5</t>
    <phoneticPr fontId="13"/>
  </si>
  <si>
    <t>赤</t>
    <rPh sb="0" eb="1">
      <t>アカ</t>
    </rPh>
    <phoneticPr fontId="13"/>
  </si>
  <si>
    <t>3/3</t>
    <phoneticPr fontId="13"/>
  </si>
  <si>
    <t>白</t>
    <rPh sb="0" eb="1">
      <t>シロ</t>
    </rPh>
    <phoneticPr fontId="13"/>
  </si>
  <si>
    <t>ﾌﾟﾛﾎﾞｯｸｽ DXｺﾝﾌｫｰﾄ</t>
    <phoneticPr fontId="13"/>
  </si>
  <si>
    <t>保証書</t>
    <rPh sb="0" eb="3">
      <t>ホショウショ</t>
    </rPh>
    <phoneticPr fontId="13"/>
  </si>
  <si>
    <t>CAA中部(まとめ)</t>
    <rPh sb="3" eb="5">
      <t>チュウブ</t>
    </rPh>
    <phoneticPr fontId="13"/>
  </si>
  <si>
    <t>27-4358</t>
  </si>
  <si>
    <t>27-4359</t>
  </si>
  <si>
    <t>27-4360</t>
  </si>
  <si>
    <t>27-4361</t>
  </si>
  <si>
    <t>5/4</t>
    <phoneticPr fontId="13"/>
  </si>
  <si>
    <t>ﾐﾗｲｰｽ X SA3</t>
    <phoneticPr fontId="13"/>
  </si>
  <si>
    <t>LA350S-0340418</t>
    <phoneticPr fontId="13"/>
  </si>
  <si>
    <t>ﾌﾟﾛﾎﾞｯｸｽ ﾊｲﾌﾞﾘｯﾄﾞGL</t>
    <phoneticPr fontId="13"/>
  </si>
  <si>
    <t>NHP160-0030726</t>
    <phoneticPr fontId="13"/>
  </si>
  <si>
    <t>NHP160-0030495</t>
    <phoneticPr fontId="13"/>
  </si>
  <si>
    <t>CAN</t>
    <phoneticPr fontId="13"/>
  </si>
  <si>
    <t>ｷｬﾝｾﾙ</t>
    <phoneticPr fontId="13"/>
  </si>
  <si>
    <t>ﾊｲｴｰｽ ﾚｼﾞｱｽｴｰｽ　ｽｰﾊﾟｰGL</t>
    <phoneticPr fontId="13"/>
  </si>
  <si>
    <t>取説 ｽﾍﾟｱｷｰ(車内)</t>
    <rPh sb="0" eb="2">
      <t>トリセツ</t>
    </rPh>
    <phoneticPr fontId="13"/>
  </si>
  <si>
    <t>HAA神戸(ﾜﾝｸﾘ)</t>
    <rPh sb="3" eb="5">
      <t>コウベ</t>
    </rPh>
    <phoneticPr fontId="13"/>
  </si>
  <si>
    <t>西日本三菱自動車販売株式会社</t>
    <rPh sb="0" eb="14">
      <t>ニシニホンミツビシジドウシャハンバイカブシキガイシャ</t>
    </rPh>
    <phoneticPr fontId="13"/>
  </si>
  <si>
    <t>5/1</t>
    <phoneticPr fontId="13"/>
  </si>
  <si>
    <t>保証書 取説 ｷｰﾚｽ SD</t>
    <rPh sb="0" eb="3">
      <t>ホショウショ</t>
    </rPh>
    <rPh sb="4" eb="6">
      <t>トリセツ</t>
    </rPh>
    <phoneticPr fontId="13"/>
  </si>
  <si>
    <t>品川 48F ろ 7214</t>
    <rPh sb="0" eb="2">
      <t>シナガワ</t>
    </rPh>
    <phoneticPr fontId="13"/>
  </si>
  <si>
    <t>三菱ｵｰﾄﾘｰｽ株式会社</t>
    <rPh sb="0" eb="2">
      <t>ミツビシ</t>
    </rPh>
    <rPh sb="8" eb="12">
      <t>カブシキガイシャ</t>
    </rPh>
    <phoneticPr fontId="13"/>
  </si>
  <si>
    <t>品川 59F そ 7161</t>
    <rPh sb="0" eb="2">
      <t>シナガワ</t>
    </rPh>
    <phoneticPr fontId="13"/>
  </si>
  <si>
    <t>保証書 取説(車内)</t>
    <rPh sb="0" eb="3">
      <t>ホショウショ</t>
    </rPh>
    <rPh sb="4" eb="6">
      <t>トリセツ</t>
    </rPh>
    <phoneticPr fontId="13"/>
  </si>
  <si>
    <t>保証書 取説 ｷｰﾚｽ(車内)</t>
    <rPh sb="0" eb="3">
      <t>ホショウショ</t>
    </rPh>
    <rPh sb="4" eb="6">
      <t>トリセツ</t>
    </rPh>
    <phoneticPr fontId="13"/>
  </si>
  <si>
    <t>27-4362</t>
  </si>
  <si>
    <t>27-4363</t>
  </si>
  <si>
    <t>27-4364</t>
  </si>
  <si>
    <t>27-4365</t>
  </si>
  <si>
    <t>27-4366</t>
  </si>
  <si>
    <t>27-4367</t>
  </si>
  <si>
    <t>JU愛知(まとめ)</t>
    <rPh sb="2" eb="4">
      <t>アイチ</t>
    </rPh>
    <phoneticPr fontId="13"/>
  </si>
  <si>
    <t>27-4368</t>
  </si>
  <si>
    <t>JF1-1632854</t>
    <phoneticPr fontId="13"/>
  </si>
  <si>
    <t>HE33S-212133</t>
    <phoneticPr fontId="13"/>
  </si>
  <si>
    <t>JF3-5110675</t>
    <phoneticPr fontId="13"/>
  </si>
  <si>
    <t>S331V-0151013</t>
    <phoneticPr fontId="13"/>
  </si>
  <si>
    <t>MXPH10-2023915</t>
    <phoneticPr fontId="13"/>
  </si>
  <si>
    <t>DC5-1012691</t>
    <phoneticPr fontId="13"/>
  </si>
  <si>
    <t>GRS214-6002306</t>
    <phoneticPr fontId="13"/>
  </si>
  <si>
    <t>JF3-2086922</t>
    <phoneticPr fontId="13"/>
  </si>
  <si>
    <t>27/6</t>
    <phoneticPr fontId="13"/>
  </si>
  <si>
    <t>N-BOX Gl ﾊﾟｯｹｰｼﾞ</t>
    <phoneticPr fontId="13"/>
  </si>
  <si>
    <t>30/11</t>
    <phoneticPr fontId="13"/>
  </si>
  <si>
    <t>茶色</t>
    <rPh sb="0" eb="2">
      <t>チャイロ</t>
    </rPh>
    <phoneticPr fontId="13"/>
  </si>
  <si>
    <t>3/12</t>
    <phoneticPr fontId="13"/>
  </si>
  <si>
    <t>N-BOXｶｽﾀﾑ L</t>
    <phoneticPr fontId="13"/>
  </si>
  <si>
    <t>8/12/15</t>
    <phoneticPr fontId="13"/>
  </si>
  <si>
    <t>ﾊｲｾﾞｯﾄ ﾊﾞﾝ 55thｱﾆﾊﾞｰｻﾘｰ ｸﾙｰｽﾞﾀｰﾎﾞ</t>
    <phoneticPr fontId="13"/>
  </si>
  <si>
    <t>名古屋 58A む 5627</t>
    <rPh sb="0" eb="3">
      <t>ナゴヤ</t>
    </rPh>
    <phoneticPr fontId="13"/>
  </si>
  <si>
    <t>ﾔﾘｽ  HV X</t>
    <phoneticPr fontId="13"/>
  </si>
  <si>
    <t>15/2</t>
    <phoneticPr fontId="13"/>
  </si>
  <si>
    <t>青</t>
    <rPh sb="0" eb="1">
      <t>アオ</t>
    </rPh>
    <phoneticPr fontId="13"/>
  </si>
  <si>
    <t>ｲﾝﾃｸﾞﾗ ﾀｲﾌﾟR</t>
    <phoneticPr fontId="13"/>
  </si>
  <si>
    <t>10/2/11</t>
    <phoneticPr fontId="13"/>
  </si>
  <si>
    <t>福井 330 す 8115</t>
    <rPh sb="0" eb="2">
      <t>フクイ</t>
    </rPh>
    <phoneticPr fontId="13"/>
  </si>
  <si>
    <t>名変期限5/29</t>
    <rPh sb="0" eb="4">
      <t>メイヘンキゲン</t>
    </rPh>
    <phoneticPr fontId="13"/>
  </si>
  <si>
    <t>25/4</t>
    <phoneticPr fontId="13"/>
  </si>
  <si>
    <t>ｸﾗｳﾝ ｱｽﾘｰﾄ G</t>
    <phoneticPr fontId="13"/>
  </si>
  <si>
    <t>N-BOXｶｽﾀﾑ Gl ﾀｰﾎﾞ ﾎﾝﾀﾞｾﾝｼﾝｸﾞ</t>
    <phoneticPr fontId="13"/>
  </si>
  <si>
    <t>27-4369</t>
  </si>
  <si>
    <t>27-4370</t>
  </si>
  <si>
    <t>27-4371</t>
  </si>
  <si>
    <t>27-4372</t>
  </si>
  <si>
    <t>27-4373</t>
  </si>
  <si>
    <t>27-4374</t>
  </si>
  <si>
    <t>27-4375</t>
  </si>
  <si>
    <t>27-4376</t>
  </si>
  <si>
    <t>27-4377</t>
  </si>
  <si>
    <t>27-4378</t>
  </si>
  <si>
    <t>ﾐﾗｲﾌﾞ大阪(ｱｲｵｰｸ)</t>
    <rPh sb="5" eb="7">
      <t>オオサカ</t>
    </rPh>
    <phoneticPr fontId="13"/>
  </si>
  <si>
    <t>27-4379</t>
  </si>
  <si>
    <t>AGH30-0124482</t>
    <phoneticPr fontId="13"/>
  </si>
  <si>
    <t>AGH30-0405459</t>
    <phoneticPr fontId="13"/>
  </si>
  <si>
    <t>AWS210-6083509</t>
    <phoneticPr fontId="13"/>
  </si>
  <si>
    <t>MXWH61-4003449</t>
    <phoneticPr fontId="13"/>
  </si>
  <si>
    <t>JH3-2008187</t>
    <phoneticPr fontId="13"/>
  </si>
  <si>
    <t>LA600S-0534531</t>
    <phoneticPr fontId="13"/>
  </si>
  <si>
    <t>MH34S-534830</t>
    <phoneticPr fontId="13"/>
  </si>
  <si>
    <t>MK53S-338673</t>
    <phoneticPr fontId="13"/>
  </si>
  <si>
    <t>JF1-1924510</t>
    <phoneticPr fontId="13"/>
  </si>
  <si>
    <t>LA650S-1101282</t>
    <phoneticPr fontId="13"/>
  </si>
  <si>
    <t>MH44S-461844</t>
    <phoneticPr fontId="13"/>
  </si>
  <si>
    <t>29/3</t>
    <phoneticPr fontId="13"/>
  </si>
  <si>
    <t>ｱﾙﾌｧｰﾄﾞ S</t>
    <phoneticPr fontId="13"/>
  </si>
  <si>
    <t>R</t>
    <phoneticPr fontId="13"/>
  </si>
  <si>
    <t>保証書 取説</t>
    <rPh sb="0" eb="3">
      <t>ホショウショ</t>
    </rPh>
    <rPh sb="4" eb="6">
      <t>トリセツ</t>
    </rPh>
    <phoneticPr fontId="13"/>
  </si>
  <si>
    <t>5/7</t>
    <phoneticPr fontId="13"/>
  </si>
  <si>
    <t>ﾌﾟﾘｳｽ PHEV Z</t>
    <phoneticPr fontId="13"/>
  </si>
  <si>
    <t>27/3</t>
    <phoneticPr fontId="13"/>
  </si>
  <si>
    <t>ｸﾗｳﾝ ﾊｲﾌﾞﾘｯﾄﾞｱｽﾘｰﾄS</t>
    <phoneticPr fontId="13"/>
  </si>
  <si>
    <t xml:space="preserve">保証書 取説 ｽﾍﾟｱｷｰ </t>
    <rPh sb="0" eb="3">
      <t>ホショウショ</t>
    </rPh>
    <rPh sb="4" eb="6">
      <t>トリセツ</t>
    </rPh>
    <phoneticPr fontId="13"/>
  </si>
  <si>
    <t>4/1</t>
    <phoneticPr fontId="13"/>
  </si>
  <si>
    <t>ｱﾙﾌｧｰﾄﾞ Sﾀｲﾌﾟｺﾞｰﾙﾄﾞ2</t>
    <phoneticPr fontId="13"/>
  </si>
  <si>
    <t>9/1</t>
    <phoneticPr fontId="13"/>
  </si>
  <si>
    <t>なにわ 389 と 24</t>
    <phoneticPr fontId="13"/>
  </si>
  <si>
    <t>26/11</t>
    <phoneticPr fontId="13"/>
  </si>
  <si>
    <t>ﾜｺﾞﾝR ｽﾃｨﾝｸﾞﾚｰ X ﾚｰﾀﾞｰﾌﾞﾚｰｷS</t>
    <phoneticPr fontId="13"/>
  </si>
  <si>
    <t>SD</t>
    <phoneticPr fontId="13"/>
  </si>
  <si>
    <t>3/9</t>
    <phoneticPr fontId="13"/>
  </si>
  <si>
    <t>ﾀﾝﾄｶｽﾀﾑRSｽﾀｲﾙｾﾚｸｼｮﾝ</t>
    <phoneticPr fontId="13"/>
  </si>
  <si>
    <t>保証書 取説 ﾅﾋﾞ取 ｽﾏｰﾄｷｰ</t>
    <rPh sb="0" eb="3">
      <t>ホショウショ</t>
    </rPh>
    <rPh sb="4" eb="6">
      <t>トリセツ</t>
    </rPh>
    <rPh sb="10" eb="11">
      <t>トリ</t>
    </rPh>
    <phoneticPr fontId="13"/>
  </si>
  <si>
    <t>29/2</t>
    <phoneticPr fontId="13"/>
  </si>
  <si>
    <t>N-BOXｶｽﾀﾑ SSﾊﾟｯｹｰｼﾞ</t>
    <phoneticPr fontId="13"/>
  </si>
  <si>
    <t>10/2</t>
    <phoneticPr fontId="13"/>
  </si>
  <si>
    <t>京都 582 つ 7263</t>
    <rPh sb="0" eb="2">
      <t>キョウト</t>
    </rPh>
    <phoneticPr fontId="13"/>
  </si>
  <si>
    <t>ﾋﾟﾝｸ</t>
    <phoneticPr fontId="13"/>
  </si>
  <si>
    <t>ｽﾍﾟｰｼｱﾊｲﾌﾞﾘｯﾄﾞX</t>
    <phoneticPr fontId="13"/>
  </si>
  <si>
    <t>8/9</t>
    <phoneticPr fontId="13"/>
  </si>
  <si>
    <t>和泉 581 ひ 5127</t>
    <rPh sb="0" eb="2">
      <t>イズミ</t>
    </rPh>
    <phoneticPr fontId="13"/>
  </si>
  <si>
    <t>28/6</t>
    <phoneticPr fontId="13"/>
  </si>
  <si>
    <t>ﾜｺﾞﾝR FX</t>
    <phoneticPr fontId="13"/>
  </si>
  <si>
    <t>9/6</t>
    <phoneticPr fontId="13"/>
  </si>
  <si>
    <t>ﾅﾝﾊﾞｰ</t>
    <phoneticPr fontId="13"/>
  </si>
  <si>
    <t>ﾀﾝﾄｶｽﾀﾑ Xﾄｯﾌﾟｴﾃﾞｨｼｮﾝ</t>
    <phoneticPr fontId="13"/>
  </si>
  <si>
    <t>2/4</t>
    <phoneticPr fontId="13"/>
  </si>
  <si>
    <t>N-WGN ｶｽﾀﾑ Lﾀｰﾎﾞﾎﾝﾀﾞｾﾝｼﾝｸﾞ</t>
    <phoneticPr fontId="13"/>
  </si>
  <si>
    <t>9/4</t>
    <phoneticPr fontId="13"/>
  </si>
  <si>
    <t>三河 583 い 7875</t>
    <rPh sb="0" eb="2">
      <t>ミカワ</t>
    </rPh>
    <phoneticPr fontId="13"/>
  </si>
  <si>
    <t>保証書 取説 ﾅﾋﾞ取 ｽﾍﾟｱｷｰ ﾜﾝｵｰﾅｰ</t>
    <rPh sb="0" eb="3">
      <t>ホショウショ</t>
    </rPh>
    <rPh sb="4" eb="6">
      <t>トリセツ</t>
    </rPh>
    <rPh sb="10" eb="11">
      <t>トリ</t>
    </rPh>
    <phoneticPr fontId="13"/>
  </si>
  <si>
    <t>USS名古屋</t>
    <rPh sb="3" eb="6">
      <t>ナゴヤ</t>
    </rPh>
    <phoneticPr fontId="13"/>
  </si>
  <si>
    <t>29/10</t>
    <phoneticPr fontId="13"/>
  </si>
  <si>
    <t>ﾒﾙｾﾃﾞｽﾍﾞﾝﾂBｸﾗｽ B180</t>
    <phoneticPr fontId="13"/>
  </si>
  <si>
    <t>WDD2462422J462049</t>
    <phoneticPr fontId="13"/>
  </si>
  <si>
    <t>8/10/26</t>
    <phoneticPr fontId="13"/>
  </si>
  <si>
    <t>春日井 317 と 55</t>
    <rPh sb="0" eb="3">
      <t>カスガイ</t>
    </rPh>
    <phoneticPr fontId="13"/>
  </si>
  <si>
    <t>取説 ｽﾍﾟｱｷｰ</t>
    <rPh sb="0" eb="2">
      <t>トリセツ</t>
    </rPh>
    <phoneticPr fontId="13"/>
  </si>
  <si>
    <t>4/10</t>
    <phoneticPr fontId="13"/>
  </si>
  <si>
    <t>黄色</t>
    <rPh sb="0" eb="2">
      <t>キイロ</t>
    </rPh>
    <phoneticPr fontId="13"/>
  </si>
  <si>
    <t>ﾌﾟｼﾞｮｰ208 GT</t>
    <phoneticPr fontId="13"/>
  </si>
  <si>
    <t>VR3UPHNKSNT089867</t>
    <phoneticPr fontId="13"/>
  </si>
  <si>
    <t>1/11</t>
    <phoneticPr fontId="13"/>
  </si>
  <si>
    <t>ｱﾊﾞﾙﾄ595 ｺﾝﾍﾟﾃｨﾂｨｵｰﾈ ｽﾃｨｰﾚ</t>
    <phoneticPr fontId="13"/>
  </si>
  <si>
    <t>ZFA3120000JC65743</t>
    <phoneticPr fontId="13"/>
  </si>
  <si>
    <t>保証書 取説 Sｷｰ ﾜﾝｵｰﾅｰ</t>
    <rPh sb="0" eb="3">
      <t>ホショウショ</t>
    </rPh>
    <rPh sb="4" eb="6">
      <t>トリセツ</t>
    </rPh>
    <phoneticPr fontId="13"/>
  </si>
  <si>
    <t>USS大阪</t>
    <rPh sb="3" eb="5">
      <t>オオサカ</t>
    </rPh>
    <phoneticPr fontId="13"/>
  </si>
  <si>
    <t>25/5</t>
    <phoneticPr fontId="13"/>
  </si>
  <si>
    <t>ｸﾗｳﾝ ｱｽﾘｰﾄG</t>
    <phoneticPr fontId="13"/>
  </si>
  <si>
    <t>GRS214-6002361</t>
    <phoneticPr fontId="13"/>
  </si>
  <si>
    <t>ﾐﾗｲﾌﾞ愛知ｱｲｵｰｸ)</t>
    <rPh sb="6" eb="11">
      <t>アイオーク</t>
    </rPh>
    <phoneticPr fontId="13"/>
  </si>
  <si>
    <t>8/4</t>
    <phoneticPr fontId="13"/>
  </si>
  <si>
    <t>ｽｰﾊﾟｰｷｬﾘｨ 4WD</t>
    <phoneticPr fontId="13"/>
  </si>
  <si>
    <t>DA16T-922351</t>
    <phoneticPr fontId="13"/>
  </si>
  <si>
    <t>10/4</t>
    <phoneticPr fontId="13"/>
  </si>
  <si>
    <t>S</t>
    <phoneticPr fontId="13"/>
  </si>
  <si>
    <t>京都 480 む 418</t>
    <rPh sb="0" eb="2">
      <t>キョウト</t>
    </rPh>
    <phoneticPr fontId="13"/>
  </si>
  <si>
    <t>25/1</t>
    <phoneticPr fontId="13"/>
  </si>
  <si>
    <t>ｽｸﾗﾑﾜｺﾞﾝ PZﾀｰﾎﾞ</t>
    <phoneticPr fontId="13"/>
  </si>
  <si>
    <t>DG64W-401351</t>
    <phoneticPr fontId="13"/>
  </si>
  <si>
    <t>301 の 813</t>
    <phoneticPr fontId="13"/>
  </si>
  <si>
    <t>301 の 814</t>
    <phoneticPr fontId="13"/>
  </si>
  <si>
    <t>301 の 816</t>
    <phoneticPr fontId="13"/>
  </si>
  <si>
    <t>301 の 818</t>
    <phoneticPr fontId="13"/>
  </si>
  <si>
    <t>301 の 815</t>
    <phoneticPr fontId="13"/>
  </si>
  <si>
    <t>301 の 817</t>
    <phoneticPr fontId="13"/>
  </si>
  <si>
    <t>27-4380</t>
  </si>
  <si>
    <t>27-4381</t>
  </si>
  <si>
    <t>27-4382</t>
  </si>
  <si>
    <t>27-4383</t>
  </si>
  <si>
    <t>27-4384</t>
  </si>
  <si>
    <t>27-4385</t>
  </si>
  <si>
    <t>27-4387</t>
  </si>
  <si>
    <t>27-4388</t>
  </si>
  <si>
    <t>27-4389</t>
  </si>
  <si>
    <t>27-4390</t>
  </si>
  <si>
    <t>27-4391</t>
  </si>
  <si>
    <t>27-4392</t>
  </si>
  <si>
    <t>27-4393</t>
  </si>
  <si>
    <t>27-4394</t>
  </si>
  <si>
    <t>27-4395</t>
  </si>
  <si>
    <t>27-4396</t>
  </si>
  <si>
    <t>27-4397</t>
  </si>
  <si>
    <t>27-4398</t>
  </si>
  <si>
    <t>27-4399</t>
  </si>
  <si>
    <t>27-4400</t>
  </si>
  <si>
    <t>27-4401</t>
  </si>
  <si>
    <t>27-4402</t>
  </si>
  <si>
    <t>27-4403</t>
  </si>
  <si>
    <t>27-4404</t>
  </si>
  <si>
    <t>27-4405</t>
  </si>
  <si>
    <t>27-4406</t>
  </si>
  <si>
    <t>27-4407</t>
  </si>
  <si>
    <t>27-4408</t>
  </si>
  <si>
    <t>27-4409</t>
  </si>
  <si>
    <t>27-4410</t>
  </si>
  <si>
    <t>LAA岡山</t>
    <rPh sb="3" eb="5">
      <t>オカヤマ</t>
    </rPh>
    <phoneticPr fontId="13"/>
  </si>
  <si>
    <t>GR86　RC</t>
    <phoneticPr fontId="13"/>
  </si>
  <si>
    <t>ZN8-031421</t>
    <phoneticPr fontId="13"/>
  </si>
  <si>
    <t>ｸﾗｳﾝ　ﾊｲﾌﾞﾘｯﾄﾞZ</t>
    <phoneticPr fontId="13"/>
  </si>
  <si>
    <t>AZSH32-0007458</t>
    <phoneticPr fontId="13"/>
  </si>
  <si>
    <t>ｽﾍﾟｰｼｱｶｽﾀﾑ　Z</t>
    <phoneticPr fontId="13"/>
  </si>
  <si>
    <t>MK42S-637210</t>
    <phoneticPr fontId="13"/>
  </si>
  <si>
    <t>FSNE13-593403</t>
    <phoneticPr fontId="13"/>
  </si>
  <si>
    <t>NV100ｸﾘｯﾊﾟｰﾊﾞﾝ　GX</t>
    <phoneticPr fontId="13"/>
  </si>
  <si>
    <t>DR17V-743097</t>
    <phoneticPr fontId="13"/>
  </si>
  <si>
    <t>Nﾜｺﾞﾝｶｽﾀﾑ　SSﾊﾟｯｹｰｼﾞ</t>
    <phoneticPr fontId="13"/>
  </si>
  <si>
    <t>JH1-1343531</t>
    <phoneticPr fontId="13"/>
  </si>
  <si>
    <t>ﾚｸｻｽ　IS300ｈ　Ｆｽﾎﾟｰﾂ</t>
    <phoneticPr fontId="13"/>
  </si>
  <si>
    <t>AVE30-5015968</t>
    <phoneticPr fontId="13"/>
  </si>
  <si>
    <t>ｱﾙﾄ　ﾊｲﾌﾞﾘｯﾄﾞS</t>
    <phoneticPr fontId="13"/>
  </si>
  <si>
    <t>HA97S-167209</t>
    <phoneticPr fontId="13"/>
  </si>
  <si>
    <t>BP8P-101558</t>
    <phoneticPr fontId="13"/>
  </si>
  <si>
    <t>LA800S-0110570</t>
    <phoneticPr fontId="13"/>
  </si>
  <si>
    <t>ﾊﾟｼﾞｪﾛ　VR-I</t>
    <phoneticPr fontId="13"/>
  </si>
  <si>
    <t>V83W-0500115</t>
    <phoneticPr fontId="13"/>
  </si>
  <si>
    <t>ｾﾞｽﾄｽﾊﾟｰｸ　W</t>
    <phoneticPr fontId="13"/>
  </si>
  <si>
    <t>JE1-1331059</t>
    <phoneticPr fontId="13"/>
  </si>
  <si>
    <t>USS九州</t>
    <rPh sb="3" eb="5">
      <t>キュウシュウ</t>
    </rPh>
    <phoneticPr fontId="13"/>
  </si>
  <si>
    <t>ﾙﾉｰｶﾝｸﾞｰ　ﾗ･ﾎﾟｽﾄ</t>
    <phoneticPr fontId="13"/>
  </si>
  <si>
    <t>HAA神戸</t>
    <rPh sb="3" eb="5">
      <t>コウベ</t>
    </rPh>
    <phoneticPr fontId="13"/>
  </si>
  <si>
    <t>CX-60　XD　Lﾊﾟｯｹｰｼﾞ</t>
    <phoneticPr fontId="13"/>
  </si>
  <si>
    <t>ﾉｰﾄ　EﾊﾟﾜｰﾆｽﾓS</t>
    <phoneticPr fontId="13"/>
  </si>
  <si>
    <t>HE12-314987</t>
    <phoneticPr fontId="13"/>
  </si>
  <si>
    <t>ﾊﾘｱｰ　Zﾚｻﾞｰﾊﾟｯｹｰｼﾞ</t>
    <phoneticPr fontId="13"/>
  </si>
  <si>
    <t>MXUA80-0067378</t>
    <phoneticPr fontId="13"/>
  </si>
  <si>
    <t>ｶﾛｰﾗﾌｨｰﾙﾀﾞｰ　HV　G　WXB</t>
    <phoneticPr fontId="13"/>
  </si>
  <si>
    <t>NKE165-8025846</t>
    <phoneticPr fontId="13"/>
  </si>
  <si>
    <t>ﾚｸｻｽ　LS500Fｽﾎﾟｰﾂ</t>
    <phoneticPr fontId="13"/>
  </si>
  <si>
    <t>VXFA50-6004118</t>
    <phoneticPr fontId="13"/>
  </si>
  <si>
    <t>MﾍﾞﾝﾂCLA200ｄ　AMGﾗｲﾝ</t>
    <phoneticPr fontId="13"/>
  </si>
  <si>
    <t>ｸﾗｲｽﾗｰｼﾞｰﾌﾟ　ﾗﾝｸﾞﾗｰUL4W　ｽﾎﾟｰﾂ</t>
    <phoneticPr fontId="13"/>
  </si>
  <si>
    <t>ﾎﾞﾙﾎﾞXC40　T4AWD　Rﾃﾞｻﾞｲﾝ</t>
    <phoneticPr fontId="13"/>
  </si>
  <si>
    <t>BMWﾐﾆ　ﾜﾝ</t>
    <phoneticPr fontId="13"/>
  </si>
  <si>
    <t>5/12</t>
    <phoneticPr fontId="13"/>
  </si>
  <si>
    <t>ﾌﾞﾙｰ</t>
    <phoneticPr fontId="13"/>
  </si>
  <si>
    <t>保証書　取説　ｽﾍﾟｱｷｰ</t>
    <rPh sb="0" eb="3">
      <t>ホショウショ</t>
    </rPh>
    <rPh sb="4" eb="6">
      <t>トリセツ</t>
    </rPh>
    <phoneticPr fontId="13"/>
  </si>
  <si>
    <t>6/9</t>
    <phoneticPr fontId="13"/>
  </si>
  <si>
    <t>9/9/17</t>
    <phoneticPr fontId="13"/>
  </si>
  <si>
    <t>保証書　取説　ﾜﾝｵｰﾅｰ　　ｽﾏｰﾄｷｰX2（ﾘｽﾄに記載有）</t>
    <rPh sb="0" eb="3">
      <t>ホショウショ</t>
    </rPh>
    <rPh sb="4" eb="6">
      <t>トリセツ</t>
    </rPh>
    <rPh sb="28" eb="31">
      <t>キサイアリ</t>
    </rPh>
    <phoneticPr fontId="13"/>
  </si>
  <si>
    <t>29/7</t>
    <phoneticPr fontId="13"/>
  </si>
  <si>
    <t>黒</t>
    <rPh sb="0" eb="1">
      <t>クロ</t>
    </rPh>
    <phoneticPr fontId="13"/>
  </si>
  <si>
    <t>8/7/23</t>
    <phoneticPr fontId="13"/>
  </si>
  <si>
    <t>ｵｰﾗ　ﾆｽﾓ　ﾁｭｰﾝﾄﾞeﾊﾟﾜｰ</t>
    <phoneticPr fontId="13"/>
  </si>
  <si>
    <t>9/9/26</t>
    <phoneticPr fontId="13"/>
  </si>
  <si>
    <t>保証書　取説　ﾜﾝｵｰﾅｰ</t>
    <rPh sb="0" eb="3">
      <t>ホショウショ</t>
    </rPh>
    <rPh sb="4" eb="6">
      <t>トリセツ</t>
    </rPh>
    <phoneticPr fontId="13"/>
  </si>
  <si>
    <t>6/3</t>
    <phoneticPr fontId="13"/>
  </si>
  <si>
    <t>29/4</t>
    <phoneticPr fontId="13"/>
  </si>
  <si>
    <t>8/6/29</t>
    <phoneticPr fontId="13"/>
  </si>
  <si>
    <t>25/11</t>
    <phoneticPr fontId="13"/>
  </si>
  <si>
    <t>9/3/9</t>
    <phoneticPr fontId="13"/>
  </si>
  <si>
    <t>保証書　取説　ｽﾍﾟｱｽﾏｰﾄｷｰ　ｶｰﾄﾞｷｰ</t>
    <rPh sb="0" eb="3">
      <t>ホショウショ</t>
    </rPh>
    <rPh sb="4" eb="6">
      <t>トリセツ</t>
    </rPh>
    <phoneticPr fontId="13"/>
  </si>
  <si>
    <t>6/7</t>
    <phoneticPr fontId="13"/>
  </si>
  <si>
    <t>9/7/4</t>
    <phoneticPr fontId="13"/>
  </si>
  <si>
    <t>1/6</t>
    <phoneticPr fontId="13"/>
  </si>
  <si>
    <t>赤</t>
    <rPh sb="0" eb="1">
      <t>アカ</t>
    </rPh>
    <phoneticPr fontId="13"/>
  </si>
  <si>
    <t>保証書　取説　ﾃﾞｨｰﾗｰ記録簿　　ｽﾏｰﾄｷｰX2（ﾘｽﾄに記載有）</t>
    <rPh sb="0" eb="3">
      <t>ホショウショ</t>
    </rPh>
    <rPh sb="4" eb="6">
      <t>トリセツ</t>
    </rPh>
    <rPh sb="13" eb="16">
      <t>キロクボ</t>
    </rPh>
    <rPh sb="31" eb="34">
      <t>キサイアリ</t>
    </rPh>
    <phoneticPr fontId="13"/>
  </si>
  <si>
    <t>30/4</t>
    <phoneticPr fontId="13"/>
  </si>
  <si>
    <t>白</t>
    <rPh sb="0" eb="1">
      <t>シロ</t>
    </rPh>
    <phoneticPr fontId="13"/>
  </si>
  <si>
    <t>ﾑｰｳﾞｷｬﾝﾊﾞｽ　Gﾒｲｸｱｯﾌﾟ</t>
    <phoneticPr fontId="13"/>
  </si>
  <si>
    <t>9/3/31</t>
    <phoneticPr fontId="13"/>
  </si>
  <si>
    <t>R</t>
    <phoneticPr fontId="13"/>
  </si>
  <si>
    <t>23/11</t>
    <phoneticPr fontId="13"/>
  </si>
  <si>
    <t>23/7</t>
    <phoneticPr fontId="13"/>
  </si>
  <si>
    <t>8/7/27</t>
    <phoneticPr fontId="13"/>
  </si>
  <si>
    <t>30/5</t>
    <phoneticPr fontId="13"/>
  </si>
  <si>
    <t>ｲｴﾛｰ</t>
    <phoneticPr fontId="13"/>
  </si>
  <si>
    <t>9/3/25</t>
    <phoneticPr fontId="13"/>
  </si>
  <si>
    <t>佐賀　530　の　595</t>
    <rPh sb="0" eb="2">
      <t>サガ</t>
    </rPh>
    <phoneticPr fontId="13"/>
  </si>
  <si>
    <t>2/12</t>
    <phoneticPr fontId="13"/>
  </si>
  <si>
    <t>VF1KW14B3L0809970</t>
    <phoneticPr fontId="13"/>
  </si>
  <si>
    <t>9/12/24</t>
    <phoneticPr fontId="13"/>
  </si>
  <si>
    <t>久留米　300　ら　4883</t>
    <rPh sb="0" eb="3">
      <t>クルメ</t>
    </rPh>
    <phoneticPr fontId="13"/>
  </si>
  <si>
    <t>5/5</t>
    <phoneticPr fontId="13"/>
  </si>
  <si>
    <t>KH3P-100825</t>
    <phoneticPr fontId="13"/>
  </si>
  <si>
    <t>保証書　取説　</t>
    <rPh sb="0" eb="3">
      <t>ホショウショ</t>
    </rPh>
    <rPh sb="4" eb="6">
      <t>トリセツ</t>
    </rPh>
    <phoneticPr fontId="13"/>
  </si>
  <si>
    <t>2/3</t>
    <phoneticPr fontId="13"/>
  </si>
  <si>
    <t>保証書　ﾜﾝｵｰﾅｰ</t>
    <rPh sb="0" eb="3">
      <t>ホショウショ</t>
    </rPh>
    <phoneticPr fontId="13"/>
  </si>
  <si>
    <t>4/2</t>
    <phoneticPr fontId="13"/>
  </si>
  <si>
    <t>28/2</t>
    <phoneticPr fontId="13"/>
  </si>
  <si>
    <t>保証書　取説　B-CASｶｰﾄﾞ　ﾅﾋﾞSD　ｽﾏｰﾄｷｰ　ﾜﾝｵｰﾅｰ</t>
    <rPh sb="0" eb="3">
      <t>ホショウショ</t>
    </rPh>
    <rPh sb="4" eb="6">
      <t>トリセツ</t>
    </rPh>
    <phoneticPr fontId="13"/>
  </si>
  <si>
    <t>30/10</t>
    <phoneticPr fontId="13"/>
  </si>
  <si>
    <t>9/10</t>
    <phoneticPr fontId="13"/>
  </si>
  <si>
    <t>京都　314　ゆ　1010</t>
    <rPh sb="0" eb="2">
      <t>キョウト</t>
    </rPh>
    <phoneticPr fontId="13"/>
  </si>
  <si>
    <t>保証書　点検記録簿　ｽﾍﾟｱｷｰ　法人ﾜﾝｵｰﾅｰ</t>
    <rPh sb="0" eb="3">
      <t>ホショウショ</t>
    </rPh>
    <rPh sb="4" eb="9">
      <t>テンケンキロクボ</t>
    </rPh>
    <rPh sb="17" eb="19">
      <t>ホウジン</t>
    </rPh>
    <phoneticPr fontId="13"/>
  </si>
  <si>
    <t>1/5</t>
    <phoneticPr fontId="13"/>
  </si>
  <si>
    <t>ｼﾄﾛｴﾝ　ｸﾞﾗﾝﾄﾞC4　ｽﾍﾟｰｽﾂｱﾗｰ　</t>
    <phoneticPr fontId="13"/>
  </si>
  <si>
    <t>VF73AEHYRKJ625686</t>
    <phoneticPr fontId="13"/>
  </si>
  <si>
    <t>ﾜﾝｵｰﾅｰ</t>
    <phoneticPr fontId="13"/>
  </si>
  <si>
    <t>2/6</t>
    <phoneticPr fontId="13"/>
  </si>
  <si>
    <t>WDD1183122N019173</t>
    <phoneticPr fontId="13"/>
  </si>
  <si>
    <t>9/6</t>
    <phoneticPr fontId="13"/>
  </si>
  <si>
    <t>京都　331　つ　3253</t>
    <rPh sb="0" eb="2">
      <t>キョウト</t>
    </rPh>
    <phoneticPr fontId="13"/>
  </si>
  <si>
    <t>保証書　取説　ｽﾍﾟｱｷｰ　ﾜﾝｵｰﾅｰ</t>
    <rPh sb="0" eb="3">
      <t>ホショウショ</t>
    </rPh>
    <rPh sb="4" eb="6">
      <t>トリセツ</t>
    </rPh>
    <phoneticPr fontId="13"/>
  </si>
  <si>
    <t>保証書　取説　ｽﾍﾟｱｷｰ　ﾜﾝｵｰﾅｰ　　名変期限6/2</t>
    <rPh sb="0" eb="3">
      <t>ホショウショ</t>
    </rPh>
    <rPh sb="4" eb="6">
      <t>トリセツ</t>
    </rPh>
    <rPh sb="22" eb="26">
      <t>メイヘンキゲン</t>
    </rPh>
    <phoneticPr fontId="13"/>
  </si>
  <si>
    <t>1C4HJWKG4JL877149</t>
    <phoneticPr fontId="13"/>
  </si>
  <si>
    <t>神戸　304　む　1123</t>
    <rPh sb="0" eb="2">
      <t>コウベ</t>
    </rPh>
    <phoneticPr fontId="13"/>
  </si>
  <si>
    <t>ﾜﾝｵｰﾅｰ　　名変期限6/8</t>
    <rPh sb="8" eb="12">
      <t>メイヘンキゲン</t>
    </rPh>
    <phoneticPr fontId="13"/>
  </si>
  <si>
    <t>YV1XZACMCL2297129</t>
    <phoneticPr fontId="13"/>
  </si>
  <si>
    <t>9/3</t>
    <phoneticPr fontId="13"/>
  </si>
  <si>
    <t>和泉　335　り　519</t>
    <rPh sb="0" eb="2">
      <t>イズミ</t>
    </rPh>
    <phoneticPr fontId="13"/>
  </si>
  <si>
    <t>名変期限6/26</t>
    <rPh sb="0" eb="4">
      <t>メイヘンキゲン</t>
    </rPh>
    <phoneticPr fontId="13"/>
  </si>
  <si>
    <t>28/6</t>
    <phoneticPr fontId="13"/>
  </si>
  <si>
    <t>WMWXS120X02C75262</t>
    <phoneticPr fontId="13"/>
  </si>
  <si>
    <t>奈良　304　ほ　101</t>
    <rPh sb="0" eb="2">
      <t>ナラ</t>
    </rPh>
    <phoneticPr fontId="13"/>
  </si>
  <si>
    <t>ｷｬﾝｾﾙ返送5/7返送</t>
    <rPh sb="5" eb="7">
      <t>ヘンソウ</t>
    </rPh>
    <rPh sb="10" eb="12">
      <t>ヘンソウ</t>
    </rPh>
    <phoneticPr fontId="13"/>
  </si>
  <si>
    <t>名古屋 781 ろ 1250</t>
    <rPh sb="0" eb="3">
      <t>ナゴヤ</t>
    </rPh>
    <phoneticPr fontId="13"/>
  </si>
  <si>
    <t>品川 39A め 5688</t>
    <rPh sb="0" eb="2">
      <t>シナガワ</t>
    </rPh>
    <phoneticPr fontId="13"/>
  </si>
  <si>
    <t>福本 嘉章</t>
    <rPh sb="0" eb="2">
      <t>フクモト</t>
    </rPh>
    <rPh sb="3" eb="4">
      <t>ヨシミ</t>
    </rPh>
    <rPh sb="4" eb="5">
      <t>アキラ</t>
    </rPh>
    <phoneticPr fontId="13"/>
  </si>
  <si>
    <t>VF1AHB55AJ0770267</t>
    <phoneticPr fontId="13"/>
  </si>
  <si>
    <t>京都 502 も 1060</t>
    <rPh sb="0" eb="2">
      <t>キョウト</t>
    </rPh>
    <phoneticPr fontId="13"/>
  </si>
  <si>
    <t>愛媛 400 わ 7275</t>
    <rPh sb="0" eb="2">
      <t>エヒメ</t>
    </rPh>
    <phoneticPr fontId="13"/>
  </si>
  <si>
    <t>保証書 取説 ﾏｲｸﾛ地図SD ｽﾍﾟｱｷｰ ﾚﾝﾀｶｰ</t>
    <rPh sb="0" eb="3">
      <t>ホショウショ</t>
    </rPh>
    <rPh sb="4" eb="6">
      <t>トリセツ</t>
    </rPh>
    <rPh sb="11" eb="13">
      <t>チズ</t>
    </rPh>
    <phoneticPr fontId="13"/>
  </si>
  <si>
    <t>岡山 399 な 6901</t>
    <rPh sb="0" eb="2">
      <t>オカヤマ</t>
    </rPh>
    <phoneticPr fontId="13"/>
  </si>
  <si>
    <t>神戸 581 よ 4107</t>
    <rPh sb="0" eb="2">
      <t>コウベ</t>
    </rPh>
    <phoneticPr fontId="13"/>
  </si>
  <si>
    <t xml:space="preserve">保証書 取説 ﾅﾋﾞ取 地図SD 録音SD B-CASｶｰﾄﾞ </t>
    <rPh sb="0" eb="3">
      <t>ホショウショ</t>
    </rPh>
    <rPh sb="4" eb="6">
      <t>トリセツ</t>
    </rPh>
    <rPh sb="10" eb="11">
      <t>トリ</t>
    </rPh>
    <rPh sb="12" eb="14">
      <t>チズ</t>
    </rPh>
    <rPh sb="17" eb="19">
      <t>ロクオン</t>
    </rPh>
    <phoneticPr fontId="13"/>
  </si>
  <si>
    <t>ｽﾍﾟｱｷｰ  保証書</t>
    <rPh sb="8" eb="11">
      <t>ホショウショ</t>
    </rPh>
    <phoneticPr fontId="13"/>
  </si>
  <si>
    <t>新潟 301 め 8696</t>
    <rPh sb="0" eb="2">
      <t>ニイガタ</t>
    </rPh>
    <phoneticPr fontId="13"/>
  </si>
  <si>
    <t>ﾄﾖﾀｶﾛｰﾗ新潟株式会社</t>
    <rPh sb="7" eb="9">
      <t>ニイガタ</t>
    </rPh>
    <rPh sb="9" eb="13">
      <t>カブシキガイシャ</t>
    </rPh>
    <phoneticPr fontId="13"/>
  </si>
  <si>
    <t>地図SD(車内)保証書</t>
    <rPh sb="0" eb="2">
      <t>チズ</t>
    </rPh>
    <rPh sb="5" eb="7">
      <t>シャナイ</t>
    </rPh>
    <rPh sb="8" eb="11">
      <t>ホショウショ</t>
    </rPh>
    <phoneticPr fontId="13"/>
  </si>
  <si>
    <t>森 新治</t>
    <rPh sb="0" eb="1">
      <t>モリ</t>
    </rPh>
    <rPh sb="2" eb="3">
      <t>シン</t>
    </rPh>
    <rPh sb="3" eb="4">
      <t>ジ</t>
    </rPh>
    <phoneticPr fontId="13"/>
  </si>
  <si>
    <t>保証書 ﾅﾋﾞ取 地図SD ｴﾝﾀﾒSD</t>
    <rPh sb="0" eb="3">
      <t>ホショウショ</t>
    </rPh>
    <rPh sb="7" eb="8">
      <t>トリ</t>
    </rPh>
    <rPh sb="9" eb="11">
      <t>チズ</t>
    </rPh>
    <phoneticPr fontId="13"/>
  </si>
  <si>
    <t>京都 582 と 5557</t>
    <rPh sb="0" eb="2">
      <t>キョウト</t>
    </rPh>
    <phoneticPr fontId="13"/>
  </si>
  <si>
    <t>保証書 取説 ﾅﾋﾞ取 SD  ｷｰﾚｽ</t>
    <rPh sb="0" eb="3">
      <t>ホショウショ</t>
    </rPh>
    <rPh sb="4" eb="6">
      <t>トリセツ</t>
    </rPh>
    <rPh sb="10" eb="11">
      <t>トリ</t>
    </rPh>
    <phoneticPr fontId="13"/>
  </si>
  <si>
    <t>株式会社ｵｰｴﾑｼﾞｰ</t>
    <rPh sb="0" eb="4">
      <t>カブシキガイシャ</t>
    </rPh>
    <phoneticPr fontId="13"/>
  </si>
  <si>
    <t>川越 330 そ 1628</t>
    <rPh sb="0" eb="2">
      <t>カワゴエ</t>
    </rPh>
    <phoneticPr fontId="13"/>
  </si>
  <si>
    <t>地図SD(車内)保証書 取説 ﾜﾝｵｰﾅｰ 印鑑証明7/2まで</t>
    <rPh sb="0" eb="2">
      <t>チズ</t>
    </rPh>
    <rPh sb="5" eb="7">
      <t>シャナイ</t>
    </rPh>
    <rPh sb="8" eb="11">
      <t>ホショウショ</t>
    </rPh>
    <rPh sb="12" eb="14">
      <t>トリセツ</t>
    </rPh>
    <rPh sb="22" eb="26">
      <t>インカンショウメイ</t>
    </rPh>
    <phoneticPr fontId="13"/>
  </si>
  <si>
    <t>鹿児島 339 せ 1202</t>
    <rPh sb="0" eb="3">
      <t>カゴシマ</t>
    </rPh>
    <phoneticPr fontId="13"/>
  </si>
  <si>
    <t>八色 琴美</t>
    <rPh sb="0" eb="2">
      <t>ヤイロ</t>
    </rPh>
    <rPh sb="3" eb="5">
      <t>コトミ</t>
    </rPh>
    <phoneticPr fontId="13"/>
  </si>
  <si>
    <t>保証書 ﾜﾝｵｰﾅｰ 印鑑証明6/30まで</t>
    <rPh sb="0" eb="3">
      <t>ホショウショ</t>
    </rPh>
    <rPh sb="11" eb="15">
      <t>インカンショウメイ</t>
    </rPh>
    <phoneticPr fontId="13"/>
  </si>
  <si>
    <t>三河 503 す 2876</t>
    <rPh sb="0" eb="2">
      <t>ミカワ</t>
    </rPh>
    <phoneticPr fontId="13"/>
  </si>
  <si>
    <t>広島 300 り 7975</t>
    <rPh sb="0" eb="2">
      <t>ヒロシマ</t>
    </rPh>
    <phoneticPr fontId="13"/>
  </si>
  <si>
    <t>有限会社広和ｵｰﾄ</t>
    <rPh sb="0" eb="4">
      <t>ユウゲンガイシャ</t>
    </rPh>
    <rPh sb="4" eb="5">
      <t>ヒロ</t>
    </rPh>
    <rPh sb="5" eb="6">
      <t>ワ</t>
    </rPh>
    <phoneticPr fontId="13"/>
  </si>
  <si>
    <t>大阪 590 ろ 1140</t>
    <rPh sb="0" eb="2">
      <t>オオサカ</t>
    </rPh>
    <phoneticPr fontId="13"/>
  </si>
  <si>
    <t>ｼﾞｭﾘｰｽﾞｵｰﾄ合同会社</t>
    <rPh sb="10" eb="14">
      <t>ゴウドウカイシャ</t>
    </rPh>
    <phoneticPr fontId="13"/>
  </si>
  <si>
    <t>春日部 586 ろ 9853</t>
    <rPh sb="0" eb="3">
      <t>カスカベ</t>
    </rPh>
    <phoneticPr fontId="13"/>
  </si>
  <si>
    <t xml:space="preserve">保証書 取説 SD </t>
    <rPh sb="0" eb="3">
      <t>ホショウショ</t>
    </rPh>
    <rPh sb="4" eb="6">
      <t>トリセツ</t>
    </rPh>
    <phoneticPr fontId="13"/>
  </si>
  <si>
    <t>保証書　取説　SD　B-CASｶｰﾄﾞ　ﾜﾝｵｰﾅｰ</t>
    <phoneticPr fontId="13"/>
  </si>
  <si>
    <t>高知 340 さ 17</t>
    <rPh sb="0" eb="2">
      <t>コウチ</t>
    </rPh>
    <phoneticPr fontId="13"/>
  </si>
  <si>
    <t>神戸 319 ら 8080</t>
    <rPh sb="0" eb="2">
      <t>コウベ</t>
    </rPh>
    <phoneticPr fontId="13"/>
  </si>
  <si>
    <t>佐世保 300 に 4995</t>
    <rPh sb="0" eb="3">
      <t>サセボ</t>
    </rPh>
    <phoneticPr fontId="13"/>
  </si>
  <si>
    <t>株式会社EXJP.Limited</t>
    <rPh sb="0" eb="4">
      <t>カブシキガイシャ</t>
    </rPh>
    <phoneticPr fontId="13"/>
  </si>
  <si>
    <t>愛媛 400 わ 7273</t>
    <rPh sb="0" eb="2">
      <t>エヒメ</t>
    </rPh>
    <phoneticPr fontId="13"/>
  </si>
  <si>
    <t>保証書 取説 ｽﾍﾟｱｷｰ ﾏｲｸﾛSD</t>
    <rPh sb="0" eb="3">
      <t>ホショウショ</t>
    </rPh>
    <rPh sb="4" eb="6">
      <t>トリセツ</t>
    </rPh>
    <phoneticPr fontId="13"/>
  </si>
  <si>
    <t>中村 莉都子</t>
    <rPh sb="0" eb="2">
      <t>ナカムラ</t>
    </rPh>
    <rPh sb="3" eb="4">
      <t>マリ</t>
    </rPh>
    <rPh sb="4" eb="6">
      <t>ミヤコ</t>
    </rPh>
    <phoneticPr fontId="13"/>
  </si>
  <si>
    <t>取説 ﾅﾋﾞ取 ｷｰﾚｽ ﾜﾝｵｰﾅｰ</t>
    <rPh sb="0" eb="2">
      <t>トリセツ</t>
    </rPh>
    <rPh sb="6" eb="7">
      <t>トリ</t>
    </rPh>
    <phoneticPr fontId="13"/>
  </si>
  <si>
    <t>北 航太郎</t>
    <rPh sb="0" eb="1">
      <t>キタ</t>
    </rPh>
    <rPh sb="2" eb="3">
      <t>コウ</t>
    </rPh>
    <rPh sb="3" eb="5">
      <t>タロウ</t>
    </rPh>
    <phoneticPr fontId="13"/>
  </si>
  <si>
    <t>ﾏｲｸﾛ地図SD(車内)保証書 取説 ｷｰﾚｽ ﾅﾋﾞ取 印鑑証明6/29</t>
    <rPh sb="4" eb="6">
      <t>チズ</t>
    </rPh>
    <rPh sb="12" eb="15">
      <t>ホショウショ</t>
    </rPh>
    <rPh sb="16" eb="18">
      <t>トリセツ</t>
    </rPh>
    <rPh sb="27" eb="28">
      <t>トリ</t>
    </rPh>
    <rPh sb="29" eb="33">
      <t>インカンショウメイ</t>
    </rPh>
    <phoneticPr fontId="13"/>
  </si>
  <si>
    <t>保証書 取説 ｶｰﾄﾞｷｰ(車内)</t>
    <rPh sb="0" eb="3">
      <t>ホショウショ</t>
    </rPh>
    <rPh sb="4" eb="6">
      <t>トリセツ</t>
    </rPh>
    <phoneticPr fontId="13"/>
  </si>
  <si>
    <t>横浜 335 ま 2728</t>
    <rPh sb="0" eb="2">
      <t>ヨコハマ</t>
    </rPh>
    <phoneticPr fontId="13"/>
  </si>
  <si>
    <t>三重 350 め 515</t>
    <rPh sb="0" eb="2">
      <t>ミエ</t>
    </rPh>
    <phoneticPr fontId="13"/>
  </si>
  <si>
    <t>大阪 335 た 6788</t>
    <rPh sb="0" eb="2">
      <t>オオサカ</t>
    </rPh>
    <phoneticPr fontId="13"/>
  </si>
  <si>
    <t>取説 ｶｰﾄﾞｷｰ(車内)保証書</t>
    <rPh sb="0" eb="2">
      <t>トリセツ</t>
    </rPh>
    <rPh sb="13" eb="16">
      <t>ホショウショ</t>
    </rPh>
    <phoneticPr fontId="13"/>
  </si>
  <si>
    <t>伊勢志摩 580 ろ 8535</t>
    <rPh sb="0" eb="4">
      <t>イセシマ</t>
    </rPh>
    <phoneticPr fontId="13"/>
  </si>
  <si>
    <t>株式会社UNO</t>
    <rPh sb="0" eb="4">
      <t>カブシキガイシャ</t>
    </rPh>
    <phoneticPr fontId="13"/>
  </si>
  <si>
    <t>357 ま 32</t>
    <phoneticPr fontId="13"/>
  </si>
  <si>
    <t>ｷｬﾝｾﾙ返送5/8</t>
    <rPh sb="5" eb="7">
      <t>ヘンソウ</t>
    </rPh>
    <phoneticPr fontId="13"/>
  </si>
  <si>
    <t>301ね 8385</t>
    <phoneticPr fontId="13"/>
  </si>
  <si>
    <t>A349032</t>
    <phoneticPr fontId="13"/>
  </si>
  <si>
    <t>JB74W-235296</t>
    <phoneticPr fontId="13"/>
  </si>
  <si>
    <t>A348411</t>
    <phoneticPr fontId="13"/>
  </si>
  <si>
    <t>ﾏﾂﾀﾞ CX8 XD Lﾊﾟｯｹｰｼﾞ</t>
    <phoneticPr fontId="13"/>
  </si>
  <si>
    <t>KG2P-100437</t>
    <phoneticPr fontId="13"/>
  </si>
  <si>
    <t>A348664</t>
    <phoneticPr fontId="13"/>
  </si>
  <si>
    <t>ｳﾞｪﾙﾌｧｲｱ 2.5Z Gｴﾃﾞｨｼｮﾝ</t>
    <phoneticPr fontId="13"/>
  </si>
  <si>
    <t>AGH30-0265647</t>
    <phoneticPr fontId="13"/>
  </si>
  <si>
    <t>A350176</t>
    <phoneticPr fontId="13"/>
  </si>
  <si>
    <t>ﾏﾂﾀﾞ CX8 25S Lﾊﾟｯｹｰｼﾞ</t>
    <phoneticPr fontId="13"/>
  </si>
  <si>
    <t>KG5P-252458</t>
    <phoneticPr fontId="13"/>
  </si>
  <si>
    <t>A349653</t>
    <phoneticPr fontId="13"/>
  </si>
  <si>
    <t>ｿﾘｵﾊﾞﾝﾃﾞｨｯﾄ ﾊｲﾌﾞﾘｯﾄﾞ MV</t>
    <phoneticPr fontId="13"/>
  </si>
  <si>
    <t>MA36S-788443</t>
    <phoneticPr fontId="13"/>
  </si>
  <si>
    <t>A349776</t>
    <phoneticPr fontId="13"/>
  </si>
  <si>
    <t>ｺﾍﾟﾝ ｴｸｽﾌﾟﾚｲ</t>
    <phoneticPr fontId="13"/>
  </si>
  <si>
    <t>LA400K-0024029</t>
    <phoneticPr fontId="13"/>
  </si>
  <si>
    <t>A348635</t>
    <phoneticPr fontId="13"/>
  </si>
  <si>
    <t>WAUZZZ8X9GB052774</t>
    <phoneticPr fontId="13"/>
  </si>
  <si>
    <t>A349864</t>
    <phoneticPr fontId="13"/>
  </si>
  <si>
    <t>NV100ｸﾘｯﾊﾟｰﾊﾞﾝ　GXﾀｰﾎﾞ</t>
    <phoneticPr fontId="13"/>
  </si>
  <si>
    <t>DR17V-854110</t>
    <phoneticPr fontId="13"/>
  </si>
  <si>
    <t>A349755</t>
    <phoneticPr fontId="13"/>
  </si>
  <si>
    <t>LA650S-0322731</t>
    <phoneticPr fontId="13"/>
  </si>
  <si>
    <t>A349289</t>
    <phoneticPr fontId="13"/>
  </si>
  <si>
    <t>ﾎﾝﾀﾞ eｱﾄﾞﾊﾞﾝｽ</t>
    <phoneticPr fontId="13"/>
  </si>
  <si>
    <t>A347796</t>
    <phoneticPr fontId="13"/>
  </si>
  <si>
    <t>ｽﾊﾞﾙ ﾌｫﾚｽﾀｰ 2.0X ｱｲｻｲﾄ</t>
    <phoneticPr fontId="13"/>
  </si>
  <si>
    <t>SJG-010132</t>
    <phoneticPr fontId="13"/>
  </si>
  <si>
    <t>ﾀﾞｰｸｸﾞﾚｰ</t>
    <phoneticPr fontId="13"/>
  </si>
  <si>
    <t>301 の 896</t>
    <phoneticPr fontId="13"/>
  </si>
  <si>
    <t>582 う 8925</t>
    <phoneticPr fontId="13"/>
  </si>
  <si>
    <t>480 ね 6034</t>
    <phoneticPr fontId="13"/>
  </si>
  <si>
    <t>582 う 8924</t>
    <phoneticPr fontId="13"/>
  </si>
  <si>
    <t>A328041</t>
    <phoneticPr fontId="13"/>
  </si>
  <si>
    <t>27-4411</t>
  </si>
  <si>
    <t>27-4412</t>
  </si>
  <si>
    <t>27-4413</t>
  </si>
  <si>
    <t>27-4414</t>
  </si>
  <si>
    <t>27-4415</t>
  </si>
  <si>
    <t>27-4416</t>
  </si>
  <si>
    <t>27-4417</t>
  </si>
  <si>
    <t>27-4418</t>
  </si>
  <si>
    <t>27-4419</t>
  </si>
  <si>
    <t>27-4420</t>
  </si>
  <si>
    <t>27-4421</t>
  </si>
  <si>
    <t>27-4422</t>
  </si>
  <si>
    <t>JF3-2044993</t>
    <phoneticPr fontId="13"/>
  </si>
  <si>
    <t>N-BOXｶｽﾀﾑ G･EXﾀｰﾎﾞﾎﾝﾀﾞｾﾝｼﾝｸﾞ</t>
    <phoneticPr fontId="13"/>
  </si>
  <si>
    <t>MK53S-946562</t>
    <phoneticPr fontId="13"/>
  </si>
  <si>
    <t>品川 5X4 ろ 2206</t>
    <rPh sb="0" eb="2">
      <t>シナガワ</t>
    </rPh>
    <phoneticPr fontId="13"/>
  </si>
  <si>
    <t>品川 5X4 ろ 2959</t>
    <rPh sb="0" eb="2">
      <t>シナガワ</t>
    </rPh>
    <phoneticPr fontId="13"/>
  </si>
  <si>
    <t>山梨 530 ひ 8128</t>
    <rPh sb="0" eb="2">
      <t>ヤマナシ</t>
    </rPh>
    <phoneticPr fontId="13"/>
  </si>
  <si>
    <t>横浜 39A る 7267</t>
    <rPh sb="0" eb="2">
      <t>ヨコハマ</t>
    </rPh>
    <phoneticPr fontId="13"/>
  </si>
  <si>
    <t>ﾏｰｸX ﾌﾟﾚﾐｱﾑ</t>
    <phoneticPr fontId="13"/>
  </si>
  <si>
    <t>GRX130-6094045</t>
    <phoneticPr fontId="13"/>
  </si>
  <si>
    <t>ｱﾙﾌｧｰﾄﾞ 2.5S Cﾊﾟｯｹｰｼﾞ</t>
    <phoneticPr fontId="13"/>
  </si>
  <si>
    <t>AGH30-0194139</t>
    <phoneticPr fontId="13"/>
  </si>
  <si>
    <t>AGH35-0029141</t>
    <phoneticPr fontId="13"/>
  </si>
  <si>
    <t>ZC33S-122402</t>
    <phoneticPr fontId="13"/>
  </si>
  <si>
    <t>MN71S-152479</t>
    <phoneticPr fontId="13"/>
  </si>
  <si>
    <t xml:space="preserve">ﾌﾟﾘｳｽ U </t>
    <phoneticPr fontId="13"/>
  </si>
  <si>
    <t>ZVW65-4000701</t>
    <phoneticPr fontId="13"/>
  </si>
  <si>
    <t>MXWH60-4007135</t>
    <phoneticPr fontId="13"/>
  </si>
  <si>
    <t>S321V-0484912</t>
    <phoneticPr fontId="13"/>
  </si>
  <si>
    <t>神戸 480 み 935</t>
    <rPh sb="0" eb="2">
      <t>コウベ</t>
    </rPh>
    <phoneticPr fontId="13"/>
  </si>
  <si>
    <t>ﾊｲｾﾞｯﾄｶｰｺﾞ DX  SA3</t>
    <phoneticPr fontId="13"/>
  </si>
  <si>
    <t>S321V-0479503</t>
    <phoneticPr fontId="13"/>
  </si>
  <si>
    <t>岡山 480 な 289</t>
    <rPh sb="0" eb="2">
      <t>オカヤマ</t>
    </rPh>
    <phoneticPr fontId="13"/>
  </si>
  <si>
    <t>WVWZZZ16ZEM659118</t>
    <phoneticPr fontId="13"/>
  </si>
  <si>
    <t>27-4423</t>
  </si>
  <si>
    <t>BMWﾐﾆ JCWｸﾗﾌﾞﾏﾝ GPｲﾝｽﾊﾟｲｱｰﾄﾞ</t>
    <phoneticPr fontId="13"/>
  </si>
  <si>
    <t>WMWJZ920102N23816</t>
    <phoneticPr fontId="13"/>
  </si>
  <si>
    <t>27-4424</t>
  </si>
  <si>
    <t>27-4425</t>
  </si>
  <si>
    <t>27-4426</t>
  </si>
  <si>
    <t>27-4427</t>
  </si>
  <si>
    <t>27-4428</t>
  </si>
  <si>
    <t>27-4429</t>
  </si>
  <si>
    <t>27-4430</t>
  </si>
  <si>
    <t>27-4431</t>
  </si>
  <si>
    <t>27-4432</t>
  </si>
  <si>
    <t>27-4433</t>
  </si>
  <si>
    <t>27-4434</t>
  </si>
  <si>
    <t>WBAYH52090EB37169</t>
    <phoneticPr fontId="13"/>
  </si>
  <si>
    <t>株式会社ﾎﾝﾀﾞﾓﾋﾞﾘﾃｨ近畿</t>
    <rPh sb="0" eb="4">
      <t>カブシキガイシャ</t>
    </rPh>
    <rPh sb="14" eb="16">
      <t>キンキ</t>
    </rPh>
    <phoneticPr fontId="13"/>
  </si>
  <si>
    <t>5/10</t>
    <phoneticPr fontId="13"/>
  </si>
  <si>
    <t>品川 49A た 323</t>
    <rPh sb="0" eb="2">
      <t>シナガワ</t>
    </rPh>
    <phoneticPr fontId="13"/>
  </si>
  <si>
    <t>ﾄﾖﾀﾓﾋﾞﾘﾃｨｻｰﾋﾞｽ株式会社</t>
    <rPh sb="14" eb="18">
      <t>カブシキガイシャ</t>
    </rPh>
    <phoneticPr fontId="13"/>
  </si>
  <si>
    <t>多摩 581 い 8591</t>
    <rPh sb="0" eb="2">
      <t>タマ</t>
    </rPh>
    <phoneticPr fontId="13"/>
  </si>
  <si>
    <t>黒崎 充博</t>
    <rPh sb="0" eb="2">
      <t>クロサキ</t>
    </rPh>
    <rPh sb="3" eb="4">
      <t>ミツ</t>
    </rPh>
    <rPh sb="4" eb="5">
      <t>ヒロシ</t>
    </rPh>
    <phoneticPr fontId="13"/>
  </si>
  <si>
    <t>VR7ECYHZRMJ884959</t>
    <phoneticPr fontId="13"/>
  </si>
  <si>
    <t>なにわ 39A ゆ 7248</t>
    <phoneticPr fontId="13"/>
  </si>
  <si>
    <t>福岡 348 り 1217</t>
    <rPh sb="0" eb="2">
      <t>フクオカ</t>
    </rPh>
    <phoneticPr fontId="13"/>
  </si>
  <si>
    <t>株式会社ﾎﾝﾀﾞﾓﾋﾞﾘﾃｨ九州</t>
    <rPh sb="0" eb="4">
      <t>カブシキガイシャ</t>
    </rPh>
    <rPh sb="14" eb="16">
      <t>キュウシュウ</t>
    </rPh>
    <phoneticPr fontId="13"/>
  </si>
  <si>
    <t>ZFA3120000J465445</t>
    <phoneticPr fontId="13"/>
  </si>
  <si>
    <t>香川 501 つ 7043</t>
    <rPh sb="0" eb="2">
      <t>カガワ</t>
    </rPh>
    <phoneticPr fontId="13"/>
  </si>
  <si>
    <t>株式会社ﾎﾝﾀﾞﾓﾋﾞﾘﾃｨ中四国</t>
    <rPh sb="0" eb="4">
      <t>カブシキガイシャ</t>
    </rPh>
    <rPh sb="14" eb="15">
      <t>ナカ</t>
    </rPh>
    <rPh sb="15" eb="17">
      <t>シコク</t>
    </rPh>
    <phoneticPr fontId="13"/>
  </si>
  <si>
    <t>VYFECYHZ3PJ775831</t>
    <phoneticPr fontId="13"/>
  </si>
  <si>
    <t>広島 330 ま 1753</t>
    <rPh sb="0" eb="2">
      <t>ヒロシマ</t>
    </rPh>
    <phoneticPr fontId="13"/>
  </si>
  <si>
    <t>株式会社ﾎﾝﾀﾞﾓﾋﾞﾘﾃｨ中四国</t>
    <rPh sb="0" eb="4">
      <t>カブシキガイシャ</t>
    </rPh>
    <rPh sb="14" eb="17">
      <t>ナカシコク</t>
    </rPh>
    <phoneticPr fontId="13"/>
  </si>
  <si>
    <t>徳島 581 ろ 3593</t>
    <rPh sb="0" eb="2">
      <t>トクシマ</t>
    </rPh>
    <phoneticPr fontId="13"/>
  </si>
  <si>
    <t>ﾈｯﾂﾄﾖﾀ徳島株式会社</t>
    <rPh sb="6" eb="8">
      <t>トクシマ</t>
    </rPh>
    <rPh sb="8" eb="12">
      <t>カブシキガイシャ</t>
    </rPh>
    <phoneticPr fontId="13"/>
  </si>
  <si>
    <t>品川 49A た 4306</t>
    <rPh sb="0" eb="2">
      <t>シナガワ</t>
    </rPh>
    <phoneticPr fontId="13"/>
  </si>
  <si>
    <t>品川 49A た 4975</t>
    <rPh sb="0" eb="2">
      <t>シナガワ</t>
    </rPh>
    <phoneticPr fontId="13"/>
  </si>
  <si>
    <t>ﾎﾝﾀﾞ名古屋</t>
    <rPh sb="4" eb="7">
      <t>ナゴヤ</t>
    </rPh>
    <phoneticPr fontId="13"/>
  </si>
  <si>
    <t>25/3</t>
    <phoneticPr fontId="13"/>
  </si>
  <si>
    <t>ｱｳﾃﾞｨ TTｸｰﾍﾟ 1.8 TFSI</t>
    <phoneticPr fontId="13"/>
  </si>
  <si>
    <t>10/3</t>
    <phoneticPr fontId="13"/>
  </si>
  <si>
    <t>三重 330 ほ 3778</t>
    <rPh sb="0" eb="2">
      <t>ミエ</t>
    </rPh>
    <phoneticPr fontId="13"/>
  </si>
  <si>
    <t>ﾅﾝﾊﾞｰ 保証書なしｸﾚｰﾑ済</t>
    <rPh sb="6" eb="9">
      <t>ホショウショ</t>
    </rPh>
    <rPh sb="15" eb="16">
      <t>ズ</t>
    </rPh>
    <phoneticPr fontId="13"/>
  </si>
  <si>
    <t>書類戻り4/19 SDなし HAに返送</t>
    <rPh sb="0" eb="2">
      <t>ショルイ</t>
    </rPh>
    <rPh sb="2" eb="3">
      <t>モド</t>
    </rPh>
    <rPh sb="17" eb="19">
      <t>ヘンソウ</t>
    </rPh>
    <phoneticPr fontId="13"/>
  </si>
  <si>
    <t>CAN</t>
    <phoneticPr fontId="13"/>
  </si>
  <si>
    <t>ｷｬﾝｾﾙ</t>
    <phoneticPr fontId="13"/>
  </si>
  <si>
    <t>保証書(ﾃﾞｨﾗｰ印なしOK)取説 ｷｰﾚｽ</t>
    <rPh sb="0" eb="3">
      <t>ホショウショ</t>
    </rPh>
    <rPh sb="9" eb="10">
      <t>イン</t>
    </rPh>
    <rPh sb="15" eb="17">
      <t>トリセツ</t>
    </rPh>
    <phoneticPr fontId="13"/>
  </si>
  <si>
    <t>保証書出品注意(整備手帳)</t>
    <rPh sb="0" eb="3">
      <t>ホショウショ</t>
    </rPh>
    <rPh sb="3" eb="5">
      <t>シュッピン</t>
    </rPh>
    <rPh sb="5" eb="7">
      <t>チュウイ</t>
    </rPh>
    <rPh sb="8" eb="12">
      <t>セイビテチョウ</t>
    </rPh>
    <phoneticPr fontId="13"/>
  </si>
  <si>
    <t>ﾎﾝﾀﾞ名古屋(まとめ)</t>
    <rPh sb="4" eb="7">
      <t>ナゴヤ</t>
    </rPh>
    <phoneticPr fontId="13"/>
  </si>
  <si>
    <t>ｵｰｸﾈｯﾄ</t>
    <phoneticPr fontId="13"/>
  </si>
  <si>
    <t>4/2</t>
    <phoneticPr fontId="13"/>
  </si>
  <si>
    <t>黒</t>
    <rPh sb="0" eb="1">
      <t>クロ</t>
    </rPh>
    <phoneticPr fontId="13"/>
  </si>
  <si>
    <t>ﾐﾗｲｰｽ G ﾘﾐﾃｯﾄﾞSA3</t>
    <phoneticPr fontId="13"/>
  </si>
  <si>
    <t>LA350S-0298026</t>
    <phoneticPr fontId="13"/>
  </si>
  <si>
    <t>9/2</t>
    <phoneticPr fontId="13"/>
  </si>
  <si>
    <t>神戸 587 は 813</t>
    <rPh sb="0" eb="2">
      <t>コウベ</t>
    </rPh>
    <phoneticPr fontId="13"/>
  </si>
  <si>
    <t>保証書 取説</t>
    <rPh sb="0" eb="3">
      <t>ホショウショ</t>
    </rPh>
    <rPh sb="4" eb="6">
      <t>トリセツ</t>
    </rPh>
    <phoneticPr fontId="13"/>
  </si>
  <si>
    <t>29/6</t>
    <phoneticPr fontId="13"/>
  </si>
  <si>
    <t>ｺﾞｰﾙﾄﾞ</t>
    <phoneticPr fontId="13"/>
  </si>
  <si>
    <t>VW ｺﾞﾙﾌ TSい ﾊｲﾗｲﾝ</t>
    <phoneticPr fontId="13"/>
  </si>
  <si>
    <t>WVWZZZAUZHW345998</t>
    <phoneticPr fontId="13"/>
  </si>
  <si>
    <t xml:space="preserve">ｽﾏｰﾄｷｰ車内確認する 保証書 取説 </t>
    <rPh sb="13" eb="16">
      <t>ホショウショ</t>
    </rPh>
    <rPh sb="17" eb="19">
      <t>トリセツ</t>
    </rPh>
    <phoneticPr fontId="13"/>
  </si>
  <si>
    <t>ｼﾞｰﾌﾟ ｺﾝﾊﾟｽ 4ED LTD</t>
    <phoneticPr fontId="13"/>
  </si>
  <si>
    <t>MCANJRCB8PFA98639</t>
    <phoneticPr fontId="13"/>
  </si>
  <si>
    <t>福岡 303 ま 8714</t>
    <rPh sb="0" eb="2">
      <t>フクオカ</t>
    </rPh>
    <phoneticPr fontId="13"/>
  </si>
  <si>
    <t>3/6</t>
    <phoneticPr fontId="13"/>
  </si>
  <si>
    <t>赤</t>
    <rPh sb="0" eb="1">
      <t>アカ</t>
    </rPh>
    <phoneticPr fontId="13"/>
  </si>
  <si>
    <t>ｼﾞｰﾌﾟ ﾚﾈｹﾞｰﾄﾞ ﾘﾐﾃｯﾄﾞ</t>
    <phoneticPr fontId="13"/>
  </si>
  <si>
    <t>1C4NJCD13MPM85139</t>
    <phoneticPr fontId="13"/>
  </si>
  <si>
    <t>整備手帳 取説</t>
    <rPh sb="0" eb="4">
      <t>セイビテチョウ</t>
    </rPh>
    <rPh sb="5" eb="7">
      <t>トリセツ</t>
    </rPh>
    <phoneticPr fontId="13"/>
  </si>
  <si>
    <t>HAA神戸(ﾜﾝｸﾘ)</t>
    <rPh sb="3" eb="5">
      <t>コウベ</t>
    </rPh>
    <phoneticPr fontId="13"/>
  </si>
  <si>
    <t>HAA神戸(ﾜﾝｸﾘ)</t>
    <phoneticPr fontId="13"/>
  </si>
  <si>
    <t>USS神戸(ﾜﾝｸﾘ)</t>
    <rPh sb="3" eb="5">
      <t>コウベ</t>
    </rPh>
    <phoneticPr fontId="13"/>
  </si>
  <si>
    <t>USS神戸(ﾜﾝｸﾘ)</t>
    <phoneticPr fontId="13"/>
  </si>
  <si>
    <t>4/5</t>
    <phoneticPr fontId="13"/>
  </si>
  <si>
    <t>ｵﾚﾝｼﾞ</t>
    <phoneticPr fontId="13"/>
  </si>
  <si>
    <t>ﾊｽﾗｰ ﾊｲﾌﾞﾘｯﾄﾞG</t>
    <phoneticPr fontId="13"/>
  </si>
  <si>
    <t>MR92S-228782</t>
    <phoneticPr fontId="13"/>
  </si>
  <si>
    <t>ﾚﾝﾀｶｰ</t>
    <phoneticPr fontId="13"/>
  </si>
  <si>
    <t>27/6</t>
    <phoneticPr fontId="13"/>
  </si>
  <si>
    <t>白</t>
    <rPh sb="0" eb="1">
      <t>シロ</t>
    </rPh>
    <phoneticPr fontId="13"/>
  </si>
  <si>
    <t>BMW 3ｼﾘｰｽﾞ ｾﾀﾞﾝ 320d ﾌﾞﾙｰﾊﾟﾌｫｰﾏﾝｽ</t>
    <phoneticPr fontId="13"/>
  </si>
  <si>
    <t>WBA3D36030NS48527</t>
    <phoneticPr fontId="13"/>
  </si>
  <si>
    <t>整備手帳 取説  ﾜﾝｵｰﾅｰ</t>
    <rPh sb="0" eb="4">
      <t>セイビテチョウ</t>
    </rPh>
    <rPh sb="5" eb="7">
      <t>トリセツ</t>
    </rPh>
    <phoneticPr fontId="13"/>
  </si>
  <si>
    <t>1/9</t>
    <phoneticPr fontId="13"/>
  </si>
  <si>
    <t>ﾎﾞﾙﾎﾞ V40 D4 ｲﾝｽｸﾘﾌﾟｼｮﾝ</t>
    <phoneticPr fontId="13"/>
  </si>
  <si>
    <t>YV1MVA8RDK2555485</t>
    <phoneticPr fontId="13"/>
  </si>
  <si>
    <t>8/9</t>
    <phoneticPr fontId="13"/>
  </si>
  <si>
    <t>大阪 356 た 130</t>
    <rPh sb="0" eb="2">
      <t>オオサカ</t>
    </rPh>
    <phoneticPr fontId="13"/>
  </si>
  <si>
    <t>保証書 取説 Ｓｷｰ ﾜﾝｵｰﾅｰ 名変期限6/14まで</t>
    <rPh sb="0" eb="3">
      <t>ホショウショ</t>
    </rPh>
    <rPh sb="4" eb="6">
      <t>トリセツ</t>
    </rPh>
    <rPh sb="18" eb="22">
      <t>メイヘンキゲン</t>
    </rPh>
    <phoneticPr fontId="13"/>
  </si>
  <si>
    <t>ﾎﾝﾀﾞ関西(まとめ)</t>
    <rPh sb="4" eb="6">
      <t>カンサイ</t>
    </rPh>
    <phoneticPr fontId="13"/>
  </si>
  <si>
    <t>26/4</t>
    <phoneticPr fontId="13"/>
  </si>
  <si>
    <t>ｱｳﾃﾞｨ A5 ｽﾎﾟｰﾂﾊﾞｯｸ2.0TFSI</t>
    <phoneticPr fontId="13"/>
  </si>
  <si>
    <t>Sellca</t>
    <phoneticPr fontId="13"/>
  </si>
  <si>
    <t>A400953</t>
    <phoneticPr fontId="13"/>
  </si>
  <si>
    <t>5/4</t>
    <phoneticPr fontId="13"/>
  </si>
  <si>
    <t>ﾏﾂﾀﾞ CX5 25S ｽﾎﾟｰﾂｱﾋﾟｱﾗﾝｽ</t>
    <phoneticPr fontId="13"/>
  </si>
  <si>
    <t>10/4</t>
    <phoneticPr fontId="13"/>
  </si>
  <si>
    <t>KF5P-550895</t>
    <phoneticPr fontId="13"/>
  </si>
  <si>
    <t>ﾈｲﾋﾞｰ</t>
    <phoneticPr fontId="13"/>
  </si>
  <si>
    <t>予定</t>
    <phoneticPr fontId="13"/>
  </si>
  <si>
    <t>30/5</t>
    <phoneticPr fontId="13"/>
  </si>
  <si>
    <t>ｼﾄﾛｴﾝ　ｸﾞﾗﾝﾄﾞC4　ｽﾍﾟｰｽ ｼｬｲﾝﾌﾞﾙｰ</t>
    <phoneticPr fontId="13"/>
  </si>
  <si>
    <t>9/5</t>
    <phoneticPr fontId="13"/>
  </si>
  <si>
    <t>三河 302 た 5617</t>
    <rPh sb="0" eb="2">
      <t>ミカワ</t>
    </rPh>
    <phoneticPr fontId="13"/>
  </si>
  <si>
    <t>保証書 取説 ﾅﾋﾞ取説 ｽﾏｰﾄｷｰ</t>
    <rPh sb="0" eb="3">
      <t>ホショウショ</t>
    </rPh>
    <rPh sb="4" eb="6">
      <t>トリセツ</t>
    </rPh>
    <rPh sb="10" eb="12">
      <t>トリセツ</t>
    </rPh>
    <phoneticPr fontId="13"/>
  </si>
  <si>
    <t>山梨 336 ね 703</t>
    <rPh sb="0" eb="2">
      <t>ヤマナシ</t>
    </rPh>
    <phoneticPr fontId="13"/>
  </si>
  <si>
    <t>ﾈｯﾂﾄﾖﾀ千葉株式会社</t>
    <rPh sb="6" eb="8">
      <t>チバ</t>
    </rPh>
    <rPh sb="8" eb="12">
      <t>カブシキガイシャ</t>
    </rPh>
    <phoneticPr fontId="13"/>
  </si>
  <si>
    <t>保証書 取説 ｷｰﾚｽ 印鑑証明7/22</t>
    <rPh sb="0" eb="3">
      <t>ホショウショ</t>
    </rPh>
    <rPh sb="4" eb="6">
      <t>トリセツ</t>
    </rPh>
    <rPh sb="12" eb="16">
      <t>インカンショウメイ</t>
    </rPh>
    <phoneticPr fontId="13"/>
  </si>
  <si>
    <t>抹消</t>
    <rPh sb="0" eb="2">
      <t>マッショウ</t>
    </rPh>
    <phoneticPr fontId="13"/>
  </si>
  <si>
    <t>ﾚﾝﾀｶｰﾌｧｲﾙ⑧にあり</t>
    <phoneticPr fontId="13"/>
  </si>
  <si>
    <t>480 ね 6063</t>
    <phoneticPr fontId="13"/>
  </si>
  <si>
    <t>301 の 964</t>
    <phoneticPr fontId="13"/>
  </si>
  <si>
    <t>501 ゆ 6479</t>
    <phoneticPr fontId="13"/>
  </si>
  <si>
    <t>27-4435</t>
  </si>
  <si>
    <t>27-4436</t>
  </si>
  <si>
    <t>27-4437</t>
  </si>
  <si>
    <t>27-4438</t>
  </si>
  <si>
    <t>27-4439</t>
  </si>
  <si>
    <t>27-4440</t>
  </si>
  <si>
    <t>27-4441</t>
  </si>
  <si>
    <t>27-4442</t>
  </si>
  <si>
    <t>27-4443</t>
  </si>
  <si>
    <t>27-4444</t>
  </si>
  <si>
    <t>27-4445</t>
  </si>
  <si>
    <t>神戸 587 ま 301</t>
    <rPh sb="0" eb="2">
      <t>コウベ</t>
    </rPh>
    <phoneticPr fontId="13"/>
  </si>
  <si>
    <t>有限会社ｸﾗﾌﾄふじい</t>
    <rPh sb="0" eb="4">
      <t>ユウゲンガイシャ</t>
    </rPh>
    <phoneticPr fontId="13"/>
  </si>
  <si>
    <t>あいおいニッセイ同和損害保険株式会社</t>
    <rPh sb="8" eb="14">
      <t>ドウワソンガイホケン</t>
    </rPh>
    <rPh sb="14" eb="18">
      <t>カブシキガイシャ</t>
    </rPh>
    <phoneticPr fontId="13"/>
  </si>
  <si>
    <t>福井 300 ひ 1010</t>
    <rPh sb="0" eb="2">
      <t>フクイ</t>
    </rPh>
    <phoneticPr fontId="13"/>
  </si>
  <si>
    <t>株式会社ﾊｾｶﾞﾜﾌﾞﾗｻﾞｰｽﾞ</t>
    <rPh sb="0" eb="4">
      <t>カブシキガイシャ</t>
    </rPh>
    <phoneticPr fontId="13"/>
  </si>
  <si>
    <t>滋賀 502 た 9538</t>
    <rPh sb="0" eb="2">
      <t>シガ</t>
    </rPh>
    <phoneticPr fontId="13"/>
  </si>
  <si>
    <t>有限会社間田自動車</t>
    <rPh sb="0" eb="4">
      <t>ユウゲンガイシャ</t>
    </rPh>
    <rPh sb="4" eb="5">
      <t>ハザマ</t>
    </rPh>
    <rPh sb="5" eb="6">
      <t>ダ</t>
    </rPh>
    <rPh sb="6" eb="9">
      <t>ジドウシャ</t>
    </rPh>
    <phoneticPr fontId="13"/>
  </si>
  <si>
    <t>京都 589 ろ 3666</t>
    <rPh sb="0" eb="2">
      <t>キョウト</t>
    </rPh>
    <phoneticPr fontId="13"/>
  </si>
  <si>
    <t xml:space="preserve">地図SD(車内)保証書 取説 ﾅﾋﾞ取説 </t>
    <rPh sb="0" eb="2">
      <t>チズ</t>
    </rPh>
    <rPh sb="8" eb="11">
      <t>ホショウショ</t>
    </rPh>
    <rPh sb="12" eb="14">
      <t>トリセツ</t>
    </rPh>
    <rPh sb="18" eb="20">
      <t>トリセツ</t>
    </rPh>
    <phoneticPr fontId="13"/>
  </si>
  <si>
    <t>石倉 和彦</t>
    <rPh sb="0" eb="2">
      <t>イシクラ</t>
    </rPh>
    <rPh sb="3" eb="5">
      <t>カズヒコ</t>
    </rPh>
    <phoneticPr fontId="13"/>
  </si>
  <si>
    <t>記録紙2枚(一緒に保管)</t>
    <rPh sb="0" eb="3">
      <t>キロクシ</t>
    </rPh>
    <rPh sb="4" eb="5">
      <t>マイ</t>
    </rPh>
    <rPh sb="6" eb="8">
      <t>イッショ</t>
    </rPh>
    <rPh sb="9" eb="11">
      <t>ホカン</t>
    </rPh>
    <phoneticPr fontId="13"/>
  </si>
  <si>
    <t>滋賀 480 せ 7812</t>
    <rPh sb="0" eb="2">
      <t>シガ</t>
    </rPh>
    <phoneticPr fontId="13"/>
  </si>
  <si>
    <t>杉浦 政明</t>
    <rPh sb="0" eb="2">
      <t>スギウラ</t>
    </rPh>
    <rPh sb="3" eb="5">
      <t>マサアキ</t>
    </rPh>
    <phoneticPr fontId="13"/>
  </si>
  <si>
    <t>ﾊﾞｯﾄ ﾏﾘｱ ﾖﾐｺ ｵｻﾞｷ</t>
    <phoneticPr fontId="13"/>
  </si>
  <si>
    <t>名古屋 582 に 9303</t>
    <rPh sb="0" eb="3">
      <t>ナゴヤ</t>
    </rPh>
    <phoneticPr fontId="13"/>
  </si>
  <si>
    <t>愛知ｽﾞｽﾞｷ販売株式会社</t>
    <rPh sb="0" eb="2">
      <t>アイチ</t>
    </rPh>
    <rPh sb="7" eb="9">
      <t>ハンバイ</t>
    </rPh>
    <rPh sb="9" eb="13">
      <t>カブシキガイシャ</t>
    </rPh>
    <phoneticPr fontId="13"/>
  </si>
  <si>
    <t>大宮 39A さ 9798</t>
    <rPh sb="0" eb="2">
      <t>オオミヤ</t>
    </rPh>
    <phoneticPr fontId="13"/>
  </si>
  <si>
    <t>株式会社ｱｼｬｰﾌﾟﾛｸﾞﾚｽ</t>
    <rPh sb="0" eb="4">
      <t>カブシキガイシャ</t>
    </rPh>
    <phoneticPr fontId="13"/>
  </si>
  <si>
    <t>5/13</t>
    <phoneticPr fontId="13"/>
  </si>
  <si>
    <t>岡山 583 く 8328</t>
    <rPh sb="0" eb="2">
      <t>オカヤマ</t>
    </rPh>
    <phoneticPr fontId="13"/>
  </si>
  <si>
    <t>広島 583 む 9090</t>
    <rPh sb="0" eb="2">
      <t>ヒロシマ</t>
    </rPh>
    <phoneticPr fontId="13"/>
  </si>
  <si>
    <t>岡山 586 ほ 6666</t>
    <rPh sb="0" eb="2">
      <t>オカヤマ</t>
    </rPh>
    <phoneticPr fontId="13"/>
  </si>
  <si>
    <t>福山 399 た 7728</t>
    <rPh sb="0" eb="2">
      <t>フクヤマ</t>
    </rPh>
    <phoneticPr fontId="13"/>
  </si>
  <si>
    <t>岡山 481 ろ 484</t>
    <rPh sb="0" eb="2">
      <t>オカヤマ</t>
    </rPh>
    <phoneticPr fontId="13"/>
  </si>
  <si>
    <t>福山 323 め 8000</t>
    <rPh sb="0" eb="2">
      <t>フクヤマ</t>
    </rPh>
    <phoneticPr fontId="13"/>
  </si>
  <si>
    <t>河本 幸江</t>
    <rPh sb="0" eb="2">
      <t>カワモト</t>
    </rPh>
    <rPh sb="3" eb="5">
      <t>サチエ</t>
    </rPh>
    <phoneticPr fontId="13"/>
  </si>
  <si>
    <t>市川 310 と 1984</t>
    <rPh sb="0" eb="2">
      <t>イチカワ</t>
    </rPh>
    <phoneticPr fontId="13"/>
  </si>
  <si>
    <t>小林 克太郎</t>
    <rPh sb="0" eb="2">
      <t>コバヤシ</t>
    </rPh>
    <rPh sb="3" eb="4">
      <t>カツ</t>
    </rPh>
    <rPh sb="4" eb="6">
      <t>タロウ</t>
    </rPh>
    <phoneticPr fontId="13"/>
  </si>
  <si>
    <r>
      <t>保証書 取説 ﾜﾝｵｰﾅｰ 印鑑証明7/1</t>
    </r>
    <r>
      <rPr>
        <sz val="11"/>
        <color rgb="FFFF0000"/>
        <rFont val="ＭＳ Ｐゴシック"/>
        <family val="3"/>
        <charset val="128"/>
        <scheme val="minor"/>
      </rPr>
      <t xml:space="preserve"> ｽﾍﾟｱｷｰ問い合わせ中</t>
    </r>
    <rPh sb="0" eb="3">
      <t>ホショウショ</t>
    </rPh>
    <rPh sb="4" eb="6">
      <t>トリセツ</t>
    </rPh>
    <phoneticPr fontId="13"/>
  </si>
  <si>
    <t>582 う 9152</t>
    <phoneticPr fontId="13"/>
  </si>
  <si>
    <t>LA350S-0343447</t>
    <phoneticPr fontId="13"/>
  </si>
  <si>
    <t>MK32S-832861</t>
    <phoneticPr fontId="13"/>
  </si>
  <si>
    <t>BMW1ｼﾘｰｽﾞ</t>
    <phoneticPr fontId="13"/>
  </si>
  <si>
    <t>NSP160-0067772</t>
    <phoneticPr fontId="13"/>
  </si>
  <si>
    <t>MH55S-278031</t>
    <phoneticPr fontId="13"/>
  </si>
  <si>
    <t>ﾌﾟﾛﾎﾞｯｸｽ　　ﾊｲﾌﾞﾘｯﾄﾞDXｺﾝﾌｫｰﾄ</t>
    <phoneticPr fontId="13"/>
  </si>
  <si>
    <t>NHP160-0027872</t>
    <phoneticPr fontId="13"/>
  </si>
  <si>
    <t>LA350S-0333154</t>
    <phoneticPr fontId="13"/>
  </si>
  <si>
    <t>NSP160-0072489</t>
    <phoneticPr fontId="13"/>
  </si>
  <si>
    <t>NCP160-0156228</t>
    <phoneticPr fontId="13"/>
  </si>
  <si>
    <t>MR52S-317615</t>
    <phoneticPr fontId="13"/>
  </si>
  <si>
    <t>ｽﾍﾟｰｼｱｶｽﾀﾑ　　ﾊｲﾌﾞﾘｯﾄﾞGS</t>
    <phoneticPr fontId="13"/>
  </si>
  <si>
    <t>MK53S-511967</t>
    <phoneticPr fontId="13"/>
  </si>
  <si>
    <t>BMW3ｼﾘｰｽﾞ</t>
    <phoneticPr fontId="13"/>
  </si>
  <si>
    <t>ZVW41-0057795</t>
    <phoneticPr fontId="13"/>
  </si>
  <si>
    <t>DA17V-865613</t>
    <phoneticPr fontId="13"/>
  </si>
  <si>
    <t>LA350S-0264457</t>
    <phoneticPr fontId="13"/>
  </si>
  <si>
    <t>MﾍﾞﾝﾂGLAｸﾗｽ</t>
    <phoneticPr fontId="13"/>
  </si>
  <si>
    <t>ZRR80-0119497</t>
    <phoneticPr fontId="13"/>
  </si>
  <si>
    <t>NCP160-0160354</t>
    <phoneticPr fontId="13"/>
  </si>
  <si>
    <t>27-4446</t>
  </si>
  <si>
    <t>27-4447</t>
  </si>
  <si>
    <t>27-4448</t>
  </si>
  <si>
    <t>27-4449</t>
  </si>
  <si>
    <t>27-4450</t>
  </si>
  <si>
    <t>27-4451</t>
  </si>
  <si>
    <t>27-4452</t>
  </si>
  <si>
    <t>27-4453</t>
  </si>
  <si>
    <t>27-4454</t>
  </si>
  <si>
    <t>27-4455</t>
  </si>
  <si>
    <t>27-4456</t>
  </si>
  <si>
    <t>27-4457</t>
  </si>
  <si>
    <t>27-4458</t>
  </si>
  <si>
    <t>27-4459</t>
  </si>
  <si>
    <t>27-4460</t>
  </si>
  <si>
    <t>27-4461</t>
  </si>
  <si>
    <t>27-4462</t>
  </si>
  <si>
    <t>27-4463</t>
  </si>
  <si>
    <t>27-4464</t>
  </si>
  <si>
    <t>27-4465</t>
  </si>
  <si>
    <t>27-4466</t>
  </si>
  <si>
    <t>27-4467</t>
  </si>
  <si>
    <t>27-4468</t>
  </si>
  <si>
    <t>27-4469</t>
  </si>
  <si>
    <t>27-4470</t>
  </si>
  <si>
    <t>27-4471</t>
  </si>
  <si>
    <t>27-4472</t>
  </si>
  <si>
    <t>27-4473</t>
  </si>
  <si>
    <t>27-4474</t>
  </si>
  <si>
    <t>27-4475</t>
  </si>
  <si>
    <t>27-4476</t>
  </si>
  <si>
    <t>27-4477</t>
  </si>
  <si>
    <t>ﾎﾞﾙﾎﾞ V60　B4ﾓﾒﾝﾀﾑ</t>
    <phoneticPr fontId="13"/>
  </si>
  <si>
    <t>MR92S-330056</t>
    <phoneticPr fontId="13"/>
  </si>
  <si>
    <t>HA36S-607887</t>
    <phoneticPr fontId="13"/>
  </si>
  <si>
    <t>NCP160-0143424</t>
    <phoneticPr fontId="13"/>
  </si>
  <si>
    <t>MN71S-213704</t>
    <phoneticPr fontId="13"/>
  </si>
  <si>
    <t>LA150S-2092626</t>
    <phoneticPr fontId="13"/>
  </si>
  <si>
    <t>MH55S-310090</t>
    <phoneticPr fontId="13"/>
  </si>
  <si>
    <t>HA36S-613868</t>
    <phoneticPr fontId="13"/>
  </si>
  <si>
    <t>YV1ZWK9MDN2476581</t>
    <phoneticPr fontId="13"/>
  </si>
  <si>
    <t>江東　300　そ　1476</t>
    <rPh sb="0" eb="1">
      <t>エ</t>
    </rPh>
    <rPh sb="1" eb="2">
      <t>ヒガシ</t>
    </rPh>
    <phoneticPr fontId="13"/>
  </si>
  <si>
    <t>WBA1S520107D25093</t>
    <phoneticPr fontId="13"/>
  </si>
  <si>
    <t>WBA8B56080NT32172</t>
    <phoneticPr fontId="13"/>
  </si>
  <si>
    <t>広島　484　ふ　1123</t>
    <rPh sb="0" eb="2">
      <t>ヒロシマ</t>
    </rPh>
    <phoneticPr fontId="13"/>
  </si>
  <si>
    <t>WDC1569472J370188</t>
    <phoneticPr fontId="13"/>
  </si>
  <si>
    <t>MﾍﾞﾝﾂA200ｄ</t>
    <phoneticPr fontId="13"/>
  </si>
  <si>
    <t>W1K1770122V055401</t>
    <phoneticPr fontId="13"/>
  </si>
  <si>
    <t>宇都宮　331　は　3127</t>
    <rPh sb="0" eb="3">
      <t>ウツノミヤ</t>
    </rPh>
    <phoneticPr fontId="13"/>
  </si>
  <si>
    <t>ﾜﾝｵｰﾅｰ　　名変期限6/23</t>
    <rPh sb="8" eb="12">
      <t>メイヘンキゲン</t>
    </rPh>
    <phoneticPr fontId="13"/>
  </si>
  <si>
    <t>27-4478</t>
  </si>
  <si>
    <t>NHP10-6391244</t>
    <phoneticPr fontId="13"/>
  </si>
  <si>
    <t>NKE165-7241321</t>
    <phoneticPr fontId="13"/>
  </si>
  <si>
    <t>ﾌﾟﾘｳｽ　S</t>
    <phoneticPr fontId="13"/>
  </si>
  <si>
    <t>ZVW51-6188768</t>
    <phoneticPr fontId="13"/>
  </si>
  <si>
    <t>MK94S-163624</t>
    <phoneticPr fontId="13"/>
  </si>
  <si>
    <t>NSP160-0065595</t>
    <phoneticPr fontId="13"/>
  </si>
  <si>
    <t>DA17V-589156</t>
    <phoneticPr fontId="13"/>
  </si>
  <si>
    <t>9/12/21</t>
    <phoneticPr fontId="13"/>
  </si>
  <si>
    <t>大阪　531　も　1418</t>
    <rPh sb="0" eb="2">
      <t>オオサカ</t>
    </rPh>
    <phoneticPr fontId="13"/>
  </si>
  <si>
    <t>保証書　取説　ﾅﾋﾞ取　地図SD　B-CASｶｰﾄﾞ</t>
    <rPh sb="0" eb="3">
      <t>ホショウショ</t>
    </rPh>
    <rPh sb="4" eb="6">
      <t>トリセツ</t>
    </rPh>
    <rPh sb="10" eb="11">
      <t>トリ</t>
    </rPh>
    <rPh sb="12" eb="14">
      <t>チズ</t>
    </rPh>
    <phoneticPr fontId="13"/>
  </si>
  <si>
    <t>広島　582　く　3665</t>
    <rPh sb="0" eb="2">
      <t>ヒロシマ</t>
    </rPh>
    <phoneticPr fontId="13"/>
  </si>
  <si>
    <t>CX-3　XDﾂｰﾘﾝｸﾞ</t>
    <phoneticPr fontId="13"/>
  </si>
  <si>
    <t>27-4479</t>
  </si>
  <si>
    <t>27-4480</t>
  </si>
  <si>
    <t>27-4481</t>
  </si>
  <si>
    <t>27-4482</t>
  </si>
  <si>
    <t>ﾍﾞｲｵｰｸ</t>
    <phoneticPr fontId="13"/>
  </si>
  <si>
    <t>2/2</t>
    <phoneticPr fontId="13"/>
  </si>
  <si>
    <t>ﾑｰﾌﾞｷｬﾝﾊﾞｽ Xﾒｲｸｱｯﾌﾟﾘﾐﾃｯﾄﾞ</t>
    <phoneticPr fontId="13"/>
  </si>
  <si>
    <t>LA800S-0215848</t>
    <phoneticPr fontId="13"/>
  </si>
  <si>
    <t>28/3</t>
    <phoneticPr fontId="13"/>
  </si>
  <si>
    <t>ZRR80-0208763</t>
    <phoneticPr fontId="13"/>
  </si>
  <si>
    <t>9/2/16</t>
    <phoneticPr fontId="13"/>
  </si>
  <si>
    <t>黒</t>
    <rPh sb="0" eb="1">
      <t>クロ</t>
    </rPh>
    <phoneticPr fontId="13"/>
  </si>
  <si>
    <t>27-4483</t>
  </si>
  <si>
    <t>27-4484</t>
  </si>
  <si>
    <t>CAA中部(まとめ)</t>
    <rPh sb="3" eb="5">
      <t>チュウブ</t>
    </rPh>
    <phoneticPr fontId="13"/>
  </si>
  <si>
    <t>30/10</t>
    <phoneticPr fontId="13"/>
  </si>
  <si>
    <t>BMW X1 xﾄﾞﾗｲﾌﾞ18d xﾗｲﾝ</t>
    <phoneticPr fontId="13"/>
  </si>
  <si>
    <t>WBAHT920805L21702</t>
    <phoneticPr fontId="13"/>
  </si>
  <si>
    <t>9/10</t>
    <phoneticPr fontId="13"/>
  </si>
  <si>
    <t>浜松 330 と 2556</t>
    <rPh sb="0" eb="2">
      <t>ハママツ</t>
    </rPh>
    <phoneticPr fontId="13"/>
  </si>
  <si>
    <t>保証書 取説 予備ｷｰ ﾜﾝｵｰﾅｰ</t>
    <rPh sb="0" eb="3">
      <t>ホショウショ</t>
    </rPh>
    <rPh sb="4" eb="6">
      <t>トリセツ</t>
    </rPh>
    <rPh sb="7" eb="9">
      <t>ヨビ</t>
    </rPh>
    <phoneticPr fontId="13"/>
  </si>
  <si>
    <t>4/3</t>
    <phoneticPr fontId="13"/>
  </si>
  <si>
    <t>紺</t>
    <rPh sb="0" eb="1">
      <t>コン</t>
    </rPh>
    <phoneticPr fontId="13"/>
  </si>
  <si>
    <t>BMWﾐﾆ ｼﾞｮﾝｸｰﾊﾟｰﾜｰｸｽ ｺﾝﾊﾞｰﾁﾌﾞﾙ</t>
    <phoneticPr fontId="13"/>
  </si>
  <si>
    <t>WMW62DL0203P06731</t>
    <phoneticPr fontId="13"/>
  </si>
  <si>
    <t>9/3</t>
    <phoneticPr fontId="13"/>
  </si>
  <si>
    <t>大阪 366 む 32</t>
    <rPh sb="0" eb="2">
      <t>オオサカ</t>
    </rPh>
    <phoneticPr fontId="13"/>
  </si>
  <si>
    <t>29/10</t>
    <phoneticPr fontId="13"/>
  </si>
  <si>
    <t>YV1MVA8RDJ2448928</t>
    <phoneticPr fontId="13"/>
  </si>
  <si>
    <t>2/8</t>
    <phoneticPr fontId="13"/>
  </si>
  <si>
    <t>青</t>
    <rPh sb="0" eb="1">
      <t>アオ</t>
    </rPh>
    <phoneticPr fontId="13"/>
  </si>
  <si>
    <t>ｱﾊﾞﾙﾄ595 ﾋﾟｽﾀ</t>
    <phoneticPr fontId="13"/>
  </si>
  <si>
    <t>ZFA3120000JD44953</t>
    <phoneticPr fontId="13"/>
  </si>
  <si>
    <t>9/8</t>
    <phoneticPr fontId="13"/>
  </si>
  <si>
    <t>飛鳥 500 り 7</t>
    <rPh sb="0" eb="2">
      <t>アスカ</t>
    </rPh>
    <phoneticPr fontId="13"/>
  </si>
  <si>
    <t xml:space="preserve">保証書 取説 予備ｷｰ </t>
    <rPh sb="0" eb="3">
      <t>ホショウショ</t>
    </rPh>
    <rPh sb="4" eb="6">
      <t>トリセツ</t>
    </rPh>
    <rPh sb="7" eb="9">
      <t>ヨビ</t>
    </rPh>
    <phoneticPr fontId="13"/>
  </si>
  <si>
    <t>岡山 582 い 1427</t>
    <rPh sb="0" eb="2">
      <t>オカヤマ</t>
    </rPh>
    <phoneticPr fontId="13"/>
  </si>
  <si>
    <t>直送</t>
    <rPh sb="0" eb="2">
      <t>チョクソウ</t>
    </rPh>
    <phoneticPr fontId="13"/>
  </si>
  <si>
    <t>岡山 399 な 7217</t>
    <rPh sb="0" eb="2">
      <t>オカヤマ</t>
    </rPh>
    <phoneticPr fontId="13"/>
  </si>
  <si>
    <t>株式会社ｺﾝﾁﾈﾝﾄ</t>
    <rPh sb="0" eb="4">
      <t>カブシキガイシャ</t>
    </rPh>
    <phoneticPr fontId="13"/>
  </si>
  <si>
    <t>Nﾜｺﾞﾝ G　Lﾊﾟｯｹｰｼﾞ</t>
    <phoneticPr fontId="13"/>
  </si>
  <si>
    <r>
      <t xml:space="preserve">保証書 </t>
    </r>
    <r>
      <rPr>
        <sz val="11"/>
        <color rgb="FFFF0000"/>
        <rFont val="ＭＳ Ｐゴシック"/>
        <family val="3"/>
        <charset val="128"/>
        <scheme val="minor"/>
      </rPr>
      <t xml:space="preserve">取説問い合わせ中 </t>
    </r>
    <r>
      <rPr>
        <sz val="11"/>
        <color theme="4" tint="-0.499984740745262"/>
        <rFont val="ＭＳ Ｐゴシック"/>
        <family val="3"/>
        <charset val="128"/>
        <scheme val="minor"/>
      </rPr>
      <t>印鑑証明7/11</t>
    </r>
    <rPh sb="0" eb="3">
      <t>ホショウショ</t>
    </rPh>
    <rPh sb="4" eb="6">
      <t>トリセツ</t>
    </rPh>
    <rPh sb="6" eb="7">
      <t>ト</t>
    </rPh>
    <rPh sb="8" eb="9">
      <t>ア</t>
    </rPh>
    <rPh sb="11" eb="12">
      <t>チュウ</t>
    </rPh>
    <rPh sb="13" eb="17">
      <t>インカンショウメイ</t>
    </rPh>
    <phoneticPr fontId="13"/>
  </si>
  <si>
    <t>大阪 795 な 1122</t>
    <rPh sb="0" eb="2">
      <t>オオサカ</t>
    </rPh>
    <phoneticPr fontId="13"/>
  </si>
  <si>
    <t>岡山 358 ろ 2</t>
    <rPh sb="0" eb="2">
      <t>オカヤマ</t>
    </rPh>
    <phoneticPr fontId="13"/>
  </si>
  <si>
    <t>杉井 謙太</t>
    <rPh sb="0" eb="2">
      <t>スギイ</t>
    </rPh>
    <rPh sb="3" eb="5">
      <t>ケンタ</t>
    </rPh>
    <phoneticPr fontId="13"/>
  </si>
  <si>
    <t>高松 580 く 6372</t>
    <rPh sb="0" eb="2">
      <t>タカマツ</t>
    </rPh>
    <phoneticPr fontId="13"/>
  </si>
  <si>
    <t>太田 健登</t>
    <rPh sb="0" eb="2">
      <t>オオタ</t>
    </rPh>
    <rPh sb="3" eb="4">
      <t>ケン</t>
    </rPh>
    <rPh sb="4" eb="5">
      <t>ノボル</t>
    </rPh>
    <phoneticPr fontId="13"/>
  </si>
  <si>
    <t>広島 583 ま 1955</t>
    <rPh sb="0" eb="2">
      <t>ヒロシマ</t>
    </rPh>
    <phoneticPr fontId="13"/>
  </si>
  <si>
    <t>滋賀 345 に 1020</t>
    <rPh sb="0" eb="2">
      <t>シガ</t>
    </rPh>
    <phoneticPr fontId="13"/>
  </si>
  <si>
    <t>株式会社滋賀ﾄﾖﾀ</t>
    <rPh sb="0" eb="4">
      <t>カブシキガイシャ</t>
    </rPh>
    <rPh sb="4" eb="6">
      <t>シガ</t>
    </rPh>
    <phoneticPr fontId="13"/>
  </si>
  <si>
    <t>なにわ 59C に 4720</t>
    <phoneticPr fontId="13"/>
  </si>
  <si>
    <t>和泉 323 ひ 222</t>
    <rPh sb="0" eb="2">
      <t>イズミ</t>
    </rPh>
    <phoneticPr fontId="13"/>
  </si>
  <si>
    <t>名古屋 326 も 9885</t>
    <rPh sb="0" eb="3">
      <t>ナゴヤ</t>
    </rPh>
    <phoneticPr fontId="13"/>
  </si>
  <si>
    <t>株式会社KINTO</t>
    <rPh sb="0" eb="4">
      <t>カブシキガイシャ</t>
    </rPh>
    <phoneticPr fontId="13"/>
  </si>
  <si>
    <t>地図SD車内なし(問い合わせしたがなしｸﾚｰﾑならず) 保証書 取説</t>
    <rPh sb="0" eb="2">
      <t>チズ</t>
    </rPh>
    <rPh sb="4" eb="6">
      <t>シャナイ</t>
    </rPh>
    <rPh sb="9" eb="10">
      <t>ト</t>
    </rPh>
    <rPh sb="11" eb="12">
      <t>ア</t>
    </rPh>
    <rPh sb="28" eb="31">
      <t>ホショウショ</t>
    </rPh>
    <rPh sb="32" eb="34">
      <t>トリセツ</t>
    </rPh>
    <phoneticPr fontId="13"/>
  </si>
  <si>
    <t>582 う 9335</t>
    <phoneticPr fontId="13"/>
  </si>
  <si>
    <t>ZIP大阪(ﾜﾝｸﾘ)</t>
    <rPh sb="3" eb="5">
      <t>オオサカ</t>
    </rPh>
    <phoneticPr fontId="13"/>
  </si>
  <si>
    <t>971(318)</t>
    <phoneticPr fontId="13"/>
  </si>
  <si>
    <t>尾張小牧 599 ほ 5043</t>
    <rPh sb="0" eb="4">
      <t>オワリコマキ</t>
    </rPh>
    <phoneticPr fontId="13"/>
  </si>
  <si>
    <t>ｷｬﾝｾﾙ返送5/15</t>
    <rPh sb="5" eb="7">
      <t>ヘンソウ</t>
    </rPh>
    <phoneticPr fontId="13"/>
  </si>
  <si>
    <t>岡山 330 せ 498</t>
    <rPh sb="0" eb="2">
      <t>オカヤマ</t>
    </rPh>
    <phoneticPr fontId="13"/>
  </si>
  <si>
    <t>溝脇 吉展</t>
    <rPh sb="0" eb="2">
      <t>ミゾワキ</t>
    </rPh>
    <rPh sb="3" eb="4">
      <t>ヨシ</t>
    </rPh>
    <rPh sb="4" eb="5">
      <t>テン</t>
    </rPh>
    <phoneticPr fontId="13"/>
  </si>
  <si>
    <t>保証書 取説 ｷｰﾚｽ ｱﾝﾃﾅ</t>
    <rPh sb="0" eb="3">
      <t>ホショウショ</t>
    </rPh>
    <rPh sb="4" eb="6">
      <t>トリセツ</t>
    </rPh>
    <phoneticPr fontId="13"/>
  </si>
  <si>
    <t>練馬 302 た 9193</t>
    <rPh sb="0" eb="2">
      <t>ネリマ</t>
    </rPh>
    <phoneticPr fontId="13"/>
  </si>
  <si>
    <t>田中 壽夫</t>
    <rPh sb="0" eb="2">
      <t>タナカ</t>
    </rPh>
    <rPh sb="3" eb="4">
      <t>コトブキ</t>
    </rPh>
    <rPh sb="4" eb="5">
      <t>オット</t>
    </rPh>
    <phoneticPr fontId="13"/>
  </si>
  <si>
    <t>神戸 39A ち 1531</t>
    <rPh sb="0" eb="2">
      <t>コウベ</t>
    </rPh>
    <phoneticPr fontId="13"/>
  </si>
  <si>
    <t>松尾 香奈美</t>
    <rPh sb="0" eb="2">
      <t>マツオ</t>
    </rPh>
    <rPh sb="3" eb="4">
      <t>カオル</t>
    </rPh>
    <rPh sb="4" eb="6">
      <t>ナミ</t>
    </rPh>
    <phoneticPr fontId="13"/>
  </si>
  <si>
    <t>島根 399 そ 3174</t>
    <rPh sb="0" eb="2">
      <t>シマネ</t>
    </rPh>
    <phoneticPr fontId="13"/>
  </si>
  <si>
    <t>和泉 329 ぬ 2293</t>
    <rPh sb="0" eb="2">
      <t>イズミ</t>
    </rPh>
    <phoneticPr fontId="13"/>
  </si>
  <si>
    <t>株式会社ｼｰｽﾍﾟｰｽ</t>
    <rPh sb="0" eb="4">
      <t>カブシキガイシャ</t>
    </rPh>
    <phoneticPr fontId="13"/>
  </si>
  <si>
    <t>山梨 580 め 902</t>
    <rPh sb="0" eb="2">
      <t>ヤマナシ</t>
    </rPh>
    <phoneticPr fontId="13"/>
  </si>
  <si>
    <t>市川 聖一</t>
    <rPh sb="0" eb="2">
      <t>イチカワ</t>
    </rPh>
    <rPh sb="3" eb="4">
      <t>ヒジリ</t>
    </rPh>
    <rPh sb="4" eb="5">
      <t>イチ</t>
    </rPh>
    <phoneticPr fontId="13"/>
  </si>
  <si>
    <t>一宮 363 つ 8008</t>
    <rPh sb="0" eb="2">
      <t>イチノミヤ</t>
    </rPh>
    <phoneticPr fontId="13"/>
  </si>
  <si>
    <t>一般社団法人百美会</t>
    <rPh sb="0" eb="6">
      <t>イッパンシャダンホウジン</t>
    </rPh>
    <rPh sb="6" eb="7">
      <t>ヒャク</t>
    </rPh>
    <rPh sb="7" eb="8">
      <t>ミ</t>
    </rPh>
    <rPh sb="8" eb="9">
      <t>カイ</t>
    </rPh>
    <phoneticPr fontId="13"/>
  </si>
  <si>
    <t>保証書 ﾜﾝｵｰﾅｰ 取説 印鑑証明8/10</t>
    <rPh sb="0" eb="3">
      <t>ホショウショ</t>
    </rPh>
    <rPh sb="11" eb="13">
      <t>トリセツ</t>
    </rPh>
    <rPh sb="14" eb="18">
      <t>インカンショウメイ</t>
    </rPh>
    <phoneticPr fontId="13"/>
  </si>
  <si>
    <t>静岡 580 や 3895</t>
    <rPh sb="0" eb="2">
      <t>シズオカ</t>
    </rPh>
    <phoneticPr fontId="13"/>
  </si>
  <si>
    <t>佐藤 智哉</t>
    <rPh sb="0" eb="2">
      <t>サトウ</t>
    </rPh>
    <rPh sb="3" eb="5">
      <t>トモヤ</t>
    </rPh>
    <phoneticPr fontId="13"/>
  </si>
  <si>
    <t>千葉 794 ろ 1934</t>
    <rPh sb="0" eb="2">
      <t>チバ</t>
    </rPh>
    <phoneticPr fontId="13"/>
  </si>
  <si>
    <t>奈良 399 て 4829</t>
    <rPh sb="0" eb="2">
      <t>ナラ</t>
    </rPh>
    <phoneticPr fontId="13"/>
  </si>
  <si>
    <t>倉田 あずさ</t>
    <rPh sb="0" eb="2">
      <t>クラタ</t>
    </rPh>
    <phoneticPr fontId="13"/>
  </si>
  <si>
    <t>神戸 597 ろ 362</t>
    <rPh sb="0" eb="2">
      <t>コウベ</t>
    </rPh>
    <phoneticPr fontId="13"/>
  </si>
  <si>
    <t>品川 39A や 650</t>
    <rPh sb="0" eb="2">
      <t>シナガワ</t>
    </rPh>
    <phoneticPr fontId="13"/>
  </si>
  <si>
    <t>なにわ 39A や 2852</t>
    <phoneticPr fontId="13"/>
  </si>
  <si>
    <t>愛媛 332 せ 8823</t>
    <rPh sb="0" eb="2">
      <t>エヒメ</t>
    </rPh>
    <phoneticPr fontId="13"/>
  </si>
  <si>
    <t>倉敷 480 ろ 4230</t>
    <rPh sb="0" eb="2">
      <t>クラシキ</t>
    </rPh>
    <phoneticPr fontId="13"/>
  </si>
  <si>
    <t>なにわ 690 ろ 8498</t>
    <phoneticPr fontId="13"/>
  </si>
  <si>
    <t>広島 340 の 827</t>
    <rPh sb="0" eb="2">
      <t>ヒロシマ</t>
    </rPh>
    <phoneticPr fontId="13"/>
  </si>
  <si>
    <t>倉敷 584 そ 7373</t>
    <rPh sb="0" eb="2">
      <t>クラシキ</t>
    </rPh>
    <phoneticPr fontId="13"/>
  </si>
  <si>
    <t>近藤 美彩</t>
    <rPh sb="0" eb="2">
      <t>コンドウ</t>
    </rPh>
    <rPh sb="3" eb="4">
      <t>ミ</t>
    </rPh>
    <rPh sb="4" eb="5">
      <t>アヤ</t>
    </rPh>
    <phoneticPr fontId="13"/>
  </si>
  <si>
    <t>岡山 301 や 3012</t>
    <rPh sb="0" eb="2">
      <t>オカヤマ</t>
    </rPh>
    <phoneticPr fontId="13"/>
  </si>
  <si>
    <t>ZFA3120000J874889</t>
    <phoneticPr fontId="13"/>
  </si>
  <si>
    <t>太田 隆徳</t>
    <rPh sb="0" eb="2">
      <t>オオタ</t>
    </rPh>
    <rPh sb="3" eb="4">
      <t>タカシ</t>
    </rPh>
    <rPh sb="4" eb="5">
      <t>トク</t>
    </rPh>
    <phoneticPr fontId="13"/>
  </si>
  <si>
    <t>品川 39A や 3710</t>
    <rPh sb="0" eb="2">
      <t>シナガワ</t>
    </rPh>
    <phoneticPr fontId="13"/>
  </si>
  <si>
    <t>なにわ 330 も 1416</t>
    <phoneticPr fontId="13"/>
  </si>
  <si>
    <t>堺 399 ひ 9813</t>
    <rPh sb="0" eb="1">
      <t>サカイ</t>
    </rPh>
    <phoneticPr fontId="13"/>
  </si>
  <si>
    <t>地図SD(書類と一緒)</t>
    <rPh sb="0" eb="2">
      <t>チズ</t>
    </rPh>
    <rPh sb="5" eb="7">
      <t>ショルイ</t>
    </rPh>
    <rPh sb="8" eb="10">
      <t>イッショ</t>
    </rPh>
    <phoneticPr fontId="13"/>
  </si>
  <si>
    <t>澤田 拳太</t>
    <rPh sb="0" eb="2">
      <t>サワダ</t>
    </rPh>
    <rPh sb="3" eb="4">
      <t>ケン</t>
    </rPh>
    <rPh sb="4" eb="5">
      <t>タ</t>
    </rPh>
    <phoneticPr fontId="13"/>
  </si>
  <si>
    <t>和泉 329 ぬ 2192</t>
    <rPh sb="0" eb="2">
      <t>イズミ</t>
    </rPh>
    <phoneticPr fontId="13"/>
  </si>
  <si>
    <t>長野 580 わ 2957</t>
    <rPh sb="0" eb="2">
      <t>ナガノ</t>
    </rPh>
    <phoneticPr fontId="13"/>
  </si>
  <si>
    <t>株式会社ﾀｶｻﾜ</t>
    <phoneticPr fontId="13"/>
  </si>
  <si>
    <t>大阪 100 ち 197</t>
    <rPh sb="0" eb="2">
      <t>オオサカ</t>
    </rPh>
    <phoneticPr fontId="13"/>
  </si>
  <si>
    <t>多摩 499 て 1567</t>
    <rPh sb="0" eb="2">
      <t>タマ</t>
    </rPh>
    <phoneticPr fontId="13"/>
  </si>
  <si>
    <t>多摩 499 て 1565</t>
    <rPh sb="0" eb="2">
      <t>タマ</t>
    </rPh>
    <phoneticPr fontId="13"/>
  </si>
  <si>
    <t>多摩 485 ろ 1140</t>
    <rPh sb="0" eb="2">
      <t>タマ</t>
    </rPh>
    <phoneticPr fontId="13"/>
  </si>
  <si>
    <t>なにわ 331 ふ 2227</t>
    <phoneticPr fontId="13"/>
  </si>
  <si>
    <t>滋賀 583 か 5203</t>
    <rPh sb="0" eb="2">
      <t>シガ</t>
    </rPh>
    <phoneticPr fontId="13"/>
  </si>
  <si>
    <t>大島 雅基</t>
    <rPh sb="0" eb="2">
      <t>オオシマ</t>
    </rPh>
    <rPh sb="3" eb="4">
      <t>マサシ</t>
    </rPh>
    <rPh sb="4" eb="5">
      <t>キ</t>
    </rPh>
    <phoneticPr fontId="13"/>
  </si>
  <si>
    <t>品川 39A た 4569</t>
    <rPh sb="0" eb="2">
      <t>シナガワ</t>
    </rPh>
    <phoneticPr fontId="13"/>
  </si>
  <si>
    <t>品川 49A た 4570</t>
    <rPh sb="0" eb="2">
      <t>シナガワ</t>
    </rPh>
    <phoneticPr fontId="13"/>
  </si>
  <si>
    <t>品川 5X4 ろ 2489</t>
    <rPh sb="0" eb="2">
      <t>シナガワ</t>
    </rPh>
    <phoneticPr fontId="13"/>
  </si>
  <si>
    <t>千葉 34K は 8008</t>
    <rPh sb="0" eb="2">
      <t>チバ</t>
    </rPh>
    <phoneticPr fontId="13"/>
  </si>
  <si>
    <t>大野 如城</t>
    <rPh sb="0" eb="2">
      <t>オオノ</t>
    </rPh>
    <rPh sb="3" eb="4">
      <t>ニョ</t>
    </rPh>
    <rPh sb="4" eb="5">
      <t>シロ</t>
    </rPh>
    <phoneticPr fontId="13"/>
  </si>
  <si>
    <t>保証書 取説 ｷｰﾚｽ ﾜﾝｵｰﾅｰ 印鑑証明8/3</t>
    <rPh sb="0" eb="3">
      <t>ホショウショ</t>
    </rPh>
    <rPh sb="4" eb="6">
      <t>トリセツ</t>
    </rPh>
    <rPh sb="19" eb="23">
      <t>インカンショウメイ</t>
    </rPh>
    <phoneticPr fontId="13"/>
  </si>
  <si>
    <t>501 ゆ 6590</t>
    <phoneticPr fontId="13"/>
  </si>
  <si>
    <t>301 の 1147</t>
    <phoneticPr fontId="13"/>
  </si>
  <si>
    <t>501 ゆ 6589</t>
    <phoneticPr fontId="13"/>
  </si>
  <si>
    <t>301 の 1146</t>
    <phoneticPr fontId="13"/>
  </si>
  <si>
    <t>湘南 302 と 5584</t>
    <rPh sb="0" eb="2">
      <t>ショウナン</t>
    </rPh>
    <phoneticPr fontId="13"/>
  </si>
  <si>
    <t>星 敏昭</t>
    <rPh sb="0" eb="1">
      <t>ホシ</t>
    </rPh>
    <rPh sb="2" eb="4">
      <t>トシアキ</t>
    </rPh>
    <phoneticPr fontId="13"/>
  </si>
  <si>
    <t xml:space="preserve">ｽﾍﾟｱｷｰ(車内)保証書 ｽﾍﾟｱｷｰ </t>
    <rPh sb="7" eb="9">
      <t>シャナイ</t>
    </rPh>
    <rPh sb="10" eb="13">
      <t>ホショウショ</t>
    </rPh>
    <phoneticPr fontId="13"/>
  </si>
  <si>
    <t>ｷｰﾚｽ(車内)取説</t>
    <rPh sb="5" eb="7">
      <t>シャナイ</t>
    </rPh>
    <rPh sb="8" eb="10">
      <t>トリセツ</t>
    </rPh>
    <phoneticPr fontId="13"/>
  </si>
  <si>
    <t>ﾏｲｸﾛ地図SD(車内)保証書 取説 ﾅﾋﾞ取 ｶｰﾄﾞｷｰ ｷｰﾚｽ</t>
    <rPh sb="4" eb="6">
      <t>チズ</t>
    </rPh>
    <rPh sb="12" eb="15">
      <t>ホショウショ</t>
    </rPh>
    <rPh sb="16" eb="18">
      <t>トリセツ</t>
    </rPh>
    <rPh sb="22" eb="23">
      <t>トリ</t>
    </rPh>
    <phoneticPr fontId="13"/>
  </si>
  <si>
    <t xml:space="preserve"> ﾏｲｸﾛSD 取説 ｽﾍﾟｱｷｰ(車内)保証書</t>
    <rPh sb="8" eb="10">
      <t>トリセツ</t>
    </rPh>
    <rPh sb="21" eb="24">
      <t>ホショウショ</t>
    </rPh>
    <phoneticPr fontId="13"/>
  </si>
  <si>
    <t xml:space="preserve"> ｷｰﾚｽ ﾘﾓｺﾝ(車内)保証書 ﾅﾋﾞ取説</t>
    <rPh sb="14" eb="17">
      <t>ホショウショ</t>
    </rPh>
    <rPh sb="21" eb="23">
      <t>トリセツ</t>
    </rPh>
    <phoneticPr fontId="13"/>
  </si>
  <si>
    <t>保証書 地図SD(車内)</t>
    <rPh sb="0" eb="3">
      <t>ホショウショ</t>
    </rPh>
    <rPh sb="4" eb="6">
      <t>チズ</t>
    </rPh>
    <phoneticPr fontId="13"/>
  </si>
  <si>
    <t xml:space="preserve"> ﾏｲｸﾛ地図SD(車内)保証書</t>
    <rPh sb="5" eb="7">
      <t>チズ</t>
    </rPh>
    <rPh sb="13" eb="16">
      <t>ホショウショ</t>
    </rPh>
    <phoneticPr fontId="13"/>
  </si>
  <si>
    <t>27-4485</t>
  </si>
  <si>
    <t>27-4486</t>
  </si>
  <si>
    <t>27-4487</t>
  </si>
  <si>
    <t>27-4488</t>
  </si>
  <si>
    <t>S321V-0445142</t>
    <phoneticPr fontId="13"/>
  </si>
  <si>
    <t>LA400K-0021390</t>
    <phoneticPr fontId="13"/>
  </si>
  <si>
    <t>NHP160-0047888</t>
    <phoneticPr fontId="13"/>
  </si>
  <si>
    <t>NSP160-0060296</t>
    <phoneticPr fontId="13"/>
  </si>
  <si>
    <t>ﾊｲｾﾞｯﾄｶｰｺﾞ ｽﾍﾟｼｬﾙｸﾘｰﾝ SA3</t>
    <phoneticPr fontId="13"/>
  </si>
  <si>
    <t>ﾌﾟﾛﾎﾞｯｸｽ ﾊｲﾌﾞﾘｯﾄﾞ GX</t>
    <phoneticPr fontId="13"/>
  </si>
  <si>
    <t>27-4489</t>
  </si>
  <si>
    <t>27-4490</t>
  </si>
  <si>
    <t>27-4491</t>
  </si>
  <si>
    <t>27-4492</t>
  </si>
  <si>
    <t>27-4493</t>
  </si>
  <si>
    <t>W1K2130772A945563</t>
    <phoneticPr fontId="13"/>
  </si>
  <si>
    <t>YV1LF68MCL1548072</t>
    <phoneticPr fontId="13"/>
  </si>
  <si>
    <t>WMWXS520502C87150</t>
    <phoneticPr fontId="13"/>
  </si>
  <si>
    <t>WMWXY520502N45288</t>
    <phoneticPr fontId="13"/>
  </si>
  <si>
    <t>WME4530622Y127791</t>
    <phoneticPr fontId="13"/>
  </si>
  <si>
    <t>保証書ﾀﾞﾐｰ送る 申告入る</t>
    <rPh sb="0" eb="3">
      <t>ホショウショ</t>
    </rPh>
    <rPh sb="7" eb="8">
      <t>オク</t>
    </rPh>
    <rPh sb="10" eb="12">
      <t>シンコク</t>
    </rPh>
    <rPh sb="12" eb="13">
      <t>ハイ</t>
    </rPh>
    <phoneticPr fontId="13"/>
  </si>
  <si>
    <t>神戸 583 す 1352</t>
    <rPh sb="0" eb="2">
      <t>コウベ</t>
    </rPh>
    <phoneticPr fontId="13"/>
  </si>
  <si>
    <t>杼村 陽介</t>
    <rPh sb="1" eb="2">
      <t>ムラ</t>
    </rPh>
    <rPh sb="3" eb="5">
      <t>ヨウスケ</t>
    </rPh>
    <phoneticPr fontId="13"/>
  </si>
  <si>
    <t>ﾒﾙｾﾃﾞｽﾍﾞﾝﾂ E200 ｽﾎﾟｰﾂ</t>
    <phoneticPr fontId="13"/>
  </si>
  <si>
    <t>ﾎﾞﾙﾎﾞ XC90 D5</t>
    <phoneticPr fontId="13"/>
  </si>
  <si>
    <t>和歌山 331 ぬ 905</t>
    <rPh sb="0" eb="2">
      <t>ワカ</t>
    </rPh>
    <rPh sb="2" eb="3">
      <t>ヤマ</t>
    </rPh>
    <phoneticPr fontId="13"/>
  </si>
  <si>
    <t>神戸 335 す 3211</t>
    <rPh sb="0" eb="2">
      <t>コウベ</t>
    </rPh>
    <phoneticPr fontId="13"/>
  </si>
  <si>
    <t xml:space="preserve">保証書 取説 TVﾘﾓｺﾝ </t>
    <rPh sb="0" eb="3">
      <t>ホショウショ</t>
    </rPh>
    <rPh sb="4" eb="6">
      <t>トリセツ</t>
    </rPh>
    <phoneticPr fontId="13"/>
  </si>
  <si>
    <t>ｽﾏｰﾄ ﾌｫｰﾌｫｰ ﾌﾞﾗﾊﾞﾝｴｸｽｸﾙｰｼﾌﾞ</t>
    <phoneticPr fontId="13"/>
  </si>
  <si>
    <t>ｷｬﾝｾﾙ返送5/16</t>
    <rPh sb="5" eb="7">
      <t>ヘンソウ</t>
    </rPh>
    <phoneticPr fontId="13"/>
  </si>
  <si>
    <t>ﾘｻｲｸﾙ2470円差額あり</t>
    <rPh sb="9" eb="10">
      <t>エン</t>
    </rPh>
    <rPh sb="10" eb="12">
      <t>サガク</t>
    </rPh>
    <phoneticPr fontId="13"/>
  </si>
  <si>
    <t>VF73AAHXTHJ811903</t>
    <phoneticPr fontId="13"/>
  </si>
  <si>
    <t>株式会社ﾎﾝﾀﾞｶｰｽﾞ三河</t>
    <rPh sb="0" eb="4">
      <t>カブシキガイシャ</t>
    </rPh>
    <rPh sb="12" eb="14">
      <t>ミカワ</t>
    </rPh>
    <phoneticPr fontId="13"/>
  </si>
  <si>
    <t>27-4494</t>
  </si>
  <si>
    <t>佐野様</t>
    <rPh sb="0" eb="2">
      <t>サノ</t>
    </rPh>
    <rPh sb="2" eb="3">
      <t>サマ</t>
    </rPh>
    <phoneticPr fontId="13"/>
  </si>
  <si>
    <t>WMWZB72080WT67259</t>
    <phoneticPr fontId="13"/>
  </si>
  <si>
    <t>神戸 303 は 4844</t>
    <rPh sb="0" eb="2">
      <t>コウベ</t>
    </rPh>
    <phoneticPr fontId="13"/>
  </si>
  <si>
    <t>佐野 剛士</t>
    <rPh sb="0" eb="2">
      <t>サノ</t>
    </rPh>
    <rPh sb="3" eb="4">
      <t>ツヨシ</t>
    </rPh>
    <rPh sb="4" eb="5">
      <t>シ</t>
    </rPh>
    <phoneticPr fontId="13"/>
  </si>
  <si>
    <t>なにわ 344 や 1121</t>
    <phoneticPr fontId="13"/>
  </si>
  <si>
    <t>ｽﾊﾞﾙ近畿株式会社</t>
    <rPh sb="4" eb="6">
      <t>キンキ</t>
    </rPh>
    <rPh sb="6" eb="10">
      <t>カブシキガイシャ</t>
    </rPh>
    <phoneticPr fontId="13"/>
  </si>
  <si>
    <t>株式会社川本ｶｰｺﾞ</t>
    <rPh sb="0" eb="4">
      <t>カブシキガイシャ</t>
    </rPh>
    <rPh sb="4" eb="6">
      <t>カワモト</t>
    </rPh>
    <phoneticPr fontId="13"/>
  </si>
  <si>
    <t>岡山 399 な 6377</t>
    <rPh sb="0" eb="2">
      <t>オカヤマ</t>
    </rPh>
    <phoneticPr fontId="13"/>
  </si>
  <si>
    <t>品川 5P9 ろ 2760</t>
    <rPh sb="0" eb="2">
      <t>シナガワ</t>
    </rPh>
    <phoneticPr fontId="13"/>
  </si>
  <si>
    <t>なにわ 479 や 9689</t>
    <phoneticPr fontId="13"/>
  </si>
  <si>
    <t>なにわ 479 や 9268</t>
    <phoneticPr fontId="13"/>
  </si>
  <si>
    <t>株式会社ﾚﾝﾀﾘｰｽ大阪</t>
    <rPh sb="0" eb="4">
      <t>カブシキガイシャ</t>
    </rPh>
    <rPh sb="10" eb="12">
      <t>オオサカ</t>
    </rPh>
    <phoneticPr fontId="13"/>
  </si>
  <si>
    <t>なにわ 479 ゆ 848</t>
    <phoneticPr fontId="13"/>
  </si>
  <si>
    <t>和歌山 580 の 3288</t>
    <rPh sb="0" eb="3">
      <t>ワカヤマ</t>
    </rPh>
    <phoneticPr fontId="13"/>
  </si>
  <si>
    <t>和歌山ﾄﾖﾍﾟｯﾄ株式会社</t>
    <rPh sb="0" eb="3">
      <t>ワカヤマ</t>
    </rPh>
    <rPh sb="9" eb="13">
      <t>カブシキガイシャ</t>
    </rPh>
    <phoneticPr fontId="13"/>
  </si>
  <si>
    <t>滋賀 347 も 818</t>
    <rPh sb="0" eb="2">
      <t>シガ</t>
    </rPh>
    <phoneticPr fontId="13"/>
  </si>
  <si>
    <t>ﾜﾝｵｰﾅｰ×そのまま送る</t>
    <rPh sb="11" eb="12">
      <t>オク</t>
    </rPh>
    <phoneticPr fontId="13"/>
  </si>
  <si>
    <t>神戸 553 は 9999</t>
    <rPh sb="0" eb="2">
      <t>コウベ</t>
    </rPh>
    <phoneticPr fontId="13"/>
  </si>
  <si>
    <t>株式会社ｲﾁﾈﾝIDOM</t>
    <phoneticPr fontId="13"/>
  </si>
  <si>
    <t>保証書 取説 録音SD B-CAS ﾜﾝｵｰﾅｰ</t>
    <rPh sb="0" eb="3">
      <t>ホショウショ</t>
    </rPh>
    <rPh sb="4" eb="6">
      <t>トリセツ</t>
    </rPh>
    <rPh sb="7" eb="9">
      <t>ロクオン</t>
    </rPh>
    <phoneticPr fontId="13"/>
  </si>
  <si>
    <t>神戸 39A ち 1784</t>
    <rPh sb="0" eb="2">
      <t>コウベ</t>
    </rPh>
    <phoneticPr fontId="13"/>
  </si>
  <si>
    <r>
      <t xml:space="preserve">保証書 取説 </t>
    </r>
    <r>
      <rPr>
        <sz val="11"/>
        <color rgb="FFFF0000"/>
        <rFont val="ＭＳ Ｐゴシック"/>
        <family val="3"/>
        <charset val="128"/>
        <scheme val="minor"/>
      </rPr>
      <t xml:space="preserve"> ﾜﾝｵｰﾅｰｸﾚｰﾑ中</t>
    </r>
    <rPh sb="0" eb="3">
      <t>ホショウショ</t>
    </rPh>
    <rPh sb="4" eb="6">
      <t>トリセツ</t>
    </rPh>
    <rPh sb="18" eb="19">
      <t>チュウ</t>
    </rPh>
    <phoneticPr fontId="13"/>
  </si>
  <si>
    <t>株式会社信和ｺﾞﾙﾌﾒﾝﾃﾅﾝｽ</t>
    <rPh sb="0" eb="4">
      <t>カブシキガイシャ</t>
    </rPh>
    <rPh sb="4" eb="6">
      <t>シンワ</t>
    </rPh>
    <phoneticPr fontId="13"/>
  </si>
  <si>
    <t>保証書 取説 ｷｰﾚｽ2個 ｶｰﾄﾞｷｰ ロックナット ﾜﾝｵｰﾅｰ</t>
    <rPh sb="0" eb="3">
      <t>ホショウショ</t>
    </rPh>
    <rPh sb="4" eb="6">
      <t>トリセツ</t>
    </rPh>
    <rPh sb="12" eb="13">
      <t>コ</t>
    </rPh>
    <phoneticPr fontId="13"/>
  </si>
  <si>
    <t>鳥取 530 す 9230</t>
    <rPh sb="0" eb="2">
      <t>トットリ</t>
    </rPh>
    <phoneticPr fontId="13"/>
  </si>
  <si>
    <t>株式会社ﾄｰﾀﾙｴﾅｼﾞｰｵｵﾀ</t>
    <rPh sb="0" eb="4">
      <t>カブシキガイシャ</t>
    </rPh>
    <phoneticPr fontId="13"/>
  </si>
  <si>
    <t>保証書 取説 ﾅﾋﾞ取 ｷｰﾚｽ ﾐﾆB-CAS ﾏｲｸﾛ地図SD ﾜﾝｵｰﾅｰ</t>
    <rPh sb="0" eb="3">
      <t>ホショウショ</t>
    </rPh>
    <rPh sb="4" eb="6">
      <t>トリセツ</t>
    </rPh>
    <rPh sb="10" eb="11">
      <t>トリ</t>
    </rPh>
    <rPh sb="29" eb="31">
      <t>チズ</t>
    </rPh>
    <phoneticPr fontId="13"/>
  </si>
  <si>
    <t>神戸 39A ち 1648</t>
    <rPh sb="0" eb="2">
      <t>コウベ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</si>
  <si>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ﾜﾝｵｰﾅｰ×</t>
    </r>
    <r>
      <rPr>
        <sz val="11"/>
        <color theme="4" tint="-0.499984740745262"/>
        <rFont val="ＭＳ Ｐゴシック"/>
        <family val="3"/>
        <charset val="128"/>
        <scheme val="minor"/>
      </rPr>
      <t>(中古保証)</t>
    </r>
    <rPh sb="0" eb="3">
      <t>ホショウショ</t>
    </rPh>
    <rPh sb="4" eb="6">
      <t>トリセツ</t>
    </rPh>
    <rPh sb="20" eb="22">
      <t>チュウコ</t>
    </rPh>
    <rPh sb="22" eb="24">
      <t>ホショウ</t>
    </rPh>
    <phoneticPr fontId="13"/>
  </si>
  <si>
    <r>
      <t xml:space="preserve">保証書 取説 ｷｰﾚｽ </t>
    </r>
    <r>
      <rPr>
        <sz val="11"/>
        <color rgb="FFFF0000"/>
        <rFont val="ＭＳ Ｐゴシック"/>
        <family val="3"/>
        <charset val="128"/>
        <scheme val="minor"/>
      </rPr>
      <t>ﾜﾝｵｰﾅｰ？</t>
    </r>
    <rPh sb="0" eb="3">
      <t>ホショウショ</t>
    </rPh>
    <rPh sb="4" eb="6">
      <t>トリセツ</t>
    </rPh>
    <phoneticPr fontId="13"/>
  </si>
  <si>
    <t>惠比奈 和彦</t>
    <rPh sb="0" eb="1">
      <t>ケイ</t>
    </rPh>
    <rPh sb="1" eb="2">
      <t>ヒ</t>
    </rPh>
    <rPh sb="2" eb="3">
      <t>ナ</t>
    </rPh>
    <rPh sb="4" eb="6">
      <t>カズヒコ</t>
    </rPh>
    <phoneticPr fontId="13"/>
  </si>
  <si>
    <t>地図SD(車内)保証書 取説 ｽﾍﾟｱｷｰ ﾜﾝｵｰﾅｰ</t>
    <rPh sb="0" eb="2">
      <t>チズ</t>
    </rPh>
    <rPh sb="5" eb="7">
      <t>シャナイ</t>
    </rPh>
    <rPh sb="8" eb="11">
      <t>ホショウショ</t>
    </rPh>
    <rPh sb="12" eb="14">
      <t>トリセツ</t>
    </rPh>
    <phoneticPr fontId="13"/>
  </si>
  <si>
    <t>株式会社KBS</t>
    <rPh sb="0" eb="4">
      <t>カブシキガイシャ</t>
    </rPh>
    <phoneticPr fontId="13"/>
  </si>
  <si>
    <t>ﾘﾓｺﾝ2個(車内)保証書 取説 ｷｰﾚｽ ﾜﾝｵｰﾅｰ</t>
    <rPh sb="5" eb="6">
      <t>コ</t>
    </rPh>
    <rPh sb="10" eb="13">
      <t>ホショウショ</t>
    </rPh>
    <rPh sb="14" eb="16">
      <t>トリセツ</t>
    </rPh>
    <phoneticPr fontId="13"/>
  </si>
  <si>
    <t>取説 中古保証書(白紙)</t>
    <rPh sb="0" eb="2">
      <t>トリセツ</t>
    </rPh>
    <rPh sb="3" eb="8">
      <t>チュウコホショウショ</t>
    </rPh>
    <rPh sb="9" eb="11">
      <t>ハクシ</t>
    </rPh>
    <phoneticPr fontId="13"/>
  </si>
  <si>
    <t>保証書 ﾏｲｸﾛ地図SD(車内)</t>
    <rPh sb="0" eb="3">
      <t>ホショウショ</t>
    </rPh>
    <rPh sb="8" eb="10">
      <t>チズ</t>
    </rPh>
    <phoneticPr fontId="13"/>
  </si>
  <si>
    <t>保証書 取説 ｽﾍﾟｱｷｰ 地図SD(車内)</t>
    <rPh sb="0" eb="3">
      <t>ホショウショ</t>
    </rPh>
    <rPh sb="4" eb="6">
      <t>トリセツ</t>
    </rPh>
    <rPh sb="14" eb="16">
      <t>チズ</t>
    </rPh>
    <rPh sb="19" eb="21">
      <t>シャナイ</t>
    </rPh>
    <phoneticPr fontId="13"/>
  </si>
  <si>
    <t>保証書 取説 ｷｰﾚｽ ｽﾀｰﾄﾎﾞﾀﾝ(車内)</t>
    <rPh sb="0" eb="3">
      <t>ホショウショ</t>
    </rPh>
    <rPh sb="4" eb="6">
      <t>トリセツ</t>
    </rPh>
    <rPh sb="21" eb="23">
      <t>シャナイ</t>
    </rPh>
    <phoneticPr fontId="13"/>
  </si>
  <si>
    <t>取説 ﾏｲｸﾛ地図SD(車内)保証書</t>
    <rPh sb="0" eb="2">
      <t>トリセツ</t>
    </rPh>
    <rPh sb="7" eb="9">
      <t>チズ</t>
    </rPh>
    <rPh sb="15" eb="18">
      <t>ホショウショ</t>
    </rPh>
    <phoneticPr fontId="13"/>
  </si>
  <si>
    <t>ﾎﾞﾙﾎﾞ V40　D4ﾓﾒﾝﾀﾑ</t>
    <phoneticPr fontId="13"/>
  </si>
  <si>
    <t>27-4495</t>
  </si>
  <si>
    <t>27-4496</t>
  </si>
  <si>
    <t>27-4497</t>
  </si>
  <si>
    <t>27-4498</t>
  </si>
  <si>
    <t>27-4499</t>
  </si>
  <si>
    <t>27-4500</t>
  </si>
  <si>
    <t>27-4501</t>
  </si>
  <si>
    <t>27-4502</t>
  </si>
  <si>
    <t>27-4503</t>
  </si>
  <si>
    <t>27-4504</t>
  </si>
  <si>
    <t>27-4505</t>
  </si>
  <si>
    <t>27-4506</t>
  </si>
  <si>
    <t>27-4507</t>
  </si>
  <si>
    <t>27-4508</t>
  </si>
  <si>
    <t>27-4509</t>
  </si>
  <si>
    <t>27-4510</t>
  </si>
  <si>
    <t>27-4511</t>
  </si>
  <si>
    <t>27-4512</t>
  </si>
  <si>
    <t>JU愛知（まとめ）</t>
    <rPh sb="2" eb="4">
      <t>アイチ</t>
    </rPh>
    <phoneticPr fontId="13"/>
  </si>
  <si>
    <t>DA17W-313738</t>
    <phoneticPr fontId="13"/>
  </si>
  <si>
    <t>LA900S-0040598</t>
    <phoneticPr fontId="13"/>
  </si>
  <si>
    <t>S500P-0072578</t>
    <phoneticPr fontId="13"/>
  </si>
  <si>
    <t>MR92S-218800</t>
    <phoneticPr fontId="13"/>
  </si>
  <si>
    <t>LA800S-1004055</t>
    <phoneticPr fontId="13"/>
  </si>
  <si>
    <t>MXWH60-4105998</t>
    <phoneticPr fontId="13"/>
  </si>
  <si>
    <t>AVE30-5089899</t>
    <phoneticPr fontId="13"/>
  </si>
  <si>
    <t>AGH30-0085531</t>
    <phoneticPr fontId="13"/>
  </si>
  <si>
    <t>AGH30-0234611</t>
    <phoneticPr fontId="13"/>
  </si>
  <si>
    <t>NHP10-2518586</t>
    <phoneticPr fontId="13"/>
  </si>
  <si>
    <t>URJ202-4214244</t>
    <phoneticPr fontId="13"/>
  </si>
  <si>
    <t>多摩 499 て 1670</t>
    <rPh sb="0" eb="2">
      <t>タマ</t>
    </rPh>
    <phoneticPr fontId="13"/>
  </si>
  <si>
    <t>5/17</t>
    <phoneticPr fontId="13"/>
  </si>
  <si>
    <t>多摩 593 ろ 858</t>
    <rPh sb="0" eb="2">
      <t>タマ</t>
    </rPh>
    <phoneticPr fontId="13"/>
  </si>
  <si>
    <t>本田 潔</t>
    <rPh sb="0" eb="2">
      <t>ホンダ</t>
    </rPh>
    <rPh sb="3" eb="4">
      <t>キヨシ</t>
    </rPh>
    <phoneticPr fontId="13"/>
  </si>
  <si>
    <t>名古屋 326 や 1410</t>
    <rPh sb="0" eb="3">
      <t>ナゴヤ</t>
    </rPh>
    <phoneticPr fontId="13"/>
  </si>
  <si>
    <t>秋田 581 た 9212</t>
    <rPh sb="0" eb="2">
      <t>アキタ</t>
    </rPh>
    <phoneticPr fontId="13"/>
  </si>
  <si>
    <t>齋藤 渉</t>
    <rPh sb="0" eb="2">
      <t>サイトウ</t>
    </rPh>
    <rPh sb="3" eb="4">
      <t>アユム</t>
    </rPh>
    <phoneticPr fontId="13"/>
  </si>
  <si>
    <t>名古屋 401 わ 9127</t>
    <rPh sb="0" eb="3">
      <t>ナゴヤ</t>
    </rPh>
    <phoneticPr fontId="13"/>
  </si>
  <si>
    <t>保証書 SD ﾚﾝﾀｶｰ</t>
    <rPh sb="0" eb="3">
      <t>ホショウショ</t>
    </rPh>
    <phoneticPr fontId="13"/>
  </si>
  <si>
    <t>福岡 302 て 2469</t>
    <rPh sb="0" eb="2">
      <t>フクオカ</t>
    </rPh>
    <phoneticPr fontId="13"/>
  </si>
  <si>
    <t>品川 49A た 9043</t>
    <rPh sb="0" eb="2">
      <t>シナガワ</t>
    </rPh>
    <phoneticPr fontId="13"/>
  </si>
  <si>
    <t>品川 49A  そ 9254</t>
    <rPh sb="0" eb="2">
      <t>シナガワ</t>
    </rPh>
    <phoneticPr fontId="13"/>
  </si>
  <si>
    <t>品川 5X3 ろ 1023</t>
    <rPh sb="0" eb="2">
      <t>シナガワ</t>
    </rPh>
    <phoneticPr fontId="13"/>
  </si>
  <si>
    <t>品川 5X4 ろ 3893</t>
    <rPh sb="0" eb="2">
      <t>シナガワ</t>
    </rPh>
    <phoneticPr fontId="13"/>
  </si>
  <si>
    <t>神戸 58A け 4039</t>
    <rPh sb="0" eb="2">
      <t>コウベ</t>
    </rPh>
    <phoneticPr fontId="13"/>
  </si>
  <si>
    <t>中川 雄介</t>
    <rPh sb="0" eb="2">
      <t>ナカガワ</t>
    </rPh>
    <rPh sb="3" eb="5">
      <t>ユウスケ</t>
    </rPh>
    <phoneticPr fontId="13"/>
  </si>
  <si>
    <t>佐賀 581 こ 7525</t>
    <rPh sb="0" eb="2">
      <t>サガ</t>
    </rPh>
    <phoneticPr fontId="13"/>
  </si>
  <si>
    <t>佐賀ﾄﾖﾀ自動車株式会社</t>
    <rPh sb="0" eb="2">
      <t>サガ</t>
    </rPh>
    <rPh sb="5" eb="12">
      <t>ジドウシャカブシキガイシャ</t>
    </rPh>
    <phoneticPr fontId="13"/>
  </si>
  <si>
    <t>多摩 593 ろ 985</t>
    <rPh sb="0" eb="2">
      <t>タマ</t>
    </rPh>
    <phoneticPr fontId="13"/>
  </si>
  <si>
    <t>多摩 593 ろ 984</t>
    <rPh sb="0" eb="2">
      <t>タマ</t>
    </rPh>
    <phoneticPr fontId="13"/>
  </si>
  <si>
    <t>多摩 799 ほ 1212</t>
    <rPh sb="0" eb="2">
      <t>タマ</t>
    </rPh>
    <phoneticPr fontId="13"/>
  </si>
  <si>
    <t>多摩 593 ろ 857</t>
    <rPh sb="0" eb="2">
      <t>タマ</t>
    </rPh>
    <phoneticPr fontId="13"/>
  </si>
  <si>
    <t>岡山 399 な 7011</t>
    <rPh sb="0" eb="2">
      <t>オカヤマ</t>
    </rPh>
    <phoneticPr fontId="13"/>
  </si>
  <si>
    <t>TRUZZZ8J4D1009045</t>
    <phoneticPr fontId="13"/>
  </si>
  <si>
    <t>株式会社ﾎﾝﾀﾞ四輪販売中京</t>
    <rPh sb="0" eb="4">
      <t>カブシキガイシャ</t>
    </rPh>
    <rPh sb="8" eb="10">
      <t>ヨンリン</t>
    </rPh>
    <rPh sb="10" eb="12">
      <t>ハンバイ</t>
    </rPh>
    <rPh sb="12" eb="14">
      <t>チュウキョウ</t>
    </rPh>
    <phoneticPr fontId="13"/>
  </si>
  <si>
    <t>取説 ｷｰﾚｽ ﾌﾟﾗｷｰ(車内) 地図SD</t>
    <rPh sb="0" eb="2">
      <t>トリセツ</t>
    </rPh>
    <rPh sb="18" eb="20">
      <t>チズ</t>
    </rPh>
    <phoneticPr fontId="13"/>
  </si>
  <si>
    <r>
      <t xml:space="preserve">ZIPで探し中 </t>
    </r>
    <r>
      <rPr>
        <sz val="8"/>
        <color theme="1"/>
        <rFont val="ＭＳ Ｐゴシック"/>
        <family val="3"/>
        <charset val="128"/>
        <scheme val="minor"/>
      </rPr>
      <t>※鍵が合っていた</t>
    </r>
    <rPh sb="4" eb="5">
      <t>サガ</t>
    </rPh>
    <rPh sb="6" eb="7">
      <t>チュウ</t>
    </rPh>
    <rPh sb="9" eb="10">
      <t>カギ</t>
    </rPh>
    <rPh sb="11" eb="12">
      <t>ア</t>
    </rPh>
    <phoneticPr fontId="13"/>
  </si>
  <si>
    <t>27-4513</t>
  </si>
  <si>
    <t>27-4514</t>
  </si>
  <si>
    <t>27-4515</t>
  </si>
  <si>
    <t>27-4516</t>
  </si>
  <si>
    <t>27-4517</t>
  </si>
  <si>
    <t>27-4518</t>
  </si>
  <si>
    <t>27-4519</t>
  </si>
  <si>
    <t>27-4520</t>
  </si>
  <si>
    <t>NCP160-0157725</t>
    <phoneticPr fontId="13"/>
  </si>
  <si>
    <t>AGH30-0294330</t>
    <phoneticPr fontId="13"/>
  </si>
  <si>
    <t>ﾚｸｻｽLS ﾊｲﾌﾞﾘｯﾄﾞ</t>
    <phoneticPr fontId="13"/>
  </si>
  <si>
    <t>SNE13-183645</t>
    <phoneticPr fontId="13"/>
  </si>
  <si>
    <t>M900S-0005370</t>
    <phoneticPr fontId="13"/>
  </si>
  <si>
    <t>JF5-1039713</t>
    <phoneticPr fontId="13"/>
  </si>
  <si>
    <t>JF5-1017479</t>
    <phoneticPr fontId="13"/>
  </si>
  <si>
    <t>LA650S-0281341</t>
    <phoneticPr fontId="13"/>
  </si>
  <si>
    <t>HE33S-327945</t>
    <phoneticPr fontId="13"/>
  </si>
  <si>
    <t>HE33S-504825</t>
    <phoneticPr fontId="13"/>
  </si>
  <si>
    <t>LA600S-0271359</t>
    <phoneticPr fontId="13"/>
  </si>
  <si>
    <t>S500P-0195803</t>
    <phoneticPr fontId="13"/>
  </si>
  <si>
    <t>MH34S-536515</t>
    <phoneticPr fontId="13"/>
  </si>
  <si>
    <t>MH34S-284562</t>
    <phoneticPr fontId="13"/>
  </si>
  <si>
    <t>非課税OK</t>
    <rPh sb="0" eb="3">
      <t>ヒカゼイ</t>
    </rPh>
    <phoneticPr fontId="13"/>
  </si>
  <si>
    <t>27-4521</t>
  </si>
  <si>
    <t>27-4522</t>
  </si>
  <si>
    <t>27-4523</t>
  </si>
  <si>
    <t>27-4524</t>
  </si>
  <si>
    <t>27-4525</t>
  </si>
  <si>
    <t>27-4526</t>
  </si>
  <si>
    <t>27-4527</t>
  </si>
  <si>
    <t>A339004</t>
    <phoneticPr fontId="13"/>
  </si>
  <si>
    <t>A400784</t>
    <phoneticPr fontId="13"/>
  </si>
  <si>
    <t>A401149</t>
    <phoneticPr fontId="13"/>
  </si>
  <si>
    <t>27-4528</t>
  </si>
  <si>
    <t>27-4529</t>
  </si>
  <si>
    <t>27-4530</t>
  </si>
  <si>
    <t>27-4531</t>
  </si>
  <si>
    <t>27-4532</t>
  </si>
  <si>
    <t>27-4533</t>
  </si>
  <si>
    <t>27-4534</t>
  </si>
  <si>
    <t>27-4535</t>
  </si>
  <si>
    <t>LA350S-0186000</t>
    <phoneticPr fontId="13"/>
  </si>
  <si>
    <t>LA350S-0134748</t>
    <phoneticPr fontId="13"/>
  </si>
  <si>
    <t>HE22S-244985</t>
    <phoneticPr fontId="13"/>
  </si>
  <si>
    <t>S321V-0446273</t>
    <phoneticPr fontId="13"/>
  </si>
  <si>
    <t>LA360S-0008962</t>
    <phoneticPr fontId="13"/>
  </si>
  <si>
    <t>B44W-0128229</t>
    <phoneticPr fontId="13"/>
  </si>
  <si>
    <t>E13-225320</t>
    <phoneticPr fontId="13"/>
  </si>
  <si>
    <t>E13-224792</t>
    <phoneticPr fontId="13"/>
  </si>
  <si>
    <t>E13-224787</t>
    <phoneticPr fontId="13"/>
  </si>
  <si>
    <t>E13-226233</t>
    <phoneticPr fontId="13"/>
  </si>
  <si>
    <t>27-4536</t>
  </si>
  <si>
    <t>27-4537</t>
  </si>
  <si>
    <t>27-4538</t>
  </si>
  <si>
    <t>27-4539</t>
  </si>
  <si>
    <t>27-4540</t>
  </si>
  <si>
    <t>27-4541</t>
  </si>
  <si>
    <t>27-4542</t>
  </si>
  <si>
    <t>27-4543</t>
  </si>
  <si>
    <t>27-4544</t>
  </si>
  <si>
    <t>27-4545</t>
  </si>
  <si>
    <t>27-4546</t>
  </si>
  <si>
    <t>27-4547</t>
  </si>
  <si>
    <t>27-4548</t>
  </si>
  <si>
    <t>27-4549</t>
  </si>
  <si>
    <t>27-4550</t>
  </si>
  <si>
    <t>MH55S-203234</t>
    <phoneticPr fontId="13"/>
  </si>
  <si>
    <t>JB23W-708455</t>
    <phoneticPr fontId="13"/>
  </si>
  <si>
    <t>ｳﾞｫｸｼｰ ZS 煌</t>
    <rPh sb="10" eb="11">
      <t>キラメ</t>
    </rPh>
    <phoneticPr fontId="13"/>
  </si>
  <si>
    <t>ZRR80-0237325</t>
    <phoneticPr fontId="13"/>
  </si>
  <si>
    <t>ｶﾑﾘ WS ﾚｻﾞｰﾊﾟｯｹｰｼﾞ</t>
    <phoneticPr fontId="13"/>
  </si>
  <si>
    <t>AXVH70-1038237</t>
    <phoneticPr fontId="13"/>
  </si>
  <si>
    <t>MXPK11-2072583</t>
    <phoneticPr fontId="13"/>
  </si>
  <si>
    <t>MR92S-452609</t>
    <phoneticPr fontId="13"/>
  </si>
  <si>
    <t>WMWXY320602N65165</t>
    <phoneticPr fontId="13"/>
  </si>
  <si>
    <t>ﾎﾞﾙﾎﾞ V60 T5 ﾓﾒﾝﾀﾑ</t>
    <phoneticPr fontId="13"/>
  </si>
  <si>
    <t>YV1ZW10MDK1006909</t>
    <phoneticPr fontId="13"/>
  </si>
  <si>
    <t>ﾊｽﾗｰ J ｽﾀｲﾙ2</t>
    <phoneticPr fontId="13"/>
  </si>
  <si>
    <t>MR41S-200956</t>
    <phoneticPr fontId="13"/>
  </si>
  <si>
    <t>ANH20-8301813</t>
    <phoneticPr fontId="13"/>
  </si>
  <si>
    <t>M700S-0177592</t>
    <phoneticPr fontId="13"/>
  </si>
  <si>
    <t>MK42S-205988</t>
    <phoneticPr fontId="13"/>
  </si>
  <si>
    <t>HE33S-306311</t>
    <phoneticPr fontId="13"/>
  </si>
  <si>
    <t>27-4551</t>
  </si>
  <si>
    <t>ﾌﾚｱ ﾊｲﾌﾞﾘｯﾄﾞXG</t>
    <phoneticPr fontId="13"/>
  </si>
  <si>
    <t>MJ95S-109346</t>
    <phoneticPr fontId="13"/>
  </si>
  <si>
    <t>MH34S-411386</t>
    <phoneticPr fontId="13"/>
  </si>
  <si>
    <t>27-4552</t>
  </si>
  <si>
    <t>27-4553</t>
  </si>
  <si>
    <t>27-4554</t>
  </si>
  <si>
    <t>27-4555</t>
  </si>
  <si>
    <t>27-4556</t>
  </si>
  <si>
    <t>27-4557</t>
  </si>
  <si>
    <t>27-4558</t>
  </si>
  <si>
    <t>27-4559</t>
  </si>
  <si>
    <t>27-4560</t>
  </si>
  <si>
    <t>27-4561</t>
  </si>
  <si>
    <t>27-4562</t>
  </si>
  <si>
    <t>27-4563</t>
  </si>
  <si>
    <t>27-4564</t>
  </si>
  <si>
    <t>27-4565</t>
  </si>
  <si>
    <t>27-4566</t>
  </si>
  <si>
    <t>27-4567</t>
  </si>
  <si>
    <t>27-4568</t>
  </si>
  <si>
    <t>27-4569</t>
  </si>
  <si>
    <t>27-4570</t>
  </si>
  <si>
    <t>27-4571</t>
  </si>
  <si>
    <t>27-4572</t>
  </si>
  <si>
    <t>27-4573</t>
  </si>
  <si>
    <t>MN71S-147937</t>
    <phoneticPr fontId="13"/>
  </si>
  <si>
    <t>ﾌﾟﾘｳｽ Aﾂｰﾘﾝｸﾞｾﾚｸｼｮﾝ</t>
    <phoneticPr fontId="13"/>
  </si>
  <si>
    <t>ZVW51-6028891</t>
    <phoneticPr fontId="13"/>
  </si>
  <si>
    <t>MR41S-287259</t>
    <phoneticPr fontId="13"/>
  </si>
  <si>
    <t>ﾀﾝﾄ LﾘﾐﾃｯﾄﾞSA3</t>
    <phoneticPr fontId="13"/>
  </si>
  <si>
    <t>LA610S-0140387</t>
    <phoneticPr fontId="13"/>
  </si>
  <si>
    <t>DA17W-129731</t>
    <phoneticPr fontId="13"/>
  </si>
  <si>
    <t>HE33S-106121</t>
    <phoneticPr fontId="13"/>
  </si>
  <si>
    <t>MR31S-202348</t>
    <phoneticPr fontId="13"/>
  </si>
  <si>
    <t>LA900S-0143089</t>
    <phoneticPr fontId="13"/>
  </si>
  <si>
    <t>MR41S-319208</t>
    <phoneticPr fontId="13"/>
  </si>
  <si>
    <t>LA650S-0130565</t>
    <phoneticPr fontId="13"/>
  </si>
  <si>
    <t>ﾜｺﾞﾝRｽﾃｨﾝｸﾞﾚｰ ﾊｲﾌﾞﾘｯﾄﾞT</t>
    <phoneticPr fontId="13"/>
  </si>
  <si>
    <t>MH55S-909503</t>
    <phoneticPr fontId="13"/>
  </si>
  <si>
    <t>JF1-1914950</t>
    <phoneticPr fontId="13"/>
  </si>
  <si>
    <t>MR41S-380000</t>
    <phoneticPr fontId="13"/>
  </si>
  <si>
    <t>MK53S-486272</t>
    <phoneticPr fontId="13"/>
  </si>
  <si>
    <t>LA800S-0046750</t>
    <phoneticPr fontId="13"/>
  </si>
  <si>
    <t>ﾙﾉｰ ｶﾝｸﾞｰ ｸﾙｰﾙ</t>
    <phoneticPr fontId="13"/>
  </si>
  <si>
    <t>BMW 3ｼﾘｰｽﾞ 318 Iｸﾗｼｯｸ</t>
    <phoneticPr fontId="13"/>
  </si>
  <si>
    <t>ZFABF13H9MJF16401</t>
    <phoneticPr fontId="13"/>
  </si>
  <si>
    <t>3B54129</t>
    <phoneticPr fontId="13"/>
  </si>
  <si>
    <t>岡山 330 ろ 332</t>
    <rPh sb="0" eb="2">
      <t>オカヤマ</t>
    </rPh>
    <phoneticPr fontId="13"/>
  </si>
  <si>
    <t>ｴﾌﾞﾘｨW PZﾀｰﾎﾞ</t>
    <phoneticPr fontId="13"/>
  </si>
  <si>
    <t>名古屋 583 や 1817</t>
    <rPh sb="0" eb="3">
      <t>ナゴヤ</t>
    </rPh>
    <phoneticPr fontId="13"/>
  </si>
  <si>
    <t>10/2/23</t>
    <phoneticPr fontId="13"/>
  </si>
  <si>
    <t>岡崎 583 あ 3195</t>
    <rPh sb="0" eb="2">
      <t>オカザキ</t>
    </rPh>
    <phoneticPr fontId="13"/>
  </si>
  <si>
    <t>ﾊｲｾﾞｯﾄT ｴｸｽﾄﾗ</t>
    <phoneticPr fontId="13"/>
  </si>
  <si>
    <t>ﾜﾝｵｰﾅｰ　　</t>
    <phoneticPr fontId="13"/>
  </si>
  <si>
    <t xml:space="preserve">ﾑｰｳﾞｷｬﾝﾊﾞｽ Gﾒｲｸｱｯﾌﾟ </t>
    <phoneticPr fontId="13"/>
  </si>
  <si>
    <t>福井 353 ち 15</t>
    <rPh sb="0" eb="2">
      <t>フクイ</t>
    </rPh>
    <phoneticPr fontId="13"/>
  </si>
  <si>
    <t>ﾚｸｻｽIS 300h ﾊﾞｰｼﾞｮﾝL</t>
    <phoneticPr fontId="13"/>
  </si>
  <si>
    <t xml:space="preserve">保証書 取説 ﾅﾋﾞ取 ｽﾏｰﾄｷｰ ｶｰﾄﾞｷｰ </t>
    <rPh sb="0" eb="3">
      <t>ホショウショ</t>
    </rPh>
    <rPh sb="4" eb="6">
      <t>トリセツ</t>
    </rPh>
    <rPh sb="10" eb="11">
      <t>トリ</t>
    </rPh>
    <phoneticPr fontId="13"/>
  </si>
  <si>
    <t>尾張小牧 374 さ 88</t>
    <rPh sb="0" eb="4">
      <t>オワリコマキ</t>
    </rPh>
    <phoneticPr fontId="13"/>
  </si>
  <si>
    <t>ｱｸｱ　G ﾌﾞﾗｯｸｿﾌﾄﾚｻﾞｰｾﾚｸｼｮﾝ</t>
    <phoneticPr fontId="13"/>
  </si>
  <si>
    <t>ﾗﾝﾄﾞｸﾙｰｻﾞｰ200 ZX</t>
    <phoneticPr fontId="13"/>
  </si>
  <si>
    <t>9/7/21</t>
    <phoneticPr fontId="13"/>
  </si>
  <si>
    <t>大阪 346 ふ 103</t>
    <rPh sb="0" eb="2">
      <t>オオサカ</t>
    </rPh>
    <phoneticPr fontId="13"/>
  </si>
  <si>
    <t>Ｓｷｰ ﾜﾝｵｰﾅｰ</t>
    <phoneticPr fontId="13"/>
  </si>
  <si>
    <t>大阪 480 め 8610</t>
    <rPh sb="0" eb="2">
      <t>オオサカ</t>
    </rPh>
    <phoneticPr fontId="13"/>
  </si>
  <si>
    <t>ﾜｺﾞﾝR　 FX</t>
    <phoneticPr fontId="13"/>
  </si>
  <si>
    <t>取説 ﾅﾝﾊﾞｰ</t>
    <rPh sb="0" eb="2">
      <t>トリセツ</t>
    </rPh>
    <phoneticPr fontId="13"/>
  </si>
  <si>
    <t>ﾜｺﾞﾝR FX-E</t>
    <phoneticPr fontId="13"/>
  </si>
  <si>
    <t>ﾀﾝﾄﾌｧﾝｸﾛｽ ﾀｰﾎﾞ</t>
    <phoneticPr fontId="13"/>
  </si>
  <si>
    <t>和泉 590 ほ 16</t>
    <rPh sb="0" eb="2">
      <t>イズミ</t>
    </rPh>
    <phoneticPr fontId="13"/>
  </si>
  <si>
    <t>保証書 取説 ﾅﾋﾞ取 SD ｽﾏｰﾄｷｰ ﾜﾝｵｰﾅｰ</t>
    <rPh sb="0" eb="3">
      <t>ホショウショ</t>
    </rPh>
    <rPh sb="4" eb="6">
      <t>トリセツ</t>
    </rPh>
    <rPh sb="10" eb="11">
      <t>トリ</t>
    </rPh>
    <phoneticPr fontId="13"/>
  </si>
  <si>
    <t>ﾄｰﾙ G</t>
    <phoneticPr fontId="13"/>
  </si>
  <si>
    <t>ﾉｰﾄ X FOUR</t>
    <phoneticPr fontId="13"/>
  </si>
  <si>
    <t>GVF55-01204379</t>
    <phoneticPr fontId="13"/>
  </si>
  <si>
    <t>なにわ 302 た 4065</t>
    <phoneticPr fontId="13"/>
  </si>
  <si>
    <t>なにわ 331 ひ 9898</t>
    <phoneticPr fontId="13"/>
  </si>
  <si>
    <t>B-CAS ｽﾏｰﾄｷｰ ﾜﾝｵｰﾅｰ 名変期限6/16</t>
    <rPh sb="20" eb="24">
      <t>メイヘンキゲン</t>
    </rPh>
    <phoneticPr fontId="13"/>
  </si>
  <si>
    <t>ﾌﾟﾛﾎﾞｯｸｽﾊﾞﾝ GL</t>
    <phoneticPr fontId="13"/>
  </si>
  <si>
    <t>保証書 取説 ﾅﾝﾊﾞｰ ﾜﾝｵｰﾅｰ</t>
    <rPh sb="0" eb="3">
      <t>ホショウショ</t>
    </rPh>
    <rPh sb="4" eb="6">
      <t>トリセツ</t>
    </rPh>
    <phoneticPr fontId="13"/>
  </si>
  <si>
    <t>AGH30-0381019</t>
    <phoneticPr fontId="13"/>
  </si>
  <si>
    <t>ｸﾗｳﾝｴｽﾃｰﾄ ﾊｲﾌﾞﾘｯﾄﾞZ</t>
    <phoneticPr fontId="13"/>
  </si>
  <si>
    <t>AZSH38-4010283</t>
    <phoneticPr fontId="13"/>
  </si>
  <si>
    <t xml:space="preserve"> ｳﾞｪｾﾞﾙ e HEV Z</t>
    <phoneticPr fontId="13"/>
  </si>
  <si>
    <t>RV5-1051143</t>
    <phoneticPr fontId="13"/>
  </si>
  <si>
    <t>BMW X3 M40d</t>
    <phoneticPr fontId="13"/>
  </si>
  <si>
    <t>WBATX920109B26728</t>
    <phoneticPr fontId="13"/>
  </si>
  <si>
    <t>ﾐﾗｲｰｽ GﾘﾐﾃｯﾄﾞSA3</t>
    <phoneticPr fontId="13"/>
  </si>
  <si>
    <t>名古屋 583 さ 3608</t>
    <rPh sb="0" eb="3">
      <t>ナゴヤ</t>
    </rPh>
    <phoneticPr fontId="13"/>
  </si>
  <si>
    <t>名古屋 583 け 2346</t>
    <rPh sb="0" eb="3">
      <t>ナゴヤ</t>
    </rPh>
    <phoneticPr fontId="13"/>
  </si>
  <si>
    <t>ｱﾙﾄﾗﾊﾟﾝ 10thｱﾆﾊﾞｰｻﾘｰ</t>
    <phoneticPr fontId="13"/>
  </si>
  <si>
    <t>ﾋﾟｸｼｽ ｴﾎﾟｯｸ X SA3</t>
    <phoneticPr fontId="13"/>
  </si>
  <si>
    <t>ﾚｼﾞｱﾝｽｴｰｽﾊﾞﾝ DX</t>
    <phoneticPr fontId="13"/>
  </si>
  <si>
    <t>TRH200K-0190987</t>
    <phoneticPr fontId="13"/>
  </si>
  <si>
    <t>非課税問い合わせ</t>
    <rPh sb="0" eb="3">
      <t>ヒカゼイ</t>
    </rPh>
    <rPh sb="3" eb="4">
      <t>ト</t>
    </rPh>
    <rPh sb="5" eb="6">
      <t>ア</t>
    </rPh>
    <phoneticPr fontId="13"/>
  </si>
  <si>
    <t>ﾃﾞｲｽ ﾊｲｳｪｲｽﾀｰX</t>
    <phoneticPr fontId="13"/>
  </si>
  <si>
    <t>豊橋 583 あ 3430</t>
    <rPh sb="0" eb="2">
      <t>トヨハシ</t>
    </rPh>
    <phoneticPr fontId="13"/>
  </si>
  <si>
    <t>ﾉｰﾄ X</t>
    <phoneticPr fontId="13"/>
  </si>
  <si>
    <t>保証書 取説 ｽﾍﾟｱｷｰ ﾄﾞﾗﾚｺSD</t>
    <rPh sb="0" eb="3">
      <t>ホショウショ</t>
    </rPh>
    <rPh sb="4" eb="6">
      <t>トリセツ</t>
    </rPh>
    <phoneticPr fontId="13"/>
  </si>
  <si>
    <t>保証書 取説 ｽﾏｰﾄｷｰ ｴﾝｼﾞﾝｽﾀｰﾀｰ</t>
    <rPh sb="0" eb="3">
      <t>ホショウショ</t>
    </rPh>
    <rPh sb="4" eb="6">
      <t>トリセツ</t>
    </rPh>
    <phoneticPr fontId="13"/>
  </si>
  <si>
    <t>9/7/7</t>
    <phoneticPr fontId="13"/>
  </si>
  <si>
    <t>9/11/28</t>
    <phoneticPr fontId="13"/>
  </si>
  <si>
    <t>名変期限7/21</t>
    <rPh sb="0" eb="4">
      <t>メイヘンキゲン</t>
    </rPh>
    <phoneticPr fontId="13"/>
  </si>
  <si>
    <t>WMW42BT0903P38670</t>
    <phoneticPr fontId="13"/>
  </si>
  <si>
    <t>倉敷 348 り 1010</t>
    <rPh sb="0" eb="2">
      <t>クラシキ</t>
    </rPh>
    <phoneticPr fontId="13"/>
  </si>
  <si>
    <t>ｼﾞｰﾌﾟ ｺﾝﾊﾟｽ ｸﾗｲｽﾗｰ ﾘﾐﾃｯﾄﾞ</t>
    <phoneticPr fontId="13"/>
  </si>
  <si>
    <t>MCANJRCB9PFB05209</t>
    <phoneticPr fontId="13"/>
  </si>
  <si>
    <t>WBA8E36040N79214</t>
    <phoneticPr fontId="13"/>
  </si>
  <si>
    <t>京都 302 す 1811</t>
    <rPh sb="0" eb="2">
      <t>キョウト</t>
    </rPh>
    <phoneticPr fontId="13"/>
  </si>
  <si>
    <t>ZFA3120000JC57192</t>
    <phoneticPr fontId="13"/>
  </si>
  <si>
    <t>和泉 502 の 6432</t>
    <rPh sb="0" eb="2">
      <t>イズミ</t>
    </rPh>
    <phoneticPr fontId="13"/>
  </si>
  <si>
    <t>VF1KW14B3K0801785</t>
    <phoneticPr fontId="13"/>
  </si>
  <si>
    <t>神戸 331 さ 9333</t>
    <rPh sb="0" eb="2">
      <t>コウベ</t>
    </rPh>
    <phoneticPr fontId="13"/>
  </si>
  <si>
    <t>ﾎﾞﾙﾎﾞ V60 B4 ﾓﾒﾝﾀﾑ</t>
    <phoneticPr fontId="13"/>
  </si>
  <si>
    <t>YV1ZWK8M2480811</t>
    <phoneticPr fontId="13"/>
  </si>
  <si>
    <t>和歌山 330 や 2217</t>
    <rPh sb="0" eb="3">
      <t>ワカヤマ</t>
    </rPh>
    <phoneticPr fontId="13"/>
  </si>
  <si>
    <t>VW ｱﾙﾃｵﾝ TSI ｴﾚｶﾞﾝｽ</t>
    <phoneticPr fontId="13"/>
  </si>
  <si>
    <t>WVWZZZ3HZME010393</t>
    <phoneticPr fontId="13"/>
  </si>
  <si>
    <t>神戸 304 ら 7185</t>
    <rPh sb="0" eb="2">
      <t>コウベ</t>
    </rPh>
    <phoneticPr fontId="13"/>
  </si>
  <si>
    <t>整備手帳 取説 ｽﾍﾟｱｷｰ ﾜﾝｵｰﾅｰ</t>
    <rPh sb="0" eb="4">
      <t>セイビテチョウ</t>
    </rPh>
    <rPh sb="5" eb="7">
      <t>トリセツ</t>
    </rPh>
    <phoneticPr fontId="13"/>
  </si>
  <si>
    <t>高松 580 く 6678</t>
    <rPh sb="0" eb="2">
      <t>タカマツ</t>
    </rPh>
    <phoneticPr fontId="13"/>
  </si>
  <si>
    <t>和泉 581 ね 1173</t>
    <rPh sb="0" eb="2">
      <t>イズミ</t>
    </rPh>
    <phoneticPr fontId="13"/>
  </si>
  <si>
    <t>岡山 581 そ 8694</t>
    <rPh sb="0" eb="2">
      <t>オカヤマ</t>
    </rPh>
    <phoneticPr fontId="13"/>
  </si>
  <si>
    <t>保証書 取説 Sｷｰ 地図SD B-CAS ﾜﾝｵｰﾅｰ</t>
    <rPh sb="0" eb="3">
      <t>ホショウショ</t>
    </rPh>
    <rPh sb="4" eb="6">
      <t>トリセツ</t>
    </rPh>
    <rPh sb="11" eb="13">
      <t>チズ</t>
    </rPh>
    <phoneticPr fontId="13"/>
  </si>
  <si>
    <t>京都 588 ね 1027</t>
    <rPh sb="0" eb="2">
      <t>キョウト</t>
    </rPh>
    <phoneticPr fontId="13"/>
  </si>
  <si>
    <t>大阪 582 ち 5566</t>
    <rPh sb="0" eb="2">
      <t>オオサカ</t>
    </rPh>
    <phoneticPr fontId="13"/>
  </si>
  <si>
    <t>保証書 ﾜﾝｵｰﾅｰ 名変期限6/13</t>
    <rPh sb="0" eb="3">
      <t>ホショウショ</t>
    </rPh>
    <rPh sb="11" eb="15">
      <t>メイヘンキゲン</t>
    </rPh>
    <phoneticPr fontId="13"/>
  </si>
  <si>
    <t>徳島 331 て 2030</t>
    <rPh sb="0" eb="2">
      <t>トクシマ</t>
    </rPh>
    <phoneticPr fontId="13"/>
  </si>
  <si>
    <t>保証書 取説 ﾅﾋﾞ取 ｽﾍﾟｱｷｰ SD B-CAS ﾜﾝｵｰﾅｰ</t>
    <rPh sb="0" eb="3">
      <t>ホショウショ</t>
    </rPh>
    <rPh sb="4" eb="6">
      <t>トリセツ</t>
    </rPh>
    <rPh sb="10" eb="11">
      <t>トリ</t>
    </rPh>
    <phoneticPr fontId="13"/>
  </si>
  <si>
    <t>301 の 1223</t>
    <phoneticPr fontId="13"/>
  </si>
  <si>
    <t>301 の 1224</t>
    <phoneticPr fontId="13"/>
  </si>
  <si>
    <t>301 の 1225</t>
    <phoneticPr fontId="13"/>
  </si>
  <si>
    <t>301 の 1226</t>
    <phoneticPr fontId="13"/>
  </si>
  <si>
    <t>301 の 1227</t>
    <phoneticPr fontId="13"/>
  </si>
  <si>
    <t>301 の 1228</t>
    <phoneticPr fontId="13"/>
  </si>
  <si>
    <t>301 の 1229</t>
    <phoneticPr fontId="13"/>
  </si>
  <si>
    <t>BMWﾐﾆ ｸﾗﾌﾞﾏﾝ ｸｰﾊﾟｰ</t>
    <phoneticPr fontId="13"/>
  </si>
  <si>
    <t>2D74156</t>
    <phoneticPr fontId="13"/>
  </si>
  <si>
    <t>YV1FWA8RDH1329123</t>
    <phoneticPr fontId="13"/>
  </si>
  <si>
    <t>ﾌﾟｼﾞｮｰ GT ﾄﾞﾗｲﾌﾞｴﾃﾞｨｼｮﾝ</t>
    <phoneticPr fontId="13"/>
  </si>
  <si>
    <t>VR3USHNSSMJ710383</t>
    <phoneticPr fontId="13"/>
  </si>
  <si>
    <t xml:space="preserve">ｽﾏｰﾄｷｰ記載 車内確認    保証書 取説 </t>
    <rPh sb="6" eb="8">
      <t>キサイ</t>
    </rPh>
    <rPh sb="9" eb="11">
      <t>シャナイ</t>
    </rPh>
    <rPh sb="11" eb="13">
      <t>カクニン</t>
    </rPh>
    <rPh sb="17" eb="20">
      <t>ホショウショ</t>
    </rPh>
    <rPh sb="21" eb="23">
      <t>トリセツ</t>
    </rPh>
    <phoneticPr fontId="13"/>
  </si>
  <si>
    <t>ﾒﾙｾﾃﾞｽﾍﾞﾝﾂ GLAｸﾗｽ 200d</t>
    <phoneticPr fontId="13"/>
  </si>
  <si>
    <t>W1N2477132J276965</t>
    <phoneticPr fontId="13"/>
  </si>
  <si>
    <t xml:space="preserve">ｽﾏｰﾄｷｰ記載 車内確認    保証書 取説 </t>
    <rPh sb="6" eb="8">
      <t>キサイ</t>
    </rPh>
    <rPh sb="9" eb="13">
      <t>シャナイカクニン</t>
    </rPh>
    <rPh sb="17" eb="20">
      <t>ホショウショ</t>
    </rPh>
    <rPh sb="21" eb="23">
      <t>トリセツ</t>
    </rPh>
    <phoneticPr fontId="13"/>
  </si>
  <si>
    <t>BMW 6ｼﾘｰｽﾞ ｸﾞﾗﾝｸｰﾍﾟ650i</t>
    <phoneticPr fontId="13"/>
  </si>
  <si>
    <t>WBA6B22010D289523</t>
    <phoneticPr fontId="13"/>
  </si>
  <si>
    <t>BMW3ｼﾘｰｽﾞ ﾂｰﾘﾝｸﾞ320d xdrive</t>
    <phoneticPr fontId="13"/>
  </si>
  <si>
    <t>WBA6L72060F24183</t>
    <phoneticPr fontId="13"/>
  </si>
  <si>
    <t>ｽﾏｰﾄｷｰ記載 車内確認   保証書 取説</t>
    <rPh sb="6" eb="8">
      <t>キサイ</t>
    </rPh>
    <rPh sb="9" eb="13">
      <t>シャナイカクニン</t>
    </rPh>
    <rPh sb="16" eb="19">
      <t>ホショウショ</t>
    </rPh>
    <rPh sb="20" eb="22">
      <t>トリセツ</t>
    </rPh>
    <phoneticPr fontId="13"/>
  </si>
  <si>
    <t>ｱｳﾃﾞｨS5 ｽﾎﾟｰﾂﾊﾞｯｸ</t>
    <phoneticPr fontId="13"/>
  </si>
  <si>
    <t>WAUZZZ8T5GA006006</t>
    <phoneticPr fontId="13"/>
  </si>
  <si>
    <t>大阪 355 や 1025</t>
    <rPh sb="0" eb="2">
      <t>オオサカ</t>
    </rPh>
    <phoneticPr fontId="13"/>
  </si>
  <si>
    <t>充電ｹｰﾌﾞﾙ 保証書 取説</t>
    <rPh sb="0" eb="2">
      <t>ジュウデン</t>
    </rPh>
    <rPh sb="8" eb="11">
      <t>ホショウショ</t>
    </rPh>
    <rPh sb="12" eb="14">
      <t>トリセツ</t>
    </rPh>
    <phoneticPr fontId="13"/>
  </si>
  <si>
    <r>
      <t xml:space="preserve">取説 ｷｰﾚｽ 記録 </t>
    </r>
    <r>
      <rPr>
        <sz val="11"/>
        <color rgb="FFFF0000"/>
        <rFont val="ＭＳ Ｐゴシック"/>
        <family val="3"/>
        <charset val="128"/>
        <scheme val="minor"/>
      </rPr>
      <t>保証書未着問い合わせ中</t>
    </r>
    <rPh sb="0" eb="2">
      <t>トリセツ</t>
    </rPh>
    <rPh sb="8" eb="10">
      <t>キロク</t>
    </rPh>
    <rPh sb="11" eb="14">
      <t>ホショウショ</t>
    </rPh>
    <rPh sb="14" eb="16">
      <t>ミチャク</t>
    </rPh>
    <rPh sb="16" eb="17">
      <t>ト</t>
    </rPh>
    <rPh sb="18" eb="19">
      <t>ア</t>
    </rPh>
    <rPh sb="21" eb="22">
      <t>チュウ</t>
    </rPh>
    <phoneticPr fontId="13"/>
  </si>
  <si>
    <t>A342658</t>
    <phoneticPr fontId="13"/>
  </si>
  <si>
    <t>A400755</t>
    <phoneticPr fontId="13"/>
  </si>
  <si>
    <t>A402142</t>
    <phoneticPr fontId="13"/>
  </si>
  <si>
    <t>ｳﾞｪｾﾞﾙ e HEV Z</t>
    <phoneticPr fontId="13"/>
  </si>
  <si>
    <t>RV5-1021405</t>
    <phoneticPr fontId="13"/>
  </si>
  <si>
    <t>ｷｬﾝｾﾙ返送5/19</t>
    <rPh sb="5" eb="7">
      <t>ヘンソウ</t>
    </rPh>
    <phoneticPr fontId="13"/>
  </si>
  <si>
    <t>ｽﾍﾟｱｷｰ車内に入れたままと連絡あり</t>
    <rPh sb="6" eb="8">
      <t>シャナイ</t>
    </rPh>
    <rPh sb="9" eb="10">
      <t>イ</t>
    </rPh>
    <rPh sb="15" eb="17">
      <t>レンラク</t>
    </rPh>
    <phoneticPr fontId="13"/>
  </si>
  <si>
    <t>ｼﾞｬｶﾞｰI ﾍﾟｲｽ HSE</t>
    <phoneticPr fontId="13"/>
  </si>
  <si>
    <t>SADHA2A12K1F76311</t>
    <phoneticPr fontId="13"/>
  </si>
  <si>
    <t>MN71S-147369</t>
    <phoneticPr fontId="13"/>
  </si>
  <si>
    <t>A402960</t>
    <phoneticPr fontId="13"/>
  </si>
  <si>
    <t>JF3-1492978</t>
    <phoneticPr fontId="13"/>
  </si>
  <si>
    <t>整備手帳 取説 ﾜﾝｵｰﾅｰ</t>
    <rPh sb="0" eb="4">
      <t>セイビテチョウ</t>
    </rPh>
    <rPh sb="5" eb="7">
      <t>トリセツ</t>
    </rPh>
    <phoneticPr fontId="13"/>
  </si>
  <si>
    <t>27-4574</t>
  </si>
  <si>
    <t>27-4575</t>
  </si>
  <si>
    <t>27-4576</t>
  </si>
  <si>
    <t>27-4577</t>
  </si>
  <si>
    <t>27-4578</t>
  </si>
  <si>
    <t>27-4579</t>
  </si>
  <si>
    <t>27-4580</t>
  </si>
  <si>
    <t>27-4581</t>
  </si>
  <si>
    <t>27-4582</t>
  </si>
  <si>
    <t>27-4583</t>
  </si>
  <si>
    <t>27-4584</t>
  </si>
  <si>
    <t>ZC7-1000992</t>
    <phoneticPr fontId="13"/>
  </si>
  <si>
    <t>尾張小牧 302 ゆ 5712</t>
    <rPh sb="0" eb="4">
      <t>オワリコマキ</t>
    </rPh>
    <phoneticPr fontId="13"/>
  </si>
  <si>
    <t>南 俊成</t>
    <rPh sb="0" eb="1">
      <t>ミナミ</t>
    </rPh>
    <rPh sb="2" eb="3">
      <t>シュン</t>
    </rPh>
    <rPh sb="3" eb="4">
      <t>ナリ</t>
    </rPh>
    <phoneticPr fontId="13"/>
  </si>
  <si>
    <t>なにわ 39A ら 216</t>
    <phoneticPr fontId="13"/>
  </si>
  <si>
    <t>WAUZZZ8T3EA032973</t>
    <phoneticPr fontId="13"/>
  </si>
  <si>
    <t>広島 321 る 555</t>
    <rPh sb="0" eb="2">
      <t>ヒロシマ</t>
    </rPh>
    <phoneticPr fontId="13"/>
  </si>
  <si>
    <t>なにわ 5X1 ろ 8289</t>
    <phoneticPr fontId="13"/>
  </si>
  <si>
    <t>保証書(手帳なしOK)取説 ｷｰﾚｽ</t>
    <rPh sb="0" eb="3">
      <t>ホショウショ</t>
    </rPh>
    <rPh sb="4" eb="6">
      <t>テチョウ</t>
    </rPh>
    <rPh sb="11" eb="13">
      <t>トリセツ</t>
    </rPh>
    <phoneticPr fontId="13"/>
  </si>
  <si>
    <t>株式会社ﾎﾝﾀﾞｶｰｽﾞ北九州</t>
    <rPh sb="0" eb="4">
      <t>カブシキガイシャ</t>
    </rPh>
    <rPh sb="12" eb="15">
      <t>キタキュウシュウ</t>
    </rPh>
    <phoneticPr fontId="13"/>
  </si>
  <si>
    <t>なにわ 5X1 ろ 8685</t>
    <phoneticPr fontId="13"/>
  </si>
  <si>
    <t>名古屋 781 ろ 2031</t>
    <rPh sb="0" eb="3">
      <t>ナゴヤ</t>
    </rPh>
    <phoneticPr fontId="13"/>
  </si>
  <si>
    <t>ｽﾊﾞﾙ東海株式会社</t>
    <rPh sb="4" eb="6">
      <t>トウカイ</t>
    </rPh>
    <rPh sb="6" eb="10">
      <t>カブシキガイシャ</t>
    </rPh>
    <phoneticPr fontId="13"/>
  </si>
  <si>
    <t>山口 581 ぬ 6988</t>
    <rPh sb="0" eb="2">
      <t>ヤマグチ</t>
    </rPh>
    <phoneticPr fontId="13"/>
  </si>
  <si>
    <t>なにわ 39A ゆ 1408</t>
    <phoneticPr fontId="13"/>
  </si>
  <si>
    <t>取説 ﾅﾋﾞ取 ﾏｲｸﾛ地図SD</t>
    <rPh sb="0" eb="2">
      <t>トリセツ</t>
    </rPh>
    <rPh sb="6" eb="7">
      <t>トリ</t>
    </rPh>
    <rPh sb="12" eb="14">
      <t>チズ</t>
    </rPh>
    <phoneticPr fontId="13"/>
  </si>
  <si>
    <t>福井 580 も 3571</t>
    <rPh sb="0" eb="2">
      <t>フクイ</t>
    </rPh>
    <phoneticPr fontId="13"/>
  </si>
  <si>
    <t>地図SD(車内) 取説 ﾅﾋﾞ取</t>
    <rPh sb="0" eb="2">
      <t>チズ</t>
    </rPh>
    <rPh sb="9" eb="11">
      <t>トリセツ</t>
    </rPh>
    <rPh sb="15" eb="16">
      <t>トリ</t>
    </rPh>
    <phoneticPr fontId="13"/>
  </si>
  <si>
    <t>名古屋 537 ほ 216</t>
    <rPh sb="0" eb="3">
      <t>ナゴヤ</t>
    </rPh>
    <phoneticPr fontId="13"/>
  </si>
  <si>
    <t>品川 39A や 3055</t>
    <rPh sb="0" eb="2">
      <t>シナガワ</t>
    </rPh>
    <phoneticPr fontId="13"/>
  </si>
  <si>
    <t>馬場 幹也</t>
    <rPh sb="0" eb="2">
      <t>ババ</t>
    </rPh>
    <rPh sb="3" eb="5">
      <t>ミキヤ</t>
    </rPh>
    <phoneticPr fontId="13"/>
  </si>
  <si>
    <t xml:space="preserve">保証書 取説 ﾅﾋﾞ取 ｽﾏｰﾄｷｰ ｶｰﾄﾞｷｰ </t>
    <phoneticPr fontId="13"/>
  </si>
  <si>
    <t>名古屋 331 す 5331</t>
    <rPh sb="0" eb="3">
      <t>ナゴヤ</t>
    </rPh>
    <phoneticPr fontId="13"/>
  </si>
  <si>
    <t>山本 光明</t>
    <rPh sb="0" eb="2">
      <t>ヤマモト</t>
    </rPh>
    <rPh sb="3" eb="4">
      <t>ヒカリ</t>
    </rPh>
    <rPh sb="4" eb="5">
      <t>メイ</t>
    </rPh>
    <phoneticPr fontId="13"/>
  </si>
  <si>
    <t>保証書 取説 ﾅﾋﾞ取 ｷｰﾚｽ ﾜﾝｵｰﾅｰ</t>
    <rPh sb="10" eb="11">
      <t>トリ</t>
    </rPh>
    <phoneticPr fontId="13"/>
  </si>
  <si>
    <t>藤井 雄大</t>
    <rPh sb="0" eb="2">
      <t>フジイ</t>
    </rPh>
    <rPh sb="3" eb="5">
      <t>ユウダイ</t>
    </rPh>
    <phoneticPr fontId="13"/>
  </si>
  <si>
    <t>27-4585</t>
  </si>
  <si>
    <t>A401028</t>
    <phoneticPr fontId="13"/>
  </si>
  <si>
    <t>ﾗﾝﾄﾞｸﾙｰｻﾞｰ250VX</t>
    <phoneticPr fontId="13"/>
  </si>
  <si>
    <t>TRJ250-0015910</t>
    <phoneticPr fontId="13"/>
  </si>
  <si>
    <t>高知 306 の 1000</t>
    <rPh sb="0" eb="2">
      <t>コウチ</t>
    </rPh>
    <phoneticPr fontId="13"/>
  </si>
  <si>
    <t>株式会社外車ｾﾝﾀｰ</t>
    <rPh sb="0" eb="4">
      <t>カブシキガイシャ</t>
    </rPh>
    <rPh sb="4" eb="6">
      <t>ガイシャ</t>
    </rPh>
    <phoneticPr fontId="13"/>
  </si>
  <si>
    <t>27-4586</t>
  </si>
  <si>
    <t>27-4587</t>
  </si>
  <si>
    <t>27-4588</t>
  </si>
  <si>
    <t>27-4589</t>
  </si>
  <si>
    <t>27-4590</t>
  </si>
  <si>
    <t>27-4591</t>
  </si>
  <si>
    <t>27-4592</t>
  </si>
  <si>
    <t>27-4593</t>
  </si>
  <si>
    <t>27-4594</t>
  </si>
  <si>
    <t>27-4595</t>
  </si>
  <si>
    <t>27-4596</t>
  </si>
  <si>
    <t>27-4597</t>
  </si>
  <si>
    <t>27-4598</t>
  </si>
  <si>
    <t>27-4599</t>
  </si>
  <si>
    <t>27-4600</t>
  </si>
  <si>
    <t>27-4601</t>
  </si>
  <si>
    <t>27-4602</t>
  </si>
  <si>
    <t>27-4603</t>
  </si>
  <si>
    <t>27-4604</t>
  </si>
  <si>
    <t>27-4605</t>
  </si>
  <si>
    <t>27-4606</t>
  </si>
  <si>
    <t>27-4607</t>
  </si>
  <si>
    <t>27-4608</t>
  </si>
  <si>
    <t>27-4609</t>
  </si>
  <si>
    <t>27-4610</t>
  </si>
  <si>
    <t>ｼﾞｬｶﾞｰXE　S　P250</t>
    <phoneticPr fontId="13"/>
  </si>
  <si>
    <t>LA350S-0343047</t>
    <phoneticPr fontId="13"/>
  </si>
  <si>
    <t>MR41S-368682</t>
    <phoneticPr fontId="13"/>
  </si>
  <si>
    <t>DA17V-624727</t>
    <phoneticPr fontId="13"/>
  </si>
  <si>
    <t>DA17W-265821</t>
    <phoneticPr fontId="13"/>
  </si>
  <si>
    <t>LA650S-0134929</t>
    <phoneticPr fontId="13"/>
  </si>
  <si>
    <t>DA17V-670250</t>
    <phoneticPr fontId="13"/>
  </si>
  <si>
    <t>MK53S-990731</t>
    <phoneticPr fontId="13"/>
  </si>
  <si>
    <t>MH35S-102343</t>
    <phoneticPr fontId="13"/>
  </si>
  <si>
    <t>ｱﾙﾌｧﾛﾒｵ　ｼﾞｭﾘｴｯﾀ　ｳﾞｪﾛｰﾁｪ</t>
    <phoneticPr fontId="13"/>
  </si>
  <si>
    <t>LA350S-0255258</t>
    <phoneticPr fontId="13"/>
  </si>
  <si>
    <t>ﾌﾟﾘｳｽ　Sｾｰﾌﾃｨﾌﾟﾗｽ</t>
    <phoneticPr fontId="13"/>
  </si>
  <si>
    <t>ZVW50-6083462</t>
    <phoneticPr fontId="13"/>
  </si>
  <si>
    <t>ｷｬｽﾄ　ｽﾀｲﾙG　ﾀｰﾎﾞVS　SaⅢ</t>
    <phoneticPr fontId="13"/>
  </si>
  <si>
    <t>LA250S-0210237</t>
    <phoneticPr fontId="13"/>
  </si>
  <si>
    <t>ﾑｰｳﾞｷｬﾝﾊﾞｽ　Xﾒｲｸｱｯﾌﾟﾘﾐﾃｯﾄﾞ</t>
    <phoneticPr fontId="13"/>
  </si>
  <si>
    <t>LA800S-0207784</t>
    <phoneticPr fontId="13"/>
  </si>
  <si>
    <t>ﾑｰｳﾞｷｬﾝﾊﾞｽ　GﾎﾜｲﾄｱｸｾﾝﾄVS</t>
    <phoneticPr fontId="13"/>
  </si>
  <si>
    <t>LA800S-0249385</t>
    <phoneticPr fontId="13"/>
  </si>
  <si>
    <t>ZVW40-0023857</t>
    <phoneticPr fontId="13"/>
  </si>
  <si>
    <t>ｱﾙﾄﾗﾊﾟﾝ 　L</t>
    <phoneticPr fontId="13"/>
  </si>
  <si>
    <t>HE33S-423841</t>
    <phoneticPr fontId="13"/>
  </si>
  <si>
    <t>BMWﾐﾆｸｰﾊﾟｰ　ｸﾗｼｯｸﾄﾘﾑ</t>
    <phoneticPr fontId="13"/>
  </si>
  <si>
    <t>27-4611</t>
  </si>
  <si>
    <t>27-4612</t>
  </si>
  <si>
    <t>27-4613</t>
  </si>
  <si>
    <t>27-4614</t>
  </si>
  <si>
    <t>27-4615</t>
  </si>
  <si>
    <t>LA350S-0261992</t>
    <phoneticPr fontId="13"/>
  </si>
  <si>
    <t>ﾌﾟﾛﾎﾞｯｸｽﾊﾞﾝ 　GL</t>
    <phoneticPr fontId="13"/>
  </si>
  <si>
    <t>NCP160-0154210</t>
    <phoneticPr fontId="13"/>
  </si>
  <si>
    <t>LA800S-0222984</t>
    <phoneticPr fontId="13"/>
  </si>
  <si>
    <t>ﾙｰｸｽﾊｲｳｪｲｽﾀｰ　Gﾀｰﾎﾞ</t>
    <phoneticPr fontId="13"/>
  </si>
  <si>
    <t>B45A-0320572</t>
    <phoneticPr fontId="13"/>
  </si>
  <si>
    <t>ﾙｰｸｽ　X</t>
    <phoneticPr fontId="13"/>
  </si>
  <si>
    <t>B44A-0070822</t>
    <phoneticPr fontId="13"/>
  </si>
  <si>
    <t>HA37S-102386</t>
    <phoneticPr fontId="13"/>
  </si>
  <si>
    <t>JF4-1108399</t>
    <phoneticPr fontId="13"/>
  </si>
  <si>
    <t>SAJAB4AX1MC68237</t>
    <phoneticPr fontId="13"/>
  </si>
  <si>
    <t>山梨　332　た　7775</t>
    <rPh sb="0" eb="2">
      <t>ヤマナシ</t>
    </rPh>
    <phoneticPr fontId="13"/>
  </si>
  <si>
    <t>保証書　取説　ﾃﾞｨｰﾗｰ記録簿（R5R6R7R8）ｷｰﾚｽX2（ﾘｽﾄに記載）ﾜﾝｵｰﾅｰ</t>
    <rPh sb="0" eb="3">
      <t>ホショウショ</t>
    </rPh>
    <rPh sb="4" eb="6">
      <t>トリセツ</t>
    </rPh>
    <rPh sb="13" eb="16">
      <t>キロクボ</t>
    </rPh>
    <rPh sb="38" eb="39">
      <t>）</t>
    </rPh>
    <phoneticPr fontId="13"/>
  </si>
  <si>
    <t>大阪　583　に　2318</t>
    <rPh sb="0" eb="2">
      <t>オオサカ</t>
    </rPh>
    <phoneticPr fontId="13"/>
  </si>
  <si>
    <t>なにわ　480　わ　3259</t>
    <phoneticPr fontId="13"/>
  </si>
  <si>
    <t>ZAR94000007442520</t>
    <phoneticPr fontId="13"/>
  </si>
  <si>
    <t>WMWXR52000TE33587</t>
    <phoneticPr fontId="13"/>
  </si>
  <si>
    <t>大阪　304　ち　347</t>
    <rPh sb="0" eb="2">
      <t>オオサカ</t>
    </rPh>
    <phoneticPr fontId="13"/>
  </si>
  <si>
    <t>ﾌﾞﾛﾝﾄﾞM</t>
    <phoneticPr fontId="13"/>
  </si>
  <si>
    <t>ﾀﾞｰｸｴﾒﾗﾙﾄﾞ</t>
    <phoneticPr fontId="13"/>
  </si>
  <si>
    <t>ﾌﾞﾗｳﾝｸﾘｽﾀﾙ</t>
    <phoneticPr fontId="13"/>
  </si>
  <si>
    <t>VF1KW14B3L0818693</t>
    <phoneticPr fontId="13"/>
  </si>
  <si>
    <t>WDD2462422J455169</t>
    <phoneticPr fontId="13"/>
  </si>
  <si>
    <t>WMWYT920903D51144</t>
    <phoneticPr fontId="13"/>
  </si>
  <si>
    <t>WMW42BT0003N21380</t>
    <phoneticPr fontId="13"/>
  </si>
  <si>
    <t>WMW32DK0502U13707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</si>
</sst>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Blue]General"/>
    <numFmt numFmtId="177" formatCode="#,##0_);[Red]\(#,##0\)"/>
    <numFmt numFmtId="178" formatCode="&quot;姫路 &quot;@\ "/>
    <numFmt numFmtId="179" formatCode="####&quot;回&quot;"/>
    <numFmt numFmtId="180" formatCode="###&quot;回&quot;"/>
    <numFmt numFmtId="181" formatCode="0_);[Red]\(0\)"/>
    <numFmt numFmtId="182" formatCode="m&quot;月&quot;d&quot;日&quot;;@"/>
    <numFmt numFmtId="183" formatCode="#,##0_ "/>
  </numFmts>
  <fonts count="37">
    <font>
      <sz val="11"/>
      <color theme="1"/>
      <name val="ＭＳ Ｐゴシック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C00000"/>
      <name val="ＭＳ Ｐゴシック"/>
      <family val="3"/>
      <charset val="128"/>
      <scheme val="minor"/>
    </font>
    <font>
      <b/>
      <sz val="11"/>
      <color theme="4" tint="-0.499984740745262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 tint="4.9989318521683403E-2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</font>
    <font>
      <sz val="11"/>
      <color theme="4" tint="-0.249977111117893"/>
      <name val="ＭＳ Ｐゴシック"/>
      <family val="3"/>
      <charset val="128"/>
    </font>
    <font>
      <sz val="11"/>
      <color theme="9" tint="-0.249977111117893"/>
      <name val="ＭＳ Ｐゴシック"/>
      <family val="3"/>
      <charset val="128"/>
      <scheme val="minor"/>
    </font>
    <font>
      <sz val="11"/>
      <color theme="9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1"/>
      <color theme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color theme="4" tint="-0.249977111117893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10"/>
      <color theme="4" tint="-0.499984740745262"/>
      <name val="ＭＳ Ｐゴシック"/>
      <family val="3"/>
      <charset val="128"/>
      <scheme val="minor"/>
    </font>
    <font>
      <sz val="11"/>
      <color theme="3"/>
      <name val="ＭＳ Ｐゴシック"/>
      <family val="3"/>
      <charset val="128"/>
      <scheme val="minor"/>
    </font>
    <font>
      <sz val="9"/>
      <color theme="4" tint="-0.499984740745262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rgb="FF7030A0"/>
      <name val="ＭＳ Ｐゴシック"/>
      <family val="3"/>
      <charset val="128"/>
      <scheme val="minor"/>
    </font>
    <font>
      <sz val="9"/>
      <color theme="3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8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181" fontId="0" fillId="0" borderId="1" xfId="0" applyNumberFormat="1" applyBorder="1">
      <alignment vertical="center"/>
    </xf>
    <xf numFmtId="181" fontId="3" fillId="4" borderId="3" xfId="0" applyNumberFormat="1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178" fontId="9" fillId="0" borderId="28" xfId="0" applyNumberFormat="1" applyFont="1" applyBorder="1" applyAlignment="1">
      <alignment horizontal="center" vertical="center"/>
    </xf>
    <xf numFmtId="176" fontId="12" fillId="0" borderId="27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49" fontId="2" fillId="0" borderId="31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8" fontId="9" fillId="0" borderId="45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76" fontId="12" fillId="0" borderId="51" xfId="0" applyNumberFormat="1" applyFont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4" fillId="2" borderId="50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4" fillId="2" borderId="50" xfId="0" applyFont="1" applyFill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56" fontId="2" fillId="0" borderId="7" xfId="0" applyNumberFormat="1" applyFont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center"/>
    </xf>
    <xf numFmtId="178" fontId="9" fillId="0" borderId="27" xfId="0" applyNumberFormat="1" applyFont="1" applyBorder="1">
      <alignment vertical="center"/>
    </xf>
    <xf numFmtId="14" fontId="0" fillId="0" borderId="7" xfId="0" applyNumberFormat="1" applyBorder="1" applyAlignment="1">
      <alignment horizontal="center" vertical="center"/>
    </xf>
    <xf numFmtId="14" fontId="0" fillId="0" borderId="7" xfId="0" applyNumberFormat="1" applyBorder="1">
      <alignment vertical="center"/>
    </xf>
    <xf numFmtId="49" fontId="0" fillId="0" borderId="7" xfId="0" applyNumberFormat="1" applyBorder="1" applyAlignment="1">
      <alignment horizontal="center" vertical="center"/>
    </xf>
    <xf numFmtId="49" fontId="0" fillId="0" borderId="64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3" fontId="0" fillId="0" borderId="62" xfId="0" applyNumberFormat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178" fontId="9" fillId="0" borderId="28" xfId="0" applyNumberFormat="1" applyFont="1" applyBorder="1">
      <alignment vertical="center"/>
    </xf>
    <xf numFmtId="0" fontId="9" fillId="0" borderId="27" xfId="0" applyFon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49" fontId="0" fillId="0" borderId="31" xfId="0" applyNumberFormat="1" applyBorder="1" applyAlignment="1">
      <alignment horizontal="center" vertical="center"/>
    </xf>
    <xf numFmtId="177" fontId="22" fillId="0" borderId="11" xfId="0" applyNumberFormat="1" applyFont="1" applyBorder="1" applyAlignment="1">
      <alignment horizontal="center" vertical="center"/>
    </xf>
    <xf numFmtId="176" fontId="23" fillId="0" borderId="27" xfId="0" applyNumberFormat="1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55" xfId="0" applyNumberFormat="1" applyBorder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65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50" xfId="0" applyBorder="1" applyAlignment="1">
      <alignment horizontal="center" vertical="center"/>
    </xf>
    <xf numFmtId="0" fontId="0" fillId="0" borderId="56" xfId="0" applyBorder="1">
      <alignment vertical="center"/>
    </xf>
    <xf numFmtId="177" fontId="0" fillId="0" borderId="72" xfId="0" applyNumberFormat="1" applyBorder="1" applyAlignment="1">
      <alignment horizontal="center" vertical="center"/>
    </xf>
    <xf numFmtId="0" fontId="0" fillId="0" borderId="50" xfId="0" applyBorder="1">
      <alignment vertical="center"/>
    </xf>
    <xf numFmtId="14" fontId="0" fillId="0" borderId="22" xfId="0" applyNumberFormat="1" applyBorder="1">
      <alignment vertical="center"/>
    </xf>
    <xf numFmtId="0" fontId="0" fillId="0" borderId="7" xfId="0" applyBorder="1">
      <alignment vertical="center"/>
    </xf>
    <xf numFmtId="0" fontId="0" fillId="0" borderId="23" xfId="0" applyBorder="1">
      <alignment vertical="center"/>
    </xf>
    <xf numFmtId="0" fontId="0" fillId="0" borderId="11" xfId="0" applyBorder="1">
      <alignment vertical="center"/>
    </xf>
    <xf numFmtId="177" fontId="0" fillId="0" borderId="23" xfId="0" applyNumberFormat="1" applyBorder="1">
      <alignment vertical="center"/>
    </xf>
    <xf numFmtId="0" fontId="26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76" fontId="28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49" fontId="2" fillId="0" borderId="60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31" fillId="0" borderId="0" xfId="0" applyFont="1">
      <alignment vertical="center"/>
    </xf>
    <xf numFmtId="0" fontId="1" fillId="0" borderId="34" xfId="2" applyFont="1" applyBorder="1" applyAlignment="1">
      <alignment horizontal="center" vertical="center"/>
    </xf>
    <xf numFmtId="0" fontId="1" fillId="0" borderId="74" xfId="2" applyFont="1" applyBorder="1" applyAlignment="1">
      <alignment horizontal="center" vertical="center"/>
    </xf>
    <xf numFmtId="0" fontId="2" fillId="0" borderId="0" xfId="2">
      <alignment vertical="center"/>
    </xf>
    <xf numFmtId="0" fontId="2" fillId="7" borderId="35" xfId="2" applyFill="1" applyBorder="1" applyAlignment="1">
      <alignment horizontal="center" vertical="center"/>
    </xf>
    <xf numFmtId="0" fontId="2" fillId="0" borderId="35" xfId="2" applyBorder="1" applyAlignment="1">
      <alignment horizontal="center" vertical="center"/>
    </xf>
    <xf numFmtId="49" fontId="2" fillId="0" borderId="35" xfId="2" applyNumberFormat="1" applyBorder="1" applyAlignment="1">
      <alignment horizontal="center" vertical="center"/>
    </xf>
    <xf numFmtId="0" fontId="2" fillId="0" borderId="73" xfId="2" applyBorder="1" applyAlignment="1">
      <alignment horizontal="center" vertical="center"/>
    </xf>
    <xf numFmtId="49" fontId="2" fillId="0" borderId="8" xfId="2" applyNumberFormat="1" applyBorder="1" applyAlignment="1">
      <alignment horizontal="center" vertical="center"/>
    </xf>
    <xf numFmtId="14" fontId="2" fillId="0" borderId="8" xfId="2" applyNumberFormat="1" applyBorder="1">
      <alignment vertical="center"/>
    </xf>
    <xf numFmtId="14" fontId="2" fillId="0" borderId="8" xfId="2" applyNumberFormat="1" applyBorder="1" applyAlignment="1">
      <alignment horizontal="center" vertical="center"/>
    </xf>
    <xf numFmtId="14" fontId="2" fillId="0" borderId="35" xfId="2" applyNumberFormat="1" applyBorder="1">
      <alignment vertical="center"/>
    </xf>
    <xf numFmtId="14" fontId="2" fillId="0" borderId="35" xfId="2" applyNumberFormat="1" applyBorder="1" applyAlignment="1">
      <alignment horizontal="center" vertical="center"/>
    </xf>
    <xf numFmtId="0" fontId="2" fillId="0" borderId="35" xfId="2" applyBorder="1">
      <alignment vertical="center"/>
    </xf>
    <xf numFmtId="0" fontId="2" fillId="8" borderId="35" xfId="2" applyFill="1" applyBorder="1" applyAlignment="1">
      <alignment horizontal="center" vertical="center"/>
    </xf>
    <xf numFmtId="49" fontId="9" fillId="0" borderId="35" xfId="2" applyNumberFormat="1" applyFont="1" applyBorder="1" applyAlignment="1">
      <alignment horizontal="center" vertical="center"/>
    </xf>
    <xf numFmtId="0" fontId="2" fillId="13" borderId="35" xfId="2" applyFill="1" applyBorder="1" applyAlignment="1">
      <alignment horizontal="center" vertical="center"/>
    </xf>
    <xf numFmtId="49" fontId="2" fillId="13" borderId="35" xfId="2" applyNumberFormat="1" applyFill="1" applyBorder="1" applyAlignment="1">
      <alignment horizontal="center" vertical="center"/>
    </xf>
    <xf numFmtId="0" fontId="2" fillId="13" borderId="73" xfId="2" applyFill="1" applyBorder="1" applyAlignment="1">
      <alignment horizontal="center" vertical="center"/>
    </xf>
    <xf numFmtId="0" fontId="22" fillId="13" borderId="35" xfId="2" applyFont="1" applyFill="1" applyBorder="1" applyAlignment="1">
      <alignment horizontal="center" vertical="center"/>
    </xf>
    <xf numFmtId="0" fontId="2" fillId="13" borderId="35" xfId="2" applyFill="1" applyBorder="1">
      <alignment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177" fontId="5" fillId="0" borderId="20" xfId="0" applyNumberFormat="1" applyFont="1" applyBorder="1" applyAlignment="1">
      <alignment horizontal="center" vertical="center"/>
    </xf>
    <xf numFmtId="177" fontId="5" fillId="0" borderId="25" xfId="0" applyNumberFormat="1" applyFont="1" applyBorder="1" applyAlignment="1">
      <alignment horizontal="center" vertical="center"/>
    </xf>
    <xf numFmtId="177" fontId="5" fillId="0" borderId="66" xfId="0" applyNumberFormat="1" applyFont="1" applyBorder="1" applyAlignment="1">
      <alignment horizontal="center" vertical="center"/>
    </xf>
    <xf numFmtId="177" fontId="5" fillId="0" borderId="67" xfId="0" applyNumberFormat="1" applyFont="1" applyBorder="1" applyAlignment="1">
      <alignment horizontal="center" vertical="center"/>
    </xf>
    <xf numFmtId="38" fontId="5" fillId="0" borderId="36" xfId="1" applyFont="1" applyBorder="1" applyAlignment="1">
      <alignment horizontal="center" vertical="center"/>
    </xf>
    <xf numFmtId="38" fontId="5" fillId="0" borderId="37" xfId="1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29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180" fontId="2" fillId="0" borderId="22" xfId="0" applyNumberFormat="1" applyFont="1" applyBorder="1" applyAlignment="1">
      <alignment horizontal="center" vertical="center"/>
    </xf>
    <xf numFmtId="182" fontId="11" fillId="0" borderId="69" xfId="0" applyNumberFormat="1" applyFont="1" applyBorder="1" applyAlignment="1">
      <alignment horizontal="center" vertical="center"/>
    </xf>
    <xf numFmtId="182" fontId="11" fillId="0" borderId="71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7" fillId="12" borderId="33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35" fillId="0" borderId="30" xfId="0" applyFont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7" fillId="14" borderId="33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77" fontId="5" fillId="2" borderId="17" xfId="0" applyNumberFormat="1" applyFont="1" applyFill="1" applyBorder="1" applyAlignment="1">
      <alignment horizontal="center" vertical="center"/>
    </xf>
    <xf numFmtId="177" fontId="5" fillId="2" borderId="24" xfId="0" applyNumberFormat="1" applyFont="1" applyFill="1" applyBorder="1" applyAlignment="1">
      <alignment horizontal="center" vertical="center"/>
    </xf>
    <xf numFmtId="177" fontId="5" fillId="2" borderId="20" xfId="0" applyNumberFormat="1" applyFont="1" applyFill="1" applyBorder="1" applyAlignment="1">
      <alignment horizontal="center" vertical="center"/>
    </xf>
    <xf numFmtId="177" fontId="5" fillId="2" borderId="25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56" fontId="2" fillId="0" borderId="14" xfId="0" applyNumberFormat="1" applyFont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77" fontId="5" fillId="0" borderId="47" xfId="0" applyNumberFormat="1" applyFont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83" fontId="5" fillId="0" borderId="17" xfId="0" applyNumberFormat="1" applyFont="1" applyBorder="1" applyAlignment="1">
      <alignment horizontal="center" vertical="center"/>
    </xf>
    <xf numFmtId="183" fontId="5" fillId="0" borderId="24" xfId="0" applyNumberFormat="1" applyFont="1" applyBorder="1" applyAlignment="1">
      <alignment horizontal="center" vertical="center"/>
    </xf>
    <xf numFmtId="183" fontId="5" fillId="0" borderId="20" xfId="0" applyNumberFormat="1" applyFont="1" applyBorder="1" applyAlignment="1">
      <alignment horizontal="center" vertical="center"/>
    </xf>
    <xf numFmtId="183" fontId="5" fillId="0" borderId="25" xfId="0" applyNumberFormat="1" applyFont="1" applyBorder="1" applyAlignment="1">
      <alignment horizontal="center" vertical="center"/>
    </xf>
    <xf numFmtId="182" fontId="11" fillId="0" borderId="9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14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83" fontId="5" fillId="0" borderId="7" xfId="0" applyNumberFormat="1" applyFont="1" applyBorder="1" applyAlignment="1">
      <alignment horizontal="center" vertical="center"/>
    </xf>
    <xf numFmtId="183" fontId="5" fillId="0" borderId="11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38" fontId="5" fillId="0" borderId="63" xfId="1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83" fontId="5" fillId="0" borderId="47" xfId="0" applyNumberFormat="1" applyFont="1" applyBorder="1" applyAlignment="1">
      <alignment horizontal="center" vertical="center"/>
    </xf>
    <xf numFmtId="183" fontId="5" fillId="0" borderId="48" xfId="0" applyNumberFormat="1" applyFont="1" applyBorder="1" applyAlignment="1">
      <alignment horizontal="center" vertical="center"/>
    </xf>
    <xf numFmtId="183" fontId="5" fillId="0" borderId="8" xfId="0" applyNumberFormat="1" applyFont="1" applyBorder="1" applyAlignment="1">
      <alignment horizontal="center" vertical="center"/>
    </xf>
    <xf numFmtId="183" fontId="5" fillId="0" borderId="50" xfId="0" applyNumberFormat="1" applyFont="1" applyBorder="1" applyAlignment="1">
      <alignment horizontal="center" vertical="center"/>
    </xf>
    <xf numFmtId="182" fontId="11" fillId="0" borderId="8" xfId="0" applyNumberFormat="1" applyFont="1" applyBorder="1" applyAlignment="1">
      <alignment horizontal="center" vertical="center"/>
    </xf>
    <xf numFmtId="182" fontId="11" fillId="0" borderId="50" xfId="0" applyNumberFormat="1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4" fontId="0" fillId="0" borderId="56" xfId="0" applyNumberFormat="1" applyBorder="1" applyAlignment="1">
      <alignment horizontal="center" vertical="center"/>
    </xf>
    <xf numFmtId="14" fontId="0" fillId="0" borderId="50" xfId="0" applyNumberFormat="1" applyBorder="1" applyAlignment="1">
      <alignment horizontal="center" vertical="center"/>
    </xf>
    <xf numFmtId="0" fontId="2" fillId="11" borderId="49" xfId="0" applyFont="1" applyFill="1" applyBorder="1" applyAlignment="1">
      <alignment horizontal="center" vertical="center"/>
    </xf>
    <xf numFmtId="0" fontId="0" fillId="11" borderId="49" xfId="0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60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177" fontId="5" fillId="0" borderId="48" xfId="0" applyNumberFormat="1" applyFon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177" fontId="5" fillId="0" borderId="50" xfId="0" applyNumberFormat="1" applyFont="1" applyBorder="1" applyAlignment="1">
      <alignment horizontal="center" vertical="center"/>
    </xf>
    <xf numFmtId="177" fontId="5" fillId="0" borderId="57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8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80" fontId="2" fillId="0" borderId="31" xfId="0" applyNumberFormat="1" applyFont="1" applyBorder="1" applyAlignment="1">
      <alignment horizontal="center" vertical="center"/>
    </xf>
    <xf numFmtId="180" fontId="2" fillId="0" borderId="55" xfId="0" applyNumberFormat="1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22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14" fontId="2" fillId="0" borderId="53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" fillId="3" borderId="57" xfId="0" applyFont="1" applyFill="1" applyBorder="1" applyAlignment="1">
      <alignment horizontal="center" vertical="center"/>
    </xf>
    <xf numFmtId="0" fontId="2" fillId="3" borderId="58" xfId="0" applyFont="1" applyFill="1" applyBorder="1" applyAlignment="1">
      <alignment horizontal="center" vertical="center"/>
    </xf>
    <xf numFmtId="0" fontId="2" fillId="3" borderId="56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182" fontId="11" fillId="0" borderId="49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9" fontId="2" fillId="3" borderId="49" xfId="0" applyNumberFormat="1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56" fontId="2" fillId="0" borderId="53" xfId="0" applyNumberFormat="1" applyFont="1" applyBorder="1" applyAlignment="1">
      <alignment horizontal="center" vertical="center"/>
    </xf>
    <xf numFmtId="38" fontId="5" fillId="0" borderId="38" xfId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0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77" fontId="5" fillId="0" borderId="43" xfId="0" applyNumberFormat="1" applyFont="1" applyBorder="1" applyAlignment="1">
      <alignment horizontal="center" vertical="center"/>
    </xf>
    <xf numFmtId="177" fontId="5" fillId="0" borderId="44" xfId="0" applyNumberFormat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9" fillId="0" borderId="39" xfId="0" applyFont="1" applyBorder="1">
      <alignment vertical="center"/>
    </xf>
    <xf numFmtId="0" fontId="9" fillId="0" borderId="40" xfId="0" applyFont="1" applyBorder="1">
      <alignment vertical="center"/>
    </xf>
    <xf numFmtId="3" fontId="2" fillId="0" borderId="39" xfId="0" applyNumberFormat="1" applyFont="1" applyBorder="1" applyAlignment="1">
      <alignment horizontal="center" vertical="center"/>
    </xf>
    <xf numFmtId="3" fontId="2" fillId="0" borderId="40" xfId="0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56" fontId="2" fillId="0" borderId="30" xfId="0" applyNumberFormat="1" applyFont="1" applyBorder="1" applyAlignment="1">
      <alignment horizontal="center" vertical="center"/>
    </xf>
    <xf numFmtId="177" fontId="34" fillId="0" borderId="17" xfId="0" applyNumberFormat="1" applyFont="1" applyBorder="1" applyAlignment="1">
      <alignment horizontal="center" vertical="center"/>
    </xf>
    <xf numFmtId="177" fontId="34" fillId="0" borderId="24" xfId="0" applyNumberFormat="1" applyFont="1" applyBorder="1" applyAlignment="1">
      <alignment horizontal="center" vertical="center"/>
    </xf>
    <xf numFmtId="177" fontId="34" fillId="0" borderId="20" xfId="0" applyNumberFormat="1" applyFont="1" applyBorder="1" applyAlignment="1">
      <alignment horizontal="center" vertical="center"/>
    </xf>
    <xf numFmtId="177" fontId="34" fillId="0" borderId="25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56" fontId="2" fillId="3" borderId="14" xfId="0" applyNumberFormat="1" applyFont="1" applyFill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33" xfId="0" applyFont="1" applyFill="1" applyBorder="1" applyAlignment="1">
      <alignment horizontal="center" vertical="center"/>
    </xf>
    <xf numFmtId="56" fontId="11" fillId="0" borderId="9" xfId="0" applyNumberFormat="1" applyFont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/>
    </xf>
    <xf numFmtId="0" fontId="36" fillId="2" borderId="15" xfId="0" applyFont="1" applyFill="1" applyBorder="1" applyAlignment="1">
      <alignment horizontal="center" vertical="center"/>
    </xf>
    <xf numFmtId="0" fontId="36" fillId="2" borderId="22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/>
  <colors>
    <mruColors>
      <color rgb="FFFFCCFF"/>
      <color rgb="FFCCFFFF"/>
      <color rgb="FFEDEDED"/>
      <color rgb="FFCCFFCC"/>
      <color rgb="FFFFC000"/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272"/>
  <sheetViews>
    <sheetView tabSelected="1" zoomScaleNormal="100" workbookViewId="0">
      <pane xSplit="9" ySplit="1" topLeftCell="X9185" activePane="bottomRight" state="frozen"/>
      <selection pane="topRight"/>
      <selection pane="bottomLeft"/>
      <selection pane="bottomRight" activeCell="AD9205" sqref="AD9205"/>
    </sheetView>
  </sheetViews>
  <sheetFormatPr defaultColWidth="9" defaultRowHeight="17.100000000000001" customHeight="1"/>
  <cols>
    <col min="1" max="1" width="10.6640625" customWidth="1"/>
    <col min="2" max="2" width="16.6640625" style="2" customWidth="1"/>
    <col min="3" max="4" width="12.6640625" style="2" customWidth="1"/>
    <col min="5" max="5" width="2.6640625" style="3" customWidth="1"/>
    <col min="6" max="8" width="11.6640625" style="4" customWidth="1"/>
    <col min="9" max="9" width="8.6640625" style="2" customWidth="1"/>
    <col min="10" max="10" width="5.6640625" style="5" customWidth="1"/>
    <col min="11" max="22" width="8.6640625" customWidth="1"/>
    <col min="23" max="23" width="16.6640625" style="18" customWidth="1"/>
    <col min="24" max="28" width="7.6640625" customWidth="1"/>
    <col min="29" max="29" width="7.6640625" style="6" customWidth="1"/>
    <col min="30" max="30" width="6.6640625" style="7" customWidth="1"/>
    <col min="31" max="35" width="10.6640625" style="2" customWidth="1"/>
    <col min="36" max="38" width="10.6640625" customWidth="1"/>
    <col min="39" max="39" width="16.6640625" customWidth="1"/>
    <col min="40" max="43" width="8.6640625" style="2" customWidth="1"/>
    <col min="44" max="51" width="8.6640625" style="8" customWidth="1"/>
    <col min="52" max="52" width="10.77734375" style="9" customWidth="1"/>
  </cols>
  <sheetData>
    <row r="1" spans="1:52" s="1" customFormat="1" ht="17.100000000000001" customHeight="1" thickBot="1">
      <c r="A1" s="10" t="s">
        <v>0</v>
      </c>
      <c r="B1" s="11" t="s">
        <v>14116</v>
      </c>
      <c r="C1" s="12" t="s">
        <v>2</v>
      </c>
      <c r="D1" s="11" t="s">
        <v>3</v>
      </c>
      <c r="E1" s="349" t="s">
        <v>16534</v>
      </c>
      <c r="F1" s="351"/>
      <c r="G1" s="351"/>
      <c r="H1" s="350"/>
      <c r="I1" s="10" t="s">
        <v>5</v>
      </c>
      <c r="J1" s="11" t="s">
        <v>6</v>
      </c>
      <c r="K1" s="349" t="s">
        <v>7</v>
      </c>
      <c r="L1" s="350"/>
      <c r="M1" s="349" t="s">
        <v>8</v>
      </c>
      <c r="N1" s="350"/>
      <c r="O1" s="349" t="s">
        <v>9</v>
      </c>
      <c r="P1" s="350"/>
      <c r="Q1" s="349" t="s">
        <v>10</v>
      </c>
      <c r="R1" s="350"/>
      <c r="S1" s="349" t="s">
        <v>11</v>
      </c>
      <c r="T1" s="350"/>
      <c r="U1" s="349" t="s">
        <v>12</v>
      </c>
      <c r="V1" s="350"/>
      <c r="W1" s="19" t="s">
        <v>21102</v>
      </c>
      <c r="X1" s="349" t="s">
        <v>15660</v>
      </c>
      <c r="Y1" s="351"/>
      <c r="Z1" s="351"/>
      <c r="AA1" s="351"/>
      <c r="AB1" s="350"/>
      <c r="AC1" s="349" t="s">
        <v>22</v>
      </c>
      <c r="AD1" s="351"/>
      <c r="AE1" s="351"/>
      <c r="AF1" s="351"/>
      <c r="AG1" s="351"/>
      <c r="AH1" s="351"/>
      <c r="AI1" s="350"/>
      <c r="AJ1" s="349" t="s">
        <v>16</v>
      </c>
      <c r="AK1" s="351"/>
      <c r="AL1" s="351"/>
      <c r="AM1" s="20" t="s">
        <v>17</v>
      </c>
      <c r="AN1" s="352" t="s">
        <v>16315</v>
      </c>
      <c r="AO1" s="350"/>
      <c r="AP1" s="349" t="s">
        <v>2</v>
      </c>
      <c r="AQ1" s="350"/>
      <c r="AR1" s="349" t="s">
        <v>7</v>
      </c>
      <c r="AS1" s="350"/>
      <c r="AT1" s="349" t="s">
        <v>8</v>
      </c>
      <c r="AU1" s="350"/>
      <c r="AV1" s="349" t="s">
        <v>10</v>
      </c>
      <c r="AW1" s="350"/>
      <c r="AX1" s="349" t="s">
        <v>12</v>
      </c>
      <c r="AY1" s="350"/>
      <c r="AZ1" s="11" t="s">
        <v>19</v>
      </c>
    </row>
    <row r="2" spans="1:52" ht="17.100000000000001" customHeight="1" thickTop="1">
      <c r="A2" s="109" t="s">
        <v>5738</v>
      </c>
      <c r="B2" s="31">
        <v>36329</v>
      </c>
      <c r="C2" s="32"/>
      <c r="D2" s="32" t="s">
        <v>29</v>
      </c>
      <c r="E2" s="353"/>
      <c r="F2" s="354" t="s">
        <v>30</v>
      </c>
      <c r="G2" s="355"/>
      <c r="H2" s="356"/>
      <c r="I2" s="24"/>
      <c r="J2" s="357"/>
      <c r="K2" s="172">
        <v>430000</v>
      </c>
      <c r="L2" s="173"/>
      <c r="M2" s="172">
        <v>21500</v>
      </c>
      <c r="N2" s="173"/>
      <c r="O2" s="172" t="s">
        <v>31</v>
      </c>
      <c r="P2" s="173"/>
      <c r="Q2" s="172" t="s">
        <v>32</v>
      </c>
      <c r="R2" s="173"/>
      <c r="S2" s="172" t="s">
        <v>33</v>
      </c>
      <c r="T2" s="173"/>
      <c r="U2" s="358">
        <v>879965</v>
      </c>
      <c r="V2" s="359"/>
      <c r="W2" s="348">
        <v>20000</v>
      </c>
      <c r="X2" s="360" t="s">
        <v>34</v>
      </c>
      <c r="Y2" s="360"/>
      <c r="Z2" s="360"/>
      <c r="AA2" s="360"/>
      <c r="AB2" s="361"/>
      <c r="AC2" s="33" t="s">
        <v>20</v>
      </c>
      <c r="AD2" s="362"/>
      <c r="AE2" s="363"/>
      <c r="AF2" s="363"/>
      <c r="AG2" s="363"/>
      <c r="AH2" s="363"/>
      <c r="AI2" s="363"/>
      <c r="AJ2" s="364">
        <v>100000</v>
      </c>
      <c r="AK2" s="365"/>
      <c r="AL2" s="365"/>
      <c r="AM2" s="34"/>
      <c r="AN2" s="343"/>
      <c r="AO2" s="330"/>
      <c r="AP2" s="135"/>
      <c r="AQ2" s="136"/>
      <c r="AR2" s="180"/>
      <c r="AS2" s="181"/>
      <c r="AT2" s="180">
        <f>AR2*0.1</f>
        <v>0</v>
      </c>
      <c r="AU2" s="181"/>
      <c r="AV2" s="180"/>
      <c r="AW2" s="181"/>
      <c r="AX2" s="180">
        <f>SUM(AR2:AW2)</f>
        <v>0</v>
      </c>
      <c r="AY2" s="257"/>
      <c r="AZ2" s="320"/>
    </row>
    <row r="3" spans="1:52" ht="17.100000000000001" customHeight="1" thickBot="1">
      <c r="A3" s="110"/>
      <c r="B3" s="35" t="s">
        <v>35</v>
      </c>
      <c r="C3" s="35"/>
      <c r="D3" s="35" t="s">
        <v>36</v>
      </c>
      <c r="E3" s="112"/>
      <c r="F3" s="139" t="s">
        <v>37</v>
      </c>
      <c r="G3" s="140"/>
      <c r="H3" s="141"/>
      <c r="I3" s="26"/>
      <c r="J3" s="324"/>
      <c r="K3" s="174" t="s">
        <v>38</v>
      </c>
      <c r="L3" s="175"/>
      <c r="M3" s="174" t="s">
        <v>39</v>
      </c>
      <c r="N3" s="175"/>
      <c r="O3" s="174" t="s">
        <v>40</v>
      </c>
      <c r="P3" s="175"/>
      <c r="Q3" s="174" t="s">
        <v>41</v>
      </c>
      <c r="R3" s="175"/>
      <c r="S3" s="174"/>
      <c r="T3" s="175"/>
      <c r="U3" s="120"/>
      <c r="V3" s="121"/>
      <c r="W3" s="125"/>
      <c r="X3" s="143" t="s">
        <v>42</v>
      </c>
      <c r="Y3" s="143"/>
      <c r="Z3" s="143"/>
      <c r="AA3" s="143"/>
      <c r="AB3" s="144"/>
      <c r="AC3" s="36" t="s">
        <v>21</v>
      </c>
      <c r="AD3" s="37"/>
      <c r="AE3" s="305"/>
      <c r="AF3" s="306"/>
      <c r="AG3" s="306"/>
      <c r="AH3" s="306"/>
      <c r="AI3" s="307"/>
      <c r="AJ3" s="148"/>
      <c r="AK3" s="143"/>
      <c r="AL3" s="143"/>
      <c r="AM3" s="38"/>
      <c r="AN3" s="315"/>
      <c r="AO3" s="312"/>
      <c r="AP3" s="148"/>
      <c r="AQ3" s="144"/>
      <c r="AR3" s="120"/>
      <c r="AS3" s="182"/>
      <c r="AT3" s="120"/>
      <c r="AU3" s="182"/>
      <c r="AV3" s="120"/>
      <c r="AW3" s="182"/>
      <c r="AX3" s="120"/>
      <c r="AY3" s="121"/>
      <c r="AZ3" s="201"/>
    </row>
    <row r="4" spans="1:52" ht="17.100000000000001" customHeight="1" thickTop="1">
      <c r="A4" s="109" t="s">
        <v>5739</v>
      </c>
      <c r="B4" s="28">
        <v>37996</v>
      </c>
      <c r="C4" s="29"/>
      <c r="D4" s="29" t="s">
        <v>43</v>
      </c>
      <c r="E4" s="111"/>
      <c r="F4" s="113" t="s">
        <v>44</v>
      </c>
      <c r="G4" s="114"/>
      <c r="H4" s="115"/>
      <c r="I4" s="24"/>
      <c r="J4" s="150"/>
      <c r="K4" s="176">
        <v>560000</v>
      </c>
      <c r="L4" s="176"/>
      <c r="M4" s="176">
        <v>28000</v>
      </c>
      <c r="N4" s="176"/>
      <c r="O4" s="176"/>
      <c r="P4" s="176"/>
      <c r="Q4" s="176"/>
      <c r="R4" s="176"/>
      <c r="S4" s="176">
        <v>4200</v>
      </c>
      <c r="T4" s="176"/>
      <c r="U4" s="118">
        <v>592885</v>
      </c>
      <c r="V4" s="119"/>
      <c r="W4" s="124">
        <v>20000</v>
      </c>
      <c r="X4" s="128" t="s">
        <v>45</v>
      </c>
      <c r="Y4" s="297"/>
      <c r="Z4" s="297"/>
      <c r="AA4" s="297"/>
      <c r="AB4" s="297"/>
      <c r="AC4" s="15" t="s">
        <v>20</v>
      </c>
      <c r="AD4" s="129"/>
      <c r="AE4" s="130"/>
      <c r="AF4" s="130"/>
      <c r="AG4" s="130"/>
      <c r="AH4" s="130"/>
      <c r="AI4" s="131"/>
      <c r="AJ4" s="344">
        <v>354800</v>
      </c>
      <c r="AK4" s="345"/>
      <c r="AL4" s="345"/>
      <c r="AM4" s="21"/>
      <c r="AN4" s="347"/>
      <c r="AO4" s="297"/>
      <c r="AP4" s="135"/>
      <c r="AQ4" s="136"/>
      <c r="AR4" s="118"/>
      <c r="AS4" s="210"/>
      <c r="AT4" s="180">
        <f>AR4*0.1</f>
        <v>0</v>
      </c>
      <c r="AU4" s="181"/>
      <c r="AV4" s="118"/>
      <c r="AW4" s="210"/>
      <c r="AX4" s="118">
        <f>SUM(AR4:AW4)</f>
        <v>0</v>
      </c>
      <c r="AY4" s="119"/>
      <c r="AZ4" s="200"/>
    </row>
    <row r="5" spans="1:52" ht="17.100000000000001" customHeight="1" thickBot="1">
      <c r="A5" s="110"/>
      <c r="B5" s="27" t="s">
        <v>46</v>
      </c>
      <c r="C5" s="27"/>
      <c r="D5" s="27" t="s">
        <v>47</v>
      </c>
      <c r="E5" s="112"/>
      <c r="F5" s="139" t="s">
        <v>48</v>
      </c>
      <c r="G5" s="140"/>
      <c r="H5" s="141"/>
      <c r="I5" s="26"/>
      <c r="J5" s="324"/>
      <c r="K5" s="148" t="s">
        <v>49</v>
      </c>
      <c r="L5" s="144"/>
      <c r="M5" s="148"/>
      <c r="N5" s="144"/>
      <c r="O5" s="148"/>
      <c r="P5" s="144"/>
      <c r="Q5" s="148"/>
      <c r="R5" s="144"/>
      <c r="S5" s="148"/>
      <c r="T5" s="144"/>
      <c r="U5" s="120"/>
      <c r="V5" s="121"/>
      <c r="W5" s="125"/>
      <c r="X5" s="144" t="s">
        <v>50</v>
      </c>
      <c r="Y5" s="287"/>
      <c r="Z5" s="287"/>
      <c r="AA5" s="287"/>
      <c r="AB5" s="287"/>
      <c r="AC5" s="16" t="s">
        <v>21</v>
      </c>
      <c r="AD5" s="39"/>
      <c r="AE5" s="328"/>
      <c r="AF5" s="328"/>
      <c r="AG5" s="328"/>
      <c r="AH5" s="328"/>
      <c r="AI5" s="328"/>
      <c r="AJ5" s="148"/>
      <c r="AK5" s="143"/>
      <c r="AL5" s="143"/>
      <c r="AM5" s="22" t="s">
        <v>51</v>
      </c>
      <c r="AN5" s="288"/>
      <c r="AO5" s="287"/>
      <c r="AP5" s="148"/>
      <c r="AQ5" s="144"/>
      <c r="AR5" s="120"/>
      <c r="AS5" s="182"/>
      <c r="AT5" s="120"/>
      <c r="AU5" s="182"/>
      <c r="AV5" s="120"/>
      <c r="AW5" s="182"/>
      <c r="AX5" s="120"/>
      <c r="AY5" s="121"/>
      <c r="AZ5" s="201"/>
    </row>
    <row r="6" spans="1:52" ht="17.100000000000001" customHeight="1" thickTop="1">
      <c r="A6" s="109" t="s">
        <v>5740</v>
      </c>
      <c r="B6" s="31">
        <v>38325</v>
      </c>
      <c r="C6" s="32"/>
      <c r="D6" s="32" t="s">
        <v>52</v>
      </c>
      <c r="E6" s="111"/>
      <c r="F6" s="113" t="s">
        <v>53</v>
      </c>
      <c r="G6" s="114"/>
      <c r="H6" s="115"/>
      <c r="I6" s="40"/>
      <c r="J6" s="150"/>
      <c r="K6" s="177">
        <v>430000</v>
      </c>
      <c r="L6" s="177"/>
      <c r="M6" s="177">
        <v>21500</v>
      </c>
      <c r="N6" s="177"/>
      <c r="O6" s="177">
        <v>11200</v>
      </c>
      <c r="P6" s="177"/>
      <c r="Q6" s="177">
        <v>4200</v>
      </c>
      <c r="R6" s="177"/>
      <c r="S6" s="177"/>
      <c r="T6" s="177"/>
      <c r="U6" s="118">
        <v>541900</v>
      </c>
      <c r="V6" s="119"/>
      <c r="W6" s="124">
        <v>20000</v>
      </c>
      <c r="X6" s="329" t="s">
        <v>54</v>
      </c>
      <c r="Y6" s="330"/>
      <c r="Z6" s="330"/>
      <c r="AA6" s="330"/>
      <c r="AB6" s="330"/>
      <c r="AC6" s="33" t="s">
        <v>20</v>
      </c>
      <c r="AD6" s="302"/>
      <c r="AE6" s="303"/>
      <c r="AF6" s="303"/>
      <c r="AG6" s="303"/>
      <c r="AH6" s="303"/>
      <c r="AI6" s="304"/>
      <c r="AJ6" s="344">
        <v>100000</v>
      </c>
      <c r="AK6" s="345"/>
      <c r="AL6" s="345"/>
      <c r="AM6" s="21"/>
      <c r="AN6" s="343"/>
      <c r="AO6" s="330"/>
      <c r="AP6" s="135"/>
      <c r="AQ6" s="136"/>
      <c r="AR6" s="118"/>
      <c r="AS6" s="210"/>
      <c r="AT6" s="180">
        <f>AR6*0.1</f>
        <v>0</v>
      </c>
      <c r="AU6" s="181"/>
      <c r="AV6" s="118"/>
      <c r="AW6" s="210"/>
      <c r="AX6" s="118">
        <f>SUM(AR6:AW6)</f>
        <v>0</v>
      </c>
      <c r="AY6" s="119"/>
      <c r="AZ6" s="200"/>
    </row>
    <row r="7" spans="1:52" ht="17.100000000000001" customHeight="1" thickBot="1">
      <c r="A7" s="110"/>
      <c r="B7" s="35" t="s">
        <v>46</v>
      </c>
      <c r="C7" s="35"/>
      <c r="D7" s="35" t="s">
        <v>55</v>
      </c>
      <c r="E7" s="112"/>
      <c r="F7" s="139" t="s">
        <v>56</v>
      </c>
      <c r="G7" s="140"/>
      <c r="H7" s="141"/>
      <c r="I7" s="26">
        <v>98100</v>
      </c>
      <c r="J7" s="324"/>
      <c r="K7" s="148" t="s">
        <v>57</v>
      </c>
      <c r="L7" s="144"/>
      <c r="M7" s="148" t="s">
        <v>58</v>
      </c>
      <c r="N7" s="144"/>
      <c r="O7" s="148" t="s">
        <v>59</v>
      </c>
      <c r="P7" s="144"/>
      <c r="Q7" s="148" t="s">
        <v>60</v>
      </c>
      <c r="R7" s="144"/>
      <c r="S7" s="148"/>
      <c r="T7" s="144"/>
      <c r="U7" s="120"/>
      <c r="V7" s="121"/>
      <c r="W7" s="125"/>
      <c r="X7" s="311" t="s">
        <v>61</v>
      </c>
      <c r="Y7" s="312"/>
      <c r="Z7" s="312"/>
      <c r="AA7" s="312"/>
      <c r="AB7" s="312"/>
      <c r="AC7" s="36" t="s">
        <v>21</v>
      </c>
      <c r="AD7" s="41"/>
      <c r="AE7" s="314"/>
      <c r="AF7" s="314"/>
      <c r="AG7" s="314"/>
      <c r="AH7" s="314"/>
      <c r="AI7" s="314"/>
      <c r="AJ7" s="148"/>
      <c r="AK7" s="143"/>
      <c r="AL7" s="143"/>
      <c r="AM7" s="22" t="s">
        <v>51</v>
      </c>
      <c r="AN7" s="315"/>
      <c r="AO7" s="312"/>
      <c r="AP7" s="148"/>
      <c r="AQ7" s="144"/>
      <c r="AR7" s="120"/>
      <c r="AS7" s="182"/>
      <c r="AT7" s="120"/>
      <c r="AU7" s="182"/>
      <c r="AV7" s="120"/>
      <c r="AW7" s="182"/>
      <c r="AX7" s="120"/>
      <c r="AY7" s="121"/>
      <c r="AZ7" s="201"/>
    </row>
    <row r="8" spans="1:52" ht="17.100000000000001" customHeight="1" thickTop="1">
      <c r="A8" s="109" t="s">
        <v>5741</v>
      </c>
      <c r="B8" s="28">
        <v>38596</v>
      </c>
      <c r="C8" s="29"/>
      <c r="D8" s="29" t="s">
        <v>62</v>
      </c>
      <c r="E8" s="111"/>
      <c r="F8" s="113" t="s">
        <v>63</v>
      </c>
      <c r="G8" s="114"/>
      <c r="H8" s="115"/>
      <c r="I8" s="24"/>
      <c r="J8" s="150"/>
      <c r="K8" s="176">
        <v>1000000</v>
      </c>
      <c r="L8" s="176"/>
      <c r="M8" s="176">
        <v>50000</v>
      </c>
      <c r="N8" s="176"/>
      <c r="O8" s="176"/>
      <c r="P8" s="176"/>
      <c r="Q8" s="176"/>
      <c r="R8" s="176"/>
      <c r="S8" s="176">
        <v>21000</v>
      </c>
      <c r="T8" s="176"/>
      <c r="U8" s="118">
        <v>1071850</v>
      </c>
      <c r="V8" s="119"/>
      <c r="W8" s="124">
        <v>20000</v>
      </c>
      <c r="X8" s="128" t="s">
        <v>64</v>
      </c>
      <c r="Y8" s="297"/>
      <c r="Z8" s="297"/>
      <c r="AA8" s="297"/>
      <c r="AB8" s="297"/>
      <c r="AC8" s="15" t="s">
        <v>20</v>
      </c>
      <c r="AD8" s="302"/>
      <c r="AE8" s="303"/>
      <c r="AF8" s="303"/>
      <c r="AG8" s="303"/>
      <c r="AH8" s="303"/>
      <c r="AI8" s="304"/>
      <c r="AJ8" s="344">
        <v>315000</v>
      </c>
      <c r="AK8" s="345"/>
      <c r="AL8" s="345"/>
      <c r="AM8" s="21"/>
      <c r="AN8" s="346"/>
      <c r="AO8" s="297"/>
      <c r="AP8" s="135"/>
      <c r="AQ8" s="136"/>
      <c r="AR8" s="118"/>
      <c r="AS8" s="210"/>
      <c r="AT8" s="180">
        <f>AR8*0.1</f>
        <v>0</v>
      </c>
      <c r="AU8" s="181"/>
      <c r="AV8" s="118"/>
      <c r="AW8" s="210"/>
      <c r="AX8" s="118">
        <f>SUM(AR8:AW8)</f>
        <v>0</v>
      </c>
      <c r="AY8" s="119"/>
      <c r="AZ8" s="200"/>
    </row>
    <row r="9" spans="1:52" ht="17.100000000000001" customHeight="1" thickBot="1">
      <c r="A9" s="110"/>
      <c r="B9" s="27" t="s">
        <v>65</v>
      </c>
      <c r="C9" s="27"/>
      <c r="D9" s="27" t="s">
        <v>66</v>
      </c>
      <c r="E9" s="112"/>
      <c r="F9" s="139" t="s">
        <v>67</v>
      </c>
      <c r="G9" s="140"/>
      <c r="H9" s="141"/>
      <c r="I9" s="26"/>
      <c r="J9" s="324"/>
      <c r="K9" s="148" t="s">
        <v>68</v>
      </c>
      <c r="L9" s="144"/>
      <c r="M9" s="148"/>
      <c r="N9" s="144"/>
      <c r="O9" s="148"/>
      <c r="P9" s="144"/>
      <c r="Q9" s="148"/>
      <c r="R9" s="144"/>
      <c r="S9" s="148"/>
      <c r="T9" s="144"/>
      <c r="U9" s="120"/>
      <c r="V9" s="121"/>
      <c r="W9" s="125"/>
      <c r="X9" s="144" t="s">
        <v>69</v>
      </c>
      <c r="Y9" s="287"/>
      <c r="Z9" s="287"/>
      <c r="AA9" s="287"/>
      <c r="AB9" s="287"/>
      <c r="AC9" s="16" t="s">
        <v>21</v>
      </c>
      <c r="AD9" s="39"/>
      <c r="AE9" s="338"/>
      <c r="AF9" s="338"/>
      <c r="AG9" s="338"/>
      <c r="AH9" s="338"/>
      <c r="AI9" s="338"/>
      <c r="AJ9" s="148"/>
      <c r="AK9" s="143"/>
      <c r="AL9" s="143"/>
      <c r="AM9" s="22" t="s">
        <v>51</v>
      </c>
      <c r="AN9" s="288"/>
      <c r="AO9" s="287"/>
      <c r="AP9" s="148"/>
      <c r="AQ9" s="144"/>
      <c r="AR9" s="120"/>
      <c r="AS9" s="182"/>
      <c r="AT9" s="120"/>
      <c r="AU9" s="182"/>
      <c r="AV9" s="120"/>
      <c r="AW9" s="182"/>
      <c r="AX9" s="120"/>
      <c r="AY9" s="121"/>
      <c r="AZ9" s="201"/>
    </row>
    <row r="10" spans="1:52" ht="17.100000000000001" customHeight="1" thickTop="1">
      <c r="A10" s="109" t="s">
        <v>5742</v>
      </c>
      <c r="B10" s="31">
        <v>38768</v>
      </c>
      <c r="C10" s="32"/>
      <c r="D10" s="32" t="s">
        <v>70</v>
      </c>
      <c r="E10" s="111"/>
      <c r="F10" s="113" t="s">
        <v>71</v>
      </c>
      <c r="G10" s="114"/>
      <c r="H10" s="115"/>
      <c r="I10" s="24"/>
      <c r="J10" s="150"/>
      <c r="K10" s="177">
        <v>320000</v>
      </c>
      <c r="L10" s="177"/>
      <c r="M10" s="177">
        <v>16000</v>
      </c>
      <c r="N10" s="177"/>
      <c r="O10" s="177"/>
      <c r="P10" s="177"/>
      <c r="Q10" s="177"/>
      <c r="R10" s="177"/>
      <c r="S10" s="177">
        <v>18375</v>
      </c>
      <c r="T10" s="177"/>
      <c r="U10" s="118">
        <v>376110</v>
      </c>
      <c r="V10" s="119"/>
      <c r="W10" s="124">
        <v>20000</v>
      </c>
      <c r="X10" s="329" t="s">
        <v>72</v>
      </c>
      <c r="Y10" s="330"/>
      <c r="Z10" s="330"/>
      <c r="AA10" s="330"/>
      <c r="AB10" s="330"/>
      <c r="AC10" s="33" t="s">
        <v>20</v>
      </c>
      <c r="AD10" s="302"/>
      <c r="AE10" s="303"/>
      <c r="AF10" s="303"/>
      <c r="AG10" s="303"/>
      <c r="AH10" s="303"/>
      <c r="AI10" s="304"/>
      <c r="AJ10" s="132">
        <v>341500</v>
      </c>
      <c r="AK10" s="127"/>
      <c r="AL10" s="127"/>
      <c r="AM10" s="21"/>
      <c r="AN10" s="343"/>
      <c r="AO10" s="330"/>
      <c r="AP10" s="135"/>
      <c r="AQ10" s="136"/>
      <c r="AR10" s="118"/>
      <c r="AS10" s="210"/>
      <c r="AT10" s="180">
        <f>AR10*0.1</f>
        <v>0</v>
      </c>
      <c r="AU10" s="181"/>
      <c r="AV10" s="118"/>
      <c r="AW10" s="210"/>
      <c r="AX10" s="118">
        <f>SUM(AR10:AW10)</f>
        <v>0</v>
      </c>
      <c r="AY10" s="119"/>
      <c r="AZ10" s="200"/>
    </row>
    <row r="11" spans="1:52" ht="17.100000000000001" customHeight="1" thickBot="1">
      <c r="A11" s="110"/>
      <c r="B11" s="35" t="s">
        <v>73</v>
      </c>
      <c r="C11" s="35"/>
      <c r="D11" s="35" t="s">
        <v>74</v>
      </c>
      <c r="E11" s="112"/>
      <c r="F11" s="139" t="s">
        <v>75</v>
      </c>
      <c r="G11" s="140"/>
      <c r="H11" s="141"/>
      <c r="I11" s="26"/>
      <c r="J11" s="324"/>
      <c r="K11" s="148" t="s">
        <v>76</v>
      </c>
      <c r="L11" s="144"/>
      <c r="M11" s="148" t="s">
        <v>77</v>
      </c>
      <c r="N11" s="144"/>
      <c r="O11" s="177"/>
      <c r="P11" s="177"/>
      <c r="Q11" s="177"/>
      <c r="R11" s="177"/>
      <c r="S11" s="177"/>
      <c r="T11" s="177"/>
      <c r="U11" s="120"/>
      <c r="V11" s="121"/>
      <c r="W11" s="125"/>
      <c r="X11" s="311" t="s">
        <v>78</v>
      </c>
      <c r="Y11" s="312"/>
      <c r="Z11" s="312"/>
      <c r="AA11" s="312"/>
      <c r="AB11" s="312"/>
      <c r="AC11" s="36" t="s">
        <v>21</v>
      </c>
      <c r="AD11" s="41"/>
      <c r="AE11" s="313" t="s">
        <v>79</v>
      </c>
      <c r="AF11" s="313"/>
      <c r="AG11" s="313"/>
      <c r="AH11" s="313"/>
      <c r="AI11" s="313"/>
      <c r="AJ11" s="148"/>
      <c r="AK11" s="143"/>
      <c r="AL11" s="143"/>
      <c r="AM11" s="22"/>
      <c r="AN11" s="315"/>
      <c r="AO11" s="312"/>
      <c r="AP11" s="148"/>
      <c r="AQ11" s="144"/>
      <c r="AR11" s="120"/>
      <c r="AS11" s="182"/>
      <c r="AT11" s="120"/>
      <c r="AU11" s="182"/>
      <c r="AV11" s="120"/>
      <c r="AW11" s="182"/>
      <c r="AX11" s="120"/>
      <c r="AY11" s="121"/>
      <c r="AZ11" s="201"/>
    </row>
    <row r="12" spans="1:52" ht="17.100000000000001" customHeight="1" thickTop="1">
      <c r="A12" s="109" t="s">
        <v>5743</v>
      </c>
      <c r="B12" s="28">
        <v>38792</v>
      </c>
      <c r="C12" s="29"/>
      <c r="D12" s="29" t="s">
        <v>80</v>
      </c>
      <c r="E12" s="111"/>
      <c r="F12" s="113" t="s">
        <v>81</v>
      </c>
      <c r="G12" s="114"/>
      <c r="H12" s="114"/>
      <c r="I12" s="24"/>
      <c r="J12" s="150"/>
      <c r="K12" s="321">
        <v>710000</v>
      </c>
      <c r="L12" s="322"/>
      <c r="M12" s="321">
        <v>35500</v>
      </c>
      <c r="N12" s="322"/>
      <c r="O12" s="321"/>
      <c r="P12" s="322"/>
      <c r="Q12" s="321"/>
      <c r="R12" s="322"/>
      <c r="S12" s="321">
        <v>10500</v>
      </c>
      <c r="T12" s="322"/>
      <c r="U12" s="210">
        <v>788596</v>
      </c>
      <c r="V12" s="119"/>
      <c r="W12" s="124">
        <v>20000</v>
      </c>
      <c r="X12" s="128" t="s">
        <v>82</v>
      </c>
      <c r="Y12" s="297"/>
      <c r="Z12" s="297"/>
      <c r="AA12" s="297"/>
      <c r="AB12" s="297"/>
      <c r="AC12" s="15" t="s">
        <v>20</v>
      </c>
      <c r="AD12" s="302"/>
      <c r="AE12" s="303"/>
      <c r="AF12" s="303"/>
      <c r="AG12" s="303"/>
      <c r="AH12" s="303"/>
      <c r="AI12" s="304"/>
      <c r="AJ12" s="132">
        <v>400000</v>
      </c>
      <c r="AK12" s="127"/>
      <c r="AL12" s="127"/>
      <c r="AM12" s="21"/>
      <c r="AN12" s="289"/>
      <c r="AO12" s="290"/>
      <c r="AP12" s="135"/>
      <c r="AQ12" s="136"/>
      <c r="AR12" s="118"/>
      <c r="AS12" s="210"/>
      <c r="AT12" s="180">
        <f>AR12*0.1</f>
        <v>0</v>
      </c>
      <c r="AU12" s="181"/>
      <c r="AV12" s="118"/>
      <c r="AW12" s="210"/>
      <c r="AX12" s="118">
        <f>SUM(AR12:AW12)</f>
        <v>0</v>
      </c>
      <c r="AY12" s="119"/>
      <c r="AZ12" s="200"/>
    </row>
    <row r="13" spans="1:52" ht="17.100000000000001" customHeight="1" thickBot="1">
      <c r="A13" s="110"/>
      <c r="B13" s="27" t="s">
        <v>83</v>
      </c>
      <c r="C13" s="27"/>
      <c r="D13" s="27" t="s">
        <v>66</v>
      </c>
      <c r="E13" s="112"/>
      <c r="F13" s="139" t="s">
        <v>84</v>
      </c>
      <c r="G13" s="140"/>
      <c r="H13" s="140"/>
      <c r="I13" s="26"/>
      <c r="J13" s="324"/>
      <c r="K13" s="148" t="s">
        <v>85</v>
      </c>
      <c r="L13" s="143"/>
      <c r="M13" s="144"/>
      <c r="N13" s="148" t="s">
        <v>86</v>
      </c>
      <c r="O13" s="143"/>
      <c r="P13" s="144"/>
      <c r="Q13" s="148" t="s">
        <v>87</v>
      </c>
      <c r="R13" s="143"/>
      <c r="S13" s="143"/>
      <c r="T13" s="144"/>
      <c r="U13" s="182"/>
      <c r="V13" s="121"/>
      <c r="W13" s="125"/>
      <c r="X13" s="311" t="s">
        <v>88</v>
      </c>
      <c r="Y13" s="312"/>
      <c r="Z13" s="312"/>
      <c r="AA13" s="312"/>
      <c r="AB13" s="312"/>
      <c r="AC13" s="36" t="s">
        <v>21</v>
      </c>
      <c r="AD13" s="42"/>
      <c r="AE13" s="316" t="s">
        <v>89</v>
      </c>
      <c r="AF13" s="317"/>
      <c r="AG13" s="317"/>
      <c r="AH13" s="317"/>
      <c r="AI13" s="318"/>
      <c r="AJ13" s="148"/>
      <c r="AK13" s="143"/>
      <c r="AL13" s="143"/>
      <c r="AM13" s="22" t="s">
        <v>51</v>
      </c>
      <c r="AN13" s="315"/>
      <c r="AO13" s="312"/>
      <c r="AP13" s="148"/>
      <c r="AQ13" s="144"/>
      <c r="AR13" s="120"/>
      <c r="AS13" s="182"/>
      <c r="AT13" s="120"/>
      <c r="AU13" s="182"/>
      <c r="AV13" s="120"/>
      <c r="AW13" s="182"/>
      <c r="AX13" s="120"/>
      <c r="AY13" s="121"/>
      <c r="AZ13" s="201"/>
    </row>
    <row r="14" spans="1:52" ht="17.100000000000001" customHeight="1" thickTop="1">
      <c r="A14" s="109" t="s">
        <v>5744</v>
      </c>
      <c r="B14" s="28">
        <v>38920</v>
      </c>
      <c r="C14" s="29"/>
      <c r="D14" s="29" t="s">
        <v>80</v>
      </c>
      <c r="E14" s="111"/>
      <c r="F14" s="113" t="s">
        <v>90</v>
      </c>
      <c r="G14" s="114"/>
      <c r="H14" s="115"/>
      <c r="I14" s="24"/>
      <c r="J14" s="150"/>
      <c r="K14" s="176">
        <v>795000</v>
      </c>
      <c r="L14" s="176"/>
      <c r="M14" s="176">
        <v>39750</v>
      </c>
      <c r="N14" s="176"/>
      <c r="O14" s="176"/>
      <c r="P14" s="176"/>
      <c r="Q14" s="176"/>
      <c r="R14" s="176"/>
      <c r="S14" s="176">
        <v>8610</v>
      </c>
      <c r="T14" s="177"/>
      <c r="U14" s="118">
        <v>886785</v>
      </c>
      <c r="V14" s="119"/>
      <c r="W14" s="124">
        <v>20000</v>
      </c>
      <c r="X14" s="128" t="s">
        <v>91</v>
      </c>
      <c r="Y14" s="297"/>
      <c r="Z14" s="297"/>
      <c r="AA14" s="297"/>
      <c r="AB14" s="297"/>
      <c r="AC14" s="15" t="s">
        <v>20</v>
      </c>
      <c r="AD14" s="302"/>
      <c r="AE14" s="303"/>
      <c r="AF14" s="303"/>
      <c r="AG14" s="303"/>
      <c r="AH14" s="303"/>
      <c r="AI14" s="304"/>
      <c r="AJ14" s="132">
        <v>147000</v>
      </c>
      <c r="AK14" s="127"/>
      <c r="AL14" s="127"/>
      <c r="AM14" s="21"/>
      <c r="AN14" s="289"/>
      <c r="AO14" s="290"/>
      <c r="AP14" s="135"/>
      <c r="AQ14" s="136"/>
      <c r="AR14" s="118"/>
      <c r="AS14" s="210"/>
      <c r="AT14" s="180">
        <f>AR14*0.1</f>
        <v>0</v>
      </c>
      <c r="AU14" s="181"/>
      <c r="AV14" s="118"/>
      <c r="AW14" s="210"/>
      <c r="AX14" s="118">
        <f>SUM(AR14:AW14)</f>
        <v>0</v>
      </c>
      <c r="AY14" s="119"/>
      <c r="AZ14" s="200"/>
    </row>
    <row r="15" spans="1:52" ht="17.100000000000001" customHeight="1" thickBot="1">
      <c r="A15" s="110"/>
      <c r="B15" s="27" t="s">
        <v>46</v>
      </c>
      <c r="C15" s="27"/>
      <c r="D15" s="27" t="s">
        <v>92</v>
      </c>
      <c r="E15" s="112"/>
      <c r="F15" s="139" t="s">
        <v>93</v>
      </c>
      <c r="G15" s="140"/>
      <c r="H15" s="141"/>
      <c r="I15" s="26"/>
      <c r="J15" s="324"/>
      <c r="K15" s="148" t="s">
        <v>94</v>
      </c>
      <c r="L15" s="144"/>
      <c r="M15" s="148" t="s">
        <v>95</v>
      </c>
      <c r="N15" s="144"/>
      <c r="O15" s="148"/>
      <c r="P15" s="144"/>
      <c r="Q15" s="148"/>
      <c r="R15" s="144"/>
      <c r="S15" s="148"/>
      <c r="T15" s="144"/>
      <c r="U15" s="120"/>
      <c r="V15" s="121"/>
      <c r="W15" s="125"/>
      <c r="X15" s="144" t="s">
        <v>96</v>
      </c>
      <c r="Y15" s="287"/>
      <c r="Z15" s="287"/>
      <c r="AA15" s="287"/>
      <c r="AB15" s="287"/>
      <c r="AC15" s="16" t="s">
        <v>21</v>
      </c>
      <c r="AD15" s="43"/>
      <c r="AE15" s="328"/>
      <c r="AF15" s="328"/>
      <c r="AG15" s="328"/>
      <c r="AH15" s="328"/>
      <c r="AI15" s="328"/>
      <c r="AJ15" s="148"/>
      <c r="AK15" s="143"/>
      <c r="AL15" s="143"/>
      <c r="AM15" s="22"/>
      <c r="AN15" s="288"/>
      <c r="AO15" s="287"/>
      <c r="AP15" s="148"/>
      <c r="AQ15" s="144"/>
      <c r="AR15" s="120"/>
      <c r="AS15" s="182"/>
      <c r="AT15" s="120"/>
      <c r="AU15" s="182"/>
      <c r="AV15" s="120"/>
      <c r="AW15" s="182"/>
      <c r="AX15" s="120"/>
      <c r="AY15" s="121"/>
      <c r="AZ15" s="201"/>
    </row>
    <row r="16" spans="1:52" ht="17.100000000000001" customHeight="1" thickTop="1">
      <c r="A16" s="109" t="s">
        <v>5745</v>
      </c>
      <c r="B16" s="28">
        <v>39366</v>
      </c>
      <c r="C16" s="29"/>
      <c r="D16" s="29" t="s">
        <v>52</v>
      </c>
      <c r="E16" s="111"/>
      <c r="F16" s="113" t="s">
        <v>97</v>
      </c>
      <c r="G16" s="114"/>
      <c r="H16" s="115"/>
      <c r="I16" s="24"/>
      <c r="J16" s="150"/>
      <c r="K16" s="342">
        <v>400000</v>
      </c>
      <c r="L16" s="342"/>
      <c r="M16" s="342"/>
      <c r="N16" s="342"/>
      <c r="O16" s="342"/>
      <c r="P16" s="342"/>
      <c r="Q16" s="342"/>
      <c r="R16" s="342"/>
      <c r="S16" s="342"/>
      <c r="T16" s="342"/>
      <c r="U16" s="118">
        <f>SUM(K16:T16)</f>
        <v>400000</v>
      </c>
      <c r="V16" s="119"/>
      <c r="W16" s="124">
        <v>20000</v>
      </c>
      <c r="X16" s="128" t="s">
        <v>98</v>
      </c>
      <c r="Y16" s="297"/>
      <c r="Z16" s="297"/>
      <c r="AA16" s="297"/>
      <c r="AB16" s="297"/>
      <c r="AC16" s="15" t="s">
        <v>20</v>
      </c>
      <c r="AD16" s="302"/>
      <c r="AE16" s="303"/>
      <c r="AF16" s="303"/>
      <c r="AG16" s="303"/>
      <c r="AH16" s="303"/>
      <c r="AI16" s="304"/>
      <c r="AJ16" s="132">
        <v>105000</v>
      </c>
      <c r="AK16" s="127"/>
      <c r="AL16" s="127"/>
      <c r="AM16" s="21"/>
      <c r="AN16" s="289"/>
      <c r="AO16" s="290"/>
      <c r="AP16" s="135"/>
      <c r="AQ16" s="136"/>
      <c r="AR16" s="118"/>
      <c r="AS16" s="210"/>
      <c r="AT16" s="180">
        <f>AR16*0.1</f>
        <v>0</v>
      </c>
      <c r="AU16" s="181"/>
      <c r="AV16" s="118"/>
      <c r="AW16" s="210"/>
      <c r="AX16" s="118">
        <f>SUM(AR16:AW16)</f>
        <v>0</v>
      </c>
      <c r="AY16" s="119"/>
      <c r="AZ16" s="200"/>
    </row>
    <row r="17" spans="1:52" ht="17.100000000000001" customHeight="1" thickBot="1">
      <c r="A17" s="110"/>
      <c r="B17" s="27" t="s">
        <v>99</v>
      </c>
      <c r="C17" s="27"/>
      <c r="D17" s="27"/>
      <c r="E17" s="112"/>
      <c r="F17" s="139" t="s">
        <v>100</v>
      </c>
      <c r="G17" s="140"/>
      <c r="H17" s="141"/>
      <c r="I17" s="26"/>
      <c r="J17" s="324"/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120"/>
      <c r="V17" s="121"/>
      <c r="W17" s="125"/>
      <c r="X17" s="144" t="s">
        <v>101</v>
      </c>
      <c r="Y17" s="287"/>
      <c r="Z17" s="287"/>
      <c r="AA17" s="287"/>
      <c r="AB17" s="287"/>
      <c r="AC17" s="16" t="s">
        <v>21</v>
      </c>
      <c r="AD17" s="43"/>
      <c r="AE17" s="328"/>
      <c r="AF17" s="328"/>
      <c r="AG17" s="328"/>
      <c r="AH17" s="328"/>
      <c r="AI17" s="328"/>
      <c r="AJ17" s="148"/>
      <c r="AK17" s="143"/>
      <c r="AL17" s="143"/>
      <c r="AM17" s="22" t="s">
        <v>51</v>
      </c>
      <c r="AN17" s="288"/>
      <c r="AO17" s="287"/>
      <c r="AP17" s="148"/>
      <c r="AQ17" s="144"/>
      <c r="AR17" s="120"/>
      <c r="AS17" s="182"/>
      <c r="AT17" s="120"/>
      <c r="AU17" s="182"/>
      <c r="AV17" s="120"/>
      <c r="AW17" s="182"/>
      <c r="AX17" s="120"/>
      <c r="AY17" s="121"/>
      <c r="AZ17" s="201"/>
    </row>
    <row r="18" spans="1:52" ht="17.100000000000001" customHeight="1" thickTop="1">
      <c r="A18" s="109" t="s">
        <v>5746</v>
      </c>
      <c r="B18" s="28">
        <v>39576</v>
      </c>
      <c r="C18" s="29"/>
      <c r="D18" s="29" t="s">
        <v>62</v>
      </c>
      <c r="E18" s="111"/>
      <c r="F18" s="113" t="s">
        <v>102</v>
      </c>
      <c r="G18" s="114"/>
      <c r="H18" s="114"/>
      <c r="I18" s="24"/>
      <c r="J18" s="150"/>
      <c r="K18" s="321">
        <v>383000</v>
      </c>
      <c r="L18" s="322"/>
      <c r="M18" s="321">
        <v>19150</v>
      </c>
      <c r="N18" s="322"/>
      <c r="O18" s="321">
        <v>37500</v>
      </c>
      <c r="P18" s="322"/>
      <c r="Q18" s="321">
        <v>19140</v>
      </c>
      <c r="R18" s="322"/>
      <c r="S18" s="321">
        <v>19425</v>
      </c>
      <c r="T18" s="322"/>
      <c r="U18" s="118">
        <v>491445</v>
      </c>
      <c r="V18" s="119"/>
      <c r="W18" s="124">
        <v>20000</v>
      </c>
      <c r="X18" s="128" t="s">
        <v>103</v>
      </c>
      <c r="Y18" s="297"/>
      <c r="Z18" s="297"/>
      <c r="AA18" s="297"/>
      <c r="AB18" s="297"/>
      <c r="AC18" s="15" t="s">
        <v>20</v>
      </c>
      <c r="AD18" s="302"/>
      <c r="AE18" s="303"/>
      <c r="AF18" s="303"/>
      <c r="AG18" s="303"/>
      <c r="AH18" s="303"/>
      <c r="AI18" s="304"/>
      <c r="AJ18" s="132">
        <v>458790</v>
      </c>
      <c r="AK18" s="127"/>
      <c r="AL18" s="127"/>
      <c r="AM18" s="21"/>
      <c r="AN18" s="289"/>
      <c r="AO18" s="290"/>
      <c r="AP18" s="135"/>
      <c r="AQ18" s="136"/>
      <c r="AR18" s="118"/>
      <c r="AS18" s="210"/>
      <c r="AT18" s="180">
        <f>AR18*0.1</f>
        <v>0</v>
      </c>
      <c r="AU18" s="181"/>
      <c r="AV18" s="118"/>
      <c r="AW18" s="210"/>
      <c r="AX18" s="118">
        <f>SUM(AR18:AW18)</f>
        <v>0</v>
      </c>
      <c r="AY18" s="119"/>
      <c r="AZ18" s="200"/>
    </row>
    <row r="19" spans="1:52" ht="17.100000000000001" customHeight="1" thickBot="1">
      <c r="A19" s="110"/>
      <c r="B19" s="27" t="s">
        <v>104</v>
      </c>
      <c r="C19" s="27"/>
      <c r="D19" s="27"/>
      <c r="E19" s="112"/>
      <c r="F19" s="139" t="s">
        <v>105</v>
      </c>
      <c r="G19" s="140"/>
      <c r="H19" s="140"/>
      <c r="I19" s="26"/>
      <c r="J19" s="324"/>
      <c r="K19" s="44" t="s">
        <v>106</v>
      </c>
      <c r="L19" s="45"/>
      <c r="M19" s="45"/>
      <c r="N19" s="45"/>
      <c r="O19" s="323"/>
      <c r="P19" s="323"/>
      <c r="Q19" s="323"/>
      <c r="R19" s="323"/>
      <c r="S19" s="323"/>
      <c r="T19" s="323"/>
      <c r="U19" s="120"/>
      <c r="V19" s="121"/>
      <c r="W19" s="125"/>
      <c r="X19" s="311" t="s">
        <v>107</v>
      </c>
      <c r="Y19" s="312"/>
      <c r="Z19" s="312"/>
      <c r="AA19" s="312"/>
      <c r="AB19" s="312"/>
      <c r="AC19" s="36" t="s">
        <v>21</v>
      </c>
      <c r="AD19" s="42"/>
      <c r="AE19" s="339"/>
      <c r="AF19" s="340"/>
      <c r="AG19" s="340"/>
      <c r="AH19" s="340"/>
      <c r="AI19" s="341"/>
      <c r="AJ19" s="148"/>
      <c r="AK19" s="143"/>
      <c r="AL19" s="143"/>
      <c r="AM19" s="22" t="s">
        <v>108</v>
      </c>
      <c r="AN19" s="288"/>
      <c r="AO19" s="287"/>
      <c r="AP19" s="148"/>
      <c r="AQ19" s="144"/>
      <c r="AR19" s="120"/>
      <c r="AS19" s="182"/>
      <c r="AT19" s="120"/>
      <c r="AU19" s="182"/>
      <c r="AV19" s="120"/>
      <c r="AW19" s="182"/>
      <c r="AX19" s="120"/>
      <c r="AY19" s="121"/>
      <c r="AZ19" s="201"/>
    </row>
    <row r="20" spans="1:52" ht="17.100000000000001" customHeight="1" thickTop="1">
      <c r="A20" s="109" t="s">
        <v>5747</v>
      </c>
      <c r="B20" s="28">
        <v>39872</v>
      </c>
      <c r="C20" s="29"/>
      <c r="D20" s="29" t="s">
        <v>109</v>
      </c>
      <c r="E20" s="111"/>
      <c r="F20" s="113" t="s">
        <v>110</v>
      </c>
      <c r="G20" s="114"/>
      <c r="H20" s="115"/>
      <c r="I20" s="24"/>
      <c r="J20" s="150"/>
      <c r="K20" s="176">
        <v>295000</v>
      </c>
      <c r="L20" s="176"/>
      <c r="M20" s="176">
        <v>14750</v>
      </c>
      <c r="N20" s="176"/>
      <c r="O20" s="176">
        <v>3200</v>
      </c>
      <c r="P20" s="176"/>
      <c r="Q20" s="176">
        <v>18050</v>
      </c>
      <c r="R20" s="176"/>
      <c r="S20" s="176">
        <v>4305</v>
      </c>
      <c r="T20" s="176"/>
      <c r="U20" s="118">
        <v>346330</v>
      </c>
      <c r="V20" s="119"/>
      <c r="W20" s="124">
        <v>20000</v>
      </c>
      <c r="X20" s="128" t="s">
        <v>111</v>
      </c>
      <c r="Y20" s="297"/>
      <c r="Z20" s="297"/>
      <c r="AA20" s="297"/>
      <c r="AB20" s="297"/>
      <c r="AC20" s="15" t="s">
        <v>20</v>
      </c>
      <c r="AD20" s="302"/>
      <c r="AE20" s="303"/>
      <c r="AF20" s="303"/>
      <c r="AG20" s="303"/>
      <c r="AH20" s="303"/>
      <c r="AI20" s="304"/>
      <c r="AJ20" s="132">
        <v>313000</v>
      </c>
      <c r="AK20" s="127"/>
      <c r="AL20" s="127"/>
      <c r="AM20" s="21"/>
      <c r="AN20" s="289"/>
      <c r="AO20" s="290"/>
      <c r="AP20" s="135"/>
      <c r="AQ20" s="136"/>
      <c r="AR20" s="118"/>
      <c r="AS20" s="210"/>
      <c r="AT20" s="180">
        <f>AR20*0.1</f>
        <v>0</v>
      </c>
      <c r="AU20" s="181"/>
      <c r="AV20" s="118"/>
      <c r="AW20" s="210"/>
      <c r="AX20" s="118">
        <f>SUM(AR20:AW20)</f>
        <v>0</v>
      </c>
      <c r="AY20" s="119"/>
      <c r="AZ20" s="200"/>
    </row>
    <row r="21" spans="1:52" ht="17.100000000000001" customHeight="1" thickBot="1">
      <c r="A21" s="110"/>
      <c r="B21" s="27" t="s">
        <v>46</v>
      </c>
      <c r="C21" s="27"/>
      <c r="D21" s="27" t="s">
        <v>112</v>
      </c>
      <c r="E21" s="112"/>
      <c r="F21" s="139" t="s">
        <v>113</v>
      </c>
      <c r="G21" s="140"/>
      <c r="H21" s="141"/>
      <c r="I21" s="26"/>
      <c r="J21" s="324"/>
      <c r="K21" s="148" t="s">
        <v>114</v>
      </c>
      <c r="L21" s="144"/>
      <c r="M21" s="323"/>
      <c r="N21" s="323"/>
      <c r="O21" s="323"/>
      <c r="P21" s="323"/>
      <c r="Q21" s="323"/>
      <c r="R21" s="323"/>
      <c r="S21" s="323"/>
      <c r="T21" s="323"/>
      <c r="U21" s="120"/>
      <c r="V21" s="121"/>
      <c r="W21" s="125"/>
      <c r="X21" s="144" t="s">
        <v>115</v>
      </c>
      <c r="Y21" s="287"/>
      <c r="Z21" s="287"/>
      <c r="AA21" s="287"/>
      <c r="AB21" s="287"/>
      <c r="AC21" s="16" t="s">
        <v>21</v>
      </c>
      <c r="AD21" s="43"/>
      <c r="AE21" s="338" t="s">
        <v>79</v>
      </c>
      <c r="AF21" s="338"/>
      <c r="AG21" s="338"/>
      <c r="AH21" s="338"/>
      <c r="AI21" s="338"/>
      <c r="AJ21" s="148"/>
      <c r="AK21" s="143"/>
      <c r="AL21" s="143"/>
      <c r="AM21" s="22" t="s">
        <v>51</v>
      </c>
      <c r="AN21" s="288"/>
      <c r="AO21" s="287"/>
      <c r="AP21" s="148"/>
      <c r="AQ21" s="144"/>
      <c r="AR21" s="120"/>
      <c r="AS21" s="182"/>
      <c r="AT21" s="120"/>
      <c r="AU21" s="182"/>
      <c r="AV21" s="120"/>
      <c r="AW21" s="182"/>
      <c r="AX21" s="120"/>
      <c r="AY21" s="121"/>
      <c r="AZ21" s="201"/>
    </row>
    <row r="22" spans="1:52" ht="17.100000000000001" customHeight="1" thickTop="1">
      <c r="A22" s="109" t="s">
        <v>5748</v>
      </c>
      <c r="B22" s="31">
        <v>39963</v>
      </c>
      <c r="C22" s="32"/>
      <c r="D22" s="32" t="s">
        <v>116</v>
      </c>
      <c r="E22" s="111"/>
      <c r="F22" s="113" t="s">
        <v>117</v>
      </c>
      <c r="G22" s="114"/>
      <c r="H22" s="115"/>
      <c r="I22" s="24"/>
      <c r="J22" s="150"/>
      <c r="K22" s="177">
        <v>745000</v>
      </c>
      <c r="L22" s="177"/>
      <c r="M22" s="177">
        <v>37250</v>
      </c>
      <c r="N22" s="177"/>
      <c r="O22" s="177"/>
      <c r="P22" s="177"/>
      <c r="Q22" s="177">
        <v>19660</v>
      </c>
      <c r="R22" s="177"/>
      <c r="S22" s="177">
        <v>4305</v>
      </c>
      <c r="T22" s="177"/>
      <c r="U22" s="118">
        <f>SUM(K22:T22)</f>
        <v>806215</v>
      </c>
      <c r="V22" s="119"/>
      <c r="W22" s="124">
        <v>20000</v>
      </c>
      <c r="X22" s="329" t="s">
        <v>118</v>
      </c>
      <c r="Y22" s="330"/>
      <c r="Z22" s="330"/>
      <c r="AA22" s="330"/>
      <c r="AB22" s="330"/>
      <c r="AC22" s="33" t="s">
        <v>20</v>
      </c>
      <c r="AD22" s="302"/>
      <c r="AE22" s="303"/>
      <c r="AF22" s="303"/>
      <c r="AG22" s="303"/>
      <c r="AH22" s="303"/>
      <c r="AI22" s="304"/>
      <c r="AJ22" s="132"/>
      <c r="AK22" s="127"/>
      <c r="AL22" s="127"/>
      <c r="AM22" s="21"/>
      <c r="AN22" s="289"/>
      <c r="AO22" s="290"/>
      <c r="AP22" s="135"/>
      <c r="AQ22" s="136"/>
      <c r="AR22" s="118"/>
      <c r="AS22" s="210"/>
      <c r="AT22" s="180">
        <f>AR22*0.1</f>
        <v>0</v>
      </c>
      <c r="AU22" s="181"/>
      <c r="AV22" s="118"/>
      <c r="AW22" s="210"/>
      <c r="AX22" s="118">
        <f>SUM(AR22:AW22)</f>
        <v>0</v>
      </c>
      <c r="AY22" s="119"/>
      <c r="AZ22" s="200"/>
    </row>
    <row r="23" spans="1:52" ht="17.100000000000001" customHeight="1" thickBot="1">
      <c r="A23" s="110"/>
      <c r="B23" s="35" t="s">
        <v>46</v>
      </c>
      <c r="C23" s="35"/>
      <c r="D23" s="35" t="s">
        <v>119</v>
      </c>
      <c r="E23" s="112"/>
      <c r="F23" s="139" t="s">
        <v>120</v>
      </c>
      <c r="G23" s="140"/>
      <c r="H23" s="141"/>
      <c r="I23" s="26">
        <v>50901</v>
      </c>
      <c r="J23" s="324"/>
      <c r="K23" s="323"/>
      <c r="L23" s="323"/>
      <c r="M23" s="323"/>
      <c r="N23" s="323"/>
      <c r="O23" s="323"/>
      <c r="P23" s="323"/>
      <c r="Q23" s="323"/>
      <c r="R23" s="323"/>
      <c r="S23" s="323"/>
      <c r="T23" s="323"/>
      <c r="U23" s="120"/>
      <c r="V23" s="121"/>
      <c r="W23" s="125"/>
      <c r="X23" s="311" t="s">
        <v>121</v>
      </c>
      <c r="Y23" s="312"/>
      <c r="Z23" s="312"/>
      <c r="AA23" s="312"/>
      <c r="AB23" s="312"/>
      <c r="AC23" s="36" t="s">
        <v>21</v>
      </c>
      <c r="AD23" s="46"/>
      <c r="AE23" s="314"/>
      <c r="AF23" s="314"/>
      <c r="AG23" s="314"/>
      <c r="AH23" s="314"/>
      <c r="AI23" s="314"/>
      <c r="AJ23" s="148"/>
      <c r="AK23" s="143"/>
      <c r="AL23" s="143"/>
      <c r="AM23" s="22"/>
      <c r="AN23" s="288"/>
      <c r="AO23" s="287"/>
      <c r="AP23" s="148"/>
      <c r="AQ23" s="144"/>
      <c r="AR23" s="120"/>
      <c r="AS23" s="182"/>
      <c r="AT23" s="120"/>
      <c r="AU23" s="182"/>
      <c r="AV23" s="120"/>
      <c r="AW23" s="182"/>
      <c r="AX23" s="120"/>
      <c r="AY23" s="121"/>
      <c r="AZ23" s="201"/>
    </row>
    <row r="24" spans="1:52" ht="17.100000000000001" customHeight="1" thickTop="1">
      <c r="A24" s="109" t="s">
        <v>5749</v>
      </c>
      <c r="B24" s="28">
        <v>40026</v>
      </c>
      <c r="C24" s="29" t="s">
        <v>122</v>
      </c>
      <c r="D24" s="29" t="s">
        <v>123</v>
      </c>
      <c r="E24" s="111"/>
      <c r="F24" s="113" t="s">
        <v>124</v>
      </c>
      <c r="G24" s="114"/>
      <c r="H24" s="114"/>
      <c r="I24" s="24"/>
      <c r="J24" s="150"/>
      <c r="K24" s="321">
        <v>725000</v>
      </c>
      <c r="L24" s="322"/>
      <c r="M24" s="321">
        <v>36250</v>
      </c>
      <c r="N24" s="322"/>
      <c r="O24" s="321"/>
      <c r="P24" s="322"/>
      <c r="Q24" s="321">
        <v>19350</v>
      </c>
      <c r="R24" s="322"/>
      <c r="S24" s="321">
        <v>4305</v>
      </c>
      <c r="T24" s="322"/>
      <c r="U24" s="118">
        <f>SUM(K24:T24)</f>
        <v>784905</v>
      </c>
      <c r="V24" s="119"/>
      <c r="W24" s="124">
        <v>20000</v>
      </c>
      <c r="X24" s="128" t="s">
        <v>125</v>
      </c>
      <c r="Y24" s="297"/>
      <c r="Z24" s="297"/>
      <c r="AA24" s="297"/>
      <c r="AB24" s="297"/>
      <c r="AC24" s="15" t="s">
        <v>20</v>
      </c>
      <c r="AD24" s="302"/>
      <c r="AE24" s="303"/>
      <c r="AF24" s="303"/>
      <c r="AG24" s="303"/>
      <c r="AH24" s="303"/>
      <c r="AI24" s="304"/>
      <c r="AJ24" s="132"/>
      <c r="AK24" s="127"/>
      <c r="AL24" s="127"/>
      <c r="AM24" s="21"/>
      <c r="AN24" s="289"/>
      <c r="AO24" s="290"/>
      <c r="AP24" s="135"/>
      <c r="AQ24" s="136"/>
      <c r="AR24" s="118"/>
      <c r="AS24" s="210"/>
      <c r="AT24" s="180">
        <f>AR24*0.1</f>
        <v>0</v>
      </c>
      <c r="AU24" s="181"/>
      <c r="AV24" s="118"/>
      <c r="AW24" s="210"/>
      <c r="AX24" s="118">
        <f>SUM(AR24:AW24)</f>
        <v>0</v>
      </c>
      <c r="AY24" s="119"/>
      <c r="AZ24" s="200"/>
    </row>
    <row r="25" spans="1:52" ht="17.100000000000001" customHeight="1" thickBot="1">
      <c r="A25" s="110"/>
      <c r="B25" s="27" t="s">
        <v>46</v>
      </c>
      <c r="C25" s="27">
        <v>80273</v>
      </c>
      <c r="D25" s="27" t="s">
        <v>66</v>
      </c>
      <c r="E25" s="112"/>
      <c r="F25" s="139" t="s">
        <v>126</v>
      </c>
      <c r="G25" s="140"/>
      <c r="H25" s="140"/>
      <c r="I25" s="26">
        <v>50901</v>
      </c>
      <c r="J25" s="324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120"/>
      <c r="V25" s="121"/>
      <c r="W25" s="125"/>
      <c r="X25" s="335" t="s">
        <v>127</v>
      </c>
      <c r="Y25" s="287"/>
      <c r="Z25" s="287"/>
      <c r="AA25" s="287"/>
      <c r="AB25" s="287"/>
      <c r="AC25" s="16" t="s">
        <v>21</v>
      </c>
      <c r="AD25" s="42"/>
      <c r="AE25" s="316" t="s">
        <v>128</v>
      </c>
      <c r="AF25" s="317"/>
      <c r="AG25" s="317"/>
      <c r="AH25" s="317"/>
      <c r="AI25" s="318"/>
      <c r="AJ25" s="148"/>
      <c r="AK25" s="143"/>
      <c r="AL25" s="144"/>
      <c r="AM25" s="22"/>
      <c r="AN25" s="288"/>
      <c r="AO25" s="287"/>
      <c r="AP25" s="148"/>
      <c r="AQ25" s="144"/>
      <c r="AR25" s="120"/>
      <c r="AS25" s="182"/>
      <c r="AT25" s="120"/>
      <c r="AU25" s="182"/>
      <c r="AV25" s="120"/>
      <c r="AW25" s="182"/>
      <c r="AX25" s="120"/>
      <c r="AY25" s="121"/>
      <c r="AZ25" s="201"/>
    </row>
    <row r="26" spans="1:52" ht="17.100000000000001" customHeight="1" thickTop="1">
      <c r="A26" s="109" t="s">
        <v>5750</v>
      </c>
      <c r="B26" s="28">
        <v>40575</v>
      </c>
      <c r="C26" s="29" t="s">
        <v>129</v>
      </c>
      <c r="D26" s="29" t="s">
        <v>109</v>
      </c>
      <c r="E26" s="111"/>
      <c r="F26" s="113" t="s">
        <v>130</v>
      </c>
      <c r="G26" s="114"/>
      <c r="H26" s="115"/>
      <c r="I26" s="47"/>
      <c r="J26" s="150"/>
      <c r="K26" s="176">
        <v>842000</v>
      </c>
      <c r="L26" s="176"/>
      <c r="M26" s="176">
        <v>42100</v>
      </c>
      <c r="N26" s="176"/>
      <c r="O26" s="176">
        <v>3200</v>
      </c>
      <c r="P26" s="176"/>
      <c r="Q26" s="176">
        <v>16040</v>
      </c>
      <c r="R26" s="176"/>
      <c r="S26" s="176">
        <v>19420</v>
      </c>
      <c r="T26" s="176"/>
      <c r="U26" s="118">
        <v>923390</v>
      </c>
      <c r="V26" s="119"/>
      <c r="W26" s="124">
        <v>70000</v>
      </c>
      <c r="X26" s="329" t="s">
        <v>131</v>
      </c>
      <c r="Y26" s="330"/>
      <c r="Z26" s="330"/>
      <c r="AA26" s="330"/>
      <c r="AB26" s="330"/>
      <c r="AC26" s="33" t="s">
        <v>20</v>
      </c>
      <c r="AD26" s="302"/>
      <c r="AE26" s="303"/>
      <c r="AF26" s="303"/>
      <c r="AG26" s="303"/>
      <c r="AH26" s="303"/>
      <c r="AI26" s="304"/>
      <c r="AJ26" s="336"/>
      <c r="AK26" s="337"/>
      <c r="AL26" s="337"/>
      <c r="AM26" s="21"/>
      <c r="AN26" s="289"/>
      <c r="AO26" s="290"/>
      <c r="AP26" s="135"/>
      <c r="AQ26" s="136"/>
      <c r="AR26" s="118"/>
      <c r="AS26" s="210"/>
      <c r="AT26" s="180">
        <f>AR26*0.1</f>
        <v>0</v>
      </c>
      <c r="AU26" s="181"/>
      <c r="AV26" s="118"/>
      <c r="AW26" s="210"/>
      <c r="AX26" s="118">
        <f>SUM(AR26:AW26)</f>
        <v>0</v>
      </c>
      <c r="AY26" s="119"/>
      <c r="AZ26" s="200"/>
    </row>
    <row r="27" spans="1:52" ht="17.100000000000001" customHeight="1" thickBot="1">
      <c r="A27" s="110"/>
      <c r="B27" s="27" t="s">
        <v>132</v>
      </c>
      <c r="C27" s="27">
        <v>70861</v>
      </c>
      <c r="D27" s="27" t="s">
        <v>133</v>
      </c>
      <c r="E27" s="112"/>
      <c r="F27" s="139" t="s">
        <v>134</v>
      </c>
      <c r="G27" s="140"/>
      <c r="H27" s="141"/>
      <c r="I27" s="26"/>
      <c r="J27" s="324"/>
      <c r="K27" s="148" t="s">
        <v>135</v>
      </c>
      <c r="L27" s="144"/>
      <c r="M27" s="323"/>
      <c r="N27" s="323"/>
      <c r="O27" s="323"/>
      <c r="P27" s="323"/>
      <c r="Q27" s="323"/>
      <c r="R27" s="323"/>
      <c r="S27" s="323"/>
      <c r="T27" s="323"/>
      <c r="U27" s="120"/>
      <c r="V27" s="121"/>
      <c r="W27" s="125"/>
      <c r="X27" s="311" t="s">
        <v>136</v>
      </c>
      <c r="Y27" s="312"/>
      <c r="Z27" s="312"/>
      <c r="AA27" s="312"/>
      <c r="AB27" s="312"/>
      <c r="AC27" s="36" t="s">
        <v>21</v>
      </c>
      <c r="AD27" s="46"/>
      <c r="AE27" s="314"/>
      <c r="AF27" s="314"/>
      <c r="AG27" s="314"/>
      <c r="AH27" s="314"/>
      <c r="AI27" s="314"/>
      <c r="AJ27" s="148"/>
      <c r="AK27" s="143"/>
      <c r="AL27" s="143"/>
      <c r="AM27" s="22" t="s">
        <v>108</v>
      </c>
      <c r="AN27" s="288"/>
      <c r="AO27" s="287"/>
      <c r="AP27" s="148"/>
      <c r="AQ27" s="144"/>
      <c r="AR27" s="120"/>
      <c r="AS27" s="182"/>
      <c r="AT27" s="120"/>
      <c r="AU27" s="182"/>
      <c r="AV27" s="120"/>
      <c r="AW27" s="182"/>
      <c r="AX27" s="120"/>
      <c r="AY27" s="121"/>
      <c r="AZ27" s="201"/>
    </row>
    <row r="28" spans="1:52" ht="17.100000000000001" customHeight="1" thickTop="1">
      <c r="A28" s="109" t="s">
        <v>5751</v>
      </c>
      <c r="B28" s="31">
        <v>40778</v>
      </c>
      <c r="C28" s="32" t="s">
        <v>137</v>
      </c>
      <c r="D28" s="32" t="s">
        <v>138</v>
      </c>
      <c r="E28" s="331"/>
      <c r="F28" s="332" t="s">
        <v>139</v>
      </c>
      <c r="G28" s="333"/>
      <c r="H28" s="334"/>
      <c r="I28" s="24"/>
      <c r="J28" s="319"/>
      <c r="K28" s="177">
        <v>1235000</v>
      </c>
      <c r="L28" s="177"/>
      <c r="M28" s="177">
        <v>61750</v>
      </c>
      <c r="N28" s="177"/>
      <c r="O28" s="177">
        <v>51300</v>
      </c>
      <c r="P28" s="177"/>
      <c r="Q28" s="177">
        <v>20550</v>
      </c>
      <c r="R28" s="177"/>
      <c r="S28" s="177">
        <v>10550</v>
      </c>
      <c r="T28" s="177"/>
      <c r="U28" s="118">
        <f>SUM(K28:T28)</f>
        <v>1379150</v>
      </c>
      <c r="V28" s="119"/>
      <c r="W28" s="124">
        <v>100000</v>
      </c>
      <c r="X28" s="329" t="s">
        <v>140</v>
      </c>
      <c r="Y28" s="330"/>
      <c r="Z28" s="330"/>
      <c r="AA28" s="330"/>
      <c r="AB28" s="330"/>
      <c r="AC28" s="33" t="s">
        <v>20</v>
      </c>
      <c r="AD28" s="325"/>
      <c r="AE28" s="326"/>
      <c r="AF28" s="326"/>
      <c r="AG28" s="326"/>
      <c r="AH28" s="326"/>
      <c r="AI28" s="327"/>
      <c r="AJ28" s="132"/>
      <c r="AK28" s="127"/>
      <c r="AL28" s="127"/>
      <c r="AM28" s="21"/>
      <c r="AN28" s="289"/>
      <c r="AO28" s="290"/>
      <c r="AP28" s="135"/>
      <c r="AQ28" s="136"/>
      <c r="AR28" s="118"/>
      <c r="AS28" s="210"/>
      <c r="AT28" s="180">
        <f>AR28*0.1</f>
        <v>0</v>
      </c>
      <c r="AU28" s="181"/>
      <c r="AV28" s="118"/>
      <c r="AW28" s="210"/>
      <c r="AX28" s="118">
        <f>SUM(AR28:AW28)</f>
        <v>0</v>
      </c>
      <c r="AY28" s="119"/>
      <c r="AZ28" s="200"/>
    </row>
    <row r="29" spans="1:52" ht="17.100000000000001" customHeight="1" thickBot="1">
      <c r="A29" s="110"/>
      <c r="B29" s="35" t="s">
        <v>132</v>
      </c>
      <c r="C29" s="35">
        <v>70169</v>
      </c>
      <c r="D29" s="35" t="s">
        <v>66</v>
      </c>
      <c r="E29" s="112"/>
      <c r="F29" s="139" t="s">
        <v>141</v>
      </c>
      <c r="G29" s="140"/>
      <c r="H29" s="141"/>
      <c r="I29" s="26">
        <v>45564</v>
      </c>
      <c r="J29" s="324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120"/>
      <c r="V29" s="121"/>
      <c r="W29" s="125"/>
      <c r="X29" s="311" t="s">
        <v>142</v>
      </c>
      <c r="Y29" s="312"/>
      <c r="Z29" s="312"/>
      <c r="AA29" s="312"/>
      <c r="AB29" s="312"/>
      <c r="AC29" s="36" t="s">
        <v>21</v>
      </c>
      <c r="AD29" s="46"/>
      <c r="AE29" s="313" t="s">
        <v>143</v>
      </c>
      <c r="AF29" s="313"/>
      <c r="AG29" s="313"/>
      <c r="AH29" s="313"/>
      <c r="AI29" s="313"/>
      <c r="AJ29" s="148"/>
      <c r="AK29" s="143"/>
      <c r="AL29" s="143"/>
      <c r="AM29" s="22"/>
      <c r="AN29" s="288"/>
      <c r="AO29" s="287"/>
      <c r="AP29" s="148"/>
      <c r="AQ29" s="144"/>
      <c r="AR29" s="120"/>
      <c r="AS29" s="182"/>
      <c r="AT29" s="120"/>
      <c r="AU29" s="182"/>
      <c r="AV29" s="120"/>
      <c r="AW29" s="182"/>
      <c r="AX29" s="120"/>
      <c r="AY29" s="121"/>
      <c r="AZ29" s="201"/>
    </row>
    <row r="30" spans="1:52" ht="17.100000000000001" customHeight="1" thickTop="1">
      <c r="A30" s="109" t="s">
        <v>5752</v>
      </c>
      <c r="B30" s="28">
        <v>40854</v>
      </c>
      <c r="C30" s="29" t="s">
        <v>144</v>
      </c>
      <c r="D30" s="29" t="s">
        <v>145</v>
      </c>
      <c r="E30" s="111"/>
      <c r="F30" s="113" t="s">
        <v>146</v>
      </c>
      <c r="G30" s="114"/>
      <c r="H30" s="115"/>
      <c r="I30" s="24"/>
      <c r="J30" s="150"/>
      <c r="K30" s="176">
        <v>1065000</v>
      </c>
      <c r="L30" s="176"/>
      <c r="M30" s="176">
        <v>53250</v>
      </c>
      <c r="N30" s="176"/>
      <c r="O30" s="176"/>
      <c r="P30" s="176"/>
      <c r="Q30" s="176">
        <v>18630</v>
      </c>
      <c r="R30" s="176"/>
      <c r="S30" s="176">
        <v>10500</v>
      </c>
      <c r="T30" s="176"/>
      <c r="U30" s="118">
        <v>1217205</v>
      </c>
      <c r="V30" s="119"/>
      <c r="W30" s="124">
        <v>150000</v>
      </c>
      <c r="X30" s="128" t="s">
        <v>147</v>
      </c>
      <c r="Y30" s="297"/>
      <c r="Z30" s="297"/>
      <c r="AA30" s="297"/>
      <c r="AB30" s="297"/>
      <c r="AC30" s="15" t="s">
        <v>20</v>
      </c>
      <c r="AD30" s="302"/>
      <c r="AE30" s="303"/>
      <c r="AF30" s="303"/>
      <c r="AG30" s="303"/>
      <c r="AH30" s="303"/>
      <c r="AI30" s="304"/>
      <c r="AJ30" s="132"/>
      <c r="AK30" s="127"/>
      <c r="AL30" s="127"/>
      <c r="AM30" s="21"/>
      <c r="AN30" s="289"/>
      <c r="AO30" s="290"/>
      <c r="AP30" s="135"/>
      <c r="AQ30" s="136"/>
      <c r="AR30" s="118"/>
      <c r="AS30" s="210"/>
      <c r="AT30" s="180">
        <f>AR30*0.1</f>
        <v>0</v>
      </c>
      <c r="AU30" s="181"/>
      <c r="AV30" s="118"/>
      <c r="AW30" s="210"/>
      <c r="AX30" s="118">
        <f>SUM(AR30:AW30)</f>
        <v>0</v>
      </c>
      <c r="AY30" s="119"/>
      <c r="AZ30" s="200"/>
    </row>
    <row r="31" spans="1:52" ht="17.100000000000001" customHeight="1" thickBot="1">
      <c r="A31" s="110"/>
      <c r="B31" s="27" t="s">
        <v>148</v>
      </c>
      <c r="C31" s="27">
        <v>70185</v>
      </c>
      <c r="D31" s="27" t="s">
        <v>149</v>
      </c>
      <c r="E31" s="112"/>
      <c r="F31" s="139" t="s">
        <v>150</v>
      </c>
      <c r="G31" s="140"/>
      <c r="H31" s="141"/>
      <c r="I31" s="26"/>
      <c r="J31" s="324"/>
      <c r="K31" s="148" t="s">
        <v>151</v>
      </c>
      <c r="L31" s="143"/>
      <c r="M31" s="143"/>
      <c r="N31" s="144"/>
      <c r="O31" s="323"/>
      <c r="P31" s="323"/>
      <c r="Q31" s="323"/>
      <c r="R31" s="323"/>
      <c r="S31" s="323"/>
      <c r="T31" s="323"/>
      <c r="U31" s="120"/>
      <c r="V31" s="121"/>
      <c r="W31" s="125"/>
      <c r="X31" s="144" t="s">
        <v>152</v>
      </c>
      <c r="Y31" s="287"/>
      <c r="Z31" s="287"/>
      <c r="AA31" s="287"/>
      <c r="AB31" s="287"/>
      <c r="AC31" s="16" t="s">
        <v>21</v>
      </c>
      <c r="AD31" s="43"/>
      <c r="AE31" s="328"/>
      <c r="AF31" s="328"/>
      <c r="AG31" s="328"/>
      <c r="AH31" s="328"/>
      <c r="AI31" s="328"/>
      <c r="AJ31" s="148"/>
      <c r="AK31" s="143"/>
      <c r="AL31" s="143"/>
      <c r="AM31" s="22"/>
      <c r="AN31" s="288"/>
      <c r="AO31" s="287"/>
      <c r="AP31" s="148"/>
      <c r="AQ31" s="144"/>
      <c r="AR31" s="120"/>
      <c r="AS31" s="182"/>
      <c r="AT31" s="120"/>
      <c r="AU31" s="182"/>
      <c r="AV31" s="120"/>
      <c r="AW31" s="182"/>
      <c r="AX31" s="120"/>
      <c r="AY31" s="121"/>
      <c r="AZ31" s="201"/>
    </row>
    <row r="32" spans="1:52" ht="17.100000000000001" customHeight="1" thickTop="1">
      <c r="A32" s="109" t="s">
        <v>5753</v>
      </c>
      <c r="B32" s="31">
        <v>40870</v>
      </c>
      <c r="C32" s="32" t="s">
        <v>153</v>
      </c>
      <c r="D32" s="32" t="s">
        <v>116</v>
      </c>
      <c r="E32" s="111"/>
      <c r="F32" s="113" t="s">
        <v>154</v>
      </c>
      <c r="G32" s="114"/>
      <c r="H32" s="115"/>
      <c r="I32" s="24"/>
      <c r="J32" s="150"/>
      <c r="K32" s="177">
        <v>1150000</v>
      </c>
      <c r="L32" s="177"/>
      <c r="M32" s="177">
        <v>57500</v>
      </c>
      <c r="N32" s="177"/>
      <c r="O32" s="177">
        <v>20400</v>
      </c>
      <c r="P32" s="177"/>
      <c r="Q32" s="177">
        <v>12600</v>
      </c>
      <c r="R32" s="177"/>
      <c r="S32" s="177">
        <v>19240</v>
      </c>
      <c r="T32" s="177"/>
      <c r="U32" s="118">
        <f>SUM(K32:T32)</f>
        <v>1259740</v>
      </c>
      <c r="V32" s="119"/>
      <c r="W32" s="124">
        <v>100000</v>
      </c>
      <c r="X32" s="329" t="s">
        <v>155</v>
      </c>
      <c r="Y32" s="330"/>
      <c r="Z32" s="330"/>
      <c r="AA32" s="330"/>
      <c r="AB32" s="330"/>
      <c r="AC32" s="33" t="s">
        <v>20</v>
      </c>
      <c r="AD32" s="302"/>
      <c r="AE32" s="303"/>
      <c r="AF32" s="303"/>
      <c r="AG32" s="303"/>
      <c r="AH32" s="303"/>
      <c r="AI32" s="304"/>
      <c r="AJ32" s="132"/>
      <c r="AK32" s="127"/>
      <c r="AL32" s="127"/>
      <c r="AM32" s="21"/>
      <c r="AN32" s="289"/>
      <c r="AO32" s="290"/>
      <c r="AP32" s="135"/>
      <c r="AQ32" s="136"/>
      <c r="AR32" s="118"/>
      <c r="AS32" s="210"/>
      <c r="AT32" s="180">
        <f>AR32*0.1</f>
        <v>0</v>
      </c>
      <c r="AU32" s="181"/>
      <c r="AV32" s="118"/>
      <c r="AW32" s="210"/>
      <c r="AX32" s="118">
        <f>SUM(AR32:AW32)</f>
        <v>0</v>
      </c>
      <c r="AY32" s="119"/>
      <c r="AZ32" s="200"/>
    </row>
    <row r="33" spans="1:52" ht="17.100000000000001" customHeight="1" thickBot="1">
      <c r="A33" s="110"/>
      <c r="B33" s="35" t="s">
        <v>73</v>
      </c>
      <c r="C33" s="35">
        <v>30056</v>
      </c>
      <c r="D33" s="35" t="s">
        <v>66</v>
      </c>
      <c r="E33" s="112"/>
      <c r="F33" s="139" t="s">
        <v>156</v>
      </c>
      <c r="G33" s="140"/>
      <c r="H33" s="141"/>
      <c r="I33" s="26">
        <v>59357</v>
      </c>
      <c r="J33" s="324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120"/>
      <c r="V33" s="121"/>
      <c r="W33" s="125"/>
      <c r="X33" s="311" t="s">
        <v>157</v>
      </c>
      <c r="Y33" s="312"/>
      <c r="Z33" s="312"/>
      <c r="AA33" s="312"/>
      <c r="AB33" s="312"/>
      <c r="AC33" s="36" t="s">
        <v>21</v>
      </c>
      <c r="AD33" s="46"/>
      <c r="AE33" s="313" t="s">
        <v>158</v>
      </c>
      <c r="AF33" s="313"/>
      <c r="AG33" s="313"/>
      <c r="AH33" s="313"/>
      <c r="AI33" s="313"/>
      <c r="AJ33" s="148"/>
      <c r="AK33" s="143"/>
      <c r="AL33" s="143"/>
      <c r="AM33" s="22"/>
      <c r="AN33" s="288"/>
      <c r="AO33" s="287"/>
      <c r="AP33" s="148"/>
      <c r="AQ33" s="144"/>
      <c r="AR33" s="120"/>
      <c r="AS33" s="182"/>
      <c r="AT33" s="120"/>
      <c r="AU33" s="182"/>
      <c r="AV33" s="120"/>
      <c r="AW33" s="182"/>
      <c r="AX33" s="120"/>
      <c r="AY33" s="121"/>
      <c r="AZ33" s="201"/>
    </row>
    <row r="34" spans="1:52" ht="17.100000000000001" customHeight="1" thickTop="1">
      <c r="A34" s="109" t="s">
        <v>5754</v>
      </c>
      <c r="B34" s="28">
        <v>40969</v>
      </c>
      <c r="C34" s="29" t="s">
        <v>159</v>
      </c>
      <c r="D34" s="29"/>
      <c r="E34" s="111"/>
      <c r="F34" s="113" t="s">
        <v>160</v>
      </c>
      <c r="G34" s="114"/>
      <c r="H34" s="114"/>
      <c r="I34" s="24"/>
      <c r="J34" s="150"/>
      <c r="K34" s="321">
        <v>965000</v>
      </c>
      <c r="L34" s="322"/>
      <c r="M34" s="321">
        <v>48250</v>
      </c>
      <c r="N34" s="322"/>
      <c r="O34" s="321"/>
      <c r="P34" s="322"/>
      <c r="Q34" s="321">
        <v>22250</v>
      </c>
      <c r="R34" s="322"/>
      <c r="S34" s="321">
        <v>10500</v>
      </c>
      <c r="T34" s="322"/>
      <c r="U34" s="118">
        <v>1046630</v>
      </c>
      <c r="V34" s="119"/>
      <c r="W34" s="124">
        <v>100000</v>
      </c>
      <c r="X34" s="128" t="s">
        <v>161</v>
      </c>
      <c r="Y34" s="297"/>
      <c r="Z34" s="297"/>
      <c r="AA34" s="297"/>
      <c r="AB34" s="297"/>
      <c r="AC34" s="15" t="s">
        <v>20</v>
      </c>
      <c r="AD34" s="325"/>
      <c r="AE34" s="326"/>
      <c r="AF34" s="326"/>
      <c r="AG34" s="326"/>
      <c r="AH34" s="326"/>
      <c r="AI34" s="327"/>
      <c r="AJ34" s="132"/>
      <c r="AK34" s="127"/>
      <c r="AL34" s="127"/>
      <c r="AM34" s="21"/>
      <c r="AN34" s="289"/>
      <c r="AO34" s="290"/>
      <c r="AP34" s="135"/>
      <c r="AQ34" s="136"/>
      <c r="AR34" s="118"/>
      <c r="AS34" s="210"/>
      <c r="AT34" s="180">
        <f>AR34*0.1</f>
        <v>0</v>
      </c>
      <c r="AU34" s="181"/>
      <c r="AV34" s="118"/>
      <c r="AW34" s="210"/>
      <c r="AX34" s="118">
        <f>SUM(AR34:AW34)</f>
        <v>0</v>
      </c>
      <c r="AY34" s="119"/>
      <c r="AZ34" s="200"/>
    </row>
    <row r="35" spans="1:52" ht="17.100000000000001" customHeight="1" thickBot="1">
      <c r="A35" s="110"/>
      <c r="B35" s="27" t="s">
        <v>65</v>
      </c>
      <c r="C35" s="27">
        <v>570</v>
      </c>
      <c r="D35" s="27"/>
      <c r="E35" s="112"/>
      <c r="F35" s="139" t="s">
        <v>162</v>
      </c>
      <c r="G35" s="140"/>
      <c r="H35" s="140"/>
      <c r="I35" s="26"/>
      <c r="J35" s="324"/>
      <c r="K35" s="148" t="s">
        <v>135</v>
      </c>
      <c r="L35" s="143"/>
      <c r="M35" s="323"/>
      <c r="N35" s="323"/>
      <c r="O35" s="323"/>
      <c r="P35" s="323"/>
      <c r="Q35" s="323"/>
      <c r="R35" s="323"/>
      <c r="S35" s="323"/>
      <c r="T35" s="323"/>
      <c r="U35" s="120"/>
      <c r="V35" s="121"/>
      <c r="W35" s="125"/>
      <c r="X35" s="311" t="s">
        <v>163</v>
      </c>
      <c r="Y35" s="312"/>
      <c r="Z35" s="312"/>
      <c r="AA35" s="312"/>
      <c r="AB35" s="312"/>
      <c r="AC35" s="36" t="s">
        <v>21</v>
      </c>
      <c r="AD35" s="42"/>
      <c r="AE35" s="316" t="s">
        <v>164</v>
      </c>
      <c r="AF35" s="317"/>
      <c r="AG35" s="317"/>
      <c r="AH35" s="317"/>
      <c r="AI35" s="318"/>
      <c r="AJ35" s="148"/>
      <c r="AK35" s="143"/>
      <c r="AL35" s="143"/>
      <c r="AM35" s="22"/>
      <c r="AN35" s="288"/>
      <c r="AO35" s="287"/>
      <c r="AP35" s="148"/>
      <c r="AQ35" s="144"/>
      <c r="AR35" s="120"/>
      <c r="AS35" s="182"/>
      <c r="AT35" s="120"/>
      <c r="AU35" s="182"/>
      <c r="AV35" s="120"/>
      <c r="AW35" s="182"/>
      <c r="AX35" s="120"/>
      <c r="AY35" s="121"/>
      <c r="AZ35" s="201"/>
    </row>
    <row r="36" spans="1:52" ht="17.100000000000001" customHeight="1" thickTop="1">
      <c r="A36" s="109" t="s">
        <v>5755</v>
      </c>
      <c r="B36" s="28">
        <v>41123</v>
      </c>
      <c r="C36" s="29"/>
      <c r="D36" s="30" t="s">
        <v>165</v>
      </c>
      <c r="E36" s="111" t="s">
        <v>166</v>
      </c>
      <c r="F36" s="113" t="s">
        <v>167</v>
      </c>
      <c r="G36" s="114"/>
      <c r="H36" s="115"/>
      <c r="I36" s="47"/>
      <c r="J36" s="150"/>
      <c r="K36" s="118">
        <v>2150000</v>
      </c>
      <c r="L36" s="119"/>
      <c r="M36" s="118">
        <v>107500</v>
      </c>
      <c r="N36" s="119"/>
      <c r="O36" s="118">
        <v>29700</v>
      </c>
      <c r="P36" s="119"/>
      <c r="Q36" s="118">
        <v>18510</v>
      </c>
      <c r="R36" s="119"/>
      <c r="S36" s="118">
        <v>11550</v>
      </c>
      <c r="T36" s="119"/>
      <c r="U36" s="118">
        <f>SUM(K36:T36)</f>
        <v>2317260</v>
      </c>
      <c r="V36" s="210"/>
      <c r="W36" s="124"/>
      <c r="X36" s="128" t="s">
        <v>168</v>
      </c>
      <c r="Y36" s="297"/>
      <c r="Z36" s="297"/>
      <c r="AA36" s="297"/>
      <c r="AB36" s="297"/>
      <c r="AC36" s="15" t="s">
        <v>20</v>
      </c>
      <c r="AD36" s="302"/>
      <c r="AE36" s="303"/>
      <c r="AF36" s="303"/>
      <c r="AG36" s="303"/>
      <c r="AH36" s="303"/>
      <c r="AI36" s="304"/>
      <c r="AJ36" s="132"/>
      <c r="AK36" s="127"/>
      <c r="AL36" s="127"/>
      <c r="AM36" s="21"/>
      <c r="AN36" s="289"/>
      <c r="AO36" s="290"/>
      <c r="AP36" s="135"/>
      <c r="AQ36" s="136"/>
      <c r="AR36" s="118"/>
      <c r="AS36" s="210"/>
      <c r="AT36" s="180">
        <f>AR36*0.1</f>
        <v>0</v>
      </c>
      <c r="AU36" s="181"/>
      <c r="AV36" s="118"/>
      <c r="AW36" s="210"/>
      <c r="AX36" s="118">
        <f>SUM(AR36:AW36)</f>
        <v>0</v>
      </c>
      <c r="AY36" s="119"/>
      <c r="AZ36" s="200"/>
    </row>
    <row r="37" spans="1:52" ht="17.100000000000001" customHeight="1" thickBot="1">
      <c r="A37" s="110"/>
      <c r="B37" s="35" t="s">
        <v>148</v>
      </c>
      <c r="C37" s="35"/>
      <c r="D37" s="27" t="s">
        <v>92</v>
      </c>
      <c r="E37" s="112"/>
      <c r="F37" s="308" t="s">
        <v>169</v>
      </c>
      <c r="G37" s="309"/>
      <c r="H37" s="310"/>
      <c r="I37" s="48"/>
      <c r="J37" s="319"/>
      <c r="K37" s="120"/>
      <c r="L37" s="121"/>
      <c r="M37" s="120"/>
      <c r="N37" s="121"/>
      <c r="O37" s="120"/>
      <c r="P37" s="121"/>
      <c r="Q37" s="120"/>
      <c r="R37" s="121"/>
      <c r="S37" s="120"/>
      <c r="T37" s="121"/>
      <c r="U37" s="120"/>
      <c r="V37" s="182"/>
      <c r="W37" s="236"/>
      <c r="X37" s="311" t="s">
        <v>170</v>
      </c>
      <c r="Y37" s="312"/>
      <c r="Z37" s="312"/>
      <c r="AA37" s="312"/>
      <c r="AB37" s="312"/>
      <c r="AC37" s="36" t="s">
        <v>21</v>
      </c>
      <c r="AD37" s="46"/>
      <c r="AE37" s="313" t="s">
        <v>171</v>
      </c>
      <c r="AF37" s="314"/>
      <c r="AG37" s="314"/>
      <c r="AH37" s="314"/>
      <c r="AI37" s="314"/>
      <c r="AJ37" s="148"/>
      <c r="AK37" s="143"/>
      <c r="AL37" s="143"/>
      <c r="AM37" s="22"/>
      <c r="AN37" s="315"/>
      <c r="AO37" s="312"/>
      <c r="AP37" s="148"/>
      <c r="AQ37" s="144"/>
      <c r="AR37" s="180"/>
      <c r="AS37" s="181"/>
      <c r="AT37" s="120"/>
      <c r="AU37" s="182"/>
      <c r="AV37" s="180"/>
      <c r="AW37" s="181"/>
      <c r="AX37" s="180"/>
      <c r="AY37" s="257"/>
      <c r="AZ37" s="320"/>
    </row>
    <row r="38" spans="1:52" ht="17.100000000000001" customHeight="1" thickTop="1">
      <c r="A38" s="109" t="s">
        <v>5756</v>
      </c>
      <c r="B38" s="28">
        <v>41424</v>
      </c>
      <c r="C38" s="29" t="s">
        <v>172</v>
      </c>
      <c r="D38" s="13" t="s">
        <v>173</v>
      </c>
      <c r="E38" s="111"/>
      <c r="F38" s="283" t="s">
        <v>174</v>
      </c>
      <c r="G38" s="273"/>
      <c r="H38" s="273"/>
      <c r="I38" s="24"/>
      <c r="J38" s="116"/>
      <c r="K38" s="118">
        <v>688000</v>
      </c>
      <c r="L38" s="210"/>
      <c r="M38" s="118">
        <v>34400</v>
      </c>
      <c r="N38" s="210"/>
      <c r="O38" s="118"/>
      <c r="P38" s="210"/>
      <c r="Q38" s="118">
        <v>15890</v>
      </c>
      <c r="R38" s="210"/>
      <c r="S38" s="118">
        <v>13125</v>
      </c>
      <c r="T38" s="210"/>
      <c r="U38" s="118">
        <f>SUM(K38:T38)</f>
        <v>751415</v>
      </c>
      <c r="V38" s="210"/>
      <c r="W38" s="124">
        <v>20000</v>
      </c>
      <c r="X38" s="224" t="s">
        <v>175</v>
      </c>
      <c r="Y38" s="215"/>
      <c r="Z38" s="215"/>
      <c r="AA38" s="215"/>
      <c r="AB38" s="215"/>
      <c r="AC38" s="15" t="s">
        <v>20</v>
      </c>
      <c r="AD38" s="302"/>
      <c r="AE38" s="303"/>
      <c r="AF38" s="303"/>
      <c r="AG38" s="303"/>
      <c r="AH38" s="303"/>
      <c r="AI38" s="304"/>
      <c r="AJ38" s="132"/>
      <c r="AK38" s="127"/>
      <c r="AL38" s="127"/>
      <c r="AM38" s="21"/>
      <c r="AN38" s="289"/>
      <c r="AO38" s="290"/>
      <c r="AP38" s="135"/>
      <c r="AQ38" s="136"/>
      <c r="AR38" s="118"/>
      <c r="AS38" s="210"/>
      <c r="AT38" s="180">
        <f>AR38*0.1</f>
        <v>0</v>
      </c>
      <c r="AU38" s="181"/>
      <c r="AV38" s="118"/>
      <c r="AW38" s="210"/>
      <c r="AX38" s="118">
        <f>SUM(AR38:AW38)</f>
        <v>0</v>
      </c>
      <c r="AY38" s="119"/>
      <c r="AZ38" s="200"/>
    </row>
    <row r="39" spans="1:52" ht="17.100000000000001" customHeight="1" thickBot="1">
      <c r="A39" s="110"/>
      <c r="B39" s="27" t="s">
        <v>176</v>
      </c>
      <c r="C39" s="27">
        <v>5002</v>
      </c>
      <c r="D39" s="14" t="s">
        <v>66</v>
      </c>
      <c r="E39" s="112"/>
      <c r="F39" s="139" t="s">
        <v>177</v>
      </c>
      <c r="G39" s="140"/>
      <c r="H39" s="140"/>
      <c r="I39" s="26">
        <v>58677</v>
      </c>
      <c r="J39" s="117"/>
      <c r="K39" s="120"/>
      <c r="L39" s="182"/>
      <c r="M39" s="120"/>
      <c r="N39" s="182"/>
      <c r="O39" s="120"/>
      <c r="P39" s="182"/>
      <c r="Q39" s="120"/>
      <c r="R39" s="182"/>
      <c r="S39" s="120"/>
      <c r="T39" s="182"/>
      <c r="U39" s="120"/>
      <c r="V39" s="182"/>
      <c r="W39" s="125"/>
      <c r="X39" s="144" t="s">
        <v>178</v>
      </c>
      <c r="Y39" s="287"/>
      <c r="Z39" s="287"/>
      <c r="AA39" s="287"/>
      <c r="AB39" s="287"/>
      <c r="AC39" s="16" t="s">
        <v>21</v>
      </c>
      <c r="AD39" s="49"/>
      <c r="AE39" s="305"/>
      <c r="AF39" s="306"/>
      <c r="AG39" s="306"/>
      <c r="AH39" s="306"/>
      <c r="AI39" s="307"/>
      <c r="AJ39" s="148"/>
      <c r="AK39" s="143"/>
      <c r="AL39" s="143"/>
      <c r="AM39" s="22"/>
      <c r="AN39" s="288"/>
      <c r="AO39" s="287"/>
      <c r="AP39" s="148"/>
      <c r="AQ39" s="144"/>
      <c r="AR39" s="120"/>
      <c r="AS39" s="182"/>
      <c r="AT39" s="120"/>
      <c r="AU39" s="182"/>
      <c r="AV39" s="120"/>
      <c r="AW39" s="182"/>
      <c r="AX39" s="120"/>
      <c r="AY39" s="121"/>
      <c r="AZ39" s="201"/>
    </row>
    <row r="40" spans="1:52" ht="17.100000000000001" customHeight="1" thickTop="1">
      <c r="A40" s="109" t="s">
        <v>5757</v>
      </c>
      <c r="B40" s="28">
        <v>41706</v>
      </c>
      <c r="C40" s="29" t="s">
        <v>179</v>
      </c>
      <c r="D40" s="13" t="s">
        <v>180</v>
      </c>
      <c r="E40" s="111"/>
      <c r="F40" s="283" t="s">
        <v>181</v>
      </c>
      <c r="G40" s="273"/>
      <c r="H40" s="273"/>
      <c r="I40" s="24"/>
      <c r="J40" s="116"/>
      <c r="K40" s="118">
        <v>1095000</v>
      </c>
      <c r="L40" s="210"/>
      <c r="M40" s="118">
        <v>54750</v>
      </c>
      <c r="N40" s="210"/>
      <c r="O40" s="118">
        <v>0</v>
      </c>
      <c r="P40" s="210"/>
      <c r="Q40" s="118">
        <v>16190</v>
      </c>
      <c r="R40" s="210"/>
      <c r="S40" s="118">
        <v>10500</v>
      </c>
      <c r="T40" s="210"/>
      <c r="U40" s="118">
        <f>SUM(K40:T40)</f>
        <v>1176440</v>
      </c>
      <c r="V40" s="210"/>
      <c r="W40" s="124">
        <v>200000</v>
      </c>
      <c r="X40" s="224" t="s">
        <v>182</v>
      </c>
      <c r="Y40" s="215"/>
      <c r="Z40" s="215"/>
      <c r="AA40" s="215"/>
      <c r="AB40" s="215"/>
      <c r="AC40" s="15" t="s">
        <v>20</v>
      </c>
      <c r="AD40" s="302"/>
      <c r="AE40" s="303"/>
      <c r="AF40" s="303"/>
      <c r="AG40" s="303"/>
      <c r="AH40" s="303"/>
      <c r="AI40" s="304"/>
      <c r="AJ40" s="132"/>
      <c r="AK40" s="127"/>
      <c r="AL40" s="127"/>
      <c r="AM40" s="21"/>
      <c r="AN40" s="289"/>
      <c r="AO40" s="290"/>
      <c r="AP40" s="135"/>
      <c r="AQ40" s="136"/>
      <c r="AR40" s="118"/>
      <c r="AS40" s="210"/>
      <c r="AT40" s="180">
        <f>AR40*0.1</f>
        <v>0</v>
      </c>
      <c r="AU40" s="181"/>
      <c r="AV40" s="118"/>
      <c r="AW40" s="210"/>
      <c r="AX40" s="118">
        <f>SUM(AR40:AW40)</f>
        <v>0</v>
      </c>
      <c r="AY40" s="119"/>
      <c r="AZ40" s="200"/>
    </row>
    <row r="41" spans="1:52" ht="17.100000000000001" customHeight="1" thickBot="1">
      <c r="A41" s="110"/>
      <c r="B41" s="27" t="s">
        <v>46</v>
      </c>
      <c r="C41" s="27">
        <v>81186</v>
      </c>
      <c r="D41" s="14" t="s">
        <v>66</v>
      </c>
      <c r="E41" s="112"/>
      <c r="F41" s="139" t="s">
        <v>183</v>
      </c>
      <c r="G41" s="140"/>
      <c r="H41" s="140"/>
      <c r="I41" s="26"/>
      <c r="J41" s="117"/>
      <c r="K41" s="120"/>
      <c r="L41" s="182"/>
      <c r="M41" s="120"/>
      <c r="N41" s="182"/>
      <c r="O41" s="120"/>
      <c r="P41" s="182"/>
      <c r="Q41" s="120"/>
      <c r="R41" s="182"/>
      <c r="S41" s="120"/>
      <c r="T41" s="182"/>
      <c r="U41" s="120"/>
      <c r="V41" s="182"/>
      <c r="W41" s="125"/>
      <c r="X41" s="144" t="s">
        <v>184</v>
      </c>
      <c r="Y41" s="287"/>
      <c r="Z41" s="287"/>
      <c r="AA41" s="287"/>
      <c r="AB41" s="287"/>
      <c r="AC41" s="16" t="s">
        <v>21</v>
      </c>
      <c r="AD41" s="49"/>
      <c r="AE41" s="145" t="s">
        <v>185</v>
      </c>
      <c r="AF41" s="146"/>
      <c r="AG41" s="146"/>
      <c r="AH41" s="146"/>
      <c r="AI41" s="147"/>
      <c r="AJ41" s="148" t="s">
        <v>186</v>
      </c>
      <c r="AK41" s="143"/>
      <c r="AL41" s="143"/>
      <c r="AM41" s="22"/>
      <c r="AN41" s="288"/>
      <c r="AO41" s="287"/>
      <c r="AP41" s="148"/>
      <c r="AQ41" s="144"/>
      <c r="AR41" s="120"/>
      <c r="AS41" s="182"/>
      <c r="AT41" s="120"/>
      <c r="AU41" s="182"/>
      <c r="AV41" s="120"/>
      <c r="AW41" s="182"/>
      <c r="AX41" s="120"/>
      <c r="AY41" s="121"/>
      <c r="AZ41" s="201"/>
    </row>
    <row r="42" spans="1:52" ht="17.100000000000001" customHeight="1" thickTop="1">
      <c r="A42" s="109" t="s">
        <v>5758</v>
      </c>
      <c r="B42" s="28">
        <v>41787</v>
      </c>
      <c r="C42" s="29" t="s">
        <v>187</v>
      </c>
      <c r="D42" s="13" t="s">
        <v>188</v>
      </c>
      <c r="E42" s="111"/>
      <c r="F42" s="283" t="s">
        <v>181</v>
      </c>
      <c r="G42" s="273"/>
      <c r="H42" s="273"/>
      <c r="I42" s="24" t="s">
        <v>189</v>
      </c>
      <c r="J42" s="116"/>
      <c r="K42" s="118">
        <v>559000</v>
      </c>
      <c r="L42" s="210"/>
      <c r="M42" s="118">
        <v>44720</v>
      </c>
      <c r="N42" s="210"/>
      <c r="O42" s="118">
        <v>32900</v>
      </c>
      <c r="P42" s="210"/>
      <c r="Q42" s="118">
        <v>15790</v>
      </c>
      <c r="R42" s="210"/>
      <c r="S42" s="118">
        <v>12960</v>
      </c>
      <c r="T42" s="210"/>
      <c r="U42" s="118">
        <f>SUM(K42:T42)</f>
        <v>665370</v>
      </c>
      <c r="V42" s="210"/>
      <c r="W42" s="124">
        <v>20000</v>
      </c>
      <c r="X42" s="224" t="s">
        <v>190</v>
      </c>
      <c r="Y42" s="215"/>
      <c r="Z42" s="215"/>
      <c r="AA42" s="215"/>
      <c r="AB42" s="215"/>
      <c r="AC42" s="15" t="s">
        <v>20</v>
      </c>
      <c r="AD42" s="302"/>
      <c r="AE42" s="303"/>
      <c r="AF42" s="303"/>
      <c r="AG42" s="303"/>
      <c r="AH42" s="303"/>
      <c r="AI42" s="304"/>
      <c r="AJ42" s="132"/>
      <c r="AK42" s="127"/>
      <c r="AL42" s="127"/>
      <c r="AM42" s="21"/>
      <c r="AN42" s="289"/>
      <c r="AO42" s="290"/>
      <c r="AP42" s="135"/>
      <c r="AQ42" s="136"/>
      <c r="AR42" s="118"/>
      <c r="AS42" s="210"/>
      <c r="AT42" s="180">
        <f>AR42*0.1</f>
        <v>0</v>
      </c>
      <c r="AU42" s="181"/>
      <c r="AV42" s="118"/>
      <c r="AW42" s="210"/>
      <c r="AX42" s="118">
        <f>SUM(AR42:AW42)</f>
        <v>0</v>
      </c>
      <c r="AY42" s="119"/>
      <c r="AZ42" s="200"/>
    </row>
    <row r="43" spans="1:52" ht="17.100000000000001" customHeight="1" thickBot="1">
      <c r="A43" s="110"/>
      <c r="B43" s="27" t="s">
        <v>191</v>
      </c>
      <c r="C43" s="27">
        <v>80078</v>
      </c>
      <c r="D43" s="14" t="s">
        <v>192</v>
      </c>
      <c r="E43" s="112"/>
      <c r="F43" s="139" t="s">
        <v>193</v>
      </c>
      <c r="G43" s="140"/>
      <c r="H43" s="140"/>
      <c r="I43" s="26">
        <v>43453</v>
      </c>
      <c r="J43" s="117"/>
      <c r="K43" s="120"/>
      <c r="L43" s="182"/>
      <c r="M43" s="120"/>
      <c r="N43" s="182"/>
      <c r="O43" s="120"/>
      <c r="P43" s="182"/>
      <c r="Q43" s="120"/>
      <c r="R43" s="182"/>
      <c r="S43" s="120"/>
      <c r="T43" s="182"/>
      <c r="U43" s="120"/>
      <c r="V43" s="182"/>
      <c r="W43" s="125"/>
      <c r="X43" s="144" t="s">
        <v>194</v>
      </c>
      <c r="Y43" s="287"/>
      <c r="Z43" s="287"/>
      <c r="AA43" s="287"/>
      <c r="AB43" s="287"/>
      <c r="AC43" s="16" t="s">
        <v>21</v>
      </c>
      <c r="AD43" s="49"/>
      <c r="AE43" s="145"/>
      <c r="AF43" s="146"/>
      <c r="AG43" s="146"/>
      <c r="AH43" s="146"/>
      <c r="AI43" s="147"/>
      <c r="AJ43" s="148"/>
      <c r="AK43" s="143"/>
      <c r="AL43" s="143"/>
      <c r="AM43" s="22"/>
      <c r="AN43" s="288"/>
      <c r="AO43" s="287"/>
      <c r="AP43" s="148"/>
      <c r="AQ43" s="144"/>
      <c r="AR43" s="120"/>
      <c r="AS43" s="182"/>
      <c r="AT43" s="120"/>
      <c r="AU43" s="182"/>
      <c r="AV43" s="120"/>
      <c r="AW43" s="182"/>
      <c r="AX43" s="120"/>
      <c r="AY43" s="121"/>
      <c r="AZ43" s="201"/>
    </row>
    <row r="44" spans="1:52" ht="17.100000000000001" customHeight="1" thickTop="1">
      <c r="A44" s="109" t="s">
        <v>5759</v>
      </c>
      <c r="B44" s="28">
        <v>41790</v>
      </c>
      <c r="C44" s="29" t="s">
        <v>195</v>
      </c>
      <c r="D44" s="13" t="s">
        <v>196</v>
      </c>
      <c r="E44" s="111"/>
      <c r="F44" s="283" t="s">
        <v>181</v>
      </c>
      <c r="G44" s="273"/>
      <c r="H44" s="273"/>
      <c r="I44" s="24"/>
      <c r="J44" s="116"/>
      <c r="K44" s="118">
        <v>1135000</v>
      </c>
      <c r="L44" s="210"/>
      <c r="M44" s="118">
        <v>90800</v>
      </c>
      <c r="N44" s="210"/>
      <c r="O44" s="118"/>
      <c r="P44" s="210"/>
      <c r="Q44" s="118">
        <v>16090</v>
      </c>
      <c r="R44" s="210"/>
      <c r="S44" s="118">
        <v>10900</v>
      </c>
      <c r="T44" s="210"/>
      <c r="U44" s="118">
        <f>SUM(K44:T44)</f>
        <v>1252790</v>
      </c>
      <c r="V44" s="210"/>
      <c r="W44" s="124">
        <v>200000</v>
      </c>
      <c r="X44" s="224" t="s">
        <v>197</v>
      </c>
      <c r="Y44" s="215"/>
      <c r="Z44" s="215"/>
      <c r="AA44" s="215"/>
      <c r="AB44" s="215"/>
      <c r="AC44" s="15" t="s">
        <v>20</v>
      </c>
      <c r="AD44" s="302"/>
      <c r="AE44" s="303"/>
      <c r="AF44" s="303"/>
      <c r="AG44" s="303"/>
      <c r="AH44" s="303"/>
      <c r="AI44" s="304"/>
      <c r="AJ44" s="132"/>
      <c r="AK44" s="127"/>
      <c r="AL44" s="127"/>
      <c r="AM44" s="21"/>
      <c r="AN44" s="289"/>
      <c r="AO44" s="290"/>
      <c r="AP44" s="135"/>
      <c r="AQ44" s="136"/>
      <c r="AR44" s="118"/>
      <c r="AS44" s="210"/>
      <c r="AT44" s="180">
        <f>AR44*0.1</f>
        <v>0</v>
      </c>
      <c r="AU44" s="181"/>
      <c r="AV44" s="118"/>
      <c r="AW44" s="210"/>
      <c r="AX44" s="118">
        <f>SUM(AR44:AW44)</f>
        <v>0</v>
      </c>
      <c r="AY44" s="119"/>
      <c r="AZ44" s="200"/>
    </row>
    <row r="45" spans="1:52" ht="17.100000000000001" customHeight="1" thickBot="1">
      <c r="A45" s="110"/>
      <c r="B45" s="27" t="s">
        <v>46</v>
      </c>
      <c r="C45" s="27">
        <v>80436</v>
      </c>
      <c r="D45" s="14" t="s">
        <v>198</v>
      </c>
      <c r="E45" s="112"/>
      <c r="F45" s="139" t="s">
        <v>199</v>
      </c>
      <c r="G45" s="140"/>
      <c r="H45" s="140"/>
      <c r="I45" s="26">
        <v>43478</v>
      </c>
      <c r="J45" s="117"/>
      <c r="K45" s="120"/>
      <c r="L45" s="182"/>
      <c r="M45" s="120"/>
      <c r="N45" s="182"/>
      <c r="O45" s="120"/>
      <c r="P45" s="182"/>
      <c r="Q45" s="120"/>
      <c r="R45" s="182"/>
      <c r="S45" s="120"/>
      <c r="T45" s="182"/>
      <c r="U45" s="120"/>
      <c r="V45" s="182"/>
      <c r="W45" s="125"/>
      <c r="X45" s="144" t="s">
        <v>200</v>
      </c>
      <c r="Y45" s="287"/>
      <c r="Z45" s="287"/>
      <c r="AA45" s="287"/>
      <c r="AB45" s="287"/>
      <c r="AC45" s="16" t="s">
        <v>21</v>
      </c>
      <c r="AD45" s="49"/>
      <c r="AE45" s="145" t="s">
        <v>185</v>
      </c>
      <c r="AF45" s="146"/>
      <c r="AG45" s="146"/>
      <c r="AH45" s="146"/>
      <c r="AI45" s="147"/>
      <c r="AJ45" s="148"/>
      <c r="AK45" s="143"/>
      <c r="AL45" s="143"/>
      <c r="AM45" s="22"/>
      <c r="AN45" s="288"/>
      <c r="AO45" s="287"/>
      <c r="AP45" s="148"/>
      <c r="AQ45" s="144"/>
      <c r="AR45" s="120"/>
      <c r="AS45" s="182"/>
      <c r="AT45" s="120"/>
      <c r="AU45" s="182"/>
      <c r="AV45" s="120"/>
      <c r="AW45" s="182"/>
      <c r="AX45" s="120"/>
      <c r="AY45" s="121"/>
      <c r="AZ45" s="201"/>
    </row>
    <row r="46" spans="1:52" ht="17.100000000000001" customHeight="1" thickTop="1">
      <c r="A46" s="109" t="s">
        <v>5760</v>
      </c>
      <c r="B46" s="28">
        <v>41873</v>
      </c>
      <c r="C46" s="29" t="s">
        <v>201</v>
      </c>
      <c r="D46" s="13" t="s">
        <v>202</v>
      </c>
      <c r="E46" s="111"/>
      <c r="F46" s="283" t="s">
        <v>203</v>
      </c>
      <c r="G46" s="273"/>
      <c r="H46" s="273"/>
      <c r="I46" s="24"/>
      <c r="J46" s="116"/>
      <c r="K46" s="118">
        <v>365000</v>
      </c>
      <c r="L46" s="210"/>
      <c r="M46" s="118">
        <v>29200</v>
      </c>
      <c r="N46" s="210"/>
      <c r="O46" s="118"/>
      <c r="P46" s="210"/>
      <c r="Q46" s="118">
        <v>10520</v>
      </c>
      <c r="R46" s="210"/>
      <c r="S46" s="118">
        <v>11880</v>
      </c>
      <c r="T46" s="210"/>
      <c r="U46" s="118">
        <f>SUM(K46:T46)</f>
        <v>416600</v>
      </c>
      <c r="V46" s="210"/>
      <c r="W46" s="124">
        <v>70000</v>
      </c>
      <c r="X46" s="224" t="s">
        <v>204</v>
      </c>
      <c r="Y46" s="215"/>
      <c r="Z46" s="215"/>
      <c r="AA46" s="215"/>
      <c r="AB46" s="215"/>
      <c r="AC46" s="15" t="s">
        <v>20</v>
      </c>
      <c r="AD46" s="302"/>
      <c r="AE46" s="303"/>
      <c r="AF46" s="303"/>
      <c r="AG46" s="303"/>
      <c r="AH46" s="303"/>
      <c r="AI46" s="304"/>
      <c r="AJ46" s="132"/>
      <c r="AK46" s="127"/>
      <c r="AL46" s="127"/>
      <c r="AM46" s="21"/>
      <c r="AN46" s="289"/>
      <c r="AO46" s="290"/>
      <c r="AP46" s="135"/>
      <c r="AQ46" s="136"/>
      <c r="AR46" s="118"/>
      <c r="AS46" s="210"/>
      <c r="AT46" s="180">
        <f>AR46*0.1</f>
        <v>0</v>
      </c>
      <c r="AU46" s="181"/>
      <c r="AV46" s="118"/>
      <c r="AW46" s="210"/>
      <c r="AX46" s="118">
        <f>SUM(AR46:AW46)</f>
        <v>0</v>
      </c>
      <c r="AY46" s="119"/>
      <c r="AZ46" s="200"/>
    </row>
    <row r="47" spans="1:52" ht="17.100000000000001" customHeight="1" thickBot="1">
      <c r="A47" s="110"/>
      <c r="B47" s="27" t="s">
        <v>205</v>
      </c>
      <c r="C47" s="27">
        <v>25030</v>
      </c>
      <c r="D47" s="14" t="s">
        <v>206</v>
      </c>
      <c r="E47" s="112"/>
      <c r="F47" s="139" t="s">
        <v>207</v>
      </c>
      <c r="G47" s="140"/>
      <c r="H47" s="140"/>
      <c r="I47" s="26">
        <v>49850</v>
      </c>
      <c r="J47" s="117"/>
      <c r="K47" s="120"/>
      <c r="L47" s="182"/>
      <c r="M47" s="120"/>
      <c r="N47" s="182"/>
      <c r="O47" s="120"/>
      <c r="P47" s="182"/>
      <c r="Q47" s="120"/>
      <c r="R47" s="182"/>
      <c r="S47" s="120"/>
      <c r="T47" s="182"/>
      <c r="U47" s="120"/>
      <c r="V47" s="182"/>
      <c r="W47" s="125"/>
      <c r="X47" s="144" t="s">
        <v>208</v>
      </c>
      <c r="Y47" s="287"/>
      <c r="Z47" s="287"/>
      <c r="AA47" s="287"/>
      <c r="AB47" s="287"/>
      <c r="AC47" s="16" t="s">
        <v>21</v>
      </c>
      <c r="AD47" s="49"/>
      <c r="AE47" s="305"/>
      <c r="AF47" s="306"/>
      <c r="AG47" s="306"/>
      <c r="AH47" s="306"/>
      <c r="AI47" s="307"/>
      <c r="AJ47" s="148"/>
      <c r="AK47" s="143"/>
      <c r="AL47" s="143"/>
      <c r="AM47" s="22"/>
      <c r="AN47" s="288"/>
      <c r="AO47" s="287"/>
      <c r="AP47" s="148"/>
      <c r="AQ47" s="144"/>
      <c r="AR47" s="120"/>
      <c r="AS47" s="182"/>
      <c r="AT47" s="120"/>
      <c r="AU47" s="182"/>
      <c r="AV47" s="120"/>
      <c r="AW47" s="182"/>
      <c r="AX47" s="120"/>
      <c r="AY47" s="121"/>
      <c r="AZ47" s="201"/>
    </row>
    <row r="48" spans="1:52" ht="17.100000000000001" customHeight="1" thickTop="1">
      <c r="A48" s="109" t="s">
        <v>5761</v>
      </c>
      <c r="B48" s="28">
        <v>41895</v>
      </c>
      <c r="C48" s="29" t="s">
        <v>209</v>
      </c>
      <c r="D48" s="13" t="s">
        <v>210</v>
      </c>
      <c r="E48" s="111"/>
      <c r="F48" s="283" t="s">
        <v>211</v>
      </c>
      <c r="G48" s="273"/>
      <c r="H48" s="273"/>
      <c r="I48" s="24" t="s">
        <v>212</v>
      </c>
      <c r="J48" s="116"/>
      <c r="K48" s="118">
        <v>655000</v>
      </c>
      <c r="L48" s="210"/>
      <c r="M48" s="118">
        <v>52400</v>
      </c>
      <c r="N48" s="210"/>
      <c r="O48" s="118">
        <v>25500</v>
      </c>
      <c r="P48" s="210"/>
      <c r="Q48" s="118">
        <v>19800</v>
      </c>
      <c r="R48" s="210"/>
      <c r="S48" s="118">
        <v>10800</v>
      </c>
      <c r="T48" s="210"/>
      <c r="U48" s="118">
        <f>SUM(K48:T48)</f>
        <v>763500</v>
      </c>
      <c r="V48" s="210"/>
      <c r="W48" s="124">
        <v>100000</v>
      </c>
      <c r="X48" s="224" t="s">
        <v>213</v>
      </c>
      <c r="Y48" s="215"/>
      <c r="Z48" s="215"/>
      <c r="AA48" s="215"/>
      <c r="AB48" s="215"/>
      <c r="AC48" s="15" t="s">
        <v>20</v>
      </c>
      <c r="AD48" s="302"/>
      <c r="AE48" s="303"/>
      <c r="AF48" s="303"/>
      <c r="AG48" s="303"/>
      <c r="AH48" s="303"/>
      <c r="AI48" s="304"/>
      <c r="AJ48" s="132"/>
      <c r="AK48" s="127"/>
      <c r="AL48" s="127"/>
      <c r="AM48" s="21"/>
      <c r="AN48" s="289"/>
      <c r="AO48" s="290"/>
      <c r="AP48" s="135"/>
      <c r="AQ48" s="136"/>
      <c r="AR48" s="118"/>
      <c r="AS48" s="210"/>
      <c r="AT48" s="180">
        <f>AR48*0.1</f>
        <v>0</v>
      </c>
      <c r="AU48" s="181"/>
      <c r="AV48" s="118"/>
      <c r="AW48" s="210"/>
      <c r="AX48" s="118">
        <f>SUM(AR48:AW48)</f>
        <v>0</v>
      </c>
      <c r="AY48" s="119"/>
      <c r="AZ48" s="200"/>
    </row>
    <row r="49" spans="1:52" ht="17.100000000000001" customHeight="1" thickBot="1">
      <c r="A49" s="110"/>
      <c r="B49" s="27" t="s">
        <v>46</v>
      </c>
      <c r="C49" s="27">
        <v>80003</v>
      </c>
      <c r="D49" s="14" t="s">
        <v>149</v>
      </c>
      <c r="E49" s="112"/>
      <c r="F49" s="139" t="s">
        <v>214</v>
      </c>
      <c r="G49" s="140"/>
      <c r="H49" s="140"/>
      <c r="I49" s="26">
        <v>48520</v>
      </c>
      <c r="J49" s="117"/>
      <c r="K49" s="120"/>
      <c r="L49" s="182"/>
      <c r="M49" s="120"/>
      <c r="N49" s="182"/>
      <c r="O49" s="120"/>
      <c r="P49" s="182"/>
      <c r="Q49" s="120"/>
      <c r="R49" s="182"/>
      <c r="S49" s="120"/>
      <c r="T49" s="182"/>
      <c r="U49" s="120"/>
      <c r="V49" s="182"/>
      <c r="W49" s="125"/>
      <c r="X49" s="144" t="s">
        <v>215</v>
      </c>
      <c r="Y49" s="287"/>
      <c r="Z49" s="287"/>
      <c r="AA49" s="287"/>
      <c r="AB49" s="287"/>
      <c r="AC49" s="16" t="s">
        <v>21</v>
      </c>
      <c r="AD49" s="49"/>
      <c r="AE49" s="145" t="s">
        <v>216</v>
      </c>
      <c r="AF49" s="146"/>
      <c r="AG49" s="146"/>
      <c r="AH49" s="146"/>
      <c r="AI49" s="147"/>
      <c r="AJ49" s="148"/>
      <c r="AK49" s="143"/>
      <c r="AL49" s="143"/>
      <c r="AM49" s="22" t="s">
        <v>51</v>
      </c>
      <c r="AN49" s="288"/>
      <c r="AO49" s="287"/>
      <c r="AP49" s="148"/>
      <c r="AQ49" s="144"/>
      <c r="AR49" s="120"/>
      <c r="AS49" s="182"/>
      <c r="AT49" s="120"/>
      <c r="AU49" s="182"/>
      <c r="AV49" s="120"/>
      <c r="AW49" s="182"/>
      <c r="AX49" s="120"/>
      <c r="AY49" s="121"/>
      <c r="AZ49" s="201"/>
    </row>
    <row r="50" spans="1:52" ht="17.100000000000001" customHeight="1" thickTop="1">
      <c r="A50" s="109" t="s">
        <v>5762</v>
      </c>
      <c r="B50" s="28">
        <v>41979</v>
      </c>
      <c r="C50" s="29" t="s">
        <v>217</v>
      </c>
      <c r="D50" s="13" t="s">
        <v>218</v>
      </c>
      <c r="E50" s="111"/>
      <c r="F50" s="283" t="s">
        <v>219</v>
      </c>
      <c r="G50" s="273"/>
      <c r="H50" s="273"/>
      <c r="I50" s="24"/>
      <c r="J50" s="116"/>
      <c r="K50" s="118">
        <v>325000</v>
      </c>
      <c r="L50" s="210"/>
      <c r="M50" s="118">
        <v>26000</v>
      </c>
      <c r="N50" s="210"/>
      <c r="O50" s="118"/>
      <c r="P50" s="210"/>
      <c r="Q50" s="118">
        <v>5520</v>
      </c>
      <c r="R50" s="210"/>
      <c r="S50" s="118">
        <v>9180</v>
      </c>
      <c r="T50" s="210"/>
      <c r="U50" s="118">
        <f>SUM(K50:T50)</f>
        <v>365700</v>
      </c>
      <c r="V50" s="210"/>
      <c r="W50" s="124">
        <v>100000</v>
      </c>
      <c r="X50" s="224" t="s">
        <v>220</v>
      </c>
      <c r="Y50" s="215"/>
      <c r="Z50" s="215"/>
      <c r="AA50" s="215"/>
      <c r="AB50" s="215"/>
      <c r="AC50" s="15" t="s">
        <v>20</v>
      </c>
      <c r="AD50" s="302"/>
      <c r="AE50" s="303"/>
      <c r="AF50" s="303"/>
      <c r="AG50" s="303"/>
      <c r="AH50" s="303"/>
      <c r="AI50" s="304"/>
      <c r="AJ50" s="132"/>
      <c r="AK50" s="127"/>
      <c r="AL50" s="127"/>
      <c r="AM50" s="21"/>
      <c r="AN50" s="289"/>
      <c r="AO50" s="290"/>
      <c r="AP50" s="135"/>
      <c r="AQ50" s="136"/>
      <c r="AR50" s="118"/>
      <c r="AS50" s="210"/>
      <c r="AT50" s="180">
        <f>AR50*0.1</f>
        <v>0</v>
      </c>
      <c r="AU50" s="181"/>
      <c r="AV50" s="118"/>
      <c r="AW50" s="210"/>
      <c r="AX50" s="118">
        <f>SUM(AR50:AW50)</f>
        <v>0</v>
      </c>
      <c r="AY50" s="119"/>
      <c r="AZ50" s="200"/>
    </row>
    <row r="51" spans="1:52" ht="17.100000000000001" customHeight="1" thickBot="1">
      <c r="A51" s="110"/>
      <c r="B51" s="27" t="s">
        <v>46</v>
      </c>
      <c r="C51" s="27">
        <v>33259</v>
      </c>
      <c r="D51" s="14" t="s">
        <v>221</v>
      </c>
      <c r="E51" s="112"/>
      <c r="F51" s="139" t="s">
        <v>222</v>
      </c>
      <c r="G51" s="140"/>
      <c r="H51" s="140"/>
      <c r="I51" s="26">
        <v>11283</v>
      </c>
      <c r="J51" s="117"/>
      <c r="K51" s="120"/>
      <c r="L51" s="182"/>
      <c r="M51" s="120"/>
      <c r="N51" s="182"/>
      <c r="O51" s="120"/>
      <c r="P51" s="182"/>
      <c r="Q51" s="120"/>
      <c r="R51" s="182"/>
      <c r="S51" s="120"/>
      <c r="T51" s="182"/>
      <c r="U51" s="120"/>
      <c r="V51" s="182"/>
      <c r="W51" s="125"/>
      <c r="X51" s="144" t="s">
        <v>223</v>
      </c>
      <c r="Y51" s="287"/>
      <c r="Z51" s="287"/>
      <c r="AA51" s="287"/>
      <c r="AB51" s="287"/>
      <c r="AC51" s="16" t="s">
        <v>21</v>
      </c>
      <c r="AD51" s="49"/>
      <c r="AE51" s="305"/>
      <c r="AF51" s="306"/>
      <c r="AG51" s="306"/>
      <c r="AH51" s="306"/>
      <c r="AI51" s="307"/>
      <c r="AJ51" s="148"/>
      <c r="AK51" s="143"/>
      <c r="AL51" s="143"/>
      <c r="AM51" s="22"/>
      <c r="AN51" s="288"/>
      <c r="AO51" s="287"/>
      <c r="AP51" s="148"/>
      <c r="AQ51" s="144"/>
      <c r="AR51" s="120"/>
      <c r="AS51" s="182"/>
      <c r="AT51" s="120"/>
      <c r="AU51" s="182"/>
      <c r="AV51" s="120"/>
      <c r="AW51" s="182"/>
      <c r="AX51" s="120"/>
      <c r="AY51" s="121"/>
      <c r="AZ51" s="201"/>
    </row>
    <row r="52" spans="1:52" ht="17.100000000000001" customHeight="1" thickTop="1">
      <c r="A52" s="109" t="s">
        <v>5763</v>
      </c>
      <c r="B52" s="28">
        <v>42017</v>
      </c>
      <c r="C52" s="29" t="s">
        <v>224</v>
      </c>
      <c r="D52" s="13" t="s">
        <v>225</v>
      </c>
      <c r="E52" s="111"/>
      <c r="F52" s="283" t="s">
        <v>226</v>
      </c>
      <c r="G52" s="273"/>
      <c r="H52" s="273"/>
      <c r="I52" s="24"/>
      <c r="J52" s="116"/>
      <c r="K52" s="118">
        <v>620000</v>
      </c>
      <c r="L52" s="210"/>
      <c r="M52" s="118">
        <v>49600</v>
      </c>
      <c r="N52" s="210"/>
      <c r="O52" s="118"/>
      <c r="P52" s="210"/>
      <c r="Q52" s="118">
        <v>16090</v>
      </c>
      <c r="R52" s="210"/>
      <c r="S52" s="118">
        <v>11880</v>
      </c>
      <c r="T52" s="210"/>
      <c r="U52" s="118">
        <f>SUM(K52:T52)</f>
        <v>697570</v>
      </c>
      <c r="V52" s="210"/>
      <c r="W52" s="124">
        <v>20000</v>
      </c>
      <c r="X52" s="224" t="s">
        <v>227</v>
      </c>
      <c r="Y52" s="215"/>
      <c r="Z52" s="215"/>
      <c r="AA52" s="215"/>
      <c r="AB52" s="215"/>
      <c r="AC52" s="15" t="s">
        <v>20</v>
      </c>
      <c r="AD52" s="302"/>
      <c r="AE52" s="303"/>
      <c r="AF52" s="303"/>
      <c r="AG52" s="303"/>
      <c r="AH52" s="303"/>
      <c r="AI52" s="304"/>
      <c r="AJ52" s="132"/>
      <c r="AK52" s="127"/>
      <c r="AL52" s="127"/>
      <c r="AM52" s="21"/>
      <c r="AN52" s="289"/>
      <c r="AO52" s="290"/>
      <c r="AP52" s="135"/>
      <c r="AQ52" s="136"/>
      <c r="AR52" s="118"/>
      <c r="AS52" s="210"/>
      <c r="AT52" s="180">
        <f>AR52*0.1</f>
        <v>0</v>
      </c>
      <c r="AU52" s="181"/>
      <c r="AV52" s="118"/>
      <c r="AW52" s="210"/>
      <c r="AX52" s="118">
        <f>SUM(AR52:AW52)</f>
        <v>0</v>
      </c>
      <c r="AY52" s="119"/>
      <c r="AZ52" s="200"/>
    </row>
    <row r="53" spans="1:52" ht="17.100000000000001" customHeight="1" thickBot="1">
      <c r="A53" s="110"/>
      <c r="B53" s="27" t="s">
        <v>132</v>
      </c>
      <c r="C53" s="27">
        <v>70264</v>
      </c>
      <c r="D53" s="14" t="s">
        <v>55</v>
      </c>
      <c r="E53" s="112"/>
      <c r="F53" s="139" t="s">
        <v>228</v>
      </c>
      <c r="G53" s="140"/>
      <c r="H53" s="140"/>
      <c r="I53" s="26">
        <v>56245</v>
      </c>
      <c r="J53" s="117"/>
      <c r="K53" s="120"/>
      <c r="L53" s="182"/>
      <c r="M53" s="120"/>
      <c r="N53" s="182"/>
      <c r="O53" s="120"/>
      <c r="P53" s="182"/>
      <c r="Q53" s="120"/>
      <c r="R53" s="182"/>
      <c r="S53" s="120"/>
      <c r="T53" s="182"/>
      <c r="U53" s="120"/>
      <c r="V53" s="182"/>
      <c r="W53" s="125"/>
      <c r="X53" s="144" t="s">
        <v>229</v>
      </c>
      <c r="Y53" s="287"/>
      <c r="Z53" s="287"/>
      <c r="AA53" s="287"/>
      <c r="AB53" s="287"/>
      <c r="AC53" s="16" t="s">
        <v>21</v>
      </c>
      <c r="AD53" s="49"/>
      <c r="AE53" s="145" t="s">
        <v>185</v>
      </c>
      <c r="AF53" s="146"/>
      <c r="AG53" s="146"/>
      <c r="AH53" s="146"/>
      <c r="AI53" s="147"/>
      <c r="AJ53" s="148"/>
      <c r="AK53" s="143"/>
      <c r="AL53" s="143"/>
      <c r="AM53" s="22"/>
      <c r="AN53" s="288"/>
      <c r="AO53" s="287"/>
      <c r="AP53" s="148"/>
      <c r="AQ53" s="144"/>
      <c r="AR53" s="120"/>
      <c r="AS53" s="182"/>
      <c r="AT53" s="120"/>
      <c r="AU53" s="182"/>
      <c r="AV53" s="120"/>
      <c r="AW53" s="182"/>
      <c r="AX53" s="120"/>
      <c r="AY53" s="121"/>
      <c r="AZ53" s="201"/>
    </row>
    <row r="54" spans="1:52" ht="17.100000000000001" customHeight="1" thickTop="1">
      <c r="A54" s="109" t="s">
        <v>5764</v>
      </c>
      <c r="B54" s="28">
        <v>42059</v>
      </c>
      <c r="C54" s="29" t="s">
        <v>230</v>
      </c>
      <c r="D54" s="13" t="s">
        <v>231</v>
      </c>
      <c r="E54" s="111"/>
      <c r="F54" s="283" t="s">
        <v>232</v>
      </c>
      <c r="G54" s="273"/>
      <c r="H54" s="273"/>
      <c r="I54" s="24"/>
      <c r="J54" s="116"/>
      <c r="K54" s="118">
        <v>980000</v>
      </c>
      <c r="L54" s="210"/>
      <c r="M54" s="118">
        <v>78400</v>
      </c>
      <c r="N54" s="210"/>
      <c r="O54" s="118"/>
      <c r="P54" s="210"/>
      <c r="Q54" s="118">
        <v>23340</v>
      </c>
      <c r="R54" s="210"/>
      <c r="S54" s="118">
        <v>11880</v>
      </c>
      <c r="T54" s="210"/>
      <c r="U54" s="118">
        <f>SUM(K54:T54)</f>
        <v>1093620</v>
      </c>
      <c r="V54" s="210"/>
      <c r="W54" s="124">
        <v>100000</v>
      </c>
      <c r="X54" s="224" t="s">
        <v>233</v>
      </c>
      <c r="Y54" s="215"/>
      <c r="Z54" s="215"/>
      <c r="AA54" s="215"/>
      <c r="AB54" s="215"/>
      <c r="AC54" s="15" t="s">
        <v>20</v>
      </c>
      <c r="AD54" s="302"/>
      <c r="AE54" s="303"/>
      <c r="AF54" s="303"/>
      <c r="AG54" s="303"/>
      <c r="AH54" s="303"/>
      <c r="AI54" s="304"/>
      <c r="AJ54" s="132"/>
      <c r="AK54" s="127"/>
      <c r="AL54" s="127"/>
      <c r="AM54" s="21"/>
      <c r="AN54" s="289"/>
      <c r="AO54" s="290"/>
      <c r="AP54" s="135"/>
      <c r="AQ54" s="136"/>
      <c r="AR54" s="118"/>
      <c r="AS54" s="210"/>
      <c r="AT54" s="180">
        <f>AR54*0.1</f>
        <v>0</v>
      </c>
      <c r="AU54" s="181"/>
      <c r="AV54" s="118"/>
      <c r="AW54" s="210"/>
      <c r="AX54" s="118">
        <f>SUM(AR54:AW54)</f>
        <v>0</v>
      </c>
      <c r="AY54" s="119"/>
      <c r="AZ54" s="200"/>
    </row>
    <row r="55" spans="1:52" ht="17.100000000000001" customHeight="1" thickBot="1">
      <c r="A55" s="110"/>
      <c r="B55" s="27" t="s">
        <v>132</v>
      </c>
      <c r="C55" s="27">
        <v>70716</v>
      </c>
      <c r="D55" s="14" t="s">
        <v>66</v>
      </c>
      <c r="E55" s="112"/>
      <c r="F55" s="139" t="s">
        <v>234</v>
      </c>
      <c r="G55" s="140"/>
      <c r="H55" s="140"/>
      <c r="I55" s="26">
        <v>56276</v>
      </c>
      <c r="J55" s="117"/>
      <c r="K55" s="120"/>
      <c r="L55" s="182"/>
      <c r="M55" s="120"/>
      <c r="N55" s="182"/>
      <c r="O55" s="120"/>
      <c r="P55" s="182"/>
      <c r="Q55" s="120"/>
      <c r="R55" s="182"/>
      <c r="S55" s="120"/>
      <c r="T55" s="182"/>
      <c r="U55" s="120"/>
      <c r="V55" s="182"/>
      <c r="W55" s="125"/>
      <c r="X55" s="144" t="s">
        <v>235</v>
      </c>
      <c r="Y55" s="287"/>
      <c r="Z55" s="287"/>
      <c r="AA55" s="287"/>
      <c r="AB55" s="287"/>
      <c r="AC55" s="16" t="s">
        <v>21</v>
      </c>
      <c r="AD55" s="50"/>
      <c r="AE55" s="145" t="s">
        <v>236</v>
      </c>
      <c r="AF55" s="146"/>
      <c r="AG55" s="146"/>
      <c r="AH55" s="146"/>
      <c r="AI55" s="147"/>
      <c r="AJ55" s="148"/>
      <c r="AK55" s="143"/>
      <c r="AL55" s="143"/>
      <c r="AM55" s="22"/>
      <c r="AN55" s="288"/>
      <c r="AO55" s="287"/>
      <c r="AP55" s="148"/>
      <c r="AQ55" s="144"/>
      <c r="AR55" s="120"/>
      <c r="AS55" s="182"/>
      <c r="AT55" s="120"/>
      <c r="AU55" s="182"/>
      <c r="AV55" s="120"/>
      <c r="AW55" s="182"/>
      <c r="AX55" s="120"/>
      <c r="AY55" s="121"/>
      <c r="AZ55" s="201"/>
    </row>
    <row r="56" spans="1:52" ht="17.100000000000001" customHeight="1" thickTop="1">
      <c r="A56" s="109" t="s">
        <v>5765</v>
      </c>
      <c r="B56" s="28">
        <v>42120</v>
      </c>
      <c r="C56" s="29" t="s">
        <v>237</v>
      </c>
      <c r="D56" s="13" t="s">
        <v>238</v>
      </c>
      <c r="E56" s="111"/>
      <c r="F56" s="283" t="s">
        <v>239</v>
      </c>
      <c r="G56" s="273"/>
      <c r="H56" s="273"/>
      <c r="I56" s="24"/>
      <c r="J56" s="116"/>
      <c r="K56" s="118">
        <v>520000</v>
      </c>
      <c r="L56" s="210"/>
      <c r="M56" s="118">
        <v>41600</v>
      </c>
      <c r="N56" s="210"/>
      <c r="O56" s="118"/>
      <c r="P56" s="210"/>
      <c r="Q56" s="118">
        <v>16420</v>
      </c>
      <c r="R56" s="210"/>
      <c r="S56" s="118">
        <v>12960</v>
      </c>
      <c r="T56" s="210"/>
      <c r="U56" s="118">
        <f>SUM(K56:T56)</f>
        <v>590980</v>
      </c>
      <c r="V56" s="210"/>
      <c r="W56" s="124">
        <v>100000</v>
      </c>
      <c r="X56" s="224" t="s">
        <v>240</v>
      </c>
      <c r="Y56" s="215"/>
      <c r="Z56" s="215"/>
      <c r="AA56" s="215"/>
      <c r="AB56" s="215"/>
      <c r="AC56" s="15" t="s">
        <v>20</v>
      </c>
      <c r="AD56" s="294"/>
      <c r="AE56" s="295"/>
      <c r="AF56" s="295"/>
      <c r="AG56" s="295"/>
      <c r="AH56" s="295"/>
      <c r="AI56" s="296"/>
      <c r="AJ56" s="132"/>
      <c r="AK56" s="127"/>
      <c r="AL56" s="127"/>
      <c r="AM56" s="21"/>
      <c r="AN56" s="289"/>
      <c r="AO56" s="290"/>
      <c r="AP56" s="135"/>
      <c r="AQ56" s="136"/>
      <c r="AR56" s="118"/>
      <c r="AS56" s="210"/>
      <c r="AT56" s="180">
        <f>AR56*0.1</f>
        <v>0</v>
      </c>
      <c r="AU56" s="181"/>
      <c r="AV56" s="118"/>
      <c r="AW56" s="210"/>
      <c r="AX56" s="118">
        <f>SUM(AR56:AW56)</f>
        <v>0</v>
      </c>
      <c r="AY56" s="119"/>
      <c r="AZ56" s="200"/>
    </row>
    <row r="57" spans="1:52" ht="17.100000000000001" customHeight="1" thickBot="1">
      <c r="A57" s="110"/>
      <c r="B57" s="27" t="s">
        <v>241</v>
      </c>
      <c r="C57" s="27">
        <v>3712</v>
      </c>
      <c r="D57" s="14" t="s">
        <v>66</v>
      </c>
      <c r="E57" s="112"/>
      <c r="F57" s="139" t="s">
        <v>242</v>
      </c>
      <c r="G57" s="140"/>
      <c r="H57" s="140"/>
      <c r="I57" s="26">
        <v>45619</v>
      </c>
      <c r="J57" s="117"/>
      <c r="K57" s="120"/>
      <c r="L57" s="182"/>
      <c r="M57" s="120"/>
      <c r="N57" s="182"/>
      <c r="O57" s="120"/>
      <c r="P57" s="182"/>
      <c r="Q57" s="120"/>
      <c r="R57" s="182"/>
      <c r="S57" s="120"/>
      <c r="T57" s="182"/>
      <c r="U57" s="120"/>
      <c r="V57" s="182"/>
      <c r="W57" s="125"/>
      <c r="X57" s="144" t="s">
        <v>243</v>
      </c>
      <c r="Y57" s="287"/>
      <c r="Z57" s="287"/>
      <c r="AA57" s="287"/>
      <c r="AB57" s="287"/>
      <c r="AC57" s="16" t="s">
        <v>21</v>
      </c>
      <c r="AD57" s="50"/>
      <c r="AE57" s="145" t="s">
        <v>244</v>
      </c>
      <c r="AF57" s="146"/>
      <c r="AG57" s="146"/>
      <c r="AH57" s="146"/>
      <c r="AI57" s="147"/>
      <c r="AJ57" s="148"/>
      <c r="AK57" s="143"/>
      <c r="AL57" s="143"/>
      <c r="AM57" s="22"/>
      <c r="AN57" s="288"/>
      <c r="AO57" s="287"/>
      <c r="AP57" s="148"/>
      <c r="AQ57" s="144"/>
      <c r="AR57" s="120"/>
      <c r="AS57" s="182"/>
      <c r="AT57" s="120"/>
      <c r="AU57" s="182"/>
      <c r="AV57" s="120"/>
      <c r="AW57" s="182"/>
      <c r="AX57" s="120"/>
      <c r="AY57" s="121"/>
      <c r="AZ57" s="201"/>
    </row>
    <row r="58" spans="1:52" ht="17.100000000000001" customHeight="1" thickTop="1">
      <c r="A58" s="109" t="s">
        <v>5766</v>
      </c>
      <c r="B58" s="28">
        <v>42180</v>
      </c>
      <c r="C58" s="29" t="s">
        <v>245</v>
      </c>
      <c r="D58" s="13" t="s">
        <v>246</v>
      </c>
      <c r="E58" s="111"/>
      <c r="F58" s="283" t="s">
        <v>247</v>
      </c>
      <c r="G58" s="273"/>
      <c r="H58" s="273"/>
      <c r="I58" s="24" t="s">
        <v>248</v>
      </c>
      <c r="J58" s="116"/>
      <c r="K58" s="118">
        <v>615000</v>
      </c>
      <c r="L58" s="210"/>
      <c r="M58" s="118">
        <v>49200</v>
      </c>
      <c r="N58" s="210"/>
      <c r="O58" s="118">
        <v>43500</v>
      </c>
      <c r="P58" s="210"/>
      <c r="Q58" s="118">
        <v>20150</v>
      </c>
      <c r="R58" s="210"/>
      <c r="S58" s="118">
        <v>11880</v>
      </c>
      <c r="T58" s="210"/>
      <c r="U58" s="118">
        <f>SUM(K58:T58)</f>
        <v>739730</v>
      </c>
      <c r="V58" s="210"/>
      <c r="W58" s="124">
        <v>200000</v>
      </c>
      <c r="X58" s="224" t="s">
        <v>249</v>
      </c>
      <c r="Y58" s="215"/>
      <c r="Z58" s="215"/>
      <c r="AA58" s="215"/>
      <c r="AB58" s="215"/>
      <c r="AC58" s="15" t="s">
        <v>20</v>
      </c>
      <c r="AD58" s="294"/>
      <c r="AE58" s="295"/>
      <c r="AF58" s="295"/>
      <c r="AG58" s="295"/>
      <c r="AH58" s="295"/>
      <c r="AI58" s="296"/>
      <c r="AJ58" s="132"/>
      <c r="AK58" s="127"/>
      <c r="AL58" s="127"/>
      <c r="AM58" s="21"/>
      <c r="AN58" s="289"/>
      <c r="AO58" s="290"/>
      <c r="AP58" s="135"/>
      <c r="AQ58" s="136"/>
      <c r="AR58" s="118"/>
      <c r="AS58" s="210"/>
      <c r="AT58" s="180">
        <f>AR58*0.1</f>
        <v>0</v>
      </c>
      <c r="AU58" s="181"/>
      <c r="AV58" s="118"/>
      <c r="AW58" s="210"/>
      <c r="AX58" s="118">
        <f>SUM(AR58:AW58)</f>
        <v>0</v>
      </c>
      <c r="AY58" s="119"/>
      <c r="AZ58" s="200"/>
    </row>
    <row r="59" spans="1:52" ht="17.100000000000001" customHeight="1" thickBot="1">
      <c r="A59" s="110"/>
      <c r="B59" s="27" t="s">
        <v>250</v>
      </c>
      <c r="C59" s="27">
        <v>522</v>
      </c>
      <c r="D59" s="14" t="s">
        <v>221</v>
      </c>
      <c r="E59" s="112"/>
      <c r="F59" s="139" t="s">
        <v>251</v>
      </c>
      <c r="G59" s="140"/>
      <c r="H59" s="140"/>
      <c r="I59" s="26">
        <v>41397</v>
      </c>
      <c r="J59" s="117"/>
      <c r="K59" s="120"/>
      <c r="L59" s="182"/>
      <c r="M59" s="120"/>
      <c r="N59" s="182"/>
      <c r="O59" s="120"/>
      <c r="P59" s="182"/>
      <c r="Q59" s="120"/>
      <c r="R59" s="182"/>
      <c r="S59" s="120"/>
      <c r="T59" s="182"/>
      <c r="U59" s="120"/>
      <c r="V59" s="182"/>
      <c r="W59" s="125"/>
      <c r="X59" s="144" t="s">
        <v>163</v>
      </c>
      <c r="Y59" s="287"/>
      <c r="Z59" s="287"/>
      <c r="AA59" s="287"/>
      <c r="AB59" s="287"/>
      <c r="AC59" s="16" t="s">
        <v>21</v>
      </c>
      <c r="AD59" s="50"/>
      <c r="AE59" s="145" t="s">
        <v>252</v>
      </c>
      <c r="AF59" s="146"/>
      <c r="AG59" s="146"/>
      <c r="AH59" s="146"/>
      <c r="AI59" s="147"/>
      <c r="AJ59" s="148"/>
      <c r="AK59" s="143"/>
      <c r="AL59" s="143"/>
      <c r="AM59" s="22"/>
      <c r="AN59" s="288"/>
      <c r="AO59" s="287"/>
      <c r="AP59" s="148"/>
      <c r="AQ59" s="144"/>
      <c r="AR59" s="120"/>
      <c r="AS59" s="182"/>
      <c r="AT59" s="120"/>
      <c r="AU59" s="182"/>
      <c r="AV59" s="120"/>
      <c r="AW59" s="182"/>
      <c r="AX59" s="120"/>
      <c r="AY59" s="121"/>
      <c r="AZ59" s="201"/>
    </row>
    <row r="60" spans="1:52" ht="17.100000000000001" customHeight="1" thickTop="1">
      <c r="A60" s="109" t="s">
        <v>5767</v>
      </c>
      <c r="B60" s="28">
        <v>42193</v>
      </c>
      <c r="C60" s="29" t="s">
        <v>253</v>
      </c>
      <c r="D60" s="13" t="s">
        <v>254</v>
      </c>
      <c r="E60" s="111"/>
      <c r="F60" s="283" t="s">
        <v>255</v>
      </c>
      <c r="G60" s="273"/>
      <c r="H60" s="273"/>
      <c r="I60" s="24" t="s">
        <v>248</v>
      </c>
      <c r="J60" s="116"/>
      <c r="K60" s="118">
        <v>2895000</v>
      </c>
      <c r="L60" s="210"/>
      <c r="M60" s="118">
        <v>231600</v>
      </c>
      <c r="N60" s="210"/>
      <c r="O60" s="118">
        <v>58600</v>
      </c>
      <c r="P60" s="210"/>
      <c r="Q60" s="118">
        <v>25670</v>
      </c>
      <c r="R60" s="210"/>
      <c r="S60" s="118">
        <v>12960</v>
      </c>
      <c r="T60" s="210"/>
      <c r="U60" s="118">
        <f>SUM(K60:T60)</f>
        <v>3223830</v>
      </c>
      <c r="V60" s="210"/>
      <c r="W60" s="124">
        <v>100000</v>
      </c>
      <c r="X60" s="224" t="s">
        <v>256</v>
      </c>
      <c r="Y60" s="215"/>
      <c r="Z60" s="215"/>
      <c r="AA60" s="215"/>
      <c r="AB60" s="215"/>
      <c r="AC60" s="15" t="s">
        <v>20</v>
      </c>
      <c r="AD60" s="294"/>
      <c r="AE60" s="295"/>
      <c r="AF60" s="295"/>
      <c r="AG60" s="295"/>
      <c r="AH60" s="295"/>
      <c r="AI60" s="296"/>
      <c r="AJ60" s="132"/>
      <c r="AK60" s="127"/>
      <c r="AL60" s="127"/>
      <c r="AM60" s="21"/>
      <c r="AN60" s="289"/>
      <c r="AO60" s="290"/>
      <c r="AP60" s="135"/>
      <c r="AQ60" s="136"/>
      <c r="AR60" s="118"/>
      <c r="AS60" s="210"/>
      <c r="AT60" s="180">
        <f>AR60*0.1</f>
        <v>0</v>
      </c>
      <c r="AU60" s="181"/>
      <c r="AV60" s="118"/>
      <c r="AW60" s="210"/>
      <c r="AX60" s="118">
        <f>SUM(AR60:AW60)</f>
        <v>0</v>
      </c>
      <c r="AY60" s="119"/>
      <c r="AZ60" s="200"/>
    </row>
    <row r="61" spans="1:52" ht="17.100000000000001" customHeight="1" thickBot="1">
      <c r="A61" s="110"/>
      <c r="B61" s="27" t="s">
        <v>257</v>
      </c>
      <c r="C61" s="27">
        <v>4021</v>
      </c>
      <c r="D61" s="14" t="s">
        <v>66</v>
      </c>
      <c r="E61" s="112"/>
      <c r="F61" s="139" t="s">
        <v>258</v>
      </c>
      <c r="G61" s="140"/>
      <c r="H61" s="140"/>
      <c r="I61" s="26">
        <v>33407</v>
      </c>
      <c r="J61" s="117"/>
      <c r="K61" s="120"/>
      <c r="L61" s="182"/>
      <c r="M61" s="120"/>
      <c r="N61" s="182"/>
      <c r="O61" s="120"/>
      <c r="P61" s="182"/>
      <c r="Q61" s="120"/>
      <c r="R61" s="182"/>
      <c r="S61" s="120"/>
      <c r="T61" s="182"/>
      <c r="U61" s="120"/>
      <c r="V61" s="182"/>
      <c r="W61" s="125"/>
      <c r="X61" s="144" t="s">
        <v>259</v>
      </c>
      <c r="Y61" s="287"/>
      <c r="Z61" s="287"/>
      <c r="AA61" s="287"/>
      <c r="AB61" s="287"/>
      <c r="AC61" s="16" t="s">
        <v>21</v>
      </c>
      <c r="AD61" s="50"/>
      <c r="AE61" s="145" t="s">
        <v>185</v>
      </c>
      <c r="AF61" s="146"/>
      <c r="AG61" s="146"/>
      <c r="AH61" s="146"/>
      <c r="AI61" s="147"/>
      <c r="AJ61" s="148"/>
      <c r="AK61" s="143"/>
      <c r="AL61" s="143"/>
      <c r="AM61" s="22" t="s">
        <v>51</v>
      </c>
      <c r="AN61" s="288"/>
      <c r="AO61" s="287"/>
      <c r="AP61" s="148"/>
      <c r="AQ61" s="144"/>
      <c r="AR61" s="120"/>
      <c r="AS61" s="182"/>
      <c r="AT61" s="120"/>
      <c r="AU61" s="182"/>
      <c r="AV61" s="120"/>
      <c r="AW61" s="182"/>
      <c r="AX61" s="120"/>
      <c r="AY61" s="121"/>
      <c r="AZ61" s="201"/>
    </row>
    <row r="62" spans="1:52" ht="17.100000000000001" customHeight="1" thickTop="1">
      <c r="A62" s="109" t="s">
        <v>5768</v>
      </c>
      <c r="B62" s="28">
        <v>42234</v>
      </c>
      <c r="C62" s="29" t="s">
        <v>260</v>
      </c>
      <c r="D62" s="13" t="s">
        <v>261</v>
      </c>
      <c r="E62" s="111"/>
      <c r="F62" s="283" t="s">
        <v>262</v>
      </c>
      <c r="G62" s="273"/>
      <c r="H62" s="273"/>
      <c r="I62" s="24" t="s">
        <v>263</v>
      </c>
      <c r="J62" s="116"/>
      <c r="K62" s="118">
        <v>1695000</v>
      </c>
      <c r="L62" s="210"/>
      <c r="M62" s="118">
        <v>135600</v>
      </c>
      <c r="N62" s="210"/>
      <c r="O62" s="118">
        <v>26200</v>
      </c>
      <c r="P62" s="210"/>
      <c r="Q62" s="118">
        <v>21580</v>
      </c>
      <c r="R62" s="210"/>
      <c r="S62" s="118">
        <v>12960</v>
      </c>
      <c r="T62" s="210"/>
      <c r="U62" s="118">
        <f>SUM(K62:T62)</f>
        <v>1891340</v>
      </c>
      <c r="V62" s="210"/>
      <c r="W62" s="124">
        <v>100000</v>
      </c>
      <c r="X62" s="224" t="s">
        <v>264</v>
      </c>
      <c r="Y62" s="215"/>
      <c r="Z62" s="215"/>
      <c r="AA62" s="215"/>
      <c r="AB62" s="215"/>
      <c r="AC62" s="15" t="s">
        <v>20</v>
      </c>
      <c r="AD62" s="294"/>
      <c r="AE62" s="295"/>
      <c r="AF62" s="295"/>
      <c r="AG62" s="295"/>
      <c r="AH62" s="295"/>
      <c r="AI62" s="296"/>
      <c r="AJ62" s="132"/>
      <c r="AK62" s="127"/>
      <c r="AL62" s="127"/>
      <c r="AM62" s="21"/>
      <c r="AN62" s="289"/>
      <c r="AO62" s="290"/>
      <c r="AP62" s="135"/>
      <c r="AQ62" s="136"/>
      <c r="AR62" s="118"/>
      <c r="AS62" s="210"/>
      <c r="AT62" s="180">
        <f>AR62*0.1</f>
        <v>0</v>
      </c>
      <c r="AU62" s="181"/>
      <c r="AV62" s="118"/>
      <c r="AW62" s="210"/>
      <c r="AX62" s="118">
        <f>SUM(AR62:AW62)</f>
        <v>0</v>
      </c>
      <c r="AY62" s="119"/>
      <c r="AZ62" s="200"/>
    </row>
    <row r="63" spans="1:52" ht="17.100000000000001" customHeight="1" thickBot="1">
      <c r="A63" s="110"/>
      <c r="B63" s="27" t="s">
        <v>132</v>
      </c>
      <c r="C63" s="27">
        <v>75018</v>
      </c>
      <c r="D63" s="14" t="s">
        <v>265</v>
      </c>
      <c r="E63" s="112"/>
      <c r="F63" s="139" t="s">
        <v>266</v>
      </c>
      <c r="G63" s="140"/>
      <c r="H63" s="140"/>
      <c r="I63" s="26">
        <v>36328</v>
      </c>
      <c r="J63" s="117"/>
      <c r="K63" s="120"/>
      <c r="L63" s="182"/>
      <c r="M63" s="120"/>
      <c r="N63" s="182"/>
      <c r="O63" s="120"/>
      <c r="P63" s="182"/>
      <c r="Q63" s="120"/>
      <c r="R63" s="182"/>
      <c r="S63" s="120"/>
      <c r="T63" s="182"/>
      <c r="U63" s="120"/>
      <c r="V63" s="182"/>
      <c r="W63" s="125"/>
      <c r="X63" s="144" t="s">
        <v>267</v>
      </c>
      <c r="Y63" s="287"/>
      <c r="Z63" s="287"/>
      <c r="AA63" s="287"/>
      <c r="AB63" s="287"/>
      <c r="AC63" s="16" t="s">
        <v>21</v>
      </c>
      <c r="AD63" s="50"/>
      <c r="AE63" s="145" t="s">
        <v>268</v>
      </c>
      <c r="AF63" s="146"/>
      <c r="AG63" s="146"/>
      <c r="AH63" s="146"/>
      <c r="AI63" s="147"/>
      <c r="AJ63" s="148"/>
      <c r="AK63" s="143"/>
      <c r="AL63" s="143"/>
      <c r="AM63" s="22" t="s">
        <v>51</v>
      </c>
      <c r="AN63" s="288"/>
      <c r="AO63" s="287"/>
      <c r="AP63" s="148"/>
      <c r="AQ63" s="144"/>
      <c r="AR63" s="120"/>
      <c r="AS63" s="182"/>
      <c r="AT63" s="120"/>
      <c r="AU63" s="182"/>
      <c r="AV63" s="120"/>
      <c r="AW63" s="182"/>
      <c r="AX63" s="120"/>
      <c r="AY63" s="121"/>
      <c r="AZ63" s="201"/>
    </row>
    <row r="64" spans="1:52" ht="17.100000000000001" customHeight="1" thickTop="1">
      <c r="A64" s="109" t="s">
        <v>5769</v>
      </c>
      <c r="B64" s="28">
        <v>42461</v>
      </c>
      <c r="C64" s="51"/>
      <c r="D64" s="13" t="s">
        <v>269</v>
      </c>
      <c r="E64" s="111" t="s">
        <v>166</v>
      </c>
      <c r="F64" s="283" t="s">
        <v>270</v>
      </c>
      <c r="G64" s="273"/>
      <c r="H64" s="273"/>
      <c r="I64" s="52" t="s">
        <v>271</v>
      </c>
      <c r="J64" s="116"/>
      <c r="K64" s="118">
        <v>6000000</v>
      </c>
      <c r="L64" s="210"/>
      <c r="M64" s="118"/>
      <c r="N64" s="210"/>
      <c r="O64" s="118"/>
      <c r="P64" s="210"/>
      <c r="Q64" s="118"/>
      <c r="R64" s="210"/>
      <c r="S64" s="118"/>
      <c r="T64" s="210"/>
      <c r="U64" s="118">
        <f>SUM(K64:T65)</f>
        <v>6000000</v>
      </c>
      <c r="V64" s="119"/>
      <c r="W64" s="124"/>
      <c r="X64" s="215" t="s">
        <v>272</v>
      </c>
      <c r="Y64" s="215"/>
      <c r="Z64" s="215"/>
      <c r="AA64" s="215"/>
      <c r="AB64" s="215"/>
      <c r="AC64" s="15" t="s">
        <v>20</v>
      </c>
      <c r="AD64" s="294"/>
      <c r="AE64" s="295"/>
      <c r="AF64" s="295"/>
      <c r="AG64" s="295"/>
      <c r="AH64" s="295"/>
      <c r="AI64" s="296"/>
      <c r="AJ64" s="128"/>
      <c r="AK64" s="297"/>
      <c r="AL64" s="132"/>
      <c r="AM64" s="21" t="s">
        <v>273</v>
      </c>
      <c r="AN64" s="289"/>
      <c r="AO64" s="290"/>
      <c r="AP64" s="135"/>
      <c r="AQ64" s="136"/>
      <c r="AR64" s="118"/>
      <c r="AS64" s="210"/>
      <c r="AT64" s="180">
        <f>AR64*0.1</f>
        <v>0</v>
      </c>
      <c r="AU64" s="181"/>
      <c r="AV64" s="118"/>
      <c r="AW64" s="210"/>
      <c r="AX64" s="118">
        <f>SUM(AR64:AW64)</f>
        <v>0</v>
      </c>
      <c r="AY64" s="119"/>
      <c r="AZ64" s="200"/>
    </row>
    <row r="65" spans="1:52" ht="17.100000000000001" customHeight="1" thickBot="1">
      <c r="A65" s="110"/>
      <c r="B65" s="27" t="s">
        <v>274</v>
      </c>
      <c r="C65" s="27"/>
      <c r="D65" s="14" t="s">
        <v>275</v>
      </c>
      <c r="E65" s="112"/>
      <c r="F65" s="139" t="s">
        <v>276</v>
      </c>
      <c r="G65" s="140"/>
      <c r="H65" s="140"/>
      <c r="I65" s="48"/>
      <c r="J65" s="117"/>
      <c r="K65" s="120"/>
      <c r="L65" s="182"/>
      <c r="M65" s="120"/>
      <c r="N65" s="182"/>
      <c r="O65" s="120"/>
      <c r="P65" s="182"/>
      <c r="Q65" s="120"/>
      <c r="R65" s="182"/>
      <c r="S65" s="120"/>
      <c r="T65" s="182"/>
      <c r="U65" s="120"/>
      <c r="V65" s="121"/>
      <c r="W65" s="125"/>
      <c r="X65" s="287" t="s">
        <v>277</v>
      </c>
      <c r="Y65" s="287"/>
      <c r="Z65" s="287"/>
      <c r="AA65" s="287"/>
      <c r="AB65" s="287"/>
      <c r="AC65" s="16" t="s">
        <v>21</v>
      </c>
      <c r="AD65" s="50"/>
      <c r="AE65" s="145"/>
      <c r="AF65" s="146"/>
      <c r="AG65" s="146"/>
      <c r="AH65" s="146"/>
      <c r="AI65" s="147"/>
      <c r="AJ65" s="144"/>
      <c r="AK65" s="287"/>
      <c r="AL65" s="148"/>
      <c r="AM65" s="53"/>
      <c r="AN65" s="288"/>
      <c r="AO65" s="287"/>
      <c r="AP65" s="287"/>
      <c r="AQ65" s="287"/>
      <c r="AR65" s="120"/>
      <c r="AS65" s="182"/>
      <c r="AT65" s="120"/>
      <c r="AU65" s="182"/>
      <c r="AV65" s="120"/>
      <c r="AW65" s="182"/>
      <c r="AX65" s="120"/>
      <c r="AY65" s="121"/>
      <c r="AZ65" s="201"/>
    </row>
    <row r="66" spans="1:52" ht="17.100000000000001" customHeight="1" thickTop="1">
      <c r="A66" s="109" t="s">
        <v>5770</v>
      </c>
      <c r="B66" s="28">
        <v>42411</v>
      </c>
      <c r="C66" s="29" t="s">
        <v>278</v>
      </c>
      <c r="D66" s="13" t="s">
        <v>279</v>
      </c>
      <c r="E66" s="111"/>
      <c r="F66" s="283" t="s">
        <v>280</v>
      </c>
      <c r="G66" s="273"/>
      <c r="H66" s="273"/>
      <c r="I66" s="24"/>
      <c r="J66" s="116"/>
      <c r="K66" s="118">
        <v>597000</v>
      </c>
      <c r="L66" s="210"/>
      <c r="M66" s="118">
        <v>47760</v>
      </c>
      <c r="N66" s="210"/>
      <c r="O66" s="118"/>
      <c r="P66" s="210"/>
      <c r="Q66" s="118">
        <v>16090</v>
      </c>
      <c r="R66" s="210"/>
      <c r="S66" s="118">
        <v>4320</v>
      </c>
      <c r="T66" s="210"/>
      <c r="U66" s="118">
        <f>SUM(K66:T66)</f>
        <v>665170</v>
      </c>
      <c r="V66" s="210"/>
      <c r="W66" s="124">
        <v>200000</v>
      </c>
      <c r="X66" s="224" t="s">
        <v>281</v>
      </c>
      <c r="Y66" s="215"/>
      <c r="Z66" s="215"/>
      <c r="AA66" s="215"/>
      <c r="AB66" s="215"/>
      <c r="AC66" s="15" t="s">
        <v>20</v>
      </c>
      <c r="AD66" s="294"/>
      <c r="AE66" s="295"/>
      <c r="AF66" s="295"/>
      <c r="AG66" s="295"/>
      <c r="AH66" s="295"/>
      <c r="AI66" s="296"/>
      <c r="AJ66" s="132"/>
      <c r="AK66" s="127"/>
      <c r="AL66" s="127"/>
      <c r="AM66" s="21"/>
      <c r="AN66" s="289"/>
      <c r="AO66" s="290"/>
      <c r="AP66" s="135"/>
      <c r="AQ66" s="136"/>
      <c r="AR66" s="118"/>
      <c r="AS66" s="210"/>
      <c r="AT66" s="180">
        <f>AR66*0.1</f>
        <v>0</v>
      </c>
      <c r="AU66" s="181"/>
      <c r="AV66" s="118"/>
      <c r="AW66" s="210"/>
      <c r="AX66" s="118">
        <f>SUM(AR66:AW66)</f>
        <v>0</v>
      </c>
      <c r="AY66" s="119"/>
      <c r="AZ66" s="200"/>
    </row>
    <row r="67" spans="1:52" ht="17.100000000000001" customHeight="1" thickBot="1">
      <c r="A67" s="110"/>
      <c r="B67" s="27" t="s">
        <v>282</v>
      </c>
      <c r="C67" s="27">
        <v>30016</v>
      </c>
      <c r="D67" s="14" t="s">
        <v>221</v>
      </c>
      <c r="E67" s="112"/>
      <c r="F67" s="139" t="s">
        <v>283</v>
      </c>
      <c r="G67" s="140"/>
      <c r="H67" s="140"/>
      <c r="I67" s="26">
        <v>86558</v>
      </c>
      <c r="J67" s="117"/>
      <c r="K67" s="120"/>
      <c r="L67" s="182"/>
      <c r="M67" s="120"/>
      <c r="N67" s="182"/>
      <c r="O67" s="120"/>
      <c r="P67" s="182"/>
      <c r="Q67" s="120"/>
      <c r="R67" s="182"/>
      <c r="S67" s="120"/>
      <c r="T67" s="182"/>
      <c r="U67" s="120"/>
      <c r="V67" s="182"/>
      <c r="W67" s="125"/>
      <c r="X67" s="144" t="s">
        <v>284</v>
      </c>
      <c r="Y67" s="287"/>
      <c r="Z67" s="287"/>
      <c r="AA67" s="287"/>
      <c r="AB67" s="287"/>
      <c r="AC67" s="16" t="s">
        <v>21</v>
      </c>
      <c r="AD67" s="50"/>
      <c r="AE67" s="145" t="s">
        <v>285</v>
      </c>
      <c r="AF67" s="146"/>
      <c r="AG67" s="146"/>
      <c r="AH67" s="146"/>
      <c r="AI67" s="147"/>
      <c r="AJ67" s="148"/>
      <c r="AK67" s="143"/>
      <c r="AL67" s="143"/>
      <c r="AM67" s="22"/>
      <c r="AN67" s="288"/>
      <c r="AO67" s="287"/>
      <c r="AP67" s="148"/>
      <c r="AQ67" s="144"/>
      <c r="AR67" s="120"/>
      <c r="AS67" s="182"/>
      <c r="AT67" s="120"/>
      <c r="AU67" s="182"/>
      <c r="AV67" s="120"/>
      <c r="AW67" s="182"/>
      <c r="AX67" s="120"/>
      <c r="AY67" s="121"/>
      <c r="AZ67" s="201"/>
    </row>
    <row r="68" spans="1:52" ht="17.100000000000001" customHeight="1" thickTop="1">
      <c r="A68" s="109" t="s">
        <v>5771</v>
      </c>
      <c r="B68" s="28">
        <v>42429</v>
      </c>
      <c r="C68" s="29" t="s">
        <v>286</v>
      </c>
      <c r="D68" s="13" t="s">
        <v>287</v>
      </c>
      <c r="E68" s="111"/>
      <c r="F68" s="283" t="s">
        <v>288</v>
      </c>
      <c r="G68" s="273"/>
      <c r="H68" s="273"/>
      <c r="I68" s="24"/>
      <c r="J68" s="116"/>
      <c r="K68" s="118">
        <v>1715000</v>
      </c>
      <c r="L68" s="210"/>
      <c r="M68" s="118">
        <v>137200</v>
      </c>
      <c r="N68" s="210"/>
      <c r="O68" s="118"/>
      <c r="P68" s="210"/>
      <c r="Q68" s="118">
        <v>18770</v>
      </c>
      <c r="R68" s="210"/>
      <c r="S68" s="118">
        <v>10800</v>
      </c>
      <c r="T68" s="210"/>
      <c r="U68" s="118">
        <f>SUM(K68:T68)</f>
        <v>1881770</v>
      </c>
      <c r="V68" s="210"/>
      <c r="W68" s="124">
        <v>500000</v>
      </c>
      <c r="X68" s="224" t="s">
        <v>289</v>
      </c>
      <c r="Y68" s="215"/>
      <c r="Z68" s="215"/>
      <c r="AA68" s="215"/>
      <c r="AB68" s="215"/>
      <c r="AC68" s="15" t="s">
        <v>20</v>
      </c>
      <c r="AD68" s="193" t="s">
        <v>290</v>
      </c>
      <c r="AE68" s="194"/>
      <c r="AF68" s="194"/>
      <c r="AG68" s="194"/>
      <c r="AH68" s="194"/>
      <c r="AI68" s="195"/>
      <c r="AJ68" s="132"/>
      <c r="AK68" s="127"/>
      <c r="AL68" s="127"/>
      <c r="AM68" s="21"/>
      <c r="AN68" s="289"/>
      <c r="AO68" s="290"/>
      <c r="AP68" s="135"/>
      <c r="AQ68" s="136"/>
      <c r="AR68" s="118"/>
      <c r="AS68" s="210"/>
      <c r="AT68" s="180">
        <f>AR68*0.1</f>
        <v>0</v>
      </c>
      <c r="AU68" s="181"/>
      <c r="AV68" s="118"/>
      <c r="AW68" s="210"/>
      <c r="AX68" s="118">
        <f>SUM(AR68:AW68)</f>
        <v>0</v>
      </c>
      <c r="AY68" s="119"/>
      <c r="AZ68" s="200"/>
    </row>
    <row r="69" spans="1:52" ht="17.100000000000001" customHeight="1" thickBot="1">
      <c r="A69" s="110"/>
      <c r="B69" s="27" t="s">
        <v>83</v>
      </c>
      <c r="C69" s="27">
        <v>35518</v>
      </c>
      <c r="D69" s="14" t="s">
        <v>291</v>
      </c>
      <c r="E69" s="112"/>
      <c r="F69" s="139" t="s">
        <v>292</v>
      </c>
      <c r="G69" s="140"/>
      <c r="H69" s="140"/>
      <c r="I69" s="26">
        <v>31008</v>
      </c>
      <c r="J69" s="117"/>
      <c r="K69" s="120"/>
      <c r="L69" s="182"/>
      <c r="M69" s="120"/>
      <c r="N69" s="182"/>
      <c r="O69" s="120"/>
      <c r="P69" s="182"/>
      <c r="Q69" s="120"/>
      <c r="R69" s="182"/>
      <c r="S69" s="120"/>
      <c r="T69" s="182"/>
      <c r="U69" s="120"/>
      <c r="V69" s="182"/>
      <c r="W69" s="125"/>
      <c r="X69" s="144" t="s">
        <v>293</v>
      </c>
      <c r="Y69" s="287"/>
      <c r="Z69" s="287"/>
      <c r="AA69" s="287"/>
      <c r="AB69" s="287"/>
      <c r="AC69" s="16" t="s">
        <v>21</v>
      </c>
      <c r="AD69" s="50"/>
      <c r="AE69" s="145" t="s">
        <v>285</v>
      </c>
      <c r="AF69" s="146"/>
      <c r="AG69" s="146"/>
      <c r="AH69" s="146"/>
      <c r="AI69" s="147"/>
      <c r="AJ69" s="148"/>
      <c r="AK69" s="143"/>
      <c r="AL69" s="143"/>
      <c r="AM69" s="22"/>
      <c r="AN69" s="288"/>
      <c r="AO69" s="287"/>
      <c r="AP69" s="148"/>
      <c r="AQ69" s="144"/>
      <c r="AR69" s="120"/>
      <c r="AS69" s="182"/>
      <c r="AT69" s="120"/>
      <c r="AU69" s="182"/>
      <c r="AV69" s="120"/>
      <c r="AW69" s="182"/>
      <c r="AX69" s="120"/>
      <c r="AY69" s="121"/>
      <c r="AZ69" s="201"/>
    </row>
    <row r="70" spans="1:52" ht="17.100000000000001" customHeight="1" thickTop="1">
      <c r="A70" s="109" t="s">
        <v>5772</v>
      </c>
      <c r="B70" s="28">
        <v>42453</v>
      </c>
      <c r="C70" s="29" t="s">
        <v>294</v>
      </c>
      <c r="D70" s="13" t="s">
        <v>295</v>
      </c>
      <c r="E70" s="111"/>
      <c r="F70" s="283" t="s">
        <v>296</v>
      </c>
      <c r="G70" s="273"/>
      <c r="H70" s="273"/>
      <c r="I70" s="24"/>
      <c r="J70" s="116"/>
      <c r="K70" s="118">
        <v>820000</v>
      </c>
      <c r="L70" s="210"/>
      <c r="M70" s="118">
        <v>65600</v>
      </c>
      <c r="N70" s="210"/>
      <c r="O70" s="118"/>
      <c r="P70" s="210"/>
      <c r="Q70" s="118">
        <v>16190</v>
      </c>
      <c r="R70" s="210"/>
      <c r="S70" s="118">
        <v>12960</v>
      </c>
      <c r="T70" s="210"/>
      <c r="U70" s="118">
        <f>SUM(K70:T70)</f>
        <v>914750</v>
      </c>
      <c r="V70" s="210"/>
      <c r="W70" s="124">
        <v>200000</v>
      </c>
      <c r="X70" s="224" t="s">
        <v>297</v>
      </c>
      <c r="Y70" s="215"/>
      <c r="Z70" s="215"/>
      <c r="AA70" s="215"/>
      <c r="AB70" s="215"/>
      <c r="AC70" s="15" t="s">
        <v>20</v>
      </c>
      <c r="AD70" s="294"/>
      <c r="AE70" s="295"/>
      <c r="AF70" s="295"/>
      <c r="AG70" s="295"/>
      <c r="AH70" s="295"/>
      <c r="AI70" s="296"/>
      <c r="AJ70" s="132"/>
      <c r="AK70" s="127"/>
      <c r="AL70" s="127"/>
      <c r="AM70" s="21"/>
      <c r="AN70" s="289"/>
      <c r="AO70" s="290"/>
      <c r="AP70" s="135"/>
      <c r="AQ70" s="136"/>
      <c r="AR70" s="118"/>
      <c r="AS70" s="210"/>
      <c r="AT70" s="180">
        <f>AR70*0.1</f>
        <v>0</v>
      </c>
      <c r="AU70" s="181"/>
      <c r="AV70" s="118"/>
      <c r="AW70" s="210"/>
      <c r="AX70" s="118">
        <f>SUM(AR70:AW70)</f>
        <v>0</v>
      </c>
      <c r="AY70" s="119"/>
      <c r="AZ70" s="200"/>
    </row>
    <row r="71" spans="1:52" ht="17.100000000000001" customHeight="1" thickBot="1">
      <c r="A71" s="110"/>
      <c r="B71" s="27" t="s">
        <v>148</v>
      </c>
      <c r="C71" s="27">
        <v>70730</v>
      </c>
      <c r="D71" s="14" t="s">
        <v>206</v>
      </c>
      <c r="E71" s="112"/>
      <c r="F71" s="139" t="s">
        <v>298</v>
      </c>
      <c r="G71" s="140"/>
      <c r="H71" s="140"/>
      <c r="I71" s="26">
        <v>46600</v>
      </c>
      <c r="J71" s="117"/>
      <c r="K71" s="120"/>
      <c r="L71" s="182"/>
      <c r="M71" s="120"/>
      <c r="N71" s="182"/>
      <c r="O71" s="120"/>
      <c r="P71" s="182"/>
      <c r="Q71" s="120"/>
      <c r="R71" s="182"/>
      <c r="S71" s="120"/>
      <c r="T71" s="182"/>
      <c r="U71" s="120"/>
      <c r="V71" s="182"/>
      <c r="W71" s="125"/>
      <c r="X71" s="144" t="s">
        <v>299</v>
      </c>
      <c r="Y71" s="287"/>
      <c r="Z71" s="287"/>
      <c r="AA71" s="287"/>
      <c r="AB71" s="287"/>
      <c r="AC71" s="16" t="s">
        <v>21</v>
      </c>
      <c r="AD71" s="50"/>
      <c r="AE71" s="145" t="s">
        <v>285</v>
      </c>
      <c r="AF71" s="146"/>
      <c r="AG71" s="146"/>
      <c r="AH71" s="146"/>
      <c r="AI71" s="147"/>
      <c r="AJ71" s="148"/>
      <c r="AK71" s="143"/>
      <c r="AL71" s="143"/>
      <c r="AM71" s="22"/>
      <c r="AN71" s="288"/>
      <c r="AO71" s="287"/>
      <c r="AP71" s="148"/>
      <c r="AQ71" s="144"/>
      <c r="AR71" s="120"/>
      <c r="AS71" s="182"/>
      <c r="AT71" s="120"/>
      <c r="AU71" s="182"/>
      <c r="AV71" s="120"/>
      <c r="AW71" s="182"/>
      <c r="AX71" s="120"/>
      <c r="AY71" s="121"/>
      <c r="AZ71" s="201"/>
    </row>
    <row r="72" spans="1:52" ht="17.100000000000001" customHeight="1" thickTop="1">
      <c r="A72" s="109" t="s">
        <v>5773</v>
      </c>
      <c r="B72" s="28">
        <v>42516</v>
      </c>
      <c r="C72" s="29" t="s">
        <v>300</v>
      </c>
      <c r="D72" s="13" t="s">
        <v>301</v>
      </c>
      <c r="E72" s="111"/>
      <c r="F72" s="283" t="s">
        <v>302</v>
      </c>
      <c r="G72" s="273"/>
      <c r="H72" s="273"/>
      <c r="I72" s="24"/>
      <c r="J72" s="116"/>
      <c r="K72" s="118">
        <v>1705000</v>
      </c>
      <c r="L72" s="210"/>
      <c r="M72" s="118">
        <v>136400</v>
      </c>
      <c r="N72" s="210"/>
      <c r="O72" s="118"/>
      <c r="P72" s="210"/>
      <c r="Q72" s="118">
        <v>19810</v>
      </c>
      <c r="R72" s="210"/>
      <c r="S72" s="118">
        <v>12960</v>
      </c>
      <c r="T72" s="210"/>
      <c r="U72" s="118">
        <f>SUM(K72:T72)</f>
        <v>1874170</v>
      </c>
      <c r="V72" s="210"/>
      <c r="W72" s="124">
        <v>200000</v>
      </c>
      <c r="X72" s="224" t="s">
        <v>303</v>
      </c>
      <c r="Y72" s="215"/>
      <c r="Z72" s="215"/>
      <c r="AA72" s="215"/>
      <c r="AB72" s="215"/>
      <c r="AC72" s="15" t="s">
        <v>20</v>
      </c>
      <c r="AD72" s="294"/>
      <c r="AE72" s="295"/>
      <c r="AF72" s="295"/>
      <c r="AG72" s="295"/>
      <c r="AH72" s="295"/>
      <c r="AI72" s="296"/>
      <c r="AJ72" s="132"/>
      <c r="AK72" s="127"/>
      <c r="AL72" s="127"/>
      <c r="AM72" s="21"/>
      <c r="AN72" s="289"/>
      <c r="AO72" s="290"/>
      <c r="AP72" s="135"/>
      <c r="AQ72" s="136"/>
      <c r="AR72" s="118"/>
      <c r="AS72" s="210"/>
      <c r="AT72" s="180">
        <f>AR72*0.1</f>
        <v>0</v>
      </c>
      <c r="AU72" s="181"/>
      <c r="AV72" s="118"/>
      <c r="AW72" s="210"/>
      <c r="AX72" s="118">
        <f>SUM(AR72:AW72)</f>
        <v>0</v>
      </c>
      <c r="AY72" s="119"/>
      <c r="AZ72" s="200"/>
    </row>
    <row r="73" spans="1:52" ht="17.100000000000001" customHeight="1" thickBot="1">
      <c r="A73" s="110"/>
      <c r="B73" s="27" t="s">
        <v>250</v>
      </c>
      <c r="C73" s="27">
        <v>3</v>
      </c>
      <c r="D73" s="14" t="s">
        <v>304</v>
      </c>
      <c r="E73" s="112"/>
      <c r="F73" s="139" t="s">
        <v>305</v>
      </c>
      <c r="G73" s="140"/>
      <c r="H73" s="140"/>
      <c r="I73" s="26">
        <v>49995</v>
      </c>
      <c r="J73" s="117"/>
      <c r="K73" s="120"/>
      <c r="L73" s="182"/>
      <c r="M73" s="120"/>
      <c r="N73" s="182"/>
      <c r="O73" s="120"/>
      <c r="P73" s="182"/>
      <c r="Q73" s="120"/>
      <c r="R73" s="182"/>
      <c r="S73" s="120"/>
      <c r="T73" s="182"/>
      <c r="U73" s="120"/>
      <c r="V73" s="182"/>
      <c r="W73" s="125"/>
      <c r="X73" s="144" t="s">
        <v>163</v>
      </c>
      <c r="Y73" s="287"/>
      <c r="Z73" s="287"/>
      <c r="AA73" s="287"/>
      <c r="AB73" s="287"/>
      <c r="AC73" s="16" t="s">
        <v>21</v>
      </c>
      <c r="AD73" s="50"/>
      <c r="AE73" s="145" t="s">
        <v>306</v>
      </c>
      <c r="AF73" s="146"/>
      <c r="AG73" s="146"/>
      <c r="AH73" s="146"/>
      <c r="AI73" s="147"/>
      <c r="AJ73" s="148"/>
      <c r="AK73" s="143"/>
      <c r="AL73" s="143"/>
      <c r="AM73" s="22"/>
      <c r="AN73" s="288"/>
      <c r="AO73" s="287"/>
      <c r="AP73" s="148"/>
      <c r="AQ73" s="144"/>
      <c r="AR73" s="120"/>
      <c r="AS73" s="182"/>
      <c r="AT73" s="120"/>
      <c r="AU73" s="182"/>
      <c r="AV73" s="120"/>
      <c r="AW73" s="182"/>
      <c r="AX73" s="120"/>
      <c r="AY73" s="121"/>
      <c r="AZ73" s="201"/>
    </row>
    <row r="74" spans="1:52" ht="17.100000000000001" customHeight="1" thickTop="1">
      <c r="A74" s="109" t="s">
        <v>5774</v>
      </c>
      <c r="B74" s="28">
        <v>42524</v>
      </c>
      <c r="C74" s="29" t="s">
        <v>307</v>
      </c>
      <c r="D74" s="13" t="s">
        <v>308</v>
      </c>
      <c r="E74" s="111"/>
      <c r="F74" s="283" t="s">
        <v>309</v>
      </c>
      <c r="G74" s="273"/>
      <c r="H74" s="273"/>
      <c r="I74" s="24" t="s">
        <v>310</v>
      </c>
      <c r="J74" s="116"/>
      <c r="K74" s="118">
        <v>958000</v>
      </c>
      <c r="L74" s="210"/>
      <c r="M74" s="118">
        <v>76640</v>
      </c>
      <c r="N74" s="210"/>
      <c r="O74" s="118">
        <v>29600</v>
      </c>
      <c r="P74" s="210"/>
      <c r="Q74" s="118">
        <v>18990</v>
      </c>
      <c r="R74" s="210"/>
      <c r="S74" s="118">
        <v>12960</v>
      </c>
      <c r="T74" s="210"/>
      <c r="U74" s="118">
        <f>SUM(K74:T74)</f>
        <v>1096190</v>
      </c>
      <c r="V74" s="210"/>
      <c r="W74" s="124">
        <v>250000</v>
      </c>
      <c r="X74" s="224" t="s">
        <v>311</v>
      </c>
      <c r="Y74" s="215"/>
      <c r="Z74" s="215"/>
      <c r="AA74" s="215"/>
      <c r="AB74" s="215"/>
      <c r="AC74" s="15" t="s">
        <v>20</v>
      </c>
      <c r="AD74" s="294"/>
      <c r="AE74" s="295"/>
      <c r="AF74" s="295"/>
      <c r="AG74" s="295"/>
      <c r="AH74" s="295"/>
      <c r="AI74" s="296"/>
      <c r="AJ74" s="132"/>
      <c r="AK74" s="127"/>
      <c r="AL74" s="127"/>
      <c r="AM74" s="21"/>
      <c r="AN74" s="289"/>
      <c r="AO74" s="290"/>
      <c r="AP74" s="135"/>
      <c r="AQ74" s="136"/>
      <c r="AR74" s="118"/>
      <c r="AS74" s="210"/>
      <c r="AT74" s="180">
        <f>AR74*0.1</f>
        <v>0</v>
      </c>
      <c r="AU74" s="181"/>
      <c r="AV74" s="118"/>
      <c r="AW74" s="210"/>
      <c r="AX74" s="118">
        <f>SUM(AR74:AW74)</f>
        <v>0</v>
      </c>
      <c r="AY74" s="119"/>
      <c r="AZ74" s="200"/>
    </row>
    <row r="75" spans="1:52" ht="17.100000000000001" customHeight="1" thickBot="1">
      <c r="A75" s="110"/>
      <c r="B75" s="27" t="s">
        <v>205</v>
      </c>
      <c r="C75" s="27">
        <v>20851</v>
      </c>
      <c r="D75" s="14" t="s">
        <v>66</v>
      </c>
      <c r="E75" s="112"/>
      <c r="F75" s="139" t="s">
        <v>312</v>
      </c>
      <c r="G75" s="140"/>
      <c r="H75" s="140"/>
      <c r="I75" s="26">
        <v>58387</v>
      </c>
      <c r="J75" s="117"/>
      <c r="K75" s="120"/>
      <c r="L75" s="182"/>
      <c r="M75" s="120"/>
      <c r="N75" s="182"/>
      <c r="O75" s="120"/>
      <c r="P75" s="182"/>
      <c r="Q75" s="120"/>
      <c r="R75" s="182"/>
      <c r="S75" s="120"/>
      <c r="T75" s="182"/>
      <c r="U75" s="120"/>
      <c r="V75" s="182"/>
      <c r="W75" s="125"/>
      <c r="X75" s="144" t="s">
        <v>313</v>
      </c>
      <c r="Y75" s="287"/>
      <c r="Z75" s="287"/>
      <c r="AA75" s="287"/>
      <c r="AB75" s="287"/>
      <c r="AC75" s="16" t="s">
        <v>21</v>
      </c>
      <c r="AD75" s="50"/>
      <c r="AE75" s="145"/>
      <c r="AF75" s="146"/>
      <c r="AG75" s="146"/>
      <c r="AH75" s="146"/>
      <c r="AI75" s="147"/>
      <c r="AJ75" s="148"/>
      <c r="AK75" s="143"/>
      <c r="AL75" s="143"/>
      <c r="AM75" s="22" t="s">
        <v>51</v>
      </c>
      <c r="AN75" s="288"/>
      <c r="AO75" s="287"/>
      <c r="AP75" s="148"/>
      <c r="AQ75" s="144"/>
      <c r="AR75" s="120"/>
      <c r="AS75" s="182"/>
      <c r="AT75" s="120"/>
      <c r="AU75" s="182"/>
      <c r="AV75" s="120"/>
      <c r="AW75" s="182"/>
      <c r="AX75" s="120"/>
      <c r="AY75" s="121"/>
      <c r="AZ75" s="201"/>
    </row>
    <row r="76" spans="1:52" ht="17.100000000000001" customHeight="1" thickTop="1">
      <c r="A76" s="109" t="s">
        <v>5775</v>
      </c>
      <c r="B76" s="28">
        <v>42532</v>
      </c>
      <c r="C76" s="29" t="s">
        <v>314</v>
      </c>
      <c r="D76" s="13" t="s">
        <v>238</v>
      </c>
      <c r="E76" s="111"/>
      <c r="F76" s="283" t="s">
        <v>315</v>
      </c>
      <c r="G76" s="273"/>
      <c r="H76" s="273"/>
      <c r="I76" s="24" t="s">
        <v>316</v>
      </c>
      <c r="J76" s="116"/>
      <c r="K76" s="118">
        <v>174000</v>
      </c>
      <c r="L76" s="210"/>
      <c r="M76" s="118">
        <v>13920</v>
      </c>
      <c r="N76" s="210"/>
      <c r="O76" s="118">
        <v>49800</v>
      </c>
      <c r="P76" s="210"/>
      <c r="Q76" s="118">
        <v>15590</v>
      </c>
      <c r="R76" s="210"/>
      <c r="S76" s="118">
        <v>11880</v>
      </c>
      <c r="T76" s="210"/>
      <c r="U76" s="118">
        <f>SUM(K76:T76)</f>
        <v>265190</v>
      </c>
      <c r="V76" s="210"/>
      <c r="W76" s="124"/>
      <c r="X76" s="224" t="s">
        <v>317</v>
      </c>
      <c r="Y76" s="215"/>
      <c r="Z76" s="215"/>
      <c r="AA76" s="215"/>
      <c r="AB76" s="215"/>
      <c r="AC76" s="15" t="s">
        <v>20</v>
      </c>
      <c r="AD76" s="294"/>
      <c r="AE76" s="295"/>
      <c r="AF76" s="295"/>
      <c r="AG76" s="295"/>
      <c r="AH76" s="295"/>
      <c r="AI76" s="296"/>
      <c r="AJ76" s="132"/>
      <c r="AK76" s="127"/>
      <c r="AL76" s="127"/>
      <c r="AM76" s="21"/>
      <c r="AN76" s="289"/>
      <c r="AO76" s="290"/>
      <c r="AP76" s="135"/>
      <c r="AQ76" s="136"/>
      <c r="AR76" s="118"/>
      <c r="AS76" s="210"/>
      <c r="AT76" s="180">
        <f>AR76*0.1</f>
        <v>0</v>
      </c>
      <c r="AU76" s="181"/>
      <c r="AV76" s="118"/>
      <c r="AW76" s="210"/>
      <c r="AX76" s="118">
        <f>SUM(AR76:AW76)</f>
        <v>0</v>
      </c>
      <c r="AY76" s="119"/>
      <c r="AZ76" s="200"/>
    </row>
    <row r="77" spans="1:52" ht="17.100000000000001" customHeight="1" thickBot="1">
      <c r="A77" s="110"/>
      <c r="B77" s="27" t="s">
        <v>46</v>
      </c>
      <c r="C77" s="27">
        <v>10284</v>
      </c>
      <c r="D77" s="14" t="s">
        <v>66</v>
      </c>
      <c r="E77" s="112"/>
      <c r="F77" s="139" t="s">
        <v>318</v>
      </c>
      <c r="G77" s="140"/>
      <c r="H77" s="140"/>
      <c r="I77" s="26">
        <v>67839</v>
      </c>
      <c r="J77" s="117"/>
      <c r="K77" s="120"/>
      <c r="L77" s="182"/>
      <c r="M77" s="120"/>
      <c r="N77" s="182"/>
      <c r="O77" s="120"/>
      <c r="P77" s="182"/>
      <c r="Q77" s="120"/>
      <c r="R77" s="182"/>
      <c r="S77" s="120"/>
      <c r="T77" s="182"/>
      <c r="U77" s="120"/>
      <c r="V77" s="182"/>
      <c r="W77" s="125"/>
      <c r="X77" s="144" t="s">
        <v>319</v>
      </c>
      <c r="Y77" s="287"/>
      <c r="Z77" s="287"/>
      <c r="AA77" s="287"/>
      <c r="AB77" s="287"/>
      <c r="AC77" s="16" t="s">
        <v>21</v>
      </c>
      <c r="AD77" s="50"/>
      <c r="AE77" s="145" t="s">
        <v>285</v>
      </c>
      <c r="AF77" s="146"/>
      <c r="AG77" s="146"/>
      <c r="AH77" s="146"/>
      <c r="AI77" s="147"/>
      <c r="AJ77" s="148"/>
      <c r="AK77" s="143"/>
      <c r="AL77" s="143"/>
      <c r="AM77" s="22" t="s">
        <v>51</v>
      </c>
      <c r="AN77" s="288"/>
      <c r="AO77" s="287"/>
      <c r="AP77" s="148"/>
      <c r="AQ77" s="144"/>
      <c r="AR77" s="120"/>
      <c r="AS77" s="182"/>
      <c r="AT77" s="120"/>
      <c r="AU77" s="182"/>
      <c r="AV77" s="120"/>
      <c r="AW77" s="182"/>
      <c r="AX77" s="120"/>
      <c r="AY77" s="121"/>
      <c r="AZ77" s="201"/>
    </row>
    <row r="78" spans="1:52" ht="17.100000000000001" customHeight="1" thickTop="1">
      <c r="A78" s="109" t="s">
        <v>5776</v>
      </c>
      <c r="B78" s="28">
        <v>42578</v>
      </c>
      <c r="C78" s="29" t="s">
        <v>320</v>
      </c>
      <c r="D78" s="13" t="s">
        <v>321</v>
      </c>
      <c r="E78" s="111"/>
      <c r="F78" s="283" t="s">
        <v>322</v>
      </c>
      <c r="G78" s="273"/>
      <c r="H78" s="273"/>
      <c r="I78" s="24" t="s">
        <v>323</v>
      </c>
      <c r="J78" s="116"/>
      <c r="K78" s="118">
        <v>1643000</v>
      </c>
      <c r="L78" s="210"/>
      <c r="M78" s="118">
        <v>131440</v>
      </c>
      <c r="N78" s="210"/>
      <c r="O78" s="118">
        <v>26300</v>
      </c>
      <c r="P78" s="210"/>
      <c r="Q78" s="118">
        <v>18870</v>
      </c>
      <c r="R78" s="210"/>
      <c r="S78" s="118">
        <v>13500</v>
      </c>
      <c r="T78" s="210"/>
      <c r="U78" s="118">
        <f>SUM(K78:T78)</f>
        <v>1833110</v>
      </c>
      <c r="V78" s="210"/>
      <c r="W78" s="124">
        <v>500000</v>
      </c>
      <c r="X78" s="224" t="s">
        <v>324</v>
      </c>
      <c r="Y78" s="215"/>
      <c r="Z78" s="215"/>
      <c r="AA78" s="215"/>
      <c r="AB78" s="215"/>
      <c r="AC78" s="15" t="s">
        <v>20</v>
      </c>
      <c r="AD78" s="294"/>
      <c r="AE78" s="295"/>
      <c r="AF78" s="295"/>
      <c r="AG78" s="295"/>
      <c r="AH78" s="295"/>
      <c r="AI78" s="296"/>
      <c r="AJ78" s="132"/>
      <c r="AK78" s="127"/>
      <c r="AL78" s="127"/>
      <c r="AM78" s="21"/>
      <c r="AN78" s="289"/>
      <c r="AO78" s="290"/>
      <c r="AP78" s="135"/>
      <c r="AQ78" s="136"/>
      <c r="AR78" s="118"/>
      <c r="AS78" s="210"/>
      <c r="AT78" s="180">
        <f>AR78*0.1</f>
        <v>0</v>
      </c>
      <c r="AU78" s="181"/>
      <c r="AV78" s="118"/>
      <c r="AW78" s="210"/>
      <c r="AX78" s="118">
        <f>SUM(AR78:AW78)</f>
        <v>0</v>
      </c>
      <c r="AY78" s="119"/>
      <c r="AZ78" s="200"/>
    </row>
    <row r="79" spans="1:52" ht="17.100000000000001" customHeight="1" thickBot="1">
      <c r="A79" s="110"/>
      <c r="B79" s="27" t="s">
        <v>325</v>
      </c>
      <c r="C79" s="27">
        <v>7175</v>
      </c>
      <c r="D79" s="14" t="s">
        <v>326</v>
      </c>
      <c r="E79" s="112"/>
      <c r="F79" s="139" t="s">
        <v>327</v>
      </c>
      <c r="G79" s="140"/>
      <c r="H79" s="140"/>
      <c r="I79" s="26">
        <v>46424</v>
      </c>
      <c r="J79" s="117"/>
      <c r="K79" s="120"/>
      <c r="L79" s="182"/>
      <c r="M79" s="120"/>
      <c r="N79" s="182"/>
      <c r="O79" s="120"/>
      <c r="P79" s="182"/>
      <c r="Q79" s="120"/>
      <c r="R79" s="182"/>
      <c r="S79" s="120"/>
      <c r="T79" s="182"/>
      <c r="U79" s="120"/>
      <c r="V79" s="182"/>
      <c r="W79" s="125"/>
      <c r="X79" s="144" t="s">
        <v>328</v>
      </c>
      <c r="Y79" s="287"/>
      <c r="Z79" s="287"/>
      <c r="AA79" s="287"/>
      <c r="AB79" s="287"/>
      <c r="AC79" s="16" t="s">
        <v>21</v>
      </c>
      <c r="AD79" s="50"/>
      <c r="AE79" s="145" t="s">
        <v>185</v>
      </c>
      <c r="AF79" s="146"/>
      <c r="AG79" s="146"/>
      <c r="AH79" s="146"/>
      <c r="AI79" s="147"/>
      <c r="AJ79" s="148"/>
      <c r="AK79" s="143"/>
      <c r="AL79" s="143"/>
      <c r="AM79" s="22"/>
      <c r="AN79" s="288"/>
      <c r="AO79" s="287"/>
      <c r="AP79" s="148"/>
      <c r="AQ79" s="144"/>
      <c r="AR79" s="120"/>
      <c r="AS79" s="182"/>
      <c r="AT79" s="120"/>
      <c r="AU79" s="182"/>
      <c r="AV79" s="120"/>
      <c r="AW79" s="182"/>
      <c r="AX79" s="120"/>
      <c r="AY79" s="121"/>
      <c r="AZ79" s="201"/>
    </row>
    <row r="80" spans="1:52" ht="17.100000000000001" customHeight="1" thickTop="1">
      <c r="A80" s="109" t="s">
        <v>5777</v>
      </c>
      <c r="B80" s="28">
        <v>42581</v>
      </c>
      <c r="C80" s="29" t="s">
        <v>329</v>
      </c>
      <c r="D80" s="13" t="s">
        <v>330</v>
      </c>
      <c r="E80" s="111"/>
      <c r="F80" s="283" t="s">
        <v>280</v>
      </c>
      <c r="G80" s="273"/>
      <c r="H80" s="273"/>
      <c r="I80" s="24" t="s">
        <v>331</v>
      </c>
      <c r="J80" s="116"/>
      <c r="K80" s="118">
        <v>460000</v>
      </c>
      <c r="L80" s="210"/>
      <c r="M80" s="118">
        <v>36800</v>
      </c>
      <c r="N80" s="210"/>
      <c r="O80" s="118">
        <v>26300</v>
      </c>
      <c r="P80" s="210"/>
      <c r="Q80" s="118">
        <v>15890</v>
      </c>
      <c r="R80" s="210"/>
      <c r="S80" s="118">
        <v>23760</v>
      </c>
      <c r="T80" s="210"/>
      <c r="U80" s="118">
        <f>SUM(K80:T80)</f>
        <v>562750</v>
      </c>
      <c r="V80" s="210"/>
      <c r="W80" s="124">
        <v>50000</v>
      </c>
      <c r="X80" s="224" t="s">
        <v>332</v>
      </c>
      <c r="Y80" s="215"/>
      <c r="Z80" s="215"/>
      <c r="AA80" s="215"/>
      <c r="AB80" s="215"/>
      <c r="AC80" s="15" t="s">
        <v>20</v>
      </c>
      <c r="AD80" s="294"/>
      <c r="AE80" s="295"/>
      <c r="AF80" s="295"/>
      <c r="AG80" s="295"/>
      <c r="AH80" s="295"/>
      <c r="AI80" s="296"/>
      <c r="AJ80" s="132"/>
      <c r="AK80" s="127"/>
      <c r="AL80" s="127"/>
      <c r="AM80" s="21"/>
      <c r="AN80" s="289"/>
      <c r="AO80" s="290"/>
      <c r="AP80" s="135"/>
      <c r="AQ80" s="136"/>
      <c r="AR80" s="118"/>
      <c r="AS80" s="210"/>
      <c r="AT80" s="180">
        <f>AR80*0.1</f>
        <v>0</v>
      </c>
      <c r="AU80" s="181"/>
      <c r="AV80" s="118"/>
      <c r="AW80" s="210"/>
      <c r="AX80" s="118">
        <f>SUM(AR80:AW80)</f>
        <v>0</v>
      </c>
      <c r="AY80" s="119"/>
      <c r="AZ80" s="200"/>
    </row>
    <row r="81" spans="1:52" ht="17.100000000000001" customHeight="1" thickBot="1">
      <c r="A81" s="110"/>
      <c r="B81" s="27" t="s">
        <v>333</v>
      </c>
      <c r="C81" s="27">
        <v>5506</v>
      </c>
      <c r="D81" s="14" t="s">
        <v>66</v>
      </c>
      <c r="E81" s="112"/>
      <c r="F81" s="139" t="s">
        <v>334</v>
      </c>
      <c r="G81" s="140"/>
      <c r="H81" s="140"/>
      <c r="I81" s="26">
        <v>47436</v>
      </c>
      <c r="J81" s="117"/>
      <c r="K81" s="120"/>
      <c r="L81" s="182"/>
      <c r="M81" s="120"/>
      <c r="N81" s="182"/>
      <c r="O81" s="120"/>
      <c r="P81" s="182"/>
      <c r="Q81" s="120"/>
      <c r="R81" s="182"/>
      <c r="S81" s="120"/>
      <c r="T81" s="182"/>
      <c r="U81" s="120"/>
      <c r="V81" s="182"/>
      <c r="W81" s="125"/>
      <c r="X81" s="144" t="s">
        <v>335</v>
      </c>
      <c r="Y81" s="287"/>
      <c r="Z81" s="287"/>
      <c r="AA81" s="287"/>
      <c r="AB81" s="287"/>
      <c r="AC81" s="16" t="s">
        <v>21</v>
      </c>
      <c r="AD81" s="50"/>
      <c r="AE81" s="145" t="s">
        <v>285</v>
      </c>
      <c r="AF81" s="146"/>
      <c r="AG81" s="146"/>
      <c r="AH81" s="146"/>
      <c r="AI81" s="147"/>
      <c r="AJ81" s="148"/>
      <c r="AK81" s="143"/>
      <c r="AL81" s="143"/>
      <c r="AM81" s="22"/>
      <c r="AN81" s="288"/>
      <c r="AO81" s="287"/>
      <c r="AP81" s="148"/>
      <c r="AQ81" s="144"/>
      <c r="AR81" s="120"/>
      <c r="AS81" s="182"/>
      <c r="AT81" s="120"/>
      <c r="AU81" s="182"/>
      <c r="AV81" s="120"/>
      <c r="AW81" s="182"/>
      <c r="AX81" s="120"/>
      <c r="AY81" s="121"/>
      <c r="AZ81" s="201"/>
    </row>
    <row r="82" spans="1:52" ht="17.100000000000001" customHeight="1" thickTop="1">
      <c r="A82" s="109" t="s">
        <v>5778</v>
      </c>
      <c r="B82" s="28">
        <v>42619</v>
      </c>
      <c r="C82" s="29" t="s">
        <v>336</v>
      </c>
      <c r="D82" s="13" t="s">
        <v>337</v>
      </c>
      <c r="E82" s="111"/>
      <c r="F82" s="283" t="s">
        <v>338</v>
      </c>
      <c r="G82" s="273"/>
      <c r="H82" s="273"/>
      <c r="I82" s="24"/>
      <c r="J82" s="116"/>
      <c r="K82" s="118">
        <v>987000</v>
      </c>
      <c r="L82" s="210"/>
      <c r="M82" s="118">
        <v>78960</v>
      </c>
      <c r="N82" s="210"/>
      <c r="O82" s="118"/>
      <c r="P82" s="210"/>
      <c r="Q82" s="118">
        <v>23900</v>
      </c>
      <c r="R82" s="210"/>
      <c r="S82" s="118">
        <v>9720</v>
      </c>
      <c r="T82" s="210"/>
      <c r="U82" s="118">
        <f>SUM(K82:T82)</f>
        <v>1099580</v>
      </c>
      <c r="V82" s="210"/>
      <c r="W82" s="124">
        <v>500000</v>
      </c>
      <c r="X82" s="224" t="s">
        <v>339</v>
      </c>
      <c r="Y82" s="215"/>
      <c r="Z82" s="215"/>
      <c r="AA82" s="215"/>
      <c r="AB82" s="215"/>
      <c r="AC82" s="15" t="s">
        <v>20</v>
      </c>
      <c r="AD82" s="129"/>
      <c r="AE82" s="130"/>
      <c r="AF82" s="130"/>
      <c r="AG82" s="130"/>
      <c r="AH82" s="130"/>
      <c r="AI82" s="131"/>
      <c r="AJ82" s="132"/>
      <c r="AK82" s="127"/>
      <c r="AL82" s="127"/>
      <c r="AM82" s="21"/>
      <c r="AN82" s="289"/>
      <c r="AO82" s="290"/>
      <c r="AP82" s="135"/>
      <c r="AQ82" s="136"/>
      <c r="AR82" s="118"/>
      <c r="AS82" s="210"/>
      <c r="AT82" s="180">
        <f>AR82*0.1</f>
        <v>0</v>
      </c>
      <c r="AU82" s="181"/>
      <c r="AV82" s="118"/>
      <c r="AW82" s="210"/>
      <c r="AX82" s="118">
        <f>SUM(AR82:AW82)</f>
        <v>0</v>
      </c>
      <c r="AY82" s="119"/>
      <c r="AZ82" s="200"/>
    </row>
    <row r="83" spans="1:52" ht="17.100000000000001" customHeight="1" thickBot="1">
      <c r="A83" s="110"/>
      <c r="B83" s="27" t="s">
        <v>340</v>
      </c>
      <c r="C83" s="27">
        <v>5005</v>
      </c>
      <c r="D83" s="14" t="s">
        <v>66</v>
      </c>
      <c r="E83" s="112"/>
      <c r="F83" s="139" t="s">
        <v>341</v>
      </c>
      <c r="G83" s="140"/>
      <c r="H83" s="140"/>
      <c r="I83" s="26">
        <v>36892</v>
      </c>
      <c r="J83" s="117"/>
      <c r="K83" s="120"/>
      <c r="L83" s="182"/>
      <c r="M83" s="120"/>
      <c r="N83" s="182"/>
      <c r="O83" s="120"/>
      <c r="P83" s="182"/>
      <c r="Q83" s="120"/>
      <c r="R83" s="182"/>
      <c r="S83" s="120"/>
      <c r="T83" s="182"/>
      <c r="U83" s="120"/>
      <c r="V83" s="182"/>
      <c r="W83" s="125"/>
      <c r="X83" s="144" t="s">
        <v>342</v>
      </c>
      <c r="Y83" s="287"/>
      <c r="Z83" s="287"/>
      <c r="AA83" s="287"/>
      <c r="AB83" s="287"/>
      <c r="AC83" s="16" t="s">
        <v>21</v>
      </c>
      <c r="AD83" s="17"/>
      <c r="AE83" s="145"/>
      <c r="AF83" s="146"/>
      <c r="AG83" s="146"/>
      <c r="AH83" s="146"/>
      <c r="AI83" s="147"/>
      <c r="AJ83" s="148"/>
      <c r="AK83" s="143"/>
      <c r="AL83" s="143"/>
      <c r="AM83" s="22"/>
      <c r="AN83" s="288"/>
      <c r="AO83" s="287"/>
      <c r="AP83" s="148"/>
      <c r="AQ83" s="144"/>
      <c r="AR83" s="120"/>
      <c r="AS83" s="182"/>
      <c r="AT83" s="120"/>
      <c r="AU83" s="182"/>
      <c r="AV83" s="120"/>
      <c r="AW83" s="182"/>
      <c r="AX83" s="120"/>
      <c r="AY83" s="121"/>
      <c r="AZ83" s="201"/>
    </row>
    <row r="84" spans="1:52" ht="17.100000000000001" customHeight="1" thickTop="1">
      <c r="A84" s="109" t="s">
        <v>5779</v>
      </c>
      <c r="B84" s="28">
        <v>42621</v>
      </c>
      <c r="C84" s="29"/>
      <c r="D84" s="13" t="s">
        <v>343</v>
      </c>
      <c r="E84" s="111"/>
      <c r="F84" s="283" t="s">
        <v>344</v>
      </c>
      <c r="G84" s="273"/>
      <c r="H84" s="273"/>
      <c r="I84" s="24" t="s">
        <v>316</v>
      </c>
      <c r="J84" s="116"/>
      <c r="K84" s="118">
        <v>2230000</v>
      </c>
      <c r="L84" s="210"/>
      <c r="M84" s="118"/>
      <c r="N84" s="210"/>
      <c r="O84" s="118"/>
      <c r="P84" s="210"/>
      <c r="Q84" s="118"/>
      <c r="R84" s="210"/>
      <c r="S84" s="118">
        <v>648</v>
      </c>
      <c r="T84" s="210"/>
      <c r="U84" s="118">
        <f>SUM(K84:T84)</f>
        <v>2230648</v>
      </c>
      <c r="V84" s="210"/>
      <c r="W84" s="124">
        <v>500000</v>
      </c>
      <c r="X84" s="224" t="s">
        <v>345</v>
      </c>
      <c r="Y84" s="215"/>
      <c r="Z84" s="215"/>
      <c r="AA84" s="215"/>
      <c r="AB84" s="215"/>
      <c r="AC84" s="15" t="s">
        <v>20</v>
      </c>
      <c r="AD84" s="294"/>
      <c r="AE84" s="295"/>
      <c r="AF84" s="295"/>
      <c r="AG84" s="295"/>
      <c r="AH84" s="295"/>
      <c r="AI84" s="296"/>
      <c r="AJ84" s="132"/>
      <c r="AK84" s="127"/>
      <c r="AL84" s="127"/>
      <c r="AM84" s="21"/>
      <c r="AN84" s="289"/>
      <c r="AO84" s="290"/>
      <c r="AP84" s="135"/>
      <c r="AQ84" s="136"/>
      <c r="AR84" s="118"/>
      <c r="AS84" s="210"/>
      <c r="AT84" s="180">
        <f>AR84*0.1</f>
        <v>0</v>
      </c>
      <c r="AU84" s="181"/>
      <c r="AV84" s="118"/>
      <c r="AW84" s="210"/>
      <c r="AX84" s="118">
        <f>SUM(AR84:AW84)</f>
        <v>0</v>
      </c>
      <c r="AY84" s="119"/>
      <c r="AZ84" s="200"/>
    </row>
    <row r="85" spans="1:52" ht="17.100000000000001" customHeight="1" thickBot="1">
      <c r="A85" s="110"/>
      <c r="B85" s="27" t="s">
        <v>346</v>
      </c>
      <c r="C85" s="27"/>
      <c r="D85" s="14" t="s">
        <v>347</v>
      </c>
      <c r="E85" s="112"/>
      <c r="F85" s="139">
        <v>227012252</v>
      </c>
      <c r="G85" s="140"/>
      <c r="H85" s="140"/>
      <c r="I85" s="26"/>
      <c r="J85" s="117"/>
      <c r="K85" s="120"/>
      <c r="L85" s="182"/>
      <c r="M85" s="120"/>
      <c r="N85" s="182"/>
      <c r="O85" s="120"/>
      <c r="P85" s="182"/>
      <c r="Q85" s="120"/>
      <c r="R85" s="182"/>
      <c r="S85" s="120"/>
      <c r="T85" s="182"/>
      <c r="U85" s="120"/>
      <c r="V85" s="182"/>
      <c r="W85" s="125"/>
      <c r="X85" s="144" t="s">
        <v>348</v>
      </c>
      <c r="Y85" s="287"/>
      <c r="Z85" s="287"/>
      <c r="AA85" s="287"/>
      <c r="AB85" s="287"/>
      <c r="AC85" s="16" t="s">
        <v>21</v>
      </c>
      <c r="AD85" s="50"/>
      <c r="AE85" s="145"/>
      <c r="AF85" s="146"/>
      <c r="AG85" s="146"/>
      <c r="AH85" s="146"/>
      <c r="AI85" s="147"/>
      <c r="AJ85" s="148"/>
      <c r="AK85" s="143"/>
      <c r="AL85" s="143"/>
      <c r="AM85" s="22" t="s">
        <v>51</v>
      </c>
      <c r="AN85" s="288"/>
      <c r="AO85" s="287"/>
      <c r="AP85" s="148"/>
      <c r="AQ85" s="144"/>
      <c r="AR85" s="120"/>
      <c r="AS85" s="182"/>
      <c r="AT85" s="120"/>
      <c r="AU85" s="182"/>
      <c r="AV85" s="120"/>
      <c r="AW85" s="182"/>
      <c r="AX85" s="120"/>
      <c r="AY85" s="121"/>
      <c r="AZ85" s="201"/>
    </row>
    <row r="86" spans="1:52" ht="17.100000000000001" customHeight="1" thickTop="1">
      <c r="A86" s="109" t="s">
        <v>5780</v>
      </c>
      <c r="B86" s="28">
        <v>42637</v>
      </c>
      <c r="C86" s="29" t="s">
        <v>349</v>
      </c>
      <c r="D86" s="13" t="s">
        <v>350</v>
      </c>
      <c r="E86" s="111"/>
      <c r="F86" s="283" t="s">
        <v>351</v>
      </c>
      <c r="G86" s="273"/>
      <c r="H86" s="273"/>
      <c r="I86" s="24"/>
      <c r="J86" s="116"/>
      <c r="K86" s="118">
        <v>472000</v>
      </c>
      <c r="L86" s="210"/>
      <c r="M86" s="118">
        <v>37760</v>
      </c>
      <c r="N86" s="210"/>
      <c r="O86" s="118"/>
      <c r="P86" s="210"/>
      <c r="Q86" s="118">
        <v>15590</v>
      </c>
      <c r="R86" s="210"/>
      <c r="S86" s="118">
        <v>14580</v>
      </c>
      <c r="T86" s="210"/>
      <c r="U86" s="118">
        <f>SUM(K86:T86)</f>
        <v>539930</v>
      </c>
      <c r="V86" s="210"/>
      <c r="W86" s="124">
        <v>300000</v>
      </c>
      <c r="X86" s="224" t="s">
        <v>352</v>
      </c>
      <c r="Y86" s="215"/>
      <c r="Z86" s="215"/>
      <c r="AA86" s="215"/>
      <c r="AB86" s="215"/>
      <c r="AC86" s="15" t="s">
        <v>20</v>
      </c>
      <c r="AD86" s="294"/>
      <c r="AE86" s="295"/>
      <c r="AF86" s="295"/>
      <c r="AG86" s="295"/>
      <c r="AH86" s="295"/>
      <c r="AI86" s="296"/>
      <c r="AJ86" s="132"/>
      <c r="AK86" s="127"/>
      <c r="AL86" s="127"/>
      <c r="AM86" s="21"/>
      <c r="AN86" s="289"/>
      <c r="AO86" s="290"/>
      <c r="AP86" s="135"/>
      <c r="AQ86" s="136"/>
      <c r="AR86" s="118"/>
      <c r="AS86" s="210"/>
      <c r="AT86" s="180">
        <f>AR86*0.1</f>
        <v>0</v>
      </c>
      <c r="AU86" s="181"/>
      <c r="AV86" s="118"/>
      <c r="AW86" s="210"/>
      <c r="AX86" s="118">
        <f>SUM(AR86:AW86)</f>
        <v>0</v>
      </c>
      <c r="AY86" s="119"/>
      <c r="AZ86" s="200"/>
    </row>
    <row r="87" spans="1:52" ht="17.100000000000001" customHeight="1" thickBot="1">
      <c r="A87" s="110"/>
      <c r="B87" s="27" t="s">
        <v>353</v>
      </c>
      <c r="C87" s="27">
        <v>5049</v>
      </c>
      <c r="D87" s="14" t="s">
        <v>66</v>
      </c>
      <c r="E87" s="112"/>
      <c r="F87" s="139" t="s">
        <v>354</v>
      </c>
      <c r="G87" s="140"/>
      <c r="H87" s="140"/>
      <c r="I87" s="26">
        <v>30492</v>
      </c>
      <c r="J87" s="117"/>
      <c r="K87" s="120"/>
      <c r="L87" s="182"/>
      <c r="M87" s="120"/>
      <c r="N87" s="182"/>
      <c r="O87" s="120"/>
      <c r="P87" s="182"/>
      <c r="Q87" s="120"/>
      <c r="R87" s="182"/>
      <c r="S87" s="120"/>
      <c r="T87" s="182"/>
      <c r="U87" s="120"/>
      <c r="V87" s="182"/>
      <c r="W87" s="125"/>
      <c r="X87" s="144" t="s">
        <v>355</v>
      </c>
      <c r="Y87" s="287"/>
      <c r="Z87" s="287"/>
      <c r="AA87" s="287"/>
      <c r="AB87" s="287"/>
      <c r="AC87" s="16" t="s">
        <v>21</v>
      </c>
      <c r="AD87" s="50"/>
      <c r="AE87" s="145"/>
      <c r="AF87" s="146"/>
      <c r="AG87" s="146"/>
      <c r="AH87" s="146"/>
      <c r="AI87" s="147"/>
      <c r="AJ87" s="148"/>
      <c r="AK87" s="143"/>
      <c r="AL87" s="143"/>
      <c r="AM87" s="22"/>
      <c r="AN87" s="288"/>
      <c r="AO87" s="287"/>
      <c r="AP87" s="148"/>
      <c r="AQ87" s="144"/>
      <c r="AR87" s="120"/>
      <c r="AS87" s="182"/>
      <c r="AT87" s="120"/>
      <c r="AU87" s="182"/>
      <c r="AV87" s="120"/>
      <c r="AW87" s="182"/>
      <c r="AX87" s="120"/>
      <c r="AY87" s="121"/>
      <c r="AZ87" s="201"/>
    </row>
    <row r="88" spans="1:52" ht="17.100000000000001" customHeight="1" thickTop="1">
      <c r="A88" s="109" t="s">
        <v>5781</v>
      </c>
      <c r="B88" s="28">
        <v>42650</v>
      </c>
      <c r="C88" s="29" t="s">
        <v>356</v>
      </c>
      <c r="D88" s="13" t="s">
        <v>357</v>
      </c>
      <c r="E88" s="111"/>
      <c r="F88" s="283" t="s">
        <v>358</v>
      </c>
      <c r="G88" s="273"/>
      <c r="H88" s="273"/>
      <c r="I88" s="24" t="s">
        <v>359</v>
      </c>
      <c r="J88" s="116"/>
      <c r="K88" s="118">
        <v>560000</v>
      </c>
      <c r="L88" s="210"/>
      <c r="M88" s="118">
        <v>44800</v>
      </c>
      <c r="N88" s="210"/>
      <c r="O88" s="118">
        <v>18900</v>
      </c>
      <c r="P88" s="210"/>
      <c r="Q88" s="118">
        <v>10890</v>
      </c>
      <c r="R88" s="210"/>
      <c r="S88" s="118">
        <v>12960</v>
      </c>
      <c r="T88" s="210"/>
      <c r="U88" s="118">
        <f>SUM(K88:T88)</f>
        <v>647550</v>
      </c>
      <c r="V88" s="210"/>
      <c r="W88" s="124">
        <v>200000</v>
      </c>
      <c r="X88" s="224" t="s">
        <v>360</v>
      </c>
      <c r="Y88" s="215"/>
      <c r="Z88" s="215"/>
      <c r="AA88" s="215"/>
      <c r="AB88" s="215"/>
      <c r="AC88" s="15" t="s">
        <v>20</v>
      </c>
      <c r="AD88" s="294"/>
      <c r="AE88" s="295"/>
      <c r="AF88" s="295"/>
      <c r="AG88" s="295"/>
      <c r="AH88" s="295"/>
      <c r="AI88" s="296"/>
      <c r="AJ88" s="132"/>
      <c r="AK88" s="127"/>
      <c r="AL88" s="127"/>
      <c r="AM88" s="21"/>
      <c r="AN88" s="289"/>
      <c r="AO88" s="290"/>
      <c r="AP88" s="135"/>
      <c r="AQ88" s="136"/>
      <c r="AR88" s="118"/>
      <c r="AS88" s="210"/>
      <c r="AT88" s="180">
        <f>AR88*0.1</f>
        <v>0</v>
      </c>
      <c r="AU88" s="181"/>
      <c r="AV88" s="118"/>
      <c r="AW88" s="210"/>
      <c r="AX88" s="118">
        <f>SUM(AR88:AW88)</f>
        <v>0</v>
      </c>
      <c r="AY88" s="119"/>
      <c r="AZ88" s="200"/>
    </row>
    <row r="89" spans="1:52" ht="17.100000000000001" customHeight="1" thickBot="1">
      <c r="A89" s="110"/>
      <c r="B89" s="27" t="s">
        <v>205</v>
      </c>
      <c r="C89" s="27">
        <v>58027</v>
      </c>
      <c r="D89" s="14" t="s">
        <v>92</v>
      </c>
      <c r="E89" s="112"/>
      <c r="F89" s="139" t="s">
        <v>361</v>
      </c>
      <c r="G89" s="140"/>
      <c r="H89" s="140"/>
      <c r="I89" s="26">
        <v>78705</v>
      </c>
      <c r="J89" s="117"/>
      <c r="K89" s="120"/>
      <c r="L89" s="182"/>
      <c r="M89" s="120"/>
      <c r="N89" s="182"/>
      <c r="O89" s="120"/>
      <c r="P89" s="182"/>
      <c r="Q89" s="120"/>
      <c r="R89" s="182"/>
      <c r="S89" s="120"/>
      <c r="T89" s="182"/>
      <c r="U89" s="120"/>
      <c r="V89" s="182"/>
      <c r="W89" s="125"/>
      <c r="X89" s="144" t="s">
        <v>362</v>
      </c>
      <c r="Y89" s="287"/>
      <c r="Z89" s="287"/>
      <c r="AA89" s="287"/>
      <c r="AB89" s="287"/>
      <c r="AC89" s="16" t="s">
        <v>21</v>
      </c>
      <c r="AD89" s="50"/>
      <c r="AE89" s="145" t="s">
        <v>363</v>
      </c>
      <c r="AF89" s="146"/>
      <c r="AG89" s="146"/>
      <c r="AH89" s="146"/>
      <c r="AI89" s="147"/>
      <c r="AJ89" s="148"/>
      <c r="AK89" s="143"/>
      <c r="AL89" s="143"/>
      <c r="AM89" s="22" t="s">
        <v>51</v>
      </c>
      <c r="AN89" s="288"/>
      <c r="AO89" s="287"/>
      <c r="AP89" s="148"/>
      <c r="AQ89" s="144"/>
      <c r="AR89" s="120"/>
      <c r="AS89" s="182"/>
      <c r="AT89" s="120"/>
      <c r="AU89" s="182"/>
      <c r="AV89" s="120"/>
      <c r="AW89" s="182"/>
      <c r="AX89" s="120"/>
      <c r="AY89" s="121"/>
      <c r="AZ89" s="201"/>
    </row>
    <row r="90" spans="1:52" ht="17.100000000000001" customHeight="1" thickTop="1">
      <c r="A90" s="109" t="s">
        <v>5782</v>
      </c>
      <c r="B90" s="28">
        <v>42672</v>
      </c>
      <c r="C90" s="29" t="s">
        <v>364</v>
      </c>
      <c r="D90" s="13" t="s">
        <v>365</v>
      </c>
      <c r="E90" s="111"/>
      <c r="F90" s="283" t="s">
        <v>366</v>
      </c>
      <c r="G90" s="273"/>
      <c r="H90" s="273"/>
      <c r="I90" s="24" t="s">
        <v>316</v>
      </c>
      <c r="J90" s="116"/>
      <c r="K90" s="118">
        <v>645000</v>
      </c>
      <c r="L90" s="210"/>
      <c r="M90" s="118">
        <v>51600</v>
      </c>
      <c r="N90" s="210"/>
      <c r="O90" s="118">
        <v>15000</v>
      </c>
      <c r="P90" s="210"/>
      <c r="Q90" s="118">
        <v>5070</v>
      </c>
      <c r="R90" s="210"/>
      <c r="S90" s="118">
        <v>9720</v>
      </c>
      <c r="T90" s="210"/>
      <c r="U90" s="118">
        <f>SUM(K90:T90)</f>
        <v>726390</v>
      </c>
      <c r="V90" s="210"/>
      <c r="W90" s="124">
        <v>350000</v>
      </c>
      <c r="X90" s="224" t="s">
        <v>367</v>
      </c>
      <c r="Y90" s="215"/>
      <c r="Z90" s="215"/>
      <c r="AA90" s="215"/>
      <c r="AB90" s="215"/>
      <c r="AC90" s="15" t="s">
        <v>20</v>
      </c>
      <c r="AD90" s="294"/>
      <c r="AE90" s="295"/>
      <c r="AF90" s="295"/>
      <c r="AG90" s="295"/>
      <c r="AH90" s="295"/>
      <c r="AI90" s="296"/>
      <c r="AJ90" s="132"/>
      <c r="AK90" s="127"/>
      <c r="AL90" s="127"/>
      <c r="AM90" s="21"/>
      <c r="AN90" s="289"/>
      <c r="AO90" s="290"/>
      <c r="AP90" s="135"/>
      <c r="AQ90" s="136"/>
      <c r="AR90" s="118"/>
      <c r="AS90" s="210"/>
      <c r="AT90" s="180">
        <f>AR90*0.1</f>
        <v>0</v>
      </c>
      <c r="AU90" s="181"/>
      <c r="AV90" s="118"/>
      <c r="AW90" s="210"/>
      <c r="AX90" s="118">
        <f>SUM(AR90:AW90)</f>
        <v>0</v>
      </c>
      <c r="AY90" s="119"/>
      <c r="AZ90" s="200"/>
    </row>
    <row r="91" spans="1:52" ht="17.100000000000001" customHeight="1" thickBot="1">
      <c r="A91" s="110"/>
      <c r="B91" s="27" t="s">
        <v>46</v>
      </c>
      <c r="C91" s="27">
        <v>33081</v>
      </c>
      <c r="D91" s="14" t="s">
        <v>221</v>
      </c>
      <c r="E91" s="112"/>
      <c r="F91" s="139" t="s">
        <v>368</v>
      </c>
      <c r="G91" s="140"/>
      <c r="H91" s="140"/>
      <c r="I91" s="26">
        <v>45980</v>
      </c>
      <c r="J91" s="117"/>
      <c r="K91" s="120"/>
      <c r="L91" s="182"/>
      <c r="M91" s="120"/>
      <c r="N91" s="182"/>
      <c r="O91" s="120"/>
      <c r="P91" s="182"/>
      <c r="Q91" s="120"/>
      <c r="R91" s="182"/>
      <c r="S91" s="120"/>
      <c r="T91" s="182"/>
      <c r="U91" s="120"/>
      <c r="V91" s="182"/>
      <c r="W91" s="125"/>
      <c r="X91" s="144" t="s">
        <v>369</v>
      </c>
      <c r="Y91" s="287"/>
      <c r="Z91" s="287"/>
      <c r="AA91" s="287"/>
      <c r="AB91" s="287"/>
      <c r="AC91" s="16" t="s">
        <v>21</v>
      </c>
      <c r="AD91" s="50"/>
      <c r="AE91" s="145" t="s">
        <v>185</v>
      </c>
      <c r="AF91" s="146"/>
      <c r="AG91" s="146"/>
      <c r="AH91" s="146"/>
      <c r="AI91" s="147"/>
      <c r="AJ91" s="148"/>
      <c r="AK91" s="143"/>
      <c r="AL91" s="143"/>
      <c r="AM91" s="22"/>
      <c r="AN91" s="288"/>
      <c r="AO91" s="287"/>
      <c r="AP91" s="148"/>
      <c r="AQ91" s="144"/>
      <c r="AR91" s="120"/>
      <c r="AS91" s="182"/>
      <c r="AT91" s="120"/>
      <c r="AU91" s="182"/>
      <c r="AV91" s="120"/>
      <c r="AW91" s="182"/>
      <c r="AX91" s="120"/>
      <c r="AY91" s="121"/>
      <c r="AZ91" s="201"/>
    </row>
    <row r="92" spans="1:52" ht="17.100000000000001" customHeight="1" thickTop="1">
      <c r="A92" s="109" t="s">
        <v>5783</v>
      </c>
      <c r="B92" s="28">
        <v>42693</v>
      </c>
      <c r="C92" s="29" t="s">
        <v>370</v>
      </c>
      <c r="D92" s="13" t="s">
        <v>371</v>
      </c>
      <c r="E92" s="111"/>
      <c r="F92" s="283" t="s">
        <v>372</v>
      </c>
      <c r="G92" s="273"/>
      <c r="H92" s="273"/>
      <c r="I92" s="24"/>
      <c r="J92" s="116"/>
      <c r="K92" s="118">
        <v>230000</v>
      </c>
      <c r="L92" s="210"/>
      <c r="M92" s="118">
        <v>18400</v>
      </c>
      <c r="N92" s="210"/>
      <c r="O92" s="118"/>
      <c r="P92" s="210"/>
      <c r="Q92" s="118">
        <v>8400</v>
      </c>
      <c r="R92" s="210"/>
      <c r="S92" s="118">
        <v>9720</v>
      </c>
      <c r="T92" s="210"/>
      <c r="U92" s="118">
        <f>SUM(K92:T92)</f>
        <v>266520</v>
      </c>
      <c r="V92" s="210"/>
      <c r="W92" s="124">
        <v>40000</v>
      </c>
      <c r="X92" s="224" t="s">
        <v>373</v>
      </c>
      <c r="Y92" s="215"/>
      <c r="Z92" s="215"/>
      <c r="AA92" s="215"/>
      <c r="AB92" s="215"/>
      <c r="AC92" s="15" t="s">
        <v>20</v>
      </c>
      <c r="AD92" s="294"/>
      <c r="AE92" s="295"/>
      <c r="AF92" s="295"/>
      <c r="AG92" s="295"/>
      <c r="AH92" s="295"/>
      <c r="AI92" s="296"/>
      <c r="AJ92" s="132" t="s">
        <v>374</v>
      </c>
      <c r="AK92" s="127"/>
      <c r="AL92" s="127"/>
      <c r="AM92" s="21"/>
      <c r="AN92" s="289"/>
      <c r="AO92" s="290"/>
      <c r="AP92" s="135"/>
      <c r="AQ92" s="136"/>
      <c r="AR92" s="118"/>
      <c r="AS92" s="210"/>
      <c r="AT92" s="180">
        <f>AR92*0.1</f>
        <v>0</v>
      </c>
      <c r="AU92" s="181"/>
      <c r="AV92" s="118"/>
      <c r="AW92" s="210"/>
      <c r="AX92" s="118">
        <f>SUM(AR92:AW92)</f>
        <v>0</v>
      </c>
      <c r="AY92" s="119"/>
      <c r="AZ92" s="200"/>
    </row>
    <row r="93" spans="1:52" ht="17.100000000000001" customHeight="1" thickBot="1">
      <c r="A93" s="110"/>
      <c r="B93" s="27" t="s">
        <v>46</v>
      </c>
      <c r="C93" s="27">
        <v>33131</v>
      </c>
      <c r="D93" s="14" t="s">
        <v>375</v>
      </c>
      <c r="E93" s="112"/>
      <c r="F93" s="139" t="s">
        <v>376</v>
      </c>
      <c r="G93" s="140"/>
      <c r="H93" s="140"/>
      <c r="I93" s="26">
        <v>31808</v>
      </c>
      <c r="J93" s="117"/>
      <c r="K93" s="120"/>
      <c r="L93" s="182"/>
      <c r="M93" s="120"/>
      <c r="N93" s="182"/>
      <c r="O93" s="120"/>
      <c r="P93" s="182"/>
      <c r="Q93" s="120"/>
      <c r="R93" s="182"/>
      <c r="S93" s="120"/>
      <c r="T93" s="182"/>
      <c r="U93" s="120"/>
      <c r="V93" s="182"/>
      <c r="W93" s="125"/>
      <c r="X93" s="144" t="s">
        <v>377</v>
      </c>
      <c r="Y93" s="287"/>
      <c r="Z93" s="287"/>
      <c r="AA93" s="287"/>
      <c r="AB93" s="287"/>
      <c r="AC93" s="16" t="s">
        <v>21</v>
      </c>
      <c r="AD93" s="50"/>
      <c r="AE93" s="145"/>
      <c r="AF93" s="146"/>
      <c r="AG93" s="146"/>
      <c r="AH93" s="146"/>
      <c r="AI93" s="147"/>
      <c r="AJ93" s="148"/>
      <c r="AK93" s="143"/>
      <c r="AL93" s="143"/>
      <c r="AM93" s="22"/>
      <c r="AN93" s="288"/>
      <c r="AO93" s="287"/>
      <c r="AP93" s="148"/>
      <c r="AQ93" s="144"/>
      <c r="AR93" s="120"/>
      <c r="AS93" s="182"/>
      <c r="AT93" s="120"/>
      <c r="AU93" s="182"/>
      <c r="AV93" s="120"/>
      <c r="AW93" s="182"/>
      <c r="AX93" s="120"/>
      <c r="AY93" s="121"/>
      <c r="AZ93" s="201"/>
    </row>
    <row r="94" spans="1:52" ht="17.100000000000001" customHeight="1" thickTop="1">
      <c r="A94" s="109" t="s">
        <v>5784</v>
      </c>
      <c r="B94" s="28">
        <v>42693</v>
      </c>
      <c r="C94" s="29" t="s">
        <v>370</v>
      </c>
      <c r="D94" s="13" t="s">
        <v>378</v>
      </c>
      <c r="E94" s="111"/>
      <c r="F94" s="283" t="s">
        <v>379</v>
      </c>
      <c r="G94" s="273"/>
      <c r="H94" s="273"/>
      <c r="I94" s="24" t="s">
        <v>380</v>
      </c>
      <c r="J94" s="116"/>
      <c r="K94" s="118">
        <v>605000</v>
      </c>
      <c r="L94" s="210"/>
      <c r="M94" s="118">
        <v>48400</v>
      </c>
      <c r="N94" s="210"/>
      <c r="O94" s="118">
        <v>15000</v>
      </c>
      <c r="P94" s="210"/>
      <c r="Q94" s="118">
        <v>10270</v>
      </c>
      <c r="R94" s="210"/>
      <c r="S94" s="118">
        <v>15120</v>
      </c>
      <c r="T94" s="210"/>
      <c r="U94" s="118">
        <f>SUM(K94:T94)</f>
        <v>693790</v>
      </c>
      <c r="V94" s="210"/>
      <c r="W94" s="124">
        <v>200000</v>
      </c>
      <c r="X94" s="224" t="s">
        <v>381</v>
      </c>
      <c r="Y94" s="215"/>
      <c r="Z94" s="215"/>
      <c r="AA94" s="215"/>
      <c r="AB94" s="215"/>
      <c r="AC94" s="15" t="s">
        <v>20</v>
      </c>
      <c r="AD94" s="294"/>
      <c r="AE94" s="295"/>
      <c r="AF94" s="295"/>
      <c r="AG94" s="295"/>
      <c r="AH94" s="295"/>
      <c r="AI94" s="296"/>
      <c r="AJ94" s="132"/>
      <c r="AK94" s="127"/>
      <c r="AL94" s="127"/>
      <c r="AM94" s="21"/>
      <c r="AN94" s="289">
        <v>45997</v>
      </c>
      <c r="AO94" s="290"/>
      <c r="AP94" s="135">
        <v>1279</v>
      </c>
      <c r="AQ94" s="136"/>
      <c r="AR94" s="118">
        <v>225000</v>
      </c>
      <c r="AS94" s="210"/>
      <c r="AT94" s="180">
        <f>AR94*0.1</f>
        <v>22500</v>
      </c>
      <c r="AU94" s="181"/>
      <c r="AV94" s="118">
        <v>10270</v>
      </c>
      <c r="AW94" s="210"/>
      <c r="AX94" s="118">
        <f>SUM(AR94:AW94)</f>
        <v>257770</v>
      </c>
      <c r="AY94" s="119"/>
      <c r="AZ94" s="200">
        <v>46000</v>
      </c>
    </row>
    <row r="95" spans="1:52" ht="17.100000000000001" customHeight="1" thickBot="1">
      <c r="A95" s="110"/>
      <c r="B95" s="27" t="s">
        <v>46</v>
      </c>
      <c r="C95" s="27">
        <v>38042</v>
      </c>
      <c r="D95" s="14" t="s">
        <v>304</v>
      </c>
      <c r="E95" s="112"/>
      <c r="F95" s="139" t="s">
        <v>382</v>
      </c>
      <c r="G95" s="140"/>
      <c r="H95" s="140"/>
      <c r="I95" s="26">
        <v>53845</v>
      </c>
      <c r="J95" s="117"/>
      <c r="K95" s="120"/>
      <c r="L95" s="182"/>
      <c r="M95" s="120"/>
      <c r="N95" s="182"/>
      <c r="O95" s="120"/>
      <c r="P95" s="182"/>
      <c r="Q95" s="120"/>
      <c r="R95" s="182"/>
      <c r="S95" s="120"/>
      <c r="T95" s="182"/>
      <c r="U95" s="120"/>
      <c r="V95" s="182"/>
      <c r="W95" s="125"/>
      <c r="X95" s="144" t="s">
        <v>383</v>
      </c>
      <c r="Y95" s="287"/>
      <c r="Z95" s="287"/>
      <c r="AA95" s="287"/>
      <c r="AB95" s="287"/>
      <c r="AC95" s="16" t="s">
        <v>21</v>
      </c>
      <c r="AD95" s="50"/>
      <c r="AE95" s="145" t="s">
        <v>384</v>
      </c>
      <c r="AF95" s="146"/>
      <c r="AG95" s="146"/>
      <c r="AH95" s="146"/>
      <c r="AI95" s="147"/>
      <c r="AJ95" s="148"/>
      <c r="AK95" s="143"/>
      <c r="AL95" s="143"/>
      <c r="AM95" s="22"/>
      <c r="AN95" s="288" t="s">
        <v>2511</v>
      </c>
      <c r="AO95" s="287"/>
      <c r="AP95" s="148">
        <v>65164</v>
      </c>
      <c r="AQ95" s="144"/>
      <c r="AR95" s="120"/>
      <c r="AS95" s="182"/>
      <c r="AT95" s="120"/>
      <c r="AU95" s="182"/>
      <c r="AV95" s="120"/>
      <c r="AW95" s="182"/>
      <c r="AX95" s="120"/>
      <c r="AY95" s="121"/>
      <c r="AZ95" s="201"/>
    </row>
    <row r="96" spans="1:52" ht="17.100000000000001" customHeight="1" thickTop="1">
      <c r="A96" s="109" t="s">
        <v>5785</v>
      </c>
      <c r="B96" s="54">
        <v>42768</v>
      </c>
      <c r="C96" s="55"/>
      <c r="D96" s="56" t="s">
        <v>385</v>
      </c>
      <c r="E96" s="111" t="s">
        <v>166</v>
      </c>
      <c r="F96" s="293" t="s">
        <v>386</v>
      </c>
      <c r="G96" s="293"/>
      <c r="H96" s="208"/>
      <c r="I96" s="57" t="s">
        <v>387</v>
      </c>
      <c r="J96" s="116"/>
      <c r="K96" s="118">
        <v>10600000</v>
      </c>
      <c r="L96" s="210"/>
      <c r="M96" s="118"/>
      <c r="N96" s="210"/>
      <c r="O96" s="118"/>
      <c r="P96" s="210"/>
      <c r="Q96" s="118"/>
      <c r="R96" s="210"/>
      <c r="S96" s="118"/>
      <c r="T96" s="210"/>
      <c r="U96" s="118">
        <f>SUM(K96:T97)</f>
        <v>10600000</v>
      </c>
      <c r="V96" s="119"/>
      <c r="W96" s="124"/>
      <c r="X96" s="215" t="s">
        <v>388</v>
      </c>
      <c r="Y96" s="215"/>
      <c r="Z96" s="215"/>
      <c r="AA96" s="215"/>
      <c r="AB96" s="215"/>
      <c r="AC96" s="15" t="s">
        <v>20</v>
      </c>
      <c r="AD96" s="294"/>
      <c r="AE96" s="295"/>
      <c r="AF96" s="295"/>
      <c r="AG96" s="295"/>
      <c r="AH96" s="295"/>
      <c r="AI96" s="296"/>
      <c r="AJ96" s="128" t="s">
        <v>389</v>
      </c>
      <c r="AK96" s="297"/>
      <c r="AL96" s="132"/>
      <c r="AM96" s="21" t="s">
        <v>390</v>
      </c>
      <c r="AN96" s="289"/>
      <c r="AO96" s="290"/>
      <c r="AP96" s="135"/>
      <c r="AQ96" s="136"/>
      <c r="AR96" s="118"/>
      <c r="AS96" s="210"/>
      <c r="AT96" s="180">
        <f>AR96*0.1</f>
        <v>0</v>
      </c>
      <c r="AU96" s="181"/>
      <c r="AV96" s="118"/>
      <c r="AW96" s="210"/>
      <c r="AX96" s="118">
        <f>SUM(AR96:AW96)</f>
        <v>0</v>
      </c>
      <c r="AY96" s="119"/>
      <c r="AZ96" s="200"/>
    </row>
    <row r="97" spans="1:52" ht="17.100000000000001" customHeight="1" thickBot="1">
      <c r="A97" s="110"/>
      <c r="B97" s="58" t="s">
        <v>391</v>
      </c>
      <c r="C97" s="58"/>
      <c r="D97" s="58" t="s">
        <v>221</v>
      </c>
      <c r="E97" s="112"/>
      <c r="F97" s="292" t="s">
        <v>392</v>
      </c>
      <c r="G97" s="292"/>
      <c r="H97" s="188"/>
      <c r="I97" s="59"/>
      <c r="J97" s="117"/>
      <c r="K97" s="120"/>
      <c r="L97" s="182"/>
      <c r="M97" s="120"/>
      <c r="N97" s="182"/>
      <c r="O97" s="120"/>
      <c r="P97" s="182"/>
      <c r="Q97" s="120"/>
      <c r="R97" s="182"/>
      <c r="S97" s="120"/>
      <c r="T97" s="182"/>
      <c r="U97" s="120"/>
      <c r="V97" s="121"/>
      <c r="W97" s="125"/>
      <c r="X97" s="190" t="s">
        <v>393</v>
      </c>
      <c r="Y97" s="190"/>
      <c r="Z97" s="190"/>
      <c r="AA97" s="190"/>
      <c r="AB97" s="190"/>
      <c r="AC97" s="16" t="s">
        <v>21</v>
      </c>
      <c r="AD97" s="50"/>
      <c r="AE97" s="145"/>
      <c r="AF97" s="146"/>
      <c r="AG97" s="146"/>
      <c r="AH97" s="146"/>
      <c r="AI97" s="147"/>
      <c r="AJ97" s="144"/>
      <c r="AK97" s="287"/>
      <c r="AL97" s="148"/>
      <c r="AM97" s="53"/>
      <c r="AN97" s="288"/>
      <c r="AO97" s="287"/>
      <c r="AP97" s="287"/>
      <c r="AQ97" s="287"/>
      <c r="AR97" s="120"/>
      <c r="AS97" s="182"/>
      <c r="AT97" s="120"/>
      <c r="AU97" s="182"/>
      <c r="AV97" s="120"/>
      <c r="AW97" s="182"/>
      <c r="AX97" s="120"/>
      <c r="AY97" s="121"/>
      <c r="AZ97" s="201"/>
    </row>
    <row r="98" spans="1:52" ht="17.100000000000001" customHeight="1" thickTop="1">
      <c r="A98" s="109" t="s">
        <v>5786</v>
      </c>
      <c r="B98" s="28">
        <v>42775</v>
      </c>
      <c r="C98" s="29" t="s">
        <v>394</v>
      </c>
      <c r="D98" s="13" t="s">
        <v>395</v>
      </c>
      <c r="E98" s="111"/>
      <c r="F98" s="283" t="s">
        <v>396</v>
      </c>
      <c r="G98" s="273"/>
      <c r="H98" s="273"/>
      <c r="I98" s="24" t="s">
        <v>380</v>
      </c>
      <c r="J98" s="116"/>
      <c r="K98" s="118">
        <v>515000</v>
      </c>
      <c r="L98" s="210"/>
      <c r="M98" s="118">
        <v>41200</v>
      </c>
      <c r="N98" s="210"/>
      <c r="O98" s="118">
        <v>5500</v>
      </c>
      <c r="P98" s="210"/>
      <c r="Q98" s="118">
        <v>15590</v>
      </c>
      <c r="R98" s="210"/>
      <c r="S98" s="118">
        <v>12960</v>
      </c>
      <c r="T98" s="210"/>
      <c r="U98" s="118">
        <f>SUM(K98:T98)</f>
        <v>590250</v>
      </c>
      <c r="V98" s="210"/>
      <c r="W98" s="124">
        <v>300000</v>
      </c>
      <c r="X98" s="224" t="s">
        <v>397</v>
      </c>
      <c r="Y98" s="215"/>
      <c r="Z98" s="215"/>
      <c r="AA98" s="215"/>
      <c r="AB98" s="215"/>
      <c r="AC98" s="15" t="s">
        <v>20</v>
      </c>
      <c r="AD98" s="294"/>
      <c r="AE98" s="295"/>
      <c r="AF98" s="295"/>
      <c r="AG98" s="295"/>
      <c r="AH98" s="295"/>
      <c r="AI98" s="296"/>
      <c r="AJ98" s="132"/>
      <c r="AK98" s="127"/>
      <c r="AL98" s="127"/>
      <c r="AM98" s="21"/>
      <c r="AN98" s="289"/>
      <c r="AO98" s="290"/>
      <c r="AP98" s="135"/>
      <c r="AQ98" s="136"/>
      <c r="AR98" s="118"/>
      <c r="AS98" s="210"/>
      <c r="AT98" s="180">
        <f>AR98*0.1</f>
        <v>0</v>
      </c>
      <c r="AU98" s="181"/>
      <c r="AV98" s="118"/>
      <c r="AW98" s="210"/>
      <c r="AX98" s="118">
        <f>SUM(AR98:AW98)</f>
        <v>0</v>
      </c>
      <c r="AY98" s="119"/>
      <c r="AZ98" s="200"/>
    </row>
    <row r="99" spans="1:52" ht="17.100000000000001" customHeight="1" thickBot="1">
      <c r="A99" s="110"/>
      <c r="B99" s="27" t="s">
        <v>148</v>
      </c>
      <c r="C99" s="27">
        <v>75182</v>
      </c>
      <c r="D99" s="14" t="s">
        <v>66</v>
      </c>
      <c r="E99" s="112"/>
      <c r="F99" s="139" t="s">
        <v>398</v>
      </c>
      <c r="G99" s="140"/>
      <c r="H99" s="140"/>
      <c r="I99" s="26">
        <v>52324</v>
      </c>
      <c r="J99" s="117"/>
      <c r="K99" s="120"/>
      <c r="L99" s="182"/>
      <c r="M99" s="120"/>
      <c r="N99" s="182"/>
      <c r="O99" s="120"/>
      <c r="P99" s="182"/>
      <c r="Q99" s="120"/>
      <c r="R99" s="182"/>
      <c r="S99" s="120"/>
      <c r="T99" s="182"/>
      <c r="U99" s="120"/>
      <c r="V99" s="182"/>
      <c r="W99" s="125"/>
      <c r="X99" s="144" t="s">
        <v>399</v>
      </c>
      <c r="Y99" s="287"/>
      <c r="Z99" s="287"/>
      <c r="AA99" s="287"/>
      <c r="AB99" s="287"/>
      <c r="AC99" s="16" t="s">
        <v>21</v>
      </c>
      <c r="AD99" s="50"/>
      <c r="AE99" s="145" t="s">
        <v>400</v>
      </c>
      <c r="AF99" s="146"/>
      <c r="AG99" s="146"/>
      <c r="AH99" s="146"/>
      <c r="AI99" s="147"/>
      <c r="AJ99" s="148"/>
      <c r="AK99" s="143"/>
      <c r="AL99" s="143"/>
      <c r="AM99" s="22" t="s">
        <v>51</v>
      </c>
      <c r="AN99" s="288"/>
      <c r="AO99" s="287"/>
      <c r="AP99" s="148"/>
      <c r="AQ99" s="144"/>
      <c r="AR99" s="120"/>
      <c r="AS99" s="182"/>
      <c r="AT99" s="120"/>
      <c r="AU99" s="182"/>
      <c r="AV99" s="120"/>
      <c r="AW99" s="182"/>
      <c r="AX99" s="120"/>
      <c r="AY99" s="121"/>
      <c r="AZ99" s="201"/>
    </row>
    <row r="100" spans="1:52" ht="17.100000000000001" customHeight="1" thickTop="1">
      <c r="A100" s="109" t="s">
        <v>5787</v>
      </c>
      <c r="B100" s="28">
        <v>42777</v>
      </c>
      <c r="C100" s="29" t="s">
        <v>320</v>
      </c>
      <c r="D100" s="13" t="s">
        <v>401</v>
      </c>
      <c r="E100" s="111"/>
      <c r="F100" s="283" t="s">
        <v>396</v>
      </c>
      <c r="G100" s="273"/>
      <c r="H100" s="273"/>
      <c r="I100" s="24" t="s">
        <v>402</v>
      </c>
      <c r="J100" s="116"/>
      <c r="K100" s="118">
        <v>365000</v>
      </c>
      <c r="L100" s="210"/>
      <c r="M100" s="118">
        <v>29200</v>
      </c>
      <c r="N100" s="210"/>
      <c r="O100" s="118">
        <v>5500</v>
      </c>
      <c r="P100" s="210"/>
      <c r="Q100" s="118">
        <v>15590</v>
      </c>
      <c r="R100" s="210"/>
      <c r="S100" s="118">
        <v>11880</v>
      </c>
      <c r="T100" s="210"/>
      <c r="U100" s="118">
        <f>SUM(K100:T100)</f>
        <v>427170</v>
      </c>
      <c r="V100" s="210"/>
      <c r="W100" s="124">
        <v>400000</v>
      </c>
      <c r="X100" s="224" t="s">
        <v>403</v>
      </c>
      <c r="Y100" s="215"/>
      <c r="Z100" s="215"/>
      <c r="AA100" s="215"/>
      <c r="AB100" s="215"/>
      <c r="AC100" s="15" t="s">
        <v>20</v>
      </c>
      <c r="AD100" s="294"/>
      <c r="AE100" s="295"/>
      <c r="AF100" s="295"/>
      <c r="AG100" s="295"/>
      <c r="AH100" s="295"/>
      <c r="AI100" s="296"/>
      <c r="AJ100" s="132"/>
      <c r="AK100" s="127"/>
      <c r="AL100" s="127"/>
      <c r="AM100" s="21"/>
      <c r="AN100" s="289"/>
      <c r="AO100" s="290"/>
      <c r="AP100" s="135"/>
      <c r="AQ100" s="136"/>
      <c r="AR100" s="118"/>
      <c r="AS100" s="210"/>
      <c r="AT100" s="180">
        <f>AR100*0.1</f>
        <v>0</v>
      </c>
      <c r="AU100" s="181"/>
      <c r="AV100" s="118"/>
      <c r="AW100" s="210"/>
      <c r="AX100" s="118">
        <f>SUM(AR100:AW100)</f>
        <v>0</v>
      </c>
      <c r="AY100" s="119"/>
      <c r="AZ100" s="200"/>
    </row>
    <row r="101" spans="1:52" ht="17.100000000000001" customHeight="1" thickBot="1">
      <c r="A101" s="110"/>
      <c r="B101" s="27" t="s">
        <v>46</v>
      </c>
      <c r="C101" s="27">
        <v>84076</v>
      </c>
      <c r="D101" s="14" t="s">
        <v>66</v>
      </c>
      <c r="E101" s="112"/>
      <c r="F101" s="139" t="s">
        <v>404</v>
      </c>
      <c r="G101" s="140"/>
      <c r="H101" s="140"/>
      <c r="I101" s="26">
        <v>60616</v>
      </c>
      <c r="J101" s="117"/>
      <c r="K101" s="120"/>
      <c r="L101" s="182"/>
      <c r="M101" s="120"/>
      <c r="N101" s="182"/>
      <c r="O101" s="120"/>
      <c r="P101" s="182"/>
      <c r="Q101" s="120"/>
      <c r="R101" s="182"/>
      <c r="S101" s="120"/>
      <c r="T101" s="182"/>
      <c r="U101" s="120"/>
      <c r="V101" s="182"/>
      <c r="W101" s="125"/>
      <c r="X101" s="144" t="s">
        <v>405</v>
      </c>
      <c r="Y101" s="287"/>
      <c r="Z101" s="287"/>
      <c r="AA101" s="287"/>
      <c r="AB101" s="287"/>
      <c r="AC101" s="16" t="s">
        <v>21</v>
      </c>
      <c r="AD101" s="50"/>
      <c r="AE101" s="145" t="s">
        <v>406</v>
      </c>
      <c r="AF101" s="146"/>
      <c r="AG101" s="146"/>
      <c r="AH101" s="146"/>
      <c r="AI101" s="147"/>
      <c r="AJ101" s="148"/>
      <c r="AK101" s="143"/>
      <c r="AL101" s="143"/>
      <c r="AM101" s="22" t="s">
        <v>51</v>
      </c>
      <c r="AN101" s="288"/>
      <c r="AO101" s="287"/>
      <c r="AP101" s="148"/>
      <c r="AQ101" s="144"/>
      <c r="AR101" s="120"/>
      <c r="AS101" s="182"/>
      <c r="AT101" s="120"/>
      <c r="AU101" s="182"/>
      <c r="AV101" s="120"/>
      <c r="AW101" s="182"/>
      <c r="AX101" s="120"/>
      <c r="AY101" s="121"/>
      <c r="AZ101" s="201"/>
    </row>
    <row r="102" spans="1:52" ht="17.100000000000001" customHeight="1" thickTop="1">
      <c r="A102" s="109" t="s">
        <v>5788</v>
      </c>
      <c r="B102" s="28">
        <v>42796</v>
      </c>
      <c r="C102" s="29" t="s">
        <v>407</v>
      </c>
      <c r="D102" s="13" t="s">
        <v>408</v>
      </c>
      <c r="E102" s="111"/>
      <c r="F102" s="283" t="s">
        <v>409</v>
      </c>
      <c r="G102" s="273"/>
      <c r="H102" s="273"/>
      <c r="I102" s="24"/>
      <c r="J102" s="116"/>
      <c r="K102" s="118">
        <v>1206000</v>
      </c>
      <c r="L102" s="210"/>
      <c r="M102" s="118">
        <v>96480</v>
      </c>
      <c r="N102" s="210"/>
      <c r="O102" s="118"/>
      <c r="P102" s="210"/>
      <c r="Q102" s="118">
        <v>15600</v>
      </c>
      <c r="R102" s="210"/>
      <c r="S102" s="118">
        <v>14040</v>
      </c>
      <c r="T102" s="210"/>
      <c r="U102" s="118">
        <f>SUM(K102:T102)</f>
        <v>1332120</v>
      </c>
      <c r="V102" s="210"/>
      <c r="W102" s="124">
        <v>600000</v>
      </c>
      <c r="X102" s="224" t="s">
        <v>410</v>
      </c>
      <c r="Y102" s="215"/>
      <c r="Z102" s="215"/>
      <c r="AA102" s="215"/>
      <c r="AB102" s="215"/>
      <c r="AC102" s="15" t="s">
        <v>20</v>
      </c>
      <c r="AD102" s="294"/>
      <c r="AE102" s="295"/>
      <c r="AF102" s="295"/>
      <c r="AG102" s="295"/>
      <c r="AH102" s="295"/>
      <c r="AI102" s="296"/>
      <c r="AJ102" s="132"/>
      <c r="AK102" s="127"/>
      <c r="AL102" s="127"/>
      <c r="AM102" s="21"/>
      <c r="AN102" s="289"/>
      <c r="AO102" s="290"/>
      <c r="AP102" s="135"/>
      <c r="AQ102" s="136"/>
      <c r="AR102" s="118"/>
      <c r="AS102" s="210"/>
      <c r="AT102" s="180">
        <f>AR102*0.1</f>
        <v>0</v>
      </c>
      <c r="AU102" s="181"/>
      <c r="AV102" s="118"/>
      <c r="AW102" s="210"/>
      <c r="AX102" s="118">
        <f>SUM(AR102:AW102)</f>
        <v>0</v>
      </c>
      <c r="AY102" s="119"/>
      <c r="AZ102" s="200"/>
    </row>
    <row r="103" spans="1:52" ht="17.100000000000001" customHeight="1" thickBot="1">
      <c r="A103" s="110"/>
      <c r="B103" s="27" t="s">
        <v>241</v>
      </c>
      <c r="C103" s="27">
        <v>80110</v>
      </c>
      <c r="D103" s="14" t="s">
        <v>192</v>
      </c>
      <c r="E103" s="112"/>
      <c r="F103" s="139" t="s">
        <v>411</v>
      </c>
      <c r="G103" s="140"/>
      <c r="H103" s="140"/>
      <c r="I103" s="26">
        <v>46500</v>
      </c>
      <c r="J103" s="117"/>
      <c r="K103" s="120"/>
      <c r="L103" s="182"/>
      <c r="M103" s="120"/>
      <c r="N103" s="182"/>
      <c r="O103" s="120"/>
      <c r="P103" s="182"/>
      <c r="Q103" s="120"/>
      <c r="R103" s="182"/>
      <c r="S103" s="120"/>
      <c r="T103" s="182"/>
      <c r="U103" s="120"/>
      <c r="V103" s="182"/>
      <c r="W103" s="125"/>
      <c r="X103" s="144" t="s">
        <v>412</v>
      </c>
      <c r="Y103" s="287"/>
      <c r="Z103" s="287"/>
      <c r="AA103" s="287"/>
      <c r="AB103" s="287"/>
      <c r="AC103" s="16" t="s">
        <v>21</v>
      </c>
      <c r="AD103" s="50"/>
      <c r="AE103" s="145" t="s">
        <v>185</v>
      </c>
      <c r="AF103" s="146"/>
      <c r="AG103" s="146"/>
      <c r="AH103" s="146"/>
      <c r="AI103" s="147"/>
      <c r="AJ103" s="148"/>
      <c r="AK103" s="143"/>
      <c r="AL103" s="143"/>
      <c r="AM103" s="22"/>
      <c r="AN103" s="288"/>
      <c r="AO103" s="287"/>
      <c r="AP103" s="148"/>
      <c r="AQ103" s="144"/>
      <c r="AR103" s="120"/>
      <c r="AS103" s="182"/>
      <c r="AT103" s="120"/>
      <c r="AU103" s="182"/>
      <c r="AV103" s="120"/>
      <c r="AW103" s="182"/>
      <c r="AX103" s="120"/>
      <c r="AY103" s="121"/>
      <c r="AZ103" s="201"/>
    </row>
    <row r="104" spans="1:52" ht="17.100000000000001" customHeight="1" thickTop="1">
      <c r="A104" s="109" t="s">
        <v>5789</v>
      </c>
      <c r="B104" s="28">
        <v>42804</v>
      </c>
      <c r="C104" s="29" t="s">
        <v>413</v>
      </c>
      <c r="D104" s="13" t="s">
        <v>414</v>
      </c>
      <c r="E104" s="111"/>
      <c r="F104" s="283" t="s">
        <v>415</v>
      </c>
      <c r="G104" s="273"/>
      <c r="H104" s="273"/>
      <c r="I104" s="24"/>
      <c r="J104" s="116"/>
      <c r="K104" s="118">
        <v>1245000</v>
      </c>
      <c r="L104" s="210"/>
      <c r="M104" s="118">
        <v>99600</v>
      </c>
      <c r="N104" s="210"/>
      <c r="O104" s="118"/>
      <c r="P104" s="210"/>
      <c r="Q104" s="118">
        <v>18990</v>
      </c>
      <c r="R104" s="210"/>
      <c r="S104" s="118">
        <v>12960</v>
      </c>
      <c r="T104" s="210"/>
      <c r="U104" s="118">
        <f>SUM(K104:T104)</f>
        <v>1376550</v>
      </c>
      <c r="V104" s="210"/>
      <c r="W104" s="124">
        <v>400000</v>
      </c>
      <c r="X104" s="224" t="s">
        <v>416</v>
      </c>
      <c r="Y104" s="215"/>
      <c r="Z104" s="215"/>
      <c r="AA104" s="215"/>
      <c r="AB104" s="215"/>
      <c r="AC104" s="15" t="s">
        <v>20</v>
      </c>
      <c r="AD104" s="294"/>
      <c r="AE104" s="295"/>
      <c r="AF104" s="295"/>
      <c r="AG104" s="295"/>
      <c r="AH104" s="295"/>
      <c r="AI104" s="296"/>
      <c r="AJ104" s="132"/>
      <c r="AK104" s="127"/>
      <c r="AL104" s="127"/>
      <c r="AM104" s="21"/>
      <c r="AN104" s="289"/>
      <c r="AO104" s="290"/>
      <c r="AP104" s="135"/>
      <c r="AQ104" s="136"/>
      <c r="AR104" s="118"/>
      <c r="AS104" s="210"/>
      <c r="AT104" s="180">
        <f>AR104*0.1</f>
        <v>0</v>
      </c>
      <c r="AU104" s="181"/>
      <c r="AV104" s="118"/>
      <c r="AW104" s="210"/>
      <c r="AX104" s="118">
        <f>SUM(AR104:AW104)</f>
        <v>0</v>
      </c>
      <c r="AY104" s="119"/>
      <c r="AZ104" s="200"/>
    </row>
    <row r="105" spans="1:52" ht="17.100000000000001" customHeight="1" thickBot="1">
      <c r="A105" s="110"/>
      <c r="B105" s="27" t="s">
        <v>205</v>
      </c>
      <c r="C105" s="27">
        <v>58328</v>
      </c>
      <c r="D105" s="14" t="s">
        <v>66</v>
      </c>
      <c r="E105" s="112"/>
      <c r="F105" s="139" t="s">
        <v>417</v>
      </c>
      <c r="G105" s="140"/>
      <c r="H105" s="140"/>
      <c r="I105" s="26">
        <v>49734</v>
      </c>
      <c r="J105" s="117"/>
      <c r="K105" s="120"/>
      <c r="L105" s="182"/>
      <c r="M105" s="120"/>
      <c r="N105" s="182"/>
      <c r="O105" s="120"/>
      <c r="P105" s="182"/>
      <c r="Q105" s="120"/>
      <c r="R105" s="182"/>
      <c r="S105" s="120"/>
      <c r="T105" s="182"/>
      <c r="U105" s="120"/>
      <c r="V105" s="182"/>
      <c r="W105" s="125"/>
      <c r="X105" s="144" t="s">
        <v>418</v>
      </c>
      <c r="Y105" s="287"/>
      <c r="Z105" s="287"/>
      <c r="AA105" s="287"/>
      <c r="AB105" s="287"/>
      <c r="AC105" s="16" t="s">
        <v>21</v>
      </c>
      <c r="AD105" s="50"/>
      <c r="AE105" s="145" t="s">
        <v>419</v>
      </c>
      <c r="AF105" s="146"/>
      <c r="AG105" s="146"/>
      <c r="AH105" s="146"/>
      <c r="AI105" s="147"/>
      <c r="AJ105" s="148"/>
      <c r="AK105" s="143"/>
      <c r="AL105" s="143"/>
      <c r="AM105" s="22"/>
      <c r="AN105" s="288"/>
      <c r="AO105" s="287"/>
      <c r="AP105" s="148"/>
      <c r="AQ105" s="144"/>
      <c r="AR105" s="120"/>
      <c r="AS105" s="182"/>
      <c r="AT105" s="120"/>
      <c r="AU105" s="182"/>
      <c r="AV105" s="120"/>
      <c r="AW105" s="182"/>
      <c r="AX105" s="120"/>
      <c r="AY105" s="121"/>
      <c r="AZ105" s="201"/>
    </row>
    <row r="106" spans="1:52" ht="17.100000000000001" customHeight="1" thickTop="1">
      <c r="A106" s="109" t="s">
        <v>5790</v>
      </c>
      <c r="B106" s="28">
        <v>42817</v>
      </c>
      <c r="C106" s="51" t="s">
        <v>420</v>
      </c>
      <c r="D106" s="13" t="s">
        <v>210</v>
      </c>
      <c r="E106" s="111"/>
      <c r="F106" s="113" t="s">
        <v>421</v>
      </c>
      <c r="G106" s="273"/>
      <c r="H106" s="273"/>
      <c r="I106" s="24"/>
      <c r="J106" s="116"/>
      <c r="K106" s="118">
        <v>353000</v>
      </c>
      <c r="L106" s="210"/>
      <c r="M106" s="118">
        <v>28240</v>
      </c>
      <c r="N106" s="210"/>
      <c r="O106" s="118"/>
      <c r="P106" s="210"/>
      <c r="Q106" s="118">
        <v>16040</v>
      </c>
      <c r="R106" s="210"/>
      <c r="S106" s="118">
        <v>15120</v>
      </c>
      <c r="T106" s="210"/>
      <c r="U106" s="118">
        <f>SUM(K106:T106)</f>
        <v>412400</v>
      </c>
      <c r="V106" s="210"/>
      <c r="W106" s="124">
        <v>100000</v>
      </c>
      <c r="X106" s="224" t="s">
        <v>422</v>
      </c>
      <c r="Y106" s="215"/>
      <c r="Z106" s="215"/>
      <c r="AA106" s="215"/>
      <c r="AB106" s="215"/>
      <c r="AC106" s="15" t="s">
        <v>20</v>
      </c>
      <c r="AD106" s="294"/>
      <c r="AE106" s="295"/>
      <c r="AF106" s="295"/>
      <c r="AG106" s="295"/>
      <c r="AH106" s="295"/>
      <c r="AI106" s="296"/>
      <c r="AJ106" s="132"/>
      <c r="AK106" s="127"/>
      <c r="AL106" s="127"/>
      <c r="AM106" s="21"/>
      <c r="AN106" s="289"/>
      <c r="AO106" s="290"/>
      <c r="AP106" s="135"/>
      <c r="AQ106" s="136"/>
      <c r="AR106" s="118"/>
      <c r="AS106" s="210"/>
      <c r="AT106" s="180">
        <f>AR106*0.1</f>
        <v>0</v>
      </c>
      <c r="AU106" s="181"/>
      <c r="AV106" s="118"/>
      <c r="AW106" s="210"/>
      <c r="AX106" s="118">
        <f>SUM(AR106:AW106)</f>
        <v>0</v>
      </c>
      <c r="AY106" s="119"/>
      <c r="AZ106" s="200"/>
    </row>
    <row r="107" spans="1:52" ht="17.100000000000001" customHeight="1" thickBot="1">
      <c r="A107" s="110"/>
      <c r="B107" s="27" t="s">
        <v>241</v>
      </c>
      <c r="C107" s="27">
        <v>80094</v>
      </c>
      <c r="D107" s="14" t="s">
        <v>423</v>
      </c>
      <c r="E107" s="112"/>
      <c r="F107" s="139" t="s">
        <v>424</v>
      </c>
      <c r="G107" s="140"/>
      <c r="H107" s="140"/>
      <c r="I107" s="26">
        <v>40859</v>
      </c>
      <c r="J107" s="117"/>
      <c r="K107" s="120"/>
      <c r="L107" s="182"/>
      <c r="M107" s="120"/>
      <c r="N107" s="182"/>
      <c r="O107" s="120"/>
      <c r="P107" s="182"/>
      <c r="Q107" s="120"/>
      <c r="R107" s="182"/>
      <c r="S107" s="120"/>
      <c r="T107" s="182"/>
      <c r="U107" s="120"/>
      <c r="V107" s="182"/>
      <c r="W107" s="125"/>
      <c r="X107" s="144" t="s">
        <v>425</v>
      </c>
      <c r="Y107" s="287"/>
      <c r="Z107" s="287"/>
      <c r="AA107" s="287"/>
      <c r="AB107" s="287"/>
      <c r="AC107" s="16" t="s">
        <v>21</v>
      </c>
      <c r="AD107" s="50"/>
      <c r="AE107" s="145" t="s">
        <v>285</v>
      </c>
      <c r="AF107" s="146"/>
      <c r="AG107" s="146"/>
      <c r="AH107" s="146"/>
      <c r="AI107" s="147"/>
      <c r="AJ107" s="148"/>
      <c r="AK107" s="143"/>
      <c r="AL107" s="143"/>
      <c r="AM107" s="22"/>
      <c r="AN107" s="288"/>
      <c r="AO107" s="287"/>
      <c r="AP107" s="148"/>
      <c r="AQ107" s="144"/>
      <c r="AR107" s="120"/>
      <c r="AS107" s="182"/>
      <c r="AT107" s="120"/>
      <c r="AU107" s="182"/>
      <c r="AV107" s="120"/>
      <c r="AW107" s="182"/>
      <c r="AX107" s="120"/>
      <c r="AY107" s="121"/>
      <c r="AZ107" s="201"/>
    </row>
    <row r="108" spans="1:52" ht="17.100000000000001" customHeight="1" thickTop="1">
      <c r="A108" s="109" t="s">
        <v>5791</v>
      </c>
      <c r="B108" s="28">
        <v>42865</v>
      </c>
      <c r="C108" s="29" t="s">
        <v>426</v>
      </c>
      <c r="D108" s="13" t="s">
        <v>427</v>
      </c>
      <c r="E108" s="111"/>
      <c r="F108" s="113" t="s">
        <v>428</v>
      </c>
      <c r="G108" s="273"/>
      <c r="H108" s="273"/>
      <c r="I108" s="24" t="s">
        <v>429</v>
      </c>
      <c r="J108" s="116">
        <v>3</v>
      </c>
      <c r="K108" s="118">
        <v>516000</v>
      </c>
      <c r="L108" s="210"/>
      <c r="M108" s="118">
        <v>41280</v>
      </c>
      <c r="N108" s="210"/>
      <c r="O108" s="118">
        <v>28000</v>
      </c>
      <c r="P108" s="210"/>
      <c r="Q108" s="118">
        <v>4450</v>
      </c>
      <c r="R108" s="210"/>
      <c r="S108" s="118">
        <v>10800</v>
      </c>
      <c r="T108" s="210"/>
      <c r="U108" s="118">
        <f>SUM(K108:T108)</f>
        <v>600530</v>
      </c>
      <c r="V108" s="210"/>
      <c r="W108" s="124">
        <v>300000</v>
      </c>
      <c r="X108" s="224" t="s">
        <v>430</v>
      </c>
      <c r="Y108" s="215"/>
      <c r="Z108" s="215"/>
      <c r="AA108" s="215"/>
      <c r="AB108" s="215"/>
      <c r="AC108" s="15" t="s">
        <v>20</v>
      </c>
      <c r="AD108" s="294"/>
      <c r="AE108" s="295"/>
      <c r="AF108" s="295"/>
      <c r="AG108" s="295"/>
      <c r="AH108" s="295"/>
      <c r="AI108" s="296"/>
      <c r="AJ108" s="132"/>
      <c r="AK108" s="127"/>
      <c r="AL108" s="127"/>
      <c r="AM108" s="21"/>
      <c r="AN108" s="289"/>
      <c r="AO108" s="290"/>
      <c r="AP108" s="135"/>
      <c r="AQ108" s="136"/>
      <c r="AR108" s="118"/>
      <c r="AS108" s="210"/>
      <c r="AT108" s="180">
        <f>AR108*0.1</f>
        <v>0</v>
      </c>
      <c r="AU108" s="181"/>
      <c r="AV108" s="118"/>
      <c r="AW108" s="210"/>
      <c r="AX108" s="118">
        <f>SUM(AR108:AW108)</f>
        <v>0</v>
      </c>
      <c r="AY108" s="119"/>
      <c r="AZ108" s="200"/>
    </row>
    <row r="109" spans="1:52" ht="17.100000000000001" customHeight="1" thickBot="1">
      <c r="A109" s="110"/>
      <c r="B109" s="27" t="s">
        <v>431</v>
      </c>
      <c r="C109" s="27">
        <v>7257</v>
      </c>
      <c r="D109" s="14" t="s">
        <v>112</v>
      </c>
      <c r="E109" s="112"/>
      <c r="F109" s="139" t="s">
        <v>432</v>
      </c>
      <c r="G109" s="140"/>
      <c r="H109" s="140"/>
      <c r="I109" s="26">
        <v>37973</v>
      </c>
      <c r="J109" s="117"/>
      <c r="K109" s="120"/>
      <c r="L109" s="182"/>
      <c r="M109" s="120"/>
      <c r="N109" s="182"/>
      <c r="O109" s="120"/>
      <c r="P109" s="182"/>
      <c r="Q109" s="120"/>
      <c r="R109" s="182"/>
      <c r="S109" s="120"/>
      <c r="T109" s="182"/>
      <c r="U109" s="120"/>
      <c r="V109" s="182"/>
      <c r="W109" s="125"/>
      <c r="X109" s="144" t="s">
        <v>433</v>
      </c>
      <c r="Y109" s="287"/>
      <c r="Z109" s="287"/>
      <c r="AA109" s="287"/>
      <c r="AB109" s="287"/>
      <c r="AC109" s="16" t="s">
        <v>21</v>
      </c>
      <c r="AD109" s="60"/>
      <c r="AE109" s="145" t="s">
        <v>434</v>
      </c>
      <c r="AF109" s="146"/>
      <c r="AG109" s="146"/>
      <c r="AH109" s="146"/>
      <c r="AI109" s="147"/>
      <c r="AJ109" s="148"/>
      <c r="AK109" s="143"/>
      <c r="AL109" s="143"/>
      <c r="AM109" s="22"/>
      <c r="AN109" s="288"/>
      <c r="AO109" s="287"/>
      <c r="AP109" s="148"/>
      <c r="AQ109" s="144"/>
      <c r="AR109" s="120"/>
      <c r="AS109" s="182"/>
      <c r="AT109" s="120"/>
      <c r="AU109" s="182"/>
      <c r="AV109" s="120"/>
      <c r="AW109" s="182"/>
      <c r="AX109" s="120"/>
      <c r="AY109" s="121"/>
      <c r="AZ109" s="201"/>
    </row>
    <row r="110" spans="1:52" ht="17.100000000000001" customHeight="1" thickTop="1">
      <c r="A110" s="109" t="s">
        <v>5792</v>
      </c>
      <c r="B110" s="28">
        <v>42875</v>
      </c>
      <c r="C110" s="29" t="s">
        <v>435</v>
      </c>
      <c r="D110" s="13" t="s">
        <v>436</v>
      </c>
      <c r="E110" s="111"/>
      <c r="F110" s="283" t="s">
        <v>181</v>
      </c>
      <c r="G110" s="273"/>
      <c r="H110" s="273"/>
      <c r="I110" s="24" t="s">
        <v>437</v>
      </c>
      <c r="J110" s="116">
        <v>4</v>
      </c>
      <c r="K110" s="118">
        <v>505000</v>
      </c>
      <c r="L110" s="210"/>
      <c r="M110" s="118">
        <v>40400</v>
      </c>
      <c r="N110" s="210"/>
      <c r="O110" s="118">
        <v>32900</v>
      </c>
      <c r="P110" s="210"/>
      <c r="Q110" s="118">
        <v>16190</v>
      </c>
      <c r="R110" s="210"/>
      <c r="S110" s="118">
        <v>13500</v>
      </c>
      <c r="T110" s="210"/>
      <c r="U110" s="118">
        <f>SUM(K110:T110)</f>
        <v>607990</v>
      </c>
      <c r="V110" s="210"/>
      <c r="W110" s="124">
        <v>200000</v>
      </c>
      <c r="X110" s="224" t="s">
        <v>438</v>
      </c>
      <c r="Y110" s="215"/>
      <c r="Z110" s="215"/>
      <c r="AA110" s="215"/>
      <c r="AB110" s="215"/>
      <c r="AC110" s="15" t="s">
        <v>20</v>
      </c>
      <c r="AD110" s="294"/>
      <c r="AE110" s="295"/>
      <c r="AF110" s="295"/>
      <c r="AG110" s="295"/>
      <c r="AH110" s="295"/>
      <c r="AI110" s="296"/>
      <c r="AJ110" s="132"/>
      <c r="AK110" s="127"/>
      <c r="AL110" s="127"/>
      <c r="AM110" s="21"/>
      <c r="AN110" s="289"/>
      <c r="AO110" s="290"/>
      <c r="AP110" s="135"/>
      <c r="AQ110" s="136"/>
      <c r="AR110" s="118"/>
      <c r="AS110" s="210"/>
      <c r="AT110" s="180">
        <f>AR110*0.1</f>
        <v>0</v>
      </c>
      <c r="AU110" s="181"/>
      <c r="AV110" s="118"/>
      <c r="AW110" s="210"/>
      <c r="AX110" s="118">
        <f>SUM(AR110:AW110)</f>
        <v>0</v>
      </c>
      <c r="AY110" s="119"/>
      <c r="AZ110" s="200"/>
    </row>
    <row r="111" spans="1:52" ht="17.100000000000001" customHeight="1" thickBot="1">
      <c r="A111" s="110"/>
      <c r="B111" s="27" t="s">
        <v>46</v>
      </c>
      <c r="C111" s="27">
        <v>80034</v>
      </c>
      <c r="D111" s="14" t="s">
        <v>439</v>
      </c>
      <c r="E111" s="112"/>
      <c r="F111" s="300" t="s">
        <v>440</v>
      </c>
      <c r="G111" s="301"/>
      <c r="H111" s="301"/>
      <c r="I111" s="26">
        <v>57640</v>
      </c>
      <c r="J111" s="117"/>
      <c r="K111" s="120"/>
      <c r="L111" s="182"/>
      <c r="M111" s="120"/>
      <c r="N111" s="182"/>
      <c r="O111" s="120"/>
      <c r="P111" s="182"/>
      <c r="Q111" s="120"/>
      <c r="R111" s="182"/>
      <c r="S111" s="120"/>
      <c r="T111" s="182"/>
      <c r="U111" s="120"/>
      <c r="V111" s="182"/>
      <c r="W111" s="125"/>
      <c r="X111" s="144" t="s">
        <v>441</v>
      </c>
      <c r="Y111" s="287"/>
      <c r="Z111" s="287"/>
      <c r="AA111" s="287"/>
      <c r="AB111" s="287"/>
      <c r="AC111" s="16" t="s">
        <v>21</v>
      </c>
      <c r="AD111" s="60"/>
      <c r="AE111" s="145" t="s">
        <v>442</v>
      </c>
      <c r="AF111" s="146"/>
      <c r="AG111" s="146"/>
      <c r="AH111" s="146"/>
      <c r="AI111" s="147"/>
      <c r="AJ111" s="148"/>
      <c r="AK111" s="143"/>
      <c r="AL111" s="143"/>
      <c r="AM111" s="22"/>
      <c r="AN111" s="288"/>
      <c r="AO111" s="287"/>
      <c r="AP111" s="148"/>
      <c r="AQ111" s="144"/>
      <c r="AR111" s="120"/>
      <c r="AS111" s="182"/>
      <c r="AT111" s="120"/>
      <c r="AU111" s="182"/>
      <c r="AV111" s="120"/>
      <c r="AW111" s="182"/>
      <c r="AX111" s="120"/>
      <c r="AY111" s="121"/>
      <c r="AZ111" s="201"/>
    </row>
    <row r="112" spans="1:52" ht="17.100000000000001" customHeight="1" thickTop="1">
      <c r="A112" s="109" t="s">
        <v>5793</v>
      </c>
      <c r="B112" s="28">
        <v>42889</v>
      </c>
      <c r="C112" s="29" t="s">
        <v>443</v>
      </c>
      <c r="D112" s="13" t="s">
        <v>444</v>
      </c>
      <c r="E112" s="111"/>
      <c r="F112" s="283" t="s">
        <v>445</v>
      </c>
      <c r="G112" s="273"/>
      <c r="H112" s="273"/>
      <c r="I112" s="24"/>
      <c r="J112" s="116">
        <v>4</v>
      </c>
      <c r="K112" s="118">
        <v>2680000</v>
      </c>
      <c r="L112" s="210"/>
      <c r="M112" s="118">
        <v>214400</v>
      </c>
      <c r="N112" s="210"/>
      <c r="O112" s="118"/>
      <c r="P112" s="210"/>
      <c r="Q112" s="118">
        <v>24810</v>
      </c>
      <c r="R112" s="210"/>
      <c r="S112" s="118">
        <v>10800</v>
      </c>
      <c r="T112" s="210"/>
      <c r="U112" s="118">
        <f>SUM(K112:T112)</f>
        <v>2930010</v>
      </c>
      <c r="V112" s="210"/>
      <c r="W112" s="124">
        <v>1500000</v>
      </c>
      <c r="X112" s="224" t="s">
        <v>446</v>
      </c>
      <c r="Y112" s="215"/>
      <c r="Z112" s="215"/>
      <c r="AA112" s="215"/>
      <c r="AB112" s="215"/>
      <c r="AC112" s="15" t="s">
        <v>20</v>
      </c>
      <c r="AD112" s="294"/>
      <c r="AE112" s="295"/>
      <c r="AF112" s="295"/>
      <c r="AG112" s="295"/>
      <c r="AH112" s="295"/>
      <c r="AI112" s="296"/>
      <c r="AJ112" s="132"/>
      <c r="AK112" s="127"/>
      <c r="AL112" s="127"/>
      <c r="AM112" s="21"/>
      <c r="AN112" s="289"/>
      <c r="AO112" s="290"/>
      <c r="AP112" s="135"/>
      <c r="AQ112" s="136"/>
      <c r="AR112" s="118"/>
      <c r="AS112" s="210"/>
      <c r="AT112" s="180">
        <f>AR112*0.1</f>
        <v>0</v>
      </c>
      <c r="AU112" s="181"/>
      <c r="AV112" s="118"/>
      <c r="AW112" s="210"/>
      <c r="AX112" s="118">
        <f>SUM(AR112:AW112)</f>
        <v>0</v>
      </c>
      <c r="AY112" s="119"/>
      <c r="AZ112" s="200"/>
    </row>
    <row r="113" spans="1:52" ht="17.100000000000001" customHeight="1" thickBot="1">
      <c r="A113" s="110"/>
      <c r="B113" s="27" t="s">
        <v>46</v>
      </c>
      <c r="C113" s="27">
        <v>80392</v>
      </c>
      <c r="D113" s="14" t="s">
        <v>447</v>
      </c>
      <c r="E113" s="112"/>
      <c r="F113" s="139" t="s">
        <v>448</v>
      </c>
      <c r="G113" s="140"/>
      <c r="H113" s="140"/>
      <c r="I113" s="26">
        <v>53004</v>
      </c>
      <c r="J113" s="117"/>
      <c r="K113" s="120"/>
      <c r="L113" s="182"/>
      <c r="M113" s="120"/>
      <c r="N113" s="182"/>
      <c r="O113" s="120"/>
      <c r="P113" s="182"/>
      <c r="Q113" s="120"/>
      <c r="R113" s="182"/>
      <c r="S113" s="120"/>
      <c r="T113" s="182"/>
      <c r="U113" s="120"/>
      <c r="V113" s="182"/>
      <c r="W113" s="125"/>
      <c r="X113" s="144" t="s">
        <v>449</v>
      </c>
      <c r="Y113" s="287"/>
      <c r="Z113" s="287"/>
      <c r="AA113" s="287"/>
      <c r="AB113" s="287"/>
      <c r="AC113" s="16" t="s">
        <v>21</v>
      </c>
      <c r="AD113" s="60"/>
      <c r="AE113" s="145" t="s">
        <v>450</v>
      </c>
      <c r="AF113" s="146"/>
      <c r="AG113" s="146"/>
      <c r="AH113" s="146"/>
      <c r="AI113" s="147"/>
      <c r="AJ113" s="148"/>
      <c r="AK113" s="143"/>
      <c r="AL113" s="143"/>
      <c r="AM113" s="22"/>
      <c r="AN113" s="288"/>
      <c r="AO113" s="287"/>
      <c r="AP113" s="148"/>
      <c r="AQ113" s="144"/>
      <c r="AR113" s="120"/>
      <c r="AS113" s="182"/>
      <c r="AT113" s="120"/>
      <c r="AU113" s="182"/>
      <c r="AV113" s="120"/>
      <c r="AW113" s="182"/>
      <c r="AX113" s="120"/>
      <c r="AY113" s="121"/>
      <c r="AZ113" s="201"/>
    </row>
    <row r="114" spans="1:52" ht="17.100000000000001" customHeight="1" thickTop="1">
      <c r="A114" s="109" t="s">
        <v>5794</v>
      </c>
      <c r="B114" s="28">
        <v>42901</v>
      </c>
      <c r="C114" s="29" t="s">
        <v>451</v>
      </c>
      <c r="D114" s="13" t="s">
        <v>452</v>
      </c>
      <c r="E114" s="111"/>
      <c r="F114" s="283" t="s">
        <v>453</v>
      </c>
      <c r="G114" s="273"/>
      <c r="H114" s="273"/>
      <c r="I114" s="24"/>
      <c r="J114" s="116">
        <v>4</v>
      </c>
      <c r="K114" s="118">
        <v>400000</v>
      </c>
      <c r="L114" s="210"/>
      <c r="M114" s="118">
        <v>32000</v>
      </c>
      <c r="N114" s="210"/>
      <c r="O114" s="118"/>
      <c r="P114" s="210"/>
      <c r="Q114" s="118">
        <v>15210</v>
      </c>
      <c r="R114" s="210"/>
      <c r="S114" s="118">
        <v>12960</v>
      </c>
      <c r="T114" s="210"/>
      <c r="U114" s="118">
        <f>SUM(K114:T114)</f>
        <v>460170</v>
      </c>
      <c r="V114" s="210"/>
      <c r="W114" s="124">
        <v>150000</v>
      </c>
      <c r="X114" s="224" t="s">
        <v>454</v>
      </c>
      <c r="Y114" s="215"/>
      <c r="Z114" s="215"/>
      <c r="AA114" s="215"/>
      <c r="AB114" s="215"/>
      <c r="AC114" s="15" t="s">
        <v>20</v>
      </c>
      <c r="AD114" s="294"/>
      <c r="AE114" s="295"/>
      <c r="AF114" s="295"/>
      <c r="AG114" s="295"/>
      <c r="AH114" s="295"/>
      <c r="AI114" s="296"/>
      <c r="AJ114" s="132"/>
      <c r="AK114" s="127"/>
      <c r="AL114" s="127"/>
      <c r="AM114" s="21"/>
      <c r="AN114" s="289"/>
      <c r="AO114" s="290"/>
      <c r="AP114" s="135"/>
      <c r="AQ114" s="136"/>
      <c r="AR114" s="118"/>
      <c r="AS114" s="210"/>
      <c r="AT114" s="180">
        <f>AR114*0.1</f>
        <v>0</v>
      </c>
      <c r="AU114" s="181"/>
      <c r="AV114" s="118"/>
      <c r="AW114" s="210"/>
      <c r="AX114" s="118">
        <f>SUM(AR114:AW114)</f>
        <v>0</v>
      </c>
      <c r="AY114" s="119"/>
      <c r="AZ114" s="200"/>
    </row>
    <row r="115" spans="1:52" ht="17.100000000000001" customHeight="1" thickBot="1">
      <c r="A115" s="110"/>
      <c r="B115" s="27" t="s">
        <v>148</v>
      </c>
      <c r="C115" s="27">
        <v>70054</v>
      </c>
      <c r="D115" s="14" t="s">
        <v>221</v>
      </c>
      <c r="E115" s="112"/>
      <c r="F115" s="139" t="s">
        <v>455</v>
      </c>
      <c r="G115" s="140"/>
      <c r="H115" s="140"/>
      <c r="I115" s="26">
        <v>51510</v>
      </c>
      <c r="J115" s="117"/>
      <c r="K115" s="120"/>
      <c r="L115" s="182"/>
      <c r="M115" s="120"/>
      <c r="N115" s="182"/>
      <c r="O115" s="120"/>
      <c r="P115" s="182"/>
      <c r="Q115" s="120"/>
      <c r="R115" s="182"/>
      <c r="S115" s="120"/>
      <c r="T115" s="182"/>
      <c r="U115" s="120"/>
      <c r="V115" s="182"/>
      <c r="W115" s="125"/>
      <c r="X115" s="144" t="s">
        <v>456</v>
      </c>
      <c r="Y115" s="287"/>
      <c r="Z115" s="287"/>
      <c r="AA115" s="287"/>
      <c r="AB115" s="287"/>
      <c r="AC115" s="16" t="s">
        <v>21</v>
      </c>
      <c r="AD115" s="60"/>
      <c r="AE115" s="145" t="s">
        <v>457</v>
      </c>
      <c r="AF115" s="146"/>
      <c r="AG115" s="146"/>
      <c r="AH115" s="146"/>
      <c r="AI115" s="147"/>
      <c r="AJ115" s="148"/>
      <c r="AK115" s="143"/>
      <c r="AL115" s="143"/>
      <c r="AM115" s="22"/>
      <c r="AN115" s="288"/>
      <c r="AO115" s="287"/>
      <c r="AP115" s="148"/>
      <c r="AQ115" s="144"/>
      <c r="AR115" s="120"/>
      <c r="AS115" s="182"/>
      <c r="AT115" s="120"/>
      <c r="AU115" s="182"/>
      <c r="AV115" s="120"/>
      <c r="AW115" s="182"/>
      <c r="AX115" s="120"/>
      <c r="AY115" s="121"/>
      <c r="AZ115" s="201"/>
    </row>
    <row r="116" spans="1:52" ht="17.100000000000001" customHeight="1" thickTop="1">
      <c r="A116" s="109" t="s">
        <v>5795</v>
      </c>
      <c r="B116" s="28">
        <v>42927</v>
      </c>
      <c r="C116" s="29" t="s">
        <v>458</v>
      </c>
      <c r="D116" s="13" t="s">
        <v>459</v>
      </c>
      <c r="E116" s="111"/>
      <c r="F116" s="283" t="s">
        <v>460</v>
      </c>
      <c r="G116" s="273"/>
      <c r="H116" s="273"/>
      <c r="I116" s="24" t="s">
        <v>429</v>
      </c>
      <c r="J116" s="116">
        <v>3.5</v>
      </c>
      <c r="K116" s="118">
        <v>875000</v>
      </c>
      <c r="L116" s="210"/>
      <c r="M116" s="118">
        <v>70000</v>
      </c>
      <c r="N116" s="210"/>
      <c r="O116" s="118">
        <v>22600</v>
      </c>
      <c r="P116" s="210"/>
      <c r="Q116" s="118">
        <v>4790</v>
      </c>
      <c r="R116" s="210"/>
      <c r="S116" s="118">
        <v>12960</v>
      </c>
      <c r="T116" s="210"/>
      <c r="U116" s="118">
        <f>SUM(K116:T116)</f>
        <v>985350</v>
      </c>
      <c r="V116" s="210"/>
      <c r="W116" s="124">
        <v>600000</v>
      </c>
      <c r="X116" s="224" t="s">
        <v>461</v>
      </c>
      <c r="Y116" s="215"/>
      <c r="Z116" s="215"/>
      <c r="AA116" s="215"/>
      <c r="AB116" s="215"/>
      <c r="AC116" s="15" t="s">
        <v>20</v>
      </c>
      <c r="AD116" s="294"/>
      <c r="AE116" s="295"/>
      <c r="AF116" s="295"/>
      <c r="AG116" s="295"/>
      <c r="AH116" s="295"/>
      <c r="AI116" s="296"/>
      <c r="AJ116" s="132"/>
      <c r="AK116" s="127"/>
      <c r="AL116" s="127"/>
      <c r="AM116" s="21"/>
      <c r="AN116" s="289"/>
      <c r="AO116" s="290"/>
      <c r="AP116" s="135"/>
      <c r="AQ116" s="136"/>
      <c r="AR116" s="118"/>
      <c r="AS116" s="210"/>
      <c r="AT116" s="180">
        <f>AR116*0.1</f>
        <v>0</v>
      </c>
      <c r="AU116" s="181"/>
      <c r="AV116" s="118"/>
      <c r="AW116" s="210"/>
      <c r="AX116" s="118">
        <f>SUM(AR116:AW116)</f>
        <v>0</v>
      </c>
      <c r="AY116" s="119"/>
      <c r="AZ116" s="200"/>
    </row>
    <row r="117" spans="1:52" ht="17.100000000000001" customHeight="1" thickBot="1">
      <c r="A117" s="110"/>
      <c r="B117" s="27" t="s">
        <v>132</v>
      </c>
      <c r="C117" s="27">
        <v>30225</v>
      </c>
      <c r="D117" s="14" t="s">
        <v>462</v>
      </c>
      <c r="E117" s="112"/>
      <c r="F117" s="139" t="s">
        <v>463</v>
      </c>
      <c r="G117" s="140"/>
      <c r="H117" s="140"/>
      <c r="I117" s="26">
        <v>58625</v>
      </c>
      <c r="J117" s="117"/>
      <c r="K117" s="120"/>
      <c r="L117" s="182"/>
      <c r="M117" s="120"/>
      <c r="N117" s="182"/>
      <c r="O117" s="120"/>
      <c r="P117" s="182"/>
      <c r="Q117" s="120"/>
      <c r="R117" s="182"/>
      <c r="S117" s="120"/>
      <c r="T117" s="182"/>
      <c r="U117" s="120"/>
      <c r="V117" s="182"/>
      <c r="W117" s="125"/>
      <c r="X117" s="144" t="s">
        <v>464</v>
      </c>
      <c r="Y117" s="287"/>
      <c r="Z117" s="287"/>
      <c r="AA117" s="287"/>
      <c r="AB117" s="287"/>
      <c r="AC117" s="16" t="s">
        <v>21</v>
      </c>
      <c r="AD117" s="60"/>
      <c r="AE117" s="145" t="s">
        <v>465</v>
      </c>
      <c r="AF117" s="146"/>
      <c r="AG117" s="146"/>
      <c r="AH117" s="146"/>
      <c r="AI117" s="147"/>
      <c r="AJ117" s="148"/>
      <c r="AK117" s="143"/>
      <c r="AL117" s="143"/>
      <c r="AM117" s="22"/>
      <c r="AN117" s="288"/>
      <c r="AO117" s="287"/>
      <c r="AP117" s="148"/>
      <c r="AQ117" s="144"/>
      <c r="AR117" s="120"/>
      <c r="AS117" s="182"/>
      <c r="AT117" s="120"/>
      <c r="AU117" s="182"/>
      <c r="AV117" s="120"/>
      <c r="AW117" s="182"/>
      <c r="AX117" s="120"/>
      <c r="AY117" s="121"/>
      <c r="AZ117" s="201"/>
    </row>
    <row r="118" spans="1:52" ht="17.100000000000001" customHeight="1" thickTop="1">
      <c r="A118" s="109" t="s">
        <v>5796</v>
      </c>
      <c r="B118" s="28">
        <v>42991</v>
      </c>
      <c r="C118" s="29" t="s">
        <v>466</v>
      </c>
      <c r="D118" s="13" t="s">
        <v>467</v>
      </c>
      <c r="E118" s="111"/>
      <c r="F118" s="283" t="s">
        <v>468</v>
      </c>
      <c r="G118" s="273"/>
      <c r="H118" s="273"/>
      <c r="I118" s="24"/>
      <c r="J118" s="116">
        <v>3</v>
      </c>
      <c r="K118" s="118">
        <v>615000</v>
      </c>
      <c r="L118" s="210"/>
      <c r="M118" s="118">
        <v>49200</v>
      </c>
      <c r="N118" s="210"/>
      <c r="O118" s="118"/>
      <c r="P118" s="210"/>
      <c r="Q118" s="118"/>
      <c r="R118" s="210"/>
      <c r="S118" s="118">
        <v>12960</v>
      </c>
      <c r="T118" s="210"/>
      <c r="U118" s="118">
        <f>SUM(K118:T118)</f>
        <v>677160</v>
      </c>
      <c r="V118" s="210"/>
      <c r="W118" s="124">
        <v>350000</v>
      </c>
      <c r="X118" s="224" t="s">
        <v>469</v>
      </c>
      <c r="Y118" s="215"/>
      <c r="Z118" s="215"/>
      <c r="AA118" s="215"/>
      <c r="AB118" s="215"/>
      <c r="AC118" s="15" t="s">
        <v>20</v>
      </c>
      <c r="AD118" s="129"/>
      <c r="AE118" s="130"/>
      <c r="AF118" s="130"/>
      <c r="AG118" s="130"/>
      <c r="AH118" s="130"/>
      <c r="AI118" s="131"/>
      <c r="AJ118" s="132"/>
      <c r="AK118" s="127"/>
      <c r="AL118" s="127"/>
      <c r="AM118" s="21"/>
      <c r="AN118" s="289"/>
      <c r="AO118" s="290"/>
      <c r="AP118" s="135"/>
      <c r="AQ118" s="136"/>
      <c r="AR118" s="118"/>
      <c r="AS118" s="210"/>
      <c r="AT118" s="180">
        <f>AR118*0.1</f>
        <v>0</v>
      </c>
      <c r="AU118" s="181"/>
      <c r="AV118" s="118"/>
      <c r="AW118" s="210"/>
      <c r="AX118" s="118">
        <f>SUM(AR118:AW118)</f>
        <v>0</v>
      </c>
      <c r="AY118" s="119"/>
      <c r="AZ118" s="200"/>
    </row>
    <row r="119" spans="1:52" ht="17.100000000000001" customHeight="1" thickBot="1">
      <c r="A119" s="110"/>
      <c r="B119" s="27" t="s">
        <v>257</v>
      </c>
      <c r="C119" s="27">
        <v>6067</v>
      </c>
      <c r="D119" s="14" t="s">
        <v>206</v>
      </c>
      <c r="E119" s="112"/>
      <c r="F119" s="139" t="s">
        <v>470</v>
      </c>
      <c r="G119" s="140"/>
      <c r="H119" s="140"/>
      <c r="I119" s="26">
        <v>50187</v>
      </c>
      <c r="J119" s="117"/>
      <c r="K119" s="120"/>
      <c r="L119" s="182"/>
      <c r="M119" s="120"/>
      <c r="N119" s="182"/>
      <c r="O119" s="120"/>
      <c r="P119" s="182"/>
      <c r="Q119" s="120"/>
      <c r="R119" s="182"/>
      <c r="S119" s="120"/>
      <c r="T119" s="182"/>
      <c r="U119" s="120"/>
      <c r="V119" s="182"/>
      <c r="W119" s="125"/>
      <c r="X119" s="144" t="s">
        <v>471</v>
      </c>
      <c r="Y119" s="287"/>
      <c r="Z119" s="287"/>
      <c r="AA119" s="287"/>
      <c r="AB119" s="287"/>
      <c r="AC119" s="16" t="s">
        <v>21</v>
      </c>
      <c r="AD119" s="17" t="s">
        <v>472</v>
      </c>
      <c r="AE119" s="145"/>
      <c r="AF119" s="146"/>
      <c r="AG119" s="146"/>
      <c r="AH119" s="146"/>
      <c r="AI119" s="147"/>
      <c r="AJ119" s="148"/>
      <c r="AK119" s="143"/>
      <c r="AL119" s="143"/>
      <c r="AM119" s="22"/>
      <c r="AN119" s="288"/>
      <c r="AO119" s="287"/>
      <c r="AP119" s="148"/>
      <c r="AQ119" s="144"/>
      <c r="AR119" s="120"/>
      <c r="AS119" s="182"/>
      <c r="AT119" s="120"/>
      <c r="AU119" s="182"/>
      <c r="AV119" s="120"/>
      <c r="AW119" s="182"/>
      <c r="AX119" s="120"/>
      <c r="AY119" s="121"/>
      <c r="AZ119" s="201"/>
    </row>
    <row r="120" spans="1:52" ht="17.100000000000001" customHeight="1" thickTop="1">
      <c r="A120" s="109" t="s">
        <v>5797</v>
      </c>
      <c r="B120" s="28">
        <v>43007</v>
      </c>
      <c r="C120" s="29" t="s">
        <v>473</v>
      </c>
      <c r="D120" s="13" t="s">
        <v>474</v>
      </c>
      <c r="E120" s="111"/>
      <c r="F120" s="283" t="s">
        <v>475</v>
      </c>
      <c r="G120" s="273"/>
      <c r="H120" s="273"/>
      <c r="I120" s="24"/>
      <c r="J120" s="116">
        <v>4</v>
      </c>
      <c r="K120" s="118">
        <v>405000</v>
      </c>
      <c r="L120" s="210"/>
      <c r="M120" s="118">
        <v>32400</v>
      </c>
      <c r="N120" s="210"/>
      <c r="O120" s="118"/>
      <c r="P120" s="210"/>
      <c r="Q120" s="118">
        <v>16090</v>
      </c>
      <c r="R120" s="210"/>
      <c r="S120" s="118">
        <v>12960</v>
      </c>
      <c r="T120" s="210"/>
      <c r="U120" s="118">
        <f>SUM(K120:T120)</f>
        <v>466450</v>
      </c>
      <c r="V120" s="210"/>
      <c r="W120" s="124">
        <v>150000</v>
      </c>
      <c r="X120" s="224" t="s">
        <v>476</v>
      </c>
      <c r="Y120" s="215"/>
      <c r="Z120" s="215"/>
      <c r="AA120" s="215"/>
      <c r="AB120" s="215"/>
      <c r="AC120" s="15" t="s">
        <v>20</v>
      </c>
      <c r="AD120" s="129"/>
      <c r="AE120" s="130"/>
      <c r="AF120" s="130"/>
      <c r="AG120" s="130"/>
      <c r="AH120" s="130"/>
      <c r="AI120" s="131"/>
      <c r="AJ120" s="132"/>
      <c r="AK120" s="127"/>
      <c r="AL120" s="127"/>
      <c r="AM120" s="21"/>
      <c r="AN120" s="289"/>
      <c r="AO120" s="290"/>
      <c r="AP120" s="135"/>
      <c r="AQ120" s="136"/>
      <c r="AR120" s="118"/>
      <c r="AS120" s="210"/>
      <c r="AT120" s="180">
        <f>AR120*0.1</f>
        <v>0</v>
      </c>
      <c r="AU120" s="181"/>
      <c r="AV120" s="118"/>
      <c r="AW120" s="210"/>
      <c r="AX120" s="118">
        <f>SUM(AR120:AW120)</f>
        <v>0</v>
      </c>
      <c r="AY120" s="119"/>
      <c r="AZ120" s="200"/>
    </row>
    <row r="121" spans="1:52" ht="17.100000000000001" customHeight="1" thickBot="1">
      <c r="A121" s="110"/>
      <c r="B121" s="27" t="s">
        <v>205</v>
      </c>
      <c r="C121" s="27">
        <v>20164</v>
      </c>
      <c r="D121" s="14" t="s">
        <v>477</v>
      </c>
      <c r="E121" s="112"/>
      <c r="F121" s="139" t="s">
        <v>478</v>
      </c>
      <c r="G121" s="140"/>
      <c r="H121" s="140"/>
      <c r="I121" s="26">
        <v>67118</v>
      </c>
      <c r="J121" s="117"/>
      <c r="K121" s="120"/>
      <c r="L121" s="182"/>
      <c r="M121" s="120"/>
      <c r="N121" s="182"/>
      <c r="O121" s="120"/>
      <c r="P121" s="182"/>
      <c r="Q121" s="120"/>
      <c r="R121" s="182"/>
      <c r="S121" s="120"/>
      <c r="T121" s="182"/>
      <c r="U121" s="120"/>
      <c r="V121" s="182"/>
      <c r="W121" s="125"/>
      <c r="X121" s="144" t="s">
        <v>479</v>
      </c>
      <c r="Y121" s="287"/>
      <c r="Z121" s="287"/>
      <c r="AA121" s="287"/>
      <c r="AB121" s="287"/>
      <c r="AC121" s="16" t="s">
        <v>21</v>
      </c>
      <c r="AD121" s="17" t="s">
        <v>480</v>
      </c>
      <c r="AE121" s="145"/>
      <c r="AF121" s="146"/>
      <c r="AG121" s="146"/>
      <c r="AH121" s="146"/>
      <c r="AI121" s="147"/>
      <c r="AJ121" s="148"/>
      <c r="AK121" s="143"/>
      <c r="AL121" s="143"/>
      <c r="AM121" s="22"/>
      <c r="AN121" s="288"/>
      <c r="AO121" s="287"/>
      <c r="AP121" s="148"/>
      <c r="AQ121" s="144"/>
      <c r="AR121" s="120"/>
      <c r="AS121" s="182"/>
      <c r="AT121" s="120"/>
      <c r="AU121" s="182"/>
      <c r="AV121" s="120"/>
      <c r="AW121" s="182"/>
      <c r="AX121" s="120"/>
      <c r="AY121" s="121"/>
      <c r="AZ121" s="201"/>
    </row>
    <row r="122" spans="1:52" ht="17.100000000000001" customHeight="1" thickTop="1">
      <c r="A122" s="109" t="s">
        <v>5798</v>
      </c>
      <c r="B122" s="28">
        <v>43022</v>
      </c>
      <c r="C122" s="29" t="s">
        <v>481</v>
      </c>
      <c r="D122" s="13" t="s">
        <v>482</v>
      </c>
      <c r="E122" s="111"/>
      <c r="F122" s="283" t="s">
        <v>181</v>
      </c>
      <c r="G122" s="273"/>
      <c r="H122" s="273"/>
      <c r="I122" s="24" t="s">
        <v>437</v>
      </c>
      <c r="J122" s="116">
        <v>4.5</v>
      </c>
      <c r="K122" s="118">
        <v>2150000</v>
      </c>
      <c r="L122" s="210"/>
      <c r="M122" s="118">
        <v>172000</v>
      </c>
      <c r="N122" s="210"/>
      <c r="O122" s="118">
        <v>16400</v>
      </c>
      <c r="P122" s="210"/>
      <c r="Q122" s="118">
        <v>18960</v>
      </c>
      <c r="R122" s="210"/>
      <c r="S122" s="118">
        <v>11880</v>
      </c>
      <c r="T122" s="210"/>
      <c r="U122" s="118">
        <f>SUM(K122:T122)</f>
        <v>2369240</v>
      </c>
      <c r="V122" s="210"/>
      <c r="W122" s="124">
        <v>1400000</v>
      </c>
      <c r="X122" s="224" t="s">
        <v>483</v>
      </c>
      <c r="Y122" s="215"/>
      <c r="Z122" s="215"/>
      <c r="AA122" s="215"/>
      <c r="AB122" s="215"/>
      <c r="AC122" s="15" t="s">
        <v>20</v>
      </c>
      <c r="AD122" s="129" t="s">
        <v>484</v>
      </c>
      <c r="AE122" s="130"/>
      <c r="AF122" s="130"/>
      <c r="AG122" s="130"/>
      <c r="AH122" s="130"/>
      <c r="AI122" s="131"/>
      <c r="AJ122" s="132"/>
      <c r="AK122" s="127"/>
      <c r="AL122" s="127"/>
      <c r="AM122" s="21"/>
      <c r="AN122" s="289"/>
      <c r="AO122" s="290"/>
      <c r="AP122" s="135"/>
      <c r="AQ122" s="136"/>
      <c r="AR122" s="118"/>
      <c r="AS122" s="210"/>
      <c r="AT122" s="180">
        <f>AR122*0.1</f>
        <v>0</v>
      </c>
      <c r="AU122" s="181"/>
      <c r="AV122" s="118"/>
      <c r="AW122" s="210"/>
      <c r="AX122" s="118">
        <f>SUM(AR122:AW122)</f>
        <v>0</v>
      </c>
      <c r="AY122" s="119"/>
      <c r="AZ122" s="200"/>
    </row>
    <row r="123" spans="1:52" ht="17.100000000000001" customHeight="1" thickBot="1">
      <c r="A123" s="110"/>
      <c r="B123" s="27" t="s">
        <v>46</v>
      </c>
      <c r="C123" s="27">
        <v>85345</v>
      </c>
      <c r="D123" s="14" t="s">
        <v>485</v>
      </c>
      <c r="E123" s="112"/>
      <c r="F123" s="139" t="s">
        <v>486</v>
      </c>
      <c r="G123" s="140"/>
      <c r="H123" s="140"/>
      <c r="I123" s="26">
        <v>24867</v>
      </c>
      <c r="J123" s="117"/>
      <c r="K123" s="120"/>
      <c r="L123" s="182"/>
      <c r="M123" s="120"/>
      <c r="N123" s="182"/>
      <c r="O123" s="120"/>
      <c r="P123" s="182"/>
      <c r="Q123" s="120"/>
      <c r="R123" s="182"/>
      <c r="S123" s="120"/>
      <c r="T123" s="182"/>
      <c r="U123" s="120"/>
      <c r="V123" s="182"/>
      <c r="W123" s="125"/>
      <c r="X123" s="144" t="s">
        <v>487</v>
      </c>
      <c r="Y123" s="287"/>
      <c r="Z123" s="287"/>
      <c r="AA123" s="287"/>
      <c r="AB123" s="287"/>
      <c r="AC123" s="16" t="s">
        <v>21</v>
      </c>
      <c r="AD123" s="17" t="s">
        <v>488</v>
      </c>
      <c r="AE123" s="145" t="s">
        <v>489</v>
      </c>
      <c r="AF123" s="146"/>
      <c r="AG123" s="146"/>
      <c r="AH123" s="146"/>
      <c r="AI123" s="147"/>
      <c r="AJ123" s="148"/>
      <c r="AK123" s="143"/>
      <c r="AL123" s="143"/>
      <c r="AM123" s="22"/>
      <c r="AN123" s="288"/>
      <c r="AO123" s="287"/>
      <c r="AP123" s="148"/>
      <c r="AQ123" s="144"/>
      <c r="AR123" s="120"/>
      <c r="AS123" s="182"/>
      <c r="AT123" s="120"/>
      <c r="AU123" s="182"/>
      <c r="AV123" s="120"/>
      <c r="AW123" s="182"/>
      <c r="AX123" s="120"/>
      <c r="AY123" s="121"/>
      <c r="AZ123" s="201"/>
    </row>
    <row r="124" spans="1:52" ht="17.100000000000001" customHeight="1" thickTop="1">
      <c r="A124" s="109" t="s">
        <v>5799</v>
      </c>
      <c r="B124" s="28">
        <v>43027</v>
      </c>
      <c r="C124" s="29" t="s">
        <v>490</v>
      </c>
      <c r="D124" s="13" t="s">
        <v>491</v>
      </c>
      <c r="E124" s="111"/>
      <c r="F124" s="283" t="s">
        <v>492</v>
      </c>
      <c r="G124" s="273"/>
      <c r="H124" s="273"/>
      <c r="I124" s="24" t="s">
        <v>359</v>
      </c>
      <c r="J124" s="116">
        <v>4</v>
      </c>
      <c r="K124" s="118">
        <v>505000</v>
      </c>
      <c r="L124" s="210"/>
      <c r="M124" s="118">
        <v>40400</v>
      </c>
      <c r="N124" s="210"/>
      <c r="O124" s="118">
        <v>18700</v>
      </c>
      <c r="P124" s="210"/>
      <c r="Q124" s="118">
        <v>16320</v>
      </c>
      <c r="R124" s="210"/>
      <c r="S124" s="118">
        <v>12960</v>
      </c>
      <c r="T124" s="210"/>
      <c r="U124" s="118">
        <f>SUM(K124:T124)</f>
        <v>593380</v>
      </c>
      <c r="V124" s="210"/>
      <c r="W124" s="124">
        <v>200000</v>
      </c>
      <c r="X124" s="224" t="s">
        <v>493</v>
      </c>
      <c r="Y124" s="215"/>
      <c r="Z124" s="215"/>
      <c r="AA124" s="215"/>
      <c r="AB124" s="215"/>
      <c r="AC124" s="15" t="s">
        <v>20</v>
      </c>
      <c r="AD124" s="129" t="s">
        <v>494</v>
      </c>
      <c r="AE124" s="130"/>
      <c r="AF124" s="130"/>
      <c r="AG124" s="130"/>
      <c r="AH124" s="130"/>
      <c r="AI124" s="131"/>
      <c r="AJ124" s="132" t="s">
        <v>495</v>
      </c>
      <c r="AK124" s="127"/>
      <c r="AL124" s="127"/>
      <c r="AM124" s="21"/>
      <c r="AN124" s="289"/>
      <c r="AO124" s="290"/>
      <c r="AP124" s="135"/>
      <c r="AQ124" s="136"/>
      <c r="AR124" s="118"/>
      <c r="AS124" s="210"/>
      <c r="AT124" s="180">
        <f>AR124*0.1</f>
        <v>0</v>
      </c>
      <c r="AU124" s="181"/>
      <c r="AV124" s="118"/>
      <c r="AW124" s="210"/>
      <c r="AX124" s="118">
        <f>SUM(AR124:AW124)</f>
        <v>0</v>
      </c>
      <c r="AY124" s="119"/>
      <c r="AZ124" s="200"/>
    </row>
    <row r="125" spans="1:52" ht="17.100000000000001" customHeight="1" thickBot="1">
      <c r="A125" s="110"/>
      <c r="B125" s="27" t="s">
        <v>250</v>
      </c>
      <c r="C125" s="27">
        <v>126</v>
      </c>
      <c r="D125" s="14" t="s">
        <v>66</v>
      </c>
      <c r="E125" s="112"/>
      <c r="F125" s="139" t="s">
        <v>496</v>
      </c>
      <c r="G125" s="140"/>
      <c r="H125" s="140"/>
      <c r="I125" s="26">
        <v>50633</v>
      </c>
      <c r="J125" s="117"/>
      <c r="K125" s="120"/>
      <c r="L125" s="182"/>
      <c r="M125" s="120"/>
      <c r="N125" s="182"/>
      <c r="O125" s="120"/>
      <c r="P125" s="182"/>
      <c r="Q125" s="120"/>
      <c r="R125" s="182"/>
      <c r="S125" s="120"/>
      <c r="T125" s="182"/>
      <c r="U125" s="120"/>
      <c r="V125" s="182"/>
      <c r="W125" s="125"/>
      <c r="X125" s="144" t="s">
        <v>497</v>
      </c>
      <c r="Y125" s="287"/>
      <c r="Z125" s="287"/>
      <c r="AA125" s="287"/>
      <c r="AB125" s="287"/>
      <c r="AC125" s="16" t="s">
        <v>21</v>
      </c>
      <c r="AD125" s="17" t="s">
        <v>498</v>
      </c>
      <c r="AE125" s="145" t="s">
        <v>499</v>
      </c>
      <c r="AF125" s="146"/>
      <c r="AG125" s="146"/>
      <c r="AH125" s="146"/>
      <c r="AI125" s="147"/>
      <c r="AJ125" s="148"/>
      <c r="AK125" s="143"/>
      <c r="AL125" s="143"/>
      <c r="AM125" s="22" t="s">
        <v>51</v>
      </c>
      <c r="AN125" s="288"/>
      <c r="AO125" s="287"/>
      <c r="AP125" s="148"/>
      <c r="AQ125" s="144"/>
      <c r="AR125" s="120"/>
      <c r="AS125" s="182"/>
      <c r="AT125" s="120"/>
      <c r="AU125" s="182"/>
      <c r="AV125" s="120"/>
      <c r="AW125" s="182"/>
      <c r="AX125" s="120"/>
      <c r="AY125" s="121"/>
      <c r="AZ125" s="201"/>
    </row>
    <row r="126" spans="1:52" ht="17.100000000000001" customHeight="1" thickTop="1">
      <c r="A126" s="109" t="s">
        <v>5800</v>
      </c>
      <c r="B126" s="28">
        <v>43035</v>
      </c>
      <c r="C126" s="29" t="s">
        <v>500</v>
      </c>
      <c r="D126" s="13" t="s">
        <v>501</v>
      </c>
      <c r="E126" s="111" t="s">
        <v>166</v>
      </c>
      <c r="F126" s="283" t="s">
        <v>181</v>
      </c>
      <c r="G126" s="273"/>
      <c r="H126" s="273"/>
      <c r="I126" s="61" t="s">
        <v>323</v>
      </c>
      <c r="J126" s="116">
        <v>5</v>
      </c>
      <c r="K126" s="118">
        <v>1920000</v>
      </c>
      <c r="L126" s="210"/>
      <c r="M126" s="118">
        <v>153600</v>
      </c>
      <c r="N126" s="210"/>
      <c r="O126" s="118">
        <v>16400</v>
      </c>
      <c r="P126" s="210"/>
      <c r="Q126" s="118">
        <v>18960</v>
      </c>
      <c r="R126" s="210"/>
      <c r="S126" s="118">
        <v>12960</v>
      </c>
      <c r="T126" s="210"/>
      <c r="U126" s="118">
        <f>SUM(K126:T126)</f>
        <v>2121920</v>
      </c>
      <c r="V126" s="119"/>
      <c r="W126" s="124"/>
      <c r="X126" s="215" t="s">
        <v>502</v>
      </c>
      <c r="Y126" s="215"/>
      <c r="Z126" s="215"/>
      <c r="AA126" s="215"/>
      <c r="AB126" s="215"/>
      <c r="AC126" s="15" t="s">
        <v>20</v>
      </c>
      <c r="AD126" s="129" t="s">
        <v>503</v>
      </c>
      <c r="AE126" s="130"/>
      <c r="AF126" s="130"/>
      <c r="AG126" s="130"/>
      <c r="AH126" s="130"/>
      <c r="AI126" s="131"/>
      <c r="AJ126" s="128" t="s">
        <v>504</v>
      </c>
      <c r="AK126" s="297"/>
      <c r="AL126" s="132"/>
      <c r="AM126" s="62"/>
      <c r="AN126" s="289"/>
      <c r="AO126" s="290"/>
      <c r="AP126" s="135"/>
      <c r="AQ126" s="136"/>
      <c r="AR126" s="118"/>
      <c r="AS126" s="210"/>
      <c r="AT126" s="180">
        <f>AR126*0.1</f>
        <v>0</v>
      </c>
      <c r="AU126" s="181"/>
      <c r="AV126" s="118"/>
      <c r="AW126" s="210"/>
      <c r="AX126" s="118">
        <f>SUM(AR126:AW126)</f>
        <v>0</v>
      </c>
      <c r="AY126" s="119"/>
      <c r="AZ126" s="200"/>
    </row>
    <row r="127" spans="1:52" ht="17.100000000000001" customHeight="1" thickBot="1">
      <c r="A127" s="110"/>
      <c r="B127" s="27" t="s">
        <v>205</v>
      </c>
      <c r="C127" s="27">
        <v>58183</v>
      </c>
      <c r="D127" s="14" t="s">
        <v>326</v>
      </c>
      <c r="E127" s="112"/>
      <c r="F127" s="139" t="s">
        <v>505</v>
      </c>
      <c r="G127" s="140"/>
      <c r="H127" s="140"/>
      <c r="I127" s="48">
        <v>36757</v>
      </c>
      <c r="J127" s="117"/>
      <c r="K127" s="120"/>
      <c r="L127" s="182"/>
      <c r="M127" s="120"/>
      <c r="N127" s="182"/>
      <c r="O127" s="120"/>
      <c r="P127" s="182"/>
      <c r="Q127" s="120"/>
      <c r="R127" s="182"/>
      <c r="S127" s="120"/>
      <c r="T127" s="182"/>
      <c r="U127" s="120"/>
      <c r="V127" s="121"/>
      <c r="W127" s="125"/>
      <c r="X127" s="287" t="s">
        <v>506</v>
      </c>
      <c r="Y127" s="287"/>
      <c r="Z127" s="287"/>
      <c r="AA127" s="287"/>
      <c r="AB127" s="287"/>
      <c r="AC127" s="16" t="s">
        <v>21</v>
      </c>
      <c r="AD127" s="17" t="s">
        <v>507</v>
      </c>
      <c r="AE127" s="145" t="s">
        <v>508</v>
      </c>
      <c r="AF127" s="146"/>
      <c r="AG127" s="146"/>
      <c r="AH127" s="146"/>
      <c r="AI127" s="147"/>
      <c r="AJ127" s="144"/>
      <c r="AK127" s="287"/>
      <c r="AL127" s="148"/>
      <c r="AM127" s="63" t="s">
        <v>509</v>
      </c>
      <c r="AN127" s="288"/>
      <c r="AO127" s="287"/>
      <c r="AP127" s="287"/>
      <c r="AQ127" s="287"/>
      <c r="AR127" s="120"/>
      <c r="AS127" s="182"/>
      <c r="AT127" s="120"/>
      <c r="AU127" s="182"/>
      <c r="AV127" s="120"/>
      <c r="AW127" s="182"/>
      <c r="AX127" s="120"/>
      <c r="AY127" s="121"/>
      <c r="AZ127" s="201"/>
    </row>
    <row r="128" spans="1:52" ht="17.100000000000001" customHeight="1" thickTop="1">
      <c r="A128" s="109" t="s">
        <v>5801</v>
      </c>
      <c r="B128" s="28">
        <v>43041</v>
      </c>
      <c r="C128" s="29" t="s">
        <v>510</v>
      </c>
      <c r="D128" s="13" t="s">
        <v>511</v>
      </c>
      <c r="E128" s="111"/>
      <c r="F128" s="283" t="s">
        <v>181</v>
      </c>
      <c r="G128" s="273"/>
      <c r="H128" s="273"/>
      <c r="I128" s="24"/>
      <c r="J128" s="116">
        <v>4</v>
      </c>
      <c r="K128" s="118">
        <v>2010000</v>
      </c>
      <c r="L128" s="210"/>
      <c r="M128" s="118">
        <v>160800</v>
      </c>
      <c r="N128" s="210"/>
      <c r="O128" s="118">
        <v>0</v>
      </c>
      <c r="P128" s="210"/>
      <c r="Q128" s="118">
        <v>18960</v>
      </c>
      <c r="R128" s="210"/>
      <c r="S128" s="118">
        <v>12960</v>
      </c>
      <c r="T128" s="210"/>
      <c r="U128" s="118">
        <f>SUM(K128:T128)</f>
        <v>2202720</v>
      </c>
      <c r="V128" s="210"/>
      <c r="W128" s="124">
        <v>1300000</v>
      </c>
      <c r="X128" s="224" t="s">
        <v>512</v>
      </c>
      <c r="Y128" s="215"/>
      <c r="Z128" s="215"/>
      <c r="AA128" s="215"/>
      <c r="AB128" s="215"/>
      <c r="AC128" s="15" t="s">
        <v>20</v>
      </c>
      <c r="AD128" s="129" t="s">
        <v>513</v>
      </c>
      <c r="AE128" s="130"/>
      <c r="AF128" s="130"/>
      <c r="AG128" s="130"/>
      <c r="AH128" s="130"/>
      <c r="AI128" s="131"/>
      <c r="AJ128" s="132"/>
      <c r="AK128" s="127"/>
      <c r="AL128" s="127"/>
      <c r="AM128" s="62"/>
      <c r="AN128" s="289"/>
      <c r="AO128" s="290"/>
      <c r="AP128" s="135"/>
      <c r="AQ128" s="136"/>
      <c r="AR128" s="118"/>
      <c r="AS128" s="210"/>
      <c r="AT128" s="180">
        <f>AR128*0.1</f>
        <v>0</v>
      </c>
      <c r="AU128" s="181"/>
      <c r="AV128" s="118"/>
      <c r="AW128" s="210"/>
      <c r="AX128" s="118">
        <f>SUM(AR128:AW128)</f>
        <v>0</v>
      </c>
      <c r="AY128" s="119"/>
      <c r="AZ128" s="200"/>
    </row>
    <row r="129" spans="1:52" ht="17.100000000000001" customHeight="1" thickBot="1">
      <c r="A129" s="110"/>
      <c r="B129" s="27" t="s">
        <v>148</v>
      </c>
      <c r="C129" s="27">
        <v>75584</v>
      </c>
      <c r="D129" s="14" t="s">
        <v>265</v>
      </c>
      <c r="E129" s="112"/>
      <c r="F129" s="139" t="s">
        <v>514</v>
      </c>
      <c r="G129" s="140"/>
      <c r="H129" s="140"/>
      <c r="I129" s="26">
        <v>17730</v>
      </c>
      <c r="J129" s="117"/>
      <c r="K129" s="120"/>
      <c r="L129" s="182"/>
      <c r="M129" s="120"/>
      <c r="N129" s="182"/>
      <c r="O129" s="120"/>
      <c r="P129" s="182"/>
      <c r="Q129" s="120"/>
      <c r="R129" s="182"/>
      <c r="S129" s="120"/>
      <c r="T129" s="182"/>
      <c r="U129" s="120"/>
      <c r="V129" s="182"/>
      <c r="W129" s="125"/>
      <c r="X129" s="144" t="s">
        <v>515</v>
      </c>
      <c r="Y129" s="287"/>
      <c r="Z129" s="287"/>
      <c r="AA129" s="287"/>
      <c r="AB129" s="287"/>
      <c r="AC129" s="16" t="s">
        <v>21</v>
      </c>
      <c r="AD129" s="17" t="s">
        <v>516</v>
      </c>
      <c r="AE129" s="145" t="s">
        <v>517</v>
      </c>
      <c r="AF129" s="146"/>
      <c r="AG129" s="146"/>
      <c r="AH129" s="146"/>
      <c r="AI129" s="147"/>
      <c r="AJ129" s="148"/>
      <c r="AK129" s="143"/>
      <c r="AL129" s="143"/>
      <c r="AM129" s="22"/>
      <c r="AN129" s="288"/>
      <c r="AO129" s="287"/>
      <c r="AP129" s="148"/>
      <c r="AQ129" s="144"/>
      <c r="AR129" s="120"/>
      <c r="AS129" s="182"/>
      <c r="AT129" s="120"/>
      <c r="AU129" s="182"/>
      <c r="AV129" s="120"/>
      <c r="AW129" s="182"/>
      <c r="AX129" s="120"/>
      <c r="AY129" s="121"/>
      <c r="AZ129" s="201"/>
    </row>
    <row r="130" spans="1:52" ht="17.100000000000001" customHeight="1" thickTop="1">
      <c r="A130" s="109" t="s">
        <v>5802</v>
      </c>
      <c r="B130" s="28">
        <v>43082</v>
      </c>
      <c r="C130" s="29" t="s">
        <v>518</v>
      </c>
      <c r="D130" s="13" t="s">
        <v>263</v>
      </c>
      <c r="E130" s="111" t="s">
        <v>166</v>
      </c>
      <c r="F130" s="283" t="s">
        <v>519</v>
      </c>
      <c r="G130" s="273"/>
      <c r="H130" s="273"/>
      <c r="I130" s="61" t="s">
        <v>520</v>
      </c>
      <c r="J130" s="116">
        <v>5</v>
      </c>
      <c r="K130" s="118">
        <v>1925000</v>
      </c>
      <c r="L130" s="210"/>
      <c r="M130" s="118">
        <v>154000</v>
      </c>
      <c r="N130" s="210"/>
      <c r="O130" s="118">
        <v>9800</v>
      </c>
      <c r="P130" s="210"/>
      <c r="Q130" s="118">
        <v>17700</v>
      </c>
      <c r="R130" s="210"/>
      <c r="S130" s="118">
        <v>12960</v>
      </c>
      <c r="T130" s="210"/>
      <c r="U130" s="118">
        <f>SUM(K130:T130)</f>
        <v>2119460</v>
      </c>
      <c r="V130" s="119"/>
      <c r="W130" s="124"/>
      <c r="X130" s="215" t="s">
        <v>521</v>
      </c>
      <c r="Y130" s="215"/>
      <c r="Z130" s="215"/>
      <c r="AA130" s="215"/>
      <c r="AB130" s="215"/>
      <c r="AC130" s="15" t="s">
        <v>20</v>
      </c>
      <c r="AD130" s="129" t="s">
        <v>522</v>
      </c>
      <c r="AE130" s="130"/>
      <c r="AF130" s="130"/>
      <c r="AG130" s="130"/>
      <c r="AH130" s="130"/>
      <c r="AI130" s="131"/>
      <c r="AJ130" s="128" t="s">
        <v>523</v>
      </c>
      <c r="AK130" s="297"/>
      <c r="AL130" s="132"/>
      <c r="AM130" s="62"/>
      <c r="AN130" s="289"/>
      <c r="AO130" s="290"/>
      <c r="AP130" s="135"/>
      <c r="AQ130" s="136"/>
      <c r="AR130" s="118"/>
      <c r="AS130" s="210"/>
      <c r="AT130" s="180">
        <f>AR130*0.1</f>
        <v>0</v>
      </c>
      <c r="AU130" s="181"/>
      <c r="AV130" s="118"/>
      <c r="AW130" s="210"/>
      <c r="AX130" s="118">
        <f>SUM(AR130:AW130)</f>
        <v>0</v>
      </c>
      <c r="AY130" s="119"/>
      <c r="AZ130" s="200"/>
    </row>
    <row r="131" spans="1:52" ht="17.100000000000001" customHeight="1" thickBot="1">
      <c r="A131" s="110"/>
      <c r="B131" s="27" t="s">
        <v>524</v>
      </c>
      <c r="C131" s="27">
        <v>70039</v>
      </c>
      <c r="D131" s="14" t="s">
        <v>525</v>
      </c>
      <c r="E131" s="112"/>
      <c r="F131" s="139" t="s">
        <v>526</v>
      </c>
      <c r="G131" s="140"/>
      <c r="H131" s="140"/>
      <c r="I131" s="48">
        <v>24113</v>
      </c>
      <c r="J131" s="117"/>
      <c r="K131" s="120"/>
      <c r="L131" s="182"/>
      <c r="M131" s="120"/>
      <c r="N131" s="182"/>
      <c r="O131" s="120"/>
      <c r="P131" s="182"/>
      <c r="Q131" s="120"/>
      <c r="R131" s="182"/>
      <c r="S131" s="120"/>
      <c r="T131" s="182"/>
      <c r="U131" s="120"/>
      <c r="V131" s="121"/>
      <c r="W131" s="125"/>
      <c r="X131" s="287" t="s">
        <v>487</v>
      </c>
      <c r="Y131" s="287"/>
      <c r="Z131" s="287"/>
      <c r="AA131" s="287"/>
      <c r="AB131" s="287"/>
      <c r="AC131" s="16" t="s">
        <v>21</v>
      </c>
      <c r="AD131" s="17" t="s">
        <v>527</v>
      </c>
      <c r="AE131" s="145" t="s">
        <v>508</v>
      </c>
      <c r="AF131" s="146"/>
      <c r="AG131" s="146"/>
      <c r="AH131" s="146"/>
      <c r="AI131" s="147"/>
      <c r="AJ131" s="144"/>
      <c r="AK131" s="287"/>
      <c r="AL131" s="148"/>
      <c r="AM131" s="63" t="s">
        <v>528</v>
      </c>
      <c r="AN131" s="288"/>
      <c r="AO131" s="287"/>
      <c r="AP131" s="287"/>
      <c r="AQ131" s="287"/>
      <c r="AR131" s="120"/>
      <c r="AS131" s="182"/>
      <c r="AT131" s="120"/>
      <c r="AU131" s="182"/>
      <c r="AV131" s="120"/>
      <c r="AW131" s="182"/>
      <c r="AX131" s="120"/>
      <c r="AY131" s="121"/>
      <c r="AZ131" s="201"/>
    </row>
    <row r="132" spans="1:52" ht="17.100000000000001" customHeight="1" thickTop="1">
      <c r="A132" s="109" t="s">
        <v>5803</v>
      </c>
      <c r="B132" s="28">
        <v>43083</v>
      </c>
      <c r="C132" s="29" t="s">
        <v>529</v>
      </c>
      <c r="D132" s="13" t="s">
        <v>530</v>
      </c>
      <c r="E132" s="111"/>
      <c r="F132" s="283" t="s">
        <v>531</v>
      </c>
      <c r="G132" s="273"/>
      <c r="H132" s="273"/>
      <c r="I132" s="24" t="s">
        <v>520</v>
      </c>
      <c r="J132" s="116">
        <v>4</v>
      </c>
      <c r="K132" s="118">
        <v>1695000</v>
      </c>
      <c r="L132" s="210"/>
      <c r="M132" s="118">
        <v>135600</v>
      </c>
      <c r="N132" s="210"/>
      <c r="O132" s="118">
        <v>9800</v>
      </c>
      <c r="P132" s="210"/>
      <c r="Q132" s="118">
        <v>24290</v>
      </c>
      <c r="R132" s="210"/>
      <c r="S132" s="118">
        <v>12960</v>
      </c>
      <c r="T132" s="210"/>
      <c r="U132" s="118">
        <f>SUM(K132:T132)</f>
        <v>1877650</v>
      </c>
      <c r="V132" s="210"/>
      <c r="W132" s="124">
        <v>650000</v>
      </c>
      <c r="X132" s="224" t="s">
        <v>532</v>
      </c>
      <c r="Y132" s="215"/>
      <c r="Z132" s="215"/>
      <c r="AA132" s="215"/>
      <c r="AB132" s="215"/>
      <c r="AC132" s="15" t="s">
        <v>20</v>
      </c>
      <c r="AD132" s="129" t="s">
        <v>533</v>
      </c>
      <c r="AE132" s="130"/>
      <c r="AF132" s="130"/>
      <c r="AG132" s="130"/>
      <c r="AH132" s="130"/>
      <c r="AI132" s="131"/>
      <c r="AJ132" s="132"/>
      <c r="AK132" s="127"/>
      <c r="AL132" s="127"/>
      <c r="AM132" s="21"/>
      <c r="AN132" s="289"/>
      <c r="AO132" s="290"/>
      <c r="AP132" s="135"/>
      <c r="AQ132" s="136"/>
      <c r="AR132" s="118"/>
      <c r="AS132" s="210"/>
      <c r="AT132" s="180">
        <f>AR132*0.1</f>
        <v>0</v>
      </c>
      <c r="AU132" s="181"/>
      <c r="AV132" s="118"/>
      <c r="AW132" s="210"/>
      <c r="AX132" s="118">
        <f>SUM(AR132:AW132)</f>
        <v>0</v>
      </c>
      <c r="AY132" s="119"/>
      <c r="AZ132" s="200"/>
    </row>
    <row r="133" spans="1:52" ht="17.100000000000001" customHeight="1" thickBot="1">
      <c r="A133" s="110"/>
      <c r="B133" s="27" t="s">
        <v>250</v>
      </c>
      <c r="C133" s="27">
        <v>602</v>
      </c>
      <c r="D133" s="14" t="s">
        <v>447</v>
      </c>
      <c r="E133" s="112"/>
      <c r="F133" s="139" t="s">
        <v>534</v>
      </c>
      <c r="G133" s="140"/>
      <c r="H133" s="140"/>
      <c r="I133" s="26">
        <v>34309</v>
      </c>
      <c r="J133" s="117"/>
      <c r="K133" s="120"/>
      <c r="L133" s="182"/>
      <c r="M133" s="120"/>
      <c r="N133" s="182"/>
      <c r="O133" s="120"/>
      <c r="P133" s="182"/>
      <c r="Q133" s="120"/>
      <c r="R133" s="182"/>
      <c r="S133" s="120"/>
      <c r="T133" s="182"/>
      <c r="U133" s="120"/>
      <c r="V133" s="182"/>
      <c r="W133" s="125"/>
      <c r="X133" s="144" t="s">
        <v>535</v>
      </c>
      <c r="Y133" s="287"/>
      <c r="Z133" s="287"/>
      <c r="AA133" s="287"/>
      <c r="AB133" s="287"/>
      <c r="AC133" s="16" t="s">
        <v>21</v>
      </c>
      <c r="AD133" s="17" t="s">
        <v>536</v>
      </c>
      <c r="AE133" s="145" t="s">
        <v>489</v>
      </c>
      <c r="AF133" s="146"/>
      <c r="AG133" s="146"/>
      <c r="AH133" s="146"/>
      <c r="AI133" s="147"/>
      <c r="AJ133" s="148"/>
      <c r="AK133" s="143"/>
      <c r="AL133" s="143"/>
      <c r="AM133" s="22" t="s">
        <v>51</v>
      </c>
      <c r="AN133" s="288"/>
      <c r="AO133" s="287"/>
      <c r="AP133" s="148"/>
      <c r="AQ133" s="144"/>
      <c r="AR133" s="120"/>
      <c r="AS133" s="182"/>
      <c r="AT133" s="120"/>
      <c r="AU133" s="182"/>
      <c r="AV133" s="120"/>
      <c r="AW133" s="182"/>
      <c r="AX133" s="120"/>
      <c r="AY133" s="121"/>
      <c r="AZ133" s="201"/>
    </row>
    <row r="134" spans="1:52" ht="17.100000000000001" customHeight="1" thickTop="1">
      <c r="A134" s="109" t="s">
        <v>5804</v>
      </c>
      <c r="B134" s="28">
        <v>43090</v>
      </c>
      <c r="C134" s="29" t="s">
        <v>537</v>
      </c>
      <c r="D134" s="13" t="s">
        <v>538</v>
      </c>
      <c r="E134" s="111"/>
      <c r="F134" s="283" t="s">
        <v>539</v>
      </c>
      <c r="G134" s="273"/>
      <c r="H134" s="273"/>
      <c r="I134" s="24"/>
      <c r="J134" s="116">
        <v>4</v>
      </c>
      <c r="K134" s="118">
        <v>955000</v>
      </c>
      <c r="L134" s="210"/>
      <c r="M134" s="118">
        <v>76400</v>
      </c>
      <c r="N134" s="210"/>
      <c r="O134" s="118">
        <v>0</v>
      </c>
      <c r="P134" s="210"/>
      <c r="Q134" s="118">
        <v>19820</v>
      </c>
      <c r="R134" s="210"/>
      <c r="S134" s="118">
        <v>12960</v>
      </c>
      <c r="T134" s="210"/>
      <c r="U134" s="118">
        <f>SUM(K134:T134)</f>
        <v>1064180</v>
      </c>
      <c r="V134" s="210"/>
      <c r="W134" s="124">
        <v>200000</v>
      </c>
      <c r="X134" s="224" t="s">
        <v>540</v>
      </c>
      <c r="Y134" s="215"/>
      <c r="Z134" s="215"/>
      <c r="AA134" s="215"/>
      <c r="AB134" s="215"/>
      <c r="AC134" s="15" t="s">
        <v>20</v>
      </c>
      <c r="AD134" s="129" t="s">
        <v>541</v>
      </c>
      <c r="AE134" s="130"/>
      <c r="AF134" s="130"/>
      <c r="AG134" s="130"/>
      <c r="AH134" s="130"/>
      <c r="AI134" s="131"/>
      <c r="AJ134" s="132"/>
      <c r="AK134" s="127"/>
      <c r="AL134" s="127"/>
      <c r="AM134" s="21"/>
      <c r="AN134" s="289"/>
      <c r="AO134" s="290"/>
      <c r="AP134" s="135"/>
      <c r="AQ134" s="136"/>
      <c r="AR134" s="118"/>
      <c r="AS134" s="210"/>
      <c r="AT134" s="180">
        <f>AR134*0.1</f>
        <v>0</v>
      </c>
      <c r="AU134" s="181"/>
      <c r="AV134" s="118"/>
      <c r="AW134" s="210"/>
      <c r="AX134" s="118">
        <f>SUM(AR134:AW134)</f>
        <v>0</v>
      </c>
      <c r="AY134" s="119"/>
      <c r="AZ134" s="200"/>
    </row>
    <row r="135" spans="1:52" ht="17.100000000000001" customHeight="1" thickBot="1">
      <c r="A135" s="110"/>
      <c r="B135" s="27" t="s">
        <v>148</v>
      </c>
      <c r="C135" s="27">
        <v>75666</v>
      </c>
      <c r="D135" s="14" t="s">
        <v>542</v>
      </c>
      <c r="E135" s="112"/>
      <c r="F135" s="139" t="s">
        <v>543</v>
      </c>
      <c r="G135" s="140"/>
      <c r="H135" s="140"/>
      <c r="I135" s="26">
        <v>58895</v>
      </c>
      <c r="J135" s="117"/>
      <c r="K135" s="120"/>
      <c r="L135" s="182"/>
      <c r="M135" s="120"/>
      <c r="N135" s="182"/>
      <c r="O135" s="120"/>
      <c r="P135" s="182"/>
      <c r="Q135" s="120"/>
      <c r="R135" s="182"/>
      <c r="S135" s="120"/>
      <c r="T135" s="182"/>
      <c r="U135" s="120"/>
      <c r="V135" s="182"/>
      <c r="W135" s="125"/>
      <c r="X135" s="144" t="s">
        <v>544</v>
      </c>
      <c r="Y135" s="287"/>
      <c r="Z135" s="287"/>
      <c r="AA135" s="287"/>
      <c r="AB135" s="287"/>
      <c r="AC135" s="16" t="s">
        <v>21</v>
      </c>
      <c r="AD135" s="17" t="s">
        <v>545</v>
      </c>
      <c r="AE135" s="145" t="s">
        <v>546</v>
      </c>
      <c r="AF135" s="146"/>
      <c r="AG135" s="146"/>
      <c r="AH135" s="146"/>
      <c r="AI135" s="147"/>
      <c r="AJ135" s="148"/>
      <c r="AK135" s="143"/>
      <c r="AL135" s="143"/>
      <c r="AM135" s="22"/>
      <c r="AN135" s="288"/>
      <c r="AO135" s="287"/>
      <c r="AP135" s="148"/>
      <c r="AQ135" s="144"/>
      <c r="AR135" s="120"/>
      <c r="AS135" s="182"/>
      <c r="AT135" s="120"/>
      <c r="AU135" s="182"/>
      <c r="AV135" s="120"/>
      <c r="AW135" s="182"/>
      <c r="AX135" s="120"/>
      <c r="AY135" s="121"/>
      <c r="AZ135" s="201"/>
    </row>
    <row r="136" spans="1:52" ht="17.100000000000001" customHeight="1" thickTop="1">
      <c r="A136" s="109" t="s">
        <v>5805</v>
      </c>
      <c r="B136" s="28">
        <v>43111</v>
      </c>
      <c r="C136" s="29" t="s">
        <v>547</v>
      </c>
      <c r="D136" s="13" t="s">
        <v>548</v>
      </c>
      <c r="E136" s="111"/>
      <c r="F136" s="113" t="s">
        <v>549</v>
      </c>
      <c r="G136" s="273"/>
      <c r="H136" s="273"/>
      <c r="I136" s="24"/>
      <c r="J136" s="116">
        <v>4.5</v>
      </c>
      <c r="K136" s="118">
        <v>1008000</v>
      </c>
      <c r="L136" s="210"/>
      <c r="M136" s="118">
        <v>80640</v>
      </c>
      <c r="N136" s="210"/>
      <c r="O136" s="118">
        <v>0</v>
      </c>
      <c r="P136" s="210"/>
      <c r="Q136" s="118">
        <v>16890</v>
      </c>
      <c r="R136" s="210"/>
      <c r="S136" s="118">
        <v>10800</v>
      </c>
      <c r="T136" s="210"/>
      <c r="U136" s="118">
        <f>SUM(K136:T136)</f>
        <v>1116330</v>
      </c>
      <c r="V136" s="210"/>
      <c r="W136" s="124">
        <v>500000</v>
      </c>
      <c r="X136" s="224" t="s">
        <v>550</v>
      </c>
      <c r="Y136" s="215"/>
      <c r="Z136" s="215"/>
      <c r="AA136" s="215"/>
      <c r="AB136" s="215"/>
      <c r="AC136" s="15" t="s">
        <v>20</v>
      </c>
      <c r="AD136" s="129" t="s">
        <v>551</v>
      </c>
      <c r="AE136" s="130"/>
      <c r="AF136" s="130"/>
      <c r="AG136" s="130"/>
      <c r="AH136" s="130"/>
      <c r="AI136" s="131"/>
      <c r="AJ136" s="132"/>
      <c r="AK136" s="127"/>
      <c r="AL136" s="127"/>
      <c r="AM136" s="21"/>
      <c r="AN136" s="289"/>
      <c r="AO136" s="290"/>
      <c r="AP136" s="135"/>
      <c r="AQ136" s="136"/>
      <c r="AR136" s="118"/>
      <c r="AS136" s="210"/>
      <c r="AT136" s="180">
        <f>AR136*0.1</f>
        <v>0</v>
      </c>
      <c r="AU136" s="181"/>
      <c r="AV136" s="118"/>
      <c r="AW136" s="210"/>
      <c r="AX136" s="118">
        <f>SUM(AR136:AW136)</f>
        <v>0</v>
      </c>
      <c r="AY136" s="119"/>
      <c r="AZ136" s="200"/>
    </row>
    <row r="137" spans="1:52" ht="17.100000000000001" customHeight="1" thickBot="1">
      <c r="A137" s="110"/>
      <c r="B137" s="27" t="s">
        <v>552</v>
      </c>
      <c r="C137" s="27">
        <v>80041</v>
      </c>
      <c r="D137" s="14" t="s">
        <v>553</v>
      </c>
      <c r="E137" s="112"/>
      <c r="F137" s="139" t="s">
        <v>554</v>
      </c>
      <c r="G137" s="140"/>
      <c r="H137" s="140"/>
      <c r="I137" s="26">
        <v>50900</v>
      </c>
      <c r="J137" s="117"/>
      <c r="K137" s="120"/>
      <c r="L137" s="182"/>
      <c r="M137" s="120"/>
      <c r="N137" s="182"/>
      <c r="O137" s="120"/>
      <c r="P137" s="182"/>
      <c r="Q137" s="120"/>
      <c r="R137" s="182"/>
      <c r="S137" s="120"/>
      <c r="T137" s="182"/>
      <c r="U137" s="120"/>
      <c r="V137" s="182"/>
      <c r="W137" s="125"/>
      <c r="X137" s="144" t="s">
        <v>555</v>
      </c>
      <c r="Y137" s="287"/>
      <c r="Z137" s="287"/>
      <c r="AA137" s="287"/>
      <c r="AB137" s="287"/>
      <c r="AC137" s="16" t="s">
        <v>21</v>
      </c>
      <c r="AD137" s="17" t="s">
        <v>556</v>
      </c>
      <c r="AE137" s="145" t="s">
        <v>557</v>
      </c>
      <c r="AF137" s="146"/>
      <c r="AG137" s="146"/>
      <c r="AH137" s="146"/>
      <c r="AI137" s="147"/>
      <c r="AJ137" s="148"/>
      <c r="AK137" s="143"/>
      <c r="AL137" s="143"/>
      <c r="AM137" s="22"/>
      <c r="AN137" s="288"/>
      <c r="AO137" s="287"/>
      <c r="AP137" s="148"/>
      <c r="AQ137" s="144"/>
      <c r="AR137" s="120"/>
      <c r="AS137" s="182"/>
      <c r="AT137" s="120"/>
      <c r="AU137" s="182"/>
      <c r="AV137" s="120"/>
      <c r="AW137" s="182"/>
      <c r="AX137" s="120"/>
      <c r="AY137" s="121"/>
      <c r="AZ137" s="201"/>
    </row>
    <row r="138" spans="1:52" ht="17.100000000000001" customHeight="1" thickTop="1">
      <c r="A138" s="109" t="s">
        <v>5806</v>
      </c>
      <c r="B138" s="28">
        <v>43132</v>
      </c>
      <c r="C138" s="29" t="s">
        <v>558</v>
      </c>
      <c r="D138" s="13" t="s">
        <v>385</v>
      </c>
      <c r="E138" s="111"/>
      <c r="F138" s="283" t="s">
        <v>559</v>
      </c>
      <c r="G138" s="273"/>
      <c r="H138" s="273"/>
      <c r="I138" s="24" t="s">
        <v>560</v>
      </c>
      <c r="J138" s="116">
        <v>5</v>
      </c>
      <c r="K138" s="118">
        <v>1895000</v>
      </c>
      <c r="L138" s="210"/>
      <c r="M138" s="118">
        <v>151600</v>
      </c>
      <c r="N138" s="210"/>
      <c r="O138" s="118">
        <v>4200</v>
      </c>
      <c r="P138" s="210"/>
      <c r="Q138" s="118">
        <v>18360</v>
      </c>
      <c r="R138" s="210"/>
      <c r="S138" s="118">
        <v>12960</v>
      </c>
      <c r="T138" s="210"/>
      <c r="U138" s="118">
        <f>SUM(K138:T138)</f>
        <v>2082120</v>
      </c>
      <c r="V138" s="210"/>
      <c r="W138" s="124">
        <v>1100000</v>
      </c>
      <c r="X138" s="224" t="s">
        <v>561</v>
      </c>
      <c r="Y138" s="215"/>
      <c r="Z138" s="215"/>
      <c r="AA138" s="215"/>
      <c r="AB138" s="215"/>
      <c r="AC138" s="15" t="s">
        <v>20</v>
      </c>
      <c r="AD138" s="129" t="s">
        <v>562</v>
      </c>
      <c r="AE138" s="130"/>
      <c r="AF138" s="130"/>
      <c r="AG138" s="130"/>
      <c r="AH138" s="130"/>
      <c r="AI138" s="131"/>
      <c r="AJ138" s="132"/>
      <c r="AK138" s="127"/>
      <c r="AL138" s="127"/>
      <c r="AM138" s="21"/>
      <c r="AN138" s="289"/>
      <c r="AO138" s="290"/>
      <c r="AP138" s="135"/>
      <c r="AQ138" s="136"/>
      <c r="AR138" s="118"/>
      <c r="AS138" s="210"/>
      <c r="AT138" s="180">
        <f>AR138*0.1</f>
        <v>0</v>
      </c>
      <c r="AU138" s="181"/>
      <c r="AV138" s="118"/>
      <c r="AW138" s="210"/>
      <c r="AX138" s="118">
        <f>SUM(AR138:AW138)</f>
        <v>0</v>
      </c>
      <c r="AY138" s="119"/>
      <c r="AZ138" s="200"/>
    </row>
    <row r="139" spans="1:52" ht="17.100000000000001" customHeight="1" thickBot="1">
      <c r="A139" s="110"/>
      <c r="B139" s="27" t="s">
        <v>148</v>
      </c>
      <c r="C139" s="27">
        <v>75222</v>
      </c>
      <c r="D139" s="14" t="s">
        <v>221</v>
      </c>
      <c r="E139" s="112"/>
      <c r="F139" s="139" t="s">
        <v>563</v>
      </c>
      <c r="G139" s="140"/>
      <c r="H139" s="140"/>
      <c r="I139" s="26">
        <v>39282</v>
      </c>
      <c r="J139" s="117"/>
      <c r="K139" s="120"/>
      <c r="L139" s="182"/>
      <c r="M139" s="120"/>
      <c r="N139" s="182"/>
      <c r="O139" s="120"/>
      <c r="P139" s="182"/>
      <c r="Q139" s="120"/>
      <c r="R139" s="182"/>
      <c r="S139" s="120"/>
      <c r="T139" s="182"/>
      <c r="U139" s="120"/>
      <c r="V139" s="182"/>
      <c r="W139" s="125"/>
      <c r="X139" s="144" t="s">
        <v>564</v>
      </c>
      <c r="Y139" s="287"/>
      <c r="Z139" s="287"/>
      <c r="AA139" s="287"/>
      <c r="AB139" s="287"/>
      <c r="AC139" s="16" t="s">
        <v>21</v>
      </c>
      <c r="AD139" s="17" t="s">
        <v>565</v>
      </c>
      <c r="AE139" s="145" t="s">
        <v>566</v>
      </c>
      <c r="AF139" s="146"/>
      <c r="AG139" s="146"/>
      <c r="AH139" s="146"/>
      <c r="AI139" s="147"/>
      <c r="AJ139" s="148"/>
      <c r="AK139" s="143"/>
      <c r="AL139" s="143"/>
      <c r="AM139" s="22" t="s">
        <v>51</v>
      </c>
      <c r="AN139" s="288"/>
      <c r="AO139" s="287"/>
      <c r="AP139" s="148"/>
      <c r="AQ139" s="144"/>
      <c r="AR139" s="120"/>
      <c r="AS139" s="182"/>
      <c r="AT139" s="120"/>
      <c r="AU139" s="182"/>
      <c r="AV139" s="120"/>
      <c r="AW139" s="182"/>
      <c r="AX139" s="120"/>
      <c r="AY139" s="121"/>
      <c r="AZ139" s="201"/>
    </row>
    <row r="140" spans="1:52" ht="17.100000000000001" customHeight="1" thickTop="1">
      <c r="A140" s="109" t="s">
        <v>5807</v>
      </c>
      <c r="B140" s="28">
        <v>43176</v>
      </c>
      <c r="C140" s="29" t="s">
        <v>567</v>
      </c>
      <c r="D140" s="13" t="s">
        <v>459</v>
      </c>
      <c r="E140" s="111"/>
      <c r="F140" s="283" t="s">
        <v>568</v>
      </c>
      <c r="G140" s="273"/>
      <c r="H140" s="273"/>
      <c r="I140" s="24" t="s">
        <v>569</v>
      </c>
      <c r="J140" s="116">
        <v>4</v>
      </c>
      <c r="K140" s="118">
        <v>905000</v>
      </c>
      <c r="L140" s="210"/>
      <c r="M140" s="118">
        <v>72400</v>
      </c>
      <c r="N140" s="210"/>
      <c r="O140" s="118">
        <v>33900</v>
      </c>
      <c r="P140" s="210"/>
      <c r="Q140" s="118">
        <v>4790</v>
      </c>
      <c r="R140" s="210"/>
      <c r="S140" s="118">
        <v>11880</v>
      </c>
      <c r="T140" s="210"/>
      <c r="U140" s="118">
        <f>SUM(K140:T140)</f>
        <v>1027970</v>
      </c>
      <c r="V140" s="210"/>
      <c r="W140" s="124">
        <v>600000</v>
      </c>
      <c r="X140" s="224" t="s">
        <v>570</v>
      </c>
      <c r="Y140" s="215"/>
      <c r="Z140" s="215"/>
      <c r="AA140" s="215"/>
      <c r="AB140" s="215"/>
      <c r="AC140" s="15" t="s">
        <v>20</v>
      </c>
      <c r="AD140" s="129" t="s">
        <v>571</v>
      </c>
      <c r="AE140" s="130"/>
      <c r="AF140" s="130"/>
      <c r="AG140" s="130"/>
      <c r="AH140" s="130"/>
      <c r="AI140" s="131"/>
      <c r="AJ140" s="132"/>
      <c r="AK140" s="127"/>
      <c r="AL140" s="127"/>
      <c r="AM140" s="21"/>
      <c r="AN140" s="289">
        <v>46085</v>
      </c>
      <c r="AO140" s="290"/>
      <c r="AP140" s="135">
        <v>1007</v>
      </c>
      <c r="AQ140" s="136"/>
      <c r="AR140" s="118">
        <v>355000</v>
      </c>
      <c r="AS140" s="210"/>
      <c r="AT140" s="180">
        <f>AR140*0.1</f>
        <v>35500</v>
      </c>
      <c r="AU140" s="181"/>
      <c r="AV140" s="118">
        <v>4790</v>
      </c>
      <c r="AW140" s="210"/>
      <c r="AX140" s="118">
        <f>SUM(AR140:AW140)</f>
        <v>395290</v>
      </c>
      <c r="AY140" s="119"/>
      <c r="AZ140" s="200">
        <v>46090</v>
      </c>
    </row>
    <row r="141" spans="1:52" ht="17.100000000000001" customHeight="1" thickBot="1">
      <c r="A141" s="110"/>
      <c r="B141" s="27" t="s">
        <v>46</v>
      </c>
      <c r="C141" s="27">
        <v>30068</v>
      </c>
      <c r="D141" s="14" t="s">
        <v>572</v>
      </c>
      <c r="E141" s="112"/>
      <c r="F141" s="139" t="s">
        <v>573</v>
      </c>
      <c r="G141" s="140"/>
      <c r="H141" s="140"/>
      <c r="I141" s="26">
        <v>44694</v>
      </c>
      <c r="J141" s="117"/>
      <c r="K141" s="120"/>
      <c r="L141" s="182"/>
      <c r="M141" s="120"/>
      <c r="N141" s="182"/>
      <c r="O141" s="120"/>
      <c r="P141" s="182"/>
      <c r="Q141" s="120"/>
      <c r="R141" s="182"/>
      <c r="S141" s="120"/>
      <c r="T141" s="182"/>
      <c r="U141" s="120"/>
      <c r="V141" s="182"/>
      <c r="W141" s="125"/>
      <c r="X141" s="144" t="s">
        <v>574</v>
      </c>
      <c r="Y141" s="287"/>
      <c r="Z141" s="287"/>
      <c r="AA141" s="287"/>
      <c r="AB141" s="287"/>
      <c r="AC141" s="16" t="s">
        <v>21</v>
      </c>
      <c r="AD141" s="17" t="s">
        <v>575</v>
      </c>
      <c r="AE141" s="145" t="s">
        <v>576</v>
      </c>
      <c r="AF141" s="146"/>
      <c r="AG141" s="146"/>
      <c r="AH141" s="146"/>
      <c r="AI141" s="147"/>
      <c r="AJ141" s="148"/>
      <c r="AK141" s="143"/>
      <c r="AL141" s="143"/>
      <c r="AM141" s="22"/>
      <c r="AN141" s="288" t="s">
        <v>2794</v>
      </c>
      <c r="AO141" s="287"/>
      <c r="AP141" s="148">
        <v>7011</v>
      </c>
      <c r="AQ141" s="144"/>
      <c r="AR141" s="120"/>
      <c r="AS141" s="182"/>
      <c r="AT141" s="120"/>
      <c r="AU141" s="182"/>
      <c r="AV141" s="120"/>
      <c r="AW141" s="182"/>
      <c r="AX141" s="120"/>
      <c r="AY141" s="121"/>
      <c r="AZ141" s="201"/>
    </row>
    <row r="142" spans="1:52" ht="17.100000000000001" customHeight="1" thickTop="1">
      <c r="A142" s="109" t="s">
        <v>5808</v>
      </c>
      <c r="B142" s="28">
        <v>43194</v>
      </c>
      <c r="C142" s="29" t="s">
        <v>577</v>
      </c>
      <c r="D142" s="13" t="s">
        <v>578</v>
      </c>
      <c r="E142" s="111"/>
      <c r="F142" s="283" t="s">
        <v>579</v>
      </c>
      <c r="G142" s="273"/>
      <c r="H142" s="273"/>
      <c r="I142" s="24"/>
      <c r="J142" s="116">
        <v>4</v>
      </c>
      <c r="K142" s="118">
        <v>964000</v>
      </c>
      <c r="L142" s="210"/>
      <c r="M142" s="118">
        <v>77120</v>
      </c>
      <c r="N142" s="210"/>
      <c r="O142" s="118">
        <v>0</v>
      </c>
      <c r="P142" s="210"/>
      <c r="Q142" s="118">
        <v>18840</v>
      </c>
      <c r="R142" s="210"/>
      <c r="S142" s="118">
        <v>12960</v>
      </c>
      <c r="T142" s="210"/>
      <c r="U142" s="118">
        <f>SUM(K142:T142)</f>
        <v>1072920</v>
      </c>
      <c r="V142" s="210"/>
      <c r="W142" s="124">
        <v>200000</v>
      </c>
      <c r="X142" s="224" t="s">
        <v>580</v>
      </c>
      <c r="Y142" s="215"/>
      <c r="Z142" s="215"/>
      <c r="AA142" s="215"/>
      <c r="AB142" s="215"/>
      <c r="AC142" s="15" t="s">
        <v>20</v>
      </c>
      <c r="AD142" s="129" t="s">
        <v>581</v>
      </c>
      <c r="AE142" s="130"/>
      <c r="AF142" s="130"/>
      <c r="AG142" s="130"/>
      <c r="AH142" s="130"/>
      <c r="AI142" s="131"/>
      <c r="AJ142" s="132"/>
      <c r="AK142" s="127"/>
      <c r="AL142" s="127"/>
      <c r="AM142" s="21"/>
      <c r="AN142" s="289"/>
      <c r="AO142" s="290"/>
      <c r="AP142" s="135"/>
      <c r="AQ142" s="136"/>
      <c r="AR142" s="118"/>
      <c r="AS142" s="210"/>
      <c r="AT142" s="180">
        <f>AR142*0.1</f>
        <v>0</v>
      </c>
      <c r="AU142" s="181"/>
      <c r="AV142" s="118"/>
      <c r="AW142" s="210"/>
      <c r="AX142" s="118">
        <f>SUM(AR142:AW142)</f>
        <v>0</v>
      </c>
      <c r="AY142" s="119"/>
      <c r="AZ142" s="200"/>
    </row>
    <row r="143" spans="1:52" ht="17.100000000000001" customHeight="1" thickBot="1">
      <c r="A143" s="110"/>
      <c r="B143" s="27" t="s">
        <v>582</v>
      </c>
      <c r="C143" s="27">
        <v>80048</v>
      </c>
      <c r="D143" s="14" t="s">
        <v>221</v>
      </c>
      <c r="E143" s="112"/>
      <c r="F143" s="139" t="s">
        <v>583</v>
      </c>
      <c r="G143" s="140"/>
      <c r="H143" s="140"/>
      <c r="I143" s="26">
        <v>41231</v>
      </c>
      <c r="J143" s="117"/>
      <c r="K143" s="120"/>
      <c r="L143" s="182"/>
      <c r="M143" s="120"/>
      <c r="N143" s="182"/>
      <c r="O143" s="120"/>
      <c r="P143" s="182"/>
      <c r="Q143" s="120"/>
      <c r="R143" s="182"/>
      <c r="S143" s="120"/>
      <c r="T143" s="182"/>
      <c r="U143" s="120"/>
      <c r="V143" s="182"/>
      <c r="W143" s="125"/>
      <c r="X143" s="144" t="s">
        <v>584</v>
      </c>
      <c r="Y143" s="287"/>
      <c r="Z143" s="287"/>
      <c r="AA143" s="287"/>
      <c r="AB143" s="287"/>
      <c r="AC143" s="16" t="s">
        <v>21</v>
      </c>
      <c r="AD143" s="17" t="s">
        <v>585</v>
      </c>
      <c r="AE143" s="145" t="s">
        <v>586</v>
      </c>
      <c r="AF143" s="146"/>
      <c r="AG143" s="146"/>
      <c r="AH143" s="146"/>
      <c r="AI143" s="147"/>
      <c r="AJ143" s="148"/>
      <c r="AK143" s="143"/>
      <c r="AL143" s="143"/>
      <c r="AM143" s="22"/>
      <c r="AN143" s="288"/>
      <c r="AO143" s="287"/>
      <c r="AP143" s="148"/>
      <c r="AQ143" s="144"/>
      <c r="AR143" s="120"/>
      <c r="AS143" s="182"/>
      <c r="AT143" s="120"/>
      <c r="AU143" s="182"/>
      <c r="AV143" s="120"/>
      <c r="AW143" s="182"/>
      <c r="AX143" s="120"/>
      <c r="AY143" s="121"/>
      <c r="AZ143" s="201"/>
    </row>
    <row r="144" spans="1:52" ht="17.100000000000001" customHeight="1" thickTop="1">
      <c r="A144" s="109" t="s">
        <v>5809</v>
      </c>
      <c r="B144" s="28">
        <v>43216</v>
      </c>
      <c r="C144" s="29" t="s">
        <v>587</v>
      </c>
      <c r="D144" s="13" t="s">
        <v>196</v>
      </c>
      <c r="E144" s="111"/>
      <c r="F144" s="113" t="s">
        <v>588</v>
      </c>
      <c r="G144" s="273"/>
      <c r="H144" s="273"/>
      <c r="I144" s="24"/>
      <c r="J144" s="116">
        <v>4</v>
      </c>
      <c r="K144" s="118">
        <v>715000</v>
      </c>
      <c r="L144" s="210"/>
      <c r="M144" s="118">
        <v>57200</v>
      </c>
      <c r="N144" s="210"/>
      <c r="O144" s="118">
        <v>0</v>
      </c>
      <c r="P144" s="210"/>
      <c r="Q144" s="118">
        <v>19020</v>
      </c>
      <c r="R144" s="210"/>
      <c r="S144" s="118">
        <v>12960</v>
      </c>
      <c r="T144" s="210"/>
      <c r="U144" s="118">
        <f>SUM(K144:T144)</f>
        <v>804180</v>
      </c>
      <c r="V144" s="210"/>
      <c r="W144" s="124">
        <v>100000</v>
      </c>
      <c r="X144" s="224" t="s">
        <v>589</v>
      </c>
      <c r="Y144" s="215"/>
      <c r="Z144" s="215"/>
      <c r="AA144" s="215"/>
      <c r="AB144" s="215"/>
      <c r="AC144" s="15" t="s">
        <v>20</v>
      </c>
      <c r="AD144" s="129"/>
      <c r="AE144" s="130"/>
      <c r="AF144" s="130"/>
      <c r="AG144" s="130"/>
      <c r="AH144" s="130"/>
      <c r="AI144" s="131"/>
      <c r="AJ144" s="132" t="s">
        <v>590</v>
      </c>
      <c r="AK144" s="127"/>
      <c r="AL144" s="127"/>
      <c r="AM144" s="21"/>
      <c r="AN144" s="289"/>
      <c r="AO144" s="290"/>
      <c r="AP144" s="135"/>
      <c r="AQ144" s="136"/>
      <c r="AR144" s="118"/>
      <c r="AS144" s="210"/>
      <c r="AT144" s="180">
        <f>AR144*0.1</f>
        <v>0</v>
      </c>
      <c r="AU144" s="181"/>
      <c r="AV144" s="118"/>
      <c r="AW144" s="210"/>
      <c r="AX144" s="118">
        <f>SUM(AR144:AW144)</f>
        <v>0</v>
      </c>
      <c r="AY144" s="119"/>
      <c r="AZ144" s="200"/>
    </row>
    <row r="145" spans="1:52" ht="17.100000000000001" customHeight="1" thickBot="1">
      <c r="A145" s="110"/>
      <c r="B145" s="27" t="s">
        <v>148</v>
      </c>
      <c r="C145" s="27">
        <v>75649</v>
      </c>
      <c r="D145" s="14" t="s">
        <v>447</v>
      </c>
      <c r="E145" s="112"/>
      <c r="F145" s="139" t="s">
        <v>591</v>
      </c>
      <c r="G145" s="140"/>
      <c r="H145" s="140"/>
      <c r="I145" s="26">
        <v>54966</v>
      </c>
      <c r="J145" s="117"/>
      <c r="K145" s="120"/>
      <c r="L145" s="182"/>
      <c r="M145" s="120"/>
      <c r="N145" s="182"/>
      <c r="O145" s="120"/>
      <c r="P145" s="182"/>
      <c r="Q145" s="120"/>
      <c r="R145" s="182"/>
      <c r="S145" s="120"/>
      <c r="T145" s="182"/>
      <c r="U145" s="120"/>
      <c r="V145" s="182"/>
      <c r="W145" s="125"/>
      <c r="X145" s="144" t="s">
        <v>592</v>
      </c>
      <c r="Y145" s="287"/>
      <c r="Z145" s="287"/>
      <c r="AA145" s="287"/>
      <c r="AB145" s="287"/>
      <c r="AC145" s="16" t="s">
        <v>21</v>
      </c>
      <c r="AD145" s="17" t="s">
        <v>593</v>
      </c>
      <c r="AE145" s="145" t="s">
        <v>594</v>
      </c>
      <c r="AF145" s="146"/>
      <c r="AG145" s="146"/>
      <c r="AH145" s="146"/>
      <c r="AI145" s="147"/>
      <c r="AJ145" s="148"/>
      <c r="AK145" s="143"/>
      <c r="AL145" s="143"/>
      <c r="AM145" s="22"/>
      <c r="AN145" s="288"/>
      <c r="AO145" s="287"/>
      <c r="AP145" s="148"/>
      <c r="AQ145" s="144"/>
      <c r="AR145" s="120"/>
      <c r="AS145" s="182"/>
      <c r="AT145" s="120"/>
      <c r="AU145" s="182"/>
      <c r="AV145" s="120"/>
      <c r="AW145" s="182"/>
      <c r="AX145" s="120"/>
      <c r="AY145" s="121"/>
      <c r="AZ145" s="201"/>
    </row>
    <row r="146" spans="1:52" ht="17.100000000000001" customHeight="1" thickTop="1">
      <c r="A146" s="109" t="s">
        <v>5810</v>
      </c>
      <c r="B146" s="28">
        <v>43245</v>
      </c>
      <c r="C146" s="29" t="s">
        <v>595</v>
      </c>
      <c r="D146" s="13" t="s">
        <v>596</v>
      </c>
      <c r="E146" s="111"/>
      <c r="F146" s="283" t="s">
        <v>597</v>
      </c>
      <c r="G146" s="273"/>
      <c r="H146" s="273"/>
      <c r="I146" s="24" t="s">
        <v>598</v>
      </c>
      <c r="J146" s="116">
        <v>4</v>
      </c>
      <c r="K146" s="118">
        <v>1000000</v>
      </c>
      <c r="L146" s="210"/>
      <c r="M146" s="118">
        <v>80000</v>
      </c>
      <c r="N146" s="210"/>
      <c r="O146" s="118">
        <v>63700</v>
      </c>
      <c r="P146" s="210"/>
      <c r="Q146" s="118">
        <v>18960</v>
      </c>
      <c r="R146" s="210"/>
      <c r="S146" s="118">
        <v>23760</v>
      </c>
      <c r="T146" s="210"/>
      <c r="U146" s="118">
        <f>SUM(K146:T146)</f>
        <v>1186420</v>
      </c>
      <c r="V146" s="210"/>
      <c r="W146" s="124">
        <v>500000</v>
      </c>
      <c r="X146" s="224" t="s">
        <v>599</v>
      </c>
      <c r="Y146" s="215"/>
      <c r="Z146" s="215"/>
      <c r="AA146" s="215"/>
      <c r="AB146" s="215"/>
      <c r="AC146" s="15" t="s">
        <v>20</v>
      </c>
      <c r="AD146" s="129"/>
      <c r="AE146" s="130"/>
      <c r="AF146" s="130"/>
      <c r="AG146" s="130"/>
      <c r="AH146" s="130"/>
      <c r="AI146" s="131"/>
      <c r="AJ146" s="132"/>
      <c r="AK146" s="127"/>
      <c r="AL146" s="127"/>
      <c r="AM146" s="21"/>
      <c r="AN146" s="289"/>
      <c r="AO146" s="290"/>
      <c r="AP146" s="135"/>
      <c r="AQ146" s="136"/>
      <c r="AR146" s="118"/>
      <c r="AS146" s="210"/>
      <c r="AT146" s="180">
        <f>AR146*0.1</f>
        <v>0</v>
      </c>
      <c r="AU146" s="181"/>
      <c r="AV146" s="118"/>
      <c r="AW146" s="210"/>
      <c r="AX146" s="118">
        <f>SUM(AR146:AW146)</f>
        <v>0</v>
      </c>
      <c r="AY146" s="119"/>
      <c r="AZ146" s="200"/>
    </row>
    <row r="147" spans="1:52" ht="17.100000000000001" customHeight="1" thickBot="1">
      <c r="A147" s="110"/>
      <c r="B147" s="27" t="s">
        <v>205</v>
      </c>
      <c r="C147" s="27">
        <v>20650</v>
      </c>
      <c r="D147" s="14" t="s">
        <v>119</v>
      </c>
      <c r="E147" s="112"/>
      <c r="F147" s="139" t="s">
        <v>600</v>
      </c>
      <c r="G147" s="140"/>
      <c r="H147" s="140"/>
      <c r="I147" s="26">
        <v>57147</v>
      </c>
      <c r="J147" s="117"/>
      <c r="K147" s="120"/>
      <c r="L147" s="182"/>
      <c r="M147" s="120"/>
      <c r="N147" s="182"/>
      <c r="O147" s="120"/>
      <c r="P147" s="182"/>
      <c r="Q147" s="120"/>
      <c r="R147" s="182"/>
      <c r="S147" s="120"/>
      <c r="T147" s="182"/>
      <c r="U147" s="120"/>
      <c r="V147" s="182"/>
      <c r="W147" s="125"/>
      <c r="X147" s="144" t="s">
        <v>601</v>
      </c>
      <c r="Y147" s="287"/>
      <c r="Z147" s="287"/>
      <c r="AA147" s="287"/>
      <c r="AB147" s="287"/>
      <c r="AC147" s="16" t="s">
        <v>21</v>
      </c>
      <c r="AD147" s="17" t="s">
        <v>602</v>
      </c>
      <c r="AE147" s="145" t="s">
        <v>603</v>
      </c>
      <c r="AF147" s="146"/>
      <c r="AG147" s="146"/>
      <c r="AH147" s="146"/>
      <c r="AI147" s="147"/>
      <c r="AJ147" s="148" t="s">
        <v>604</v>
      </c>
      <c r="AK147" s="143"/>
      <c r="AL147" s="143"/>
      <c r="AM147" s="22" t="s">
        <v>51</v>
      </c>
      <c r="AN147" s="288"/>
      <c r="AO147" s="287"/>
      <c r="AP147" s="148"/>
      <c r="AQ147" s="144"/>
      <c r="AR147" s="120"/>
      <c r="AS147" s="182"/>
      <c r="AT147" s="120"/>
      <c r="AU147" s="182"/>
      <c r="AV147" s="120"/>
      <c r="AW147" s="182"/>
      <c r="AX147" s="120"/>
      <c r="AY147" s="121"/>
      <c r="AZ147" s="201"/>
    </row>
    <row r="148" spans="1:52" ht="17.100000000000001" customHeight="1" thickTop="1">
      <c r="A148" s="109" t="s">
        <v>5811</v>
      </c>
      <c r="B148" s="28">
        <v>43307</v>
      </c>
      <c r="C148" s="29" t="s">
        <v>605</v>
      </c>
      <c r="D148" s="13" t="s">
        <v>310</v>
      </c>
      <c r="E148" s="111" t="s">
        <v>166</v>
      </c>
      <c r="F148" s="283" t="s">
        <v>606</v>
      </c>
      <c r="G148" s="273"/>
      <c r="H148" s="273"/>
      <c r="I148" s="61" t="s">
        <v>607</v>
      </c>
      <c r="J148" s="116">
        <v>4.5</v>
      </c>
      <c r="K148" s="118">
        <v>2200000</v>
      </c>
      <c r="L148" s="210"/>
      <c r="M148" s="118">
        <v>176000</v>
      </c>
      <c r="N148" s="210"/>
      <c r="O148" s="118">
        <v>26300</v>
      </c>
      <c r="P148" s="210"/>
      <c r="Q148" s="118">
        <v>19440</v>
      </c>
      <c r="R148" s="210"/>
      <c r="S148" s="118">
        <v>12960</v>
      </c>
      <c r="T148" s="210"/>
      <c r="U148" s="118">
        <f>SUM(K148:T148)</f>
        <v>2434700</v>
      </c>
      <c r="V148" s="119"/>
      <c r="W148" s="124"/>
      <c r="X148" s="215" t="s">
        <v>608</v>
      </c>
      <c r="Y148" s="215"/>
      <c r="Z148" s="215"/>
      <c r="AA148" s="215"/>
      <c r="AB148" s="215"/>
      <c r="AC148" s="15" t="s">
        <v>20</v>
      </c>
      <c r="AD148" s="129" t="s">
        <v>522</v>
      </c>
      <c r="AE148" s="130"/>
      <c r="AF148" s="130"/>
      <c r="AG148" s="130"/>
      <c r="AH148" s="130"/>
      <c r="AI148" s="131"/>
      <c r="AJ148" s="128"/>
      <c r="AK148" s="297"/>
      <c r="AL148" s="132"/>
      <c r="AM148" s="62"/>
      <c r="AN148" s="289"/>
      <c r="AO148" s="290"/>
      <c r="AP148" s="135"/>
      <c r="AQ148" s="136"/>
      <c r="AR148" s="118"/>
      <c r="AS148" s="210"/>
      <c r="AT148" s="180">
        <f>AR148*0.1</f>
        <v>0</v>
      </c>
      <c r="AU148" s="181"/>
      <c r="AV148" s="118"/>
      <c r="AW148" s="210"/>
      <c r="AX148" s="118">
        <f>SUM(AR148:AW148)</f>
        <v>0</v>
      </c>
      <c r="AY148" s="119"/>
      <c r="AZ148" s="200"/>
    </row>
    <row r="149" spans="1:52" ht="17.100000000000001" customHeight="1" thickBot="1">
      <c r="A149" s="110"/>
      <c r="B149" s="27" t="s">
        <v>250</v>
      </c>
      <c r="C149" s="27">
        <v>460</v>
      </c>
      <c r="D149" s="14" t="s">
        <v>439</v>
      </c>
      <c r="E149" s="112"/>
      <c r="F149" s="139" t="s">
        <v>609</v>
      </c>
      <c r="G149" s="140"/>
      <c r="H149" s="140"/>
      <c r="I149" s="48">
        <v>18374</v>
      </c>
      <c r="J149" s="117"/>
      <c r="K149" s="120"/>
      <c r="L149" s="182"/>
      <c r="M149" s="120"/>
      <c r="N149" s="182"/>
      <c r="O149" s="120"/>
      <c r="P149" s="182"/>
      <c r="Q149" s="120"/>
      <c r="R149" s="182"/>
      <c r="S149" s="120"/>
      <c r="T149" s="182"/>
      <c r="U149" s="120"/>
      <c r="V149" s="121"/>
      <c r="W149" s="125"/>
      <c r="X149" s="287" t="s">
        <v>610</v>
      </c>
      <c r="Y149" s="287"/>
      <c r="Z149" s="287"/>
      <c r="AA149" s="287"/>
      <c r="AB149" s="287"/>
      <c r="AC149" s="16" t="s">
        <v>21</v>
      </c>
      <c r="AD149" s="17" t="s">
        <v>611</v>
      </c>
      <c r="AE149" s="145" t="s">
        <v>489</v>
      </c>
      <c r="AF149" s="146"/>
      <c r="AG149" s="146"/>
      <c r="AH149" s="146"/>
      <c r="AI149" s="147"/>
      <c r="AJ149" s="298" t="s">
        <v>612</v>
      </c>
      <c r="AK149" s="299"/>
      <c r="AL149" s="275"/>
      <c r="AM149" s="63" t="s">
        <v>613</v>
      </c>
      <c r="AN149" s="288"/>
      <c r="AO149" s="287"/>
      <c r="AP149" s="287"/>
      <c r="AQ149" s="287"/>
      <c r="AR149" s="120"/>
      <c r="AS149" s="182"/>
      <c r="AT149" s="120"/>
      <c r="AU149" s="182"/>
      <c r="AV149" s="120"/>
      <c r="AW149" s="182"/>
      <c r="AX149" s="120"/>
      <c r="AY149" s="121"/>
      <c r="AZ149" s="201"/>
    </row>
    <row r="150" spans="1:52" ht="17.100000000000001" customHeight="1" thickTop="1">
      <c r="A150" s="109" t="s">
        <v>5812</v>
      </c>
      <c r="B150" s="28">
        <v>43383</v>
      </c>
      <c r="C150" s="29" t="s">
        <v>614</v>
      </c>
      <c r="D150" s="13" t="s">
        <v>615</v>
      </c>
      <c r="E150" s="111"/>
      <c r="F150" s="283" t="s">
        <v>616</v>
      </c>
      <c r="G150" s="273"/>
      <c r="H150" s="273"/>
      <c r="I150" s="24" t="s">
        <v>617</v>
      </c>
      <c r="J150" s="116">
        <v>3.5</v>
      </c>
      <c r="K150" s="118">
        <v>357000</v>
      </c>
      <c r="L150" s="210"/>
      <c r="M150" s="118">
        <v>28560</v>
      </c>
      <c r="N150" s="210"/>
      <c r="O150" s="118">
        <v>10000</v>
      </c>
      <c r="P150" s="210"/>
      <c r="Q150" s="118">
        <v>10010</v>
      </c>
      <c r="R150" s="210"/>
      <c r="S150" s="118">
        <v>12960</v>
      </c>
      <c r="T150" s="210"/>
      <c r="U150" s="118">
        <f>SUM(K150:T150)</f>
        <v>418530</v>
      </c>
      <c r="V150" s="210"/>
      <c r="W150" s="124">
        <v>200000</v>
      </c>
      <c r="X150" s="224" t="s">
        <v>618</v>
      </c>
      <c r="Y150" s="215"/>
      <c r="Z150" s="215"/>
      <c r="AA150" s="215"/>
      <c r="AB150" s="215"/>
      <c r="AC150" s="15" t="s">
        <v>20</v>
      </c>
      <c r="AD150" s="129" t="s">
        <v>619</v>
      </c>
      <c r="AE150" s="130"/>
      <c r="AF150" s="130"/>
      <c r="AG150" s="130"/>
      <c r="AH150" s="130"/>
      <c r="AI150" s="131"/>
      <c r="AJ150" s="132"/>
      <c r="AK150" s="127"/>
      <c r="AL150" s="127"/>
      <c r="AM150" s="21"/>
      <c r="AN150" s="289">
        <v>46004</v>
      </c>
      <c r="AO150" s="290"/>
      <c r="AP150" s="135">
        <v>1280</v>
      </c>
      <c r="AQ150" s="136"/>
      <c r="AR150" s="118">
        <v>290000</v>
      </c>
      <c r="AS150" s="210"/>
      <c r="AT150" s="180">
        <f>AR150*0.1</f>
        <v>29000</v>
      </c>
      <c r="AU150" s="181"/>
      <c r="AV150" s="118">
        <v>10010</v>
      </c>
      <c r="AW150" s="210"/>
      <c r="AX150" s="118">
        <f>SUM(AR150:AW150)</f>
        <v>329010</v>
      </c>
      <c r="AY150" s="119"/>
      <c r="AZ150" s="200">
        <v>46008</v>
      </c>
    </row>
    <row r="151" spans="1:52" ht="17.100000000000001" customHeight="1" thickBot="1">
      <c r="A151" s="110"/>
      <c r="B151" s="27" t="s">
        <v>582</v>
      </c>
      <c r="C151" s="27">
        <v>10364</v>
      </c>
      <c r="D151" s="14" t="s">
        <v>485</v>
      </c>
      <c r="E151" s="112"/>
      <c r="F151" s="139" t="s">
        <v>620</v>
      </c>
      <c r="G151" s="140"/>
      <c r="H151" s="140"/>
      <c r="I151" s="26">
        <v>53283</v>
      </c>
      <c r="J151" s="117"/>
      <c r="K151" s="120"/>
      <c r="L151" s="182"/>
      <c r="M151" s="120"/>
      <c r="N151" s="182"/>
      <c r="O151" s="120"/>
      <c r="P151" s="182"/>
      <c r="Q151" s="120"/>
      <c r="R151" s="182"/>
      <c r="S151" s="120"/>
      <c r="T151" s="182"/>
      <c r="U151" s="120"/>
      <c r="V151" s="182"/>
      <c r="W151" s="125"/>
      <c r="X151" s="144" t="s">
        <v>621</v>
      </c>
      <c r="Y151" s="287"/>
      <c r="Z151" s="287"/>
      <c r="AA151" s="287"/>
      <c r="AB151" s="287"/>
      <c r="AC151" s="16" t="s">
        <v>21</v>
      </c>
      <c r="AD151" s="17" t="s">
        <v>622</v>
      </c>
      <c r="AE151" s="145" t="s">
        <v>619</v>
      </c>
      <c r="AF151" s="146"/>
      <c r="AG151" s="146"/>
      <c r="AH151" s="146"/>
      <c r="AI151" s="147"/>
      <c r="AJ151" s="148"/>
      <c r="AK151" s="143"/>
      <c r="AL151" s="143"/>
      <c r="AM151" s="22"/>
      <c r="AN151" s="288" t="s">
        <v>2511</v>
      </c>
      <c r="AO151" s="287"/>
      <c r="AP151" s="148">
        <v>65218</v>
      </c>
      <c r="AQ151" s="144"/>
      <c r="AR151" s="120"/>
      <c r="AS151" s="182"/>
      <c r="AT151" s="120"/>
      <c r="AU151" s="182"/>
      <c r="AV151" s="120"/>
      <c r="AW151" s="182"/>
      <c r="AX151" s="120"/>
      <c r="AY151" s="121"/>
      <c r="AZ151" s="201"/>
    </row>
    <row r="152" spans="1:52" ht="17.100000000000001" customHeight="1" thickTop="1">
      <c r="A152" s="109" t="s">
        <v>5813</v>
      </c>
      <c r="B152" s="28">
        <v>43395</v>
      </c>
      <c r="C152" s="29"/>
      <c r="D152" s="13" t="s">
        <v>310</v>
      </c>
      <c r="E152" s="111"/>
      <c r="F152" s="283" t="s">
        <v>623</v>
      </c>
      <c r="G152" s="273"/>
      <c r="H152" s="273"/>
      <c r="I152" s="24" t="s">
        <v>607</v>
      </c>
      <c r="J152" s="116">
        <v>4.5</v>
      </c>
      <c r="K152" s="118">
        <v>2740000</v>
      </c>
      <c r="L152" s="210"/>
      <c r="M152" s="118">
        <v>219200</v>
      </c>
      <c r="N152" s="210"/>
      <c r="O152" s="118">
        <v>9800</v>
      </c>
      <c r="P152" s="210"/>
      <c r="Q152" s="118">
        <v>20370</v>
      </c>
      <c r="R152" s="210"/>
      <c r="S152" s="118">
        <f>118500+9480</f>
        <v>127980</v>
      </c>
      <c r="T152" s="210"/>
      <c r="U152" s="118">
        <f>SUM(K152:T152)</f>
        <v>3117350</v>
      </c>
      <c r="V152" s="210"/>
      <c r="W152" s="124">
        <v>1700000</v>
      </c>
      <c r="X152" s="224" t="s">
        <v>624</v>
      </c>
      <c r="Y152" s="215"/>
      <c r="Z152" s="215"/>
      <c r="AA152" s="215"/>
      <c r="AB152" s="215"/>
      <c r="AC152" s="15" t="s">
        <v>20</v>
      </c>
      <c r="AD152" s="129" t="s">
        <v>625</v>
      </c>
      <c r="AE152" s="130"/>
      <c r="AF152" s="130"/>
      <c r="AG152" s="130"/>
      <c r="AH152" s="130"/>
      <c r="AI152" s="131"/>
      <c r="AJ152" s="132"/>
      <c r="AK152" s="127"/>
      <c r="AL152" s="127"/>
      <c r="AM152" s="21"/>
      <c r="AN152" s="289"/>
      <c r="AO152" s="290"/>
      <c r="AP152" s="135"/>
      <c r="AQ152" s="136"/>
      <c r="AR152" s="118"/>
      <c r="AS152" s="210"/>
      <c r="AT152" s="180">
        <f>AR152*0.1</f>
        <v>0</v>
      </c>
      <c r="AU152" s="181"/>
      <c r="AV152" s="118"/>
      <c r="AW152" s="210"/>
      <c r="AX152" s="118">
        <f>SUM(AR152:AW152)</f>
        <v>0</v>
      </c>
      <c r="AY152" s="119"/>
      <c r="AZ152" s="200"/>
    </row>
    <row r="153" spans="1:52" ht="17.100000000000001" customHeight="1" thickBot="1">
      <c r="A153" s="110"/>
      <c r="B153" s="27" t="s">
        <v>626</v>
      </c>
      <c r="C153" s="27" t="s">
        <v>627</v>
      </c>
      <c r="D153" s="14" t="s">
        <v>542</v>
      </c>
      <c r="E153" s="112"/>
      <c r="F153" s="139" t="s">
        <v>628</v>
      </c>
      <c r="G153" s="140"/>
      <c r="H153" s="140"/>
      <c r="I153" s="26">
        <v>9247</v>
      </c>
      <c r="J153" s="117"/>
      <c r="K153" s="120"/>
      <c r="L153" s="182"/>
      <c r="M153" s="120"/>
      <c r="N153" s="182"/>
      <c r="O153" s="120"/>
      <c r="P153" s="182"/>
      <c r="Q153" s="120"/>
      <c r="R153" s="182"/>
      <c r="S153" s="120"/>
      <c r="T153" s="182"/>
      <c r="U153" s="120"/>
      <c r="V153" s="182"/>
      <c r="W153" s="125"/>
      <c r="X153" s="144" t="s">
        <v>629</v>
      </c>
      <c r="Y153" s="287"/>
      <c r="Z153" s="287"/>
      <c r="AA153" s="287"/>
      <c r="AB153" s="287"/>
      <c r="AC153" s="16" t="s">
        <v>21</v>
      </c>
      <c r="AD153" s="17" t="s">
        <v>630</v>
      </c>
      <c r="AE153" s="145" t="s">
        <v>631</v>
      </c>
      <c r="AF153" s="146"/>
      <c r="AG153" s="146"/>
      <c r="AH153" s="146"/>
      <c r="AI153" s="147"/>
      <c r="AJ153" s="148"/>
      <c r="AK153" s="143"/>
      <c r="AL153" s="143"/>
      <c r="AM153" s="22"/>
      <c r="AN153" s="288"/>
      <c r="AO153" s="287"/>
      <c r="AP153" s="148"/>
      <c r="AQ153" s="144"/>
      <c r="AR153" s="120"/>
      <c r="AS153" s="182"/>
      <c r="AT153" s="120"/>
      <c r="AU153" s="182"/>
      <c r="AV153" s="120"/>
      <c r="AW153" s="182"/>
      <c r="AX153" s="120"/>
      <c r="AY153" s="121"/>
      <c r="AZ153" s="201"/>
    </row>
    <row r="154" spans="1:52" ht="17.100000000000001" customHeight="1" thickTop="1">
      <c r="A154" s="109" t="s">
        <v>5814</v>
      </c>
      <c r="B154" s="28">
        <v>43417</v>
      </c>
      <c r="C154" s="29"/>
      <c r="D154" s="13" t="s">
        <v>632</v>
      </c>
      <c r="E154" s="111"/>
      <c r="F154" s="283" t="s">
        <v>633</v>
      </c>
      <c r="G154" s="273"/>
      <c r="H154" s="273"/>
      <c r="I154" s="24" t="s">
        <v>634</v>
      </c>
      <c r="J154" s="116">
        <v>4.5</v>
      </c>
      <c r="K154" s="118">
        <v>2624000</v>
      </c>
      <c r="L154" s="210"/>
      <c r="M154" s="118">
        <v>209920</v>
      </c>
      <c r="N154" s="210"/>
      <c r="O154" s="118">
        <v>22100</v>
      </c>
      <c r="P154" s="210"/>
      <c r="Q154" s="118">
        <v>19240</v>
      </c>
      <c r="R154" s="210"/>
      <c r="S154" s="118">
        <f>115600+9248</f>
        <v>124848</v>
      </c>
      <c r="T154" s="210"/>
      <c r="U154" s="118">
        <f>SUM(K154:T154)</f>
        <v>3000108</v>
      </c>
      <c r="V154" s="210"/>
      <c r="W154" s="124">
        <v>1700000</v>
      </c>
      <c r="X154" s="128" t="s">
        <v>635</v>
      </c>
      <c r="Y154" s="297"/>
      <c r="Z154" s="297"/>
      <c r="AA154" s="297"/>
      <c r="AB154" s="297"/>
      <c r="AC154" s="15" t="s">
        <v>20</v>
      </c>
      <c r="AD154" s="129" t="s">
        <v>636</v>
      </c>
      <c r="AE154" s="130"/>
      <c r="AF154" s="130"/>
      <c r="AG154" s="130"/>
      <c r="AH154" s="130"/>
      <c r="AI154" s="131"/>
      <c r="AJ154" s="132"/>
      <c r="AK154" s="127"/>
      <c r="AL154" s="127"/>
      <c r="AM154" s="21"/>
      <c r="AN154" s="289"/>
      <c r="AO154" s="290"/>
      <c r="AP154" s="135"/>
      <c r="AQ154" s="136"/>
      <c r="AR154" s="118"/>
      <c r="AS154" s="210"/>
      <c r="AT154" s="180">
        <f>AR154*0.1</f>
        <v>0</v>
      </c>
      <c r="AU154" s="181"/>
      <c r="AV154" s="118"/>
      <c r="AW154" s="210"/>
      <c r="AX154" s="118">
        <f>SUM(AR154:AW154)</f>
        <v>0</v>
      </c>
      <c r="AY154" s="119"/>
      <c r="AZ154" s="200"/>
    </row>
    <row r="155" spans="1:52" ht="17.100000000000001" customHeight="1" thickBot="1">
      <c r="A155" s="110"/>
      <c r="B155" s="27" t="s">
        <v>637</v>
      </c>
      <c r="C155" s="27" t="s">
        <v>638</v>
      </c>
      <c r="D155" s="14" t="s">
        <v>639</v>
      </c>
      <c r="E155" s="112"/>
      <c r="F155" s="139" t="s">
        <v>640</v>
      </c>
      <c r="G155" s="140"/>
      <c r="H155" s="140"/>
      <c r="I155" s="26">
        <v>23841</v>
      </c>
      <c r="J155" s="117"/>
      <c r="K155" s="120"/>
      <c r="L155" s="182"/>
      <c r="M155" s="120"/>
      <c r="N155" s="182"/>
      <c r="O155" s="120"/>
      <c r="P155" s="182"/>
      <c r="Q155" s="120"/>
      <c r="R155" s="182"/>
      <c r="S155" s="120"/>
      <c r="T155" s="182"/>
      <c r="U155" s="120"/>
      <c r="V155" s="182"/>
      <c r="W155" s="125"/>
      <c r="X155" s="144" t="s">
        <v>641</v>
      </c>
      <c r="Y155" s="287"/>
      <c r="Z155" s="287"/>
      <c r="AA155" s="287"/>
      <c r="AB155" s="287"/>
      <c r="AC155" s="16" t="s">
        <v>21</v>
      </c>
      <c r="AD155" s="17" t="s">
        <v>642</v>
      </c>
      <c r="AE155" s="145" t="s">
        <v>158</v>
      </c>
      <c r="AF155" s="146"/>
      <c r="AG155" s="146"/>
      <c r="AH155" s="146"/>
      <c r="AI155" s="147"/>
      <c r="AJ155" s="148"/>
      <c r="AK155" s="143"/>
      <c r="AL155" s="143"/>
      <c r="AM155" s="22"/>
      <c r="AN155" s="288"/>
      <c r="AO155" s="287"/>
      <c r="AP155" s="148"/>
      <c r="AQ155" s="144"/>
      <c r="AR155" s="120"/>
      <c r="AS155" s="182"/>
      <c r="AT155" s="120"/>
      <c r="AU155" s="182"/>
      <c r="AV155" s="120"/>
      <c r="AW155" s="182"/>
      <c r="AX155" s="120"/>
      <c r="AY155" s="121"/>
      <c r="AZ155" s="201"/>
    </row>
    <row r="156" spans="1:52" ht="17.100000000000001" customHeight="1" thickTop="1">
      <c r="A156" s="109" t="s">
        <v>5815</v>
      </c>
      <c r="B156" s="28">
        <v>43418</v>
      </c>
      <c r="C156" s="29" t="s">
        <v>643</v>
      </c>
      <c r="D156" s="13" t="s">
        <v>644</v>
      </c>
      <c r="E156" s="111"/>
      <c r="F156" s="283" t="s">
        <v>645</v>
      </c>
      <c r="G156" s="273"/>
      <c r="H156" s="273"/>
      <c r="I156" s="24" t="s">
        <v>646</v>
      </c>
      <c r="J156" s="116">
        <v>5</v>
      </c>
      <c r="K156" s="118">
        <v>2365000</v>
      </c>
      <c r="L156" s="210"/>
      <c r="M156" s="118">
        <v>189200</v>
      </c>
      <c r="N156" s="210"/>
      <c r="O156" s="118">
        <v>13100</v>
      </c>
      <c r="P156" s="210"/>
      <c r="Q156" s="118">
        <v>17700</v>
      </c>
      <c r="R156" s="210"/>
      <c r="S156" s="118">
        <v>15660</v>
      </c>
      <c r="T156" s="210"/>
      <c r="U156" s="118">
        <f>SUM(K156:T156)</f>
        <v>2600660</v>
      </c>
      <c r="V156" s="210"/>
      <c r="W156" s="124">
        <v>1600000</v>
      </c>
      <c r="X156" s="224" t="s">
        <v>647</v>
      </c>
      <c r="Y156" s="215"/>
      <c r="Z156" s="215"/>
      <c r="AA156" s="215"/>
      <c r="AB156" s="215"/>
      <c r="AC156" s="15" t="s">
        <v>20</v>
      </c>
      <c r="AD156" s="129" t="s">
        <v>648</v>
      </c>
      <c r="AE156" s="130"/>
      <c r="AF156" s="130"/>
      <c r="AG156" s="130"/>
      <c r="AH156" s="130"/>
      <c r="AI156" s="131"/>
      <c r="AJ156" s="132"/>
      <c r="AK156" s="127"/>
      <c r="AL156" s="127"/>
      <c r="AM156" s="21"/>
      <c r="AN156" s="289"/>
      <c r="AO156" s="290"/>
      <c r="AP156" s="135"/>
      <c r="AQ156" s="136"/>
      <c r="AR156" s="118"/>
      <c r="AS156" s="210"/>
      <c r="AT156" s="180">
        <f>AR156*0.1</f>
        <v>0</v>
      </c>
      <c r="AU156" s="181"/>
      <c r="AV156" s="118"/>
      <c r="AW156" s="210"/>
      <c r="AX156" s="118">
        <f>SUM(AR156:AW156)</f>
        <v>0</v>
      </c>
      <c r="AY156" s="119"/>
      <c r="AZ156" s="200"/>
    </row>
    <row r="157" spans="1:52" ht="17.100000000000001" customHeight="1" thickBot="1">
      <c r="A157" s="110"/>
      <c r="B157" s="27" t="s">
        <v>649</v>
      </c>
      <c r="C157" s="27">
        <v>38080</v>
      </c>
      <c r="D157" s="14" t="s">
        <v>650</v>
      </c>
      <c r="E157" s="112"/>
      <c r="F157" s="139" t="s">
        <v>651</v>
      </c>
      <c r="G157" s="140"/>
      <c r="H157" s="140"/>
      <c r="I157" s="26">
        <v>19950</v>
      </c>
      <c r="J157" s="117"/>
      <c r="K157" s="120"/>
      <c r="L157" s="182"/>
      <c r="M157" s="120"/>
      <c r="N157" s="182"/>
      <c r="O157" s="120"/>
      <c r="P157" s="182"/>
      <c r="Q157" s="120"/>
      <c r="R157" s="182"/>
      <c r="S157" s="120"/>
      <c r="T157" s="182"/>
      <c r="U157" s="120"/>
      <c r="V157" s="182"/>
      <c r="W157" s="125"/>
      <c r="X157" s="144" t="s">
        <v>652</v>
      </c>
      <c r="Y157" s="287"/>
      <c r="Z157" s="287"/>
      <c r="AA157" s="287"/>
      <c r="AB157" s="287"/>
      <c r="AC157" s="16" t="s">
        <v>21</v>
      </c>
      <c r="AD157" s="17" t="s">
        <v>653</v>
      </c>
      <c r="AE157" s="145" t="s">
        <v>654</v>
      </c>
      <c r="AF157" s="146"/>
      <c r="AG157" s="146"/>
      <c r="AH157" s="146"/>
      <c r="AI157" s="147"/>
      <c r="AJ157" s="148"/>
      <c r="AK157" s="143"/>
      <c r="AL157" s="143"/>
      <c r="AM157" s="22"/>
      <c r="AN157" s="288"/>
      <c r="AO157" s="287"/>
      <c r="AP157" s="148"/>
      <c r="AQ157" s="144"/>
      <c r="AR157" s="120"/>
      <c r="AS157" s="182"/>
      <c r="AT157" s="120"/>
      <c r="AU157" s="182"/>
      <c r="AV157" s="120"/>
      <c r="AW157" s="182"/>
      <c r="AX157" s="120"/>
      <c r="AY157" s="121"/>
      <c r="AZ157" s="201"/>
    </row>
    <row r="158" spans="1:52" ht="17.100000000000001" customHeight="1" thickTop="1">
      <c r="A158" s="109" t="s">
        <v>5816</v>
      </c>
      <c r="B158" s="28">
        <v>43423</v>
      </c>
      <c r="C158" s="29" t="s">
        <v>655</v>
      </c>
      <c r="D158" s="13" t="s">
        <v>656</v>
      </c>
      <c r="E158" s="111"/>
      <c r="F158" s="283" t="s">
        <v>657</v>
      </c>
      <c r="G158" s="273"/>
      <c r="H158" s="273"/>
      <c r="I158" s="24"/>
      <c r="J158" s="116" t="s">
        <v>658</v>
      </c>
      <c r="K158" s="118">
        <v>13000</v>
      </c>
      <c r="L158" s="210"/>
      <c r="M158" s="118">
        <v>1040</v>
      </c>
      <c r="N158" s="210"/>
      <c r="O158" s="118">
        <v>0</v>
      </c>
      <c r="P158" s="210"/>
      <c r="Q158" s="118">
        <v>9380</v>
      </c>
      <c r="R158" s="210"/>
      <c r="S158" s="118">
        <v>8640</v>
      </c>
      <c r="T158" s="210"/>
      <c r="U158" s="118">
        <f>SUM(K158:T158)</f>
        <v>32060</v>
      </c>
      <c r="V158" s="210"/>
      <c r="W158" s="124"/>
      <c r="X158" s="224" t="s">
        <v>659</v>
      </c>
      <c r="Y158" s="215"/>
      <c r="Z158" s="215"/>
      <c r="AA158" s="215"/>
      <c r="AB158" s="215"/>
      <c r="AC158" s="15" t="s">
        <v>20</v>
      </c>
      <c r="AD158" s="129"/>
      <c r="AE158" s="130"/>
      <c r="AF158" s="130"/>
      <c r="AG158" s="130"/>
      <c r="AH158" s="130"/>
      <c r="AI158" s="131"/>
      <c r="AJ158" s="132"/>
      <c r="AK158" s="127"/>
      <c r="AL158" s="127"/>
      <c r="AM158" s="21"/>
      <c r="AN158" s="289"/>
      <c r="AO158" s="290"/>
      <c r="AP158" s="135"/>
      <c r="AQ158" s="136"/>
      <c r="AR158" s="118"/>
      <c r="AS158" s="210"/>
      <c r="AT158" s="180">
        <f>AR158*0.1</f>
        <v>0</v>
      </c>
      <c r="AU158" s="181"/>
      <c r="AV158" s="118"/>
      <c r="AW158" s="210"/>
      <c r="AX158" s="118">
        <f>SUM(AR158:AW158)</f>
        <v>0</v>
      </c>
      <c r="AY158" s="119"/>
      <c r="AZ158" s="200"/>
    </row>
    <row r="159" spans="1:52" ht="17.100000000000001" customHeight="1" thickBot="1">
      <c r="A159" s="110"/>
      <c r="B159" s="27" t="s">
        <v>660</v>
      </c>
      <c r="C159" s="27">
        <v>10509</v>
      </c>
      <c r="D159" s="14" t="s">
        <v>265</v>
      </c>
      <c r="E159" s="112"/>
      <c r="F159" s="139" t="s">
        <v>661</v>
      </c>
      <c r="G159" s="140"/>
      <c r="H159" s="140"/>
      <c r="I159" s="26">
        <v>56043</v>
      </c>
      <c r="J159" s="117"/>
      <c r="K159" s="120"/>
      <c r="L159" s="182"/>
      <c r="M159" s="120"/>
      <c r="N159" s="182"/>
      <c r="O159" s="120"/>
      <c r="P159" s="182"/>
      <c r="Q159" s="120"/>
      <c r="R159" s="182"/>
      <c r="S159" s="120"/>
      <c r="T159" s="182"/>
      <c r="U159" s="120"/>
      <c r="V159" s="182"/>
      <c r="W159" s="125"/>
      <c r="X159" s="144" t="s">
        <v>662</v>
      </c>
      <c r="Y159" s="287"/>
      <c r="Z159" s="287"/>
      <c r="AA159" s="287"/>
      <c r="AB159" s="287"/>
      <c r="AC159" s="16" t="s">
        <v>21</v>
      </c>
      <c r="AD159" s="17" t="s">
        <v>663</v>
      </c>
      <c r="AE159" s="145"/>
      <c r="AF159" s="146"/>
      <c r="AG159" s="146"/>
      <c r="AH159" s="146"/>
      <c r="AI159" s="147"/>
      <c r="AJ159" s="148"/>
      <c r="AK159" s="143"/>
      <c r="AL159" s="143"/>
      <c r="AM159" s="22"/>
      <c r="AN159" s="288"/>
      <c r="AO159" s="287"/>
      <c r="AP159" s="148"/>
      <c r="AQ159" s="144"/>
      <c r="AR159" s="120"/>
      <c r="AS159" s="182"/>
      <c r="AT159" s="120"/>
      <c r="AU159" s="182"/>
      <c r="AV159" s="120"/>
      <c r="AW159" s="182"/>
      <c r="AX159" s="120"/>
      <c r="AY159" s="121"/>
      <c r="AZ159" s="201"/>
    </row>
    <row r="160" spans="1:52" ht="17.100000000000001" customHeight="1" thickTop="1">
      <c r="A160" s="109" t="s">
        <v>5817</v>
      </c>
      <c r="B160" s="28">
        <v>43445</v>
      </c>
      <c r="C160" s="29" t="s">
        <v>664</v>
      </c>
      <c r="D160" s="13" t="s">
        <v>665</v>
      </c>
      <c r="E160" s="111"/>
      <c r="F160" s="283" t="s">
        <v>666</v>
      </c>
      <c r="G160" s="273"/>
      <c r="H160" s="273"/>
      <c r="I160" s="24" t="s">
        <v>667</v>
      </c>
      <c r="J160" s="116">
        <v>4</v>
      </c>
      <c r="K160" s="118">
        <v>2290000</v>
      </c>
      <c r="L160" s="210"/>
      <c r="M160" s="118">
        <v>183200</v>
      </c>
      <c r="N160" s="210"/>
      <c r="O160" s="118">
        <v>0</v>
      </c>
      <c r="P160" s="210"/>
      <c r="Q160" s="118">
        <v>19100</v>
      </c>
      <c r="R160" s="210"/>
      <c r="S160" s="118">
        <v>12960</v>
      </c>
      <c r="T160" s="210"/>
      <c r="U160" s="118">
        <f>SUM(K160:T160)</f>
        <v>2505260</v>
      </c>
      <c r="V160" s="210"/>
      <c r="W160" s="124">
        <v>1300000</v>
      </c>
      <c r="X160" s="224" t="s">
        <v>668</v>
      </c>
      <c r="Y160" s="215"/>
      <c r="Z160" s="215"/>
      <c r="AA160" s="215"/>
      <c r="AB160" s="215"/>
      <c r="AC160" s="15" t="s">
        <v>20</v>
      </c>
      <c r="AD160" s="129" t="s">
        <v>669</v>
      </c>
      <c r="AE160" s="130"/>
      <c r="AF160" s="130"/>
      <c r="AG160" s="130"/>
      <c r="AH160" s="130"/>
      <c r="AI160" s="131"/>
      <c r="AJ160" s="132" t="s">
        <v>670</v>
      </c>
      <c r="AK160" s="127"/>
      <c r="AL160" s="127"/>
      <c r="AM160" s="21"/>
      <c r="AN160" s="289"/>
      <c r="AO160" s="290"/>
      <c r="AP160" s="135"/>
      <c r="AQ160" s="136"/>
      <c r="AR160" s="118"/>
      <c r="AS160" s="210"/>
      <c r="AT160" s="180">
        <f>AR160*0.1</f>
        <v>0</v>
      </c>
      <c r="AU160" s="181"/>
      <c r="AV160" s="118"/>
      <c r="AW160" s="210"/>
      <c r="AX160" s="118">
        <f>SUM(AR160:AW160)</f>
        <v>0</v>
      </c>
      <c r="AY160" s="119"/>
      <c r="AZ160" s="200"/>
    </row>
    <row r="161" spans="1:52" ht="17.100000000000001" customHeight="1" thickBot="1">
      <c r="A161" s="110"/>
      <c r="B161" s="27" t="s">
        <v>132</v>
      </c>
      <c r="C161" s="27">
        <v>84117</v>
      </c>
      <c r="D161" s="14" t="s">
        <v>447</v>
      </c>
      <c r="E161" s="112"/>
      <c r="F161" s="139" t="s">
        <v>671</v>
      </c>
      <c r="G161" s="140"/>
      <c r="H161" s="140"/>
      <c r="I161" s="26">
        <v>32480</v>
      </c>
      <c r="J161" s="117"/>
      <c r="K161" s="120"/>
      <c r="L161" s="182"/>
      <c r="M161" s="120"/>
      <c r="N161" s="182"/>
      <c r="O161" s="120"/>
      <c r="P161" s="182"/>
      <c r="Q161" s="120"/>
      <c r="R161" s="182"/>
      <c r="S161" s="120"/>
      <c r="T161" s="182"/>
      <c r="U161" s="120"/>
      <c r="V161" s="182"/>
      <c r="W161" s="125"/>
      <c r="X161" s="144" t="s">
        <v>672</v>
      </c>
      <c r="Y161" s="287"/>
      <c r="Z161" s="287"/>
      <c r="AA161" s="287"/>
      <c r="AB161" s="287"/>
      <c r="AC161" s="16" t="s">
        <v>21</v>
      </c>
      <c r="AD161" s="17" t="s">
        <v>673</v>
      </c>
      <c r="AE161" s="145" t="s">
        <v>489</v>
      </c>
      <c r="AF161" s="146"/>
      <c r="AG161" s="146"/>
      <c r="AH161" s="146"/>
      <c r="AI161" s="147"/>
      <c r="AJ161" s="148"/>
      <c r="AK161" s="143"/>
      <c r="AL161" s="143"/>
      <c r="AM161" s="22" t="s">
        <v>51</v>
      </c>
      <c r="AN161" s="288"/>
      <c r="AO161" s="287"/>
      <c r="AP161" s="148"/>
      <c r="AQ161" s="144"/>
      <c r="AR161" s="120"/>
      <c r="AS161" s="182"/>
      <c r="AT161" s="120"/>
      <c r="AU161" s="182"/>
      <c r="AV161" s="120"/>
      <c r="AW161" s="182"/>
      <c r="AX161" s="120"/>
      <c r="AY161" s="121"/>
      <c r="AZ161" s="201"/>
    </row>
    <row r="162" spans="1:52" ht="17.100000000000001" customHeight="1" thickTop="1">
      <c r="A162" s="109" t="s">
        <v>5818</v>
      </c>
      <c r="B162" s="28">
        <v>43472</v>
      </c>
      <c r="C162" s="29" t="s">
        <v>674</v>
      </c>
      <c r="D162" s="13" t="s">
        <v>675</v>
      </c>
      <c r="E162" s="111"/>
      <c r="F162" s="283" t="s">
        <v>676</v>
      </c>
      <c r="G162" s="273"/>
      <c r="H162" s="273"/>
      <c r="I162" s="24"/>
      <c r="J162" s="116">
        <v>4</v>
      </c>
      <c r="K162" s="118">
        <v>461000</v>
      </c>
      <c r="L162" s="210"/>
      <c r="M162" s="118">
        <v>36880</v>
      </c>
      <c r="N162" s="210"/>
      <c r="O162" s="118">
        <v>0</v>
      </c>
      <c r="P162" s="210"/>
      <c r="Q162" s="118">
        <v>19820</v>
      </c>
      <c r="R162" s="210"/>
      <c r="S162" s="118">
        <v>10800</v>
      </c>
      <c r="T162" s="210"/>
      <c r="U162" s="118">
        <f>SUM(K162:T162)</f>
        <v>528500</v>
      </c>
      <c r="V162" s="210"/>
      <c r="W162" s="124">
        <v>200000</v>
      </c>
      <c r="X162" s="224" t="s">
        <v>677</v>
      </c>
      <c r="Y162" s="215"/>
      <c r="Z162" s="215"/>
      <c r="AA162" s="215"/>
      <c r="AB162" s="215"/>
      <c r="AC162" s="15" t="s">
        <v>20</v>
      </c>
      <c r="AD162" s="129" t="s">
        <v>678</v>
      </c>
      <c r="AE162" s="130"/>
      <c r="AF162" s="130"/>
      <c r="AG162" s="130"/>
      <c r="AH162" s="130"/>
      <c r="AI162" s="131"/>
      <c r="AJ162" s="132"/>
      <c r="AK162" s="127"/>
      <c r="AL162" s="127"/>
      <c r="AM162" s="21"/>
      <c r="AN162" s="289"/>
      <c r="AO162" s="290"/>
      <c r="AP162" s="135"/>
      <c r="AQ162" s="136"/>
      <c r="AR162" s="118"/>
      <c r="AS162" s="210"/>
      <c r="AT162" s="180">
        <f>AR162*0.1</f>
        <v>0</v>
      </c>
      <c r="AU162" s="181"/>
      <c r="AV162" s="118"/>
      <c r="AW162" s="210"/>
      <c r="AX162" s="118">
        <f>SUM(AR162:AW162)</f>
        <v>0</v>
      </c>
      <c r="AY162" s="119"/>
      <c r="AZ162" s="200"/>
    </row>
    <row r="163" spans="1:52" ht="17.100000000000001" customHeight="1" thickBot="1">
      <c r="A163" s="110"/>
      <c r="B163" s="27" t="s">
        <v>660</v>
      </c>
      <c r="C163" s="27">
        <v>37022</v>
      </c>
      <c r="D163" s="14" t="s">
        <v>447</v>
      </c>
      <c r="E163" s="112"/>
      <c r="F163" s="139" t="s">
        <v>679</v>
      </c>
      <c r="G163" s="140"/>
      <c r="H163" s="140"/>
      <c r="I163" s="26">
        <v>28287</v>
      </c>
      <c r="J163" s="117"/>
      <c r="K163" s="120"/>
      <c r="L163" s="182"/>
      <c r="M163" s="120"/>
      <c r="N163" s="182"/>
      <c r="O163" s="120"/>
      <c r="P163" s="182"/>
      <c r="Q163" s="120"/>
      <c r="R163" s="182"/>
      <c r="S163" s="120"/>
      <c r="T163" s="182"/>
      <c r="U163" s="120"/>
      <c r="V163" s="182"/>
      <c r="W163" s="125"/>
      <c r="X163" s="144" t="s">
        <v>680</v>
      </c>
      <c r="Y163" s="287"/>
      <c r="Z163" s="287"/>
      <c r="AA163" s="287"/>
      <c r="AB163" s="287"/>
      <c r="AC163" s="16" t="s">
        <v>21</v>
      </c>
      <c r="AD163" s="17" t="s">
        <v>681</v>
      </c>
      <c r="AE163" s="145" t="s">
        <v>586</v>
      </c>
      <c r="AF163" s="146"/>
      <c r="AG163" s="146"/>
      <c r="AH163" s="146"/>
      <c r="AI163" s="147"/>
      <c r="AJ163" s="148"/>
      <c r="AK163" s="143"/>
      <c r="AL163" s="143"/>
      <c r="AM163" s="22"/>
      <c r="AN163" s="288"/>
      <c r="AO163" s="287"/>
      <c r="AP163" s="148"/>
      <c r="AQ163" s="144"/>
      <c r="AR163" s="120"/>
      <c r="AS163" s="182"/>
      <c r="AT163" s="120"/>
      <c r="AU163" s="182"/>
      <c r="AV163" s="120"/>
      <c r="AW163" s="182"/>
      <c r="AX163" s="120"/>
      <c r="AY163" s="121"/>
      <c r="AZ163" s="201"/>
    </row>
    <row r="164" spans="1:52" ht="17.100000000000001" customHeight="1" thickTop="1">
      <c r="A164" s="109" t="s">
        <v>5819</v>
      </c>
      <c r="B164" s="28">
        <v>43481</v>
      </c>
      <c r="C164" s="29" t="s">
        <v>682</v>
      </c>
      <c r="D164" s="13" t="s">
        <v>189</v>
      </c>
      <c r="E164" s="111"/>
      <c r="F164" s="283" t="s">
        <v>683</v>
      </c>
      <c r="G164" s="273"/>
      <c r="H164" s="273"/>
      <c r="I164" s="24" t="s">
        <v>684</v>
      </c>
      <c r="J164" s="116">
        <v>3.5</v>
      </c>
      <c r="K164" s="118">
        <v>477000</v>
      </c>
      <c r="L164" s="210"/>
      <c r="M164" s="118">
        <v>38160</v>
      </c>
      <c r="N164" s="210"/>
      <c r="O164" s="118">
        <v>15000</v>
      </c>
      <c r="P164" s="210"/>
      <c r="Q164" s="118">
        <v>9190</v>
      </c>
      <c r="R164" s="210"/>
      <c r="S164" s="118">
        <v>15660</v>
      </c>
      <c r="T164" s="210"/>
      <c r="U164" s="118">
        <f>SUM(K164:T164)</f>
        <v>555010</v>
      </c>
      <c r="V164" s="210"/>
      <c r="W164" s="124">
        <v>280000</v>
      </c>
      <c r="X164" s="224" t="s">
        <v>685</v>
      </c>
      <c r="Y164" s="215"/>
      <c r="Z164" s="215"/>
      <c r="AA164" s="215"/>
      <c r="AB164" s="215"/>
      <c r="AC164" s="15" t="s">
        <v>20</v>
      </c>
      <c r="AD164" s="129"/>
      <c r="AE164" s="130"/>
      <c r="AF164" s="130"/>
      <c r="AG164" s="130"/>
      <c r="AH164" s="130"/>
      <c r="AI164" s="131"/>
      <c r="AJ164" s="132"/>
      <c r="AK164" s="127"/>
      <c r="AL164" s="127"/>
      <c r="AM164" s="21"/>
      <c r="AN164" s="289"/>
      <c r="AO164" s="290"/>
      <c r="AP164" s="135"/>
      <c r="AQ164" s="136"/>
      <c r="AR164" s="118"/>
      <c r="AS164" s="210"/>
      <c r="AT164" s="180">
        <f>AR164*0.1</f>
        <v>0</v>
      </c>
      <c r="AU164" s="181"/>
      <c r="AV164" s="118"/>
      <c r="AW164" s="210"/>
      <c r="AX164" s="118">
        <f>SUM(AR164:AW164)</f>
        <v>0</v>
      </c>
      <c r="AY164" s="119"/>
      <c r="AZ164" s="200"/>
    </row>
    <row r="165" spans="1:52" ht="17.100000000000001" customHeight="1" thickBot="1">
      <c r="A165" s="110"/>
      <c r="B165" s="27" t="s">
        <v>649</v>
      </c>
      <c r="C165" s="27">
        <v>9081</v>
      </c>
      <c r="D165" s="14" t="s">
        <v>447</v>
      </c>
      <c r="E165" s="112"/>
      <c r="F165" s="139" t="s">
        <v>686</v>
      </c>
      <c r="G165" s="140"/>
      <c r="H165" s="140"/>
      <c r="I165" s="26">
        <v>50691</v>
      </c>
      <c r="J165" s="117"/>
      <c r="K165" s="120"/>
      <c r="L165" s="182"/>
      <c r="M165" s="120"/>
      <c r="N165" s="182"/>
      <c r="O165" s="120"/>
      <c r="P165" s="182"/>
      <c r="Q165" s="120"/>
      <c r="R165" s="182"/>
      <c r="S165" s="120"/>
      <c r="T165" s="182"/>
      <c r="U165" s="120"/>
      <c r="V165" s="182"/>
      <c r="W165" s="125"/>
      <c r="X165" s="144" t="s">
        <v>687</v>
      </c>
      <c r="Y165" s="287"/>
      <c r="Z165" s="287"/>
      <c r="AA165" s="287"/>
      <c r="AB165" s="287"/>
      <c r="AC165" s="16" t="s">
        <v>21</v>
      </c>
      <c r="AD165" s="17" t="s">
        <v>688</v>
      </c>
      <c r="AE165" s="145" t="s">
        <v>689</v>
      </c>
      <c r="AF165" s="146"/>
      <c r="AG165" s="146"/>
      <c r="AH165" s="146"/>
      <c r="AI165" s="147"/>
      <c r="AJ165" s="148"/>
      <c r="AK165" s="143"/>
      <c r="AL165" s="143"/>
      <c r="AM165" s="22"/>
      <c r="AN165" s="288"/>
      <c r="AO165" s="287"/>
      <c r="AP165" s="148"/>
      <c r="AQ165" s="144"/>
      <c r="AR165" s="120"/>
      <c r="AS165" s="182"/>
      <c r="AT165" s="120"/>
      <c r="AU165" s="182"/>
      <c r="AV165" s="120"/>
      <c r="AW165" s="182"/>
      <c r="AX165" s="120"/>
      <c r="AY165" s="121"/>
      <c r="AZ165" s="201"/>
    </row>
    <row r="166" spans="1:52" ht="17.100000000000001" customHeight="1" thickTop="1">
      <c r="A166" s="109" t="s">
        <v>5820</v>
      </c>
      <c r="B166" s="28">
        <v>43486</v>
      </c>
      <c r="C166" s="29" t="s">
        <v>690</v>
      </c>
      <c r="D166" s="13" t="s">
        <v>225</v>
      </c>
      <c r="E166" s="111"/>
      <c r="F166" s="283" t="s">
        <v>691</v>
      </c>
      <c r="G166" s="273"/>
      <c r="H166" s="273"/>
      <c r="I166" s="24"/>
      <c r="J166" s="116">
        <v>4</v>
      </c>
      <c r="K166" s="118">
        <v>22000</v>
      </c>
      <c r="L166" s="210"/>
      <c r="M166" s="118">
        <v>1760</v>
      </c>
      <c r="N166" s="210"/>
      <c r="O166" s="118">
        <v>0</v>
      </c>
      <c r="P166" s="210"/>
      <c r="Q166" s="118">
        <v>16090</v>
      </c>
      <c r="R166" s="210"/>
      <c r="S166" s="118">
        <v>10800</v>
      </c>
      <c r="T166" s="210"/>
      <c r="U166" s="118">
        <f>SUM(K166:T166)</f>
        <v>50650</v>
      </c>
      <c r="V166" s="210"/>
      <c r="W166" s="124"/>
      <c r="X166" s="224" t="s">
        <v>692</v>
      </c>
      <c r="Y166" s="215"/>
      <c r="Z166" s="215"/>
      <c r="AA166" s="215"/>
      <c r="AB166" s="215"/>
      <c r="AC166" s="15" t="s">
        <v>20</v>
      </c>
      <c r="AD166" s="129"/>
      <c r="AE166" s="130"/>
      <c r="AF166" s="130"/>
      <c r="AG166" s="130"/>
      <c r="AH166" s="130"/>
      <c r="AI166" s="131"/>
      <c r="AJ166" s="132" t="s">
        <v>693</v>
      </c>
      <c r="AK166" s="127"/>
      <c r="AL166" s="127"/>
      <c r="AM166" s="21"/>
      <c r="AN166" s="289"/>
      <c r="AO166" s="290"/>
      <c r="AP166" s="135"/>
      <c r="AQ166" s="136"/>
      <c r="AR166" s="118"/>
      <c r="AS166" s="210"/>
      <c r="AT166" s="180">
        <f>AR166*0.1</f>
        <v>0</v>
      </c>
      <c r="AU166" s="181"/>
      <c r="AV166" s="118"/>
      <c r="AW166" s="210"/>
      <c r="AX166" s="118">
        <f>SUM(AR166:AW166)</f>
        <v>0</v>
      </c>
      <c r="AY166" s="119"/>
      <c r="AZ166" s="200"/>
    </row>
    <row r="167" spans="1:52" ht="17.100000000000001" customHeight="1" thickBot="1">
      <c r="A167" s="110"/>
      <c r="B167" s="27" t="s">
        <v>660</v>
      </c>
      <c r="C167" s="27">
        <v>10510</v>
      </c>
      <c r="D167" s="14" t="s">
        <v>304</v>
      </c>
      <c r="E167" s="112"/>
      <c r="F167" s="139" t="s">
        <v>694</v>
      </c>
      <c r="G167" s="140"/>
      <c r="H167" s="140"/>
      <c r="I167" s="26">
        <v>105606</v>
      </c>
      <c r="J167" s="117"/>
      <c r="K167" s="120"/>
      <c r="L167" s="182"/>
      <c r="M167" s="120"/>
      <c r="N167" s="182"/>
      <c r="O167" s="120"/>
      <c r="P167" s="182"/>
      <c r="Q167" s="120"/>
      <c r="R167" s="182"/>
      <c r="S167" s="120"/>
      <c r="T167" s="182"/>
      <c r="U167" s="120"/>
      <c r="V167" s="182"/>
      <c r="W167" s="125"/>
      <c r="X167" s="144" t="s">
        <v>695</v>
      </c>
      <c r="Y167" s="287"/>
      <c r="Z167" s="287"/>
      <c r="AA167" s="287"/>
      <c r="AB167" s="287"/>
      <c r="AC167" s="16" t="s">
        <v>21</v>
      </c>
      <c r="AD167" s="17" t="s">
        <v>696</v>
      </c>
      <c r="AE167" s="145" t="s">
        <v>79</v>
      </c>
      <c r="AF167" s="146"/>
      <c r="AG167" s="146"/>
      <c r="AH167" s="146"/>
      <c r="AI167" s="147"/>
      <c r="AJ167" s="148"/>
      <c r="AK167" s="143"/>
      <c r="AL167" s="143"/>
      <c r="AM167" s="22"/>
      <c r="AN167" s="288"/>
      <c r="AO167" s="287"/>
      <c r="AP167" s="148"/>
      <c r="AQ167" s="144"/>
      <c r="AR167" s="120"/>
      <c r="AS167" s="182"/>
      <c r="AT167" s="120"/>
      <c r="AU167" s="182"/>
      <c r="AV167" s="120"/>
      <c r="AW167" s="182"/>
      <c r="AX167" s="120"/>
      <c r="AY167" s="121"/>
      <c r="AZ167" s="201"/>
    </row>
    <row r="168" spans="1:52" ht="17.100000000000001" customHeight="1" thickTop="1">
      <c r="A168" s="109" t="s">
        <v>5821</v>
      </c>
      <c r="B168" s="28">
        <v>43488</v>
      </c>
      <c r="C168" s="29" t="s">
        <v>697</v>
      </c>
      <c r="D168" s="13" t="s">
        <v>698</v>
      </c>
      <c r="E168" s="111"/>
      <c r="F168" s="283" t="s">
        <v>699</v>
      </c>
      <c r="G168" s="273"/>
      <c r="H168" s="273"/>
      <c r="I168" s="24" t="s">
        <v>700</v>
      </c>
      <c r="J168" s="116">
        <v>3.5</v>
      </c>
      <c r="K168" s="118">
        <v>362000</v>
      </c>
      <c r="L168" s="210"/>
      <c r="M168" s="118">
        <v>28960</v>
      </c>
      <c r="N168" s="210"/>
      <c r="O168" s="118">
        <v>15000</v>
      </c>
      <c r="P168" s="210"/>
      <c r="Q168" s="118">
        <v>8930</v>
      </c>
      <c r="R168" s="210"/>
      <c r="S168" s="118">
        <v>15660</v>
      </c>
      <c r="T168" s="210"/>
      <c r="U168" s="118">
        <f>SUM(K168:T168)</f>
        <v>430550</v>
      </c>
      <c r="V168" s="210"/>
      <c r="W168" s="124">
        <v>100000</v>
      </c>
      <c r="X168" s="224" t="s">
        <v>701</v>
      </c>
      <c r="Y168" s="215"/>
      <c r="Z168" s="215"/>
      <c r="AA168" s="215"/>
      <c r="AB168" s="215"/>
      <c r="AC168" s="15" t="s">
        <v>20</v>
      </c>
      <c r="AD168" s="129" t="s">
        <v>581</v>
      </c>
      <c r="AE168" s="130"/>
      <c r="AF168" s="130"/>
      <c r="AG168" s="130"/>
      <c r="AH168" s="130"/>
      <c r="AI168" s="131"/>
      <c r="AJ168" s="132" t="s">
        <v>702</v>
      </c>
      <c r="AK168" s="127"/>
      <c r="AL168" s="127"/>
      <c r="AM168" s="21"/>
      <c r="AN168" s="289"/>
      <c r="AO168" s="290"/>
      <c r="AP168" s="135"/>
      <c r="AQ168" s="136"/>
      <c r="AR168" s="118"/>
      <c r="AS168" s="210"/>
      <c r="AT168" s="180">
        <f>AR168*0.1</f>
        <v>0</v>
      </c>
      <c r="AU168" s="181"/>
      <c r="AV168" s="118"/>
      <c r="AW168" s="210"/>
      <c r="AX168" s="118">
        <f>SUM(AR168:AW168)</f>
        <v>0</v>
      </c>
      <c r="AY168" s="119"/>
      <c r="AZ168" s="200"/>
    </row>
    <row r="169" spans="1:52" ht="17.100000000000001" customHeight="1" thickBot="1">
      <c r="A169" s="110"/>
      <c r="B169" s="27" t="s">
        <v>649</v>
      </c>
      <c r="C169" s="27">
        <v>9185</v>
      </c>
      <c r="D169" s="14" t="s">
        <v>265</v>
      </c>
      <c r="E169" s="112"/>
      <c r="F169" s="139" t="s">
        <v>703</v>
      </c>
      <c r="G169" s="140"/>
      <c r="H169" s="140"/>
      <c r="I169" s="26">
        <v>54030</v>
      </c>
      <c r="J169" s="117"/>
      <c r="K169" s="120"/>
      <c r="L169" s="182"/>
      <c r="M169" s="120"/>
      <c r="N169" s="182"/>
      <c r="O169" s="120"/>
      <c r="P169" s="182"/>
      <c r="Q169" s="120"/>
      <c r="R169" s="182"/>
      <c r="S169" s="120"/>
      <c r="T169" s="182"/>
      <c r="U169" s="120"/>
      <c r="V169" s="182"/>
      <c r="W169" s="125"/>
      <c r="X169" s="144" t="s">
        <v>704</v>
      </c>
      <c r="Y169" s="287"/>
      <c r="Z169" s="287"/>
      <c r="AA169" s="287"/>
      <c r="AB169" s="287"/>
      <c r="AC169" s="16" t="s">
        <v>21</v>
      </c>
      <c r="AD169" s="17" t="s">
        <v>705</v>
      </c>
      <c r="AE169" s="145" t="s">
        <v>158</v>
      </c>
      <c r="AF169" s="146"/>
      <c r="AG169" s="146"/>
      <c r="AH169" s="146"/>
      <c r="AI169" s="147"/>
      <c r="AJ169" s="148"/>
      <c r="AK169" s="143"/>
      <c r="AL169" s="143"/>
      <c r="AM169" s="22"/>
      <c r="AN169" s="288"/>
      <c r="AO169" s="287"/>
      <c r="AP169" s="148"/>
      <c r="AQ169" s="144"/>
      <c r="AR169" s="120"/>
      <c r="AS169" s="182"/>
      <c r="AT169" s="120"/>
      <c r="AU169" s="182"/>
      <c r="AV169" s="120"/>
      <c r="AW169" s="182"/>
      <c r="AX169" s="120"/>
      <c r="AY169" s="121"/>
      <c r="AZ169" s="201"/>
    </row>
    <row r="170" spans="1:52" ht="17.100000000000001" customHeight="1" thickTop="1">
      <c r="A170" s="109" t="s">
        <v>5822</v>
      </c>
      <c r="B170" s="28">
        <v>43495</v>
      </c>
      <c r="C170" s="29" t="s">
        <v>706</v>
      </c>
      <c r="D170" s="13" t="s">
        <v>261</v>
      </c>
      <c r="E170" s="111"/>
      <c r="F170" s="283" t="s">
        <v>707</v>
      </c>
      <c r="G170" s="273"/>
      <c r="H170" s="273"/>
      <c r="I170" s="24" t="s">
        <v>708</v>
      </c>
      <c r="J170" s="116">
        <v>3.5</v>
      </c>
      <c r="K170" s="118">
        <v>226000</v>
      </c>
      <c r="L170" s="210"/>
      <c r="M170" s="118">
        <v>18080</v>
      </c>
      <c r="N170" s="210"/>
      <c r="O170" s="118">
        <v>10000</v>
      </c>
      <c r="P170" s="210"/>
      <c r="Q170" s="118">
        <v>9880</v>
      </c>
      <c r="R170" s="210"/>
      <c r="S170" s="118">
        <v>12960</v>
      </c>
      <c r="T170" s="210"/>
      <c r="U170" s="118">
        <f>SUM(K170:T170)</f>
        <v>276920</v>
      </c>
      <c r="V170" s="210"/>
      <c r="W170" s="124">
        <v>70000</v>
      </c>
      <c r="X170" s="224" t="s">
        <v>709</v>
      </c>
      <c r="Y170" s="215"/>
      <c r="Z170" s="215"/>
      <c r="AA170" s="215"/>
      <c r="AB170" s="215"/>
      <c r="AC170" s="15" t="s">
        <v>20</v>
      </c>
      <c r="AD170" s="129"/>
      <c r="AE170" s="130"/>
      <c r="AF170" s="130"/>
      <c r="AG170" s="130"/>
      <c r="AH170" s="130"/>
      <c r="AI170" s="131"/>
      <c r="AJ170" s="132"/>
      <c r="AK170" s="127"/>
      <c r="AL170" s="127"/>
      <c r="AM170" s="21"/>
      <c r="AN170" s="289"/>
      <c r="AO170" s="290"/>
      <c r="AP170" s="135"/>
      <c r="AQ170" s="136"/>
      <c r="AR170" s="118"/>
      <c r="AS170" s="210"/>
      <c r="AT170" s="180">
        <f>AR170*0.1</f>
        <v>0</v>
      </c>
      <c r="AU170" s="181"/>
      <c r="AV170" s="118"/>
      <c r="AW170" s="210"/>
      <c r="AX170" s="118">
        <f>SUM(AR170:AW170)</f>
        <v>0</v>
      </c>
      <c r="AY170" s="119"/>
      <c r="AZ170" s="200"/>
    </row>
    <row r="171" spans="1:52" ht="17.100000000000001" customHeight="1" thickBot="1">
      <c r="A171" s="110"/>
      <c r="B171" s="27" t="s">
        <v>582</v>
      </c>
      <c r="C171" s="27">
        <v>10159</v>
      </c>
      <c r="D171" s="14" t="s">
        <v>710</v>
      </c>
      <c r="E171" s="112"/>
      <c r="F171" s="139" t="s">
        <v>711</v>
      </c>
      <c r="G171" s="140"/>
      <c r="H171" s="140"/>
      <c r="I171" s="26">
        <v>41155</v>
      </c>
      <c r="J171" s="117"/>
      <c r="K171" s="120"/>
      <c r="L171" s="182"/>
      <c r="M171" s="120"/>
      <c r="N171" s="182"/>
      <c r="O171" s="120"/>
      <c r="P171" s="182"/>
      <c r="Q171" s="120"/>
      <c r="R171" s="182"/>
      <c r="S171" s="120"/>
      <c r="T171" s="182"/>
      <c r="U171" s="120"/>
      <c r="V171" s="182"/>
      <c r="W171" s="125"/>
      <c r="X171" s="144" t="s">
        <v>712</v>
      </c>
      <c r="Y171" s="287"/>
      <c r="Z171" s="287"/>
      <c r="AA171" s="287"/>
      <c r="AB171" s="287"/>
      <c r="AC171" s="16" t="s">
        <v>21</v>
      </c>
      <c r="AD171" s="17" t="s">
        <v>713</v>
      </c>
      <c r="AE171" s="145" t="s">
        <v>714</v>
      </c>
      <c r="AF171" s="146"/>
      <c r="AG171" s="146"/>
      <c r="AH171" s="146"/>
      <c r="AI171" s="147"/>
      <c r="AJ171" s="148"/>
      <c r="AK171" s="143"/>
      <c r="AL171" s="143"/>
      <c r="AM171" s="22"/>
      <c r="AN171" s="288"/>
      <c r="AO171" s="287"/>
      <c r="AP171" s="148"/>
      <c r="AQ171" s="144"/>
      <c r="AR171" s="120"/>
      <c r="AS171" s="182"/>
      <c r="AT171" s="120"/>
      <c r="AU171" s="182"/>
      <c r="AV171" s="120"/>
      <c r="AW171" s="182"/>
      <c r="AX171" s="120"/>
      <c r="AY171" s="121"/>
      <c r="AZ171" s="201"/>
    </row>
    <row r="172" spans="1:52" ht="17.100000000000001" customHeight="1" thickTop="1">
      <c r="A172" s="109" t="s">
        <v>5823</v>
      </c>
      <c r="B172" s="28">
        <v>43495</v>
      </c>
      <c r="C172" s="29" t="s">
        <v>706</v>
      </c>
      <c r="D172" s="13" t="s">
        <v>715</v>
      </c>
      <c r="E172" s="111"/>
      <c r="F172" s="283" t="s">
        <v>716</v>
      </c>
      <c r="G172" s="273"/>
      <c r="H172" s="273"/>
      <c r="I172" s="24" t="s">
        <v>717</v>
      </c>
      <c r="J172" s="116">
        <v>4</v>
      </c>
      <c r="K172" s="118">
        <v>452000</v>
      </c>
      <c r="L172" s="210"/>
      <c r="M172" s="118">
        <v>36160</v>
      </c>
      <c r="N172" s="210"/>
      <c r="O172" s="118">
        <v>10000</v>
      </c>
      <c r="P172" s="210"/>
      <c r="Q172" s="118">
        <v>9200</v>
      </c>
      <c r="R172" s="210"/>
      <c r="S172" s="118">
        <v>12960</v>
      </c>
      <c r="T172" s="210"/>
      <c r="U172" s="118">
        <f>SUM(K172:T172)</f>
        <v>520320</v>
      </c>
      <c r="V172" s="210"/>
      <c r="W172" s="124">
        <v>300000</v>
      </c>
      <c r="X172" s="224" t="s">
        <v>718</v>
      </c>
      <c r="Y172" s="215"/>
      <c r="Z172" s="215"/>
      <c r="AA172" s="215"/>
      <c r="AB172" s="215"/>
      <c r="AC172" s="15" t="s">
        <v>20</v>
      </c>
      <c r="AD172" s="129" t="s">
        <v>719</v>
      </c>
      <c r="AE172" s="130"/>
      <c r="AF172" s="130"/>
      <c r="AG172" s="130"/>
      <c r="AH172" s="130"/>
      <c r="AI172" s="131"/>
      <c r="AJ172" s="132"/>
      <c r="AK172" s="127"/>
      <c r="AL172" s="127"/>
      <c r="AM172" s="21"/>
      <c r="AN172" s="289"/>
      <c r="AO172" s="290"/>
      <c r="AP172" s="135"/>
      <c r="AQ172" s="136"/>
      <c r="AR172" s="118"/>
      <c r="AS172" s="210"/>
      <c r="AT172" s="180">
        <f>AR172*0.1</f>
        <v>0</v>
      </c>
      <c r="AU172" s="181"/>
      <c r="AV172" s="118"/>
      <c r="AW172" s="210"/>
      <c r="AX172" s="118">
        <f>SUM(AR172:AW172)</f>
        <v>0</v>
      </c>
      <c r="AY172" s="119"/>
      <c r="AZ172" s="200"/>
    </row>
    <row r="173" spans="1:52" ht="17.100000000000001" customHeight="1" thickBot="1">
      <c r="A173" s="110"/>
      <c r="B173" s="27" t="s">
        <v>582</v>
      </c>
      <c r="C173" s="27">
        <v>10467</v>
      </c>
      <c r="D173" s="14" t="s">
        <v>720</v>
      </c>
      <c r="E173" s="112"/>
      <c r="F173" s="139" t="s">
        <v>721</v>
      </c>
      <c r="G173" s="140"/>
      <c r="H173" s="140"/>
      <c r="I173" s="26">
        <v>52695</v>
      </c>
      <c r="J173" s="117"/>
      <c r="K173" s="120"/>
      <c r="L173" s="182"/>
      <c r="M173" s="120"/>
      <c r="N173" s="182"/>
      <c r="O173" s="120"/>
      <c r="P173" s="182"/>
      <c r="Q173" s="120"/>
      <c r="R173" s="182"/>
      <c r="S173" s="120"/>
      <c r="T173" s="182"/>
      <c r="U173" s="120"/>
      <c r="V173" s="182"/>
      <c r="W173" s="125"/>
      <c r="X173" s="144" t="s">
        <v>722</v>
      </c>
      <c r="Y173" s="287"/>
      <c r="Z173" s="287"/>
      <c r="AA173" s="287"/>
      <c r="AB173" s="287"/>
      <c r="AC173" s="16" t="s">
        <v>21</v>
      </c>
      <c r="AD173" s="17" t="s">
        <v>723</v>
      </c>
      <c r="AE173" s="145" t="s">
        <v>724</v>
      </c>
      <c r="AF173" s="146"/>
      <c r="AG173" s="146"/>
      <c r="AH173" s="146"/>
      <c r="AI173" s="147"/>
      <c r="AJ173" s="148"/>
      <c r="AK173" s="143"/>
      <c r="AL173" s="143"/>
      <c r="AM173" s="22"/>
      <c r="AN173" s="288"/>
      <c r="AO173" s="287"/>
      <c r="AP173" s="148"/>
      <c r="AQ173" s="144"/>
      <c r="AR173" s="120"/>
      <c r="AS173" s="182"/>
      <c r="AT173" s="120"/>
      <c r="AU173" s="182"/>
      <c r="AV173" s="120"/>
      <c r="AW173" s="182"/>
      <c r="AX173" s="120"/>
      <c r="AY173" s="121"/>
      <c r="AZ173" s="201"/>
    </row>
    <row r="174" spans="1:52" ht="17.100000000000001" customHeight="1" thickTop="1">
      <c r="A174" s="109" t="s">
        <v>5824</v>
      </c>
      <c r="B174" s="28">
        <v>43509</v>
      </c>
      <c r="C174" s="29" t="s">
        <v>725</v>
      </c>
      <c r="D174" s="13" t="s">
        <v>726</v>
      </c>
      <c r="E174" s="111"/>
      <c r="F174" s="283" t="s">
        <v>727</v>
      </c>
      <c r="G174" s="273"/>
      <c r="H174" s="274"/>
      <c r="I174" s="24"/>
      <c r="J174" s="116">
        <v>3.5</v>
      </c>
      <c r="K174" s="118">
        <v>326000</v>
      </c>
      <c r="L174" s="119"/>
      <c r="M174" s="118">
        <v>26080</v>
      </c>
      <c r="N174" s="119"/>
      <c r="O174" s="118">
        <v>0</v>
      </c>
      <c r="P174" s="119"/>
      <c r="Q174" s="118">
        <v>9790</v>
      </c>
      <c r="R174" s="119"/>
      <c r="S174" s="118">
        <v>12960</v>
      </c>
      <c r="T174" s="119"/>
      <c r="U174" s="118">
        <f>SUM(K174:T174)</f>
        <v>374830</v>
      </c>
      <c r="V174" s="210"/>
      <c r="W174" s="124">
        <v>140000</v>
      </c>
      <c r="X174" s="223" t="s">
        <v>728</v>
      </c>
      <c r="Y174" s="223"/>
      <c r="Z174" s="223"/>
      <c r="AA174" s="223"/>
      <c r="AB174" s="224"/>
      <c r="AC174" s="15" t="s">
        <v>20</v>
      </c>
      <c r="AD174" s="129"/>
      <c r="AE174" s="130"/>
      <c r="AF174" s="130"/>
      <c r="AG174" s="130"/>
      <c r="AH174" s="130"/>
      <c r="AI174" s="131"/>
      <c r="AJ174" s="132"/>
      <c r="AK174" s="127"/>
      <c r="AL174" s="127"/>
      <c r="AM174" s="21"/>
      <c r="AN174" s="133"/>
      <c r="AO174" s="134"/>
      <c r="AP174" s="135"/>
      <c r="AQ174" s="136"/>
      <c r="AR174" s="118"/>
      <c r="AS174" s="119"/>
      <c r="AT174" s="180">
        <f>AR174*0.1</f>
        <v>0</v>
      </c>
      <c r="AU174" s="181"/>
      <c r="AV174" s="118"/>
      <c r="AW174" s="119"/>
      <c r="AX174" s="118">
        <f>SUM(AR174:AW174)</f>
        <v>0</v>
      </c>
      <c r="AY174" s="119"/>
      <c r="AZ174" s="200"/>
    </row>
    <row r="175" spans="1:52" ht="17.100000000000001" customHeight="1" thickBot="1">
      <c r="A175" s="110"/>
      <c r="B175" s="27" t="s">
        <v>582</v>
      </c>
      <c r="C175" s="27">
        <v>10013</v>
      </c>
      <c r="D175" s="14" t="s">
        <v>447</v>
      </c>
      <c r="E175" s="112"/>
      <c r="F175" s="139" t="s">
        <v>729</v>
      </c>
      <c r="G175" s="140"/>
      <c r="H175" s="141"/>
      <c r="I175" s="26">
        <v>58890</v>
      </c>
      <c r="J175" s="117"/>
      <c r="K175" s="120"/>
      <c r="L175" s="121"/>
      <c r="M175" s="120"/>
      <c r="N175" s="121"/>
      <c r="O175" s="120"/>
      <c r="P175" s="121"/>
      <c r="Q175" s="120"/>
      <c r="R175" s="121"/>
      <c r="S175" s="120"/>
      <c r="T175" s="121"/>
      <c r="U175" s="120"/>
      <c r="V175" s="182"/>
      <c r="W175" s="125"/>
      <c r="X175" s="143" t="s">
        <v>730</v>
      </c>
      <c r="Y175" s="143"/>
      <c r="Z175" s="143"/>
      <c r="AA175" s="143"/>
      <c r="AB175" s="144"/>
      <c r="AC175" s="16" t="s">
        <v>21</v>
      </c>
      <c r="AD175" s="17" t="s">
        <v>731</v>
      </c>
      <c r="AE175" s="145" t="s">
        <v>732</v>
      </c>
      <c r="AF175" s="146"/>
      <c r="AG175" s="146"/>
      <c r="AH175" s="146"/>
      <c r="AI175" s="147"/>
      <c r="AJ175" s="148"/>
      <c r="AK175" s="143"/>
      <c r="AL175" s="143"/>
      <c r="AM175" s="22"/>
      <c r="AN175" s="149"/>
      <c r="AO175" s="144"/>
      <c r="AP175" s="148"/>
      <c r="AQ175" s="144"/>
      <c r="AR175" s="120"/>
      <c r="AS175" s="121"/>
      <c r="AT175" s="120"/>
      <c r="AU175" s="182"/>
      <c r="AV175" s="120"/>
      <c r="AW175" s="121"/>
      <c r="AX175" s="120"/>
      <c r="AY175" s="121"/>
      <c r="AZ175" s="201"/>
    </row>
    <row r="176" spans="1:52" ht="17.100000000000001" customHeight="1" thickTop="1">
      <c r="A176" s="109" t="s">
        <v>5825</v>
      </c>
      <c r="B176" s="28">
        <v>43533</v>
      </c>
      <c r="C176" s="29" t="s">
        <v>733</v>
      </c>
      <c r="D176" s="13" t="s">
        <v>734</v>
      </c>
      <c r="E176" s="111"/>
      <c r="F176" s="283" t="s">
        <v>735</v>
      </c>
      <c r="G176" s="273"/>
      <c r="H176" s="274"/>
      <c r="I176" s="24" t="s">
        <v>736</v>
      </c>
      <c r="J176" s="116">
        <v>4.5</v>
      </c>
      <c r="K176" s="118">
        <v>1995000</v>
      </c>
      <c r="L176" s="119"/>
      <c r="M176" s="118">
        <v>159600</v>
      </c>
      <c r="N176" s="119"/>
      <c r="O176" s="118">
        <v>39500</v>
      </c>
      <c r="P176" s="119"/>
      <c r="Q176" s="118">
        <v>19100</v>
      </c>
      <c r="R176" s="119"/>
      <c r="S176" s="118">
        <v>12960</v>
      </c>
      <c r="T176" s="119"/>
      <c r="U176" s="118">
        <f>SUM(K176:T176)</f>
        <v>2226160</v>
      </c>
      <c r="V176" s="210"/>
      <c r="W176" s="124">
        <v>1400000</v>
      </c>
      <c r="X176" s="223" t="s">
        <v>737</v>
      </c>
      <c r="Y176" s="223"/>
      <c r="Z176" s="223"/>
      <c r="AA176" s="223"/>
      <c r="AB176" s="224"/>
      <c r="AC176" s="15" t="s">
        <v>20</v>
      </c>
      <c r="AD176" s="129" t="s">
        <v>738</v>
      </c>
      <c r="AE176" s="130"/>
      <c r="AF176" s="130"/>
      <c r="AG176" s="130"/>
      <c r="AH176" s="130"/>
      <c r="AI176" s="131"/>
      <c r="AJ176" s="132" t="s">
        <v>739</v>
      </c>
      <c r="AK176" s="127"/>
      <c r="AL176" s="127"/>
      <c r="AM176" s="21"/>
      <c r="AN176" s="133"/>
      <c r="AO176" s="134"/>
      <c r="AP176" s="135"/>
      <c r="AQ176" s="136"/>
      <c r="AR176" s="118"/>
      <c r="AS176" s="119"/>
      <c r="AT176" s="180">
        <f>AR176*0.1</f>
        <v>0</v>
      </c>
      <c r="AU176" s="181"/>
      <c r="AV176" s="118"/>
      <c r="AW176" s="119"/>
      <c r="AX176" s="118">
        <f>SUM(AR176:AW176)</f>
        <v>0</v>
      </c>
      <c r="AY176" s="119"/>
      <c r="AZ176" s="200"/>
    </row>
    <row r="177" spans="1:52" ht="17.100000000000001" customHeight="1" thickBot="1">
      <c r="A177" s="110"/>
      <c r="B177" s="27" t="s">
        <v>740</v>
      </c>
      <c r="C177" s="27">
        <v>59210</v>
      </c>
      <c r="D177" s="14" t="s">
        <v>221</v>
      </c>
      <c r="E177" s="112"/>
      <c r="F177" s="139" t="s">
        <v>741</v>
      </c>
      <c r="G177" s="140"/>
      <c r="H177" s="141"/>
      <c r="I177" s="26">
        <v>35405</v>
      </c>
      <c r="J177" s="117"/>
      <c r="K177" s="120"/>
      <c r="L177" s="121"/>
      <c r="M177" s="120"/>
      <c r="N177" s="121"/>
      <c r="O177" s="120"/>
      <c r="P177" s="121"/>
      <c r="Q177" s="120"/>
      <c r="R177" s="121"/>
      <c r="S177" s="120"/>
      <c r="T177" s="121"/>
      <c r="U177" s="120"/>
      <c r="V177" s="182"/>
      <c r="W177" s="125"/>
      <c r="X177" s="143" t="s">
        <v>742</v>
      </c>
      <c r="Y177" s="143"/>
      <c r="Z177" s="143"/>
      <c r="AA177" s="143"/>
      <c r="AB177" s="144"/>
      <c r="AC177" s="16" t="s">
        <v>21</v>
      </c>
      <c r="AD177" s="17" t="s">
        <v>743</v>
      </c>
      <c r="AE177" s="145" t="s">
        <v>744</v>
      </c>
      <c r="AF177" s="146"/>
      <c r="AG177" s="146"/>
      <c r="AH177" s="146"/>
      <c r="AI177" s="147"/>
      <c r="AJ177" s="148"/>
      <c r="AK177" s="143"/>
      <c r="AL177" s="143"/>
      <c r="AM177" s="22" t="s">
        <v>51</v>
      </c>
      <c r="AN177" s="149"/>
      <c r="AO177" s="144"/>
      <c r="AP177" s="148"/>
      <c r="AQ177" s="144"/>
      <c r="AR177" s="120"/>
      <c r="AS177" s="121"/>
      <c r="AT177" s="120"/>
      <c r="AU177" s="182"/>
      <c r="AV177" s="120"/>
      <c r="AW177" s="121"/>
      <c r="AX177" s="120"/>
      <c r="AY177" s="121"/>
      <c r="AZ177" s="201"/>
    </row>
    <row r="178" spans="1:52" ht="17.100000000000001" customHeight="1" thickTop="1">
      <c r="A178" s="109" t="s">
        <v>5826</v>
      </c>
      <c r="B178" s="28">
        <v>43591</v>
      </c>
      <c r="C178" s="29" t="s">
        <v>745</v>
      </c>
      <c r="D178" s="13" t="s">
        <v>263</v>
      </c>
      <c r="E178" s="111"/>
      <c r="F178" s="283" t="s">
        <v>746</v>
      </c>
      <c r="G178" s="273"/>
      <c r="H178" s="274"/>
      <c r="I178" s="24" t="s">
        <v>747</v>
      </c>
      <c r="J178" s="116">
        <v>4</v>
      </c>
      <c r="K178" s="118">
        <v>1820000</v>
      </c>
      <c r="L178" s="119"/>
      <c r="M178" s="118">
        <v>145600</v>
      </c>
      <c r="N178" s="119"/>
      <c r="O178" s="118">
        <v>32900</v>
      </c>
      <c r="P178" s="119"/>
      <c r="Q178" s="118">
        <v>22120</v>
      </c>
      <c r="R178" s="119"/>
      <c r="S178" s="118">
        <v>10800</v>
      </c>
      <c r="T178" s="119"/>
      <c r="U178" s="118">
        <f>SUM(K178:T178)</f>
        <v>2031420</v>
      </c>
      <c r="V178" s="210"/>
      <c r="W178" s="124">
        <v>1100000</v>
      </c>
      <c r="X178" s="223" t="s">
        <v>748</v>
      </c>
      <c r="Y178" s="223"/>
      <c r="Z178" s="223"/>
      <c r="AA178" s="223"/>
      <c r="AB178" s="224"/>
      <c r="AC178" s="15" t="s">
        <v>20</v>
      </c>
      <c r="AD178" s="129" t="s">
        <v>749</v>
      </c>
      <c r="AE178" s="130"/>
      <c r="AF178" s="130"/>
      <c r="AG178" s="130"/>
      <c r="AH178" s="130"/>
      <c r="AI178" s="131"/>
      <c r="AJ178" s="132"/>
      <c r="AK178" s="127"/>
      <c r="AL178" s="127"/>
      <c r="AM178" s="21"/>
      <c r="AN178" s="133"/>
      <c r="AO178" s="134"/>
      <c r="AP178" s="135"/>
      <c r="AQ178" s="136"/>
      <c r="AR178" s="118"/>
      <c r="AS178" s="119"/>
      <c r="AT178" s="180">
        <f>AR178*0.1</f>
        <v>0</v>
      </c>
      <c r="AU178" s="181"/>
      <c r="AV178" s="118"/>
      <c r="AW178" s="119"/>
      <c r="AX178" s="118">
        <f>SUM(AR178:AW178)</f>
        <v>0</v>
      </c>
      <c r="AY178" s="119"/>
      <c r="AZ178" s="200"/>
    </row>
    <row r="179" spans="1:52" ht="17.100000000000001" customHeight="1" thickBot="1">
      <c r="A179" s="110"/>
      <c r="B179" s="27" t="s">
        <v>660</v>
      </c>
      <c r="C179" s="27">
        <v>37016</v>
      </c>
      <c r="D179" s="14" t="s">
        <v>750</v>
      </c>
      <c r="E179" s="112"/>
      <c r="F179" s="139" t="s">
        <v>751</v>
      </c>
      <c r="G179" s="140"/>
      <c r="H179" s="141"/>
      <c r="I179" s="26">
        <v>19663</v>
      </c>
      <c r="J179" s="117"/>
      <c r="K179" s="120"/>
      <c r="L179" s="121"/>
      <c r="M179" s="120"/>
      <c r="N179" s="121"/>
      <c r="O179" s="120"/>
      <c r="P179" s="121"/>
      <c r="Q179" s="120"/>
      <c r="R179" s="121"/>
      <c r="S179" s="120"/>
      <c r="T179" s="121"/>
      <c r="U179" s="120"/>
      <c r="V179" s="182"/>
      <c r="W179" s="125"/>
      <c r="X179" s="143" t="s">
        <v>680</v>
      </c>
      <c r="Y179" s="143"/>
      <c r="Z179" s="143"/>
      <c r="AA179" s="143"/>
      <c r="AB179" s="144"/>
      <c r="AC179" s="16" t="s">
        <v>21</v>
      </c>
      <c r="AD179" s="17" t="s">
        <v>752</v>
      </c>
      <c r="AE179" s="145" t="s">
        <v>753</v>
      </c>
      <c r="AF179" s="146"/>
      <c r="AG179" s="146"/>
      <c r="AH179" s="146"/>
      <c r="AI179" s="147"/>
      <c r="AJ179" s="148"/>
      <c r="AK179" s="143"/>
      <c r="AL179" s="143"/>
      <c r="AM179" s="22" t="s">
        <v>51</v>
      </c>
      <c r="AN179" s="149"/>
      <c r="AO179" s="144"/>
      <c r="AP179" s="148"/>
      <c r="AQ179" s="144"/>
      <c r="AR179" s="120"/>
      <c r="AS179" s="121"/>
      <c r="AT179" s="120"/>
      <c r="AU179" s="182"/>
      <c r="AV179" s="120"/>
      <c r="AW179" s="121"/>
      <c r="AX179" s="120"/>
      <c r="AY179" s="121"/>
      <c r="AZ179" s="201"/>
    </row>
    <row r="180" spans="1:52" ht="17.100000000000001" customHeight="1" thickTop="1">
      <c r="A180" s="109" t="s">
        <v>5827</v>
      </c>
      <c r="B180" s="28">
        <v>43598</v>
      </c>
      <c r="C180" s="29" t="s">
        <v>754</v>
      </c>
      <c r="D180" s="13" t="s">
        <v>408</v>
      </c>
      <c r="E180" s="111"/>
      <c r="F180" s="283" t="s">
        <v>755</v>
      </c>
      <c r="G180" s="273"/>
      <c r="H180" s="274"/>
      <c r="I180" s="24"/>
      <c r="J180" s="116">
        <v>3.5</v>
      </c>
      <c r="K180" s="118">
        <v>465000</v>
      </c>
      <c r="L180" s="119"/>
      <c r="M180" s="118">
        <v>37200</v>
      </c>
      <c r="N180" s="119"/>
      <c r="O180" s="118">
        <v>0</v>
      </c>
      <c r="P180" s="119"/>
      <c r="Q180" s="118">
        <v>10460</v>
      </c>
      <c r="R180" s="119"/>
      <c r="S180" s="118">
        <v>9720</v>
      </c>
      <c r="T180" s="119"/>
      <c r="U180" s="118">
        <f>SUM(K180:T180)</f>
        <v>522380</v>
      </c>
      <c r="V180" s="210"/>
      <c r="W180" s="124">
        <v>350000</v>
      </c>
      <c r="X180" s="223" t="s">
        <v>756</v>
      </c>
      <c r="Y180" s="223"/>
      <c r="Z180" s="223"/>
      <c r="AA180" s="223"/>
      <c r="AB180" s="224"/>
      <c r="AC180" s="15" t="s">
        <v>20</v>
      </c>
      <c r="AD180" s="129"/>
      <c r="AE180" s="130"/>
      <c r="AF180" s="130"/>
      <c r="AG180" s="130"/>
      <c r="AH180" s="130"/>
      <c r="AI180" s="131"/>
      <c r="AJ180" s="132"/>
      <c r="AK180" s="127"/>
      <c r="AL180" s="127"/>
      <c r="AM180" s="21"/>
      <c r="AN180" s="133"/>
      <c r="AO180" s="134"/>
      <c r="AP180" s="135"/>
      <c r="AQ180" s="136"/>
      <c r="AR180" s="118"/>
      <c r="AS180" s="119"/>
      <c r="AT180" s="180">
        <f>AR180*0.1</f>
        <v>0</v>
      </c>
      <c r="AU180" s="181"/>
      <c r="AV180" s="118"/>
      <c r="AW180" s="119"/>
      <c r="AX180" s="118">
        <f>SUM(AR180:AW180)</f>
        <v>0</v>
      </c>
      <c r="AY180" s="119"/>
      <c r="AZ180" s="200"/>
    </row>
    <row r="181" spans="1:52" ht="17.100000000000001" customHeight="1" thickBot="1">
      <c r="A181" s="110"/>
      <c r="B181" s="27" t="s">
        <v>660</v>
      </c>
      <c r="C181" s="27">
        <v>11069</v>
      </c>
      <c r="D181" s="14" t="s">
        <v>66</v>
      </c>
      <c r="E181" s="112"/>
      <c r="F181" s="139" t="s">
        <v>757</v>
      </c>
      <c r="G181" s="140"/>
      <c r="H181" s="141"/>
      <c r="I181" s="26">
        <v>26682</v>
      </c>
      <c r="J181" s="117"/>
      <c r="K181" s="120"/>
      <c r="L181" s="121"/>
      <c r="M181" s="120"/>
      <c r="N181" s="121"/>
      <c r="O181" s="120"/>
      <c r="P181" s="121"/>
      <c r="Q181" s="120"/>
      <c r="R181" s="121"/>
      <c r="S181" s="120"/>
      <c r="T181" s="121"/>
      <c r="U181" s="120"/>
      <c r="V181" s="182"/>
      <c r="W181" s="125"/>
      <c r="X181" s="143" t="s">
        <v>758</v>
      </c>
      <c r="Y181" s="143"/>
      <c r="Z181" s="143"/>
      <c r="AA181" s="143"/>
      <c r="AB181" s="144"/>
      <c r="AC181" s="16" t="s">
        <v>21</v>
      </c>
      <c r="AD181" s="17" t="s">
        <v>759</v>
      </c>
      <c r="AE181" s="145"/>
      <c r="AF181" s="146"/>
      <c r="AG181" s="146"/>
      <c r="AH181" s="146"/>
      <c r="AI181" s="147"/>
      <c r="AJ181" s="148"/>
      <c r="AK181" s="143"/>
      <c r="AL181" s="143"/>
      <c r="AM181" s="22"/>
      <c r="AN181" s="149"/>
      <c r="AO181" s="144"/>
      <c r="AP181" s="148"/>
      <c r="AQ181" s="144"/>
      <c r="AR181" s="120"/>
      <c r="AS181" s="121"/>
      <c r="AT181" s="120"/>
      <c r="AU181" s="182"/>
      <c r="AV181" s="120"/>
      <c r="AW181" s="121"/>
      <c r="AX181" s="120"/>
      <c r="AY181" s="121"/>
      <c r="AZ181" s="201"/>
    </row>
    <row r="182" spans="1:52" ht="17.100000000000001" customHeight="1" thickTop="1">
      <c r="A182" s="109" t="s">
        <v>5828</v>
      </c>
      <c r="B182" s="28">
        <v>43603</v>
      </c>
      <c r="C182" s="29" t="s">
        <v>760</v>
      </c>
      <c r="D182" s="13" t="s">
        <v>761</v>
      </c>
      <c r="E182" s="111"/>
      <c r="F182" s="283" t="s">
        <v>762</v>
      </c>
      <c r="G182" s="273"/>
      <c r="H182" s="274"/>
      <c r="I182" s="24"/>
      <c r="J182" s="116">
        <v>4.5</v>
      </c>
      <c r="K182" s="118">
        <v>1505000</v>
      </c>
      <c r="L182" s="119"/>
      <c r="M182" s="118">
        <v>120400</v>
      </c>
      <c r="N182" s="119"/>
      <c r="O182" s="118">
        <v>0</v>
      </c>
      <c r="P182" s="119"/>
      <c r="Q182" s="118">
        <v>21970</v>
      </c>
      <c r="R182" s="119"/>
      <c r="S182" s="118">
        <v>12960</v>
      </c>
      <c r="T182" s="119"/>
      <c r="U182" s="118">
        <f>SUM(K182:T182)</f>
        <v>1660330</v>
      </c>
      <c r="V182" s="210"/>
      <c r="W182" s="124">
        <v>700000</v>
      </c>
      <c r="X182" s="223" t="s">
        <v>763</v>
      </c>
      <c r="Y182" s="223"/>
      <c r="Z182" s="223"/>
      <c r="AA182" s="223"/>
      <c r="AB182" s="224"/>
      <c r="AC182" s="15" t="s">
        <v>20</v>
      </c>
      <c r="AD182" s="129" t="s">
        <v>764</v>
      </c>
      <c r="AE182" s="130"/>
      <c r="AF182" s="130"/>
      <c r="AG182" s="130"/>
      <c r="AH182" s="130"/>
      <c r="AI182" s="131"/>
      <c r="AJ182" s="132"/>
      <c r="AK182" s="127"/>
      <c r="AL182" s="127"/>
      <c r="AM182" s="21"/>
      <c r="AN182" s="133"/>
      <c r="AO182" s="134"/>
      <c r="AP182" s="135"/>
      <c r="AQ182" s="136"/>
      <c r="AR182" s="118"/>
      <c r="AS182" s="119"/>
      <c r="AT182" s="180">
        <f>AR182*0.1</f>
        <v>0</v>
      </c>
      <c r="AU182" s="181"/>
      <c r="AV182" s="118"/>
      <c r="AW182" s="119"/>
      <c r="AX182" s="118">
        <f>SUM(AR182:AW182)</f>
        <v>0</v>
      </c>
      <c r="AY182" s="119"/>
      <c r="AZ182" s="200"/>
    </row>
    <row r="183" spans="1:52" ht="17.100000000000001" customHeight="1" thickBot="1">
      <c r="A183" s="110"/>
      <c r="B183" s="27" t="s">
        <v>740</v>
      </c>
      <c r="C183" s="27">
        <v>57114</v>
      </c>
      <c r="D183" s="14" t="s">
        <v>765</v>
      </c>
      <c r="E183" s="112"/>
      <c r="F183" s="139" t="s">
        <v>766</v>
      </c>
      <c r="G183" s="140"/>
      <c r="H183" s="141"/>
      <c r="I183" s="26">
        <v>38971</v>
      </c>
      <c r="J183" s="117"/>
      <c r="K183" s="120"/>
      <c r="L183" s="121"/>
      <c r="M183" s="120"/>
      <c r="N183" s="121"/>
      <c r="O183" s="120"/>
      <c r="P183" s="121"/>
      <c r="Q183" s="120"/>
      <c r="R183" s="121"/>
      <c r="S183" s="120"/>
      <c r="T183" s="121"/>
      <c r="U183" s="120"/>
      <c r="V183" s="182"/>
      <c r="W183" s="125"/>
      <c r="X183" s="143" t="s">
        <v>767</v>
      </c>
      <c r="Y183" s="143"/>
      <c r="Z183" s="143"/>
      <c r="AA183" s="143"/>
      <c r="AB183" s="144"/>
      <c r="AC183" s="16" t="s">
        <v>21</v>
      </c>
      <c r="AD183" s="17" t="s">
        <v>768</v>
      </c>
      <c r="AE183" s="145" t="s">
        <v>769</v>
      </c>
      <c r="AF183" s="146"/>
      <c r="AG183" s="146"/>
      <c r="AH183" s="146"/>
      <c r="AI183" s="147"/>
      <c r="AJ183" s="148"/>
      <c r="AK183" s="143"/>
      <c r="AL183" s="143"/>
      <c r="AM183" s="22"/>
      <c r="AN183" s="149"/>
      <c r="AO183" s="144"/>
      <c r="AP183" s="148"/>
      <c r="AQ183" s="144"/>
      <c r="AR183" s="120"/>
      <c r="AS183" s="121"/>
      <c r="AT183" s="120"/>
      <c r="AU183" s="182"/>
      <c r="AV183" s="120"/>
      <c r="AW183" s="121"/>
      <c r="AX183" s="120"/>
      <c r="AY183" s="121"/>
      <c r="AZ183" s="201"/>
    </row>
    <row r="184" spans="1:52" ht="17.100000000000001" customHeight="1" thickTop="1">
      <c r="A184" s="109" t="s">
        <v>5829</v>
      </c>
      <c r="B184" s="28">
        <v>43607</v>
      </c>
      <c r="C184" s="29" t="s">
        <v>770</v>
      </c>
      <c r="D184" s="13" t="s">
        <v>771</v>
      </c>
      <c r="E184" s="111"/>
      <c r="F184" s="283" t="s">
        <v>772</v>
      </c>
      <c r="G184" s="273"/>
      <c r="H184" s="274"/>
      <c r="I184" s="24"/>
      <c r="J184" s="116">
        <v>4</v>
      </c>
      <c r="K184" s="118">
        <v>520000</v>
      </c>
      <c r="L184" s="119"/>
      <c r="M184" s="118">
        <v>41600</v>
      </c>
      <c r="N184" s="119"/>
      <c r="O184" s="118">
        <v>0</v>
      </c>
      <c r="P184" s="119"/>
      <c r="Q184" s="118">
        <v>23900</v>
      </c>
      <c r="R184" s="119"/>
      <c r="S184" s="118">
        <v>10800</v>
      </c>
      <c r="T184" s="119"/>
      <c r="U184" s="118">
        <f>SUM(K184:T184)</f>
        <v>596300</v>
      </c>
      <c r="V184" s="210"/>
      <c r="W184" s="124">
        <v>250000</v>
      </c>
      <c r="X184" s="223" t="s">
        <v>773</v>
      </c>
      <c r="Y184" s="223"/>
      <c r="Z184" s="223"/>
      <c r="AA184" s="223"/>
      <c r="AB184" s="224"/>
      <c r="AC184" s="15" t="s">
        <v>20</v>
      </c>
      <c r="AD184" s="129"/>
      <c r="AE184" s="130"/>
      <c r="AF184" s="130"/>
      <c r="AG184" s="130"/>
      <c r="AH184" s="130"/>
      <c r="AI184" s="131"/>
      <c r="AJ184" s="132"/>
      <c r="AK184" s="127"/>
      <c r="AL184" s="127"/>
      <c r="AM184" s="21"/>
      <c r="AN184" s="133"/>
      <c r="AO184" s="134"/>
      <c r="AP184" s="135"/>
      <c r="AQ184" s="136"/>
      <c r="AR184" s="118"/>
      <c r="AS184" s="119"/>
      <c r="AT184" s="180">
        <f>AR184*0.1</f>
        <v>0</v>
      </c>
      <c r="AU184" s="181"/>
      <c r="AV184" s="118"/>
      <c r="AW184" s="119"/>
      <c r="AX184" s="118">
        <f>SUM(AR184:AW184)</f>
        <v>0</v>
      </c>
      <c r="AY184" s="119"/>
      <c r="AZ184" s="200"/>
    </row>
    <row r="185" spans="1:52" ht="17.100000000000001" customHeight="1" thickBot="1">
      <c r="A185" s="110"/>
      <c r="B185" s="27" t="s">
        <v>257</v>
      </c>
      <c r="C185" s="27">
        <v>4069</v>
      </c>
      <c r="D185" s="14" t="s">
        <v>265</v>
      </c>
      <c r="E185" s="112"/>
      <c r="F185" s="139" t="s">
        <v>774</v>
      </c>
      <c r="G185" s="140"/>
      <c r="H185" s="141"/>
      <c r="I185" s="26">
        <v>56221</v>
      </c>
      <c r="J185" s="117"/>
      <c r="K185" s="120"/>
      <c r="L185" s="121"/>
      <c r="M185" s="120"/>
      <c r="N185" s="121"/>
      <c r="O185" s="120"/>
      <c r="P185" s="121"/>
      <c r="Q185" s="120"/>
      <c r="R185" s="121"/>
      <c r="S185" s="120"/>
      <c r="T185" s="121"/>
      <c r="U185" s="120"/>
      <c r="V185" s="182"/>
      <c r="W185" s="125"/>
      <c r="X185" s="143" t="s">
        <v>775</v>
      </c>
      <c r="Y185" s="143"/>
      <c r="Z185" s="143"/>
      <c r="AA185" s="143"/>
      <c r="AB185" s="144"/>
      <c r="AC185" s="16" t="s">
        <v>21</v>
      </c>
      <c r="AD185" s="17" t="s">
        <v>776</v>
      </c>
      <c r="AE185" s="145" t="s">
        <v>594</v>
      </c>
      <c r="AF185" s="146"/>
      <c r="AG185" s="146"/>
      <c r="AH185" s="146"/>
      <c r="AI185" s="147"/>
      <c r="AJ185" s="148"/>
      <c r="AK185" s="143"/>
      <c r="AL185" s="143"/>
      <c r="AM185" s="22"/>
      <c r="AN185" s="149"/>
      <c r="AO185" s="144"/>
      <c r="AP185" s="148"/>
      <c r="AQ185" s="144"/>
      <c r="AR185" s="120"/>
      <c r="AS185" s="121"/>
      <c r="AT185" s="120"/>
      <c r="AU185" s="182"/>
      <c r="AV185" s="120"/>
      <c r="AW185" s="121"/>
      <c r="AX185" s="120"/>
      <c r="AY185" s="121"/>
      <c r="AZ185" s="201"/>
    </row>
    <row r="186" spans="1:52" ht="17.100000000000001" customHeight="1" thickTop="1">
      <c r="A186" s="109" t="s">
        <v>5830</v>
      </c>
      <c r="B186" s="28">
        <v>43608</v>
      </c>
      <c r="C186" s="29" t="s">
        <v>777</v>
      </c>
      <c r="D186" s="13" t="s">
        <v>665</v>
      </c>
      <c r="E186" s="111"/>
      <c r="F186" s="283" t="s">
        <v>778</v>
      </c>
      <c r="G186" s="273"/>
      <c r="H186" s="274"/>
      <c r="I186" s="24"/>
      <c r="J186" s="116">
        <v>4</v>
      </c>
      <c r="K186" s="118">
        <v>2900000</v>
      </c>
      <c r="L186" s="119"/>
      <c r="M186" s="118">
        <v>232000</v>
      </c>
      <c r="N186" s="119"/>
      <c r="O186" s="118">
        <v>0</v>
      </c>
      <c r="P186" s="119"/>
      <c r="Q186" s="118">
        <v>19100</v>
      </c>
      <c r="R186" s="119"/>
      <c r="S186" s="118">
        <v>12960</v>
      </c>
      <c r="T186" s="119"/>
      <c r="U186" s="118">
        <f>SUM(K186:T186)</f>
        <v>3164060</v>
      </c>
      <c r="V186" s="210"/>
      <c r="W186" s="124">
        <v>2000000</v>
      </c>
      <c r="X186" s="223" t="s">
        <v>779</v>
      </c>
      <c r="Y186" s="223"/>
      <c r="Z186" s="223"/>
      <c r="AA186" s="223"/>
      <c r="AB186" s="224"/>
      <c r="AC186" s="15" t="s">
        <v>20</v>
      </c>
      <c r="AD186" s="129"/>
      <c r="AE186" s="130"/>
      <c r="AF186" s="130"/>
      <c r="AG186" s="130"/>
      <c r="AH186" s="130"/>
      <c r="AI186" s="131"/>
      <c r="AJ186" s="132"/>
      <c r="AK186" s="127"/>
      <c r="AL186" s="127"/>
      <c r="AM186" s="21"/>
      <c r="AN186" s="133"/>
      <c r="AO186" s="134"/>
      <c r="AP186" s="135"/>
      <c r="AQ186" s="136"/>
      <c r="AR186" s="118"/>
      <c r="AS186" s="119"/>
      <c r="AT186" s="180">
        <f>AR186*0.1</f>
        <v>0</v>
      </c>
      <c r="AU186" s="181"/>
      <c r="AV186" s="118"/>
      <c r="AW186" s="119"/>
      <c r="AX186" s="118">
        <f>SUM(AR186:AW186)</f>
        <v>0</v>
      </c>
      <c r="AY186" s="119"/>
      <c r="AZ186" s="200"/>
    </row>
    <row r="187" spans="1:52" ht="17.100000000000001" customHeight="1" thickBot="1">
      <c r="A187" s="110"/>
      <c r="B187" s="27" t="s">
        <v>250</v>
      </c>
      <c r="C187" s="27">
        <v>22</v>
      </c>
      <c r="D187" s="14" t="s">
        <v>221</v>
      </c>
      <c r="E187" s="112"/>
      <c r="F187" s="139" t="s">
        <v>780</v>
      </c>
      <c r="G187" s="140"/>
      <c r="H187" s="141"/>
      <c r="I187" s="26">
        <v>14700</v>
      </c>
      <c r="J187" s="117"/>
      <c r="K187" s="120"/>
      <c r="L187" s="121"/>
      <c r="M187" s="120"/>
      <c r="N187" s="121"/>
      <c r="O187" s="120"/>
      <c r="P187" s="121"/>
      <c r="Q187" s="120"/>
      <c r="R187" s="121"/>
      <c r="S187" s="120"/>
      <c r="T187" s="121"/>
      <c r="U187" s="120"/>
      <c r="V187" s="182"/>
      <c r="W187" s="125"/>
      <c r="X187" s="143" t="s">
        <v>584</v>
      </c>
      <c r="Y187" s="143"/>
      <c r="Z187" s="143"/>
      <c r="AA187" s="143"/>
      <c r="AB187" s="144"/>
      <c r="AC187" s="16" t="s">
        <v>21</v>
      </c>
      <c r="AD187" s="17" t="s">
        <v>781</v>
      </c>
      <c r="AE187" s="145" t="s">
        <v>782</v>
      </c>
      <c r="AF187" s="146"/>
      <c r="AG187" s="146"/>
      <c r="AH187" s="146"/>
      <c r="AI187" s="147"/>
      <c r="AJ187" s="148"/>
      <c r="AK187" s="143"/>
      <c r="AL187" s="143"/>
      <c r="AM187" s="22"/>
      <c r="AN187" s="149"/>
      <c r="AO187" s="144"/>
      <c r="AP187" s="148"/>
      <c r="AQ187" s="144"/>
      <c r="AR187" s="120"/>
      <c r="AS187" s="121"/>
      <c r="AT187" s="120"/>
      <c r="AU187" s="182"/>
      <c r="AV187" s="120"/>
      <c r="AW187" s="121"/>
      <c r="AX187" s="120"/>
      <c r="AY187" s="121"/>
      <c r="AZ187" s="201"/>
    </row>
    <row r="188" spans="1:52" ht="17.100000000000001" customHeight="1" thickTop="1">
      <c r="A188" s="109" t="s">
        <v>5831</v>
      </c>
      <c r="B188" s="28">
        <v>43615</v>
      </c>
      <c r="C188" s="29" t="s">
        <v>783</v>
      </c>
      <c r="D188" s="13" t="s">
        <v>784</v>
      </c>
      <c r="E188" s="111"/>
      <c r="F188" s="283" t="s">
        <v>181</v>
      </c>
      <c r="G188" s="273"/>
      <c r="H188" s="274"/>
      <c r="I188" s="24"/>
      <c r="J188" s="116">
        <v>4</v>
      </c>
      <c r="K188" s="118">
        <v>738000</v>
      </c>
      <c r="L188" s="119"/>
      <c r="M188" s="118">
        <v>59040</v>
      </c>
      <c r="N188" s="119"/>
      <c r="O188" s="118">
        <v>0</v>
      </c>
      <c r="P188" s="119"/>
      <c r="Q188" s="118">
        <v>16090</v>
      </c>
      <c r="R188" s="119"/>
      <c r="S188" s="118">
        <v>10800</v>
      </c>
      <c r="T188" s="119"/>
      <c r="U188" s="118">
        <f>SUM(K188:T188)</f>
        <v>823930</v>
      </c>
      <c r="V188" s="210"/>
      <c r="W188" s="124">
        <v>400000</v>
      </c>
      <c r="X188" s="223" t="s">
        <v>785</v>
      </c>
      <c r="Y188" s="223"/>
      <c r="Z188" s="223"/>
      <c r="AA188" s="223"/>
      <c r="AB188" s="224"/>
      <c r="AC188" s="15" t="s">
        <v>20</v>
      </c>
      <c r="AD188" s="129" t="s">
        <v>786</v>
      </c>
      <c r="AE188" s="130"/>
      <c r="AF188" s="130"/>
      <c r="AG188" s="130"/>
      <c r="AH188" s="130"/>
      <c r="AI188" s="131"/>
      <c r="AJ188" s="132"/>
      <c r="AK188" s="127"/>
      <c r="AL188" s="127"/>
      <c r="AM188" s="21"/>
      <c r="AN188" s="133"/>
      <c r="AO188" s="134"/>
      <c r="AP188" s="135"/>
      <c r="AQ188" s="136"/>
      <c r="AR188" s="118"/>
      <c r="AS188" s="119"/>
      <c r="AT188" s="180">
        <f>AR188*0.1</f>
        <v>0</v>
      </c>
      <c r="AU188" s="181"/>
      <c r="AV188" s="118"/>
      <c r="AW188" s="119"/>
      <c r="AX188" s="118">
        <f>SUM(AR188:AW188)</f>
        <v>0</v>
      </c>
      <c r="AY188" s="119"/>
      <c r="AZ188" s="200"/>
    </row>
    <row r="189" spans="1:52" ht="17.100000000000001" customHeight="1" thickBot="1">
      <c r="A189" s="110"/>
      <c r="B189" s="27" t="s">
        <v>552</v>
      </c>
      <c r="C189" s="27">
        <v>80105</v>
      </c>
      <c r="D189" s="14" t="s">
        <v>787</v>
      </c>
      <c r="E189" s="112"/>
      <c r="F189" s="139" t="s">
        <v>788</v>
      </c>
      <c r="G189" s="140"/>
      <c r="H189" s="141"/>
      <c r="I189" s="26">
        <v>44240</v>
      </c>
      <c r="J189" s="117"/>
      <c r="K189" s="120"/>
      <c r="L189" s="121"/>
      <c r="M189" s="120"/>
      <c r="N189" s="121"/>
      <c r="O189" s="120"/>
      <c r="P189" s="121"/>
      <c r="Q189" s="120"/>
      <c r="R189" s="121"/>
      <c r="S189" s="120"/>
      <c r="T189" s="121"/>
      <c r="U189" s="120"/>
      <c r="V189" s="182"/>
      <c r="W189" s="125"/>
      <c r="X189" s="143" t="s">
        <v>555</v>
      </c>
      <c r="Y189" s="143"/>
      <c r="Z189" s="143"/>
      <c r="AA189" s="143"/>
      <c r="AB189" s="144"/>
      <c r="AC189" s="16" t="s">
        <v>21</v>
      </c>
      <c r="AD189" s="17" t="s">
        <v>789</v>
      </c>
      <c r="AE189" s="145" t="s">
        <v>786</v>
      </c>
      <c r="AF189" s="146"/>
      <c r="AG189" s="146"/>
      <c r="AH189" s="146"/>
      <c r="AI189" s="147"/>
      <c r="AJ189" s="148"/>
      <c r="AK189" s="143"/>
      <c r="AL189" s="143"/>
      <c r="AM189" s="22"/>
      <c r="AN189" s="149"/>
      <c r="AO189" s="144"/>
      <c r="AP189" s="148"/>
      <c r="AQ189" s="144"/>
      <c r="AR189" s="120"/>
      <c r="AS189" s="121"/>
      <c r="AT189" s="120"/>
      <c r="AU189" s="182"/>
      <c r="AV189" s="120"/>
      <c r="AW189" s="121"/>
      <c r="AX189" s="120"/>
      <c r="AY189" s="121"/>
      <c r="AZ189" s="201"/>
    </row>
    <row r="190" spans="1:52" ht="17.100000000000001" customHeight="1" thickTop="1">
      <c r="A190" s="109" t="s">
        <v>5832</v>
      </c>
      <c r="B190" s="28">
        <v>43622</v>
      </c>
      <c r="C190" s="29" t="s">
        <v>413</v>
      </c>
      <c r="D190" s="13" t="s">
        <v>790</v>
      </c>
      <c r="E190" s="111"/>
      <c r="F190" s="283" t="s">
        <v>791</v>
      </c>
      <c r="G190" s="273"/>
      <c r="H190" s="274"/>
      <c r="I190" s="24" t="s">
        <v>792</v>
      </c>
      <c r="J190" s="116">
        <v>3.5</v>
      </c>
      <c r="K190" s="118">
        <v>479000</v>
      </c>
      <c r="L190" s="119"/>
      <c r="M190" s="118">
        <v>38320</v>
      </c>
      <c r="N190" s="119"/>
      <c r="O190" s="118">
        <v>65900</v>
      </c>
      <c r="P190" s="119"/>
      <c r="Q190" s="118">
        <v>14220</v>
      </c>
      <c r="R190" s="119"/>
      <c r="S190" s="118">
        <v>10800</v>
      </c>
      <c r="T190" s="119"/>
      <c r="U190" s="118">
        <f>SUM(K190:T190)</f>
        <v>608240</v>
      </c>
      <c r="V190" s="210"/>
      <c r="W190" s="124">
        <v>200000</v>
      </c>
      <c r="X190" s="223" t="s">
        <v>793</v>
      </c>
      <c r="Y190" s="223"/>
      <c r="Z190" s="223"/>
      <c r="AA190" s="223"/>
      <c r="AB190" s="224"/>
      <c r="AC190" s="15" t="s">
        <v>20</v>
      </c>
      <c r="AD190" s="129"/>
      <c r="AE190" s="130"/>
      <c r="AF190" s="130"/>
      <c r="AG190" s="130"/>
      <c r="AH190" s="130"/>
      <c r="AI190" s="131"/>
      <c r="AJ190" s="132"/>
      <c r="AK190" s="127"/>
      <c r="AL190" s="127"/>
      <c r="AM190" s="21"/>
      <c r="AN190" s="133"/>
      <c r="AO190" s="134"/>
      <c r="AP190" s="135"/>
      <c r="AQ190" s="136"/>
      <c r="AR190" s="118"/>
      <c r="AS190" s="119"/>
      <c r="AT190" s="180">
        <f>AR190*0.1</f>
        <v>0</v>
      </c>
      <c r="AU190" s="181"/>
      <c r="AV190" s="118"/>
      <c r="AW190" s="119"/>
      <c r="AX190" s="118">
        <f>SUM(AR190:AW190)</f>
        <v>0</v>
      </c>
      <c r="AY190" s="119"/>
      <c r="AZ190" s="200"/>
    </row>
    <row r="191" spans="1:52" ht="17.100000000000001" customHeight="1" thickBot="1">
      <c r="A191" s="110"/>
      <c r="B191" s="27" t="s">
        <v>552</v>
      </c>
      <c r="C191" s="27">
        <v>30205</v>
      </c>
      <c r="D191" s="14" t="s">
        <v>765</v>
      </c>
      <c r="E191" s="112"/>
      <c r="F191" s="139" t="s">
        <v>794</v>
      </c>
      <c r="G191" s="140"/>
      <c r="H191" s="141"/>
      <c r="I191" s="26">
        <v>59183</v>
      </c>
      <c r="J191" s="117"/>
      <c r="K191" s="120"/>
      <c r="L191" s="121"/>
      <c r="M191" s="120"/>
      <c r="N191" s="121"/>
      <c r="O191" s="120"/>
      <c r="P191" s="121"/>
      <c r="Q191" s="120"/>
      <c r="R191" s="121"/>
      <c r="S191" s="120"/>
      <c r="T191" s="121"/>
      <c r="U191" s="120"/>
      <c r="V191" s="182"/>
      <c r="W191" s="125"/>
      <c r="X191" s="143" t="s">
        <v>795</v>
      </c>
      <c r="Y191" s="143"/>
      <c r="Z191" s="143"/>
      <c r="AA191" s="143"/>
      <c r="AB191" s="144"/>
      <c r="AC191" s="16" t="s">
        <v>21</v>
      </c>
      <c r="AD191" s="17" t="s">
        <v>796</v>
      </c>
      <c r="AE191" s="145" t="s">
        <v>797</v>
      </c>
      <c r="AF191" s="146"/>
      <c r="AG191" s="146"/>
      <c r="AH191" s="146"/>
      <c r="AI191" s="147"/>
      <c r="AJ191" s="148"/>
      <c r="AK191" s="143"/>
      <c r="AL191" s="143"/>
      <c r="AM191" s="22"/>
      <c r="AN191" s="149"/>
      <c r="AO191" s="144"/>
      <c r="AP191" s="148"/>
      <c r="AQ191" s="144"/>
      <c r="AR191" s="120"/>
      <c r="AS191" s="121"/>
      <c r="AT191" s="120"/>
      <c r="AU191" s="182"/>
      <c r="AV191" s="120"/>
      <c r="AW191" s="121"/>
      <c r="AX191" s="120"/>
      <c r="AY191" s="121"/>
      <c r="AZ191" s="201"/>
    </row>
    <row r="192" spans="1:52" ht="17.100000000000001" customHeight="1" thickTop="1">
      <c r="A192" s="109" t="s">
        <v>5833</v>
      </c>
      <c r="B192" s="28">
        <v>43627</v>
      </c>
      <c r="C192" s="29" t="s">
        <v>798</v>
      </c>
      <c r="D192" s="13" t="s">
        <v>761</v>
      </c>
      <c r="E192" s="111"/>
      <c r="F192" s="283" t="s">
        <v>799</v>
      </c>
      <c r="G192" s="273"/>
      <c r="H192" s="274"/>
      <c r="I192" s="24" t="s">
        <v>800</v>
      </c>
      <c r="J192" s="116">
        <v>3.5</v>
      </c>
      <c r="K192" s="118">
        <v>424000</v>
      </c>
      <c r="L192" s="119"/>
      <c r="M192" s="118">
        <v>33920</v>
      </c>
      <c r="N192" s="119"/>
      <c r="O192" s="118">
        <v>15000</v>
      </c>
      <c r="P192" s="119"/>
      <c r="Q192" s="118">
        <v>9210</v>
      </c>
      <c r="R192" s="119"/>
      <c r="S192" s="118">
        <v>15660</v>
      </c>
      <c r="T192" s="119"/>
      <c r="U192" s="118">
        <f>SUM(K192:T192)</f>
        <v>497790</v>
      </c>
      <c r="V192" s="210"/>
      <c r="W192" s="124">
        <v>200000</v>
      </c>
      <c r="X192" s="223" t="s">
        <v>801</v>
      </c>
      <c r="Y192" s="223"/>
      <c r="Z192" s="223"/>
      <c r="AA192" s="223"/>
      <c r="AB192" s="224"/>
      <c r="AC192" s="15" t="s">
        <v>20</v>
      </c>
      <c r="AD192" s="129" t="s">
        <v>581</v>
      </c>
      <c r="AE192" s="130"/>
      <c r="AF192" s="130"/>
      <c r="AG192" s="130"/>
      <c r="AH192" s="130"/>
      <c r="AI192" s="131"/>
      <c r="AJ192" s="132"/>
      <c r="AK192" s="127"/>
      <c r="AL192" s="127"/>
      <c r="AM192" s="21"/>
      <c r="AN192" s="133"/>
      <c r="AO192" s="134"/>
      <c r="AP192" s="135"/>
      <c r="AQ192" s="136"/>
      <c r="AR192" s="118"/>
      <c r="AS192" s="119"/>
      <c r="AT192" s="180">
        <f>AR192*0.1</f>
        <v>0</v>
      </c>
      <c r="AU192" s="181"/>
      <c r="AV192" s="118"/>
      <c r="AW192" s="119"/>
      <c r="AX192" s="118">
        <f>SUM(AR192:AW192)</f>
        <v>0</v>
      </c>
      <c r="AY192" s="119"/>
      <c r="AZ192" s="200"/>
    </row>
    <row r="193" spans="1:52" ht="17.100000000000001" customHeight="1" thickBot="1">
      <c r="A193" s="110"/>
      <c r="B193" s="27" t="s">
        <v>802</v>
      </c>
      <c r="C193" s="27">
        <v>3492</v>
      </c>
      <c r="D193" s="14" t="s">
        <v>66</v>
      </c>
      <c r="E193" s="112"/>
      <c r="F193" s="139" t="s">
        <v>803</v>
      </c>
      <c r="G193" s="140"/>
      <c r="H193" s="141"/>
      <c r="I193" s="26">
        <v>53613</v>
      </c>
      <c r="J193" s="117"/>
      <c r="K193" s="120"/>
      <c r="L193" s="121"/>
      <c r="M193" s="120"/>
      <c r="N193" s="121"/>
      <c r="O193" s="120"/>
      <c r="P193" s="121"/>
      <c r="Q193" s="120"/>
      <c r="R193" s="121"/>
      <c r="S193" s="120"/>
      <c r="T193" s="121"/>
      <c r="U193" s="120"/>
      <c r="V193" s="182"/>
      <c r="W193" s="125"/>
      <c r="X193" s="143" t="s">
        <v>804</v>
      </c>
      <c r="Y193" s="143"/>
      <c r="Z193" s="143"/>
      <c r="AA193" s="143"/>
      <c r="AB193" s="144"/>
      <c r="AC193" s="16" t="s">
        <v>21</v>
      </c>
      <c r="AD193" s="17" t="s">
        <v>805</v>
      </c>
      <c r="AE193" s="145" t="s">
        <v>806</v>
      </c>
      <c r="AF193" s="146"/>
      <c r="AG193" s="146"/>
      <c r="AH193" s="146"/>
      <c r="AI193" s="147"/>
      <c r="AJ193" s="148"/>
      <c r="AK193" s="143"/>
      <c r="AL193" s="143"/>
      <c r="AM193" s="22"/>
      <c r="AN193" s="149"/>
      <c r="AO193" s="144"/>
      <c r="AP193" s="148"/>
      <c r="AQ193" s="144"/>
      <c r="AR193" s="120"/>
      <c r="AS193" s="121"/>
      <c r="AT193" s="120"/>
      <c r="AU193" s="182"/>
      <c r="AV193" s="120"/>
      <c r="AW193" s="121"/>
      <c r="AX193" s="120"/>
      <c r="AY193" s="121"/>
      <c r="AZ193" s="201"/>
    </row>
    <row r="194" spans="1:52" ht="17.100000000000001" customHeight="1" thickTop="1">
      <c r="A194" s="109" t="s">
        <v>5834</v>
      </c>
      <c r="B194" s="54">
        <v>43627</v>
      </c>
      <c r="C194" s="54"/>
      <c r="D194" s="56" t="s">
        <v>807</v>
      </c>
      <c r="E194" s="111" t="s">
        <v>166</v>
      </c>
      <c r="F194" s="293" t="s">
        <v>808</v>
      </c>
      <c r="G194" s="293"/>
      <c r="H194" s="208"/>
      <c r="I194" s="57" t="s">
        <v>809</v>
      </c>
      <c r="J194" s="116"/>
      <c r="K194" s="118">
        <v>15000000</v>
      </c>
      <c r="L194" s="210"/>
      <c r="M194" s="118"/>
      <c r="N194" s="210"/>
      <c r="O194" s="118"/>
      <c r="P194" s="210"/>
      <c r="Q194" s="118"/>
      <c r="R194" s="210"/>
      <c r="S194" s="118"/>
      <c r="T194" s="210"/>
      <c r="U194" s="118">
        <f>SUM(K194:T195)</f>
        <v>15000000</v>
      </c>
      <c r="V194" s="119"/>
      <c r="W194" s="124"/>
      <c r="X194" s="215" t="s">
        <v>810</v>
      </c>
      <c r="Y194" s="215"/>
      <c r="Z194" s="215"/>
      <c r="AA194" s="215"/>
      <c r="AB194" s="215"/>
      <c r="AC194" s="15" t="s">
        <v>20</v>
      </c>
      <c r="AD194" s="294"/>
      <c r="AE194" s="295"/>
      <c r="AF194" s="295"/>
      <c r="AG194" s="295"/>
      <c r="AH194" s="295"/>
      <c r="AI194" s="296"/>
      <c r="AJ194" s="128"/>
      <c r="AK194" s="297"/>
      <c r="AL194" s="132"/>
      <c r="AM194" s="21" t="s">
        <v>811</v>
      </c>
      <c r="AN194" s="289">
        <v>46314</v>
      </c>
      <c r="AO194" s="290"/>
      <c r="AP194" s="135"/>
      <c r="AQ194" s="136"/>
      <c r="AR194" s="118">
        <v>15970000</v>
      </c>
      <c r="AS194" s="210"/>
      <c r="AT194" s="180">
        <v>0</v>
      </c>
      <c r="AU194" s="181"/>
      <c r="AV194" s="118">
        <v>0</v>
      </c>
      <c r="AW194" s="210"/>
      <c r="AX194" s="118">
        <f>SUM(AR194:AW194)</f>
        <v>15970000</v>
      </c>
      <c r="AY194" s="119"/>
      <c r="AZ194" s="200">
        <v>46382</v>
      </c>
    </row>
    <row r="195" spans="1:52" ht="17.100000000000001" customHeight="1" thickBot="1">
      <c r="A195" s="110"/>
      <c r="B195" s="64" t="s">
        <v>812</v>
      </c>
      <c r="C195" s="58"/>
      <c r="D195" s="58" t="s">
        <v>221</v>
      </c>
      <c r="E195" s="112"/>
      <c r="F195" s="292" t="s">
        <v>813</v>
      </c>
      <c r="G195" s="292"/>
      <c r="H195" s="188"/>
      <c r="I195" s="59"/>
      <c r="J195" s="117"/>
      <c r="K195" s="120"/>
      <c r="L195" s="182"/>
      <c r="M195" s="120"/>
      <c r="N195" s="182"/>
      <c r="O195" s="120"/>
      <c r="P195" s="182"/>
      <c r="Q195" s="120"/>
      <c r="R195" s="182"/>
      <c r="S195" s="120"/>
      <c r="T195" s="182"/>
      <c r="U195" s="120"/>
      <c r="V195" s="121"/>
      <c r="W195" s="125"/>
      <c r="X195" s="190" t="s">
        <v>814</v>
      </c>
      <c r="Y195" s="190"/>
      <c r="Z195" s="190"/>
      <c r="AA195" s="190"/>
      <c r="AB195" s="190"/>
      <c r="AC195" s="16" t="s">
        <v>21</v>
      </c>
      <c r="AD195" s="50"/>
      <c r="AE195" s="145" t="s">
        <v>815</v>
      </c>
      <c r="AF195" s="146"/>
      <c r="AG195" s="146"/>
      <c r="AH195" s="146"/>
      <c r="AI195" s="147"/>
      <c r="AJ195" s="144"/>
      <c r="AK195" s="287"/>
      <c r="AL195" s="148"/>
      <c r="AM195" s="53"/>
      <c r="AN195" s="288" t="s">
        <v>15700</v>
      </c>
      <c r="AO195" s="287"/>
      <c r="AP195" s="148"/>
      <c r="AQ195" s="144"/>
      <c r="AR195" s="120"/>
      <c r="AS195" s="182"/>
      <c r="AT195" s="120"/>
      <c r="AU195" s="182"/>
      <c r="AV195" s="120"/>
      <c r="AW195" s="182"/>
      <c r="AX195" s="120"/>
      <c r="AY195" s="121"/>
      <c r="AZ195" s="201"/>
    </row>
    <row r="196" spans="1:52" ht="17.100000000000001" customHeight="1" thickTop="1">
      <c r="A196" s="109" t="s">
        <v>5835</v>
      </c>
      <c r="B196" s="28">
        <v>43634</v>
      </c>
      <c r="C196" s="29" t="s">
        <v>816</v>
      </c>
      <c r="D196" s="13" t="s">
        <v>316</v>
      </c>
      <c r="E196" s="111"/>
      <c r="F196" s="283" t="s">
        <v>817</v>
      </c>
      <c r="G196" s="273"/>
      <c r="H196" s="274"/>
      <c r="I196" s="65" t="s">
        <v>818</v>
      </c>
      <c r="J196" s="116">
        <v>3.5</v>
      </c>
      <c r="K196" s="118">
        <v>688000</v>
      </c>
      <c r="L196" s="119"/>
      <c r="M196" s="118">
        <v>55040</v>
      </c>
      <c r="N196" s="119"/>
      <c r="O196" s="118">
        <v>15000</v>
      </c>
      <c r="P196" s="119"/>
      <c r="Q196" s="118">
        <v>7020</v>
      </c>
      <c r="R196" s="119"/>
      <c r="S196" s="118">
        <f>14500+1160</f>
        <v>15660</v>
      </c>
      <c r="T196" s="119"/>
      <c r="U196" s="118">
        <f>SUM(K196:T196)</f>
        <v>780720</v>
      </c>
      <c r="V196" s="210"/>
      <c r="W196" s="124">
        <v>400000</v>
      </c>
      <c r="X196" s="223" t="s">
        <v>819</v>
      </c>
      <c r="Y196" s="223"/>
      <c r="Z196" s="223"/>
      <c r="AA196" s="223"/>
      <c r="AB196" s="224"/>
      <c r="AC196" s="15" t="s">
        <v>20</v>
      </c>
      <c r="AD196" s="129" t="s">
        <v>764</v>
      </c>
      <c r="AE196" s="130"/>
      <c r="AF196" s="130"/>
      <c r="AG196" s="130"/>
      <c r="AH196" s="130"/>
      <c r="AI196" s="131"/>
      <c r="AJ196" s="132"/>
      <c r="AK196" s="127"/>
      <c r="AL196" s="127"/>
      <c r="AM196" s="21"/>
      <c r="AN196" s="133"/>
      <c r="AO196" s="134"/>
      <c r="AP196" s="135"/>
      <c r="AQ196" s="136"/>
      <c r="AR196" s="118"/>
      <c r="AS196" s="119"/>
      <c r="AT196" s="180">
        <f>AR196*0.1</f>
        <v>0</v>
      </c>
      <c r="AU196" s="181"/>
      <c r="AV196" s="118"/>
      <c r="AW196" s="119"/>
      <c r="AX196" s="118">
        <f>SUM(AR196:AW196)</f>
        <v>0</v>
      </c>
      <c r="AY196" s="119"/>
      <c r="AZ196" s="200"/>
    </row>
    <row r="197" spans="1:52" ht="17.100000000000001" customHeight="1" thickBot="1">
      <c r="A197" s="110"/>
      <c r="B197" s="27" t="s">
        <v>802</v>
      </c>
      <c r="C197" s="27">
        <v>3338</v>
      </c>
      <c r="D197" s="14" t="s">
        <v>765</v>
      </c>
      <c r="E197" s="112"/>
      <c r="F197" s="139" t="s">
        <v>820</v>
      </c>
      <c r="G197" s="140"/>
      <c r="H197" s="141"/>
      <c r="I197" s="26">
        <v>31604</v>
      </c>
      <c r="J197" s="117"/>
      <c r="K197" s="120"/>
      <c r="L197" s="121"/>
      <c r="M197" s="120"/>
      <c r="N197" s="121"/>
      <c r="O197" s="120"/>
      <c r="P197" s="121"/>
      <c r="Q197" s="120"/>
      <c r="R197" s="121"/>
      <c r="S197" s="120"/>
      <c r="T197" s="121"/>
      <c r="U197" s="120"/>
      <c r="V197" s="182"/>
      <c r="W197" s="125"/>
      <c r="X197" s="143" t="s">
        <v>821</v>
      </c>
      <c r="Y197" s="143"/>
      <c r="Z197" s="143"/>
      <c r="AA197" s="143"/>
      <c r="AB197" s="144"/>
      <c r="AC197" s="16" t="s">
        <v>21</v>
      </c>
      <c r="AD197" s="17" t="s">
        <v>822</v>
      </c>
      <c r="AE197" s="145" t="s">
        <v>764</v>
      </c>
      <c r="AF197" s="146"/>
      <c r="AG197" s="146"/>
      <c r="AH197" s="146"/>
      <c r="AI197" s="147"/>
      <c r="AJ197" s="148"/>
      <c r="AK197" s="143"/>
      <c r="AL197" s="143"/>
      <c r="AM197" s="22"/>
      <c r="AN197" s="149"/>
      <c r="AO197" s="144"/>
      <c r="AP197" s="148"/>
      <c r="AQ197" s="144"/>
      <c r="AR197" s="120"/>
      <c r="AS197" s="121"/>
      <c r="AT197" s="120"/>
      <c r="AU197" s="182"/>
      <c r="AV197" s="120"/>
      <c r="AW197" s="121"/>
      <c r="AX197" s="120"/>
      <c r="AY197" s="121"/>
      <c r="AZ197" s="201"/>
    </row>
    <row r="198" spans="1:52" ht="17.100000000000001" customHeight="1" thickTop="1">
      <c r="A198" s="109" t="s">
        <v>5836</v>
      </c>
      <c r="B198" s="28">
        <v>43635</v>
      </c>
      <c r="C198" s="29" t="s">
        <v>823</v>
      </c>
      <c r="D198" s="13" t="s">
        <v>824</v>
      </c>
      <c r="E198" s="111"/>
      <c r="F198" s="283" t="s">
        <v>825</v>
      </c>
      <c r="G198" s="273"/>
      <c r="H198" s="274"/>
      <c r="I198" s="24"/>
      <c r="J198" s="116" t="s">
        <v>658</v>
      </c>
      <c r="K198" s="118">
        <v>130000</v>
      </c>
      <c r="L198" s="119"/>
      <c r="M198" s="118">
        <v>10400</v>
      </c>
      <c r="N198" s="119"/>
      <c r="O198" s="118">
        <v>0</v>
      </c>
      <c r="P198" s="119"/>
      <c r="Q198" s="118">
        <v>9170</v>
      </c>
      <c r="R198" s="119"/>
      <c r="S198" s="118">
        <f>14500+1160</f>
        <v>15660</v>
      </c>
      <c r="T198" s="119"/>
      <c r="U198" s="118">
        <f>SUM(K198:T198)</f>
        <v>165230</v>
      </c>
      <c r="V198" s="210"/>
      <c r="W198" s="124">
        <v>50000</v>
      </c>
      <c r="X198" s="223" t="s">
        <v>826</v>
      </c>
      <c r="Y198" s="223"/>
      <c r="Z198" s="223"/>
      <c r="AA198" s="223"/>
      <c r="AB198" s="224"/>
      <c r="AC198" s="15" t="s">
        <v>20</v>
      </c>
      <c r="AD198" s="129"/>
      <c r="AE198" s="130"/>
      <c r="AF198" s="130"/>
      <c r="AG198" s="130"/>
      <c r="AH198" s="130"/>
      <c r="AI198" s="131"/>
      <c r="AJ198" s="132"/>
      <c r="AK198" s="127"/>
      <c r="AL198" s="127"/>
      <c r="AM198" s="21"/>
      <c r="AN198" s="133"/>
      <c r="AO198" s="134"/>
      <c r="AP198" s="135"/>
      <c r="AQ198" s="136"/>
      <c r="AR198" s="118"/>
      <c r="AS198" s="119"/>
      <c r="AT198" s="180">
        <f>AR198*0.1</f>
        <v>0</v>
      </c>
      <c r="AU198" s="181"/>
      <c r="AV198" s="118"/>
      <c r="AW198" s="119"/>
      <c r="AX198" s="118">
        <f>SUM(AR198:AW198)</f>
        <v>0</v>
      </c>
      <c r="AY198" s="119"/>
      <c r="AZ198" s="200"/>
    </row>
    <row r="199" spans="1:52" ht="17.100000000000001" customHeight="1" thickBot="1">
      <c r="A199" s="110"/>
      <c r="B199" s="27" t="s">
        <v>649</v>
      </c>
      <c r="C199" s="27">
        <v>3215</v>
      </c>
      <c r="D199" s="14" t="s">
        <v>827</v>
      </c>
      <c r="E199" s="112"/>
      <c r="F199" s="139" t="s">
        <v>828</v>
      </c>
      <c r="G199" s="140"/>
      <c r="H199" s="141"/>
      <c r="I199" s="26">
        <v>39778</v>
      </c>
      <c r="J199" s="117"/>
      <c r="K199" s="120"/>
      <c r="L199" s="121"/>
      <c r="M199" s="120"/>
      <c r="N199" s="121"/>
      <c r="O199" s="120"/>
      <c r="P199" s="121"/>
      <c r="Q199" s="120"/>
      <c r="R199" s="121"/>
      <c r="S199" s="120"/>
      <c r="T199" s="121"/>
      <c r="U199" s="120"/>
      <c r="V199" s="182"/>
      <c r="W199" s="125"/>
      <c r="X199" s="143" t="s">
        <v>829</v>
      </c>
      <c r="Y199" s="143"/>
      <c r="Z199" s="143"/>
      <c r="AA199" s="143"/>
      <c r="AB199" s="144"/>
      <c r="AC199" s="16" t="s">
        <v>21</v>
      </c>
      <c r="AD199" s="17" t="s">
        <v>830</v>
      </c>
      <c r="AE199" s="145"/>
      <c r="AF199" s="146"/>
      <c r="AG199" s="146"/>
      <c r="AH199" s="146"/>
      <c r="AI199" s="147"/>
      <c r="AJ199" s="148"/>
      <c r="AK199" s="143"/>
      <c r="AL199" s="143"/>
      <c r="AM199" s="22"/>
      <c r="AN199" s="149"/>
      <c r="AO199" s="144"/>
      <c r="AP199" s="148"/>
      <c r="AQ199" s="144"/>
      <c r="AR199" s="120"/>
      <c r="AS199" s="121"/>
      <c r="AT199" s="120"/>
      <c r="AU199" s="182"/>
      <c r="AV199" s="120"/>
      <c r="AW199" s="121"/>
      <c r="AX199" s="120"/>
      <c r="AY199" s="121"/>
      <c r="AZ199" s="201"/>
    </row>
    <row r="200" spans="1:52" ht="17.100000000000001" customHeight="1" thickTop="1">
      <c r="A200" s="109" t="s">
        <v>5837</v>
      </c>
      <c r="B200" s="28">
        <v>43635</v>
      </c>
      <c r="C200" s="29"/>
      <c r="D200" s="13" t="s">
        <v>385</v>
      </c>
      <c r="E200" s="111"/>
      <c r="F200" s="283" t="s">
        <v>831</v>
      </c>
      <c r="G200" s="273"/>
      <c r="H200" s="274"/>
      <c r="I200" s="24" t="s">
        <v>560</v>
      </c>
      <c r="J200" s="116" t="s">
        <v>658</v>
      </c>
      <c r="K200" s="118">
        <v>815000</v>
      </c>
      <c r="L200" s="119"/>
      <c r="M200" s="118">
        <v>65200</v>
      </c>
      <c r="N200" s="119"/>
      <c r="O200" s="118">
        <v>26300</v>
      </c>
      <c r="P200" s="119"/>
      <c r="Q200" s="118">
        <v>9810</v>
      </c>
      <c r="R200" s="119"/>
      <c r="S200" s="118">
        <f>66579+5327</f>
        <v>71906</v>
      </c>
      <c r="T200" s="119"/>
      <c r="U200" s="118">
        <f>SUM(K200:T200)</f>
        <v>988216</v>
      </c>
      <c r="V200" s="210"/>
      <c r="W200" s="124">
        <v>450000</v>
      </c>
      <c r="X200" s="291" t="s">
        <v>832</v>
      </c>
      <c r="Y200" s="223"/>
      <c r="Z200" s="223"/>
      <c r="AA200" s="223"/>
      <c r="AB200" s="224"/>
      <c r="AC200" s="15" t="s">
        <v>20</v>
      </c>
      <c r="AD200" s="129" t="s">
        <v>833</v>
      </c>
      <c r="AE200" s="130"/>
      <c r="AF200" s="130"/>
      <c r="AG200" s="130"/>
      <c r="AH200" s="130"/>
      <c r="AI200" s="131"/>
      <c r="AJ200" s="132"/>
      <c r="AK200" s="127"/>
      <c r="AL200" s="127"/>
      <c r="AM200" s="21"/>
      <c r="AN200" s="133"/>
      <c r="AO200" s="134"/>
      <c r="AP200" s="135"/>
      <c r="AQ200" s="136"/>
      <c r="AR200" s="118"/>
      <c r="AS200" s="119"/>
      <c r="AT200" s="180">
        <f>AR200*0.1</f>
        <v>0</v>
      </c>
      <c r="AU200" s="181"/>
      <c r="AV200" s="118"/>
      <c r="AW200" s="119"/>
      <c r="AX200" s="118">
        <f>SUM(AR200:AW200)</f>
        <v>0</v>
      </c>
      <c r="AY200" s="119"/>
      <c r="AZ200" s="200"/>
    </row>
    <row r="201" spans="1:52" ht="17.100000000000001" customHeight="1" thickBot="1">
      <c r="A201" s="110"/>
      <c r="B201" s="27" t="s">
        <v>637</v>
      </c>
      <c r="C201" s="27" t="s">
        <v>834</v>
      </c>
      <c r="D201" s="14" t="s">
        <v>485</v>
      </c>
      <c r="E201" s="112"/>
      <c r="F201" s="139" t="s">
        <v>835</v>
      </c>
      <c r="G201" s="140"/>
      <c r="H201" s="141"/>
      <c r="I201" s="26">
        <v>54373</v>
      </c>
      <c r="J201" s="117"/>
      <c r="K201" s="120"/>
      <c r="L201" s="121"/>
      <c r="M201" s="120"/>
      <c r="N201" s="121"/>
      <c r="O201" s="120"/>
      <c r="P201" s="121"/>
      <c r="Q201" s="120"/>
      <c r="R201" s="121"/>
      <c r="S201" s="120"/>
      <c r="T201" s="121"/>
      <c r="U201" s="120"/>
      <c r="V201" s="182"/>
      <c r="W201" s="125"/>
      <c r="X201" s="143" t="s">
        <v>836</v>
      </c>
      <c r="Y201" s="143"/>
      <c r="Z201" s="143"/>
      <c r="AA201" s="143"/>
      <c r="AB201" s="144"/>
      <c r="AC201" s="16" t="s">
        <v>21</v>
      </c>
      <c r="AD201" s="17" t="s">
        <v>837</v>
      </c>
      <c r="AE201" s="145" t="s">
        <v>786</v>
      </c>
      <c r="AF201" s="146"/>
      <c r="AG201" s="146"/>
      <c r="AH201" s="146"/>
      <c r="AI201" s="147"/>
      <c r="AJ201" s="148"/>
      <c r="AK201" s="143"/>
      <c r="AL201" s="143"/>
      <c r="AM201" s="22"/>
      <c r="AN201" s="149"/>
      <c r="AO201" s="144"/>
      <c r="AP201" s="148"/>
      <c r="AQ201" s="144"/>
      <c r="AR201" s="120"/>
      <c r="AS201" s="121"/>
      <c r="AT201" s="120"/>
      <c r="AU201" s="182"/>
      <c r="AV201" s="120"/>
      <c r="AW201" s="121"/>
      <c r="AX201" s="120"/>
      <c r="AY201" s="121"/>
      <c r="AZ201" s="201"/>
    </row>
    <row r="202" spans="1:52" ht="17.100000000000001" customHeight="1" thickTop="1">
      <c r="A202" s="109" t="s">
        <v>5838</v>
      </c>
      <c r="B202" s="28">
        <v>43666</v>
      </c>
      <c r="C202" s="29"/>
      <c r="D202" s="13" t="s">
        <v>838</v>
      </c>
      <c r="E202" s="111" t="s">
        <v>166</v>
      </c>
      <c r="F202" s="283" t="s">
        <v>839</v>
      </c>
      <c r="G202" s="273"/>
      <c r="H202" s="273"/>
      <c r="I202" s="61" t="s">
        <v>840</v>
      </c>
      <c r="J202" s="116">
        <v>5</v>
      </c>
      <c r="K202" s="118">
        <v>1600000</v>
      </c>
      <c r="L202" s="119"/>
      <c r="M202" s="118">
        <v>128000</v>
      </c>
      <c r="N202" s="119"/>
      <c r="O202" s="118">
        <v>0</v>
      </c>
      <c r="P202" s="119"/>
      <c r="Q202" s="118">
        <v>8110</v>
      </c>
      <c r="R202" s="119"/>
      <c r="S202" s="118">
        <f>89375+7150</f>
        <v>96525</v>
      </c>
      <c r="T202" s="119"/>
      <c r="U202" s="118">
        <f>SUM(K202:T202)</f>
        <v>1832635</v>
      </c>
      <c r="V202" s="119"/>
      <c r="W202" s="124"/>
      <c r="X202" s="132" t="s">
        <v>841</v>
      </c>
      <c r="Y202" s="223"/>
      <c r="Z202" s="223"/>
      <c r="AA202" s="223"/>
      <c r="AB202" s="224"/>
      <c r="AC202" s="15" t="s">
        <v>20</v>
      </c>
      <c r="AD202" s="129" t="s">
        <v>842</v>
      </c>
      <c r="AE202" s="130"/>
      <c r="AF202" s="130"/>
      <c r="AG202" s="130"/>
      <c r="AH202" s="130"/>
      <c r="AI202" s="131"/>
      <c r="AJ202" s="132"/>
      <c r="AK202" s="127"/>
      <c r="AL202" s="127"/>
      <c r="AM202" s="21" t="s">
        <v>843</v>
      </c>
      <c r="AN202" s="133"/>
      <c r="AO202" s="134"/>
      <c r="AP202" s="135"/>
      <c r="AQ202" s="136"/>
      <c r="AR202" s="118"/>
      <c r="AS202" s="119"/>
      <c r="AT202" s="180">
        <f>AR202*0.1</f>
        <v>0</v>
      </c>
      <c r="AU202" s="181"/>
      <c r="AV202" s="118"/>
      <c r="AW202" s="119"/>
      <c r="AX202" s="118">
        <f>SUM(AR202:AW202)</f>
        <v>0</v>
      </c>
      <c r="AY202" s="119"/>
      <c r="AZ202" s="200"/>
    </row>
    <row r="203" spans="1:52" ht="17.100000000000001" customHeight="1" thickBot="1">
      <c r="A203" s="110"/>
      <c r="B203" s="27" t="s">
        <v>637</v>
      </c>
      <c r="C203" s="27" t="s">
        <v>844</v>
      </c>
      <c r="D203" s="14" t="s">
        <v>485</v>
      </c>
      <c r="E203" s="112"/>
      <c r="F203" s="139" t="s">
        <v>845</v>
      </c>
      <c r="G203" s="140"/>
      <c r="H203" s="140"/>
      <c r="I203" s="48">
        <v>8337</v>
      </c>
      <c r="J203" s="117"/>
      <c r="K203" s="120"/>
      <c r="L203" s="121"/>
      <c r="M203" s="120"/>
      <c r="N203" s="121"/>
      <c r="O203" s="120"/>
      <c r="P203" s="121"/>
      <c r="Q203" s="120"/>
      <c r="R203" s="121"/>
      <c r="S203" s="120"/>
      <c r="T203" s="121"/>
      <c r="U203" s="120"/>
      <c r="V203" s="121"/>
      <c r="W203" s="125"/>
      <c r="X203" s="148" t="s">
        <v>846</v>
      </c>
      <c r="Y203" s="143"/>
      <c r="Z203" s="143"/>
      <c r="AA203" s="143"/>
      <c r="AB203" s="144"/>
      <c r="AC203" s="16" t="s">
        <v>21</v>
      </c>
      <c r="AD203" s="17" t="s">
        <v>847</v>
      </c>
      <c r="AE203" s="145" t="s">
        <v>848</v>
      </c>
      <c r="AF203" s="146"/>
      <c r="AG203" s="146"/>
      <c r="AH203" s="146"/>
      <c r="AI203" s="147"/>
      <c r="AJ203" s="148"/>
      <c r="AK203" s="143"/>
      <c r="AL203" s="143"/>
      <c r="AM203" s="53"/>
      <c r="AN203" s="149"/>
      <c r="AO203" s="144"/>
      <c r="AP203" s="148"/>
      <c r="AQ203" s="144"/>
      <c r="AR203" s="120"/>
      <c r="AS203" s="121"/>
      <c r="AT203" s="120"/>
      <c r="AU203" s="182"/>
      <c r="AV203" s="120"/>
      <c r="AW203" s="121"/>
      <c r="AX203" s="120"/>
      <c r="AY203" s="121"/>
      <c r="AZ203" s="201"/>
    </row>
    <row r="204" spans="1:52" ht="17.100000000000001" customHeight="1" thickTop="1">
      <c r="A204" s="109" t="s">
        <v>5839</v>
      </c>
      <c r="B204" s="28">
        <v>43673</v>
      </c>
      <c r="C204" s="29" t="s">
        <v>518</v>
      </c>
      <c r="D204" s="13" t="s">
        <v>849</v>
      </c>
      <c r="E204" s="111"/>
      <c r="F204" s="283" t="s">
        <v>850</v>
      </c>
      <c r="G204" s="273"/>
      <c r="H204" s="274"/>
      <c r="I204" s="24"/>
      <c r="J204" s="116">
        <v>3.5</v>
      </c>
      <c r="K204" s="118">
        <v>156000</v>
      </c>
      <c r="L204" s="119"/>
      <c r="M204" s="118">
        <v>12480</v>
      </c>
      <c r="N204" s="119"/>
      <c r="O204" s="118">
        <v>0</v>
      </c>
      <c r="P204" s="119"/>
      <c r="Q204" s="118">
        <v>10110</v>
      </c>
      <c r="R204" s="119"/>
      <c r="S204" s="118">
        <v>8640</v>
      </c>
      <c r="T204" s="119"/>
      <c r="U204" s="118">
        <f>SUM(K204:T204)</f>
        <v>187230</v>
      </c>
      <c r="V204" s="210"/>
      <c r="W204" s="124">
        <v>80000</v>
      </c>
      <c r="X204" s="223" t="s">
        <v>851</v>
      </c>
      <c r="Y204" s="223"/>
      <c r="Z204" s="223"/>
      <c r="AA204" s="223"/>
      <c r="AB204" s="224"/>
      <c r="AC204" s="15" t="s">
        <v>20</v>
      </c>
      <c r="AD204" s="129"/>
      <c r="AE204" s="130"/>
      <c r="AF204" s="130"/>
      <c r="AG204" s="130"/>
      <c r="AH204" s="130"/>
      <c r="AI204" s="131"/>
      <c r="AJ204" s="132"/>
      <c r="AK204" s="127"/>
      <c r="AL204" s="127"/>
      <c r="AM204" s="21"/>
      <c r="AN204" s="133"/>
      <c r="AO204" s="134"/>
      <c r="AP204" s="135"/>
      <c r="AQ204" s="136"/>
      <c r="AR204" s="118"/>
      <c r="AS204" s="119"/>
      <c r="AT204" s="180">
        <f>AR204*0.1</f>
        <v>0</v>
      </c>
      <c r="AU204" s="181"/>
      <c r="AV204" s="118"/>
      <c r="AW204" s="119"/>
      <c r="AX204" s="118">
        <f>SUM(AR204:AW204)</f>
        <v>0</v>
      </c>
      <c r="AY204" s="119"/>
      <c r="AZ204" s="200"/>
    </row>
    <row r="205" spans="1:52" ht="17.100000000000001" customHeight="1" thickBot="1">
      <c r="A205" s="110"/>
      <c r="B205" s="27" t="s">
        <v>46</v>
      </c>
      <c r="C205" s="27">
        <v>63078</v>
      </c>
      <c r="D205" s="14" t="s">
        <v>119</v>
      </c>
      <c r="E205" s="112"/>
      <c r="F205" s="139" t="s">
        <v>852</v>
      </c>
      <c r="G205" s="140"/>
      <c r="H205" s="141"/>
      <c r="I205" s="26">
        <v>36756</v>
      </c>
      <c r="J205" s="117"/>
      <c r="K205" s="120"/>
      <c r="L205" s="121"/>
      <c r="M205" s="120"/>
      <c r="N205" s="121"/>
      <c r="O205" s="120"/>
      <c r="P205" s="121"/>
      <c r="Q205" s="120"/>
      <c r="R205" s="121"/>
      <c r="S205" s="120"/>
      <c r="T205" s="121"/>
      <c r="U205" s="120"/>
      <c r="V205" s="182"/>
      <c r="W205" s="125"/>
      <c r="X205" s="143" t="s">
        <v>853</v>
      </c>
      <c r="Y205" s="143"/>
      <c r="Z205" s="143"/>
      <c r="AA205" s="143"/>
      <c r="AB205" s="144"/>
      <c r="AC205" s="16" t="s">
        <v>21</v>
      </c>
      <c r="AD205" s="17" t="s">
        <v>854</v>
      </c>
      <c r="AE205" s="145" t="s">
        <v>855</v>
      </c>
      <c r="AF205" s="146"/>
      <c r="AG205" s="146"/>
      <c r="AH205" s="146"/>
      <c r="AI205" s="147"/>
      <c r="AJ205" s="148"/>
      <c r="AK205" s="143"/>
      <c r="AL205" s="143"/>
      <c r="AM205" s="22"/>
      <c r="AN205" s="149"/>
      <c r="AO205" s="144"/>
      <c r="AP205" s="148"/>
      <c r="AQ205" s="144"/>
      <c r="AR205" s="120"/>
      <c r="AS205" s="121"/>
      <c r="AT205" s="120"/>
      <c r="AU205" s="182"/>
      <c r="AV205" s="120"/>
      <c r="AW205" s="121"/>
      <c r="AX205" s="120"/>
      <c r="AY205" s="121"/>
      <c r="AZ205" s="201"/>
    </row>
    <row r="206" spans="1:52" ht="17.100000000000001" customHeight="1" thickTop="1">
      <c r="A206" s="109" t="s">
        <v>5840</v>
      </c>
      <c r="B206" s="28">
        <v>43699</v>
      </c>
      <c r="C206" s="29" t="s">
        <v>856</v>
      </c>
      <c r="D206" s="13" t="s">
        <v>857</v>
      </c>
      <c r="E206" s="111"/>
      <c r="F206" s="283" t="s">
        <v>858</v>
      </c>
      <c r="G206" s="273"/>
      <c r="H206" s="274"/>
      <c r="I206" s="65" t="s">
        <v>859</v>
      </c>
      <c r="J206" s="116">
        <v>4.5</v>
      </c>
      <c r="K206" s="118">
        <v>4550000</v>
      </c>
      <c r="L206" s="119"/>
      <c r="M206" s="118">
        <v>364000</v>
      </c>
      <c r="N206" s="119"/>
      <c r="O206" s="118">
        <v>44600</v>
      </c>
      <c r="P206" s="119"/>
      <c r="Q206" s="118">
        <v>22700</v>
      </c>
      <c r="R206" s="119"/>
      <c r="S206" s="118">
        <v>23760</v>
      </c>
      <c r="T206" s="119"/>
      <c r="U206" s="118">
        <f>SUM(K206:T206)</f>
        <v>5005060</v>
      </c>
      <c r="V206" s="210"/>
      <c r="W206" s="124">
        <v>3000000</v>
      </c>
      <c r="X206" s="223" t="s">
        <v>860</v>
      </c>
      <c r="Y206" s="223"/>
      <c r="Z206" s="223"/>
      <c r="AA206" s="223"/>
      <c r="AB206" s="224"/>
      <c r="AC206" s="15" t="s">
        <v>20</v>
      </c>
      <c r="AD206" s="129" t="s">
        <v>861</v>
      </c>
      <c r="AE206" s="130"/>
      <c r="AF206" s="130"/>
      <c r="AG206" s="130"/>
      <c r="AH206" s="130"/>
      <c r="AI206" s="131"/>
      <c r="AJ206" s="132"/>
      <c r="AK206" s="127"/>
      <c r="AL206" s="127"/>
      <c r="AM206" s="21"/>
      <c r="AN206" s="133"/>
      <c r="AO206" s="134"/>
      <c r="AP206" s="135"/>
      <c r="AQ206" s="136"/>
      <c r="AR206" s="118"/>
      <c r="AS206" s="119"/>
      <c r="AT206" s="180">
        <f>AR206*0.1</f>
        <v>0</v>
      </c>
      <c r="AU206" s="181"/>
      <c r="AV206" s="118"/>
      <c r="AW206" s="119"/>
      <c r="AX206" s="118">
        <f>SUM(AR206:AW206)</f>
        <v>0</v>
      </c>
      <c r="AY206" s="119"/>
      <c r="AZ206" s="200"/>
    </row>
    <row r="207" spans="1:52" ht="17.100000000000001" customHeight="1" thickBot="1">
      <c r="A207" s="110"/>
      <c r="B207" s="27" t="s">
        <v>148</v>
      </c>
      <c r="C207" s="27">
        <v>70034</v>
      </c>
      <c r="D207" s="14" t="s">
        <v>862</v>
      </c>
      <c r="E207" s="112"/>
      <c r="F207" s="139" t="s">
        <v>863</v>
      </c>
      <c r="G207" s="140"/>
      <c r="H207" s="141"/>
      <c r="I207" s="26">
        <v>37542</v>
      </c>
      <c r="J207" s="117"/>
      <c r="K207" s="120"/>
      <c r="L207" s="121"/>
      <c r="M207" s="120"/>
      <c r="N207" s="121"/>
      <c r="O207" s="120"/>
      <c r="P207" s="121"/>
      <c r="Q207" s="120"/>
      <c r="R207" s="121"/>
      <c r="S207" s="120"/>
      <c r="T207" s="121"/>
      <c r="U207" s="120"/>
      <c r="V207" s="182"/>
      <c r="W207" s="125"/>
      <c r="X207" s="143" t="s">
        <v>864</v>
      </c>
      <c r="Y207" s="143"/>
      <c r="Z207" s="143"/>
      <c r="AA207" s="143"/>
      <c r="AB207" s="144"/>
      <c r="AC207" s="16" t="s">
        <v>21</v>
      </c>
      <c r="AD207" s="17" t="s">
        <v>865</v>
      </c>
      <c r="AE207" s="145" t="s">
        <v>866</v>
      </c>
      <c r="AF207" s="146"/>
      <c r="AG207" s="146"/>
      <c r="AH207" s="146"/>
      <c r="AI207" s="147"/>
      <c r="AJ207" s="148"/>
      <c r="AK207" s="143"/>
      <c r="AL207" s="143"/>
      <c r="AM207" s="22" t="s">
        <v>51</v>
      </c>
      <c r="AN207" s="149"/>
      <c r="AO207" s="144"/>
      <c r="AP207" s="148"/>
      <c r="AQ207" s="144"/>
      <c r="AR207" s="120"/>
      <c r="AS207" s="121"/>
      <c r="AT207" s="120"/>
      <c r="AU207" s="182"/>
      <c r="AV207" s="120"/>
      <c r="AW207" s="121"/>
      <c r="AX207" s="120"/>
      <c r="AY207" s="121"/>
      <c r="AZ207" s="201"/>
    </row>
    <row r="208" spans="1:52" ht="17.100000000000001" customHeight="1" thickTop="1">
      <c r="A208" s="109" t="s">
        <v>5841</v>
      </c>
      <c r="B208" s="28">
        <v>43699</v>
      </c>
      <c r="C208" s="29" t="s">
        <v>867</v>
      </c>
      <c r="D208" s="13" t="s">
        <v>501</v>
      </c>
      <c r="E208" s="111"/>
      <c r="F208" s="283" t="s">
        <v>868</v>
      </c>
      <c r="G208" s="273"/>
      <c r="H208" s="274"/>
      <c r="I208" s="24"/>
      <c r="J208" s="116">
        <v>4</v>
      </c>
      <c r="K208" s="118">
        <v>1350000</v>
      </c>
      <c r="L208" s="119"/>
      <c r="M208" s="118">
        <v>108000</v>
      </c>
      <c r="N208" s="119"/>
      <c r="O208" s="118">
        <v>0</v>
      </c>
      <c r="P208" s="119"/>
      <c r="Q208" s="118">
        <v>21300</v>
      </c>
      <c r="R208" s="119"/>
      <c r="S208" s="118">
        <v>12960</v>
      </c>
      <c r="T208" s="119"/>
      <c r="U208" s="118">
        <f>SUM(K208:T208)</f>
        <v>1492260</v>
      </c>
      <c r="V208" s="210"/>
      <c r="W208" s="124">
        <v>700000</v>
      </c>
      <c r="X208" s="223" t="s">
        <v>869</v>
      </c>
      <c r="Y208" s="223"/>
      <c r="Z208" s="223"/>
      <c r="AA208" s="223"/>
      <c r="AB208" s="224"/>
      <c r="AC208" s="15" t="s">
        <v>20</v>
      </c>
      <c r="AD208" s="129" t="s">
        <v>870</v>
      </c>
      <c r="AE208" s="130"/>
      <c r="AF208" s="130"/>
      <c r="AG208" s="130"/>
      <c r="AH208" s="130"/>
      <c r="AI208" s="131"/>
      <c r="AJ208" s="132"/>
      <c r="AK208" s="127"/>
      <c r="AL208" s="127"/>
      <c r="AM208" s="21"/>
      <c r="AN208" s="133"/>
      <c r="AO208" s="134"/>
      <c r="AP208" s="135"/>
      <c r="AQ208" s="136"/>
      <c r="AR208" s="118"/>
      <c r="AS208" s="119"/>
      <c r="AT208" s="180">
        <f>AR208*0.1</f>
        <v>0</v>
      </c>
      <c r="AU208" s="181"/>
      <c r="AV208" s="118"/>
      <c r="AW208" s="119"/>
      <c r="AX208" s="118">
        <f>SUM(AR208:AW208)</f>
        <v>0</v>
      </c>
      <c r="AY208" s="119"/>
      <c r="AZ208" s="200"/>
    </row>
    <row r="209" spans="1:52" ht="17.100000000000001" customHeight="1" thickBot="1">
      <c r="A209" s="110"/>
      <c r="B209" s="27" t="s">
        <v>250</v>
      </c>
      <c r="C209" s="27">
        <v>133</v>
      </c>
      <c r="D209" s="14" t="s">
        <v>447</v>
      </c>
      <c r="E209" s="112"/>
      <c r="F209" s="139" t="s">
        <v>871</v>
      </c>
      <c r="G209" s="140"/>
      <c r="H209" s="141"/>
      <c r="I209" s="26">
        <v>43772</v>
      </c>
      <c r="J209" s="117"/>
      <c r="K209" s="120"/>
      <c r="L209" s="121"/>
      <c r="M209" s="120"/>
      <c r="N209" s="121"/>
      <c r="O209" s="120"/>
      <c r="P209" s="121"/>
      <c r="Q209" s="120"/>
      <c r="R209" s="121"/>
      <c r="S209" s="120"/>
      <c r="T209" s="121"/>
      <c r="U209" s="120"/>
      <c r="V209" s="182"/>
      <c r="W209" s="125"/>
      <c r="X209" s="143" t="s">
        <v>872</v>
      </c>
      <c r="Y209" s="143"/>
      <c r="Z209" s="143"/>
      <c r="AA209" s="143"/>
      <c r="AB209" s="144"/>
      <c r="AC209" s="16" t="s">
        <v>21</v>
      </c>
      <c r="AD209" s="17" t="s">
        <v>865</v>
      </c>
      <c r="AE209" s="145" t="s">
        <v>489</v>
      </c>
      <c r="AF209" s="146"/>
      <c r="AG209" s="146"/>
      <c r="AH209" s="146"/>
      <c r="AI209" s="147"/>
      <c r="AJ209" s="148"/>
      <c r="AK209" s="143"/>
      <c r="AL209" s="143"/>
      <c r="AM209" s="22"/>
      <c r="AN209" s="149"/>
      <c r="AO209" s="144"/>
      <c r="AP209" s="148"/>
      <c r="AQ209" s="144"/>
      <c r="AR209" s="120"/>
      <c r="AS209" s="121"/>
      <c r="AT209" s="120"/>
      <c r="AU209" s="182"/>
      <c r="AV209" s="120"/>
      <c r="AW209" s="121"/>
      <c r="AX209" s="120"/>
      <c r="AY209" s="121"/>
      <c r="AZ209" s="201"/>
    </row>
    <row r="210" spans="1:52" ht="17.100000000000001" customHeight="1" thickTop="1">
      <c r="A210" s="109" t="s">
        <v>5842</v>
      </c>
      <c r="B210" s="28">
        <v>43699</v>
      </c>
      <c r="C210" s="29" t="s">
        <v>873</v>
      </c>
      <c r="D210" s="13" t="s">
        <v>632</v>
      </c>
      <c r="E210" s="111"/>
      <c r="F210" s="283" t="s">
        <v>874</v>
      </c>
      <c r="G210" s="273"/>
      <c r="H210" s="274"/>
      <c r="I210" s="24" t="s">
        <v>875</v>
      </c>
      <c r="J210" s="116">
        <v>4.5</v>
      </c>
      <c r="K210" s="118">
        <v>800000</v>
      </c>
      <c r="L210" s="119"/>
      <c r="M210" s="118">
        <v>64000</v>
      </c>
      <c r="N210" s="119"/>
      <c r="O210" s="118">
        <v>29700</v>
      </c>
      <c r="P210" s="119"/>
      <c r="Q210" s="118">
        <v>21540</v>
      </c>
      <c r="R210" s="119"/>
      <c r="S210" s="118">
        <v>12960</v>
      </c>
      <c r="T210" s="119"/>
      <c r="U210" s="118">
        <f>SUM(K210:T210)</f>
        <v>928200</v>
      </c>
      <c r="V210" s="210"/>
      <c r="W210" s="124">
        <v>100000</v>
      </c>
      <c r="X210" s="223" t="s">
        <v>876</v>
      </c>
      <c r="Y210" s="223"/>
      <c r="Z210" s="223"/>
      <c r="AA210" s="223"/>
      <c r="AB210" s="224"/>
      <c r="AC210" s="15" t="s">
        <v>20</v>
      </c>
      <c r="AD210" s="129" t="s">
        <v>877</v>
      </c>
      <c r="AE210" s="130"/>
      <c r="AF210" s="130"/>
      <c r="AG210" s="130"/>
      <c r="AH210" s="130"/>
      <c r="AI210" s="131"/>
      <c r="AJ210" s="132"/>
      <c r="AK210" s="127"/>
      <c r="AL210" s="127"/>
      <c r="AM210" s="21"/>
      <c r="AN210" s="133"/>
      <c r="AO210" s="134"/>
      <c r="AP210" s="135"/>
      <c r="AQ210" s="136"/>
      <c r="AR210" s="118"/>
      <c r="AS210" s="119"/>
      <c r="AT210" s="180">
        <f>AR210*0.1</f>
        <v>0</v>
      </c>
      <c r="AU210" s="181"/>
      <c r="AV210" s="118"/>
      <c r="AW210" s="119"/>
      <c r="AX210" s="118">
        <f>SUM(AR210:AW210)</f>
        <v>0</v>
      </c>
      <c r="AY210" s="119"/>
      <c r="AZ210" s="200"/>
    </row>
    <row r="211" spans="1:52" ht="17.100000000000001" customHeight="1" thickBot="1">
      <c r="A211" s="110"/>
      <c r="B211" s="27" t="s">
        <v>552</v>
      </c>
      <c r="C211" s="27">
        <v>80056</v>
      </c>
      <c r="D211" s="14" t="s">
        <v>66</v>
      </c>
      <c r="E211" s="112"/>
      <c r="F211" s="139" t="s">
        <v>878</v>
      </c>
      <c r="G211" s="140"/>
      <c r="H211" s="141"/>
      <c r="I211" s="26">
        <v>54970</v>
      </c>
      <c r="J211" s="117"/>
      <c r="K211" s="120"/>
      <c r="L211" s="121"/>
      <c r="M211" s="120"/>
      <c r="N211" s="121"/>
      <c r="O211" s="120"/>
      <c r="P211" s="121"/>
      <c r="Q211" s="120"/>
      <c r="R211" s="121"/>
      <c r="S211" s="120"/>
      <c r="T211" s="121"/>
      <c r="U211" s="120"/>
      <c r="V211" s="182"/>
      <c r="W211" s="125"/>
      <c r="X211" s="143" t="s">
        <v>879</v>
      </c>
      <c r="Y211" s="143"/>
      <c r="Z211" s="143"/>
      <c r="AA211" s="143"/>
      <c r="AB211" s="144"/>
      <c r="AC211" s="16" t="s">
        <v>21</v>
      </c>
      <c r="AD211" s="17" t="s">
        <v>880</v>
      </c>
      <c r="AE211" s="145" t="s">
        <v>881</v>
      </c>
      <c r="AF211" s="146"/>
      <c r="AG211" s="146"/>
      <c r="AH211" s="146"/>
      <c r="AI211" s="147"/>
      <c r="AJ211" s="148"/>
      <c r="AK211" s="143"/>
      <c r="AL211" s="143"/>
      <c r="AM211" s="22" t="s">
        <v>882</v>
      </c>
      <c r="AN211" s="149"/>
      <c r="AO211" s="144"/>
      <c r="AP211" s="148"/>
      <c r="AQ211" s="144"/>
      <c r="AR211" s="120"/>
      <c r="AS211" s="121"/>
      <c r="AT211" s="120"/>
      <c r="AU211" s="182"/>
      <c r="AV211" s="120"/>
      <c r="AW211" s="121"/>
      <c r="AX211" s="120"/>
      <c r="AY211" s="121"/>
      <c r="AZ211" s="201"/>
    </row>
    <row r="212" spans="1:52" ht="17.100000000000001" customHeight="1" thickTop="1">
      <c r="A212" s="109" t="s">
        <v>5843</v>
      </c>
      <c r="B212" s="28">
        <v>43701</v>
      </c>
      <c r="C212" s="29" t="s">
        <v>883</v>
      </c>
      <c r="D212" s="13" t="s">
        <v>884</v>
      </c>
      <c r="E212" s="111"/>
      <c r="F212" s="283" t="s">
        <v>885</v>
      </c>
      <c r="G212" s="273"/>
      <c r="H212" s="274"/>
      <c r="I212" s="24" t="s">
        <v>886</v>
      </c>
      <c r="J212" s="116">
        <v>4.5</v>
      </c>
      <c r="K212" s="118">
        <v>2000000</v>
      </c>
      <c r="L212" s="119"/>
      <c r="M212" s="118">
        <v>160000</v>
      </c>
      <c r="N212" s="119"/>
      <c r="O212" s="118">
        <v>20100</v>
      </c>
      <c r="P212" s="119"/>
      <c r="Q212" s="118">
        <v>15100</v>
      </c>
      <c r="R212" s="119"/>
      <c r="S212" s="118">
        <v>12960</v>
      </c>
      <c r="T212" s="119"/>
      <c r="U212" s="118">
        <f>SUM(K212:T212)</f>
        <v>2208160</v>
      </c>
      <c r="V212" s="210"/>
      <c r="W212" s="124">
        <v>1200000</v>
      </c>
      <c r="X212" s="223" t="s">
        <v>887</v>
      </c>
      <c r="Y212" s="223"/>
      <c r="Z212" s="223"/>
      <c r="AA212" s="223"/>
      <c r="AB212" s="224"/>
      <c r="AC212" s="15" t="s">
        <v>20</v>
      </c>
      <c r="AD212" s="129" t="s">
        <v>719</v>
      </c>
      <c r="AE212" s="130"/>
      <c r="AF212" s="130"/>
      <c r="AG212" s="130"/>
      <c r="AH212" s="130"/>
      <c r="AI212" s="131"/>
      <c r="AJ212" s="132"/>
      <c r="AK212" s="127"/>
      <c r="AL212" s="127"/>
      <c r="AM212" s="21"/>
      <c r="AN212" s="133"/>
      <c r="AO212" s="134"/>
      <c r="AP212" s="135"/>
      <c r="AQ212" s="136"/>
      <c r="AR212" s="118"/>
      <c r="AS212" s="119"/>
      <c r="AT212" s="180">
        <f>AR212*0.1</f>
        <v>0</v>
      </c>
      <c r="AU212" s="181"/>
      <c r="AV212" s="118"/>
      <c r="AW212" s="119"/>
      <c r="AX212" s="118">
        <f>SUM(AR212:AW212)</f>
        <v>0</v>
      </c>
      <c r="AY212" s="119"/>
      <c r="AZ212" s="200"/>
    </row>
    <row r="213" spans="1:52" ht="17.100000000000001" customHeight="1" thickBot="1">
      <c r="A213" s="110"/>
      <c r="B213" s="27" t="s">
        <v>46</v>
      </c>
      <c r="C213" s="27">
        <v>82156</v>
      </c>
      <c r="D213" s="14" t="s">
        <v>221</v>
      </c>
      <c r="E213" s="112"/>
      <c r="F213" s="139" t="s">
        <v>888</v>
      </c>
      <c r="G213" s="140"/>
      <c r="H213" s="141"/>
      <c r="I213" s="26">
        <v>20510</v>
      </c>
      <c r="J213" s="117"/>
      <c r="K213" s="120"/>
      <c r="L213" s="121"/>
      <c r="M213" s="120"/>
      <c r="N213" s="121"/>
      <c r="O213" s="120"/>
      <c r="P213" s="121"/>
      <c r="Q213" s="120"/>
      <c r="R213" s="121"/>
      <c r="S213" s="120"/>
      <c r="T213" s="121"/>
      <c r="U213" s="120"/>
      <c r="V213" s="182"/>
      <c r="W213" s="125"/>
      <c r="X213" s="143" t="s">
        <v>889</v>
      </c>
      <c r="Y213" s="143"/>
      <c r="Z213" s="143"/>
      <c r="AA213" s="143"/>
      <c r="AB213" s="144"/>
      <c r="AC213" s="16" t="s">
        <v>21</v>
      </c>
      <c r="AD213" s="17" t="s">
        <v>890</v>
      </c>
      <c r="AE213" s="145" t="s">
        <v>891</v>
      </c>
      <c r="AF213" s="146"/>
      <c r="AG213" s="146"/>
      <c r="AH213" s="146"/>
      <c r="AI213" s="147"/>
      <c r="AJ213" s="148"/>
      <c r="AK213" s="143"/>
      <c r="AL213" s="143"/>
      <c r="AM213" s="22" t="s">
        <v>51</v>
      </c>
      <c r="AN213" s="149"/>
      <c r="AO213" s="144"/>
      <c r="AP213" s="148"/>
      <c r="AQ213" s="144"/>
      <c r="AR213" s="120"/>
      <c r="AS213" s="121"/>
      <c r="AT213" s="120"/>
      <c r="AU213" s="182"/>
      <c r="AV213" s="120"/>
      <c r="AW213" s="121"/>
      <c r="AX213" s="120"/>
      <c r="AY213" s="121"/>
      <c r="AZ213" s="201"/>
    </row>
    <row r="214" spans="1:52" ht="17.100000000000001" customHeight="1" thickTop="1">
      <c r="A214" s="109" t="s">
        <v>5844</v>
      </c>
      <c r="B214" s="28">
        <v>43706</v>
      </c>
      <c r="C214" s="29" t="s">
        <v>892</v>
      </c>
      <c r="D214" s="13" t="s">
        <v>615</v>
      </c>
      <c r="E214" s="111"/>
      <c r="F214" s="283" t="s">
        <v>893</v>
      </c>
      <c r="G214" s="273"/>
      <c r="H214" s="274"/>
      <c r="I214" s="24"/>
      <c r="J214" s="116">
        <v>3.5</v>
      </c>
      <c r="K214" s="118">
        <v>247000</v>
      </c>
      <c r="L214" s="119"/>
      <c r="M214" s="118">
        <v>19760</v>
      </c>
      <c r="N214" s="119"/>
      <c r="O214" s="118">
        <v>0</v>
      </c>
      <c r="P214" s="119"/>
      <c r="Q214" s="118">
        <v>10010</v>
      </c>
      <c r="R214" s="119"/>
      <c r="S214" s="118">
        <v>12960</v>
      </c>
      <c r="T214" s="119"/>
      <c r="U214" s="118">
        <f>SUM(K214:T214)</f>
        <v>289730</v>
      </c>
      <c r="V214" s="210"/>
      <c r="W214" s="124">
        <v>150000</v>
      </c>
      <c r="X214" s="223" t="s">
        <v>894</v>
      </c>
      <c r="Y214" s="223"/>
      <c r="Z214" s="223"/>
      <c r="AA214" s="223"/>
      <c r="AB214" s="224"/>
      <c r="AC214" s="15" t="s">
        <v>20</v>
      </c>
      <c r="AD214" s="129" t="s">
        <v>581</v>
      </c>
      <c r="AE214" s="130"/>
      <c r="AF214" s="130"/>
      <c r="AG214" s="130"/>
      <c r="AH214" s="130"/>
      <c r="AI214" s="131"/>
      <c r="AJ214" s="132"/>
      <c r="AK214" s="127"/>
      <c r="AL214" s="127"/>
      <c r="AM214" s="21"/>
      <c r="AN214" s="133"/>
      <c r="AO214" s="134"/>
      <c r="AP214" s="135"/>
      <c r="AQ214" s="136"/>
      <c r="AR214" s="118"/>
      <c r="AS214" s="119"/>
      <c r="AT214" s="180">
        <f>AR214*0.1</f>
        <v>0</v>
      </c>
      <c r="AU214" s="181"/>
      <c r="AV214" s="118"/>
      <c r="AW214" s="119"/>
      <c r="AX214" s="118">
        <f>SUM(AR214:AW214)</f>
        <v>0</v>
      </c>
      <c r="AY214" s="119"/>
      <c r="AZ214" s="200"/>
    </row>
    <row r="215" spans="1:52" ht="17.100000000000001" customHeight="1" thickBot="1">
      <c r="A215" s="110"/>
      <c r="B215" s="27" t="s">
        <v>552</v>
      </c>
      <c r="C215" s="27">
        <v>50306</v>
      </c>
      <c r="D215" s="14" t="s">
        <v>447</v>
      </c>
      <c r="E215" s="112"/>
      <c r="F215" s="139" t="s">
        <v>895</v>
      </c>
      <c r="G215" s="140"/>
      <c r="H215" s="141"/>
      <c r="I215" s="26">
        <v>49441</v>
      </c>
      <c r="J215" s="117"/>
      <c r="K215" s="120"/>
      <c r="L215" s="121"/>
      <c r="M215" s="120"/>
      <c r="N215" s="121"/>
      <c r="O215" s="120"/>
      <c r="P215" s="121"/>
      <c r="Q215" s="120"/>
      <c r="R215" s="121"/>
      <c r="S215" s="120"/>
      <c r="T215" s="121"/>
      <c r="U215" s="120"/>
      <c r="V215" s="182"/>
      <c r="W215" s="125"/>
      <c r="X215" s="143" t="s">
        <v>896</v>
      </c>
      <c r="Y215" s="143"/>
      <c r="Z215" s="143"/>
      <c r="AA215" s="143"/>
      <c r="AB215" s="144"/>
      <c r="AC215" s="16" t="s">
        <v>21</v>
      </c>
      <c r="AD215" s="17" t="s">
        <v>897</v>
      </c>
      <c r="AE215" s="145" t="s">
        <v>898</v>
      </c>
      <c r="AF215" s="146"/>
      <c r="AG215" s="146"/>
      <c r="AH215" s="146"/>
      <c r="AI215" s="147"/>
      <c r="AJ215" s="148"/>
      <c r="AK215" s="143"/>
      <c r="AL215" s="143"/>
      <c r="AM215" s="22"/>
      <c r="AN215" s="149"/>
      <c r="AO215" s="144"/>
      <c r="AP215" s="148"/>
      <c r="AQ215" s="144"/>
      <c r="AR215" s="120"/>
      <c r="AS215" s="121"/>
      <c r="AT215" s="120"/>
      <c r="AU215" s="182"/>
      <c r="AV215" s="120"/>
      <c r="AW215" s="121"/>
      <c r="AX215" s="120"/>
      <c r="AY215" s="121"/>
      <c r="AZ215" s="201"/>
    </row>
    <row r="216" spans="1:52" ht="17.100000000000001" customHeight="1" thickTop="1">
      <c r="A216" s="109" t="s">
        <v>5845</v>
      </c>
      <c r="B216" s="28">
        <v>43719</v>
      </c>
      <c r="C216" s="29" t="s">
        <v>899</v>
      </c>
      <c r="D216" s="13" t="s">
        <v>900</v>
      </c>
      <c r="E216" s="111"/>
      <c r="F216" s="283" t="s">
        <v>901</v>
      </c>
      <c r="G216" s="273"/>
      <c r="H216" s="274"/>
      <c r="I216" s="24" t="s">
        <v>902</v>
      </c>
      <c r="J216" s="116">
        <v>4</v>
      </c>
      <c r="K216" s="118">
        <v>318000</v>
      </c>
      <c r="L216" s="119"/>
      <c r="M216" s="118">
        <v>25440</v>
      </c>
      <c r="N216" s="119"/>
      <c r="O216" s="118">
        <v>19770</v>
      </c>
      <c r="P216" s="119"/>
      <c r="Q216" s="118">
        <v>20140</v>
      </c>
      <c r="R216" s="119"/>
      <c r="S216" s="118">
        <v>12420</v>
      </c>
      <c r="T216" s="119"/>
      <c r="U216" s="118">
        <f>SUM(K216:T216)</f>
        <v>395770</v>
      </c>
      <c r="V216" s="210"/>
      <c r="W216" s="124">
        <v>100000</v>
      </c>
      <c r="X216" s="223" t="s">
        <v>903</v>
      </c>
      <c r="Y216" s="223"/>
      <c r="Z216" s="223"/>
      <c r="AA216" s="223"/>
      <c r="AB216" s="224"/>
      <c r="AC216" s="15" t="s">
        <v>20</v>
      </c>
      <c r="AD216" s="129"/>
      <c r="AE216" s="130"/>
      <c r="AF216" s="130"/>
      <c r="AG216" s="130"/>
      <c r="AH216" s="130"/>
      <c r="AI216" s="131"/>
      <c r="AJ216" s="132"/>
      <c r="AK216" s="127"/>
      <c r="AL216" s="127"/>
      <c r="AM216" s="21"/>
      <c r="AN216" s="133"/>
      <c r="AO216" s="134"/>
      <c r="AP216" s="135"/>
      <c r="AQ216" s="136"/>
      <c r="AR216" s="118"/>
      <c r="AS216" s="119"/>
      <c r="AT216" s="180">
        <f>AR216*0.1</f>
        <v>0</v>
      </c>
      <c r="AU216" s="181"/>
      <c r="AV216" s="118"/>
      <c r="AW216" s="119"/>
      <c r="AX216" s="118">
        <f>SUM(AR216:AW216)</f>
        <v>0</v>
      </c>
      <c r="AY216" s="119"/>
      <c r="AZ216" s="200"/>
    </row>
    <row r="217" spans="1:52" ht="17.100000000000001" customHeight="1" thickBot="1">
      <c r="A217" s="110"/>
      <c r="B217" s="27" t="s">
        <v>431</v>
      </c>
      <c r="C217" s="27">
        <v>35238</v>
      </c>
      <c r="D217" s="14" t="s">
        <v>904</v>
      </c>
      <c r="E217" s="112"/>
      <c r="F217" s="139" t="s">
        <v>905</v>
      </c>
      <c r="G217" s="140"/>
      <c r="H217" s="141"/>
      <c r="I217" s="26">
        <v>18781</v>
      </c>
      <c r="J217" s="117"/>
      <c r="K217" s="120"/>
      <c r="L217" s="121"/>
      <c r="M217" s="120"/>
      <c r="N217" s="121"/>
      <c r="O217" s="120"/>
      <c r="P217" s="121"/>
      <c r="Q217" s="120"/>
      <c r="R217" s="121"/>
      <c r="S217" s="120"/>
      <c r="T217" s="121"/>
      <c r="U217" s="120"/>
      <c r="V217" s="182"/>
      <c r="W217" s="125"/>
      <c r="X217" s="143" t="s">
        <v>629</v>
      </c>
      <c r="Y217" s="143"/>
      <c r="Z217" s="143"/>
      <c r="AA217" s="143"/>
      <c r="AB217" s="144"/>
      <c r="AC217" s="16" t="s">
        <v>21</v>
      </c>
      <c r="AD217" s="17" t="s">
        <v>906</v>
      </c>
      <c r="AE217" s="145" t="s">
        <v>581</v>
      </c>
      <c r="AF217" s="146"/>
      <c r="AG217" s="146"/>
      <c r="AH217" s="146"/>
      <c r="AI217" s="147"/>
      <c r="AJ217" s="148"/>
      <c r="AK217" s="143"/>
      <c r="AL217" s="143"/>
      <c r="AM217" s="22" t="s">
        <v>907</v>
      </c>
      <c r="AN217" s="149"/>
      <c r="AO217" s="144"/>
      <c r="AP217" s="148"/>
      <c r="AQ217" s="144"/>
      <c r="AR217" s="120"/>
      <c r="AS217" s="121"/>
      <c r="AT217" s="120"/>
      <c r="AU217" s="182"/>
      <c r="AV217" s="120"/>
      <c r="AW217" s="121"/>
      <c r="AX217" s="120"/>
      <c r="AY217" s="121"/>
      <c r="AZ217" s="201"/>
    </row>
    <row r="218" spans="1:52" ht="17.100000000000001" customHeight="1" thickTop="1">
      <c r="A218" s="109" t="s">
        <v>5846</v>
      </c>
      <c r="B218" s="28">
        <v>43784</v>
      </c>
      <c r="C218" s="29" t="s">
        <v>908</v>
      </c>
      <c r="D218" s="13" t="s">
        <v>909</v>
      </c>
      <c r="E218" s="111"/>
      <c r="F218" s="113" t="s">
        <v>910</v>
      </c>
      <c r="G218" s="273"/>
      <c r="H218" s="274"/>
      <c r="I218" s="24" t="s">
        <v>911</v>
      </c>
      <c r="J218" s="116">
        <v>5</v>
      </c>
      <c r="K218" s="118">
        <v>1660000</v>
      </c>
      <c r="L218" s="119"/>
      <c r="M218" s="118">
        <v>166000</v>
      </c>
      <c r="N218" s="119"/>
      <c r="O218" s="118">
        <v>13100</v>
      </c>
      <c r="P218" s="119"/>
      <c r="Q218" s="118">
        <v>19330</v>
      </c>
      <c r="R218" s="119"/>
      <c r="S218" s="118">
        <v>24200</v>
      </c>
      <c r="T218" s="119"/>
      <c r="U218" s="118">
        <f>SUM(K218:T218)</f>
        <v>1882630</v>
      </c>
      <c r="V218" s="210"/>
      <c r="W218" s="124">
        <v>1300000</v>
      </c>
      <c r="X218" s="223" t="s">
        <v>912</v>
      </c>
      <c r="Y218" s="223"/>
      <c r="Z218" s="223"/>
      <c r="AA218" s="223"/>
      <c r="AB218" s="224"/>
      <c r="AC218" s="15" t="s">
        <v>20</v>
      </c>
      <c r="AD218" s="129" t="s">
        <v>913</v>
      </c>
      <c r="AE218" s="130"/>
      <c r="AF218" s="130"/>
      <c r="AG218" s="130"/>
      <c r="AH218" s="130"/>
      <c r="AI218" s="131"/>
      <c r="AJ218" s="132"/>
      <c r="AK218" s="127"/>
      <c r="AL218" s="127"/>
      <c r="AM218" s="21" t="s">
        <v>914</v>
      </c>
      <c r="AN218" s="133"/>
      <c r="AO218" s="134"/>
      <c r="AP218" s="135"/>
      <c r="AQ218" s="136"/>
      <c r="AR218" s="118"/>
      <c r="AS218" s="119"/>
      <c r="AT218" s="180">
        <f>AR218*0.1</f>
        <v>0</v>
      </c>
      <c r="AU218" s="181"/>
      <c r="AV218" s="118"/>
      <c r="AW218" s="119"/>
      <c r="AX218" s="118">
        <f>SUM(AR218:AW218)</f>
        <v>0</v>
      </c>
      <c r="AY218" s="119"/>
      <c r="AZ218" s="200"/>
    </row>
    <row r="219" spans="1:52" ht="17.100000000000001" customHeight="1" thickBot="1">
      <c r="A219" s="110"/>
      <c r="B219" s="27" t="s">
        <v>205</v>
      </c>
      <c r="C219" s="27">
        <v>35081</v>
      </c>
      <c r="D219" s="14" t="s">
        <v>447</v>
      </c>
      <c r="E219" s="112"/>
      <c r="F219" s="139" t="s">
        <v>915</v>
      </c>
      <c r="G219" s="140"/>
      <c r="H219" s="141"/>
      <c r="I219" s="26">
        <v>46258</v>
      </c>
      <c r="J219" s="117"/>
      <c r="K219" s="120"/>
      <c r="L219" s="121"/>
      <c r="M219" s="120"/>
      <c r="N219" s="121"/>
      <c r="O219" s="120"/>
      <c r="P219" s="121"/>
      <c r="Q219" s="120"/>
      <c r="R219" s="121"/>
      <c r="S219" s="120"/>
      <c r="T219" s="121"/>
      <c r="U219" s="120"/>
      <c r="V219" s="182"/>
      <c r="W219" s="125"/>
      <c r="X219" s="143" t="s">
        <v>916</v>
      </c>
      <c r="Y219" s="143"/>
      <c r="Z219" s="143"/>
      <c r="AA219" s="143"/>
      <c r="AB219" s="144"/>
      <c r="AC219" s="16" t="s">
        <v>21</v>
      </c>
      <c r="AD219" s="17" t="s">
        <v>917</v>
      </c>
      <c r="AE219" s="145" t="s">
        <v>918</v>
      </c>
      <c r="AF219" s="146"/>
      <c r="AG219" s="146"/>
      <c r="AH219" s="146"/>
      <c r="AI219" s="147"/>
      <c r="AJ219" s="148"/>
      <c r="AK219" s="143"/>
      <c r="AL219" s="143"/>
      <c r="AM219" s="22" t="s">
        <v>51</v>
      </c>
      <c r="AN219" s="149"/>
      <c r="AO219" s="144"/>
      <c r="AP219" s="148"/>
      <c r="AQ219" s="144"/>
      <c r="AR219" s="120"/>
      <c r="AS219" s="121"/>
      <c r="AT219" s="120"/>
      <c r="AU219" s="182"/>
      <c r="AV219" s="120"/>
      <c r="AW219" s="121"/>
      <c r="AX219" s="120"/>
      <c r="AY219" s="121"/>
      <c r="AZ219" s="201"/>
    </row>
    <row r="220" spans="1:52" ht="17.100000000000001" customHeight="1" thickTop="1">
      <c r="A220" s="109" t="s">
        <v>5847</v>
      </c>
      <c r="B220" s="28">
        <v>43868</v>
      </c>
      <c r="C220" s="51"/>
      <c r="D220" s="13" t="s">
        <v>929</v>
      </c>
      <c r="E220" s="111" t="s">
        <v>166</v>
      </c>
      <c r="F220" s="283" t="s">
        <v>930</v>
      </c>
      <c r="G220" s="273"/>
      <c r="H220" s="273"/>
      <c r="I220" s="61" t="s">
        <v>931</v>
      </c>
      <c r="J220" s="116">
        <v>5</v>
      </c>
      <c r="K220" s="118">
        <v>5000000</v>
      </c>
      <c r="L220" s="119"/>
      <c r="M220" s="118">
        <v>500000</v>
      </c>
      <c r="N220" s="119"/>
      <c r="O220" s="118">
        <v>4200</v>
      </c>
      <c r="P220" s="119"/>
      <c r="Q220" s="118">
        <v>22540</v>
      </c>
      <c r="R220" s="119"/>
      <c r="S220" s="118">
        <v>24200</v>
      </c>
      <c r="T220" s="119"/>
      <c r="U220" s="118">
        <f>SUM(K220:T221)</f>
        <v>5550940</v>
      </c>
      <c r="V220" s="119"/>
      <c r="W220" s="124"/>
      <c r="X220" s="215" t="s">
        <v>932</v>
      </c>
      <c r="Y220" s="215"/>
      <c r="Z220" s="215"/>
      <c r="AA220" s="215"/>
      <c r="AB220" s="215"/>
      <c r="AC220" s="15" t="s">
        <v>20</v>
      </c>
      <c r="AD220" s="129" t="s">
        <v>933</v>
      </c>
      <c r="AE220" s="130"/>
      <c r="AF220" s="130"/>
      <c r="AG220" s="130"/>
      <c r="AH220" s="130"/>
      <c r="AI220" s="131"/>
      <c r="AJ220" s="132" t="s">
        <v>934</v>
      </c>
      <c r="AK220" s="127"/>
      <c r="AL220" s="127"/>
      <c r="AM220" s="21" t="s">
        <v>935</v>
      </c>
      <c r="AN220" s="289"/>
      <c r="AO220" s="290"/>
      <c r="AP220" s="135"/>
      <c r="AQ220" s="136"/>
      <c r="AR220" s="118"/>
      <c r="AS220" s="210"/>
      <c r="AT220" s="180">
        <f>AR220*0.1</f>
        <v>0</v>
      </c>
      <c r="AU220" s="181"/>
      <c r="AV220" s="118"/>
      <c r="AW220" s="210"/>
      <c r="AX220" s="118">
        <f>SUM(AR220:AW220)</f>
        <v>0</v>
      </c>
      <c r="AY220" s="119"/>
      <c r="AZ220" s="200"/>
    </row>
    <row r="221" spans="1:52" ht="17.100000000000001" customHeight="1" thickBot="1">
      <c r="A221" s="110"/>
      <c r="B221" s="27" t="s">
        <v>205</v>
      </c>
      <c r="C221" s="27"/>
      <c r="D221" s="14" t="s">
        <v>765</v>
      </c>
      <c r="E221" s="112"/>
      <c r="F221" s="139" t="s">
        <v>936</v>
      </c>
      <c r="G221" s="140"/>
      <c r="H221" s="140"/>
      <c r="I221" s="48">
        <v>3830</v>
      </c>
      <c r="J221" s="117"/>
      <c r="K221" s="120"/>
      <c r="L221" s="121"/>
      <c r="M221" s="120"/>
      <c r="N221" s="121"/>
      <c r="O221" s="120"/>
      <c r="P221" s="121"/>
      <c r="Q221" s="120"/>
      <c r="R221" s="121"/>
      <c r="S221" s="120"/>
      <c r="T221" s="121"/>
      <c r="U221" s="120"/>
      <c r="V221" s="121"/>
      <c r="W221" s="125"/>
      <c r="X221" s="287" t="s">
        <v>937</v>
      </c>
      <c r="Y221" s="287"/>
      <c r="Z221" s="287"/>
      <c r="AA221" s="287"/>
      <c r="AB221" s="287"/>
      <c r="AC221" s="16" t="s">
        <v>21</v>
      </c>
      <c r="AD221" s="17" t="s">
        <v>938</v>
      </c>
      <c r="AE221" s="145" t="s">
        <v>855</v>
      </c>
      <c r="AF221" s="146"/>
      <c r="AG221" s="146"/>
      <c r="AH221" s="146"/>
      <c r="AI221" s="147"/>
      <c r="AJ221" s="148" t="s">
        <v>939</v>
      </c>
      <c r="AK221" s="143"/>
      <c r="AL221" s="143"/>
      <c r="AM221" s="53"/>
      <c r="AN221" s="288"/>
      <c r="AO221" s="287"/>
      <c r="AP221" s="148"/>
      <c r="AQ221" s="144"/>
      <c r="AR221" s="120"/>
      <c r="AS221" s="182"/>
      <c r="AT221" s="120"/>
      <c r="AU221" s="182"/>
      <c r="AV221" s="120"/>
      <c r="AW221" s="182"/>
      <c r="AX221" s="120"/>
      <c r="AY221" s="121"/>
      <c r="AZ221" s="201"/>
    </row>
    <row r="222" spans="1:52" ht="17.100000000000001" customHeight="1" thickTop="1">
      <c r="A222" s="109" t="s">
        <v>5848</v>
      </c>
      <c r="B222" s="28">
        <v>44000</v>
      </c>
      <c r="C222" s="29" t="s">
        <v>940</v>
      </c>
      <c r="D222" s="13" t="s">
        <v>941</v>
      </c>
      <c r="E222" s="111"/>
      <c r="F222" s="283" t="s">
        <v>942</v>
      </c>
      <c r="G222" s="273"/>
      <c r="H222" s="274"/>
      <c r="I222" s="24"/>
      <c r="J222" s="116">
        <v>4</v>
      </c>
      <c r="K222" s="118">
        <v>1965000</v>
      </c>
      <c r="L222" s="119"/>
      <c r="M222" s="118">
        <v>196500</v>
      </c>
      <c r="N222" s="119"/>
      <c r="O222" s="118">
        <v>0</v>
      </c>
      <c r="P222" s="119"/>
      <c r="Q222" s="118">
        <v>19610</v>
      </c>
      <c r="R222" s="119"/>
      <c r="S222" s="118">
        <v>13200</v>
      </c>
      <c r="T222" s="119"/>
      <c r="U222" s="118">
        <f>SUM(K222:T222)</f>
        <v>2194310</v>
      </c>
      <c r="V222" s="210"/>
      <c r="W222" s="124">
        <v>1400000</v>
      </c>
      <c r="X222" s="223" t="s">
        <v>943</v>
      </c>
      <c r="Y222" s="223"/>
      <c r="Z222" s="223"/>
      <c r="AA222" s="223"/>
      <c r="AB222" s="224"/>
      <c r="AC222" s="15" t="s">
        <v>20</v>
      </c>
      <c r="AD222" s="129" t="s">
        <v>944</v>
      </c>
      <c r="AE222" s="130"/>
      <c r="AF222" s="130"/>
      <c r="AG222" s="130"/>
      <c r="AH222" s="130"/>
      <c r="AI222" s="131"/>
      <c r="AJ222" s="132"/>
      <c r="AK222" s="127"/>
      <c r="AL222" s="127"/>
      <c r="AM222" s="21"/>
      <c r="AN222" s="133"/>
      <c r="AO222" s="134"/>
      <c r="AP222" s="135"/>
      <c r="AQ222" s="136"/>
      <c r="AR222" s="118"/>
      <c r="AS222" s="119"/>
      <c r="AT222" s="180">
        <f>AR222*0.1</f>
        <v>0</v>
      </c>
      <c r="AU222" s="181"/>
      <c r="AV222" s="118"/>
      <c r="AW222" s="119"/>
      <c r="AX222" s="118">
        <f>SUM(AR222:AW222)</f>
        <v>0</v>
      </c>
      <c r="AY222" s="119"/>
      <c r="AZ222" s="200"/>
    </row>
    <row r="223" spans="1:52" ht="17.100000000000001" customHeight="1" thickBot="1">
      <c r="A223" s="110"/>
      <c r="B223" s="27" t="s">
        <v>250</v>
      </c>
      <c r="C223" s="27">
        <v>599</v>
      </c>
      <c r="D223" s="14" t="s">
        <v>221</v>
      </c>
      <c r="E223" s="112"/>
      <c r="F223" s="139" t="s">
        <v>945</v>
      </c>
      <c r="G223" s="140"/>
      <c r="H223" s="141"/>
      <c r="I223" s="26">
        <v>40533</v>
      </c>
      <c r="J223" s="117"/>
      <c r="K223" s="120"/>
      <c r="L223" s="121"/>
      <c r="M223" s="120"/>
      <c r="N223" s="121"/>
      <c r="O223" s="120"/>
      <c r="P223" s="121"/>
      <c r="Q223" s="120"/>
      <c r="R223" s="121"/>
      <c r="S223" s="120"/>
      <c r="T223" s="121"/>
      <c r="U223" s="120"/>
      <c r="V223" s="182"/>
      <c r="W223" s="125"/>
      <c r="X223" s="143" t="s">
        <v>946</v>
      </c>
      <c r="Y223" s="143"/>
      <c r="Z223" s="143"/>
      <c r="AA223" s="143"/>
      <c r="AB223" s="144"/>
      <c r="AC223" s="16" t="s">
        <v>21</v>
      </c>
      <c r="AD223" s="17" t="s">
        <v>947</v>
      </c>
      <c r="AE223" s="145" t="s">
        <v>948</v>
      </c>
      <c r="AF223" s="146"/>
      <c r="AG223" s="146"/>
      <c r="AH223" s="146"/>
      <c r="AI223" s="147"/>
      <c r="AJ223" s="148"/>
      <c r="AK223" s="143"/>
      <c r="AL223" s="143"/>
      <c r="AM223" s="22"/>
      <c r="AN223" s="149"/>
      <c r="AO223" s="144"/>
      <c r="AP223" s="148"/>
      <c r="AQ223" s="144"/>
      <c r="AR223" s="120"/>
      <c r="AS223" s="121"/>
      <c r="AT223" s="120"/>
      <c r="AU223" s="182"/>
      <c r="AV223" s="120"/>
      <c r="AW223" s="121"/>
      <c r="AX223" s="120"/>
      <c r="AY223" s="121"/>
      <c r="AZ223" s="201"/>
    </row>
    <row r="224" spans="1:52" ht="17.100000000000001" customHeight="1" thickTop="1">
      <c r="A224" s="109" t="s">
        <v>5849</v>
      </c>
      <c r="B224" s="28">
        <v>44007</v>
      </c>
      <c r="C224" s="29"/>
      <c r="D224" s="13" t="s">
        <v>949</v>
      </c>
      <c r="E224" s="111" t="s">
        <v>166</v>
      </c>
      <c r="F224" s="113" t="s">
        <v>950</v>
      </c>
      <c r="G224" s="273"/>
      <c r="H224" s="273"/>
      <c r="I224" s="61"/>
      <c r="J224" s="116"/>
      <c r="K224" s="118">
        <v>111000</v>
      </c>
      <c r="L224" s="119"/>
      <c r="M224" s="118">
        <v>11100</v>
      </c>
      <c r="N224" s="119"/>
      <c r="O224" s="118">
        <v>0</v>
      </c>
      <c r="P224" s="119"/>
      <c r="Q224" s="118">
        <v>0</v>
      </c>
      <c r="R224" s="119"/>
      <c r="S224" s="118">
        <f>29527+2953</f>
        <v>32480</v>
      </c>
      <c r="T224" s="119"/>
      <c r="U224" s="118">
        <f>SUM(K224:T224)</f>
        <v>154580</v>
      </c>
      <c r="V224" s="119"/>
      <c r="W224" s="124"/>
      <c r="X224" s="225" t="s">
        <v>951</v>
      </c>
      <c r="Y224" s="223"/>
      <c r="Z224" s="223"/>
      <c r="AA224" s="223"/>
      <c r="AB224" s="224"/>
      <c r="AC224" s="15" t="s">
        <v>20</v>
      </c>
      <c r="AD224" s="129" t="s">
        <v>952</v>
      </c>
      <c r="AE224" s="130"/>
      <c r="AF224" s="130"/>
      <c r="AG224" s="130"/>
      <c r="AH224" s="130"/>
      <c r="AI224" s="131"/>
      <c r="AJ224" s="132"/>
      <c r="AK224" s="127"/>
      <c r="AL224" s="127"/>
      <c r="AM224" s="62"/>
      <c r="AN224" s="133"/>
      <c r="AO224" s="134"/>
      <c r="AP224" s="135"/>
      <c r="AQ224" s="136"/>
      <c r="AR224" s="118"/>
      <c r="AS224" s="119"/>
      <c r="AT224" s="180">
        <f>AR224*0.1</f>
        <v>0</v>
      </c>
      <c r="AU224" s="181"/>
      <c r="AV224" s="118"/>
      <c r="AW224" s="119"/>
      <c r="AX224" s="118">
        <f>SUM(AR224:AW224)</f>
        <v>0</v>
      </c>
      <c r="AY224" s="119"/>
      <c r="AZ224" s="200"/>
    </row>
    <row r="225" spans="1:52" ht="17.100000000000001" customHeight="1" thickBot="1">
      <c r="A225" s="110"/>
      <c r="B225" s="27" t="s">
        <v>637</v>
      </c>
      <c r="C225" s="27" t="s">
        <v>953</v>
      </c>
      <c r="D225" s="14" t="s">
        <v>206</v>
      </c>
      <c r="E225" s="112"/>
      <c r="F225" s="139" t="s">
        <v>954</v>
      </c>
      <c r="G225" s="140"/>
      <c r="H225" s="140"/>
      <c r="I225" s="48">
        <v>0</v>
      </c>
      <c r="J225" s="117"/>
      <c r="K225" s="120"/>
      <c r="L225" s="121"/>
      <c r="M225" s="120"/>
      <c r="N225" s="121"/>
      <c r="O225" s="120"/>
      <c r="P225" s="121"/>
      <c r="Q225" s="120"/>
      <c r="R225" s="121"/>
      <c r="S225" s="120"/>
      <c r="T225" s="121"/>
      <c r="U225" s="120"/>
      <c r="V225" s="121"/>
      <c r="W225" s="125"/>
      <c r="X225" s="148" t="s">
        <v>955</v>
      </c>
      <c r="Y225" s="143"/>
      <c r="Z225" s="143"/>
      <c r="AA225" s="143"/>
      <c r="AB225" s="144"/>
      <c r="AC225" s="16" t="s">
        <v>21</v>
      </c>
      <c r="AD225" s="17" t="s">
        <v>611</v>
      </c>
      <c r="AE225" s="145" t="s">
        <v>952</v>
      </c>
      <c r="AF225" s="146"/>
      <c r="AG225" s="146"/>
      <c r="AH225" s="146"/>
      <c r="AI225" s="147"/>
      <c r="AJ225" s="148"/>
      <c r="AK225" s="143"/>
      <c r="AL225" s="143"/>
      <c r="AM225" s="53"/>
      <c r="AN225" s="149"/>
      <c r="AO225" s="144"/>
      <c r="AP225" s="148"/>
      <c r="AQ225" s="144"/>
      <c r="AR225" s="120"/>
      <c r="AS225" s="121"/>
      <c r="AT225" s="120"/>
      <c r="AU225" s="182"/>
      <c r="AV225" s="120"/>
      <c r="AW225" s="121"/>
      <c r="AX225" s="120"/>
      <c r="AY225" s="121"/>
      <c r="AZ225" s="201"/>
    </row>
    <row r="226" spans="1:52" ht="17.100000000000001" customHeight="1" thickTop="1">
      <c r="A226" s="109" t="s">
        <v>5850</v>
      </c>
      <c r="B226" s="28">
        <v>44015</v>
      </c>
      <c r="C226" s="29" t="s">
        <v>956</v>
      </c>
      <c r="D226" s="13" t="s">
        <v>957</v>
      </c>
      <c r="E226" s="111" t="s">
        <v>166</v>
      </c>
      <c r="F226" s="283" t="s">
        <v>958</v>
      </c>
      <c r="G226" s="273"/>
      <c r="H226" s="274"/>
      <c r="I226" s="24" t="s">
        <v>959</v>
      </c>
      <c r="J226" s="116">
        <v>4</v>
      </c>
      <c r="K226" s="118">
        <v>4080000</v>
      </c>
      <c r="L226" s="119"/>
      <c r="M226" s="118">
        <v>408000</v>
      </c>
      <c r="N226" s="119"/>
      <c r="O226" s="118">
        <v>34000</v>
      </c>
      <c r="P226" s="119"/>
      <c r="Q226" s="118">
        <v>20860</v>
      </c>
      <c r="R226" s="119"/>
      <c r="S226" s="118">
        <v>13200</v>
      </c>
      <c r="T226" s="119"/>
      <c r="U226" s="118">
        <f>SUM(K226:T226)</f>
        <v>4556060</v>
      </c>
      <c r="V226" s="210"/>
      <c r="W226" s="124"/>
      <c r="X226" s="223" t="s">
        <v>960</v>
      </c>
      <c r="Y226" s="223"/>
      <c r="Z226" s="223"/>
      <c r="AA226" s="223"/>
      <c r="AB226" s="224"/>
      <c r="AC226" s="15" t="s">
        <v>20</v>
      </c>
      <c r="AD226" s="129" t="s">
        <v>870</v>
      </c>
      <c r="AE226" s="130"/>
      <c r="AF226" s="130"/>
      <c r="AG226" s="130"/>
      <c r="AH226" s="130"/>
      <c r="AI226" s="131"/>
      <c r="AJ226" s="132"/>
      <c r="AK226" s="127"/>
      <c r="AL226" s="127"/>
      <c r="AM226" s="21" t="s">
        <v>961</v>
      </c>
      <c r="AN226" s="133"/>
      <c r="AO226" s="134"/>
      <c r="AP226" s="135"/>
      <c r="AQ226" s="136"/>
      <c r="AR226" s="118"/>
      <c r="AS226" s="119"/>
      <c r="AT226" s="180">
        <f>AR226*0.1</f>
        <v>0</v>
      </c>
      <c r="AU226" s="181"/>
      <c r="AV226" s="118"/>
      <c r="AW226" s="119"/>
      <c r="AX226" s="118">
        <f>SUM(AR226:AW226)</f>
        <v>0</v>
      </c>
      <c r="AY226" s="119"/>
      <c r="AZ226" s="200"/>
    </row>
    <row r="227" spans="1:52" ht="17.100000000000001" customHeight="1" thickBot="1">
      <c r="A227" s="110"/>
      <c r="B227" s="27" t="s">
        <v>205</v>
      </c>
      <c r="C227" s="27">
        <v>58193</v>
      </c>
      <c r="D227" s="14" t="s">
        <v>447</v>
      </c>
      <c r="E227" s="112"/>
      <c r="F227" s="139" t="s">
        <v>962</v>
      </c>
      <c r="G227" s="140"/>
      <c r="H227" s="141"/>
      <c r="I227" s="26">
        <v>37375</v>
      </c>
      <c r="J227" s="117"/>
      <c r="K227" s="120"/>
      <c r="L227" s="121"/>
      <c r="M227" s="120"/>
      <c r="N227" s="121"/>
      <c r="O227" s="120"/>
      <c r="P227" s="121"/>
      <c r="Q227" s="120"/>
      <c r="R227" s="121"/>
      <c r="S227" s="120"/>
      <c r="T227" s="121"/>
      <c r="U227" s="120"/>
      <c r="V227" s="182"/>
      <c r="W227" s="125"/>
      <c r="X227" s="143" t="s">
        <v>963</v>
      </c>
      <c r="Y227" s="143"/>
      <c r="Z227" s="143"/>
      <c r="AA227" s="143"/>
      <c r="AB227" s="144"/>
      <c r="AC227" s="16" t="s">
        <v>21</v>
      </c>
      <c r="AD227" s="17" t="s">
        <v>964</v>
      </c>
      <c r="AE227" s="145" t="s">
        <v>965</v>
      </c>
      <c r="AF227" s="146"/>
      <c r="AG227" s="146"/>
      <c r="AH227" s="146"/>
      <c r="AI227" s="147"/>
      <c r="AJ227" s="148"/>
      <c r="AK227" s="143"/>
      <c r="AL227" s="143"/>
      <c r="AM227" s="22"/>
      <c r="AN227" s="149"/>
      <c r="AO227" s="144"/>
      <c r="AP227" s="148"/>
      <c r="AQ227" s="144"/>
      <c r="AR227" s="120"/>
      <c r="AS227" s="121"/>
      <c r="AT227" s="120"/>
      <c r="AU227" s="182"/>
      <c r="AV227" s="120"/>
      <c r="AW227" s="121"/>
      <c r="AX227" s="120"/>
      <c r="AY227" s="121"/>
      <c r="AZ227" s="201"/>
    </row>
    <row r="228" spans="1:52" ht="17.100000000000001" customHeight="1" thickTop="1">
      <c r="A228" s="109" t="s">
        <v>5851</v>
      </c>
      <c r="B228" s="28">
        <v>44021</v>
      </c>
      <c r="C228" s="29" t="s">
        <v>966</v>
      </c>
      <c r="D228" s="13" t="s">
        <v>644</v>
      </c>
      <c r="E228" s="111"/>
      <c r="F228" s="283" t="s">
        <v>967</v>
      </c>
      <c r="G228" s="273"/>
      <c r="H228" s="274"/>
      <c r="I228" s="24" t="s">
        <v>968</v>
      </c>
      <c r="J228" s="116">
        <v>4</v>
      </c>
      <c r="K228" s="118">
        <v>1403000</v>
      </c>
      <c r="L228" s="119"/>
      <c r="M228" s="118">
        <v>140300</v>
      </c>
      <c r="N228" s="119"/>
      <c r="O228" s="118">
        <v>23000</v>
      </c>
      <c r="P228" s="119"/>
      <c r="Q228" s="118">
        <v>17700</v>
      </c>
      <c r="R228" s="119"/>
      <c r="S228" s="118">
        <v>22000</v>
      </c>
      <c r="T228" s="119"/>
      <c r="U228" s="118">
        <f>SUM(K228:T228)</f>
        <v>1606000</v>
      </c>
      <c r="V228" s="210"/>
      <c r="W228" s="124">
        <v>800000</v>
      </c>
      <c r="X228" s="223" t="s">
        <v>969</v>
      </c>
      <c r="Y228" s="223"/>
      <c r="Z228" s="223"/>
      <c r="AA228" s="223"/>
      <c r="AB228" s="224"/>
      <c r="AC228" s="15" t="s">
        <v>20</v>
      </c>
      <c r="AD228" s="129" t="s">
        <v>870</v>
      </c>
      <c r="AE228" s="130"/>
      <c r="AF228" s="130"/>
      <c r="AG228" s="130"/>
      <c r="AH228" s="130"/>
      <c r="AI228" s="131"/>
      <c r="AJ228" s="132"/>
      <c r="AK228" s="127"/>
      <c r="AL228" s="127"/>
      <c r="AM228" s="21" t="s">
        <v>970</v>
      </c>
      <c r="AN228" s="133"/>
      <c r="AO228" s="134"/>
      <c r="AP228" s="135"/>
      <c r="AQ228" s="136"/>
      <c r="AR228" s="118"/>
      <c r="AS228" s="119"/>
      <c r="AT228" s="180">
        <f>AR228*0.1</f>
        <v>0</v>
      </c>
      <c r="AU228" s="181"/>
      <c r="AV228" s="118"/>
      <c r="AW228" s="119"/>
      <c r="AX228" s="118">
        <f>SUM(AR228:AW228)</f>
        <v>0</v>
      </c>
      <c r="AY228" s="119"/>
      <c r="AZ228" s="200"/>
    </row>
    <row r="229" spans="1:52" ht="17.100000000000001" customHeight="1" thickBot="1">
      <c r="A229" s="110"/>
      <c r="B229" s="27" t="s">
        <v>971</v>
      </c>
      <c r="C229" s="27">
        <v>30066</v>
      </c>
      <c r="D229" s="14" t="s">
        <v>972</v>
      </c>
      <c r="E229" s="112"/>
      <c r="F229" s="139" t="s">
        <v>973</v>
      </c>
      <c r="G229" s="140"/>
      <c r="H229" s="141"/>
      <c r="I229" s="26">
        <v>51233</v>
      </c>
      <c r="J229" s="117"/>
      <c r="K229" s="120"/>
      <c r="L229" s="121"/>
      <c r="M229" s="120"/>
      <c r="N229" s="121"/>
      <c r="O229" s="120"/>
      <c r="P229" s="121"/>
      <c r="Q229" s="120"/>
      <c r="R229" s="121"/>
      <c r="S229" s="120"/>
      <c r="T229" s="121"/>
      <c r="U229" s="120"/>
      <c r="V229" s="182"/>
      <c r="W229" s="125"/>
      <c r="X229" s="143" t="s">
        <v>974</v>
      </c>
      <c r="Y229" s="143"/>
      <c r="Z229" s="143"/>
      <c r="AA229" s="143"/>
      <c r="AB229" s="144"/>
      <c r="AC229" s="16" t="s">
        <v>21</v>
      </c>
      <c r="AD229" s="17" t="s">
        <v>975</v>
      </c>
      <c r="AE229" s="145" t="s">
        <v>976</v>
      </c>
      <c r="AF229" s="146"/>
      <c r="AG229" s="146"/>
      <c r="AH229" s="146"/>
      <c r="AI229" s="147"/>
      <c r="AJ229" s="148"/>
      <c r="AK229" s="143"/>
      <c r="AL229" s="143"/>
      <c r="AM229" s="22" t="s">
        <v>928</v>
      </c>
      <c r="AN229" s="149"/>
      <c r="AO229" s="144"/>
      <c r="AP229" s="148"/>
      <c r="AQ229" s="144"/>
      <c r="AR229" s="120"/>
      <c r="AS229" s="121"/>
      <c r="AT229" s="120"/>
      <c r="AU229" s="182"/>
      <c r="AV229" s="120"/>
      <c r="AW229" s="121"/>
      <c r="AX229" s="120"/>
      <c r="AY229" s="121"/>
      <c r="AZ229" s="201"/>
    </row>
    <row r="230" spans="1:52" ht="17.100000000000001" customHeight="1" thickTop="1">
      <c r="A230" s="109" t="s">
        <v>5852</v>
      </c>
      <c r="B230" s="28">
        <v>44037</v>
      </c>
      <c r="C230" s="29"/>
      <c r="D230" s="13" t="s">
        <v>977</v>
      </c>
      <c r="E230" s="111"/>
      <c r="F230" s="283" t="s">
        <v>978</v>
      </c>
      <c r="G230" s="273"/>
      <c r="H230" s="274"/>
      <c r="I230" s="24" t="s">
        <v>979</v>
      </c>
      <c r="J230" s="116">
        <v>3</v>
      </c>
      <c r="K230" s="118">
        <v>225000</v>
      </c>
      <c r="L230" s="119"/>
      <c r="M230" s="118">
        <v>22500</v>
      </c>
      <c r="N230" s="119"/>
      <c r="O230" s="118">
        <v>20100</v>
      </c>
      <c r="P230" s="119"/>
      <c r="Q230" s="118">
        <v>8510</v>
      </c>
      <c r="R230" s="119"/>
      <c r="S230" s="118">
        <f>35527+3553</f>
        <v>39080</v>
      </c>
      <c r="T230" s="119"/>
      <c r="U230" s="118">
        <f>SUM(K230:T230)</f>
        <v>315190</v>
      </c>
      <c r="V230" s="210"/>
      <c r="W230" s="124">
        <v>150000</v>
      </c>
      <c r="X230" s="223" t="s">
        <v>980</v>
      </c>
      <c r="Y230" s="223"/>
      <c r="Z230" s="223"/>
      <c r="AA230" s="223"/>
      <c r="AB230" s="224"/>
      <c r="AC230" s="15" t="s">
        <v>20</v>
      </c>
      <c r="AD230" s="129" t="s">
        <v>786</v>
      </c>
      <c r="AE230" s="130"/>
      <c r="AF230" s="130"/>
      <c r="AG230" s="130"/>
      <c r="AH230" s="130"/>
      <c r="AI230" s="131"/>
      <c r="AJ230" s="132"/>
      <c r="AK230" s="127"/>
      <c r="AL230" s="127"/>
      <c r="AM230" s="21"/>
      <c r="AN230" s="133"/>
      <c r="AO230" s="134"/>
      <c r="AP230" s="135"/>
      <c r="AQ230" s="136"/>
      <c r="AR230" s="118"/>
      <c r="AS230" s="119"/>
      <c r="AT230" s="180">
        <f>AR230*0.1</f>
        <v>0</v>
      </c>
      <c r="AU230" s="181"/>
      <c r="AV230" s="118"/>
      <c r="AW230" s="119"/>
      <c r="AX230" s="118">
        <f>SUM(AR230:AW230)</f>
        <v>0</v>
      </c>
      <c r="AY230" s="119"/>
      <c r="AZ230" s="200"/>
    </row>
    <row r="231" spans="1:52" ht="17.100000000000001" customHeight="1" thickBot="1">
      <c r="A231" s="110"/>
      <c r="B231" s="27" t="s">
        <v>637</v>
      </c>
      <c r="C231" s="27" t="s">
        <v>981</v>
      </c>
      <c r="D231" s="14" t="s">
        <v>982</v>
      </c>
      <c r="E231" s="112"/>
      <c r="F231" s="139" t="s">
        <v>983</v>
      </c>
      <c r="G231" s="140"/>
      <c r="H231" s="141"/>
      <c r="I231" s="26">
        <v>14833</v>
      </c>
      <c r="J231" s="117"/>
      <c r="K231" s="120"/>
      <c r="L231" s="121"/>
      <c r="M231" s="120"/>
      <c r="N231" s="121"/>
      <c r="O231" s="120"/>
      <c r="P231" s="121"/>
      <c r="Q231" s="120"/>
      <c r="R231" s="121"/>
      <c r="S231" s="120"/>
      <c r="T231" s="121"/>
      <c r="U231" s="120"/>
      <c r="V231" s="182"/>
      <c r="W231" s="125"/>
      <c r="X231" s="143" t="s">
        <v>984</v>
      </c>
      <c r="Y231" s="143"/>
      <c r="Z231" s="143"/>
      <c r="AA231" s="143"/>
      <c r="AB231" s="144"/>
      <c r="AC231" s="16" t="s">
        <v>21</v>
      </c>
      <c r="AD231" s="17" t="s">
        <v>985</v>
      </c>
      <c r="AE231" s="145" t="s">
        <v>786</v>
      </c>
      <c r="AF231" s="146"/>
      <c r="AG231" s="146"/>
      <c r="AH231" s="146"/>
      <c r="AI231" s="147"/>
      <c r="AJ231" s="148"/>
      <c r="AK231" s="143"/>
      <c r="AL231" s="143"/>
      <c r="AM231" s="22"/>
      <c r="AN231" s="149"/>
      <c r="AO231" s="144"/>
      <c r="AP231" s="148"/>
      <c r="AQ231" s="144"/>
      <c r="AR231" s="120"/>
      <c r="AS231" s="121"/>
      <c r="AT231" s="120"/>
      <c r="AU231" s="182"/>
      <c r="AV231" s="120"/>
      <c r="AW231" s="121"/>
      <c r="AX231" s="120"/>
      <c r="AY231" s="121"/>
      <c r="AZ231" s="201"/>
    </row>
    <row r="232" spans="1:52" ht="17.100000000000001" customHeight="1" thickTop="1">
      <c r="A232" s="109" t="s">
        <v>5853</v>
      </c>
      <c r="B232" s="28">
        <v>44042</v>
      </c>
      <c r="C232" s="29" t="s">
        <v>986</v>
      </c>
      <c r="D232" s="13" t="s">
        <v>987</v>
      </c>
      <c r="E232" s="111"/>
      <c r="F232" s="283" t="s">
        <v>988</v>
      </c>
      <c r="G232" s="273"/>
      <c r="H232" s="274"/>
      <c r="I232" s="24" t="s">
        <v>792</v>
      </c>
      <c r="J232" s="116">
        <v>4.5</v>
      </c>
      <c r="K232" s="118">
        <v>1505000</v>
      </c>
      <c r="L232" s="119"/>
      <c r="M232" s="118">
        <v>150500</v>
      </c>
      <c r="N232" s="119"/>
      <c r="O232" s="118">
        <v>26300</v>
      </c>
      <c r="P232" s="119"/>
      <c r="Q232" s="118">
        <v>20310</v>
      </c>
      <c r="R232" s="119"/>
      <c r="S232" s="118">
        <v>13200</v>
      </c>
      <c r="T232" s="119"/>
      <c r="U232" s="118">
        <f>SUM(K232:T232)</f>
        <v>1715310</v>
      </c>
      <c r="V232" s="210"/>
      <c r="W232" s="124">
        <v>1100000</v>
      </c>
      <c r="X232" s="223" t="s">
        <v>989</v>
      </c>
      <c r="Y232" s="223"/>
      <c r="Z232" s="223"/>
      <c r="AA232" s="223"/>
      <c r="AB232" s="224"/>
      <c r="AC232" s="15" t="s">
        <v>20</v>
      </c>
      <c r="AD232" s="129" t="s">
        <v>990</v>
      </c>
      <c r="AE232" s="130"/>
      <c r="AF232" s="130"/>
      <c r="AG232" s="130"/>
      <c r="AH232" s="130"/>
      <c r="AI232" s="131"/>
      <c r="AJ232" s="132"/>
      <c r="AK232" s="127"/>
      <c r="AL232" s="127"/>
      <c r="AM232" s="21"/>
      <c r="AN232" s="133"/>
      <c r="AO232" s="134"/>
      <c r="AP232" s="135"/>
      <c r="AQ232" s="136"/>
      <c r="AR232" s="118"/>
      <c r="AS232" s="119"/>
      <c r="AT232" s="180">
        <f>AR232*0.1</f>
        <v>0</v>
      </c>
      <c r="AU232" s="181"/>
      <c r="AV232" s="118"/>
      <c r="AW232" s="119"/>
      <c r="AX232" s="118">
        <f>SUM(AR232:AW232)</f>
        <v>0</v>
      </c>
      <c r="AY232" s="119"/>
      <c r="AZ232" s="200"/>
    </row>
    <row r="233" spans="1:52" ht="17.100000000000001" customHeight="1" thickBot="1">
      <c r="A233" s="110"/>
      <c r="B233" s="27" t="s">
        <v>250</v>
      </c>
      <c r="C233" s="27">
        <v>110</v>
      </c>
      <c r="D233" s="14" t="s">
        <v>221</v>
      </c>
      <c r="E233" s="112"/>
      <c r="F233" s="139" t="s">
        <v>991</v>
      </c>
      <c r="G233" s="140"/>
      <c r="H233" s="141"/>
      <c r="I233" s="26">
        <v>48776</v>
      </c>
      <c r="J233" s="117"/>
      <c r="K233" s="120"/>
      <c r="L233" s="121"/>
      <c r="M233" s="120"/>
      <c r="N233" s="121"/>
      <c r="O233" s="120"/>
      <c r="P233" s="121"/>
      <c r="Q233" s="120"/>
      <c r="R233" s="121"/>
      <c r="S233" s="120"/>
      <c r="T233" s="121"/>
      <c r="U233" s="120"/>
      <c r="V233" s="182"/>
      <c r="W233" s="125"/>
      <c r="X233" s="143" t="s">
        <v>610</v>
      </c>
      <c r="Y233" s="143"/>
      <c r="Z233" s="143"/>
      <c r="AA233" s="143"/>
      <c r="AB233" s="144"/>
      <c r="AC233" s="16" t="s">
        <v>21</v>
      </c>
      <c r="AD233" s="17" t="s">
        <v>847</v>
      </c>
      <c r="AE233" s="145" t="s">
        <v>855</v>
      </c>
      <c r="AF233" s="146"/>
      <c r="AG233" s="146"/>
      <c r="AH233" s="146"/>
      <c r="AI233" s="147"/>
      <c r="AJ233" s="148"/>
      <c r="AK233" s="143"/>
      <c r="AL233" s="143"/>
      <c r="AM233" s="22" t="s">
        <v>907</v>
      </c>
      <c r="AN233" s="149"/>
      <c r="AO233" s="144"/>
      <c r="AP233" s="148"/>
      <c r="AQ233" s="144"/>
      <c r="AR233" s="120"/>
      <c r="AS233" s="121"/>
      <c r="AT233" s="120"/>
      <c r="AU233" s="182"/>
      <c r="AV233" s="120"/>
      <c r="AW233" s="121"/>
      <c r="AX233" s="120"/>
      <c r="AY233" s="121"/>
      <c r="AZ233" s="201"/>
    </row>
    <row r="234" spans="1:52" ht="17.100000000000001" customHeight="1" thickTop="1">
      <c r="A234" s="109" t="s">
        <v>5854</v>
      </c>
      <c r="B234" s="28">
        <v>44047</v>
      </c>
      <c r="C234" s="29" t="s">
        <v>992</v>
      </c>
      <c r="D234" s="13" t="s">
        <v>993</v>
      </c>
      <c r="E234" s="111"/>
      <c r="F234" s="283" t="s">
        <v>181</v>
      </c>
      <c r="G234" s="273"/>
      <c r="H234" s="274"/>
      <c r="I234" s="24"/>
      <c r="J234" s="116">
        <v>4.5</v>
      </c>
      <c r="K234" s="118">
        <v>1944000</v>
      </c>
      <c r="L234" s="119"/>
      <c r="M234" s="118">
        <v>194400</v>
      </c>
      <c r="N234" s="119"/>
      <c r="O234" s="118">
        <v>0</v>
      </c>
      <c r="P234" s="119"/>
      <c r="Q234" s="118">
        <v>17700</v>
      </c>
      <c r="R234" s="119"/>
      <c r="S234" s="118">
        <v>15950</v>
      </c>
      <c r="T234" s="119"/>
      <c r="U234" s="118">
        <f>SUM(K234:T234)</f>
        <v>2172050</v>
      </c>
      <c r="V234" s="210"/>
      <c r="W234" s="124">
        <v>1500000</v>
      </c>
      <c r="X234" s="223" t="s">
        <v>994</v>
      </c>
      <c r="Y234" s="223"/>
      <c r="Z234" s="223"/>
      <c r="AA234" s="223"/>
      <c r="AB234" s="224"/>
      <c r="AC234" s="15" t="s">
        <v>20</v>
      </c>
      <c r="AD234" s="129"/>
      <c r="AE234" s="130"/>
      <c r="AF234" s="130"/>
      <c r="AG234" s="130"/>
      <c r="AH234" s="130"/>
      <c r="AI234" s="131"/>
      <c r="AJ234" s="132"/>
      <c r="AK234" s="127"/>
      <c r="AL234" s="127"/>
      <c r="AM234" s="21"/>
      <c r="AN234" s="133"/>
      <c r="AO234" s="134"/>
      <c r="AP234" s="135"/>
      <c r="AQ234" s="136"/>
      <c r="AR234" s="118"/>
      <c r="AS234" s="119"/>
      <c r="AT234" s="180">
        <f>AR234*0.1</f>
        <v>0</v>
      </c>
      <c r="AU234" s="181"/>
      <c r="AV234" s="118"/>
      <c r="AW234" s="119"/>
      <c r="AX234" s="118">
        <f>SUM(AR234:AW234)</f>
        <v>0</v>
      </c>
      <c r="AY234" s="119"/>
      <c r="AZ234" s="200"/>
    </row>
    <row r="235" spans="1:52" ht="17.100000000000001" customHeight="1" thickBot="1">
      <c r="A235" s="110"/>
      <c r="B235" s="27" t="s">
        <v>802</v>
      </c>
      <c r="C235" s="27">
        <v>5003</v>
      </c>
      <c r="D235" s="14" t="s">
        <v>995</v>
      </c>
      <c r="E235" s="112"/>
      <c r="F235" s="139" t="s">
        <v>996</v>
      </c>
      <c r="G235" s="140"/>
      <c r="H235" s="141"/>
      <c r="I235" s="26">
        <v>21296</v>
      </c>
      <c r="J235" s="117"/>
      <c r="K235" s="120"/>
      <c r="L235" s="121"/>
      <c r="M235" s="120"/>
      <c r="N235" s="121"/>
      <c r="O235" s="120"/>
      <c r="P235" s="121"/>
      <c r="Q235" s="120"/>
      <c r="R235" s="121"/>
      <c r="S235" s="120"/>
      <c r="T235" s="121"/>
      <c r="U235" s="120"/>
      <c r="V235" s="182"/>
      <c r="W235" s="125"/>
      <c r="X235" s="143" t="s">
        <v>997</v>
      </c>
      <c r="Y235" s="143"/>
      <c r="Z235" s="143"/>
      <c r="AA235" s="143"/>
      <c r="AB235" s="144"/>
      <c r="AC235" s="16" t="s">
        <v>21</v>
      </c>
      <c r="AD235" s="17" t="s">
        <v>998</v>
      </c>
      <c r="AE235" s="145" t="s">
        <v>999</v>
      </c>
      <c r="AF235" s="146"/>
      <c r="AG235" s="146"/>
      <c r="AH235" s="146"/>
      <c r="AI235" s="147"/>
      <c r="AJ235" s="148"/>
      <c r="AK235" s="143"/>
      <c r="AL235" s="143"/>
      <c r="AM235" s="22"/>
      <c r="AN235" s="149"/>
      <c r="AO235" s="144"/>
      <c r="AP235" s="148"/>
      <c r="AQ235" s="144"/>
      <c r="AR235" s="120"/>
      <c r="AS235" s="121"/>
      <c r="AT235" s="120"/>
      <c r="AU235" s="182"/>
      <c r="AV235" s="120"/>
      <c r="AW235" s="121"/>
      <c r="AX235" s="120"/>
      <c r="AY235" s="121"/>
      <c r="AZ235" s="201"/>
    </row>
    <row r="236" spans="1:52" ht="17.100000000000001" customHeight="1" thickTop="1">
      <c r="A236" s="109" t="s">
        <v>5855</v>
      </c>
      <c r="B236" s="28">
        <v>44054</v>
      </c>
      <c r="C236" s="29"/>
      <c r="D236" s="13" t="s">
        <v>1000</v>
      </c>
      <c r="E236" s="111"/>
      <c r="F236" s="283" t="s">
        <v>1001</v>
      </c>
      <c r="G236" s="273"/>
      <c r="H236" s="274"/>
      <c r="I236" s="24" t="s">
        <v>792</v>
      </c>
      <c r="J236" s="116">
        <v>2</v>
      </c>
      <c r="K236" s="118">
        <v>100000</v>
      </c>
      <c r="L236" s="119"/>
      <c r="M236" s="118">
        <v>10000</v>
      </c>
      <c r="N236" s="119"/>
      <c r="O236" s="118">
        <v>0</v>
      </c>
      <c r="P236" s="119"/>
      <c r="Q236" s="118">
        <v>7540</v>
      </c>
      <c r="R236" s="119"/>
      <c r="S236" s="118">
        <v>5500</v>
      </c>
      <c r="T236" s="119"/>
      <c r="U236" s="118">
        <f>SUM(K236:T236)</f>
        <v>123040</v>
      </c>
      <c r="V236" s="210"/>
      <c r="W236" s="124">
        <v>20000</v>
      </c>
      <c r="X236" s="223" t="s">
        <v>1002</v>
      </c>
      <c r="Y236" s="223"/>
      <c r="Z236" s="223"/>
      <c r="AA236" s="223"/>
      <c r="AB236" s="224"/>
      <c r="AC236" s="15" t="s">
        <v>20</v>
      </c>
      <c r="AD236" s="129"/>
      <c r="AE236" s="130"/>
      <c r="AF236" s="130"/>
      <c r="AG236" s="130"/>
      <c r="AH236" s="130"/>
      <c r="AI236" s="131"/>
      <c r="AJ236" s="132"/>
      <c r="AK236" s="127"/>
      <c r="AL236" s="127"/>
      <c r="AM236" s="21"/>
      <c r="AN236" s="133"/>
      <c r="AO236" s="134"/>
      <c r="AP236" s="135"/>
      <c r="AQ236" s="136"/>
      <c r="AR236" s="118"/>
      <c r="AS236" s="119"/>
      <c r="AT236" s="180">
        <f>AR236*0.1</f>
        <v>0</v>
      </c>
      <c r="AU236" s="181"/>
      <c r="AV236" s="118"/>
      <c r="AW236" s="119"/>
      <c r="AX236" s="118">
        <f>SUM(AR236:AW236)</f>
        <v>0</v>
      </c>
      <c r="AY236" s="119"/>
      <c r="AZ236" s="200"/>
    </row>
    <row r="237" spans="1:52" ht="17.100000000000001" customHeight="1" thickBot="1">
      <c r="A237" s="110"/>
      <c r="B237" s="27" t="s">
        <v>1003</v>
      </c>
      <c r="C237" s="27" t="s">
        <v>1004</v>
      </c>
      <c r="D237" s="14" t="s">
        <v>221</v>
      </c>
      <c r="E237" s="112"/>
      <c r="F237" s="139" t="s">
        <v>1005</v>
      </c>
      <c r="G237" s="140"/>
      <c r="H237" s="141"/>
      <c r="I237" s="26">
        <v>213000</v>
      </c>
      <c r="J237" s="117"/>
      <c r="K237" s="120"/>
      <c r="L237" s="121"/>
      <c r="M237" s="120"/>
      <c r="N237" s="121"/>
      <c r="O237" s="120"/>
      <c r="P237" s="121"/>
      <c r="Q237" s="120"/>
      <c r="R237" s="121"/>
      <c r="S237" s="120"/>
      <c r="T237" s="121"/>
      <c r="U237" s="120"/>
      <c r="V237" s="182"/>
      <c r="W237" s="125"/>
      <c r="X237" s="143" t="s">
        <v>1006</v>
      </c>
      <c r="Y237" s="143"/>
      <c r="Z237" s="143"/>
      <c r="AA237" s="143"/>
      <c r="AB237" s="144"/>
      <c r="AC237" s="16" t="s">
        <v>21</v>
      </c>
      <c r="AD237" s="17" t="s">
        <v>1007</v>
      </c>
      <c r="AE237" s="145"/>
      <c r="AF237" s="146"/>
      <c r="AG237" s="146"/>
      <c r="AH237" s="146"/>
      <c r="AI237" s="147"/>
      <c r="AJ237" s="148"/>
      <c r="AK237" s="143"/>
      <c r="AL237" s="143"/>
      <c r="AM237" s="22"/>
      <c r="AN237" s="149"/>
      <c r="AO237" s="144"/>
      <c r="AP237" s="148"/>
      <c r="AQ237" s="144"/>
      <c r="AR237" s="120"/>
      <c r="AS237" s="121"/>
      <c r="AT237" s="120"/>
      <c r="AU237" s="182"/>
      <c r="AV237" s="120"/>
      <c r="AW237" s="121"/>
      <c r="AX237" s="120"/>
      <c r="AY237" s="121"/>
      <c r="AZ237" s="201"/>
    </row>
    <row r="238" spans="1:52" ht="17.100000000000001" customHeight="1" thickTop="1">
      <c r="A238" s="109" t="s">
        <v>5856</v>
      </c>
      <c r="B238" s="28">
        <v>44062</v>
      </c>
      <c r="C238" s="29" t="s">
        <v>1008</v>
      </c>
      <c r="D238" s="13" t="s">
        <v>1009</v>
      </c>
      <c r="E238" s="111"/>
      <c r="F238" s="283" t="s">
        <v>1010</v>
      </c>
      <c r="G238" s="273"/>
      <c r="H238" s="274"/>
      <c r="I238" s="24" t="s">
        <v>1011</v>
      </c>
      <c r="J238" s="116">
        <v>4</v>
      </c>
      <c r="K238" s="118">
        <v>2046000</v>
      </c>
      <c r="L238" s="119"/>
      <c r="M238" s="118">
        <v>204600</v>
      </c>
      <c r="N238" s="119"/>
      <c r="O238" s="118">
        <v>29700</v>
      </c>
      <c r="P238" s="119"/>
      <c r="Q238" s="118">
        <v>26610</v>
      </c>
      <c r="R238" s="119"/>
      <c r="S238" s="118">
        <v>13200</v>
      </c>
      <c r="T238" s="119"/>
      <c r="U238" s="118">
        <f>SUM(K238:T238)</f>
        <v>2320110</v>
      </c>
      <c r="V238" s="210"/>
      <c r="W238" s="124">
        <v>1300000</v>
      </c>
      <c r="X238" s="223" t="s">
        <v>1012</v>
      </c>
      <c r="Y238" s="223"/>
      <c r="Z238" s="223"/>
      <c r="AA238" s="223"/>
      <c r="AB238" s="224"/>
      <c r="AC238" s="15" t="s">
        <v>20</v>
      </c>
      <c r="AD238" s="129"/>
      <c r="AE238" s="130"/>
      <c r="AF238" s="130"/>
      <c r="AG238" s="130"/>
      <c r="AH238" s="130"/>
      <c r="AI238" s="131"/>
      <c r="AJ238" s="132"/>
      <c r="AK238" s="127"/>
      <c r="AL238" s="127"/>
      <c r="AM238" s="21"/>
      <c r="AN238" s="133"/>
      <c r="AO238" s="134"/>
      <c r="AP238" s="135"/>
      <c r="AQ238" s="136"/>
      <c r="AR238" s="118"/>
      <c r="AS238" s="119"/>
      <c r="AT238" s="180">
        <f>AR238*0.1</f>
        <v>0</v>
      </c>
      <c r="AU238" s="181"/>
      <c r="AV238" s="118"/>
      <c r="AW238" s="119"/>
      <c r="AX238" s="118">
        <f>SUM(AR238:AW238)</f>
        <v>0</v>
      </c>
      <c r="AY238" s="119"/>
      <c r="AZ238" s="200"/>
    </row>
    <row r="239" spans="1:52" ht="17.100000000000001" customHeight="1" thickBot="1">
      <c r="A239" s="110"/>
      <c r="B239" s="27" t="s">
        <v>582</v>
      </c>
      <c r="C239" s="27">
        <v>80018</v>
      </c>
      <c r="D239" s="14" t="s">
        <v>447</v>
      </c>
      <c r="E239" s="112"/>
      <c r="F239" s="139" t="s">
        <v>1013</v>
      </c>
      <c r="G239" s="140"/>
      <c r="H239" s="141"/>
      <c r="I239" s="26">
        <v>45152</v>
      </c>
      <c r="J239" s="117"/>
      <c r="K239" s="120"/>
      <c r="L239" s="121"/>
      <c r="M239" s="120"/>
      <c r="N239" s="121"/>
      <c r="O239" s="120"/>
      <c r="P239" s="121"/>
      <c r="Q239" s="120"/>
      <c r="R239" s="121"/>
      <c r="S239" s="120"/>
      <c r="T239" s="121"/>
      <c r="U239" s="120"/>
      <c r="V239" s="182"/>
      <c r="W239" s="125"/>
      <c r="X239" s="143" t="s">
        <v>1014</v>
      </c>
      <c r="Y239" s="143"/>
      <c r="Z239" s="143"/>
      <c r="AA239" s="143"/>
      <c r="AB239" s="144"/>
      <c r="AC239" s="16" t="s">
        <v>21</v>
      </c>
      <c r="AD239" s="17" t="s">
        <v>1015</v>
      </c>
      <c r="AE239" s="145" t="s">
        <v>586</v>
      </c>
      <c r="AF239" s="146"/>
      <c r="AG239" s="146"/>
      <c r="AH239" s="146"/>
      <c r="AI239" s="147"/>
      <c r="AJ239" s="148"/>
      <c r="AK239" s="143"/>
      <c r="AL239" s="143"/>
      <c r="AM239" s="22" t="s">
        <v>907</v>
      </c>
      <c r="AN239" s="149"/>
      <c r="AO239" s="144"/>
      <c r="AP239" s="148"/>
      <c r="AQ239" s="144"/>
      <c r="AR239" s="120"/>
      <c r="AS239" s="121"/>
      <c r="AT239" s="120"/>
      <c r="AU239" s="182"/>
      <c r="AV239" s="120"/>
      <c r="AW239" s="121"/>
      <c r="AX239" s="120"/>
      <c r="AY239" s="121"/>
      <c r="AZ239" s="201"/>
    </row>
    <row r="240" spans="1:52" ht="17.100000000000001" customHeight="1" thickTop="1">
      <c r="A240" s="109" t="s">
        <v>5857</v>
      </c>
      <c r="B240" s="28">
        <v>44064</v>
      </c>
      <c r="C240" s="29" t="s">
        <v>1016</v>
      </c>
      <c r="D240" s="13" t="s">
        <v>1017</v>
      </c>
      <c r="E240" s="111" t="s">
        <v>166</v>
      </c>
      <c r="F240" s="283" t="s">
        <v>1018</v>
      </c>
      <c r="G240" s="273"/>
      <c r="H240" s="274"/>
      <c r="I240" s="24" t="s">
        <v>1019</v>
      </c>
      <c r="J240" s="116">
        <v>4.5</v>
      </c>
      <c r="K240" s="118">
        <v>1315000</v>
      </c>
      <c r="L240" s="119"/>
      <c r="M240" s="118">
        <v>131500</v>
      </c>
      <c r="N240" s="119"/>
      <c r="O240" s="118">
        <v>23000</v>
      </c>
      <c r="P240" s="119"/>
      <c r="Q240" s="118">
        <v>15440</v>
      </c>
      <c r="R240" s="119"/>
      <c r="S240" s="118">
        <v>13200</v>
      </c>
      <c r="T240" s="119"/>
      <c r="U240" s="118">
        <f>SUM(K240:T240)</f>
        <v>1498140</v>
      </c>
      <c r="V240" s="210"/>
      <c r="W240" s="124">
        <v>900000</v>
      </c>
      <c r="X240" s="223" t="s">
        <v>1020</v>
      </c>
      <c r="Y240" s="223"/>
      <c r="Z240" s="223"/>
      <c r="AA240" s="223"/>
      <c r="AB240" s="224"/>
      <c r="AC240" s="15" t="s">
        <v>20</v>
      </c>
      <c r="AD240" s="129" t="s">
        <v>1021</v>
      </c>
      <c r="AE240" s="130"/>
      <c r="AF240" s="130"/>
      <c r="AG240" s="130"/>
      <c r="AH240" s="130"/>
      <c r="AI240" s="131"/>
      <c r="AJ240" s="132"/>
      <c r="AK240" s="127"/>
      <c r="AL240" s="127"/>
      <c r="AM240" s="21" t="s">
        <v>1022</v>
      </c>
      <c r="AN240" s="133"/>
      <c r="AO240" s="134"/>
      <c r="AP240" s="135"/>
      <c r="AQ240" s="136"/>
      <c r="AR240" s="118"/>
      <c r="AS240" s="119"/>
      <c r="AT240" s="180">
        <f>AR240*0.1</f>
        <v>0</v>
      </c>
      <c r="AU240" s="181"/>
      <c r="AV240" s="118"/>
      <c r="AW240" s="119"/>
      <c r="AX240" s="118">
        <f>SUM(AR240:AW240)</f>
        <v>0</v>
      </c>
      <c r="AY240" s="119"/>
      <c r="AZ240" s="200"/>
    </row>
    <row r="241" spans="1:52" ht="17.100000000000001" customHeight="1" thickBot="1">
      <c r="A241" s="110"/>
      <c r="B241" s="27" t="s">
        <v>205</v>
      </c>
      <c r="C241" s="27">
        <v>58133</v>
      </c>
      <c r="D241" s="14" t="s">
        <v>265</v>
      </c>
      <c r="E241" s="112"/>
      <c r="F241" s="139" t="s">
        <v>1023</v>
      </c>
      <c r="G241" s="140"/>
      <c r="H241" s="141"/>
      <c r="I241" s="26">
        <v>39627</v>
      </c>
      <c r="J241" s="117"/>
      <c r="K241" s="120"/>
      <c r="L241" s="121"/>
      <c r="M241" s="120"/>
      <c r="N241" s="121"/>
      <c r="O241" s="120"/>
      <c r="P241" s="121"/>
      <c r="Q241" s="120"/>
      <c r="R241" s="121"/>
      <c r="S241" s="120"/>
      <c r="T241" s="121"/>
      <c r="U241" s="120"/>
      <c r="V241" s="182"/>
      <c r="W241" s="125"/>
      <c r="X241" s="143" t="s">
        <v>1024</v>
      </c>
      <c r="Y241" s="143"/>
      <c r="Z241" s="143"/>
      <c r="AA241" s="143"/>
      <c r="AB241" s="144"/>
      <c r="AC241" s="16" t="s">
        <v>21</v>
      </c>
      <c r="AD241" s="17" t="s">
        <v>1025</v>
      </c>
      <c r="AE241" s="145" t="s">
        <v>753</v>
      </c>
      <c r="AF241" s="146"/>
      <c r="AG241" s="146"/>
      <c r="AH241" s="146"/>
      <c r="AI241" s="147"/>
      <c r="AJ241" s="148"/>
      <c r="AK241" s="143"/>
      <c r="AL241" s="143"/>
      <c r="AM241" s="22"/>
      <c r="AN241" s="149"/>
      <c r="AO241" s="144"/>
      <c r="AP241" s="148"/>
      <c r="AQ241" s="144"/>
      <c r="AR241" s="120"/>
      <c r="AS241" s="121"/>
      <c r="AT241" s="120"/>
      <c r="AU241" s="182"/>
      <c r="AV241" s="120"/>
      <c r="AW241" s="121"/>
      <c r="AX241" s="120"/>
      <c r="AY241" s="121"/>
      <c r="AZ241" s="201"/>
    </row>
    <row r="242" spans="1:52" ht="17.100000000000001" customHeight="1" thickTop="1">
      <c r="A242" s="109" t="s">
        <v>5858</v>
      </c>
      <c r="B242" s="28">
        <v>44078</v>
      </c>
      <c r="C242" s="29" t="s">
        <v>1026</v>
      </c>
      <c r="D242" s="13" t="s">
        <v>1027</v>
      </c>
      <c r="E242" s="111"/>
      <c r="F242" s="283" t="s">
        <v>1028</v>
      </c>
      <c r="G242" s="273"/>
      <c r="H242" s="274"/>
      <c r="I242" s="24"/>
      <c r="J242" s="116">
        <v>4.5</v>
      </c>
      <c r="K242" s="118">
        <v>2015000</v>
      </c>
      <c r="L242" s="119"/>
      <c r="M242" s="118">
        <v>201500</v>
      </c>
      <c r="N242" s="119"/>
      <c r="O242" s="118">
        <v>0</v>
      </c>
      <c r="P242" s="119"/>
      <c r="Q242" s="118">
        <v>18110</v>
      </c>
      <c r="R242" s="119"/>
      <c r="S242" s="118">
        <v>13200</v>
      </c>
      <c r="T242" s="119"/>
      <c r="U242" s="118">
        <f>SUM(K242:T242)</f>
        <v>2247810</v>
      </c>
      <c r="V242" s="210"/>
      <c r="W242" s="124">
        <v>1600000</v>
      </c>
      <c r="X242" s="223" t="s">
        <v>1029</v>
      </c>
      <c r="Y242" s="223"/>
      <c r="Z242" s="223"/>
      <c r="AA242" s="223"/>
      <c r="AB242" s="224"/>
      <c r="AC242" s="15" t="s">
        <v>20</v>
      </c>
      <c r="AD242" s="129"/>
      <c r="AE242" s="130"/>
      <c r="AF242" s="130"/>
      <c r="AG242" s="130"/>
      <c r="AH242" s="130"/>
      <c r="AI242" s="131"/>
      <c r="AJ242" s="132"/>
      <c r="AK242" s="127"/>
      <c r="AL242" s="127"/>
      <c r="AM242" s="21"/>
      <c r="AN242" s="133"/>
      <c r="AO242" s="134"/>
      <c r="AP242" s="135"/>
      <c r="AQ242" s="136"/>
      <c r="AR242" s="118"/>
      <c r="AS242" s="119"/>
      <c r="AT242" s="180">
        <f>AR242*0.1</f>
        <v>0</v>
      </c>
      <c r="AU242" s="181"/>
      <c r="AV242" s="118"/>
      <c r="AW242" s="119"/>
      <c r="AX242" s="118">
        <f>SUM(AR242:AW242)</f>
        <v>0</v>
      </c>
      <c r="AY242" s="119"/>
      <c r="AZ242" s="200"/>
    </row>
    <row r="243" spans="1:52" ht="17.100000000000001" customHeight="1" thickBot="1">
      <c r="A243" s="110"/>
      <c r="B243" s="27" t="s">
        <v>205</v>
      </c>
      <c r="C243" s="27">
        <v>20305</v>
      </c>
      <c r="D243" s="14" t="s">
        <v>765</v>
      </c>
      <c r="E243" s="112"/>
      <c r="F243" s="139" t="s">
        <v>1030</v>
      </c>
      <c r="G243" s="140"/>
      <c r="H243" s="141"/>
      <c r="I243" s="26">
        <v>50167</v>
      </c>
      <c r="J243" s="117"/>
      <c r="K243" s="120"/>
      <c r="L243" s="121"/>
      <c r="M243" s="120"/>
      <c r="N243" s="121"/>
      <c r="O243" s="120"/>
      <c r="P243" s="121"/>
      <c r="Q243" s="120"/>
      <c r="R243" s="121"/>
      <c r="S243" s="120"/>
      <c r="T243" s="121"/>
      <c r="U243" s="120"/>
      <c r="V243" s="182"/>
      <c r="W243" s="125"/>
      <c r="X243" s="143" t="s">
        <v>1031</v>
      </c>
      <c r="Y243" s="143"/>
      <c r="Z243" s="143"/>
      <c r="AA243" s="143"/>
      <c r="AB243" s="144"/>
      <c r="AC243" s="16" t="s">
        <v>21</v>
      </c>
      <c r="AD243" s="17" t="s">
        <v>1032</v>
      </c>
      <c r="AE243" s="145" t="s">
        <v>285</v>
      </c>
      <c r="AF243" s="146"/>
      <c r="AG243" s="146"/>
      <c r="AH243" s="146"/>
      <c r="AI243" s="147"/>
      <c r="AJ243" s="148"/>
      <c r="AK243" s="143"/>
      <c r="AL243" s="143"/>
      <c r="AM243" s="22"/>
      <c r="AN243" s="149"/>
      <c r="AO243" s="144"/>
      <c r="AP243" s="148"/>
      <c r="AQ243" s="144"/>
      <c r="AR243" s="120"/>
      <c r="AS243" s="121"/>
      <c r="AT243" s="120"/>
      <c r="AU243" s="182"/>
      <c r="AV243" s="120"/>
      <c r="AW243" s="121"/>
      <c r="AX243" s="120"/>
      <c r="AY243" s="121"/>
      <c r="AZ243" s="201"/>
    </row>
    <row r="244" spans="1:52" ht="17.100000000000001" customHeight="1" thickTop="1">
      <c r="A244" s="109" t="s">
        <v>5859</v>
      </c>
      <c r="B244" s="28">
        <v>44081</v>
      </c>
      <c r="C244" s="29" t="s">
        <v>1033</v>
      </c>
      <c r="D244" s="13" t="s">
        <v>1034</v>
      </c>
      <c r="E244" s="111"/>
      <c r="F244" s="283" t="s">
        <v>1035</v>
      </c>
      <c r="G244" s="273"/>
      <c r="H244" s="274"/>
      <c r="I244" s="24"/>
      <c r="J244" s="116">
        <v>4</v>
      </c>
      <c r="K244" s="118">
        <v>1885000</v>
      </c>
      <c r="L244" s="119"/>
      <c r="M244" s="118">
        <v>188500</v>
      </c>
      <c r="N244" s="119"/>
      <c r="O244" s="118">
        <v>0</v>
      </c>
      <c r="P244" s="119"/>
      <c r="Q244" s="118">
        <v>17540</v>
      </c>
      <c r="R244" s="119"/>
      <c r="S244" s="118">
        <v>11000</v>
      </c>
      <c r="T244" s="119"/>
      <c r="U244" s="118">
        <f>SUM(K244:T244)</f>
        <v>2102040</v>
      </c>
      <c r="V244" s="210"/>
      <c r="W244" s="124">
        <v>1200000</v>
      </c>
      <c r="X244" s="223" t="s">
        <v>1036</v>
      </c>
      <c r="Y244" s="223"/>
      <c r="Z244" s="223"/>
      <c r="AA244" s="223"/>
      <c r="AB244" s="224"/>
      <c r="AC244" s="15" t="s">
        <v>20</v>
      </c>
      <c r="AD244" s="129" t="s">
        <v>581</v>
      </c>
      <c r="AE244" s="130"/>
      <c r="AF244" s="130"/>
      <c r="AG244" s="130"/>
      <c r="AH244" s="130"/>
      <c r="AI244" s="131"/>
      <c r="AJ244" s="132"/>
      <c r="AK244" s="127"/>
      <c r="AL244" s="127"/>
      <c r="AM244" s="21"/>
      <c r="AN244" s="133"/>
      <c r="AO244" s="134"/>
      <c r="AP244" s="135"/>
      <c r="AQ244" s="136"/>
      <c r="AR244" s="118"/>
      <c r="AS244" s="119"/>
      <c r="AT244" s="180">
        <f>AR244*0.1</f>
        <v>0</v>
      </c>
      <c r="AU244" s="181"/>
      <c r="AV244" s="118"/>
      <c r="AW244" s="119"/>
      <c r="AX244" s="118">
        <f>SUM(AR244:AW244)</f>
        <v>0</v>
      </c>
      <c r="AY244" s="119"/>
      <c r="AZ244" s="200"/>
    </row>
    <row r="245" spans="1:52" ht="17.100000000000001" customHeight="1" thickBot="1">
      <c r="A245" s="110"/>
      <c r="B245" s="27" t="s">
        <v>660</v>
      </c>
      <c r="C245" s="27">
        <v>37029</v>
      </c>
      <c r="D245" s="14" t="s">
        <v>904</v>
      </c>
      <c r="E245" s="112"/>
      <c r="F245" s="139" t="s">
        <v>1037</v>
      </c>
      <c r="G245" s="140"/>
      <c r="H245" s="141"/>
      <c r="I245" s="26">
        <v>45267</v>
      </c>
      <c r="J245" s="117"/>
      <c r="K245" s="120"/>
      <c r="L245" s="121"/>
      <c r="M245" s="120"/>
      <c r="N245" s="121"/>
      <c r="O245" s="120"/>
      <c r="P245" s="121"/>
      <c r="Q245" s="120"/>
      <c r="R245" s="121"/>
      <c r="S245" s="120"/>
      <c r="T245" s="121"/>
      <c r="U245" s="120"/>
      <c r="V245" s="182"/>
      <c r="W245" s="125"/>
      <c r="X245" s="143" t="s">
        <v>680</v>
      </c>
      <c r="Y245" s="143"/>
      <c r="Z245" s="143"/>
      <c r="AA245" s="143"/>
      <c r="AB245" s="144"/>
      <c r="AC245" s="16" t="s">
        <v>21</v>
      </c>
      <c r="AD245" s="17" t="s">
        <v>1038</v>
      </c>
      <c r="AE245" s="145" t="s">
        <v>786</v>
      </c>
      <c r="AF245" s="146"/>
      <c r="AG245" s="146"/>
      <c r="AH245" s="146"/>
      <c r="AI245" s="147"/>
      <c r="AJ245" s="148"/>
      <c r="AK245" s="143"/>
      <c r="AL245" s="143"/>
      <c r="AM245" s="22"/>
      <c r="AN245" s="149"/>
      <c r="AO245" s="144"/>
      <c r="AP245" s="148"/>
      <c r="AQ245" s="144"/>
      <c r="AR245" s="120"/>
      <c r="AS245" s="121"/>
      <c r="AT245" s="120"/>
      <c r="AU245" s="182"/>
      <c r="AV245" s="120"/>
      <c r="AW245" s="121"/>
      <c r="AX245" s="120"/>
      <c r="AY245" s="121"/>
      <c r="AZ245" s="201"/>
    </row>
    <row r="246" spans="1:52" ht="17.100000000000001" customHeight="1" thickTop="1">
      <c r="A246" s="109" t="s">
        <v>5860</v>
      </c>
      <c r="B246" s="28">
        <v>44084</v>
      </c>
      <c r="C246" s="29" t="s">
        <v>1039</v>
      </c>
      <c r="D246" s="13" t="s">
        <v>287</v>
      </c>
      <c r="E246" s="111"/>
      <c r="F246" s="283" t="s">
        <v>1040</v>
      </c>
      <c r="G246" s="273"/>
      <c r="H246" s="274"/>
      <c r="I246" s="24"/>
      <c r="J246" s="116">
        <v>4.5</v>
      </c>
      <c r="K246" s="118">
        <v>3170000</v>
      </c>
      <c r="L246" s="119"/>
      <c r="M246" s="118">
        <v>317000</v>
      </c>
      <c r="N246" s="119"/>
      <c r="O246" s="118">
        <v>0</v>
      </c>
      <c r="P246" s="119"/>
      <c r="Q246" s="118">
        <v>27600</v>
      </c>
      <c r="R246" s="119"/>
      <c r="S246" s="118">
        <v>13200</v>
      </c>
      <c r="T246" s="119"/>
      <c r="U246" s="118">
        <f>SUM(K246:T246)</f>
        <v>3527800</v>
      </c>
      <c r="V246" s="210"/>
      <c r="W246" s="124">
        <v>2500000</v>
      </c>
      <c r="X246" s="223" t="s">
        <v>1041</v>
      </c>
      <c r="Y246" s="223"/>
      <c r="Z246" s="223"/>
      <c r="AA246" s="223"/>
      <c r="AB246" s="224"/>
      <c r="AC246" s="15" t="s">
        <v>20</v>
      </c>
      <c r="AD246" s="129" t="s">
        <v>1042</v>
      </c>
      <c r="AE246" s="130"/>
      <c r="AF246" s="130"/>
      <c r="AG246" s="130"/>
      <c r="AH246" s="130"/>
      <c r="AI246" s="131"/>
      <c r="AJ246" s="132"/>
      <c r="AK246" s="127"/>
      <c r="AL246" s="127"/>
      <c r="AM246" s="21"/>
      <c r="AN246" s="133"/>
      <c r="AO246" s="134"/>
      <c r="AP246" s="135"/>
      <c r="AQ246" s="136"/>
      <c r="AR246" s="118"/>
      <c r="AS246" s="119"/>
      <c r="AT246" s="180">
        <f>AR246*0.1</f>
        <v>0</v>
      </c>
      <c r="AU246" s="181"/>
      <c r="AV246" s="118"/>
      <c r="AW246" s="119"/>
      <c r="AX246" s="118">
        <f>SUM(AR246:AW246)</f>
        <v>0</v>
      </c>
      <c r="AY246" s="119"/>
      <c r="AZ246" s="200"/>
    </row>
    <row r="247" spans="1:52" ht="17.100000000000001" customHeight="1" thickBot="1">
      <c r="A247" s="110"/>
      <c r="B247" s="27" t="s">
        <v>250</v>
      </c>
      <c r="C247" s="27">
        <v>35</v>
      </c>
      <c r="D247" s="14" t="s">
        <v>710</v>
      </c>
      <c r="E247" s="112"/>
      <c r="F247" s="139" t="s">
        <v>1043</v>
      </c>
      <c r="G247" s="140"/>
      <c r="H247" s="141"/>
      <c r="I247" s="26">
        <v>46183</v>
      </c>
      <c r="J247" s="117"/>
      <c r="K247" s="120"/>
      <c r="L247" s="121"/>
      <c r="M247" s="120"/>
      <c r="N247" s="121"/>
      <c r="O247" s="120"/>
      <c r="P247" s="121"/>
      <c r="Q247" s="120"/>
      <c r="R247" s="121"/>
      <c r="S247" s="120"/>
      <c r="T247" s="121"/>
      <c r="U247" s="120"/>
      <c r="V247" s="182"/>
      <c r="W247" s="125"/>
      <c r="X247" s="143" t="s">
        <v>584</v>
      </c>
      <c r="Y247" s="143"/>
      <c r="Z247" s="143"/>
      <c r="AA247" s="143"/>
      <c r="AB247" s="144"/>
      <c r="AC247" s="16" t="s">
        <v>21</v>
      </c>
      <c r="AD247" s="17" t="s">
        <v>1044</v>
      </c>
      <c r="AE247" s="145" t="s">
        <v>782</v>
      </c>
      <c r="AF247" s="146"/>
      <c r="AG247" s="146"/>
      <c r="AH247" s="146"/>
      <c r="AI247" s="147"/>
      <c r="AJ247" s="148"/>
      <c r="AK247" s="143"/>
      <c r="AL247" s="143"/>
      <c r="AM247" s="22"/>
      <c r="AN247" s="149"/>
      <c r="AO247" s="144"/>
      <c r="AP247" s="148"/>
      <c r="AQ247" s="144"/>
      <c r="AR247" s="120"/>
      <c r="AS247" s="121"/>
      <c r="AT247" s="120"/>
      <c r="AU247" s="182"/>
      <c r="AV247" s="120"/>
      <c r="AW247" s="121"/>
      <c r="AX247" s="120"/>
      <c r="AY247" s="121"/>
      <c r="AZ247" s="201"/>
    </row>
    <row r="248" spans="1:52" ht="17.100000000000001" customHeight="1" thickTop="1">
      <c r="A248" s="109" t="s">
        <v>5861</v>
      </c>
      <c r="B248" s="28">
        <v>44084</v>
      </c>
      <c r="C248" s="29" t="s">
        <v>1045</v>
      </c>
      <c r="D248" s="13" t="s">
        <v>644</v>
      </c>
      <c r="E248" s="111"/>
      <c r="F248" s="283" t="s">
        <v>1046</v>
      </c>
      <c r="G248" s="273"/>
      <c r="H248" s="274"/>
      <c r="I248" s="24" t="s">
        <v>1047</v>
      </c>
      <c r="J248" s="116">
        <v>4.5</v>
      </c>
      <c r="K248" s="118">
        <v>1555000</v>
      </c>
      <c r="L248" s="119"/>
      <c r="M248" s="118">
        <v>155500</v>
      </c>
      <c r="N248" s="119"/>
      <c r="O248" s="118">
        <v>17200</v>
      </c>
      <c r="P248" s="119"/>
      <c r="Q248" s="118">
        <v>18960</v>
      </c>
      <c r="R248" s="119"/>
      <c r="S248" s="118">
        <v>13200</v>
      </c>
      <c r="T248" s="119"/>
      <c r="U248" s="118">
        <f>SUM(K248:T248)</f>
        <v>1759860</v>
      </c>
      <c r="V248" s="210"/>
      <c r="W248" s="124">
        <v>1200000</v>
      </c>
      <c r="X248" s="223" t="s">
        <v>1048</v>
      </c>
      <c r="Y248" s="223"/>
      <c r="Z248" s="223"/>
      <c r="AA248" s="223"/>
      <c r="AB248" s="224"/>
      <c r="AC248" s="15" t="s">
        <v>20</v>
      </c>
      <c r="AD248" s="129" t="s">
        <v>1049</v>
      </c>
      <c r="AE248" s="130"/>
      <c r="AF248" s="130"/>
      <c r="AG248" s="130"/>
      <c r="AH248" s="130"/>
      <c r="AI248" s="131"/>
      <c r="AJ248" s="132" t="s">
        <v>1050</v>
      </c>
      <c r="AK248" s="127"/>
      <c r="AL248" s="127"/>
      <c r="AM248" s="21" t="s">
        <v>1051</v>
      </c>
      <c r="AN248" s="133"/>
      <c r="AO248" s="134"/>
      <c r="AP248" s="135"/>
      <c r="AQ248" s="136"/>
      <c r="AR248" s="118"/>
      <c r="AS248" s="119"/>
      <c r="AT248" s="180">
        <f>AR248*0.1</f>
        <v>0</v>
      </c>
      <c r="AU248" s="181"/>
      <c r="AV248" s="118"/>
      <c r="AW248" s="119"/>
      <c r="AX248" s="118">
        <f>SUM(AR248:AW248)</f>
        <v>0</v>
      </c>
      <c r="AY248" s="119"/>
      <c r="AZ248" s="200"/>
    </row>
    <row r="249" spans="1:52" ht="17.100000000000001" customHeight="1" thickBot="1">
      <c r="A249" s="110"/>
      <c r="B249" s="27" t="s">
        <v>148</v>
      </c>
      <c r="C249" s="27">
        <v>75085</v>
      </c>
      <c r="D249" s="14" t="s">
        <v>1052</v>
      </c>
      <c r="E249" s="112"/>
      <c r="F249" s="139" t="s">
        <v>1053</v>
      </c>
      <c r="G249" s="140"/>
      <c r="H249" s="141"/>
      <c r="I249" s="26">
        <v>45417</v>
      </c>
      <c r="J249" s="117"/>
      <c r="K249" s="120"/>
      <c r="L249" s="121"/>
      <c r="M249" s="120"/>
      <c r="N249" s="121"/>
      <c r="O249" s="120"/>
      <c r="P249" s="121"/>
      <c r="Q249" s="120"/>
      <c r="R249" s="121"/>
      <c r="S249" s="120"/>
      <c r="T249" s="121"/>
      <c r="U249" s="120"/>
      <c r="V249" s="182"/>
      <c r="W249" s="125"/>
      <c r="X249" s="143" t="s">
        <v>1054</v>
      </c>
      <c r="Y249" s="143"/>
      <c r="Z249" s="143"/>
      <c r="AA249" s="143"/>
      <c r="AB249" s="144"/>
      <c r="AC249" s="16" t="s">
        <v>21</v>
      </c>
      <c r="AD249" s="17" t="s">
        <v>1055</v>
      </c>
      <c r="AE249" s="145" t="s">
        <v>489</v>
      </c>
      <c r="AF249" s="146"/>
      <c r="AG249" s="146"/>
      <c r="AH249" s="146"/>
      <c r="AI249" s="147"/>
      <c r="AJ249" s="148"/>
      <c r="AK249" s="143"/>
      <c r="AL249" s="143"/>
      <c r="AM249" s="22" t="s">
        <v>1056</v>
      </c>
      <c r="AN249" s="149"/>
      <c r="AO249" s="144"/>
      <c r="AP249" s="148"/>
      <c r="AQ249" s="144"/>
      <c r="AR249" s="120"/>
      <c r="AS249" s="121"/>
      <c r="AT249" s="120"/>
      <c r="AU249" s="182"/>
      <c r="AV249" s="120"/>
      <c r="AW249" s="121"/>
      <c r="AX249" s="120"/>
      <c r="AY249" s="121"/>
      <c r="AZ249" s="201"/>
    </row>
    <row r="250" spans="1:52" ht="17.100000000000001" customHeight="1" thickTop="1">
      <c r="A250" s="109" t="s">
        <v>5862</v>
      </c>
      <c r="B250" s="28">
        <v>44088</v>
      </c>
      <c r="C250" s="29" t="s">
        <v>908</v>
      </c>
      <c r="D250" s="13" t="s">
        <v>1057</v>
      </c>
      <c r="E250" s="111"/>
      <c r="F250" s="283" t="s">
        <v>1058</v>
      </c>
      <c r="G250" s="273"/>
      <c r="H250" s="274"/>
      <c r="I250" s="24" t="s">
        <v>1059</v>
      </c>
      <c r="J250" s="116">
        <v>4</v>
      </c>
      <c r="K250" s="118">
        <v>2970000</v>
      </c>
      <c r="L250" s="119"/>
      <c r="M250" s="118">
        <v>297000</v>
      </c>
      <c r="N250" s="119"/>
      <c r="O250" s="118">
        <v>25500</v>
      </c>
      <c r="P250" s="119"/>
      <c r="Q250" s="118">
        <v>18110</v>
      </c>
      <c r="R250" s="119"/>
      <c r="S250" s="118">
        <v>11000</v>
      </c>
      <c r="T250" s="119"/>
      <c r="U250" s="118">
        <f>SUM(K250:T250)</f>
        <v>3321610</v>
      </c>
      <c r="V250" s="210"/>
      <c r="W250" s="124">
        <v>2200000</v>
      </c>
      <c r="X250" s="223" t="s">
        <v>1060</v>
      </c>
      <c r="Y250" s="223"/>
      <c r="Z250" s="223"/>
      <c r="AA250" s="223"/>
      <c r="AB250" s="224"/>
      <c r="AC250" s="15" t="s">
        <v>20</v>
      </c>
      <c r="AD250" s="129" t="s">
        <v>581</v>
      </c>
      <c r="AE250" s="130"/>
      <c r="AF250" s="130"/>
      <c r="AG250" s="130"/>
      <c r="AH250" s="130"/>
      <c r="AI250" s="131"/>
      <c r="AJ250" s="132"/>
      <c r="AK250" s="127"/>
      <c r="AL250" s="127"/>
      <c r="AM250" s="21" t="s">
        <v>1061</v>
      </c>
      <c r="AN250" s="133"/>
      <c r="AO250" s="134"/>
      <c r="AP250" s="135"/>
      <c r="AQ250" s="136"/>
      <c r="AR250" s="118"/>
      <c r="AS250" s="119"/>
      <c r="AT250" s="180">
        <f>AR250*0.1</f>
        <v>0</v>
      </c>
      <c r="AU250" s="181"/>
      <c r="AV250" s="118"/>
      <c r="AW250" s="119"/>
      <c r="AX250" s="118">
        <f>SUM(AR250:AW250)</f>
        <v>0</v>
      </c>
      <c r="AY250" s="119"/>
      <c r="AZ250" s="200"/>
    </row>
    <row r="251" spans="1:52" ht="17.100000000000001" customHeight="1" thickBot="1">
      <c r="A251" s="110"/>
      <c r="B251" s="27" t="s">
        <v>660</v>
      </c>
      <c r="C251" s="27">
        <v>36036</v>
      </c>
      <c r="D251" s="14" t="s">
        <v>221</v>
      </c>
      <c r="E251" s="112"/>
      <c r="F251" s="139" t="s">
        <v>1062</v>
      </c>
      <c r="G251" s="140"/>
      <c r="H251" s="141"/>
      <c r="I251" s="26">
        <v>37780</v>
      </c>
      <c r="J251" s="117"/>
      <c r="K251" s="120"/>
      <c r="L251" s="121"/>
      <c r="M251" s="120"/>
      <c r="N251" s="121"/>
      <c r="O251" s="120"/>
      <c r="P251" s="121"/>
      <c r="Q251" s="120"/>
      <c r="R251" s="121"/>
      <c r="S251" s="120"/>
      <c r="T251" s="121"/>
      <c r="U251" s="120"/>
      <c r="V251" s="182"/>
      <c r="W251" s="125"/>
      <c r="X251" s="143" t="s">
        <v>1063</v>
      </c>
      <c r="Y251" s="143"/>
      <c r="Z251" s="143"/>
      <c r="AA251" s="143"/>
      <c r="AB251" s="144"/>
      <c r="AC251" s="16" t="s">
        <v>21</v>
      </c>
      <c r="AD251" s="17" t="s">
        <v>1064</v>
      </c>
      <c r="AE251" s="145" t="s">
        <v>1065</v>
      </c>
      <c r="AF251" s="146"/>
      <c r="AG251" s="146"/>
      <c r="AH251" s="146"/>
      <c r="AI251" s="147"/>
      <c r="AJ251" s="148"/>
      <c r="AK251" s="143"/>
      <c r="AL251" s="143"/>
      <c r="AM251" s="22" t="s">
        <v>907</v>
      </c>
      <c r="AN251" s="149"/>
      <c r="AO251" s="144"/>
      <c r="AP251" s="148"/>
      <c r="AQ251" s="144"/>
      <c r="AR251" s="120"/>
      <c r="AS251" s="121"/>
      <c r="AT251" s="120"/>
      <c r="AU251" s="182"/>
      <c r="AV251" s="120"/>
      <c r="AW251" s="121"/>
      <c r="AX251" s="120"/>
      <c r="AY251" s="121"/>
      <c r="AZ251" s="201"/>
    </row>
    <row r="252" spans="1:52" ht="17.100000000000001" customHeight="1" thickTop="1">
      <c r="A252" s="109" t="s">
        <v>5863</v>
      </c>
      <c r="B252" s="28">
        <v>44091</v>
      </c>
      <c r="C252" s="29" t="s">
        <v>1066</v>
      </c>
      <c r="D252" s="13" t="s">
        <v>1067</v>
      </c>
      <c r="E252" s="111"/>
      <c r="F252" s="283" t="s">
        <v>1068</v>
      </c>
      <c r="G252" s="273"/>
      <c r="H252" s="274"/>
      <c r="I252" s="24" t="s">
        <v>713</v>
      </c>
      <c r="J252" s="116">
        <v>4</v>
      </c>
      <c r="K252" s="118">
        <v>2350000</v>
      </c>
      <c r="L252" s="119"/>
      <c r="M252" s="118">
        <v>235000</v>
      </c>
      <c r="N252" s="119"/>
      <c r="O252" s="118">
        <v>0</v>
      </c>
      <c r="P252" s="119"/>
      <c r="Q252" s="118">
        <v>18170</v>
      </c>
      <c r="R252" s="119"/>
      <c r="S252" s="118">
        <v>13200</v>
      </c>
      <c r="T252" s="119"/>
      <c r="U252" s="118">
        <f>SUM(K252:T252)</f>
        <v>2616370</v>
      </c>
      <c r="V252" s="210"/>
      <c r="W252" s="124">
        <v>1600000</v>
      </c>
      <c r="X252" s="223" t="s">
        <v>1069</v>
      </c>
      <c r="Y252" s="223"/>
      <c r="Z252" s="223"/>
      <c r="AA252" s="223"/>
      <c r="AB252" s="224"/>
      <c r="AC252" s="15" t="s">
        <v>20</v>
      </c>
      <c r="AD252" s="129" t="s">
        <v>786</v>
      </c>
      <c r="AE252" s="130"/>
      <c r="AF252" s="130"/>
      <c r="AG252" s="130"/>
      <c r="AH252" s="130"/>
      <c r="AI252" s="131"/>
      <c r="AJ252" s="286"/>
      <c r="AK252" s="127"/>
      <c r="AL252" s="127"/>
      <c r="AM252" s="21"/>
      <c r="AN252" s="133"/>
      <c r="AO252" s="134"/>
      <c r="AP252" s="135"/>
      <c r="AQ252" s="136"/>
      <c r="AR252" s="118"/>
      <c r="AS252" s="119"/>
      <c r="AT252" s="180">
        <f>AR252*0.1</f>
        <v>0</v>
      </c>
      <c r="AU252" s="181"/>
      <c r="AV252" s="118"/>
      <c r="AW252" s="119"/>
      <c r="AX252" s="118">
        <f>SUM(AR252:AW252)</f>
        <v>0</v>
      </c>
      <c r="AY252" s="119"/>
      <c r="AZ252" s="200"/>
    </row>
    <row r="253" spans="1:52" ht="17.100000000000001" customHeight="1" thickBot="1">
      <c r="A253" s="110"/>
      <c r="B253" s="27" t="s">
        <v>148</v>
      </c>
      <c r="C253" s="27">
        <v>75293</v>
      </c>
      <c r="D253" s="14" t="s">
        <v>119</v>
      </c>
      <c r="E253" s="112"/>
      <c r="F253" s="139" t="s">
        <v>1070</v>
      </c>
      <c r="G253" s="140"/>
      <c r="H253" s="141"/>
      <c r="I253" s="26">
        <v>50320</v>
      </c>
      <c r="J253" s="117"/>
      <c r="K253" s="120"/>
      <c r="L253" s="121"/>
      <c r="M253" s="120"/>
      <c r="N253" s="121"/>
      <c r="O253" s="120"/>
      <c r="P253" s="121"/>
      <c r="Q253" s="120"/>
      <c r="R253" s="121"/>
      <c r="S253" s="120"/>
      <c r="T253" s="121"/>
      <c r="U253" s="120"/>
      <c r="V253" s="182"/>
      <c r="W253" s="125"/>
      <c r="X253" s="143" t="s">
        <v>1071</v>
      </c>
      <c r="Y253" s="143"/>
      <c r="Z253" s="143"/>
      <c r="AA253" s="143"/>
      <c r="AB253" s="144"/>
      <c r="AC253" s="16" t="s">
        <v>21</v>
      </c>
      <c r="AD253" s="17" t="s">
        <v>1072</v>
      </c>
      <c r="AE253" s="145" t="s">
        <v>1073</v>
      </c>
      <c r="AF253" s="146"/>
      <c r="AG253" s="146"/>
      <c r="AH253" s="146"/>
      <c r="AI253" s="147"/>
      <c r="AJ253" s="148"/>
      <c r="AK253" s="143"/>
      <c r="AL253" s="143"/>
      <c r="AM253" s="22"/>
      <c r="AN253" s="149"/>
      <c r="AO253" s="144"/>
      <c r="AP253" s="148"/>
      <c r="AQ253" s="144"/>
      <c r="AR253" s="120"/>
      <c r="AS253" s="121"/>
      <c r="AT253" s="120"/>
      <c r="AU253" s="182"/>
      <c r="AV253" s="120"/>
      <c r="AW253" s="121"/>
      <c r="AX253" s="120"/>
      <c r="AY253" s="121"/>
      <c r="AZ253" s="201"/>
    </row>
    <row r="254" spans="1:52" ht="17.100000000000001" customHeight="1" thickTop="1">
      <c r="A254" s="109" t="s">
        <v>5864</v>
      </c>
      <c r="B254" s="28">
        <v>44096</v>
      </c>
      <c r="C254" s="29"/>
      <c r="D254" s="13" t="s">
        <v>1074</v>
      </c>
      <c r="E254" s="111"/>
      <c r="F254" s="283" t="s">
        <v>1075</v>
      </c>
      <c r="G254" s="273"/>
      <c r="H254" s="274"/>
      <c r="I254" s="24" t="s">
        <v>1076</v>
      </c>
      <c r="J254" s="116" t="s">
        <v>658</v>
      </c>
      <c r="K254" s="118">
        <v>305000</v>
      </c>
      <c r="L254" s="119"/>
      <c r="M254" s="118">
        <v>30500</v>
      </c>
      <c r="N254" s="119"/>
      <c r="O254" s="118"/>
      <c r="P254" s="119"/>
      <c r="Q254" s="118">
        <v>8400</v>
      </c>
      <c r="R254" s="119"/>
      <c r="S254" s="118">
        <f>39737+3974</f>
        <v>43711</v>
      </c>
      <c r="T254" s="119"/>
      <c r="U254" s="118">
        <f>SUM(K254:T254)</f>
        <v>387611</v>
      </c>
      <c r="V254" s="210"/>
      <c r="W254" s="124">
        <v>150000</v>
      </c>
      <c r="X254" s="223" t="s">
        <v>1077</v>
      </c>
      <c r="Y254" s="223"/>
      <c r="Z254" s="223"/>
      <c r="AA254" s="223"/>
      <c r="AB254" s="224"/>
      <c r="AC254" s="15" t="s">
        <v>20</v>
      </c>
      <c r="AD254" s="129" t="s">
        <v>1078</v>
      </c>
      <c r="AE254" s="130"/>
      <c r="AF254" s="130"/>
      <c r="AG254" s="130"/>
      <c r="AH254" s="130"/>
      <c r="AI254" s="131"/>
      <c r="AJ254" s="132" t="s">
        <v>1079</v>
      </c>
      <c r="AK254" s="127"/>
      <c r="AL254" s="127"/>
      <c r="AM254" s="21" t="s">
        <v>1080</v>
      </c>
      <c r="AN254" s="133"/>
      <c r="AO254" s="134"/>
      <c r="AP254" s="135"/>
      <c r="AQ254" s="136"/>
      <c r="AR254" s="118"/>
      <c r="AS254" s="119"/>
      <c r="AT254" s="180">
        <f>AR254*0.1</f>
        <v>0</v>
      </c>
      <c r="AU254" s="181"/>
      <c r="AV254" s="118"/>
      <c r="AW254" s="119"/>
      <c r="AX254" s="118">
        <f>SUM(AR254:AW254)</f>
        <v>0</v>
      </c>
      <c r="AY254" s="119"/>
      <c r="AZ254" s="200"/>
    </row>
    <row r="255" spans="1:52" ht="17.100000000000001" customHeight="1" thickBot="1">
      <c r="A255" s="110"/>
      <c r="B255" s="27" t="s">
        <v>637</v>
      </c>
      <c r="C255" s="27" t="s">
        <v>1081</v>
      </c>
      <c r="D255" s="14" t="s">
        <v>542</v>
      </c>
      <c r="E255" s="112"/>
      <c r="F255" s="139" t="s">
        <v>1082</v>
      </c>
      <c r="G255" s="140"/>
      <c r="H255" s="141"/>
      <c r="I255" s="26">
        <v>51451</v>
      </c>
      <c r="J255" s="117"/>
      <c r="K255" s="120"/>
      <c r="L255" s="121"/>
      <c r="M255" s="120"/>
      <c r="N255" s="121"/>
      <c r="O255" s="120"/>
      <c r="P255" s="121"/>
      <c r="Q255" s="120"/>
      <c r="R255" s="121"/>
      <c r="S255" s="120"/>
      <c r="T255" s="121"/>
      <c r="U255" s="120"/>
      <c r="V255" s="182"/>
      <c r="W255" s="125"/>
      <c r="X255" s="143" t="s">
        <v>1083</v>
      </c>
      <c r="Y255" s="143"/>
      <c r="Z255" s="143"/>
      <c r="AA255" s="143"/>
      <c r="AB255" s="144"/>
      <c r="AC255" s="16" t="s">
        <v>21</v>
      </c>
      <c r="AD255" s="17" t="s">
        <v>1084</v>
      </c>
      <c r="AE255" s="145" t="s">
        <v>1078</v>
      </c>
      <c r="AF255" s="146"/>
      <c r="AG255" s="146"/>
      <c r="AH255" s="146"/>
      <c r="AI255" s="147"/>
      <c r="AJ255" s="148" t="s">
        <v>1085</v>
      </c>
      <c r="AK255" s="143"/>
      <c r="AL255" s="143"/>
      <c r="AM255" s="22" t="s">
        <v>1056</v>
      </c>
      <c r="AN255" s="149"/>
      <c r="AO255" s="144"/>
      <c r="AP255" s="148"/>
      <c r="AQ255" s="144"/>
      <c r="AR255" s="120"/>
      <c r="AS255" s="121"/>
      <c r="AT255" s="120"/>
      <c r="AU255" s="182"/>
      <c r="AV255" s="120"/>
      <c r="AW255" s="121"/>
      <c r="AX255" s="120"/>
      <c r="AY255" s="121"/>
      <c r="AZ255" s="201"/>
    </row>
    <row r="256" spans="1:52" ht="17.100000000000001" customHeight="1" thickTop="1">
      <c r="A256" s="109" t="s">
        <v>5865</v>
      </c>
      <c r="B256" s="28">
        <v>44099</v>
      </c>
      <c r="C256" s="29" t="s">
        <v>1086</v>
      </c>
      <c r="D256" s="13" t="s">
        <v>920</v>
      </c>
      <c r="E256" s="111"/>
      <c r="F256" s="283" t="s">
        <v>280</v>
      </c>
      <c r="G256" s="273"/>
      <c r="H256" s="274"/>
      <c r="I256" s="24" t="s">
        <v>1087</v>
      </c>
      <c r="J256" s="116">
        <v>4</v>
      </c>
      <c r="K256" s="118">
        <v>1580000</v>
      </c>
      <c r="L256" s="119"/>
      <c r="M256" s="118">
        <v>158000</v>
      </c>
      <c r="N256" s="119"/>
      <c r="O256" s="118">
        <v>17200</v>
      </c>
      <c r="P256" s="119"/>
      <c r="Q256" s="118">
        <v>17700</v>
      </c>
      <c r="R256" s="119"/>
      <c r="S256" s="118">
        <v>13200</v>
      </c>
      <c r="T256" s="119"/>
      <c r="U256" s="118">
        <f>SUM(K256:T256)</f>
        <v>1786100</v>
      </c>
      <c r="V256" s="210"/>
      <c r="W256" s="124">
        <v>1400000</v>
      </c>
      <c r="X256" s="223" t="s">
        <v>1088</v>
      </c>
      <c r="Y256" s="223"/>
      <c r="Z256" s="223"/>
      <c r="AA256" s="223"/>
      <c r="AB256" s="224"/>
      <c r="AC256" s="15" t="s">
        <v>20</v>
      </c>
      <c r="AD256" s="129" t="s">
        <v>1089</v>
      </c>
      <c r="AE256" s="130"/>
      <c r="AF256" s="130"/>
      <c r="AG256" s="130"/>
      <c r="AH256" s="130"/>
      <c r="AI256" s="131"/>
      <c r="AJ256" s="132" t="s">
        <v>25363</v>
      </c>
      <c r="AK256" s="127"/>
      <c r="AL256" s="127"/>
      <c r="AM256" s="21"/>
      <c r="AN256" s="133"/>
      <c r="AO256" s="134"/>
      <c r="AP256" s="135"/>
      <c r="AQ256" s="136"/>
      <c r="AR256" s="118"/>
      <c r="AS256" s="119"/>
      <c r="AT256" s="180">
        <f>AR256*0.1</f>
        <v>0</v>
      </c>
      <c r="AU256" s="181"/>
      <c r="AV256" s="118"/>
      <c r="AW256" s="119"/>
      <c r="AX256" s="118">
        <f>SUM(AR256:AW256)</f>
        <v>0</v>
      </c>
      <c r="AY256" s="119"/>
      <c r="AZ256" s="200"/>
    </row>
    <row r="257" spans="1:52" ht="17.100000000000001" customHeight="1" thickBot="1">
      <c r="A257" s="110"/>
      <c r="B257" s="27" t="s">
        <v>205</v>
      </c>
      <c r="C257" s="27">
        <v>58258</v>
      </c>
      <c r="D257" s="14" t="s">
        <v>265</v>
      </c>
      <c r="E257" s="112"/>
      <c r="F257" s="139" t="s">
        <v>1090</v>
      </c>
      <c r="G257" s="140"/>
      <c r="H257" s="141"/>
      <c r="I257" s="26">
        <v>40463</v>
      </c>
      <c r="J257" s="117"/>
      <c r="K257" s="120"/>
      <c r="L257" s="121"/>
      <c r="M257" s="120"/>
      <c r="N257" s="121"/>
      <c r="O257" s="120"/>
      <c r="P257" s="121"/>
      <c r="Q257" s="120"/>
      <c r="R257" s="121"/>
      <c r="S257" s="120"/>
      <c r="T257" s="121"/>
      <c r="U257" s="120"/>
      <c r="V257" s="182"/>
      <c r="W257" s="125"/>
      <c r="X257" s="143" t="s">
        <v>1091</v>
      </c>
      <c r="Y257" s="143"/>
      <c r="Z257" s="143"/>
      <c r="AA257" s="143"/>
      <c r="AB257" s="144"/>
      <c r="AC257" s="16" t="s">
        <v>21</v>
      </c>
      <c r="AD257" s="17" t="s">
        <v>1092</v>
      </c>
      <c r="AE257" s="145" t="s">
        <v>489</v>
      </c>
      <c r="AF257" s="146"/>
      <c r="AG257" s="146"/>
      <c r="AH257" s="146"/>
      <c r="AI257" s="147"/>
      <c r="AJ257" s="148"/>
      <c r="AK257" s="143"/>
      <c r="AL257" s="143"/>
      <c r="AM257" s="22" t="s">
        <v>25362</v>
      </c>
      <c r="AN257" s="149"/>
      <c r="AO257" s="144"/>
      <c r="AP257" s="148"/>
      <c r="AQ257" s="144"/>
      <c r="AR257" s="120"/>
      <c r="AS257" s="121"/>
      <c r="AT257" s="120"/>
      <c r="AU257" s="182"/>
      <c r="AV257" s="120"/>
      <c r="AW257" s="121"/>
      <c r="AX257" s="120"/>
      <c r="AY257" s="121"/>
      <c r="AZ257" s="201"/>
    </row>
    <row r="258" spans="1:52" ht="17.100000000000001" customHeight="1" thickTop="1">
      <c r="A258" s="109" t="s">
        <v>5866</v>
      </c>
      <c r="B258" s="28">
        <v>44105</v>
      </c>
      <c r="C258" s="29" t="s">
        <v>1093</v>
      </c>
      <c r="D258" s="13" t="s">
        <v>761</v>
      </c>
      <c r="E258" s="111"/>
      <c r="F258" s="283" t="s">
        <v>1094</v>
      </c>
      <c r="G258" s="273"/>
      <c r="H258" s="274"/>
      <c r="I258" s="24" t="s">
        <v>1095</v>
      </c>
      <c r="J258" s="116">
        <v>4</v>
      </c>
      <c r="K258" s="118">
        <v>1470000</v>
      </c>
      <c r="L258" s="119"/>
      <c r="M258" s="118">
        <v>147000</v>
      </c>
      <c r="N258" s="119"/>
      <c r="O258" s="118">
        <v>16400</v>
      </c>
      <c r="P258" s="119"/>
      <c r="Q258" s="118">
        <v>20310</v>
      </c>
      <c r="R258" s="119"/>
      <c r="S258" s="118">
        <v>13200</v>
      </c>
      <c r="T258" s="119"/>
      <c r="U258" s="118">
        <f>SUM(K258:T258)</f>
        <v>1666910</v>
      </c>
      <c r="V258" s="210"/>
      <c r="W258" s="124">
        <v>1000000</v>
      </c>
      <c r="X258" s="223" t="s">
        <v>1096</v>
      </c>
      <c r="Y258" s="223"/>
      <c r="Z258" s="223"/>
      <c r="AA258" s="223"/>
      <c r="AB258" s="224"/>
      <c r="AC258" s="15" t="s">
        <v>20</v>
      </c>
      <c r="AD258" s="129" t="s">
        <v>990</v>
      </c>
      <c r="AE258" s="130"/>
      <c r="AF258" s="130"/>
      <c r="AG258" s="130"/>
      <c r="AH258" s="130"/>
      <c r="AI258" s="131"/>
      <c r="AJ258" s="132"/>
      <c r="AK258" s="127"/>
      <c r="AL258" s="127"/>
      <c r="AM258" s="21"/>
      <c r="AN258" s="133"/>
      <c r="AO258" s="134"/>
      <c r="AP258" s="135"/>
      <c r="AQ258" s="136"/>
      <c r="AR258" s="118"/>
      <c r="AS258" s="119"/>
      <c r="AT258" s="180">
        <f>AR258*0.1</f>
        <v>0</v>
      </c>
      <c r="AU258" s="181"/>
      <c r="AV258" s="118"/>
      <c r="AW258" s="119"/>
      <c r="AX258" s="118">
        <f>SUM(AR258:AW258)</f>
        <v>0</v>
      </c>
      <c r="AY258" s="119"/>
      <c r="AZ258" s="200"/>
    </row>
    <row r="259" spans="1:52" ht="17.100000000000001" customHeight="1" thickBot="1">
      <c r="A259" s="110"/>
      <c r="B259" s="27" t="s">
        <v>250</v>
      </c>
      <c r="C259" s="27">
        <v>94</v>
      </c>
      <c r="D259" s="14" t="s">
        <v>221</v>
      </c>
      <c r="E259" s="112"/>
      <c r="F259" s="139" t="s">
        <v>1097</v>
      </c>
      <c r="G259" s="140"/>
      <c r="H259" s="141"/>
      <c r="I259" s="26">
        <v>56559</v>
      </c>
      <c r="J259" s="117"/>
      <c r="K259" s="120"/>
      <c r="L259" s="121"/>
      <c r="M259" s="120"/>
      <c r="N259" s="121"/>
      <c r="O259" s="120"/>
      <c r="P259" s="121"/>
      <c r="Q259" s="120"/>
      <c r="R259" s="121"/>
      <c r="S259" s="120"/>
      <c r="T259" s="121"/>
      <c r="U259" s="120"/>
      <c r="V259" s="182"/>
      <c r="W259" s="125"/>
      <c r="X259" s="143" t="s">
        <v>730</v>
      </c>
      <c r="Y259" s="143"/>
      <c r="Z259" s="143"/>
      <c r="AA259" s="143"/>
      <c r="AB259" s="144"/>
      <c r="AC259" s="16" t="s">
        <v>21</v>
      </c>
      <c r="AD259" s="17" t="s">
        <v>1092</v>
      </c>
      <c r="AE259" s="145" t="s">
        <v>965</v>
      </c>
      <c r="AF259" s="146"/>
      <c r="AG259" s="146"/>
      <c r="AH259" s="146"/>
      <c r="AI259" s="147"/>
      <c r="AJ259" s="148"/>
      <c r="AK259" s="143"/>
      <c r="AL259" s="143"/>
      <c r="AM259" s="22" t="s">
        <v>928</v>
      </c>
      <c r="AN259" s="149"/>
      <c r="AO259" s="144"/>
      <c r="AP259" s="148"/>
      <c r="AQ259" s="144"/>
      <c r="AR259" s="120"/>
      <c r="AS259" s="121"/>
      <c r="AT259" s="120"/>
      <c r="AU259" s="182"/>
      <c r="AV259" s="120"/>
      <c r="AW259" s="121"/>
      <c r="AX259" s="120"/>
      <c r="AY259" s="121"/>
      <c r="AZ259" s="201"/>
    </row>
    <row r="260" spans="1:52" ht="17.100000000000001" customHeight="1" thickTop="1">
      <c r="A260" s="109" t="s">
        <v>5867</v>
      </c>
      <c r="B260" s="28">
        <v>44112</v>
      </c>
      <c r="C260" s="29" t="s">
        <v>1098</v>
      </c>
      <c r="D260" s="13" t="s">
        <v>501</v>
      </c>
      <c r="E260" s="111"/>
      <c r="F260" s="283" t="s">
        <v>1099</v>
      </c>
      <c r="G260" s="273"/>
      <c r="H260" s="274"/>
      <c r="I260" s="24"/>
      <c r="J260" s="116">
        <v>4.5</v>
      </c>
      <c r="K260" s="118">
        <v>3065000</v>
      </c>
      <c r="L260" s="119"/>
      <c r="M260" s="118">
        <v>306500</v>
      </c>
      <c r="N260" s="119"/>
      <c r="O260" s="118">
        <v>0</v>
      </c>
      <c r="P260" s="119"/>
      <c r="Q260" s="118">
        <v>19630</v>
      </c>
      <c r="R260" s="119"/>
      <c r="S260" s="118">
        <v>13200</v>
      </c>
      <c r="T260" s="119"/>
      <c r="U260" s="118">
        <f>SUM(K260:T260)</f>
        <v>3404330</v>
      </c>
      <c r="V260" s="210"/>
      <c r="W260" s="124">
        <v>2200000</v>
      </c>
      <c r="X260" s="223" t="s">
        <v>1100</v>
      </c>
      <c r="Y260" s="223"/>
      <c r="Z260" s="223"/>
      <c r="AA260" s="223"/>
      <c r="AB260" s="224"/>
      <c r="AC260" s="15" t="s">
        <v>20</v>
      </c>
      <c r="AD260" s="129" t="s">
        <v>581</v>
      </c>
      <c r="AE260" s="130"/>
      <c r="AF260" s="130"/>
      <c r="AG260" s="130"/>
      <c r="AH260" s="130"/>
      <c r="AI260" s="131"/>
      <c r="AJ260" s="132" t="s">
        <v>1101</v>
      </c>
      <c r="AK260" s="127"/>
      <c r="AL260" s="127"/>
      <c r="AM260" s="21"/>
      <c r="AN260" s="133"/>
      <c r="AO260" s="134"/>
      <c r="AP260" s="135"/>
      <c r="AQ260" s="136"/>
      <c r="AR260" s="118"/>
      <c r="AS260" s="119"/>
      <c r="AT260" s="180">
        <f>AR260*0.1</f>
        <v>0</v>
      </c>
      <c r="AU260" s="181"/>
      <c r="AV260" s="118"/>
      <c r="AW260" s="119"/>
      <c r="AX260" s="118">
        <f>SUM(AR260:AW260)</f>
        <v>0</v>
      </c>
      <c r="AY260" s="119"/>
      <c r="AZ260" s="200"/>
    </row>
    <row r="261" spans="1:52" ht="17.100000000000001" customHeight="1" thickBot="1">
      <c r="A261" s="110"/>
      <c r="B261" s="27" t="s">
        <v>250</v>
      </c>
      <c r="C261" s="27">
        <v>15</v>
      </c>
      <c r="D261" s="14" t="s">
        <v>291</v>
      </c>
      <c r="E261" s="112"/>
      <c r="F261" s="139" t="s">
        <v>1102</v>
      </c>
      <c r="G261" s="140"/>
      <c r="H261" s="141"/>
      <c r="I261" s="26">
        <v>16542</v>
      </c>
      <c r="J261" s="117"/>
      <c r="K261" s="120"/>
      <c r="L261" s="121"/>
      <c r="M261" s="120"/>
      <c r="N261" s="121"/>
      <c r="O261" s="120"/>
      <c r="P261" s="121"/>
      <c r="Q261" s="120"/>
      <c r="R261" s="121"/>
      <c r="S261" s="120"/>
      <c r="T261" s="121"/>
      <c r="U261" s="120"/>
      <c r="V261" s="182"/>
      <c r="W261" s="125"/>
      <c r="X261" s="143" t="s">
        <v>1103</v>
      </c>
      <c r="Y261" s="143"/>
      <c r="Z261" s="143"/>
      <c r="AA261" s="143"/>
      <c r="AB261" s="144"/>
      <c r="AC261" s="16" t="s">
        <v>21</v>
      </c>
      <c r="AD261" s="17" t="s">
        <v>1104</v>
      </c>
      <c r="AE261" s="145" t="s">
        <v>1105</v>
      </c>
      <c r="AF261" s="146"/>
      <c r="AG261" s="146"/>
      <c r="AH261" s="146"/>
      <c r="AI261" s="147"/>
      <c r="AJ261" s="148"/>
      <c r="AK261" s="143"/>
      <c r="AL261" s="143"/>
      <c r="AM261" s="22"/>
      <c r="AN261" s="149"/>
      <c r="AO261" s="144"/>
      <c r="AP261" s="148"/>
      <c r="AQ261" s="144"/>
      <c r="AR261" s="120"/>
      <c r="AS261" s="121"/>
      <c r="AT261" s="120"/>
      <c r="AU261" s="182"/>
      <c r="AV261" s="120"/>
      <c r="AW261" s="121"/>
      <c r="AX261" s="120"/>
      <c r="AY261" s="121"/>
      <c r="AZ261" s="201"/>
    </row>
    <row r="262" spans="1:52" ht="17.100000000000001" customHeight="1" thickTop="1">
      <c r="A262" s="109" t="s">
        <v>5868</v>
      </c>
      <c r="B262" s="28">
        <v>44119</v>
      </c>
      <c r="C262" s="29" t="s">
        <v>1106</v>
      </c>
      <c r="D262" s="13" t="s">
        <v>1107</v>
      </c>
      <c r="E262" s="111"/>
      <c r="F262" s="283" t="s">
        <v>1108</v>
      </c>
      <c r="G262" s="273"/>
      <c r="H262" s="274"/>
      <c r="I262" s="24" t="s">
        <v>1109</v>
      </c>
      <c r="J262" s="116">
        <v>4.5</v>
      </c>
      <c r="K262" s="118">
        <v>2625000</v>
      </c>
      <c r="L262" s="119"/>
      <c r="M262" s="118">
        <v>262500</v>
      </c>
      <c r="N262" s="119"/>
      <c r="O262" s="118">
        <v>21200</v>
      </c>
      <c r="P262" s="119"/>
      <c r="Q262" s="118">
        <v>26150</v>
      </c>
      <c r="R262" s="119"/>
      <c r="S262" s="118">
        <v>13200</v>
      </c>
      <c r="T262" s="119"/>
      <c r="U262" s="118">
        <f>SUM(K262:T262)</f>
        <v>2948050</v>
      </c>
      <c r="V262" s="210"/>
      <c r="W262" s="124">
        <v>2000000</v>
      </c>
      <c r="X262" s="223" t="s">
        <v>1110</v>
      </c>
      <c r="Y262" s="223"/>
      <c r="Z262" s="223"/>
      <c r="AA262" s="223"/>
      <c r="AB262" s="224"/>
      <c r="AC262" s="15" t="s">
        <v>20</v>
      </c>
      <c r="AD262" s="129"/>
      <c r="AE262" s="130"/>
      <c r="AF262" s="130"/>
      <c r="AG262" s="130"/>
      <c r="AH262" s="130"/>
      <c r="AI262" s="131"/>
      <c r="AJ262" s="132"/>
      <c r="AK262" s="127"/>
      <c r="AL262" s="127"/>
      <c r="AM262" s="21" t="s">
        <v>1111</v>
      </c>
      <c r="AN262" s="133"/>
      <c r="AO262" s="134"/>
      <c r="AP262" s="135"/>
      <c r="AQ262" s="136"/>
      <c r="AR262" s="118"/>
      <c r="AS262" s="119"/>
      <c r="AT262" s="180">
        <f>AR262*0.1</f>
        <v>0</v>
      </c>
      <c r="AU262" s="181"/>
      <c r="AV262" s="118"/>
      <c r="AW262" s="119"/>
      <c r="AX262" s="118">
        <f>SUM(AR262:AW262)</f>
        <v>0</v>
      </c>
      <c r="AY262" s="119"/>
      <c r="AZ262" s="200"/>
    </row>
    <row r="263" spans="1:52" ht="17.100000000000001" customHeight="1" thickBot="1">
      <c r="A263" s="110"/>
      <c r="B263" s="27" t="s">
        <v>148</v>
      </c>
      <c r="C263" s="27">
        <v>75256</v>
      </c>
      <c r="D263" s="14" t="s">
        <v>447</v>
      </c>
      <c r="E263" s="112"/>
      <c r="F263" s="139" t="s">
        <v>1112</v>
      </c>
      <c r="G263" s="140"/>
      <c r="H263" s="141"/>
      <c r="I263" s="26">
        <v>48597</v>
      </c>
      <c r="J263" s="117"/>
      <c r="K263" s="120"/>
      <c r="L263" s="121"/>
      <c r="M263" s="120"/>
      <c r="N263" s="121"/>
      <c r="O263" s="120"/>
      <c r="P263" s="121"/>
      <c r="Q263" s="120"/>
      <c r="R263" s="121"/>
      <c r="S263" s="120"/>
      <c r="T263" s="121"/>
      <c r="U263" s="120"/>
      <c r="V263" s="182"/>
      <c r="W263" s="125"/>
      <c r="X263" s="143" t="s">
        <v>1113</v>
      </c>
      <c r="Y263" s="143"/>
      <c r="Z263" s="143"/>
      <c r="AA263" s="143"/>
      <c r="AB263" s="144"/>
      <c r="AC263" s="16" t="s">
        <v>21</v>
      </c>
      <c r="AD263" s="17" t="s">
        <v>1114</v>
      </c>
      <c r="AE263" s="145"/>
      <c r="AF263" s="146"/>
      <c r="AG263" s="146"/>
      <c r="AH263" s="146"/>
      <c r="AI263" s="147"/>
      <c r="AJ263" s="148"/>
      <c r="AK263" s="143"/>
      <c r="AL263" s="143"/>
      <c r="AM263" s="22" t="s">
        <v>108</v>
      </c>
      <c r="AN263" s="149"/>
      <c r="AO263" s="144"/>
      <c r="AP263" s="148"/>
      <c r="AQ263" s="144"/>
      <c r="AR263" s="120"/>
      <c r="AS263" s="121"/>
      <c r="AT263" s="120"/>
      <c r="AU263" s="182"/>
      <c r="AV263" s="120"/>
      <c r="AW263" s="121"/>
      <c r="AX263" s="120"/>
      <c r="AY263" s="121"/>
      <c r="AZ263" s="201"/>
    </row>
    <row r="264" spans="1:52" ht="17.100000000000001" customHeight="1" thickTop="1">
      <c r="A264" s="109" t="s">
        <v>5869</v>
      </c>
      <c r="B264" s="28">
        <v>44119</v>
      </c>
      <c r="C264" s="29" t="s">
        <v>1115</v>
      </c>
      <c r="D264" s="13" t="s">
        <v>761</v>
      </c>
      <c r="E264" s="111"/>
      <c r="F264" s="283" t="s">
        <v>1116</v>
      </c>
      <c r="G264" s="273"/>
      <c r="H264" s="274"/>
      <c r="I264" s="24" t="s">
        <v>1117</v>
      </c>
      <c r="J264" s="116">
        <v>4</v>
      </c>
      <c r="K264" s="118">
        <v>2490000</v>
      </c>
      <c r="L264" s="119"/>
      <c r="M264" s="118">
        <v>249000</v>
      </c>
      <c r="N264" s="119"/>
      <c r="O264" s="118">
        <v>21200</v>
      </c>
      <c r="P264" s="119"/>
      <c r="Q264" s="118">
        <v>18110</v>
      </c>
      <c r="R264" s="119"/>
      <c r="S264" s="118">
        <v>22000</v>
      </c>
      <c r="T264" s="119"/>
      <c r="U264" s="118">
        <f>SUM(K264:T264)</f>
        <v>2800310</v>
      </c>
      <c r="V264" s="210"/>
      <c r="W264" s="124">
        <v>1800000</v>
      </c>
      <c r="X264" s="223" t="s">
        <v>1118</v>
      </c>
      <c r="Y264" s="223"/>
      <c r="Z264" s="223"/>
      <c r="AA264" s="223"/>
      <c r="AB264" s="224"/>
      <c r="AC264" s="15" t="s">
        <v>20</v>
      </c>
      <c r="AD264" s="129" t="s">
        <v>1119</v>
      </c>
      <c r="AE264" s="130"/>
      <c r="AF264" s="130"/>
      <c r="AG264" s="130"/>
      <c r="AH264" s="130"/>
      <c r="AI264" s="131"/>
      <c r="AJ264" s="132"/>
      <c r="AK264" s="127"/>
      <c r="AL264" s="127"/>
      <c r="AM264" s="21" t="s">
        <v>1120</v>
      </c>
      <c r="AN264" s="133"/>
      <c r="AO264" s="134"/>
      <c r="AP264" s="135"/>
      <c r="AQ264" s="136"/>
      <c r="AR264" s="118"/>
      <c r="AS264" s="119"/>
      <c r="AT264" s="180">
        <f>AR264*0.1</f>
        <v>0</v>
      </c>
      <c r="AU264" s="181"/>
      <c r="AV264" s="118"/>
      <c r="AW264" s="119"/>
      <c r="AX264" s="118">
        <f>SUM(AR264:AW264)</f>
        <v>0</v>
      </c>
      <c r="AY264" s="119"/>
      <c r="AZ264" s="200"/>
    </row>
    <row r="265" spans="1:52" ht="17.100000000000001" customHeight="1" thickBot="1">
      <c r="A265" s="110"/>
      <c r="B265" s="27" t="s">
        <v>1121</v>
      </c>
      <c r="C265" s="27">
        <v>30264</v>
      </c>
      <c r="D265" s="14" t="s">
        <v>221</v>
      </c>
      <c r="E265" s="112"/>
      <c r="F265" s="139" t="s">
        <v>1122</v>
      </c>
      <c r="G265" s="140"/>
      <c r="H265" s="141"/>
      <c r="I265" s="26">
        <v>31939</v>
      </c>
      <c r="J265" s="117"/>
      <c r="K265" s="120"/>
      <c r="L265" s="121"/>
      <c r="M265" s="120"/>
      <c r="N265" s="121"/>
      <c r="O265" s="120"/>
      <c r="P265" s="121"/>
      <c r="Q265" s="120"/>
      <c r="R265" s="121"/>
      <c r="S265" s="120"/>
      <c r="T265" s="121"/>
      <c r="U265" s="120"/>
      <c r="V265" s="182"/>
      <c r="W265" s="125"/>
      <c r="X265" s="143" t="s">
        <v>1123</v>
      </c>
      <c r="Y265" s="143"/>
      <c r="Z265" s="143"/>
      <c r="AA265" s="143"/>
      <c r="AB265" s="144"/>
      <c r="AC265" s="16" t="s">
        <v>21</v>
      </c>
      <c r="AD265" s="17" t="s">
        <v>1114</v>
      </c>
      <c r="AE265" s="145" t="s">
        <v>1124</v>
      </c>
      <c r="AF265" s="146"/>
      <c r="AG265" s="146"/>
      <c r="AH265" s="146"/>
      <c r="AI265" s="147"/>
      <c r="AJ265" s="148"/>
      <c r="AK265" s="143"/>
      <c r="AL265" s="143"/>
      <c r="AM265" s="22" t="s">
        <v>108</v>
      </c>
      <c r="AN265" s="149"/>
      <c r="AO265" s="144"/>
      <c r="AP265" s="148"/>
      <c r="AQ265" s="144"/>
      <c r="AR265" s="120"/>
      <c r="AS265" s="121"/>
      <c r="AT265" s="120"/>
      <c r="AU265" s="182"/>
      <c r="AV265" s="120"/>
      <c r="AW265" s="121"/>
      <c r="AX265" s="120"/>
      <c r="AY265" s="121"/>
      <c r="AZ265" s="201"/>
    </row>
    <row r="266" spans="1:52" ht="17.100000000000001" customHeight="1" thickTop="1">
      <c r="A266" s="109" t="s">
        <v>5870</v>
      </c>
      <c r="B266" s="28">
        <v>44127</v>
      </c>
      <c r="C266" s="29" t="s">
        <v>1125</v>
      </c>
      <c r="D266" s="13" t="s">
        <v>1126</v>
      </c>
      <c r="E266" s="111"/>
      <c r="F266" s="283" t="s">
        <v>1127</v>
      </c>
      <c r="G266" s="273"/>
      <c r="H266" s="274"/>
      <c r="I266" s="24" t="s">
        <v>1128</v>
      </c>
      <c r="J266" s="116">
        <v>4</v>
      </c>
      <c r="K266" s="118">
        <v>2600000</v>
      </c>
      <c r="L266" s="119"/>
      <c r="M266" s="118">
        <v>260000</v>
      </c>
      <c r="N266" s="119"/>
      <c r="O266" s="118">
        <v>27700</v>
      </c>
      <c r="P266" s="119"/>
      <c r="Q266" s="118">
        <v>18070</v>
      </c>
      <c r="R266" s="119"/>
      <c r="S266" s="118">
        <v>13200</v>
      </c>
      <c r="T266" s="119"/>
      <c r="U266" s="118">
        <f>SUM(K266:T266)</f>
        <v>2918970</v>
      </c>
      <c r="V266" s="210"/>
      <c r="W266" s="124">
        <v>2000000</v>
      </c>
      <c r="X266" s="223" t="s">
        <v>1129</v>
      </c>
      <c r="Y266" s="223"/>
      <c r="Z266" s="223"/>
      <c r="AA266" s="223"/>
      <c r="AB266" s="224"/>
      <c r="AC266" s="15" t="s">
        <v>20</v>
      </c>
      <c r="AD266" s="129" t="s">
        <v>1130</v>
      </c>
      <c r="AE266" s="130"/>
      <c r="AF266" s="130"/>
      <c r="AG266" s="130"/>
      <c r="AH266" s="130"/>
      <c r="AI266" s="131"/>
      <c r="AJ266" s="132"/>
      <c r="AK266" s="127"/>
      <c r="AL266" s="127"/>
      <c r="AM266" s="21"/>
      <c r="AN266" s="133"/>
      <c r="AO266" s="134"/>
      <c r="AP266" s="135"/>
      <c r="AQ266" s="136"/>
      <c r="AR266" s="118"/>
      <c r="AS266" s="119"/>
      <c r="AT266" s="180">
        <f>AR266*0.1</f>
        <v>0</v>
      </c>
      <c r="AU266" s="181"/>
      <c r="AV266" s="118"/>
      <c r="AW266" s="119"/>
      <c r="AX266" s="118">
        <f>SUM(AR266:AW266)</f>
        <v>0</v>
      </c>
      <c r="AY266" s="119"/>
      <c r="AZ266" s="200"/>
    </row>
    <row r="267" spans="1:52" ht="17.100000000000001" customHeight="1" thickBot="1">
      <c r="A267" s="110"/>
      <c r="B267" s="27" t="s">
        <v>205</v>
      </c>
      <c r="C267" s="27">
        <v>58285</v>
      </c>
      <c r="D267" s="14" t="s">
        <v>265</v>
      </c>
      <c r="E267" s="112"/>
      <c r="F267" s="139" t="s">
        <v>1131</v>
      </c>
      <c r="G267" s="140"/>
      <c r="H267" s="141"/>
      <c r="I267" s="26">
        <v>20175</v>
      </c>
      <c r="J267" s="117"/>
      <c r="K267" s="120"/>
      <c r="L267" s="121"/>
      <c r="M267" s="120"/>
      <c r="N267" s="121"/>
      <c r="O267" s="120"/>
      <c r="P267" s="121"/>
      <c r="Q267" s="120"/>
      <c r="R267" s="121"/>
      <c r="S267" s="120"/>
      <c r="T267" s="121"/>
      <c r="U267" s="120"/>
      <c r="V267" s="182"/>
      <c r="W267" s="125"/>
      <c r="X267" s="143" t="s">
        <v>1132</v>
      </c>
      <c r="Y267" s="143"/>
      <c r="Z267" s="143"/>
      <c r="AA267" s="143"/>
      <c r="AB267" s="144"/>
      <c r="AC267" s="16" t="s">
        <v>21</v>
      </c>
      <c r="AD267" s="17" t="s">
        <v>1133</v>
      </c>
      <c r="AE267" s="145" t="s">
        <v>1134</v>
      </c>
      <c r="AF267" s="146"/>
      <c r="AG267" s="146"/>
      <c r="AH267" s="146"/>
      <c r="AI267" s="147"/>
      <c r="AJ267" s="148"/>
      <c r="AK267" s="143"/>
      <c r="AL267" s="143"/>
      <c r="AM267" s="22" t="s">
        <v>907</v>
      </c>
      <c r="AN267" s="149"/>
      <c r="AO267" s="144"/>
      <c r="AP267" s="148"/>
      <c r="AQ267" s="144"/>
      <c r="AR267" s="120"/>
      <c r="AS267" s="121"/>
      <c r="AT267" s="120"/>
      <c r="AU267" s="182"/>
      <c r="AV267" s="120"/>
      <c r="AW267" s="121"/>
      <c r="AX267" s="120"/>
      <c r="AY267" s="121"/>
      <c r="AZ267" s="201"/>
    </row>
    <row r="268" spans="1:52" ht="17.100000000000001" customHeight="1" thickTop="1">
      <c r="A268" s="109" t="s">
        <v>5871</v>
      </c>
      <c r="B268" s="28">
        <v>44132</v>
      </c>
      <c r="C268" s="29" t="s">
        <v>1093</v>
      </c>
      <c r="D268" s="13" t="s">
        <v>316</v>
      </c>
      <c r="E268" s="111"/>
      <c r="F268" s="283" t="s">
        <v>645</v>
      </c>
      <c r="G268" s="273"/>
      <c r="H268" s="274"/>
      <c r="I268" s="24" t="s">
        <v>1117</v>
      </c>
      <c r="J268" s="116">
        <v>4.5</v>
      </c>
      <c r="K268" s="118">
        <v>2143000</v>
      </c>
      <c r="L268" s="119"/>
      <c r="M268" s="118">
        <v>214300</v>
      </c>
      <c r="N268" s="119"/>
      <c r="O268" s="118">
        <v>16400</v>
      </c>
      <c r="P268" s="119"/>
      <c r="Q268" s="118">
        <v>18960</v>
      </c>
      <c r="R268" s="119"/>
      <c r="S268" s="118">
        <v>22000</v>
      </c>
      <c r="T268" s="119"/>
      <c r="U268" s="118">
        <f>SUM(K268:T268)</f>
        <v>2414660</v>
      </c>
      <c r="V268" s="210"/>
      <c r="W268" s="124">
        <v>1700000</v>
      </c>
      <c r="X268" s="223" t="s">
        <v>1135</v>
      </c>
      <c r="Y268" s="223"/>
      <c r="Z268" s="223"/>
      <c r="AA268" s="223"/>
      <c r="AB268" s="224"/>
      <c r="AC268" s="15" t="s">
        <v>20</v>
      </c>
      <c r="AD268" s="129" t="s">
        <v>522</v>
      </c>
      <c r="AE268" s="130"/>
      <c r="AF268" s="130"/>
      <c r="AG268" s="130"/>
      <c r="AH268" s="130"/>
      <c r="AI268" s="131"/>
      <c r="AJ268" s="132"/>
      <c r="AK268" s="127"/>
      <c r="AL268" s="127"/>
      <c r="AM268" s="21"/>
      <c r="AN268" s="133"/>
      <c r="AO268" s="134"/>
      <c r="AP268" s="135"/>
      <c r="AQ268" s="136"/>
      <c r="AR268" s="118"/>
      <c r="AS268" s="119"/>
      <c r="AT268" s="180">
        <f>AR268*0.1</f>
        <v>0</v>
      </c>
      <c r="AU268" s="181"/>
      <c r="AV268" s="118"/>
      <c r="AW268" s="119"/>
      <c r="AX268" s="118">
        <f>SUM(AR268:AW268)</f>
        <v>0</v>
      </c>
      <c r="AY268" s="119"/>
      <c r="AZ268" s="200"/>
    </row>
    <row r="269" spans="1:52" ht="17.100000000000001" customHeight="1" thickBot="1">
      <c r="A269" s="110"/>
      <c r="B269" s="27" t="s">
        <v>1136</v>
      </c>
      <c r="C269" s="27">
        <v>35142</v>
      </c>
      <c r="D269" s="14" t="s">
        <v>119</v>
      </c>
      <c r="E269" s="112"/>
      <c r="F269" s="139" t="s">
        <v>1137</v>
      </c>
      <c r="G269" s="140"/>
      <c r="H269" s="141"/>
      <c r="I269" s="26">
        <v>38451</v>
      </c>
      <c r="J269" s="117"/>
      <c r="K269" s="120"/>
      <c r="L269" s="121"/>
      <c r="M269" s="120"/>
      <c r="N269" s="121"/>
      <c r="O269" s="120"/>
      <c r="P269" s="121"/>
      <c r="Q269" s="120"/>
      <c r="R269" s="121"/>
      <c r="S269" s="120"/>
      <c r="T269" s="121"/>
      <c r="U269" s="120"/>
      <c r="V269" s="182"/>
      <c r="W269" s="125"/>
      <c r="X269" s="143" t="s">
        <v>1138</v>
      </c>
      <c r="Y269" s="143"/>
      <c r="Z269" s="143"/>
      <c r="AA269" s="143"/>
      <c r="AB269" s="144"/>
      <c r="AC269" s="16" t="s">
        <v>21</v>
      </c>
      <c r="AD269" s="17" t="s">
        <v>1139</v>
      </c>
      <c r="AE269" s="145" t="s">
        <v>489</v>
      </c>
      <c r="AF269" s="146"/>
      <c r="AG269" s="146"/>
      <c r="AH269" s="146"/>
      <c r="AI269" s="147"/>
      <c r="AJ269" s="148"/>
      <c r="AK269" s="143"/>
      <c r="AL269" s="143"/>
      <c r="AM269" s="22"/>
      <c r="AN269" s="149"/>
      <c r="AO269" s="144"/>
      <c r="AP269" s="148"/>
      <c r="AQ269" s="144"/>
      <c r="AR269" s="120"/>
      <c r="AS269" s="121"/>
      <c r="AT269" s="120"/>
      <c r="AU269" s="182"/>
      <c r="AV269" s="120"/>
      <c r="AW269" s="121"/>
      <c r="AX269" s="120"/>
      <c r="AY269" s="121"/>
      <c r="AZ269" s="201"/>
    </row>
    <row r="270" spans="1:52" ht="17.100000000000001" customHeight="1" thickTop="1">
      <c r="A270" s="109" t="s">
        <v>5872</v>
      </c>
      <c r="B270" s="28">
        <v>44137</v>
      </c>
      <c r="C270" s="29" t="s">
        <v>919</v>
      </c>
      <c r="D270" s="13" t="s">
        <v>402</v>
      </c>
      <c r="E270" s="111"/>
      <c r="F270" s="283" t="s">
        <v>280</v>
      </c>
      <c r="G270" s="273"/>
      <c r="H270" s="274"/>
      <c r="I270" s="24"/>
      <c r="J270" s="116">
        <v>4</v>
      </c>
      <c r="K270" s="118">
        <v>2240000</v>
      </c>
      <c r="L270" s="119"/>
      <c r="M270" s="118">
        <v>224000</v>
      </c>
      <c r="N270" s="119"/>
      <c r="O270" s="118">
        <v>0</v>
      </c>
      <c r="P270" s="119"/>
      <c r="Q270" s="118">
        <v>18960</v>
      </c>
      <c r="R270" s="119"/>
      <c r="S270" s="118">
        <v>11000</v>
      </c>
      <c r="T270" s="119"/>
      <c r="U270" s="118">
        <f>SUM(K270:T270)</f>
        <v>2493960</v>
      </c>
      <c r="V270" s="210"/>
      <c r="W270" s="124">
        <v>1600000</v>
      </c>
      <c r="X270" s="223" t="s">
        <v>1140</v>
      </c>
      <c r="Y270" s="223"/>
      <c r="Z270" s="223"/>
      <c r="AA270" s="223"/>
      <c r="AB270" s="224"/>
      <c r="AC270" s="15" t="s">
        <v>20</v>
      </c>
      <c r="AD270" s="129" t="s">
        <v>1078</v>
      </c>
      <c r="AE270" s="130"/>
      <c r="AF270" s="130"/>
      <c r="AG270" s="130"/>
      <c r="AH270" s="130"/>
      <c r="AI270" s="131"/>
      <c r="AJ270" s="132"/>
      <c r="AK270" s="127"/>
      <c r="AL270" s="127"/>
      <c r="AM270" s="21"/>
      <c r="AN270" s="133"/>
      <c r="AO270" s="134"/>
      <c r="AP270" s="135"/>
      <c r="AQ270" s="136"/>
      <c r="AR270" s="118"/>
      <c r="AS270" s="119"/>
      <c r="AT270" s="180">
        <f>AR270*0.1</f>
        <v>0</v>
      </c>
      <c r="AU270" s="181"/>
      <c r="AV270" s="118"/>
      <c r="AW270" s="119"/>
      <c r="AX270" s="118">
        <f>SUM(AR270:AW270)</f>
        <v>0</v>
      </c>
      <c r="AY270" s="119"/>
      <c r="AZ270" s="200"/>
    </row>
    <row r="271" spans="1:52" ht="17.100000000000001" customHeight="1" thickBot="1">
      <c r="A271" s="110"/>
      <c r="B271" s="27" t="s">
        <v>660</v>
      </c>
      <c r="C271" s="27">
        <v>30505</v>
      </c>
      <c r="D271" s="14" t="s">
        <v>326</v>
      </c>
      <c r="E271" s="112"/>
      <c r="F271" s="139" t="s">
        <v>1141</v>
      </c>
      <c r="G271" s="140"/>
      <c r="H271" s="141"/>
      <c r="I271" s="26">
        <v>29687</v>
      </c>
      <c r="J271" s="117"/>
      <c r="K271" s="120"/>
      <c r="L271" s="121"/>
      <c r="M271" s="120"/>
      <c r="N271" s="121"/>
      <c r="O271" s="120"/>
      <c r="P271" s="121"/>
      <c r="Q271" s="120"/>
      <c r="R271" s="121"/>
      <c r="S271" s="120"/>
      <c r="T271" s="121"/>
      <c r="U271" s="120"/>
      <c r="V271" s="182"/>
      <c r="W271" s="125"/>
      <c r="X271" s="143" t="s">
        <v>1142</v>
      </c>
      <c r="Y271" s="143"/>
      <c r="Z271" s="143"/>
      <c r="AA271" s="143"/>
      <c r="AB271" s="144"/>
      <c r="AC271" s="16" t="s">
        <v>21</v>
      </c>
      <c r="AD271" s="17" t="s">
        <v>1143</v>
      </c>
      <c r="AE271" s="145" t="s">
        <v>1144</v>
      </c>
      <c r="AF271" s="146"/>
      <c r="AG271" s="146"/>
      <c r="AH271" s="146"/>
      <c r="AI271" s="147"/>
      <c r="AJ271" s="148"/>
      <c r="AK271" s="143"/>
      <c r="AL271" s="143"/>
      <c r="AM271" s="22"/>
      <c r="AN271" s="149"/>
      <c r="AO271" s="144"/>
      <c r="AP271" s="148"/>
      <c r="AQ271" s="144"/>
      <c r="AR271" s="120"/>
      <c r="AS271" s="121"/>
      <c r="AT271" s="120"/>
      <c r="AU271" s="182"/>
      <c r="AV271" s="120"/>
      <c r="AW271" s="121"/>
      <c r="AX271" s="120"/>
      <c r="AY271" s="121"/>
      <c r="AZ271" s="201"/>
    </row>
    <row r="272" spans="1:52" ht="17.100000000000001" customHeight="1" thickTop="1">
      <c r="A272" s="109" t="s">
        <v>5873</v>
      </c>
      <c r="B272" s="28">
        <v>44140</v>
      </c>
      <c r="C272" s="29" t="s">
        <v>1145</v>
      </c>
      <c r="D272" s="13" t="s">
        <v>1146</v>
      </c>
      <c r="E272" s="111"/>
      <c r="F272" s="113" t="s">
        <v>1147</v>
      </c>
      <c r="G272" s="273"/>
      <c r="H272" s="274"/>
      <c r="I272" s="24" t="s">
        <v>1148</v>
      </c>
      <c r="J272" s="116">
        <v>4.5</v>
      </c>
      <c r="K272" s="118">
        <v>2850000</v>
      </c>
      <c r="L272" s="119"/>
      <c r="M272" s="118">
        <v>285000</v>
      </c>
      <c r="N272" s="119"/>
      <c r="O272" s="118">
        <v>13100</v>
      </c>
      <c r="P272" s="119"/>
      <c r="Q272" s="118">
        <v>17600</v>
      </c>
      <c r="R272" s="119"/>
      <c r="S272" s="118">
        <v>22000</v>
      </c>
      <c r="T272" s="119"/>
      <c r="U272" s="118">
        <f>SUM(K272:T272)</f>
        <v>3187700</v>
      </c>
      <c r="V272" s="210"/>
      <c r="W272" s="124">
        <v>2200000</v>
      </c>
      <c r="X272" s="223" t="s">
        <v>1149</v>
      </c>
      <c r="Y272" s="223"/>
      <c r="Z272" s="223"/>
      <c r="AA272" s="223"/>
      <c r="AB272" s="224"/>
      <c r="AC272" s="15" t="s">
        <v>20</v>
      </c>
      <c r="AD272" s="129" t="s">
        <v>581</v>
      </c>
      <c r="AE272" s="130"/>
      <c r="AF272" s="130"/>
      <c r="AG272" s="130"/>
      <c r="AH272" s="130"/>
      <c r="AI272" s="131"/>
      <c r="AJ272" s="132"/>
      <c r="AK272" s="127"/>
      <c r="AL272" s="127"/>
      <c r="AM272" s="21" t="s">
        <v>1150</v>
      </c>
      <c r="AN272" s="133"/>
      <c r="AO272" s="134"/>
      <c r="AP272" s="135"/>
      <c r="AQ272" s="136"/>
      <c r="AR272" s="118"/>
      <c r="AS272" s="119"/>
      <c r="AT272" s="180">
        <f>AR272*0.1</f>
        <v>0</v>
      </c>
      <c r="AU272" s="181"/>
      <c r="AV272" s="118"/>
      <c r="AW272" s="119"/>
      <c r="AX272" s="118">
        <f>SUM(AR272:AW272)</f>
        <v>0</v>
      </c>
      <c r="AY272" s="119"/>
      <c r="AZ272" s="200"/>
    </row>
    <row r="273" spans="1:52" ht="17.100000000000001" customHeight="1" thickBot="1">
      <c r="A273" s="110"/>
      <c r="B273" s="27" t="s">
        <v>250</v>
      </c>
      <c r="C273" s="27">
        <v>145</v>
      </c>
      <c r="D273" s="14" t="s">
        <v>326</v>
      </c>
      <c r="E273" s="112"/>
      <c r="F273" s="139" t="s">
        <v>1151</v>
      </c>
      <c r="G273" s="140"/>
      <c r="H273" s="141"/>
      <c r="I273" s="26">
        <v>5682</v>
      </c>
      <c r="J273" s="117"/>
      <c r="K273" s="120"/>
      <c r="L273" s="121"/>
      <c r="M273" s="120"/>
      <c r="N273" s="121"/>
      <c r="O273" s="120"/>
      <c r="P273" s="121"/>
      <c r="Q273" s="120"/>
      <c r="R273" s="121"/>
      <c r="S273" s="120"/>
      <c r="T273" s="121"/>
      <c r="U273" s="120"/>
      <c r="V273" s="182"/>
      <c r="W273" s="125"/>
      <c r="X273" s="143" t="s">
        <v>610</v>
      </c>
      <c r="Y273" s="143"/>
      <c r="Z273" s="143"/>
      <c r="AA273" s="143"/>
      <c r="AB273" s="144"/>
      <c r="AC273" s="16" t="s">
        <v>21</v>
      </c>
      <c r="AD273" s="17" t="s">
        <v>1152</v>
      </c>
      <c r="AE273" s="145" t="s">
        <v>1153</v>
      </c>
      <c r="AF273" s="146"/>
      <c r="AG273" s="146"/>
      <c r="AH273" s="146"/>
      <c r="AI273" s="147"/>
      <c r="AJ273" s="148"/>
      <c r="AK273" s="143"/>
      <c r="AL273" s="143"/>
      <c r="AM273" s="22" t="s">
        <v>1154</v>
      </c>
      <c r="AN273" s="149"/>
      <c r="AO273" s="144"/>
      <c r="AP273" s="148"/>
      <c r="AQ273" s="144"/>
      <c r="AR273" s="120"/>
      <c r="AS273" s="121"/>
      <c r="AT273" s="120"/>
      <c r="AU273" s="182"/>
      <c r="AV273" s="120"/>
      <c r="AW273" s="121"/>
      <c r="AX273" s="120"/>
      <c r="AY273" s="121"/>
      <c r="AZ273" s="201"/>
    </row>
    <row r="274" spans="1:52" ht="17.100000000000001" customHeight="1" thickTop="1">
      <c r="A274" s="109" t="s">
        <v>5874</v>
      </c>
      <c r="B274" s="28">
        <v>44146</v>
      </c>
      <c r="C274" s="29" t="s">
        <v>407</v>
      </c>
      <c r="D274" s="13" t="s">
        <v>1000</v>
      </c>
      <c r="E274" s="111"/>
      <c r="F274" s="283" t="s">
        <v>1155</v>
      </c>
      <c r="G274" s="273"/>
      <c r="H274" s="274"/>
      <c r="I274" s="24"/>
      <c r="J274" s="116">
        <v>4</v>
      </c>
      <c r="K274" s="118">
        <v>1700000</v>
      </c>
      <c r="L274" s="119"/>
      <c r="M274" s="118">
        <v>170000</v>
      </c>
      <c r="N274" s="119"/>
      <c r="O274" s="118">
        <v>0</v>
      </c>
      <c r="P274" s="119"/>
      <c r="Q274" s="118">
        <v>15570</v>
      </c>
      <c r="R274" s="119"/>
      <c r="S274" s="118">
        <v>15950</v>
      </c>
      <c r="T274" s="119"/>
      <c r="U274" s="118">
        <f>SUM(K274:T274)</f>
        <v>1901520</v>
      </c>
      <c r="V274" s="210"/>
      <c r="W274" s="124">
        <v>1300000</v>
      </c>
      <c r="X274" s="223" t="s">
        <v>1156</v>
      </c>
      <c r="Y274" s="223"/>
      <c r="Z274" s="223"/>
      <c r="AA274" s="223"/>
      <c r="AB274" s="224"/>
      <c r="AC274" s="15" t="s">
        <v>20</v>
      </c>
      <c r="AD274" s="129" t="s">
        <v>1157</v>
      </c>
      <c r="AE274" s="130"/>
      <c r="AF274" s="130"/>
      <c r="AG274" s="130"/>
      <c r="AH274" s="130"/>
      <c r="AI274" s="131"/>
      <c r="AJ274" s="132"/>
      <c r="AK274" s="127"/>
      <c r="AL274" s="127"/>
      <c r="AM274" s="21"/>
      <c r="AN274" s="133"/>
      <c r="AO274" s="134"/>
      <c r="AP274" s="135"/>
      <c r="AQ274" s="136"/>
      <c r="AR274" s="118"/>
      <c r="AS274" s="119"/>
      <c r="AT274" s="180">
        <f>AR274*0.1</f>
        <v>0</v>
      </c>
      <c r="AU274" s="181"/>
      <c r="AV274" s="118"/>
      <c r="AW274" s="119"/>
      <c r="AX274" s="118">
        <f>SUM(AR274:AW274)</f>
        <v>0</v>
      </c>
      <c r="AY274" s="119"/>
      <c r="AZ274" s="200"/>
    </row>
    <row r="275" spans="1:52" ht="17.100000000000001" customHeight="1" thickBot="1">
      <c r="A275" s="110"/>
      <c r="B275" s="27" t="s">
        <v>649</v>
      </c>
      <c r="C275" s="27">
        <v>33235</v>
      </c>
      <c r="D275" s="14" t="s">
        <v>291</v>
      </c>
      <c r="E275" s="112"/>
      <c r="F275" s="139" t="s">
        <v>1158</v>
      </c>
      <c r="G275" s="140"/>
      <c r="H275" s="141"/>
      <c r="I275" s="26">
        <v>50111</v>
      </c>
      <c r="J275" s="117"/>
      <c r="K275" s="120"/>
      <c r="L275" s="121"/>
      <c r="M275" s="120"/>
      <c r="N275" s="121"/>
      <c r="O275" s="120"/>
      <c r="P275" s="121"/>
      <c r="Q275" s="120"/>
      <c r="R275" s="121"/>
      <c r="S275" s="120"/>
      <c r="T275" s="121"/>
      <c r="U275" s="120"/>
      <c r="V275" s="182"/>
      <c r="W275" s="125"/>
      <c r="X275" s="143" t="s">
        <v>1159</v>
      </c>
      <c r="Y275" s="143"/>
      <c r="Z275" s="143"/>
      <c r="AA275" s="143"/>
      <c r="AB275" s="144"/>
      <c r="AC275" s="16" t="s">
        <v>21</v>
      </c>
      <c r="AD275" s="17" t="s">
        <v>1160</v>
      </c>
      <c r="AE275" s="145" t="s">
        <v>1161</v>
      </c>
      <c r="AF275" s="146"/>
      <c r="AG275" s="146"/>
      <c r="AH275" s="146"/>
      <c r="AI275" s="147"/>
      <c r="AJ275" s="148"/>
      <c r="AK275" s="143"/>
      <c r="AL275" s="143"/>
      <c r="AM275" s="22"/>
      <c r="AN275" s="149"/>
      <c r="AO275" s="144"/>
      <c r="AP275" s="148"/>
      <c r="AQ275" s="144"/>
      <c r="AR275" s="120"/>
      <c r="AS275" s="121"/>
      <c r="AT275" s="120"/>
      <c r="AU275" s="182"/>
      <c r="AV275" s="120"/>
      <c r="AW275" s="121"/>
      <c r="AX275" s="120"/>
      <c r="AY275" s="121"/>
      <c r="AZ275" s="201"/>
    </row>
    <row r="276" spans="1:52" ht="17.100000000000001" customHeight="1" thickTop="1">
      <c r="A276" s="109" t="s">
        <v>5875</v>
      </c>
      <c r="B276" s="28">
        <v>44146</v>
      </c>
      <c r="C276" s="29"/>
      <c r="D276" s="13" t="s">
        <v>359</v>
      </c>
      <c r="E276" s="111" t="s">
        <v>166</v>
      </c>
      <c r="F276" s="283" t="s">
        <v>1162</v>
      </c>
      <c r="G276" s="273"/>
      <c r="H276" s="274"/>
      <c r="I276" s="24" t="s">
        <v>1019</v>
      </c>
      <c r="J276" s="116">
        <v>4</v>
      </c>
      <c r="K276" s="118">
        <v>2504000</v>
      </c>
      <c r="L276" s="119"/>
      <c r="M276" s="118">
        <v>250400</v>
      </c>
      <c r="N276" s="119"/>
      <c r="O276" s="118">
        <v>11500</v>
      </c>
      <c r="P276" s="119"/>
      <c r="Q276" s="118">
        <v>11740</v>
      </c>
      <c r="R276" s="119"/>
      <c r="S276" s="118">
        <v>22000</v>
      </c>
      <c r="T276" s="119"/>
      <c r="U276" s="118">
        <f>SUM(K276:T276)</f>
        <v>2799640</v>
      </c>
      <c r="V276" s="210"/>
      <c r="W276" s="124">
        <v>2000000</v>
      </c>
      <c r="X276" s="223" t="s">
        <v>1163</v>
      </c>
      <c r="Y276" s="223"/>
      <c r="Z276" s="223"/>
      <c r="AA276" s="223"/>
      <c r="AB276" s="224"/>
      <c r="AC276" s="15" t="s">
        <v>20</v>
      </c>
      <c r="AD276" s="129" t="s">
        <v>764</v>
      </c>
      <c r="AE276" s="130"/>
      <c r="AF276" s="130"/>
      <c r="AG276" s="130"/>
      <c r="AH276" s="130"/>
      <c r="AI276" s="131"/>
      <c r="AJ276" s="132"/>
      <c r="AK276" s="127"/>
      <c r="AL276" s="127"/>
      <c r="AM276" s="21" t="s">
        <v>1164</v>
      </c>
      <c r="AN276" s="133"/>
      <c r="AO276" s="134"/>
      <c r="AP276" s="135"/>
      <c r="AQ276" s="136"/>
      <c r="AR276" s="118"/>
      <c r="AS276" s="119"/>
      <c r="AT276" s="180">
        <f>AR276*0.1</f>
        <v>0</v>
      </c>
      <c r="AU276" s="181"/>
      <c r="AV276" s="118"/>
      <c r="AW276" s="119"/>
      <c r="AX276" s="118">
        <f>SUM(AR276:AW276)</f>
        <v>0</v>
      </c>
      <c r="AY276" s="119"/>
      <c r="AZ276" s="200"/>
    </row>
    <row r="277" spans="1:52" ht="17.100000000000001" customHeight="1" thickBot="1">
      <c r="A277" s="110"/>
      <c r="B277" s="27" t="s">
        <v>1136</v>
      </c>
      <c r="C277" s="27">
        <v>35079</v>
      </c>
      <c r="D277" s="14" t="s">
        <v>206</v>
      </c>
      <c r="E277" s="112"/>
      <c r="F277" s="139" t="s">
        <v>1165</v>
      </c>
      <c r="G277" s="140"/>
      <c r="H277" s="141"/>
      <c r="I277" s="26">
        <v>23841</v>
      </c>
      <c r="J277" s="117"/>
      <c r="K277" s="120"/>
      <c r="L277" s="121"/>
      <c r="M277" s="120"/>
      <c r="N277" s="121"/>
      <c r="O277" s="120"/>
      <c r="P277" s="121"/>
      <c r="Q277" s="120"/>
      <c r="R277" s="121"/>
      <c r="S277" s="120"/>
      <c r="T277" s="121"/>
      <c r="U277" s="120"/>
      <c r="V277" s="182"/>
      <c r="W277" s="125"/>
      <c r="X277" s="143" t="s">
        <v>1166</v>
      </c>
      <c r="Y277" s="143"/>
      <c r="Z277" s="143"/>
      <c r="AA277" s="143"/>
      <c r="AB277" s="144"/>
      <c r="AC277" s="16" t="s">
        <v>21</v>
      </c>
      <c r="AD277" s="17" t="s">
        <v>1167</v>
      </c>
      <c r="AE277" s="145" t="s">
        <v>522</v>
      </c>
      <c r="AF277" s="146"/>
      <c r="AG277" s="146"/>
      <c r="AH277" s="146"/>
      <c r="AI277" s="147"/>
      <c r="AJ277" s="148"/>
      <c r="AK277" s="143"/>
      <c r="AL277" s="143"/>
      <c r="AM277" s="22" t="s">
        <v>1056</v>
      </c>
      <c r="AN277" s="149"/>
      <c r="AO277" s="144"/>
      <c r="AP277" s="148"/>
      <c r="AQ277" s="144"/>
      <c r="AR277" s="120"/>
      <c r="AS277" s="121"/>
      <c r="AT277" s="120"/>
      <c r="AU277" s="182"/>
      <c r="AV277" s="120"/>
      <c r="AW277" s="121"/>
      <c r="AX277" s="120"/>
      <c r="AY277" s="121"/>
      <c r="AZ277" s="201"/>
    </row>
    <row r="278" spans="1:52" ht="17.100000000000001" customHeight="1" thickTop="1">
      <c r="A278" s="109" t="s">
        <v>5876</v>
      </c>
      <c r="B278" s="28">
        <v>44147</v>
      </c>
      <c r="C278" s="29" t="s">
        <v>1168</v>
      </c>
      <c r="D278" s="13" t="s">
        <v>482</v>
      </c>
      <c r="E278" s="111"/>
      <c r="F278" s="283" t="s">
        <v>1169</v>
      </c>
      <c r="G278" s="273"/>
      <c r="H278" s="274"/>
      <c r="I278" s="24"/>
      <c r="J278" s="116">
        <v>4</v>
      </c>
      <c r="K278" s="118">
        <v>1690000</v>
      </c>
      <c r="L278" s="119"/>
      <c r="M278" s="118">
        <v>169000</v>
      </c>
      <c r="N278" s="119"/>
      <c r="O278" s="118">
        <v>0</v>
      </c>
      <c r="P278" s="119"/>
      <c r="Q278" s="118">
        <v>17700</v>
      </c>
      <c r="R278" s="119"/>
      <c r="S278" s="118">
        <v>13200</v>
      </c>
      <c r="T278" s="119"/>
      <c r="U278" s="118">
        <f>SUM(K278:T278)</f>
        <v>1889900</v>
      </c>
      <c r="V278" s="210"/>
      <c r="W278" s="124">
        <v>1200000</v>
      </c>
      <c r="X278" s="223" t="s">
        <v>1170</v>
      </c>
      <c r="Y278" s="223"/>
      <c r="Z278" s="223"/>
      <c r="AA278" s="223"/>
      <c r="AB278" s="224"/>
      <c r="AC278" s="15" t="s">
        <v>20</v>
      </c>
      <c r="AD278" s="129" t="s">
        <v>870</v>
      </c>
      <c r="AE278" s="130"/>
      <c r="AF278" s="130"/>
      <c r="AG278" s="130"/>
      <c r="AH278" s="130"/>
      <c r="AI278" s="131"/>
      <c r="AJ278" s="132"/>
      <c r="AK278" s="127"/>
      <c r="AL278" s="127"/>
      <c r="AM278" s="21"/>
      <c r="AN278" s="133"/>
      <c r="AO278" s="134"/>
      <c r="AP278" s="135"/>
      <c r="AQ278" s="136"/>
      <c r="AR278" s="118"/>
      <c r="AS278" s="119"/>
      <c r="AT278" s="180">
        <f>AR278*0.1</f>
        <v>0</v>
      </c>
      <c r="AU278" s="181"/>
      <c r="AV278" s="118"/>
      <c r="AW278" s="119"/>
      <c r="AX278" s="118">
        <f>SUM(AR278:AW278)</f>
        <v>0</v>
      </c>
      <c r="AY278" s="119"/>
      <c r="AZ278" s="200"/>
    </row>
    <row r="279" spans="1:52" ht="17.100000000000001" customHeight="1" thickBot="1">
      <c r="A279" s="110"/>
      <c r="B279" s="27" t="s">
        <v>148</v>
      </c>
      <c r="C279" s="27">
        <v>75432</v>
      </c>
      <c r="D279" s="14" t="s">
        <v>720</v>
      </c>
      <c r="E279" s="112"/>
      <c r="F279" s="139" t="s">
        <v>1171</v>
      </c>
      <c r="G279" s="140"/>
      <c r="H279" s="141"/>
      <c r="I279" s="26">
        <v>11941</v>
      </c>
      <c r="J279" s="117"/>
      <c r="K279" s="120"/>
      <c r="L279" s="121"/>
      <c r="M279" s="120"/>
      <c r="N279" s="121"/>
      <c r="O279" s="120"/>
      <c r="P279" s="121"/>
      <c r="Q279" s="120"/>
      <c r="R279" s="121"/>
      <c r="S279" s="120"/>
      <c r="T279" s="121"/>
      <c r="U279" s="120"/>
      <c r="V279" s="182"/>
      <c r="W279" s="125"/>
      <c r="X279" s="143" t="s">
        <v>1172</v>
      </c>
      <c r="Y279" s="143"/>
      <c r="Z279" s="143"/>
      <c r="AA279" s="143"/>
      <c r="AB279" s="144"/>
      <c r="AC279" s="16" t="s">
        <v>21</v>
      </c>
      <c r="AD279" s="17" t="s">
        <v>1167</v>
      </c>
      <c r="AE279" s="145" t="s">
        <v>586</v>
      </c>
      <c r="AF279" s="146"/>
      <c r="AG279" s="146"/>
      <c r="AH279" s="146"/>
      <c r="AI279" s="147"/>
      <c r="AJ279" s="148"/>
      <c r="AK279" s="143"/>
      <c r="AL279" s="143"/>
      <c r="AM279" s="22"/>
      <c r="AN279" s="149"/>
      <c r="AO279" s="144"/>
      <c r="AP279" s="148"/>
      <c r="AQ279" s="144"/>
      <c r="AR279" s="120"/>
      <c r="AS279" s="121"/>
      <c r="AT279" s="120"/>
      <c r="AU279" s="182"/>
      <c r="AV279" s="120"/>
      <c r="AW279" s="121"/>
      <c r="AX279" s="120"/>
      <c r="AY279" s="121"/>
      <c r="AZ279" s="201"/>
    </row>
    <row r="280" spans="1:52" ht="17.100000000000001" customHeight="1" thickTop="1">
      <c r="A280" s="109" t="s">
        <v>5877</v>
      </c>
      <c r="B280" s="28">
        <v>44147</v>
      </c>
      <c r="C280" s="29" t="s">
        <v>1168</v>
      </c>
      <c r="D280" s="13" t="s">
        <v>1173</v>
      </c>
      <c r="E280" s="111" t="s">
        <v>166</v>
      </c>
      <c r="F280" s="283" t="s">
        <v>1174</v>
      </c>
      <c r="G280" s="273"/>
      <c r="H280" s="274"/>
      <c r="I280" s="24" t="s">
        <v>1175</v>
      </c>
      <c r="J280" s="116">
        <v>4</v>
      </c>
      <c r="K280" s="118">
        <v>2345000</v>
      </c>
      <c r="L280" s="119"/>
      <c r="M280" s="118">
        <v>234500</v>
      </c>
      <c r="N280" s="119"/>
      <c r="O280" s="118">
        <v>13100</v>
      </c>
      <c r="P280" s="119"/>
      <c r="Q280" s="118">
        <v>22640</v>
      </c>
      <c r="R280" s="119"/>
      <c r="S280" s="118">
        <v>13200</v>
      </c>
      <c r="T280" s="119"/>
      <c r="U280" s="118">
        <f>SUM(K280:T280)</f>
        <v>2628440</v>
      </c>
      <c r="V280" s="210"/>
      <c r="W280" s="124">
        <v>2000000</v>
      </c>
      <c r="X280" s="223" t="s">
        <v>1176</v>
      </c>
      <c r="Y280" s="223"/>
      <c r="Z280" s="223"/>
      <c r="AA280" s="223"/>
      <c r="AB280" s="224"/>
      <c r="AC280" s="15" t="s">
        <v>20</v>
      </c>
      <c r="AD280" s="129" t="s">
        <v>870</v>
      </c>
      <c r="AE280" s="130"/>
      <c r="AF280" s="130"/>
      <c r="AG280" s="130"/>
      <c r="AH280" s="130"/>
      <c r="AI280" s="131"/>
      <c r="AJ280" s="132"/>
      <c r="AK280" s="127"/>
      <c r="AL280" s="127"/>
      <c r="AM280" s="21" t="s">
        <v>1177</v>
      </c>
      <c r="AN280" s="133"/>
      <c r="AO280" s="134"/>
      <c r="AP280" s="135"/>
      <c r="AQ280" s="136"/>
      <c r="AR280" s="118"/>
      <c r="AS280" s="119"/>
      <c r="AT280" s="180">
        <f>AR280*0.1</f>
        <v>0</v>
      </c>
      <c r="AU280" s="181"/>
      <c r="AV280" s="118"/>
      <c r="AW280" s="119"/>
      <c r="AX280" s="118">
        <f>SUM(AR280:AW280)</f>
        <v>0</v>
      </c>
      <c r="AY280" s="119"/>
      <c r="AZ280" s="200"/>
    </row>
    <row r="281" spans="1:52" ht="17.100000000000001" customHeight="1" thickBot="1">
      <c r="A281" s="110"/>
      <c r="B281" s="27" t="s">
        <v>148</v>
      </c>
      <c r="C281" s="27">
        <v>75632</v>
      </c>
      <c r="D281" s="14" t="s">
        <v>265</v>
      </c>
      <c r="E281" s="112"/>
      <c r="F281" s="139" t="s">
        <v>1178</v>
      </c>
      <c r="G281" s="140"/>
      <c r="H281" s="141"/>
      <c r="I281" s="26">
        <v>40126</v>
      </c>
      <c r="J281" s="117"/>
      <c r="K281" s="120"/>
      <c r="L281" s="121"/>
      <c r="M281" s="120"/>
      <c r="N281" s="121"/>
      <c r="O281" s="120"/>
      <c r="P281" s="121"/>
      <c r="Q281" s="120"/>
      <c r="R281" s="121"/>
      <c r="S281" s="120"/>
      <c r="T281" s="121"/>
      <c r="U281" s="120"/>
      <c r="V281" s="182"/>
      <c r="W281" s="125"/>
      <c r="X281" s="143" t="s">
        <v>1179</v>
      </c>
      <c r="Y281" s="143"/>
      <c r="Z281" s="143"/>
      <c r="AA281" s="143"/>
      <c r="AB281" s="144"/>
      <c r="AC281" s="16" t="s">
        <v>21</v>
      </c>
      <c r="AD281" s="17" t="s">
        <v>1167</v>
      </c>
      <c r="AE281" s="145" t="s">
        <v>1180</v>
      </c>
      <c r="AF281" s="146"/>
      <c r="AG281" s="146"/>
      <c r="AH281" s="146"/>
      <c r="AI281" s="147"/>
      <c r="AJ281" s="148"/>
      <c r="AK281" s="143"/>
      <c r="AL281" s="143"/>
      <c r="AM281" s="22" t="s">
        <v>108</v>
      </c>
      <c r="AN281" s="149"/>
      <c r="AO281" s="144"/>
      <c r="AP281" s="148"/>
      <c r="AQ281" s="144"/>
      <c r="AR281" s="120"/>
      <c r="AS281" s="121"/>
      <c r="AT281" s="120"/>
      <c r="AU281" s="182"/>
      <c r="AV281" s="120"/>
      <c r="AW281" s="121"/>
      <c r="AX281" s="120"/>
      <c r="AY281" s="121"/>
      <c r="AZ281" s="201"/>
    </row>
    <row r="282" spans="1:52" ht="17.100000000000001" customHeight="1" thickTop="1">
      <c r="A282" s="109" t="s">
        <v>5878</v>
      </c>
      <c r="B282" s="28">
        <v>44148</v>
      </c>
      <c r="C282" s="29" t="s">
        <v>1181</v>
      </c>
      <c r="D282" s="13" t="s">
        <v>909</v>
      </c>
      <c r="E282" s="111"/>
      <c r="F282" s="283" t="s">
        <v>1182</v>
      </c>
      <c r="G282" s="273"/>
      <c r="H282" s="274"/>
      <c r="I282" s="24"/>
      <c r="J282" s="116">
        <v>4.5</v>
      </c>
      <c r="K282" s="118">
        <v>1705000</v>
      </c>
      <c r="L282" s="119"/>
      <c r="M282" s="118">
        <v>170500</v>
      </c>
      <c r="N282" s="119"/>
      <c r="O282" s="118">
        <v>0</v>
      </c>
      <c r="P282" s="119"/>
      <c r="Q282" s="118">
        <v>18110</v>
      </c>
      <c r="R282" s="119"/>
      <c r="S282" s="118">
        <v>13200</v>
      </c>
      <c r="T282" s="119"/>
      <c r="U282" s="118">
        <f>SUM(K282:T282)</f>
        <v>1906810</v>
      </c>
      <c r="V282" s="210"/>
      <c r="W282" s="124">
        <v>1300000</v>
      </c>
      <c r="X282" s="223" t="s">
        <v>1183</v>
      </c>
      <c r="Y282" s="223"/>
      <c r="Z282" s="223"/>
      <c r="AA282" s="223"/>
      <c r="AB282" s="224"/>
      <c r="AC282" s="15" t="s">
        <v>20</v>
      </c>
      <c r="AD282" s="129" t="s">
        <v>1119</v>
      </c>
      <c r="AE282" s="130"/>
      <c r="AF282" s="130"/>
      <c r="AG282" s="130"/>
      <c r="AH282" s="130"/>
      <c r="AI282" s="131"/>
      <c r="AJ282" s="132"/>
      <c r="AK282" s="127"/>
      <c r="AL282" s="127"/>
      <c r="AM282" s="21"/>
      <c r="AN282" s="133"/>
      <c r="AO282" s="134"/>
      <c r="AP282" s="135"/>
      <c r="AQ282" s="136"/>
      <c r="AR282" s="118"/>
      <c r="AS282" s="119"/>
      <c r="AT282" s="180">
        <f>AR282*0.1</f>
        <v>0</v>
      </c>
      <c r="AU282" s="181"/>
      <c r="AV282" s="118"/>
      <c r="AW282" s="119"/>
      <c r="AX282" s="118">
        <f>SUM(AR282:AW282)</f>
        <v>0</v>
      </c>
      <c r="AY282" s="119"/>
      <c r="AZ282" s="200"/>
    </row>
    <row r="283" spans="1:52" ht="17.100000000000001" customHeight="1" thickBot="1">
      <c r="A283" s="110"/>
      <c r="B283" s="27" t="s">
        <v>1184</v>
      </c>
      <c r="C283" s="27">
        <v>80054</v>
      </c>
      <c r="D283" s="14" t="s">
        <v>447</v>
      </c>
      <c r="E283" s="112"/>
      <c r="F283" s="139" t="s">
        <v>1185</v>
      </c>
      <c r="G283" s="140"/>
      <c r="H283" s="141"/>
      <c r="I283" s="26">
        <v>14079</v>
      </c>
      <c r="J283" s="117"/>
      <c r="K283" s="120"/>
      <c r="L283" s="121"/>
      <c r="M283" s="120"/>
      <c r="N283" s="121"/>
      <c r="O283" s="120"/>
      <c r="P283" s="121"/>
      <c r="Q283" s="120"/>
      <c r="R283" s="121"/>
      <c r="S283" s="120"/>
      <c r="T283" s="121"/>
      <c r="U283" s="120"/>
      <c r="V283" s="182"/>
      <c r="W283" s="125"/>
      <c r="X283" s="143" t="s">
        <v>1186</v>
      </c>
      <c r="Y283" s="143"/>
      <c r="Z283" s="143"/>
      <c r="AA283" s="143"/>
      <c r="AB283" s="144"/>
      <c r="AC283" s="16" t="s">
        <v>21</v>
      </c>
      <c r="AD283" s="17" t="s">
        <v>1167</v>
      </c>
      <c r="AE283" s="145" t="s">
        <v>586</v>
      </c>
      <c r="AF283" s="146"/>
      <c r="AG283" s="146"/>
      <c r="AH283" s="146"/>
      <c r="AI283" s="147"/>
      <c r="AJ283" s="148"/>
      <c r="AK283" s="143"/>
      <c r="AL283" s="143"/>
      <c r="AM283" s="22"/>
      <c r="AN283" s="149"/>
      <c r="AO283" s="144"/>
      <c r="AP283" s="148"/>
      <c r="AQ283" s="144"/>
      <c r="AR283" s="120"/>
      <c r="AS283" s="121"/>
      <c r="AT283" s="120"/>
      <c r="AU283" s="182"/>
      <c r="AV283" s="120"/>
      <c r="AW283" s="121"/>
      <c r="AX283" s="120"/>
      <c r="AY283" s="121"/>
      <c r="AZ283" s="201"/>
    </row>
    <row r="284" spans="1:52" ht="17.100000000000001" customHeight="1" thickTop="1">
      <c r="A284" s="109" t="s">
        <v>5879</v>
      </c>
      <c r="B284" s="28">
        <v>44148</v>
      </c>
      <c r="C284" s="29" t="s">
        <v>1187</v>
      </c>
      <c r="D284" s="13" t="s">
        <v>1188</v>
      </c>
      <c r="E284" s="111"/>
      <c r="F284" s="283" t="s">
        <v>181</v>
      </c>
      <c r="G284" s="273"/>
      <c r="H284" s="274"/>
      <c r="I284" s="24" t="s">
        <v>1189</v>
      </c>
      <c r="J284" s="116">
        <v>4.5</v>
      </c>
      <c r="K284" s="118">
        <v>1788000</v>
      </c>
      <c r="L284" s="119"/>
      <c r="M284" s="118">
        <v>178800</v>
      </c>
      <c r="N284" s="119"/>
      <c r="O284" s="118">
        <v>13100</v>
      </c>
      <c r="P284" s="119"/>
      <c r="Q284" s="118">
        <v>17700</v>
      </c>
      <c r="R284" s="119"/>
      <c r="S284" s="118">
        <v>22000</v>
      </c>
      <c r="T284" s="119"/>
      <c r="U284" s="118">
        <f>SUM(K284:T284)</f>
        <v>2019600</v>
      </c>
      <c r="V284" s="210"/>
      <c r="W284" s="124">
        <v>1300000</v>
      </c>
      <c r="X284" s="223" t="s">
        <v>1190</v>
      </c>
      <c r="Y284" s="223"/>
      <c r="Z284" s="223"/>
      <c r="AA284" s="223"/>
      <c r="AB284" s="224"/>
      <c r="AC284" s="15" t="s">
        <v>20</v>
      </c>
      <c r="AD284" s="129" t="s">
        <v>1119</v>
      </c>
      <c r="AE284" s="130"/>
      <c r="AF284" s="130"/>
      <c r="AG284" s="130"/>
      <c r="AH284" s="130"/>
      <c r="AI284" s="131"/>
      <c r="AJ284" s="132"/>
      <c r="AK284" s="127"/>
      <c r="AL284" s="127"/>
      <c r="AM284" s="21" t="s">
        <v>1191</v>
      </c>
      <c r="AN284" s="133"/>
      <c r="AO284" s="134"/>
      <c r="AP284" s="135"/>
      <c r="AQ284" s="136"/>
      <c r="AR284" s="118"/>
      <c r="AS284" s="119"/>
      <c r="AT284" s="180">
        <f>AR284*0.1</f>
        <v>0</v>
      </c>
      <c r="AU284" s="181"/>
      <c r="AV284" s="118"/>
      <c r="AW284" s="119"/>
      <c r="AX284" s="118">
        <f>SUM(AR284:AW284)</f>
        <v>0</v>
      </c>
      <c r="AY284" s="119"/>
      <c r="AZ284" s="200"/>
    </row>
    <row r="285" spans="1:52" ht="17.100000000000001" customHeight="1" thickBot="1">
      <c r="A285" s="110"/>
      <c r="B285" s="27" t="s">
        <v>1192</v>
      </c>
      <c r="C285" s="27">
        <v>40046</v>
      </c>
      <c r="D285" s="14" t="s">
        <v>650</v>
      </c>
      <c r="E285" s="112"/>
      <c r="F285" s="139" t="s">
        <v>1193</v>
      </c>
      <c r="G285" s="140"/>
      <c r="H285" s="141"/>
      <c r="I285" s="26">
        <v>40515</v>
      </c>
      <c r="J285" s="117"/>
      <c r="K285" s="120"/>
      <c r="L285" s="121"/>
      <c r="M285" s="120"/>
      <c r="N285" s="121"/>
      <c r="O285" s="120"/>
      <c r="P285" s="121"/>
      <c r="Q285" s="120"/>
      <c r="R285" s="121"/>
      <c r="S285" s="120"/>
      <c r="T285" s="121"/>
      <c r="U285" s="120"/>
      <c r="V285" s="182"/>
      <c r="W285" s="125"/>
      <c r="X285" s="143" t="s">
        <v>1194</v>
      </c>
      <c r="Y285" s="143"/>
      <c r="Z285" s="143"/>
      <c r="AA285" s="143"/>
      <c r="AB285" s="144"/>
      <c r="AC285" s="16" t="s">
        <v>21</v>
      </c>
      <c r="AD285" s="17" t="s">
        <v>1167</v>
      </c>
      <c r="AE285" s="145" t="s">
        <v>1195</v>
      </c>
      <c r="AF285" s="146"/>
      <c r="AG285" s="146"/>
      <c r="AH285" s="146"/>
      <c r="AI285" s="147"/>
      <c r="AJ285" s="148" t="s">
        <v>1196</v>
      </c>
      <c r="AK285" s="143"/>
      <c r="AL285" s="143"/>
      <c r="AM285" s="22" t="s">
        <v>108</v>
      </c>
      <c r="AN285" s="149"/>
      <c r="AO285" s="144"/>
      <c r="AP285" s="148"/>
      <c r="AQ285" s="144"/>
      <c r="AR285" s="120"/>
      <c r="AS285" s="121"/>
      <c r="AT285" s="120"/>
      <c r="AU285" s="182"/>
      <c r="AV285" s="120"/>
      <c r="AW285" s="121"/>
      <c r="AX285" s="120"/>
      <c r="AY285" s="121"/>
      <c r="AZ285" s="201"/>
    </row>
    <row r="286" spans="1:52" ht="17.100000000000001" customHeight="1" thickTop="1">
      <c r="A286" s="109" t="s">
        <v>5880</v>
      </c>
      <c r="B286" s="28">
        <v>44148</v>
      </c>
      <c r="C286" s="29" t="s">
        <v>1203</v>
      </c>
      <c r="D286" s="13" t="s">
        <v>1204</v>
      </c>
      <c r="E286" s="111"/>
      <c r="F286" s="283" t="s">
        <v>1018</v>
      </c>
      <c r="G286" s="273"/>
      <c r="H286" s="274"/>
      <c r="I286" s="24" t="s">
        <v>1205</v>
      </c>
      <c r="J286" s="116">
        <v>4.5</v>
      </c>
      <c r="K286" s="118">
        <v>1555000</v>
      </c>
      <c r="L286" s="119"/>
      <c r="M286" s="118">
        <v>155500</v>
      </c>
      <c r="N286" s="119"/>
      <c r="O286" s="118">
        <v>13100</v>
      </c>
      <c r="P286" s="119"/>
      <c r="Q286" s="118">
        <v>14620</v>
      </c>
      <c r="R286" s="119"/>
      <c r="S286" s="118">
        <v>13200</v>
      </c>
      <c r="T286" s="119"/>
      <c r="U286" s="118">
        <f>SUM(K286:T286)</f>
        <v>1751420</v>
      </c>
      <c r="V286" s="210"/>
      <c r="W286" s="124">
        <v>1100000</v>
      </c>
      <c r="X286" s="223" t="s">
        <v>1206</v>
      </c>
      <c r="Y286" s="223"/>
      <c r="Z286" s="223"/>
      <c r="AA286" s="223"/>
      <c r="AB286" s="224"/>
      <c r="AC286" s="15" t="s">
        <v>20</v>
      </c>
      <c r="AD286" s="129" t="s">
        <v>786</v>
      </c>
      <c r="AE286" s="130"/>
      <c r="AF286" s="130"/>
      <c r="AG286" s="130"/>
      <c r="AH286" s="130"/>
      <c r="AI286" s="131"/>
      <c r="AJ286" s="132"/>
      <c r="AK286" s="127"/>
      <c r="AL286" s="127"/>
      <c r="AM286" s="21"/>
      <c r="AN286" s="133"/>
      <c r="AO286" s="134"/>
      <c r="AP286" s="135"/>
      <c r="AQ286" s="136"/>
      <c r="AR286" s="118"/>
      <c r="AS286" s="119"/>
      <c r="AT286" s="180">
        <f>AR286*0.1</f>
        <v>0</v>
      </c>
      <c r="AU286" s="181"/>
      <c r="AV286" s="118"/>
      <c r="AW286" s="119"/>
      <c r="AX286" s="118">
        <f>SUM(AR286:AW286)</f>
        <v>0</v>
      </c>
      <c r="AY286" s="119"/>
      <c r="AZ286" s="200"/>
    </row>
    <row r="287" spans="1:52" ht="17.100000000000001" customHeight="1" thickBot="1">
      <c r="A287" s="110"/>
      <c r="B287" s="27" t="s">
        <v>205</v>
      </c>
      <c r="C287" s="27">
        <v>58317</v>
      </c>
      <c r="D287" s="14" t="s">
        <v>1207</v>
      </c>
      <c r="E287" s="112"/>
      <c r="F287" s="139" t="s">
        <v>1208</v>
      </c>
      <c r="G287" s="140"/>
      <c r="H287" s="141"/>
      <c r="I287" s="26">
        <v>16820</v>
      </c>
      <c r="J287" s="117"/>
      <c r="K287" s="120"/>
      <c r="L287" s="121"/>
      <c r="M287" s="120"/>
      <c r="N287" s="121"/>
      <c r="O287" s="120"/>
      <c r="P287" s="121"/>
      <c r="Q287" s="120"/>
      <c r="R287" s="121"/>
      <c r="S287" s="120"/>
      <c r="T287" s="121"/>
      <c r="U287" s="120"/>
      <c r="V287" s="182"/>
      <c r="W287" s="125"/>
      <c r="X287" s="143" t="s">
        <v>1209</v>
      </c>
      <c r="Y287" s="143"/>
      <c r="Z287" s="143"/>
      <c r="AA287" s="143"/>
      <c r="AB287" s="144"/>
      <c r="AC287" s="16" t="s">
        <v>21</v>
      </c>
      <c r="AD287" s="17" t="s">
        <v>1167</v>
      </c>
      <c r="AE287" s="145" t="s">
        <v>1210</v>
      </c>
      <c r="AF287" s="146"/>
      <c r="AG287" s="146"/>
      <c r="AH287" s="146"/>
      <c r="AI287" s="147"/>
      <c r="AJ287" s="148"/>
      <c r="AK287" s="143"/>
      <c r="AL287" s="143"/>
      <c r="AM287" s="22"/>
      <c r="AN287" s="149"/>
      <c r="AO287" s="144"/>
      <c r="AP287" s="148"/>
      <c r="AQ287" s="144"/>
      <c r="AR287" s="120"/>
      <c r="AS287" s="121"/>
      <c r="AT287" s="120"/>
      <c r="AU287" s="182"/>
      <c r="AV287" s="120"/>
      <c r="AW287" s="121"/>
      <c r="AX287" s="120"/>
      <c r="AY287" s="121"/>
      <c r="AZ287" s="201"/>
    </row>
    <row r="288" spans="1:52" ht="17.100000000000001" customHeight="1" thickTop="1">
      <c r="A288" s="109" t="s">
        <v>5881</v>
      </c>
      <c r="B288" s="28">
        <v>44149</v>
      </c>
      <c r="C288" s="29" t="s">
        <v>1211</v>
      </c>
      <c r="D288" s="13" t="s">
        <v>501</v>
      </c>
      <c r="E288" s="111"/>
      <c r="F288" s="283" t="s">
        <v>1212</v>
      </c>
      <c r="G288" s="273"/>
      <c r="H288" s="274"/>
      <c r="I288" s="24" t="s">
        <v>1175</v>
      </c>
      <c r="J288" s="116">
        <v>4</v>
      </c>
      <c r="K288" s="118">
        <v>1410000</v>
      </c>
      <c r="L288" s="119"/>
      <c r="M288" s="118">
        <v>141000</v>
      </c>
      <c r="N288" s="119"/>
      <c r="O288" s="118">
        <v>13100</v>
      </c>
      <c r="P288" s="119"/>
      <c r="Q288" s="118">
        <v>19750</v>
      </c>
      <c r="R288" s="119"/>
      <c r="S288" s="118">
        <v>13200</v>
      </c>
      <c r="T288" s="119"/>
      <c r="U288" s="118">
        <f>SUM(K288:T288)</f>
        <v>1597050</v>
      </c>
      <c r="V288" s="210"/>
      <c r="W288" s="124">
        <v>900000</v>
      </c>
      <c r="X288" s="223" t="s">
        <v>1213</v>
      </c>
      <c r="Y288" s="223"/>
      <c r="Z288" s="223"/>
      <c r="AA288" s="223"/>
      <c r="AB288" s="224"/>
      <c r="AC288" s="15" t="s">
        <v>20</v>
      </c>
      <c r="AD288" s="129" t="s">
        <v>786</v>
      </c>
      <c r="AE288" s="130"/>
      <c r="AF288" s="130"/>
      <c r="AG288" s="130"/>
      <c r="AH288" s="130"/>
      <c r="AI288" s="131"/>
      <c r="AJ288" s="132"/>
      <c r="AK288" s="127"/>
      <c r="AL288" s="127"/>
      <c r="AM288" s="21" t="s">
        <v>1214</v>
      </c>
      <c r="AN288" s="133"/>
      <c r="AO288" s="134"/>
      <c r="AP288" s="135"/>
      <c r="AQ288" s="136"/>
      <c r="AR288" s="118"/>
      <c r="AS288" s="119"/>
      <c r="AT288" s="180">
        <f>AR288*0.1</f>
        <v>0</v>
      </c>
      <c r="AU288" s="181"/>
      <c r="AV288" s="118"/>
      <c r="AW288" s="119"/>
      <c r="AX288" s="118">
        <f>SUM(AR288:AW288)</f>
        <v>0</v>
      </c>
      <c r="AY288" s="119"/>
      <c r="AZ288" s="200"/>
    </row>
    <row r="289" spans="1:52" ht="17.100000000000001" customHeight="1" thickBot="1">
      <c r="A289" s="110"/>
      <c r="B289" s="27" t="s">
        <v>46</v>
      </c>
      <c r="C289" s="27">
        <v>82283</v>
      </c>
      <c r="D289" s="14" t="s">
        <v>221</v>
      </c>
      <c r="E289" s="112"/>
      <c r="F289" s="139" t="s">
        <v>1215</v>
      </c>
      <c r="G289" s="140"/>
      <c r="H289" s="141"/>
      <c r="I289" s="26">
        <v>41488</v>
      </c>
      <c r="J289" s="117"/>
      <c r="K289" s="120"/>
      <c r="L289" s="121"/>
      <c r="M289" s="120"/>
      <c r="N289" s="121"/>
      <c r="O289" s="120"/>
      <c r="P289" s="121"/>
      <c r="Q289" s="120"/>
      <c r="R289" s="121"/>
      <c r="S289" s="120"/>
      <c r="T289" s="121"/>
      <c r="U289" s="120"/>
      <c r="V289" s="182"/>
      <c r="W289" s="125"/>
      <c r="X289" s="143" t="s">
        <v>1216</v>
      </c>
      <c r="Y289" s="143"/>
      <c r="Z289" s="143"/>
      <c r="AA289" s="143"/>
      <c r="AB289" s="144"/>
      <c r="AC289" s="16" t="s">
        <v>21</v>
      </c>
      <c r="AD289" s="17" t="s">
        <v>1217</v>
      </c>
      <c r="AE289" s="145" t="s">
        <v>1218</v>
      </c>
      <c r="AF289" s="146"/>
      <c r="AG289" s="146"/>
      <c r="AH289" s="146"/>
      <c r="AI289" s="147"/>
      <c r="AJ289" s="148" t="s">
        <v>1219</v>
      </c>
      <c r="AK289" s="143"/>
      <c r="AL289" s="143"/>
      <c r="AM289" s="22" t="s">
        <v>108</v>
      </c>
      <c r="AN289" s="149"/>
      <c r="AO289" s="144"/>
      <c r="AP289" s="148"/>
      <c r="AQ289" s="144"/>
      <c r="AR289" s="120"/>
      <c r="AS289" s="121"/>
      <c r="AT289" s="120"/>
      <c r="AU289" s="182"/>
      <c r="AV289" s="120"/>
      <c r="AW289" s="121"/>
      <c r="AX289" s="120"/>
      <c r="AY289" s="121"/>
      <c r="AZ289" s="201"/>
    </row>
    <row r="290" spans="1:52" ht="17.100000000000001" customHeight="1" thickTop="1">
      <c r="A290" s="109" t="s">
        <v>5882</v>
      </c>
      <c r="B290" s="28">
        <v>44154</v>
      </c>
      <c r="C290" s="29" t="s">
        <v>1220</v>
      </c>
      <c r="D290" s="13" t="s">
        <v>1221</v>
      </c>
      <c r="E290" s="111"/>
      <c r="F290" s="283" t="s">
        <v>1222</v>
      </c>
      <c r="G290" s="273"/>
      <c r="H290" s="274"/>
      <c r="I290" s="24" t="s">
        <v>1128</v>
      </c>
      <c r="J290" s="116">
        <v>4</v>
      </c>
      <c r="K290" s="118">
        <v>2850000</v>
      </c>
      <c r="L290" s="119"/>
      <c r="M290" s="118">
        <v>285000</v>
      </c>
      <c r="N290" s="119"/>
      <c r="O290" s="118">
        <v>13100</v>
      </c>
      <c r="P290" s="119"/>
      <c r="Q290" s="118">
        <v>19540</v>
      </c>
      <c r="R290" s="119"/>
      <c r="S290" s="118">
        <v>13200</v>
      </c>
      <c r="T290" s="119"/>
      <c r="U290" s="118">
        <f>SUM(K290:T290)</f>
        <v>3180840</v>
      </c>
      <c r="V290" s="210"/>
      <c r="W290" s="124">
        <v>2500000</v>
      </c>
      <c r="X290" s="223" t="s">
        <v>1223</v>
      </c>
      <c r="Y290" s="223"/>
      <c r="Z290" s="223"/>
      <c r="AA290" s="223"/>
      <c r="AB290" s="224"/>
      <c r="AC290" s="15" t="s">
        <v>20</v>
      </c>
      <c r="AD290" s="129" t="s">
        <v>870</v>
      </c>
      <c r="AE290" s="130"/>
      <c r="AF290" s="130"/>
      <c r="AG290" s="130"/>
      <c r="AH290" s="130"/>
      <c r="AI290" s="131"/>
      <c r="AJ290" s="132"/>
      <c r="AK290" s="127"/>
      <c r="AL290" s="127"/>
      <c r="AM290" s="21" t="s">
        <v>1224</v>
      </c>
      <c r="AN290" s="133"/>
      <c r="AO290" s="134"/>
      <c r="AP290" s="135"/>
      <c r="AQ290" s="136"/>
      <c r="AR290" s="118"/>
      <c r="AS290" s="119"/>
      <c r="AT290" s="180">
        <f>AR290*0.1</f>
        <v>0</v>
      </c>
      <c r="AU290" s="181"/>
      <c r="AV290" s="118"/>
      <c r="AW290" s="119"/>
      <c r="AX290" s="118">
        <f>SUM(AR290:AW290)</f>
        <v>0</v>
      </c>
      <c r="AY290" s="119"/>
      <c r="AZ290" s="200"/>
    </row>
    <row r="291" spans="1:52" ht="17.100000000000001" customHeight="1" thickBot="1">
      <c r="A291" s="110"/>
      <c r="B291" s="27" t="s">
        <v>250</v>
      </c>
      <c r="C291" s="27">
        <v>7</v>
      </c>
      <c r="D291" s="14" t="s">
        <v>710</v>
      </c>
      <c r="E291" s="112"/>
      <c r="F291" s="139" t="s">
        <v>1225</v>
      </c>
      <c r="G291" s="140"/>
      <c r="H291" s="141"/>
      <c r="I291" s="26">
        <v>27191</v>
      </c>
      <c r="J291" s="117"/>
      <c r="K291" s="120"/>
      <c r="L291" s="121"/>
      <c r="M291" s="120"/>
      <c r="N291" s="121"/>
      <c r="O291" s="120"/>
      <c r="P291" s="121"/>
      <c r="Q291" s="120"/>
      <c r="R291" s="121"/>
      <c r="S291" s="120"/>
      <c r="T291" s="121"/>
      <c r="U291" s="120"/>
      <c r="V291" s="182"/>
      <c r="W291" s="125"/>
      <c r="X291" s="143" t="s">
        <v>1226</v>
      </c>
      <c r="Y291" s="143"/>
      <c r="Z291" s="143"/>
      <c r="AA291" s="143"/>
      <c r="AB291" s="144"/>
      <c r="AC291" s="16" t="s">
        <v>21</v>
      </c>
      <c r="AD291" s="17" t="s">
        <v>653</v>
      </c>
      <c r="AE291" s="145" t="s">
        <v>586</v>
      </c>
      <c r="AF291" s="146"/>
      <c r="AG291" s="146"/>
      <c r="AH291" s="146"/>
      <c r="AI291" s="147"/>
      <c r="AJ291" s="148"/>
      <c r="AK291" s="143"/>
      <c r="AL291" s="143"/>
      <c r="AM291" s="22" t="s">
        <v>108</v>
      </c>
      <c r="AN291" s="149"/>
      <c r="AO291" s="144"/>
      <c r="AP291" s="148"/>
      <c r="AQ291" s="144"/>
      <c r="AR291" s="120"/>
      <c r="AS291" s="121"/>
      <c r="AT291" s="120"/>
      <c r="AU291" s="182"/>
      <c r="AV291" s="120"/>
      <c r="AW291" s="121"/>
      <c r="AX291" s="120"/>
      <c r="AY291" s="121"/>
      <c r="AZ291" s="201"/>
    </row>
    <row r="292" spans="1:52" ht="17.100000000000001" customHeight="1" thickTop="1">
      <c r="A292" s="109" t="s">
        <v>5883</v>
      </c>
      <c r="B292" s="28">
        <v>44154</v>
      </c>
      <c r="C292" s="29" t="s">
        <v>1220</v>
      </c>
      <c r="D292" s="13" t="s">
        <v>920</v>
      </c>
      <c r="E292" s="111"/>
      <c r="F292" s="283" t="s">
        <v>280</v>
      </c>
      <c r="G292" s="273"/>
      <c r="H292" s="274"/>
      <c r="I292" s="24" t="s">
        <v>922</v>
      </c>
      <c r="J292" s="116">
        <v>4</v>
      </c>
      <c r="K292" s="118">
        <v>1275000</v>
      </c>
      <c r="L292" s="119"/>
      <c r="M292" s="118">
        <v>127500</v>
      </c>
      <c r="N292" s="119"/>
      <c r="O292" s="118">
        <v>11500</v>
      </c>
      <c r="P292" s="119"/>
      <c r="Q292" s="118">
        <v>18960</v>
      </c>
      <c r="R292" s="119"/>
      <c r="S292" s="118">
        <v>13200</v>
      </c>
      <c r="T292" s="119"/>
      <c r="U292" s="118">
        <f>SUM(K292:T292)</f>
        <v>1446160</v>
      </c>
      <c r="V292" s="210"/>
      <c r="W292" s="124">
        <v>1100000</v>
      </c>
      <c r="X292" s="223" t="s">
        <v>1227</v>
      </c>
      <c r="Y292" s="223"/>
      <c r="Z292" s="223"/>
      <c r="AA292" s="223"/>
      <c r="AB292" s="224"/>
      <c r="AC292" s="15" t="s">
        <v>20</v>
      </c>
      <c r="AD292" s="129" t="s">
        <v>522</v>
      </c>
      <c r="AE292" s="130"/>
      <c r="AF292" s="130"/>
      <c r="AG292" s="130"/>
      <c r="AH292" s="130"/>
      <c r="AI292" s="131"/>
      <c r="AJ292" s="132"/>
      <c r="AK292" s="127"/>
      <c r="AL292" s="127"/>
      <c r="AM292" s="21"/>
      <c r="AN292" s="133"/>
      <c r="AO292" s="134"/>
      <c r="AP292" s="135"/>
      <c r="AQ292" s="136"/>
      <c r="AR292" s="118"/>
      <c r="AS292" s="119"/>
      <c r="AT292" s="180">
        <f>AR292*0.1</f>
        <v>0</v>
      </c>
      <c r="AU292" s="181"/>
      <c r="AV292" s="118"/>
      <c r="AW292" s="119"/>
      <c r="AX292" s="118">
        <f>SUM(AR292:AW292)</f>
        <v>0</v>
      </c>
      <c r="AY292" s="119"/>
      <c r="AZ292" s="200"/>
    </row>
    <row r="293" spans="1:52" ht="17.100000000000001" customHeight="1" thickBot="1">
      <c r="A293" s="110"/>
      <c r="B293" s="27" t="s">
        <v>250</v>
      </c>
      <c r="C293" s="27">
        <v>374</v>
      </c>
      <c r="D293" s="14" t="s">
        <v>1228</v>
      </c>
      <c r="E293" s="112"/>
      <c r="F293" s="139" t="s">
        <v>1229</v>
      </c>
      <c r="G293" s="140"/>
      <c r="H293" s="141"/>
      <c r="I293" s="26">
        <v>30344</v>
      </c>
      <c r="J293" s="117"/>
      <c r="K293" s="120"/>
      <c r="L293" s="121"/>
      <c r="M293" s="120"/>
      <c r="N293" s="121"/>
      <c r="O293" s="120"/>
      <c r="P293" s="121"/>
      <c r="Q293" s="120"/>
      <c r="R293" s="121"/>
      <c r="S293" s="120"/>
      <c r="T293" s="121"/>
      <c r="U293" s="120"/>
      <c r="V293" s="182"/>
      <c r="W293" s="125"/>
      <c r="X293" s="143" t="s">
        <v>610</v>
      </c>
      <c r="Y293" s="143"/>
      <c r="Z293" s="143"/>
      <c r="AA293" s="143"/>
      <c r="AB293" s="144"/>
      <c r="AC293" s="16" t="s">
        <v>21</v>
      </c>
      <c r="AD293" s="17" t="s">
        <v>1230</v>
      </c>
      <c r="AE293" s="145" t="s">
        <v>489</v>
      </c>
      <c r="AF293" s="146"/>
      <c r="AG293" s="146"/>
      <c r="AH293" s="146"/>
      <c r="AI293" s="147"/>
      <c r="AJ293" s="148"/>
      <c r="AK293" s="143"/>
      <c r="AL293" s="143"/>
      <c r="AM293" s="22"/>
      <c r="AN293" s="149"/>
      <c r="AO293" s="144"/>
      <c r="AP293" s="148"/>
      <c r="AQ293" s="144"/>
      <c r="AR293" s="120"/>
      <c r="AS293" s="121"/>
      <c r="AT293" s="120"/>
      <c r="AU293" s="182"/>
      <c r="AV293" s="120"/>
      <c r="AW293" s="121"/>
      <c r="AX293" s="120"/>
      <c r="AY293" s="121"/>
      <c r="AZ293" s="201"/>
    </row>
    <row r="294" spans="1:52" ht="17.100000000000001" customHeight="1" thickTop="1">
      <c r="A294" s="109" t="s">
        <v>5884</v>
      </c>
      <c r="B294" s="28">
        <v>44154</v>
      </c>
      <c r="C294" s="29" t="s">
        <v>1220</v>
      </c>
      <c r="D294" s="13" t="s">
        <v>1231</v>
      </c>
      <c r="E294" s="111"/>
      <c r="F294" s="283" t="s">
        <v>1174</v>
      </c>
      <c r="G294" s="273"/>
      <c r="H294" s="274"/>
      <c r="I294" s="24"/>
      <c r="J294" s="116">
        <v>5</v>
      </c>
      <c r="K294" s="118">
        <v>2520000</v>
      </c>
      <c r="L294" s="119"/>
      <c r="M294" s="118">
        <v>252000</v>
      </c>
      <c r="N294" s="119"/>
      <c r="O294" s="118">
        <v>0</v>
      </c>
      <c r="P294" s="119"/>
      <c r="Q294" s="118">
        <v>22640</v>
      </c>
      <c r="R294" s="119"/>
      <c r="S294" s="118">
        <v>13200</v>
      </c>
      <c r="T294" s="119"/>
      <c r="U294" s="118">
        <f>SUM(K294:T294)</f>
        <v>2807840</v>
      </c>
      <c r="V294" s="210"/>
      <c r="W294" s="124">
        <v>2100000</v>
      </c>
      <c r="X294" s="223" t="s">
        <v>1232</v>
      </c>
      <c r="Y294" s="223"/>
      <c r="Z294" s="223"/>
      <c r="AA294" s="223"/>
      <c r="AB294" s="224"/>
      <c r="AC294" s="15" t="s">
        <v>20</v>
      </c>
      <c r="AD294" s="129" t="s">
        <v>870</v>
      </c>
      <c r="AE294" s="130"/>
      <c r="AF294" s="130"/>
      <c r="AG294" s="130"/>
      <c r="AH294" s="130"/>
      <c r="AI294" s="131"/>
      <c r="AJ294" s="132"/>
      <c r="AK294" s="127"/>
      <c r="AL294" s="127"/>
      <c r="AM294" s="21"/>
      <c r="AN294" s="133"/>
      <c r="AO294" s="134"/>
      <c r="AP294" s="135"/>
      <c r="AQ294" s="136"/>
      <c r="AR294" s="118"/>
      <c r="AS294" s="119"/>
      <c r="AT294" s="180">
        <f>AR294*0.1</f>
        <v>0</v>
      </c>
      <c r="AU294" s="181"/>
      <c r="AV294" s="118"/>
      <c r="AW294" s="119"/>
      <c r="AX294" s="118">
        <f>SUM(AR294:AW294)</f>
        <v>0</v>
      </c>
      <c r="AY294" s="119"/>
      <c r="AZ294" s="200"/>
    </row>
    <row r="295" spans="1:52" ht="17.100000000000001" customHeight="1" thickBot="1">
      <c r="A295" s="110"/>
      <c r="B295" s="27" t="s">
        <v>250</v>
      </c>
      <c r="C295" s="27">
        <v>581</v>
      </c>
      <c r="D295" s="14" t="s">
        <v>765</v>
      </c>
      <c r="E295" s="112"/>
      <c r="F295" s="139" t="s">
        <v>1233</v>
      </c>
      <c r="G295" s="140"/>
      <c r="H295" s="141"/>
      <c r="I295" s="26">
        <v>26534</v>
      </c>
      <c r="J295" s="117"/>
      <c r="K295" s="120"/>
      <c r="L295" s="121"/>
      <c r="M295" s="120"/>
      <c r="N295" s="121"/>
      <c r="O295" s="120"/>
      <c r="P295" s="121"/>
      <c r="Q295" s="120"/>
      <c r="R295" s="121"/>
      <c r="S295" s="120"/>
      <c r="T295" s="121"/>
      <c r="U295" s="120"/>
      <c r="V295" s="182"/>
      <c r="W295" s="125"/>
      <c r="X295" s="143" t="s">
        <v>946</v>
      </c>
      <c r="Y295" s="143"/>
      <c r="Z295" s="143"/>
      <c r="AA295" s="143"/>
      <c r="AB295" s="144"/>
      <c r="AC295" s="16" t="s">
        <v>21</v>
      </c>
      <c r="AD295" s="17" t="s">
        <v>1230</v>
      </c>
      <c r="AE295" s="145" t="s">
        <v>1234</v>
      </c>
      <c r="AF295" s="146"/>
      <c r="AG295" s="146"/>
      <c r="AH295" s="146"/>
      <c r="AI295" s="147"/>
      <c r="AJ295" s="148" t="s">
        <v>1219</v>
      </c>
      <c r="AK295" s="143"/>
      <c r="AL295" s="143"/>
      <c r="AM295" s="22"/>
      <c r="AN295" s="149"/>
      <c r="AO295" s="144"/>
      <c r="AP295" s="148"/>
      <c r="AQ295" s="144"/>
      <c r="AR295" s="120"/>
      <c r="AS295" s="121"/>
      <c r="AT295" s="120"/>
      <c r="AU295" s="182"/>
      <c r="AV295" s="120"/>
      <c r="AW295" s="121"/>
      <c r="AX295" s="120"/>
      <c r="AY295" s="121"/>
      <c r="AZ295" s="201"/>
    </row>
    <row r="296" spans="1:52" ht="17.100000000000001" customHeight="1" thickTop="1">
      <c r="A296" s="109" t="s">
        <v>5885</v>
      </c>
      <c r="B296" s="28">
        <v>44168</v>
      </c>
      <c r="C296" s="29" t="s">
        <v>1235</v>
      </c>
      <c r="D296" s="13" t="s">
        <v>909</v>
      </c>
      <c r="E296" s="111"/>
      <c r="F296" s="283" t="s">
        <v>1236</v>
      </c>
      <c r="G296" s="273"/>
      <c r="H296" s="274"/>
      <c r="I296" s="24"/>
      <c r="J296" s="116">
        <v>4</v>
      </c>
      <c r="K296" s="118">
        <v>1520000</v>
      </c>
      <c r="L296" s="119"/>
      <c r="M296" s="118">
        <v>152000</v>
      </c>
      <c r="N296" s="119"/>
      <c r="O296" s="118">
        <v>0</v>
      </c>
      <c r="P296" s="119"/>
      <c r="Q296" s="118">
        <v>18960</v>
      </c>
      <c r="R296" s="119"/>
      <c r="S296" s="118">
        <v>13200</v>
      </c>
      <c r="T296" s="119"/>
      <c r="U296" s="118">
        <f>SUM(K296:T296)</f>
        <v>1704160</v>
      </c>
      <c r="V296" s="210"/>
      <c r="W296" s="124">
        <v>1300000</v>
      </c>
      <c r="X296" s="223" t="s">
        <v>1237</v>
      </c>
      <c r="Y296" s="223"/>
      <c r="Z296" s="223"/>
      <c r="AA296" s="223"/>
      <c r="AB296" s="224"/>
      <c r="AC296" s="15" t="s">
        <v>20</v>
      </c>
      <c r="AD296" s="129" t="s">
        <v>522</v>
      </c>
      <c r="AE296" s="130"/>
      <c r="AF296" s="130"/>
      <c r="AG296" s="130"/>
      <c r="AH296" s="130"/>
      <c r="AI296" s="131"/>
      <c r="AJ296" s="132"/>
      <c r="AK296" s="127"/>
      <c r="AL296" s="127"/>
      <c r="AM296" s="21"/>
      <c r="AN296" s="133"/>
      <c r="AO296" s="134"/>
      <c r="AP296" s="135"/>
      <c r="AQ296" s="136"/>
      <c r="AR296" s="118"/>
      <c r="AS296" s="119"/>
      <c r="AT296" s="180">
        <f>AR296*0.1</f>
        <v>0</v>
      </c>
      <c r="AU296" s="181"/>
      <c r="AV296" s="118"/>
      <c r="AW296" s="119"/>
      <c r="AX296" s="118">
        <f>SUM(AR296:AW296)</f>
        <v>0</v>
      </c>
      <c r="AY296" s="119"/>
      <c r="AZ296" s="200"/>
    </row>
    <row r="297" spans="1:52" ht="17.100000000000001" customHeight="1" thickBot="1">
      <c r="A297" s="110"/>
      <c r="B297" s="27" t="s">
        <v>250</v>
      </c>
      <c r="C297" s="27">
        <v>365</v>
      </c>
      <c r="D297" s="14" t="s">
        <v>1238</v>
      </c>
      <c r="E297" s="112"/>
      <c r="F297" s="139" t="s">
        <v>1239</v>
      </c>
      <c r="G297" s="140"/>
      <c r="H297" s="141"/>
      <c r="I297" s="26">
        <v>56438</v>
      </c>
      <c r="J297" s="117"/>
      <c r="K297" s="120"/>
      <c r="L297" s="121"/>
      <c r="M297" s="120"/>
      <c r="N297" s="121"/>
      <c r="O297" s="120"/>
      <c r="P297" s="121"/>
      <c r="Q297" s="120"/>
      <c r="R297" s="121"/>
      <c r="S297" s="120"/>
      <c r="T297" s="121"/>
      <c r="U297" s="120"/>
      <c r="V297" s="182"/>
      <c r="W297" s="125"/>
      <c r="X297" s="143" t="s">
        <v>610</v>
      </c>
      <c r="Y297" s="143"/>
      <c r="Z297" s="143"/>
      <c r="AA297" s="143"/>
      <c r="AB297" s="144"/>
      <c r="AC297" s="16" t="s">
        <v>21</v>
      </c>
      <c r="AD297" s="17" t="s">
        <v>1240</v>
      </c>
      <c r="AE297" s="145"/>
      <c r="AF297" s="146"/>
      <c r="AG297" s="146"/>
      <c r="AH297" s="146"/>
      <c r="AI297" s="147"/>
      <c r="AJ297" s="148"/>
      <c r="AK297" s="143"/>
      <c r="AL297" s="143"/>
      <c r="AM297" s="22"/>
      <c r="AN297" s="149"/>
      <c r="AO297" s="144"/>
      <c r="AP297" s="148"/>
      <c r="AQ297" s="144"/>
      <c r="AR297" s="120"/>
      <c r="AS297" s="121"/>
      <c r="AT297" s="120"/>
      <c r="AU297" s="182"/>
      <c r="AV297" s="120"/>
      <c r="AW297" s="121"/>
      <c r="AX297" s="120"/>
      <c r="AY297" s="121"/>
      <c r="AZ297" s="201"/>
    </row>
    <row r="298" spans="1:52" ht="17.100000000000001" customHeight="1" thickTop="1">
      <c r="A298" s="109" t="s">
        <v>5886</v>
      </c>
      <c r="B298" s="28">
        <v>44175</v>
      </c>
      <c r="C298" s="29" t="s">
        <v>1241</v>
      </c>
      <c r="D298" s="13" t="s">
        <v>271</v>
      </c>
      <c r="E298" s="111"/>
      <c r="F298" s="283" t="s">
        <v>1242</v>
      </c>
      <c r="G298" s="273"/>
      <c r="H298" s="274"/>
      <c r="I298" s="24" t="s">
        <v>1243</v>
      </c>
      <c r="J298" s="116">
        <v>4</v>
      </c>
      <c r="K298" s="118">
        <v>2658000</v>
      </c>
      <c r="L298" s="119"/>
      <c r="M298" s="118">
        <v>265800</v>
      </c>
      <c r="N298" s="119"/>
      <c r="O298" s="118">
        <v>9800</v>
      </c>
      <c r="P298" s="119"/>
      <c r="Q298" s="118">
        <v>17990</v>
      </c>
      <c r="R298" s="119"/>
      <c r="S298" s="118">
        <v>19800</v>
      </c>
      <c r="T298" s="119"/>
      <c r="U298" s="118">
        <f>SUM(K298:T298)</f>
        <v>2971390</v>
      </c>
      <c r="V298" s="210"/>
      <c r="W298" s="124">
        <v>1700000</v>
      </c>
      <c r="X298" s="223" t="s">
        <v>1244</v>
      </c>
      <c r="Y298" s="223"/>
      <c r="Z298" s="223"/>
      <c r="AA298" s="223"/>
      <c r="AB298" s="224"/>
      <c r="AC298" s="15" t="s">
        <v>20</v>
      </c>
      <c r="AD298" s="129" t="s">
        <v>764</v>
      </c>
      <c r="AE298" s="130"/>
      <c r="AF298" s="130"/>
      <c r="AG298" s="130"/>
      <c r="AH298" s="130"/>
      <c r="AI298" s="131"/>
      <c r="AJ298" s="132"/>
      <c r="AK298" s="127"/>
      <c r="AL298" s="127"/>
      <c r="AM298" s="21"/>
      <c r="AN298" s="133"/>
      <c r="AO298" s="134"/>
      <c r="AP298" s="135"/>
      <c r="AQ298" s="136"/>
      <c r="AR298" s="118"/>
      <c r="AS298" s="119"/>
      <c r="AT298" s="180">
        <f>AR298*0.1</f>
        <v>0</v>
      </c>
      <c r="AU298" s="181"/>
      <c r="AV298" s="118"/>
      <c r="AW298" s="119"/>
      <c r="AX298" s="118">
        <f>SUM(AR298:AW298)</f>
        <v>0</v>
      </c>
      <c r="AY298" s="119"/>
      <c r="AZ298" s="200"/>
    </row>
    <row r="299" spans="1:52" ht="17.100000000000001" customHeight="1" thickBot="1">
      <c r="A299" s="110"/>
      <c r="B299" s="27" t="s">
        <v>1245</v>
      </c>
      <c r="C299" s="27">
        <v>10076</v>
      </c>
      <c r="D299" s="14" t="s">
        <v>66</v>
      </c>
      <c r="E299" s="112"/>
      <c r="F299" s="139" t="s">
        <v>1246</v>
      </c>
      <c r="G299" s="140"/>
      <c r="H299" s="141"/>
      <c r="I299" s="26">
        <v>48403</v>
      </c>
      <c r="J299" s="117"/>
      <c r="K299" s="120"/>
      <c r="L299" s="121"/>
      <c r="M299" s="120"/>
      <c r="N299" s="121"/>
      <c r="O299" s="120"/>
      <c r="P299" s="121"/>
      <c r="Q299" s="120"/>
      <c r="R299" s="121"/>
      <c r="S299" s="120"/>
      <c r="T299" s="121"/>
      <c r="U299" s="120"/>
      <c r="V299" s="182"/>
      <c r="W299" s="125"/>
      <c r="X299" s="143" t="s">
        <v>1247</v>
      </c>
      <c r="Y299" s="143"/>
      <c r="Z299" s="143"/>
      <c r="AA299" s="143"/>
      <c r="AB299" s="144"/>
      <c r="AC299" s="16" t="s">
        <v>21</v>
      </c>
      <c r="AD299" s="17" t="s">
        <v>1248</v>
      </c>
      <c r="AE299" s="145" t="s">
        <v>489</v>
      </c>
      <c r="AF299" s="146"/>
      <c r="AG299" s="146"/>
      <c r="AH299" s="146"/>
      <c r="AI299" s="147"/>
      <c r="AJ299" s="148"/>
      <c r="AK299" s="143"/>
      <c r="AL299" s="143"/>
      <c r="AM299" s="22" t="s">
        <v>907</v>
      </c>
      <c r="AN299" s="149"/>
      <c r="AO299" s="144"/>
      <c r="AP299" s="148"/>
      <c r="AQ299" s="144"/>
      <c r="AR299" s="120"/>
      <c r="AS299" s="121"/>
      <c r="AT299" s="120"/>
      <c r="AU299" s="182"/>
      <c r="AV299" s="120"/>
      <c r="AW299" s="121"/>
      <c r="AX299" s="120"/>
      <c r="AY299" s="121"/>
      <c r="AZ299" s="201"/>
    </row>
    <row r="300" spans="1:52" ht="17.100000000000001" customHeight="1" thickTop="1">
      <c r="A300" s="109" t="s">
        <v>5887</v>
      </c>
      <c r="B300" s="28">
        <v>44182</v>
      </c>
      <c r="C300" s="29" t="s">
        <v>1249</v>
      </c>
      <c r="D300" s="13" t="s">
        <v>1250</v>
      </c>
      <c r="E300" s="111"/>
      <c r="F300" s="283" t="s">
        <v>1251</v>
      </c>
      <c r="G300" s="273"/>
      <c r="H300" s="274"/>
      <c r="I300" s="24" t="s">
        <v>1109</v>
      </c>
      <c r="J300" s="116">
        <v>4</v>
      </c>
      <c r="K300" s="118">
        <v>3600000</v>
      </c>
      <c r="L300" s="119"/>
      <c r="M300" s="118">
        <v>360000</v>
      </c>
      <c r="N300" s="119"/>
      <c r="O300" s="118">
        <v>19100</v>
      </c>
      <c r="P300" s="119"/>
      <c r="Q300" s="118">
        <v>23320</v>
      </c>
      <c r="R300" s="119"/>
      <c r="S300" s="118">
        <v>13200</v>
      </c>
      <c r="T300" s="119"/>
      <c r="U300" s="118">
        <f>SUM(K300:T300)</f>
        <v>4015620</v>
      </c>
      <c r="V300" s="210"/>
      <c r="W300" s="124">
        <v>3100000</v>
      </c>
      <c r="X300" s="223" t="s">
        <v>1252</v>
      </c>
      <c r="Y300" s="223"/>
      <c r="Z300" s="223"/>
      <c r="AA300" s="223"/>
      <c r="AB300" s="224"/>
      <c r="AC300" s="15" t="s">
        <v>20</v>
      </c>
      <c r="AD300" s="129" t="s">
        <v>870</v>
      </c>
      <c r="AE300" s="130"/>
      <c r="AF300" s="130"/>
      <c r="AG300" s="130"/>
      <c r="AH300" s="130"/>
      <c r="AI300" s="131"/>
      <c r="AJ300" s="132"/>
      <c r="AK300" s="127"/>
      <c r="AL300" s="127"/>
      <c r="AM300" s="21"/>
      <c r="AN300" s="133"/>
      <c r="AO300" s="134"/>
      <c r="AP300" s="135"/>
      <c r="AQ300" s="136"/>
      <c r="AR300" s="118"/>
      <c r="AS300" s="119"/>
      <c r="AT300" s="180">
        <f>AR300*0.1</f>
        <v>0</v>
      </c>
      <c r="AU300" s="181"/>
      <c r="AV300" s="118"/>
      <c r="AW300" s="119"/>
      <c r="AX300" s="118">
        <f>SUM(AR300:AW300)</f>
        <v>0</v>
      </c>
      <c r="AY300" s="119"/>
      <c r="AZ300" s="200"/>
    </row>
    <row r="301" spans="1:52" ht="17.100000000000001" customHeight="1" thickBot="1">
      <c r="A301" s="110"/>
      <c r="B301" s="27" t="s">
        <v>250</v>
      </c>
      <c r="C301" s="27">
        <v>197</v>
      </c>
      <c r="D301" s="14" t="s">
        <v>1253</v>
      </c>
      <c r="E301" s="112"/>
      <c r="F301" s="139" t="s">
        <v>1254</v>
      </c>
      <c r="G301" s="140"/>
      <c r="H301" s="141"/>
      <c r="I301" s="26">
        <v>38279</v>
      </c>
      <c r="J301" s="117"/>
      <c r="K301" s="120"/>
      <c r="L301" s="121"/>
      <c r="M301" s="120"/>
      <c r="N301" s="121"/>
      <c r="O301" s="120"/>
      <c r="P301" s="121"/>
      <c r="Q301" s="120"/>
      <c r="R301" s="121"/>
      <c r="S301" s="120"/>
      <c r="T301" s="121"/>
      <c r="U301" s="120"/>
      <c r="V301" s="182"/>
      <c r="W301" s="125"/>
      <c r="X301" s="143" t="s">
        <v>1255</v>
      </c>
      <c r="Y301" s="143"/>
      <c r="Z301" s="143"/>
      <c r="AA301" s="143"/>
      <c r="AB301" s="144"/>
      <c r="AC301" s="16" t="s">
        <v>21</v>
      </c>
      <c r="AD301" s="17" t="s">
        <v>1256</v>
      </c>
      <c r="AE301" s="145" t="s">
        <v>586</v>
      </c>
      <c r="AF301" s="146"/>
      <c r="AG301" s="146"/>
      <c r="AH301" s="146"/>
      <c r="AI301" s="147"/>
      <c r="AJ301" s="148"/>
      <c r="AK301" s="143"/>
      <c r="AL301" s="143"/>
      <c r="AM301" s="22" t="s">
        <v>907</v>
      </c>
      <c r="AN301" s="149"/>
      <c r="AO301" s="144"/>
      <c r="AP301" s="148"/>
      <c r="AQ301" s="144"/>
      <c r="AR301" s="120"/>
      <c r="AS301" s="121"/>
      <c r="AT301" s="120"/>
      <c r="AU301" s="182"/>
      <c r="AV301" s="120"/>
      <c r="AW301" s="121"/>
      <c r="AX301" s="120"/>
      <c r="AY301" s="121"/>
      <c r="AZ301" s="201"/>
    </row>
    <row r="302" spans="1:52" ht="17.100000000000001" customHeight="1" thickTop="1">
      <c r="A302" s="109" t="s">
        <v>5888</v>
      </c>
      <c r="B302" s="28">
        <v>44183</v>
      </c>
      <c r="C302" s="29" t="s">
        <v>1257</v>
      </c>
      <c r="D302" s="13" t="s">
        <v>1258</v>
      </c>
      <c r="E302" s="111"/>
      <c r="F302" s="283" t="s">
        <v>1259</v>
      </c>
      <c r="G302" s="273"/>
      <c r="H302" s="274"/>
      <c r="I302" s="24" t="s">
        <v>1260</v>
      </c>
      <c r="J302" s="116">
        <v>5</v>
      </c>
      <c r="K302" s="118">
        <v>2235000</v>
      </c>
      <c r="L302" s="119"/>
      <c r="M302" s="118">
        <v>223500</v>
      </c>
      <c r="N302" s="119"/>
      <c r="O302" s="118">
        <v>12700</v>
      </c>
      <c r="P302" s="119"/>
      <c r="Q302" s="118">
        <v>18110</v>
      </c>
      <c r="R302" s="119"/>
      <c r="S302" s="118">
        <v>13200</v>
      </c>
      <c r="T302" s="119"/>
      <c r="U302" s="118">
        <f>SUM(K302:T302)</f>
        <v>2502510</v>
      </c>
      <c r="V302" s="210"/>
      <c r="W302" s="124">
        <v>1800000</v>
      </c>
      <c r="X302" s="223" t="s">
        <v>1261</v>
      </c>
      <c r="Y302" s="223"/>
      <c r="Z302" s="223"/>
      <c r="AA302" s="223"/>
      <c r="AB302" s="224"/>
      <c r="AC302" s="15" t="s">
        <v>20</v>
      </c>
      <c r="AD302" s="129" t="s">
        <v>1021</v>
      </c>
      <c r="AE302" s="130"/>
      <c r="AF302" s="130"/>
      <c r="AG302" s="130"/>
      <c r="AH302" s="130"/>
      <c r="AI302" s="131"/>
      <c r="AJ302" s="132"/>
      <c r="AK302" s="127"/>
      <c r="AL302" s="127"/>
      <c r="AM302" s="21"/>
      <c r="AN302" s="133"/>
      <c r="AO302" s="134"/>
      <c r="AP302" s="135"/>
      <c r="AQ302" s="136"/>
      <c r="AR302" s="118"/>
      <c r="AS302" s="119"/>
      <c r="AT302" s="180">
        <f>AR302*0.1</f>
        <v>0</v>
      </c>
      <c r="AU302" s="181"/>
      <c r="AV302" s="118"/>
      <c r="AW302" s="119"/>
      <c r="AX302" s="118">
        <f>SUM(AR302:AW302)</f>
        <v>0</v>
      </c>
      <c r="AY302" s="119"/>
      <c r="AZ302" s="200"/>
    </row>
    <row r="303" spans="1:52" ht="17.100000000000001" customHeight="1" thickBot="1">
      <c r="A303" s="110"/>
      <c r="B303" s="27" t="s">
        <v>205</v>
      </c>
      <c r="C303" s="27">
        <v>58182</v>
      </c>
      <c r="D303" s="14" t="s">
        <v>1262</v>
      </c>
      <c r="E303" s="112"/>
      <c r="F303" s="139" t="s">
        <v>1263</v>
      </c>
      <c r="G303" s="140"/>
      <c r="H303" s="141"/>
      <c r="I303" s="26">
        <v>47800</v>
      </c>
      <c r="J303" s="117"/>
      <c r="K303" s="120"/>
      <c r="L303" s="121"/>
      <c r="M303" s="120"/>
      <c r="N303" s="121"/>
      <c r="O303" s="120"/>
      <c r="P303" s="121"/>
      <c r="Q303" s="120"/>
      <c r="R303" s="121"/>
      <c r="S303" s="120"/>
      <c r="T303" s="121"/>
      <c r="U303" s="120"/>
      <c r="V303" s="182"/>
      <c r="W303" s="125"/>
      <c r="X303" s="143" t="s">
        <v>1264</v>
      </c>
      <c r="Y303" s="143"/>
      <c r="Z303" s="143"/>
      <c r="AA303" s="143"/>
      <c r="AB303" s="144"/>
      <c r="AC303" s="16" t="s">
        <v>21</v>
      </c>
      <c r="AD303" s="17" t="s">
        <v>1265</v>
      </c>
      <c r="AE303" s="145" t="s">
        <v>1266</v>
      </c>
      <c r="AF303" s="146"/>
      <c r="AG303" s="146"/>
      <c r="AH303" s="146"/>
      <c r="AI303" s="147"/>
      <c r="AJ303" s="148"/>
      <c r="AK303" s="143"/>
      <c r="AL303" s="143"/>
      <c r="AM303" s="22" t="s">
        <v>928</v>
      </c>
      <c r="AN303" s="149"/>
      <c r="AO303" s="144"/>
      <c r="AP303" s="148"/>
      <c r="AQ303" s="144"/>
      <c r="AR303" s="120"/>
      <c r="AS303" s="121"/>
      <c r="AT303" s="120"/>
      <c r="AU303" s="182"/>
      <c r="AV303" s="120"/>
      <c r="AW303" s="121"/>
      <c r="AX303" s="120"/>
      <c r="AY303" s="121"/>
      <c r="AZ303" s="201"/>
    </row>
    <row r="304" spans="1:52" ht="17.100000000000001" customHeight="1" thickTop="1">
      <c r="A304" s="109" t="s">
        <v>5889</v>
      </c>
      <c r="B304" s="28">
        <v>44190</v>
      </c>
      <c r="C304" s="29"/>
      <c r="D304" s="13" t="s">
        <v>1267</v>
      </c>
      <c r="E304" s="111"/>
      <c r="F304" s="283" t="s">
        <v>1268</v>
      </c>
      <c r="G304" s="273"/>
      <c r="H304" s="274"/>
      <c r="I304" s="24" t="s">
        <v>1269</v>
      </c>
      <c r="J304" s="116" t="s">
        <v>658</v>
      </c>
      <c r="K304" s="118">
        <v>355000</v>
      </c>
      <c r="L304" s="119"/>
      <c r="M304" s="118">
        <v>35500</v>
      </c>
      <c r="N304" s="119"/>
      <c r="O304" s="118">
        <v>0</v>
      </c>
      <c r="P304" s="119"/>
      <c r="Q304" s="118">
        <v>7860</v>
      </c>
      <c r="R304" s="119"/>
      <c r="S304" s="118">
        <f>42369+4237</f>
        <v>46606</v>
      </c>
      <c r="T304" s="119"/>
      <c r="U304" s="118">
        <f>SUM(K304:T304)</f>
        <v>444966</v>
      </c>
      <c r="V304" s="210"/>
      <c r="W304" s="124">
        <v>150000</v>
      </c>
      <c r="X304" s="223" t="s">
        <v>1270</v>
      </c>
      <c r="Y304" s="223"/>
      <c r="Z304" s="223"/>
      <c r="AA304" s="223"/>
      <c r="AB304" s="224"/>
      <c r="AC304" s="15" t="s">
        <v>20</v>
      </c>
      <c r="AD304" s="129" t="s">
        <v>1271</v>
      </c>
      <c r="AE304" s="130"/>
      <c r="AF304" s="130"/>
      <c r="AG304" s="130"/>
      <c r="AH304" s="130"/>
      <c r="AI304" s="131"/>
      <c r="AJ304" s="132"/>
      <c r="AK304" s="127"/>
      <c r="AL304" s="127"/>
      <c r="AM304" s="21" t="s">
        <v>1272</v>
      </c>
      <c r="AN304" s="133"/>
      <c r="AO304" s="134"/>
      <c r="AP304" s="135"/>
      <c r="AQ304" s="136"/>
      <c r="AR304" s="118"/>
      <c r="AS304" s="119"/>
      <c r="AT304" s="180">
        <f>AR304*0.1</f>
        <v>0</v>
      </c>
      <c r="AU304" s="181"/>
      <c r="AV304" s="118"/>
      <c r="AW304" s="119"/>
      <c r="AX304" s="118">
        <f>SUM(AR304:AW304)</f>
        <v>0</v>
      </c>
      <c r="AY304" s="119"/>
      <c r="AZ304" s="200"/>
    </row>
    <row r="305" spans="1:52" ht="17.100000000000001" customHeight="1" thickBot="1">
      <c r="A305" s="110"/>
      <c r="B305" s="27" t="s">
        <v>637</v>
      </c>
      <c r="C305" s="27" t="s">
        <v>1273</v>
      </c>
      <c r="D305" s="14" t="s">
        <v>221</v>
      </c>
      <c r="E305" s="112"/>
      <c r="F305" s="139" t="s">
        <v>1274</v>
      </c>
      <c r="G305" s="140"/>
      <c r="H305" s="141"/>
      <c r="I305" s="26">
        <v>54394</v>
      </c>
      <c r="J305" s="117"/>
      <c r="K305" s="120"/>
      <c r="L305" s="121"/>
      <c r="M305" s="120"/>
      <c r="N305" s="121"/>
      <c r="O305" s="120"/>
      <c r="P305" s="121"/>
      <c r="Q305" s="120"/>
      <c r="R305" s="121"/>
      <c r="S305" s="120"/>
      <c r="T305" s="121"/>
      <c r="U305" s="120"/>
      <c r="V305" s="182"/>
      <c r="W305" s="125"/>
      <c r="X305" s="143" t="s">
        <v>1275</v>
      </c>
      <c r="Y305" s="143"/>
      <c r="Z305" s="143"/>
      <c r="AA305" s="143"/>
      <c r="AB305" s="144"/>
      <c r="AC305" s="16" t="s">
        <v>21</v>
      </c>
      <c r="AD305" s="17" t="s">
        <v>1276</v>
      </c>
      <c r="AE305" s="145" t="s">
        <v>1277</v>
      </c>
      <c r="AF305" s="146"/>
      <c r="AG305" s="146"/>
      <c r="AH305" s="146"/>
      <c r="AI305" s="147"/>
      <c r="AJ305" s="148" t="s">
        <v>1278</v>
      </c>
      <c r="AK305" s="143"/>
      <c r="AL305" s="143"/>
      <c r="AM305" s="22" t="s">
        <v>1056</v>
      </c>
      <c r="AN305" s="149"/>
      <c r="AO305" s="144"/>
      <c r="AP305" s="148"/>
      <c r="AQ305" s="144"/>
      <c r="AR305" s="120"/>
      <c r="AS305" s="121"/>
      <c r="AT305" s="120"/>
      <c r="AU305" s="182"/>
      <c r="AV305" s="120"/>
      <c r="AW305" s="121"/>
      <c r="AX305" s="120"/>
      <c r="AY305" s="121"/>
      <c r="AZ305" s="201"/>
    </row>
    <row r="306" spans="1:52" ht="17.100000000000001" customHeight="1" thickTop="1">
      <c r="A306" s="109" t="s">
        <v>5890</v>
      </c>
      <c r="B306" s="28">
        <v>44208</v>
      </c>
      <c r="C306" s="29" t="s">
        <v>1279</v>
      </c>
      <c r="D306" s="13" t="s">
        <v>263</v>
      </c>
      <c r="E306" s="111"/>
      <c r="F306" s="283" t="s">
        <v>1280</v>
      </c>
      <c r="G306" s="273"/>
      <c r="H306" s="274"/>
      <c r="I306" s="24" t="s">
        <v>1087</v>
      </c>
      <c r="J306" s="116">
        <v>4.5</v>
      </c>
      <c r="K306" s="118">
        <v>2050000</v>
      </c>
      <c r="L306" s="119"/>
      <c r="M306" s="118">
        <v>205000</v>
      </c>
      <c r="N306" s="119"/>
      <c r="O306" s="118">
        <v>8500</v>
      </c>
      <c r="P306" s="119"/>
      <c r="Q306" s="118">
        <v>18110</v>
      </c>
      <c r="R306" s="119"/>
      <c r="S306" s="118">
        <v>13200</v>
      </c>
      <c r="T306" s="119"/>
      <c r="U306" s="118">
        <f>SUM(K306:T306)</f>
        <v>2294810</v>
      </c>
      <c r="V306" s="210"/>
      <c r="W306" s="124">
        <v>1700000</v>
      </c>
      <c r="X306" s="223" t="s">
        <v>1281</v>
      </c>
      <c r="Y306" s="223"/>
      <c r="Z306" s="223"/>
      <c r="AA306" s="223"/>
      <c r="AB306" s="224"/>
      <c r="AC306" s="15" t="s">
        <v>20</v>
      </c>
      <c r="AD306" s="129" t="s">
        <v>1282</v>
      </c>
      <c r="AE306" s="130"/>
      <c r="AF306" s="130"/>
      <c r="AG306" s="130"/>
      <c r="AH306" s="130"/>
      <c r="AI306" s="131"/>
      <c r="AJ306" s="132"/>
      <c r="AK306" s="127"/>
      <c r="AL306" s="127"/>
      <c r="AM306" s="21"/>
      <c r="AN306" s="133"/>
      <c r="AO306" s="134"/>
      <c r="AP306" s="135"/>
      <c r="AQ306" s="136"/>
      <c r="AR306" s="118"/>
      <c r="AS306" s="119"/>
      <c r="AT306" s="180">
        <f>AR306*0.1</f>
        <v>0</v>
      </c>
      <c r="AU306" s="181"/>
      <c r="AV306" s="118"/>
      <c r="AW306" s="119"/>
      <c r="AX306" s="118">
        <f>SUM(AR306:AW306)</f>
        <v>0</v>
      </c>
      <c r="AY306" s="119"/>
      <c r="AZ306" s="200"/>
    </row>
    <row r="307" spans="1:52" ht="17.100000000000001" customHeight="1" thickBot="1">
      <c r="A307" s="110"/>
      <c r="B307" s="27" t="s">
        <v>132</v>
      </c>
      <c r="C307" s="27">
        <v>82027</v>
      </c>
      <c r="D307" s="14" t="s">
        <v>221</v>
      </c>
      <c r="E307" s="112"/>
      <c r="F307" s="139" t="s">
        <v>1283</v>
      </c>
      <c r="G307" s="140"/>
      <c r="H307" s="141"/>
      <c r="I307" s="26">
        <v>58355</v>
      </c>
      <c r="J307" s="117"/>
      <c r="K307" s="120"/>
      <c r="L307" s="121"/>
      <c r="M307" s="120"/>
      <c r="N307" s="121"/>
      <c r="O307" s="120"/>
      <c r="P307" s="121"/>
      <c r="Q307" s="120"/>
      <c r="R307" s="121"/>
      <c r="S307" s="120"/>
      <c r="T307" s="121"/>
      <c r="U307" s="120"/>
      <c r="V307" s="182"/>
      <c r="W307" s="125"/>
      <c r="X307" s="143" t="s">
        <v>1284</v>
      </c>
      <c r="Y307" s="143"/>
      <c r="Z307" s="143"/>
      <c r="AA307" s="143"/>
      <c r="AB307" s="144"/>
      <c r="AC307" s="16" t="s">
        <v>21</v>
      </c>
      <c r="AD307" s="17" t="s">
        <v>1285</v>
      </c>
      <c r="AE307" s="145" t="s">
        <v>1286</v>
      </c>
      <c r="AF307" s="146"/>
      <c r="AG307" s="146"/>
      <c r="AH307" s="146"/>
      <c r="AI307" s="147"/>
      <c r="AJ307" s="148"/>
      <c r="AK307" s="143"/>
      <c r="AL307" s="143"/>
      <c r="AM307" s="22" t="s">
        <v>907</v>
      </c>
      <c r="AN307" s="149"/>
      <c r="AO307" s="144"/>
      <c r="AP307" s="148"/>
      <c r="AQ307" s="144"/>
      <c r="AR307" s="120"/>
      <c r="AS307" s="121"/>
      <c r="AT307" s="120"/>
      <c r="AU307" s="182"/>
      <c r="AV307" s="120"/>
      <c r="AW307" s="121"/>
      <c r="AX307" s="120"/>
      <c r="AY307" s="121"/>
      <c r="AZ307" s="201"/>
    </row>
    <row r="308" spans="1:52" ht="17.100000000000001" customHeight="1" thickTop="1">
      <c r="A308" s="109" t="s">
        <v>5891</v>
      </c>
      <c r="B308" s="28">
        <v>44210</v>
      </c>
      <c r="C308" s="29" t="s">
        <v>1287</v>
      </c>
      <c r="D308" s="13" t="s">
        <v>1107</v>
      </c>
      <c r="E308" s="111"/>
      <c r="F308" s="283" t="s">
        <v>1288</v>
      </c>
      <c r="G308" s="273"/>
      <c r="H308" s="274"/>
      <c r="I308" s="24" t="s">
        <v>1289</v>
      </c>
      <c r="J308" s="116">
        <v>4.5</v>
      </c>
      <c r="K308" s="118">
        <v>2875000</v>
      </c>
      <c r="L308" s="119"/>
      <c r="M308" s="118">
        <v>287500</v>
      </c>
      <c r="N308" s="119"/>
      <c r="O308" s="118">
        <v>8500</v>
      </c>
      <c r="P308" s="119"/>
      <c r="Q308" s="118">
        <v>23470</v>
      </c>
      <c r="R308" s="119"/>
      <c r="S308" s="118">
        <v>13200</v>
      </c>
      <c r="T308" s="119"/>
      <c r="U308" s="118">
        <f>SUM(K308:T308)</f>
        <v>3207670</v>
      </c>
      <c r="V308" s="210"/>
      <c r="W308" s="124">
        <v>2200000</v>
      </c>
      <c r="X308" s="223" t="s">
        <v>1290</v>
      </c>
      <c r="Y308" s="223"/>
      <c r="Z308" s="223"/>
      <c r="AA308" s="223"/>
      <c r="AB308" s="224"/>
      <c r="AC308" s="15" t="s">
        <v>20</v>
      </c>
      <c r="AD308" s="129" t="s">
        <v>1277</v>
      </c>
      <c r="AE308" s="130"/>
      <c r="AF308" s="130"/>
      <c r="AG308" s="130"/>
      <c r="AH308" s="130"/>
      <c r="AI308" s="131"/>
      <c r="AJ308" s="132"/>
      <c r="AK308" s="127"/>
      <c r="AL308" s="127"/>
      <c r="AM308" s="21" t="s">
        <v>1291</v>
      </c>
      <c r="AN308" s="133"/>
      <c r="AO308" s="134"/>
      <c r="AP308" s="135"/>
      <c r="AQ308" s="136"/>
      <c r="AR308" s="118"/>
      <c r="AS308" s="119"/>
      <c r="AT308" s="180">
        <f>AR308*0.1</f>
        <v>0</v>
      </c>
      <c r="AU308" s="181"/>
      <c r="AV308" s="118"/>
      <c r="AW308" s="119"/>
      <c r="AX308" s="118">
        <f>SUM(AR308:AW308)</f>
        <v>0</v>
      </c>
      <c r="AY308" s="119"/>
      <c r="AZ308" s="200"/>
    </row>
    <row r="309" spans="1:52" ht="17.100000000000001" customHeight="1" thickBot="1">
      <c r="A309" s="110"/>
      <c r="B309" s="27" t="s">
        <v>148</v>
      </c>
      <c r="C309" s="27">
        <v>75677</v>
      </c>
      <c r="D309" s="14" t="s">
        <v>221</v>
      </c>
      <c r="E309" s="112"/>
      <c r="F309" s="139" t="s">
        <v>1292</v>
      </c>
      <c r="G309" s="140"/>
      <c r="H309" s="141"/>
      <c r="I309" s="26">
        <v>46871</v>
      </c>
      <c r="J309" s="117"/>
      <c r="K309" s="120"/>
      <c r="L309" s="121"/>
      <c r="M309" s="120"/>
      <c r="N309" s="121"/>
      <c r="O309" s="120"/>
      <c r="P309" s="121"/>
      <c r="Q309" s="120"/>
      <c r="R309" s="121"/>
      <c r="S309" s="120"/>
      <c r="T309" s="121"/>
      <c r="U309" s="120"/>
      <c r="V309" s="182"/>
      <c r="W309" s="125"/>
      <c r="X309" s="143" t="s">
        <v>1293</v>
      </c>
      <c r="Y309" s="143"/>
      <c r="Z309" s="143"/>
      <c r="AA309" s="143"/>
      <c r="AB309" s="144"/>
      <c r="AC309" s="16" t="s">
        <v>21</v>
      </c>
      <c r="AD309" s="17" t="s">
        <v>1294</v>
      </c>
      <c r="AE309" s="145" t="s">
        <v>1295</v>
      </c>
      <c r="AF309" s="146"/>
      <c r="AG309" s="146"/>
      <c r="AH309" s="146"/>
      <c r="AI309" s="147"/>
      <c r="AJ309" s="148"/>
      <c r="AK309" s="143"/>
      <c r="AL309" s="143"/>
      <c r="AM309" s="22" t="s">
        <v>1296</v>
      </c>
      <c r="AN309" s="149"/>
      <c r="AO309" s="144"/>
      <c r="AP309" s="148"/>
      <c r="AQ309" s="144"/>
      <c r="AR309" s="120"/>
      <c r="AS309" s="121"/>
      <c r="AT309" s="120"/>
      <c r="AU309" s="182"/>
      <c r="AV309" s="120"/>
      <c r="AW309" s="121"/>
      <c r="AX309" s="120"/>
      <c r="AY309" s="121"/>
      <c r="AZ309" s="201"/>
    </row>
    <row r="310" spans="1:52" ht="17.100000000000001" customHeight="1" thickTop="1">
      <c r="A310" s="109" t="s">
        <v>5892</v>
      </c>
      <c r="B310" s="28">
        <v>44214</v>
      </c>
      <c r="C310" s="29"/>
      <c r="D310" s="13" t="s">
        <v>1297</v>
      </c>
      <c r="E310" s="111"/>
      <c r="F310" s="283" t="s">
        <v>1298</v>
      </c>
      <c r="G310" s="273"/>
      <c r="H310" s="274"/>
      <c r="I310" s="24" t="s">
        <v>1299</v>
      </c>
      <c r="J310" s="116">
        <v>3.5</v>
      </c>
      <c r="K310" s="118">
        <v>630000</v>
      </c>
      <c r="L310" s="119"/>
      <c r="M310" s="118">
        <v>63000</v>
      </c>
      <c r="N310" s="119"/>
      <c r="O310" s="118">
        <v>0</v>
      </c>
      <c r="P310" s="119"/>
      <c r="Q310" s="118">
        <v>9550</v>
      </c>
      <c r="R310" s="119"/>
      <c r="S310" s="118">
        <v>11000</v>
      </c>
      <c r="T310" s="119"/>
      <c r="U310" s="118">
        <f>SUM(K310:T310)</f>
        <v>713550</v>
      </c>
      <c r="V310" s="210"/>
      <c r="W310" s="124">
        <v>400000</v>
      </c>
      <c r="X310" s="223" t="s">
        <v>1300</v>
      </c>
      <c r="Y310" s="223"/>
      <c r="Z310" s="223"/>
      <c r="AA310" s="223"/>
      <c r="AB310" s="224"/>
      <c r="AC310" s="15" t="s">
        <v>20</v>
      </c>
      <c r="AD310" s="129"/>
      <c r="AE310" s="130"/>
      <c r="AF310" s="130"/>
      <c r="AG310" s="130"/>
      <c r="AH310" s="130"/>
      <c r="AI310" s="131"/>
      <c r="AJ310" s="132"/>
      <c r="AK310" s="127"/>
      <c r="AL310" s="127"/>
      <c r="AM310" s="21" t="s">
        <v>1301</v>
      </c>
      <c r="AN310" s="133"/>
      <c r="AO310" s="134"/>
      <c r="AP310" s="135"/>
      <c r="AQ310" s="136"/>
      <c r="AR310" s="118"/>
      <c r="AS310" s="119"/>
      <c r="AT310" s="180">
        <f>AR310*0.1</f>
        <v>0</v>
      </c>
      <c r="AU310" s="181"/>
      <c r="AV310" s="118"/>
      <c r="AW310" s="119"/>
      <c r="AX310" s="118">
        <f>SUM(AR310:AW310)</f>
        <v>0</v>
      </c>
      <c r="AY310" s="119"/>
      <c r="AZ310" s="200"/>
    </row>
    <row r="311" spans="1:52" ht="17.100000000000001" customHeight="1" thickBot="1">
      <c r="A311" s="110"/>
      <c r="B311" s="27" t="s">
        <v>1003</v>
      </c>
      <c r="C311" s="27" t="s">
        <v>1302</v>
      </c>
      <c r="D311" s="14" t="s">
        <v>1303</v>
      </c>
      <c r="E311" s="112"/>
      <c r="F311" s="139" t="s">
        <v>1304</v>
      </c>
      <c r="G311" s="140"/>
      <c r="H311" s="141"/>
      <c r="I311" s="26">
        <v>51000</v>
      </c>
      <c r="J311" s="117"/>
      <c r="K311" s="120"/>
      <c r="L311" s="121"/>
      <c r="M311" s="120"/>
      <c r="N311" s="121"/>
      <c r="O311" s="120"/>
      <c r="P311" s="121"/>
      <c r="Q311" s="120"/>
      <c r="R311" s="121"/>
      <c r="S311" s="120"/>
      <c r="T311" s="121"/>
      <c r="U311" s="120"/>
      <c r="V311" s="182"/>
      <c r="W311" s="125"/>
      <c r="X311" s="143" t="s">
        <v>1305</v>
      </c>
      <c r="Y311" s="143"/>
      <c r="Z311" s="143"/>
      <c r="AA311" s="143"/>
      <c r="AB311" s="144"/>
      <c r="AC311" s="16" t="s">
        <v>21</v>
      </c>
      <c r="AD311" s="17" t="s">
        <v>1306</v>
      </c>
      <c r="AE311" s="145" t="s">
        <v>1307</v>
      </c>
      <c r="AF311" s="146"/>
      <c r="AG311" s="146"/>
      <c r="AH311" s="146"/>
      <c r="AI311" s="147"/>
      <c r="AJ311" s="148"/>
      <c r="AK311" s="143"/>
      <c r="AL311" s="143"/>
      <c r="AM311" s="22" t="s">
        <v>1308</v>
      </c>
      <c r="AN311" s="149"/>
      <c r="AO311" s="144"/>
      <c r="AP311" s="148"/>
      <c r="AQ311" s="144"/>
      <c r="AR311" s="120"/>
      <c r="AS311" s="121"/>
      <c r="AT311" s="120"/>
      <c r="AU311" s="182"/>
      <c r="AV311" s="120"/>
      <c r="AW311" s="121"/>
      <c r="AX311" s="120"/>
      <c r="AY311" s="121"/>
      <c r="AZ311" s="201"/>
    </row>
    <row r="312" spans="1:52" ht="17.100000000000001" customHeight="1" thickTop="1">
      <c r="A312" s="109" t="s">
        <v>5893</v>
      </c>
      <c r="B312" s="28">
        <v>44225</v>
      </c>
      <c r="C312" s="29" t="s">
        <v>1309</v>
      </c>
      <c r="D312" s="13" t="s">
        <v>1267</v>
      </c>
      <c r="E312" s="111"/>
      <c r="F312" s="283" t="s">
        <v>1310</v>
      </c>
      <c r="G312" s="273"/>
      <c r="H312" s="274"/>
      <c r="I312" s="24" t="s">
        <v>1205</v>
      </c>
      <c r="J312" s="116">
        <v>4.5</v>
      </c>
      <c r="K312" s="118">
        <v>2390000</v>
      </c>
      <c r="L312" s="119"/>
      <c r="M312" s="118">
        <v>239000</v>
      </c>
      <c r="N312" s="119"/>
      <c r="O312" s="118">
        <v>6500</v>
      </c>
      <c r="P312" s="119"/>
      <c r="Q312" s="118">
        <v>16240</v>
      </c>
      <c r="R312" s="119"/>
      <c r="S312" s="118">
        <v>13200</v>
      </c>
      <c r="T312" s="119"/>
      <c r="U312" s="118">
        <f>SUM(K312:T312)</f>
        <v>2664940</v>
      </c>
      <c r="V312" s="210"/>
      <c r="W312" s="124">
        <v>2000000</v>
      </c>
      <c r="X312" s="223" t="s">
        <v>1311</v>
      </c>
      <c r="Y312" s="223"/>
      <c r="Z312" s="223"/>
      <c r="AA312" s="223"/>
      <c r="AB312" s="224"/>
      <c r="AC312" s="15" t="s">
        <v>20</v>
      </c>
      <c r="AD312" s="129" t="s">
        <v>1312</v>
      </c>
      <c r="AE312" s="130"/>
      <c r="AF312" s="130"/>
      <c r="AG312" s="130"/>
      <c r="AH312" s="130"/>
      <c r="AI312" s="131"/>
      <c r="AJ312" s="132"/>
      <c r="AK312" s="127"/>
      <c r="AL312" s="127"/>
      <c r="AM312" s="21"/>
      <c r="AN312" s="133"/>
      <c r="AO312" s="134"/>
      <c r="AP312" s="135"/>
      <c r="AQ312" s="136"/>
      <c r="AR312" s="118"/>
      <c r="AS312" s="119"/>
      <c r="AT312" s="180">
        <f>AR312*0.1</f>
        <v>0</v>
      </c>
      <c r="AU312" s="181"/>
      <c r="AV312" s="118"/>
      <c r="AW312" s="119"/>
      <c r="AX312" s="118">
        <f>SUM(AR312:AW312)</f>
        <v>0</v>
      </c>
      <c r="AY312" s="119"/>
      <c r="AZ312" s="200"/>
    </row>
    <row r="313" spans="1:52" ht="17.100000000000001" customHeight="1" thickBot="1">
      <c r="A313" s="110"/>
      <c r="B313" s="27" t="s">
        <v>1184</v>
      </c>
      <c r="C313" s="27">
        <v>88022</v>
      </c>
      <c r="D313" s="14" t="s">
        <v>477</v>
      </c>
      <c r="E313" s="112"/>
      <c r="F313" s="139" t="s">
        <v>1313</v>
      </c>
      <c r="G313" s="140"/>
      <c r="H313" s="141"/>
      <c r="I313" s="26">
        <v>30828</v>
      </c>
      <c r="J313" s="117"/>
      <c r="K313" s="120"/>
      <c r="L313" s="121"/>
      <c r="M313" s="120"/>
      <c r="N313" s="121"/>
      <c r="O313" s="120"/>
      <c r="P313" s="121"/>
      <c r="Q313" s="120"/>
      <c r="R313" s="121"/>
      <c r="S313" s="120"/>
      <c r="T313" s="121"/>
      <c r="U313" s="120"/>
      <c r="V313" s="182"/>
      <c r="W313" s="125"/>
      <c r="X313" s="143" t="s">
        <v>1314</v>
      </c>
      <c r="Y313" s="143"/>
      <c r="Z313" s="143"/>
      <c r="AA313" s="143"/>
      <c r="AB313" s="144"/>
      <c r="AC313" s="16" t="s">
        <v>21</v>
      </c>
      <c r="AD313" s="17" t="s">
        <v>1315</v>
      </c>
      <c r="AE313" s="145" t="s">
        <v>1286</v>
      </c>
      <c r="AF313" s="146"/>
      <c r="AG313" s="146"/>
      <c r="AH313" s="146"/>
      <c r="AI313" s="147"/>
      <c r="AJ313" s="148"/>
      <c r="AK313" s="143"/>
      <c r="AL313" s="143"/>
      <c r="AM313" s="22"/>
      <c r="AN313" s="149"/>
      <c r="AO313" s="144"/>
      <c r="AP313" s="148"/>
      <c r="AQ313" s="144"/>
      <c r="AR313" s="120"/>
      <c r="AS313" s="121"/>
      <c r="AT313" s="120"/>
      <c r="AU313" s="182"/>
      <c r="AV313" s="120"/>
      <c r="AW313" s="121"/>
      <c r="AX313" s="120"/>
      <c r="AY313" s="121"/>
      <c r="AZ313" s="201"/>
    </row>
    <row r="314" spans="1:52" ht="17.100000000000001" customHeight="1" thickTop="1">
      <c r="A314" s="109" t="s">
        <v>5894</v>
      </c>
      <c r="B314" s="28">
        <v>44226</v>
      </c>
      <c r="C314" s="29" t="s">
        <v>1316</v>
      </c>
      <c r="D314" s="13" t="s">
        <v>323</v>
      </c>
      <c r="E314" s="111"/>
      <c r="F314" s="283" t="s">
        <v>1197</v>
      </c>
      <c r="G314" s="273"/>
      <c r="H314" s="274"/>
      <c r="I314" s="24"/>
      <c r="J314" s="116">
        <v>4.5</v>
      </c>
      <c r="K314" s="118">
        <v>1580000</v>
      </c>
      <c r="L314" s="119"/>
      <c r="M314" s="118">
        <v>158000</v>
      </c>
      <c r="N314" s="119"/>
      <c r="O314" s="118">
        <v>0</v>
      </c>
      <c r="P314" s="119"/>
      <c r="Q314" s="118">
        <v>14590</v>
      </c>
      <c r="R314" s="119"/>
      <c r="S314" s="118">
        <v>13200</v>
      </c>
      <c r="T314" s="119"/>
      <c r="U314" s="118">
        <f>SUM(K314:T314)</f>
        <v>1765790</v>
      </c>
      <c r="V314" s="210"/>
      <c r="W314" s="124">
        <v>1300000</v>
      </c>
      <c r="X314" s="223" t="s">
        <v>1317</v>
      </c>
      <c r="Y314" s="223"/>
      <c r="Z314" s="223"/>
      <c r="AA314" s="223"/>
      <c r="AB314" s="224"/>
      <c r="AC314" s="15" t="s">
        <v>20</v>
      </c>
      <c r="AD314" s="129" t="s">
        <v>1318</v>
      </c>
      <c r="AE314" s="130"/>
      <c r="AF314" s="130"/>
      <c r="AG314" s="130"/>
      <c r="AH314" s="130"/>
      <c r="AI314" s="131"/>
      <c r="AJ314" s="132"/>
      <c r="AK314" s="127"/>
      <c r="AL314" s="127"/>
      <c r="AM314" s="21"/>
      <c r="AN314" s="133"/>
      <c r="AO314" s="134"/>
      <c r="AP314" s="135"/>
      <c r="AQ314" s="136"/>
      <c r="AR314" s="118"/>
      <c r="AS314" s="119"/>
      <c r="AT314" s="180">
        <f>AR314*0.1</f>
        <v>0</v>
      </c>
      <c r="AU314" s="181"/>
      <c r="AV314" s="118"/>
      <c r="AW314" s="119"/>
      <c r="AX314" s="118">
        <f>SUM(AR314:AW314)</f>
        <v>0</v>
      </c>
      <c r="AY314" s="119"/>
      <c r="AZ314" s="200"/>
    </row>
    <row r="315" spans="1:52" ht="17.100000000000001" customHeight="1" thickBot="1">
      <c r="A315" s="110"/>
      <c r="B315" s="27" t="s">
        <v>46</v>
      </c>
      <c r="C315" s="27">
        <v>82193</v>
      </c>
      <c r="D315" s="14" t="s">
        <v>291</v>
      </c>
      <c r="E315" s="112"/>
      <c r="F315" s="139" t="s">
        <v>1319</v>
      </c>
      <c r="G315" s="140"/>
      <c r="H315" s="141"/>
      <c r="I315" s="26">
        <v>38372</v>
      </c>
      <c r="J315" s="117"/>
      <c r="K315" s="120"/>
      <c r="L315" s="121"/>
      <c r="M315" s="120"/>
      <c r="N315" s="121"/>
      <c r="O315" s="120"/>
      <c r="P315" s="121"/>
      <c r="Q315" s="120"/>
      <c r="R315" s="121"/>
      <c r="S315" s="120"/>
      <c r="T315" s="121"/>
      <c r="U315" s="120"/>
      <c r="V315" s="182"/>
      <c r="W315" s="125"/>
      <c r="X315" s="143" t="s">
        <v>1320</v>
      </c>
      <c r="Y315" s="143"/>
      <c r="Z315" s="143"/>
      <c r="AA315" s="143"/>
      <c r="AB315" s="144"/>
      <c r="AC315" s="16" t="s">
        <v>21</v>
      </c>
      <c r="AD315" s="17" t="s">
        <v>1306</v>
      </c>
      <c r="AE315" s="145" t="s">
        <v>1321</v>
      </c>
      <c r="AF315" s="146"/>
      <c r="AG315" s="146"/>
      <c r="AH315" s="146"/>
      <c r="AI315" s="147"/>
      <c r="AJ315" s="284" t="s">
        <v>1322</v>
      </c>
      <c r="AK315" s="285"/>
      <c r="AL315" s="285"/>
      <c r="AM315" s="22"/>
      <c r="AN315" s="149"/>
      <c r="AO315" s="144"/>
      <c r="AP315" s="148"/>
      <c r="AQ315" s="144"/>
      <c r="AR315" s="120"/>
      <c r="AS315" s="121"/>
      <c r="AT315" s="120"/>
      <c r="AU315" s="182"/>
      <c r="AV315" s="120"/>
      <c r="AW315" s="121"/>
      <c r="AX315" s="120"/>
      <c r="AY315" s="121"/>
      <c r="AZ315" s="201"/>
    </row>
    <row r="316" spans="1:52" ht="17.100000000000001" customHeight="1" thickTop="1">
      <c r="A316" s="109" t="s">
        <v>5895</v>
      </c>
      <c r="B316" s="28">
        <v>44233</v>
      </c>
      <c r="C316" s="29" t="s">
        <v>1323</v>
      </c>
      <c r="D316" s="13" t="s">
        <v>511</v>
      </c>
      <c r="E316" s="111"/>
      <c r="F316" s="283" t="s">
        <v>1324</v>
      </c>
      <c r="G316" s="273"/>
      <c r="H316" s="274"/>
      <c r="I316" s="24" t="s">
        <v>1128</v>
      </c>
      <c r="J316" s="116">
        <v>4.5</v>
      </c>
      <c r="K316" s="118">
        <v>3680000</v>
      </c>
      <c r="L316" s="119"/>
      <c r="M316" s="118">
        <v>368000</v>
      </c>
      <c r="N316" s="119"/>
      <c r="O316" s="118">
        <v>4200</v>
      </c>
      <c r="P316" s="119"/>
      <c r="Q316" s="118">
        <v>27360</v>
      </c>
      <c r="R316" s="119"/>
      <c r="S316" s="118">
        <v>13200</v>
      </c>
      <c r="T316" s="119"/>
      <c r="U316" s="118">
        <f>SUM(K316:T316)</f>
        <v>4092760</v>
      </c>
      <c r="V316" s="210"/>
      <c r="W316" s="124">
        <v>3200000</v>
      </c>
      <c r="X316" s="223" t="s">
        <v>1325</v>
      </c>
      <c r="Y316" s="223"/>
      <c r="Z316" s="223"/>
      <c r="AA316" s="223"/>
      <c r="AB316" s="224"/>
      <c r="AC316" s="15" t="s">
        <v>20</v>
      </c>
      <c r="AD316" s="129" t="s">
        <v>1277</v>
      </c>
      <c r="AE316" s="130"/>
      <c r="AF316" s="130"/>
      <c r="AG316" s="130"/>
      <c r="AH316" s="130"/>
      <c r="AI316" s="131"/>
      <c r="AJ316" s="132"/>
      <c r="AK316" s="127"/>
      <c r="AL316" s="127"/>
      <c r="AM316" s="21"/>
      <c r="AN316" s="133"/>
      <c r="AO316" s="134"/>
      <c r="AP316" s="135"/>
      <c r="AQ316" s="136"/>
      <c r="AR316" s="118"/>
      <c r="AS316" s="119"/>
      <c r="AT316" s="180">
        <f>AR316*0.1</f>
        <v>0</v>
      </c>
      <c r="AU316" s="181"/>
      <c r="AV316" s="118"/>
      <c r="AW316" s="119"/>
      <c r="AX316" s="118">
        <f>SUM(AR316:AW316)</f>
        <v>0</v>
      </c>
      <c r="AY316" s="119"/>
      <c r="AZ316" s="200"/>
    </row>
    <row r="317" spans="1:52" ht="17.100000000000001" customHeight="1" thickBot="1">
      <c r="A317" s="110"/>
      <c r="B317" s="27" t="s">
        <v>46</v>
      </c>
      <c r="C317" s="27">
        <v>82018</v>
      </c>
      <c r="D317" s="14" t="s">
        <v>221</v>
      </c>
      <c r="E317" s="112"/>
      <c r="F317" s="139" t="s">
        <v>1326</v>
      </c>
      <c r="G317" s="140"/>
      <c r="H317" s="141"/>
      <c r="I317" s="26">
        <v>22528</v>
      </c>
      <c r="J317" s="117"/>
      <c r="K317" s="120"/>
      <c r="L317" s="121"/>
      <c r="M317" s="120"/>
      <c r="N317" s="121"/>
      <c r="O317" s="120"/>
      <c r="P317" s="121"/>
      <c r="Q317" s="120"/>
      <c r="R317" s="121"/>
      <c r="S317" s="120"/>
      <c r="T317" s="121"/>
      <c r="U317" s="120"/>
      <c r="V317" s="182"/>
      <c r="W317" s="125"/>
      <c r="X317" s="143" t="s">
        <v>1327</v>
      </c>
      <c r="Y317" s="143"/>
      <c r="Z317" s="143"/>
      <c r="AA317" s="143"/>
      <c r="AB317" s="144"/>
      <c r="AC317" s="16" t="s">
        <v>21</v>
      </c>
      <c r="AD317" s="17" t="s">
        <v>938</v>
      </c>
      <c r="AE317" s="145" t="s">
        <v>1328</v>
      </c>
      <c r="AF317" s="146"/>
      <c r="AG317" s="146"/>
      <c r="AH317" s="146"/>
      <c r="AI317" s="147"/>
      <c r="AJ317" s="284" t="s">
        <v>1322</v>
      </c>
      <c r="AK317" s="285"/>
      <c r="AL317" s="285"/>
      <c r="AM317" s="22" t="s">
        <v>928</v>
      </c>
      <c r="AN317" s="149"/>
      <c r="AO317" s="144"/>
      <c r="AP317" s="148"/>
      <c r="AQ317" s="144"/>
      <c r="AR317" s="120"/>
      <c r="AS317" s="121"/>
      <c r="AT317" s="120"/>
      <c r="AU317" s="182"/>
      <c r="AV317" s="120"/>
      <c r="AW317" s="121"/>
      <c r="AX317" s="120"/>
      <c r="AY317" s="121"/>
      <c r="AZ317" s="201"/>
    </row>
    <row r="318" spans="1:52" ht="17.100000000000001" customHeight="1" thickTop="1">
      <c r="A318" s="109" t="s">
        <v>5896</v>
      </c>
      <c r="B318" s="28">
        <v>44266</v>
      </c>
      <c r="C318" s="29" t="s">
        <v>1329</v>
      </c>
      <c r="D318" s="13" t="s">
        <v>263</v>
      </c>
      <c r="E318" s="111"/>
      <c r="F318" s="283" t="s">
        <v>1330</v>
      </c>
      <c r="G318" s="273"/>
      <c r="H318" s="274"/>
      <c r="I318" s="24"/>
      <c r="J318" s="116">
        <v>4.5</v>
      </c>
      <c r="K318" s="118">
        <v>1660000</v>
      </c>
      <c r="L318" s="119"/>
      <c r="M318" s="118">
        <v>166000</v>
      </c>
      <c r="N318" s="119"/>
      <c r="O318" s="118">
        <v>0</v>
      </c>
      <c r="P318" s="119"/>
      <c r="Q318" s="118">
        <v>18960</v>
      </c>
      <c r="R318" s="119"/>
      <c r="S318" s="118">
        <v>13200</v>
      </c>
      <c r="T318" s="119"/>
      <c r="U318" s="118">
        <f>SUM(K318:T318)</f>
        <v>1858160</v>
      </c>
      <c r="V318" s="210"/>
      <c r="W318" s="124">
        <v>1600000</v>
      </c>
      <c r="X318" s="223" t="s">
        <v>1331</v>
      </c>
      <c r="Y318" s="223"/>
      <c r="Z318" s="223"/>
      <c r="AA318" s="223"/>
      <c r="AB318" s="224"/>
      <c r="AC318" s="15" t="s">
        <v>20</v>
      </c>
      <c r="AD318" s="129" t="s">
        <v>1119</v>
      </c>
      <c r="AE318" s="130"/>
      <c r="AF318" s="130"/>
      <c r="AG318" s="130"/>
      <c r="AH318" s="130"/>
      <c r="AI318" s="131"/>
      <c r="AJ318" s="132"/>
      <c r="AK318" s="127"/>
      <c r="AL318" s="127"/>
      <c r="AM318" s="21"/>
      <c r="AN318" s="133"/>
      <c r="AO318" s="134"/>
      <c r="AP318" s="135"/>
      <c r="AQ318" s="136"/>
      <c r="AR318" s="118"/>
      <c r="AS318" s="119"/>
      <c r="AT318" s="180">
        <f>AR318*0.1</f>
        <v>0</v>
      </c>
      <c r="AU318" s="181"/>
      <c r="AV318" s="118"/>
      <c r="AW318" s="119"/>
      <c r="AX318" s="118">
        <f>SUM(AR318:AW318)</f>
        <v>0</v>
      </c>
      <c r="AY318" s="119"/>
      <c r="AZ318" s="200"/>
    </row>
    <row r="319" spans="1:52" ht="17.100000000000001" customHeight="1" thickBot="1">
      <c r="A319" s="110"/>
      <c r="B319" s="27" t="s">
        <v>148</v>
      </c>
      <c r="C319" s="27">
        <v>76135</v>
      </c>
      <c r="D319" s="14" t="s">
        <v>765</v>
      </c>
      <c r="E319" s="112"/>
      <c r="F319" s="139" t="s">
        <v>1332</v>
      </c>
      <c r="G319" s="140"/>
      <c r="H319" s="141"/>
      <c r="I319" s="26">
        <v>45392</v>
      </c>
      <c r="J319" s="117"/>
      <c r="K319" s="120"/>
      <c r="L319" s="121"/>
      <c r="M319" s="120"/>
      <c r="N319" s="121"/>
      <c r="O319" s="120"/>
      <c r="P319" s="121"/>
      <c r="Q319" s="120"/>
      <c r="R319" s="121"/>
      <c r="S319" s="120"/>
      <c r="T319" s="121"/>
      <c r="U319" s="120"/>
      <c r="V319" s="182"/>
      <c r="W319" s="125"/>
      <c r="X319" s="143" t="s">
        <v>1333</v>
      </c>
      <c r="Y319" s="143"/>
      <c r="Z319" s="143"/>
      <c r="AA319" s="143"/>
      <c r="AB319" s="144"/>
      <c r="AC319" s="16" t="s">
        <v>21</v>
      </c>
      <c r="AD319" s="17" t="s">
        <v>1334</v>
      </c>
      <c r="AE319" s="145" t="s">
        <v>1335</v>
      </c>
      <c r="AF319" s="146"/>
      <c r="AG319" s="146"/>
      <c r="AH319" s="146"/>
      <c r="AI319" s="147"/>
      <c r="AJ319" s="148"/>
      <c r="AK319" s="143"/>
      <c r="AL319" s="143"/>
      <c r="AM319" s="22"/>
      <c r="AN319" s="149"/>
      <c r="AO319" s="144"/>
      <c r="AP319" s="148"/>
      <c r="AQ319" s="144"/>
      <c r="AR319" s="120"/>
      <c r="AS319" s="121"/>
      <c r="AT319" s="120"/>
      <c r="AU319" s="182"/>
      <c r="AV319" s="120"/>
      <c r="AW319" s="121"/>
      <c r="AX319" s="120"/>
      <c r="AY319" s="121"/>
      <c r="AZ319" s="201"/>
    </row>
    <row r="320" spans="1:52" ht="17.100000000000001" customHeight="1" thickTop="1">
      <c r="A320" s="109" t="s">
        <v>5897</v>
      </c>
      <c r="B320" s="28">
        <v>44268</v>
      </c>
      <c r="C320" s="29" t="s">
        <v>1336</v>
      </c>
      <c r="D320" s="13" t="s">
        <v>644</v>
      </c>
      <c r="E320" s="111" t="s">
        <v>166</v>
      </c>
      <c r="F320" s="283" t="s">
        <v>1337</v>
      </c>
      <c r="G320" s="273"/>
      <c r="H320" s="274"/>
      <c r="I320" s="24" t="s">
        <v>1338</v>
      </c>
      <c r="J320" s="116">
        <v>4.5</v>
      </c>
      <c r="K320" s="118">
        <v>3585000</v>
      </c>
      <c r="L320" s="119"/>
      <c r="M320" s="118">
        <v>358500</v>
      </c>
      <c r="N320" s="119"/>
      <c r="O320" s="118">
        <v>51000</v>
      </c>
      <c r="P320" s="119"/>
      <c r="Q320" s="118">
        <v>26010</v>
      </c>
      <c r="R320" s="119"/>
      <c r="S320" s="118">
        <v>13200</v>
      </c>
      <c r="T320" s="119"/>
      <c r="U320" s="118">
        <f>SUM(K320:T320)</f>
        <v>4033710</v>
      </c>
      <c r="V320" s="210"/>
      <c r="W320" s="124"/>
      <c r="X320" s="223" t="s">
        <v>1339</v>
      </c>
      <c r="Y320" s="223"/>
      <c r="Z320" s="223"/>
      <c r="AA320" s="223"/>
      <c r="AB320" s="224"/>
      <c r="AC320" s="15" t="s">
        <v>20</v>
      </c>
      <c r="AD320" s="129" t="s">
        <v>1277</v>
      </c>
      <c r="AE320" s="130"/>
      <c r="AF320" s="130"/>
      <c r="AG320" s="130"/>
      <c r="AH320" s="130"/>
      <c r="AI320" s="131"/>
      <c r="AJ320" s="132"/>
      <c r="AK320" s="127"/>
      <c r="AL320" s="127"/>
      <c r="AM320" s="21" t="s">
        <v>1340</v>
      </c>
      <c r="AN320" s="133"/>
      <c r="AO320" s="134"/>
      <c r="AP320" s="135"/>
      <c r="AQ320" s="136"/>
      <c r="AR320" s="118"/>
      <c r="AS320" s="119"/>
      <c r="AT320" s="180">
        <f>AR320*0.1</f>
        <v>0</v>
      </c>
      <c r="AU320" s="181"/>
      <c r="AV320" s="118"/>
      <c r="AW320" s="119"/>
      <c r="AX320" s="118">
        <f>SUM(AR320:AW320)</f>
        <v>0</v>
      </c>
      <c r="AY320" s="119"/>
      <c r="AZ320" s="200"/>
    </row>
    <row r="321" spans="1:52" ht="17.100000000000001" customHeight="1" thickBot="1">
      <c r="A321" s="110"/>
      <c r="B321" s="27" t="s">
        <v>740</v>
      </c>
      <c r="C321" s="27">
        <v>60019</v>
      </c>
      <c r="D321" s="14" t="s">
        <v>447</v>
      </c>
      <c r="E321" s="112"/>
      <c r="F321" s="139" t="s">
        <v>1341</v>
      </c>
      <c r="G321" s="140"/>
      <c r="H321" s="141"/>
      <c r="I321" s="26">
        <v>46309</v>
      </c>
      <c r="J321" s="117"/>
      <c r="K321" s="120"/>
      <c r="L321" s="121"/>
      <c r="M321" s="120"/>
      <c r="N321" s="121"/>
      <c r="O321" s="120"/>
      <c r="P321" s="121"/>
      <c r="Q321" s="120"/>
      <c r="R321" s="121"/>
      <c r="S321" s="120"/>
      <c r="T321" s="121"/>
      <c r="U321" s="120"/>
      <c r="V321" s="182"/>
      <c r="W321" s="125"/>
      <c r="X321" s="143" t="s">
        <v>1342</v>
      </c>
      <c r="Y321" s="143"/>
      <c r="Z321" s="143"/>
      <c r="AA321" s="143"/>
      <c r="AB321" s="144"/>
      <c r="AC321" s="16" t="s">
        <v>21</v>
      </c>
      <c r="AD321" s="17" t="s">
        <v>1334</v>
      </c>
      <c r="AE321" s="145" t="s">
        <v>1343</v>
      </c>
      <c r="AF321" s="146"/>
      <c r="AG321" s="146"/>
      <c r="AH321" s="146"/>
      <c r="AI321" s="147"/>
      <c r="AJ321" s="148"/>
      <c r="AK321" s="143"/>
      <c r="AL321" s="143"/>
      <c r="AM321" s="22"/>
      <c r="AN321" s="149"/>
      <c r="AO321" s="144"/>
      <c r="AP321" s="148"/>
      <c r="AQ321" s="144"/>
      <c r="AR321" s="120"/>
      <c r="AS321" s="121"/>
      <c r="AT321" s="120"/>
      <c r="AU321" s="182"/>
      <c r="AV321" s="120"/>
      <c r="AW321" s="121"/>
      <c r="AX321" s="120"/>
      <c r="AY321" s="121"/>
      <c r="AZ321" s="201"/>
    </row>
    <row r="322" spans="1:52" ht="17.100000000000001" customHeight="1" thickTop="1">
      <c r="A322" s="109" t="s">
        <v>5898</v>
      </c>
      <c r="B322" s="28">
        <v>44268</v>
      </c>
      <c r="C322" s="29" t="s">
        <v>1336</v>
      </c>
      <c r="D322" s="13" t="s">
        <v>1344</v>
      </c>
      <c r="E322" s="111"/>
      <c r="F322" s="283" t="s">
        <v>1345</v>
      </c>
      <c r="G322" s="273"/>
      <c r="H322" s="274"/>
      <c r="I322" s="24"/>
      <c r="J322" s="116">
        <v>4.5</v>
      </c>
      <c r="K322" s="118">
        <v>1405000</v>
      </c>
      <c r="L322" s="119"/>
      <c r="M322" s="118">
        <v>140500</v>
      </c>
      <c r="N322" s="119"/>
      <c r="O322" s="118">
        <v>0</v>
      </c>
      <c r="P322" s="119"/>
      <c r="Q322" s="118">
        <v>18110</v>
      </c>
      <c r="R322" s="119"/>
      <c r="S322" s="118">
        <v>13200</v>
      </c>
      <c r="T322" s="119"/>
      <c r="U322" s="118">
        <f>SUM(K322:T322)</f>
        <v>1576810</v>
      </c>
      <c r="V322" s="210"/>
      <c r="W322" s="124">
        <v>1000000</v>
      </c>
      <c r="X322" s="223" t="s">
        <v>1346</v>
      </c>
      <c r="Y322" s="223"/>
      <c r="Z322" s="223"/>
      <c r="AA322" s="223"/>
      <c r="AB322" s="224"/>
      <c r="AC322" s="15" t="s">
        <v>20</v>
      </c>
      <c r="AD322" s="129" t="s">
        <v>1347</v>
      </c>
      <c r="AE322" s="130"/>
      <c r="AF322" s="130"/>
      <c r="AG322" s="130"/>
      <c r="AH322" s="130"/>
      <c r="AI322" s="131"/>
      <c r="AJ322" s="132"/>
      <c r="AK322" s="127"/>
      <c r="AL322" s="127"/>
      <c r="AM322" s="21"/>
      <c r="AN322" s="133"/>
      <c r="AO322" s="134"/>
      <c r="AP322" s="135"/>
      <c r="AQ322" s="136"/>
      <c r="AR322" s="118"/>
      <c r="AS322" s="119"/>
      <c r="AT322" s="180">
        <f>AR322*0.1</f>
        <v>0</v>
      </c>
      <c r="AU322" s="181"/>
      <c r="AV322" s="118"/>
      <c r="AW322" s="119"/>
      <c r="AX322" s="118">
        <f>SUM(AR322:AW322)</f>
        <v>0</v>
      </c>
      <c r="AY322" s="119"/>
      <c r="AZ322" s="200"/>
    </row>
    <row r="323" spans="1:52" ht="17.100000000000001" customHeight="1" thickBot="1">
      <c r="A323" s="110"/>
      <c r="B323" s="27" t="s">
        <v>740</v>
      </c>
      <c r="C323" s="27">
        <v>72019</v>
      </c>
      <c r="D323" s="14" t="s">
        <v>291</v>
      </c>
      <c r="E323" s="112"/>
      <c r="F323" s="139" t="s">
        <v>1348</v>
      </c>
      <c r="G323" s="140"/>
      <c r="H323" s="141"/>
      <c r="I323" s="26">
        <v>47410</v>
      </c>
      <c r="J323" s="117"/>
      <c r="K323" s="120"/>
      <c r="L323" s="121"/>
      <c r="M323" s="120"/>
      <c r="N323" s="121"/>
      <c r="O323" s="120"/>
      <c r="P323" s="121"/>
      <c r="Q323" s="120"/>
      <c r="R323" s="121"/>
      <c r="S323" s="120"/>
      <c r="T323" s="121"/>
      <c r="U323" s="120"/>
      <c r="V323" s="182"/>
      <c r="W323" s="125"/>
      <c r="X323" s="143" t="s">
        <v>1349</v>
      </c>
      <c r="Y323" s="143"/>
      <c r="Z323" s="143"/>
      <c r="AA323" s="143"/>
      <c r="AB323" s="144"/>
      <c r="AC323" s="16" t="s">
        <v>21</v>
      </c>
      <c r="AD323" s="17" t="s">
        <v>1334</v>
      </c>
      <c r="AE323" s="145" t="s">
        <v>1335</v>
      </c>
      <c r="AF323" s="146"/>
      <c r="AG323" s="146"/>
      <c r="AH323" s="146"/>
      <c r="AI323" s="147"/>
      <c r="AJ323" s="148"/>
      <c r="AK323" s="143"/>
      <c r="AL323" s="143"/>
      <c r="AM323" s="22"/>
      <c r="AN323" s="149"/>
      <c r="AO323" s="144"/>
      <c r="AP323" s="148"/>
      <c r="AQ323" s="144"/>
      <c r="AR323" s="120"/>
      <c r="AS323" s="121"/>
      <c r="AT323" s="120"/>
      <c r="AU323" s="182"/>
      <c r="AV323" s="120"/>
      <c r="AW323" s="121"/>
      <c r="AX323" s="120"/>
      <c r="AY323" s="121"/>
      <c r="AZ323" s="201"/>
    </row>
    <row r="324" spans="1:52" ht="17.100000000000001" customHeight="1" thickTop="1">
      <c r="A324" s="109" t="s">
        <v>5899</v>
      </c>
      <c r="B324" s="28">
        <v>44275</v>
      </c>
      <c r="C324" s="29" t="s">
        <v>1350</v>
      </c>
      <c r="D324" s="13" t="s">
        <v>263</v>
      </c>
      <c r="E324" s="111"/>
      <c r="F324" s="283" t="s">
        <v>1351</v>
      </c>
      <c r="G324" s="273"/>
      <c r="H324" s="274"/>
      <c r="I324" s="24"/>
      <c r="J324" s="116">
        <v>4</v>
      </c>
      <c r="K324" s="118">
        <v>1090000</v>
      </c>
      <c r="L324" s="119"/>
      <c r="M324" s="118">
        <v>109000</v>
      </c>
      <c r="N324" s="119"/>
      <c r="O324" s="118">
        <v>0</v>
      </c>
      <c r="P324" s="119"/>
      <c r="Q324" s="118">
        <v>17420</v>
      </c>
      <c r="R324" s="119"/>
      <c r="S324" s="118">
        <v>13200</v>
      </c>
      <c r="T324" s="119"/>
      <c r="U324" s="118">
        <f>SUM(K324:T324)</f>
        <v>1229620</v>
      </c>
      <c r="V324" s="210"/>
      <c r="W324" s="124">
        <v>1000000</v>
      </c>
      <c r="X324" s="223" t="s">
        <v>1352</v>
      </c>
      <c r="Y324" s="223"/>
      <c r="Z324" s="223"/>
      <c r="AA324" s="223"/>
      <c r="AB324" s="224"/>
      <c r="AC324" s="15" t="s">
        <v>20</v>
      </c>
      <c r="AD324" s="129" t="s">
        <v>1119</v>
      </c>
      <c r="AE324" s="130"/>
      <c r="AF324" s="130"/>
      <c r="AG324" s="130"/>
      <c r="AH324" s="130"/>
      <c r="AI324" s="131"/>
      <c r="AJ324" s="132"/>
      <c r="AK324" s="127"/>
      <c r="AL324" s="127"/>
      <c r="AM324" s="21"/>
      <c r="AN324" s="133"/>
      <c r="AO324" s="134"/>
      <c r="AP324" s="135"/>
      <c r="AQ324" s="136"/>
      <c r="AR324" s="118"/>
      <c r="AS324" s="119"/>
      <c r="AT324" s="180">
        <f>AR324*0.1</f>
        <v>0</v>
      </c>
      <c r="AU324" s="181"/>
      <c r="AV324" s="118"/>
      <c r="AW324" s="119"/>
      <c r="AX324" s="118">
        <f>SUM(AR324:AW324)</f>
        <v>0</v>
      </c>
      <c r="AY324" s="119"/>
      <c r="AZ324" s="200"/>
    </row>
    <row r="325" spans="1:52" ht="17.100000000000001" customHeight="1" thickBot="1">
      <c r="A325" s="110"/>
      <c r="B325" s="27" t="s">
        <v>740</v>
      </c>
      <c r="C325" s="27">
        <v>60109</v>
      </c>
      <c r="D325" s="14" t="s">
        <v>291</v>
      </c>
      <c r="E325" s="112"/>
      <c r="F325" s="139" t="s">
        <v>1353</v>
      </c>
      <c r="G325" s="140"/>
      <c r="H325" s="141"/>
      <c r="I325" s="26">
        <v>33507</v>
      </c>
      <c r="J325" s="117"/>
      <c r="K325" s="120"/>
      <c r="L325" s="121"/>
      <c r="M325" s="120"/>
      <c r="N325" s="121"/>
      <c r="O325" s="120"/>
      <c r="P325" s="121"/>
      <c r="Q325" s="120"/>
      <c r="R325" s="121"/>
      <c r="S325" s="120"/>
      <c r="T325" s="121"/>
      <c r="U325" s="120"/>
      <c r="V325" s="182"/>
      <c r="W325" s="125"/>
      <c r="X325" s="143" t="s">
        <v>1354</v>
      </c>
      <c r="Y325" s="143"/>
      <c r="Z325" s="143"/>
      <c r="AA325" s="143"/>
      <c r="AB325" s="144"/>
      <c r="AC325" s="16" t="s">
        <v>21</v>
      </c>
      <c r="AD325" s="17" t="s">
        <v>1355</v>
      </c>
      <c r="AE325" s="145" t="s">
        <v>1356</v>
      </c>
      <c r="AF325" s="146"/>
      <c r="AG325" s="146"/>
      <c r="AH325" s="146"/>
      <c r="AI325" s="147"/>
      <c r="AJ325" s="148"/>
      <c r="AK325" s="143"/>
      <c r="AL325" s="143"/>
      <c r="AM325" s="22"/>
      <c r="AN325" s="149"/>
      <c r="AO325" s="144"/>
      <c r="AP325" s="148"/>
      <c r="AQ325" s="144"/>
      <c r="AR325" s="120"/>
      <c r="AS325" s="121"/>
      <c r="AT325" s="120"/>
      <c r="AU325" s="182"/>
      <c r="AV325" s="120"/>
      <c r="AW325" s="121"/>
      <c r="AX325" s="120"/>
      <c r="AY325" s="121"/>
      <c r="AZ325" s="201"/>
    </row>
    <row r="326" spans="1:52" ht="17.100000000000001" customHeight="1" thickTop="1">
      <c r="A326" s="109" t="s">
        <v>5900</v>
      </c>
      <c r="B326" s="28">
        <v>44291</v>
      </c>
      <c r="C326" s="29"/>
      <c r="D326" s="13" t="s">
        <v>1357</v>
      </c>
      <c r="E326" s="111"/>
      <c r="F326" s="283" t="s">
        <v>1358</v>
      </c>
      <c r="G326" s="273"/>
      <c r="H326" s="274"/>
      <c r="I326" s="24"/>
      <c r="J326" s="116">
        <v>3.5</v>
      </c>
      <c r="K326" s="118">
        <v>1282000</v>
      </c>
      <c r="L326" s="119"/>
      <c r="M326" s="118">
        <v>128200</v>
      </c>
      <c r="N326" s="119"/>
      <c r="O326" s="118">
        <v>0</v>
      </c>
      <c r="P326" s="119"/>
      <c r="Q326" s="118">
        <v>15440</v>
      </c>
      <c r="R326" s="119"/>
      <c r="S326" s="118">
        <v>13200</v>
      </c>
      <c r="T326" s="119"/>
      <c r="U326" s="118">
        <f>SUM(K326:T326)</f>
        <v>1438840</v>
      </c>
      <c r="V326" s="210"/>
      <c r="W326" s="124">
        <v>1000000</v>
      </c>
      <c r="X326" s="223" t="s">
        <v>1359</v>
      </c>
      <c r="Y326" s="223"/>
      <c r="Z326" s="223"/>
      <c r="AA326" s="223"/>
      <c r="AB326" s="224"/>
      <c r="AC326" s="15" t="s">
        <v>20</v>
      </c>
      <c r="AD326" s="129" t="s">
        <v>764</v>
      </c>
      <c r="AE326" s="130"/>
      <c r="AF326" s="130"/>
      <c r="AG326" s="130"/>
      <c r="AH326" s="130"/>
      <c r="AI326" s="131"/>
      <c r="AJ326" s="132"/>
      <c r="AK326" s="127"/>
      <c r="AL326" s="127"/>
      <c r="AM326" s="21"/>
      <c r="AN326" s="133"/>
      <c r="AO326" s="134"/>
      <c r="AP326" s="135"/>
      <c r="AQ326" s="136"/>
      <c r="AR326" s="118"/>
      <c r="AS326" s="119"/>
      <c r="AT326" s="180">
        <f>AR326*0.1</f>
        <v>0</v>
      </c>
      <c r="AU326" s="181"/>
      <c r="AV326" s="118"/>
      <c r="AW326" s="119"/>
      <c r="AX326" s="118">
        <f>SUM(AR326:AW326)</f>
        <v>0</v>
      </c>
      <c r="AY326" s="119"/>
      <c r="AZ326" s="200"/>
    </row>
    <row r="327" spans="1:52" ht="17.100000000000001" customHeight="1" thickBot="1">
      <c r="A327" s="110"/>
      <c r="B327" s="27" t="s">
        <v>1360</v>
      </c>
      <c r="C327" s="27">
        <v>70393</v>
      </c>
      <c r="D327" s="14" t="s">
        <v>1228</v>
      </c>
      <c r="E327" s="112"/>
      <c r="F327" s="139" t="s">
        <v>1361</v>
      </c>
      <c r="G327" s="140"/>
      <c r="H327" s="141"/>
      <c r="I327" s="26">
        <v>51387</v>
      </c>
      <c r="J327" s="117"/>
      <c r="K327" s="120"/>
      <c r="L327" s="121"/>
      <c r="M327" s="120"/>
      <c r="N327" s="121"/>
      <c r="O327" s="120"/>
      <c r="P327" s="121"/>
      <c r="Q327" s="120"/>
      <c r="R327" s="121"/>
      <c r="S327" s="120"/>
      <c r="T327" s="121"/>
      <c r="U327" s="120"/>
      <c r="V327" s="182"/>
      <c r="W327" s="125"/>
      <c r="X327" s="143" t="s">
        <v>1362</v>
      </c>
      <c r="Y327" s="143"/>
      <c r="Z327" s="143"/>
      <c r="AA327" s="143"/>
      <c r="AB327" s="144"/>
      <c r="AC327" s="16" t="s">
        <v>21</v>
      </c>
      <c r="AD327" s="17" t="s">
        <v>1363</v>
      </c>
      <c r="AE327" s="145" t="s">
        <v>1295</v>
      </c>
      <c r="AF327" s="146"/>
      <c r="AG327" s="146"/>
      <c r="AH327" s="146"/>
      <c r="AI327" s="147"/>
      <c r="AJ327" s="148"/>
      <c r="AK327" s="143"/>
      <c r="AL327" s="143"/>
      <c r="AM327" s="22"/>
      <c r="AN327" s="149"/>
      <c r="AO327" s="144"/>
      <c r="AP327" s="148"/>
      <c r="AQ327" s="144"/>
      <c r="AR327" s="120"/>
      <c r="AS327" s="121"/>
      <c r="AT327" s="120"/>
      <c r="AU327" s="182"/>
      <c r="AV327" s="120"/>
      <c r="AW327" s="121"/>
      <c r="AX327" s="120"/>
      <c r="AY327" s="121"/>
      <c r="AZ327" s="201"/>
    </row>
    <row r="328" spans="1:52" ht="17.100000000000001" customHeight="1" thickTop="1">
      <c r="A328" s="109" t="s">
        <v>5901</v>
      </c>
      <c r="B328" s="28">
        <v>44294</v>
      </c>
      <c r="C328" s="29" t="s">
        <v>1364</v>
      </c>
      <c r="D328" s="13" t="s">
        <v>1221</v>
      </c>
      <c r="E328" s="111"/>
      <c r="F328" s="283" t="s">
        <v>1365</v>
      </c>
      <c r="G328" s="273"/>
      <c r="H328" s="274"/>
      <c r="I328" s="24" t="s">
        <v>1128</v>
      </c>
      <c r="J328" s="116">
        <v>4.5</v>
      </c>
      <c r="K328" s="118">
        <v>2043000</v>
      </c>
      <c r="L328" s="119"/>
      <c r="M328" s="118">
        <v>204300</v>
      </c>
      <c r="N328" s="119"/>
      <c r="O328" s="118">
        <v>36200</v>
      </c>
      <c r="P328" s="119"/>
      <c r="Q328" s="118">
        <v>17700</v>
      </c>
      <c r="R328" s="119"/>
      <c r="S328" s="118">
        <v>19800</v>
      </c>
      <c r="T328" s="119"/>
      <c r="U328" s="118">
        <f>SUM(K328:T328)</f>
        <v>2321000</v>
      </c>
      <c r="V328" s="210"/>
      <c r="W328" s="124">
        <v>1900000</v>
      </c>
      <c r="X328" s="223" t="s">
        <v>1366</v>
      </c>
      <c r="Y328" s="223"/>
      <c r="Z328" s="223"/>
      <c r="AA328" s="223"/>
      <c r="AB328" s="224"/>
      <c r="AC328" s="15" t="s">
        <v>20</v>
      </c>
      <c r="AD328" s="129" t="s">
        <v>1367</v>
      </c>
      <c r="AE328" s="130"/>
      <c r="AF328" s="130"/>
      <c r="AG328" s="130"/>
      <c r="AH328" s="130"/>
      <c r="AI328" s="131"/>
      <c r="AJ328" s="132"/>
      <c r="AK328" s="127"/>
      <c r="AL328" s="127"/>
      <c r="AM328" s="21"/>
      <c r="AN328" s="133"/>
      <c r="AO328" s="134"/>
      <c r="AP328" s="135"/>
      <c r="AQ328" s="136"/>
      <c r="AR328" s="118"/>
      <c r="AS328" s="119"/>
      <c r="AT328" s="180">
        <f>AR328*0.1</f>
        <v>0</v>
      </c>
      <c r="AU328" s="181"/>
      <c r="AV328" s="118"/>
      <c r="AW328" s="119"/>
      <c r="AX328" s="118">
        <f>SUM(AR328:AW328)</f>
        <v>0</v>
      </c>
      <c r="AY328" s="119"/>
      <c r="AZ328" s="200"/>
    </row>
    <row r="329" spans="1:52" ht="17.100000000000001" customHeight="1" thickBot="1">
      <c r="A329" s="110"/>
      <c r="B329" s="27" t="s">
        <v>1368</v>
      </c>
      <c r="C329" s="27">
        <v>10205</v>
      </c>
      <c r="D329" s="14" t="s">
        <v>1228</v>
      </c>
      <c r="E329" s="112"/>
      <c r="F329" s="139" t="s">
        <v>1369</v>
      </c>
      <c r="G329" s="140"/>
      <c r="H329" s="141"/>
      <c r="I329" s="26">
        <v>30408</v>
      </c>
      <c r="J329" s="117"/>
      <c r="K329" s="120"/>
      <c r="L329" s="121"/>
      <c r="M329" s="120"/>
      <c r="N329" s="121"/>
      <c r="O329" s="120"/>
      <c r="P329" s="121"/>
      <c r="Q329" s="120"/>
      <c r="R329" s="121"/>
      <c r="S329" s="120"/>
      <c r="T329" s="121"/>
      <c r="U329" s="120"/>
      <c r="V329" s="182"/>
      <c r="W329" s="125"/>
      <c r="X329" s="143" t="s">
        <v>1370</v>
      </c>
      <c r="Y329" s="143"/>
      <c r="Z329" s="143"/>
      <c r="AA329" s="143"/>
      <c r="AB329" s="144"/>
      <c r="AC329" s="16" t="s">
        <v>21</v>
      </c>
      <c r="AD329" s="17" t="s">
        <v>1371</v>
      </c>
      <c r="AE329" s="145" t="s">
        <v>185</v>
      </c>
      <c r="AF329" s="146"/>
      <c r="AG329" s="146"/>
      <c r="AH329" s="146"/>
      <c r="AI329" s="147"/>
      <c r="AJ329" s="148"/>
      <c r="AK329" s="143"/>
      <c r="AL329" s="143"/>
      <c r="AM329" s="22"/>
      <c r="AN329" s="149"/>
      <c r="AO329" s="144"/>
      <c r="AP329" s="148"/>
      <c r="AQ329" s="144"/>
      <c r="AR329" s="120"/>
      <c r="AS329" s="121"/>
      <c r="AT329" s="120"/>
      <c r="AU329" s="182"/>
      <c r="AV329" s="120"/>
      <c r="AW329" s="121"/>
      <c r="AX329" s="120"/>
      <c r="AY329" s="121"/>
      <c r="AZ329" s="201"/>
    </row>
    <row r="330" spans="1:52" ht="17.100000000000001" customHeight="1" thickTop="1">
      <c r="A330" s="109" t="s">
        <v>5902</v>
      </c>
      <c r="B330" s="28">
        <v>44299</v>
      </c>
      <c r="C330" s="29" t="s">
        <v>1372</v>
      </c>
      <c r="D330" s="13" t="s">
        <v>210</v>
      </c>
      <c r="E330" s="111"/>
      <c r="F330" s="283" t="s">
        <v>1373</v>
      </c>
      <c r="G330" s="273"/>
      <c r="H330" s="274"/>
      <c r="I330" s="24"/>
      <c r="J330" s="116">
        <v>3</v>
      </c>
      <c r="K330" s="118">
        <v>930000</v>
      </c>
      <c r="L330" s="119"/>
      <c r="M330" s="118">
        <v>93000</v>
      </c>
      <c r="N330" s="119"/>
      <c r="O330" s="118">
        <v>0</v>
      </c>
      <c r="P330" s="119"/>
      <c r="Q330" s="118">
        <v>15590</v>
      </c>
      <c r="R330" s="119"/>
      <c r="S330" s="118">
        <v>13200</v>
      </c>
      <c r="T330" s="119"/>
      <c r="U330" s="118">
        <f>SUM(K330:T330)</f>
        <v>1051790</v>
      </c>
      <c r="V330" s="210"/>
      <c r="W330" s="124">
        <v>700000</v>
      </c>
      <c r="X330" s="223" t="s">
        <v>1374</v>
      </c>
      <c r="Y330" s="223"/>
      <c r="Z330" s="223"/>
      <c r="AA330" s="223"/>
      <c r="AB330" s="224"/>
      <c r="AC330" s="15" t="s">
        <v>20</v>
      </c>
      <c r="AD330" s="129"/>
      <c r="AE330" s="130"/>
      <c r="AF330" s="130"/>
      <c r="AG330" s="130"/>
      <c r="AH330" s="130"/>
      <c r="AI330" s="131"/>
      <c r="AJ330" s="132"/>
      <c r="AK330" s="127"/>
      <c r="AL330" s="127"/>
      <c r="AM330" s="21"/>
      <c r="AN330" s="133"/>
      <c r="AO330" s="134"/>
      <c r="AP330" s="135"/>
      <c r="AQ330" s="136"/>
      <c r="AR330" s="118"/>
      <c r="AS330" s="119"/>
      <c r="AT330" s="180">
        <f>AR330*0.1</f>
        <v>0</v>
      </c>
      <c r="AU330" s="181"/>
      <c r="AV330" s="118"/>
      <c r="AW330" s="119"/>
      <c r="AX330" s="118">
        <f>SUM(AR330:AW330)</f>
        <v>0</v>
      </c>
      <c r="AY330" s="119"/>
      <c r="AZ330" s="200"/>
    </row>
    <row r="331" spans="1:52" ht="17.100000000000001" customHeight="1" thickBot="1">
      <c r="A331" s="110"/>
      <c r="B331" s="27" t="s">
        <v>132</v>
      </c>
      <c r="C331" s="27">
        <v>84155</v>
      </c>
      <c r="D331" s="14" t="s">
        <v>92</v>
      </c>
      <c r="E331" s="112"/>
      <c r="F331" s="139" t="s">
        <v>1375</v>
      </c>
      <c r="G331" s="140"/>
      <c r="H331" s="141"/>
      <c r="I331" s="26">
        <v>59138</v>
      </c>
      <c r="J331" s="117"/>
      <c r="K331" s="120"/>
      <c r="L331" s="121"/>
      <c r="M331" s="120"/>
      <c r="N331" s="121"/>
      <c r="O331" s="120"/>
      <c r="P331" s="121"/>
      <c r="Q331" s="120"/>
      <c r="R331" s="121"/>
      <c r="S331" s="120"/>
      <c r="T331" s="121"/>
      <c r="U331" s="120"/>
      <c r="V331" s="182"/>
      <c r="W331" s="125"/>
      <c r="X331" s="143" t="s">
        <v>1376</v>
      </c>
      <c r="Y331" s="143"/>
      <c r="Z331" s="143"/>
      <c r="AA331" s="143"/>
      <c r="AB331" s="144"/>
      <c r="AC331" s="16" t="s">
        <v>21</v>
      </c>
      <c r="AD331" s="17" t="s">
        <v>1377</v>
      </c>
      <c r="AE331" s="145" t="s">
        <v>1378</v>
      </c>
      <c r="AF331" s="146"/>
      <c r="AG331" s="146"/>
      <c r="AH331" s="146"/>
      <c r="AI331" s="147"/>
      <c r="AJ331" s="148"/>
      <c r="AK331" s="143"/>
      <c r="AL331" s="143"/>
      <c r="AM331" s="22"/>
      <c r="AN331" s="149"/>
      <c r="AO331" s="144"/>
      <c r="AP331" s="148"/>
      <c r="AQ331" s="144"/>
      <c r="AR331" s="120"/>
      <c r="AS331" s="121"/>
      <c r="AT331" s="120"/>
      <c r="AU331" s="182"/>
      <c r="AV331" s="120"/>
      <c r="AW331" s="121"/>
      <c r="AX331" s="120"/>
      <c r="AY331" s="121"/>
      <c r="AZ331" s="201"/>
    </row>
    <row r="332" spans="1:52" ht="17.100000000000001" customHeight="1" thickTop="1">
      <c r="A332" s="109" t="s">
        <v>5903</v>
      </c>
      <c r="B332" s="28">
        <v>44303</v>
      </c>
      <c r="C332" s="29" t="s">
        <v>1379</v>
      </c>
      <c r="D332" s="13" t="s">
        <v>1380</v>
      </c>
      <c r="E332" s="111"/>
      <c r="F332" s="283" t="s">
        <v>1381</v>
      </c>
      <c r="G332" s="273"/>
      <c r="H332" s="274"/>
      <c r="I332" s="24"/>
      <c r="J332" s="116">
        <v>3.5</v>
      </c>
      <c r="K332" s="118">
        <v>500000</v>
      </c>
      <c r="L332" s="119"/>
      <c r="M332" s="118">
        <v>50000</v>
      </c>
      <c r="N332" s="119"/>
      <c r="O332" s="118">
        <v>0</v>
      </c>
      <c r="P332" s="119"/>
      <c r="Q332" s="118">
        <v>10010</v>
      </c>
      <c r="R332" s="119"/>
      <c r="S332" s="118">
        <v>9900</v>
      </c>
      <c r="T332" s="119"/>
      <c r="U332" s="118">
        <f>SUM(K332:T332)</f>
        <v>569910</v>
      </c>
      <c r="V332" s="210"/>
      <c r="W332" s="124">
        <v>300000</v>
      </c>
      <c r="X332" s="223" t="s">
        <v>1382</v>
      </c>
      <c r="Y332" s="223"/>
      <c r="Z332" s="223"/>
      <c r="AA332" s="223"/>
      <c r="AB332" s="224"/>
      <c r="AC332" s="15" t="s">
        <v>20</v>
      </c>
      <c r="AD332" s="129"/>
      <c r="AE332" s="130"/>
      <c r="AF332" s="130"/>
      <c r="AG332" s="130"/>
      <c r="AH332" s="130"/>
      <c r="AI332" s="131"/>
      <c r="AJ332" s="132"/>
      <c r="AK332" s="127"/>
      <c r="AL332" s="127"/>
      <c r="AM332" s="21"/>
      <c r="AN332" s="133"/>
      <c r="AO332" s="134"/>
      <c r="AP332" s="135"/>
      <c r="AQ332" s="136"/>
      <c r="AR332" s="118"/>
      <c r="AS332" s="119"/>
      <c r="AT332" s="180">
        <f>AR332*0.1</f>
        <v>0</v>
      </c>
      <c r="AU332" s="181"/>
      <c r="AV332" s="118"/>
      <c r="AW332" s="119"/>
      <c r="AX332" s="118">
        <f>SUM(AR332:AW332)</f>
        <v>0</v>
      </c>
      <c r="AY332" s="119"/>
      <c r="AZ332" s="200"/>
    </row>
    <row r="333" spans="1:52" ht="17.100000000000001" customHeight="1" thickBot="1">
      <c r="A333" s="110"/>
      <c r="B333" s="27" t="s">
        <v>46</v>
      </c>
      <c r="C333" s="27">
        <v>33185</v>
      </c>
      <c r="D333" s="14" t="s">
        <v>66</v>
      </c>
      <c r="E333" s="112"/>
      <c r="F333" s="139" t="s">
        <v>1383</v>
      </c>
      <c r="G333" s="140"/>
      <c r="H333" s="141"/>
      <c r="I333" s="26">
        <v>37727</v>
      </c>
      <c r="J333" s="117"/>
      <c r="K333" s="120"/>
      <c r="L333" s="121"/>
      <c r="M333" s="120"/>
      <c r="N333" s="121"/>
      <c r="O333" s="120"/>
      <c r="P333" s="121"/>
      <c r="Q333" s="120"/>
      <c r="R333" s="121"/>
      <c r="S333" s="120"/>
      <c r="T333" s="121"/>
      <c r="U333" s="120"/>
      <c r="V333" s="182"/>
      <c r="W333" s="125"/>
      <c r="X333" s="143" t="s">
        <v>1384</v>
      </c>
      <c r="Y333" s="143"/>
      <c r="Z333" s="143"/>
      <c r="AA333" s="143"/>
      <c r="AB333" s="144"/>
      <c r="AC333" s="16" t="s">
        <v>21</v>
      </c>
      <c r="AD333" s="17" t="s">
        <v>1385</v>
      </c>
      <c r="AE333" s="145"/>
      <c r="AF333" s="146"/>
      <c r="AG333" s="146"/>
      <c r="AH333" s="146"/>
      <c r="AI333" s="147"/>
      <c r="AJ333" s="148"/>
      <c r="AK333" s="143"/>
      <c r="AL333" s="143"/>
      <c r="AM333" s="22"/>
      <c r="AN333" s="149"/>
      <c r="AO333" s="144"/>
      <c r="AP333" s="148"/>
      <c r="AQ333" s="144"/>
      <c r="AR333" s="120"/>
      <c r="AS333" s="121"/>
      <c r="AT333" s="120"/>
      <c r="AU333" s="182"/>
      <c r="AV333" s="120"/>
      <c r="AW333" s="121"/>
      <c r="AX333" s="120"/>
      <c r="AY333" s="121"/>
      <c r="AZ333" s="201"/>
    </row>
    <row r="334" spans="1:52" ht="17.100000000000001" customHeight="1" thickTop="1">
      <c r="A334" s="109" t="s">
        <v>5904</v>
      </c>
      <c r="B334" s="28">
        <v>44330</v>
      </c>
      <c r="C334" s="29" t="s">
        <v>1386</v>
      </c>
      <c r="D334" s="13" t="s">
        <v>1074</v>
      </c>
      <c r="E334" s="111"/>
      <c r="F334" s="283" t="s">
        <v>1387</v>
      </c>
      <c r="G334" s="273"/>
      <c r="H334" s="274"/>
      <c r="I334" s="24"/>
      <c r="J334" s="116">
        <v>4</v>
      </c>
      <c r="K334" s="118">
        <v>2065000</v>
      </c>
      <c r="L334" s="119"/>
      <c r="M334" s="118">
        <v>206500</v>
      </c>
      <c r="N334" s="119"/>
      <c r="O334" s="118">
        <v>0</v>
      </c>
      <c r="P334" s="119"/>
      <c r="Q334" s="118">
        <v>18300</v>
      </c>
      <c r="R334" s="119"/>
      <c r="S334" s="118">
        <v>13200</v>
      </c>
      <c r="T334" s="119"/>
      <c r="U334" s="118">
        <f>SUM(K334:T334)</f>
        <v>2303000</v>
      </c>
      <c r="V334" s="210"/>
      <c r="W334" s="124">
        <v>2000000</v>
      </c>
      <c r="X334" s="223" t="s">
        <v>1388</v>
      </c>
      <c r="Y334" s="223"/>
      <c r="Z334" s="223"/>
      <c r="AA334" s="223"/>
      <c r="AB334" s="224"/>
      <c r="AC334" s="15" t="s">
        <v>20</v>
      </c>
      <c r="AD334" s="129" t="s">
        <v>1282</v>
      </c>
      <c r="AE334" s="130"/>
      <c r="AF334" s="130"/>
      <c r="AG334" s="130"/>
      <c r="AH334" s="130"/>
      <c r="AI334" s="131"/>
      <c r="AJ334" s="132"/>
      <c r="AK334" s="127"/>
      <c r="AL334" s="127"/>
      <c r="AM334" s="21"/>
      <c r="AN334" s="133"/>
      <c r="AO334" s="134"/>
      <c r="AP334" s="135"/>
      <c r="AQ334" s="136"/>
      <c r="AR334" s="118"/>
      <c r="AS334" s="119"/>
      <c r="AT334" s="180">
        <f>AR334*0.1</f>
        <v>0</v>
      </c>
      <c r="AU334" s="181"/>
      <c r="AV334" s="118"/>
      <c r="AW334" s="119"/>
      <c r="AX334" s="118">
        <f>SUM(AR334:AW334)</f>
        <v>0</v>
      </c>
      <c r="AY334" s="119"/>
      <c r="AZ334" s="200"/>
    </row>
    <row r="335" spans="1:52" ht="17.100000000000001" customHeight="1" thickBot="1">
      <c r="A335" s="110"/>
      <c r="B335" s="27" t="s">
        <v>205</v>
      </c>
      <c r="C335" s="27">
        <v>58741</v>
      </c>
      <c r="D335" s="14" t="s">
        <v>765</v>
      </c>
      <c r="E335" s="112"/>
      <c r="F335" s="139" t="s">
        <v>1389</v>
      </c>
      <c r="G335" s="140"/>
      <c r="H335" s="141"/>
      <c r="I335" s="26">
        <v>47295</v>
      </c>
      <c r="J335" s="117"/>
      <c r="K335" s="120"/>
      <c r="L335" s="121"/>
      <c r="M335" s="120"/>
      <c r="N335" s="121"/>
      <c r="O335" s="120"/>
      <c r="P335" s="121"/>
      <c r="Q335" s="120"/>
      <c r="R335" s="121"/>
      <c r="S335" s="120"/>
      <c r="T335" s="121"/>
      <c r="U335" s="120"/>
      <c r="V335" s="182"/>
      <c r="W335" s="125"/>
      <c r="X335" s="143" t="s">
        <v>1390</v>
      </c>
      <c r="Y335" s="143"/>
      <c r="Z335" s="143"/>
      <c r="AA335" s="143"/>
      <c r="AB335" s="144"/>
      <c r="AC335" s="16" t="s">
        <v>21</v>
      </c>
      <c r="AD335" s="17" t="s">
        <v>1391</v>
      </c>
      <c r="AE335" s="145" t="s">
        <v>1392</v>
      </c>
      <c r="AF335" s="146"/>
      <c r="AG335" s="146"/>
      <c r="AH335" s="146"/>
      <c r="AI335" s="147"/>
      <c r="AJ335" s="148"/>
      <c r="AK335" s="143"/>
      <c r="AL335" s="143"/>
      <c r="AM335" s="22"/>
      <c r="AN335" s="149"/>
      <c r="AO335" s="144"/>
      <c r="AP335" s="148"/>
      <c r="AQ335" s="144"/>
      <c r="AR335" s="120"/>
      <c r="AS335" s="121"/>
      <c r="AT335" s="120"/>
      <c r="AU335" s="182"/>
      <c r="AV335" s="120"/>
      <c r="AW335" s="121"/>
      <c r="AX335" s="120"/>
      <c r="AY335" s="121"/>
      <c r="AZ335" s="201"/>
    </row>
    <row r="336" spans="1:52" ht="17.100000000000001" customHeight="1" thickTop="1">
      <c r="A336" s="109" t="s">
        <v>5905</v>
      </c>
      <c r="B336" s="28">
        <v>44342</v>
      </c>
      <c r="C336" s="29" t="s">
        <v>1393</v>
      </c>
      <c r="D336" s="13" t="s">
        <v>359</v>
      </c>
      <c r="E336" s="111"/>
      <c r="F336" s="283" t="s">
        <v>1394</v>
      </c>
      <c r="G336" s="273"/>
      <c r="H336" s="274"/>
      <c r="I336" s="24"/>
      <c r="J336" s="116">
        <v>4.5</v>
      </c>
      <c r="K336" s="118">
        <v>1700000</v>
      </c>
      <c r="L336" s="119"/>
      <c r="M336" s="118">
        <v>170000</v>
      </c>
      <c r="N336" s="119"/>
      <c r="O336" s="118">
        <v>0</v>
      </c>
      <c r="P336" s="119"/>
      <c r="Q336" s="118">
        <v>21650</v>
      </c>
      <c r="R336" s="119"/>
      <c r="S336" s="118">
        <v>15950</v>
      </c>
      <c r="T336" s="119"/>
      <c r="U336" s="118">
        <f>SUM(K336:T336)</f>
        <v>1907600</v>
      </c>
      <c r="V336" s="210"/>
      <c r="W336" s="124">
        <v>1600000</v>
      </c>
      <c r="X336" s="223" t="s">
        <v>1395</v>
      </c>
      <c r="Y336" s="223"/>
      <c r="Z336" s="223"/>
      <c r="AA336" s="223"/>
      <c r="AB336" s="224"/>
      <c r="AC336" s="15" t="s">
        <v>20</v>
      </c>
      <c r="AD336" s="129"/>
      <c r="AE336" s="130"/>
      <c r="AF336" s="130"/>
      <c r="AG336" s="130"/>
      <c r="AH336" s="130"/>
      <c r="AI336" s="131"/>
      <c r="AJ336" s="132"/>
      <c r="AK336" s="127"/>
      <c r="AL336" s="127"/>
      <c r="AM336" s="21"/>
      <c r="AN336" s="133"/>
      <c r="AO336" s="134"/>
      <c r="AP336" s="135"/>
      <c r="AQ336" s="136"/>
      <c r="AR336" s="118"/>
      <c r="AS336" s="119"/>
      <c r="AT336" s="180">
        <f>AR336*0.1</f>
        <v>0</v>
      </c>
      <c r="AU336" s="181"/>
      <c r="AV336" s="118"/>
      <c r="AW336" s="119"/>
      <c r="AX336" s="118">
        <f>SUM(AR336:AW336)</f>
        <v>0</v>
      </c>
      <c r="AY336" s="119"/>
      <c r="AZ336" s="200"/>
    </row>
    <row r="337" spans="1:52" ht="17.100000000000001" customHeight="1" thickBot="1">
      <c r="A337" s="110"/>
      <c r="B337" s="27" t="s">
        <v>649</v>
      </c>
      <c r="C337" s="27">
        <v>36118</v>
      </c>
      <c r="D337" s="14" t="s">
        <v>765</v>
      </c>
      <c r="E337" s="112"/>
      <c r="F337" s="139" t="s">
        <v>1396</v>
      </c>
      <c r="G337" s="140"/>
      <c r="H337" s="141"/>
      <c r="I337" s="26">
        <v>28571</v>
      </c>
      <c r="J337" s="117"/>
      <c r="K337" s="120"/>
      <c r="L337" s="121"/>
      <c r="M337" s="120"/>
      <c r="N337" s="121"/>
      <c r="O337" s="120"/>
      <c r="P337" s="121"/>
      <c r="Q337" s="120"/>
      <c r="R337" s="121"/>
      <c r="S337" s="120"/>
      <c r="T337" s="121"/>
      <c r="U337" s="120"/>
      <c r="V337" s="182"/>
      <c r="W337" s="125"/>
      <c r="X337" s="143" t="s">
        <v>1397</v>
      </c>
      <c r="Y337" s="143"/>
      <c r="Z337" s="143"/>
      <c r="AA337" s="143"/>
      <c r="AB337" s="144"/>
      <c r="AC337" s="16" t="s">
        <v>21</v>
      </c>
      <c r="AD337" s="17" t="s">
        <v>776</v>
      </c>
      <c r="AE337" s="145" t="s">
        <v>1398</v>
      </c>
      <c r="AF337" s="146"/>
      <c r="AG337" s="146"/>
      <c r="AH337" s="146"/>
      <c r="AI337" s="147"/>
      <c r="AJ337" s="148"/>
      <c r="AK337" s="143"/>
      <c r="AL337" s="143"/>
      <c r="AM337" s="22"/>
      <c r="AN337" s="149"/>
      <c r="AO337" s="144"/>
      <c r="AP337" s="148"/>
      <c r="AQ337" s="144"/>
      <c r="AR337" s="120"/>
      <c r="AS337" s="121"/>
      <c r="AT337" s="120"/>
      <c r="AU337" s="182"/>
      <c r="AV337" s="120"/>
      <c r="AW337" s="121"/>
      <c r="AX337" s="120"/>
      <c r="AY337" s="121"/>
      <c r="AZ337" s="201"/>
    </row>
    <row r="338" spans="1:52" ht="17.100000000000001" customHeight="1" thickTop="1">
      <c r="A338" s="109" t="s">
        <v>5906</v>
      </c>
      <c r="B338" s="28">
        <v>44345</v>
      </c>
      <c r="C338" s="29" t="s">
        <v>1399</v>
      </c>
      <c r="D338" s="13" t="s">
        <v>1400</v>
      </c>
      <c r="E338" s="111"/>
      <c r="F338" s="283" t="s">
        <v>1401</v>
      </c>
      <c r="G338" s="273"/>
      <c r="H338" s="274"/>
      <c r="I338" s="24" t="s">
        <v>1402</v>
      </c>
      <c r="J338" s="116">
        <v>4.5</v>
      </c>
      <c r="K338" s="118">
        <v>1310000</v>
      </c>
      <c r="L338" s="119"/>
      <c r="M338" s="118">
        <v>131000</v>
      </c>
      <c r="N338" s="119"/>
      <c r="O338" s="118">
        <v>42500</v>
      </c>
      <c r="P338" s="119"/>
      <c r="Q338" s="118">
        <v>19670</v>
      </c>
      <c r="R338" s="119"/>
      <c r="S338" s="118">
        <v>13200</v>
      </c>
      <c r="T338" s="119"/>
      <c r="U338" s="118">
        <f>SUM(K338:T338)</f>
        <v>1516370</v>
      </c>
      <c r="V338" s="210"/>
      <c r="W338" s="124">
        <v>1100000</v>
      </c>
      <c r="X338" s="223" t="s">
        <v>1403</v>
      </c>
      <c r="Y338" s="223"/>
      <c r="Z338" s="223"/>
      <c r="AA338" s="223"/>
      <c r="AB338" s="224"/>
      <c r="AC338" s="15" t="s">
        <v>20</v>
      </c>
      <c r="AD338" s="129" t="s">
        <v>1404</v>
      </c>
      <c r="AE338" s="130"/>
      <c r="AF338" s="130"/>
      <c r="AG338" s="130"/>
      <c r="AH338" s="130"/>
      <c r="AI338" s="131"/>
      <c r="AJ338" s="132"/>
      <c r="AK338" s="127"/>
      <c r="AL338" s="127"/>
      <c r="AM338" s="21" t="s">
        <v>1405</v>
      </c>
      <c r="AN338" s="133"/>
      <c r="AO338" s="134"/>
      <c r="AP338" s="135"/>
      <c r="AQ338" s="136"/>
      <c r="AR338" s="118"/>
      <c r="AS338" s="119"/>
      <c r="AT338" s="180">
        <f>AR338*0.1</f>
        <v>0</v>
      </c>
      <c r="AU338" s="181"/>
      <c r="AV338" s="118"/>
      <c r="AW338" s="119"/>
      <c r="AX338" s="118">
        <f>SUM(AR338:AW338)</f>
        <v>0</v>
      </c>
      <c r="AY338" s="119"/>
      <c r="AZ338" s="200"/>
    </row>
    <row r="339" spans="1:52" ht="17.100000000000001" customHeight="1" thickBot="1">
      <c r="A339" s="110"/>
      <c r="B339" s="27" t="s">
        <v>740</v>
      </c>
      <c r="C339" s="27">
        <v>83007</v>
      </c>
      <c r="D339" s="14" t="s">
        <v>639</v>
      </c>
      <c r="E339" s="112"/>
      <c r="F339" s="139" t="s">
        <v>1406</v>
      </c>
      <c r="G339" s="140"/>
      <c r="H339" s="141"/>
      <c r="I339" s="26">
        <v>28244</v>
      </c>
      <c r="J339" s="117"/>
      <c r="K339" s="120"/>
      <c r="L339" s="121"/>
      <c r="M339" s="120"/>
      <c r="N339" s="121"/>
      <c r="O339" s="120"/>
      <c r="P339" s="121"/>
      <c r="Q339" s="120"/>
      <c r="R339" s="121"/>
      <c r="S339" s="120"/>
      <c r="T339" s="121"/>
      <c r="U339" s="120"/>
      <c r="V339" s="182"/>
      <c r="W339" s="125"/>
      <c r="X339" s="143" t="s">
        <v>1407</v>
      </c>
      <c r="Y339" s="143"/>
      <c r="Z339" s="143"/>
      <c r="AA339" s="143"/>
      <c r="AB339" s="144"/>
      <c r="AC339" s="16" t="s">
        <v>21</v>
      </c>
      <c r="AD339" s="17" t="s">
        <v>602</v>
      </c>
      <c r="AE339" s="145" t="s">
        <v>1408</v>
      </c>
      <c r="AF339" s="146"/>
      <c r="AG339" s="146"/>
      <c r="AH339" s="146"/>
      <c r="AI339" s="147"/>
      <c r="AJ339" s="148"/>
      <c r="AK339" s="143"/>
      <c r="AL339" s="143"/>
      <c r="AM339" s="22" t="s">
        <v>1296</v>
      </c>
      <c r="AN339" s="149"/>
      <c r="AO339" s="144"/>
      <c r="AP339" s="148"/>
      <c r="AQ339" s="144"/>
      <c r="AR339" s="120"/>
      <c r="AS339" s="121"/>
      <c r="AT339" s="120"/>
      <c r="AU339" s="182"/>
      <c r="AV339" s="120"/>
      <c r="AW339" s="121"/>
      <c r="AX339" s="120"/>
      <c r="AY339" s="121"/>
      <c r="AZ339" s="201"/>
    </row>
    <row r="340" spans="1:52" ht="17.100000000000001" customHeight="1" thickTop="1">
      <c r="A340" s="109" t="s">
        <v>5907</v>
      </c>
      <c r="B340" s="28">
        <v>44350</v>
      </c>
      <c r="C340" s="29" t="s">
        <v>1409</v>
      </c>
      <c r="D340" s="13" t="s">
        <v>180</v>
      </c>
      <c r="E340" s="111"/>
      <c r="F340" s="283" t="s">
        <v>1410</v>
      </c>
      <c r="G340" s="273"/>
      <c r="H340" s="274"/>
      <c r="I340" s="24"/>
      <c r="J340" s="116">
        <v>3.5</v>
      </c>
      <c r="K340" s="118">
        <v>2175000</v>
      </c>
      <c r="L340" s="119"/>
      <c r="M340" s="118">
        <v>217500</v>
      </c>
      <c r="N340" s="119"/>
      <c r="O340" s="118">
        <v>0</v>
      </c>
      <c r="P340" s="119"/>
      <c r="Q340" s="118">
        <v>19180</v>
      </c>
      <c r="R340" s="119"/>
      <c r="S340" s="118">
        <v>13200</v>
      </c>
      <c r="T340" s="119"/>
      <c r="U340" s="118">
        <f>SUM(K340:T340)</f>
        <v>2424880</v>
      </c>
      <c r="V340" s="210"/>
      <c r="W340" s="124">
        <v>2000000</v>
      </c>
      <c r="X340" s="223" t="s">
        <v>1411</v>
      </c>
      <c r="Y340" s="223"/>
      <c r="Z340" s="223"/>
      <c r="AA340" s="223"/>
      <c r="AB340" s="224"/>
      <c r="AC340" s="15" t="s">
        <v>20</v>
      </c>
      <c r="AD340" s="129" t="s">
        <v>1412</v>
      </c>
      <c r="AE340" s="130"/>
      <c r="AF340" s="130"/>
      <c r="AG340" s="130"/>
      <c r="AH340" s="130"/>
      <c r="AI340" s="131"/>
      <c r="AJ340" s="132"/>
      <c r="AK340" s="127"/>
      <c r="AL340" s="127"/>
      <c r="AM340" s="21"/>
      <c r="AN340" s="133"/>
      <c r="AO340" s="134"/>
      <c r="AP340" s="135"/>
      <c r="AQ340" s="136"/>
      <c r="AR340" s="118"/>
      <c r="AS340" s="119"/>
      <c r="AT340" s="180">
        <f>AR340*0.1</f>
        <v>0</v>
      </c>
      <c r="AU340" s="181"/>
      <c r="AV340" s="118"/>
      <c r="AW340" s="119"/>
      <c r="AX340" s="118">
        <f>SUM(AR340:AW340)</f>
        <v>0</v>
      </c>
      <c r="AY340" s="119"/>
      <c r="AZ340" s="200"/>
    </row>
    <row r="341" spans="1:52" ht="17.100000000000001" customHeight="1" thickBot="1">
      <c r="A341" s="110"/>
      <c r="B341" s="27" t="s">
        <v>65</v>
      </c>
      <c r="C341" s="27">
        <v>148</v>
      </c>
      <c r="D341" s="14" t="s">
        <v>66</v>
      </c>
      <c r="E341" s="112"/>
      <c r="F341" s="139" t="s">
        <v>1413</v>
      </c>
      <c r="G341" s="140"/>
      <c r="H341" s="141"/>
      <c r="I341" s="26">
        <v>68042</v>
      </c>
      <c r="J341" s="117"/>
      <c r="K341" s="120"/>
      <c r="L341" s="121"/>
      <c r="M341" s="120"/>
      <c r="N341" s="121"/>
      <c r="O341" s="120"/>
      <c r="P341" s="121"/>
      <c r="Q341" s="120"/>
      <c r="R341" s="121"/>
      <c r="S341" s="120"/>
      <c r="T341" s="121"/>
      <c r="U341" s="120"/>
      <c r="V341" s="182"/>
      <c r="W341" s="125"/>
      <c r="X341" s="143" t="s">
        <v>1414</v>
      </c>
      <c r="Y341" s="143"/>
      <c r="Z341" s="143"/>
      <c r="AA341" s="143"/>
      <c r="AB341" s="144"/>
      <c r="AC341" s="16" t="s">
        <v>21</v>
      </c>
      <c r="AD341" s="17" t="s">
        <v>789</v>
      </c>
      <c r="AE341" s="145" t="s">
        <v>782</v>
      </c>
      <c r="AF341" s="146"/>
      <c r="AG341" s="146"/>
      <c r="AH341" s="146"/>
      <c r="AI341" s="147"/>
      <c r="AJ341" s="148"/>
      <c r="AK341" s="143"/>
      <c r="AL341" s="143"/>
      <c r="AM341" s="22"/>
      <c r="AN341" s="149"/>
      <c r="AO341" s="144"/>
      <c r="AP341" s="148"/>
      <c r="AQ341" s="144"/>
      <c r="AR341" s="120"/>
      <c r="AS341" s="121"/>
      <c r="AT341" s="120"/>
      <c r="AU341" s="182"/>
      <c r="AV341" s="120"/>
      <c r="AW341" s="121"/>
      <c r="AX341" s="120"/>
      <c r="AY341" s="121"/>
      <c r="AZ341" s="201"/>
    </row>
    <row r="342" spans="1:52" ht="17.100000000000001" customHeight="1" thickTop="1">
      <c r="A342" s="109" t="s">
        <v>5908</v>
      </c>
      <c r="B342" s="28">
        <v>44357</v>
      </c>
      <c r="C342" s="29" t="s">
        <v>1415</v>
      </c>
      <c r="D342" s="13" t="s">
        <v>977</v>
      </c>
      <c r="E342" s="111"/>
      <c r="F342" s="283" t="s">
        <v>1416</v>
      </c>
      <c r="G342" s="273"/>
      <c r="H342" s="274"/>
      <c r="I342" s="24" t="s">
        <v>585</v>
      </c>
      <c r="J342" s="116">
        <v>4.5</v>
      </c>
      <c r="K342" s="118">
        <v>2970000</v>
      </c>
      <c r="L342" s="119"/>
      <c r="M342" s="118">
        <v>297000</v>
      </c>
      <c r="N342" s="119"/>
      <c r="O342" s="118">
        <v>66000</v>
      </c>
      <c r="P342" s="119"/>
      <c r="Q342" s="118">
        <v>19620</v>
      </c>
      <c r="R342" s="119"/>
      <c r="S342" s="118">
        <v>13200</v>
      </c>
      <c r="T342" s="119"/>
      <c r="U342" s="118">
        <f>SUM(K342:T342)</f>
        <v>3365820</v>
      </c>
      <c r="V342" s="210"/>
      <c r="W342" s="124">
        <v>3000000</v>
      </c>
      <c r="X342" s="223" t="s">
        <v>1417</v>
      </c>
      <c r="Y342" s="223"/>
      <c r="Z342" s="223"/>
      <c r="AA342" s="223"/>
      <c r="AB342" s="224"/>
      <c r="AC342" s="15" t="s">
        <v>20</v>
      </c>
      <c r="AD342" s="129"/>
      <c r="AE342" s="130"/>
      <c r="AF342" s="130"/>
      <c r="AG342" s="130"/>
      <c r="AH342" s="130"/>
      <c r="AI342" s="131"/>
      <c r="AJ342" s="132"/>
      <c r="AK342" s="127"/>
      <c r="AL342" s="127"/>
      <c r="AM342" s="21" t="s">
        <v>1418</v>
      </c>
      <c r="AN342" s="133"/>
      <c r="AO342" s="134"/>
      <c r="AP342" s="135"/>
      <c r="AQ342" s="136"/>
      <c r="AR342" s="118"/>
      <c r="AS342" s="119"/>
      <c r="AT342" s="180">
        <f>AR342*0.1</f>
        <v>0</v>
      </c>
      <c r="AU342" s="181"/>
      <c r="AV342" s="118"/>
      <c r="AW342" s="119"/>
      <c r="AX342" s="118">
        <f>SUM(AR342:AW342)</f>
        <v>0</v>
      </c>
      <c r="AY342" s="119"/>
      <c r="AZ342" s="200"/>
    </row>
    <row r="343" spans="1:52" ht="17.100000000000001" customHeight="1" thickBot="1">
      <c r="A343" s="110"/>
      <c r="B343" s="27" t="s">
        <v>148</v>
      </c>
      <c r="C343" s="27">
        <v>75271</v>
      </c>
      <c r="D343" s="14" t="s">
        <v>542</v>
      </c>
      <c r="E343" s="112"/>
      <c r="F343" s="139" t="s">
        <v>1419</v>
      </c>
      <c r="G343" s="140"/>
      <c r="H343" s="141"/>
      <c r="I343" s="26">
        <v>49543</v>
      </c>
      <c r="J343" s="117"/>
      <c r="K343" s="120"/>
      <c r="L343" s="121"/>
      <c r="M343" s="120"/>
      <c r="N343" s="121"/>
      <c r="O343" s="120"/>
      <c r="P343" s="121"/>
      <c r="Q343" s="120"/>
      <c r="R343" s="121"/>
      <c r="S343" s="120"/>
      <c r="T343" s="121"/>
      <c r="U343" s="120"/>
      <c r="V343" s="182"/>
      <c r="W343" s="125"/>
      <c r="X343" s="143" t="s">
        <v>1333</v>
      </c>
      <c r="Y343" s="143"/>
      <c r="Z343" s="143"/>
      <c r="AA343" s="143"/>
      <c r="AB343" s="144"/>
      <c r="AC343" s="16" t="s">
        <v>21</v>
      </c>
      <c r="AD343" s="17" t="s">
        <v>805</v>
      </c>
      <c r="AE343" s="145" t="s">
        <v>1328</v>
      </c>
      <c r="AF343" s="146"/>
      <c r="AG343" s="146"/>
      <c r="AH343" s="146"/>
      <c r="AI343" s="147"/>
      <c r="AJ343" s="148"/>
      <c r="AK343" s="143"/>
      <c r="AL343" s="143"/>
      <c r="AM343" s="22" t="s">
        <v>1056</v>
      </c>
      <c r="AN343" s="149"/>
      <c r="AO343" s="144"/>
      <c r="AP343" s="148"/>
      <c r="AQ343" s="144"/>
      <c r="AR343" s="120"/>
      <c r="AS343" s="121"/>
      <c r="AT343" s="120"/>
      <c r="AU343" s="182"/>
      <c r="AV343" s="120"/>
      <c r="AW343" s="121"/>
      <c r="AX343" s="120"/>
      <c r="AY343" s="121"/>
      <c r="AZ343" s="201"/>
    </row>
    <row r="344" spans="1:52" ht="17.100000000000001" customHeight="1" thickTop="1">
      <c r="A344" s="109" t="s">
        <v>5909</v>
      </c>
      <c r="B344" s="28">
        <v>44358</v>
      </c>
      <c r="C344" s="29" t="s">
        <v>1420</v>
      </c>
      <c r="D344" s="13" t="s">
        <v>295</v>
      </c>
      <c r="E344" s="111"/>
      <c r="F344" s="283" t="s">
        <v>1421</v>
      </c>
      <c r="G344" s="273"/>
      <c r="H344" s="274"/>
      <c r="I344" s="24"/>
      <c r="J344" s="116">
        <v>4.5</v>
      </c>
      <c r="K344" s="118">
        <v>3400000</v>
      </c>
      <c r="L344" s="119"/>
      <c r="M344" s="118">
        <v>340000</v>
      </c>
      <c r="N344" s="119"/>
      <c r="O344" s="118">
        <v>0</v>
      </c>
      <c r="P344" s="119"/>
      <c r="Q344" s="118">
        <v>19470</v>
      </c>
      <c r="R344" s="119"/>
      <c r="S344" s="118">
        <v>13200</v>
      </c>
      <c r="T344" s="119"/>
      <c r="U344" s="118">
        <f>SUM(K344:T344)</f>
        <v>3772670</v>
      </c>
      <c r="V344" s="210"/>
      <c r="W344" s="124">
        <v>3300000</v>
      </c>
      <c r="X344" s="223" t="s">
        <v>1422</v>
      </c>
      <c r="Y344" s="223"/>
      <c r="Z344" s="223"/>
      <c r="AA344" s="223"/>
      <c r="AB344" s="224"/>
      <c r="AC344" s="15" t="s">
        <v>20</v>
      </c>
      <c r="AD344" s="129" t="s">
        <v>1347</v>
      </c>
      <c r="AE344" s="130"/>
      <c r="AF344" s="130"/>
      <c r="AG344" s="130"/>
      <c r="AH344" s="130"/>
      <c r="AI344" s="131"/>
      <c r="AJ344" s="132"/>
      <c r="AK344" s="127"/>
      <c r="AL344" s="127"/>
      <c r="AM344" s="21"/>
      <c r="AN344" s="133"/>
      <c r="AO344" s="134"/>
      <c r="AP344" s="135"/>
      <c r="AQ344" s="136"/>
      <c r="AR344" s="118"/>
      <c r="AS344" s="119"/>
      <c r="AT344" s="180">
        <f>AR344*0.1</f>
        <v>0</v>
      </c>
      <c r="AU344" s="181"/>
      <c r="AV344" s="118"/>
      <c r="AW344" s="119"/>
      <c r="AX344" s="118">
        <f>SUM(AR344:AW344)</f>
        <v>0</v>
      </c>
      <c r="AY344" s="119"/>
      <c r="AZ344" s="200"/>
    </row>
    <row r="345" spans="1:52" ht="17.100000000000001" customHeight="1" thickBot="1">
      <c r="A345" s="110"/>
      <c r="B345" s="27" t="s">
        <v>205</v>
      </c>
      <c r="C345" s="27">
        <v>58530</v>
      </c>
      <c r="D345" s="14" t="s">
        <v>265</v>
      </c>
      <c r="E345" s="112"/>
      <c r="F345" s="139" t="s">
        <v>1423</v>
      </c>
      <c r="G345" s="140"/>
      <c r="H345" s="141"/>
      <c r="I345" s="26">
        <v>55552</v>
      </c>
      <c r="J345" s="117"/>
      <c r="K345" s="120"/>
      <c r="L345" s="121"/>
      <c r="M345" s="120"/>
      <c r="N345" s="121"/>
      <c r="O345" s="120"/>
      <c r="P345" s="121"/>
      <c r="Q345" s="120"/>
      <c r="R345" s="121"/>
      <c r="S345" s="120"/>
      <c r="T345" s="121"/>
      <c r="U345" s="120"/>
      <c r="V345" s="182"/>
      <c r="W345" s="125"/>
      <c r="X345" s="143" t="s">
        <v>1424</v>
      </c>
      <c r="Y345" s="143"/>
      <c r="Z345" s="143"/>
      <c r="AA345" s="143"/>
      <c r="AB345" s="144"/>
      <c r="AC345" s="16" t="s">
        <v>21</v>
      </c>
      <c r="AD345" s="17" t="s">
        <v>805</v>
      </c>
      <c r="AE345" s="145" t="s">
        <v>1347</v>
      </c>
      <c r="AF345" s="146"/>
      <c r="AG345" s="146"/>
      <c r="AH345" s="146"/>
      <c r="AI345" s="147"/>
      <c r="AJ345" s="148"/>
      <c r="AK345" s="143"/>
      <c r="AL345" s="143"/>
      <c r="AM345" s="22"/>
      <c r="AN345" s="149"/>
      <c r="AO345" s="144"/>
      <c r="AP345" s="148"/>
      <c r="AQ345" s="144"/>
      <c r="AR345" s="120"/>
      <c r="AS345" s="121"/>
      <c r="AT345" s="120"/>
      <c r="AU345" s="182"/>
      <c r="AV345" s="120"/>
      <c r="AW345" s="121"/>
      <c r="AX345" s="120"/>
      <c r="AY345" s="121"/>
      <c r="AZ345" s="201"/>
    </row>
    <row r="346" spans="1:52" ht="17.100000000000001" customHeight="1" thickTop="1">
      <c r="A346" s="109" t="s">
        <v>5910</v>
      </c>
      <c r="B346" s="28">
        <v>44364</v>
      </c>
      <c r="C346" s="25">
        <v>1326</v>
      </c>
      <c r="D346" s="13" t="s">
        <v>1425</v>
      </c>
      <c r="E346" s="111"/>
      <c r="F346" s="283" t="s">
        <v>1426</v>
      </c>
      <c r="G346" s="273"/>
      <c r="H346" s="274"/>
      <c r="I346" s="24"/>
      <c r="J346" s="116">
        <v>4.5</v>
      </c>
      <c r="K346" s="118">
        <v>3555000</v>
      </c>
      <c r="L346" s="119"/>
      <c r="M346" s="118">
        <v>355500</v>
      </c>
      <c r="N346" s="119"/>
      <c r="O346" s="118">
        <v>0</v>
      </c>
      <c r="P346" s="119"/>
      <c r="Q346" s="118">
        <v>16930</v>
      </c>
      <c r="R346" s="119"/>
      <c r="S346" s="118">
        <v>13200</v>
      </c>
      <c r="T346" s="119"/>
      <c r="U346" s="118">
        <f>SUM(K346:T346)</f>
        <v>3940630</v>
      </c>
      <c r="V346" s="210"/>
      <c r="W346" s="124">
        <v>3600000</v>
      </c>
      <c r="X346" s="223" t="s">
        <v>1427</v>
      </c>
      <c r="Y346" s="223"/>
      <c r="Z346" s="223"/>
      <c r="AA346" s="223"/>
      <c r="AB346" s="224"/>
      <c r="AC346" s="15" t="s">
        <v>20</v>
      </c>
      <c r="AD346" s="129" t="s">
        <v>1428</v>
      </c>
      <c r="AE346" s="130"/>
      <c r="AF346" s="130"/>
      <c r="AG346" s="130"/>
      <c r="AH346" s="130"/>
      <c r="AI346" s="131"/>
      <c r="AJ346" s="132"/>
      <c r="AK346" s="127"/>
      <c r="AL346" s="127"/>
      <c r="AM346" s="21"/>
      <c r="AN346" s="133"/>
      <c r="AO346" s="134"/>
      <c r="AP346" s="135"/>
      <c r="AQ346" s="136"/>
      <c r="AR346" s="118"/>
      <c r="AS346" s="119"/>
      <c r="AT346" s="180">
        <f>AR346*0.1</f>
        <v>0</v>
      </c>
      <c r="AU346" s="181"/>
      <c r="AV346" s="118"/>
      <c r="AW346" s="119"/>
      <c r="AX346" s="118">
        <f>SUM(AR346:AW346)</f>
        <v>0</v>
      </c>
      <c r="AY346" s="119"/>
      <c r="AZ346" s="200"/>
    </row>
    <row r="347" spans="1:52" ht="17.100000000000001" customHeight="1" thickBot="1">
      <c r="A347" s="110"/>
      <c r="B347" s="27" t="s">
        <v>148</v>
      </c>
      <c r="C347" s="27">
        <v>75828</v>
      </c>
      <c r="D347" s="14" t="s">
        <v>221</v>
      </c>
      <c r="E347" s="112"/>
      <c r="F347" s="139" t="s">
        <v>1429</v>
      </c>
      <c r="G347" s="140"/>
      <c r="H347" s="141"/>
      <c r="I347" s="26">
        <v>48701</v>
      </c>
      <c r="J347" s="117"/>
      <c r="K347" s="120"/>
      <c r="L347" s="121"/>
      <c r="M347" s="120"/>
      <c r="N347" s="121"/>
      <c r="O347" s="120"/>
      <c r="P347" s="121"/>
      <c r="Q347" s="120"/>
      <c r="R347" s="121"/>
      <c r="S347" s="120"/>
      <c r="T347" s="121"/>
      <c r="U347" s="120"/>
      <c r="V347" s="182"/>
      <c r="W347" s="125"/>
      <c r="X347" s="143" t="s">
        <v>1430</v>
      </c>
      <c r="Y347" s="143"/>
      <c r="Z347" s="143"/>
      <c r="AA347" s="143"/>
      <c r="AB347" s="144"/>
      <c r="AC347" s="16" t="s">
        <v>21</v>
      </c>
      <c r="AD347" s="17" t="s">
        <v>822</v>
      </c>
      <c r="AE347" s="145" t="s">
        <v>1286</v>
      </c>
      <c r="AF347" s="146"/>
      <c r="AG347" s="146"/>
      <c r="AH347" s="146"/>
      <c r="AI347" s="147"/>
      <c r="AJ347" s="148"/>
      <c r="AK347" s="143"/>
      <c r="AL347" s="143"/>
      <c r="AM347" s="22"/>
      <c r="AN347" s="149"/>
      <c r="AO347" s="144"/>
      <c r="AP347" s="148"/>
      <c r="AQ347" s="144"/>
      <c r="AR347" s="120"/>
      <c r="AS347" s="121"/>
      <c r="AT347" s="120"/>
      <c r="AU347" s="182"/>
      <c r="AV347" s="120"/>
      <c r="AW347" s="121"/>
      <c r="AX347" s="120"/>
      <c r="AY347" s="121"/>
      <c r="AZ347" s="201"/>
    </row>
    <row r="348" spans="1:52" ht="17.100000000000001" customHeight="1" thickTop="1">
      <c r="A348" s="109" t="s">
        <v>5911</v>
      </c>
      <c r="B348" s="28">
        <v>44371</v>
      </c>
      <c r="C348" s="25">
        <v>1327</v>
      </c>
      <c r="D348" s="13" t="s">
        <v>857</v>
      </c>
      <c r="E348" s="111"/>
      <c r="F348" s="283" t="s">
        <v>1431</v>
      </c>
      <c r="G348" s="273"/>
      <c r="H348" s="274"/>
      <c r="I348" s="24" t="s">
        <v>1432</v>
      </c>
      <c r="J348" s="116">
        <v>4.5</v>
      </c>
      <c r="K348" s="118">
        <v>2960000</v>
      </c>
      <c r="L348" s="119"/>
      <c r="M348" s="118">
        <v>296000</v>
      </c>
      <c r="N348" s="119"/>
      <c r="O348" s="118">
        <v>49800</v>
      </c>
      <c r="P348" s="119"/>
      <c r="Q348" s="118">
        <v>19270</v>
      </c>
      <c r="R348" s="119"/>
      <c r="S348" s="118">
        <v>13200</v>
      </c>
      <c r="T348" s="119"/>
      <c r="U348" s="118">
        <f>SUM(K348:T348)</f>
        <v>3338270</v>
      </c>
      <c r="V348" s="210"/>
      <c r="W348" s="124">
        <v>3000000</v>
      </c>
      <c r="X348" s="223" t="s">
        <v>1433</v>
      </c>
      <c r="Y348" s="223"/>
      <c r="Z348" s="223"/>
      <c r="AA348" s="223"/>
      <c r="AB348" s="224"/>
      <c r="AC348" s="15" t="s">
        <v>20</v>
      </c>
      <c r="AD348" s="129" t="s">
        <v>1277</v>
      </c>
      <c r="AE348" s="130"/>
      <c r="AF348" s="130"/>
      <c r="AG348" s="130"/>
      <c r="AH348" s="130"/>
      <c r="AI348" s="131"/>
      <c r="AJ348" s="132"/>
      <c r="AK348" s="127"/>
      <c r="AL348" s="127"/>
      <c r="AM348" s="21" t="s">
        <v>1434</v>
      </c>
      <c r="AN348" s="133"/>
      <c r="AO348" s="134"/>
      <c r="AP348" s="135"/>
      <c r="AQ348" s="136"/>
      <c r="AR348" s="118"/>
      <c r="AS348" s="119"/>
      <c r="AT348" s="180">
        <f>AR348*0.1</f>
        <v>0</v>
      </c>
      <c r="AU348" s="181"/>
      <c r="AV348" s="118"/>
      <c r="AW348" s="119"/>
      <c r="AX348" s="118">
        <f>SUM(AR348:AW348)</f>
        <v>0</v>
      </c>
      <c r="AY348" s="119"/>
      <c r="AZ348" s="200"/>
    </row>
    <row r="349" spans="1:52" ht="17.100000000000001" customHeight="1" thickBot="1">
      <c r="A349" s="110"/>
      <c r="B349" s="27" t="s">
        <v>148</v>
      </c>
      <c r="C349" s="27">
        <v>75829</v>
      </c>
      <c r="D349" s="14" t="s">
        <v>221</v>
      </c>
      <c r="E349" s="112"/>
      <c r="F349" s="139" t="s">
        <v>1435</v>
      </c>
      <c r="G349" s="140"/>
      <c r="H349" s="141"/>
      <c r="I349" s="26">
        <v>49885</v>
      </c>
      <c r="J349" s="117"/>
      <c r="K349" s="120"/>
      <c r="L349" s="121"/>
      <c r="M349" s="120"/>
      <c r="N349" s="121"/>
      <c r="O349" s="120"/>
      <c r="P349" s="121"/>
      <c r="Q349" s="120"/>
      <c r="R349" s="121"/>
      <c r="S349" s="120"/>
      <c r="T349" s="121"/>
      <c r="U349" s="120"/>
      <c r="V349" s="182"/>
      <c r="W349" s="125"/>
      <c r="X349" s="143" t="s">
        <v>1436</v>
      </c>
      <c r="Y349" s="143"/>
      <c r="Z349" s="143"/>
      <c r="AA349" s="143"/>
      <c r="AB349" s="144"/>
      <c r="AC349" s="16" t="s">
        <v>21</v>
      </c>
      <c r="AD349" s="17" t="s">
        <v>830</v>
      </c>
      <c r="AE349" s="145" t="s">
        <v>1437</v>
      </c>
      <c r="AF349" s="146"/>
      <c r="AG349" s="146"/>
      <c r="AH349" s="146"/>
      <c r="AI349" s="147"/>
      <c r="AJ349" s="148"/>
      <c r="AK349" s="143"/>
      <c r="AL349" s="143"/>
      <c r="AM349" s="22" t="s">
        <v>928</v>
      </c>
      <c r="AN349" s="149"/>
      <c r="AO349" s="144"/>
      <c r="AP349" s="148"/>
      <c r="AQ349" s="144"/>
      <c r="AR349" s="120"/>
      <c r="AS349" s="121"/>
      <c r="AT349" s="120"/>
      <c r="AU349" s="182"/>
      <c r="AV349" s="120"/>
      <c r="AW349" s="121"/>
      <c r="AX349" s="120"/>
      <c r="AY349" s="121"/>
      <c r="AZ349" s="201"/>
    </row>
    <row r="350" spans="1:52" ht="17.100000000000001" customHeight="1" thickTop="1">
      <c r="A350" s="109" t="s">
        <v>5912</v>
      </c>
      <c r="B350" s="28">
        <v>44373</v>
      </c>
      <c r="C350" s="25">
        <v>1061</v>
      </c>
      <c r="D350" s="13" t="s">
        <v>1231</v>
      </c>
      <c r="E350" s="111"/>
      <c r="F350" s="283" t="s">
        <v>1438</v>
      </c>
      <c r="G350" s="273"/>
      <c r="H350" s="274"/>
      <c r="I350" s="24" t="s">
        <v>1439</v>
      </c>
      <c r="J350" s="116">
        <v>4.5</v>
      </c>
      <c r="K350" s="118">
        <v>2330000</v>
      </c>
      <c r="L350" s="119"/>
      <c r="M350" s="118">
        <v>233000</v>
      </c>
      <c r="N350" s="119"/>
      <c r="O350" s="118">
        <v>29600</v>
      </c>
      <c r="P350" s="119"/>
      <c r="Q350" s="118">
        <v>16930</v>
      </c>
      <c r="R350" s="119"/>
      <c r="S350" s="118">
        <v>13200</v>
      </c>
      <c r="T350" s="119"/>
      <c r="U350" s="118">
        <f>SUM(K350:T350)</f>
        <v>2622730</v>
      </c>
      <c r="V350" s="210"/>
      <c r="W350" s="124">
        <v>2000000</v>
      </c>
      <c r="X350" s="223" t="s">
        <v>1440</v>
      </c>
      <c r="Y350" s="223"/>
      <c r="Z350" s="223"/>
      <c r="AA350" s="223"/>
      <c r="AB350" s="224"/>
      <c r="AC350" s="15" t="s">
        <v>20</v>
      </c>
      <c r="AD350" s="129" t="s">
        <v>1318</v>
      </c>
      <c r="AE350" s="130"/>
      <c r="AF350" s="130"/>
      <c r="AG350" s="130"/>
      <c r="AH350" s="130"/>
      <c r="AI350" s="131"/>
      <c r="AJ350" s="132"/>
      <c r="AK350" s="127"/>
      <c r="AL350" s="127"/>
      <c r="AM350" s="21" t="s">
        <v>1441</v>
      </c>
      <c r="AN350" s="133"/>
      <c r="AO350" s="134"/>
      <c r="AP350" s="135"/>
      <c r="AQ350" s="136"/>
      <c r="AR350" s="118"/>
      <c r="AS350" s="119"/>
      <c r="AT350" s="180">
        <f>AR350*0.1</f>
        <v>0</v>
      </c>
      <c r="AU350" s="181"/>
      <c r="AV350" s="118"/>
      <c r="AW350" s="119"/>
      <c r="AX350" s="118">
        <f>SUM(AR350:AW350)</f>
        <v>0</v>
      </c>
      <c r="AY350" s="119"/>
      <c r="AZ350" s="200"/>
    </row>
    <row r="351" spans="1:52" ht="17.100000000000001" customHeight="1" thickBot="1">
      <c r="A351" s="110"/>
      <c r="B351" s="27" t="s">
        <v>46</v>
      </c>
      <c r="C351" s="27">
        <v>82178</v>
      </c>
      <c r="D351" s="14" t="s">
        <v>1262</v>
      </c>
      <c r="E351" s="112"/>
      <c r="F351" s="139" t="s">
        <v>1442</v>
      </c>
      <c r="G351" s="140"/>
      <c r="H351" s="141"/>
      <c r="I351" s="26">
        <v>27469</v>
      </c>
      <c r="J351" s="117"/>
      <c r="K351" s="120"/>
      <c r="L351" s="121"/>
      <c r="M351" s="120"/>
      <c r="N351" s="121"/>
      <c r="O351" s="120"/>
      <c r="P351" s="121"/>
      <c r="Q351" s="120"/>
      <c r="R351" s="121"/>
      <c r="S351" s="120"/>
      <c r="T351" s="121"/>
      <c r="U351" s="120"/>
      <c r="V351" s="182"/>
      <c r="W351" s="125"/>
      <c r="X351" s="143" t="s">
        <v>1443</v>
      </c>
      <c r="Y351" s="143"/>
      <c r="Z351" s="143"/>
      <c r="AA351" s="143"/>
      <c r="AB351" s="144"/>
      <c r="AC351" s="16" t="s">
        <v>21</v>
      </c>
      <c r="AD351" s="17" t="s">
        <v>1444</v>
      </c>
      <c r="AE351" s="145" t="s">
        <v>1286</v>
      </c>
      <c r="AF351" s="146"/>
      <c r="AG351" s="146"/>
      <c r="AH351" s="146"/>
      <c r="AI351" s="147"/>
      <c r="AJ351" s="148"/>
      <c r="AK351" s="143"/>
      <c r="AL351" s="143"/>
      <c r="AM351" s="22" t="s">
        <v>1296</v>
      </c>
      <c r="AN351" s="149"/>
      <c r="AO351" s="144"/>
      <c r="AP351" s="148"/>
      <c r="AQ351" s="144"/>
      <c r="AR351" s="120"/>
      <c r="AS351" s="121"/>
      <c r="AT351" s="120"/>
      <c r="AU351" s="182"/>
      <c r="AV351" s="120"/>
      <c r="AW351" s="121"/>
      <c r="AX351" s="120"/>
      <c r="AY351" s="121"/>
      <c r="AZ351" s="201"/>
    </row>
    <row r="352" spans="1:52" ht="17.100000000000001" customHeight="1" thickTop="1">
      <c r="A352" s="109" t="s">
        <v>5913</v>
      </c>
      <c r="B352" s="28">
        <v>44378</v>
      </c>
      <c r="C352" s="25">
        <v>1094</v>
      </c>
      <c r="D352" s="13" t="s">
        <v>1445</v>
      </c>
      <c r="E352" s="111"/>
      <c r="F352" s="283" t="s">
        <v>1446</v>
      </c>
      <c r="G352" s="273"/>
      <c r="H352" s="274"/>
      <c r="I352" s="24" t="s">
        <v>1109</v>
      </c>
      <c r="J352" s="116">
        <v>4.5</v>
      </c>
      <c r="K352" s="118">
        <v>1445000</v>
      </c>
      <c r="L352" s="119"/>
      <c r="M352" s="118">
        <v>144500</v>
      </c>
      <c r="N352" s="119"/>
      <c r="O352" s="118">
        <v>26300</v>
      </c>
      <c r="P352" s="119"/>
      <c r="Q352" s="118">
        <v>19750</v>
      </c>
      <c r="R352" s="119"/>
      <c r="S352" s="118">
        <v>13200</v>
      </c>
      <c r="T352" s="119"/>
      <c r="U352" s="118">
        <f>SUM(K352:T352)</f>
        <v>1648750</v>
      </c>
      <c r="V352" s="119"/>
      <c r="W352" s="124">
        <v>1250000</v>
      </c>
      <c r="X352" s="223" t="s">
        <v>1447</v>
      </c>
      <c r="Y352" s="223"/>
      <c r="Z352" s="223"/>
      <c r="AA352" s="223"/>
      <c r="AB352" s="224"/>
      <c r="AC352" s="15" t="s">
        <v>20</v>
      </c>
      <c r="AD352" s="129" t="s">
        <v>1277</v>
      </c>
      <c r="AE352" s="130"/>
      <c r="AF352" s="130"/>
      <c r="AG352" s="130"/>
      <c r="AH352" s="130"/>
      <c r="AI352" s="131"/>
      <c r="AJ352" s="132"/>
      <c r="AK352" s="127"/>
      <c r="AL352" s="127"/>
      <c r="AM352" s="21" t="s">
        <v>1448</v>
      </c>
      <c r="AN352" s="133"/>
      <c r="AO352" s="134"/>
      <c r="AP352" s="135"/>
      <c r="AQ352" s="136"/>
      <c r="AR352" s="118"/>
      <c r="AS352" s="119"/>
      <c r="AT352" s="180">
        <f>AR352*0.1</f>
        <v>0</v>
      </c>
      <c r="AU352" s="181"/>
      <c r="AV352" s="118"/>
      <c r="AW352" s="119"/>
      <c r="AX352" s="118">
        <f>SUM(AR352:AW352)</f>
        <v>0</v>
      </c>
      <c r="AY352" s="119"/>
      <c r="AZ352" s="200"/>
    </row>
    <row r="353" spans="1:52" ht="17.100000000000001" customHeight="1" thickBot="1">
      <c r="A353" s="110"/>
      <c r="B353" s="27" t="s">
        <v>65</v>
      </c>
      <c r="C353" s="27">
        <v>102</v>
      </c>
      <c r="D353" s="14" t="s">
        <v>265</v>
      </c>
      <c r="E353" s="112"/>
      <c r="F353" s="139" t="s">
        <v>1449</v>
      </c>
      <c r="G353" s="140"/>
      <c r="H353" s="141"/>
      <c r="I353" s="26">
        <v>50677</v>
      </c>
      <c r="J353" s="117"/>
      <c r="K353" s="120"/>
      <c r="L353" s="121"/>
      <c r="M353" s="120"/>
      <c r="N353" s="121"/>
      <c r="O353" s="120"/>
      <c r="P353" s="121"/>
      <c r="Q353" s="120"/>
      <c r="R353" s="121"/>
      <c r="S353" s="120"/>
      <c r="T353" s="121"/>
      <c r="U353" s="120"/>
      <c r="V353" s="121"/>
      <c r="W353" s="125"/>
      <c r="X353" s="143" t="s">
        <v>730</v>
      </c>
      <c r="Y353" s="143"/>
      <c r="Z353" s="143"/>
      <c r="AA353" s="143"/>
      <c r="AB353" s="144"/>
      <c r="AC353" s="16" t="s">
        <v>21</v>
      </c>
      <c r="AD353" s="17" t="s">
        <v>1450</v>
      </c>
      <c r="AE353" s="145" t="s">
        <v>1335</v>
      </c>
      <c r="AF353" s="146"/>
      <c r="AG353" s="146"/>
      <c r="AH353" s="146"/>
      <c r="AI353" s="147"/>
      <c r="AJ353" s="148"/>
      <c r="AK353" s="143"/>
      <c r="AL353" s="143"/>
      <c r="AM353" s="22" t="s">
        <v>1056</v>
      </c>
      <c r="AN353" s="149"/>
      <c r="AO353" s="144"/>
      <c r="AP353" s="148"/>
      <c r="AQ353" s="144"/>
      <c r="AR353" s="120"/>
      <c r="AS353" s="121"/>
      <c r="AT353" s="120"/>
      <c r="AU353" s="182"/>
      <c r="AV353" s="120"/>
      <c r="AW353" s="121"/>
      <c r="AX353" s="120"/>
      <c r="AY353" s="121"/>
      <c r="AZ353" s="201"/>
    </row>
    <row r="354" spans="1:52" ht="17.100000000000001" customHeight="1" thickTop="1">
      <c r="A354" s="109" t="s">
        <v>5914</v>
      </c>
      <c r="B354" s="28">
        <v>44385</v>
      </c>
      <c r="C354" s="25">
        <v>1329</v>
      </c>
      <c r="D354" s="13" t="s">
        <v>1034</v>
      </c>
      <c r="E354" s="111"/>
      <c r="F354" s="283" t="s">
        <v>1451</v>
      </c>
      <c r="G354" s="273"/>
      <c r="H354" s="274"/>
      <c r="I354" s="24" t="s">
        <v>585</v>
      </c>
      <c r="J354" s="116">
        <v>4</v>
      </c>
      <c r="K354" s="118">
        <v>1765000</v>
      </c>
      <c r="L354" s="119"/>
      <c r="M354" s="118">
        <v>176500</v>
      </c>
      <c r="N354" s="119"/>
      <c r="O354" s="118">
        <v>26300</v>
      </c>
      <c r="P354" s="119"/>
      <c r="Q354" s="118">
        <v>22240</v>
      </c>
      <c r="R354" s="119"/>
      <c r="S354" s="118">
        <v>13200</v>
      </c>
      <c r="T354" s="119"/>
      <c r="U354" s="118">
        <f>SUM(K354:T354)</f>
        <v>2003240</v>
      </c>
      <c r="V354" s="210"/>
      <c r="W354" s="124">
        <v>1700000</v>
      </c>
      <c r="X354" s="223" t="s">
        <v>1452</v>
      </c>
      <c r="Y354" s="223"/>
      <c r="Z354" s="223"/>
      <c r="AA354" s="223"/>
      <c r="AB354" s="224"/>
      <c r="AC354" s="15" t="s">
        <v>20</v>
      </c>
      <c r="AD354" s="129" t="s">
        <v>1078</v>
      </c>
      <c r="AE354" s="130"/>
      <c r="AF354" s="130"/>
      <c r="AG354" s="130"/>
      <c r="AH354" s="130"/>
      <c r="AI354" s="131"/>
      <c r="AJ354" s="132"/>
      <c r="AK354" s="127"/>
      <c r="AL354" s="127"/>
      <c r="AM354" s="21" t="s">
        <v>1453</v>
      </c>
      <c r="AN354" s="133"/>
      <c r="AO354" s="134"/>
      <c r="AP354" s="135"/>
      <c r="AQ354" s="136"/>
      <c r="AR354" s="118"/>
      <c r="AS354" s="119"/>
      <c r="AT354" s="180">
        <f>AR354*0.1</f>
        <v>0</v>
      </c>
      <c r="AU354" s="181"/>
      <c r="AV354" s="118"/>
      <c r="AW354" s="119"/>
      <c r="AX354" s="118">
        <f>SUM(AR354:AW354)</f>
        <v>0</v>
      </c>
      <c r="AY354" s="119"/>
      <c r="AZ354" s="200"/>
    </row>
    <row r="355" spans="1:52" ht="17.100000000000001" customHeight="1" thickBot="1">
      <c r="A355" s="110"/>
      <c r="B355" s="27" t="s">
        <v>148</v>
      </c>
      <c r="C355" s="27">
        <v>70291</v>
      </c>
      <c r="D355" s="14" t="s">
        <v>447</v>
      </c>
      <c r="E355" s="112"/>
      <c r="F355" s="139" t="s">
        <v>1454</v>
      </c>
      <c r="G355" s="140"/>
      <c r="H355" s="141"/>
      <c r="I355" s="26">
        <v>46346</v>
      </c>
      <c r="J355" s="117"/>
      <c r="K355" s="120"/>
      <c r="L355" s="121"/>
      <c r="M355" s="120"/>
      <c r="N355" s="121"/>
      <c r="O355" s="120"/>
      <c r="P355" s="121"/>
      <c r="Q355" s="120"/>
      <c r="R355" s="121"/>
      <c r="S355" s="120"/>
      <c r="T355" s="121"/>
      <c r="U355" s="120"/>
      <c r="V355" s="182"/>
      <c r="W355" s="125"/>
      <c r="X355" s="143" t="s">
        <v>1455</v>
      </c>
      <c r="Y355" s="143"/>
      <c r="Z355" s="143"/>
      <c r="AA355" s="143"/>
      <c r="AB355" s="144"/>
      <c r="AC355" s="16" t="s">
        <v>21</v>
      </c>
      <c r="AD355" s="17" t="s">
        <v>1456</v>
      </c>
      <c r="AE355" s="145" t="s">
        <v>1457</v>
      </c>
      <c r="AF355" s="146"/>
      <c r="AG355" s="146"/>
      <c r="AH355" s="146"/>
      <c r="AI355" s="147"/>
      <c r="AJ355" s="148"/>
      <c r="AK355" s="143"/>
      <c r="AL355" s="143"/>
      <c r="AM355" s="22" t="s">
        <v>1056</v>
      </c>
      <c r="AN355" s="149"/>
      <c r="AO355" s="144"/>
      <c r="AP355" s="148"/>
      <c r="AQ355" s="144"/>
      <c r="AR355" s="120"/>
      <c r="AS355" s="121"/>
      <c r="AT355" s="120"/>
      <c r="AU355" s="182"/>
      <c r="AV355" s="120"/>
      <c r="AW355" s="121"/>
      <c r="AX355" s="120"/>
      <c r="AY355" s="121"/>
      <c r="AZ355" s="201"/>
    </row>
    <row r="356" spans="1:52" ht="17.100000000000001" customHeight="1" thickTop="1">
      <c r="A356" s="109" t="s">
        <v>5915</v>
      </c>
      <c r="B356" s="28">
        <v>44386</v>
      </c>
      <c r="C356" s="25">
        <v>1898</v>
      </c>
      <c r="D356" s="13" t="s">
        <v>548</v>
      </c>
      <c r="E356" s="111"/>
      <c r="F356" s="283" t="s">
        <v>633</v>
      </c>
      <c r="G356" s="273"/>
      <c r="H356" s="274"/>
      <c r="I356" s="24" t="s">
        <v>1458</v>
      </c>
      <c r="J356" s="116">
        <v>4.5</v>
      </c>
      <c r="K356" s="118">
        <v>3020000</v>
      </c>
      <c r="L356" s="119"/>
      <c r="M356" s="118">
        <v>302000</v>
      </c>
      <c r="N356" s="119"/>
      <c r="O356" s="118">
        <v>44300</v>
      </c>
      <c r="P356" s="119"/>
      <c r="Q356" s="118">
        <v>19270</v>
      </c>
      <c r="R356" s="119"/>
      <c r="S356" s="118">
        <v>13200</v>
      </c>
      <c r="T356" s="119"/>
      <c r="U356" s="118">
        <f>SUM(K356:T356)</f>
        <v>3398770</v>
      </c>
      <c r="V356" s="119"/>
      <c r="W356" s="124">
        <v>3000000</v>
      </c>
      <c r="X356" s="223" t="s">
        <v>1459</v>
      </c>
      <c r="Y356" s="223"/>
      <c r="Z356" s="223"/>
      <c r="AA356" s="223"/>
      <c r="AB356" s="224"/>
      <c r="AC356" s="15" t="s">
        <v>20</v>
      </c>
      <c r="AD356" s="129" t="s">
        <v>1460</v>
      </c>
      <c r="AE356" s="130"/>
      <c r="AF356" s="130"/>
      <c r="AG356" s="130"/>
      <c r="AH356" s="130"/>
      <c r="AI356" s="131"/>
      <c r="AJ356" s="132"/>
      <c r="AK356" s="127"/>
      <c r="AL356" s="127"/>
      <c r="AM356" s="21"/>
      <c r="AN356" s="133"/>
      <c r="AO356" s="134"/>
      <c r="AP356" s="135"/>
      <c r="AQ356" s="136"/>
      <c r="AR356" s="118"/>
      <c r="AS356" s="119"/>
      <c r="AT356" s="180">
        <f>AR356*0.1</f>
        <v>0</v>
      </c>
      <c r="AU356" s="181"/>
      <c r="AV356" s="118"/>
      <c r="AW356" s="119"/>
      <c r="AX356" s="118">
        <f>SUM(AR356:AW356)</f>
        <v>0</v>
      </c>
      <c r="AY356" s="119"/>
      <c r="AZ356" s="200"/>
    </row>
    <row r="357" spans="1:52" ht="17.100000000000001" customHeight="1" thickBot="1">
      <c r="A357" s="110"/>
      <c r="B357" s="27" t="s">
        <v>205</v>
      </c>
      <c r="C357" s="27">
        <v>58095</v>
      </c>
      <c r="D357" s="14" t="s">
        <v>66</v>
      </c>
      <c r="E357" s="112"/>
      <c r="F357" s="139" t="s">
        <v>1461</v>
      </c>
      <c r="G357" s="140"/>
      <c r="H357" s="141"/>
      <c r="I357" s="26">
        <v>60528</v>
      </c>
      <c r="J357" s="117"/>
      <c r="K357" s="120"/>
      <c r="L357" s="121"/>
      <c r="M357" s="120"/>
      <c r="N357" s="121"/>
      <c r="O357" s="120"/>
      <c r="P357" s="121"/>
      <c r="Q357" s="120"/>
      <c r="R357" s="121"/>
      <c r="S357" s="120"/>
      <c r="T357" s="121"/>
      <c r="U357" s="120"/>
      <c r="V357" s="121"/>
      <c r="W357" s="125"/>
      <c r="X357" s="143" t="s">
        <v>1462</v>
      </c>
      <c r="Y357" s="143"/>
      <c r="Z357" s="143"/>
      <c r="AA357" s="143"/>
      <c r="AB357" s="144"/>
      <c r="AC357" s="16" t="s">
        <v>21</v>
      </c>
      <c r="AD357" s="17" t="s">
        <v>1463</v>
      </c>
      <c r="AE357" s="145" t="s">
        <v>1464</v>
      </c>
      <c r="AF357" s="146"/>
      <c r="AG357" s="146"/>
      <c r="AH357" s="146"/>
      <c r="AI357" s="147"/>
      <c r="AJ357" s="148"/>
      <c r="AK357" s="143"/>
      <c r="AL357" s="143"/>
      <c r="AM357" s="22" t="s">
        <v>907</v>
      </c>
      <c r="AN357" s="149"/>
      <c r="AO357" s="144"/>
      <c r="AP357" s="148"/>
      <c r="AQ357" s="144"/>
      <c r="AR357" s="120"/>
      <c r="AS357" s="121"/>
      <c r="AT357" s="120"/>
      <c r="AU357" s="182"/>
      <c r="AV357" s="120"/>
      <c r="AW357" s="121"/>
      <c r="AX357" s="120"/>
      <c r="AY357" s="121"/>
      <c r="AZ357" s="201"/>
    </row>
    <row r="358" spans="1:52" ht="17.100000000000001" customHeight="1" thickTop="1">
      <c r="A358" s="109" t="s">
        <v>5916</v>
      </c>
      <c r="B358" s="28">
        <v>44392</v>
      </c>
      <c r="C358" s="25">
        <v>1330</v>
      </c>
      <c r="D358" s="13" t="s">
        <v>371</v>
      </c>
      <c r="E358" s="111"/>
      <c r="F358" s="283" t="s">
        <v>1465</v>
      </c>
      <c r="G358" s="273"/>
      <c r="H358" s="274"/>
      <c r="I358" s="24"/>
      <c r="J358" s="116">
        <v>4</v>
      </c>
      <c r="K358" s="118">
        <v>3580000</v>
      </c>
      <c r="L358" s="119"/>
      <c r="M358" s="118">
        <v>358000</v>
      </c>
      <c r="N358" s="119"/>
      <c r="O358" s="118">
        <v>0</v>
      </c>
      <c r="P358" s="119"/>
      <c r="Q358" s="118">
        <v>18510</v>
      </c>
      <c r="R358" s="119"/>
      <c r="S358" s="118">
        <v>13200</v>
      </c>
      <c r="T358" s="119"/>
      <c r="U358" s="118">
        <f>SUM(K358:T358)</f>
        <v>3969710</v>
      </c>
      <c r="V358" s="210"/>
      <c r="W358" s="124">
        <v>3600000</v>
      </c>
      <c r="X358" s="223" t="s">
        <v>1466</v>
      </c>
      <c r="Y358" s="223"/>
      <c r="Z358" s="223"/>
      <c r="AA358" s="223"/>
      <c r="AB358" s="224"/>
      <c r="AC358" s="15" t="s">
        <v>20</v>
      </c>
      <c r="AD358" s="129" t="s">
        <v>1367</v>
      </c>
      <c r="AE358" s="130"/>
      <c r="AF358" s="130"/>
      <c r="AG358" s="130"/>
      <c r="AH358" s="130"/>
      <c r="AI358" s="131"/>
      <c r="AJ358" s="132"/>
      <c r="AK358" s="127"/>
      <c r="AL358" s="127"/>
      <c r="AM358" s="21"/>
      <c r="AN358" s="133"/>
      <c r="AO358" s="134"/>
      <c r="AP358" s="135"/>
      <c r="AQ358" s="136"/>
      <c r="AR358" s="118"/>
      <c r="AS358" s="119"/>
      <c r="AT358" s="180">
        <f>AR358*0.1</f>
        <v>0</v>
      </c>
      <c r="AU358" s="181"/>
      <c r="AV358" s="118"/>
      <c r="AW358" s="119"/>
      <c r="AX358" s="118">
        <f>SUM(AR358:AW358)</f>
        <v>0</v>
      </c>
      <c r="AY358" s="119"/>
      <c r="AZ358" s="200"/>
    </row>
    <row r="359" spans="1:52" ht="17.100000000000001" customHeight="1" thickBot="1">
      <c r="A359" s="110"/>
      <c r="B359" s="27" t="s">
        <v>148</v>
      </c>
      <c r="C359" s="27">
        <v>75413</v>
      </c>
      <c r="D359" s="14" t="s">
        <v>221</v>
      </c>
      <c r="E359" s="112"/>
      <c r="F359" s="139" t="s">
        <v>1467</v>
      </c>
      <c r="G359" s="140"/>
      <c r="H359" s="141"/>
      <c r="I359" s="26">
        <v>48057</v>
      </c>
      <c r="J359" s="117"/>
      <c r="K359" s="120"/>
      <c r="L359" s="121"/>
      <c r="M359" s="120"/>
      <c r="N359" s="121"/>
      <c r="O359" s="120"/>
      <c r="P359" s="121"/>
      <c r="Q359" s="120"/>
      <c r="R359" s="121"/>
      <c r="S359" s="120"/>
      <c r="T359" s="121"/>
      <c r="U359" s="120"/>
      <c r="V359" s="182"/>
      <c r="W359" s="125"/>
      <c r="X359" s="143" t="s">
        <v>1468</v>
      </c>
      <c r="Y359" s="143"/>
      <c r="Z359" s="143"/>
      <c r="AA359" s="143"/>
      <c r="AB359" s="144"/>
      <c r="AC359" s="16" t="s">
        <v>21</v>
      </c>
      <c r="AD359" s="17" t="s">
        <v>1469</v>
      </c>
      <c r="AE359" s="145" t="s">
        <v>1367</v>
      </c>
      <c r="AF359" s="146"/>
      <c r="AG359" s="146"/>
      <c r="AH359" s="146"/>
      <c r="AI359" s="147"/>
      <c r="AJ359" s="148"/>
      <c r="AK359" s="143"/>
      <c r="AL359" s="143"/>
      <c r="AM359" s="22"/>
      <c r="AN359" s="149"/>
      <c r="AO359" s="144"/>
      <c r="AP359" s="148"/>
      <c r="AQ359" s="144"/>
      <c r="AR359" s="120"/>
      <c r="AS359" s="121"/>
      <c r="AT359" s="120"/>
      <c r="AU359" s="182"/>
      <c r="AV359" s="120"/>
      <c r="AW359" s="121"/>
      <c r="AX359" s="120"/>
      <c r="AY359" s="121"/>
      <c r="AZ359" s="201"/>
    </row>
    <row r="360" spans="1:52" ht="17.100000000000001" customHeight="1" thickTop="1">
      <c r="A360" s="109" t="s">
        <v>5917</v>
      </c>
      <c r="B360" s="28">
        <v>44392</v>
      </c>
      <c r="C360" s="25">
        <v>1096</v>
      </c>
      <c r="D360" s="13" t="s">
        <v>1470</v>
      </c>
      <c r="E360" s="111"/>
      <c r="F360" s="283" t="s">
        <v>1471</v>
      </c>
      <c r="G360" s="273"/>
      <c r="H360" s="274"/>
      <c r="I360" s="24"/>
      <c r="J360" s="116">
        <v>4</v>
      </c>
      <c r="K360" s="118">
        <v>1430000</v>
      </c>
      <c r="L360" s="119"/>
      <c r="M360" s="118">
        <v>143000</v>
      </c>
      <c r="N360" s="119"/>
      <c r="O360" s="118">
        <v>0</v>
      </c>
      <c r="P360" s="119"/>
      <c r="Q360" s="118">
        <v>20310</v>
      </c>
      <c r="R360" s="119"/>
      <c r="S360" s="118">
        <v>13200</v>
      </c>
      <c r="T360" s="119"/>
      <c r="U360" s="118">
        <f>SUM(K360:T360)</f>
        <v>1606510</v>
      </c>
      <c r="V360" s="210"/>
      <c r="W360" s="124">
        <v>1300000</v>
      </c>
      <c r="X360" s="223" t="s">
        <v>1472</v>
      </c>
      <c r="Y360" s="223"/>
      <c r="Z360" s="223"/>
      <c r="AA360" s="223"/>
      <c r="AB360" s="224"/>
      <c r="AC360" s="15" t="s">
        <v>20</v>
      </c>
      <c r="AD360" s="129" t="s">
        <v>1318</v>
      </c>
      <c r="AE360" s="130"/>
      <c r="AF360" s="130"/>
      <c r="AG360" s="130"/>
      <c r="AH360" s="130"/>
      <c r="AI360" s="131"/>
      <c r="AJ360" s="132"/>
      <c r="AK360" s="127"/>
      <c r="AL360" s="127"/>
      <c r="AM360" s="21"/>
      <c r="AN360" s="133"/>
      <c r="AO360" s="134"/>
      <c r="AP360" s="135"/>
      <c r="AQ360" s="136"/>
      <c r="AR360" s="118"/>
      <c r="AS360" s="119"/>
      <c r="AT360" s="180">
        <f>AR360*0.1</f>
        <v>0</v>
      </c>
      <c r="AU360" s="181"/>
      <c r="AV360" s="118"/>
      <c r="AW360" s="119"/>
      <c r="AX360" s="118">
        <f>SUM(AR360:AW360)</f>
        <v>0</v>
      </c>
      <c r="AY360" s="119"/>
      <c r="AZ360" s="200"/>
    </row>
    <row r="361" spans="1:52" ht="17.100000000000001" customHeight="1" thickBot="1">
      <c r="A361" s="110"/>
      <c r="B361" s="27" t="s">
        <v>65</v>
      </c>
      <c r="C361" s="27">
        <v>382</v>
      </c>
      <c r="D361" s="14" t="s">
        <v>112</v>
      </c>
      <c r="E361" s="112"/>
      <c r="F361" s="139" t="s">
        <v>1473</v>
      </c>
      <c r="G361" s="140"/>
      <c r="H361" s="141"/>
      <c r="I361" s="26">
        <v>27375</v>
      </c>
      <c r="J361" s="117"/>
      <c r="K361" s="120"/>
      <c r="L361" s="121"/>
      <c r="M361" s="120"/>
      <c r="N361" s="121"/>
      <c r="O361" s="120"/>
      <c r="P361" s="121"/>
      <c r="Q361" s="120"/>
      <c r="R361" s="121"/>
      <c r="S361" s="120"/>
      <c r="T361" s="121"/>
      <c r="U361" s="120"/>
      <c r="V361" s="182"/>
      <c r="W361" s="125"/>
      <c r="X361" s="143" t="s">
        <v>1474</v>
      </c>
      <c r="Y361" s="143"/>
      <c r="Z361" s="143"/>
      <c r="AA361" s="143"/>
      <c r="AB361" s="144"/>
      <c r="AC361" s="16" t="s">
        <v>21</v>
      </c>
      <c r="AD361" s="17" t="s">
        <v>1475</v>
      </c>
      <c r="AE361" s="145" t="s">
        <v>1286</v>
      </c>
      <c r="AF361" s="146"/>
      <c r="AG361" s="146"/>
      <c r="AH361" s="146"/>
      <c r="AI361" s="147"/>
      <c r="AJ361" s="148"/>
      <c r="AK361" s="143"/>
      <c r="AL361" s="143"/>
      <c r="AM361" s="22"/>
      <c r="AN361" s="149"/>
      <c r="AO361" s="144"/>
      <c r="AP361" s="148"/>
      <c r="AQ361" s="144"/>
      <c r="AR361" s="120"/>
      <c r="AS361" s="121"/>
      <c r="AT361" s="120"/>
      <c r="AU361" s="182"/>
      <c r="AV361" s="120"/>
      <c r="AW361" s="121"/>
      <c r="AX361" s="120"/>
      <c r="AY361" s="121"/>
      <c r="AZ361" s="201"/>
    </row>
    <row r="362" spans="1:52" ht="17.100000000000001" customHeight="1" thickTop="1">
      <c r="A362" s="109" t="s">
        <v>5918</v>
      </c>
      <c r="B362" s="28">
        <v>44392</v>
      </c>
      <c r="C362" s="25">
        <v>1096</v>
      </c>
      <c r="D362" s="13" t="s">
        <v>1445</v>
      </c>
      <c r="E362" s="111"/>
      <c r="F362" s="283" t="s">
        <v>1476</v>
      </c>
      <c r="G362" s="273"/>
      <c r="H362" s="274"/>
      <c r="I362" s="24" t="s">
        <v>585</v>
      </c>
      <c r="J362" s="116">
        <v>4.5</v>
      </c>
      <c r="K362" s="118">
        <v>1940000</v>
      </c>
      <c r="L362" s="119"/>
      <c r="M362" s="118">
        <v>194000</v>
      </c>
      <c r="N362" s="119"/>
      <c r="O362" s="118">
        <v>26300</v>
      </c>
      <c r="P362" s="119"/>
      <c r="Q362" s="118">
        <v>19100</v>
      </c>
      <c r="R362" s="119"/>
      <c r="S362" s="118">
        <v>13200</v>
      </c>
      <c r="T362" s="119"/>
      <c r="U362" s="118">
        <f>SUM(K362:T362)</f>
        <v>2192600</v>
      </c>
      <c r="V362" s="210"/>
      <c r="W362" s="124">
        <v>1600000</v>
      </c>
      <c r="X362" s="223" t="s">
        <v>1477</v>
      </c>
      <c r="Y362" s="223"/>
      <c r="Z362" s="223"/>
      <c r="AA362" s="223"/>
      <c r="AB362" s="224"/>
      <c r="AC362" s="15" t="s">
        <v>20</v>
      </c>
      <c r="AD362" s="129" t="s">
        <v>1478</v>
      </c>
      <c r="AE362" s="130"/>
      <c r="AF362" s="130"/>
      <c r="AG362" s="130"/>
      <c r="AH362" s="130"/>
      <c r="AI362" s="131"/>
      <c r="AJ362" s="132"/>
      <c r="AK362" s="127"/>
      <c r="AL362" s="127"/>
      <c r="AM362" s="21" t="s">
        <v>1479</v>
      </c>
      <c r="AN362" s="133"/>
      <c r="AO362" s="134"/>
      <c r="AP362" s="135"/>
      <c r="AQ362" s="136"/>
      <c r="AR362" s="118"/>
      <c r="AS362" s="119"/>
      <c r="AT362" s="180">
        <f>AR362*0.1</f>
        <v>0</v>
      </c>
      <c r="AU362" s="181"/>
      <c r="AV362" s="118"/>
      <c r="AW362" s="119"/>
      <c r="AX362" s="118">
        <f>SUM(AR362:AW362)</f>
        <v>0</v>
      </c>
      <c r="AY362" s="119"/>
      <c r="AZ362" s="200"/>
    </row>
    <row r="363" spans="1:52" ht="17.100000000000001" customHeight="1" thickBot="1">
      <c r="A363" s="110"/>
      <c r="B363" s="27" t="s">
        <v>65</v>
      </c>
      <c r="C363" s="27">
        <v>505</v>
      </c>
      <c r="D363" s="14" t="s">
        <v>221</v>
      </c>
      <c r="E363" s="112"/>
      <c r="F363" s="139" t="s">
        <v>1480</v>
      </c>
      <c r="G363" s="140"/>
      <c r="H363" s="141"/>
      <c r="I363" s="26">
        <v>51128</v>
      </c>
      <c r="J363" s="117"/>
      <c r="K363" s="120"/>
      <c r="L363" s="121"/>
      <c r="M363" s="120"/>
      <c r="N363" s="121"/>
      <c r="O363" s="120"/>
      <c r="P363" s="121"/>
      <c r="Q363" s="120"/>
      <c r="R363" s="121"/>
      <c r="S363" s="120"/>
      <c r="T363" s="121"/>
      <c r="U363" s="120"/>
      <c r="V363" s="182"/>
      <c r="W363" s="125"/>
      <c r="X363" s="143" t="s">
        <v>1481</v>
      </c>
      <c r="Y363" s="143"/>
      <c r="Z363" s="143"/>
      <c r="AA363" s="143"/>
      <c r="AB363" s="144"/>
      <c r="AC363" s="16" t="s">
        <v>21</v>
      </c>
      <c r="AD363" s="17" t="s">
        <v>1482</v>
      </c>
      <c r="AE363" s="145" t="s">
        <v>1483</v>
      </c>
      <c r="AF363" s="146"/>
      <c r="AG363" s="146"/>
      <c r="AH363" s="146"/>
      <c r="AI363" s="147"/>
      <c r="AJ363" s="148" t="s">
        <v>1484</v>
      </c>
      <c r="AK363" s="143"/>
      <c r="AL363" s="143"/>
      <c r="AM363" s="22" t="s">
        <v>1056</v>
      </c>
      <c r="AN363" s="149"/>
      <c r="AO363" s="144"/>
      <c r="AP363" s="148"/>
      <c r="AQ363" s="144"/>
      <c r="AR363" s="120"/>
      <c r="AS363" s="121"/>
      <c r="AT363" s="120"/>
      <c r="AU363" s="182"/>
      <c r="AV363" s="120"/>
      <c r="AW363" s="121"/>
      <c r="AX363" s="120"/>
      <c r="AY363" s="121"/>
      <c r="AZ363" s="201"/>
    </row>
    <row r="364" spans="1:52" ht="17.100000000000001" customHeight="1" thickTop="1">
      <c r="A364" s="109" t="s">
        <v>5919</v>
      </c>
      <c r="B364" s="28">
        <v>44399</v>
      </c>
      <c r="C364" s="25">
        <v>1331</v>
      </c>
      <c r="D364" s="13" t="s">
        <v>1485</v>
      </c>
      <c r="E364" s="111"/>
      <c r="F364" s="283" t="s">
        <v>181</v>
      </c>
      <c r="G364" s="273"/>
      <c r="H364" s="274"/>
      <c r="I364" s="24" t="s">
        <v>1486</v>
      </c>
      <c r="J364" s="116">
        <v>4.5</v>
      </c>
      <c r="K364" s="118">
        <v>1115000</v>
      </c>
      <c r="L364" s="119"/>
      <c r="M364" s="118">
        <v>111500</v>
      </c>
      <c r="N364" s="119"/>
      <c r="O364" s="118">
        <v>26300</v>
      </c>
      <c r="P364" s="119"/>
      <c r="Q364" s="118">
        <v>16190</v>
      </c>
      <c r="R364" s="119"/>
      <c r="S364" s="118">
        <v>13200</v>
      </c>
      <c r="T364" s="119"/>
      <c r="U364" s="118">
        <f>SUM(K364:T364)</f>
        <v>1282190</v>
      </c>
      <c r="V364" s="119"/>
      <c r="W364" s="124">
        <v>700000</v>
      </c>
      <c r="X364" s="223" t="s">
        <v>1487</v>
      </c>
      <c r="Y364" s="223"/>
      <c r="Z364" s="223"/>
      <c r="AA364" s="223"/>
      <c r="AB364" s="224"/>
      <c r="AC364" s="15" t="s">
        <v>20</v>
      </c>
      <c r="AD364" s="129" t="s">
        <v>764</v>
      </c>
      <c r="AE364" s="130"/>
      <c r="AF364" s="130"/>
      <c r="AG364" s="130"/>
      <c r="AH364" s="130"/>
      <c r="AI364" s="131"/>
      <c r="AJ364" s="132"/>
      <c r="AK364" s="127"/>
      <c r="AL364" s="127"/>
      <c r="AM364" s="21" t="s">
        <v>1488</v>
      </c>
      <c r="AN364" s="133"/>
      <c r="AO364" s="134"/>
      <c r="AP364" s="135"/>
      <c r="AQ364" s="136"/>
      <c r="AR364" s="118"/>
      <c r="AS364" s="119"/>
      <c r="AT364" s="180">
        <f>AR364*0.1</f>
        <v>0</v>
      </c>
      <c r="AU364" s="181"/>
      <c r="AV364" s="118"/>
      <c r="AW364" s="119"/>
      <c r="AX364" s="118">
        <f>SUM(AR364:AW364)</f>
        <v>0</v>
      </c>
      <c r="AY364" s="119"/>
      <c r="AZ364" s="200"/>
    </row>
    <row r="365" spans="1:52" ht="17.100000000000001" customHeight="1" thickBot="1">
      <c r="A365" s="110"/>
      <c r="B365" s="27" t="s">
        <v>148</v>
      </c>
      <c r="C365" s="27">
        <v>75908</v>
      </c>
      <c r="D365" s="14" t="s">
        <v>447</v>
      </c>
      <c r="E365" s="112"/>
      <c r="F365" s="139" t="s">
        <v>1489</v>
      </c>
      <c r="G365" s="140"/>
      <c r="H365" s="141"/>
      <c r="I365" s="26">
        <v>48553</v>
      </c>
      <c r="J365" s="117"/>
      <c r="K365" s="120"/>
      <c r="L365" s="121"/>
      <c r="M365" s="120"/>
      <c r="N365" s="121"/>
      <c r="O365" s="120"/>
      <c r="P365" s="121"/>
      <c r="Q365" s="120"/>
      <c r="R365" s="121"/>
      <c r="S365" s="120"/>
      <c r="T365" s="121"/>
      <c r="U365" s="120"/>
      <c r="V365" s="121"/>
      <c r="W365" s="125"/>
      <c r="X365" s="143" t="s">
        <v>1490</v>
      </c>
      <c r="Y365" s="143"/>
      <c r="Z365" s="143"/>
      <c r="AA365" s="143"/>
      <c r="AB365" s="144"/>
      <c r="AC365" s="16" t="s">
        <v>21</v>
      </c>
      <c r="AD365" s="17" t="s">
        <v>985</v>
      </c>
      <c r="AE365" s="145" t="s">
        <v>1491</v>
      </c>
      <c r="AF365" s="146"/>
      <c r="AG365" s="146"/>
      <c r="AH365" s="146"/>
      <c r="AI365" s="147"/>
      <c r="AJ365" s="148"/>
      <c r="AK365" s="143"/>
      <c r="AL365" s="143"/>
      <c r="AM365" s="22" t="s">
        <v>1296</v>
      </c>
      <c r="AN365" s="149"/>
      <c r="AO365" s="144"/>
      <c r="AP365" s="148"/>
      <c r="AQ365" s="144"/>
      <c r="AR365" s="120"/>
      <c r="AS365" s="121"/>
      <c r="AT365" s="120"/>
      <c r="AU365" s="182"/>
      <c r="AV365" s="120"/>
      <c r="AW365" s="121"/>
      <c r="AX365" s="120"/>
      <c r="AY365" s="121"/>
      <c r="AZ365" s="201"/>
    </row>
    <row r="366" spans="1:52" ht="17.100000000000001" customHeight="1" thickTop="1">
      <c r="A366" s="109" t="s">
        <v>5920</v>
      </c>
      <c r="B366" s="28">
        <v>44399</v>
      </c>
      <c r="C366" s="25">
        <v>1097</v>
      </c>
      <c r="D366" s="13" t="s">
        <v>1485</v>
      </c>
      <c r="E366" s="111"/>
      <c r="F366" s="283" t="s">
        <v>181</v>
      </c>
      <c r="G366" s="273"/>
      <c r="H366" s="274"/>
      <c r="I366" s="24"/>
      <c r="J366" s="116">
        <v>4.5</v>
      </c>
      <c r="K366" s="118">
        <v>1090000</v>
      </c>
      <c r="L366" s="119"/>
      <c r="M366" s="118">
        <v>109000</v>
      </c>
      <c r="N366" s="119"/>
      <c r="O366" s="118">
        <v>0</v>
      </c>
      <c r="P366" s="119"/>
      <c r="Q366" s="118">
        <v>15540</v>
      </c>
      <c r="R366" s="119"/>
      <c r="S366" s="118">
        <v>13200</v>
      </c>
      <c r="T366" s="119"/>
      <c r="U366" s="118">
        <f>SUM(K366:T366)</f>
        <v>1227740</v>
      </c>
      <c r="V366" s="210"/>
      <c r="W366" s="124">
        <v>800000</v>
      </c>
      <c r="X366" s="223" t="s">
        <v>1492</v>
      </c>
      <c r="Y366" s="223"/>
      <c r="Z366" s="223"/>
      <c r="AA366" s="223"/>
      <c r="AB366" s="224"/>
      <c r="AC366" s="15" t="s">
        <v>20</v>
      </c>
      <c r="AD366" s="129" t="s">
        <v>1493</v>
      </c>
      <c r="AE366" s="130"/>
      <c r="AF366" s="130"/>
      <c r="AG366" s="130"/>
      <c r="AH366" s="130"/>
      <c r="AI366" s="131"/>
      <c r="AJ366" s="132"/>
      <c r="AK366" s="127"/>
      <c r="AL366" s="127"/>
      <c r="AM366" s="21"/>
      <c r="AN366" s="133"/>
      <c r="AO366" s="134"/>
      <c r="AP366" s="135"/>
      <c r="AQ366" s="136"/>
      <c r="AR366" s="118"/>
      <c r="AS366" s="119"/>
      <c r="AT366" s="180">
        <f>AR366*0.1</f>
        <v>0</v>
      </c>
      <c r="AU366" s="181"/>
      <c r="AV366" s="118"/>
      <c r="AW366" s="119"/>
      <c r="AX366" s="118">
        <f>SUM(AR366:AW366)</f>
        <v>0</v>
      </c>
      <c r="AY366" s="119"/>
      <c r="AZ366" s="200"/>
    </row>
    <row r="367" spans="1:52" ht="17.100000000000001" customHeight="1" thickBot="1">
      <c r="A367" s="110"/>
      <c r="B367" s="27" t="s">
        <v>65</v>
      </c>
      <c r="C367" s="27">
        <v>95</v>
      </c>
      <c r="D367" s="14" t="s">
        <v>1494</v>
      </c>
      <c r="E367" s="112"/>
      <c r="F367" s="139" t="s">
        <v>1495</v>
      </c>
      <c r="G367" s="140"/>
      <c r="H367" s="141"/>
      <c r="I367" s="26">
        <v>41363</v>
      </c>
      <c r="J367" s="117"/>
      <c r="K367" s="120"/>
      <c r="L367" s="121"/>
      <c r="M367" s="120"/>
      <c r="N367" s="121"/>
      <c r="O367" s="120"/>
      <c r="P367" s="121"/>
      <c r="Q367" s="120"/>
      <c r="R367" s="121"/>
      <c r="S367" s="120"/>
      <c r="T367" s="121"/>
      <c r="U367" s="120"/>
      <c r="V367" s="182"/>
      <c r="W367" s="125"/>
      <c r="X367" s="143" t="s">
        <v>1496</v>
      </c>
      <c r="Y367" s="143"/>
      <c r="Z367" s="143"/>
      <c r="AA367" s="143"/>
      <c r="AB367" s="144"/>
      <c r="AC367" s="16" t="s">
        <v>21</v>
      </c>
      <c r="AD367" s="17" t="s">
        <v>1497</v>
      </c>
      <c r="AE367" s="145" t="s">
        <v>1498</v>
      </c>
      <c r="AF367" s="146"/>
      <c r="AG367" s="146"/>
      <c r="AH367" s="146"/>
      <c r="AI367" s="147"/>
      <c r="AJ367" s="148"/>
      <c r="AK367" s="143"/>
      <c r="AL367" s="143"/>
      <c r="AM367" s="22"/>
      <c r="AN367" s="149"/>
      <c r="AO367" s="144"/>
      <c r="AP367" s="148"/>
      <c r="AQ367" s="144"/>
      <c r="AR367" s="120"/>
      <c r="AS367" s="121"/>
      <c r="AT367" s="120"/>
      <c r="AU367" s="182"/>
      <c r="AV367" s="120"/>
      <c r="AW367" s="121"/>
      <c r="AX367" s="120"/>
      <c r="AY367" s="121"/>
      <c r="AZ367" s="201"/>
    </row>
    <row r="368" spans="1:52" ht="17.100000000000001" customHeight="1" thickTop="1">
      <c r="A368" s="109" t="s">
        <v>5921</v>
      </c>
      <c r="B368" s="28">
        <v>44404</v>
      </c>
      <c r="C368" s="25">
        <v>858</v>
      </c>
      <c r="D368" s="13" t="s">
        <v>1173</v>
      </c>
      <c r="E368" s="111"/>
      <c r="F368" s="283" t="s">
        <v>1499</v>
      </c>
      <c r="G368" s="273"/>
      <c r="H368" s="274"/>
      <c r="I368" s="24" t="s">
        <v>1500</v>
      </c>
      <c r="J368" s="116">
        <v>4.5</v>
      </c>
      <c r="K368" s="118">
        <v>2305000</v>
      </c>
      <c r="L368" s="119"/>
      <c r="M368" s="118">
        <v>230500</v>
      </c>
      <c r="N368" s="119"/>
      <c r="O368" s="118">
        <v>26300</v>
      </c>
      <c r="P368" s="119"/>
      <c r="Q368" s="118">
        <v>20440</v>
      </c>
      <c r="R368" s="119"/>
      <c r="S368" s="118">
        <v>13200</v>
      </c>
      <c r="T368" s="119"/>
      <c r="U368" s="118">
        <f>SUM(K368:T368)</f>
        <v>2595440</v>
      </c>
      <c r="V368" s="119"/>
      <c r="W368" s="124">
        <v>2100000</v>
      </c>
      <c r="X368" s="223" t="s">
        <v>1501</v>
      </c>
      <c r="Y368" s="223"/>
      <c r="Z368" s="223"/>
      <c r="AA368" s="223"/>
      <c r="AB368" s="224"/>
      <c r="AC368" s="15" t="s">
        <v>20</v>
      </c>
      <c r="AD368" s="129" t="s">
        <v>1502</v>
      </c>
      <c r="AE368" s="130"/>
      <c r="AF368" s="130"/>
      <c r="AG368" s="130"/>
      <c r="AH368" s="130"/>
      <c r="AI368" s="131"/>
      <c r="AJ368" s="132"/>
      <c r="AK368" s="127"/>
      <c r="AL368" s="127"/>
      <c r="AM368" s="21" t="s">
        <v>1503</v>
      </c>
      <c r="AN368" s="133"/>
      <c r="AO368" s="134"/>
      <c r="AP368" s="135"/>
      <c r="AQ368" s="136"/>
      <c r="AR368" s="118"/>
      <c r="AS368" s="119"/>
      <c r="AT368" s="180">
        <f>AR368*0.1</f>
        <v>0</v>
      </c>
      <c r="AU368" s="181"/>
      <c r="AV368" s="118"/>
      <c r="AW368" s="119"/>
      <c r="AX368" s="118">
        <f>SUM(AR368:AW368)</f>
        <v>0</v>
      </c>
      <c r="AY368" s="119"/>
      <c r="AZ368" s="200"/>
    </row>
    <row r="369" spans="1:52" ht="17.100000000000001" customHeight="1" thickBot="1">
      <c r="A369" s="110"/>
      <c r="B369" s="27" t="s">
        <v>132</v>
      </c>
      <c r="C369" s="27">
        <v>84016</v>
      </c>
      <c r="D369" s="14" t="s">
        <v>112</v>
      </c>
      <c r="E369" s="112"/>
      <c r="F369" s="139" t="s">
        <v>1504</v>
      </c>
      <c r="G369" s="140"/>
      <c r="H369" s="141"/>
      <c r="I369" s="26">
        <v>34812</v>
      </c>
      <c r="J369" s="117"/>
      <c r="K369" s="120"/>
      <c r="L369" s="121"/>
      <c r="M369" s="120"/>
      <c r="N369" s="121"/>
      <c r="O369" s="120"/>
      <c r="P369" s="121"/>
      <c r="Q369" s="120"/>
      <c r="R369" s="121"/>
      <c r="S369" s="120"/>
      <c r="T369" s="121"/>
      <c r="U369" s="120"/>
      <c r="V369" s="121"/>
      <c r="W369" s="125"/>
      <c r="X369" s="143" t="s">
        <v>1505</v>
      </c>
      <c r="Y369" s="143"/>
      <c r="Z369" s="143"/>
      <c r="AA369" s="143"/>
      <c r="AB369" s="144"/>
      <c r="AC369" s="16" t="s">
        <v>21</v>
      </c>
      <c r="AD369" s="17" t="s">
        <v>1506</v>
      </c>
      <c r="AE369" s="145" t="s">
        <v>1507</v>
      </c>
      <c r="AF369" s="146"/>
      <c r="AG369" s="146"/>
      <c r="AH369" s="146"/>
      <c r="AI369" s="147"/>
      <c r="AJ369" s="148"/>
      <c r="AK369" s="143"/>
      <c r="AL369" s="143"/>
      <c r="AM369" s="22" t="s">
        <v>907</v>
      </c>
      <c r="AN369" s="149"/>
      <c r="AO369" s="144"/>
      <c r="AP369" s="148"/>
      <c r="AQ369" s="144"/>
      <c r="AR369" s="120"/>
      <c r="AS369" s="121"/>
      <c r="AT369" s="120"/>
      <c r="AU369" s="182"/>
      <c r="AV369" s="120"/>
      <c r="AW369" s="121"/>
      <c r="AX369" s="120"/>
      <c r="AY369" s="121"/>
      <c r="AZ369" s="201"/>
    </row>
    <row r="370" spans="1:52" ht="17.100000000000001" customHeight="1" thickTop="1">
      <c r="A370" s="109" t="s">
        <v>5922</v>
      </c>
      <c r="B370" s="28">
        <v>44408</v>
      </c>
      <c r="C370" s="25">
        <v>1066</v>
      </c>
      <c r="D370" s="13" t="s">
        <v>884</v>
      </c>
      <c r="E370" s="111"/>
      <c r="F370" s="283" t="s">
        <v>1508</v>
      </c>
      <c r="G370" s="273"/>
      <c r="H370" s="274"/>
      <c r="I370" s="24" t="s">
        <v>1509</v>
      </c>
      <c r="J370" s="116">
        <v>4</v>
      </c>
      <c r="K370" s="118">
        <v>1320000</v>
      </c>
      <c r="L370" s="119"/>
      <c r="M370" s="118">
        <v>132000</v>
      </c>
      <c r="N370" s="119"/>
      <c r="O370" s="118">
        <v>23000</v>
      </c>
      <c r="P370" s="119"/>
      <c r="Q370" s="118">
        <v>16260</v>
      </c>
      <c r="R370" s="119"/>
      <c r="S370" s="118">
        <v>13200</v>
      </c>
      <c r="T370" s="119"/>
      <c r="U370" s="118">
        <f>SUM(K370:T370)</f>
        <v>1504460</v>
      </c>
      <c r="V370" s="119"/>
      <c r="W370" s="124">
        <v>1150000</v>
      </c>
      <c r="X370" s="223" t="s">
        <v>1510</v>
      </c>
      <c r="Y370" s="223"/>
      <c r="Z370" s="223"/>
      <c r="AA370" s="223"/>
      <c r="AB370" s="224"/>
      <c r="AC370" s="15" t="s">
        <v>20</v>
      </c>
      <c r="AD370" s="129" t="s">
        <v>764</v>
      </c>
      <c r="AE370" s="130"/>
      <c r="AF370" s="130"/>
      <c r="AG370" s="130"/>
      <c r="AH370" s="130"/>
      <c r="AI370" s="131"/>
      <c r="AJ370" s="132"/>
      <c r="AK370" s="127"/>
      <c r="AL370" s="127"/>
      <c r="AM370" s="21" t="s">
        <v>1511</v>
      </c>
      <c r="AN370" s="133"/>
      <c r="AO370" s="134"/>
      <c r="AP370" s="135"/>
      <c r="AQ370" s="136"/>
      <c r="AR370" s="118"/>
      <c r="AS370" s="119"/>
      <c r="AT370" s="180">
        <f>AR370*0.1</f>
        <v>0</v>
      </c>
      <c r="AU370" s="181"/>
      <c r="AV370" s="118"/>
      <c r="AW370" s="119"/>
      <c r="AX370" s="118">
        <f>SUM(AR370:AW370)</f>
        <v>0</v>
      </c>
      <c r="AY370" s="119"/>
      <c r="AZ370" s="200"/>
    </row>
    <row r="371" spans="1:52" ht="17.100000000000001" customHeight="1" thickBot="1">
      <c r="A371" s="110"/>
      <c r="B371" s="27" t="s">
        <v>46</v>
      </c>
      <c r="C371" s="27">
        <v>72001</v>
      </c>
      <c r="D371" s="14" t="s">
        <v>1512</v>
      </c>
      <c r="E371" s="112"/>
      <c r="F371" s="139" t="s">
        <v>1513</v>
      </c>
      <c r="G371" s="140"/>
      <c r="H371" s="141"/>
      <c r="I371" s="26">
        <v>46578</v>
      </c>
      <c r="J371" s="117"/>
      <c r="K371" s="120"/>
      <c r="L371" s="121"/>
      <c r="M371" s="120"/>
      <c r="N371" s="121"/>
      <c r="O371" s="120"/>
      <c r="P371" s="121"/>
      <c r="Q371" s="120"/>
      <c r="R371" s="121"/>
      <c r="S371" s="120"/>
      <c r="T371" s="121"/>
      <c r="U371" s="120"/>
      <c r="V371" s="121"/>
      <c r="W371" s="125"/>
      <c r="X371" s="143" t="s">
        <v>1514</v>
      </c>
      <c r="Y371" s="143"/>
      <c r="Z371" s="143"/>
      <c r="AA371" s="143"/>
      <c r="AB371" s="144"/>
      <c r="AC371" s="16" t="s">
        <v>21</v>
      </c>
      <c r="AD371" s="17" t="s">
        <v>1515</v>
      </c>
      <c r="AE371" s="145" t="s">
        <v>1516</v>
      </c>
      <c r="AF371" s="146"/>
      <c r="AG371" s="146"/>
      <c r="AH371" s="146"/>
      <c r="AI371" s="147"/>
      <c r="AJ371" s="148"/>
      <c r="AK371" s="143"/>
      <c r="AL371" s="143"/>
      <c r="AM371" s="22" t="s">
        <v>1517</v>
      </c>
      <c r="AN371" s="149"/>
      <c r="AO371" s="144"/>
      <c r="AP371" s="148"/>
      <c r="AQ371" s="144"/>
      <c r="AR371" s="120"/>
      <c r="AS371" s="121"/>
      <c r="AT371" s="120"/>
      <c r="AU371" s="182"/>
      <c r="AV371" s="120"/>
      <c r="AW371" s="121"/>
      <c r="AX371" s="120"/>
      <c r="AY371" s="121"/>
      <c r="AZ371" s="201"/>
    </row>
    <row r="372" spans="1:52" ht="17.100000000000001" customHeight="1" thickTop="1">
      <c r="A372" s="109" t="s">
        <v>5923</v>
      </c>
      <c r="B372" s="28">
        <v>44408</v>
      </c>
      <c r="C372" s="25">
        <v>1309</v>
      </c>
      <c r="D372" s="13" t="s">
        <v>1518</v>
      </c>
      <c r="E372" s="111"/>
      <c r="F372" s="283" t="s">
        <v>181</v>
      </c>
      <c r="G372" s="273"/>
      <c r="H372" s="274"/>
      <c r="I372" s="24" t="s">
        <v>1519</v>
      </c>
      <c r="J372" s="116">
        <v>4</v>
      </c>
      <c r="K372" s="118">
        <v>995000</v>
      </c>
      <c r="L372" s="119"/>
      <c r="M372" s="118">
        <v>99500</v>
      </c>
      <c r="N372" s="119"/>
      <c r="O372" s="118">
        <v>26300</v>
      </c>
      <c r="P372" s="119"/>
      <c r="Q372" s="118">
        <v>16090</v>
      </c>
      <c r="R372" s="119"/>
      <c r="S372" s="118">
        <v>13200</v>
      </c>
      <c r="T372" s="119"/>
      <c r="U372" s="118">
        <f>SUM(K372:T372)</f>
        <v>1150090</v>
      </c>
      <c r="V372" s="119"/>
      <c r="W372" s="124">
        <v>800000</v>
      </c>
      <c r="X372" s="223" t="s">
        <v>1520</v>
      </c>
      <c r="Y372" s="223"/>
      <c r="Z372" s="223"/>
      <c r="AA372" s="223"/>
      <c r="AB372" s="224"/>
      <c r="AC372" s="15" t="s">
        <v>20</v>
      </c>
      <c r="AD372" s="129" t="s">
        <v>764</v>
      </c>
      <c r="AE372" s="130"/>
      <c r="AF372" s="130"/>
      <c r="AG372" s="130"/>
      <c r="AH372" s="130"/>
      <c r="AI372" s="131"/>
      <c r="AJ372" s="132"/>
      <c r="AK372" s="127"/>
      <c r="AL372" s="127"/>
      <c r="AM372" s="21" t="s">
        <v>1521</v>
      </c>
      <c r="AN372" s="133"/>
      <c r="AO372" s="134"/>
      <c r="AP372" s="135"/>
      <c r="AQ372" s="136"/>
      <c r="AR372" s="118"/>
      <c r="AS372" s="119"/>
      <c r="AT372" s="180">
        <f>AR372*0.1</f>
        <v>0</v>
      </c>
      <c r="AU372" s="181"/>
      <c r="AV372" s="118"/>
      <c r="AW372" s="119"/>
      <c r="AX372" s="118">
        <f>SUM(AR372:AW372)</f>
        <v>0</v>
      </c>
      <c r="AY372" s="119"/>
      <c r="AZ372" s="200"/>
    </row>
    <row r="373" spans="1:52" ht="17.100000000000001" customHeight="1" thickBot="1">
      <c r="A373" s="110"/>
      <c r="B373" s="27" t="s">
        <v>740</v>
      </c>
      <c r="C373" s="27">
        <v>83029</v>
      </c>
      <c r="D373" s="14" t="s">
        <v>477</v>
      </c>
      <c r="E373" s="112"/>
      <c r="F373" s="139" t="s">
        <v>1522</v>
      </c>
      <c r="G373" s="140"/>
      <c r="H373" s="141"/>
      <c r="I373" s="26">
        <v>59770</v>
      </c>
      <c r="J373" s="117"/>
      <c r="K373" s="120"/>
      <c r="L373" s="121"/>
      <c r="M373" s="120"/>
      <c r="N373" s="121"/>
      <c r="O373" s="120"/>
      <c r="P373" s="121"/>
      <c r="Q373" s="120"/>
      <c r="R373" s="121"/>
      <c r="S373" s="120"/>
      <c r="T373" s="121"/>
      <c r="U373" s="120"/>
      <c r="V373" s="121"/>
      <c r="W373" s="125"/>
      <c r="X373" s="143" t="s">
        <v>1523</v>
      </c>
      <c r="Y373" s="143"/>
      <c r="Z373" s="143"/>
      <c r="AA373" s="143"/>
      <c r="AB373" s="144"/>
      <c r="AC373" s="16" t="s">
        <v>21</v>
      </c>
      <c r="AD373" s="17" t="s">
        <v>1506</v>
      </c>
      <c r="AE373" s="145" t="s">
        <v>1286</v>
      </c>
      <c r="AF373" s="146"/>
      <c r="AG373" s="146"/>
      <c r="AH373" s="146"/>
      <c r="AI373" s="147"/>
      <c r="AJ373" s="148" t="s">
        <v>1524</v>
      </c>
      <c r="AK373" s="143"/>
      <c r="AL373" s="143"/>
      <c r="AM373" s="22" t="s">
        <v>108</v>
      </c>
      <c r="AN373" s="149"/>
      <c r="AO373" s="144"/>
      <c r="AP373" s="148"/>
      <c r="AQ373" s="144"/>
      <c r="AR373" s="120"/>
      <c r="AS373" s="121"/>
      <c r="AT373" s="120"/>
      <c r="AU373" s="182"/>
      <c r="AV373" s="120"/>
      <c r="AW373" s="121"/>
      <c r="AX373" s="120"/>
      <c r="AY373" s="121"/>
      <c r="AZ373" s="201"/>
    </row>
    <row r="374" spans="1:52" ht="17.100000000000001" customHeight="1" thickTop="1">
      <c r="A374" s="109" t="s">
        <v>5924</v>
      </c>
      <c r="B374" s="28">
        <v>44412</v>
      </c>
      <c r="C374" s="25">
        <v>2120</v>
      </c>
      <c r="D374" s="13" t="s">
        <v>316</v>
      </c>
      <c r="E374" s="111"/>
      <c r="F374" s="283" t="s">
        <v>1438</v>
      </c>
      <c r="G374" s="273"/>
      <c r="H374" s="274"/>
      <c r="I374" s="24" t="s">
        <v>1525</v>
      </c>
      <c r="J374" s="116">
        <v>4.5</v>
      </c>
      <c r="K374" s="118">
        <v>2161000</v>
      </c>
      <c r="L374" s="119"/>
      <c r="M374" s="118">
        <v>216100</v>
      </c>
      <c r="N374" s="119"/>
      <c r="O374" s="118">
        <v>23000</v>
      </c>
      <c r="P374" s="119"/>
      <c r="Q374" s="118">
        <v>16930</v>
      </c>
      <c r="R374" s="119"/>
      <c r="S374" s="118">
        <v>13200</v>
      </c>
      <c r="T374" s="119"/>
      <c r="U374" s="118">
        <f>SUM(K374:T374)</f>
        <v>2430230</v>
      </c>
      <c r="V374" s="119"/>
      <c r="W374" s="124">
        <v>2200000</v>
      </c>
      <c r="X374" s="223" t="s">
        <v>1526</v>
      </c>
      <c r="Y374" s="223"/>
      <c r="Z374" s="223"/>
      <c r="AA374" s="223"/>
      <c r="AB374" s="224"/>
      <c r="AC374" s="15" t="s">
        <v>20</v>
      </c>
      <c r="AD374" s="129" t="s">
        <v>1078</v>
      </c>
      <c r="AE374" s="130"/>
      <c r="AF374" s="130"/>
      <c r="AG374" s="130"/>
      <c r="AH374" s="130"/>
      <c r="AI374" s="131"/>
      <c r="AJ374" s="132"/>
      <c r="AK374" s="127"/>
      <c r="AL374" s="127"/>
      <c r="AM374" s="21" t="s">
        <v>1527</v>
      </c>
      <c r="AN374" s="133"/>
      <c r="AO374" s="134"/>
      <c r="AP374" s="135"/>
      <c r="AQ374" s="136"/>
      <c r="AR374" s="118"/>
      <c r="AS374" s="119"/>
      <c r="AT374" s="180">
        <f>AR374*0.1</f>
        <v>0</v>
      </c>
      <c r="AU374" s="181"/>
      <c r="AV374" s="118"/>
      <c r="AW374" s="119"/>
      <c r="AX374" s="118">
        <f>SUM(AR374:AW374)</f>
        <v>0</v>
      </c>
      <c r="AY374" s="119"/>
      <c r="AZ374" s="200"/>
    </row>
    <row r="375" spans="1:52" ht="17.100000000000001" customHeight="1" thickBot="1">
      <c r="A375" s="110"/>
      <c r="B375" s="27" t="s">
        <v>582</v>
      </c>
      <c r="C375" s="27">
        <v>70028</v>
      </c>
      <c r="D375" s="14" t="s">
        <v>221</v>
      </c>
      <c r="E375" s="112"/>
      <c r="F375" s="139" t="s">
        <v>1528</v>
      </c>
      <c r="G375" s="140"/>
      <c r="H375" s="141"/>
      <c r="I375" s="26">
        <v>37349</v>
      </c>
      <c r="J375" s="117"/>
      <c r="K375" s="120"/>
      <c r="L375" s="121"/>
      <c r="M375" s="120"/>
      <c r="N375" s="121"/>
      <c r="O375" s="120"/>
      <c r="P375" s="121"/>
      <c r="Q375" s="120"/>
      <c r="R375" s="121"/>
      <c r="S375" s="120"/>
      <c r="T375" s="121"/>
      <c r="U375" s="120"/>
      <c r="V375" s="121"/>
      <c r="W375" s="125"/>
      <c r="X375" s="143" t="s">
        <v>1529</v>
      </c>
      <c r="Y375" s="143"/>
      <c r="Z375" s="143"/>
      <c r="AA375" s="143"/>
      <c r="AB375" s="144"/>
      <c r="AC375" s="16" t="s">
        <v>21</v>
      </c>
      <c r="AD375" s="17" t="s">
        <v>1530</v>
      </c>
      <c r="AE375" s="145" t="s">
        <v>1282</v>
      </c>
      <c r="AF375" s="146"/>
      <c r="AG375" s="146"/>
      <c r="AH375" s="146"/>
      <c r="AI375" s="147"/>
      <c r="AJ375" s="148"/>
      <c r="AK375" s="143"/>
      <c r="AL375" s="143"/>
      <c r="AM375" s="22"/>
      <c r="AN375" s="149"/>
      <c r="AO375" s="144"/>
      <c r="AP375" s="148"/>
      <c r="AQ375" s="144"/>
      <c r="AR375" s="120"/>
      <c r="AS375" s="121"/>
      <c r="AT375" s="120"/>
      <c r="AU375" s="182"/>
      <c r="AV375" s="120"/>
      <c r="AW375" s="121"/>
      <c r="AX375" s="120"/>
      <c r="AY375" s="121"/>
      <c r="AZ375" s="201"/>
    </row>
    <row r="376" spans="1:52" ht="17.100000000000001" customHeight="1" thickTop="1">
      <c r="A376" s="109" t="s">
        <v>5925</v>
      </c>
      <c r="B376" s="28">
        <v>44412</v>
      </c>
      <c r="C376" s="25">
        <v>3199</v>
      </c>
      <c r="D376" s="13" t="s">
        <v>838</v>
      </c>
      <c r="E376" s="111"/>
      <c r="F376" s="283" t="s">
        <v>645</v>
      </c>
      <c r="G376" s="273"/>
      <c r="H376" s="274"/>
      <c r="I376" s="24" t="s">
        <v>1531</v>
      </c>
      <c r="J376" s="116">
        <v>4</v>
      </c>
      <c r="K376" s="118">
        <v>2410000</v>
      </c>
      <c r="L376" s="119"/>
      <c r="M376" s="118">
        <v>241000</v>
      </c>
      <c r="N376" s="119"/>
      <c r="O376" s="118">
        <v>23000</v>
      </c>
      <c r="P376" s="119"/>
      <c r="Q376" s="118">
        <v>17600</v>
      </c>
      <c r="R376" s="119"/>
      <c r="S376" s="118">
        <v>18700</v>
      </c>
      <c r="T376" s="119"/>
      <c r="U376" s="118">
        <f>SUM(K376:T376)</f>
        <v>2710300</v>
      </c>
      <c r="V376" s="119"/>
      <c r="W376" s="124">
        <v>2200000</v>
      </c>
      <c r="X376" s="223" t="s">
        <v>1532</v>
      </c>
      <c r="Y376" s="223"/>
      <c r="Z376" s="223"/>
      <c r="AA376" s="223"/>
      <c r="AB376" s="224"/>
      <c r="AC376" s="15" t="s">
        <v>20</v>
      </c>
      <c r="AD376" s="129" t="s">
        <v>1533</v>
      </c>
      <c r="AE376" s="130"/>
      <c r="AF376" s="130"/>
      <c r="AG376" s="130"/>
      <c r="AH376" s="130"/>
      <c r="AI376" s="131"/>
      <c r="AJ376" s="132"/>
      <c r="AK376" s="127"/>
      <c r="AL376" s="127"/>
      <c r="AM376" s="21"/>
      <c r="AN376" s="133"/>
      <c r="AO376" s="134"/>
      <c r="AP376" s="135"/>
      <c r="AQ376" s="136"/>
      <c r="AR376" s="118"/>
      <c r="AS376" s="119"/>
      <c r="AT376" s="180">
        <f>AR376*0.1</f>
        <v>0</v>
      </c>
      <c r="AU376" s="181"/>
      <c r="AV376" s="118"/>
      <c r="AW376" s="119"/>
      <c r="AX376" s="118">
        <f>SUM(AR376:AW376)</f>
        <v>0</v>
      </c>
      <c r="AY376" s="119"/>
      <c r="AZ376" s="200"/>
    </row>
    <row r="377" spans="1:52" ht="17.100000000000001" customHeight="1" thickBot="1">
      <c r="A377" s="110"/>
      <c r="B377" s="27" t="s">
        <v>73</v>
      </c>
      <c r="C377" s="27">
        <v>27269</v>
      </c>
      <c r="D377" s="14" t="s">
        <v>265</v>
      </c>
      <c r="E377" s="112"/>
      <c r="F377" s="139" t="s">
        <v>1534</v>
      </c>
      <c r="G377" s="140"/>
      <c r="H377" s="141"/>
      <c r="I377" s="26">
        <v>39780</v>
      </c>
      <c r="J377" s="117"/>
      <c r="K377" s="120"/>
      <c r="L377" s="121"/>
      <c r="M377" s="120"/>
      <c r="N377" s="121"/>
      <c r="O377" s="120"/>
      <c r="P377" s="121"/>
      <c r="Q377" s="120"/>
      <c r="R377" s="121"/>
      <c r="S377" s="120"/>
      <c r="T377" s="121"/>
      <c r="U377" s="120"/>
      <c r="V377" s="121"/>
      <c r="W377" s="125"/>
      <c r="X377" s="143" t="s">
        <v>1535</v>
      </c>
      <c r="Y377" s="143"/>
      <c r="Z377" s="143"/>
      <c r="AA377" s="143"/>
      <c r="AB377" s="144"/>
      <c r="AC377" s="16" t="s">
        <v>21</v>
      </c>
      <c r="AD377" s="17" t="s">
        <v>1515</v>
      </c>
      <c r="AE377" s="145" t="s">
        <v>1536</v>
      </c>
      <c r="AF377" s="146"/>
      <c r="AG377" s="146"/>
      <c r="AH377" s="146"/>
      <c r="AI377" s="147"/>
      <c r="AJ377" s="148"/>
      <c r="AK377" s="143"/>
      <c r="AL377" s="143"/>
      <c r="AM377" s="22" t="s">
        <v>907</v>
      </c>
      <c r="AN377" s="149"/>
      <c r="AO377" s="144"/>
      <c r="AP377" s="148"/>
      <c r="AQ377" s="144"/>
      <c r="AR377" s="120"/>
      <c r="AS377" s="121"/>
      <c r="AT377" s="120"/>
      <c r="AU377" s="182"/>
      <c r="AV377" s="120"/>
      <c r="AW377" s="121"/>
      <c r="AX377" s="120"/>
      <c r="AY377" s="121"/>
      <c r="AZ377" s="201"/>
    </row>
    <row r="378" spans="1:52" ht="17.100000000000001" customHeight="1" thickTop="1">
      <c r="A378" s="109" t="s">
        <v>5926</v>
      </c>
      <c r="B378" s="28">
        <v>44435</v>
      </c>
      <c r="C378" s="25">
        <v>1904</v>
      </c>
      <c r="D378" s="13" t="s">
        <v>1537</v>
      </c>
      <c r="E378" s="111" t="s">
        <v>166</v>
      </c>
      <c r="F378" s="113" t="s">
        <v>1538</v>
      </c>
      <c r="G378" s="273"/>
      <c r="H378" s="274"/>
      <c r="I378" s="24" t="s">
        <v>1539</v>
      </c>
      <c r="J378" s="116">
        <v>4</v>
      </c>
      <c r="K378" s="118">
        <v>7800000</v>
      </c>
      <c r="L378" s="119"/>
      <c r="M378" s="118">
        <v>780000</v>
      </c>
      <c r="N378" s="119"/>
      <c r="O378" s="118">
        <v>29700</v>
      </c>
      <c r="P378" s="119"/>
      <c r="Q378" s="118">
        <v>19780</v>
      </c>
      <c r="R378" s="119"/>
      <c r="S378" s="118">
        <v>24200</v>
      </c>
      <c r="T378" s="119"/>
      <c r="U378" s="118">
        <f>SUM(K378:T378)</f>
        <v>8653680</v>
      </c>
      <c r="V378" s="119"/>
      <c r="W378" s="124"/>
      <c r="X378" s="127" t="s">
        <v>1540</v>
      </c>
      <c r="Y378" s="223"/>
      <c r="Z378" s="223"/>
      <c r="AA378" s="223"/>
      <c r="AB378" s="224"/>
      <c r="AC378" s="15" t="s">
        <v>20</v>
      </c>
      <c r="AD378" s="129" t="s">
        <v>1541</v>
      </c>
      <c r="AE378" s="130"/>
      <c r="AF378" s="130"/>
      <c r="AG378" s="130"/>
      <c r="AH378" s="130"/>
      <c r="AI378" s="131"/>
      <c r="AJ378" s="132"/>
      <c r="AK378" s="127"/>
      <c r="AL378" s="127"/>
      <c r="AM378" s="21" t="s">
        <v>1542</v>
      </c>
      <c r="AN378" s="133"/>
      <c r="AO378" s="134"/>
      <c r="AP378" s="135"/>
      <c r="AQ378" s="136"/>
      <c r="AR378" s="118"/>
      <c r="AS378" s="119"/>
      <c r="AT378" s="180">
        <f>AR378*0.1</f>
        <v>0</v>
      </c>
      <c r="AU378" s="181"/>
      <c r="AV378" s="118"/>
      <c r="AW378" s="119"/>
      <c r="AX378" s="118">
        <f>SUM(AR378:AW378)</f>
        <v>0</v>
      </c>
      <c r="AY378" s="119"/>
      <c r="AZ378" s="200"/>
    </row>
    <row r="379" spans="1:52" ht="17.100000000000001" customHeight="1" thickBot="1">
      <c r="A379" s="110"/>
      <c r="B379" s="27" t="s">
        <v>1543</v>
      </c>
      <c r="C379" s="27">
        <v>58173</v>
      </c>
      <c r="D379" s="14" t="s">
        <v>1544</v>
      </c>
      <c r="E379" s="112"/>
      <c r="F379" s="139" t="s">
        <v>1545</v>
      </c>
      <c r="G379" s="140"/>
      <c r="H379" s="141"/>
      <c r="I379" s="26">
        <v>17003</v>
      </c>
      <c r="J379" s="117"/>
      <c r="K379" s="120"/>
      <c r="L379" s="121"/>
      <c r="M379" s="120"/>
      <c r="N379" s="121"/>
      <c r="O379" s="120"/>
      <c r="P379" s="121"/>
      <c r="Q379" s="120"/>
      <c r="R379" s="121"/>
      <c r="S379" s="120"/>
      <c r="T379" s="121"/>
      <c r="U379" s="120"/>
      <c r="V379" s="121"/>
      <c r="W379" s="125"/>
      <c r="X379" s="143" t="s">
        <v>1546</v>
      </c>
      <c r="Y379" s="143"/>
      <c r="Z379" s="143"/>
      <c r="AA379" s="143"/>
      <c r="AB379" s="144"/>
      <c r="AC379" s="16" t="s">
        <v>21</v>
      </c>
      <c r="AD379" s="17" t="s">
        <v>1547</v>
      </c>
      <c r="AE379" s="145" t="s">
        <v>1548</v>
      </c>
      <c r="AF379" s="146"/>
      <c r="AG379" s="146"/>
      <c r="AH379" s="146"/>
      <c r="AI379" s="147"/>
      <c r="AJ379" s="148"/>
      <c r="AK379" s="143"/>
      <c r="AL379" s="143"/>
      <c r="AM379" s="22"/>
      <c r="AN379" s="149"/>
      <c r="AO379" s="144"/>
      <c r="AP379" s="148"/>
      <c r="AQ379" s="144"/>
      <c r="AR379" s="120"/>
      <c r="AS379" s="121"/>
      <c r="AT379" s="120"/>
      <c r="AU379" s="182"/>
      <c r="AV379" s="120"/>
      <c r="AW379" s="121"/>
      <c r="AX379" s="120"/>
      <c r="AY379" s="121"/>
      <c r="AZ379" s="201"/>
    </row>
    <row r="380" spans="1:52" ht="17.100000000000001" customHeight="1" thickTop="1">
      <c r="A380" s="109" t="s">
        <v>5927</v>
      </c>
      <c r="B380" s="28">
        <v>44436</v>
      </c>
      <c r="C380" s="25">
        <v>1312</v>
      </c>
      <c r="D380" s="13" t="s">
        <v>1549</v>
      </c>
      <c r="E380" s="111"/>
      <c r="F380" s="113" t="s">
        <v>1550</v>
      </c>
      <c r="G380" s="273"/>
      <c r="H380" s="274"/>
      <c r="I380" s="24" t="s">
        <v>1551</v>
      </c>
      <c r="J380" s="116">
        <v>4</v>
      </c>
      <c r="K380" s="118">
        <v>3760000</v>
      </c>
      <c r="L380" s="119"/>
      <c r="M380" s="118">
        <v>376000</v>
      </c>
      <c r="N380" s="119"/>
      <c r="O380" s="118">
        <v>29700</v>
      </c>
      <c r="P380" s="119"/>
      <c r="Q380" s="118">
        <v>20170</v>
      </c>
      <c r="R380" s="119"/>
      <c r="S380" s="118">
        <v>13200</v>
      </c>
      <c r="T380" s="119"/>
      <c r="U380" s="118">
        <f>SUM(K380:T380)</f>
        <v>4199070</v>
      </c>
      <c r="V380" s="119"/>
      <c r="W380" s="124"/>
      <c r="X380" s="127" t="s">
        <v>1552</v>
      </c>
      <c r="Y380" s="223"/>
      <c r="Z380" s="223"/>
      <c r="AA380" s="223"/>
      <c r="AB380" s="224"/>
      <c r="AC380" s="15" t="s">
        <v>20</v>
      </c>
      <c r="AD380" s="129" t="s">
        <v>1553</v>
      </c>
      <c r="AE380" s="130"/>
      <c r="AF380" s="130"/>
      <c r="AG380" s="130"/>
      <c r="AH380" s="130"/>
      <c r="AI380" s="131"/>
      <c r="AJ380" s="132"/>
      <c r="AK380" s="127"/>
      <c r="AL380" s="127"/>
      <c r="AM380" s="21" t="s">
        <v>1554</v>
      </c>
      <c r="AN380" s="133"/>
      <c r="AO380" s="134"/>
      <c r="AP380" s="135"/>
      <c r="AQ380" s="136"/>
      <c r="AR380" s="118"/>
      <c r="AS380" s="119"/>
      <c r="AT380" s="180">
        <f>AR380*0.1</f>
        <v>0</v>
      </c>
      <c r="AU380" s="181"/>
      <c r="AV380" s="118"/>
      <c r="AW380" s="119"/>
      <c r="AX380" s="118">
        <f>SUM(AR380:AW380)</f>
        <v>0</v>
      </c>
      <c r="AY380" s="119"/>
      <c r="AZ380" s="200"/>
    </row>
    <row r="381" spans="1:52" ht="17.100000000000001" customHeight="1" thickBot="1">
      <c r="A381" s="110"/>
      <c r="B381" s="27" t="s">
        <v>1555</v>
      </c>
      <c r="C381" s="27">
        <v>83116</v>
      </c>
      <c r="D381" s="14" t="s">
        <v>1556</v>
      </c>
      <c r="E381" s="112"/>
      <c r="F381" s="139" t="s">
        <v>1557</v>
      </c>
      <c r="G381" s="140"/>
      <c r="H381" s="141"/>
      <c r="I381" s="26">
        <v>52827</v>
      </c>
      <c r="J381" s="117"/>
      <c r="K381" s="120"/>
      <c r="L381" s="121"/>
      <c r="M381" s="120"/>
      <c r="N381" s="121"/>
      <c r="O381" s="120"/>
      <c r="P381" s="121"/>
      <c r="Q381" s="120"/>
      <c r="R381" s="121"/>
      <c r="S381" s="120"/>
      <c r="T381" s="121"/>
      <c r="U381" s="120"/>
      <c r="V381" s="121"/>
      <c r="W381" s="125"/>
      <c r="X381" s="143" t="s">
        <v>1558</v>
      </c>
      <c r="Y381" s="143"/>
      <c r="Z381" s="143"/>
      <c r="AA381" s="143"/>
      <c r="AB381" s="144"/>
      <c r="AC381" s="16" t="s">
        <v>21</v>
      </c>
      <c r="AD381" s="17" t="s">
        <v>1559</v>
      </c>
      <c r="AE381" s="145" t="s">
        <v>1560</v>
      </c>
      <c r="AF381" s="146"/>
      <c r="AG381" s="146"/>
      <c r="AH381" s="146"/>
      <c r="AI381" s="147"/>
      <c r="AJ381" s="148"/>
      <c r="AK381" s="143"/>
      <c r="AL381" s="143"/>
      <c r="AM381" s="22" t="s">
        <v>1154</v>
      </c>
      <c r="AN381" s="149"/>
      <c r="AO381" s="144"/>
      <c r="AP381" s="148"/>
      <c r="AQ381" s="144"/>
      <c r="AR381" s="120"/>
      <c r="AS381" s="121"/>
      <c r="AT381" s="120"/>
      <c r="AU381" s="182"/>
      <c r="AV381" s="120"/>
      <c r="AW381" s="121"/>
      <c r="AX381" s="120"/>
      <c r="AY381" s="121"/>
      <c r="AZ381" s="201"/>
    </row>
    <row r="382" spans="1:52" ht="17.100000000000001" customHeight="1" thickTop="1">
      <c r="A382" s="109" t="s">
        <v>5928</v>
      </c>
      <c r="B382" s="28">
        <v>44450</v>
      </c>
      <c r="C382" s="25">
        <v>1071</v>
      </c>
      <c r="D382" s="13" t="s">
        <v>1561</v>
      </c>
      <c r="E382" s="111"/>
      <c r="F382" s="113" t="s">
        <v>1562</v>
      </c>
      <c r="G382" s="273"/>
      <c r="H382" s="274"/>
      <c r="I382" s="24" t="s">
        <v>1563</v>
      </c>
      <c r="J382" s="116">
        <v>4.5</v>
      </c>
      <c r="K382" s="118">
        <v>1755000</v>
      </c>
      <c r="L382" s="119"/>
      <c r="M382" s="118">
        <v>175500</v>
      </c>
      <c r="N382" s="119"/>
      <c r="O382" s="118">
        <v>19700</v>
      </c>
      <c r="P382" s="119"/>
      <c r="Q382" s="118">
        <v>18960</v>
      </c>
      <c r="R382" s="119"/>
      <c r="S382" s="118">
        <v>13200</v>
      </c>
      <c r="T382" s="119"/>
      <c r="U382" s="118">
        <f>SUM(K382:T382)</f>
        <v>1982360</v>
      </c>
      <c r="V382" s="119"/>
      <c r="W382" s="124">
        <v>1600000</v>
      </c>
      <c r="X382" s="127" t="s">
        <v>1564</v>
      </c>
      <c r="Y382" s="223"/>
      <c r="Z382" s="223"/>
      <c r="AA382" s="223"/>
      <c r="AB382" s="224"/>
      <c r="AC382" s="15" t="s">
        <v>20</v>
      </c>
      <c r="AD382" s="129" t="s">
        <v>1565</v>
      </c>
      <c r="AE382" s="130"/>
      <c r="AF382" s="130"/>
      <c r="AG382" s="130"/>
      <c r="AH382" s="130"/>
      <c r="AI382" s="131"/>
      <c r="AJ382" s="132"/>
      <c r="AK382" s="127"/>
      <c r="AL382" s="127"/>
      <c r="AM382" s="21" t="s">
        <v>1566</v>
      </c>
      <c r="AN382" s="133"/>
      <c r="AO382" s="134"/>
      <c r="AP382" s="135"/>
      <c r="AQ382" s="136"/>
      <c r="AR382" s="118"/>
      <c r="AS382" s="119"/>
      <c r="AT382" s="180">
        <f>AR382*0.1</f>
        <v>0</v>
      </c>
      <c r="AU382" s="181"/>
      <c r="AV382" s="118"/>
      <c r="AW382" s="119"/>
      <c r="AX382" s="118">
        <f>SUM(AR382:AW382)</f>
        <v>0</v>
      </c>
      <c r="AY382" s="119"/>
      <c r="AZ382" s="200"/>
    </row>
    <row r="383" spans="1:52" ht="17.100000000000001" customHeight="1" thickBot="1">
      <c r="A383" s="110"/>
      <c r="B383" s="58" t="s">
        <v>1567</v>
      </c>
      <c r="C383" s="27">
        <v>82223</v>
      </c>
      <c r="D383" s="14" t="s">
        <v>1568</v>
      </c>
      <c r="E383" s="112"/>
      <c r="F383" s="139" t="s">
        <v>1569</v>
      </c>
      <c r="G383" s="140"/>
      <c r="H383" s="141"/>
      <c r="I383" s="26">
        <v>33502</v>
      </c>
      <c r="J383" s="117"/>
      <c r="K383" s="120"/>
      <c r="L383" s="121"/>
      <c r="M383" s="120"/>
      <c r="N383" s="121"/>
      <c r="O383" s="120"/>
      <c r="P383" s="121"/>
      <c r="Q383" s="120"/>
      <c r="R383" s="121"/>
      <c r="S383" s="120"/>
      <c r="T383" s="121"/>
      <c r="U383" s="120"/>
      <c r="V383" s="121"/>
      <c r="W383" s="125"/>
      <c r="X383" s="143" t="s">
        <v>1570</v>
      </c>
      <c r="Y383" s="143"/>
      <c r="Z383" s="143"/>
      <c r="AA383" s="143"/>
      <c r="AB383" s="144"/>
      <c r="AC383" s="16" t="s">
        <v>21</v>
      </c>
      <c r="AD383" s="17" t="s">
        <v>1571</v>
      </c>
      <c r="AE383" s="145" t="s">
        <v>508</v>
      </c>
      <c r="AF383" s="146"/>
      <c r="AG383" s="146"/>
      <c r="AH383" s="146"/>
      <c r="AI383" s="147"/>
      <c r="AJ383" s="148"/>
      <c r="AK383" s="143"/>
      <c r="AL383" s="143"/>
      <c r="AM383" s="22" t="s">
        <v>108</v>
      </c>
      <c r="AN383" s="149"/>
      <c r="AO383" s="144"/>
      <c r="AP383" s="148"/>
      <c r="AQ383" s="144"/>
      <c r="AR383" s="120"/>
      <c r="AS383" s="121"/>
      <c r="AT383" s="120"/>
      <c r="AU383" s="182"/>
      <c r="AV383" s="120"/>
      <c r="AW383" s="121"/>
      <c r="AX383" s="120"/>
      <c r="AY383" s="121"/>
      <c r="AZ383" s="201"/>
    </row>
    <row r="384" spans="1:52" ht="17.100000000000001" customHeight="1" thickTop="1">
      <c r="A384" s="109" t="s">
        <v>5929</v>
      </c>
      <c r="B384" s="28">
        <v>44450</v>
      </c>
      <c r="C384" s="25">
        <v>1071</v>
      </c>
      <c r="D384" s="13" t="s">
        <v>1572</v>
      </c>
      <c r="E384" s="111"/>
      <c r="F384" s="113" t="s">
        <v>1573</v>
      </c>
      <c r="G384" s="273"/>
      <c r="H384" s="274"/>
      <c r="I384" s="24"/>
      <c r="J384" s="116">
        <v>4.5</v>
      </c>
      <c r="K384" s="118">
        <v>2235000</v>
      </c>
      <c r="L384" s="119"/>
      <c r="M384" s="118">
        <v>223500</v>
      </c>
      <c r="N384" s="119"/>
      <c r="O384" s="118">
        <v>0</v>
      </c>
      <c r="P384" s="119"/>
      <c r="Q384" s="118">
        <v>17800</v>
      </c>
      <c r="R384" s="119"/>
      <c r="S384" s="118">
        <v>13200</v>
      </c>
      <c r="T384" s="119"/>
      <c r="U384" s="118">
        <f>SUM(K384:T384)</f>
        <v>2489500</v>
      </c>
      <c r="V384" s="119"/>
      <c r="W384" s="124">
        <v>1900000</v>
      </c>
      <c r="X384" s="127" t="s">
        <v>1574</v>
      </c>
      <c r="Y384" s="223"/>
      <c r="Z384" s="223"/>
      <c r="AA384" s="223"/>
      <c r="AB384" s="224"/>
      <c r="AC384" s="15" t="s">
        <v>20</v>
      </c>
      <c r="AD384" s="129" t="s">
        <v>1575</v>
      </c>
      <c r="AE384" s="130"/>
      <c r="AF384" s="130"/>
      <c r="AG384" s="130"/>
      <c r="AH384" s="130"/>
      <c r="AI384" s="131"/>
      <c r="AJ384" s="132"/>
      <c r="AK384" s="127"/>
      <c r="AL384" s="127"/>
      <c r="AM384" s="21"/>
      <c r="AN384" s="133"/>
      <c r="AO384" s="134"/>
      <c r="AP384" s="135"/>
      <c r="AQ384" s="136"/>
      <c r="AR384" s="118"/>
      <c r="AS384" s="119"/>
      <c r="AT384" s="180">
        <f>AR384*0.1</f>
        <v>0</v>
      </c>
      <c r="AU384" s="181"/>
      <c r="AV384" s="118"/>
      <c r="AW384" s="119"/>
      <c r="AX384" s="118">
        <f>SUM(AR384:AW384)</f>
        <v>0</v>
      </c>
      <c r="AY384" s="119"/>
      <c r="AZ384" s="200"/>
    </row>
    <row r="385" spans="1:52" ht="17.100000000000001" customHeight="1" thickBot="1">
      <c r="A385" s="110"/>
      <c r="B385" s="58" t="s">
        <v>1567</v>
      </c>
      <c r="C385" s="27">
        <v>85043</v>
      </c>
      <c r="D385" s="14" t="s">
        <v>1576</v>
      </c>
      <c r="E385" s="112"/>
      <c r="F385" s="139" t="s">
        <v>1577</v>
      </c>
      <c r="G385" s="140"/>
      <c r="H385" s="141"/>
      <c r="I385" s="26">
        <v>48407</v>
      </c>
      <c r="J385" s="117"/>
      <c r="K385" s="120"/>
      <c r="L385" s="121"/>
      <c r="M385" s="120"/>
      <c r="N385" s="121"/>
      <c r="O385" s="120"/>
      <c r="P385" s="121"/>
      <c r="Q385" s="120"/>
      <c r="R385" s="121"/>
      <c r="S385" s="120"/>
      <c r="T385" s="121"/>
      <c r="U385" s="120"/>
      <c r="V385" s="121"/>
      <c r="W385" s="125"/>
      <c r="X385" s="143" t="s">
        <v>1578</v>
      </c>
      <c r="Y385" s="143"/>
      <c r="Z385" s="143"/>
      <c r="AA385" s="143"/>
      <c r="AB385" s="144"/>
      <c r="AC385" s="16" t="s">
        <v>21</v>
      </c>
      <c r="AD385" s="17" t="s">
        <v>1571</v>
      </c>
      <c r="AE385" s="145" t="s">
        <v>508</v>
      </c>
      <c r="AF385" s="146"/>
      <c r="AG385" s="146"/>
      <c r="AH385" s="146"/>
      <c r="AI385" s="147"/>
      <c r="AJ385" s="148"/>
      <c r="AK385" s="143"/>
      <c r="AL385" s="143"/>
      <c r="AM385" s="22"/>
      <c r="AN385" s="149"/>
      <c r="AO385" s="144"/>
      <c r="AP385" s="148"/>
      <c r="AQ385" s="144"/>
      <c r="AR385" s="120"/>
      <c r="AS385" s="121"/>
      <c r="AT385" s="120"/>
      <c r="AU385" s="182"/>
      <c r="AV385" s="120"/>
      <c r="AW385" s="121"/>
      <c r="AX385" s="120"/>
      <c r="AY385" s="121"/>
      <c r="AZ385" s="201"/>
    </row>
    <row r="386" spans="1:52" ht="17.100000000000001" customHeight="1" thickTop="1">
      <c r="A386" s="109" t="s">
        <v>5930</v>
      </c>
      <c r="B386" s="28">
        <v>44452</v>
      </c>
      <c r="C386" s="25">
        <v>1865</v>
      </c>
      <c r="D386" s="13" t="s">
        <v>900</v>
      </c>
      <c r="E386" s="111" t="s">
        <v>166</v>
      </c>
      <c r="F386" s="113" t="s">
        <v>1579</v>
      </c>
      <c r="G386" s="273"/>
      <c r="H386" s="274"/>
      <c r="I386" s="24"/>
      <c r="J386" s="116">
        <v>4</v>
      </c>
      <c r="K386" s="118">
        <v>2400000</v>
      </c>
      <c r="L386" s="119"/>
      <c r="M386" s="118">
        <v>240000</v>
      </c>
      <c r="N386" s="119"/>
      <c r="O386" s="118">
        <v>0</v>
      </c>
      <c r="P386" s="119"/>
      <c r="Q386" s="118">
        <v>26150</v>
      </c>
      <c r="R386" s="119"/>
      <c r="S386" s="118">
        <v>11000</v>
      </c>
      <c r="T386" s="119"/>
      <c r="U386" s="118">
        <f>SUM(K386:T386)</f>
        <v>2677150</v>
      </c>
      <c r="V386" s="119"/>
      <c r="W386" s="124">
        <v>2200000</v>
      </c>
      <c r="X386" s="127" t="s">
        <v>1580</v>
      </c>
      <c r="Y386" s="223"/>
      <c r="Z386" s="223"/>
      <c r="AA386" s="223"/>
      <c r="AB386" s="224"/>
      <c r="AC386" s="15" t="s">
        <v>20</v>
      </c>
      <c r="AD386" s="129" t="s">
        <v>1581</v>
      </c>
      <c r="AE386" s="130"/>
      <c r="AF386" s="130"/>
      <c r="AG386" s="130"/>
      <c r="AH386" s="130"/>
      <c r="AI386" s="131"/>
      <c r="AJ386" s="132"/>
      <c r="AK386" s="127"/>
      <c r="AL386" s="127"/>
      <c r="AM386" s="21" t="s">
        <v>1582</v>
      </c>
      <c r="AN386" s="133"/>
      <c r="AO386" s="134"/>
      <c r="AP386" s="135"/>
      <c r="AQ386" s="136"/>
      <c r="AR386" s="118"/>
      <c r="AS386" s="119"/>
      <c r="AT386" s="180">
        <f>AR386*0.1</f>
        <v>0</v>
      </c>
      <c r="AU386" s="181"/>
      <c r="AV386" s="118"/>
      <c r="AW386" s="119"/>
      <c r="AX386" s="118">
        <f>SUM(AR386:AW386)</f>
        <v>0</v>
      </c>
      <c r="AY386" s="119"/>
      <c r="AZ386" s="200"/>
    </row>
    <row r="387" spans="1:52" ht="17.100000000000001" customHeight="1" thickBot="1">
      <c r="A387" s="110"/>
      <c r="B387" s="27" t="s">
        <v>83</v>
      </c>
      <c r="C387" s="27">
        <v>32015</v>
      </c>
      <c r="D387" s="14" t="s">
        <v>275</v>
      </c>
      <c r="E387" s="112"/>
      <c r="F387" s="139" t="s">
        <v>1583</v>
      </c>
      <c r="G387" s="140"/>
      <c r="H387" s="141"/>
      <c r="I387" s="26">
        <v>37047</v>
      </c>
      <c r="J387" s="117"/>
      <c r="K387" s="120"/>
      <c r="L387" s="121"/>
      <c r="M387" s="120"/>
      <c r="N387" s="121"/>
      <c r="O387" s="120"/>
      <c r="P387" s="121"/>
      <c r="Q387" s="120"/>
      <c r="R387" s="121"/>
      <c r="S387" s="120"/>
      <c r="T387" s="121"/>
      <c r="U387" s="120"/>
      <c r="V387" s="121"/>
      <c r="W387" s="125"/>
      <c r="X387" s="143" t="s">
        <v>1584</v>
      </c>
      <c r="Y387" s="143"/>
      <c r="Z387" s="143"/>
      <c r="AA387" s="143"/>
      <c r="AB387" s="144"/>
      <c r="AC387" s="16" t="s">
        <v>21</v>
      </c>
      <c r="AD387" s="17" t="s">
        <v>1571</v>
      </c>
      <c r="AE387" s="145" t="s">
        <v>1585</v>
      </c>
      <c r="AF387" s="146"/>
      <c r="AG387" s="146"/>
      <c r="AH387" s="146"/>
      <c r="AI387" s="147"/>
      <c r="AJ387" s="148"/>
      <c r="AK387" s="143"/>
      <c r="AL387" s="143"/>
      <c r="AM387" s="22"/>
      <c r="AN387" s="149"/>
      <c r="AO387" s="144"/>
      <c r="AP387" s="148"/>
      <c r="AQ387" s="144"/>
      <c r="AR387" s="120"/>
      <c r="AS387" s="121"/>
      <c r="AT387" s="120"/>
      <c r="AU387" s="182"/>
      <c r="AV387" s="120"/>
      <c r="AW387" s="121"/>
      <c r="AX387" s="120"/>
      <c r="AY387" s="121"/>
      <c r="AZ387" s="201"/>
    </row>
    <row r="388" spans="1:52" ht="17.100000000000001" customHeight="1" thickTop="1">
      <c r="A388" s="109" t="s">
        <v>5931</v>
      </c>
      <c r="B388" s="28">
        <v>44453</v>
      </c>
      <c r="C388" s="25">
        <v>864</v>
      </c>
      <c r="D388" s="13" t="s">
        <v>1586</v>
      </c>
      <c r="E388" s="111"/>
      <c r="F388" s="113" t="s">
        <v>1587</v>
      </c>
      <c r="G388" s="273"/>
      <c r="H388" s="274"/>
      <c r="I388" s="24" t="s">
        <v>1588</v>
      </c>
      <c r="J388" s="116">
        <v>4.5</v>
      </c>
      <c r="K388" s="118">
        <v>2815000</v>
      </c>
      <c r="L388" s="119"/>
      <c r="M388" s="118">
        <v>281500</v>
      </c>
      <c r="N388" s="119"/>
      <c r="O388" s="118">
        <v>19700</v>
      </c>
      <c r="P388" s="119"/>
      <c r="Q388" s="118">
        <v>17600</v>
      </c>
      <c r="R388" s="119"/>
      <c r="S388" s="118">
        <v>13200</v>
      </c>
      <c r="T388" s="119"/>
      <c r="U388" s="118">
        <f>SUM(K388:T388)</f>
        <v>3147000</v>
      </c>
      <c r="V388" s="119"/>
      <c r="W388" s="124">
        <v>2500000</v>
      </c>
      <c r="X388" s="127" t="s">
        <v>1589</v>
      </c>
      <c r="Y388" s="223"/>
      <c r="Z388" s="223"/>
      <c r="AA388" s="223"/>
      <c r="AB388" s="224"/>
      <c r="AC388" s="15" t="s">
        <v>20</v>
      </c>
      <c r="AD388" s="129" t="s">
        <v>1575</v>
      </c>
      <c r="AE388" s="130"/>
      <c r="AF388" s="130"/>
      <c r="AG388" s="130"/>
      <c r="AH388" s="130"/>
      <c r="AI388" s="131"/>
      <c r="AJ388" s="132"/>
      <c r="AK388" s="127"/>
      <c r="AL388" s="127"/>
      <c r="AM388" s="21" t="s">
        <v>1590</v>
      </c>
      <c r="AN388" s="133"/>
      <c r="AO388" s="134"/>
      <c r="AP388" s="135"/>
      <c r="AQ388" s="136"/>
      <c r="AR388" s="118"/>
      <c r="AS388" s="119"/>
      <c r="AT388" s="180">
        <f>AR388*0.1</f>
        <v>0</v>
      </c>
      <c r="AU388" s="181"/>
      <c r="AV388" s="118"/>
      <c r="AW388" s="119"/>
      <c r="AX388" s="118">
        <f>SUM(AR388:AW388)</f>
        <v>0</v>
      </c>
      <c r="AY388" s="119"/>
      <c r="AZ388" s="200"/>
    </row>
    <row r="389" spans="1:52" ht="17.100000000000001" customHeight="1" thickBot="1">
      <c r="A389" s="110"/>
      <c r="B389" s="27" t="s">
        <v>1591</v>
      </c>
      <c r="C389" s="27">
        <v>84014</v>
      </c>
      <c r="D389" s="14" t="s">
        <v>1592</v>
      </c>
      <c r="E389" s="112"/>
      <c r="F389" s="139" t="s">
        <v>1593</v>
      </c>
      <c r="G389" s="140"/>
      <c r="H389" s="141"/>
      <c r="I389" s="26">
        <v>10716</v>
      </c>
      <c r="J389" s="117"/>
      <c r="K389" s="120"/>
      <c r="L389" s="121"/>
      <c r="M389" s="120"/>
      <c r="N389" s="121"/>
      <c r="O389" s="120"/>
      <c r="P389" s="121"/>
      <c r="Q389" s="120"/>
      <c r="R389" s="121"/>
      <c r="S389" s="120"/>
      <c r="T389" s="121"/>
      <c r="U389" s="120"/>
      <c r="V389" s="121"/>
      <c r="W389" s="125"/>
      <c r="X389" s="143" t="s">
        <v>1594</v>
      </c>
      <c r="Y389" s="143"/>
      <c r="Z389" s="143"/>
      <c r="AA389" s="143"/>
      <c r="AB389" s="144"/>
      <c r="AC389" s="16" t="s">
        <v>21</v>
      </c>
      <c r="AD389" s="17" t="s">
        <v>1595</v>
      </c>
      <c r="AE389" s="145" t="s">
        <v>1596</v>
      </c>
      <c r="AF389" s="146"/>
      <c r="AG389" s="146"/>
      <c r="AH389" s="146"/>
      <c r="AI389" s="147"/>
      <c r="AJ389" s="148"/>
      <c r="AK389" s="143"/>
      <c r="AL389" s="143"/>
      <c r="AM389" s="22" t="s">
        <v>108</v>
      </c>
      <c r="AN389" s="149"/>
      <c r="AO389" s="144"/>
      <c r="AP389" s="148"/>
      <c r="AQ389" s="144"/>
      <c r="AR389" s="120"/>
      <c r="AS389" s="121"/>
      <c r="AT389" s="120"/>
      <c r="AU389" s="182"/>
      <c r="AV389" s="120"/>
      <c r="AW389" s="121"/>
      <c r="AX389" s="120"/>
      <c r="AY389" s="121"/>
      <c r="AZ389" s="201"/>
    </row>
    <row r="390" spans="1:52" ht="17.100000000000001" customHeight="1" thickTop="1">
      <c r="A390" s="109" t="s">
        <v>5932</v>
      </c>
      <c r="B390" s="28">
        <v>44462</v>
      </c>
      <c r="C390" s="25">
        <v>1339</v>
      </c>
      <c r="D390" s="13" t="s">
        <v>1597</v>
      </c>
      <c r="E390" s="111"/>
      <c r="F390" s="113" t="s">
        <v>1598</v>
      </c>
      <c r="G390" s="273"/>
      <c r="H390" s="274"/>
      <c r="I390" s="24"/>
      <c r="J390" s="116">
        <v>4</v>
      </c>
      <c r="K390" s="118">
        <v>1320000</v>
      </c>
      <c r="L390" s="119"/>
      <c r="M390" s="118">
        <v>132000</v>
      </c>
      <c r="N390" s="119"/>
      <c r="O390" s="118">
        <v>0</v>
      </c>
      <c r="P390" s="119"/>
      <c r="Q390" s="118">
        <v>17250</v>
      </c>
      <c r="R390" s="119"/>
      <c r="S390" s="118">
        <v>13200</v>
      </c>
      <c r="T390" s="119"/>
      <c r="U390" s="118">
        <f>SUM(K390:T390)</f>
        <v>1482450</v>
      </c>
      <c r="V390" s="119"/>
      <c r="W390" s="124">
        <v>1200000</v>
      </c>
      <c r="X390" s="127" t="s">
        <v>1599</v>
      </c>
      <c r="Y390" s="223"/>
      <c r="Z390" s="223"/>
      <c r="AA390" s="223"/>
      <c r="AB390" s="224"/>
      <c r="AC390" s="15" t="s">
        <v>20</v>
      </c>
      <c r="AD390" s="129"/>
      <c r="AE390" s="130"/>
      <c r="AF390" s="130"/>
      <c r="AG390" s="130"/>
      <c r="AH390" s="130"/>
      <c r="AI390" s="131"/>
      <c r="AJ390" s="132"/>
      <c r="AK390" s="127"/>
      <c r="AL390" s="127"/>
      <c r="AM390" s="21"/>
      <c r="AN390" s="133"/>
      <c r="AO390" s="134"/>
      <c r="AP390" s="135"/>
      <c r="AQ390" s="136"/>
      <c r="AR390" s="118"/>
      <c r="AS390" s="119"/>
      <c r="AT390" s="180">
        <f>AR390*0.1</f>
        <v>0</v>
      </c>
      <c r="AU390" s="181"/>
      <c r="AV390" s="118"/>
      <c r="AW390" s="119"/>
      <c r="AX390" s="118">
        <f>SUM(AR390:AW390)</f>
        <v>0</v>
      </c>
      <c r="AY390" s="119"/>
      <c r="AZ390" s="200"/>
    </row>
    <row r="391" spans="1:52" ht="17.100000000000001" customHeight="1" thickBot="1">
      <c r="A391" s="110"/>
      <c r="B391" s="27" t="s">
        <v>1600</v>
      </c>
      <c r="C391" s="27">
        <v>75207</v>
      </c>
      <c r="D391" s="14" t="s">
        <v>1601</v>
      </c>
      <c r="E391" s="112"/>
      <c r="F391" s="139" t="s">
        <v>1602</v>
      </c>
      <c r="G391" s="140"/>
      <c r="H391" s="141"/>
      <c r="I391" s="26">
        <v>36639</v>
      </c>
      <c r="J391" s="117"/>
      <c r="K391" s="120"/>
      <c r="L391" s="121"/>
      <c r="M391" s="120"/>
      <c r="N391" s="121"/>
      <c r="O391" s="120"/>
      <c r="P391" s="121"/>
      <c r="Q391" s="120"/>
      <c r="R391" s="121"/>
      <c r="S391" s="120"/>
      <c r="T391" s="121"/>
      <c r="U391" s="120"/>
      <c r="V391" s="121"/>
      <c r="W391" s="125"/>
      <c r="X391" s="143" t="s">
        <v>1603</v>
      </c>
      <c r="Y391" s="143"/>
      <c r="Z391" s="143"/>
      <c r="AA391" s="143"/>
      <c r="AB391" s="144"/>
      <c r="AC391" s="16" t="s">
        <v>21</v>
      </c>
      <c r="AD391" s="17" t="s">
        <v>1604</v>
      </c>
      <c r="AE391" s="145" t="s">
        <v>1605</v>
      </c>
      <c r="AF391" s="146"/>
      <c r="AG391" s="146"/>
      <c r="AH391" s="146"/>
      <c r="AI391" s="147"/>
      <c r="AJ391" s="148"/>
      <c r="AK391" s="143"/>
      <c r="AL391" s="143"/>
      <c r="AM391" s="22"/>
      <c r="AN391" s="149"/>
      <c r="AO391" s="144"/>
      <c r="AP391" s="148"/>
      <c r="AQ391" s="144"/>
      <c r="AR391" s="120"/>
      <c r="AS391" s="121"/>
      <c r="AT391" s="120"/>
      <c r="AU391" s="182"/>
      <c r="AV391" s="120"/>
      <c r="AW391" s="121"/>
      <c r="AX391" s="120"/>
      <c r="AY391" s="121"/>
      <c r="AZ391" s="201"/>
    </row>
    <row r="392" spans="1:52" ht="17.100000000000001" customHeight="1" thickTop="1">
      <c r="A392" s="109" t="s">
        <v>5933</v>
      </c>
      <c r="B392" s="28">
        <v>44474</v>
      </c>
      <c r="C392" s="25">
        <v>867</v>
      </c>
      <c r="D392" s="13" t="s">
        <v>1606</v>
      </c>
      <c r="E392" s="111"/>
      <c r="F392" s="113" t="s">
        <v>1607</v>
      </c>
      <c r="G392" s="273"/>
      <c r="H392" s="274"/>
      <c r="I392" s="24"/>
      <c r="J392" s="116">
        <v>4.5</v>
      </c>
      <c r="K392" s="118">
        <v>1455000</v>
      </c>
      <c r="L392" s="119"/>
      <c r="M392" s="118">
        <v>145500</v>
      </c>
      <c r="N392" s="119"/>
      <c r="O392" s="118">
        <v>0</v>
      </c>
      <c r="P392" s="119"/>
      <c r="Q392" s="118">
        <v>18960</v>
      </c>
      <c r="R392" s="119"/>
      <c r="S392" s="118">
        <v>13200</v>
      </c>
      <c r="T392" s="119"/>
      <c r="U392" s="118">
        <f>SUM(K392:T392)</f>
        <v>1632660</v>
      </c>
      <c r="V392" s="119"/>
      <c r="W392" s="124">
        <v>1300000</v>
      </c>
      <c r="X392" s="127" t="s">
        <v>1608</v>
      </c>
      <c r="Y392" s="223"/>
      <c r="Z392" s="223"/>
      <c r="AA392" s="223"/>
      <c r="AB392" s="224"/>
      <c r="AC392" s="15" t="s">
        <v>20</v>
      </c>
      <c r="AD392" s="129" t="s">
        <v>1609</v>
      </c>
      <c r="AE392" s="130"/>
      <c r="AF392" s="130"/>
      <c r="AG392" s="130"/>
      <c r="AH392" s="130"/>
      <c r="AI392" s="131"/>
      <c r="AJ392" s="132"/>
      <c r="AK392" s="127"/>
      <c r="AL392" s="127"/>
      <c r="AM392" s="21"/>
      <c r="AN392" s="133"/>
      <c r="AO392" s="134"/>
      <c r="AP392" s="135"/>
      <c r="AQ392" s="136"/>
      <c r="AR392" s="118"/>
      <c r="AS392" s="119"/>
      <c r="AT392" s="180">
        <f>AR392*0.1</f>
        <v>0</v>
      </c>
      <c r="AU392" s="181"/>
      <c r="AV392" s="118"/>
      <c r="AW392" s="119"/>
      <c r="AX392" s="118">
        <f>SUM(AR392:AW392)</f>
        <v>0</v>
      </c>
      <c r="AY392" s="119"/>
      <c r="AZ392" s="200"/>
    </row>
    <row r="393" spans="1:52" ht="17.100000000000001" customHeight="1" thickBot="1">
      <c r="A393" s="110"/>
      <c r="B393" s="27" t="s">
        <v>1591</v>
      </c>
      <c r="C393" s="27">
        <v>84002</v>
      </c>
      <c r="D393" s="14" t="s">
        <v>1610</v>
      </c>
      <c r="E393" s="112"/>
      <c r="F393" s="139" t="s">
        <v>1611</v>
      </c>
      <c r="G393" s="140"/>
      <c r="H393" s="141"/>
      <c r="I393" s="26">
        <v>39994</v>
      </c>
      <c r="J393" s="117"/>
      <c r="K393" s="120"/>
      <c r="L393" s="121"/>
      <c r="M393" s="120"/>
      <c r="N393" s="121"/>
      <c r="O393" s="120"/>
      <c r="P393" s="121"/>
      <c r="Q393" s="120"/>
      <c r="R393" s="121"/>
      <c r="S393" s="120"/>
      <c r="T393" s="121"/>
      <c r="U393" s="120"/>
      <c r="V393" s="121"/>
      <c r="W393" s="125"/>
      <c r="X393" s="143" t="s">
        <v>1612</v>
      </c>
      <c r="Y393" s="143"/>
      <c r="Z393" s="143"/>
      <c r="AA393" s="143"/>
      <c r="AB393" s="144"/>
      <c r="AC393" s="16" t="s">
        <v>21</v>
      </c>
      <c r="AD393" s="17" t="s">
        <v>1613</v>
      </c>
      <c r="AE393" s="145" t="s">
        <v>1614</v>
      </c>
      <c r="AF393" s="146"/>
      <c r="AG393" s="146"/>
      <c r="AH393" s="146"/>
      <c r="AI393" s="147"/>
      <c r="AJ393" s="148"/>
      <c r="AK393" s="143"/>
      <c r="AL393" s="143"/>
      <c r="AM393" s="22"/>
      <c r="AN393" s="149"/>
      <c r="AO393" s="144"/>
      <c r="AP393" s="148"/>
      <c r="AQ393" s="144"/>
      <c r="AR393" s="120"/>
      <c r="AS393" s="121"/>
      <c r="AT393" s="120"/>
      <c r="AU393" s="182"/>
      <c r="AV393" s="120"/>
      <c r="AW393" s="121"/>
      <c r="AX393" s="120"/>
      <c r="AY393" s="121"/>
      <c r="AZ393" s="201"/>
    </row>
    <row r="394" spans="1:52" ht="17.100000000000001" customHeight="1" thickTop="1">
      <c r="A394" s="109" t="s">
        <v>5934</v>
      </c>
      <c r="B394" s="28">
        <v>44477</v>
      </c>
      <c r="C394" s="25">
        <v>1910</v>
      </c>
      <c r="D394" s="13" t="s">
        <v>1615</v>
      </c>
      <c r="E394" s="111"/>
      <c r="F394" s="113" t="s">
        <v>1616</v>
      </c>
      <c r="G394" s="273"/>
      <c r="H394" s="274"/>
      <c r="I394" s="24"/>
      <c r="J394" s="116">
        <v>4.5</v>
      </c>
      <c r="K394" s="118">
        <v>1495000</v>
      </c>
      <c r="L394" s="119"/>
      <c r="M394" s="118">
        <v>149500</v>
      </c>
      <c r="N394" s="119"/>
      <c r="O394" s="118">
        <v>0</v>
      </c>
      <c r="P394" s="119"/>
      <c r="Q394" s="118">
        <v>17250</v>
      </c>
      <c r="R394" s="119"/>
      <c r="S394" s="118">
        <v>13200</v>
      </c>
      <c r="T394" s="119"/>
      <c r="U394" s="118">
        <f>SUM(K394:T394)</f>
        <v>1674950</v>
      </c>
      <c r="V394" s="119"/>
      <c r="W394" s="124">
        <v>1200000</v>
      </c>
      <c r="X394" s="127" t="s">
        <v>1617</v>
      </c>
      <c r="Y394" s="223"/>
      <c r="Z394" s="223"/>
      <c r="AA394" s="223"/>
      <c r="AB394" s="224"/>
      <c r="AC394" s="15" t="s">
        <v>20</v>
      </c>
      <c r="AD394" s="129"/>
      <c r="AE394" s="130"/>
      <c r="AF394" s="130"/>
      <c r="AG394" s="130"/>
      <c r="AH394" s="130"/>
      <c r="AI394" s="131"/>
      <c r="AJ394" s="282" t="s">
        <v>1618</v>
      </c>
      <c r="AK394" s="127"/>
      <c r="AL394" s="127"/>
      <c r="AM394" s="21"/>
      <c r="AN394" s="133"/>
      <c r="AO394" s="134"/>
      <c r="AP394" s="135"/>
      <c r="AQ394" s="136"/>
      <c r="AR394" s="118"/>
      <c r="AS394" s="119"/>
      <c r="AT394" s="180">
        <f>AR394*0.1</f>
        <v>0</v>
      </c>
      <c r="AU394" s="181"/>
      <c r="AV394" s="118"/>
      <c r="AW394" s="119"/>
      <c r="AX394" s="118">
        <f>SUM(AR394:AW394)</f>
        <v>0</v>
      </c>
      <c r="AY394" s="119"/>
      <c r="AZ394" s="200"/>
    </row>
    <row r="395" spans="1:52" ht="17.100000000000001" customHeight="1" thickBot="1">
      <c r="A395" s="110"/>
      <c r="B395" s="27" t="s">
        <v>1543</v>
      </c>
      <c r="C395" s="27">
        <v>58210</v>
      </c>
      <c r="D395" s="14" t="s">
        <v>1619</v>
      </c>
      <c r="E395" s="112"/>
      <c r="F395" s="139" t="s">
        <v>1620</v>
      </c>
      <c r="G395" s="140"/>
      <c r="H395" s="141"/>
      <c r="I395" s="26">
        <v>26896</v>
      </c>
      <c r="J395" s="117"/>
      <c r="K395" s="120"/>
      <c r="L395" s="121"/>
      <c r="M395" s="120"/>
      <c r="N395" s="121"/>
      <c r="O395" s="120"/>
      <c r="P395" s="121"/>
      <c r="Q395" s="120"/>
      <c r="R395" s="121"/>
      <c r="S395" s="120"/>
      <c r="T395" s="121"/>
      <c r="U395" s="120"/>
      <c r="V395" s="121"/>
      <c r="W395" s="125"/>
      <c r="X395" s="143" t="s">
        <v>1621</v>
      </c>
      <c r="Y395" s="143"/>
      <c r="Z395" s="143"/>
      <c r="AA395" s="143"/>
      <c r="AB395" s="144"/>
      <c r="AC395" s="16" t="s">
        <v>21</v>
      </c>
      <c r="AD395" s="17" t="s">
        <v>1622</v>
      </c>
      <c r="AE395" s="145" t="s">
        <v>186</v>
      </c>
      <c r="AF395" s="146"/>
      <c r="AG395" s="146"/>
      <c r="AH395" s="146"/>
      <c r="AI395" s="147"/>
      <c r="AJ395" s="148"/>
      <c r="AK395" s="143"/>
      <c r="AL395" s="143"/>
      <c r="AM395" s="22"/>
      <c r="AN395" s="149"/>
      <c r="AO395" s="144"/>
      <c r="AP395" s="148"/>
      <c r="AQ395" s="144"/>
      <c r="AR395" s="120"/>
      <c r="AS395" s="121"/>
      <c r="AT395" s="120"/>
      <c r="AU395" s="182"/>
      <c r="AV395" s="120"/>
      <c r="AW395" s="121"/>
      <c r="AX395" s="120"/>
      <c r="AY395" s="121"/>
      <c r="AZ395" s="201"/>
    </row>
    <row r="396" spans="1:52" ht="17.100000000000001" customHeight="1" thickTop="1">
      <c r="A396" s="109" t="s">
        <v>5935</v>
      </c>
      <c r="B396" s="28">
        <v>44478</v>
      </c>
      <c r="C396" s="25">
        <v>1318</v>
      </c>
      <c r="D396" s="13" t="s">
        <v>1623</v>
      </c>
      <c r="E396" s="111"/>
      <c r="F396" s="113" t="s">
        <v>1624</v>
      </c>
      <c r="G396" s="273"/>
      <c r="H396" s="274"/>
      <c r="I396" s="24"/>
      <c r="J396" s="116">
        <v>4.5</v>
      </c>
      <c r="K396" s="118">
        <v>1300000</v>
      </c>
      <c r="L396" s="119"/>
      <c r="M396" s="118">
        <v>130000</v>
      </c>
      <c r="N396" s="119"/>
      <c r="O396" s="118">
        <v>0</v>
      </c>
      <c r="P396" s="119"/>
      <c r="Q396" s="118">
        <v>18300</v>
      </c>
      <c r="R396" s="119"/>
      <c r="S396" s="118">
        <v>13200</v>
      </c>
      <c r="T396" s="119"/>
      <c r="U396" s="118">
        <f>SUM(K396:T397)</f>
        <v>1461500</v>
      </c>
      <c r="V396" s="119"/>
      <c r="W396" s="124">
        <v>1100000</v>
      </c>
      <c r="X396" s="127" t="s">
        <v>1625</v>
      </c>
      <c r="Y396" s="223"/>
      <c r="Z396" s="223"/>
      <c r="AA396" s="223"/>
      <c r="AB396" s="224"/>
      <c r="AC396" s="15" t="s">
        <v>20</v>
      </c>
      <c r="AD396" s="129" t="s">
        <v>1565</v>
      </c>
      <c r="AE396" s="130"/>
      <c r="AF396" s="130"/>
      <c r="AG396" s="130"/>
      <c r="AH396" s="130"/>
      <c r="AI396" s="131"/>
      <c r="AJ396" s="132"/>
      <c r="AK396" s="127"/>
      <c r="AL396" s="127"/>
      <c r="AM396" s="21"/>
      <c r="AN396" s="133"/>
      <c r="AO396" s="134"/>
      <c r="AP396" s="135"/>
      <c r="AQ396" s="136"/>
      <c r="AR396" s="118"/>
      <c r="AS396" s="119"/>
      <c r="AT396" s="180">
        <f>AR396*0.1</f>
        <v>0</v>
      </c>
      <c r="AU396" s="181"/>
      <c r="AV396" s="118"/>
      <c r="AW396" s="119"/>
      <c r="AX396" s="118">
        <f>SUM(AR396:AW396)</f>
        <v>0</v>
      </c>
      <c r="AY396" s="119"/>
      <c r="AZ396" s="200"/>
    </row>
    <row r="397" spans="1:52" ht="17.100000000000001" customHeight="1" thickBot="1">
      <c r="A397" s="110"/>
      <c r="B397" s="27" t="s">
        <v>1555</v>
      </c>
      <c r="C397" s="27">
        <v>83113</v>
      </c>
      <c r="D397" s="14" t="s">
        <v>1626</v>
      </c>
      <c r="E397" s="112"/>
      <c r="F397" s="139" t="s">
        <v>1627</v>
      </c>
      <c r="G397" s="140"/>
      <c r="H397" s="141"/>
      <c r="I397" s="26">
        <v>48713</v>
      </c>
      <c r="J397" s="117"/>
      <c r="K397" s="120"/>
      <c r="L397" s="121"/>
      <c r="M397" s="120"/>
      <c r="N397" s="121"/>
      <c r="O397" s="120"/>
      <c r="P397" s="121"/>
      <c r="Q397" s="120"/>
      <c r="R397" s="121"/>
      <c r="S397" s="120"/>
      <c r="T397" s="121"/>
      <c r="U397" s="120"/>
      <c r="V397" s="121"/>
      <c r="W397" s="125"/>
      <c r="X397" s="143" t="s">
        <v>1628</v>
      </c>
      <c r="Y397" s="143"/>
      <c r="Z397" s="143"/>
      <c r="AA397" s="143"/>
      <c r="AB397" s="144"/>
      <c r="AC397" s="16" t="s">
        <v>21</v>
      </c>
      <c r="AD397" s="17" t="s">
        <v>1622</v>
      </c>
      <c r="AE397" s="145" t="s">
        <v>158</v>
      </c>
      <c r="AF397" s="146"/>
      <c r="AG397" s="146"/>
      <c r="AH397" s="146"/>
      <c r="AI397" s="147"/>
      <c r="AJ397" s="148"/>
      <c r="AK397" s="143"/>
      <c r="AL397" s="143"/>
      <c r="AM397" s="22"/>
      <c r="AN397" s="149"/>
      <c r="AO397" s="144"/>
      <c r="AP397" s="148"/>
      <c r="AQ397" s="144"/>
      <c r="AR397" s="120"/>
      <c r="AS397" s="121"/>
      <c r="AT397" s="120"/>
      <c r="AU397" s="182"/>
      <c r="AV397" s="120"/>
      <c r="AW397" s="121"/>
      <c r="AX397" s="120"/>
      <c r="AY397" s="121"/>
      <c r="AZ397" s="201"/>
    </row>
    <row r="398" spans="1:52" ht="17.100000000000001" customHeight="1" thickTop="1">
      <c r="A398" s="109" t="s">
        <v>5936</v>
      </c>
      <c r="B398" s="28">
        <v>44481</v>
      </c>
      <c r="C398" s="25">
        <v>868</v>
      </c>
      <c r="D398" s="13" t="s">
        <v>1629</v>
      </c>
      <c r="E398" s="111"/>
      <c r="F398" s="113" t="s">
        <v>1630</v>
      </c>
      <c r="G398" s="273"/>
      <c r="H398" s="274"/>
      <c r="I398" s="24" t="s">
        <v>1631</v>
      </c>
      <c r="J398" s="116">
        <v>4</v>
      </c>
      <c r="K398" s="118">
        <v>1710000</v>
      </c>
      <c r="L398" s="119"/>
      <c r="M398" s="118">
        <v>171000</v>
      </c>
      <c r="N398" s="119"/>
      <c r="O398" s="118">
        <v>31800</v>
      </c>
      <c r="P398" s="119"/>
      <c r="Q398" s="118">
        <v>15590</v>
      </c>
      <c r="R398" s="119"/>
      <c r="S398" s="118">
        <v>13200</v>
      </c>
      <c r="T398" s="119"/>
      <c r="U398" s="118">
        <f>SUM(K398:T399)</f>
        <v>1941590</v>
      </c>
      <c r="V398" s="119"/>
      <c r="W398" s="124">
        <v>1500000</v>
      </c>
      <c r="X398" s="127" t="s">
        <v>1632</v>
      </c>
      <c r="Y398" s="223"/>
      <c r="Z398" s="223"/>
      <c r="AA398" s="223"/>
      <c r="AB398" s="224"/>
      <c r="AC398" s="15" t="s">
        <v>20</v>
      </c>
      <c r="AD398" s="129" t="s">
        <v>1633</v>
      </c>
      <c r="AE398" s="130"/>
      <c r="AF398" s="130"/>
      <c r="AG398" s="130"/>
      <c r="AH398" s="130"/>
      <c r="AI398" s="131"/>
      <c r="AJ398" s="132"/>
      <c r="AK398" s="127"/>
      <c r="AL398" s="127"/>
      <c r="AM398" s="21" t="s">
        <v>1634</v>
      </c>
      <c r="AN398" s="133"/>
      <c r="AO398" s="134"/>
      <c r="AP398" s="135"/>
      <c r="AQ398" s="136"/>
      <c r="AR398" s="118"/>
      <c r="AS398" s="119"/>
      <c r="AT398" s="180">
        <f>AR398*0.1</f>
        <v>0</v>
      </c>
      <c r="AU398" s="181"/>
      <c r="AV398" s="118"/>
      <c r="AW398" s="119"/>
      <c r="AX398" s="118">
        <f>SUM(AR398:AW398)</f>
        <v>0</v>
      </c>
      <c r="AY398" s="119"/>
      <c r="AZ398" s="200"/>
    </row>
    <row r="399" spans="1:52" ht="17.100000000000001" customHeight="1" thickBot="1">
      <c r="A399" s="110"/>
      <c r="B399" s="27" t="s">
        <v>1591</v>
      </c>
      <c r="C399" s="27">
        <v>84172</v>
      </c>
      <c r="D399" s="14" t="s">
        <v>1635</v>
      </c>
      <c r="E399" s="112"/>
      <c r="F399" s="139" t="s">
        <v>1636</v>
      </c>
      <c r="G399" s="140"/>
      <c r="H399" s="141"/>
      <c r="I399" s="26">
        <v>48000</v>
      </c>
      <c r="J399" s="117"/>
      <c r="K399" s="120"/>
      <c r="L399" s="121"/>
      <c r="M399" s="120"/>
      <c r="N399" s="121"/>
      <c r="O399" s="120"/>
      <c r="P399" s="121"/>
      <c r="Q399" s="120"/>
      <c r="R399" s="121"/>
      <c r="S399" s="120"/>
      <c r="T399" s="121"/>
      <c r="U399" s="120"/>
      <c r="V399" s="121"/>
      <c r="W399" s="125"/>
      <c r="X399" s="143" t="s">
        <v>1637</v>
      </c>
      <c r="Y399" s="143"/>
      <c r="Z399" s="143"/>
      <c r="AA399" s="143"/>
      <c r="AB399" s="144"/>
      <c r="AC399" s="16" t="s">
        <v>21</v>
      </c>
      <c r="AD399" s="17" t="s">
        <v>1638</v>
      </c>
      <c r="AE399" s="145" t="s">
        <v>1639</v>
      </c>
      <c r="AF399" s="146"/>
      <c r="AG399" s="146"/>
      <c r="AH399" s="146"/>
      <c r="AI399" s="147"/>
      <c r="AJ399" s="148"/>
      <c r="AK399" s="143"/>
      <c r="AL399" s="143"/>
      <c r="AM399" s="22" t="s">
        <v>928</v>
      </c>
      <c r="AN399" s="149"/>
      <c r="AO399" s="144"/>
      <c r="AP399" s="148"/>
      <c r="AQ399" s="144"/>
      <c r="AR399" s="120"/>
      <c r="AS399" s="121"/>
      <c r="AT399" s="120"/>
      <c r="AU399" s="182"/>
      <c r="AV399" s="120"/>
      <c r="AW399" s="121"/>
      <c r="AX399" s="120"/>
      <c r="AY399" s="121"/>
      <c r="AZ399" s="201"/>
    </row>
    <row r="400" spans="1:52" ht="17.100000000000001" customHeight="1" thickTop="1">
      <c r="A400" s="109" t="s">
        <v>5937</v>
      </c>
      <c r="B400" s="28">
        <v>44481</v>
      </c>
      <c r="C400" s="25">
        <v>868</v>
      </c>
      <c r="D400" s="13" t="s">
        <v>1640</v>
      </c>
      <c r="E400" s="111"/>
      <c r="F400" s="113" t="s">
        <v>1641</v>
      </c>
      <c r="G400" s="273"/>
      <c r="H400" s="274"/>
      <c r="I400" s="24" t="s">
        <v>1642</v>
      </c>
      <c r="J400" s="116">
        <v>4.5</v>
      </c>
      <c r="K400" s="118">
        <v>4610000</v>
      </c>
      <c r="L400" s="119"/>
      <c r="M400" s="118">
        <v>461000</v>
      </c>
      <c r="N400" s="119"/>
      <c r="O400" s="118">
        <v>21200</v>
      </c>
      <c r="P400" s="119"/>
      <c r="Q400" s="118">
        <v>20990</v>
      </c>
      <c r="R400" s="119"/>
      <c r="S400" s="118">
        <v>13200</v>
      </c>
      <c r="T400" s="119"/>
      <c r="U400" s="118">
        <f>SUM(K400:T401)</f>
        <v>5126390</v>
      </c>
      <c r="V400" s="119"/>
      <c r="W400" s="124">
        <v>4700000</v>
      </c>
      <c r="X400" s="127" t="s">
        <v>1643</v>
      </c>
      <c r="Y400" s="223"/>
      <c r="Z400" s="223"/>
      <c r="AA400" s="223"/>
      <c r="AB400" s="224"/>
      <c r="AC400" s="15" t="s">
        <v>20</v>
      </c>
      <c r="AD400" s="129" t="s">
        <v>1644</v>
      </c>
      <c r="AE400" s="130"/>
      <c r="AF400" s="130"/>
      <c r="AG400" s="130"/>
      <c r="AH400" s="130"/>
      <c r="AI400" s="131"/>
      <c r="AJ400" s="132"/>
      <c r="AK400" s="127"/>
      <c r="AL400" s="127"/>
      <c r="AM400" s="21" t="s">
        <v>1645</v>
      </c>
      <c r="AN400" s="133"/>
      <c r="AO400" s="134"/>
      <c r="AP400" s="135"/>
      <c r="AQ400" s="136"/>
      <c r="AR400" s="118"/>
      <c r="AS400" s="119"/>
      <c r="AT400" s="180">
        <f>AR400*0.1</f>
        <v>0</v>
      </c>
      <c r="AU400" s="181"/>
      <c r="AV400" s="118"/>
      <c r="AW400" s="119"/>
      <c r="AX400" s="118">
        <f>SUM(AR400:AW400)</f>
        <v>0</v>
      </c>
      <c r="AY400" s="119"/>
      <c r="AZ400" s="200"/>
    </row>
    <row r="401" spans="1:52" ht="17.100000000000001" customHeight="1" thickBot="1">
      <c r="A401" s="110"/>
      <c r="B401" s="27" t="s">
        <v>1591</v>
      </c>
      <c r="C401" s="27">
        <v>90003</v>
      </c>
      <c r="D401" s="14" t="s">
        <v>275</v>
      </c>
      <c r="E401" s="112"/>
      <c r="F401" s="139" t="s">
        <v>1646</v>
      </c>
      <c r="G401" s="140"/>
      <c r="H401" s="141"/>
      <c r="I401" s="26">
        <v>44907</v>
      </c>
      <c r="J401" s="117"/>
      <c r="K401" s="120"/>
      <c r="L401" s="121"/>
      <c r="M401" s="120"/>
      <c r="N401" s="121"/>
      <c r="O401" s="120"/>
      <c r="P401" s="121"/>
      <c r="Q401" s="120"/>
      <c r="R401" s="121"/>
      <c r="S401" s="120"/>
      <c r="T401" s="121"/>
      <c r="U401" s="120"/>
      <c r="V401" s="121"/>
      <c r="W401" s="125"/>
      <c r="X401" s="143" t="s">
        <v>1647</v>
      </c>
      <c r="Y401" s="143"/>
      <c r="Z401" s="143"/>
      <c r="AA401" s="143"/>
      <c r="AB401" s="144"/>
      <c r="AC401" s="16" t="s">
        <v>21</v>
      </c>
      <c r="AD401" s="17" t="s">
        <v>1648</v>
      </c>
      <c r="AE401" s="145" t="s">
        <v>508</v>
      </c>
      <c r="AF401" s="146"/>
      <c r="AG401" s="146"/>
      <c r="AH401" s="146"/>
      <c r="AI401" s="147"/>
      <c r="AJ401" s="148"/>
      <c r="AK401" s="143"/>
      <c r="AL401" s="143"/>
      <c r="AM401" s="22" t="s">
        <v>108</v>
      </c>
      <c r="AN401" s="149"/>
      <c r="AO401" s="144"/>
      <c r="AP401" s="148"/>
      <c r="AQ401" s="144"/>
      <c r="AR401" s="120"/>
      <c r="AS401" s="121"/>
      <c r="AT401" s="120"/>
      <c r="AU401" s="182"/>
      <c r="AV401" s="120"/>
      <c r="AW401" s="121"/>
      <c r="AX401" s="120"/>
      <c r="AY401" s="121"/>
      <c r="AZ401" s="201"/>
    </row>
    <row r="402" spans="1:52" ht="17.100000000000001" customHeight="1" thickTop="1">
      <c r="A402" s="109" t="s">
        <v>5938</v>
      </c>
      <c r="B402" s="28">
        <v>44483</v>
      </c>
      <c r="C402" s="25">
        <v>1342</v>
      </c>
      <c r="D402" s="13" t="s">
        <v>1649</v>
      </c>
      <c r="E402" s="111" t="s">
        <v>166</v>
      </c>
      <c r="F402" s="113" t="s">
        <v>1650</v>
      </c>
      <c r="G402" s="273"/>
      <c r="H402" s="274"/>
      <c r="I402" s="24" t="s">
        <v>1651</v>
      </c>
      <c r="J402" s="116">
        <v>5</v>
      </c>
      <c r="K402" s="118">
        <v>4175000</v>
      </c>
      <c r="L402" s="119"/>
      <c r="M402" s="118">
        <v>417500</v>
      </c>
      <c r="N402" s="119"/>
      <c r="O402" s="118">
        <v>36600</v>
      </c>
      <c r="P402" s="119"/>
      <c r="Q402" s="118">
        <v>26520</v>
      </c>
      <c r="R402" s="119"/>
      <c r="S402" s="118">
        <v>13200</v>
      </c>
      <c r="T402" s="119"/>
      <c r="U402" s="118">
        <f>SUM(K402:T403)</f>
        <v>4668820</v>
      </c>
      <c r="V402" s="119"/>
      <c r="W402" s="124"/>
      <c r="X402" s="127" t="s">
        <v>1652</v>
      </c>
      <c r="Y402" s="223"/>
      <c r="Z402" s="223"/>
      <c r="AA402" s="223"/>
      <c r="AB402" s="224"/>
      <c r="AC402" s="15" t="s">
        <v>20</v>
      </c>
      <c r="AD402" s="129" t="s">
        <v>1633</v>
      </c>
      <c r="AE402" s="130"/>
      <c r="AF402" s="130"/>
      <c r="AG402" s="130"/>
      <c r="AH402" s="130"/>
      <c r="AI402" s="131"/>
      <c r="AJ402" s="132" t="s">
        <v>1653</v>
      </c>
      <c r="AK402" s="127"/>
      <c r="AL402" s="127"/>
      <c r="AM402" s="21" t="s">
        <v>1654</v>
      </c>
      <c r="AN402" s="133"/>
      <c r="AO402" s="134"/>
      <c r="AP402" s="135"/>
      <c r="AQ402" s="136"/>
      <c r="AR402" s="118"/>
      <c r="AS402" s="119"/>
      <c r="AT402" s="180">
        <f>AR402*0.1</f>
        <v>0</v>
      </c>
      <c r="AU402" s="181"/>
      <c r="AV402" s="118"/>
      <c r="AW402" s="119"/>
      <c r="AX402" s="118">
        <f>SUM(AR402:AW402)</f>
        <v>0</v>
      </c>
      <c r="AY402" s="119"/>
      <c r="AZ402" s="200"/>
    </row>
    <row r="403" spans="1:52" ht="17.100000000000001" customHeight="1" thickBot="1">
      <c r="A403" s="110"/>
      <c r="B403" s="27" t="s">
        <v>1600</v>
      </c>
      <c r="C403" s="27">
        <v>75378</v>
      </c>
      <c r="D403" s="14" t="s">
        <v>275</v>
      </c>
      <c r="E403" s="112"/>
      <c r="F403" s="139" t="s">
        <v>1655</v>
      </c>
      <c r="G403" s="140"/>
      <c r="H403" s="141"/>
      <c r="I403" s="26">
        <v>43444</v>
      </c>
      <c r="J403" s="117"/>
      <c r="K403" s="120"/>
      <c r="L403" s="121"/>
      <c r="M403" s="120"/>
      <c r="N403" s="121"/>
      <c r="O403" s="120"/>
      <c r="P403" s="121"/>
      <c r="Q403" s="120"/>
      <c r="R403" s="121"/>
      <c r="S403" s="120"/>
      <c r="T403" s="121"/>
      <c r="U403" s="120"/>
      <c r="V403" s="121"/>
      <c r="W403" s="125"/>
      <c r="X403" s="143" t="s">
        <v>1656</v>
      </c>
      <c r="Y403" s="143"/>
      <c r="Z403" s="143"/>
      <c r="AA403" s="143"/>
      <c r="AB403" s="144"/>
      <c r="AC403" s="16" t="s">
        <v>21</v>
      </c>
      <c r="AD403" s="17" t="s">
        <v>1657</v>
      </c>
      <c r="AE403" s="145" t="s">
        <v>1658</v>
      </c>
      <c r="AF403" s="146"/>
      <c r="AG403" s="146"/>
      <c r="AH403" s="146"/>
      <c r="AI403" s="147"/>
      <c r="AJ403" s="148"/>
      <c r="AK403" s="143"/>
      <c r="AL403" s="143"/>
      <c r="AM403" s="22"/>
      <c r="AN403" s="149"/>
      <c r="AO403" s="144"/>
      <c r="AP403" s="148"/>
      <c r="AQ403" s="144"/>
      <c r="AR403" s="120"/>
      <c r="AS403" s="121"/>
      <c r="AT403" s="120"/>
      <c r="AU403" s="182"/>
      <c r="AV403" s="120"/>
      <c r="AW403" s="121"/>
      <c r="AX403" s="120"/>
      <c r="AY403" s="121"/>
      <c r="AZ403" s="201"/>
    </row>
    <row r="404" spans="1:52" ht="17.100000000000001" customHeight="1" thickTop="1">
      <c r="A404" s="109" t="s">
        <v>5939</v>
      </c>
      <c r="B404" s="28">
        <v>44484</v>
      </c>
      <c r="C404" s="25">
        <v>1911</v>
      </c>
      <c r="D404" s="13" t="s">
        <v>1659</v>
      </c>
      <c r="E404" s="111"/>
      <c r="F404" s="113" t="s">
        <v>1660</v>
      </c>
      <c r="G404" s="273"/>
      <c r="H404" s="274"/>
      <c r="I404" s="24" t="s">
        <v>1563</v>
      </c>
      <c r="J404" s="116">
        <v>3.5</v>
      </c>
      <c r="K404" s="118">
        <v>1000000</v>
      </c>
      <c r="L404" s="119"/>
      <c r="M404" s="118">
        <v>100000</v>
      </c>
      <c r="N404" s="119"/>
      <c r="O404" s="118">
        <v>31800</v>
      </c>
      <c r="P404" s="119"/>
      <c r="Q404" s="118">
        <v>15490</v>
      </c>
      <c r="R404" s="119"/>
      <c r="S404" s="118">
        <v>13200</v>
      </c>
      <c r="T404" s="119"/>
      <c r="U404" s="118">
        <f>SUM(K404:T405)</f>
        <v>1160490</v>
      </c>
      <c r="V404" s="119"/>
      <c r="W404" s="124"/>
      <c r="X404" s="127" t="s">
        <v>1661</v>
      </c>
      <c r="Y404" s="223"/>
      <c r="Z404" s="223"/>
      <c r="AA404" s="223"/>
      <c r="AB404" s="224"/>
      <c r="AC404" s="15" t="s">
        <v>20</v>
      </c>
      <c r="AD404" s="129"/>
      <c r="AE404" s="130"/>
      <c r="AF404" s="130"/>
      <c r="AG404" s="130"/>
      <c r="AH404" s="130"/>
      <c r="AI404" s="131"/>
      <c r="AJ404" s="132"/>
      <c r="AK404" s="127"/>
      <c r="AL404" s="127"/>
      <c r="AM404" s="21" t="s">
        <v>1662</v>
      </c>
      <c r="AN404" s="133"/>
      <c r="AO404" s="134"/>
      <c r="AP404" s="135"/>
      <c r="AQ404" s="136"/>
      <c r="AR404" s="118"/>
      <c r="AS404" s="119"/>
      <c r="AT404" s="180">
        <f>AR404*0.1</f>
        <v>0</v>
      </c>
      <c r="AU404" s="181"/>
      <c r="AV404" s="118"/>
      <c r="AW404" s="119"/>
      <c r="AX404" s="118">
        <f>SUM(AR404:AW404)</f>
        <v>0</v>
      </c>
      <c r="AY404" s="119"/>
      <c r="AZ404" s="200"/>
    </row>
    <row r="405" spans="1:52" ht="17.100000000000001" customHeight="1" thickBot="1">
      <c r="A405" s="110"/>
      <c r="B405" s="27" t="s">
        <v>1543</v>
      </c>
      <c r="C405" s="27">
        <v>20427</v>
      </c>
      <c r="D405" s="14" t="s">
        <v>1635</v>
      </c>
      <c r="E405" s="112"/>
      <c r="F405" s="139" t="s">
        <v>1663</v>
      </c>
      <c r="G405" s="140"/>
      <c r="H405" s="141"/>
      <c r="I405" s="26">
        <v>72076</v>
      </c>
      <c r="J405" s="117"/>
      <c r="K405" s="120"/>
      <c r="L405" s="121"/>
      <c r="M405" s="120"/>
      <c r="N405" s="121"/>
      <c r="O405" s="120"/>
      <c r="P405" s="121"/>
      <c r="Q405" s="120"/>
      <c r="R405" s="121"/>
      <c r="S405" s="120"/>
      <c r="T405" s="121"/>
      <c r="U405" s="120"/>
      <c r="V405" s="121"/>
      <c r="W405" s="125"/>
      <c r="X405" s="143" t="s">
        <v>1664</v>
      </c>
      <c r="Y405" s="143"/>
      <c r="Z405" s="143"/>
      <c r="AA405" s="143"/>
      <c r="AB405" s="144"/>
      <c r="AC405" s="16" t="s">
        <v>21</v>
      </c>
      <c r="AD405" s="17" t="s">
        <v>1665</v>
      </c>
      <c r="AE405" s="145" t="s">
        <v>1666</v>
      </c>
      <c r="AF405" s="146"/>
      <c r="AG405" s="146"/>
      <c r="AH405" s="146"/>
      <c r="AI405" s="147"/>
      <c r="AJ405" s="148"/>
      <c r="AK405" s="143"/>
      <c r="AL405" s="143"/>
      <c r="AM405" s="22" t="s">
        <v>51</v>
      </c>
      <c r="AN405" s="149"/>
      <c r="AO405" s="144"/>
      <c r="AP405" s="148"/>
      <c r="AQ405" s="144"/>
      <c r="AR405" s="120"/>
      <c r="AS405" s="121"/>
      <c r="AT405" s="120"/>
      <c r="AU405" s="182"/>
      <c r="AV405" s="120"/>
      <c r="AW405" s="121"/>
      <c r="AX405" s="120"/>
      <c r="AY405" s="121"/>
      <c r="AZ405" s="201"/>
    </row>
    <row r="406" spans="1:52" ht="17.100000000000001" customHeight="1" thickTop="1">
      <c r="A406" s="109" t="s">
        <v>5940</v>
      </c>
      <c r="B406" s="28">
        <v>44491</v>
      </c>
      <c r="C406" s="25">
        <v>1912</v>
      </c>
      <c r="D406" s="13" t="s">
        <v>1667</v>
      </c>
      <c r="E406" s="111"/>
      <c r="F406" s="113" t="s">
        <v>1562</v>
      </c>
      <c r="G406" s="273"/>
      <c r="H406" s="274"/>
      <c r="I406" s="24" t="s">
        <v>1668</v>
      </c>
      <c r="J406" s="116">
        <v>4</v>
      </c>
      <c r="K406" s="118">
        <v>1670000</v>
      </c>
      <c r="L406" s="119"/>
      <c r="M406" s="118">
        <v>167000</v>
      </c>
      <c r="N406" s="119"/>
      <c r="O406" s="118">
        <v>16400</v>
      </c>
      <c r="P406" s="119"/>
      <c r="Q406" s="118">
        <v>18960</v>
      </c>
      <c r="R406" s="119"/>
      <c r="S406" s="118">
        <v>13200</v>
      </c>
      <c r="T406" s="119"/>
      <c r="U406" s="118">
        <f>SUM(K406:T407)</f>
        <v>1885560</v>
      </c>
      <c r="V406" s="119"/>
      <c r="W406" s="124">
        <v>1500000</v>
      </c>
      <c r="X406" s="127" t="s">
        <v>1669</v>
      </c>
      <c r="Y406" s="223"/>
      <c r="Z406" s="223"/>
      <c r="AA406" s="223"/>
      <c r="AB406" s="224"/>
      <c r="AC406" s="15" t="s">
        <v>20</v>
      </c>
      <c r="AD406" s="129" t="s">
        <v>1670</v>
      </c>
      <c r="AE406" s="130"/>
      <c r="AF406" s="130"/>
      <c r="AG406" s="130"/>
      <c r="AH406" s="130"/>
      <c r="AI406" s="131"/>
      <c r="AJ406" s="132"/>
      <c r="AK406" s="127"/>
      <c r="AL406" s="127"/>
      <c r="AM406" s="21" t="s">
        <v>1671</v>
      </c>
      <c r="AN406" s="133"/>
      <c r="AO406" s="134"/>
      <c r="AP406" s="135"/>
      <c r="AQ406" s="136"/>
      <c r="AR406" s="118"/>
      <c r="AS406" s="119"/>
      <c r="AT406" s="180">
        <f>AR406*0.1</f>
        <v>0</v>
      </c>
      <c r="AU406" s="181"/>
      <c r="AV406" s="118"/>
      <c r="AW406" s="119"/>
      <c r="AX406" s="118">
        <f>SUM(AR406:AW406)</f>
        <v>0</v>
      </c>
      <c r="AY406" s="119"/>
      <c r="AZ406" s="200"/>
    </row>
    <row r="407" spans="1:52" ht="17.100000000000001" customHeight="1" thickBot="1">
      <c r="A407" s="110"/>
      <c r="B407" s="27" t="s">
        <v>1543</v>
      </c>
      <c r="C407" s="27">
        <v>58588</v>
      </c>
      <c r="D407" s="14" t="s">
        <v>1610</v>
      </c>
      <c r="E407" s="112"/>
      <c r="F407" s="139" t="s">
        <v>1672</v>
      </c>
      <c r="G407" s="140"/>
      <c r="H407" s="141"/>
      <c r="I407" s="26">
        <v>41805</v>
      </c>
      <c r="J407" s="117"/>
      <c r="K407" s="120"/>
      <c r="L407" s="121"/>
      <c r="M407" s="120"/>
      <c r="N407" s="121"/>
      <c r="O407" s="120"/>
      <c r="P407" s="121"/>
      <c r="Q407" s="120"/>
      <c r="R407" s="121"/>
      <c r="S407" s="120"/>
      <c r="T407" s="121"/>
      <c r="U407" s="120"/>
      <c r="V407" s="121"/>
      <c r="W407" s="125"/>
      <c r="X407" s="143" t="s">
        <v>1673</v>
      </c>
      <c r="Y407" s="143"/>
      <c r="Z407" s="143"/>
      <c r="AA407" s="143"/>
      <c r="AB407" s="144"/>
      <c r="AC407" s="16" t="s">
        <v>21</v>
      </c>
      <c r="AD407" s="17" t="s">
        <v>1674</v>
      </c>
      <c r="AE407" s="145" t="s">
        <v>1605</v>
      </c>
      <c r="AF407" s="146"/>
      <c r="AG407" s="146"/>
      <c r="AH407" s="146"/>
      <c r="AI407" s="147"/>
      <c r="AJ407" s="148"/>
      <c r="AK407" s="143"/>
      <c r="AL407" s="143"/>
      <c r="AM407" s="22" t="s">
        <v>1296</v>
      </c>
      <c r="AN407" s="149"/>
      <c r="AO407" s="144"/>
      <c r="AP407" s="148"/>
      <c r="AQ407" s="144"/>
      <c r="AR407" s="120"/>
      <c r="AS407" s="121"/>
      <c r="AT407" s="120"/>
      <c r="AU407" s="182"/>
      <c r="AV407" s="120"/>
      <c r="AW407" s="121"/>
      <c r="AX407" s="120"/>
      <c r="AY407" s="121"/>
      <c r="AZ407" s="201"/>
    </row>
    <row r="408" spans="1:52" ht="17.100000000000001" customHeight="1" thickTop="1">
      <c r="A408" s="109" t="s">
        <v>5941</v>
      </c>
      <c r="B408" s="28">
        <v>44498</v>
      </c>
      <c r="C408" s="25">
        <v>1913</v>
      </c>
      <c r="D408" s="13" t="s">
        <v>1675</v>
      </c>
      <c r="E408" s="111"/>
      <c r="F408" s="113" t="s">
        <v>1676</v>
      </c>
      <c r="G408" s="273"/>
      <c r="H408" s="274"/>
      <c r="I408" s="24" t="s">
        <v>1642</v>
      </c>
      <c r="J408" s="116">
        <v>5</v>
      </c>
      <c r="K408" s="118">
        <v>1770000</v>
      </c>
      <c r="L408" s="119"/>
      <c r="M408" s="118">
        <v>177000</v>
      </c>
      <c r="N408" s="119"/>
      <c r="O408" s="118">
        <v>16400</v>
      </c>
      <c r="P408" s="119"/>
      <c r="Q408" s="118">
        <v>19370</v>
      </c>
      <c r="R408" s="119"/>
      <c r="S408" s="118">
        <v>13200</v>
      </c>
      <c r="T408" s="119"/>
      <c r="U408" s="118">
        <f>SUM(K408:T409)</f>
        <v>1995970</v>
      </c>
      <c r="V408" s="119"/>
      <c r="W408" s="124">
        <v>1500000</v>
      </c>
      <c r="X408" s="127" t="s">
        <v>1677</v>
      </c>
      <c r="Y408" s="223"/>
      <c r="Z408" s="223"/>
      <c r="AA408" s="223"/>
      <c r="AB408" s="224"/>
      <c r="AC408" s="15" t="s">
        <v>20</v>
      </c>
      <c r="AD408" s="129" t="s">
        <v>1678</v>
      </c>
      <c r="AE408" s="130"/>
      <c r="AF408" s="130"/>
      <c r="AG408" s="130"/>
      <c r="AH408" s="130"/>
      <c r="AI408" s="131"/>
      <c r="AJ408" s="132"/>
      <c r="AK408" s="127"/>
      <c r="AL408" s="127"/>
      <c r="AM408" s="21" t="s">
        <v>1679</v>
      </c>
      <c r="AN408" s="133"/>
      <c r="AO408" s="134"/>
      <c r="AP408" s="135"/>
      <c r="AQ408" s="136"/>
      <c r="AR408" s="118"/>
      <c r="AS408" s="119"/>
      <c r="AT408" s="180">
        <f>AR408*0.1</f>
        <v>0</v>
      </c>
      <c r="AU408" s="181"/>
      <c r="AV408" s="118"/>
      <c r="AW408" s="119"/>
      <c r="AX408" s="118">
        <f>SUM(AR408:AW408)</f>
        <v>0</v>
      </c>
      <c r="AY408" s="119"/>
      <c r="AZ408" s="200"/>
    </row>
    <row r="409" spans="1:52" ht="17.100000000000001" customHeight="1" thickBot="1">
      <c r="A409" s="110"/>
      <c r="B409" s="27" t="s">
        <v>1543</v>
      </c>
      <c r="C409" s="27">
        <v>58263</v>
      </c>
      <c r="D409" s="14" t="s">
        <v>1680</v>
      </c>
      <c r="E409" s="112"/>
      <c r="F409" s="139" t="s">
        <v>1681</v>
      </c>
      <c r="G409" s="140"/>
      <c r="H409" s="141"/>
      <c r="I409" s="26">
        <v>33245</v>
      </c>
      <c r="J409" s="117"/>
      <c r="K409" s="120"/>
      <c r="L409" s="121"/>
      <c r="M409" s="120"/>
      <c r="N409" s="121"/>
      <c r="O409" s="120"/>
      <c r="P409" s="121"/>
      <c r="Q409" s="120"/>
      <c r="R409" s="121"/>
      <c r="S409" s="120"/>
      <c r="T409" s="121"/>
      <c r="U409" s="120"/>
      <c r="V409" s="121"/>
      <c r="W409" s="125"/>
      <c r="X409" s="143" t="s">
        <v>1682</v>
      </c>
      <c r="Y409" s="143"/>
      <c r="Z409" s="143"/>
      <c r="AA409" s="143"/>
      <c r="AB409" s="144"/>
      <c r="AC409" s="16" t="s">
        <v>21</v>
      </c>
      <c r="AD409" s="17" t="s">
        <v>1683</v>
      </c>
      <c r="AE409" s="145" t="s">
        <v>1684</v>
      </c>
      <c r="AF409" s="146"/>
      <c r="AG409" s="146"/>
      <c r="AH409" s="146"/>
      <c r="AI409" s="147"/>
      <c r="AJ409" s="148"/>
      <c r="AK409" s="143"/>
      <c r="AL409" s="143"/>
      <c r="AM409" s="22" t="s">
        <v>1685</v>
      </c>
      <c r="AN409" s="149"/>
      <c r="AO409" s="144"/>
      <c r="AP409" s="148"/>
      <c r="AQ409" s="144"/>
      <c r="AR409" s="120"/>
      <c r="AS409" s="121"/>
      <c r="AT409" s="120"/>
      <c r="AU409" s="182"/>
      <c r="AV409" s="120"/>
      <c r="AW409" s="121"/>
      <c r="AX409" s="120"/>
      <c r="AY409" s="121"/>
      <c r="AZ409" s="201"/>
    </row>
    <row r="410" spans="1:52" ht="17.100000000000001" customHeight="1" thickTop="1">
      <c r="A410" s="109" t="s">
        <v>5942</v>
      </c>
      <c r="B410" s="28">
        <v>44505</v>
      </c>
      <c r="C410" s="25">
        <v>1914</v>
      </c>
      <c r="D410" s="13" t="s">
        <v>1686</v>
      </c>
      <c r="E410" s="111"/>
      <c r="F410" s="113" t="s">
        <v>1687</v>
      </c>
      <c r="G410" s="273"/>
      <c r="H410" s="274"/>
      <c r="I410" s="24" t="s">
        <v>1688</v>
      </c>
      <c r="J410" s="116">
        <v>4</v>
      </c>
      <c r="K410" s="118">
        <v>700000</v>
      </c>
      <c r="L410" s="119"/>
      <c r="M410" s="118">
        <v>70000</v>
      </c>
      <c r="N410" s="119"/>
      <c r="O410" s="118">
        <v>13100</v>
      </c>
      <c r="P410" s="119"/>
      <c r="Q410" s="118">
        <v>19950</v>
      </c>
      <c r="R410" s="119"/>
      <c r="S410" s="118">
        <v>13200</v>
      </c>
      <c r="T410" s="119"/>
      <c r="U410" s="118">
        <f>SUM(K410:T411)</f>
        <v>816250</v>
      </c>
      <c r="V410" s="119"/>
      <c r="W410" s="124">
        <v>400000</v>
      </c>
      <c r="X410" s="127" t="s">
        <v>1689</v>
      </c>
      <c r="Y410" s="223"/>
      <c r="Z410" s="223"/>
      <c r="AA410" s="223"/>
      <c r="AB410" s="224"/>
      <c r="AC410" s="15" t="s">
        <v>20</v>
      </c>
      <c r="AD410" s="129" t="s">
        <v>1690</v>
      </c>
      <c r="AE410" s="130"/>
      <c r="AF410" s="130"/>
      <c r="AG410" s="130"/>
      <c r="AH410" s="130"/>
      <c r="AI410" s="131"/>
      <c r="AJ410" s="132"/>
      <c r="AK410" s="127"/>
      <c r="AL410" s="127"/>
      <c r="AM410" s="21" t="s">
        <v>1691</v>
      </c>
      <c r="AN410" s="133"/>
      <c r="AO410" s="134"/>
      <c r="AP410" s="135"/>
      <c r="AQ410" s="136"/>
      <c r="AR410" s="118"/>
      <c r="AS410" s="119"/>
      <c r="AT410" s="180">
        <f>AR410*0.1</f>
        <v>0</v>
      </c>
      <c r="AU410" s="181"/>
      <c r="AV410" s="118"/>
      <c r="AW410" s="119"/>
      <c r="AX410" s="118">
        <f>SUM(AR410:AW410)</f>
        <v>0</v>
      </c>
      <c r="AY410" s="119"/>
      <c r="AZ410" s="200"/>
    </row>
    <row r="411" spans="1:52" ht="17.100000000000001" customHeight="1" thickBot="1">
      <c r="A411" s="110"/>
      <c r="B411" s="27" t="s">
        <v>1543</v>
      </c>
      <c r="C411" s="27">
        <v>20674</v>
      </c>
      <c r="D411" s="14" t="s">
        <v>1635</v>
      </c>
      <c r="E411" s="112"/>
      <c r="F411" s="139" t="s">
        <v>1692</v>
      </c>
      <c r="G411" s="140"/>
      <c r="H411" s="141"/>
      <c r="I411" s="26">
        <v>36064</v>
      </c>
      <c r="J411" s="117"/>
      <c r="K411" s="120"/>
      <c r="L411" s="121"/>
      <c r="M411" s="120"/>
      <c r="N411" s="121"/>
      <c r="O411" s="120"/>
      <c r="P411" s="121"/>
      <c r="Q411" s="120"/>
      <c r="R411" s="121"/>
      <c r="S411" s="120"/>
      <c r="T411" s="121"/>
      <c r="U411" s="120"/>
      <c r="V411" s="121"/>
      <c r="W411" s="125"/>
      <c r="X411" s="143" t="s">
        <v>1693</v>
      </c>
      <c r="Y411" s="143"/>
      <c r="Z411" s="143"/>
      <c r="AA411" s="143"/>
      <c r="AB411" s="144"/>
      <c r="AC411" s="16" t="s">
        <v>21</v>
      </c>
      <c r="AD411" s="17" t="s">
        <v>1694</v>
      </c>
      <c r="AE411" s="145" t="s">
        <v>1614</v>
      </c>
      <c r="AF411" s="146"/>
      <c r="AG411" s="146"/>
      <c r="AH411" s="146"/>
      <c r="AI411" s="147"/>
      <c r="AJ411" s="148"/>
      <c r="AK411" s="143"/>
      <c r="AL411" s="143"/>
      <c r="AM411" s="22" t="s">
        <v>1517</v>
      </c>
      <c r="AN411" s="149"/>
      <c r="AO411" s="144"/>
      <c r="AP411" s="148"/>
      <c r="AQ411" s="144"/>
      <c r="AR411" s="120"/>
      <c r="AS411" s="121"/>
      <c r="AT411" s="120"/>
      <c r="AU411" s="182"/>
      <c r="AV411" s="120"/>
      <c r="AW411" s="121"/>
      <c r="AX411" s="120"/>
      <c r="AY411" s="121"/>
      <c r="AZ411" s="201"/>
    </row>
    <row r="412" spans="1:52" ht="17.100000000000001" customHeight="1" thickTop="1">
      <c r="A412" s="109" t="s">
        <v>5943</v>
      </c>
      <c r="B412" s="28">
        <v>44512</v>
      </c>
      <c r="C412" s="25">
        <v>1915</v>
      </c>
      <c r="D412" s="13" t="s">
        <v>1695</v>
      </c>
      <c r="E412" s="111"/>
      <c r="F412" s="113" t="s">
        <v>1696</v>
      </c>
      <c r="G412" s="273"/>
      <c r="H412" s="274"/>
      <c r="I412" s="24" t="s">
        <v>1697</v>
      </c>
      <c r="J412" s="116">
        <v>4.5</v>
      </c>
      <c r="K412" s="118">
        <v>1260000</v>
      </c>
      <c r="L412" s="119"/>
      <c r="M412" s="118">
        <v>126000</v>
      </c>
      <c r="N412" s="119"/>
      <c r="O412" s="118">
        <v>11500</v>
      </c>
      <c r="P412" s="119"/>
      <c r="Q412" s="118">
        <v>18570</v>
      </c>
      <c r="R412" s="119"/>
      <c r="S412" s="118">
        <v>13200</v>
      </c>
      <c r="T412" s="119"/>
      <c r="U412" s="118">
        <f>SUM(K412:T413)</f>
        <v>1429270</v>
      </c>
      <c r="V412" s="119"/>
      <c r="W412" s="124">
        <v>1100000</v>
      </c>
      <c r="X412" s="127" t="s">
        <v>1698</v>
      </c>
      <c r="Y412" s="223"/>
      <c r="Z412" s="223"/>
      <c r="AA412" s="223"/>
      <c r="AB412" s="224"/>
      <c r="AC412" s="15" t="s">
        <v>20</v>
      </c>
      <c r="AD412" s="129" t="s">
        <v>1575</v>
      </c>
      <c r="AE412" s="130"/>
      <c r="AF412" s="130"/>
      <c r="AG412" s="130"/>
      <c r="AH412" s="130"/>
      <c r="AI412" s="131"/>
      <c r="AJ412" s="132"/>
      <c r="AK412" s="127"/>
      <c r="AL412" s="127"/>
      <c r="AM412" s="21" t="s">
        <v>1699</v>
      </c>
      <c r="AN412" s="133"/>
      <c r="AO412" s="134"/>
      <c r="AP412" s="135"/>
      <c r="AQ412" s="136"/>
      <c r="AR412" s="118"/>
      <c r="AS412" s="119"/>
      <c r="AT412" s="180">
        <f>AR412*0.1</f>
        <v>0</v>
      </c>
      <c r="AU412" s="181"/>
      <c r="AV412" s="118"/>
      <c r="AW412" s="119"/>
      <c r="AX412" s="118">
        <f>SUM(AR412:AW412)</f>
        <v>0</v>
      </c>
      <c r="AY412" s="119"/>
      <c r="AZ412" s="200"/>
    </row>
    <row r="413" spans="1:52" ht="17.100000000000001" customHeight="1" thickBot="1">
      <c r="A413" s="110"/>
      <c r="B413" s="27" t="s">
        <v>1543</v>
      </c>
      <c r="C413" s="27">
        <v>58247</v>
      </c>
      <c r="D413" s="14" t="s">
        <v>1700</v>
      </c>
      <c r="E413" s="112"/>
      <c r="F413" s="139" t="s">
        <v>1701</v>
      </c>
      <c r="G413" s="140"/>
      <c r="H413" s="141"/>
      <c r="I413" s="26">
        <v>45636</v>
      </c>
      <c r="J413" s="117"/>
      <c r="K413" s="120"/>
      <c r="L413" s="121"/>
      <c r="M413" s="120"/>
      <c r="N413" s="121"/>
      <c r="O413" s="120"/>
      <c r="P413" s="121"/>
      <c r="Q413" s="120"/>
      <c r="R413" s="121"/>
      <c r="S413" s="120"/>
      <c r="T413" s="121"/>
      <c r="U413" s="120"/>
      <c r="V413" s="121"/>
      <c r="W413" s="125"/>
      <c r="X413" s="143" t="s">
        <v>1702</v>
      </c>
      <c r="Y413" s="143"/>
      <c r="Z413" s="143"/>
      <c r="AA413" s="143"/>
      <c r="AB413" s="144"/>
      <c r="AC413" s="16" t="s">
        <v>21</v>
      </c>
      <c r="AD413" s="17" t="s">
        <v>1703</v>
      </c>
      <c r="AE413" s="145" t="s">
        <v>1704</v>
      </c>
      <c r="AF413" s="146"/>
      <c r="AG413" s="146"/>
      <c r="AH413" s="146"/>
      <c r="AI413" s="147"/>
      <c r="AJ413" s="148"/>
      <c r="AK413" s="143"/>
      <c r="AL413" s="143"/>
      <c r="AM413" s="22" t="s">
        <v>51</v>
      </c>
      <c r="AN413" s="149"/>
      <c r="AO413" s="144"/>
      <c r="AP413" s="148"/>
      <c r="AQ413" s="144"/>
      <c r="AR413" s="120"/>
      <c r="AS413" s="121"/>
      <c r="AT413" s="120"/>
      <c r="AU413" s="182"/>
      <c r="AV413" s="120"/>
      <c r="AW413" s="121"/>
      <c r="AX413" s="120"/>
      <c r="AY413" s="121"/>
      <c r="AZ413" s="201"/>
    </row>
    <row r="414" spans="1:52" ht="17.100000000000001" customHeight="1" thickTop="1">
      <c r="A414" s="109" t="s">
        <v>5944</v>
      </c>
      <c r="B414" s="28">
        <v>44513</v>
      </c>
      <c r="C414" s="25">
        <v>803</v>
      </c>
      <c r="D414" s="13" t="s">
        <v>1549</v>
      </c>
      <c r="E414" s="111"/>
      <c r="F414" s="113" t="s">
        <v>1687</v>
      </c>
      <c r="G414" s="273"/>
      <c r="H414" s="274"/>
      <c r="I414" s="24"/>
      <c r="J414" s="116">
        <v>4.5</v>
      </c>
      <c r="K414" s="118">
        <v>563000</v>
      </c>
      <c r="L414" s="119"/>
      <c r="M414" s="118">
        <v>56300</v>
      </c>
      <c r="N414" s="119"/>
      <c r="O414" s="118">
        <v>0</v>
      </c>
      <c r="P414" s="119"/>
      <c r="Q414" s="118">
        <v>19950</v>
      </c>
      <c r="R414" s="119"/>
      <c r="S414" s="118">
        <v>15950</v>
      </c>
      <c r="T414" s="119"/>
      <c r="U414" s="118">
        <f>SUM(K414:T415)</f>
        <v>655200</v>
      </c>
      <c r="V414" s="119"/>
      <c r="W414" s="124">
        <v>300000</v>
      </c>
      <c r="X414" s="127" t="s">
        <v>1705</v>
      </c>
      <c r="Y414" s="223"/>
      <c r="Z414" s="223"/>
      <c r="AA414" s="223"/>
      <c r="AB414" s="224"/>
      <c r="AC414" s="15" t="s">
        <v>20</v>
      </c>
      <c r="AD414" s="129" t="s">
        <v>1706</v>
      </c>
      <c r="AE414" s="130"/>
      <c r="AF414" s="130"/>
      <c r="AG414" s="130"/>
      <c r="AH414" s="130"/>
      <c r="AI414" s="131"/>
      <c r="AJ414" s="132"/>
      <c r="AK414" s="127"/>
      <c r="AL414" s="127"/>
      <c r="AM414" s="21"/>
      <c r="AN414" s="133"/>
      <c r="AO414" s="134"/>
      <c r="AP414" s="135"/>
      <c r="AQ414" s="136"/>
      <c r="AR414" s="118"/>
      <c r="AS414" s="119"/>
      <c r="AT414" s="180">
        <f>AR414*0.1</f>
        <v>0</v>
      </c>
      <c r="AU414" s="181"/>
      <c r="AV414" s="118"/>
      <c r="AW414" s="119"/>
      <c r="AX414" s="118">
        <f>SUM(AR414:AW414)</f>
        <v>0</v>
      </c>
      <c r="AY414" s="119"/>
      <c r="AZ414" s="200"/>
    </row>
    <row r="415" spans="1:52" ht="17.100000000000001" customHeight="1" thickBot="1">
      <c r="A415" s="110"/>
      <c r="B415" s="27" t="s">
        <v>1707</v>
      </c>
      <c r="C415" s="27">
        <v>5018</v>
      </c>
      <c r="D415" s="14" t="s">
        <v>1592</v>
      </c>
      <c r="E415" s="112"/>
      <c r="F415" s="139" t="s">
        <v>1708</v>
      </c>
      <c r="G415" s="140"/>
      <c r="H415" s="141"/>
      <c r="I415" s="26">
        <v>46468</v>
      </c>
      <c r="J415" s="117"/>
      <c r="K415" s="120"/>
      <c r="L415" s="121"/>
      <c r="M415" s="120"/>
      <c r="N415" s="121"/>
      <c r="O415" s="120"/>
      <c r="P415" s="121"/>
      <c r="Q415" s="120"/>
      <c r="R415" s="121"/>
      <c r="S415" s="120"/>
      <c r="T415" s="121"/>
      <c r="U415" s="120"/>
      <c r="V415" s="121"/>
      <c r="W415" s="125"/>
      <c r="X415" s="143" t="s">
        <v>1709</v>
      </c>
      <c r="Y415" s="143"/>
      <c r="Z415" s="143"/>
      <c r="AA415" s="143"/>
      <c r="AB415" s="144"/>
      <c r="AC415" s="16" t="s">
        <v>21</v>
      </c>
      <c r="AD415" s="17" t="s">
        <v>1703</v>
      </c>
      <c r="AE415" s="145" t="s">
        <v>1710</v>
      </c>
      <c r="AF415" s="146"/>
      <c r="AG415" s="146"/>
      <c r="AH415" s="146"/>
      <c r="AI415" s="147"/>
      <c r="AJ415" s="148" t="s">
        <v>1711</v>
      </c>
      <c r="AK415" s="143"/>
      <c r="AL415" s="143"/>
      <c r="AM415" s="22"/>
      <c r="AN415" s="149"/>
      <c r="AO415" s="144"/>
      <c r="AP415" s="148"/>
      <c r="AQ415" s="144"/>
      <c r="AR415" s="120"/>
      <c r="AS415" s="121"/>
      <c r="AT415" s="120"/>
      <c r="AU415" s="182"/>
      <c r="AV415" s="120"/>
      <c r="AW415" s="121"/>
      <c r="AX415" s="120"/>
      <c r="AY415" s="121"/>
      <c r="AZ415" s="201"/>
    </row>
    <row r="416" spans="1:52" ht="17.100000000000001" customHeight="1" thickTop="1">
      <c r="A416" s="109" t="s">
        <v>5945</v>
      </c>
      <c r="B416" s="28">
        <v>44515</v>
      </c>
      <c r="C416" s="25"/>
      <c r="D416" s="13" t="s">
        <v>1712</v>
      </c>
      <c r="E416" s="111"/>
      <c r="F416" s="113" t="s">
        <v>1713</v>
      </c>
      <c r="G416" s="273"/>
      <c r="H416" s="274"/>
      <c r="I416" s="24" t="s">
        <v>1714</v>
      </c>
      <c r="J416" s="150" t="s">
        <v>1715</v>
      </c>
      <c r="K416" s="118">
        <v>450000</v>
      </c>
      <c r="L416" s="119"/>
      <c r="M416" s="118">
        <v>45000</v>
      </c>
      <c r="N416" s="119"/>
      <c r="O416" s="118">
        <v>0</v>
      </c>
      <c r="P416" s="119"/>
      <c r="Q416" s="118">
        <v>8680</v>
      </c>
      <c r="R416" s="119"/>
      <c r="S416" s="118">
        <v>52106</v>
      </c>
      <c r="T416" s="119"/>
      <c r="U416" s="118">
        <f>SUM(K416:T417)</f>
        <v>555786</v>
      </c>
      <c r="V416" s="119"/>
      <c r="W416" s="124">
        <v>300000</v>
      </c>
      <c r="X416" s="127" t="s">
        <v>1716</v>
      </c>
      <c r="Y416" s="223"/>
      <c r="Z416" s="223"/>
      <c r="AA416" s="223"/>
      <c r="AB416" s="224"/>
      <c r="AC416" s="15" t="s">
        <v>20</v>
      </c>
      <c r="AD416" s="129" t="s">
        <v>1605</v>
      </c>
      <c r="AE416" s="130"/>
      <c r="AF416" s="130"/>
      <c r="AG416" s="130"/>
      <c r="AH416" s="130"/>
      <c r="AI416" s="131"/>
      <c r="AJ416" s="132" t="s">
        <v>1717</v>
      </c>
      <c r="AK416" s="127"/>
      <c r="AL416" s="127"/>
      <c r="AM416" s="21"/>
      <c r="AN416" s="133"/>
      <c r="AO416" s="134"/>
      <c r="AP416" s="135"/>
      <c r="AQ416" s="136"/>
      <c r="AR416" s="118"/>
      <c r="AS416" s="119"/>
      <c r="AT416" s="180">
        <f>AR416*0.1</f>
        <v>0</v>
      </c>
      <c r="AU416" s="181"/>
      <c r="AV416" s="118"/>
      <c r="AW416" s="119"/>
      <c r="AX416" s="118">
        <f>SUM(AR416:AW416)</f>
        <v>0</v>
      </c>
      <c r="AY416" s="119"/>
      <c r="AZ416" s="200"/>
    </row>
    <row r="417" spans="1:52" ht="17.100000000000001" customHeight="1" thickBot="1">
      <c r="A417" s="110"/>
      <c r="B417" s="27" t="s">
        <v>1718</v>
      </c>
      <c r="C417" s="27" t="s">
        <v>1719</v>
      </c>
      <c r="D417" s="14" t="s">
        <v>1720</v>
      </c>
      <c r="E417" s="112"/>
      <c r="F417" s="139" t="s">
        <v>1721</v>
      </c>
      <c r="G417" s="140"/>
      <c r="H417" s="141"/>
      <c r="I417" s="26">
        <v>35297</v>
      </c>
      <c r="J417" s="117"/>
      <c r="K417" s="120"/>
      <c r="L417" s="121"/>
      <c r="M417" s="120"/>
      <c r="N417" s="121"/>
      <c r="O417" s="120"/>
      <c r="P417" s="121"/>
      <c r="Q417" s="120"/>
      <c r="R417" s="121"/>
      <c r="S417" s="120"/>
      <c r="T417" s="121"/>
      <c r="U417" s="120"/>
      <c r="V417" s="121"/>
      <c r="W417" s="125"/>
      <c r="X417" s="143" t="s">
        <v>1722</v>
      </c>
      <c r="Y417" s="143"/>
      <c r="Z417" s="143"/>
      <c r="AA417" s="143"/>
      <c r="AB417" s="144"/>
      <c r="AC417" s="16" t="s">
        <v>21</v>
      </c>
      <c r="AD417" s="17" t="s">
        <v>1723</v>
      </c>
      <c r="AE417" s="145" t="s">
        <v>1724</v>
      </c>
      <c r="AF417" s="146"/>
      <c r="AG417" s="146"/>
      <c r="AH417" s="146"/>
      <c r="AI417" s="147"/>
      <c r="AJ417" s="148"/>
      <c r="AK417" s="143"/>
      <c r="AL417" s="143"/>
      <c r="AM417" s="22"/>
      <c r="AN417" s="149"/>
      <c r="AO417" s="144"/>
      <c r="AP417" s="148"/>
      <c r="AQ417" s="144"/>
      <c r="AR417" s="120"/>
      <c r="AS417" s="121"/>
      <c r="AT417" s="120"/>
      <c r="AU417" s="182"/>
      <c r="AV417" s="120"/>
      <c r="AW417" s="121"/>
      <c r="AX417" s="120"/>
      <c r="AY417" s="121"/>
      <c r="AZ417" s="201"/>
    </row>
    <row r="418" spans="1:52" ht="17.100000000000001" customHeight="1" thickTop="1">
      <c r="A418" s="109" t="s">
        <v>5946</v>
      </c>
      <c r="B418" s="28">
        <v>44520</v>
      </c>
      <c r="C418" s="25">
        <v>1324</v>
      </c>
      <c r="D418" s="13" t="s">
        <v>1725</v>
      </c>
      <c r="E418" s="111"/>
      <c r="F418" s="113" t="s">
        <v>1726</v>
      </c>
      <c r="G418" s="273"/>
      <c r="H418" s="274"/>
      <c r="I418" s="24" t="s">
        <v>1642</v>
      </c>
      <c r="J418" s="116">
        <v>5</v>
      </c>
      <c r="K418" s="118">
        <v>2105000</v>
      </c>
      <c r="L418" s="119"/>
      <c r="M418" s="118">
        <v>210500</v>
      </c>
      <c r="N418" s="119"/>
      <c r="O418" s="118">
        <v>11500</v>
      </c>
      <c r="P418" s="119"/>
      <c r="Q418" s="118">
        <v>12370</v>
      </c>
      <c r="R418" s="119"/>
      <c r="S418" s="118">
        <v>13200</v>
      </c>
      <c r="T418" s="119"/>
      <c r="U418" s="118">
        <f>SUM(K418:T419)</f>
        <v>2352570</v>
      </c>
      <c r="V418" s="119"/>
      <c r="W418" s="124">
        <v>2000000</v>
      </c>
      <c r="X418" s="127" t="s">
        <v>1727</v>
      </c>
      <c r="Y418" s="223"/>
      <c r="Z418" s="223"/>
      <c r="AA418" s="223"/>
      <c r="AB418" s="224"/>
      <c r="AC418" s="15" t="s">
        <v>20</v>
      </c>
      <c r="AD418" s="129" t="s">
        <v>434</v>
      </c>
      <c r="AE418" s="130"/>
      <c r="AF418" s="130"/>
      <c r="AG418" s="130"/>
      <c r="AH418" s="130"/>
      <c r="AI418" s="131"/>
      <c r="AJ418" s="132"/>
      <c r="AK418" s="127"/>
      <c r="AL418" s="127"/>
      <c r="AM418" s="21" t="s">
        <v>1728</v>
      </c>
      <c r="AN418" s="133"/>
      <c r="AO418" s="134"/>
      <c r="AP418" s="135"/>
      <c r="AQ418" s="136"/>
      <c r="AR418" s="118"/>
      <c r="AS418" s="119"/>
      <c r="AT418" s="180">
        <f>AR418*0.1</f>
        <v>0</v>
      </c>
      <c r="AU418" s="181"/>
      <c r="AV418" s="118"/>
      <c r="AW418" s="119"/>
      <c r="AX418" s="118">
        <f>SUM(AR418:AW418)</f>
        <v>0</v>
      </c>
      <c r="AY418" s="119"/>
      <c r="AZ418" s="200"/>
    </row>
    <row r="419" spans="1:52" ht="17.100000000000001" customHeight="1" thickBot="1">
      <c r="A419" s="110"/>
      <c r="B419" s="27" t="s">
        <v>1555</v>
      </c>
      <c r="C419" s="27">
        <v>83106</v>
      </c>
      <c r="D419" s="14" t="s">
        <v>133</v>
      </c>
      <c r="E419" s="112"/>
      <c r="F419" s="139" t="s">
        <v>1729</v>
      </c>
      <c r="G419" s="140"/>
      <c r="H419" s="141"/>
      <c r="I419" s="26">
        <v>22678</v>
      </c>
      <c r="J419" s="117"/>
      <c r="K419" s="120"/>
      <c r="L419" s="121"/>
      <c r="M419" s="120"/>
      <c r="N419" s="121"/>
      <c r="O419" s="120"/>
      <c r="P419" s="121"/>
      <c r="Q419" s="120"/>
      <c r="R419" s="121"/>
      <c r="S419" s="120"/>
      <c r="T419" s="121"/>
      <c r="U419" s="120"/>
      <c r="V419" s="121"/>
      <c r="W419" s="125"/>
      <c r="X419" s="143" t="s">
        <v>1730</v>
      </c>
      <c r="Y419" s="143"/>
      <c r="Z419" s="143"/>
      <c r="AA419" s="143"/>
      <c r="AB419" s="144"/>
      <c r="AC419" s="16" t="s">
        <v>21</v>
      </c>
      <c r="AD419" s="17" t="s">
        <v>1731</v>
      </c>
      <c r="AE419" s="145" t="s">
        <v>1732</v>
      </c>
      <c r="AF419" s="146"/>
      <c r="AG419" s="146"/>
      <c r="AH419" s="146"/>
      <c r="AI419" s="147"/>
      <c r="AJ419" s="148"/>
      <c r="AK419" s="143"/>
      <c r="AL419" s="143"/>
      <c r="AM419" s="22" t="s">
        <v>1733</v>
      </c>
      <c r="AN419" s="149"/>
      <c r="AO419" s="144"/>
      <c r="AP419" s="148"/>
      <c r="AQ419" s="144"/>
      <c r="AR419" s="120"/>
      <c r="AS419" s="121"/>
      <c r="AT419" s="120"/>
      <c r="AU419" s="182"/>
      <c r="AV419" s="120"/>
      <c r="AW419" s="121"/>
      <c r="AX419" s="120"/>
      <c r="AY419" s="121"/>
      <c r="AZ419" s="201"/>
    </row>
    <row r="420" spans="1:52" ht="17.100000000000001" customHeight="1" thickTop="1">
      <c r="A420" s="109" t="s">
        <v>5947</v>
      </c>
      <c r="B420" s="28">
        <v>44525</v>
      </c>
      <c r="C420" s="25">
        <v>1536</v>
      </c>
      <c r="D420" s="13" t="s">
        <v>1695</v>
      </c>
      <c r="E420" s="111"/>
      <c r="F420" s="113" t="s">
        <v>1734</v>
      </c>
      <c r="G420" s="273"/>
      <c r="H420" s="274"/>
      <c r="I420" s="24" t="s">
        <v>1697</v>
      </c>
      <c r="J420" s="116">
        <v>4.5</v>
      </c>
      <c r="K420" s="118">
        <v>2381000</v>
      </c>
      <c r="L420" s="119"/>
      <c r="M420" s="118">
        <v>238100</v>
      </c>
      <c r="N420" s="119"/>
      <c r="O420" s="118">
        <v>19300</v>
      </c>
      <c r="P420" s="119"/>
      <c r="Q420" s="118">
        <v>18110</v>
      </c>
      <c r="R420" s="119"/>
      <c r="S420" s="118">
        <v>15400</v>
      </c>
      <c r="T420" s="119"/>
      <c r="U420" s="118">
        <f>SUM(K420:T421)</f>
        <v>2671910</v>
      </c>
      <c r="V420" s="119"/>
      <c r="W420" s="124">
        <v>1800000</v>
      </c>
      <c r="X420" s="127" t="s">
        <v>1735</v>
      </c>
      <c r="Y420" s="223"/>
      <c r="Z420" s="223"/>
      <c r="AA420" s="223"/>
      <c r="AB420" s="224"/>
      <c r="AC420" s="15" t="s">
        <v>20</v>
      </c>
      <c r="AD420" s="129" t="s">
        <v>1736</v>
      </c>
      <c r="AE420" s="130"/>
      <c r="AF420" s="130"/>
      <c r="AG420" s="130"/>
      <c r="AH420" s="130"/>
      <c r="AI420" s="131"/>
      <c r="AJ420" s="132"/>
      <c r="AK420" s="127"/>
      <c r="AL420" s="127"/>
      <c r="AM420" s="21" t="s">
        <v>1737</v>
      </c>
      <c r="AN420" s="133">
        <v>46368</v>
      </c>
      <c r="AO420" s="134"/>
      <c r="AP420" s="135"/>
      <c r="AQ420" s="136"/>
      <c r="AR420" s="118">
        <v>2956640</v>
      </c>
      <c r="AS420" s="119"/>
      <c r="AT420" s="180">
        <v>0</v>
      </c>
      <c r="AU420" s="181"/>
      <c r="AV420" s="118">
        <v>0</v>
      </c>
      <c r="AW420" s="119"/>
      <c r="AX420" s="118">
        <f>SUM(AR420:AW420)</f>
        <v>2956640</v>
      </c>
      <c r="AY420" s="119"/>
      <c r="AZ420" s="200">
        <v>46039</v>
      </c>
    </row>
    <row r="421" spans="1:52" ht="17.100000000000001" customHeight="1" thickBot="1">
      <c r="A421" s="110"/>
      <c r="B421" s="27" t="s">
        <v>1738</v>
      </c>
      <c r="C421" s="27">
        <v>1005</v>
      </c>
      <c r="D421" s="14" t="s">
        <v>1720</v>
      </c>
      <c r="E421" s="112"/>
      <c r="F421" s="139" t="s">
        <v>1739</v>
      </c>
      <c r="G421" s="140"/>
      <c r="H421" s="141"/>
      <c r="I421" s="26">
        <v>22333</v>
      </c>
      <c r="J421" s="117"/>
      <c r="K421" s="120"/>
      <c r="L421" s="121"/>
      <c r="M421" s="120"/>
      <c r="N421" s="121"/>
      <c r="O421" s="120"/>
      <c r="P421" s="121"/>
      <c r="Q421" s="120"/>
      <c r="R421" s="121"/>
      <c r="S421" s="120"/>
      <c r="T421" s="121"/>
      <c r="U421" s="120"/>
      <c r="V421" s="121"/>
      <c r="W421" s="125"/>
      <c r="X421" s="143" t="s">
        <v>1740</v>
      </c>
      <c r="Y421" s="143"/>
      <c r="Z421" s="143"/>
      <c r="AA421" s="143"/>
      <c r="AB421" s="144"/>
      <c r="AC421" s="16" t="s">
        <v>21</v>
      </c>
      <c r="AD421" s="17" t="s">
        <v>1741</v>
      </c>
      <c r="AE421" s="145" t="s">
        <v>1742</v>
      </c>
      <c r="AF421" s="146"/>
      <c r="AG421" s="146"/>
      <c r="AH421" s="146"/>
      <c r="AI421" s="147"/>
      <c r="AJ421" s="148"/>
      <c r="AK421" s="143"/>
      <c r="AL421" s="143"/>
      <c r="AM421" s="22" t="s">
        <v>1743</v>
      </c>
      <c r="AN421" s="149" t="s">
        <v>17464</v>
      </c>
      <c r="AO421" s="144"/>
      <c r="AP421" s="148"/>
      <c r="AQ421" s="144"/>
      <c r="AR421" s="120"/>
      <c r="AS421" s="121"/>
      <c r="AT421" s="120"/>
      <c r="AU421" s="182"/>
      <c r="AV421" s="120"/>
      <c r="AW421" s="121"/>
      <c r="AX421" s="120"/>
      <c r="AY421" s="121"/>
      <c r="AZ421" s="201"/>
    </row>
    <row r="422" spans="1:52" ht="17.100000000000001" customHeight="1" thickTop="1">
      <c r="A422" s="109" t="s">
        <v>5948</v>
      </c>
      <c r="B422" s="28">
        <v>44532</v>
      </c>
      <c r="C422" s="25">
        <v>1115</v>
      </c>
      <c r="D422" s="13" t="s">
        <v>1744</v>
      </c>
      <c r="E422" s="111"/>
      <c r="F422" s="113" t="s">
        <v>1147</v>
      </c>
      <c r="G422" s="273"/>
      <c r="H422" s="274"/>
      <c r="I422" s="24"/>
      <c r="J422" s="116">
        <v>4</v>
      </c>
      <c r="K422" s="118">
        <v>2105000</v>
      </c>
      <c r="L422" s="119"/>
      <c r="M422" s="118">
        <v>210500</v>
      </c>
      <c r="N422" s="119"/>
      <c r="O422" s="118">
        <v>0</v>
      </c>
      <c r="P422" s="119"/>
      <c r="Q422" s="118">
        <v>17600</v>
      </c>
      <c r="R422" s="119"/>
      <c r="S422" s="118">
        <v>13200</v>
      </c>
      <c r="T422" s="119"/>
      <c r="U422" s="118">
        <f>SUM(K422:T423)</f>
        <v>2346300</v>
      </c>
      <c r="V422" s="119"/>
      <c r="W422" s="124">
        <v>1900000</v>
      </c>
      <c r="X422" s="127" t="s">
        <v>1745</v>
      </c>
      <c r="Y422" s="223"/>
      <c r="Z422" s="223"/>
      <c r="AA422" s="223"/>
      <c r="AB422" s="224"/>
      <c r="AC422" s="15" t="s">
        <v>20</v>
      </c>
      <c r="AD422" s="129" t="s">
        <v>1746</v>
      </c>
      <c r="AE422" s="130"/>
      <c r="AF422" s="130"/>
      <c r="AG422" s="130"/>
      <c r="AH422" s="130"/>
      <c r="AI422" s="131"/>
      <c r="AJ422" s="132"/>
      <c r="AK422" s="127"/>
      <c r="AL422" s="127"/>
      <c r="AM422" s="21"/>
      <c r="AN422" s="133"/>
      <c r="AO422" s="134"/>
      <c r="AP422" s="135"/>
      <c r="AQ422" s="136"/>
      <c r="AR422" s="118"/>
      <c r="AS422" s="119"/>
      <c r="AT422" s="180">
        <f>AR422*0.1</f>
        <v>0</v>
      </c>
      <c r="AU422" s="181"/>
      <c r="AV422" s="118"/>
      <c r="AW422" s="119"/>
      <c r="AX422" s="118">
        <f>SUM(AR422:AW422)</f>
        <v>0</v>
      </c>
      <c r="AY422" s="119"/>
      <c r="AZ422" s="200"/>
    </row>
    <row r="423" spans="1:52" ht="17.100000000000001" customHeight="1" thickBot="1">
      <c r="A423" s="110"/>
      <c r="B423" s="27" t="s">
        <v>1747</v>
      </c>
      <c r="C423" s="27">
        <v>332</v>
      </c>
      <c r="D423" s="14" t="s">
        <v>1748</v>
      </c>
      <c r="E423" s="112"/>
      <c r="F423" s="139" t="s">
        <v>1749</v>
      </c>
      <c r="G423" s="140"/>
      <c r="H423" s="141"/>
      <c r="I423" s="26">
        <v>46233</v>
      </c>
      <c r="J423" s="117"/>
      <c r="K423" s="120"/>
      <c r="L423" s="121"/>
      <c r="M423" s="120"/>
      <c r="N423" s="121"/>
      <c r="O423" s="120"/>
      <c r="P423" s="121"/>
      <c r="Q423" s="120"/>
      <c r="R423" s="121"/>
      <c r="S423" s="120"/>
      <c r="T423" s="121"/>
      <c r="U423" s="120"/>
      <c r="V423" s="121"/>
      <c r="W423" s="125"/>
      <c r="X423" s="143" t="s">
        <v>1750</v>
      </c>
      <c r="Y423" s="143"/>
      <c r="Z423" s="143"/>
      <c r="AA423" s="143"/>
      <c r="AB423" s="144"/>
      <c r="AC423" s="16" t="s">
        <v>21</v>
      </c>
      <c r="AD423" s="17" t="s">
        <v>1751</v>
      </c>
      <c r="AE423" s="145" t="s">
        <v>508</v>
      </c>
      <c r="AF423" s="146"/>
      <c r="AG423" s="146"/>
      <c r="AH423" s="146"/>
      <c r="AI423" s="147"/>
      <c r="AJ423" s="148"/>
      <c r="AK423" s="143"/>
      <c r="AL423" s="143"/>
      <c r="AM423" s="22"/>
      <c r="AN423" s="149"/>
      <c r="AO423" s="144"/>
      <c r="AP423" s="148"/>
      <c r="AQ423" s="144"/>
      <c r="AR423" s="120"/>
      <c r="AS423" s="121"/>
      <c r="AT423" s="120"/>
      <c r="AU423" s="182"/>
      <c r="AV423" s="120"/>
      <c r="AW423" s="121"/>
      <c r="AX423" s="120"/>
      <c r="AY423" s="121"/>
      <c r="AZ423" s="201"/>
    </row>
    <row r="424" spans="1:52" ht="17.100000000000001" customHeight="1" thickTop="1">
      <c r="A424" s="109" t="s">
        <v>5949</v>
      </c>
      <c r="B424" s="28">
        <v>44534</v>
      </c>
      <c r="C424" s="25">
        <v>1083</v>
      </c>
      <c r="D424" s="13" t="s">
        <v>1752</v>
      </c>
      <c r="E424" s="111"/>
      <c r="F424" s="113" t="s">
        <v>1753</v>
      </c>
      <c r="G424" s="273"/>
      <c r="H424" s="274"/>
      <c r="I424" s="24"/>
      <c r="J424" s="116">
        <v>4.5</v>
      </c>
      <c r="K424" s="118">
        <v>2340000</v>
      </c>
      <c r="L424" s="119"/>
      <c r="M424" s="118">
        <v>234000</v>
      </c>
      <c r="N424" s="119"/>
      <c r="O424" s="118">
        <v>0</v>
      </c>
      <c r="P424" s="119"/>
      <c r="Q424" s="118">
        <v>16070</v>
      </c>
      <c r="R424" s="119"/>
      <c r="S424" s="118">
        <v>13200</v>
      </c>
      <c r="T424" s="119"/>
      <c r="U424" s="118">
        <f>SUM(K424:T425)</f>
        <v>2603270</v>
      </c>
      <c r="V424" s="119"/>
      <c r="W424" s="124">
        <v>2200000</v>
      </c>
      <c r="X424" s="127" t="s">
        <v>1754</v>
      </c>
      <c r="Y424" s="223"/>
      <c r="Z424" s="223"/>
      <c r="AA424" s="223"/>
      <c r="AB424" s="224"/>
      <c r="AC424" s="15" t="s">
        <v>20</v>
      </c>
      <c r="AD424" s="129" t="s">
        <v>1639</v>
      </c>
      <c r="AE424" s="130"/>
      <c r="AF424" s="130"/>
      <c r="AG424" s="130"/>
      <c r="AH424" s="130"/>
      <c r="AI424" s="131"/>
      <c r="AJ424" s="132"/>
      <c r="AK424" s="127"/>
      <c r="AL424" s="127"/>
      <c r="AM424" s="21"/>
      <c r="AN424" s="133"/>
      <c r="AO424" s="134"/>
      <c r="AP424" s="135"/>
      <c r="AQ424" s="136"/>
      <c r="AR424" s="118"/>
      <c r="AS424" s="119"/>
      <c r="AT424" s="180">
        <f>AR424*0.1</f>
        <v>0</v>
      </c>
      <c r="AU424" s="181"/>
      <c r="AV424" s="118"/>
      <c r="AW424" s="119"/>
      <c r="AX424" s="118">
        <f>SUM(AR424:AW424)</f>
        <v>0</v>
      </c>
      <c r="AY424" s="119"/>
      <c r="AZ424" s="200"/>
    </row>
    <row r="425" spans="1:52" ht="17.100000000000001" customHeight="1" thickBot="1">
      <c r="A425" s="110"/>
      <c r="B425" s="27" t="s">
        <v>1567</v>
      </c>
      <c r="C425" s="27">
        <v>82068</v>
      </c>
      <c r="D425" s="14" t="s">
        <v>275</v>
      </c>
      <c r="E425" s="112"/>
      <c r="F425" s="139" t="s">
        <v>1755</v>
      </c>
      <c r="G425" s="140"/>
      <c r="H425" s="141"/>
      <c r="I425" s="26">
        <v>12099</v>
      </c>
      <c r="J425" s="117"/>
      <c r="K425" s="120"/>
      <c r="L425" s="121"/>
      <c r="M425" s="120"/>
      <c r="N425" s="121"/>
      <c r="O425" s="120"/>
      <c r="P425" s="121"/>
      <c r="Q425" s="120"/>
      <c r="R425" s="121"/>
      <c r="S425" s="120"/>
      <c r="T425" s="121"/>
      <c r="U425" s="120"/>
      <c r="V425" s="121"/>
      <c r="W425" s="125"/>
      <c r="X425" s="143" t="s">
        <v>1756</v>
      </c>
      <c r="Y425" s="143"/>
      <c r="Z425" s="143"/>
      <c r="AA425" s="143"/>
      <c r="AB425" s="144"/>
      <c r="AC425" s="16" t="s">
        <v>21</v>
      </c>
      <c r="AD425" s="17" t="s">
        <v>1757</v>
      </c>
      <c r="AE425" s="145" t="s">
        <v>1742</v>
      </c>
      <c r="AF425" s="146"/>
      <c r="AG425" s="146"/>
      <c r="AH425" s="146"/>
      <c r="AI425" s="147"/>
      <c r="AJ425" s="148"/>
      <c r="AK425" s="143"/>
      <c r="AL425" s="143"/>
      <c r="AM425" s="22"/>
      <c r="AN425" s="149"/>
      <c r="AO425" s="144"/>
      <c r="AP425" s="148"/>
      <c r="AQ425" s="144"/>
      <c r="AR425" s="120"/>
      <c r="AS425" s="121"/>
      <c r="AT425" s="120"/>
      <c r="AU425" s="182"/>
      <c r="AV425" s="120"/>
      <c r="AW425" s="121"/>
      <c r="AX425" s="120"/>
      <c r="AY425" s="121"/>
      <c r="AZ425" s="201"/>
    </row>
    <row r="426" spans="1:52" ht="17.100000000000001" customHeight="1" thickTop="1">
      <c r="A426" s="109" t="s">
        <v>5950</v>
      </c>
      <c r="B426" s="28">
        <v>44536</v>
      </c>
      <c r="C426" s="25">
        <v>1877</v>
      </c>
      <c r="D426" s="13" t="s">
        <v>1758</v>
      </c>
      <c r="E426" s="111"/>
      <c r="F426" s="113" t="s">
        <v>1759</v>
      </c>
      <c r="G426" s="273"/>
      <c r="H426" s="274"/>
      <c r="I426" s="24" t="s">
        <v>1760</v>
      </c>
      <c r="J426" s="116">
        <v>3.5</v>
      </c>
      <c r="K426" s="118">
        <v>1510000</v>
      </c>
      <c r="L426" s="119"/>
      <c r="M426" s="118">
        <v>151000</v>
      </c>
      <c r="N426" s="119"/>
      <c r="O426" s="118">
        <v>9800</v>
      </c>
      <c r="P426" s="119"/>
      <c r="Q426" s="118">
        <v>22640</v>
      </c>
      <c r="R426" s="119"/>
      <c r="S426" s="118">
        <v>11000</v>
      </c>
      <c r="T426" s="119"/>
      <c r="U426" s="118">
        <f>SUM(K426:T427)</f>
        <v>1704440</v>
      </c>
      <c r="V426" s="119"/>
      <c r="W426" s="124">
        <v>1200000</v>
      </c>
      <c r="X426" s="127" t="s">
        <v>1761</v>
      </c>
      <c r="Y426" s="223"/>
      <c r="Z426" s="223"/>
      <c r="AA426" s="223"/>
      <c r="AB426" s="224"/>
      <c r="AC426" s="15" t="s">
        <v>20</v>
      </c>
      <c r="AD426" s="129" t="s">
        <v>1762</v>
      </c>
      <c r="AE426" s="130"/>
      <c r="AF426" s="130"/>
      <c r="AG426" s="130"/>
      <c r="AH426" s="130"/>
      <c r="AI426" s="131"/>
      <c r="AJ426" s="132"/>
      <c r="AK426" s="127"/>
      <c r="AL426" s="127"/>
      <c r="AM426" s="21"/>
      <c r="AN426" s="133"/>
      <c r="AO426" s="134"/>
      <c r="AP426" s="135"/>
      <c r="AQ426" s="136"/>
      <c r="AR426" s="118"/>
      <c r="AS426" s="119"/>
      <c r="AT426" s="180">
        <f>AR426*0.1</f>
        <v>0</v>
      </c>
      <c r="AU426" s="181"/>
      <c r="AV426" s="118"/>
      <c r="AW426" s="119"/>
      <c r="AX426" s="118">
        <f>SUM(AR426:AW426)</f>
        <v>0</v>
      </c>
      <c r="AY426" s="119"/>
      <c r="AZ426" s="200"/>
    </row>
    <row r="427" spans="1:52" ht="17.100000000000001" customHeight="1" thickBot="1">
      <c r="A427" s="110"/>
      <c r="B427" s="27" t="s">
        <v>83</v>
      </c>
      <c r="C427" s="27">
        <v>36023</v>
      </c>
      <c r="D427" s="14" t="s">
        <v>1592</v>
      </c>
      <c r="E427" s="112"/>
      <c r="F427" s="139" t="s">
        <v>1763</v>
      </c>
      <c r="G427" s="140"/>
      <c r="H427" s="141"/>
      <c r="I427" s="26">
        <v>56753</v>
      </c>
      <c r="J427" s="117"/>
      <c r="K427" s="120"/>
      <c r="L427" s="121"/>
      <c r="M427" s="120"/>
      <c r="N427" s="121"/>
      <c r="O427" s="120"/>
      <c r="P427" s="121"/>
      <c r="Q427" s="120"/>
      <c r="R427" s="121"/>
      <c r="S427" s="120"/>
      <c r="T427" s="121"/>
      <c r="U427" s="120"/>
      <c r="V427" s="121"/>
      <c r="W427" s="125"/>
      <c r="X427" s="143" t="s">
        <v>1764</v>
      </c>
      <c r="Y427" s="143"/>
      <c r="Z427" s="143"/>
      <c r="AA427" s="143"/>
      <c r="AB427" s="144"/>
      <c r="AC427" s="16" t="s">
        <v>21</v>
      </c>
      <c r="AD427" s="17" t="s">
        <v>1765</v>
      </c>
      <c r="AE427" s="145" t="s">
        <v>1766</v>
      </c>
      <c r="AF427" s="146"/>
      <c r="AG427" s="146"/>
      <c r="AH427" s="146"/>
      <c r="AI427" s="147"/>
      <c r="AJ427" s="148"/>
      <c r="AK427" s="143"/>
      <c r="AL427" s="143"/>
      <c r="AM427" s="22" t="s">
        <v>51</v>
      </c>
      <c r="AN427" s="149"/>
      <c r="AO427" s="144"/>
      <c r="AP427" s="148"/>
      <c r="AQ427" s="144"/>
      <c r="AR427" s="120"/>
      <c r="AS427" s="121"/>
      <c r="AT427" s="120"/>
      <c r="AU427" s="182"/>
      <c r="AV427" s="120"/>
      <c r="AW427" s="121"/>
      <c r="AX427" s="120"/>
      <c r="AY427" s="121"/>
      <c r="AZ427" s="201"/>
    </row>
    <row r="428" spans="1:52" ht="17.100000000000001" customHeight="1" thickTop="1">
      <c r="A428" s="109" t="s">
        <v>5951</v>
      </c>
      <c r="B428" s="28">
        <v>44539</v>
      </c>
      <c r="C428" s="25">
        <v>1116</v>
      </c>
      <c r="D428" s="13" t="s">
        <v>1767</v>
      </c>
      <c r="E428" s="111"/>
      <c r="F428" s="113" t="s">
        <v>1768</v>
      </c>
      <c r="G428" s="273"/>
      <c r="H428" s="274"/>
      <c r="I428" s="24"/>
      <c r="J428" s="116">
        <v>4.5</v>
      </c>
      <c r="K428" s="118">
        <v>2010000</v>
      </c>
      <c r="L428" s="119"/>
      <c r="M428" s="118">
        <v>201000</v>
      </c>
      <c r="N428" s="119"/>
      <c r="O428" s="118">
        <v>0</v>
      </c>
      <c r="P428" s="119"/>
      <c r="Q428" s="118">
        <v>12450</v>
      </c>
      <c r="R428" s="119"/>
      <c r="S428" s="118">
        <v>24200</v>
      </c>
      <c r="T428" s="119"/>
      <c r="U428" s="118">
        <f>SUM(K428:T429)</f>
        <v>2247650</v>
      </c>
      <c r="V428" s="119"/>
      <c r="W428" s="124">
        <v>1500000</v>
      </c>
      <c r="X428" s="127" t="s">
        <v>1769</v>
      </c>
      <c r="Y428" s="223"/>
      <c r="Z428" s="223"/>
      <c r="AA428" s="223"/>
      <c r="AB428" s="224"/>
      <c r="AC428" s="15" t="s">
        <v>20</v>
      </c>
      <c r="AD428" s="129" t="s">
        <v>1770</v>
      </c>
      <c r="AE428" s="130"/>
      <c r="AF428" s="130"/>
      <c r="AG428" s="130"/>
      <c r="AH428" s="130"/>
      <c r="AI428" s="131"/>
      <c r="AJ428" s="132"/>
      <c r="AK428" s="127"/>
      <c r="AL428" s="127"/>
      <c r="AM428" s="21"/>
      <c r="AN428" s="133"/>
      <c r="AO428" s="134"/>
      <c r="AP428" s="135"/>
      <c r="AQ428" s="136"/>
      <c r="AR428" s="118"/>
      <c r="AS428" s="119"/>
      <c r="AT428" s="180">
        <f>AR428*0.1</f>
        <v>0</v>
      </c>
      <c r="AU428" s="181"/>
      <c r="AV428" s="118"/>
      <c r="AW428" s="119"/>
      <c r="AX428" s="118">
        <f>SUM(AR428:AW428)</f>
        <v>0</v>
      </c>
      <c r="AY428" s="119"/>
      <c r="AZ428" s="200"/>
    </row>
    <row r="429" spans="1:52" ht="17.100000000000001" customHeight="1" thickBot="1">
      <c r="A429" s="110"/>
      <c r="B429" s="27" t="s">
        <v>1747</v>
      </c>
      <c r="C429" s="27">
        <v>343</v>
      </c>
      <c r="D429" s="66" t="s">
        <v>1771</v>
      </c>
      <c r="E429" s="112"/>
      <c r="F429" s="139" t="s">
        <v>1772</v>
      </c>
      <c r="G429" s="140"/>
      <c r="H429" s="141"/>
      <c r="I429" s="26">
        <v>49773</v>
      </c>
      <c r="J429" s="117"/>
      <c r="K429" s="120"/>
      <c r="L429" s="121"/>
      <c r="M429" s="120"/>
      <c r="N429" s="121"/>
      <c r="O429" s="120"/>
      <c r="P429" s="121"/>
      <c r="Q429" s="120"/>
      <c r="R429" s="121"/>
      <c r="S429" s="120"/>
      <c r="T429" s="121"/>
      <c r="U429" s="120"/>
      <c r="V429" s="121"/>
      <c r="W429" s="125"/>
      <c r="X429" s="143" t="s">
        <v>1773</v>
      </c>
      <c r="Y429" s="143"/>
      <c r="Z429" s="143"/>
      <c r="AA429" s="143"/>
      <c r="AB429" s="144"/>
      <c r="AC429" s="16" t="s">
        <v>21</v>
      </c>
      <c r="AD429" s="17" t="s">
        <v>1757</v>
      </c>
      <c r="AE429" s="145" t="s">
        <v>1774</v>
      </c>
      <c r="AF429" s="146"/>
      <c r="AG429" s="146"/>
      <c r="AH429" s="146"/>
      <c r="AI429" s="147"/>
      <c r="AJ429" s="148" t="s">
        <v>1775</v>
      </c>
      <c r="AK429" s="143"/>
      <c r="AL429" s="143"/>
      <c r="AM429" s="22"/>
      <c r="AN429" s="149"/>
      <c r="AO429" s="144"/>
      <c r="AP429" s="148"/>
      <c r="AQ429" s="144"/>
      <c r="AR429" s="120"/>
      <c r="AS429" s="121"/>
      <c r="AT429" s="120"/>
      <c r="AU429" s="182"/>
      <c r="AV429" s="120"/>
      <c r="AW429" s="121"/>
      <c r="AX429" s="120"/>
      <c r="AY429" s="121"/>
      <c r="AZ429" s="201"/>
    </row>
    <row r="430" spans="1:52" ht="17.100000000000001" customHeight="1" thickTop="1">
      <c r="A430" s="109" t="s">
        <v>5952</v>
      </c>
      <c r="B430" s="28">
        <v>44541</v>
      </c>
      <c r="C430" s="25">
        <v>1249</v>
      </c>
      <c r="D430" s="13" t="s">
        <v>1776</v>
      </c>
      <c r="E430" s="111"/>
      <c r="F430" s="113" t="s">
        <v>1777</v>
      </c>
      <c r="G430" s="273"/>
      <c r="H430" s="274"/>
      <c r="I430" s="24"/>
      <c r="J430" s="116">
        <v>4.5</v>
      </c>
      <c r="K430" s="118">
        <v>1832000</v>
      </c>
      <c r="L430" s="119"/>
      <c r="M430" s="118">
        <v>183200</v>
      </c>
      <c r="N430" s="119"/>
      <c r="O430" s="118">
        <v>0</v>
      </c>
      <c r="P430" s="119"/>
      <c r="Q430" s="118">
        <v>18960</v>
      </c>
      <c r="R430" s="119"/>
      <c r="S430" s="118">
        <v>13200</v>
      </c>
      <c r="T430" s="119"/>
      <c r="U430" s="118">
        <f>SUM(K430:T431)</f>
        <v>2047360</v>
      </c>
      <c r="V430" s="119"/>
      <c r="W430" s="124">
        <v>1600000</v>
      </c>
      <c r="X430" s="127" t="s">
        <v>1778</v>
      </c>
      <c r="Y430" s="223"/>
      <c r="Z430" s="223"/>
      <c r="AA430" s="223"/>
      <c r="AB430" s="224"/>
      <c r="AC430" s="15" t="s">
        <v>20</v>
      </c>
      <c r="AD430" s="129"/>
      <c r="AE430" s="130"/>
      <c r="AF430" s="130"/>
      <c r="AG430" s="130"/>
      <c r="AH430" s="130"/>
      <c r="AI430" s="131"/>
      <c r="AJ430" s="132"/>
      <c r="AK430" s="127"/>
      <c r="AL430" s="127"/>
      <c r="AM430" s="21"/>
      <c r="AN430" s="133"/>
      <c r="AO430" s="134"/>
      <c r="AP430" s="135"/>
      <c r="AQ430" s="136"/>
      <c r="AR430" s="118"/>
      <c r="AS430" s="119"/>
      <c r="AT430" s="180">
        <f>AR430*0.1</f>
        <v>0</v>
      </c>
      <c r="AU430" s="181"/>
      <c r="AV430" s="118"/>
      <c r="AW430" s="119"/>
      <c r="AX430" s="118">
        <f>SUM(AR430:AW430)</f>
        <v>0</v>
      </c>
      <c r="AY430" s="119"/>
      <c r="AZ430" s="200"/>
    </row>
    <row r="431" spans="1:52" ht="17.100000000000001" customHeight="1" thickBot="1">
      <c r="A431" s="110"/>
      <c r="B431" s="27" t="s">
        <v>1779</v>
      </c>
      <c r="C431" s="27">
        <v>6052</v>
      </c>
      <c r="D431" s="14" t="s">
        <v>1780</v>
      </c>
      <c r="E431" s="112"/>
      <c r="F431" s="139" t="s">
        <v>1781</v>
      </c>
      <c r="G431" s="140"/>
      <c r="H431" s="141"/>
      <c r="I431" s="26">
        <v>47941</v>
      </c>
      <c r="J431" s="117"/>
      <c r="K431" s="120"/>
      <c r="L431" s="121"/>
      <c r="M431" s="120"/>
      <c r="N431" s="121"/>
      <c r="O431" s="120"/>
      <c r="P431" s="121"/>
      <c r="Q431" s="120"/>
      <c r="R431" s="121"/>
      <c r="S431" s="120"/>
      <c r="T431" s="121"/>
      <c r="U431" s="120"/>
      <c r="V431" s="121"/>
      <c r="W431" s="125"/>
      <c r="X431" s="143" t="s">
        <v>1782</v>
      </c>
      <c r="Y431" s="143"/>
      <c r="Z431" s="143"/>
      <c r="AA431" s="143"/>
      <c r="AB431" s="144"/>
      <c r="AC431" s="16" t="s">
        <v>21</v>
      </c>
      <c r="AD431" s="17" t="s">
        <v>1783</v>
      </c>
      <c r="AE431" s="145" t="s">
        <v>1784</v>
      </c>
      <c r="AF431" s="146"/>
      <c r="AG431" s="146"/>
      <c r="AH431" s="146"/>
      <c r="AI431" s="147"/>
      <c r="AJ431" s="148"/>
      <c r="AK431" s="143"/>
      <c r="AL431" s="143"/>
      <c r="AM431" s="22"/>
      <c r="AN431" s="149"/>
      <c r="AO431" s="144"/>
      <c r="AP431" s="148"/>
      <c r="AQ431" s="144"/>
      <c r="AR431" s="120"/>
      <c r="AS431" s="121"/>
      <c r="AT431" s="120"/>
      <c r="AU431" s="182"/>
      <c r="AV431" s="120"/>
      <c r="AW431" s="121"/>
      <c r="AX431" s="120"/>
      <c r="AY431" s="121"/>
      <c r="AZ431" s="201"/>
    </row>
    <row r="432" spans="1:52" ht="17.100000000000001" customHeight="1" thickTop="1">
      <c r="A432" s="109" t="s">
        <v>5953</v>
      </c>
      <c r="B432" s="28">
        <v>44541</v>
      </c>
      <c r="C432" s="25">
        <v>1084</v>
      </c>
      <c r="D432" s="13" t="s">
        <v>1561</v>
      </c>
      <c r="E432" s="111"/>
      <c r="F432" s="113" t="s">
        <v>1785</v>
      </c>
      <c r="G432" s="273"/>
      <c r="H432" s="274"/>
      <c r="I432" s="24" t="s">
        <v>1786</v>
      </c>
      <c r="J432" s="116">
        <v>4.5</v>
      </c>
      <c r="K432" s="118">
        <v>950000</v>
      </c>
      <c r="L432" s="119"/>
      <c r="M432" s="118">
        <v>95000</v>
      </c>
      <c r="N432" s="119"/>
      <c r="O432" s="118">
        <v>9800</v>
      </c>
      <c r="P432" s="119"/>
      <c r="Q432" s="118">
        <v>20900</v>
      </c>
      <c r="R432" s="119"/>
      <c r="S432" s="118">
        <v>13200</v>
      </c>
      <c r="T432" s="119"/>
      <c r="U432" s="118">
        <f>SUM(K432:T433)</f>
        <v>1088900</v>
      </c>
      <c r="V432" s="119"/>
      <c r="W432" s="124">
        <v>650000</v>
      </c>
      <c r="X432" s="127" t="s">
        <v>1787</v>
      </c>
      <c r="Y432" s="223"/>
      <c r="Z432" s="223"/>
      <c r="AA432" s="223"/>
      <c r="AB432" s="224"/>
      <c r="AC432" s="15" t="s">
        <v>20</v>
      </c>
      <c r="AD432" s="129" t="s">
        <v>1788</v>
      </c>
      <c r="AE432" s="130"/>
      <c r="AF432" s="130"/>
      <c r="AG432" s="130"/>
      <c r="AH432" s="130"/>
      <c r="AI432" s="131"/>
      <c r="AJ432" s="132"/>
      <c r="AK432" s="127"/>
      <c r="AL432" s="127"/>
      <c r="AM432" s="21" t="s">
        <v>1789</v>
      </c>
      <c r="AN432" s="133"/>
      <c r="AO432" s="134"/>
      <c r="AP432" s="135"/>
      <c r="AQ432" s="136"/>
      <c r="AR432" s="118"/>
      <c r="AS432" s="119"/>
      <c r="AT432" s="180">
        <f>AR432*0.1</f>
        <v>0</v>
      </c>
      <c r="AU432" s="181"/>
      <c r="AV432" s="118"/>
      <c r="AW432" s="119"/>
      <c r="AX432" s="118">
        <f>SUM(AR432:AW432)</f>
        <v>0</v>
      </c>
      <c r="AY432" s="119"/>
      <c r="AZ432" s="200"/>
    </row>
    <row r="433" spans="1:52" ht="17.100000000000001" customHeight="1" thickBot="1">
      <c r="A433" s="110"/>
      <c r="B433" s="27" t="s">
        <v>1567</v>
      </c>
      <c r="C433" s="27">
        <v>82120</v>
      </c>
      <c r="D433" s="14" t="s">
        <v>1635</v>
      </c>
      <c r="E433" s="112"/>
      <c r="F433" s="139" t="s">
        <v>1790</v>
      </c>
      <c r="G433" s="140"/>
      <c r="H433" s="141"/>
      <c r="I433" s="26">
        <v>10784</v>
      </c>
      <c r="J433" s="117"/>
      <c r="K433" s="120"/>
      <c r="L433" s="121"/>
      <c r="M433" s="120"/>
      <c r="N433" s="121"/>
      <c r="O433" s="120"/>
      <c r="P433" s="121"/>
      <c r="Q433" s="120"/>
      <c r="R433" s="121"/>
      <c r="S433" s="120"/>
      <c r="T433" s="121"/>
      <c r="U433" s="120"/>
      <c r="V433" s="121"/>
      <c r="W433" s="125"/>
      <c r="X433" s="143" t="s">
        <v>1693</v>
      </c>
      <c r="Y433" s="143"/>
      <c r="Z433" s="143"/>
      <c r="AA433" s="143"/>
      <c r="AB433" s="144"/>
      <c r="AC433" s="16" t="s">
        <v>21</v>
      </c>
      <c r="AD433" s="17" t="s">
        <v>1783</v>
      </c>
      <c r="AE433" s="145" t="s">
        <v>1791</v>
      </c>
      <c r="AF433" s="146"/>
      <c r="AG433" s="146"/>
      <c r="AH433" s="146"/>
      <c r="AI433" s="147"/>
      <c r="AJ433" s="148"/>
      <c r="AK433" s="143"/>
      <c r="AL433" s="143"/>
      <c r="AM433" s="22" t="s">
        <v>1792</v>
      </c>
      <c r="AN433" s="149"/>
      <c r="AO433" s="144"/>
      <c r="AP433" s="148"/>
      <c r="AQ433" s="144"/>
      <c r="AR433" s="120"/>
      <c r="AS433" s="121"/>
      <c r="AT433" s="120"/>
      <c r="AU433" s="182"/>
      <c r="AV433" s="120"/>
      <c r="AW433" s="121"/>
      <c r="AX433" s="120"/>
      <c r="AY433" s="121"/>
      <c r="AZ433" s="201"/>
    </row>
    <row r="434" spans="1:52" ht="17.100000000000001" customHeight="1" thickTop="1">
      <c r="A434" s="109" t="s">
        <v>5954</v>
      </c>
      <c r="B434" s="28">
        <v>44541</v>
      </c>
      <c r="C434" s="25">
        <v>1084</v>
      </c>
      <c r="D434" s="13" t="s">
        <v>1793</v>
      </c>
      <c r="E434" s="111"/>
      <c r="F434" s="113" t="s">
        <v>1794</v>
      </c>
      <c r="G434" s="273"/>
      <c r="H434" s="274"/>
      <c r="I434" s="24" t="s">
        <v>1795</v>
      </c>
      <c r="J434" s="116">
        <v>4.5</v>
      </c>
      <c r="K434" s="118">
        <v>1010000</v>
      </c>
      <c r="L434" s="119"/>
      <c r="M434" s="118">
        <v>101000</v>
      </c>
      <c r="N434" s="119"/>
      <c r="O434" s="118">
        <v>9800</v>
      </c>
      <c r="P434" s="119"/>
      <c r="Q434" s="118">
        <v>15540</v>
      </c>
      <c r="R434" s="119"/>
      <c r="S434" s="118">
        <v>13200</v>
      </c>
      <c r="T434" s="119"/>
      <c r="U434" s="118">
        <f>SUM(K434:T435)</f>
        <v>1149540</v>
      </c>
      <c r="V434" s="119"/>
      <c r="W434" s="124">
        <v>750000</v>
      </c>
      <c r="X434" s="127" t="s">
        <v>1796</v>
      </c>
      <c r="Y434" s="223"/>
      <c r="Z434" s="223"/>
      <c r="AA434" s="223"/>
      <c r="AB434" s="224"/>
      <c r="AC434" s="15" t="s">
        <v>20</v>
      </c>
      <c r="AD434" s="129" t="s">
        <v>1797</v>
      </c>
      <c r="AE434" s="130"/>
      <c r="AF434" s="130"/>
      <c r="AG434" s="130"/>
      <c r="AH434" s="130"/>
      <c r="AI434" s="131"/>
      <c r="AJ434" s="132" t="s">
        <v>1798</v>
      </c>
      <c r="AK434" s="127"/>
      <c r="AL434" s="127"/>
      <c r="AM434" s="21" t="s">
        <v>1799</v>
      </c>
      <c r="AN434" s="133"/>
      <c r="AO434" s="134"/>
      <c r="AP434" s="135"/>
      <c r="AQ434" s="136"/>
      <c r="AR434" s="118"/>
      <c r="AS434" s="119"/>
      <c r="AT434" s="180">
        <f>AR434*0.1</f>
        <v>0</v>
      </c>
      <c r="AU434" s="181"/>
      <c r="AV434" s="118"/>
      <c r="AW434" s="119"/>
      <c r="AX434" s="118">
        <f>SUM(AR434:AW434)</f>
        <v>0</v>
      </c>
      <c r="AY434" s="119"/>
      <c r="AZ434" s="200"/>
    </row>
    <row r="435" spans="1:52" ht="17.100000000000001" customHeight="1" thickBot="1">
      <c r="A435" s="110"/>
      <c r="B435" s="27" t="s">
        <v>1567</v>
      </c>
      <c r="C435" s="27">
        <v>82151</v>
      </c>
      <c r="D435" s="14" t="s">
        <v>1601</v>
      </c>
      <c r="E435" s="112"/>
      <c r="F435" s="139" t="s">
        <v>1800</v>
      </c>
      <c r="G435" s="140"/>
      <c r="H435" s="141"/>
      <c r="I435" s="26">
        <v>59340</v>
      </c>
      <c r="J435" s="117"/>
      <c r="K435" s="120"/>
      <c r="L435" s="121"/>
      <c r="M435" s="120"/>
      <c r="N435" s="121"/>
      <c r="O435" s="120"/>
      <c r="P435" s="121"/>
      <c r="Q435" s="120"/>
      <c r="R435" s="121"/>
      <c r="S435" s="120"/>
      <c r="T435" s="121"/>
      <c r="U435" s="120"/>
      <c r="V435" s="121"/>
      <c r="W435" s="125"/>
      <c r="X435" s="143" t="s">
        <v>1801</v>
      </c>
      <c r="Y435" s="143"/>
      <c r="Z435" s="143"/>
      <c r="AA435" s="143"/>
      <c r="AB435" s="144"/>
      <c r="AC435" s="16" t="s">
        <v>21</v>
      </c>
      <c r="AD435" s="17" t="s">
        <v>1783</v>
      </c>
      <c r="AE435" s="145" t="s">
        <v>1802</v>
      </c>
      <c r="AF435" s="146"/>
      <c r="AG435" s="146"/>
      <c r="AH435" s="146"/>
      <c r="AI435" s="147"/>
      <c r="AJ435" s="148"/>
      <c r="AK435" s="143"/>
      <c r="AL435" s="143"/>
      <c r="AM435" s="22" t="s">
        <v>1517</v>
      </c>
      <c r="AN435" s="149"/>
      <c r="AO435" s="144"/>
      <c r="AP435" s="148"/>
      <c r="AQ435" s="144"/>
      <c r="AR435" s="120"/>
      <c r="AS435" s="121"/>
      <c r="AT435" s="120"/>
      <c r="AU435" s="182"/>
      <c r="AV435" s="120"/>
      <c r="AW435" s="121"/>
      <c r="AX435" s="120"/>
      <c r="AY435" s="121"/>
      <c r="AZ435" s="201"/>
    </row>
    <row r="436" spans="1:52" ht="17.100000000000001" customHeight="1" thickTop="1">
      <c r="A436" s="109" t="s">
        <v>5955</v>
      </c>
      <c r="B436" s="28">
        <v>44545</v>
      </c>
      <c r="C436" s="25">
        <v>1625</v>
      </c>
      <c r="D436" s="13" t="s">
        <v>1803</v>
      </c>
      <c r="E436" s="111"/>
      <c r="F436" s="113" t="s">
        <v>1804</v>
      </c>
      <c r="G436" s="273"/>
      <c r="H436" s="274"/>
      <c r="I436" s="24" t="s">
        <v>1786</v>
      </c>
      <c r="J436" s="116">
        <v>5</v>
      </c>
      <c r="K436" s="118">
        <v>3300000</v>
      </c>
      <c r="L436" s="119"/>
      <c r="M436" s="118">
        <v>330000</v>
      </c>
      <c r="N436" s="119"/>
      <c r="O436" s="118">
        <v>9800</v>
      </c>
      <c r="P436" s="119"/>
      <c r="Q436" s="118">
        <v>21330</v>
      </c>
      <c r="R436" s="119"/>
      <c r="S436" s="118">
        <v>19800</v>
      </c>
      <c r="T436" s="119"/>
      <c r="U436" s="118">
        <f>SUM(K436:T437)</f>
        <v>3680930</v>
      </c>
      <c r="V436" s="119"/>
      <c r="W436" s="124">
        <v>2500000</v>
      </c>
      <c r="X436" s="127" t="s">
        <v>1805</v>
      </c>
      <c r="Y436" s="223"/>
      <c r="Z436" s="223"/>
      <c r="AA436" s="223"/>
      <c r="AB436" s="224"/>
      <c r="AC436" s="15" t="s">
        <v>20</v>
      </c>
      <c r="AD436" s="129" t="s">
        <v>171</v>
      </c>
      <c r="AE436" s="130"/>
      <c r="AF436" s="130"/>
      <c r="AG436" s="130"/>
      <c r="AH436" s="130"/>
      <c r="AI436" s="131"/>
      <c r="AJ436" s="132"/>
      <c r="AK436" s="127"/>
      <c r="AL436" s="127"/>
      <c r="AM436" s="21"/>
      <c r="AN436" s="133"/>
      <c r="AO436" s="134"/>
      <c r="AP436" s="135"/>
      <c r="AQ436" s="136"/>
      <c r="AR436" s="118"/>
      <c r="AS436" s="119"/>
      <c r="AT436" s="180">
        <f>AR436*0.1</f>
        <v>0</v>
      </c>
      <c r="AU436" s="181"/>
      <c r="AV436" s="118"/>
      <c r="AW436" s="119"/>
      <c r="AX436" s="118">
        <f>SUM(AR436:AW436)</f>
        <v>0</v>
      </c>
      <c r="AY436" s="119"/>
      <c r="AZ436" s="200"/>
    </row>
    <row r="437" spans="1:52" ht="17.100000000000001" customHeight="1" thickBot="1">
      <c r="A437" s="110"/>
      <c r="B437" s="27" t="s">
        <v>1806</v>
      </c>
      <c r="C437" s="27">
        <v>36022</v>
      </c>
      <c r="D437" s="14" t="s">
        <v>1592</v>
      </c>
      <c r="E437" s="112"/>
      <c r="F437" s="139" t="s">
        <v>1807</v>
      </c>
      <c r="G437" s="140"/>
      <c r="H437" s="141"/>
      <c r="I437" s="26">
        <v>31070</v>
      </c>
      <c r="J437" s="117"/>
      <c r="K437" s="120"/>
      <c r="L437" s="121"/>
      <c r="M437" s="120"/>
      <c r="N437" s="121"/>
      <c r="O437" s="120"/>
      <c r="P437" s="121"/>
      <c r="Q437" s="120"/>
      <c r="R437" s="121"/>
      <c r="S437" s="120"/>
      <c r="T437" s="121"/>
      <c r="U437" s="120"/>
      <c r="V437" s="121"/>
      <c r="W437" s="125"/>
      <c r="X437" s="143" t="s">
        <v>1808</v>
      </c>
      <c r="Y437" s="143"/>
      <c r="Z437" s="143"/>
      <c r="AA437" s="143"/>
      <c r="AB437" s="144"/>
      <c r="AC437" s="16" t="s">
        <v>21</v>
      </c>
      <c r="AD437" s="17" t="s">
        <v>1809</v>
      </c>
      <c r="AE437" s="145" t="s">
        <v>1742</v>
      </c>
      <c r="AF437" s="146"/>
      <c r="AG437" s="146"/>
      <c r="AH437" s="146"/>
      <c r="AI437" s="147"/>
      <c r="AJ437" s="148"/>
      <c r="AK437" s="143"/>
      <c r="AL437" s="143"/>
      <c r="AM437" s="22" t="s">
        <v>51</v>
      </c>
      <c r="AN437" s="149"/>
      <c r="AO437" s="144"/>
      <c r="AP437" s="148"/>
      <c r="AQ437" s="144"/>
      <c r="AR437" s="120"/>
      <c r="AS437" s="121"/>
      <c r="AT437" s="120"/>
      <c r="AU437" s="182"/>
      <c r="AV437" s="120"/>
      <c r="AW437" s="121"/>
      <c r="AX437" s="120"/>
      <c r="AY437" s="121"/>
      <c r="AZ437" s="201"/>
    </row>
    <row r="438" spans="1:52" ht="17.100000000000001" customHeight="1" thickTop="1">
      <c r="A438" s="109" t="s">
        <v>5956</v>
      </c>
      <c r="B438" s="28">
        <v>44569</v>
      </c>
      <c r="C438" s="25">
        <v>1087</v>
      </c>
      <c r="D438" s="13" t="s">
        <v>1606</v>
      </c>
      <c r="E438" s="111"/>
      <c r="F438" s="113" t="s">
        <v>1810</v>
      </c>
      <c r="G438" s="273"/>
      <c r="H438" s="274"/>
      <c r="I438" s="24"/>
      <c r="J438" s="116">
        <v>4.5</v>
      </c>
      <c r="K438" s="118">
        <v>2020000</v>
      </c>
      <c r="L438" s="119"/>
      <c r="M438" s="118">
        <v>202000</v>
      </c>
      <c r="N438" s="119"/>
      <c r="O438" s="118">
        <v>0</v>
      </c>
      <c r="P438" s="119"/>
      <c r="Q438" s="118">
        <v>17700</v>
      </c>
      <c r="R438" s="119"/>
      <c r="S438" s="118">
        <v>13200</v>
      </c>
      <c r="T438" s="119"/>
      <c r="U438" s="118">
        <f>SUM(K438:T439)</f>
        <v>2252900</v>
      </c>
      <c r="V438" s="119"/>
      <c r="W438" s="124">
        <v>1800000</v>
      </c>
      <c r="X438" s="127" t="s">
        <v>1811</v>
      </c>
      <c r="Y438" s="223"/>
      <c r="Z438" s="223"/>
      <c r="AA438" s="223"/>
      <c r="AB438" s="224"/>
      <c r="AC438" s="15" t="s">
        <v>20</v>
      </c>
      <c r="AD438" s="129" t="s">
        <v>1633</v>
      </c>
      <c r="AE438" s="130"/>
      <c r="AF438" s="130"/>
      <c r="AG438" s="130"/>
      <c r="AH438" s="130"/>
      <c r="AI438" s="131"/>
      <c r="AJ438" s="132"/>
      <c r="AK438" s="127"/>
      <c r="AL438" s="127"/>
      <c r="AM438" s="21"/>
      <c r="AN438" s="133"/>
      <c r="AO438" s="134"/>
      <c r="AP438" s="135"/>
      <c r="AQ438" s="136"/>
      <c r="AR438" s="118"/>
      <c r="AS438" s="119"/>
      <c r="AT438" s="180">
        <f>AR438*0.1</f>
        <v>0</v>
      </c>
      <c r="AU438" s="181"/>
      <c r="AV438" s="118"/>
      <c r="AW438" s="119"/>
      <c r="AX438" s="118">
        <f>SUM(AR438:AW438)</f>
        <v>0</v>
      </c>
      <c r="AY438" s="119"/>
      <c r="AZ438" s="200"/>
    </row>
    <row r="439" spans="1:52" ht="17.100000000000001" customHeight="1" thickBot="1">
      <c r="A439" s="110"/>
      <c r="B439" s="27" t="s">
        <v>1567</v>
      </c>
      <c r="C439" s="27">
        <v>82084</v>
      </c>
      <c r="D439" s="14" t="s">
        <v>1812</v>
      </c>
      <c r="E439" s="112"/>
      <c r="F439" s="139" t="s">
        <v>1813</v>
      </c>
      <c r="G439" s="140"/>
      <c r="H439" s="141"/>
      <c r="I439" s="26">
        <v>42292</v>
      </c>
      <c r="J439" s="117"/>
      <c r="K439" s="120"/>
      <c r="L439" s="121"/>
      <c r="M439" s="120"/>
      <c r="N439" s="121"/>
      <c r="O439" s="120"/>
      <c r="P439" s="121"/>
      <c r="Q439" s="120"/>
      <c r="R439" s="121"/>
      <c r="S439" s="120"/>
      <c r="T439" s="121"/>
      <c r="U439" s="120"/>
      <c r="V439" s="121"/>
      <c r="W439" s="125"/>
      <c r="X439" s="143" t="s">
        <v>1814</v>
      </c>
      <c r="Y439" s="143"/>
      <c r="Z439" s="143"/>
      <c r="AA439" s="143"/>
      <c r="AB439" s="144"/>
      <c r="AC439" s="16" t="s">
        <v>21</v>
      </c>
      <c r="AD439" s="17" t="s">
        <v>1815</v>
      </c>
      <c r="AE439" s="145" t="s">
        <v>1816</v>
      </c>
      <c r="AF439" s="146"/>
      <c r="AG439" s="146"/>
      <c r="AH439" s="146"/>
      <c r="AI439" s="147"/>
      <c r="AJ439" s="148"/>
      <c r="AK439" s="143"/>
      <c r="AL439" s="143"/>
      <c r="AM439" s="22"/>
      <c r="AN439" s="149"/>
      <c r="AO439" s="144"/>
      <c r="AP439" s="148"/>
      <c r="AQ439" s="144"/>
      <c r="AR439" s="120"/>
      <c r="AS439" s="121"/>
      <c r="AT439" s="120"/>
      <c r="AU439" s="182"/>
      <c r="AV439" s="120"/>
      <c r="AW439" s="121"/>
      <c r="AX439" s="120"/>
      <c r="AY439" s="121"/>
      <c r="AZ439" s="201"/>
    </row>
    <row r="440" spans="1:52" ht="17.100000000000001" customHeight="1" thickTop="1">
      <c r="A440" s="109" t="s">
        <v>5957</v>
      </c>
      <c r="B440" s="28">
        <v>44574</v>
      </c>
      <c r="C440" s="25">
        <v>1119</v>
      </c>
      <c r="D440" s="13" t="s">
        <v>1817</v>
      </c>
      <c r="E440" s="111"/>
      <c r="F440" s="113" t="s">
        <v>1818</v>
      </c>
      <c r="G440" s="273"/>
      <c r="H440" s="274"/>
      <c r="I440" s="24"/>
      <c r="J440" s="116">
        <v>4</v>
      </c>
      <c r="K440" s="118">
        <v>870000</v>
      </c>
      <c r="L440" s="119"/>
      <c r="M440" s="118">
        <v>87000</v>
      </c>
      <c r="N440" s="119"/>
      <c r="O440" s="118">
        <v>0</v>
      </c>
      <c r="P440" s="119"/>
      <c r="Q440" s="118">
        <v>16260</v>
      </c>
      <c r="R440" s="119"/>
      <c r="S440" s="118">
        <v>13200</v>
      </c>
      <c r="T440" s="119"/>
      <c r="U440" s="118">
        <f>SUM(K440:T441)</f>
        <v>986460</v>
      </c>
      <c r="V440" s="119"/>
      <c r="W440" s="124">
        <v>700000</v>
      </c>
      <c r="X440" s="127" t="s">
        <v>1819</v>
      </c>
      <c r="Y440" s="223"/>
      <c r="Z440" s="223"/>
      <c r="AA440" s="223"/>
      <c r="AB440" s="224"/>
      <c r="AC440" s="15" t="s">
        <v>20</v>
      </c>
      <c r="AD440" s="129" t="s">
        <v>1639</v>
      </c>
      <c r="AE440" s="130"/>
      <c r="AF440" s="130"/>
      <c r="AG440" s="130"/>
      <c r="AH440" s="130"/>
      <c r="AI440" s="131"/>
      <c r="AJ440" s="132"/>
      <c r="AK440" s="127"/>
      <c r="AL440" s="127"/>
      <c r="AM440" s="21"/>
      <c r="AN440" s="133"/>
      <c r="AO440" s="134"/>
      <c r="AP440" s="135"/>
      <c r="AQ440" s="136"/>
      <c r="AR440" s="118"/>
      <c r="AS440" s="119"/>
      <c r="AT440" s="180">
        <f>AR440*0.1</f>
        <v>0</v>
      </c>
      <c r="AU440" s="181"/>
      <c r="AV440" s="118"/>
      <c r="AW440" s="119"/>
      <c r="AX440" s="118">
        <f>SUM(AR440:AW440)</f>
        <v>0</v>
      </c>
      <c r="AY440" s="119"/>
      <c r="AZ440" s="200"/>
    </row>
    <row r="441" spans="1:52" ht="17.100000000000001" customHeight="1" thickBot="1">
      <c r="A441" s="110"/>
      <c r="B441" s="27" t="s">
        <v>1747</v>
      </c>
      <c r="C441" s="27">
        <v>243</v>
      </c>
      <c r="D441" s="14" t="s">
        <v>1592</v>
      </c>
      <c r="E441" s="112"/>
      <c r="F441" s="139" t="s">
        <v>1820</v>
      </c>
      <c r="G441" s="140"/>
      <c r="H441" s="141"/>
      <c r="I441" s="26">
        <v>35492</v>
      </c>
      <c r="J441" s="117"/>
      <c r="K441" s="120"/>
      <c r="L441" s="121"/>
      <c r="M441" s="120"/>
      <c r="N441" s="121"/>
      <c r="O441" s="120"/>
      <c r="P441" s="121"/>
      <c r="Q441" s="120"/>
      <c r="R441" s="121"/>
      <c r="S441" s="120"/>
      <c r="T441" s="121"/>
      <c r="U441" s="120"/>
      <c r="V441" s="121"/>
      <c r="W441" s="125"/>
      <c r="X441" s="143" t="s">
        <v>1821</v>
      </c>
      <c r="Y441" s="143"/>
      <c r="Z441" s="143"/>
      <c r="AA441" s="143"/>
      <c r="AB441" s="144"/>
      <c r="AC441" s="16" t="s">
        <v>21</v>
      </c>
      <c r="AD441" s="17" t="s">
        <v>1822</v>
      </c>
      <c r="AE441" s="145" t="s">
        <v>1633</v>
      </c>
      <c r="AF441" s="146"/>
      <c r="AG441" s="146"/>
      <c r="AH441" s="146"/>
      <c r="AI441" s="147"/>
      <c r="AJ441" s="148"/>
      <c r="AK441" s="143"/>
      <c r="AL441" s="143"/>
      <c r="AM441" s="22"/>
      <c r="AN441" s="149"/>
      <c r="AO441" s="144"/>
      <c r="AP441" s="148"/>
      <c r="AQ441" s="144"/>
      <c r="AR441" s="120"/>
      <c r="AS441" s="121"/>
      <c r="AT441" s="120"/>
      <c r="AU441" s="182"/>
      <c r="AV441" s="120"/>
      <c r="AW441" s="121"/>
      <c r="AX441" s="120"/>
      <c r="AY441" s="121"/>
      <c r="AZ441" s="201"/>
    </row>
    <row r="442" spans="1:52" ht="17.100000000000001" customHeight="1" thickTop="1">
      <c r="A442" s="109" t="s">
        <v>5958</v>
      </c>
      <c r="B442" s="28">
        <v>44575</v>
      </c>
      <c r="C442" s="25">
        <v>994</v>
      </c>
      <c r="D442" s="13" t="s">
        <v>1823</v>
      </c>
      <c r="E442" s="111"/>
      <c r="F442" s="113" t="s">
        <v>1824</v>
      </c>
      <c r="G442" s="273"/>
      <c r="H442" s="274"/>
      <c r="I442" s="24" t="s">
        <v>1825</v>
      </c>
      <c r="J442" s="116">
        <v>4.5</v>
      </c>
      <c r="K442" s="118">
        <v>1010000</v>
      </c>
      <c r="L442" s="119"/>
      <c r="M442" s="118">
        <v>101000</v>
      </c>
      <c r="N442" s="119"/>
      <c r="O442" s="118">
        <v>6500</v>
      </c>
      <c r="P442" s="119"/>
      <c r="Q442" s="118">
        <v>15440</v>
      </c>
      <c r="R442" s="119"/>
      <c r="S442" s="118">
        <v>13200</v>
      </c>
      <c r="T442" s="119"/>
      <c r="U442" s="118">
        <f>SUM(K442:T443)</f>
        <v>1146140</v>
      </c>
      <c r="V442" s="119"/>
      <c r="W442" s="124">
        <v>500000</v>
      </c>
      <c r="X442" s="127" t="s">
        <v>1826</v>
      </c>
      <c r="Y442" s="223"/>
      <c r="Z442" s="223"/>
      <c r="AA442" s="223"/>
      <c r="AB442" s="224"/>
      <c r="AC442" s="15" t="s">
        <v>20</v>
      </c>
      <c r="AD442" s="129" t="s">
        <v>1639</v>
      </c>
      <c r="AE442" s="130"/>
      <c r="AF442" s="130"/>
      <c r="AG442" s="130"/>
      <c r="AH442" s="130"/>
      <c r="AI442" s="131"/>
      <c r="AJ442" s="132"/>
      <c r="AK442" s="127"/>
      <c r="AL442" s="127"/>
      <c r="AM442" s="21" t="s">
        <v>1827</v>
      </c>
      <c r="AN442" s="133"/>
      <c r="AO442" s="134"/>
      <c r="AP442" s="135"/>
      <c r="AQ442" s="136"/>
      <c r="AR442" s="118"/>
      <c r="AS442" s="119"/>
      <c r="AT442" s="180">
        <f>AR442*0.1</f>
        <v>0</v>
      </c>
      <c r="AU442" s="181"/>
      <c r="AV442" s="118"/>
      <c r="AW442" s="119"/>
      <c r="AX442" s="118">
        <f>SUM(AR442:AW442)</f>
        <v>0</v>
      </c>
      <c r="AY442" s="119"/>
      <c r="AZ442" s="200"/>
    </row>
    <row r="443" spans="1:52" ht="17.100000000000001" customHeight="1" thickBot="1">
      <c r="A443" s="110"/>
      <c r="B443" s="27" t="s">
        <v>1828</v>
      </c>
      <c r="C443" s="27">
        <v>88027</v>
      </c>
      <c r="D443" s="14" t="s">
        <v>904</v>
      </c>
      <c r="E443" s="112"/>
      <c r="F443" s="139" t="s">
        <v>1829</v>
      </c>
      <c r="G443" s="140"/>
      <c r="H443" s="141"/>
      <c r="I443" s="26">
        <v>42025</v>
      </c>
      <c r="J443" s="117"/>
      <c r="K443" s="120"/>
      <c r="L443" s="121"/>
      <c r="M443" s="120"/>
      <c r="N443" s="121"/>
      <c r="O443" s="120"/>
      <c r="P443" s="121"/>
      <c r="Q443" s="120"/>
      <c r="R443" s="121"/>
      <c r="S443" s="120"/>
      <c r="T443" s="121"/>
      <c r="U443" s="120"/>
      <c r="V443" s="121"/>
      <c r="W443" s="125"/>
      <c r="X443" s="143" t="s">
        <v>1830</v>
      </c>
      <c r="Y443" s="143"/>
      <c r="Z443" s="143"/>
      <c r="AA443" s="143"/>
      <c r="AB443" s="144"/>
      <c r="AC443" s="16" t="s">
        <v>21</v>
      </c>
      <c r="AD443" s="17" t="s">
        <v>1822</v>
      </c>
      <c r="AE443" s="145" t="s">
        <v>1742</v>
      </c>
      <c r="AF443" s="146"/>
      <c r="AG443" s="146"/>
      <c r="AH443" s="146"/>
      <c r="AI443" s="147"/>
      <c r="AJ443" s="148"/>
      <c r="AK443" s="143"/>
      <c r="AL443" s="143"/>
      <c r="AM443" s="22" t="s">
        <v>1296</v>
      </c>
      <c r="AN443" s="149"/>
      <c r="AO443" s="144"/>
      <c r="AP443" s="148"/>
      <c r="AQ443" s="144"/>
      <c r="AR443" s="120"/>
      <c r="AS443" s="121"/>
      <c r="AT443" s="120"/>
      <c r="AU443" s="182"/>
      <c r="AV443" s="120"/>
      <c r="AW443" s="121"/>
      <c r="AX443" s="120"/>
      <c r="AY443" s="121"/>
      <c r="AZ443" s="201"/>
    </row>
    <row r="444" spans="1:52" ht="17.100000000000001" customHeight="1" thickTop="1">
      <c r="A444" s="109" t="s">
        <v>5959</v>
      </c>
      <c r="B444" s="28">
        <v>44583</v>
      </c>
      <c r="C444" s="25">
        <v>1089</v>
      </c>
      <c r="D444" s="13" t="s">
        <v>1831</v>
      </c>
      <c r="E444" s="111"/>
      <c r="F444" s="113" t="s">
        <v>1832</v>
      </c>
      <c r="G444" s="273"/>
      <c r="H444" s="274"/>
      <c r="I444" s="24"/>
      <c r="J444" s="116">
        <v>4</v>
      </c>
      <c r="K444" s="118">
        <v>1485000</v>
      </c>
      <c r="L444" s="119"/>
      <c r="M444" s="118">
        <v>148500</v>
      </c>
      <c r="N444" s="119"/>
      <c r="O444" s="118">
        <v>0</v>
      </c>
      <c r="P444" s="119"/>
      <c r="Q444" s="118">
        <v>17700</v>
      </c>
      <c r="R444" s="119"/>
      <c r="S444" s="118">
        <v>13200</v>
      </c>
      <c r="T444" s="119"/>
      <c r="U444" s="118">
        <f>SUM(K444:T445)</f>
        <v>1664400</v>
      </c>
      <c r="V444" s="119"/>
      <c r="W444" s="124">
        <v>1200000</v>
      </c>
      <c r="X444" s="127" t="s">
        <v>1833</v>
      </c>
      <c r="Y444" s="223"/>
      <c r="Z444" s="223"/>
      <c r="AA444" s="223"/>
      <c r="AB444" s="224"/>
      <c r="AC444" s="15" t="s">
        <v>20</v>
      </c>
      <c r="AD444" s="129" t="s">
        <v>1670</v>
      </c>
      <c r="AE444" s="130"/>
      <c r="AF444" s="130"/>
      <c r="AG444" s="130"/>
      <c r="AH444" s="130"/>
      <c r="AI444" s="131"/>
      <c r="AJ444" s="132"/>
      <c r="AK444" s="127"/>
      <c r="AL444" s="127"/>
      <c r="AM444" s="21"/>
      <c r="AN444" s="133"/>
      <c r="AO444" s="134"/>
      <c r="AP444" s="135"/>
      <c r="AQ444" s="136"/>
      <c r="AR444" s="118"/>
      <c r="AS444" s="119"/>
      <c r="AT444" s="180">
        <f>AR444*0.1</f>
        <v>0</v>
      </c>
      <c r="AU444" s="181"/>
      <c r="AV444" s="118"/>
      <c r="AW444" s="119"/>
      <c r="AX444" s="118">
        <f>SUM(AR444:AW444)</f>
        <v>0</v>
      </c>
      <c r="AY444" s="119"/>
      <c r="AZ444" s="200"/>
    </row>
    <row r="445" spans="1:52" ht="17.100000000000001" customHeight="1" thickBot="1">
      <c r="A445" s="110"/>
      <c r="B445" s="27" t="s">
        <v>1567</v>
      </c>
      <c r="C445" s="27">
        <v>82155</v>
      </c>
      <c r="D445" s="14" t="s">
        <v>1834</v>
      </c>
      <c r="E445" s="112"/>
      <c r="F445" s="139" t="s">
        <v>1835</v>
      </c>
      <c r="G445" s="140"/>
      <c r="H445" s="141"/>
      <c r="I445" s="26">
        <v>60312</v>
      </c>
      <c r="J445" s="117"/>
      <c r="K445" s="120"/>
      <c r="L445" s="121"/>
      <c r="M445" s="120"/>
      <c r="N445" s="121"/>
      <c r="O445" s="120"/>
      <c r="P445" s="121"/>
      <c r="Q445" s="120"/>
      <c r="R445" s="121"/>
      <c r="S445" s="120"/>
      <c r="T445" s="121"/>
      <c r="U445" s="120"/>
      <c r="V445" s="121"/>
      <c r="W445" s="125"/>
      <c r="X445" s="143" t="s">
        <v>1836</v>
      </c>
      <c r="Y445" s="143"/>
      <c r="Z445" s="143"/>
      <c r="AA445" s="143"/>
      <c r="AB445" s="144"/>
      <c r="AC445" s="16" t="s">
        <v>21</v>
      </c>
      <c r="AD445" s="17" t="s">
        <v>1837</v>
      </c>
      <c r="AE445" s="145" t="s">
        <v>1838</v>
      </c>
      <c r="AF445" s="146"/>
      <c r="AG445" s="146"/>
      <c r="AH445" s="146"/>
      <c r="AI445" s="147"/>
      <c r="AJ445" s="148"/>
      <c r="AK445" s="143"/>
      <c r="AL445" s="143"/>
      <c r="AM445" s="22"/>
      <c r="AN445" s="149"/>
      <c r="AO445" s="144"/>
      <c r="AP445" s="148"/>
      <c r="AQ445" s="144"/>
      <c r="AR445" s="120"/>
      <c r="AS445" s="121"/>
      <c r="AT445" s="120"/>
      <c r="AU445" s="182"/>
      <c r="AV445" s="120"/>
      <c r="AW445" s="121"/>
      <c r="AX445" s="120"/>
      <c r="AY445" s="121"/>
      <c r="AZ445" s="201"/>
    </row>
    <row r="446" spans="1:52" ht="17.100000000000001" customHeight="1" thickTop="1">
      <c r="A446" s="109" t="s">
        <v>5960</v>
      </c>
      <c r="B446" s="28">
        <v>44592</v>
      </c>
      <c r="C446" s="25">
        <v>1883</v>
      </c>
      <c r="D446" s="13" t="s">
        <v>1839</v>
      </c>
      <c r="E446" s="111"/>
      <c r="F446" s="113" t="s">
        <v>1840</v>
      </c>
      <c r="G446" s="273"/>
      <c r="H446" s="274"/>
      <c r="I446" s="24"/>
      <c r="J446" s="116">
        <v>4</v>
      </c>
      <c r="K446" s="118">
        <v>1288000</v>
      </c>
      <c r="L446" s="119"/>
      <c r="M446" s="118">
        <v>128800</v>
      </c>
      <c r="N446" s="119"/>
      <c r="O446" s="118">
        <v>0</v>
      </c>
      <c r="P446" s="119"/>
      <c r="Q446" s="118">
        <v>19670</v>
      </c>
      <c r="R446" s="119"/>
      <c r="S446" s="118">
        <v>11000</v>
      </c>
      <c r="T446" s="119"/>
      <c r="U446" s="118">
        <f>SUM(K446:T447)</f>
        <v>1447470</v>
      </c>
      <c r="V446" s="119"/>
      <c r="W446" s="124">
        <v>1200000</v>
      </c>
      <c r="X446" s="127" t="s">
        <v>1841</v>
      </c>
      <c r="Y446" s="223"/>
      <c r="Z446" s="223"/>
      <c r="AA446" s="223"/>
      <c r="AB446" s="224"/>
      <c r="AC446" s="15" t="s">
        <v>20</v>
      </c>
      <c r="AD446" s="129" t="s">
        <v>1842</v>
      </c>
      <c r="AE446" s="130"/>
      <c r="AF446" s="130"/>
      <c r="AG446" s="130"/>
      <c r="AH446" s="130"/>
      <c r="AI446" s="131"/>
      <c r="AJ446" s="132"/>
      <c r="AK446" s="127"/>
      <c r="AL446" s="127"/>
      <c r="AM446" s="21"/>
      <c r="AN446" s="133"/>
      <c r="AO446" s="134"/>
      <c r="AP446" s="135"/>
      <c r="AQ446" s="136"/>
      <c r="AR446" s="118"/>
      <c r="AS446" s="119"/>
      <c r="AT446" s="180">
        <f>AR446*0.1</f>
        <v>0</v>
      </c>
      <c r="AU446" s="181"/>
      <c r="AV446" s="118"/>
      <c r="AW446" s="119"/>
      <c r="AX446" s="118">
        <f>SUM(AR446:AW446)</f>
        <v>0</v>
      </c>
      <c r="AY446" s="119"/>
      <c r="AZ446" s="200"/>
    </row>
    <row r="447" spans="1:52" ht="17.100000000000001" customHeight="1" thickBot="1">
      <c r="A447" s="110"/>
      <c r="B447" s="27" t="s">
        <v>83</v>
      </c>
      <c r="C447" s="27">
        <v>34029</v>
      </c>
      <c r="D447" s="14" t="s">
        <v>904</v>
      </c>
      <c r="E447" s="112"/>
      <c r="F447" s="139" t="s">
        <v>1843</v>
      </c>
      <c r="G447" s="140"/>
      <c r="H447" s="141"/>
      <c r="I447" s="26">
        <v>52044</v>
      </c>
      <c r="J447" s="117"/>
      <c r="K447" s="120"/>
      <c r="L447" s="121"/>
      <c r="M447" s="120"/>
      <c r="N447" s="121"/>
      <c r="O447" s="120"/>
      <c r="P447" s="121"/>
      <c r="Q447" s="120"/>
      <c r="R447" s="121"/>
      <c r="S447" s="120"/>
      <c r="T447" s="121"/>
      <c r="U447" s="120"/>
      <c r="V447" s="121"/>
      <c r="W447" s="125"/>
      <c r="X447" s="143" t="s">
        <v>1844</v>
      </c>
      <c r="Y447" s="143"/>
      <c r="Z447" s="143"/>
      <c r="AA447" s="143"/>
      <c r="AB447" s="144"/>
      <c r="AC447" s="16" t="s">
        <v>21</v>
      </c>
      <c r="AD447" s="17" t="s">
        <v>1845</v>
      </c>
      <c r="AE447" s="145" t="s">
        <v>158</v>
      </c>
      <c r="AF447" s="146"/>
      <c r="AG447" s="146"/>
      <c r="AH447" s="146"/>
      <c r="AI447" s="147"/>
      <c r="AJ447" s="148"/>
      <c r="AK447" s="143"/>
      <c r="AL447" s="143"/>
      <c r="AM447" s="22"/>
      <c r="AN447" s="149"/>
      <c r="AO447" s="144"/>
      <c r="AP447" s="148"/>
      <c r="AQ447" s="144"/>
      <c r="AR447" s="120"/>
      <c r="AS447" s="121"/>
      <c r="AT447" s="120"/>
      <c r="AU447" s="182"/>
      <c r="AV447" s="120"/>
      <c r="AW447" s="121"/>
      <c r="AX447" s="120"/>
      <c r="AY447" s="121"/>
      <c r="AZ447" s="201"/>
    </row>
    <row r="448" spans="1:52" ht="17.100000000000001" customHeight="1" thickTop="1">
      <c r="A448" s="109" t="s">
        <v>5961</v>
      </c>
      <c r="B448" s="28">
        <v>44595</v>
      </c>
      <c r="C448" s="25">
        <v>1356</v>
      </c>
      <c r="D448" s="13" t="s">
        <v>1776</v>
      </c>
      <c r="E448" s="111"/>
      <c r="F448" s="113" t="s">
        <v>1846</v>
      </c>
      <c r="G448" s="273"/>
      <c r="H448" s="274"/>
      <c r="I448" s="24" t="s">
        <v>1847</v>
      </c>
      <c r="J448" s="116">
        <v>4.5</v>
      </c>
      <c r="K448" s="118">
        <v>2035000</v>
      </c>
      <c r="L448" s="119"/>
      <c r="M448" s="118">
        <v>203500</v>
      </c>
      <c r="N448" s="119"/>
      <c r="O448" s="118">
        <v>3200</v>
      </c>
      <c r="P448" s="119"/>
      <c r="Q448" s="118">
        <v>18960</v>
      </c>
      <c r="R448" s="119"/>
      <c r="S448" s="118">
        <v>13200</v>
      </c>
      <c r="T448" s="119"/>
      <c r="U448" s="118">
        <f>SUM(K448:T449)</f>
        <v>2273860</v>
      </c>
      <c r="V448" s="119"/>
      <c r="W448" s="124">
        <v>1700000</v>
      </c>
      <c r="X448" s="127" t="s">
        <v>1848</v>
      </c>
      <c r="Y448" s="223"/>
      <c r="Z448" s="223"/>
      <c r="AA448" s="223"/>
      <c r="AB448" s="224"/>
      <c r="AC448" s="15" t="s">
        <v>20</v>
      </c>
      <c r="AD448" s="129"/>
      <c r="AE448" s="130"/>
      <c r="AF448" s="130"/>
      <c r="AG448" s="130"/>
      <c r="AH448" s="130"/>
      <c r="AI448" s="131"/>
      <c r="AJ448" s="132"/>
      <c r="AK448" s="127"/>
      <c r="AL448" s="127"/>
      <c r="AM448" s="21" t="s">
        <v>1849</v>
      </c>
      <c r="AN448" s="133"/>
      <c r="AO448" s="134"/>
      <c r="AP448" s="135"/>
      <c r="AQ448" s="136"/>
      <c r="AR448" s="118"/>
      <c r="AS448" s="119"/>
      <c r="AT448" s="180">
        <f>AR448*0.1</f>
        <v>0</v>
      </c>
      <c r="AU448" s="181"/>
      <c r="AV448" s="118"/>
      <c r="AW448" s="119"/>
      <c r="AX448" s="118">
        <f>SUM(AR448:AW448)</f>
        <v>0</v>
      </c>
      <c r="AY448" s="119"/>
      <c r="AZ448" s="200"/>
    </row>
    <row r="449" spans="1:52" ht="17.100000000000001" customHeight="1" thickBot="1">
      <c r="A449" s="110"/>
      <c r="B449" s="27" t="s">
        <v>1600</v>
      </c>
      <c r="C449" s="27">
        <v>75733</v>
      </c>
      <c r="D449" s="14" t="s">
        <v>1850</v>
      </c>
      <c r="E449" s="112"/>
      <c r="F449" s="139" t="s">
        <v>1851</v>
      </c>
      <c r="G449" s="140"/>
      <c r="H449" s="141"/>
      <c r="I449" s="26">
        <v>38329</v>
      </c>
      <c r="J449" s="117"/>
      <c r="K449" s="120"/>
      <c r="L449" s="121"/>
      <c r="M449" s="120"/>
      <c r="N449" s="121"/>
      <c r="O449" s="120"/>
      <c r="P449" s="121"/>
      <c r="Q449" s="120"/>
      <c r="R449" s="121"/>
      <c r="S449" s="120"/>
      <c r="T449" s="121"/>
      <c r="U449" s="120"/>
      <c r="V449" s="121"/>
      <c r="W449" s="125"/>
      <c r="X449" s="143" t="s">
        <v>1852</v>
      </c>
      <c r="Y449" s="143"/>
      <c r="Z449" s="143"/>
      <c r="AA449" s="143"/>
      <c r="AB449" s="144"/>
      <c r="AC449" s="16" t="s">
        <v>21</v>
      </c>
      <c r="AD449" s="17" t="s">
        <v>1853</v>
      </c>
      <c r="AE449" s="145" t="s">
        <v>1854</v>
      </c>
      <c r="AF449" s="146"/>
      <c r="AG449" s="146"/>
      <c r="AH449" s="146"/>
      <c r="AI449" s="147"/>
      <c r="AJ449" s="148"/>
      <c r="AK449" s="143"/>
      <c r="AL449" s="143"/>
      <c r="AM449" s="22"/>
      <c r="AN449" s="149"/>
      <c r="AO449" s="144"/>
      <c r="AP449" s="148"/>
      <c r="AQ449" s="144"/>
      <c r="AR449" s="120"/>
      <c r="AS449" s="121"/>
      <c r="AT449" s="120"/>
      <c r="AU449" s="182"/>
      <c r="AV449" s="120"/>
      <c r="AW449" s="121"/>
      <c r="AX449" s="120"/>
      <c r="AY449" s="121"/>
      <c r="AZ449" s="201"/>
    </row>
    <row r="450" spans="1:52" ht="17.100000000000001" customHeight="1" thickTop="1">
      <c r="A450" s="109" t="s">
        <v>5962</v>
      </c>
      <c r="B450" s="28">
        <v>44597</v>
      </c>
      <c r="C450" s="25">
        <v>1515</v>
      </c>
      <c r="D450" s="13" t="s">
        <v>1855</v>
      </c>
      <c r="E450" s="111"/>
      <c r="F450" s="113" t="s">
        <v>1856</v>
      </c>
      <c r="G450" s="273"/>
      <c r="H450" s="274"/>
      <c r="I450" s="24" t="s">
        <v>1825</v>
      </c>
      <c r="J450" s="116">
        <v>4.5</v>
      </c>
      <c r="K450" s="118">
        <v>2540000</v>
      </c>
      <c r="L450" s="119"/>
      <c r="M450" s="118">
        <v>254000</v>
      </c>
      <c r="N450" s="119"/>
      <c r="O450" s="118">
        <v>3200</v>
      </c>
      <c r="P450" s="119"/>
      <c r="Q450" s="118">
        <v>17990</v>
      </c>
      <c r="R450" s="119"/>
      <c r="S450" s="118">
        <v>13200</v>
      </c>
      <c r="T450" s="119"/>
      <c r="U450" s="118">
        <f>SUM(K450:T451)</f>
        <v>2828390</v>
      </c>
      <c r="V450" s="119"/>
      <c r="W450" s="124">
        <v>2100000</v>
      </c>
      <c r="X450" s="127" t="s">
        <v>1857</v>
      </c>
      <c r="Y450" s="223"/>
      <c r="Z450" s="223"/>
      <c r="AA450" s="223"/>
      <c r="AB450" s="224"/>
      <c r="AC450" s="15" t="s">
        <v>20</v>
      </c>
      <c r="AD450" s="129" t="s">
        <v>1858</v>
      </c>
      <c r="AE450" s="130"/>
      <c r="AF450" s="130"/>
      <c r="AG450" s="130"/>
      <c r="AH450" s="130"/>
      <c r="AI450" s="131"/>
      <c r="AJ450" s="132"/>
      <c r="AK450" s="127"/>
      <c r="AL450" s="127"/>
      <c r="AM450" s="21"/>
      <c r="AN450" s="133"/>
      <c r="AO450" s="134"/>
      <c r="AP450" s="135"/>
      <c r="AQ450" s="136"/>
      <c r="AR450" s="118"/>
      <c r="AS450" s="119"/>
      <c r="AT450" s="180">
        <f>AR450*0.1</f>
        <v>0</v>
      </c>
      <c r="AU450" s="181"/>
      <c r="AV450" s="118"/>
      <c r="AW450" s="119"/>
      <c r="AX450" s="118">
        <f>SUM(AR450:AW450)</f>
        <v>0</v>
      </c>
      <c r="AY450" s="119"/>
      <c r="AZ450" s="200"/>
    </row>
    <row r="451" spans="1:52" ht="17.100000000000001" customHeight="1" thickBot="1">
      <c r="A451" s="110"/>
      <c r="B451" s="27" t="s">
        <v>1859</v>
      </c>
      <c r="C451" s="27">
        <v>441</v>
      </c>
      <c r="D451" s="14" t="s">
        <v>1592</v>
      </c>
      <c r="E451" s="112"/>
      <c r="F451" s="139" t="s">
        <v>1860</v>
      </c>
      <c r="G451" s="140"/>
      <c r="H451" s="141"/>
      <c r="I451" s="26">
        <v>30900</v>
      </c>
      <c r="J451" s="117"/>
      <c r="K451" s="120"/>
      <c r="L451" s="121"/>
      <c r="M451" s="120"/>
      <c r="N451" s="121"/>
      <c r="O451" s="120"/>
      <c r="P451" s="121"/>
      <c r="Q451" s="120"/>
      <c r="R451" s="121"/>
      <c r="S451" s="120"/>
      <c r="T451" s="121"/>
      <c r="U451" s="120"/>
      <c r="V451" s="121"/>
      <c r="W451" s="125"/>
      <c r="X451" s="143" t="s">
        <v>1861</v>
      </c>
      <c r="Y451" s="143"/>
      <c r="Z451" s="143"/>
      <c r="AA451" s="143"/>
      <c r="AB451" s="144"/>
      <c r="AC451" s="16" t="s">
        <v>21</v>
      </c>
      <c r="AD451" s="17" t="s">
        <v>1853</v>
      </c>
      <c r="AE451" s="145" t="s">
        <v>1742</v>
      </c>
      <c r="AF451" s="146"/>
      <c r="AG451" s="146"/>
      <c r="AH451" s="146"/>
      <c r="AI451" s="147"/>
      <c r="AJ451" s="148"/>
      <c r="AK451" s="143"/>
      <c r="AL451" s="143"/>
      <c r="AM451" s="22" t="s">
        <v>1862</v>
      </c>
      <c r="AN451" s="149"/>
      <c r="AO451" s="144"/>
      <c r="AP451" s="148"/>
      <c r="AQ451" s="144"/>
      <c r="AR451" s="120"/>
      <c r="AS451" s="121"/>
      <c r="AT451" s="120"/>
      <c r="AU451" s="182"/>
      <c r="AV451" s="120"/>
      <c r="AW451" s="121"/>
      <c r="AX451" s="120"/>
      <c r="AY451" s="121"/>
      <c r="AZ451" s="201"/>
    </row>
    <row r="452" spans="1:52" ht="17.100000000000001" customHeight="1" thickTop="1">
      <c r="A452" s="109" t="s">
        <v>5963</v>
      </c>
      <c r="B452" s="28">
        <v>44601</v>
      </c>
      <c r="C452" s="25">
        <v>1631</v>
      </c>
      <c r="D452" s="13" t="s">
        <v>1863</v>
      </c>
      <c r="E452" s="111"/>
      <c r="F452" s="113" t="s">
        <v>1864</v>
      </c>
      <c r="G452" s="273"/>
      <c r="H452" s="274"/>
      <c r="I452" s="24"/>
      <c r="J452" s="116">
        <v>4.5</v>
      </c>
      <c r="K452" s="118">
        <v>1660000</v>
      </c>
      <c r="L452" s="119"/>
      <c r="M452" s="118">
        <v>166000</v>
      </c>
      <c r="N452" s="119"/>
      <c r="O452" s="118">
        <v>0</v>
      </c>
      <c r="P452" s="119"/>
      <c r="Q452" s="118">
        <v>15060</v>
      </c>
      <c r="R452" s="119"/>
      <c r="S452" s="118">
        <v>15950</v>
      </c>
      <c r="T452" s="119"/>
      <c r="U452" s="118">
        <f>SUM(K452:T453)</f>
        <v>1857010</v>
      </c>
      <c r="V452" s="119"/>
      <c r="W452" s="124">
        <v>1600000</v>
      </c>
      <c r="X452" s="127" t="s">
        <v>1865</v>
      </c>
      <c r="Y452" s="223"/>
      <c r="Z452" s="223"/>
      <c r="AA452" s="223"/>
      <c r="AB452" s="224"/>
      <c r="AC452" s="15" t="s">
        <v>20</v>
      </c>
      <c r="AD452" s="129" t="s">
        <v>1670</v>
      </c>
      <c r="AE452" s="130"/>
      <c r="AF452" s="130"/>
      <c r="AG452" s="130"/>
      <c r="AH452" s="130"/>
      <c r="AI452" s="131"/>
      <c r="AJ452" s="132"/>
      <c r="AK452" s="127"/>
      <c r="AL452" s="127"/>
      <c r="AM452" s="21"/>
      <c r="AN452" s="133"/>
      <c r="AO452" s="134"/>
      <c r="AP452" s="135"/>
      <c r="AQ452" s="136"/>
      <c r="AR452" s="118"/>
      <c r="AS452" s="119"/>
      <c r="AT452" s="180">
        <f>AR452*0.1</f>
        <v>0</v>
      </c>
      <c r="AU452" s="181"/>
      <c r="AV452" s="118"/>
      <c r="AW452" s="119"/>
      <c r="AX452" s="118">
        <f>SUM(AR452:AW452)</f>
        <v>0</v>
      </c>
      <c r="AY452" s="119"/>
      <c r="AZ452" s="200"/>
    </row>
    <row r="453" spans="1:52" ht="17.100000000000001" customHeight="1" thickBot="1">
      <c r="A453" s="110"/>
      <c r="B453" s="27" t="s">
        <v>1806</v>
      </c>
      <c r="C453" s="27">
        <v>30409</v>
      </c>
      <c r="D453" s="14" t="s">
        <v>1592</v>
      </c>
      <c r="E453" s="112"/>
      <c r="F453" s="139" t="s">
        <v>1866</v>
      </c>
      <c r="G453" s="140"/>
      <c r="H453" s="141"/>
      <c r="I453" s="26">
        <v>42564</v>
      </c>
      <c r="J453" s="117"/>
      <c r="K453" s="120"/>
      <c r="L453" s="121"/>
      <c r="M453" s="120"/>
      <c r="N453" s="121"/>
      <c r="O453" s="120"/>
      <c r="P453" s="121"/>
      <c r="Q453" s="120"/>
      <c r="R453" s="121"/>
      <c r="S453" s="120"/>
      <c r="T453" s="121"/>
      <c r="U453" s="120"/>
      <c r="V453" s="121"/>
      <c r="W453" s="125"/>
      <c r="X453" s="143" t="s">
        <v>1867</v>
      </c>
      <c r="Y453" s="143"/>
      <c r="Z453" s="143"/>
      <c r="AA453" s="143"/>
      <c r="AB453" s="144"/>
      <c r="AC453" s="16" t="s">
        <v>21</v>
      </c>
      <c r="AD453" s="17" t="s">
        <v>1868</v>
      </c>
      <c r="AE453" s="145" t="s">
        <v>1869</v>
      </c>
      <c r="AF453" s="146"/>
      <c r="AG453" s="146"/>
      <c r="AH453" s="146"/>
      <c r="AI453" s="147"/>
      <c r="AJ453" s="148"/>
      <c r="AK453" s="143"/>
      <c r="AL453" s="143"/>
      <c r="AM453" s="22"/>
      <c r="AN453" s="149"/>
      <c r="AO453" s="144"/>
      <c r="AP453" s="148"/>
      <c r="AQ453" s="144"/>
      <c r="AR453" s="120"/>
      <c r="AS453" s="121"/>
      <c r="AT453" s="120"/>
      <c r="AU453" s="182"/>
      <c r="AV453" s="120"/>
      <c r="AW453" s="121"/>
      <c r="AX453" s="120"/>
      <c r="AY453" s="121"/>
      <c r="AZ453" s="201"/>
    </row>
    <row r="454" spans="1:52" ht="17.100000000000001" customHeight="1" thickTop="1">
      <c r="A454" s="109" t="s">
        <v>5964</v>
      </c>
      <c r="B454" s="28">
        <v>44602</v>
      </c>
      <c r="C454" s="25">
        <v>1357</v>
      </c>
      <c r="D454" s="13" t="s">
        <v>1870</v>
      </c>
      <c r="E454" s="111"/>
      <c r="F454" s="113" t="s">
        <v>1871</v>
      </c>
      <c r="G454" s="273"/>
      <c r="H454" s="274"/>
      <c r="I454" s="24" t="s">
        <v>1786</v>
      </c>
      <c r="J454" s="116">
        <v>4.5</v>
      </c>
      <c r="K454" s="118">
        <v>1590000</v>
      </c>
      <c r="L454" s="119"/>
      <c r="M454" s="118">
        <v>159000</v>
      </c>
      <c r="N454" s="119"/>
      <c r="O454" s="118">
        <v>3200</v>
      </c>
      <c r="P454" s="119"/>
      <c r="Q454" s="118">
        <v>17700</v>
      </c>
      <c r="R454" s="119"/>
      <c r="S454" s="118">
        <v>13200</v>
      </c>
      <c r="T454" s="119"/>
      <c r="U454" s="118">
        <f>SUM(K454:T455)</f>
        <v>1783100</v>
      </c>
      <c r="V454" s="119"/>
      <c r="W454" s="124">
        <v>1200000</v>
      </c>
      <c r="X454" s="127" t="s">
        <v>1872</v>
      </c>
      <c r="Y454" s="223"/>
      <c r="Z454" s="223"/>
      <c r="AA454" s="223"/>
      <c r="AB454" s="224"/>
      <c r="AC454" s="15" t="s">
        <v>20</v>
      </c>
      <c r="AD454" s="129" t="s">
        <v>1873</v>
      </c>
      <c r="AE454" s="130"/>
      <c r="AF454" s="130"/>
      <c r="AG454" s="130"/>
      <c r="AH454" s="130"/>
      <c r="AI454" s="131"/>
      <c r="AJ454" s="132"/>
      <c r="AK454" s="127"/>
      <c r="AL454" s="127"/>
      <c r="AM454" s="21"/>
      <c r="AN454" s="133"/>
      <c r="AO454" s="134"/>
      <c r="AP454" s="135"/>
      <c r="AQ454" s="136"/>
      <c r="AR454" s="118"/>
      <c r="AS454" s="119"/>
      <c r="AT454" s="180">
        <f>AR454*0.1</f>
        <v>0</v>
      </c>
      <c r="AU454" s="181"/>
      <c r="AV454" s="118"/>
      <c r="AW454" s="119"/>
      <c r="AX454" s="118">
        <f>SUM(AR454:AW454)</f>
        <v>0</v>
      </c>
      <c r="AY454" s="119"/>
      <c r="AZ454" s="200"/>
    </row>
    <row r="455" spans="1:52" ht="17.100000000000001" customHeight="1" thickBot="1">
      <c r="A455" s="110"/>
      <c r="B455" s="27" t="s">
        <v>1600</v>
      </c>
      <c r="C455" s="27">
        <v>76175</v>
      </c>
      <c r="D455" s="14" t="s">
        <v>1874</v>
      </c>
      <c r="E455" s="112"/>
      <c r="F455" s="139" t="s">
        <v>1875</v>
      </c>
      <c r="G455" s="140"/>
      <c r="H455" s="141"/>
      <c r="I455" s="26">
        <v>12353</v>
      </c>
      <c r="J455" s="117"/>
      <c r="K455" s="120"/>
      <c r="L455" s="121"/>
      <c r="M455" s="120"/>
      <c r="N455" s="121"/>
      <c r="O455" s="120"/>
      <c r="P455" s="121"/>
      <c r="Q455" s="120"/>
      <c r="R455" s="121"/>
      <c r="S455" s="120"/>
      <c r="T455" s="121"/>
      <c r="U455" s="120"/>
      <c r="V455" s="121"/>
      <c r="W455" s="125"/>
      <c r="X455" s="143" t="s">
        <v>1876</v>
      </c>
      <c r="Y455" s="143"/>
      <c r="Z455" s="143"/>
      <c r="AA455" s="143"/>
      <c r="AB455" s="144"/>
      <c r="AC455" s="16" t="s">
        <v>21</v>
      </c>
      <c r="AD455" s="17" t="s">
        <v>1877</v>
      </c>
      <c r="AE455" s="145" t="s">
        <v>1878</v>
      </c>
      <c r="AF455" s="146"/>
      <c r="AG455" s="146"/>
      <c r="AH455" s="146"/>
      <c r="AI455" s="147"/>
      <c r="AJ455" s="148"/>
      <c r="AK455" s="143"/>
      <c r="AL455" s="143"/>
      <c r="AM455" s="22" t="s">
        <v>1862</v>
      </c>
      <c r="AN455" s="149"/>
      <c r="AO455" s="144"/>
      <c r="AP455" s="148"/>
      <c r="AQ455" s="144"/>
      <c r="AR455" s="120"/>
      <c r="AS455" s="121"/>
      <c r="AT455" s="120"/>
      <c r="AU455" s="182"/>
      <c r="AV455" s="120"/>
      <c r="AW455" s="121"/>
      <c r="AX455" s="120"/>
      <c r="AY455" s="121"/>
      <c r="AZ455" s="201"/>
    </row>
    <row r="456" spans="1:52" ht="17.100000000000001" customHeight="1" thickTop="1">
      <c r="A456" s="109" t="s">
        <v>5965</v>
      </c>
      <c r="B456" s="28">
        <v>44610</v>
      </c>
      <c r="C456" s="25">
        <v>1928</v>
      </c>
      <c r="D456" s="13" t="s">
        <v>1879</v>
      </c>
      <c r="E456" s="111"/>
      <c r="F456" s="113" t="s">
        <v>1880</v>
      </c>
      <c r="G456" s="273"/>
      <c r="H456" s="274"/>
      <c r="I456" s="24" t="s">
        <v>1651</v>
      </c>
      <c r="J456" s="116">
        <v>4.5</v>
      </c>
      <c r="K456" s="118">
        <v>2705000</v>
      </c>
      <c r="L456" s="119"/>
      <c r="M456" s="118">
        <v>270500</v>
      </c>
      <c r="N456" s="119"/>
      <c r="O456" s="118">
        <v>7300</v>
      </c>
      <c r="P456" s="119"/>
      <c r="Q456" s="118">
        <v>19720</v>
      </c>
      <c r="R456" s="119"/>
      <c r="S456" s="118">
        <v>13200</v>
      </c>
      <c r="T456" s="119"/>
      <c r="U456" s="118">
        <f>SUM(K456:T457)</f>
        <v>3015720</v>
      </c>
      <c r="V456" s="119"/>
      <c r="W456" s="124">
        <v>2600000</v>
      </c>
      <c r="X456" s="127" t="s">
        <v>1881</v>
      </c>
      <c r="Y456" s="223"/>
      <c r="Z456" s="223"/>
      <c r="AA456" s="223"/>
      <c r="AB456" s="224"/>
      <c r="AC456" s="15" t="s">
        <v>20</v>
      </c>
      <c r="AD456" s="129" t="s">
        <v>1670</v>
      </c>
      <c r="AE456" s="130"/>
      <c r="AF456" s="130"/>
      <c r="AG456" s="130"/>
      <c r="AH456" s="130"/>
      <c r="AI456" s="131"/>
      <c r="AJ456" s="132"/>
      <c r="AK456" s="127"/>
      <c r="AL456" s="127"/>
      <c r="AM456" s="21" t="s">
        <v>1882</v>
      </c>
      <c r="AN456" s="133"/>
      <c r="AO456" s="134"/>
      <c r="AP456" s="135"/>
      <c r="AQ456" s="136"/>
      <c r="AR456" s="118"/>
      <c r="AS456" s="119"/>
      <c r="AT456" s="180">
        <f>AR456*0.1</f>
        <v>0</v>
      </c>
      <c r="AU456" s="181"/>
      <c r="AV456" s="118"/>
      <c r="AW456" s="119"/>
      <c r="AX456" s="118">
        <f>SUM(AR456:AW456)</f>
        <v>0</v>
      </c>
      <c r="AY456" s="119"/>
      <c r="AZ456" s="200"/>
    </row>
    <row r="457" spans="1:52" ht="17.100000000000001" customHeight="1" thickBot="1">
      <c r="A457" s="110"/>
      <c r="B457" s="27" t="s">
        <v>1543</v>
      </c>
      <c r="C457" s="27">
        <v>20736</v>
      </c>
      <c r="D457" s="14" t="s">
        <v>1883</v>
      </c>
      <c r="E457" s="112"/>
      <c r="F457" s="139" t="s">
        <v>1884</v>
      </c>
      <c r="G457" s="140"/>
      <c r="H457" s="141"/>
      <c r="I457" s="26">
        <v>52077</v>
      </c>
      <c r="J457" s="117"/>
      <c r="K457" s="120"/>
      <c r="L457" s="121"/>
      <c r="M457" s="120"/>
      <c r="N457" s="121"/>
      <c r="O457" s="120"/>
      <c r="P457" s="121"/>
      <c r="Q457" s="120"/>
      <c r="R457" s="121"/>
      <c r="S457" s="120"/>
      <c r="T457" s="121"/>
      <c r="U457" s="120"/>
      <c r="V457" s="121"/>
      <c r="W457" s="125"/>
      <c r="X457" s="143" t="s">
        <v>1885</v>
      </c>
      <c r="Y457" s="143"/>
      <c r="Z457" s="143"/>
      <c r="AA457" s="143"/>
      <c r="AB457" s="144"/>
      <c r="AC457" s="16" t="s">
        <v>21</v>
      </c>
      <c r="AD457" s="17" t="s">
        <v>1886</v>
      </c>
      <c r="AE457" s="145" t="s">
        <v>1706</v>
      </c>
      <c r="AF457" s="146"/>
      <c r="AG457" s="146"/>
      <c r="AH457" s="146"/>
      <c r="AI457" s="147"/>
      <c r="AJ457" s="148"/>
      <c r="AK457" s="143"/>
      <c r="AL457" s="143"/>
      <c r="AM457" s="22" t="s">
        <v>1887</v>
      </c>
      <c r="AN457" s="149"/>
      <c r="AO457" s="144"/>
      <c r="AP457" s="148"/>
      <c r="AQ457" s="144"/>
      <c r="AR457" s="120"/>
      <c r="AS457" s="121"/>
      <c r="AT457" s="120"/>
      <c r="AU457" s="182"/>
      <c r="AV457" s="120"/>
      <c r="AW457" s="121"/>
      <c r="AX457" s="120"/>
      <c r="AY457" s="121"/>
      <c r="AZ457" s="201"/>
    </row>
    <row r="458" spans="1:52" ht="17.100000000000001" customHeight="1" thickTop="1">
      <c r="A458" s="109" t="s">
        <v>5966</v>
      </c>
      <c r="B458" s="28">
        <v>44610</v>
      </c>
      <c r="C458" s="25">
        <v>999</v>
      </c>
      <c r="D458" s="13" t="s">
        <v>1888</v>
      </c>
      <c r="E458" s="111"/>
      <c r="F458" s="113" t="s">
        <v>1889</v>
      </c>
      <c r="G458" s="273"/>
      <c r="H458" s="274"/>
      <c r="I458" s="24" t="s">
        <v>1760</v>
      </c>
      <c r="J458" s="116">
        <v>4</v>
      </c>
      <c r="K458" s="118">
        <v>3590000</v>
      </c>
      <c r="L458" s="119"/>
      <c r="M458" s="118">
        <v>359000</v>
      </c>
      <c r="N458" s="119"/>
      <c r="O458" s="118">
        <v>4200</v>
      </c>
      <c r="P458" s="119"/>
      <c r="Q458" s="118">
        <v>21110</v>
      </c>
      <c r="R458" s="119"/>
      <c r="S458" s="118">
        <v>24200</v>
      </c>
      <c r="T458" s="119"/>
      <c r="U458" s="118">
        <f>SUM(K458:T459)</f>
        <v>3998510</v>
      </c>
      <c r="V458" s="119"/>
      <c r="W458" s="124">
        <v>3400000</v>
      </c>
      <c r="X458" s="127" t="s">
        <v>1890</v>
      </c>
      <c r="Y458" s="223"/>
      <c r="Z458" s="223"/>
      <c r="AA458" s="223"/>
      <c r="AB458" s="224"/>
      <c r="AC458" s="15" t="s">
        <v>20</v>
      </c>
      <c r="AD458" s="129" t="s">
        <v>1891</v>
      </c>
      <c r="AE458" s="130"/>
      <c r="AF458" s="130"/>
      <c r="AG458" s="130"/>
      <c r="AH458" s="130"/>
      <c r="AI458" s="131"/>
      <c r="AJ458" s="132"/>
      <c r="AK458" s="127"/>
      <c r="AL458" s="127"/>
      <c r="AM458" s="21"/>
      <c r="AN458" s="133"/>
      <c r="AO458" s="134"/>
      <c r="AP458" s="135"/>
      <c r="AQ458" s="136"/>
      <c r="AR458" s="118"/>
      <c r="AS458" s="119"/>
      <c r="AT458" s="180">
        <f>AR458*0.1</f>
        <v>0</v>
      </c>
      <c r="AU458" s="181"/>
      <c r="AV458" s="118"/>
      <c r="AW458" s="119"/>
      <c r="AX458" s="118">
        <f>SUM(AR458:AW458)</f>
        <v>0</v>
      </c>
      <c r="AY458" s="119"/>
      <c r="AZ458" s="200"/>
    </row>
    <row r="459" spans="1:52" ht="17.100000000000001" customHeight="1" thickBot="1">
      <c r="A459" s="110"/>
      <c r="B459" s="27" t="s">
        <v>1828</v>
      </c>
      <c r="C459" s="27">
        <v>84010</v>
      </c>
      <c r="D459" s="14" t="s">
        <v>275</v>
      </c>
      <c r="E459" s="112"/>
      <c r="F459" s="139" t="s">
        <v>1892</v>
      </c>
      <c r="G459" s="140"/>
      <c r="H459" s="141"/>
      <c r="I459" s="26">
        <v>39313</v>
      </c>
      <c r="J459" s="117"/>
      <c r="K459" s="120"/>
      <c r="L459" s="121"/>
      <c r="M459" s="120"/>
      <c r="N459" s="121"/>
      <c r="O459" s="120"/>
      <c r="P459" s="121"/>
      <c r="Q459" s="120"/>
      <c r="R459" s="121"/>
      <c r="S459" s="120"/>
      <c r="T459" s="121"/>
      <c r="U459" s="120"/>
      <c r="V459" s="121"/>
      <c r="W459" s="125"/>
      <c r="X459" s="143" t="s">
        <v>1893</v>
      </c>
      <c r="Y459" s="143"/>
      <c r="Z459" s="143"/>
      <c r="AA459" s="143"/>
      <c r="AB459" s="144"/>
      <c r="AC459" s="16" t="s">
        <v>21</v>
      </c>
      <c r="AD459" s="17" t="s">
        <v>1894</v>
      </c>
      <c r="AE459" s="145" t="s">
        <v>1742</v>
      </c>
      <c r="AF459" s="146"/>
      <c r="AG459" s="146"/>
      <c r="AH459" s="146"/>
      <c r="AI459" s="147"/>
      <c r="AJ459" s="148"/>
      <c r="AK459" s="143"/>
      <c r="AL459" s="143"/>
      <c r="AM459" s="22" t="s">
        <v>1895</v>
      </c>
      <c r="AN459" s="149"/>
      <c r="AO459" s="144"/>
      <c r="AP459" s="148"/>
      <c r="AQ459" s="144"/>
      <c r="AR459" s="120"/>
      <c r="AS459" s="121"/>
      <c r="AT459" s="120"/>
      <c r="AU459" s="182"/>
      <c r="AV459" s="120"/>
      <c r="AW459" s="121"/>
      <c r="AX459" s="120"/>
      <c r="AY459" s="121"/>
      <c r="AZ459" s="201"/>
    </row>
    <row r="460" spans="1:52" ht="17.100000000000001" customHeight="1" thickTop="1">
      <c r="A460" s="109" t="s">
        <v>5967</v>
      </c>
      <c r="B460" s="28">
        <v>44616</v>
      </c>
      <c r="C460" s="25">
        <v>1359</v>
      </c>
      <c r="D460" s="13" t="s">
        <v>1896</v>
      </c>
      <c r="E460" s="111"/>
      <c r="F460" s="113" t="s">
        <v>1897</v>
      </c>
      <c r="G460" s="273"/>
      <c r="H460" s="274"/>
      <c r="I460" s="24"/>
      <c r="J460" s="116">
        <v>4.5</v>
      </c>
      <c r="K460" s="118">
        <v>1015000</v>
      </c>
      <c r="L460" s="119"/>
      <c r="M460" s="118">
        <v>101500</v>
      </c>
      <c r="N460" s="119"/>
      <c r="O460" s="118">
        <v>0</v>
      </c>
      <c r="P460" s="119"/>
      <c r="Q460" s="118">
        <v>24650</v>
      </c>
      <c r="R460" s="119"/>
      <c r="S460" s="118">
        <v>13200</v>
      </c>
      <c r="T460" s="119"/>
      <c r="U460" s="118">
        <f>SUM(K460:T461)</f>
        <v>1154350</v>
      </c>
      <c r="V460" s="119"/>
      <c r="W460" s="124">
        <v>800000</v>
      </c>
      <c r="X460" s="127" t="s">
        <v>1898</v>
      </c>
      <c r="Y460" s="223"/>
      <c r="Z460" s="223"/>
      <c r="AA460" s="223"/>
      <c r="AB460" s="224"/>
      <c r="AC460" s="15" t="s">
        <v>20</v>
      </c>
      <c r="AD460" s="129" t="s">
        <v>1899</v>
      </c>
      <c r="AE460" s="130"/>
      <c r="AF460" s="130"/>
      <c r="AG460" s="130"/>
      <c r="AH460" s="130"/>
      <c r="AI460" s="131"/>
      <c r="AJ460" s="132"/>
      <c r="AK460" s="127"/>
      <c r="AL460" s="127"/>
      <c r="AM460" s="21"/>
      <c r="AN460" s="133"/>
      <c r="AO460" s="134"/>
      <c r="AP460" s="135"/>
      <c r="AQ460" s="136"/>
      <c r="AR460" s="118"/>
      <c r="AS460" s="119"/>
      <c r="AT460" s="180">
        <f>AR460*0.1</f>
        <v>0</v>
      </c>
      <c r="AU460" s="181"/>
      <c r="AV460" s="118"/>
      <c r="AW460" s="119"/>
      <c r="AX460" s="118">
        <f>SUM(AR460:AW460)</f>
        <v>0</v>
      </c>
      <c r="AY460" s="119"/>
      <c r="AZ460" s="200"/>
    </row>
    <row r="461" spans="1:52" ht="17.100000000000001" customHeight="1" thickBot="1">
      <c r="A461" s="110"/>
      <c r="B461" s="27" t="s">
        <v>1600</v>
      </c>
      <c r="C461" s="27">
        <v>78022</v>
      </c>
      <c r="D461" s="14" t="s">
        <v>1700</v>
      </c>
      <c r="E461" s="112"/>
      <c r="F461" s="139" t="s">
        <v>1900</v>
      </c>
      <c r="G461" s="140"/>
      <c r="H461" s="141"/>
      <c r="I461" s="26">
        <v>57978</v>
      </c>
      <c r="J461" s="117"/>
      <c r="K461" s="120"/>
      <c r="L461" s="121"/>
      <c r="M461" s="120"/>
      <c r="N461" s="121"/>
      <c r="O461" s="120"/>
      <c r="P461" s="121"/>
      <c r="Q461" s="120"/>
      <c r="R461" s="121"/>
      <c r="S461" s="120"/>
      <c r="T461" s="121"/>
      <c r="U461" s="120"/>
      <c r="V461" s="121"/>
      <c r="W461" s="125"/>
      <c r="X461" s="143" t="s">
        <v>1901</v>
      </c>
      <c r="Y461" s="143"/>
      <c r="Z461" s="143"/>
      <c r="AA461" s="143"/>
      <c r="AB461" s="144"/>
      <c r="AC461" s="16" t="s">
        <v>21</v>
      </c>
      <c r="AD461" s="17" t="s">
        <v>1902</v>
      </c>
      <c r="AE461" s="145" t="s">
        <v>1903</v>
      </c>
      <c r="AF461" s="146"/>
      <c r="AG461" s="146"/>
      <c r="AH461" s="146"/>
      <c r="AI461" s="147"/>
      <c r="AJ461" s="148"/>
      <c r="AK461" s="143"/>
      <c r="AL461" s="143"/>
      <c r="AM461" s="22"/>
      <c r="AN461" s="149"/>
      <c r="AO461" s="144"/>
      <c r="AP461" s="148"/>
      <c r="AQ461" s="144"/>
      <c r="AR461" s="120"/>
      <c r="AS461" s="121"/>
      <c r="AT461" s="120"/>
      <c r="AU461" s="182"/>
      <c r="AV461" s="120"/>
      <c r="AW461" s="121"/>
      <c r="AX461" s="120"/>
      <c r="AY461" s="121"/>
      <c r="AZ461" s="201"/>
    </row>
    <row r="462" spans="1:52" ht="17.100000000000001" customHeight="1" thickTop="1">
      <c r="A462" s="109" t="s">
        <v>5968</v>
      </c>
      <c r="B462" s="28">
        <v>44639</v>
      </c>
      <c r="C462" s="25">
        <v>1097</v>
      </c>
      <c r="D462" s="13" t="s">
        <v>1904</v>
      </c>
      <c r="E462" s="111"/>
      <c r="F462" s="113" t="s">
        <v>1905</v>
      </c>
      <c r="G462" s="273"/>
      <c r="H462" s="274"/>
      <c r="I462" s="24" t="s">
        <v>1906</v>
      </c>
      <c r="J462" s="116">
        <v>4</v>
      </c>
      <c r="K462" s="118">
        <v>1280000</v>
      </c>
      <c r="L462" s="119"/>
      <c r="M462" s="118">
        <v>128000</v>
      </c>
      <c r="N462" s="119"/>
      <c r="O462" s="118">
        <v>87900</v>
      </c>
      <c r="P462" s="119"/>
      <c r="Q462" s="118">
        <v>19390</v>
      </c>
      <c r="R462" s="119"/>
      <c r="S462" s="118">
        <v>13200</v>
      </c>
      <c r="T462" s="119"/>
      <c r="U462" s="118">
        <f>SUM(K462:T463)</f>
        <v>1528490</v>
      </c>
      <c r="V462" s="119"/>
      <c r="W462" s="124">
        <v>1200000</v>
      </c>
      <c r="X462" s="127" t="s">
        <v>1907</v>
      </c>
      <c r="Y462" s="223"/>
      <c r="Z462" s="223"/>
      <c r="AA462" s="223"/>
      <c r="AB462" s="224"/>
      <c r="AC462" s="15" t="s">
        <v>20</v>
      </c>
      <c r="AD462" s="129" t="s">
        <v>1908</v>
      </c>
      <c r="AE462" s="130"/>
      <c r="AF462" s="130"/>
      <c r="AG462" s="130"/>
      <c r="AH462" s="130"/>
      <c r="AI462" s="131"/>
      <c r="AJ462" s="132"/>
      <c r="AK462" s="127"/>
      <c r="AL462" s="127"/>
      <c r="AM462" s="21"/>
      <c r="AN462" s="133"/>
      <c r="AO462" s="134"/>
      <c r="AP462" s="135"/>
      <c r="AQ462" s="136"/>
      <c r="AR462" s="118"/>
      <c r="AS462" s="119"/>
      <c r="AT462" s="180">
        <f>AR462*0.1</f>
        <v>0</v>
      </c>
      <c r="AU462" s="181"/>
      <c r="AV462" s="118"/>
      <c r="AW462" s="119"/>
      <c r="AX462" s="118">
        <f>SUM(AR462:AW462)</f>
        <v>0</v>
      </c>
      <c r="AY462" s="119"/>
      <c r="AZ462" s="200"/>
    </row>
    <row r="463" spans="1:52" ht="17.100000000000001" customHeight="1" thickBot="1">
      <c r="A463" s="110"/>
      <c r="B463" s="27" t="s">
        <v>1567</v>
      </c>
      <c r="C463" s="27">
        <v>82147</v>
      </c>
      <c r="D463" s="14" t="s">
        <v>1556</v>
      </c>
      <c r="E463" s="112"/>
      <c r="F463" s="139" t="s">
        <v>1909</v>
      </c>
      <c r="G463" s="140"/>
      <c r="H463" s="141"/>
      <c r="I463" s="26">
        <v>57876</v>
      </c>
      <c r="J463" s="117"/>
      <c r="K463" s="120"/>
      <c r="L463" s="121"/>
      <c r="M463" s="120"/>
      <c r="N463" s="121"/>
      <c r="O463" s="120"/>
      <c r="P463" s="121"/>
      <c r="Q463" s="120"/>
      <c r="R463" s="121"/>
      <c r="S463" s="120"/>
      <c r="T463" s="121"/>
      <c r="U463" s="120"/>
      <c r="V463" s="121"/>
      <c r="W463" s="125"/>
      <c r="X463" s="143" t="s">
        <v>1910</v>
      </c>
      <c r="Y463" s="143"/>
      <c r="Z463" s="143"/>
      <c r="AA463" s="143"/>
      <c r="AB463" s="144"/>
      <c r="AC463" s="16" t="s">
        <v>21</v>
      </c>
      <c r="AD463" s="17" t="s">
        <v>1911</v>
      </c>
      <c r="AE463" s="145" t="s">
        <v>171</v>
      </c>
      <c r="AF463" s="146"/>
      <c r="AG463" s="146"/>
      <c r="AH463" s="146"/>
      <c r="AI463" s="147"/>
      <c r="AJ463" s="148"/>
      <c r="AK463" s="143"/>
      <c r="AL463" s="143"/>
      <c r="AM463" s="22" t="s">
        <v>1912</v>
      </c>
      <c r="AN463" s="149"/>
      <c r="AO463" s="144"/>
      <c r="AP463" s="148"/>
      <c r="AQ463" s="144"/>
      <c r="AR463" s="120"/>
      <c r="AS463" s="121"/>
      <c r="AT463" s="120"/>
      <c r="AU463" s="182"/>
      <c r="AV463" s="120"/>
      <c r="AW463" s="121"/>
      <c r="AX463" s="120"/>
      <c r="AY463" s="121"/>
      <c r="AZ463" s="201"/>
    </row>
    <row r="464" spans="1:52" ht="17.100000000000001" customHeight="1" thickTop="1">
      <c r="A464" s="109" t="s">
        <v>5969</v>
      </c>
      <c r="B464" s="28">
        <v>44644</v>
      </c>
      <c r="C464" s="25">
        <v>1363</v>
      </c>
      <c r="D464" s="13" t="s">
        <v>1695</v>
      </c>
      <c r="E464" s="111"/>
      <c r="F464" s="113" t="s">
        <v>1913</v>
      </c>
      <c r="G464" s="273"/>
      <c r="H464" s="274"/>
      <c r="I464" s="24"/>
      <c r="J464" s="116">
        <v>4.5</v>
      </c>
      <c r="K464" s="118">
        <v>1865000</v>
      </c>
      <c r="L464" s="119"/>
      <c r="M464" s="118">
        <v>186500</v>
      </c>
      <c r="N464" s="119"/>
      <c r="O464" s="118">
        <v>0</v>
      </c>
      <c r="P464" s="119"/>
      <c r="Q464" s="118">
        <v>17700</v>
      </c>
      <c r="R464" s="119"/>
      <c r="S464" s="118">
        <v>13200</v>
      </c>
      <c r="T464" s="119"/>
      <c r="U464" s="118">
        <f>SUM(K464:T465)</f>
        <v>2082400</v>
      </c>
      <c r="V464" s="119"/>
      <c r="W464" s="124"/>
      <c r="X464" s="127" t="s">
        <v>1914</v>
      </c>
      <c r="Y464" s="223"/>
      <c r="Z464" s="223"/>
      <c r="AA464" s="223"/>
      <c r="AB464" s="224"/>
      <c r="AC464" s="15" t="s">
        <v>20</v>
      </c>
      <c r="AD464" s="129" t="s">
        <v>1915</v>
      </c>
      <c r="AE464" s="130"/>
      <c r="AF464" s="130"/>
      <c r="AG464" s="130"/>
      <c r="AH464" s="130"/>
      <c r="AI464" s="131"/>
      <c r="AJ464" s="132"/>
      <c r="AK464" s="127"/>
      <c r="AL464" s="127"/>
      <c r="AM464" s="21"/>
      <c r="AN464" s="133"/>
      <c r="AO464" s="134"/>
      <c r="AP464" s="135"/>
      <c r="AQ464" s="136"/>
      <c r="AR464" s="118"/>
      <c r="AS464" s="119"/>
      <c r="AT464" s="180">
        <f>AR464*0.1</f>
        <v>0</v>
      </c>
      <c r="AU464" s="181"/>
      <c r="AV464" s="118"/>
      <c r="AW464" s="119"/>
      <c r="AX464" s="118">
        <f>SUM(AR464:AW464)</f>
        <v>0</v>
      </c>
      <c r="AY464" s="119"/>
      <c r="AZ464" s="200"/>
    </row>
    <row r="465" spans="1:52" ht="17.100000000000001" customHeight="1" thickBot="1">
      <c r="A465" s="110"/>
      <c r="B465" s="27" t="s">
        <v>1600</v>
      </c>
      <c r="C465" s="27">
        <v>78215</v>
      </c>
      <c r="D465" s="14" t="s">
        <v>1850</v>
      </c>
      <c r="E465" s="112"/>
      <c r="F465" s="139" t="s">
        <v>1916</v>
      </c>
      <c r="G465" s="140"/>
      <c r="H465" s="141"/>
      <c r="I465" s="26">
        <v>44279</v>
      </c>
      <c r="J465" s="117"/>
      <c r="K465" s="120"/>
      <c r="L465" s="121"/>
      <c r="M465" s="120"/>
      <c r="N465" s="121"/>
      <c r="O465" s="120"/>
      <c r="P465" s="121"/>
      <c r="Q465" s="120"/>
      <c r="R465" s="121"/>
      <c r="S465" s="120"/>
      <c r="T465" s="121"/>
      <c r="U465" s="120"/>
      <c r="V465" s="121"/>
      <c r="W465" s="125"/>
      <c r="X465" s="143" t="s">
        <v>1917</v>
      </c>
      <c r="Y465" s="143"/>
      <c r="Z465" s="143"/>
      <c r="AA465" s="143"/>
      <c r="AB465" s="144"/>
      <c r="AC465" s="16" t="s">
        <v>21</v>
      </c>
      <c r="AD465" s="17" t="s">
        <v>1918</v>
      </c>
      <c r="AE465" s="145" t="s">
        <v>1919</v>
      </c>
      <c r="AF465" s="146"/>
      <c r="AG465" s="146"/>
      <c r="AH465" s="146"/>
      <c r="AI465" s="147"/>
      <c r="AJ465" s="148"/>
      <c r="AK465" s="143"/>
      <c r="AL465" s="143"/>
      <c r="AM465" s="22"/>
      <c r="AN465" s="149"/>
      <c r="AO465" s="144"/>
      <c r="AP465" s="148"/>
      <c r="AQ465" s="144"/>
      <c r="AR465" s="120"/>
      <c r="AS465" s="121"/>
      <c r="AT465" s="120"/>
      <c r="AU465" s="182"/>
      <c r="AV465" s="120"/>
      <c r="AW465" s="121"/>
      <c r="AX465" s="120"/>
      <c r="AY465" s="121"/>
      <c r="AZ465" s="201"/>
    </row>
    <row r="466" spans="1:52" ht="17.100000000000001" customHeight="1" thickTop="1">
      <c r="A466" s="109" t="s">
        <v>5970</v>
      </c>
      <c r="B466" s="28">
        <v>44645</v>
      </c>
      <c r="C466" s="25"/>
      <c r="D466" s="13" t="s">
        <v>1920</v>
      </c>
      <c r="E466" s="111" t="s">
        <v>166</v>
      </c>
      <c r="F466" s="113" t="s">
        <v>1921</v>
      </c>
      <c r="G466" s="273"/>
      <c r="H466" s="274"/>
      <c r="I466" s="24" t="s">
        <v>1922</v>
      </c>
      <c r="J466" s="116">
        <v>4</v>
      </c>
      <c r="K466" s="118">
        <v>1700000</v>
      </c>
      <c r="L466" s="119"/>
      <c r="M466" s="118">
        <v>170000</v>
      </c>
      <c r="N466" s="119"/>
      <c r="O466" s="118">
        <v>45000</v>
      </c>
      <c r="P466" s="119"/>
      <c r="Q466" s="118">
        <v>9160</v>
      </c>
      <c r="R466" s="119"/>
      <c r="S466" s="118">
        <v>11000</v>
      </c>
      <c r="T466" s="119"/>
      <c r="U466" s="118">
        <f>SUM(K466:T467)</f>
        <v>1935160</v>
      </c>
      <c r="V466" s="119"/>
      <c r="W466" s="124"/>
      <c r="X466" s="127" t="s">
        <v>1923</v>
      </c>
      <c r="Y466" s="223"/>
      <c r="Z466" s="223"/>
      <c r="AA466" s="223"/>
      <c r="AB466" s="224"/>
      <c r="AC466" s="15" t="s">
        <v>20</v>
      </c>
      <c r="AD466" s="129"/>
      <c r="AE466" s="130"/>
      <c r="AF466" s="130"/>
      <c r="AG466" s="130"/>
      <c r="AH466" s="130"/>
      <c r="AI466" s="131"/>
      <c r="AJ466" s="132"/>
      <c r="AK466" s="127"/>
      <c r="AL466" s="127"/>
      <c r="AM466" s="21" t="s">
        <v>1924</v>
      </c>
      <c r="AN466" s="133"/>
      <c r="AO466" s="134"/>
      <c r="AP466" s="135"/>
      <c r="AQ466" s="136"/>
      <c r="AR466" s="118"/>
      <c r="AS466" s="119"/>
      <c r="AT466" s="180">
        <f>AR466*0.1</f>
        <v>0</v>
      </c>
      <c r="AU466" s="181"/>
      <c r="AV466" s="118"/>
      <c r="AW466" s="119"/>
      <c r="AX466" s="118">
        <f>SUM(AR466:AW466)</f>
        <v>0</v>
      </c>
      <c r="AY466" s="119"/>
      <c r="AZ466" s="200"/>
    </row>
    <row r="467" spans="1:52" ht="17.100000000000001" customHeight="1" thickBot="1">
      <c r="A467" s="110"/>
      <c r="B467" s="27" t="s">
        <v>1925</v>
      </c>
      <c r="C467" s="27" t="s">
        <v>1926</v>
      </c>
      <c r="D467" s="14" t="s">
        <v>1592</v>
      </c>
      <c r="E467" s="112"/>
      <c r="F467" s="139" t="s">
        <v>1927</v>
      </c>
      <c r="G467" s="140"/>
      <c r="H467" s="141"/>
      <c r="I467" s="26">
        <v>63000</v>
      </c>
      <c r="J467" s="117"/>
      <c r="K467" s="120"/>
      <c r="L467" s="121"/>
      <c r="M467" s="120"/>
      <c r="N467" s="121"/>
      <c r="O467" s="120"/>
      <c r="P467" s="121"/>
      <c r="Q467" s="120"/>
      <c r="R467" s="121"/>
      <c r="S467" s="120"/>
      <c r="T467" s="121"/>
      <c r="U467" s="120"/>
      <c r="V467" s="121"/>
      <c r="W467" s="125"/>
      <c r="X467" s="143" t="s">
        <v>1928</v>
      </c>
      <c r="Y467" s="143"/>
      <c r="Z467" s="143"/>
      <c r="AA467" s="143"/>
      <c r="AB467" s="144"/>
      <c r="AC467" s="16" t="s">
        <v>21</v>
      </c>
      <c r="AD467" s="17" t="s">
        <v>1563</v>
      </c>
      <c r="AE467" s="145"/>
      <c r="AF467" s="146"/>
      <c r="AG467" s="146"/>
      <c r="AH467" s="146"/>
      <c r="AI467" s="147"/>
      <c r="AJ467" s="148"/>
      <c r="AK467" s="143"/>
      <c r="AL467" s="143"/>
      <c r="AM467" s="22"/>
      <c r="AN467" s="149"/>
      <c r="AO467" s="144"/>
      <c r="AP467" s="148"/>
      <c r="AQ467" s="144"/>
      <c r="AR467" s="120"/>
      <c r="AS467" s="121"/>
      <c r="AT467" s="120"/>
      <c r="AU467" s="182"/>
      <c r="AV467" s="120"/>
      <c r="AW467" s="121"/>
      <c r="AX467" s="120"/>
      <c r="AY467" s="121"/>
      <c r="AZ467" s="201"/>
    </row>
    <row r="468" spans="1:52" ht="17.100000000000001" customHeight="1" thickTop="1">
      <c r="A468" s="109" t="s">
        <v>5971</v>
      </c>
      <c r="B468" s="28">
        <v>44653</v>
      </c>
      <c r="C468" s="25">
        <v>1099</v>
      </c>
      <c r="D468" s="13" t="s">
        <v>1929</v>
      </c>
      <c r="E468" s="111"/>
      <c r="F468" s="113" t="s">
        <v>1871</v>
      </c>
      <c r="G468" s="273"/>
      <c r="H468" s="274"/>
      <c r="I468" s="24" t="s">
        <v>1930</v>
      </c>
      <c r="J468" s="116">
        <v>4.5</v>
      </c>
      <c r="K468" s="118">
        <v>1290000</v>
      </c>
      <c r="L468" s="119"/>
      <c r="M468" s="118">
        <v>129000</v>
      </c>
      <c r="N468" s="119"/>
      <c r="O468" s="118">
        <v>36200</v>
      </c>
      <c r="P468" s="119"/>
      <c r="Q468" s="118">
        <v>18960</v>
      </c>
      <c r="R468" s="119"/>
      <c r="S468" s="118">
        <v>13200</v>
      </c>
      <c r="T468" s="119"/>
      <c r="U468" s="118">
        <f>SUM(K468:T469)</f>
        <v>1487360</v>
      </c>
      <c r="V468" s="119"/>
      <c r="W468" s="124"/>
      <c r="X468" s="127" t="s">
        <v>1931</v>
      </c>
      <c r="Y468" s="223"/>
      <c r="Z468" s="223"/>
      <c r="AA468" s="223"/>
      <c r="AB468" s="224"/>
      <c r="AC468" s="15" t="s">
        <v>20</v>
      </c>
      <c r="AD468" s="129" t="s">
        <v>1932</v>
      </c>
      <c r="AE468" s="130"/>
      <c r="AF468" s="130"/>
      <c r="AG468" s="130"/>
      <c r="AH468" s="130"/>
      <c r="AI468" s="131"/>
      <c r="AJ468" s="132"/>
      <c r="AK468" s="127"/>
      <c r="AL468" s="127"/>
      <c r="AM468" s="21" t="s">
        <v>1933</v>
      </c>
      <c r="AN468" s="133"/>
      <c r="AO468" s="134"/>
      <c r="AP468" s="135"/>
      <c r="AQ468" s="136"/>
      <c r="AR468" s="118"/>
      <c r="AS468" s="119"/>
      <c r="AT468" s="180">
        <f>AR468*0.1</f>
        <v>0</v>
      </c>
      <c r="AU468" s="181"/>
      <c r="AV468" s="118"/>
      <c r="AW468" s="119"/>
      <c r="AX468" s="118">
        <f>SUM(AR468:AW468)</f>
        <v>0</v>
      </c>
      <c r="AY468" s="119"/>
      <c r="AZ468" s="200"/>
    </row>
    <row r="469" spans="1:52" ht="17.100000000000001" customHeight="1" thickBot="1">
      <c r="A469" s="110"/>
      <c r="B469" s="27" t="s">
        <v>1567</v>
      </c>
      <c r="C469" s="27">
        <v>82148</v>
      </c>
      <c r="D469" s="14" t="s">
        <v>1934</v>
      </c>
      <c r="E469" s="112"/>
      <c r="F469" s="139" t="s">
        <v>1935</v>
      </c>
      <c r="G469" s="140"/>
      <c r="H469" s="141"/>
      <c r="I469" s="26">
        <v>31947</v>
      </c>
      <c r="J469" s="117"/>
      <c r="K469" s="120"/>
      <c r="L469" s="121"/>
      <c r="M469" s="120"/>
      <c r="N469" s="121"/>
      <c r="O469" s="120"/>
      <c r="P469" s="121"/>
      <c r="Q469" s="120"/>
      <c r="R469" s="121"/>
      <c r="S469" s="120"/>
      <c r="T469" s="121"/>
      <c r="U469" s="120"/>
      <c r="V469" s="121"/>
      <c r="W469" s="125"/>
      <c r="X469" s="143" t="s">
        <v>1936</v>
      </c>
      <c r="Y469" s="143"/>
      <c r="Z469" s="143"/>
      <c r="AA469" s="143"/>
      <c r="AB469" s="144"/>
      <c r="AC469" s="16" t="s">
        <v>21</v>
      </c>
      <c r="AD469" s="17" t="s">
        <v>1795</v>
      </c>
      <c r="AE469" s="145" t="s">
        <v>1816</v>
      </c>
      <c r="AF469" s="146"/>
      <c r="AG469" s="146"/>
      <c r="AH469" s="146"/>
      <c r="AI469" s="147"/>
      <c r="AJ469" s="148"/>
      <c r="AK469" s="143"/>
      <c r="AL469" s="143"/>
      <c r="AM469" s="22"/>
      <c r="AN469" s="149"/>
      <c r="AO469" s="144"/>
      <c r="AP469" s="148"/>
      <c r="AQ469" s="144"/>
      <c r="AR469" s="120"/>
      <c r="AS469" s="121"/>
      <c r="AT469" s="120"/>
      <c r="AU469" s="182"/>
      <c r="AV469" s="120"/>
      <c r="AW469" s="121"/>
      <c r="AX469" s="120"/>
      <c r="AY469" s="121"/>
      <c r="AZ469" s="201"/>
    </row>
    <row r="470" spans="1:52" ht="17.100000000000001" customHeight="1" thickTop="1">
      <c r="A470" s="109" t="s">
        <v>5972</v>
      </c>
      <c r="B470" s="28">
        <v>44658</v>
      </c>
      <c r="C470" s="25">
        <v>1959</v>
      </c>
      <c r="D470" s="13" t="s">
        <v>1937</v>
      </c>
      <c r="E470" s="111"/>
      <c r="F470" s="113" t="s">
        <v>1938</v>
      </c>
      <c r="G470" s="273"/>
      <c r="H470" s="274"/>
      <c r="I470" s="24"/>
      <c r="J470" s="116">
        <v>4.5</v>
      </c>
      <c r="K470" s="118">
        <v>1184000</v>
      </c>
      <c r="L470" s="119"/>
      <c r="M470" s="118">
        <v>118400</v>
      </c>
      <c r="N470" s="119"/>
      <c r="O470" s="118">
        <v>0</v>
      </c>
      <c r="P470" s="119"/>
      <c r="Q470" s="118">
        <v>18960</v>
      </c>
      <c r="R470" s="119"/>
      <c r="S470" s="118">
        <v>13750</v>
      </c>
      <c r="T470" s="119"/>
      <c r="U470" s="118">
        <f>SUM(K470:T471)</f>
        <v>1335110</v>
      </c>
      <c r="V470" s="119"/>
      <c r="W470" s="124"/>
      <c r="X470" s="127" t="s">
        <v>1939</v>
      </c>
      <c r="Y470" s="223"/>
      <c r="Z470" s="223"/>
      <c r="AA470" s="223"/>
      <c r="AB470" s="224"/>
      <c r="AC470" s="15" t="s">
        <v>20</v>
      </c>
      <c r="AD470" s="129"/>
      <c r="AE470" s="130"/>
      <c r="AF470" s="130"/>
      <c r="AG470" s="130"/>
      <c r="AH470" s="130"/>
      <c r="AI470" s="131"/>
      <c r="AJ470" s="132"/>
      <c r="AK470" s="127"/>
      <c r="AL470" s="127"/>
      <c r="AM470" s="21"/>
      <c r="AN470" s="133"/>
      <c r="AO470" s="134"/>
      <c r="AP470" s="135"/>
      <c r="AQ470" s="136"/>
      <c r="AR470" s="118"/>
      <c r="AS470" s="119"/>
      <c r="AT470" s="180">
        <f>AR470*0.1</f>
        <v>0</v>
      </c>
      <c r="AU470" s="181"/>
      <c r="AV470" s="118"/>
      <c r="AW470" s="119"/>
      <c r="AX470" s="118">
        <f>SUM(AR470:AW470)</f>
        <v>0</v>
      </c>
      <c r="AY470" s="119"/>
      <c r="AZ470" s="200"/>
    </row>
    <row r="471" spans="1:52" ht="17.100000000000001" customHeight="1" thickBot="1">
      <c r="A471" s="110"/>
      <c r="B471" s="27" t="s">
        <v>1940</v>
      </c>
      <c r="C471" s="27">
        <v>3164</v>
      </c>
      <c r="D471" s="14" t="s">
        <v>1941</v>
      </c>
      <c r="E471" s="112"/>
      <c r="F471" s="139" t="s">
        <v>1942</v>
      </c>
      <c r="G471" s="140"/>
      <c r="H471" s="141"/>
      <c r="I471" s="26">
        <v>43786</v>
      </c>
      <c r="J471" s="117"/>
      <c r="K471" s="120"/>
      <c r="L471" s="121"/>
      <c r="M471" s="120"/>
      <c r="N471" s="121"/>
      <c r="O471" s="120"/>
      <c r="P471" s="121"/>
      <c r="Q471" s="120"/>
      <c r="R471" s="121"/>
      <c r="S471" s="120"/>
      <c r="T471" s="121"/>
      <c r="U471" s="120"/>
      <c r="V471" s="121"/>
      <c r="W471" s="125"/>
      <c r="X471" s="143" t="s">
        <v>1943</v>
      </c>
      <c r="Y471" s="143"/>
      <c r="Z471" s="143"/>
      <c r="AA471" s="143"/>
      <c r="AB471" s="144"/>
      <c r="AC471" s="16" t="s">
        <v>21</v>
      </c>
      <c r="AD471" s="17" t="s">
        <v>1944</v>
      </c>
      <c r="AE471" s="145" t="s">
        <v>1945</v>
      </c>
      <c r="AF471" s="146"/>
      <c r="AG471" s="146"/>
      <c r="AH471" s="146"/>
      <c r="AI471" s="147"/>
      <c r="AJ471" s="148"/>
      <c r="AK471" s="143"/>
      <c r="AL471" s="143"/>
      <c r="AM471" s="22"/>
      <c r="AN471" s="149"/>
      <c r="AO471" s="144"/>
      <c r="AP471" s="148"/>
      <c r="AQ471" s="144"/>
      <c r="AR471" s="120"/>
      <c r="AS471" s="121"/>
      <c r="AT471" s="120"/>
      <c r="AU471" s="182"/>
      <c r="AV471" s="120"/>
      <c r="AW471" s="121"/>
      <c r="AX471" s="120"/>
      <c r="AY471" s="121"/>
      <c r="AZ471" s="201"/>
    </row>
    <row r="472" spans="1:52" ht="17.100000000000001" customHeight="1" thickTop="1">
      <c r="A472" s="109" t="s">
        <v>5973</v>
      </c>
      <c r="B472" s="28">
        <v>44659</v>
      </c>
      <c r="C472" s="25">
        <v>89</v>
      </c>
      <c r="D472" s="13" t="s">
        <v>1946</v>
      </c>
      <c r="E472" s="111"/>
      <c r="F472" s="113" t="s">
        <v>1947</v>
      </c>
      <c r="G472" s="273"/>
      <c r="H472" s="274"/>
      <c r="I472" s="24"/>
      <c r="J472" s="116">
        <v>3</v>
      </c>
      <c r="K472" s="118">
        <v>453000</v>
      </c>
      <c r="L472" s="119"/>
      <c r="M472" s="118">
        <v>45300</v>
      </c>
      <c r="N472" s="119"/>
      <c r="O472" s="118">
        <v>0</v>
      </c>
      <c r="P472" s="119"/>
      <c r="Q472" s="118">
        <v>0</v>
      </c>
      <c r="R472" s="119"/>
      <c r="S472" s="118">
        <v>19800</v>
      </c>
      <c r="T472" s="119"/>
      <c r="U472" s="118">
        <f>SUM(K472:T473)</f>
        <v>518100</v>
      </c>
      <c r="V472" s="119"/>
      <c r="W472" s="124"/>
      <c r="X472" s="127" t="s">
        <v>1948</v>
      </c>
      <c r="Y472" s="223"/>
      <c r="Z472" s="223"/>
      <c r="AA472" s="223"/>
      <c r="AB472" s="224"/>
      <c r="AC472" s="15" t="s">
        <v>20</v>
      </c>
      <c r="AD472" s="129"/>
      <c r="AE472" s="130"/>
      <c r="AF472" s="130"/>
      <c r="AG472" s="130"/>
      <c r="AH472" s="130"/>
      <c r="AI472" s="131"/>
      <c r="AJ472" s="132"/>
      <c r="AK472" s="127"/>
      <c r="AL472" s="127"/>
      <c r="AM472" s="21"/>
      <c r="AN472" s="133"/>
      <c r="AO472" s="134"/>
      <c r="AP472" s="135"/>
      <c r="AQ472" s="136"/>
      <c r="AR472" s="118"/>
      <c r="AS472" s="119"/>
      <c r="AT472" s="180">
        <f>AR472*0.1</f>
        <v>0</v>
      </c>
      <c r="AU472" s="181"/>
      <c r="AV472" s="118"/>
      <c r="AW472" s="119"/>
      <c r="AX472" s="118">
        <f>SUM(AR472:AW472)</f>
        <v>0</v>
      </c>
      <c r="AY472" s="119"/>
      <c r="AZ472" s="200"/>
    </row>
    <row r="473" spans="1:52" ht="17.100000000000001" customHeight="1" thickBot="1">
      <c r="A473" s="110"/>
      <c r="B473" s="27" t="s">
        <v>1949</v>
      </c>
      <c r="C473" s="27">
        <v>117</v>
      </c>
      <c r="D473" s="14" t="s">
        <v>1720</v>
      </c>
      <c r="E473" s="112"/>
      <c r="F473" s="139" t="s">
        <v>1950</v>
      </c>
      <c r="G473" s="140"/>
      <c r="H473" s="141"/>
      <c r="I473" s="26">
        <v>55128</v>
      </c>
      <c r="J473" s="117"/>
      <c r="K473" s="120"/>
      <c r="L473" s="121"/>
      <c r="M473" s="120"/>
      <c r="N473" s="121"/>
      <c r="O473" s="120"/>
      <c r="P473" s="121"/>
      <c r="Q473" s="120"/>
      <c r="R473" s="121"/>
      <c r="S473" s="120"/>
      <c r="T473" s="121"/>
      <c r="U473" s="120"/>
      <c r="V473" s="121"/>
      <c r="W473" s="125"/>
      <c r="X473" s="143" t="s">
        <v>1951</v>
      </c>
      <c r="Y473" s="143"/>
      <c r="Z473" s="143"/>
      <c r="AA473" s="143"/>
      <c r="AB473" s="144"/>
      <c r="AC473" s="16" t="s">
        <v>21</v>
      </c>
      <c r="AD473" s="17" t="s">
        <v>1952</v>
      </c>
      <c r="AE473" s="145"/>
      <c r="AF473" s="146"/>
      <c r="AG473" s="146"/>
      <c r="AH473" s="146"/>
      <c r="AI473" s="147"/>
      <c r="AJ473" s="148"/>
      <c r="AK473" s="143"/>
      <c r="AL473" s="143"/>
      <c r="AM473" s="22"/>
      <c r="AN473" s="149"/>
      <c r="AO473" s="144"/>
      <c r="AP473" s="148"/>
      <c r="AQ473" s="144"/>
      <c r="AR473" s="120"/>
      <c r="AS473" s="121"/>
      <c r="AT473" s="120"/>
      <c r="AU473" s="182"/>
      <c r="AV473" s="120"/>
      <c r="AW473" s="121"/>
      <c r="AX473" s="120"/>
      <c r="AY473" s="121"/>
      <c r="AZ473" s="201"/>
    </row>
    <row r="474" spans="1:52" ht="17.100000000000001" customHeight="1" thickTop="1">
      <c r="A474" s="109" t="s">
        <v>5974</v>
      </c>
      <c r="B474" s="28">
        <v>44672</v>
      </c>
      <c r="C474" s="25">
        <v>1367</v>
      </c>
      <c r="D474" s="13" t="s">
        <v>1953</v>
      </c>
      <c r="E474" s="111"/>
      <c r="F474" s="113" t="s">
        <v>1871</v>
      </c>
      <c r="G474" s="273"/>
      <c r="H474" s="274"/>
      <c r="I474" s="24"/>
      <c r="J474" s="116">
        <v>4.5</v>
      </c>
      <c r="K474" s="118">
        <v>1980000</v>
      </c>
      <c r="L474" s="119"/>
      <c r="M474" s="118">
        <v>198000</v>
      </c>
      <c r="N474" s="119"/>
      <c r="O474" s="118">
        <v>0</v>
      </c>
      <c r="P474" s="119"/>
      <c r="Q474" s="118">
        <v>16240</v>
      </c>
      <c r="R474" s="119"/>
      <c r="S474" s="118">
        <v>13200</v>
      </c>
      <c r="T474" s="119"/>
      <c r="U474" s="118">
        <f>SUM(K474:T475)</f>
        <v>2207440</v>
      </c>
      <c r="V474" s="119"/>
      <c r="W474" s="124"/>
      <c r="X474" s="127" t="s">
        <v>1954</v>
      </c>
      <c r="Y474" s="223"/>
      <c r="Z474" s="223"/>
      <c r="AA474" s="223"/>
      <c r="AB474" s="224"/>
      <c r="AC474" s="15" t="s">
        <v>20</v>
      </c>
      <c r="AD474" s="129" t="s">
        <v>1955</v>
      </c>
      <c r="AE474" s="130"/>
      <c r="AF474" s="130"/>
      <c r="AG474" s="130"/>
      <c r="AH474" s="130"/>
      <c r="AI474" s="131"/>
      <c r="AJ474" s="132"/>
      <c r="AK474" s="127"/>
      <c r="AL474" s="127"/>
      <c r="AM474" s="21"/>
      <c r="AN474" s="133"/>
      <c r="AO474" s="134"/>
      <c r="AP474" s="135"/>
      <c r="AQ474" s="136"/>
      <c r="AR474" s="118"/>
      <c r="AS474" s="119"/>
      <c r="AT474" s="180">
        <f>AR474*0.1</f>
        <v>0</v>
      </c>
      <c r="AU474" s="181"/>
      <c r="AV474" s="118"/>
      <c r="AW474" s="119"/>
      <c r="AX474" s="118">
        <f>SUM(AR474:AW474)</f>
        <v>0</v>
      </c>
      <c r="AY474" s="119"/>
      <c r="AZ474" s="200"/>
    </row>
    <row r="475" spans="1:52" ht="17.100000000000001" customHeight="1" thickBot="1">
      <c r="A475" s="110"/>
      <c r="B475" s="27" t="s">
        <v>1600</v>
      </c>
      <c r="C475" s="27">
        <v>75364</v>
      </c>
      <c r="D475" s="14" t="s">
        <v>133</v>
      </c>
      <c r="E475" s="112"/>
      <c r="F475" s="139" t="s">
        <v>1956</v>
      </c>
      <c r="G475" s="140"/>
      <c r="H475" s="141"/>
      <c r="I475" s="26">
        <v>33656</v>
      </c>
      <c r="J475" s="117"/>
      <c r="K475" s="120"/>
      <c r="L475" s="121"/>
      <c r="M475" s="120"/>
      <c r="N475" s="121"/>
      <c r="O475" s="120"/>
      <c r="P475" s="121"/>
      <c r="Q475" s="120"/>
      <c r="R475" s="121"/>
      <c r="S475" s="120"/>
      <c r="T475" s="121"/>
      <c r="U475" s="120"/>
      <c r="V475" s="121"/>
      <c r="W475" s="125"/>
      <c r="X475" s="143" t="s">
        <v>1943</v>
      </c>
      <c r="Y475" s="143"/>
      <c r="Z475" s="143"/>
      <c r="AA475" s="143"/>
      <c r="AB475" s="144"/>
      <c r="AC475" s="16" t="s">
        <v>21</v>
      </c>
      <c r="AD475" s="17" t="s">
        <v>1957</v>
      </c>
      <c r="AE475" s="145" t="s">
        <v>1945</v>
      </c>
      <c r="AF475" s="146"/>
      <c r="AG475" s="146"/>
      <c r="AH475" s="146"/>
      <c r="AI475" s="147"/>
      <c r="AJ475" s="148"/>
      <c r="AK475" s="143"/>
      <c r="AL475" s="143"/>
      <c r="AM475" s="22"/>
      <c r="AN475" s="149"/>
      <c r="AO475" s="144"/>
      <c r="AP475" s="148"/>
      <c r="AQ475" s="144"/>
      <c r="AR475" s="120"/>
      <c r="AS475" s="121"/>
      <c r="AT475" s="120"/>
      <c r="AU475" s="182"/>
      <c r="AV475" s="120"/>
      <c r="AW475" s="121"/>
      <c r="AX475" s="120"/>
      <c r="AY475" s="121"/>
      <c r="AZ475" s="201"/>
    </row>
    <row r="476" spans="1:52" ht="17.100000000000001" customHeight="1" thickTop="1">
      <c r="A476" s="109" t="s">
        <v>5975</v>
      </c>
      <c r="B476" s="28">
        <v>44674</v>
      </c>
      <c r="C476" s="25">
        <v>1345</v>
      </c>
      <c r="D476" s="13" t="s">
        <v>1958</v>
      </c>
      <c r="E476" s="111"/>
      <c r="F476" s="113" t="s">
        <v>1147</v>
      </c>
      <c r="G476" s="273"/>
      <c r="H476" s="274"/>
      <c r="I476" s="24" t="s">
        <v>1795</v>
      </c>
      <c r="J476" s="116">
        <v>4.5</v>
      </c>
      <c r="K476" s="118">
        <v>1835000</v>
      </c>
      <c r="L476" s="119"/>
      <c r="M476" s="118">
        <v>183500</v>
      </c>
      <c r="N476" s="119"/>
      <c r="O476" s="118">
        <v>36200</v>
      </c>
      <c r="P476" s="119"/>
      <c r="Q476" s="118">
        <v>18960</v>
      </c>
      <c r="R476" s="119"/>
      <c r="S476" s="118">
        <v>13200</v>
      </c>
      <c r="T476" s="119"/>
      <c r="U476" s="118">
        <f>SUM(K476:T477)</f>
        <v>2086860</v>
      </c>
      <c r="V476" s="119"/>
      <c r="W476" s="124"/>
      <c r="X476" s="127" t="s">
        <v>1959</v>
      </c>
      <c r="Y476" s="223"/>
      <c r="Z476" s="223"/>
      <c r="AA476" s="223"/>
      <c r="AB476" s="224"/>
      <c r="AC476" s="15" t="s">
        <v>20</v>
      </c>
      <c r="AD476" s="129" t="s">
        <v>1932</v>
      </c>
      <c r="AE476" s="130"/>
      <c r="AF476" s="130"/>
      <c r="AG476" s="130"/>
      <c r="AH476" s="130"/>
      <c r="AI476" s="131"/>
      <c r="AJ476" s="132"/>
      <c r="AK476" s="127"/>
      <c r="AL476" s="127"/>
      <c r="AM476" s="21"/>
      <c r="AN476" s="133"/>
      <c r="AO476" s="134"/>
      <c r="AP476" s="135"/>
      <c r="AQ476" s="136"/>
      <c r="AR476" s="118"/>
      <c r="AS476" s="119"/>
      <c r="AT476" s="180">
        <f>AR476*0.1</f>
        <v>0</v>
      </c>
      <c r="AU476" s="181"/>
      <c r="AV476" s="118"/>
      <c r="AW476" s="119"/>
      <c r="AX476" s="118">
        <f>SUM(AR476:AW476)</f>
        <v>0</v>
      </c>
      <c r="AY476" s="119"/>
      <c r="AZ476" s="200"/>
    </row>
    <row r="477" spans="1:52" ht="17.100000000000001" customHeight="1" thickBot="1">
      <c r="A477" s="110"/>
      <c r="B477" s="27" t="s">
        <v>1555</v>
      </c>
      <c r="C477" s="27">
        <v>60231</v>
      </c>
      <c r="D477" s="14" t="s">
        <v>1592</v>
      </c>
      <c r="E477" s="112"/>
      <c r="F477" s="139" t="s">
        <v>1960</v>
      </c>
      <c r="G477" s="140"/>
      <c r="H477" s="141"/>
      <c r="I477" s="26">
        <v>31278</v>
      </c>
      <c r="J477" s="117"/>
      <c r="K477" s="120"/>
      <c r="L477" s="121"/>
      <c r="M477" s="120"/>
      <c r="N477" s="121"/>
      <c r="O477" s="120"/>
      <c r="P477" s="121"/>
      <c r="Q477" s="120"/>
      <c r="R477" s="121"/>
      <c r="S477" s="120"/>
      <c r="T477" s="121"/>
      <c r="U477" s="120"/>
      <c r="V477" s="121"/>
      <c r="W477" s="125"/>
      <c r="X477" s="143" t="s">
        <v>1961</v>
      </c>
      <c r="Y477" s="143"/>
      <c r="Z477" s="143"/>
      <c r="AA477" s="143"/>
      <c r="AB477" s="144"/>
      <c r="AC477" s="16" t="s">
        <v>21</v>
      </c>
      <c r="AD477" s="17" t="s">
        <v>1962</v>
      </c>
      <c r="AE477" s="145" t="s">
        <v>158</v>
      </c>
      <c r="AF477" s="146"/>
      <c r="AG477" s="146"/>
      <c r="AH477" s="146"/>
      <c r="AI477" s="147"/>
      <c r="AJ477" s="148"/>
      <c r="AK477" s="143"/>
      <c r="AL477" s="143"/>
      <c r="AM477" s="22" t="s">
        <v>1963</v>
      </c>
      <c r="AN477" s="149"/>
      <c r="AO477" s="144"/>
      <c r="AP477" s="148"/>
      <c r="AQ477" s="144"/>
      <c r="AR477" s="120"/>
      <c r="AS477" s="121"/>
      <c r="AT477" s="120"/>
      <c r="AU477" s="182"/>
      <c r="AV477" s="120"/>
      <c r="AW477" s="121"/>
      <c r="AX477" s="120"/>
      <c r="AY477" s="121"/>
      <c r="AZ477" s="201"/>
    </row>
    <row r="478" spans="1:52" ht="17.100000000000001" customHeight="1" thickTop="1">
      <c r="A478" s="109" t="s">
        <v>5976</v>
      </c>
      <c r="B478" s="28">
        <v>44681</v>
      </c>
      <c r="C478" s="25">
        <v>1527</v>
      </c>
      <c r="D478" s="13" t="s">
        <v>1767</v>
      </c>
      <c r="E478" s="111"/>
      <c r="F478" s="113" t="s">
        <v>1964</v>
      </c>
      <c r="G478" s="273"/>
      <c r="H478" s="274"/>
      <c r="I478" s="24" t="s">
        <v>1965</v>
      </c>
      <c r="J478" s="116">
        <v>4</v>
      </c>
      <c r="K478" s="118">
        <v>2000000</v>
      </c>
      <c r="L478" s="119"/>
      <c r="M478" s="118">
        <v>200000</v>
      </c>
      <c r="N478" s="119"/>
      <c r="O478" s="118">
        <v>36200</v>
      </c>
      <c r="P478" s="119"/>
      <c r="Q478" s="118">
        <v>20680</v>
      </c>
      <c r="R478" s="119"/>
      <c r="S478" s="118">
        <v>13200</v>
      </c>
      <c r="T478" s="119"/>
      <c r="U478" s="118">
        <f>SUM(K478:T479)</f>
        <v>2270080</v>
      </c>
      <c r="V478" s="119"/>
      <c r="W478" s="124"/>
      <c r="X478" s="127" t="s">
        <v>1966</v>
      </c>
      <c r="Y478" s="223"/>
      <c r="Z478" s="223"/>
      <c r="AA478" s="223"/>
      <c r="AB478" s="224"/>
      <c r="AC478" s="15" t="s">
        <v>20</v>
      </c>
      <c r="AD478" s="129" t="s">
        <v>1967</v>
      </c>
      <c r="AE478" s="130"/>
      <c r="AF478" s="130"/>
      <c r="AG478" s="130"/>
      <c r="AH478" s="130"/>
      <c r="AI478" s="131"/>
      <c r="AJ478" s="132"/>
      <c r="AK478" s="127"/>
      <c r="AL478" s="127"/>
      <c r="AM478" s="21" t="s">
        <v>1968</v>
      </c>
      <c r="AN478" s="133"/>
      <c r="AO478" s="134"/>
      <c r="AP478" s="135"/>
      <c r="AQ478" s="136"/>
      <c r="AR478" s="118"/>
      <c r="AS478" s="119"/>
      <c r="AT478" s="180">
        <f>AR478*0.1</f>
        <v>0</v>
      </c>
      <c r="AU478" s="181"/>
      <c r="AV478" s="118"/>
      <c r="AW478" s="119"/>
      <c r="AX478" s="118">
        <f>SUM(AR478:AW478)</f>
        <v>0</v>
      </c>
      <c r="AY478" s="119"/>
      <c r="AZ478" s="200"/>
    </row>
    <row r="479" spans="1:52" ht="17.100000000000001" customHeight="1" thickBot="1">
      <c r="A479" s="110"/>
      <c r="B479" s="27" t="s">
        <v>1859</v>
      </c>
      <c r="C479" s="27">
        <v>311</v>
      </c>
      <c r="D479" s="14" t="s">
        <v>1883</v>
      </c>
      <c r="E479" s="112"/>
      <c r="F479" s="139" t="s">
        <v>1969</v>
      </c>
      <c r="G479" s="140"/>
      <c r="H479" s="141"/>
      <c r="I479" s="26">
        <v>24881</v>
      </c>
      <c r="J479" s="117"/>
      <c r="K479" s="120"/>
      <c r="L479" s="121"/>
      <c r="M479" s="120"/>
      <c r="N479" s="121"/>
      <c r="O479" s="120"/>
      <c r="P479" s="121"/>
      <c r="Q479" s="120"/>
      <c r="R479" s="121"/>
      <c r="S479" s="120"/>
      <c r="T479" s="121"/>
      <c r="U479" s="120"/>
      <c r="V479" s="121"/>
      <c r="W479" s="125"/>
      <c r="X479" s="143" t="s">
        <v>1970</v>
      </c>
      <c r="Y479" s="143"/>
      <c r="Z479" s="143"/>
      <c r="AA479" s="143"/>
      <c r="AB479" s="144"/>
      <c r="AC479" s="16" t="s">
        <v>21</v>
      </c>
      <c r="AD479" s="17" t="s">
        <v>1971</v>
      </c>
      <c r="AE479" s="145" t="s">
        <v>1614</v>
      </c>
      <c r="AF479" s="146"/>
      <c r="AG479" s="146"/>
      <c r="AH479" s="146"/>
      <c r="AI479" s="147"/>
      <c r="AJ479" s="148"/>
      <c r="AK479" s="143"/>
      <c r="AL479" s="143"/>
      <c r="AM479" s="22" t="s">
        <v>51</v>
      </c>
      <c r="AN479" s="149"/>
      <c r="AO479" s="144"/>
      <c r="AP479" s="148"/>
      <c r="AQ479" s="144"/>
      <c r="AR479" s="120"/>
      <c r="AS479" s="121"/>
      <c r="AT479" s="120"/>
      <c r="AU479" s="182"/>
      <c r="AV479" s="120"/>
      <c r="AW479" s="121"/>
      <c r="AX479" s="120"/>
      <c r="AY479" s="121"/>
      <c r="AZ479" s="201"/>
    </row>
    <row r="480" spans="1:52" ht="17.100000000000001" customHeight="1" thickTop="1">
      <c r="A480" s="109" t="s">
        <v>5977</v>
      </c>
      <c r="B480" s="28">
        <v>44693</v>
      </c>
      <c r="C480" s="25">
        <v>1369</v>
      </c>
      <c r="D480" s="13" t="s">
        <v>1831</v>
      </c>
      <c r="E480" s="111"/>
      <c r="F480" s="113" t="s">
        <v>1972</v>
      </c>
      <c r="G480" s="273"/>
      <c r="H480" s="274"/>
      <c r="I480" s="24" t="s">
        <v>1906</v>
      </c>
      <c r="J480" s="116">
        <v>4.5</v>
      </c>
      <c r="K480" s="118">
        <v>1980000</v>
      </c>
      <c r="L480" s="119"/>
      <c r="M480" s="118">
        <v>198000</v>
      </c>
      <c r="N480" s="119"/>
      <c r="O480" s="118">
        <v>32900</v>
      </c>
      <c r="P480" s="119"/>
      <c r="Q480" s="118">
        <v>14750</v>
      </c>
      <c r="R480" s="119"/>
      <c r="S480" s="118">
        <v>13200</v>
      </c>
      <c r="T480" s="119"/>
      <c r="U480" s="118">
        <f>SUM(K480:T481)</f>
        <v>2238850</v>
      </c>
      <c r="V480" s="119"/>
      <c r="W480" s="124"/>
      <c r="X480" s="127" t="s">
        <v>1973</v>
      </c>
      <c r="Y480" s="223"/>
      <c r="Z480" s="223"/>
      <c r="AA480" s="223"/>
      <c r="AB480" s="224"/>
      <c r="AC480" s="15" t="s">
        <v>20</v>
      </c>
      <c r="AD480" s="129" t="s">
        <v>1639</v>
      </c>
      <c r="AE480" s="130"/>
      <c r="AF480" s="130"/>
      <c r="AG480" s="130"/>
      <c r="AH480" s="130"/>
      <c r="AI480" s="131"/>
      <c r="AJ480" s="132"/>
      <c r="AK480" s="127"/>
      <c r="AL480" s="127"/>
      <c r="AM480" s="21" t="s">
        <v>1974</v>
      </c>
      <c r="AN480" s="133"/>
      <c r="AO480" s="134"/>
      <c r="AP480" s="135"/>
      <c r="AQ480" s="136"/>
      <c r="AR480" s="118"/>
      <c r="AS480" s="119"/>
      <c r="AT480" s="180">
        <f>AR480*0.1</f>
        <v>0</v>
      </c>
      <c r="AU480" s="181"/>
      <c r="AV480" s="118"/>
      <c r="AW480" s="119"/>
      <c r="AX480" s="118">
        <f>SUM(AR480:AW480)</f>
        <v>0</v>
      </c>
      <c r="AY480" s="119"/>
      <c r="AZ480" s="200"/>
    </row>
    <row r="481" spans="1:52" ht="17.100000000000001" customHeight="1" thickBot="1">
      <c r="A481" s="110"/>
      <c r="B481" s="27" t="s">
        <v>1600</v>
      </c>
      <c r="C481" s="27">
        <v>75009</v>
      </c>
      <c r="D481" s="14" t="s">
        <v>1544</v>
      </c>
      <c r="E481" s="112"/>
      <c r="F481" s="139" t="s">
        <v>1975</v>
      </c>
      <c r="G481" s="140"/>
      <c r="H481" s="141"/>
      <c r="I481" s="26">
        <v>53562</v>
      </c>
      <c r="J481" s="117"/>
      <c r="K481" s="120"/>
      <c r="L481" s="121"/>
      <c r="M481" s="120"/>
      <c r="N481" s="121"/>
      <c r="O481" s="120"/>
      <c r="P481" s="121"/>
      <c r="Q481" s="120"/>
      <c r="R481" s="121"/>
      <c r="S481" s="120"/>
      <c r="T481" s="121"/>
      <c r="U481" s="120"/>
      <c r="V481" s="121"/>
      <c r="W481" s="125"/>
      <c r="X481" s="143" t="s">
        <v>1893</v>
      </c>
      <c r="Y481" s="143"/>
      <c r="Z481" s="143"/>
      <c r="AA481" s="143"/>
      <c r="AB481" s="144"/>
      <c r="AC481" s="16" t="s">
        <v>21</v>
      </c>
      <c r="AD481" s="17" t="s">
        <v>1976</v>
      </c>
      <c r="AE481" s="145" t="s">
        <v>1742</v>
      </c>
      <c r="AF481" s="146"/>
      <c r="AG481" s="146"/>
      <c r="AH481" s="146"/>
      <c r="AI481" s="147"/>
      <c r="AJ481" s="148"/>
      <c r="AK481" s="143"/>
      <c r="AL481" s="143"/>
      <c r="AM481" s="22"/>
      <c r="AN481" s="149"/>
      <c r="AO481" s="144"/>
      <c r="AP481" s="148"/>
      <c r="AQ481" s="144"/>
      <c r="AR481" s="120"/>
      <c r="AS481" s="121"/>
      <c r="AT481" s="120"/>
      <c r="AU481" s="182"/>
      <c r="AV481" s="120"/>
      <c r="AW481" s="121"/>
      <c r="AX481" s="120"/>
      <c r="AY481" s="121"/>
      <c r="AZ481" s="201"/>
    </row>
    <row r="482" spans="1:52" ht="17.100000000000001" customHeight="1" thickTop="1">
      <c r="A482" s="109" t="s">
        <v>5978</v>
      </c>
      <c r="B482" s="28">
        <v>44695</v>
      </c>
      <c r="C482" s="25">
        <v>1347</v>
      </c>
      <c r="D482" s="13" t="s">
        <v>1977</v>
      </c>
      <c r="E482" s="111" t="s">
        <v>1978</v>
      </c>
      <c r="F482" s="113" t="s">
        <v>1147</v>
      </c>
      <c r="G482" s="273"/>
      <c r="H482" s="274"/>
      <c r="I482" s="24"/>
      <c r="J482" s="116">
        <v>4</v>
      </c>
      <c r="K482" s="118">
        <v>2895000</v>
      </c>
      <c r="L482" s="119"/>
      <c r="M482" s="118">
        <v>289500</v>
      </c>
      <c r="N482" s="119"/>
      <c r="O482" s="118">
        <v>0</v>
      </c>
      <c r="P482" s="119"/>
      <c r="Q482" s="118">
        <v>17600</v>
      </c>
      <c r="R482" s="119"/>
      <c r="S482" s="118">
        <v>13200</v>
      </c>
      <c r="T482" s="119"/>
      <c r="U482" s="118">
        <f>SUM(K482:T483)</f>
        <v>3215300</v>
      </c>
      <c r="V482" s="119"/>
      <c r="W482" s="124"/>
      <c r="X482" s="127" t="s">
        <v>1979</v>
      </c>
      <c r="Y482" s="223"/>
      <c r="Z482" s="223"/>
      <c r="AA482" s="223"/>
      <c r="AB482" s="224"/>
      <c r="AC482" s="15" t="s">
        <v>20</v>
      </c>
      <c r="AD482" s="129" t="s">
        <v>1980</v>
      </c>
      <c r="AE482" s="130"/>
      <c r="AF482" s="130"/>
      <c r="AG482" s="130"/>
      <c r="AH482" s="130"/>
      <c r="AI482" s="131"/>
      <c r="AJ482" s="132"/>
      <c r="AK482" s="127"/>
      <c r="AL482" s="127"/>
      <c r="AM482" s="21"/>
      <c r="AN482" s="133"/>
      <c r="AO482" s="134"/>
      <c r="AP482" s="135"/>
      <c r="AQ482" s="136"/>
      <c r="AR482" s="118"/>
      <c r="AS482" s="119"/>
      <c r="AT482" s="180">
        <f>AR482*0.1</f>
        <v>0</v>
      </c>
      <c r="AU482" s="181"/>
      <c r="AV482" s="118"/>
      <c r="AW482" s="119"/>
      <c r="AX482" s="118">
        <f>SUM(AR482:AW482)</f>
        <v>0</v>
      </c>
      <c r="AY482" s="119"/>
      <c r="AZ482" s="200"/>
    </row>
    <row r="483" spans="1:52" ht="17.100000000000001" customHeight="1" thickBot="1">
      <c r="A483" s="110"/>
      <c r="B483" s="27" t="s">
        <v>1555</v>
      </c>
      <c r="C483" s="27">
        <v>83214</v>
      </c>
      <c r="D483" s="66" t="s">
        <v>1981</v>
      </c>
      <c r="E483" s="112"/>
      <c r="F483" s="139" t="s">
        <v>1982</v>
      </c>
      <c r="G483" s="140"/>
      <c r="H483" s="141"/>
      <c r="I483" s="26">
        <v>12632</v>
      </c>
      <c r="J483" s="117"/>
      <c r="K483" s="120"/>
      <c r="L483" s="121"/>
      <c r="M483" s="120"/>
      <c r="N483" s="121"/>
      <c r="O483" s="120"/>
      <c r="P483" s="121"/>
      <c r="Q483" s="120"/>
      <c r="R483" s="121"/>
      <c r="S483" s="120"/>
      <c r="T483" s="121"/>
      <c r="U483" s="120"/>
      <c r="V483" s="121"/>
      <c r="W483" s="125"/>
      <c r="X483" s="143" t="s">
        <v>1983</v>
      </c>
      <c r="Y483" s="143"/>
      <c r="Z483" s="143"/>
      <c r="AA483" s="143"/>
      <c r="AB483" s="144"/>
      <c r="AC483" s="16" t="s">
        <v>21</v>
      </c>
      <c r="AD483" s="17" t="s">
        <v>1984</v>
      </c>
      <c r="AE483" s="145" t="s">
        <v>1985</v>
      </c>
      <c r="AF483" s="146"/>
      <c r="AG483" s="146"/>
      <c r="AH483" s="146"/>
      <c r="AI483" s="147"/>
      <c r="AJ483" s="148"/>
      <c r="AK483" s="143"/>
      <c r="AL483" s="143"/>
      <c r="AM483" s="22"/>
      <c r="AN483" s="149"/>
      <c r="AO483" s="144"/>
      <c r="AP483" s="148"/>
      <c r="AQ483" s="144"/>
      <c r="AR483" s="120"/>
      <c r="AS483" s="121"/>
      <c r="AT483" s="120"/>
      <c r="AU483" s="182"/>
      <c r="AV483" s="120"/>
      <c r="AW483" s="121"/>
      <c r="AX483" s="120"/>
      <c r="AY483" s="121"/>
      <c r="AZ483" s="201"/>
    </row>
    <row r="484" spans="1:52" ht="17.100000000000001" customHeight="1" thickTop="1">
      <c r="A484" s="109" t="s">
        <v>5979</v>
      </c>
      <c r="B484" s="28">
        <v>44700</v>
      </c>
      <c r="C484" s="25">
        <v>1370</v>
      </c>
      <c r="D484" s="13" t="s">
        <v>1986</v>
      </c>
      <c r="E484" s="111" t="s">
        <v>166</v>
      </c>
      <c r="F484" s="113" t="s">
        <v>1987</v>
      </c>
      <c r="G484" s="273"/>
      <c r="H484" s="274"/>
      <c r="I484" s="24" t="s">
        <v>1988</v>
      </c>
      <c r="J484" s="116">
        <v>5</v>
      </c>
      <c r="K484" s="118">
        <v>9760000</v>
      </c>
      <c r="L484" s="119"/>
      <c r="M484" s="118">
        <v>976000</v>
      </c>
      <c r="N484" s="119"/>
      <c r="O484" s="118">
        <v>41600</v>
      </c>
      <c r="P484" s="119"/>
      <c r="Q484" s="118">
        <v>18090</v>
      </c>
      <c r="R484" s="119"/>
      <c r="S484" s="118">
        <v>13200</v>
      </c>
      <c r="T484" s="119"/>
      <c r="U484" s="118">
        <f>SUM(K484:T485)</f>
        <v>10808890</v>
      </c>
      <c r="V484" s="119"/>
      <c r="W484" s="124"/>
      <c r="X484" s="127" t="s">
        <v>1989</v>
      </c>
      <c r="Y484" s="223"/>
      <c r="Z484" s="223"/>
      <c r="AA484" s="223"/>
      <c r="AB484" s="224"/>
      <c r="AC484" s="15" t="s">
        <v>20</v>
      </c>
      <c r="AD484" s="129" t="s">
        <v>1565</v>
      </c>
      <c r="AE484" s="130"/>
      <c r="AF484" s="130"/>
      <c r="AG484" s="130"/>
      <c r="AH484" s="130"/>
      <c r="AI484" s="131"/>
      <c r="AJ484" s="132"/>
      <c r="AK484" s="127"/>
      <c r="AL484" s="127"/>
      <c r="AM484" s="21" t="s">
        <v>1990</v>
      </c>
      <c r="AN484" s="133"/>
      <c r="AO484" s="134"/>
      <c r="AP484" s="135"/>
      <c r="AQ484" s="136"/>
      <c r="AR484" s="118"/>
      <c r="AS484" s="119"/>
      <c r="AT484" s="180">
        <f>AR484*0.1</f>
        <v>0</v>
      </c>
      <c r="AU484" s="181"/>
      <c r="AV484" s="118"/>
      <c r="AW484" s="119"/>
      <c r="AX484" s="118">
        <f>SUM(AR484:AW484)</f>
        <v>0</v>
      </c>
      <c r="AY484" s="119"/>
      <c r="AZ484" s="200"/>
    </row>
    <row r="485" spans="1:52" ht="17.100000000000001" customHeight="1" thickBot="1">
      <c r="A485" s="110"/>
      <c r="B485" s="27" t="s">
        <v>1600</v>
      </c>
      <c r="C485" s="27">
        <v>75668</v>
      </c>
      <c r="D485" s="14" t="s">
        <v>1592</v>
      </c>
      <c r="E485" s="112"/>
      <c r="F485" s="139" t="s">
        <v>1991</v>
      </c>
      <c r="G485" s="140"/>
      <c r="H485" s="141"/>
      <c r="I485" s="26">
        <v>9800</v>
      </c>
      <c r="J485" s="117"/>
      <c r="K485" s="120"/>
      <c r="L485" s="121"/>
      <c r="M485" s="120"/>
      <c r="N485" s="121"/>
      <c r="O485" s="120"/>
      <c r="P485" s="121"/>
      <c r="Q485" s="120"/>
      <c r="R485" s="121"/>
      <c r="S485" s="120"/>
      <c r="T485" s="121"/>
      <c r="U485" s="120"/>
      <c r="V485" s="121"/>
      <c r="W485" s="125"/>
      <c r="X485" s="143" t="s">
        <v>1893</v>
      </c>
      <c r="Y485" s="143"/>
      <c r="Z485" s="143"/>
      <c r="AA485" s="143"/>
      <c r="AB485" s="144"/>
      <c r="AC485" s="16" t="s">
        <v>21</v>
      </c>
      <c r="AD485" s="17" t="s">
        <v>1984</v>
      </c>
      <c r="AE485" s="145" t="s">
        <v>1992</v>
      </c>
      <c r="AF485" s="146"/>
      <c r="AG485" s="146"/>
      <c r="AH485" s="146"/>
      <c r="AI485" s="147"/>
      <c r="AJ485" s="148"/>
      <c r="AK485" s="143"/>
      <c r="AL485" s="143"/>
      <c r="AM485" s="22"/>
      <c r="AN485" s="149"/>
      <c r="AO485" s="144"/>
      <c r="AP485" s="148"/>
      <c r="AQ485" s="144"/>
      <c r="AR485" s="120"/>
      <c r="AS485" s="121"/>
      <c r="AT485" s="120"/>
      <c r="AU485" s="182"/>
      <c r="AV485" s="120"/>
      <c r="AW485" s="121"/>
      <c r="AX485" s="120"/>
      <c r="AY485" s="121"/>
      <c r="AZ485" s="201"/>
    </row>
    <row r="486" spans="1:52" ht="17.100000000000001" customHeight="1" thickTop="1">
      <c r="A486" s="109" t="s">
        <v>5980</v>
      </c>
      <c r="B486" s="28">
        <v>44708</v>
      </c>
      <c r="C486" s="25">
        <v>1941</v>
      </c>
      <c r="D486" s="13" t="s">
        <v>1993</v>
      </c>
      <c r="E486" s="111"/>
      <c r="F486" s="113" t="s">
        <v>1994</v>
      </c>
      <c r="G486" s="273"/>
      <c r="H486" s="274"/>
      <c r="I486" s="24"/>
      <c r="J486" s="116">
        <v>4</v>
      </c>
      <c r="K486" s="118">
        <v>580000</v>
      </c>
      <c r="L486" s="119"/>
      <c r="M486" s="118">
        <v>58000</v>
      </c>
      <c r="N486" s="119"/>
      <c r="O486" s="118">
        <v>0</v>
      </c>
      <c r="P486" s="119"/>
      <c r="Q486" s="118">
        <v>15590</v>
      </c>
      <c r="R486" s="119"/>
      <c r="S486" s="118">
        <v>13200</v>
      </c>
      <c r="T486" s="119"/>
      <c r="U486" s="118">
        <f>SUM(K486:T487)</f>
        <v>666790</v>
      </c>
      <c r="V486" s="119"/>
      <c r="W486" s="124"/>
      <c r="X486" s="127" t="s">
        <v>1995</v>
      </c>
      <c r="Y486" s="223"/>
      <c r="Z486" s="223"/>
      <c r="AA486" s="223"/>
      <c r="AB486" s="224"/>
      <c r="AC486" s="15" t="s">
        <v>20</v>
      </c>
      <c r="AD486" s="129" t="s">
        <v>1670</v>
      </c>
      <c r="AE486" s="130"/>
      <c r="AF486" s="130"/>
      <c r="AG486" s="130"/>
      <c r="AH486" s="130"/>
      <c r="AI486" s="131"/>
      <c r="AJ486" s="132"/>
      <c r="AK486" s="127"/>
      <c r="AL486" s="127"/>
      <c r="AM486" s="21"/>
      <c r="AN486" s="133"/>
      <c r="AO486" s="134"/>
      <c r="AP486" s="135"/>
      <c r="AQ486" s="136"/>
      <c r="AR486" s="118"/>
      <c r="AS486" s="119"/>
      <c r="AT486" s="180">
        <f>AR486*0.1</f>
        <v>0</v>
      </c>
      <c r="AU486" s="181"/>
      <c r="AV486" s="118"/>
      <c r="AW486" s="119"/>
      <c r="AX486" s="118">
        <f>SUM(AR486:AW486)</f>
        <v>0</v>
      </c>
      <c r="AY486" s="119"/>
      <c r="AZ486" s="200"/>
    </row>
    <row r="487" spans="1:52" ht="17.100000000000001" customHeight="1" thickBot="1">
      <c r="A487" s="110"/>
      <c r="B487" s="27" t="s">
        <v>1543</v>
      </c>
      <c r="C487" s="27">
        <v>58169</v>
      </c>
      <c r="D487" s="14" t="s">
        <v>1883</v>
      </c>
      <c r="E487" s="112"/>
      <c r="F487" s="139" t="s">
        <v>1996</v>
      </c>
      <c r="G487" s="140"/>
      <c r="H487" s="141"/>
      <c r="I487" s="26">
        <v>65001</v>
      </c>
      <c r="J487" s="117"/>
      <c r="K487" s="120"/>
      <c r="L487" s="121"/>
      <c r="M487" s="120"/>
      <c r="N487" s="121"/>
      <c r="O487" s="120"/>
      <c r="P487" s="121"/>
      <c r="Q487" s="120"/>
      <c r="R487" s="121"/>
      <c r="S487" s="120"/>
      <c r="T487" s="121"/>
      <c r="U487" s="120"/>
      <c r="V487" s="121"/>
      <c r="W487" s="125"/>
      <c r="X487" s="143" t="s">
        <v>1997</v>
      </c>
      <c r="Y487" s="143"/>
      <c r="Z487" s="143"/>
      <c r="AA487" s="143"/>
      <c r="AB487" s="144"/>
      <c r="AC487" s="16" t="s">
        <v>21</v>
      </c>
      <c r="AD487" s="17" t="s">
        <v>1998</v>
      </c>
      <c r="AE487" s="145" t="s">
        <v>1633</v>
      </c>
      <c r="AF487" s="146"/>
      <c r="AG487" s="146"/>
      <c r="AH487" s="146"/>
      <c r="AI487" s="147"/>
      <c r="AJ487" s="148"/>
      <c r="AK487" s="143"/>
      <c r="AL487" s="143"/>
      <c r="AM487" s="22"/>
      <c r="AN487" s="149"/>
      <c r="AO487" s="144"/>
      <c r="AP487" s="148"/>
      <c r="AQ487" s="144"/>
      <c r="AR487" s="120"/>
      <c r="AS487" s="121"/>
      <c r="AT487" s="120"/>
      <c r="AU487" s="182"/>
      <c r="AV487" s="120"/>
      <c r="AW487" s="121"/>
      <c r="AX487" s="120"/>
      <c r="AY487" s="121"/>
      <c r="AZ487" s="201"/>
    </row>
    <row r="488" spans="1:52" ht="17.100000000000001" customHeight="1" thickTop="1">
      <c r="A488" s="109" t="s">
        <v>5981</v>
      </c>
      <c r="B488" s="28">
        <v>44712</v>
      </c>
      <c r="C488" s="25">
        <v>899</v>
      </c>
      <c r="D488" s="13" t="s">
        <v>1999</v>
      </c>
      <c r="E488" s="111"/>
      <c r="F488" s="113" t="s">
        <v>2000</v>
      </c>
      <c r="G488" s="273"/>
      <c r="H488" s="274"/>
      <c r="I488" s="24" t="s">
        <v>2001</v>
      </c>
      <c r="J488" s="116">
        <v>4</v>
      </c>
      <c r="K488" s="118">
        <v>2450000</v>
      </c>
      <c r="L488" s="119"/>
      <c r="M488" s="118">
        <v>245000</v>
      </c>
      <c r="N488" s="119"/>
      <c r="O488" s="118">
        <v>84300</v>
      </c>
      <c r="P488" s="119"/>
      <c r="Q488" s="118">
        <v>21580</v>
      </c>
      <c r="R488" s="119"/>
      <c r="S488" s="118">
        <v>13200</v>
      </c>
      <c r="T488" s="119"/>
      <c r="U488" s="118">
        <f>SUM(K488:T489)</f>
        <v>2814080</v>
      </c>
      <c r="V488" s="119"/>
      <c r="W488" s="124"/>
      <c r="X488" s="127" t="s">
        <v>2002</v>
      </c>
      <c r="Y488" s="223"/>
      <c r="Z488" s="223"/>
      <c r="AA488" s="223"/>
      <c r="AB488" s="224"/>
      <c r="AC488" s="15" t="s">
        <v>20</v>
      </c>
      <c r="AD488" s="129" t="s">
        <v>2003</v>
      </c>
      <c r="AE488" s="130"/>
      <c r="AF488" s="130"/>
      <c r="AG488" s="130"/>
      <c r="AH488" s="130"/>
      <c r="AI488" s="131"/>
      <c r="AJ488" s="132"/>
      <c r="AK488" s="127"/>
      <c r="AL488" s="127"/>
      <c r="AM488" s="21" t="s">
        <v>2004</v>
      </c>
      <c r="AN488" s="133">
        <v>46009</v>
      </c>
      <c r="AO488" s="134"/>
      <c r="AP488" s="135"/>
      <c r="AQ488" s="136"/>
      <c r="AR488" s="118">
        <v>3458000</v>
      </c>
      <c r="AS488" s="119"/>
      <c r="AT488" s="180">
        <f>AR488*0.1</f>
        <v>345800</v>
      </c>
      <c r="AU488" s="181"/>
      <c r="AV488" s="118">
        <v>21580</v>
      </c>
      <c r="AW488" s="119"/>
      <c r="AX488" s="118">
        <f>SUM(AR488:AW488)</f>
        <v>3825380</v>
      </c>
      <c r="AY488" s="119"/>
      <c r="AZ488" s="200"/>
    </row>
    <row r="489" spans="1:52" ht="17.100000000000001" customHeight="1" thickBot="1">
      <c r="A489" s="110"/>
      <c r="B489" s="27" t="s">
        <v>1591</v>
      </c>
      <c r="C489" s="27">
        <v>84191</v>
      </c>
      <c r="D489" s="14" t="s">
        <v>275</v>
      </c>
      <c r="E489" s="112"/>
      <c r="F489" s="139" t="s">
        <v>2005</v>
      </c>
      <c r="G489" s="140"/>
      <c r="H489" s="141"/>
      <c r="I489" s="26">
        <v>39648</v>
      </c>
      <c r="J489" s="117"/>
      <c r="K489" s="120"/>
      <c r="L489" s="121"/>
      <c r="M489" s="120"/>
      <c r="N489" s="121"/>
      <c r="O489" s="120"/>
      <c r="P489" s="121"/>
      <c r="Q489" s="120"/>
      <c r="R489" s="121"/>
      <c r="S489" s="120"/>
      <c r="T489" s="121"/>
      <c r="U489" s="120"/>
      <c r="V489" s="121"/>
      <c r="W489" s="125"/>
      <c r="X489" s="143" t="s">
        <v>2006</v>
      </c>
      <c r="Y489" s="143"/>
      <c r="Z489" s="143"/>
      <c r="AA489" s="143"/>
      <c r="AB489" s="144"/>
      <c r="AC489" s="16" t="s">
        <v>21</v>
      </c>
      <c r="AD489" s="17" t="s">
        <v>1988</v>
      </c>
      <c r="AE489" s="145" t="s">
        <v>2007</v>
      </c>
      <c r="AF489" s="146"/>
      <c r="AG489" s="146"/>
      <c r="AH489" s="146"/>
      <c r="AI489" s="147"/>
      <c r="AJ489" s="148"/>
      <c r="AK489" s="143"/>
      <c r="AL489" s="143"/>
      <c r="AM489" s="22" t="s">
        <v>108</v>
      </c>
      <c r="AN489" s="149" t="s">
        <v>6789</v>
      </c>
      <c r="AO489" s="144"/>
      <c r="AP489" s="148">
        <v>52071</v>
      </c>
      <c r="AQ489" s="144"/>
      <c r="AR489" s="120"/>
      <c r="AS489" s="121"/>
      <c r="AT489" s="120"/>
      <c r="AU489" s="182"/>
      <c r="AV489" s="120"/>
      <c r="AW489" s="121"/>
      <c r="AX489" s="120"/>
      <c r="AY489" s="121"/>
      <c r="AZ489" s="201"/>
    </row>
    <row r="490" spans="1:52" ht="17.100000000000001" customHeight="1" thickTop="1">
      <c r="A490" s="109" t="s">
        <v>5982</v>
      </c>
      <c r="B490" s="28">
        <v>44715</v>
      </c>
      <c r="C490" s="25">
        <v>1942</v>
      </c>
      <c r="D490" s="13" t="s">
        <v>1572</v>
      </c>
      <c r="E490" s="111"/>
      <c r="F490" s="113" t="s">
        <v>2008</v>
      </c>
      <c r="G490" s="273"/>
      <c r="H490" s="274"/>
      <c r="I490" s="24" t="s">
        <v>2009</v>
      </c>
      <c r="J490" s="116">
        <v>4.5</v>
      </c>
      <c r="K490" s="118">
        <v>2255000</v>
      </c>
      <c r="L490" s="119"/>
      <c r="M490" s="118">
        <v>225500</v>
      </c>
      <c r="N490" s="119"/>
      <c r="O490" s="118">
        <v>29600</v>
      </c>
      <c r="P490" s="119"/>
      <c r="Q490" s="118">
        <v>21090</v>
      </c>
      <c r="R490" s="119"/>
      <c r="S490" s="118">
        <v>13200</v>
      </c>
      <c r="T490" s="119"/>
      <c r="U490" s="118">
        <f>SUM(K490:T491)</f>
        <v>2544390</v>
      </c>
      <c r="V490" s="119"/>
      <c r="W490" s="124"/>
      <c r="X490" s="127" t="s">
        <v>2010</v>
      </c>
      <c r="Y490" s="223"/>
      <c r="Z490" s="223"/>
      <c r="AA490" s="223"/>
      <c r="AB490" s="224"/>
      <c r="AC490" s="15" t="s">
        <v>20</v>
      </c>
      <c r="AD490" s="129" t="s">
        <v>1797</v>
      </c>
      <c r="AE490" s="130"/>
      <c r="AF490" s="130"/>
      <c r="AG490" s="130"/>
      <c r="AH490" s="130"/>
      <c r="AI490" s="131"/>
      <c r="AJ490" s="132"/>
      <c r="AK490" s="127"/>
      <c r="AL490" s="127"/>
      <c r="AM490" s="21" t="s">
        <v>2011</v>
      </c>
      <c r="AN490" s="133"/>
      <c r="AO490" s="134"/>
      <c r="AP490" s="135"/>
      <c r="AQ490" s="136"/>
      <c r="AR490" s="118"/>
      <c r="AS490" s="119"/>
      <c r="AT490" s="180">
        <f>AR490*0.1</f>
        <v>0</v>
      </c>
      <c r="AU490" s="181"/>
      <c r="AV490" s="118"/>
      <c r="AW490" s="119"/>
      <c r="AX490" s="118">
        <f>SUM(AR490:AW490)</f>
        <v>0</v>
      </c>
      <c r="AY490" s="119"/>
      <c r="AZ490" s="200"/>
    </row>
    <row r="491" spans="1:52" ht="17.100000000000001" customHeight="1" thickBot="1">
      <c r="A491" s="110"/>
      <c r="B491" s="27" t="s">
        <v>1543</v>
      </c>
      <c r="C491" s="27">
        <v>58443</v>
      </c>
      <c r="D491" s="14" t="s">
        <v>1883</v>
      </c>
      <c r="E491" s="112"/>
      <c r="F491" s="139" t="s">
        <v>2012</v>
      </c>
      <c r="G491" s="140"/>
      <c r="H491" s="141"/>
      <c r="I491" s="26">
        <v>51266</v>
      </c>
      <c r="J491" s="117"/>
      <c r="K491" s="120"/>
      <c r="L491" s="121"/>
      <c r="M491" s="120"/>
      <c r="N491" s="121"/>
      <c r="O491" s="120"/>
      <c r="P491" s="121"/>
      <c r="Q491" s="120"/>
      <c r="R491" s="121"/>
      <c r="S491" s="120"/>
      <c r="T491" s="121"/>
      <c r="U491" s="120"/>
      <c r="V491" s="121"/>
      <c r="W491" s="125"/>
      <c r="X491" s="143" t="s">
        <v>2013</v>
      </c>
      <c r="Y491" s="143"/>
      <c r="Z491" s="143"/>
      <c r="AA491" s="143"/>
      <c r="AB491" s="144"/>
      <c r="AC491" s="16" t="s">
        <v>21</v>
      </c>
      <c r="AD491" s="17" t="s">
        <v>2014</v>
      </c>
      <c r="AE491" s="145" t="s">
        <v>2015</v>
      </c>
      <c r="AF491" s="146"/>
      <c r="AG491" s="146"/>
      <c r="AH491" s="146"/>
      <c r="AI491" s="147"/>
      <c r="AJ491" s="148"/>
      <c r="AK491" s="143"/>
      <c r="AL491" s="143"/>
      <c r="AM491" s="22" t="s">
        <v>108</v>
      </c>
      <c r="AN491" s="149"/>
      <c r="AO491" s="144"/>
      <c r="AP491" s="148"/>
      <c r="AQ491" s="144"/>
      <c r="AR491" s="120"/>
      <c r="AS491" s="121"/>
      <c r="AT491" s="120"/>
      <c r="AU491" s="182"/>
      <c r="AV491" s="120"/>
      <c r="AW491" s="121"/>
      <c r="AX491" s="120"/>
      <c r="AY491" s="121"/>
      <c r="AZ491" s="201"/>
    </row>
    <row r="492" spans="1:52" ht="17.100000000000001" customHeight="1" thickTop="1">
      <c r="A492" s="109" t="s">
        <v>5983</v>
      </c>
      <c r="B492" s="28">
        <v>44722</v>
      </c>
      <c r="C492" s="25">
        <v>1943</v>
      </c>
      <c r="D492" s="13" t="s">
        <v>1870</v>
      </c>
      <c r="E492" s="111" t="s">
        <v>1978</v>
      </c>
      <c r="F492" s="113" t="s">
        <v>2016</v>
      </c>
      <c r="G492" s="273"/>
      <c r="H492" s="274"/>
      <c r="I492" s="24"/>
      <c r="J492" s="116">
        <v>4.5</v>
      </c>
      <c r="K492" s="118">
        <v>1200000</v>
      </c>
      <c r="L492" s="119"/>
      <c r="M492" s="118">
        <v>120000</v>
      </c>
      <c r="N492" s="119"/>
      <c r="O492" s="118">
        <v>0</v>
      </c>
      <c r="P492" s="119"/>
      <c r="Q492" s="118">
        <v>17490</v>
      </c>
      <c r="R492" s="119"/>
      <c r="S492" s="118">
        <v>24200</v>
      </c>
      <c r="T492" s="119"/>
      <c r="U492" s="118">
        <f>SUM(K492:T493)</f>
        <v>1361690</v>
      </c>
      <c r="V492" s="119"/>
      <c r="W492" s="124"/>
      <c r="X492" s="127" t="s">
        <v>2017</v>
      </c>
      <c r="Y492" s="223"/>
      <c r="Z492" s="223"/>
      <c r="AA492" s="223"/>
      <c r="AB492" s="224"/>
      <c r="AC492" s="15" t="s">
        <v>20</v>
      </c>
      <c r="AD492" s="129" t="s">
        <v>1670</v>
      </c>
      <c r="AE492" s="130"/>
      <c r="AF492" s="130"/>
      <c r="AG492" s="130"/>
      <c r="AH492" s="130"/>
      <c r="AI492" s="131"/>
      <c r="AJ492" s="132"/>
      <c r="AK492" s="127"/>
      <c r="AL492" s="127"/>
      <c r="AM492" s="21"/>
      <c r="AN492" s="133"/>
      <c r="AO492" s="134"/>
      <c r="AP492" s="135"/>
      <c r="AQ492" s="136"/>
      <c r="AR492" s="118"/>
      <c r="AS492" s="119"/>
      <c r="AT492" s="180">
        <f>AR492*0.1</f>
        <v>0</v>
      </c>
      <c r="AU492" s="181"/>
      <c r="AV492" s="118"/>
      <c r="AW492" s="119"/>
      <c r="AX492" s="118">
        <f>SUM(AR492:AW492)</f>
        <v>0</v>
      </c>
      <c r="AY492" s="119"/>
      <c r="AZ492" s="200"/>
    </row>
    <row r="493" spans="1:52" ht="17.100000000000001" customHeight="1" thickBot="1">
      <c r="A493" s="110"/>
      <c r="B493" s="27" t="s">
        <v>1543</v>
      </c>
      <c r="C493" s="27">
        <v>58068</v>
      </c>
      <c r="D493" s="14" t="s">
        <v>1834</v>
      </c>
      <c r="E493" s="112"/>
      <c r="F493" s="139" t="s">
        <v>2018</v>
      </c>
      <c r="G493" s="140"/>
      <c r="H493" s="141"/>
      <c r="I493" s="26">
        <v>54457</v>
      </c>
      <c r="J493" s="117"/>
      <c r="K493" s="120"/>
      <c r="L493" s="121"/>
      <c r="M493" s="120"/>
      <c r="N493" s="121"/>
      <c r="O493" s="120"/>
      <c r="P493" s="121"/>
      <c r="Q493" s="120"/>
      <c r="R493" s="121"/>
      <c r="S493" s="120"/>
      <c r="T493" s="121"/>
      <c r="U493" s="120"/>
      <c r="V493" s="121"/>
      <c r="W493" s="125"/>
      <c r="X493" s="143" t="s">
        <v>2019</v>
      </c>
      <c r="Y493" s="143"/>
      <c r="Z493" s="143"/>
      <c r="AA493" s="143"/>
      <c r="AB493" s="144"/>
      <c r="AC493" s="16" t="s">
        <v>21</v>
      </c>
      <c r="AD493" s="17" t="s">
        <v>2020</v>
      </c>
      <c r="AE493" s="145" t="s">
        <v>2021</v>
      </c>
      <c r="AF493" s="146"/>
      <c r="AG493" s="146"/>
      <c r="AH493" s="146"/>
      <c r="AI493" s="147"/>
      <c r="AJ493" s="148"/>
      <c r="AK493" s="143"/>
      <c r="AL493" s="143"/>
      <c r="AM493" s="22"/>
      <c r="AN493" s="149"/>
      <c r="AO493" s="144"/>
      <c r="AP493" s="148"/>
      <c r="AQ493" s="144"/>
      <c r="AR493" s="120"/>
      <c r="AS493" s="121"/>
      <c r="AT493" s="120"/>
      <c r="AU493" s="182"/>
      <c r="AV493" s="120"/>
      <c r="AW493" s="121"/>
      <c r="AX493" s="120"/>
      <c r="AY493" s="121"/>
      <c r="AZ493" s="201"/>
    </row>
    <row r="494" spans="1:52" ht="17.100000000000001" customHeight="1" thickTop="1">
      <c r="A494" s="109" t="s">
        <v>5984</v>
      </c>
      <c r="B494" s="28">
        <v>44722</v>
      </c>
      <c r="C494" s="25">
        <v>1943</v>
      </c>
      <c r="D494" s="13" t="s">
        <v>2022</v>
      </c>
      <c r="E494" s="111"/>
      <c r="F494" s="113" t="s">
        <v>1616</v>
      </c>
      <c r="G494" s="273"/>
      <c r="H494" s="274"/>
      <c r="I494" s="24" t="s">
        <v>2023</v>
      </c>
      <c r="J494" s="116">
        <v>4</v>
      </c>
      <c r="K494" s="118">
        <v>1330000</v>
      </c>
      <c r="L494" s="119"/>
      <c r="M494" s="118">
        <v>133000</v>
      </c>
      <c r="N494" s="119"/>
      <c r="O494" s="118">
        <v>25800</v>
      </c>
      <c r="P494" s="119"/>
      <c r="Q494" s="118">
        <v>17250</v>
      </c>
      <c r="R494" s="119"/>
      <c r="S494" s="118">
        <v>13200</v>
      </c>
      <c r="T494" s="119"/>
      <c r="U494" s="118">
        <f>SUM(K494:T495)</f>
        <v>1519250</v>
      </c>
      <c r="V494" s="119"/>
      <c r="W494" s="124"/>
      <c r="X494" s="127" t="s">
        <v>2024</v>
      </c>
      <c r="Y494" s="223"/>
      <c r="Z494" s="223"/>
      <c r="AA494" s="223"/>
      <c r="AB494" s="224"/>
      <c r="AC494" s="15" t="s">
        <v>20</v>
      </c>
      <c r="AD494" s="129" t="s">
        <v>186</v>
      </c>
      <c r="AE494" s="130"/>
      <c r="AF494" s="130"/>
      <c r="AG494" s="130"/>
      <c r="AH494" s="130"/>
      <c r="AI494" s="131"/>
      <c r="AJ494" s="282" t="s">
        <v>1618</v>
      </c>
      <c r="AK494" s="127"/>
      <c r="AL494" s="127"/>
      <c r="AM494" s="21" t="s">
        <v>2025</v>
      </c>
      <c r="AN494" s="133"/>
      <c r="AO494" s="134"/>
      <c r="AP494" s="135"/>
      <c r="AQ494" s="136"/>
      <c r="AR494" s="118"/>
      <c r="AS494" s="119"/>
      <c r="AT494" s="180">
        <f>AR494*0.1</f>
        <v>0</v>
      </c>
      <c r="AU494" s="181"/>
      <c r="AV494" s="118"/>
      <c r="AW494" s="119"/>
      <c r="AX494" s="118">
        <f>SUM(AR494:AW494)</f>
        <v>0</v>
      </c>
      <c r="AY494" s="119"/>
      <c r="AZ494" s="200"/>
    </row>
    <row r="495" spans="1:52" ht="17.100000000000001" customHeight="1" thickBot="1">
      <c r="A495" s="110"/>
      <c r="B495" s="27" t="s">
        <v>1543</v>
      </c>
      <c r="C495" s="27">
        <v>58299</v>
      </c>
      <c r="D495" s="14" t="s">
        <v>1812</v>
      </c>
      <c r="E495" s="112"/>
      <c r="F495" s="139" t="s">
        <v>2026</v>
      </c>
      <c r="G495" s="140"/>
      <c r="H495" s="141"/>
      <c r="I495" s="26">
        <v>36133</v>
      </c>
      <c r="J495" s="117"/>
      <c r="K495" s="120"/>
      <c r="L495" s="121"/>
      <c r="M495" s="120"/>
      <c r="N495" s="121"/>
      <c r="O495" s="120"/>
      <c r="P495" s="121"/>
      <c r="Q495" s="120"/>
      <c r="R495" s="121"/>
      <c r="S495" s="120"/>
      <c r="T495" s="121"/>
      <c r="U495" s="120"/>
      <c r="V495" s="121"/>
      <c r="W495" s="125"/>
      <c r="X495" s="143" t="s">
        <v>2027</v>
      </c>
      <c r="Y495" s="143"/>
      <c r="Z495" s="143"/>
      <c r="AA495" s="143"/>
      <c r="AB495" s="144"/>
      <c r="AC495" s="16" t="s">
        <v>21</v>
      </c>
      <c r="AD495" s="17" t="s">
        <v>2028</v>
      </c>
      <c r="AE495" s="145" t="s">
        <v>2029</v>
      </c>
      <c r="AF495" s="146"/>
      <c r="AG495" s="146"/>
      <c r="AH495" s="146"/>
      <c r="AI495" s="147"/>
      <c r="AJ495" s="148"/>
      <c r="AK495" s="143"/>
      <c r="AL495" s="143"/>
      <c r="AM495" s="22" t="s">
        <v>1296</v>
      </c>
      <c r="AN495" s="149"/>
      <c r="AO495" s="144"/>
      <c r="AP495" s="148"/>
      <c r="AQ495" s="144"/>
      <c r="AR495" s="120"/>
      <c r="AS495" s="121"/>
      <c r="AT495" s="120"/>
      <c r="AU495" s="182"/>
      <c r="AV495" s="120"/>
      <c r="AW495" s="121"/>
      <c r="AX495" s="120"/>
      <c r="AY495" s="121"/>
      <c r="AZ495" s="201"/>
    </row>
    <row r="496" spans="1:52" ht="17.100000000000001" customHeight="1" thickTop="1">
      <c r="A496" s="109" t="s">
        <v>5985</v>
      </c>
      <c r="B496" s="28">
        <v>44726</v>
      </c>
      <c r="C496" s="25">
        <v>901</v>
      </c>
      <c r="D496" s="13" t="s">
        <v>1803</v>
      </c>
      <c r="E496" s="111"/>
      <c r="F496" s="113" t="s">
        <v>2030</v>
      </c>
      <c r="G496" s="273"/>
      <c r="H496" s="274"/>
      <c r="I496" s="24"/>
      <c r="J496" s="116">
        <v>4</v>
      </c>
      <c r="K496" s="118">
        <v>3100000</v>
      </c>
      <c r="L496" s="119"/>
      <c r="M496" s="118">
        <v>310000</v>
      </c>
      <c r="N496" s="119"/>
      <c r="O496" s="118">
        <v>0</v>
      </c>
      <c r="P496" s="119"/>
      <c r="Q496" s="118">
        <v>22210</v>
      </c>
      <c r="R496" s="119"/>
      <c r="S496" s="118">
        <v>13200</v>
      </c>
      <c r="T496" s="119"/>
      <c r="U496" s="118">
        <f>SUM(K496:T497)</f>
        <v>3445410</v>
      </c>
      <c r="V496" s="119"/>
      <c r="W496" s="124"/>
      <c r="X496" s="127" t="s">
        <v>2031</v>
      </c>
      <c r="Y496" s="223"/>
      <c r="Z496" s="223"/>
      <c r="AA496" s="223"/>
      <c r="AB496" s="224"/>
      <c r="AC496" s="15" t="s">
        <v>20</v>
      </c>
      <c r="AD496" s="129" t="s">
        <v>79</v>
      </c>
      <c r="AE496" s="130"/>
      <c r="AF496" s="130"/>
      <c r="AG496" s="130"/>
      <c r="AH496" s="130"/>
      <c r="AI496" s="131"/>
      <c r="AJ496" s="132"/>
      <c r="AK496" s="127"/>
      <c r="AL496" s="127"/>
      <c r="AM496" s="21"/>
      <c r="AN496" s="133"/>
      <c r="AO496" s="134"/>
      <c r="AP496" s="135"/>
      <c r="AQ496" s="136"/>
      <c r="AR496" s="118"/>
      <c r="AS496" s="119"/>
      <c r="AT496" s="180">
        <f>AR496*0.1</f>
        <v>0</v>
      </c>
      <c r="AU496" s="181"/>
      <c r="AV496" s="118"/>
      <c r="AW496" s="119"/>
      <c r="AX496" s="118">
        <f>SUM(AR496:AW496)</f>
        <v>0</v>
      </c>
      <c r="AY496" s="119"/>
      <c r="AZ496" s="200"/>
    </row>
    <row r="497" spans="1:52" ht="17.100000000000001" customHeight="1" thickBot="1">
      <c r="A497" s="110"/>
      <c r="B497" s="27" t="s">
        <v>1591</v>
      </c>
      <c r="C497" s="27">
        <v>82053</v>
      </c>
      <c r="D497" s="14" t="s">
        <v>275</v>
      </c>
      <c r="E497" s="112"/>
      <c r="F497" s="139" t="s">
        <v>2032</v>
      </c>
      <c r="G497" s="140"/>
      <c r="H497" s="141"/>
      <c r="I497" s="26">
        <v>34192</v>
      </c>
      <c r="J497" s="117"/>
      <c r="K497" s="120"/>
      <c r="L497" s="121"/>
      <c r="M497" s="120"/>
      <c r="N497" s="121"/>
      <c r="O497" s="120"/>
      <c r="P497" s="121"/>
      <c r="Q497" s="120"/>
      <c r="R497" s="121"/>
      <c r="S497" s="120"/>
      <c r="T497" s="121"/>
      <c r="U497" s="120"/>
      <c r="V497" s="121"/>
      <c r="W497" s="125"/>
      <c r="X497" s="143" t="s">
        <v>2033</v>
      </c>
      <c r="Y497" s="143"/>
      <c r="Z497" s="143"/>
      <c r="AA497" s="143"/>
      <c r="AB497" s="144"/>
      <c r="AC497" s="16" t="s">
        <v>21</v>
      </c>
      <c r="AD497" s="17" t="s">
        <v>2034</v>
      </c>
      <c r="AE497" s="145" t="s">
        <v>2015</v>
      </c>
      <c r="AF497" s="146"/>
      <c r="AG497" s="146"/>
      <c r="AH497" s="146"/>
      <c r="AI497" s="147"/>
      <c r="AJ497" s="148"/>
      <c r="AK497" s="143"/>
      <c r="AL497" s="143"/>
      <c r="AM497" s="22"/>
      <c r="AN497" s="149"/>
      <c r="AO497" s="144"/>
      <c r="AP497" s="148"/>
      <c r="AQ497" s="144"/>
      <c r="AR497" s="120"/>
      <c r="AS497" s="121"/>
      <c r="AT497" s="120"/>
      <c r="AU497" s="182"/>
      <c r="AV497" s="120"/>
      <c r="AW497" s="121"/>
      <c r="AX497" s="120"/>
      <c r="AY497" s="121"/>
      <c r="AZ497" s="201"/>
    </row>
    <row r="498" spans="1:52" ht="17.100000000000001" customHeight="1" thickTop="1">
      <c r="A498" s="109" t="s">
        <v>5986</v>
      </c>
      <c r="B498" s="28">
        <v>44742</v>
      </c>
      <c r="C498" s="25">
        <v>1836</v>
      </c>
      <c r="D498" s="13" t="s">
        <v>1839</v>
      </c>
      <c r="E498" s="111"/>
      <c r="F498" s="113" t="s">
        <v>2035</v>
      </c>
      <c r="G498" s="273"/>
      <c r="H498" s="274"/>
      <c r="I498" s="24" t="s">
        <v>2036</v>
      </c>
      <c r="J498" s="116">
        <v>3</v>
      </c>
      <c r="K498" s="118">
        <v>690000</v>
      </c>
      <c r="L498" s="119"/>
      <c r="M498" s="118">
        <v>69000</v>
      </c>
      <c r="N498" s="119"/>
      <c r="O498" s="118">
        <v>0</v>
      </c>
      <c r="P498" s="119"/>
      <c r="Q498" s="118">
        <v>9910</v>
      </c>
      <c r="R498" s="119"/>
      <c r="S498" s="118">
        <v>19800</v>
      </c>
      <c r="T498" s="119"/>
      <c r="U498" s="118">
        <f>SUM(K498:T499)</f>
        <v>788710</v>
      </c>
      <c r="V498" s="119"/>
      <c r="W498" s="124"/>
      <c r="X498" s="127" t="s">
        <v>2037</v>
      </c>
      <c r="Y498" s="223"/>
      <c r="Z498" s="223"/>
      <c r="AA498" s="223"/>
      <c r="AB498" s="224"/>
      <c r="AC498" s="15" t="s">
        <v>20</v>
      </c>
      <c r="AD498" s="129" t="s">
        <v>1639</v>
      </c>
      <c r="AE498" s="130"/>
      <c r="AF498" s="130"/>
      <c r="AG498" s="130"/>
      <c r="AH498" s="130"/>
      <c r="AI498" s="131"/>
      <c r="AJ498" s="132"/>
      <c r="AK498" s="127"/>
      <c r="AL498" s="127"/>
      <c r="AM498" s="21" t="s">
        <v>2038</v>
      </c>
      <c r="AN498" s="133"/>
      <c r="AO498" s="134"/>
      <c r="AP498" s="135"/>
      <c r="AQ498" s="136"/>
      <c r="AR498" s="118"/>
      <c r="AS498" s="119"/>
      <c r="AT498" s="180">
        <f>AR498*0.1</f>
        <v>0</v>
      </c>
      <c r="AU498" s="181"/>
      <c r="AV498" s="118"/>
      <c r="AW498" s="119"/>
      <c r="AX498" s="118">
        <f>SUM(AR498:AW498)</f>
        <v>0</v>
      </c>
      <c r="AY498" s="119"/>
      <c r="AZ498" s="200"/>
    </row>
    <row r="499" spans="1:52" ht="17.100000000000001" customHeight="1" thickBot="1">
      <c r="A499" s="110"/>
      <c r="B499" s="27" t="s">
        <v>2039</v>
      </c>
      <c r="C499" s="27">
        <v>50292</v>
      </c>
      <c r="D499" s="14" t="s">
        <v>2040</v>
      </c>
      <c r="E499" s="112"/>
      <c r="F499" s="139" t="s">
        <v>2041</v>
      </c>
      <c r="G499" s="140"/>
      <c r="H499" s="141"/>
      <c r="I499" s="26">
        <v>57836</v>
      </c>
      <c r="J499" s="117"/>
      <c r="K499" s="120"/>
      <c r="L499" s="121"/>
      <c r="M499" s="120"/>
      <c r="N499" s="121"/>
      <c r="O499" s="120"/>
      <c r="P499" s="121"/>
      <c r="Q499" s="120"/>
      <c r="R499" s="121"/>
      <c r="S499" s="120"/>
      <c r="T499" s="121"/>
      <c r="U499" s="120"/>
      <c r="V499" s="121"/>
      <c r="W499" s="125"/>
      <c r="X499" s="143" t="s">
        <v>2042</v>
      </c>
      <c r="Y499" s="143"/>
      <c r="Z499" s="143"/>
      <c r="AA499" s="143"/>
      <c r="AB499" s="144"/>
      <c r="AC499" s="16" t="s">
        <v>21</v>
      </c>
      <c r="AD499" s="17" t="s">
        <v>2043</v>
      </c>
      <c r="AE499" s="145" t="s">
        <v>2044</v>
      </c>
      <c r="AF499" s="146"/>
      <c r="AG499" s="146"/>
      <c r="AH499" s="146"/>
      <c r="AI499" s="147"/>
      <c r="AJ499" s="148"/>
      <c r="AK499" s="143"/>
      <c r="AL499" s="143"/>
      <c r="AM499" s="22"/>
      <c r="AN499" s="149"/>
      <c r="AO499" s="144"/>
      <c r="AP499" s="148"/>
      <c r="AQ499" s="144"/>
      <c r="AR499" s="120"/>
      <c r="AS499" s="121"/>
      <c r="AT499" s="120"/>
      <c r="AU499" s="182"/>
      <c r="AV499" s="120"/>
      <c r="AW499" s="121"/>
      <c r="AX499" s="120"/>
      <c r="AY499" s="121"/>
      <c r="AZ499" s="201"/>
    </row>
    <row r="500" spans="1:52" ht="17.100000000000001" customHeight="1" thickTop="1">
      <c r="A500" s="109" t="s">
        <v>5987</v>
      </c>
      <c r="B500" s="28">
        <v>44750</v>
      </c>
      <c r="C500" s="25">
        <v>1947</v>
      </c>
      <c r="D500" s="13" t="s">
        <v>1686</v>
      </c>
      <c r="E500" s="111"/>
      <c r="F500" s="113" t="s">
        <v>2030</v>
      </c>
      <c r="G500" s="273"/>
      <c r="H500" s="274"/>
      <c r="I500" s="24" t="s">
        <v>2045</v>
      </c>
      <c r="J500" s="116">
        <v>4.5</v>
      </c>
      <c r="K500" s="118">
        <v>3115000</v>
      </c>
      <c r="L500" s="119"/>
      <c r="M500" s="118">
        <v>311500</v>
      </c>
      <c r="N500" s="119"/>
      <c r="O500" s="118">
        <v>26300</v>
      </c>
      <c r="P500" s="119"/>
      <c r="Q500" s="118">
        <v>22210</v>
      </c>
      <c r="R500" s="119"/>
      <c r="S500" s="118">
        <v>13200</v>
      </c>
      <c r="T500" s="119"/>
      <c r="U500" s="118">
        <f>SUM(K500:T501)</f>
        <v>3488210</v>
      </c>
      <c r="V500" s="119"/>
      <c r="W500" s="124"/>
      <c r="X500" s="127" t="s">
        <v>2046</v>
      </c>
      <c r="Y500" s="223"/>
      <c r="Z500" s="223"/>
      <c r="AA500" s="223"/>
      <c r="AB500" s="224"/>
      <c r="AC500" s="15" t="s">
        <v>20</v>
      </c>
      <c r="AD500" s="129" t="s">
        <v>1670</v>
      </c>
      <c r="AE500" s="130"/>
      <c r="AF500" s="130"/>
      <c r="AG500" s="130"/>
      <c r="AH500" s="130"/>
      <c r="AI500" s="131"/>
      <c r="AJ500" s="132"/>
      <c r="AK500" s="127"/>
      <c r="AL500" s="127"/>
      <c r="AM500" s="21" t="s">
        <v>2047</v>
      </c>
      <c r="AN500" s="133"/>
      <c r="AO500" s="134"/>
      <c r="AP500" s="135"/>
      <c r="AQ500" s="136"/>
      <c r="AR500" s="118"/>
      <c r="AS500" s="119"/>
      <c r="AT500" s="180">
        <f>AR500*0.1</f>
        <v>0</v>
      </c>
      <c r="AU500" s="181"/>
      <c r="AV500" s="118"/>
      <c r="AW500" s="119"/>
      <c r="AX500" s="118">
        <f>SUM(AR500:AW500)</f>
        <v>0</v>
      </c>
      <c r="AY500" s="119"/>
      <c r="AZ500" s="200"/>
    </row>
    <row r="501" spans="1:52" ht="17.100000000000001" customHeight="1" thickBot="1">
      <c r="A501" s="110"/>
      <c r="B501" s="27" t="s">
        <v>1543</v>
      </c>
      <c r="C501" s="27">
        <v>58157</v>
      </c>
      <c r="D501" s="14" t="s">
        <v>1812</v>
      </c>
      <c r="E501" s="112"/>
      <c r="F501" s="139" t="s">
        <v>2048</v>
      </c>
      <c r="G501" s="140"/>
      <c r="H501" s="141"/>
      <c r="I501" s="26">
        <v>35165</v>
      </c>
      <c r="J501" s="117"/>
      <c r="K501" s="120"/>
      <c r="L501" s="121"/>
      <c r="M501" s="120"/>
      <c r="N501" s="121"/>
      <c r="O501" s="120"/>
      <c r="P501" s="121"/>
      <c r="Q501" s="120"/>
      <c r="R501" s="121"/>
      <c r="S501" s="120"/>
      <c r="T501" s="121"/>
      <c r="U501" s="120"/>
      <c r="V501" s="121"/>
      <c r="W501" s="125"/>
      <c r="X501" s="143" t="s">
        <v>2049</v>
      </c>
      <c r="Y501" s="143"/>
      <c r="Z501" s="143"/>
      <c r="AA501" s="143"/>
      <c r="AB501" s="144"/>
      <c r="AC501" s="16" t="s">
        <v>21</v>
      </c>
      <c r="AD501" s="17" t="s">
        <v>2050</v>
      </c>
      <c r="AE501" s="145" t="s">
        <v>2051</v>
      </c>
      <c r="AF501" s="146"/>
      <c r="AG501" s="146"/>
      <c r="AH501" s="146"/>
      <c r="AI501" s="147"/>
      <c r="AJ501" s="148"/>
      <c r="AK501" s="143"/>
      <c r="AL501" s="143"/>
      <c r="AM501" s="22" t="s">
        <v>1296</v>
      </c>
      <c r="AN501" s="149"/>
      <c r="AO501" s="144"/>
      <c r="AP501" s="148"/>
      <c r="AQ501" s="144"/>
      <c r="AR501" s="120"/>
      <c r="AS501" s="121"/>
      <c r="AT501" s="120"/>
      <c r="AU501" s="182"/>
      <c r="AV501" s="120"/>
      <c r="AW501" s="121"/>
      <c r="AX501" s="120"/>
      <c r="AY501" s="121"/>
      <c r="AZ501" s="201"/>
    </row>
    <row r="502" spans="1:52" ht="17.100000000000001" customHeight="1" thickTop="1">
      <c r="A502" s="109" t="s">
        <v>5988</v>
      </c>
      <c r="B502" s="28">
        <v>44761</v>
      </c>
      <c r="C502" s="25">
        <v>803</v>
      </c>
      <c r="D502" s="13" t="s">
        <v>1537</v>
      </c>
      <c r="E502" s="111"/>
      <c r="F502" s="113" t="s">
        <v>2052</v>
      </c>
      <c r="G502" s="273"/>
      <c r="H502" s="274"/>
      <c r="I502" s="24"/>
      <c r="J502" s="150" t="s">
        <v>1715</v>
      </c>
      <c r="K502" s="118">
        <v>418000</v>
      </c>
      <c r="L502" s="119"/>
      <c r="M502" s="118">
        <v>41800</v>
      </c>
      <c r="N502" s="119"/>
      <c r="O502" s="118">
        <v>0</v>
      </c>
      <c r="P502" s="119"/>
      <c r="Q502" s="118">
        <v>7340</v>
      </c>
      <c r="R502" s="119"/>
      <c r="S502" s="118">
        <v>20350</v>
      </c>
      <c r="T502" s="119"/>
      <c r="U502" s="118">
        <f>SUM(K502:T503)</f>
        <v>487490</v>
      </c>
      <c r="V502" s="119"/>
      <c r="W502" s="124"/>
      <c r="X502" s="127" t="s">
        <v>2053</v>
      </c>
      <c r="Y502" s="223"/>
      <c r="Z502" s="223"/>
      <c r="AA502" s="223"/>
      <c r="AB502" s="224"/>
      <c r="AC502" s="15" t="s">
        <v>20</v>
      </c>
      <c r="AD502" s="129" t="s">
        <v>2054</v>
      </c>
      <c r="AE502" s="130"/>
      <c r="AF502" s="130"/>
      <c r="AG502" s="130"/>
      <c r="AH502" s="130"/>
      <c r="AI502" s="131"/>
      <c r="AJ502" s="132"/>
      <c r="AK502" s="127"/>
      <c r="AL502" s="127"/>
      <c r="AM502" s="21"/>
      <c r="AN502" s="133"/>
      <c r="AO502" s="134"/>
      <c r="AP502" s="135"/>
      <c r="AQ502" s="136"/>
      <c r="AR502" s="118"/>
      <c r="AS502" s="119"/>
      <c r="AT502" s="180">
        <f>AR502*0.1</f>
        <v>0</v>
      </c>
      <c r="AU502" s="181"/>
      <c r="AV502" s="118"/>
      <c r="AW502" s="119"/>
      <c r="AX502" s="118">
        <f>SUM(AR502:AW502)</f>
        <v>0</v>
      </c>
      <c r="AY502" s="119"/>
      <c r="AZ502" s="200"/>
    </row>
    <row r="503" spans="1:52" ht="17.100000000000001" customHeight="1" thickBot="1">
      <c r="A503" s="110"/>
      <c r="B503" s="27" t="s">
        <v>2055</v>
      </c>
      <c r="C503" s="27">
        <v>76</v>
      </c>
      <c r="D503" s="14" t="s">
        <v>1601</v>
      </c>
      <c r="E503" s="112"/>
      <c r="F503" s="139" t="s">
        <v>2056</v>
      </c>
      <c r="G503" s="140"/>
      <c r="H503" s="141"/>
      <c r="I503" s="26">
        <v>43318</v>
      </c>
      <c r="J503" s="117"/>
      <c r="K503" s="120"/>
      <c r="L503" s="121"/>
      <c r="M503" s="120"/>
      <c r="N503" s="121"/>
      <c r="O503" s="120"/>
      <c r="P503" s="121"/>
      <c r="Q503" s="120"/>
      <c r="R503" s="121"/>
      <c r="S503" s="120"/>
      <c r="T503" s="121"/>
      <c r="U503" s="120"/>
      <c r="V503" s="121"/>
      <c r="W503" s="125"/>
      <c r="X503" s="143" t="s">
        <v>2057</v>
      </c>
      <c r="Y503" s="143"/>
      <c r="Z503" s="143"/>
      <c r="AA503" s="143"/>
      <c r="AB503" s="144"/>
      <c r="AC503" s="16" t="s">
        <v>21</v>
      </c>
      <c r="AD503" s="17" t="s">
        <v>2058</v>
      </c>
      <c r="AE503" s="145" t="s">
        <v>1670</v>
      </c>
      <c r="AF503" s="146"/>
      <c r="AG503" s="146"/>
      <c r="AH503" s="146"/>
      <c r="AI503" s="147"/>
      <c r="AJ503" s="148"/>
      <c r="AK503" s="143"/>
      <c r="AL503" s="143"/>
      <c r="AM503" s="22"/>
      <c r="AN503" s="149"/>
      <c r="AO503" s="144"/>
      <c r="AP503" s="148"/>
      <c r="AQ503" s="144"/>
      <c r="AR503" s="120"/>
      <c r="AS503" s="121"/>
      <c r="AT503" s="120"/>
      <c r="AU503" s="182"/>
      <c r="AV503" s="120"/>
      <c r="AW503" s="121"/>
      <c r="AX503" s="120"/>
      <c r="AY503" s="121"/>
      <c r="AZ503" s="201"/>
    </row>
    <row r="504" spans="1:52" ht="17.100000000000001" customHeight="1" thickTop="1">
      <c r="A504" s="109" t="s">
        <v>5989</v>
      </c>
      <c r="B504" s="28">
        <v>44765</v>
      </c>
      <c r="C504" s="25">
        <v>1114</v>
      </c>
      <c r="D504" s="13" t="s">
        <v>2059</v>
      </c>
      <c r="E504" s="111"/>
      <c r="F504" s="113" t="s">
        <v>2060</v>
      </c>
      <c r="G504" s="273"/>
      <c r="H504" s="274"/>
      <c r="I504" s="24"/>
      <c r="J504" s="116">
        <v>4.5</v>
      </c>
      <c r="K504" s="118">
        <v>1145000</v>
      </c>
      <c r="L504" s="119"/>
      <c r="M504" s="118">
        <v>114500</v>
      </c>
      <c r="N504" s="119"/>
      <c r="O504" s="118">
        <v>0</v>
      </c>
      <c r="P504" s="119"/>
      <c r="Q504" s="118">
        <v>22120</v>
      </c>
      <c r="R504" s="119"/>
      <c r="S504" s="118">
        <v>13200</v>
      </c>
      <c r="T504" s="119"/>
      <c r="U504" s="118">
        <f>SUM(K504:T505)</f>
        <v>1294820</v>
      </c>
      <c r="V504" s="119"/>
      <c r="W504" s="124"/>
      <c r="X504" s="127" t="s">
        <v>2061</v>
      </c>
      <c r="Y504" s="223"/>
      <c r="Z504" s="223"/>
      <c r="AA504" s="223"/>
      <c r="AB504" s="224"/>
      <c r="AC504" s="15" t="s">
        <v>20</v>
      </c>
      <c r="AD504" s="129" t="s">
        <v>79</v>
      </c>
      <c r="AE504" s="130"/>
      <c r="AF504" s="130"/>
      <c r="AG504" s="130"/>
      <c r="AH504" s="130"/>
      <c r="AI504" s="131"/>
      <c r="AJ504" s="132"/>
      <c r="AK504" s="127"/>
      <c r="AL504" s="127"/>
      <c r="AM504" s="21"/>
      <c r="AN504" s="133"/>
      <c r="AO504" s="134"/>
      <c r="AP504" s="135"/>
      <c r="AQ504" s="136"/>
      <c r="AR504" s="118"/>
      <c r="AS504" s="119"/>
      <c r="AT504" s="180">
        <f>AR504*0.1</f>
        <v>0</v>
      </c>
      <c r="AU504" s="181"/>
      <c r="AV504" s="118"/>
      <c r="AW504" s="119"/>
      <c r="AX504" s="118">
        <f>SUM(AR504:AW504)</f>
        <v>0</v>
      </c>
      <c r="AY504" s="119"/>
      <c r="AZ504" s="200"/>
    </row>
    <row r="505" spans="1:52" ht="17.100000000000001" customHeight="1" thickBot="1">
      <c r="A505" s="110"/>
      <c r="B505" s="27" t="s">
        <v>1567</v>
      </c>
      <c r="C505" s="27">
        <v>82288</v>
      </c>
      <c r="D505" s="14" t="s">
        <v>1635</v>
      </c>
      <c r="E505" s="112"/>
      <c r="F505" s="139" t="s">
        <v>2062</v>
      </c>
      <c r="G505" s="140"/>
      <c r="H505" s="141"/>
      <c r="I505" s="26">
        <v>21372</v>
      </c>
      <c r="J505" s="117"/>
      <c r="K505" s="120"/>
      <c r="L505" s="121"/>
      <c r="M505" s="120"/>
      <c r="N505" s="121"/>
      <c r="O505" s="120"/>
      <c r="P505" s="121"/>
      <c r="Q505" s="120"/>
      <c r="R505" s="121"/>
      <c r="S505" s="120"/>
      <c r="T505" s="121"/>
      <c r="U505" s="120"/>
      <c r="V505" s="121"/>
      <c r="W505" s="125"/>
      <c r="X505" s="143" t="s">
        <v>2063</v>
      </c>
      <c r="Y505" s="143"/>
      <c r="Z505" s="143"/>
      <c r="AA505" s="143"/>
      <c r="AB505" s="144"/>
      <c r="AC505" s="16" t="s">
        <v>21</v>
      </c>
      <c r="AD505" s="17" t="s">
        <v>2064</v>
      </c>
      <c r="AE505" s="145" t="s">
        <v>171</v>
      </c>
      <c r="AF505" s="146"/>
      <c r="AG505" s="146"/>
      <c r="AH505" s="146"/>
      <c r="AI505" s="147"/>
      <c r="AJ505" s="148"/>
      <c r="AK505" s="143"/>
      <c r="AL505" s="143"/>
      <c r="AM505" s="22"/>
      <c r="AN505" s="149"/>
      <c r="AO505" s="144"/>
      <c r="AP505" s="148"/>
      <c r="AQ505" s="144"/>
      <c r="AR505" s="120"/>
      <c r="AS505" s="121"/>
      <c r="AT505" s="120"/>
      <c r="AU505" s="182"/>
      <c r="AV505" s="120"/>
      <c r="AW505" s="121"/>
      <c r="AX505" s="120"/>
      <c r="AY505" s="121"/>
      <c r="AZ505" s="201"/>
    </row>
    <row r="506" spans="1:52" ht="17.100000000000001" customHeight="1" thickTop="1">
      <c r="A506" s="109" t="s">
        <v>5990</v>
      </c>
      <c r="B506" s="28">
        <v>44765</v>
      </c>
      <c r="C506" s="25">
        <v>1357</v>
      </c>
      <c r="D506" s="13" t="s">
        <v>1752</v>
      </c>
      <c r="E506" s="111"/>
      <c r="F506" s="113" t="s">
        <v>2065</v>
      </c>
      <c r="G506" s="273"/>
      <c r="H506" s="274"/>
      <c r="I506" s="24" t="s">
        <v>2066</v>
      </c>
      <c r="J506" s="116">
        <v>4.5</v>
      </c>
      <c r="K506" s="118">
        <v>2115000</v>
      </c>
      <c r="L506" s="119"/>
      <c r="M506" s="118">
        <v>211500</v>
      </c>
      <c r="N506" s="119"/>
      <c r="O506" s="118">
        <v>26300</v>
      </c>
      <c r="P506" s="119"/>
      <c r="Q506" s="118">
        <v>14750</v>
      </c>
      <c r="R506" s="119"/>
      <c r="S506" s="118">
        <v>13200</v>
      </c>
      <c r="T506" s="119"/>
      <c r="U506" s="118">
        <f>SUM(K506:T507)</f>
        <v>2380750</v>
      </c>
      <c r="V506" s="119"/>
      <c r="W506" s="124"/>
      <c r="X506" s="127" t="s">
        <v>2067</v>
      </c>
      <c r="Y506" s="223"/>
      <c r="Z506" s="223"/>
      <c r="AA506" s="223"/>
      <c r="AB506" s="224"/>
      <c r="AC506" s="15" t="s">
        <v>20</v>
      </c>
      <c r="AD506" s="129" t="s">
        <v>1639</v>
      </c>
      <c r="AE506" s="130"/>
      <c r="AF506" s="130"/>
      <c r="AG506" s="130"/>
      <c r="AH506" s="130"/>
      <c r="AI506" s="131"/>
      <c r="AJ506" s="132" t="s">
        <v>2068</v>
      </c>
      <c r="AK506" s="127"/>
      <c r="AL506" s="127"/>
      <c r="AM506" s="21" t="s">
        <v>2069</v>
      </c>
      <c r="AN506" s="133">
        <v>45906</v>
      </c>
      <c r="AO506" s="134"/>
      <c r="AP506" s="135"/>
      <c r="AQ506" s="136"/>
      <c r="AR506" s="118">
        <v>3170700</v>
      </c>
      <c r="AS506" s="119"/>
      <c r="AT506" s="180">
        <v>0</v>
      </c>
      <c r="AU506" s="181"/>
      <c r="AV506" s="118">
        <v>0</v>
      </c>
      <c r="AW506" s="119"/>
      <c r="AX506" s="118">
        <f>SUM(AR506:AW506)</f>
        <v>3170700</v>
      </c>
      <c r="AY506" s="119"/>
      <c r="AZ506" s="200">
        <v>45953</v>
      </c>
    </row>
    <row r="507" spans="1:52" ht="17.100000000000001" customHeight="1" thickBot="1">
      <c r="A507" s="110"/>
      <c r="B507" s="27" t="s">
        <v>1555</v>
      </c>
      <c r="C507" s="27">
        <v>83115</v>
      </c>
      <c r="D507" s="14" t="s">
        <v>275</v>
      </c>
      <c r="E507" s="112"/>
      <c r="F507" s="139" t="s">
        <v>2070</v>
      </c>
      <c r="G507" s="140"/>
      <c r="H507" s="141"/>
      <c r="I507" s="26">
        <v>58016</v>
      </c>
      <c r="J507" s="117"/>
      <c r="K507" s="120"/>
      <c r="L507" s="121"/>
      <c r="M507" s="120"/>
      <c r="N507" s="121"/>
      <c r="O507" s="120"/>
      <c r="P507" s="121"/>
      <c r="Q507" s="120"/>
      <c r="R507" s="121"/>
      <c r="S507" s="120"/>
      <c r="T507" s="121"/>
      <c r="U507" s="120"/>
      <c r="V507" s="121"/>
      <c r="W507" s="125"/>
      <c r="X507" s="143" t="s">
        <v>2071</v>
      </c>
      <c r="Y507" s="143"/>
      <c r="Z507" s="143"/>
      <c r="AA507" s="143"/>
      <c r="AB507" s="144"/>
      <c r="AC507" s="16" t="s">
        <v>21</v>
      </c>
      <c r="AD507" s="17" t="s">
        <v>2058</v>
      </c>
      <c r="AE507" s="145" t="s">
        <v>2072</v>
      </c>
      <c r="AF507" s="146"/>
      <c r="AG507" s="146"/>
      <c r="AH507" s="146"/>
      <c r="AI507" s="147"/>
      <c r="AJ507" s="148"/>
      <c r="AK507" s="143"/>
      <c r="AL507" s="143"/>
      <c r="AM507" s="22"/>
      <c r="AN507" s="149" t="s">
        <v>14009</v>
      </c>
      <c r="AO507" s="144"/>
      <c r="AP507" s="148"/>
      <c r="AQ507" s="144"/>
      <c r="AR507" s="120"/>
      <c r="AS507" s="121"/>
      <c r="AT507" s="120"/>
      <c r="AU507" s="182"/>
      <c r="AV507" s="120"/>
      <c r="AW507" s="121"/>
      <c r="AX507" s="120"/>
      <c r="AY507" s="121"/>
      <c r="AZ507" s="201"/>
    </row>
    <row r="508" spans="1:52" ht="17.100000000000001" customHeight="1" thickTop="1">
      <c r="A508" s="109" t="s">
        <v>5991</v>
      </c>
      <c r="B508" s="28">
        <v>44767</v>
      </c>
      <c r="C508" s="25">
        <v>1907</v>
      </c>
      <c r="D508" s="13" t="s">
        <v>1977</v>
      </c>
      <c r="E508" s="111" t="s">
        <v>166</v>
      </c>
      <c r="F508" s="113" t="s">
        <v>2073</v>
      </c>
      <c r="G508" s="273"/>
      <c r="H508" s="274"/>
      <c r="I508" s="24"/>
      <c r="J508" s="116">
        <v>4.5</v>
      </c>
      <c r="K508" s="118">
        <v>6415000</v>
      </c>
      <c r="L508" s="119"/>
      <c r="M508" s="118">
        <v>641500</v>
      </c>
      <c r="N508" s="119"/>
      <c r="O508" s="118">
        <v>0</v>
      </c>
      <c r="P508" s="119"/>
      <c r="Q508" s="118">
        <v>29390</v>
      </c>
      <c r="R508" s="119"/>
      <c r="S508" s="118">
        <v>17600</v>
      </c>
      <c r="T508" s="119"/>
      <c r="U508" s="118">
        <f>SUM(K508:T509)</f>
        <v>7103490</v>
      </c>
      <c r="V508" s="119"/>
      <c r="W508" s="124"/>
      <c r="X508" s="127" t="s">
        <v>2074</v>
      </c>
      <c r="Y508" s="223"/>
      <c r="Z508" s="223"/>
      <c r="AA508" s="223"/>
      <c r="AB508" s="224"/>
      <c r="AC508" s="15" t="s">
        <v>20</v>
      </c>
      <c r="AD508" s="129" t="s">
        <v>2075</v>
      </c>
      <c r="AE508" s="130"/>
      <c r="AF508" s="130"/>
      <c r="AG508" s="130"/>
      <c r="AH508" s="130"/>
      <c r="AI508" s="131"/>
      <c r="AJ508" s="132"/>
      <c r="AK508" s="127"/>
      <c r="AL508" s="127"/>
      <c r="AM508" s="21" t="s">
        <v>2076</v>
      </c>
      <c r="AN508" s="133"/>
      <c r="AO508" s="134"/>
      <c r="AP508" s="135"/>
      <c r="AQ508" s="136"/>
      <c r="AR508" s="118"/>
      <c r="AS508" s="119"/>
      <c r="AT508" s="180">
        <f>AR508*0.1</f>
        <v>0</v>
      </c>
      <c r="AU508" s="181"/>
      <c r="AV508" s="118"/>
      <c r="AW508" s="119"/>
      <c r="AX508" s="118">
        <f>SUM(AR508:AW508)</f>
        <v>0</v>
      </c>
      <c r="AY508" s="119"/>
      <c r="AZ508" s="200"/>
    </row>
    <row r="509" spans="1:52" ht="17.100000000000001" customHeight="1" thickBot="1">
      <c r="A509" s="110"/>
      <c r="B509" s="27" t="s">
        <v>83</v>
      </c>
      <c r="C509" s="27">
        <v>36021</v>
      </c>
      <c r="D509" s="14" t="s">
        <v>133</v>
      </c>
      <c r="E509" s="112"/>
      <c r="F509" s="139" t="s">
        <v>2077</v>
      </c>
      <c r="G509" s="140"/>
      <c r="H509" s="141"/>
      <c r="I509" s="26">
        <v>39744</v>
      </c>
      <c r="J509" s="117"/>
      <c r="K509" s="120"/>
      <c r="L509" s="121"/>
      <c r="M509" s="120"/>
      <c r="N509" s="121"/>
      <c r="O509" s="120"/>
      <c r="P509" s="121"/>
      <c r="Q509" s="120"/>
      <c r="R509" s="121"/>
      <c r="S509" s="120"/>
      <c r="T509" s="121"/>
      <c r="U509" s="120"/>
      <c r="V509" s="121"/>
      <c r="W509" s="125"/>
      <c r="X509" s="143" t="s">
        <v>2078</v>
      </c>
      <c r="Y509" s="143"/>
      <c r="Z509" s="143"/>
      <c r="AA509" s="143"/>
      <c r="AB509" s="144"/>
      <c r="AC509" s="16" t="s">
        <v>21</v>
      </c>
      <c r="AD509" s="17" t="s">
        <v>2079</v>
      </c>
      <c r="AE509" s="145" t="s">
        <v>2080</v>
      </c>
      <c r="AF509" s="146"/>
      <c r="AG509" s="146"/>
      <c r="AH509" s="146"/>
      <c r="AI509" s="147"/>
      <c r="AJ509" s="148" t="s">
        <v>2081</v>
      </c>
      <c r="AK509" s="143"/>
      <c r="AL509" s="143"/>
      <c r="AM509" s="22"/>
      <c r="AN509" s="149"/>
      <c r="AO509" s="144"/>
      <c r="AP509" s="148"/>
      <c r="AQ509" s="144"/>
      <c r="AR509" s="120"/>
      <c r="AS509" s="121"/>
      <c r="AT509" s="120"/>
      <c r="AU509" s="182"/>
      <c r="AV509" s="120"/>
      <c r="AW509" s="121"/>
      <c r="AX509" s="120"/>
      <c r="AY509" s="121"/>
      <c r="AZ509" s="201"/>
    </row>
    <row r="510" spans="1:52" ht="17.100000000000001" customHeight="1" thickTop="1">
      <c r="A510" s="109" t="s">
        <v>5992</v>
      </c>
      <c r="B510" s="28">
        <v>44792</v>
      </c>
      <c r="C510" s="25">
        <v>1952</v>
      </c>
      <c r="D510" s="13" t="s">
        <v>2082</v>
      </c>
      <c r="E510" s="111"/>
      <c r="F510" s="113" t="s">
        <v>2083</v>
      </c>
      <c r="G510" s="273"/>
      <c r="H510" s="274"/>
      <c r="I510" s="24" t="s">
        <v>2084</v>
      </c>
      <c r="J510" s="116">
        <v>3.5</v>
      </c>
      <c r="K510" s="118">
        <v>635000</v>
      </c>
      <c r="L510" s="119"/>
      <c r="M510" s="118">
        <v>63500</v>
      </c>
      <c r="N510" s="119"/>
      <c r="O510" s="118">
        <v>51200</v>
      </c>
      <c r="P510" s="119"/>
      <c r="Q510" s="118">
        <v>23340</v>
      </c>
      <c r="R510" s="119"/>
      <c r="S510" s="118">
        <v>13200</v>
      </c>
      <c r="T510" s="119"/>
      <c r="U510" s="118">
        <f>SUM(K510:T511)</f>
        <v>786240</v>
      </c>
      <c r="V510" s="119"/>
      <c r="W510" s="124"/>
      <c r="X510" s="127" t="s">
        <v>2085</v>
      </c>
      <c r="Y510" s="223"/>
      <c r="Z510" s="223"/>
      <c r="AA510" s="223"/>
      <c r="AB510" s="224"/>
      <c r="AC510" s="15" t="s">
        <v>20</v>
      </c>
      <c r="AD510" s="129" t="s">
        <v>1575</v>
      </c>
      <c r="AE510" s="130"/>
      <c r="AF510" s="130"/>
      <c r="AG510" s="130"/>
      <c r="AH510" s="130"/>
      <c r="AI510" s="131"/>
      <c r="AJ510" s="132"/>
      <c r="AK510" s="127"/>
      <c r="AL510" s="127"/>
      <c r="AM510" s="21"/>
      <c r="AN510" s="133"/>
      <c r="AO510" s="134"/>
      <c r="AP510" s="135"/>
      <c r="AQ510" s="136"/>
      <c r="AR510" s="118"/>
      <c r="AS510" s="119"/>
      <c r="AT510" s="180">
        <f>AR510*0.1</f>
        <v>0</v>
      </c>
      <c r="AU510" s="181"/>
      <c r="AV510" s="118"/>
      <c r="AW510" s="119"/>
      <c r="AX510" s="118">
        <f>SUM(AR510:AW510)</f>
        <v>0</v>
      </c>
      <c r="AY510" s="119"/>
      <c r="AZ510" s="200"/>
    </row>
    <row r="511" spans="1:52" ht="17.100000000000001" customHeight="1" thickBot="1">
      <c r="A511" s="110"/>
      <c r="B511" s="27" t="s">
        <v>1543</v>
      </c>
      <c r="C511" s="27">
        <v>58531</v>
      </c>
      <c r="D511" s="14" t="s">
        <v>2086</v>
      </c>
      <c r="E511" s="112"/>
      <c r="F511" s="139" t="s">
        <v>2087</v>
      </c>
      <c r="G511" s="140"/>
      <c r="H511" s="141"/>
      <c r="I511" s="26">
        <v>40931</v>
      </c>
      <c r="J511" s="117"/>
      <c r="K511" s="120"/>
      <c r="L511" s="121"/>
      <c r="M511" s="120"/>
      <c r="N511" s="121"/>
      <c r="O511" s="120"/>
      <c r="P511" s="121"/>
      <c r="Q511" s="120"/>
      <c r="R511" s="121"/>
      <c r="S511" s="120"/>
      <c r="T511" s="121"/>
      <c r="U511" s="120"/>
      <c r="V511" s="121"/>
      <c r="W511" s="125"/>
      <c r="X511" s="143" t="s">
        <v>2088</v>
      </c>
      <c r="Y511" s="143"/>
      <c r="Z511" s="143"/>
      <c r="AA511" s="143"/>
      <c r="AB511" s="144"/>
      <c r="AC511" s="16" t="s">
        <v>21</v>
      </c>
      <c r="AD511" s="17" t="s">
        <v>2089</v>
      </c>
      <c r="AE511" s="145" t="s">
        <v>1614</v>
      </c>
      <c r="AF511" s="146"/>
      <c r="AG511" s="146"/>
      <c r="AH511" s="146"/>
      <c r="AI511" s="147"/>
      <c r="AJ511" s="148"/>
      <c r="AK511" s="143"/>
      <c r="AL511" s="143"/>
      <c r="AM511" s="22" t="s">
        <v>2090</v>
      </c>
      <c r="AN511" s="149"/>
      <c r="AO511" s="144"/>
      <c r="AP511" s="148"/>
      <c r="AQ511" s="144"/>
      <c r="AR511" s="120"/>
      <c r="AS511" s="121"/>
      <c r="AT511" s="120"/>
      <c r="AU511" s="182"/>
      <c r="AV511" s="120"/>
      <c r="AW511" s="121"/>
      <c r="AX511" s="120"/>
      <c r="AY511" s="121"/>
      <c r="AZ511" s="201"/>
    </row>
    <row r="512" spans="1:52" ht="17.100000000000001" customHeight="1" thickTop="1">
      <c r="A512" s="109" t="s">
        <v>5993</v>
      </c>
      <c r="B512" s="28">
        <v>44792</v>
      </c>
      <c r="C512" s="25"/>
      <c r="D512" s="13" t="s">
        <v>1640</v>
      </c>
      <c r="E512" s="111"/>
      <c r="F512" s="113" t="s">
        <v>2091</v>
      </c>
      <c r="G512" s="273"/>
      <c r="H512" s="274"/>
      <c r="I512" s="24" t="s">
        <v>2092</v>
      </c>
      <c r="J512" s="116">
        <v>4</v>
      </c>
      <c r="K512" s="118">
        <v>2530000</v>
      </c>
      <c r="L512" s="119"/>
      <c r="M512" s="118">
        <v>253000</v>
      </c>
      <c r="N512" s="119"/>
      <c r="O512" s="118">
        <v>19700</v>
      </c>
      <c r="P512" s="119"/>
      <c r="Q512" s="118">
        <v>17800</v>
      </c>
      <c r="R512" s="119"/>
      <c r="S512" s="118">
        <v>124575</v>
      </c>
      <c r="T512" s="119"/>
      <c r="U512" s="118">
        <f>SUM(K512:T513)</f>
        <v>2945075</v>
      </c>
      <c r="V512" s="119"/>
      <c r="W512" s="124"/>
      <c r="X512" s="127" t="s">
        <v>2093</v>
      </c>
      <c r="Y512" s="223"/>
      <c r="Z512" s="223"/>
      <c r="AA512" s="223"/>
      <c r="AB512" s="224"/>
      <c r="AC512" s="15" t="s">
        <v>20</v>
      </c>
      <c r="AD512" s="129" t="s">
        <v>171</v>
      </c>
      <c r="AE512" s="130"/>
      <c r="AF512" s="130"/>
      <c r="AG512" s="130"/>
      <c r="AH512" s="130"/>
      <c r="AI512" s="131"/>
      <c r="AJ512" s="132"/>
      <c r="AK512" s="127"/>
      <c r="AL512" s="127"/>
      <c r="AM512" s="21"/>
      <c r="AN512" s="133"/>
      <c r="AO512" s="134"/>
      <c r="AP512" s="135"/>
      <c r="AQ512" s="136"/>
      <c r="AR512" s="118"/>
      <c r="AS512" s="119"/>
      <c r="AT512" s="180">
        <f>AR512*0.1</f>
        <v>0</v>
      </c>
      <c r="AU512" s="181"/>
      <c r="AV512" s="118"/>
      <c r="AW512" s="119"/>
      <c r="AX512" s="118">
        <f>SUM(AR512:AW512)</f>
        <v>0</v>
      </c>
      <c r="AY512" s="119"/>
      <c r="AZ512" s="200"/>
    </row>
    <row r="513" spans="1:52" ht="17.100000000000001" customHeight="1" thickBot="1">
      <c r="A513" s="110"/>
      <c r="B513" s="27" t="s">
        <v>1718</v>
      </c>
      <c r="C513" s="27" t="s">
        <v>2094</v>
      </c>
      <c r="D513" s="14" t="s">
        <v>2095</v>
      </c>
      <c r="E513" s="112"/>
      <c r="F513" s="139" t="s">
        <v>2096</v>
      </c>
      <c r="G513" s="140"/>
      <c r="H513" s="141"/>
      <c r="I513" s="26">
        <v>32892</v>
      </c>
      <c r="J513" s="117"/>
      <c r="K513" s="120"/>
      <c r="L513" s="121"/>
      <c r="M513" s="120"/>
      <c r="N513" s="121"/>
      <c r="O513" s="120"/>
      <c r="P513" s="121"/>
      <c r="Q513" s="120"/>
      <c r="R513" s="121"/>
      <c r="S513" s="120"/>
      <c r="T513" s="121"/>
      <c r="U513" s="120"/>
      <c r="V513" s="121"/>
      <c r="W513" s="125"/>
      <c r="X513" s="143" t="s">
        <v>2097</v>
      </c>
      <c r="Y513" s="143"/>
      <c r="Z513" s="143"/>
      <c r="AA513" s="143"/>
      <c r="AB513" s="144"/>
      <c r="AC513" s="16" t="s">
        <v>21</v>
      </c>
      <c r="AD513" s="17" t="s">
        <v>2098</v>
      </c>
      <c r="AE513" s="145" t="s">
        <v>171</v>
      </c>
      <c r="AF513" s="146"/>
      <c r="AG513" s="146"/>
      <c r="AH513" s="146"/>
      <c r="AI513" s="147"/>
      <c r="AJ513" s="148"/>
      <c r="AK513" s="143"/>
      <c r="AL513" s="143"/>
      <c r="AM513" s="22" t="s">
        <v>2099</v>
      </c>
      <c r="AN513" s="149"/>
      <c r="AO513" s="144"/>
      <c r="AP513" s="148"/>
      <c r="AQ513" s="144"/>
      <c r="AR513" s="120"/>
      <c r="AS513" s="121"/>
      <c r="AT513" s="120"/>
      <c r="AU513" s="182"/>
      <c r="AV513" s="120"/>
      <c r="AW513" s="121"/>
      <c r="AX513" s="120"/>
      <c r="AY513" s="121"/>
      <c r="AZ513" s="201"/>
    </row>
    <row r="514" spans="1:52" ht="17.100000000000001" customHeight="1" thickTop="1">
      <c r="A514" s="109" t="s">
        <v>5994</v>
      </c>
      <c r="B514" s="28">
        <v>44799</v>
      </c>
      <c r="C514" s="25">
        <v>1953</v>
      </c>
      <c r="D514" s="13" t="s">
        <v>2100</v>
      </c>
      <c r="E514" s="111"/>
      <c r="F514" s="113" t="s">
        <v>2101</v>
      </c>
      <c r="G514" s="273"/>
      <c r="H514" s="274"/>
      <c r="I514" s="24" t="s">
        <v>2001</v>
      </c>
      <c r="J514" s="116">
        <v>5</v>
      </c>
      <c r="K514" s="118">
        <v>3545000</v>
      </c>
      <c r="L514" s="119"/>
      <c r="M514" s="118">
        <v>354500</v>
      </c>
      <c r="N514" s="119"/>
      <c r="O514" s="118">
        <v>23000</v>
      </c>
      <c r="P514" s="119"/>
      <c r="Q514" s="118">
        <v>22570</v>
      </c>
      <c r="R514" s="119"/>
      <c r="S514" s="118">
        <v>13200</v>
      </c>
      <c r="T514" s="119"/>
      <c r="U514" s="118">
        <f>SUM(K514:T515)</f>
        <v>3958270</v>
      </c>
      <c r="V514" s="119"/>
      <c r="W514" s="124"/>
      <c r="X514" s="127" t="s">
        <v>2102</v>
      </c>
      <c r="Y514" s="223"/>
      <c r="Z514" s="223"/>
      <c r="AA514" s="223"/>
      <c r="AB514" s="224"/>
      <c r="AC514" s="15" t="s">
        <v>20</v>
      </c>
      <c r="AD514" s="129" t="s">
        <v>1575</v>
      </c>
      <c r="AE514" s="130"/>
      <c r="AF514" s="130"/>
      <c r="AG514" s="130"/>
      <c r="AH514" s="130"/>
      <c r="AI514" s="131"/>
      <c r="AJ514" s="132"/>
      <c r="AK514" s="127"/>
      <c r="AL514" s="127"/>
      <c r="AM514" s="21"/>
      <c r="AN514" s="133"/>
      <c r="AO514" s="134"/>
      <c r="AP514" s="135"/>
      <c r="AQ514" s="136"/>
      <c r="AR514" s="118"/>
      <c r="AS514" s="119"/>
      <c r="AT514" s="180">
        <f>AR514*0.1</f>
        <v>0</v>
      </c>
      <c r="AU514" s="181"/>
      <c r="AV514" s="118"/>
      <c r="AW514" s="119"/>
      <c r="AX514" s="118">
        <f>SUM(AR514:AW514)</f>
        <v>0</v>
      </c>
      <c r="AY514" s="119"/>
      <c r="AZ514" s="200"/>
    </row>
    <row r="515" spans="1:52" ht="17.100000000000001" customHeight="1" thickBot="1">
      <c r="A515" s="110"/>
      <c r="B515" s="27" t="s">
        <v>1543</v>
      </c>
      <c r="C515" s="27">
        <v>58199</v>
      </c>
      <c r="D515" s="14" t="s">
        <v>2103</v>
      </c>
      <c r="E515" s="112"/>
      <c r="F515" s="139" t="s">
        <v>2104</v>
      </c>
      <c r="G515" s="140"/>
      <c r="H515" s="141"/>
      <c r="I515" s="26">
        <v>38366</v>
      </c>
      <c r="J515" s="117"/>
      <c r="K515" s="120"/>
      <c r="L515" s="121"/>
      <c r="M515" s="120"/>
      <c r="N515" s="121"/>
      <c r="O515" s="120"/>
      <c r="P515" s="121"/>
      <c r="Q515" s="120"/>
      <c r="R515" s="121"/>
      <c r="S515" s="120"/>
      <c r="T515" s="121"/>
      <c r="U515" s="120"/>
      <c r="V515" s="121"/>
      <c r="W515" s="125"/>
      <c r="X515" s="143" t="s">
        <v>2097</v>
      </c>
      <c r="Y515" s="143"/>
      <c r="Z515" s="143"/>
      <c r="AA515" s="143"/>
      <c r="AB515" s="144"/>
      <c r="AC515" s="16" t="s">
        <v>21</v>
      </c>
      <c r="AD515" s="17" t="s">
        <v>1559</v>
      </c>
      <c r="AE515" s="145" t="s">
        <v>2105</v>
      </c>
      <c r="AF515" s="146"/>
      <c r="AG515" s="146"/>
      <c r="AH515" s="146"/>
      <c r="AI515" s="147"/>
      <c r="AJ515" s="148"/>
      <c r="AK515" s="143"/>
      <c r="AL515" s="143"/>
      <c r="AM515" s="22" t="s">
        <v>2106</v>
      </c>
      <c r="AN515" s="149"/>
      <c r="AO515" s="144"/>
      <c r="AP515" s="148"/>
      <c r="AQ515" s="144"/>
      <c r="AR515" s="120"/>
      <c r="AS515" s="121"/>
      <c r="AT515" s="120"/>
      <c r="AU515" s="182"/>
      <c r="AV515" s="120"/>
      <c r="AW515" s="121"/>
      <c r="AX515" s="120"/>
      <c r="AY515" s="121"/>
      <c r="AZ515" s="201"/>
    </row>
    <row r="516" spans="1:52" ht="17.100000000000001" customHeight="1" thickTop="1">
      <c r="A516" s="109" t="s">
        <v>5995</v>
      </c>
      <c r="B516" s="28">
        <v>44805</v>
      </c>
      <c r="C516" s="25">
        <v>1150</v>
      </c>
      <c r="D516" s="13" t="s">
        <v>1823</v>
      </c>
      <c r="E516" s="111"/>
      <c r="F516" s="113" t="s">
        <v>2107</v>
      </c>
      <c r="G516" s="273"/>
      <c r="H516" s="274"/>
      <c r="I516" s="24"/>
      <c r="J516" s="116">
        <v>4.5</v>
      </c>
      <c r="K516" s="118">
        <v>3345000</v>
      </c>
      <c r="L516" s="119"/>
      <c r="M516" s="118">
        <v>334500</v>
      </c>
      <c r="N516" s="119"/>
      <c r="O516" s="118">
        <v>0</v>
      </c>
      <c r="P516" s="119"/>
      <c r="Q516" s="118">
        <v>19620</v>
      </c>
      <c r="R516" s="119"/>
      <c r="S516" s="118">
        <v>13200</v>
      </c>
      <c r="T516" s="119"/>
      <c r="U516" s="118">
        <f>SUM(K516:T517)</f>
        <v>3712320</v>
      </c>
      <c r="V516" s="119"/>
      <c r="W516" s="124"/>
      <c r="X516" s="127" t="s">
        <v>2108</v>
      </c>
      <c r="Y516" s="223"/>
      <c r="Z516" s="223"/>
      <c r="AA516" s="223"/>
      <c r="AB516" s="224"/>
      <c r="AC516" s="15" t="s">
        <v>20</v>
      </c>
      <c r="AD516" s="129" t="s">
        <v>2109</v>
      </c>
      <c r="AE516" s="130"/>
      <c r="AF516" s="130"/>
      <c r="AG516" s="130"/>
      <c r="AH516" s="130"/>
      <c r="AI516" s="131"/>
      <c r="AJ516" s="132"/>
      <c r="AK516" s="127"/>
      <c r="AL516" s="127"/>
      <c r="AM516" s="21"/>
      <c r="AN516" s="133"/>
      <c r="AO516" s="134"/>
      <c r="AP516" s="135"/>
      <c r="AQ516" s="136"/>
      <c r="AR516" s="118"/>
      <c r="AS516" s="119"/>
      <c r="AT516" s="180">
        <f>AR516*0.1</f>
        <v>0</v>
      </c>
      <c r="AU516" s="181"/>
      <c r="AV516" s="118"/>
      <c r="AW516" s="119"/>
      <c r="AX516" s="118">
        <f>SUM(AR516:AW516)</f>
        <v>0</v>
      </c>
      <c r="AY516" s="119"/>
      <c r="AZ516" s="200"/>
    </row>
    <row r="517" spans="1:52" ht="17.100000000000001" customHeight="1" thickBot="1">
      <c r="A517" s="110"/>
      <c r="B517" s="27" t="s">
        <v>1747</v>
      </c>
      <c r="C517" s="27">
        <v>63</v>
      </c>
      <c r="D517" s="14" t="s">
        <v>1592</v>
      </c>
      <c r="E517" s="112"/>
      <c r="F517" s="139" t="s">
        <v>2110</v>
      </c>
      <c r="G517" s="140"/>
      <c r="H517" s="141"/>
      <c r="I517" s="26">
        <v>46410</v>
      </c>
      <c r="J517" s="117"/>
      <c r="K517" s="120"/>
      <c r="L517" s="121"/>
      <c r="M517" s="120"/>
      <c r="N517" s="121"/>
      <c r="O517" s="120"/>
      <c r="P517" s="121"/>
      <c r="Q517" s="120"/>
      <c r="R517" s="121"/>
      <c r="S517" s="120"/>
      <c r="T517" s="121"/>
      <c r="U517" s="120"/>
      <c r="V517" s="121"/>
      <c r="W517" s="125"/>
      <c r="X517" s="143" t="s">
        <v>2111</v>
      </c>
      <c r="Y517" s="143"/>
      <c r="Z517" s="143"/>
      <c r="AA517" s="143"/>
      <c r="AB517" s="144"/>
      <c r="AC517" s="16" t="s">
        <v>21</v>
      </c>
      <c r="AD517" s="17" t="s">
        <v>2112</v>
      </c>
      <c r="AE517" s="145" t="s">
        <v>1614</v>
      </c>
      <c r="AF517" s="146"/>
      <c r="AG517" s="146"/>
      <c r="AH517" s="146"/>
      <c r="AI517" s="147"/>
      <c r="AJ517" s="148"/>
      <c r="AK517" s="143"/>
      <c r="AL517" s="143"/>
      <c r="AM517" s="22"/>
      <c r="AN517" s="149"/>
      <c r="AO517" s="144"/>
      <c r="AP517" s="148"/>
      <c r="AQ517" s="144"/>
      <c r="AR517" s="120"/>
      <c r="AS517" s="121"/>
      <c r="AT517" s="120"/>
      <c r="AU517" s="182"/>
      <c r="AV517" s="120"/>
      <c r="AW517" s="121"/>
      <c r="AX517" s="120"/>
      <c r="AY517" s="121"/>
      <c r="AZ517" s="201"/>
    </row>
    <row r="518" spans="1:52" ht="17.100000000000001" customHeight="1" thickTop="1">
      <c r="A518" s="109" t="s">
        <v>5996</v>
      </c>
      <c r="B518" s="28">
        <v>44812</v>
      </c>
      <c r="C518" s="25">
        <v>1385</v>
      </c>
      <c r="D518" s="13" t="s">
        <v>2113</v>
      </c>
      <c r="E518" s="111"/>
      <c r="F518" s="113" t="s">
        <v>2114</v>
      </c>
      <c r="G518" s="273"/>
      <c r="H518" s="274"/>
      <c r="I518" s="24"/>
      <c r="J518" s="116">
        <v>4.5</v>
      </c>
      <c r="K518" s="118">
        <v>3800000</v>
      </c>
      <c r="L518" s="119"/>
      <c r="M518" s="118">
        <v>380000</v>
      </c>
      <c r="N518" s="119"/>
      <c r="O518" s="118">
        <v>0</v>
      </c>
      <c r="P518" s="119"/>
      <c r="Q518" s="118">
        <v>23420</v>
      </c>
      <c r="R518" s="119"/>
      <c r="S518" s="118">
        <v>13200</v>
      </c>
      <c r="T518" s="119"/>
      <c r="U518" s="118">
        <f>SUM(K518:T519)</f>
        <v>4216620</v>
      </c>
      <c r="V518" s="119"/>
      <c r="W518" s="124"/>
      <c r="X518" s="127" t="s">
        <v>2115</v>
      </c>
      <c r="Y518" s="223"/>
      <c r="Z518" s="223"/>
      <c r="AA518" s="223"/>
      <c r="AB518" s="224"/>
      <c r="AC518" s="15" t="s">
        <v>20</v>
      </c>
      <c r="AD518" s="129" t="s">
        <v>1633</v>
      </c>
      <c r="AE518" s="130"/>
      <c r="AF518" s="130"/>
      <c r="AG518" s="130"/>
      <c r="AH518" s="130"/>
      <c r="AI518" s="131"/>
      <c r="AJ518" s="132"/>
      <c r="AK518" s="127"/>
      <c r="AL518" s="127"/>
      <c r="AM518" s="21"/>
      <c r="AN518" s="133"/>
      <c r="AO518" s="134"/>
      <c r="AP518" s="135"/>
      <c r="AQ518" s="136"/>
      <c r="AR518" s="118"/>
      <c r="AS518" s="119"/>
      <c r="AT518" s="180">
        <f>AR518*0.1</f>
        <v>0</v>
      </c>
      <c r="AU518" s="181"/>
      <c r="AV518" s="118"/>
      <c r="AW518" s="119"/>
      <c r="AX518" s="118">
        <f>SUM(AR518:AW518)</f>
        <v>0</v>
      </c>
      <c r="AY518" s="119"/>
      <c r="AZ518" s="200"/>
    </row>
    <row r="519" spans="1:52" ht="17.100000000000001" customHeight="1" thickBot="1">
      <c r="A519" s="110"/>
      <c r="B519" s="27" t="s">
        <v>1600</v>
      </c>
      <c r="C519" s="27">
        <v>75266</v>
      </c>
      <c r="D519" s="14" t="s">
        <v>2116</v>
      </c>
      <c r="E519" s="112"/>
      <c r="F519" s="139" t="s">
        <v>2117</v>
      </c>
      <c r="G519" s="140"/>
      <c r="H519" s="141"/>
      <c r="I519" s="26">
        <v>37311</v>
      </c>
      <c r="J519" s="117"/>
      <c r="K519" s="120"/>
      <c r="L519" s="121"/>
      <c r="M519" s="120"/>
      <c r="N519" s="121"/>
      <c r="O519" s="120"/>
      <c r="P519" s="121"/>
      <c r="Q519" s="120"/>
      <c r="R519" s="121"/>
      <c r="S519" s="120"/>
      <c r="T519" s="121"/>
      <c r="U519" s="120"/>
      <c r="V519" s="121"/>
      <c r="W519" s="125"/>
      <c r="X519" s="143" t="s">
        <v>2118</v>
      </c>
      <c r="Y519" s="143"/>
      <c r="Z519" s="143"/>
      <c r="AA519" s="143"/>
      <c r="AB519" s="144"/>
      <c r="AC519" s="16" t="s">
        <v>21</v>
      </c>
      <c r="AD519" s="17" t="s">
        <v>2119</v>
      </c>
      <c r="AE519" s="145" t="s">
        <v>2120</v>
      </c>
      <c r="AF519" s="146"/>
      <c r="AG519" s="146"/>
      <c r="AH519" s="146"/>
      <c r="AI519" s="147"/>
      <c r="AJ519" s="148"/>
      <c r="AK519" s="143"/>
      <c r="AL519" s="143"/>
      <c r="AM519" s="22"/>
      <c r="AN519" s="149"/>
      <c r="AO519" s="144"/>
      <c r="AP519" s="148"/>
      <c r="AQ519" s="144"/>
      <c r="AR519" s="120"/>
      <c r="AS519" s="121"/>
      <c r="AT519" s="120"/>
      <c r="AU519" s="182"/>
      <c r="AV519" s="120"/>
      <c r="AW519" s="121"/>
      <c r="AX519" s="120"/>
      <c r="AY519" s="121"/>
      <c r="AZ519" s="201"/>
    </row>
    <row r="520" spans="1:52" ht="17.100000000000001" customHeight="1" thickTop="1">
      <c r="A520" s="109" t="s">
        <v>5997</v>
      </c>
      <c r="B520" s="28">
        <v>44813</v>
      </c>
      <c r="C520" s="25">
        <v>1955</v>
      </c>
      <c r="D520" s="13" t="s">
        <v>1712</v>
      </c>
      <c r="E520" s="111"/>
      <c r="F520" s="113" t="s">
        <v>2121</v>
      </c>
      <c r="G520" s="273"/>
      <c r="H520" s="274"/>
      <c r="I520" s="24" t="s">
        <v>2122</v>
      </c>
      <c r="J520" s="116">
        <v>4.5</v>
      </c>
      <c r="K520" s="118">
        <v>2305000</v>
      </c>
      <c r="L520" s="119"/>
      <c r="M520" s="118">
        <v>230500</v>
      </c>
      <c r="N520" s="119"/>
      <c r="O520" s="118">
        <v>19700</v>
      </c>
      <c r="P520" s="119"/>
      <c r="Q520" s="118">
        <v>20680</v>
      </c>
      <c r="R520" s="119"/>
      <c r="S520" s="118">
        <v>13200</v>
      </c>
      <c r="T520" s="119"/>
      <c r="U520" s="118">
        <f>SUM(K520:T521)</f>
        <v>2589080</v>
      </c>
      <c r="V520" s="119"/>
      <c r="W520" s="124"/>
      <c r="X520" s="127" t="s">
        <v>2123</v>
      </c>
      <c r="Y520" s="223"/>
      <c r="Z520" s="223"/>
      <c r="AA520" s="223"/>
      <c r="AB520" s="224"/>
      <c r="AC520" s="15" t="s">
        <v>20</v>
      </c>
      <c r="AD520" s="129"/>
      <c r="AE520" s="130"/>
      <c r="AF520" s="130"/>
      <c r="AG520" s="130"/>
      <c r="AH520" s="130"/>
      <c r="AI520" s="131"/>
      <c r="AJ520" s="132"/>
      <c r="AK520" s="127"/>
      <c r="AL520" s="127"/>
      <c r="AM520" s="21" t="s">
        <v>2124</v>
      </c>
      <c r="AN520" s="133"/>
      <c r="AO520" s="134"/>
      <c r="AP520" s="135"/>
      <c r="AQ520" s="136"/>
      <c r="AR520" s="118"/>
      <c r="AS520" s="119"/>
      <c r="AT520" s="180">
        <f>AR520*0.1</f>
        <v>0</v>
      </c>
      <c r="AU520" s="181"/>
      <c r="AV520" s="118"/>
      <c r="AW520" s="119"/>
      <c r="AX520" s="118">
        <f>SUM(AR520:AW520)</f>
        <v>0</v>
      </c>
      <c r="AY520" s="119"/>
      <c r="AZ520" s="200"/>
    </row>
    <row r="521" spans="1:52" ht="17.100000000000001" customHeight="1" thickBot="1">
      <c r="A521" s="110"/>
      <c r="B521" s="27" t="s">
        <v>1543</v>
      </c>
      <c r="C521" s="27">
        <v>58270</v>
      </c>
      <c r="D521" s="14" t="s">
        <v>2125</v>
      </c>
      <c r="E521" s="112"/>
      <c r="F521" s="139" t="s">
        <v>2126</v>
      </c>
      <c r="G521" s="140"/>
      <c r="H521" s="141"/>
      <c r="I521" s="26">
        <v>40173</v>
      </c>
      <c r="J521" s="117"/>
      <c r="K521" s="120"/>
      <c r="L521" s="121"/>
      <c r="M521" s="120"/>
      <c r="N521" s="121"/>
      <c r="O521" s="120"/>
      <c r="P521" s="121"/>
      <c r="Q521" s="120"/>
      <c r="R521" s="121"/>
      <c r="S521" s="120"/>
      <c r="T521" s="121"/>
      <c r="U521" s="120"/>
      <c r="V521" s="121"/>
      <c r="W521" s="125"/>
      <c r="X521" s="143" t="s">
        <v>1730</v>
      </c>
      <c r="Y521" s="143"/>
      <c r="Z521" s="143"/>
      <c r="AA521" s="143"/>
      <c r="AB521" s="144"/>
      <c r="AC521" s="16" t="s">
        <v>21</v>
      </c>
      <c r="AD521" s="17" t="s">
        <v>2127</v>
      </c>
      <c r="AE521" s="145" t="s">
        <v>2128</v>
      </c>
      <c r="AF521" s="146"/>
      <c r="AG521" s="146"/>
      <c r="AH521" s="146"/>
      <c r="AI521" s="147"/>
      <c r="AJ521" s="148"/>
      <c r="AK521" s="143"/>
      <c r="AL521" s="143"/>
      <c r="AM521" s="22" t="s">
        <v>51</v>
      </c>
      <c r="AN521" s="149"/>
      <c r="AO521" s="144"/>
      <c r="AP521" s="148"/>
      <c r="AQ521" s="144"/>
      <c r="AR521" s="120"/>
      <c r="AS521" s="121"/>
      <c r="AT521" s="120"/>
      <c r="AU521" s="182"/>
      <c r="AV521" s="120"/>
      <c r="AW521" s="121"/>
      <c r="AX521" s="120"/>
      <c r="AY521" s="121"/>
      <c r="AZ521" s="201"/>
    </row>
    <row r="522" spans="1:52" ht="17.100000000000001" customHeight="1" thickTop="1">
      <c r="A522" s="109" t="s">
        <v>5998</v>
      </c>
      <c r="B522" s="28">
        <v>44817</v>
      </c>
      <c r="C522" s="25">
        <v>1761</v>
      </c>
      <c r="D522" s="13" t="s">
        <v>1888</v>
      </c>
      <c r="E522" s="111"/>
      <c r="F522" s="113" t="s">
        <v>2129</v>
      </c>
      <c r="G522" s="273"/>
      <c r="H522" s="274"/>
      <c r="I522" s="24"/>
      <c r="J522" s="116">
        <v>4.5</v>
      </c>
      <c r="K522" s="118">
        <v>3094000</v>
      </c>
      <c r="L522" s="119"/>
      <c r="M522" s="118">
        <v>309400</v>
      </c>
      <c r="N522" s="119"/>
      <c r="O522" s="118">
        <v>0</v>
      </c>
      <c r="P522" s="119"/>
      <c r="Q522" s="118">
        <v>16880</v>
      </c>
      <c r="R522" s="119"/>
      <c r="S522" s="118">
        <v>15950</v>
      </c>
      <c r="T522" s="119"/>
      <c r="U522" s="118">
        <f>SUM(K522:T523)</f>
        <v>3436230</v>
      </c>
      <c r="V522" s="119"/>
      <c r="W522" s="124"/>
      <c r="X522" s="127" t="s">
        <v>2130</v>
      </c>
      <c r="Y522" s="223"/>
      <c r="Z522" s="223"/>
      <c r="AA522" s="223"/>
      <c r="AB522" s="224"/>
      <c r="AC522" s="15" t="s">
        <v>20</v>
      </c>
      <c r="AD522" s="129" t="s">
        <v>1670</v>
      </c>
      <c r="AE522" s="130"/>
      <c r="AF522" s="130"/>
      <c r="AG522" s="130"/>
      <c r="AH522" s="130"/>
      <c r="AI522" s="131"/>
      <c r="AJ522" s="132"/>
      <c r="AK522" s="127"/>
      <c r="AL522" s="127"/>
      <c r="AM522" s="21"/>
      <c r="AN522" s="133"/>
      <c r="AO522" s="134"/>
      <c r="AP522" s="135"/>
      <c r="AQ522" s="136"/>
      <c r="AR522" s="118"/>
      <c r="AS522" s="119"/>
      <c r="AT522" s="180">
        <f>AR522*0.1</f>
        <v>0</v>
      </c>
      <c r="AU522" s="181"/>
      <c r="AV522" s="118"/>
      <c r="AW522" s="119"/>
      <c r="AX522" s="118">
        <f>SUM(AR522:AW522)</f>
        <v>0</v>
      </c>
      <c r="AY522" s="119"/>
      <c r="AZ522" s="200"/>
    </row>
    <row r="523" spans="1:52" ht="17.100000000000001" customHeight="1" thickBot="1">
      <c r="A523" s="110"/>
      <c r="B523" s="27" t="s">
        <v>2131</v>
      </c>
      <c r="C523" s="27">
        <v>5014</v>
      </c>
      <c r="D523" s="14" t="s">
        <v>1720</v>
      </c>
      <c r="E523" s="112"/>
      <c r="F523" s="139" t="s">
        <v>2132</v>
      </c>
      <c r="G523" s="140"/>
      <c r="H523" s="141"/>
      <c r="I523" s="26">
        <v>36629</v>
      </c>
      <c r="J523" s="117"/>
      <c r="K523" s="120"/>
      <c r="L523" s="121"/>
      <c r="M523" s="120"/>
      <c r="N523" s="121"/>
      <c r="O523" s="120"/>
      <c r="P523" s="121"/>
      <c r="Q523" s="120"/>
      <c r="R523" s="121"/>
      <c r="S523" s="120"/>
      <c r="T523" s="121"/>
      <c r="U523" s="120"/>
      <c r="V523" s="121"/>
      <c r="W523" s="125"/>
      <c r="X523" s="143" t="s">
        <v>2133</v>
      </c>
      <c r="Y523" s="143"/>
      <c r="Z523" s="143"/>
      <c r="AA523" s="143"/>
      <c r="AB523" s="144"/>
      <c r="AC523" s="16" t="s">
        <v>21</v>
      </c>
      <c r="AD523" s="17" t="s">
        <v>1595</v>
      </c>
      <c r="AE523" s="145" t="s">
        <v>2134</v>
      </c>
      <c r="AF523" s="146"/>
      <c r="AG523" s="146"/>
      <c r="AH523" s="146"/>
      <c r="AI523" s="147"/>
      <c r="AJ523" s="148"/>
      <c r="AK523" s="143"/>
      <c r="AL523" s="143"/>
      <c r="AM523" s="22"/>
      <c r="AN523" s="149"/>
      <c r="AO523" s="144"/>
      <c r="AP523" s="148"/>
      <c r="AQ523" s="144"/>
      <c r="AR523" s="120"/>
      <c r="AS523" s="121"/>
      <c r="AT523" s="120"/>
      <c r="AU523" s="182"/>
      <c r="AV523" s="120"/>
      <c r="AW523" s="121"/>
      <c r="AX523" s="120"/>
      <c r="AY523" s="121"/>
      <c r="AZ523" s="201"/>
    </row>
    <row r="524" spans="1:52" ht="17.100000000000001" customHeight="1" thickTop="1">
      <c r="A524" s="109" t="s">
        <v>5999</v>
      </c>
      <c r="B524" s="28">
        <v>44820</v>
      </c>
      <c r="C524" s="25"/>
      <c r="D524" s="13" t="s">
        <v>2135</v>
      </c>
      <c r="E524" s="111"/>
      <c r="F524" s="113" t="s">
        <v>2136</v>
      </c>
      <c r="G524" s="273"/>
      <c r="H524" s="274"/>
      <c r="I524" s="24" t="s">
        <v>1825</v>
      </c>
      <c r="J524" s="116">
        <v>4</v>
      </c>
      <c r="K524" s="118">
        <v>3090000</v>
      </c>
      <c r="L524" s="119"/>
      <c r="M524" s="118">
        <v>309000</v>
      </c>
      <c r="N524" s="119"/>
      <c r="O524" s="118">
        <v>19700</v>
      </c>
      <c r="P524" s="119"/>
      <c r="Q524" s="118">
        <v>22210</v>
      </c>
      <c r="R524" s="119"/>
      <c r="S524" s="118">
        <v>139975</v>
      </c>
      <c r="T524" s="119"/>
      <c r="U524" s="118">
        <f>SUM(K524:T525)</f>
        <v>3580885</v>
      </c>
      <c r="V524" s="119"/>
      <c r="W524" s="124"/>
      <c r="X524" s="127" t="s">
        <v>2137</v>
      </c>
      <c r="Y524" s="223"/>
      <c r="Z524" s="223"/>
      <c r="AA524" s="223"/>
      <c r="AB524" s="224"/>
      <c r="AC524" s="15" t="s">
        <v>20</v>
      </c>
      <c r="AD524" s="129" t="s">
        <v>171</v>
      </c>
      <c r="AE524" s="130"/>
      <c r="AF524" s="130"/>
      <c r="AG524" s="130"/>
      <c r="AH524" s="130"/>
      <c r="AI524" s="131"/>
      <c r="AJ524" s="132"/>
      <c r="AK524" s="127"/>
      <c r="AL524" s="127"/>
      <c r="AM524" s="21"/>
      <c r="AN524" s="133"/>
      <c r="AO524" s="134"/>
      <c r="AP524" s="135"/>
      <c r="AQ524" s="136"/>
      <c r="AR524" s="118"/>
      <c r="AS524" s="119"/>
      <c r="AT524" s="180">
        <f>AR524*0.1</f>
        <v>0</v>
      </c>
      <c r="AU524" s="181"/>
      <c r="AV524" s="118"/>
      <c r="AW524" s="119"/>
      <c r="AX524" s="118">
        <f>SUM(AR524:AW524)</f>
        <v>0</v>
      </c>
      <c r="AY524" s="119"/>
      <c r="AZ524" s="200"/>
    </row>
    <row r="525" spans="1:52" ht="17.100000000000001" customHeight="1" thickBot="1">
      <c r="A525" s="110"/>
      <c r="B525" s="27" t="s">
        <v>1718</v>
      </c>
      <c r="C525" s="27" t="s">
        <v>2138</v>
      </c>
      <c r="D525" s="14" t="s">
        <v>1883</v>
      </c>
      <c r="E525" s="112"/>
      <c r="F525" s="139" t="s">
        <v>2139</v>
      </c>
      <c r="G525" s="140"/>
      <c r="H525" s="141"/>
      <c r="I525" s="26">
        <v>38643</v>
      </c>
      <c r="J525" s="117"/>
      <c r="K525" s="120"/>
      <c r="L525" s="121"/>
      <c r="M525" s="120"/>
      <c r="N525" s="121"/>
      <c r="O525" s="120"/>
      <c r="P525" s="121"/>
      <c r="Q525" s="120"/>
      <c r="R525" s="121"/>
      <c r="S525" s="120"/>
      <c r="T525" s="121"/>
      <c r="U525" s="120"/>
      <c r="V525" s="121"/>
      <c r="W525" s="125"/>
      <c r="X525" s="143" t="s">
        <v>2140</v>
      </c>
      <c r="Y525" s="143"/>
      <c r="Z525" s="143"/>
      <c r="AA525" s="143"/>
      <c r="AB525" s="144"/>
      <c r="AC525" s="16" t="s">
        <v>21</v>
      </c>
      <c r="AD525" s="17" t="s">
        <v>1604</v>
      </c>
      <c r="AE525" s="145" t="s">
        <v>1742</v>
      </c>
      <c r="AF525" s="146"/>
      <c r="AG525" s="146"/>
      <c r="AH525" s="146"/>
      <c r="AI525" s="147"/>
      <c r="AJ525" s="148"/>
      <c r="AK525" s="143"/>
      <c r="AL525" s="143"/>
      <c r="AM525" s="22"/>
      <c r="AN525" s="149"/>
      <c r="AO525" s="144"/>
      <c r="AP525" s="148"/>
      <c r="AQ525" s="144"/>
      <c r="AR525" s="120"/>
      <c r="AS525" s="121"/>
      <c r="AT525" s="120"/>
      <c r="AU525" s="182"/>
      <c r="AV525" s="120"/>
      <c r="AW525" s="121"/>
      <c r="AX525" s="120"/>
      <c r="AY525" s="121"/>
      <c r="AZ525" s="201"/>
    </row>
    <row r="526" spans="1:52" ht="17.100000000000001" customHeight="1" thickTop="1">
      <c r="A526" s="109" t="s">
        <v>6000</v>
      </c>
      <c r="B526" s="28">
        <v>44821</v>
      </c>
      <c r="C526" s="25">
        <v>1364</v>
      </c>
      <c r="D526" s="13" t="s">
        <v>2141</v>
      </c>
      <c r="E526" s="111"/>
      <c r="F526" s="113" t="s">
        <v>2142</v>
      </c>
      <c r="G526" s="273"/>
      <c r="H526" s="274"/>
      <c r="I526" s="24" t="s">
        <v>2122</v>
      </c>
      <c r="J526" s="116">
        <v>5</v>
      </c>
      <c r="K526" s="118">
        <v>7650000</v>
      </c>
      <c r="L526" s="119"/>
      <c r="M526" s="118">
        <v>765000</v>
      </c>
      <c r="N526" s="119"/>
      <c r="O526" s="118">
        <v>44000</v>
      </c>
      <c r="P526" s="119"/>
      <c r="Q526" s="118">
        <v>12740</v>
      </c>
      <c r="R526" s="119"/>
      <c r="S526" s="118">
        <v>13200</v>
      </c>
      <c r="T526" s="119"/>
      <c r="U526" s="118">
        <f>SUM(K526:T527)</f>
        <v>8484940</v>
      </c>
      <c r="V526" s="119"/>
      <c r="W526" s="124"/>
      <c r="X526" s="127" t="s">
        <v>2143</v>
      </c>
      <c r="Y526" s="223"/>
      <c r="Z526" s="223"/>
      <c r="AA526" s="223"/>
      <c r="AB526" s="224"/>
      <c r="AC526" s="15" t="s">
        <v>20</v>
      </c>
      <c r="AD526" s="129" t="s">
        <v>2144</v>
      </c>
      <c r="AE526" s="130"/>
      <c r="AF526" s="130"/>
      <c r="AG526" s="130"/>
      <c r="AH526" s="130"/>
      <c r="AI526" s="131"/>
      <c r="AJ526" s="132"/>
      <c r="AK526" s="127"/>
      <c r="AL526" s="127"/>
      <c r="AM526" s="21" t="s">
        <v>2145</v>
      </c>
      <c r="AN526" s="133"/>
      <c r="AO526" s="134"/>
      <c r="AP526" s="135"/>
      <c r="AQ526" s="136"/>
      <c r="AR526" s="118"/>
      <c r="AS526" s="119"/>
      <c r="AT526" s="180">
        <f>AR526*0.1</f>
        <v>0</v>
      </c>
      <c r="AU526" s="181"/>
      <c r="AV526" s="118"/>
      <c r="AW526" s="119"/>
      <c r="AX526" s="118">
        <f>SUM(AR526:AW526)</f>
        <v>0</v>
      </c>
      <c r="AY526" s="119"/>
      <c r="AZ526" s="200"/>
    </row>
    <row r="527" spans="1:52" ht="17.100000000000001" customHeight="1" thickBot="1">
      <c r="A527" s="110"/>
      <c r="B527" s="27" t="s">
        <v>1555</v>
      </c>
      <c r="C527" s="27">
        <v>83022</v>
      </c>
      <c r="D527" s="14" t="s">
        <v>1883</v>
      </c>
      <c r="E527" s="112"/>
      <c r="F527" s="139" t="s">
        <v>2146</v>
      </c>
      <c r="G527" s="140"/>
      <c r="H527" s="141"/>
      <c r="I527" s="26">
        <v>12914</v>
      </c>
      <c r="J527" s="117"/>
      <c r="K527" s="120"/>
      <c r="L527" s="121"/>
      <c r="M527" s="120"/>
      <c r="N527" s="121"/>
      <c r="O527" s="120"/>
      <c r="P527" s="121"/>
      <c r="Q527" s="120"/>
      <c r="R527" s="121"/>
      <c r="S527" s="120"/>
      <c r="T527" s="121"/>
      <c r="U527" s="120"/>
      <c r="V527" s="121"/>
      <c r="W527" s="125"/>
      <c r="X527" s="143" t="s">
        <v>2147</v>
      </c>
      <c r="Y527" s="143"/>
      <c r="Z527" s="143"/>
      <c r="AA527" s="143"/>
      <c r="AB527" s="144"/>
      <c r="AC527" s="16" t="s">
        <v>21</v>
      </c>
      <c r="AD527" s="17" t="s">
        <v>2148</v>
      </c>
      <c r="AE527" s="145" t="s">
        <v>2144</v>
      </c>
      <c r="AF527" s="146"/>
      <c r="AG527" s="146"/>
      <c r="AH527" s="146"/>
      <c r="AI527" s="147"/>
      <c r="AJ527" s="148"/>
      <c r="AK527" s="143"/>
      <c r="AL527" s="143"/>
      <c r="AM527" s="22" t="s">
        <v>51</v>
      </c>
      <c r="AN527" s="149"/>
      <c r="AO527" s="144"/>
      <c r="AP527" s="148"/>
      <c r="AQ527" s="144"/>
      <c r="AR527" s="120"/>
      <c r="AS527" s="121"/>
      <c r="AT527" s="120"/>
      <c r="AU527" s="182"/>
      <c r="AV527" s="120"/>
      <c r="AW527" s="121"/>
      <c r="AX527" s="120"/>
      <c r="AY527" s="121"/>
      <c r="AZ527" s="201"/>
    </row>
    <row r="528" spans="1:52" ht="17.100000000000001" customHeight="1" thickTop="1">
      <c r="A528" s="109" t="s">
        <v>6001</v>
      </c>
      <c r="B528" s="28">
        <v>44828</v>
      </c>
      <c r="C528" s="25">
        <v>1122</v>
      </c>
      <c r="D528" s="13" t="s">
        <v>2135</v>
      </c>
      <c r="E528" s="111"/>
      <c r="F528" s="113" t="s">
        <v>2149</v>
      </c>
      <c r="G528" s="273"/>
      <c r="H528" s="274"/>
      <c r="I528" s="24"/>
      <c r="J528" s="116">
        <v>4</v>
      </c>
      <c r="K528" s="118">
        <v>2925000</v>
      </c>
      <c r="L528" s="119"/>
      <c r="M528" s="118">
        <v>292500</v>
      </c>
      <c r="N528" s="119"/>
      <c r="O528" s="118">
        <v>0</v>
      </c>
      <c r="P528" s="119"/>
      <c r="Q528" s="118">
        <v>22280</v>
      </c>
      <c r="R528" s="119"/>
      <c r="S528" s="118">
        <v>13200</v>
      </c>
      <c r="T528" s="119"/>
      <c r="U528" s="118">
        <f>SUM(K528:T529)</f>
        <v>3252980</v>
      </c>
      <c r="V528" s="119"/>
      <c r="W528" s="124"/>
      <c r="X528" s="127" t="s">
        <v>2150</v>
      </c>
      <c r="Y528" s="223"/>
      <c r="Z528" s="223"/>
      <c r="AA528" s="223"/>
      <c r="AB528" s="224"/>
      <c r="AC528" s="15" t="s">
        <v>20</v>
      </c>
      <c r="AD528" s="129" t="s">
        <v>1575</v>
      </c>
      <c r="AE528" s="130"/>
      <c r="AF528" s="130"/>
      <c r="AG528" s="130"/>
      <c r="AH528" s="130"/>
      <c r="AI528" s="131"/>
      <c r="AJ528" s="132"/>
      <c r="AK528" s="127"/>
      <c r="AL528" s="127"/>
      <c r="AM528" s="21"/>
      <c r="AN528" s="133"/>
      <c r="AO528" s="134"/>
      <c r="AP528" s="135"/>
      <c r="AQ528" s="136"/>
      <c r="AR528" s="118"/>
      <c r="AS528" s="119"/>
      <c r="AT528" s="180">
        <f>AR528*0.1</f>
        <v>0</v>
      </c>
      <c r="AU528" s="181"/>
      <c r="AV528" s="118"/>
      <c r="AW528" s="119"/>
      <c r="AX528" s="118">
        <f>SUM(AR528:AW528)</f>
        <v>0</v>
      </c>
      <c r="AY528" s="119"/>
      <c r="AZ528" s="200"/>
    </row>
    <row r="529" spans="1:52" ht="17.100000000000001" customHeight="1" thickBot="1">
      <c r="A529" s="110"/>
      <c r="B529" s="27" t="s">
        <v>1567</v>
      </c>
      <c r="C529" s="27">
        <v>82267</v>
      </c>
      <c r="D529" s="14" t="s">
        <v>133</v>
      </c>
      <c r="E529" s="112"/>
      <c r="F529" s="139" t="s">
        <v>2151</v>
      </c>
      <c r="G529" s="140"/>
      <c r="H529" s="141"/>
      <c r="I529" s="26">
        <v>31486</v>
      </c>
      <c r="J529" s="117"/>
      <c r="K529" s="120"/>
      <c r="L529" s="121"/>
      <c r="M529" s="120"/>
      <c r="N529" s="121"/>
      <c r="O529" s="120"/>
      <c r="P529" s="121"/>
      <c r="Q529" s="120"/>
      <c r="R529" s="121"/>
      <c r="S529" s="120"/>
      <c r="T529" s="121"/>
      <c r="U529" s="120"/>
      <c r="V529" s="121"/>
      <c r="W529" s="125"/>
      <c r="X529" s="143" t="s">
        <v>441</v>
      </c>
      <c r="Y529" s="143"/>
      <c r="Z529" s="143"/>
      <c r="AA529" s="143"/>
      <c r="AB529" s="144"/>
      <c r="AC529" s="16" t="s">
        <v>21</v>
      </c>
      <c r="AD529" s="17" t="s">
        <v>2152</v>
      </c>
      <c r="AE529" s="145" t="s">
        <v>1614</v>
      </c>
      <c r="AF529" s="146"/>
      <c r="AG529" s="146"/>
      <c r="AH529" s="146"/>
      <c r="AI529" s="147"/>
      <c r="AJ529" s="148"/>
      <c r="AK529" s="143"/>
      <c r="AL529" s="143"/>
      <c r="AM529" s="22"/>
      <c r="AN529" s="149"/>
      <c r="AO529" s="144"/>
      <c r="AP529" s="148"/>
      <c r="AQ529" s="144"/>
      <c r="AR529" s="120"/>
      <c r="AS529" s="121"/>
      <c r="AT529" s="120"/>
      <c r="AU529" s="182"/>
      <c r="AV529" s="120"/>
      <c r="AW529" s="121"/>
      <c r="AX529" s="120"/>
      <c r="AY529" s="121"/>
      <c r="AZ529" s="201"/>
    </row>
    <row r="530" spans="1:52" ht="17.100000000000001" customHeight="1" thickTop="1">
      <c r="A530" s="109" t="s">
        <v>6002</v>
      </c>
      <c r="B530" s="28">
        <v>44833</v>
      </c>
      <c r="C530" s="25">
        <v>1388</v>
      </c>
      <c r="D530" s="13" t="s">
        <v>1855</v>
      </c>
      <c r="E530" s="111"/>
      <c r="F530" s="113" t="s">
        <v>1938</v>
      </c>
      <c r="G530" s="273"/>
      <c r="H530" s="274"/>
      <c r="I530" s="24"/>
      <c r="J530" s="116">
        <v>4.5</v>
      </c>
      <c r="K530" s="118">
        <v>1075000</v>
      </c>
      <c r="L530" s="119"/>
      <c r="M530" s="118">
        <v>107500</v>
      </c>
      <c r="N530" s="119"/>
      <c r="O530" s="118">
        <v>0</v>
      </c>
      <c r="P530" s="119"/>
      <c r="Q530" s="118">
        <v>17700</v>
      </c>
      <c r="R530" s="119"/>
      <c r="S530" s="118">
        <v>13200</v>
      </c>
      <c r="T530" s="119"/>
      <c r="U530" s="118">
        <f>SUM(K530:T531)</f>
        <v>1213400</v>
      </c>
      <c r="V530" s="119"/>
      <c r="W530" s="124"/>
      <c r="X530" s="127" t="s">
        <v>2153</v>
      </c>
      <c r="Y530" s="223"/>
      <c r="Z530" s="223"/>
      <c r="AA530" s="223"/>
      <c r="AB530" s="224"/>
      <c r="AC530" s="15" t="s">
        <v>20</v>
      </c>
      <c r="AD530" s="129" t="s">
        <v>1945</v>
      </c>
      <c r="AE530" s="130"/>
      <c r="AF530" s="130"/>
      <c r="AG530" s="130"/>
      <c r="AH530" s="130"/>
      <c r="AI530" s="131"/>
      <c r="AJ530" s="132"/>
      <c r="AK530" s="127"/>
      <c r="AL530" s="127"/>
      <c r="AM530" s="21"/>
      <c r="AN530" s="133"/>
      <c r="AO530" s="134"/>
      <c r="AP530" s="135"/>
      <c r="AQ530" s="136"/>
      <c r="AR530" s="118"/>
      <c r="AS530" s="119"/>
      <c r="AT530" s="180">
        <f>AR530*0.1</f>
        <v>0</v>
      </c>
      <c r="AU530" s="181"/>
      <c r="AV530" s="118"/>
      <c r="AW530" s="119"/>
      <c r="AX530" s="118">
        <f>SUM(AR530:AW530)</f>
        <v>0</v>
      </c>
      <c r="AY530" s="119"/>
      <c r="AZ530" s="200"/>
    </row>
    <row r="531" spans="1:52" ht="17.100000000000001" customHeight="1" thickBot="1">
      <c r="A531" s="110"/>
      <c r="B531" s="27" t="s">
        <v>1600</v>
      </c>
      <c r="C531" s="27">
        <v>76280</v>
      </c>
      <c r="D531" s="14" t="s">
        <v>1934</v>
      </c>
      <c r="E531" s="112"/>
      <c r="F531" s="139" t="s">
        <v>2154</v>
      </c>
      <c r="G531" s="140"/>
      <c r="H531" s="141"/>
      <c r="I531" s="26">
        <v>49014</v>
      </c>
      <c r="J531" s="117"/>
      <c r="K531" s="120"/>
      <c r="L531" s="121"/>
      <c r="M531" s="120"/>
      <c r="N531" s="121"/>
      <c r="O531" s="120"/>
      <c r="P531" s="121"/>
      <c r="Q531" s="120"/>
      <c r="R531" s="121"/>
      <c r="S531" s="120"/>
      <c r="T531" s="121"/>
      <c r="U531" s="120"/>
      <c r="V531" s="121"/>
      <c r="W531" s="125"/>
      <c r="X531" s="143" t="s">
        <v>2155</v>
      </c>
      <c r="Y531" s="143"/>
      <c r="Z531" s="143"/>
      <c r="AA531" s="143"/>
      <c r="AB531" s="144"/>
      <c r="AC531" s="16" t="s">
        <v>21</v>
      </c>
      <c r="AD531" s="17" t="s">
        <v>2156</v>
      </c>
      <c r="AE531" s="145" t="s">
        <v>1945</v>
      </c>
      <c r="AF531" s="146"/>
      <c r="AG531" s="146"/>
      <c r="AH531" s="146"/>
      <c r="AI531" s="147"/>
      <c r="AJ531" s="148"/>
      <c r="AK531" s="143"/>
      <c r="AL531" s="143"/>
      <c r="AM531" s="22"/>
      <c r="AN531" s="149"/>
      <c r="AO531" s="144"/>
      <c r="AP531" s="148"/>
      <c r="AQ531" s="144"/>
      <c r="AR531" s="120"/>
      <c r="AS531" s="121"/>
      <c r="AT531" s="120"/>
      <c r="AU531" s="182"/>
      <c r="AV531" s="120"/>
      <c r="AW531" s="121"/>
      <c r="AX531" s="120"/>
      <c r="AY531" s="121"/>
      <c r="AZ531" s="201"/>
    </row>
    <row r="532" spans="1:52" ht="17.100000000000001" customHeight="1" thickTop="1">
      <c r="A532" s="109" t="s">
        <v>6003</v>
      </c>
      <c r="B532" s="28">
        <v>44840</v>
      </c>
      <c r="C532" s="25">
        <v>1849</v>
      </c>
      <c r="D532" s="13" t="s">
        <v>2157</v>
      </c>
      <c r="E532" s="111"/>
      <c r="F532" s="113" t="s">
        <v>2158</v>
      </c>
      <c r="G532" s="273"/>
      <c r="H532" s="274"/>
      <c r="I532" s="24" t="s">
        <v>2001</v>
      </c>
      <c r="J532" s="116">
        <v>4</v>
      </c>
      <c r="K532" s="118">
        <v>612000</v>
      </c>
      <c r="L532" s="119"/>
      <c r="M532" s="118">
        <v>61200</v>
      </c>
      <c r="N532" s="119"/>
      <c r="O532" s="118">
        <v>0</v>
      </c>
      <c r="P532" s="119"/>
      <c r="Q532" s="118">
        <v>9790</v>
      </c>
      <c r="R532" s="119"/>
      <c r="S532" s="118">
        <v>19800</v>
      </c>
      <c r="T532" s="119"/>
      <c r="U532" s="118">
        <f>SUM(K532:T533)</f>
        <v>702790</v>
      </c>
      <c r="V532" s="119"/>
      <c r="W532" s="124"/>
      <c r="X532" s="127" t="s">
        <v>2159</v>
      </c>
      <c r="Y532" s="223"/>
      <c r="Z532" s="223"/>
      <c r="AA532" s="223"/>
      <c r="AB532" s="224"/>
      <c r="AC532" s="15" t="s">
        <v>20</v>
      </c>
      <c r="AD532" s="129"/>
      <c r="AE532" s="130"/>
      <c r="AF532" s="130"/>
      <c r="AG532" s="130"/>
      <c r="AH532" s="130"/>
      <c r="AI532" s="131"/>
      <c r="AJ532" s="132"/>
      <c r="AK532" s="127"/>
      <c r="AL532" s="127"/>
      <c r="AM532" s="21" t="s">
        <v>2160</v>
      </c>
      <c r="AN532" s="133"/>
      <c r="AO532" s="134"/>
      <c r="AP532" s="135"/>
      <c r="AQ532" s="136"/>
      <c r="AR532" s="118"/>
      <c r="AS532" s="119"/>
      <c r="AT532" s="180">
        <f>AR532*0.1</f>
        <v>0</v>
      </c>
      <c r="AU532" s="181"/>
      <c r="AV532" s="118"/>
      <c r="AW532" s="119"/>
      <c r="AX532" s="118">
        <f>SUM(AR532:AW532)</f>
        <v>0</v>
      </c>
      <c r="AY532" s="119"/>
      <c r="AZ532" s="200"/>
    </row>
    <row r="533" spans="1:52" ht="17.100000000000001" customHeight="1" thickBot="1">
      <c r="A533" s="110"/>
      <c r="B533" s="27" t="s">
        <v>2161</v>
      </c>
      <c r="C533" s="27">
        <v>50352</v>
      </c>
      <c r="D533" s="14" t="s">
        <v>275</v>
      </c>
      <c r="E533" s="112"/>
      <c r="F533" s="139" t="s">
        <v>2162</v>
      </c>
      <c r="G533" s="140"/>
      <c r="H533" s="141"/>
      <c r="I533" s="26">
        <v>48287</v>
      </c>
      <c r="J533" s="117"/>
      <c r="K533" s="120"/>
      <c r="L533" s="121"/>
      <c r="M533" s="120"/>
      <c r="N533" s="121"/>
      <c r="O533" s="120"/>
      <c r="P533" s="121"/>
      <c r="Q533" s="120"/>
      <c r="R533" s="121"/>
      <c r="S533" s="120"/>
      <c r="T533" s="121"/>
      <c r="U533" s="120"/>
      <c r="V533" s="121"/>
      <c r="W533" s="125"/>
      <c r="X533" s="143" t="s">
        <v>2163</v>
      </c>
      <c r="Y533" s="143"/>
      <c r="Z533" s="143"/>
      <c r="AA533" s="143"/>
      <c r="AB533" s="144"/>
      <c r="AC533" s="16" t="s">
        <v>21</v>
      </c>
      <c r="AD533" s="17" t="s">
        <v>2164</v>
      </c>
      <c r="AE533" s="145" t="s">
        <v>2165</v>
      </c>
      <c r="AF533" s="146"/>
      <c r="AG533" s="146"/>
      <c r="AH533" s="146"/>
      <c r="AI533" s="147"/>
      <c r="AJ533" s="148"/>
      <c r="AK533" s="143"/>
      <c r="AL533" s="143"/>
      <c r="AM533" s="22"/>
      <c r="AN533" s="149"/>
      <c r="AO533" s="144"/>
      <c r="AP533" s="148"/>
      <c r="AQ533" s="144"/>
      <c r="AR533" s="120"/>
      <c r="AS533" s="121"/>
      <c r="AT533" s="120"/>
      <c r="AU533" s="182"/>
      <c r="AV533" s="120"/>
      <c r="AW533" s="121"/>
      <c r="AX533" s="120"/>
      <c r="AY533" s="121"/>
      <c r="AZ533" s="201"/>
    </row>
    <row r="534" spans="1:52" ht="17.100000000000001" customHeight="1" thickTop="1">
      <c r="A534" s="109" t="s">
        <v>6004</v>
      </c>
      <c r="B534" s="28">
        <v>44847</v>
      </c>
      <c r="C534" s="25">
        <v>1390</v>
      </c>
      <c r="D534" s="13" t="s">
        <v>2166</v>
      </c>
      <c r="E534" s="111"/>
      <c r="F534" s="113" t="s">
        <v>2167</v>
      </c>
      <c r="G534" s="273"/>
      <c r="H534" s="274"/>
      <c r="I534" s="24" t="s">
        <v>1688</v>
      </c>
      <c r="J534" s="116">
        <v>3.5</v>
      </c>
      <c r="K534" s="118">
        <v>585000</v>
      </c>
      <c r="L534" s="119"/>
      <c r="M534" s="118">
        <v>58500</v>
      </c>
      <c r="N534" s="119"/>
      <c r="O534" s="118">
        <v>31800</v>
      </c>
      <c r="P534" s="119"/>
      <c r="Q534" s="118">
        <v>15530</v>
      </c>
      <c r="R534" s="119"/>
      <c r="S534" s="118">
        <v>13200</v>
      </c>
      <c r="T534" s="119"/>
      <c r="U534" s="118">
        <f>SUM(K534:T535)</f>
        <v>704030</v>
      </c>
      <c r="V534" s="119"/>
      <c r="W534" s="124"/>
      <c r="X534" s="127" t="s">
        <v>2168</v>
      </c>
      <c r="Y534" s="223"/>
      <c r="Z534" s="223"/>
      <c r="AA534" s="223"/>
      <c r="AB534" s="224"/>
      <c r="AC534" s="15" t="s">
        <v>20</v>
      </c>
      <c r="AD534" s="129" t="s">
        <v>171</v>
      </c>
      <c r="AE534" s="130"/>
      <c r="AF534" s="130"/>
      <c r="AG534" s="130"/>
      <c r="AH534" s="130"/>
      <c r="AI534" s="131"/>
      <c r="AJ534" s="132"/>
      <c r="AK534" s="127"/>
      <c r="AL534" s="127"/>
      <c r="AM534" s="21"/>
      <c r="AN534" s="133"/>
      <c r="AO534" s="134"/>
      <c r="AP534" s="135"/>
      <c r="AQ534" s="136"/>
      <c r="AR534" s="118"/>
      <c r="AS534" s="119"/>
      <c r="AT534" s="180">
        <f>AR534*0.1</f>
        <v>0</v>
      </c>
      <c r="AU534" s="181"/>
      <c r="AV534" s="118"/>
      <c r="AW534" s="119"/>
      <c r="AX534" s="118">
        <f>SUM(AR534:AW534)</f>
        <v>0</v>
      </c>
      <c r="AY534" s="119"/>
      <c r="AZ534" s="200"/>
    </row>
    <row r="535" spans="1:52" ht="17.100000000000001" customHeight="1" thickBot="1">
      <c r="A535" s="110"/>
      <c r="B535" s="27" t="s">
        <v>1600</v>
      </c>
      <c r="C535" s="27">
        <v>75445</v>
      </c>
      <c r="D535" s="14" t="s">
        <v>1635</v>
      </c>
      <c r="E535" s="112"/>
      <c r="F535" s="139" t="s">
        <v>2169</v>
      </c>
      <c r="G535" s="140"/>
      <c r="H535" s="141"/>
      <c r="I535" s="26">
        <v>51490</v>
      </c>
      <c r="J535" s="117"/>
      <c r="K535" s="120"/>
      <c r="L535" s="121"/>
      <c r="M535" s="120"/>
      <c r="N535" s="121"/>
      <c r="O535" s="120"/>
      <c r="P535" s="121"/>
      <c r="Q535" s="120"/>
      <c r="R535" s="121"/>
      <c r="S535" s="120"/>
      <c r="T535" s="121"/>
      <c r="U535" s="120"/>
      <c r="V535" s="121"/>
      <c r="W535" s="125"/>
      <c r="X535" s="143" t="s">
        <v>2170</v>
      </c>
      <c r="Y535" s="143"/>
      <c r="Z535" s="143"/>
      <c r="AA535" s="143"/>
      <c r="AB535" s="144"/>
      <c r="AC535" s="16" t="s">
        <v>21</v>
      </c>
      <c r="AD535" s="17" t="s">
        <v>2171</v>
      </c>
      <c r="AE535" s="145" t="s">
        <v>2172</v>
      </c>
      <c r="AF535" s="146"/>
      <c r="AG535" s="146"/>
      <c r="AH535" s="146"/>
      <c r="AI535" s="147"/>
      <c r="AJ535" s="148"/>
      <c r="AK535" s="143"/>
      <c r="AL535" s="143"/>
      <c r="AM535" s="22" t="s">
        <v>2173</v>
      </c>
      <c r="AN535" s="149"/>
      <c r="AO535" s="144"/>
      <c r="AP535" s="148"/>
      <c r="AQ535" s="144"/>
      <c r="AR535" s="120"/>
      <c r="AS535" s="121"/>
      <c r="AT535" s="120"/>
      <c r="AU535" s="182"/>
      <c r="AV535" s="120"/>
      <c r="AW535" s="121"/>
      <c r="AX535" s="120"/>
      <c r="AY535" s="121"/>
      <c r="AZ535" s="201"/>
    </row>
    <row r="536" spans="1:52" ht="17.100000000000001" customHeight="1" thickTop="1">
      <c r="A536" s="109" t="s">
        <v>6005</v>
      </c>
      <c r="B536" s="28">
        <v>44847</v>
      </c>
      <c r="C536" s="25">
        <v>1156</v>
      </c>
      <c r="D536" s="13" t="s">
        <v>2135</v>
      </c>
      <c r="E536" s="111"/>
      <c r="F536" s="113" t="s">
        <v>2174</v>
      </c>
      <c r="G536" s="273"/>
      <c r="H536" s="274"/>
      <c r="I536" s="24"/>
      <c r="J536" s="116">
        <v>4.5</v>
      </c>
      <c r="K536" s="118">
        <v>2655000</v>
      </c>
      <c r="L536" s="119"/>
      <c r="M536" s="118">
        <v>265500</v>
      </c>
      <c r="N536" s="119"/>
      <c r="O536" s="118">
        <v>0</v>
      </c>
      <c r="P536" s="119"/>
      <c r="Q536" s="118">
        <v>19090</v>
      </c>
      <c r="R536" s="119"/>
      <c r="S536" s="118">
        <v>13200</v>
      </c>
      <c r="T536" s="119"/>
      <c r="U536" s="118">
        <f>SUM(K536:T537)</f>
        <v>2952790</v>
      </c>
      <c r="V536" s="119"/>
      <c r="W536" s="124"/>
      <c r="X536" s="127" t="s">
        <v>2175</v>
      </c>
      <c r="Y536" s="223"/>
      <c r="Z536" s="223"/>
      <c r="AA536" s="223"/>
      <c r="AB536" s="224"/>
      <c r="AC536" s="15" t="s">
        <v>20</v>
      </c>
      <c r="AD536" s="129" t="s">
        <v>2176</v>
      </c>
      <c r="AE536" s="130"/>
      <c r="AF536" s="130"/>
      <c r="AG536" s="130"/>
      <c r="AH536" s="130"/>
      <c r="AI536" s="131"/>
      <c r="AJ536" s="132"/>
      <c r="AK536" s="127"/>
      <c r="AL536" s="127"/>
      <c r="AM536" s="21"/>
      <c r="AN536" s="133"/>
      <c r="AO536" s="134"/>
      <c r="AP536" s="135"/>
      <c r="AQ536" s="136"/>
      <c r="AR536" s="118"/>
      <c r="AS536" s="119"/>
      <c r="AT536" s="180">
        <f>AR536*0.1</f>
        <v>0</v>
      </c>
      <c r="AU536" s="181"/>
      <c r="AV536" s="118"/>
      <c r="AW536" s="119"/>
      <c r="AX536" s="118">
        <f>SUM(AR536:AW536)</f>
        <v>0</v>
      </c>
      <c r="AY536" s="119"/>
      <c r="AZ536" s="200"/>
    </row>
    <row r="537" spans="1:52" ht="17.100000000000001" customHeight="1" thickBot="1">
      <c r="A537" s="110"/>
      <c r="B537" s="27" t="s">
        <v>1747</v>
      </c>
      <c r="C537" s="27">
        <v>351</v>
      </c>
      <c r="D537" s="14" t="s">
        <v>1592</v>
      </c>
      <c r="E537" s="112"/>
      <c r="F537" s="139" t="s">
        <v>2177</v>
      </c>
      <c r="G537" s="140"/>
      <c r="H537" s="141"/>
      <c r="I537" s="26">
        <v>37052</v>
      </c>
      <c r="J537" s="117"/>
      <c r="K537" s="120"/>
      <c r="L537" s="121"/>
      <c r="M537" s="120"/>
      <c r="N537" s="121"/>
      <c r="O537" s="120"/>
      <c r="P537" s="121"/>
      <c r="Q537" s="120"/>
      <c r="R537" s="121"/>
      <c r="S537" s="120"/>
      <c r="T537" s="121"/>
      <c r="U537" s="120"/>
      <c r="V537" s="121"/>
      <c r="W537" s="125"/>
      <c r="X537" s="143" t="s">
        <v>2178</v>
      </c>
      <c r="Y537" s="143"/>
      <c r="Z537" s="143"/>
      <c r="AA537" s="143"/>
      <c r="AB537" s="144"/>
      <c r="AC537" s="16" t="s">
        <v>21</v>
      </c>
      <c r="AD537" s="17" t="s">
        <v>2171</v>
      </c>
      <c r="AE537" s="145" t="s">
        <v>1614</v>
      </c>
      <c r="AF537" s="146"/>
      <c r="AG537" s="146"/>
      <c r="AH537" s="146"/>
      <c r="AI537" s="147"/>
      <c r="AJ537" s="148"/>
      <c r="AK537" s="143"/>
      <c r="AL537" s="143"/>
      <c r="AM537" s="22"/>
      <c r="AN537" s="149"/>
      <c r="AO537" s="144"/>
      <c r="AP537" s="148"/>
      <c r="AQ537" s="144"/>
      <c r="AR537" s="120"/>
      <c r="AS537" s="121"/>
      <c r="AT537" s="120"/>
      <c r="AU537" s="182"/>
      <c r="AV537" s="120"/>
      <c r="AW537" s="121"/>
      <c r="AX537" s="120"/>
      <c r="AY537" s="121"/>
      <c r="AZ537" s="201"/>
    </row>
    <row r="538" spans="1:52" ht="17.100000000000001" customHeight="1" thickTop="1">
      <c r="A538" s="109" t="s">
        <v>6006</v>
      </c>
      <c r="B538" s="28">
        <v>44862</v>
      </c>
      <c r="C538" s="25"/>
      <c r="D538" s="13" t="s">
        <v>2179</v>
      </c>
      <c r="E538" s="111"/>
      <c r="F538" s="113" t="s">
        <v>2180</v>
      </c>
      <c r="G538" s="273"/>
      <c r="H538" s="274"/>
      <c r="I538" s="24" t="s">
        <v>2066</v>
      </c>
      <c r="J538" s="116">
        <v>4.5</v>
      </c>
      <c r="K538" s="118">
        <v>5625000</v>
      </c>
      <c r="L538" s="119"/>
      <c r="M538" s="118">
        <v>562500</v>
      </c>
      <c r="N538" s="119"/>
      <c r="O538" s="118">
        <v>0</v>
      </c>
      <c r="P538" s="119"/>
      <c r="Q538" s="118">
        <v>17700</v>
      </c>
      <c r="R538" s="119"/>
      <c r="S538" s="118">
        <v>49688</v>
      </c>
      <c r="T538" s="119"/>
      <c r="U538" s="118">
        <f>SUM(K538:T539)</f>
        <v>6254888</v>
      </c>
      <c r="V538" s="119"/>
      <c r="W538" s="124"/>
      <c r="X538" s="127" t="s">
        <v>2181</v>
      </c>
      <c r="Y538" s="223"/>
      <c r="Z538" s="223"/>
      <c r="AA538" s="223"/>
      <c r="AB538" s="224"/>
      <c r="AC538" s="15" t="s">
        <v>20</v>
      </c>
      <c r="AD538" s="129" t="s">
        <v>171</v>
      </c>
      <c r="AE538" s="130"/>
      <c r="AF538" s="130"/>
      <c r="AG538" s="130"/>
      <c r="AH538" s="130"/>
      <c r="AI538" s="131"/>
      <c r="AJ538" s="132"/>
      <c r="AK538" s="127"/>
      <c r="AL538" s="127"/>
      <c r="AM538" s="21"/>
      <c r="AN538" s="133"/>
      <c r="AO538" s="134"/>
      <c r="AP538" s="135"/>
      <c r="AQ538" s="136"/>
      <c r="AR538" s="118"/>
      <c r="AS538" s="119"/>
      <c r="AT538" s="180">
        <f>AR538*0.1</f>
        <v>0</v>
      </c>
      <c r="AU538" s="181"/>
      <c r="AV538" s="118"/>
      <c r="AW538" s="119"/>
      <c r="AX538" s="118">
        <f>SUM(AR538:AW538)</f>
        <v>0</v>
      </c>
      <c r="AY538" s="119"/>
      <c r="AZ538" s="200"/>
    </row>
    <row r="539" spans="1:52" ht="17.100000000000001" customHeight="1" thickBot="1">
      <c r="A539" s="110"/>
      <c r="B539" s="27" t="s">
        <v>1718</v>
      </c>
      <c r="C539" s="27" t="s">
        <v>2182</v>
      </c>
      <c r="D539" s="14" t="s">
        <v>2183</v>
      </c>
      <c r="E539" s="112"/>
      <c r="F539" s="139" t="s">
        <v>2184</v>
      </c>
      <c r="G539" s="140"/>
      <c r="H539" s="141"/>
      <c r="I539" s="26">
        <v>44363</v>
      </c>
      <c r="J539" s="117"/>
      <c r="K539" s="120"/>
      <c r="L539" s="121"/>
      <c r="M539" s="120"/>
      <c r="N539" s="121"/>
      <c r="O539" s="120"/>
      <c r="P539" s="121"/>
      <c r="Q539" s="120"/>
      <c r="R539" s="121"/>
      <c r="S539" s="120"/>
      <c r="T539" s="121"/>
      <c r="U539" s="120"/>
      <c r="V539" s="121"/>
      <c r="W539" s="125"/>
      <c r="X539" s="143" t="s">
        <v>2185</v>
      </c>
      <c r="Y539" s="143"/>
      <c r="Z539" s="143"/>
      <c r="AA539" s="143"/>
      <c r="AB539" s="144"/>
      <c r="AC539" s="16" t="s">
        <v>21</v>
      </c>
      <c r="AD539" s="17" t="s">
        <v>2186</v>
      </c>
      <c r="AE539" s="145" t="s">
        <v>1742</v>
      </c>
      <c r="AF539" s="146"/>
      <c r="AG539" s="146"/>
      <c r="AH539" s="146"/>
      <c r="AI539" s="147"/>
      <c r="AJ539" s="148"/>
      <c r="AK539" s="143"/>
      <c r="AL539" s="143"/>
      <c r="AM539" s="22" t="s">
        <v>1296</v>
      </c>
      <c r="AN539" s="149"/>
      <c r="AO539" s="144"/>
      <c r="AP539" s="148"/>
      <c r="AQ539" s="144"/>
      <c r="AR539" s="120"/>
      <c r="AS539" s="121"/>
      <c r="AT539" s="120"/>
      <c r="AU539" s="182"/>
      <c r="AV539" s="120"/>
      <c r="AW539" s="121"/>
      <c r="AX539" s="120"/>
      <c r="AY539" s="121"/>
      <c r="AZ539" s="201"/>
    </row>
    <row r="540" spans="1:52" ht="17.100000000000001" customHeight="1" thickTop="1">
      <c r="A540" s="109" t="s">
        <v>6007</v>
      </c>
      <c r="B540" s="28">
        <v>44869</v>
      </c>
      <c r="C540" s="25">
        <v>2077</v>
      </c>
      <c r="D540" s="13" t="s">
        <v>2187</v>
      </c>
      <c r="E540" s="111"/>
      <c r="F540" s="113" t="s">
        <v>2188</v>
      </c>
      <c r="G540" s="273"/>
      <c r="H540" s="274"/>
      <c r="I540" s="24" t="s">
        <v>1971</v>
      </c>
      <c r="J540" s="116">
        <v>4.5</v>
      </c>
      <c r="K540" s="118">
        <v>2156000</v>
      </c>
      <c r="L540" s="119"/>
      <c r="M540" s="118">
        <v>215600</v>
      </c>
      <c r="N540" s="119"/>
      <c r="O540" s="118">
        <v>10100</v>
      </c>
      <c r="P540" s="119"/>
      <c r="Q540" s="118">
        <v>16250</v>
      </c>
      <c r="R540" s="119"/>
      <c r="S540" s="118">
        <v>13750</v>
      </c>
      <c r="T540" s="119"/>
      <c r="U540" s="118">
        <f>SUM(K540:T541)</f>
        <v>2411700</v>
      </c>
      <c r="V540" s="119"/>
      <c r="W540" s="124"/>
      <c r="X540" s="127" t="s">
        <v>2189</v>
      </c>
      <c r="Y540" s="223"/>
      <c r="Z540" s="223"/>
      <c r="AA540" s="223"/>
      <c r="AB540" s="224"/>
      <c r="AC540" s="15" t="s">
        <v>20</v>
      </c>
      <c r="AD540" s="129"/>
      <c r="AE540" s="130"/>
      <c r="AF540" s="130"/>
      <c r="AG540" s="130"/>
      <c r="AH540" s="130"/>
      <c r="AI540" s="131"/>
      <c r="AJ540" s="282" t="s">
        <v>1618</v>
      </c>
      <c r="AK540" s="127"/>
      <c r="AL540" s="127"/>
      <c r="AM540" s="21" t="s">
        <v>2190</v>
      </c>
      <c r="AN540" s="133"/>
      <c r="AO540" s="134"/>
      <c r="AP540" s="135"/>
      <c r="AQ540" s="136"/>
      <c r="AR540" s="118"/>
      <c r="AS540" s="119"/>
      <c r="AT540" s="180">
        <f>AR540*0.1</f>
        <v>0</v>
      </c>
      <c r="AU540" s="181"/>
      <c r="AV540" s="118"/>
      <c r="AW540" s="119"/>
      <c r="AX540" s="118">
        <f>SUM(AR540:AW540)</f>
        <v>0</v>
      </c>
      <c r="AY540" s="119"/>
      <c r="AZ540" s="200"/>
    </row>
    <row r="541" spans="1:52" ht="17.100000000000001" customHeight="1" thickBot="1">
      <c r="A541" s="110"/>
      <c r="B541" s="27" t="s">
        <v>2191</v>
      </c>
      <c r="C541" s="27">
        <v>4359</v>
      </c>
      <c r="D541" s="14" t="s">
        <v>1883</v>
      </c>
      <c r="E541" s="112"/>
      <c r="F541" s="139" t="s">
        <v>2192</v>
      </c>
      <c r="G541" s="140"/>
      <c r="H541" s="141"/>
      <c r="I541" s="26">
        <v>11781</v>
      </c>
      <c r="J541" s="117"/>
      <c r="K541" s="120"/>
      <c r="L541" s="121"/>
      <c r="M541" s="120"/>
      <c r="N541" s="121"/>
      <c r="O541" s="120"/>
      <c r="P541" s="121"/>
      <c r="Q541" s="120"/>
      <c r="R541" s="121"/>
      <c r="S541" s="120"/>
      <c r="T541" s="121"/>
      <c r="U541" s="120"/>
      <c r="V541" s="121"/>
      <c r="W541" s="125"/>
      <c r="X541" s="143" t="s">
        <v>2193</v>
      </c>
      <c r="Y541" s="143"/>
      <c r="Z541" s="143"/>
      <c r="AA541" s="143"/>
      <c r="AB541" s="144"/>
      <c r="AC541" s="16" t="s">
        <v>21</v>
      </c>
      <c r="AD541" s="17" t="s">
        <v>2194</v>
      </c>
      <c r="AE541" s="145" t="s">
        <v>2195</v>
      </c>
      <c r="AF541" s="146"/>
      <c r="AG541" s="146"/>
      <c r="AH541" s="146"/>
      <c r="AI541" s="147"/>
      <c r="AJ541" s="148"/>
      <c r="AK541" s="143"/>
      <c r="AL541" s="143"/>
      <c r="AM541" s="22" t="s">
        <v>51</v>
      </c>
      <c r="AN541" s="149"/>
      <c r="AO541" s="144"/>
      <c r="AP541" s="148"/>
      <c r="AQ541" s="144"/>
      <c r="AR541" s="120"/>
      <c r="AS541" s="121"/>
      <c r="AT541" s="120"/>
      <c r="AU541" s="182"/>
      <c r="AV541" s="120"/>
      <c r="AW541" s="121"/>
      <c r="AX541" s="120"/>
      <c r="AY541" s="121"/>
      <c r="AZ541" s="201"/>
    </row>
    <row r="542" spans="1:52" ht="17.100000000000001" customHeight="1" thickTop="1">
      <c r="A542" s="109" t="s">
        <v>6008</v>
      </c>
      <c r="B542" s="28">
        <v>44875</v>
      </c>
      <c r="C542" s="25">
        <v>1854</v>
      </c>
      <c r="D542" s="13" t="s">
        <v>2196</v>
      </c>
      <c r="E542" s="111"/>
      <c r="F542" s="113" t="s">
        <v>1147</v>
      </c>
      <c r="G542" s="273"/>
      <c r="H542" s="274"/>
      <c r="I542" s="24" t="s">
        <v>2066</v>
      </c>
      <c r="J542" s="116">
        <v>4</v>
      </c>
      <c r="K542" s="118">
        <v>1807000</v>
      </c>
      <c r="L542" s="119"/>
      <c r="M542" s="118">
        <v>180700</v>
      </c>
      <c r="N542" s="119"/>
      <c r="O542" s="118">
        <v>13100</v>
      </c>
      <c r="P542" s="119"/>
      <c r="Q542" s="118">
        <v>16240</v>
      </c>
      <c r="R542" s="119"/>
      <c r="S542" s="118">
        <v>22000</v>
      </c>
      <c r="T542" s="119"/>
      <c r="U542" s="118">
        <f>SUM(K542:T543)</f>
        <v>2039040</v>
      </c>
      <c r="V542" s="119"/>
      <c r="W542" s="124"/>
      <c r="X542" s="127" t="s">
        <v>2197</v>
      </c>
      <c r="Y542" s="223"/>
      <c r="Z542" s="223"/>
      <c r="AA542" s="223"/>
      <c r="AB542" s="224"/>
      <c r="AC542" s="15" t="s">
        <v>20</v>
      </c>
      <c r="AD542" s="129" t="s">
        <v>2198</v>
      </c>
      <c r="AE542" s="130"/>
      <c r="AF542" s="130"/>
      <c r="AG542" s="130"/>
      <c r="AH542" s="130"/>
      <c r="AI542" s="131"/>
      <c r="AJ542" s="132"/>
      <c r="AK542" s="127"/>
      <c r="AL542" s="127"/>
      <c r="AM542" s="21" t="s">
        <v>2199</v>
      </c>
      <c r="AN542" s="133"/>
      <c r="AO542" s="134"/>
      <c r="AP542" s="135"/>
      <c r="AQ542" s="136"/>
      <c r="AR542" s="118"/>
      <c r="AS542" s="119"/>
      <c r="AT542" s="180">
        <f>AR542*0.1</f>
        <v>0</v>
      </c>
      <c r="AU542" s="181"/>
      <c r="AV542" s="118"/>
      <c r="AW542" s="119"/>
      <c r="AX542" s="118">
        <f>SUM(AR542:AW542)</f>
        <v>0</v>
      </c>
      <c r="AY542" s="119"/>
      <c r="AZ542" s="200"/>
    </row>
    <row r="543" spans="1:52" ht="17.100000000000001" customHeight="1" thickBot="1">
      <c r="A543" s="110"/>
      <c r="B543" s="27" t="s">
        <v>2200</v>
      </c>
      <c r="C543" s="27">
        <v>30251</v>
      </c>
      <c r="D543" s="14" t="s">
        <v>2183</v>
      </c>
      <c r="E543" s="112"/>
      <c r="F543" s="139" t="s">
        <v>2201</v>
      </c>
      <c r="G543" s="140"/>
      <c r="H543" s="141"/>
      <c r="I543" s="26">
        <v>34251</v>
      </c>
      <c r="J543" s="117"/>
      <c r="K543" s="120"/>
      <c r="L543" s="121"/>
      <c r="M543" s="120"/>
      <c r="N543" s="121"/>
      <c r="O543" s="120"/>
      <c r="P543" s="121"/>
      <c r="Q543" s="120"/>
      <c r="R543" s="121"/>
      <c r="S543" s="120"/>
      <c r="T543" s="121"/>
      <c r="U543" s="120"/>
      <c r="V543" s="121"/>
      <c r="W543" s="125"/>
      <c r="X543" s="143" t="s">
        <v>2202</v>
      </c>
      <c r="Y543" s="143"/>
      <c r="Z543" s="143"/>
      <c r="AA543" s="143"/>
      <c r="AB543" s="144"/>
      <c r="AC543" s="16" t="s">
        <v>21</v>
      </c>
      <c r="AD543" s="17" t="s">
        <v>2203</v>
      </c>
      <c r="AE543" s="145" t="s">
        <v>1614</v>
      </c>
      <c r="AF543" s="146"/>
      <c r="AG543" s="146"/>
      <c r="AH543" s="146"/>
      <c r="AI543" s="147"/>
      <c r="AJ543" s="148"/>
      <c r="AK543" s="143"/>
      <c r="AL543" s="143"/>
      <c r="AM543" s="22"/>
      <c r="AN543" s="149"/>
      <c r="AO543" s="144"/>
      <c r="AP543" s="148"/>
      <c r="AQ543" s="144"/>
      <c r="AR543" s="120"/>
      <c r="AS543" s="121"/>
      <c r="AT543" s="120"/>
      <c r="AU543" s="182"/>
      <c r="AV543" s="120"/>
      <c r="AW543" s="121"/>
      <c r="AX543" s="120"/>
      <c r="AY543" s="121"/>
      <c r="AZ543" s="201"/>
    </row>
    <row r="544" spans="1:52" ht="17.100000000000001" customHeight="1" thickTop="1">
      <c r="A544" s="109" t="s">
        <v>6009</v>
      </c>
      <c r="B544" s="28">
        <v>44877</v>
      </c>
      <c r="C544" s="25">
        <v>852</v>
      </c>
      <c r="D544" s="13" t="s">
        <v>1993</v>
      </c>
      <c r="E544" s="111"/>
      <c r="F544" s="113" t="s">
        <v>2204</v>
      </c>
      <c r="G544" s="273"/>
      <c r="H544" s="274"/>
      <c r="I544" s="24"/>
      <c r="J544" s="116">
        <v>3.5</v>
      </c>
      <c r="K544" s="118">
        <v>634000</v>
      </c>
      <c r="L544" s="119"/>
      <c r="M544" s="118">
        <v>63400</v>
      </c>
      <c r="N544" s="119"/>
      <c r="O544" s="118">
        <v>0</v>
      </c>
      <c r="P544" s="119"/>
      <c r="Q544" s="118">
        <v>15590</v>
      </c>
      <c r="R544" s="119"/>
      <c r="S544" s="118">
        <v>17600</v>
      </c>
      <c r="T544" s="119"/>
      <c r="U544" s="118">
        <f>SUM(K544:T545)</f>
        <v>730590</v>
      </c>
      <c r="V544" s="119"/>
      <c r="W544" s="124"/>
      <c r="X544" s="127" t="s">
        <v>2205</v>
      </c>
      <c r="Y544" s="223"/>
      <c r="Z544" s="223"/>
      <c r="AA544" s="223"/>
      <c r="AB544" s="224"/>
      <c r="AC544" s="15" t="s">
        <v>20</v>
      </c>
      <c r="AD544" s="129"/>
      <c r="AE544" s="130"/>
      <c r="AF544" s="130"/>
      <c r="AG544" s="130"/>
      <c r="AH544" s="130"/>
      <c r="AI544" s="131"/>
      <c r="AJ544" s="132"/>
      <c r="AK544" s="127"/>
      <c r="AL544" s="127"/>
      <c r="AM544" s="21"/>
      <c r="AN544" s="133"/>
      <c r="AO544" s="134"/>
      <c r="AP544" s="135"/>
      <c r="AQ544" s="136"/>
      <c r="AR544" s="118"/>
      <c r="AS544" s="119"/>
      <c r="AT544" s="180">
        <f>AR544*0.1</f>
        <v>0</v>
      </c>
      <c r="AU544" s="181"/>
      <c r="AV544" s="118"/>
      <c r="AW544" s="119"/>
      <c r="AX544" s="118">
        <f>SUM(AR544:AW544)</f>
        <v>0</v>
      </c>
      <c r="AY544" s="119"/>
      <c r="AZ544" s="200"/>
    </row>
    <row r="545" spans="1:52" ht="17.100000000000001" customHeight="1" thickBot="1">
      <c r="A545" s="110"/>
      <c r="B545" s="27" t="s">
        <v>1707</v>
      </c>
      <c r="C545" s="27">
        <v>5039</v>
      </c>
      <c r="D545" s="14" t="s">
        <v>2206</v>
      </c>
      <c r="E545" s="112"/>
      <c r="F545" s="139" t="s">
        <v>2207</v>
      </c>
      <c r="G545" s="140"/>
      <c r="H545" s="141"/>
      <c r="I545" s="26">
        <v>62288</v>
      </c>
      <c r="J545" s="117"/>
      <c r="K545" s="120"/>
      <c r="L545" s="121"/>
      <c r="M545" s="120"/>
      <c r="N545" s="121"/>
      <c r="O545" s="120"/>
      <c r="P545" s="121"/>
      <c r="Q545" s="120"/>
      <c r="R545" s="121"/>
      <c r="S545" s="120"/>
      <c r="T545" s="121"/>
      <c r="U545" s="120"/>
      <c r="V545" s="121"/>
      <c r="W545" s="125"/>
      <c r="X545" s="143" t="s">
        <v>2208</v>
      </c>
      <c r="Y545" s="143"/>
      <c r="Z545" s="143"/>
      <c r="AA545" s="143"/>
      <c r="AB545" s="144"/>
      <c r="AC545" s="16" t="s">
        <v>21</v>
      </c>
      <c r="AD545" s="17" t="s">
        <v>2209</v>
      </c>
      <c r="AE545" s="145"/>
      <c r="AF545" s="146"/>
      <c r="AG545" s="146"/>
      <c r="AH545" s="146"/>
      <c r="AI545" s="147"/>
      <c r="AJ545" s="148"/>
      <c r="AK545" s="143"/>
      <c r="AL545" s="143"/>
      <c r="AM545" s="22"/>
      <c r="AN545" s="149"/>
      <c r="AO545" s="144"/>
      <c r="AP545" s="148"/>
      <c r="AQ545" s="144"/>
      <c r="AR545" s="120"/>
      <c r="AS545" s="121"/>
      <c r="AT545" s="120"/>
      <c r="AU545" s="182"/>
      <c r="AV545" s="120"/>
      <c r="AW545" s="121"/>
      <c r="AX545" s="120"/>
      <c r="AY545" s="121"/>
      <c r="AZ545" s="201"/>
    </row>
    <row r="546" spans="1:52" ht="17.100000000000001" customHeight="1" thickTop="1">
      <c r="A546" s="109" t="s">
        <v>6010</v>
      </c>
      <c r="B546" s="28">
        <v>44882</v>
      </c>
      <c r="C546" s="25">
        <v>1161</v>
      </c>
      <c r="D546" s="13" t="s">
        <v>1537</v>
      </c>
      <c r="E546" s="111"/>
      <c r="F546" s="113" t="s">
        <v>2210</v>
      </c>
      <c r="G546" s="273"/>
      <c r="H546" s="274"/>
      <c r="I546" s="24" t="s">
        <v>2211</v>
      </c>
      <c r="J546" s="116">
        <v>4.5</v>
      </c>
      <c r="K546" s="118">
        <v>3470000</v>
      </c>
      <c r="L546" s="119"/>
      <c r="M546" s="118">
        <v>347000</v>
      </c>
      <c r="N546" s="119"/>
      <c r="O546" s="118">
        <v>17000</v>
      </c>
      <c r="P546" s="119"/>
      <c r="Q546" s="118">
        <v>25460</v>
      </c>
      <c r="R546" s="119"/>
      <c r="S546" s="118">
        <v>13200</v>
      </c>
      <c r="T546" s="119"/>
      <c r="U546" s="118">
        <f>SUM(K546:T547)</f>
        <v>3872660</v>
      </c>
      <c r="V546" s="119"/>
      <c r="W546" s="124"/>
      <c r="X546" s="127" t="s">
        <v>2212</v>
      </c>
      <c r="Y546" s="223"/>
      <c r="Z546" s="223"/>
      <c r="AA546" s="223"/>
      <c r="AB546" s="224"/>
      <c r="AC546" s="15" t="s">
        <v>20</v>
      </c>
      <c r="AD546" s="129" t="s">
        <v>2213</v>
      </c>
      <c r="AE546" s="130"/>
      <c r="AF546" s="130"/>
      <c r="AG546" s="130"/>
      <c r="AH546" s="130"/>
      <c r="AI546" s="131"/>
      <c r="AJ546" s="132"/>
      <c r="AK546" s="127"/>
      <c r="AL546" s="127"/>
      <c r="AM546" s="21" t="s">
        <v>2214</v>
      </c>
      <c r="AN546" s="133"/>
      <c r="AO546" s="134"/>
      <c r="AP546" s="135"/>
      <c r="AQ546" s="136"/>
      <c r="AR546" s="118"/>
      <c r="AS546" s="119"/>
      <c r="AT546" s="180">
        <f>AR546*0.1</f>
        <v>0</v>
      </c>
      <c r="AU546" s="181"/>
      <c r="AV546" s="118"/>
      <c r="AW546" s="119"/>
      <c r="AX546" s="118">
        <f>SUM(AR546:AW546)</f>
        <v>0</v>
      </c>
      <c r="AY546" s="119"/>
      <c r="AZ546" s="200"/>
    </row>
    <row r="547" spans="1:52" ht="17.100000000000001" customHeight="1" thickBot="1">
      <c r="A547" s="110"/>
      <c r="B547" s="27" t="s">
        <v>1747</v>
      </c>
      <c r="C547" s="27">
        <v>545</v>
      </c>
      <c r="D547" s="14" t="s">
        <v>2215</v>
      </c>
      <c r="E547" s="112"/>
      <c r="F547" s="139" t="s">
        <v>2216</v>
      </c>
      <c r="G547" s="140"/>
      <c r="H547" s="141"/>
      <c r="I547" s="26">
        <v>52742</v>
      </c>
      <c r="J547" s="117"/>
      <c r="K547" s="120"/>
      <c r="L547" s="121"/>
      <c r="M547" s="120"/>
      <c r="N547" s="121"/>
      <c r="O547" s="120"/>
      <c r="P547" s="121"/>
      <c r="Q547" s="120"/>
      <c r="R547" s="121"/>
      <c r="S547" s="120"/>
      <c r="T547" s="121"/>
      <c r="U547" s="120"/>
      <c r="V547" s="121"/>
      <c r="W547" s="125"/>
      <c r="X547" s="143" t="s">
        <v>2217</v>
      </c>
      <c r="Y547" s="143"/>
      <c r="Z547" s="143"/>
      <c r="AA547" s="143"/>
      <c r="AB547" s="144"/>
      <c r="AC547" s="16" t="s">
        <v>21</v>
      </c>
      <c r="AD547" s="17" t="s">
        <v>2218</v>
      </c>
      <c r="AE547" s="145" t="s">
        <v>1614</v>
      </c>
      <c r="AF547" s="146"/>
      <c r="AG547" s="146"/>
      <c r="AH547" s="146"/>
      <c r="AI547" s="147"/>
      <c r="AJ547" s="148"/>
      <c r="AK547" s="143"/>
      <c r="AL547" s="143"/>
      <c r="AM547" s="22" t="s">
        <v>1743</v>
      </c>
      <c r="AN547" s="149"/>
      <c r="AO547" s="144"/>
      <c r="AP547" s="148"/>
      <c r="AQ547" s="144"/>
      <c r="AR547" s="120"/>
      <c r="AS547" s="121"/>
      <c r="AT547" s="120"/>
      <c r="AU547" s="182"/>
      <c r="AV547" s="120"/>
      <c r="AW547" s="121"/>
      <c r="AX547" s="120"/>
      <c r="AY547" s="121"/>
      <c r="AZ547" s="201"/>
    </row>
    <row r="548" spans="1:52" ht="17.100000000000001" customHeight="1" thickTop="1">
      <c r="A548" s="109" t="s">
        <v>6011</v>
      </c>
      <c r="B548" s="28">
        <v>44883</v>
      </c>
      <c r="C548" s="25">
        <v>1965</v>
      </c>
      <c r="D548" s="13" t="s">
        <v>900</v>
      </c>
      <c r="E548" s="111"/>
      <c r="F548" s="113" t="s">
        <v>2219</v>
      </c>
      <c r="G548" s="273"/>
      <c r="H548" s="274"/>
      <c r="I548" s="24"/>
      <c r="J548" s="116">
        <v>4</v>
      </c>
      <c r="K548" s="118">
        <v>2775000</v>
      </c>
      <c r="L548" s="119"/>
      <c r="M548" s="118">
        <v>277500</v>
      </c>
      <c r="N548" s="119"/>
      <c r="O548" s="118">
        <v>0</v>
      </c>
      <c r="P548" s="119"/>
      <c r="Q548" s="118">
        <v>19620</v>
      </c>
      <c r="R548" s="119"/>
      <c r="S548" s="118">
        <v>13200</v>
      </c>
      <c r="T548" s="119"/>
      <c r="U548" s="118">
        <f>SUM(K548:T549)</f>
        <v>3085320</v>
      </c>
      <c r="V548" s="119"/>
      <c r="W548" s="124"/>
      <c r="X548" s="127" t="s">
        <v>2220</v>
      </c>
      <c r="Y548" s="223"/>
      <c r="Z548" s="223"/>
      <c r="AA548" s="223"/>
      <c r="AB548" s="224"/>
      <c r="AC548" s="15" t="s">
        <v>20</v>
      </c>
      <c r="AD548" s="129" t="s">
        <v>2221</v>
      </c>
      <c r="AE548" s="130"/>
      <c r="AF548" s="130"/>
      <c r="AG548" s="130"/>
      <c r="AH548" s="130"/>
      <c r="AI548" s="131"/>
      <c r="AJ548" s="132"/>
      <c r="AK548" s="127"/>
      <c r="AL548" s="127"/>
      <c r="AM548" s="21"/>
      <c r="AN548" s="133"/>
      <c r="AO548" s="134"/>
      <c r="AP548" s="135"/>
      <c r="AQ548" s="136"/>
      <c r="AR548" s="118"/>
      <c r="AS548" s="119"/>
      <c r="AT548" s="180">
        <f>AR548*0.1</f>
        <v>0</v>
      </c>
      <c r="AU548" s="181"/>
      <c r="AV548" s="118"/>
      <c r="AW548" s="119"/>
      <c r="AX548" s="118">
        <f>SUM(AR548:AW548)</f>
        <v>0</v>
      </c>
      <c r="AY548" s="119"/>
      <c r="AZ548" s="200"/>
    </row>
    <row r="549" spans="1:52" ht="17.100000000000001" customHeight="1" thickBot="1">
      <c r="A549" s="110"/>
      <c r="B549" s="27" t="s">
        <v>1543</v>
      </c>
      <c r="C549" s="27">
        <v>58276</v>
      </c>
      <c r="D549" s="14" t="s">
        <v>1592</v>
      </c>
      <c r="E549" s="112"/>
      <c r="F549" s="139" t="s">
        <v>2222</v>
      </c>
      <c r="G549" s="140"/>
      <c r="H549" s="141"/>
      <c r="I549" s="26">
        <v>56530</v>
      </c>
      <c r="J549" s="117"/>
      <c r="K549" s="120"/>
      <c r="L549" s="121"/>
      <c r="M549" s="120"/>
      <c r="N549" s="121"/>
      <c r="O549" s="120"/>
      <c r="P549" s="121"/>
      <c r="Q549" s="120"/>
      <c r="R549" s="121"/>
      <c r="S549" s="120"/>
      <c r="T549" s="121"/>
      <c r="U549" s="120"/>
      <c r="V549" s="121"/>
      <c r="W549" s="125"/>
      <c r="X549" s="143" t="s">
        <v>2223</v>
      </c>
      <c r="Y549" s="143"/>
      <c r="Z549" s="143"/>
      <c r="AA549" s="143"/>
      <c r="AB549" s="144"/>
      <c r="AC549" s="16" t="s">
        <v>21</v>
      </c>
      <c r="AD549" s="17" t="s">
        <v>2224</v>
      </c>
      <c r="AE549" s="145" t="s">
        <v>2051</v>
      </c>
      <c r="AF549" s="146"/>
      <c r="AG549" s="146"/>
      <c r="AH549" s="146"/>
      <c r="AI549" s="147"/>
      <c r="AJ549" s="148"/>
      <c r="AK549" s="143"/>
      <c r="AL549" s="143"/>
      <c r="AM549" s="22"/>
      <c r="AN549" s="149"/>
      <c r="AO549" s="144"/>
      <c r="AP549" s="148"/>
      <c r="AQ549" s="144"/>
      <c r="AR549" s="120"/>
      <c r="AS549" s="121"/>
      <c r="AT549" s="120"/>
      <c r="AU549" s="182"/>
      <c r="AV549" s="120"/>
      <c r="AW549" s="121"/>
      <c r="AX549" s="120"/>
      <c r="AY549" s="121"/>
      <c r="AZ549" s="201"/>
    </row>
    <row r="550" spans="1:52" ht="17.100000000000001" customHeight="1" thickTop="1">
      <c r="A550" s="109" t="s">
        <v>6012</v>
      </c>
      <c r="B550" s="28">
        <v>44883</v>
      </c>
      <c r="C550" s="25"/>
      <c r="D550" s="13" t="s">
        <v>1631</v>
      </c>
      <c r="E550" s="111"/>
      <c r="F550" s="113" t="s">
        <v>2225</v>
      </c>
      <c r="G550" s="273"/>
      <c r="H550" s="274"/>
      <c r="I550" s="24" t="s">
        <v>2226</v>
      </c>
      <c r="J550" s="116">
        <v>4.5</v>
      </c>
      <c r="K550" s="118">
        <v>9195000</v>
      </c>
      <c r="L550" s="119"/>
      <c r="M550" s="118">
        <v>919500</v>
      </c>
      <c r="N550" s="119"/>
      <c r="O550" s="118">
        <v>16600</v>
      </c>
      <c r="P550" s="119"/>
      <c r="Q550" s="118">
        <v>18090</v>
      </c>
      <c r="R550" s="119"/>
      <c r="S550" s="118">
        <v>267863</v>
      </c>
      <c r="T550" s="119"/>
      <c r="U550" s="118">
        <f>SUM(K550:T551)</f>
        <v>10417053</v>
      </c>
      <c r="V550" s="119"/>
      <c r="W550" s="124"/>
      <c r="X550" s="127" t="s">
        <v>2227</v>
      </c>
      <c r="Y550" s="223"/>
      <c r="Z550" s="223"/>
      <c r="AA550" s="223"/>
      <c r="AB550" s="224"/>
      <c r="AC550" s="15" t="s">
        <v>20</v>
      </c>
      <c r="AD550" s="129" t="s">
        <v>1945</v>
      </c>
      <c r="AE550" s="130"/>
      <c r="AF550" s="130"/>
      <c r="AG550" s="130"/>
      <c r="AH550" s="130"/>
      <c r="AI550" s="131"/>
      <c r="AJ550" s="132"/>
      <c r="AK550" s="127"/>
      <c r="AL550" s="127"/>
      <c r="AM550" s="21" t="s">
        <v>2228</v>
      </c>
      <c r="AN550" s="133"/>
      <c r="AO550" s="134"/>
      <c r="AP550" s="135"/>
      <c r="AQ550" s="136"/>
      <c r="AR550" s="118"/>
      <c r="AS550" s="119"/>
      <c r="AT550" s="180">
        <f>AR550*0.1</f>
        <v>0</v>
      </c>
      <c r="AU550" s="181"/>
      <c r="AV550" s="118"/>
      <c r="AW550" s="119"/>
      <c r="AX550" s="118">
        <f>SUM(AR550:AW550)</f>
        <v>0</v>
      </c>
      <c r="AY550" s="119"/>
      <c r="AZ550" s="200"/>
    </row>
    <row r="551" spans="1:52" ht="17.100000000000001" customHeight="1" thickBot="1">
      <c r="A551" s="110"/>
      <c r="B551" s="27" t="s">
        <v>1718</v>
      </c>
      <c r="C551" s="27" t="s">
        <v>2229</v>
      </c>
      <c r="D551" s="14" t="s">
        <v>133</v>
      </c>
      <c r="E551" s="112"/>
      <c r="F551" s="139" t="s">
        <v>2230</v>
      </c>
      <c r="G551" s="140"/>
      <c r="H551" s="141"/>
      <c r="I551" s="26">
        <v>11181</v>
      </c>
      <c r="J551" s="117"/>
      <c r="K551" s="120"/>
      <c r="L551" s="121"/>
      <c r="M551" s="120"/>
      <c r="N551" s="121"/>
      <c r="O551" s="120"/>
      <c r="P551" s="121"/>
      <c r="Q551" s="120"/>
      <c r="R551" s="121"/>
      <c r="S551" s="120"/>
      <c r="T551" s="121"/>
      <c r="U551" s="120"/>
      <c r="V551" s="121"/>
      <c r="W551" s="125"/>
      <c r="X551" s="143" t="s">
        <v>2231</v>
      </c>
      <c r="Y551" s="143"/>
      <c r="Z551" s="143"/>
      <c r="AA551" s="143"/>
      <c r="AB551" s="144"/>
      <c r="AC551" s="16" t="s">
        <v>21</v>
      </c>
      <c r="AD551" s="17" t="s">
        <v>1765</v>
      </c>
      <c r="AE551" s="145" t="s">
        <v>2232</v>
      </c>
      <c r="AF551" s="146"/>
      <c r="AG551" s="146"/>
      <c r="AH551" s="146"/>
      <c r="AI551" s="147"/>
      <c r="AJ551" s="148"/>
      <c r="AK551" s="143"/>
      <c r="AL551" s="143"/>
      <c r="AM551" s="67" t="s">
        <v>2233</v>
      </c>
      <c r="AN551" s="149"/>
      <c r="AO551" s="144"/>
      <c r="AP551" s="148"/>
      <c r="AQ551" s="144"/>
      <c r="AR551" s="120"/>
      <c r="AS551" s="121"/>
      <c r="AT551" s="120"/>
      <c r="AU551" s="182"/>
      <c r="AV551" s="120"/>
      <c r="AW551" s="121"/>
      <c r="AX551" s="120"/>
      <c r="AY551" s="121"/>
      <c r="AZ551" s="201"/>
    </row>
    <row r="552" spans="1:52" ht="17.100000000000001" customHeight="1" thickTop="1">
      <c r="A552" s="109" t="s">
        <v>6013</v>
      </c>
      <c r="B552" s="28">
        <v>44893</v>
      </c>
      <c r="C552" s="25">
        <v>1924</v>
      </c>
      <c r="D552" s="13" t="s">
        <v>2234</v>
      </c>
      <c r="E552" s="111"/>
      <c r="F552" s="113" t="s">
        <v>2235</v>
      </c>
      <c r="G552" s="273"/>
      <c r="H552" s="274"/>
      <c r="I552" s="24" t="s">
        <v>1688</v>
      </c>
      <c r="J552" s="116">
        <v>4</v>
      </c>
      <c r="K552" s="118">
        <v>2505000</v>
      </c>
      <c r="L552" s="119"/>
      <c r="M552" s="118">
        <v>250500</v>
      </c>
      <c r="N552" s="119"/>
      <c r="O552" s="118">
        <v>13100</v>
      </c>
      <c r="P552" s="119"/>
      <c r="Q552" s="118">
        <v>19090</v>
      </c>
      <c r="R552" s="119"/>
      <c r="S552" s="118">
        <v>11000</v>
      </c>
      <c r="T552" s="119"/>
      <c r="U552" s="118">
        <f>SUM(K552:T553)</f>
        <v>2798690</v>
      </c>
      <c r="V552" s="119"/>
      <c r="W552" s="124"/>
      <c r="X552" s="127" t="s">
        <v>2236</v>
      </c>
      <c r="Y552" s="223"/>
      <c r="Z552" s="223"/>
      <c r="AA552" s="223"/>
      <c r="AB552" s="224"/>
      <c r="AC552" s="15" t="s">
        <v>20</v>
      </c>
      <c r="AD552" s="129" t="s">
        <v>2075</v>
      </c>
      <c r="AE552" s="130"/>
      <c r="AF552" s="130"/>
      <c r="AG552" s="130"/>
      <c r="AH552" s="130"/>
      <c r="AI552" s="131"/>
      <c r="AJ552" s="132"/>
      <c r="AK552" s="127"/>
      <c r="AL552" s="127"/>
      <c r="AM552" s="21"/>
      <c r="AN552" s="133"/>
      <c r="AO552" s="134"/>
      <c r="AP552" s="135"/>
      <c r="AQ552" s="136"/>
      <c r="AR552" s="118"/>
      <c r="AS552" s="119"/>
      <c r="AT552" s="180">
        <f>AR552*0.1</f>
        <v>0</v>
      </c>
      <c r="AU552" s="181"/>
      <c r="AV552" s="118"/>
      <c r="AW552" s="119"/>
      <c r="AX552" s="118">
        <f>SUM(AR552:AW552)</f>
        <v>0</v>
      </c>
      <c r="AY552" s="119"/>
      <c r="AZ552" s="200"/>
    </row>
    <row r="553" spans="1:52" ht="17.100000000000001" customHeight="1" thickBot="1">
      <c r="A553" s="110"/>
      <c r="B553" s="27" t="s">
        <v>83</v>
      </c>
      <c r="C553" s="27">
        <v>34027</v>
      </c>
      <c r="D553" s="14" t="s">
        <v>275</v>
      </c>
      <c r="E553" s="112"/>
      <c r="F553" s="139" t="s">
        <v>2237</v>
      </c>
      <c r="G553" s="140"/>
      <c r="H553" s="141"/>
      <c r="I553" s="26">
        <v>39330</v>
      </c>
      <c r="J553" s="117"/>
      <c r="K553" s="120"/>
      <c r="L553" s="121"/>
      <c r="M553" s="120"/>
      <c r="N553" s="121"/>
      <c r="O553" s="120"/>
      <c r="P553" s="121"/>
      <c r="Q553" s="120"/>
      <c r="R553" s="121"/>
      <c r="S553" s="120"/>
      <c r="T553" s="121"/>
      <c r="U553" s="120"/>
      <c r="V553" s="121"/>
      <c r="W553" s="125"/>
      <c r="X553" s="143" t="s">
        <v>2238</v>
      </c>
      <c r="Y553" s="143"/>
      <c r="Z553" s="143"/>
      <c r="AA553" s="143"/>
      <c r="AB553" s="144"/>
      <c r="AC553" s="16" t="s">
        <v>21</v>
      </c>
      <c r="AD553" s="17" t="s">
        <v>2239</v>
      </c>
      <c r="AE553" s="145" t="s">
        <v>2240</v>
      </c>
      <c r="AF553" s="146"/>
      <c r="AG553" s="146"/>
      <c r="AH553" s="146"/>
      <c r="AI553" s="147"/>
      <c r="AJ553" s="148"/>
      <c r="AK553" s="143"/>
      <c r="AL553" s="143"/>
      <c r="AM553" s="22" t="s">
        <v>2241</v>
      </c>
      <c r="AN553" s="149"/>
      <c r="AO553" s="144"/>
      <c r="AP553" s="148"/>
      <c r="AQ553" s="144"/>
      <c r="AR553" s="120"/>
      <c r="AS553" s="121"/>
      <c r="AT553" s="120"/>
      <c r="AU553" s="182"/>
      <c r="AV553" s="120"/>
      <c r="AW553" s="121"/>
      <c r="AX553" s="120"/>
      <c r="AY553" s="121"/>
      <c r="AZ553" s="201"/>
    </row>
    <row r="554" spans="1:52" ht="17.100000000000001" customHeight="1" thickTop="1">
      <c r="A554" s="109" t="s">
        <v>6014</v>
      </c>
      <c r="B554" s="28">
        <v>44896</v>
      </c>
      <c r="C554" s="25">
        <v>1397</v>
      </c>
      <c r="D554" s="13" t="s">
        <v>1572</v>
      </c>
      <c r="E554" s="111"/>
      <c r="F554" s="113" t="s">
        <v>2242</v>
      </c>
      <c r="G554" s="273"/>
      <c r="H554" s="274"/>
      <c r="I554" s="24" t="s">
        <v>2243</v>
      </c>
      <c r="J554" s="116">
        <v>4</v>
      </c>
      <c r="K554" s="118">
        <v>3360000</v>
      </c>
      <c r="L554" s="119"/>
      <c r="M554" s="118">
        <v>336000</v>
      </c>
      <c r="N554" s="119"/>
      <c r="O554" s="118">
        <v>9800</v>
      </c>
      <c r="P554" s="119"/>
      <c r="Q554" s="118">
        <v>19630</v>
      </c>
      <c r="R554" s="119"/>
      <c r="S554" s="118">
        <v>13200</v>
      </c>
      <c r="T554" s="119"/>
      <c r="U554" s="118">
        <f>SUM(K554:T555)</f>
        <v>3738630</v>
      </c>
      <c r="V554" s="119"/>
      <c r="W554" s="124"/>
      <c r="X554" s="127" t="s">
        <v>2244</v>
      </c>
      <c r="Y554" s="223"/>
      <c r="Z554" s="223"/>
      <c r="AA554" s="223"/>
      <c r="AB554" s="224"/>
      <c r="AC554" s="15" t="s">
        <v>20</v>
      </c>
      <c r="AD554" s="129" t="s">
        <v>2245</v>
      </c>
      <c r="AE554" s="130"/>
      <c r="AF554" s="130"/>
      <c r="AG554" s="130"/>
      <c r="AH554" s="130"/>
      <c r="AI554" s="131"/>
      <c r="AJ554" s="132"/>
      <c r="AK554" s="127"/>
      <c r="AL554" s="127"/>
      <c r="AM554" s="21" t="s">
        <v>2246</v>
      </c>
      <c r="AN554" s="133"/>
      <c r="AO554" s="134"/>
      <c r="AP554" s="135"/>
      <c r="AQ554" s="136"/>
      <c r="AR554" s="118"/>
      <c r="AS554" s="119"/>
      <c r="AT554" s="180">
        <f>AR554*0.1</f>
        <v>0</v>
      </c>
      <c r="AU554" s="181"/>
      <c r="AV554" s="118"/>
      <c r="AW554" s="119"/>
      <c r="AX554" s="118">
        <f>SUM(AR554:AW554)</f>
        <v>0</v>
      </c>
      <c r="AY554" s="119"/>
      <c r="AZ554" s="200"/>
    </row>
    <row r="555" spans="1:52" ht="17.100000000000001" customHeight="1" thickBot="1">
      <c r="A555" s="110"/>
      <c r="B555" s="27" t="s">
        <v>1600</v>
      </c>
      <c r="C555" s="27">
        <v>75695</v>
      </c>
      <c r="D555" s="14" t="s">
        <v>2183</v>
      </c>
      <c r="E555" s="112"/>
      <c r="F555" s="139" t="s">
        <v>2247</v>
      </c>
      <c r="G555" s="140"/>
      <c r="H555" s="141"/>
      <c r="I555" s="26">
        <v>37416</v>
      </c>
      <c r="J555" s="117"/>
      <c r="K555" s="120"/>
      <c r="L555" s="121"/>
      <c r="M555" s="120"/>
      <c r="N555" s="121"/>
      <c r="O555" s="120"/>
      <c r="P555" s="121"/>
      <c r="Q555" s="120"/>
      <c r="R555" s="121"/>
      <c r="S555" s="120"/>
      <c r="T555" s="121"/>
      <c r="U555" s="120"/>
      <c r="V555" s="121"/>
      <c r="W555" s="125"/>
      <c r="X555" s="143" t="s">
        <v>1893</v>
      </c>
      <c r="Y555" s="143"/>
      <c r="Z555" s="143"/>
      <c r="AA555" s="143"/>
      <c r="AB555" s="144"/>
      <c r="AC555" s="16" t="s">
        <v>21</v>
      </c>
      <c r="AD555" s="17" t="s">
        <v>2248</v>
      </c>
      <c r="AE555" s="145" t="s">
        <v>1742</v>
      </c>
      <c r="AF555" s="146"/>
      <c r="AG555" s="146"/>
      <c r="AH555" s="146"/>
      <c r="AI555" s="147"/>
      <c r="AJ555" s="148"/>
      <c r="AK555" s="143"/>
      <c r="AL555" s="143"/>
      <c r="AM555" s="22" t="s">
        <v>2249</v>
      </c>
      <c r="AN555" s="149"/>
      <c r="AO555" s="144"/>
      <c r="AP555" s="148"/>
      <c r="AQ555" s="144"/>
      <c r="AR555" s="120"/>
      <c r="AS555" s="121"/>
      <c r="AT555" s="120"/>
      <c r="AU555" s="182"/>
      <c r="AV555" s="120"/>
      <c r="AW555" s="121"/>
      <c r="AX555" s="120"/>
      <c r="AY555" s="121"/>
      <c r="AZ555" s="201"/>
    </row>
    <row r="556" spans="1:52" ht="17.100000000000001" customHeight="1" thickTop="1">
      <c r="A556" s="109" t="s">
        <v>6015</v>
      </c>
      <c r="B556" s="28">
        <v>44897</v>
      </c>
      <c r="C556" s="25">
        <v>1967</v>
      </c>
      <c r="D556" s="13" t="s">
        <v>1853</v>
      </c>
      <c r="E556" s="111" t="s">
        <v>166</v>
      </c>
      <c r="F556" s="113" t="s">
        <v>2250</v>
      </c>
      <c r="G556" s="273"/>
      <c r="H556" s="274"/>
      <c r="I556" s="24" t="s">
        <v>2084</v>
      </c>
      <c r="J556" s="116">
        <v>4.5</v>
      </c>
      <c r="K556" s="118">
        <v>8350000</v>
      </c>
      <c r="L556" s="119"/>
      <c r="M556" s="118">
        <v>835000</v>
      </c>
      <c r="N556" s="119"/>
      <c r="O556" s="118">
        <v>12500</v>
      </c>
      <c r="P556" s="119"/>
      <c r="Q556" s="118">
        <v>23920</v>
      </c>
      <c r="R556" s="119"/>
      <c r="S556" s="118">
        <v>24200</v>
      </c>
      <c r="T556" s="119"/>
      <c r="U556" s="118">
        <f>SUM(K556:T557)</f>
        <v>9245620</v>
      </c>
      <c r="V556" s="119"/>
      <c r="W556" s="124"/>
      <c r="X556" s="127" t="s">
        <v>2251</v>
      </c>
      <c r="Y556" s="223"/>
      <c r="Z556" s="223"/>
      <c r="AA556" s="223"/>
      <c r="AB556" s="224"/>
      <c r="AC556" s="15" t="s">
        <v>20</v>
      </c>
      <c r="AD556" s="129" t="s">
        <v>1945</v>
      </c>
      <c r="AE556" s="130"/>
      <c r="AF556" s="130"/>
      <c r="AG556" s="130"/>
      <c r="AH556" s="130"/>
      <c r="AI556" s="131"/>
      <c r="AJ556" s="132"/>
      <c r="AK556" s="127"/>
      <c r="AL556" s="127"/>
      <c r="AM556" s="21" t="s">
        <v>2252</v>
      </c>
      <c r="AN556" s="133">
        <v>46327</v>
      </c>
      <c r="AO556" s="134"/>
      <c r="AP556" s="135"/>
      <c r="AQ556" s="136"/>
      <c r="AR556" s="118">
        <v>8690000</v>
      </c>
      <c r="AS556" s="119"/>
      <c r="AT556" s="180">
        <v>0</v>
      </c>
      <c r="AU556" s="181"/>
      <c r="AV556" s="118">
        <v>0</v>
      </c>
      <c r="AW556" s="119"/>
      <c r="AX556" s="118">
        <f>SUM(AR556:AW556)</f>
        <v>8690000</v>
      </c>
      <c r="AY556" s="119"/>
      <c r="AZ556" s="200">
        <v>46357</v>
      </c>
    </row>
    <row r="557" spans="1:52" ht="17.100000000000001" customHeight="1" thickBot="1">
      <c r="A557" s="110"/>
      <c r="B557" s="27" t="s">
        <v>1543</v>
      </c>
      <c r="C557" s="27">
        <v>35187</v>
      </c>
      <c r="D557" s="14" t="s">
        <v>275</v>
      </c>
      <c r="E557" s="112"/>
      <c r="F557" s="139" t="s">
        <v>2253</v>
      </c>
      <c r="G557" s="140"/>
      <c r="H557" s="141"/>
      <c r="I557" s="26">
        <v>17560</v>
      </c>
      <c r="J557" s="117"/>
      <c r="K557" s="120"/>
      <c r="L557" s="121"/>
      <c r="M557" s="120"/>
      <c r="N557" s="121"/>
      <c r="O557" s="120"/>
      <c r="P557" s="121"/>
      <c r="Q557" s="120"/>
      <c r="R557" s="121"/>
      <c r="S557" s="120"/>
      <c r="T557" s="121"/>
      <c r="U557" s="120"/>
      <c r="V557" s="121"/>
      <c r="W557" s="125"/>
      <c r="X557" s="143" t="s">
        <v>2254</v>
      </c>
      <c r="Y557" s="143"/>
      <c r="Z557" s="143"/>
      <c r="AA557" s="143"/>
      <c r="AB557" s="144"/>
      <c r="AC557" s="16" t="s">
        <v>21</v>
      </c>
      <c r="AD557" s="17" t="s">
        <v>2255</v>
      </c>
      <c r="AE557" s="145" t="s">
        <v>2256</v>
      </c>
      <c r="AF557" s="146"/>
      <c r="AG557" s="146"/>
      <c r="AH557" s="146"/>
      <c r="AI557" s="147"/>
      <c r="AJ557" s="148"/>
      <c r="AK557" s="143"/>
      <c r="AL557" s="143"/>
      <c r="AM557" s="22"/>
      <c r="AN557" s="149" t="s">
        <v>15697</v>
      </c>
      <c r="AO557" s="144"/>
      <c r="AP557" s="148"/>
      <c r="AQ557" s="144"/>
      <c r="AR557" s="120"/>
      <c r="AS557" s="121"/>
      <c r="AT557" s="120"/>
      <c r="AU557" s="182"/>
      <c r="AV557" s="120"/>
      <c r="AW557" s="121"/>
      <c r="AX557" s="120"/>
      <c r="AY557" s="121"/>
      <c r="AZ557" s="201"/>
    </row>
    <row r="558" spans="1:52" ht="17.100000000000001" customHeight="1" thickTop="1">
      <c r="A558" s="109" t="s">
        <v>6016</v>
      </c>
      <c r="B558" s="28">
        <v>44897</v>
      </c>
      <c r="C558" s="25">
        <v>1967</v>
      </c>
      <c r="D558" s="13" t="s">
        <v>1767</v>
      </c>
      <c r="E558" s="111"/>
      <c r="F558" s="113" t="s">
        <v>2257</v>
      </c>
      <c r="G558" s="273"/>
      <c r="H558" s="274"/>
      <c r="I558" s="24" t="s">
        <v>2036</v>
      </c>
      <c r="J558" s="116">
        <v>4.5</v>
      </c>
      <c r="K558" s="118">
        <v>1075000</v>
      </c>
      <c r="L558" s="119"/>
      <c r="M558" s="118">
        <v>107500</v>
      </c>
      <c r="N558" s="119"/>
      <c r="O558" s="118">
        <v>8600</v>
      </c>
      <c r="P558" s="119"/>
      <c r="Q558" s="118">
        <v>14940</v>
      </c>
      <c r="R558" s="119"/>
      <c r="S558" s="118">
        <v>13200</v>
      </c>
      <c r="T558" s="119"/>
      <c r="U558" s="118">
        <f>SUM(K558:T559)</f>
        <v>1219240</v>
      </c>
      <c r="V558" s="119"/>
      <c r="W558" s="124"/>
      <c r="X558" s="127" t="s">
        <v>2258</v>
      </c>
      <c r="Y558" s="223"/>
      <c r="Z558" s="223"/>
      <c r="AA558" s="223"/>
      <c r="AB558" s="224"/>
      <c r="AC558" s="15" t="s">
        <v>20</v>
      </c>
      <c r="AD558" s="129" t="s">
        <v>2259</v>
      </c>
      <c r="AE558" s="130"/>
      <c r="AF558" s="130"/>
      <c r="AG558" s="130"/>
      <c r="AH558" s="130"/>
      <c r="AI558" s="131"/>
      <c r="AJ558" s="132"/>
      <c r="AK558" s="127"/>
      <c r="AL558" s="127"/>
      <c r="AM558" s="21"/>
      <c r="AN558" s="133"/>
      <c r="AO558" s="134"/>
      <c r="AP558" s="135"/>
      <c r="AQ558" s="136"/>
      <c r="AR558" s="118"/>
      <c r="AS558" s="119"/>
      <c r="AT558" s="180">
        <f>AR558*0.1</f>
        <v>0</v>
      </c>
      <c r="AU558" s="181"/>
      <c r="AV558" s="118"/>
      <c r="AW558" s="119"/>
      <c r="AX558" s="118">
        <f>SUM(AR558:AW558)</f>
        <v>0</v>
      </c>
      <c r="AY558" s="119"/>
      <c r="AZ558" s="200"/>
    </row>
    <row r="559" spans="1:52" ht="17.100000000000001" customHeight="1" thickBot="1">
      <c r="A559" s="110"/>
      <c r="B559" s="27" t="s">
        <v>1543</v>
      </c>
      <c r="C559" s="27">
        <v>58151</v>
      </c>
      <c r="D559" s="14" t="s">
        <v>1883</v>
      </c>
      <c r="E559" s="112"/>
      <c r="F559" s="139" t="s">
        <v>2260</v>
      </c>
      <c r="G559" s="140"/>
      <c r="H559" s="141"/>
      <c r="I559" s="26">
        <v>54126</v>
      </c>
      <c r="J559" s="117"/>
      <c r="K559" s="120"/>
      <c r="L559" s="121"/>
      <c r="M559" s="120"/>
      <c r="N559" s="121"/>
      <c r="O559" s="120"/>
      <c r="P559" s="121"/>
      <c r="Q559" s="120"/>
      <c r="R559" s="121"/>
      <c r="S559" s="120"/>
      <c r="T559" s="121"/>
      <c r="U559" s="120"/>
      <c r="V559" s="121"/>
      <c r="W559" s="125"/>
      <c r="X559" s="143" t="s">
        <v>2261</v>
      </c>
      <c r="Y559" s="143"/>
      <c r="Z559" s="143"/>
      <c r="AA559" s="143"/>
      <c r="AB559" s="144"/>
      <c r="AC559" s="16" t="s">
        <v>21</v>
      </c>
      <c r="AD559" s="17" t="s">
        <v>2255</v>
      </c>
      <c r="AE559" s="145" t="s">
        <v>2262</v>
      </c>
      <c r="AF559" s="146"/>
      <c r="AG559" s="146"/>
      <c r="AH559" s="146"/>
      <c r="AI559" s="147"/>
      <c r="AJ559" s="148"/>
      <c r="AK559" s="143"/>
      <c r="AL559" s="143"/>
      <c r="AM559" s="22" t="s">
        <v>2241</v>
      </c>
      <c r="AN559" s="149"/>
      <c r="AO559" s="144"/>
      <c r="AP559" s="148"/>
      <c r="AQ559" s="144"/>
      <c r="AR559" s="120"/>
      <c r="AS559" s="121"/>
      <c r="AT559" s="120"/>
      <c r="AU559" s="182"/>
      <c r="AV559" s="120"/>
      <c r="AW559" s="121"/>
      <c r="AX559" s="120"/>
      <c r="AY559" s="121"/>
      <c r="AZ559" s="201"/>
    </row>
    <row r="560" spans="1:52" ht="17.100000000000001" customHeight="1" thickTop="1">
      <c r="A560" s="109" t="s">
        <v>6017</v>
      </c>
      <c r="B560" s="28">
        <v>44901</v>
      </c>
      <c r="C560" s="25">
        <v>1773</v>
      </c>
      <c r="D560" s="13" t="s">
        <v>1767</v>
      </c>
      <c r="E560" s="111"/>
      <c r="F560" s="113" t="s">
        <v>2263</v>
      </c>
      <c r="G560" s="273"/>
      <c r="H560" s="274"/>
      <c r="I560" s="24" t="s">
        <v>1847</v>
      </c>
      <c r="J560" s="116">
        <v>4.5</v>
      </c>
      <c r="K560" s="118">
        <v>3534000</v>
      </c>
      <c r="L560" s="119"/>
      <c r="M560" s="118">
        <v>353400</v>
      </c>
      <c r="N560" s="119"/>
      <c r="O560" s="118">
        <v>12700</v>
      </c>
      <c r="P560" s="119"/>
      <c r="Q560" s="118">
        <v>18110</v>
      </c>
      <c r="R560" s="119"/>
      <c r="S560" s="118">
        <v>15950</v>
      </c>
      <c r="T560" s="119"/>
      <c r="U560" s="118">
        <f>SUM(K560:T561)</f>
        <v>3934160</v>
      </c>
      <c r="V560" s="119"/>
      <c r="W560" s="124"/>
      <c r="X560" s="127" t="s">
        <v>2264</v>
      </c>
      <c r="Y560" s="223"/>
      <c r="Z560" s="223"/>
      <c r="AA560" s="223"/>
      <c r="AB560" s="224"/>
      <c r="AC560" s="15" t="s">
        <v>20</v>
      </c>
      <c r="AD560" s="129"/>
      <c r="AE560" s="130"/>
      <c r="AF560" s="130"/>
      <c r="AG560" s="130"/>
      <c r="AH560" s="130"/>
      <c r="AI560" s="131"/>
      <c r="AJ560" s="282" t="s">
        <v>1618</v>
      </c>
      <c r="AK560" s="127"/>
      <c r="AL560" s="127"/>
      <c r="AM560" s="21" t="s">
        <v>2265</v>
      </c>
      <c r="AN560" s="133"/>
      <c r="AO560" s="134"/>
      <c r="AP560" s="135"/>
      <c r="AQ560" s="136"/>
      <c r="AR560" s="118"/>
      <c r="AS560" s="119"/>
      <c r="AT560" s="180">
        <f>AR560*0.1</f>
        <v>0</v>
      </c>
      <c r="AU560" s="181"/>
      <c r="AV560" s="118"/>
      <c r="AW560" s="119"/>
      <c r="AX560" s="118">
        <f>SUM(AR560:AW560)</f>
        <v>0</v>
      </c>
      <c r="AY560" s="119"/>
      <c r="AZ560" s="200"/>
    </row>
    <row r="561" spans="1:52" ht="17.100000000000001" customHeight="1" thickBot="1">
      <c r="A561" s="110"/>
      <c r="B561" s="27" t="s">
        <v>2131</v>
      </c>
      <c r="C561" s="27">
        <v>5043</v>
      </c>
      <c r="D561" s="14" t="s">
        <v>2116</v>
      </c>
      <c r="E561" s="112"/>
      <c r="F561" s="139" t="s">
        <v>2266</v>
      </c>
      <c r="G561" s="140"/>
      <c r="H561" s="141"/>
      <c r="I561" s="26">
        <v>15525</v>
      </c>
      <c r="J561" s="117"/>
      <c r="K561" s="120"/>
      <c r="L561" s="121"/>
      <c r="M561" s="120"/>
      <c r="N561" s="121"/>
      <c r="O561" s="120"/>
      <c r="P561" s="121"/>
      <c r="Q561" s="120"/>
      <c r="R561" s="121"/>
      <c r="S561" s="120"/>
      <c r="T561" s="121"/>
      <c r="U561" s="120"/>
      <c r="V561" s="121"/>
      <c r="W561" s="125"/>
      <c r="X561" s="143" t="s">
        <v>2267</v>
      </c>
      <c r="Y561" s="143"/>
      <c r="Z561" s="143"/>
      <c r="AA561" s="143"/>
      <c r="AB561" s="144"/>
      <c r="AC561" s="16" t="s">
        <v>21</v>
      </c>
      <c r="AD561" s="17" t="s">
        <v>2268</v>
      </c>
      <c r="AE561" s="145" t="s">
        <v>2269</v>
      </c>
      <c r="AF561" s="146"/>
      <c r="AG561" s="146"/>
      <c r="AH561" s="146"/>
      <c r="AI561" s="147"/>
      <c r="AJ561" s="148"/>
      <c r="AK561" s="143"/>
      <c r="AL561" s="143"/>
      <c r="AM561" s="22" t="s">
        <v>2270</v>
      </c>
      <c r="AN561" s="149"/>
      <c r="AO561" s="144"/>
      <c r="AP561" s="148"/>
      <c r="AQ561" s="144"/>
      <c r="AR561" s="120"/>
      <c r="AS561" s="121"/>
      <c r="AT561" s="120"/>
      <c r="AU561" s="182"/>
      <c r="AV561" s="120"/>
      <c r="AW561" s="121"/>
      <c r="AX561" s="120"/>
      <c r="AY561" s="121"/>
      <c r="AZ561" s="201"/>
    </row>
    <row r="562" spans="1:52" ht="17.100000000000001" customHeight="1" thickTop="1">
      <c r="A562" s="109" t="s">
        <v>6018</v>
      </c>
      <c r="B562" s="28">
        <v>44903</v>
      </c>
      <c r="C562" s="25">
        <v>1398</v>
      </c>
      <c r="D562" s="13" t="s">
        <v>859</v>
      </c>
      <c r="E562" s="111" t="s">
        <v>166</v>
      </c>
      <c r="F562" s="113" t="s">
        <v>2271</v>
      </c>
      <c r="G562" s="273"/>
      <c r="H562" s="274"/>
      <c r="I562" s="24" t="s">
        <v>2272</v>
      </c>
      <c r="J562" s="116">
        <v>5</v>
      </c>
      <c r="K562" s="118">
        <v>9260000</v>
      </c>
      <c r="L562" s="119"/>
      <c r="M562" s="118">
        <v>926000</v>
      </c>
      <c r="N562" s="119"/>
      <c r="O562" s="118">
        <v>12500</v>
      </c>
      <c r="P562" s="119"/>
      <c r="Q562" s="118">
        <v>18090</v>
      </c>
      <c r="R562" s="119"/>
      <c r="S562" s="118">
        <v>13200</v>
      </c>
      <c r="T562" s="119"/>
      <c r="U562" s="118">
        <f>SUM(K562:T563)</f>
        <v>10229790</v>
      </c>
      <c r="V562" s="119"/>
      <c r="W562" s="124"/>
      <c r="X562" s="127" t="s">
        <v>2273</v>
      </c>
      <c r="Y562" s="223"/>
      <c r="Z562" s="223"/>
      <c r="AA562" s="223"/>
      <c r="AB562" s="224"/>
      <c r="AC562" s="15" t="s">
        <v>20</v>
      </c>
      <c r="AD562" s="129" t="s">
        <v>2274</v>
      </c>
      <c r="AE562" s="130"/>
      <c r="AF562" s="130"/>
      <c r="AG562" s="130"/>
      <c r="AH562" s="130"/>
      <c r="AI562" s="131"/>
      <c r="AJ562" s="132"/>
      <c r="AK562" s="127"/>
      <c r="AL562" s="127"/>
      <c r="AM562" s="21" t="s">
        <v>2275</v>
      </c>
      <c r="AN562" s="133"/>
      <c r="AO562" s="134"/>
      <c r="AP562" s="135"/>
      <c r="AQ562" s="136"/>
      <c r="AR562" s="118"/>
      <c r="AS562" s="119"/>
      <c r="AT562" s="180">
        <f>AR562*0.1</f>
        <v>0</v>
      </c>
      <c r="AU562" s="181"/>
      <c r="AV562" s="118"/>
      <c r="AW562" s="119"/>
      <c r="AX562" s="118">
        <f>SUM(AR562:AW562)</f>
        <v>0</v>
      </c>
      <c r="AY562" s="119"/>
      <c r="AZ562" s="200"/>
    </row>
    <row r="563" spans="1:52" ht="17.100000000000001" customHeight="1" thickBot="1">
      <c r="A563" s="110"/>
      <c r="B563" s="27" t="s">
        <v>1600</v>
      </c>
      <c r="C563" s="27">
        <v>75474</v>
      </c>
      <c r="D563" s="14" t="s">
        <v>275</v>
      </c>
      <c r="E563" s="112"/>
      <c r="F563" s="139" t="s">
        <v>2276</v>
      </c>
      <c r="G563" s="140"/>
      <c r="H563" s="141"/>
      <c r="I563" s="26">
        <v>8686</v>
      </c>
      <c r="J563" s="117"/>
      <c r="K563" s="120"/>
      <c r="L563" s="121"/>
      <c r="M563" s="120"/>
      <c r="N563" s="121"/>
      <c r="O563" s="120"/>
      <c r="P563" s="121"/>
      <c r="Q563" s="120"/>
      <c r="R563" s="121"/>
      <c r="S563" s="120"/>
      <c r="T563" s="121"/>
      <c r="U563" s="120"/>
      <c r="V563" s="121"/>
      <c r="W563" s="125"/>
      <c r="X563" s="143" t="s">
        <v>2277</v>
      </c>
      <c r="Y563" s="143"/>
      <c r="Z563" s="143"/>
      <c r="AA563" s="143"/>
      <c r="AB563" s="144"/>
      <c r="AC563" s="16" t="s">
        <v>21</v>
      </c>
      <c r="AD563" s="17" t="s">
        <v>2268</v>
      </c>
      <c r="AE563" s="145" t="s">
        <v>2278</v>
      </c>
      <c r="AF563" s="146"/>
      <c r="AG563" s="146"/>
      <c r="AH563" s="146"/>
      <c r="AI563" s="147"/>
      <c r="AJ563" s="148"/>
      <c r="AK563" s="143"/>
      <c r="AL563" s="143"/>
      <c r="AM563" s="22"/>
      <c r="AN563" s="149"/>
      <c r="AO563" s="144"/>
      <c r="AP563" s="148"/>
      <c r="AQ563" s="144"/>
      <c r="AR563" s="120"/>
      <c r="AS563" s="121"/>
      <c r="AT563" s="120"/>
      <c r="AU563" s="182"/>
      <c r="AV563" s="120"/>
      <c r="AW563" s="121"/>
      <c r="AX563" s="120"/>
      <c r="AY563" s="121"/>
      <c r="AZ563" s="201"/>
    </row>
    <row r="564" spans="1:52" ht="17.100000000000001" customHeight="1" thickTop="1">
      <c r="A564" s="109" t="s">
        <v>6019</v>
      </c>
      <c r="B564" s="28">
        <v>44918</v>
      </c>
      <c r="C564" s="25">
        <v>1970</v>
      </c>
      <c r="D564" s="13" t="s">
        <v>859</v>
      </c>
      <c r="E564" s="111"/>
      <c r="F564" s="113" t="s">
        <v>2279</v>
      </c>
      <c r="G564" s="273"/>
      <c r="H564" s="274"/>
      <c r="I564" s="24" t="s">
        <v>2272</v>
      </c>
      <c r="J564" s="116">
        <v>4.5</v>
      </c>
      <c r="K564" s="118">
        <v>1900000</v>
      </c>
      <c r="L564" s="119"/>
      <c r="M564" s="118">
        <v>190000</v>
      </c>
      <c r="N564" s="119"/>
      <c r="O564" s="118">
        <v>7600</v>
      </c>
      <c r="P564" s="119"/>
      <c r="Q564" s="118">
        <v>16250</v>
      </c>
      <c r="R564" s="119"/>
      <c r="S564" s="118">
        <v>24200</v>
      </c>
      <c r="T564" s="119"/>
      <c r="U564" s="118">
        <f>SUM(K564:T565)</f>
        <v>2138050</v>
      </c>
      <c r="V564" s="119"/>
      <c r="W564" s="124"/>
      <c r="X564" s="127" t="s">
        <v>2280</v>
      </c>
      <c r="Y564" s="223"/>
      <c r="Z564" s="223"/>
      <c r="AA564" s="223"/>
      <c r="AB564" s="224"/>
      <c r="AC564" s="15" t="s">
        <v>20</v>
      </c>
      <c r="AD564" s="129" t="s">
        <v>1670</v>
      </c>
      <c r="AE564" s="130"/>
      <c r="AF564" s="130"/>
      <c r="AG564" s="130"/>
      <c r="AH564" s="130"/>
      <c r="AI564" s="131"/>
      <c r="AJ564" s="132"/>
      <c r="AK564" s="127"/>
      <c r="AL564" s="127"/>
      <c r="AM564" s="21" t="s">
        <v>2281</v>
      </c>
      <c r="AN564" s="133"/>
      <c r="AO564" s="134"/>
      <c r="AP564" s="135"/>
      <c r="AQ564" s="136"/>
      <c r="AR564" s="118"/>
      <c r="AS564" s="119"/>
      <c r="AT564" s="180">
        <f>AR564*0.1</f>
        <v>0</v>
      </c>
      <c r="AU564" s="181"/>
      <c r="AV564" s="118"/>
      <c r="AW564" s="119"/>
      <c r="AX564" s="118">
        <f>SUM(AR564:AW564)</f>
        <v>0</v>
      </c>
      <c r="AY564" s="119"/>
      <c r="AZ564" s="200"/>
    </row>
    <row r="565" spans="1:52" ht="17.100000000000001" customHeight="1" thickBot="1">
      <c r="A565" s="110"/>
      <c r="B565" s="27" t="s">
        <v>1543</v>
      </c>
      <c r="C565" s="27">
        <v>35170</v>
      </c>
      <c r="D565" s="14" t="s">
        <v>2282</v>
      </c>
      <c r="E565" s="112"/>
      <c r="F565" s="139" t="s">
        <v>2283</v>
      </c>
      <c r="G565" s="140"/>
      <c r="H565" s="141"/>
      <c r="I565" s="26">
        <v>22436</v>
      </c>
      <c r="J565" s="117"/>
      <c r="K565" s="120"/>
      <c r="L565" s="121"/>
      <c r="M565" s="120"/>
      <c r="N565" s="121"/>
      <c r="O565" s="120"/>
      <c r="P565" s="121"/>
      <c r="Q565" s="120"/>
      <c r="R565" s="121"/>
      <c r="S565" s="120"/>
      <c r="T565" s="121"/>
      <c r="U565" s="120"/>
      <c r="V565" s="121"/>
      <c r="W565" s="125"/>
      <c r="X565" s="143" t="s">
        <v>1730</v>
      </c>
      <c r="Y565" s="143"/>
      <c r="Z565" s="143"/>
      <c r="AA565" s="143"/>
      <c r="AB565" s="144"/>
      <c r="AC565" s="16" t="s">
        <v>21</v>
      </c>
      <c r="AD565" s="17" t="s">
        <v>2284</v>
      </c>
      <c r="AE565" s="145" t="s">
        <v>1945</v>
      </c>
      <c r="AF565" s="146"/>
      <c r="AG565" s="146"/>
      <c r="AH565" s="146"/>
      <c r="AI565" s="147"/>
      <c r="AJ565" s="148"/>
      <c r="AK565" s="143"/>
      <c r="AL565" s="143"/>
      <c r="AM565" s="22" t="s">
        <v>2285</v>
      </c>
      <c r="AN565" s="149"/>
      <c r="AO565" s="144"/>
      <c r="AP565" s="148"/>
      <c r="AQ565" s="144"/>
      <c r="AR565" s="120"/>
      <c r="AS565" s="121"/>
      <c r="AT565" s="120"/>
      <c r="AU565" s="182"/>
      <c r="AV565" s="120"/>
      <c r="AW565" s="121"/>
      <c r="AX565" s="120"/>
      <c r="AY565" s="121"/>
      <c r="AZ565" s="201"/>
    </row>
    <row r="566" spans="1:52" ht="17.100000000000001" customHeight="1" thickTop="1">
      <c r="A566" s="109" t="s">
        <v>6020</v>
      </c>
      <c r="B566" s="28">
        <v>44919</v>
      </c>
      <c r="C566" s="25">
        <v>1670</v>
      </c>
      <c r="D566" s="13" t="s">
        <v>2179</v>
      </c>
      <c r="E566" s="111"/>
      <c r="F566" s="113" t="s">
        <v>2286</v>
      </c>
      <c r="G566" s="273"/>
      <c r="H566" s="274"/>
      <c r="I566" s="24"/>
      <c r="J566" s="116">
        <v>4.5</v>
      </c>
      <c r="K566" s="118">
        <v>1916000</v>
      </c>
      <c r="L566" s="119"/>
      <c r="M566" s="118">
        <v>191600</v>
      </c>
      <c r="N566" s="119"/>
      <c r="O566" s="118">
        <v>0</v>
      </c>
      <c r="P566" s="119"/>
      <c r="Q566" s="118">
        <v>20680</v>
      </c>
      <c r="R566" s="119"/>
      <c r="S566" s="118">
        <v>13750</v>
      </c>
      <c r="T566" s="119"/>
      <c r="U566" s="118">
        <f>SUM(K566:T567)</f>
        <v>2142030</v>
      </c>
      <c r="V566" s="119"/>
      <c r="W566" s="124"/>
      <c r="X566" s="127" t="s">
        <v>2287</v>
      </c>
      <c r="Y566" s="223"/>
      <c r="Z566" s="223"/>
      <c r="AA566" s="223"/>
      <c r="AB566" s="224"/>
      <c r="AC566" s="15" t="s">
        <v>20</v>
      </c>
      <c r="AD566" s="129" t="s">
        <v>1670</v>
      </c>
      <c r="AE566" s="130"/>
      <c r="AF566" s="130"/>
      <c r="AG566" s="130"/>
      <c r="AH566" s="130"/>
      <c r="AI566" s="131"/>
      <c r="AJ566" s="132"/>
      <c r="AK566" s="127"/>
      <c r="AL566" s="127"/>
      <c r="AM566" s="21"/>
      <c r="AN566" s="133"/>
      <c r="AO566" s="134"/>
      <c r="AP566" s="135"/>
      <c r="AQ566" s="136"/>
      <c r="AR566" s="118"/>
      <c r="AS566" s="119"/>
      <c r="AT566" s="180">
        <f>AR566*0.1</f>
        <v>0</v>
      </c>
      <c r="AU566" s="181"/>
      <c r="AV566" s="118"/>
      <c r="AW566" s="119"/>
      <c r="AX566" s="118">
        <f>SUM(AR566:AW566)</f>
        <v>0</v>
      </c>
      <c r="AY566" s="119"/>
      <c r="AZ566" s="200"/>
    </row>
    <row r="567" spans="1:52" ht="17.100000000000001" customHeight="1" thickBot="1">
      <c r="A567" s="110"/>
      <c r="B567" s="27" t="s">
        <v>2288</v>
      </c>
      <c r="C567" s="27">
        <v>6025</v>
      </c>
      <c r="D567" s="14" t="s">
        <v>2289</v>
      </c>
      <c r="E567" s="112"/>
      <c r="F567" s="139" t="s">
        <v>2290</v>
      </c>
      <c r="G567" s="140"/>
      <c r="H567" s="141"/>
      <c r="I567" s="26">
        <v>46175</v>
      </c>
      <c r="J567" s="117"/>
      <c r="K567" s="120"/>
      <c r="L567" s="121"/>
      <c r="M567" s="120"/>
      <c r="N567" s="121"/>
      <c r="O567" s="120"/>
      <c r="P567" s="121"/>
      <c r="Q567" s="120"/>
      <c r="R567" s="121"/>
      <c r="S567" s="120"/>
      <c r="T567" s="121"/>
      <c r="U567" s="120"/>
      <c r="V567" s="121"/>
      <c r="W567" s="125"/>
      <c r="X567" s="143" t="s">
        <v>2291</v>
      </c>
      <c r="Y567" s="143"/>
      <c r="Z567" s="143"/>
      <c r="AA567" s="143"/>
      <c r="AB567" s="144"/>
      <c r="AC567" s="16" t="s">
        <v>21</v>
      </c>
      <c r="AD567" s="17" t="s">
        <v>2284</v>
      </c>
      <c r="AE567" s="145" t="s">
        <v>1670</v>
      </c>
      <c r="AF567" s="146"/>
      <c r="AG567" s="146"/>
      <c r="AH567" s="146"/>
      <c r="AI567" s="147"/>
      <c r="AJ567" s="148"/>
      <c r="AK567" s="143"/>
      <c r="AL567" s="143"/>
      <c r="AM567" s="22"/>
      <c r="AN567" s="149"/>
      <c r="AO567" s="144"/>
      <c r="AP567" s="148"/>
      <c r="AQ567" s="144"/>
      <c r="AR567" s="120"/>
      <c r="AS567" s="121"/>
      <c r="AT567" s="120"/>
      <c r="AU567" s="182"/>
      <c r="AV567" s="120"/>
      <c r="AW567" s="121"/>
      <c r="AX567" s="120"/>
      <c r="AY567" s="121"/>
      <c r="AZ567" s="201"/>
    </row>
    <row r="568" spans="1:52" ht="17.100000000000001" customHeight="1" thickTop="1">
      <c r="A568" s="109" t="s">
        <v>6021</v>
      </c>
      <c r="B568" s="28">
        <v>44935</v>
      </c>
      <c r="C568" s="25"/>
      <c r="D568" s="13" t="s">
        <v>2292</v>
      </c>
      <c r="E568" s="111"/>
      <c r="F568" s="113" t="s">
        <v>2293</v>
      </c>
      <c r="G568" s="273"/>
      <c r="H568" s="274"/>
      <c r="I568" s="24" t="s">
        <v>1688</v>
      </c>
      <c r="J568" s="116">
        <v>3.5</v>
      </c>
      <c r="K568" s="118">
        <v>3590000</v>
      </c>
      <c r="L568" s="119"/>
      <c r="M568" s="118">
        <v>359000</v>
      </c>
      <c r="N568" s="119"/>
      <c r="O568" s="118">
        <v>0</v>
      </c>
      <c r="P568" s="119"/>
      <c r="Q568" s="118">
        <v>15120</v>
      </c>
      <c r="R568" s="119"/>
      <c r="S568" s="118">
        <v>162450</v>
      </c>
      <c r="T568" s="119"/>
      <c r="U568" s="118">
        <f>SUM(K568:T569)</f>
        <v>4126570</v>
      </c>
      <c r="V568" s="119"/>
      <c r="W568" s="124"/>
      <c r="X568" s="127" t="s">
        <v>2294</v>
      </c>
      <c r="Y568" s="223"/>
      <c r="Z568" s="223"/>
      <c r="AA568" s="223"/>
      <c r="AB568" s="224"/>
      <c r="AC568" s="15" t="s">
        <v>20</v>
      </c>
      <c r="AD568" s="129" t="s">
        <v>1581</v>
      </c>
      <c r="AE568" s="130"/>
      <c r="AF568" s="130"/>
      <c r="AG568" s="130"/>
      <c r="AH568" s="130"/>
      <c r="AI568" s="131"/>
      <c r="AJ568" s="132"/>
      <c r="AK568" s="127"/>
      <c r="AL568" s="127"/>
      <c r="AM568" s="21"/>
      <c r="AN568" s="133"/>
      <c r="AO568" s="134"/>
      <c r="AP568" s="135"/>
      <c r="AQ568" s="136"/>
      <c r="AR568" s="118"/>
      <c r="AS568" s="119"/>
      <c r="AT568" s="180">
        <f>AR568*0.1</f>
        <v>0</v>
      </c>
      <c r="AU568" s="181"/>
      <c r="AV568" s="118"/>
      <c r="AW568" s="119"/>
      <c r="AX568" s="118">
        <f>SUM(AR568:AW568)</f>
        <v>0</v>
      </c>
      <c r="AY568" s="119"/>
      <c r="AZ568" s="200"/>
    </row>
    <row r="569" spans="1:52" ht="17.100000000000001" customHeight="1" thickBot="1">
      <c r="A569" s="110"/>
      <c r="B569" s="27" t="s">
        <v>1718</v>
      </c>
      <c r="C569" s="27" t="s">
        <v>2295</v>
      </c>
      <c r="D569" s="14" t="s">
        <v>1812</v>
      </c>
      <c r="E569" s="112"/>
      <c r="F569" s="139" t="s">
        <v>2296</v>
      </c>
      <c r="G569" s="140"/>
      <c r="H569" s="141"/>
      <c r="I569" s="26">
        <v>54281</v>
      </c>
      <c r="J569" s="117"/>
      <c r="K569" s="120"/>
      <c r="L569" s="121"/>
      <c r="M569" s="120"/>
      <c r="N569" s="121"/>
      <c r="O569" s="120"/>
      <c r="P569" s="121"/>
      <c r="Q569" s="120"/>
      <c r="R569" s="121"/>
      <c r="S569" s="120"/>
      <c r="T569" s="121"/>
      <c r="U569" s="120"/>
      <c r="V569" s="121"/>
      <c r="W569" s="125"/>
      <c r="X569" s="143" t="s">
        <v>2297</v>
      </c>
      <c r="Y569" s="143"/>
      <c r="Z569" s="143"/>
      <c r="AA569" s="143"/>
      <c r="AB569" s="144"/>
      <c r="AC569" s="16" t="s">
        <v>21</v>
      </c>
      <c r="AD569" s="17" t="s">
        <v>2298</v>
      </c>
      <c r="AE569" s="145" t="s">
        <v>2299</v>
      </c>
      <c r="AF569" s="146"/>
      <c r="AG569" s="146"/>
      <c r="AH569" s="146"/>
      <c r="AI569" s="147"/>
      <c r="AJ569" s="148"/>
      <c r="AK569" s="143"/>
      <c r="AL569" s="143"/>
      <c r="AM569" s="22" t="s">
        <v>2300</v>
      </c>
      <c r="AN569" s="149"/>
      <c r="AO569" s="144"/>
      <c r="AP569" s="148"/>
      <c r="AQ569" s="144"/>
      <c r="AR569" s="120"/>
      <c r="AS569" s="121"/>
      <c r="AT569" s="120"/>
      <c r="AU569" s="182"/>
      <c r="AV569" s="120"/>
      <c r="AW569" s="121"/>
      <c r="AX569" s="120"/>
      <c r="AY569" s="121"/>
      <c r="AZ569" s="201"/>
    </row>
    <row r="570" spans="1:52" ht="17.100000000000001" customHeight="1" thickTop="1">
      <c r="A570" s="109" t="s">
        <v>6022</v>
      </c>
      <c r="B570" s="28">
        <v>44936</v>
      </c>
      <c r="C570" s="25">
        <v>929</v>
      </c>
      <c r="D570" s="13" t="s">
        <v>2301</v>
      </c>
      <c r="E570" s="111"/>
      <c r="F570" s="113" t="s">
        <v>2302</v>
      </c>
      <c r="G570" s="273"/>
      <c r="H570" s="274"/>
      <c r="I570" s="24" t="s">
        <v>2009</v>
      </c>
      <c r="J570" s="116">
        <v>4.5</v>
      </c>
      <c r="K570" s="118">
        <v>2310000</v>
      </c>
      <c r="L570" s="119"/>
      <c r="M570" s="118">
        <v>231000</v>
      </c>
      <c r="N570" s="119"/>
      <c r="O570" s="118">
        <v>6500</v>
      </c>
      <c r="P570" s="119"/>
      <c r="Q570" s="118">
        <v>20440</v>
      </c>
      <c r="R570" s="119"/>
      <c r="S570" s="118">
        <v>13200</v>
      </c>
      <c r="T570" s="119"/>
      <c r="U570" s="118">
        <f>SUM(K570:T571)</f>
        <v>2581140</v>
      </c>
      <c r="V570" s="119"/>
      <c r="W570" s="124"/>
      <c r="X570" s="127" t="s">
        <v>2303</v>
      </c>
      <c r="Y570" s="223"/>
      <c r="Z570" s="223"/>
      <c r="AA570" s="223"/>
      <c r="AB570" s="224"/>
      <c r="AC570" s="15" t="s">
        <v>20</v>
      </c>
      <c r="AD570" s="129" t="s">
        <v>171</v>
      </c>
      <c r="AE570" s="130"/>
      <c r="AF570" s="130"/>
      <c r="AG570" s="130"/>
      <c r="AH570" s="130"/>
      <c r="AI570" s="131"/>
      <c r="AJ570" s="132"/>
      <c r="AK570" s="127"/>
      <c r="AL570" s="127"/>
      <c r="AM570" s="21"/>
      <c r="AN570" s="133"/>
      <c r="AO570" s="134"/>
      <c r="AP570" s="135"/>
      <c r="AQ570" s="136"/>
      <c r="AR570" s="118"/>
      <c r="AS570" s="119"/>
      <c r="AT570" s="180">
        <f>AR570*0.1</f>
        <v>0</v>
      </c>
      <c r="AU570" s="181"/>
      <c r="AV570" s="118"/>
      <c r="AW570" s="119"/>
      <c r="AX570" s="118">
        <f>SUM(AR570:AW570)</f>
        <v>0</v>
      </c>
      <c r="AY570" s="119"/>
      <c r="AZ570" s="200"/>
    </row>
    <row r="571" spans="1:52" ht="17.100000000000001" customHeight="1" thickBot="1">
      <c r="A571" s="110"/>
      <c r="B571" s="27" t="s">
        <v>1591</v>
      </c>
      <c r="C571" s="27">
        <v>82043</v>
      </c>
      <c r="D571" s="14" t="s">
        <v>2183</v>
      </c>
      <c r="E571" s="112"/>
      <c r="F571" s="139" t="s">
        <v>2304</v>
      </c>
      <c r="G571" s="140"/>
      <c r="H571" s="141"/>
      <c r="I571" s="26">
        <v>34277</v>
      </c>
      <c r="J571" s="117"/>
      <c r="K571" s="120"/>
      <c r="L571" s="121"/>
      <c r="M571" s="120"/>
      <c r="N571" s="121"/>
      <c r="O571" s="120"/>
      <c r="P571" s="121"/>
      <c r="Q571" s="120"/>
      <c r="R571" s="121"/>
      <c r="S571" s="120"/>
      <c r="T571" s="121"/>
      <c r="U571" s="120"/>
      <c r="V571" s="121"/>
      <c r="W571" s="125"/>
      <c r="X571" s="143" t="s">
        <v>2305</v>
      </c>
      <c r="Y571" s="143"/>
      <c r="Z571" s="143"/>
      <c r="AA571" s="143"/>
      <c r="AB571" s="144"/>
      <c r="AC571" s="16" t="s">
        <v>21</v>
      </c>
      <c r="AD571" s="17" t="s">
        <v>1815</v>
      </c>
      <c r="AE571" s="145" t="s">
        <v>2306</v>
      </c>
      <c r="AF571" s="146"/>
      <c r="AG571" s="146"/>
      <c r="AH571" s="146"/>
      <c r="AI571" s="147"/>
      <c r="AJ571" s="148"/>
      <c r="AK571" s="143"/>
      <c r="AL571" s="143"/>
      <c r="AM571" s="22" t="s">
        <v>2300</v>
      </c>
      <c r="AN571" s="149"/>
      <c r="AO571" s="144"/>
      <c r="AP571" s="148"/>
      <c r="AQ571" s="144"/>
      <c r="AR571" s="120"/>
      <c r="AS571" s="121"/>
      <c r="AT571" s="120"/>
      <c r="AU571" s="182"/>
      <c r="AV571" s="120"/>
      <c r="AW571" s="121"/>
      <c r="AX571" s="120"/>
      <c r="AY571" s="121"/>
      <c r="AZ571" s="201"/>
    </row>
    <row r="572" spans="1:52" ht="17.100000000000001" customHeight="1" thickTop="1">
      <c r="A572" s="109" t="s">
        <v>6023</v>
      </c>
      <c r="B572" s="28">
        <v>44939</v>
      </c>
      <c r="C572" s="25">
        <v>1971</v>
      </c>
      <c r="D572" s="13" t="s">
        <v>1686</v>
      </c>
      <c r="E572" s="111"/>
      <c r="F572" s="113" t="s">
        <v>2121</v>
      </c>
      <c r="G572" s="273"/>
      <c r="H572" s="274"/>
      <c r="I572" s="24"/>
      <c r="J572" s="116">
        <v>4.5</v>
      </c>
      <c r="K572" s="118">
        <v>2100000</v>
      </c>
      <c r="L572" s="119"/>
      <c r="M572" s="118">
        <v>210000</v>
      </c>
      <c r="N572" s="119"/>
      <c r="O572" s="118">
        <v>0</v>
      </c>
      <c r="P572" s="119"/>
      <c r="Q572" s="118">
        <v>20680</v>
      </c>
      <c r="R572" s="119"/>
      <c r="S572" s="118">
        <v>13200</v>
      </c>
      <c r="T572" s="119"/>
      <c r="U572" s="118">
        <f>SUM(K572:T573)</f>
        <v>2343880</v>
      </c>
      <c r="V572" s="119"/>
      <c r="W572" s="124"/>
      <c r="X572" s="127" t="s">
        <v>2307</v>
      </c>
      <c r="Y572" s="223"/>
      <c r="Z572" s="223"/>
      <c r="AA572" s="223"/>
      <c r="AB572" s="224"/>
      <c r="AC572" s="15" t="s">
        <v>20</v>
      </c>
      <c r="AD572" s="129" t="s">
        <v>1670</v>
      </c>
      <c r="AE572" s="130"/>
      <c r="AF572" s="130"/>
      <c r="AG572" s="130"/>
      <c r="AH572" s="130"/>
      <c r="AI572" s="131"/>
      <c r="AJ572" s="132"/>
      <c r="AK572" s="127"/>
      <c r="AL572" s="127"/>
      <c r="AM572" s="21"/>
      <c r="AN572" s="133"/>
      <c r="AO572" s="134"/>
      <c r="AP572" s="135"/>
      <c r="AQ572" s="136"/>
      <c r="AR572" s="118"/>
      <c r="AS572" s="119"/>
      <c r="AT572" s="180">
        <f>AR572*0.1</f>
        <v>0</v>
      </c>
      <c r="AU572" s="181"/>
      <c r="AV572" s="118"/>
      <c r="AW572" s="119"/>
      <c r="AX572" s="118">
        <f>SUM(AR572:AW572)</f>
        <v>0</v>
      </c>
      <c r="AY572" s="119"/>
      <c r="AZ572" s="200"/>
    </row>
    <row r="573" spans="1:52" ht="17.100000000000001" customHeight="1" thickBot="1">
      <c r="A573" s="110"/>
      <c r="B573" s="27" t="s">
        <v>1543</v>
      </c>
      <c r="C573" s="27">
        <v>58389</v>
      </c>
      <c r="D573" s="14" t="s">
        <v>1592</v>
      </c>
      <c r="E573" s="112"/>
      <c r="F573" s="139" t="s">
        <v>2308</v>
      </c>
      <c r="G573" s="140"/>
      <c r="H573" s="141"/>
      <c r="I573" s="26">
        <v>45600</v>
      </c>
      <c r="J573" s="117"/>
      <c r="K573" s="120"/>
      <c r="L573" s="121"/>
      <c r="M573" s="120"/>
      <c r="N573" s="121"/>
      <c r="O573" s="120"/>
      <c r="P573" s="121"/>
      <c r="Q573" s="120"/>
      <c r="R573" s="121"/>
      <c r="S573" s="120"/>
      <c r="T573" s="121"/>
      <c r="U573" s="120"/>
      <c r="V573" s="121"/>
      <c r="W573" s="125"/>
      <c r="X573" s="143" t="s">
        <v>2309</v>
      </c>
      <c r="Y573" s="143"/>
      <c r="Z573" s="143"/>
      <c r="AA573" s="143"/>
      <c r="AB573" s="144"/>
      <c r="AC573" s="16" t="s">
        <v>21</v>
      </c>
      <c r="AD573" s="17" t="s">
        <v>2310</v>
      </c>
      <c r="AE573" s="145" t="s">
        <v>2311</v>
      </c>
      <c r="AF573" s="146"/>
      <c r="AG573" s="146"/>
      <c r="AH573" s="146"/>
      <c r="AI573" s="147"/>
      <c r="AJ573" s="148"/>
      <c r="AK573" s="143"/>
      <c r="AL573" s="143"/>
      <c r="AM573" s="22"/>
      <c r="AN573" s="149"/>
      <c r="AO573" s="144"/>
      <c r="AP573" s="148"/>
      <c r="AQ573" s="144"/>
      <c r="AR573" s="120"/>
      <c r="AS573" s="121"/>
      <c r="AT573" s="120"/>
      <c r="AU573" s="182"/>
      <c r="AV573" s="120"/>
      <c r="AW573" s="121"/>
      <c r="AX573" s="120"/>
      <c r="AY573" s="121"/>
      <c r="AZ573" s="201"/>
    </row>
    <row r="574" spans="1:52" ht="17.100000000000001" customHeight="1" thickTop="1">
      <c r="A574" s="109" t="s">
        <v>6024</v>
      </c>
      <c r="B574" s="28">
        <v>44947</v>
      </c>
      <c r="C574" s="25">
        <v>1138</v>
      </c>
      <c r="D574" s="13" t="s">
        <v>1640</v>
      </c>
      <c r="E574" s="111"/>
      <c r="F574" s="113" t="s">
        <v>2312</v>
      </c>
      <c r="G574" s="273"/>
      <c r="H574" s="274"/>
      <c r="I574" s="24" t="s">
        <v>2084</v>
      </c>
      <c r="J574" s="116">
        <v>4.5</v>
      </c>
      <c r="K574" s="118">
        <v>1895000</v>
      </c>
      <c r="L574" s="119"/>
      <c r="M574" s="118">
        <v>189500</v>
      </c>
      <c r="N574" s="119"/>
      <c r="O574" s="118">
        <v>6500</v>
      </c>
      <c r="P574" s="119"/>
      <c r="Q574" s="118">
        <v>17700</v>
      </c>
      <c r="R574" s="119"/>
      <c r="S574" s="118">
        <v>13200</v>
      </c>
      <c r="T574" s="119"/>
      <c r="U574" s="118">
        <f>SUM(K574:T575)</f>
        <v>2121900</v>
      </c>
      <c r="V574" s="119"/>
      <c r="W574" s="124"/>
      <c r="X574" s="127" t="s">
        <v>2313</v>
      </c>
      <c r="Y574" s="223"/>
      <c r="Z574" s="223"/>
      <c r="AA574" s="223"/>
      <c r="AB574" s="224"/>
      <c r="AC574" s="15" t="s">
        <v>20</v>
      </c>
      <c r="AD574" s="129"/>
      <c r="AE574" s="130"/>
      <c r="AF574" s="130"/>
      <c r="AG574" s="130"/>
      <c r="AH574" s="130"/>
      <c r="AI574" s="131"/>
      <c r="AJ574" s="132"/>
      <c r="AK574" s="127"/>
      <c r="AL574" s="127"/>
      <c r="AM574" s="21" t="s">
        <v>2314</v>
      </c>
      <c r="AN574" s="133"/>
      <c r="AO574" s="134"/>
      <c r="AP574" s="135"/>
      <c r="AQ574" s="136"/>
      <c r="AR574" s="118"/>
      <c r="AS574" s="119"/>
      <c r="AT574" s="180">
        <f>AR574*0.1</f>
        <v>0</v>
      </c>
      <c r="AU574" s="181"/>
      <c r="AV574" s="118"/>
      <c r="AW574" s="119"/>
      <c r="AX574" s="118">
        <f>SUM(AR574:AW574)</f>
        <v>0</v>
      </c>
      <c r="AY574" s="119"/>
      <c r="AZ574" s="200"/>
    </row>
    <row r="575" spans="1:52" ht="17.100000000000001" customHeight="1" thickBot="1">
      <c r="A575" s="110"/>
      <c r="B575" s="27" t="s">
        <v>1567</v>
      </c>
      <c r="C575" s="27">
        <v>82139</v>
      </c>
      <c r="D575" s="14" t="s">
        <v>1601</v>
      </c>
      <c r="E575" s="112"/>
      <c r="F575" s="139" t="s">
        <v>2315</v>
      </c>
      <c r="G575" s="140"/>
      <c r="H575" s="141"/>
      <c r="I575" s="26">
        <v>32287</v>
      </c>
      <c r="J575" s="117"/>
      <c r="K575" s="120"/>
      <c r="L575" s="121"/>
      <c r="M575" s="120"/>
      <c r="N575" s="121"/>
      <c r="O575" s="120"/>
      <c r="P575" s="121"/>
      <c r="Q575" s="120"/>
      <c r="R575" s="121"/>
      <c r="S575" s="120"/>
      <c r="T575" s="121"/>
      <c r="U575" s="120"/>
      <c r="V575" s="121"/>
      <c r="W575" s="125"/>
      <c r="X575" s="143" t="s">
        <v>425</v>
      </c>
      <c r="Y575" s="143"/>
      <c r="Z575" s="143"/>
      <c r="AA575" s="143"/>
      <c r="AB575" s="144"/>
      <c r="AC575" s="16" t="s">
        <v>21</v>
      </c>
      <c r="AD575" s="17" t="s">
        <v>2316</v>
      </c>
      <c r="AE575" s="145" t="s">
        <v>171</v>
      </c>
      <c r="AF575" s="146"/>
      <c r="AG575" s="146"/>
      <c r="AH575" s="146"/>
      <c r="AI575" s="147"/>
      <c r="AJ575" s="148"/>
      <c r="AK575" s="143"/>
      <c r="AL575" s="143"/>
      <c r="AM575" s="67" t="s">
        <v>51</v>
      </c>
      <c r="AN575" s="149"/>
      <c r="AO575" s="144"/>
      <c r="AP575" s="148"/>
      <c r="AQ575" s="144"/>
      <c r="AR575" s="120"/>
      <c r="AS575" s="121"/>
      <c r="AT575" s="120"/>
      <c r="AU575" s="182"/>
      <c r="AV575" s="120"/>
      <c r="AW575" s="121"/>
      <c r="AX575" s="120"/>
      <c r="AY575" s="121"/>
      <c r="AZ575" s="201"/>
    </row>
    <row r="576" spans="1:52" ht="17.100000000000001" customHeight="1" thickTop="1">
      <c r="A576" s="109" t="s">
        <v>6025</v>
      </c>
      <c r="B576" s="28">
        <v>44953</v>
      </c>
      <c r="C576" s="25">
        <v>1973</v>
      </c>
      <c r="D576" s="13" t="s">
        <v>1606</v>
      </c>
      <c r="E576" s="111"/>
      <c r="F576" s="113" t="s">
        <v>2317</v>
      </c>
      <c r="G576" s="273"/>
      <c r="H576" s="274"/>
      <c r="I576" s="24" t="s">
        <v>1930</v>
      </c>
      <c r="J576" s="116">
        <v>4.5</v>
      </c>
      <c r="K576" s="118">
        <v>2085000</v>
      </c>
      <c r="L576" s="119"/>
      <c r="M576" s="118">
        <v>208500</v>
      </c>
      <c r="N576" s="119"/>
      <c r="O576" s="118">
        <v>6500</v>
      </c>
      <c r="P576" s="119"/>
      <c r="Q576" s="118">
        <v>20680</v>
      </c>
      <c r="R576" s="119"/>
      <c r="S576" s="118">
        <v>13200</v>
      </c>
      <c r="T576" s="119"/>
      <c r="U576" s="118">
        <f>SUM(K576:T577)</f>
        <v>2333880</v>
      </c>
      <c r="V576" s="119"/>
      <c r="W576" s="124"/>
      <c r="X576" s="127" t="s">
        <v>2318</v>
      </c>
      <c r="Y576" s="223"/>
      <c r="Z576" s="223"/>
      <c r="AA576" s="223"/>
      <c r="AB576" s="224"/>
      <c r="AC576" s="15" t="s">
        <v>20</v>
      </c>
      <c r="AD576" s="129" t="s">
        <v>1670</v>
      </c>
      <c r="AE576" s="130"/>
      <c r="AF576" s="130"/>
      <c r="AG576" s="130"/>
      <c r="AH576" s="130"/>
      <c r="AI576" s="131"/>
      <c r="AJ576" s="132"/>
      <c r="AK576" s="127"/>
      <c r="AL576" s="127"/>
      <c r="AM576" s="21" t="s">
        <v>2319</v>
      </c>
      <c r="AN576" s="133"/>
      <c r="AO576" s="134"/>
      <c r="AP576" s="135"/>
      <c r="AQ576" s="136"/>
      <c r="AR576" s="118"/>
      <c r="AS576" s="119"/>
      <c r="AT576" s="180">
        <f>AR576*0.1</f>
        <v>0</v>
      </c>
      <c r="AU576" s="181"/>
      <c r="AV576" s="118"/>
      <c r="AW576" s="119"/>
      <c r="AX576" s="118">
        <f>SUM(AR576:AW576)</f>
        <v>0</v>
      </c>
      <c r="AY576" s="119"/>
      <c r="AZ576" s="200"/>
    </row>
    <row r="577" spans="1:52" ht="17.100000000000001" customHeight="1" thickBot="1">
      <c r="A577" s="110"/>
      <c r="B577" s="27" t="s">
        <v>1543</v>
      </c>
      <c r="C577" s="27">
        <v>58347</v>
      </c>
      <c r="D577" s="14" t="s">
        <v>275</v>
      </c>
      <c r="E577" s="112"/>
      <c r="F577" s="139" t="s">
        <v>2320</v>
      </c>
      <c r="G577" s="140"/>
      <c r="H577" s="141"/>
      <c r="I577" s="26">
        <v>28252</v>
      </c>
      <c r="J577" s="117"/>
      <c r="K577" s="120"/>
      <c r="L577" s="121"/>
      <c r="M577" s="120"/>
      <c r="N577" s="121"/>
      <c r="O577" s="120"/>
      <c r="P577" s="121"/>
      <c r="Q577" s="120"/>
      <c r="R577" s="121"/>
      <c r="S577" s="120"/>
      <c r="T577" s="121"/>
      <c r="U577" s="120"/>
      <c r="V577" s="121"/>
      <c r="W577" s="125"/>
      <c r="X577" s="143" t="s">
        <v>2321</v>
      </c>
      <c r="Y577" s="143"/>
      <c r="Z577" s="143"/>
      <c r="AA577" s="143"/>
      <c r="AB577" s="144"/>
      <c r="AC577" s="16" t="s">
        <v>21</v>
      </c>
      <c r="AD577" s="17" t="s">
        <v>818</v>
      </c>
      <c r="AE577" s="145" t="s">
        <v>1742</v>
      </c>
      <c r="AF577" s="146"/>
      <c r="AG577" s="146"/>
      <c r="AH577" s="146"/>
      <c r="AI577" s="147"/>
      <c r="AJ577" s="148"/>
      <c r="AK577" s="143"/>
      <c r="AL577" s="143"/>
      <c r="AM577" s="22" t="s">
        <v>51</v>
      </c>
      <c r="AN577" s="149"/>
      <c r="AO577" s="144"/>
      <c r="AP577" s="148"/>
      <c r="AQ577" s="144"/>
      <c r="AR577" s="120"/>
      <c r="AS577" s="121"/>
      <c r="AT577" s="120"/>
      <c r="AU577" s="182"/>
      <c r="AV577" s="120"/>
      <c r="AW577" s="121"/>
      <c r="AX577" s="120"/>
      <c r="AY577" s="121"/>
      <c r="AZ577" s="201"/>
    </row>
    <row r="578" spans="1:52" ht="17.100000000000001" customHeight="1" thickTop="1">
      <c r="A578" s="109" t="s">
        <v>6026</v>
      </c>
      <c r="B578" s="28">
        <v>44954</v>
      </c>
      <c r="C578" s="25">
        <v>1382</v>
      </c>
      <c r="D578" s="13" t="s">
        <v>2322</v>
      </c>
      <c r="E578" s="111"/>
      <c r="F578" s="113" t="s">
        <v>2323</v>
      </c>
      <c r="G578" s="273"/>
      <c r="H578" s="274"/>
      <c r="I578" s="24"/>
      <c r="J578" s="116">
        <v>4.5</v>
      </c>
      <c r="K578" s="118">
        <v>3400000</v>
      </c>
      <c r="L578" s="119"/>
      <c r="M578" s="118">
        <v>340000</v>
      </c>
      <c r="N578" s="119"/>
      <c r="O578" s="118">
        <v>0</v>
      </c>
      <c r="P578" s="119"/>
      <c r="Q578" s="118">
        <v>27730</v>
      </c>
      <c r="R578" s="119"/>
      <c r="S578" s="118">
        <v>24200</v>
      </c>
      <c r="T578" s="119"/>
      <c r="U578" s="118">
        <f>SUM(K578:T579)</f>
        <v>3791930</v>
      </c>
      <c r="V578" s="119"/>
      <c r="W578" s="124"/>
      <c r="X578" s="127" t="s">
        <v>2324</v>
      </c>
      <c r="Y578" s="223"/>
      <c r="Z578" s="223"/>
      <c r="AA578" s="223"/>
      <c r="AB578" s="224"/>
      <c r="AC578" s="15" t="s">
        <v>20</v>
      </c>
      <c r="AD578" s="129" t="s">
        <v>1670</v>
      </c>
      <c r="AE578" s="130"/>
      <c r="AF578" s="130"/>
      <c r="AG578" s="130"/>
      <c r="AH578" s="130"/>
      <c r="AI578" s="131"/>
      <c r="AJ578" s="132"/>
      <c r="AK578" s="127"/>
      <c r="AL578" s="127"/>
      <c r="AM578" s="21"/>
      <c r="AN578" s="133"/>
      <c r="AO578" s="134"/>
      <c r="AP578" s="135"/>
      <c r="AQ578" s="136"/>
      <c r="AR578" s="118"/>
      <c r="AS578" s="119"/>
      <c r="AT578" s="180">
        <f>AR578*0.1</f>
        <v>0</v>
      </c>
      <c r="AU578" s="181"/>
      <c r="AV578" s="118"/>
      <c r="AW578" s="119"/>
      <c r="AX578" s="118">
        <f>SUM(AR578:AW578)</f>
        <v>0</v>
      </c>
      <c r="AY578" s="119"/>
      <c r="AZ578" s="200"/>
    </row>
    <row r="579" spans="1:52" ht="17.100000000000001" customHeight="1" thickBot="1">
      <c r="A579" s="110"/>
      <c r="B579" s="27" t="s">
        <v>1555</v>
      </c>
      <c r="C579" s="27">
        <v>83030</v>
      </c>
      <c r="D579" s="14" t="s">
        <v>2325</v>
      </c>
      <c r="E579" s="112"/>
      <c r="F579" s="139" t="s">
        <v>2326</v>
      </c>
      <c r="G579" s="140"/>
      <c r="H579" s="141"/>
      <c r="I579" s="26">
        <v>49265</v>
      </c>
      <c r="J579" s="117"/>
      <c r="K579" s="120"/>
      <c r="L579" s="121"/>
      <c r="M579" s="120"/>
      <c r="N579" s="121"/>
      <c r="O579" s="120"/>
      <c r="P579" s="121"/>
      <c r="Q579" s="120"/>
      <c r="R579" s="121"/>
      <c r="S579" s="120"/>
      <c r="T579" s="121"/>
      <c r="U579" s="120"/>
      <c r="V579" s="121"/>
      <c r="W579" s="125"/>
      <c r="X579" s="143" t="s">
        <v>2327</v>
      </c>
      <c r="Y579" s="143"/>
      <c r="Z579" s="143"/>
      <c r="AA579" s="143"/>
      <c r="AB579" s="144"/>
      <c r="AC579" s="16" t="s">
        <v>21</v>
      </c>
      <c r="AD579" s="17" t="s">
        <v>818</v>
      </c>
      <c r="AE579" s="145" t="s">
        <v>2328</v>
      </c>
      <c r="AF579" s="146"/>
      <c r="AG579" s="146"/>
      <c r="AH579" s="146"/>
      <c r="AI579" s="147"/>
      <c r="AJ579" s="148"/>
      <c r="AK579" s="143"/>
      <c r="AL579" s="143"/>
      <c r="AM579" s="22"/>
      <c r="AN579" s="149"/>
      <c r="AO579" s="144"/>
      <c r="AP579" s="148"/>
      <c r="AQ579" s="144"/>
      <c r="AR579" s="120"/>
      <c r="AS579" s="121"/>
      <c r="AT579" s="120"/>
      <c r="AU579" s="182"/>
      <c r="AV579" s="120"/>
      <c r="AW579" s="121"/>
      <c r="AX579" s="120"/>
      <c r="AY579" s="121"/>
      <c r="AZ579" s="201"/>
    </row>
    <row r="580" spans="1:52" ht="17.100000000000001" customHeight="1" thickTop="1">
      <c r="A580" s="109" t="s">
        <v>6027</v>
      </c>
      <c r="B580" s="28">
        <v>44956</v>
      </c>
      <c r="C580" s="25">
        <v>1931</v>
      </c>
      <c r="D580" s="13" t="s">
        <v>2329</v>
      </c>
      <c r="E580" s="111"/>
      <c r="F580" s="113" t="s">
        <v>2330</v>
      </c>
      <c r="G580" s="273"/>
      <c r="H580" s="274"/>
      <c r="I580" s="24" t="s">
        <v>2036</v>
      </c>
      <c r="J580" s="116">
        <v>4.5</v>
      </c>
      <c r="K580" s="118">
        <v>2615000</v>
      </c>
      <c r="L580" s="119"/>
      <c r="M580" s="118">
        <v>261500</v>
      </c>
      <c r="N580" s="119"/>
      <c r="O580" s="118">
        <v>6000</v>
      </c>
      <c r="P580" s="119"/>
      <c r="Q580" s="118">
        <v>17600</v>
      </c>
      <c r="R580" s="119"/>
      <c r="S580" s="118">
        <v>11000</v>
      </c>
      <c r="T580" s="119"/>
      <c r="U580" s="118">
        <f>SUM(K580:T581)</f>
        <v>2911100</v>
      </c>
      <c r="V580" s="119"/>
      <c r="W580" s="124"/>
      <c r="X580" s="127" t="s">
        <v>2331</v>
      </c>
      <c r="Y580" s="223"/>
      <c r="Z580" s="223"/>
      <c r="AA580" s="223"/>
      <c r="AB580" s="224"/>
      <c r="AC580" s="15" t="s">
        <v>20</v>
      </c>
      <c r="AD580" s="129" t="s">
        <v>2075</v>
      </c>
      <c r="AE580" s="130"/>
      <c r="AF580" s="130"/>
      <c r="AG580" s="130"/>
      <c r="AH580" s="130"/>
      <c r="AI580" s="131"/>
      <c r="AJ580" s="132"/>
      <c r="AK580" s="127"/>
      <c r="AL580" s="127"/>
      <c r="AM580" s="21"/>
      <c r="AN580" s="133"/>
      <c r="AO580" s="134"/>
      <c r="AP580" s="135"/>
      <c r="AQ580" s="136"/>
      <c r="AR580" s="118"/>
      <c r="AS580" s="119"/>
      <c r="AT580" s="180">
        <f>AR580*0.1</f>
        <v>0</v>
      </c>
      <c r="AU580" s="181"/>
      <c r="AV580" s="118"/>
      <c r="AW580" s="119"/>
      <c r="AX580" s="118">
        <f>SUM(AR580:AW580)</f>
        <v>0</v>
      </c>
      <c r="AY580" s="119"/>
      <c r="AZ580" s="200"/>
    </row>
    <row r="581" spans="1:52" ht="17.100000000000001" customHeight="1" thickBot="1">
      <c r="A581" s="110"/>
      <c r="B581" s="27" t="s">
        <v>83</v>
      </c>
      <c r="C581" s="27">
        <v>34001</v>
      </c>
      <c r="D581" s="14" t="s">
        <v>133</v>
      </c>
      <c r="E581" s="112"/>
      <c r="F581" s="139" t="s">
        <v>2332</v>
      </c>
      <c r="G581" s="140"/>
      <c r="H581" s="141"/>
      <c r="I581" s="26">
        <v>15995</v>
      </c>
      <c r="J581" s="117"/>
      <c r="K581" s="120"/>
      <c r="L581" s="121"/>
      <c r="M581" s="120"/>
      <c r="N581" s="121"/>
      <c r="O581" s="120"/>
      <c r="P581" s="121"/>
      <c r="Q581" s="120"/>
      <c r="R581" s="121"/>
      <c r="S581" s="120"/>
      <c r="T581" s="121"/>
      <c r="U581" s="120"/>
      <c r="V581" s="121"/>
      <c r="W581" s="125"/>
      <c r="X581" s="143" t="s">
        <v>293</v>
      </c>
      <c r="Y581" s="143"/>
      <c r="Z581" s="143"/>
      <c r="AA581" s="143"/>
      <c r="AB581" s="144"/>
      <c r="AC581" s="16" t="s">
        <v>21</v>
      </c>
      <c r="AD581" s="17" t="s">
        <v>2329</v>
      </c>
      <c r="AE581" s="145" t="s">
        <v>1614</v>
      </c>
      <c r="AF581" s="146"/>
      <c r="AG581" s="146"/>
      <c r="AH581" s="146"/>
      <c r="AI581" s="147"/>
      <c r="AJ581" s="148"/>
      <c r="AK581" s="143"/>
      <c r="AL581" s="143"/>
      <c r="AM581" s="22" t="s">
        <v>2333</v>
      </c>
      <c r="AN581" s="149"/>
      <c r="AO581" s="144"/>
      <c r="AP581" s="148"/>
      <c r="AQ581" s="144"/>
      <c r="AR581" s="120"/>
      <c r="AS581" s="121"/>
      <c r="AT581" s="120"/>
      <c r="AU581" s="182"/>
      <c r="AV581" s="120"/>
      <c r="AW581" s="121"/>
      <c r="AX581" s="120"/>
      <c r="AY581" s="121"/>
      <c r="AZ581" s="201"/>
    </row>
    <row r="582" spans="1:52" ht="17.100000000000001" customHeight="1" thickTop="1">
      <c r="A582" s="109" t="s">
        <v>6028</v>
      </c>
      <c r="B582" s="28">
        <v>44966</v>
      </c>
      <c r="C582" s="25">
        <v>1171</v>
      </c>
      <c r="D582" s="13" t="s">
        <v>1776</v>
      </c>
      <c r="E582" s="111"/>
      <c r="F582" s="113" t="s">
        <v>2334</v>
      </c>
      <c r="G582" s="273"/>
      <c r="H582" s="274"/>
      <c r="I582" s="24" t="s">
        <v>1847</v>
      </c>
      <c r="J582" s="116">
        <v>4.5</v>
      </c>
      <c r="K582" s="118">
        <v>1550000</v>
      </c>
      <c r="L582" s="119"/>
      <c r="M582" s="118">
        <v>155000</v>
      </c>
      <c r="N582" s="119"/>
      <c r="O582" s="118">
        <v>3200</v>
      </c>
      <c r="P582" s="119"/>
      <c r="Q582" s="118">
        <v>22240</v>
      </c>
      <c r="R582" s="119"/>
      <c r="S582" s="118">
        <v>22000</v>
      </c>
      <c r="T582" s="119"/>
      <c r="U582" s="118">
        <f>SUM(K582:T583)</f>
        <v>1752440</v>
      </c>
      <c r="V582" s="119"/>
      <c r="W582" s="124"/>
      <c r="X582" s="127" t="s">
        <v>2335</v>
      </c>
      <c r="Y582" s="223"/>
      <c r="Z582" s="223"/>
      <c r="AA582" s="223"/>
      <c r="AB582" s="224"/>
      <c r="AC582" s="15" t="s">
        <v>20</v>
      </c>
      <c r="AD582" s="129" t="s">
        <v>1633</v>
      </c>
      <c r="AE582" s="130"/>
      <c r="AF582" s="130"/>
      <c r="AG582" s="130"/>
      <c r="AH582" s="130"/>
      <c r="AI582" s="131"/>
      <c r="AJ582" s="132"/>
      <c r="AK582" s="127"/>
      <c r="AL582" s="127"/>
      <c r="AM582" s="21"/>
      <c r="AN582" s="133"/>
      <c r="AO582" s="134"/>
      <c r="AP582" s="135"/>
      <c r="AQ582" s="136"/>
      <c r="AR582" s="118"/>
      <c r="AS582" s="119"/>
      <c r="AT582" s="180">
        <f>AR582*0.1</f>
        <v>0</v>
      </c>
      <c r="AU582" s="181"/>
      <c r="AV582" s="118"/>
      <c r="AW582" s="119"/>
      <c r="AX582" s="118">
        <f>SUM(AR582:AW582)</f>
        <v>0</v>
      </c>
      <c r="AY582" s="119"/>
      <c r="AZ582" s="200"/>
    </row>
    <row r="583" spans="1:52" ht="17.100000000000001" customHeight="1" thickBot="1">
      <c r="A583" s="110"/>
      <c r="B583" s="27" t="s">
        <v>1747</v>
      </c>
      <c r="C583" s="27">
        <v>249</v>
      </c>
      <c r="D583" s="14" t="s">
        <v>2336</v>
      </c>
      <c r="E583" s="112"/>
      <c r="F583" s="139" t="s">
        <v>2337</v>
      </c>
      <c r="G583" s="140"/>
      <c r="H583" s="141"/>
      <c r="I583" s="26">
        <v>46878</v>
      </c>
      <c r="J583" s="117"/>
      <c r="K583" s="120"/>
      <c r="L583" s="121"/>
      <c r="M583" s="120"/>
      <c r="N583" s="121"/>
      <c r="O583" s="120"/>
      <c r="P583" s="121"/>
      <c r="Q583" s="120"/>
      <c r="R583" s="121"/>
      <c r="S583" s="120"/>
      <c r="T583" s="121"/>
      <c r="U583" s="120"/>
      <c r="V583" s="121"/>
      <c r="W583" s="125"/>
      <c r="X583" s="143" t="s">
        <v>2338</v>
      </c>
      <c r="Y583" s="143"/>
      <c r="Z583" s="143"/>
      <c r="AA583" s="143"/>
      <c r="AB583" s="144"/>
      <c r="AC583" s="16" t="s">
        <v>21</v>
      </c>
      <c r="AD583" s="17" t="s">
        <v>2339</v>
      </c>
      <c r="AE583" s="145" t="s">
        <v>1742</v>
      </c>
      <c r="AF583" s="146"/>
      <c r="AG583" s="146"/>
      <c r="AH583" s="146"/>
      <c r="AI583" s="147"/>
      <c r="AJ583" s="148"/>
      <c r="AK583" s="143"/>
      <c r="AL583" s="143"/>
      <c r="AM583" s="22" t="s">
        <v>51</v>
      </c>
      <c r="AN583" s="149"/>
      <c r="AO583" s="144"/>
      <c r="AP583" s="148"/>
      <c r="AQ583" s="144"/>
      <c r="AR583" s="120"/>
      <c r="AS583" s="121"/>
      <c r="AT583" s="120"/>
      <c r="AU583" s="182"/>
      <c r="AV583" s="120"/>
      <c r="AW583" s="121"/>
      <c r="AX583" s="120"/>
      <c r="AY583" s="121"/>
      <c r="AZ583" s="201"/>
    </row>
    <row r="584" spans="1:52" ht="17.100000000000001" customHeight="1" thickTop="1">
      <c r="A584" s="109" t="s">
        <v>6029</v>
      </c>
      <c r="B584" s="28">
        <v>44973</v>
      </c>
      <c r="C584" s="25">
        <v>1406</v>
      </c>
      <c r="D584" s="13" t="s">
        <v>2340</v>
      </c>
      <c r="E584" s="111"/>
      <c r="F584" s="113" t="s">
        <v>2341</v>
      </c>
      <c r="G584" s="273"/>
      <c r="H584" s="274"/>
      <c r="I584" s="24"/>
      <c r="J584" s="116">
        <v>4.5</v>
      </c>
      <c r="K584" s="118">
        <v>2945000</v>
      </c>
      <c r="L584" s="119"/>
      <c r="M584" s="118">
        <v>294500</v>
      </c>
      <c r="N584" s="119"/>
      <c r="O584" s="118">
        <v>0</v>
      </c>
      <c r="P584" s="119"/>
      <c r="Q584" s="118">
        <v>19120</v>
      </c>
      <c r="R584" s="119"/>
      <c r="S584" s="118">
        <v>13200</v>
      </c>
      <c r="T584" s="119"/>
      <c r="U584" s="118">
        <f>SUM(K584:T585)</f>
        <v>3271820</v>
      </c>
      <c r="V584" s="119"/>
      <c r="W584" s="124"/>
      <c r="X584" s="127" t="s">
        <v>2342</v>
      </c>
      <c r="Y584" s="223"/>
      <c r="Z584" s="223"/>
      <c r="AA584" s="223"/>
      <c r="AB584" s="224"/>
      <c r="AC584" s="15" t="s">
        <v>20</v>
      </c>
      <c r="AD584" s="279" t="s">
        <v>2343</v>
      </c>
      <c r="AE584" s="280"/>
      <c r="AF584" s="280"/>
      <c r="AG584" s="280"/>
      <c r="AH584" s="280"/>
      <c r="AI584" s="281"/>
      <c r="AJ584" s="132"/>
      <c r="AK584" s="127"/>
      <c r="AL584" s="127"/>
      <c r="AM584" s="21"/>
      <c r="AN584" s="133">
        <v>46055</v>
      </c>
      <c r="AO584" s="134"/>
      <c r="AP584" s="135"/>
      <c r="AQ584" s="136"/>
      <c r="AR584" s="118">
        <f>4500000+1200000</f>
        <v>5700000</v>
      </c>
      <c r="AS584" s="119"/>
      <c r="AT584" s="180">
        <v>0</v>
      </c>
      <c r="AU584" s="181"/>
      <c r="AV584" s="118">
        <v>0</v>
      </c>
      <c r="AW584" s="119"/>
      <c r="AX584" s="118">
        <f>SUM(AR584:AW584)</f>
        <v>5700000</v>
      </c>
      <c r="AY584" s="119"/>
      <c r="AZ584" s="200">
        <v>46106</v>
      </c>
    </row>
    <row r="585" spans="1:52" ht="17.100000000000001" customHeight="1" thickBot="1">
      <c r="A585" s="110"/>
      <c r="B585" s="27" t="s">
        <v>1600</v>
      </c>
      <c r="C585" s="27">
        <v>76121</v>
      </c>
      <c r="D585" s="14" t="s">
        <v>275</v>
      </c>
      <c r="E585" s="112"/>
      <c r="F585" s="139" t="s">
        <v>2344</v>
      </c>
      <c r="G585" s="140"/>
      <c r="H585" s="141"/>
      <c r="I585" s="26">
        <v>51154</v>
      </c>
      <c r="J585" s="117"/>
      <c r="K585" s="120"/>
      <c r="L585" s="121"/>
      <c r="M585" s="120"/>
      <c r="N585" s="121"/>
      <c r="O585" s="120"/>
      <c r="P585" s="121"/>
      <c r="Q585" s="120"/>
      <c r="R585" s="121"/>
      <c r="S585" s="120"/>
      <c r="T585" s="121"/>
      <c r="U585" s="120"/>
      <c r="V585" s="121"/>
      <c r="W585" s="125"/>
      <c r="X585" s="143" t="s">
        <v>2345</v>
      </c>
      <c r="Y585" s="143"/>
      <c r="Z585" s="143"/>
      <c r="AA585" s="143"/>
      <c r="AB585" s="144"/>
      <c r="AC585" s="16" t="s">
        <v>21</v>
      </c>
      <c r="AD585" s="17" t="s">
        <v>2346</v>
      </c>
      <c r="AE585" s="145" t="s">
        <v>2347</v>
      </c>
      <c r="AF585" s="146"/>
      <c r="AG585" s="146"/>
      <c r="AH585" s="146"/>
      <c r="AI585" s="147"/>
      <c r="AJ585" s="148"/>
      <c r="AK585" s="143"/>
      <c r="AL585" s="143"/>
      <c r="AM585" s="22"/>
      <c r="AN585" s="149" t="s">
        <v>24630</v>
      </c>
      <c r="AO585" s="144"/>
      <c r="AP585" s="148"/>
      <c r="AQ585" s="144"/>
      <c r="AR585" s="120"/>
      <c r="AS585" s="121"/>
      <c r="AT585" s="120"/>
      <c r="AU585" s="182"/>
      <c r="AV585" s="120"/>
      <c r="AW585" s="121"/>
      <c r="AX585" s="120"/>
      <c r="AY585" s="121"/>
      <c r="AZ585" s="201"/>
    </row>
    <row r="586" spans="1:52" ht="17.100000000000001" customHeight="1" thickTop="1">
      <c r="A586" s="109" t="s">
        <v>6030</v>
      </c>
      <c r="B586" s="28">
        <v>44975</v>
      </c>
      <c r="C586" s="25">
        <v>1142</v>
      </c>
      <c r="D586" s="13" t="s">
        <v>2348</v>
      </c>
      <c r="E586" s="111"/>
      <c r="F586" s="113" t="s">
        <v>2349</v>
      </c>
      <c r="G586" s="273"/>
      <c r="H586" s="274"/>
      <c r="I586" s="24"/>
      <c r="J586" s="116">
        <v>4.5</v>
      </c>
      <c r="K586" s="118">
        <v>3460000</v>
      </c>
      <c r="L586" s="119"/>
      <c r="M586" s="118">
        <v>346000</v>
      </c>
      <c r="N586" s="119"/>
      <c r="O586" s="118">
        <v>0</v>
      </c>
      <c r="P586" s="119"/>
      <c r="Q586" s="118">
        <v>21930</v>
      </c>
      <c r="R586" s="119"/>
      <c r="S586" s="118">
        <v>13200</v>
      </c>
      <c r="T586" s="119"/>
      <c r="U586" s="118">
        <f>SUM(K586:T587)</f>
        <v>3841130</v>
      </c>
      <c r="V586" s="119"/>
      <c r="W586" s="124"/>
      <c r="X586" s="127" t="s">
        <v>2350</v>
      </c>
      <c r="Y586" s="223"/>
      <c r="Z586" s="223"/>
      <c r="AA586" s="223"/>
      <c r="AB586" s="224"/>
      <c r="AC586" s="15" t="s">
        <v>20</v>
      </c>
      <c r="AD586" s="129" t="s">
        <v>1609</v>
      </c>
      <c r="AE586" s="130"/>
      <c r="AF586" s="130"/>
      <c r="AG586" s="130"/>
      <c r="AH586" s="130"/>
      <c r="AI586" s="131"/>
      <c r="AJ586" s="132"/>
      <c r="AK586" s="127"/>
      <c r="AL586" s="127"/>
      <c r="AM586" s="21"/>
      <c r="AN586" s="133"/>
      <c r="AO586" s="134"/>
      <c r="AP586" s="135"/>
      <c r="AQ586" s="136"/>
      <c r="AR586" s="118"/>
      <c r="AS586" s="119"/>
      <c r="AT586" s="180">
        <f>AR586*0.1</f>
        <v>0</v>
      </c>
      <c r="AU586" s="181"/>
      <c r="AV586" s="118"/>
      <c r="AW586" s="119"/>
      <c r="AX586" s="118">
        <f>SUM(AR586:AW586)</f>
        <v>0</v>
      </c>
      <c r="AY586" s="119"/>
      <c r="AZ586" s="200"/>
    </row>
    <row r="587" spans="1:52" ht="17.100000000000001" customHeight="1" thickBot="1">
      <c r="A587" s="110"/>
      <c r="B587" s="27" t="s">
        <v>1567</v>
      </c>
      <c r="C587" s="27">
        <v>82139</v>
      </c>
      <c r="D587" s="14" t="s">
        <v>2116</v>
      </c>
      <c r="E587" s="112"/>
      <c r="F587" s="139" t="s">
        <v>2351</v>
      </c>
      <c r="G587" s="140"/>
      <c r="H587" s="141"/>
      <c r="I587" s="26">
        <v>37505</v>
      </c>
      <c r="J587" s="117"/>
      <c r="K587" s="120"/>
      <c r="L587" s="121"/>
      <c r="M587" s="120"/>
      <c r="N587" s="121"/>
      <c r="O587" s="120"/>
      <c r="P587" s="121"/>
      <c r="Q587" s="120"/>
      <c r="R587" s="121"/>
      <c r="S587" s="120"/>
      <c r="T587" s="121"/>
      <c r="U587" s="120"/>
      <c r="V587" s="121"/>
      <c r="W587" s="125"/>
      <c r="X587" s="143" t="s">
        <v>2352</v>
      </c>
      <c r="Y587" s="143"/>
      <c r="Z587" s="143"/>
      <c r="AA587" s="143"/>
      <c r="AB587" s="144"/>
      <c r="AC587" s="16" t="s">
        <v>21</v>
      </c>
      <c r="AD587" s="17" t="s">
        <v>2353</v>
      </c>
      <c r="AE587" s="145" t="s">
        <v>1742</v>
      </c>
      <c r="AF587" s="146"/>
      <c r="AG587" s="146"/>
      <c r="AH587" s="146"/>
      <c r="AI587" s="147"/>
      <c r="AJ587" s="148"/>
      <c r="AK587" s="143"/>
      <c r="AL587" s="143"/>
      <c r="AM587" s="22"/>
      <c r="AN587" s="149"/>
      <c r="AO587" s="144"/>
      <c r="AP587" s="148"/>
      <c r="AQ587" s="144"/>
      <c r="AR587" s="120"/>
      <c r="AS587" s="121"/>
      <c r="AT587" s="120"/>
      <c r="AU587" s="182"/>
      <c r="AV587" s="120"/>
      <c r="AW587" s="121"/>
      <c r="AX587" s="120"/>
      <c r="AY587" s="121"/>
      <c r="AZ587" s="201"/>
    </row>
    <row r="588" spans="1:52" ht="17.100000000000001" customHeight="1" thickTop="1">
      <c r="A588" s="109" t="s">
        <v>6031</v>
      </c>
      <c r="B588" s="28">
        <v>44981</v>
      </c>
      <c r="C588" s="25">
        <v>1048</v>
      </c>
      <c r="D588" s="13" t="s">
        <v>2141</v>
      </c>
      <c r="E588" s="111"/>
      <c r="F588" s="113" t="s">
        <v>2354</v>
      </c>
      <c r="G588" s="273"/>
      <c r="H588" s="274"/>
      <c r="I588" s="24" t="s">
        <v>2355</v>
      </c>
      <c r="J588" s="116">
        <v>4.5</v>
      </c>
      <c r="K588" s="118">
        <v>2195000</v>
      </c>
      <c r="L588" s="119"/>
      <c r="M588" s="118">
        <v>219500</v>
      </c>
      <c r="N588" s="119"/>
      <c r="O588" s="118">
        <v>3200</v>
      </c>
      <c r="P588" s="119"/>
      <c r="Q588" s="118">
        <v>21220</v>
      </c>
      <c r="R588" s="119"/>
      <c r="S588" s="118">
        <v>13200</v>
      </c>
      <c r="T588" s="119"/>
      <c r="U588" s="118">
        <f>SUM(K588:T589)</f>
        <v>2452120</v>
      </c>
      <c r="V588" s="119"/>
      <c r="W588" s="124"/>
      <c r="X588" s="127" t="s">
        <v>2356</v>
      </c>
      <c r="Y588" s="223"/>
      <c r="Z588" s="223"/>
      <c r="AA588" s="223"/>
      <c r="AB588" s="224"/>
      <c r="AC588" s="15" t="s">
        <v>20</v>
      </c>
      <c r="AD588" s="129"/>
      <c r="AE588" s="130"/>
      <c r="AF588" s="130"/>
      <c r="AG588" s="130"/>
      <c r="AH588" s="130"/>
      <c r="AI588" s="131"/>
      <c r="AJ588" s="132"/>
      <c r="AK588" s="127"/>
      <c r="AL588" s="127"/>
      <c r="AM588" s="21"/>
      <c r="AN588" s="133"/>
      <c r="AO588" s="134"/>
      <c r="AP588" s="135"/>
      <c r="AQ588" s="136"/>
      <c r="AR588" s="118"/>
      <c r="AS588" s="119"/>
      <c r="AT588" s="180">
        <f>AR588*0.1</f>
        <v>0</v>
      </c>
      <c r="AU588" s="181"/>
      <c r="AV588" s="118"/>
      <c r="AW588" s="119"/>
      <c r="AX588" s="118">
        <f>SUM(AR588:AW588)</f>
        <v>0</v>
      </c>
      <c r="AY588" s="119"/>
      <c r="AZ588" s="200"/>
    </row>
    <row r="589" spans="1:52" ht="17.100000000000001" customHeight="1" thickBot="1">
      <c r="A589" s="110"/>
      <c r="B589" s="27" t="s">
        <v>1828</v>
      </c>
      <c r="C589" s="27">
        <v>88042</v>
      </c>
      <c r="D589" s="14" t="s">
        <v>133</v>
      </c>
      <c r="E589" s="112"/>
      <c r="F589" s="139" t="s">
        <v>2357</v>
      </c>
      <c r="G589" s="140"/>
      <c r="H589" s="141"/>
      <c r="I589" s="26">
        <v>36460</v>
      </c>
      <c r="J589" s="117"/>
      <c r="K589" s="120"/>
      <c r="L589" s="121"/>
      <c r="M589" s="120"/>
      <c r="N589" s="121"/>
      <c r="O589" s="120"/>
      <c r="P589" s="121"/>
      <c r="Q589" s="120"/>
      <c r="R589" s="121"/>
      <c r="S589" s="120"/>
      <c r="T589" s="121"/>
      <c r="U589" s="120"/>
      <c r="V589" s="121"/>
      <c r="W589" s="125"/>
      <c r="X589" s="143" t="s">
        <v>2358</v>
      </c>
      <c r="Y589" s="143"/>
      <c r="Z589" s="143"/>
      <c r="AA589" s="143"/>
      <c r="AB589" s="144"/>
      <c r="AC589" s="16" t="s">
        <v>21</v>
      </c>
      <c r="AD589" s="17" t="s">
        <v>2359</v>
      </c>
      <c r="AE589" s="145" t="s">
        <v>2360</v>
      </c>
      <c r="AF589" s="146"/>
      <c r="AG589" s="146"/>
      <c r="AH589" s="146"/>
      <c r="AI589" s="147"/>
      <c r="AJ589" s="148"/>
      <c r="AK589" s="143"/>
      <c r="AL589" s="143"/>
      <c r="AM589" s="22" t="s">
        <v>907</v>
      </c>
      <c r="AN589" s="149"/>
      <c r="AO589" s="144"/>
      <c r="AP589" s="148"/>
      <c r="AQ589" s="144"/>
      <c r="AR589" s="120"/>
      <c r="AS589" s="121"/>
      <c r="AT589" s="120"/>
      <c r="AU589" s="182"/>
      <c r="AV589" s="120"/>
      <c r="AW589" s="121"/>
      <c r="AX589" s="120"/>
      <c r="AY589" s="121"/>
      <c r="AZ589" s="201"/>
    </row>
    <row r="590" spans="1:52" ht="17.100000000000001" customHeight="1" thickTop="1">
      <c r="A590" s="109" t="s">
        <v>6032</v>
      </c>
      <c r="B590" s="28">
        <v>44995</v>
      </c>
      <c r="C590" s="25"/>
      <c r="D590" s="13" t="s">
        <v>2361</v>
      </c>
      <c r="E590" s="111"/>
      <c r="F590" s="113" t="s">
        <v>2362</v>
      </c>
      <c r="G590" s="273"/>
      <c r="H590" s="274"/>
      <c r="I590" s="24" t="s">
        <v>2363</v>
      </c>
      <c r="J590" s="116">
        <v>4</v>
      </c>
      <c r="K590" s="118">
        <v>3015000</v>
      </c>
      <c r="L590" s="119"/>
      <c r="M590" s="118">
        <v>301500</v>
      </c>
      <c r="N590" s="119"/>
      <c r="O590" s="118">
        <v>0</v>
      </c>
      <c r="P590" s="119"/>
      <c r="Q590" s="118">
        <v>14840</v>
      </c>
      <c r="R590" s="119"/>
      <c r="S590" s="118">
        <v>29137</v>
      </c>
      <c r="T590" s="119"/>
      <c r="U590" s="118">
        <f>SUM(K590:T591)</f>
        <v>3360477</v>
      </c>
      <c r="V590" s="119"/>
      <c r="W590" s="124"/>
      <c r="X590" s="127" t="s">
        <v>2364</v>
      </c>
      <c r="Y590" s="223"/>
      <c r="Z590" s="223"/>
      <c r="AA590" s="223"/>
      <c r="AB590" s="224"/>
      <c r="AC590" s="15" t="s">
        <v>20</v>
      </c>
      <c r="AD590" s="129" t="s">
        <v>171</v>
      </c>
      <c r="AE590" s="130"/>
      <c r="AF590" s="130"/>
      <c r="AG590" s="130"/>
      <c r="AH590" s="130"/>
      <c r="AI590" s="131"/>
      <c r="AJ590" s="132"/>
      <c r="AK590" s="127"/>
      <c r="AL590" s="127"/>
      <c r="AM590" s="21"/>
      <c r="AN590" s="133"/>
      <c r="AO590" s="134"/>
      <c r="AP590" s="135"/>
      <c r="AQ590" s="136"/>
      <c r="AR590" s="118"/>
      <c r="AS590" s="119"/>
      <c r="AT590" s="180">
        <f>AR590*0.1</f>
        <v>0</v>
      </c>
      <c r="AU590" s="181"/>
      <c r="AV590" s="118"/>
      <c r="AW590" s="119"/>
      <c r="AX590" s="118">
        <f>SUM(AR590:AW590)</f>
        <v>0</v>
      </c>
      <c r="AY590" s="119"/>
      <c r="AZ590" s="200"/>
    </row>
    <row r="591" spans="1:52" ht="17.100000000000001" customHeight="1" thickBot="1">
      <c r="A591" s="110"/>
      <c r="B591" s="27" t="s">
        <v>2365</v>
      </c>
      <c r="C591" s="27" t="s">
        <v>2366</v>
      </c>
      <c r="D591" s="14" t="s">
        <v>133</v>
      </c>
      <c r="E591" s="112"/>
      <c r="F591" s="139" t="s">
        <v>2367</v>
      </c>
      <c r="G591" s="140"/>
      <c r="H591" s="141"/>
      <c r="I591" s="26">
        <v>41495</v>
      </c>
      <c r="J591" s="117"/>
      <c r="K591" s="120"/>
      <c r="L591" s="121"/>
      <c r="M591" s="120"/>
      <c r="N591" s="121"/>
      <c r="O591" s="120"/>
      <c r="P591" s="121"/>
      <c r="Q591" s="120"/>
      <c r="R591" s="121"/>
      <c r="S591" s="120"/>
      <c r="T591" s="121"/>
      <c r="U591" s="120"/>
      <c r="V591" s="121"/>
      <c r="W591" s="125"/>
      <c r="X591" s="143" t="s">
        <v>2368</v>
      </c>
      <c r="Y591" s="143"/>
      <c r="Z591" s="143"/>
      <c r="AA591" s="143"/>
      <c r="AB591" s="144"/>
      <c r="AC591" s="16" t="s">
        <v>21</v>
      </c>
      <c r="AD591" s="17" t="s">
        <v>2369</v>
      </c>
      <c r="AE591" s="145" t="s">
        <v>2370</v>
      </c>
      <c r="AF591" s="146"/>
      <c r="AG591" s="146"/>
      <c r="AH591" s="146"/>
      <c r="AI591" s="147"/>
      <c r="AJ591" s="148"/>
      <c r="AK591" s="143"/>
      <c r="AL591" s="143"/>
      <c r="AM591" s="22"/>
      <c r="AN591" s="149"/>
      <c r="AO591" s="144"/>
      <c r="AP591" s="148"/>
      <c r="AQ591" s="144"/>
      <c r="AR591" s="120"/>
      <c r="AS591" s="121"/>
      <c r="AT591" s="120"/>
      <c r="AU591" s="182"/>
      <c r="AV591" s="120"/>
      <c r="AW591" s="121"/>
      <c r="AX591" s="120"/>
      <c r="AY591" s="121"/>
      <c r="AZ591" s="201"/>
    </row>
    <row r="592" spans="1:52" ht="17.100000000000001" customHeight="1" thickTop="1">
      <c r="A592" s="109" t="s">
        <v>6033</v>
      </c>
      <c r="B592" s="28">
        <v>44996</v>
      </c>
      <c r="C592" s="25">
        <v>1145</v>
      </c>
      <c r="D592" s="13" t="s">
        <v>2371</v>
      </c>
      <c r="E592" s="111"/>
      <c r="F592" s="113" t="s">
        <v>2372</v>
      </c>
      <c r="G592" s="273"/>
      <c r="H592" s="274"/>
      <c r="I592" s="24" t="s">
        <v>2211</v>
      </c>
      <c r="J592" s="116">
        <v>4.5</v>
      </c>
      <c r="K592" s="118">
        <v>2365000</v>
      </c>
      <c r="L592" s="119"/>
      <c r="M592" s="118">
        <v>236500</v>
      </c>
      <c r="N592" s="119"/>
      <c r="O592" s="118">
        <v>88000</v>
      </c>
      <c r="P592" s="119"/>
      <c r="Q592" s="118">
        <v>18730</v>
      </c>
      <c r="R592" s="119"/>
      <c r="S592" s="118">
        <v>13200</v>
      </c>
      <c r="T592" s="119"/>
      <c r="U592" s="118">
        <f>SUM(K592:T593)</f>
        <v>2721430</v>
      </c>
      <c r="V592" s="119"/>
      <c r="W592" s="124"/>
      <c r="X592" s="127" t="s">
        <v>2373</v>
      </c>
      <c r="Y592" s="223"/>
      <c r="Z592" s="223"/>
      <c r="AA592" s="223"/>
      <c r="AB592" s="224"/>
      <c r="AC592" s="15" t="s">
        <v>20</v>
      </c>
      <c r="AD592" s="129"/>
      <c r="AE592" s="130"/>
      <c r="AF592" s="130"/>
      <c r="AG592" s="130"/>
      <c r="AH592" s="130"/>
      <c r="AI592" s="131"/>
      <c r="AJ592" s="132"/>
      <c r="AK592" s="127"/>
      <c r="AL592" s="127"/>
      <c r="AM592" s="21"/>
      <c r="AN592" s="133"/>
      <c r="AO592" s="134"/>
      <c r="AP592" s="135"/>
      <c r="AQ592" s="136"/>
      <c r="AR592" s="118"/>
      <c r="AS592" s="119"/>
      <c r="AT592" s="180">
        <f>AR592*0.1</f>
        <v>0</v>
      </c>
      <c r="AU592" s="181"/>
      <c r="AV592" s="118"/>
      <c r="AW592" s="119"/>
      <c r="AX592" s="118">
        <f>SUM(AR592:AW592)</f>
        <v>0</v>
      </c>
      <c r="AY592" s="119"/>
      <c r="AZ592" s="200"/>
    </row>
    <row r="593" spans="1:52" ht="17.100000000000001" customHeight="1" thickBot="1">
      <c r="A593" s="110"/>
      <c r="B593" s="27" t="s">
        <v>1567</v>
      </c>
      <c r="C593" s="27">
        <v>82571</v>
      </c>
      <c r="D593" s="14" t="s">
        <v>275</v>
      </c>
      <c r="E593" s="112"/>
      <c r="F593" s="139" t="s">
        <v>2374</v>
      </c>
      <c r="G593" s="140"/>
      <c r="H593" s="141"/>
      <c r="I593" s="26">
        <v>23270</v>
      </c>
      <c r="J593" s="117"/>
      <c r="K593" s="120"/>
      <c r="L593" s="121"/>
      <c r="M593" s="120"/>
      <c r="N593" s="121"/>
      <c r="O593" s="120"/>
      <c r="P593" s="121"/>
      <c r="Q593" s="120"/>
      <c r="R593" s="121"/>
      <c r="S593" s="120"/>
      <c r="T593" s="121"/>
      <c r="U593" s="120"/>
      <c r="V593" s="121"/>
      <c r="W593" s="125"/>
      <c r="X593" s="143" t="s">
        <v>2375</v>
      </c>
      <c r="Y593" s="143"/>
      <c r="Z593" s="143"/>
      <c r="AA593" s="143"/>
      <c r="AB593" s="144"/>
      <c r="AC593" s="16" t="s">
        <v>21</v>
      </c>
      <c r="AD593" s="17" t="s">
        <v>2376</v>
      </c>
      <c r="AE593" s="145" t="s">
        <v>1690</v>
      </c>
      <c r="AF593" s="146"/>
      <c r="AG593" s="146"/>
      <c r="AH593" s="146"/>
      <c r="AI593" s="147"/>
      <c r="AJ593" s="148"/>
      <c r="AK593" s="143"/>
      <c r="AL593" s="143"/>
      <c r="AM593" s="22" t="s">
        <v>907</v>
      </c>
      <c r="AN593" s="149"/>
      <c r="AO593" s="144"/>
      <c r="AP593" s="148"/>
      <c r="AQ593" s="144"/>
      <c r="AR593" s="120"/>
      <c r="AS593" s="121"/>
      <c r="AT593" s="120"/>
      <c r="AU593" s="182"/>
      <c r="AV593" s="120"/>
      <c r="AW593" s="121"/>
      <c r="AX593" s="120"/>
      <c r="AY593" s="121"/>
      <c r="AZ593" s="201"/>
    </row>
    <row r="594" spans="1:52" ht="17.100000000000001" customHeight="1" thickTop="1">
      <c r="A594" s="109" t="s">
        <v>6034</v>
      </c>
      <c r="B594" s="28">
        <v>44999</v>
      </c>
      <c r="C594" s="25">
        <v>1085</v>
      </c>
      <c r="D594" s="13" t="s">
        <v>2196</v>
      </c>
      <c r="E594" s="111"/>
      <c r="F594" s="113" t="s">
        <v>2377</v>
      </c>
      <c r="G594" s="273"/>
      <c r="H594" s="274"/>
      <c r="I594" s="24"/>
      <c r="J594" s="116">
        <v>4.5</v>
      </c>
      <c r="K594" s="118">
        <v>2288000</v>
      </c>
      <c r="L594" s="119"/>
      <c r="M594" s="118">
        <v>228800</v>
      </c>
      <c r="N594" s="119"/>
      <c r="O594" s="118">
        <v>0</v>
      </c>
      <c r="P594" s="119"/>
      <c r="Q594" s="118">
        <v>19090</v>
      </c>
      <c r="R594" s="119"/>
      <c r="S594" s="118">
        <v>15950</v>
      </c>
      <c r="T594" s="119"/>
      <c r="U594" s="118">
        <f>SUM(K594:T595)</f>
        <v>2551840</v>
      </c>
      <c r="V594" s="119"/>
      <c r="W594" s="124"/>
      <c r="X594" s="127" t="s">
        <v>2378</v>
      </c>
      <c r="Y594" s="223"/>
      <c r="Z594" s="223"/>
      <c r="AA594" s="223"/>
      <c r="AB594" s="224"/>
      <c r="AC594" s="15" t="s">
        <v>20</v>
      </c>
      <c r="AD594" s="129"/>
      <c r="AE594" s="130"/>
      <c r="AF594" s="130"/>
      <c r="AG594" s="130"/>
      <c r="AH594" s="130"/>
      <c r="AI594" s="131"/>
      <c r="AJ594" s="132"/>
      <c r="AK594" s="127"/>
      <c r="AL594" s="127"/>
      <c r="AM594" s="21"/>
      <c r="AN594" s="133"/>
      <c r="AO594" s="134"/>
      <c r="AP594" s="135"/>
      <c r="AQ594" s="136"/>
      <c r="AR594" s="118"/>
      <c r="AS594" s="119"/>
      <c r="AT594" s="180">
        <f>AR594*0.1</f>
        <v>0</v>
      </c>
      <c r="AU594" s="181"/>
      <c r="AV594" s="118"/>
      <c r="AW594" s="119"/>
      <c r="AX594" s="118">
        <f>SUM(AR594:AW594)</f>
        <v>0</v>
      </c>
      <c r="AY594" s="119"/>
      <c r="AZ594" s="200"/>
    </row>
    <row r="595" spans="1:52" ht="17.100000000000001" customHeight="1" thickBot="1">
      <c r="A595" s="110"/>
      <c r="B595" s="27" t="s">
        <v>2379</v>
      </c>
      <c r="C595" s="27">
        <v>30041</v>
      </c>
      <c r="D595" s="14" t="s">
        <v>1812</v>
      </c>
      <c r="E595" s="112"/>
      <c r="F595" s="139" t="s">
        <v>2380</v>
      </c>
      <c r="G595" s="140"/>
      <c r="H595" s="141"/>
      <c r="I595" s="26">
        <v>16771</v>
      </c>
      <c r="J595" s="117"/>
      <c r="K595" s="120"/>
      <c r="L595" s="121"/>
      <c r="M595" s="120"/>
      <c r="N595" s="121"/>
      <c r="O595" s="120"/>
      <c r="P595" s="121"/>
      <c r="Q595" s="120"/>
      <c r="R595" s="121"/>
      <c r="S595" s="120"/>
      <c r="T595" s="121"/>
      <c r="U595" s="120"/>
      <c r="V595" s="121"/>
      <c r="W595" s="125"/>
      <c r="X595" s="143" t="s">
        <v>2381</v>
      </c>
      <c r="Y595" s="143"/>
      <c r="Z595" s="143"/>
      <c r="AA595" s="143"/>
      <c r="AB595" s="144"/>
      <c r="AC595" s="16" t="s">
        <v>21</v>
      </c>
      <c r="AD595" s="17" t="s">
        <v>2382</v>
      </c>
      <c r="AE595" s="145" t="s">
        <v>1633</v>
      </c>
      <c r="AF595" s="146"/>
      <c r="AG595" s="146"/>
      <c r="AH595" s="146"/>
      <c r="AI595" s="147"/>
      <c r="AJ595" s="148"/>
      <c r="AK595" s="143"/>
      <c r="AL595" s="143"/>
      <c r="AM595" s="22"/>
      <c r="AN595" s="149"/>
      <c r="AO595" s="144"/>
      <c r="AP595" s="148"/>
      <c r="AQ595" s="144"/>
      <c r="AR595" s="120"/>
      <c r="AS595" s="121"/>
      <c r="AT595" s="120"/>
      <c r="AU595" s="182"/>
      <c r="AV595" s="120"/>
      <c r="AW595" s="121"/>
      <c r="AX595" s="120"/>
      <c r="AY595" s="121"/>
      <c r="AZ595" s="201"/>
    </row>
    <row r="596" spans="1:52" ht="17.100000000000001" customHeight="1" thickTop="1">
      <c r="A596" s="109" t="s">
        <v>6035</v>
      </c>
      <c r="B596" s="28">
        <v>45003</v>
      </c>
      <c r="C596" s="25">
        <v>1146</v>
      </c>
      <c r="D596" s="13" t="s">
        <v>1640</v>
      </c>
      <c r="E596" s="111"/>
      <c r="F596" s="113" t="s">
        <v>2383</v>
      </c>
      <c r="G596" s="273"/>
      <c r="H596" s="274"/>
      <c r="I596" s="24" t="s">
        <v>1998</v>
      </c>
      <c r="J596" s="116">
        <v>4.5</v>
      </c>
      <c r="K596" s="118">
        <v>890000</v>
      </c>
      <c r="L596" s="119"/>
      <c r="M596" s="118">
        <v>89000</v>
      </c>
      <c r="N596" s="119"/>
      <c r="O596" s="118">
        <v>39500</v>
      </c>
      <c r="P596" s="119"/>
      <c r="Q596" s="118">
        <v>20860</v>
      </c>
      <c r="R596" s="119"/>
      <c r="S596" s="118">
        <v>13200</v>
      </c>
      <c r="T596" s="119"/>
      <c r="U596" s="118">
        <f>SUM(K596:T597)</f>
        <v>1052560</v>
      </c>
      <c r="V596" s="119"/>
      <c r="W596" s="124"/>
      <c r="X596" s="127" t="s">
        <v>2384</v>
      </c>
      <c r="Y596" s="223"/>
      <c r="Z596" s="223"/>
      <c r="AA596" s="223"/>
      <c r="AB596" s="224"/>
      <c r="AC596" s="15" t="s">
        <v>20</v>
      </c>
      <c r="AD596" s="129" t="s">
        <v>2385</v>
      </c>
      <c r="AE596" s="130"/>
      <c r="AF596" s="130"/>
      <c r="AG596" s="130"/>
      <c r="AH596" s="130"/>
      <c r="AI596" s="131"/>
      <c r="AJ596" s="132"/>
      <c r="AK596" s="127"/>
      <c r="AL596" s="127"/>
      <c r="AM596" s="21"/>
      <c r="AN596" s="133"/>
      <c r="AO596" s="134"/>
      <c r="AP596" s="135"/>
      <c r="AQ596" s="136"/>
      <c r="AR596" s="118"/>
      <c r="AS596" s="119"/>
      <c r="AT596" s="180">
        <f>AR596*0.1</f>
        <v>0</v>
      </c>
      <c r="AU596" s="181"/>
      <c r="AV596" s="118"/>
      <c r="AW596" s="119"/>
      <c r="AX596" s="118">
        <f>SUM(AR596:AW596)</f>
        <v>0</v>
      </c>
      <c r="AY596" s="119"/>
      <c r="AZ596" s="200"/>
    </row>
    <row r="597" spans="1:52" ht="17.100000000000001" customHeight="1" thickBot="1">
      <c r="A597" s="110"/>
      <c r="B597" s="27" t="s">
        <v>1567</v>
      </c>
      <c r="C597" s="27">
        <v>80110</v>
      </c>
      <c r="D597" s="14" t="s">
        <v>1592</v>
      </c>
      <c r="E597" s="112"/>
      <c r="F597" s="139" t="s">
        <v>2386</v>
      </c>
      <c r="G597" s="140"/>
      <c r="H597" s="141"/>
      <c r="I597" s="26">
        <v>48769</v>
      </c>
      <c r="J597" s="117"/>
      <c r="K597" s="120"/>
      <c r="L597" s="121"/>
      <c r="M597" s="120"/>
      <c r="N597" s="121"/>
      <c r="O597" s="120"/>
      <c r="P597" s="121"/>
      <c r="Q597" s="120"/>
      <c r="R597" s="121"/>
      <c r="S597" s="120"/>
      <c r="T597" s="121"/>
      <c r="U597" s="120"/>
      <c r="V597" s="121"/>
      <c r="W597" s="125"/>
      <c r="X597" s="143" t="s">
        <v>2387</v>
      </c>
      <c r="Y597" s="143"/>
      <c r="Z597" s="143"/>
      <c r="AA597" s="143"/>
      <c r="AB597" s="144"/>
      <c r="AC597" s="16" t="s">
        <v>21</v>
      </c>
      <c r="AD597" s="17" t="s">
        <v>2388</v>
      </c>
      <c r="AE597" s="145" t="s">
        <v>1732</v>
      </c>
      <c r="AF597" s="146"/>
      <c r="AG597" s="146"/>
      <c r="AH597" s="146"/>
      <c r="AI597" s="147"/>
      <c r="AJ597" s="148" t="s">
        <v>2389</v>
      </c>
      <c r="AK597" s="143"/>
      <c r="AL597" s="143"/>
      <c r="AM597" s="22" t="s">
        <v>907</v>
      </c>
      <c r="AN597" s="149"/>
      <c r="AO597" s="144"/>
      <c r="AP597" s="148"/>
      <c r="AQ597" s="144"/>
      <c r="AR597" s="120"/>
      <c r="AS597" s="121"/>
      <c r="AT597" s="120"/>
      <c r="AU597" s="182"/>
      <c r="AV597" s="120"/>
      <c r="AW597" s="121"/>
      <c r="AX597" s="120"/>
      <c r="AY597" s="121"/>
      <c r="AZ597" s="201"/>
    </row>
    <row r="598" spans="1:52" ht="17.100000000000001" customHeight="1" thickTop="1">
      <c r="A598" s="109" t="s">
        <v>6036</v>
      </c>
      <c r="B598" s="28">
        <v>45003</v>
      </c>
      <c r="C598" s="25">
        <v>1146</v>
      </c>
      <c r="D598" s="13" t="s">
        <v>2390</v>
      </c>
      <c r="E598" s="111"/>
      <c r="F598" s="113" t="s">
        <v>2391</v>
      </c>
      <c r="G598" s="273"/>
      <c r="H598" s="274"/>
      <c r="I598" s="24"/>
      <c r="J598" s="116">
        <v>4.5</v>
      </c>
      <c r="K598" s="118">
        <v>3110000</v>
      </c>
      <c r="L598" s="119"/>
      <c r="M598" s="118">
        <v>311000</v>
      </c>
      <c r="N598" s="119"/>
      <c r="O598" s="118">
        <v>0</v>
      </c>
      <c r="P598" s="119"/>
      <c r="Q598" s="118">
        <v>22880</v>
      </c>
      <c r="R598" s="119"/>
      <c r="S598" s="118">
        <v>13200</v>
      </c>
      <c r="T598" s="119"/>
      <c r="U598" s="118">
        <f>SUM(K598:T599)</f>
        <v>3457080</v>
      </c>
      <c r="V598" s="119"/>
      <c r="W598" s="124"/>
      <c r="X598" s="127" t="s">
        <v>2392</v>
      </c>
      <c r="Y598" s="223"/>
      <c r="Z598" s="223"/>
      <c r="AA598" s="223"/>
      <c r="AB598" s="224"/>
      <c r="AC598" s="15" t="s">
        <v>20</v>
      </c>
      <c r="AD598" s="129"/>
      <c r="AE598" s="130"/>
      <c r="AF598" s="130"/>
      <c r="AG598" s="130"/>
      <c r="AH598" s="130"/>
      <c r="AI598" s="131"/>
      <c r="AJ598" s="132"/>
      <c r="AK598" s="127"/>
      <c r="AL598" s="127"/>
      <c r="AM598" s="21"/>
      <c r="AN598" s="133"/>
      <c r="AO598" s="134"/>
      <c r="AP598" s="135"/>
      <c r="AQ598" s="136"/>
      <c r="AR598" s="118"/>
      <c r="AS598" s="119"/>
      <c r="AT598" s="180">
        <f>AR598*0.1</f>
        <v>0</v>
      </c>
      <c r="AU598" s="181"/>
      <c r="AV598" s="118"/>
      <c r="AW598" s="119"/>
      <c r="AX598" s="118">
        <f>SUM(AR598:AW598)</f>
        <v>0</v>
      </c>
      <c r="AY598" s="119"/>
      <c r="AZ598" s="200"/>
    </row>
    <row r="599" spans="1:52" ht="17.100000000000001" customHeight="1" thickBot="1">
      <c r="A599" s="110"/>
      <c r="B599" s="27" t="s">
        <v>1567</v>
      </c>
      <c r="C599" s="27">
        <v>80126</v>
      </c>
      <c r="D599" s="14" t="s">
        <v>1592</v>
      </c>
      <c r="E599" s="112"/>
      <c r="F599" s="139" t="s">
        <v>2393</v>
      </c>
      <c r="G599" s="140"/>
      <c r="H599" s="141"/>
      <c r="I599" s="26">
        <v>41558</v>
      </c>
      <c r="J599" s="117"/>
      <c r="K599" s="120"/>
      <c r="L599" s="121"/>
      <c r="M599" s="120"/>
      <c r="N599" s="121"/>
      <c r="O599" s="120"/>
      <c r="P599" s="121"/>
      <c r="Q599" s="120"/>
      <c r="R599" s="121"/>
      <c r="S599" s="120"/>
      <c r="T599" s="121"/>
      <c r="U599" s="120"/>
      <c r="V599" s="121"/>
      <c r="W599" s="125"/>
      <c r="X599" s="143" t="s">
        <v>2394</v>
      </c>
      <c r="Y599" s="143"/>
      <c r="Z599" s="143"/>
      <c r="AA599" s="143"/>
      <c r="AB599" s="144"/>
      <c r="AC599" s="16" t="s">
        <v>21</v>
      </c>
      <c r="AD599" s="17" t="s">
        <v>2388</v>
      </c>
      <c r="AE599" s="145" t="s">
        <v>2395</v>
      </c>
      <c r="AF599" s="146"/>
      <c r="AG599" s="146"/>
      <c r="AH599" s="146"/>
      <c r="AI599" s="147"/>
      <c r="AJ599" s="148"/>
      <c r="AK599" s="143"/>
      <c r="AL599" s="143"/>
      <c r="AM599" s="22"/>
      <c r="AN599" s="149"/>
      <c r="AO599" s="144"/>
      <c r="AP599" s="148"/>
      <c r="AQ599" s="144"/>
      <c r="AR599" s="120"/>
      <c r="AS599" s="121"/>
      <c r="AT599" s="120"/>
      <c r="AU599" s="182"/>
      <c r="AV599" s="120"/>
      <c r="AW599" s="121"/>
      <c r="AX599" s="120"/>
      <c r="AY599" s="121"/>
      <c r="AZ599" s="201"/>
    </row>
    <row r="600" spans="1:52" ht="17.100000000000001" customHeight="1" thickTop="1">
      <c r="A600" s="109" t="s">
        <v>6037</v>
      </c>
      <c r="B600" s="28">
        <v>45020</v>
      </c>
      <c r="C600" s="25"/>
      <c r="D600" s="13" t="s">
        <v>2141</v>
      </c>
      <c r="E600" s="111" t="s">
        <v>166</v>
      </c>
      <c r="F600" s="113" t="s">
        <v>2396</v>
      </c>
      <c r="G600" s="273"/>
      <c r="H600" s="274"/>
      <c r="I600" s="24" t="s">
        <v>2211</v>
      </c>
      <c r="J600" s="116">
        <v>4.5</v>
      </c>
      <c r="K600" s="118">
        <v>3500000</v>
      </c>
      <c r="L600" s="119"/>
      <c r="M600" s="118">
        <v>350000</v>
      </c>
      <c r="N600" s="119"/>
      <c r="O600" s="118">
        <v>46700</v>
      </c>
      <c r="P600" s="119"/>
      <c r="Q600" s="118">
        <v>23430</v>
      </c>
      <c r="R600" s="119"/>
      <c r="S600" s="118">
        <v>11250</v>
      </c>
      <c r="T600" s="119"/>
      <c r="U600" s="118">
        <f>SUM(K600:T601)</f>
        <v>3931380</v>
      </c>
      <c r="V600" s="119"/>
      <c r="W600" s="124"/>
      <c r="X600" s="127" t="s">
        <v>2397</v>
      </c>
      <c r="Y600" s="223"/>
      <c r="Z600" s="223"/>
      <c r="AA600" s="223"/>
      <c r="AB600" s="224"/>
      <c r="AC600" s="15" t="s">
        <v>20</v>
      </c>
      <c r="AD600" s="129" t="s">
        <v>1581</v>
      </c>
      <c r="AE600" s="130"/>
      <c r="AF600" s="130"/>
      <c r="AG600" s="130"/>
      <c r="AH600" s="130"/>
      <c r="AI600" s="131"/>
      <c r="AJ600" s="132"/>
      <c r="AK600" s="127"/>
      <c r="AL600" s="127"/>
      <c r="AM600" s="21"/>
      <c r="AN600" s="133"/>
      <c r="AO600" s="134"/>
      <c r="AP600" s="135"/>
      <c r="AQ600" s="136"/>
      <c r="AR600" s="118"/>
      <c r="AS600" s="119"/>
      <c r="AT600" s="180">
        <f>AR600*0.1</f>
        <v>0</v>
      </c>
      <c r="AU600" s="181"/>
      <c r="AV600" s="118"/>
      <c r="AW600" s="119"/>
      <c r="AX600" s="118">
        <f>SUM(AR600:AW600)</f>
        <v>0</v>
      </c>
      <c r="AY600" s="119"/>
      <c r="AZ600" s="200"/>
    </row>
    <row r="601" spans="1:52" ht="17.100000000000001" customHeight="1" thickBot="1">
      <c r="A601" s="110"/>
      <c r="B601" s="27" t="s">
        <v>1718</v>
      </c>
      <c r="C601" s="27" t="s">
        <v>2398</v>
      </c>
      <c r="D601" s="14" t="s">
        <v>1592</v>
      </c>
      <c r="E601" s="112"/>
      <c r="F601" s="139" t="s">
        <v>2399</v>
      </c>
      <c r="G601" s="140"/>
      <c r="H601" s="141"/>
      <c r="I601" s="26">
        <v>40817</v>
      </c>
      <c r="J601" s="117"/>
      <c r="K601" s="120"/>
      <c r="L601" s="121"/>
      <c r="M601" s="120"/>
      <c r="N601" s="121"/>
      <c r="O601" s="120"/>
      <c r="P601" s="121"/>
      <c r="Q601" s="120"/>
      <c r="R601" s="121"/>
      <c r="S601" s="120"/>
      <c r="T601" s="121"/>
      <c r="U601" s="120"/>
      <c r="V601" s="121"/>
      <c r="W601" s="125"/>
      <c r="X601" s="143" t="s">
        <v>2321</v>
      </c>
      <c r="Y601" s="143"/>
      <c r="Z601" s="143"/>
      <c r="AA601" s="143"/>
      <c r="AB601" s="144"/>
      <c r="AC601" s="16" t="s">
        <v>21</v>
      </c>
      <c r="AD601" s="17" t="s">
        <v>2400</v>
      </c>
      <c r="AE601" s="145" t="s">
        <v>2401</v>
      </c>
      <c r="AF601" s="146"/>
      <c r="AG601" s="146"/>
      <c r="AH601" s="146"/>
      <c r="AI601" s="147"/>
      <c r="AJ601" s="148"/>
      <c r="AK601" s="143"/>
      <c r="AL601" s="143"/>
      <c r="AM601" s="22"/>
      <c r="AN601" s="149"/>
      <c r="AO601" s="144"/>
      <c r="AP601" s="148"/>
      <c r="AQ601" s="144"/>
      <c r="AR601" s="120"/>
      <c r="AS601" s="121"/>
      <c r="AT601" s="120"/>
      <c r="AU601" s="182"/>
      <c r="AV601" s="120"/>
      <c r="AW601" s="121"/>
      <c r="AX601" s="120"/>
      <c r="AY601" s="121"/>
      <c r="AZ601" s="201"/>
    </row>
    <row r="602" spans="1:52" ht="17.100000000000001" customHeight="1" thickTop="1">
      <c r="A602" s="109" t="s">
        <v>6038</v>
      </c>
      <c r="B602" s="28">
        <v>45027</v>
      </c>
      <c r="C602" s="25">
        <v>942</v>
      </c>
      <c r="D602" s="13" t="s">
        <v>1712</v>
      </c>
      <c r="E602" s="111"/>
      <c r="F602" s="113" t="s">
        <v>2121</v>
      </c>
      <c r="G602" s="273"/>
      <c r="H602" s="274"/>
      <c r="I602" s="24" t="s">
        <v>1930</v>
      </c>
      <c r="J602" s="116">
        <v>4.5</v>
      </c>
      <c r="K602" s="118">
        <v>2050000</v>
      </c>
      <c r="L602" s="119"/>
      <c r="M602" s="118">
        <v>205000</v>
      </c>
      <c r="N602" s="119"/>
      <c r="O602" s="118">
        <v>36200</v>
      </c>
      <c r="P602" s="119"/>
      <c r="Q602" s="118">
        <v>21180</v>
      </c>
      <c r="R602" s="119"/>
      <c r="S602" s="118">
        <v>24200</v>
      </c>
      <c r="T602" s="119"/>
      <c r="U602" s="118">
        <f>SUM(K602:T603)</f>
        <v>2336580</v>
      </c>
      <c r="V602" s="119"/>
      <c r="W602" s="124"/>
      <c r="X602" s="127" t="s">
        <v>2402</v>
      </c>
      <c r="Y602" s="223"/>
      <c r="Z602" s="223"/>
      <c r="AA602" s="223"/>
      <c r="AB602" s="224"/>
      <c r="AC602" s="15" t="s">
        <v>20</v>
      </c>
      <c r="AD602" s="129" t="s">
        <v>2403</v>
      </c>
      <c r="AE602" s="130"/>
      <c r="AF602" s="130"/>
      <c r="AG602" s="130"/>
      <c r="AH602" s="130"/>
      <c r="AI602" s="131"/>
      <c r="AJ602" s="132"/>
      <c r="AK602" s="127"/>
      <c r="AL602" s="127"/>
      <c r="AM602" s="21"/>
      <c r="AN602" s="133"/>
      <c r="AO602" s="134"/>
      <c r="AP602" s="135"/>
      <c r="AQ602" s="136"/>
      <c r="AR602" s="118"/>
      <c r="AS602" s="119"/>
      <c r="AT602" s="180">
        <f>AR602*0.1</f>
        <v>0</v>
      </c>
      <c r="AU602" s="181"/>
      <c r="AV602" s="118"/>
      <c r="AW602" s="119"/>
      <c r="AX602" s="118">
        <f>SUM(AR602:AW602)</f>
        <v>0</v>
      </c>
      <c r="AY602" s="119"/>
      <c r="AZ602" s="200"/>
    </row>
    <row r="603" spans="1:52" ht="17.100000000000001" customHeight="1" thickBot="1">
      <c r="A603" s="110"/>
      <c r="B603" s="27" t="s">
        <v>1591</v>
      </c>
      <c r="C603" s="27">
        <v>84136</v>
      </c>
      <c r="D603" s="14" t="s">
        <v>1592</v>
      </c>
      <c r="E603" s="112"/>
      <c r="F603" s="139" t="s">
        <v>2404</v>
      </c>
      <c r="G603" s="140"/>
      <c r="H603" s="141"/>
      <c r="I603" s="26">
        <v>31933</v>
      </c>
      <c r="J603" s="117"/>
      <c r="K603" s="120"/>
      <c r="L603" s="121"/>
      <c r="M603" s="120"/>
      <c r="N603" s="121"/>
      <c r="O603" s="120"/>
      <c r="P603" s="121"/>
      <c r="Q603" s="120"/>
      <c r="R603" s="121"/>
      <c r="S603" s="120"/>
      <c r="T603" s="121"/>
      <c r="U603" s="120"/>
      <c r="V603" s="121"/>
      <c r="W603" s="125"/>
      <c r="X603" s="143" t="s">
        <v>2405</v>
      </c>
      <c r="Y603" s="143"/>
      <c r="Z603" s="143"/>
      <c r="AA603" s="143"/>
      <c r="AB603" s="144"/>
      <c r="AC603" s="16" t="s">
        <v>21</v>
      </c>
      <c r="AD603" s="17" t="s">
        <v>2406</v>
      </c>
      <c r="AE603" s="145" t="s">
        <v>1614</v>
      </c>
      <c r="AF603" s="146"/>
      <c r="AG603" s="146"/>
      <c r="AH603" s="146"/>
      <c r="AI603" s="147"/>
      <c r="AJ603" s="148"/>
      <c r="AK603" s="143"/>
      <c r="AL603" s="143"/>
      <c r="AM603" s="22" t="s">
        <v>907</v>
      </c>
      <c r="AN603" s="149"/>
      <c r="AO603" s="144"/>
      <c r="AP603" s="148"/>
      <c r="AQ603" s="144"/>
      <c r="AR603" s="120"/>
      <c r="AS603" s="121"/>
      <c r="AT603" s="120"/>
      <c r="AU603" s="182"/>
      <c r="AV603" s="120"/>
      <c r="AW603" s="121"/>
      <c r="AX603" s="120"/>
      <c r="AY603" s="121"/>
      <c r="AZ603" s="201"/>
    </row>
    <row r="604" spans="1:52" ht="17.100000000000001" customHeight="1" thickTop="1">
      <c r="A604" s="109" t="s">
        <v>6039</v>
      </c>
      <c r="B604" s="28">
        <v>45054</v>
      </c>
      <c r="C604" s="25"/>
      <c r="D604" s="13" t="s">
        <v>2407</v>
      </c>
      <c r="E604" s="111"/>
      <c r="F604" s="113" t="s">
        <v>2408</v>
      </c>
      <c r="G604" s="273"/>
      <c r="H604" s="274"/>
      <c r="I604" s="24" t="s">
        <v>1930</v>
      </c>
      <c r="J604" s="116">
        <v>4</v>
      </c>
      <c r="K604" s="118">
        <v>1470000</v>
      </c>
      <c r="L604" s="119"/>
      <c r="M604" s="118">
        <v>147000</v>
      </c>
      <c r="N604" s="119"/>
      <c r="O604" s="118">
        <v>32900</v>
      </c>
      <c r="P604" s="119"/>
      <c r="Q604" s="118">
        <v>19360</v>
      </c>
      <c r="R604" s="119"/>
      <c r="S604" s="118">
        <v>40425</v>
      </c>
      <c r="T604" s="119"/>
      <c r="U604" s="118">
        <f>SUM(K604:T605)</f>
        <v>1709685</v>
      </c>
      <c r="V604" s="119"/>
      <c r="W604" s="124"/>
      <c r="X604" s="127" t="s">
        <v>2409</v>
      </c>
      <c r="Y604" s="223"/>
      <c r="Z604" s="223"/>
      <c r="AA604" s="223"/>
      <c r="AB604" s="224"/>
      <c r="AC604" s="15" t="s">
        <v>20</v>
      </c>
      <c r="AD604" s="129" t="s">
        <v>171</v>
      </c>
      <c r="AE604" s="130"/>
      <c r="AF604" s="130"/>
      <c r="AG604" s="130"/>
      <c r="AH604" s="130"/>
      <c r="AI604" s="131"/>
      <c r="AJ604" s="132"/>
      <c r="AK604" s="127"/>
      <c r="AL604" s="127"/>
      <c r="AM604" s="21"/>
      <c r="AN604" s="133"/>
      <c r="AO604" s="134"/>
      <c r="AP604" s="135"/>
      <c r="AQ604" s="136"/>
      <c r="AR604" s="118"/>
      <c r="AS604" s="119"/>
      <c r="AT604" s="180">
        <f>AR604*0.1</f>
        <v>0</v>
      </c>
      <c r="AU604" s="181"/>
      <c r="AV604" s="118"/>
      <c r="AW604" s="119"/>
      <c r="AX604" s="118">
        <f>SUM(AR604:AW604)</f>
        <v>0</v>
      </c>
      <c r="AY604" s="119"/>
      <c r="AZ604" s="200"/>
    </row>
    <row r="605" spans="1:52" ht="17.100000000000001" customHeight="1" thickBot="1">
      <c r="A605" s="110"/>
      <c r="B605" s="27" t="s">
        <v>1718</v>
      </c>
      <c r="C605" s="27" t="s">
        <v>2410</v>
      </c>
      <c r="D605" s="14" t="s">
        <v>1592</v>
      </c>
      <c r="E605" s="112"/>
      <c r="F605" s="139" t="s">
        <v>2411</v>
      </c>
      <c r="G605" s="140"/>
      <c r="H605" s="141"/>
      <c r="I605" s="26">
        <v>52492</v>
      </c>
      <c r="J605" s="117"/>
      <c r="K605" s="120"/>
      <c r="L605" s="121"/>
      <c r="M605" s="120"/>
      <c r="N605" s="121"/>
      <c r="O605" s="120"/>
      <c r="P605" s="121"/>
      <c r="Q605" s="120"/>
      <c r="R605" s="121"/>
      <c r="S605" s="120"/>
      <c r="T605" s="121"/>
      <c r="U605" s="120"/>
      <c r="V605" s="121"/>
      <c r="W605" s="125"/>
      <c r="X605" s="143" t="s">
        <v>2412</v>
      </c>
      <c r="Y605" s="143"/>
      <c r="Z605" s="143"/>
      <c r="AA605" s="143"/>
      <c r="AB605" s="144"/>
      <c r="AC605" s="16" t="s">
        <v>21</v>
      </c>
      <c r="AD605" s="17" t="s">
        <v>2413</v>
      </c>
      <c r="AE605" s="145" t="s">
        <v>171</v>
      </c>
      <c r="AF605" s="146"/>
      <c r="AG605" s="146"/>
      <c r="AH605" s="146"/>
      <c r="AI605" s="147"/>
      <c r="AJ605" s="148"/>
      <c r="AK605" s="143"/>
      <c r="AL605" s="143"/>
      <c r="AM605" s="22"/>
      <c r="AN605" s="149"/>
      <c r="AO605" s="144"/>
      <c r="AP605" s="148"/>
      <c r="AQ605" s="144"/>
      <c r="AR605" s="120"/>
      <c r="AS605" s="121"/>
      <c r="AT605" s="120"/>
      <c r="AU605" s="182"/>
      <c r="AV605" s="120"/>
      <c r="AW605" s="121"/>
      <c r="AX605" s="120"/>
      <c r="AY605" s="121"/>
      <c r="AZ605" s="201"/>
    </row>
    <row r="606" spans="1:52" ht="17.100000000000001" customHeight="1" thickTop="1">
      <c r="A606" s="109" t="s">
        <v>6040</v>
      </c>
      <c r="B606" s="28">
        <v>45057</v>
      </c>
      <c r="C606" s="25">
        <v>1087</v>
      </c>
      <c r="D606" s="13" t="s">
        <v>2059</v>
      </c>
      <c r="E606" s="111"/>
      <c r="F606" s="113" t="s">
        <v>2414</v>
      </c>
      <c r="G606" s="273"/>
      <c r="H606" s="274"/>
      <c r="I606" s="24" t="s">
        <v>2415</v>
      </c>
      <c r="J606" s="116">
        <v>3</v>
      </c>
      <c r="K606" s="118">
        <v>358000</v>
      </c>
      <c r="L606" s="119"/>
      <c r="M606" s="118">
        <v>35800</v>
      </c>
      <c r="N606" s="119"/>
      <c r="O606" s="118">
        <v>15000</v>
      </c>
      <c r="P606" s="119"/>
      <c r="Q606" s="118">
        <v>8860</v>
      </c>
      <c r="R606" s="119"/>
      <c r="S606" s="118">
        <v>22000</v>
      </c>
      <c r="T606" s="119"/>
      <c r="U606" s="118">
        <f>SUM(K606:T607)</f>
        <v>439660</v>
      </c>
      <c r="V606" s="119"/>
      <c r="W606" s="124"/>
      <c r="X606" s="127" t="s">
        <v>2416</v>
      </c>
      <c r="Y606" s="223"/>
      <c r="Z606" s="223"/>
      <c r="AA606" s="223"/>
      <c r="AB606" s="224"/>
      <c r="AC606" s="15" t="s">
        <v>20</v>
      </c>
      <c r="AD606" s="129" t="s">
        <v>1670</v>
      </c>
      <c r="AE606" s="130"/>
      <c r="AF606" s="130"/>
      <c r="AG606" s="130"/>
      <c r="AH606" s="130"/>
      <c r="AI606" s="131"/>
      <c r="AJ606" s="132"/>
      <c r="AK606" s="127"/>
      <c r="AL606" s="127"/>
      <c r="AM606" s="21" t="s">
        <v>2417</v>
      </c>
      <c r="AN606" s="133">
        <v>46102</v>
      </c>
      <c r="AO606" s="134"/>
      <c r="AP606" s="135">
        <v>1293</v>
      </c>
      <c r="AQ606" s="136"/>
      <c r="AR606" s="118">
        <v>335000</v>
      </c>
      <c r="AS606" s="119"/>
      <c r="AT606" s="180">
        <f>AR606*0.1</f>
        <v>33500</v>
      </c>
      <c r="AU606" s="181"/>
      <c r="AV606" s="118">
        <v>8860</v>
      </c>
      <c r="AW606" s="119"/>
      <c r="AX606" s="118">
        <f>SUM(AR606:AW606)</f>
        <v>377360</v>
      </c>
      <c r="AY606" s="119"/>
      <c r="AZ606" s="200">
        <v>46105</v>
      </c>
    </row>
    <row r="607" spans="1:52" ht="17.100000000000001" customHeight="1" thickBot="1">
      <c r="A607" s="110"/>
      <c r="B607" s="27" t="s">
        <v>2418</v>
      </c>
      <c r="C607" s="27">
        <v>5</v>
      </c>
      <c r="D607" s="14" t="s">
        <v>2040</v>
      </c>
      <c r="E607" s="112"/>
      <c r="F607" s="139" t="s">
        <v>2419</v>
      </c>
      <c r="G607" s="140"/>
      <c r="H607" s="141"/>
      <c r="I607" s="26">
        <v>48160</v>
      </c>
      <c r="J607" s="117"/>
      <c r="K607" s="120"/>
      <c r="L607" s="121"/>
      <c r="M607" s="120"/>
      <c r="N607" s="121"/>
      <c r="O607" s="120"/>
      <c r="P607" s="121"/>
      <c r="Q607" s="120"/>
      <c r="R607" s="121"/>
      <c r="S607" s="120"/>
      <c r="T607" s="121"/>
      <c r="U607" s="120"/>
      <c r="V607" s="121"/>
      <c r="W607" s="125"/>
      <c r="X607" s="143" t="s">
        <v>2420</v>
      </c>
      <c r="Y607" s="143"/>
      <c r="Z607" s="143"/>
      <c r="AA607" s="143"/>
      <c r="AB607" s="144"/>
      <c r="AC607" s="16" t="s">
        <v>21</v>
      </c>
      <c r="AD607" s="17" t="s">
        <v>2421</v>
      </c>
      <c r="AE607" s="158" t="s">
        <v>4077</v>
      </c>
      <c r="AF607" s="277"/>
      <c r="AG607" s="277"/>
      <c r="AH607" s="277"/>
      <c r="AI607" s="278"/>
      <c r="AJ607" s="148"/>
      <c r="AK607" s="143"/>
      <c r="AL607" s="143"/>
      <c r="AM607" s="22"/>
      <c r="AN607" s="149" t="s">
        <v>2511</v>
      </c>
      <c r="AO607" s="144"/>
      <c r="AP607" s="148">
        <v>65133</v>
      </c>
      <c r="AQ607" s="144"/>
      <c r="AR607" s="120"/>
      <c r="AS607" s="121"/>
      <c r="AT607" s="120"/>
      <c r="AU607" s="182"/>
      <c r="AV607" s="120"/>
      <c r="AW607" s="121"/>
      <c r="AX607" s="120"/>
      <c r="AY607" s="121"/>
      <c r="AZ607" s="201"/>
    </row>
    <row r="608" spans="1:52" ht="17.100000000000001" customHeight="1" thickTop="1">
      <c r="A608" s="109" t="s">
        <v>6041</v>
      </c>
      <c r="B608" s="28">
        <v>45072</v>
      </c>
      <c r="C608" s="25">
        <v>1934</v>
      </c>
      <c r="D608" s="13" t="s">
        <v>2371</v>
      </c>
      <c r="E608" s="111"/>
      <c r="F608" s="113" t="s">
        <v>2422</v>
      </c>
      <c r="G608" s="273"/>
      <c r="H608" s="274"/>
      <c r="I608" s="24" t="s">
        <v>2423</v>
      </c>
      <c r="J608" s="116">
        <v>3.5</v>
      </c>
      <c r="K608" s="118">
        <v>2394000</v>
      </c>
      <c r="L608" s="119"/>
      <c r="M608" s="118">
        <v>239400</v>
      </c>
      <c r="N608" s="119"/>
      <c r="O608" s="118">
        <v>73300</v>
      </c>
      <c r="P608" s="119"/>
      <c r="Q608" s="118">
        <v>19120</v>
      </c>
      <c r="R608" s="119"/>
      <c r="S608" s="118">
        <v>13750</v>
      </c>
      <c r="T608" s="119"/>
      <c r="U608" s="118">
        <f>SUM(K608:T609)</f>
        <v>2739570</v>
      </c>
      <c r="V608" s="119"/>
      <c r="W608" s="124"/>
      <c r="X608" s="127" t="s">
        <v>2424</v>
      </c>
      <c r="Y608" s="223"/>
      <c r="Z608" s="223"/>
      <c r="AA608" s="223"/>
      <c r="AB608" s="224"/>
      <c r="AC608" s="15" t="s">
        <v>20</v>
      </c>
      <c r="AD608" s="129" t="s">
        <v>20613</v>
      </c>
      <c r="AE608" s="130"/>
      <c r="AF608" s="130"/>
      <c r="AG608" s="130"/>
      <c r="AH608" s="130"/>
      <c r="AI608" s="131"/>
      <c r="AJ608" s="132"/>
      <c r="AK608" s="127"/>
      <c r="AL608" s="127"/>
      <c r="AM608" s="21"/>
      <c r="AN608" s="133"/>
      <c r="AO608" s="134"/>
      <c r="AP608" s="135"/>
      <c r="AQ608" s="136"/>
      <c r="AR608" s="118"/>
      <c r="AS608" s="119"/>
      <c r="AT608" s="180">
        <f>AR608*0.1</f>
        <v>0</v>
      </c>
      <c r="AU608" s="181"/>
      <c r="AV608" s="118"/>
      <c r="AW608" s="119"/>
      <c r="AX608" s="118">
        <f>SUM(AR608:AW608)</f>
        <v>0</v>
      </c>
      <c r="AY608" s="119"/>
      <c r="AZ608" s="200"/>
    </row>
    <row r="609" spans="1:52" ht="17.100000000000001" customHeight="1" thickBot="1">
      <c r="A609" s="110"/>
      <c r="B609" s="27" t="s">
        <v>2425</v>
      </c>
      <c r="C609" s="27">
        <v>3647</v>
      </c>
      <c r="D609" s="14" t="s">
        <v>1700</v>
      </c>
      <c r="E609" s="112"/>
      <c r="F609" s="139" t="s">
        <v>2426</v>
      </c>
      <c r="G609" s="140"/>
      <c r="H609" s="141"/>
      <c r="I609" s="26">
        <v>34528</v>
      </c>
      <c r="J609" s="117"/>
      <c r="K609" s="120"/>
      <c r="L609" s="121"/>
      <c r="M609" s="120"/>
      <c r="N609" s="121"/>
      <c r="O609" s="120"/>
      <c r="P609" s="121"/>
      <c r="Q609" s="120"/>
      <c r="R609" s="121"/>
      <c r="S609" s="120"/>
      <c r="T609" s="121"/>
      <c r="U609" s="120"/>
      <c r="V609" s="121"/>
      <c r="W609" s="125"/>
      <c r="X609" s="143" t="s">
        <v>2427</v>
      </c>
      <c r="Y609" s="143"/>
      <c r="Z609" s="143"/>
      <c r="AA609" s="143"/>
      <c r="AB609" s="144"/>
      <c r="AC609" s="16" t="s">
        <v>21</v>
      </c>
      <c r="AD609" s="17" t="s">
        <v>2428</v>
      </c>
      <c r="AE609" s="145" t="s">
        <v>2429</v>
      </c>
      <c r="AF609" s="146"/>
      <c r="AG609" s="146"/>
      <c r="AH609" s="146"/>
      <c r="AI609" s="147"/>
      <c r="AJ609" s="148"/>
      <c r="AK609" s="143"/>
      <c r="AL609" s="143"/>
      <c r="AM609" s="22" t="s">
        <v>907</v>
      </c>
      <c r="AN609" s="149"/>
      <c r="AO609" s="144"/>
      <c r="AP609" s="148"/>
      <c r="AQ609" s="144"/>
      <c r="AR609" s="120"/>
      <c r="AS609" s="121"/>
      <c r="AT609" s="120"/>
      <c r="AU609" s="182"/>
      <c r="AV609" s="120"/>
      <c r="AW609" s="121"/>
      <c r="AX609" s="120"/>
      <c r="AY609" s="121"/>
      <c r="AZ609" s="201"/>
    </row>
    <row r="610" spans="1:52" ht="17.100000000000001" customHeight="1" thickTop="1">
      <c r="A610" s="109" t="s">
        <v>6042</v>
      </c>
      <c r="B610" s="28">
        <v>45072</v>
      </c>
      <c r="C610" s="25">
        <v>2103</v>
      </c>
      <c r="D610" s="13" t="s">
        <v>2407</v>
      </c>
      <c r="E610" s="111"/>
      <c r="F610" s="113" t="s">
        <v>2430</v>
      </c>
      <c r="G610" s="273"/>
      <c r="H610" s="274"/>
      <c r="I610" s="24"/>
      <c r="J610" s="116">
        <v>4</v>
      </c>
      <c r="K610" s="118">
        <v>1737000</v>
      </c>
      <c r="L610" s="119"/>
      <c r="M610" s="118">
        <v>173700</v>
      </c>
      <c r="N610" s="119"/>
      <c r="O610" s="118">
        <v>0</v>
      </c>
      <c r="P610" s="119"/>
      <c r="Q610" s="118">
        <v>18630</v>
      </c>
      <c r="R610" s="119"/>
      <c r="S610" s="118">
        <v>13750</v>
      </c>
      <c r="T610" s="119"/>
      <c r="U610" s="118">
        <f>SUM(K610:T611)</f>
        <v>1943080</v>
      </c>
      <c r="V610" s="119"/>
      <c r="W610" s="124"/>
      <c r="X610" s="127" t="s">
        <v>2431</v>
      </c>
      <c r="Y610" s="223"/>
      <c r="Z610" s="223"/>
      <c r="AA610" s="223"/>
      <c r="AB610" s="224"/>
      <c r="AC610" s="15" t="s">
        <v>20</v>
      </c>
      <c r="AD610" s="129"/>
      <c r="AE610" s="130"/>
      <c r="AF610" s="130"/>
      <c r="AG610" s="130"/>
      <c r="AH610" s="130"/>
      <c r="AI610" s="131"/>
      <c r="AJ610" s="132"/>
      <c r="AK610" s="127"/>
      <c r="AL610" s="127"/>
      <c r="AM610" s="21"/>
      <c r="AN610" s="133"/>
      <c r="AO610" s="134"/>
      <c r="AP610" s="135"/>
      <c r="AQ610" s="136"/>
      <c r="AR610" s="118"/>
      <c r="AS610" s="119"/>
      <c r="AT610" s="180">
        <f>AR610*0.1</f>
        <v>0</v>
      </c>
      <c r="AU610" s="181"/>
      <c r="AV610" s="118"/>
      <c r="AW610" s="119"/>
      <c r="AX610" s="118">
        <f>SUM(AR610:AW610)</f>
        <v>0</v>
      </c>
      <c r="AY610" s="119"/>
      <c r="AZ610" s="200"/>
    </row>
    <row r="611" spans="1:52" ht="17.100000000000001" customHeight="1" thickBot="1">
      <c r="A611" s="110"/>
      <c r="B611" s="27" t="s">
        <v>2432</v>
      </c>
      <c r="C611" s="27">
        <v>4309</v>
      </c>
      <c r="D611" s="14" t="s">
        <v>133</v>
      </c>
      <c r="E611" s="112"/>
      <c r="F611" s="139" t="s">
        <v>2433</v>
      </c>
      <c r="G611" s="140"/>
      <c r="H611" s="141"/>
      <c r="I611" s="26">
        <v>50715</v>
      </c>
      <c r="J611" s="117"/>
      <c r="K611" s="120"/>
      <c r="L611" s="121"/>
      <c r="M611" s="120"/>
      <c r="N611" s="121"/>
      <c r="O611" s="120"/>
      <c r="P611" s="121"/>
      <c r="Q611" s="120"/>
      <c r="R611" s="121"/>
      <c r="S611" s="120"/>
      <c r="T611" s="121"/>
      <c r="U611" s="120"/>
      <c r="V611" s="121"/>
      <c r="W611" s="125"/>
      <c r="X611" s="143" t="s">
        <v>2434</v>
      </c>
      <c r="Y611" s="143"/>
      <c r="Z611" s="143"/>
      <c r="AA611" s="143"/>
      <c r="AB611" s="144"/>
      <c r="AC611" s="16" t="s">
        <v>21</v>
      </c>
      <c r="AD611" s="17" t="s">
        <v>1998</v>
      </c>
      <c r="AE611" s="145" t="s">
        <v>2435</v>
      </c>
      <c r="AF611" s="146"/>
      <c r="AG611" s="146"/>
      <c r="AH611" s="146"/>
      <c r="AI611" s="147"/>
      <c r="AJ611" s="148"/>
      <c r="AK611" s="143"/>
      <c r="AL611" s="143"/>
      <c r="AM611" s="22"/>
      <c r="AN611" s="149"/>
      <c r="AO611" s="144"/>
      <c r="AP611" s="148"/>
      <c r="AQ611" s="144"/>
      <c r="AR611" s="120"/>
      <c r="AS611" s="121"/>
      <c r="AT611" s="120"/>
      <c r="AU611" s="182"/>
      <c r="AV611" s="120"/>
      <c r="AW611" s="121"/>
      <c r="AX611" s="120"/>
      <c r="AY611" s="121"/>
      <c r="AZ611" s="201"/>
    </row>
    <row r="612" spans="1:52" ht="17.100000000000001" customHeight="1" thickTop="1">
      <c r="A612" s="109" t="s">
        <v>6043</v>
      </c>
      <c r="B612" s="28">
        <v>45079</v>
      </c>
      <c r="C612" s="25">
        <v>2104</v>
      </c>
      <c r="D612" s="13" t="s">
        <v>1929</v>
      </c>
      <c r="E612" s="111"/>
      <c r="F612" s="113" t="s">
        <v>2436</v>
      </c>
      <c r="G612" s="273"/>
      <c r="H612" s="274"/>
      <c r="I612" s="24"/>
      <c r="J612" s="116">
        <v>4</v>
      </c>
      <c r="K612" s="118">
        <v>1813000</v>
      </c>
      <c r="L612" s="119"/>
      <c r="M612" s="118">
        <v>181300</v>
      </c>
      <c r="N612" s="119"/>
      <c r="O612" s="118">
        <v>0</v>
      </c>
      <c r="P612" s="119"/>
      <c r="Q612" s="118">
        <v>23470</v>
      </c>
      <c r="R612" s="119"/>
      <c r="S612" s="118">
        <v>13750</v>
      </c>
      <c r="T612" s="119"/>
      <c r="U612" s="118">
        <f>SUM(K612:T613)</f>
        <v>2031520</v>
      </c>
      <c r="V612" s="119"/>
      <c r="W612" s="124"/>
      <c r="X612" s="127" t="s">
        <v>2437</v>
      </c>
      <c r="Y612" s="223"/>
      <c r="Z612" s="223"/>
      <c r="AA612" s="223"/>
      <c r="AB612" s="224"/>
      <c r="AC612" s="15" t="s">
        <v>20</v>
      </c>
      <c r="AD612" s="129"/>
      <c r="AE612" s="130"/>
      <c r="AF612" s="130"/>
      <c r="AG612" s="130"/>
      <c r="AH612" s="130"/>
      <c r="AI612" s="131"/>
      <c r="AJ612" s="132"/>
      <c r="AK612" s="127"/>
      <c r="AL612" s="127"/>
      <c r="AM612" s="21"/>
      <c r="AN612" s="133"/>
      <c r="AO612" s="134"/>
      <c r="AP612" s="135"/>
      <c r="AQ612" s="136"/>
      <c r="AR612" s="118"/>
      <c r="AS612" s="119"/>
      <c r="AT612" s="180">
        <f>AR612*0.1</f>
        <v>0</v>
      </c>
      <c r="AU612" s="181"/>
      <c r="AV612" s="118"/>
      <c r="AW612" s="119"/>
      <c r="AX612" s="118">
        <f>SUM(AR612:AW612)</f>
        <v>0</v>
      </c>
      <c r="AY612" s="119"/>
      <c r="AZ612" s="200"/>
    </row>
    <row r="613" spans="1:52" ht="17.100000000000001" customHeight="1" thickBot="1">
      <c r="A613" s="110"/>
      <c r="B613" s="27" t="s">
        <v>2438</v>
      </c>
      <c r="C613" s="27">
        <v>61</v>
      </c>
      <c r="D613" s="14" t="s">
        <v>1592</v>
      </c>
      <c r="E613" s="112"/>
      <c r="F613" s="139" t="s">
        <v>2439</v>
      </c>
      <c r="G613" s="140"/>
      <c r="H613" s="141"/>
      <c r="I613" s="26">
        <v>44113</v>
      </c>
      <c r="J613" s="117"/>
      <c r="K613" s="120"/>
      <c r="L613" s="121"/>
      <c r="M613" s="120"/>
      <c r="N613" s="121"/>
      <c r="O613" s="120"/>
      <c r="P613" s="121"/>
      <c r="Q613" s="120"/>
      <c r="R613" s="121"/>
      <c r="S613" s="120"/>
      <c r="T613" s="121"/>
      <c r="U613" s="120"/>
      <c r="V613" s="121"/>
      <c r="W613" s="125"/>
      <c r="X613" s="143" t="s">
        <v>2440</v>
      </c>
      <c r="Y613" s="143"/>
      <c r="Z613" s="143"/>
      <c r="AA613" s="143"/>
      <c r="AB613" s="144"/>
      <c r="AC613" s="16" t="s">
        <v>21</v>
      </c>
      <c r="AD613" s="17" t="s">
        <v>2014</v>
      </c>
      <c r="AE613" s="145" t="s">
        <v>2441</v>
      </c>
      <c r="AF613" s="146"/>
      <c r="AG613" s="146"/>
      <c r="AH613" s="146"/>
      <c r="AI613" s="147"/>
      <c r="AJ613" s="148"/>
      <c r="AK613" s="143"/>
      <c r="AL613" s="143"/>
      <c r="AM613" s="22"/>
      <c r="AN613" s="149"/>
      <c r="AO613" s="144"/>
      <c r="AP613" s="148"/>
      <c r="AQ613" s="144"/>
      <c r="AR613" s="120"/>
      <c r="AS613" s="121"/>
      <c r="AT613" s="120"/>
      <c r="AU613" s="182"/>
      <c r="AV613" s="120"/>
      <c r="AW613" s="121"/>
      <c r="AX613" s="120"/>
      <c r="AY613" s="121"/>
      <c r="AZ613" s="201"/>
    </row>
    <row r="614" spans="1:52" ht="17.100000000000001" customHeight="1" thickTop="1">
      <c r="A614" s="109" t="s">
        <v>6044</v>
      </c>
      <c r="B614" s="28">
        <v>45076</v>
      </c>
      <c r="C614" s="25"/>
      <c r="D614" s="13" t="s">
        <v>2442</v>
      </c>
      <c r="E614" s="111"/>
      <c r="F614" s="113" t="s">
        <v>2443</v>
      </c>
      <c r="G614" s="273"/>
      <c r="H614" s="274"/>
      <c r="I614" s="24" t="s">
        <v>1847</v>
      </c>
      <c r="J614" s="116">
        <v>4.5</v>
      </c>
      <c r="K614" s="118">
        <v>2042381</v>
      </c>
      <c r="L614" s="119"/>
      <c r="M614" s="118">
        <v>204239</v>
      </c>
      <c r="N614" s="119"/>
      <c r="O614" s="118">
        <v>29600</v>
      </c>
      <c r="P614" s="119"/>
      <c r="Q614" s="118">
        <v>18980</v>
      </c>
      <c r="R614" s="119"/>
      <c r="S614" s="118">
        <v>31166</v>
      </c>
      <c r="T614" s="119"/>
      <c r="U614" s="118">
        <f>SUM(K614:T615)</f>
        <v>2326366</v>
      </c>
      <c r="V614" s="119"/>
      <c r="W614" s="124"/>
      <c r="X614" s="127" t="s">
        <v>2444</v>
      </c>
      <c r="Y614" s="223"/>
      <c r="Z614" s="223"/>
      <c r="AA614" s="223"/>
      <c r="AB614" s="224"/>
      <c r="AC614" s="15" t="s">
        <v>20</v>
      </c>
      <c r="AD614" s="129" t="s">
        <v>1945</v>
      </c>
      <c r="AE614" s="130"/>
      <c r="AF614" s="130"/>
      <c r="AG614" s="130"/>
      <c r="AH614" s="130"/>
      <c r="AI614" s="131"/>
      <c r="AJ614" s="132"/>
      <c r="AK614" s="127"/>
      <c r="AL614" s="127"/>
      <c r="AM614" s="21"/>
      <c r="AN614" s="133"/>
      <c r="AO614" s="134"/>
      <c r="AP614" s="135"/>
      <c r="AQ614" s="136"/>
      <c r="AR614" s="118"/>
      <c r="AS614" s="119"/>
      <c r="AT614" s="180">
        <f>AR614*0.1</f>
        <v>0</v>
      </c>
      <c r="AU614" s="181"/>
      <c r="AV614" s="118"/>
      <c r="AW614" s="119"/>
      <c r="AX614" s="118">
        <f>SUM(AR614:AW614)</f>
        <v>0</v>
      </c>
      <c r="AY614" s="119"/>
      <c r="AZ614" s="200"/>
    </row>
    <row r="615" spans="1:52" ht="17.100000000000001" customHeight="1" thickBot="1">
      <c r="A615" s="110"/>
      <c r="B615" s="27" t="s">
        <v>1718</v>
      </c>
      <c r="C615" s="27" t="s">
        <v>2445</v>
      </c>
      <c r="D615" s="14" t="s">
        <v>1592</v>
      </c>
      <c r="E615" s="112"/>
      <c r="F615" s="139" t="s">
        <v>2446</v>
      </c>
      <c r="G615" s="140"/>
      <c r="H615" s="141"/>
      <c r="I615" s="26">
        <v>54690</v>
      </c>
      <c r="J615" s="117"/>
      <c r="K615" s="120"/>
      <c r="L615" s="121"/>
      <c r="M615" s="120"/>
      <c r="N615" s="121"/>
      <c r="O615" s="120"/>
      <c r="P615" s="121"/>
      <c r="Q615" s="120"/>
      <c r="R615" s="121"/>
      <c r="S615" s="120"/>
      <c r="T615" s="121"/>
      <c r="U615" s="120"/>
      <c r="V615" s="121"/>
      <c r="W615" s="125"/>
      <c r="X615" s="143" t="s">
        <v>2447</v>
      </c>
      <c r="Y615" s="143"/>
      <c r="Z615" s="143"/>
      <c r="AA615" s="143"/>
      <c r="AB615" s="144"/>
      <c r="AC615" s="16" t="s">
        <v>21</v>
      </c>
      <c r="AD615" s="17" t="s">
        <v>2448</v>
      </c>
      <c r="AE615" s="145" t="s">
        <v>2449</v>
      </c>
      <c r="AF615" s="146"/>
      <c r="AG615" s="146"/>
      <c r="AH615" s="146"/>
      <c r="AI615" s="147"/>
      <c r="AJ615" s="148"/>
      <c r="AK615" s="143"/>
      <c r="AL615" s="143"/>
      <c r="AM615" s="22"/>
      <c r="AN615" s="149"/>
      <c r="AO615" s="144"/>
      <c r="AP615" s="148"/>
      <c r="AQ615" s="144"/>
      <c r="AR615" s="120"/>
      <c r="AS615" s="121"/>
      <c r="AT615" s="120"/>
      <c r="AU615" s="182"/>
      <c r="AV615" s="120"/>
      <c r="AW615" s="121"/>
      <c r="AX615" s="120"/>
      <c r="AY615" s="121"/>
      <c r="AZ615" s="201"/>
    </row>
    <row r="616" spans="1:52" ht="17.100000000000001" customHeight="1" thickTop="1">
      <c r="A616" s="109" t="s">
        <v>6045</v>
      </c>
      <c r="B616" s="28">
        <v>45098</v>
      </c>
      <c r="C616" s="25">
        <v>1237</v>
      </c>
      <c r="D616" s="13" t="s">
        <v>2450</v>
      </c>
      <c r="E616" s="111"/>
      <c r="F616" s="113" t="s">
        <v>2451</v>
      </c>
      <c r="G616" s="273"/>
      <c r="H616" s="274"/>
      <c r="I616" s="24" t="s">
        <v>2452</v>
      </c>
      <c r="J616" s="116">
        <v>3.5</v>
      </c>
      <c r="K616" s="118">
        <v>1050000</v>
      </c>
      <c r="L616" s="119"/>
      <c r="M616" s="118">
        <v>105000</v>
      </c>
      <c r="N616" s="119"/>
      <c r="O616" s="118">
        <v>65900</v>
      </c>
      <c r="P616" s="119"/>
      <c r="Q616" s="118">
        <v>19450</v>
      </c>
      <c r="R616" s="119"/>
      <c r="S616" s="118">
        <v>18700</v>
      </c>
      <c r="T616" s="119"/>
      <c r="U616" s="118">
        <f>SUM(K616:T617)</f>
        <v>1259050</v>
      </c>
      <c r="V616" s="119"/>
      <c r="W616" s="124"/>
      <c r="X616" s="127" t="s">
        <v>2453</v>
      </c>
      <c r="Y616" s="223"/>
      <c r="Z616" s="223"/>
      <c r="AA616" s="223"/>
      <c r="AB616" s="224"/>
      <c r="AC616" s="15" t="s">
        <v>20</v>
      </c>
      <c r="AD616" s="129"/>
      <c r="AE616" s="130"/>
      <c r="AF616" s="130"/>
      <c r="AG616" s="130"/>
      <c r="AH616" s="130"/>
      <c r="AI616" s="131"/>
      <c r="AJ616" s="132"/>
      <c r="AK616" s="127"/>
      <c r="AL616" s="127"/>
      <c r="AM616" s="21"/>
      <c r="AN616" s="133"/>
      <c r="AO616" s="134"/>
      <c r="AP616" s="135"/>
      <c r="AQ616" s="136"/>
      <c r="AR616" s="118"/>
      <c r="AS616" s="119"/>
      <c r="AT616" s="180">
        <f>AR616*0.1</f>
        <v>0</v>
      </c>
      <c r="AU616" s="181"/>
      <c r="AV616" s="118"/>
      <c r="AW616" s="119"/>
      <c r="AX616" s="118">
        <f>SUM(AR616:AW616)</f>
        <v>0</v>
      </c>
      <c r="AY616" s="119"/>
      <c r="AZ616" s="200"/>
    </row>
    <row r="617" spans="1:52" ht="17.100000000000001" customHeight="1" thickBot="1">
      <c r="A617" s="110"/>
      <c r="B617" s="27" t="s">
        <v>2454</v>
      </c>
      <c r="C617" s="27">
        <v>74015</v>
      </c>
      <c r="D617" s="14" t="s">
        <v>275</v>
      </c>
      <c r="E617" s="112"/>
      <c r="F617" s="139" t="s">
        <v>2455</v>
      </c>
      <c r="G617" s="140"/>
      <c r="H617" s="141"/>
      <c r="I617" s="26">
        <v>32641</v>
      </c>
      <c r="J617" s="117"/>
      <c r="K617" s="120"/>
      <c r="L617" s="121"/>
      <c r="M617" s="120"/>
      <c r="N617" s="121"/>
      <c r="O617" s="120"/>
      <c r="P617" s="121"/>
      <c r="Q617" s="120"/>
      <c r="R617" s="121"/>
      <c r="S617" s="120"/>
      <c r="T617" s="121"/>
      <c r="U617" s="120"/>
      <c r="V617" s="121"/>
      <c r="W617" s="125"/>
      <c r="X617" s="143" t="s">
        <v>2456</v>
      </c>
      <c r="Y617" s="143"/>
      <c r="Z617" s="143"/>
      <c r="AA617" s="143"/>
      <c r="AB617" s="144"/>
      <c r="AC617" s="16" t="s">
        <v>21</v>
      </c>
      <c r="AD617" s="17" t="s">
        <v>2457</v>
      </c>
      <c r="AE617" s="145" t="s">
        <v>2395</v>
      </c>
      <c r="AF617" s="146"/>
      <c r="AG617" s="146"/>
      <c r="AH617" s="146"/>
      <c r="AI617" s="147"/>
      <c r="AJ617" s="148"/>
      <c r="AK617" s="143"/>
      <c r="AL617" s="143"/>
      <c r="AM617" s="22" t="s">
        <v>907</v>
      </c>
      <c r="AN617" s="149"/>
      <c r="AO617" s="144"/>
      <c r="AP617" s="148"/>
      <c r="AQ617" s="144"/>
      <c r="AR617" s="120"/>
      <c r="AS617" s="121"/>
      <c r="AT617" s="120"/>
      <c r="AU617" s="182"/>
      <c r="AV617" s="120"/>
      <c r="AW617" s="121"/>
      <c r="AX617" s="120"/>
      <c r="AY617" s="121"/>
      <c r="AZ617" s="201"/>
    </row>
    <row r="618" spans="1:52" ht="17.100000000000001" customHeight="1" thickTop="1">
      <c r="A618" s="109" t="s">
        <v>6046</v>
      </c>
      <c r="B618" s="28">
        <v>45101</v>
      </c>
      <c r="C618" s="25">
        <v>1159</v>
      </c>
      <c r="D618" s="13" t="s">
        <v>2458</v>
      </c>
      <c r="E618" s="111"/>
      <c r="F618" s="113" t="s">
        <v>2459</v>
      </c>
      <c r="G618" s="273"/>
      <c r="H618" s="274"/>
      <c r="I618" s="24" t="s">
        <v>2415</v>
      </c>
      <c r="J618" s="116">
        <v>4.5</v>
      </c>
      <c r="K618" s="118">
        <v>2210000</v>
      </c>
      <c r="L618" s="119"/>
      <c r="M618" s="118">
        <v>221000</v>
      </c>
      <c r="N618" s="119"/>
      <c r="O618" s="118">
        <v>29600</v>
      </c>
      <c r="P618" s="119"/>
      <c r="Q618" s="118">
        <v>21330</v>
      </c>
      <c r="R618" s="119"/>
      <c r="S618" s="118">
        <v>13200</v>
      </c>
      <c r="T618" s="119"/>
      <c r="U618" s="118">
        <f>SUM(K618:T619)</f>
        <v>2495130</v>
      </c>
      <c r="V618" s="119"/>
      <c r="W618" s="124"/>
      <c r="X618" s="127" t="s">
        <v>2460</v>
      </c>
      <c r="Y618" s="223"/>
      <c r="Z618" s="223"/>
      <c r="AA618" s="223"/>
      <c r="AB618" s="224"/>
      <c r="AC618" s="15" t="s">
        <v>20</v>
      </c>
      <c r="AD618" s="129" t="s">
        <v>1633</v>
      </c>
      <c r="AE618" s="130"/>
      <c r="AF618" s="130"/>
      <c r="AG618" s="130"/>
      <c r="AH618" s="130"/>
      <c r="AI618" s="131"/>
      <c r="AJ618" s="132"/>
      <c r="AK618" s="127"/>
      <c r="AL618" s="127"/>
      <c r="AM618" s="21" t="s">
        <v>2461</v>
      </c>
      <c r="AN618" s="133"/>
      <c r="AO618" s="134"/>
      <c r="AP618" s="135"/>
      <c r="AQ618" s="136"/>
      <c r="AR618" s="118"/>
      <c r="AS618" s="119"/>
      <c r="AT618" s="180">
        <f>AR618*0.1</f>
        <v>0</v>
      </c>
      <c r="AU618" s="181"/>
      <c r="AV618" s="118"/>
      <c r="AW618" s="119"/>
      <c r="AX618" s="118">
        <f>SUM(AR618:AW618)</f>
        <v>0</v>
      </c>
      <c r="AY618" s="119"/>
      <c r="AZ618" s="200"/>
    </row>
    <row r="619" spans="1:52" ht="17.100000000000001" customHeight="1" thickBot="1">
      <c r="A619" s="110"/>
      <c r="B619" s="27" t="s">
        <v>1567</v>
      </c>
      <c r="C619" s="27">
        <v>82345</v>
      </c>
      <c r="D619" s="14" t="s">
        <v>1592</v>
      </c>
      <c r="E619" s="112"/>
      <c r="F619" s="139" t="s">
        <v>2462</v>
      </c>
      <c r="G619" s="140"/>
      <c r="H619" s="141"/>
      <c r="I619" s="26">
        <v>44212</v>
      </c>
      <c r="J619" s="117"/>
      <c r="K619" s="120"/>
      <c r="L619" s="121"/>
      <c r="M619" s="120"/>
      <c r="N619" s="121"/>
      <c r="O619" s="120"/>
      <c r="P619" s="121"/>
      <c r="Q619" s="120"/>
      <c r="R619" s="121"/>
      <c r="S619" s="120"/>
      <c r="T619" s="121"/>
      <c r="U619" s="120"/>
      <c r="V619" s="121"/>
      <c r="W619" s="125"/>
      <c r="X619" s="143" t="s">
        <v>2463</v>
      </c>
      <c r="Y619" s="143"/>
      <c r="Z619" s="143"/>
      <c r="AA619" s="143"/>
      <c r="AB619" s="144"/>
      <c r="AC619" s="16" t="s">
        <v>21</v>
      </c>
      <c r="AD619" s="17" t="s">
        <v>2464</v>
      </c>
      <c r="AE619" s="145" t="s">
        <v>1742</v>
      </c>
      <c r="AF619" s="146"/>
      <c r="AG619" s="146"/>
      <c r="AH619" s="146"/>
      <c r="AI619" s="147"/>
      <c r="AJ619" s="148"/>
      <c r="AK619" s="143"/>
      <c r="AL619" s="143"/>
      <c r="AM619" s="22" t="s">
        <v>51</v>
      </c>
      <c r="AN619" s="149"/>
      <c r="AO619" s="144"/>
      <c r="AP619" s="148"/>
      <c r="AQ619" s="144"/>
      <c r="AR619" s="120"/>
      <c r="AS619" s="121"/>
      <c r="AT619" s="120"/>
      <c r="AU619" s="182"/>
      <c r="AV619" s="120"/>
      <c r="AW619" s="121"/>
      <c r="AX619" s="120"/>
      <c r="AY619" s="121"/>
      <c r="AZ619" s="201"/>
    </row>
    <row r="620" spans="1:52" ht="17.100000000000001" customHeight="1" thickTop="1">
      <c r="A620" s="109" t="s">
        <v>6047</v>
      </c>
      <c r="B620" s="28">
        <v>45103</v>
      </c>
      <c r="C620" s="25">
        <v>1951</v>
      </c>
      <c r="D620" s="13" t="s">
        <v>2465</v>
      </c>
      <c r="E620" s="111"/>
      <c r="F620" s="113" t="s">
        <v>2466</v>
      </c>
      <c r="G620" s="273"/>
      <c r="H620" s="274"/>
      <c r="I620" s="24" t="s">
        <v>2272</v>
      </c>
      <c r="J620" s="116">
        <v>4.5</v>
      </c>
      <c r="K620" s="118">
        <v>2520000</v>
      </c>
      <c r="L620" s="119"/>
      <c r="M620" s="118">
        <v>252000</v>
      </c>
      <c r="N620" s="119"/>
      <c r="O620" s="118">
        <v>25800</v>
      </c>
      <c r="P620" s="119"/>
      <c r="Q620" s="118">
        <v>12620</v>
      </c>
      <c r="R620" s="119"/>
      <c r="S620" s="118">
        <v>11000</v>
      </c>
      <c r="T620" s="119"/>
      <c r="U620" s="118">
        <f>SUM(K620:T621)</f>
        <v>2821420</v>
      </c>
      <c r="V620" s="119"/>
      <c r="W620" s="124"/>
      <c r="X620" s="127" t="s">
        <v>2467</v>
      </c>
      <c r="Y620" s="223"/>
      <c r="Z620" s="223"/>
      <c r="AA620" s="223"/>
      <c r="AB620" s="224"/>
      <c r="AC620" s="15" t="s">
        <v>20</v>
      </c>
      <c r="AD620" s="129" t="s">
        <v>171</v>
      </c>
      <c r="AE620" s="130"/>
      <c r="AF620" s="130"/>
      <c r="AG620" s="130"/>
      <c r="AH620" s="130"/>
      <c r="AI620" s="131"/>
      <c r="AJ620" s="132"/>
      <c r="AK620" s="127"/>
      <c r="AL620" s="127"/>
      <c r="AM620" s="21" t="s">
        <v>2468</v>
      </c>
      <c r="AN620" s="133"/>
      <c r="AO620" s="134"/>
      <c r="AP620" s="135"/>
      <c r="AQ620" s="136"/>
      <c r="AR620" s="118"/>
      <c r="AS620" s="119"/>
      <c r="AT620" s="180">
        <f>AR620*0.1</f>
        <v>0</v>
      </c>
      <c r="AU620" s="181"/>
      <c r="AV620" s="118"/>
      <c r="AW620" s="119"/>
      <c r="AX620" s="118">
        <f>SUM(AR620:AW620)</f>
        <v>0</v>
      </c>
      <c r="AY620" s="119"/>
      <c r="AZ620" s="200"/>
    </row>
    <row r="621" spans="1:52" ht="17.100000000000001" customHeight="1" thickBot="1">
      <c r="A621" s="110"/>
      <c r="B621" s="27" t="s">
        <v>83</v>
      </c>
      <c r="C621" s="27">
        <v>32022</v>
      </c>
      <c r="D621" s="14" t="s">
        <v>2469</v>
      </c>
      <c r="E621" s="112"/>
      <c r="F621" s="139" t="s">
        <v>2470</v>
      </c>
      <c r="G621" s="140"/>
      <c r="H621" s="141"/>
      <c r="I621" s="26">
        <v>30969</v>
      </c>
      <c r="J621" s="117"/>
      <c r="K621" s="120"/>
      <c r="L621" s="121"/>
      <c r="M621" s="120"/>
      <c r="N621" s="121"/>
      <c r="O621" s="120"/>
      <c r="P621" s="121"/>
      <c r="Q621" s="120"/>
      <c r="R621" s="121"/>
      <c r="S621" s="120"/>
      <c r="T621" s="121"/>
      <c r="U621" s="120"/>
      <c r="V621" s="121"/>
      <c r="W621" s="125"/>
      <c r="X621" s="143" t="s">
        <v>2471</v>
      </c>
      <c r="Y621" s="143"/>
      <c r="Z621" s="143"/>
      <c r="AA621" s="143"/>
      <c r="AB621" s="144"/>
      <c r="AC621" s="16" t="s">
        <v>21</v>
      </c>
      <c r="AD621" s="17" t="s">
        <v>2472</v>
      </c>
      <c r="AE621" s="145" t="s">
        <v>1742</v>
      </c>
      <c r="AF621" s="146"/>
      <c r="AG621" s="146"/>
      <c r="AH621" s="146"/>
      <c r="AI621" s="147"/>
      <c r="AJ621" s="148"/>
      <c r="AK621" s="143"/>
      <c r="AL621" s="143"/>
      <c r="AM621" s="22" t="s">
        <v>1743</v>
      </c>
      <c r="AN621" s="149"/>
      <c r="AO621" s="144"/>
      <c r="AP621" s="148"/>
      <c r="AQ621" s="144"/>
      <c r="AR621" s="120"/>
      <c r="AS621" s="121"/>
      <c r="AT621" s="120"/>
      <c r="AU621" s="182"/>
      <c r="AV621" s="120"/>
      <c r="AW621" s="121"/>
      <c r="AX621" s="120"/>
      <c r="AY621" s="121"/>
      <c r="AZ621" s="201"/>
    </row>
    <row r="622" spans="1:52" ht="17.100000000000001" customHeight="1" thickTop="1">
      <c r="A622" s="109" t="s">
        <v>6048</v>
      </c>
      <c r="B622" s="28">
        <v>45104</v>
      </c>
      <c r="C622" s="25">
        <v>1099</v>
      </c>
      <c r="D622" s="13" t="s">
        <v>2301</v>
      </c>
      <c r="E622" s="111"/>
      <c r="F622" s="113" t="s">
        <v>2473</v>
      </c>
      <c r="G622" s="273"/>
      <c r="H622" s="274"/>
      <c r="I622" s="24"/>
      <c r="J622" s="116">
        <v>4</v>
      </c>
      <c r="K622" s="118">
        <v>1880000</v>
      </c>
      <c r="L622" s="119"/>
      <c r="M622" s="118">
        <v>188000</v>
      </c>
      <c r="N622" s="119"/>
      <c r="O622" s="118">
        <v>0</v>
      </c>
      <c r="P622" s="119"/>
      <c r="Q622" s="118">
        <v>17380</v>
      </c>
      <c r="R622" s="119"/>
      <c r="S622" s="118">
        <v>18150</v>
      </c>
      <c r="T622" s="119"/>
      <c r="U622" s="118">
        <f>SUM(K622:T623)</f>
        <v>2103530</v>
      </c>
      <c r="V622" s="119"/>
      <c r="W622" s="124"/>
      <c r="X622" s="127" t="s">
        <v>2474</v>
      </c>
      <c r="Y622" s="223"/>
      <c r="Z622" s="223"/>
      <c r="AA622" s="223"/>
      <c r="AB622" s="224"/>
      <c r="AC622" s="15" t="s">
        <v>20</v>
      </c>
      <c r="AD622" s="129"/>
      <c r="AE622" s="130"/>
      <c r="AF622" s="130"/>
      <c r="AG622" s="130"/>
      <c r="AH622" s="130"/>
      <c r="AI622" s="131"/>
      <c r="AJ622" s="132"/>
      <c r="AK622" s="127"/>
      <c r="AL622" s="127"/>
      <c r="AM622" s="21"/>
      <c r="AN622" s="133"/>
      <c r="AO622" s="134"/>
      <c r="AP622" s="135"/>
      <c r="AQ622" s="136"/>
      <c r="AR622" s="118"/>
      <c r="AS622" s="119"/>
      <c r="AT622" s="180">
        <f>AR622*0.1</f>
        <v>0</v>
      </c>
      <c r="AU622" s="181"/>
      <c r="AV622" s="118"/>
      <c r="AW622" s="119"/>
      <c r="AX622" s="118">
        <f>SUM(AR622:AW622)</f>
        <v>0</v>
      </c>
      <c r="AY622" s="119"/>
      <c r="AZ622" s="200"/>
    </row>
    <row r="623" spans="1:52" ht="17.100000000000001" customHeight="1" thickBot="1">
      <c r="A623" s="110"/>
      <c r="B623" s="27" t="s">
        <v>2379</v>
      </c>
      <c r="C623" s="27">
        <v>5049</v>
      </c>
      <c r="D623" s="14" t="s">
        <v>1592</v>
      </c>
      <c r="E623" s="112"/>
      <c r="F623" s="139" t="s">
        <v>2475</v>
      </c>
      <c r="G623" s="140"/>
      <c r="H623" s="141"/>
      <c r="I623" s="26">
        <v>21269</v>
      </c>
      <c r="J623" s="117"/>
      <c r="K623" s="120"/>
      <c r="L623" s="121"/>
      <c r="M623" s="120"/>
      <c r="N623" s="121"/>
      <c r="O623" s="120"/>
      <c r="P623" s="121"/>
      <c r="Q623" s="120"/>
      <c r="R623" s="121"/>
      <c r="S623" s="120"/>
      <c r="T623" s="121"/>
      <c r="U623" s="120"/>
      <c r="V623" s="121"/>
      <c r="W623" s="125"/>
      <c r="X623" s="143" t="s">
        <v>2476</v>
      </c>
      <c r="Y623" s="143"/>
      <c r="Z623" s="143"/>
      <c r="AA623" s="143"/>
      <c r="AB623" s="144"/>
      <c r="AC623" s="16" t="s">
        <v>21</v>
      </c>
      <c r="AD623" s="17" t="s">
        <v>2477</v>
      </c>
      <c r="AE623" s="145" t="s">
        <v>2478</v>
      </c>
      <c r="AF623" s="146"/>
      <c r="AG623" s="146"/>
      <c r="AH623" s="146"/>
      <c r="AI623" s="147"/>
      <c r="AJ623" s="148"/>
      <c r="AK623" s="143"/>
      <c r="AL623" s="143"/>
      <c r="AM623" s="22"/>
      <c r="AN623" s="149"/>
      <c r="AO623" s="144"/>
      <c r="AP623" s="148"/>
      <c r="AQ623" s="144"/>
      <c r="AR623" s="120"/>
      <c r="AS623" s="121"/>
      <c r="AT623" s="120"/>
      <c r="AU623" s="182"/>
      <c r="AV623" s="120"/>
      <c r="AW623" s="121"/>
      <c r="AX623" s="120"/>
      <c r="AY623" s="121"/>
      <c r="AZ623" s="201"/>
    </row>
    <row r="624" spans="1:52" ht="17.100000000000001" customHeight="1" thickTop="1">
      <c r="A624" s="109" t="s">
        <v>6049</v>
      </c>
      <c r="B624" s="28">
        <v>45104</v>
      </c>
      <c r="C624" s="25">
        <v>849</v>
      </c>
      <c r="D624" s="13" t="s">
        <v>2348</v>
      </c>
      <c r="E624" s="111"/>
      <c r="F624" s="113" t="s">
        <v>2479</v>
      </c>
      <c r="G624" s="273"/>
      <c r="H624" s="274"/>
      <c r="I624" s="24"/>
      <c r="J624" s="116">
        <v>3</v>
      </c>
      <c r="K624" s="118">
        <v>458000</v>
      </c>
      <c r="L624" s="119"/>
      <c r="M624" s="118">
        <v>45800</v>
      </c>
      <c r="N624" s="119"/>
      <c r="O624" s="118">
        <v>0</v>
      </c>
      <c r="P624" s="119"/>
      <c r="Q624" s="118">
        <v>7510</v>
      </c>
      <c r="R624" s="119"/>
      <c r="S624" s="118">
        <v>22000</v>
      </c>
      <c r="T624" s="119"/>
      <c r="U624" s="118">
        <f>SUM(K624:T625)</f>
        <v>533310</v>
      </c>
      <c r="V624" s="119"/>
      <c r="W624" s="124"/>
      <c r="X624" s="127" t="s">
        <v>2480</v>
      </c>
      <c r="Y624" s="223"/>
      <c r="Z624" s="223"/>
      <c r="AA624" s="223"/>
      <c r="AB624" s="224"/>
      <c r="AC624" s="15" t="s">
        <v>20</v>
      </c>
      <c r="AD624" s="129" t="s">
        <v>2054</v>
      </c>
      <c r="AE624" s="130"/>
      <c r="AF624" s="130"/>
      <c r="AG624" s="130"/>
      <c r="AH624" s="130"/>
      <c r="AI624" s="131"/>
      <c r="AJ624" s="132"/>
      <c r="AK624" s="127"/>
      <c r="AL624" s="127"/>
      <c r="AM624" s="21"/>
      <c r="AN624" s="133"/>
      <c r="AO624" s="134"/>
      <c r="AP624" s="135"/>
      <c r="AQ624" s="136"/>
      <c r="AR624" s="118"/>
      <c r="AS624" s="119"/>
      <c r="AT624" s="180">
        <f>AR624*0.1</f>
        <v>0</v>
      </c>
      <c r="AU624" s="181"/>
      <c r="AV624" s="118"/>
      <c r="AW624" s="119"/>
      <c r="AX624" s="118">
        <f>SUM(AR624:AW624)</f>
        <v>0</v>
      </c>
      <c r="AY624" s="119"/>
      <c r="AZ624" s="200"/>
    </row>
    <row r="625" spans="1:52" ht="17.100000000000001" customHeight="1" thickBot="1">
      <c r="A625" s="110"/>
      <c r="B625" s="27" t="s">
        <v>2055</v>
      </c>
      <c r="C625" s="27">
        <v>164</v>
      </c>
      <c r="D625" s="14" t="s">
        <v>1720</v>
      </c>
      <c r="E625" s="112"/>
      <c r="F625" s="139" t="s">
        <v>2481</v>
      </c>
      <c r="G625" s="140"/>
      <c r="H625" s="141"/>
      <c r="I625" s="26">
        <v>44399</v>
      </c>
      <c r="J625" s="117"/>
      <c r="K625" s="120"/>
      <c r="L625" s="121"/>
      <c r="M625" s="120"/>
      <c r="N625" s="121"/>
      <c r="O625" s="120"/>
      <c r="P625" s="121"/>
      <c r="Q625" s="120"/>
      <c r="R625" s="121"/>
      <c r="S625" s="120"/>
      <c r="T625" s="121"/>
      <c r="U625" s="120"/>
      <c r="V625" s="121"/>
      <c r="W625" s="125"/>
      <c r="X625" s="143" t="s">
        <v>2482</v>
      </c>
      <c r="Y625" s="143"/>
      <c r="Z625" s="143"/>
      <c r="AA625" s="143"/>
      <c r="AB625" s="144"/>
      <c r="AC625" s="16" t="s">
        <v>21</v>
      </c>
      <c r="AD625" s="17" t="s">
        <v>2464</v>
      </c>
      <c r="AE625" s="145" t="s">
        <v>1670</v>
      </c>
      <c r="AF625" s="146"/>
      <c r="AG625" s="146"/>
      <c r="AH625" s="146"/>
      <c r="AI625" s="147"/>
      <c r="AJ625" s="148"/>
      <c r="AK625" s="143"/>
      <c r="AL625" s="143"/>
      <c r="AM625" s="22"/>
      <c r="AN625" s="149"/>
      <c r="AO625" s="144"/>
      <c r="AP625" s="148"/>
      <c r="AQ625" s="144"/>
      <c r="AR625" s="120"/>
      <c r="AS625" s="121"/>
      <c r="AT625" s="120"/>
      <c r="AU625" s="182"/>
      <c r="AV625" s="120"/>
      <c r="AW625" s="121"/>
      <c r="AX625" s="120"/>
      <c r="AY625" s="121"/>
      <c r="AZ625" s="201"/>
    </row>
    <row r="626" spans="1:52" ht="17.100000000000001" customHeight="1" thickTop="1">
      <c r="A626" s="109" t="s">
        <v>6050</v>
      </c>
      <c r="B626" s="28">
        <v>45114</v>
      </c>
      <c r="C626" s="25">
        <v>1995</v>
      </c>
      <c r="D626" s="13" t="s">
        <v>2187</v>
      </c>
      <c r="E626" s="111" t="s">
        <v>166</v>
      </c>
      <c r="F626" s="113" t="s">
        <v>2483</v>
      </c>
      <c r="G626" s="273"/>
      <c r="H626" s="274"/>
      <c r="I626" s="24" t="s">
        <v>1971</v>
      </c>
      <c r="J626" s="116">
        <v>4.5</v>
      </c>
      <c r="K626" s="118">
        <v>4880000</v>
      </c>
      <c r="L626" s="119"/>
      <c r="M626" s="118">
        <v>488000</v>
      </c>
      <c r="N626" s="119"/>
      <c r="O626" s="118">
        <v>33300</v>
      </c>
      <c r="P626" s="119"/>
      <c r="Q626" s="118">
        <v>25390</v>
      </c>
      <c r="R626" s="119"/>
      <c r="S626" s="118">
        <v>13200</v>
      </c>
      <c r="T626" s="119"/>
      <c r="U626" s="118">
        <f>SUM(K626:T627)</f>
        <v>5439890</v>
      </c>
      <c r="V626" s="119"/>
      <c r="W626" s="124"/>
      <c r="X626" s="127" t="s">
        <v>2484</v>
      </c>
      <c r="Y626" s="223"/>
      <c r="Z626" s="223"/>
      <c r="AA626" s="223"/>
      <c r="AB626" s="224"/>
      <c r="AC626" s="15" t="s">
        <v>20</v>
      </c>
      <c r="AD626" s="129" t="s">
        <v>2485</v>
      </c>
      <c r="AE626" s="130"/>
      <c r="AF626" s="130"/>
      <c r="AG626" s="130"/>
      <c r="AH626" s="130"/>
      <c r="AI626" s="131"/>
      <c r="AJ626" s="132"/>
      <c r="AK626" s="127"/>
      <c r="AL626" s="127"/>
      <c r="AM626" s="21" t="s">
        <v>2486</v>
      </c>
      <c r="AN626" s="133"/>
      <c r="AO626" s="134"/>
      <c r="AP626" s="135"/>
      <c r="AQ626" s="136"/>
      <c r="AR626" s="118"/>
      <c r="AS626" s="119"/>
      <c r="AT626" s="180">
        <f>AR626*0.1</f>
        <v>0</v>
      </c>
      <c r="AU626" s="181"/>
      <c r="AV626" s="118"/>
      <c r="AW626" s="119"/>
      <c r="AX626" s="118">
        <f>SUM(AR626:AW626)</f>
        <v>0</v>
      </c>
      <c r="AY626" s="119"/>
      <c r="AZ626" s="200"/>
    </row>
    <row r="627" spans="1:52" ht="17.100000000000001" customHeight="1" thickBot="1">
      <c r="A627" s="110"/>
      <c r="B627" s="27" t="s">
        <v>1543</v>
      </c>
      <c r="C627" s="27">
        <v>58617</v>
      </c>
      <c r="D627" s="14" t="s">
        <v>1883</v>
      </c>
      <c r="E627" s="112"/>
      <c r="F627" s="139" t="s">
        <v>2487</v>
      </c>
      <c r="G627" s="140"/>
      <c r="H627" s="141"/>
      <c r="I627" s="26">
        <v>33741</v>
      </c>
      <c r="J627" s="117"/>
      <c r="K627" s="120"/>
      <c r="L627" s="121"/>
      <c r="M627" s="120"/>
      <c r="N627" s="121"/>
      <c r="O627" s="120"/>
      <c r="P627" s="121"/>
      <c r="Q627" s="120"/>
      <c r="R627" s="121"/>
      <c r="S627" s="120"/>
      <c r="T627" s="121"/>
      <c r="U627" s="120"/>
      <c r="V627" s="121"/>
      <c r="W627" s="125"/>
      <c r="X627" s="143" t="s">
        <v>2488</v>
      </c>
      <c r="Y627" s="143"/>
      <c r="Z627" s="143"/>
      <c r="AA627" s="143"/>
      <c r="AB627" s="144"/>
      <c r="AC627" s="16" t="s">
        <v>21</v>
      </c>
      <c r="AD627" s="17" t="s">
        <v>2489</v>
      </c>
      <c r="AE627" s="145" t="s">
        <v>1633</v>
      </c>
      <c r="AF627" s="146"/>
      <c r="AG627" s="146"/>
      <c r="AH627" s="146"/>
      <c r="AI627" s="147"/>
      <c r="AJ627" s="148"/>
      <c r="AK627" s="143"/>
      <c r="AL627" s="143"/>
      <c r="AM627" s="22"/>
      <c r="AN627" s="149"/>
      <c r="AO627" s="144"/>
      <c r="AP627" s="148"/>
      <c r="AQ627" s="144"/>
      <c r="AR627" s="120"/>
      <c r="AS627" s="121"/>
      <c r="AT627" s="120"/>
      <c r="AU627" s="182"/>
      <c r="AV627" s="120"/>
      <c r="AW627" s="121"/>
      <c r="AX627" s="120"/>
      <c r="AY627" s="121"/>
      <c r="AZ627" s="201"/>
    </row>
    <row r="628" spans="1:52" ht="17.100000000000001" customHeight="1" thickTop="1">
      <c r="A628" s="109" t="s">
        <v>6051</v>
      </c>
      <c r="B628" s="28">
        <v>45114</v>
      </c>
      <c r="C628" s="25">
        <v>1651</v>
      </c>
      <c r="D628" s="13" t="s">
        <v>1977</v>
      </c>
      <c r="E628" s="111"/>
      <c r="F628" s="113" t="s">
        <v>2490</v>
      </c>
      <c r="G628" s="273"/>
      <c r="H628" s="274"/>
      <c r="I628" s="24" t="s">
        <v>2355</v>
      </c>
      <c r="J628" s="116">
        <v>4</v>
      </c>
      <c r="K628" s="118">
        <v>2596000</v>
      </c>
      <c r="L628" s="119"/>
      <c r="M628" s="118">
        <v>259600</v>
      </c>
      <c r="N628" s="119"/>
      <c r="O628" s="118">
        <v>26300</v>
      </c>
      <c r="P628" s="119"/>
      <c r="Q628" s="118">
        <v>21700</v>
      </c>
      <c r="R628" s="119"/>
      <c r="S628" s="118">
        <v>14300</v>
      </c>
      <c r="T628" s="119"/>
      <c r="U628" s="118">
        <f>SUM(K628:T629)</f>
        <v>2917900</v>
      </c>
      <c r="V628" s="119"/>
      <c r="W628" s="124"/>
      <c r="X628" s="127" t="s">
        <v>2491</v>
      </c>
      <c r="Y628" s="223"/>
      <c r="Z628" s="223"/>
      <c r="AA628" s="223"/>
      <c r="AB628" s="224"/>
      <c r="AC628" s="15" t="s">
        <v>20</v>
      </c>
      <c r="AD628" s="129" t="s">
        <v>1670</v>
      </c>
      <c r="AE628" s="130"/>
      <c r="AF628" s="130"/>
      <c r="AG628" s="130"/>
      <c r="AH628" s="130"/>
      <c r="AI628" s="131"/>
      <c r="AJ628" s="132"/>
      <c r="AK628" s="127"/>
      <c r="AL628" s="127"/>
      <c r="AM628" s="21"/>
      <c r="AN628" s="133"/>
      <c r="AO628" s="134"/>
      <c r="AP628" s="135"/>
      <c r="AQ628" s="136"/>
      <c r="AR628" s="118"/>
      <c r="AS628" s="119"/>
      <c r="AT628" s="180">
        <f>AR628*0.1</f>
        <v>0</v>
      </c>
      <c r="AU628" s="181"/>
      <c r="AV628" s="118"/>
      <c r="AW628" s="119"/>
      <c r="AX628" s="118">
        <f>SUM(AR628:AW628)</f>
        <v>0</v>
      </c>
      <c r="AY628" s="119"/>
      <c r="AZ628" s="200"/>
    </row>
    <row r="629" spans="1:52" ht="17.100000000000001" customHeight="1" thickBot="1">
      <c r="A629" s="110"/>
      <c r="B629" s="27" t="s">
        <v>2492</v>
      </c>
      <c r="C629" s="27">
        <v>40007</v>
      </c>
      <c r="D629" s="14" t="s">
        <v>1883</v>
      </c>
      <c r="E629" s="112"/>
      <c r="F629" s="139" t="s">
        <v>2493</v>
      </c>
      <c r="G629" s="140"/>
      <c r="H629" s="141"/>
      <c r="I629" s="26">
        <v>32135</v>
      </c>
      <c r="J629" s="117"/>
      <c r="K629" s="120"/>
      <c r="L629" s="121"/>
      <c r="M629" s="120"/>
      <c r="N629" s="121"/>
      <c r="O629" s="120"/>
      <c r="P629" s="121"/>
      <c r="Q629" s="120"/>
      <c r="R629" s="121"/>
      <c r="S629" s="120"/>
      <c r="T629" s="121"/>
      <c r="U629" s="120"/>
      <c r="V629" s="121"/>
      <c r="W629" s="125"/>
      <c r="X629" s="143" t="s">
        <v>2321</v>
      </c>
      <c r="Y629" s="143"/>
      <c r="Z629" s="143"/>
      <c r="AA629" s="143"/>
      <c r="AB629" s="144"/>
      <c r="AC629" s="16" t="s">
        <v>21</v>
      </c>
      <c r="AD629" s="17" t="s">
        <v>2494</v>
      </c>
      <c r="AE629" s="145" t="s">
        <v>1670</v>
      </c>
      <c r="AF629" s="146"/>
      <c r="AG629" s="146"/>
      <c r="AH629" s="146"/>
      <c r="AI629" s="147"/>
      <c r="AJ629" s="148"/>
      <c r="AK629" s="143"/>
      <c r="AL629" s="143"/>
      <c r="AM629" s="22" t="s">
        <v>907</v>
      </c>
      <c r="AN629" s="149"/>
      <c r="AO629" s="144"/>
      <c r="AP629" s="148"/>
      <c r="AQ629" s="144"/>
      <c r="AR629" s="120"/>
      <c r="AS629" s="121"/>
      <c r="AT629" s="120"/>
      <c r="AU629" s="182"/>
      <c r="AV629" s="120"/>
      <c r="AW629" s="121"/>
      <c r="AX629" s="120"/>
      <c r="AY629" s="121"/>
      <c r="AZ629" s="201"/>
    </row>
    <row r="630" spans="1:52" ht="17.100000000000001" customHeight="1" thickTop="1">
      <c r="A630" s="109" t="s">
        <v>6052</v>
      </c>
      <c r="B630" s="28">
        <v>45118</v>
      </c>
      <c r="C630" s="25">
        <v>954</v>
      </c>
      <c r="D630" s="13" t="s">
        <v>1712</v>
      </c>
      <c r="E630" s="111"/>
      <c r="F630" s="113" t="s">
        <v>2495</v>
      </c>
      <c r="G630" s="273"/>
      <c r="H630" s="274"/>
      <c r="I630" s="24" t="s">
        <v>2496</v>
      </c>
      <c r="J630" s="116">
        <v>4.5</v>
      </c>
      <c r="K630" s="118">
        <v>3100000</v>
      </c>
      <c r="L630" s="119"/>
      <c r="M630" s="118">
        <v>310000</v>
      </c>
      <c r="N630" s="119"/>
      <c r="O630" s="118">
        <v>26300</v>
      </c>
      <c r="P630" s="119"/>
      <c r="Q630" s="118">
        <v>21590</v>
      </c>
      <c r="R630" s="119"/>
      <c r="S630" s="118">
        <v>13200</v>
      </c>
      <c r="T630" s="119"/>
      <c r="U630" s="118">
        <f>SUM(K630:T631)</f>
        <v>3471090</v>
      </c>
      <c r="V630" s="119"/>
      <c r="W630" s="124"/>
      <c r="X630" s="127" t="s">
        <v>2497</v>
      </c>
      <c r="Y630" s="223"/>
      <c r="Z630" s="223"/>
      <c r="AA630" s="223"/>
      <c r="AB630" s="224"/>
      <c r="AC630" s="15" t="s">
        <v>20</v>
      </c>
      <c r="AD630" s="129"/>
      <c r="AE630" s="130"/>
      <c r="AF630" s="130"/>
      <c r="AG630" s="130"/>
      <c r="AH630" s="130"/>
      <c r="AI630" s="131"/>
      <c r="AJ630" s="132"/>
      <c r="AK630" s="127"/>
      <c r="AL630" s="127"/>
      <c r="AM630" s="21"/>
      <c r="AN630" s="133"/>
      <c r="AO630" s="134"/>
      <c r="AP630" s="135"/>
      <c r="AQ630" s="136"/>
      <c r="AR630" s="118"/>
      <c r="AS630" s="119"/>
      <c r="AT630" s="180">
        <f>AR630*0.1</f>
        <v>0</v>
      </c>
      <c r="AU630" s="181"/>
      <c r="AV630" s="118"/>
      <c r="AW630" s="119"/>
      <c r="AX630" s="118">
        <f>SUM(AR630:AW630)</f>
        <v>0</v>
      </c>
      <c r="AY630" s="119"/>
      <c r="AZ630" s="200"/>
    </row>
    <row r="631" spans="1:52" ht="17.100000000000001" customHeight="1" thickBot="1">
      <c r="A631" s="110"/>
      <c r="B631" s="27" t="s">
        <v>1591</v>
      </c>
      <c r="C631" s="27">
        <v>84107</v>
      </c>
      <c r="D631" s="14" t="s">
        <v>1883</v>
      </c>
      <c r="E631" s="112"/>
      <c r="F631" s="139" t="s">
        <v>2498</v>
      </c>
      <c r="G631" s="140"/>
      <c r="H631" s="141"/>
      <c r="I631" s="26">
        <v>38613</v>
      </c>
      <c r="J631" s="117"/>
      <c r="K631" s="120"/>
      <c r="L631" s="121"/>
      <c r="M631" s="120"/>
      <c r="N631" s="121"/>
      <c r="O631" s="120"/>
      <c r="P631" s="121"/>
      <c r="Q631" s="120"/>
      <c r="R631" s="121"/>
      <c r="S631" s="120"/>
      <c r="T631" s="121"/>
      <c r="U631" s="120"/>
      <c r="V631" s="121"/>
      <c r="W631" s="125"/>
      <c r="X631" s="143" t="s">
        <v>2499</v>
      </c>
      <c r="Y631" s="143"/>
      <c r="Z631" s="143"/>
      <c r="AA631" s="143"/>
      <c r="AB631" s="144"/>
      <c r="AC631" s="16" t="s">
        <v>21</v>
      </c>
      <c r="AD631" s="17" t="s">
        <v>2448</v>
      </c>
      <c r="AE631" s="145" t="s">
        <v>1581</v>
      </c>
      <c r="AF631" s="146"/>
      <c r="AG631" s="146"/>
      <c r="AH631" s="146"/>
      <c r="AI631" s="147"/>
      <c r="AJ631" s="148"/>
      <c r="AK631" s="143"/>
      <c r="AL631" s="143"/>
      <c r="AM631" s="22" t="s">
        <v>907</v>
      </c>
      <c r="AN631" s="149"/>
      <c r="AO631" s="144"/>
      <c r="AP631" s="148"/>
      <c r="AQ631" s="144"/>
      <c r="AR631" s="120"/>
      <c r="AS631" s="121"/>
      <c r="AT631" s="120"/>
      <c r="AU631" s="182"/>
      <c r="AV631" s="120"/>
      <c r="AW631" s="121"/>
      <c r="AX631" s="120"/>
      <c r="AY631" s="121"/>
      <c r="AZ631" s="201"/>
    </row>
    <row r="632" spans="1:52" ht="17.100000000000001" customHeight="1" thickTop="1">
      <c r="A632" s="109" t="s">
        <v>6053</v>
      </c>
      <c r="B632" s="28">
        <v>45120</v>
      </c>
      <c r="C632" s="25">
        <v>1192</v>
      </c>
      <c r="D632" s="13" t="s">
        <v>2500</v>
      </c>
      <c r="E632" s="111"/>
      <c r="F632" s="113" t="s">
        <v>2501</v>
      </c>
      <c r="G632" s="273"/>
      <c r="H632" s="274"/>
      <c r="I632" s="24"/>
      <c r="J632" s="116">
        <v>4</v>
      </c>
      <c r="K632" s="118">
        <v>645000</v>
      </c>
      <c r="L632" s="119"/>
      <c r="M632" s="118">
        <v>64500</v>
      </c>
      <c r="N632" s="119"/>
      <c r="O632" s="118">
        <v>0</v>
      </c>
      <c r="P632" s="119"/>
      <c r="Q632" s="118">
        <v>17420</v>
      </c>
      <c r="R632" s="119"/>
      <c r="S632" s="118">
        <v>13200</v>
      </c>
      <c r="T632" s="119"/>
      <c r="U632" s="118">
        <f>SUM(K632:T633)</f>
        <v>740120</v>
      </c>
      <c r="V632" s="119"/>
      <c r="W632" s="124"/>
      <c r="X632" s="127" t="s">
        <v>2502</v>
      </c>
      <c r="Y632" s="223"/>
      <c r="Z632" s="223"/>
      <c r="AA632" s="223"/>
      <c r="AB632" s="224"/>
      <c r="AC632" s="15" t="s">
        <v>20</v>
      </c>
      <c r="AD632" s="129" t="s">
        <v>2503</v>
      </c>
      <c r="AE632" s="130"/>
      <c r="AF632" s="130"/>
      <c r="AG632" s="130"/>
      <c r="AH632" s="130"/>
      <c r="AI632" s="131"/>
      <c r="AJ632" s="132"/>
      <c r="AK632" s="127"/>
      <c r="AL632" s="127"/>
      <c r="AM632" s="21"/>
      <c r="AN632" s="133"/>
      <c r="AO632" s="134"/>
      <c r="AP632" s="135"/>
      <c r="AQ632" s="136"/>
      <c r="AR632" s="118"/>
      <c r="AS632" s="119"/>
      <c r="AT632" s="180">
        <f>AR632*0.1</f>
        <v>0</v>
      </c>
      <c r="AU632" s="181"/>
      <c r="AV632" s="118"/>
      <c r="AW632" s="119"/>
      <c r="AX632" s="118">
        <f>SUM(AR632:AW632)</f>
        <v>0</v>
      </c>
      <c r="AY632" s="119"/>
      <c r="AZ632" s="200"/>
    </row>
    <row r="633" spans="1:52" ht="17.100000000000001" customHeight="1" thickBot="1">
      <c r="A633" s="110"/>
      <c r="B633" s="27" t="s">
        <v>1747</v>
      </c>
      <c r="C633" s="27">
        <v>808</v>
      </c>
      <c r="D633" s="14" t="s">
        <v>2183</v>
      </c>
      <c r="E633" s="112"/>
      <c r="F633" s="139" t="s">
        <v>2504</v>
      </c>
      <c r="G633" s="140"/>
      <c r="H633" s="141"/>
      <c r="I633" s="26">
        <v>11933</v>
      </c>
      <c r="J633" s="117"/>
      <c r="K633" s="120"/>
      <c r="L633" s="121"/>
      <c r="M633" s="120"/>
      <c r="N633" s="121"/>
      <c r="O633" s="120"/>
      <c r="P633" s="121"/>
      <c r="Q633" s="120"/>
      <c r="R633" s="121"/>
      <c r="S633" s="120"/>
      <c r="T633" s="121"/>
      <c r="U633" s="120"/>
      <c r="V633" s="121"/>
      <c r="W633" s="125"/>
      <c r="X633" s="143" t="s">
        <v>1861</v>
      </c>
      <c r="Y633" s="143"/>
      <c r="Z633" s="143"/>
      <c r="AA633" s="143"/>
      <c r="AB633" s="144"/>
      <c r="AC633" s="16" t="s">
        <v>21</v>
      </c>
      <c r="AD633" s="17" t="s">
        <v>2505</v>
      </c>
      <c r="AE633" s="145" t="s">
        <v>2506</v>
      </c>
      <c r="AF633" s="146"/>
      <c r="AG633" s="146"/>
      <c r="AH633" s="146"/>
      <c r="AI633" s="147"/>
      <c r="AJ633" s="148"/>
      <c r="AK633" s="143"/>
      <c r="AL633" s="143"/>
      <c r="AM633" s="22"/>
      <c r="AN633" s="149"/>
      <c r="AO633" s="144"/>
      <c r="AP633" s="148"/>
      <c r="AQ633" s="144"/>
      <c r="AR633" s="120"/>
      <c r="AS633" s="121"/>
      <c r="AT633" s="120"/>
      <c r="AU633" s="182"/>
      <c r="AV633" s="120"/>
      <c r="AW633" s="121"/>
      <c r="AX633" s="120"/>
      <c r="AY633" s="121"/>
      <c r="AZ633" s="201"/>
    </row>
    <row r="634" spans="1:52" ht="17.100000000000001" customHeight="1" thickTop="1">
      <c r="A634" s="109" t="s">
        <v>6054</v>
      </c>
      <c r="B634" s="28">
        <v>45122</v>
      </c>
      <c r="C634" s="25">
        <v>1162</v>
      </c>
      <c r="D634" s="13" t="s">
        <v>2022</v>
      </c>
      <c r="E634" s="111"/>
      <c r="F634" s="113" t="s">
        <v>2507</v>
      </c>
      <c r="G634" s="273"/>
      <c r="H634" s="274"/>
      <c r="I634" s="24" t="s">
        <v>2508</v>
      </c>
      <c r="J634" s="116">
        <v>4</v>
      </c>
      <c r="K634" s="118">
        <v>1695000</v>
      </c>
      <c r="L634" s="119"/>
      <c r="M634" s="118">
        <v>169500</v>
      </c>
      <c r="N634" s="119"/>
      <c r="O634" s="118">
        <v>23000</v>
      </c>
      <c r="P634" s="119"/>
      <c r="Q634" s="118">
        <v>15060</v>
      </c>
      <c r="R634" s="119"/>
      <c r="S634" s="118">
        <v>13200</v>
      </c>
      <c r="T634" s="119"/>
      <c r="U634" s="118">
        <f>SUM(K634:T635)</f>
        <v>1915760</v>
      </c>
      <c r="V634" s="119"/>
      <c r="W634" s="124"/>
      <c r="X634" s="127" t="s">
        <v>2509</v>
      </c>
      <c r="Y634" s="223"/>
      <c r="Z634" s="223"/>
      <c r="AA634" s="223"/>
      <c r="AB634" s="224"/>
      <c r="AC634" s="15" t="s">
        <v>20</v>
      </c>
      <c r="AD634" s="129" t="s">
        <v>2510</v>
      </c>
      <c r="AE634" s="130"/>
      <c r="AF634" s="130"/>
      <c r="AG634" s="130"/>
      <c r="AH634" s="130"/>
      <c r="AI634" s="131"/>
      <c r="AJ634" s="132"/>
      <c r="AK634" s="127"/>
      <c r="AL634" s="127"/>
      <c r="AM634" s="21"/>
      <c r="AN634" s="133"/>
      <c r="AO634" s="134"/>
      <c r="AP634" s="135"/>
      <c r="AQ634" s="136"/>
      <c r="AR634" s="118"/>
      <c r="AS634" s="119"/>
      <c r="AT634" s="180">
        <f>AR634*0.1</f>
        <v>0</v>
      </c>
      <c r="AU634" s="181"/>
      <c r="AV634" s="118"/>
      <c r="AW634" s="119"/>
      <c r="AX634" s="118">
        <f>SUM(AR634:AW634)</f>
        <v>0</v>
      </c>
      <c r="AY634" s="119"/>
      <c r="AZ634" s="200"/>
    </row>
    <row r="635" spans="1:52" ht="17.100000000000001" customHeight="1" thickBot="1">
      <c r="A635" s="110"/>
      <c r="B635" s="27" t="s">
        <v>2511</v>
      </c>
      <c r="C635" s="27">
        <v>82310</v>
      </c>
      <c r="D635" s="14" t="s">
        <v>275</v>
      </c>
      <c r="E635" s="112"/>
      <c r="F635" s="139" t="s">
        <v>2512</v>
      </c>
      <c r="G635" s="140"/>
      <c r="H635" s="141"/>
      <c r="I635" s="26">
        <v>17422</v>
      </c>
      <c r="J635" s="117"/>
      <c r="K635" s="120"/>
      <c r="L635" s="121"/>
      <c r="M635" s="120"/>
      <c r="N635" s="121"/>
      <c r="O635" s="120"/>
      <c r="P635" s="121"/>
      <c r="Q635" s="120"/>
      <c r="R635" s="121"/>
      <c r="S635" s="120"/>
      <c r="T635" s="121"/>
      <c r="U635" s="120"/>
      <c r="V635" s="121"/>
      <c r="W635" s="125"/>
      <c r="X635" s="143" t="s">
        <v>2513</v>
      </c>
      <c r="Y635" s="143"/>
      <c r="Z635" s="143"/>
      <c r="AA635" s="143"/>
      <c r="AB635" s="144"/>
      <c r="AC635" s="16" t="s">
        <v>21</v>
      </c>
      <c r="AD635" s="17" t="s">
        <v>2514</v>
      </c>
      <c r="AE635" s="145" t="s">
        <v>1614</v>
      </c>
      <c r="AF635" s="146"/>
      <c r="AG635" s="146"/>
      <c r="AH635" s="146"/>
      <c r="AI635" s="147"/>
      <c r="AJ635" s="148"/>
      <c r="AK635" s="143"/>
      <c r="AL635" s="143"/>
      <c r="AM635" s="22"/>
      <c r="AN635" s="149"/>
      <c r="AO635" s="144"/>
      <c r="AP635" s="148"/>
      <c r="AQ635" s="144"/>
      <c r="AR635" s="120"/>
      <c r="AS635" s="121"/>
      <c r="AT635" s="120"/>
      <c r="AU635" s="182"/>
      <c r="AV635" s="120"/>
      <c r="AW635" s="121"/>
      <c r="AX635" s="120"/>
      <c r="AY635" s="121"/>
      <c r="AZ635" s="201"/>
    </row>
    <row r="636" spans="1:52" ht="17.100000000000001" customHeight="1" thickTop="1">
      <c r="A636" s="109" t="s">
        <v>6055</v>
      </c>
      <c r="B636" s="28">
        <v>45127</v>
      </c>
      <c r="C636" s="25">
        <v>1427</v>
      </c>
      <c r="D636" s="13" t="s">
        <v>2515</v>
      </c>
      <c r="E636" s="111"/>
      <c r="F636" s="113" t="s">
        <v>2516</v>
      </c>
      <c r="G636" s="273"/>
      <c r="H636" s="274"/>
      <c r="I636" s="24" t="s">
        <v>1847</v>
      </c>
      <c r="J636" s="116">
        <v>3.5</v>
      </c>
      <c r="K636" s="118">
        <v>2070000</v>
      </c>
      <c r="L636" s="119"/>
      <c r="M636" s="118">
        <v>207000</v>
      </c>
      <c r="N636" s="119"/>
      <c r="O636" s="118">
        <v>67400</v>
      </c>
      <c r="P636" s="119"/>
      <c r="Q636" s="118">
        <v>19720</v>
      </c>
      <c r="R636" s="119"/>
      <c r="S636" s="118">
        <v>13200</v>
      </c>
      <c r="T636" s="119"/>
      <c r="U636" s="118">
        <f>SUM(K636:T637)</f>
        <v>2377320</v>
      </c>
      <c r="V636" s="119"/>
      <c r="W636" s="124"/>
      <c r="X636" s="127" t="s">
        <v>2517</v>
      </c>
      <c r="Y636" s="223"/>
      <c r="Z636" s="223"/>
      <c r="AA636" s="223"/>
      <c r="AB636" s="224"/>
      <c r="AC636" s="15" t="s">
        <v>20</v>
      </c>
      <c r="AD636" s="129"/>
      <c r="AE636" s="130"/>
      <c r="AF636" s="130"/>
      <c r="AG636" s="130"/>
      <c r="AH636" s="130"/>
      <c r="AI636" s="131"/>
      <c r="AJ636" s="132"/>
      <c r="AK636" s="127"/>
      <c r="AL636" s="127"/>
      <c r="AM636" s="21"/>
      <c r="AN636" s="133"/>
      <c r="AO636" s="134"/>
      <c r="AP636" s="135"/>
      <c r="AQ636" s="136"/>
      <c r="AR636" s="118"/>
      <c r="AS636" s="119"/>
      <c r="AT636" s="180">
        <f>AR636*0.1</f>
        <v>0</v>
      </c>
      <c r="AU636" s="181"/>
      <c r="AV636" s="118"/>
      <c r="AW636" s="119"/>
      <c r="AX636" s="118">
        <f>SUM(AR636:AW636)</f>
        <v>0</v>
      </c>
      <c r="AY636" s="119"/>
      <c r="AZ636" s="200"/>
    </row>
    <row r="637" spans="1:52" ht="17.100000000000001" customHeight="1" thickBot="1">
      <c r="A637" s="110"/>
      <c r="B637" s="27" t="s">
        <v>1600</v>
      </c>
      <c r="C637" s="27">
        <v>76029</v>
      </c>
      <c r="D637" s="14" t="s">
        <v>1700</v>
      </c>
      <c r="E637" s="112"/>
      <c r="F637" s="139" t="s">
        <v>2518</v>
      </c>
      <c r="G637" s="140"/>
      <c r="H637" s="141"/>
      <c r="I637" s="26">
        <v>58961</v>
      </c>
      <c r="J637" s="117"/>
      <c r="K637" s="120"/>
      <c r="L637" s="121"/>
      <c r="M637" s="120"/>
      <c r="N637" s="121"/>
      <c r="O637" s="120"/>
      <c r="P637" s="121"/>
      <c r="Q637" s="120"/>
      <c r="R637" s="121"/>
      <c r="S637" s="120"/>
      <c r="T637" s="121"/>
      <c r="U637" s="120"/>
      <c r="V637" s="121"/>
      <c r="W637" s="125"/>
      <c r="X637" s="143" t="s">
        <v>2519</v>
      </c>
      <c r="Y637" s="143"/>
      <c r="Z637" s="143"/>
      <c r="AA637" s="143"/>
      <c r="AB637" s="144"/>
      <c r="AC637" s="16" t="s">
        <v>21</v>
      </c>
      <c r="AD637" s="17" t="s">
        <v>2514</v>
      </c>
      <c r="AE637" s="145" t="s">
        <v>2520</v>
      </c>
      <c r="AF637" s="146"/>
      <c r="AG637" s="146"/>
      <c r="AH637" s="146"/>
      <c r="AI637" s="147"/>
      <c r="AJ637" s="148"/>
      <c r="AK637" s="143"/>
      <c r="AL637" s="143"/>
      <c r="AM637" s="22" t="s">
        <v>907</v>
      </c>
      <c r="AN637" s="149"/>
      <c r="AO637" s="144"/>
      <c r="AP637" s="148"/>
      <c r="AQ637" s="144"/>
      <c r="AR637" s="120"/>
      <c r="AS637" s="121"/>
      <c r="AT637" s="120"/>
      <c r="AU637" s="182"/>
      <c r="AV637" s="120"/>
      <c r="AW637" s="121"/>
      <c r="AX637" s="120"/>
      <c r="AY637" s="121"/>
      <c r="AZ637" s="201"/>
    </row>
    <row r="638" spans="1:52" ht="17.100000000000001" customHeight="1" thickTop="1">
      <c r="A638" s="109" t="s">
        <v>6056</v>
      </c>
      <c r="B638" s="28">
        <v>45136</v>
      </c>
      <c r="C638" s="25">
        <v>1407</v>
      </c>
      <c r="D638" s="13" t="s">
        <v>1027</v>
      </c>
      <c r="E638" s="111"/>
      <c r="F638" s="113" t="s">
        <v>2521</v>
      </c>
      <c r="G638" s="273"/>
      <c r="H638" s="274"/>
      <c r="I638" s="24"/>
      <c r="J638" s="116">
        <v>4.5</v>
      </c>
      <c r="K638" s="118">
        <v>5075000</v>
      </c>
      <c r="L638" s="119"/>
      <c r="M638" s="118">
        <v>507500</v>
      </c>
      <c r="N638" s="119"/>
      <c r="O638" s="118">
        <v>0</v>
      </c>
      <c r="P638" s="119"/>
      <c r="Q638" s="118">
        <v>24830</v>
      </c>
      <c r="R638" s="119"/>
      <c r="S638" s="118">
        <v>13200</v>
      </c>
      <c r="T638" s="119"/>
      <c r="U638" s="118">
        <f>SUM(K638:T639)</f>
        <v>5620530</v>
      </c>
      <c r="V638" s="119"/>
      <c r="W638" s="124"/>
      <c r="X638" s="127" t="s">
        <v>2522</v>
      </c>
      <c r="Y638" s="223"/>
      <c r="Z638" s="223"/>
      <c r="AA638" s="223"/>
      <c r="AB638" s="224"/>
      <c r="AC638" s="15" t="s">
        <v>20</v>
      </c>
      <c r="AD638" s="129" t="s">
        <v>2523</v>
      </c>
      <c r="AE638" s="130"/>
      <c r="AF638" s="130"/>
      <c r="AG638" s="130"/>
      <c r="AH638" s="130"/>
      <c r="AI638" s="131"/>
      <c r="AJ638" s="132"/>
      <c r="AK638" s="127"/>
      <c r="AL638" s="127"/>
      <c r="AM638" s="21"/>
      <c r="AN638" s="133"/>
      <c r="AO638" s="134"/>
      <c r="AP638" s="135"/>
      <c r="AQ638" s="136"/>
      <c r="AR638" s="118"/>
      <c r="AS638" s="119"/>
      <c r="AT638" s="180">
        <f>AR638*0.1</f>
        <v>0</v>
      </c>
      <c r="AU638" s="181"/>
      <c r="AV638" s="118"/>
      <c r="AW638" s="119"/>
      <c r="AX638" s="118">
        <f>SUM(AR638:AW638)</f>
        <v>0</v>
      </c>
      <c r="AY638" s="119"/>
      <c r="AZ638" s="200"/>
    </row>
    <row r="639" spans="1:52" ht="17.100000000000001" customHeight="1" thickBot="1">
      <c r="A639" s="110"/>
      <c r="B639" s="27" t="s">
        <v>1555</v>
      </c>
      <c r="C639" s="27">
        <v>13033</v>
      </c>
      <c r="D639" s="14" t="s">
        <v>275</v>
      </c>
      <c r="E639" s="112"/>
      <c r="F639" s="139" t="s">
        <v>2524</v>
      </c>
      <c r="G639" s="140"/>
      <c r="H639" s="141"/>
      <c r="I639" s="26">
        <v>43100</v>
      </c>
      <c r="J639" s="117"/>
      <c r="K639" s="120"/>
      <c r="L639" s="121"/>
      <c r="M639" s="120"/>
      <c r="N639" s="121"/>
      <c r="O639" s="120"/>
      <c r="P639" s="121"/>
      <c r="Q639" s="120"/>
      <c r="R639" s="121"/>
      <c r="S639" s="120"/>
      <c r="T639" s="121"/>
      <c r="U639" s="120"/>
      <c r="V639" s="121"/>
      <c r="W639" s="125"/>
      <c r="X639" s="143" t="s">
        <v>2525</v>
      </c>
      <c r="Y639" s="143"/>
      <c r="Z639" s="143"/>
      <c r="AA639" s="143"/>
      <c r="AB639" s="144"/>
      <c r="AC639" s="16" t="s">
        <v>21</v>
      </c>
      <c r="AD639" s="17" t="s">
        <v>2526</v>
      </c>
      <c r="AE639" s="145" t="s">
        <v>2527</v>
      </c>
      <c r="AF639" s="146"/>
      <c r="AG639" s="146"/>
      <c r="AH639" s="146"/>
      <c r="AI639" s="147"/>
      <c r="AJ639" s="148"/>
      <c r="AK639" s="143"/>
      <c r="AL639" s="143"/>
      <c r="AM639" s="22"/>
      <c r="AN639" s="149"/>
      <c r="AO639" s="144"/>
      <c r="AP639" s="148"/>
      <c r="AQ639" s="144"/>
      <c r="AR639" s="120"/>
      <c r="AS639" s="121"/>
      <c r="AT639" s="120"/>
      <c r="AU639" s="182"/>
      <c r="AV639" s="120"/>
      <c r="AW639" s="121"/>
      <c r="AX639" s="120"/>
      <c r="AY639" s="121"/>
      <c r="AZ639" s="201"/>
    </row>
    <row r="640" spans="1:52" ht="17.100000000000001" customHeight="1" thickTop="1">
      <c r="A640" s="109" t="s">
        <v>6057</v>
      </c>
      <c r="B640" s="28">
        <v>45136</v>
      </c>
      <c r="C640" s="25">
        <v>1164</v>
      </c>
      <c r="D640" s="13" t="s">
        <v>2528</v>
      </c>
      <c r="E640" s="111"/>
      <c r="F640" s="113" t="s">
        <v>2529</v>
      </c>
      <c r="G640" s="273"/>
      <c r="H640" s="274"/>
      <c r="I640" s="24" t="s">
        <v>2530</v>
      </c>
      <c r="J640" s="116">
        <v>4.5</v>
      </c>
      <c r="K640" s="118">
        <v>2735000</v>
      </c>
      <c r="L640" s="119"/>
      <c r="M640" s="118">
        <v>273500</v>
      </c>
      <c r="N640" s="119"/>
      <c r="O640" s="118">
        <v>34000</v>
      </c>
      <c r="P640" s="119"/>
      <c r="Q640" s="118">
        <v>22760</v>
      </c>
      <c r="R640" s="119"/>
      <c r="S640" s="118">
        <v>13200</v>
      </c>
      <c r="T640" s="119"/>
      <c r="U640" s="118">
        <f>SUM(K640:T641)</f>
        <v>3078460</v>
      </c>
      <c r="V640" s="119"/>
      <c r="W640" s="124"/>
      <c r="X640" s="127" t="s">
        <v>2531</v>
      </c>
      <c r="Y640" s="223"/>
      <c r="Z640" s="223"/>
      <c r="AA640" s="223"/>
      <c r="AB640" s="224"/>
      <c r="AC640" s="15" t="s">
        <v>20</v>
      </c>
      <c r="AD640" s="129" t="s">
        <v>1670</v>
      </c>
      <c r="AE640" s="130"/>
      <c r="AF640" s="130"/>
      <c r="AG640" s="130"/>
      <c r="AH640" s="130"/>
      <c r="AI640" s="131"/>
      <c r="AJ640" s="132"/>
      <c r="AK640" s="127"/>
      <c r="AL640" s="127"/>
      <c r="AM640" s="21"/>
      <c r="AN640" s="133"/>
      <c r="AO640" s="134"/>
      <c r="AP640" s="135"/>
      <c r="AQ640" s="136"/>
      <c r="AR640" s="118"/>
      <c r="AS640" s="119"/>
      <c r="AT640" s="180">
        <f>AR640*0.1</f>
        <v>0</v>
      </c>
      <c r="AU640" s="181"/>
      <c r="AV640" s="118"/>
      <c r="AW640" s="119"/>
      <c r="AX640" s="118">
        <f>SUM(AR640:AW640)</f>
        <v>0</v>
      </c>
      <c r="AY640" s="119"/>
      <c r="AZ640" s="200"/>
    </row>
    <row r="641" spans="1:52" ht="17.100000000000001" customHeight="1" thickBot="1">
      <c r="A641" s="110"/>
      <c r="B641" s="27" t="s">
        <v>1567</v>
      </c>
      <c r="C641" s="27">
        <v>85072</v>
      </c>
      <c r="D641" s="14" t="s">
        <v>133</v>
      </c>
      <c r="E641" s="112"/>
      <c r="F641" s="139" t="s">
        <v>2532</v>
      </c>
      <c r="G641" s="140"/>
      <c r="H641" s="141"/>
      <c r="I641" s="26">
        <v>49275</v>
      </c>
      <c r="J641" s="117"/>
      <c r="K641" s="120"/>
      <c r="L641" s="121"/>
      <c r="M641" s="120"/>
      <c r="N641" s="121"/>
      <c r="O641" s="120"/>
      <c r="P641" s="121"/>
      <c r="Q641" s="120"/>
      <c r="R641" s="121"/>
      <c r="S641" s="120"/>
      <c r="T641" s="121"/>
      <c r="U641" s="120"/>
      <c r="V641" s="121"/>
      <c r="W641" s="125"/>
      <c r="X641" s="143" t="s">
        <v>2321</v>
      </c>
      <c r="Y641" s="143"/>
      <c r="Z641" s="143"/>
      <c r="AA641" s="143"/>
      <c r="AB641" s="144"/>
      <c r="AC641" s="16" t="s">
        <v>21</v>
      </c>
      <c r="AD641" s="17" t="s">
        <v>2533</v>
      </c>
      <c r="AE641" s="145" t="s">
        <v>2051</v>
      </c>
      <c r="AF641" s="146"/>
      <c r="AG641" s="146"/>
      <c r="AH641" s="146"/>
      <c r="AI641" s="147"/>
      <c r="AJ641" s="148"/>
      <c r="AK641" s="143"/>
      <c r="AL641" s="143"/>
      <c r="AM641" s="22" t="s">
        <v>907</v>
      </c>
      <c r="AN641" s="149"/>
      <c r="AO641" s="144"/>
      <c r="AP641" s="148"/>
      <c r="AQ641" s="144"/>
      <c r="AR641" s="120"/>
      <c r="AS641" s="121"/>
      <c r="AT641" s="120"/>
      <c r="AU641" s="182"/>
      <c r="AV641" s="120"/>
      <c r="AW641" s="121"/>
      <c r="AX641" s="120"/>
      <c r="AY641" s="121"/>
      <c r="AZ641" s="201"/>
    </row>
    <row r="642" spans="1:52" ht="17.100000000000001" customHeight="1" thickTop="1">
      <c r="A642" s="109" t="s">
        <v>6058</v>
      </c>
      <c r="B642" s="28">
        <v>45145</v>
      </c>
      <c r="C642" s="25"/>
      <c r="D642" s="13" t="s">
        <v>2442</v>
      </c>
      <c r="E642" s="111"/>
      <c r="F642" s="113" t="s">
        <v>2312</v>
      </c>
      <c r="G642" s="273"/>
      <c r="H642" s="274"/>
      <c r="I642" s="24"/>
      <c r="J642" s="116">
        <v>4.5</v>
      </c>
      <c r="K642" s="118">
        <v>2107000</v>
      </c>
      <c r="L642" s="119"/>
      <c r="M642" s="118">
        <v>210700</v>
      </c>
      <c r="N642" s="119"/>
      <c r="O642" s="118">
        <v>0</v>
      </c>
      <c r="P642" s="119"/>
      <c r="Q642" s="118">
        <v>16240</v>
      </c>
      <c r="R642" s="119"/>
      <c r="S642" s="118">
        <v>13200</v>
      </c>
      <c r="T642" s="119"/>
      <c r="U642" s="118">
        <f>SUM(K642:T643)</f>
        <v>2347140</v>
      </c>
      <c r="V642" s="119"/>
      <c r="W642" s="124"/>
      <c r="X642" s="127" t="s">
        <v>2534</v>
      </c>
      <c r="Y642" s="223"/>
      <c r="Z642" s="223"/>
      <c r="AA642" s="223"/>
      <c r="AB642" s="224"/>
      <c r="AC642" s="15" t="s">
        <v>20</v>
      </c>
      <c r="AD642" s="129"/>
      <c r="AE642" s="130"/>
      <c r="AF642" s="130"/>
      <c r="AG642" s="130"/>
      <c r="AH642" s="130"/>
      <c r="AI642" s="131"/>
      <c r="AJ642" s="132"/>
      <c r="AK642" s="127"/>
      <c r="AL642" s="127"/>
      <c r="AM642" s="21"/>
      <c r="AN642" s="133"/>
      <c r="AO642" s="134"/>
      <c r="AP642" s="135"/>
      <c r="AQ642" s="136"/>
      <c r="AR642" s="118"/>
      <c r="AS642" s="119"/>
      <c r="AT642" s="180">
        <f>AR642*0.1</f>
        <v>0</v>
      </c>
      <c r="AU642" s="181"/>
      <c r="AV642" s="118"/>
      <c r="AW642" s="119"/>
      <c r="AX642" s="118">
        <f>SUM(AR642:AW642)</f>
        <v>0</v>
      </c>
      <c r="AY642" s="119"/>
      <c r="AZ642" s="200"/>
    </row>
    <row r="643" spans="1:52" ht="17.100000000000001" customHeight="1" thickBot="1">
      <c r="A643" s="110"/>
      <c r="B643" s="27" t="s">
        <v>2535</v>
      </c>
      <c r="C643" s="27">
        <v>80270</v>
      </c>
      <c r="D643" s="14" t="s">
        <v>2536</v>
      </c>
      <c r="E643" s="112"/>
      <c r="F643" s="139" t="s">
        <v>2537</v>
      </c>
      <c r="G643" s="140"/>
      <c r="H643" s="141"/>
      <c r="I643" s="26">
        <v>41749</v>
      </c>
      <c r="J643" s="117"/>
      <c r="K643" s="120"/>
      <c r="L643" s="121"/>
      <c r="M643" s="120"/>
      <c r="N643" s="121"/>
      <c r="O643" s="120"/>
      <c r="P643" s="121"/>
      <c r="Q643" s="120"/>
      <c r="R643" s="121"/>
      <c r="S643" s="120"/>
      <c r="T643" s="121"/>
      <c r="U643" s="120"/>
      <c r="V643" s="121"/>
      <c r="W643" s="125"/>
      <c r="X643" s="143" t="s">
        <v>2538</v>
      </c>
      <c r="Y643" s="143"/>
      <c r="Z643" s="143"/>
      <c r="AA643" s="143"/>
      <c r="AB643" s="144"/>
      <c r="AC643" s="16" t="s">
        <v>21</v>
      </c>
      <c r="AD643" s="17" t="s">
        <v>2539</v>
      </c>
      <c r="AE643" s="145" t="s">
        <v>2540</v>
      </c>
      <c r="AF643" s="146"/>
      <c r="AG643" s="146"/>
      <c r="AH643" s="146"/>
      <c r="AI643" s="147"/>
      <c r="AJ643" s="148"/>
      <c r="AK643" s="143"/>
      <c r="AL643" s="143"/>
      <c r="AM643" s="22"/>
      <c r="AN643" s="149"/>
      <c r="AO643" s="144"/>
      <c r="AP643" s="148"/>
      <c r="AQ643" s="144"/>
      <c r="AR643" s="120"/>
      <c r="AS643" s="121"/>
      <c r="AT643" s="120"/>
      <c r="AU643" s="182"/>
      <c r="AV643" s="120"/>
      <c r="AW643" s="121"/>
      <c r="AX643" s="120"/>
      <c r="AY643" s="121"/>
      <c r="AZ643" s="201"/>
    </row>
    <row r="644" spans="1:52" ht="17.100000000000001" customHeight="1" thickTop="1">
      <c r="A644" s="109" t="s">
        <v>6059</v>
      </c>
      <c r="B644" s="28">
        <v>45158</v>
      </c>
      <c r="C644" s="25"/>
      <c r="D644" s="13" t="s">
        <v>2541</v>
      </c>
      <c r="E644" s="111"/>
      <c r="F644" s="113" t="s">
        <v>2000</v>
      </c>
      <c r="G644" s="273"/>
      <c r="H644" s="274"/>
      <c r="I644" s="24" t="s">
        <v>2542</v>
      </c>
      <c r="J644" s="116">
        <v>4.5</v>
      </c>
      <c r="K644" s="118">
        <v>2650000</v>
      </c>
      <c r="L644" s="119"/>
      <c r="M644" s="118">
        <v>265000</v>
      </c>
      <c r="N644" s="119"/>
      <c r="O644" s="118">
        <v>59000</v>
      </c>
      <c r="P644" s="119"/>
      <c r="Q644" s="118">
        <v>22270</v>
      </c>
      <c r="R644" s="119"/>
      <c r="S644" s="118">
        <v>200750</v>
      </c>
      <c r="T644" s="119"/>
      <c r="U644" s="118">
        <f>SUM(K644:T645)</f>
        <v>3197020</v>
      </c>
      <c r="V644" s="119"/>
      <c r="W644" s="124"/>
      <c r="X644" s="127" t="s">
        <v>2543</v>
      </c>
      <c r="Y644" s="223"/>
      <c r="Z644" s="223"/>
      <c r="AA644" s="223"/>
      <c r="AB644" s="224"/>
      <c r="AC644" s="15" t="s">
        <v>20</v>
      </c>
      <c r="AD644" s="129" t="s">
        <v>2544</v>
      </c>
      <c r="AE644" s="130"/>
      <c r="AF644" s="130"/>
      <c r="AG644" s="130"/>
      <c r="AH644" s="130"/>
      <c r="AI644" s="131"/>
      <c r="AJ644" s="132"/>
      <c r="AK644" s="127"/>
      <c r="AL644" s="127"/>
      <c r="AM644" s="21"/>
      <c r="AN644" s="133"/>
      <c r="AO644" s="134"/>
      <c r="AP644" s="135"/>
      <c r="AQ644" s="136"/>
      <c r="AR644" s="118"/>
      <c r="AS644" s="119"/>
      <c r="AT644" s="180">
        <f>AR644*0.1</f>
        <v>0</v>
      </c>
      <c r="AU644" s="181"/>
      <c r="AV644" s="118"/>
      <c r="AW644" s="119"/>
      <c r="AX644" s="118">
        <f>SUM(AR644:AW644)</f>
        <v>0</v>
      </c>
      <c r="AY644" s="119"/>
      <c r="AZ644" s="200"/>
    </row>
    <row r="645" spans="1:52" ht="17.100000000000001" customHeight="1" thickBot="1">
      <c r="A645" s="110"/>
      <c r="B645" s="27" t="s">
        <v>1718</v>
      </c>
      <c r="C645" s="27" t="s">
        <v>2545</v>
      </c>
      <c r="D645" s="14" t="s">
        <v>2183</v>
      </c>
      <c r="E645" s="112"/>
      <c r="F645" s="139" t="s">
        <v>2546</v>
      </c>
      <c r="G645" s="140"/>
      <c r="H645" s="141"/>
      <c r="I645" s="26">
        <v>16625</v>
      </c>
      <c r="J645" s="117"/>
      <c r="K645" s="120"/>
      <c r="L645" s="121"/>
      <c r="M645" s="120"/>
      <c r="N645" s="121"/>
      <c r="O645" s="120"/>
      <c r="P645" s="121"/>
      <c r="Q645" s="120"/>
      <c r="R645" s="121"/>
      <c r="S645" s="120"/>
      <c r="T645" s="121"/>
      <c r="U645" s="120"/>
      <c r="V645" s="121"/>
      <c r="W645" s="125"/>
      <c r="X645" s="143" t="s">
        <v>2547</v>
      </c>
      <c r="Y645" s="143"/>
      <c r="Z645" s="143"/>
      <c r="AA645" s="143"/>
      <c r="AB645" s="144"/>
      <c r="AC645" s="16" t="s">
        <v>21</v>
      </c>
      <c r="AD645" s="17" t="s">
        <v>2548</v>
      </c>
      <c r="AE645" s="145" t="s">
        <v>2549</v>
      </c>
      <c r="AF645" s="146"/>
      <c r="AG645" s="146"/>
      <c r="AH645" s="146"/>
      <c r="AI645" s="147"/>
      <c r="AJ645" s="148" t="s">
        <v>2550</v>
      </c>
      <c r="AK645" s="143"/>
      <c r="AL645" s="143"/>
      <c r="AM645" s="22"/>
      <c r="AN645" s="149"/>
      <c r="AO645" s="144"/>
      <c r="AP645" s="148"/>
      <c r="AQ645" s="144"/>
      <c r="AR645" s="120"/>
      <c r="AS645" s="121"/>
      <c r="AT645" s="120"/>
      <c r="AU645" s="182"/>
      <c r="AV645" s="120"/>
      <c r="AW645" s="121"/>
      <c r="AX645" s="120"/>
      <c r="AY645" s="121"/>
      <c r="AZ645" s="201"/>
    </row>
    <row r="646" spans="1:52" ht="17.100000000000001" customHeight="1" thickTop="1">
      <c r="A646" s="109" t="s">
        <v>6060</v>
      </c>
      <c r="B646" s="28">
        <v>45159</v>
      </c>
      <c r="C646" s="25"/>
      <c r="D646" s="13" t="s">
        <v>2122</v>
      </c>
      <c r="E646" s="111"/>
      <c r="F646" s="113" t="s">
        <v>2551</v>
      </c>
      <c r="G646" s="273"/>
      <c r="H646" s="274"/>
      <c r="I646" s="24"/>
      <c r="J646" s="116"/>
      <c r="K646" s="118">
        <v>695000</v>
      </c>
      <c r="L646" s="119"/>
      <c r="M646" s="118">
        <v>69500</v>
      </c>
      <c r="N646" s="119"/>
      <c r="O646" s="118">
        <v>0</v>
      </c>
      <c r="P646" s="119"/>
      <c r="Q646" s="118">
        <v>6030</v>
      </c>
      <c r="R646" s="119"/>
      <c r="S646" s="118">
        <v>93225</v>
      </c>
      <c r="T646" s="119"/>
      <c r="U646" s="118">
        <f>SUM(K646:T647)</f>
        <v>863755</v>
      </c>
      <c r="V646" s="119"/>
      <c r="W646" s="124"/>
      <c r="X646" s="127" t="s">
        <v>2552</v>
      </c>
      <c r="Y646" s="223"/>
      <c r="Z646" s="223"/>
      <c r="AA646" s="223"/>
      <c r="AB646" s="224"/>
      <c r="AC646" s="15" t="s">
        <v>20</v>
      </c>
      <c r="AD646" s="129"/>
      <c r="AE646" s="130"/>
      <c r="AF646" s="130"/>
      <c r="AG646" s="130"/>
      <c r="AH646" s="130"/>
      <c r="AI646" s="131"/>
      <c r="AJ646" s="132"/>
      <c r="AK646" s="127"/>
      <c r="AL646" s="127"/>
      <c r="AM646" s="21"/>
      <c r="AN646" s="133"/>
      <c r="AO646" s="134"/>
      <c r="AP646" s="135"/>
      <c r="AQ646" s="136"/>
      <c r="AR646" s="118"/>
      <c r="AS646" s="119"/>
      <c r="AT646" s="180">
        <f>AR646*0.1</f>
        <v>0</v>
      </c>
      <c r="AU646" s="181"/>
      <c r="AV646" s="118"/>
      <c r="AW646" s="119"/>
      <c r="AX646" s="118">
        <f>SUM(AR646:AW646)</f>
        <v>0</v>
      </c>
      <c r="AY646" s="119"/>
      <c r="AZ646" s="200"/>
    </row>
    <row r="647" spans="1:52" ht="17.100000000000001" customHeight="1" thickBot="1">
      <c r="A647" s="110"/>
      <c r="B647" s="27" t="s">
        <v>1718</v>
      </c>
      <c r="C647" s="27" t="s">
        <v>2553</v>
      </c>
      <c r="D647" s="14" t="s">
        <v>1556</v>
      </c>
      <c r="E647" s="112"/>
      <c r="F647" s="139" t="s">
        <v>2554</v>
      </c>
      <c r="G647" s="140"/>
      <c r="H647" s="141"/>
      <c r="I647" s="26">
        <v>128235</v>
      </c>
      <c r="J647" s="117"/>
      <c r="K647" s="120"/>
      <c r="L647" s="121"/>
      <c r="M647" s="120"/>
      <c r="N647" s="121"/>
      <c r="O647" s="120"/>
      <c r="P647" s="121"/>
      <c r="Q647" s="120"/>
      <c r="R647" s="121"/>
      <c r="S647" s="120"/>
      <c r="T647" s="121"/>
      <c r="U647" s="120"/>
      <c r="V647" s="121"/>
      <c r="W647" s="125"/>
      <c r="X647" s="143" t="s">
        <v>2555</v>
      </c>
      <c r="Y647" s="143"/>
      <c r="Z647" s="143"/>
      <c r="AA647" s="143"/>
      <c r="AB647" s="144"/>
      <c r="AC647" s="16" t="s">
        <v>21</v>
      </c>
      <c r="AD647" s="17" t="s">
        <v>2556</v>
      </c>
      <c r="AE647" s="145" t="s">
        <v>2054</v>
      </c>
      <c r="AF647" s="146"/>
      <c r="AG647" s="146"/>
      <c r="AH647" s="146"/>
      <c r="AI647" s="147"/>
      <c r="AJ647" s="148"/>
      <c r="AK647" s="143"/>
      <c r="AL647" s="143"/>
      <c r="AM647" s="22"/>
      <c r="AN647" s="149"/>
      <c r="AO647" s="144"/>
      <c r="AP647" s="148"/>
      <c r="AQ647" s="144"/>
      <c r="AR647" s="120"/>
      <c r="AS647" s="121"/>
      <c r="AT647" s="120"/>
      <c r="AU647" s="182"/>
      <c r="AV647" s="120"/>
      <c r="AW647" s="121"/>
      <c r="AX647" s="120"/>
      <c r="AY647" s="121"/>
      <c r="AZ647" s="201"/>
    </row>
    <row r="648" spans="1:52" ht="17.100000000000001" customHeight="1" thickTop="1">
      <c r="A648" s="109" t="s">
        <v>6061</v>
      </c>
      <c r="B648" s="28">
        <v>45161</v>
      </c>
      <c r="C648" s="25">
        <v>1705</v>
      </c>
      <c r="D648" s="13" t="s">
        <v>2301</v>
      </c>
      <c r="E648" s="111"/>
      <c r="F648" s="113" t="s">
        <v>2557</v>
      </c>
      <c r="G648" s="273"/>
      <c r="H648" s="274"/>
      <c r="I648" s="24"/>
      <c r="J648" s="116">
        <v>5</v>
      </c>
      <c r="K648" s="118">
        <v>1695000</v>
      </c>
      <c r="L648" s="119"/>
      <c r="M648" s="118">
        <v>169500</v>
      </c>
      <c r="N648" s="119"/>
      <c r="O648" s="118">
        <v>0</v>
      </c>
      <c r="P648" s="119"/>
      <c r="Q648" s="118">
        <v>16240</v>
      </c>
      <c r="R648" s="119"/>
      <c r="S648" s="118">
        <v>18150</v>
      </c>
      <c r="T648" s="119"/>
      <c r="U648" s="118">
        <f>SUM(K648:T649)</f>
        <v>1898890</v>
      </c>
      <c r="V648" s="119"/>
      <c r="W648" s="124"/>
      <c r="X648" s="127" t="s">
        <v>2558</v>
      </c>
      <c r="Y648" s="223"/>
      <c r="Z648" s="223"/>
      <c r="AA648" s="223"/>
      <c r="AB648" s="224"/>
      <c r="AC648" s="15" t="s">
        <v>20</v>
      </c>
      <c r="AD648" s="129"/>
      <c r="AE648" s="130"/>
      <c r="AF648" s="130"/>
      <c r="AG648" s="130"/>
      <c r="AH648" s="130"/>
      <c r="AI648" s="131"/>
      <c r="AJ648" s="132"/>
      <c r="AK648" s="127"/>
      <c r="AL648" s="127"/>
      <c r="AM648" s="21"/>
      <c r="AN648" s="133"/>
      <c r="AO648" s="134"/>
      <c r="AP648" s="135"/>
      <c r="AQ648" s="136"/>
      <c r="AR648" s="118"/>
      <c r="AS648" s="119"/>
      <c r="AT648" s="180">
        <f>AR648*0.1</f>
        <v>0</v>
      </c>
      <c r="AU648" s="181"/>
      <c r="AV648" s="118"/>
      <c r="AW648" s="119"/>
      <c r="AX648" s="118">
        <f>SUM(AR648:AW648)</f>
        <v>0</v>
      </c>
      <c r="AY648" s="119"/>
      <c r="AZ648" s="200"/>
    </row>
    <row r="649" spans="1:52" ht="17.100000000000001" customHeight="1" thickBot="1">
      <c r="A649" s="110"/>
      <c r="B649" s="27" t="s">
        <v>2559</v>
      </c>
      <c r="C649" s="27">
        <v>36465</v>
      </c>
      <c r="D649" s="14" t="s">
        <v>2560</v>
      </c>
      <c r="E649" s="112"/>
      <c r="F649" s="139" t="s">
        <v>2561</v>
      </c>
      <c r="G649" s="140"/>
      <c r="H649" s="141"/>
      <c r="I649" s="26">
        <v>25113</v>
      </c>
      <c r="J649" s="117"/>
      <c r="K649" s="120"/>
      <c r="L649" s="121"/>
      <c r="M649" s="120"/>
      <c r="N649" s="121"/>
      <c r="O649" s="120"/>
      <c r="P649" s="121"/>
      <c r="Q649" s="120"/>
      <c r="R649" s="121"/>
      <c r="S649" s="120"/>
      <c r="T649" s="121"/>
      <c r="U649" s="120"/>
      <c r="V649" s="121"/>
      <c r="W649" s="125"/>
      <c r="X649" s="143" t="s">
        <v>1997</v>
      </c>
      <c r="Y649" s="143"/>
      <c r="Z649" s="143"/>
      <c r="AA649" s="143"/>
      <c r="AB649" s="144"/>
      <c r="AC649" s="16" t="s">
        <v>21</v>
      </c>
      <c r="AD649" s="17" t="s">
        <v>2562</v>
      </c>
      <c r="AE649" s="145" t="s">
        <v>1742</v>
      </c>
      <c r="AF649" s="146"/>
      <c r="AG649" s="146"/>
      <c r="AH649" s="146"/>
      <c r="AI649" s="147"/>
      <c r="AJ649" s="148"/>
      <c r="AK649" s="143"/>
      <c r="AL649" s="143"/>
      <c r="AM649" s="22"/>
      <c r="AN649" s="149"/>
      <c r="AO649" s="144"/>
      <c r="AP649" s="148"/>
      <c r="AQ649" s="144"/>
      <c r="AR649" s="120"/>
      <c r="AS649" s="121"/>
      <c r="AT649" s="120"/>
      <c r="AU649" s="182"/>
      <c r="AV649" s="120"/>
      <c r="AW649" s="121"/>
      <c r="AX649" s="120"/>
      <c r="AY649" s="121"/>
      <c r="AZ649" s="201"/>
    </row>
    <row r="650" spans="1:52" ht="17.100000000000001" customHeight="1" thickTop="1">
      <c r="A650" s="109" t="s">
        <v>6062</v>
      </c>
      <c r="B650" s="28">
        <v>45171</v>
      </c>
      <c r="C650" s="25" t="s">
        <v>2563</v>
      </c>
      <c r="D650" s="13" t="s">
        <v>2564</v>
      </c>
      <c r="E650" s="111"/>
      <c r="F650" s="113" t="s">
        <v>2565</v>
      </c>
      <c r="G650" s="273"/>
      <c r="H650" s="274"/>
      <c r="I650" s="24" t="s">
        <v>2566</v>
      </c>
      <c r="J650" s="116">
        <v>4.5</v>
      </c>
      <c r="K650" s="118">
        <v>4660000</v>
      </c>
      <c r="L650" s="119"/>
      <c r="M650" s="118">
        <v>466000</v>
      </c>
      <c r="N650" s="119"/>
      <c r="O650" s="118">
        <v>38200</v>
      </c>
      <c r="P650" s="119"/>
      <c r="Q650" s="118">
        <v>23320</v>
      </c>
      <c r="R650" s="119"/>
      <c r="S650" s="118">
        <v>13200</v>
      </c>
      <c r="T650" s="119"/>
      <c r="U650" s="118">
        <f>SUM(K650:T651)</f>
        <v>5200720</v>
      </c>
      <c r="V650" s="119"/>
      <c r="W650" s="124"/>
      <c r="X650" s="127" t="s">
        <v>2567</v>
      </c>
      <c r="Y650" s="223"/>
      <c r="Z650" s="223"/>
      <c r="AA650" s="223"/>
      <c r="AB650" s="224"/>
      <c r="AC650" s="15" t="s">
        <v>20</v>
      </c>
      <c r="AD650" s="129" t="s">
        <v>2568</v>
      </c>
      <c r="AE650" s="130"/>
      <c r="AF650" s="130"/>
      <c r="AG650" s="130"/>
      <c r="AH650" s="130"/>
      <c r="AI650" s="131"/>
      <c r="AJ650" s="132"/>
      <c r="AK650" s="127"/>
      <c r="AL650" s="127"/>
      <c r="AM650" s="21"/>
      <c r="AN650" s="133"/>
      <c r="AO650" s="134"/>
      <c r="AP650" s="135"/>
      <c r="AQ650" s="136"/>
      <c r="AR650" s="118"/>
      <c r="AS650" s="119"/>
      <c r="AT650" s="180">
        <f>AR650*0.1</f>
        <v>0</v>
      </c>
      <c r="AU650" s="181"/>
      <c r="AV650" s="118"/>
      <c r="AW650" s="119"/>
      <c r="AX650" s="118">
        <f>SUM(AR650:AW650)</f>
        <v>0</v>
      </c>
      <c r="AY650" s="119"/>
      <c r="AZ650" s="200"/>
    </row>
    <row r="651" spans="1:52" ht="17.100000000000001" customHeight="1" thickBot="1">
      <c r="A651" s="110"/>
      <c r="B651" s="27" t="s">
        <v>1555</v>
      </c>
      <c r="C651" s="27">
        <v>83017</v>
      </c>
      <c r="D651" s="14" t="s">
        <v>1592</v>
      </c>
      <c r="E651" s="112"/>
      <c r="F651" s="139" t="s">
        <v>2569</v>
      </c>
      <c r="G651" s="140"/>
      <c r="H651" s="141"/>
      <c r="I651" s="26">
        <v>32540</v>
      </c>
      <c r="J651" s="117"/>
      <c r="K651" s="120"/>
      <c r="L651" s="121"/>
      <c r="M651" s="120"/>
      <c r="N651" s="121"/>
      <c r="O651" s="120"/>
      <c r="P651" s="121"/>
      <c r="Q651" s="120"/>
      <c r="R651" s="121"/>
      <c r="S651" s="120"/>
      <c r="T651" s="121"/>
      <c r="U651" s="120"/>
      <c r="V651" s="121"/>
      <c r="W651" s="125"/>
      <c r="X651" s="143" t="s">
        <v>2570</v>
      </c>
      <c r="Y651" s="143"/>
      <c r="Z651" s="143"/>
      <c r="AA651" s="143"/>
      <c r="AB651" s="144"/>
      <c r="AC651" s="16" t="s">
        <v>21</v>
      </c>
      <c r="AD651" s="17" t="s">
        <v>2571</v>
      </c>
      <c r="AE651" s="145" t="s">
        <v>2572</v>
      </c>
      <c r="AF651" s="146"/>
      <c r="AG651" s="146"/>
      <c r="AH651" s="146"/>
      <c r="AI651" s="147"/>
      <c r="AJ651" s="148"/>
      <c r="AK651" s="143"/>
      <c r="AL651" s="143"/>
      <c r="AM651" s="22"/>
      <c r="AN651" s="149"/>
      <c r="AO651" s="144"/>
      <c r="AP651" s="148"/>
      <c r="AQ651" s="144"/>
      <c r="AR651" s="120"/>
      <c r="AS651" s="121"/>
      <c r="AT651" s="120"/>
      <c r="AU651" s="182"/>
      <c r="AV651" s="120"/>
      <c r="AW651" s="121"/>
      <c r="AX651" s="120"/>
      <c r="AY651" s="121"/>
      <c r="AZ651" s="201"/>
    </row>
    <row r="652" spans="1:52" ht="17.100000000000001" customHeight="1" thickTop="1">
      <c r="A652" s="109" t="s">
        <v>6063</v>
      </c>
      <c r="B652" s="28">
        <v>45176</v>
      </c>
      <c r="C652" s="25">
        <v>1433</v>
      </c>
      <c r="D652" s="13" t="s">
        <v>2059</v>
      </c>
      <c r="E652" s="111"/>
      <c r="F652" s="113" t="s">
        <v>2136</v>
      </c>
      <c r="G652" s="273"/>
      <c r="H652" s="274"/>
      <c r="I652" s="24" t="s">
        <v>2573</v>
      </c>
      <c r="J652" s="116">
        <v>4.5</v>
      </c>
      <c r="K652" s="118">
        <v>2050000</v>
      </c>
      <c r="L652" s="119"/>
      <c r="M652" s="118">
        <v>205000</v>
      </c>
      <c r="N652" s="119"/>
      <c r="O652" s="118">
        <v>19700</v>
      </c>
      <c r="P652" s="119"/>
      <c r="Q652" s="118">
        <v>21090</v>
      </c>
      <c r="R652" s="119"/>
      <c r="S652" s="118">
        <v>13200</v>
      </c>
      <c r="T652" s="119"/>
      <c r="U652" s="118">
        <f>SUM(K652:T653)</f>
        <v>2308990</v>
      </c>
      <c r="V652" s="119"/>
      <c r="W652" s="124"/>
      <c r="X652" s="127" t="s">
        <v>2574</v>
      </c>
      <c r="Y652" s="223"/>
      <c r="Z652" s="223"/>
      <c r="AA652" s="223"/>
      <c r="AB652" s="224"/>
      <c r="AC652" s="15" t="s">
        <v>20</v>
      </c>
      <c r="AD652" s="129" t="s">
        <v>1565</v>
      </c>
      <c r="AE652" s="130"/>
      <c r="AF652" s="130"/>
      <c r="AG652" s="130"/>
      <c r="AH652" s="130"/>
      <c r="AI652" s="131"/>
      <c r="AJ652" s="132"/>
      <c r="AK652" s="127"/>
      <c r="AL652" s="127"/>
      <c r="AM652" s="21"/>
      <c r="AN652" s="133"/>
      <c r="AO652" s="134"/>
      <c r="AP652" s="135"/>
      <c r="AQ652" s="136"/>
      <c r="AR652" s="118"/>
      <c r="AS652" s="119"/>
      <c r="AT652" s="180">
        <f>AR652*0.1</f>
        <v>0</v>
      </c>
      <c r="AU652" s="181"/>
      <c r="AV652" s="118"/>
      <c r="AW652" s="119"/>
      <c r="AX652" s="118">
        <f>SUM(AR652:AW652)</f>
        <v>0</v>
      </c>
      <c r="AY652" s="119"/>
      <c r="AZ652" s="200"/>
    </row>
    <row r="653" spans="1:52" ht="17.100000000000001" customHeight="1" thickBot="1">
      <c r="A653" s="110"/>
      <c r="B653" s="27" t="s">
        <v>1600</v>
      </c>
      <c r="C653" s="27">
        <v>76031</v>
      </c>
      <c r="D653" s="14" t="s">
        <v>275</v>
      </c>
      <c r="E653" s="112"/>
      <c r="F653" s="139" t="s">
        <v>2575</v>
      </c>
      <c r="G653" s="140"/>
      <c r="H653" s="141"/>
      <c r="I653" s="26">
        <v>25240</v>
      </c>
      <c r="J653" s="117"/>
      <c r="K653" s="120"/>
      <c r="L653" s="121"/>
      <c r="M653" s="120"/>
      <c r="N653" s="121"/>
      <c r="O653" s="120"/>
      <c r="P653" s="121"/>
      <c r="Q653" s="120"/>
      <c r="R653" s="121"/>
      <c r="S653" s="120"/>
      <c r="T653" s="121"/>
      <c r="U653" s="120"/>
      <c r="V653" s="121"/>
      <c r="W653" s="125"/>
      <c r="X653" s="143" t="s">
        <v>2576</v>
      </c>
      <c r="Y653" s="143"/>
      <c r="Z653" s="143"/>
      <c r="AA653" s="143"/>
      <c r="AB653" s="144"/>
      <c r="AC653" s="16" t="s">
        <v>21</v>
      </c>
      <c r="AD653" s="17" t="s">
        <v>2577</v>
      </c>
      <c r="AE653" s="145" t="s">
        <v>2578</v>
      </c>
      <c r="AF653" s="146"/>
      <c r="AG653" s="146"/>
      <c r="AH653" s="146"/>
      <c r="AI653" s="147"/>
      <c r="AJ653" s="148"/>
      <c r="AK653" s="143"/>
      <c r="AL653" s="143"/>
      <c r="AM653" s="22" t="s">
        <v>907</v>
      </c>
      <c r="AN653" s="149"/>
      <c r="AO653" s="144"/>
      <c r="AP653" s="148"/>
      <c r="AQ653" s="144"/>
      <c r="AR653" s="120"/>
      <c r="AS653" s="121"/>
      <c r="AT653" s="120"/>
      <c r="AU653" s="182"/>
      <c r="AV653" s="120"/>
      <c r="AW653" s="121"/>
      <c r="AX653" s="120"/>
      <c r="AY653" s="121"/>
      <c r="AZ653" s="201"/>
    </row>
    <row r="654" spans="1:52" ht="17.100000000000001" customHeight="1" thickTop="1">
      <c r="A654" s="109" t="s">
        <v>6064</v>
      </c>
      <c r="B654" s="28">
        <v>45176</v>
      </c>
      <c r="C654" s="25">
        <v>1433</v>
      </c>
      <c r="D654" s="13" t="s">
        <v>1712</v>
      </c>
      <c r="E654" s="111"/>
      <c r="F654" s="113" t="s">
        <v>2579</v>
      </c>
      <c r="G654" s="273"/>
      <c r="H654" s="274"/>
      <c r="I654" s="24" t="s">
        <v>2580</v>
      </c>
      <c r="J654" s="116">
        <v>4.5</v>
      </c>
      <c r="K654" s="118">
        <v>2390000</v>
      </c>
      <c r="L654" s="119"/>
      <c r="M654" s="118">
        <v>239000</v>
      </c>
      <c r="N654" s="119"/>
      <c r="O654" s="118">
        <v>19700</v>
      </c>
      <c r="P654" s="119"/>
      <c r="Q654" s="118">
        <v>21220</v>
      </c>
      <c r="R654" s="119"/>
      <c r="S654" s="118">
        <v>24200</v>
      </c>
      <c r="T654" s="119"/>
      <c r="U654" s="118">
        <f>SUM(K654:T655)</f>
        <v>2694120</v>
      </c>
      <c r="V654" s="119"/>
      <c r="W654" s="124"/>
      <c r="X654" s="127" t="s">
        <v>2581</v>
      </c>
      <c r="Y654" s="223"/>
      <c r="Z654" s="223"/>
      <c r="AA654" s="223"/>
      <c r="AB654" s="224"/>
      <c r="AC654" s="15" t="s">
        <v>20</v>
      </c>
      <c r="AD654" s="129"/>
      <c r="AE654" s="130"/>
      <c r="AF654" s="130"/>
      <c r="AG654" s="130"/>
      <c r="AH654" s="130"/>
      <c r="AI654" s="131"/>
      <c r="AJ654" s="132"/>
      <c r="AK654" s="127"/>
      <c r="AL654" s="127"/>
      <c r="AM654" s="21"/>
      <c r="AN654" s="133"/>
      <c r="AO654" s="134"/>
      <c r="AP654" s="135"/>
      <c r="AQ654" s="136"/>
      <c r="AR654" s="118"/>
      <c r="AS654" s="119"/>
      <c r="AT654" s="180">
        <f>AR654*0.1</f>
        <v>0</v>
      </c>
      <c r="AU654" s="181"/>
      <c r="AV654" s="118"/>
      <c r="AW654" s="119"/>
      <c r="AX654" s="118">
        <f>SUM(AR654:AW654)</f>
        <v>0</v>
      </c>
      <c r="AY654" s="119"/>
      <c r="AZ654" s="200"/>
    </row>
    <row r="655" spans="1:52" ht="17.100000000000001" customHeight="1" thickBot="1">
      <c r="A655" s="110"/>
      <c r="B655" s="27" t="s">
        <v>1600</v>
      </c>
      <c r="C655" s="27">
        <v>76040</v>
      </c>
      <c r="D655" s="14" t="s">
        <v>133</v>
      </c>
      <c r="E655" s="112"/>
      <c r="F655" s="139" t="s">
        <v>2582</v>
      </c>
      <c r="G655" s="140"/>
      <c r="H655" s="141"/>
      <c r="I655" s="26">
        <v>21652</v>
      </c>
      <c r="J655" s="117"/>
      <c r="K655" s="120"/>
      <c r="L655" s="121"/>
      <c r="M655" s="120"/>
      <c r="N655" s="121"/>
      <c r="O655" s="120"/>
      <c r="P655" s="121"/>
      <c r="Q655" s="120"/>
      <c r="R655" s="121"/>
      <c r="S655" s="120"/>
      <c r="T655" s="121"/>
      <c r="U655" s="120"/>
      <c r="V655" s="121"/>
      <c r="W655" s="125"/>
      <c r="X655" s="143" t="s">
        <v>2583</v>
      </c>
      <c r="Y655" s="143"/>
      <c r="Z655" s="143"/>
      <c r="AA655" s="143"/>
      <c r="AB655" s="144"/>
      <c r="AC655" s="16" t="s">
        <v>21</v>
      </c>
      <c r="AD655" s="17" t="s">
        <v>2584</v>
      </c>
      <c r="AE655" s="145" t="s">
        <v>1614</v>
      </c>
      <c r="AF655" s="146"/>
      <c r="AG655" s="146"/>
      <c r="AH655" s="146"/>
      <c r="AI655" s="147"/>
      <c r="AJ655" s="148"/>
      <c r="AK655" s="143"/>
      <c r="AL655" s="143"/>
      <c r="AM655" s="22" t="s">
        <v>907</v>
      </c>
      <c r="AN655" s="149"/>
      <c r="AO655" s="144"/>
      <c r="AP655" s="148"/>
      <c r="AQ655" s="144"/>
      <c r="AR655" s="120"/>
      <c r="AS655" s="121"/>
      <c r="AT655" s="120"/>
      <c r="AU655" s="182"/>
      <c r="AV655" s="120"/>
      <c r="AW655" s="121"/>
      <c r="AX655" s="120"/>
      <c r="AY655" s="121"/>
      <c r="AZ655" s="201"/>
    </row>
    <row r="656" spans="1:52" ht="17.100000000000001" customHeight="1" thickTop="1">
      <c r="A656" s="109" t="s">
        <v>6065</v>
      </c>
      <c r="B656" s="28">
        <v>45180</v>
      </c>
      <c r="C656" s="25">
        <v>1961</v>
      </c>
      <c r="D656" s="13" t="s">
        <v>2442</v>
      </c>
      <c r="E656" s="111"/>
      <c r="F656" s="113" t="s">
        <v>2585</v>
      </c>
      <c r="G656" s="273"/>
      <c r="H656" s="274"/>
      <c r="I656" s="24"/>
      <c r="J656" s="116">
        <v>4</v>
      </c>
      <c r="K656" s="118">
        <v>2555000</v>
      </c>
      <c r="L656" s="119"/>
      <c r="M656" s="118">
        <v>255500</v>
      </c>
      <c r="N656" s="119"/>
      <c r="O656" s="118">
        <v>0</v>
      </c>
      <c r="P656" s="119"/>
      <c r="Q656" s="118">
        <v>22490</v>
      </c>
      <c r="R656" s="119"/>
      <c r="S656" s="118">
        <v>11000</v>
      </c>
      <c r="T656" s="119"/>
      <c r="U656" s="118">
        <f>SUM(K656:T657)</f>
        <v>2843990</v>
      </c>
      <c r="V656" s="119"/>
      <c r="W656" s="124"/>
      <c r="X656" s="127" t="s">
        <v>2586</v>
      </c>
      <c r="Y656" s="223"/>
      <c r="Z656" s="223"/>
      <c r="AA656" s="223"/>
      <c r="AB656" s="224"/>
      <c r="AC656" s="15" t="s">
        <v>20</v>
      </c>
      <c r="AD656" s="129" t="s">
        <v>2587</v>
      </c>
      <c r="AE656" s="130"/>
      <c r="AF656" s="130"/>
      <c r="AG656" s="130"/>
      <c r="AH656" s="130"/>
      <c r="AI656" s="131"/>
      <c r="AJ656" s="132"/>
      <c r="AK656" s="127"/>
      <c r="AL656" s="127"/>
      <c r="AM656" s="21"/>
      <c r="AN656" s="133"/>
      <c r="AO656" s="134"/>
      <c r="AP656" s="135"/>
      <c r="AQ656" s="136"/>
      <c r="AR656" s="118"/>
      <c r="AS656" s="119"/>
      <c r="AT656" s="180">
        <f>AR656*0.1</f>
        <v>0</v>
      </c>
      <c r="AU656" s="181"/>
      <c r="AV656" s="118"/>
      <c r="AW656" s="119"/>
      <c r="AX656" s="118">
        <f>SUM(AR656:AW656)</f>
        <v>0</v>
      </c>
      <c r="AY656" s="119"/>
      <c r="AZ656" s="200"/>
    </row>
    <row r="657" spans="1:52" ht="17.100000000000001" customHeight="1" thickBot="1">
      <c r="A657" s="110"/>
      <c r="B657" s="27" t="s">
        <v>83</v>
      </c>
      <c r="C657" s="27">
        <v>31005</v>
      </c>
      <c r="D657" s="14" t="s">
        <v>275</v>
      </c>
      <c r="E657" s="112"/>
      <c r="F657" s="139" t="s">
        <v>2588</v>
      </c>
      <c r="G657" s="140"/>
      <c r="H657" s="141"/>
      <c r="I657" s="26">
        <v>16449</v>
      </c>
      <c r="J657" s="117"/>
      <c r="K657" s="120"/>
      <c r="L657" s="121"/>
      <c r="M657" s="120"/>
      <c r="N657" s="121"/>
      <c r="O657" s="120"/>
      <c r="P657" s="121"/>
      <c r="Q657" s="120"/>
      <c r="R657" s="121"/>
      <c r="S657" s="120"/>
      <c r="T657" s="121"/>
      <c r="U657" s="120"/>
      <c r="V657" s="121"/>
      <c r="W657" s="125"/>
      <c r="X657" s="143" t="s">
        <v>2434</v>
      </c>
      <c r="Y657" s="143"/>
      <c r="Z657" s="143"/>
      <c r="AA657" s="143"/>
      <c r="AB657" s="144"/>
      <c r="AC657" s="16" t="s">
        <v>21</v>
      </c>
      <c r="AD657" s="17" t="s">
        <v>2148</v>
      </c>
      <c r="AE657" s="145" t="s">
        <v>1742</v>
      </c>
      <c r="AF657" s="146"/>
      <c r="AG657" s="146"/>
      <c r="AH657" s="146"/>
      <c r="AI657" s="147"/>
      <c r="AJ657" s="148"/>
      <c r="AK657" s="143"/>
      <c r="AL657" s="143"/>
      <c r="AM657" s="22"/>
      <c r="AN657" s="149"/>
      <c r="AO657" s="144"/>
      <c r="AP657" s="148"/>
      <c r="AQ657" s="144"/>
      <c r="AR657" s="120"/>
      <c r="AS657" s="121"/>
      <c r="AT657" s="120"/>
      <c r="AU657" s="182"/>
      <c r="AV657" s="120"/>
      <c r="AW657" s="121"/>
      <c r="AX657" s="120"/>
      <c r="AY657" s="121"/>
      <c r="AZ657" s="201"/>
    </row>
    <row r="658" spans="1:52" ht="17.100000000000001" customHeight="1" thickTop="1">
      <c r="A658" s="109" t="s">
        <v>6066</v>
      </c>
      <c r="B658" s="28">
        <v>45184</v>
      </c>
      <c r="C658" s="25">
        <v>2004</v>
      </c>
      <c r="D658" s="13" t="s">
        <v>1714</v>
      </c>
      <c r="E658" s="111" t="s">
        <v>166</v>
      </c>
      <c r="F658" s="113" t="s">
        <v>2589</v>
      </c>
      <c r="G658" s="114"/>
      <c r="H658" s="115"/>
      <c r="I658" s="24" t="s">
        <v>2590</v>
      </c>
      <c r="J658" s="116">
        <v>5</v>
      </c>
      <c r="K658" s="118">
        <v>3540000</v>
      </c>
      <c r="L658" s="119"/>
      <c r="M658" s="118">
        <v>354000</v>
      </c>
      <c r="N658" s="119"/>
      <c r="O658" s="118">
        <v>18000</v>
      </c>
      <c r="P658" s="119"/>
      <c r="Q658" s="118">
        <v>18170</v>
      </c>
      <c r="R658" s="119"/>
      <c r="S658" s="118">
        <v>13200</v>
      </c>
      <c r="T658" s="119"/>
      <c r="U658" s="118">
        <f>SUM(K658:T659)</f>
        <v>3943370</v>
      </c>
      <c r="V658" s="122"/>
      <c r="W658" s="124"/>
      <c r="X658" s="127" t="s">
        <v>2591</v>
      </c>
      <c r="Y658" s="223"/>
      <c r="Z658" s="223"/>
      <c r="AA658" s="223"/>
      <c r="AB658" s="224"/>
      <c r="AC658" s="15" t="s">
        <v>20</v>
      </c>
      <c r="AD658" s="129" t="s">
        <v>1575</v>
      </c>
      <c r="AE658" s="130"/>
      <c r="AF658" s="130"/>
      <c r="AG658" s="130"/>
      <c r="AH658" s="130"/>
      <c r="AI658" s="131"/>
      <c r="AJ658" s="132"/>
      <c r="AK658" s="127"/>
      <c r="AL658" s="127"/>
      <c r="AM658" s="21" t="s">
        <v>2592</v>
      </c>
      <c r="AN658" s="133"/>
      <c r="AO658" s="134"/>
      <c r="AP658" s="135"/>
      <c r="AQ658" s="136"/>
      <c r="AR658" s="118"/>
      <c r="AS658" s="119"/>
      <c r="AT658" s="180">
        <f>AR658*0.1</f>
        <v>0</v>
      </c>
      <c r="AU658" s="181"/>
      <c r="AV658" s="118"/>
      <c r="AW658" s="119"/>
      <c r="AX658" s="118">
        <f>SUM(AR658:AW658)</f>
        <v>0</v>
      </c>
      <c r="AY658" s="119"/>
      <c r="AZ658" s="200"/>
    </row>
    <row r="659" spans="1:52" ht="17.100000000000001" customHeight="1" thickBot="1">
      <c r="A659" s="110"/>
      <c r="B659" s="27" t="s">
        <v>1543</v>
      </c>
      <c r="C659" s="27">
        <v>58461</v>
      </c>
      <c r="D659" s="14" t="s">
        <v>1812</v>
      </c>
      <c r="E659" s="112"/>
      <c r="F659" s="139" t="s">
        <v>2593</v>
      </c>
      <c r="G659" s="140"/>
      <c r="H659" s="141"/>
      <c r="I659" s="26">
        <v>20403</v>
      </c>
      <c r="J659" s="117"/>
      <c r="K659" s="120"/>
      <c r="L659" s="121"/>
      <c r="M659" s="120"/>
      <c r="N659" s="121"/>
      <c r="O659" s="120"/>
      <c r="P659" s="121"/>
      <c r="Q659" s="120"/>
      <c r="R659" s="121"/>
      <c r="S659" s="120"/>
      <c r="T659" s="121"/>
      <c r="U659" s="120"/>
      <c r="V659" s="123"/>
      <c r="W659" s="125"/>
      <c r="X659" s="143" t="s">
        <v>1997</v>
      </c>
      <c r="Y659" s="143"/>
      <c r="Z659" s="143"/>
      <c r="AA659" s="143"/>
      <c r="AB659" s="144"/>
      <c r="AC659" s="16" t="s">
        <v>21</v>
      </c>
      <c r="AD659" s="17" t="s">
        <v>2148</v>
      </c>
      <c r="AE659" s="145" t="s">
        <v>1614</v>
      </c>
      <c r="AF659" s="146"/>
      <c r="AG659" s="146"/>
      <c r="AH659" s="146"/>
      <c r="AI659" s="147"/>
      <c r="AJ659" s="148"/>
      <c r="AK659" s="143"/>
      <c r="AL659" s="143"/>
      <c r="AM659" s="22"/>
      <c r="AN659" s="149"/>
      <c r="AO659" s="144"/>
      <c r="AP659" s="148"/>
      <c r="AQ659" s="144"/>
      <c r="AR659" s="120"/>
      <c r="AS659" s="121"/>
      <c r="AT659" s="120"/>
      <c r="AU659" s="182"/>
      <c r="AV659" s="120"/>
      <c r="AW659" s="121"/>
      <c r="AX659" s="120"/>
      <c r="AY659" s="121"/>
      <c r="AZ659" s="201"/>
    </row>
    <row r="660" spans="1:52" ht="17.100000000000001" customHeight="1" thickTop="1">
      <c r="A660" s="109" t="s">
        <v>6067</v>
      </c>
      <c r="B660" s="28">
        <v>45185</v>
      </c>
      <c r="C660" s="25">
        <v>1170</v>
      </c>
      <c r="D660" s="13" t="s">
        <v>1853</v>
      </c>
      <c r="E660" s="111"/>
      <c r="F660" s="113" t="s">
        <v>2589</v>
      </c>
      <c r="G660" s="273"/>
      <c r="H660" s="274"/>
      <c r="I660" s="24" t="s">
        <v>2084</v>
      </c>
      <c r="J660" s="116">
        <v>3.5</v>
      </c>
      <c r="K660" s="118">
        <v>2140000</v>
      </c>
      <c r="L660" s="119"/>
      <c r="M660" s="118">
        <v>214000</v>
      </c>
      <c r="N660" s="119"/>
      <c r="O660" s="118">
        <v>18000</v>
      </c>
      <c r="P660" s="119"/>
      <c r="Q660" s="118">
        <v>18170</v>
      </c>
      <c r="R660" s="119"/>
      <c r="S660" s="118">
        <v>13200</v>
      </c>
      <c r="T660" s="119"/>
      <c r="U660" s="118">
        <f>SUM(K660:T661)</f>
        <v>2403370</v>
      </c>
      <c r="V660" s="119"/>
      <c r="W660" s="124"/>
      <c r="X660" s="127" t="s">
        <v>2594</v>
      </c>
      <c r="Y660" s="223"/>
      <c r="Z660" s="223"/>
      <c r="AA660" s="223"/>
      <c r="AB660" s="224"/>
      <c r="AC660" s="15" t="s">
        <v>20</v>
      </c>
      <c r="AD660" s="129" t="s">
        <v>2198</v>
      </c>
      <c r="AE660" s="130"/>
      <c r="AF660" s="130"/>
      <c r="AG660" s="130"/>
      <c r="AH660" s="130"/>
      <c r="AI660" s="131"/>
      <c r="AJ660" s="132"/>
      <c r="AK660" s="127"/>
      <c r="AL660" s="127"/>
      <c r="AM660" s="21"/>
      <c r="AN660" s="133"/>
      <c r="AO660" s="134"/>
      <c r="AP660" s="135"/>
      <c r="AQ660" s="136"/>
      <c r="AR660" s="118"/>
      <c r="AS660" s="119"/>
      <c r="AT660" s="180">
        <f>AR660*0.1</f>
        <v>0</v>
      </c>
      <c r="AU660" s="181"/>
      <c r="AV660" s="118"/>
      <c r="AW660" s="119"/>
      <c r="AX660" s="118">
        <f>SUM(AR660:AW660)</f>
        <v>0</v>
      </c>
      <c r="AY660" s="119"/>
      <c r="AZ660" s="200"/>
    </row>
    <row r="661" spans="1:52" ht="17.100000000000001" customHeight="1" thickBot="1">
      <c r="A661" s="110"/>
      <c r="B661" s="27" t="s">
        <v>2511</v>
      </c>
      <c r="C661" s="27">
        <v>82415</v>
      </c>
      <c r="D661" s="14" t="s">
        <v>275</v>
      </c>
      <c r="E661" s="112"/>
      <c r="F661" s="139" t="s">
        <v>2595</v>
      </c>
      <c r="G661" s="140"/>
      <c r="H661" s="141"/>
      <c r="I661" s="26">
        <v>43750</v>
      </c>
      <c r="J661" s="117"/>
      <c r="K661" s="120"/>
      <c r="L661" s="121"/>
      <c r="M661" s="120"/>
      <c r="N661" s="121"/>
      <c r="O661" s="120"/>
      <c r="P661" s="121"/>
      <c r="Q661" s="120"/>
      <c r="R661" s="121"/>
      <c r="S661" s="120"/>
      <c r="T661" s="121"/>
      <c r="U661" s="120"/>
      <c r="V661" s="121"/>
      <c r="W661" s="125"/>
      <c r="X661" s="143" t="s">
        <v>2596</v>
      </c>
      <c r="Y661" s="143"/>
      <c r="Z661" s="143"/>
      <c r="AA661" s="143"/>
      <c r="AB661" s="144"/>
      <c r="AC661" s="16" t="s">
        <v>21</v>
      </c>
      <c r="AD661" s="17" t="s">
        <v>2597</v>
      </c>
      <c r="AE661" s="145" t="s">
        <v>1614</v>
      </c>
      <c r="AF661" s="146"/>
      <c r="AG661" s="146"/>
      <c r="AH661" s="146"/>
      <c r="AI661" s="147"/>
      <c r="AJ661" s="148"/>
      <c r="AK661" s="143"/>
      <c r="AL661" s="143"/>
      <c r="AM661" s="67" t="s">
        <v>907</v>
      </c>
      <c r="AN661" s="149"/>
      <c r="AO661" s="144"/>
      <c r="AP661" s="148"/>
      <c r="AQ661" s="144"/>
      <c r="AR661" s="120"/>
      <c r="AS661" s="121"/>
      <c r="AT661" s="120"/>
      <c r="AU661" s="182"/>
      <c r="AV661" s="120"/>
      <c r="AW661" s="121"/>
      <c r="AX661" s="120"/>
      <c r="AY661" s="121"/>
      <c r="AZ661" s="201"/>
    </row>
    <row r="662" spans="1:52" ht="17.100000000000001" customHeight="1" thickTop="1">
      <c r="A662" s="109" t="s">
        <v>6068</v>
      </c>
      <c r="B662" s="28">
        <v>45199</v>
      </c>
      <c r="C662" s="25">
        <v>1172</v>
      </c>
      <c r="D662" s="13" t="s">
        <v>1561</v>
      </c>
      <c r="E662" s="111"/>
      <c r="F662" s="113" t="s">
        <v>2598</v>
      </c>
      <c r="G662" s="273"/>
      <c r="H662" s="274"/>
      <c r="I662" s="24" t="s">
        <v>2272</v>
      </c>
      <c r="J662" s="116">
        <v>4.5</v>
      </c>
      <c r="K662" s="118">
        <v>875000</v>
      </c>
      <c r="L662" s="119"/>
      <c r="M662" s="118">
        <f>K662*0.1</f>
        <v>87500</v>
      </c>
      <c r="N662" s="119"/>
      <c r="O662" s="118">
        <v>0</v>
      </c>
      <c r="P662" s="119"/>
      <c r="Q662" s="118">
        <v>9080</v>
      </c>
      <c r="R662" s="119"/>
      <c r="S662" s="118">
        <v>12100</v>
      </c>
      <c r="T662" s="119"/>
      <c r="U662" s="118">
        <f>SUM(K662:T663)</f>
        <v>983680</v>
      </c>
      <c r="V662" s="119"/>
      <c r="W662" s="124"/>
      <c r="X662" s="127" t="s">
        <v>2599</v>
      </c>
      <c r="Y662" s="223"/>
      <c r="Z662" s="223"/>
      <c r="AA662" s="223"/>
      <c r="AB662" s="224"/>
      <c r="AC662" s="15" t="s">
        <v>20</v>
      </c>
      <c r="AD662" s="129" t="s">
        <v>1797</v>
      </c>
      <c r="AE662" s="130"/>
      <c r="AF662" s="130"/>
      <c r="AG662" s="130"/>
      <c r="AH662" s="130"/>
      <c r="AI662" s="131"/>
      <c r="AJ662" s="132" t="s">
        <v>2600</v>
      </c>
      <c r="AK662" s="127"/>
      <c r="AL662" s="127"/>
      <c r="AM662" s="21"/>
      <c r="AN662" s="133"/>
      <c r="AO662" s="134"/>
      <c r="AP662" s="135"/>
      <c r="AQ662" s="136"/>
      <c r="AR662" s="118"/>
      <c r="AS662" s="119"/>
      <c r="AT662" s="180">
        <f>AR662*0.1</f>
        <v>0</v>
      </c>
      <c r="AU662" s="181"/>
      <c r="AV662" s="118"/>
      <c r="AW662" s="119"/>
      <c r="AX662" s="118">
        <f>SUM(AR662:AW662)</f>
        <v>0</v>
      </c>
      <c r="AY662" s="119"/>
      <c r="AZ662" s="200"/>
    </row>
    <row r="663" spans="1:52" ht="17.100000000000001" customHeight="1" thickBot="1">
      <c r="A663" s="110"/>
      <c r="B663" s="27" t="s">
        <v>2511</v>
      </c>
      <c r="C663" s="27">
        <v>65082</v>
      </c>
      <c r="D663" s="14" t="s">
        <v>2601</v>
      </c>
      <c r="E663" s="112"/>
      <c r="F663" s="139" t="s">
        <v>2602</v>
      </c>
      <c r="G663" s="140"/>
      <c r="H663" s="141"/>
      <c r="I663" s="26">
        <v>55444</v>
      </c>
      <c r="J663" s="117"/>
      <c r="K663" s="120"/>
      <c r="L663" s="121"/>
      <c r="M663" s="120"/>
      <c r="N663" s="121"/>
      <c r="O663" s="120"/>
      <c r="P663" s="121"/>
      <c r="Q663" s="120"/>
      <c r="R663" s="121"/>
      <c r="S663" s="120"/>
      <c r="T663" s="121"/>
      <c r="U663" s="120"/>
      <c r="V663" s="121"/>
      <c r="W663" s="125"/>
      <c r="X663" s="143" t="s">
        <v>2603</v>
      </c>
      <c r="Y663" s="143"/>
      <c r="Z663" s="143"/>
      <c r="AA663" s="143"/>
      <c r="AB663" s="144"/>
      <c r="AC663" s="16" t="s">
        <v>21</v>
      </c>
      <c r="AD663" s="17" t="s">
        <v>2604</v>
      </c>
      <c r="AE663" s="145" t="s">
        <v>2605</v>
      </c>
      <c r="AF663" s="146"/>
      <c r="AG663" s="146"/>
      <c r="AH663" s="146"/>
      <c r="AI663" s="147"/>
      <c r="AJ663" s="148"/>
      <c r="AK663" s="143"/>
      <c r="AL663" s="143"/>
      <c r="AM663" s="22"/>
      <c r="AN663" s="149"/>
      <c r="AO663" s="144"/>
      <c r="AP663" s="148"/>
      <c r="AQ663" s="144"/>
      <c r="AR663" s="120"/>
      <c r="AS663" s="121"/>
      <c r="AT663" s="120"/>
      <c r="AU663" s="182"/>
      <c r="AV663" s="120"/>
      <c r="AW663" s="121"/>
      <c r="AX663" s="120"/>
      <c r="AY663" s="121"/>
      <c r="AZ663" s="201"/>
    </row>
    <row r="664" spans="1:52" ht="17.100000000000001" customHeight="1" thickTop="1">
      <c r="A664" s="109" t="s">
        <v>6069</v>
      </c>
      <c r="B664" s="28">
        <v>45199</v>
      </c>
      <c r="C664" s="25">
        <v>1172</v>
      </c>
      <c r="D664" s="13" t="s">
        <v>2606</v>
      </c>
      <c r="E664" s="111"/>
      <c r="F664" s="113" t="s">
        <v>2607</v>
      </c>
      <c r="G664" s="273"/>
      <c r="H664" s="274"/>
      <c r="I664" s="24" t="s">
        <v>2415</v>
      </c>
      <c r="J664" s="116">
        <v>4.5</v>
      </c>
      <c r="K664" s="118">
        <v>1810000</v>
      </c>
      <c r="L664" s="119"/>
      <c r="M664" s="118">
        <f>K664*0.1</f>
        <v>181000</v>
      </c>
      <c r="N664" s="119"/>
      <c r="O664" s="118">
        <v>18000</v>
      </c>
      <c r="P664" s="119"/>
      <c r="Q664" s="118">
        <v>21020</v>
      </c>
      <c r="R664" s="119"/>
      <c r="S664" s="118">
        <v>13200</v>
      </c>
      <c r="T664" s="119"/>
      <c r="U664" s="118">
        <f>SUM(K664:T665)</f>
        <v>2043220</v>
      </c>
      <c r="V664" s="119"/>
      <c r="W664" s="124"/>
      <c r="X664" s="127" t="s">
        <v>2608</v>
      </c>
      <c r="Y664" s="223"/>
      <c r="Z664" s="223"/>
      <c r="AA664" s="223"/>
      <c r="AB664" s="224"/>
      <c r="AC664" s="15" t="s">
        <v>20</v>
      </c>
      <c r="AD664" s="129" t="s">
        <v>2609</v>
      </c>
      <c r="AE664" s="130"/>
      <c r="AF664" s="130"/>
      <c r="AG664" s="130"/>
      <c r="AH664" s="130"/>
      <c r="AI664" s="131"/>
      <c r="AJ664" s="132"/>
      <c r="AK664" s="127"/>
      <c r="AL664" s="127"/>
      <c r="AM664" s="21"/>
      <c r="AN664" s="133"/>
      <c r="AO664" s="134"/>
      <c r="AP664" s="135"/>
      <c r="AQ664" s="136"/>
      <c r="AR664" s="118"/>
      <c r="AS664" s="119"/>
      <c r="AT664" s="180">
        <f>AR664*0.1</f>
        <v>0</v>
      </c>
      <c r="AU664" s="181"/>
      <c r="AV664" s="118"/>
      <c r="AW664" s="119"/>
      <c r="AX664" s="118">
        <f>SUM(AR664:AW664)</f>
        <v>0</v>
      </c>
      <c r="AY664" s="119"/>
      <c r="AZ664" s="200"/>
    </row>
    <row r="665" spans="1:52" ht="17.100000000000001" customHeight="1" thickBot="1">
      <c r="A665" s="110"/>
      <c r="B665" s="27" t="s">
        <v>2511</v>
      </c>
      <c r="C665" s="27">
        <v>85077</v>
      </c>
      <c r="D665" s="14" t="s">
        <v>275</v>
      </c>
      <c r="E665" s="112"/>
      <c r="F665" s="139" t="s">
        <v>2610</v>
      </c>
      <c r="G665" s="140"/>
      <c r="H665" s="141"/>
      <c r="I665" s="26">
        <v>34932</v>
      </c>
      <c r="J665" s="117"/>
      <c r="K665" s="120"/>
      <c r="L665" s="121"/>
      <c r="M665" s="120"/>
      <c r="N665" s="121"/>
      <c r="O665" s="120"/>
      <c r="P665" s="121"/>
      <c r="Q665" s="120"/>
      <c r="R665" s="121"/>
      <c r="S665" s="120"/>
      <c r="T665" s="121"/>
      <c r="U665" s="120"/>
      <c r="V665" s="121"/>
      <c r="W665" s="125"/>
      <c r="X665" s="143" t="s">
        <v>2611</v>
      </c>
      <c r="Y665" s="143"/>
      <c r="Z665" s="143"/>
      <c r="AA665" s="143"/>
      <c r="AB665" s="144"/>
      <c r="AC665" s="16" t="s">
        <v>21</v>
      </c>
      <c r="AD665" s="17" t="s">
        <v>2604</v>
      </c>
      <c r="AE665" s="145" t="s">
        <v>1614</v>
      </c>
      <c r="AF665" s="146"/>
      <c r="AG665" s="146"/>
      <c r="AH665" s="146"/>
      <c r="AI665" s="147"/>
      <c r="AJ665" s="148"/>
      <c r="AK665" s="143"/>
      <c r="AL665" s="143"/>
      <c r="AM665" s="22" t="s">
        <v>907</v>
      </c>
      <c r="AN665" s="149"/>
      <c r="AO665" s="144"/>
      <c r="AP665" s="148"/>
      <c r="AQ665" s="144"/>
      <c r="AR665" s="120"/>
      <c r="AS665" s="121"/>
      <c r="AT665" s="120"/>
      <c r="AU665" s="182"/>
      <c r="AV665" s="120"/>
      <c r="AW665" s="121"/>
      <c r="AX665" s="120"/>
      <c r="AY665" s="121"/>
      <c r="AZ665" s="201"/>
    </row>
    <row r="666" spans="1:52" ht="17.100000000000001" customHeight="1" thickTop="1">
      <c r="A666" s="109" t="s">
        <v>6070</v>
      </c>
      <c r="B666" s="28">
        <v>45204</v>
      </c>
      <c r="C666" s="25">
        <v>1437</v>
      </c>
      <c r="D666" s="13" t="s">
        <v>1937</v>
      </c>
      <c r="E666" s="111"/>
      <c r="F666" s="113" t="s">
        <v>2396</v>
      </c>
      <c r="G666" s="273"/>
      <c r="H666" s="274"/>
      <c r="I666" s="24"/>
      <c r="J666" s="116">
        <v>4</v>
      </c>
      <c r="K666" s="118">
        <v>2590000</v>
      </c>
      <c r="L666" s="119"/>
      <c r="M666" s="118">
        <v>259000</v>
      </c>
      <c r="N666" s="119"/>
      <c r="O666" s="118">
        <v>0</v>
      </c>
      <c r="P666" s="119"/>
      <c r="Q666" s="118">
        <v>22760</v>
      </c>
      <c r="R666" s="119"/>
      <c r="S666" s="118">
        <v>13200</v>
      </c>
      <c r="T666" s="119"/>
      <c r="U666" s="118">
        <f>SUM(K666:T667)</f>
        <v>2884960</v>
      </c>
      <c r="V666" s="119"/>
      <c r="W666" s="124"/>
      <c r="X666" s="127" t="s">
        <v>2612</v>
      </c>
      <c r="Y666" s="223"/>
      <c r="Z666" s="223"/>
      <c r="AA666" s="223"/>
      <c r="AB666" s="224"/>
      <c r="AC666" s="15" t="s">
        <v>20</v>
      </c>
      <c r="AD666" s="129" t="s">
        <v>1633</v>
      </c>
      <c r="AE666" s="130"/>
      <c r="AF666" s="130"/>
      <c r="AG666" s="130"/>
      <c r="AH666" s="130"/>
      <c r="AI666" s="131"/>
      <c r="AJ666" s="132"/>
      <c r="AK666" s="127"/>
      <c r="AL666" s="127"/>
      <c r="AM666" s="21"/>
      <c r="AN666" s="133"/>
      <c r="AO666" s="134"/>
      <c r="AP666" s="135"/>
      <c r="AQ666" s="136"/>
      <c r="AR666" s="118"/>
      <c r="AS666" s="119"/>
      <c r="AT666" s="180">
        <f>AR666*0.1</f>
        <v>0</v>
      </c>
      <c r="AU666" s="181"/>
      <c r="AV666" s="118"/>
      <c r="AW666" s="119"/>
      <c r="AX666" s="118">
        <f>SUM(AR666:AW666)</f>
        <v>0</v>
      </c>
      <c r="AY666" s="119"/>
      <c r="AZ666" s="200"/>
    </row>
    <row r="667" spans="1:52" ht="17.100000000000001" customHeight="1" thickBot="1">
      <c r="A667" s="110"/>
      <c r="B667" s="27" t="s">
        <v>1600</v>
      </c>
      <c r="C667" s="27">
        <v>75721</v>
      </c>
      <c r="D667" s="14" t="s">
        <v>1812</v>
      </c>
      <c r="E667" s="112"/>
      <c r="F667" s="139" t="s">
        <v>2613</v>
      </c>
      <c r="G667" s="140"/>
      <c r="H667" s="141"/>
      <c r="I667" s="26">
        <v>46927</v>
      </c>
      <c r="J667" s="117"/>
      <c r="K667" s="120"/>
      <c r="L667" s="121"/>
      <c r="M667" s="120"/>
      <c r="N667" s="121"/>
      <c r="O667" s="120"/>
      <c r="P667" s="121"/>
      <c r="Q667" s="120"/>
      <c r="R667" s="121"/>
      <c r="S667" s="120"/>
      <c r="T667" s="121"/>
      <c r="U667" s="120"/>
      <c r="V667" s="121"/>
      <c r="W667" s="125"/>
      <c r="X667" s="143" t="s">
        <v>2614</v>
      </c>
      <c r="Y667" s="143"/>
      <c r="Z667" s="143"/>
      <c r="AA667" s="143"/>
      <c r="AB667" s="144"/>
      <c r="AC667" s="16" t="s">
        <v>21</v>
      </c>
      <c r="AD667" s="17" t="s">
        <v>2604</v>
      </c>
      <c r="AE667" s="145" t="s">
        <v>2615</v>
      </c>
      <c r="AF667" s="146"/>
      <c r="AG667" s="146"/>
      <c r="AH667" s="146"/>
      <c r="AI667" s="147"/>
      <c r="AJ667" s="148"/>
      <c r="AK667" s="143"/>
      <c r="AL667" s="143"/>
      <c r="AM667" s="22"/>
      <c r="AN667" s="149"/>
      <c r="AO667" s="144"/>
      <c r="AP667" s="148"/>
      <c r="AQ667" s="144"/>
      <c r="AR667" s="120"/>
      <c r="AS667" s="121"/>
      <c r="AT667" s="120"/>
      <c r="AU667" s="182"/>
      <c r="AV667" s="120"/>
      <c r="AW667" s="121"/>
      <c r="AX667" s="120"/>
      <c r="AY667" s="121"/>
      <c r="AZ667" s="201"/>
    </row>
    <row r="668" spans="1:52" ht="17.100000000000001" customHeight="1" thickTop="1">
      <c r="A668" s="109" t="s">
        <v>6071</v>
      </c>
      <c r="B668" s="28">
        <v>45230</v>
      </c>
      <c r="C668" s="25">
        <v>969</v>
      </c>
      <c r="D668" s="13" t="s">
        <v>2616</v>
      </c>
      <c r="E668" s="111"/>
      <c r="F668" s="113" t="s">
        <v>2617</v>
      </c>
      <c r="G668" s="273"/>
      <c r="H668" s="274"/>
      <c r="I668" s="24" t="s">
        <v>2618</v>
      </c>
      <c r="J668" s="116">
        <v>4.5</v>
      </c>
      <c r="K668" s="118">
        <v>1460000</v>
      </c>
      <c r="L668" s="119"/>
      <c r="M668" s="118">
        <v>146000</v>
      </c>
      <c r="N668" s="119"/>
      <c r="O668" s="118">
        <v>13970</v>
      </c>
      <c r="P668" s="119"/>
      <c r="Q668" s="118">
        <v>16240</v>
      </c>
      <c r="R668" s="119"/>
      <c r="S668" s="118">
        <v>24200</v>
      </c>
      <c r="T668" s="119"/>
      <c r="U668" s="118">
        <f>SUM(K668:T669)</f>
        <v>1660410</v>
      </c>
      <c r="V668" s="119"/>
      <c r="W668" s="124"/>
      <c r="X668" s="127" t="s">
        <v>2619</v>
      </c>
      <c r="Y668" s="223"/>
      <c r="Z668" s="223"/>
      <c r="AA668" s="223"/>
      <c r="AB668" s="224"/>
      <c r="AC668" s="15" t="s">
        <v>20</v>
      </c>
      <c r="AD668" s="129" t="s">
        <v>1797</v>
      </c>
      <c r="AE668" s="130"/>
      <c r="AF668" s="130"/>
      <c r="AG668" s="130"/>
      <c r="AH668" s="130"/>
      <c r="AI668" s="131"/>
      <c r="AJ668" s="132"/>
      <c r="AK668" s="127"/>
      <c r="AL668" s="127"/>
      <c r="AM668" s="21" t="s">
        <v>2620</v>
      </c>
      <c r="AN668" s="133"/>
      <c r="AO668" s="134"/>
      <c r="AP668" s="135"/>
      <c r="AQ668" s="136"/>
      <c r="AR668" s="118"/>
      <c r="AS668" s="119"/>
      <c r="AT668" s="180">
        <f>AR668*0.1</f>
        <v>0</v>
      </c>
      <c r="AU668" s="181"/>
      <c r="AV668" s="118"/>
      <c r="AW668" s="119"/>
      <c r="AX668" s="118">
        <f>SUM(AR668:AW668)</f>
        <v>0</v>
      </c>
      <c r="AY668" s="119"/>
      <c r="AZ668" s="200"/>
    </row>
    <row r="669" spans="1:52" ht="17.100000000000001" customHeight="1" thickBot="1">
      <c r="A669" s="110"/>
      <c r="B669" s="27" t="s">
        <v>1591</v>
      </c>
      <c r="C669" s="27">
        <v>84076</v>
      </c>
      <c r="D669" s="14" t="s">
        <v>1812</v>
      </c>
      <c r="E669" s="112"/>
      <c r="F669" s="139" t="s">
        <v>2621</v>
      </c>
      <c r="G669" s="140"/>
      <c r="H669" s="141"/>
      <c r="I669" s="26">
        <v>39209</v>
      </c>
      <c r="J669" s="117"/>
      <c r="K669" s="120"/>
      <c r="L669" s="121"/>
      <c r="M669" s="120"/>
      <c r="N669" s="121"/>
      <c r="O669" s="120"/>
      <c r="P669" s="121"/>
      <c r="Q669" s="120"/>
      <c r="R669" s="121"/>
      <c r="S669" s="120"/>
      <c r="T669" s="121"/>
      <c r="U669" s="120"/>
      <c r="V669" s="121"/>
      <c r="W669" s="125"/>
      <c r="X669" s="143" t="s">
        <v>2622</v>
      </c>
      <c r="Y669" s="143"/>
      <c r="Z669" s="143"/>
      <c r="AA669" s="143"/>
      <c r="AB669" s="144"/>
      <c r="AC669" s="16" t="s">
        <v>21</v>
      </c>
      <c r="AD669" s="17" t="s">
        <v>2623</v>
      </c>
      <c r="AE669" s="145" t="s">
        <v>171</v>
      </c>
      <c r="AF669" s="146"/>
      <c r="AG669" s="146"/>
      <c r="AH669" s="146"/>
      <c r="AI669" s="147"/>
      <c r="AJ669" s="148"/>
      <c r="AK669" s="143"/>
      <c r="AL669" s="143"/>
      <c r="AM669" s="22"/>
      <c r="AN669" s="149"/>
      <c r="AO669" s="144"/>
      <c r="AP669" s="148"/>
      <c r="AQ669" s="144"/>
      <c r="AR669" s="120"/>
      <c r="AS669" s="121"/>
      <c r="AT669" s="120"/>
      <c r="AU669" s="182"/>
      <c r="AV669" s="120"/>
      <c r="AW669" s="121"/>
      <c r="AX669" s="120"/>
      <c r="AY669" s="121"/>
      <c r="AZ669" s="201"/>
    </row>
    <row r="670" spans="1:52" ht="17.100000000000001" customHeight="1" thickTop="1">
      <c r="A670" s="109" t="s">
        <v>6072</v>
      </c>
      <c r="B670" s="28">
        <v>45241</v>
      </c>
      <c r="C670" s="25">
        <v>1178</v>
      </c>
      <c r="D670" s="13" t="s">
        <v>2606</v>
      </c>
      <c r="E670" s="111" t="s">
        <v>166</v>
      </c>
      <c r="F670" s="113" t="s">
        <v>2312</v>
      </c>
      <c r="G670" s="273"/>
      <c r="H670" s="274"/>
      <c r="I670" s="24" t="s">
        <v>2624</v>
      </c>
      <c r="J670" s="116">
        <v>4.5</v>
      </c>
      <c r="K670" s="118">
        <v>2510000</v>
      </c>
      <c r="L670" s="119"/>
      <c r="M670" s="118">
        <v>251000</v>
      </c>
      <c r="N670" s="119"/>
      <c r="O670" s="118">
        <v>13200</v>
      </c>
      <c r="P670" s="119"/>
      <c r="Q670" s="118">
        <v>16240</v>
      </c>
      <c r="R670" s="119"/>
      <c r="S670" s="118">
        <v>23100</v>
      </c>
      <c r="T670" s="119"/>
      <c r="U670" s="118">
        <f>SUM(K670:T671)</f>
        <v>2813540</v>
      </c>
      <c r="V670" s="119"/>
      <c r="W670" s="124"/>
      <c r="X670" s="127" t="s">
        <v>2625</v>
      </c>
      <c r="Y670" s="223"/>
      <c r="Z670" s="223"/>
      <c r="AA670" s="223"/>
      <c r="AB670" s="224"/>
      <c r="AC670" s="15" t="s">
        <v>20</v>
      </c>
      <c r="AD670" s="129" t="s">
        <v>2626</v>
      </c>
      <c r="AE670" s="130"/>
      <c r="AF670" s="130"/>
      <c r="AG670" s="130"/>
      <c r="AH670" s="130"/>
      <c r="AI670" s="131"/>
      <c r="AJ670" s="132"/>
      <c r="AK670" s="127"/>
      <c r="AL670" s="127"/>
      <c r="AM670" s="21" t="s">
        <v>2627</v>
      </c>
      <c r="AN670" s="133"/>
      <c r="AO670" s="134"/>
      <c r="AP670" s="135"/>
      <c r="AQ670" s="136"/>
      <c r="AR670" s="118"/>
      <c r="AS670" s="119"/>
      <c r="AT670" s="180">
        <f>AR670*0.1</f>
        <v>0</v>
      </c>
      <c r="AU670" s="181"/>
      <c r="AV670" s="118"/>
      <c r="AW670" s="119"/>
      <c r="AX670" s="118">
        <f>SUM(AR670:AW670)</f>
        <v>0</v>
      </c>
      <c r="AY670" s="119"/>
      <c r="AZ670" s="200"/>
    </row>
    <row r="671" spans="1:52" ht="17.100000000000001" customHeight="1" thickBot="1">
      <c r="A671" s="110"/>
      <c r="B671" s="27" t="s">
        <v>2511</v>
      </c>
      <c r="C671" s="27">
        <v>82297</v>
      </c>
      <c r="D671" s="14" t="s">
        <v>275</v>
      </c>
      <c r="E671" s="112"/>
      <c r="F671" s="139" t="s">
        <v>2628</v>
      </c>
      <c r="G671" s="140"/>
      <c r="H671" s="141"/>
      <c r="I671" s="26">
        <v>19275</v>
      </c>
      <c r="J671" s="117"/>
      <c r="K671" s="120"/>
      <c r="L671" s="121"/>
      <c r="M671" s="120"/>
      <c r="N671" s="121"/>
      <c r="O671" s="120"/>
      <c r="P671" s="121"/>
      <c r="Q671" s="120"/>
      <c r="R671" s="121"/>
      <c r="S671" s="120"/>
      <c r="T671" s="121"/>
      <c r="U671" s="120"/>
      <c r="V671" s="121"/>
      <c r="W671" s="125"/>
      <c r="X671" s="143" t="s">
        <v>2629</v>
      </c>
      <c r="Y671" s="143"/>
      <c r="Z671" s="143"/>
      <c r="AA671" s="143"/>
      <c r="AB671" s="144"/>
      <c r="AC671" s="16" t="s">
        <v>21</v>
      </c>
      <c r="AD671" s="17" t="s">
        <v>2630</v>
      </c>
      <c r="AE671" s="145" t="s">
        <v>2631</v>
      </c>
      <c r="AF671" s="146"/>
      <c r="AG671" s="146"/>
      <c r="AH671" s="146"/>
      <c r="AI671" s="147"/>
      <c r="AJ671" s="148"/>
      <c r="AK671" s="143"/>
      <c r="AL671" s="143"/>
      <c r="AM671" s="22"/>
      <c r="AN671" s="149"/>
      <c r="AO671" s="144"/>
      <c r="AP671" s="148"/>
      <c r="AQ671" s="144"/>
      <c r="AR671" s="120"/>
      <c r="AS671" s="121"/>
      <c r="AT671" s="120"/>
      <c r="AU671" s="182"/>
      <c r="AV671" s="120"/>
      <c r="AW671" s="121"/>
      <c r="AX671" s="120"/>
      <c r="AY671" s="121"/>
      <c r="AZ671" s="201"/>
    </row>
    <row r="672" spans="1:52" ht="17.100000000000001" customHeight="1" thickTop="1">
      <c r="A672" s="109" t="s">
        <v>6073</v>
      </c>
      <c r="B672" s="28">
        <v>45261</v>
      </c>
      <c r="C672" s="25"/>
      <c r="D672" s="13" t="s">
        <v>2632</v>
      </c>
      <c r="E672" s="111"/>
      <c r="F672" s="113" t="s">
        <v>2633</v>
      </c>
      <c r="G672" s="273"/>
      <c r="H672" s="274"/>
      <c r="I672" s="24" t="s">
        <v>2428</v>
      </c>
      <c r="J672" s="116"/>
      <c r="K672" s="118">
        <v>4000000</v>
      </c>
      <c r="L672" s="119"/>
      <c r="M672" s="118"/>
      <c r="N672" s="119"/>
      <c r="O672" s="118"/>
      <c r="P672" s="119"/>
      <c r="Q672" s="118"/>
      <c r="R672" s="119"/>
      <c r="S672" s="118"/>
      <c r="T672" s="119"/>
      <c r="U672" s="118">
        <f>SUM(K672:T673)</f>
        <v>4000000</v>
      </c>
      <c r="V672" s="119"/>
      <c r="W672" s="124"/>
      <c r="X672" s="127" t="s">
        <v>2634</v>
      </c>
      <c r="Y672" s="223"/>
      <c r="Z672" s="223"/>
      <c r="AA672" s="223"/>
      <c r="AB672" s="224"/>
      <c r="AC672" s="15" t="s">
        <v>20</v>
      </c>
      <c r="AD672" s="129"/>
      <c r="AE672" s="130"/>
      <c r="AF672" s="130"/>
      <c r="AG672" s="130"/>
      <c r="AH672" s="130"/>
      <c r="AI672" s="131"/>
      <c r="AJ672" s="132"/>
      <c r="AK672" s="127"/>
      <c r="AL672" s="127"/>
      <c r="AM672" s="21"/>
      <c r="AN672" s="133"/>
      <c r="AO672" s="134"/>
      <c r="AP672" s="135"/>
      <c r="AQ672" s="136"/>
      <c r="AR672" s="118"/>
      <c r="AS672" s="119"/>
      <c r="AT672" s="180">
        <f>AR672*0.1</f>
        <v>0</v>
      </c>
      <c r="AU672" s="181"/>
      <c r="AV672" s="118"/>
      <c r="AW672" s="119"/>
      <c r="AX672" s="118">
        <f>SUM(AR672:AW672)</f>
        <v>0</v>
      </c>
      <c r="AY672" s="119"/>
      <c r="AZ672" s="200"/>
    </row>
    <row r="673" spans="1:52" ht="17.100000000000001" customHeight="1" thickBot="1">
      <c r="A673" s="110"/>
      <c r="B673" s="27" t="s">
        <v>2635</v>
      </c>
      <c r="C673" s="27"/>
      <c r="D673" s="14" t="s">
        <v>1883</v>
      </c>
      <c r="E673" s="112"/>
      <c r="F673" s="139" t="s">
        <v>2636</v>
      </c>
      <c r="G673" s="140"/>
      <c r="H673" s="141"/>
      <c r="I673" s="26">
        <v>25117</v>
      </c>
      <c r="J673" s="117"/>
      <c r="K673" s="120"/>
      <c r="L673" s="121"/>
      <c r="M673" s="120"/>
      <c r="N673" s="121"/>
      <c r="O673" s="120"/>
      <c r="P673" s="121"/>
      <c r="Q673" s="120"/>
      <c r="R673" s="121"/>
      <c r="S673" s="120"/>
      <c r="T673" s="121"/>
      <c r="U673" s="120"/>
      <c r="V673" s="121"/>
      <c r="W673" s="125"/>
      <c r="X673" s="143" t="s">
        <v>2637</v>
      </c>
      <c r="Y673" s="143"/>
      <c r="Z673" s="143"/>
      <c r="AA673" s="143"/>
      <c r="AB673" s="144"/>
      <c r="AC673" s="16" t="s">
        <v>21</v>
      </c>
      <c r="AD673" s="17" t="s">
        <v>2239</v>
      </c>
      <c r="AE673" s="145" t="s">
        <v>1742</v>
      </c>
      <c r="AF673" s="146"/>
      <c r="AG673" s="146"/>
      <c r="AH673" s="146"/>
      <c r="AI673" s="147"/>
      <c r="AJ673" s="148"/>
      <c r="AK673" s="143"/>
      <c r="AL673" s="143"/>
      <c r="AM673" s="22" t="s">
        <v>51</v>
      </c>
      <c r="AN673" s="149"/>
      <c r="AO673" s="144"/>
      <c r="AP673" s="148"/>
      <c r="AQ673" s="144"/>
      <c r="AR673" s="120"/>
      <c r="AS673" s="121"/>
      <c r="AT673" s="120"/>
      <c r="AU673" s="182"/>
      <c r="AV673" s="120"/>
      <c r="AW673" s="121"/>
      <c r="AX673" s="120"/>
      <c r="AY673" s="121"/>
      <c r="AZ673" s="201"/>
    </row>
    <row r="674" spans="1:52" ht="17.100000000000001" customHeight="1" thickTop="1">
      <c r="A674" s="109" t="s">
        <v>6074</v>
      </c>
      <c r="B674" s="28">
        <v>45310</v>
      </c>
      <c r="C674" s="25">
        <v>1304</v>
      </c>
      <c r="D674" s="13" t="s">
        <v>2179</v>
      </c>
      <c r="E674" s="111" t="s">
        <v>2638</v>
      </c>
      <c r="F674" s="113" t="s">
        <v>2639</v>
      </c>
      <c r="G674" s="273"/>
      <c r="H674" s="274"/>
      <c r="I674" s="24"/>
      <c r="J674" s="116">
        <v>4</v>
      </c>
      <c r="K674" s="118">
        <v>541000</v>
      </c>
      <c r="L674" s="119"/>
      <c r="M674" s="118">
        <v>54100</v>
      </c>
      <c r="N674" s="119"/>
      <c r="O674" s="118">
        <v>0</v>
      </c>
      <c r="P674" s="119"/>
      <c r="Q674" s="118">
        <v>8460</v>
      </c>
      <c r="R674" s="119"/>
      <c r="S674" s="118">
        <v>13200</v>
      </c>
      <c r="T674" s="119"/>
      <c r="U674" s="118">
        <f>SUM(K674:T675)</f>
        <v>616760</v>
      </c>
      <c r="V674" s="119"/>
      <c r="W674" s="124"/>
      <c r="X674" s="127" t="s">
        <v>2640</v>
      </c>
      <c r="Y674" s="223"/>
      <c r="Z674" s="223"/>
      <c r="AA674" s="223"/>
      <c r="AB674" s="224"/>
      <c r="AC674" s="15" t="s">
        <v>20</v>
      </c>
      <c r="AD674" s="129"/>
      <c r="AE674" s="130"/>
      <c r="AF674" s="130"/>
      <c r="AG674" s="130"/>
      <c r="AH674" s="130"/>
      <c r="AI674" s="131"/>
      <c r="AJ674" s="132"/>
      <c r="AK674" s="127"/>
      <c r="AL674" s="127"/>
      <c r="AM674" s="21"/>
      <c r="AN674" s="133"/>
      <c r="AO674" s="134"/>
      <c r="AP674" s="135"/>
      <c r="AQ674" s="136"/>
      <c r="AR674" s="118"/>
      <c r="AS674" s="119"/>
      <c r="AT674" s="180">
        <f>AR674*0.1</f>
        <v>0</v>
      </c>
      <c r="AU674" s="181"/>
      <c r="AV674" s="118"/>
      <c r="AW674" s="119"/>
      <c r="AX674" s="118">
        <f>SUM(AR674:AW674)</f>
        <v>0</v>
      </c>
      <c r="AY674" s="119"/>
      <c r="AZ674" s="200"/>
    </row>
    <row r="675" spans="1:52" ht="17.100000000000001" customHeight="1" thickBot="1">
      <c r="A675" s="110"/>
      <c r="B675" s="27" t="s">
        <v>2641</v>
      </c>
      <c r="C675" s="27">
        <v>3037</v>
      </c>
      <c r="D675" s="14" t="s">
        <v>2183</v>
      </c>
      <c r="E675" s="112"/>
      <c r="F675" s="139" t="s">
        <v>2642</v>
      </c>
      <c r="G675" s="140"/>
      <c r="H675" s="141"/>
      <c r="I675" s="26">
        <v>33316</v>
      </c>
      <c r="J675" s="117"/>
      <c r="K675" s="120"/>
      <c r="L675" s="121"/>
      <c r="M675" s="120"/>
      <c r="N675" s="121"/>
      <c r="O675" s="120"/>
      <c r="P675" s="121"/>
      <c r="Q675" s="120"/>
      <c r="R675" s="121"/>
      <c r="S675" s="120"/>
      <c r="T675" s="121"/>
      <c r="U675" s="120"/>
      <c r="V675" s="121"/>
      <c r="W675" s="125"/>
      <c r="X675" s="143" t="s">
        <v>2643</v>
      </c>
      <c r="Y675" s="143"/>
      <c r="Z675" s="143"/>
      <c r="AA675" s="143"/>
      <c r="AB675" s="144"/>
      <c r="AC675" s="16" t="s">
        <v>21</v>
      </c>
      <c r="AD675" s="17" t="s">
        <v>2644</v>
      </c>
      <c r="AE675" s="145" t="s">
        <v>2395</v>
      </c>
      <c r="AF675" s="146"/>
      <c r="AG675" s="146"/>
      <c r="AH675" s="146"/>
      <c r="AI675" s="147"/>
      <c r="AJ675" s="148"/>
      <c r="AK675" s="143"/>
      <c r="AL675" s="143"/>
      <c r="AM675" s="22"/>
      <c r="AN675" s="149"/>
      <c r="AO675" s="144"/>
      <c r="AP675" s="148"/>
      <c r="AQ675" s="144"/>
      <c r="AR675" s="120"/>
      <c r="AS675" s="121"/>
      <c r="AT675" s="120"/>
      <c r="AU675" s="182"/>
      <c r="AV675" s="120"/>
      <c r="AW675" s="121"/>
      <c r="AX675" s="120"/>
      <c r="AY675" s="121"/>
      <c r="AZ675" s="201"/>
    </row>
    <row r="676" spans="1:52" ht="17.100000000000001" customHeight="1" thickTop="1">
      <c r="A676" s="109" t="s">
        <v>6075</v>
      </c>
      <c r="B676" s="28">
        <v>45310</v>
      </c>
      <c r="C676" s="25">
        <v>2020</v>
      </c>
      <c r="D676" s="13" t="s">
        <v>2645</v>
      </c>
      <c r="E676" s="111"/>
      <c r="F676" s="113" t="s">
        <v>2646</v>
      </c>
      <c r="G676" s="273"/>
      <c r="H676" s="274"/>
      <c r="I676" s="24" t="s">
        <v>2272</v>
      </c>
      <c r="J676" s="116">
        <v>4.5</v>
      </c>
      <c r="K676" s="118">
        <v>445000</v>
      </c>
      <c r="L676" s="119"/>
      <c r="M676" s="118">
        <v>44500</v>
      </c>
      <c r="N676" s="119"/>
      <c r="O676" s="118">
        <v>8250</v>
      </c>
      <c r="P676" s="119"/>
      <c r="Q676" s="118">
        <v>18500</v>
      </c>
      <c r="R676" s="119"/>
      <c r="S676" s="118">
        <v>13200</v>
      </c>
      <c r="T676" s="119"/>
      <c r="U676" s="118">
        <f>SUM(K676:T677)</f>
        <v>529450</v>
      </c>
      <c r="V676" s="119"/>
      <c r="W676" s="124"/>
      <c r="X676" s="127" t="s">
        <v>2647</v>
      </c>
      <c r="Y676" s="223"/>
      <c r="Z676" s="223"/>
      <c r="AA676" s="223"/>
      <c r="AB676" s="224"/>
      <c r="AC676" s="15" t="s">
        <v>20</v>
      </c>
      <c r="AD676" s="129"/>
      <c r="AE676" s="130"/>
      <c r="AF676" s="130"/>
      <c r="AG676" s="130"/>
      <c r="AH676" s="130"/>
      <c r="AI676" s="131"/>
      <c r="AJ676" s="132"/>
      <c r="AK676" s="127"/>
      <c r="AL676" s="127"/>
      <c r="AM676" s="21"/>
      <c r="AN676" s="133"/>
      <c r="AO676" s="134"/>
      <c r="AP676" s="135"/>
      <c r="AQ676" s="136"/>
      <c r="AR676" s="118"/>
      <c r="AS676" s="119"/>
      <c r="AT676" s="180">
        <f>AR676*0.1</f>
        <v>0</v>
      </c>
      <c r="AU676" s="181"/>
      <c r="AV676" s="118"/>
      <c r="AW676" s="119"/>
      <c r="AX676" s="118">
        <f>SUM(AR676:AW676)</f>
        <v>0</v>
      </c>
      <c r="AY676" s="119"/>
      <c r="AZ676" s="200"/>
    </row>
    <row r="677" spans="1:52" ht="17.100000000000001" customHeight="1" thickBot="1">
      <c r="A677" s="110"/>
      <c r="B677" s="27" t="s">
        <v>1543</v>
      </c>
      <c r="C677" s="27">
        <v>58320</v>
      </c>
      <c r="D677" s="14" t="s">
        <v>275</v>
      </c>
      <c r="E677" s="112"/>
      <c r="F677" s="139" t="s">
        <v>2648</v>
      </c>
      <c r="G677" s="140"/>
      <c r="H677" s="141"/>
      <c r="I677" s="26">
        <v>57747</v>
      </c>
      <c r="J677" s="117"/>
      <c r="K677" s="120"/>
      <c r="L677" s="121"/>
      <c r="M677" s="120"/>
      <c r="N677" s="121"/>
      <c r="O677" s="120"/>
      <c r="P677" s="121"/>
      <c r="Q677" s="120"/>
      <c r="R677" s="121"/>
      <c r="S677" s="120"/>
      <c r="T677" s="121"/>
      <c r="U677" s="120"/>
      <c r="V677" s="121"/>
      <c r="W677" s="125"/>
      <c r="X677" s="143" t="s">
        <v>2649</v>
      </c>
      <c r="Y677" s="143"/>
      <c r="Z677" s="143"/>
      <c r="AA677" s="143"/>
      <c r="AB677" s="144"/>
      <c r="AC677" s="16" t="s">
        <v>21</v>
      </c>
      <c r="AD677" s="17" t="s">
        <v>2644</v>
      </c>
      <c r="AE677" s="145" t="s">
        <v>1742</v>
      </c>
      <c r="AF677" s="146"/>
      <c r="AG677" s="146"/>
      <c r="AH677" s="146"/>
      <c r="AI677" s="147"/>
      <c r="AJ677" s="148"/>
      <c r="AK677" s="143"/>
      <c r="AL677" s="143"/>
      <c r="AM677" s="22" t="s">
        <v>907</v>
      </c>
      <c r="AN677" s="149"/>
      <c r="AO677" s="144"/>
      <c r="AP677" s="148"/>
      <c r="AQ677" s="144"/>
      <c r="AR677" s="120"/>
      <c r="AS677" s="121"/>
      <c r="AT677" s="120"/>
      <c r="AU677" s="182"/>
      <c r="AV677" s="120"/>
      <c r="AW677" s="121"/>
      <c r="AX677" s="120"/>
      <c r="AY677" s="121"/>
      <c r="AZ677" s="201"/>
    </row>
    <row r="678" spans="1:52" ht="17.100000000000001" customHeight="1" thickTop="1">
      <c r="A678" s="109" t="s">
        <v>6076</v>
      </c>
      <c r="B678" s="28">
        <v>45317</v>
      </c>
      <c r="C678" s="25">
        <v>2021</v>
      </c>
      <c r="D678" s="13" t="s">
        <v>2371</v>
      </c>
      <c r="E678" s="111"/>
      <c r="F678" s="113" t="s">
        <v>2650</v>
      </c>
      <c r="G678" s="273"/>
      <c r="H678" s="274"/>
      <c r="I678" s="24" t="s">
        <v>2651</v>
      </c>
      <c r="J678" s="116">
        <v>4</v>
      </c>
      <c r="K678" s="118">
        <v>1600000</v>
      </c>
      <c r="L678" s="119"/>
      <c r="M678" s="118">
        <v>160000</v>
      </c>
      <c r="N678" s="119"/>
      <c r="O678" s="118">
        <v>16060</v>
      </c>
      <c r="P678" s="119"/>
      <c r="Q678" s="118">
        <v>19720</v>
      </c>
      <c r="R678" s="119"/>
      <c r="S678" s="118">
        <v>13200</v>
      </c>
      <c r="T678" s="119"/>
      <c r="U678" s="118">
        <f>SUM(K678:T679)</f>
        <v>1808980</v>
      </c>
      <c r="V678" s="119"/>
      <c r="W678" s="124"/>
      <c r="X678" s="127" t="s">
        <v>2652</v>
      </c>
      <c r="Y678" s="223"/>
      <c r="Z678" s="223"/>
      <c r="AA678" s="223"/>
      <c r="AB678" s="224"/>
      <c r="AC678" s="15" t="s">
        <v>20</v>
      </c>
      <c r="AD678" s="129" t="s">
        <v>1605</v>
      </c>
      <c r="AE678" s="130"/>
      <c r="AF678" s="130"/>
      <c r="AG678" s="130"/>
      <c r="AH678" s="130"/>
      <c r="AI678" s="131"/>
      <c r="AJ678" s="132"/>
      <c r="AK678" s="127"/>
      <c r="AL678" s="127"/>
      <c r="AM678" s="21"/>
      <c r="AN678" s="133">
        <v>46349</v>
      </c>
      <c r="AO678" s="134"/>
      <c r="AP678" s="135"/>
      <c r="AQ678" s="136"/>
      <c r="AR678" s="118">
        <v>3960000</v>
      </c>
      <c r="AS678" s="119"/>
      <c r="AT678" s="180">
        <v>0</v>
      </c>
      <c r="AU678" s="181"/>
      <c r="AV678" s="118">
        <v>0</v>
      </c>
      <c r="AW678" s="119"/>
      <c r="AX678" s="118">
        <f>SUM(AR678:AW678)</f>
        <v>3960000</v>
      </c>
      <c r="AY678" s="119"/>
      <c r="AZ678" s="200">
        <v>46031</v>
      </c>
    </row>
    <row r="679" spans="1:52" ht="17.100000000000001" customHeight="1" thickBot="1">
      <c r="A679" s="110"/>
      <c r="B679" s="27" t="s">
        <v>1543</v>
      </c>
      <c r="C679" s="27">
        <v>58152</v>
      </c>
      <c r="D679" s="14" t="s">
        <v>2086</v>
      </c>
      <c r="E679" s="112"/>
      <c r="F679" s="139" t="s">
        <v>2653</v>
      </c>
      <c r="G679" s="140"/>
      <c r="H679" s="141"/>
      <c r="I679" s="26">
        <v>53146</v>
      </c>
      <c r="J679" s="117"/>
      <c r="K679" s="120"/>
      <c r="L679" s="121"/>
      <c r="M679" s="120"/>
      <c r="N679" s="121"/>
      <c r="O679" s="120"/>
      <c r="P679" s="121"/>
      <c r="Q679" s="120"/>
      <c r="R679" s="121"/>
      <c r="S679" s="120"/>
      <c r="T679" s="121"/>
      <c r="U679" s="120"/>
      <c r="V679" s="121"/>
      <c r="W679" s="125"/>
      <c r="X679" s="143" t="s">
        <v>2358</v>
      </c>
      <c r="Y679" s="143"/>
      <c r="Z679" s="143"/>
      <c r="AA679" s="143"/>
      <c r="AB679" s="144"/>
      <c r="AC679" s="16" t="s">
        <v>21</v>
      </c>
      <c r="AD679" s="17" t="s">
        <v>2654</v>
      </c>
      <c r="AE679" s="145" t="s">
        <v>2655</v>
      </c>
      <c r="AF679" s="146"/>
      <c r="AG679" s="146"/>
      <c r="AH679" s="146"/>
      <c r="AI679" s="147"/>
      <c r="AJ679" s="148"/>
      <c r="AK679" s="143"/>
      <c r="AL679" s="143"/>
      <c r="AM679" s="22" t="s">
        <v>907</v>
      </c>
      <c r="AN679" s="149" t="s">
        <v>17463</v>
      </c>
      <c r="AO679" s="144"/>
      <c r="AP679" s="148"/>
      <c r="AQ679" s="144"/>
      <c r="AR679" s="120"/>
      <c r="AS679" s="121"/>
      <c r="AT679" s="120"/>
      <c r="AU679" s="182"/>
      <c r="AV679" s="120"/>
      <c r="AW679" s="121"/>
      <c r="AX679" s="120"/>
      <c r="AY679" s="121"/>
      <c r="AZ679" s="201"/>
    </row>
    <row r="680" spans="1:52" ht="17.100000000000001" customHeight="1" thickTop="1">
      <c r="A680" s="109" t="s">
        <v>6077</v>
      </c>
      <c r="B680" s="28">
        <v>45324</v>
      </c>
      <c r="C680" s="25">
        <v>2022</v>
      </c>
      <c r="D680" s="13" t="s">
        <v>2298</v>
      </c>
      <c r="E680" s="111"/>
      <c r="F680" s="113" t="s">
        <v>2656</v>
      </c>
      <c r="G680" s="273"/>
      <c r="H680" s="274"/>
      <c r="I680" s="24"/>
      <c r="J680" s="116">
        <v>5</v>
      </c>
      <c r="K680" s="118">
        <v>2490000</v>
      </c>
      <c r="L680" s="119"/>
      <c r="M680" s="118">
        <f>K680*0.1</f>
        <v>249000</v>
      </c>
      <c r="N680" s="119"/>
      <c r="O680" s="118">
        <v>0</v>
      </c>
      <c r="P680" s="119"/>
      <c r="Q680" s="118">
        <v>17600</v>
      </c>
      <c r="R680" s="119"/>
      <c r="S680" s="118">
        <v>13200</v>
      </c>
      <c r="T680" s="119"/>
      <c r="U680" s="118">
        <f>SUM(K680:T681)</f>
        <v>2769800</v>
      </c>
      <c r="V680" s="119"/>
      <c r="W680" s="124"/>
      <c r="X680" s="127" t="s">
        <v>2657</v>
      </c>
      <c r="Y680" s="223"/>
      <c r="Z680" s="223"/>
      <c r="AA680" s="223"/>
      <c r="AB680" s="224"/>
      <c r="AC680" s="15" t="s">
        <v>20</v>
      </c>
      <c r="AD680" s="129"/>
      <c r="AE680" s="130"/>
      <c r="AF680" s="130"/>
      <c r="AG680" s="130"/>
      <c r="AH680" s="130"/>
      <c r="AI680" s="131"/>
      <c r="AJ680" s="132"/>
      <c r="AK680" s="127"/>
      <c r="AL680" s="127"/>
      <c r="AM680" s="21"/>
      <c r="AN680" s="133"/>
      <c r="AO680" s="134"/>
      <c r="AP680" s="135"/>
      <c r="AQ680" s="136"/>
      <c r="AR680" s="118"/>
      <c r="AS680" s="119"/>
      <c r="AT680" s="180">
        <f>AR680*0.1</f>
        <v>0</v>
      </c>
      <c r="AU680" s="181"/>
      <c r="AV680" s="118"/>
      <c r="AW680" s="119"/>
      <c r="AX680" s="118">
        <f>SUM(AR680:AW680)</f>
        <v>0</v>
      </c>
      <c r="AY680" s="119"/>
      <c r="AZ680" s="200"/>
    </row>
    <row r="681" spans="1:52" ht="17.100000000000001" customHeight="1" thickBot="1">
      <c r="A681" s="110"/>
      <c r="B681" s="27" t="s">
        <v>1543</v>
      </c>
      <c r="C681" s="27">
        <v>58582</v>
      </c>
      <c r="D681" s="14" t="s">
        <v>1700</v>
      </c>
      <c r="E681" s="112"/>
      <c r="F681" s="139" t="s">
        <v>2658</v>
      </c>
      <c r="G681" s="140"/>
      <c r="H681" s="141"/>
      <c r="I681" s="26">
        <v>30096</v>
      </c>
      <c r="J681" s="117"/>
      <c r="K681" s="120"/>
      <c r="L681" s="121"/>
      <c r="M681" s="120"/>
      <c r="N681" s="121"/>
      <c r="O681" s="120"/>
      <c r="P681" s="121"/>
      <c r="Q681" s="120"/>
      <c r="R681" s="121"/>
      <c r="S681" s="120"/>
      <c r="T681" s="121"/>
      <c r="U681" s="120"/>
      <c r="V681" s="121"/>
      <c r="W681" s="125"/>
      <c r="X681" s="143" t="s">
        <v>2659</v>
      </c>
      <c r="Y681" s="143"/>
      <c r="Z681" s="143"/>
      <c r="AA681" s="143"/>
      <c r="AB681" s="144"/>
      <c r="AC681" s="16" t="s">
        <v>21</v>
      </c>
      <c r="AD681" s="17" t="s">
        <v>2187</v>
      </c>
      <c r="AE681" s="145"/>
      <c r="AF681" s="146"/>
      <c r="AG681" s="146"/>
      <c r="AH681" s="146"/>
      <c r="AI681" s="147"/>
      <c r="AJ681" s="275" t="s">
        <v>2660</v>
      </c>
      <c r="AK681" s="276"/>
      <c r="AL681" s="276"/>
      <c r="AM681" s="22"/>
      <c r="AN681" s="149"/>
      <c r="AO681" s="144"/>
      <c r="AP681" s="148"/>
      <c r="AQ681" s="144"/>
      <c r="AR681" s="120"/>
      <c r="AS681" s="121"/>
      <c r="AT681" s="120"/>
      <c r="AU681" s="182"/>
      <c r="AV681" s="120"/>
      <c r="AW681" s="121"/>
      <c r="AX681" s="120"/>
      <c r="AY681" s="121"/>
      <c r="AZ681" s="201"/>
    </row>
    <row r="682" spans="1:52" ht="17.100000000000001" customHeight="1" thickTop="1">
      <c r="A682" s="109" t="s">
        <v>6078</v>
      </c>
      <c r="B682" s="28">
        <v>45334</v>
      </c>
      <c r="C682" s="25">
        <v>1982</v>
      </c>
      <c r="D682" s="13" t="s">
        <v>2661</v>
      </c>
      <c r="E682" s="111"/>
      <c r="F682" s="113" t="s">
        <v>2662</v>
      </c>
      <c r="G682" s="273"/>
      <c r="H682" s="274"/>
      <c r="I682" s="24" t="s">
        <v>2663</v>
      </c>
      <c r="J682" s="116">
        <v>4</v>
      </c>
      <c r="K682" s="118">
        <v>1825000</v>
      </c>
      <c r="L682" s="119"/>
      <c r="M682" s="118">
        <f>K682*0.1</f>
        <v>182500</v>
      </c>
      <c r="N682" s="119"/>
      <c r="O682" s="118">
        <v>8030</v>
      </c>
      <c r="P682" s="119"/>
      <c r="Q682" s="118">
        <v>19120</v>
      </c>
      <c r="R682" s="119"/>
      <c r="S682" s="118">
        <v>11000</v>
      </c>
      <c r="T682" s="119"/>
      <c r="U682" s="118">
        <f>SUM(K682:T683)</f>
        <v>2045650</v>
      </c>
      <c r="V682" s="119"/>
      <c r="W682" s="124"/>
      <c r="X682" s="127" t="s">
        <v>2664</v>
      </c>
      <c r="Y682" s="223"/>
      <c r="Z682" s="223"/>
      <c r="AA682" s="223"/>
      <c r="AB682" s="224"/>
      <c r="AC682" s="15" t="s">
        <v>20</v>
      </c>
      <c r="AD682" s="129" t="s">
        <v>171</v>
      </c>
      <c r="AE682" s="130"/>
      <c r="AF682" s="130"/>
      <c r="AG682" s="130"/>
      <c r="AH682" s="130"/>
      <c r="AI682" s="131"/>
      <c r="AJ682" s="132"/>
      <c r="AK682" s="127"/>
      <c r="AL682" s="127"/>
      <c r="AM682" s="21"/>
      <c r="AN682" s="133"/>
      <c r="AO682" s="134"/>
      <c r="AP682" s="135"/>
      <c r="AQ682" s="136"/>
      <c r="AR682" s="118"/>
      <c r="AS682" s="119"/>
      <c r="AT682" s="180">
        <f>AR682*0.1</f>
        <v>0</v>
      </c>
      <c r="AU682" s="181"/>
      <c r="AV682" s="118"/>
      <c r="AW682" s="119"/>
      <c r="AX682" s="118">
        <f>SUM(AR682:AW682)</f>
        <v>0</v>
      </c>
      <c r="AY682" s="119"/>
      <c r="AZ682" s="200"/>
    </row>
    <row r="683" spans="1:52" ht="17.100000000000001" customHeight="1" thickBot="1">
      <c r="A683" s="110"/>
      <c r="B683" s="27" t="s">
        <v>83</v>
      </c>
      <c r="C683" s="27">
        <v>33526</v>
      </c>
      <c r="D683" s="14" t="s">
        <v>275</v>
      </c>
      <c r="E683" s="112"/>
      <c r="F683" s="139" t="s">
        <v>2665</v>
      </c>
      <c r="G683" s="140"/>
      <c r="H683" s="141"/>
      <c r="I683" s="26">
        <v>48616</v>
      </c>
      <c r="J683" s="117"/>
      <c r="K683" s="120"/>
      <c r="L683" s="121"/>
      <c r="M683" s="120"/>
      <c r="N683" s="121"/>
      <c r="O683" s="120"/>
      <c r="P683" s="121"/>
      <c r="Q683" s="120"/>
      <c r="R683" s="121"/>
      <c r="S683" s="120"/>
      <c r="T683" s="121"/>
      <c r="U683" s="120"/>
      <c r="V683" s="121"/>
      <c r="W683" s="125"/>
      <c r="X683" s="143" t="s">
        <v>2666</v>
      </c>
      <c r="Y683" s="143"/>
      <c r="Z683" s="143"/>
      <c r="AA683" s="143"/>
      <c r="AB683" s="144"/>
      <c r="AC683" s="16" t="s">
        <v>21</v>
      </c>
      <c r="AD683" s="17" t="s">
        <v>2339</v>
      </c>
      <c r="AE683" s="145" t="s">
        <v>2667</v>
      </c>
      <c r="AF683" s="146"/>
      <c r="AG683" s="146"/>
      <c r="AH683" s="146"/>
      <c r="AI683" s="147"/>
      <c r="AJ683" s="148"/>
      <c r="AK683" s="143"/>
      <c r="AL683" s="143"/>
      <c r="AM683" s="22" t="s">
        <v>907</v>
      </c>
      <c r="AN683" s="149"/>
      <c r="AO683" s="144"/>
      <c r="AP683" s="148"/>
      <c r="AQ683" s="144"/>
      <c r="AR683" s="120"/>
      <c r="AS683" s="121"/>
      <c r="AT683" s="120"/>
      <c r="AU683" s="182"/>
      <c r="AV683" s="120"/>
      <c r="AW683" s="121"/>
      <c r="AX683" s="120"/>
      <c r="AY683" s="121"/>
      <c r="AZ683" s="201"/>
    </row>
    <row r="684" spans="1:52" ht="17.100000000000001" customHeight="1" thickTop="1">
      <c r="A684" s="109" t="s">
        <v>6079</v>
      </c>
      <c r="B684" s="28">
        <v>45350</v>
      </c>
      <c r="C684" s="25">
        <v>1271</v>
      </c>
      <c r="D684" s="13" t="s">
        <v>2329</v>
      </c>
      <c r="E684" s="111" t="s">
        <v>166</v>
      </c>
      <c r="F684" s="113" t="s">
        <v>2668</v>
      </c>
      <c r="G684" s="273"/>
      <c r="H684" s="274"/>
      <c r="I684" s="24" t="s">
        <v>2508</v>
      </c>
      <c r="J684" s="116">
        <v>4.5</v>
      </c>
      <c r="K684" s="118">
        <v>3300000</v>
      </c>
      <c r="L684" s="119"/>
      <c r="M684" s="118">
        <f>K684*0.1</f>
        <v>330000</v>
      </c>
      <c r="N684" s="119"/>
      <c r="O684" s="118">
        <v>3300</v>
      </c>
      <c r="P684" s="119"/>
      <c r="Q684" s="118">
        <v>18270</v>
      </c>
      <c r="R684" s="119"/>
      <c r="S684" s="118">
        <v>29700</v>
      </c>
      <c r="T684" s="119"/>
      <c r="U684" s="118">
        <f>SUM(K684:T685)</f>
        <v>3681270</v>
      </c>
      <c r="V684" s="119"/>
      <c r="W684" s="124"/>
      <c r="X684" s="127" t="s">
        <v>2669</v>
      </c>
      <c r="Y684" s="223"/>
      <c r="Z684" s="223"/>
      <c r="AA684" s="223"/>
      <c r="AB684" s="224"/>
      <c r="AC684" s="15" t="s">
        <v>20</v>
      </c>
      <c r="AD684" s="129" t="s">
        <v>171</v>
      </c>
      <c r="AE684" s="130"/>
      <c r="AF684" s="130"/>
      <c r="AG684" s="130"/>
      <c r="AH684" s="130"/>
      <c r="AI684" s="131"/>
      <c r="AJ684" s="132"/>
      <c r="AK684" s="127"/>
      <c r="AL684" s="127"/>
      <c r="AM684" s="21" t="s">
        <v>2670</v>
      </c>
      <c r="AN684" s="133"/>
      <c r="AO684" s="134"/>
      <c r="AP684" s="135"/>
      <c r="AQ684" s="136"/>
      <c r="AR684" s="118"/>
      <c r="AS684" s="119"/>
      <c r="AT684" s="180">
        <f>AR684*0.1</f>
        <v>0</v>
      </c>
      <c r="AU684" s="181"/>
      <c r="AV684" s="118"/>
      <c r="AW684" s="119"/>
      <c r="AX684" s="118">
        <f>SUM(AR684:AW684)</f>
        <v>0</v>
      </c>
      <c r="AY684" s="119"/>
      <c r="AZ684" s="200"/>
    </row>
    <row r="685" spans="1:52" ht="17.100000000000001" customHeight="1" thickBot="1">
      <c r="A685" s="110"/>
      <c r="B685" s="27" t="s">
        <v>2454</v>
      </c>
      <c r="C685" s="27">
        <v>8017</v>
      </c>
      <c r="D685" s="14" t="s">
        <v>1592</v>
      </c>
      <c r="E685" s="112"/>
      <c r="F685" s="139" t="s">
        <v>2671</v>
      </c>
      <c r="G685" s="140"/>
      <c r="H685" s="141"/>
      <c r="I685" s="26">
        <v>35706</v>
      </c>
      <c r="J685" s="117"/>
      <c r="K685" s="120"/>
      <c r="L685" s="121"/>
      <c r="M685" s="120"/>
      <c r="N685" s="121"/>
      <c r="O685" s="120"/>
      <c r="P685" s="121"/>
      <c r="Q685" s="120"/>
      <c r="R685" s="121"/>
      <c r="S685" s="120"/>
      <c r="T685" s="121"/>
      <c r="U685" s="120"/>
      <c r="V685" s="121"/>
      <c r="W685" s="125"/>
      <c r="X685" s="143" t="s">
        <v>2672</v>
      </c>
      <c r="Y685" s="143"/>
      <c r="Z685" s="143"/>
      <c r="AA685" s="143"/>
      <c r="AB685" s="144"/>
      <c r="AC685" s="16" t="s">
        <v>21</v>
      </c>
      <c r="AD685" s="17" t="s">
        <v>2359</v>
      </c>
      <c r="AE685" s="145" t="s">
        <v>2673</v>
      </c>
      <c r="AF685" s="146"/>
      <c r="AG685" s="146"/>
      <c r="AH685" s="146"/>
      <c r="AI685" s="147"/>
      <c r="AJ685" s="148"/>
      <c r="AK685" s="143"/>
      <c r="AL685" s="143"/>
      <c r="AM685" s="22"/>
      <c r="AN685" s="149"/>
      <c r="AO685" s="144"/>
      <c r="AP685" s="148"/>
      <c r="AQ685" s="144"/>
      <c r="AR685" s="120"/>
      <c r="AS685" s="121"/>
      <c r="AT685" s="120"/>
      <c r="AU685" s="182"/>
      <c r="AV685" s="120"/>
      <c r="AW685" s="121"/>
      <c r="AX685" s="120"/>
      <c r="AY685" s="121"/>
      <c r="AZ685" s="201"/>
    </row>
    <row r="686" spans="1:52" ht="17.100000000000001" customHeight="1" thickTop="1">
      <c r="A686" s="109" t="s">
        <v>6080</v>
      </c>
      <c r="B686" s="28">
        <v>45353</v>
      </c>
      <c r="C686" s="25">
        <v>1435</v>
      </c>
      <c r="D686" s="13" t="s">
        <v>1649</v>
      </c>
      <c r="E686" s="111"/>
      <c r="F686" s="113" t="s">
        <v>1607</v>
      </c>
      <c r="G686" s="273"/>
      <c r="H686" s="274"/>
      <c r="I686" s="24" t="s">
        <v>2674</v>
      </c>
      <c r="J686" s="116">
        <v>4.5</v>
      </c>
      <c r="K686" s="118">
        <v>535000</v>
      </c>
      <c r="L686" s="119"/>
      <c r="M686" s="118">
        <f>K686*0.1</f>
        <v>53500</v>
      </c>
      <c r="N686" s="119"/>
      <c r="O686" s="118">
        <v>34500</v>
      </c>
      <c r="P686" s="119"/>
      <c r="Q686" s="118">
        <v>17700</v>
      </c>
      <c r="R686" s="119"/>
      <c r="S686" s="118">
        <v>13200</v>
      </c>
      <c r="T686" s="119"/>
      <c r="U686" s="118">
        <f>SUM(K686:T687)</f>
        <v>653900</v>
      </c>
      <c r="V686" s="119"/>
      <c r="W686" s="124"/>
      <c r="X686" s="127" t="s">
        <v>2675</v>
      </c>
      <c r="Y686" s="223"/>
      <c r="Z686" s="223"/>
      <c r="AA686" s="223"/>
      <c r="AB686" s="224"/>
      <c r="AC686" s="15" t="s">
        <v>20</v>
      </c>
      <c r="AD686" s="129" t="s">
        <v>2676</v>
      </c>
      <c r="AE686" s="130"/>
      <c r="AF686" s="130"/>
      <c r="AG686" s="130"/>
      <c r="AH686" s="130"/>
      <c r="AI686" s="131"/>
      <c r="AJ686" s="132" t="s">
        <v>2677</v>
      </c>
      <c r="AK686" s="127"/>
      <c r="AL686" s="127"/>
      <c r="AM686" s="21" t="s">
        <v>2678</v>
      </c>
      <c r="AN686" s="133"/>
      <c r="AO686" s="134"/>
      <c r="AP686" s="135"/>
      <c r="AQ686" s="136"/>
      <c r="AR686" s="118"/>
      <c r="AS686" s="119"/>
      <c r="AT686" s="180">
        <f>AR686*0.1</f>
        <v>0</v>
      </c>
      <c r="AU686" s="181"/>
      <c r="AV686" s="118"/>
      <c r="AW686" s="119"/>
      <c r="AX686" s="118">
        <v>0</v>
      </c>
      <c r="AY686" s="119"/>
      <c r="AZ686" s="200"/>
    </row>
    <row r="687" spans="1:52" ht="17.100000000000001" customHeight="1" thickBot="1">
      <c r="A687" s="110"/>
      <c r="B687" s="27" t="s">
        <v>1555</v>
      </c>
      <c r="C687" s="27">
        <v>60006</v>
      </c>
      <c r="D687" s="14" t="s">
        <v>1556</v>
      </c>
      <c r="E687" s="112"/>
      <c r="F687" s="139" t="s">
        <v>2679</v>
      </c>
      <c r="G687" s="140"/>
      <c r="H687" s="141"/>
      <c r="I687" s="26">
        <v>53070</v>
      </c>
      <c r="J687" s="117"/>
      <c r="K687" s="120"/>
      <c r="L687" s="121"/>
      <c r="M687" s="120"/>
      <c r="N687" s="121"/>
      <c r="O687" s="120"/>
      <c r="P687" s="121"/>
      <c r="Q687" s="120"/>
      <c r="R687" s="121"/>
      <c r="S687" s="120"/>
      <c r="T687" s="121"/>
      <c r="U687" s="120"/>
      <c r="V687" s="121"/>
      <c r="W687" s="125"/>
      <c r="X687" s="143" t="s">
        <v>2680</v>
      </c>
      <c r="Y687" s="143"/>
      <c r="Z687" s="143"/>
      <c r="AA687" s="143"/>
      <c r="AB687" s="144"/>
      <c r="AC687" s="16" t="s">
        <v>21</v>
      </c>
      <c r="AD687" s="17" t="s">
        <v>2681</v>
      </c>
      <c r="AE687" s="145" t="s">
        <v>2676</v>
      </c>
      <c r="AF687" s="146"/>
      <c r="AG687" s="146"/>
      <c r="AH687" s="146"/>
      <c r="AI687" s="147"/>
      <c r="AJ687" s="148" t="s">
        <v>2682</v>
      </c>
      <c r="AK687" s="143"/>
      <c r="AL687" s="143"/>
      <c r="AM687" s="22"/>
      <c r="AN687" s="149"/>
      <c r="AO687" s="144"/>
      <c r="AP687" s="148"/>
      <c r="AQ687" s="144"/>
      <c r="AR687" s="120"/>
      <c r="AS687" s="121"/>
      <c r="AT687" s="120"/>
      <c r="AU687" s="182"/>
      <c r="AV687" s="120"/>
      <c r="AW687" s="121"/>
      <c r="AX687" s="120"/>
      <c r="AY687" s="121"/>
      <c r="AZ687" s="201"/>
    </row>
    <row r="688" spans="1:52" ht="17.100000000000001" customHeight="1" thickTop="1">
      <c r="A688" s="109" t="s">
        <v>6081</v>
      </c>
      <c r="B688" s="28">
        <v>45356</v>
      </c>
      <c r="C688" s="25">
        <v>986</v>
      </c>
      <c r="D688" s="13" t="s">
        <v>2322</v>
      </c>
      <c r="E688" s="111"/>
      <c r="F688" s="113" t="s">
        <v>2683</v>
      </c>
      <c r="G688" s="273"/>
      <c r="H688" s="274"/>
      <c r="I688" s="24" t="s">
        <v>2684</v>
      </c>
      <c r="J688" s="116">
        <v>4.5</v>
      </c>
      <c r="K688" s="118">
        <v>1510000</v>
      </c>
      <c r="L688" s="119"/>
      <c r="M688" s="118">
        <f>K688*0.1</f>
        <v>151000</v>
      </c>
      <c r="N688" s="119"/>
      <c r="O688" s="118">
        <v>34500</v>
      </c>
      <c r="P688" s="119"/>
      <c r="Q688" s="118">
        <v>18570</v>
      </c>
      <c r="R688" s="119"/>
      <c r="S688" s="118">
        <v>13200</v>
      </c>
      <c r="T688" s="119"/>
      <c r="U688" s="118">
        <f>SUM(K688:T689)</f>
        <v>1727270</v>
      </c>
      <c r="V688" s="119"/>
      <c r="W688" s="124"/>
      <c r="X688" s="127" t="s">
        <v>2685</v>
      </c>
      <c r="Y688" s="223"/>
      <c r="Z688" s="223"/>
      <c r="AA688" s="223"/>
      <c r="AB688" s="224"/>
      <c r="AC688" s="15" t="s">
        <v>20</v>
      </c>
      <c r="AD688" s="129" t="s">
        <v>2686</v>
      </c>
      <c r="AE688" s="130"/>
      <c r="AF688" s="130"/>
      <c r="AG688" s="130"/>
      <c r="AH688" s="130"/>
      <c r="AI688" s="131"/>
      <c r="AJ688" s="132"/>
      <c r="AK688" s="127"/>
      <c r="AL688" s="127"/>
      <c r="AM688" s="21"/>
      <c r="AN688" s="133"/>
      <c r="AO688" s="134"/>
      <c r="AP688" s="135"/>
      <c r="AQ688" s="136"/>
      <c r="AR688" s="118"/>
      <c r="AS688" s="119"/>
      <c r="AT688" s="180">
        <f>AR688*0.1</f>
        <v>0</v>
      </c>
      <c r="AU688" s="181"/>
      <c r="AV688" s="118"/>
      <c r="AW688" s="119"/>
      <c r="AX688" s="118">
        <f>SUM(AR688:AW688)</f>
        <v>0</v>
      </c>
      <c r="AY688" s="119"/>
      <c r="AZ688" s="200"/>
    </row>
    <row r="689" spans="1:52" ht="17.100000000000001" customHeight="1" thickBot="1">
      <c r="A689" s="110"/>
      <c r="B689" s="27" t="s">
        <v>1591</v>
      </c>
      <c r="C689" s="27">
        <v>84116</v>
      </c>
      <c r="D689" s="14" t="s">
        <v>133</v>
      </c>
      <c r="E689" s="112"/>
      <c r="F689" s="139" t="s">
        <v>2687</v>
      </c>
      <c r="G689" s="140"/>
      <c r="H689" s="141"/>
      <c r="I689" s="26">
        <v>34167</v>
      </c>
      <c r="J689" s="117"/>
      <c r="K689" s="120"/>
      <c r="L689" s="121"/>
      <c r="M689" s="120"/>
      <c r="N689" s="121"/>
      <c r="O689" s="120"/>
      <c r="P689" s="121"/>
      <c r="Q689" s="120"/>
      <c r="R689" s="121"/>
      <c r="S689" s="120"/>
      <c r="T689" s="121"/>
      <c r="U689" s="120"/>
      <c r="V689" s="121"/>
      <c r="W689" s="125"/>
      <c r="X689" s="143" t="s">
        <v>2688</v>
      </c>
      <c r="Y689" s="143"/>
      <c r="Z689" s="143"/>
      <c r="AA689" s="143"/>
      <c r="AB689" s="144"/>
      <c r="AC689" s="16" t="s">
        <v>21</v>
      </c>
      <c r="AD689" s="17" t="s">
        <v>2689</v>
      </c>
      <c r="AE689" s="145" t="s">
        <v>1742</v>
      </c>
      <c r="AF689" s="146"/>
      <c r="AG689" s="146"/>
      <c r="AH689" s="146"/>
      <c r="AI689" s="147"/>
      <c r="AJ689" s="148"/>
      <c r="AK689" s="143"/>
      <c r="AL689" s="143"/>
      <c r="AM689" s="22" t="s">
        <v>907</v>
      </c>
      <c r="AN689" s="149"/>
      <c r="AO689" s="144"/>
      <c r="AP689" s="148"/>
      <c r="AQ689" s="144"/>
      <c r="AR689" s="120"/>
      <c r="AS689" s="121"/>
      <c r="AT689" s="120"/>
      <c r="AU689" s="182"/>
      <c r="AV689" s="120"/>
      <c r="AW689" s="121"/>
      <c r="AX689" s="120"/>
      <c r="AY689" s="121"/>
      <c r="AZ689" s="201"/>
    </row>
    <row r="690" spans="1:52" ht="17.100000000000001" customHeight="1" thickTop="1">
      <c r="A690" s="109" t="s">
        <v>6082</v>
      </c>
      <c r="B690" s="28">
        <v>45360</v>
      </c>
      <c r="C690" s="25">
        <v>1193</v>
      </c>
      <c r="D690" s="13" t="s">
        <v>1977</v>
      </c>
      <c r="E690" s="111"/>
      <c r="F690" s="113" t="s">
        <v>2690</v>
      </c>
      <c r="G690" s="273"/>
      <c r="H690" s="274"/>
      <c r="I690" s="24"/>
      <c r="J690" s="116">
        <v>4.5</v>
      </c>
      <c r="K690" s="118">
        <v>2365000</v>
      </c>
      <c r="L690" s="119"/>
      <c r="M690" s="118">
        <f>K690*0.1</f>
        <v>236500</v>
      </c>
      <c r="N690" s="119"/>
      <c r="O690" s="118">
        <v>0</v>
      </c>
      <c r="P690" s="119"/>
      <c r="Q690" s="118">
        <v>16240</v>
      </c>
      <c r="R690" s="119"/>
      <c r="S690" s="118">
        <v>13200</v>
      </c>
      <c r="T690" s="119"/>
      <c r="U690" s="118">
        <f>SUM(K690:T691)</f>
        <v>2630940</v>
      </c>
      <c r="V690" s="119"/>
      <c r="W690" s="124"/>
      <c r="X690" s="127" t="s">
        <v>2691</v>
      </c>
      <c r="Y690" s="223"/>
      <c r="Z690" s="223"/>
      <c r="AA690" s="223"/>
      <c r="AB690" s="224"/>
      <c r="AC690" s="15" t="s">
        <v>20</v>
      </c>
      <c r="AD690" s="129" t="s">
        <v>2692</v>
      </c>
      <c r="AE690" s="130"/>
      <c r="AF690" s="130"/>
      <c r="AG690" s="130"/>
      <c r="AH690" s="130"/>
      <c r="AI690" s="131"/>
      <c r="AJ690" s="132"/>
      <c r="AK690" s="127"/>
      <c r="AL690" s="127"/>
      <c r="AM690" s="21"/>
      <c r="AN690" s="133"/>
      <c r="AO690" s="134"/>
      <c r="AP690" s="135"/>
      <c r="AQ690" s="136"/>
      <c r="AR690" s="118"/>
      <c r="AS690" s="119"/>
      <c r="AT690" s="180">
        <f>AR690*0.1</f>
        <v>0</v>
      </c>
      <c r="AU690" s="181"/>
      <c r="AV690" s="118"/>
      <c r="AW690" s="119"/>
      <c r="AX690" s="118">
        <f>SUM(AR690:AW690)</f>
        <v>0</v>
      </c>
      <c r="AY690" s="119"/>
      <c r="AZ690" s="200"/>
    </row>
    <row r="691" spans="1:52" ht="17.100000000000001" customHeight="1" thickBot="1">
      <c r="A691" s="110"/>
      <c r="B691" s="27" t="s">
        <v>2511</v>
      </c>
      <c r="C691" s="27">
        <v>82086</v>
      </c>
      <c r="D691" s="14" t="s">
        <v>275</v>
      </c>
      <c r="E691" s="112"/>
      <c r="F691" s="139" t="s">
        <v>2693</v>
      </c>
      <c r="G691" s="140"/>
      <c r="H691" s="141"/>
      <c r="I691" s="26">
        <v>37125</v>
      </c>
      <c r="J691" s="117"/>
      <c r="K691" s="120"/>
      <c r="L691" s="121"/>
      <c r="M691" s="120"/>
      <c r="N691" s="121"/>
      <c r="O691" s="120"/>
      <c r="P691" s="121"/>
      <c r="Q691" s="120"/>
      <c r="R691" s="121"/>
      <c r="S691" s="120"/>
      <c r="T691" s="121"/>
      <c r="U691" s="120"/>
      <c r="V691" s="121"/>
      <c r="W691" s="125"/>
      <c r="X691" s="143" t="s">
        <v>2694</v>
      </c>
      <c r="Y691" s="143"/>
      <c r="Z691" s="143"/>
      <c r="AA691" s="143"/>
      <c r="AB691" s="144"/>
      <c r="AC691" s="16" t="s">
        <v>21</v>
      </c>
      <c r="AD691" s="17" t="s">
        <v>2695</v>
      </c>
      <c r="AE691" s="145" t="s">
        <v>1614</v>
      </c>
      <c r="AF691" s="146"/>
      <c r="AG691" s="146"/>
      <c r="AH691" s="146"/>
      <c r="AI691" s="147"/>
      <c r="AJ691" s="148"/>
      <c r="AK691" s="143"/>
      <c r="AL691" s="143"/>
      <c r="AM691" s="22"/>
      <c r="AN691" s="149"/>
      <c r="AO691" s="144"/>
      <c r="AP691" s="148"/>
      <c r="AQ691" s="144"/>
      <c r="AR691" s="120"/>
      <c r="AS691" s="121"/>
      <c r="AT691" s="120"/>
      <c r="AU691" s="182"/>
      <c r="AV691" s="120"/>
      <c r="AW691" s="121"/>
      <c r="AX691" s="120"/>
      <c r="AY691" s="121"/>
      <c r="AZ691" s="201"/>
    </row>
    <row r="692" spans="1:52" ht="17.100000000000001" customHeight="1" thickTop="1">
      <c r="A692" s="109" t="s">
        <v>6083</v>
      </c>
      <c r="B692" s="28">
        <v>45363</v>
      </c>
      <c r="C692" s="25">
        <v>833</v>
      </c>
      <c r="D692" s="13" t="s">
        <v>1958</v>
      </c>
      <c r="E692" s="111"/>
      <c r="F692" s="113" t="s">
        <v>2696</v>
      </c>
      <c r="G692" s="273"/>
      <c r="H692" s="274"/>
      <c r="I692" s="24" t="s">
        <v>2697</v>
      </c>
      <c r="J692" s="116">
        <v>4.5</v>
      </c>
      <c r="K692" s="118">
        <v>4301000</v>
      </c>
      <c r="L692" s="119"/>
      <c r="M692" s="118">
        <f>K692*0.1</f>
        <v>430100</v>
      </c>
      <c r="N692" s="119"/>
      <c r="O692" s="118">
        <v>51000</v>
      </c>
      <c r="P692" s="119"/>
      <c r="Q692" s="118">
        <v>20990</v>
      </c>
      <c r="R692" s="119"/>
      <c r="S692" s="118">
        <v>14850</v>
      </c>
      <c r="T692" s="119"/>
      <c r="U692" s="118">
        <f>SUM(K692:T693)</f>
        <v>4817940</v>
      </c>
      <c r="V692" s="119"/>
      <c r="W692" s="124"/>
      <c r="X692" s="127" t="s">
        <v>2698</v>
      </c>
      <c r="Y692" s="223"/>
      <c r="Z692" s="223"/>
      <c r="AA692" s="223"/>
      <c r="AB692" s="224"/>
      <c r="AC692" s="15" t="s">
        <v>20</v>
      </c>
      <c r="AD692" s="129" t="s">
        <v>171</v>
      </c>
      <c r="AE692" s="130"/>
      <c r="AF692" s="130"/>
      <c r="AG692" s="130"/>
      <c r="AH692" s="130"/>
      <c r="AI692" s="131"/>
      <c r="AJ692" s="132"/>
      <c r="AK692" s="127"/>
      <c r="AL692" s="127"/>
      <c r="AM692" s="21"/>
      <c r="AN692" s="133"/>
      <c r="AO692" s="134"/>
      <c r="AP692" s="135"/>
      <c r="AQ692" s="136"/>
      <c r="AR692" s="118"/>
      <c r="AS692" s="119"/>
      <c r="AT692" s="180">
        <f>AR692*0.1</f>
        <v>0</v>
      </c>
      <c r="AU692" s="181"/>
      <c r="AV692" s="118"/>
      <c r="AW692" s="119"/>
      <c r="AX692" s="118">
        <f>SUM(AR692:AW692)</f>
        <v>0</v>
      </c>
      <c r="AY692" s="119"/>
      <c r="AZ692" s="200"/>
    </row>
    <row r="693" spans="1:52" ht="17.100000000000001" customHeight="1" thickBot="1">
      <c r="A693" s="110"/>
      <c r="B693" s="27" t="s">
        <v>2699</v>
      </c>
      <c r="C693" s="27">
        <v>5023</v>
      </c>
      <c r="D693" s="14" t="s">
        <v>1556</v>
      </c>
      <c r="E693" s="112"/>
      <c r="F693" s="139" t="s">
        <v>2700</v>
      </c>
      <c r="G693" s="140"/>
      <c r="H693" s="141"/>
      <c r="I693" s="26">
        <v>31461</v>
      </c>
      <c r="J693" s="117"/>
      <c r="K693" s="120"/>
      <c r="L693" s="121"/>
      <c r="M693" s="120"/>
      <c r="N693" s="121"/>
      <c r="O693" s="120"/>
      <c r="P693" s="121"/>
      <c r="Q693" s="120"/>
      <c r="R693" s="121"/>
      <c r="S693" s="120"/>
      <c r="T693" s="121"/>
      <c r="U693" s="120"/>
      <c r="V693" s="121"/>
      <c r="W693" s="125"/>
      <c r="X693" s="143" t="s">
        <v>2701</v>
      </c>
      <c r="Y693" s="143"/>
      <c r="Z693" s="143"/>
      <c r="AA693" s="143"/>
      <c r="AB693" s="144"/>
      <c r="AC693" s="16" t="s">
        <v>21</v>
      </c>
      <c r="AD693" s="17" t="s">
        <v>2702</v>
      </c>
      <c r="AE693" s="145" t="s">
        <v>1742</v>
      </c>
      <c r="AF693" s="146"/>
      <c r="AG693" s="146"/>
      <c r="AH693" s="146"/>
      <c r="AI693" s="147"/>
      <c r="AJ693" s="148"/>
      <c r="AK693" s="143"/>
      <c r="AL693" s="143"/>
      <c r="AM693" s="22" t="s">
        <v>907</v>
      </c>
      <c r="AN693" s="149"/>
      <c r="AO693" s="144"/>
      <c r="AP693" s="148"/>
      <c r="AQ693" s="144"/>
      <c r="AR693" s="120"/>
      <c r="AS693" s="121"/>
      <c r="AT693" s="120"/>
      <c r="AU693" s="182"/>
      <c r="AV693" s="120"/>
      <c r="AW693" s="121"/>
      <c r="AX693" s="120"/>
      <c r="AY693" s="121"/>
      <c r="AZ693" s="201"/>
    </row>
    <row r="694" spans="1:52" ht="17.100000000000001" customHeight="1" thickTop="1">
      <c r="A694" s="109" t="s">
        <v>6084</v>
      </c>
      <c r="B694" s="28">
        <v>45367</v>
      </c>
      <c r="C694" s="25">
        <v>1194</v>
      </c>
      <c r="D694" s="13" t="s">
        <v>2654</v>
      </c>
      <c r="E694" s="111"/>
      <c r="F694" s="113" t="s">
        <v>2703</v>
      </c>
      <c r="G694" s="273"/>
      <c r="H694" s="274"/>
      <c r="I694" s="24" t="s">
        <v>2704</v>
      </c>
      <c r="J694" s="116">
        <v>4.5</v>
      </c>
      <c r="K694" s="118">
        <v>2600000</v>
      </c>
      <c r="L694" s="119"/>
      <c r="M694" s="118">
        <f>K694*0.1</f>
        <v>260000</v>
      </c>
      <c r="N694" s="119"/>
      <c r="O694" s="118">
        <v>30500</v>
      </c>
      <c r="P694" s="119"/>
      <c r="Q694" s="118">
        <v>11740</v>
      </c>
      <c r="R694" s="119"/>
      <c r="S694" s="118">
        <v>13200</v>
      </c>
      <c r="T694" s="119"/>
      <c r="U694" s="118">
        <f>SUM(K694:T695)</f>
        <v>2915440</v>
      </c>
      <c r="V694" s="119"/>
      <c r="W694" s="124"/>
      <c r="X694" s="127" t="s">
        <v>2705</v>
      </c>
      <c r="Y694" s="223"/>
      <c r="Z694" s="223"/>
      <c r="AA694" s="223"/>
      <c r="AB694" s="224"/>
      <c r="AC694" s="15" t="s">
        <v>20</v>
      </c>
      <c r="AD694" s="129" t="s">
        <v>1633</v>
      </c>
      <c r="AE694" s="130"/>
      <c r="AF694" s="130"/>
      <c r="AG694" s="130"/>
      <c r="AH694" s="130"/>
      <c r="AI694" s="131"/>
      <c r="AJ694" s="132"/>
      <c r="AK694" s="127"/>
      <c r="AL694" s="127"/>
      <c r="AM694" s="21"/>
      <c r="AN694" s="133"/>
      <c r="AO694" s="134"/>
      <c r="AP694" s="135"/>
      <c r="AQ694" s="136"/>
      <c r="AR694" s="118"/>
      <c r="AS694" s="119"/>
      <c r="AT694" s="180">
        <f>AR694*0.1</f>
        <v>0</v>
      </c>
      <c r="AU694" s="181"/>
      <c r="AV694" s="118"/>
      <c r="AW694" s="119"/>
      <c r="AX694" s="118">
        <f>SUM(AR694:AW694)</f>
        <v>0</v>
      </c>
      <c r="AY694" s="119"/>
      <c r="AZ694" s="200"/>
    </row>
    <row r="695" spans="1:52" ht="17.100000000000001" customHeight="1" thickBot="1">
      <c r="A695" s="110"/>
      <c r="B695" s="27" t="s">
        <v>2511</v>
      </c>
      <c r="C695" s="27">
        <v>82260</v>
      </c>
      <c r="D695" s="14" t="s">
        <v>133</v>
      </c>
      <c r="E695" s="112"/>
      <c r="F695" s="139" t="s">
        <v>2706</v>
      </c>
      <c r="G695" s="140"/>
      <c r="H695" s="141"/>
      <c r="I695" s="26">
        <v>29023</v>
      </c>
      <c r="J695" s="117"/>
      <c r="K695" s="120"/>
      <c r="L695" s="121"/>
      <c r="M695" s="120"/>
      <c r="N695" s="121"/>
      <c r="O695" s="120"/>
      <c r="P695" s="121"/>
      <c r="Q695" s="120"/>
      <c r="R695" s="121"/>
      <c r="S695" s="120"/>
      <c r="T695" s="121"/>
      <c r="U695" s="120"/>
      <c r="V695" s="121"/>
      <c r="W695" s="125"/>
      <c r="X695" s="143" t="s">
        <v>1693</v>
      </c>
      <c r="Y695" s="143"/>
      <c r="Z695" s="143"/>
      <c r="AA695" s="143"/>
      <c r="AB695" s="144"/>
      <c r="AC695" s="16" t="s">
        <v>21</v>
      </c>
      <c r="AD695" s="17" t="s">
        <v>2707</v>
      </c>
      <c r="AE695" s="145" t="s">
        <v>1633</v>
      </c>
      <c r="AF695" s="146"/>
      <c r="AG695" s="146"/>
      <c r="AH695" s="146"/>
      <c r="AI695" s="147"/>
      <c r="AJ695" s="148"/>
      <c r="AK695" s="143"/>
      <c r="AL695" s="143"/>
      <c r="AM695" s="22" t="s">
        <v>907</v>
      </c>
      <c r="AN695" s="149"/>
      <c r="AO695" s="144"/>
      <c r="AP695" s="148"/>
      <c r="AQ695" s="144"/>
      <c r="AR695" s="120"/>
      <c r="AS695" s="121"/>
      <c r="AT695" s="120"/>
      <c r="AU695" s="182"/>
      <c r="AV695" s="120"/>
      <c r="AW695" s="121"/>
      <c r="AX695" s="120"/>
      <c r="AY695" s="121"/>
      <c r="AZ695" s="201"/>
    </row>
    <row r="696" spans="1:52" ht="17.100000000000001" customHeight="1" thickTop="1">
      <c r="A696" s="109" t="s">
        <v>6085</v>
      </c>
      <c r="B696" s="28">
        <v>45374</v>
      </c>
      <c r="C696" s="25">
        <v>1195</v>
      </c>
      <c r="D696" s="13" t="s">
        <v>1597</v>
      </c>
      <c r="E696" s="111"/>
      <c r="F696" s="113" t="s">
        <v>2708</v>
      </c>
      <c r="G696" s="273"/>
      <c r="H696" s="274"/>
      <c r="I696" s="24" t="s">
        <v>2494</v>
      </c>
      <c r="J696" s="116">
        <v>4</v>
      </c>
      <c r="K696" s="118">
        <v>1850000</v>
      </c>
      <c r="L696" s="119"/>
      <c r="M696" s="118">
        <f>K696*0.1</f>
        <v>185000</v>
      </c>
      <c r="N696" s="119"/>
      <c r="O696" s="118">
        <v>39500</v>
      </c>
      <c r="P696" s="119"/>
      <c r="Q696" s="118">
        <v>21580</v>
      </c>
      <c r="R696" s="119"/>
      <c r="S696" s="118">
        <v>22000</v>
      </c>
      <c r="T696" s="119"/>
      <c r="U696" s="118">
        <f>SUM(K696:T697)</f>
        <v>2118080</v>
      </c>
      <c r="V696" s="119"/>
      <c r="W696" s="124"/>
      <c r="X696" s="127" t="s">
        <v>2709</v>
      </c>
      <c r="Y696" s="223"/>
      <c r="Z696" s="223"/>
      <c r="AA696" s="223"/>
      <c r="AB696" s="224"/>
      <c r="AC696" s="15" t="s">
        <v>20</v>
      </c>
      <c r="AD696" s="129" t="s">
        <v>1633</v>
      </c>
      <c r="AE696" s="130"/>
      <c r="AF696" s="130"/>
      <c r="AG696" s="130"/>
      <c r="AH696" s="130"/>
      <c r="AI696" s="131"/>
      <c r="AJ696" s="132"/>
      <c r="AK696" s="127"/>
      <c r="AL696" s="127"/>
      <c r="AM696" s="21" t="s">
        <v>2710</v>
      </c>
      <c r="AN696" s="133"/>
      <c r="AO696" s="134"/>
      <c r="AP696" s="135"/>
      <c r="AQ696" s="136"/>
      <c r="AR696" s="118"/>
      <c r="AS696" s="119"/>
      <c r="AT696" s="180">
        <f>AR696*0.1</f>
        <v>0</v>
      </c>
      <c r="AU696" s="181"/>
      <c r="AV696" s="118"/>
      <c r="AW696" s="119"/>
      <c r="AX696" s="118">
        <f>SUM(AR696:AW696)</f>
        <v>0</v>
      </c>
      <c r="AY696" s="119"/>
      <c r="AZ696" s="200"/>
    </row>
    <row r="697" spans="1:52" ht="17.100000000000001" customHeight="1" thickBot="1">
      <c r="A697" s="110"/>
      <c r="B697" s="27" t="s">
        <v>2511</v>
      </c>
      <c r="C697" s="27">
        <v>20055</v>
      </c>
      <c r="D697" s="14" t="s">
        <v>1592</v>
      </c>
      <c r="E697" s="112"/>
      <c r="F697" s="139" t="s">
        <v>2711</v>
      </c>
      <c r="G697" s="140"/>
      <c r="H697" s="141"/>
      <c r="I697" s="26">
        <v>38040</v>
      </c>
      <c r="J697" s="117"/>
      <c r="K697" s="120"/>
      <c r="L697" s="121"/>
      <c r="M697" s="120"/>
      <c r="N697" s="121"/>
      <c r="O697" s="120"/>
      <c r="P697" s="121"/>
      <c r="Q697" s="120"/>
      <c r="R697" s="121"/>
      <c r="S697" s="120"/>
      <c r="T697" s="121"/>
      <c r="U697" s="120"/>
      <c r="V697" s="121"/>
      <c r="W697" s="125"/>
      <c r="X697" s="143" t="s">
        <v>2611</v>
      </c>
      <c r="Y697" s="143"/>
      <c r="Z697" s="143"/>
      <c r="AA697" s="143"/>
      <c r="AB697" s="144"/>
      <c r="AC697" s="16" t="s">
        <v>21</v>
      </c>
      <c r="AD697" s="17" t="s">
        <v>1642</v>
      </c>
      <c r="AE697" s="145" t="s">
        <v>1742</v>
      </c>
      <c r="AF697" s="146"/>
      <c r="AG697" s="146"/>
      <c r="AH697" s="146"/>
      <c r="AI697" s="147"/>
      <c r="AJ697" s="148"/>
      <c r="AK697" s="143"/>
      <c r="AL697" s="143"/>
      <c r="AM697" s="22"/>
      <c r="AN697" s="149"/>
      <c r="AO697" s="144"/>
      <c r="AP697" s="148"/>
      <c r="AQ697" s="144"/>
      <c r="AR697" s="120"/>
      <c r="AS697" s="121"/>
      <c r="AT697" s="120"/>
      <c r="AU697" s="182"/>
      <c r="AV697" s="120"/>
      <c r="AW697" s="121"/>
      <c r="AX697" s="120"/>
      <c r="AY697" s="121"/>
      <c r="AZ697" s="201"/>
    </row>
    <row r="698" spans="1:52" ht="17.100000000000001" customHeight="1" thickTop="1">
      <c r="A698" s="109" t="s">
        <v>6086</v>
      </c>
      <c r="B698" s="28">
        <v>45386</v>
      </c>
      <c r="C698" s="25">
        <v>1227</v>
      </c>
      <c r="D698" s="13" t="s">
        <v>1831</v>
      </c>
      <c r="E698" s="111"/>
      <c r="F698" s="113" t="s">
        <v>2712</v>
      </c>
      <c r="G698" s="273"/>
      <c r="H698" s="274"/>
      <c r="I698" s="24"/>
      <c r="J698" s="116">
        <v>4.5</v>
      </c>
      <c r="K698" s="118">
        <v>2135000</v>
      </c>
      <c r="L698" s="119"/>
      <c r="M698" s="118">
        <f>K698*0.1</f>
        <v>213500</v>
      </c>
      <c r="N698" s="119"/>
      <c r="O698" s="118">
        <v>0</v>
      </c>
      <c r="P698" s="119"/>
      <c r="Q698" s="118">
        <v>18110</v>
      </c>
      <c r="R698" s="119"/>
      <c r="S698" s="118">
        <v>13200</v>
      </c>
      <c r="T698" s="119"/>
      <c r="U698" s="118">
        <f>SUM(K698:T699)</f>
        <v>2379810</v>
      </c>
      <c r="V698" s="119"/>
      <c r="W698" s="124"/>
      <c r="X698" s="127" t="s">
        <v>2713</v>
      </c>
      <c r="Y698" s="223"/>
      <c r="Z698" s="223"/>
      <c r="AA698" s="223"/>
      <c r="AB698" s="224"/>
      <c r="AC698" s="15" t="s">
        <v>20</v>
      </c>
      <c r="AD698" s="129" t="s">
        <v>2714</v>
      </c>
      <c r="AE698" s="130"/>
      <c r="AF698" s="130"/>
      <c r="AG698" s="130"/>
      <c r="AH698" s="130"/>
      <c r="AI698" s="131"/>
      <c r="AJ698" s="132"/>
      <c r="AK698" s="127"/>
      <c r="AL698" s="127"/>
      <c r="AM698" s="21"/>
      <c r="AN698" s="133"/>
      <c r="AO698" s="134"/>
      <c r="AP698" s="135"/>
      <c r="AQ698" s="136"/>
      <c r="AR698" s="118"/>
      <c r="AS698" s="119"/>
      <c r="AT698" s="180">
        <f>AR698*0.1</f>
        <v>0</v>
      </c>
      <c r="AU698" s="181"/>
      <c r="AV698" s="118"/>
      <c r="AW698" s="119"/>
      <c r="AX698" s="118">
        <f>SUM(AR698:AW698)</f>
        <v>0</v>
      </c>
      <c r="AY698" s="119"/>
      <c r="AZ698" s="200"/>
    </row>
    <row r="699" spans="1:52" ht="17.100000000000001" customHeight="1" thickBot="1">
      <c r="A699" s="110"/>
      <c r="B699" s="27" t="s">
        <v>1747</v>
      </c>
      <c r="C699" s="27">
        <v>352</v>
      </c>
      <c r="D699" s="14" t="s">
        <v>1576</v>
      </c>
      <c r="E699" s="112"/>
      <c r="F699" s="139" t="s">
        <v>2715</v>
      </c>
      <c r="G699" s="140"/>
      <c r="H699" s="141"/>
      <c r="I699" s="26">
        <v>41078</v>
      </c>
      <c r="J699" s="117"/>
      <c r="K699" s="120"/>
      <c r="L699" s="121"/>
      <c r="M699" s="120"/>
      <c r="N699" s="121"/>
      <c r="O699" s="120"/>
      <c r="P699" s="121"/>
      <c r="Q699" s="120"/>
      <c r="R699" s="121"/>
      <c r="S699" s="120"/>
      <c r="T699" s="121"/>
      <c r="U699" s="120"/>
      <c r="V699" s="121"/>
      <c r="W699" s="125"/>
      <c r="X699" s="143" t="s">
        <v>2716</v>
      </c>
      <c r="Y699" s="143"/>
      <c r="Z699" s="143"/>
      <c r="AA699" s="143"/>
      <c r="AB699" s="144"/>
      <c r="AC699" s="16" t="s">
        <v>21</v>
      </c>
      <c r="AD699" s="17" t="s">
        <v>1825</v>
      </c>
      <c r="AE699" s="145" t="s">
        <v>2717</v>
      </c>
      <c r="AF699" s="146"/>
      <c r="AG699" s="146"/>
      <c r="AH699" s="146"/>
      <c r="AI699" s="147"/>
      <c r="AJ699" s="148"/>
      <c r="AK699" s="143"/>
      <c r="AL699" s="143"/>
      <c r="AM699" s="22"/>
      <c r="AN699" s="149"/>
      <c r="AO699" s="144"/>
      <c r="AP699" s="148"/>
      <c r="AQ699" s="144"/>
      <c r="AR699" s="120"/>
      <c r="AS699" s="121"/>
      <c r="AT699" s="120"/>
      <c r="AU699" s="182"/>
      <c r="AV699" s="120"/>
      <c r="AW699" s="121"/>
      <c r="AX699" s="120"/>
      <c r="AY699" s="121"/>
      <c r="AZ699" s="201"/>
    </row>
    <row r="700" spans="1:52" ht="17.100000000000001" customHeight="1" thickTop="1">
      <c r="A700" s="109" t="s">
        <v>6087</v>
      </c>
      <c r="B700" s="28">
        <v>45388</v>
      </c>
      <c r="C700" s="25"/>
      <c r="D700" s="13" t="s">
        <v>2718</v>
      </c>
      <c r="E700" s="111"/>
      <c r="F700" s="113" t="s">
        <v>2719</v>
      </c>
      <c r="G700" s="273"/>
      <c r="H700" s="274"/>
      <c r="I700" s="24" t="s">
        <v>1825</v>
      </c>
      <c r="J700" s="116"/>
      <c r="K700" s="118">
        <v>2000000</v>
      </c>
      <c r="L700" s="119"/>
      <c r="M700" s="118">
        <v>0</v>
      </c>
      <c r="N700" s="119"/>
      <c r="O700" s="118"/>
      <c r="P700" s="119"/>
      <c r="Q700" s="118"/>
      <c r="R700" s="119"/>
      <c r="S700" s="118"/>
      <c r="T700" s="119"/>
      <c r="U700" s="118">
        <f>SUM(K700:T701)</f>
        <v>2000000</v>
      </c>
      <c r="V700" s="119"/>
      <c r="W700" s="124"/>
      <c r="X700" s="127" t="s">
        <v>2720</v>
      </c>
      <c r="Y700" s="223"/>
      <c r="Z700" s="223"/>
      <c r="AA700" s="223"/>
      <c r="AB700" s="224"/>
      <c r="AC700" s="15" t="s">
        <v>20</v>
      </c>
      <c r="AD700" s="129"/>
      <c r="AE700" s="130"/>
      <c r="AF700" s="130"/>
      <c r="AG700" s="130"/>
      <c r="AH700" s="130"/>
      <c r="AI700" s="131"/>
      <c r="AJ700" s="132"/>
      <c r="AK700" s="127"/>
      <c r="AL700" s="127"/>
      <c r="AM700" s="21"/>
      <c r="AN700" s="133"/>
      <c r="AO700" s="134"/>
      <c r="AP700" s="135"/>
      <c r="AQ700" s="136"/>
      <c r="AR700" s="118"/>
      <c r="AS700" s="119"/>
      <c r="AT700" s="180">
        <f>AR700*0.1</f>
        <v>0</v>
      </c>
      <c r="AU700" s="181"/>
      <c r="AV700" s="118"/>
      <c r="AW700" s="119"/>
      <c r="AX700" s="118">
        <f>SUM(AR700:AW700)</f>
        <v>0</v>
      </c>
      <c r="AY700" s="119"/>
      <c r="AZ700" s="200"/>
    </row>
    <row r="701" spans="1:52" ht="17.100000000000001" customHeight="1" thickBot="1">
      <c r="A701" s="110"/>
      <c r="B701" s="27" t="s">
        <v>2721</v>
      </c>
      <c r="C701" s="27"/>
      <c r="D701" s="14" t="s">
        <v>1592</v>
      </c>
      <c r="E701" s="112"/>
      <c r="F701" s="139" t="s">
        <v>2722</v>
      </c>
      <c r="G701" s="140"/>
      <c r="H701" s="141"/>
      <c r="I701" s="26"/>
      <c r="J701" s="117"/>
      <c r="K701" s="120"/>
      <c r="L701" s="121"/>
      <c r="M701" s="120"/>
      <c r="N701" s="121"/>
      <c r="O701" s="120"/>
      <c r="P701" s="121"/>
      <c r="Q701" s="120"/>
      <c r="R701" s="121"/>
      <c r="S701" s="120"/>
      <c r="T701" s="121"/>
      <c r="U701" s="120"/>
      <c r="V701" s="121"/>
      <c r="W701" s="125"/>
      <c r="X701" s="143" t="s">
        <v>2723</v>
      </c>
      <c r="Y701" s="143"/>
      <c r="Z701" s="143"/>
      <c r="AA701" s="143"/>
      <c r="AB701" s="144"/>
      <c r="AC701" s="16" t="s">
        <v>21</v>
      </c>
      <c r="AD701" s="17" t="s">
        <v>1786</v>
      </c>
      <c r="AE701" s="145" t="s">
        <v>1945</v>
      </c>
      <c r="AF701" s="146"/>
      <c r="AG701" s="146"/>
      <c r="AH701" s="146"/>
      <c r="AI701" s="147"/>
      <c r="AJ701" s="148"/>
      <c r="AK701" s="143"/>
      <c r="AL701" s="143"/>
      <c r="AM701" s="22"/>
      <c r="AN701" s="149"/>
      <c r="AO701" s="144"/>
      <c r="AP701" s="148"/>
      <c r="AQ701" s="144"/>
      <c r="AR701" s="120"/>
      <c r="AS701" s="121"/>
      <c r="AT701" s="120"/>
      <c r="AU701" s="182"/>
      <c r="AV701" s="120"/>
      <c r="AW701" s="121"/>
      <c r="AX701" s="120"/>
      <c r="AY701" s="121"/>
      <c r="AZ701" s="201"/>
    </row>
    <row r="702" spans="1:52" ht="17.100000000000001" customHeight="1" thickTop="1">
      <c r="A702" s="109" t="s">
        <v>6088</v>
      </c>
      <c r="B702" s="28">
        <v>45421</v>
      </c>
      <c r="C702" s="25">
        <v>1927</v>
      </c>
      <c r="D702" s="13" t="s">
        <v>818</v>
      </c>
      <c r="E702" s="111"/>
      <c r="F702" s="113" t="s">
        <v>2724</v>
      </c>
      <c r="G702" s="273"/>
      <c r="H702" s="274"/>
      <c r="I702" s="24"/>
      <c r="J702" s="116">
        <v>4.5</v>
      </c>
      <c r="K702" s="118">
        <v>1712000</v>
      </c>
      <c r="L702" s="119"/>
      <c r="M702" s="118">
        <f>K702*0.1</f>
        <v>171200</v>
      </c>
      <c r="N702" s="119"/>
      <c r="O702" s="118">
        <v>0</v>
      </c>
      <c r="P702" s="119"/>
      <c r="Q702" s="118">
        <v>16240</v>
      </c>
      <c r="R702" s="119"/>
      <c r="S702" s="118">
        <v>22000</v>
      </c>
      <c r="T702" s="119"/>
      <c r="U702" s="118">
        <f>SUM(K702:T703)</f>
        <v>1921440</v>
      </c>
      <c r="V702" s="119"/>
      <c r="W702" s="124"/>
      <c r="X702" s="127" t="s">
        <v>2725</v>
      </c>
      <c r="Y702" s="223"/>
      <c r="Z702" s="223"/>
      <c r="AA702" s="223"/>
      <c r="AB702" s="224"/>
      <c r="AC702" s="15" t="s">
        <v>20</v>
      </c>
      <c r="AD702" s="129" t="s">
        <v>2726</v>
      </c>
      <c r="AE702" s="130"/>
      <c r="AF702" s="130"/>
      <c r="AG702" s="130"/>
      <c r="AH702" s="130"/>
      <c r="AI702" s="131"/>
      <c r="AJ702" s="132"/>
      <c r="AK702" s="127"/>
      <c r="AL702" s="127"/>
      <c r="AM702" s="21"/>
      <c r="AN702" s="133"/>
      <c r="AO702" s="134"/>
      <c r="AP702" s="135"/>
      <c r="AQ702" s="136"/>
      <c r="AR702" s="118"/>
      <c r="AS702" s="119"/>
      <c r="AT702" s="180">
        <f>AR702*0.1</f>
        <v>0</v>
      </c>
      <c r="AU702" s="181"/>
      <c r="AV702" s="118"/>
      <c r="AW702" s="119"/>
      <c r="AX702" s="118">
        <f>SUM(AR702:AW702)</f>
        <v>0</v>
      </c>
      <c r="AY702" s="119"/>
      <c r="AZ702" s="200"/>
    </row>
    <row r="703" spans="1:52" ht="17.100000000000001" customHeight="1" thickBot="1">
      <c r="A703" s="110"/>
      <c r="B703" s="27" t="s">
        <v>2727</v>
      </c>
      <c r="C703" s="27">
        <v>30313</v>
      </c>
      <c r="D703" s="14" t="s">
        <v>1592</v>
      </c>
      <c r="E703" s="112"/>
      <c r="F703" s="139" t="s">
        <v>2728</v>
      </c>
      <c r="G703" s="140"/>
      <c r="H703" s="141"/>
      <c r="I703" s="26">
        <v>45423</v>
      </c>
      <c r="J703" s="117"/>
      <c r="K703" s="120"/>
      <c r="L703" s="121"/>
      <c r="M703" s="120"/>
      <c r="N703" s="121"/>
      <c r="O703" s="120"/>
      <c r="P703" s="121"/>
      <c r="Q703" s="120"/>
      <c r="R703" s="121"/>
      <c r="S703" s="120"/>
      <c r="T703" s="121"/>
      <c r="U703" s="120"/>
      <c r="V703" s="121"/>
      <c r="W703" s="125"/>
      <c r="X703" s="143" t="s">
        <v>2729</v>
      </c>
      <c r="Y703" s="143"/>
      <c r="Z703" s="143"/>
      <c r="AA703" s="143"/>
      <c r="AB703" s="144"/>
      <c r="AC703" s="16" t="s">
        <v>21</v>
      </c>
      <c r="AD703" s="17" t="s">
        <v>2730</v>
      </c>
      <c r="AE703" s="145" t="s">
        <v>2731</v>
      </c>
      <c r="AF703" s="146"/>
      <c r="AG703" s="146"/>
      <c r="AH703" s="146"/>
      <c r="AI703" s="147"/>
      <c r="AJ703" s="148"/>
      <c r="AK703" s="143"/>
      <c r="AL703" s="143"/>
      <c r="AM703" s="22"/>
      <c r="AN703" s="149"/>
      <c r="AO703" s="144"/>
      <c r="AP703" s="148"/>
      <c r="AQ703" s="144"/>
      <c r="AR703" s="120"/>
      <c r="AS703" s="121"/>
      <c r="AT703" s="120"/>
      <c r="AU703" s="182"/>
      <c r="AV703" s="120"/>
      <c r="AW703" s="121"/>
      <c r="AX703" s="120"/>
      <c r="AY703" s="121"/>
      <c r="AZ703" s="201"/>
    </row>
    <row r="704" spans="1:52" ht="17.100000000000001" customHeight="1" thickTop="1">
      <c r="A704" s="109" t="s">
        <v>6089</v>
      </c>
      <c r="B704" s="28">
        <v>45422</v>
      </c>
      <c r="C704" s="25">
        <v>2035</v>
      </c>
      <c r="D704" s="13" t="s">
        <v>1888</v>
      </c>
      <c r="E704" s="111"/>
      <c r="F704" s="113" t="s">
        <v>2732</v>
      </c>
      <c r="G704" s="273"/>
      <c r="H704" s="274"/>
      <c r="I704" s="24" t="s">
        <v>2733</v>
      </c>
      <c r="J704" s="116">
        <v>4.5</v>
      </c>
      <c r="K704" s="118">
        <v>1350000</v>
      </c>
      <c r="L704" s="119"/>
      <c r="M704" s="118">
        <f>K704*0.1</f>
        <v>135000</v>
      </c>
      <c r="N704" s="119"/>
      <c r="O704" s="118">
        <v>36190</v>
      </c>
      <c r="P704" s="119"/>
      <c r="Q704" s="118">
        <v>19090</v>
      </c>
      <c r="R704" s="119"/>
      <c r="S704" s="118">
        <v>24200</v>
      </c>
      <c r="T704" s="119"/>
      <c r="U704" s="118">
        <f>SUM(K704:T705)</f>
        <v>1564480</v>
      </c>
      <c r="V704" s="119"/>
      <c r="W704" s="124"/>
      <c r="X704" s="127" t="s">
        <v>2734</v>
      </c>
      <c r="Y704" s="223"/>
      <c r="Z704" s="223"/>
      <c r="AA704" s="223"/>
      <c r="AB704" s="224"/>
      <c r="AC704" s="15" t="s">
        <v>20</v>
      </c>
      <c r="AD704" s="129"/>
      <c r="AE704" s="130"/>
      <c r="AF704" s="130"/>
      <c r="AG704" s="130"/>
      <c r="AH704" s="130"/>
      <c r="AI704" s="131"/>
      <c r="AJ704" s="132"/>
      <c r="AK704" s="127"/>
      <c r="AL704" s="127"/>
      <c r="AM704" s="21"/>
      <c r="AN704" s="133"/>
      <c r="AO704" s="134"/>
      <c r="AP704" s="135"/>
      <c r="AQ704" s="136"/>
      <c r="AR704" s="118"/>
      <c r="AS704" s="119"/>
      <c r="AT704" s="180">
        <f>AR704*0.1</f>
        <v>0</v>
      </c>
      <c r="AU704" s="181"/>
      <c r="AV704" s="118"/>
      <c r="AW704" s="119"/>
      <c r="AX704" s="118">
        <f>SUM(AR704:AW704)</f>
        <v>0</v>
      </c>
      <c r="AY704" s="119"/>
      <c r="AZ704" s="200"/>
    </row>
    <row r="705" spans="1:52" ht="17.100000000000001" customHeight="1" thickBot="1">
      <c r="A705" s="110"/>
      <c r="B705" s="27" t="s">
        <v>1543</v>
      </c>
      <c r="C705" s="27">
        <v>58633</v>
      </c>
      <c r="D705" s="14" t="s">
        <v>904</v>
      </c>
      <c r="E705" s="112"/>
      <c r="F705" s="139" t="s">
        <v>2735</v>
      </c>
      <c r="G705" s="140"/>
      <c r="H705" s="141"/>
      <c r="I705" s="26">
        <v>41096</v>
      </c>
      <c r="J705" s="117"/>
      <c r="K705" s="120"/>
      <c r="L705" s="121"/>
      <c r="M705" s="120"/>
      <c r="N705" s="121"/>
      <c r="O705" s="120"/>
      <c r="P705" s="121"/>
      <c r="Q705" s="120"/>
      <c r="R705" s="121"/>
      <c r="S705" s="120"/>
      <c r="T705" s="121"/>
      <c r="U705" s="120"/>
      <c r="V705" s="121"/>
      <c r="W705" s="125"/>
      <c r="X705" s="143" t="s">
        <v>1997</v>
      </c>
      <c r="Y705" s="143"/>
      <c r="Z705" s="143"/>
      <c r="AA705" s="143"/>
      <c r="AB705" s="144"/>
      <c r="AC705" s="16" t="s">
        <v>21</v>
      </c>
      <c r="AD705" s="17" t="s">
        <v>2730</v>
      </c>
      <c r="AE705" s="145" t="s">
        <v>2736</v>
      </c>
      <c r="AF705" s="146"/>
      <c r="AG705" s="146"/>
      <c r="AH705" s="146"/>
      <c r="AI705" s="147"/>
      <c r="AJ705" s="148"/>
      <c r="AK705" s="143"/>
      <c r="AL705" s="143"/>
      <c r="AM705" s="67" t="s">
        <v>928</v>
      </c>
      <c r="AN705" s="149"/>
      <c r="AO705" s="144"/>
      <c r="AP705" s="148"/>
      <c r="AQ705" s="144"/>
      <c r="AR705" s="120"/>
      <c r="AS705" s="121"/>
      <c r="AT705" s="120"/>
      <c r="AU705" s="182"/>
      <c r="AV705" s="120"/>
      <c r="AW705" s="121"/>
      <c r="AX705" s="120"/>
      <c r="AY705" s="121"/>
      <c r="AZ705" s="201"/>
    </row>
    <row r="706" spans="1:52" ht="17.100000000000001" customHeight="1" thickTop="1">
      <c r="A706" s="109" t="s">
        <v>6090</v>
      </c>
      <c r="B706" s="28">
        <v>45426</v>
      </c>
      <c r="C706" s="25">
        <v>841</v>
      </c>
      <c r="D706" s="13" t="s">
        <v>2737</v>
      </c>
      <c r="E706" s="111"/>
      <c r="F706" s="113" t="s">
        <v>2724</v>
      </c>
      <c r="G706" s="273"/>
      <c r="H706" s="274"/>
      <c r="I706" s="24"/>
      <c r="J706" s="116">
        <v>4</v>
      </c>
      <c r="K706" s="118">
        <v>2212000</v>
      </c>
      <c r="L706" s="119"/>
      <c r="M706" s="118">
        <f>K706*0.1</f>
        <v>221200</v>
      </c>
      <c r="N706" s="119"/>
      <c r="O706" s="118">
        <v>0</v>
      </c>
      <c r="P706" s="119"/>
      <c r="Q706" s="118">
        <v>16240</v>
      </c>
      <c r="R706" s="119"/>
      <c r="S706" s="118">
        <v>14850</v>
      </c>
      <c r="T706" s="119"/>
      <c r="U706" s="118">
        <f>SUM(K706:T707)</f>
        <v>2464290</v>
      </c>
      <c r="V706" s="119"/>
      <c r="W706" s="124"/>
      <c r="X706" s="127" t="s">
        <v>2738</v>
      </c>
      <c r="Y706" s="223"/>
      <c r="Z706" s="223"/>
      <c r="AA706" s="223"/>
      <c r="AB706" s="224"/>
      <c r="AC706" s="15" t="s">
        <v>20</v>
      </c>
      <c r="AD706" s="129" t="s">
        <v>1670</v>
      </c>
      <c r="AE706" s="130"/>
      <c r="AF706" s="130"/>
      <c r="AG706" s="130"/>
      <c r="AH706" s="130"/>
      <c r="AI706" s="131"/>
      <c r="AJ706" s="132"/>
      <c r="AK706" s="127"/>
      <c r="AL706" s="127"/>
      <c r="AM706" s="21"/>
      <c r="AN706" s="133"/>
      <c r="AO706" s="134"/>
      <c r="AP706" s="135"/>
      <c r="AQ706" s="136"/>
      <c r="AR706" s="118"/>
      <c r="AS706" s="119"/>
      <c r="AT706" s="180">
        <f>AR706*0.1</f>
        <v>0</v>
      </c>
      <c r="AU706" s="181"/>
      <c r="AV706" s="118"/>
      <c r="AW706" s="119"/>
      <c r="AX706" s="118">
        <f>SUM(AR706:AW706)</f>
        <v>0</v>
      </c>
      <c r="AY706" s="119"/>
      <c r="AZ706" s="200"/>
    </row>
    <row r="707" spans="1:52" ht="17.100000000000001" customHeight="1" thickBot="1">
      <c r="A707" s="110"/>
      <c r="B707" s="27" t="s">
        <v>2699</v>
      </c>
      <c r="C707" s="27">
        <v>5061</v>
      </c>
      <c r="D707" s="14" t="s">
        <v>1635</v>
      </c>
      <c r="E707" s="112"/>
      <c r="F707" s="139" t="s">
        <v>2739</v>
      </c>
      <c r="G707" s="140"/>
      <c r="H707" s="141"/>
      <c r="I707" s="26">
        <v>40634</v>
      </c>
      <c r="J707" s="117"/>
      <c r="K707" s="120"/>
      <c r="L707" s="121"/>
      <c r="M707" s="120"/>
      <c r="N707" s="121"/>
      <c r="O707" s="120"/>
      <c r="P707" s="121"/>
      <c r="Q707" s="120"/>
      <c r="R707" s="121"/>
      <c r="S707" s="120"/>
      <c r="T707" s="121"/>
      <c r="U707" s="120"/>
      <c r="V707" s="121"/>
      <c r="W707" s="125"/>
      <c r="X707" s="143" t="s">
        <v>2740</v>
      </c>
      <c r="Y707" s="143"/>
      <c r="Z707" s="143"/>
      <c r="AA707" s="143"/>
      <c r="AB707" s="144"/>
      <c r="AC707" s="16" t="s">
        <v>21</v>
      </c>
      <c r="AD707" s="17" t="s">
        <v>2741</v>
      </c>
      <c r="AE707" s="145" t="s">
        <v>2742</v>
      </c>
      <c r="AF707" s="146"/>
      <c r="AG707" s="146"/>
      <c r="AH707" s="146"/>
      <c r="AI707" s="147"/>
      <c r="AJ707" s="148"/>
      <c r="AK707" s="143"/>
      <c r="AL707" s="143"/>
      <c r="AM707" s="22"/>
      <c r="AN707" s="149"/>
      <c r="AO707" s="144"/>
      <c r="AP707" s="148"/>
      <c r="AQ707" s="144"/>
      <c r="AR707" s="120"/>
      <c r="AS707" s="121"/>
      <c r="AT707" s="120"/>
      <c r="AU707" s="182"/>
      <c r="AV707" s="120"/>
      <c r="AW707" s="121"/>
      <c r="AX707" s="120"/>
      <c r="AY707" s="121"/>
      <c r="AZ707" s="201"/>
    </row>
    <row r="708" spans="1:52" ht="17.100000000000001" customHeight="1" thickTop="1">
      <c r="A708" s="109" t="s">
        <v>6091</v>
      </c>
      <c r="B708" s="28">
        <v>45427</v>
      </c>
      <c r="C708" s="25">
        <v>1740</v>
      </c>
      <c r="D708" s="13" t="s">
        <v>2348</v>
      </c>
      <c r="E708" s="111"/>
      <c r="F708" s="113" t="s">
        <v>1607</v>
      </c>
      <c r="G708" s="273"/>
      <c r="H708" s="274"/>
      <c r="I708" s="24" t="s">
        <v>2743</v>
      </c>
      <c r="J708" s="116">
        <v>4.5</v>
      </c>
      <c r="K708" s="118">
        <v>1355000</v>
      </c>
      <c r="L708" s="119"/>
      <c r="M708" s="118">
        <f>K708*0.1</f>
        <v>135500</v>
      </c>
      <c r="N708" s="119"/>
      <c r="O708" s="118">
        <v>31570</v>
      </c>
      <c r="P708" s="119"/>
      <c r="Q708" s="118">
        <v>17600</v>
      </c>
      <c r="R708" s="119"/>
      <c r="S708" s="118">
        <v>18150</v>
      </c>
      <c r="T708" s="119"/>
      <c r="U708" s="118">
        <f>SUM(K708:T709)</f>
        <v>1557820</v>
      </c>
      <c r="V708" s="119"/>
      <c r="W708" s="124"/>
      <c r="X708" s="127" t="s">
        <v>2744</v>
      </c>
      <c r="Y708" s="223"/>
      <c r="Z708" s="223"/>
      <c r="AA708" s="223"/>
      <c r="AB708" s="224"/>
      <c r="AC708" s="15" t="s">
        <v>20</v>
      </c>
      <c r="AD708" s="129" t="s">
        <v>2745</v>
      </c>
      <c r="AE708" s="130"/>
      <c r="AF708" s="130"/>
      <c r="AG708" s="130"/>
      <c r="AH708" s="130"/>
      <c r="AI708" s="131"/>
      <c r="AJ708" s="132"/>
      <c r="AK708" s="127"/>
      <c r="AL708" s="127"/>
      <c r="AM708" s="21" t="s">
        <v>2746</v>
      </c>
      <c r="AN708" s="133"/>
      <c r="AO708" s="134"/>
      <c r="AP708" s="135"/>
      <c r="AQ708" s="136"/>
      <c r="AR708" s="118"/>
      <c r="AS708" s="119"/>
      <c r="AT708" s="180">
        <f>AR708*0.1</f>
        <v>0</v>
      </c>
      <c r="AU708" s="181"/>
      <c r="AV708" s="118"/>
      <c r="AW708" s="119"/>
      <c r="AX708" s="118">
        <f>SUM(AR708:AW708)</f>
        <v>0</v>
      </c>
      <c r="AY708" s="119"/>
      <c r="AZ708" s="200"/>
    </row>
    <row r="709" spans="1:52" ht="17.100000000000001" customHeight="1" thickBot="1">
      <c r="A709" s="110"/>
      <c r="B709" s="27" t="s">
        <v>1806</v>
      </c>
      <c r="C709" s="27">
        <v>38095</v>
      </c>
      <c r="D709" s="14" t="s">
        <v>904</v>
      </c>
      <c r="E709" s="112"/>
      <c r="F709" s="139" t="s">
        <v>2747</v>
      </c>
      <c r="G709" s="140"/>
      <c r="H709" s="141"/>
      <c r="I709" s="26">
        <v>38468</v>
      </c>
      <c r="J709" s="117"/>
      <c r="K709" s="120"/>
      <c r="L709" s="121"/>
      <c r="M709" s="120"/>
      <c r="N709" s="121"/>
      <c r="O709" s="120"/>
      <c r="P709" s="121"/>
      <c r="Q709" s="120"/>
      <c r="R709" s="121"/>
      <c r="S709" s="120"/>
      <c r="T709" s="121"/>
      <c r="U709" s="120"/>
      <c r="V709" s="121"/>
      <c r="W709" s="125"/>
      <c r="X709" s="143" t="s">
        <v>2748</v>
      </c>
      <c r="Y709" s="143"/>
      <c r="Z709" s="143"/>
      <c r="AA709" s="143"/>
      <c r="AB709" s="144"/>
      <c r="AC709" s="16" t="s">
        <v>21</v>
      </c>
      <c r="AD709" s="17" t="s">
        <v>2749</v>
      </c>
      <c r="AE709" s="145" t="s">
        <v>2750</v>
      </c>
      <c r="AF709" s="146"/>
      <c r="AG709" s="146"/>
      <c r="AH709" s="146"/>
      <c r="AI709" s="147"/>
      <c r="AJ709" s="148" t="s">
        <v>2751</v>
      </c>
      <c r="AK709" s="143"/>
      <c r="AL709" s="143"/>
      <c r="AM709" s="22"/>
      <c r="AN709" s="149"/>
      <c r="AO709" s="144"/>
      <c r="AP709" s="148"/>
      <c r="AQ709" s="144"/>
      <c r="AR709" s="120"/>
      <c r="AS709" s="121"/>
      <c r="AT709" s="120"/>
      <c r="AU709" s="182"/>
      <c r="AV709" s="120"/>
      <c r="AW709" s="121"/>
      <c r="AX709" s="120"/>
      <c r="AY709" s="121"/>
      <c r="AZ709" s="201"/>
    </row>
    <row r="710" spans="1:52" ht="17.100000000000001" customHeight="1" thickTop="1">
      <c r="A710" s="109" t="s">
        <v>6092</v>
      </c>
      <c r="B710" s="28">
        <v>45428</v>
      </c>
      <c r="C710" s="25"/>
      <c r="D710" s="13" t="s">
        <v>2752</v>
      </c>
      <c r="E710" s="111"/>
      <c r="F710" s="113" t="s">
        <v>2753</v>
      </c>
      <c r="G710" s="273"/>
      <c r="H710" s="274"/>
      <c r="I710" s="24"/>
      <c r="J710" s="116"/>
      <c r="K710" s="118">
        <v>50000</v>
      </c>
      <c r="L710" s="119"/>
      <c r="M710" s="118">
        <v>0</v>
      </c>
      <c r="N710" s="119"/>
      <c r="O710" s="118"/>
      <c r="P710" s="119"/>
      <c r="Q710" s="118"/>
      <c r="R710" s="119"/>
      <c r="S710" s="118"/>
      <c r="T710" s="119"/>
      <c r="U710" s="118">
        <f>SUM(K710:T711)</f>
        <v>50000</v>
      </c>
      <c r="V710" s="119"/>
      <c r="W710" s="124"/>
      <c r="X710" s="127" t="s">
        <v>2754</v>
      </c>
      <c r="Y710" s="223"/>
      <c r="Z710" s="223"/>
      <c r="AA710" s="223"/>
      <c r="AB710" s="224"/>
      <c r="AC710" s="15" t="s">
        <v>20</v>
      </c>
      <c r="AD710" s="129"/>
      <c r="AE710" s="130"/>
      <c r="AF710" s="130"/>
      <c r="AG710" s="130"/>
      <c r="AH710" s="130"/>
      <c r="AI710" s="131"/>
      <c r="AJ710" s="132"/>
      <c r="AK710" s="127"/>
      <c r="AL710" s="127"/>
      <c r="AM710" s="21"/>
      <c r="AN710" s="133"/>
      <c r="AO710" s="134"/>
      <c r="AP710" s="135"/>
      <c r="AQ710" s="136"/>
      <c r="AR710" s="118"/>
      <c r="AS710" s="119"/>
      <c r="AT710" s="180">
        <f>AR710*0.1</f>
        <v>0</v>
      </c>
      <c r="AU710" s="181"/>
      <c r="AV710" s="118"/>
      <c r="AW710" s="119"/>
      <c r="AX710" s="118">
        <f>SUM(AR710:AW710)</f>
        <v>0</v>
      </c>
      <c r="AY710" s="119"/>
      <c r="AZ710" s="200"/>
    </row>
    <row r="711" spans="1:52" ht="17.100000000000001" customHeight="1" thickBot="1">
      <c r="A711" s="110"/>
      <c r="B711" s="27" t="s">
        <v>2755</v>
      </c>
      <c r="C711" s="27"/>
      <c r="D711" s="14"/>
      <c r="E711" s="112"/>
      <c r="F711" s="139" t="s">
        <v>2756</v>
      </c>
      <c r="G711" s="140"/>
      <c r="H711" s="141"/>
      <c r="I711" s="26"/>
      <c r="J711" s="117"/>
      <c r="K711" s="120"/>
      <c r="L711" s="121"/>
      <c r="M711" s="120"/>
      <c r="N711" s="121"/>
      <c r="O711" s="120"/>
      <c r="P711" s="121"/>
      <c r="Q711" s="120"/>
      <c r="R711" s="121"/>
      <c r="S711" s="120"/>
      <c r="T711" s="121"/>
      <c r="U711" s="120"/>
      <c r="V711" s="121"/>
      <c r="W711" s="125"/>
      <c r="X711" s="143" t="s">
        <v>2757</v>
      </c>
      <c r="Y711" s="143"/>
      <c r="Z711" s="143"/>
      <c r="AA711" s="143"/>
      <c r="AB711" s="144"/>
      <c r="AC711" s="16" t="s">
        <v>21</v>
      </c>
      <c r="AD711" s="17" t="s">
        <v>2730</v>
      </c>
      <c r="AE711" s="145" t="s">
        <v>2758</v>
      </c>
      <c r="AF711" s="146"/>
      <c r="AG711" s="146"/>
      <c r="AH711" s="146"/>
      <c r="AI711" s="147"/>
      <c r="AJ711" s="148"/>
      <c r="AK711" s="143"/>
      <c r="AL711" s="143"/>
      <c r="AM711" s="22" t="s">
        <v>907</v>
      </c>
      <c r="AN711" s="149"/>
      <c r="AO711" s="144"/>
      <c r="AP711" s="148"/>
      <c r="AQ711" s="144"/>
      <c r="AR711" s="120"/>
      <c r="AS711" s="121"/>
      <c r="AT711" s="120"/>
      <c r="AU711" s="182"/>
      <c r="AV711" s="120"/>
      <c r="AW711" s="121"/>
      <c r="AX711" s="120"/>
      <c r="AY711" s="121"/>
      <c r="AZ711" s="201"/>
    </row>
    <row r="712" spans="1:52" ht="17.100000000000001" customHeight="1" thickTop="1">
      <c r="A712" s="109" t="s">
        <v>6093</v>
      </c>
      <c r="B712" s="28">
        <v>45444</v>
      </c>
      <c r="C712" s="25">
        <v>1204</v>
      </c>
      <c r="D712" s="13" t="s">
        <v>2759</v>
      </c>
      <c r="E712" s="111"/>
      <c r="F712" s="113" t="s">
        <v>1810</v>
      </c>
      <c r="G712" s="273"/>
      <c r="H712" s="274"/>
      <c r="I712" s="24"/>
      <c r="J712" s="116">
        <v>4</v>
      </c>
      <c r="K712" s="118">
        <v>2610000</v>
      </c>
      <c r="L712" s="119"/>
      <c r="M712" s="118">
        <f>K712*0.1</f>
        <v>261000</v>
      </c>
      <c r="N712" s="119"/>
      <c r="O712" s="118">
        <v>0</v>
      </c>
      <c r="P712" s="119"/>
      <c r="Q712" s="118">
        <v>16240</v>
      </c>
      <c r="R712" s="119"/>
      <c r="S712" s="118">
        <v>13200</v>
      </c>
      <c r="T712" s="119"/>
      <c r="U712" s="118">
        <f>SUM(K712:T713)</f>
        <v>2900440</v>
      </c>
      <c r="V712" s="119"/>
      <c r="W712" s="124"/>
      <c r="X712" s="127" t="s">
        <v>2760</v>
      </c>
      <c r="Y712" s="223"/>
      <c r="Z712" s="223"/>
      <c r="AA712" s="223"/>
      <c r="AB712" s="224"/>
      <c r="AC712" s="15" t="s">
        <v>20</v>
      </c>
      <c r="AD712" s="129" t="s">
        <v>171</v>
      </c>
      <c r="AE712" s="130"/>
      <c r="AF712" s="130"/>
      <c r="AG712" s="130"/>
      <c r="AH712" s="130"/>
      <c r="AI712" s="131"/>
      <c r="AJ712" s="132"/>
      <c r="AK712" s="127"/>
      <c r="AL712" s="127"/>
      <c r="AM712" s="21"/>
      <c r="AN712" s="133"/>
      <c r="AO712" s="134"/>
      <c r="AP712" s="135"/>
      <c r="AQ712" s="136"/>
      <c r="AR712" s="118"/>
      <c r="AS712" s="119"/>
      <c r="AT712" s="180">
        <f>AR712*0.1</f>
        <v>0</v>
      </c>
      <c r="AU712" s="181"/>
      <c r="AV712" s="118"/>
      <c r="AW712" s="119"/>
      <c r="AX712" s="118">
        <f>SUM(AR712:AW712)</f>
        <v>0</v>
      </c>
      <c r="AY712" s="119"/>
      <c r="AZ712" s="200"/>
    </row>
    <row r="713" spans="1:52" ht="17.100000000000001" customHeight="1" thickBot="1">
      <c r="A713" s="110"/>
      <c r="B713" s="27" t="s">
        <v>2511</v>
      </c>
      <c r="C713" s="27">
        <v>82018</v>
      </c>
      <c r="D713" s="14" t="s">
        <v>275</v>
      </c>
      <c r="E713" s="112"/>
      <c r="F713" s="139" t="s">
        <v>2761</v>
      </c>
      <c r="G713" s="140"/>
      <c r="H713" s="141"/>
      <c r="I713" s="26">
        <v>28690</v>
      </c>
      <c r="J713" s="117"/>
      <c r="K713" s="120"/>
      <c r="L713" s="121"/>
      <c r="M713" s="120"/>
      <c r="N713" s="121"/>
      <c r="O713" s="120"/>
      <c r="P713" s="121"/>
      <c r="Q713" s="120"/>
      <c r="R713" s="121"/>
      <c r="S713" s="120"/>
      <c r="T713" s="121"/>
      <c r="U713" s="120"/>
      <c r="V713" s="121"/>
      <c r="W713" s="125"/>
      <c r="X713" s="143" t="s">
        <v>2762</v>
      </c>
      <c r="Y713" s="143"/>
      <c r="Z713" s="143"/>
      <c r="AA713" s="143"/>
      <c r="AB713" s="144"/>
      <c r="AC713" s="16" t="s">
        <v>21</v>
      </c>
      <c r="AD713" s="17" t="s">
        <v>2763</v>
      </c>
      <c r="AE713" s="145" t="s">
        <v>1614</v>
      </c>
      <c r="AF713" s="146"/>
      <c r="AG713" s="146"/>
      <c r="AH713" s="146"/>
      <c r="AI713" s="147"/>
      <c r="AJ713" s="148"/>
      <c r="AK713" s="143"/>
      <c r="AL713" s="143"/>
      <c r="AM713" s="22"/>
      <c r="AN713" s="149"/>
      <c r="AO713" s="144"/>
      <c r="AP713" s="148"/>
      <c r="AQ713" s="144"/>
      <c r="AR713" s="120"/>
      <c r="AS713" s="121"/>
      <c r="AT713" s="120"/>
      <c r="AU713" s="182"/>
      <c r="AV713" s="120"/>
      <c r="AW713" s="121"/>
      <c r="AX713" s="120"/>
      <c r="AY713" s="121"/>
      <c r="AZ713" s="201"/>
    </row>
    <row r="714" spans="1:52" ht="17.100000000000001" customHeight="1" thickTop="1">
      <c r="A714" s="109" t="s">
        <v>6094</v>
      </c>
      <c r="B714" s="28">
        <v>45444</v>
      </c>
      <c r="C714" s="25">
        <v>1204</v>
      </c>
      <c r="D714" s="13" t="s">
        <v>1695</v>
      </c>
      <c r="E714" s="111"/>
      <c r="F714" s="113" t="s">
        <v>2317</v>
      </c>
      <c r="G714" s="273"/>
      <c r="H714" s="274"/>
      <c r="I714" s="24" t="s">
        <v>2464</v>
      </c>
      <c r="J714" s="116">
        <v>4.5</v>
      </c>
      <c r="K714" s="118">
        <v>1475000</v>
      </c>
      <c r="L714" s="119"/>
      <c r="M714" s="118">
        <f>K714*0.1</f>
        <v>147500</v>
      </c>
      <c r="N714" s="119"/>
      <c r="O714" s="118">
        <v>32560</v>
      </c>
      <c r="P714" s="119"/>
      <c r="Q714" s="118">
        <v>20680</v>
      </c>
      <c r="R714" s="119"/>
      <c r="S714" s="118">
        <v>13200</v>
      </c>
      <c r="T714" s="119"/>
      <c r="U714" s="118">
        <f>SUM(K714:T715)</f>
        <v>1688940</v>
      </c>
      <c r="V714" s="119"/>
      <c r="W714" s="124"/>
      <c r="X714" s="127" t="s">
        <v>2764</v>
      </c>
      <c r="Y714" s="223"/>
      <c r="Z714" s="223"/>
      <c r="AA714" s="223"/>
      <c r="AB714" s="224"/>
      <c r="AC714" s="15" t="s">
        <v>20</v>
      </c>
      <c r="AD714" s="129" t="s">
        <v>171</v>
      </c>
      <c r="AE714" s="130"/>
      <c r="AF714" s="130"/>
      <c r="AG714" s="130"/>
      <c r="AH714" s="130"/>
      <c r="AI714" s="131"/>
      <c r="AJ714" s="132"/>
      <c r="AK714" s="127"/>
      <c r="AL714" s="127"/>
      <c r="AM714" s="21" t="s">
        <v>2765</v>
      </c>
      <c r="AN714" s="133"/>
      <c r="AO714" s="134"/>
      <c r="AP714" s="135"/>
      <c r="AQ714" s="136"/>
      <c r="AR714" s="118"/>
      <c r="AS714" s="119"/>
      <c r="AT714" s="180">
        <f>AR714*0.1</f>
        <v>0</v>
      </c>
      <c r="AU714" s="181"/>
      <c r="AV714" s="118"/>
      <c r="AW714" s="119"/>
      <c r="AX714" s="118">
        <f>SUM(AR714:AW714)</f>
        <v>0</v>
      </c>
      <c r="AY714" s="119"/>
      <c r="AZ714" s="200"/>
    </row>
    <row r="715" spans="1:52" ht="17.100000000000001" customHeight="1" thickBot="1">
      <c r="A715" s="110"/>
      <c r="B715" s="27" t="s">
        <v>2511</v>
      </c>
      <c r="C715" s="27">
        <v>82201</v>
      </c>
      <c r="D715" s="14" t="s">
        <v>1592</v>
      </c>
      <c r="E715" s="112"/>
      <c r="F715" s="139" t="s">
        <v>2766</v>
      </c>
      <c r="G715" s="140"/>
      <c r="H715" s="141"/>
      <c r="I715" s="26">
        <v>26660</v>
      </c>
      <c r="J715" s="117"/>
      <c r="K715" s="120"/>
      <c r="L715" s="121"/>
      <c r="M715" s="120"/>
      <c r="N715" s="121"/>
      <c r="O715" s="120"/>
      <c r="P715" s="121"/>
      <c r="Q715" s="120"/>
      <c r="R715" s="121"/>
      <c r="S715" s="120"/>
      <c r="T715" s="121"/>
      <c r="U715" s="120"/>
      <c r="V715" s="121"/>
      <c r="W715" s="125"/>
      <c r="X715" s="143" t="s">
        <v>2767</v>
      </c>
      <c r="Y715" s="143"/>
      <c r="Z715" s="143"/>
      <c r="AA715" s="143"/>
      <c r="AB715" s="144"/>
      <c r="AC715" s="16" t="s">
        <v>21</v>
      </c>
      <c r="AD715" s="17" t="s">
        <v>2763</v>
      </c>
      <c r="AE715" s="145" t="s">
        <v>171</v>
      </c>
      <c r="AF715" s="146"/>
      <c r="AG715" s="146"/>
      <c r="AH715" s="146"/>
      <c r="AI715" s="147"/>
      <c r="AJ715" s="148"/>
      <c r="AK715" s="143"/>
      <c r="AL715" s="143"/>
      <c r="AM715" s="22"/>
      <c r="AN715" s="149"/>
      <c r="AO715" s="144"/>
      <c r="AP715" s="148"/>
      <c r="AQ715" s="144"/>
      <c r="AR715" s="120"/>
      <c r="AS715" s="121"/>
      <c r="AT715" s="120"/>
      <c r="AU715" s="182"/>
      <c r="AV715" s="120"/>
      <c r="AW715" s="121"/>
      <c r="AX715" s="120"/>
      <c r="AY715" s="121"/>
      <c r="AZ715" s="201"/>
    </row>
    <row r="716" spans="1:52" ht="17.100000000000001" customHeight="1" thickTop="1">
      <c r="A716" s="109" t="s">
        <v>6095</v>
      </c>
      <c r="B716" s="28">
        <v>45444</v>
      </c>
      <c r="C716" s="25">
        <v>1204</v>
      </c>
      <c r="D716" s="13" t="s">
        <v>1712</v>
      </c>
      <c r="E716" s="111"/>
      <c r="F716" s="113" t="s">
        <v>2768</v>
      </c>
      <c r="G716" s="273"/>
      <c r="H716" s="274"/>
      <c r="I716" s="24"/>
      <c r="J716" s="116">
        <v>4.5</v>
      </c>
      <c r="K716" s="118">
        <v>1520000</v>
      </c>
      <c r="L716" s="119"/>
      <c r="M716" s="118">
        <f>K716*0.1</f>
        <v>152000</v>
      </c>
      <c r="N716" s="119"/>
      <c r="O716" s="118">
        <v>0</v>
      </c>
      <c r="P716" s="119"/>
      <c r="Q716" s="118">
        <v>19440</v>
      </c>
      <c r="R716" s="119"/>
      <c r="S716" s="118">
        <v>24200</v>
      </c>
      <c r="T716" s="119"/>
      <c r="U716" s="118">
        <f>SUM(K716:T717)</f>
        <v>1715640</v>
      </c>
      <c r="V716" s="119"/>
      <c r="W716" s="124"/>
      <c r="X716" s="127" t="s">
        <v>2769</v>
      </c>
      <c r="Y716" s="223"/>
      <c r="Z716" s="223"/>
      <c r="AA716" s="223"/>
      <c r="AB716" s="224"/>
      <c r="AC716" s="15" t="s">
        <v>20</v>
      </c>
      <c r="AD716" s="129" t="s">
        <v>1609</v>
      </c>
      <c r="AE716" s="130"/>
      <c r="AF716" s="130"/>
      <c r="AG716" s="130"/>
      <c r="AH716" s="130"/>
      <c r="AI716" s="131"/>
      <c r="AJ716" s="132"/>
      <c r="AK716" s="127"/>
      <c r="AL716" s="127"/>
      <c r="AM716" s="21"/>
      <c r="AN716" s="133">
        <v>46056</v>
      </c>
      <c r="AO716" s="134"/>
      <c r="AP716" s="135"/>
      <c r="AQ716" s="136"/>
      <c r="AR716" s="118">
        <v>2300000</v>
      </c>
      <c r="AS716" s="119"/>
      <c r="AT716" s="180">
        <v>0</v>
      </c>
      <c r="AU716" s="181"/>
      <c r="AV716" s="118">
        <v>0</v>
      </c>
      <c r="AW716" s="119"/>
      <c r="AX716" s="118">
        <f>SUM(AR716:AW716)</f>
        <v>2300000</v>
      </c>
      <c r="AY716" s="119"/>
      <c r="AZ716" s="200">
        <v>46091</v>
      </c>
    </row>
    <row r="717" spans="1:52" ht="17.100000000000001" customHeight="1" thickBot="1">
      <c r="A717" s="110"/>
      <c r="B717" s="27" t="s">
        <v>2511</v>
      </c>
      <c r="C717" s="27">
        <v>85060</v>
      </c>
      <c r="D717" s="14" t="s">
        <v>275</v>
      </c>
      <c r="E717" s="112"/>
      <c r="F717" s="139" t="s">
        <v>2770</v>
      </c>
      <c r="G717" s="140"/>
      <c r="H717" s="141"/>
      <c r="I717" s="26">
        <v>49023</v>
      </c>
      <c r="J717" s="117"/>
      <c r="K717" s="120"/>
      <c r="L717" s="121"/>
      <c r="M717" s="120"/>
      <c r="N717" s="121"/>
      <c r="O717" s="120"/>
      <c r="P717" s="121"/>
      <c r="Q717" s="120"/>
      <c r="R717" s="121"/>
      <c r="S717" s="120"/>
      <c r="T717" s="121"/>
      <c r="U717" s="120"/>
      <c r="V717" s="121"/>
      <c r="W717" s="125"/>
      <c r="X717" s="143" t="s">
        <v>2771</v>
      </c>
      <c r="Y717" s="143"/>
      <c r="Z717" s="143"/>
      <c r="AA717" s="143"/>
      <c r="AB717" s="144"/>
      <c r="AC717" s="16" t="s">
        <v>21</v>
      </c>
      <c r="AD717" s="17" t="s">
        <v>2763</v>
      </c>
      <c r="AE717" s="145" t="s">
        <v>1742</v>
      </c>
      <c r="AF717" s="146"/>
      <c r="AG717" s="146"/>
      <c r="AH717" s="146"/>
      <c r="AI717" s="147"/>
      <c r="AJ717" s="148"/>
      <c r="AK717" s="143"/>
      <c r="AL717" s="143"/>
      <c r="AM717" s="22"/>
      <c r="AN717" s="149" t="s">
        <v>24628</v>
      </c>
      <c r="AO717" s="144"/>
      <c r="AP717" s="148"/>
      <c r="AQ717" s="144"/>
      <c r="AR717" s="120"/>
      <c r="AS717" s="121"/>
      <c r="AT717" s="120"/>
      <c r="AU717" s="182"/>
      <c r="AV717" s="120"/>
      <c r="AW717" s="121"/>
      <c r="AX717" s="120"/>
      <c r="AY717" s="121"/>
      <c r="AZ717" s="201"/>
    </row>
    <row r="718" spans="1:52" ht="17.100000000000001" customHeight="1" thickTop="1">
      <c r="A718" s="109" t="s">
        <v>6096</v>
      </c>
      <c r="B718" s="28">
        <v>45446</v>
      </c>
      <c r="C718" s="25"/>
      <c r="D718" s="13" t="s">
        <v>2689</v>
      </c>
      <c r="E718" s="111"/>
      <c r="F718" s="113" t="s">
        <v>2772</v>
      </c>
      <c r="G718" s="273"/>
      <c r="H718" s="274"/>
      <c r="I718" s="24"/>
      <c r="J718" s="116">
        <v>3.5</v>
      </c>
      <c r="K718" s="118">
        <v>1052000</v>
      </c>
      <c r="L718" s="119"/>
      <c r="M718" s="118">
        <f>K718*0.1</f>
        <v>105200</v>
      </c>
      <c r="N718" s="119"/>
      <c r="O718" s="118">
        <v>0</v>
      </c>
      <c r="P718" s="119"/>
      <c r="Q718" s="118">
        <v>8550</v>
      </c>
      <c r="R718" s="119"/>
      <c r="S718" s="118">
        <v>14850</v>
      </c>
      <c r="T718" s="119"/>
      <c r="U718" s="118">
        <f>SUM(K718:T719)</f>
        <v>1180600</v>
      </c>
      <c r="V718" s="119"/>
      <c r="W718" s="124"/>
      <c r="X718" s="127" t="s">
        <v>2773</v>
      </c>
      <c r="Y718" s="223"/>
      <c r="Z718" s="223"/>
      <c r="AA718" s="223"/>
      <c r="AB718" s="224"/>
      <c r="AC718" s="15" t="s">
        <v>20</v>
      </c>
      <c r="AD718" s="129" t="s">
        <v>1670</v>
      </c>
      <c r="AE718" s="130"/>
      <c r="AF718" s="130"/>
      <c r="AG718" s="130"/>
      <c r="AH718" s="130"/>
      <c r="AI718" s="131"/>
      <c r="AJ718" s="132"/>
      <c r="AK718" s="127"/>
      <c r="AL718" s="127"/>
      <c r="AM718" s="21"/>
      <c r="AN718" s="133">
        <v>46144</v>
      </c>
      <c r="AO718" s="134"/>
      <c r="AP718" s="135">
        <v>1299</v>
      </c>
      <c r="AQ718" s="136"/>
      <c r="AR718" s="118">
        <v>1000000</v>
      </c>
      <c r="AS718" s="119"/>
      <c r="AT718" s="180">
        <f>AR718*0.1</f>
        <v>100000</v>
      </c>
      <c r="AU718" s="181"/>
      <c r="AV718" s="118">
        <v>8550</v>
      </c>
      <c r="AW718" s="119"/>
      <c r="AX718" s="118">
        <f>SUM(AR718:AW718)</f>
        <v>1108550</v>
      </c>
      <c r="AY718" s="119"/>
      <c r="AZ718" s="200">
        <v>46161</v>
      </c>
    </row>
    <row r="719" spans="1:52" ht="17.100000000000001" customHeight="1" thickBot="1">
      <c r="A719" s="110"/>
      <c r="B719" s="27" t="s">
        <v>2774</v>
      </c>
      <c r="C719" s="27">
        <v>80345</v>
      </c>
      <c r="D719" s="14" t="s">
        <v>1720</v>
      </c>
      <c r="E719" s="112"/>
      <c r="F719" s="139" t="s">
        <v>2775</v>
      </c>
      <c r="G719" s="140"/>
      <c r="H719" s="141"/>
      <c r="I719" s="26">
        <v>46279</v>
      </c>
      <c r="J719" s="117"/>
      <c r="K719" s="120"/>
      <c r="L719" s="121"/>
      <c r="M719" s="120"/>
      <c r="N719" s="121"/>
      <c r="O719" s="120"/>
      <c r="P719" s="121"/>
      <c r="Q719" s="120"/>
      <c r="R719" s="121"/>
      <c r="S719" s="120"/>
      <c r="T719" s="121"/>
      <c r="U719" s="120"/>
      <c r="V719" s="121"/>
      <c r="W719" s="125"/>
      <c r="X719" s="143" t="s">
        <v>2776</v>
      </c>
      <c r="Y719" s="143"/>
      <c r="Z719" s="143"/>
      <c r="AA719" s="143"/>
      <c r="AB719" s="144"/>
      <c r="AC719" s="16" t="s">
        <v>21</v>
      </c>
      <c r="AD719" s="17" t="s">
        <v>2014</v>
      </c>
      <c r="AE719" s="145" t="s">
        <v>2777</v>
      </c>
      <c r="AF719" s="146"/>
      <c r="AG719" s="146"/>
      <c r="AH719" s="146"/>
      <c r="AI719" s="147"/>
      <c r="AJ719" s="148"/>
      <c r="AK719" s="143"/>
      <c r="AL719" s="143"/>
      <c r="AM719" s="22"/>
      <c r="AN719" s="149" t="s">
        <v>6748</v>
      </c>
      <c r="AO719" s="144"/>
      <c r="AP719" s="148">
        <v>60049</v>
      </c>
      <c r="AQ719" s="144"/>
      <c r="AR719" s="120"/>
      <c r="AS719" s="121"/>
      <c r="AT719" s="120"/>
      <c r="AU719" s="182"/>
      <c r="AV719" s="120"/>
      <c r="AW719" s="121"/>
      <c r="AX719" s="120"/>
      <c r="AY719" s="121"/>
      <c r="AZ719" s="201"/>
    </row>
    <row r="720" spans="1:52" ht="17.100000000000001" customHeight="1" thickTop="1">
      <c r="A720" s="109" t="s">
        <v>6097</v>
      </c>
      <c r="B720" s="28">
        <v>45446</v>
      </c>
      <c r="C720" s="25">
        <v>1997</v>
      </c>
      <c r="D720" s="13" t="s">
        <v>1888</v>
      </c>
      <c r="E720" s="111"/>
      <c r="F720" s="113" t="s">
        <v>2778</v>
      </c>
      <c r="G720" s="273"/>
      <c r="H720" s="274"/>
      <c r="I720" s="24" t="s">
        <v>2779</v>
      </c>
      <c r="J720" s="116">
        <v>3.5</v>
      </c>
      <c r="K720" s="118">
        <v>864000</v>
      </c>
      <c r="L720" s="119"/>
      <c r="M720" s="118">
        <f>K720*0.1</f>
        <v>86400</v>
      </c>
      <c r="N720" s="119"/>
      <c r="O720" s="118">
        <v>0</v>
      </c>
      <c r="P720" s="119"/>
      <c r="Q720" s="118">
        <v>6540</v>
      </c>
      <c r="R720" s="119"/>
      <c r="S720" s="118">
        <v>8800</v>
      </c>
      <c r="T720" s="119"/>
      <c r="U720" s="118">
        <f>SUM(K720:T721)</f>
        <v>965740</v>
      </c>
      <c r="V720" s="119"/>
      <c r="W720" s="124"/>
      <c r="X720" s="127" t="s">
        <v>2780</v>
      </c>
      <c r="Y720" s="223"/>
      <c r="Z720" s="223"/>
      <c r="AA720" s="223"/>
      <c r="AB720" s="224"/>
      <c r="AC720" s="15" t="s">
        <v>20</v>
      </c>
      <c r="AD720" s="129" t="s">
        <v>2781</v>
      </c>
      <c r="AE720" s="130"/>
      <c r="AF720" s="130"/>
      <c r="AG720" s="130"/>
      <c r="AH720" s="130"/>
      <c r="AI720" s="131"/>
      <c r="AJ720" s="132"/>
      <c r="AK720" s="127"/>
      <c r="AL720" s="127"/>
      <c r="AM720" s="21" t="s">
        <v>2782</v>
      </c>
      <c r="AN720" s="133"/>
      <c r="AO720" s="134"/>
      <c r="AP720" s="135"/>
      <c r="AQ720" s="136"/>
      <c r="AR720" s="118"/>
      <c r="AS720" s="119"/>
      <c r="AT720" s="180">
        <f>AR720*0.1</f>
        <v>0</v>
      </c>
      <c r="AU720" s="181"/>
      <c r="AV720" s="118"/>
      <c r="AW720" s="119"/>
      <c r="AX720" s="118">
        <f>SUM(AR720:AW720)</f>
        <v>0</v>
      </c>
      <c r="AY720" s="119"/>
      <c r="AZ720" s="200"/>
    </row>
    <row r="721" spans="1:52" ht="17.100000000000001" customHeight="1" thickBot="1">
      <c r="A721" s="110"/>
      <c r="B721" s="27" t="s">
        <v>83</v>
      </c>
      <c r="C721" s="27">
        <v>24012</v>
      </c>
      <c r="D721" s="14" t="s">
        <v>1592</v>
      </c>
      <c r="E721" s="112"/>
      <c r="F721" s="139" t="s">
        <v>2783</v>
      </c>
      <c r="G721" s="140"/>
      <c r="H721" s="141"/>
      <c r="I721" s="26">
        <v>8035</v>
      </c>
      <c r="J721" s="117"/>
      <c r="K721" s="120"/>
      <c r="L721" s="121"/>
      <c r="M721" s="120"/>
      <c r="N721" s="121"/>
      <c r="O721" s="120"/>
      <c r="P721" s="121"/>
      <c r="Q721" s="120"/>
      <c r="R721" s="121"/>
      <c r="S721" s="120"/>
      <c r="T721" s="121"/>
      <c r="U721" s="120"/>
      <c r="V721" s="121"/>
      <c r="W721" s="125"/>
      <c r="X721" s="143" t="s">
        <v>2784</v>
      </c>
      <c r="Y721" s="143"/>
      <c r="Z721" s="143"/>
      <c r="AA721" s="143"/>
      <c r="AB721" s="144"/>
      <c r="AC721" s="16" t="s">
        <v>21</v>
      </c>
      <c r="AD721" s="17" t="s">
        <v>2355</v>
      </c>
      <c r="AE721" s="145" t="s">
        <v>2781</v>
      </c>
      <c r="AF721" s="146"/>
      <c r="AG721" s="146"/>
      <c r="AH721" s="146"/>
      <c r="AI721" s="147"/>
      <c r="AJ721" s="148"/>
      <c r="AK721" s="143"/>
      <c r="AL721" s="143"/>
      <c r="AM721" s="22"/>
      <c r="AN721" s="149"/>
      <c r="AO721" s="144"/>
      <c r="AP721" s="148"/>
      <c r="AQ721" s="144"/>
      <c r="AR721" s="120"/>
      <c r="AS721" s="121"/>
      <c r="AT721" s="120"/>
      <c r="AU721" s="182"/>
      <c r="AV721" s="120"/>
      <c r="AW721" s="121"/>
      <c r="AX721" s="120"/>
      <c r="AY721" s="121"/>
      <c r="AZ721" s="201"/>
    </row>
    <row r="722" spans="1:52" ht="17.100000000000001" customHeight="1" thickTop="1">
      <c r="A722" s="109" t="s">
        <v>6098</v>
      </c>
      <c r="B722" s="28">
        <v>45451</v>
      </c>
      <c r="C722" s="25">
        <v>1205</v>
      </c>
      <c r="D722" s="13" t="s">
        <v>1714</v>
      </c>
      <c r="E722" s="111"/>
      <c r="F722" s="113" t="s">
        <v>1587</v>
      </c>
      <c r="G722" s="273"/>
      <c r="H722" s="274"/>
      <c r="I722" s="24"/>
      <c r="J722" s="116">
        <v>4.5</v>
      </c>
      <c r="K722" s="118">
        <v>2370000</v>
      </c>
      <c r="L722" s="119"/>
      <c r="M722" s="118">
        <f>K722*0.1</f>
        <v>237000</v>
      </c>
      <c r="N722" s="119"/>
      <c r="O722" s="118">
        <v>0</v>
      </c>
      <c r="P722" s="119"/>
      <c r="Q722" s="118">
        <v>16240</v>
      </c>
      <c r="R722" s="119"/>
      <c r="S722" s="118">
        <v>13200</v>
      </c>
      <c r="T722" s="119"/>
      <c r="U722" s="118">
        <f>SUM(K722:T723)</f>
        <v>2636440</v>
      </c>
      <c r="V722" s="119"/>
      <c r="W722" s="124"/>
      <c r="X722" s="127" t="s">
        <v>2785</v>
      </c>
      <c r="Y722" s="223"/>
      <c r="Z722" s="223"/>
      <c r="AA722" s="223"/>
      <c r="AB722" s="224"/>
      <c r="AC722" s="15" t="s">
        <v>20</v>
      </c>
      <c r="AD722" s="129" t="s">
        <v>1633</v>
      </c>
      <c r="AE722" s="130"/>
      <c r="AF722" s="130"/>
      <c r="AG722" s="130"/>
      <c r="AH722" s="130"/>
      <c r="AI722" s="131"/>
      <c r="AJ722" s="132"/>
      <c r="AK722" s="127"/>
      <c r="AL722" s="127"/>
      <c r="AM722" s="21"/>
      <c r="AN722" s="133"/>
      <c r="AO722" s="134"/>
      <c r="AP722" s="135"/>
      <c r="AQ722" s="136"/>
      <c r="AR722" s="118"/>
      <c r="AS722" s="119"/>
      <c r="AT722" s="180">
        <f>AR722*0.1</f>
        <v>0</v>
      </c>
      <c r="AU722" s="181"/>
      <c r="AV722" s="118"/>
      <c r="AW722" s="119"/>
      <c r="AX722" s="118">
        <f>SUM(AR722:AW722)</f>
        <v>0</v>
      </c>
      <c r="AY722" s="119"/>
      <c r="AZ722" s="200"/>
    </row>
    <row r="723" spans="1:52" ht="17.100000000000001" customHeight="1" thickBot="1">
      <c r="A723" s="110"/>
      <c r="B723" s="27" t="s">
        <v>2511</v>
      </c>
      <c r="C723" s="27">
        <v>85001</v>
      </c>
      <c r="D723" s="14" t="s">
        <v>1592</v>
      </c>
      <c r="E723" s="112"/>
      <c r="F723" s="139" t="s">
        <v>2786</v>
      </c>
      <c r="G723" s="140"/>
      <c r="H723" s="141"/>
      <c r="I723" s="26">
        <v>18963</v>
      </c>
      <c r="J723" s="117"/>
      <c r="K723" s="120"/>
      <c r="L723" s="121"/>
      <c r="M723" s="120"/>
      <c r="N723" s="121"/>
      <c r="O723" s="120"/>
      <c r="P723" s="121"/>
      <c r="Q723" s="120"/>
      <c r="R723" s="121"/>
      <c r="S723" s="120"/>
      <c r="T723" s="121"/>
      <c r="U723" s="120"/>
      <c r="V723" s="121"/>
      <c r="W723" s="125"/>
      <c r="X723" s="143" t="s">
        <v>2787</v>
      </c>
      <c r="Y723" s="143"/>
      <c r="Z723" s="143"/>
      <c r="AA723" s="143"/>
      <c r="AB723" s="144"/>
      <c r="AC723" s="16" t="s">
        <v>21</v>
      </c>
      <c r="AD723" s="17" t="s">
        <v>2788</v>
      </c>
      <c r="AE723" s="145" t="s">
        <v>2789</v>
      </c>
      <c r="AF723" s="146"/>
      <c r="AG723" s="146"/>
      <c r="AH723" s="146"/>
      <c r="AI723" s="147"/>
      <c r="AJ723" s="148"/>
      <c r="AK723" s="143"/>
      <c r="AL723" s="143"/>
      <c r="AM723" s="22"/>
      <c r="AN723" s="149"/>
      <c r="AO723" s="144"/>
      <c r="AP723" s="148"/>
      <c r="AQ723" s="144"/>
      <c r="AR723" s="120"/>
      <c r="AS723" s="121"/>
      <c r="AT723" s="120"/>
      <c r="AU723" s="182"/>
      <c r="AV723" s="120"/>
      <c r="AW723" s="121"/>
      <c r="AX723" s="120"/>
      <c r="AY723" s="121"/>
      <c r="AZ723" s="201"/>
    </row>
    <row r="724" spans="1:52" ht="17.100000000000001" customHeight="1" thickTop="1">
      <c r="A724" s="109" t="s">
        <v>6099</v>
      </c>
      <c r="B724" s="28">
        <v>45455</v>
      </c>
      <c r="C724" s="25">
        <v>922</v>
      </c>
      <c r="D724" s="13" t="s">
        <v>1642</v>
      </c>
      <c r="E724" s="111"/>
      <c r="F724" s="113" t="s">
        <v>2790</v>
      </c>
      <c r="G724" s="273"/>
      <c r="H724" s="274"/>
      <c r="I724" s="24" t="s">
        <v>2791</v>
      </c>
      <c r="J724" s="116">
        <v>4</v>
      </c>
      <c r="K724" s="118">
        <v>1220000</v>
      </c>
      <c r="L724" s="119"/>
      <c r="M724" s="118">
        <f>K724*0.1</f>
        <v>122000</v>
      </c>
      <c r="N724" s="119"/>
      <c r="O724" s="118">
        <v>0</v>
      </c>
      <c r="P724" s="119"/>
      <c r="Q724" s="118">
        <v>8550</v>
      </c>
      <c r="R724" s="119"/>
      <c r="S724" s="118">
        <v>12100</v>
      </c>
      <c r="T724" s="119"/>
      <c r="U724" s="118">
        <f>SUM(K724:T725)</f>
        <v>1362650</v>
      </c>
      <c r="V724" s="119"/>
      <c r="W724" s="124"/>
      <c r="X724" s="127" t="s">
        <v>2792</v>
      </c>
      <c r="Y724" s="223"/>
      <c r="Z724" s="223"/>
      <c r="AA724" s="223"/>
      <c r="AB724" s="224"/>
      <c r="AC724" s="15" t="s">
        <v>20</v>
      </c>
      <c r="AD724" s="129"/>
      <c r="AE724" s="130"/>
      <c r="AF724" s="130"/>
      <c r="AG724" s="130"/>
      <c r="AH724" s="130"/>
      <c r="AI724" s="131"/>
      <c r="AJ724" s="132"/>
      <c r="AK724" s="127"/>
      <c r="AL724" s="127"/>
      <c r="AM724" s="21" t="s">
        <v>2793</v>
      </c>
      <c r="AN724" s="133"/>
      <c r="AO724" s="134"/>
      <c r="AP724" s="135"/>
      <c r="AQ724" s="136"/>
      <c r="AR724" s="118"/>
      <c r="AS724" s="119"/>
      <c r="AT724" s="180">
        <f>AR724*0.1</f>
        <v>0</v>
      </c>
      <c r="AU724" s="181"/>
      <c r="AV724" s="118"/>
      <c r="AW724" s="119"/>
      <c r="AX724" s="118">
        <f>SUM(AR724:AW724)</f>
        <v>0</v>
      </c>
      <c r="AY724" s="119"/>
      <c r="AZ724" s="200"/>
    </row>
    <row r="725" spans="1:52" ht="17.100000000000001" customHeight="1" thickBot="1">
      <c r="A725" s="110"/>
      <c r="B725" s="27" t="s">
        <v>2794</v>
      </c>
      <c r="C725" s="27">
        <v>4032</v>
      </c>
      <c r="D725" s="14" t="s">
        <v>275</v>
      </c>
      <c r="E725" s="112"/>
      <c r="F725" s="139" t="s">
        <v>2795</v>
      </c>
      <c r="G725" s="140"/>
      <c r="H725" s="141"/>
      <c r="I725" s="26">
        <v>49833</v>
      </c>
      <c r="J725" s="117"/>
      <c r="K725" s="120"/>
      <c r="L725" s="121"/>
      <c r="M725" s="120"/>
      <c r="N725" s="121"/>
      <c r="O725" s="120"/>
      <c r="P725" s="121"/>
      <c r="Q725" s="120"/>
      <c r="R725" s="121"/>
      <c r="S725" s="120"/>
      <c r="T725" s="121"/>
      <c r="U725" s="120"/>
      <c r="V725" s="121"/>
      <c r="W725" s="125"/>
      <c r="X725" s="143" t="s">
        <v>2796</v>
      </c>
      <c r="Y725" s="143"/>
      <c r="Z725" s="143"/>
      <c r="AA725" s="143"/>
      <c r="AB725" s="144"/>
      <c r="AC725" s="16" t="s">
        <v>21</v>
      </c>
      <c r="AD725" s="17" t="s">
        <v>2034</v>
      </c>
      <c r="AE725" s="145" t="s">
        <v>2797</v>
      </c>
      <c r="AF725" s="146"/>
      <c r="AG725" s="146"/>
      <c r="AH725" s="146"/>
      <c r="AI725" s="147"/>
      <c r="AJ725" s="148" t="s">
        <v>2798</v>
      </c>
      <c r="AK725" s="143"/>
      <c r="AL725" s="143"/>
      <c r="AM725" s="22"/>
      <c r="AN725" s="149"/>
      <c r="AO725" s="144"/>
      <c r="AP725" s="148"/>
      <c r="AQ725" s="144"/>
      <c r="AR725" s="120"/>
      <c r="AS725" s="121"/>
      <c r="AT725" s="120"/>
      <c r="AU725" s="182"/>
      <c r="AV725" s="120"/>
      <c r="AW725" s="121"/>
      <c r="AX725" s="120"/>
      <c r="AY725" s="121"/>
      <c r="AZ725" s="201"/>
    </row>
    <row r="726" spans="1:52" ht="17.100000000000001" customHeight="1" thickTop="1">
      <c r="A726" s="109" t="s">
        <v>6100</v>
      </c>
      <c r="B726" s="28">
        <v>45455</v>
      </c>
      <c r="C726" s="25">
        <v>1744</v>
      </c>
      <c r="D726" s="13" t="s">
        <v>1853</v>
      </c>
      <c r="E726" s="111"/>
      <c r="F726" s="113" t="s">
        <v>1147</v>
      </c>
      <c r="G726" s="273"/>
      <c r="H726" s="274"/>
      <c r="I726" s="24"/>
      <c r="J726" s="116">
        <v>4.5</v>
      </c>
      <c r="K726" s="118">
        <v>2105000</v>
      </c>
      <c r="L726" s="119"/>
      <c r="M726" s="118">
        <f>K726*0.1</f>
        <v>210500</v>
      </c>
      <c r="N726" s="119"/>
      <c r="O726" s="118">
        <v>0</v>
      </c>
      <c r="P726" s="119"/>
      <c r="Q726" s="118">
        <v>16240</v>
      </c>
      <c r="R726" s="119"/>
      <c r="S726" s="118">
        <v>18150</v>
      </c>
      <c r="T726" s="119"/>
      <c r="U726" s="118">
        <f>SUM(K726:T727)</f>
        <v>2349890</v>
      </c>
      <c r="V726" s="119"/>
      <c r="W726" s="124"/>
      <c r="X726" s="127" t="s">
        <v>2799</v>
      </c>
      <c r="Y726" s="223"/>
      <c r="Z726" s="223"/>
      <c r="AA726" s="223"/>
      <c r="AB726" s="224"/>
      <c r="AC726" s="15" t="s">
        <v>20</v>
      </c>
      <c r="AD726" s="129"/>
      <c r="AE726" s="130"/>
      <c r="AF726" s="130"/>
      <c r="AG726" s="130"/>
      <c r="AH726" s="130"/>
      <c r="AI726" s="131"/>
      <c r="AJ726" s="132"/>
      <c r="AK726" s="127"/>
      <c r="AL726" s="127"/>
      <c r="AM726" s="21"/>
      <c r="AN726" s="133"/>
      <c r="AO726" s="134"/>
      <c r="AP726" s="135"/>
      <c r="AQ726" s="136"/>
      <c r="AR726" s="118"/>
      <c r="AS726" s="119"/>
      <c r="AT726" s="180">
        <f>AR726*0.1</f>
        <v>0</v>
      </c>
      <c r="AU726" s="181"/>
      <c r="AV726" s="118"/>
      <c r="AW726" s="119"/>
      <c r="AX726" s="118">
        <f>SUM(AR726:AW726)</f>
        <v>0</v>
      </c>
      <c r="AY726" s="119"/>
      <c r="AZ726" s="200"/>
    </row>
    <row r="727" spans="1:52" ht="17.100000000000001" customHeight="1" thickBot="1">
      <c r="A727" s="110"/>
      <c r="B727" s="27" t="s">
        <v>1806</v>
      </c>
      <c r="C727" s="27">
        <v>90086</v>
      </c>
      <c r="D727" s="14" t="s">
        <v>2800</v>
      </c>
      <c r="E727" s="112"/>
      <c r="F727" s="139" t="s">
        <v>2801</v>
      </c>
      <c r="G727" s="140"/>
      <c r="H727" s="141"/>
      <c r="I727" s="26">
        <v>23506</v>
      </c>
      <c r="J727" s="117"/>
      <c r="K727" s="120"/>
      <c r="L727" s="121"/>
      <c r="M727" s="120"/>
      <c r="N727" s="121"/>
      <c r="O727" s="120"/>
      <c r="P727" s="121"/>
      <c r="Q727" s="120"/>
      <c r="R727" s="121"/>
      <c r="S727" s="120"/>
      <c r="T727" s="121"/>
      <c r="U727" s="120"/>
      <c r="V727" s="121"/>
      <c r="W727" s="125"/>
      <c r="X727" s="143" t="s">
        <v>2802</v>
      </c>
      <c r="Y727" s="143"/>
      <c r="Z727" s="143"/>
      <c r="AA727" s="143"/>
      <c r="AB727" s="144"/>
      <c r="AC727" s="16" t="s">
        <v>21</v>
      </c>
      <c r="AD727" s="17" t="s">
        <v>2028</v>
      </c>
      <c r="AE727" s="145" t="s">
        <v>1742</v>
      </c>
      <c r="AF727" s="146"/>
      <c r="AG727" s="146"/>
      <c r="AH727" s="146"/>
      <c r="AI727" s="147"/>
      <c r="AJ727" s="148"/>
      <c r="AK727" s="143"/>
      <c r="AL727" s="143"/>
      <c r="AM727" s="22"/>
      <c r="AN727" s="149"/>
      <c r="AO727" s="144"/>
      <c r="AP727" s="148"/>
      <c r="AQ727" s="144"/>
      <c r="AR727" s="120"/>
      <c r="AS727" s="121"/>
      <c r="AT727" s="120"/>
      <c r="AU727" s="182"/>
      <c r="AV727" s="120"/>
      <c r="AW727" s="121"/>
      <c r="AX727" s="120"/>
      <c r="AY727" s="121"/>
      <c r="AZ727" s="201"/>
    </row>
    <row r="728" spans="1:52" ht="17.100000000000001" customHeight="1" thickTop="1">
      <c r="A728" s="109" t="s">
        <v>6101</v>
      </c>
      <c r="B728" s="28">
        <v>45456</v>
      </c>
      <c r="C728" s="25">
        <v>1471</v>
      </c>
      <c r="D728" s="13" t="s">
        <v>1803</v>
      </c>
      <c r="E728" s="111"/>
      <c r="F728" s="113" t="s">
        <v>2803</v>
      </c>
      <c r="G728" s="273"/>
      <c r="H728" s="274"/>
      <c r="I728" s="24"/>
      <c r="J728" s="116">
        <v>4</v>
      </c>
      <c r="K728" s="118">
        <v>2035000</v>
      </c>
      <c r="L728" s="119"/>
      <c r="M728" s="118">
        <f>K728*0.1</f>
        <v>203500</v>
      </c>
      <c r="N728" s="119"/>
      <c r="O728" s="118">
        <v>0</v>
      </c>
      <c r="P728" s="119"/>
      <c r="Q728" s="118">
        <v>19090</v>
      </c>
      <c r="R728" s="119"/>
      <c r="S728" s="118">
        <v>13200</v>
      </c>
      <c r="T728" s="119"/>
      <c r="U728" s="118">
        <f>SUM(K728:T729)</f>
        <v>2270790</v>
      </c>
      <c r="V728" s="119"/>
      <c r="W728" s="124"/>
      <c r="X728" s="127" t="s">
        <v>2804</v>
      </c>
      <c r="Y728" s="223"/>
      <c r="Z728" s="223"/>
      <c r="AA728" s="223"/>
      <c r="AB728" s="224"/>
      <c r="AC728" s="15" t="s">
        <v>20</v>
      </c>
      <c r="AD728" s="129" t="s">
        <v>1732</v>
      </c>
      <c r="AE728" s="130"/>
      <c r="AF728" s="130"/>
      <c r="AG728" s="130"/>
      <c r="AH728" s="130"/>
      <c r="AI728" s="131"/>
      <c r="AJ728" s="132"/>
      <c r="AK728" s="127"/>
      <c r="AL728" s="127"/>
      <c r="AM728" s="21"/>
      <c r="AN728" s="133">
        <v>46304</v>
      </c>
      <c r="AO728" s="134"/>
      <c r="AP728" s="135"/>
      <c r="AQ728" s="136"/>
      <c r="AR728" s="118">
        <v>2910000</v>
      </c>
      <c r="AS728" s="119"/>
      <c r="AT728" s="180">
        <v>0</v>
      </c>
      <c r="AU728" s="181"/>
      <c r="AV728" s="118">
        <v>0</v>
      </c>
      <c r="AW728" s="119"/>
      <c r="AX728" s="118">
        <f>SUM(AR728:AW728)</f>
        <v>2910000</v>
      </c>
      <c r="AY728" s="119"/>
      <c r="AZ728" s="200">
        <v>46357</v>
      </c>
    </row>
    <row r="729" spans="1:52" ht="17.100000000000001" customHeight="1" thickBot="1">
      <c r="A729" s="110"/>
      <c r="B729" s="27" t="s">
        <v>1600</v>
      </c>
      <c r="C729" s="27">
        <v>75917</v>
      </c>
      <c r="D729" s="14" t="s">
        <v>1635</v>
      </c>
      <c r="E729" s="112"/>
      <c r="F729" s="139" t="s">
        <v>2805</v>
      </c>
      <c r="G729" s="140"/>
      <c r="H729" s="141"/>
      <c r="I729" s="26">
        <v>41190</v>
      </c>
      <c r="J729" s="117"/>
      <c r="K729" s="120"/>
      <c r="L729" s="121"/>
      <c r="M729" s="120"/>
      <c r="N729" s="121"/>
      <c r="O729" s="120"/>
      <c r="P729" s="121"/>
      <c r="Q729" s="120"/>
      <c r="R729" s="121"/>
      <c r="S729" s="120"/>
      <c r="T729" s="121"/>
      <c r="U729" s="120"/>
      <c r="V729" s="121"/>
      <c r="W729" s="125"/>
      <c r="X729" s="143" t="s">
        <v>2806</v>
      </c>
      <c r="Y729" s="143"/>
      <c r="Z729" s="143"/>
      <c r="AA729" s="143"/>
      <c r="AB729" s="144"/>
      <c r="AC729" s="16" t="s">
        <v>21</v>
      </c>
      <c r="AD729" s="17" t="s">
        <v>2034</v>
      </c>
      <c r="AE729" s="145" t="s">
        <v>2807</v>
      </c>
      <c r="AF729" s="146"/>
      <c r="AG729" s="146"/>
      <c r="AH729" s="146"/>
      <c r="AI729" s="147"/>
      <c r="AJ729" s="148"/>
      <c r="AK729" s="143"/>
      <c r="AL729" s="143"/>
      <c r="AM729" s="22"/>
      <c r="AN729" s="149" t="s">
        <v>15696</v>
      </c>
      <c r="AO729" s="144"/>
      <c r="AP729" s="148"/>
      <c r="AQ729" s="144"/>
      <c r="AR729" s="120"/>
      <c r="AS729" s="121"/>
      <c r="AT729" s="120"/>
      <c r="AU729" s="182"/>
      <c r="AV729" s="120"/>
      <c r="AW729" s="121"/>
      <c r="AX729" s="120"/>
      <c r="AY729" s="121"/>
      <c r="AZ729" s="201"/>
    </row>
    <row r="730" spans="1:52" ht="17.100000000000001" customHeight="1" thickTop="1">
      <c r="A730" s="109" t="s">
        <v>6102</v>
      </c>
      <c r="B730" s="28">
        <v>45458</v>
      </c>
      <c r="C730" s="25">
        <v>1206</v>
      </c>
      <c r="D730" s="13" t="s">
        <v>1597</v>
      </c>
      <c r="E730" s="111"/>
      <c r="F730" s="113" t="s">
        <v>2703</v>
      </c>
      <c r="G730" s="273"/>
      <c r="H730" s="274"/>
      <c r="I730" s="24" t="s">
        <v>2808</v>
      </c>
      <c r="J730" s="116">
        <v>4.5</v>
      </c>
      <c r="K730" s="118">
        <v>2090000</v>
      </c>
      <c r="L730" s="119"/>
      <c r="M730" s="118">
        <f>K730*0.1</f>
        <v>209000</v>
      </c>
      <c r="N730" s="119"/>
      <c r="O730" s="118">
        <v>28380</v>
      </c>
      <c r="P730" s="119"/>
      <c r="Q730" s="118">
        <v>11740</v>
      </c>
      <c r="R730" s="119"/>
      <c r="S730" s="118">
        <v>13200</v>
      </c>
      <c r="T730" s="119"/>
      <c r="U730" s="118">
        <f>SUM(K730:T731)</f>
        <v>2352320</v>
      </c>
      <c r="V730" s="119"/>
      <c r="W730" s="124"/>
      <c r="X730" s="127" t="s">
        <v>2809</v>
      </c>
      <c r="Y730" s="223"/>
      <c r="Z730" s="223"/>
      <c r="AA730" s="223"/>
      <c r="AB730" s="224"/>
      <c r="AC730" s="15" t="s">
        <v>20</v>
      </c>
      <c r="AD730" s="129" t="s">
        <v>2810</v>
      </c>
      <c r="AE730" s="130"/>
      <c r="AF730" s="130"/>
      <c r="AG730" s="130"/>
      <c r="AH730" s="130"/>
      <c r="AI730" s="131"/>
      <c r="AJ730" s="132"/>
      <c r="AK730" s="127"/>
      <c r="AL730" s="127"/>
      <c r="AM730" s="21" t="s">
        <v>2811</v>
      </c>
      <c r="AN730" s="133"/>
      <c r="AO730" s="134"/>
      <c r="AP730" s="135"/>
      <c r="AQ730" s="136"/>
      <c r="AR730" s="118"/>
      <c r="AS730" s="119"/>
      <c r="AT730" s="180">
        <f>AR730*0.1</f>
        <v>0</v>
      </c>
      <c r="AU730" s="181"/>
      <c r="AV730" s="118"/>
      <c r="AW730" s="119"/>
      <c r="AX730" s="118">
        <f>SUM(AR730:AW730)</f>
        <v>0</v>
      </c>
      <c r="AY730" s="119"/>
      <c r="AZ730" s="200"/>
    </row>
    <row r="731" spans="1:52" ht="17.100000000000001" customHeight="1" thickBot="1">
      <c r="A731" s="110"/>
      <c r="B731" s="27" t="s">
        <v>2511</v>
      </c>
      <c r="C731" s="27">
        <v>85019</v>
      </c>
      <c r="D731" s="14" t="s">
        <v>133</v>
      </c>
      <c r="E731" s="112"/>
      <c r="F731" s="139" t="s">
        <v>2812</v>
      </c>
      <c r="G731" s="140"/>
      <c r="H731" s="141"/>
      <c r="I731" s="26">
        <v>33145</v>
      </c>
      <c r="J731" s="117"/>
      <c r="K731" s="120"/>
      <c r="L731" s="121"/>
      <c r="M731" s="120"/>
      <c r="N731" s="121"/>
      <c r="O731" s="120"/>
      <c r="P731" s="121"/>
      <c r="Q731" s="120"/>
      <c r="R731" s="121"/>
      <c r="S731" s="120"/>
      <c r="T731" s="121"/>
      <c r="U731" s="120"/>
      <c r="V731" s="121"/>
      <c r="W731" s="125"/>
      <c r="X731" s="143" t="s">
        <v>2813</v>
      </c>
      <c r="Y731" s="143"/>
      <c r="Z731" s="143"/>
      <c r="AA731" s="143"/>
      <c r="AB731" s="144"/>
      <c r="AC731" s="16" t="s">
        <v>21</v>
      </c>
      <c r="AD731" s="17" t="s">
        <v>2788</v>
      </c>
      <c r="AE731" s="145" t="s">
        <v>1633</v>
      </c>
      <c r="AF731" s="146"/>
      <c r="AG731" s="146"/>
      <c r="AH731" s="146"/>
      <c r="AI731" s="147"/>
      <c r="AJ731" s="148"/>
      <c r="AK731" s="143"/>
      <c r="AL731" s="143"/>
      <c r="AM731" s="22"/>
      <c r="AN731" s="149"/>
      <c r="AO731" s="144"/>
      <c r="AP731" s="148"/>
      <c r="AQ731" s="144"/>
      <c r="AR731" s="120"/>
      <c r="AS731" s="121"/>
      <c r="AT731" s="120"/>
      <c r="AU731" s="182"/>
      <c r="AV731" s="120"/>
      <c r="AW731" s="121"/>
      <c r="AX731" s="120"/>
      <c r="AY731" s="121"/>
      <c r="AZ731" s="201"/>
    </row>
    <row r="732" spans="1:52" ht="17.100000000000001" customHeight="1" thickTop="1">
      <c r="A732" s="109" t="s">
        <v>6103</v>
      </c>
      <c r="B732" s="28">
        <v>45460</v>
      </c>
      <c r="C732" s="25">
        <v>1999</v>
      </c>
      <c r="D732" s="13" t="s">
        <v>2814</v>
      </c>
      <c r="E732" s="111"/>
      <c r="F732" s="113" t="s">
        <v>2815</v>
      </c>
      <c r="G732" s="273"/>
      <c r="H732" s="274"/>
      <c r="I732" s="24"/>
      <c r="J732" s="116">
        <v>4</v>
      </c>
      <c r="K732" s="118">
        <v>3405000</v>
      </c>
      <c r="L732" s="119"/>
      <c r="M732" s="118">
        <f>K732*0.1</f>
        <v>340500</v>
      </c>
      <c r="N732" s="119"/>
      <c r="O732" s="118">
        <v>0</v>
      </c>
      <c r="P732" s="119"/>
      <c r="Q732" s="118">
        <v>16040</v>
      </c>
      <c r="R732" s="119"/>
      <c r="S732" s="118">
        <v>12100</v>
      </c>
      <c r="T732" s="119"/>
      <c r="U732" s="118">
        <f>SUM(K732:T733)</f>
        <v>3773640</v>
      </c>
      <c r="V732" s="119"/>
      <c r="W732" s="124"/>
      <c r="X732" s="127" t="s">
        <v>2816</v>
      </c>
      <c r="Y732" s="223"/>
      <c r="Z732" s="223"/>
      <c r="AA732" s="223"/>
      <c r="AB732" s="224"/>
      <c r="AC732" s="15" t="s">
        <v>20</v>
      </c>
      <c r="AD732" s="129" t="s">
        <v>171</v>
      </c>
      <c r="AE732" s="130"/>
      <c r="AF732" s="130"/>
      <c r="AG732" s="130"/>
      <c r="AH732" s="130"/>
      <c r="AI732" s="131"/>
      <c r="AJ732" s="132"/>
      <c r="AK732" s="127"/>
      <c r="AL732" s="127"/>
      <c r="AM732" s="21"/>
      <c r="AN732" s="133"/>
      <c r="AO732" s="134"/>
      <c r="AP732" s="135"/>
      <c r="AQ732" s="136"/>
      <c r="AR732" s="118"/>
      <c r="AS732" s="119"/>
      <c r="AT732" s="180">
        <f>AR732*0.1</f>
        <v>0</v>
      </c>
      <c r="AU732" s="181"/>
      <c r="AV732" s="118"/>
      <c r="AW732" s="119"/>
      <c r="AX732" s="118">
        <f>SUM(AR732:AW732)</f>
        <v>0</v>
      </c>
      <c r="AY732" s="119"/>
      <c r="AZ732" s="200"/>
    </row>
    <row r="733" spans="1:52" ht="17.100000000000001" customHeight="1" thickBot="1">
      <c r="A733" s="110"/>
      <c r="B733" s="27" t="s">
        <v>83</v>
      </c>
      <c r="C733" s="27">
        <v>33526</v>
      </c>
      <c r="D733" s="14" t="s">
        <v>1576</v>
      </c>
      <c r="E733" s="112"/>
      <c r="F733" s="139" t="s">
        <v>2817</v>
      </c>
      <c r="G733" s="140"/>
      <c r="H733" s="141"/>
      <c r="I733" s="26">
        <v>57978</v>
      </c>
      <c r="J733" s="117"/>
      <c r="K733" s="120"/>
      <c r="L733" s="121"/>
      <c r="M733" s="120"/>
      <c r="N733" s="121"/>
      <c r="O733" s="120"/>
      <c r="P733" s="121"/>
      <c r="Q733" s="120"/>
      <c r="R733" s="121"/>
      <c r="S733" s="120"/>
      <c r="T733" s="121"/>
      <c r="U733" s="120"/>
      <c r="V733" s="121"/>
      <c r="W733" s="125"/>
      <c r="X733" s="143" t="s">
        <v>2666</v>
      </c>
      <c r="Y733" s="143"/>
      <c r="Z733" s="143"/>
      <c r="AA733" s="143"/>
      <c r="AB733" s="144"/>
      <c r="AC733" s="16" t="s">
        <v>21</v>
      </c>
      <c r="AD733" s="17" t="s">
        <v>2818</v>
      </c>
      <c r="AE733" s="145" t="s">
        <v>1742</v>
      </c>
      <c r="AF733" s="146"/>
      <c r="AG733" s="146"/>
      <c r="AH733" s="146"/>
      <c r="AI733" s="147"/>
      <c r="AJ733" s="148" t="s">
        <v>2819</v>
      </c>
      <c r="AK733" s="143"/>
      <c r="AL733" s="143"/>
      <c r="AM733" s="22"/>
      <c r="AN733" s="149"/>
      <c r="AO733" s="144"/>
      <c r="AP733" s="148"/>
      <c r="AQ733" s="144"/>
      <c r="AR733" s="120"/>
      <c r="AS733" s="121"/>
      <c r="AT733" s="120"/>
      <c r="AU733" s="182"/>
      <c r="AV733" s="120"/>
      <c r="AW733" s="121"/>
      <c r="AX733" s="120"/>
      <c r="AY733" s="121"/>
      <c r="AZ733" s="201"/>
    </row>
    <row r="734" spans="1:52" ht="17.100000000000001" customHeight="1" thickTop="1">
      <c r="A734" s="109" t="s">
        <v>6104</v>
      </c>
      <c r="B734" s="28">
        <v>45465</v>
      </c>
      <c r="C734" s="25">
        <v>1372</v>
      </c>
      <c r="D734" s="13" t="s">
        <v>2022</v>
      </c>
      <c r="E734" s="111"/>
      <c r="F734" s="113" t="s">
        <v>2820</v>
      </c>
      <c r="G734" s="273"/>
      <c r="H734" s="274"/>
      <c r="I734" s="24"/>
      <c r="J734" s="116">
        <v>4</v>
      </c>
      <c r="K734" s="118">
        <v>1400000</v>
      </c>
      <c r="L734" s="119"/>
      <c r="M734" s="118">
        <f>K734*0.1</f>
        <v>140000</v>
      </c>
      <c r="N734" s="119"/>
      <c r="O734" s="118">
        <v>0</v>
      </c>
      <c r="P734" s="119"/>
      <c r="Q734" s="118">
        <v>19440</v>
      </c>
      <c r="R734" s="119"/>
      <c r="S734" s="118">
        <v>24200</v>
      </c>
      <c r="T734" s="119"/>
      <c r="U734" s="118">
        <f>SUM(K734:T735)</f>
        <v>1583640</v>
      </c>
      <c r="V734" s="119"/>
      <c r="W734" s="124"/>
      <c r="X734" s="127" t="s">
        <v>2821</v>
      </c>
      <c r="Y734" s="223"/>
      <c r="Z734" s="223"/>
      <c r="AA734" s="223"/>
      <c r="AB734" s="224"/>
      <c r="AC734" s="15" t="s">
        <v>20</v>
      </c>
      <c r="AD734" s="129" t="s">
        <v>1670</v>
      </c>
      <c r="AE734" s="130"/>
      <c r="AF734" s="130"/>
      <c r="AG734" s="130"/>
      <c r="AH734" s="130"/>
      <c r="AI734" s="131"/>
      <c r="AJ734" s="132"/>
      <c r="AK734" s="127"/>
      <c r="AL734" s="127"/>
      <c r="AM734" s="21"/>
      <c r="AN734" s="133"/>
      <c r="AO734" s="134"/>
      <c r="AP734" s="135"/>
      <c r="AQ734" s="136"/>
      <c r="AR734" s="118"/>
      <c r="AS734" s="119"/>
      <c r="AT734" s="180">
        <f>AR734*0.1</f>
        <v>0</v>
      </c>
      <c r="AU734" s="181"/>
      <c r="AV734" s="118"/>
      <c r="AW734" s="119"/>
      <c r="AX734" s="118">
        <f>SUM(AR734:AW734)</f>
        <v>0</v>
      </c>
      <c r="AY734" s="119"/>
      <c r="AZ734" s="200"/>
    </row>
    <row r="735" spans="1:52" ht="17.100000000000001" customHeight="1" thickBot="1">
      <c r="A735" s="110"/>
      <c r="B735" s="27" t="s">
        <v>1779</v>
      </c>
      <c r="C735" s="27">
        <v>7051</v>
      </c>
      <c r="D735" s="14" t="s">
        <v>275</v>
      </c>
      <c r="E735" s="112"/>
      <c r="F735" s="139" t="s">
        <v>2822</v>
      </c>
      <c r="G735" s="140"/>
      <c r="H735" s="141"/>
      <c r="I735" s="26">
        <v>51513</v>
      </c>
      <c r="J735" s="117"/>
      <c r="K735" s="120"/>
      <c r="L735" s="121"/>
      <c r="M735" s="120"/>
      <c r="N735" s="121"/>
      <c r="O735" s="120"/>
      <c r="P735" s="121"/>
      <c r="Q735" s="120"/>
      <c r="R735" s="121"/>
      <c r="S735" s="120"/>
      <c r="T735" s="121"/>
      <c r="U735" s="120"/>
      <c r="V735" s="121"/>
      <c r="W735" s="125"/>
      <c r="X735" s="143" t="s">
        <v>2823</v>
      </c>
      <c r="Y735" s="143"/>
      <c r="Z735" s="143"/>
      <c r="AA735" s="143"/>
      <c r="AB735" s="144"/>
      <c r="AC735" s="16" t="s">
        <v>21</v>
      </c>
      <c r="AD735" s="17" t="s">
        <v>2824</v>
      </c>
      <c r="AE735" s="145" t="s">
        <v>2825</v>
      </c>
      <c r="AF735" s="146"/>
      <c r="AG735" s="146"/>
      <c r="AH735" s="146"/>
      <c r="AI735" s="147"/>
      <c r="AJ735" s="148"/>
      <c r="AK735" s="143"/>
      <c r="AL735" s="143"/>
      <c r="AM735" s="22"/>
      <c r="AN735" s="149"/>
      <c r="AO735" s="144"/>
      <c r="AP735" s="148"/>
      <c r="AQ735" s="144"/>
      <c r="AR735" s="120"/>
      <c r="AS735" s="121"/>
      <c r="AT735" s="120"/>
      <c r="AU735" s="182"/>
      <c r="AV735" s="120"/>
      <c r="AW735" s="121"/>
      <c r="AX735" s="120"/>
      <c r="AY735" s="121"/>
      <c r="AZ735" s="201"/>
    </row>
    <row r="736" spans="1:52" ht="17.100000000000001" customHeight="1" thickTop="1">
      <c r="A736" s="109" t="s">
        <v>6105</v>
      </c>
      <c r="B736" s="28">
        <v>45468</v>
      </c>
      <c r="C736" s="25">
        <v>1001</v>
      </c>
      <c r="D736" s="13" t="s">
        <v>1725</v>
      </c>
      <c r="E736" s="111"/>
      <c r="F736" s="113" t="s">
        <v>1871</v>
      </c>
      <c r="G736" s="273"/>
      <c r="H736" s="274"/>
      <c r="I736" s="24" t="s">
        <v>2826</v>
      </c>
      <c r="J736" s="116">
        <v>4.5</v>
      </c>
      <c r="K736" s="118">
        <v>2240000</v>
      </c>
      <c r="L736" s="119"/>
      <c r="M736" s="118">
        <f>K736*0.1</f>
        <v>224000</v>
      </c>
      <c r="N736" s="119"/>
      <c r="O736" s="118">
        <v>32560</v>
      </c>
      <c r="P736" s="119"/>
      <c r="Q736" s="118">
        <v>17600</v>
      </c>
      <c r="R736" s="119"/>
      <c r="S736" s="118">
        <v>13200</v>
      </c>
      <c r="T736" s="119"/>
      <c r="U736" s="118">
        <f>SUM(K736:T737)</f>
        <v>2527360</v>
      </c>
      <c r="V736" s="119"/>
      <c r="W736" s="124"/>
      <c r="X736" s="127" t="s">
        <v>2827</v>
      </c>
      <c r="Y736" s="223"/>
      <c r="Z736" s="223"/>
      <c r="AA736" s="223"/>
      <c r="AB736" s="224"/>
      <c r="AC736" s="15" t="s">
        <v>20</v>
      </c>
      <c r="AD736" s="129" t="s">
        <v>1690</v>
      </c>
      <c r="AE736" s="130"/>
      <c r="AF736" s="130"/>
      <c r="AG736" s="130"/>
      <c r="AH736" s="130"/>
      <c r="AI736" s="131"/>
      <c r="AJ736" s="132"/>
      <c r="AK736" s="127"/>
      <c r="AL736" s="127"/>
      <c r="AM736" s="21" t="s">
        <v>2828</v>
      </c>
      <c r="AN736" s="133"/>
      <c r="AO736" s="134"/>
      <c r="AP736" s="135"/>
      <c r="AQ736" s="136"/>
      <c r="AR736" s="118"/>
      <c r="AS736" s="119"/>
      <c r="AT736" s="180">
        <f>AR736*0.1</f>
        <v>0</v>
      </c>
      <c r="AU736" s="181"/>
      <c r="AV736" s="118"/>
      <c r="AW736" s="119"/>
      <c r="AX736" s="118">
        <f>SUM(AR736:AW736)</f>
        <v>0</v>
      </c>
      <c r="AY736" s="119"/>
      <c r="AZ736" s="200"/>
    </row>
    <row r="737" spans="1:52" ht="17.100000000000001" customHeight="1" thickBot="1">
      <c r="A737" s="110"/>
      <c r="B737" s="27" t="s">
        <v>1591</v>
      </c>
      <c r="C737" s="27">
        <v>82023</v>
      </c>
      <c r="D737" s="14" t="s">
        <v>1812</v>
      </c>
      <c r="E737" s="112"/>
      <c r="F737" s="139" t="s">
        <v>2829</v>
      </c>
      <c r="G737" s="140"/>
      <c r="H737" s="141"/>
      <c r="I737" s="26">
        <v>13019</v>
      </c>
      <c r="J737" s="117"/>
      <c r="K737" s="120"/>
      <c r="L737" s="121"/>
      <c r="M737" s="120"/>
      <c r="N737" s="121"/>
      <c r="O737" s="120"/>
      <c r="P737" s="121"/>
      <c r="Q737" s="120"/>
      <c r="R737" s="121"/>
      <c r="S737" s="120"/>
      <c r="T737" s="121"/>
      <c r="U737" s="120"/>
      <c r="V737" s="121"/>
      <c r="W737" s="125"/>
      <c r="X737" s="143" t="s">
        <v>2830</v>
      </c>
      <c r="Y737" s="143"/>
      <c r="Z737" s="143"/>
      <c r="AA737" s="143"/>
      <c r="AB737" s="144"/>
      <c r="AC737" s="16" t="s">
        <v>21</v>
      </c>
      <c r="AD737" s="17" t="s">
        <v>2831</v>
      </c>
      <c r="AE737" s="145" t="s">
        <v>2832</v>
      </c>
      <c r="AF737" s="146"/>
      <c r="AG737" s="146"/>
      <c r="AH737" s="146"/>
      <c r="AI737" s="147"/>
      <c r="AJ737" s="148"/>
      <c r="AK737" s="143"/>
      <c r="AL737" s="143"/>
      <c r="AM737" s="22"/>
      <c r="AN737" s="149"/>
      <c r="AO737" s="144"/>
      <c r="AP737" s="148"/>
      <c r="AQ737" s="144"/>
      <c r="AR737" s="120"/>
      <c r="AS737" s="121"/>
      <c r="AT737" s="120"/>
      <c r="AU737" s="182"/>
      <c r="AV737" s="120"/>
      <c r="AW737" s="121"/>
      <c r="AX737" s="120"/>
      <c r="AY737" s="121"/>
      <c r="AZ737" s="201"/>
    </row>
    <row r="738" spans="1:52" ht="17.100000000000001" customHeight="1" thickTop="1">
      <c r="A738" s="109" t="s">
        <v>6106</v>
      </c>
      <c r="B738" s="28">
        <v>45469</v>
      </c>
      <c r="C738" s="25">
        <v>1165</v>
      </c>
      <c r="D738" s="13" t="s">
        <v>1695</v>
      </c>
      <c r="E738" s="111"/>
      <c r="F738" s="113" t="s">
        <v>2833</v>
      </c>
      <c r="G738" s="273"/>
      <c r="H738" s="274"/>
      <c r="I738" s="24"/>
      <c r="J738" s="116">
        <v>4.5</v>
      </c>
      <c r="K738" s="118">
        <v>2352000</v>
      </c>
      <c r="L738" s="119"/>
      <c r="M738" s="118">
        <f>K738*0.1</f>
        <v>235200</v>
      </c>
      <c r="N738" s="119"/>
      <c r="O738" s="118">
        <v>0</v>
      </c>
      <c r="P738" s="119"/>
      <c r="Q738" s="118">
        <v>13210</v>
      </c>
      <c r="R738" s="119"/>
      <c r="S738" s="118">
        <v>22000</v>
      </c>
      <c r="T738" s="119"/>
      <c r="U738" s="118">
        <f>SUM(K738:T739)</f>
        <v>2622410</v>
      </c>
      <c r="V738" s="119"/>
      <c r="W738" s="124"/>
      <c r="X738" s="127" t="s">
        <v>2834</v>
      </c>
      <c r="Y738" s="223"/>
      <c r="Z738" s="223"/>
      <c r="AA738" s="223"/>
      <c r="AB738" s="224"/>
      <c r="AC738" s="15" t="s">
        <v>20</v>
      </c>
      <c r="AD738" s="129"/>
      <c r="AE738" s="130"/>
      <c r="AF738" s="130"/>
      <c r="AG738" s="130"/>
      <c r="AH738" s="130"/>
      <c r="AI738" s="131"/>
      <c r="AJ738" s="132"/>
      <c r="AK738" s="127"/>
      <c r="AL738" s="127"/>
      <c r="AM738" s="21"/>
      <c r="AN738" s="133"/>
      <c r="AO738" s="134"/>
      <c r="AP738" s="135"/>
      <c r="AQ738" s="136"/>
      <c r="AR738" s="118"/>
      <c r="AS738" s="119"/>
      <c r="AT738" s="180">
        <f>AR738*0.1</f>
        <v>0</v>
      </c>
      <c r="AU738" s="181"/>
      <c r="AV738" s="118"/>
      <c r="AW738" s="119"/>
      <c r="AX738" s="118">
        <f>SUM(AR738:AW738)</f>
        <v>0</v>
      </c>
      <c r="AY738" s="119"/>
      <c r="AZ738" s="200"/>
    </row>
    <row r="739" spans="1:52" ht="17.100000000000001" customHeight="1" thickBot="1">
      <c r="A739" s="110"/>
      <c r="B739" s="27" t="s">
        <v>2835</v>
      </c>
      <c r="C739" s="27">
        <v>224</v>
      </c>
      <c r="D739" s="14" t="s">
        <v>2836</v>
      </c>
      <c r="E739" s="112"/>
      <c r="F739" s="139" t="s">
        <v>2837</v>
      </c>
      <c r="G739" s="140"/>
      <c r="H739" s="141"/>
      <c r="I739" s="26">
        <v>15961</v>
      </c>
      <c r="J739" s="117"/>
      <c r="K739" s="120"/>
      <c r="L739" s="121"/>
      <c r="M739" s="120"/>
      <c r="N739" s="121"/>
      <c r="O739" s="120"/>
      <c r="P739" s="121"/>
      <c r="Q739" s="120"/>
      <c r="R739" s="121"/>
      <c r="S739" s="120"/>
      <c r="T739" s="121"/>
      <c r="U739" s="120"/>
      <c r="V739" s="121"/>
      <c r="W739" s="125"/>
      <c r="X739" s="143" t="s">
        <v>2482</v>
      </c>
      <c r="Y739" s="143"/>
      <c r="Z739" s="143"/>
      <c r="AA739" s="143"/>
      <c r="AB739" s="144"/>
      <c r="AC739" s="16" t="s">
        <v>21</v>
      </c>
      <c r="AD739" s="17" t="s">
        <v>2838</v>
      </c>
      <c r="AE739" s="145" t="s">
        <v>1614</v>
      </c>
      <c r="AF739" s="146"/>
      <c r="AG739" s="146"/>
      <c r="AH739" s="146"/>
      <c r="AI739" s="147"/>
      <c r="AJ739" s="148"/>
      <c r="AK739" s="143"/>
      <c r="AL739" s="143"/>
      <c r="AM739" s="22"/>
      <c r="AN739" s="149"/>
      <c r="AO739" s="144"/>
      <c r="AP739" s="148"/>
      <c r="AQ739" s="144"/>
      <c r="AR739" s="120"/>
      <c r="AS739" s="121"/>
      <c r="AT739" s="120"/>
      <c r="AU739" s="182"/>
      <c r="AV739" s="120"/>
      <c r="AW739" s="121"/>
      <c r="AX739" s="120"/>
      <c r="AY739" s="121"/>
      <c r="AZ739" s="201"/>
    </row>
    <row r="740" spans="1:52" ht="17.100000000000001" customHeight="1" thickTop="1">
      <c r="A740" s="109" t="s">
        <v>6107</v>
      </c>
      <c r="B740" s="28">
        <v>45470</v>
      </c>
      <c r="C740" s="25">
        <v>1473</v>
      </c>
      <c r="D740" s="13" t="s">
        <v>2322</v>
      </c>
      <c r="E740" s="111"/>
      <c r="F740" s="113" t="s">
        <v>2839</v>
      </c>
      <c r="G740" s="273"/>
      <c r="H740" s="274"/>
      <c r="I740" s="24" t="s">
        <v>2840</v>
      </c>
      <c r="J740" s="116">
        <v>4.5</v>
      </c>
      <c r="K740" s="118">
        <v>2535000</v>
      </c>
      <c r="L740" s="119"/>
      <c r="M740" s="118">
        <f>K740*0.1</f>
        <v>253500</v>
      </c>
      <c r="N740" s="119"/>
      <c r="O740" s="118">
        <v>42020</v>
      </c>
      <c r="P740" s="119"/>
      <c r="Q740" s="118">
        <v>18130</v>
      </c>
      <c r="R740" s="119"/>
      <c r="S740" s="118">
        <v>13200</v>
      </c>
      <c r="T740" s="119"/>
      <c r="U740" s="118">
        <f>SUM(K740:T741)</f>
        <v>2861850</v>
      </c>
      <c r="V740" s="119"/>
      <c r="W740" s="124"/>
      <c r="X740" s="127" t="s">
        <v>2841</v>
      </c>
      <c r="Y740" s="223"/>
      <c r="Z740" s="223"/>
      <c r="AA740" s="223"/>
      <c r="AB740" s="224"/>
      <c r="AC740" s="15" t="s">
        <v>20</v>
      </c>
      <c r="AD740" s="129"/>
      <c r="AE740" s="130"/>
      <c r="AF740" s="130"/>
      <c r="AG740" s="130"/>
      <c r="AH740" s="130"/>
      <c r="AI740" s="131"/>
      <c r="AJ740" s="132"/>
      <c r="AK740" s="127"/>
      <c r="AL740" s="127"/>
      <c r="AM740" s="21" t="s">
        <v>2842</v>
      </c>
      <c r="AN740" s="133">
        <v>46054</v>
      </c>
      <c r="AO740" s="134"/>
      <c r="AP740" s="135"/>
      <c r="AQ740" s="136"/>
      <c r="AR740" s="118">
        <v>3800000</v>
      </c>
      <c r="AS740" s="119"/>
      <c r="AT740" s="180">
        <v>0</v>
      </c>
      <c r="AU740" s="181"/>
      <c r="AV740" s="118">
        <v>0</v>
      </c>
      <c r="AW740" s="119"/>
      <c r="AX740" s="118">
        <f>SUM(AR740:AW740)</f>
        <v>3800000</v>
      </c>
      <c r="AY740" s="119"/>
      <c r="AZ740" s="200">
        <v>46082</v>
      </c>
    </row>
    <row r="741" spans="1:52" ht="17.100000000000001" customHeight="1" thickBot="1">
      <c r="A741" s="110"/>
      <c r="B741" s="27" t="s">
        <v>1600</v>
      </c>
      <c r="C741" s="27">
        <v>75948</v>
      </c>
      <c r="D741" s="14" t="s">
        <v>2601</v>
      </c>
      <c r="E741" s="112"/>
      <c r="F741" s="139" t="s">
        <v>2843</v>
      </c>
      <c r="G741" s="140"/>
      <c r="H741" s="141"/>
      <c r="I741" s="26">
        <v>49448</v>
      </c>
      <c r="J741" s="117"/>
      <c r="K741" s="120"/>
      <c r="L741" s="121"/>
      <c r="M741" s="120"/>
      <c r="N741" s="121"/>
      <c r="O741" s="120"/>
      <c r="P741" s="121"/>
      <c r="Q741" s="120"/>
      <c r="R741" s="121"/>
      <c r="S741" s="120"/>
      <c r="T741" s="121"/>
      <c r="U741" s="120"/>
      <c r="V741" s="121"/>
      <c r="W741" s="125"/>
      <c r="X741" s="143" t="s">
        <v>2844</v>
      </c>
      <c r="Y741" s="143"/>
      <c r="Z741" s="143"/>
      <c r="AA741" s="143"/>
      <c r="AB741" s="144"/>
      <c r="AC741" s="16" t="s">
        <v>21</v>
      </c>
      <c r="AD741" s="17" t="s">
        <v>2838</v>
      </c>
      <c r="AE741" s="145" t="s">
        <v>1742</v>
      </c>
      <c r="AF741" s="146"/>
      <c r="AG741" s="146"/>
      <c r="AH741" s="146"/>
      <c r="AI741" s="147"/>
      <c r="AJ741" s="148"/>
      <c r="AK741" s="143"/>
      <c r="AL741" s="143"/>
      <c r="AM741" s="22"/>
      <c r="AN741" s="149" t="s">
        <v>24625</v>
      </c>
      <c r="AO741" s="144"/>
      <c r="AP741" s="148"/>
      <c r="AQ741" s="144"/>
      <c r="AR741" s="120"/>
      <c r="AS741" s="121"/>
      <c r="AT741" s="120"/>
      <c r="AU741" s="182"/>
      <c r="AV741" s="120"/>
      <c r="AW741" s="121"/>
      <c r="AX741" s="120"/>
      <c r="AY741" s="121"/>
      <c r="AZ741" s="201"/>
    </row>
    <row r="742" spans="1:52" ht="17.100000000000001" customHeight="1" thickTop="1">
      <c r="A742" s="109" t="s">
        <v>6108</v>
      </c>
      <c r="B742" s="28">
        <v>45479</v>
      </c>
      <c r="C742" s="25"/>
      <c r="D742" s="13" t="s">
        <v>2329</v>
      </c>
      <c r="E742" s="111"/>
      <c r="F742" s="113" t="s">
        <v>2845</v>
      </c>
      <c r="G742" s="114"/>
      <c r="H742" s="115"/>
      <c r="I742" s="24" t="s">
        <v>2508</v>
      </c>
      <c r="J742" s="116">
        <v>4</v>
      </c>
      <c r="K742" s="118">
        <f>5599000/1.1</f>
        <v>5090000</v>
      </c>
      <c r="L742" s="119"/>
      <c r="M742" s="118">
        <f>K742*0.1</f>
        <v>509000</v>
      </c>
      <c r="N742" s="119"/>
      <c r="O742" s="118">
        <v>33300</v>
      </c>
      <c r="P742" s="119"/>
      <c r="Q742" s="118">
        <v>12580</v>
      </c>
      <c r="R742" s="119"/>
      <c r="S742" s="118">
        <v>194975</v>
      </c>
      <c r="T742" s="119"/>
      <c r="U742" s="118">
        <f>SUM(K742:T743)</f>
        <v>5839855</v>
      </c>
      <c r="V742" s="122"/>
      <c r="W742" s="124"/>
      <c r="X742" s="126" t="s">
        <v>2846</v>
      </c>
      <c r="Y742" s="127"/>
      <c r="Z742" s="127"/>
      <c r="AA742" s="127"/>
      <c r="AB742" s="128"/>
      <c r="AC742" s="15" t="s">
        <v>20</v>
      </c>
      <c r="AD742" s="129" t="s">
        <v>171</v>
      </c>
      <c r="AE742" s="130"/>
      <c r="AF742" s="130"/>
      <c r="AG742" s="130"/>
      <c r="AH742" s="130"/>
      <c r="AI742" s="131"/>
      <c r="AJ742" s="132"/>
      <c r="AK742" s="127"/>
      <c r="AL742" s="128"/>
      <c r="AM742" s="21" t="s">
        <v>2847</v>
      </c>
      <c r="AN742" s="133"/>
      <c r="AO742" s="134"/>
      <c r="AP742" s="135"/>
      <c r="AQ742" s="136"/>
      <c r="AR742" s="118"/>
      <c r="AS742" s="119"/>
      <c r="AT742" s="180">
        <f>AR742*0.1</f>
        <v>0</v>
      </c>
      <c r="AU742" s="181"/>
      <c r="AV742" s="118"/>
      <c r="AW742" s="119"/>
      <c r="AX742" s="118">
        <f>SUM(AR742:AW742)</f>
        <v>0</v>
      </c>
      <c r="AY742" s="119"/>
      <c r="AZ742" s="137"/>
    </row>
    <row r="743" spans="1:52" ht="17.100000000000001" customHeight="1" thickBot="1">
      <c r="A743" s="110"/>
      <c r="B743" s="27" t="s">
        <v>1718</v>
      </c>
      <c r="C743" s="27" t="s">
        <v>2848</v>
      </c>
      <c r="D743" s="14" t="s">
        <v>2849</v>
      </c>
      <c r="E743" s="112"/>
      <c r="F743" s="139" t="s">
        <v>2850</v>
      </c>
      <c r="G743" s="140"/>
      <c r="H743" s="141"/>
      <c r="I743" s="26">
        <v>46044</v>
      </c>
      <c r="J743" s="117"/>
      <c r="K743" s="120"/>
      <c r="L743" s="121"/>
      <c r="M743" s="120"/>
      <c r="N743" s="121"/>
      <c r="O743" s="120"/>
      <c r="P743" s="121"/>
      <c r="Q743" s="120"/>
      <c r="R743" s="121"/>
      <c r="S743" s="120"/>
      <c r="T743" s="121"/>
      <c r="U743" s="120"/>
      <c r="V743" s="123"/>
      <c r="W743" s="125"/>
      <c r="X743" s="142" t="s">
        <v>1656</v>
      </c>
      <c r="Y743" s="143"/>
      <c r="Z743" s="143"/>
      <c r="AA743" s="143"/>
      <c r="AB743" s="144"/>
      <c r="AC743" s="16" t="s">
        <v>21</v>
      </c>
      <c r="AD743" s="17" t="s">
        <v>2851</v>
      </c>
      <c r="AE743" s="145" t="s">
        <v>2395</v>
      </c>
      <c r="AF743" s="146"/>
      <c r="AG743" s="146"/>
      <c r="AH743" s="146"/>
      <c r="AI743" s="147"/>
      <c r="AJ743" s="148"/>
      <c r="AK743" s="143"/>
      <c r="AL743" s="144"/>
      <c r="AM743" s="22" t="s">
        <v>907</v>
      </c>
      <c r="AN743" s="149"/>
      <c r="AO743" s="144"/>
      <c r="AP743" s="148"/>
      <c r="AQ743" s="144"/>
      <c r="AR743" s="120"/>
      <c r="AS743" s="121"/>
      <c r="AT743" s="120"/>
      <c r="AU743" s="182"/>
      <c r="AV743" s="120"/>
      <c r="AW743" s="121"/>
      <c r="AX743" s="120"/>
      <c r="AY743" s="121"/>
      <c r="AZ743" s="138"/>
    </row>
    <row r="744" spans="1:52" ht="17.100000000000001" customHeight="1" thickTop="1">
      <c r="A744" s="109" t="s">
        <v>6109</v>
      </c>
      <c r="B744" s="28">
        <v>45482</v>
      </c>
      <c r="C744" s="25">
        <v>1150</v>
      </c>
      <c r="D744" s="13" t="s">
        <v>2852</v>
      </c>
      <c r="E744" s="111"/>
      <c r="F744" s="113" t="s">
        <v>2853</v>
      </c>
      <c r="G744" s="114"/>
      <c r="H744" s="115"/>
      <c r="I744" s="24" t="s">
        <v>2854</v>
      </c>
      <c r="J744" s="116">
        <v>4.5</v>
      </c>
      <c r="K744" s="118">
        <v>2250000</v>
      </c>
      <c r="L744" s="119"/>
      <c r="M744" s="118">
        <f>K744*0.1</f>
        <v>225000</v>
      </c>
      <c r="N744" s="119"/>
      <c r="O744" s="118">
        <v>25300</v>
      </c>
      <c r="P744" s="119"/>
      <c r="Q744" s="118">
        <v>11740</v>
      </c>
      <c r="R744" s="119"/>
      <c r="S744" s="118">
        <v>14850</v>
      </c>
      <c r="T744" s="119"/>
      <c r="U744" s="118">
        <f>SUM(K744:T745)</f>
        <v>2526890</v>
      </c>
      <c r="V744" s="122"/>
      <c r="W744" s="124"/>
      <c r="X744" s="126" t="s">
        <v>2855</v>
      </c>
      <c r="Y744" s="127"/>
      <c r="Z744" s="127"/>
      <c r="AA744" s="127"/>
      <c r="AB744" s="128"/>
      <c r="AC744" s="15" t="s">
        <v>20</v>
      </c>
      <c r="AD744" s="129" t="s">
        <v>1670</v>
      </c>
      <c r="AE744" s="130"/>
      <c r="AF744" s="130"/>
      <c r="AG744" s="130"/>
      <c r="AH744" s="130"/>
      <c r="AI744" s="131"/>
      <c r="AJ744" s="132"/>
      <c r="AK744" s="127"/>
      <c r="AL744" s="128"/>
      <c r="AM744" s="21" t="s">
        <v>2856</v>
      </c>
      <c r="AN744" s="133"/>
      <c r="AO744" s="134"/>
      <c r="AP744" s="135"/>
      <c r="AQ744" s="136"/>
      <c r="AR744" s="118"/>
      <c r="AS744" s="119"/>
      <c r="AT744" s="180">
        <f>AR744*0.1</f>
        <v>0</v>
      </c>
      <c r="AU744" s="181"/>
      <c r="AV744" s="118"/>
      <c r="AW744" s="119"/>
      <c r="AX744" s="118">
        <f>SUM(AR744:AW744)</f>
        <v>0</v>
      </c>
      <c r="AY744" s="119"/>
      <c r="AZ744" s="137"/>
    </row>
    <row r="745" spans="1:52" ht="17.100000000000001" customHeight="1" thickBot="1">
      <c r="A745" s="110"/>
      <c r="B745" s="27" t="s">
        <v>2379</v>
      </c>
      <c r="C745" s="27">
        <v>5054</v>
      </c>
      <c r="D745" s="14" t="s">
        <v>2836</v>
      </c>
      <c r="E745" s="112"/>
      <c r="F745" s="139" t="s">
        <v>2857</v>
      </c>
      <c r="G745" s="140"/>
      <c r="H745" s="141"/>
      <c r="I745" s="26">
        <v>41887</v>
      </c>
      <c r="J745" s="117"/>
      <c r="K745" s="120"/>
      <c r="L745" s="121"/>
      <c r="M745" s="120"/>
      <c r="N745" s="121"/>
      <c r="O745" s="120"/>
      <c r="P745" s="121"/>
      <c r="Q745" s="120"/>
      <c r="R745" s="121"/>
      <c r="S745" s="120"/>
      <c r="T745" s="121"/>
      <c r="U745" s="120"/>
      <c r="V745" s="123"/>
      <c r="W745" s="125"/>
      <c r="X745" s="142" t="s">
        <v>1656</v>
      </c>
      <c r="Y745" s="143"/>
      <c r="Z745" s="143"/>
      <c r="AA745" s="143"/>
      <c r="AB745" s="144"/>
      <c r="AC745" s="16" t="s">
        <v>21</v>
      </c>
      <c r="AD745" s="17" t="s">
        <v>2858</v>
      </c>
      <c r="AE745" s="145" t="s">
        <v>1670</v>
      </c>
      <c r="AF745" s="146"/>
      <c r="AG745" s="146"/>
      <c r="AH745" s="146"/>
      <c r="AI745" s="147"/>
      <c r="AJ745" s="148"/>
      <c r="AK745" s="143"/>
      <c r="AL745" s="144"/>
      <c r="AM745" s="22"/>
      <c r="AN745" s="149"/>
      <c r="AO745" s="144"/>
      <c r="AP745" s="148"/>
      <c r="AQ745" s="144"/>
      <c r="AR745" s="120"/>
      <c r="AS745" s="121"/>
      <c r="AT745" s="120"/>
      <c r="AU745" s="182"/>
      <c r="AV745" s="120"/>
      <c r="AW745" s="121"/>
      <c r="AX745" s="120"/>
      <c r="AY745" s="121"/>
      <c r="AZ745" s="138"/>
    </row>
    <row r="746" spans="1:52" ht="17.100000000000001" customHeight="1" thickTop="1">
      <c r="A746" s="109" t="s">
        <v>6110</v>
      </c>
      <c r="B746" s="28">
        <v>45484</v>
      </c>
      <c r="C746" s="25">
        <v>1240</v>
      </c>
      <c r="D746" s="13" t="s">
        <v>2859</v>
      </c>
      <c r="E746" s="111"/>
      <c r="F746" s="113" t="s">
        <v>2860</v>
      </c>
      <c r="G746" s="114"/>
      <c r="H746" s="115"/>
      <c r="I746" s="24" t="s">
        <v>2861</v>
      </c>
      <c r="J746" s="116">
        <v>4</v>
      </c>
      <c r="K746" s="118">
        <v>1795000</v>
      </c>
      <c r="L746" s="119"/>
      <c r="M746" s="118">
        <f>K746*0.1</f>
        <v>179500</v>
      </c>
      <c r="N746" s="119"/>
      <c r="O746" s="118">
        <v>25300</v>
      </c>
      <c r="P746" s="119"/>
      <c r="Q746" s="118">
        <v>16240</v>
      </c>
      <c r="R746" s="119"/>
      <c r="S746" s="118">
        <v>13200</v>
      </c>
      <c r="T746" s="119"/>
      <c r="U746" s="118">
        <f>SUM(K746:T747)</f>
        <v>2029240</v>
      </c>
      <c r="V746" s="122"/>
      <c r="W746" s="124"/>
      <c r="X746" s="126" t="s">
        <v>2862</v>
      </c>
      <c r="Y746" s="127"/>
      <c r="Z746" s="127"/>
      <c r="AA746" s="127"/>
      <c r="AB746" s="128"/>
      <c r="AC746" s="15" t="s">
        <v>20</v>
      </c>
      <c r="AD746" s="129" t="s">
        <v>1732</v>
      </c>
      <c r="AE746" s="130"/>
      <c r="AF746" s="130"/>
      <c r="AG746" s="130"/>
      <c r="AH746" s="130"/>
      <c r="AI746" s="131"/>
      <c r="AJ746" s="132"/>
      <c r="AK746" s="127"/>
      <c r="AL746" s="128"/>
      <c r="AM746" s="21" t="s">
        <v>2863</v>
      </c>
      <c r="AN746" s="133"/>
      <c r="AO746" s="134"/>
      <c r="AP746" s="135"/>
      <c r="AQ746" s="136"/>
      <c r="AR746" s="118"/>
      <c r="AS746" s="119"/>
      <c r="AT746" s="180">
        <f>AR746*0.1</f>
        <v>0</v>
      </c>
      <c r="AU746" s="181"/>
      <c r="AV746" s="118"/>
      <c r="AW746" s="119"/>
      <c r="AX746" s="118">
        <f>SUM(AR746:AW746)</f>
        <v>0</v>
      </c>
      <c r="AY746" s="119"/>
      <c r="AZ746" s="137"/>
    </row>
    <row r="747" spans="1:52" ht="17.100000000000001" customHeight="1" thickBot="1">
      <c r="A747" s="110"/>
      <c r="B747" s="27" t="s">
        <v>1747</v>
      </c>
      <c r="C747" s="27">
        <v>371</v>
      </c>
      <c r="D747" s="14" t="s">
        <v>55</v>
      </c>
      <c r="E747" s="112"/>
      <c r="F747" s="139" t="s">
        <v>2864</v>
      </c>
      <c r="G747" s="140"/>
      <c r="H747" s="141"/>
      <c r="I747" s="26">
        <v>9575</v>
      </c>
      <c r="J747" s="117"/>
      <c r="K747" s="120"/>
      <c r="L747" s="121"/>
      <c r="M747" s="120"/>
      <c r="N747" s="121"/>
      <c r="O747" s="120"/>
      <c r="P747" s="121"/>
      <c r="Q747" s="120"/>
      <c r="R747" s="121"/>
      <c r="S747" s="120"/>
      <c r="T747" s="121"/>
      <c r="U747" s="120"/>
      <c r="V747" s="123"/>
      <c r="W747" s="125"/>
      <c r="X747" s="142" t="s">
        <v>2865</v>
      </c>
      <c r="Y747" s="143"/>
      <c r="Z747" s="143"/>
      <c r="AA747" s="143"/>
      <c r="AB747" s="144"/>
      <c r="AC747" s="16" t="s">
        <v>21</v>
      </c>
      <c r="AD747" s="17" t="s">
        <v>2866</v>
      </c>
      <c r="AE747" s="145" t="s">
        <v>1614</v>
      </c>
      <c r="AF747" s="146"/>
      <c r="AG747" s="146"/>
      <c r="AH747" s="146"/>
      <c r="AI747" s="147"/>
      <c r="AJ747" s="148"/>
      <c r="AK747" s="143"/>
      <c r="AL747" s="144"/>
      <c r="AM747" s="22"/>
      <c r="AN747" s="149"/>
      <c r="AO747" s="144"/>
      <c r="AP747" s="148"/>
      <c r="AQ747" s="144"/>
      <c r="AR747" s="120"/>
      <c r="AS747" s="121"/>
      <c r="AT747" s="120"/>
      <c r="AU747" s="182"/>
      <c r="AV747" s="120"/>
      <c r="AW747" s="121"/>
      <c r="AX747" s="120"/>
      <c r="AY747" s="121"/>
      <c r="AZ747" s="138"/>
    </row>
    <row r="748" spans="1:52" ht="17.100000000000001" customHeight="1" thickTop="1">
      <c r="A748" s="109" t="s">
        <v>6111</v>
      </c>
      <c r="B748" s="28">
        <v>45486</v>
      </c>
      <c r="C748" s="25">
        <v>1453</v>
      </c>
      <c r="D748" s="13" t="s">
        <v>1752</v>
      </c>
      <c r="E748" s="111"/>
      <c r="F748" s="113" t="s">
        <v>2867</v>
      </c>
      <c r="G748" s="114"/>
      <c r="H748" s="115"/>
      <c r="I748" s="24" t="s">
        <v>2868</v>
      </c>
      <c r="J748" s="116">
        <v>4.5</v>
      </c>
      <c r="K748" s="118">
        <v>3370000</v>
      </c>
      <c r="L748" s="119"/>
      <c r="M748" s="118">
        <f>K748*0.1</f>
        <v>337000</v>
      </c>
      <c r="N748" s="119"/>
      <c r="O748" s="118">
        <v>64460</v>
      </c>
      <c r="P748" s="119"/>
      <c r="Q748" s="118">
        <v>29850</v>
      </c>
      <c r="R748" s="119"/>
      <c r="S748" s="118">
        <v>13200</v>
      </c>
      <c r="T748" s="119"/>
      <c r="U748" s="118">
        <f>SUM(K748:T749)</f>
        <v>3814510</v>
      </c>
      <c r="V748" s="122"/>
      <c r="W748" s="124"/>
      <c r="X748" s="126" t="s">
        <v>2869</v>
      </c>
      <c r="Y748" s="127"/>
      <c r="Z748" s="127"/>
      <c r="AA748" s="127"/>
      <c r="AB748" s="128"/>
      <c r="AC748" s="15" t="s">
        <v>20</v>
      </c>
      <c r="AD748" s="129" t="s">
        <v>1565</v>
      </c>
      <c r="AE748" s="130"/>
      <c r="AF748" s="130"/>
      <c r="AG748" s="130"/>
      <c r="AH748" s="130"/>
      <c r="AI748" s="131"/>
      <c r="AJ748" s="132"/>
      <c r="AK748" s="127"/>
      <c r="AL748" s="128"/>
      <c r="AM748" s="21" t="s">
        <v>2870</v>
      </c>
      <c r="AN748" s="133"/>
      <c r="AO748" s="134"/>
      <c r="AP748" s="135"/>
      <c r="AQ748" s="136"/>
      <c r="AR748" s="118"/>
      <c r="AS748" s="119"/>
      <c r="AT748" s="180">
        <f>AR748*0.1</f>
        <v>0</v>
      </c>
      <c r="AU748" s="181"/>
      <c r="AV748" s="118"/>
      <c r="AW748" s="119"/>
      <c r="AX748" s="118">
        <f>SUM(AR748:AW748)</f>
        <v>0</v>
      </c>
      <c r="AY748" s="119"/>
      <c r="AZ748" s="137"/>
    </row>
    <row r="749" spans="1:52" ht="17.100000000000001" customHeight="1" thickBot="1">
      <c r="A749" s="110"/>
      <c r="B749" s="27" t="s">
        <v>1555</v>
      </c>
      <c r="C749" s="27">
        <v>83178</v>
      </c>
      <c r="D749" s="14" t="s">
        <v>275</v>
      </c>
      <c r="E749" s="112"/>
      <c r="F749" s="139" t="s">
        <v>2871</v>
      </c>
      <c r="G749" s="140"/>
      <c r="H749" s="141"/>
      <c r="I749" s="26">
        <v>53232</v>
      </c>
      <c r="J749" s="117"/>
      <c r="K749" s="120"/>
      <c r="L749" s="121"/>
      <c r="M749" s="120"/>
      <c r="N749" s="121"/>
      <c r="O749" s="120"/>
      <c r="P749" s="121"/>
      <c r="Q749" s="120"/>
      <c r="R749" s="121"/>
      <c r="S749" s="120"/>
      <c r="T749" s="121"/>
      <c r="U749" s="120"/>
      <c r="V749" s="123"/>
      <c r="W749" s="125"/>
      <c r="X749" s="142" t="s">
        <v>2872</v>
      </c>
      <c r="Y749" s="143"/>
      <c r="Z749" s="143"/>
      <c r="AA749" s="143"/>
      <c r="AB749" s="144"/>
      <c r="AC749" s="16" t="s">
        <v>21</v>
      </c>
      <c r="AD749" s="17" t="s">
        <v>2873</v>
      </c>
      <c r="AE749" s="145" t="s">
        <v>2874</v>
      </c>
      <c r="AF749" s="146"/>
      <c r="AG749" s="146"/>
      <c r="AH749" s="146"/>
      <c r="AI749" s="147"/>
      <c r="AJ749" s="148"/>
      <c r="AK749" s="143"/>
      <c r="AL749" s="144"/>
      <c r="AM749" s="22"/>
      <c r="AN749" s="149"/>
      <c r="AO749" s="144"/>
      <c r="AP749" s="148"/>
      <c r="AQ749" s="144"/>
      <c r="AR749" s="120"/>
      <c r="AS749" s="121"/>
      <c r="AT749" s="120"/>
      <c r="AU749" s="182"/>
      <c r="AV749" s="120"/>
      <c r="AW749" s="121"/>
      <c r="AX749" s="120"/>
      <c r="AY749" s="121"/>
      <c r="AZ749" s="138"/>
    </row>
    <row r="750" spans="1:52" ht="17.100000000000001" customHeight="1" thickTop="1">
      <c r="A750" s="109" t="s">
        <v>6112</v>
      </c>
      <c r="B750" s="28">
        <v>45486</v>
      </c>
      <c r="C750" s="25">
        <v>1210</v>
      </c>
      <c r="D750" s="13" t="s">
        <v>2737</v>
      </c>
      <c r="E750" s="111"/>
      <c r="F750" s="113" t="s">
        <v>2703</v>
      </c>
      <c r="G750" s="114"/>
      <c r="H750" s="115"/>
      <c r="I750" s="24" t="s">
        <v>2875</v>
      </c>
      <c r="J750" s="116">
        <v>4.5</v>
      </c>
      <c r="K750" s="118">
        <v>2430000</v>
      </c>
      <c r="L750" s="119"/>
      <c r="M750" s="118">
        <f>K750*0.1</f>
        <v>243000</v>
      </c>
      <c r="N750" s="119"/>
      <c r="O750" s="118">
        <v>22330</v>
      </c>
      <c r="P750" s="119"/>
      <c r="Q750" s="118">
        <v>11740</v>
      </c>
      <c r="R750" s="119"/>
      <c r="S750" s="118">
        <v>13200</v>
      </c>
      <c r="T750" s="119"/>
      <c r="U750" s="118">
        <f>SUM(K750:T751)</f>
        <v>2720270</v>
      </c>
      <c r="V750" s="122"/>
      <c r="W750" s="124"/>
      <c r="X750" s="126" t="s">
        <v>2876</v>
      </c>
      <c r="Y750" s="127"/>
      <c r="Z750" s="127"/>
      <c r="AA750" s="127"/>
      <c r="AB750" s="128"/>
      <c r="AC750" s="15" t="s">
        <v>20</v>
      </c>
      <c r="AD750" s="129" t="s">
        <v>1945</v>
      </c>
      <c r="AE750" s="130"/>
      <c r="AF750" s="130"/>
      <c r="AG750" s="130"/>
      <c r="AH750" s="130"/>
      <c r="AI750" s="131"/>
      <c r="AJ750" s="132"/>
      <c r="AK750" s="127"/>
      <c r="AL750" s="128"/>
      <c r="AM750" s="21"/>
      <c r="AN750" s="133"/>
      <c r="AO750" s="134"/>
      <c r="AP750" s="135"/>
      <c r="AQ750" s="136"/>
      <c r="AR750" s="118"/>
      <c r="AS750" s="119"/>
      <c r="AT750" s="180">
        <f>AR750*0.1</f>
        <v>0</v>
      </c>
      <c r="AU750" s="181"/>
      <c r="AV750" s="118"/>
      <c r="AW750" s="119"/>
      <c r="AX750" s="118">
        <f>SUM(AR750:AW750)</f>
        <v>0</v>
      </c>
      <c r="AY750" s="119"/>
      <c r="AZ750" s="137"/>
    </row>
    <row r="751" spans="1:52" ht="17.100000000000001" customHeight="1" thickBot="1">
      <c r="A751" s="110"/>
      <c r="B751" s="27" t="s">
        <v>2511</v>
      </c>
      <c r="C751" s="27">
        <v>82123</v>
      </c>
      <c r="D751" s="14" t="s">
        <v>275</v>
      </c>
      <c r="E751" s="112"/>
      <c r="F751" s="139" t="s">
        <v>2877</v>
      </c>
      <c r="G751" s="140"/>
      <c r="H751" s="141"/>
      <c r="I751" s="26">
        <v>17861</v>
      </c>
      <c r="J751" s="117"/>
      <c r="K751" s="120"/>
      <c r="L751" s="121"/>
      <c r="M751" s="120"/>
      <c r="N751" s="121"/>
      <c r="O751" s="120"/>
      <c r="P751" s="121"/>
      <c r="Q751" s="120"/>
      <c r="R751" s="121"/>
      <c r="S751" s="120"/>
      <c r="T751" s="121"/>
      <c r="U751" s="120"/>
      <c r="V751" s="123"/>
      <c r="W751" s="125"/>
      <c r="X751" s="142" t="s">
        <v>2321</v>
      </c>
      <c r="Y751" s="143"/>
      <c r="Z751" s="143"/>
      <c r="AA751" s="143"/>
      <c r="AB751" s="144"/>
      <c r="AC751" s="16" t="s">
        <v>21</v>
      </c>
      <c r="AD751" s="17" t="s">
        <v>2878</v>
      </c>
      <c r="AE751" s="145" t="s">
        <v>1945</v>
      </c>
      <c r="AF751" s="146"/>
      <c r="AG751" s="146"/>
      <c r="AH751" s="146"/>
      <c r="AI751" s="147"/>
      <c r="AJ751" s="148"/>
      <c r="AK751" s="143"/>
      <c r="AL751" s="144"/>
      <c r="AM751" s="22" t="s">
        <v>907</v>
      </c>
      <c r="AN751" s="149"/>
      <c r="AO751" s="144"/>
      <c r="AP751" s="148"/>
      <c r="AQ751" s="144"/>
      <c r="AR751" s="120"/>
      <c r="AS751" s="121"/>
      <c r="AT751" s="120"/>
      <c r="AU751" s="182"/>
      <c r="AV751" s="120"/>
      <c r="AW751" s="121"/>
      <c r="AX751" s="120"/>
      <c r="AY751" s="121"/>
      <c r="AZ751" s="138"/>
    </row>
    <row r="752" spans="1:52" ht="17.100000000000001" customHeight="1" thickTop="1">
      <c r="A752" s="109" t="s">
        <v>6113</v>
      </c>
      <c r="B752" s="28">
        <v>45490</v>
      </c>
      <c r="C752" s="25">
        <v>927</v>
      </c>
      <c r="D752" s="13" t="s">
        <v>1825</v>
      </c>
      <c r="E752" s="111"/>
      <c r="F752" s="113" t="s">
        <v>1871</v>
      </c>
      <c r="G752" s="114"/>
      <c r="H752" s="115"/>
      <c r="I752" s="24" t="s">
        <v>2879</v>
      </c>
      <c r="J752" s="116">
        <v>5</v>
      </c>
      <c r="K752" s="118">
        <v>3080000</v>
      </c>
      <c r="L752" s="119"/>
      <c r="M752" s="118">
        <f>K752*0.1</f>
        <v>308000</v>
      </c>
      <c r="N752" s="119"/>
      <c r="O752" s="118">
        <v>26400</v>
      </c>
      <c r="P752" s="119"/>
      <c r="Q752" s="118">
        <v>17600</v>
      </c>
      <c r="R752" s="119"/>
      <c r="S752" s="118">
        <v>12100</v>
      </c>
      <c r="T752" s="119"/>
      <c r="U752" s="118">
        <f>SUM(K752:T753)</f>
        <v>3444100</v>
      </c>
      <c r="V752" s="122"/>
      <c r="W752" s="124"/>
      <c r="X752" s="126" t="s">
        <v>2880</v>
      </c>
      <c r="Y752" s="127"/>
      <c r="Z752" s="127"/>
      <c r="AA752" s="127"/>
      <c r="AB752" s="128"/>
      <c r="AC752" s="15" t="s">
        <v>20</v>
      </c>
      <c r="AD752" s="129" t="s">
        <v>1609</v>
      </c>
      <c r="AE752" s="130"/>
      <c r="AF752" s="130"/>
      <c r="AG752" s="130"/>
      <c r="AH752" s="130"/>
      <c r="AI752" s="131"/>
      <c r="AJ752" s="132"/>
      <c r="AK752" s="127"/>
      <c r="AL752" s="128"/>
      <c r="AM752" s="21" t="s">
        <v>2881</v>
      </c>
      <c r="AN752" s="133"/>
      <c r="AO752" s="134"/>
      <c r="AP752" s="135"/>
      <c r="AQ752" s="136"/>
      <c r="AR752" s="118"/>
      <c r="AS752" s="119"/>
      <c r="AT752" s="180">
        <f>AR752*0.1</f>
        <v>0</v>
      </c>
      <c r="AU752" s="181"/>
      <c r="AV752" s="118"/>
      <c r="AW752" s="119"/>
      <c r="AX752" s="118">
        <f>SUM(AR752:AW752)</f>
        <v>0</v>
      </c>
      <c r="AY752" s="119"/>
      <c r="AZ752" s="137"/>
    </row>
    <row r="753" spans="1:52" ht="17.100000000000001" customHeight="1" thickBot="1">
      <c r="A753" s="110"/>
      <c r="B753" s="27" t="s">
        <v>2794</v>
      </c>
      <c r="C753" s="27">
        <v>1092</v>
      </c>
      <c r="D753" s="14" t="s">
        <v>275</v>
      </c>
      <c r="E753" s="112"/>
      <c r="F753" s="139" t="s">
        <v>2882</v>
      </c>
      <c r="G753" s="140"/>
      <c r="H753" s="141"/>
      <c r="I753" s="26">
        <v>20716</v>
      </c>
      <c r="J753" s="117"/>
      <c r="K753" s="120"/>
      <c r="L753" s="121"/>
      <c r="M753" s="120"/>
      <c r="N753" s="121"/>
      <c r="O753" s="120"/>
      <c r="P753" s="121"/>
      <c r="Q753" s="120"/>
      <c r="R753" s="121"/>
      <c r="S753" s="120"/>
      <c r="T753" s="121"/>
      <c r="U753" s="120"/>
      <c r="V753" s="123"/>
      <c r="W753" s="125"/>
      <c r="X753" s="142" t="s">
        <v>2883</v>
      </c>
      <c r="Y753" s="143"/>
      <c r="Z753" s="143"/>
      <c r="AA753" s="143"/>
      <c r="AB753" s="144"/>
      <c r="AC753" s="16" t="s">
        <v>21</v>
      </c>
      <c r="AD753" s="17" t="s">
        <v>2884</v>
      </c>
      <c r="AE753" s="145" t="s">
        <v>1742</v>
      </c>
      <c r="AF753" s="146"/>
      <c r="AG753" s="146"/>
      <c r="AH753" s="146"/>
      <c r="AI753" s="147"/>
      <c r="AJ753" s="148"/>
      <c r="AK753" s="143"/>
      <c r="AL753" s="144"/>
      <c r="AM753" s="22"/>
      <c r="AN753" s="149"/>
      <c r="AO753" s="144"/>
      <c r="AP753" s="148"/>
      <c r="AQ753" s="144"/>
      <c r="AR753" s="120"/>
      <c r="AS753" s="121"/>
      <c r="AT753" s="120"/>
      <c r="AU753" s="182"/>
      <c r="AV753" s="120"/>
      <c r="AW753" s="121"/>
      <c r="AX753" s="120"/>
      <c r="AY753" s="121"/>
      <c r="AZ753" s="138"/>
    </row>
    <row r="754" spans="1:52" ht="17.100000000000001" customHeight="1" thickTop="1">
      <c r="A754" s="109" t="s">
        <v>6114</v>
      </c>
      <c r="B754" s="28">
        <v>45491</v>
      </c>
      <c r="C754" s="25">
        <v>1241</v>
      </c>
      <c r="D754" s="13" t="s">
        <v>1977</v>
      </c>
      <c r="E754" s="111"/>
      <c r="F754" s="113" t="s">
        <v>1587</v>
      </c>
      <c r="G754" s="114"/>
      <c r="H754" s="115"/>
      <c r="I754" s="24"/>
      <c r="J754" s="116">
        <v>4</v>
      </c>
      <c r="K754" s="118">
        <v>2140000</v>
      </c>
      <c r="L754" s="119"/>
      <c r="M754" s="118">
        <f>K754*0.1</f>
        <v>214000</v>
      </c>
      <c r="N754" s="119"/>
      <c r="O754" s="118">
        <v>0</v>
      </c>
      <c r="P754" s="119"/>
      <c r="Q754" s="118">
        <v>19090</v>
      </c>
      <c r="R754" s="119"/>
      <c r="S754" s="118">
        <v>13200</v>
      </c>
      <c r="T754" s="119"/>
      <c r="U754" s="118">
        <f>SUM(K754:T755)</f>
        <v>2386290</v>
      </c>
      <c r="V754" s="122"/>
      <c r="W754" s="124"/>
      <c r="X754" s="126" t="s">
        <v>2885</v>
      </c>
      <c r="Y754" s="127"/>
      <c r="Z754" s="127"/>
      <c r="AA754" s="127"/>
      <c r="AB754" s="128"/>
      <c r="AC754" s="15" t="s">
        <v>20</v>
      </c>
      <c r="AD754" s="129" t="s">
        <v>1633</v>
      </c>
      <c r="AE754" s="130"/>
      <c r="AF754" s="130"/>
      <c r="AG754" s="130"/>
      <c r="AH754" s="130"/>
      <c r="AI754" s="131"/>
      <c r="AJ754" s="132"/>
      <c r="AK754" s="127"/>
      <c r="AL754" s="128"/>
      <c r="AM754" s="21"/>
      <c r="AN754" s="133"/>
      <c r="AO754" s="134"/>
      <c r="AP754" s="135"/>
      <c r="AQ754" s="136"/>
      <c r="AR754" s="118"/>
      <c r="AS754" s="119"/>
      <c r="AT754" s="180">
        <f>AR754*0.1</f>
        <v>0</v>
      </c>
      <c r="AU754" s="181"/>
      <c r="AV754" s="118"/>
      <c r="AW754" s="119"/>
      <c r="AX754" s="118">
        <f>SUM(AR754:AW754)</f>
        <v>0</v>
      </c>
      <c r="AY754" s="119"/>
      <c r="AZ754" s="137"/>
    </row>
    <row r="755" spans="1:52" ht="17.100000000000001" customHeight="1" thickBot="1">
      <c r="A755" s="110"/>
      <c r="B755" s="27" t="s">
        <v>1747</v>
      </c>
      <c r="C755" s="27">
        <v>6</v>
      </c>
      <c r="D755" s="14" t="s">
        <v>2325</v>
      </c>
      <c r="E755" s="112"/>
      <c r="F755" s="139" t="s">
        <v>2886</v>
      </c>
      <c r="G755" s="140"/>
      <c r="H755" s="141"/>
      <c r="I755" s="26">
        <v>45364</v>
      </c>
      <c r="J755" s="117"/>
      <c r="K755" s="120"/>
      <c r="L755" s="121"/>
      <c r="M755" s="120"/>
      <c r="N755" s="121"/>
      <c r="O755" s="120"/>
      <c r="P755" s="121"/>
      <c r="Q755" s="120"/>
      <c r="R755" s="121"/>
      <c r="S755" s="120"/>
      <c r="T755" s="121"/>
      <c r="U755" s="120"/>
      <c r="V755" s="123"/>
      <c r="W755" s="125"/>
      <c r="X755" s="142" t="s">
        <v>2887</v>
      </c>
      <c r="Y755" s="143"/>
      <c r="Z755" s="143"/>
      <c r="AA755" s="143"/>
      <c r="AB755" s="144"/>
      <c r="AC755" s="16" t="s">
        <v>21</v>
      </c>
      <c r="AD755" s="17" t="s">
        <v>2884</v>
      </c>
      <c r="AE755" s="145" t="s">
        <v>1742</v>
      </c>
      <c r="AF755" s="146"/>
      <c r="AG755" s="146"/>
      <c r="AH755" s="146"/>
      <c r="AI755" s="147"/>
      <c r="AJ755" s="148"/>
      <c r="AK755" s="143"/>
      <c r="AL755" s="144"/>
      <c r="AM755" s="22"/>
      <c r="AN755" s="149"/>
      <c r="AO755" s="144"/>
      <c r="AP755" s="148"/>
      <c r="AQ755" s="144"/>
      <c r="AR755" s="120"/>
      <c r="AS755" s="121"/>
      <c r="AT755" s="120"/>
      <c r="AU755" s="182"/>
      <c r="AV755" s="120"/>
      <c r="AW755" s="121"/>
      <c r="AX755" s="120"/>
      <c r="AY755" s="121"/>
      <c r="AZ755" s="138"/>
    </row>
    <row r="756" spans="1:52" ht="17.100000000000001" customHeight="1" thickTop="1">
      <c r="A756" s="109" t="s">
        <v>6115</v>
      </c>
      <c r="B756" s="28">
        <v>45499</v>
      </c>
      <c r="C756" s="25">
        <v>2046</v>
      </c>
      <c r="D756" s="13" t="s">
        <v>2157</v>
      </c>
      <c r="E756" s="111"/>
      <c r="F756" s="113" t="s">
        <v>2888</v>
      </c>
      <c r="G756" s="114"/>
      <c r="H756" s="115"/>
      <c r="I756" s="24"/>
      <c r="J756" s="116">
        <v>4.5</v>
      </c>
      <c r="K756" s="118">
        <v>768000</v>
      </c>
      <c r="L756" s="119"/>
      <c r="M756" s="118">
        <f>K756*0.1</f>
        <v>76800</v>
      </c>
      <c r="N756" s="119"/>
      <c r="O756" s="118">
        <v>0</v>
      </c>
      <c r="P756" s="119"/>
      <c r="Q756" s="118">
        <v>13910</v>
      </c>
      <c r="R756" s="119"/>
      <c r="S756" s="118">
        <v>13200</v>
      </c>
      <c r="T756" s="119"/>
      <c r="U756" s="118">
        <f>SUM(K756:T757)</f>
        <v>871910</v>
      </c>
      <c r="V756" s="122"/>
      <c r="W756" s="124"/>
      <c r="X756" s="126" t="s">
        <v>2889</v>
      </c>
      <c r="Y756" s="127"/>
      <c r="Z756" s="127"/>
      <c r="AA756" s="127"/>
      <c r="AB756" s="128"/>
      <c r="AC756" s="15" t="s">
        <v>20</v>
      </c>
      <c r="AD756" s="129"/>
      <c r="AE756" s="130"/>
      <c r="AF756" s="130"/>
      <c r="AG756" s="130"/>
      <c r="AH756" s="130"/>
      <c r="AI756" s="131"/>
      <c r="AJ756" s="132"/>
      <c r="AK756" s="127"/>
      <c r="AL756" s="128"/>
      <c r="AM756" s="21"/>
      <c r="AN756" s="133">
        <v>45953</v>
      </c>
      <c r="AO756" s="134"/>
      <c r="AP756" s="135">
        <v>1303</v>
      </c>
      <c r="AQ756" s="136"/>
      <c r="AR756" s="118">
        <v>390000</v>
      </c>
      <c r="AS756" s="119"/>
      <c r="AT756" s="180">
        <f>AR756*0.1</f>
        <v>39000</v>
      </c>
      <c r="AU756" s="181"/>
      <c r="AV756" s="118">
        <v>13910</v>
      </c>
      <c r="AW756" s="119"/>
      <c r="AX756" s="118">
        <f>SUM(AR756:AW756)</f>
        <v>442910</v>
      </c>
      <c r="AY756" s="119"/>
      <c r="AZ756" s="137">
        <v>45954</v>
      </c>
    </row>
    <row r="757" spans="1:52" ht="17.100000000000001" customHeight="1" thickBot="1">
      <c r="A757" s="110"/>
      <c r="B757" s="27" t="s">
        <v>1543</v>
      </c>
      <c r="C757" s="27">
        <v>37277</v>
      </c>
      <c r="D757" s="14" t="s">
        <v>275</v>
      </c>
      <c r="E757" s="112"/>
      <c r="F757" s="139" t="s">
        <v>2890</v>
      </c>
      <c r="G757" s="140"/>
      <c r="H757" s="141"/>
      <c r="I757" s="26">
        <v>25264</v>
      </c>
      <c r="J757" s="117"/>
      <c r="K757" s="120"/>
      <c r="L757" s="121"/>
      <c r="M757" s="120"/>
      <c r="N757" s="121"/>
      <c r="O757" s="120"/>
      <c r="P757" s="121"/>
      <c r="Q757" s="120"/>
      <c r="R757" s="121"/>
      <c r="S757" s="120"/>
      <c r="T757" s="121"/>
      <c r="U757" s="120"/>
      <c r="V757" s="123"/>
      <c r="W757" s="125"/>
      <c r="X757" s="142" t="s">
        <v>2891</v>
      </c>
      <c r="Y757" s="143"/>
      <c r="Z757" s="143"/>
      <c r="AA757" s="143"/>
      <c r="AB757" s="144"/>
      <c r="AC757" s="16" t="s">
        <v>21</v>
      </c>
      <c r="AD757" s="17" t="s">
        <v>2861</v>
      </c>
      <c r="AE757" s="145" t="s">
        <v>2892</v>
      </c>
      <c r="AF757" s="146"/>
      <c r="AG757" s="146"/>
      <c r="AH757" s="146"/>
      <c r="AI757" s="147"/>
      <c r="AJ757" s="148"/>
      <c r="AK757" s="143"/>
      <c r="AL757" s="144"/>
      <c r="AM757" s="22"/>
      <c r="AN757" s="149" t="s">
        <v>9132</v>
      </c>
      <c r="AO757" s="144"/>
      <c r="AP757" s="148" t="s">
        <v>9133</v>
      </c>
      <c r="AQ757" s="144"/>
      <c r="AR757" s="120"/>
      <c r="AS757" s="121"/>
      <c r="AT757" s="120"/>
      <c r="AU757" s="182"/>
      <c r="AV757" s="120"/>
      <c r="AW757" s="121"/>
      <c r="AX757" s="120"/>
      <c r="AY757" s="121"/>
      <c r="AZ757" s="138"/>
    </row>
    <row r="758" spans="1:52" ht="17.100000000000001" customHeight="1" thickTop="1">
      <c r="A758" s="109" t="s">
        <v>6116</v>
      </c>
      <c r="B758" s="28">
        <v>45505</v>
      </c>
      <c r="C758" s="25"/>
      <c r="D758" s="13" t="s">
        <v>2893</v>
      </c>
      <c r="E758" s="111"/>
      <c r="F758" s="113" t="s">
        <v>2894</v>
      </c>
      <c r="G758" s="114"/>
      <c r="H758" s="115"/>
      <c r="I758" s="24" t="s">
        <v>2697</v>
      </c>
      <c r="J758" s="116"/>
      <c r="K758" s="118">
        <v>2400000</v>
      </c>
      <c r="L758" s="119"/>
      <c r="M758" s="118">
        <v>0</v>
      </c>
      <c r="N758" s="119"/>
      <c r="O758" s="118">
        <v>0</v>
      </c>
      <c r="P758" s="119"/>
      <c r="Q758" s="118">
        <v>0</v>
      </c>
      <c r="R758" s="119"/>
      <c r="S758" s="118">
        <v>0</v>
      </c>
      <c r="T758" s="119"/>
      <c r="U758" s="118">
        <f>SUM(K758:T759)</f>
        <v>2400000</v>
      </c>
      <c r="V758" s="122"/>
      <c r="W758" s="124"/>
      <c r="X758" s="126" t="s">
        <v>2895</v>
      </c>
      <c r="Y758" s="127"/>
      <c r="Z758" s="127"/>
      <c r="AA758" s="127"/>
      <c r="AB758" s="128"/>
      <c r="AC758" s="15" t="s">
        <v>20</v>
      </c>
      <c r="AD758" s="129"/>
      <c r="AE758" s="130"/>
      <c r="AF758" s="130"/>
      <c r="AG758" s="130"/>
      <c r="AH758" s="130"/>
      <c r="AI758" s="131"/>
      <c r="AJ758" s="132"/>
      <c r="AK758" s="127"/>
      <c r="AL758" s="128"/>
      <c r="AM758" s="21"/>
      <c r="AN758" s="133"/>
      <c r="AO758" s="134"/>
      <c r="AP758" s="135"/>
      <c r="AQ758" s="136"/>
      <c r="AR758" s="118"/>
      <c r="AS758" s="119"/>
      <c r="AT758" s="180">
        <f>AR758*0.1</f>
        <v>0</v>
      </c>
      <c r="AU758" s="181"/>
      <c r="AV758" s="118"/>
      <c r="AW758" s="119"/>
      <c r="AX758" s="118">
        <f>SUM(AR758:AW758)</f>
        <v>0</v>
      </c>
      <c r="AY758" s="119"/>
      <c r="AZ758" s="137"/>
    </row>
    <row r="759" spans="1:52" ht="17.100000000000001" customHeight="1" thickBot="1">
      <c r="A759" s="110"/>
      <c r="B759" s="27" t="s">
        <v>2896</v>
      </c>
      <c r="C759" s="27"/>
      <c r="D759" s="14"/>
      <c r="E759" s="112"/>
      <c r="F759" s="139" t="s">
        <v>2897</v>
      </c>
      <c r="G759" s="140"/>
      <c r="H759" s="141"/>
      <c r="I759" s="26">
        <v>53300</v>
      </c>
      <c r="J759" s="117"/>
      <c r="K759" s="120"/>
      <c r="L759" s="121"/>
      <c r="M759" s="120"/>
      <c r="N759" s="121"/>
      <c r="O759" s="120"/>
      <c r="P759" s="121"/>
      <c r="Q759" s="120"/>
      <c r="R759" s="121"/>
      <c r="S759" s="120"/>
      <c r="T759" s="121"/>
      <c r="U759" s="120"/>
      <c r="V759" s="123"/>
      <c r="W759" s="125"/>
      <c r="X759" s="142" t="s">
        <v>2898</v>
      </c>
      <c r="Y759" s="143"/>
      <c r="Z759" s="143"/>
      <c r="AA759" s="143"/>
      <c r="AB759" s="144"/>
      <c r="AC759" s="16" t="s">
        <v>21</v>
      </c>
      <c r="AD759" s="17" t="s">
        <v>2861</v>
      </c>
      <c r="AE759" s="145" t="s">
        <v>2899</v>
      </c>
      <c r="AF759" s="146"/>
      <c r="AG759" s="146"/>
      <c r="AH759" s="146"/>
      <c r="AI759" s="147"/>
      <c r="AJ759" s="148"/>
      <c r="AK759" s="143"/>
      <c r="AL759" s="144"/>
      <c r="AM759" s="22" t="s">
        <v>2900</v>
      </c>
      <c r="AN759" s="149"/>
      <c r="AO759" s="144"/>
      <c r="AP759" s="148"/>
      <c r="AQ759" s="144"/>
      <c r="AR759" s="120"/>
      <c r="AS759" s="121"/>
      <c r="AT759" s="120"/>
      <c r="AU759" s="182"/>
      <c r="AV759" s="120"/>
      <c r="AW759" s="121"/>
      <c r="AX759" s="120"/>
      <c r="AY759" s="121"/>
      <c r="AZ759" s="138"/>
    </row>
    <row r="760" spans="1:52" ht="17.100000000000001" customHeight="1" thickTop="1">
      <c r="A760" s="109" t="s">
        <v>6117</v>
      </c>
      <c r="B760" s="28">
        <v>45505</v>
      </c>
      <c r="C760" s="25">
        <v>1478</v>
      </c>
      <c r="D760" s="13" t="s">
        <v>2135</v>
      </c>
      <c r="E760" s="111"/>
      <c r="F760" s="113" t="s">
        <v>2901</v>
      </c>
      <c r="G760" s="114"/>
      <c r="H760" s="115"/>
      <c r="I760" s="24" t="s">
        <v>2902</v>
      </c>
      <c r="J760" s="116">
        <v>4.5</v>
      </c>
      <c r="K760" s="118">
        <v>1380000</v>
      </c>
      <c r="L760" s="119"/>
      <c r="M760" s="118">
        <f>K760*0.1</f>
        <v>138000</v>
      </c>
      <c r="N760" s="119"/>
      <c r="O760" s="118">
        <v>0</v>
      </c>
      <c r="P760" s="119"/>
      <c r="Q760" s="118">
        <v>20130</v>
      </c>
      <c r="R760" s="119"/>
      <c r="S760" s="118">
        <v>13200</v>
      </c>
      <c r="T760" s="119"/>
      <c r="U760" s="118">
        <f>SUM(K760:T761)</f>
        <v>1551330</v>
      </c>
      <c r="V760" s="122"/>
      <c r="W760" s="124"/>
      <c r="X760" s="126" t="s">
        <v>2903</v>
      </c>
      <c r="Y760" s="127"/>
      <c r="Z760" s="127"/>
      <c r="AA760" s="127"/>
      <c r="AB760" s="128"/>
      <c r="AC760" s="15" t="s">
        <v>20</v>
      </c>
      <c r="AD760" s="129" t="s">
        <v>1633</v>
      </c>
      <c r="AE760" s="130"/>
      <c r="AF760" s="130"/>
      <c r="AG760" s="130"/>
      <c r="AH760" s="130"/>
      <c r="AI760" s="131"/>
      <c r="AJ760" s="132"/>
      <c r="AK760" s="127"/>
      <c r="AL760" s="128"/>
      <c r="AM760" s="21"/>
      <c r="AN760" s="133"/>
      <c r="AO760" s="134"/>
      <c r="AP760" s="135"/>
      <c r="AQ760" s="136"/>
      <c r="AR760" s="118"/>
      <c r="AS760" s="119"/>
      <c r="AT760" s="180">
        <f>AR760*0.1</f>
        <v>0</v>
      </c>
      <c r="AU760" s="181"/>
      <c r="AV760" s="118"/>
      <c r="AW760" s="119"/>
      <c r="AX760" s="118">
        <f>SUM(AR760:AW760)</f>
        <v>0</v>
      </c>
      <c r="AY760" s="119"/>
      <c r="AZ760" s="137"/>
    </row>
    <row r="761" spans="1:52" ht="17.100000000000001" customHeight="1" thickBot="1">
      <c r="A761" s="110"/>
      <c r="B761" s="27" t="s">
        <v>1600</v>
      </c>
      <c r="C761" s="27">
        <v>75939</v>
      </c>
      <c r="D761" s="14" t="s">
        <v>1720</v>
      </c>
      <c r="E761" s="112"/>
      <c r="F761" s="139" t="s">
        <v>2904</v>
      </c>
      <c r="G761" s="140"/>
      <c r="H761" s="141"/>
      <c r="I761" s="26">
        <v>51934</v>
      </c>
      <c r="J761" s="117"/>
      <c r="K761" s="120"/>
      <c r="L761" s="121"/>
      <c r="M761" s="120"/>
      <c r="N761" s="121"/>
      <c r="O761" s="120"/>
      <c r="P761" s="121"/>
      <c r="Q761" s="120"/>
      <c r="R761" s="121"/>
      <c r="S761" s="120"/>
      <c r="T761" s="121"/>
      <c r="U761" s="120"/>
      <c r="V761" s="123"/>
      <c r="W761" s="125"/>
      <c r="X761" s="142" t="s">
        <v>2905</v>
      </c>
      <c r="Y761" s="143"/>
      <c r="Z761" s="143"/>
      <c r="AA761" s="143"/>
      <c r="AB761" s="144"/>
      <c r="AC761" s="16" t="s">
        <v>21</v>
      </c>
      <c r="AD761" s="17" t="s">
        <v>2533</v>
      </c>
      <c r="AE761" s="145" t="s">
        <v>1742</v>
      </c>
      <c r="AF761" s="146"/>
      <c r="AG761" s="146"/>
      <c r="AH761" s="146"/>
      <c r="AI761" s="147"/>
      <c r="AJ761" s="148"/>
      <c r="AK761" s="143"/>
      <c r="AL761" s="144"/>
      <c r="AM761" s="22"/>
      <c r="AN761" s="149"/>
      <c r="AO761" s="144"/>
      <c r="AP761" s="148"/>
      <c r="AQ761" s="144"/>
      <c r="AR761" s="120"/>
      <c r="AS761" s="121"/>
      <c r="AT761" s="120"/>
      <c r="AU761" s="182"/>
      <c r="AV761" s="120"/>
      <c r="AW761" s="121"/>
      <c r="AX761" s="120"/>
      <c r="AY761" s="121"/>
      <c r="AZ761" s="138"/>
    </row>
    <row r="762" spans="1:52" ht="17.100000000000001" customHeight="1" thickTop="1">
      <c r="A762" s="109" t="s">
        <v>6118</v>
      </c>
      <c r="B762" s="28">
        <v>45506</v>
      </c>
      <c r="C762" s="25">
        <v>2047</v>
      </c>
      <c r="D762" s="13" t="s">
        <v>2906</v>
      </c>
      <c r="E762" s="111"/>
      <c r="F762" s="113" t="s">
        <v>2907</v>
      </c>
      <c r="G762" s="114"/>
      <c r="H762" s="115"/>
      <c r="I762" s="24" t="s">
        <v>2908</v>
      </c>
      <c r="J762" s="116">
        <v>4.5</v>
      </c>
      <c r="K762" s="118">
        <v>1165000</v>
      </c>
      <c r="L762" s="119"/>
      <c r="M762" s="118">
        <f>K762*0.1</f>
        <v>116500</v>
      </c>
      <c r="N762" s="119"/>
      <c r="O762" s="118">
        <v>0</v>
      </c>
      <c r="P762" s="119"/>
      <c r="Q762" s="118">
        <v>9070</v>
      </c>
      <c r="R762" s="119"/>
      <c r="S762" s="118">
        <v>13200</v>
      </c>
      <c r="T762" s="119"/>
      <c r="U762" s="118">
        <f>SUM(K762:T763)</f>
        <v>1303770</v>
      </c>
      <c r="V762" s="122"/>
      <c r="W762" s="124"/>
      <c r="X762" s="126" t="s">
        <v>2909</v>
      </c>
      <c r="Y762" s="127"/>
      <c r="Z762" s="127"/>
      <c r="AA762" s="127"/>
      <c r="AB762" s="128"/>
      <c r="AC762" s="15" t="s">
        <v>20</v>
      </c>
      <c r="AD762" s="129" t="s">
        <v>1633</v>
      </c>
      <c r="AE762" s="130"/>
      <c r="AF762" s="130"/>
      <c r="AG762" s="130"/>
      <c r="AH762" s="130"/>
      <c r="AI762" s="131"/>
      <c r="AJ762" s="132"/>
      <c r="AK762" s="127"/>
      <c r="AL762" s="128"/>
      <c r="AM762" s="21" t="s">
        <v>2910</v>
      </c>
      <c r="AN762" s="133">
        <v>46102</v>
      </c>
      <c r="AO762" s="134"/>
      <c r="AP762" s="135">
        <v>1293</v>
      </c>
      <c r="AQ762" s="136"/>
      <c r="AR762" s="118">
        <v>975000</v>
      </c>
      <c r="AS762" s="119"/>
      <c r="AT762" s="180">
        <f>AR762*0.1</f>
        <v>97500</v>
      </c>
      <c r="AU762" s="181"/>
      <c r="AV762" s="118">
        <v>9070</v>
      </c>
      <c r="AW762" s="119"/>
      <c r="AX762" s="118">
        <f>SUM(AR762:AW762)</f>
        <v>1081570</v>
      </c>
      <c r="AY762" s="119"/>
      <c r="AZ762" s="137">
        <v>46105</v>
      </c>
    </row>
    <row r="763" spans="1:52" ht="17.100000000000001" customHeight="1" thickBot="1">
      <c r="A763" s="110"/>
      <c r="B763" s="27" t="s">
        <v>1543</v>
      </c>
      <c r="C763" s="27">
        <v>55149</v>
      </c>
      <c r="D763" s="14" t="s">
        <v>275</v>
      </c>
      <c r="E763" s="112"/>
      <c r="F763" s="139" t="s">
        <v>2911</v>
      </c>
      <c r="G763" s="140"/>
      <c r="H763" s="141"/>
      <c r="I763" s="26">
        <v>24410</v>
      </c>
      <c r="J763" s="117"/>
      <c r="K763" s="120"/>
      <c r="L763" s="121"/>
      <c r="M763" s="120"/>
      <c r="N763" s="121"/>
      <c r="O763" s="120"/>
      <c r="P763" s="121"/>
      <c r="Q763" s="120"/>
      <c r="R763" s="121"/>
      <c r="S763" s="120"/>
      <c r="T763" s="121"/>
      <c r="U763" s="120"/>
      <c r="V763" s="123"/>
      <c r="W763" s="125"/>
      <c r="X763" s="142" t="s">
        <v>2912</v>
      </c>
      <c r="Y763" s="143"/>
      <c r="Z763" s="143"/>
      <c r="AA763" s="143"/>
      <c r="AB763" s="144"/>
      <c r="AC763" s="16" t="s">
        <v>21</v>
      </c>
      <c r="AD763" s="17" t="s">
        <v>2533</v>
      </c>
      <c r="AE763" s="145" t="s">
        <v>2913</v>
      </c>
      <c r="AF763" s="146"/>
      <c r="AG763" s="146"/>
      <c r="AH763" s="146"/>
      <c r="AI763" s="147"/>
      <c r="AJ763" s="148"/>
      <c r="AK763" s="143"/>
      <c r="AL763" s="144"/>
      <c r="AM763" s="22"/>
      <c r="AN763" s="149" t="s">
        <v>2511</v>
      </c>
      <c r="AO763" s="144"/>
      <c r="AP763" s="148">
        <v>60215</v>
      </c>
      <c r="AQ763" s="144"/>
      <c r="AR763" s="120"/>
      <c r="AS763" s="121"/>
      <c r="AT763" s="120"/>
      <c r="AU763" s="182"/>
      <c r="AV763" s="120"/>
      <c r="AW763" s="121"/>
      <c r="AX763" s="120"/>
      <c r="AY763" s="121"/>
      <c r="AZ763" s="138"/>
    </row>
    <row r="764" spans="1:52" ht="17.100000000000001" customHeight="1" thickTop="1">
      <c r="A764" s="109" t="s">
        <v>6119</v>
      </c>
      <c r="B764" s="28">
        <v>45507</v>
      </c>
      <c r="C764" s="25">
        <v>1456</v>
      </c>
      <c r="D764" s="13" t="s">
        <v>2914</v>
      </c>
      <c r="E764" s="111"/>
      <c r="F764" s="113" t="s">
        <v>2915</v>
      </c>
      <c r="G764" s="114"/>
      <c r="H764" s="115"/>
      <c r="I764" s="24"/>
      <c r="J764" s="116">
        <v>4.5</v>
      </c>
      <c r="K764" s="118">
        <v>2025000</v>
      </c>
      <c r="L764" s="119"/>
      <c r="M764" s="118">
        <f>K764*0.1</f>
        <v>202500</v>
      </c>
      <c r="N764" s="119"/>
      <c r="O764" s="118">
        <v>0</v>
      </c>
      <c r="P764" s="119"/>
      <c r="Q764" s="118">
        <v>21370</v>
      </c>
      <c r="R764" s="119"/>
      <c r="S764" s="118">
        <v>13200</v>
      </c>
      <c r="T764" s="119"/>
      <c r="U764" s="118">
        <f>SUM(K764:T765)</f>
        <v>2262070</v>
      </c>
      <c r="V764" s="122"/>
      <c r="W764" s="124"/>
      <c r="X764" s="126" t="s">
        <v>2916</v>
      </c>
      <c r="Y764" s="127"/>
      <c r="Z764" s="127"/>
      <c r="AA764" s="127"/>
      <c r="AB764" s="128"/>
      <c r="AC764" s="15" t="s">
        <v>20</v>
      </c>
      <c r="AD764" s="129" t="s">
        <v>1690</v>
      </c>
      <c r="AE764" s="130"/>
      <c r="AF764" s="130"/>
      <c r="AG764" s="130"/>
      <c r="AH764" s="130"/>
      <c r="AI764" s="131"/>
      <c r="AJ764" s="132"/>
      <c r="AK764" s="127"/>
      <c r="AL764" s="128"/>
      <c r="AM764" s="21"/>
      <c r="AN764" s="133"/>
      <c r="AO764" s="134"/>
      <c r="AP764" s="135"/>
      <c r="AQ764" s="136"/>
      <c r="AR764" s="118"/>
      <c r="AS764" s="119"/>
      <c r="AT764" s="180">
        <f>AR764*0.1</f>
        <v>0</v>
      </c>
      <c r="AU764" s="181"/>
      <c r="AV764" s="118"/>
      <c r="AW764" s="119"/>
      <c r="AX764" s="118">
        <f>SUM(AR764:AW764)</f>
        <v>0</v>
      </c>
      <c r="AY764" s="119"/>
      <c r="AZ764" s="137"/>
    </row>
    <row r="765" spans="1:52" ht="17.100000000000001" customHeight="1" thickBot="1">
      <c r="A765" s="110"/>
      <c r="B765" s="27" t="s">
        <v>1555</v>
      </c>
      <c r="C765" s="27">
        <v>83170</v>
      </c>
      <c r="D765" s="14" t="s">
        <v>133</v>
      </c>
      <c r="E765" s="112"/>
      <c r="F765" s="139" t="s">
        <v>2917</v>
      </c>
      <c r="G765" s="140"/>
      <c r="H765" s="141"/>
      <c r="I765" s="26">
        <v>29354</v>
      </c>
      <c r="J765" s="117"/>
      <c r="K765" s="120"/>
      <c r="L765" s="121"/>
      <c r="M765" s="120"/>
      <c r="N765" s="121"/>
      <c r="O765" s="120"/>
      <c r="P765" s="121"/>
      <c r="Q765" s="120"/>
      <c r="R765" s="121"/>
      <c r="S765" s="120"/>
      <c r="T765" s="121"/>
      <c r="U765" s="120"/>
      <c r="V765" s="123"/>
      <c r="W765" s="125"/>
      <c r="X765" s="142" t="s">
        <v>2918</v>
      </c>
      <c r="Y765" s="143"/>
      <c r="Z765" s="143"/>
      <c r="AA765" s="143"/>
      <c r="AB765" s="144"/>
      <c r="AC765" s="16" t="s">
        <v>21</v>
      </c>
      <c r="AD765" s="17" t="s">
        <v>2919</v>
      </c>
      <c r="AE765" s="145" t="s">
        <v>2920</v>
      </c>
      <c r="AF765" s="146"/>
      <c r="AG765" s="146"/>
      <c r="AH765" s="146"/>
      <c r="AI765" s="147"/>
      <c r="AJ765" s="148"/>
      <c r="AK765" s="143"/>
      <c r="AL765" s="144"/>
      <c r="AM765" s="22"/>
      <c r="AN765" s="149"/>
      <c r="AO765" s="144"/>
      <c r="AP765" s="148"/>
      <c r="AQ765" s="144"/>
      <c r="AR765" s="120"/>
      <c r="AS765" s="121"/>
      <c r="AT765" s="120"/>
      <c r="AU765" s="182"/>
      <c r="AV765" s="120"/>
      <c r="AW765" s="121"/>
      <c r="AX765" s="120"/>
      <c r="AY765" s="121"/>
      <c r="AZ765" s="138"/>
    </row>
    <row r="766" spans="1:52" ht="17.100000000000001" customHeight="1" thickTop="1">
      <c r="A766" s="109" t="s">
        <v>6120</v>
      </c>
      <c r="B766" s="28">
        <v>45507</v>
      </c>
      <c r="C766" s="25">
        <v>1213</v>
      </c>
      <c r="D766" s="13" t="s">
        <v>2196</v>
      </c>
      <c r="E766" s="111"/>
      <c r="F766" s="113" t="s">
        <v>2921</v>
      </c>
      <c r="G766" s="114"/>
      <c r="H766" s="115"/>
      <c r="I766" s="24"/>
      <c r="J766" s="116">
        <v>4</v>
      </c>
      <c r="K766" s="118">
        <v>2055000</v>
      </c>
      <c r="L766" s="119"/>
      <c r="M766" s="118">
        <f>K766*0.1</f>
        <v>205500</v>
      </c>
      <c r="N766" s="119"/>
      <c r="O766" s="118">
        <v>0</v>
      </c>
      <c r="P766" s="119"/>
      <c r="Q766" s="118">
        <v>19090</v>
      </c>
      <c r="R766" s="119"/>
      <c r="S766" s="118">
        <v>13200</v>
      </c>
      <c r="T766" s="119"/>
      <c r="U766" s="118">
        <f>SUM(K766:T767)</f>
        <v>2292790</v>
      </c>
      <c r="V766" s="122"/>
      <c r="W766" s="124"/>
      <c r="X766" s="126" t="s">
        <v>2922</v>
      </c>
      <c r="Y766" s="127"/>
      <c r="Z766" s="127"/>
      <c r="AA766" s="127"/>
      <c r="AB766" s="128"/>
      <c r="AC766" s="15" t="s">
        <v>20</v>
      </c>
      <c r="AD766" s="129"/>
      <c r="AE766" s="130"/>
      <c r="AF766" s="130"/>
      <c r="AG766" s="130"/>
      <c r="AH766" s="130"/>
      <c r="AI766" s="131"/>
      <c r="AJ766" s="132"/>
      <c r="AK766" s="127"/>
      <c r="AL766" s="128"/>
      <c r="AM766" s="21"/>
      <c r="AN766" s="133"/>
      <c r="AO766" s="134"/>
      <c r="AP766" s="135"/>
      <c r="AQ766" s="136"/>
      <c r="AR766" s="118"/>
      <c r="AS766" s="119"/>
      <c r="AT766" s="180">
        <f>AR766*0.1</f>
        <v>0</v>
      </c>
      <c r="AU766" s="181"/>
      <c r="AV766" s="118"/>
      <c r="AW766" s="119"/>
      <c r="AX766" s="118">
        <f>SUM(AR766:AW766)</f>
        <v>0</v>
      </c>
      <c r="AY766" s="119"/>
      <c r="AZ766" s="137"/>
    </row>
    <row r="767" spans="1:52" ht="17.100000000000001" customHeight="1" thickBot="1">
      <c r="A767" s="110"/>
      <c r="B767" s="27" t="s">
        <v>2511</v>
      </c>
      <c r="C767" s="27">
        <v>82089</v>
      </c>
      <c r="D767" s="14" t="s">
        <v>275</v>
      </c>
      <c r="E767" s="112"/>
      <c r="F767" s="139" t="s">
        <v>2923</v>
      </c>
      <c r="G767" s="140"/>
      <c r="H767" s="141"/>
      <c r="I767" s="26">
        <v>48292</v>
      </c>
      <c r="J767" s="117"/>
      <c r="K767" s="120"/>
      <c r="L767" s="121"/>
      <c r="M767" s="120"/>
      <c r="N767" s="121"/>
      <c r="O767" s="120"/>
      <c r="P767" s="121"/>
      <c r="Q767" s="120"/>
      <c r="R767" s="121"/>
      <c r="S767" s="120"/>
      <c r="T767" s="121"/>
      <c r="U767" s="120"/>
      <c r="V767" s="123"/>
      <c r="W767" s="125"/>
      <c r="X767" s="142" t="s">
        <v>2440</v>
      </c>
      <c r="Y767" s="143"/>
      <c r="Z767" s="143"/>
      <c r="AA767" s="143"/>
      <c r="AB767" s="144"/>
      <c r="AC767" s="16" t="s">
        <v>21</v>
      </c>
      <c r="AD767" s="17" t="s">
        <v>2919</v>
      </c>
      <c r="AE767" s="145" t="s">
        <v>2832</v>
      </c>
      <c r="AF767" s="146"/>
      <c r="AG767" s="146"/>
      <c r="AH767" s="146"/>
      <c r="AI767" s="147"/>
      <c r="AJ767" s="148"/>
      <c r="AK767" s="143"/>
      <c r="AL767" s="144"/>
      <c r="AM767" s="22"/>
      <c r="AN767" s="149"/>
      <c r="AO767" s="144"/>
      <c r="AP767" s="148"/>
      <c r="AQ767" s="144"/>
      <c r="AR767" s="120"/>
      <c r="AS767" s="121"/>
      <c r="AT767" s="120"/>
      <c r="AU767" s="182"/>
      <c r="AV767" s="120"/>
      <c r="AW767" s="121"/>
      <c r="AX767" s="120"/>
      <c r="AY767" s="121"/>
      <c r="AZ767" s="138"/>
    </row>
    <row r="768" spans="1:52" ht="17.100000000000001" customHeight="1" thickTop="1">
      <c r="A768" s="109" t="s">
        <v>6121</v>
      </c>
      <c r="B768" s="28">
        <v>45507</v>
      </c>
      <c r="C768" s="25">
        <v>1213</v>
      </c>
      <c r="D768" s="13" t="s">
        <v>2914</v>
      </c>
      <c r="E768" s="111"/>
      <c r="F768" s="113" t="s">
        <v>2656</v>
      </c>
      <c r="G768" s="114"/>
      <c r="H768" s="115"/>
      <c r="I768" s="24"/>
      <c r="J768" s="116">
        <v>4.5</v>
      </c>
      <c r="K768" s="118">
        <v>1945000</v>
      </c>
      <c r="L768" s="119"/>
      <c r="M768" s="118">
        <f>K768*0.1</f>
        <v>194500</v>
      </c>
      <c r="N768" s="119"/>
      <c r="O768" s="118">
        <v>0</v>
      </c>
      <c r="P768" s="119"/>
      <c r="Q768" s="118">
        <v>16240</v>
      </c>
      <c r="R768" s="119"/>
      <c r="S768" s="118">
        <v>13200</v>
      </c>
      <c r="T768" s="119"/>
      <c r="U768" s="118">
        <f>SUM(K768:T769)</f>
        <v>2168940</v>
      </c>
      <c r="V768" s="122"/>
      <c r="W768" s="124"/>
      <c r="X768" s="126" t="s">
        <v>2924</v>
      </c>
      <c r="Y768" s="127"/>
      <c r="Z768" s="127"/>
      <c r="AA768" s="127"/>
      <c r="AB768" s="128"/>
      <c r="AC768" s="15" t="s">
        <v>20</v>
      </c>
      <c r="AD768" s="129" t="s">
        <v>1633</v>
      </c>
      <c r="AE768" s="130"/>
      <c r="AF768" s="130"/>
      <c r="AG768" s="130"/>
      <c r="AH768" s="130"/>
      <c r="AI768" s="131"/>
      <c r="AJ768" s="132"/>
      <c r="AK768" s="127"/>
      <c r="AL768" s="128"/>
      <c r="AM768" s="21"/>
      <c r="AN768" s="133"/>
      <c r="AO768" s="134"/>
      <c r="AP768" s="135"/>
      <c r="AQ768" s="136"/>
      <c r="AR768" s="118"/>
      <c r="AS768" s="119"/>
      <c r="AT768" s="180">
        <f>AR768*0.1</f>
        <v>0</v>
      </c>
      <c r="AU768" s="181"/>
      <c r="AV768" s="118"/>
      <c r="AW768" s="119"/>
      <c r="AX768" s="118">
        <f>SUM(AR768:AW768)</f>
        <v>0</v>
      </c>
      <c r="AY768" s="119"/>
      <c r="AZ768" s="137"/>
    </row>
    <row r="769" spans="1:52" ht="17.100000000000001" customHeight="1" thickBot="1">
      <c r="A769" s="110"/>
      <c r="B769" s="27" t="s">
        <v>2511</v>
      </c>
      <c r="C769" s="27">
        <v>82355</v>
      </c>
      <c r="D769" s="14" t="s">
        <v>133</v>
      </c>
      <c r="E769" s="112"/>
      <c r="F769" s="139" t="s">
        <v>2925</v>
      </c>
      <c r="G769" s="140"/>
      <c r="H769" s="141"/>
      <c r="I769" s="26">
        <v>41471</v>
      </c>
      <c r="J769" s="117"/>
      <c r="K769" s="120"/>
      <c r="L769" s="121"/>
      <c r="M769" s="120"/>
      <c r="N769" s="121"/>
      <c r="O769" s="120"/>
      <c r="P769" s="121"/>
      <c r="Q769" s="120"/>
      <c r="R769" s="121"/>
      <c r="S769" s="120"/>
      <c r="T769" s="121"/>
      <c r="U769" s="120"/>
      <c r="V769" s="123"/>
      <c r="W769" s="125"/>
      <c r="X769" s="142" t="s">
        <v>441</v>
      </c>
      <c r="Y769" s="143"/>
      <c r="Z769" s="143"/>
      <c r="AA769" s="143"/>
      <c r="AB769" s="144"/>
      <c r="AC769" s="16" t="s">
        <v>21</v>
      </c>
      <c r="AD769" s="17" t="s">
        <v>2926</v>
      </c>
      <c r="AE769" s="145" t="s">
        <v>2927</v>
      </c>
      <c r="AF769" s="146"/>
      <c r="AG769" s="146"/>
      <c r="AH769" s="146"/>
      <c r="AI769" s="147"/>
      <c r="AJ769" s="148"/>
      <c r="AK769" s="143"/>
      <c r="AL769" s="144"/>
      <c r="AM769" s="22"/>
      <c r="AN769" s="149"/>
      <c r="AO769" s="144"/>
      <c r="AP769" s="148"/>
      <c r="AQ769" s="144"/>
      <c r="AR769" s="120"/>
      <c r="AS769" s="121"/>
      <c r="AT769" s="120"/>
      <c r="AU769" s="182"/>
      <c r="AV769" s="120"/>
      <c r="AW769" s="121"/>
      <c r="AX769" s="120"/>
      <c r="AY769" s="121"/>
      <c r="AZ769" s="138"/>
    </row>
    <row r="770" spans="1:52" ht="17.100000000000001" customHeight="1" thickTop="1">
      <c r="A770" s="109" t="s">
        <v>6122</v>
      </c>
      <c r="B770" s="28">
        <v>45510</v>
      </c>
      <c r="C770" s="25">
        <v>889</v>
      </c>
      <c r="D770" s="13" t="s">
        <v>1920</v>
      </c>
      <c r="E770" s="111"/>
      <c r="F770" s="113" t="s">
        <v>2820</v>
      </c>
      <c r="G770" s="114"/>
      <c r="H770" s="115"/>
      <c r="I770" s="24" t="s">
        <v>2928</v>
      </c>
      <c r="J770" s="116">
        <v>4.5</v>
      </c>
      <c r="K770" s="118">
        <v>1508000</v>
      </c>
      <c r="L770" s="119"/>
      <c r="M770" s="118">
        <f>K770*0.1</f>
        <v>150800</v>
      </c>
      <c r="N770" s="119"/>
      <c r="O770" s="118">
        <v>25300</v>
      </c>
      <c r="P770" s="119"/>
      <c r="Q770" s="118">
        <v>19440</v>
      </c>
      <c r="R770" s="119"/>
      <c r="S770" s="118">
        <v>14850</v>
      </c>
      <c r="T770" s="119"/>
      <c r="U770" s="118">
        <f>SUM(K770:T771)</f>
        <v>1718390</v>
      </c>
      <c r="V770" s="122"/>
      <c r="W770" s="124"/>
      <c r="X770" s="126" t="s">
        <v>2929</v>
      </c>
      <c r="Y770" s="127"/>
      <c r="Z770" s="127"/>
      <c r="AA770" s="127"/>
      <c r="AB770" s="128"/>
      <c r="AC770" s="15" t="s">
        <v>20</v>
      </c>
      <c r="AD770" s="129" t="s">
        <v>2930</v>
      </c>
      <c r="AE770" s="130"/>
      <c r="AF770" s="130"/>
      <c r="AG770" s="130"/>
      <c r="AH770" s="130"/>
      <c r="AI770" s="131"/>
      <c r="AJ770" s="132"/>
      <c r="AK770" s="127"/>
      <c r="AL770" s="128"/>
      <c r="AM770" s="21"/>
      <c r="AN770" s="133"/>
      <c r="AO770" s="134"/>
      <c r="AP770" s="135"/>
      <c r="AQ770" s="136"/>
      <c r="AR770" s="118"/>
      <c r="AS770" s="119"/>
      <c r="AT770" s="180">
        <f>AR770*0.1</f>
        <v>0</v>
      </c>
      <c r="AU770" s="181"/>
      <c r="AV770" s="118"/>
      <c r="AW770" s="119"/>
      <c r="AX770" s="118">
        <f>SUM(AR770:AW770)</f>
        <v>0</v>
      </c>
      <c r="AY770" s="119"/>
      <c r="AZ770" s="137"/>
    </row>
    <row r="771" spans="1:52" ht="17.100000000000001" customHeight="1" thickBot="1">
      <c r="A771" s="110"/>
      <c r="B771" s="27" t="s">
        <v>2931</v>
      </c>
      <c r="C771" s="27">
        <v>5001</v>
      </c>
      <c r="D771" s="14" t="s">
        <v>133</v>
      </c>
      <c r="E771" s="112"/>
      <c r="F771" s="139" t="s">
        <v>2932</v>
      </c>
      <c r="G771" s="140"/>
      <c r="H771" s="141"/>
      <c r="I771" s="26">
        <v>33704</v>
      </c>
      <c r="J771" s="117"/>
      <c r="K771" s="120"/>
      <c r="L771" s="121"/>
      <c r="M771" s="120"/>
      <c r="N771" s="121"/>
      <c r="O771" s="120"/>
      <c r="P771" s="121"/>
      <c r="Q771" s="120"/>
      <c r="R771" s="121"/>
      <c r="S771" s="120"/>
      <c r="T771" s="121"/>
      <c r="U771" s="120"/>
      <c r="V771" s="123"/>
      <c r="W771" s="125"/>
      <c r="X771" s="142" t="s">
        <v>2933</v>
      </c>
      <c r="Y771" s="143"/>
      <c r="Z771" s="143"/>
      <c r="AA771" s="143"/>
      <c r="AB771" s="144"/>
      <c r="AC771" s="16" t="s">
        <v>21</v>
      </c>
      <c r="AD771" s="17" t="s">
        <v>2919</v>
      </c>
      <c r="AE771" s="145" t="s">
        <v>2934</v>
      </c>
      <c r="AF771" s="146"/>
      <c r="AG771" s="146"/>
      <c r="AH771" s="146"/>
      <c r="AI771" s="147"/>
      <c r="AJ771" s="148"/>
      <c r="AK771" s="143"/>
      <c r="AL771" s="144"/>
      <c r="AM771" s="67" t="s">
        <v>907</v>
      </c>
      <c r="AN771" s="149"/>
      <c r="AO771" s="144"/>
      <c r="AP771" s="148"/>
      <c r="AQ771" s="144"/>
      <c r="AR771" s="120"/>
      <c r="AS771" s="121"/>
      <c r="AT771" s="120"/>
      <c r="AU771" s="182"/>
      <c r="AV771" s="120"/>
      <c r="AW771" s="121"/>
      <c r="AX771" s="120"/>
      <c r="AY771" s="121"/>
      <c r="AZ771" s="138"/>
    </row>
    <row r="772" spans="1:52" ht="17.100000000000001" customHeight="1" thickTop="1">
      <c r="A772" s="109" t="s">
        <v>6123</v>
      </c>
      <c r="B772" s="28">
        <v>45513</v>
      </c>
      <c r="C772" s="25">
        <v>2048</v>
      </c>
      <c r="D772" s="13" t="s">
        <v>2737</v>
      </c>
      <c r="E772" s="111"/>
      <c r="F772" s="113" t="s">
        <v>2935</v>
      </c>
      <c r="G772" s="114"/>
      <c r="H772" s="115"/>
      <c r="I772" s="24" t="s">
        <v>2936</v>
      </c>
      <c r="J772" s="116">
        <v>4.5</v>
      </c>
      <c r="K772" s="118">
        <v>3525000</v>
      </c>
      <c r="L772" s="119"/>
      <c r="M772" s="118">
        <f>K772*0.1</f>
        <v>352500</v>
      </c>
      <c r="N772" s="119"/>
      <c r="O772" s="118">
        <v>23100</v>
      </c>
      <c r="P772" s="119"/>
      <c r="Q772" s="118">
        <v>16240</v>
      </c>
      <c r="R772" s="119"/>
      <c r="S772" s="118">
        <v>13200</v>
      </c>
      <c r="T772" s="119"/>
      <c r="U772" s="118">
        <f>SUM(K772:T773)</f>
        <v>3930040</v>
      </c>
      <c r="V772" s="122"/>
      <c r="W772" s="124"/>
      <c r="X772" s="126" t="s">
        <v>2937</v>
      </c>
      <c r="Y772" s="127"/>
      <c r="Z772" s="127"/>
      <c r="AA772" s="127"/>
      <c r="AB772" s="128"/>
      <c r="AC772" s="15" t="s">
        <v>20</v>
      </c>
      <c r="AD772" s="129" t="s">
        <v>1633</v>
      </c>
      <c r="AE772" s="130"/>
      <c r="AF772" s="130"/>
      <c r="AG772" s="130"/>
      <c r="AH772" s="130"/>
      <c r="AI772" s="131"/>
      <c r="AJ772" s="132"/>
      <c r="AK772" s="127"/>
      <c r="AL772" s="128"/>
      <c r="AM772" s="21"/>
      <c r="AN772" s="133"/>
      <c r="AO772" s="134"/>
      <c r="AP772" s="135"/>
      <c r="AQ772" s="136"/>
      <c r="AR772" s="118"/>
      <c r="AS772" s="119"/>
      <c r="AT772" s="180">
        <f>AR772*0.1</f>
        <v>0</v>
      </c>
      <c r="AU772" s="181"/>
      <c r="AV772" s="118"/>
      <c r="AW772" s="119"/>
      <c r="AX772" s="118">
        <f>SUM(AR772:AW772)</f>
        <v>0</v>
      </c>
      <c r="AY772" s="119"/>
      <c r="AZ772" s="137"/>
    </row>
    <row r="773" spans="1:52" ht="17.100000000000001" customHeight="1" thickBot="1">
      <c r="A773" s="110"/>
      <c r="B773" s="27" t="s">
        <v>1543</v>
      </c>
      <c r="C773" s="27">
        <v>35051</v>
      </c>
      <c r="D773" s="14" t="s">
        <v>1592</v>
      </c>
      <c r="E773" s="112"/>
      <c r="F773" s="139" t="s">
        <v>2938</v>
      </c>
      <c r="G773" s="140"/>
      <c r="H773" s="141"/>
      <c r="I773" s="26">
        <v>25015</v>
      </c>
      <c r="J773" s="117"/>
      <c r="K773" s="120"/>
      <c r="L773" s="121"/>
      <c r="M773" s="120"/>
      <c r="N773" s="121"/>
      <c r="O773" s="120"/>
      <c r="P773" s="121"/>
      <c r="Q773" s="120"/>
      <c r="R773" s="121"/>
      <c r="S773" s="120"/>
      <c r="T773" s="121"/>
      <c r="U773" s="120"/>
      <c r="V773" s="123"/>
      <c r="W773" s="125"/>
      <c r="X773" s="142" t="s">
        <v>2939</v>
      </c>
      <c r="Y773" s="143"/>
      <c r="Z773" s="143"/>
      <c r="AA773" s="143"/>
      <c r="AB773" s="144"/>
      <c r="AC773" s="16" t="s">
        <v>21</v>
      </c>
      <c r="AD773" s="17" t="s">
        <v>2940</v>
      </c>
      <c r="AE773" s="145" t="s">
        <v>1742</v>
      </c>
      <c r="AF773" s="146"/>
      <c r="AG773" s="146"/>
      <c r="AH773" s="146"/>
      <c r="AI773" s="147"/>
      <c r="AJ773" s="148"/>
      <c r="AK773" s="143"/>
      <c r="AL773" s="144"/>
      <c r="AM773" s="67" t="s">
        <v>907</v>
      </c>
      <c r="AN773" s="149"/>
      <c r="AO773" s="144"/>
      <c r="AP773" s="148"/>
      <c r="AQ773" s="144"/>
      <c r="AR773" s="120"/>
      <c r="AS773" s="121"/>
      <c r="AT773" s="120"/>
      <c r="AU773" s="182"/>
      <c r="AV773" s="120"/>
      <c r="AW773" s="121"/>
      <c r="AX773" s="120"/>
      <c r="AY773" s="121"/>
      <c r="AZ773" s="138"/>
    </row>
    <row r="774" spans="1:52" ht="17.100000000000001" customHeight="1" thickTop="1">
      <c r="A774" s="109" t="s">
        <v>6124</v>
      </c>
      <c r="B774" s="28">
        <v>45514</v>
      </c>
      <c r="C774" s="25">
        <v>1457</v>
      </c>
      <c r="D774" s="13" t="s">
        <v>2941</v>
      </c>
      <c r="E774" s="111"/>
      <c r="F774" s="113" t="s">
        <v>2942</v>
      </c>
      <c r="G774" s="114"/>
      <c r="H774" s="115"/>
      <c r="I774" s="24" t="s">
        <v>2943</v>
      </c>
      <c r="J774" s="116">
        <v>4.5</v>
      </c>
      <c r="K774" s="118">
        <v>1570000</v>
      </c>
      <c r="L774" s="119"/>
      <c r="M774" s="118">
        <f>K774*0.1</f>
        <v>157000</v>
      </c>
      <c r="N774" s="119"/>
      <c r="O774" s="118">
        <v>25300</v>
      </c>
      <c r="P774" s="119"/>
      <c r="Q774" s="118">
        <v>22240</v>
      </c>
      <c r="R774" s="119"/>
      <c r="S774" s="118">
        <v>13200</v>
      </c>
      <c r="T774" s="119"/>
      <c r="U774" s="118">
        <f>SUM(K774:T775)</f>
        <v>1787740</v>
      </c>
      <c r="V774" s="122"/>
      <c r="W774" s="124"/>
      <c r="X774" s="126" t="s">
        <v>2944</v>
      </c>
      <c r="Y774" s="127"/>
      <c r="Z774" s="127"/>
      <c r="AA774" s="127"/>
      <c r="AB774" s="128"/>
      <c r="AC774" s="15" t="s">
        <v>20</v>
      </c>
      <c r="AD774" s="129"/>
      <c r="AE774" s="130"/>
      <c r="AF774" s="130"/>
      <c r="AG774" s="130"/>
      <c r="AH774" s="130"/>
      <c r="AI774" s="131"/>
      <c r="AJ774" s="132"/>
      <c r="AK774" s="127"/>
      <c r="AL774" s="128"/>
      <c r="AM774" s="21" t="s">
        <v>2945</v>
      </c>
      <c r="AN774" s="133">
        <v>46377</v>
      </c>
      <c r="AO774" s="134"/>
      <c r="AP774" s="135"/>
      <c r="AQ774" s="136"/>
      <c r="AR774" s="118">
        <v>2450000</v>
      </c>
      <c r="AS774" s="119"/>
      <c r="AT774" s="180">
        <v>0</v>
      </c>
      <c r="AU774" s="181"/>
      <c r="AV774" s="118">
        <v>0</v>
      </c>
      <c r="AW774" s="119"/>
      <c r="AX774" s="118">
        <f>SUM(AR774:AW774)</f>
        <v>2450000</v>
      </c>
      <c r="AY774" s="119"/>
      <c r="AZ774" s="137">
        <v>46056</v>
      </c>
    </row>
    <row r="775" spans="1:52" ht="17.100000000000001" customHeight="1" thickBot="1">
      <c r="A775" s="110"/>
      <c r="B775" s="27" t="s">
        <v>1555</v>
      </c>
      <c r="C775" s="27">
        <v>83160</v>
      </c>
      <c r="D775" s="14" t="s">
        <v>1592</v>
      </c>
      <c r="E775" s="112"/>
      <c r="F775" s="139" t="s">
        <v>2946</v>
      </c>
      <c r="G775" s="140"/>
      <c r="H775" s="141"/>
      <c r="I775" s="26">
        <v>56002</v>
      </c>
      <c r="J775" s="117"/>
      <c r="K775" s="120"/>
      <c r="L775" s="121"/>
      <c r="M775" s="120"/>
      <c r="N775" s="121"/>
      <c r="O775" s="120"/>
      <c r="P775" s="121"/>
      <c r="Q775" s="120"/>
      <c r="R775" s="121"/>
      <c r="S775" s="120"/>
      <c r="T775" s="121"/>
      <c r="U775" s="120"/>
      <c r="V775" s="123"/>
      <c r="W775" s="125"/>
      <c r="X775" s="142" t="s">
        <v>2947</v>
      </c>
      <c r="Y775" s="143"/>
      <c r="Z775" s="143"/>
      <c r="AA775" s="143"/>
      <c r="AB775" s="144"/>
      <c r="AC775" s="16" t="s">
        <v>21</v>
      </c>
      <c r="AD775" s="17" t="s">
        <v>2539</v>
      </c>
      <c r="AE775" s="145" t="s">
        <v>2948</v>
      </c>
      <c r="AF775" s="146"/>
      <c r="AG775" s="146"/>
      <c r="AH775" s="146"/>
      <c r="AI775" s="147"/>
      <c r="AJ775" s="148"/>
      <c r="AK775" s="143"/>
      <c r="AL775" s="144"/>
      <c r="AM775" s="22"/>
      <c r="AN775" s="149" t="s">
        <v>21626</v>
      </c>
      <c r="AO775" s="144"/>
      <c r="AP775" s="148"/>
      <c r="AQ775" s="144"/>
      <c r="AR775" s="120"/>
      <c r="AS775" s="121"/>
      <c r="AT775" s="120"/>
      <c r="AU775" s="182"/>
      <c r="AV775" s="120"/>
      <c r="AW775" s="121"/>
      <c r="AX775" s="120"/>
      <c r="AY775" s="121"/>
      <c r="AZ775" s="138"/>
    </row>
    <row r="776" spans="1:52" ht="17.100000000000001" customHeight="1" thickTop="1">
      <c r="A776" s="109" t="s">
        <v>6125</v>
      </c>
      <c r="B776" s="28">
        <v>45523</v>
      </c>
      <c r="C776" s="25"/>
      <c r="D776" s="13" t="s">
        <v>2949</v>
      </c>
      <c r="E776" s="111"/>
      <c r="F776" s="113" t="s">
        <v>2950</v>
      </c>
      <c r="G776" s="114"/>
      <c r="H776" s="115"/>
      <c r="I776" s="24" t="s">
        <v>2936</v>
      </c>
      <c r="J776" s="116">
        <v>4.5</v>
      </c>
      <c r="K776" s="118">
        <f>3762000/1.1</f>
        <v>3419999.9999999995</v>
      </c>
      <c r="L776" s="119"/>
      <c r="M776" s="118">
        <f>K776*0.1</f>
        <v>342000</v>
      </c>
      <c r="N776" s="119"/>
      <c r="O776" s="118">
        <v>25300</v>
      </c>
      <c r="P776" s="119"/>
      <c r="Q776" s="118">
        <v>16550</v>
      </c>
      <c r="R776" s="119"/>
      <c r="S776" s="118">
        <v>149050</v>
      </c>
      <c r="T776" s="119"/>
      <c r="U776" s="118">
        <f>SUM(K776:T777)</f>
        <v>3952899.9999999995</v>
      </c>
      <c r="V776" s="122"/>
      <c r="W776" s="124"/>
      <c r="X776" s="126" t="s">
        <v>2951</v>
      </c>
      <c r="Y776" s="127"/>
      <c r="Z776" s="127"/>
      <c r="AA776" s="127"/>
      <c r="AB776" s="128"/>
      <c r="AC776" s="15" t="s">
        <v>20</v>
      </c>
      <c r="AD776" s="129" t="s">
        <v>1945</v>
      </c>
      <c r="AE776" s="130"/>
      <c r="AF776" s="130"/>
      <c r="AG776" s="130"/>
      <c r="AH776" s="130"/>
      <c r="AI776" s="131"/>
      <c r="AJ776" s="132"/>
      <c r="AK776" s="127"/>
      <c r="AL776" s="128"/>
      <c r="AM776" s="21" t="s">
        <v>2952</v>
      </c>
      <c r="AN776" s="133">
        <v>45955</v>
      </c>
      <c r="AO776" s="134"/>
      <c r="AP776" s="135">
        <v>1273</v>
      </c>
      <c r="AQ776" s="136"/>
      <c r="AR776" s="118">
        <v>3000000</v>
      </c>
      <c r="AS776" s="119"/>
      <c r="AT776" s="180">
        <f>AR776*0.1</f>
        <v>300000</v>
      </c>
      <c r="AU776" s="181"/>
      <c r="AV776" s="118">
        <v>16550</v>
      </c>
      <c r="AW776" s="119"/>
      <c r="AX776" s="118">
        <f>SUM(AR776:AW776)</f>
        <v>3316550</v>
      </c>
      <c r="AY776" s="119"/>
      <c r="AZ776" s="137">
        <v>45965</v>
      </c>
    </row>
    <row r="777" spans="1:52" ht="17.100000000000001" customHeight="1" thickBot="1">
      <c r="A777" s="110"/>
      <c r="B777" s="27" t="s">
        <v>1718</v>
      </c>
      <c r="C777" s="27" t="s">
        <v>2953</v>
      </c>
      <c r="D777" s="14" t="s">
        <v>2601</v>
      </c>
      <c r="E777" s="112"/>
      <c r="F777" s="139" t="s">
        <v>2954</v>
      </c>
      <c r="G777" s="140"/>
      <c r="H777" s="141"/>
      <c r="I777" s="26">
        <v>50825</v>
      </c>
      <c r="J777" s="117"/>
      <c r="K777" s="120"/>
      <c r="L777" s="121"/>
      <c r="M777" s="120"/>
      <c r="N777" s="121"/>
      <c r="O777" s="120"/>
      <c r="P777" s="121"/>
      <c r="Q777" s="120"/>
      <c r="R777" s="121"/>
      <c r="S777" s="120"/>
      <c r="T777" s="121"/>
      <c r="U777" s="120"/>
      <c r="V777" s="123"/>
      <c r="W777" s="125"/>
      <c r="X777" s="142" t="s">
        <v>2955</v>
      </c>
      <c r="Y777" s="143"/>
      <c r="Z777" s="143"/>
      <c r="AA777" s="143"/>
      <c r="AB777" s="144"/>
      <c r="AC777" s="16" t="s">
        <v>21</v>
      </c>
      <c r="AD777" s="17" t="s">
        <v>2956</v>
      </c>
      <c r="AE777" s="145" t="s">
        <v>1614</v>
      </c>
      <c r="AF777" s="146"/>
      <c r="AG777" s="146"/>
      <c r="AH777" s="146"/>
      <c r="AI777" s="147"/>
      <c r="AJ777" s="148"/>
      <c r="AK777" s="143"/>
      <c r="AL777" s="144"/>
      <c r="AM777" s="22"/>
      <c r="AN777" s="149" t="s">
        <v>6748</v>
      </c>
      <c r="AO777" s="144"/>
      <c r="AP777" s="148">
        <v>13177</v>
      </c>
      <c r="AQ777" s="144"/>
      <c r="AR777" s="120"/>
      <c r="AS777" s="121"/>
      <c r="AT777" s="120"/>
      <c r="AU777" s="182"/>
      <c r="AV777" s="120"/>
      <c r="AW777" s="121"/>
      <c r="AX777" s="120"/>
      <c r="AY777" s="121"/>
      <c r="AZ777" s="138"/>
    </row>
    <row r="778" spans="1:52" ht="17.100000000000001" customHeight="1" thickTop="1">
      <c r="A778" s="109" t="s">
        <v>6126</v>
      </c>
      <c r="B778" s="28">
        <v>45525</v>
      </c>
      <c r="C778" s="25">
        <v>1294</v>
      </c>
      <c r="D778" s="13" t="s">
        <v>2442</v>
      </c>
      <c r="E778" s="111"/>
      <c r="F778" s="113" t="s">
        <v>2957</v>
      </c>
      <c r="G778" s="114"/>
      <c r="H778" s="115"/>
      <c r="I778" s="24"/>
      <c r="J778" s="116">
        <v>4.5</v>
      </c>
      <c r="K778" s="118">
        <v>2102000</v>
      </c>
      <c r="L778" s="119"/>
      <c r="M778" s="118">
        <f>K778*0.1</f>
        <v>210200</v>
      </c>
      <c r="N778" s="119"/>
      <c r="O778" s="118">
        <v>0</v>
      </c>
      <c r="P778" s="119"/>
      <c r="Q778" s="118">
        <v>19440</v>
      </c>
      <c r="R778" s="119"/>
      <c r="S778" s="118">
        <v>22000</v>
      </c>
      <c r="T778" s="119"/>
      <c r="U778" s="118">
        <f>SUM(K778:T779)</f>
        <v>2353640</v>
      </c>
      <c r="V778" s="122"/>
      <c r="W778" s="124"/>
      <c r="X778" s="126" t="s">
        <v>2958</v>
      </c>
      <c r="Y778" s="127"/>
      <c r="Z778" s="127"/>
      <c r="AA778" s="127"/>
      <c r="AB778" s="128"/>
      <c r="AC778" s="15" t="s">
        <v>20</v>
      </c>
      <c r="AD778" s="129" t="s">
        <v>2959</v>
      </c>
      <c r="AE778" s="130"/>
      <c r="AF778" s="130"/>
      <c r="AG778" s="130"/>
      <c r="AH778" s="130"/>
      <c r="AI778" s="131"/>
      <c r="AJ778" s="132"/>
      <c r="AK778" s="127"/>
      <c r="AL778" s="128"/>
      <c r="AM778" s="21"/>
      <c r="AN778" s="133"/>
      <c r="AO778" s="134"/>
      <c r="AP778" s="135"/>
      <c r="AQ778" s="136"/>
      <c r="AR778" s="118"/>
      <c r="AS778" s="119"/>
      <c r="AT778" s="180">
        <f>AR778*0.1</f>
        <v>0</v>
      </c>
      <c r="AU778" s="181"/>
      <c r="AV778" s="118"/>
      <c r="AW778" s="119"/>
      <c r="AX778" s="118">
        <f>SUM(AR778:AW778)</f>
        <v>0</v>
      </c>
      <c r="AY778" s="119"/>
      <c r="AZ778" s="137"/>
    </row>
    <row r="779" spans="1:52" ht="17.100000000000001" customHeight="1" thickBot="1">
      <c r="A779" s="110"/>
      <c r="B779" s="27" t="s">
        <v>2454</v>
      </c>
      <c r="C779" s="27">
        <v>8029</v>
      </c>
      <c r="D779" s="14" t="s">
        <v>133</v>
      </c>
      <c r="E779" s="112"/>
      <c r="F779" s="139" t="s">
        <v>2960</v>
      </c>
      <c r="G779" s="140"/>
      <c r="H779" s="141"/>
      <c r="I779" s="26">
        <v>48872</v>
      </c>
      <c r="J779" s="117"/>
      <c r="K779" s="120"/>
      <c r="L779" s="121"/>
      <c r="M779" s="120"/>
      <c r="N779" s="121"/>
      <c r="O779" s="120"/>
      <c r="P779" s="121"/>
      <c r="Q779" s="120"/>
      <c r="R779" s="121"/>
      <c r="S779" s="120"/>
      <c r="T779" s="121"/>
      <c r="U779" s="120"/>
      <c r="V779" s="123"/>
      <c r="W779" s="125"/>
      <c r="X779" s="142" t="s">
        <v>2961</v>
      </c>
      <c r="Y779" s="143"/>
      <c r="Z779" s="143"/>
      <c r="AA779" s="143"/>
      <c r="AB779" s="144"/>
      <c r="AC779" s="16" t="s">
        <v>21</v>
      </c>
      <c r="AD779" s="17" t="s">
        <v>2962</v>
      </c>
      <c r="AE779" s="145" t="s">
        <v>2750</v>
      </c>
      <c r="AF779" s="146"/>
      <c r="AG779" s="146"/>
      <c r="AH779" s="146"/>
      <c r="AI779" s="147"/>
      <c r="AJ779" s="148"/>
      <c r="AK779" s="143"/>
      <c r="AL779" s="144"/>
      <c r="AM779" s="22"/>
      <c r="AN779" s="149"/>
      <c r="AO779" s="144"/>
      <c r="AP779" s="148"/>
      <c r="AQ779" s="144"/>
      <c r="AR779" s="120"/>
      <c r="AS779" s="121"/>
      <c r="AT779" s="120"/>
      <c r="AU779" s="182"/>
      <c r="AV779" s="120"/>
      <c r="AW779" s="121"/>
      <c r="AX779" s="120"/>
      <c r="AY779" s="121"/>
      <c r="AZ779" s="138"/>
    </row>
    <row r="780" spans="1:52" ht="17.100000000000001" customHeight="1" thickTop="1">
      <c r="A780" s="109" t="s">
        <v>6127</v>
      </c>
      <c r="B780" s="28">
        <v>45528</v>
      </c>
      <c r="C780" s="25">
        <v>1215</v>
      </c>
      <c r="D780" s="13" t="s">
        <v>2963</v>
      </c>
      <c r="E780" s="111"/>
      <c r="F780" s="113" t="s">
        <v>2964</v>
      </c>
      <c r="G780" s="114"/>
      <c r="H780" s="115"/>
      <c r="I780" s="24" t="s">
        <v>2508</v>
      </c>
      <c r="J780" s="116">
        <v>4.5</v>
      </c>
      <c r="K780" s="118">
        <v>2105000</v>
      </c>
      <c r="L780" s="119"/>
      <c r="M780" s="118">
        <f>K780*0.1</f>
        <v>210500</v>
      </c>
      <c r="N780" s="119"/>
      <c r="O780" s="118">
        <v>19470</v>
      </c>
      <c r="P780" s="119"/>
      <c r="Q780" s="118">
        <v>17600</v>
      </c>
      <c r="R780" s="119"/>
      <c r="S780" s="118">
        <v>13200</v>
      </c>
      <c r="T780" s="119"/>
      <c r="U780" s="118">
        <f>SUM(K780:T781)</f>
        <v>2365770</v>
      </c>
      <c r="V780" s="122"/>
      <c r="W780" s="124"/>
      <c r="X780" s="126" t="s">
        <v>2965</v>
      </c>
      <c r="Y780" s="127"/>
      <c r="Z780" s="127"/>
      <c r="AA780" s="127"/>
      <c r="AB780" s="128"/>
      <c r="AC780" s="15" t="s">
        <v>20</v>
      </c>
      <c r="AD780" s="129" t="s">
        <v>1732</v>
      </c>
      <c r="AE780" s="130"/>
      <c r="AF780" s="130"/>
      <c r="AG780" s="130"/>
      <c r="AH780" s="130"/>
      <c r="AI780" s="131"/>
      <c r="AJ780" s="132"/>
      <c r="AK780" s="127"/>
      <c r="AL780" s="128"/>
      <c r="AM780" s="21" t="s">
        <v>2966</v>
      </c>
      <c r="AN780" s="133"/>
      <c r="AO780" s="134"/>
      <c r="AP780" s="135"/>
      <c r="AQ780" s="136"/>
      <c r="AR780" s="118"/>
      <c r="AS780" s="119"/>
      <c r="AT780" s="180">
        <f>AR780*0.1</f>
        <v>0</v>
      </c>
      <c r="AU780" s="181"/>
      <c r="AV780" s="118"/>
      <c r="AW780" s="119"/>
      <c r="AX780" s="118">
        <f>SUM(AR780:AW780)</f>
        <v>0</v>
      </c>
      <c r="AY780" s="119"/>
      <c r="AZ780" s="137"/>
    </row>
    <row r="781" spans="1:52" ht="17.100000000000001" customHeight="1" thickBot="1">
      <c r="A781" s="110"/>
      <c r="B781" s="27" t="s">
        <v>2511</v>
      </c>
      <c r="C781" s="27">
        <v>82734</v>
      </c>
      <c r="D781" s="14" t="s">
        <v>1592</v>
      </c>
      <c r="E781" s="112"/>
      <c r="F781" s="139" t="s">
        <v>2967</v>
      </c>
      <c r="G781" s="140"/>
      <c r="H781" s="141"/>
      <c r="I781" s="26">
        <v>41227</v>
      </c>
      <c r="J781" s="117"/>
      <c r="K781" s="120"/>
      <c r="L781" s="121"/>
      <c r="M781" s="120"/>
      <c r="N781" s="121"/>
      <c r="O781" s="120"/>
      <c r="P781" s="121"/>
      <c r="Q781" s="120"/>
      <c r="R781" s="121"/>
      <c r="S781" s="120"/>
      <c r="T781" s="121"/>
      <c r="U781" s="120"/>
      <c r="V781" s="123"/>
      <c r="W781" s="125"/>
      <c r="X781" s="142" t="s">
        <v>2968</v>
      </c>
      <c r="Y781" s="143"/>
      <c r="Z781" s="143"/>
      <c r="AA781" s="143"/>
      <c r="AB781" s="144"/>
      <c r="AC781" s="16" t="s">
        <v>21</v>
      </c>
      <c r="AD781" s="17" t="s">
        <v>2969</v>
      </c>
      <c r="AE781" s="145" t="s">
        <v>1614</v>
      </c>
      <c r="AF781" s="146"/>
      <c r="AG781" s="146"/>
      <c r="AH781" s="146"/>
      <c r="AI781" s="147"/>
      <c r="AJ781" s="148"/>
      <c r="AK781" s="143"/>
      <c r="AL781" s="144"/>
      <c r="AM781" s="22"/>
      <c r="AN781" s="149"/>
      <c r="AO781" s="144"/>
      <c r="AP781" s="148"/>
      <c r="AQ781" s="144"/>
      <c r="AR781" s="120"/>
      <c r="AS781" s="121"/>
      <c r="AT781" s="120"/>
      <c r="AU781" s="182"/>
      <c r="AV781" s="120"/>
      <c r="AW781" s="121"/>
      <c r="AX781" s="120"/>
      <c r="AY781" s="121"/>
      <c r="AZ781" s="138"/>
    </row>
    <row r="782" spans="1:52" ht="17.100000000000001" customHeight="1" thickTop="1">
      <c r="A782" s="109" t="s">
        <v>6128</v>
      </c>
      <c r="B782" s="28">
        <v>45534</v>
      </c>
      <c r="C782" s="25">
        <v>2050</v>
      </c>
      <c r="D782" s="13" t="s">
        <v>2970</v>
      </c>
      <c r="E782" s="111"/>
      <c r="F782" s="113" t="s">
        <v>2971</v>
      </c>
      <c r="G782" s="114"/>
      <c r="H782" s="115"/>
      <c r="I782" s="24" t="s">
        <v>2943</v>
      </c>
      <c r="J782" s="116">
        <v>4</v>
      </c>
      <c r="K782" s="118">
        <v>3295000</v>
      </c>
      <c r="L782" s="119"/>
      <c r="M782" s="118">
        <f>K782*0.1</f>
        <v>329500</v>
      </c>
      <c r="N782" s="119"/>
      <c r="O782" s="118">
        <v>23100</v>
      </c>
      <c r="P782" s="119"/>
      <c r="Q782" s="118">
        <v>19560</v>
      </c>
      <c r="R782" s="119"/>
      <c r="S782" s="118">
        <v>13200</v>
      </c>
      <c r="T782" s="119"/>
      <c r="U782" s="118">
        <f>SUM(K782:T783)</f>
        <v>3680360</v>
      </c>
      <c r="V782" s="122"/>
      <c r="W782" s="124"/>
      <c r="X782" s="126" t="s">
        <v>2972</v>
      </c>
      <c r="Y782" s="127"/>
      <c r="Z782" s="127"/>
      <c r="AA782" s="127"/>
      <c r="AB782" s="128"/>
      <c r="AC782" s="15" t="s">
        <v>20</v>
      </c>
      <c r="AD782" s="129" t="s">
        <v>1633</v>
      </c>
      <c r="AE782" s="130"/>
      <c r="AF782" s="130"/>
      <c r="AG782" s="130"/>
      <c r="AH782" s="130"/>
      <c r="AI782" s="131"/>
      <c r="AJ782" s="132"/>
      <c r="AK782" s="127"/>
      <c r="AL782" s="128"/>
      <c r="AM782" s="21" t="s">
        <v>2973</v>
      </c>
      <c r="AN782" s="133"/>
      <c r="AO782" s="134"/>
      <c r="AP782" s="135"/>
      <c r="AQ782" s="136"/>
      <c r="AR782" s="118"/>
      <c r="AS782" s="119"/>
      <c r="AT782" s="180">
        <f>AR782*0.1</f>
        <v>0</v>
      </c>
      <c r="AU782" s="181"/>
      <c r="AV782" s="118"/>
      <c r="AW782" s="119"/>
      <c r="AX782" s="118">
        <f>SUM(AR782:AW782)</f>
        <v>0</v>
      </c>
      <c r="AY782" s="119"/>
      <c r="AZ782" s="137"/>
    </row>
    <row r="783" spans="1:52" ht="17.100000000000001" customHeight="1" thickBot="1">
      <c r="A783" s="110"/>
      <c r="B783" s="27" t="s">
        <v>1543</v>
      </c>
      <c r="C783" s="27">
        <v>35191</v>
      </c>
      <c r="D783" s="14" t="s">
        <v>1700</v>
      </c>
      <c r="E783" s="112"/>
      <c r="F783" s="139" t="s">
        <v>2974</v>
      </c>
      <c r="G783" s="140"/>
      <c r="H783" s="141"/>
      <c r="I783" s="26">
        <v>39474</v>
      </c>
      <c r="J783" s="117"/>
      <c r="K783" s="120"/>
      <c r="L783" s="121"/>
      <c r="M783" s="120"/>
      <c r="N783" s="121"/>
      <c r="O783" s="120"/>
      <c r="P783" s="121"/>
      <c r="Q783" s="120"/>
      <c r="R783" s="121"/>
      <c r="S783" s="120"/>
      <c r="T783" s="121"/>
      <c r="U783" s="120"/>
      <c r="V783" s="123"/>
      <c r="W783" s="125"/>
      <c r="X783" s="142" t="s">
        <v>2975</v>
      </c>
      <c r="Y783" s="143"/>
      <c r="Z783" s="143"/>
      <c r="AA783" s="143"/>
      <c r="AB783" s="144"/>
      <c r="AC783" s="16" t="s">
        <v>21</v>
      </c>
      <c r="AD783" s="17" t="s">
        <v>2976</v>
      </c>
      <c r="AE783" s="145" t="s">
        <v>1742</v>
      </c>
      <c r="AF783" s="146"/>
      <c r="AG783" s="146"/>
      <c r="AH783" s="146"/>
      <c r="AI783" s="147"/>
      <c r="AJ783" s="148"/>
      <c r="AK783" s="143"/>
      <c r="AL783" s="144"/>
      <c r="AM783" s="22"/>
      <c r="AN783" s="149"/>
      <c r="AO783" s="144"/>
      <c r="AP783" s="148"/>
      <c r="AQ783" s="144"/>
      <c r="AR783" s="120"/>
      <c r="AS783" s="121"/>
      <c r="AT783" s="120"/>
      <c r="AU783" s="182"/>
      <c r="AV783" s="120"/>
      <c r="AW783" s="121"/>
      <c r="AX783" s="120"/>
      <c r="AY783" s="121"/>
      <c r="AZ783" s="138"/>
    </row>
    <row r="784" spans="1:52" ht="17.100000000000001" customHeight="1" thickTop="1">
      <c r="A784" s="109" t="s">
        <v>6129</v>
      </c>
      <c r="B784" s="28">
        <v>45534</v>
      </c>
      <c r="C784" s="25">
        <v>2050</v>
      </c>
      <c r="D784" s="13" t="s">
        <v>2616</v>
      </c>
      <c r="E784" s="111"/>
      <c r="F784" s="113" t="s">
        <v>1587</v>
      </c>
      <c r="G784" s="114"/>
      <c r="H784" s="115"/>
      <c r="I784" s="24" t="s">
        <v>2977</v>
      </c>
      <c r="J784" s="116">
        <v>4.5</v>
      </c>
      <c r="K784" s="118">
        <v>2005000</v>
      </c>
      <c r="L784" s="119"/>
      <c r="M784" s="118">
        <f>K784*0.1</f>
        <v>200500</v>
      </c>
      <c r="N784" s="119"/>
      <c r="O784" s="118">
        <v>23100</v>
      </c>
      <c r="P784" s="119"/>
      <c r="Q784" s="118">
        <v>16240</v>
      </c>
      <c r="R784" s="119"/>
      <c r="S784" s="118">
        <v>13200</v>
      </c>
      <c r="T784" s="119"/>
      <c r="U784" s="118">
        <f>SUM(K784:T785)</f>
        <v>2258040</v>
      </c>
      <c r="V784" s="122"/>
      <c r="W784" s="124"/>
      <c r="X784" s="126" t="s">
        <v>2978</v>
      </c>
      <c r="Y784" s="127"/>
      <c r="Z784" s="127"/>
      <c r="AA784" s="127"/>
      <c r="AB784" s="128"/>
      <c r="AC784" s="15" t="s">
        <v>20</v>
      </c>
      <c r="AD784" s="129" t="s">
        <v>171</v>
      </c>
      <c r="AE784" s="130"/>
      <c r="AF784" s="130"/>
      <c r="AG784" s="130"/>
      <c r="AH784" s="130"/>
      <c r="AI784" s="131"/>
      <c r="AJ784" s="132"/>
      <c r="AK784" s="127"/>
      <c r="AL784" s="128"/>
      <c r="AM784" s="21"/>
      <c r="AN784" s="133"/>
      <c r="AO784" s="134"/>
      <c r="AP784" s="135"/>
      <c r="AQ784" s="136"/>
      <c r="AR784" s="118"/>
      <c r="AS784" s="119"/>
      <c r="AT784" s="180">
        <f>AR784*0.1</f>
        <v>0</v>
      </c>
      <c r="AU784" s="181"/>
      <c r="AV784" s="118"/>
      <c r="AW784" s="119"/>
      <c r="AX784" s="118">
        <f>SUM(AR784:AW784)</f>
        <v>0</v>
      </c>
      <c r="AY784" s="119"/>
      <c r="AZ784" s="137"/>
    </row>
    <row r="785" spans="1:52" ht="17.100000000000001" customHeight="1" thickBot="1">
      <c r="A785" s="110"/>
      <c r="B785" s="27" t="s">
        <v>1543</v>
      </c>
      <c r="C785" s="27">
        <v>58482</v>
      </c>
      <c r="D785" s="14" t="s">
        <v>133</v>
      </c>
      <c r="E785" s="112"/>
      <c r="F785" s="139" t="s">
        <v>2979</v>
      </c>
      <c r="G785" s="140"/>
      <c r="H785" s="141"/>
      <c r="I785" s="26">
        <v>41734</v>
      </c>
      <c r="J785" s="117"/>
      <c r="K785" s="120"/>
      <c r="L785" s="121"/>
      <c r="M785" s="120"/>
      <c r="N785" s="121"/>
      <c r="O785" s="120"/>
      <c r="P785" s="121"/>
      <c r="Q785" s="120"/>
      <c r="R785" s="121"/>
      <c r="S785" s="120"/>
      <c r="T785" s="121"/>
      <c r="U785" s="120"/>
      <c r="V785" s="123"/>
      <c r="W785" s="125"/>
      <c r="X785" s="142" t="s">
        <v>2968</v>
      </c>
      <c r="Y785" s="143"/>
      <c r="Z785" s="143"/>
      <c r="AA785" s="143"/>
      <c r="AB785" s="144"/>
      <c r="AC785" s="16" t="s">
        <v>21</v>
      </c>
      <c r="AD785" s="17" t="s">
        <v>2976</v>
      </c>
      <c r="AE785" s="145" t="s">
        <v>2980</v>
      </c>
      <c r="AF785" s="146"/>
      <c r="AG785" s="146"/>
      <c r="AH785" s="146"/>
      <c r="AI785" s="147"/>
      <c r="AJ785" s="148"/>
      <c r="AK785" s="143"/>
      <c r="AL785" s="144"/>
      <c r="AM785" s="67" t="s">
        <v>51</v>
      </c>
      <c r="AN785" s="149"/>
      <c r="AO785" s="144"/>
      <c r="AP785" s="148"/>
      <c r="AQ785" s="144"/>
      <c r="AR785" s="120"/>
      <c r="AS785" s="121"/>
      <c r="AT785" s="120"/>
      <c r="AU785" s="182"/>
      <c r="AV785" s="120"/>
      <c r="AW785" s="121"/>
      <c r="AX785" s="120"/>
      <c r="AY785" s="121"/>
      <c r="AZ785" s="138"/>
    </row>
    <row r="786" spans="1:52" ht="17.100000000000001" customHeight="1" thickTop="1">
      <c r="A786" s="109" t="s">
        <v>6130</v>
      </c>
      <c r="B786" s="28">
        <v>45540</v>
      </c>
      <c r="C786" s="25">
        <v>1943</v>
      </c>
      <c r="D786" s="13" t="s">
        <v>2981</v>
      </c>
      <c r="E786" s="111"/>
      <c r="F786" s="113" t="s">
        <v>2982</v>
      </c>
      <c r="G786" s="114"/>
      <c r="H786" s="115"/>
      <c r="I786" s="24" t="s">
        <v>2415</v>
      </c>
      <c r="J786" s="116">
        <v>3.5</v>
      </c>
      <c r="K786" s="118">
        <v>884000</v>
      </c>
      <c r="L786" s="119"/>
      <c r="M786" s="118">
        <f>K786*0.1</f>
        <v>88400</v>
      </c>
      <c r="N786" s="119"/>
      <c r="O786" s="118">
        <v>0</v>
      </c>
      <c r="P786" s="119"/>
      <c r="Q786" s="118">
        <v>8540</v>
      </c>
      <c r="R786" s="119"/>
      <c r="S786" s="118">
        <v>22000</v>
      </c>
      <c r="T786" s="119"/>
      <c r="U786" s="118">
        <f>SUM(K786:T787)</f>
        <v>1002940</v>
      </c>
      <c r="V786" s="122"/>
      <c r="W786" s="124"/>
      <c r="X786" s="126" t="s">
        <v>2983</v>
      </c>
      <c r="Y786" s="127"/>
      <c r="Z786" s="127"/>
      <c r="AA786" s="127"/>
      <c r="AB786" s="128"/>
      <c r="AC786" s="15" t="s">
        <v>20</v>
      </c>
      <c r="AD786" s="129" t="s">
        <v>1581</v>
      </c>
      <c r="AE786" s="130"/>
      <c r="AF786" s="130"/>
      <c r="AG786" s="130"/>
      <c r="AH786" s="130"/>
      <c r="AI786" s="131"/>
      <c r="AJ786" s="132"/>
      <c r="AK786" s="127"/>
      <c r="AL786" s="128"/>
      <c r="AM786" s="21" t="s">
        <v>2984</v>
      </c>
      <c r="AN786" s="133">
        <v>45969</v>
      </c>
      <c r="AO786" s="134"/>
      <c r="AP786" s="135">
        <v>1275</v>
      </c>
      <c r="AQ786" s="136"/>
      <c r="AR786" s="118">
        <v>755000</v>
      </c>
      <c r="AS786" s="119"/>
      <c r="AT786" s="180">
        <f>AR786*0.1</f>
        <v>75500</v>
      </c>
      <c r="AU786" s="181"/>
      <c r="AV786" s="118">
        <v>8540</v>
      </c>
      <c r="AW786" s="119"/>
      <c r="AX786" s="118">
        <f>SUM(AR786:AW786)</f>
        <v>839040</v>
      </c>
      <c r="AY786" s="119"/>
      <c r="AZ786" s="137">
        <v>45972</v>
      </c>
    </row>
    <row r="787" spans="1:52" ht="17.100000000000001" customHeight="1" thickBot="1">
      <c r="A787" s="110"/>
      <c r="B787" s="27" t="s">
        <v>2727</v>
      </c>
      <c r="C787" s="27">
        <v>50208</v>
      </c>
      <c r="D787" s="14" t="s">
        <v>1576</v>
      </c>
      <c r="E787" s="112"/>
      <c r="F787" s="139" t="s">
        <v>2985</v>
      </c>
      <c r="G787" s="140"/>
      <c r="H787" s="141"/>
      <c r="I787" s="26">
        <v>54620</v>
      </c>
      <c r="J787" s="117"/>
      <c r="K787" s="120"/>
      <c r="L787" s="121"/>
      <c r="M787" s="120"/>
      <c r="N787" s="121"/>
      <c r="O787" s="120"/>
      <c r="P787" s="121"/>
      <c r="Q787" s="120"/>
      <c r="R787" s="121"/>
      <c r="S787" s="120"/>
      <c r="T787" s="121"/>
      <c r="U787" s="120"/>
      <c r="V787" s="123"/>
      <c r="W787" s="125"/>
      <c r="X787" s="142" t="s">
        <v>2918</v>
      </c>
      <c r="Y787" s="143"/>
      <c r="Z787" s="143"/>
      <c r="AA787" s="143"/>
      <c r="AB787" s="144"/>
      <c r="AC787" s="16" t="s">
        <v>21</v>
      </c>
      <c r="AD787" s="17" t="s">
        <v>2127</v>
      </c>
      <c r="AE787" s="145" t="s">
        <v>1581</v>
      </c>
      <c r="AF787" s="146"/>
      <c r="AG787" s="146"/>
      <c r="AH787" s="146"/>
      <c r="AI787" s="147"/>
      <c r="AJ787" s="148" t="s">
        <v>2986</v>
      </c>
      <c r="AK787" s="143"/>
      <c r="AL787" s="144"/>
      <c r="AM787" s="22"/>
      <c r="AN787" s="149" t="s">
        <v>2511</v>
      </c>
      <c r="AO787" s="144"/>
      <c r="AP787" s="148">
        <v>60051</v>
      </c>
      <c r="AQ787" s="144"/>
      <c r="AR787" s="120"/>
      <c r="AS787" s="121"/>
      <c r="AT787" s="120"/>
      <c r="AU787" s="182"/>
      <c r="AV787" s="120"/>
      <c r="AW787" s="121"/>
      <c r="AX787" s="120"/>
      <c r="AY787" s="121"/>
      <c r="AZ787" s="138"/>
    </row>
    <row r="788" spans="1:52" ht="17.100000000000001" customHeight="1" thickTop="1">
      <c r="A788" s="109" t="s">
        <v>6131</v>
      </c>
      <c r="B788" s="28">
        <v>45540</v>
      </c>
      <c r="C788" s="25">
        <v>2075</v>
      </c>
      <c r="D788" s="13" t="s">
        <v>1902</v>
      </c>
      <c r="E788" s="111"/>
      <c r="F788" s="113" t="s">
        <v>2987</v>
      </c>
      <c r="G788" s="114"/>
      <c r="H788" s="115"/>
      <c r="I788" s="24" t="s">
        <v>2988</v>
      </c>
      <c r="J788" s="116">
        <v>4</v>
      </c>
      <c r="K788" s="118">
        <v>862000</v>
      </c>
      <c r="L788" s="119"/>
      <c r="M788" s="118">
        <f>K788*0.1</f>
        <v>86200</v>
      </c>
      <c r="N788" s="119"/>
      <c r="O788" s="118">
        <v>0</v>
      </c>
      <c r="P788" s="119"/>
      <c r="Q788" s="118">
        <v>7510</v>
      </c>
      <c r="R788" s="119"/>
      <c r="S788" s="118">
        <v>13750</v>
      </c>
      <c r="T788" s="119"/>
      <c r="U788" s="118">
        <f>SUM(K788:T789)</f>
        <v>969460</v>
      </c>
      <c r="V788" s="122"/>
      <c r="W788" s="124"/>
      <c r="X788" s="126" t="s">
        <v>2989</v>
      </c>
      <c r="Y788" s="127"/>
      <c r="Z788" s="127"/>
      <c r="AA788" s="127"/>
      <c r="AB788" s="128"/>
      <c r="AC788" s="15" t="s">
        <v>20</v>
      </c>
      <c r="AD788" s="129" t="s">
        <v>2655</v>
      </c>
      <c r="AE788" s="130"/>
      <c r="AF788" s="130"/>
      <c r="AG788" s="130"/>
      <c r="AH788" s="130"/>
      <c r="AI788" s="131"/>
      <c r="AJ788" s="132"/>
      <c r="AK788" s="127"/>
      <c r="AL788" s="128"/>
      <c r="AM788" s="21" t="s">
        <v>2990</v>
      </c>
      <c r="AN788" s="133"/>
      <c r="AO788" s="134"/>
      <c r="AP788" s="135"/>
      <c r="AQ788" s="136"/>
      <c r="AR788" s="118"/>
      <c r="AS788" s="119"/>
      <c r="AT788" s="180">
        <f>AR788*0.1</f>
        <v>0</v>
      </c>
      <c r="AU788" s="181"/>
      <c r="AV788" s="118"/>
      <c r="AW788" s="119"/>
      <c r="AX788" s="118">
        <f>SUM(AR788:AW788)</f>
        <v>0</v>
      </c>
      <c r="AY788" s="119"/>
      <c r="AZ788" s="137"/>
    </row>
    <row r="789" spans="1:52" ht="17.100000000000001" customHeight="1" thickBot="1">
      <c r="A789" s="110"/>
      <c r="B789" s="27" t="s">
        <v>1940</v>
      </c>
      <c r="C789" s="27">
        <v>2515</v>
      </c>
      <c r="D789" s="14" t="s">
        <v>275</v>
      </c>
      <c r="E789" s="112"/>
      <c r="F789" s="139" t="s">
        <v>2991</v>
      </c>
      <c r="G789" s="140"/>
      <c r="H789" s="141"/>
      <c r="I789" s="26">
        <v>41207</v>
      </c>
      <c r="J789" s="117"/>
      <c r="K789" s="120"/>
      <c r="L789" s="121"/>
      <c r="M789" s="120"/>
      <c r="N789" s="121"/>
      <c r="O789" s="120"/>
      <c r="P789" s="121"/>
      <c r="Q789" s="120"/>
      <c r="R789" s="121"/>
      <c r="S789" s="120"/>
      <c r="T789" s="121"/>
      <c r="U789" s="120"/>
      <c r="V789" s="123"/>
      <c r="W789" s="125"/>
      <c r="X789" s="142" t="s">
        <v>2992</v>
      </c>
      <c r="Y789" s="143"/>
      <c r="Z789" s="143"/>
      <c r="AA789" s="143"/>
      <c r="AB789" s="144"/>
      <c r="AC789" s="16" t="s">
        <v>21</v>
      </c>
      <c r="AD789" s="17" t="s">
        <v>2584</v>
      </c>
      <c r="AE789" s="145" t="s">
        <v>2655</v>
      </c>
      <c r="AF789" s="146"/>
      <c r="AG789" s="146"/>
      <c r="AH789" s="146"/>
      <c r="AI789" s="147"/>
      <c r="AJ789" s="148"/>
      <c r="AK789" s="143"/>
      <c r="AL789" s="144"/>
      <c r="AM789" s="22"/>
      <c r="AN789" s="149"/>
      <c r="AO789" s="144"/>
      <c r="AP789" s="148"/>
      <c r="AQ789" s="144"/>
      <c r="AR789" s="120"/>
      <c r="AS789" s="121"/>
      <c r="AT789" s="120"/>
      <c r="AU789" s="182"/>
      <c r="AV789" s="120"/>
      <c r="AW789" s="121"/>
      <c r="AX789" s="120"/>
      <c r="AY789" s="121"/>
      <c r="AZ789" s="138"/>
    </row>
    <row r="790" spans="1:52" ht="17.100000000000001" customHeight="1" thickTop="1">
      <c r="A790" s="109" t="s">
        <v>6132</v>
      </c>
      <c r="B790" s="28">
        <v>45540</v>
      </c>
      <c r="C790" s="25">
        <v>2075</v>
      </c>
      <c r="D790" s="13" t="s">
        <v>1767</v>
      </c>
      <c r="E790" s="111"/>
      <c r="F790" s="113" t="s">
        <v>2993</v>
      </c>
      <c r="G790" s="114"/>
      <c r="H790" s="115"/>
      <c r="I790" s="24"/>
      <c r="J790" s="116">
        <v>4</v>
      </c>
      <c r="K790" s="118">
        <v>777000</v>
      </c>
      <c r="L790" s="119"/>
      <c r="M790" s="118">
        <f>K790*0.1</f>
        <v>77700</v>
      </c>
      <c r="N790" s="119"/>
      <c r="O790" s="118">
        <v>0</v>
      </c>
      <c r="P790" s="119"/>
      <c r="Q790" s="118">
        <v>8400</v>
      </c>
      <c r="R790" s="119"/>
      <c r="S790" s="118">
        <v>13750</v>
      </c>
      <c r="T790" s="119"/>
      <c r="U790" s="118">
        <f>SUM(K790:T791)</f>
        <v>876850</v>
      </c>
      <c r="V790" s="122"/>
      <c r="W790" s="124"/>
      <c r="X790" s="126" t="s">
        <v>2994</v>
      </c>
      <c r="Y790" s="127"/>
      <c r="Z790" s="127"/>
      <c r="AA790" s="127"/>
      <c r="AB790" s="128"/>
      <c r="AC790" s="15" t="s">
        <v>2995</v>
      </c>
      <c r="AD790" s="129"/>
      <c r="AE790" s="130"/>
      <c r="AF790" s="130"/>
      <c r="AG790" s="130"/>
      <c r="AH790" s="130"/>
      <c r="AI790" s="131"/>
      <c r="AJ790" s="132"/>
      <c r="AK790" s="127"/>
      <c r="AL790" s="128"/>
      <c r="AM790" s="21"/>
      <c r="AN790" s="133">
        <v>45932</v>
      </c>
      <c r="AO790" s="134"/>
      <c r="AP790" s="135"/>
      <c r="AQ790" s="136"/>
      <c r="AR790" s="118">
        <v>810000</v>
      </c>
      <c r="AS790" s="119"/>
      <c r="AT790" s="180">
        <f>AR790*0.1</f>
        <v>81000</v>
      </c>
      <c r="AU790" s="181"/>
      <c r="AV790" s="118">
        <v>8400</v>
      </c>
      <c r="AW790" s="119"/>
      <c r="AX790" s="118">
        <f>SUM(AR790:AW790)</f>
        <v>899400</v>
      </c>
      <c r="AY790" s="119"/>
      <c r="AZ790" s="137"/>
    </row>
    <row r="791" spans="1:52" ht="17.100000000000001" customHeight="1" thickBot="1">
      <c r="A791" s="110"/>
      <c r="B791" s="27" t="s">
        <v>1940</v>
      </c>
      <c r="C791" s="27">
        <v>2534</v>
      </c>
      <c r="D791" s="14" t="s">
        <v>1576</v>
      </c>
      <c r="E791" s="112"/>
      <c r="F791" s="139" t="s">
        <v>2996</v>
      </c>
      <c r="G791" s="140"/>
      <c r="H791" s="141"/>
      <c r="I791" s="26">
        <v>34566</v>
      </c>
      <c r="J791" s="117"/>
      <c r="K791" s="120"/>
      <c r="L791" s="121"/>
      <c r="M791" s="120"/>
      <c r="N791" s="121"/>
      <c r="O791" s="120"/>
      <c r="P791" s="121"/>
      <c r="Q791" s="120"/>
      <c r="R791" s="121"/>
      <c r="S791" s="120"/>
      <c r="T791" s="121"/>
      <c r="U791" s="120"/>
      <c r="V791" s="123"/>
      <c r="W791" s="125"/>
      <c r="X791" s="142" t="s">
        <v>2997</v>
      </c>
      <c r="Y791" s="143"/>
      <c r="Z791" s="143"/>
      <c r="AA791" s="143"/>
      <c r="AB791" s="144"/>
      <c r="AC791" s="16" t="s">
        <v>21</v>
      </c>
      <c r="AD791" s="17" t="s">
        <v>2584</v>
      </c>
      <c r="AE791" s="145"/>
      <c r="AF791" s="146"/>
      <c r="AG791" s="146"/>
      <c r="AH791" s="146"/>
      <c r="AI791" s="147"/>
      <c r="AJ791" s="148"/>
      <c r="AK791" s="143"/>
      <c r="AL791" s="144"/>
      <c r="AM791" s="22"/>
      <c r="AN791" s="149" t="s">
        <v>6789</v>
      </c>
      <c r="AO791" s="144"/>
      <c r="AP791" s="148">
        <v>35915</v>
      </c>
      <c r="AQ791" s="144"/>
      <c r="AR791" s="120"/>
      <c r="AS791" s="121"/>
      <c r="AT791" s="120"/>
      <c r="AU791" s="182"/>
      <c r="AV791" s="120"/>
      <c r="AW791" s="121"/>
      <c r="AX791" s="120"/>
      <c r="AY791" s="121"/>
      <c r="AZ791" s="138"/>
    </row>
    <row r="792" spans="1:52" ht="17.100000000000001" customHeight="1" thickTop="1">
      <c r="A792" s="109" t="s">
        <v>6133</v>
      </c>
      <c r="B792" s="28">
        <v>45544</v>
      </c>
      <c r="C792" s="25">
        <v>2010</v>
      </c>
      <c r="D792" s="13" t="s">
        <v>2135</v>
      </c>
      <c r="E792" s="111"/>
      <c r="F792" s="113" t="s">
        <v>2998</v>
      </c>
      <c r="G792" s="114"/>
      <c r="H792" s="115"/>
      <c r="I792" s="24"/>
      <c r="J792" s="116">
        <v>3.5</v>
      </c>
      <c r="K792" s="118">
        <v>1990000</v>
      </c>
      <c r="L792" s="119"/>
      <c r="M792" s="118">
        <f>K792*0.1</f>
        <v>199000</v>
      </c>
      <c r="N792" s="119"/>
      <c r="O792" s="118">
        <v>0</v>
      </c>
      <c r="P792" s="119"/>
      <c r="Q792" s="118">
        <v>14740</v>
      </c>
      <c r="R792" s="119"/>
      <c r="S792" s="118">
        <v>11000</v>
      </c>
      <c r="T792" s="119"/>
      <c r="U792" s="118">
        <f>SUM(K792:T793)</f>
        <v>2214740</v>
      </c>
      <c r="V792" s="122"/>
      <c r="W792" s="124"/>
      <c r="X792" s="126" t="s">
        <v>2999</v>
      </c>
      <c r="Y792" s="127"/>
      <c r="Z792" s="127"/>
      <c r="AA792" s="127"/>
      <c r="AB792" s="128"/>
      <c r="AC792" s="15" t="s">
        <v>20</v>
      </c>
      <c r="AD792" s="129" t="s">
        <v>1605</v>
      </c>
      <c r="AE792" s="130"/>
      <c r="AF792" s="130"/>
      <c r="AG792" s="130"/>
      <c r="AH792" s="130"/>
      <c r="AI792" s="131"/>
      <c r="AJ792" s="132"/>
      <c r="AK792" s="127"/>
      <c r="AL792" s="128"/>
      <c r="AM792" s="21"/>
      <c r="AN792" s="133">
        <v>45899</v>
      </c>
      <c r="AO792" s="134"/>
      <c r="AP792" s="135"/>
      <c r="AQ792" s="136"/>
      <c r="AR792" s="118">
        <v>2700000</v>
      </c>
      <c r="AS792" s="119"/>
      <c r="AT792" s="180">
        <v>0</v>
      </c>
      <c r="AU792" s="181"/>
      <c r="AV792" s="118">
        <v>0</v>
      </c>
      <c r="AW792" s="119"/>
      <c r="AX792" s="118">
        <f>SUM(AR792:AW792)</f>
        <v>2700000</v>
      </c>
      <c r="AY792" s="119"/>
      <c r="AZ792" s="137">
        <v>45937</v>
      </c>
    </row>
    <row r="793" spans="1:52" ht="17.100000000000001" customHeight="1" thickBot="1">
      <c r="A793" s="110"/>
      <c r="B793" s="27" t="s">
        <v>83</v>
      </c>
      <c r="C793" s="27">
        <v>33504</v>
      </c>
      <c r="D793" s="14" t="s">
        <v>133</v>
      </c>
      <c r="E793" s="112"/>
      <c r="F793" s="139" t="s">
        <v>3000</v>
      </c>
      <c r="G793" s="140"/>
      <c r="H793" s="141"/>
      <c r="I793" s="26">
        <v>43182</v>
      </c>
      <c r="J793" s="117"/>
      <c r="K793" s="120"/>
      <c r="L793" s="121"/>
      <c r="M793" s="120"/>
      <c r="N793" s="121"/>
      <c r="O793" s="120"/>
      <c r="P793" s="121"/>
      <c r="Q793" s="120"/>
      <c r="R793" s="121"/>
      <c r="S793" s="120"/>
      <c r="T793" s="121"/>
      <c r="U793" s="120"/>
      <c r="V793" s="123"/>
      <c r="W793" s="125"/>
      <c r="X793" s="142" t="s">
        <v>2666</v>
      </c>
      <c r="Y793" s="143"/>
      <c r="Z793" s="143"/>
      <c r="AA793" s="143"/>
      <c r="AB793" s="144"/>
      <c r="AC793" s="16" t="s">
        <v>21</v>
      </c>
      <c r="AD793" s="17" t="s">
        <v>3001</v>
      </c>
      <c r="AE793" s="145" t="s">
        <v>171</v>
      </c>
      <c r="AF793" s="146"/>
      <c r="AG793" s="146"/>
      <c r="AH793" s="146"/>
      <c r="AI793" s="147"/>
      <c r="AJ793" s="148"/>
      <c r="AK793" s="143"/>
      <c r="AL793" s="144"/>
      <c r="AM793" s="22"/>
      <c r="AN793" s="149" t="s">
        <v>14007</v>
      </c>
      <c r="AO793" s="144"/>
      <c r="AP793" s="148"/>
      <c r="AQ793" s="144"/>
      <c r="AR793" s="120"/>
      <c r="AS793" s="121"/>
      <c r="AT793" s="120"/>
      <c r="AU793" s="182"/>
      <c r="AV793" s="120"/>
      <c r="AW793" s="121"/>
      <c r="AX793" s="120"/>
      <c r="AY793" s="121"/>
      <c r="AZ793" s="138"/>
    </row>
    <row r="794" spans="1:52" ht="17.100000000000001" customHeight="1" thickTop="1">
      <c r="A794" s="109" t="s">
        <v>6134</v>
      </c>
      <c r="B794" s="28">
        <v>45545</v>
      </c>
      <c r="C794" s="25">
        <v>857</v>
      </c>
      <c r="D794" s="13" t="s">
        <v>2187</v>
      </c>
      <c r="E794" s="111"/>
      <c r="F794" s="113" t="s">
        <v>3002</v>
      </c>
      <c r="G794" s="114"/>
      <c r="H794" s="115"/>
      <c r="I794" s="24" t="s">
        <v>3003</v>
      </c>
      <c r="J794" s="116">
        <v>4</v>
      </c>
      <c r="K794" s="118">
        <v>1519000</v>
      </c>
      <c r="L794" s="119"/>
      <c r="M794" s="118">
        <f>K794*0.1</f>
        <v>151900</v>
      </c>
      <c r="N794" s="119"/>
      <c r="O794" s="118">
        <v>16720</v>
      </c>
      <c r="P794" s="119"/>
      <c r="Q794" s="118">
        <v>16240</v>
      </c>
      <c r="R794" s="119"/>
      <c r="S794" s="118">
        <v>14850</v>
      </c>
      <c r="T794" s="119"/>
      <c r="U794" s="118">
        <f>SUM(K794:T795)</f>
        <v>1718710</v>
      </c>
      <c r="V794" s="122"/>
      <c r="W794" s="124"/>
      <c r="X794" s="126" t="s">
        <v>3004</v>
      </c>
      <c r="Y794" s="127"/>
      <c r="Z794" s="127"/>
      <c r="AA794" s="127"/>
      <c r="AB794" s="128"/>
      <c r="AC794" s="15" t="s">
        <v>20</v>
      </c>
      <c r="AD794" s="129" t="s">
        <v>1670</v>
      </c>
      <c r="AE794" s="130"/>
      <c r="AF794" s="130"/>
      <c r="AG794" s="130"/>
      <c r="AH794" s="130"/>
      <c r="AI794" s="131"/>
      <c r="AJ794" s="132"/>
      <c r="AK794" s="127"/>
      <c r="AL794" s="128"/>
      <c r="AM794" s="21" t="s">
        <v>3005</v>
      </c>
      <c r="AN794" s="133"/>
      <c r="AO794" s="134"/>
      <c r="AP794" s="135"/>
      <c r="AQ794" s="136"/>
      <c r="AR794" s="118"/>
      <c r="AS794" s="119"/>
      <c r="AT794" s="180">
        <f>AR794*0.1</f>
        <v>0</v>
      </c>
      <c r="AU794" s="181"/>
      <c r="AV794" s="118"/>
      <c r="AW794" s="119"/>
      <c r="AX794" s="118">
        <f>SUM(AR794:AW794)</f>
        <v>0</v>
      </c>
      <c r="AY794" s="119"/>
      <c r="AZ794" s="137"/>
    </row>
    <row r="795" spans="1:52" ht="17.100000000000001" customHeight="1" thickBot="1">
      <c r="A795" s="110"/>
      <c r="B795" s="27" t="s">
        <v>2699</v>
      </c>
      <c r="C795" s="27">
        <v>5001</v>
      </c>
      <c r="D795" s="14" t="s">
        <v>904</v>
      </c>
      <c r="E795" s="112"/>
      <c r="F795" s="139" t="s">
        <v>3006</v>
      </c>
      <c r="G795" s="140"/>
      <c r="H795" s="141"/>
      <c r="I795" s="26">
        <v>39653</v>
      </c>
      <c r="J795" s="117"/>
      <c r="K795" s="120"/>
      <c r="L795" s="121"/>
      <c r="M795" s="120"/>
      <c r="N795" s="121"/>
      <c r="O795" s="120"/>
      <c r="P795" s="121"/>
      <c r="Q795" s="120"/>
      <c r="R795" s="121"/>
      <c r="S795" s="120"/>
      <c r="T795" s="121"/>
      <c r="U795" s="120"/>
      <c r="V795" s="123"/>
      <c r="W795" s="125"/>
      <c r="X795" s="142" t="s">
        <v>3007</v>
      </c>
      <c r="Y795" s="143"/>
      <c r="Z795" s="143"/>
      <c r="AA795" s="143"/>
      <c r="AB795" s="144"/>
      <c r="AC795" s="16" t="s">
        <v>21</v>
      </c>
      <c r="AD795" s="17" t="s">
        <v>2127</v>
      </c>
      <c r="AE795" s="145" t="s">
        <v>1742</v>
      </c>
      <c r="AF795" s="146"/>
      <c r="AG795" s="146"/>
      <c r="AH795" s="146"/>
      <c r="AI795" s="147"/>
      <c r="AJ795" s="148"/>
      <c r="AK795" s="143"/>
      <c r="AL795" s="144"/>
      <c r="AM795" s="22"/>
      <c r="AN795" s="149"/>
      <c r="AO795" s="144"/>
      <c r="AP795" s="148"/>
      <c r="AQ795" s="144"/>
      <c r="AR795" s="120"/>
      <c r="AS795" s="121"/>
      <c r="AT795" s="120"/>
      <c r="AU795" s="182"/>
      <c r="AV795" s="120"/>
      <c r="AW795" s="121"/>
      <c r="AX795" s="120"/>
      <c r="AY795" s="121"/>
      <c r="AZ795" s="138"/>
    </row>
    <row r="796" spans="1:52" ht="17.100000000000001" customHeight="1" thickTop="1">
      <c r="A796" s="109" t="s">
        <v>6135</v>
      </c>
      <c r="B796" s="28">
        <v>45548</v>
      </c>
      <c r="C796" s="25">
        <v>2052</v>
      </c>
      <c r="D796" s="13" t="s">
        <v>1642</v>
      </c>
      <c r="E796" s="111"/>
      <c r="F796" s="113" t="s">
        <v>3008</v>
      </c>
      <c r="G796" s="114"/>
      <c r="H796" s="115"/>
      <c r="I796" s="24" t="s">
        <v>3009</v>
      </c>
      <c r="J796" s="116">
        <v>4</v>
      </c>
      <c r="K796" s="118">
        <v>900000</v>
      </c>
      <c r="L796" s="119"/>
      <c r="M796" s="118">
        <f>K796*0.1</f>
        <v>90000</v>
      </c>
      <c r="N796" s="119"/>
      <c r="O796" s="118">
        <v>0</v>
      </c>
      <c r="P796" s="119"/>
      <c r="Q796" s="118">
        <v>8010</v>
      </c>
      <c r="R796" s="119"/>
      <c r="S796" s="118">
        <v>23100</v>
      </c>
      <c r="T796" s="119"/>
      <c r="U796" s="118">
        <f>SUM(K796:T797)</f>
        <v>1021110</v>
      </c>
      <c r="V796" s="122"/>
      <c r="W796" s="124"/>
      <c r="X796" s="126" t="s">
        <v>3010</v>
      </c>
      <c r="Y796" s="127"/>
      <c r="Z796" s="127"/>
      <c r="AA796" s="127"/>
      <c r="AB796" s="128"/>
      <c r="AC796" s="15" t="s">
        <v>20</v>
      </c>
      <c r="AD796" s="129"/>
      <c r="AE796" s="130"/>
      <c r="AF796" s="130"/>
      <c r="AG796" s="130"/>
      <c r="AH796" s="130"/>
      <c r="AI796" s="131"/>
      <c r="AJ796" s="132"/>
      <c r="AK796" s="127"/>
      <c r="AL796" s="128"/>
      <c r="AM796" s="21" t="s">
        <v>3011</v>
      </c>
      <c r="AN796" s="133"/>
      <c r="AO796" s="134"/>
      <c r="AP796" s="135"/>
      <c r="AQ796" s="136"/>
      <c r="AR796" s="118"/>
      <c r="AS796" s="119"/>
      <c r="AT796" s="180">
        <f>AR796*0.1</f>
        <v>0</v>
      </c>
      <c r="AU796" s="181"/>
      <c r="AV796" s="118"/>
      <c r="AW796" s="119"/>
      <c r="AX796" s="118">
        <f>SUM(AR796:AW796)</f>
        <v>0</v>
      </c>
      <c r="AY796" s="119"/>
      <c r="AZ796" s="137"/>
    </row>
    <row r="797" spans="1:52" ht="17.100000000000001" customHeight="1" thickBot="1">
      <c r="A797" s="110"/>
      <c r="B797" s="27" t="s">
        <v>1543</v>
      </c>
      <c r="C797" s="27">
        <v>55777</v>
      </c>
      <c r="D797" s="14" t="s">
        <v>1720</v>
      </c>
      <c r="E797" s="112"/>
      <c r="F797" s="139" t="s">
        <v>3012</v>
      </c>
      <c r="G797" s="140"/>
      <c r="H797" s="141"/>
      <c r="I797" s="26">
        <v>34812</v>
      </c>
      <c r="J797" s="117"/>
      <c r="K797" s="120"/>
      <c r="L797" s="121"/>
      <c r="M797" s="120"/>
      <c r="N797" s="121"/>
      <c r="O797" s="120"/>
      <c r="P797" s="121"/>
      <c r="Q797" s="120"/>
      <c r="R797" s="121"/>
      <c r="S797" s="120"/>
      <c r="T797" s="121"/>
      <c r="U797" s="120"/>
      <c r="V797" s="123"/>
      <c r="W797" s="125"/>
      <c r="X797" s="142" t="s">
        <v>3013</v>
      </c>
      <c r="Y797" s="143"/>
      <c r="Z797" s="143"/>
      <c r="AA797" s="143"/>
      <c r="AB797" s="144"/>
      <c r="AC797" s="16" t="s">
        <v>21</v>
      </c>
      <c r="AD797" s="17" t="s">
        <v>2148</v>
      </c>
      <c r="AE797" s="145"/>
      <c r="AF797" s="146"/>
      <c r="AG797" s="146"/>
      <c r="AH797" s="146"/>
      <c r="AI797" s="147"/>
      <c r="AJ797" s="148"/>
      <c r="AK797" s="143"/>
      <c r="AL797" s="144"/>
      <c r="AM797" s="22"/>
      <c r="AN797" s="149"/>
      <c r="AO797" s="144"/>
      <c r="AP797" s="148"/>
      <c r="AQ797" s="144"/>
      <c r="AR797" s="120"/>
      <c r="AS797" s="121"/>
      <c r="AT797" s="120"/>
      <c r="AU797" s="182"/>
      <c r="AV797" s="120"/>
      <c r="AW797" s="121"/>
      <c r="AX797" s="120"/>
      <c r="AY797" s="121"/>
      <c r="AZ797" s="138"/>
    </row>
    <row r="798" spans="1:52" ht="17.100000000000001" customHeight="1" thickTop="1">
      <c r="A798" s="109" t="s">
        <v>6136</v>
      </c>
      <c r="B798" s="28">
        <v>45551</v>
      </c>
      <c r="C798" s="25"/>
      <c r="D798" s="13" t="s">
        <v>3014</v>
      </c>
      <c r="E798" s="111"/>
      <c r="F798" s="113" t="s">
        <v>3015</v>
      </c>
      <c r="G798" s="114"/>
      <c r="H798" s="115"/>
      <c r="I798" s="24"/>
      <c r="J798" s="116">
        <v>3.5</v>
      </c>
      <c r="K798" s="118">
        <v>1265000</v>
      </c>
      <c r="L798" s="119"/>
      <c r="M798" s="118">
        <f>K798*0.1</f>
        <v>126500</v>
      </c>
      <c r="N798" s="119"/>
      <c r="O798" s="118">
        <v>0</v>
      </c>
      <c r="P798" s="119"/>
      <c r="Q798" s="118">
        <v>8550</v>
      </c>
      <c r="R798" s="119"/>
      <c r="S798" s="118">
        <v>14850</v>
      </c>
      <c r="T798" s="119"/>
      <c r="U798" s="118">
        <f>SUM(K798:T799)</f>
        <v>1414900</v>
      </c>
      <c r="V798" s="122"/>
      <c r="W798" s="124"/>
      <c r="X798" s="126" t="s">
        <v>3016</v>
      </c>
      <c r="Y798" s="127"/>
      <c r="Z798" s="127"/>
      <c r="AA798" s="127"/>
      <c r="AB798" s="128"/>
      <c r="AC798" s="15" t="s">
        <v>20</v>
      </c>
      <c r="AD798" s="129" t="s">
        <v>1670</v>
      </c>
      <c r="AE798" s="130"/>
      <c r="AF798" s="130"/>
      <c r="AG798" s="130"/>
      <c r="AH798" s="130"/>
      <c r="AI798" s="131"/>
      <c r="AJ798" s="132"/>
      <c r="AK798" s="127"/>
      <c r="AL798" s="128"/>
      <c r="AM798" s="21"/>
      <c r="AN798" s="133">
        <v>45938</v>
      </c>
      <c r="AO798" s="134"/>
      <c r="AP798" s="135"/>
      <c r="AQ798" s="136"/>
      <c r="AR798" s="118">
        <v>1270000</v>
      </c>
      <c r="AS798" s="119"/>
      <c r="AT798" s="180">
        <f>AR798*0.1</f>
        <v>127000</v>
      </c>
      <c r="AU798" s="181"/>
      <c r="AV798" s="118">
        <v>8550</v>
      </c>
      <c r="AW798" s="119"/>
      <c r="AX798" s="118">
        <f>SUM(AR798:AW798)</f>
        <v>1405550</v>
      </c>
      <c r="AY798" s="119"/>
      <c r="AZ798" s="137"/>
    </row>
    <row r="799" spans="1:52" ht="17.100000000000001" customHeight="1" thickBot="1">
      <c r="A799" s="110"/>
      <c r="B799" s="27" t="s">
        <v>2774</v>
      </c>
      <c r="C799" s="27">
        <v>80150</v>
      </c>
      <c r="D799" s="14" t="s">
        <v>275</v>
      </c>
      <c r="E799" s="112"/>
      <c r="F799" s="139" t="s">
        <v>3017</v>
      </c>
      <c r="G799" s="140"/>
      <c r="H799" s="141"/>
      <c r="I799" s="26">
        <v>39205</v>
      </c>
      <c r="J799" s="117"/>
      <c r="K799" s="120"/>
      <c r="L799" s="121"/>
      <c r="M799" s="120"/>
      <c r="N799" s="121"/>
      <c r="O799" s="120"/>
      <c r="P799" s="121"/>
      <c r="Q799" s="120"/>
      <c r="R799" s="121"/>
      <c r="S799" s="120"/>
      <c r="T799" s="121"/>
      <c r="U799" s="120"/>
      <c r="V799" s="123"/>
      <c r="W799" s="125"/>
      <c r="X799" s="142" t="s">
        <v>3018</v>
      </c>
      <c r="Y799" s="143"/>
      <c r="Z799" s="143"/>
      <c r="AA799" s="143"/>
      <c r="AB799" s="144"/>
      <c r="AC799" s="16" t="s">
        <v>21</v>
      </c>
      <c r="AD799" s="17" t="s">
        <v>2148</v>
      </c>
      <c r="AE799" s="145" t="s">
        <v>3019</v>
      </c>
      <c r="AF799" s="146"/>
      <c r="AG799" s="146"/>
      <c r="AH799" s="146"/>
      <c r="AI799" s="147"/>
      <c r="AJ799" s="148"/>
      <c r="AK799" s="143"/>
      <c r="AL799" s="144"/>
      <c r="AM799" s="22"/>
      <c r="AN799" s="149" t="s">
        <v>6789</v>
      </c>
      <c r="AO799" s="144"/>
      <c r="AP799" s="148">
        <v>35921</v>
      </c>
      <c r="AQ799" s="144"/>
      <c r="AR799" s="120"/>
      <c r="AS799" s="121"/>
      <c r="AT799" s="120"/>
      <c r="AU799" s="182"/>
      <c r="AV799" s="120"/>
      <c r="AW799" s="121"/>
      <c r="AX799" s="120"/>
      <c r="AY799" s="121"/>
      <c r="AZ799" s="138"/>
    </row>
    <row r="800" spans="1:52" ht="17.100000000000001" customHeight="1" thickTop="1">
      <c r="A800" s="109" t="s">
        <v>6137</v>
      </c>
      <c r="B800" s="28">
        <v>45552</v>
      </c>
      <c r="C800" s="25"/>
      <c r="D800" s="13" t="s">
        <v>2084</v>
      </c>
      <c r="E800" s="111" t="s">
        <v>166</v>
      </c>
      <c r="F800" s="113" t="s">
        <v>3020</v>
      </c>
      <c r="G800" s="114"/>
      <c r="H800" s="115"/>
      <c r="I800" s="24"/>
      <c r="J800" s="116"/>
      <c r="K800" s="118">
        <v>6000000</v>
      </c>
      <c r="L800" s="119"/>
      <c r="M800" s="118">
        <v>0</v>
      </c>
      <c r="N800" s="119"/>
      <c r="O800" s="118">
        <v>0</v>
      </c>
      <c r="P800" s="119"/>
      <c r="Q800" s="118">
        <v>0</v>
      </c>
      <c r="R800" s="119"/>
      <c r="S800" s="118">
        <v>0</v>
      </c>
      <c r="T800" s="119"/>
      <c r="U800" s="118">
        <f>SUM(K800:T801)</f>
        <v>6000000</v>
      </c>
      <c r="V800" s="122"/>
      <c r="W800" s="124"/>
      <c r="X800" s="126" t="s">
        <v>3021</v>
      </c>
      <c r="Y800" s="127"/>
      <c r="Z800" s="127"/>
      <c r="AA800" s="127"/>
      <c r="AB800" s="128"/>
      <c r="AC800" s="15" t="s">
        <v>20</v>
      </c>
      <c r="AD800" s="129"/>
      <c r="AE800" s="130"/>
      <c r="AF800" s="130"/>
      <c r="AG800" s="130"/>
      <c r="AH800" s="130"/>
      <c r="AI800" s="131"/>
      <c r="AJ800" s="132"/>
      <c r="AK800" s="127"/>
      <c r="AL800" s="128"/>
      <c r="AM800" s="21" t="s">
        <v>3022</v>
      </c>
      <c r="AN800" s="133"/>
      <c r="AO800" s="134"/>
      <c r="AP800" s="135"/>
      <c r="AQ800" s="136"/>
      <c r="AR800" s="118"/>
      <c r="AS800" s="119"/>
      <c r="AT800" s="180">
        <f>AR800*0.1</f>
        <v>0</v>
      </c>
      <c r="AU800" s="181"/>
      <c r="AV800" s="118"/>
      <c r="AW800" s="119"/>
      <c r="AX800" s="118">
        <f>SUM(AR800:AW800)</f>
        <v>0</v>
      </c>
      <c r="AY800" s="119"/>
      <c r="AZ800" s="137"/>
    </row>
    <row r="801" spans="1:52" ht="17.100000000000001" customHeight="1" thickBot="1">
      <c r="A801" s="110"/>
      <c r="B801" s="27" t="s">
        <v>3023</v>
      </c>
      <c r="C801" s="27"/>
      <c r="D801" s="14" t="s">
        <v>2206</v>
      </c>
      <c r="E801" s="112"/>
      <c r="F801" s="139" t="s">
        <v>3024</v>
      </c>
      <c r="G801" s="140"/>
      <c r="H801" s="141"/>
      <c r="I801" s="26"/>
      <c r="J801" s="117"/>
      <c r="K801" s="120"/>
      <c r="L801" s="121"/>
      <c r="M801" s="120"/>
      <c r="N801" s="121"/>
      <c r="O801" s="120"/>
      <c r="P801" s="121"/>
      <c r="Q801" s="120"/>
      <c r="R801" s="121"/>
      <c r="S801" s="120"/>
      <c r="T801" s="121"/>
      <c r="U801" s="120"/>
      <c r="V801" s="123"/>
      <c r="W801" s="125"/>
      <c r="X801" s="142" t="s">
        <v>3025</v>
      </c>
      <c r="Y801" s="143"/>
      <c r="Z801" s="143"/>
      <c r="AA801" s="143"/>
      <c r="AB801" s="144"/>
      <c r="AC801" s="16" t="s">
        <v>21</v>
      </c>
      <c r="AD801" s="17" t="s">
        <v>3026</v>
      </c>
      <c r="AE801" s="145" t="s">
        <v>171</v>
      </c>
      <c r="AF801" s="146"/>
      <c r="AG801" s="146"/>
      <c r="AH801" s="146"/>
      <c r="AI801" s="147"/>
      <c r="AJ801" s="148"/>
      <c r="AK801" s="143"/>
      <c r="AL801" s="144"/>
      <c r="AM801" s="22"/>
      <c r="AN801" s="149"/>
      <c r="AO801" s="144"/>
      <c r="AP801" s="148"/>
      <c r="AQ801" s="144"/>
      <c r="AR801" s="120"/>
      <c r="AS801" s="121"/>
      <c r="AT801" s="120"/>
      <c r="AU801" s="182"/>
      <c r="AV801" s="120"/>
      <c r="AW801" s="121"/>
      <c r="AX801" s="120"/>
      <c r="AY801" s="121"/>
      <c r="AZ801" s="138"/>
    </row>
    <row r="802" spans="1:52" ht="17.100000000000001" customHeight="1" thickTop="1">
      <c r="A802" s="109" t="s">
        <v>6138</v>
      </c>
      <c r="B802" s="28">
        <v>45556</v>
      </c>
      <c r="C802" s="25">
        <v>1219</v>
      </c>
      <c r="D802" s="13" t="s">
        <v>1597</v>
      </c>
      <c r="E802" s="111"/>
      <c r="F802" s="113" t="s">
        <v>2935</v>
      </c>
      <c r="G802" s="114"/>
      <c r="H802" s="115"/>
      <c r="I802" s="24" t="s">
        <v>3027</v>
      </c>
      <c r="J802" s="116">
        <v>4.5</v>
      </c>
      <c r="K802" s="118">
        <v>2300000</v>
      </c>
      <c r="L802" s="119"/>
      <c r="M802" s="118">
        <f>K802*0.1</f>
        <v>230000</v>
      </c>
      <c r="N802" s="119"/>
      <c r="O802" s="118">
        <v>21670</v>
      </c>
      <c r="P802" s="119"/>
      <c r="Q802" s="118">
        <v>16240</v>
      </c>
      <c r="R802" s="119"/>
      <c r="S802" s="118">
        <v>13200</v>
      </c>
      <c r="T802" s="119"/>
      <c r="U802" s="118">
        <f>SUM(K802:T803)</f>
        <v>2581110</v>
      </c>
      <c r="V802" s="122"/>
      <c r="W802" s="124"/>
      <c r="X802" s="126" t="s">
        <v>3028</v>
      </c>
      <c r="Y802" s="127"/>
      <c r="Z802" s="127"/>
      <c r="AA802" s="127"/>
      <c r="AB802" s="128"/>
      <c r="AC802" s="15" t="s">
        <v>20</v>
      </c>
      <c r="AD802" s="129" t="s">
        <v>1732</v>
      </c>
      <c r="AE802" s="130"/>
      <c r="AF802" s="130"/>
      <c r="AG802" s="130"/>
      <c r="AH802" s="130"/>
      <c r="AI802" s="131"/>
      <c r="AJ802" s="132"/>
      <c r="AK802" s="127"/>
      <c r="AL802" s="128"/>
      <c r="AM802" s="21" t="s">
        <v>3029</v>
      </c>
      <c r="AN802" s="133"/>
      <c r="AO802" s="134"/>
      <c r="AP802" s="135"/>
      <c r="AQ802" s="136"/>
      <c r="AR802" s="118"/>
      <c r="AS802" s="119"/>
      <c r="AT802" s="180">
        <f>AR802*0.1</f>
        <v>0</v>
      </c>
      <c r="AU802" s="181"/>
      <c r="AV802" s="118"/>
      <c r="AW802" s="119"/>
      <c r="AX802" s="118">
        <f>SUM(AR802:AW802)</f>
        <v>0</v>
      </c>
      <c r="AY802" s="119"/>
      <c r="AZ802" s="137"/>
    </row>
    <row r="803" spans="1:52" ht="17.100000000000001" customHeight="1" thickBot="1">
      <c r="A803" s="110"/>
      <c r="B803" s="27" t="s">
        <v>2511</v>
      </c>
      <c r="C803" s="27">
        <v>82444</v>
      </c>
      <c r="D803" s="14" t="s">
        <v>1576</v>
      </c>
      <c r="E803" s="112"/>
      <c r="F803" s="139" t="s">
        <v>3030</v>
      </c>
      <c r="G803" s="140"/>
      <c r="H803" s="141"/>
      <c r="I803" s="26">
        <v>20416</v>
      </c>
      <c r="J803" s="117"/>
      <c r="K803" s="120"/>
      <c r="L803" s="121"/>
      <c r="M803" s="120"/>
      <c r="N803" s="121"/>
      <c r="O803" s="120"/>
      <c r="P803" s="121"/>
      <c r="Q803" s="120"/>
      <c r="R803" s="121"/>
      <c r="S803" s="120"/>
      <c r="T803" s="121"/>
      <c r="U803" s="120"/>
      <c r="V803" s="123"/>
      <c r="W803" s="125"/>
      <c r="X803" s="142" t="s">
        <v>3031</v>
      </c>
      <c r="Y803" s="143"/>
      <c r="Z803" s="143"/>
      <c r="AA803" s="143"/>
      <c r="AB803" s="144"/>
      <c r="AC803" s="16" t="s">
        <v>21</v>
      </c>
      <c r="AD803" s="17" t="s">
        <v>3032</v>
      </c>
      <c r="AE803" s="145" t="s">
        <v>2080</v>
      </c>
      <c r="AF803" s="146"/>
      <c r="AG803" s="146"/>
      <c r="AH803" s="146"/>
      <c r="AI803" s="147"/>
      <c r="AJ803" s="148"/>
      <c r="AK803" s="143"/>
      <c r="AL803" s="144"/>
      <c r="AM803" s="22"/>
      <c r="AN803" s="149"/>
      <c r="AO803" s="144"/>
      <c r="AP803" s="148"/>
      <c r="AQ803" s="144"/>
      <c r="AR803" s="120"/>
      <c r="AS803" s="121"/>
      <c r="AT803" s="120"/>
      <c r="AU803" s="182"/>
      <c r="AV803" s="120"/>
      <c r="AW803" s="121"/>
      <c r="AX803" s="120"/>
      <c r="AY803" s="121"/>
      <c r="AZ803" s="138"/>
    </row>
    <row r="804" spans="1:52" ht="17.100000000000001" customHeight="1" thickTop="1">
      <c r="A804" s="109" t="s">
        <v>6139</v>
      </c>
      <c r="B804" s="28">
        <v>45563</v>
      </c>
      <c r="C804" s="25">
        <v>1385</v>
      </c>
      <c r="D804" s="13" t="s">
        <v>818</v>
      </c>
      <c r="E804" s="111"/>
      <c r="F804" s="113" t="s">
        <v>2312</v>
      </c>
      <c r="G804" s="114"/>
      <c r="H804" s="115"/>
      <c r="I804" s="24" t="s">
        <v>3033</v>
      </c>
      <c r="J804" s="116">
        <v>5</v>
      </c>
      <c r="K804" s="118">
        <v>3120000</v>
      </c>
      <c r="L804" s="119"/>
      <c r="M804" s="118">
        <f>K804*0.1</f>
        <v>312000</v>
      </c>
      <c r="N804" s="119"/>
      <c r="O804" s="118">
        <v>19800</v>
      </c>
      <c r="P804" s="119"/>
      <c r="Q804" s="118">
        <v>16240</v>
      </c>
      <c r="R804" s="119"/>
      <c r="S804" s="118">
        <v>13200</v>
      </c>
      <c r="T804" s="119"/>
      <c r="U804" s="118">
        <f>SUM(K804:T805)</f>
        <v>3481240</v>
      </c>
      <c r="V804" s="122"/>
      <c r="W804" s="124"/>
      <c r="X804" s="126" t="s">
        <v>3034</v>
      </c>
      <c r="Y804" s="127"/>
      <c r="Z804" s="127"/>
      <c r="AA804" s="127"/>
      <c r="AB804" s="128"/>
      <c r="AC804" s="15" t="s">
        <v>20</v>
      </c>
      <c r="AD804" s="129" t="s">
        <v>1670</v>
      </c>
      <c r="AE804" s="130"/>
      <c r="AF804" s="130"/>
      <c r="AG804" s="130"/>
      <c r="AH804" s="130"/>
      <c r="AI804" s="131"/>
      <c r="AJ804" s="132"/>
      <c r="AK804" s="127"/>
      <c r="AL804" s="128"/>
      <c r="AM804" s="21"/>
      <c r="AN804" s="133"/>
      <c r="AO804" s="134"/>
      <c r="AP804" s="135"/>
      <c r="AQ804" s="136"/>
      <c r="AR804" s="118"/>
      <c r="AS804" s="119"/>
      <c r="AT804" s="180">
        <f>AR804*0.1</f>
        <v>0</v>
      </c>
      <c r="AU804" s="181"/>
      <c r="AV804" s="118"/>
      <c r="AW804" s="119"/>
      <c r="AX804" s="118">
        <f>SUM(AR804:AW804)</f>
        <v>0</v>
      </c>
      <c r="AY804" s="119"/>
      <c r="AZ804" s="137"/>
    </row>
    <row r="805" spans="1:52" ht="17.100000000000001" customHeight="1" thickBot="1">
      <c r="A805" s="110"/>
      <c r="B805" s="27" t="s">
        <v>1779</v>
      </c>
      <c r="C805" s="27">
        <v>7143</v>
      </c>
      <c r="D805" s="14" t="s">
        <v>133</v>
      </c>
      <c r="E805" s="112"/>
      <c r="F805" s="139" t="s">
        <v>3035</v>
      </c>
      <c r="G805" s="140"/>
      <c r="H805" s="141"/>
      <c r="I805" s="26">
        <v>27998</v>
      </c>
      <c r="J805" s="117"/>
      <c r="K805" s="120"/>
      <c r="L805" s="121"/>
      <c r="M805" s="120"/>
      <c r="N805" s="121"/>
      <c r="O805" s="120"/>
      <c r="P805" s="121"/>
      <c r="Q805" s="120"/>
      <c r="R805" s="121"/>
      <c r="S805" s="120"/>
      <c r="T805" s="121"/>
      <c r="U805" s="120"/>
      <c r="V805" s="123"/>
      <c r="W805" s="125"/>
      <c r="X805" s="142" t="s">
        <v>2968</v>
      </c>
      <c r="Y805" s="143"/>
      <c r="Z805" s="143"/>
      <c r="AA805" s="143"/>
      <c r="AB805" s="144"/>
      <c r="AC805" s="16" t="s">
        <v>21</v>
      </c>
      <c r="AD805" s="17" t="s">
        <v>2164</v>
      </c>
      <c r="AE805" s="145" t="s">
        <v>1614</v>
      </c>
      <c r="AF805" s="146"/>
      <c r="AG805" s="146"/>
      <c r="AH805" s="146"/>
      <c r="AI805" s="147"/>
      <c r="AJ805" s="148"/>
      <c r="AK805" s="143"/>
      <c r="AL805" s="144"/>
      <c r="AM805" s="67" t="s">
        <v>928</v>
      </c>
      <c r="AN805" s="149"/>
      <c r="AO805" s="144"/>
      <c r="AP805" s="148"/>
      <c r="AQ805" s="144"/>
      <c r="AR805" s="120"/>
      <c r="AS805" s="121"/>
      <c r="AT805" s="120"/>
      <c r="AU805" s="182"/>
      <c r="AV805" s="120"/>
      <c r="AW805" s="121"/>
      <c r="AX805" s="120"/>
      <c r="AY805" s="121"/>
      <c r="AZ805" s="138"/>
    </row>
    <row r="806" spans="1:52" ht="17.100000000000001" customHeight="1" thickTop="1">
      <c r="A806" s="109" t="s">
        <v>6140</v>
      </c>
      <c r="B806" s="68">
        <v>41620</v>
      </c>
      <c r="C806" s="69"/>
      <c r="D806" s="70" t="s">
        <v>3036</v>
      </c>
      <c r="E806" s="252"/>
      <c r="F806" s="254" t="s">
        <v>3037</v>
      </c>
      <c r="G806" s="255"/>
      <c r="H806" s="255"/>
      <c r="I806" s="71"/>
      <c r="J806" s="256"/>
      <c r="K806" s="181">
        <v>800000</v>
      </c>
      <c r="L806" s="257"/>
      <c r="M806" s="180"/>
      <c r="N806" s="257"/>
      <c r="O806" s="180"/>
      <c r="P806" s="257"/>
      <c r="Q806" s="180">
        <v>2030</v>
      </c>
      <c r="R806" s="257"/>
      <c r="S806" s="180"/>
      <c r="T806" s="257"/>
      <c r="U806" s="258">
        <f>SUM(K806:T807)</f>
        <v>802030</v>
      </c>
      <c r="V806" s="259"/>
      <c r="W806" s="236">
        <v>50000</v>
      </c>
      <c r="X806" s="262" t="s">
        <v>3038</v>
      </c>
      <c r="Y806" s="262"/>
      <c r="Z806" s="262"/>
      <c r="AA806" s="262"/>
      <c r="AB806" s="262"/>
      <c r="AC806" s="33" t="s">
        <v>20</v>
      </c>
      <c r="AD806" s="72"/>
      <c r="AE806" s="270"/>
      <c r="AF806" s="271"/>
      <c r="AG806" s="271"/>
      <c r="AH806" s="271"/>
      <c r="AI806" s="272"/>
      <c r="AJ806" s="263"/>
      <c r="AK806" s="264"/>
      <c r="AL806" s="265"/>
      <c r="AM806" s="34"/>
      <c r="AN806" s="266"/>
      <c r="AO806" s="267"/>
      <c r="AP806" s="268"/>
      <c r="AQ806" s="269"/>
      <c r="AR806" s="243"/>
      <c r="AS806" s="244"/>
      <c r="AT806" s="243"/>
      <c r="AU806" s="244"/>
      <c r="AV806" s="243"/>
      <c r="AW806" s="244"/>
      <c r="AX806" s="245">
        <f>SUM(AR806:AW807)</f>
        <v>0</v>
      </c>
      <c r="AY806" s="245"/>
      <c r="AZ806" s="247"/>
    </row>
    <row r="807" spans="1:52" ht="17.100000000000001" customHeight="1" thickBot="1">
      <c r="A807" s="110"/>
      <c r="B807" s="73" t="s">
        <v>3039</v>
      </c>
      <c r="C807" s="74"/>
      <c r="D807" s="73"/>
      <c r="E807" s="253"/>
      <c r="F807" s="188" t="s">
        <v>3040</v>
      </c>
      <c r="G807" s="189"/>
      <c r="H807" s="189"/>
      <c r="I807" s="75"/>
      <c r="J807" s="117"/>
      <c r="K807" s="182"/>
      <c r="L807" s="121"/>
      <c r="M807" s="120"/>
      <c r="N807" s="121"/>
      <c r="O807" s="120"/>
      <c r="P807" s="121"/>
      <c r="Q807" s="120"/>
      <c r="R807" s="121"/>
      <c r="S807" s="120"/>
      <c r="T807" s="121"/>
      <c r="U807" s="260"/>
      <c r="V807" s="261"/>
      <c r="W807" s="125"/>
      <c r="X807" s="249" t="s">
        <v>3041</v>
      </c>
      <c r="Y807" s="249"/>
      <c r="Z807" s="249"/>
      <c r="AA807" s="249"/>
      <c r="AB807" s="249"/>
      <c r="AC807" s="16" t="s">
        <v>21</v>
      </c>
      <c r="AD807" s="76"/>
      <c r="AE807" s="240"/>
      <c r="AF807" s="241"/>
      <c r="AG807" s="241"/>
      <c r="AH807" s="241"/>
      <c r="AI807" s="242"/>
      <c r="AJ807" s="204"/>
      <c r="AK807" s="202"/>
      <c r="AL807" s="203"/>
      <c r="AM807" s="38" t="s">
        <v>51</v>
      </c>
      <c r="AN807" s="250"/>
      <c r="AO807" s="251"/>
      <c r="AP807" s="148"/>
      <c r="AQ807" s="144"/>
      <c r="AR807" s="198"/>
      <c r="AS807" s="199"/>
      <c r="AT807" s="198"/>
      <c r="AU807" s="199"/>
      <c r="AV807" s="198"/>
      <c r="AW807" s="199"/>
      <c r="AX807" s="246"/>
      <c r="AY807" s="246"/>
      <c r="AZ807" s="248"/>
    </row>
    <row r="808" spans="1:52" ht="17.100000000000001" customHeight="1" thickTop="1">
      <c r="A808" s="109" t="s">
        <v>6141</v>
      </c>
      <c r="B808" s="54">
        <v>42582</v>
      </c>
      <c r="C808" s="77"/>
      <c r="D808" s="56" t="s">
        <v>3042</v>
      </c>
      <c r="E808" s="222"/>
      <c r="F808" s="208" t="s">
        <v>3043</v>
      </c>
      <c r="G808" s="209"/>
      <c r="H808" s="209"/>
      <c r="I808" s="57"/>
      <c r="J808" s="116"/>
      <c r="K808" s="210">
        <v>400000</v>
      </c>
      <c r="L808" s="119"/>
      <c r="M808" s="118"/>
      <c r="N808" s="119"/>
      <c r="O808" s="118"/>
      <c r="P808" s="119"/>
      <c r="Q808" s="118">
        <v>2030</v>
      </c>
      <c r="R808" s="119"/>
      <c r="S808" s="118"/>
      <c r="T808" s="119"/>
      <c r="U808" s="211">
        <f>SUM(K808:T809)</f>
        <v>402030</v>
      </c>
      <c r="V808" s="212"/>
      <c r="W808" s="124">
        <v>50000</v>
      </c>
      <c r="X808" s="215" t="s">
        <v>3044</v>
      </c>
      <c r="Y808" s="215"/>
      <c r="Z808" s="215"/>
      <c r="AA808" s="215"/>
      <c r="AB808" s="215"/>
      <c r="AC808" s="15" t="s">
        <v>20</v>
      </c>
      <c r="AD808" s="78"/>
      <c r="AE808" s="227" t="s">
        <v>79</v>
      </c>
      <c r="AF808" s="228"/>
      <c r="AG808" s="228"/>
      <c r="AH808" s="228"/>
      <c r="AI808" s="229"/>
      <c r="AJ808" s="225"/>
      <c r="AK808" s="223"/>
      <c r="AL808" s="224"/>
      <c r="AM808" s="21"/>
      <c r="AN808" s="216"/>
      <c r="AO808" s="217"/>
      <c r="AP808" s="135"/>
      <c r="AQ808" s="136"/>
      <c r="AR808" s="196"/>
      <c r="AS808" s="197"/>
      <c r="AT808" s="196"/>
      <c r="AU808" s="197"/>
      <c r="AV808" s="196"/>
      <c r="AW808" s="197"/>
      <c r="AX808" s="218">
        <f>SUM(AR808:AW809)</f>
        <v>0</v>
      </c>
      <c r="AY808" s="218"/>
      <c r="AZ808" s="200"/>
    </row>
    <row r="809" spans="1:52" ht="17.100000000000001" customHeight="1" thickBot="1">
      <c r="A809" s="110"/>
      <c r="B809" s="58" t="s">
        <v>3045</v>
      </c>
      <c r="C809" s="79"/>
      <c r="D809" s="58"/>
      <c r="E809" s="207"/>
      <c r="F809" s="188" t="s">
        <v>3046</v>
      </c>
      <c r="G809" s="189"/>
      <c r="H809" s="189"/>
      <c r="I809" s="59"/>
      <c r="J809" s="117"/>
      <c r="K809" s="182"/>
      <c r="L809" s="121"/>
      <c r="M809" s="120"/>
      <c r="N809" s="121"/>
      <c r="O809" s="120"/>
      <c r="P809" s="121"/>
      <c r="Q809" s="120"/>
      <c r="R809" s="121"/>
      <c r="S809" s="120"/>
      <c r="T809" s="121"/>
      <c r="U809" s="213"/>
      <c r="V809" s="214"/>
      <c r="W809" s="125"/>
      <c r="X809" s="190" t="s">
        <v>3047</v>
      </c>
      <c r="Y809" s="190"/>
      <c r="Z809" s="190"/>
      <c r="AA809" s="190"/>
      <c r="AB809" s="190"/>
      <c r="AC809" s="16" t="s">
        <v>21</v>
      </c>
      <c r="AD809" s="80"/>
      <c r="AE809" s="230"/>
      <c r="AF809" s="231"/>
      <c r="AG809" s="231"/>
      <c r="AH809" s="231"/>
      <c r="AI809" s="232"/>
      <c r="AJ809" s="204"/>
      <c r="AK809" s="202"/>
      <c r="AL809" s="203"/>
      <c r="AM809" s="22" t="s">
        <v>51</v>
      </c>
      <c r="AN809" s="191"/>
      <c r="AO809" s="192"/>
      <c r="AP809" s="148"/>
      <c r="AQ809" s="144"/>
      <c r="AR809" s="198"/>
      <c r="AS809" s="199"/>
      <c r="AT809" s="198"/>
      <c r="AU809" s="199"/>
      <c r="AV809" s="198"/>
      <c r="AW809" s="199"/>
      <c r="AX809" s="219"/>
      <c r="AY809" s="219"/>
      <c r="AZ809" s="201"/>
    </row>
    <row r="810" spans="1:52" ht="17.100000000000001" customHeight="1" thickTop="1">
      <c r="A810" s="109" t="s">
        <v>6142</v>
      </c>
      <c r="B810" s="54">
        <v>42637</v>
      </c>
      <c r="C810" s="77"/>
      <c r="D810" s="56" t="s">
        <v>3048</v>
      </c>
      <c r="E810" s="222"/>
      <c r="F810" s="208" t="s">
        <v>3049</v>
      </c>
      <c r="G810" s="209"/>
      <c r="H810" s="209"/>
      <c r="I810" s="57"/>
      <c r="J810" s="116"/>
      <c r="K810" s="210">
        <v>200000</v>
      </c>
      <c r="L810" s="119"/>
      <c r="M810" s="118"/>
      <c r="N810" s="119"/>
      <c r="O810" s="118"/>
      <c r="P810" s="119"/>
      <c r="Q810" s="118">
        <v>2030</v>
      </c>
      <c r="R810" s="119"/>
      <c r="S810" s="118"/>
      <c r="T810" s="119"/>
      <c r="U810" s="211">
        <f>SUM(K810:T811)</f>
        <v>202030</v>
      </c>
      <c r="V810" s="212"/>
      <c r="W810" s="124">
        <v>20000</v>
      </c>
      <c r="X810" s="215" t="s">
        <v>3050</v>
      </c>
      <c r="Y810" s="215"/>
      <c r="Z810" s="215"/>
      <c r="AA810" s="215"/>
      <c r="AB810" s="215"/>
      <c r="AC810" s="15" t="s">
        <v>20</v>
      </c>
      <c r="AD810" s="78"/>
      <c r="AE810" s="237"/>
      <c r="AF810" s="238"/>
      <c r="AG810" s="238"/>
      <c r="AH810" s="238"/>
      <c r="AI810" s="239"/>
      <c r="AJ810" s="225"/>
      <c r="AK810" s="223"/>
      <c r="AL810" s="224"/>
      <c r="AM810" s="21"/>
      <c r="AN810" s="216"/>
      <c r="AO810" s="217"/>
      <c r="AP810" s="135"/>
      <c r="AQ810" s="136"/>
      <c r="AR810" s="196"/>
      <c r="AS810" s="197"/>
      <c r="AT810" s="196"/>
      <c r="AU810" s="197"/>
      <c r="AV810" s="196"/>
      <c r="AW810" s="197"/>
      <c r="AX810" s="218">
        <f>SUM(AR810:AW811)</f>
        <v>0</v>
      </c>
      <c r="AY810" s="218"/>
      <c r="AZ810" s="200"/>
    </row>
    <row r="811" spans="1:52" ht="17.100000000000001" customHeight="1" thickBot="1">
      <c r="A811" s="110"/>
      <c r="B811" s="58" t="s">
        <v>3051</v>
      </c>
      <c r="C811" s="79"/>
      <c r="D811" s="58"/>
      <c r="E811" s="207"/>
      <c r="F811" s="188" t="s">
        <v>3052</v>
      </c>
      <c r="G811" s="189"/>
      <c r="H811" s="189"/>
      <c r="I811" s="59"/>
      <c r="J811" s="117"/>
      <c r="K811" s="182"/>
      <c r="L811" s="121"/>
      <c r="M811" s="120"/>
      <c r="N811" s="121"/>
      <c r="O811" s="120"/>
      <c r="P811" s="121"/>
      <c r="Q811" s="120"/>
      <c r="R811" s="121"/>
      <c r="S811" s="120"/>
      <c r="T811" s="121"/>
      <c r="U811" s="213"/>
      <c r="V811" s="214"/>
      <c r="W811" s="125"/>
      <c r="X811" s="190" t="s">
        <v>3053</v>
      </c>
      <c r="Y811" s="190"/>
      <c r="Z811" s="190"/>
      <c r="AA811" s="190"/>
      <c r="AB811" s="190"/>
      <c r="AC811" s="16" t="s">
        <v>21</v>
      </c>
      <c r="AD811" s="80"/>
      <c r="AE811" s="240"/>
      <c r="AF811" s="241"/>
      <c r="AG811" s="241"/>
      <c r="AH811" s="241"/>
      <c r="AI811" s="242"/>
      <c r="AJ811" s="204"/>
      <c r="AK811" s="202"/>
      <c r="AL811" s="203"/>
      <c r="AM811" s="22" t="s">
        <v>51</v>
      </c>
      <c r="AN811" s="191"/>
      <c r="AO811" s="192"/>
      <c r="AP811" s="148"/>
      <c r="AQ811" s="144"/>
      <c r="AR811" s="198"/>
      <c r="AS811" s="199"/>
      <c r="AT811" s="198"/>
      <c r="AU811" s="199"/>
      <c r="AV811" s="198"/>
      <c r="AW811" s="199"/>
      <c r="AX811" s="219"/>
      <c r="AY811" s="219"/>
      <c r="AZ811" s="201"/>
    </row>
    <row r="812" spans="1:52" ht="17.100000000000001" customHeight="1" thickTop="1">
      <c r="A812" s="109" t="s">
        <v>6143</v>
      </c>
      <c r="B812" s="54">
        <v>42988</v>
      </c>
      <c r="C812" s="77"/>
      <c r="D812" s="56" t="s">
        <v>3054</v>
      </c>
      <c r="E812" s="222"/>
      <c r="F812" s="208" t="s">
        <v>3055</v>
      </c>
      <c r="G812" s="209"/>
      <c r="H812" s="209"/>
      <c r="I812" s="57" t="s">
        <v>1267</v>
      </c>
      <c r="J812" s="116"/>
      <c r="K812" s="210">
        <v>150000</v>
      </c>
      <c r="L812" s="119"/>
      <c r="M812" s="118"/>
      <c r="N812" s="119"/>
      <c r="O812" s="118"/>
      <c r="P812" s="119"/>
      <c r="Q812" s="118"/>
      <c r="R812" s="119"/>
      <c r="S812" s="118"/>
      <c r="T812" s="119"/>
      <c r="U812" s="211">
        <f>SUM(K812:T813)</f>
        <v>150000</v>
      </c>
      <c r="V812" s="212"/>
      <c r="W812" s="124">
        <v>30000</v>
      </c>
      <c r="X812" s="215" t="s">
        <v>3056</v>
      </c>
      <c r="Y812" s="215"/>
      <c r="Z812" s="215"/>
      <c r="AA812" s="215"/>
      <c r="AB812" s="215"/>
      <c r="AC812" s="15" t="s">
        <v>20</v>
      </c>
      <c r="AD812" s="78"/>
      <c r="AE812" s="227" t="s">
        <v>79</v>
      </c>
      <c r="AF812" s="228"/>
      <c r="AG812" s="228"/>
      <c r="AH812" s="228"/>
      <c r="AI812" s="229"/>
      <c r="AJ812" s="225"/>
      <c r="AK812" s="223"/>
      <c r="AL812" s="224"/>
      <c r="AM812" s="21"/>
      <c r="AN812" s="216"/>
      <c r="AO812" s="217"/>
      <c r="AP812" s="135"/>
      <c r="AQ812" s="136"/>
      <c r="AR812" s="196"/>
      <c r="AS812" s="197"/>
      <c r="AT812" s="196"/>
      <c r="AU812" s="197"/>
      <c r="AV812" s="196"/>
      <c r="AW812" s="197"/>
      <c r="AX812" s="218">
        <f>SUM(AR812:AW813)</f>
        <v>0</v>
      </c>
      <c r="AY812" s="218"/>
      <c r="AZ812" s="200"/>
    </row>
    <row r="813" spans="1:52" ht="17.100000000000001" customHeight="1" thickBot="1">
      <c r="A813" s="110"/>
      <c r="B813" s="58" t="s">
        <v>3057</v>
      </c>
      <c r="C813" s="79"/>
      <c r="D813" s="58"/>
      <c r="E813" s="207"/>
      <c r="F813" s="188" t="s">
        <v>3058</v>
      </c>
      <c r="G813" s="189"/>
      <c r="H813" s="189"/>
      <c r="I813" s="59"/>
      <c r="J813" s="117"/>
      <c r="K813" s="182"/>
      <c r="L813" s="121"/>
      <c r="M813" s="120"/>
      <c r="N813" s="121"/>
      <c r="O813" s="120"/>
      <c r="P813" s="121"/>
      <c r="Q813" s="120"/>
      <c r="R813" s="121"/>
      <c r="S813" s="120"/>
      <c r="T813" s="121"/>
      <c r="U813" s="213"/>
      <c r="V813" s="214"/>
      <c r="W813" s="125"/>
      <c r="X813" s="190" t="s">
        <v>3059</v>
      </c>
      <c r="Y813" s="190"/>
      <c r="Z813" s="190"/>
      <c r="AA813" s="190"/>
      <c r="AB813" s="190"/>
      <c r="AC813" s="16" t="s">
        <v>21</v>
      </c>
      <c r="AD813" s="80"/>
      <c r="AE813" s="230"/>
      <c r="AF813" s="231"/>
      <c r="AG813" s="231"/>
      <c r="AH813" s="231"/>
      <c r="AI813" s="232"/>
      <c r="AJ813" s="204"/>
      <c r="AK813" s="202"/>
      <c r="AL813" s="203"/>
      <c r="AM813" s="22" t="s">
        <v>51</v>
      </c>
      <c r="AN813" s="191"/>
      <c r="AO813" s="192"/>
      <c r="AP813" s="148"/>
      <c r="AQ813" s="144"/>
      <c r="AR813" s="198"/>
      <c r="AS813" s="199"/>
      <c r="AT813" s="198"/>
      <c r="AU813" s="199"/>
      <c r="AV813" s="198"/>
      <c r="AW813" s="199"/>
      <c r="AX813" s="219"/>
      <c r="AY813" s="219"/>
      <c r="AZ813" s="201"/>
    </row>
    <row r="814" spans="1:52" ht="17.100000000000001" customHeight="1" thickTop="1">
      <c r="A814" s="109" t="s">
        <v>6144</v>
      </c>
      <c r="B814" s="54">
        <v>42989</v>
      </c>
      <c r="C814" s="77"/>
      <c r="D814" s="56" t="s">
        <v>365</v>
      </c>
      <c r="E814" s="222"/>
      <c r="F814" s="208" t="s">
        <v>3060</v>
      </c>
      <c r="G814" s="209"/>
      <c r="H814" s="209"/>
      <c r="I814" s="57" t="s">
        <v>402</v>
      </c>
      <c r="J814" s="116"/>
      <c r="K814" s="210">
        <v>1250000</v>
      </c>
      <c r="L814" s="119"/>
      <c r="M814" s="118"/>
      <c r="N814" s="119"/>
      <c r="O814" s="118">
        <v>18590</v>
      </c>
      <c r="P814" s="119"/>
      <c r="Q814" s="118"/>
      <c r="R814" s="119"/>
      <c r="S814" s="118"/>
      <c r="T814" s="119"/>
      <c r="U814" s="211">
        <f>SUM(K814:T815)</f>
        <v>1268590</v>
      </c>
      <c r="V814" s="212"/>
      <c r="W814" s="124">
        <v>500000</v>
      </c>
      <c r="X814" s="215" t="s">
        <v>3061</v>
      </c>
      <c r="Y814" s="215"/>
      <c r="Z814" s="215"/>
      <c r="AA814" s="215"/>
      <c r="AB814" s="215"/>
      <c r="AC814" s="15" t="s">
        <v>20</v>
      </c>
      <c r="AD814" s="78"/>
      <c r="AE814" s="233" t="s">
        <v>158</v>
      </c>
      <c r="AF814" s="234"/>
      <c r="AG814" s="234"/>
      <c r="AH814" s="234"/>
      <c r="AI814" s="235"/>
      <c r="AJ814" s="225"/>
      <c r="AK814" s="223"/>
      <c r="AL814" s="224"/>
      <c r="AM814" s="21"/>
      <c r="AN814" s="216"/>
      <c r="AO814" s="217"/>
      <c r="AP814" s="135"/>
      <c r="AQ814" s="136"/>
      <c r="AR814" s="196"/>
      <c r="AS814" s="197"/>
      <c r="AT814" s="196"/>
      <c r="AU814" s="197"/>
      <c r="AV814" s="196"/>
      <c r="AW814" s="197"/>
      <c r="AX814" s="218">
        <f>SUM(AR814:AW815)</f>
        <v>0</v>
      </c>
      <c r="AY814" s="218"/>
      <c r="AZ814" s="200"/>
    </row>
    <row r="815" spans="1:52" ht="17.100000000000001" customHeight="1" thickBot="1">
      <c r="A815" s="110"/>
      <c r="B815" s="58" t="s">
        <v>3062</v>
      </c>
      <c r="C815" s="79"/>
      <c r="D815" s="58" t="s">
        <v>291</v>
      </c>
      <c r="E815" s="207"/>
      <c r="F815" s="188" t="s">
        <v>3063</v>
      </c>
      <c r="G815" s="189"/>
      <c r="H815" s="189"/>
      <c r="I815" s="59">
        <v>48000</v>
      </c>
      <c r="J815" s="117"/>
      <c r="K815" s="182"/>
      <c r="L815" s="121"/>
      <c r="M815" s="120"/>
      <c r="N815" s="121"/>
      <c r="O815" s="120"/>
      <c r="P815" s="121"/>
      <c r="Q815" s="120"/>
      <c r="R815" s="121"/>
      <c r="S815" s="120"/>
      <c r="T815" s="121"/>
      <c r="U815" s="213"/>
      <c r="V815" s="214"/>
      <c r="W815" s="125"/>
      <c r="X815" s="190" t="s">
        <v>3064</v>
      </c>
      <c r="Y815" s="190"/>
      <c r="Z815" s="190"/>
      <c r="AA815" s="190"/>
      <c r="AB815" s="190"/>
      <c r="AC815" s="16" t="s">
        <v>21</v>
      </c>
      <c r="AD815" s="80"/>
      <c r="AE815" s="233"/>
      <c r="AF815" s="234"/>
      <c r="AG815" s="234"/>
      <c r="AH815" s="234"/>
      <c r="AI815" s="235"/>
      <c r="AJ815" s="204"/>
      <c r="AK815" s="202"/>
      <c r="AL815" s="203"/>
      <c r="AM815" s="22"/>
      <c r="AN815" s="191"/>
      <c r="AO815" s="192"/>
      <c r="AP815" s="148"/>
      <c r="AQ815" s="144"/>
      <c r="AR815" s="198"/>
      <c r="AS815" s="199"/>
      <c r="AT815" s="198"/>
      <c r="AU815" s="199"/>
      <c r="AV815" s="198"/>
      <c r="AW815" s="199"/>
      <c r="AX815" s="219"/>
      <c r="AY815" s="219"/>
      <c r="AZ815" s="201"/>
    </row>
    <row r="816" spans="1:52" ht="17.100000000000001" customHeight="1" thickTop="1">
      <c r="A816" s="109" t="s">
        <v>6145</v>
      </c>
      <c r="B816" s="54">
        <v>43195</v>
      </c>
      <c r="C816" s="77"/>
      <c r="D816" s="56" t="s">
        <v>3065</v>
      </c>
      <c r="E816" s="222"/>
      <c r="F816" s="208" t="s">
        <v>3066</v>
      </c>
      <c r="G816" s="209"/>
      <c r="H816" s="209"/>
      <c r="I816" s="57" t="s">
        <v>598</v>
      </c>
      <c r="J816" s="116"/>
      <c r="K816" s="210">
        <v>1900000</v>
      </c>
      <c r="L816" s="119"/>
      <c r="M816" s="118"/>
      <c r="N816" s="119"/>
      <c r="O816" s="118"/>
      <c r="P816" s="119"/>
      <c r="Q816" s="118"/>
      <c r="R816" s="119"/>
      <c r="S816" s="118"/>
      <c r="T816" s="119"/>
      <c r="U816" s="211">
        <f>SUM(K816:T817)</f>
        <v>1900000</v>
      </c>
      <c r="V816" s="212"/>
      <c r="W816" s="124">
        <v>900000</v>
      </c>
      <c r="X816" s="215" t="s">
        <v>3067</v>
      </c>
      <c r="Y816" s="215"/>
      <c r="Z816" s="215"/>
      <c r="AA816" s="215"/>
      <c r="AB816" s="215"/>
      <c r="AC816" s="15" t="s">
        <v>20</v>
      </c>
      <c r="AD816" s="78"/>
      <c r="AE816" s="237"/>
      <c r="AF816" s="238"/>
      <c r="AG816" s="238"/>
      <c r="AH816" s="238"/>
      <c r="AI816" s="239"/>
      <c r="AJ816" s="225" t="s">
        <v>3068</v>
      </c>
      <c r="AK816" s="223"/>
      <c r="AL816" s="224"/>
      <c r="AM816" s="21"/>
      <c r="AN816" s="216"/>
      <c r="AO816" s="217"/>
      <c r="AP816" s="135"/>
      <c r="AQ816" s="136"/>
      <c r="AR816" s="196"/>
      <c r="AS816" s="197"/>
      <c r="AT816" s="196"/>
      <c r="AU816" s="197"/>
      <c r="AV816" s="196"/>
      <c r="AW816" s="197"/>
      <c r="AX816" s="218">
        <f>SUM(AR816:AW817)</f>
        <v>0</v>
      </c>
      <c r="AY816" s="218"/>
      <c r="AZ816" s="200"/>
    </row>
    <row r="817" spans="1:52" ht="17.100000000000001" customHeight="1" thickBot="1">
      <c r="A817" s="110"/>
      <c r="B817" s="58" t="s">
        <v>3062</v>
      </c>
      <c r="C817" s="79"/>
      <c r="D817" s="58"/>
      <c r="E817" s="207"/>
      <c r="F817" s="188" t="s">
        <v>3069</v>
      </c>
      <c r="G817" s="189"/>
      <c r="H817" s="189"/>
      <c r="I817" s="59"/>
      <c r="J817" s="117"/>
      <c r="K817" s="182"/>
      <c r="L817" s="121"/>
      <c r="M817" s="120"/>
      <c r="N817" s="121"/>
      <c r="O817" s="120"/>
      <c r="P817" s="121"/>
      <c r="Q817" s="120"/>
      <c r="R817" s="121"/>
      <c r="S817" s="120"/>
      <c r="T817" s="121"/>
      <c r="U817" s="213"/>
      <c r="V817" s="214"/>
      <c r="W817" s="125"/>
      <c r="X817" s="190" t="s">
        <v>3070</v>
      </c>
      <c r="Y817" s="190"/>
      <c r="Z817" s="190"/>
      <c r="AA817" s="190"/>
      <c r="AB817" s="190"/>
      <c r="AC817" s="16" t="s">
        <v>21</v>
      </c>
      <c r="AD817" s="80"/>
      <c r="AE817" s="240"/>
      <c r="AF817" s="241"/>
      <c r="AG817" s="241"/>
      <c r="AH817" s="241"/>
      <c r="AI817" s="242"/>
      <c r="AJ817" s="204"/>
      <c r="AK817" s="202"/>
      <c r="AL817" s="203"/>
      <c r="AM817" s="22"/>
      <c r="AN817" s="191"/>
      <c r="AO817" s="192"/>
      <c r="AP817" s="148"/>
      <c r="AQ817" s="144"/>
      <c r="AR817" s="198"/>
      <c r="AS817" s="199"/>
      <c r="AT817" s="198"/>
      <c r="AU817" s="199"/>
      <c r="AV817" s="198"/>
      <c r="AW817" s="199"/>
      <c r="AX817" s="219"/>
      <c r="AY817" s="219"/>
      <c r="AZ817" s="201"/>
    </row>
    <row r="818" spans="1:52" ht="17.100000000000001" customHeight="1" thickTop="1">
      <c r="A818" s="109" t="s">
        <v>6146</v>
      </c>
      <c r="B818" s="54">
        <v>43284</v>
      </c>
      <c r="C818" s="77"/>
      <c r="D818" s="56" t="s">
        <v>3071</v>
      </c>
      <c r="E818" s="222"/>
      <c r="F818" s="208" t="s">
        <v>280</v>
      </c>
      <c r="G818" s="209"/>
      <c r="H818" s="209"/>
      <c r="I818" s="57" t="s">
        <v>902</v>
      </c>
      <c r="J818" s="116"/>
      <c r="K818" s="210">
        <v>2250000</v>
      </c>
      <c r="L818" s="119"/>
      <c r="M818" s="118">
        <v>23000</v>
      </c>
      <c r="N818" s="119"/>
      <c r="O818" s="118">
        <v>17700</v>
      </c>
      <c r="P818" s="119"/>
      <c r="Q818" s="118"/>
      <c r="R818" s="119"/>
      <c r="S818" s="118"/>
      <c r="T818" s="119"/>
      <c r="U818" s="211">
        <f>SUM(K818:T819)</f>
        <v>2290700</v>
      </c>
      <c r="V818" s="212"/>
      <c r="W818" s="124">
        <v>1300000</v>
      </c>
      <c r="X818" s="215" t="s">
        <v>3072</v>
      </c>
      <c r="Y818" s="215"/>
      <c r="Z818" s="215"/>
      <c r="AA818" s="215"/>
      <c r="AB818" s="215"/>
      <c r="AC818" s="15" t="s">
        <v>20</v>
      </c>
      <c r="AD818" s="78"/>
      <c r="AE818" s="227" t="s">
        <v>1955</v>
      </c>
      <c r="AF818" s="228"/>
      <c r="AG818" s="228"/>
      <c r="AH818" s="228"/>
      <c r="AI818" s="229"/>
      <c r="AJ818" s="225" t="s">
        <v>3073</v>
      </c>
      <c r="AK818" s="223"/>
      <c r="AL818" s="224"/>
      <c r="AM818" s="21"/>
      <c r="AN818" s="216"/>
      <c r="AO818" s="217"/>
      <c r="AP818" s="135"/>
      <c r="AQ818" s="136"/>
      <c r="AR818" s="196"/>
      <c r="AS818" s="197"/>
      <c r="AT818" s="196"/>
      <c r="AU818" s="197"/>
      <c r="AV818" s="196"/>
      <c r="AW818" s="197"/>
      <c r="AX818" s="218">
        <f>SUM(AR818:AW819)</f>
        <v>0</v>
      </c>
      <c r="AY818" s="218"/>
      <c r="AZ818" s="200"/>
    </row>
    <row r="819" spans="1:52" ht="17.100000000000001" customHeight="1" thickBot="1">
      <c r="A819" s="110"/>
      <c r="B819" s="58" t="s">
        <v>3074</v>
      </c>
      <c r="C819" s="79"/>
      <c r="D819" s="58" t="s">
        <v>112</v>
      </c>
      <c r="E819" s="207"/>
      <c r="F819" s="188" t="s">
        <v>3075</v>
      </c>
      <c r="G819" s="189"/>
      <c r="H819" s="189"/>
      <c r="I819" s="59">
        <v>100</v>
      </c>
      <c r="J819" s="117"/>
      <c r="K819" s="182"/>
      <c r="L819" s="121"/>
      <c r="M819" s="120"/>
      <c r="N819" s="121"/>
      <c r="O819" s="120"/>
      <c r="P819" s="121"/>
      <c r="Q819" s="120"/>
      <c r="R819" s="121"/>
      <c r="S819" s="120"/>
      <c r="T819" s="121"/>
      <c r="U819" s="213"/>
      <c r="V819" s="214"/>
      <c r="W819" s="125"/>
      <c r="X819" s="190" t="s">
        <v>3076</v>
      </c>
      <c r="Y819" s="190"/>
      <c r="Z819" s="190"/>
      <c r="AA819" s="190"/>
      <c r="AB819" s="190"/>
      <c r="AC819" s="16" t="s">
        <v>21</v>
      </c>
      <c r="AD819" s="80"/>
      <c r="AE819" s="230"/>
      <c r="AF819" s="231"/>
      <c r="AG819" s="231"/>
      <c r="AH819" s="231"/>
      <c r="AI819" s="232"/>
      <c r="AJ819" s="204"/>
      <c r="AK819" s="202"/>
      <c r="AL819" s="203"/>
      <c r="AM819" s="22"/>
      <c r="AN819" s="191"/>
      <c r="AO819" s="192"/>
      <c r="AP819" s="148"/>
      <c r="AQ819" s="144"/>
      <c r="AR819" s="198"/>
      <c r="AS819" s="199"/>
      <c r="AT819" s="198"/>
      <c r="AU819" s="199"/>
      <c r="AV819" s="198"/>
      <c r="AW819" s="199"/>
      <c r="AX819" s="219"/>
      <c r="AY819" s="219"/>
      <c r="AZ819" s="201"/>
    </row>
    <row r="820" spans="1:52" ht="17.100000000000001" customHeight="1" thickTop="1">
      <c r="A820" s="109" t="s">
        <v>6147</v>
      </c>
      <c r="B820" s="54">
        <v>43473</v>
      </c>
      <c r="C820" s="77"/>
      <c r="D820" s="56" t="s">
        <v>3077</v>
      </c>
      <c r="E820" s="222"/>
      <c r="F820" s="208" t="s">
        <v>280</v>
      </c>
      <c r="G820" s="209"/>
      <c r="H820" s="209"/>
      <c r="I820" s="57" t="s">
        <v>929</v>
      </c>
      <c r="J820" s="116"/>
      <c r="K820" s="210">
        <v>100000</v>
      </c>
      <c r="L820" s="119"/>
      <c r="M820" s="118"/>
      <c r="N820" s="119"/>
      <c r="O820" s="118"/>
      <c r="P820" s="119"/>
      <c r="Q820" s="118"/>
      <c r="R820" s="119"/>
      <c r="S820" s="118"/>
      <c r="T820" s="119"/>
      <c r="U820" s="211">
        <f>SUM(K820:T821)</f>
        <v>100000</v>
      </c>
      <c r="V820" s="212"/>
      <c r="W820" s="124">
        <v>20000</v>
      </c>
      <c r="X820" s="215" t="s">
        <v>3078</v>
      </c>
      <c r="Y820" s="215"/>
      <c r="Z820" s="215"/>
      <c r="AA820" s="215"/>
      <c r="AB820" s="215"/>
      <c r="AC820" s="15" t="s">
        <v>20</v>
      </c>
      <c r="AD820" s="78"/>
      <c r="AE820" s="227" t="s">
        <v>79</v>
      </c>
      <c r="AF820" s="228"/>
      <c r="AG820" s="228"/>
      <c r="AH820" s="228"/>
      <c r="AI820" s="229"/>
      <c r="AJ820" s="225"/>
      <c r="AK820" s="223"/>
      <c r="AL820" s="224"/>
      <c r="AM820" s="21"/>
      <c r="AN820" s="216"/>
      <c r="AO820" s="217"/>
      <c r="AP820" s="135"/>
      <c r="AQ820" s="136"/>
      <c r="AR820" s="196"/>
      <c r="AS820" s="197"/>
      <c r="AT820" s="196"/>
      <c r="AU820" s="197"/>
      <c r="AV820" s="196"/>
      <c r="AW820" s="197"/>
      <c r="AX820" s="218">
        <f>SUM(AR820:AW821)</f>
        <v>0</v>
      </c>
      <c r="AY820" s="218"/>
      <c r="AZ820" s="200"/>
    </row>
    <row r="821" spans="1:52" ht="17.100000000000001" customHeight="1" thickBot="1">
      <c r="A821" s="110"/>
      <c r="B821" s="64" t="s">
        <v>3079</v>
      </c>
      <c r="C821" s="79"/>
      <c r="D821" s="58"/>
      <c r="E821" s="207"/>
      <c r="F821" s="188" t="s">
        <v>3080</v>
      </c>
      <c r="G821" s="189"/>
      <c r="H821" s="189"/>
      <c r="I821" s="59"/>
      <c r="J821" s="117"/>
      <c r="K821" s="182"/>
      <c r="L821" s="121"/>
      <c r="M821" s="120"/>
      <c r="N821" s="121"/>
      <c r="O821" s="120"/>
      <c r="P821" s="121"/>
      <c r="Q821" s="120"/>
      <c r="R821" s="121"/>
      <c r="S821" s="120"/>
      <c r="T821" s="121"/>
      <c r="U821" s="213"/>
      <c r="V821" s="214"/>
      <c r="W821" s="125"/>
      <c r="X821" s="190" t="s">
        <v>3081</v>
      </c>
      <c r="Y821" s="190"/>
      <c r="Z821" s="190"/>
      <c r="AA821" s="190"/>
      <c r="AB821" s="190"/>
      <c r="AC821" s="16" t="s">
        <v>21</v>
      </c>
      <c r="AD821" s="80"/>
      <c r="AE821" s="233"/>
      <c r="AF821" s="234"/>
      <c r="AG821" s="234"/>
      <c r="AH821" s="234"/>
      <c r="AI821" s="235"/>
      <c r="AJ821" s="204"/>
      <c r="AK821" s="202"/>
      <c r="AL821" s="203"/>
      <c r="AM821" s="22" t="s">
        <v>51</v>
      </c>
      <c r="AN821" s="191"/>
      <c r="AO821" s="192"/>
      <c r="AP821" s="148"/>
      <c r="AQ821" s="144"/>
      <c r="AR821" s="198"/>
      <c r="AS821" s="199"/>
      <c r="AT821" s="198"/>
      <c r="AU821" s="199"/>
      <c r="AV821" s="198"/>
      <c r="AW821" s="199"/>
      <c r="AX821" s="219"/>
      <c r="AY821" s="219"/>
      <c r="AZ821" s="201"/>
    </row>
    <row r="822" spans="1:52" ht="17.100000000000001" customHeight="1" thickTop="1">
      <c r="A822" s="109" t="s">
        <v>6148</v>
      </c>
      <c r="B822" s="54">
        <v>43484</v>
      </c>
      <c r="C822" s="77"/>
      <c r="D822" s="56" t="s">
        <v>3077</v>
      </c>
      <c r="E822" s="222"/>
      <c r="F822" s="208" t="s">
        <v>280</v>
      </c>
      <c r="G822" s="209"/>
      <c r="H822" s="209"/>
      <c r="I822" s="57" t="s">
        <v>3082</v>
      </c>
      <c r="J822" s="116"/>
      <c r="K822" s="210">
        <v>0</v>
      </c>
      <c r="L822" s="119"/>
      <c r="M822" s="118"/>
      <c r="N822" s="119"/>
      <c r="O822" s="118"/>
      <c r="P822" s="119"/>
      <c r="Q822" s="118"/>
      <c r="R822" s="119"/>
      <c r="S822" s="118"/>
      <c r="T822" s="119"/>
      <c r="U822" s="211">
        <f>SUM(K822:T823)</f>
        <v>0</v>
      </c>
      <c r="V822" s="212"/>
      <c r="W822" s="124">
        <v>0</v>
      </c>
      <c r="X822" s="215" t="s">
        <v>3083</v>
      </c>
      <c r="Y822" s="215"/>
      <c r="Z822" s="215"/>
      <c r="AA822" s="215"/>
      <c r="AB822" s="215"/>
      <c r="AC822" s="15" t="s">
        <v>20</v>
      </c>
      <c r="AD822" s="78"/>
      <c r="AE822" s="227" t="s">
        <v>3084</v>
      </c>
      <c r="AF822" s="228"/>
      <c r="AG822" s="228"/>
      <c r="AH822" s="228"/>
      <c r="AI822" s="229"/>
      <c r="AJ822" s="225"/>
      <c r="AK822" s="223"/>
      <c r="AL822" s="224"/>
      <c r="AM822" s="21"/>
      <c r="AN822" s="216"/>
      <c r="AO822" s="217"/>
      <c r="AP822" s="135"/>
      <c r="AQ822" s="136"/>
      <c r="AR822" s="196"/>
      <c r="AS822" s="197"/>
      <c r="AT822" s="196"/>
      <c r="AU822" s="197"/>
      <c r="AV822" s="196"/>
      <c r="AW822" s="197"/>
      <c r="AX822" s="218">
        <f>SUM(AR822:AW823)</f>
        <v>0</v>
      </c>
      <c r="AY822" s="218"/>
      <c r="AZ822" s="200"/>
    </row>
    <row r="823" spans="1:52" ht="17.100000000000001" customHeight="1" thickBot="1">
      <c r="A823" s="110"/>
      <c r="B823" s="64" t="s">
        <v>3085</v>
      </c>
      <c r="C823" s="79"/>
      <c r="D823" s="58"/>
      <c r="E823" s="207"/>
      <c r="F823" s="188" t="s">
        <v>3086</v>
      </c>
      <c r="G823" s="189"/>
      <c r="H823" s="189"/>
      <c r="I823" s="59"/>
      <c r="J823" s="117"/>
      <c r="K823" s="182"/>
      <c r="L823" s="121"/>
      <c r="M823" s="120"/>
      <c r="N823" s="121"/>
      <c r="O823" s="120"/>
      <c r="P823" s="121"/>
      <c r="Q823" s="120"/>
      <c r="R823" s="121"/>
      <c r="S823" s="120"/>
      <c r="T823" s="121"/>
      <c r="U823" s="213"/>
      <c r="V823" s="214"/>
      <c r="W823" s="125"/>
      <c r="X823" s="190" t="s">
        <v>3087</v>
      </c>
      <c r="Y823" s="190"/>
      <c r="Z823" s="190"/>
      <c r="AA823" s="190"/>
      <c r="AB823" s="190"/>
      <c r="AC823" s="16" t="s">
        <v>21</v>
      </c>
      <c r="AD823" s="80"/>
      <c r="AE823" s="233"/>
      <c r="AF823" s="234"/>
      <c r="AG823" s="234"/>
      <c r="AH823" s="234"/>
      <c r="AI823" s="235"/>
      <c r="AJ823" s="204"/>
      <c r="AK823" s="202"/>
      <c r="AL823" s="203"/>
      <c r="AM823" s="22" t="s">
        <v>928</v>
      </c>
      <c r="AN823" s="191"/>
      <c r="AO823" s="192"/>
      <c r="AP823" s="148"/>
      <c r="AQ823" s="144"/>
      <c r="AR823" s="198"/>
      <c r="AS823" s="199"/>
      <c r="AT823" s="198"/>
      <c r="AU823" s="199"/>
      <c r="AV823" s="198"/>
      <c r="AW823" s="199"/>
      <c r="AX823" s="219"/>
      <c r="AY823" s="219"/>
      <c r="AZ823" s="201"/>
    </row>
    <row r="824" spans="1:52" ht="17.100000000000001" customHeight="1" thickTop="1">
      <c r="A824" s="109" t="s">
        <v>6149</v>
      </c>
      <c r="B824" s="54">
        <v>43616</v>
      </c>
      <c r="C824" s="77"/>
      <c r="D824" s="56" t="s">
        <v>3088</v>
      </c>
      <c r="E824" s="222"/>
      <c r="F824" s="208" t="s">
        <v>3089</v>
      </c>
      <c r="G824" s="209"/>
      <c r="H824" s="209"/>
      <c r="I824" s="57"/>
      <c r="J824" s="116"/>
      <c r="K824" s="210">
        <v>1870000</v>
      </c>
      <c r="L824" s="119"/>
      <c r="M824" s="118"/>
      <c r="N824" s="119"/>
      <c r="O824" s="118">
        <v>21650</v>
      </c>
      <c r="P824" s="119"/>
      <c r="Q824" s="118"/>
      <c r="R824" s="119"/>
      <c r="S824" s="118"/>
      <c r="T824" s="119"/>
      <c r="U824" s="118">
        <f>SUM(K824:T825)</f>
        <v>1891650</v>
      </c>
      <c r="V824" s="210"/>
      <c r="W824" s="124">
        <v>1200000</v>
      </c>
      <c r="X824" s="225" t="s">
        <v>3090</v>
      </c>
      <c r="Y824" s="223"/>
      <c r="Z824" s="223"/>
      <c r="AA824" s="223"/>
      <c r="AB824" s="224"/>
      <c r="AC824" s="15" t="s">
        <v>20</v>
      </c>
      <c r="AD824" s="78"/>
      <c r="AE824" s="227" t="s">
        <v>79</v>
      </c>
      <c r="AF824" s="228"/>
      <c r="AG824" s="228"/>
      <c r="AH824" s="228"/>
      <c r="AI824" s="229"/>
      <c r="AJ824" s="225" t="s">
        <v>3091</v>
      </c>
      <c r="AK824" s="223"/>
      <c r="AL824" s="224"/>
      <c r="AM824" s="21"/>
      <c r="AN824" s="226"/>
      <c r="AO824" s="216"/>
      <c r="AP824" s="135"/>
      <c r="AQ824" s="136"/>
      <c r="AR824" s="196"/>
      <c r="AS824" s="197"/>
      <c r="AT824" s="196"/>
      <c r="AU824" s="197"/>
      <c r="AV824" s="196"/>
      <c r="AW824" s="197"/>
      <c r="AX824" s="196">
        <f>SUM(AR824:AW825)</f>
        <v>0</v>
      </c>
      <c r="AY824" s="197"/>
      <c r="AZ824" s="200"/>
    </row>
    <row r="825" spans="1:52" ht="17.100000000000001" customHeight="1" thickBot="1">
      <c r="A825" s="110"/>
      <c r="B825" s="64" t="s">
        <v>3092</v>
      </c>
      <c r="C825" s="81"/>
      <c r="D825" s="58" t="s">
        <v>375</v>
      </c>
      <c r="E825" s="207"/>
      <c r="F825" s="188" t="s">
        <v>3093</v>
      </c>
      <c r="G825" s="189"/>
      <c r="H825" s="189"/>
      <c r="I825" s="59"/>
      <c r="J825" s="117"/>
      <c r="K825" s="182"/>
      <c r="L825" s="121"/>
      <c r="M825" s="120"/>
      <c r="N825" s="121"/>
      <c r="O825" s="120"/>
      <c r="P825" s="121"/>
      <c r="Q825" s="120"/>
      <c r="R825" s="121"/>
      <c r="S825" s="120"/>
      <c r="T825" s="121"/>
      <c r="U825" s="120"/>
      <c r="V825" s="182"/>
      <c r="W825" s="236"/>
      <c r="X825" s="204" t="s">
        <v>3094</v>
      </c>
      <c r="Y825" s="202"/>
      <c r="Z825" s="202"/>
      <c r="AA825" s="202"/>
      <c r="AB825" s="203"/>
      <c r="AC825" s="16" t="s">
        <v>21</v>
      </c>
      <c r="AD825" s="80"/>
      <c r="AE825" s="233"/>
      <c r="AF825" s="234"/>
      <c r="AG825" s="234"/>
      <c r="AH825" s="234"/>
      <c r="AI825" s="235"/>
      <c r="AJ825" s="204"/>
      <c r="AK825" s="202"/>
      <c r="AL825" s="203"/>
      <c r="AM825" s="22"/>
      <c r="AN825" s="205"/>
      <c r="AO825" s="191"/>
      <c r="AP825" s="148"/>
      <c r="AQ825" s="144"/>
      <c r="AR825" s="198"/>
      <c r="AS825" s="199"/>
      <c r="AT825" s="198"/>
      <c r="AU825" s="199"/>
      <c r="AV825" s="198"/>
      <c r="AW825" s="199"/>
      <c r="AX825" s="198"/>
      <c r="AY825" s="199"/>
      <c r="AZ825" s="201"/>
    </row>
    <row r="826" spans="1:52" ht="17.100000000000001" customHeight="1" thickTop="1">
      <c r="A826" s="109" t="s">
        <v>6150</v>
      </c>
      <c r="B826" s="54">
        <v>43745</v>
      </c>
      <c r="C826" s="77"/>
      <c r="D826" s="56" t="s">
        <v>3095</v>
      </c>
      <c r="E826" s="222"/>
      <c r="F826" s="208" t="s">
        <v>3096</v>
      </c>
      <c r="G826" s="209"/>
      <c r="H826" s="209"/>
      <c r="I826" s="57"/>
      <c r="J826" s="116"/>
      <c r="K826" s="210">
        <v>2070000</v>
      </c>
      <c r="L826" s="119"/>
      <c r="M826" s="118">
        <v>16400</v>
      </c>
      <c r="N826" s="119"/>
      <c r="O826" s="118">
        <v>17700</v>
      </c>
      <c r="P826" s="119"/>
      <c r="Q826" s="118"/>
      <c r="R826" s="119"/>
      <c r="S826" s="118"/>
      <c r="T826" s="119"/>
      <c r="U826" s="211">
        <f>SUM(K826:T827)</f>
        <v>2104100</v>
      </c>
      <c r="V826" s="212"/>
      <c r="W826" s="124">
        <v>1200000</v>
      </c>
      <c r="X826" s="215" t="s">
        <v>3097</v>
      </c>
      <c r="Y826" s="215"/>
      <c r="Z826" s="215"/>
      <c r="AA826" s="215"/>
      <c r="AB826" s="215"/>
      <c r="AC826" s="15" t="s">
        <v>20</v>
      </c>
      <c r="AD826" s="78"/>
      <c r="AE826" s="227" t="s">
        <v>158</v>
      </c>
      <c r="AF826" s="228"/>
      <c r="AG826" s="228"/>
      <c r="AH826" s="228"/>
      <c r="AI826" s="229"/>
      <c r="AJ826" s="225" t="s">
        <v>3098</v>
      </c>
      <c r="AK826" s="223"/>
      <c r="AL826" s="224"/>
      <c r="AM826" s="21"/>
      <c r="AN826" s="216"/>
      <c r="AO826" s="217"/>
      <c r="AP826" s="135"/>
      <c r="AQ826" s="136"/>
      <c r="AR826" s="196"/>
      <c r="AS826" s="197"/>
      <c r="AT826" s="196"/>
      <c r="AU826" s="197"/>
      <c r="AV826" s="196"/>
      <c r="AW826" s="197"/>
      <c r="AX826" s="218">
        <f>SUM(AR826:AW827)</f>
        <v>0</v>
      </c>
      <c r="AY826" s="218"/>
      <c r="AZ826" s="200"/>
    </row>
    <row r="827" spans="1:52" ht="17.100000000000001" customHeight="1" thickBot="1">
      <c r="A827" s="110"/>
      <c r="B827" s="64" t="s">
        <v>3092</v>
      </c>
      <c r="C827" s="79"/>
      <c r="D827" s="58" t="s">
        <v>3099</v>
      </c>
      <c r="E827" s="207"/>
      <c r="F827" s="188" t="s">
        <v>3100</v>
      </c>
      <c r="G827" s="189"/>
      <c r="H827" s="189"/>
      <c r="I827" s="59">
        <v>43452</v>
      </c>
      <c r="J827" s="117"/>
      <c r="K827" s="182"/>
      <c r="L827" s="121"/>
      <c r="M827" s="120"/>
      <c r="N827" s="121"/>
      <c r="O827" s="120"/>
      <c r="P827" s="121"/>
      <c r="Q827" s="120"/>
      <c r="R827" s="121"/>
      <c r="S827" s="120"/>
      <c r="T827" s="121"/>
      <c r="U827" s="213"/>
      <c r="V827" s="214"/>
      <c r="W827" s="125"/>
      <c r="X827" s="190" t="s">
        <v>3101</v>
      </c>
      <c r="Y827" s="190"/>
      <c r="Z827" s="190"/>
      <c r="AA827" s="190"/>
      <c r="AB827" s="190"/>
      <c r="AC827" s="16" t="s">
        <v>21</v>
      </c>
      <c r="AD827" s="80"/>
      <c r="AE827" s="233"/>
      <c r="AF827" s="234"/>
      <c r="AG827" s="234"/>
      <c r="AH827" s="234"/>
      <c r="AI827" s="235"/>
      <c r="AJ827" s="204"/>
      <c r="AK827" s="202"/>
      <c r="AL827" s="203"/>
      <c r="AM827" s="22"/>
      <c r="AN827" s="191"/>
      <c r="AO827" s="192"/>
      <c r="AP827" s="148"/>
      <c r="AQ827" s="144"/>
      <c r="AR827" s="198"/>
      <c r="AS827" s="199"/>
      <c r="AT827" s="198"/>
      <c r="AU827" s="199"/>
      <c r="AV827" s="198"/>
      <c r="AW827" s="199"/>
      <c r="AX827" s="219"/>
      <c r="AY827" s="219"/>
      <c r="AZ827" s="201"/>
    </row>
    <row r="828" spans="1:52" ht="17.100000000000001" customHeight="1" thickTop="1">
      <c r="A828" s="109" t="s">
        <v>6151</v>
      </c>
      <c r="B828" s="54">
        <v>43763</v>
      </c>
      <c r="C828" s="77"/>
      <c r="D828" s="56" t="s">
        <v>3077</v>
      </c>
      <c r="E828" s="222"/>
      <c r="F828" s="208" t="s">
        <v>3102</v>
      </c>
      <c r="G828" s="209"/>
      <c r="H828" s="209"/>
      <c r="I828" s="57" t="s">
        <v>607</v>
      </c>
      <c r="J828" s="116"/>
      <c r="K828" s="210">
        <v>120000</v>
      </c>
      <c r="L828" s="119"/>
      <c r="M828" s="118">
        <v>13100</v>
      </c>
      <c r="N828" s="119"/>
      <c r="O828" s="118">
        <v>16890</v>
      </c>
      <c r="P828" s="119"/>
      <c r="Q828" s="118"/>
      <c r="R828" s="119"/>
      <c r="S828" s="118"/>
      <c r="T828" s="119"/>
      <c r="U828" s="211">
        <f>SUM(K828:T829)</f>
        <v>149990</v>
      </c>
      <c r="V828" s="212"/>
      <c r="W828" s="124">
        <v>20000</v>
      </c>
      <c r="X828" s="215" t="s">
        <v>3103</v>
      </c>
      <c r="Y828" s="215"/>
      <c r="Z828" s="215"/>
      <c r="AA828" s="215"/>
      <c r="AB828" s="215"/>
      <c r="AC828" s="15" t="s">
        <v>20</v>
      </c>
      <c r="AD828" s="78"/>
      <c r="AE828" s="227" t="s">
        <v>1955</v>
      </c>
      <c r="AF828" s="228"/>
      <c r="AG828" s="228"/>
      <c r="AH828" s="228"/>
      <c r="AI828" s="229"/>
      <c r="AJ828" s="132" t="s">
        <v>3104</v>
      </c>
      <c r="AK828" s="223"/>
      <c r="AL828" s="224"/>
      <c r="AM828" s="21"/>
      <c r="AN828" s="216"/>
      <c r="AO828" s="217"/>
      <c r="AP828" s="135"/>
      <c r="AQ828" s="136"/>
      <c r="AR828" s="196"/>
      <c r="AS828" s="197"/>
      <c r="AT828" s="196"/>
      <c r="AU828" s="197"/>
      <c r="AV828" s="196"/>
      <c r="AW828" s="197"/>
      <c r="AX828" s="218">
        <f>SUM(AR828:AW829)</f>
        <v>0</v>
      </c>
      <c r="AY828" s="218"/>
      <c r="AZ828" s="200"/>
    </row>
    <row r="829" spans="1:52" ht="17.100000000000001" customHeight="1" thickBot="1">
      <c r="A829" s="110"/>
      <c r="B829" s="64" t="s">
        <v>3092</v>
      </c>
      <c r="C829" s="79"/>
      <c r="D829" s="58" t="s">
        <v>3105</v>
      </c>
      <c r="E829" s="207"/>
      <c r="F829" s="188" t="s">
        <v>3106</v>
      </c>
      <c r="G829" s="189"/>
      <c r="H829" s="189"/>
      <c r="I829" s="59">
        <v>133268</v>
      </c>
      <c r="J829" s="117"/>
      <c r="K829" s="182"/>
      <c r="L829" s="121"/>
      <c r="M829" s="120"/>
      <c r="N829" s="121"/>
      <c r="O829" s="120"/>
      <c r="P829" s="121"/>
      <c r="Q829" s="120"/>
      <c r="R829" s="121"/>
      <c r="S829" s="120"/>
      <c r="T829" s="121"/>
      <c r="U829" s="213"/>
      <c r="V829" s="214"/>
      <c r="W829" s="125"/>
      <c r="X829" s="190" t="s">
        <v>3107</v>
      </c>
      <c r="Y829" s="190"/>
      <c r="Z829" s="190"/>
      <c r="AA829" s="190"/>
      <c r="AB829" s="190"/>
      <c r="AC829" s="16" t="s">
        <v>21</v>
      </c>
      <c r="AD829" s="80"/>
      <c r="AE829" s="233"/>
      <c r="AF829" s="234"/>
      <c r="AG829" s="234"/>
      <c r="AH829" s="234"/>
      <c r="AI829" s="235"/>
      <c r="AJ829" s="148" t="s">
        <v>3108</v>
      </c>
      <c r="AK829" s="202"/>
      <c r="AL829" s="203"/>
      <c r="AM829" s="22"/>
      <c r="AN829" s="191"/>
      <c r="AO829" s="192"/>
      <c r="AP829" s="148"/>
      <c r="AQ829" s="144"/>
      <c r="AR829" s="198"/>
      <c r="AS829" s="199"/>
      <c r="AT829" s="198"/>
      <c r="AU829" s="199"/>
      <c r="AV829" s="198"/>
      <c r="AW829" s="199"/>
      <c r="AX829" s="219"/>
      <c r="AY829" s="219"/>
      <c r="AZ829" s="201"/>
    </row>
    <row r="830" spans="1:52" ht="17.100000000000001" customHeight="1" thickTop="1">
      <c r="A830" s="109" t="s">
        <v>6152</v>
      </c>
      <c r="B830" s="54">
        <v>43837</v>
      </c>
      <c r="C830" s="77"/>
      <c r="D830" s="56" t="s">
        <v>378</v>
      </c>
      <c r="E830" s="222"/>
      <c r="F830" s="208" t="s">
        <v>3109</v>
      </c>
      <c r="G830" s="209"/>
      <c r="H830" s="209"/>
      <c r="I830" s="57"/>
      <c r="J830" s="116"/>
      <c r="K830" s="210">
        <v>1300000</v>
      </c>
      <c r="L830" s="119"/>
      <c r="M830" s="118"/>
      <c r="N830" s="119"/>
      <c r="O830" s="118">
        <v>16360</v>
      </c>
      <c r="P830" s="119"/>
      <c r="Q830" s="118"/>
      <c r="R830" s="119"/>
      <c r="S830" s="118"/>
      <c r="T830" s="119"/>
      <c r="U830" s="118">
        <f>SUM(K830:T831)</f>
        <v>1316360</v>
      </c>
      <c r="V830" s="210"/>
      <c r="W830" s="124">
        <v>300000</v>
      </c>
      <c r="X830" s="225" t="s">
        <v>3110</v>
      </c>
      <c r="Y830" s="223"/>
      <c r="Z830" s="223"/>
      <c r="AA830" s="223"/>
      <c r="AB830" s="224"/>
      <c r="AC830" s="15" t="s">
        <v>20</v>
      </c>
      <c r="AD830" s="78"/>
      <c r="AE830" s="227" t="s">
        <v>3111</v>
      </c>
      <c r="AF830" s="228"/>
      <c r="AG830" s="228"/>
      <c r="AH830" s="228"/>
      <c r="AI830" s="229"/>
      <c r="AJ830" s="225" t="s">
        <v>3112</v>
      </c>
      <c r="AK830" s="223"/>
      <c r="AL830" s="224"/>
      <c r="AM830" s="21"/>
      <c r="AN830" s="226"/>
      <c r="AO830" s="216"/>
      <c r="AP830" s="135"/>
      <c r="AQ830" s="136"/>
      <c r="AR830" s="196"/>
      <c r="AS830" s="197"/>
      <c r="AT830" s="196"/>
      <c r="AU830" s="197"/>
      <c r="AV830" s="196"/>
      <c r="AW830" s="197"/>
      <c r="AX830" s="196">
        <f>SUM(AR830:AW831)</f>
        <v>0</v>
      </c>
      <c r="AY830" s="197"/>
      <c r="AZ830" s="200"/>
    </row>
    <row r="831" spans="1:52" ht="17.100000000000001" customHeight="1" thickBot="1">
      <c r="A831" s="110"/>
      <c r="B831" s="64" t="s">
        <v>3113</v>
      </c>
      <c r="C831" s="81"/>
      <c r="D831" s="58" t="s">
        <v>447</v>
      </c>
      <c r="E831" s="207"/>
      <c r="F831" s="188" t="s">
        <v>3114</v>
      </c>
      <c r="G831" s="189"/>
      <c r="H831" s="189"/>
      <c r="I831" s="59">
        <v>40000</v>
      </c>
      <c r="J831" s="117"/>
      <c r="K831" s="182"/>
      <c r="L831" s="121"/>
      <c r="M831" s="120"/>
      <c r="N831" s="121"/>
      <c r="O831" s="120"/>
      <c r="P831" s="121"/>
      <c r="Q831" s="120"/>
      <c r="R831" s="121"/>
      <c r="S831" s="120"/>
      <c r="T831" s="121"/>
      <c r="U831" s="120"/>
      <c r="V831" s="182"/>
      <c r="W831" s="125"/>
      <c r="X831" s="204" t="s">
        <v>3115</v>
      </c>
      <c r="Y831" s="202"/>
      <c r="Z831" s="202"/>
      <c r="AA831" s="202"/>
      <c r="AB831" s="203"/>
      <c r="AC831" s="16" t="s">
        <v>21</v>
      </c>
      <c r="AD831" s="80"/>
      <c r="AE831" s="233"/>
      <c r="AF831" s="234"/>
      <c r="AG831" s="234"/>
      <c r="AH831" s="234"/>
      <c r="AI831" s="235"/>
      <c r="AJ831" s="204"/>
      <c r="AK831" s="202"/>
      <c r="AL831" s="203"/>
      <c r="AM831" s="22"/>
      <c r="AN831" s="205"/>
      <c r="AO831" s="191"/>
      <c r="AP831" s="148"/>
      <c r="AQ831" s="144"/>
      <c r="AR831" s="198"/>
      <c r="AS831" s="199"/>
      <c r="AT831" s="198"/>
      <c r="AU831" s="199"/>
      <c r="AV831" s="198"/>
      <c r="AW831" s="199"/>
      <c r="AX831" s="198"/>
      <c r="AY831" s="199"/>
      <c r="AZ831" s="201"/>
    </row>
    <row r="832" spans="1:52" ht="17.100000000000001" customHeight="1" thickTop="1">
      <c r="A832" s="109" t="s">
        <v>6153</v>
      </c>
      <c r="B832" s="54">
        <v>44065</v>
      </c>
      <c r="C832" s="77"/>
      <c r="D832" s="56" t="s">
        <v>3065</v>
      </c>
      <c r="E832" s="222"/>
      <c r="F832" s="208" t="s">
        <v>181</v>
      </c>
      <c r="G832" s="209"/>
      <c r="H832" s="209"/>
      <c r="I832" s="57" t="s">
        <v>3116</v>
      </c>
      <c r="J832" s="116"/>
      <c r="K832" s="210">
        <v>1720000</v>
      </c>
      <c r="L832" s="119"/>
      <c r="M832" s="118">
        <v>23000</v>
      </c>
      <c r="N832" s="119"/>
      <c r="O832" s="118">
        <v>18960</v>
      </c>
      <c r="P832" s="119"/>
      <c r="Q832" s="118"/>
      <c r="R832" s="119"/>
      <c r="S832" s="118"/>
      <c r="T832" s="119"/>
      <c r="U832" s="118">
        <f>SUM(K832:T833)</f>
        <v>1761960</v>
      </c>
      <c r="V832" s="210"/>
      <c r="W832" s="124">
        <v>1400000</v>
      </c>
      <c r="X832" s="225" t="s">
        <v>3117</v>
      </c>
      <c r="Y832" s="223"/>
      <c r="Z832" s="223"/>
      <c r="AA832" s="223"/>
      <c r="AB832" s="224"/>
      <c r="AC832" s="15" t="s">
        <v>20</v>
      </c>
      <c r="AD832" s="78"/>
      <c r="AE832" s="227" t="s">
        <v>1955</v>
      </c>
      <c r="AF832" s="228"/>
      <c r="AG832" s="228"/>
      <c r="AH832" s="228"/>
      <c r="AI832" s="229"/>
      <c r="AJ832" s="225" t="s">
        <v>3118</v>
      </c>
      <c r="AK832" s="223"/>
      <c r="AL832" s="224"/>
      <c r="AM832" s="21"/>
      <c r="AN832" s="226"/>
      <c r="AO832" s="216"/>
      <c r="AP832" s="135"/>
      <c r="AQ832" s="136"/>
      <c r="AR832" s="196"/>
      <c r="AS832" s="197"/>
      <c r="AT832" s="196"/>
      <c r="AU832" s="197"/>
      <c r="AV832" s="196"/>
      <c r="AW832" s="197"/>
      <c r="AX832" s="196">
        <f>SUM(AR832:AW833)</f>
        <v>0</v>
      </c>
      <c r="AY832" s="197"/>
      <c r="AZ832" s="200"/>
    </row>
    <row r="833" spans="1:52" ht="17.100000000000001" customHeight="1" thickBot="1">
      <c r="A833" s="110"/>
      <c r="B833" s="64" t="s">
        <v>3092</v>
      </c>
      <c r="C833" s="81"/>
      <c r="D833" s="58" t="s">
        <v>3119</v>
      </c>
      <c r="E833" s="207"/>
      <c r="F833" s="188" t="s">
        <v>3120</v>
      </c>
      <c r="G833" s="189"/>
      <c r="H833" s="189"/>
      <c r="I833" s="59">
        <v>33335</v>
      </c>
      <c r="J833" s="117"/>
      <c r="K833" s="182"/>
      <c r="L833" s="121"/>
      <c r="M833" s="120"/>
      <c r="N833" s="121"/>
      <c r="O833" s="120"/>
      <c r="P833" s="121"/>
      <c r="Q833" s="120"/>
      <c r="R833" s="121"/>
      <c r="S833" s="120"/>
      <c r="T833" s="121"/>
      <c r="U833" s="120"/>
      <c r="V833" s="182"/>
      <c r="W833" s="125"/>
      <c r="X833" s="204" t="s">
        <v>3121</v>
      </c>
      <c r="Y833" s="202"/>
      <c r="Z833" s="202"/>
      <c r="AA833" s="202"/>
      <c r="AB833" s="203"/>
      <c r="AC833" s="16" t="s">
        <v>21</v>
      </c>
      <c r="AD833" s="80"/>
      <c r="AE833" s="233"/>
      <c r="AF833" s="234"/>
      <c r="AG833" s="234"/>
      <c r="AH833" s="234"/>
      <c r="AI833" s="235"/>
      <c r="AJ833" s="204"/>
      <c r="AK833" s="202"/>
      <c r="AL833" s="203"/>
      <c r="AM833" s="22"/>
      <c r="AN833" s="205"/>
      <c r="AO833" s="191"/>
      <c r="AP833" s="148"/>
      <c r="AQ833" s="144"/>
      <c r="AR833" s="198"/>
      <c r="AS833" s="199"/>
      <c r="AT833" s="198"/>
      <c r="AU833" s="199"/>
      <c r="AV833" s="198"/>
      <c r="AW833" s="199"/>
      <c r="AX833" s="198"/>
      <c r="AY833" s="199"/>
      <c r="AZ833" s="201"/>
    </row>
    <row r="834" spans="1:52" ht="17.100000000000001" customHeight="1" thickTop="1">
      <c r="A834" s="109" t="s">
        <v>6154</v>
      </c>
      <c r="B834" s="54">
        <v>44126</v>
      </c>
      <c r="C834" s="77"/>
      <c r="D834" s="56" t="s">
        <v>3065</v>
      </c>
      <c r="E834" s="222"/>
      <c r="F834" s="208" t="s">
        <v>3102</v>
      </c>
      <c r="G834" s="209"/>
      <c r="H834" s="209"/>
      <c r="I834" s="57" t="s">
        <v>3116</v>
      </c>
      <c r="J834" s="116"/>
      <c r="K834" s="210">
        <v>2120000</v>
      </c>
      <c r="L834" s="119"/>
      <c r="M834" s="118">
        <v>14300</v>
      </c>
      <c r="N834" s="119"/>
      <c r="O834" s="118">
        <v>19440</v>
      </c>
      <c r="P834" s="119"/>
      <c r="Q834" s="118"/>
      <c r="R834" s="119"/>
      <c r="S834" s="118"/>
      <c r="T834" s="119"/>
      <c r="U834" s="118">
        <f>SUM(K834:T835)</f>
        <v>2153740</v>
      </c>
      <c r="V834" s="210"/>
      <c r="W834" s="124">
        <v>1400000</v>
      </c>
      <c r="X834" s="225" t="s">
        <v>3122</v>
      </c>
      <c r="Y834" s="223"/>
      <c r="Z834" s="223"/>
      <c r="AA834" s="223"/>
      <c r="AB834" s="224"/>
      <c r="AC834" s="15" t="s">
        <v>20</v>
      </c>
      <c r="AD834" s="78"/>
      <c r="AE834" s="227" t="s">
        <v>3123</v>
      </c>
      <c r="AF834" s="228"/>
      <c r="AG834" s="228"/>
      <c r="AH834" s="228"/>
      <c r="AI834" s="229"/>
      <c r="AJ834" s="225" t="s">
        <v>3118</v>
      </c>
      <c r="AK834" s="223"/>
      <c r="AL834" s="224"/>
      <c r="AM834" s="21"/>
      <c r="AN834" s="226"/>
      <c r="AO834" s="216"/>
      <c r="AP834" s="135"/>
      <c r="AQ834" s="136"/>
      <c r="AR834" s="196"/>
      <c r="AS834" s="197"/>
      <c r="AT834" s="196"/>
      <c r="AU834" s="197"/>
      <c r="AV834" s="196"/>
      <c r="AW834" s="197"/>
      <c r="AX834" s="196">
        <f>SUM(AR834:AW835)</f>
        <v>0</v>
      </c>
      <c r="AY834" s="197"/>
      <c r="AZ834" s="200"/>
    </row>
    <row r="835" spans="1:52" ht="17.100000000000001" customHeight="1" thickBot="1">
      <c r="A835" s="110"/>
      <c r="B835" s="64" t="s">
        <v>3092</v>
      </c>
      <c r="C835" s="81"/>
      <c r="D835" s="58" t="s">
        <v>3124</v>
      </c>
      <c r="E835" s="207"/>
      <c r="F835" s="188" t="s">
        <v>3125</v>
      </c>
      <c r="G835" s="189"/>
      <c r="H835" s="189"/>
      <c r="I835" s="59">
        <v>32899</v>
      </c>
      <c r="J835" s="117"/>
      <c r="K835" s="182"/>
      <c r="L835" s="121"/>
      <c r="M835" s="120"/>
      <c r="N835" s="121"/>
      <c r="O835" s="120"/>
      <c r="P835" s="121"/>
      <c r="Q835" s="120"/>
      <c r="R835" s="121"/>
      <c r="S835" s="120"/>
      <c r="T835" s="121"/>
      <c r="U835" s="120"/>
      <c r="V835" s="182"/>
      <c r="W835" s="125"/>
      <c r="X835" s="204" t="s">
        <v>3126</v>
      </c>
      <c r="Y835" s="202"/>
      <c r="Z835" s="202"/>
      <c r="AA835" s="202"/>
      <c r="AB835" s="203"/>
      <c r="AC835" s="16" t="s">
        <v>21</v>
      </c>
      <c r="AD835" s="80"/>
      <c r="AE835" s="233"/>
      <c r="AF835" s="234"/>
      <c r="AG835" s="234"/>
      <c r="AH835" s="234"/>
      <c r="AI835" s="235"/>
      <c r="AJ835" s="204"/>
      <c r="AK835" s="202"/>
      <c r="AL835" s="203"/>
      <c r="AM835" s="22"/>
      <c r="AN835" s="205"/>
      <c r="AO835" s="191"/>
      <c r="AP835" s="148"/>
      <c r="AQ835" s="144"/>
      <c r="AR835" s="198"/>
      <c r="AS835" s="199"/>
      <c r="AT835" s="198"/>
      <c r="AU835" s="199"/>
      <c r="AV835" s="198"/>
      <c r="AW835" s="199"/>
      <c r="AX835" s="198"/>
      <c r="AY835" s="199"/>
      <c r="AZ835" s="201"/>
    </row>
    <row r="836" spans="1:52" ht="17.100000000000001" customHeight="1" thickTop="1">
      <c r="A836" s="109" t="s">
        <v>6155</v>
      </c>
      <c r="B836" s="54">
        <v>44140</v>
      </c>
      <c r="C836" s="77"/>
      <c r="D836" s="56" t="s">
        <v>3088</v>
      </c>
      <c r="E836" s="222"/>
      <c r="F836" s="208" t="s">
        <v>280</v>
      </c>
      <c r="G836" s="209"/>
      <c r="H836" s="209"/>
      <c r="I836" s="57" t="s">
        <v>747</v>
      </c>
      <c r="J836" s="116"/>
      <c r="K836" s="210">
        <v>2030000</v>
      </c>
      <c r="L836" s="119"/>
      <c r="M836" s="118">
        <v>13100</v>
      </c>
      <c r="N836" s="119"/>
      <c r="O836" s="118">
        <v>18960</v>
      </c>
      <c r="P836" s="119"/>
      <c r="Q836" s="118"/>
      <c r="R836" s="119"/>
      <c r="S836" s="118"/>
      <c r="T836" s="119"/>
      <c r="U836" s="118">
        <f>SUM(K836:T837)</f>
        <v>2062060</v>
      </c>
      <c r="V836" s="210"/>
      <c r="W836" s="124">
        <v>1500000</v>
      </c>
      <c r="X836" s="225" t="s">
        <v>3127</v>
      </c>
      <c r="Y836" s="223"/>
      <c r="Z836" s="223"/>
      <c r="AA836" s="223"/>
      <c r="AB836" s="224"/>
      <c r="AC836" s="15" t="s">
        <v>20</v>
      </c>
      <c r="AD836" s="78"/>
      <c r="AE836" s="227" t="s">
        <v>3128</v>
      </c>
      <c r="AF836" s="228"/>
      <c r="AG836" s="228"/>
      <c r="AH836" s="228"/>
      <c r="AI836" s="229"/>
      <c r="AJ836" s="225" t="s">
        <v>3129</v>
      </c>
      <c r="AK836" s="223"/>
      <c r="AL836" s="224"/>
      <c r="AM836" s="21"/>
      <c r="AN836" s="226"/>
      <c r="AO836" s="216"/>
      <c r="AP836" s="135"/>
      <c r="AQ836" s="136"/>
      <c r="AR836" s="196"/>
      <c r="AS836" s="197"/>
      <c r="AT836" s="196"/>
      <c r="AU836" s="197"/>
      <c r="AV836" s="196"/>
      <c r="AW836" s="197"/>
      <c r="AX836" s="196">
        <f>SUM(AR836:AW837)</f>
        <v>0</v>
      </c>
      <c r="AY836" s="197"/>
      <c r="AZ836" s="200"/>
    </row>
    <row r="837" spans="1:52" ht="17.100000000000001" customHeight="1" thickBot="1">
      <c r="A837" s="110"/>
      <c r="B837" s="64" t="s">
        <v>3092</v>
      </c>
      <c r="C837" s="81"/>
      <c r="D837" s="58" t="s">
        <v>3130</v>
      </c>
      <c r="E837" s="207"/>
      <c r="F837" s="188" t="s">
        <v>3131</v>
      </c>
      <c r="G837" s="189"/>
      <c r="H837" s="189"/>
      <c r="I837" s="59">
        <v>36020</v>
      </c>
      <c r="J837" s="117"/>
      <c r="K837" s="182"/>
      <c r="L837" s="121"/>
      <c r="M837" s="120"/>
      <c r="N837" s="121"/>
      <c r="O837" s="120"/>
      <c r="P837" s="121"/>
      <c r="Q837" s="120"/>
      <c r="R837" s="121"/>
      <c r="S837" s="120"/>
      <c r="T837" s="121"/>
      <c r="U837" s="120"/>
      <c r="V837" s="182"/>
      <c r="W837" s="125"/>
      <c r="X837" s="204" t="s">
        <v>3132</v>
      </c>
      <c r="Y837" s="202"/>
      <c r="Z837" s="202"/>
      <c r="AA837" s="202"/>
      <c r="AB837" s="203"/>
      <c r="AC837" s="16" t="s">
        <v>21</v>
      </c>
      <c r="AD837" s="80"/>
      <c r="AE837" s="233"/>
      <c r="AF837" s="234"/>
      <c r="AG837" s="234"/>
      <c r="AH837" s="234"/>
      <c r="AI837" s="235"/>
      <c r="AJ837" s="204"/>
      <c r="AK837" s="202"/>
      <c r="AL837" s="203"/>
      <c r="AM837" s="22"/>
      <c r="AN837" s="205"/>
      <c r="AO837" s="191"/>
      <c r="AP837" s="148"/>
      <c r="AQ837" s="144"/>
      <c r="AR837" s="198"/>
      <c r="AS837" s="199"/>
      <c r="AT837" s="198"/>
      <c r="AU837" s="199"/>
      <c r="AV837" s="198"/>
      <c r="AW837" s="199"/>
      <c r="AX837" s="198"/>
      <c r="AY837" s="199"/>
      <c r="AZ837" s="201"/>
    </row>
    <row r="838" spans="1:52" ht="17.100000000000001" customHeight="1" thickTop="1">
      <c r="A838" s="109" t="s">
        <v>6156</v>
      </c>
      <c r="B838" s="54">
        <v>44156</v>
      </c>
      <c r="C838" s="77"/>
      <c r="D838" s="56" t="s">
        <v>3071</v>
      </c>
      <c r="E838" s="222"/>
      <c r="F838" s="208" t="s">
        <v>3133</v>
      </c>
      <c r="G838" s="209"/>
      <c r="H838" s="209"/>
      <c r="I838" s="57" t="s">
        <v>3134</v>
      </c>
      <c r="J838" s="116"/>
      <c r="K838" s="210">
        <v>2000000</v>
      </c>
      <c r="L838" s="119"/>
      <c r="M838" s="118">
        <v>11500</v>
      </c>
      <c r="N838" s="119"/>
      <c r="O838" s="118">
        <v>19440</v>
      </c>
      <c r="P838" s="119"/>
      <c r="Q838" s="118"/>
      <c r="R838" s="119"/>
      <c r="S838" s="118"/>
      <c r="T838" s="119"/>
      <c r="U838" s="118">
        <f>SUM(K838:T839)</f>
        <v>2030940</v>
      </c>
      <c r="V838" s="210"/>
      <c r="W838" s="124">
        <v>1600000</v>
      </c>
      <c r="X838" s="225" t="s">
        <v>3135</v>
      </c>
      <c r="Y838" s="223"/>
      <c r="Z838" s="223"/>
      <c r="AA838" s="223"/>
      <c r="AB838" s="224"/>
      <c r="AC838" s="15" t="s">
        <v>20</v>
      </c>
      <c r="AD838" s="78"/>
      <c r="AE838" s="227" t="s">
        <v>79</v>
      </c>
      <c r="AF838" s="228"/>
      <c r="AG838" s="228"/>
      <c r="AH838" s="228"/>
      <c r="AI838" s="229"/>
      <c r="AJ838" s="225" t="s">
        <v>3136</v>
      </c>
      <c r="AK838" s="223"/>
      <c r="AL838" s="224"/>
      <c r="AM838" s="21" t="s">
        <v>3137</v>
      </c>
      <c r="AN838" s="226"/>
      <c r="AO838" s="216"/>
      <c r="AP838" s="135"/>
      <c r="AQ838" s="136"/>
      <c r="AR838" s="196"/>
      <c r="AS838" s="197"/>
      <c r="AT838" s="196"/>
      <c r="AU838" s="197"/>
      <c r="AV838" s="196"/>
      <c r="AW838" s="197"/>
      <c r="AX838" s="196">
        <f>SUM(AR838:AW839)</f>
        <v>0</v>
      </c>
      <c r="AY838" s="197"/>
      <c r="AZ838" s="200"/>
    </row>
    <row r="839" spans="1:52" ht="17.100000000000001" customHeight="1" thickBot="1">
      <c r="A839" s="110"/>
      <c r="B839" s="14" t="s">
        <v>3138</v>
      </c>
      <c r="C839" s="81"/>
      <c r="D839" s="58" t="s">
        <v>3139</v>
      </c>
      <c r="E839" s="207"/>
      <c r="F839" s="188" t="s">
        <v>3140</v>
      </c>
      <c r="G839" s="189"/>
      <c r="H839" s="189"/>
      <c r="I839" s="59"/>
      <c r="J839" s="117"/>
      <c r="K839" s="182"/>
      <c r="L839" s="121"/>
      <c r="M839" s="120"/>
      <c r="N839" s="121"/>
      <c r="O839" s="120"/>
      <c r="P839" s="121"/>
      <c r="Q839" s="120"/>
      <c r="R839" s="121"/>
      <c r="S839" s="120"/>
      <c r="T839" s="121"/>
      <c r="U839" s="120"/>
      <c r="V839" s="182"/>
      <c r="W839" s="125"/>
      <c r="X839" s="204" t="s">
        <v>3141</v>
      </c>
      <c r="Y839" s="202"/>
      <c r="Z839" s="202"/>
      <c r="AA839" s="202"/>
      <c r="AB839" s="203"/>
      <c r="AC839" s="16" t="s">
        <v>21</v>
      </c>
      <c r="AD839" s="80"/>
      <c r="AE839" s="233"/>
      <c r="AF839" s="234"/>
      <c r="AG839" s="234"/>
      <c r="AH839" s="234"/>
      <c r="AI839" s="235"/>
      <c r="AJ839" s="204"/>
      <c r="AK839" s="202"/>
      <c r="AL839" s="203"/>
      <c r="AM839" s="22" t="s">
        <v>907</v>
      </c>
      <c r="AN839" s="205"/>
      <c r="AO839" s="191"/>
      <c r="AP839" s="148"/>
      <c r="AQ839" s="144"/>
      <c r="AR839" s="198"/>
      <c r="AS839" s="199"/>
      <c r="AT839" s="198"/>
      <c r="AU839" s="199"/>
      <c r="AV839" s="198"/>
      <c r="AW839" s="199"/>
      <c r="AX839" s="198"/>
      <c r="AY839" s="199"/>
      <c r="AZ839" s="201"/>
    </row>
    <row r="840" spans="1:52" ht="17.100000000000001" customHeight="1" thickTop="1">
      <c r="A840" s="109" t="s">
        <v>6157</v>
      </c>
      <c r="B840" s="54">
        <v>44233</v>
      </c>
      <c r="C840" s="77"/>
      <c r="D840" s="56" t="s">
        <v>3077</v>
      </c>
      <c r="E840" s="222"/>
      <c r="F840" s="208" t="s">
        <v>3133</v>
      </c>
      <c r="G840" s="209"/>
      <c r="H840" s="209"/>
      <c r="I840" s="57" t="s">
        <v>3134</v>
      </c>
      <c r="J840" s="116"/>
      <c r="K840" s="210">
        <v>30000</v>
      </c>
      <c r="L840" s="119"/>
      <c r="M840" s="118"/>
      <c r="N840" s="119"/>
      <c r="O840" s="118"/>
      <c r="P840" s="119"/>
      <c r="Q840" s="118"/>
      <c r="R840" s="119"/>
      <c r="S840" s="118"/>
      <c r="T840" s="119"/>
      <c r="U840" s="118">
        <f>SUM(K840:T841)</f>
        <v>30000</v>
      </c>
      <c r="V840" s="210"/>
      <c r="W840" s="124">
        <v>30000</v>
      </c>
      <c r="X840" s="225" t="s">
        <v>3142</v>
      </c>
      <c r="Y840" s="223"/>
      <c r="Z840" s="223"/>
      <c r="AA840" s="223"/>
      <c r="AB840" s="224"/>
      <c r="AC840" s="15" t="s">
        <v>20</v>
      </c>
      <c r="AD840" s="78"/>
      <c r="AE840" s="227" t="s">
        <v>158</v>
      </c>
      <c r="AF840" s="228"/>
      <c r="AG840" s="228"/>
      <c r="AH840" s="228"/>
      <c r="AI840" s="229"/>
      <c r="AJ840" s="225"/>
      <c r="AK840" s="223"/>
      <c r="AL840" s="224"/>
      <c r="AM840" s="21"/>
      <c r="AN840" s="226"/>
      <c r="AO840" s="216"/>
      <c r="AP840" s="135"/>
      <c r="AQ840" s="136"/>
      <c r="AR840" s="196"/>
      <c r="AS840" s="197"/>
      <c r="AT840" s="196"/>
      <c r="AU840" s="197"/>
      <c r="AV840" s="196"/>
      <c r="AW840" s="197"/>
      <c r="AX840" s="196">
        <f>SUM(AR840:AW841)</f>
        <v>0</v>
      </c>
      <c r="AY840" s="197"/>
      <c r="AZ840" s="200"/>
    </row>
    <row r="841" spans="1:52" ht="17.100000000000001" customHeight="1" thickBot="1">
      <c r="A841" s="110"/>
      <c r="B841" s="64" t="s">
        <v>3143</v>
      </c>
      <c r="C841" s="81"/>
      <c r="D841" s="58" t="s">
        <v>3144</v>
      </c>
      <c r="E841" s="207"/>
      <c r="F841" s="188" t="s">
        <v>3145</v>
      </c>
      <c r="G841" s="189"/>
      <c r="H841" s="189"/>
      <c r="I841" s="59"/>
      <c r="J841" s="117"/>
      <c r="K841" s="182"/>
      <c r="L841" s="121"/>
      <c r="M841" s="120"/>
      <c r="N841" s="121"/>
      <c r="O841" s="120"/>
      <c r="P841" s="121"/>
      <c r="Q841" s="120"/>
      <c r="R841" s="121"/>
      <c r="S841" s="120"/>
      <c r="T841" s="121"/>
      <c r="U841" s="120"/>
      <c r="V841" s="182"/>
      <c r="W841" s="125"/>
      <c r="X841" s="204" t="s">
        <v>3146</v>
      </c>
      <c r="Y841" s="202"/>
      <c r="Z841" s="202"/>
      <c r="AA841" s="202"/>
      <c r="AB841" s="203"/>
      <c r="AC841" s="16" t="s">
        <v>21</v>
      </c>
      <c r="AD841" s="80"/>
      <c r="AE841" s="233"/>
      <c r="AF841" s="234"/>
      <c r="AG841" s="234"/>
      <c r="AH841" s="234"/>
      <c r="AI841" s="235"/>
      <c r="AJ841" s="204"/>
      <c r="AK841" s="202"/>
      <c r="AL841" s="203"/>
      <c r="AM841" s="22" t="s">
        <v>51</v>
      </c>
      <c r="AN841" s="205"/>
      <c r="AO841" s="191"/>
      <c r="AP841" s="148"/>
      <c r="AQ841" s="144"/>
      <c r="AR841" s="198"/>
      <c r="AS841" s="199"/>
      <c r="AT841" s="198"/>
      <c r="AU841" s="199"/>
      <c r="AV841" s="198"/>
      <c r="AW841" s="199"/>
      <c r="AX841" s="198"/>
      <c r="AY841" s="199"/>
      <c r="AZ841" s="201"/>
    </row>
    <row r="842" spans="1:52" ht="17.100000000000001" customHeight="1" thickTop="1">
      <c r="A842" s="109" t="s">
        <v>6158</v>
      </c>
      <c r="B842" s="54">
        <v>44309</v>
      </c>
      <c r="C842" s="77"/>
      <c r="D842" s="56" t="s">
        <v>807</v>
      </c>
      <c r="E842" s="222"/>
      <c r="F842" s="208" t="s">
        <v>280</v>
      </c>
      <c r="G842" s="209"/>
      <c r="H842" s="209"/>
      <c r="I842" s="57" t="s">
        <v>1019</v>
      </c>
      <c r="J842" s="116"/>
      <c r="K842" s="210">
        <v>1200000</v>
      </c>
      <c r="L842" s="119"/>
      <c r="M842" s="118"/>
      <c r="N842" s="119"/>
      <c r="O842" s="118"/>
      <c r="P842" s="119"/>
      <c r="Q842" s="118"/>
      <c r="R842" s="119"/>
      <c r="S842" s="118"/>
      <c r="T842" s="119"/>
      <c r="U842" s="118">
        <f>SUM(K842:T843)</f>
        <v>1200000</v>
      </c>
      <c r="V842" s="210"/>
      <c r="W842" s="124">
        <v>800000</v>
      </c>
      <c r="X842" s="225" t="s">
        <v>3147</v>
      </c>
      <c r="Y842" s="223"/>
      <c r="Z842" s="223"/>
      <c r="AA842" s="223"/>
      <c r="AB842" s="224"/>
      <c r="AC842" s="15" t="s">
        <v>20</v>
      </c>
      <c r="AD842" s="78"/>
      <c r="AE842" s="227" t="s">
        <v>158</v>
      </c>
      <c r="AF842" s="228"/>
      <c r="AG842" s="228"/>
      <c r="AH842" s="228"/>
      <c r="AI842" s="229"/>
      <c r="AJ842" s="225"/>
      <c r="AK842" s="223"/>
      <c r="AL842" s="224"/>
      <c r="AM842" s="21"/>
      <c r="AN842" s="226"/>
      <c r="AO842" s="216"/>
      <c r="AP842" s="135"/>
      <c r="AQ842" s="136"/>
      <c r="AR842" s="196"/>
      <c r="AS842" s="197"/>
      <c r="AT842" s="196"/>
      <c r="AU842" s="197"/>
      <c r="AV842" s="196"/>
      <c r="AW842" s="197"/>
      <c r="AX842" s="196">
        <f>SUM(AR842:AW843)</f>
        <v>0</v>
      </c>
      <c r="AY842" s="197"/>
      <c r="AZ842" s="200"/>
    </row>
    <row r="843" spans="1:52" ht="17.100000000000001" customHeight="1" thickBot="1">
      <c r="A843" s="110"/>
      <c r="B843" s="64" t="s">
        <v>3148</v>
      </c>
      <c r="C843" s="81"/>
      <c r="D843" s="58" t="s">
        <v>3149</v>
      </c>
      <c r="E843" s="207"/>
      <c r="F843" s="188" t="s">
        <v>3150</v>
      </c>
      <c r="G843" s="189"/>
      <c r="H843" s="189"/>
      <c r="I843" s="59"/>
      <c r="J843" s="117"/>
      <c r="K843" s="182"/>
      <c r="L843" s="121"/>
      <c r="M843" s="120"/>
      <c r="N843" s="121"/>
      <c r="O843" s="120"/>
      <c r="P843" s="121"/>
      <c r="Q843" s="120"/>
      <c r="R843" s="121"/>
      <c r="S843" s="120"/>
      <c r="T843" s="121"/>
      <c r="U843" s="120"/>
      <c r="V843" s="182"/>
      <c r="W843" s="125"/>
      <c r="X843" s="204" t="s">
        <v>3151</v>
      </c>
      <c r="Y843" s="202"/>
      <c r="Z843" s="202"/>
      <c r="AA843" s="202"/>
      <c r="AB843" s="203"/>
      <c r="AC843" s="16" t="s">
        <v>21</v>
      </c>
      <c r="AD843" s="80"/>
      <c r="AE843" s="233"/>
      <c r="AF843" s="234"/>
      <c r="AG843" s="234"/>
      <c r="AH843" s="234"/>
      <c r="AI843" s="235"/>
      <c r="AJ843" s="204"/>
      <c r="AK843" s="202"/>
      <c r="AL843" s="203"/>
      <c r="AM843" s="22" t="s">
        <v>928</v>
      </c>
      <c r="AN843" s="205"/>
      <c r="AO843" s="191"/>
      <c r="AP843" s="148"/>
      <c r="AQ843" s="144"/>
      <c r="AR843" s="198"/>
      <c r="AS843" s="199"/>
      <c r="AT843" s="198"/>
      <c r="AU843" s="199"/>
      <c r="AV843" s="198"/>
      <c r="AW843" s="199"/>
      <c r="AX843" s="198"/>
      <c r="AY843" s="199"/>
      <c r="AZ843" s="201"/>
    </row>
    <row r="844" spans="1:52" ht="17.100000000000001" customHeight="1" thickTop="1">
      <c r="A844" s="109" t="s">
        <v>6159</v>
      </c>
      <c r="B844" s="54">
        <v>44354</v>
      </c>
      <c r="C844" s="77"/>
      <c r="D844" s="56" t="s">
        <v>3152</v>
      </c>
      <c r="E844" s="206" t="s">
        <v>166</v>
      </c>
      <c r="F844" s="208" t="s">
        <v>3153</v>
      </c>
      <c r="G844" s="209"/>
      <c r="H844" s="209"/>
      <c r="I844" s="57" t="s">
        <v>1486</v>
      </c>
      <c r="J844" s="116"/>
      <c r="K844" s="210">
        <v>3200000</v>
      </c>
      <c r="L844" s="119"/>
      <c r="M844" s="118"/>
      <c r="N844" s="119"/>
      <c r="O844" s="118"/>
      <c r="P844" s="119"/>
      <c r="Q844" s="118"/>
      <c r="R844" s="119"/>
      <c r="S844" s="118"/>
      <c r="T844" s="119"/>
      <c r="U844" s="118">
        <f>SUM(K844:T845)</f>
        <v>3200000</v>
      </c>
      <c r="V844" s="210"/>
      <c r="W844" s="124"/>
      <c r="X844" s="225" t="s">
        <v>3154</v>
      </c>
      <c r="Y844" s="223"/>
      <c r="Z844" s="223"/>
      <c r="AA844" s="223"/>
      <c r="AB844" s="224"/>
      <c r="AC844" s="15" t="s">
        <v>20</v>
      </c>
      <c r="AD844" s="78"/>
      <c r="AE844" s="227" t="s">
        <v>186</v>
      </c>
      <c r="AF844" s="228"/>
      <c r="AG844" s="228"/>
      <c r="AH844" s="228"/>
      <c r="AI844" s="229"/>
      <c r="AJ844" s="225" t="s">
        <v>3155</v>
      </c>
      <c r="AK844" s="223"/>
      <c r="AL844" s="224"/>
      <c r="AM844" s="21" t="s">
        <v>3156</v>
      </c>
      <c r="AN844" s="226"/>
      <c r="AO844" s="216"/>
      <c r="AP844" s="135"/>
      <c r="AQ844" s="136"/>
      <c r="AR844" s="196"/>
      <c r="AS844" s="197"/>
      <c r="AT844" s="196"/>
      <c r="AU844" s="197"/>
      <c r="AV844" s="196"/>
      <c r="AW844" s="197"/>
      <c r="AX844" s="196">
        <f>SUM(AR844:AW845)</f>
        <v>0</v>
      </c>
      <c r="AY844" s="197"/>
      <c r="AZ844" s="200"/>
    </row>
    <row r="845" spans="1:52" ht="17.100000000000001" customHeight="1" thickBot="1">
      <c r="A845" s="110"/>
      <c r="B845" s="64" t="s">
        <v>3092</v>
      </c>
      <c r="C845" s="81"/>
      <c r="D845" s="58" t="s">
        <v>447</v>
      </c>
      <c r="E845" s="207"/>
      <c r="F845" s="188" t="s">
        <v>3157</v>
      </c>
      <c r="G845" s="189"/>
      <c r="H845" s="189"/>
      <c r="I845" s="59"/>
      <c r="J845" s="117"/>
      <c r="K845" s="182"/>
      <c r="L845" s="121"/>
      <c r="M845" s="120"/>
      <c r="N845" s="121"/>
      <c r="O845" s="120"/>
      <c r="P845" s="121"/>
      <c r="Q845" s="120"/>
      <c r="R845" s="121"/>
      <c r="S845" s="120"/>
      <c r="T845" s="121"/>
      <c r="U845" s="120"/>
      <c r="V845" s="182"/>
      <c r="W845" s="125"/>
      <c r="X845" s="204" t="s">
        <v>3158</v>
      </c>
      <c r="Y845" s="202"/>
      <c r="Z845" s="202"/>
      <c r="AA845" s="202"/>
      <c r="AB845" s="203"/>
      <c r="AC845" s="16" t="s">
        <v>21</v>
      </c>
      <c r="AD845" s="80"/>
      <c r="AE845" s="233"/>
      <c r="AF845" s="234"/>
      <c r="AG845" s="234"/>
      <c r="AH845" s="234"/>
      <c r="AI845" s="235"/>
      <c r="AJ845" s="204"/>
      <c r="AK845" s="202"/>
      <c r="AL845" s="203"/>
      <c r="AM845" s="22"/>
      <c r="AN845" s="205"/>
      <c r="AO845" s="191"/>
      <c r="AP845" s="148"/>
      <c r="AQ845" s="144"/>
      <c r="AR845" s="198"/>
      <c r="AS845" s="199"/>
      <c r="AT845" s="198"/>
      <c r="AU845" s="199"/>
      <c r="AV845" s="198"/>
      <c r="AW845" s="199"/>
      <c r="AX845" s="198"/>
      <c r="AY845" s="199"/>
      <c r="AZ845" s="201"/>
    </row>
    <row r="846" spans="1:52" ht="17.100000000000001" customHeight="1" thickTop="1">
      <c r="A846" s="109" t="s">
        <v>6160</v>
      </c>
      <c r="B846" s="54">
        <v>44404</v>
      </c>
      <c r="C846" s="77"/>
      <c r="D846" s="56" t="s">
        <v>3088</v>
      </c>
      <c r="E846" s="222"/>
      <c r="F846" s="208" t="s">
        <v>3159</v>
      </c>
      <c r="G846" s="209"/>
      <c r="H846" s="209"/>
      <c r="I846" s="57"/>
      <c r="J846" s="116"/>
      <c r="K846" s="210">
        <v>1800000</v>
      </c>
      <c r="L846" s="119"/>
      <c r="M846" s="118"/>
      <c r="N846" s="119"/>
      <c r="O846" s="118"/>
      <c r="P846" s="119"/>
      <c r="Q846" s="118"/>
      <c r="R846" s="119"/>
      <c r="S846" s="118"/>
      <c r="T846" s="119"/>
      <c r="U846" s="118">
        <f>SUM(K846:T847)</f>
        <v>1800000</v>
      </c>
      <c r="V846" s="210"/>
      <c r="W846" s="124">
        <v>1600000</v>
      </c>
      <c r="X846" s="225" t="s">
        <v>3160</v>
      </c>
      <c r="Y846" s="223"/>
      <c r="Z846" s="223"/>
      <c r="AA846" s="223"/>
      <c r="AB846" s="224"/>
      <c r="AC846" s="15" t="s">
        <v>20</v>
      </c>
      <c r="AD846" s="78"/>
      <c r="AE846" s="227" t="s">
        <v>79</v>
      </c>
      <c r="AF846" s="228"/>
      <c r="AG846" s="228"/>
      <c r="AH846" s="228"/>
      <c r="AI846" s="229"/>
      <c r="AJ846" s="225"/>
      <c r="AK846" s="223"/>
      <c r="AL846" s="224"/>
      <c r="AM846" s="21"/>
      <c r="AN846" s="226"/>
      <c r="AO846" s="216"/>
      <c r="AP846" s="135"/>
      <c r="AQ846" s="136"/>
      <c r="AR846" s="196"/>
      <c r="AS846" s="197"/>
      <c r="AT846" s="196"/>
      <c r="AU846" s="197"/>
      <c r="AV846" s="196"/>
      <c r="AW846" s="197"/>
      <c r="AX846" s="196">
        <f>SUM(AR846:AW847)</f>
        <v>0</v>
      </c>
      <c r="AY846" s="197"/>
      <c r="AZ846" s="200"/>
    </row>
    <row r="847" spans="1:52" ht="17.100000000000001" customHeight="1" thickBot="1">
      <c r="A847" s="110"/>
      <c r="B847" s="64" t="s">
        <v>3051</v>
      </c>
      <c r="C847" s="81"/>
      <c r="D847" s="27" t="s">
        <v>1850</v>
      </c>
      <c r="E847" s="207"/>
      <c r="F847" s="188" t="s">
        <v>3161</v>
      </c>
      <c r="G847" s="189"/>
      <c r="H847" s="189"/>
      <c r="I847" s="59"/>
      <c r="J847" s="117"/>
      <c r="K847" s="182"/>
      <c r="L847" s="121"/>
      <c r="M847" s="120"/>
      <c r="N847" s="121"/>
      <c r="O847" s="120"/>
      <c r="P847" s="121"/>
      <c r="Q847" s="120"/>
      <c r="R847" s="121"/>
      <c r="S847" s="120"/>
      <c r="T847" s="121"/>
      <c r="U847" s="120"/>
      <c r="V847" s="182"/>
      <c r="W847" s="125"/>
      <c r="X847" s="204" t="s">
        <v>3162</v>
      </c>
      <c r="Y847" s="202"/>
      <c r="Z847" s="202"/>
      <c r="AA847" s="202"/>
      <c r="AB847" s="203"/>
      <c r="AC847" s="16" t="s">
        <v>21</v>
      </c>
      <c r="AD847" s="80"/>
      <c r="AE847" s="233"/>
      <c r="AF847" s="234"/>
      <c r="AG847" s="234"/>
      <c r="AH847" s="234"/>
      <c r="AI847" s="235"/>
      <c r="AJ847" s="204"/>
      <c r="AK847" s="202"/>
      <c r="AL847" s="203"/>
      <c r="AM847" s="22" t="s">
        <v>1056</v>
      </c>
      <c r="AN847" s="205"/>
      <c r="AO847" s="191"/>
      <c r="AP847" s="148"/>
      <c r="AQ847" s="144"/>
      <c r="AR847" s="198"/>
      <c r="AS847" s="199"/>
      <c r="AT847" s="198"/>
      <c r="AU847" s="199"/>
      <c r="AV847" s="198"/>
      <c r="AW847" s="199"/>
      <c r="AX847" s="198"/>
      <c r="AY847" s="199"/>
      <c r="AZ847" s="201"/>
    </row>
    <row r="848" spans="1:52" ht="17.100000000000001" customHeight="1" thickTop="1">
      <c r="A848" s="109" t="s">
        <v>6161</v>
      </c>
      <c r="B848" s="54">
        <v>44446</v>
      </c>
      <c r="C848" s="77"/>
      <c r="D848" s="30" t="s">
        <v>2632</v>
      </c>
      <c r="E848" s="222"/>
      <c r="F848" s="208" t="s">
        <v>3163</v>
      </c>
      <c r="G848" s="209"/>
      <c r="H848" s="209"/>
      <c r="I848" s="57"/>
      <c r="J848" s="116"/>
      <c r="K848" s="210">
        <v>1580000</v>
      </c>
      <c r="L848" s="119"/>
      <c r="M848" s="118"/>
      <c r="N848" s="119"/>
      <c r="O848" s="118">
        <v>19440</v>
      </c>
      <c r="P848" s="119"/>
      <c r="Q848" s="118"/>
      <c r="R848" s="119"/>
      <c r="S848" s="118"/>
      <c r="T848" s="119"/>
      <c r="U848" s="118">
        <f>SUM(K848:T849)</f>
        <v>1599440</v>
      </c>
      <c r="V848" s="210"/>
      <c r="W848" s="124">
        <v>1450000</v>
      </c>
      <c r="X848" s="132" t="s">
        <v>3164</v>
      </c>
      <c r="Y848" s="223"/>
      <c r="Z848" s="223"/>
      <c r="AA848" s="223"/>
      <c r="AB848" s="224"/>
      <c r="AC848" s="15" t="s">
        <v>20</v>
      </c>
      <c r="AD848" s="78"/>
      <c r="AE848" s="227" t="s">
        <v>508</v>
      </c>
      <c r="AF848" s="228"/>
      <c r="AG848" s="228"/>
      <c r="AH848" s="228"/>
      <c r="AI848" s="229"/>
      <c r="AJ848" s="225" t="s">
        <v>3155</v>
      </c>
      <c r="AK848" s="223"/>
      <c r="AL848" s="224"/>
      <c r="AM848" s="21"/>
      <c r="AN848" s="226"/>
      <c r="AO848" s="216"/>
      <c r="AP848" s="135"/>
      <c r="AQ848" s="136"/>
      <c r="AR848" s="196"/>
      <c r="AS848" s="197"/>
      <c r="AT848" s="196"/>
      <c r="AU848" s="197"/>
      <c r="AV848" s="196"/>
      <c r="AW848" s="197"/>
      <c r="AX848" s="196">
        <f>SUM(AR848:AW849)</f>
        <v>0</v>
      </c>
      <c r="AY848" s="197"/>
      <c r="AZ848" s="200"/>
    </row>
    <row r="849" spans="1:52" ht="17.100000000000001" customHeight="1" thickBot="1">
      <c r="A849" s="110"/>
      <c r="B849" s="14" t="s">
        <v>3138</v>
      </c>
      <c r="C849" s="81"/>
      <c r="D849" s="27" t="s">
        <v>3165</v>
      </c>
      <c r="E849" s="207"/>
      <c r="F849" s="188" t="s">
        <v>3166</v>
      </c>
      <c r="G849" s="189"/>
      <c r="H849" s="189"/>
      <c r="I849" s="59">
        <v>43427</v>
      </c>
      <c r="J849" s="117"/>
      <c r="K849" s="182"/>
      <c r="L849" s="121"/>
      <c r="M849" s="120"/>
      <c r="N849" s="121"/>
      <c r="O849" s="120"/>
      <c r="P849" s="121"/>
      <c r="Q849" s="120"/>
      <c r="R849" s="121"/>
      <c r="S849" s="120"/>
      <c r="T849" s="121"/>
      <c r="U849" s="120"/>
      <c r="V849" s="182"/>
      <c r="W849" s="125"/>
      <c r="X849" s="148" t="s">
        <v>3167</v>
      </c>
      <c r="Y849" s="202"/>
      <c r="Z849" s="202"/>
      <c r="AA849" s="202"/>
      <c r="AB849" s="203"/>
      <c r="AC849" s="16" t="s">
        <v>21</v>
      </c>
      <c r="AD849" s="80"/>
      <c r="AE849" s="233"/>
      <c r="AF849" s="234"/>
      <c r="AG849" s="234"/>
      <c r="AH849" s="234"/>
      <c r="AI849" s="235"/>
      <c r="AJ849" s="204"/>
      <c r="AK849" s="202"/>
      <c r="AL849" s="203"/>
      <c r="AM849" s="22" t="s">
        <v>108</v>
      </c>
      <c r="AN849" s="205"/>
      <c r="AO849" s="191"/>
      <c r="AP849" s="148"/>
      <c r="AQ849" s="144"/>
      <c r="AR849" s="198"/>
      <c r="AS849" s="199"/>
      <c r="AT849" s="198"/>
      <c r="AU849" s="199"/>
      <c r="AV849" s="198"/>
      <c r="AW849" s="199"/>
      <c r="AX849" s="198"/>
      <c r="AY849" s="199"/>
      <c r="AZ849" s="201"/>
    </row>
    <row r="850" spans="1:52" ht="17.100000000000001" customHeight="1" thickTop="1">
      <c r="A850" s="109" t="s">
        <v>6162</v>
      </c>
      <c r="B850" s="54">
        <v>44425</v>
      </c>
      <c r="C850" s="77"/>
      <c r="D850" s="30" t="s">
        <v>3168</v>
      </c>
      <c r="E850" s="206" t="s">
        <v>166</v>
      </c>
      <c r="F850" s="208" t="s">
        <v>3169</v>
      </c>
      <c r="G850" s="209"/>
      <c r="H850" s="209"/>
      <c r="I850" s="52" t="s">
        <v>2122</v>
      </c>
      <c r="J850" s="116"/>
      <c r="K850" s="210">
        <v>4712650</v>
      </c>
      <c r="L850" s="119"/>
      <c r="M850" s="118">
        <v>27770</v>
      </c>
      <c r="N850" s="119"/>
      <c r="O850" s="118"/>
      <c r="P850" s="119"/>
      <c r="Q850" s="118"/>
      <c r="R850" s="119"/>
      <c r="S850" s="118"/>
      <c r="T850" s="119"/>
      <c r="U850" s="118">
        <f>SUM(K850:T851)</f>
        <v>4740420</v>
      </c>
      <c r="V850" s="210"/>
      <c r="W850" s="124"/>
      <c r="X850" s="132" t="s">
        <v>3170</v>
      </c>
      <c r="Y850" s="223"/>
      <c r="Z850" s="223"/>
      <c r="AA850" s="223"/>
      <c r="AB850" s="224"/>
      <c r="AC850" s="15" t="s">
        <v>20</v>
      </c>
      <c r="AD850" s="78"/>
      <c r="AE850" s="227"/>
      <c r="AF850" s="228"/>
      <c r="AG850" s="228"/>
      <c r="AH850" s="228"/>
      <c r="AI850" s="229"/>
      <c r="AJ850" s="225"/>
      <c r="AK850" s="223"/>
      <c r="AL850" s="224"/>
      <c r="AM850" s="21" t="s">
        <v>3171</v>
      </c>
      <c r="AN850" s="226"/>
      <c r="AO850" s="216"/>
      <c r="AP850" s="135"/>
      <c r="AQ850" s="136"/>
      <c r="AR850" s="196"/>
      <c r="AS850" s="197"/>
      <c r="AT850" s="196"/>
      <c r="AU850" s="197"/>
      <c r="AV850" s="196"/>
      <c r="AW850" s="197"/>
      <c r="AX850" s="196">
        <f>SUM(AR850:AW851)</f>
        <v>0</v>
      </c>
      <c r="AY850" s="197"/>
      <c r="AZ850" s="200"/>
    </row>
    <row r="851" spans="1:52" ht="17.100000000000001" customHeight="1" thickBot="1">
      <c r="A851" s="110"/>
      <c r="B851" s="14" t="s">
        <v>3172</v>
      </c>
      <c r="C851" s="81"/>
      <c r="D851" s="27" t="s">
        <v>3173</v>
      </c>
      <c r="E851" s="207"/>
      <c r="F851" s="188" t="s">
        <v>3174</v>
      </c>
      <c r="G851" s="189"/>
      <c r="H851" s="189"/>
      <c r="I851" s="59"/>
      <c r="J851" s="117"/>
      <c r="K851" s="182"/>
      <c r="L851" s="121"/>
      <c r="M851" s="120"/>
      <c r="N851" s="121"/>
      <c r="O851" s="120"/>
      <c r="P851" s="121"/>
      <c r="Q851" s="120"/>
      <c r="R851" s="121"/>
      <c r="S851" s="120"/>
      <c r="T851" s="121"/>
      <c r="U851" s="120"/>
      <c r="V851" s="182"/>
      <c r="W851" s="125"/>
      <c r="X851" s="148" t="s">
        <v>3175</v>
      </c>
      <c r="Y851" s="202"/>
      <c r="Z851" s="202"/>
      <c r="AA851" s="202"/>
      <c r="AB851" s="203"/>
      <c r="AC851" s="16" t="s">
        <v>21</v>
      </c>
      <c r="AD851" s="80"/>
      <c r="AE851" s="230"/>
      <c r="AF851" s="231"/>
      <c r="AG851" s="231"/>
      <c r="AH851" s="231"/>
      <c r="AI851" s="232"/>
      <c r="AJ851" s="204"/>
      <c r="AK851" s="202"/>
      <c r="AL851" s="203"/>
      <c r="AM851" s="22"/>
      <c r="AN851" s="205"/>
      <c r="AO851" s="191"/>
      <c r="AP851" s="148"/>
      <c r="AQ851" s="144"/>
      <c r="AR851" s="198"/>
      <c r="AS851" s="199"/>
      <c r="AT851" s="198"/>
      <c r="AU851" s="199"/>
      <c r="AV851" s="198"/>
      <c r="AW851" s="199"/>
      <c r="AX851" s="198"/>
      <c r="AY851" s="199"/>
      <c r="AZ851" s="201"/>
    </row>
    <row r="852" spans="1:52" ht="17.100000000000001" customHeight="1" thickTop="1">
      <c r="A852" s="109" t="s">
        <v>6163</v>
      </c>
      <c r="B852" s="54">
        <v>44470</v>
      </c>
      <c r="C852" s="77"/>
      <c r="D852" s="30" t="s">
        <v>2632</v>
      </c>
      <c r="E852" s="222"/>
      <c r="F852" s="208" t="s">
        <v>2016</v>
      </c>
      <c r="G852" s="209"/>
      <c r="H852" s="209"/>
      <c r="I852" s="52" t="s">
        <v>3014</v>
      </c>
      <c r="J852" s="116"/>
      <c r="K852" s="210">
        <v>1770000</v>
      </c>
      <c r="L852" s="119"/>
      <c r="M852" s="118"/>
      <c r="N852" s="119"/>
      <c r="O852" s="118">
        <v>17490</v>
      </c>
      <c r="P852" s="119"/>
      <c r="Q852" s="118"/>
      <c r="R852" s="119"/>
      <c r="S852" s="118"/>
      <c r="T852" s="119"/>
      <c r="U852" s="118">
        <f>SUM(K852:T853)</f>
        <v>1787490</v>
      </c>
      <c r="V852" s="210"/>
      <c r="W852" s="124"/>
      <c r="X852" s="132" t="s">
        <v>3176</v>
      </c>
      <c r="Y852" s="223"/>
      <c r="Z852" s="223"/>
      <c r="AA852" s="223"/>
      <c r="AB852" s="224"/>
      <c r="AC852" s="15" t="s">
        <v>20</v>
      </c>
      <c r="AD852" s="78"/>
      <c r="AE852" s="227" t="s">
        <v>1614</v>
      </c>
      <c r="AF852" s="228"/>
      <c r="AG852" s="228"/>
      <c r="AH852" s="228"/>
      <c r="AI852" s="229"/>
      <c r="AJ852" s="225"/>
      <c r="AK852" s="223"/>
      <c r="AL852" s="224"/>
      <c r="AM852" s="21" t="s">
        <v>3177</v>
      </c>
      <c r="AN852" s="226"/>
      <c r="AO852" s="216"/>
      <c r="AP852" s="135" t="s">
        <v>3178</v>
      </c>
      <c r="AQ852" s="136"/>
      <c r="AR852" s="196"/>
      <c r="AS852" s="197"/>
      <c r="AT852" s="196"/>
      <c r="AU852" s="197"/>
      <c r="AV852" s="196"/>
      <c r="AW852" s="197"/>
      <c r="AX852" s="196">
        <f>SUM(AR852:AW853)</f>
        <v>0</v>
      </c>
      <c r="AY852" s="197"/>
      <c r="AZ852" s="200"/>
    </row>
    <row r="853" spans="1:52" ht="17.100000000000001" customHeight="1" thickBot="1">
      <c r="A853" s="110"/>
      <c r="B853" s="14" t="s">
        <v>3179</v>
      </c>
      <c r="C853" s="81"/>
      <c r="D853" s="82" t="s">
        <v>3180</v>
      </c>
      <c r="E853" s="207"/>
      <c r="F853" s="188" t="s">
        <v>3181</v>
      </c>
      <c r="G853" s="189"/>
      <c r="H853" s="189"/>
      <c r="I853" s="59">
        <v>43049</v>
      </c>
      <c r="J853" s="117"/>
      <c r="K853" s="182"/>
      <c r="L853" s="121"/>
      <c r="M853" s="120"/>
      <c r="N853" s="121"/>
      <c r="O853" s="120"/>
      <c r="P853" s="121"/>
      <c r="Q853" s="120"/>
      <c r="R853" s="121"/>
      <c r="S853" s="120"/>
      <c r="T853" s="121"/>
      <c r="U853" s="120"/>
      <c r="V853" s="182"/>
      <c r="W853" s="125"/>
      <c r="X853" s="148" t="s">
        <v>3182</v>
      </c>
      <c r="Y853" s="202"/>
      <c r="Z853" s="202"/>
      <c r="AA853" s="202"/>
      <c r="AB853" s="203"/>
      <c r="AC853" s="16" t="s">
        <v>21</v>
      </c>
      <c r="AD853" s="80"/>
      <c r="AE853" s="230"/>
      <c r="AF853" s="231"/>
      <c r="AG853" s="231"/>
      <c r="AH853" s="231"/>
      <c r="AI853" s="232"/>
      <c r="AJ853" s="204"/>
      <c r="AK853" s="202"/>
      <c r="AL853" s="203"/>
      <c r="AM853" s="22"/>
      <c r="AN853" s="205"/>
      <c r="AO853" s="191"/>
      <c r="AP853" s="148"/>
      <c r="AQ853" s="144"/>
      <c r="AR853" s="198"/>
      <c r="AS853" s="199"/>
      <c r="AT853" s="198"/>
      <c r="AU853" s="199"/>
      <c r="AV853" s="198"/>
      <c r="AW853" s="199"/>
      <c r="AX853" s="198"/>
      <c r="AY853" s="199"/>
      <c r="AZ853" s="201"/>
    </row>
    <row r="854" spans="1:52" ht="17.100000000000001" customHeight="1" thickTop="1">
      <c r="A854" s="109" t="s">
        <v>6164</v>
      </c>
      <c r="B854" s="54">
        <v>44481</v>
      </c>
      <c r="C854" s="77"/>
      <c r="D854" s="30" t="s">
        <v>3183</v>
      </c>
      <c r="E854" s="222"/>
      <c r="F854" s="208" t="s">
        <v>3184</v>
      </c>
      <c r="G854" s="209"/>
      <c r="H854" s="209"/>
      <c r="I854" s="52" t="s">
        <v>2963</v>
      </c>
      <c r="J854" s="116"/>
      <c r="K854" s="210">
        <v>0</v>
      </c>
      <c r="L854" s="119"/>
      <c r="M854" s="118"/>
      <c r="N854" s="119"/>
      <c r="O854" s="118"/>
      <c r="P854" s="119"/>
      <c r="Q854" s="118"/>
      <c r="R854" s="119"/>
      <c r="S854" s="118"/>
      <c r="T854" s="119"/>
      <c r="U854" s="118">
        <f>SUM(K854:T855)</f>
        <v>0</v>
      </c>
      <c r="V854" s="210"/>
      <c r="W854" s="124">
        <v>0</v>
      </c>
      <c r="X854" s="132" t="s">
        <v>3185</v>
      </c>
      <c r="Y854" s="223"/>
      <c r="Z854" s="223"/>
      <c r="AA854" s="223"/>
      <c r="AB854" s="224"/>
      <c r="AC854" s="15" t="s">
        <v>20</v>
      </c>
      <c r="AD854" s="78"/>
      <c r="AE854" s="227"/>
      <c r="AF854" s="228"/>
      <c r="AG854" s="228"/>
      <c r="AH854" s="228"/>
      <c r="AI854" s="229"/>
      <c r="AJ854" s="225"/>
      <c r="AK854" s="223"/>
      <c r="AL854" s="224"/>
      <c r="AM854" s="21"/>
      <c r="AN854" s="226"/>
      <c r="AO854" s="216"/>
      <c r="AP854" s="135"/>
      <c r="AQ854" s="136"/>
      <c r="AR854" s="196"/>
      <c r="AS854" s="197"/>
      <c r="AT854" s="196"/>
      <c r="AU854" s="197"/>
      <c r="AV854" s="196"/>
      <c r="AW854" s="197"/>
      <c r="AX854" s="196">
        <f>SUM(AR854:AW855)</f>
        <v>0</v>
      </c>
      <c r="AY854" s="197"/>
      <c r="AZ854" s="200"/>
    </row>
    <row r="855" spans="1:52" ht="17.100000000000001" customHeight="1" thickBot="1">
      <c r="A855" s="110"/>
      <c r="B855" s="14" t="s">
        <v>3186</v>
      </c>
      <c r="C855" s="81"/>
      <c r="D855" s="58"/>
      <c r="E855" s="207"/>
      <c r="F855" s="188" t="s">
        <v>3187</v>
      </c>
      <c r="G855" s="189"/>
      <c r="H855" s="189"/>
      <c r="I855" s="59"/>
      <c r="J855" s="117"/>
      <c r="K855" s="182"/>
      <c r="L855" s="121"/>
      <c r="M855" s="120"/>
      <c r="N855" s="121"/>
      <c r="O855" s="120"/>
      <c r="P855" s="121"/>
      <c r="Q855" s="120"/>
      <c r="R855" s="121"/>
      <c r="S855" s="120"/>
      <c r="T855" s="121"/>
      <c r="U855" s="120"/>
      <c r="V855" s="182"/>
      <c r="W855" s="125"/>
      <c r="X855" s="148" t="s">
        <v>3188</v>
      </c>
      <c r="Y855" s="202"/>
      <c r="Z855" s="202"/>
      <c r="AA855" s="202"/>
      <c r="AB855" s="203"/>
      <c r="AC855" s="16" t="s">
        <v>21</v>
      </c>
      <c r="AD855" s="80"/>
      <c r="AE855" s="230"/>
      <c r="AF855" s="231"/>
      <c r="AG855" s="231"/>
      <c r="AH855" s="231"/>
      <c r="AI855" s="232"/>
      <c r="AJ855" s="204"/>
      <c r="AK855" s="202"/>
      <c r="AL855" s="203"/>
      <c r="AM855" s="22" t="s">
        <v>108</v>
      </c>
      <c r="AN855" s="205"/>
      <c r="AO855" s="191"/>
      <c r="AP855" s="148"/>
      <c r="AQ855" s="144"/>
      <c r="AR855" s="198"/>
      <c r="AS855" s="199"/>
      <c r="AT855" s="198"/>
      <c r="AU855" s="199"/>
      <c r="AV855" s="198"/>
      <c r="AW855" s="199"/>
      <c r="AX855" s="198"/>
      <c r="AY855" s="199"/>
      <c r="AZ855" s="201"/>
    </row>
    <row r="856" spans="1:52" ht="17.100000000000001" customHeight="1" thickTop="1">
      <c r="A856" s="109" t="s">
        <v>6165</v>
      </c>
      <c r="B856" s="54">
        <v>44602</v>
      </c>
      <c r="C856" s="77"/>
      <c r="D856" s="30" t="s">
        <v>3189</v>
      </c>
      <c r="E856" s="222"/>
      <c r="F856" s="208" t="s">
        <v>3002</v>
      </c>
      <c r="G856" s="209"/>
      <c r="H856" s="209"/>
      <c r="I856" s="52" t="s">
        <v>1642</v>
      </c>
      <c r="J856" s="116"/>
      <c r="K856" s="210">
        <v>2060000</v>
      </c>
      <c r="L856" s="119"/>
      <c r="M856" s="118"/>
      <c r="N856" s="119"/>
      <c r="O856" s="118">
        <v>16240</v>
      </c>
      <c r="P856" s="119"/>
      <c r="Q856" s="118"/>
      <c r="R856" s="119"/>
      <c r="S856" s="118"/>
      <c r="T856" s="119"/>
      <c r="U856" s="118">
        <f>SUM(K856:T857)</f>
        <v>2076240</v>
      </c>
      <c r="V856" s="210"/>
      <c r="W856" s="124">
        <v>1700000</v>
      </c>
      <c r="X856" s="132" t="s">
        <v>3190</v>
      </c>
      <c r="Y856" s="223"/>
      <c r="Z856" s="223"/>
      <c r="AA856" s="223"/>
      <c r="AB856" s="224"/>
      <c r="AC856" s="15" t="s">
        <v>20</v>
      </c>
      <c r="AD856" s="78"/>
      <c r="AE856" s="227" t="s">
        <v>1614</v>
      </c>
      <c r="AF856" s="228"/>
      <c r="AG856" s="228"/>
      <c r="AH856" s="228"/>
      <c r="AI856" s="229"/>
      <c r="AJ856" s="225"/>
      <c r="AK856" s="223"/>
      <c r="AL856" s="224"/>
      <c r="AM856" s="21"/>
      <c r="AN856" s="226"/>
      <c r="AO856" s="216"/>
      <c r="AP856" s="135"/>
      <c r="AQ856" s="136"/>
      <c r="AR856" s="196"/>
      <c r="AS856" s="197"/>
      <c r="AT856" s="196"/>
      <c r="AU856" s="197"/>
      <c r="AV856" s="196"/>
      <c r="AW856" s="197"/>
      <c r="AX856" s="196">
        <f>SUM(AR856:AW857)</f>
        <v>0</v>
      </c>
      <c r="AY856" s="197"/>
      <c r="AZ856" s="200"/>
    </row>
    <row r="857" spans="1:52" ht="17.100000000000001" customHeight="1" thickBot="1">
      <c r="A857" s="110"/>
      <c r="B857" s="14" t="s">
        <v>3138</v>
      </c>
      <c r="C857" s="81"/>
      <c r="D857" s="82" t="s">
        <v>3191</v>
      </c>
      <c r="E857" s="207"/>
      <c r="F857" s="188" t="s">
        <v>3192</v>
      </c>
      <c r="G857" s="189"/>
      <c r="H857" s="189"/>
      <c r="I857" s="59">
        <v>14850</v>
      </c>
      <c r="J857" s="117"/>
      <c r="K857" s="182"/>
      <c r="L857" s="121"/>
      <c r="M857" s="120"/>
      <c r="N857" s="121"/>
      <c r="O857" s="120"/>
      <c r="P857" s="121"/>
      <c r="Q857" s="120"/>
      <c r="R857" s="121"/>
      <c r="S857" s="120"/>
      <c r="T857" s="121"/>
      <c r="U857" s="120"/>
      <c r="V857" s="182"/>
      <c r="W857" s="125"/>
      <c r="X857" s="148" t="s">
        <v>3193</v>
      </c>
      <c r="Y857" s="202"/>
      <c r="Z857" s="202"/>
      <c r="AA857" s="202"/>
      <c r="AB857" s="203"/>
      <c r="AC857" s="16" t="s">
        <v>21</v>
      </c>
      <c r="AD857" s="80"/>
      <c r="AE857" s="230"/>
      <c r="AF857" s="231"/>
      <c r="AG857" s="231"/>
      <c r="AH857" s="231"/>
      <c r="AI857" s="232"/>
      <c r="AJ857" s="204"/>
      <c r="AK857" s="202"/>
      <c r="AL857" s="203"/>
      <c r="AM857" s="22" t="s">
        <v>3194</v>
      </c>
      <c r="AN857" s="205"/>
      <c r="AO857" s="191"/>
      <c r="AP857" s="148"/>
      <c r="AQ857" s="144"/>
      <c r="AR857" s="198"/>
      <c r="AS857" s="199"/>
      <c r="AT857" s="198"/>
      <c r="AU857" s="199"/>
      <c r="AV857" s="198"/>
      <c r="AW857" s="199"/>
      <c r="AX857" s="198"/>
      <c r="AY857" s="199"/>
      <c r="AZ857" s="201"/>
    </row>
    <row r="858" spans="1:52" ht="17.100000000000001" customHeight="1" thickTop="1">
      <c r="A858" s="109" t="s">
        <v>6166</v>
      </c>
      <c r="B858" s="54">
        <v>44680</v>
      </c>
      <c r="C858" s="77"/>
      <c r="D858" s="30" t="s">
        <v>3195</v>
      </c>
      <c r="E858" s="222"/>
      <c r="F858" s="208" t="s">
        <v>3196</v>
      </c>
      <c r="G858" s="209"/>
      <c r="H858" s="209"/>
      <c r="I858" s="57"/>
      <c r="J858" s="116"/>
      <c r="K858" s="210">
        <v>0</v>
      </c>
      <c r="L858" s="119"/>
      <c r="M858" s="118"/>
      <c r="N858" s="119"/>
      <c r="O858" s="118"/>
      <c r="P858" s="119"/>
      <c r="Q858" s="118"/>
      <c r="R858" s="119"/>
      <c r="S858" s="118"/>
      <c r="T858" s="119"/>
      <c r="U858" s="118">
        <f>SUM(K858:T859)</f>
        <v>0</v>
      </c>
      <c r="V858" s="210"/>
      <c r="W858" s="124">
        <v>0</v>
      </c>
      <c r="X858" s="132" t="s">
        <v>3197</v>
      </c>
      <c r="Y858" s="223"/>
      <c r="Z858" s="223"/>
      <c r="AA858" s="223"/>
      <c r="AB858" s="224"/>
      <c r="AC858" s="15" t="s">
        <v>20</v>
      </c>
      <c r="AD858" s="78"/>
      <c r="AE858" s="227"/>
      <c r="AF858" s="228"/>
      <c r="AG858" s="228"/>
      <c r="AH858" s="228"/>
      <c r="AI858" s="229"/>
      <c r="AJ858" s="132" t="s">
        <v>3198</v>
      </c>
      <c r="AK858" s="223"/>
      <c r="AL858" s="224"/>
      <c r="AM858" s="21"/>
      <c r="AN858" s="226"/>
      <c r="AO858" s="216"/>
      <c r="AP858" s="135"/>
      <c r="AQ858" s="136"/>
      <c r="AR858" s="196"/>
      <c r="AS858" s="197"/>
      <c r="AT858" s="196"/>
      <c r="AU858" s="197"/>
      <c r="AV858" s="196"/>
      <c r="AW858" s="197"/>
      <c r="AX858" s="196">
        <f>SUM(AR858:AW859)</f>
        <v>0</v>
      </c>
      <c r="AY858" s="197"/>
      <c r="AZ858" s="200"/>
    </row>
    <row r="859" spans="1:52" ht="17.100000000000001" customHeight="1" thickBot="1">
      <c r="A859" s="110"/>
      <c r="B859" s="14" t="s">
        <v>3199</v>
      </c>
      <c r="C859" s="81"/>
      <c r="D859" s="27" t="s">
        <v>3200</v>
      </c>
      <c r="E859" s="207"/>
      <c r="F859" s="188" t="s">
        <v>3201</v>
      </c>
      <c r="G859" s="189"/>
      <c r="H859" s="189"/>
      <c r="I859" s="59"/>
      <c r="J859" s="117"/>
      <c r="K859" s="182"/>
      <c r="L859" s="121"/>
      <c r="M859" s="120"/>
      <c r="N859" s="121"/>
      <c r="O859" s="120"/>
      <c r="P859" s="121"/>
      <c r="Q859" s="120"/>
      <c r="R859" s="121"/>
      <c r="S859" s="120"/>
      <c r="T859" s="121"/>
      <c r="U859" s="120"/>
      <c r="V859" s="182"/>
      <c r="W859" s="125"/>
      <c r="X859" s="148" t="s">
        <v>3202</v>
      </c>
      <c r="Y859" s="202"/>
      <c r="Z859" s="202"/>
      <c r="AA859" s="202"/>
      <c r="AB859" s="203"/>
      <c r="AC859" s="16" t="s">
        <v>21</v>
      </c>
      <c r="AD859" s="80"/>
      <c r="AE859" s="230"/>
      <c r="AF859" s="231"/>
      <c r="AG859" s="231"/>
      <c r="AH859" s="231"/>
      <c r="AI859" s="232"/>
      <c r="AJ859" s="204"/>
      <c r="AK859" s="202"/>
      <c r="AL859" s="203"/>
      <c r="AM859" s="22" t="s">
        <v>108</v>
      </c>
      <c r="AN859" s="205"/>
      <c r="AO859" s="191"/>
      <c r="AP859" s="148"/>
      <c r="AQ859" s="144"/>
      <c r="AR859" s="198"/>
      <c r="AS859" s="199"/>
      <c r="AT859" s="198"/>
      <c r="AU859" s="199"/>
      <c r="AV859" s="198"/>
      <c r="AW859" s="199"/>
      <c r="AX859" s="198"/>
      <c r="AY859" s="199"/>
      <c r="AZ859" s="201"/>
    </row>
    <row r="860" spans="1:52" ht="17.100000000000001" customHeight="1" thickTop="1">
      <c r="A860" s="109" t="s">
        <v>6167</v>
      </c>
      <c r="B860" s="54">
        <v>44712</v>
      </c>
      <c r="C860" s="77"/>
      <c r="D860" s="30" t="s">
        <v>3203</v>
      </c>
      <c r="E860" s="222"/>
      <c r="F860" s="208" t="s">
        <v>2732</v>
      </c>
      <c r="G860" s="209"/>
      <c r="H860" s="209"/>
      <c r="I860" s="52" t="s">
        <v>1906</v>
      </c>
      <c r="J860" s="116"/>
      <c r="K860" s="210">
        <v>2250000</v>
      </c>
      <c r="L860" s="119"/>
      <c r="M860" s="118">
        <v>-7500</v>
      </c>
      <c r="N860" s="119"/>
      <c r="O860" s="118">
        <v>19090</v>
      </c>
      <c r="P860" s="119"/>
      <c r="Q860" s="118"/>
      <c r="R860" s="119"/>
      <c r="S860" s="118"/>
      <c r="T860" s="119"/>
      <c r="U860" s="118">
        <f>SUM(K860:T861)</f>
        <v>2261590</v>
      </c>
      <c r="V860" s="210"/>
      <c r="W860" s="124"/>
      <c r="X860" s="132" t="s">
        <v>3204</v>
      </c>
      <c r="Y860" s="223"/>
      <c r="Z860" s="223"/>
      <c r="AA860" s="223"/>
      <c r="AB860" s="224"/>
      <c r="AC860" s="15" t="s">
        <v>20</v>
      </c>
      <c r="AD860" s="78"/>
      <c r="AE860" s="227" t="s">
        <v>1614</v>
      </c>
      <c r="AF860" s="228"/>
      <c r="AG860" s="228"/>
      <c r="AH860" s="228"/>
      <c r="AI860" s="229"/>
      <c r="AJ860" s="132" t="s">
        <v>3155</v>
      </c>
      <c r="AK860" s="223"/>
      <c r="AL860" s="224"/>
      <c r="AM860" s="21" t="s">
        <v>3205</v>
      </c>
      <c r="AN860" s="226"/>
      <c r="AO860" s="216"/>
      <c r="AP860" s="135"/>
      <c r="AQ860" s="136"/>
      <c r="AR860" s="196"/>
      <c r="AS860" s="197"/>
      <c r="AT860" s="196"/>
      <c r="AU860" s="197"/>
      <c r="AV860" s="196"/>
      <c r="AW860" s="197"/>
      <c r="AX860" s="196">
        <f>SUM(AR860:AW861)</f>
        <v>0</v>
      </c>
      <c r="AY860" s="197"/>
      <c r="AZ860" s="200"/>
    </row>
    <row r="861" spans="1:52" ht="17.100000000000001" customHeight="1" thickBot="1">
      <c r="A861" s="110"/>
      <c r="B861" s="14" t="s">
        <v>3138</v>
      </c>
      <c r="C861" s="81"/>
      <c r="D861" s="27" t="s">
        <v>3206</v>
      </c>
      <c r="E861" s="207"/>
      <c r="F861" s="188" t="s">
        <v>3207</v>
      </c>
      <c r="G861" s="189"/>
      <c r="H861" s="189"/>
      <c r="I861" s="59">
        <v>37195</v>
      </c>
      <c r="J861" s="117"/>
      <c r="K861" s="182"/>
      <c r="L861" s="121"/>
      <c r="M861" s="120"/>
      <c r="N861" s="121"/>
      <c r="O861" s="120"/>
      <c r="P861" s="121"/>
      <c r="Q861" s="120"/>
      <c r="R861" s="121"/>
      <c r="S861" s="120"/>
      <c r="T861" s="121"/>
      <c r="U861" s="120"/>
      <c r="V861" s="182"/>
      <c r="W861" s="125"/>
      <c r="X861" s="148" t="s">
        <v>3208</v>
      </c>
      <c r="Y861" s="202"/>
      <c r="Z861" s="202"/>
      <c r="AA861" s="202"/>
      <c r="AB861" s="203"/>
      <c r="AC861" s="16" t="s">
        <v>21</v>
      </c>
      <c r="AD861" s="80"/>
      <c r="AE861" s="230"/>
      <c r="AF861" s="231"/>
      <c r="AG861" s="231"/>
      <c r="AH861" s="231"/>
      <c r="AI861" s="232"/>
      <c r="AJ861" s="204"/>
      <c r="AK861" s="202"/>
      <c r="AL861" s="203"/>
      <c r="AM861" s="22"/>
      <c r="AN861" s="205"/>
      <c r="AO861" s="191"/>
      <c r="AP861" s="148"/>
      <c r="AQ861" s="144"/>
      <c r="AR861" s="198"/>
      <c r="AS861" s="199"/>
      <c r="AT861" s="198"/>
      <c r="AU861" s="199"/>
      <c r="AV861" s="198"/>
      <c r="AW861" s="199"/>
      <c r="AX861" s="198"/>
      <c r="AY861" s="199"/>
      <c r="AZ861" s="201"/>
    </row>
    <row r="862" spans="1:52" ht="17.100000000000001" customHeight="1" thickTop="1">
      <c r="A862" s="109" t="s">
        <v>6168</v>
      </c>
      <c r="B862" s="54">
        <v>44742</v>
      </c>
      <c r="C862" s="77"/>
      <c r="D862" s="30" t="s">
        <v>3209</v>
      </c>
      <c r="E862" s="222"/>
      <c r="F862" s="208" t="s">
        <v>3210</v>
      </c>
      <c r="G862" s="209"/>
      <c r="H862" s="209"/>
      <c r="I862" s="52" t="s">
        <v>1825</v>
      </c>
      <c r="J862" s="116"/>
      <c r="K862" s="210">
        <v>1650000</v>
      </c>
      <c r="L862" s="119"/>
      <c r="M862" s="118">
        <v>23000</v>
      </c>
      <c r="N862" s="119"/>
      <c r="O862" s="118">
        <v>17250</v>
      </c>
      <c r="P862" s="119"/>
      <c r="Q862" s="118"/>
      <c r="R862" s="119"/>
      <c r="S862" s="118"/>
      <c r="T862" s="119"/>
      <c r="U862" s="118">
        <f>SUM(K862:T863)</f>
        <v>1690250</v>
      </c>
      <c r="V862" s="210"/>
      <c r="W862" s="124"/>
      <c r="X862" s="132" t="s">
        <v>3211</v>
      </c>
      <c r="Y862" s="223"/>
      <c r="Z862" s="223"/>
      <c r="AA862" s="223"/>
      <c r="AB862" s="224"/>
      <c r="AC862" s="15" t="s">
        <v>20</v>
      </c>
      <c r="AD862" s="78"/>
      <c r="AE862" s="227" t="s">
        <v>1742</v>
      </c>
      <c r="AF862" s="228"/>
      <c r="AG862" s="228"/>
      <c r="AH862" s="228"/>
      <c r="AI862" s="229"/>
      <c r="AJ862" s="132" t="s">
        <v>3155</v>
      </c>
      <c r="AK862" s="223"/>
      <c r="AL862" s="224"/>
      <c r="AM862" s="21"/>
      <c r="AN862" s="226"/>
      <c r="AO862" s="216"/>
      <c r="AP862" s="135"/>
      <c r="AQ862" s="136"/>
      <c r="AR862" s="196"/>
      <c r="AS862" s="197"/>
      <c r="AT862" s="196"/>
      <c r="AU862" s="197"/>
      <c r="AV862" s="196"/>
      <c r="AW862" s="197"/>
      <c r="AX862" s="196">
        <f>SUM(AR862:AW863)</f>
        <v>0</v>
      </c>
      <c r="AY862" s="197"/>
      <c r="AZ862" s="200"/>
    </row>
    <row r="863" spans="1:52" ht="17.100000000000001" customHeight="1" thickBot="1">
      <c r="A863" s="110"/>
      <c r="B863" s="14" t="s">
        <v>3138</v>
      </c>
      <c r="C863" s="81"/>
      <c r="D863" s="27" t="s">
        <v>2800</v>
      </c>
      <c r="E863" s="207"/>
      <c r="F863" s="188" t="s">
        <v>3212</v>
      </c>
      <c r="G863" s="189"/>
      <c r="H863" s="189"/>
      <c r="I863" s="59">
        <v>28918</v>
      </c>
      <c r="J863" s="117"/>
      <c r="K863" s="182"/>
      <c r="L863" s="121"/>
      <c r="M863" s="120"/>
      <c r="N863" s="121"/>
      <c r="O863" s="120"/>
      <c r="P863" s="121"/>
      <c r="Q863" s="120"/>
      <c r="R863" s="121"/>
      <c r="S863" s="120"/>
      <c r="T863" s="121"/>
      <c r="U863" s="120"/>
      <c r="V863" s="182"/>
      <c r="W863" s="125"/>
      <c r="X863" s="148" t="s">
        <v>3213</v>
      </c>
      <c r="Y863" s="202"/>
      <c r="Z863" s="202"/>
      <c r="AA863" s="202"/>
      <c r="AB863" s="203"/>
      <c r="AC863" s="16" t="s">
        <v>21</v>
      </c>
      <c r="AD863" s="80"/>
      <c r="AE863" s="230"/>
      <c r="AF863" s="231"/>
      <c r="AG863" s="231"/>
      <c r="AH863" s="231"/>
      <c r="AI863" s="232"/>
      <c r="AJ863" s="204"/>
      <c r="AK863" s="202"/>
      <c r="AL863" s="203"/>
      <c r="AM863" s="22" t="s">
        <v>3214</v>
      </c>
      <c r="AN863" s="205"/>
      <c r="AO863" s="191"/>
      <c r="AP863" s="148"/>
      <c r="AQ863" s="144"/>
      <c r="AR863" s="198"/>
      <c r="AS863" s="199"/>
      <c r="AT863" s="198"/>
      <c r="AU863" s="199"/>
      <c r="AV863" s="198"/>
      <c r="AW863" s="199"/>
      <c r="AX863" s="198"/>
      <c r="AY863" s="199"/>
      <c r="AZ863" s="201"/>
    </row>
    <row r="864" spans="1:52" ht="17.100000000000001" customHeight="1" thickTop="1">
      <c r="A864" s="109" t="s">
        <v>6169</v>
      </c>
      <c r="B864" s="54">
        <v>44826</v>
      </c>
      <c r="C864" s="77"/>
      <c r="D864" s="30" t="s">
        <v>3203</v>
      </c>
      <c r="E864" s="222"/>
      <c r="F864" s="208" t="s">
        <v>2732</v>
      </c>
      <c r="G864" s="209"/>
      <c r="H864" s="209"/>
      <c r="I864" s="52" t="s">
        <v>2001</v>
      </c>
      <c r="J864" s="116"/>
      <c r="K864" s="210">
        <v>2470000</v>
      </c>
      <c r="L864" s="119"/>
      <c r="M864" s="118">
        <v>16400</v>
      </c>
      <c r="N864" s="119"/>
      <c r="O864" s="118">
        <v>19090</v>
      </c>
      <c r="P864" s="119"/>
      <c r="Q864" s="118"/>
      <c r="R864" s="119"/>
      <c r="S864" s="118"/>
      <c r="T864" s="119"/>
      <c r="U864" s="118">
        <f>SUM(K864:T865)</f>
        <v>2505490</v>
      </c>
      <c r="V864" s="210"/>
      <c r="W864" s="124"/>
      <c r="X864" s="132" t="s">
        <v>3215</v>
      </c>
      <c r="Y864" s="223"/>
      <c r="Z864" s="223"/>
      <c r="AA864" s="223"/>
      <c r="AB864" s="224"/>
      <c r="AC864" s="15" t="s">
        <v>20</v>
      </c>
      <c r="AD864" s="78"/>
      <c r="AE864" s="227" t="s">
        <v>1614</v>
      </c>
      <c r="AF864" s="228"/>
      <c r="AG864" s="228"/>
      <c r="AH864" s="228"/>
      <c r="AI864" s="229"/>
      <c r="AJ864" s="132" t="s">
        <v>3216</v>
      </c>
      <c r="AK864" s="223"/>
      <c r="AL864" s="224"/>
      <c r="AM864" s="21"/>
      <c r="AN864" s="226"/>
      <c r="AO864" s="216"/>
      <c r="AP864" s="135"/>
      <c r="AQ864" s="136"/>
      <c r="AR864" s="196"/>
      <c r="AS864" s="197"/>
      <c r="AT864" s="196"/>
      <c r="AU864" s="197"/>
      <c r="AV864" s="196"/>
      <c r="AW864" s="197"/>
      <c r="AX864" s="196">
        <f>SUM(AR864:AW865)</f>
        <v>0</v>
      </c>
      <c r="AY864" s="197"/>
      <c r="AZ864" s="200"/>
    </row>
    <row r="865" spans="1:52" ht="17.100000000000001" customHeight="1" thickBot="1">
      <c r="A865" s="110"/>
      <c r="B865" s="14" t="s">
        <v>3217</v>
      </c>
      <c r="C865" s="81"/>
      <c r="D865" s="27" t="s">
        <v>3218</v>
      </c>
      <c r="E865" s="207"/>
      <c r="F865" s="188" t="s">
        <v>3219</v>
      </c>
      <c r="G865" s="189"/>
      <c r="H865" s="189"/>
      <c r="I865" s="59">
        <v>42708</v>
      </c>
      <c r="J865" s="117"/>
      <c r="K865" s="182"/>
      <c r="L865" s="121"/>
      <c r="M865" s="120"/>
      <c r="N865" s="121"/>
      <c r="O865" s="120"/>
      <c r="P865" s="121"/>
      <c r="Q865" s="120"/>
      <c r="R865" s="121"/>
      <c r="S865" s="120"/>
      <c r="T865" s="121"/>
      <c r="U865" s="120"/>
      <c r="V865" s="182"/>
      <c r="W865" s="125"/>
      <c r="X865" s="148" t="s">
        <v>3220</v>
      </c>
      <c r="Y865" s="202"/>
      <c r="Z865" s="202"/>
      <c r="AA865" s="202"/>
      <c r="AB865" s="203"/>
      <c r="AC865" s="16" t="s">
        <v>21</v>
      </c>
      <c r="AD865" s="80"/>
      <c r="AE865" s="230"/>
      <c r="AF865" s="231"/>
      <c r="AG865" s="231"/>
      <c r="AH865" s="231"/>
      <c r="AI865" s="232"/>
      <c r="AJ865" s="204"/>
      <c r="AK865" s="202"/>
      <c r="AL865" s="203"/>
      <c r="AM865" s="22" t="s">
        <v>2099</v>
      </c>
      <c r="AN865" s="205"/>
      <c r="AO865" s="191"/>
      <c r="AP865" s="148"/>
      <c r="AQ865" s="144"/>
      <c r="AR865" s="198"/>
      <c r="AS865" s="199"/>
      <c r="AT865" s="198"/>
      <c r="AU865" s="199"/>
      <c r="AV865" s="198"/>
      <c r="AW865" s="199"/>
      <c r="AX865" s="198"/>
      <c r="AY865" s="199"/>
      <c r="AZ865" s="201"/>
    </row>
    <row r="866" spans="1:52" ht="17.100000000000001" customHeight="1" thickTop="1">
      <c r="A866" s="109" t="s">
        <v>6170</v>
      </c>
      <c r="B866" s="54">
        <v>44866</v>
      </c>
      <c r="C866" s="77"/>
      <c r="D866" s="30" t="s">
        <v>2632</v>
      </c>
      <c r="E866" s="222"/>
      <c r="F866" s="208" t="s">
        <v>3221</v>
      </c>
      <c r="G866" s="209"/>
      <c r="H866" s="209"/>
      <c r="I866" s="52" t="s">
        <v>1847</v>
      </c>
      <c r="J866" s="116"/>
      <c r="K866" s="210">
        <v>1180000</v>
      </c>
      <c r="L866" s="119"/>
      <c r="M866" s="118">
        <v>13100</v>
      </c>
      <c r="N866" s="119"/>
      <c r="O866" s="118">
        <v>17490</v>
      </c>
      <c r="P866" s="119"/>
      <c r="Q866" s="118"/>
      <c r="R866" s="119"/>
      <c r="S866" s="118"/>
      <c r="T866" s="119"/>
      <c r="U866" s="118">
        <f>SUM(K866:T867)</f>
        <v>1210590</v>
      </c>
      <c r="V866" s="210"/>
      <c r="W866" s="124"/>
      <c r="X866" s="132" t="s">
        <v>3222</v>
      </c>
      <c r="Y866" s="223"/>
      <c r="Z866" s="223"/>
      <c r="AA866" s="223"/>
      <c r="AB866" s="224"/>
      <c r="AC866" s="15" t="s">
        <v>20</v>
      </c>
      <c r="AD866" s="78"/>
      <c r="AE866" s="227" t="s">
        <v>1614</v>
      </c>
      <c r="AF866" s="228"/>
      <c r="AG866" s="228"/>
      <c r="AH866" s="228"/>
      <c r="AI866" s="229"/>
      <c r="AJ866" s="132" t="s">
        <v>3216</v>
      </c>
      <c r="AK866" s="223"/>
      <c r="AL866" s="224"/>
      <c r="AM866" s="21"/>
      <c r="AN866" s="226"/>
      <c r="AO866" s="216"/>
      <c r="AP866" s="135"/>
      <c r="AQ866" s="136"/>
      <c r="AR866" s="196"/>
      <c r="AS866" s="197"/>
      <c r="AT866" s="196"/>
      <c r="AU866" s="197"/>
      <c r="AV866" s="196"/>
      <c r="AW866" s="197"/>
      <c r="AX866" s="196">
        <f>SUM(AR866:AW867)</f>
        <v>0</v>
      </c>
      <c r="AY866" s="197"/>
      <c r="AZ866" s="200"/>
    </row>
    <row r="867" spans="1:52" ht="17.100000000000001" customHeight="1" thickBot="1">
      <c r="A867" s="110"/>
      <c r="B867" s="14" t="s">
        <v>3223</v>
      </c>
      <c r="C867" s="81"/>
      <c r="D867" s="27" t="s">
        <v>3224</v>
      </c>
      <c r="E867" s="207"/>
      <c r="F867" s="188" t="s">
        <v>3225</v>
      </c>
      <c r="G867" s="189"/>
      <c r="H867" s="189"/>
      <c r="I867" s="59">
        <v>63426</v>
      </c>
      <c r="J867" s="117"/>
      <c r="K867" s="182"/>
      <c r="L867" s="121"/>
      <c r="M867" s="120"/>
      <c r="N867" s="121"/>
      <c r="O867" s="120"/>
      <c r="P867" s="121"/>
      <c r="Q867" s="120"/>
      <c r="R867" s="121"/>
      <c r="S867" s="120"/>
      <c r="T867" s="121"/>
      <c r="U867" s="120"/>
      <c r="V867" s="182"/>
      <c r="W867" s="125"/>
      <c r="X867" s="148" t="s">
        <v>3226</v>
      </c>
      <c r="Y867" s="202"/>
      <c r="Z867" s="202"/>
      <c r="AA867" s="202"/>
      <c r="AB867" s="203"/>
      <c r="AC867" s="16" t="s">
        <v>21</v>
      </c>
      <c r="AD867" s="80"/>
      <c r="AE867" s="230"/>
      <c r="AF867" s="231"/>
      <c r="AG867" s="231"/>
      <c r="AH867" s="231"/>
      <c r="AI867" s="232"/>
      <c r="AJ867" s="204"/>
      <c r="AK867" s="202"/>
      <c r="AL867" s="203"/>
      <c r="AM867" s="22"/>
      <c r="AN867" s="205"/>
      <c r="AO867" s="191"/>
      <c r="AP867" s="148"/>
      <c r="AQ867" s="144"/>
      <c r="AR867" s="198"/>
      <c r="AS867" s="199"/>
      <c r="AT867" s="198"/>
      <c r="AU867" s="199"/>
      <c r="AV867" s="198"/>
      <c r="AW867" s="199"/>
      <c r="AX867" s="198"/>
      <c r="AY867" s="199"/>
      <c r="AZ867" s="201"/>
    </row>
    <row r="868" spans="1:52" ht="17.100000000000001" customHeight="1" thickTop="1">
      <c r="A868" s="109" t="s">
        <v>6171</v>
      </c>
      <c r="B868" s="54">
        <v>44866</v>
      </c>
      <c r="C868" s="77"/>
      <c r="D868" s="30" t="s">
        <v>3227</v>
      </c>
      <c r="E868" s="222"/>
      <c r="F868" s="208" t="s">
        <v>2633</v>
      </c>
      <c r="G868" s="209"/>
      <c r="H868" s="209"/>
      <c r="I868" s="52" t="s">
        <v>2092</v>
      </c>
      <c r="J868" s="116"/>
      <c r="K868" s="210">
        <v>3920000</v>
      </c>
      <c r="L868" s="119"/>
      <c r="M868" s="118"/>
      <c r="N868" s="119"/>
      <c r="O868" s="118">
        <v>16930</v>
      </c>
      <c r="P868" s="119"/>
      <c r="Q868" s="118"/>
      <c r="R868" s="119"/>
      <c r="S868" s="118"/>
      <c r="T868" s="119"/>
      <c r="U868" s="118">
        <f>SUM(K868:T869)</f>
        <v>3936930</v>
      </c>
      <c r="V868" s="210"/>
      <c r="W868" s="124"/>
      <c r="X868" s="132" t="s">
        <v>3228</v>
      </c>
      <c r="Y868" s="223"/>
      <c r="Z868" s="223"/>
      <c r="AA868" s="223"/>
      <c r="AB868" s="224"/>
      <c r="AC868" s="15" t="s">
        <v>20</v>
      </c>
      <c r="AD868" s="78"/>
      <c r="AE868" s="227" t="s">
        <v>1614</v>
      </c>
      <c r="AF868" s="228"/>
      <c r="AG868" s="228"/>
      <c r="AH868" s="228"/>
      <c r="AI868" s="229"/>
      <c r="AJ868" s="132" t="s">
        <v>3216</v>
      </c>
      <c r="AK868" s="223"/>
      <c r="AL868" s="224"/>
      <c r="AM868" s="21"/>
      <c r="AN868" s="226"/>
      <c r="AO868" s="216"/>
      <c r="AP868" s="135"/>
      <c r="AQ868" s="136"/>
      <c r="AR868" s="196"/>
      <c r="AS868" s="197"/>
      <c r="AT868" s="196"/>
      <c r="AU868" s="197"/>
      <c r="AV868" s="196"/>
      <c r="AW868" s="197"/>
      <c r="AX868" s="196">
        <f>SUM(AR868:AW869)</f>
        <v>0</v>
      </c>
      <c r="AY868" s="197"/>
      <c r="AZ868" s="200"/>
    </row>
    <row r="869" spans="1:52" ht="17.100000000000001" customHeight="1" thickBot="1">
      <c r="A869" s="110"/>
      <c r="B869" s="14" t="s">
        <v>3138</v>
      </c>
      <c r="C869" s="81"/>
      <c r="D869" s="27" t="s">
        <v>133</v>
      </c>
      <c r="E869" s="207"/>
      <c r="F869" s="188" t="s">
        <v>3229</v>
      </c>
      <c r="G869" s="189"/>
      <c r="H869" s="189"/>
      <c r="I869" s="59">
        <v>47903</v>
      </c>
      <c r="J869" s="117"/>
      <c r="K869" s="182"/>
      <c r="L869" s="121"/>
      <c r="M869" s="120"/>
      <c r="N869" s="121"/>
      <c r="O869" s="120"/>
      <c r="P869" s="121"/>
      <c r="Q869" s="120"/>
      <c r="R869" s="121"/>
      <c r="S869" s="120"/>
      <c r="T869" s="121"/>
      <c r="U869" s="120"/>
      <c r="V869" s="182"/>
      <c r="W869" s="125"/>
      <c r="X869" s="148" t="s">
        <v>3230</v>
      </c>
      <c r="Y869" s="202"/>
      <c r="Z869" s="202"/>
      <c r="AA869" s="202"/>
      <c r="AB869" s="203"/>
      <c r="AC869" s="16" t="s">
        <v>21</v>
      </c>
      <c r="AD869" s="80"/>
      <c r="AE869" s="230"/>
      <c r="AF869" s="231"/>
      <c r="AG869" s="231"/>
      <c r="AH869" s="231"/>
      <c r="AI869" s="232"/>
      <c r="AJ869" s="204"/>
      <c r="AK869" s="202"/>
      <c r="AL869" s="203"/>
      <c r="AM869" s="22"/>
      <c r="AN869" s="205"/>
      <c r="AO869" s="191"/>
      <c r="AP869" s="148"/>
      <c r="AQ869" s="144"/>
      <c r="AR869" s="198"/>
      <c r="AS869" s="199"/>
      <c r="AT869" s="198"/>
      <c r="AU869" s="199"/>
      <c r="AV869" s="198"/>
      <c r="AW869" s="199"/>
      <c r="AX869" s="198"/>
      <c r="AY869" s="199"/>
      <c r="AZ869" s="201"/>
    </row>
    <row r="870" spans="1:52" ht="17.100000000000001" customHeight="1" thickTop="1">
      <c r="A870" s="109" t="s">
        <v>6172</v>
      </c>
      <c r="B870" s="54">
        <v>44879</v>
      </c>
      <c r="C870" s="77"/>
      <c r="D870" s="30" t="s">
        <v>3231</v>
      </c>
      <c r="E870" s="222"/>
      <c r="F870" s="208" t="s">
        <v>2732</v>
      </c>
      <c r="G870" s="209"/>
      <c r="H870" s="209"/>
      <c r="I870" s="52" t="s">
        <v>1697</v>
      </c>
      <c r="J870" s="116"/>
      <c r="K870" s="210">
        <v>2810000</v>
      </c>
      <c r="L870" s="119"/>
      <c r="M870" s="118">
        <v>9800</v>
      </c>
      <c r="N870" s="119"/>
      <c r="O870" s="118">
        <v>19090</v>
      </c>
      <c r="P870" s="119"/>
      <c r="Q870" s="118"/>
      <c r="R870" s="119"/>
      <c r="S870" s="118"/>
      <c r="T870" s="119"/>
      <c r="U870" s="118">
        <f>SUM(K870:T871)</f>
        <v>2838890</v>
      </c>
      <c r="V870" s="210"/>
      <c r="W870" s="124"/>
      <c r="X870" s="132" t="s">
        <v>3232</v>
      </c>
      <c r="Y870" s="223"/>
      <c r="Z870" s="223"/>
      <c r="AA870" s="223"/>
      <c r="AB870" s="224"/>
      <c r="AC870" s="15" t="s">
        <v>20</v>
      </c>
      <c r="AD870" s="78"/>
      <c r="AE870" s="227" t="s">
        <v>1742</v>
      </c>
      <c r="AF870" s="228"/>
      <c r="AG870" s="228"/>
      <c r="AH870" s="228"/>
      <c r="AI870" s="229"/>
      <c r="AJ870" s="132" t="s">
        <v>3216</v>
      </c>
      <c r="AK870" s="223"/>
      <c r="AL870" s="224"/>
      <c r="AM870" s="21" t="s">
        <v>3233</v>
      </c>
      <c r="AN870" s="226"/>
      <c r="AO870" s="216"/>
      <c r="AP870" s="135"/>
      <c r="AQ870" s="136"/>
      <c r="AR870" s="196"/>
      <c r="AS870" s="197"/>
      <c r="AT870" s="196"/>
      <c r="AU870" s="197"/>
      <c r="AV870" s="196"/>
      <c r="AW870" s="197"/>
      <c r="AX870" s="196">
        <f>SUM(AR870:AW871)</f>
        <v>0</v>
      </c>
      <c r="AY870" s="197"/>
      <c r="AZ870" s="200"/>
    </row>
    <row r="871" spans="1:52" ht="17.100000000000001" customHeight="1" thickBot="1">
      <c r="A871" s="110"/>
      <c r="B871" s="14" t="s">
        <v>3223</v>
      </c>
      <c r="C871" s="81"/>
      <c r="D871" s="83" t="s">
        <v>3234</v>
      </c>
      <c r="E871" s="207"/>
      <c r="F871" s="188" t="s">
        <v>3235</v>
      </c>
      <c r="G871" s="189"/>
      <c r="H871" s="189"/>
      <c r="I871" s="59">
        <v>17658</v>
      </c>
      <c r="J871" s="117"/>
      <c r="K871" s="182"/>
      <c r="L871" s="121"/>
      <c r="M871" s="120"/>
      <c r="N871" s="121"/>
      <c r="O871" s="120"/>
      <c r="P871" s="121"/>
      <c r="Q871" s="120"/>
      <c r="R871" s="121"/>
      <c r="S871" s="120"/>
      <c r="T871" s="121"/>
      <c r="U871" s="120"/>
      <c r="V871" s="182"/>
      <c r="W871" s="125"/>
      <c r="X871" s="148" t="s">
        <v>3236</v>
      </c>
      <c r="Y871" s="202"/>
      <c r="Z871" s="202"/>
      <c r="AA871" s="202"/>
      <c r="AB871" s="203"/>
      <c r="AC871" s="16" t="s">
        <v>21</v>
      </c>
      <c r="AD871" s="80"/>
      <c r="AE871" s="230"/>
      <c r="AF871" s="231"/>
      <c r="AG871" s="231"/>
      <c r="AH871" s="231"/>
      <c r="AI871" s="232"/>
      <c r="AJ871" s="204"/>
      <c r="AK871" s="202"/>
      <c r="AL871" s="203"/>
      <c r="AM871" s="22"/>
      <c r="AN871" s="205"/>
      <c r="AO871" s="191"/>
      <c r="AP871" s="148"/>
      <c r="AQ871" s="144"/>
      <c r="AR871" s="198"/>
      <c r="AS871" s="199"/>
      <c r="AT871" s="198"/>
      <c r="AU871" s="199"/>
      <c r="AV871" s="198"/>
      <c r="AW871" s="199"/>
      <c r="AX871" s="198"/>
      <c r="AY871" s="199"/>
      <c r="AZ871" s="201"/>
    </row>
    <row r="872" spans="1:52" ht="17.100000000000001" customHeight="1" thickTop="1">
      <c r="A872" s="109" t="s">
        <v>6173</v>
      </c>
      <c r="B872" s="54">
        <v>44896</v>
      </c>
      <c r="C872" s="77"/>
      <c r="D872" s="30" t="s">
        <v>3231</v>
      </c>
      <c r="E872" s="222"/>
      <c r="F872" s="208" t="s">
        <v>2312</v>
      </c>
      <c r="G872" s="209"/>
      <c r="H872" s="209"/>
      <c r="I872" s="52" t="s">
        <v>2001</v>
      </c>
      <c r="J872" s="116"/>
      <c r="K872" s="210">
        <v>820000</v>
      </c>
      <c r="L872" s="119"/>
      <c r="M872" s="118"/>
      <c r="N872" s="119"/>
      <c r="O872" s="118"/>
      <c r="P872" s="119"/>
      <c r="Q872" s="118"/>
      <c r="R872" s="119"/>
      <c r="S872" s="118"/>
      <c r="T872" s="119"/>
      <c r="U872" s="118">
        <f>SUM(K872:T873)</f>
        <v>820000</v>
      </c>
      <c r="V872" s="210"/>
      <c r="W872" s="124"/>
      <c r="X872" s="132" t="s">
        <v>3237</v>
      </c>
      <c r="Y872" s="223"/>
      <c r="Z872" s="223"/>
      <c r="AA872" s="223"/>
      <c r="AB872" s="224"/>
      <c r="AC872" s="15" t="s">
        <v>20</v>
      </c>
      <c r="AD872" s="78"/>
      <c r="AE872" s="227" t="s">
        <v>1605</v>
      </c>
      <c r="AF872" s="228"/>
      <c r="AG872" s="228"/>
      <c r="AH872" s="228"/>
      <c r="AI872" s="229"/>
      <c r="AJ872" s="225"/>
      <c r="AK872" s="223"/>
      <c r="AL872" s="224"/>
      <c r="AM872" s="21"/>
      <c r="AN872" s="226"/>
      <c r="AO872" s="216"/>
      <c r="AP872" s="135"/>
      <c r="AQ872" s="136"/>
      <c r="AR872" s="196"/>
      <c r="AS872" s="197"/>
      <c r="AT872" s="196"/>
      <c r="AU872" s="197"/>
      <c r="AV872" s="196"/>
      <c r="AW872" s="197"/>
      <c r="AX872" s="196">
        <f>SUM(AR872:AW873)</f>
        <v>0</v>
      </c>
      <c r="AY872" s="197"/>
      <c r="AZ872" s="200"/>
    </row>
    <row r="873" spans="1:52" ht="17.100000000000001" customHeight="1" thickBot="1">
      <c r="A873" s="110"/>
      <c r="B873" s="14" t="s">
        <v>3238</v>
      </c>
      <c r="C873" s="81"/>
      <c r="D873" s="27" t="s">
        <v>2095</v>
      </c>
      <c r="E873" s="207"/>
      <c r="F873" s="188" t="s">
        <v>3239</v>
      </c>
      <c r="G873" s="189"/>
      <c r="H873" s="189"/>
      <c r="I873" s="59"/>
      <c r="J873" s="117"/>
      <c r="K873" s="182"/>
      <c r="L873" s="121"/>
      <c r="M873" s="120"/>
      <c r="N873" s="121"/>
      <c r="O873" s="120"/>
      <c r="P873" s="121"/>
      <c r="Q873" s="120"/>
      <c r="R873" s="121"/>
      <c r="S873" s="120"/>
      <c r="T873" s="121"/>
      <c r="U873" s="120"/>
      <c r="V873" s="182"/>
      <c r="W873" s="125"/>
      <c r="X873" s="148" t="s">
        <v>3240</v>
      </c>
      <c r="Y873" s="202"/>
      <c r="Z873" s="202"/>
      <c r="AA873" s="202"/>
      <c r="AB873" s="203"/>
      <c r="AC873" s="16" t="s">
        <v>21</v>
      </c>
      <c r="AD873" s="80"/>
      <c r="AE873" s="230"/>
      <c r="AF873" s="231"/>
      <c r="AG873" s="231"/>
      <c r="AH873" s="231"/>
      <c r="AI873" s="232"/>
      <c r="AJ873" s="204"/>
      <c r="AK873" s="202"/>
      <c r="AL873" s="203"/>
      <c r="AM873" s="22" t="s">
        <v>2241</v>
      </c>
      <c r="AN873" s="205"/>
      <c r="AO873" s="191"/>
      <c r="AP873" s="148"/>
      <c r="AQ873" s="144"/>
      <c r="AR873" s="198"/>
      <c r="AS873" s="199"/>
      <c r="AT873" s="198"/>
      <c r="AU873" s="199"/>
      <c r="AV873" s="198"/>
      <c r="AW873" s="199"/>
      <c r="AX873" s="198"/>
      <c r="AY873" s="199"/>
      <c r="AZ873" s="201"/>
    </row>
    <row r="874" spans="1:52" ht="17.100000000000001" customHeight="1" thickTop="1">
      <c r="A874" s="109" t="s">
        <v>6174</v>
      </c>
      <c r="B874" s="54">
        <v>44896</v>
      </c>
      <c r="C874" s="77"/>
      <c r="D874" s="30" t="s">
        <v>3241</v>
      </c>
      <c r="E874" s="222"/>
      <c r="F874" s="208" t="s">
        <v>3242</v>
      </c>
      <c r="G874" s="209"/>
      <c r="H874" s="209"/>
      <c r="I874" s="52" t="s">
        <v>1697</v>
      </c>
      <c r="J874" s="116"/>
      <c r="K874" s="210">
        <v>2000000</v>
      </c>
      <c r="L874" s="119"/>
      <c r="M874" s="118"/>
      <c r="N874" s="119"/>
      <c r="O874" s="118"/>
      <c r="P874" s="119"/>
      <c r="Q874" s="118"/>
      <c r="R874" s="119"/>
      <c r="S874" s="118"/>
      <c r="T874" s="119"/>
      <c r="U874" s="118">
        <f>SUM(K874:T875)</f>
        <v>2000000</v>
      </c>
      <c r="V874" s="210"/>
      <c r="W874" s="124"/>
      <c r="X874" s="132" t="s">
        <v>3243</v>
      </c>
      <c r="Y874" s="223"/>
      <c r="Z874" s="223"/>
      <c r="AA874" s="223"/>
      <c r="AB874" s="224"/>
      <c r="AC874" s="15" t="s">
        <v>20</v>
      </c>
      <c r="AD874" s="78"/>
      <c r="AE874" s="227"/>
      <c r="AF874" s="228"/>
      <c r="AG874" s="228"/>
      <c r="AH874" s="228"/>
      <c r="AI874" s="229"/>
      <c r="AJ874" s="225"/>
      <c r="AK874" s="223"/>
      <c r="AL874" s="224"/>
      <c r="AM874" s="21"/>
      <c r="AN874" s="226"/>
      <c r="AO874" s="216"/>
      <c r="AP874" s="135"/>
      <c r="AQ874" s="136"/>
      <c r="AR874" s="196"/>
      <c r="AS874" s="197"/>
      <c r="AT874" s="196"/>
      <c r="AU874" s="197"/>
      <c r="AV874" s="196"/>
      <c r="AW874" s="197"/>
      <c r="AX874" s="196">
        <f>SUM(AR874:AW875)</f>
        <v>0</v>
      </c>
      <c r="AY874" s="197"/>
      <c r="AZ874" s="200"/>
    </row>
    <row r="875" spans="1:52" ht="17.100000000000001" customHeight="1" thickBot="1">
      <c r="A875" s="110"/>
      <c r="B875" s="14" t="s">
        <v>3244</v>
      </c>
      <c r="C875" s="81"/>
      <c r="D875" s="58"/>
      <c r="E875" s="207"/>
      <c r="F875" s="188" t="s">
        <v>3245</v>
      </c>
      <c r="G875" s="189"/>
      <c r="H875" s="189"/>
      <c r="I875" s="59"/>
      <c r="J875" s="117"/>
      <c r="K875" s="182"/>
      <c r="L875" s="121"/>
      <c r="M875" s="120"/>
      <c r="N875" s="121"/>
      <c r="O875" s="120"/>
      <c r="P875" s="121"/>
      <c r="Q875" s="120"/>
      <c r="R875" s="121"/>
      <c r="S875" s="120"/>
      <c r="T875" s="121"/>
      <c r="U875" s="120"/>
      <c r="V875" s="182"/>
      <c r="W875" s="125"/>
      <c r="X875" s="148" t="s">
        <v>3246</v>
      </c>
      <c r="Y875" s="202"/>
      <c r="Z875" s="202"/>
      <c r="AA875" s="202"/>
      <c r="AB875" s="203"/>
      <c r="AC875" s="16" t="s">
        <v>21</v>
      </c>
      <c r="AD875" s="80"/>
      <c r="AE875" s="230"/>
      <c r="AF875" s="231"/>
      <c r="AG875" s="231"/>
      <c r="AH875" s="231"/>
      <c r="AI875" s="232"/>
      <c r="AJ875" s="204"/>
      <c r="AK875" s="202"/>
      <c r="AL875" s="203"/>
      <c r="AM875" s="22" t="s">
        <v>2333</v>
      </c>
      <c r="AN875" s="205"/>
      <c r="AO875" s="191"/>
      <c r="AP875" s="148"/>
      <c r="AQ875" s="144"/>
      <c r="AR875" s="198"/>
      <c r="AS875" s="199"/>
      <c r="AT875" s="198"/>
      <c r="AU875" s="199"/>
      <c r="AV875" s="198"/>
      <c r="AW875" s="199"/>
      <c r="AX875" s="198"/>
      <c r="AY875" s="199"/>
      <c r="AZ875" s="201"/>
    </row>
    <row r="876" spans="1:52" ht="17.100000000000001" customHeight="1" thickTop="1">
      <c r="A876" s="109" t="s">
        <v>6175</v>
      </c>
      <c r="B876" s="54">
        <v>44918</v>
      </c>
      <c r="C876" s="77"/>
      <c r="D876" s="30" t="s">
        <v>3247</v>
      </c>
      <c r="E876" s="206" t="s">
        <v>166</v>
      </c>
      <c r="F876" s="208" t="s">
        <v>3248</v>
      </c>
      <c r="G876" s="209"/>
      <c r="H876" s="209"/>
      <c r="I876" s="52" t="s">
        <v>3003</v>
      </c>
      <c r="J876" s="116"/>
      <c r="K876" s="210">
        <v>1700000</v>
      </c>
      <c r="L876" s="119"/>
      <c r="M876" s="118"/>
      <c r="N876" s="119"/>
      <c r="O876" s="118"/>
      <c r="P876" s="119"/>
      <c r="Q876" s="118"/>
      <c r="R876" s="119"/>
      <c r="S876" s="118"/>
      <c r="T876" s="119"/>
      <c r="U876" s="118">
        <f>SUM(K876:T877)</f>
        <v>1700000</v>
      </c>
      <c r="V876" s="210"/>
      <c r="W876" s="124"/>
      <c r="X876" s="132" t="s">
        <v>3249</v>
      </c>
      <c r="Y876" s="223"/>
      <c r="Z876" s="223"/>
      <c r="AA876" s="223"/>
      <c r="AB876" s="224"/>
      <c r="AC876" s="15" t="s">
        <v>20</v>
      </c>
      <c r="AD876" s="78"/>
      <c r="AE876" s="227" t="s">
        <v>1742</v>
      </c>
      <c r="AF876" s="228"/>
      <c r="AG876" s="228"/>
      <c r="AH876" s="228"/>
      <c r="AI876" s="229"/>
      <c r="AJ876" s="225"/>
      <c r="AK876" s="223"/>
      <c r="AL876" s="224"/>
      <c r="AM876" s="21"/>
      <c r="AN876" s="226"/>
      <c r="AO876" s="216"/>
      <c r="AP876" s="135"/>
      <c r="AQ876" s="136"/>
      <c r="AR876" s="196"/>
      <c r="AS876" s="197"/>
      <c r="AT876" s="196"/>
      <c r="AU876" s="197"/>
      <c r="AV876" s="196"/>
      <c r="AW876" s="197"/>
      <c r="AX876" s="196">
        <f>SUM(AR876:AW877)</f>
        <v>0</v>
      </c>
      <c r="AY876" s="197"/>
      <c r="AZ876" s="200"/>
    </row>
    <row r="877" spans="1:52" ht="17.100000000000001" customHeight="1" thickBot="1">
      <c r="A877" s="110"/>
      <c r="B877" s="14" t="s">
        <v>3250</v>
      </c>
      <c r="C877" s="81"/>
      <c r="D877" s="27" t="s">
        <v>1883</v>
      </c>
      <c r="E877" s="207"/>
      <c r="F877" s="188" t="s">
        <v>3251</v>
      </c>
      <c r="G877" s="189"/>
      <c r="H877" s="189"/>
      <c r="I877" s="59"/>
      <c r="J877" s="117"/>
      <c r="K877" s="182"/>
      <c r="L877" s="121"/>
      <c r="M877" s="120"/>
      <c r="N877" s="121"/>
      <c r="O877" s="120"/>
      <c r="P877" s="121"/>
      <c r="Q877" s="120"/>
      <c r="R877" s="121"/>
      <c r="S877" s="120"/>
      <c r="T877" s="121"/>
      <c r="U877" s="120"/>
      <c r="V877" s="182"/>
      <c r="W877" s="125"/>
      <c r="X877" s="148" t="s">
        <v>3252</v>
      </c>
      <c r="Y877" s="202"/>
      <c r="Z877" s="202"/>
      <c r="AA877" s="202"/>
      <c r="AB877" s="203"/>
      <c r="AC877" s="16" t="s">
        <v>21</v>
      </c>
      <c r="AD877" s="80"/>
      <c r="AE877" s="230"/>
      <c r="AF877" s="231"/>
      <c r="AG877" s="231"/>
      <c r="AH877" s="231"/>
      <c r="AI877" s="232"/>
      <c r="AJ877" s="204"/>
      <c r="AK877" s="202"/>
      <c r="AL877" s="203"/>
      <c r="AM877" s="22"/>
      <c r="AN877" s="205"/>
      <c r="AO877" s="191"/>
      <c r="AP877" s="148"/>
      <c r="AQ877" s="144"/>
      <c r="AR877" s="198"/>
      <c r="AS877" s="199"/>
      <c r="AT877" s="198"/>
      <c r="AU877" s="199"/>
      <c r="AV877" s="198"/>
      <c r="AW877" s="199"/>
      <c r="AX877" s="198"/>
      <c r="AY877" s="199"/>
      <c r="AZ877" s="201"/>
    </row>
    <row r="878" spans="1:52" ht="17.100000000000001" customHeight="1" thickTop="1">
      <c r="A878" s="109" t="s">
        <v>6176</v>
      </c>
      <c r="B878" s="54">
        <v>44925</v>
      </c>
      <c r="C878" s="77"/>
      <c r="D878" s="30" t="s">
        <v>3227</v>
      </c>
      <c r="E878" s="222"/>
      <c r="F878" s="208" t="s">
        <v>3253</v>
      </c>
      <c r="G878" s="209"/>
      <c r="H878" s="209"/>
      <c r="I878" s="52" t="s">
        <v>2092</v>
      </c>
      <c r="J878" s="116"/>
      <c r="K878" s="210">
        <v>5000000</v>
      </c>
      <c r="L878" s="119"/>
      <c r="M878" s="118"/>
      <c r="N878" s="119"/>
      <c r="O878" s="118"/>
      <c r="P878" s="119"/>
      <c r="Q878" s="118"/>
      <c r="R878" s="119"/>
      <c r="S878" s="118"/>
      <c r="T878" s="119"/>
      <c r="U878" s="118">
        <f>SUM(K878:T879)</f>
        <v>5000000</v>
      </c>
      <c r="V878" s="210"/>
      <c r="W878" s="124"/>
      <c r="X878" s="132" t="s">
        <v>3254</v>
      </c>
      <c r="Y878" s="223"/>
      <c r="Z878" s="223"/>
      <c r="AA878" s="223"/>
      <c r="AB878" s="224"/>
      <c r="AC878" s="15" t="s">
        <v>20</v>
      </c>
      <c r="AD878" s="78"/>
      <c r="AE878" s="227"/>
      <c r="AF878" s="228"/>
      <c r="AG878" s="228"/>
      <c r="AH878" s="228"/>
      <c r="AI878" s="229"/>
      <c r="AJ878" s="225"/>
      <c r="AK878" s="223"/>
      <c r="AL878" s="224"/>
      <c r="AM878" s="21"/>
      <c r="AN878" s="226"/>
      <c r="AO878" s="216"/>
      <c r="AP878" s="135"/>
      <c r="AQ878" s="136"/>
      <c r="AR878" s="196"/>
      <c r="AS878" s="197"/>
      <c r="AT878" s="196"/>
      <c r="AU878" s="197"/>
      <c r="AV878" s="196"/>
      <c r="AW878" s="197"/>
      <c r="AX878" s="196">
        <f>SUM(AR878:AW879)</f>
        <v>0</v>
      </c>
      <c r="AY878" s="197"/>
      <c r="AZ878" s="200"/>
    </row>
    <row r="879" spans="1:52" ht="17.100000000000001" customHeight="1" thickBot="1">
      <c r="A879" s="110"/>
      <c r="B879" s="14" t="s">
        <v>3255</v>
      </c>
      <c r="C879" s="81"/>
      <c r="D879" s="27" t="s">
        <v>1592</v>
      </c>
      <c r="E879" s="207"/>
      <c r="F879" s="188" t="s">
        <v>3256</v>
      </c>
      <c r="G879" s="189"/>
      <c r="H879" s="189"/>
      <c r="I879" s="59"/>
      <c r="J879" s="117"/>
      <c r="K879" s="182"/>
      <c r="L879" s="121"/>
      <c r="M879" s="120"/>
      <c r="N879" s="121"/>
      <c r="O879" s="120"/>
      <c r="P879" s="121"/>
      <c r="Q879" s="120"/>
      <c r="R879" s="121"/>
      <c r="S879" s="120"/>
      <c r="T879" s="121"/>
      <c r="U879" s="120"/>
      <c r="V879" s="182"/>
      <c r="W879" s="125"/>
      <c r="X879" s="148" t="s">
        <v>3257</v>
      </c>
      <c r="Y879" s="202"/>
      <c r="Z879" s="202"/>
      <c r="AA879" s="202"/>
      <c r="AB879" s="203"/>
      <c r="AC879" s="16" t="s">
        <v>21</v>
      </c>
      <c r="AD879" s="80"/>
      <c r="AE879" s="230"/>
      <c r="AF879" s="231"/>
      <c r="AG879" s="231"/>
      <c r="AH879" s="231"/>
      <c r="AI879" s="232"/>
      <c r="AJ879" s="204"/>
      <c r="AK879" s="202"/>
      <c r="AL879" s="203"/>
      <c r="AM879" s="22" t="s">
        <v>1517</v>
      </c>
      <c r="AN879" s="205"/>
      <c r="AO879" s="191"/>
      <c r="AP879" s="148"/>
      <c r="AQ879" s="144"/>
      <c r="AR879" s="198"/>
      <c r="AS879" s="199"/>
      <c r="AT879" s="198"/>
      <c r="AU879" s="199"/>
      <c r="AV879" s="198"/>
      <c r="AW879" s="199"/>
      <c r="AX879" s="198"/>
      <c r="AY879" s="199"/>
      <c r="AZ879" s="201"/>
    </row>
    <row r="880" spans="1:52" ht="17.100000000000001" customHeight="1" thickTop="1">
      <c r="A880" s="109" t="s">
        <v>6177</v>
      </c>
      <c r="B880" s="54">
        <v>45004</v>
      </c>
      <c r="C880" s="77"/>
      <c r="D880" s="30" t="s">
        <v>3227</v>
      </c>
      <c r="E880" s="222"/>
      <c r="F880" s="208" t="s">
        <v>3258</v>
      </c>
      <c r="G880" s="209"/>
      <c r="H880" s="209"/>
      <c r="I880" s="52" t="s">
        <v>1998</v>
      </c>
      <c r="J880" s="116"/>
      <c r="K880" s="210">
        <v>3200000</v>
      </c>
      <c r="L880" s="119"/>
      <c r="M880" s="118"/>
      <c r="N880" s="119"/>
      <c r="O880" s="118"/>
      <c r="P880" s="119"/>
      <c r="Q880" s="118"/>
      <c r="R880" s="119"/>
      <c r="S880" s="118"/>
      <c r="T880" s="119"/>
      <c r="U880" s="118">
        <f>SUM(K880:T881)</f>
        <v>3200000</v>
      </c>
      <c r="V880" s="210"/>
      <c r="W880" s="124"/>
      <c r="X880" s="132" t="s">
        <v>3259</v>
      </c>
      <c r="Y880" s="223"/>
      <c r="Z880" s="223"/>
      <c r="AA880" s="223"/>
      <c r="AB880" s="224"/>
      <c r="AC880" s="15" t="s">
        <v>20</v>
      </c>
      <c r="AD880" s="78"/>
      <c r="AE880" s="227" t="s">
        <v>171</v>
      </c>
      <c r="AF880" s="228"/>
      <c r="AG880" s="228"/>
      <c r="AH880" s="228"/>
      <c r="AI880" s="229"/>
      <c r="AJ880" s="225"/>
      <c r="AK880" s="223"/>
      <c r="AL880" s="224"/>
      <c r="AM880" s="21"/>
      <c r="AN880" s="226"/>
      <c r="AO880" s="216"/>
      <c r="AP880" s="135"/>
      <c r="AQ880" s="136"/>
      <c r="AR880" s="196"/>
      <c r="AS880" s="197"/>
      <c r="AT880" s="196"/>
      <c r="AU880" s="197"/>
      <c r="AV880" s="196"/>
      <c r="AW880" s="197"/>
      <c r="AX880" s="196">
        <f>SUM(AR880:AW881)</f>
        <v>0</v>
      </c>
      <c r="AY880" s="197"/>
      <c r="AZ880" s="200"/>
    </row>
    <row r="881" spans="1:52" ht="17.100000000000001" customHeight="1" thickBot="1">
      <c r="A881" s="110"/>
      <c r="B881" s="14" t="s">
        <v>3260</v>
      </c>
      <c r="C881" s="81"/>
      <c r="D881" s="27" t="s">
        <v>1592</v>
      </c>
      <c r="E881" s="207"/>
      <c r="F881" s="188" t="s">
        <v>3261</v>
      </c>
      <c r="G881" s="189"/>
      <c r="H881" s="189"/>
      <c r="I881" s="59"/>
      <c r="J881" s="117"/>
      <c r="K881" s="182"/>
      <c r="L881" s="121"/>
      <c r="M881" s="120"/>
      <c r="N881" s="121"/>
      <c r="O881" s="120"/>
      <c r="P881" s="121"/>
      <c r="Q881" s="120"/>
      <c r="R881" s="121"/>
      <c r="S881" s="120"/>
      <c r="T881" s="121"/>
      <c r="U881" s="120"/>
      <c r="V881" s="182"/>
      <c r="W881" s="125"/>
      <c r="X881" s="148" t="s">
        <v>3262</v>
      </c>
      <c r="Y881" s="202"/>
      <c r="Z881" s="202"/>
      <c r="AA881" s="202"/>
      <c r="AB881" s="203"/>
      <c r="AC881" s="16" t="s">
        <v>21</v>
      </c>
      <c r="AD881" s="80"/>
      <c r="AE881" s="230"/>
      <c r="AF881" s="231"/>
      <c r="AG881" s="231"/>
      <c r="AH881" s="231"/>
      <c r="AI881" s="232"/>
      <c r="AJ881" s="204"/>
      <c r="AK881" s="202"/>
      <c r="AL881" s="203"/>
      <c r="AM881" s="22" t="s">
        <v>1743</v>
      </c>
      <c r="AN881" s="205"/>
      <c r="AO881" s="191"/>
      <c r="AP881" s="148"/>
      <c r="AQ881" s="144"/>
      <c r="AR881" s="198"/>
      <c r="AS881" s="199"/>
      <c r="AT881" s="198"/>
      <c r="AU881" s="199"/>
      <c r="AV881" s="198"/>
      <c r="AW881" s="199"/>
      <c r="AX881" s="198"/>
      <c r="AY881" s="199"/>
      <c r="AZ881" s="201"/>
    </row>
    <row r="882" spans="1:52" ht="17.100000000000001" customHeight="1" thickTop="1">
      <c r="A882" s="109" t="s">
        <v>6178</v>
      </c>
      <c r="B882" s="54">
        <v>45147</v>
      </c>
      <c r="C882" s="77"/>
      <c r="D882" s="30" t="s">
        <v>3263</v>
      </c>
      <c r="E882" s="222"/>
      <c r="F882" s="208" t="s">
        <v>3264</v>
      </c>
      <c r="G882" s="209"/>
      <c r="H882" s="209"/>
      <c r="I882" s="52" t="s">
        <v>2697</v>
      </c>
      <c r="J882" s="116"/>
      <c r="K882" s="210">
        <v>2500000</v>
      </c>
      <c r="L882" s="119"/>
      <c r="M882" s="118"/>
      <c r="N882" s="119"/>
      <c r="O882" s="118"/>
      <c r="P882" s="119"/>
      <c r="Q882" s="118"/>
      <c r="R882" s="119"/>
      <c r="S882" s="118"/>
      <c r="T882" s="119"/>
      <c r="U882" s="118">
        <f>SUM(K882:T883)</f>
        <v>2500000</v>
      </c>
      <c r="V882" s="210"/>
      <c r="W882" s="124"/>
      <c r="X882" s="132" t="s">
        <v>3265</v>
      </c>
      <c r="Y882" s="223"/>
      <c r="Z882" s="223"/>
      <c r="AA882" s="223"/>
      <c r="AB882" s="224"/>
      <c r="AC882" s="15" t="s">
        <v>20</v>
      </c>
      <c r="AD882" s="78"/>
      <c r="AE882" s="227" t="s">
        <v>1742</v>
      </c>
      <c r="AF882" s="228"/>
      <c r="AG882" s="228"/>
      <c r="AH882" s="228"/>
      <c r="AI882" s="229"/>
      <c r="AJ882" s="225"/>
      <c r="AK882" s="223"/>
      <c r="AL882" s="224"/>
      <c r="AM882" s="21"/>
      <c r="AN882" s="226"/>
      <c r="AO882" s="216"/>
      <c r="AP882" s="135"/>
      <c r="AQ882" s="136"/>
      <c r="AR882" s="196"/>
      <c r="AS882" s="197"/>
      <c r="AT882" s="196"/>
      <c r="AU882" s="197"/>
      <c r="AV882" s="196"/>
      <c r="AW882" s="197"/>
      <c r="AX882" s="196">
        <f>SUM(AR882:AW883)</f>
        <v>0</v>
      </c>
      <c r="AY882" s="197"/>
      <c r="AZ882" s="200"/>
    </row>
    <row r="883" spans="1:52" ht="17.100000000000001" customHeight="1" thickBot="1">
      <c r="A883" s="110"/>
      <c r="B883" s="14" t="s">
        <v>3266</v>
      </c>
      <c r="C883" s="81"/>
      <c r="D883" s="58"/>
      <c r="E883" s="207"/>
      <c r="F883" s="188" t="s">
        <v>3267</v>
      </c>
      <c r="G883" s="189"/>
      <c r="H883" s="189"/>
      <c r="I883" s="59"/>
      <c r="J883" s="117"/>
      <c r="K883" s="182"/>
      <c r="L883" s="121"/>
      <c r="M883" s="120"/>
      <c r="N883" s="121"/>
      <c r="O883" s="120"/>
      <c r="P883" s="121"/>
      <c r="Q883" s="120"/>
      <c r="R883" s="121"/>
      <c r="S883" s="120"/>
      <c r="T883" s="121"/>
      <c r="U883" s="120"/>
      <c r="V883" s="182"/>
      <c r="W883" s="125"/>
      <c r="X883" s="148" t="s">
        <v>3268</v>
      </c>
      <c r="Y883" s="202"/>
      <c r="Z883" s="202"/>
      <c r="AA883" s="202"/>
      <c r="AB883" s="203"/>
      <c r="AC883" s="16" t="s">
        <v>21</v>
      </c>
      <c r="AD883" s="80"/>
      <c r="AE883" s="230"/>
      <c r="AF883" s="231"/>
      <c r="AG883" s="231"/>
      <c r="AH883" s="231"/>
      <c r="AI883" s="232"/>
      <c r="AJ883" s="204"/>
      <c r="AK883" s="202"/>
      <c r="AL883" s="203"/>
      <c r="AM883" s="22" t="s">
        <v>3269</v>
      </c>
      <c r="AN883" s="205"/>
      <c r="AO883" s="191"/>
      <c r="AP883" s="148"/>
      <c r="AQ883" s="144"/>
      <c r="AR883" s="198"/>
      <c r="AS883" s="199"/>
      <c r="AT883" s="198"/>
      <c r="AU883" s="199"/>
      <c r="AV883" s="198"/>
      <c r="AW883" s="199"/>
      <c r="AX883" s="198"/>
      <c r="AY883" s="199"/>
      <c r="AZ883" s="201"/>
    </row>
    <row r="884" spans="1:52" ht="17.100000000000001" customHeight="1" thickTop="1">
      <c r="A884" s="109" t="s">
        <v>6179</v>
      </c>
      <c r="B884" s="54">
        <v>43220</v>
      </c>
      <c r="C884" s="77"/>
      <c r="D884" s="56" t="s">
        <v>3095</v>
      </c>
      <c r="E884" s="206"/>
      <c r="F884" s="208" t="s">
        <v>3270</v>
      </c>
      <c r="G884" s="209"/>
      <c r="H884" s="209"/>
      <c r="I884" s="57" t="s">
        <v>1267</v>
      </c>
      <c r="J884" s="116"/>
      <c r="K884" s="210">
        <v>1112790</v>
      </c>
      <c r="L884" s="119"/>
      <c r="M884" s="118"/>
      <c r="N884" s="119"/>
      <c r="O884" s="118"/>
      <c r="P884" s="119"/>
      <c r="Q884" s="118"/>
      <c r="R884" s="119"/>
      <c r="S884" s="118"/>
      <c r="T884" s="119"/>
      <c r="U884" s="211">
        <f>SUM(K884:T885)</f>
        <v>1112790</v>
      </c>
      <c r="V884" s="212"/>
      <c r="W884" s="124"/>
      <c r="X884" s="215" t="s">
        <v>3271</v>
      </c>
      <c r="Y884" s="215"/>
      <c r="Z884" s="215"/>
      <c r="AA884" s="215"/>
      <c r="AB884" s="215"/>
      <c r="AC884" s="15" t="s">
        <v>20</v>
      </c>
      <c r="AD884" s="78"/>
      <c r="AE884" s="193"/>
      <c r="AF884" s="194"/>
      <c r="AG884" s="194"/>
      <c r="AH884" s="194"/>
      <c r="AI884" s="195"/>
      <c r="AJ884" s="132" t="s">
        <v>3272</v>
      </c>
      <c r="AK884" s="127"/>
      <c r="AL884" s="127"/>
      <c r="AM884" s="21"/>
      <c r="AN884" s="216"/>
      <c r="AO884" s="217"/>
      <c r="AP884" s="135"/>
      <c r="AQ884" s="136"/>
      <c r="AR884" s="196"/>
      <c r="AS884" s="197"/>
      <c r="AT884" s="196"/>
      <c r="AU884" s="197"/>
      <c r="AV884" s="196"/>
      <c r="AW884" s="197"/>
      <c r="AX884" s="218">
        <f>SUM(AR884:AW885)</f>
        <v>0</v>
      </c>
      <c r="AY884" s="218"/>
      <c r="AZ884" s="220"/>
    </row>
    <row r="885" spans="1:52" ht="17.100000000000001" customHeight="1" thickBot="1">
      <c r="A885" s="110"/>
      <c r="B885" s="58" t="s">
        <v>3273</v>
      </c>
      <c r="C885" s="79"/>
      <c r="D885" s="27" t="s">
        <v>3274</v>
      </c>
      <c r="E885" s="207"/>
      <c r="F885" s="188" t="s">
        <v>3275</v>
      </c>
      <c r="G885" s="189"/>
      <c r="H885" s="189"/>
      <c r="I885" s="59">
        <v>42386</v>
      </c>
      <c r="J885" s="117"/>
      <c r="K885" s="182"/>
      <c r="L885" s="121"/>
      <c r="M885" s="120"/>
      <c r="N885" s="121"/>
      <c r="O885" s="120"/>
      <c r="P885" s="121"/>
      <c r="Q885" s="120"/>
      <c r="R885" s="121"/>
      <c r="S885" s="120"/>
      <c r="T885" s="121"/>
      <c r="U885" s="213"/>
      <c r="V885" s="214"/>
      <c r="W885" s="125"/>
      <c r="X885" s="190" t="s">
        <v>3276</v>
      </c>
      <c r="Y885" s="190"/>
      <c r="Z885" s="190"/>
      <c r="AA885" s="190"/>
      <c r="AB885" s="190"/>
      <c r="AC885" s="16" t="s">
        <v>21</v>
      </c>
      <c r="AD885" s="80"/>
      <c r="AE885" s="145" t="s">
        <v>3277</v>
      </c>
      <c r="AF885" s="146"/>
      <c r="AG885" s="146"/>
      <c r="AH885" s="146"/>
      <c r="AI885" s="147"/>
      <c r="AJ885" s="148" t="s">
        <v>3278</v>
      </c>
      <c r="AK885" s="143"/>
      <c r="AL885" s="143"/>
      <c r="AM885" s="22"/>
      <c r="AN885" s="191"/>
      <c r="AO885" s="192"/>
      <c r="AP885" s="148"/>
      <c r="AQ885" s="144"/>
      <c r="AR885" s="198"/>
      <c r="AS885" s="199"/>
      <c r="AT885" s="198"/>
      <c r="AU885" s="199"/>
      <c r="AV885" s="198"/>
      <c r="AW885" s="199"/>
      <c r="AX885" s="219"/>
      <c r="AY885" s="219"/>
      <c r="AZ885" s="221"/>
    </row>
    <row r="886" spans="1:52" ht="17.100000000000001" customHeight="1" thickTop="1">
      <c r="A886" s="109" t="s">
        <v>6180</v>
      </c>
      <c r="B886" s="28">
        <v>45568</v>
      </c>
      <c r="C886" s="25">
        <v>2079</v>
      </c>
      <c r="D886" s="13" t="s">
        <v>2458</v>
      </c>
      <c r="E886" s="111"/>
      <c r="F886" s="113" t="s">
        <v>3279</v>
      </c>
      <c r="G886" s="114"/>
      <c r="H886" s="115"/>
      <c r="I886" s="24" t="s">
        <v>2415</v>
      </c>
      <c r="J886" s="116">
        <v>4</v>
      </c>
      <c r="K886" s="118">
        <v>777000</v>
      </c>
      <c r="L886" s="119"/>
      <c r="M886" s="118">
        <f>K886*0.1</f>
        <v>77700</v>
      </c>
      <c r="N886" s="119"/>
      <c r="O886" s="118">
        <v>0</v>
      </c>
      <c r="P886" s="119"/>
      <c r="Q886" s="118">
        <v>8680</v>
      </c>
      <c r="R886" s="119"/>
      <c r="S886" s="118">
        <v>13750</v>
      </c>
      <c r="T886" s="119"/>
      <c r="U886" s="118">
        <f>SUM(K886:T887)</f>
        <v>877130</v>
      </c>
      <c r="V886" s="122"/>
      <c r="W886" s="124"/>
      <c r="X886" s="126" t="s">
        <v>3280</v>
      </c>
      <c r="Y886" s="127"/>
      <c r="Z886" s="127"/>
      <c r="AA886" s="127"/>
      <c r="AB886" s="128"/>
      <c r="AC886" s="15" t="s">
        <v>20</v>
      </c>
      <c r="AD886" s="129" t="s">
        <v>2745</v>
      </c>
      <c r="AE886" s="130"/>
      <c r="AF886" s="130"/>
      <c r="AG886" s="130"/>
      <c r="AH886" s="130"/>
      <c r="AI886" s="131"/>
      <c r="AJ886" s="132"/>
      <c r="AK886" s="127"/>
      <c r="AL886" s="128"/>
      <c r="AM886" s="21"/>
      <c r="AN886" s="133"/>
      <c r="AO886" s="134"/>
      <c r="AP886" s="135"/>
      <c r="AQ886" s="136"/>
      <c r="AR886" s="118"/>
      <c r="AS886" s="119"/>
      <c r="AT886" s="180">
        <f>AR886*0.1</f>
        <v>0</v>
      </c>
      <c r="AU886" s="181"/>
      <c r="AV886" s="118"/>
      <c r="AW886" s="119"/>
      <c r="AX886" s="118">
        <f>SUM(AR886:AW886)</f>
        <v>0</v>
      </c>
      <c r="AY886" s="119"/>
      <c r="AZ886" s="137"/>
    </row>
    <row r="887" spans="1:52" ht="17.100000000000001" customHeight="1" thickBot="1">
      <c r="A887" s="110"/>
      <c r="B887" s="27" t="s">
        <v>3281</v>
      </c>
      <c r="C887" s="27">
        <v>2592</v>
      </c>
      <c r="D887" s="14" t="s">
        <v>2040</v>
      </c>
      <c r="E887" s="112"/>
      <c r="F887" s="139" t="s">
        <v>3282</v>
      </c>
      <c r="G887" s="140"/>
      <c r="H887" s="141"/>
      <c r="I887" s="26">
        <v>53030</v>
      </c>
      <c r="J887" s="117"/>
      <c r="K887" s="120"/>
      <c r="L887" s="121"/>
      <c r="M887" s="120"/>
      <c r="N887" s="121"/>
      <c r="O887" s="120"/>
      <c r="P887" s="121"/>
      <c r="Q887" s="120"/>
      <c r="R887" s="121"/>
      <c r="S887" s="120"/>
      <c r="T887" s="121"/>
      <c r="U887" s="120"/>
      <c r="V887" s="123"/>
      <c r="W887" s="125"/>
      <c r="X887" s="142" t="s">
        <v>3283</v>
      </c>
      <c r="Y887" s="143"/>
      <c r="Z887" s="143"/>
      <c r="AA887" s="143"/>
      <c r="AB887" s="144"/>
      <c r="AC887" s="16" t="s">
        <v>21</v>
      </c>
      <c r="AD887" s="17" t="s">
        <v>2604</v>
      </c>
      <c r="AE887" s="145" t="s">
        <v>3284</v>
      </c>
      <c r="AF887" s="146"/>
      <c r="AG887" s="146"/>
      <c r="AH887" s="146"/>
      <c r="AI887" s="147"/>
      <c r="AJ887" s="148" t="s">
        <v>2986</v>
      </c>
      <c r="AK887" s="143"/>
      <c r="AL887" s="144"/>
      <c r="AM887" s="22"/>
      <c r="AN887" s="149"/>
      <c r="AO887" s="144"/>
      <c r="AP887" s="148"/>
      <c r="AQ887" s="144"/>
      <c r="AR887" s="120"/>
      <c r="AS887" s="121"/>
      <c r="AT887" s="120"/>
      <c r="AU887" s="182"/>
      <c r="AV887" s="120"/>
      <c r="AW887" s="121"/>
      <c r="AX887" s="120"/>
      <c r="AY887" s="121"/>
      <c r="AZ887" s="138"/>
    </row>
    <row r="888" spans="1:52" ht="17.100000000000001" customHeight="1" thickTop="1">
      <c r="A888" s="109" t="s">
        <v>6181</v>
      </c>
      <c r="B888" s="28">
        <v>45569</v>
      </c>
      <c r="C888" s="25">
        <v>2055</v>
      </c>
      <c r="D888" s="13" t="s">
        <v>2348</v>
      </c>
      <c r="E888" s="111" t="s">
        <v>166</v>
      </c>
      <c r="F888" s="113" t="s">
        <v>3285</v>
      </c>
      <c r="G888" s="114"/>
      <c r="H888" s="115"/>
      <c r="I888" s="24" t="s">
        <v>2743</v>
      </c>
      <c r="J888" s="116">
        <v>4.5</v>
      </c>
      <c r="K888" s="118">
        <v>3230000</v>
      </c>
      <c r="L888" s="119"/>
      <c r="M888" s="118">
        <f>K888*0.1</f>
        <v>323000</v>
      </c>
      <c r="N888" s="119"/>
      <c r="O888" s="118">
        <v>23320</v>
      </c>
      <c r="P888" s="119"/>
      <c r="Q888" s="118">
        <v>22420</v>
      </c>
      <c r="R888" s="119"/>
      <c r="S888" s="118">
        <v>13200</v>
      </c>
      <c r="T888" s="119"/>
      <c r="U888" s="118">
        <f>SUM(K888:T889)</f>
        <v>3611940</v>
      </c>
      <c r="V888" s="122"/>
      <c r="W888" s="124"/>
      <c r="X888" s="126" t="s">
        <v>3286</v>
      </c>
      <c r="Y888" s="127"/>
      <c r="Z888" s="127"/>
      <c r="AA888" s="127"/>
      <c r="AB888" s="128"/>
      <c r="AC888" s="15" t="s">
        <v>20</v>
      </c>
      <c r="AD888" s="129" t="s">
        <v>1670</v>
      </c>
      <c r="AE888" s="130"/>
      <c r="AF888" s="130"/>
      <c r="AG888" s="130"/>
      <c r="AH888" s="130"/>
      <c r="AI888" s="131"/>
      <c r="AJ888" s="132"/>
      <c r="AK888" s="127"/>
      <c r="AL888" s="128"/>
      <c r="AM888" s="21" t="s">
        <v>3287</v>
      </c>
      <c r="AN888" s="133">
        <v>46046</v>
      </c>
      <c r="AO888" s="134"/>
      <c r="AP888" s="135">
        <v>1285</v>
      </c>
      <c r="AQ888" s="136"/>
      <c r="AR888" s="118">
        <v>2700000</v>
      </c>
      <c r="AS888" s="119"/>
      <c r="AT888" s="180">
        <f>AR888*0.1</f>
        <v>270000</v>
      </c>
      <c r="AU888" s="181"/>
      <c r="AV888" s="118">
        <v>22420</v>
      </c>
      <c r="AW888" s="119"/>
      <c r="AX888" s="118">
        <f>SUM(AR888:AW888)</f>
        <v>2992420</v>
      </c>
      <c r="AY888" s="119"/>
      <c r="AZ888" s="137">
        <v>46049</v>
      </c>
    </row>
    <row r="889" spans="1:52" ht="17.100000000000001" customHeight="1" thickBot="1">
      <c r="A889" s="110"/>
      <c r="B889" s="27" t="s">
        <v>1543</v>
      </c>
      <c r="C889" s="27">
        <v>58206</v>
      </c>
      <c r="D889" s="14" t="s">
        <v>275</v>
      </c>
      <c r="E889" s="112"/>
      <c r="F889" s="139" t="s">
        <v>3288</v>
      </c>
      <c r="G889" s="140"/>
      <c r="H889" s="141"/>
      <c r="I889" s="26">
        <v>54774</v>
      </c>
      <c r="J889" s="117"/>
      <c r="K889" s="120"/>
      <c r="L889" s="121"/>
      <c r="M889" s="120"/>
      <c r="N889" s="121"/>
      <c r="O889" s="120"/>
      <c r="P889" s="121"/>
      <c r="Q889" s="120"/>
      <c r="R889" s="121"/>
      <c r="S889" s="120"/>
      <c r="T889" s="121"/>
      <c r="U889" s="120"/>
      <c r="V889" s="123"/>
      <c r="W889" s="125"/>
      <c r="X889" s="142" t="s">
        <v>2321</v>
      </c>
      <c r="Y889" s="143"/>
      <c r="Z889" s="143"/>
      <c r="AA889" s="143"/>
      <c r="AB889" s="144"/>
      <c r="AC889" s="16" t="s">
        <v>21</v>
      </c>
      <c r="AD889" s="17" t="s">
        <v>3289</v>
      </c>
      <c r="AE889" s="145" t="s">
        <v>1742</v>
      </c>
      <c r="AF889" s="146"/>
      <c r="AG889" s="146"/>
      <c r="AH889" s="146"/>
      <c r="AI889" s="147"/>
      <c r="AJ889" s="148"/>
      <c r="AK889" s="143"/>
      <c r="AL889" s="144"/>
      <c r="AM889" s="22"/>
      <c r="AN889" s="149" t="s">
        <v>7284</v>
      </c>
      <c r="AO889" s="144"/>
      <c r="AP889" s="148">
        <v>82231</v>
      </c>
      <c r="AQ889" s="144"/>
      <c r="AR889" s="120"/>
      <c r="AS889" s="121"/>
      <c r="AT889" s="120"/>
      <c r="AU889" s="182"/>
      <c r="AV889" s="120"/>
      <c r="AW889" s="121"/>
      <c r="AX889" s="120"/>
      <c r="AY889" s="121"/>
      <c r="AZ889" s="138"/>
    </row>
    <row r="890" spans="1:52" ht="17.100000000000001" customHeight="1" thickTop="1">
      <c r="A890" s="109" t="s">
        <v>6182</v>
      </c>
      <c r="B890" s="28">
        <v>45569</v>
      </c>
      <c r="C890" s="25">
        <v>1126</v>
      </c>
      <c r="D890" s="13" t="s">
        <v>1793</v>
      </c>
      <c r="E890" s="111"/>
      <c r="F890" s="113" t="s">
        <v>3290</v>
      </c>
      <c r="G890" s="114"/>
      <c r="H890" s="115"/>
      <c r="I890" s="24" t="s">
        <v>3291</v>
      </c>
      <c r="J890" s="116">
        <v>4</v>
      </c>
      <c r="K890" s="118">
        <v>1265000</v>
      </c>
      <c r="L890" s="119"/>
      <c r="M890" s="118">
        <f>K890*0.1</f>
        <v>126500</v>
      </c>
      <c r="N890" s="119"/>
      <c r="O890" s="118">
        <v>18040</v>
      </c>
      <c r="P890" s="119"/>
      <c r="Q890" s="118">
        <v>17990</v>
      </c>
      <c r="R890" s="119"/>
      <c r="S890" s="118">
        <v>13200</v>
      </c>
      <c r="T890" s="119"/>
      <c r="U890" s="118">
        <f>SUM(K890:T891)</f>
        <v>1440730</v>
      </c>
      <c r="V890" s="122"/>
      <c r="W890" s="124"/>
      <c r="X890" s="126" t="s">
        <v>3292</v>
      </c>
      <c r="Y890" s="127"/>
      <c r="Z890" s="127"/>
      <c r="AA890" s="127"/>
      <c r="AB890" s="128"/>
      <c r="AC890" s="15" t="s">
        <v>20</v>
      </c>
      <c r="AD890" s="129"/>
      <c r="AE890" s="130"/>
      <c r="AF890" s="130"/>
      <c r="AG890" s="130"/>
      <c r="AH890" s="130"/>
      <c r="AI890" s="131"/>
      <c r="AJ890" s="132"/>
      <c r="AK890" s="127"/>
      <c r="AL890" s="128"/>
      <c r="AM890" s="21"/>
      <c r="AN890" s="133"/>
      <c r="AO890" s="134"/>
      <c r="AP890" s="135"/>
      <c r="AQ890" s="136"/>
      <c r="AR890" s="118"/>
      <c r="AS890" s="119"/>
      <c r="AT890" s="180">
        <f>AR890*0.1</f>
        <v>0</v>
      </c>
      <c r="AU890" s="181"/>
      <c r="AV890" s="118"/>
      <c r="AW890" s="119"/>
      <c r="AX890" s="118">
        <f>SUM(AR890:AW890)</f>
        <v>0</v>
      </c>
      <c r="AY890" s="119"/>
      <c r="AZ890" s="137"/>
    </row>
    <row r="891" spans="1:52" ht="17.100000000000001" customHeight="1" thickBot="1">
      <c r="A891" s="110"/>
      <c r="B891" s="27" t="s">
        <v>1828</v>
      </c>
      <c r="C891" s="27">
        <v>88089</v>
      </c>
      <c r="D891" s="14" t="s">
        <v>1592</v>
      </c>
      <c r="E891" s="112"/>
      <c r="F891" s="139" t="s">
        <v>3293</v>
      </c>
      <c r="G891" s="140"/>
      <c r="H891" s="141"/>
      <c r="I891" s="26">
        <v>46597</v>
      </c>
      <c r="J891" s="117"/>
      <c r="K891" s="120"/>
      <c r="L891" s="121"/>
      <c r="M891" s="120"/>
      <c r="N891" s="121"/>
      <c r="O891" s="120"/>
      <c r="P891" s="121"/>
      <c r="Q891" s="120"/>
      <c r="R891" s="121"/>
      <c r="S891" s="120"/>
      <c r="T891" s="121"/>
      <c r="U891" s="120"/>
      <c r="V891" s="123"/>
      <c r="W891" s="125"/>
      <c r="X891" s="142" t="s">
        <v>3294</v>
      </c>
      <c r="Y891" s="143"/>
      <c r="Z891" s="143"/>
      <c r="AA891" s="143"/>
      <c r="AB891" s="144"/>
      <c r="AC891" s="16" t="s">
        <v>21</v>
      </c>
      <c r="AD891" s="17" t="s">
        <v>3295</v>
      </c>
      <c r="AE891" s="145" t="s">
        <v>2269</v>
      </c>
      <c r="AF891" s="146"/>
      <c r="AG891" s="146"/>
      <c r="AH891" s="146"/>
      <c r="AI891" s="147"/>
      <c r="AJ891" s="148"/>
      <c r="AK891" s="143"/>
      <c r="AL891" s="144"/>
      <c r="AM891" s="67" t="s">
        <v>928</v>
      </c>
      <c r="AN891" s="149"/>
      <c r="AO891" s="144"/>
      <c r="AP891" s="148"/>
      <c r="AQ891" s="144"/>
      <c r="AR891" s="120"/>
      <c r="AS891" s="121"/>
      <c r="AT891" s="120"/>
      <c r="AU891" s="182"/>
      <c r="AV891" s="120"/>
      <c r="AW891" s="121"/>
      <c r="AX891" s="120"/>
      <c r="AY891" s="121"/>
      <c r="AZ891" s="138"/>
    </row>
    <row r="892" spans="1:52" ht="17.100000000000001" customHeight="1" thickTop="1">
      <c r="A892" s="109" t="s">
        <v>6183</v>
      </c>
      <c r="B892" s="28">
        <v>45572</v>
      </c>
      <c r="C892" s="25"/>
      <c r="D892" s="13" t="s">
        <v>3296</v>
      </c>
      <c r="E892" s="111"/>
      <c r="F892" s="113" t="s">
        <v>3297</v>
      </c>
      <c r="G892" s="114"/>
      <c r="H892" s="115"/>
      <c r="I892" s="24"/>
      <c r="J892" s="150" t="s">
        <v>1715</v>
      </c>
      <c r="K892" s="118">
        <v>1234000</v>
      </c>
      <c r="L892" s="119"/>
      <c r="M892" s="118">
        <f>K892*0.1</f>
        <v>123400</v>
      </c>
      <c r="N892" s="119"/>
      <c r="O892" s="118">
        <v>0</v>
      </c>
      <c r="P892" s="119"/>
      <c r="Q892" s="118">
        <v>17190</v>
      </c>
      <c r="R892" s="119"/>
      <c r="S892" s="118">
        <v>15950</v>
      </c>
      <c r="T892" s="119"/>
      <c r="U892" s="118">
        <f>SUM(K892:T893)</f>
        <v>1390540</v>
      </c>
      <c r="V892" s="122"/>
      <c r="W892" s="124"/>
      <c r="X892" s="126" t="s">
        <v>3298</v>
      </c>
      <c r="Y892" s="127"/>
      <c r="Z892" s="127"/>
      <c r="AA892" s="127"/>
      <c r="AB892" s="128"/>
      <c r="AC892" s="15" t="s">
        <v>20</v>
      </c>
      <c r="AD892" s="129"/>
      <c r="AE892" s="130"/>
      <c r="AF892" s="130"/>
      <c r="AG892" s="130"/>
      <c r="AH892" s="130"/>
      <c r="AI892" s="131"/>
      <c r="AJ892" s="132"/>
      <c r="AK892" s="127"/>
      <c r="AL892" s="128"/>
      <c r="AM892" s="21"/>
      <c r="AN892" s="133">
        <v>46128</v>
      </c>
      <c r="AO892" s="134"/>
      <c r="AP892" s="135">
        <v>1327</v>
      </c>
      <c r="AQ892" s="136"/>
      <c r="AR892" s="118">
        <v>1095000</v>
      </c>
      <c r="AS892" s="119"/>
      <c r="AT892" s="180">
        <f>AR892*0.1</f>
        <v>109500</v>
      </c>
      <c r="AU892" s="181"/>
      <c r="AV892" s="118">
        <v>17190</v>
      </c>
      <c r="AW892" s="119"/>
      <c r="AX892" s="118">
        <f>SUM(AR892:AW892)</f>
        <v>1221690</v>
      </c>
      <c r="AY892" s="119"/>
      <c r="AZ892" s="137">
        <v>46129</v>
      </c>
    </row>
    <row r="893" spans="1:52" ht="17.100000000000001" customHeight="1" thickBot="1">
      <c r="A893" s="110"/>
      <c r="B893" s="27" t="s">
        <v>2535</v>
      </c>
      <c r="C893" s="27">
        <v>80319</v>
      </c>
      <c r="D893" s="14" t="s">
        <v>1592</v>
      </c>
      <c r="E893" s="112"/>
      <c r="F893" s="139" t="s">
        <v>3299</v>
      </c>
      <c r="G893" s="140"/>
      <c r="H893" s="141"/>
      <c r="I893" s="26">
        <v>48565</v>
      </c>
      <c r="J893" s="117"/>
      <c r="K893" s="120"/>
      <c r="L893" s="121"/>
      <c r="M893" s="120"/>
      <c r="N893" s="121"/>
      <c r="O893" s="120"/>
      <c r="P893" s="121"/>
      <c r="Q893" s="120"/>
      <c r="R893" s="121"/>
      <c r="S893" s="120"/>
      <c r="T893" s="121"/>
      <c r="U893" s="120"/>
      <c r="V893" s="123"/>
      <c r="W893" s="125"/>
      <c r="X893" s="142" t="s">
        <v>3300</v>
      </c>
      <c r="Y893" s="143"/>
      <c r="Z893" s="143"/>
      <c r="AA893" s="143"/>
      <c r="AB893" s="144"/>
      <c r="AC893" s="16" t="s">
        <v>21</v>
      </c>
      <c r="AD893" s="17" t="s">
        <v>1648</v>
      </c>
      <c r="AE893" s="145" t="s">
        <v>3301</v>
      </c>
      <c r="AF893" s="146"/>
      <c r="AG893" s="146"/>
      <c r="AH893" s="146"/>
      <c r="AI893" s="147"/>
      <c r="AJ893" s="148"/>
      <c r="AK893" s="143"/>
      <c r="AL893" s="144"/>
      <c r="AM893" s="22"/>
      <c r="AN893" s="149" t="s">
        <v>23284</v>
      </c>
      <c r="AO893" s="144"/>
      <c r="AP893" s="148">
        <v>542</v>
      </c>
      <c r="AQ893" s="144"/>
      <c r="AR893" s="120"/>
      <c r="AS893" s="121"/>
      <c r="AT893" s="120"/>
      <c r="AU893" s="182"/>
      <c r="AV893" s="120"/>
      <c r="AW893" s="121"/>
      <c r="AX893" s="120"/>
      <c r="AY893" s="121"/>
      <c r="AZ893" s="138"/>
    </row>
    <row r="894" spans="1:52" ht="17.100000000000001" customHeight="1" thickTop="1">
      <c r="A894" s="109" t="s">
        <v>6184</v>
      </c>
      <c r="B894" s="28">
        <v>45572</v>
      </c>
      <c r="C894" s="25"/>
      <c r="D894" s="13" t="s">
        <v>1597</v>
      </c>
      <c r="E894" s="111"/>
      <c r="F894" s="113" t="s">
        <v>3302</v>
      </c>
      <c r="G894" s="114"/>
      <c r="H894" s="115"/>
      <c r="I894" s="24" t="s">
        <v>3303</v>
      </c>
      <c r="J894" s="116">
        <v>4.5</v>
      </c>
      <c r="K894" s="118">
        <v>1964000</v>
      </c>
      <c r="L894" s="119"/>
      <c r="M894" s="118">
        <f>K894*0.1</f>
        <v>196400</v>
      </c>
      <c r="N894" s="119"/>
      <c r="O894" s="118">
        <v>15730</v>
      </c>
      <c r="P894" s="119"/>
      <c r="Q894" s="118">
        <v>17600</v>
      </c>
      <c r="R894" s="119"/>
      <c r="S894" s="118">
        <v>15950</v>
      </c>
      <c r="T894" s="119"/>
      <c r="U894" s="118">
        <f>SUM(K894:T895)</f>
        <v>2209680</v>
      </c>
      <c r="V894" s="122"/>
      <c r="W894" s="124"/>
      <c r="X894" s="126" t="s">
        <v>3304</v>
      </c>
      <c r="Y894" s="127"/>
      <c r="Z894" s="127"/>
      <c r="AA894" s="127"/>
      <c r="AB894" s="128"/>
      <c r="AC894" s="15" t="s">
        <v>20</v>
      </c>
      <c r="AD894" s="129"/>
      <c r="AE894" s="130"/>
      <c r="AF894" s="130"/>
      <c r="AG894" s="130"/>
      <c r="AH894" s="130"/>
      <c r="AI894" s="131"/>
      <c r="AJ894" s="132"/>
      <c r="AK894" s="127"/>
      <c r="AL894" s="128"/>
      <c r="AM894" s="21" t="s">
        <v>3305</v>
      </c>
      <c r="AN894" s="133"/>
      <c r="AO894" s="134"/>
      <c r="AP894" s="135"/>
      <c r="AQ894" s="136"/>
      <c r="AR894" s="118"/>
      <c r="AS894" s="119"/>
      <c r="AT894" s="180">
        <f>AR894*0.1</f>
        <v>0</v>
      </c>
      <c r="AU894" s="181"/>
      <c r="AV894" s="118"/>
      <c r="AW894" s="119"/>
      <c r="AX894" s="118">
        <f>SUM(AR894:AW894)</f>
        <v>0</v>
      </c>
      <c r="AY894" s="119"/>
      <c r="AZ894" s="137"/>
    </row>
    <row r="895" spans="1:52" ht="17.100000000000001" customHeight="1" thickBot="1">
      <c r="A895" s="110"/>
      <c r="B895" s="27" t="s">
        <v>3306</v>
      </c>
      <c r="C895" s="27">
        <v>60123</v>
      </c>
      <c r="D895" s="14" t="s">
        <v>2206</v>
      </c>
      <c r="E895" s="112"/>
      <c r="F895" s="139" t="s">
        <v>3307</v>
      </c>
      <c r="G895" s="140"/>
      <c r="H895" s="141"/>
      <c r="I895" s="26">
        <v>19077</v>
      </c>
      <c r="J895" s="117"/>
      <c r="K895" s="120"/>
      <c r="L895" s="121"/>
      <c r="M895" s="120"/>
      <c r="N895" s="121"/>
      <c r="O895" s="120"/>
      <c r="P895" s="121"/>
      <c r="Q895" s="120"/>
      <c r="R895" s="121"/>
      <c r="S895" s="120"/>
      <c r="T895" s="121"/>
      <c r="U895" s="120"/>
      <c r="V895" s="123"/>
      <c r="W895" s="125"/>
      <c r="X895" s="142" t="s">
        <v>2947</v>
      </c>
      <c r="Y895" s="143"/>
      <c r="Z895" s="143"/>
      <c r="AA895" s="143"/>
      <c r="AB895" s="144"/>
      <c r="AC895" s="16" t="s">
        <v>21</v>
      </c>
      <c r="AD895" s="17" t="s">
        <v>3308</v>
      </c>
      <c r="AE895" s="145" t="s">
        <v>3309</v>
      </c>
      <c r="AF895" s="146"/>
      <c r="AG895" s="146"/>
      <c r="AH895" s="146"/>
      <c r="AI895" s="147"/>
      <c r="AJ895" s="148"/>
      <c r="AK895" s="143"/>
      <c r="AL895" s="144"/>
      <c r="AM895" s="22"/>
      <c r="AN895" s="149"/>
      <c r="AO895" s="144"/>
      <c r="AP895" s="148"/>
      <c r="AQ895" s="144"/>
      <c r="AR895" s="120"/>
      <c r="AS895" s="121"/>
      <c r="AT895" s="120"/>
      <c r="AU895" s="182"/>
      <c r="AV895" s="120"/>
      <c r="AW895" s="121"/>
      <c r="AX895" s="120"/>
      <c r="AY895" s="121"/>
      <c r="AZ895" s="138"/>
    </row>
    <row r="896" spans="1:52" ht="17.100000000000001" customHeight="1" thickTop="1">
      <c r="A896" s="109" t="s">
        <v>6185</v>
      </c>
      <c r="B896" s="28">
        <v>45572</v>
      </c>
      <c r="C896" s="25"/>
      <c r="D896" s="13" t="s">
        <v>3310</v>
      </c>
      <c r="E896" s="111"/>
      <c r="F896" s="113" t="s">
        <v>3311</v>
      </c>
      <c r="G896" s="114"/>
      <c r="H896" s="115"/>
      <c r="I896" s="24"/>
      <c r="J896" s="116"/>
      <c r="K896" s="118">
        <v>11000000</v>
      </c>
      <c r="L896" s="119"/>
      <c r="M896" s="118">
        <v>0</v>
      </c>
      <c r="N896" s="119"/>
      <c r="O896" s="118">
        <v>0</v>
      </c>
      <c r="P896" s="119"/>
      <c r="Q896" s="118">
        <v>0</v>
      </c>
      <c r="R896" s="119"/>
      <c r="S896" s="118">
        <v>0</v>
      </c>
      <c r="T896" s="119"/>
      <c r="U896" s="118">
        <f>SUM(K896:T897)</f>
        <v>11000000</v>
      </c>
      <c r="V896" s="122"/>
      <c r="W896" s="124"/>
      <c r="X896" s="126" t="s">
        <v>3312</v>
      </c>
      <c r="Y896" s="127"/>
      <c r="Z896" s="127"/>
      <c r="AA896" s="127"/>
      <c r="AB896" s="128"/>
      <c r="AC896" s="15" t="s">
        <v>20</v>
      </c>
      <c r="AD896" s="129"/>
      <c r="AE896" s="130"/>
      <c r="AF896" s="130"/>
      <c r="AG896" s="130"/>
      <c r="AH896" s="130"/>
      <c r="AI896" s="131"/>
      <c r="AJ896" s="132"/>
      <c r="AK896" s="127"/>
      <c r="AL896" s="128"/>
      <c r="AM896" s="21" t="s">
        <v>3313</v>
      </c>
      <c r="AN896" s="133">
        <v>46081</v>
      </c>
      <c r="AO896" s="134"/>
      <c r="AP896" s="135"/>
      <c r="AQ896" s="136"/>
      <c r="AR896" s="118">
        <v>12020700</v>
      </c>
      <c r="AS896" s="119"/>
      <c r="AT896" s="180">
        <v>0</v>
      </c>
      <c r="AU896" s="181"/>
      <c r="AV896" s="118">
        <v>0</v>
      </c>
      <c r="AW896" s="119"/>
      <c r="AX896" s="118">
        <f>SUM(AR896:AW896)</f>
        <v>12020700</v>
      </c>
      <c r="AY896" s="119"/>
      <c r="AZ896" s="137">
        <v>46084</v>
      </c>
    </row>
    <row r="897" spans="1:52" ht="17.100000000000001" customHeight="1" thickBot="1">
      <c r="A897" s="110"/>
      <c r="B897" s="27" t="s">
        <v>3314</v>
      </c>
      <c r="C897" s="27"/>
      <c r="D897" s="14" t="s">
        <v>1883</v>
      </c>
      <c r="E897" s="112"/>
      <c r="F897" s="139" t="s">
        <v>3315</v>
      </c>
      <c r="G897" s="140"/>
      <c r="H897" s="141"/>
      <c r="I897" s="26"/>
      <c r="J897" s="117"/>
      <c r="K897" s="120"/>
      <c r="L897" s="121"/>
      <c r="M897" s="120"/>
      <c r="N897" s="121"/>
      <c r="O897" s="120"/>
      <c r="P897" s="121"/>
      <c r="Q897" s="120"/>
      <c r="R897" s="121"/>
      <c r="S897" s="120"/>
      <c r="T897" s="121"/>
      <c r="U897" s="120"/>
      <c r="V897" s="123"/>
      <c r="W897" s="125"/>
      <c r="X897" s="142" t="s">
        <v>3316</v>
      </c>
      <c r="Y897" s="143"/>
      <c r="Z897" s="143"/>
      <c r="AA897" s="143"/>
      <c r="AB897" s="144"/>
      <c r="AC897" s="16" t="s">
        <v>21</v>
      </c>
      <c r="AD897" s="17" t="s">
        <v>3317</v>
      </c>
      <c r="AE897" s="145" t="s">
        <v>1658</v>
      </c>
      <c r="AF897" s="146"/>
      <c r="AG897" s="146"/>
      <c r="AH897" s="146"/>
      <c r="AI897" s="147"/>
      <c r="AJ897" s="148"/>
      <c r="AK897" s="143"/>
      <c r="AL897" s="144"/>
      <c r="AM897" s="22"/>
      <c r="AN897" s="187" t="s">
        <v>24627</v>
      </c>
      <c r="AO897" s="144"/>
      <c r="AP897" s="148"/>
      <c r="AQ897" s="144"/>
      <c r="AR897" s="120"/>
      <c r="AS897" s="121"/>
      <c r="AT897" s="120"/>
      <c r="AU897" s="182"/>
      <c r="AV897" s="120"/>
      <c r="AW897" s="121"/>
      <c r="AX897" s="120"/>
      <c r="AY897" s="121"/>
      <c r="AZ897" s="138"/>
    </row>
    <row r="898" spans="1:52" ht="17.100000000000001" customHeight="1" thickTop="1">
      <c r="A898" s="109" t="s">
        <v>6186</v>
      </c>
      <c r="B898" s="28">
        <v>45575</v>
      </c>
      <c r="C898" s="25">
        <v>1487</v>
      </c>
      <c r="D898" s="13" t="s">
        <v>2196</v>
      </c>
      <c r="E898" s="111"/>
      <c r="F898" s="113" t="s">
        <v>2656</v>
      </c>
      <c r="G898" s="114"/>
      <c r="H898" s="115"/>
      <c r="I898" s="24" t="s">
        <v>3318</v>
      </c>
      <c r="J898" s="116">
        <v>4.5</v>
      </c>
      <c r="K898" s="118">
        <v>1650000</v>
      </c>
      <c r="L898" s="119"/>
      <c r="M898" s="118">
        <f>K898*0.1</f>
        <v>165000</v>
      </c>
      <c r="N898" s="119"/>
      <c r="O898" s="118">
        <v>18040</v>
      </c>
      <c r="P898" s="119"/>
      <c r="Q898" s="118">
        <v>17600</v>
      </c>
      <c r="R898" s="119"/>
      <c r="S898" s="118">
        <v>24200</v>
      </c>
      <c r="T898" s="119"/>
      <c r="U898" s="118">
        <f>SUM(K898:T899)</f>
        <v>1874840</v>
      </c>
      <c r="V898" s="122"/>
      <c r="W898" s="124"/>
      <c r="X898" s="126" t="s">
        <v>3319</v>
      </c>
      <c r="Y898" s="127"/>
      <c r="Z898" s="127"/>
      <c r="AA898" s="127"/>
      <c r="AB898" s="128"/>
      <c r="AC898" s="15" t="s">
        <v>20</v>
      </c>
      <c r="AD898" s="129"/>
      <c r="AE898" s="130"/>
      <c r="AF898" s="130"/>
      <c r="AG898" s="130"/>
      <c r="AH898" s="130"/>
      <c r="AI898" s="131"/>
      <c r="AJ898" s="132"/>
      <c r="AK898" s="127"/>
      <c r="AL898" s="128"/>
      <c r="AM898" s="21" t="s">
        <v>3320</v>
      </c>
      <c r="AN898" s="133"/>
      <c r="AO898" s="134"/>
      <c r="AP898" s="135"/>
      <c r="AQ898" s="136"/>
      <c r="AR898" s="118"/>
      <c r="AS898" s="119"/>
      <c r="AT898" s="180">
        <f>AR898*0.1</f>
        <v>0</v>
      </c>
      <c r="AU898" s="181"/>
      <c r="AV898" s="118"/>
      <c r="AW898" s="119"/>
      <c r="AX898" s="118">
        <f>SUM(AR898:AW898)</f>
        <v>0</v>
      </c>
      <c r="AY898" s="119"/>
      <c r="AZ898" s="137"/>
    </row>
    <row r="899" spans="1:52" ht="17.100000000000001" customHeight="1" thickBot="1">
      <c r="A899" s="110"/>
      <c r="B899" s="27" t="s">
        <v>1600</v>
      </c>
      <c r="C899" s="27">
        <v>76245</v>
      </c>
      <c r="D899" s="14" t="s">
        <v>1576</v>
      </c>
      <c r="E899" s="112"/>
      <c r="F899" s="139" t="s">
        <v>3321</v>
      </c>
      <c r="G899" s="140"/>
      <c r="H899" s="141"/>
      <c r="I899" s="26">
        <v>46225</v>
      </c>
      <c r="J899" s="117"/>
      <c r="K899" s="120"/>
      <c r="L899" s="121"/>
      <c r="M899" s="120"/>
      <c r="N899" s="121"/>
      <c r="O899" s="120"/>
      <c r="P899" s="121"/>
      <c r="Q899" s="120"/>
      <c r="R899" s="121"/>
      <c r="S899" s="120"/>
      <c r="T899" s="121"/>
      <c r="U899" s="120"/>
      <c r="V899" s="123"/>
      <c r="W899" s="125"/>
      <c r="X899" s="142" t="s">
        <v>2918</v>
      </c>
      <c r="Y899" s="143"/>
      <c r="Z899" s="143"/>
      <c r="AA899" s="143"/>
      <c r="AB899" s="144"/>
      <c r="AC899" s="16" t="s">
        <v>21</v>
      </c>
      <c r="AD899" s="17" t="s">
        <v>1648</v>
      </c>
      <c r="AE899" s="145" t="s">
        <v>1742</v>
      </c>
      <c r="AF899" s="146"/>
      <c r="AG899" s="146"/>
      <c r="AH899" s="146"/>
      <c r="AI899" s="147"/>
      <c r="AJ899" s="148"/>
      <c r="AK899" s="143"/>
      <c r="AL899" s="144"/>
      <c r="AM899" s="22"/>
      <c r="AN899" s="149"/>
      <c r="AO899" s="144"/>
      <c r="AP899" s="148"/>
      <c r="AQ899" s="144"/>
      <c r="AR899" s="120"/>
      <c r="AS899" s="121"/>
      <c r="AT899" s="120"/>
      <c r="AU899" s="182"/>
      <c r="AV899" s="120"/>
      <c r="AW899" s="121"/>
      <c r="AX899" s="120"/>
      <c r="AY899" s="121"/>
      <c r="AZ899" s="138"/>
    </row>
    <row r="900" spans="1:52" ht="17.100000000000001" customHeight="1" thickTop="1">
      <c r="A900" s="109" t="s">
        <v>6187</v>
      </c>
      <c r="B900" s="28">
        <v>45575</v>
      </c>
      <c r="C900" s="25">
        <v>1948</v>
      </c>
      <c r="D900" s="13" t="s">
        <v>3322</v>
      </c>
      <c r="E900" s="111"/>
      <c r="F900" s="113" t="s">
        <v>3323</v>
      </c>
      <c r="G900" s="114"/>
      <c r="H900" s="115"/>
      <c r="I900" s="24" t="s">
        <v>3324</v>
      </c>
      <c r="J900" s="116">
        <v>4</v>
      </c>
      <c r="K900" s="118">
        <v>1161000</v>
      </c>
      <c r="L900" s="119"/>
      <c r="M900" s="118">
        <f>K900*0.1</f>
        <v>116100</v>
      </c>
      <c r="N900" s="119"/>
      <c r="O900" s="118">
        <v>0</v>
      </c>
      <c r="P900" s="119"/>
      <c r="Q900" s="118">
        <v>8110</v>
      </c>
      <c r="R900" s="119"/>
      <c r="S900" s="118">
        <v>22000</v>
      </c>
      <c r="T900" s="119"/>
      <c r="U900" s="118">
        <f>SUM(K900:T901)</f>
        <v>1307210</v>
      </c>
      <c r="V900" s="122"/>
      <c r="W900" s="124"/>
      <c r="X900" s="126" t="s">
        <v>3325</v>
      </c>
      <c r="Y900" s="127"/>
      <c r="Z900" s="127"/>
      <c r="AA900" s="127"/>
      <c r="AB900" s="128"/>
      <c r="AC900" s="15" t="s">
        <v>20</v>
      </c>
      <c r="AD900" s="129" t="s">
        <v>2655</v>
      </c>
      <c r="AE900" s="130"/>
      <c r="AF900" s="130"/>
      <c r="AG900" s="130"/>
      <c r="AH900" s="130"/>
      <c r="AI900" s="131"/>
      <c r="AJ900" s="132"/>
      <c r="AK900" s="127"/>
      <c r="AL900" s="128"/>
      <c r="AM900" s="21" t="s">
        <v>3326</v>
      </c>
      <c r="AN900" s="133">
        <v>45987</v>
      </c>
      <c r="AO900" s="134"/>
      <c r="AP900" s="135">
        <v>994</v>
      </c>
      <c r="AQ900" s="136"/>
      <c r="AR900" s="118">
        <v>1035000</v>
      </c>
      <c r="AS900" s="119"/>
      <c r="AT900" s="180">
        <f>AR900*0.1</f>
        <v>103500</v>
      </c>
      <c r="AU900" s="181"/>
      <c r="AV900" s="118">
        <v>8110</v>
      </c>
      <c r="AW900" s="119"/>
      <c r="AX900" s="118">
        <f>SUM(AR900:AW900)</f>
        <v>1146610</v>
      </c>
      <c r="AY900" s="119"/>
      <c r="AZ900" s="137">
        <v>45992</v>
      </c>
    </row>
    <row r="901" spans="1:52" ht="17.100000000000001" customHeight="1" thickBot="1">
      <c r="A901" s="110"/>
      <c r="B901" s="27" t="s">
        <v>2727</v>
      </c>
      <c r="C901" s="27">
        <v>50051</v>
      </c>
      <c r="D901" s="14" t="s">
        <v>3327</v>
      </c>
      <c r="E901" s="112"/>
      <c r="F901" s="139" t="s">
        <v>3328</v>
      </c>
      <c r="G901" s="140"/>
      <c r="H901" s="141"/>
      <c r="I901" s="26">
        <v>42580</v>
      </c>
      <c r="J901" s="117"/>
      <c r="K901" s="120"/>
      <c r="L901" s="121"/>
      <c r="M901" s="120"/>
      <c r="N901" s="121"/>
      <c r="O901" s="120"/>
      <c r="P901" s="121"/>
      <c r="Q901" s="120"/>
      <c r="R901" s="121"/>
      <c r="S901" s="120"/>
      <c r="T901" s="121"/>
      <c r="U901" s="120"/>
      <c r="V901" s="123"/>
      <c r="W901" s="125"/>
      <c r="X901" s="142" t="s">
        <v>3329</v>
      </c>
      <c r="Y901" s="143"/>
      <c r="Z901" s="143"/>
      <c r="AA901" s="143"/>
      <c r="AB901" s="144"/>
      <c r="AC901" s="16" t="s">
        <v>21</v>
      </c>
      <c r="AD901" s="17" t="s">
        <v>1648</v>
      </c>
      <c r="AE901" s="145" t="s">
        <v>2395</v>
      </c>
      <c r="AF901" s="146"/>
      <c r="AG901" s="146"/>
      <c r="AH901" s="146"/>
      <c r="AI901" s="147"/>
      <c r="AJ901" s="148" t="s">
        <v>3330</v>
      </c>
      <c r="AK901" s="143"/>
      <c r="AL901" s="144"/>
      <c r="AM901" s="22"/>
      <c r="AN901" s="149" t="s">
        <v>11801</v>
      </c>
      <c r="AO901" s="144"/>
      <c r="AP901" s="148">
        <v>2075</v>
      </c>
      <c r="AQ901" s="144"/>
      <c r="AR901" s="120"/>
      <c r="AS901" s="121"/>
      <c r="AT901" s="120"/>
      <c r="AU901" s="182"/>
      <c r="AV901" s="120"/>
      <c r="AW901" s="121"/>
      <c r="AX901" s="120"/>
      <c r="AY901" s="121"/>
      <c r="AZ901" s="138"/>
    </row>
    <row r="902" spans="1:52" ht="17.100000000000001" customHeight="1" thickTop="1">
      <c r="A902" s="109" t="s">
        <v>6188</v>
      </c>
      <c r="B902" s="28">
        <v>45583</v>
      </c>
      <c r="C902" s="25">
        <v>1341</v>
      </c>
      <c r="D902" s="13" t="s">
        <v>2949</v>
      </c>
      <c r="E902" s="111"/>
      <c r="F902" s="113" t="s">
        <v>3331</v>
      </c>
      <c r="G902" s="114"/>
      <c r="H902" s="115"/>
      <c r="I902" s="24"/>
      <c r="J902" s="116">
        <v>4</v>
      </c>
      <c r="K902" s="118">
        <v>1084000</v>
      </c>
      <c r="L902" s="119"/>
      <c r="M902" s="118">
        <f>K902*0.1</f>
        <v>108400</v>
      </c>
      <c r="N902" s="119"/>
      <c r="O902" s="118">
        <v>0</v>
      </c>
      <c r="P902" s="119"/>
      <c r="Q902" s="118">
        <v>8140</v>
      </c>
      <c r="R902" s="119"/>
      <c r="S902" s="118">
        <v>13200</v>
      </c>
      <c r="T902" s="119"/>
      <c r="U902" s="118">
        <f>SUM(K902:T903)</f>
        <v>1213740</v>
      </c>
      <c r="V902" s="122"/>
      <c r="W902" s="124"/>
      <c r="X902" s="126" t="s">
        <v>3332</v>
      </c>
      <c r="Y902" s="127"/>
      <c r="Z902" s="127"/>
      <c r="AA902" s="127"/>
      <c r="AB902" s="128"/>
      <c r="AC902" s="15" t="s">
        <v>20</v>
      </c>
      <c r="AD902" s="129" t="s">
        <v>1732</v>
      </c>
      <c r="AE902" s="130"/>
      <c r="AF902" s="130"/>
      <c r="AG902" s="130"/>
      <c r="AH902" s="130"/>
      <c r="AI902" s="131"/>
      <c r="AJ902" s="132"/>
      <c r="AK902" s="127"/>
      <c r="AL902" s="128"/>
      <c r="AM902" s="21"/>
      <c r="AN902" s="133">
        <v>45934</v>
      </c>
      <c r="AO902" s="134"/>
      <c r="AP902" s="135">
        <v>1270</v>
      </c>
      <c r="AQ902" s="136"/>
      <c r="AR902" s="118">
        <v>965000</v>
      </c>
      <c r="AS902" s="119"/>
      <c r="AT902" s="180">
        <v>96500</v>
      </c>
      <c r="AU902" s="181"/>
      <c r="AV902" s="118">
        <v>8140</v>
      </c>
      <c r="AW902" s="119"/>
      <c r="AX902" s="118">
        <f>SUM(AR902:AW902)</f>
        <v>1069640</v>
      </c>
      <c r="AY902" s="119"/>
      <c r="AZ902" s="137">
        <v>45937</v>
      </c>
    </row>
    <row r="903" spans="1:52" ht="17.100000000000001" customHeight="1" thickBot="1">
      <c r="A903" s="110"/>
      <c r="B903" s="27" t="s">
        <v>2641</v>
      </c>
      <c r="C903" s="27">
        <v>3311</v>
      </c>
      <c r="D903" s="14" t="s">
        <v>2601</v>
      </c>
      <c r="E903" s="112"/>
      <c r="F903" s="139" t="s">
        <v>3333</v>
      </c>
      <c r="G903" s="140"/>
      <c r="H903" s="141"/>
      <c r="I903" s="26">
        <v>45645</v>
      </c>
      <c r="J903" s="117"/>
      <c r="K903" s="120"/>
      <c r="L903" s="121"/>
      <c r="M903" s="120"/>
      <c r="N903" s="121"/>
      <c r="O903" s="120"/>
      <c r="P903" s="121"/>
      <c r="Q903" s="120"/>
      <c r="R903" s="121"/>
      <c r="S903" s="120"/>
      <c r="T903" s="121"/>
      <c r="U903" s="120"/>
      <c r="V903" s="123"/>
      <c r="W903" s="125"/>
      <c r="X903" s="142" t="s">
        <v>3334</v>
      </c>
      <c r="Y903" s="143"/>
      <c r="Z903" s="143"/>
      <c r="AA903" s="143"/>
      <c r="AB903" s="144"/>
      <c r="AC903" s="16" t="s">
        <v>21</v>
      </c>
      <c r="AD903" s="17" t="s">
        <v>3335</v>
      </c>
      <c r="AE903" s="145" t="s">
        <v>1614</v>
      </c>
      <c r="AF903" s="146"/>
      <c r="AG903" s="146"/>
      <c r="AH903" s="146"/>
      <c r="AI903" s="147"/>
      <c r="AJ903" s="148"/>
      <c r="AK903" s="143"/>
      <c r="AL903" s="144"/>
      <c r="AM903" s="22"/>
      <c r="AN903" s="149" t="s">
        <v>7284</v>
      </c>
      <c r="AO903" s="144"/>
      <c r="AP903" s="148">
        <v>55032</v>
      </c>
      <c r="AQ903" s="144"/>
      <c r="AR903" s="120"/>
      <c r="AS903" s="121"/>
      <c r="AT903" s="120"/>
      <c r="AU903" s="182"/>
      <c r="AV903" s="120"/>
      <c r="AW903" s="121"/>
      <c r="AX903" s="120"/>
      <c r="AY903" s="121"/>
      <c r="AZ903" s="138"/>
    </row>
    <row r="904" spans="1:52" ht="17.100000000000001" customHeight="1" thickTop="1">
      <c r="A904" s="109" t="s">
        <v>6189</v>
      </c>
      <c r="B904" s="28">
        <v>45584</v>
      </c>
      <c r="C904" s="25">
        <v>1223</v>
      </c>
      <c r="D904" s="13" t="s">
        <v>2179</v>
      </c>
      <c r="E904" s="111"/>
      <c r="F904" s="113" t="s">
        <v>3336</v>
      </c>
      <c r="G904" s="114"/>
      <c r="H904" s="115"/>
      <c r="I904" s="24" t="s">
        <v>3337</v>
      </c>
      <c r="J904" s="116">
        <v>4</v>
      </c>
      <c r="K904" s="118">
        <v>1125000</v>
      </c>
      <c r="L904" s="119"/>
      <c r="M904" s="118">
        <f>K904*0.1</f>
        <v>112500</v>
      </c>
      <c r="N904" s="119"/>
      <c r="O904" s="118">
        <v>18040</v>
      </c>
      <c r="P904" s="119"/>
      <c r="Q904" s="118">
        <v>22640</v>
      </c>
      <c r="R904" s="119"/>
      <c r="S904" s="118">
        <v>13200</v>
      </c>
      <c r="T904" s="119"/>
      <c r="U904" s="118">
        <f>SUM(K904:T905)</f>
        <v>1291380</v>
      </c>
      <c r="V904" s="122"/>
      <c r="W904" s="124"/>
      <c r="X904" s="126" t="s">
        <v>3338</v>
      </c>
      <c r="Y904" s="127"/>
      <c r="Z904" s="127"/>
      <c r="AA904" s="127"/>
      <c r="AB904" s="128"/>
      <c r="AC904" s="15" t="s">
        <v>20</v>
      </c>
      <c r="AD904" s="129" t="s">
        <v>1633</v>
      </c>
      <c r="AE904" s="130"/>
      <c r="AF904" s="130"/>
      <c r="AG904" s="130"/>
      <c r="AH904" s="130"/>
      <c r="AI904" s="131"/>
      <c r="AJ904" s="132"/>
      <c r="AK904" s="127"/>
      <c r="AL904" s="128"/>
      <c r="AM904" s="21"/>
      <c r="AN904" s="133"/>
      <c r="AO904" s="134"/>
      <c r="AP904" s="135"/>
      <c r="AQ904" s="136"/>
      <c r="AR904" s="118"/>
      <c r="AS904" s="119"/>
      <c r="AT904" s="180">
        <f>AR904*0.1</f>
        <v>0</v>
      </c>
      <c r="AU904" s="181"/>
      <c r="AV904" s="118"/>
      <c r="AW904" s="119"/>
      <c r="AX904" s="118">
        <f>SUM(AR904:AW904)</f>
        <v>0</v>
      </c>
      <c r="AY904" s="119"/>
      <c r="AZ904" s="137"/>
    </row>
    <row r="905" spans="1:52" ht="17.100000000000001" customHeight="1" thickBot="1">
      <c r="A905" s="110"/>
      <c r="B905" s="27" t="s">
        <v>2511</v>
      </c>
      <c r="C905" s="27">
        <v>82362</v>
      </c>
      <c r="D905" s="14" t="s">
        <v>2206</v>
      </c>
      <c r="E905" s="112"/>
      <c r="F905" s="139" t="s">
        <v>3339</v>
      </c>
      <c r="G905" s="140"/>
      <c r="H905" s="141"/>
      <c r="I905" s="26">
        <v>44049</v>
      </c>
      <c r="J905" s="117"/>
      <c r="K905" s="120"/>
      <c r="L905" s="121"/>
      <c r="M905" s="120"/>
      <c r="N905" s="121"/>
      <c r="O905" s="120"/>
      <c r="P905" s="121"/>
      <c r="Q905" s="120"/>
      <c r="R905" s="121"/>
      <c r="S905" s="120"/>
      <c r="T905" s="121"/>
      <c r="U905" s="120"/>
      <c r="V905" s="123"/>
      <c r="W905" s="125"/>
      <c r="X905" s="142" t="s">
        <v>3340</v>
      </c>
      <c r="Y905" s="143"/>
      <c r="Z905" s="143"/>
      <c r="AA905" s="143"/>
      <c r="AB905" s="144"/>
      <c r="AC905" s="16" t="s">
        <v>21</v>
      </c>
      <c r="AD905" s="17" t="s">
        <v>3341</v>
      </c>
      <c r="AE905" s="145" t="s">
        <v>3342</v>
      </c>
      <c r="AF905" s="146"/>
      <c r="AG905" s="146"/>
      <c r="AH905" s="146"/>
      <c r="AI905" s="147"/>
      <c r="AJ905" s="148"/>
      <c r="AK905" s="143"/>
      <c r="AL905" s="144"/>
      <c r="AM905" s="67" t="s">
        <v>907</v>
      </c>
      <c r="AN905" s="149"/>
      <c r="AO905" s="144"/>
      <c r="AP905" s="148"/>
      <c r="AQ905" s="144"/>
      <c r="AR905" s="120"/>
      <c r="AS905" s="121"/>
      <c r="AT905" s="120"/>
      <c r="AU905" s="182"/>
      <c r="AV905" s="120"/>
      <c r="AW905" s="121"/>
      <c r="AX905" s="120"/>
      <c r="AY905" s="121"/>
      <c r="AZ905" s="138"/>
    </row>
    <row r="906" spans="1:52" ht="17.100000000000001" customHeight="1" thickTop="1">
      <c r="A906" s="109" t="s">
        <v>6190</v>
      </c>
      <c r="B906" s="28">
        <v>45585</v>
      </c>
      <c r="C906" s="25"/>
      <c r="D906" s="13" t="s">
        <v>3343</v>
      </c>
      <c r="E906" s="111"/>
      <c r="F906" s="113" t="s">
        <v>3344</v>
      </c>
      <c r="G906" s="114"/>
      <c r="H906" s="115"/>
      <c r="I906" s="24" t="s">
        <v>2226</v>
      </c>
      <c r="J906" s="116"/>
      <c r="K906" s="118">
        <v>3150000</v>
      </c>
      <c r="L906" s="119"/>
      <c r="M906" s="118">
        <v>0</v>
      </c>
      <c r="N906" s="119"/>
      <c r="O906" s="118">
        <v>0</v>
      </c>
      <c r="P906" s="119"/>
      <c r="Q906" s="118">
        <v>0</v>
      </c>
      <c r="R906" s="119"/>
      <c r="S906" s="118">
        <v>0</v>
      </c>
      <c r="T906" s="119"/>
      <c r="U906" s="118">
        <f>SUM(K906:T907)</f>
        <v>3150000</v>
      </c>
      <c r="V906" s="122"/>
      <c r="W906" s="124"/>
      <c r="X906" s="126" t="s">
        <v>3345</v>
      </c>
      <c r="Y906" s="127"/>
      <c r="Z906" s="127"/>
      <c r="AA906" s="127"/>
      <c r="AB906" s="128"/>
      <c r="AC906" s="15" t="s">
        <v>20</v>
      </c>
      <c r="AD906" s="129"/>
      <c r="AE906" s="130"/>
      <c r="AF906" s="130"/>
      <c r="AG906" s="130"/>
      <c r="AH906" s="130"/>
      <c r="AI906" s="131"/>
      <c r="AJ906" s="132"/>
      <c r="AK906" s="127"/>
      <c r="AL906" s="128"/>
      <c r="AM906" s="21"/>
      <c r="AN906" s="133"/>
      <c r="AO906" s="134"/>
      <c r="AP906" s="135"/>
      <c r="AQ906" s="136"/>
      <c r="AR906" s="118"/>
      <c r="AS906" s="119"/>
      <c r="AT906" s="180">
        <f>AR906*0.1</f>
        <v>0</v>
      </c>
      <c r="AU906" s="181"/>
      <c r="AV906" s="118"/>
      <c r="AW906" s="119"/>
      <c r="AX906" s="118">
        <f>SUM(AR906:AW906)</f>
        <v>0</v>
      </c>
      <c r="AY906" s="119"/>
      <c r="AZ906" s="137"/>
    </row>
    <row r="907" spans="1:52" ht="17.100000000000001" customHeight="1" thickBot="1">
      <c r="A907" s="110"/>
      <c r="B907" s="27" t="s">
        <v>3346</v>
      </c>
      <c r="C907" s="27"/>
      <c r="D907" s="14" t="s">
        <v>1592</v>
      </c>
      <c r="E907" s="112"/>
      <c r="F907" s="139" t="s">
        <v>3347</v>
      </c>
      <c r="G907" s="140"/>
      <c r="H907" s="141"/>
      <c r="I907" s="26">
        <v>30922</v>
      </c>
      <c r="J907" s="117"/>
      <c r="K907" s="120"/>
      <c r="L907" s="121"/>
      <c r="M907" s="120"/>
      <c r="N907" s="121"/>
      <c r="O907" s="120"/>
      <c r="P907" s="121"/>
      <c r="Q907" s="120"/>
      <c r="R907" s="121"/>
      <c r="S907" s="120"/>
      <c r="T907" s="121"/>
      <c r="U907" s="120"/>
      <c r="V907" s="123"/>
      <c r="W907" s="125"/>
      <c r="X907" s="142" t="s">
        <v>2968</v>
      </c>
      <c r="Y907" s="143"/>
      <c r="Z907" s="143"/>
      <c r="AA907" s="143"/>
      <c r="AB907" s="144"/>
      <c r="AC907" s="16" t="s">
        <v>21</v>
      </c>
      <c r="AD907" s="17" t="s">
        <v>3348</v>
      </c>
      <c r="AE907" s="145" t="s">
        <v>1742</v>
      </c>
      <c r="AF907" s="146"/>
      <c r="AG907" s="146"/>
      <c r="AH907" s="146"/>
      <c r="AI907" s="147"/>
      <c r="AJ907" s="148"/>
      <c r="AK907" s="143"/>
      <c r="AL907" s="144"/>
      <c r="AM907" s="67" t="s">
        <v>907</v>
      </c>
      <c r="AN907" s="149"/>
      <c r="AO907" s="144"/>
      <c r="AP907" s="148"/>
      <c r="AQ907" s="144"/>
      <c r="AR907" s="120"/>
      <c r="AS907" s="121"/>
      <c r="AT907" s="120"/>
      <c r="AU907" s="182"/>
      <c r="AV907" s="120"/>
      <c r="AW907" s="121"/>
      <c r="AX907" s="120"/>
      <c r="AY907" s="121"/>
      <c r="AZ907" s="138"/>
    </row>
    <row r="908" spans="1:52" ht="17.100000000000001" customHeight="1" thickTop="1">
      <c r="A908" s="109" t="s">
        <v>6191</v>
      </c>
      <c r="B908" s="28">
        <v>45586</v>
      </c>
      <c r="C908" s="25">
        <v>2016</v>
      </c>
      <c r="D908" s="13" t="s">
        <v>2157</v>
      </c>
      <c r="E908" s="111" t="s">
        <v>166</v>
      </c>
      <c r="F908" s="113" t="s">
        <v>3349</v>
      </c>
      <c r="G908" s="114"/>
      <c r="H908" s="115"/>
      <c r="I908" s="24" t="s">
        <v>3350</v>
      </c>
      <c r="J908" s="116">
        <v>3.5</v>
      </c>
      <c r="K908" s="118">
        <v>1190000</v>
      </c>
      <c r="L908" s="119"/>
      <c r="M908" s="118">
        <f>K908*0.1</f>
        <v>119000</v>
      </c>
      <c r="N908" s="119"/>
      <c r="O908" s="118">
        <f>6600+660</f>
        <v>7260</v>
      </c>
      <c r="P908" s="119"/>
      <c r="Q908" s="118">
        <v>10430</v>
      </c>
      <c r="R908" s="119"/>
      <c r="S908" s="118">
        <v>9900</v>
      </c>
      <c r="T908" s="119"/>
      <c r="U908" s="118">
        <f>SUM(K908:T909)</f>
        <v>1336590</v>
      </c>
      <c r="V908" s="122"/>
      <c r="W908" s="124"/>
      <c r="X908" s="126" t="s">
        <v>3351</v>
      </c>
      <c r="Y908" s="127"/>
      <c r="Z908" s="127"/>
      <c r="AA908" s="127"/>
      <c r="AB908" s="128"/>
      <c r="AC908" s="15" t="s">
        <v>20</v>
      </c>
      <c r="AD908" s="129" t="s">
        <v>171</v>
      </c>
      <c r="AE908" s="130"/>
      <c r="AF908" s="130"/>
      <c r="AG908" s="130"/>
      <c r="AH908" s="130"/>
      <c r="AI908" s="131"/>
      <c r="AJ908" s="132"/>
      <c r="AK908" s="127"/>
      <c r="AL908" s="128"/>
      <c r="AM908" s="21" t="s">
        <v>3352</v>
      </c>
      <c r="AN908" s="133">
        <v>45976</v>
      </c>
      <c r="AO908" s="134"/>
      <c r="AP908" s="135">
        <v>1276</v>
      </c>
      <c r="AQ908" s="136"/>
      <c r="AR908" s="118">
        <v>1465000</v>
      </c>
      <c r="AS908" s="119"/>
      <c r="AT908" s="180">
        <f>AR908*0.1</f>
        <v>146500</v>
      </c>
      <c r="AU908" s="181"/>
      <c r="AV908" s="118">
        <v>10430</v>
      </c>
      <c r="AW908" s="119"/>
      <c r="AX908" s="118">
        <f>SUM(AR908:AW908)</f>
        <v>1621930</v>
      </c>
      <c r="AY908" s="119"/>
      <c r="AZ908" s="137">
        <v>45979</v>
      </c>
    </row>
    <row r="909" spans="1:52" ht="17.100000000000001" customHeight="1" thickBot="1">
      <c r="A909" s="110"/>
      <c r="B909" s="27" t="s">
        <v>83</v>
      </c>
      <c r="C909" s="27">
        <v>14154</v>
      </c>
      <c r="D909" s="14" t="s">
        <v>275</v>
      </c>
      <c r="E909" s="112"/>
      <c r="F909" s="139" t="s">
        <v>3353</v>
      </c>
      <c r="G909" s="140"/>
      <c r="H909" s="141"/>
      <c r="I909" s="26">
        <v>113261</v>
      </c>
      <c r="J909" s="117"/>
      <c r="K909" s="120"/>
      <c r="L909" s="121"/>
      <c r="M909" s="120"/>
      <c r="N909" s="121"/>
      <c r="O909" s="120"/>
      <c r="P909" s="121"/>
      <c r="Q909" s="120"/>
      <c r="R909" s="121"/>
      <c r="S909" s="120"/>
      <c r="T909" s="121"/>
      <c r="U909" s="120"/>
      <c r="V909" s="123"/>
      <c r="W909" s="125"/>
      <c r="X909" s="142" t="s">
        <v>3354</v>
      </c>
      <c r="Y909" s="143"/>
      <c r="Z909" s="143"/>
      <c r="AA909" s="143"/>
      <c r="AB909" s="144"/>
      <c r="AC909" s="16" t="s">
        <v>21</v>
      </c>
      <c r="AD909" s="17" t="s">
        <v>3341</v>
      </c>
      <c r="AE909" s="145" t="s">
        <v>3355</v>
      </c>
      <c r="AF909" s="146"/>
      <c r="AG909" s="146"/>
      <c r="AH909" s="146"/>
      <c r="AI909" s="147"/>
      <c r="AJ909" s="148"/>
      <c r="AK909" s="143"/>
      <c r="AL909" s="144"/>
      <c r="AM909" s="22"/>
      <c r="AN909" s="149" t="s">
        <v>10999</v>
      </c>
      <c r="AO909" s="144"/>
      <c r="AP909" s="148">
        <v>40082</v>
      </c>
      <c r="AQ909" s="144"/>
      <c r="AR909" s="120"/>
      <c r="AS909" s="121"/>
      <c r="AT909" s="120"/>
      <c r="AU909" s="182"/>
      <c r="AV909" s="120"/>
      <c r="AW909" s="121"/>
      <c r="AX909" s="120"/>
      <c r="AY909" s="121"/>
      <c r="AZ909" s="138"/>
    </row>
    <row r="910" spans="1:52" ht="17.100000000000001" customHeight="1" thickTop="1">
      <c r="A910" s="109" t="s">
        <v>6192</v>
      </c>
      <c r="B910" s="28">
        <v>45586</v>
      </c>
      <c r="C910" s="25">
        <v>2016</v>
      </c>
      <c r="D910" s="13" t="s">
        <v>1803</v>
      </c>
      <c r="E910" s="111"/>
      <c r="F910" s="113" t="s">
        <v>3356</v>
      </c>
      <c r="G910" s="114"/>
      <c r="H910" s="115"/>
      <c r="I910" s="24"/>
      <c r="J910" s="116">
        <v>4.5</v>
      </c>
      <c r="K910" s="118">
        <v>2350000</v>
      </c>
      <c r="L910" s="119"/>
      <c r="M910" s="118">
        <v>235000</v>
      </c>
      <c r="N910" s="119"/>
      <c r="O910" s="118">
        <v>0</v>
      </c>
      <c r="P910" s="119"/>
      <c r="Q910" s="118">
        <v>22280</v>
      </c>
      <c r="R910" s="119"/>
      <c r="S910" s="118">
        <v>11000</v>
      </c>
      <c r="T910" s="119"/>
      <c r="U910" s="118">
        <f>SUM(K910:T911)</f>
        <v>2618280</v>
      </c>
      <c r="V910" s="122"/>
      <c r="W910" s="124"/>
      <c r="X910" s="126" t="s">
        <v>3357</v>
      </c>
      <c r="Y910" s="127"/>
      <c r="Z910" s="127"/>
      <c r="AA910" s="127"/>
      <c r="AB910" s="128"/>
      <c r="AC910" s="15" t="s">
        <v>20</v>
      </c>
      <c r="AD910" s="129"/>
      <c r="AE910" s="130"/>
      <c r="AF910" s="130"/>
      <c r="AG910" s="130"/>
      <c r="AH910" s="130"/>
      <c r="AI910" s="131"/>
      <c r="AJ910" s="132"/>
      <c r="AK910" s="127"/>
      <c r="AL910" s="128"/>
      <c r="AM910" s="21"/>
      <c r="AN910" s="133"/>
      <c r="AO910" s="134"/>
      <c r="AP910" s="135"/>
      <c r="AQ910" s="136"/>
      <c r="AR910" s="118"/>
      <c r="AS910" s="119"/>
      <c r="AT910" s="180">
        <f>AR910*0.1</f>
        <v>0</v>
      </c>
      <c r="AU910" s="181"/>
      <c r="AV910" s="118"/>
      <c r="AW910" s="119"/>
      <c r="AX910" s="118">
        <f>SUM(AR910:AW910)</f>
        <v>0</v>
      </c>
      <c r="AY910" s="119"/>
      <c r="AZ910" s="137"/>
    </row>
    <row r="911" spans="1:52" ht="17.100000000000001" customHeight="1" thickBot="1">
      <c r="A911" s="110"/>
      <c r="B911" s="27" t="s">
        <v>83</v>
      </c>
      <c r="C911" s="27">
        <v>32032</v>
      </c>
      <c r="D911" s="14" t="s">
        <v>1592</v>
      </c>
      <c r="E911" s="112"/>
      <c r="F911" s="139" t="s">
        <v>3358</v>
      </c>
      <c r="G911" s="140"/>
      <c r="H911" s="141"/>
      <c r="I911" s="26">
        <v>48204</v>
      </c>
      <c r="J911" s="117"/>
      <c r="K911" s="120"/>
      <c r="L911" s="121"/>
      <c r="M911" s="120"/>
      <c r="N911" s="121"/>
      <c r="O911" s="120"/>
      <c r="P911" s="121"/>
      <c r="Q911" s="120"/>
      <c r="R911" s="121"/>
      <c r="S911" s="120"/>
      <c r="T911" s="121"/>
      <c r="U911" s="120"/>
      <c r="V911" s="123"/>
      <c r="W911" s="125"/>
      <c r="X911" s="142" t="s">
        <v>2716</v>
      </c>
      <c r="Y911" s="143"/>
      <c r="Z911" s="143"/>
      <c r="AA911" s="143"/>
      <c r="AB911" s="144"/>
      <c r="AC911" s="16" t="s">
        <v>21</v>
      </c>
      <c r="AD911" s="17" t="s">
        <v>3359</v>
      </c>
      <c r="AE911" s="145" t="s">
        <v>1945</v>
      </c>
      <c r="AF911" s="146"/>
      <c r="AG911" s="146"/>
      <c r="AH911" s="146"/>
      <c r="AI911" s="147"/>
      <c r="AJ911" s="148"/>
      <c r="AK911" s="143"/>
      <c r="AL911" s="144"/>
      <c r="AM911" s="22"/>
      <c r="AN911" s="149"/>
      <c r="AO911" s="144"/>
      <c r="AP911" s="148"/>
      <c r="AQ911" s="144"/>
      <c r="AR911" s="120"/>
      <c r="AS911" s="121"/>
      <c r="AT911" s="120"/>
      <c r="AU911" s="182"/>
      <c r="AV911" s="120"/>
      <c r="AW911" s="121"/>
      <c r="AX911" s="120"/>
      <c r="AY911" s="121"/>
      <c r="AZ911" s="138"/>
    </row>
    <row r="912" spans="1:52" ht="17.100000000000001" customHeight="1" thickTop="1">
      <c r="A912" s="109" t="s">
        <v>6193</v>
      </c>
      <c r="B912" s="28">
        <v>45587</v>
      </c>
      <c r="C912" s="25">
        <v>1865</v>
      </c>
      <c r="D912" s="13" t="s">
        <v>2348</v>
      </c>
      <c r="E912" s="111"/>
      <c r="F912" s="113" t="s">
        <v>3360</v>
      </c>
      <c r="G912" s="114"/>
      <c r="H912" s="115"/>
      <c r="I912" s="24"/>
      <c r="J912" s="116">
        <v>4.5</v>
      </c>
      <c r="K912" s="118">
        <v>1820000</v>
      </c>
      <c r="L912" s="119"/>
      <c r="M912" s="118">
        <f>K912*0.1</f>
        <v>182000</v>
      </c>
      <c r="N912" s="119"/>
      <c r="O912" s="118">
        <v>0</v>
      </c>
      <c r="P912" s="119"/>
      <c r="Q912" s="118">
        <v>19090</v>
      </c>
      <c r="R912" s="119"/>
      <c r="S912" s="118">
        <v>14850</v>
      </c>
      <c r="T912" s="119"/>
      <c r="U912" s="118">
        <f>SUM(K912:T913)</f>
        <v>2035940</v>
      </c>
      <c r="V912" s="122"/>
      <c r="W912" s="124"/>
      <c r="X912" s="126" t="s">
        <v>3361</v>
      </c>
      <c r="Y912" s="127"/>
      <c r="Z912" s="127"/>
      <c r="AA912" s="127"/>
      <c r="AB912" s="128"/>
      <c r="AC912" s="15" t="s">
        <v>20</v>
      </c>
      <c r="AD912" s="129"/>
      <c r="AE912" s="130"/>
      <c r="AF912" s="130"/>
      <c r="AG912" s="130"/>
      <c r="AH912" s="130"/>
      <c r="AI912" s="131"/>
      <c r="AJ912" s="132"/>
      <c r="AK912" s="127"/>
      <c r="AL912" s="128"/>
      <c r="AM912" s="21"/>
      <c r="AN912" s="133"/>
      <c r="AO912" s="134"/>
      <c r="AP912" s="135"/>
      <c r="AQ912" s="136"/>
      <c r="AR912" s="118"/>
      <c r="AS912" s="119"/>
      <c r="AT912" s="180">
        <f>AR912*0.1</f>
        <v>0</v>
      </c>
      <c r="AU912" s="181"/>
      <c r="AV912" s="118"/>
      <c r="AW912" s="119"/>
      <c r="AX912" s="118">
        <f>SUM(AR912:AW912)</f>
        <v>0</v>
      </c>
      <c r="AY912" s="119"/>
      <c r="AZ912" s="137"/>
    </row>
    <row r="913" spans="1:52" ht="17.100000000000001" customHeight="1" thickBot="1">
      <c r="A913" s="110"/>
      <c r="B913" s="27" t="s">
        <v>2131</v>
      </c>
      <c r="C913" s="27">
        <v>5029</v>
      </c>
      <c r="D913" s="14" t="s">
        <v>904</v>
      </c>
      <c r="E913" s="112"/>
      <c r="F913" s="139" t="s">
        <v>3362</v>
      </c>
      <c r="G913" s="140"/>
      <c r="H913" s="141"/>
      <c r="I913" s="26">
        <v>33685</v>
      </c>
      <c r="J913" s="117"/>
      <c r="K913" s="120"/>
      <c r="L913" s="121"/>
      <c r="M913" s="120"/>
      <c r="N913" s="121"/>
      <c r="O913" s="120"/>
      <c r="P913" s="121"/>
      <c r="Q913" s="120"/>
      <c r="R913" s="121"/>
      <c r="S913" s="120"/>
      <c r="T913" s="121"/>
      <c r="U913" s="120"/>
      <c r="V913" s="123"/>
      <c r="W913" s="125"/>
      <c r="X913" s="142" t="s">
        <v>3363</v>
      </c>
      <c r="Y913" s="143"/>
      <c r="Z913" s="143"/>
      <c r="AA913" s="143"/>
      <c r="AB913" s="144"/>
      <c r="AC913" s="16" t="s">
        <v>21</v>
      </c>
      <c r="AD913" s="17" t="s">
        <v>3359</v>
      </c>
      <c r="AE913" s="145" t="s">
        <v>3364</v>
      </c>
      <c r="AF913" s="146"/>
      <c r="AG913" s="146"/>
      <c r="AH913" s="146"/>
      <c r="AI913" s="147"/>
      <c r="AJ913" s="148"/>
      <c r="AK913" s="143"/>
      <c r="AL913" s="144"/>
      <c r="AM913" s="22"/>
      <c r="AN913" s="149"/>
      <c r="AO913" s="144"/>
      <c r="AP913" s="148"/>
      <c r="AQ913" s="144"/>
      <c r="AR913" s="120"/>
      <c r="AS913" s="121"/>
      <c r="AT913" s="120"/>
      <c r="AU913" s="182"/>
      <c r="AV913" s="120"/>
      <c r="AW913" s="121"/>
      <c r="AX913" s="120"/>
      <c r="AY913" s="121"/>
      <c r="AZ913" s="138"/>
    </row>
    <row r="914" spans="1:52" ht="17.100000000000001" customHeight="1" thickTop="1">
      <c r="A914" s="109" t="s">
        <v>6194</v>
      </c>
      <c r="B914" s="28">
        <v>45587</v>
      </c>
      <c r="C914" s="25">
        <v>743</v>
      </c>
      <c r="D914" s="13" t="s">
        <v>2135</v>
      </c>
      <c r="E914" s="111"/>
      <c r="F914" s="113" t="s">
        <v>3365</v>
      </c>
      <c r="G914" s="114"/>
      <c r="H914" s="115"/>
      <c r="I914" s="24"/>
      <c r="J914" s="116">
        <v>4</v>
      </c>
      <c r="K914" s="118">
        <v>1757000</v>
      </c>
      <c r="L914" s="119"/>
      <c r="M914" s="118">
        <f>K914*0.1</f>
        <v>175700</v>
      </c>
      <c r="N914" s="119"/>
      <c r="O914" s="118">
        <v>0</v>
      </c>
      <c r="P914" s="119"/>
      <c r="Q914" s="118">
        <v>13210</v>
      </c>
      <c r="R914" s="119"/>
      <c r="S914" s="118">
        <v>14850</v>
      </c>
      <c r="T914" s="119"/>
      <c r="U914" s="118">
        <f>SUM(K914:T915)</f>
        <v>1960760</v>
      </c>
      <c r="V914" s="122"/>
      <c r="W914" s="124"/>
      <c r="X914" s="126" t="s">
        <v>3366</v>
      </c>
      <c r="Y914" s="127"/>
      <c r="Z914" s="127"/>
      <c r="AA914" s="127"/>
      <c r="AB914" s="128"/>
      <c r="AC914" s="15" t="s">
        <v>20</v>
      </c>
      <c r="AD914" s="129"/>
      <c r="AE914" s="130"/>
      <c r="AF914" s="130"/>
      <c r="AG914" s="130"/>
      <c r="AH914" s="130"/>
      <c r="AI914" s="131"/>
      <c r="AJ914" s="132"/>
      <c r="AK914" s="127"/>
      <c r="AL914" s="128"/>
      <c r="AM914" s="21"/>
      <c r="AN914" s="133">
        <v>46285</v>
      </c>
      <c r="AO914" s="134"/>
      <c r="AP914" s="135"/>
      <c r="AQ914" s="136"/>
      <c r="AR914" s="118">
        <v>2900000</v>
      </c>
      <c r="AS914" s="119"/>
      <c r="AT914" s="180">
        <v>0</v>
      </c>
      <c r="AU914" s="181"/>
      <c r="AV914" s="118">
        <v>0</v>
      </c>
      <c r="AW914" s="119"/>
      <c r="AX914" s="118">
        <f>SUM(AR914:AW914)</f>
        <v>2900000</v>
      </c>
      <c r="AY914" s="119"/>
      <c r="AZ914" s="137">
        <v>46341</v>
      </c>
    </row>
    <row r="915" spans="1:52" ht="17.100000000000001" customHeight="1" thickBot="1">
      <c r="A915" s="110"/>
      <c r="B915" s="27" t="s">
        <v>3367</v>
      </c>
      <c r="C915" s="27">
        <v>5002</v>
      </c>
      <c r="D915" s="14" t="s">
        <v>275</v>
      </c>
      <c r="E915" s="112"/>
      <c r="F915" s="139" t="s">
        <v>3368</v>
      </c>
      <c r="G915" s="140"/>
      <c r="H915" s="141"/>
      <c r="I915" s="26">
        <v>59399</v>
      </c>
      <c r="J915" s="117"/>
      <c r="K915" s="120"/>
      <c r="L915" s="121"/>
      <c r="M915" s="120"/>
      <c r="N915" s="121"/>
      <c r="O915" s="120"/>
      <c r="P915" s="121"/>
      <c r="Q915" s="120"/>
      <c r="R915" s="121"/>
      <c r="S915" s="120"/>
      <c r="T915" s="121"/>
      <c r="U915" s="120"/>
      <c r="V915" s="123"/>
      <c r="W915" s="125"/>
      <c r="X915" s="142" t="s">
        <v>3369</v>
      </c>
      <c r="Y915" s="143"/>
      <c r="Z915" s="143"/>
      <c r="AA915" s="143"/>
      <c r="AB915" s="144"/>
      <c r="AC915" s="16" t="s">
        <v>21</v>
      </c>
      <c r="AD915" s="17" t="s">
        <v>3341</v>
      </c>
      <c r="AE915" s="145"/>
      <c r="AF915" s="146"/>
      <c r="AG915" s="146"/>
      <c r="AH915" s="146"/>
      <c r="AI915" s="147"/>
      <c r="AJ915" s="148"/>
      <c r="AK915" s="143"/>
      <c r="AL915" s="144"/>
      <c r="AM915" s="22"/>
      <c r="AN915" s="149" t="s">
        <v>15421</v>
      </c>
      <c r="AO915" s="144"/>
      <c r="AP915" s="148"/>
      <c r="AQ915" s="144"/>
      <c r="AR915" s="120"/>
      <c r="AS915" s="121"/>
      <c r="AT915" s="120"/>
      <c r="AU915" s="182"/>
      <c r="AV915" s="120"/>
      <c r="AW915" s="121"/>
      <c r="AX915" s="120"/>
      <c r="AY915" s="121"/>
      <c r="AZ915" s="138"/>
    </row>
    <row r="916" spans="1:52" ht="17.100000000000001" customHeight="1" thickTop="1">
      <c r="A916" s="109" t="s">
        <v>6195</v>
      </c>
      <c r="B916" s="28">
        <v>45590</v>
      </c>
      <c r="C916" s="25">
        <v>2058</v>
      </c>
      <c r="D916" s="13" t="s">
        <v>1597</v>
      </c>
      <c r="E916" s="111"/>
      <c r="F916" s="113" t="s">
        <v>2656</v>
      </c>
      <c r="G916" s="114"/>
      <c r="H916" s="115"/>
      <c r="I916" s="24" t="s">
        <v>2494</v>
      </c>
      <c r="J916" s="116">
        <v>4.5</v>
      </c>
      <c r="K916" s="118">
        <v>1790000</v>
      </c>
      <c r="L916" s="119"/>
      <c r="M916" s="118">
        <f>K916*0.1</f>
        <v>179000</v>
      </c>
      <c r="N916" s="119"/>
      <c r="O916" s="118">
        <v>18040</v>
      </c>
      <c r="P916" s="119"/>
      <c r="Q916" s="118">
        <v>17600</v>
      </c>
      <c r="R916" s="119"/>
      <c r="S916" s="118">
        <v>24200</v>
      </c>
      <c r="T916" s="119"/>
      <c r="U916" s="118">
        <f>SUM(K916:T917)</f>
        <v>2028840</v>
      </c>
      <c r="V916" s="122"/>
      <c r="W916" s="124"/>
      <c r="X916" s="126" t="s">
        <v>3370</v>
      </c>
      <c r="Y916" s="127"/>
      <c r="Z916" s="127"/>
      <c r="AA916" s="127"/>
      <c r="AB916" s="128"/>
      <c r="AC916" s="15" t="s">
        <v>20</v>
      </c>
      <c r="AD916" s="129" t="s">
        <v>3371</v>
      </c>
      <c r="AE916" s="130"/>
      <c r="AF916" s="130"/>
      <c r="AG916" s="130"/>
      <c r="AH916" s="130"/>
      <c r="AI916" s="131"/>
      <c r="AJ916" s="132"/>
      <c r="AK916" s="127"/>
      <c r="AL916" s="128"/>
      <c r="AM916" s="21" t="s">
        <v>3372</v>
      </c>
      <c r="AN916" s="133"/>
      <c r="AO916" s="134"/>
      <c r="AP916" s="135"/>
      <c r="AQ916" s="136"/>
      <c r="AR916" s="118"/>
      <c r="AS916" s="119"/>
      <c r="AT916" s="180">
        <f>AR916*0.1</f>
        <v>0</v>
      </c>
      <c r="AU916" s="181"/>
      <c r="AV916" s="118"/>
      <c r="AW916" s="119"/>
      <c r="AX916" s="118">
        <f>SUM(AR916:AW916)</f>
        <v>0</v>
      </c>
      <c r="AY916" s="119"/>
      <c r="AZ916" s="137"/>
    </row>
    <row r="917" spans="1:52" ht="17.100000000000001" customHeight="1" thickBot="1">
      <c r="A917" s="110"/>
      <c r="B917" s="27" t="s">
        <v>1543</v>
      </c>
      <c r="C917" s="27">
        <v>58686</v>
      </c>
      <c r="D917" s="14" t="s">
        <v>904</v>
      </c>
      <c r="E917" s="112"/>
      <c r="F917" s="139" t="s">
        <v>3373</v>
      </c>
      <c r="G917" s="140"/>
      <c r="H917" s="141"/>
      <c r="I917" s="26">
        <v>36230</v>
      </c>
      <c r="J917" s="117"/>
      <c r="K917" s="120"/>
      <c r="L917" s="121"/>
      <c r="M917" s="120"/>
      <c r="N917" s="121"/>
      <c r="O917" s="120"/>
      <c r="P917" s="121"/>
      <c r="Q917" s="120"/>
      <c r="R917" s="121"/>
      <c r="S917" s="120"/>
      <c r="T917" s="121"/>
      <c r="U917" s="120"/>
      <c r="V917" s="123"/>
      <c r="W917" s="125"/>
      <c r="X917" s="142" t="s">
        <v>3374</v>
      </c>
      <c r="Y917" s="143"/>
      <c r="Z917" s="143"/>
      <c r="AA917" s="143"/>
      <c r="AB917" s="144"/>
      <c r="AC917" s="16" t="s">
        <v>21</v>
      </c>
      <c r="AD917" s="17" t="s">
        <v>3335</v>
      </c>
      <c r="AE917" s="145" t="s">
        <v>1742</v>
      </c>
      <c r="AF917" s="146"/>
      <c r="AG917" s="146"/>
      <c r="AH917" s="146"/>
      <c r="AI917" s="147"/>
      <c r="AJ917" s="148"/>
      <c r="AK917" s="143"/>
      <c r="AL917" s="144"/>
      <c r="AM917" s="22"/>
      <c r="AN917" s="149"/>
      <c r="AO917" s="144"/>
      <c r="AP917" s="148"/>
      <c r="AQ917" s="144"/>
      <c r="AR917" s="120"/>
      <c r="AS917" s="121"/>
      <c r="AT917" s="120"/>
      <c r="AU917" s="182"/>
      <c r="AV917" s="120"/>
      <c r="AW917" s="121"/>
      <c r="AX917" s="120"/>
      <c r="AY917" s="121"/>
      <c r="AZ917" s="138"/>
    </row>
    <row r="918" spans="1:52" ht="17.100000000000001" customHeight="1" thickTop="1">
      <c r="A918" s="109" t="s">
        <v>6196</v>
      </c>
      <c r="B918" s="28">
        <v>45590</v>
      </c>
      <c r="C918" s="25">
        <v>1129</v>
      </c>
      <c r="D918" s="13" t="s">
        <v>2022</v>
      </c>
      <c r="E918" s="111"/>
      <c r="F918" s="113" t="s">
        <v>1587</v>
      </c>
      <c r="G918" s="114"/>
      <c r="H918" s="115"/>
      <c r="I918" s="24" t="s">
        <v>3375</v>
      </c>
      <c r="J918" s="116">
        <v>4.5</v>
      </c>
      <c r="K918" s="118">
        <v>1815000</v>
      </c>
      <c r="L918" s="119"/>
      <c r="M918" s="118">
        <f>K918*0.1</f>
        <v>181500</v>
      </c>
      <c r="N918" s="119"/>
      <c r="O918" s="118">
        <v>18040</v>
      </c>
      <c r="P918" s="119"/>
      <c r="Q918" s="118">
        <v>18960</v>
      </c>
      <c r="R918" s="119"/>
      <c r="S918" s="118">
        <v>13200</v>
      </c>
      <c r="T918" s="119"/>
      <c r="U918" s="118">
        <f>SUM(K918:T919)</f>
        <v>2046700</v>
      </c>
      <c r="V918" s="122"/>
      <c r="W918" s="124"/>
      <c r="X918" s="126" t="s">
        <v>3376</v>
      </c>
      <c r="Y918" s="127"/>
      <c r="Z918" s="127"/>
      <c r="AA918" s="127"/>
      <c r="AB918" s="128"/>
      <c r="AC918" s="15" t="s">
        <v>20</v>
      </c>
      <c r="AD918" s="129" t="s">
        <v>1565</v>
      </c>
      <c r="AE918" s="130"/>
      <c r="AF918" s="130"/>
      <c r="AG918" s="130"/>
      <c r="AH918" s="130"/>
      <c r="AI918" s="131"/>
      <c r="AJ918" s="132"/>
      <c r="AK918" s="127"/>
      <c r="AL918" s="128"/>
      <c r="AM918" s="21"/>
      <c r="AN918" s="133">
        <v>46341</v>
      </c>
      <c r="AO918" s="134"/>
      <c r="AP918" s="135"/>
      <c r="AQ918" s="136"/>
      <c r="AR918" s="118">
        <v>2200000</v>
      </c>
      <c r="AS918" s="119"/>
      <c r="AT918" s="180">
        <v>0</v>
      </c>
      <c r="AU918" s="181"/>
      <c r="AV918" s="118">
        <v>0</v>
      </c>
      <c r="AW918" s="119"/>
      <c r="AX918" s="118">
        <f>SUM(AR918:AW918)</f>
        <v>2200000</v>
      </c>
      <c r="AY918" s="119"/>
      <c r="AZ918" s="137">
        <v>46356</v>
      </c>
    </row>
    <row r="919" spans="1:52" ht="17.100000000000001" customHeight="1" thickBot="1">
      <c r="A919" s="110"/>
      <c r="B919" s="27" t="s">
        <v>1828</v>
      </c>
      <c r="C919" s="27">
        <v>88110</v>
      </c>
      <c r="D919" s="14" t="s">
        <v>133</v>
      </c>
      <c r="E919" s="112"/>
      <c r="F919" s="139" t="s">
        <v>3377</v>
      </c>
      <c r="G919" s="140"/>
      <c r="H919" s="141"/>
      <c r="I919" s="26">
        <v>42499</v>
      </c>
      <c r="J919" s="117"/>
      <c r="K919" s="120"/>
      <c r="L919" s="121"/>
      <c r="M919" s="120"/>
      <c r="N919" s="121"/>
      <c r="O919" s="120"/>
      <c r="P919" s="121"/>
      <c r="Q919" s="120"/>
      <c r="R919" s="121"/>
      <c r="S919" s="120"/>
      <c r="T919" s="121"/>
      <c r="U919" s="120"/>
      <c r="V919" s="123"/>
      <c r="W919" s="125"/>
      <c r="X919" s="142" t="s">
        <v>3378</v>
      </c>
      <c r="Y919" s="143"/>
      <c r="Z919" s="143"/>
      <c r="AA919" s="143"/>
      <c r="AB919" s="144"/>
      <c r="AC919" s="16" t="s">
        <v>21</v>
      </c>
      <c r="AD919" s="17" t="s">
        <v>3379</v>
      </c>
      <c r="AE919" s="145" t="s">
        <v>3380</v>
      </c>
      <c r="AF919" s="146"/>
      <c r="AG919" s="146"/>
      <c r="AH919" s="146"/>
      <c r="AI919" s="147"/>
      <c r="AJ919" s="148"/>
      <c r="AK919" s="143"/>
      <c r="AL919" s="144"/>
      <c r="AM919" s="67" t="s">
        <v>907</v>
      </c>
      <c r="AN919" s="149" t="s">
        <v>15428</v>
      </c>
      <c r="AO919" s="144"/>
      <c r="AP919" s="148"/>
      <c r="AQ919" s="144"/>
      <c r="AR919" s="120"/>
      <c r="AS919" s="121"/>
      <c r="AT919" s="120"/>
      <c r="AU919" s="182"/>
      <c r="AV919" s="120"/>
      <c r="AW919" s="121"/>
      <c r="AX919" s="120"/>
      <c r="AY919" s="121"/>
      <c r="AZ919" s="138"/>
    </row>
    <row r="920" spans="1:52" ht="17.100000000000001" customHeight="1" thickTop="1">
      <c r="A920" s="109" t="s">
        <v>6197</v>
      </c>
      <c r="B920" s="28">
        <v>45591</v>
      </c>
      <c r="C920" s="25">
        <v>1467</v>
      </c>
      <c r="D920" s="13" t="s">
        <v>3381</v>
      </c>
      <c r="E920" s="111"/>
      <c r="F920" s="113" t="s">
        <v>3382</v>
      </c>
      <c r="G920" s="114"/>
      <c r="H920" s="115"/>
      <c r="I920" s="24"/>
      <c r="J920" s="116">
        <v>4</v>
      </c>
      <c r="K920" s="118">
        <v>1340000</v>
      </c>
      <c r="L920" s="119"/>
      <c r="M920" s="118">
        <f>K920*0.1</f>
        <v>134000</v>
      </c>
      <c r="N920" s="119"/>
      <c r="O920" s="118">
        <v>0</v>
      </c>
      <c r="P920" s="119"/>
      <c r="Q920" s="118">
        <v>19440</v>
      </c>
      <c r="R920" s="119"/>
      <c r="S920" s="118">
        <v>13200</v>
      </c>
      <c r="T920" s="119"/>
      <c r="U920" s="118">
        <f>SUM(K920:T921)</f>
        <v>1506640</v>
      </c>
      <c r="V920" s="122"/>
      <c r="W920" s="124"/>
      <c r="X920" s="126" t="s">
        <v>3383</v>
      </c>
      <c r="Y920" s="127"/>
      <c r="Z920" s="127"/>
      <c r="AA920" s="127"/>
      <c r="AB920" s="128"/>
      <c r="AC920" s="15" t="s">
        <v>20</v>
      </c>
      <c r="AD920" s="129"/>
      <c r="AE920" s="130"/>
      <c r="AF920" s="130"/>
      <c r="AG920" s="130"/>
      <c r="AH920" s="130"/>
      <c r="AI920" s="131"/>
      <c r="AJ920" s="132"/>
      <c r="AK920" s="127"/>
      <c r="AL920" s="128"/>
      <c r="AM920" s="21"/>
      <c r="AN920" s="133"/>
      <c r="AO920" s="134"/>
      <c r="AP920" s="135"/>
      <c r="AQ920" s="136"/>
      <c r="AR920" s="118"/>
      <c r="AS920" s="119"/>
      <c r="AT920" s="180">
        <f>AR920*0.1</f>
        <v>0</v>
      </c>
      <c r="AU920" s="181"/>
      <c r="AV920" s="118"/>
      <c r="AW920" s="119"/>
      <c r="AX920" s="118">
        <f>SUM(AR920:AW920)</f>
        <v>0</v>
      </c>
      <c r="AY920" s="119"/>
      <c r="AZ920" s="137"/>
    </row>
    <row r="921" spans="1:52" ht="17.100000000000001" customHeight="1" thickBot="1">
      <c r="A921" s="110"/>
      <c r="B921" s="27" t="s">
        <v>1555</v>
      </c>
      <c r="C921" s="27">
        <v>83200</v>
      </c>
      <c r="D921" s="14" t="s">
        <v>1635</v>
      </c>
      <c r="E921" s="112"/>
      <c r="F921" s="139" t="s">
        <v>3384</v>
      </c>
      <c r="G921" s="140"/>
      <c r="H921" s="141"/>
      <c r="I921" s="26">
        <v>52925</v>
      </c>
      <c r="J921" s="117"/>
      <c r="K921" s="120"/>
      <c r="L921" s="121"/>
      <c r="M921" s="120"/>
      <c r="N921" s="121"/>
      <c r="O921" s="120"/>
      <c r="P921" s="121"/>
      <c r="Q921" s="120"/>
      <c r="R921" s="121"/>
      <c r="S921" s="120"/>
      <c r="T921" s="121"/>
      <c r="U921" s="120"/>
      <c r="V921" s="123"/>
      <c r="W921" s="125"/>
      <c r="X921" s="142" t="s">
        <v>1997</v>
      </c>
      <c r="Y921" s="143"/>
      <c r="Z921" s="143"/>
      <c r="AA921" s="143"/>
      <c r="AB921" s="144"/>
      <c r="AC921" s="16" t="s">
        <v>21</v>
      </c>
      <c r="AD921" s="17" t="s">
        <v>3335</v>
      </c>
      <c r="AE921" s="145" t="s">
        <v>3385</v>
      </c>
      <c r="AF921" s="146"/>
      <c r="AG921" s="146"/>
      <c r="AH921" s="146"/>
      <c r="AI921" s="147"/>
      <c r="AJ921" s="148"/>
      <c r="AK921" s="143"/>
      <c r="AL921" s="144"/>
      <c r="AM921" s="22"/>
      <c r="AN921" s="149"/>
      <c r="AO921" s="144"/>
      <c r="AP921" s="148"/>
      <c r="AQ921" s="144"/>
      <c r="AR921" s="120"/>
      <c r="AS921" s="121"/>
      <c r="AT921" s="120"/>
      <c r="AU921" s="182"/>
      <c r="AV921" s="120"/>
      <c r="AW921" s="121"/>
      <c r="AX921" s="120"/>
      <c r="AY921" s="121"/>
      <c r="AZ921" s="138"/>
    </row>
    <row r="922" spans="1:52" ht="17.100000000000001" customHeight="1" thickTop="1">
      <c r="A922" s="109" t="s">
        <v>6198</v>
      </c>
      <c r="B922" s="28">
        <v>45594</v>
      </c>
      <c r="C922" s="25">
        <v>1866</v>
      </c>
      <c r="D922" s="13" t="s">
        <v>3386</v>
      </c>
      <c r="E922" s="111"/>
      <c r="F922" s="113" t="s">
        <v>3387</v>
      </c>
      <c r="G922" s="114"/>
      <c r="H922" s="115"/>
      <c r="I922" s="24"/>
      <c r="J922" s="116">
        <v>4.5</v>
      </c>
      <c r="K922" s="118">
        <v>2478000</v>
      </c>
      <c r="L922" s="119"/>
      <c r="M922" s="118">
        <f>K922*0.1</f>
        <v>247800</v>
      </c>
      <c r="N922" s="119"/>
      <c r="O922" s="118">
        <v>0</v>
      </c>
      <c r="P922" s="119"/>
      <c r="Q922" s="118">
        <v>17930</v>
      </c>
      <c r="R922" s="119"/>
      <c r="S922" s="118">
        <v>14850</v>
      </c>
      <c r="T922" s="119"/>
      <c r="U922" s="118">
        <f>SUM(K922:T923)</f>
        <v>2758580</v>
      </c>
      <c r="V922" s="122"/>
      <c r="W922" s="124"/>
      <c r="X922" s="126" t="s">
        <v>3388</v>
      </c>
      <c r="Y922" s="127"/>
      <c r="Z922" s="127"/>
      <c r="AA922" s="127"/>
      <c r="AB922" s="128"/>
      <c r="AC922" s="15" t="s">
        <v>20</v>
      </c>
      <c r="AD922" s="129" t="s">
        <v>171</v>
      </c>
      <c r="AE922" s="130"/>
      <c r="AF922" s="130"/>
      <c r="AG922" s="130"/>
      <c r="AH922" s="130"/>
      <c r="AI922" s="131"/>
      <c r="AJ922" s="132"/>
      <c r="AK922" s="127"/>
      <c r="AL922" s="128"/>
      <c r="AM922" s="21"/>
      <c r="AN922" s="133"/>
      <c r="AO922" s="134"/>
      <c r="AP922" s="135"/>
      <c r="AQ922" s="136"/>
      <c r="AR922" s="118"/>
      <c r="AS922" s="119"/>
      <c r="AT922" s="180">
        <f>AR922*0.1</f>
        <v>0</v>
      </c>
      <c r="AU922" s="181"/>
      <c r="AV922" s="118"/>
      <c r="AW922" s="119"/>
      <c r="AX922" s="118">
        <f>SUM(AR922:AW922)</f>
        <v>0</v>
      </c>
      <c r="AY922" s="119"/>
      <c r="AZ922" s="137"/>
    </row>
    <row r="923" spans="1:52" ht="17.100000000000001" customHeight="1" thickBot="1">
      <c r="A923" s="110"/>
      <c r="B923" s="27" t="s">
        <v>2131</v>
      </c>
      <c r="C923" s="27">
        <v>32045</v>
      </c>
      <c r="D923" s="14" t="s">
        <v>1576</v>
      </c>
      <c r="E923" s="112"/>
      <c r="F923" s="139" t="s">
        <v>3389</v>
      </c>
      <c r="G923" s="140"/>
      <c r="H923" s="141"/>
      <c r="I923" s="26">
        <v>33291</v>
      </c>
      <c r="J923" s="117"/>
      <c r="K923" s="120"/>
      <c r="L923" s="121"/>
      <c r="M923" s="120"/>
      <c r="N923" s="121"/>
      <c r="O923" s="120"/>
      <c r="P923" s="121"/>
      <c r="Q923" s="120"/>
      <c r="R923" s="121"/>
      <c r="S923" s="120"/>
      <c r="T923" s="121"/>
      <c r="U923" s="120"/>
      <c r="V923" s="123"/>
      <c r="W923" s="125"/>
      <c r="X923" s="142" t="s">
        <v>3390</v>
      </c>
      <c r="Y923" s="143"/>
      <c r="Z923" s="143"/>
      <c r="AA923" s="143"/>
      <c r="AB923" s="144"/>
      <c r="AC923" s="16" t="s">
        <v>21</v>
      </c>
      <c r="AD923" s="17" t="s">
        <v>3391</v>
      </c>
      <c r="AE923" s="145" t="s">
        <v>3392</v>
      </c>
      <c r="AF923" s="146"/>
      <c r="AG923" s="146"/>
      <c r="AH923" s="146"/>
      <c r="AI923" s="147"/>
      <c r="AJ923" s="148"/>
      <c r="AK923" s="143"/>
      <c r="AL923" s="144"/>
      <c r="AM923" s="22"/>
      <c r="AN923" s="149"/>
      <c r="AO923" s="144"/>
      <c r="AP923" s="148"/>
      <c r="AQ923" s="144"/>
      <c r="AR923" s="120"/>
      <c r="AS923" s="121"/>
      <c r="AT923" s="120"/>
      <c r="AU923" s="182"/>
      <c r="AV923" s="120"/>
      <c r="AW923" s="121"/>
      <c r="AX923" s="120"/>
      <c r="AY923" s="121"/>
      <c r="AZ923" s="138"/>
    </row>
    <row r="924" spans="1:52" ht="17.100000000000001" customHeight="1" thickTop="1">
      <c r="A924" s="109" t="s">
        <v>6199</v>
      </c>
      <c r="B924" s="28">
        <v>45596</v>
      </c>
      <c r="C924" s="25">
        <v>1255</v>
      </c>
      <c r="D924" s="13" t="s">
        <v>1712</v>
      </c>
      <c r="E924" s="111"/>
      <c r="F924" s="113" t="s">
        <v>3393</v>
      </c>
      <c r="G924" s="114"/>
      <c r="H924" s="115"/>
      <c r="I924" s="24" t="s">
        <v>2526</v>
      </c>
      <c r="J924" s="116">
        <v>3.5</v>
      </c>
      <c r="K924" s="118">
        <v>765000</v>
      </c>
      <c r="L924" s="119"/>
      <c r="M924" s="118">
        <f>K924*0.1</f>
        <v>76500</v>
      </c>
      <c r="N924" s="119"/>
      <c r="O924" s="118">
        <v>18040</v>
      </c>
      <c r="P924" s="119"/>
      <c r="Q924" s="118">
        <v>20680</v>
      </c>
      <c r="R924" s="119"/>
      <c r="S924" s="118">
        <v>13200</v>
      </c>
      <c r="T924" s="119"/>
      <c r="U924" s="118">
        <f>SUM(K924:T925)</f>
        <v>893420</v>
      </c>
      <c r="V924" s="122"/>
      <c r="W924" s="124"/>
      <c r="X924" s="126" t="s">
        <v>3394</v>
      </c>
      <c r="Y924" s="127"/>
      <c r="Z924" s="127"/>
      <c r="AA924" s="127"/>
      <c r="AB924" s="128"/>
      <c r="AC924" s="15" t="s">
        <v>20</v>
      </c>
      <c r="AD924" s="129" t="s">
        <v>3395</v>
      </c>
      <c r="AE924" s="130"/>
      <c r="AF924" s="130"/>
      <c r="AG924" s="130"/>
      <c r="AH924" s="130"/>
      <c r="AI924" s="131"/>
      <c r="AJ924" s="132"/>
      <c r="AK924" s="127"/>
      <c r="AL924" s="128"/>
      <c r="AM924" s="21"/>
      <c r="AN924" s="133"/>
      <c r="AO924" s="134"/>
      <c r="AP924" s="135"/>
      <c r="AQ924" s="136"/>
      <c r="AR924" s="118"/>
      <c r="AS924" s="119"/>
      <c r="AT924" s="180">
        <f>AR924*0.1</f>
        <v>0</v>
      </c>
      <c r="AU924" s="181"/>
      <c r="AV924" s="118"/>
      <c r="AW924" s="119"/>
      <c r="AX924" s="118">
        <f>SUM(AR924:AW924)</f>
        <v>0</v>
      </c>
      <c r="AY924" s="119"/>
      <c r="AZ924" s="137"/>
    </row>
    <row r="925" spans="1:52" ht="17.100000000000001" customHeight="1" thickBot="1">
      <c r="A925" s="110"/>
      <c r="B925" s="27" t="s">
        <v>1747</v>
      </c>
      <c r="C925" s="27">
        <v>92</v>
      </c>
      <c r="D925" s="14" t="s">
        <v>2206</v>
      </c>
      <c r="E925" s="112"/>
      <c r="F925" s="139" t="s">
        <v>3396</v>
      </c>
      <c r="G925" s="140"/>
      <c r="H925" s="141"/>
      <c r="I925" s="26">
        <v>40515</v>
      </c>
      <c r="J925" s="117"/>
      <c r="K925" s="120"/>
      <c r="L925" s="121"/>
      <c r="M925" s="120"/>
      <c r="N925" s="121"/>
      <c r="O925" s="120"/>
      <c r="P925" s="121"/>
      <c r="Q925" s="120"/>
      <c r="R925" s="121"/>
      <c r="S925" s="120"/>
      <c r="T925" s="121"/>
      <c r="U925" s="120"/>
      <c r="V925" s="123"/>
      <c r="W925" s="125"/>
      <c r="X925" s="142" t="s">
        <v>1861</v>
      </c>
      <c r="Y925" s="143"/>
      <c r="Z925" s="143"/>
      <c r="AA925" s="143"/>
      <c r="AB925" s="144"/>
      <c r="AC925" s="16" t="s">
        <v>21</v>
      </c>
      <c r="AD925" s="17" t="s">
        <v>3397</v>
      </c>
      <c r="AE925" s="145" t="s">
        <v>1742</v>
      </c>
      <c r="AF925" s="146"/>
      <c r="AG925" s="146"/>
      <c r="AH925" s="146"/>
      <c r="AI925" s="147"/>
      <c r="AJ925" s="148"/>
      <c r="AK925" s="143"/>
      <c r="AL925" s="144"/>
      <c r="AM925" s="67" t="s">
        <v>907</v>
      </c>
      <c r="AN925" s="149"/>
      <c r="AO925" s="144"/>
      <c r="AP925" s="148"/>
      <c r="AQ925" s="144"/>
      <c r="AR925" s="120"/>
      <c r="AS925" s="121"/>
      <c r="AT925" s="120"/>
      <c r="AU925" s="182"/>
      <c r="AV925" s="120"/>
      <c r="AW925" s="121"/>
      <c r="AX925" s="120"/>
      <c r="AY925" s="121"/>
      <c r="AZ925" s="138"/>
    </row>
    <row r="926" spans="1:52" ht="17.100000000000001" customHeight="1" thickTop="1">
      <c r="A926" s="109" t="s">
        <v>6200</v>
      </c>
      <c r="B926" s="28">
        <v>45597</v>
      </c>
      <c r="C926" s="25">
        <v>2059</v>
      </c>
      <c r="D926" s="13" t="s">
        <v>1640</v>
      </c>
      <c r="E926" s="111"/>
      <c r="F926" s="113" t="s">
        <v>3398</v>
      </c>
      <c r="G926" s="114"/>
      <c r="H926" s="115"/>
      <c r="I926" s="24" t="s">
        <v>3399</v>
      </c>
      <c r="J926" s="116">
        <v>4</v>
      </c>
      <c r="K926" s="118">
        <v>2030000</v>
      </c>
      <c r="L926" s="119"/>
      <c r="M926" s="118">
        <f>K926*0.1</f>
        <v>203000</v>
      </c>
      <c r="N926" s="119"/>
      <c r="O926" s="118">
        <f>13100+1310</f>
        <v>14410</v>
      </c>
      <c r="P926" s="119"/>
      <c r="Q926" s="118">
        <v>13210</v>
      </c>
      <c r="R926" s="119"/>
      <c r="S926" s="118">
        <v>13200</v>
      </c>
      <c r="T926" s="119"/>
      <c r="U926" s="118">
        <f>SUM(K926:T927)</f>
        <v>2273820</v>
      </c>
      <c r="V926" s="122"/>
      <c r="W926" s="124"/>
      <c r="X926" s="126" t="s">
        <v>3400</v>
      </c>
      <c r="Y926" s="127"/>
      <c r="Z926" s="127"/>
      <c r="AA926" s="127"/>
      <c r="AB926" s="128"/>
      <c r="AC926" s="15" t="s">
        <v>20</v>
      </c>
      <c r="AD926" s="129" t="s">
        <v>3401</v>
      </c>
      <c r="AE926" s="130"/>
      <c r="AF926" s="130"/>
      <c r="AG926" s="130"/>
      <c r="AH926" s="130"/>
      <c r="AI926" s="131"/>
      <c r="AJ926" s="132"/>
      <c r="AK926" s="127"/>
      <c r="AL926" s="128"/>
      <c r="AM926" s="21" t="s">
        <v>3402</v>
      </c>
      <c r="AN926" s="133"/>
      <c r="AO926" s="134"/>
      <c r="AP926" s="135"/>
      <c r="AQ926" s="136"/>
      <c r="AR926" s="118"/>
      <c r="AS926" s="119"/>
      <c r="AT926" s="180">
        <f>AR926*0.1</f>
        <v>0</v>
      </c>
      <c r="AU926" s="181"/>
      <c r="AV926" s="118"/>
      <c r="AW926" s="119"/>
      <c r="AX926" s="118">
        <f>SUM(AR926:AW926)</f>
        <v>0</v>
      </c>
      <c r="AY926" s="119"/>
      <c r="AZ926" s="137"/>
    </row>
    <row r="927" spans="1:52" ht="17.100000000000001" customHeight="1" thickBot="1">
      <c r="A927" s="110"/>
      <c r="B927" s="27" t="s">
        <v>1543</v>
      </c>
      <c r="C927" s="27">
        <v>58286</v>
      </c>
      <c r="D927" s="14" t="s">
        <v>1592</v>
      </c>
      <c r="E927" s="112"/>
      <c r="F927" s="139" t="s">
        <v>3403</v>
      </c>
      <c r="G927" s="140"/>
      <c r="H927" s="141"/>
      <c r="I927" s="26">
        <v>44386</v>
      </c>
      <c r="J927" s="117"/>
      <c r="K927" s="120"/>
      <c r="L927" s="121"/>
      <c r="M927" s="120"/>
      <c r="N927" s="121"/>
      <c r="O927" s="120"/>
      <c r="P927" s="121"/>
      <c r="Q927" s="120"/>
      <c r="R927" s="121"/>
      <c r="S927" s="120"/>
      <c r="T927" s="121"/>
      <c r="U927" s="120"/>
      <c r="V927" s="123"/>
      <c r="W927" s="125"/>
      <c r="X927" s="142" t="s">
        <v>3404</v>
      </c>
      <c r="Y927" s="143"/>
      <c r="Z927" s="143"/>
      <c r="AA927" s="143"/>
      <c r="AB927" s="144"/>
      <c r="AC927" s="16" t="s">
        <v>21</v>
      </c>
      <c r="AD927" s="17" t="s">
        <v>3397</v>
      </c>
      <c r="AE927" s="145" t="s">
        <v>3405</v>
      </c>
      <c r="AF927" s="146"/>
      <c r="AG927" s="146"/>
      <c r="AH927" s="146"/>
      <c r="AI927" s="147"/>
      <c r="AJ927" s="148"/>
      <c r="AK927" s="143"/>
      <c r="AL927" s="144"/>
      <c r="AM927" s="22"/>
      <c r="AN927" s="149"/>
      <c r="AO927" s="144"/>
      <c r="AP927" s="148"/>
      <c r="AQ927" s="144"/>
      <c r="AR927" s="120"/>
      <c r="AS927" s="121"/>
      <c r="AT927" s="120"/>
      <c r="AU927" s="182"/>
      <c r="AV927" s="120"/>
      <c r="AW927" s="121"/>
      <c r="AX927" s="120"/>
      <c r="AY927" s="121"/>
      <c r="AZ927" s="138"/>
    </row>
    <row r="928" spans="1:52" ht="17.100000000000001" customHeight="1" thickTop="1">
      <c r="A928" s="109" t="s">
        <v>6201</v>
      </c>
      <c r="B928" s="28">
        <v>45611</v>
      </c>
      <c r="C928" s="25">
        <v>2061</v>
      </c>
      <c r="D928" s="13" t="s">
        <v>1831</v>
      </c>
      <c r="E928" s="111"/>
      <c r="F928" s="113" t="s">
        <v>3406</v>
      </c>
      <c r="G928" s="114"/>
      <c r="H928" s="115"/>
      <c r="I928" s="24" t="s">
        <v>2526</v>
      </c>
      <c r="J928" s="116">
        <v>4</v>
      </c>
      <c r="K928" s="118">
        <v>1400000</v>
      </c>
      <c r="L928" s="119"/>
      <c r="M928" s="118">
        <f>K928*0.1</f>
        <v>140000</v>
      </c>
      <c r="N928" s="119"/>
      <c r="O928" s="118">
        <v>14410</v>
      </c>
      <c r="P928" s="119"/>
      <c r="Q928" s="118">
        <v>13210</v>
      </c>
      <c r="R928" s="119"/>
      <c r="S928" s="118">
        <v>13200</v>
      </c>
      <c r="T928" s="119"/>
      <c r="U928" s="118">
        <f>SUM(K928:T929)</f>
        <v>1580820</v>
      </c>
      <c r="V928" s="122"/>
      <c r="W928" s="124"/>
      <c r="X928" s="126" t="s">
        <v>3407</v>
      </c>
      <c r="Y928" s="127"/>
      <c r="Z928" s="127"/>
      <c r="AA928" s="127"/>
      <c r="AB928" s="128"/>
      <c r="AC928" s="15" t="s">
        <v>20</v>
      </c>
      <c r="AD928" s="129" t="s">
        <v>1633</v>
      </c>
      <c r="AE928" s="130"/>
      <c r="AF928" s="130"/>
      <c r="AG928" s="130"/>
      <c r="AH928" s="130"/>
      <c r="AI928" s="131"/>
      <c r="AJ928" s="132"/>
      <c r="AK928" s="127"/>
      <c r="AL928" s="128"/>
      <c r="AM928" s="21" t="s">
        <v>3408</v>
      </c>
      <c r="AN928" s="133"/>
      <c r="AO928" s="134"/>
      <c r="AP928" s="135"/>
      <c r="AQ928" s="136"/>
      <c r="AR928" s="118"/>
      <c r="AS928" s="119"/>
      <c r="AT928" s="180">
        <f>AR928*0.1</f>
        <v>0</v>
      </c>
      <c r="AU928" s="181"/>
      <c r="AV928" s="118"/>
      <c r="AW928" s="119"/>
      <c r="AX928" s="118">
        <f>SUM(AR928:AW928)</f>
        <v>0</v>
      </c>
      <c r="AY928" s="119"/>
      <c r="AZ928" s="137"/>
    </row>
    <row r="929" spans="1:52" ht="17.100000000000001" customHeight="1" thickBot="1">
      <c r="A929" s="110"/>
      <c r="B929" s="27" t="s">
        <v>1543</v>
      </c>
      <c r="C929" s="27">
        <v>58466</v>
      </c>
      <c r="D929" s="14" t="s">
        <v>1592</v>
      </c>
      <c r="E929" s="112"/>
      <c r="F929" s="139" t="s">
        <v>3409</v>
      </c>
      <c r="G929" s="140"/>
      <c r="H929" s="141"/>
      <c r="I929" s="26">
        <v>57791</v>
      </c>
      <c r="J929" s="117"/>
      <c r="K929" s="120"/>
      <c r="L929" s="121"/>
      <c r="M929" s="120"/>
      <c r="N929" s="121"/>
      <c r="O929" s="120"/>
      <c r="P929" s="121"/>
      <c r="Q929" s="120"/>
      <c r="R929" s="121"/>
      <c r="S929" s="120"/>
      <c r="T929" s="121"/>
      <c r="U929" s="120"/>
      <c r="V929" s="123"/>
      <c r="W929" s="125"/>
      <c r="X929" s="142" t="s">
        <v>3410</v>
      </c>
      <c r="Y929" s="143"/>
      <c r="Z929" s="143"/>
      <c r="AA929" s="143"/>
      <c r="AB929" s="144"/>
      <c r="AC929" s="16" t="s">
        <v>21</v>
      </c>
      <c r="AD929" s="17" t="s">
        <v>2630</v>
      </c>
      <c r="AE929" s="145" t="s">
        <v>1742</v>
      </c>
      <c r="AF929" s="146"/>
      <c r="AG929" s="146"/>
      <c r="AH929" s="146"/>
      <c r="AI929" s="147"/>
      <c r="AJ929" s="148"/>
      <c r="AK929" s="143"/>
      <c r="AL929" s="144"/>
      <c r="AM929" s="22"/>
      <c r="AN929" s="149"/>
      <c r="AO929" s="144"/>
      <c r="AP929" s="148"/>
      <c r="AQ929" s="144"/>
      <c r="AR929" s="120"/>
      <c r="AS929" s="121"/>
      <c r="AT929" s="120"/>
      <c r="AU929" s="182"/>
      <c r="AV929" s="120"/>
      <c r="AW929" s="121"/>
      <c r="AX929" s="120"/>
      <c r="AY929" s="121"/>
      <c r="AZ929" s="138"/>
    </row>
    <row r="930" spans="1:52" ht="17.100000000000001" customHeight="1" thickTop="1">
      <c r="A930" s="109" t="s">
        <v>6202</v>
      </c>
      <c r="B930" s="28">
        <v>45611</v>
      </c>
      <c r="C930" s="25">
        <v>1132</v>
      </c>
      <c r="D930" s="13" t="s">
        <v>2759</v>
      </c>
      <c r="E930" s="111"/>
      <c r="F930" s="113" t="s">
        <v>1587</v>
      </c>
      <c r="G930" s="114"/>
      <c r="H930" s="115"/>
      <c r="I930" s="24" t="s">
        <v>2494</v>
      </c>
      <c r="J930" s="116">
        <v>4.5</v>
      </c>
      <c r="K930" s="118">
        <v>2150000</v>
      </c>
      <c r="L930" s="119"/>
      <c r="M930" s="118">
        <f>K930*0.1</f>
        <v>215000</v>
      </c>
      <c r="N930" s="119"/>
      <c r="O930" s="118">
        <v>13200</v>
      </c>
      <c r="P930" s="119"/>
      <c r="Q930" s="118">
        <v>17600</v>
      </c>
      <c r="R930" s="119"/>
      <c r="S930" s="118">
        <v>24200</v>
      </c>
      <c r="T930" s="119"/>
      <c r="U930" s="118">
        <f>SUM(K930:T931)</f>
        <v>2420000</v>
      </c>
      <c r="V930" s="122"/>
      <c r="W930" s="124"/>
      <c r="X930" s="126" t="s">
        <v>3411</v>
      </c>
      <c r="Y930" s="127"/>
      <c r="Z930" s="127"/>
      <c r="AA930" s="127"/>
      <c r="AB930" s="128"/>
      <c r="AC930" s="15" t="s">
        <v>20</v>
      </c>
      <c r="AD930" s="129" t="s">
        <v>3412</v>
      </c>
      <c r="AE930" s="130"/>
      <c r="AF930" s="130"/>
      <c r="AG930" s="130"/>
      <c r="AH930" s="130"/>
      <c r="AI930" s="131"/>
      <c r="AJ930" s="132"/>
      <c r="AK930" s="127"/>
      <c r="AL930" s="128"/>
      <c r="AM930" s="21" t="s">
        <v>3413</v>
      </c>
      <c r="AN930" s="133"/>
      <c r="AO930" s="134"/>
      <c r="AP930" s="135"/>
      <c r="AQ930" s="136"/>
      <c r="AR930" s="118"/>
      <c r="AS930" s="119"/>
      <c r="AT930" s="180">
        <f>AR930*0.1</f>
        <v>0</v>
      </c>
      <c r="AU930" s="181"/>
      <c r="AV930" s="118"/>
      <c r="AW930" s="119"/>
      <c r="AX930" s="118">
        <f>SUM(AR930:AW930)</f>
        <v>0</v>
      </c>
      <c r="AY930" s="119"/>
      <c r="AZ930" s="137"/>
    </row>
    <row r="931" spans="1:52" ht="17.100000000000001" customHeight="1" thickBot="1">
      <c r="A931" s="110"/>
      <c r="B931" s="27" t="s">
        <v>1828</v>
      </c>
      <c r="C931" s="27">
        <v>80054</v>
      </c>
      <c r="D931" s="14" t="s">
        <v>133</v>
      </c>
      <c r="E931" s="112"/>
      <c r="F931" s="139" t="s">
        <v>3414</v>
      </c>
      <c r="G931" s="140"/>
      <c r="H931" s="141"/>
      <c r="I931" s="26">
        <v>22270</v>
      </c>
      <c r="J931" s="117"/>
      <c r="K931" s="120"/>
      <c r="L931" s="121"/>
      <c r="M931" s="120"/>
      <c r="N931" s="121"/>
      <c r="O931" s="120"/>
      <c r="P931" s="121"/>
      <c r="Q931" s="120"/>
      <c r="R931" s="121"/>
      <c r="S931" s="120"/>
      <c r="T931" s="121"/>
      <c r="U931" s="120"/>
      <c r="V931" s="123"/>
      <c r="W931" s="125"/>
      <c r="X931" s="142" t="s">
        <v>1594</v>
      </c>
      <c r="Y931" s="143"/>
      <c r="Z931" s="143"/>
      <c r="AA931" s="143"/>
      <c r="AB931" s="144"/>
      <c r="AC931" s="16" t="s">
        <v>21</v>
      </c>
      <c r="AD931" s="17" t="s">
        <v>2630</v>
      </c>
      <c r="AE931" s="145" t="s">
        <v>3415</v>
      </c>
      <c r="AF931" s="146"/>
      <c r="AG931" s="146"/>
      <c r="AH931" s="146"/>
      <c r="AI931" s="147"/>
      <c r="AJ931" s="148"/>
      <c r="AK931" s="143"/>
      <c r="AL931" s="144"/>
      <c r="AM931" s="22"/>
      <c r="AN931" s="149"/>
      <c r="AO931" s="144"/>
      <c r="AP931" s="148"/>
      <c r="AQ931" s="144"/>
      <c r="AR931" s="120"/>
      <c r="AS931" s="121"/>
      <c r="AT931" s="120"/>
      <c r="AU931" s="182"/>
      <c r="AV931" s="120"/>
      <c r="AW931" s="121"/>
      <c r="AX931" s="120"/>
      <c r="AY931" s="121"/>
      <c r="AZ931" s="138"/>
    </row>
    <row r="932" spans="1:52" ht="17.100000000000001" customHeight="1" thickTop="1">
      <c r="A932" s="109" t="s">
        <v>6203</v>
      </c>
      <c r="B932" s="28">
        <v>45612</v>
      </c>
      <c r="C932" s="25">
        <v>1470</v>
      </c>
      <c r="D932" s="13" t="s">
        <v>2135</v>
      </c>
      <c r="E932" s="111"/>
      <c r="F932" s="113" t="s">
        <v>3416</v>
      </c>
      <c r="G932" s="114"/>
      <c r="H932" s="115"/>
      <c r="I932" s="24"/>
      <c r="J932" s="116">
        <v>4.5</v>
      </c>
      <c r="K932" s="118">
        <v>2390000</v>
      </c>
      <c r="L932" s="119"/>
      <c r="M932" s="118">
        <f>K932*0.1</f>
        <v>239000</v>
      </c>
      <c r="N932" s="119"/>
      <c r="O932" s="118">
        <v>0</v>
      </c>
      <c r="P932" s="119"/>
      <c r="Q932" s="118">
        <v>21300</v>
      </c>
      <c r="R932" s="119"/>
      <c r="S932" s="118">
        <v>24200</v>
      </c>
      <c r="T932" s="119"/>
      <c r="U932" s="118">
        <f>SUM(K932:T933)</f>
        <v>2674500</v>
      </c>
      <c r="V932" s="122"/>
      <c r="W932" s="124"/>
      <c r="X932" s="126" t="s">
        <v>3417</v>
      </c>
      <c r="Y932" s="127"/>
      <c r="Z932" s="127"/>
      <c r="AA932" s="127"/>
      <c r="AB932" s="128"/>
      <c r="AC932" s="15" t="s">
        <v>20</v>
      </c>
      <c r="AD932" s="129" t="s">
        <v>1633</v>
      </c>
      <c r="AE932" s="130"/>
      <c r="AF932" s="130"/>
      <c r="AG932" s="130"/>
      <c r="AH932" s="130"/>
      <c r="AI932" s="131"/>
      <c r="AJ932" s="132"/>
      <c r="AK932" s="127"/>
      <c r="AL932" s="128"/>
      <c r="AM932" s="21"/>
      <c r="AN932" s="133"/>
      <c r="AO932" s="134"/>
      <c r="AP932" s="135"/>
      <c r="AQ932" s="136"/>
      <c r="AR932" s="118"/>
      <c r="AS932" s="119"/>
      <c r="AT932" s="180">
        <f>AR932*0.1</f>
        <v>0</v>
      </c>
      <c r="AU932" s="181"/>
      <c r="AV932" s="118"/>
      <c r="AW932" s="119"/>
      <c r="AX932" s="118">
        <f>SUM(AR932:AW932)</f>
        <v>0</v>
      </c>
      <c r="AY932" s="119"/>
      <c r="AZ932" s="137"/>
    </row>
    <row r="933" spans="1:52" ht="17.100000000000001" customHeight="1" thickBot="1">
      <c r="A933" s="110"/>
      <c r="B933" s="27" t="s">
        <v>1555</v>
      </c>
      <c r="C933" s="27">
        <v>83043</v>
      </c>
      <c r="D933" s="14" t="s">
        <v>1592</v>
      </c>
      <c r="E933" s="112"/>
      <c r="F933" s="139" t="s">
        <v>3418</v>
      </c>
      <c r="G933" s="140"/>
      <c r="H933" s="141"/>
      <c r="I933" s="26">
        <v>39755</v>
      </c>
      <c r="J933" s="117"/>
      <c r="K933" s="120"/>
      <c r="L933" s="121"/>
      <c r="M933" s="120"/>
      <c r="N933" s="121"/>
      <c r="O933" s="120"/>
      <c r="P933" s="121"/>
      <c r="Q933" s="120"/>
      <c r="R933" s="121"/>
      <c r="S933" s="120"/>
      <c r="T933" s="121"/>
      <c r="U933" s="120"/>
      <c r="V933" s="123"/>
      <c r="W933" s="125"/>
      <c r="X933" s="142" t="s">
        <v>3419</v>
      </c>
      <c r="Y933" s="143"/>
      <c r="Z933" s="143"/>
      <c r="AA933" s="143"/>
      <c r="AB933" s="144"/>
      <c r="AC933" s="16" t="s">
        <v>21</v>
      </c>
      <c r="AD933" s="17" t="s">
        <v>2630</v>
      </c>
      <c r="AE933" s="145" t="s">
        <v>1742</v>
      </c>
      <c r="AF933" s="146"/>
      <c r="AG933" s="146"/>
      <c r="AH933" s="146"/>
      <c r="AI933" s="147"/>
      <c r="AJ933" s="148"/>
      <c r="AK933" s="143"/>
      <c r="AL933" s="144"/>
      <c r="AM933" s="22"/>
      <c r="AN933" s="149"/>
      <c r="AO933" s="144"/>
      <c r="AP933" s="148"/>
      <c r="AQ933" s="144"/>
      <c r="AR933" s="120"/>
      <c r="AS933" s="121"/>
      <c r="AT933" s="120"/>
      <c r="AU933" s="182"/>
      <c r="AV933" s="120"/>
      <c r="AW933" s="121"/>
      <c r="AX933" s="120"/>
      <c r="AY933" s="121"/>
      <c r="AZ933" s="138"/>
    </row>
    <row r="934" spans="1:52" ht="17.100000000000001" customHeight="1" thickTop="1">
      <c r="A934" s="109" t="s">
        <v>6204</v>
      </c>
      <c r="B934" s="28">
        <v>45623</v>
      </c>
      <c r="C934" s="25">
        <v>2283</v>
      </c>
      <c r="D934" s="13" t="s">
        <v>3296</v>
      </c>
      <c r="E934" s="111"/>
      <c r="F934" s="113" t="s">
        <v>2656</v>
      </c>
      <c r="G934" s="114"/>
      <c r="H934" s="115"/>
      <c r="I934" s="24" t="s">
        <v>3420</v>
      </c>
      <c r="J934" s="116">
        <v>4.5</v>
      </c>
      <c r="K934" s="118">
        <v>1245000</v>
      </c>
      <c r="L934" s="119"/>
      <c r="M934" s="118">
        <f>K934*0.1</f>
        <v>124500</v>
      </c>
      <c r="N934" s="119"/>
      <c r="O934" s="118">
        <v>14410</v>
      </c>
      <c r="P934" s="119"/>
      <c r="Q934" s="118">
        <v>17700</v>
      </c>
      <c r="R934" s="119"/>
      <c r="S934" s="118">
        <v>13200</v>
      </c>
      <c r="T934" s="119"/>
      <c r="U934" s="118">
        <f>SUM(K934:T935)</f>
        <v>1414810</v>
      </c>
      <c r="V934" s="122"/>
      <c r="W934" s="124"/>
      <c r="X934" s="126" t="s">
        <v>3421</v>
      </c>
      <c r="Y934" s="127"/>
      <c r="Z934" s="127"/>
      <c r="AA934" s="127"/>
      <c r="AB934" s="128"/>
      <c r="AC934" s="15" t="s">
        <v>20</v>
      </c>
      <c r="AD934" s="129"/>
      <c r="AE934" s="130"/>
      <c r="AF934" s="130"/>
      <c r="AG934" s="130"/>
      <c r="AH934" s="130"/>
      <c r="AI934" s="131"/>
      <c r="AJ934" s="132"/>
      <c r="AK934" s="127"/>
      <c r="AL934" s="128"/>
      <c r="AM934" s="21"/>
      <c r="AN934" s="133">
        <v>46296</v>
      </c>
      <c r="AO934" s="134"/>
      <c r="AP934" s="135"/>
      <c r="AQ934" s="136"/>
      <c r="AR934" s="118">
        <v>1760000</v>
      </c>
      <c r="AS934" s="119"/>
      <c r="AT934" s="180">
        <v>0</v>
      </c>
      <c r="AU934" s="181"/>
      <c r="AV934" s="118">
        <v>0</v>
      </c>
      <c r="AW934" s="119"/>
      <c r="AX934" s="118">
        <f>SUM(AR934:AW934)</f>
        <v>1760000</v>
      </c>
      <c r="AY934" s="119"/>
      <c r="AZ934" s="137">
        <v>46370</v>
      </c>
    </row>
    <row r="935" spans="1:52" ht="17.100000000000001" customHeight="1" thickBot="1">
      <c r="A935" s="110"/>
      <c r="B935" s="27" t="s">
        <v>3422</v>
      </c>
      <c r="C935" s="27">
        <v>50096</v>
      </c>
      <c r="D935" s="14" t="s">
        <v>133</v>
      </c>
      <c r="E935" s="112"/>
      <c r="F935" s="139" t="s">
        <v>3423</v>
      </c>
      <c r="G935" s="140"/>
      <c r="H935" s="141"/>
      <c r="I935" s="26">
        <v>23064</v>
      </c>
      <c r="J935" s="117"/>
      <c r="K935" s="120"/>
      <c r="L935" s="121"/>
      <c r="M935" s="120"/>
      <c r="N935" s="121"/>
      <c r="O935" s="120"/>
      <c r="P935" s="121"/>
      <c r="Q935" s="120"/>
      <c r="R935" s="121"/>
      <c r="S935" s="120"/>
      <c r="T935" s="121"/>
      <c r="U935" s="120"/>
      <c r="V935" s="123"/>
      <c r="W935" s="125"/>
      <c r="X935" s="142" t="s">
        <v>3424</v>
      </c>
      <c r="Y935" s="143"/>
      <c r="Z935" s="143"/>
      <c r="AA935" s="143"/>
      <c r="AB935" s="144"/>
      <c r="AC935" s="16" t="s">
        <v>21</v>
      </c>
      <c r="AD935" s="17" t="s">
        <v>3425</v>
      </c>
      <c r="AE935" s="145" t="s">
        <v>1742</v>
      </c>
      <c r="AF935" s="146"/>
      <c r="AG935" s="146"/>
      <c r="AH935" s="146"/>
      <c r="AI935" s="147"/>
      <c r="AJ935" s="148"/>
      <c r="AK935" s="143"/>
      <c r="AL935" s="144"/>
      <c r="AM935" s="22" t="s">
        <v>907</v>
      </c>
      <c r="AN935" s="149" t="s">
        <v>15699</v>
      </c>
      <c r="AO935" s="144"/>
      <c r="AP935" s="148"/>
      <c r="AQ935" s="144"/>
      <c r="AR935" s="120"/>
      <c r="AS935" s="121"/>
      <c r="AT935" s="120"/>
      <c r="AU935" s="182"/>
      <c r="AV935" s="120"/>
      <c r="AW935" s="121"/>
      <c r="AX935" s="120"/>
      <c r="AY935" s="121"/>
      <c r="AZ935" s="138"/>
    </row>
    <row r="936" spans="1:52" ht="17.100000000000001" customHeight="1" thickTop="1">
      <c r="A936" s="109" t="s">
        <v>6205</v>
      </c>
      <c r="B936" s="28">
        <v>45624</v>
      </c>
      <c r="C936" s="25">
        <v>1955</v>
      </c>
      <c r="D936" s="13" t="s">
        <v>1695</v>
      </c>
      <c r="E936" s="111"/>
      <c r="F936" s="113" t="s">
        <v>2656</v>
      </c>
      <c r="G936" s="114"/>
      <c r="H936" s="115"/>
      <c r="I936" s="24" t="s">
        <v>3324</v>
      </c>
      <c r="J936" s="116">
        <v>4</v>
      </c>
      <c r="K936" s="118">
        <v>1259000</v>
      </c>
      <c r="L936" s="119"/>
      <c r="M936" s="118">
        <f>K936*0.1</f>
        <v>125900</v>
      </c>
      <c r="N936" s="119"/>
      <c r="O936" s="118">
        <f>13100+1310</f>
        <v>14410</v>
      </c>
      <c r="P936" s="119"/>
      <c r="Q936" s="118">
        <v>18960</v>
      </c>
      <c r="R936" s="119"/>
      <c r="S936" s="118">
        <v>22000</v>
      </c>
      <c r="T936" s="119"/>
      <c r="U936" s="118">
        <f>SUM(K936:T937)</f>
        <v>1440270</v>
      </c>
      <c r="V936" s="122"/>
      <c r="W936" s="124"/>
      <c r="X936" s="126" t="s">
        <v>3426</v>
      </c>
      <c r="Y936" s="127"/>
      <c r="Z936" s="127"/>
      <c r="AA936" s="127"/>
      <c r="AB936" s="128"/>
      <c r="AC936" s="15" t="s">
        <v>20</v>
      </c>
      <c r="AD936" s="129" t="s">
        <v>3395</v>
      </c>
      <c r="AE936" s="130"/>
      <c r="AF936" s="130"/>
      <c r="AG936" s="130"/>
      <c r="AH936" s="130"/>
      <c r="AI936" s="131"/>
      <c r="AJ936" s="132"/>
      <c r="AK936" s="127"/>
      <c r="AL936" s="128"/>
      <c r="AM936" s="21"/>
      <c r="AN936" s="133">
        <v>46058</v>
      </c>
      <c r="AO936" s="134"/>
      <c r="AP936" s="135"/>
      <c r="AQ936" s="136"/>
      <c r="AR936" s="118">
        <v>1948718</v>
      </c>
      <c r="AS936" s="119"/>
      <c r="AT936" s="180">
        <v>0</v>
      </c>
      <c r="AU936" s="181"/>
      <c r="AV936" s="118">
        <v>0</v>
      </c>
      <c r="AW936" s="119"/>
      <c r="AX936" s="118">
        <f>SUM(AR936:AW936)</f>
        <v>1948718</v>
      </c>
      <c r="AY936" s="119"/>
      <c r="AZ936" s="137">
        <v>46105</v>
      </c>
    </row>
    <row r="937" spans="1:52" ht="17.100000000000001" customHeight="1" thickBot="1">
      <c r="A937" s="110"/>
      <c r="B937" s="27" t="s">
        <v>2727</v>
      </c>
      <c r="C937" s="27">
        <v>10036</v>
      </c>
      <c r="D937" s="14" t="s">
        <v>904</v>
      </c>
      <c r="E937" s="112"/>
      <c r="F937" s="139" t="s">
        <v>3427</v>
      </c>
      <c r="G937" s="140"/>
      <c r="H937" s="141"/>
      <c r="I937" s="26">
        <v>39634</v>
      </c>
      <c r="J937" s="117"/>
      <c r="K937" s="120"/>
      <c r="L937" s="121"/>
      <c r="M937" s="120"/>
      <c r="N937" s="121"/>
      <c r="O937" s="120"/>
      <c r="P937" s="121"/>
      <c r="Q937" s="120"/>
      <c r="R937" s="121"/>
      <c r="S937" s="120"/>
      <c r="T937" s="121"/>
      <c r="U937" s="120"/>
      <c r="V937" s="123"/>
      <c r="W937" s="125"/>
      <c r="X937" s="142" t="s">
        <v>3428</v>
      </c>
      <c r="Y937" s="143"/>
      <c r="Z937" s="143"/>
      <c r="AA937" s="143"/>
      <c r="AB937" s="144"/>
      <c r="AC937" s="16" t="s">
        <v>21</v>
      </c>
      <c r="AD937" s="17" t="s">
        <v>2255</v>
      </c>
      <c r="AE937" s="145" t="s">
        <v>1742</v>
      </c>
      <c r="AF937" s="146"/>
      <c r="AG937" s="146"/>
      <c r="AH937" s="146"/>
      <c r="AI937" s="147"/>
      <c r="AJ937" s="148"/>
      <c r="AK937" s="143"/>
      <c r="AL937" s="144"/>
      <c r="AM937" s="22" t="s">
        <v>51</v>
      </c>
      <c r="AN937" s="149" t="s">
        <v>24629</v>
      </c>
      <c r="AO937" s="144"/>
      <c r="AP937" s="148"/>
      <c r="AQ937" s="144"/>
      <c r="AR937" s="120"/>
      <c r="AS937" s="121"/>
      <c r="AT937" s="120"/>
      <c r="AU937" s="182"/>
      <c r="AV937" s="120"/>
      <c r="AW937" s="121"/>
      <c r="AX937" s="120"/>
      <c r="AY937" s="121"/>
      <c r="AZ937" s="138"/>
    </row>
    <row r="938" spans="1:52" ht="17.100000000000001" customHeight="1" thickTop="1">
      <c r="A938" s="109" t="s">
        <v>6206</v>
      </c>
      <c r="B938" s="28">
        <v>45626</v>
      </c>
      <c r="C938" s="25">
        <v>1229</v>
      </c>
      <c r="D938" s="13" t="s">
        <v>3429</v>
      </c>
      <c r="E938" s="111" t="s">
        <v>2638</v>
      </c>
      <c r="F938" s="113" t="s">
        <v>3430</v>
      </c>
      <c r="G938" s="114"/>
      <c r="H938" s="115"/>
      <c r="I938" s="24" t="s">
        <v>3375</v>
      </c>
      <c r="J938" s="116">
        <v>4</v>
      </c>
      <c r="K938" s="118">
        <v>720000</v>
      </c>
      <c r="L938" s="119"/>
      <c r="M938" s="118">
        <f>K938*0.1</f>
        <v>72000</v>
      </c>
      <c r="N938" s="119"/>
      <c r="O938" s="118">
        <v>0</v>
      </c>
      <c r="P938" s="119"/>
      <c r="Q938" s="118">
        <v>9170</v>
      </c>
      <c r="R938" s="119"/>
      <c r="S938" s="118">
        <v>12100</v>
      </c>
      <c r="T938" s="119"/>
      <c r="U938" s="118">
        <f>SUM(K938:T939)</f>
        <v>813270</v>
      </c>
      <c r="V938" s="122"/>
      <c r="W938" s="124"/>
      <c r="X938" s="126" t="s">
        <v>3431</v>
      </c>
      <c r="Y938" s="127"/>
      <c r="Z938" s="127"/>
      <c r="AA938" s="127"/>
      <c r="AB938" s="128"/>
      <c r="AC938" s="15" t="s">
        <v>20</v>
      </c>
      <c r="AD938" s="129" t="s">
        <v>1945</v>
      </c>
      <c r="AE938" s="130"/>
      <c r="AF938" s="130"/>
      <c r="AG938" s="130"/>
      <c r="AH938" s="130"/>
      <c r="AI938" s="131"/>
      <c r="AJ938" s="132"/>
      <c r="AK938" s="127"/>
      <c r="AL938" s="128"/>
      <c r="AM938" s="21" t="s">
        <v>3432</v>
      </c>
      <c r="AN938" s="133">
        <v>46144</v>
      </c>
      <c r="AO938" s="134"/>
      <c r="AP938" s="135">
        <v>1299</v>
      </c>
      <c r="AQ938" s="136"/>
      <c r="AR938" s="118">
        <v>690000</v>
      </c>
      <c r="AS938" s="119"/>
      <c r="AT938" s="180">
        <f>AR938*0.1</f>
        <v>69000</v>
      </c>
      <c r="AU938" s="181"/>
      <c r="AV938" s="118">
        <v>9170</v>
      </c>
      <c r="AW938" s="119"/>
      <c r="AX938" s="118">
        <f>SUM(AR938:AW938)</f>
        <v>768170</v>
      </c>
      <c r="AY938" s="119"/>
      <c r="AZ938" s="137">
        <v>46154</v>
      </c>
    </row>
    <row r="939" spans="1:52" ht="17.100000000000001" customHeight="1" thickBot="1">
      <c r="A939" s="110"/>
      <c r="B939" s="27" t="s">
        <v>2511</v>
      </c>
      <c r="C939" s="27">
        <v>65179</v>
      </c>
      <c r="D939" s="14" t="s">
        <v>1720</v>
      </c>
      <c r="E939" s="112"/>
      <c r="F939" s="139" t="s">
        <v>3433</v>
      </c>
      <c r="G939" s="140"/>
      <c r="H939" s="141"/>
      <c r="I939" s="26">
        <v>74894</v>
      </c>
      <c r="J939" s="117"/>
      <c r="K939" s="120"/>
      <c r="L939" s="121"/>
      <c r="M939" s="120"/>
      <c r="N939" s="121"/>
      <c r="O939" s="120"/>
      <c r="P939" s="121"/>
      <c r="Q939" s="120"/>
      <c r="R939" s="121"/>
      <c r="S939" s="120"/>
      <c r="T939" s="121"/>
      <c r="U939" s="120"/>
      <c r="V939" s="123"/>
      <c r="W939" s="125"/>
      <c r="X939" s="142" t="s">
        <v>3434</v>
      </c>
      <c r="Y939" s="143"/>
      <c r="Z939" s="143"/>
      <c r="AA939" s="143"/>
      <c r="AB939" s="144"/>
      <c r="AC939" s="16" t="s">
        <v>21</v>
      </c>
      <c r="AD939" s="17" t="s">
        <v>1751</v>
      </c>
      <c r="AE939" s="145" t="s">
        <v>1732</v>
      </c>
      <c r="AF939" s="146"/>
      <c r="AG939" s="146"/>
      <c r="AH939" s="146"/>
      <c r="AI939" s="147"/>
      <c r="AJ939" s="148"/>
      <c r="AK939" s="143"/>
      <c r="AL939" s="144"/>
      <c r="AM939" s="22"/>
      <c r="AN939" s="149" t="s">
        <v>25047</v>
      </c>
      <c r="AO939" s="144"/>
      <c r="AP939" s="148">
        <v>60101</v>
      </c>
      <c r="AQ939" s="144"/>
      <c r="AR939" s="120"/>
      <c r="AS939" s="121"/>
      <c r="AT939" s="120"/>
      <c r="AU939" s="182"/>
      <c r="AV939" s="120"/>
      <c r="AW939" s="121"/>
      <c r="AX939" s="120"/>
      <c r="AY939" s="121"/>
      <c r="AZ939" s="138"/>
    </row>
    <row r="940" spans="1:52" ht="17.100000000000001" customHeight="1" thickTop="1">
      <c r="A940" s="109" t="s">
        <v>6207</v>
      </c>
      <c r="B940" s="28">
        <v>45626</v>
      </c>
      <c r="C940" s="25">
        <v>1394</v>
      </c>
      <c r="D940" s="13" t="s">
        <v>2949</v>
      </c>
      <c r="E940" s="111"/>
      <c r="F940" s="113" t="s">
        <v>3435</v>
      </c>
      <c r="G940" s="114"/>
      <c r="H940" s="115"/>
      <c r="I940" s="24"/>
      <c r="J940" s="116">
        <v>4.5</v>
      </c>
      <c r="K940" s="118">
        <v>2325000</v>
      </c>
      <c r="L940" s="119"/>
      <c r="M940" s="118">
        <f>K940*0.1</f>
        <v>232500</v>
      </c>
      <c r="N940" s="119"/>
      <c r="O940" s="118">
        <v>0</v>
      </c>
      <c r="P940" s="119"/>
      <c r="Q940" s="118">
        <v>16240</v>
      </c>
      <c r="R940" s="119"/>
      <c r="S940" s="118">
        <v>13200</v>
      </c>
      <c r="T940" s="119"/>
      <c r="U940" s="118">
        <f>SUM(K940:T941)</f>
        <v>2586940</v>
      </c>
      <c r="V940" s="122"/>
      <c r="W940" s="124"/>
      <c r="X940" s="126" t="s">
        <v>3436</v>
      </c>
      <c r="Y940" s="127"/>
      <c r="Z940" s="127"/>
      <c r="AA940" s="127"/>
      <c r="AB940" s="128"/>
      <c r="AC940" s="15" t="s">
        <v>20</v>
      </c>
      <c r="AD940" s="129" t="s">
        <v>1670</v>
      </c>
      <c r="AE940" s="130"/>
      <c r="AF940" s="130"/>
      <c r="AG940" s="130"/>
      <c r="AH940" s="130"/>
      <c r="AI940" s="131"/>
      <c r="AJ940" s="132"/>
      <c r="AK940" s="127"/>
      <c r="AL940" s="128"/>
      <c r="AM940" s="21"/>
      <c r="AN940" s="133"/>
      <c r="AO940" s="134"/>
      <c r="AP940" s="135"/>
      <c r="AQ940" s="136"/>
      <c r="AR940" s="118"/>
      <c r="AS940" s="119"/>
      <c r="AT940" s="180">
        <f>AR940*0.1</f>
        <v>0</v>
      </c>
      <c r="AU940" s="181"/>
      <c r="AV940" s="118"/>
      <c r="AW940" s="119"/>
      <c r="AX940" s="118">
        <f>SUM(AR940:AW940)</f>
        <v>0</v>
      </c>
      <c r="AY940" s="119"/>
      <c r="AZ940" s="137"/>
    </row>
    <row r="941" spans="1:52" ht="17.100000000000001" customHeight="1" thickBot="1">
      <c r="A941" s="110"/>
      <c r="B941" s="27" t="s">
        <v>1779</v>
      </c>
      <c r="C941" s="27">
        <v>7182</v>
      </c>
      <c r="D941" s="14" t="s">
        <v>275</v>
      </c>
      <c r="E941" s="112"/>
      <c r="F941" s="139" t="s">
        <v>3437</v>
      </c>
      <c r="G941" s="140"/>
      <c r="H941" s="141"/>
      <c r="I941" s="26">
        <v>25321</v>
      </c>
      <c r="J941" s="117"/>
      <c r="K941" s="120"/>
      <c r="L941" s="121"/>
      <c r="M941" s="120"/>
      <c r="N941" s="121"/>
      <c r="O941" s="120"/>
      <c r="P941" s="121"/>
      <c r="Q941" s="120"/>
      <c r="R941" s="121"/>
      <c r="S941" s="120"/>
      <c r="T941" s="121"/>
      <c r="U941" s="120"/>
      <c r="V941" s="123"/>
      <c r="W941" s="125"/>
      <c r="X941" s="142" t="s">
        <v>3438</v>
      </c>
      <c r="Y941" s="143"/>
      <c r="Z941" s="143"/>
      <c r="AA941" s="143"/>
      <c r="AB941" s="144"/>
      <c r="AC941" s="16" t="s">
        <v>21</v>
      </c>
      <c r="AD941" s="17" t="s">
        <v>3439</v>
      </c>
      <c r="AE941" s="145" t="s">
        <v>1614</v>
      </c>
      <c r="AF941" s="146"/>
      <c r="AG941" s="146"/>
      <c r="AH941" s="146"/>
      <c r="AI941" s="147"/>
      <c r="AJ941" s="148"/>
      <c r="AK941" s="143"/>
      <c r="AL941" s="144"/>
      <c r="AM941" s="22"/>
      <c r="AN941" s="149"/>
      <c r="AO941" s="144"/>
      <c r="AP941" s="148"/>
      <c r="AQ941" s="144"/>
      <c r="AR941" s="120"/>
      <c r="AS941" s="121"/>
      <c r="AT941" s="120"/>
      <c r="AU941" s="182"/>
      <c r="AV941" s="120"/>
      <c r="AW941" s="121"/>
      <c r="AX941" s="120"/>
      <c r="AY941" s="121"/>
      <c r="AZ941" s="138"/>
    </row>
    <row r="942" spans="1:52" ht="17.100000000000001" customHeight="1" thickTop="1">
      <c r="A942" s="109" t="s">
        <v>6208</v>
      </c>
      <c r="B942" s="28">
        <v>45632</v>
      </c>
      <c r="C942" s="25">
        <v>2064</v>
      </c>
      <c r="D942" s="13" t="s">
        <v>3440</v>
      </c>
      <c r="E942" s="111"/>
      <c r="F942" s="184" t="s">
        <v>3441</v>
      </c>
      <c r="G942" s="185"/>
      <c r="H942" s="186"/>
      <c r="I942" s="24" t="s">
        <v>2526</v>
      </c>
      <c r="J942" s="116">
        <v>3.5</v>
      </c>
      <c r="K942" s="118">
        <v>950000</v>
      </c>
      <c r="L942" s="119"/>
      <c r="M942" s="118">
        <f>K942*0.1</f>
        <v>95000</v>
      </c>
      <c r="N942" s="119"/>
      <c r="O942" s="118">
        <v>18260</v>
      </c>
      <c r="P942" s="119"/>
      <c r="Q942" s="118">
        <v>21180</v>
      </c>
      <c r="R942" s="119"/>
      <c r="S942" s="118">
        <v>24200</v>
      </c>
      <c r="T942" s="119"/>
      <c r="U942" s="118">
        <f>SUM(K942:T943)</f>
        <v>1108640</v>
      </c>
      <c r="V942" s="122"/>
      <c r="W942" s="124"/>
      <c r="X942" s="126" t="s">
        <v>3442</v>
      </c>
      <c r="Y942" s="127"/>
      <c r="Z942" s="127"/>
      <c r="AA942" s="127"/>
      <c r="AB942" s="128"/>
      <c r="AC942" s="15" t="s">
        <v>20</v>
      </c>
      <c r="AD942" s="129"/>
      <c r="AE942" s="130"/>
      <c r="AF942" s="130"/>
      <c r="AG942" s="130"/>
      <c r="AH942" s="130"/>
      <c r="AI942" s="131"/>
      <c r="AJ942" s="132"/>
      <c r="AK942" s="127"/>
      <c r="AL942" s="128"/>
      <c r="AM942" s="21"/>
      <c r="AN942" s="133"/>
      <c r="AO942" s="134"/>
      <c r="AP942" s="135"/>
      <c r="AQ942" s="136"/>
      <c r="AR942" s="118"/>
      <c r="AS942" s="119"/>
      <c r="AT942" s="180">
        <f>AR942*0.1</f>
        <v>0</v>
      </c>
      <c r="AU942" s="181"/>
      <c r="AV942" s="118"/>
      <c r="AW942" s="119"/>
      <c r="AX942" s="118">
        <f>SUM(AR942:AW942)</f>
        <v>0</v>
      </c>
      <c r="AY942" s="119"/>
      <c r="AZ942" s="137"/>
    </row>
    <row r="943" spans="1:52" ht="17.100000000000001" customHeight="1" thickBot="1">
      <c r="A943" s="110"/>
      <c r="B943" s="27" t="s">
        <v>1543</v>
      </c>
      <c r="C943" s="27">
        <v>35182</v>
      </c>
      <c r="D943" s="14" t="s">
        <v>3443</v>
      </c>
      <c r="E943" s="112"/>
      <c r="F943" s="139" t="s">
        <v>3444</v>
      </c>
      <c r="G943" s="140"/>
      <c r="H943" s="141"/>
      <c r="I943" s="26">
        <v>43400</v>
      </c>
      <c r="J943" s="117"/>
      <c r="K943" s="120"/>
      <c r="L943" s="121"/>
      <c r="M943" s="120"/>
      <c r="N943" s="121"/>
      <c r="O943" s="120"/>
      <c r="P943" s="121"/>
      <c r="Q943" s="120"/>
      <c r="R943" s="121"/>
      <c r="S943" s="120"/>
      <c r="T943" s="121"/>
      <c r="U943" s="120"/>
      <c r="V943" s="123"/>
      <c r="W943" s="125"/>
      <c r="X943" s="142" t="s">
        <v>2918</v>
      </c>
      <c r="Y943" s="143"/>
      <c r="Z943" s="143"/>
      <c r="AA943" s="143"/>
      <c r="AB943" s="144"/>
      <c r="AC943" s="16" t="s">
        <v>21</v>
      </c>
      <c r="AD943" s="17" t="s">
        <v>3445</v>
      </c>
      <c r="AE943" s="145" t="s">
        <v>3446</v>
      </c>
      <c r="AF943" s="146"/>
      <c r="AG943" s="146"/>
      <c r="AH943" s="146"/>
      <c r="AI943" s="147"/>
      <c r="AJ943" s="148"/>
      <c r="AK943" s="143"/>
      <c r="AL943" s="144"/>
      <c r="AM943" s="22" t="s">
        <v>907</v>
      </c>
      <c r="AN943" s="149"/>
      <c r="AO943" s="144"/>
      <c r="AP943" s="148"/>
      <c r="AQ943" s="144"/>
      <c r="AR943" s="120"/>
      <c r="AS943" s="121"/>
      <c r="AT943" s="120"/>
      <c r="AU943" s="182"/>
      <c r="AV943" s="120"/>
      <c r="AW943" s="121"/>
      <c r="AX943" s="120"/>
      <c r="AY943" s="121"/>
      <c r="AZ943" s="138"/>
    </row>
    <row r="944" spans="1:52" ht="17.100000000000001" customHeight="1" thickTop="1">
      <c r="A944" s="109" t="s">
        <v>6209</v>
      </c>
      <c r="B944" s="28">
        <v>45633</v>
      </c>
      <c r="C944" s="25">
        <v>1230</v>
      </c>
      <c r="D944" s="13" t="s">
        <v>1920</v>
      </c>
      <c r="E944" s="111"/>
      <c r="F944" s="113" t="s">
        <v>3447</v>
      </c>
      <c r="G944" s="114"/>
      <c r="H944" s="115"/>
      <c r="I944" s="24"/>
      <c r="J944" s="116">
        <v>4.5</v>
      </c>
      <c r="K944" s="118">
        <v>1635000</v>
      </c>
      <c r="L944" s="119"/>
      <c r="M944" s="118">
        <f>K944*0.1</f>
        <v>163500</v>
      </c>
      <c r="N944" s="119"/>
      <c r="O944" s="118">
        <v>0</v>
      </c>
      <c r="P944" s="119"/>
      <c r="Q944" s="118">
        <v>21300</v>
      </c>
      <c r="R944" s="119"/>
      <c r="S944" s="118">
        <v>13200</v>
      </c>
      <c r="T944" s="119"/>
      <c r="U944" s="118">
        <f>SUM(K944:T945)</f>
        <v>1833000</v>
      </c>
      <c r="V944" s="122"/>
      <c r="W944" s="124"/>
      <c r="X944" s="126" t="s">
        <v>3448</v>
      </c>
      <c r="Y944" s="127"/>
      <c r="Z944" s="127"/>
      <c r="AA944" s="127"/>
      <c r="AB944" s="128"/>
      <c r="AC944" s="15" t="s">
        <v>20</v>
      </c>
      <c r="AD944" s="129" t="s">
        <v>1633</v>
      </c>
      <c r="AE944" s="130"/>
      <c r="AF944" s="130"/>
      <c r="AG944" s="130"/>
      <c r="AH944" s="130"/>
      <c r="AI944" s="131"/>
      <c r="AJ944" s="132"/>
      <c r="AK944" s="127"/>
      <c r="AL944" s="128"/>
      <c r="AM944" s="21"/>
      <c r="AN944" s="133"/>
      <c r="AO944" s="134"/>
      <c r="AP944" s="135"/>
      <c r="AQ944" s="136"/>
      <c r="AR944" s="118"/>
      <c r="AS944" s="119"/>
      <c r="AT944" s="180">
        <f>AR944*0.1</f>
        <v>0</v>
      </c>
      <c r="AU944" s="181"/>
      <c r="AV944" s="118"/>
      <c r="AW944" s="119"/>
      <c r="AX944" s="118">
        <f>SUM(AR944:AW944)</f>
        <v>0</v>
      </c>
      <c r="AY944" s="119"/>
      <c r="AZ944" s="137"/>
    </row>
    <row r="945" spans="1:52" ht="17.100000000000001" customHeight="1" thickBot="1">
      <c r="A945" s="110"/>
      <c r="B945" s="27" t="s">
        <v>2511</v>
      </c>
      <c r="C945" s="27">
        <v>82320</v>
      </c>
      <c r="D945" s="14" t="s">
        <v>133</v>
      </c>
      <c r="E945" s="112"/>
      <c r="F945" s="139" t="s">
        <v>3449</v>
      </c>
      <c r="G945" s="140"/>
      <c r="H945" s="141"/>
      <c r="I945" s="26">
        <v>40040</v>
      </c>
      <c r="J945" s="117"/>
      <c r="K945" s="120"/>
      <c r="L945" s="121"/>
      <c r="M945" s="120"/>
      <c r="N945" s="121"/>
      <c r="O945" s="120"/>
      <c r="P945" s="121"/>
      <c r="Q945" s="120"/>
      <c r="R945" s="121"/>
      <c r="S945" s="120"/>
      <c r="T945" s="121"/>
      <c r="U945" s="120"/>
      <c r="V945" s="123"/>
      <c r="W945" s="125"/>
      <c r="X945" s="142" t="s">
        <v>3450</v>
      </c>
      <c r="Y945" s="143"/>
      <c r="Z945" s="143"/>
      <c r="AA945" s="143"/>
      <c r="AB945" s="144"/>
      <c r="AC945" s="16" t="s">
        <v>21</v>
      </c>
      <c r="AD945" s="17" t="s">
        <v>2268</v>
      </c>
      <c r="AE945" s="145" t="s">
        <v>1742</v>
      </c>
      <c r="AF945" s="146"/>
      <c r="AG945" s="146"/>
      <c r="AH945" s="146"/>
      <c r="AI945" s="147"/>
      <c r="AJ945" s="148"/>
      <c r="AK945" s="143"/>
      <c r="AL945" s="144"/>
      <c r="AM945" s="22"/>
      <c r="AN945" s="149"/>
      <c r="AO945" s="144"/>
      <c r="AP945" s="148"/>
      <c r="AQ945" s="144"/>
      <c r="AR945" s="120"/>
      <c r="AS945" s="121"/>
      <c r="AT945" s="120"/>
      <c r="AU945" s="182"/>
      <c r="AV945" s="120"/>
      <c r="AW945" s="121"/>
      <c r="AX945" s="120"/>
      <c r="AY945" s="121"/>
      <c r="AZ945" s="138"/>
    </row>
    <row r="946" spans="1:52" ht="17.100000000000001" customHeight="1" thickTop="1">
      <c r="A946" s="109" t="s">
        <v>6210</v>
      </c>
      <c r="B946" s="28">
        <v>45637</v>
      </c>
      <c r="C946" s="25">
        <v>1769</v>
      </c>
      <c r="D946" s="13" t="s">
        <v>1725</v>
      </c>
      <c r="E946" s="111"/>
      <c r="F946" s="113" t="s">
        <v>2312</v>
      </c>
      <c r="G946" s="114"/>
      <c r="H946" s="115"/>
      <c r="I946" s="24" t="s">
        <v>3451</v>
      </c>
      <c r="J946" s="116">
        <v>5</v>
      </c>
      <c r="K946" s="118">
        <v>2155000</v>
      </c>
      <c r="L946" s="119"/>
      <c r="M946" s="118">
        <f>K946*0.1</f>
        <v>215500</v>
      </c>
      <c r="N946" s="119"/>
      <c r="O946" s="118">
        <f>9800+980</f>
        <v>10780</v>
      </c>
      <c r="P946" s="119"/>
      <c r="Q946" s="118">
        <v>16240</v>
      </c>
      <c r="R946" s="119"/>
      <c r="S946" s="118">
        <v>18150</v>
      </c>
      <c r="T946" s="119"/>
      <c r="U946" s="118">
        <f>SUM(K946:T947)</f>
        <v>2415670</v>
      </c>
      <c r="V946" s="122"/>
      <c r="W946" s="124"/>
      <c r="X946" s="126" t="s">
        <v>3452</v>
      </c>
      <c r="Y946" s="127"/>
      <c r="Z946" s="127"/>
      <c r="AA946" s="127"/>
      <c r="AB946" s="128"/>
      <c r="AC946" s="15" t="s">
        <v>20</v>
      </c>
      <c r="AD946" s="129" t="s">
        <v>2745</v>
      </c>
      <c r="AE946" s="130"/>
      <c r="AF946" s="130"/>
      <c r="AG946" s="130"/>
      <c r="AH946" s="130"/>
      <c r="AI946" s="131"/>
      <c r="AJ946" s="132"/>
      <c r="AK946" s="127"/>
      <c r="AL946" s="128"/>
      <c r="AM946" s="21" t="s">
        <v>3453</v>
      </c>
      <c r="AN946" s="133"/>
      <c r="AO946" s="134"/>
      <c r="AP946" s="135"/>
      <c r="AQ946" s="136"/>
      <c r="AR946" s="118"/>
      <c r="AS946" s="119"/>
      <c r="AT946" s="180">
        <f>AR946*0.1</f>
        <v>0</v>
      </c>
      <c r="AU946" s="181"/>
      <c r="AV946" s="118"/>
      <c r="AW946" s="119"/>
      <c r="AX946" s="118">
        <f>SUM(AR946:AW946)</f>
        <v>0</v>
      </c>
      <c r="AY946" s="119"/>
      <c r="AZ946" s="137"/>
    </row>
    <row r="947" spans="1:52" ht="17.100000000000001" customHeight="1" thickBot="1">
      <c r="A947" s="110"/>
      <c r="B947" s="27" t="s">
        <v>2559</v>
      </c>
      <c r="C947" s="27">
        <v>38073</v>
      </c>
      <c r="D947" s="14" t="s">
        <v>1576</v>
      </c>
      <c r="E947" s="112"/>
      <c r="F947" s="139" t="s">
        <v>3454</v>
      </c>
      <c r="G947" s="140"/>
      <c r="H947" s="141"/>
      <c r="I947" s="26">
        <v>39007</v>
      </c>
      <c r="J947" s="117"/>
      <c r="K947" s="120"/>
      <c r="L947" s="121"/>
      <c r="M947" s="120"/>
      <c r="N947" s="121"/>
      <c r="O947" s="120"/>
      <c r="P947" s="121"/>
      <c r="Q947" s="120"/>
      <c r="R947" s="121"/>
      <c r="S947" s="120"/>
      <c r="T947" s="121"/>
      <c r="U947" s="120"/>
      <c r="V947" s="123"/>
      <c r="W947" s="125"/>
      <c r="X947" s="142" t="s">
        <v>3455</v>
      </c>
      <c r="Y947" s="143"/>
      <c r="Z947" s="143"/>
      <c r="AA947" s="143"/>
      <c r="AB947" s="144"/>
      <c r="AC947" s="16" t="s">
        <v>21</v>
      </c>
      <c r="AD947" s="17" t="s">
        <v>3456</v>
      </c>
      <c r="AE947" s="145" t="s">
        <v>2667</v>
      </c>
      <c r="AF947" s="146"/>
      <c r="AG947" s="146"/>
      <c r="AH947" s="146"/>
      <c r="AI947" s="147"/>
      <c r="AJ947" s="148"/>
      <c r="AK947" s="143"/>
      <c r="AL947" s="144"/>
      <c r="AM947" s="22"/>
      <c r="AN947" s="149"/>
      <c r="AO947" s="144"/>
      <c r="AP947" s="148"/>
      <c r="AQ947" s="144"/>
      <c r="AR947" s="120"/>
      <c r="AS947" s="121"/>
      <c r="AT947" s="120"/>
      <c r="AU947" s="182"/>
      <c r="AV947" s="120"/>
      <c r="AW947" s="121"/>
      <c r="AX947" s="120"/>
      <c r="AY947" s="121"/>
      <c r="AZ947" s="138"/>
    </row>
    <row r="948" spans="1:52" ht="17.100000000000001" customHeight="1" thickTop="1">
      <c r="A948" s="109" t="s">
        <v>6211</v>
      </c>
      <c r="B948" s="28">
        <v>45638</v>
      </c>
      <c r="C948" s="25">
        <v>1261</v>
      </c>
      <c r="D948" s="13" t="s">
        <v>2135</v>
      </c>
      <c r="E948" s="111"/>
      <c r="F948" s="113" t="s">
        <v>3457</v>
      </c>
      <c r="G948" s="114"/>
      <c r="H948" s="115"/>
      <c r="I948" s="24"/>
      <c r="J948" s="116">
        <v>4</v>
      </c>
      <c r="K948" s="118">
        <v>1390000</v>
      </c>
      <c r="L948" s="119"/>
      <c r="M948" s="118">
        <f>K948*0.1</f>
        <v>139000</v>
      </c>
      <c r="N948" s="119"/>
      <c r="O948" s="118">
        <v>0</v>
      </c>
      <c r="P948" s="119"/>
      <c r="Q948" s="118">
        <v>22640</v>
      </c>
      <c r="R948" s="119"/>
      <c r="S948" s="118">
        <v>13200</v>
      </c>
      <c r="T948" s="119"/>
      <c r="U948" s="118">
        <f>SUM(K948:T949)</f>
        <v>1564840</v>
      </c>
      <c r="V948" s="122"/>
      <c r="W948" s="124"/>
      <c r="X948" s="126" t="s">
        <v>3458</v>
      </c>
      <c r="Y948" s="127"/>
      <c r="Z948" s="127"/>
      <c r="AA948" s="127"/>
      <c r="AB948" s="128"/>
      <c r="AC948" s="15" t="s">
        <v>20</v>
      </c>
      <c r="AD948" s="129"/>
      <c r="AE948" s="130"/>
      <c r="AF948" s="130"/>
      <c r="AG948" s="130"/>
      <c r="AH948" s="130"/>
      <c r="AI948" s="131"/>
      <c r="AJ948" s="132"/>
      <c r="AK948" s="127"/>
      <c r="AL948" s="128"/>
      <c r="AM948" s="21"/>
      <c r="AN948" s="133"/>
      <c r="AO948" s="134"/>
      <c r="AP948" s="135"/>
      <c r="AQ948" s="136"/>
      <c r="AR948" s="118"/>
      <c r="AS948" s="119"/>
      <c r="AT948" s="180">
        <f>AR948*0.1</f>
        <v>0</v>
      </c>
      <c r="AU948" s="181"/>
      <c r="AV948" s="118"/>
      <c r="AW948" s="119"/>
      <c r="AX948" s="118">
        <f>SUM(AR948:AW948)</f>
        <v>0</v>
      </c>
      <c r="AY948" s="119"/>
      <c r="AZ948" s="137"/>
    </row>
    <row r="949" spans="1:52" ht="17.100000000000001" customHeight="1" thickBot="1">
      <c r="A949" s="110"/>
      <c r="B949" s="27" t="s">
        <v>1747</v>
      </c>
      <c r="C949" s="27">
        <v>143</v>
      </c>
      <c r="D949" s="14" t="s">
        <v>2601</v>
      </c>
      <c r="E949" s="112"/>
      <c r="F949" s="139" t="s">
        <v>3459</v>
      </c>
      <c r="G949" s="140"/>
      <c r="H949" s="141"/>
      <c r="I949" s="26">
        <v>47031</v>
      </c>
      <c r="J949" s="117"/>
      <c r="K949" s="120"/>
      <c r="L949" s="121"/>
      <c r="M949" s="120"/>
      <c r="N949" s="121"/>
      <c r="O949" s="120"/>
      <c r="P949" s="121"/>
      <c r="Q949" s="120"/>
      <c r="R949" s="121"/>
      <c r="S949" s="120"/>
      <c r="T949" s="121"/>
      <c r="U949" s="120"/>
      <c r="V949" s="123"/>
      <c r="W949" s="125"/>
      <c r="X949" s="142" t="s">
        <v>3460</v>
      </c>
      <c r="Y949" s="143"/>
      <c r="Z949" s="143"/>
      <c r="AA949" s="143"/>
      <c r="AB949" s="144"/>
      <c r="AC949" s="16" t="s">
        <v>21</v>
      </c>
      <c r="AD949" s="17" t="s">
        <v>3456</v>
      </c>
      <c r="AE949" s="145"/>
      <c r="AF949" s="146"/>
      <c r="AG949" s="146"/>
      <c r="AH949" s="146"/>
      <c r="AI949" s="147"/>
      <c r="AJ949" s="148"/>
      <c r="AK949" s="143"/>
      <c r="AL949" s="144"/>
      <c r="AM949" s="22"/>
      <c r="AN949" s="149"/>
      <c r="AO949" s="144"/>
      <c r="AP949" s="148"/>
      <c r="AQ949" s="144"/>
      <c r="AR949" s="120"/>
      <c r="AS949" s="121"/>
      <c r="AT949" s="120"/>
      <c r="AU949" s="182"/>
      <c r="AV949" s="120"/>
      <c r="AW949" s="121"/>
      <c r="AX949" s="120"/>
      <c r="AY949" s="121"/>
      <c r="AZ949" s="138"/>
    </row>
    <row r="950" spans="1:52" ht="17.100000000000001" customHeight="1" thickTop="1">
      <c r="A950" s="109" t="s">
        <v>6212</v>
      </c>
      <c r="B950" s="28">
        <v>45638</v>
      </c>
      <c r="C950" s="25">
        <v>2089</v>
      </c>
      <c r="D950" s="13" t="s">
        <v>3461</v>
      </c>
      <c r="E950" s="111" t="s">
        <v>166</v>
      </c>
      <c r="F950" s="113" t="s">
        <v>3462</v>
      </c>
      <c r="G950" s="114"/>
      <c r="H950" s="115"/>
      <c r="I950" s="24" t="s">
        <v>3463</v>
      </c>
      <c r="J950" s="116">
        <v>4.5</v>
      </c>
      <c r="K950" s="118">
        <v>2283000</v>
      </c>
      <c r="L950" s="119"/>
      <c r="M950" s="118">
        <f>K950*0.1</f>
        <v>228300</v>
      </c>
      <c r="N950" s="119"/>
      <c r="O950" s="118">
        <v>7600</v>
      </c>
      <c r="P950" s="119"/>
      <c r="Q950" s="118">
        <v>16720</v>
      </c>
      <c r="R950" s="119"/>
      <c r="S950" s="118">
        <v>13200</v>
      </c>
      <c r="T950" s="119"/>
      <c r="U950" s="118">
        <f>SUM(K950:T951)</f>
        <v>2548820</v>
      </c>
      <c r="V950" s="122"/>
      <c r="W950" s="124"/>
      <c r="X950" s="126" t="s">
        <v>3464</v>
      </c>
      <c r="Y950" s="127"/>
      <c r="Z950" s="127"/>
      <c r="AA950" s="127"/>
      <c r="AB950" s="128"/>
      <c r="AC950" s="15" t="s">
        <v>20</v>
      </c>
      <c r="AD950" s="129" t="s">
        <v>1670</v>
      </c>
      <c r="AE950" s="130"/>
      <c r="AF950" s="130"/>
      <c r="AG950" s="130"/>
      <c r="AH950" s="130"/>
      <c r="AI950" s="131"/>
      <c r="AJ950" s="132"/>
      <c r="AK950" s="127"/>
      <c r="AL950" s="128"/>
      <c r="AM950" s="21" t="s">
        <v>3465</v>
      </c>
      <c r="AN950" s="133"/>
      <c r="AO950" s="134"/>
      <c r="AP950" s="135"/>
      <c r="AQ950" s="136"/>
      <c r="AR950" s="118"/>
      <c r="AS950" s="119"/>
      <c r="AT950" s="180">
        <f>AR950*0.1</f>
        <v>0</v>
      </c>
      <c r="AU950" s="181"/>
      <c r="AV950" s="118"/>
      <c r="AW950" s="119"/>
      <c r="AX950" s="118">
        <f>SUM(AR950:AW950)</f>
        <v>0</v>
      </c>
      <c r="AY950" s="119"/>
      <c r="AZ950" s="137"/>
    </row>
    <row r="951" spans="1:52" ht="17.100000000000001" customHeight="1" thickBot="1">
      <c r="A951" s="110"/>
      <c r="B951" s="27" t="s">
        <v>3466</v>
      </c>
      <c r="C951" s="27">
        <v>3022</v>
      </c>
      <c r="D951" s="14" t="s">
        <v>2206</v>
      </c>
      <c r="E951" s="112"/>
      <c r="F951" s="139" t="s">
        <v>3467</v>
      </c>
      <c r="G951" s="140"/>
      <c r="H951" s="141"/>
      <c r="I951" s="26">
        <v>23205</v>
      </c>
      <c r="J951" s="117"/>
      <c r="K951" s="120"/>
      <c r="L951" s="121"/>
      <c r="M951" s="120"/>
      <c r="N951" s="121"/>
      <c r="O951" s="120"/>
      <c r="P951" s="121"/>
      <c r="Q951" s="120"/>
      <c r="R951" s="121"/>
      <c r="S951" s="120"/>
      <c r="T951" s="121"/>
      <c r="U951" s="120"/>
      <c r="V951" s="123"/>
      <c r="W951" s="125"/>
      <c r="X951" s="142" t="s">
        <v>3468</v>
      </c>
      <c r="Y951" s="143"/>
      <c r="Z951" s="143"/>
      <c r="AA951" s="143"/>
      <c r="AB951" s="144"/>
      <c r="AC951" s="16" t="s">
        <v>21</v>
      </c>
      <c r="AD951" s="17" t="s">
        <v>3456</v>
      </c>
      <c r="AE951" s="145" t="s">
        <v>171</v>
      </c>
      <c r="AF951" s="146"/>
      <c r="AG951" s="146"/>
      <c r="AH951" s="146"/>
      <c r="AI951" s="147"/>
      <c r="AJ951" s="148"/>
      <c r="AK951" s="143"/>
      <c r="AL951" s="144"/>
      <c r="AM951" s="22"/>
      <c r="AN951" s="149"/>
      <c r="AO951" s="144"/>
      <c r="AP951" s="148"/>
      <c r="AQ951" s="144"/>
      <c r="AR951" s="120"/>
      <c r="AS951" s="121"/>
      <c r="AT951" s="120"/>
      <c r="AU951" s="182"/>
      <c r="AV951" s="120"/>
      <c r="AW951" s="121"/>
      <c r="AX951" s="120"/>
      <c r="AY951" s="121"/>
      <c r="AZ951" s="138"/>
    </row>
    <row r="952" spans="1:52" ht="17.100000000000001" customHeight="1" thickTop="1">
      <c r="A952" s="109" t="s">
        <v>6213</v>
      </c>
      <c r="B952" s="28">
        <v>45639</v>
      </c>
      <c r="C952" s="25">
        <v>2065</v>
      </c>
      <c r="D952" s="13" t="s">
        <v>3469</v>
      </c>
      <c r="E952" s="111"/>
      <c r="F952" s="113" t="s">
        <v>3470</v>
      </c>
      <c r="G952" s="114"/>
      <c r="H952" s="115"/>
      <c r="I952" s="24" t="s">
        <v>3471</v>
      </c>
      <c r="J952" s="116">
        <v>4</v>
      </c>
      <c r="K952" s="118">
        <v>2240000</v>
      </c>
      <c r="L952" s="119"/>
      <c r="M952" s="118">
        <f>K952*0.1</f>
        <v>224000</v>
      </c>
      <c r="N952" s="119"/>
      <c r="O952" s="118">
        <f>25300+2530</f>
        <v>27830</v>
      </c>
      <c r="P952" s="119"/>
      <c r="Q952" s="118">
        <v>22270</v>
      </c>
      <c r="R952" s="119"/>
      <c r="S952" s="118">
        <v>13200</v>
      </c>
      <c r="T952" s="119"/>
      <c r="U952" s="118">
        <f>SUM(K952:T953)</f>
        <v>2527300</v>
      </c>
      <c r="V952" s="122"/>
      <c r="W952" s="124"/>
      <c r="X952" s="126" t="s">
        <v>3472</v>
      </c>
      <c r="Y952" s="127"/>
      <c r="Z952" s="127"/>
      <c r="AA952" s="127"/>
      <c r="AB952" s="128"/>
      <c r="AC952" s="15" t="s">
        <v>20</v>
      </c>
      <c r="AD952" s="129" t="s">
        <v>3473</v>
      </c>
      <c r="AE952" s="130"/>
      <c r="AF952" s="130"/>
      <c r="AG952" s="130"/>
      <c r="AH952" s="130"/>
      <c r="AI952" s="131"/>
      <c r="AJ952" s="132"/>
      <c r="AK952" s="127"/>
      <c r="AL952" s="128"/>
      <c r="AM952" s="21"/>
      <c r="AN952" s="133"/>
      <c r="AO952" s="134"/>
      <c r="AP952" s="135"/>
      <c r="AQ952" s="136"/>
      <c r="AR952" s="118"/>
      <c r="AS952" s="119"/>
      <c r="AT952" s="180">
        <f>AR952*0.1</f>
        <v>0</v>
      </c>
      <c r="AU952" s="181"/>
      <c r="AV952" s="118"/>
      <c r="AW952" s="119"/>
      <c r="AX952" s="118">
        <f>SUM(AR952:AW952)</f>
        <v>0</v>
      </c>
      <c r="AY952" s="119"/>
      <c r="AZ952" s="137"/>
    </row>
    <row r="953" spans="1:52" ht="17.100000000000001" customHeight="1" thickBot="1">
      <c r="A953" s="110"/>
      <c r="B953" s="27" t="s">
        <v>1543</v>
      </c>
      <c r="C953" s="27">
        <v>35138</v>
      </c>
      <c r="D953" s="14" t="s">
        <v>275</v>
      </c>
      <c r="E953" s="112"/>
      <c r="F953" s="139" t="s">
        <v>3474</v>
      </c>
      <c r="G953" s="140"/>
      <c r="H953" s="141"/>
      <c r="I953" s="26">
        <v>53501</v>
      </c>
      <c r="J953" s="117"/>
      <c r="K953" s="120"/>
      <c r="L953" s="121"/>
      <c r="M953" s="120"/>
      <c r="N953" s="121"/>
      <c r="O953" s="120"/>
      <c r="P953" s="121"/>
      <c r="Q953" s="120"/>
      <c r="R953" s="121"/>
      <c r="S953" s="120"/>
      <c r="T953" s="121"/>
      <c r="U953" s="120"/>
      <c r="V953" s="123"/>
      <c r="W953" s="125"/>
      <c r="X953" s="142" t="s">
        <v>3475</v>
      </c>
      <c r="Y953" s="143"/>
      <c r="Z953" s="143"/>
      <c r="AA953" s="143"/>
      <c r="AB953" s="144"/>
      <c r="AC953" s="16" t="s">
        <v>21</v>
      </c>
      <c r="AD953" s="17" t="s">
        <v>3476</v>
      </c>
      <c r="AE953" s="145" t="s">
        <v>3477</v>
      </c>
      <c r="AF953" s="146"/>
      <c r="AG953" s="146"/>
      <c r="AH953" s="146"/>
      <c r="AI953" s="147"/>
      <c r="AJ953" s="148"/>
      <c r="AK953" s="143"/>
      <c r="AL953" s="144"/>
      <c r="AM953" s="22"/>
      <c r="AN953" s="149"/>
      <c r="AO953" s="144"/>
      <c r="AP953" s="148"/>
      <c r="AQ953" s="144"/>
      <c r="AR953" s="120"/>
      <c r="AS953" s="121"/>
      <c r="AT953" s="120"/>
      <c r="AU953" s="182"/>
      <c r="AV953" s="120"/>
      <c r="AW953" s="121"/>
      <c r="AX953" s="120"/>
      <c r="AY953" s="121"/>
      <c r="AZ953" s="138"/>
    </row>
    <row r="954" spans="1:52" ht="17.100000000000001" customHeight="1" thickTop="1">
      <c r="A954" s="109" t="s">
        <v>6214</v>
      </c>
      <c r="B954" s="28">
        <v>45644</v>
      </c>
      <c r="C954" s="25">
        <v>2286</v>
      </c>
      <c r="D954" s="13" t="s">
        <v>3478</v>
      </c>
      <c r="E954" s="111"/>
      <c r="F954" s="113" t="s">
        <v>3479</v>
      </c>
      <c r="G954" s="114"/>
      <c r="H954" s="115"/>
      <c r="I954" s="24" t="s">
        <v>2854</v>
      </c>
      <c r="J954" s="116">
        <v>4.5</v>
      </c>
      <c r="K954" s="118">
        <v>1380000</v>
      </c>
      <c r="L954" s="119"/>
      <c r="M954" s="118">
        <f>K954*0.1</f>
        <v>138000</v>
      </c>
      <c r="N954" s="119"/>
      <c r="O954" s="118">
        <v>10780</v>
      </c>
      <c r="P954" s="119"/>
      <c r="Q954" s="118">
        <v>20170</v>
      </c>
      <c r="R954" s="119"/>
      <c r="S954" s="118">
        <v>17600</v>
      </c>
      <c r="T954" s="119"/>
      <c r="U954" s="118">
        <f>SUM(K954:T955)</f>
        <v>1566550</v>
      </c>
      <c r="V954" s="122"/>
      <c r="W954" s="124"/>
      <c r="X954" s="126" t="s">
        <v>3480</v>
      </c>
      <c r="Y954" s="127"/>
      <c r="Z954" s="127"/>
      <c r="AA954" s="127"/>
      <c r="AB954" s="128"/>
      <c r="AC954" s="15" t="s">
        <v>20</v>
      </c>
      <c r="AD954" s="129" t="s">
        <v>1633</v>
      </c>
      <c r="AE954" s="130"/>
      <c r="AF954" s="130"/>
      <c r="AG954" s="130"/>
      <c r="AH954" s="130"/>
      <c r="AI954" s="131"/>
      <c r="AJ954" s="132"/>
      <c r="AK954" s="127"/>
      <c r="AL954" s="128"/>
      <c r="AM954" s="21" t="s">
        <v>3481</v>
      </c>
      <c r="AN954" s="133"/>
      <c r="AO954" s="134"/>
      <c r="AP954" s="135"/>
      <c r="AQ954" s="136"/>
      <c r="AR954" s="118"/>
      <c r="AS954" s="119"/>
      <c r="AT954" s="180">
        <f>AR954*0.1</f>
        <v>0</v>
      </c>
      <c r="AU954" s="181"/>
      <c r="AV954" s="118"/>
      <c r="AW954" s="119"/>
      <c r="AX954" s="118">
        <f>SUM(AR954:AW954)</f>
        <v>0</v>
      </c>
      <c r="AY954" s="119"/>
      <c r="AZ954" s="137"/>
    </row>
    <row r="955" spans="1:52" ht="17.100000000000001" customHeight="1" thickBot="1">
      <c r="A955" s="110"/>
      <c r="B955" s="27" t="s">
        <v>3422</v>
      </c>
      <c r="C955" s="27">
        <v>50256</v>
      </c>
      <c r="D955" s="14" t="s">
        <v>904</v>
      </c>
      <c r="E955" s="112"/>
      <c r="F955" s="139" t="s">
        <v>3482</v>
      </c>
      <c r="G955" s="140"/>
      <c r="H955" s="141"/>
      <c r="I955" s="26">
        <v>39180</v>
      </c>
      <c r="J955" s="117"/>
      <c r="K955" s="120"/>
      <c r="L955" s="121"/>
      <c r="M955" s="120"/>
      <c r="N955" s="121"/>
      <c r="O955" s="120"/>
      <c r="P955" s="121"/>
      <c r="Q955" s="120"/>
      <c r="R955" s="121"/>
      <c r="S955" s="120"/>
      <c r="T955" s="121"/>
      <c r="U955" s="120"/>
      <c r="V955" s="123"/>
      <c r="W955" s="125"/>
      <c r="X955" s="142" t="s">
        <v>2321</v>
      </c>
      <c r="Y955" s="143"/>
      <c r="Z955" s="143"/>
      <c r="AA955" s="143"/>
      <c r="AB955" s="144"/>
      <c r="AC955" s="16" t="s">
        <v>21</v>
      </c>
      <c r="AD955" s="17" t="s">
        <v>1809</v>
      </c>
      <c r="AE955" s="145" t="s">
        <v>1742</v>
      </c>
      <c r="AF955" s="146"/>
      <c r="AG955" s="146"/>
      <c r="AH955" s="146"/>
      <c r="AI955" s="147"/>
      <c r="AJ955" s="148"/>
      <c r="AK955" s="143"/>
      <c r="AL955" s="144"/>
      <c r="AM955" s="22" t="s">
        <v>3483</v>
      </c>
      <c r="AN955" s="149"/>
      <c r="AO955" s="144"/>
      <c r="AP955" s="148"/>
      <c r="AQ955" s="144"/>
      <c r="AR955" s="120"/>
      <c r="AS955" s="121"/>
      <c r="AT955" s="120"/>
      <c r="AU955" s="182"/>
      <c r="AV955" s="120"/>
      <c r="AW955" s="121"/>
      <c r="AX955" s="120"/>
      <c r="AY955" s="121"/>
      <c r="AZ955" s="138"/>
    </row>
    <row r="956" spans="1:52" ht="17.100000000000001" customHeight="1" thickTop="1">
      <c r="A956" s="109" t="s">
        <v>6215</v>
      </c>
      <c r="B956" s="28">
        <v>45647</v>
      </c>
      <c r="C956" s="25">
        <v>1475</v>
      </c>
      <c r="D956" s="13" t="s">
        <v>2442</v>
      </c>
      <c r="E956" s="111"/>
      <c r="F956" s="113" t="s">
        <v>2935</v>
      </c>
      <c r="G956" s="114"/>
      <c r="H956" s="115"/>
      <c r="I956" s="24"/>
      <c r="J956" s="116">
        <v>4.5</v>
      </c>
      <c r="K956" s="118">
        <v>1864000</v>
      </c>
      <c r="L956" s="119"/>
      <c r="M956" s="118">
        <f>K956*0.1</f>
        <v>186400</v>
      </c>
      <c r="N956" s="119"/>
      <c r="O956" s="118">
        <v>0</v>
      </c>
      <c r="P956" s="119"/>
      <c r="Q956" s="118">
        <v>16240</v>
      </c>
      <c r="R956" s="119"/>
      <c r="S956" s="118">
        <v>13200</v>
      </c>
      <c r="T956" s="119"/>
      <c r="U956" s="118">
        <f>SUM(K956:T957)</f>
        <v>2079840</v>
      </c>
      <c r="V956" s="122"/>
      <c r="W956" s="124"/>
      <c r="X956" s="126" t="s">
        <v>3484</v>
      </c>
      <c r="Y956" s="127"/>
      <c r="Z956" s="127"/>
      <c r="AA956" s="127"/>
      <c r="AB956" s="128"/>
      <c r="AC956" s="15" t="s">
        <v>20</v>
      </c>
      <c r="AD956" s="129" t="s">
        <v>3485</v>
      </c>
      <c r="AE956" s="130"/>
      <c r="AF956" s="130"/>
      <c r="AG956" s="130"/>
      <c r="AH956" s="130"/>
      <c r="AI956" s="131"/>
      <c r="AJ956" s="132"/>
      <c r="AK956" s="127"/>
      <c r="AL956" s="128"/>
      <c r="AM956" s="21"/>
      <c r="AN956" s="133"/>
      <c r="AO956" s="134"/>
      <c r="AP956" s="135"/>
      <c r="AQ956" s="136"/>
      <c r="AR956" s="118"/>
      <c r="AS956" s="119"/>
      <c r="AT956" s="180">
        <f>AR956*0.1</f>
        <v>0</v>
      </c>
      <c r="AU956" s="181"/>
      <c r="AV956" s="118"/>
      <c r="AW956" s="119"/>
      <c r="AX956" s="118">
        <f>SUM(AR956:AW956)</f>
        <v>0</v>
      </c>
      <c r="AY956" s="119"/>
      <c r="AZ956" s="137"/>
    </row>
    <row r="957" spans="1:52" ht="17.100000000000001" customHeight="1" thickBot="1">
      <c r="A957" s="110"/>
      <c r="B957" s="27" t="s">
        <v>1555</v>
      </c>
      <c r="C957" s="27">
        <v>83073</v>
      </c>
      <c r="D957" s="14" t="s">
        <v>2560</v>
      </c>
      <c r="E957" s="112"/>
      <c r="F957" s="139" t="s">
        <v>3486</v>
      </c>
      <c r="G957" s="140"/>
      <c r="H957" s="141"/>
      <c r="I957" s="26">
        <v>52528</v>
      </c>
      <c r="J957" s="117"/>
      <c r="K957" s="120"/>
      <c r="L957" s="121"/>
      <c r="M957" s="120"/>
      <c r="N957" s="121"/>
      <c r="O957" s="120"/>
      <c r="P957" s="121"/>
      <c r="Q957" s="120"/>
      <c r="R957" s="121"/>
      <c r="S957" s="120"/>
      <c r="T957" s="121"/>
      <c r="U957" s="120"/>
      <c r="V957" s="123"/>
      <c r="W957" s="125"/>
      <c r="X957" s="142" t="s">
        <v>3487</v>
      </c>
      <c r="Y957" s="143"/>
      <c r="Z957" s="143"/>
      <c r="AA957" s="143"/>
      <c r="AB957" s="144"/>
      <c r="AC957" s="16" t="s">
        <v>21</v>
      </c>
      <c r="AD957" s="17" t="s">
        <v>3488</v>
      </c>
      <c r="AE957" s="145" t="s">
        <v>3489</v>
      </c>
      <c r="AF957" s="146"/>
      <c r="AG957" s="146"/>
      <c r="AH957" s="146"/>
      <c r="AI957" s="147"/>
      <c r="AJ957" s="148"/>
      <c r="AK957" s="143"/>
      <c r="AL957" s="144"/>
      <c r="AM957" s="22"/>
      <c r="AN957" s="149"/>
      <c r="AO957" s="144"/>
      <c r="AP957" s="148"/>
      <c r="AQ957" s="144"/>
      <c r="AR957" s="120"/>
      <c r="AS957" s="121"/>
      <c r="AT957" s="120"/>
      <c r="AU957" s="182"/>
      <c r="AV957" s="120"/>
      <c r="AW957" s="121"/>
      <c r="AX957" s="120"/>
      <c r="AY957" s="121"/>
      <c r="AZ957" s="138"/>
    </row>
    <row r="958" spans="1:52" ht="17.100000000000001" customHeight="1" thickTop="1">
      <c r="A958" s="109" t="s">
        <v>6216</v>
      </c>
      <c r="B958" s="28">
        <v>45647</v>
      </c>
      <c r="C958" s="25">
        <v>1232</v>
      </c>
      <c r="D958" s="13" t="s">
        <v>1870</v>
      </c>
      <c r="E958" s="111"/>
      <c r="F958" s="113" t="s">
        <v>2656</v>
      </c>
      <c r="G958" s="114"/>
      <c r="H958" s="115"/>
      <c r="I958" s="24" t="s">
        <v>3490</v>
      </c>
      <c r="J958" s="116">
        <v>4.5</v>
      </c>
      <c r="K958" s="118">
        <v>1245000</v>
      </c>
      <c r="L958" s="119"/>
      <c r="M958" s="118">
        <f>K958*0.1</f>
        <v>124500</v>
      </c>
      <c r="N958" s="119"/>
      <c r="O958" s="118">
        <v>10780</v>
      </c>
      <c r="P958" s="119"/>
      <c r="Q958" s="118">
        <v>17700</v>
      </c>
      <c r="R958" s="119"/>
      <c r="S958" s="118">
        <v>13200</v>
      </c>
      <c r="T958" s="119"/>
      <c r="U958" s="118">
        <f>SUM(K958:T959)</f>
        <v>1411180</v>
      </c>
      <c r="V958" s="122"/>
      <c r="W958" s="124"/>
      <c r="X958" s="126" t="s">
        <v>3491</v>
      </c>
      <c r="Y958" s="127"/>
      <c r="Z958" s="127"/>
      <c r="AA958" s="127"/>
      <c r="AB958" s="128"/>
      <c r="AC958" s="15" t="s">
        <v>20</v>
      </c>
      <c r="AD958" s="129" t="s">
        <v>1633</v>
      </c>
      <c r="AE958" s="130"/>
      <c r="AF958" s="130"/>
      <c r="AG958" s="130"/>
      <c r="AH958" s="130"/>
      <c r="AI958" s="131"/>
      <c r="AJ958" s="132"/>
      <c r="AK958" s="127"/>
      <c r="AL958" s="128"/>
      <c r="AM958" s="21" t="s">
        <v>3492</v>
      </c>
      <c r="AN958" s="133">
        <v>46075</v>
      </c>
      <c r="AO958" s="134"/>
      <c r="AP958" s="135"/>
      <c r="AQ958" s="136"/>
      <c r="AR958" s="118">
        <v>2562000</v>
      </c>
      <c r="AS958" s="119"/>
      <c r="AT958" s="180">
        <v>0</v>
      </c>
      <c r="AU958" s="181"/>
      <c r="AV958" s="118">
        <v>0</v>
      </c>
      <c r="AW958" s="119"/>
      <c r="AX958" s="118">
        <f>SUM(AR958:AW958)</f>
        <v>2562000</v>
      </c>
      <c r="AY958" s="119"/>
      <c r="AZ958" s="137">
        <v>46110</v>
      </c>
    </row>
    <row r="959" spans="1:52" ht="17.100000000000001" customHeight="1" thickBot="1">
      <c r="A959" s="110"/>
      <c r="B959" s="27" t="s">
        <v>2511</v>
      </c>
      <c r="C959" s="27">
        <v>82079</v>
      </c>
      <c r="D959" s="14" t="s">
        <v>133</v>
      </c>
      <c r="E959" s="112"/>
      <c r="F959" s="139" t="s">
        <v>3493</v>
      </c>
      <c r="G959" s="140"/>
      <c r="H959" s="141"/>
      <c r="I959" s="26">
        <v>42712</v>
      </c>
      <c r="J959" s="117"/>
      <c r="K959" s="120"/>
      <c r="L959" s="121"/>
      <c r="M959" s="120"/>
      <c r="N959" s="121"/>
      <c r="O959" s="120"/>
      <c r="P959" s="121"/>
      <c r="Q959" s="120"/>
      <c r="R959" s="121"/>
      <c r="S959" s="120"/>
      <c r="T959" s="121"/>
      <c r="U959" s="120"/>
      <c r="V959" s="123"/>
      <c r="W959" s="125"/>
      <c r="X959" s="142" t="s">
        <v>3494</v>
      </c>
      <c r="Y959" s="143"/>
      <c r="Z959" s="143"/>
      <c r="AA959" s="143"/>
      <c r="AB959" s="144"/>
      <c r="AC959" s="16" t="s">
        <v>21</v>
      </c>
      <c r="AD959" s="17" t="s">
        <v>3488</v>
      </c>
      <c r="AE959" s="145" t="s">
        <v>1742</v>
      </c>
      <c r="AF959" s="146"/>
      <c r="AG959" s="146"/>
      <c r="AH959" s="146"/>
      <c r="AI959" s="147"/>
      <c r="AJ959" s="148"/>
      <c r="AK959" s="143"/>
      <c r="AL959" s="144"/>
      <c r="AM959" s="22"/>
      <c r="AN959" s="149" t="s">
        <v>24632</v>
      </c>
      <c r="AO959" s="144"/>
      <c r="AP959" s="148"/>
      <c r="AQ959" s="144"/>
      <c r="AR959" s="120"/>
      <c r="AS959" s="121"/>
      <c r="AT959" s="120"/>
      <c r="AU959" s="182"/>
      <c r="AV959" s="120"/>
      <c r="AW959" s="121"/>
      <c r="AX959" s="120"/>
      <c r="AY959" s="121"/>
      <c r="AZ959" s="138"/>
    </row>
    <row r="960" spans="1:52" ht="17.100000000000001" customHeight="1" thickTop="1">
      <c r="A960" s="109" t="s">
        <v>6217</v>
      </c>
      <c r="B960" s="28">
        <v>45649</v>
      </c>
      <c r="C960" s="25">
        <v>2025</v>
      </c>
      <c r="D960" s="13" t="s">
        <v>1725</v>
      </c>
      <c r="E960" s="111"/>
      <c r="F960" s="113" t="s">
        <v>3495</v>
      </c>
      <c r="G960" s="114"/>
      <c r="H960" s="115"/>
      <c r="I960" s="24" t="s">
        <v>3399</v>
      </c>
      <c r="J960" s="116">
        <v>4</v>
      </c>
      <c r="K960" s="118">
        <v>2200000</v>
      </c>
      <c r="L960" s="119"/>
      <c r="M960" s="118">
        <f>K960*0.1</f>
        <v>220000</v>
      </c>
      <c r="N960" s="119"/>
      <c r="O960" s="118">
        <f>9800+980</f>
        <v>10780</v>
      </c>
      <c r="P960" s="119"/>
      <c r="Q960" s="118">
        <v>19090</v>
      </c>
      <c r="R960" s="119"/>
      <c r="S960" s="118">
        <v>11000</v>
      </c>
      <c r="T960" s="119"/>
      <c r="U960" s="118">
        <f>SUM(K960:T961)</f>
        <v>2460870</v>
      </c>
      <c r="V960" s="122"/>
      <c r="W960" s="124"/>
      <c r="X960" s="126" t="s">
        <v>3496</v>
      </c>
      <c r="Y960" s="127"/>
      <c r="Z960" s="127"/>
      <c r="AA960" s="127"/>
      <c r="AB960" s="128"/>
      <c r="AC960" s="15" t="s">
        <v>20</v>
      </c>
      <c r="AD960" s="129"/>
      <c r="AE960" s="130"/>
      <c r="AF960" s="130"/>
      <c r="AG960" s="130"/>
      <c r="AH960" s="130"/>
      <c r="AI960" s="131"/>
      <c r="AJ960" s="183"/>
      <c r="AK960" s="127"/>
      <c r="AL960" s="128"/>
      <c r="AM960" s="21" t="s">
        <v>3497</v>
      </c>
      <c r="AN960" s="133"/>
      <c r="AO960" s="134"/>
      <c r="AP960" s="135"/>
      <c r="AQ960" s="136"/>
      <c r="AR960" s="118"/>
      <c r="AS960" s="119"/>
      <c r="AT960" s="180">
        <f>AR960*0.1</f>
        <v>0</v>
      </c>
      <c r="AU960" s="181"/>
      <c r="AV960" s="118"/>
      <c r="AW960" s="119"/>
      <c r="AX960" s="118">
        <f>SUM(AR960:AW960)</f>
        <v>0</v>
      </c>
      <c r="AY960" s="119"/>
      <c r="AZ960" s="137"/>
    </row>
    <row r="961" spans="1:52" ht="17.100000000000001" customHeight="1" thickBot="1">
      <c r="A961" s="110"/>
      <c r="B961" s="27" t="s">
        <v>83</v>
      </c>
      <c r="C961" s="27">
        <v>34503</v>
      </c>
      <c r="D961" s="14" t="s">
        <v>2206</v>
      </c>
      <c r="E961" s="112"/>
      <c r="F961" s="139" t="s">
        <v>3498</v>
      </c>
      <c r="G961" s="140"/>
      <c r="H961" s="141"/>
      <c r="I961" s="26">
        <v>10929</v>
      </c>
      <c r="J961" s="117"/>
      <c r="K961" s="120"/>
      <c r="L961" s="121"/>
      <c r="M961" s="120"/>
      <c r="N961" s="121"/>
      <c r="O961" s="120"/>
      <c r="P961" s="121"/>
      <c r="Q961" s="120"/>
      <c r="R961" s="121"/>
      <c r="S961" s="120"/>
      <c r="T961" s="121"/>
      <c r="U961" s="120"/>
      <c r="V961" s="123"/>
      <c r="W961" s="125"/>
      <c r="X961" s="142" t="s">
        <v>3499</v>
      </c>
      <c r="Y961" s="143"/>
      <c r="Z961" s="143"/>
      <c r="AA961" s="143"/>
      <c r="AB961" s="144"/>
      <c r="AC961" s="16" t="s">
        <v>21</v>
      </c>
      <c r="AD961" s="17" t="s">
        <v>2914</v>
      </c>
      <c r="AE961" s="145" t="s">
        <v>3500</v>
      </c>
      <c r="AF961" s="146"/>
      <c r="AG961" s="146"/>
      <c r="AH961" s="146"/>
      <c r="AI961" s="147"/>
      <c r="AJ961" s="148" t="s">
        <v>3501</v>
      </c>
      <c r="AK961" s="143"/>
      <c r="AL961" s="144"/>
      <c r="AM961" s="22"/>
      <c r="AN961" s="149"/>
      <c r="AO961" s="144"/>
      <c r="AP961" s="148"/>
      <c r="AQ961" s="144"/>
      <c r="AR961" s="120"/>
      <c r="AS961" s="121"/>
      <c r="AT961" s="120"/>
      <c r="AU961" s="182"/>
      <c r="AV961" s="120"/>
      <c r="AW961" s="121"/>
      <c r="AX961" s="120"/>
      <c r="AY961" s="121"/>
      <c r="AZ961" s="138"/>
    </row>
    <row r="962" spans="1:52" ht="17.100000000000001" customHeight="1" thickTop="1">
      <c r="A962" s="109" t="s">
        <v>6218</v>
      </c>
      <c r="B962" s="28">
        <v>45670</v>
      </c>
      <c r="C962" s="25"/>
      <c r="D962" s="13" t="s">
        <v>1863</v>
      </c>
      <c r="E962" s="111"/>
      <c r="F962" s="113" t="s">
        <v>3002</v>
      </c>
      <c r="G962" s="114"/>
      <c r="H962" s="115"/>
      <c r="I962" s="24" t="s">
        <v>3502</v>
      </c>
      <c r="J962" s="116">
        <v>3.5</v>
      </c>
      <c r="K962" s="118">
        <v>730000</v>
      </c>
      <c r="L962" s="119"/>
      <c r="M962" s="118">
        <f>K962*0.1</f>
        <v>73000</v>
      </c>
      <c r="N962" s="119"/>
      <c r="O962" s="118">
        <v>6270</v>
      </c>
      <c r="P962" s="119"/>
      <c r="Q962" s="118">
        <v>18960</v>
      </c>
      <c r="R962" s="119"/>
      <c r="S962" s="118">
        <v>14850</v>
      </c>
      <c r="T962" s="119"/>
      <c r="U962" s="118">
        <f>SUM(K962:T963)</f>
        <v>843080</v>
      </c>
      <c r="V962" s="122"/>
      <c r="W962" s="124"/>
      <c r="X962" s="126" t="s">
        <v>3503</v>
      </c>
      <c r="Y962" s="127"/>
      <c r="Z962" s="127"/>
      <c r="AA962" s="127"/>
      <c r="AB962" s="128"/>
      <c r="AC962" s="15" t="s">
        <v>20</v>
      </c>
      <c r="AD962" s="129"/>
      <c r="AE962" s="130"/>
      <c r="AF962" s="130"/>
      <c r="AG962" s="130"/>
      <c r="AH962" s="130"/>
      <c r="AI962" s="131"/>
      <c r="AJ962" s="132"/>
      <c r="AK962" s="127"/>
      <c r="AL962" s="128"/>
      <c r="AM962" s="21" t="s">
        <v>3504</v>
      </c>
      <c r="AN962" s="133"/>
      <c r="AO962" s="134"/>
      <c r="AP962" s="135"/>
      <c r="AQ962" s="136"/>
      <c r="AR962" s="118"/>
      <c r="AS962" s="119"/>
      <c r="AT962" s="180">
        <f>AR962*0.1</f>
        <v>0</v>
      </c>
      <c r="AU962" s="181"/>
      <c r="AV962" s="118"/>
      <c r="AW962" s="119"/>
      <c r="AX962" s="118">
        <f>SUM(AR962:AW962)</f>
        <v>0</v>
      </c>
      <c r="AY962" s="119"/>
      <c r="AZ962" s="137"/>
    </row>
    <row r="963" spans="1:52" ht="17.100000000000001" customHeight="1" thickBot="1">
      <c r="A963" s="110"/>
      <c r="B963" s="27" t="s">
        <v>2774</v>
      </c>
      <c r="C963" s="27">
        <v>70402</v>
      </c>
      <c r="D963" s="14" t="s">
        <v>904</v>
      </c>
      <c r="E963" s="112"/>
      <c r="F963" s="139" t="s">
        <v>3505</v>
      </c>
      <c r="G963" s="140"/>
      <c r="H963" s="141"/>
      <c r="I963" s="26">
        <v>48887</v>
      </c>
      <c r="J963" s="117"/>
      <c r="K963" s="120"/>
      <c r="L963" s="121"/>
      <c r="M963" s="120"/>
      <c r="N963" s="121"/>
      <c r="O963" s="120"/>
      <c r="P963" s="121"/>
      <c r="Q963" s="120"/>
      <c r="R963" s="121"/>
      <c r="S963" s="120"/>
      <c r="T963" s="121"/>
      <c r="U963" s="120"/>
      <c r="V963" s="123"/>
      <c r="W963" s="125"/>
      <c r="X963" s="142" t="s">
        <v>3506</v>
      </c>
      <c r="Y963" s="143"/>
      <c r="Z963" s="143"/>
      <c r="AA963" s="143"/>
      <c r="AB963" s="144"/>
      <c r="AC963" s="16" t="s">
        <v>21</v>
      </c>
      <c r="AD963" s="17" t="s">
        <v>2310</v>
      </c>
      <c r="AE963" s="145" t="s">
        <v>3507</v>
      </c>
      <c r="AF963" s="146"/>
      <c r="AG963" s="146"/>
      <c r="AH963" s="146"/>
      <c r="AI963" s="147"/>
      <c r="AJ963" s="148"/>
      <c r="AK963" s="143"/>
      <c r="AL963" s="144"/>
      <c r="AM963" s="22"/>
      <c r="AN963" s="149"/>
      <c r="AO963" s="144"/>
      <c r="AP963" s="148"/>
      <c r="AQ963" s="144"/>
      <c r="AR963" s="120"/>
      <c r="AS963" s="121"/>
      <c r="AT963" s="120"/>
      <c r="AU963" s="182"/>
      <c r="AV963" s="120"/>
      <c r="AW963" s="121"/>
      <c r="AX963" s="120"/>
      <c r="AY963" s="121"/>
      <c r="AZ963" s="138"/>
    </row>
    <row r="964" spans="1:52" ht="17.100000000000001" customHeight="1" thickTop="1">
      <c r="A964" s="109" t="s">
        <v>6219</v>
      </c>
      <c r="B964" s="28">
        <v>45671</v>
      </c>
      <c r="C964" s="25">
        <v>1028</v>
      </c>
      <c r="D964" s="13" t="s">
        <v>2737</v>
      </c>
      <c r="E964" s="111"/>
      <c r="F964" s="113" t="s">
        <v>3508</v>
      </c>
      <c r="G964" s="114"/>
      <c r="H964" s="115"/>
      <c r="I964" s="24" t="s">
        <v>3509</v>
      </c>
      <c r="J964" s="116">
        <v>4.5</v>
      </c>
      <c r="K964" s="118">
        <v>2565000</v>
      </c>
      <c r="L964" s="119"/>
      <c r="M964" s="118">
        <f>K964*0.1</f>
        <v>256500</v>
      </c>
      <c r="N964" s="119"/>
      <c r="O964" s="118">
        <f>6000+600</f>
        <v>6600</v>
      </c>
      <c r="P964" s="119"/>
      <c r="Q964" s="118">
        <v>17800</v>
      </c>
      <c r="R964" s="119"/>
      <c r="S964" s="118">
        <v>13200</v>
      </c>
      <c r="T964" s="119"/>
      <c r="U964" s="118">
        <f>SUM(K964:T965)</f>
        <v>2859100</v>
      </c>
      <c r="V964" s="122"/>
      <c r="W964" s="124"/>
      <c r="X964" s="126" t="s">
        <v>3510</v>
      </c>
      <c r="Y964" s="127"/>
      <c r="Z964" s="127"/>
      <c r="AA964" s="127"/>
      <c r="AB964" s="128"/>
      <c r="AC964" s="15" t="s">
        <v>20</v>
      </c>
      <c r="AD964" s="129" t="s">
        <v>1609</v>
      </c>
      <c r="AE964" s="130"/>
      <c r="AF964" s="130"/>
      <c r="AG964" s="130"/>
      <c r="AH964" s="130"/>
      <c r="AI964" s="131"/>
      <c r="AJ964" s="132"/>
      <c r="AK964" s="127"/>
      <c r="AL964" s="128"/>
      <c r="AM964" s="21" t="s">
        <v>3511</v>
      </c>
      <c r="AN964" s="133">
        <v>46377</v>
      </c>
      <c r="AO964" s="134"/>
      <c r="AP964" s="135"/>
      <c r="AQ964" s="136"/>
      <c r="AR964" s="118">
        <v>3431300</v>
      </c>
      <c r="AS964" s="119"/>
      <c r="AT964" s="180">
        <v>0</v>
      </c>
      <c r="AU964" s="181"/>
      <c r="AV964" s="118">
        <v>0</v>
      </c>
      <c r="AW964" s="119"/>
      <c r="AX964" s="118">
        <f>SUM(AR964:AW964)</f>
        <v>3431300</v>
      </c>
      <c r="AY964" s="119"/>
      <c r="AZ964" s="137">
        <v>46046</v>
      </c>
    </row>
    <row r="965" spans="1:52" ht="17.100000000000001" customHeight="1" thickBot="1">
      <c r="A965" s="110"/>
      <c r="B965" s="27" t="s">
        <v>1591</v>
      </c>
      <c r="C965" s="27">
        <v>82068</v>
      </c>
      <c r="D965" s="14" t="s">
        <v>1592</v>
      </c>
      <c r="E965" s="112"/>
      <c r="F965" s="139" t="s">
        <v>3512</v>
      </c>
      <c r="G965" s="140"/>
      <c r="H965" s="141"/>
      <c r="I965" s="26">
        <v>26224</v>
      </c>
      <c r="J965" s="117"/>
      <c r="K965" s="120"/>
      <c r="L965" s="121"/>
      <c r="M965" s="120"/>
      <c r="N965" s="121"/>
      <c r="O965" s="120"/>
      <c r="P965" s="121"/>
      <c r="Q965" s="120"/>
      <c r="R965" s="121"/>
      <c r="S965" s="120"/>
      <c r="T965" s="121"/>
      <c r="U965" s="120"/>
      <c r="V965" s="123"/>
      <c r="W965" s="125"/>
      <c r="X965" s="142" t="s">
        <v>3513</v>
      </c>
      <c r="Y965" s="143"/>
      <c r="Z965" s="143"/>
      <c r="AA965" s="143"/>
      <c r="AB965" s="144"/>
      <c r="AC965" s="16" t="s">
        <v>21</v>
      </c>
      <c r="AD965" s="17" t="s">
        <v>3514</v>
      </c>
      <c r="AE965" s="145" t="s">
        <v>1742</v>
      </c>
      <c r="AF965" s="146"/>
      <c r="AG965" s="146"/>
      <c r="AH965" s="146"/>
      <c r="AI965" s="147"/>
      <c r="AJ965" s="148"/>
      <c r="AK965" s="143"/>
      <c r="AL965" s="144"/>
      <c r="AM965" s="22"/>
      <c r="AN965" s="149" t="s">
        <v>17465</v>
      </c>
      <c r="AO965" s="144"/>
      <c r="AP965" s="148"/>
      <c r="AQ965" s="144"/>
      <c r="AR965" s="120"/>
      <c r="AS965" s="121"/>
      <c r="AT965" s="120"/>
      <c r="AU965" s="182"/>
      <c r="AV965" s="120"/>
      <c r="AW965" s="121"/>
      <c r="AX965" s="120"/>
      <c r="AY965" s="121"/>
      <c r="AZ965" s="138"/>
    </row>
    <row r="966" spans="1:52" ht="17.100000000000001" customHeight="1" thickTop="1">
      <c r="A966" s="109" t="s">
        <v>6220</v>
      </c>
      <c r="B966" s="28">
        <v>45671</v>
      </c>
      <c r="C966" s="25">
        <v>1028</v>
      </c>
      <c r="D966" s="13" t="s">
        <v>1649</v>
      </c>
      <c r="E966" s="111"/>
      <c r="F966" s="113" t="s">
        <v>3515</v>
      </c>
      <c r="G966" s="114"/>
      <c r="H966" s="115"/>
      <c r="I966" s="24" t="s">
        <v>2858</v>
      </c>
      <c r="J966" s="116">
        <v>4</v>
      </c>
      <c r="K966" s="118">
        <v>1900000</v>
      </c>
      <c r="L966" s="119"/>
      <c r="M966" s="118">
        <f>K966*0.1</f>
        <v>190000</v>
      </c>
      <c r="N966" s="119"/>
      <c r="O966" s="118">
        <f>6500+650</f>
        <v>7150</v>
      </c>
      <c r="P966" s="119"/>
      <c r="Q966" s="118">
        <v>13210</v>
      </c>
      <c r="R966" s="119"/>
      <c r="S966" s="118">
        <v>24200</v>
      </c>
      <c r="T966" s="119"/>
      <c r="U966" s="118">
        <f>SUM(K966:T967)</f>
        <v>2134560</v>
      </c>
      <c r="V966" s="122"/>
      <c r="W966" s="124"/>
      <c r="X966" s="126" t="s">
        <v>3516</v>
      </c>
      <c r="Y966" s="127"/>
      <c r="Z966" s="127"/>
      <c r="AA966" s="127"/>
      <c r="AB966" s="128"/>
      <c r="AC966" s="15" t="s">
        <v>20</v>
      </c>
      <c r="AD966" s="129" t="s">
        <v>3517</v>
      </c>
      <c r="AE966" s="130"/>
      <c r="AF966" s="130"/>
      <c r="AG966" s="130"/>
      <c r="AH966" s="130"/>
      <c r="AI966" s="131"/>
      <c r="AJ966" s="132"/>
      <c r="AK966" s="127"/>
      <c r="AL966" s="128"/>
      <c r="AM966" s="21" t="s">
        <v>3518</v>
      </c>
      <c r="AN966" s="133"/>
      <c r="AO966" s="134"/>
      <c r="AP966" s="135"/>
      <c r="AQ966" s="136"/>
      <c r="AR966" s="118"/>
      <c r="AS966" s="119"/>
      <c r="AT966" s="180">
        <f>AR966*0.1</f>
        <v>0</v>
      </c>
      <c r="AU966" s="181"/>
      <c r="AV966" s="118"/>
      <c r="AW966" s="119"/>
      <c r="AX966" s="118">
        <f>SUM(AR966:AW966)</f>
        <v>0</v>
      </c>
      <c r="AY966" s="119"/>
      <c r="AZ966" s="137"/>
    </row>
    <row r="967" spans="1:52" ht="17.100000000000001" customHeight="1" thickBot="1">
      <c r="A967" s="110"/>
      <c r="B967" s="27" t="s">
        <v>1591</v>
      </c>
      <c r="C967" s="27">
        <v>90160</v>
      </c>
      <c r="D967" s="14" t="s">
        <v>133</v>
      </c>
      <c r="E967" s="112"/>
      <c r="F967" s="139" t="s">
        <v>3519</v>
      </c>
      <c r="G967" s="140"/>
      <c r="H967" s="141"/>
      <c r="I967" s="26">
        <v>42295</v>
      </c>
      <c r="J967" s="117"/>
      <c r="K967" s="120"/>
      <c r="L967" s="121"/>
      <c r="M967" s="120"/>
      <c r="N967" s="121"/>
      <c r="O967" s="120"/>
      <c r="P967" s="121"/>
      <c r="Q967" s="120"/>
      <c r="R967" s="121"/>
      <c r="S967" s="120"/>
      <c r="T967" s="121"/>
      <c r="U967" s="120"/>
      <c r="V967" s="123"/>
      <c r="W967" s="125"/>
      <c r="X967" s="142" t="s">
        <v>1861</v>
      </c>
      <c r="Y967" s="143"/>
      <c r="Z967" s="143"/>
      <c r="AA967" s="143"/>
      <c r="AB967" s="144"/>
      <c r="AC967" s="16" t="s">
        <v>21</v>
      </c>
      <c r="AD967" s="17" t="s">
        <v>1822</v>
      </c>
      <c r="AE967" s="145" t="s">
        <v>1742</v>
      </c>
      <c r="AF967" s="146"/>
      <c r="AG967" s="146"/>
      <c r="AH967" s="146"/>
      <c r="AI967" s="147"/>
      <c r="AJ967" s="148"/>
      <c r="AK967" s="143"/>
      <c r="AL967" s="144"/>
      <c r="AM967" s="22"/>
      <c r="AN967" s="149"/>
      <c r="AO967" s="144"/>
      <c r="AP967" s="148"/>
      <c r="AQ967" s="144"/>
      <c r="AR967" s="120"/>
      <c r="AS967" s="121"/>
      <c r="AT967" s="120"/>
      <c r="AU967" s="182"/>
      <c r="AV967" s="120"/>
      <c r="AW967" s="121"/>
      <c r="AX967" s="120"/>
      <c r="AY967" s="121"/>
      <c r="AZ967" s="138"/>
    </row>
    <row r="968" spans="1:52" ht="17.100000000000001" customHeight="1" thickTop="1">
      <c r="A968" s="109" t="s">
        <v>6221</v>
      </c>
      <c r="B968" s="28">
        <v>45681</v>
      </c>
      <c r="C968" s="25"/>
      <c r="D968" s="13" t="s">
        <v>2329</v>
      </c>
      <c r="E968" s="111"/>
      <c r="F968" s="113" t="s">
        <v>2950</v>
      </c>
      <c r="G968" s="114"/>
      <c r="H968" s="115"/>
      <c r="I968" s="24" t="s">
        <v>3520</v>
      </c>
      <c r="J968" s="116">
        <v>4</v>
      </c>
      <c r="K968" s="118">
        <f>3982000/1.1</f>
        <v>3619999.9999999995</v>
      </c>
      <c r="L968" s="119"/>
      <c r="M968" s="118">
        <f>K968*0.1</f>
        <v>362000</v>
      </c>
      <c r="N968" s="119"/>
      <c r="O968" s="118">
        <v>3600</v>
      </c>
      <c r="P968" s="119"/>
      <c r="Q968" s="118">
        <v>14900</v>
      </c>
      <c r="R968" s="119"/>
      <c r="S968" s="118">
        <v>154550</v>
      </c>
      <c r="T968" s="119"/>
      <c r="U968" s="118">
        <f>SUM(K968:T969)</f>
        <v>4155049.9999999995</v>
      </c>
      <c r="V968" s="122"/>
      <c r="W968" s="124"/>
      <c r="X968" s="126" t="s">
        <v>3521</v>
      </c>
      <c r="Y968" s="127"/>
      <c r="Z968" s="127"/>
      <c r="AA968" s="127"/>
      <c r="AB968" s="128"/>
      <c r="AC968" s="15" t="s">
        <v>20</v>
      </c>
      <c r="AD968" s="129" t="s">
        <v>1670</v>
      </c>
      <c r="AE968" s="130"/>
      <c r="AF968" s="130"/>
      <c r="AG968" s="130"/>
      <c r="AH968" s="130"/>
      <c r="AI968" s="131"/>
      <c r="AJ968" s="132"/>
      <c r="AK968" s="127"/>
      <c r="AL968" s="128"/>
      <c r="AM968" s="21" t="s">
        <v>3522</v>
      </c>
      <c r="AN968" s="133"/>
      <c r="AO968" s="134"/>
      <c r="AP968" s="135"/>
      <c r="AQ968" s="136"/>
      <c r="AR968" s="118"/>
      <c r="AS968" s="119"/>
      <c r="AT968" s="180">
        <f>AR968*0.1</f>
        <v>0</v>
      </c>
      <c r="AU968" s="181"/>
      <c r="AV968" s="118"/>
      <c r="AW968" s="119"/>
      <c r="AX968" s="118">
        <f>SUM(AR968:AW968)</f>
        <v>0</v>
      </c>
      <c r="AY968" s="119"/>
      <c r="AZ968" s="137"/>
    </row>
    <row r="969" spans="1:52" ht="17.100000000000001" customHeight="1" thickBot="1">
      <c r="A969" s="110"/>
      <c r="B969" s="27" t="s">
        <v>1718</v>
      </c>
      <c r="C969" s="27" t="s">
        <v>3523</v>
      </c>
      <c r="D969" s="14" t="s">
        <v>275</v>
      </c>
      <c r="E969" s="112"/>
      <c r="F969" s="139" t="s">
        <v>3524</v>
      </c>
      <c r="G969" s="140"/>
      <c r="H969" s="141"/>
      <c r="I969" s="26">
        <v>35326</v>
      </c>
      <c r="J969" s="117"/>
      <c r="K969" s="120"/>
      <c r="L969" s="121"/>
      <c r="M969" s="120"/>
      <c r="N969" s="121"/>
      <c r="O969" s="120"/>
      <c r="P969" s="121"/>
      <c r="Q969" s="120"/>
      <c r="R969" s="121"/>
      <c r="S969" s="120"/>
      <c r="T969" s="121"/>
      <c r="U969" s="120"/>
      <c r="V969" s="123"/>
      <c r="W969" s="125"/>
      <c r="X969" s="142" t="s">
        <v>3525</v>
      </c>
      <c r="Y969" s="143"/>
      <c r="Z969" s="143"/>
      <c r="AA969" s="143"/>
      <c r="AB969" s="144"/>
      <c r="AC969" s="16" t="s">
        <v>21</v>
      </c>
      <c r="AD969" s="17" t="s">
        <v>1877</v>
      </c>
      <c r="AE969" s="145" t="s">
        <v>25614</v>
      </c>
      <c r="AF969" s="146"/>
      <c r="AG969" s="146"/>
      <c r="AH969" s="146"/>
      <c r="AI969" s="147"/>
      <c r="AJ969" s="148"/>
      <c r="AK969" s="143"/>
      <c r="AL969" s="144"/>
      <c r="AM969" s="22"/>
      <c r="AN969" s="149"/>
      <c r="AO969" s="144"/>
      <c r="AP969" s="148"/>
      <c r="AQ969" s="144"/>
      <c r="AR969" s="120"/>
      <c r="AS969" s="121"/>
      <c r="AT969" s="120"/>
      <c r="AU969" s="182"/>
      <c r="AV969" s="120"/>
      <c r="AW969" s="121"/>
      <c r="AX969" s="120"/>
      <c r="AY969" s="121"/>
      <c r="AZ969" s="138"/>
    </row>
    <row r="970" spans="1:52" ht="17.100000000000001" customHeight="1" thickTop="1">
      <c r="A970" s="109" t="s">
        <v>6222</v>
      </c>
      <c r="B970" s="28">
        <v>45681</v>
      </c>
      <c r="C970" s="25">
        <v>1354</v>
      </c>
      <c r="D970" s="13" t="s">
        <v>2458</v>
      </c>
      <c r="E970" s="111"/>
      <c r="F970" s="113" t="s">
        <v>3526</v>
      </c>
      <c r="G970" s="114"/>
      <c r="H970" s="115"/>
      <c r="I970" s="24"/>
      <c r="J970" s="116">
        <v>4</v>
      </c>
      <c r="K970" s="118">
        <v>1240000</v>
      </c>
      <c r="L970" s="119"/>
      <c r="M970" s="118">
        <f>K970*0.1</f>
        <v>124000</v>
      </c>
      <c r="N970" s="119"/>
      <c r="O970" s="118">
        <v>0</v>
      </c>
      <c r="P970" s="119"/>
      <c r="Q970" s="118">
        <v>22240</v>
      </c>
      <c r="R970" s="119"/>
      <c r="S970" s="118">
        <v>19800</v>
      </c>
      <c r="T970" s="119"/>
      <c r="U970" s="118">
        <f>SUM(K970:T971)</f>
        <v>1406040</v>
      </c>
      <c r="V970" s="122"/>
      <c r="W970" s="124"/>
      <c r="X970" s="126" t="s">
        <v>3527</v>
      </c>
      <c r="Y970" s="127"/>
      <c r="Z970" s="127"/>
      <c r="AA970" s="127"/>
      <c r="AB970" s="128"/>
      <c r="AC970" s="15" t="s">
        <v>20</v>
      </c>
      <c r="AD970" s="129"/>
      <c r="AE970" s="130"/>
      <c r="AF970" s="130"/>
      <c r="AG970" s="130"/>
      <c r="AH970" s="130"/>
      <c r="AI970" s="131"/>
      <c r="AJ970" s="132"/>
      <c r="AK970" s="127"/>
      <c r="AL970" s="128"/>
      <c r="AM970" s="21"/>
      <c r="AN970" s="133"/>
      <c r="AO970" s="134"/>
      <c r="AP970" s="135"/>
      <c r="AQ970" s="136"/>
      <c r="AR970" s="118"/>
      <c r="AS970" s="119"/>
      <c r="AT970" s="180">
        <f>AR970*0.1</f>
        <v>0</v>
      </c>
      <c r="AU970" s="181"/>
      <c r="AV970" s="118"/>
      <c r="AW970" s="119"/>
      <c r="AX970" s="118">
        <f>SUM(AR970:AW970)</f>
        <v>0</v>
      </c>
      <c r="AY970" s="119"/>
      <c r="AZ970" s="137"/>
    </row>
    <row r="971" spans="1:52" ht="17.100000000000001" customHeight="1" thickBot="1">
      <c r="A971" s="110"/>
      <c r="B971" s="27" t="s">
        <v>2641</v>
      </c>
      <c r="C971" s="27">
        <v>7062</v>
      </c>
      <c r="D971" s="14" t="s">
        <v>1576</v>
      </c>
      <c r="E971" s="112"/>
      <c r="F971" s="139" t="s">
        <v>3528</v>
      </c>
      <c r="G971" s="140"/>
      <c r="H971" s="141"/>
      <c r="I971" s="26">
        <v>37824</v>
      </c>
      <c r="J971" s="117"/>
      <c r="K971" s="120"/>
      <c r="L971" s="121"/>
      <c r="M971" s="120"/>
      <c r="N971" s="121"/>
      <c r="O971" s="120"/>
      <c r="P971" s="121"/>
      <c r="Q971" s="120"/>
      <c r="R971" s="121"/>
      <c r="S971" s="120"/>
      <c r="T971" s="121"/>
      <c r="U971" s="120"/>
      <c r="V971" s="123"/>
      <c r="W971" s="125"/>
      <c r="X971" s="142" t="s">
        <v>3529</v>
      </c>
      <c r="Y971" s="143"/>
      <c r="Z971" s="143"/>
      <c r="AA971" s="143"/>
      <c r="AB971" s="144"/>
      <c r="AC971" s="16" t="s">
        <v>21</v>
      </c>
      <c r="AD971" s="17" t="s">
        <v>3530</v>
      </c>
      <c r="AE971" s="145" t="s">
        <v>3531</v>
      </c>
      <c r="AF971" s="146"/>
      <c r="AG971" s="146"/>
      <c r="AH971" s="146"/>
      <c r="AI971" s="147"/>
      <c r="AJ971" s="148"/>
      <c r="AK971" s="143"/>
      <c r="AL971" s="144"/>
      <c r="AM971" s="22"/>
      <c r="AN971" s="149"/>
      <c r="AO971" s="144"/>
      <c r="AP971" s="148"/>
      <c r="AQ971" s="144"/>
      <c r="AR971" s="120"/>
      <c r="AS971" s="121"/>
      <c r="AT971" s="120"/>
      <c r="AU971" s="182"/>
      <c r="AV971" s="120"/>
      <c r="AW971" s="121"/>
      <c r="AX971" s="120"/>
      <c r="AY971" s="121"/>
      <c r="AZ971" s="138"/>
    </row>
    <row r="972" spans="1:52" ht="17.100000000000001" customHeight="1" thickTop="1">
      <c r="A972" s="109" t="s">
        <v>6223</v>
      </c>
      <c r="B972" s="28">
        <v>45682</v>
      </c>
      <c r="C972" s="25">
        <v>1236</v>
      </c>
      <c r="D972" s="13" t="s">
        <v>2092</v>
      </c>
      <c r="E972" s="111"/>
      <c r="F972" s="113" t="s">
        <v>3532</v>
      </c>
      <c r="G972" s="114"/>
      <c r="H972" s="115"/>
      <c r="I972" s="24"/>
      <c r="J972" s="116">
        <v>4</v>
      </c>
      <c r="K972" s="118">
        <v>1060000</v>
      </c>
      <c r="L972" s="119"/>
      <c r="M972" s="118">
        <f>K972*0.1</f>
        <v>106000</v>
      </c>
      <c r="N972" s="119"/>
      <c r="O972" s="118">
        <v>0</v>
      </c>
      <c r="P972" s="119"/>
      <c r="Q972" s="118">
        <v>8790</v>
      </c>
      <c r="R972" s="119"/>
      <c r="S972" s="118">
        <v>12100</v>
      </c>
      <c r="T972" s="119"/>
      <c r="U972" s="118">
        <f>SUM(K972:T973)</f>
        <v>1186890</v>
      </c>
      <c r="V972" s="122"/>
      <c r="W972" s="124"/>
      <c r="X972" s="126" t="s">
        <v>3533</v>
      </c>
      <c r="Y972" s="127"/>
      <c r="Z972" s="127"/>
      <c r="AA972" s="127"/>
      <c r="AB972" s="128"/>
      <c r="AC972" s="15" t="s">
        <v>20</v>
      </c>
      <c r="AD972" s="129" t="s">
        <v>1670</v>
      </c>
      <c r="AE972" s="130"/>
      <c r="AF972" s="130"/>
      <c r="AG972" s="130"/>
      <c r="AH972" s="130"/>
      <c r="AI972" s="131"/>
      <c r="AJ972" s="132"/>
      <c r="AK972" s="127"/>
      <c r="AL972" s="128"/>
      <c r="AM972" s="21"/>
      <c r="AN972" s="133">
        <v>46043</v>
      </c>
      <c r="AO972" s="134"/>
      <c r="AP972" s="135"/>
      <c r="AQ972" s="136"/>
      <c r="AR972" s="118">
        <v>1280000</v>
      </c>
      <c r="AS972" s="119"/>
      <c r="AT972" s="180">
        <f>AR972*0.1</f>
        <v>128000</v>
      </c>
      <c r="AU972" s="181"/>
      <c r="AV972" s="118">
        <v>8790</v>
      </c>
      <c r="AW972" s="119"/>
      <c r="AX972" s="118">
        <f>SUM(AR972:AW972)</f>
        <v>1416790</v>
      </c>
      <c r="AY972" s="119"/>
      <c r="AZ972" s="137"/>
    </row>
    <row r="973" spans="1:52" ht="17.100000000000001" customHeight="1" thickBot="1">
      <c r="A973" s="110"/>
      <c r="B973" s="27" t="s">
        <v>2511</v>
      </c>
      <c r="C973" s="27">
        <v>65515</v>
      </c>
      <c r="D973" s="14" t="s">
        <v>2601</v>
      </c>
      <c r="E973" s="112"/>
      <c r="F973" s="139" t="s">
        <v>3534</v>
      </c>
      <c r="G973" s="140"/>
      <c r="H973" s="141"/>
      <c r="I973" s="26">
        <v>42607</v>
      </c>
      <c r="J973" s="117"/>
      <c r="K973" s="120"/>
      <c r="L973" s="121"/>
      <c r="M973" s="120"/>
      <c r="N973" s="121"/>
      <c r="O973" s="120"/>
      <c r="P973" s="121"/>
      <c r="Q973" s="120"/>
      <c r="R973" s="121"/>
      <c r="S973" s="120"/>
      <c r="T973" s="121"/>
      <c r="U973" s="120"/>
      <c r="V973" s="123"/>
      <c r="W973" s="125"/>
      <c r="X973" s="142" t="s">
        <v>3535</v>
      </c>
      <c r="Y973" s="143"/>
      <c r="Z973" s="143"/>
      <c r="AA973" s="143"/>
      <c r="AB973" s="144"/>
      <c r="AC973" s="16" t="s">
        <v>21</v>
      </c>
      <c r="AD973" s="17" t="s">
        <v>2329</v>
      </c>
      <c r="AE973" s="145" t="s">
        <v>1670</v>
      </c>
      <c r="AF973" s="146"/>
      <c r="AG973" s="146"/>
      <c r="AH973" s="146"/>
      <c r="AI973" s="147"/>
      <c r="AJ973" s="148"/>
      <c r="AK973" s="143"/>
      <c r="AL973" s="144"/>
      <c r="AM973" s="22"/>
      <c r="AN973" s="149" t="s">
        <v>6789</v>
      </c>
      <c r="AO973" s="144"/>
      <c r="AP973" s="148">
        <v>52744</v>
      </c>
      <c r="AQ973" s="144"/>
      <c r="AR973" s="120"/>
      <c r="AS973" s="121"/>
      <c r="AT973" s="120"/>
      <c r="AU973" s="182"/>
      <c r="AV973" s="120"/>
      <c r="AW973" s="121"/>
      <c r="AX973" s="120"/>
      <c r="AY973" s="121"/>
      <c r="AZ973" s="138"/>
    </row>
    <row r="974" spans="1:52" ht="17.100000000000001" customHeight="1" thickTop="1">
      <c r="A974" s="151" t="s">
        <v>6224</v>
      </c>
      <c r="B974" s="28">
        <v>45684</v>
      </c>
      <c r="C974" s="25"/>
      <c r="D974" s="13" t="s">
        <v>3536</v>
      </c>
      <c r="E974" s="111"/>
      <c r="F974" s="113" t="s">
        <v>3537</v>
      </c>
      <c r="G974" s="114"/>
      <c r="H974" s="115"/>
      <c r="I974" s="24" t="s">
        <v>3538</v>
      </c>
      <c r="J974" s="150" t="s">
        <v>1715</v>
      </c>
      <c r="K974" s="118">
        <f>1188000/1.1</f>
        <v>1080000</v>
      </c>
      <c r="L974" s="119"/>
      <c r="M974" s="118">
        <f>K974*0.1</f>
        <v>108000</v>
      </c>
      <c r="N974" s="119"/>
      <c r="O974" s="118">
        <v>0</v>
      </c>
      <c r="P974" s="119"/>
      <c r="Q974" s="118">
        <v>12340</v>
      </c>
      <c r="R974" s="119"/>
      <c r="S974" s="118">
        <v>84700</v>
      </c>
      <c r="T974" s="119"/>
      <c r="U974" s="118">
        <f>SUM(K974:T975)</f>
        <v>1285040</v>
      </c>
      <c r="V974" s="122"/>
      <c r="W974" s="124"/>
      <c r="X974" s="126" t="s">
        <v>3539</v>
      </c>
      <c r="Y974" s="127"/>
      <c r="Z974" s="127"/>
      <c r="AA974" s="127"/>
      <c r="AB974" s="128"/>
      <c r="AC974" s="15" t="s">
        <v>20</v>
      </c>
      <c r="AD974" s="129" t="s">
        <v>186</v>
      </c>
      <c r="AE974" s="130"/>
      <c r="AF974" s="130"/>
      <c r="AG974" s="130"/>
      <c r="AH974" s="130"/>
      <c r="AI974" s="131"/>
      <c r="AJ974" s="132"/>
      <c r="AK974" s="127"/>
      <c r="AL974" s="128"/>
      <c r="AM974" s="21" t="s">
        <v>3540</v>
      </c>
      <c r="AN974" s="133">
        <v>46032</v>
      </c>
      <c r="AO974" s="134"/>
      <c r="AP974" s="135">
        <v>1283</v>
      </c>
      <c r="AQ974" s="136"/>
      <c r="AR974" s="118">
        <v>1450000</v>
      </c>
      <c r="AS974" s="119"/>
      <c r="AT974" s="180">
        <v>145000</v>
      </c>
      <c r="AU974" s="181"/>
      <c r="AV974" s="118">
        <v>12340</v>
      </c>
      <c r="AW974" s="119"/>
      <c r="AX974" s="118">
        <f>SUM(AR974:AW974)</f>
        <v>1607340</v>
      </c>
      <c r="AY974" s="119"/>
      <c r="AZ974" s="137">
        <v>46036</v>
      </c>
    </row>
    <row r="975" spans="1:52" ht="17.100000000000001" customHeight="1" thickBot="1">
      <c r="A975" s="152"/>
      <c r="B975" s="27" t="s">
        <v>1718</v>
      </c>
      <c r="C975" s="27" t="s">
        <v>3541</v>
      </c>
      <c r="D975" s="14" t="s">
        <v>275</v>
      </c>
      <c r="E975" s="112"/>
      <c r="F975" s="139" t="s">
        <v>3542</v>
      </c>
      <c r="G975" s="140"/>
      <c r="H975" s="141"/>
      <c r="I975" s="26">
        <v>58346</v>
      </c>
      <c r="J975" s="117"/>
      <c r="K975" s="120"/>
      <c r="L975" s="121"/>
      <c r="M975" s="120"/>
      <c r="N975" s="121"/>
      <c r="O975" s="120"/>
      <c r="P975" s="121"/>
      <c r="Q975" s="120"/>
      <c r="R975" s="121"/>
      <c r="S975" s="120"/>
      <c r="T975" s="121"/>
      <c r="U975" s="120"/>
      <c r="V975" s="123"/>
      <c r="W975" s="125"/>
      <c r="X975" s="142" t="s">
        <v>3543</v>
      </c>
      <c r="Y975" s="143"/>
      <c r="Z975" s="143"/>
      <c r="AA975" s="143"/>
      <c r="AB975" s="144"/>
      <c r="AC975" s="16" t="s">
        <v>21</v>
      </c>
      <c r="AD975" s="17" t="s">
        <v>3014</v>
      </c>
      <c r="AE975" s="145" t="s">
        <v>14623</v>
      </c>
      <c r="AF975" s="146"/>
      <c r="AG975" s="146"/>
      <c r="AH975" s="146"/>
      <c r="AI975" s="147"/>
      <c r="AJ975" s="148"/>
      <c r="AK975" s="143"/>
      <c r="AL975" s="144"/>
      <c r="AM975" s="22"/>
      <c r="AN975" s="149" t="s">
        <v>2511</v>
      </c>
      <c r="AO975" s="144"/>
      <c r="AP975" s="148">
        <v>33124</v>
      </c>
      <c r="AQ975" s="144"/>
      <c r="AR975" s="120"/>
      <c r="AS975" s="121"/>
      <c r="AT975" s="120"/>
      <c r="AU975" s="182"/>
      <c r="AV975" s="120"/>
      <c r="AW975" s="121"/>
      <c r="AX975" s="120"/>
      <c r="AY975" s="121"/>
      <c r="AZ975" s="138"/>
    </row>
    <row r="976" spans="1:52" ht="17.100000000000001" customHeight="1" thickTop="1">
      <c r="A976" s="109" t="s">
        <v>6225</v>
      </c>
      <c r="B976" s="28">
        <v>45687</v>
      </c>
      <c r="C976" s="25">
        <v>2095</v>
      </c>
      <c r="D976" s="13" t="s">
        <v>3544</v>
      </c>
      <c r="E976" s="111"/>
      <c r="F976" s="113" t="s">
        <v>2907</v>
      </c>
      <c r="G976" s="114"/>
      <c r="H976" s="115"/>
      <c r="I976" s="24" t="s">
        <v>3545</v>
      </c>
      <c r="J976" s="150" t="s">
        <v>1715</v>
      </c>
      <c r="K976" s="118">
        <v>492000</v>
      </c>
      <c r="L976" s="119"/>
      <c r="M976" s="118">
        <f>K976*0.1</f>
        <v>49200</v>
      </c>
      <c r="N976" s="119"/>
      <c r="O976" s="118">
        <v>0</v>
      </c>
      <c r="P976" s="119"/>
      <c r="Q976" s="118">
        <v>9170</v>
      </c>
      <c r="R976" s="119"/>
      <c r="S976" s="118">
        <v>13750</v>
      </c>
      <c r="T976" s="119"/>
      <c r="U976" s="118">
        <f>SUM(K976:T977)</f>
        <v>564120</v>
      </c>
      <c r="V976" s="122"/>
      <c r="W976" s="124"/>
      <c r="X976" s="126" t="s">
        <v>3546</v>
      </c>
      <c r="Y976" s="127"/>
      <c r="Z976" s="127"/>
      <c r="AA976" s="127"/>
      <c r="AB976" s="128"/>
      <c r="AC976" s="15" t="s">
        <v>20</v>
      </c>
      <c r="AD976" s="129"/>
      <c r="AE976" s="130"/>
      <c r="AF976" s="130"/>
      <c r="AG976" s="130"/>
      <c r="AH976" s="130"/>
      <c r="AI976" s="131"/>
      <c r="AJ976" s="132"/>
      <c r="AK976" s="127"/>
      <c r="AL976" s="128"/>
      <c r="AM976" s="21" t="s">
        <v>3547</v>
      </c>
      <c r="AN976" s="133">
        <v>46063</v>
      </c>
      <c r="AO976" s="134"/>
      <c r="AP976" s="135"/>
      <c r="AQ976" s="136"/>
      <c r="AR976" s="118">
        <v>500000</v>
      </c>
      <c r="AS976" s="119"/>
      <c r="AT976" s="180">
        <f>AR976*0.1</f>
        <v>50000</v>
      </c>
      <c r="AU976" s="181"/>
      <c r="AV976" s="118">
        <v>9170</v>
      </c>
      <c r="AW976" s="119"/>
      <c r="AX976" s="118">
        <f>SUM(AR976:AW976)</f>
        <v>559170</v>
      </c>
      <c r="AY976" s="119"/>
      <c r="AZ976" s="137"/>
    </row>
    <row r="977" spans="1:52" ht="17.100000000000001" customHeight="1" thickBot="1">
      <c r="A977" s="110"/>
      <c r="B977" s="27" t="s">
        <v>1940</v>
      </c>
      <c r="C977" s="27">
        <v>152</v>
      </c>
      <c r="D977" s="14" t="s">
        <v>1720</v>
      </c>
      <c r="E977" s="112"/>
      <c r="F977" s="139" t="s">
        <v>3548</v>
      </c>
      <c r="G977" s="140"/>
      <c r="H977" s="141"/>
      <c r="I977" s="26">
        <v>57897</v>
      </c>
      <c r="J977" s="117"/>
      <c r="K977" s="120"/>
      <c r="L977" s="121"/>
      <c r="M977" s="120"/>
      <c r="N977" s="121"/>
      <c r="O977" s="120"/>
      <c r="P977" s="121"/>
      <c r="Q977" s="120"/>
      <c r="R977" s="121"/>
      <c r="S977" s="120"/>
      <c r="T977" s="121"/>
      <c r="U977" s="120"/>
      <c r="V977" s="123"/>
      <c r="W977" s="125"/>
      <c r="X977" s="142" t="s">
        <v>3549</v>
      </c>
      <c r="Y977" s="143"/>
      <c r="Z977" s="143"/>
      <c r="AA977" s="143"/>
      <c r="AB977" s="144"/>
      <c r="AC977" s="16" t="s">
        <v>21</v>
      </c>
      <c r="AD977" s="17" t="s">
        <v>3550</v>
      </c>
      <c r="AE977" s="145"/>
      <c r="AF977" s="146"/>
      <c r="AG977" s="146"/>
      <c r="AH977" s="146"/>
      <c r="AI977" s="147"/>
      <c r="AJ977" s="148"/>
      <c r="AK977" s="143"/>
      <c r="AL977" s="144"/>
      <c r="AM977" s="22"/>
      <c r="AN977" s="149" t="s">
        <v>6789</v>
      </c>
      <c r="AO977" s="144"/>
      <c r="AP977" s="148">
        <v>50637</v>
      </c>
      <c r="AQ977" s="144"/>
      <c r="AR977" s="120"/>
      <c r="AS977" s="121"/>
      <c r="AT977" s="120"/>
      <c r="AU977" s="182"/>
      <c r="AV977" s="120"/>
      <c r="AW977" s="121"/>
      <c r="AX977" s="120"/>
      <c r="AY977" s="121"/>
      <c r="AZ977" s="138"/>
    </row>
    <row r="978" spans="1:52" ht="17.100000000000001" customHeight="1" thickTop="1">
      <c r="A978" s="109" t="s">
        <v>6226</v>
      </c>
      <c r="B978" s="28">
        <v>45689</v>
      </c>
      <c r="C978" s="25">
        <v>1237</v>
      </c>
      <c r="D978" s="13" t="s">
        <v>1059</v>
      </c>
      <c r="E978" s="111"/>
      <c r="F978" s="113" t="s">
        <v>3551</v>
      </c>
      <c r="G978" s="114"/>
      <c r="H978" s="115"/>
      <c r="I978" s="24"/>
      <c r="J978" s="116">
        <v>4.5</v>
      </c>
      <c r="K978" s="118">
        <v>3160000</v>
      </c>
      <c r="L978" s="119"/>
      <c r="M978" s="118">
        <f>K978*0.1</f>
        <v>316000</v>
      </c>
      <c r="N978" s="119"/>
      <c r="O978" s="118">
        <v>0</v>
      </c>
      <c r="P978" s="119"/>
      <c r="Q978" s="118">
        <v>18170</v>
      </c>
      <c r="R978" s="119"/>
      <c r="S978" s="118">
        <v>13200</v>
      </c>
      <c r="T978" s="119"/>
      <c r="U978" s="118">
        <f>SUM(K978:T979)</f>
        <v>3507370</v>
      </c>
      <c r="V978" s="122"/>
      <c r="W978" s="124"/>
      <c r="X978" s="126" t="s">
        <v>3552</v>
      </c>
      <c r="Y978" s="127"/>
      <c r="Z978" s="127"/>
      <c r="AA978" s="127"/>
      <c r="AB978" s="128"/>
      <c r="AC978" s="15" t="s">
        <v>20</v>
      </c>
      <c r="AD978" s="129" t="s">
        <v>1732</v>
      </c>
      <c r="AE978" s="130"/>
      <c r="AF978" s="130"/>
      <c r="AG978" s="130"/>
      <c r="AH978" s="130"/>
      <c r="AI978" s="131"/>
      <c r="AJ978" s="132"/>
      <c r="AK978" s="127"/>
      <c r="AL978" s="128"/>
      <c r="AM978" s="21"/>
      <c r="AN978" s="133"/>
      <c r="AO978" s="134"/>
      <c r="AP978" s="135"/>
      <c r="AQ978" s="136"/>
      <c r="AR978" s="118"/>
      <c r="AS978" s="119"/>
      <c r="AT978" s="180">
        <f>AR978*0.1</f>
        <v>0</v>
      </c>
      <c r="AU978" s="181"/>
      <c r="AV978" s="118"/>
      <c r="AW978" s="119"/>
      <c r="AX978" s="118">
        <f>SUM(AR978:AW978)</f>
        <v>0</v>
      </c>
      <c r="AY978" s="119"/>
      <c r="AZ978" s="137"/>
    </row>
    <row r="979" spans="1:52" ht="17.100000000000001" customHeight="1" thickBot="1">
      <c r="A979" s="110"/>
      <c r="B979" s="27" t="s">
        <v>2511</v>
      </c>
      <c r="C979" s="27">
        <v>82120</v>
      </c>
      <c r="D979" s="14" t="s">
        <v>2206</v>
      </c>
      <c r="E979" s="112"/>
      <c r="F979" s="139" t="s">
        <v>3553</v>
      </c>
      <c r="G979" s="140"/>
      <c r="H979" s="141"/>
      <c r="I979" s="26">
        <v>24299</v>
      </c>
      <c r="J979" s="117"/>
      <c r="K979" s="120"/>
      <c r="L979" s="121"/>
      <c r="M979" s="120"/>
      <c r="N979" s="121"/>
      <c r="O979" s="120"/>
      <c r="P979" s="121"/>
      <c r="Q979" s="120"/>
      <c r="R979" s="121"/>
      <c r="S979" s="120"/>
      <c r="T979" s="121"/>
      <c r="U979" s="120"/>
      <c r="V979" s="123"/>
      <c r="W979" s="125"/>
      <c r="X979" s="142" t="s">
        <v>3554</v>
      </c>
      <c r="Y979" s="143"/>
      <c r="Z979" s="143"/>
      <c r="AA979" s="143"/>
      <c r="AB979" s="144"/>
      <c r="AC979" s="16" t="s">
        <v>21</v>
      </c>
      <c r="AD979" s="17" t="s">
        <v>1853</v>
      </c>
      <c r="AE979" s="145" t="s">
        <v>1614</v>
      </c>
      <c r="AF979" s="146"/>
      <c r="AG979" s="146"/>
      <c r="AH979" s="146"/>
      <c r="AI979" s="147"/>
      <c r="AJ979" s="148"/>
      <c r="AK979" s="143"/>
      <c r="AL979" s="144"/>
      <c r="AM979" s="22"/>
      <c r="AN979" s="149"/>
      <c r="AO979" s="144"/>
      <c r="AP979" s="148"/>
      <c r="AQ979" s="144"/>
      <c r="AR979" s="120"/>
      <c r="AS979" s="121"/>
      <c r="AT979" s="120"/>
      <c r="AU979" s="182"/>
      <c r="AV979" s="120"/>
      <c r="AW979" s="121"/>
      <c r="AX979" s="120"/>
      <c r="AY979" s="121"/>
      <c r="AZ979" s="138"/>
    </row>
    <row r="980" spans="1:52" ht="17.100000000000001" customHeight="1" thickTop="1">
      <c r="A980" s="109" t="s">
        <v>6227</v>
      </c>
      <c r="B980" s="28">
        <v>45692</v>
      </c>
      <c r="C980" s="25">
        <v>757</v>
      </c>
      <c r="D980" s="13" t="s">
        <v>2606</v>
      </c>
      <c r="E980" s="111"/>
      <c r="F980" s="113" t="s">
        <v>2724</v>
      </c>
      <c r="G980" s="114"/>
      <c r="H980" s="115"/>
      <c r="I980" s="24"/>
      <c r="J980" s="116">
        <v>4</v>
      </c>
      <c r="K980" s="118">
        <v>1720000</v>
      </c>
      <c r="L980" s="119"/>
      <c r="M980" s="118">
        <f>K980*0.1</f>
        <v>172000</v>
      </c>
      <c r="N980" s="119"/>
      <c r="O980" s="118">
        <v>0</v>
      </c>
      <c r="P980" s="119"/>
      <c r="Q980" s="118">
        <v>16240</v>
      </c>
      <c r="R980" s="119"/>
      <c r="S980" s="118">
        <v>14850</v>
      </c>
      <c r="T980" s="119"/>
      <c r="U980" s="118">
        <f>SUM(K980:T981)</f>
        <v>1923090</v>
      </c>
      <c r="V980" s="122"/>
      <c r="W980" s="124"/>
      <c r="X980" s="126" t="s">
        <v>3555</v>
      </c>
      <c r="Y980" s="127"/>
      <c r="Z980" s="127"/>
      <c r="AA980" s="127"/>
      <c r="AB980" s="128"/>
      <c r="AC980" s="15" t="s">
        <v>20</v>
      </c>
      <c r="AD980" s="129"/>
      <c r="AE980" s="130"/>
      <c r="AF980" s="130"/>
      <c r="AG980" s="130"/>
      <c r="AH980" s="130"/>
      <c r="AI980" s="131"/>
      <c r="AJ980" s="132"/>
      <c r="AK980" s="127"/>
      <c r="AL980" s="128"/>
      <c r="AM980" s="21"/>
      <c r="AN980" s="133">
        <v>45962</v>
      </c>
      <c r="AO980" s="134"/>
      <c r="AP980" s="135">
        <v>1274</v>
      </c>
      <c r="AQ980" s="136"/>
      <c r="AR980" s="118">
        <v>1650000</v>
      </c>
      <c r="AS980" s="119"/>
      <c r="AT980" s="180">
        <f>AR980*0.1</f>
        <v>165000</v>
      </c>
      <c r="AU980" s="181"/>
      <c r="AV980" s="118">
        <v>16240</v>
      </c>
      <c r="AW980" s="119"/>
      <c r="AX980" s="118">
        <f>SUM(AR980:AW980)</f>
        <v>1831240</v>
      </c>
      <c r="AY980" s="119"/>
      <c r="AZ980" s="137">
        <v>45965</v>
      </c>
    </row>
    <row r="981" spans="1:52" ht="17.100000000000001" customHeight="1" thickBot="1">
      <c r="A981" s="110"/>
      <c r="B981" s="27" t="s">
        <v>3367</v>
      </c>
      <c r="C981" s="27">
        <v>5011</v>
      </c>
      <c r="D981" s="14" t="s">
        <v>2206</v>
      </c>
      <c r="E981" s="112"/>
      <c r="F981" s="139" t="s">
        <v>3556</v>
      </c>
      <c r="G981" s="140"/>
      <c r="H981" s="141"/>
      <c r="I981" s="26">
        <v>61155</v>
      </c>
      <c r="J981" s="117"/>
      <c r="K981" s="120"/>
      <c r="L981" s="121"/>
      <c r="M981" s="120"/>
      <c r="N981" s="121"/>
      <c r="O981" s="120"/>
      <c r="P981" s="121"/>
      <c r="Q981" s="120"/>
      <c r="R981" s="121"/>
      <c r="S981" s="120"/>
      <c r="T981" s="121"/>
      <c r="U981" s="120"/>
      <c r="V981" s="123"/>
      <c r="W981" s="125"/>
      <c r="X981" s="142" t="s">
        <v>3557</v>
      </c>
      <c r="Y981" s="143"/>
      <c r="Z981" s="143"/>
      <c r="AA981" s="143"/>
      <c r="AB981" s="144"/>
      <c r="AC981" s="16" t="s">
        <v>21</v>
      </c>
      <c r="AD981" s="17" t="s">
        <v>1853</v>
      </c>
      <c r="AE981" s="145" t="s">
        <v>3558</v>
      </c>
      <c r="AF981" s="146"/>
      <c r="AG981" s="146"/>
      <c r="AH981" s="146"/>
      <c r="AI981" s="147"/>
      <c r="AJ981" s="148"/>
      <c r="AK981" s="143"/>
      <c r="AL981" s="144"/>
      <c r="AM981" s="22"/>
      <c r="AN981" s="149" t="s">
        <v>2511</v>
      </c>
      <c r="AO981" s="144"/>
      <c r="AP981" s="148">
        <v>80062</v>
      </c>
      <c r="AQ981" s="144"/>
      <c r="AR981" s="120"/>
      <c r="AS981" s="121"/>
      <c r="AT981" s="120"/>
      <c r="AU981" s="182"/>
      <c r="AV981" s="120"/>
      <c r="AW981" s="121"/>
      <c r="AX981" s="120"/>
      <c r="AY981" s="121"/>
      <c r="AZ981" s="138"/>
    </row>
    <row r="982" spans="1:52" ht="17.100000000000001" customHeight="1" thickTop="1">
      <c r="A982" s="109" t="s">
        <v>6228</v>
      </c>
      <c r="B982" s="28">
        <v>45692</v>
      </c>
      <c r="C982" s="25">
        <v>877</v>
      </c>
      <c r="D982" s="13" t="s">
        <v>2914</v>
      </c>
      <c r="E982" s="111"/>
      <c r="F982" s="113" t="s">
        <v>3163</v>
      </c>
      <c r="G982" s="114"/>
      <c r="H982" s="115"/>
      <c r="I982" s="24" t="s">
        <v>2064</v>
      </c>
      <c r="J982" s="116">
        <v>4</v>
      </c>
      <c r="K982" s="118">
        <v>2014000</v>
      </c>
      <c r="L982" s="119"/>
      <c r="M982" s="118">
        <f>K982*0.1</f>
        <v>201400</v>
      </c>
      <c r="N982" s="119"/>
      <c r="O982" s="118">
        <v>3520</v>
      </c>
      <c r="P982" s="119"/>
      <c r="Q982" s="118">
        <v>19440</v>
      </c>
      <c r="R982" s="119"/>
      <c r="S982" s="118">
        <v>18150</v>
      </c>
      <c r="T982" s="119"/>
      <c r="U982" s="118">
        <f>SUM(K982:T983)</f>
        <v>2256510</v>
      </c>
      <c r="V982" s="122"/>
      <c r="W982" s="124"/>
      <c r="X982" s="126" t="s">
        <v>3559</v>
      </c>
      <c r="Y982" s="127"/>
      <c r="Z982" s="127"/>
      <c r="AA982" s="127"/>
      <c r="AB982" s="128"/>
      <c r="AC982" s="15" t="s">
        <v>20</v>
      </c>
      <c r="AD982" s="129"/>
      <c r="AE982" s="130"/>
      <c r="AF982" s="130"/>
      <c r="AG982" s="130"/>
      <c r="AH982" s="130"/>
      <c r="AI982" s="131"/>
      <c r="AJ982" s="132"/>
      <c r="AK982" s="127"/>
      <c r="AL982" s="128"/>
      <c r="AM982" s="21" t="s">
        <v>3560</v>
      </c>
      <c r="AN982" s="133">
        <v>46300</v>
      </c>
      <c r="AO982" s="134"/>
      <c r="AP982" s="135"/>
      <c r="AQ982" s="136"/>
      <c r="AR982" s="118">
        <v>3244000</v>
      </c>
      <c r="AS982" s="119"/>
      <c r="AT982" s="180">
        <v>0</v>
      </c>
      <c r="AU982" s="181"/>
      <c r="AV982" s="118">
        <v>0</v>
      </c>
      <c r="AW982" s="119"/>
      <c r="AX982" s="118">
        <f>SUM(AR982:AW982)</f>
        <v>3244000</v>
      </c>
      <c r="AY982" s="119"/>
      <c r="AZ982" s="137">
        <v>46334</v>
      </c>
    </row>
    <row r="983" spans="1:52" ht="17.100000000000001" customHeight="1" thickBot="1">
      <c r="A983" s="110"/>
      <c r="B983" s="27" t="s">
        <v>2699</v>
      </c>
      <c r="C983" s="27">
        <v>5007</v>
      </c>
      <c r="D983" s="14" t="s">
        <v>133</v>
      </c>
      <c r="E983" s="112"/>
      <c r="F983" s="139" t="s">
        <v>3561</v>
      </c>
      <c r="G983" s="140"/>
      <c r="H983" s="141"/>
      <c r="I983" s="26">
        <v>13173</v>
      </c>
      <c r="J983" s="117"/>
      <c r="K983" s="120"/>
      <c r="L983" s="121"/>
      <c r="M983" s="120"/>
      <c r="N983" s="121"/>
      <c r="O983" s="120"/>
      <c r="P983" s="121"/>
      <c r="Q983" s="120"/>
      <c r="R983" s="121"/>
      <c r="S983" s="120"/>
      <c r="T983" s="121"/>
      <c r="U983" s="120"/>
      <c r="V983" s="123"/>
      <c r="W983" s="125"/>
      <c r="X983" s="142" t="s">
        <v>3562</v>
      </c>
      <c r="Y983" s="143"/>
      <c r="Z983" s="143"/>
      <c r="AA983" s="143"/>
      <c r="AB983" s="144"/>
      <c r="AC983" s="16" t="s">
        <v>21</v>
      </c>
      <c r="AD983" s="17" t="s">
        <v>1853</v>
      </c>
      <c r="AE983" s="145" t="s">
        <v>3309</v>
      </c>
      <c r="AF983" s="146"/>
      <c r="AG983" s="146"/>
      <c r="AH983" s="146"/>
      <c r="AI983" s="147"/>
      <c r="AJ983" s="148"/>
      <c r="AK983" s="143"/>
      <c r="AL983" s="144"/>
      <c r="AM983" s="22"/>
      <c r="AN983" s="149" t="s">
        <v>10476</v>
      </c>
      <c r="AO983" s="144"/>
      <c r="AP983" s="148"/>
      <c r="AQ983" s="144"/>
      <c r="AR983" s="120"/>
      <c r="AS983" s="121"/>
      <c r="AT983" s="120"/>
      <c r="AU983" s="182"/>
      <c r="AV983" s="120"/>
      <c r="AW983" s="121"/>
      <c r="AX983" s="120"/>
      <c r="AY983" s="121"/>
      <c r="AZ983" s="138"/>
    </row>
    <row r="984" spans="1:52" ht="17.100000000000001" customHeight="1" thickTop="1">
      <c r="A984" s="109" t="s">
        <v>6229</v>
      </c>
      <c r="B984" s="28">
        <v>45692</v>
      </c>
      <c r="C984" s="25">
        <v>1178</v>
      </c>
      <c r="D984" s="13" t="s">
        <v>2100</v>
      </c>
      <c r="E984" s="111"/>
      <c r="F984" s="113" t="s">
        <v>3457</v>
      </c>
      <c r="G984" s="114"/>
      <c r="H984" s="115"/>
      <c r="I984" s="24"/>
      <c r="J984" s="116">
        <v>4</v>
      </c>
      <c r="K984" s="118">
        <v>1799000</v>
      </c>
      <c r="L984" s="119"/>
      <c r="M984" s="118">
        <f>K984*0.1</f>
        <v>179900</v>
      </c>
      <c r="N984" s="119"/>
      <c r="O984" s="118">
        <v>0</v>
      </c>
      <c r="P984" s="119"/>
      <c r="Q984" s="118">
        <v>21140</v>
      </c>
      <c r="R984" s="119"/>
      <c r="S984" s="118">
        <v>14850</v>
      </c>
      <c r="T984" s="119"/>
      <c r="U984" s="118">
        <f>SUM(K984:T985)</f>
        <v>2014890</v>
      </c>
      <c r="V984" s="122"/>
      <c r="W984" s="124"/>
      <c r="X984" s="126" t="s">
        <v>3563</v>
      </c>
      <c r="Y984" s="127"/>
      <c r="Z984" s="127"/>
      <c r="AA984" s="127"/>
      <c r="AB984" s="128"/>
      <c r="AC984" s="15" t="s">
        <v>20</v>
      </c>
      <c r="AD984" s="129"/>
      <c r="AE984" s="130"/>
      <c r="AF984" s="130"/>
      <c r="AG984" s="130"/>
      <c r="AH984" s="130"/>
      <c r="AI984" s="131"/>
      <c r="AJ984" s="132"/>
      <c r="AK984" s="127"/>
      <c r="AL984" s="128"/>
      <c r="AM984" s="21"/>
      <c r="AN984" s="133">
        <v>45927</v>
      </c>
      <c r="AO984" s="134"/>
      <c r="AP984" s="135"/>
      <c r="AQ984" s="136"/>
      <c r="AR984" s="118">
        <v>3260000</v>
      </c>
      <c r="AS984" s="119"/>
      <c r="AT984" s="180">
        <v>0</v>
      </c>
      <c r="AU984" s="181"/>
      <c r="AV984" s="118">
        <v>0</v>
      </c>
      <c r="AW984" s="119"/>
      <c r="AX984" s="118">
        <f>SUM(AR984:AW984)</f>
        <v>3260000</v>
      </c>
      <c r="AY984" s="119"/>
      <c r="AZ984" s="137">
        <v>45953</v>
      </c>
    </row>
    <row r="985" spans="1:52" ht="17.100000000000001" customHeight="1" thickBot="1">
      <c r="A985" s="110"/>
      <c r="B985" s="27" t="s">
        <v>2379</v>
      </c>
      <c r="C985" s="27">
        <v>5039</v>
      </c>
      <c r="D985" s="14" t="s">
        <v>1576</v>
      </c>
      <c r="E985" s="112"/>
      <c r="F985" s="139" t="s">
        <v>3564</v>
      </c>
      <c r="G985" s="140"/>
      <c r="H985" s="141"/>
      <c r="I985" s="26">
        <v>29654</v>
      </c>
      <c r="J985" s="117"/>
      <c r="K985" s="120"/>
      <c r="L985" s="121"/>
      <c r="M985" s="120"/>
      <c r="N985" s="121"/>
      <c r="O985" s="120"/>
      <c r="P985" s="121"/>
      <c r="Q985" s="120"/>
      <c r="R985" s="121"/>
      <c r="S985" s="120"/>
      <c r="T985" s="121"/>
      <c r="U985" s="120"/>
      <c r="V985" s="123"/>
      <c r="W985" s="125"/>
      <c r="X985" s="142" t="s">
        <v>3565</v>
      </c>
      <c r="Y985" s="143"/>
      <c r="Z985" s="143"/>
      <c r="AA985" s="143"/>
      <c r="AB985" s="144"/>
      <c r="AC985" s="16" t="s">
        <v>21</v>
      </c>
      <c r="AD985" s="17" t="s">
        <v>1853</v>
      </c>
      <c r="AE985" s="145" t="s">
        <v>171</v>
      </c>
      <c r="AF985" s="146"/>
      <c r="AG985" s="146"/>
      <c r="AH985" s="146"/>
      <c r="AI985" s="147"/>
      <c r="AJ985" s="148"/>
      <c r="AK985" s="143"/>
      <c r="AL985" s="144"/>
      <c r="AM985" s="22"/>
      <c r="AN985" s="149" t="s">
        <v>14010</v>
      </c>
      <c r="AO985" s="144"/>
      <c r="AP985" s="148"/>
      <c r="AQ985" s="144"/>
      <c r="AR985" s="120"/>
      <c r="AS985" s="121"/>
      <c r="AT985" s="120"/>
      <c r="AU985" s="182"/>
      <c r="AV985" s="120"/>
      <c r="AW985" s="121"/>
      <c r="AX985" s="120"/>
      <c r="AY985" s="121"/>
      <c r="AZ985" s="138"/>
    </row>
    <row r="986" spans="1:52" ht="17.100000000000001" customHeight="1" thickTop="1">
      <c r="A986" s="109" t="s">
        <v>6230</v>
      </c>
      <c r="B986" s="28">
        <v>45694</v>
      </c>
      <c r="C986" s="25">
        <v>1503</v>
      </c>
      <c r="D986" s="13" t="s">
        <v>3566</v>
      </c>
      <c r="E986" s="111"/>
      <c r="F986" s="113" t="s">
        <v>3567</v>
      </c>
      <c r="G986" s="114"/>
      <c r="H986" s="115"/>
      <c r="I986" s="24"/>
      <c r="J986" s="116">
        <v>4</v>
      </c>
      <c r="K986" s="118">
        <v>1790000</v>
      </c>
      <c r="L986" s="119"/>
      <c r="M986" s="118">
        <f>K986*0.1</f>
        <v>179000</v>
      </c>
      <c r="N986" s="119"/>
      <c r="O986" s="118">
        <v>0</v>
      </c>
      <c r="P986" s="119"/>
      <c r="Q986" s="118">
        <v>19540</v>
      </c>
      <c r="R986" s="119"/>
      <c r="S986" s="118">
        <v>13200</v>
      </c>
      <c r="T986" s="119"/>
      <c r="U986" s="118">
        <f>SUM(K986:T987)</f>
        <v>2001740</v>
      </c>
      <c r="V986" s="122"/>
      <c r="W986" s="124"/>
      <c r="X986" s="126" t="s">
        <v>3568</v>
      </c>
      <c r="Y986" s="127"/>
      <c r="Z986" s="127"/>
      <c r="AA986" s="127"/>
      <c r="AB986" s="128"/>
      <c r="AC986" s="15" t="s">
        <v>20</v>
      </c>
      <c r="AD986" s="129" t="s">
        <v>1797</v>
      </c>
      <c r="AE986" s="130"/>
      <c r="AF986" s="130"/>
      <c r="AG986" s="130"/>
      <c r="AH986" s="130"/>
      <c r="AI986" s="131"/>
      <c r="AJ986" s="132"/>
      <c r="AK986" s="127"/>
      <c r="AL986" s="128"/>
      <c r="AM986" s="21"/>
      <c r="AN986" s="133"/>
      <c r="AO986" s="134"/>
      <c r="AP986" s="135"/>
      <c r="AQ986" s="136"/>
      <c r="AR986" s="118"/>
      <c r="AS986" s="119"/>
      <c r="AT986" s="180">
        <f>AR986*0.1</f>
        <v>0</v>
      </c>
      <c r="AU986" s="181"/>
      <c r="AV986" s="118"/>
      <c r="AW986" s="119"/>
      <c r="AX986" s="118">
        <f>SUM(AR986:AW986)</f>
        <v>0</v>
      </c>
      <c r="AY986" s="119"/>
      <c r="AZ986" s="137"/>
    </row>
    <row r="987" spans="1:52" ht="17.100000000000001" customHeight="1" thickBot="1">
      <c r="A987" s="110"/>
      <c r="B987" s="27" t="s">
        <v>1600</v>
      </c>
      <c r="C987" s="27">
        <v>75573</v>
      </c>
      <c r="D987" s="14" t="s">
        <v>275</v>
      </c>
      <c r="E987" s="112"/>
      <c r="F987" s="139" t="s">
        <v>3569</v>
      </c>
      <c r="G987" s="140"/>
      <c r="H987" s="141"/>
      <c r="I987" s="26">
        <v>41132</v>
      </c>
      <c r="J987" s="117"/>
      <c r="K987" s="120"/>
      <c r="L987" s="121"/>
      <c r="M987" s="120"/>
      <c r="N987" s="121"/>
      <c r="O987" s="120"/>
      <c r="P987" s="121"/>
      <c r="Q987" s="120"/>
      <c r="R987" s="121"/>
      <c r="S987" s="120"/>
      <c r="T987" s="121"/>
      <c r="U987" s="120"/>
      <c r="V987" s="123"/>
      <c r="W987" s="125"/>
      <c r="X987" s="142" t="s">
        <v>3570</v>
      </c>
      <c r="Y987" s="143"/>
      <c r="Z987" s="143"/>
      <c r="AA987" s="143"/>
      <c r="AB987" s="144"/>
      <c r="AC987" s="16" t="s">
        <v>21</v>
      </c>
      <c r="AD987" s="17" t="s">
        <v>1853</v>
      </c>
      <c r="AE987" s="145" t="s">
        <v>3571</v>
      </c>
      <c r="AF987" s="146"/>
      <c r="AG987" s="146"/>
      <c r="AH987" s="146"/>
      <c r="AI987" s="147"/>
      <c r="AJ987" s="148"/>
      <c r="AK987" s="143"/>
      <c r="AL987" s="144"/>
      <c r="AM987" s="22"/>
      <c r="AN987" s="149"/>
      <c r="AO987" s="144"/>
      <c r="AP987" s="148"/>
      <c r="AQ987" s="144"/>
      <c r="AR987" s="120"/>
      <c r="AS987" s="121"/>
      <c r="AT987" s="120"/>
      <c r="AU987" s="182"/>
      <c r="AV987" s="120"/>
      <c r="AW987" s="121"/>
      <c r="AX987" s="120"/>
      <c r="AY987" s="121"/>
      <c r="AZ987" s="138"/>
    </row>
    <row r="988" spans="1:52" ht="17.100000000000001" customHeight="1" thickTop="1">
      <c r="A988" s="109" t="s">
        <v>6231</v>
      </c>
      <c r="B988" s="28">
        <v>45696</v>
      </c>
      <c r="C988" s="25">
        <v>249</v>
      </c>
      <c r="D988" s="13" t="s">
        <v>2196</v>
      </c>
      <c r="E988" s="111"/>
      <c r="F988" s="113" t="s">
        <v>3572</v>
      </c>
      <c r="G988" s="114"/>
      <c r="H988" s="115"/>
      <c r="I988" s="24"/>
      <c r="J988" s="116">
        <v>4</v>
      </c>
      <c r="K988" s="118">
        <v>782000</v>
      </c>
      <c r="L988" s="119"/>
      <c r="M988" s="118">
        <f>K988*0.1</f>
        <v>78200</v>
      </c>
      <c r="N988" s="119"/>
      <c r="O988" s="118">
        <v>0</v>
      </c>
      <c r="P988" s="119"/>
      <c r="Q988" s="118">
        <v>20170</v>
      </c>
      <c r="R988" s="119"/>
      <c r="S988" s="118">
        <v>14850</v>
      </c>
      <c r="T988" s="119"/>
      <c r="U988" s="118">
        <f>SUM(K988:T989)</f>
        <v>895220</v>
      </c>
      <c r="V988" s="122"/>
      <c r="W988" s="124"/>
      <c r="X988" s="126" t="s">
        <v>3573</v>
      </c>
      <c r="Y988" s="127"/>
      <c r="Z988" s="127"/>
      <c r="AA988" s="127"/>
      <c r="AB988" s="128"/>
      <c r="AC988" s="15" t="s">
        <v>20</v>
      </c>
      <c r="AD988" s="129" t="s">
        <v>171</v>
      </c>
      <c r="AE988" s="130"/>
      <c r="AF988" s="130"/>
      <c r="AG988" s="130"/>
      <c r="AH988" s="130"/>
      <c r="AI988" s="131"/>
      <c r="AJ988" s="132"/>
      <c r="AK988" s="127"/>
      <c r="AL988" s="128"/>
      <c r="AM988" s="21"/>
      <c r="AN988" s="133">
        <v>46002</v>
      </c>
      <c r="AO988" s="134"/>
      <c r="AP988" s="135">
        <v>1310</v>
      </c>
      <c r="AQ988" s="136"/>
      <c r="AR988" s="118">
        <v>890000</v>
      </c>
      <c r="AS988" s="119"/>
      <c r="AT988" s="180">
        <f>AR988*0.1</f>
        <v>89000</v>
      </c>
      <c r="AU988" s="181"/>
      <c r="AV988" s="118">
        <v>20170</v>
      </c>
      <c r="AW988" s="119"/>
      <c r="AX988" s="118">
        <f>SUM(AR988:AW988)</f>
        <v>999170</v>
      </c>
      <c r="AY988" s="119"/>
      <c r="AZ988" s="137">
        <v>46003</v>
      </c>
    </row>
    <row r="989" spans="1:52" ht="17.100000000000001" customHeight="1" thickBot="1">
      <c r="A989" s="110"/>
      <c r="B989" s="27" t="s">
        <v>3574</v>
      </c>
      <c r="C989" s="27">
        <v>5027</v>
      </c>
      <c r="D989" s="14" t="s">
        <v>904</v>
      </c>
      <c r="E989" s="112"/>
      <c r="F989" s="139" t="s">
        <v>3575</v>
      </c>
      <c r="G989" s="140"/>
      <c r="H989" s="141"/>
      <c r="I989" s="26">
        <v>51741</v>
      </c>
      <c r="J989" s="117"/>
      <c r="K989" s="120"/>
      <c r="L989" s="121"/>
      <c r="M989" s="120"/>
      <c r="N989" s="121"/>
      <c r="O989" s="120"/>
      <c r="P989" s="121"/>
      <c r="Q989" s="120"/>
      <c r="R989" s="121"/>
      <c r="S989" s="120"/>
      <c r="T989" s="121"/>
      <c r="U989" s="120"/>
      <c r="V989" s="123"/>
      <c r="W989" s="125"/>
      <c r="X989" s="142" t="s">
        <v>3576</v>
      </c>
      <c r="Y989" s="143"/>
      <c r="Z989" s="143"/>
      <c r="AA989" s="143"/>
      <c r="AB989" s="144"/>
      <c r="AC989" s="16" t="s">
        <v>21</v>
      </c>
      <c r="AD989" s="17" t="s">
        <v>3577</v>
      </c>
      <c r="AE989" s="145" t="s">
        <v>3578</v>
      </c>
      <c r="AF989" s="146"/>
      <c r="AG989" s="146"/>
      <c r="AH989" s="146"/>
      <c r="AI989" s="147"/>
      <c r="AJ989" s="148"/>
      <c r="AK989" s="143"/>
      <c r="AL989" s="144"/>
      <c r="AM989" s="22"/>
      <c r="AN989" s="149" t="s">
        <v>1747</v>
      </c>
      <c r="AO989" s="144"/>
      <c r="AP989" s="148">
        <v>21</v>
      </c>
      <c r="AQ989" s="144"/>
      <c r="AR989" s="120"/>
      <c r="AS989" s="121"/>
      <c r="AT989" s="120"/>
      <c r="AU989" s="182"/>
      <c r="AV989" s="120"/>
      <c r="AW989" s="121"/>
      <c r="AX989" s="120"/>
      <c r="AY989" s="121"/>
      <c r="AZ989" s="138"/>
    </row>
    <row r="990" spans="1:52" ht="17.100000000000001" customHeight="1" thickTop="1">
      <c r="A990" s="109" t="s">
        <v>6232</v>
      </c>
      <c r="B990" s="28">
        <v>45698</v>
      </c>
      <c r="C990" s="25">
        <v>2031</v>
      </c>
      <c r="D990" s="13" t="s">
        <v>1686</v>
      </c>
      <c r="E990" s="111"/>
      <c r="F990" s="113" t="s">
        <v>3579</v>
      </c>
      <c r="G990" s="114"/>
      <c r="H990" s="115"/>
      <c r="I990" s="24"/>
      <c r="J990" s="116">
        <v>4.5</v>
      </c>
      <c r="K990" s="118">
        <v>924000</v>
      </c>
      <c r="L990" s="119"/>
      <c r="M990" s="118">
        <f>K990*0.1</f>
        <v>92400</v>
      </c>
      <c r="N990" s="119"/>
      <c r="O990" s="118">
        <v>0</v>
      </c>
      <c r="P990" s="119"/>
      <c r="Q990" s="118">
        <v>15640</v>
      </c>
      <c r="R990" s="119"/>
      <c r="S990" s="118">
        <v>11000</v>
      </c>
      <c r="T990" s="119"/>
      <c r="U990" s="118">
        <f>SUM(K990:T991)</f>
        <v>1043040</v>
      </c>
      <c r="V990" s="122"/>
      <c r="W990" s="124"/>
      <c r="X990" s="126" t="s">
        <v>3580</v>
      </c>
      <c r="Y990" s="127"/>
      <c r="Z990" s="127"/>
      <c r="AA990" s="127"/>
      <c r="AB990" s="128"/>
      <c r="AC990" s="15" t="s">
        <v>20</v>
      </c>
      <c r="AD990" s="129" t="s">
        <v>3581</v>
      </c>
      <c r="AE990" s="130"/>
      <c r="AF990" s="130"/>
      <c r="AG990" s="130"/>
      <c r="AH990" s="130"/>
      <c r="AI990" s="131"/>
      <c r="AJ990" s="132"/>
      <c r="AK990" s="127"/>
      <c r="AL990" s="128"/>
      <c r="AM990" s="21"/>
      <c r="AN990" s="133">
        <v>45960</v>
      </c>
      <c r="AO990" s="134"/>
      <c r="AP990" s="135">
        <v>1304</v>
      </c>
      <c r="AQ990" s="136"/>
      <c r="AR990" s="118">
        <v>875000</v>
      </c>
      <c r="AS990" s="119"/>
      <c r="AT990" s="180">
        <f>AR990*0.1</f>
        <v>87500</v>
      </c>
      <c r="AU990" s="181"/>
      <c r="AV990" s="118">
        <v>15640</v>
      </c>
      <c r="AW990" s="119"/>
      <c r="AX990" s="118">
        <f>SUM(AR990:AW990)</f>
        <v>978140</v>
      </c>
      <c r="AY990" s="119"/>
      <c r="AZ990" s="137">
        <v>45961</v>
      </c>
    </row>
    <row r="991" spans="1:52" ht="17.100000000000001" customHeight="1" thickBot="1">
      <c r="A991" s="110"/>
      <c r="B991" s="27" t="s">
        <v>83</v>
      </c>
      <c r="C991" s="27">
        <v>33515</v>
      </c>
      <c r="D991" s="14" t="s">
        <v>1720</v>
      </c>
      <c r="E991" s="112"/>
      <c r="F991" s="139" t="s">
        <v>3582</v>
      </c>
      <c r="G991" s="140"/>
      <c r="H991" s="141"/>
      <c r="I991" s="26">
        <v>43522</v>
      </c>
      <c r="J991" s="117"/>
      <c r="K991" s="120"/>
      <c r="L991" s="121"/>
      <c r="M991" s="120"/>
      <c r="N991" s="121"/>
      <c r="O991" s="120"/>
      <c r="P991" s="121"/>
      <c r="Q991" s="120"/>
      <c r="R991" s="121"/>
      <c r="S991" s="120"/>
      <c r="T991" s="121"/>
      <c r="U991" s="120"/>
      <c r="V991" s="123"/>
      <c r="W991" s="125"/>
      <c r="X991" s="142" t="s">
        <v>2666</v>
      </c>
      <c r="Y991" s="143"/>
      <c r="Z991" s="143"/>
      <c r="AA991" s="143"/>
      <c r="AB991" s="144"/>
      <c r="AC991" s="16" t="s">
        <v>21</v>
      </c>
      <c r="AD991" s="17" t="s">
        <v>3583</v>
      </c>
      <c r="AE991" s="145" t="s">
        <v>1742</v>
      </c>
      <c r="AF991" s="146"/>
      <c r="AG991" s="146"/>
      <c r="AH991" s="146"/>
      <c r="AI991" s="147"/>
      <c r="AJ991" s="148"/>
      <c r="AK991" s="143"/>
      <c r="AL991" s="144"/>
      <c r="AM991" s="22"/>
      <c r="AN991" s="149" t="s">
        <v>1747</v>
      </c>
      <c r="AO991" s="144"/>
      <c r="AP991" s="148">
        <v>25</v>
      </c>
      <c r="AQ991" s="144"/>
      <c r="AR991" s="120"/>
      <c r="AS991" s="121"/>
      <c r="AT991" s="120"/>
      <c r="AU991" s="182"/>
      <c r="AV991" s="120"/>
      <c r="AW991" s="121"/>
      <c r="AX991" s="120"/>
      <c r="AY991" s="121"/>
      <c r="AZ991" s="138"/>
    </row>
    <row r="992" spans="1:52" ht="17.100000000000001" customHeight="1" thickTop="1">
      <c r="A992" s="109" t="s">
        <v>6233</v>
      </c>
      <c r="B992" s="28">
        <v>45701</v>
      </c>
      <c r="C992" s="25">
        <v>1269</v>
      </c>
      <c r="D992" s="13" t="s">
        <v>1953</v>
      </c>
      <c r="E992" s="111"/>
      <c r="F992" s="113" t="s">
        <v>3584</v>
      </c>
      <c r="G992" s="114"/>
      <c r="H992" s="115"/>
      <c r="I992" s="24" t="s">
        <v>3585</v>
      </c>
      <c r="J992" s="116">
        <v>4.5</v>
      </c>
      <c r="K992" s="118">
        <v>1960000</v>
      </c>
      <c r="L992" s="119"/>
      <c r="M992" s="118">
        <f>K992*0.1</f>
        <v>196000</v>
      </c>
      <c r="N992" s="119"/>
      <c r="O992" s="118">
        <v>4070</v>
      </c>
      <c r="P992" s="119"/>
      <c r="Q992" s="118">
        <v>18240</v>
      </c>
      <c r="R992" s="119"/>
      <c r="S992" s="118">
        <v>13200</v>
      </c>
      <c r="T992" s="119"/>
      <c r="U992" s="118">
        <f>SUM(K992:T993)</f>
        <v>2191510</v>
      </c>
      <c r="V992" s="122"/>
      <c r="W992" s="124"/>
      <c r="X992" s="126" t="s">
        <v>3586</v>
      </c>
      <c r="Y992" s="127"/>
      <c r="Z992" s="127"/>
      <c r="AA992" s="127"/>
      <c r="AB992" s="128"/>
      <c r="AC992" s="15" t="s">
        <v>20</v>
      </c>
      <c r="AD992" s="129" t="s">
        <v>1565</v>
      </c>
      <c r="AE992" s="130"/>
      <c r="AF992" s="130"/>
      <c r="AG992" s="130"/>
      <c r="AH992" s="130"/>
      <c r="AI992" s="131"/>
      <c r="AJ992" s="132"/>
      <c r="AK992" s="127"/>
      <c r="AL992" s="128"/>
      <c r="AM992" s="21" t="s">
        <v>3587</v>
      </c>
      <c r="AN992" s="133">
        <v>46002</v>
      </c>
      <c r="AO992" s="134"/>
      <c r="AP992" s="135">
        <v>1310</v>
      </c>
      <c r="AQ992" s="136"/>
      <c r="AR992" s="118">
        <v>1890000</v>
      </c>
      <c r="AS992" s="119"/>
      <c r="AT992" s="180">
        <f>AR992*0.1</f>
        <v>189000</v>
      </c>
      <c r="AU992" s="181"/>
      <c r="AV992" s="118">
        <v>18240</v>
      </c>
      <c r="AW992" s="119"/>
      <c r="AX992" s="118">
        <f>SUM(AR992:AW992)</f>
        <v>2097240</v>
      </c>
      <c r="AY992" s="119"/>
      <c r="AZ992" s="137">
        <v>46003</v>
      </c>
    </row>
    <row r="993" spans="1:52" ht="17.100000000000001" customHeight="1" thickBot="1">
      <c r="A993" s="110"/>
      <c r="B993" s="27" t="s">
        <v>1747</v>
      </c>
      <c r="C993" s="27">
        <v>107</v>
      </c>
      <c r="D993" s="14" t="s">
        <v>904</v>
      </c>
      <c r="E993" s="112"/>
      <c r="F993" s="139" t="s">
        <v>3588</v>
      </c>
      <c r="G993" s="140"/>
      <c r="H993" s="141"/>
      <c r="I993" s="26">
        <v>44289</v>
      </c>
      <c r="J993" s="117"/>
      <c r="K993" s="120"/>
      <c r="L993" s="121"/>
      <c r="M993" s="120"/>
      <c r="N993" s="121"/>
      <c r="O993" s="120"/>
      <c r="P993" s="121"/>
      <c r="Q993" s="120"/>
      <c r="R993" s="121"/>
      <c r="S993" s="120"/>
      <c r="T993" s="121"/>
      <c r="U993" s="120"/>
      <c r="V993" s="123"/>
      <c r="W993" s="125"/>
      <c r="X993" s="142" t="s">
        <v>1861</v>
      </c>
      <c r="Y993" s="143"/>
      <c r="Z993" s="143"/>
      <c r="AA993" s="143"/>
      <c r="AB993" s="144"/>
      <c r="AC993" s="16" t="s">
        <v>21</v>
      </c>
      <c r="AD993" s="17" t="s">
        <v>1877</v>
      </c>
      <c r="AE993" s="145" t="s">
        <v>3589</v>
      </c>
      <c r="AF993" s="146"/>
      <c r="AG993" s="146"/>
      <c r="AH993" s="146"/>
      <c r="AI993" s="147"/>
      <c r="AJ993" s="148"/>
      <c r="AK993" s="143"/>
      <c r="AL993" s="144"/>
      <c r="AM993" s="22"/>
      <c r="AN993" s="149" t="s">
        <v>9132</v>
      </c>
      <c r="AO993" s="144"/>
      <c r="AP993" s="148" t="s">
        <v>13021</v>
      </c>
      <c r="AQ993" s="144"/>
      <c r="AR993" s="120"/>
      <c r="AS993" s="121"/>
      <c r="AT993" s="120"/>
      <c r="AU993" s="182"/>
      <c r="AV993" s="120"/>
      <c r="AW993" s="121"/>
      <c r="AX993" s="120"/>
      <c r="AY993" s="121"/>
      <c r="AZ993" s="138"/>
    </row>
    <row r="994" spans="1:52" ht="17.100000000000001" customHeight="1" thickTop="1">
      <c r="A994" s="109" t="s">
        <v>6234</v>
      </c>
      <c r="B994" s="28">
        <v>45702</v>
      </c>
      <c r="C994" s="25">
        <v>2073</v>
      </c>
      <c r="D994" s="13" t="s">
        <v>2187</v>
      </c>
      <c r="E994" s="111"/>
      <c r="F994" s="113" t="s">
        <v>3590</v>
      </c>
      <c r="G994" s="114"/>
      <c r="H994" s="115"/>
      <c r="I994" s="24" t="s">
        <v>3591</v>
      </c>
      <c r="J994" s="116">
        <v>4</v>
      </c>
      <c r="K994" s="118">
        <v>845000</v>
      </c>
      <c r="L994" s="119"/>
      <c r="M994" s="118">
        <f>K994*0.1</f>
        <v>84500</v>
      </c>
      <c r="N994" s="119"/>
      <c r="O994" s="118">
        <v>0</v>
      </c>
      <c r="P994" s="119"/>
      <c r="Q994" s="118">
        <v>5340</v>
      </c>
      <c r="R994" s="119"/>
      <c r="S994" s="118">
        <v>13200</v>
      </c>
      <c r="T994" s="119"/>
      <c r="U994" s="118">
        <f>SUM(K994:T995)</f>
        <v>948040</v>
      </c>
      <c r="V994" s="122"/>
      <c r="W994" s="124"/>
      <c r="X994" s="126" t="s">
        <v>3592</v>
      </c>
      <c r="Y994" s="127"/>
      <c r="Z994" s="127"/>
      <c r="AA994" s="127"/>
      <c r="AB994" s="128"/>
      <c r="AC994" s="15" t="s">
        <v>20</v>
      </c>
      <c r="AD994" s="129" t="s">
        <v>1732</v>
      </c>
      <c r="AE994" s="130"/>
      <c r="AF994" s="130"/>
      <c r="AG994" s="130"/>
      <c r="AH994" s="130"/>
      <c r="AI994" s="131"/>
      <c r="AJ994" s="132"/>
      <c r="AK994" s="127"/>
      <c r="AL994" s="128"/>
      <c r="AM994" s="21" t="s">
        <v>3593</v>
      </c>
      <c r="AN994" s="133"/>
      <c r="AO994" s="134"/>
      <c r="AP994" s="135"/>
      <c r="AQ994" s="136"/>
      <c r="AR994" s="118"/>
      <c r="AS994" s="119"/>
      <c r="AT994" s="180">
        <f>AR994*0.1</f>
        <v>0</v>
      </c>
      <c r="AU994" s="181"/>
      <c r="AV994" s="118"/>
      <c r="AW994" s="119"/>
      <c r="AX994" s="118">
        <f>SUM(AR994:AW994)</f>
        <v>0</v>
      </c>
      <c r="AY994" s="119"/>
      <c r="AZ994" s="137"/>
    </row>
    <row r="995" spans="1:52" ht="17.100000000000001" customHeight="1" thickBot="1">
      <c r="A995" s="110"/>
      <c r="B995" s="27" t="s">
        <v>1543</v>
      </c>
      <c r="C995" s="27">
        <v>55488</v>
      </c>
      <c r="D995" s="14" t="s">
        <v>1576</v>
      </c>
      <c r="E995" s="112"/>
      <c r="F995" s="139" t="s">
        <v>3594</v>
      </c>
      <c r="G995" s="140"/>
      <c r="H995" s="141"/>
      <c r="I995" s="26">
        <v>59766</v>
      </c>
      <c r="J995" s="117"/>
      <c r="K995" s="120"/>
      <c r="L995" s="121"/>
      <c r="M995" s="120"/>
      <c r="N995" s="121"/>
      <c r="O995" s="120"/>
      <c r="P995" s="121"/>
      <c r="Q995" s="120"/>
      <c r="R995" s="121"/>
      <c r="S995" s="120"/>
      <c r="T995" s="121"/>
      <c r="U995" s="120"/>
      <c r="V995" s="123"/>
      <c r="W995" s="125"/>
      <c r="X995" s="142" t="s">
        <v>3410</v>
      </c>
      <c r="Y995" s="143"/>
      <c r="Z995" s="143"/>
      <c r="AA995" s="143"/>
      <c r="AB995" s="144"/>
      <c r="AC995" s="16" t="s">
        <v>21</v>
      </c>
      <c r="AD995" s="17" t="s">
        <v>1894</v>
      </c>
      <c r="AE995" s="145" t="s">
        <v>3595</v>
      </c>
      <c r="AF995" s="146"/>
      <c r="AG995" s="146"/>
      <c r="AH995" s="146"/>
      <c r="AI995" s="147"/>
      <c r="AJ995" s="148" t="s">
        <v>3596</v>
      </c>
      <c r="AK995" s="143"/>
      <c r="AL995" s="144"/>
      <c r="AM995" s="22"/>
      <c r="AN995" s="149"/>
      <c r="AO995" s="144"/>
      <c r="AP995" s="148"/>
      <c r="AQ995" s="144"/>
      <c r="AR995" s="120"/>
      <c r="AS995" s="121"/>
      <c r="AT995" s="120"/>
      <c r="AU995" s="182"/>
      <c r="AV995" s="120"/>
      <c r="AW995" s="121"/>
      <c r="AX995" s="120"/>
      <c r="AY995" s="121"/>
      <c r="AZ995" s="138"/>
    </row>
    <row r="996" spans="1:52" ht="17.100000000000001" customHeight="1" thickTop="1">
      <c r="A996" s="109" t="s">
        <v>6235</v>
      </c>
      <c r="B996" s="28">
        <v>45706</v>
      </c>
      <c r="C996" s="25">
        <v>1229</v>
      </c>
      <c r="D996" s="13" t="s">
        <v>2859</v>
      </c>
      <c r="E996" s="111"/>
      <c r="F996" s="113" t="s">
        <v>3597</v>
      </c>
      <c r="G996" s="114"/>
      <c r="H996" s="115"/>
      <c r="I996" s="24" t="s">
        <v>2861</v>
      </c>
      <c r="J996" s="116">
        <v>4.5</v>
      </c>
      <c r="K996" s="118">
        <v>1351000</v>
      </c>
      <c r="L996" s="119"/>
      <c r="M996" s="118">
        <f>K996*0.1</f>
        <v>135100</v>
      </c>
      <c r="N996" s="119"/>
      <c r="O996" s="118">
        <v>3520</v>
      </c>
      <c r="P996" s="119"/>
      <c r="Q996" s="118">
        <v>20170</v>
      </c>
      <c r="R996" s="119"/>
      <c r="S996" s="118">
        <v>18150</v>
      </c>
      <c r="T996" s="119"/>
      <c r="U996" s="118">
        <f>SUM(K996:T997)</f>
        <v>1527940</v>
      </c>
      <c r="V996" s="122"/>
      <c r="W996" s="124"/>
      <c r="X996" s="126" t="s">
        <v>3598</v>
      </c>
      <c r="Y996" s="127"/>
      <c r="Z996" s="127"/>
      <c r="AA996" s="127"/>
      <c r="AB996" s="128"/>
      <c r="AC996" s="15" t="s">
        <v>20</v>
      </c>
      <c r="AD996" s="129"/>
      <c r="AE996" s="130"/>
      <c r="AF996" s="130"/>
      <c r="AG996" s="130"/>
      <c r="AH996" s="130"/>
      <c r="AI996" s="131"/>
      <c r="AJ996" s="132"/>
      <c r="AK996" s="127"/>
      <c r="AL996" s="128"/>
      <c r="AM996" s="21" t="s">
        <v>3599</v>
      </c>
      <c r="AN996" s="133">
        <v>45941</v>
      </c>
      <c r="AO996" s="134"/>
      <c r="AP996" s="135">
        <v>1271</v>
      </c>
      <c r="AQ996" s="136"/>
      <c r="AR996" s="118">
        <v>1195000</v>
      </c>
      <c r="AS996" s="119"/>
      <c r="AT996" s="180">
        <f>AR996*0.1</f>
        <v>119500</v>
      </c>
      <c r="AU996" s="181"/>
      <c r="AV996" s="118">
        <v>20170</v>
      </c>
      <c r="AW996" s="119"/>
      <c r="AX996" s="118">
        <f>SUM(AR996:AW996)</f>
        <v>1334670</v>
      </c>
      <c r="AY996" s="119"/>
      <c r="AZ996" s="137">
        <v>45944</v>
      </c>
    </row>
    <row r="997" spans="1:52" ht="17.100000000000001" customHeight="1" thickBot="1">
      <c r="A997" s="110"/>
      <c r="B997" s="27" t="s">
        <v>3600</v>
      </c>
      <c r="C997" s="27">
        <v>38022</v>
      </c>
      <c r="D997" s="14" t="s">
        <v>275</v>
      </c>
      <c r="E997" s="112"/>
      <c r="F997" s="139" t="s">
        <v>3601</v>
      </c>
      <c r="G997" s="140"/>
      <c r="H997" s="141"/>
      <c r="I997" s="26">
        <v>53736</v>
      </c>
      <c r="J997" s="117"/>
      <c r="K997" s="120"/>
      <c r="L997" s="121"/>
      <c r="M997" s="120"/>
      <c r="N997" s="121"/>
      <c r="O997" s="120"/>
      <c r="P997" s="121"/>
      <c r="Q997" s="120"/>
      <c r="R997" s="121"/>
      <c r="S997" s="120"/>
      <c r="T997" s="121"/>
      <c r="U997" s="120"/>
      <c r="V997" s="123"/>
      <c r="W997" s="125"/>
      <c r="X997" s="142" t="s">
        <v>3602</v>
      </c>
      <c r="Y997" s="143"/>
      <c r="Z997" s="143"/>
      <c r="AA997" s="143"/>
      <c r="AB997" s="144"/>
      <c r="AC997" s="16" t="s">
        <v>21</v>
      </c>
      <c r="AD997" s="17" t="s">
        <v>3603</v>
      </c>
      <c r="AE997" s="145" t="s">
        <v>3604</v>
      </c>
      <c r="AF997" s="146"/>
      <c r="AG997" s="146"/>
      <c r="AH997" s="146"/>
      <c r="AI997" s="147"/>
      <c r="AJ997" s="148"/>
      <c r="AK997" s="143"/>
      <c r="AL997" s="144"/>
      <c r="AM997" s="22"/>
      <c r="AN997" s="149" t="s">
        <v>2511</v>
      </c>
      <c r="AO997" s="144"/>
      <c r="AP997" s="148">
        <v>82013</v>
      </c>
      <c r="AQ997" s="144"/>
      <c r="AR997" s="120"/>
      <c r="AS997" s="121"/>
      <c r="AT997" s="120"/>
      <c r="AU997" s="182"/>
      <c r="AV997" s="120"/>
      <c r="AW997" s="121"/>
      <c r="AX997" s="120"/>
      <c r="AY997" s="121"/>
      <c r="AZ997" s="138"/>
    </row>
    <row r="998" spans="1:52" ht="17.100000000000001" customHeight="1" thickTop="1">
      <c r="A998" s="109" t="s">
        <v>6236</v>
      </c>
      <c r="B998" s="28">
        <v>45708</v>
      </c>
      <c r="C998" s="25">
        <v>2185</v>
      </c>
      <c r="D998" s="13" t="s">
        <v>3478</v>
      </c>
      <c r="E998" s="111"/>
      <c r="F998" s="113" t="s">
        <v>3002</v>
      </c>
      <c r="G998" s="114"/>
      <c r="H998" s="115"/>
      <c r="I998" s="24"/>
      <c r="J998" s="116">
        <v>4</v>
      </c>
      <c r="K998" s="118">
        <v>1321000</v>
      </c>
      <c r="L998" s="119"/>
      <c r="M998" s="118">
        <f>K998*0.1</f>
        <v>132100</v>
      </c>
      <c r="N998" s="119"/>
      <c r="O998" s="118">
        <v>0</v>
      </c>
      <c r="P998" s="119"/>
      <c r="Q998" s="118">
        <v>17600</v>
      </c>
      <c r="R998" s="119"/>
      <c r="S998" s="118">
        <v>14850</v>
      </c>
      <c r="T998" s="119"/>
      <c r="U998" s="118">
        <f>SUM(K998:T999)</f>
        <v>1485550</v>
      </c>
      <c r="V998" s="122"/>
      <c r="W998" s="124"/>
      <c r="X998" s="126" t="s">
        <v>3605</v>
      </c>
      <c r="Y998" s="127"/>
      <c r="Z998" s="127"/>
      <c r="AA998" s="127"/>
      <c r="AB998" s="128"/>
      <c r="AC998" s="15" t="s">
        <v>20</v>
      </c>
      <c r="AD998" s="129" t="s">
        <v>1581</v>
      </c>
      <c r="AE998" s="130"/>
      <c r="AF998" s="130"/>
      <c r="AG998" s="130"/>
      <c r="AH998" s="130"/>
      <c r="AI998" s="131"/>
      <c r="AJ998" s="132"/>
      <c r="AK998" s="127"/>
      <c r="AL998" s="128"/>
      <c r="AM998" s="21"/>
      <c r="AN998" s="133">
        <v>46366</v>
      </c>
      <c r="AO998" s="134"/>
      <c r="AP998" s="135"/>
      <c r="AQ998" s="136"/>
      <c r="AR998" s="118">
        <v>2270000</v>
      </c>
      <c r="AS998" s="119"/>
      <c r="AT998" s="180">
        <v>0</v>
      </c>
      <c r="AU998" s="181"/>
      <c r="AV998" s="118">
        <v>0</v>
      </c>
      <c r="AW998" s="119"/>
      <c r="AX998" s="118">
        <f>SUM(AR998:AW998)</f>
        <v>2270000</v>
      </c>
      <c r="AY998" s="119"/>
      <c r="AZ998" s="137">
        <v>46385</v>
      </c>
    </row>
    <row r="999" spans="1:52" ht="17.100000000000001" customHeight="1" thickBot="1">
      <c r="A999" s="110"/>
      <c r="B999" s="27" t="s">
        <v>3606</v>
      </c>
      <c r="C999" s="27">
        <v>7012</v>
      </c>
      <c r="D999" s="14" t="s">
        <v>1592</v>
      </c>
      <c r="E999" s="112"/>
      <c r="F999" s="139" t="s">
        <v>3607</v>
      </c>
      <c r="G999" s="140"/>
      <c r="H999" s="141"/>
      <c r="I999" s="26">
        <v>41356</v>
      </c>
      <c r="J999" s="117"/>
      <c r="K999" s="120"/>
      <c r="L999" s="121"/>
      <c r="M999" s="120"/>
      <c r="N999" s="121"/>
      <c r="O999" s="120"/>
      <c r="P999" s="121"/>
      <c r="Q999" s="120"/>
      <c r="R999" s="121"/>
      <c r="S999" s="120"/>
      <c r="T999" s="121"/>
      <c r="U999" s="120"/>
      <c r="V999" s="123"/>
      <c r="W999" s="125"/>
      <c r="X999" s="142" t="s">
        <v>3608</v>
      </c>
      <c r="Y999" s="143"/>
      <c r="Z999" s="143"/>
      <c r="AA999" s="143"/>
      <c r="AB999" s="144"/>
      <c r="AC999" s="16" t="s">
        <v>21</v>
      </c>
      <c r="AD999" s="17" t="s">
        <v>2346</v>
      </c>
      <c r="AE999" s="145" t="s">
        <v>3609</v>
      </c>
      <c r="AF999" s="146"/>
      <c r="AG999" s="146"/>
      <c r="AH999" s="146"/>
      <c r="AI999" s="147"/>
      <c r="AJ999" s="148"/>
      <c r="AK999" s="143"/>
      <c r="AL999" s="144"/>
      <c r="AM999" s="22"/>
      <c r="AN999" s="149" t="s">
        <v>15702</v>
      </c>
      <c r="AO999" s="144"/>
      <c r="AP999" s="148"/>
      <c r="AQ999" s="144"/>
      <c r="AR999" s="120"/>
      <c r="AS999" s="121"/>
      <c r="AT999" s="120"/>
      <c r="AU999" s="182"/>
      <c r="AV999" s="120"/>
      <c r="AW999" s="121"/>
      <c r="AX999" s="120"/>
      <c r="AY999" s="121"/>
      <c r="AZ999" s="138"/>
    </row>
    <row r="1000" spans="1:52" ht="17.100000000000001" customHeight="1" thickTop="1">
      <c r="A1000" s="109" t="s">
        <v>6237</v>
      </c>
      <c r="B1000" s="28">
        <v>45708</v>
      </c>
      <c r="C1000" s="25">
        <v>2098</v>
      </c>
      <c r="D1000" s="13" t="s">
        <v>3610</v>
      </c>
      <c r="E1000" s="111"/>
      <c r="F1000" s="113" t="s">
        <v>3611</v>
      </c>
      <c r="G1000" s="114"/>
      <c r="H1000" s="115"/>
      <c r="I1000" s="24" t="s">
        <v>3538</v>
      </c>
      <c r="J1000" s="116">
        <v>4</v>
      </c>
      <c r="K1000" s="118">
        <v>774000</v>
      </c>
      <c r="L1000" s="119"/>
      <c r="M1000" s="118">
        <f>K1000*0.1</f>
        <v>77400</v>
      </c>
      <c r="N1000" s="119"/>
      <c r="O1000" s="118">
        <v>0</v>
      </c>
      <c r="P1000" s="119"/>
      <c r="Q1000" s="118">
        <v>8860</v>
      </c>
      <c r="R1000" s="119"/>
      <c r="S1000" s="118">
        <v>13750</v>
      </c>
      <c r="T1000" s="119"/>
      <c r="U1000" s="118">
        <f>SUM(K1000:T1001)</f>
        <v>874010</v>
      </c>
      <c r="V1000" s="122"/>
      <c r="W1000" s="124"/>
      <c r="X1000" s="126" t="s">
        <v>3612</v>
      </c>
      <c r="Y1000" s="127"/>
      <c r="Z1000" s="127"/>
      <c r="AA1000" s="127"/>
      <c r="AB1000" s="128"/>
      <c r="AC1000" s="15" t="s">
        <v>20</v>
      </c>
      <c r="AD1000" s="129"/>
      <c r="AE1000" s="130"/>
      <c r="AF1000" s="130"/>
      <c r="AG1000" s="130"/>
      <c r="AH1000" s="130"/>
      <c r="AI1000" s="131"/>
      <c r="AJ1000" s="132"/>
      <c r="AK1000" s="127"/>
      <c r="AL1000" s="128"/>
      <c r="AM1000" s="21" t="s">
        <v>3613</v>
      </c>
      <c r="AN1000" s="133">
        <v>46011</v>
      </c>
      <c r="AO1000" s="134"/>
      <c r="AP1000" s="135">
        <v>1281</v>
      </c>
      <c r="AQ1000" s="136"/>
      <c r="AR1000" s="118">
        <v>750000</v>
      </c>
      <c r="AS1000" s="119"/>
      <c r="AT1000" s="180">
        <f>AR1000*0.1</f>
        <v>75000</v>
      </c>
      <c r="AU1000" s="181"/>
      <c r="AV1000" s="118">
        <v>8860</v>
      </c>
      <c r="AW1000" s="119"/>
      <c r="AX1000" s="118">
        <f>SUM(AR1000:AW1000)</f>
        <v>833860</v>
      </c>
      <c r="AY1000" s="119"/>
      <c r="AZ1000" s="137">
        <v>46014</v>
      </c>
    </row>
    <row r="1001" spans="1:52" ht="17.100000000000001" customHeight="1" thickBot="1">
      <c r="A1001" s="110"/>
      <c r="B1001" s="27" t="s">
        <v>1940</v>
      </c>
      <c r="C1001" s="27">
        <v>2525</v>
      </c>
      <c r="D1001" s="14" t="s">
        <v>2601</v>
      </c>
      <c r="E1001" s="112"/>
      <c r="F1001" s="139" t="s">
        <v>3614</v>
      </c>
      <c r="G1001" s="140"/>
      <c r="H1001" s="141"/>
      <c r="I1001" s="26">
        <v>54610</v>
      </c>
      <c r="J1001" s="117"/>
      <c r="K1001" s="120"/>
      <c r="L1001" s="121"/>
      <c r="M1001" s="120"/>
      <c r="N1001" s="121"/>
      <c r="O1001" s="120"/>
      <c r="P1001" s="121"/>
      <c r="Q1001" s="120"/>
      <c r="R1001" s="121"/>
      <c r="S1001" s="120"/>
      <c r="T1001" s="121"/>
      <c r="U1001" s="120"/>
      <c r="V1001" s="123"/>
      <c r="W1001" s="125"/>
      <c r="X1001" s="142" t="s">
        <v>3615</v>
      </c>
      <c r="Y1001" s="143"/>
      <c r="Z1001" s="143"/>
      <c r="AA1001" s="143"/>
      <c r="AB1001" s="144"/>
      <c r="AC1001" s="16" t="s">
        <v>21</v>
      </c>
      <c r="AD1001" s="17" t="s">
        <v>3616</v>
      </c>
      <c r="AE1001" s="145"/>
      <c r="AF1001" s="146"/>
      <c r="AG1001" s="146"/>
      <c r="AH1001" s="146"/>
      <c r="AI1001" s="147"/>
      <c r="AJ1001" s="148"/>
      <c r="AK1001" s="143"/>
      <c r="AL1001" s="144"/>
      <c r="AM1001" s="22"/>
      <c r="AN1001" s="149" t="s">
        <v>2511</v>
      </c>
      <c r="AO1001" s="144"/>
      <c r="AP1001" s="148">
        <v>60152</v>
      </c>
      <c r="AQ1001" s="144"/>
      <c r="AR1001" s="120"/>
      <c r="AS1001" s="121"/>
      <c r="AT1001" s="120"/>
      <c r="AU1001" s="182"/>
      <c r="AV1001" s="120"/>
      <c r="AW1001" s="121"/>
      <c r="AX1001" s="120"/>
      <c r="AY1001" s="121"/>
      <c r="AZ1001" s="138"/>
    </row>
    <row r="1002" spans="1:52" ht="17.100000000000001" customHeight="1" thickTop="1">
      <c r="A1002" s="109" t="s">
        <v>6238</v>
      </c>
      <c r="B1002" s="28">
        <v>45708</v>
      </c>
      <c r="C1002" s="25">
        <v>2098</v>
      </c>
      <c r="D1002" s="13" t="s">
        <v>1712</v>
      </c>
      <c r="E1002" s="111"/>
      <c r="F1002" s="113" t="s">
        <v>3617</v>
      </c>
      <c r="G1002" s="114"/>
      <c r="H1002" s="115"/>
      <c r="I1002" s="24" t="s">
        <v>3618</v>
      </c>
      <c r="J1002" s="116">
        <v>3.5</v>
      </c>
      <c r="K1002" s="118">
        <v>545000</v>
      </c>
      <c r="L1002" s="119"/>
      <c r="M1002" s="118">
        <f>K1002*0.1</f>
        <v>54500</v>
      </c>
      <c r="N1002" s="119"/>
      <c r="O1002" s="118">
        <v>0</v>
      </c>
      <c r="P1002" s="119"/>
      <c r="Q1002" s="118">
        <v>9320</v>
      </c>
      <c r="R1002" s="119"/>
      <c r="S1002" s="118">
        <v>13750</v>
      </c>
      <c r="T1002" s="119"/>
      <c r="U1002" s="118">
        <f>SUM(K1002:T1003)</f>
        <v>622570</v>
      </c>
      <c r="V1002" s="122"/>
      <c r="W1002" s="124"/>
      <c r="X1002" s="126" t="s">
        <v>3619</v>
      </c>
      <c r="Y1002" s="127"/>
      <c r="Z1002" s="127"/>
      <c r="AA1002" s="127"/>
      <c r="AB1002" s="128"/>
      <c r="AC1002" s="15" t="s">
        <v>20</v>
      </c>
      <c r="AD1002" s="129" t="s">
        <v>3620</v>
      </c>
      <c r="AE1002" s="130"/>
      <c r="AF1002" s="130"/>
      <c r="AG1002" s="130"/>
      <c r="AH1002" s="130"/>
      <c r="AI1002" s="131"/>
      <c r="AJ1002" s="132"/>
      <c r="AK1002" s="127"/>
      <c r="AL1002" s="128"/>
      <c r="AM1002" s="21" t="s">
        <v>3621</v>
      </c>
      <c r="AN1002" s="133">
        <v>45934</v>
      </c>
      <c r="AO1002" s="134"/>
      <c r="AP1002" s="135">
        <v>1270</v>
      </c>
      <c r="AQ1002" s="136"/>
      <c r="AR1002" s="118">
        <v>590000</v>
      </c>
      <c r="AS1002" s="119"/>
      <c r="AT1002" s="180">
        <f>AR1002*0.1</f>
        <v>59000</v>
      </c>
      <c r="AU1002" s="181"/>
      <c r="AV1002" s="118">
        <v>9320</v>
      </c>
      <c r="AW1002" s="119"/>
      <c r="AX1002" s="118">
        <f>SUM(AR1002:AW1002)</f>
        <v>658320</v>
      </c>
      <c r="AY1002" s="119"/>
      <c r="AZ1002" s="137">
        <v>45937</v>
      </c>
    </row>
    <row r="1003" spans="1:52" ht="17.100000000000001" customHeight="1" thickBot="1">
      <c r="A1003" s="110"/>
      <c r="B1003" s="27" t="s">
        <v>1940</v>
      </c>
      <c r="C1003" s="27">
        <v>2564</v>
      </c>
      <c r="D1003" s="14" t="s">
        <v>2040</v>
      </c>
      <c r="E1003" s="112"/>
      <c r="F1003" s="139" t="s">
        <v>3622</v>
      </c>
      <c r="G1003" s="140"/>
      <c r="H1003" s="141"/>
      <c r="I1003" s="26">
        <v>57163</v>
      </c>
      <c r="J1003" s="117"/>
      <c r="K1003" s="120"/>
      <c r="L1003" s="121"/>
      <c r="M1003" s="120"/>
      <c r="N1003" s="121"/>
      <c r="O1003" s="120"/>
      <c r="P1003" s="121"/>
      <c r="Q1003" s="120"/>
      <c r="R1003" s="121"/>
      <c r="S1003" s="120"/>
      <c r="T1003" s="121"/>
      <c r="U1003" s="120"/>
      <c r="V1003" s="123"/>
      <c r="W1003" s="125"/>
      <c r="X1003" s="142" t="s">
        <v>3623</v>
      </c>
      <c r="Y1003" s="143"/>
      <c r="Z1003" s="143"/>
      <c r="AA1003" s="143"/>
      <c r="AB1003" s="144"/>
      <c r="AC1003" s="16" t="s">
        <v>21</v>
      </c>
      <c r="AD1003" s="17" t="s">
        <v>3616</v>
      </c>
      <c r="AE1003" s="145" t="s">
        <v>3624</v>
      </c>
      <c r="AF1003" s="146"/>
      <c r="AG1003" s="146"/>
      <c r="AH1003" s="146"/>
      <c r="AI1003" s="147"/>
      <c r="AJ1003" s="148" t="s">
        <v>3596</v>
      </c>
      <c r="AK1003" s="143"/>
      <c r="AL1003" s="144"/>
      <c r="AM1003" s="22"/>
      <c r="AN1003" s="149" t="s">
        <v>7284</v>
      </c>
      <c r="AO1003" s="144"/>
      <c r="AP1003" s="148">
        <v>60170</v>
      </c>
      <c r="AQ1003" s="144"/>
      <c r="AR1003" s="120"/>
      <c r="AS1003" s="121"/>
      <c r="AT1003" s="120"/>
      <c r="AU1003" s="182"/>
      <c r="AV1003" s="120"/>
      <c r="AW1003" s="121"/>
      <c r="AX1003" s="120"/>
      <c r="AY1003" s="121"/>
      <c r="AZ1003" s="138"/>
    </row>
    <row r="1004" spans="1:52" ht="17.100000000000001" customHeight="1" thickTop="1">
      <c r="A1004" s="109" t="s">
        <v>6239</v>
      </c>
      <c r="B1004" s="28">
        <v>45715</v>
      </c>
      <c r="C1004" s="25">
        <v>1506</v>
      </c>
      <c r="D1004" s="13" t="s">
        <v>2179</v>
      </c>
      <c r="E1004" s="111"/>
      <c r="F1004" s="113" t="s">
        <v>3625</v>
      </c>
      <c r="G1004" s="114"/>
      <c r="H1004" s="115"/>
      <c r="I1004" s="24"/>
      <c r="J1004" s="116">
        <v>4</v>
      </c>
      <c r="K1004" s="118">
        <v>1340000</v>
      </c>
      <c r="L1004" s="119"/>
      <c r="M1004" s="118">
        <f>K1004*0.1</f>
        <v>134000</v>
      </c>
      <c r="N1004" s="119"/>
      <c r="O1004" s="118">
        <v>0</v>
      </c>
      <c r="P1004" s="119"/>
      <c r="Q1004" s="118">
        <v>21300</v>
      </c>
      <c r="R1004" s="119"/>
      <c r="S1004" s="118">
        <v>13200</v>
      </c>
      <c r="T1004" s="119"/>
      <c r="U1004" s="118">
        <f>SUM(K1004:T1005)</f>
        <v>1508500</v>
      </c>
      <c r="V1004" s="122"/>
      <c r="W1004" s="124"/>
      <c r="X1004" s="126" t="s">
        <v>3626</v>
      </c>
      <c r="Y1004" s="127"/>
      <c r="Z1004" s="127"/>
      <c r="AA1004" s="127"/>
      <c r="AB1004" s="128"/>
      <c r="AC1004" s="15" t="s">
        <v>20</v>
      </c>
      <c r="AD1004" s="129" t="s">
        <v>3627</v>
      </c>
      <c r="AE1004" s="130"/>
      <c r="AF1004" s="130"/>
      <c r="AG1004" s="130"/>
      <c r="AH1004" s="130"/>
      <c r="AI1004" s="131"/>
      <c r="AJ1004" s="132"/>
      <c r="AK1004" s="127"/>
      <c r="AL1004" s="128"/>
      <c r="AM1004" s="21"/>
      <c r="AN1004" s="133"/>
      <c r="AO1004" s="134"/>
      <c r="AP1004" s="135"/>
      <c r="AQ1004" s="136"/>
      <c r="AR1004" s="118"/>
      <c r="AS1004" s="119"/>
      <c r="AT1004" s="118">
        <f>AR1004*0.1</f>
        <v>0</v>
      </c>
      <c r="AU1004" s="119"/>
      <c r="AV1004" s="118"/>
      <c r="AW1004" s="119"/>
      <c r="AX1004" s="118">
        <f>SUM(AR1004:AW1004)</f>
        <v>0</v>
      </c>
      <c r="AY1004" s="119"/>
      <c r="AZ1004" s="137"/>
    </row>
    <row r="1005" spans="1:52" ht="17.100000000000001" customHeight="1" thickBot="1">
      <c r="A1005" s="110"/>
      <c r="B1005" s="27" t="s">
        <v>1600</v>
      </c>
      <c r="C1005" s="27">
        <v>79076</v>
      </c>
      <c r="D1005" s="14" t="s">
        <v>133</v>
      </c>
      <c r="E1005" s="112"/>
      <c r="F1005" s="139" t="s">
        <v>3628</v>
      </c>
      <c r="G1005" s="140"/>
      <c r="H1005" s="141"/>
      <c r="I1005" s="26">
        <v>39393</v>
      </c>
      <c r="J1005" s="117"/>
      <c r="K1005" s="120"/>
      <c r="L1005" s="121"/>
      <c r="M1005" s="120"/>
      <c r="N1005" s="121"/>
      <c r="O1005" s="120"/>
      <c r="P1005" s="121"/>
      <c r="Q1005" s="120"/>
      <c r="R1005" s="121"/>
      <c r="S1005" s="120"/>
      <c r="T1005" s="121"/>
      <c r="U1005" s="120"/>
      <c r="V1005" s="123"/>
      <c r="W1005" s="125"/>
      <c r="X1005" s="142" t="s">
        <v>3410</v>
      </c>
      <c r="Y1005" s="143"/>
      <c r="Z1005" s="143"/>
      <c r="AA1005" s="143"/>
      <c r="AB1005" s="144"/>
      <c r="AC1005" s="16" t="s">
        <v>21</v>
      </c>
      <c r="AD1005" s="17" t="s">
        <v>2970</v>
      </c>
      <c r="AE1005" s="145" t="s">
        <v>1742</v>
      </c>
      <c r="AF1005" s="146"/>
      <c r="AG1005" s="146"/>
      <c r="AH1005" s="146"/>
      <c r="AI1005" s="147"/>
      <c r="AJ1005" s="148"/>
      <c r="AK1005" s="143"/>
      <c r="AL1005" s="144"/>
      <c r="AM1005" s="22"/>
      <c r="AN1005" s="149"/>
      <c r="AO1005" s="144"/>
      <c r="AP1005" s="148"/>
      <c r="AQ1005" s="144"/>
      <c r="AR1005" s="120"/>
      <c r="AS1005" s="121"/>
      <c r="AT1005" s="120"/>
      <c r="AU1005" s="121"/>
      <c r="AV1005" s="120"/>
      <c r="AW1005" s="121"/>
      <c r="AX1005" s="120"/>
      <c r="AY1005" s="121"/>
      <c r="AZ1005" s="138"/>
    </row>
    <row r="1006" spans="1:52" ht="17.100000000000001" customHeight="1" thickTop="1">
      <c r="A1006" s="109" t="s">
        <v>6240</v>
      </c>
      <c r="B1006" s="28">
        <v>45715</v>
      </c>
      <c r="C1006" s="25">
        <v>2099</v>
      </c>
      <c r="D1006" s="13" t="s">
        <v>165</v>
      </c>
      <c r="E1006" s="111"/>
      <c r="F1006" s="113" t="s">
        <v>3629</v>
      </c>
      <c r="G1006" s="114"/>
      <c r="H1006" s="115"/>
      <c r="I1006" s="24" t="s">
        <v>3630</v>
      </c>
      <c r="J1006" s="116">
        <v>4</v>
      </c>
      <c r="K1006" s="118">
        <v>547000</v>
      </c>
      <c r="L1006" s="119"/>
      <c r="M1006" s="118">
        <f>K1006*0.1</f>
        <v>54700</v>
      </c>
      <c r="N1006" s="119"/>
      <c r="O1006" s="118">
        <v>0</v>
      </c>
      <c r="P1006" s="119"/>
      <c r="Q1006" s="118">
        <v>8540</v>
      </c>
      <c r="R1006" s="119"/>
      <c r="S1006" s="118">
        <v>13750</v>
      </c>
      <c r="T1006" s="119"/>
      <c r="U1006" s="118">
        <f>SUM(K1006:T1007)</f>
        <v>623990</v>
      </c>
      <c r="V1006" s="122"/>
      <c r="W1006" s="124"/>
      <c r="X1006" s="126" t="s">
        <v>3631</v>
      </c>
      <c r="Y1006" s="127"/>
      <c r="Z1006" s="127"/>
      <c r="AA1006" s="127"/>
      <c r="AB1006" s="128"/>
      <c r="AC1006" s="15" t="s">
        <v>20</v>
      </c>
      <c r="AD1006" s="129" t="s">
        <v>1633</v>
      </c>
      <c r="AE1006" s="130"/>
      <c r="AF1006" s="130"/>
      <c r="AG1006" s="130"/>
      <c r="AH1006" s="130"/>
      <c r="AI1006" s="131"/>
      <c r="AJ1006" s="132"/>
      <c r="AK1006" s="127"/>
      <c r="AL1006" s="128"/>
      <c r="AM1006" s="21" t="s">
        <v>3632</v>
      </c>
      <c r="AN1006" s="133">
        <v>45941</v>
      </c>
      <c r="AO1006" s="134"/>
      <c r="AP1006" s="135">
        <v>1271</v>
      </c>
      <c r="AQ1006" s="136"/>
      <c r="AR1006" s="118">
        <v>550000</v>
      </c>
      <c r="AS1006" s="119"/>
      <c r="AT1006" s="180">
        <f>AR1006*0.1</f>
        <v>55000</v>
      </c>
      <c r="AU1006" s="181"/>
      <c r="AV1006" s="118">
        <v>8540</v>
      </c>
      <c r="AW1006" s="119"/>
      <c r="AX1006" s="118">
        <f>SUM(AR1006:AW1006)</f>
        <v>613540</v>
      </c>
      <c r="AY1006" s="119"/>
      <c r="AZ1006" s="137">
        <v>45950</v>
      </c>
    </row>
    <row r="1007" spans="1:52" ht="17.100000000000001" customHeight="1" thickBot="1">
      <c r="A1007" s="110"/>
      <c r="B1007" s="27" t="s">
        <v>1940</v>
      </c>
      <c r="C1007" s="27">
        <v>2084</v>
      </c>
      <c r="D1007" s="14" t="s">
        <v>2601</v>
      </c>
      <c r="E1007" s="112"/>
      <c r="F1007" s="139" t="s">
        <v>3633</v>
      </c>
      <c r="G1007" s="140"/>
      <c r="H1007" s="141"/>
      <c r="I1007" s="26">
        <v>67321</v>
      </c>
      <c r="J1007" s="117"/>
      <c r="K1007" s="120"/>
      <c r="L1007" s="121"/>
      <c r="M1007" s="120"/>
      <c r="N1007" s="121"/>
      <c r="O1007" s="120"/>
      <c r="P1007" s="121"/>
      <c r="Q1007" s="120"/>
      <c r="R1007" s="121"/>
      <c r="S1007" s="120"/>
      <c r="T1007" s="121"/>
      <c r="U1007" s="120"/>
      <c r="V1007" s="123"/>
      <c r="W1007" s="125"/>
      <c r="X1007" s="142" t="s">
        <v>3634</v>
      </c>
      <c r="Y1007" s="143"/>
      <c r="Z1007" s="143"/>
      <c r="AA1007" s="143"/>
      <c r="AB1007" s="144"/>
      <c r="AC1007" s="16" t="s">
        <v>21</v>
      </c>
      <c r="AD1007" s="17" t="s">
        <v>2970</v>
      </c>
      <c r="AE1007" s="145" t="s">
        <v>3635</v>
      </c>
      <c r="AF1007" s="146"/>
      <c r="AG1007" s="146"/>
      <c r="AH1007" s="146"/>
      <c r="AI1007" s="147"/>
      <c r="AJ1007" s="148"/>
      <c r="AK1007" s="143"/>
      <c r="AL1007" s="144"/>
      <c r="AM1007" s="22"/>
      <c r="AN1007" s="149" t="s">
        <v>6749</v>
      </c>
      <c r="AO1007" s="144"/>
      <c r="AP1007" s="148">
        <v>60100</v>
      </c>
      <c r="AQ1007" s="144"/>
      <c r="AR1007" s="120"/>
      <c r="AS1007" s="121"/>
      <c r="AT1007" s="120"/>
      <c r="AU1007" s="182"/>
      <c r="AV1007" s="120"/>
      <c r="AW1007" s="121"/>
      <c r="AX1007" s="120"/>
      <c r="AY1007" s="121"/>
      <c r="AZ1007" s="138"/>
    </row>
    <row r="1008" spans="1:52" ht="17.100000000000001" customHeight="1" thickTop="1">
      <c r="A1008" s="109" t="s">
        <v>6241</v>
      </c>
      <c r="B1008" s="28">
        <v>45716</v>
      </c>
      <c r="C1008" s="25">
        <v>1146</v>
      </c>
      <c r="D1008" s="13" t="s">
        <v>2859</v>
      </c>
      <c r="E1008" s="111"/>
      <c r="F1008" s="113" t="s">
        <v>3636</v>
      </c>
      <c r="G1008" s="114"/>
      <c r="H1008" s="115"/>
      <c r="I1008" s="24"/>
      <c r="J1008" s="116">
        <v>5</v>
      </c>
      <c r="K1008" s="118">
        <v>2010000</v>
      </c>
      <c r="L1008" s="119"/>
      <c r="M1008" s="118">
        <f>K1008*0.1</f>
        <v>201000</v>
      </c>
      <c r="N1008" s="119"/>
      <c r="O1008" s="118">
        <v>0</v>
      </c>
      <c r="P1008" s="119"/>
      <c r="Q1008" s="118">
        <v>16240</v>
      </c>
      <c r="R1008" s="119"/>
      <c r="S1008" s="118">
        <v>13200</v>
      </c>
      <c r="T1008" s="119"/>
      <c r="U1008" s="118">
        <f>SUM(K1008:T1009)</f>
        <v>2240440</v>
      </c>
      <c r="V1008" s="122"/>
      <c r="W1008" s="124"/>
      <c r="X1008" s="126" t="s">
        <v>3637</v>
      </c>
      <c r="Y1008" s="127"/>
      <c r="Z1008" s="127"/>
      <c r="AA1008" s="127"/>
      <c r="AB1008" s="128"/>
      <c r="AC1008" s="15" t="s">
        <v>20</v>
      </c>
      <c r="AD1008" s="129" t="s">
        <v>3638</v>
      </c>
      <c r="AE1008" s="130"/>
      <c r="AF1008" s="130"/>
      <c r="AG1008" s="130"/>
      <c r="AH1008" s="130"/>
      <c r="AI1008" s="131"/>
      <c r="AJ1008" s="132"/>
      <c r="AK1008" s="127"/>
      <c r="AL1008" s="128"/>
      <c r="AM1008" s="21"/>
      <c r="AN1008" s="133">
        <v>45914</v>
      </c>
      <c r="AO1008" s="134"/>
      <c r="AP1008" s="135"/>
      <c r="AQ1008" s="136"/>
      <c r="AR1008" s="118">
        <v>2870000</v>
      </c>
      <c r="AS1008" s="119"/>
      <c r="AT1008" s="180">
        <v>0</v>
      </c>
      <c r="AU1008" s="181"/>
      <c r="AV1008" s="118">
        <v>0</v>
      </c>
      <c r="AW1008" s="119"/>
      <c r="AX1008" s="118">
        <f>SUM(AR1008:AW1008)</f>
        <v>2870000</v>
      </c>
      <c r="AY1008" s="119"/>
      <c r="AZ1008" s="137">
        <v>45943</v>
      </c>
    </row>
    <row r="1009" spans="1:52" ht="17.100000000000001" customHeight="1" thickBot="1">
      <c r="A1009" s="110"/>
      <c r="B1009" s="27" t="s">
        <v>1828</v>
      </c>
      <c r="C1009" s="27">
        <v>88044</v>
      </c>
      <c r="D1009" s="14" t="s">
        <v>1576</v>
      </c>
      <c r="E1009" s="112"/>
      <c r="F1009" s="139" t="s">
        <v>3639</v>
      </c>
      <c r="G1009" s="140"/>
      <c r="H1009" s="141"/>
      <c r="I1009" s="26">
        <v>32650</v>
      </c>
      <c r="J1009" s="117"/>
      <c r="K1009" s="120"/>
      <c r="L1009" s="121"/>
      <c r="M1009" s="120"/>
      <c r="N1009" s="121"/>
      <c r="O1009" s="120"/>
      <c r="P1009" s="121"/>
      <c r="Q1009" s="120"/>
      <c r="R1009" s="121"/>
      <c r="S1009" s="120"/>
      <c r="T1009" s="121"/>
      <c r="U1009" s="120"/>
      <c r="V1009" s="123"/>
      <c r="W1009" s="125"/>
      <c r="X1009" s="142" t="s">
        <v>3640</v>
      </c>
      <c r="Y1009" s="143"/>
      <c r="Z1009" s="143"/>
      <c r="AA1009" s="143"/>
      <c r="AB1009" s="144"/>
      <c r="AC1009" s="16" t="s">
        <v>21</v>
      </c>
      <c r="AD1009" s="17" t="s">
        <v>2970</v>
      </c>
      <c r="AE1009" s="145" t="s">
        <v>3641</v>
      </c>
      <c r="AF1009" s="146"/>
      <c r="AG1009" s="146"/>
      <c r="AH1009" s="146"/>
      <c r="AI1009" s="147"/>
      <c r="AJ1009" s="148"/>
      <c r="AK1009" s="143"/>
      <c r="AL1009" s="144"/>
      <c r="AM1009" s="22"/>
      <c r="AN1009" s="149" t="s">
        <v>8241</v>
      </c>
      <c r="AO1009" s="144"/>
      <c r="AP1009" s="148"/>
      <c r="AQ1009" s="144"/>
      <c r="AR1009" s="120"/>
      <c r="AS1009" s="121"/>
      <c r="AT1009" s="120"/>
      <c r="AU1009" s="182"/>
      <c r="AV1009" s="120"/>
      <c r="AW1009" s="121"/>
      <c r="AX1009" s="120"/>
      <c r="AY1009" s="121"/>
      <c r="AZ1009" s="138"/>
    </row>
    <row r="1010" spans="1:52" ht="17.100000000000001" customHeight="1" thickTop="1">
      <c r="A1010" s="109" t="s">
        <v>6242</v>
      </c>
      <c r="B1010" s="28">
        <v>45716</v>
      </c>
      <c r="C1010" s="25">
        <v>2075</v>
      </c>
      <c r="D1010" s="13" t="s">
        <v>1929</v>
      </c>
      <c r="E1010" s="111"/>
      <c r="F1010" s="113" t="s">
        <v>3398</v>
      </c>
      <c r="G1010" s="114"/>
      <c r="H1010" s="115"/>
      <c r="I1010" s="24" t="s">
        <v>3642</v>
      </c>
      <c r="J1010" s="116">
        <v>4.5</v>
      </c>
      <c r="K1010" s="118">
        <v>1920000</v>
      </c>
      <c r="L1010" s="119"/>
      <c r="M1010" s="118">
        <f>K1010*0.1</f>
        <v>192000</v>
      </c>
      <c r="N1010" s="119"/>
      <c r="O1010" s="118">
        <f>3200+320</f>
        <v>3520</v>
      </c>
      <c r="P1010" s="119"/>
      <c r="Q1010" s="118">
        <v>13210</v>
      </c>
      <c r="R1010" s="119"/>
      <c r="S1010" s="118">
        <v>13200</v>
      </c>
      <c r="T1010" s="119"/>
      <c r="U1010" s="118">
        <f>SUM(K1010:T1011)</f>
        <v>2141930</v>
      </c>
      <c r="V1010" s="122"/>
      <c r="W1010" s="124"/>
      <c r="X1010" s="126" t="s">
        <v>3643</v>
      </c>
      <c r="Y1010" s="127"/>
      <c r="Z1010" s="127"/>
      <c r="AA1010" s="127"/>
      <c r="AB1010" s="128"/>
      <c r="AC1010" s="15" t="s">
        <v>20</v>
      </c>
      <c r="AD1010" s="129" t="s">
        <v>1575</v>
      </c>
      <c r="AE1010" s="130"/>
      <c r="AF1010" s="130"/>
      <c r="AG1010" s="130"/>
      <c r="AH1010" s="130"/>
      <c r="AI1010" s="131"/>
      <c r="AJ1010" s="132"/>
      <c r="AK1010" s="127"/>
      <c r="AL1010" s="128"/>
      <c r="AM1010" s="21" t="s">
        <v>3644</v>
      </c>
      <c r="AN1010" s="133"/>
      <c r="AO1010" s="134"/>
      <c r="AP1010" s="135"/>
      <c r="AQ1010" s="136"/>
      <c r="AR1010" s="118"/>
      <c r="AS1010" s="119"/>
      <c r="AT1010" s="180">
        <f>AR1010*0.1</f>
        <v>0</v>
      </c>
      <c r="AU1010" s="181"/>
      <c r="AV1010" s="118"/>
      <c r="AW1010" s="119"/>
      <c r="AX1010" s="118">
        <f>SUM(AR1010:AW1010)</f>
        <v>0</v>
      </c>
      <c r="AY1010" s="119"/>
      <c r="AZ1010" s="137"/>
    </row>
    <row r="1011" spans="1:52" ht="17.100000000000001" customHeight="1" thickBot="1">
      <c r="A1011" s="110"/>
      <c r="B1011" s="27" t="s">
        <v>1543</v>
      </c>
      <c r="C1011" s="27">
        <v>35427</v>
      </c>
      <c r="D1011" s="14" t="s">
        <v>904</v>
      </c>
      <c r="E1011" s="112"/>
      <c r="F1011" s="139" t="s">
        <v>3645</v>
      </c>
      <c r="G1011" s="140"/>
      <c r="H1011" s="141"/>
      <c r="I1011" s="26">
        <v>30596</v>
      </c>
      <c r="J1011" s="117"/>
      <c r="K1011" s="120"/>
      <c r="L1011" s="121"/>
      <c r="M1011" s="120"/>
      <c r="N1011" s="121"/>
      <c r="O1011" s="120"/>
      <c r="P1011" s="121"/>
      <c r="Q1011" s="120"/>
      <c r="R1011" s="121"/>
      <c r="S1011" s="120"/>
      <c r="T1011" s="121"/>
      <c r="U1011" s="120"/>
      <c r="V1011" s="123"/>
      <c r="W1011" s="125"/>
      <c r="X1011" s="142" t="s">
        <v>3646</v>
      </c>
      <c r="Y1011" s="143"/>
      <c r="Z1011" s="143"/>
      <c r="AA1011" s="143"/>
      <c r="AB1011" s="144"/>
      <c r="AC1011" s="16" t="s">
        <v>21</v>
      </c>
      <c r="AD1011" s="17" t="s">
        <v>2681</v>
      </c>
      <c r="AE1011" s="145" t="s">
        <v>3647</v>
      </c>
      <c r="AF1011" s="146"/>
      <c r="AG1011" s="146"/>
      <c r="AH1011" s="146"/>
      <c r="AI1011" s="147"/>
      <c r="AJ1011" s="148" t="s">
        <v>3648</v>
      </c>
      <c r="AK1011" s="143"/>
      <c r="AL1011" s="144"/>
      <c r="AM1011" s="22"/>
      <c r="AN1011" s="149"/>
      <c r="AO1011" s="144"/>
      <c r="AP1011" s="148"/>
      <c r="AQ1011" s="144"/>
      <c r="AR1011" s="120"/>
      <c r="AS1011" s="121"/>
      <c r="AT1011" s="120"/>
      <c r="AU1011" s="182"/>
      <c r="AV1011" s="120"/>
      <c r="AW1011" s="121"/>
      <c r="AX1011" s="120"/>
      <c r="AY1011" s="121"/>
      <c r="AZ1011" s="138"/>
    </row>
    <row r="1012" spans="1:52" ht="17.100000000000001" customHeight="1" thickTop="1">
      <c r="A1012" s="109" t="s">
        <v>6243</v>
      </c>
      <c r="B1012" s="28">
        <v>45724</v>
      </c>
      <c r="C1012" s="25">
        <v>964</v>
      </c>
      <c r="D1012" s="13" t="s">
        <v>2329</v>
      </c>
      <c r="E1012" s="111"/>
      <c r="F1012" s="113" t="s">
        <v>2312</v>
      </c>
      <c r="G1012" s="114"/>
      <c r="H1012" s="115"/>
      <c r="I1012" s="24"/>
      <c r="J1012" s="116">
        <v>4.5</v>
      </c>
      <c r="K1012" s="118">
        <v>1949000</v>
      </c>
      <c r="L1012" s="119"/>
      <c r="M1012" s="118">
        <f>K1012*0.1</f>
        <v>194900</v>
      </c>
      <c r="N1012" s="119"/>
      <c r="O1012" s="118">
        <v>0</v>
      </c>
      <c r="P1012" s="119"/>
      <c r="Q1012" s="118">
        <v>16240</v>
      </c>
      <c r="R1012" s="119"/>
      <c r="S1012" s="118">
        <v>14850</v>
      </c>
      <c r="T1012" s="119"/>
      <c r="U1012" s="118">
        <f>SUM(K1012:T1013)</f>
        <v>2174990</v>
      </c>
      <c r="V1012" s="122"/>
      <c r="W1012" s="124"/>
      <c r="X1012" s="126" t="s">
        <v>3649</v>
      </c>
      <c r="Y1012" s="127"/>
      <c r="Z1012" s="127"/>
      <c r="AA1012" s="127"/>
      <c r="AB1012" s="128"/>
      <c r="AC1012" s="15" t="s">
        <v>20</v>
      </c>
      <c r="AD1012" s="129" t="s">
        <v>3650</v>
      </c>
      <c r="AE1012" s="130"/>
      <c r="AF1012" s="130"/>
      <c r="AG1012" s="130"/>
      <c r="AH1012" s="130"/>
      <c r="AI1012" s="131"/>
      <c r="AJ1012" s="132"/>
      <c r="AK1012" s="127"/>
      <c r="AL1012" s="128"/>
      <c r="AM1012" s="21"/>
      <c r="AN1012" s="133">
        <v>45990</v>
      </c>
      <c r="AO1012" s="134"/>
      <c r="AP1012" s="135">
        <v>1278</v>
      </c>
      <c r="AQ1012" s="136"/>
      <c r="AR1012" s="118">
        <v>3060000</v>
      </c>
      <c r="AS1012" s="119"/>
      <c r="AT1012" s="180">
        <f>AR1012*0.1</f>
        <v>306000</v>
      </c>
      <c r="AU1012" s="181"/>
      <c r="AV1012" s="118">
        <v>16240</v>
      </c>
      <c r="AW1012" s="119"/>
      <c r="AX1012" s="118">
        <f>SUM(AR1012:AW1012)</f>
        <v>3382240</v>
      </c>
      <c r="AY1012" s="119"/>
      <c r="AZ1012" s="137">
        <v>45994</v>
      </c>
    </row>
    <row r="1013" spans="1:52" ht="17.100000000000001" customHeight="1" thickBot="1">
      <c r="A1013" s="110"/>
      <c r="B1013" s="27" t="s">
        <v>1707</v>
      </c>
      <c r="C1013" s="27">
        <v>5015</v>
      </c>
      <c r="D1013" s="14" t="s">
        <v>904</v>
      </c>
      <c r="E1013" s="112"/>
      <c r="F1013" s="139" t="s">
        <v>3651</v>
      </c>
      <c r="G1013" s="140"/>
      <c r="H1013" s="141"/>
      <c r="I1013" s="26">
        <v>45218</v>
      </c>
      <c r="J1013" s="117"/>
      <c r="K1013" s="120"/>
      <c r="L1013" s="121"/>
      <c r="M1013" s="120"/>
      <c r="N1013" s="121"/>
      <c r="O1013" s="120"/>
      <c r="P1013" s="121"/>
      <c r="Q1013" s="120"/>
      <c r="R1013" s="121"/>
      <c r="S1013" s="120"/>
      <c r="T1013" s="121"/>
      <c r="U1013" s="120"/>
      <c r="V1013" s="123"/>
      <c r="W1013" s="125"/>
      <c r="X1013" s="142" t="s">
        <v>3652</v>
      </c>
      <c r="Y1013" s="143"/>
      <c r="Z1013" s="143"/>
      <c r="AA1013" s="143"/>
      <c r="AB1013" s="144"/>
      <c r="AC1013" s="16" t="s">
        <v>21</v>
      </c>
      <c r="AD1013" s="17" t="s">
        <v>3653</v>
      </c>
      <c r="AE1013" s="145" t="s">
        <v>2832</v>
      </c>
      <c r="AF1013" s="146"/>
      <c r="AG1013" s="146"/>
      <c r="AH1013" s="146"/>
      <c r="AI1013" s="147"/>
      <c r="AJ1013" s="148"/>
      <c r="AK1013" s="143"/>
      <c r="AL1013" s="144"/>
      <c r="AM1013" s="22"/>
      <c r="AN1013" s="149" t="s">
        <v>2511</v>
      </c>
      <c r="AO1013" s="144"/>
      <c r="AP1013" s="148">
        <v>82127</v>
      </c>
      <c r="AQ1013" s="144"/>
      <c r="AR1013" s="120"/>
      <c r="AS1013" s="121"/>
      <c r="AT1013" s="120"/>
      <c r="AU1013" s="182"/>
      <c r="AV1013" s="120"/>
      <c r="AW1013" s="121"/>
      <c r="AX1013" s="120"/>
      <c r="AY1013" s="121"/>
      <c r="AZ1013" s="138"/>
    </row>
    <row r="1014" spans="1:52" ht="17.100000000000001" customHeight="1" thickTop="1">
      <c r="A1014" s="109" t="s">
        <v>6244</v>
      </c>
      <c r="B1014" s="28">
        <v>45725</v>
      </c>
      <c r="C1014" s="25"/>
      <c r="D1014" s="13" t="s">
        <v>3654</v>
      </c>
      <c r="E1014" s="111"/>
      <c r="F1014" s="113" t="s">
        <v>3655</v>
      </c>
      <c r="G1014" s="114"/>
      <c r="H1014" s="115"/>
      <c r="I1014" s="24" t="s">
        <v>2858</v>
      </c>
      <c r="J1014" s="116"/>
      <c r="K1014" s="118">
        <v>0</v>
      </c>
      <c r="L1014" s="119"/>
      <c r="M1014" s="118">
        <f>K1014*0.1</f>
        <v>0</v>
      </c>
      <c r="N1014" s="119"/>
      <c r="O1014" s="118">
        <v>0</v>
      </c>
      <c r="P1014" s="119"/>
      <c r="Q1014" s="118">
        <v>0</v>
      </c>
      <c r="R1014" s="119"/>
      <c r="S1014" s="118">
        <v>0</v>
      </c>
      <c r="T1014" s="119"/>
      <c r="U1014" s="118">
        <f>SUM(K1014:T1015)</f>
        <v>0</v>
      </c>
      <c r="V1014" s="122"/>
      <c r="W1014" s="124"/>
      <c r="X1014" s="126" t="s">
        <v>3656</v>
      </c>
      <c r="Y1014" s="127"/>
      <c r="Z1014" s="127"/>
      <c r="AA1014" s="127"/>
      <c r="AB1014" s="128"/>
      <c r="AC1014" s="15" t="s">
        <v>20</v>
      </c>
      <c r="AD1014" s="129"/>
      <c r="AE1014" s="130"/>
      <c r="AF1014" s="130"/>
      <c r="AG1014" s="130"/>
      <c r="AH1014" s="130"/>
      <c r="AI1014" s="131"/>
      <c r="AJ1014" s="132"/>
      <c r="AK1014" s="127"/>
      <c r="AL1014" s="128"/>
      <c r="AM1014" s="21"/>
      <c r="AN1014" s="133"/>
      <c r="AO1014" s="134"/>
      <c r="AP1014" s="135"/>
      <c r="AQ1014" s="136"/>
      <c r="AR1014" s="118"/>
      <c r="AS1014" s="119"/>
      <c r="AT1014" s="180">
        <f>AR1014*0.1</f>
        <v>0</v>
      </c>
      <c r="AU1014" s="181"/>
      <c r="AV1014" s="118"/>
      <c r="AW1014" s="119"/>
      <c r="AX1014" s="118">
        <f>SUM(AR1014:AW1014)</f>
        <v>0</v>
      </c>
      <c r="AY1014" s="119"/>
      <c r="AZ1014" s="137"/>
    </row>
    <row r="1015" spans="1:52" ht="17.100000000000001" customHeight="1" thickBot="1">
      <c r="A1015" s="110"/>
      <c r="B1015" s="27" t="s">
        <v>3657</v>
      </c>
      <c r="C1015" s="27"/>
      <c r="D1015" s="14"/>
      <c r="E1015" s="112"/>
      <c r="F1015" s="139" t="s">
        <v>3658</v>
      </c>
      <c r="G1015" s="140"/>
      <c r="H1015" s="141"/>
      <c r="I1015" s="26"/>
      <c r="J1015" s="117"/>
      <c r="K1015" s="120"/>
      <c r="L1015" s="121"/>
      <c r="M1015" s="120"/>
      <c r="N1015" s="121"/>
      <c r="O1015" s="120"/>
      <c r="P1015" s="121"/>
      <c r="Q1015" s="120"/>
      <c r="R1015" s="121"/>
      <c r="S1015" s="120"/>
      <c r="T1015" s="121"/>
      <c r="U1015" s="120"/>
      <c r="V1015" s="123"/>
      <c r="W1015" s="125"/>
      <c r="X1015" s="142" t="s">
        <v>3659</v>
      </c>
      <c r="Y1015" s="143"/>
      <c r="Z1015" s="143"/>
      <c r="AA1015" s="143"/>
      <c r="AB1015" s="144"/>
      <c r="AC1015" s="16" t="s">
        <v>21</v>
      </c>
      <c r="AD1015" s="17" t="s">
        <v>3014</v>
      </c>
      <c r="AE1015" s="145" t="s">
        <v>3660</v>
      </c>
      <c r="AF1015" s="146"/>
      <c r="AG1015" s="146"/>
      <c r="AH1015" s="146"/>
      <c r="AI1015" s="147"/>
      <c r="AJ1015" s="148"/>
      <c r="AK1015" s="143"/>
      <c r="AL1015" s="144"/>
      <c r="AM1015" s="22" t="s">
        <v>907</v>
      </c>
      <c r="AN1015" s="149"/>
      <c r="AO1015" s="144"/>
      <c r="AP1015" s="148"/>
      <c r="AQ1015" s="144"/>
      <c r="AR1015" s="120"/>
      <c r="AS1015" s="121"/>
      <c r="AT1015" s="120"/>
      <c r="AU1015" s="182"/>
      <c r="AV1015" s="120"/>
      <c r="AW1015" s="121"/>
      <c r="AX1015" s="120"/>
      <c r="AY1015" s="121"/>
      <c r="AZ1015" s="138"/>
    </row>
    <row r="1016" spans="1:52" ht="17.100000000000001" customHeight="1" thickTop="1">
      <c r="A1016" s="109" t="s">
        <v>6245</v>
      </c>
      <c r="B1016" s="28">
        <v>45727</v>
      </c>
      <c r="C1016" s="25">
        <v>1036</v>
      </c>
      <c r="D1016" s="13" t="s">
        <v>1937</v>
      </c>
      <c r="E1016" s="111"/>
      <c r="F1016" s="113" t="s">
        <v>3661</v>
      </c>
      <c r="G1016" s="114"/>
      <c r="H1016" s="115"/>
      <c r="I1016" s="24" t="s">
        <v>3662</v>
      </c>
      <c r="J1016" s="116">
        <v>4.5</v>
      </c>
      <c r="K1016" s="118">
        <v>2090000</v>
      </c>
      <c r="L1016" s="119"/>
      <c r="M1016" s="118">
        <f>K1016*0.1</f>
        <v>209000</v>
      </c>
      <c r="N1016" s="119"/>
      <c r="O1016" s="118">
        <v>39500</v>
      </c>
      <c r="P1016" s="119"/>
      <c r="Q1016" s="118">
        <v>15240</v>
      </c>
      <c r="R1016" s="119"/>
      <c r="S1016" s="118">
        <v>13200</v>
      </c>
      <c r="T1016" s="119"/>
      <c r="U1016" s="118">
        <f>SUM(K1016:T1017)</f>
        <v>2366940</v>
      </c>
      <c r="V1016" s="122"/>
      <c r="W1016" s="124"/>
      <c r="X1016" s="126" t="s">
        <v>3663</v>
      </c>
      <c r="Y1016" s="127"/>
      <c r="Z1016" s="127"/>
      <c r="AA1016" s="127"/>
      <c r="AB1016" s="128"/>
      <c r="AC1016" s="15" t="s">
        <v>20</v>
      </c>
      <c r="AD1016" s="129" t="s">
        <v>3517</v>
      </c>
      <c r="AE1016" s="130"/>
      <c r="AF1016" s="130"/>
      <c r="AG1016" s="130"/>
      <c r="AH1016" s="130"/>
      <c r="AI1016" s="131"/>
      <c r="AJ1016" s="132"/>
      <c r="AK1016" s="127"/>
      <c r="AL1016" s="128"/>
      <c r="AM1016" s="21"/>
      <c r="AN1016" s="133"/>
      <c r="AO1016" s="134"/>
      <c r="AP1016" s="135"/>
      <c r="AQ1016" s="136"/>
      <c r="AR1016" s="118"/>
      <c r="AS1016" s="119"/>
      <c r="AT1016" s="180">
        <f>AR1016*0.1</f>
        <v>0</v>
      </c>
      <c r="AU1016" s="181"/>
      <c r="AV1016" s="118"/>
      <c r="AW1016" s="119"/>
      <c r="AX1016" s="118">
        <f>SUM(AR1016:AW1016)</f>
        <v>0</v>
      </c>
      <c r="AY1016" s="119"/>
      <c r="AZ1016" s="137"/>
    </row>
    <row r="1017" spans="1:52" ht="17.100000000000001" customHeight="1" thickBot="1">
      <c r="A1017" s="110"/>
      <c r="B1017" s="27" t="s">
        <v>1591</v>
      </c>
      <c r="C1017" s="27">
        <v>90096</v>
      </c>
      <c r="D1017" s="14" t="s">
        <v>133</v>
      </c>
      <c r="E1017" s="112"/>
      <c r="F1017" s="139" t="s">
        <v>3664</v>
      </c>
      <c r="G1017" s="140"/>
      <c r="H1017" s="141"/>
      <c r="I1017" s="26">
        <v>48655</v>
      </c>
      <c r="J1017" s="117"/>
      <c r="K1017" s="120"/>
      <c r="L1017" s="121"/>
      <c r="M1017" s="120"/>
      <c r="N1017" s="121"/>
      <c r="O1017" s="120"/>
      <c r="P1017" s="121"/>
      <c r="Q1017" s="120"/>
      <c r="R1017" s="121"/>
      <c r="S1017" s="120"/>
      <c r="T1017" s="121"/>
      <c r="U1017" s="120"/>
      <c r="V1017" s="123"/>
      <c r="W1017" s="125"/>
      <c r="X1017" s="142" t="s">
        <v>3665</v>
      </c>
      <c r="Y1017" s="143"/>
      <c r="Z1017" s="143"/>
      <c r="AA1017" s="143"/>
      <c r="AB1017" s="144"/>
      <c r="AC1017" s="16" t="s">
        <v>21</v>
      </c>
      <c r="AD1017" s="17" t="s">
        <v>3666</v>
      </c>
      <c r="AE1017" s="145" t="s">
        <v>2920</v>
      </c>
      <c r="AF1017" s="146"/>
      <c r="AG1017" s="146"/>
      <c r="AH1017" s="146"/>
      <c r="AI1017" s="147"/>
      <c r="AJ1017" s="148"/>
      <c r="AK1017" s="143"/>
      <c r="AL1017" s="144"/>
      <c r="AM1017" s="22" t="s">
        <v>907</v>
      </c>
      <c r="AN1017" s="149"/>
      <c r="AO1017" s="144"/>
      <c r="AP1017" s="148"/>
      <c r="AQ1017" s="144"/>
      <c r="AR1017" s="120"/>
      <c r="AS1017" s="121"/>
      <c r="AT1017" s="120"/>
      <c r="AU1017" s="182"/>
      <c r="AV1017" s="120"/>
      <c r="AW1017" s="121"/>
      <c r="AX1017" s="120"/>
      <c r="AY1017" s="121"/>
      <c r="AZ1017" s="138"/>
    </row>
    <row r="1018" spans="1:52" ht="17.100000000000001" customHeight="1" thickTop="1">
      <c r="A1018" s="109" t="s">
        <v>6246</v>
      </c>
      <c r="B1018" s="28">
        <v>45730</v>
      </c>
      <c r="C1018" s="25">
        <v>1361</v>
      </c>
      <c r="D1018" s="13" t="s">
        <v>2949</v>
      </c>
      <c r="E1018" s="111"/>
      <c r="F1018" s="113" t="s">
        <v>3667</v>
      </c>
      <c r="G1018" s="114"/>
      <c r="H1018" s="115"/>
      <c r="I1018" s="24" t="s">
        <v>3668</v>
      </c>
      <c r="J1018" s="116">
        <v>4</v>
      </c>
      <c r="K1018" s="118">
        <v>884000</v>
      </c>
      <c r="L1018" s="119"/>
      <c r="M1018" s="118">
        <f>K1018*0.1</f>
        <v>88400</v>
      </c>
      <c r="N1018" s="119"/>
      <c r="O1018" s="118">
        <v>25000</v>
      </c>
      <c r="P1018" s="119"/>
      <c r="Q1018" s="118">
        <v>9750</v>
      </c>
      <c r="R1018" s="119"/>
      <c r="S1018" s="118">
        <v>13200</v>
      </c>
      <c r="T1018" s="119"/>
      <c r="U1018" s="118">
        <f>SUM(K1018:T1019)</f>
        <v>1020350</v>
      </c>
      <c r="V1018" s="122"/>
      <c r="W1018" s="124"/>
      <c r="X1018" s="126" t="s">
        <v>3669</v>
      </c>
      <c r="Y1018" s="127"/>
      <c r="Z1018" s="127"/>
      <c r="AA1018" s="127"/>
      <c r="AB1018" s="128"/>
      <c r="AC1018" s="15" t="s">
        <v>20</v>
      </c>
      <c r="AD1018" s="129" t="s">
        <v>1732</v>
      </c>
      <c r="AE1018" s="130"/>
      <c r="AF1018" s="130"/>
      <c r="AG1018" s="130"/>
      <c r="AH1018" s="130"/>
      <c r="AI1018" s="131"/>
      <c r="AJ1018" s="132"/>
      <c r="AK1018" s="127"/>
      <c r="AL1018" s="128"/>
      <c r="AM1018" s="21" t="s">
        <v>3670</v>
      </c>
      <c r="AN1018" s="133">
        <v>45934</v>
      </c>
      <c r="AO1018" s="134"/>
      <c r="AP1018" s="135">
        <v>1270</v>
      </c>
      <c r="AQ1018" s="136"/>
      <c r="AR1018" s="118">
        <v>1110000</v>
      </c>
      <c r="AS1018" s="119"/>
      <c r="AT1018" s="180">
        <f>AR1018*0.1</f>
        <v>111000</v>
      </c>
      <c r="AU1018" s="181"/>
      <c r="AV1018" s="118">
        <v>9750</v>
      </c>
      <c r="AW1018" s="119"/>
      <c r="AX1018" s="118">
        <f>SUM(AR1018:AW1018)</f>
        <v>1230750</v>
      </c>
      <c r="AY1018" s="119"/>
      <c r="AZ1018" s="137">
        <v>45937</v>
      </c>
    </row>
    <row r="1019" spans="1:52" ht="17.100000000000001" customHeight="1" thickBot="1">
      <c r="A1019" s="110"/>
      <c r="B1019" s="27" t="s">
        <v>2641</v>
      </c>
      <c r="C1019" s="27">
        <v>3297</v>
      </c>
      <c r="D1019" s="14" t="s">
        <v>275</v>
      </c>
      <c r="E1019" s="112"/>
      <c r="F1019" s="139" t="s">
        <v>3671</v>
      </c>
      <c r="G1019" s="140"/>
      <c r="H1019" s="141"/>
      <c r="I1019" s="26">
        <v>81323</v>
      </c>
      <c r="J1019" s="117"/>
      <c r="K1019" s="120"/>
      <c r="L1019" s="121"/>
      <c r="M1019" s="120"/>
      <c r="N1019" s="121"/>
      <c r="O1019" s="120"/>
      <c r="P1019" s="121"/>
      <c r="Q1019" s="120"/>
      <c r="R1019" s="121"/>
      <c r="S1019" s="120"/>
      <c r="T1019" s="121"/>
      <c r="U1019" s="120"/>
      <c r="V1019" s="123"/>
      <c r="W1019" s="125"/>
      <c r="X1019" s="142" t="s">
        <v>3672</v>
      </c>
      <c r="Y1019" s="143"/>
      <c r="Z1019" s="143"/>
      <c r="AA1019" s="143"/>
      <c r="AB1019" s="144"/>
      <c r="AC1019" s="16" t="s">
        <v>21</v>
      </c>
      <c r="AD1019" s="17" t="s">
        <v>1911</v>
      </c>
      <c r="AE1019" s="145" t="s">
        <v>1614</v>
      </c>
      <c r="AF1019" s="146"/>
      <c r="AG1019" s="146"/>
      <c r="AH1019" s="146"/>
      <c r="AI1019" s="147"/>
      <c r="AJ1019" s="148"/>
      <c r="AK1019" s="143"/>
      <c r="AL1019" s="144"/>
      <c r="AM1019" s="22"/>
      <c r="AN1019" s="149" t="s">
        <v>7284</v>
      </c>
      <c r="AO1019" s="144"/>
      <c r="AP1019" s="148">
        <v>37099</v>
      </c>
      <c r="AQ1019" s="144"/>
      <c r="AR1019" s="120"/>
      <c r="AS1019" s="121"/>
      <c r="AT1019" s="120"/>
      <c r="AU1019" s="182"/>
      <c r="AV1019" s="120"/>
      <c r="AW1019" s="121"/>
      <c r="AX1019" s="120"/>
      <c r="AY1019" s="121"/>
      <c r="AZ1019" s="138"/>
    </row>
    <row r="1020" spans="1:52" ht="17.100000000000001" customHeight="1" thickTop="1">
      <c r="A1020" s="109" t="s">
        <v>6247</v>
      </c>
      <c r="B1020" s="28">
        <v>45733</v>
      </c>
      <c r="C1020" s="25"/>
      <c r="D1020" s="13" t="s">
        <v>1640</v>
      </c>
      <c r="E1020" s="111"/>
      <c r="F1020" s="113" t="s">
        <v>3673</v>
      </c>
      <c r="G1020" s="114"/>
      <c r="H1020" s="115"/>
      <c r="I1020" s="24" t="s">
        <v>3674</v>
      </c>
      <c r="J1020" s="116">
        <v>4</v>
      </c>
      <c r="K1020" s="118">
        <f>3558500/1.1</f>
        <v>3234999.9999999995</v>
      </c>
      <c r="L1020" s="119"/>
      <c r="M1020" s="118">
        <f>K1020*0.1</f>
        <v>323500</v>
      </c>
      <c r="N1020" s="119"/>
      <c r="O1020" s="118">
        <v>0</v>
      </c>
      <c r="P1020" s="119"/>
      <c r="Q1020" s="118">
        <v>14980</v>
      </c>
      <c r="R1020" s="119"/>
      <c r="S1020" s="118">
        <v>143963</v>
      </c>
      <c r="T1020" s="119"/>
      <c r="U1020" s="118">
        <f>SUM(K1020:T1021)</f>
        <v>3717442.9999999995</v>
      </c>
      <c r="V1020" s="122"/>
      <c r="W1020" s="124"/>
      <c r="X1020" s="126" t="s">
        <v>3675</v>
      </c>
      <c r="Y1020" s="127"/>
      <c r="Z1020" s="127"/>
      <c r="AA1020" s="127"/>
      <c r="AB1020" s="128"/>
      <c r="AC1020" s="15" t="s">
        <v>20</v>
      </c>
      <c r="AD1020" s="129" t="s">
        <v>1605</v>
      </c>
      <c r="AE1020" s="130"/>
      <c r="AF1020" s="130"/>
      <c r="AG1020" s="130"/>
      <c r="AH1020" s="130"/>
      <c r="AI1020" s="131"/>
      <c r="AJ1020" s="132"/>
      <c r="AK1020" s="127"/>
      <c r="AL1020" s="128"/>
      <c r="AM1020" s="21" t="s">
        <v>3676</v>
      </c>
      <c r="AN1020" s="133">
        <v>45990</v>
      </c>
      <c r="AO1020" s="134"/>
      <c r="AP1020" s="135">
        <v>1278</v>
      </c>
      <c r="AQ1020" s="136"/>
      <c r="AR1020" s="118">
        <v>3030000</v>
      </c>
      <c r="AS1020" s="119"/>
      <c r="AT1020" s="180">
        <f>AR1020*0.1</f>
        <v>303000</v>
      </c>
      <c r="AU1020" s="181"/>
      <c r="AV1020" s="118">
        <v>14980</v>
      </c>
      <c r="AW1020" s="119"/>
      <c r="AX1020" s="118">
        <f>SUM(AR1020:AW1020)</f>
        <v>3347980</v>
      </c>
      <c r="AY1020" s="119"/>
      <c r="AZ1020" s="137">
        <v>45994</v>
      </c>
    </row>
    <row r="1021" spans="1:52" ht="17.100000000000001" customHeight="1" thickBot="1">
      <c r="A1021" s="110"/>
      <c r="B1021" s="27" t="s">
        <v>1718</v>
      </c>
      <c r="C1021" s="27" t="s">
        <v>3677</v>
      </c>
      <c r="D1021" s="14" t="s">
        <v>2601</v>
      </c>
      <c r="E1021" s="112"/>
      <c r="F1021" s="139" t="s">
        <v>3678</v>
      </c>
      <c r="G1021" s="140"/>
      <c r="H1021" s="141"/>
      <c r="I1021" s="26">
        <v>78589</v>
      </c>
      <c r="J1021" s="117"/>
      <c r="K1021" s="120"/>
      <c r="L1021" s="121"/>
      <c r="M1021" s="120"/>
      <c r="N1021" s="121"/>
      <c r="O1021" s="120"/>
      <c r="P1021" s="121"/>
      <c r="Q1021" s="120"/>
      <c r="R1021" s="121"/>
      <c r="S1021" s="120"/>
      <c r="T1021" s="121"/>
      <c r="U1021" s="120"/>
      <c r="V1021" s="123"/>
      <c r="W1021" s="125"/>
      <c r="X1021" s="142" t="s">
        <v>3679</v>
      </c>
      <c r="Y1021" s="143"/>
      <c r="Z1021" s="143"/>
      <c r="AA1021" s="143"/>
      <c r="AB1021" s="144"/>
      <c r="AC1021" s="16" t="s">
        <v>21</v>
      </c>
      <c r="AD1021" s="17" t="s">
        <v>2406</v>
      </c>
      <c r="AE1021" s="145" t="s">
        <v>12010</v>
      </c>
      <c r="AF1021" s="146"/>
      <c r="AG1021" s="146"/>
      <c r="AH1021" s="146"/>
      <c r="AI1021" s="147"/>
      <c r="AJ1021" s="148"/>
      <c r="AK1021" s="143"/>
      <c r="AL1021" s="144"/>
      <c r="AM1021" s="22"/>
      <c r="AN1021" s="149" t="s">
        <v>2511</v>
      </c>
      <c r="AO1021" s="144"/>
      <c r="AP1021" s="148">
        <v>31024</v>
      </c>
      <c r="AQ1021" s="144"/>
      <c r="AR1021" s="120"/>
      <c r="AS1021" s="121"/>
      <c r="AT1021" s="120"/>
      <c r="AU1021" s="182"/>
      <c r="AV1021" s="120"/>
      <c r="AW1021" s="121"/>
      <c r="AX1021" s="120"/>
      <c r="AY1021" s="121"/>
      <c r="AZ1021" s="138"/>
    </row>
    <row r="1022" spans="1:52" ht="17.100000000000001" customHeight="1" thickTop="1">
      <c r="A1022" s="109" t="s">
        <v>6248</v>
      </c>
      <c r="B1022" s="28">
        <v>45745</v>
      </c>
      <c r="C1022" s="25"/>
      <c r="D1022" s="13" t="s">
        <v>3680</v>
      </c>
      <c r="E1022" s="111"/>
      <c r="F1022" s="113" t="s">
        <v>3681</v>
      </c>
      <c r="G1022" s="114"/>
      <c r="H1022" s="115"/>
      <c r="I1022" s="24" t="s">
        <v>3509</v>
      </c>
      <c r="J1022" s="116"/>
      <c r="K1022" s="118">
        <v>167500</v>
      </c>
      <c r="L1022" s="119"/>
      <c r="M1022" s="118">
        <v>0</v>
      </c>
      <c r="N1022" s="119"/>
      <c r="O1022" s="118">
        <v>0</v>
      </c>
      <c r="P1022" s="119"/>
      <c r="Q1022" s="118">
        <v>0</v>
      </c>
      <c r="R1022" s="119"/>
      <c r="S1022" s="118">
        <v>0</v>
      </c>
      <c r="T1022" s="119"/>
      <c r="U1022" s="118">
        <f>SUM(K1022:T1023)</f>
        <v>167500</v>
      </c>
      <c r="V1022" s="122"/>
      <c r="W1022" s="124"/>
      <c r="X1022" s="126" t="s">
        <v>3682</v>
      </c>
      <c r="Y1022" s="127"/>
      <c r="Z1022" s="127"/>
      <c r="AA1022" s="127"/>
      <c r="AB1022" s="128"/>
      <c r="AC1022" s="15" t="s">
        <v>20</v>
      </c>
      <c r="AD1022" s="129"/>
      <c r="AE1022" s="130"/>
      <c r="AF1022" s="130"/>
      <c r="AG1022" s="130"/>
      <c r="AH1022" s="130"/>
      <c r="AI1022" s="131"/>
      <c r="AJ1022" s="132"/>
      <c r="AK1022" s="127"/>
      <c r="AL1022" s="128"/>
      <c r="AM1022" s="21"/>
      <c r="AN1022" s="133"/>
      <c r="AO1022" s="134"/>
      <c r="AP1022" s="135"/>
      <c r="AQ1022" s="136"/>
      <c r="AR1022" s="118"/>
      <c r="AS1022" s="119"/>
      <c r="AT1022" s="180">
        <f>AR1022*0.1</f>
        <v>0</v>
      </c>
      <c r="AU1022" s="181"/>
      <c r="AV1022" s="118"/>
      <c r="AW1022" s="119"/>
      <c r="AX1022" s="118">
        <f>SUM(AR1022:AW1022)</f>
        <v>0</v>
      </c>
      <c r="AY1022" s="119"/>
      <c r="AZ1022" s="137"/>
    </row>
    <row r="1023" spans="1:52" ht="17.100000000000001" customHeight="1" thickBot="1">
      <c r="A1023" s="110"/>
      <c r="B1023" s="27" t="s">
        <v>3683</v>
      </c>
      <c r="C1023" s="27"/>
      <c r="D1023" s="14"/>
      <c r="E1023" s="112"/>
      <c r="F1023" s="139" t="s">
        <v>3684</v>
      </c>
      <c r="G1023" s="140"/>
      <c r="H1023" s="141"/>
      <c r="I1023" s="26">
        <v>87801</v>
      </c>
      <c r="J1023" s="117"/>
      <c r="K1023" s="120"/>
      <c r="L1023" s="121"/>
      <c r="M1023" s="120"/>
      <c r="N1023" s="121"/>
      <c r="O1023" s="120"/>
      <c r="P1023" s="121"/>
      <c r="Q1023" s="120"/>
      <c r="R1023" s="121"/>
      <c r="S1023" s="120"/>
      <c r="T1023" s="121"/>
      <c r="U1023" s="120"/>
      <c r="V1023" s="123"/>
      <c r="W1023" s="125"/>
      <c r="X1023" s="142" t="s">
        <v>3685</v>
      </c>
      <c r="Y1023" s="143"/>
      <c r="Z1023" s="143"/>
      <c r="AA1023" s="143"/>
      <c r="AB1023" s="144"/>
      <c r="AC1023" s="16" t="s">
        <v>21</v>
      </c>
      <c r="AD1023" s="17" t="s">
        <v>2707</v>
      </c>
      <c r="AE1023" s="145"/>
      <c r="AF1023" s="146"/>
      <c r="AG1023" s="146"/>
      <c r="AH1023" s="146"/>
      <c r="AI1023" s="147"/>
      <c r="AJ1023" s="148"/>
      <c r="AK1023" s="143"/>
      <c r="AL1023" s="144"/>
      <c r="AM1023" s="84" t="s">
        <v>907</v>
      </c>
      <c r="AN1023" s="149"/>
      <c r="AO1023" s="144"/>
      <c r="AP1023" s="148"/>
      <c r="AQ1023" s="144"/>
      <c r="AR1023" s="120"/>
      <c r="AS1023" s="121"/>
      <c r="AT1023" s="120"/>
      <c r="AU1023" s="182"/>
      <c r="AV1023" s="120"/>
      <c r="AW1023" s="121"/>
      <c r="AX1023" s="120"/>
      <c r="AY1023" s="121"/>
      <c r="AZ1023" s="138"/>
    </row>
    <row r="1024" spans="1:52" ht="17.100000000000001" customHeight="1" thickTop="1">
      <c r="A1024" s="109" t="s">
        <v>6249</v>
      </c>
      <c r="B1024" s="28">
        <v>45751</v>
      </c>
      <c r="C1024" s="25">
        <v>1364</v>
      </c>
      <c r="D1024" s="13" t="s">
        <v>2606</v>
      </c>
      <c r="E1024" s="111"/>
      <c r="F1024" s="113" t="s">
        <v>3686</v>
      </c>
      <c r="G1024" s="114"/>
      <c r="H1024" s="115"/>
      <c r="I1024" s="24"/>
      <c r="J1024" s="116">
        <v>4</v>
      </c>
      <c r="K1024" s="118">
        <v>1382000</v>
      </c>
      <c r="L1024" s="119"/>
      <c r="M1024" s="118">
        <f>K1024*0.1</f>
        <v>138200</v>
      </c>
      <c r="N1024" s="119"/>
      <c r="O1024" s="118">
        <v>0</v>
      </c>
      <c r="P1024" s="119"/>
      <c r="Q1024" s="118">
        <v>19180</v>
      </c>
      <c r="R1024" s="119"/>
      <c r="S1024" s="118">
        <v>13200</v>
      </c>
      <c r="T1024" s="119"/>
      <c r="U1024" s="118">
        <f>SUM(K1024:T1025)</f>
        <v>1552580</v>
      </c>
      <c r="V1024" s="122"/>
      <c r="W1024" s="124"/>
      <c r="X1024" s="126" t="s">
        <v>3687</v>
      </c>
      <c r="Y1024" s="127"/>
      <c r="Z1024" s="127"/>
      <c r="AA1024" s="127"/>
      <c r="AB1024" s="128"/>
      <c r="AC1024" s="15" t="s">
        <v>20</v>
      </c>
      <c r="AD1024" s="129" t="s">
        <v>1605</v>
      </c>
      <c r="AE1024" s="130"/>
      <c r="AF1024" s="130"/>
      <c r="AG1024" s="130"/>
      <c r="AH1024" s="130"/>
      <c r="AI1024" s="131"/>
      <c r="AJ1024" s="132"/>
      <c r="AK1024" s="127"/>
      <c r="AL1024" s="128"/>
      <c r="AM1024" s="21"/>
      <c r="AN1024" s="133">
        <v>45955</v>
      </c>
      <c r="AO1024" s="134"/>
      <c r="AP1024" s="135">
        <v>1273</v>
      </c>
      <c r="AQ1024" s="136"/>
      <c r="AR1024" s="118">
        <v>1400000</v>
      </c>
      <c r="AS1024" s="119"/>
      <c r="AT1024" s="180">
        <f>AR1024*0.1</f>
        <v>140000</v>
      </c>
      <c r="AU1024" s="181"/>
      <c r="AV1024" s="118">
        <v>19180</v>
      </c>
      <c r="AW1024" s="119"/>
      <c r="AX1024" s="118">
        <f>SUM(AR1024:AW1024)</f>
        <v>1559180</v>
      </c>
      <c r="AY1024" s="119"/>
      <c r="AZ1024" s="137">
        <v>45958</v>
      </c>
    </row>
    <row r="1025" spans="1:52" ht="17.100000000000001" customHeight="1" thickBot="1">
      <c r="A1025" s="110"/>
      <c r="B1025" s="27" t="s">
        <v>2641</v>
      </c>
      <c r="C1025" s="27">
        <v>7029</v>
      </c>
      <c r="D1025" s="14" t="s">
        <v>1556</v>
      </c>
      <c r="E1025" s="112"/>
      <c r="F1025" s="139" t="s">
        <v>3688</v>
      </c>
      <c r="G1025" s="140"/>
      <c r="H1025" s="141"/>
      <c r="I1025" s="26">
        <v>89522</v>
      </c>
      <c r="J1025" s="117"/>
      <c r="K1025" s="120"/>
      <c r="L1025" s="121"/>
      <c r="M1025" s="120"/>
      <c r="N1025" s="121"/>
      <c r="O1025" s="120"/>
      <c r="P1025" s="121"/>
      <c r="Q1025" s="120"/>
      <c r="R1025" s="121"/>
      <c r="S1025" s="120"/>
      <c r="T1025" s="121"/>
      <c r="U1025" s="120"/>
      <c r="V1025" s="123"/>
      <c r="W1025" s="125"/>
      <c r="X1025" s="142" t="s">
        <v>3689</v>
      </c>
      <c r="Y1025" s="143"/>
      <c r="Z1025" s="143"/>
      <c r="AA1025" s="143"/>
      <c r="AB1025" s="144"/>
      <c r="AC1025" s="16" t="s">
        <v>21</v>
      </c>
      <c r="AD1025" s="17" t="s">
        <v>1795</v>
      </c>
      <c r="AE1025" s="145" t="s">
        <v>1614</v>
      </c>
      <c r="AF1025" s="146"/>
      <c r="AG1025" s="146"/>
      <c r="AH1025" s="146"/>
      <c r="AI1025" s="147"/>
      <c r="AJ1025" s="161"/>
      <c r="AK1025" s="168"/>
      <c r="AL1025" s="169"/>
      <c r="AM1025" s="22"/>
      <c r="AN1025" s="149" t="s">
        <v>2511</v>
      </c>
      <c r="AO1025" s="144"/>
      <c r="AP1025" s="148">
        <v>80050</v>
      </c>
      <c r="AQ1025" s="144"/>
      <c r="AR1025" s="120"/>
      <c r="AS1025" s="121"/>
      <c r="AT1025" s="120"/>
      <c r="AU1025" s="182"/>
      <c r="AV1025" s="120"/>
      <c r="AW1025" s="121"/>
      <c r="AX1025" s="120"/>
      <c r="AY1025" s="121"/>
      <c r="AZ1025" s="138"/>
    </row>
    <row r="1026" spans="1:52" ht="17.100000000000001" customHeight="1" thickTop="1">
      <c r="A1026" s="109" t="s">
        <v>6250</v>
      </c>
      <c r="B1026" s="28">
        <v>45752</v>
      </c>
      <c r="C1026" s="25">
        <v>1489</v>
      </c>
      <c r="D1026" s="13" t="s">
        <v>1831</v>
      </c>
      <c r="E1026" s="111"/>
      <c r="F1026" s="113" t="s">
        <v>3690</v>
      </c>
      <c r="G1026" s="114"/>
      <c r="H1026" s="115"/>
      <c r="I1026" s="24" t="s">
        <v>3691</v>
      </c>
      <c r="J1026" s="116">
        <v>4.5</v>
      </c>
      <c r="K1026" s="118">
        <v>2225000</v>
      </c>
      <c r="L1026" s="119"/>
      <c r="M1026" s="118">
        <f>K1026*0.1</f>
        <v>222500</v>
      </c>
      <c r="N1026" s="119"/>
      <c r="O1026" s="118">
        <f>36200+3620</f>
        <v>39820</v>
      </c>
      <c r="P1026" s="119"/>
      <c r="Q1026" s="118">
        <v>13210</v>
      </c>
      <c r="R1026" s="119"/>
      <c r="S1026" s="118">
        <v>16500</v>
      </c>
      <c r="T1026" s="119"/>
      <c r="U1026" s="118">
        <f>SUM(K1026:T1027)</f>
        <v>2517030</v>
      </c>
      <c r="V1026" s="122"/>
      <c r="W1026" s="124"/>
      <c r="X1026" s="126" t="s">
        <v>3692</v>
      </c>
      <c r="Y1026" s="127"/>
      <c r="Z1026" s="127"/>
      <c r="AA1026" s="127"/>
      <c r="AB1026" s="128"/>
      <c r="AC1026" s="15" t="s">
        <v>20</v>
      </c>
      <c r="AD1026" s="129" t="s">
        <v>1633</v>
      </c>
      <c r="AE1026" s="130"/>
      <c r="AF1026" s="130"/>
      <c r="AG1026" s="130"/>
      <c r="AH1026" s="130"/>
      <c r="AI1026" s="131"/>
      <c r="AJ1026" s="132"/>
      <c r="AK1026" s="127"/>
      <c r="AL1026" s="128"/>
      <c r="AM1026" s="21"/>
      <c r="AN1026" s="133">
        <v>46304</v>
      </c>
      <c r="AO1026" s="134"/>
      <c r="AP1026" s="135"/>
      <c r="AQ1026" s="136"/>
      <c r="AR1026" s="118">
        <v>3509000</v>
      </c>
      <c r="AS1026" s="119"/>
      <c r="AT1026" s="180">
        <v>0</v>
      </c>
      <c r="AU1026" s="181"/>
      <c r="AV1026" s="118">
        <v>0</v>
      </c>
      <c r="AW1026" s="119"/>
      <c r="AX1026" s="118">
        <f>SUM(AR1026:AW1026)</f>
        <v>3509000</v>
      </c>
      <c r="AY1026" s="119"/>
      <c r="AZ1026" s="137">
        <v>46340</v>
      </c>
    </row>
    <row r="1027" spans="1:52" ht="17.100000000000001" customHeight="1" thickBot="1">
      <c r="A1027" s="110"/>
      <c r="B1027" s="27" t="s">
        <v>1555</v>
      </c>
      <c r="C1027" s="27">
        <v>50149</v>
      </c>
      <c r="D1027" s="14" t="s">
        <v>2836</v>
      </c>
      <c r="E1027" s="112"/>
      <c r="F1027" s="139" t="s">
        <v>3693</v>
      </c>
      <c r="G1027" s="140"/>
      <c r="H1027" s="141"/>
      <c r="I1027" s="26">
        <v>17575</v>
      </c>
      <c r="J1027" s="117"/>
      <c r="K1027" s="120"/>
      <c r="L1027" s="121"/>
      <c r="M1027" s="120"/>
      <c r="N1027" s="121"/>
      <c r="O1027" s="120"/>
      <c r="P1027" s="121"/>
      <c r="Q1027" s="120"/>
      <c r="R1027" s="121"/>
      <c r="S1027" s="120"/>
      <c r="T1027" s="121"/>
      <c r="U1027" s="120"/>
      <c r="V1027" s="123"/>
      <c r="W1027" s="125"/>
      <c r="X1027" s="142" t="s">
        <v>3694</v>
      </c>
      <c r="Y1027" s="143"/>
      <c r="Z1027" s="143"/>
      <c r="AA1027" s="143"/>
      <c r="AB1027" s="144"/>
      <c r="AC1027" s="16" t="s">
        <v>21</v>
      </c>
      <c r="AD1027" s="17" t="s">
        <v>1795</v>
      </c>
      <c r="AE1027" s="145" t="s">
        <v>1742</v>
      </c>
      <c r="AF1027" s="146"/>
      <c r="AG1027" s="146"/>
      <c r="AH1027" s="146"/>
      <c r="AI1027" s="147"/>
      <c r="AJ1027" s="148"/>
      <c r="AK1027" s="143"/>
      <c r="AL1027" s="144"/>
      <c r="AM1027" s="22"/>
      <c r="AN1027" s="149" t="s">
        <v>15420</v>
      </c>
      <c r="AO1027" s="144"/>
      <c r="AP1027" s="148"/>
      <c r="AQ1027" s="144"/>
      <c r="AR1027" s="120"/>
      <c r="AS1027" s="121"/>
      <c r="AT1027" s="120"/>
      <c r="AU1027" s="182"/>
      <c r="AV1027" s="120"/>
      <c r="AW1027" s="121"/>
      <c r="AX1027" s="120"/>
      <c r="AY1027" s="121"/>
      <c r="AZ1027" s="138"/>
    </row>
    <row r="1028" spans="1:52" ht="17.100000000000001" customHeight="1" thickTop="1">
      <c r="A1028" s="109" t="s">
        <v>6251</v>
      </c>
      <c r="B1028" s="28">
        <v>45752</v>
      </c>
      <c r="C1028" s="25"/>
      <c r="D1028" s="13" t="s">
        <v>3695</v>
      </c>
      <c r="E1028" s="111"/>
      <c r="F1028" s="113" t="s">
        <v>3696</v>
      </c>
      <c r="G1028" s="114"/>
      <c r="H1028" s="115"/>
      <c r="I1028" s="24" t="s">
        <v>2838</v>
      </c>
      <c r="J1028" s="116"/>
      <c r="K1028" s="118">
        <v>2300000</v>
      </c>
      <c r="L1028" s="119"/>
      <c r="M1028" s="118">
        <v>0</v>
      </c>
      <c r="N1028" s="119"/>
      <c r="O1028" s="118">
        <v>0</v>
      </c>
      <c r="P1028" s="119"/>
      <c r="Q1028" s="118">
        <v>0</v>
      </c>
      <c r="R1028" s="119"/>
      <c r="S1028" s="118">
        <v>0</v>
      </c>
      <c r="T1028" s="119"/>
      <c r="U1028" s="118">
        <f>SUM(K1028:T1029)</f>
        <v>2300000</v>
      </c>
      <c r="V1028" s="122"/>
      <c r="W1028" s="124"/>
      <c r="X1028" s="126" t="s">
        <v>3697</v>
      </c>
      <c r="Y1028" s="127"/>
      <c r="Z1028" s="127"/>
      <c r="AA1028" s="127"/>
      <c r="AB1028" s="128"/>
      <c r="AC1028" s="15" t="s">
        <v>20</v>
      </c>
      <c r="AD1028" s="129"/>
      <c r="AE1028" s="130"/>
      <c r="AF1028" s="130"/>
      <c r="AG1028" s="130"/>
      <c r="AH1028" s="130"/>
      <c r="AI1028" s="131"/>
      <c r="AJ1028" s="132"/>
      <c r="AK1028" s="127"/>
      <c r="AL1028" s="128"/>
      <c r="AM1028" s="21"/>
      <c r="AN1028" s="133"/>
      <c r="AO1028" s="134"/>
      <c r="AP1028" s="135"/>
      <c r="AQ1028" s="136"/>
      <c r="AR1028" s="118"/>
      <c r="AS1028" s="119"/>
      <c r="AT1028" s="180">
        <f>AR1028*0.1</f>
        <v>0</v>
      </c>
      <c r="AU1028" s="181"/>
      <c r="AV1028" s="118"/>
      <c r="AW1028" s="119"/>
      <c r="AX1028" s="118">
        <f>SUM(AR1028:AW1028)</f>
        <v>0</v>
      </c>
      <c r="AY1028" s="119"/>
      <c r="AZ1028" s="137"/>
    </row>
    <row r="1029" spans="1:52" ht="17.100000000000001" customHeight="1" thickBot="1">
      <c r="A1029" s="110"/>
      <c r="B1029" s="27" t="s">
        <v>3698</v>
      </c>
      <c r="C1029" s="27"/>
      <c r="D1029" s="14"/>
      <c r="E1029" s="112"/>
      <c r="F1029" s="139" t="s">
        <v>3699</v>
      </c>
      <c r="G1029" s="140"/>
      <c r="H1029" s="141"/>
      <c r="I1029" s="26">
        <v>52000</v>
      </c>
      <c r="J1029" s="117"/>
      <c r="K1029" s="120"/>
      <c r="L1029" s="121"/>
      <c r="M1029" s="120"/>
      <c r="N1029" s="121"/>
      <c r="O1029" s="120"/>
      <c r="P1029" s="121"/>
      <c r="Q1029" s="120"/>
      <c r="R1029" s="121"/>
      <c r="S1029" s="120"/>
      <c r="T1029" s="121"/>
      <c r="U1029" s="120"/>
      <c r="V1029" s="123"/>
      <c r="W1029" s="125"/>
      <c r="X1029" s="142" t="s">
        <v>3700</v>
      </c>
      <c r="Y1029" s="143"/>
      <c r="Z1029" s="143"/>
      <c r="AA1029" s="143"/>
      <c r="AB1029" s="144"/>
      <c r="AC1029" s="16" t="s">
        <v>21</v>
      </c>
      <c r="AD1029" s="17" t="s">
        <v>1563</v>
      </c>
      <c r="AE1029" s="145" t="s">
        <v>1658</v>
      </c>
      <c r="AF1029" s="146"/>
      <c r="AG1029" s="146"/>
      <c r="AH1029" s="146"/>
      <c r="AI1029" s="147"/>
      <c r="AJ1029" s="148"/>
      <c r="AK1029" s="143"/>
      <c r="AL1029" s="144"/>
      <c r="AM1029" s="22"/>
      <c r="AN1029" s="149"/>
      <c r="AO1029" s="144"/>
      <c r="AP1029" s="148"/>
      <c r="AQ1029" s="144"/>
      <c r="AR1029" s="120"/>
      <c r="AS1029" s="121"/>
      <c r="AT1029" s="120"/>
      <c r="AU1029" s="182"/>
      <c r="AV1029" s="120"/>
      <c r="AW1029" s="121"/>
      <c r="AX1029" s="120"/>
      <c r="AY1029" s="121"/>
      <c r="AZ1029" s="138"/>
    </row>
    <row r="1030" spans="1:52" ht="17.100000000000001" customHeight="1" thickTop="1">
      <c r="A1030" s="109" t="s">
        <v>6252</v>
      </c>
      <c r="B1030" s="28">
        <v>45755</v>
      </c>
      <c r="C1030" s="25">
        <v>1040</v>
      </c>
      <c r="D1030" s="13" t="s">
        <v>2348</v>
      </c>
      <c r="E1030" s="111"/>
      <c r="F1030" s="113" t="s">
        <v>3701</v>
      </c>
      <c r="G1030" s="114"/>
      <c r="H1030" s="115"/>
      <c r="I1030" s="24"/>
      <c r="J1030" s="116">
        <v>4</v>
      </c>
      <c r="K1030" s="118">
        <v>1220000</v>
      </c>
      <c r="L1030" s="119"/>
      <c r="M1030" s="118">
        <f>K1030*0.1</f>
        <v>122000</v>
      </c>
      <c r="N1030" s="119"/>
      <c r="O1030" s="118">
        <v>0</v>
      </c>
      <c r="P1030" s="119"/>
      <c r="Q1030" s="118">
        <v>10890</v>
      </c>
      <c r="R1030" s="119"/>
      <c r="S1030" s="118">
        <v>16500</v>
      </c>
      <c r="T1030" s="119"/>
      <c r="U1030" s="118">
        <f>SUM(K1030:T1031)</f>
        <v>1369390</v>
      </c>
      <c r="V1030" s="122"/>
      <c r="W1030" s="124"/>
      <c r="X1030" s="126" t="s">
        <v>3702</v>
      </c>
      <c r="Y1030" s="127"/>
      <c r="Z1030" s="127"/>
      <c r="AA1030" s="127"/>
      <c r="AB1030" s="128"/>
      <c r="AC1030" s="15" t="s">
        <v>20</v>
      </c>
      <c r="AD1030" s="129" t="s">
        <v>1633</v>
      </c>
      <c r="AE1030" s="130"/>
      <c r="AF1030" s="130"/>
      <c r="AG1030" s="130"/>
      <c r="AH1030" s="130"/>
      <c r="AI1030" s="131"/>
      <c r="AJ1030" s="132"/>
      <c r="AK1030" s="127"/>
      <c r="AL1030" s="128"/>
      <c r="AM1030" s="21"/>
      <c r="AN1030" s="133"/>
      <c r="AO1030" s="134"/>
      <c r="AP1030" s="135"/>
      <c r="AQ1030" s="136"/>
      <c r="AR1030" s="118"/>
      <c r="AS1030" s="119"/>
      <c r="AT1030" s="180">
        <f>AR1030*0.1</f>
        <v>0</v>
      </c>
      <c r="AU1030" s="181"/>
      <c r="AV1030" s="118"/>
      <c r="AW1030" s="119"/>
      <c r="AX1030" s="118">
        <f>SUM(AR1030:AW1030)</f>
        <v>0</v>
      </c>
      <c r="AY1030" s="119"/>
      <c r="AZ1030" s="137"/>
    </row>
    <row r="1031" spans="1:52" ht="17.100000000000001" customHeight="1" thickBot="1">
      <c r="A1031" s="110"/>
      <c r="B1031" s="27" t="s">
        <v>1591</v>
      </c>
      <c r="C1031" s="27">
        <v>84101</v>
      </c>
      <c r="D1031" s="14" t="s">
        <v>904</v>
      </c>
      <c r="E1031" s="112"/>
      <c r="F1031" s="139" t="s">
        <v>3703</v>
      </c>
      <c r="G1031" s="140"/>
      <c r="H1031" s="141"/>
      <c r="I1031" s="26">
        <v>36165</v>
      </c>
      <c r="J1031" s="117"/>
      <c r="K1031" s="120"/>
      <c r="L1031" s="121"/>
      <c r="M1031" s="120"/>
      <c r="N1031" s="121"/>
      <c r="O1031" s="120"/>
      <c r="P1031" s="121"/>
      <c r="Q1031" s="120"/>
      <c r="R1031" s="121"/>
      <c r="S1031" s="120"/>
      <c r="T1031" s="121"/>
      <c r="U1031" s="120"/>
      <c r="V1031" s="123"/>
      <c r="W1031" s="125"/>
      <c r="X1031" s="142" t="s">
        <v>3704</v>
      </c>
      <c r="Y1031" s="143"/>
      <c r="Z1031" s="143"/>
      <c r="AA1031" s="143"/>
      <c r="AB1031" s="144"/>
      <c r="AC1031" s="16" t="s">
        <v>21</v>
      </c>
      <c r="AD1031" s="17" t="s">
        <v>2092</v>
      </c>
      <c r="AE1031" s="145" t="s">
        <v>1742</v>
      </c>
      <c r="AF1031" s="146"/>
      <c r="AG1031" s="146"/>
      <c r="AH1031" s="146"/>
      <c r="AI1031" s="147"/>
      <c r="AJ1031" s="148"/>
      <c r="AK1031" s="143"/>
      <c r="AL1031" s="144"/>
      <c r="AM1031" s="22"/>
      <c r="AN1031" s="149"/>
      <c r="AO1031" s="144"/>
      <c r="AP1031" s="148"/>
      <c r="AQ1031" s="144"/>
      <c r="AR1031" s="120"/>
      <c r="AS1031" s="121"/>
      <c r="AT1031" s="120"/>
      <c r="AU1031" s="182"/>
      <c r="AV1031" s="120"/>
      <c r="AW1031" s="121"/>
      <c r="AX1031" s="120"/>
      <c r="AY1031" s="121"/>
      <c r="AZ1031" s="138"/>
    </row>
    <row r="1032" spans="1:52" ht="17.100000000000001" customHeight="1" thickTop="1">
      <c r="A1032" s="109" t="s">
        <v>6253</v>
      </c>
      <c r="B1032" s="28">
        <v>45759</v>
      </c>
      <c r="C1032" s="25">
        <v>1247</v>
      </c>
      <c r="D1032" s="13" t="s">
        <v>3705</v>
      </c>
      <c r="E1032" s="111"/>
      <c r="F1032" s="113" t="s">
        <v>3706</v>
      </c>
      <c r="G1032" s="114"/>
      <c r="H1032" s="115"/>
      <c r="I1032" s="24" t="s">
        <v>3707</v>
      </c>
      <c r="J1032" s="116">
        <v>3.5</v>
      </c>
      <c r="K1032" s="118">
        <v>505000</v>
      </c>
      <c r="L1032" s="119"/>
      <c r="M1032" s="118">
        <f>K1032*0.1</f>
        <v>50500</v>
      </c>
      <c r="N1032" s="119"/>
      <c r="O1032" s="118">
        <v>77000</v>
      </c>
      <c r="P1032" s="119"/>
      <c r="Q1032" s="118">
        <v>15590</v>
      </c>
      <c r="R1032" s="119"/>
      <c r="S1032" s="118">
        <v>16500</v>
      </c>
      <c r="T1032" s="119"/>
      <c r="U1032" s="118">
        <f>SUM(K1032:T1033)</f>
        <v>664590</v>
      </c>
      <c r="V1032" s="122"/>
      <c r="W1032" s="124"/>
      <c r="X1032" s="126" t="s">
        <v>3708</v>
      </c>
      <c r="Y1032" s="127"/>
      <c r="Z1032" s="127"/>
      <c r="AA1032" s="127"/>
      <c r="AB1032" s="128"/>
      <c r="AC1032" s="15" t="s">
        <v>20</v>
      </c>
      <c r="AD1032" s="129"/>
      <c r="AE1032" s="130"/>
      <c r="AF1032" s="130"/>
      <c r="AG1032" s="130"/>
      <c r="AH1032" s="130"/>
      <c r="AI1032" s="131"/>
      <c r="AJ1032" s="132"/>
      <c r="AK1032" s="127"/>
      <c r="AL1032" s="128"/>
      <c r="AM1032" s="21"/>
      <c r="AN1032" s="133">
        <v>46357</v>
      </c>
      <c r="AO1032" s="134"/>
      <c r="AP1032" s="135"/>
      <c r="AQ1032" s="136"/>
      <c r="AR1032" s="118">
        <v>2400000</v>
      </c>
      <c r="AS1032" s="119"/>
      <c r="AT1032" s="180">
        <v>0</v>
      </c>
      <c r="AU1032" s="181"/>
      <c r="AV1032" s="118">
        <v>0</v>
      </c>
      <c r="AW1032" s="119"/>
      <c r="AX1032" s="118">
        <f>SUM(AR1032:AW1032)</f>
        <v>2400000</v>
      </c>
      <c r="AY1032" s="119"/>
      <c r="AZ1032" s="137">
        <v>46074</v>
      </c>
    </row>
    <row r="1033" spans="1:52" ht="17.100000000000001" customHeight="1" thickBot="1">
      <c r="A1033" s="110"/>
      <c r="B1033" s="27" t="s">
        <v>2511</v>
      </c>
      <c r="C1033" s="27">
        <v>82229</v>
      </c>
      <c r="D1033" s="14" t="s">
        <v>1592</v>
      </c>
      <c r="E1033" s="112"/>
      <c r="F1033" s="139" t="s">
        <v>3709</v>
      </c>
      <c r="G1033" s="140"/>
      <c r="H1033" s="141"/>
      <c r="I1033" s="26">
        <v>59923</v>
      </c>
      <c r="J1033" s="117"/>
      <c r="K1033" s="120"/>
      <c r="L1033" s="121"/>
      <c r="M1033" s="120"/>
      <c r="N1033" s="121"/>
      <c r="O1033" s="120"/>
      <c r="P1033" s="121"/>
      <c r="Q1033" s="120"/>
      <c r="R1033" s="121"/>
      <c r="S1033" s="120"/>
      <c r="T1033" s="121"/>
      <c r="U1033" s="120"/>
      <c r="V1033" s="123"/>
      <c r="W1033" s="125"/>
      <c r="X1033" s="142" t="s">
        <v>3710</v>
      </c>
      <c r="Y1033" s="143"/>
      <c r="Z1033" s="143"/>
      <c r="AA1033" s="143"/>
      <c r="AB1033" s="144"/>
      <c r="AC1033" s="16" t="s">
        <v>21</v>
      </c>
      <c r="AD1033" s="17" t="s">
        <v>3711</v>
      </c>
      <c r="AE1033" s="145" t="s">
        <v>3712</v>
      </c>
      <c r="AF1033" s="146"/>
      <c r="AG1033" s="146"/>
      <c r="AH1033" s="146"/>
      <c r="AI1033" s="147"/>
      <c r="AJ1033" s="148"/>
      <c r="AK1033" s="143"/>
      <c r="AL1033" s="144"/>
      <c r="AM1033" s="22"/>
      <c r="AN1033" s="149" t="s">
        <v>21630</v>
      </c>
      <c r="AO1033" s="144"/>
      <c r="AP1033" s="148"/>
      <c r="AQ1033" s="144"/>
      <c r="AR1033" s="120"/>
      <c r="AS1033" s="121"/>
      <c r="AT1033" s="120"/>
      <c r="AU1033" s="182"/>
      <c r="AV1033" s="120"/>
      <c r="AW1033" s="121"/>
      <c r="AX1033" s="120"/>
      <c r="AY1033" s="121"/>
      <c r="AZ1033" s="138"/>
    </row>
    <row r="1034" spans="1:52" ht="17.100000000000001" customHeight="1" thickTop="1">
      <c r="A1034" s="109" t="s">
        <v>6254</v>
      </c>
      <c r="B1034" s="28">
        <v>45764</v>
      </c>
      <c r="C1034" s="25">
        <v>1513</v>
      </c>
      <c r="D1034" s="13" t="s">
        <v>1870</v>
      </c>
      <c r="E1034" s="111"/>
      <c r="F1034" s="113" t="s">
        <v>3713</v>
      </c>
      <c r="G1034" s="114"/>
      <c r="H1034" s="115"/>
      <c r="I1034" s="24" t="s">
        <v>3714</v>
      </c>
      <c r="J1034" s="116">
        <v>4</v>
      </c>
      <c r="K1034" s="118">
        <v>2070000</v>
      </c>
      <c r="L1034" s="119"/>
      <c r="M1034" s="118">
        <f>K1034*0.1</f>
        <v>207000</v>
      </c>
      <c r="N1034" s="119"/>
      <c r="O1034" s="118">
        <v>39820</v>
      </c>
      <c r="P1034" s="119"/>
      <c r="Q1034" s="118">
        <v>13210</v>
      </c>
      <c r="R1034" s="119"/>
      <c r="S1034" s="118">
        <v>16500</v>
      </c>
      <c r="T1034" s="119"/>
      <c r="U1034" s="118">
        <f>SUM(K1034:T1035)</f>
        <v>2346530</v>
      </c>
      <c r="V1034" s="122"/>
      <c r="W1034" s="124"/>
      <c r="X1034" s="126" t="s">
        <v>3715</v>
      </c>
      <c r="Y1034" s="127"/>
      <c r="Z1034" s="127"/>
      <c r="AA1034" s="127"/>
      <c r="AB1034" s="128"/>
      <c r="AC1034" s="15" t="s">
        <v>20</v>
      </c>
      <c r="AD1034" s="129" t="s">
        <v>1575</v>
      </c>
      <c r="AE1034" s="130"/>
      <c r="AF1034" s="130"/>
      <c r="AG1034" s="130"/>
      <c r="AH1034" s="130"/>
      <c r="AI1034" s="131"/>
      <c r="AJ1034" s="132"/>
      <c r="AK1034" s="127"/>
      <c r="AL1034" s="128"/>
      <c r="AM1034" s="21" t="s">
        <v>3716</v>
      </c>
      <c r="AN1034" s="133"/>
      <c r="AO1034" s="134"/>
      <c r="AP1034" s="135"/>
      <c r="AQ1034" s="136"/>
      <c r="AR1034" s="118"/>
      <c r="AS1034" s="119"/>
      <c r="AT1034" s="180">
        <f>AR1034*0.1</f>
        <v>0</v>
      </c>
      <c r="AU1034" s="181"/>
      <c r="AV1034" s="118"/>
      <c r="AW1034" s="119"/>
      <c r="AX1034" s="118">
        <f>SUM(AR1034:AW1034)</f>
        <v>0</v>
      </c>
      <c r="AY1034" s="119"/>
      <c r="AZ1034" s="137"/>
    </row>
    <row r="1035" spans="1:52" ht="17.100000000000001" customHeight="1" thickBot="1">
      <c r="A1035" s="110"/>
      <c r="B1035" s="27" t="s">
        <v>1600</v>
      </c>
      <c r="C1035" s="27">
        <v>75592</v>
      </c>
      <c r="D1035" s="14" t="s">
        <v>2836</v>
      </c>
      <c r="E1035" s="112"/>
      <c r="F1035" s="139" t="s">
        <v>3717</v>
      </c>
      <c r="G1035" s="140"/>
      <c r="H1035" s="141"/>
      <c r="I1035" s="26">
        <v>25000</v>
      </c>
      <c r="J1035" s="117"/>
      <c r="K1035" s="120"/>
      <c r="L1035" s="121"/>
      <c r="M1035" s="120"/>
      <c r="N1035" s="121"/>
      <c r="O1035" s="120"/>
      <c r="P1035" s="121"/>
      <c r="Q1035" s="120"/>
      <c r="R1035" s="121"/>
      <c r="S1035" s="120"/>
      <c r="T1035" s="121"/>
      <c r="U1035" s="120"/>
      <c r="V1035" s="123"/>
      <c r="W1035" s="125"/>
      <c r="X1035" s="142" t="s">
        <v>3718</v>
      </c>
      <c r="Y1035" s="143"/>
      <c r="Z1035" s="143"/>
      <c r="AA1035" s="143"/>
      <c r="AB1035" s="144"/>
      <c r="AC1035" s="16" t="s">
        <v>21</v>
      </c>
      <c r="AD1035" s="17" t="s">
        <v>3719</v>
      </c>
      <c r="AE1035" s="145" t="s">
        <v>1614</v>
      </c>
      <c r="AF1035" s="146"/>
      <c r="AG1035" s="146"/>
      <c r="AH1035" s="146"/>
      <c r="AI1035" s="147"/>
      <c r="AJ1035" s="148"/>
      <c r="AK1035" s="143"/>
      <c r="AL1035" s="144"/>
      <c r="AM1035" s="22"/>
      <c r="AN1035" s="149"/>
      <c r="AO1035" s="144"/>
      <c r="AP1035" s="148"/>
      <c r="AQ1035" s="144"/>
      <c r="AR1035" s="120"/>
      <c r="AS1035" s="121"/>
      <c r="AT1035" s="120"/>
      <c r="AU1035" s="182"/>
      <c r="AV1035" s="120"/>
      <c r="AW1035" s="121"/>
      <c r="AX1035" s="120"/>
      <c r="AY1035" s="121"/>
      <c r="AZ1035" s="138"/>
    </row>
    <row r="1036" spans="1:52" ht="17.100000000000001" customHeight="1" thickTop="1">
      <c r="A1036" s="109" t="s">
        <v>6255</v>
      </c>
      <c r="B1036" s="28">
        <v>45768</v>
      </c>
      <c r="C1036" s="25"/>
      <c r="D1036" s="13" t="s">
        <v>1027</v>
      </c>
      <c r="E1036" s="111"/>
      <c r="F1036" s="113" t="s">
        <v>3720</v>
      </c>
      <c r="G1036" s="114"/>
      <c r="H1036" s="115"/>
      <c r="I1036" s="24" t="s">
        <v>3721</v>
      </c>
      <c r="J1036" s="116">
        <v>3</v>
      </c>
      <c r="K1036" s="118">
        <v>406000</v>
      </c>
      <c r="L1036" s="119"/>
      <c r="M1036" s="118">
        <f>K1036*0.1</f>
        <v>40600</v>
      </c>
      <c r="N1036" s="119"/>
      <c r="O1036" s="118">
        <v>0</v>
      </c>
      <c r="P1036" s="119"/>
      <c r="Q1036" s="118">
        <v>8460</v>
      </c>
      <c r="R1036" s="119"/>
      <c r="S1036" s="118">
        <v>15950</v>
      </c>
      <c r="T1036" s="119"/>
      <c r="U1036" s="118">
        <f>SUM(K1036:T1037)</f>
        <v>471010</v>
      </c>
      <c r="V1036" s="122"/>
      <c r="W1036" s="124"/>
      <c r="X1036" s="126" t="s">
        <v>3722</v>
      </c>
      <c r="Y1036" s="127"/>
      <c r="Z1036" s="127"/>
      <c r="AA1036" s="127"/>
      <c r="AB1036" s="128"/>
      <c r="AC1036" s="15" t="s">
        <v>20</v>
      </c>
      <c r="AD1036" s="129" t="s">
        <v>171</v>
      </c>
      <c r="AE1036" s="130"/>
      <c r="AF1036" s="130"/>
      <c r="AG1036" s="130"/>
      <c r="AH1036" s="130"/>
      <c r="AI1036" s="131"/>
      <c r="AJ1036" s="132"/>
      <c r="AK1036" s="127"/>
      <c r="AL1036" s="128"/>
      <c r="AM1036" s="21" t="s">
        <v>3723</v>
      </c>
      <c r="AN1036" s="133">
        <v>45934</v>
      </c>
      <c r="AO1036" s="134"/>
      <c r="AP1036" s="135">
        <v>1270</v>
      </c>
      <c r="AQ1036" s="136"/>
      <c r="AR1036" s="118">
        <v>410000</v>
      </c>
      <c r="AS1036" s="119"/>
      <c r="AT1036" s="180">
        <f>AR1036*0.1</f>
        <v>41000</v>
      </c>
      <c r="AU1036" s="181"/>
      <c r="AV1036" s="118">
        <v>8460</v>
      </c>
      <c r="AW1036" s="119"/>
      <c r="AX1036" s="118">
        <f>SUM(AR1036:AW1036)</f>
        <v>459460</v>
      </c>
      <c r="AY1036" s="119"/>
      <c r="AZ1036" s="137">
        <v>45937</v>
      </c>
    </row>
    <row r="1037" spans="1:52" ht="17.100000000000001" customHeight="1" thickBot="1">
      <c r="A1037" s="110"/>
      <c r="B1037" s="27" t="s">
        <v>3724</v>
      </c>
      <c r="C1037" s="27">
        <v>55046</v>
      </c>
      <c r="D1037" s="14" t="s">
        <v>275</v>
      </c>
      <c r="E1037" s="112"/>
      <c r="F1037" s="139" t="s">
        <v>3725</v>
      </c>
      <c r="G1037" s="140"/>
      <c r="H1037" s="141"/>
      <c r="I1037" s="26">
        <v>56246</v>
      </c>
      <c r="J1037" s="117"/>
      <c r="K1037" s="120"/>
      <c r="L1037" s="121"/>
      <c r="M1037" s="120"/>
      <c r="N1037" s="121"/>
      <c r="O1037" s="120"/>
      <c r="P1037" s="121"/>
      <c r="Q1037" s="120"/>
      <c r="R1037" s="121"/>
      <c r="S1037" s="120"/>
      <c r="T1037" s="121"/>
      <c r="U1037" s="120"/>
      <c r="V1037" s="123"/>
      <c r="W1037" s="125"/>
      <c r="X1037" s="142" t="s">
        <v>3726</v>
      </c>
      <c r="Y1037" s="143"/>
      <c r="Z1037" s="143"/>
      <c r="AA1037" s="143"/>
      <c r="AB1037" s="144"/>
      <c r="AC1037" s="16" t="s">
        <v>21</v>
      </c>
      <c r="AD1037" s="17" t="s">
        <v>2400</v>
      </c>
      <c r="AE1037" s="145" t="s">
        <v>171</v>
      </c>
      <c r="AF1037" s="146"/>
      <c r="AG1037" s="146"/>
      <c r="AH1037" s="146"/>
      <c r="AI1037" s="147"/>
      <c r="AJ1037" s="148" t="s">
        <v>3727</v>
      </c>
      <c r="AK1037" s="143"/>
      <c r="AL1037" s="144"/>
      <c r="AM1037" s="22"/>
      <c r="AN1037" s="149" t="s">
        <v>7284</v>
      </c>
      <c r="AO1037" s="144"/>
      <c r="AP1037" s="148">
        <v>60197</v>
      </c>
      <c r="AQ1037" s="144"/>
      <c r="AR1037" s="120"/>
      <c r="AS1037" s="121"/>
      <c r="AT1037" s="120"/>
      <c r="AU1037" s="182"/>
      <c r="AV1037" s="120"/>
      <c r="AW1037" s="121"/>
      <c r="AX1037" s="120"/>
      <c r="AY1037" s="121"/>
      <c r="AZ1037" s="138"/>
    </row>
    <row r="1038" spans="1:52" ht="17.100000000000001" customHeight="1" thickTop="1">
      <c r="A1038" s="109" t="s">
        <v>6256</v>
      </c>
      <c r="B1038" s="28">
        <v>45776</v>
      </c>
      <c r="C1038" s="25">
        <v>1891</v>
      </c>
      <c r="D1038" s="13" t="s">
        <v>3478</v>
      </c>
      <c r="E1038" s="111"/>
      <c r="F1038" s="113" t="s">
        <v>3728</v>
      </c>
      <c r="G1038" s="114"/>
      <c r="H1038" s="115"/>
      <c r="I1038" s="24"/>
      <c r="J1038" s="116">
        <v>4.5</v>
      </c>
      <c r="K1038" s="118">
        <v>2430000</v>
      </c>
      <c r="L1038" s="119"/>
      <c r="M1038" s="118">
        <f>K1038*0.1</f>
        <v>243000</v>
      </c>
      <c r="N1038" s="119"/>
      <c r="O1038" s="118">
        <v>0</v>
      </c>
      <c r="P1038" s="119"/>
      <c r="Q1038" s="118">
        <v>18130</v>
      </c>
      <c r="R1038" s="119"/>
      <c r="S1038" s="118">
        <v>14850</v>
      </c>
      <c r="T1038" s="119"/>
      <c r="U1038" s="118">
        <f>SUM(K1038:T1039)</f>
        <v>2705980</v>
      </c>
      <c r="V1038" s="122"/>
      <c r="W1038" s="124"/>
      <c r="X1038" s="126" t="s">
        <v>3729</v>
      </c>
      <c r="Y1038" s="127"/>
      <c r="Z1038" s="127"/>
      <c r="AA1038" s="127"/>
      <c r="AB1038" s="128"/>
      <c r="AC1038" s="15" t="s">
        <v>20</v>
      </c>
      <c r="AD1038" s="129" t="s">
        <v>1581</v>
      </c>
      <c r="AE1038" s="130"/>
      <c r="AF1038" s="130"/>
      <c r="AG1038" s="130"/>
      <c r="AH1038" s="130"/>
      <c r="AI1038" s="131"/>
      <c r="AJ1038" s="132"/>
      <c r="AK1038" s="127"/>
      <c r="AL1038" s="128"/>
      <c r="AM1038" s="21"/>
      <c r="AN1038" s="133"/>
      <c r="AO1038" s="134"/>
      <c r="AP1038" s="135"/>
      <c r="AQ1038" s="136"/>
      <c r="AR1038" s="118"/>
      <c r="AS1038" s="119"/>
      <c r="AT1038" s="180">
        <f>AR1038*0.1</f>
        <v>0</v>
      </c>
      <c r="AU1038" s="181"/>
      <c r="AV1038" s="118"/>
      <c r="AW1038" s="119"/>
      <c r="AX1038" s="118">
        <f>SUM(AR1038:AW1038)</f>
        <v>0</v>
      </c>
      <c r="AY1038" s="119"/>
      <c r="AZ1038" s="137"/>
    </row>
    <row r="1039" spans="1:52" ht="17.100000000000001" customHeight="1" thickBot="1">
      <c r="A1039" s="110"/>
      <c r="B1039" s="27" t="s">
        <v>2131</v>
      </c>
      <c r="C1039" s="27">
        <v>32047</v>
      </c>
      <c r="D1039" s="14" t="s">
        <v>133</v>
      </c>
      <c r="E1039" s="112"/>
      <c r="F1039" s="139" t="s">
        <v>3730</v>
      </c>
      <c r="G1039" s="140"/>
      <c r="H1039" s="141"/>
      <c r="I1039" s="26">
        <v>34222</v>
      </c>
      <c r="J1039" s="117"/>
      <c r="K1039" s="120"/>
      <c r="L1039" s="121"/>
      <c r="M1039" s="120"/>
      <c r="N1039" s="121"/>
      <c r="O1039" s="120"/>
      <c r="P1039" s="121"/>
      <c r="Q1039" s="120"/>
      <c r="R1039" s="121"/>
      <c r="S1039" s="120"/>
      <c r="T1039" s="121"/>
      <c r="U1039" s="120"/>
      <c r="V1039" s="123"/>
      <c r="W1039" s="125"/>
      <c r="X1039" s="142" t="s">
        <v>3731</v>
      </c>
      <c r="Y1039" s="143"/>
      <c r="Z1039" s="143"/>
      <c r="AA1039" s="143"/>
      <c r="AB1039" s="144"/>
      <c r="AC1039" s="16" t="s">
        <v>21</v>
      </c>
      <c r="AD1039" s="17" t="s">
        <v>1971</v>
      </c>
      <c r="AE1039" s="145" t="s">
        <v>1742</v>
      </c>
      <c r="AF1039" s="146"/>
      <c r="AG1039" s="146"/>
      <c r="AH1039" s="146"/>
      <c r="AI1039" s="147"/>
      <c r="AJ1039" s="148"/>
      <c r="AK1039" s="143"/>
      <c r="AL1039" s="144"/>
      <c r="AM1039" s="22"/>
      <c r="AN1039" s="149"/>
      <c r="AO1039" s="144"/>
      <c r="AP1039" s="148"/>
      <c r="AQ1039" s="144"/>
      <c r="AR1039" s="120"/>
      <c r="AS1039" s="121"/>
      <c r="AT1039" s="120"/>
      <c r="AU1039" s="182"/>
      <c r="AV1039" s="120"/>
      <c r="AW1039" s="121"/>
      <c r="AX1039" s="120"/>
      <c r="AY1039" s="121"/>
      <c r="AZ1039" s="138"/>
    </row>
    <row r="1040" spans="1:52" ht="17.100000000000001" customHeight="1" thickTop="1">
      <c r="A1040" s="109" t="s">
        <v>6257</v>
      </c>
      <c r="B1040" s="28">
        <v>45776</v>
      </c>
      <c r="C1040" s="25"/>
      <c r="D1040" s="13" t="s">
        <v>3732</v>
      </c>
      <c r="E1040" s="111" t="s">
        <v>166</v>
      </c>
      <c r="F1040" s="113" t="s">
        <v>2312</v>
      </c>
      <c r="G1040" s="114"/>
      <c r="H1040" s="115"/>
      <c r="I1040" s="24" t="s">
        <v>3733</v>
      </c>
      <c r="J1040" s="116"/>
      <c r="K1040" s="118">
        <v>5811510</v>
      </c>
      <c r="L1040" s="119"/>
      <c r="M1040" s="118">
        <v>0</v>
      </c>
      <c r="N1040" s="119"/>
      <c r="O1040" s="118"/>
      <c r="P1040" s="119"/>
      <c r="Q1040" s="118"/>
      <c r="R1040" s="119"/>
      <c r="S1040" s="118"/>
      <c r="T1040" s="119"/>
      <c r="U1040" s="118">
        <f>SUM(K1040:T1041)</f>
        <v>5811510</v>
      </c>
      <c r="V1040" s="122"/>
      <c r="W1040" s="124"/>
      <c r="X1040" s="126"/>
      <c r="Y1040" s="127"/>
      <c r="Z1040" s="127"/>
      <c r="AA1040" s="127"/>
      <c r="AB1040" s="128"/>
      <c r="AC1040" s="15" t="s">
        <v>20</v>
      </c>
      <c r="AD1040" s="129"/>
      <c r="AE1040" s="130"/>
      <c r="AF1040" s="130"/>
      <c r="AG1040" s="130"/>
      <c r="AH1040" s="130"/>
      <c r="AI1040" s="131"/>
      <c r="AJ1040" s="132"/>
      <c r="AK1040" s="127"/>
      <c r="AL1040" s="128"/>
      <c r="AM1040" s="21" t="s">
        <v>25182</v>
      </c>
      <c r="AN1040" s="133"/>
      <c r="AO1040" s="134"/>
      <c r="AP1040" s="135"/>
      <c r="AQ1040" s="136"/>
      <c r="AR1040" s="118"/>
      <c r="AS1040" s="119"/>
      <c r="AT1040" s="180">
        <f>AR1040*0.1</f>
        <v>0</v>
      </c>
      <c r="AU1040" s="181"/>
      <c r="AV1040" s="118"/>
      <c r="AW1040" s="119"/>
      <c r="AX1040" s="118">
        <f>SUM(AR1040:AW1040)</f>
        <v>0</v>
      </c>
      <c r="AY1040" s="119"/>
      <c r="AZ1040" s="137"/>
    </row>
    <row r="1041" spans="1:52" ht="17.100000000000001" customHeight="1" thickBot="1">
      <c r="A1041" s="110"/>
      <c r="B1041" s="27" t="s">
        <v>3734</v>
      </c>
      <c r="C1041" s="27"/>
      <c r="D1041" s="14" t="s">
        <v>133</v>
      </c>
      <c r="E1041" s="112"/>
      <c r="F1041" s="139" t="s">
        <v>3735</v>
      </c>
      <c r="G1041" s="140"/>
      <c r="H1041" s="141"/>
      <c r="I1041" s="26"/>
      <c r="J1041" s="117"/>
      <c r="K1041" s="120"/>
      <c r="L1041" s="121"/>
      <c r="M1041" s="120"/>
      <c r="N1041" s="121"/>
      <c r="O1041" s="120"/>
      <c r="P1041" s="121"/>
      <c r="Q1041" s="120"/>
      <c r="R1041" s="121"/>
      <c r="S1041" s="120"/>
      <c r="T1041" s="121"/>
      <c r="U1041" s="120"/>
      <c r="V1041" s="123"/>
      <c r="W1041" s="125"/>
      <c r="X1041" s="142" t="s">
        <v>3736</v>
      </c>
      <c r="Y1041" s="143"/>
      <c r="Z1041" s="143"/>
      <c r="AA1041" s="143"/>
      <c r="AB1041" s="144"/>
      <c r="AC1041" s="16" t="s">
        <v>21</v>
      </c>
      <c r="AD1041" s="17" t="s">
        <v>1957</v>
      </c>
      <c r="AE1041" s="145"/>
      <c r="AF1041" s="146"/>
      <c r="AG1041" s="146"/>
      <c r="AH1041" s="146"/>
      <c r="AI1041" s="147"/>
      <c r="AJ1041" s="148"/>
      <c r="AK1041" s="143"/>
      <c r="AL1041" s="144"/>
      <c r="AM1041" s="22"/>
      <c r="AN1041" s="149"/>
      <c r="AO1041" s="144"/>
      <c r="AP1041" s="148"/>
      <c r="AQ1041" s="144"/>
      <c r="AR1041" s="120"/>
      <c r="AS1041" s="121"/>
      <c r="AT1041" s="120"/>
      <c r="AU1041" s="182"/>
      <c r="AV1041" s="120"/>
      <c r="AW1041" s="121"/>
      <c r="AX1041" s="120"/>
      <c r="AY1041" s="121"/>
      <c r="AZ1041" s="138"/>
    </row>
    <row r="1042" spans="1:52" ht="17.100000000000001" customHeight="1" thickTop="1">
      <c r="A1042" s="109" t="s">
        <v>6258</v>
      </c>
      <c r="B1042" s="28">
        <v>45786</v>
      </c>
      <c r="C1042" s="25">
        <v>2084</v>
      </c>
      <c r="D1042" s="13" t="s">
        <v>1649</v>
      </c>
      <c r="E1042" s="111"/>
      <c r="F1042" s="113" t="s">
        <v>3737</v>
      </c>
      <c r="G1042" s="114"/>
      <c r="H1042" s="115"/>
      <c r="I1042" s="24" t="s">
        <v>2858</v>
      </c>
      <c r="J1042" s="116">
        <v>4.5</v>
      </c>
      <c r="K1042" s="118">
        <v>3850000</v>
      </c>
      <c r="L1042" s="119"/>
      <c r="M1042" s="118">
        <f>K1042*0.1</f>
        <v>385000</v>
      </c>
      <c r="N1042" s="119"/>
      <c r="O1042" s="118">
        <f>42500+4250</f>
        <v>46750</v>
      </c>
      <c r="P1042" s="119"/>
      <c r="Q1042" s="118">
        <v>20860</v>
      </c>
      <c r="R1042" s="119"/>
      <c r="S1042" s="118">
        <v>16500</v>
      </c>
      <c r="T1042" s="119"/>
      <c r="U1042" s="118">
        <f>SUM(K1042:T1043)</f>
        <v>4319110</v>
      </c>
      <c r="V1042" s="122"/>
      <c r="W1042" s="124"/>
      <c r="X1042" s="126" t="s">
        <v>3738</v>
      </c>
      <c r="Y1042" s="127"/>
      <c r="Z1042" s="127"/>
      <c r="AA1042" s="127"/>
      <c r="AB1042" s="128"/>
      <c r="AC1042" s="15" t="s">
        <v>20</v>
      </c>
      <c r="AD1042" s="129" t="s">
        <v>3739</v>
      </c>
      <c r="AE1042" s="130"/>
      <c r="AF1042" s="130"/>
      <c r="AG1042" s="130"/>
      <c r="AH1042" s="130"/>
      <c r="AI1042" s="131"/>
      <c r="AJ1042" s="132"/>
      <c r="AK1042" s="127"/>
      <c r="AL1042" s="128"/>
      <c r="AM1042" s="21"/>
      <c r="AN1042" s="133">
        <v>46056</v>
      </c>
      <c r="AO1042" s="134"/>
      <c r="AP1042" s="135"/>
      <c r="AQ1042" s="136"/>
      <c r="AR1042" s="118">
        <v>5250000</v>
      </c>
      <c r="AS1042" s="119"/>
      <c r="AT1042" s="180">
        <v>0</v>
      </c>
      <c r="AU1042" s="181"/>
      <c r="AV1042" s="118">
        <v>0</v>
      </c>
      <c r="AW1042" s="119"/>
      <c r="AX1042" s="118">
        <f>SUM(AR1042:AW1042)</f>
        <v>5250000</v>
      </c>
      <c r="AY1042" s="119"/>
      <c r="AZ1042" s="137">
        <v>46091</v>
      </c>
    </row>
    <row r="1043" spans="1:52" ht="17.100000000000001" customHeight="1" thickBot="1">
      <c r="A1043" s="110"/>
      <c r="B1043" s="27" t="s">
        <v>1543</v>
      </c>
      <c r="C1043" s="27">
        <v>58155</v>
      </c>
      <c r="D1043" s="14" t="s">
        <v>1576</v>
      </c>
      <c r="E1043" s="112"/>
      <c r="F1043" s="139" t="s">
        <v>3740</v>
      </c>
      <c r="G1043" s="140"/>
      <c r="H1043" s="141"/>
      <c r="I1043" s="26">
        <v>46095</v>
      </c>
      <c r="J1043" s="117"/>
      <c r="K1043" s="120"/>
      <c r="L1043" s="121"/>
      <c r="M1043" s="120"/>
      <c r="N1043" s="121"/>
      <c r="O1043" s="120"/>
      <c r="P1043" s="121"/>
      <c r="Q1043" s="120"/>
      <c r="R1043" s="121"/>
      <c r="S1043" s="120"/>
      <c r="T1043" s="121"/>
      <c r="U1043" s="120"/>
      <c r="V1043" s="123"/>
      <c r="W1043" s="125"/>
      <c r="X1043" s="142" t="s">
        <v>3741</v>
      </c>
      <c r="Y1043" s="143"/>
      <c r="Z1043" s="143"/>
      <c r="AA1043" s="143"/>
      <c r="AB1043" s="144"/>
      <c r="AC1043" s="16" t="s">
        <v>21</v>
      </c>
      <c r="AD1043" s="17" t="s">
        <v>3742</v>
      </c>
      <c r="AE1043" s="145" t="s">
        <v>3743</v>
      </c>
      <c r="AF1043" s="146"/>
      <c r="AG1043" s="146"/>
      <c r="AH1043" s="146"/>
      <c r="AI1043" s="147"/>
      <c r="AJ1043" s="148"/>
      <c r="AK1043" s="143"/>
      <c r="AL1043" s="144"/>
      <c r="AM1043" s="22"/>
      <c r="AN1043" s="149" t="s">
        <v>19854</v>
      </c>
      <c r="AO1043" s="144"/>
      <c r="AP1043" s="148"/>
      <c r="AQ1043" s="144"/>
      <c r="AR1043" s="120"/>
      <c r="AS1043" s="121"/>
      <c r="AT1043" s="120"/>
      <c r="AU1043" s="182"/>
      <c r="AV1043" s="120"/>
      <c r="AW1043" s="121"/>
      <c r="AX1043" s="120"/>
      <c r="AY1043" s="121"/>
      <c r="AZ1043" s="138"/>
    </row>
    <row r="1044" spans="1:52" ht="17.100000000000001" customHeight="1" thickTop="1">
      <c r="A1044" s="109" t="s">
        <v>6259</v>
      </c>
      <c r="B1044" s="28">
        <v>45787</v>
      </c>
      <c r="C1044" s="25">
        <v>1672</v>
      </c>
      <c r="D1044" s="13" t="s">
        <v>1606</v>
      </c>
      <c r="E1044" s="111"/>
      <c r="F1044" s="113" t="s">
        <v>3744</v>
      </c>
      <c r="G1044" s="114"/>
      <c r="H1044" s="115"/>
      <c r="I1044" s="24" t="s">
        <v>3745</v>
      </c>
      <c r="J1044" s="116">
        <v>4.5</v>
      </c>
      <c r="K1044" s="118">
        <v>2095000</v>
      </c>
      <c r="L1044" s="119"/>
      <c r="M1044" s="118">
        <f>K1044*0.1</f>
        <v>209500</v>
      </c>
      <c r="N1044" s="119"/>
      <c r="O1044" s="118">
        <v>60940</v>
      </c>
      <c r="P1044" s="119"/>
      <c r="Q1044" s="118">
        <v>17770</v>
      </c>
      <c r="R1044" s="119"/>
      <c r="S1044" s="118">
        <v>14300</v>
      </c>
      <c r="T1044" s="119"/>
      <c r="U1044" s="118">
        <f>SUM(K1044:T1045)</f>
        <v>2397510</v>
      </c>
      <c r="V1044" s="122"/>
      <c r="W1044" s="124"/>
      <c r="X1044" s="126" t="s">
        <v>3746</v>
      </c>
      <c r="Y1044" s="127"/>
      <c r="Z1044" s="127"/>
      <c r="AA1044" s="127"/>
      <c r="AB1044" s="128"/>
      <c r="AC1044" s="15" t="s">
        <v>20</v>
      </c>
      <c r="AD1044" s="129" t="s">
        <v>1633</v>
      </c>
      <c r="AE1044" s="130"/>
      <c r="AF1044" s="130"/>
      <c r="AG1044" s="130"/>
      <c r="AH1044" s="130"/>
      <c r="AI1044" s="131"/>
      <c r="AJ1044" s="132"/>
      <c r="AK1044" s="127"/>
      <c r="AL1044" s="128"/>
      <c r="AM1044" s="21"/>
      <c r="AN1044" s="133"/>
      <c r="AO1044" s="134"/>
      <c r="AP1044" s="135"/>
      <c r="AQ1044" s="136"/>
      <c r="AR1044" s="118"/>
      <c r="AS1044" s="119"/>
      <c r="AT1044" s="180">
        <f>AR1044*0.1</f>
        <v>0</v>
      </c>
      <c r="AU1044" s="181"/>
      <c r="AV1044" s="118"/>
      <c r="AW1044" s="119"/>
      <c r="AX1044" s="118">
        <f>SUM(AR1044:AW1044)</f>
        <v>0</v>
      </c>
      <c r="AY1044" s="119"/>
      <c r="AZ1044" s="137"/>
    </row>
    <row r="1045" spans="1:52" ht="17.100000000000001" customHeight="1" thickBot="1">
      <c r="A1045" s="110"/>
      <c r="B1045" s="27" t="s">
        <v>1859</v>
      </c>
      <c r="C1045" s="27">
        <v>619</v>
      </c>
      <c r="D1045" s="14" t="s">
        <v>2800</v>
      </c>
      <c r="E1045" s="112"/>
      <c r="F1045" s="139" t="s">
        <v>3747</v>
      </c>
      <c r="G1045" s="140"/>
      <c r="H1045" s="141"/>
      <c r="I1045" s="26">
        <v>48875</v>
      </c>
      <c r="J1045" s="117"/>
      <c r="K1045" s="120"/>
      <c r="L1045" s="121"/>
      <c r="M1045" s="120"/>
      <c r="N1045" s="121"/>
      <c r="O1045" s="120"/>
      <c r="P1045" s="121"/>
      <c r="Q1045" s="120"/>
      <c r="R1045" s="121"/>
      <c r="S1045" s="120"/>
      <c r="T1045" s="121"/>
      <c r="U1045" s="120"/>
      <c r="V1045" s="123"/>
      <c r="W1045" s="125"/>
      <c r="X1045" s="142" t="s">
        <v>2321</v>
      </c>
      <c r="Y1045" s="143"/>
      <c r="Z1045" s="143"/>
      <c r="AA1045" s="143"/>
      <c r="AB1045" s="144"/>
      <c r="AC1045" s="16" t="s">
        <v>21</v>
      </c>
      <c r="AD1045" s="17" t="s">
        <v>3742</v>
      </c>
      <c r="AE1045" s="145" t="s">
        <v>3748</v>
      </c>
      <c r="AF1045" s="146"/>
      <c r="AG1045" s="146"/>
      <c r="AH1045" s="146"/>
      <c r="AI1045" s="147"/>
      <c r="AJ1045" s="148"/>
      <c r="AK1045" s="143"/>
      <c r="AL1045" s="144"/>
      <c r="AM1045" s="22"/>
      <c r="AN1045" s="149"/>
      <c r="AO1045" s="144"/>
      <c r="AP1045" s="148"/>
      <c r="AQ1045" s="144"/>
      <c r="AR1045" s="120"/>
      <c r="AS1045" s="121"/>
      <c r="AT1045" s="120"/>
      <c r="AU1045" s="182"/>
      <c r="AV1045" s="120"/>
      <c r="AW1045" s="121"/>
      <c r="AX1045" s="120"/>
      <c r="AY1045" s="121"/>
      <c r="AZ1045" s="138"/>
    </row>
    <row r="1046" spans="1:52" ht="17.100000000000001" customHeight="1" thickTop="1">
      <c r="A1046" s="109" t="s">
        <v>6260</v>
      </c>
      <c r="B1046" s="28">
        <v>45793</v>
      </c>
      <c r="C1046" s="25">
        <v>2085</v>
      </c>
      <c r="D1046" s="13" t="s">
        <v>3749</v>
      </c>
      <c r="E1046" s="111"/>
      <c r="F1046" s="113" t="s">
        <v>3750</v>
      </c>
      <c r="G1046" s="114"/>
      <c r="H1046" s="115"/>
      <c r="I1046" s="24"/>
      <c r="J1046" s="116">
        <v>4.5</v>
      </c>
      <c r="K1046" s="118">
        <v>3810000</v>
      </c>
      <c r="L1046" s="119"/>
      <c r="M1046" s="118">
        <f>K1046*0.1</f>
        <v>381000</v>
      </c>
      <c r="N1046" s="119"/>
      <c r="O1046" s="118">
        <v>0</v>
      </c>
      <c r="P1046" s="119"/>
      <c r="Q1046" s="118">
        <v>20990</v>
      </c>
      <c r="R1046" s="119"/>
      <c r="S1046" s="118">
        <v>16500</v>
      </c>
      <c r="T1046" s="119"/>
      <c r="U1046" s="118">
        <f>SUM(K1046:T1047)</f>
        <v>4228490</v>
      </c>
      <c r="V1046" s="122"/>
      <c r="W1046" s="124"/>
      <c r="X1046" s="126" t="s">
        <v>3751</v>
      </c>
      <c r="Y1046" s="127"/>
      <c r="Z1046" s="127"/>
      <c r="AA1046" s="127"/>
      <c r="AB1046" s="128"/>
      <c r="AC1046" s="15" t="s">
        <v>20</v>
      </c>
      <c r="AD1046" s="129" t="s">
        <v>171</v>
      </c>
      <c r="AE1046" s="130"/>
      <c r="AF1046" s="130"/>
      <c r="AG1046" s="130"/>
      <c r="AH1046" s="130"/>
      <c r="AI1046" s="131"/>
      <c r="AJ1046" s="132"/>
      <c r="AK1046" s="127"/>
      <c r="AL1046" s="128"/>
      <c r="AM1046" s="21"/>
      <c r="AN1046" s="133">
        <v>46311</v>
      </c>
      <c r="AO1046" s="134"/>
      <c r="AP1046" s="135"/>
      <c r="AQ1046" s="136"/>
      <c r="AR1046" s="118">
        <v>5480000</v>
      </c>
      <c r="AS1046" s="119"/>
      <c r="AT1046" s="180">
        <v>0</v>
      </c>
      <c r="AU1046" s="181"/>
      <c r="AV1046" s="118">
        <v>0</v>
      </c>
      <c r="AW1046" s="119"/>
      <c r="AX1046" s="118">
        <f>SUM(AR1046:AW1046)</f>
        <v>5480000</v>
      </c>
      <c r="AY1046" s="119"/>
      <c r="AZ1046" s="137">
        <v>46350</v>
      </c>
    </row>
    <row r="1047" spans="1:52" ht="17.100000000000001" customHeight="1" thickBot="1">
      <c r="A1047" s="110"/>
      <c r="B1047" s="27" t="s">
        <v>1543</v>
      </c>
      <c r="C1047" s="27">
        <v>58353</v>
      </c>
      <c r="D1047" s="14" t="s">
        <v>2836</v>
      </c>
      <c r="E1047" s="112"/>
      <c r="F1047" s="139" t="s">
        <v>3752</v>
      </c>
      <c r="G1047" s="140"/>
      <c r="H1047" s="141"/>
      <c r="I1047" s="26">
        <v>25590</v>
      </c>
      <c r="J1047" s="117"/>
      <c r="K1047" s="120"/>
      <c r="L1047" s="121"/>
      <c r="M1047" s="120"/>
      <c r="N1047" s="121"/>
      <c r="O1047" s="120"/>
      <c r="P1047" s="121"/>
      <c r="Q1047" s="120"/>
      <c r="R1047" s="121"/>
      <c r="S1047" s="120"/>
      <c r="T1047" s="121"/>
      <c r="U1047" s="120"/>
      <c r="V1047" s="123"/>
      <c r="W1047" s="125"/>
      <c r="X1047" s="142" t="s">
        <v>3753</v>
      </c>
      <c r="Y1047" s="143"/>
      <c r="Z1047" s="143"/>
      <c r="AA1047" s="143"/>
      <c r="AB1047" s="144"/>
      <c r="AC1047" s="16" t="s">
        <v>21</v>
      </c>
      <c r="AD1047" s="17" t="s">
        <v>1984</v>
      </c>
      <c r="AE1047" s="145" t="s">
        <v>2051</v>
      </c>
      <c r="AF1047" s="146"/>
      <c r="AG1047" s="146"/>
      <c r="AH1047" s="146"/>
      <c r="AI1047" s="147"/>
      <c r="AJ1047" s="148"/>
      <c r="AK1047" s="143"/>
      <c r="AL1047" s="144"/>
      <c r="AM1047" s="22"/>
      <c r="AN1047" s="149" t="s">
        <v>15426</v>
      </c>
      <c r="AO1047" s="144"/>
      <c r="AP1047" s="148"/>
      <c r="AQ1047" s="144"/>
      <c r="AR1047" s="120"/>
      <c r="AS1047" s="121"/>
      <c r="AT1047" s="120"/>
      <c r="AU1047" s="182"/>
      <c r="AV1047" s="120"/>
      <c r="AW1047" s="121"/>
      <c r="AX1047" s="120"/>
      <c r="AY1047" s="121"/>
      <c r="AZ1047" s="138"/>
    </row>
    <row r="1048" spans="1:52" ht="17.100000000000001" customHeight="1" thickTop="1">
      <c r="A1048" s="109" t="s">
        <v>6261</v>
      </c>
      <c r="B1048" s="28">
        <v>45794</v>
      </c>
      <c r="C1048" s="25">
        <v>1494</v>
      </c>
      <c r="D1048" s="13" t="s">
        <v>1695</v>
      </c>
      <c r="E1048" s="111"/>
      <c r="F1048" s="113" t="s">
        <v>3754</v>
      </c>
      <c r="G1048" s="114"/>
      <c r="H1048" s="115"/>
      <c r="I1048" s="24"/>
      <c r="J1048" s="116">
        <v>4.5</v>
      </c>
      <c r="K1048" s="118">
        <v>1620000</v>
      </c>
      <c r="L1048" s="119"/>
      <c r="M1048" s="118">
        <f>K1048*0.1</f>
        <v>162000</v>
      </c>
      <c r="N1048" s="119"/>
      <c r="O1048" s="118">
        <v>0</v>
      </c>
      <c r="P1048" s="119"/>
      <c r="Q1048" s="118">
        <v>17430</v>
      </c>
      <c r="R1048" s="119"/>
      <c r="S1048" s="118">
        <v>16500</v>
      </c>
      <c r="T1048" s="119"/>
      <c r="U1048" s="118">
        <f>SUM(K1048:T1049)</f>
        <v>1815930</v>
      </c>
      <c r="V1048" s="122"/>
      <c r="W1048" s="124"/>
      <c r="X1048" s="126" t="s">
        <v>3755</v>
      </c>
      <c r="Y1048" s="127"/>
      <c r="Z1048" s="127"/>
      <c r="AA1048" s="127"/>
      <c r="AB1048" s="128"/>
      <c r="AC1048" s="15" t="s">
        <v>20</v>
      </c>
      <c r="AD1048" s="129" t="s">
        <v>1633</v>
      </c>
      <c r="AE1048" s="130"/>
      <c r="AF1048" s="130"/>
      <c r="AG1048" s="130"/>
      <c r="AH1048" s="130"/>
      <c r="AI1048" s="131"/>
      <c r="AJ1048" s="132"/>
      <c r="AK1048" s="127"/>
      <c r="AL1048" s="128"/>
      <c r="AM1048" s="21"/>
      <c r="AN1048" s="133"/>
      <c r="AO1048" s="134"/>
      <c r="AP1048" s="135"/>
      <c r="AQ1048" s="136"/>
      <c r="AR1048" s="118"/>
      <c r="AS1048" s="119"/>
      <c r="AT1048" s="180">
        <f>AR1048*0.1</f>
        <v>0</v>
      </c>
      <c r="AU1048" s="181"/>
      <c r="AV1048" s="118"/>
      <c r="AW1048" s="119"/>
      <c r="AX1048" s="118">
        <f>SUM(AR1048:AW1048)</f>
        <v>0</v>
      </c>
      <c r="AY1048" s="119"/>
      <c r="AZ1048" s="137"/>
    </row>
    <row r="1049" spans="1:52" ht="17.100000000000001" customHeight="1" thickBot="1">
      <c r="A1049" s="110"/>
      <c r="B1049" s="27" t="s">
        <v>1555</v>
      </c>
      <c r="C1049" s="27">
        <v>83057</v>
      </c>
      <c r="D1049" s="14" t="s">
        <v>275</v>
      </c>
      <c r="E1049" s="112"/>
      <c r="F1049" s="139" t="s">
        <v>3756</v>
      </c>
      <c r="G1049" s="140"/>
      <c r="H1049" s="141"/>
      <c r="I1049" s="26">
        <v>49827</v>
      </c>
      <c r="J1049" s="117"/>
      <c r="K1049" s="120"/>
      <c r="L1049" s="121"/>
      <c r="M1049" s="120"/>
      <c r="N1049" s="121"/>
      <c r="O1049" s="120"/>
      <c r="P1049" s="121"/>
      <c r="Q1049" s="120"/>
      <c r="R1049" s="121"/>
      <c r="S1049" s="120"/>
      <c r="T1049" s="121"/>
      <c r="U1049" s="120"/>
      <c r="V1049" s="123"/>
      <c r="W1049" s="125"/>
      <c r="X1049" s="142" t="s">
        <v>3757</v>
      </c>
      <c r="Y1049" s="143"/>
      <c r="Z1049" s="143"/>
      <c r="AA1049" s="143"/>
      <c r="AB1049" s="144"/>
      <c r="AC1049" s="16" t="s">
        <v>21</v>
      </c>
      <c r="AD1049" s="17" t="s">
        <v>3758</v>
      </c>
      <c r="AE1049" s="145" t="s">
        <v>1742</v>
      </c>
      <c r="AF1049" s="146"/>
      <c r="AG1049" s="146"/>
      <c r="AH1049" s="146"/>
      <c r="AI1049" s="147"/>
      <c r="AJ1049" s="148"/>
      <c r="AK1049" s="143"/>
      <c r="AL1049" s="144"/>
      <c r="AM1049" s="22"/>
      <c r="AN1049" s="149"/>
      <c r="AO1049" s="144"/>
      <c r="AP1049" s="148"/>
      <c r="AQ1049" s="144"/>
      <c r="AR1049" s="120"/>
      <c r="AS1049" s="121"/>
      <c r="AT1049" s="120"/>
      <c r="AU1049" s="182"/>
      <c r="AV1049" s="120"/>
      <c r="AW1049" s="121"/>
      <c r="AX1049" s="120"/>
      <c r="AY1049" s="121"/>
      <c r="AZ1049" s="138"/>
    </row>
    <row r="1050" spans="1:52" ht="17.100000000000001" customHeight="1" thickTop="1">
      <c r="A1050" s="109" t="s">
        <v>6262</v>
      </c>
      <c r="B1050" s="28">
        <v>45797</v>
      </c>
      <c r="C1050" s="25">
        <v>1045</v>
      </c>
      <c r="D1050" s="13" t="s">
        <v>2500</v>
      </c>
      <c r="E1050" s="111"/>
      <c r="F1050" s="113" t="s">
        <v>3759</v>
      </c>
      <c r="G1050" s="114"/>
      <c r="H1050" s="115"/>
      <c r="I1050" s="24" t="s">
        <v>3760</v>
      </c>
      <c r="J1050" s="116">
        <v>4.5</v>
      </c>
      <c r="K1050" s="118">
        <v>2900000</v>
      </c>
      <c r="L1050" s="119"/>
      <c r="M1050" s="118">
        <f>K1050*0.1</f>
        <v>290000</v>
      </c>
      <c r="N1050" s="119"/>
      <c r="O1050" s="118">
        <v>0</v>
      </c>
      <c r="P1050" s="119"/>
      <c r="Q1050" s="118">
        <v>23280</v>
      </c>
      <c r="R1050" s="119"/>
      <c r="S1050" s="118">
        <v>16500</v>
      </c>
      <c r="T1050" s="119"/>
      <c r="U1050" s="118">
        <f>SUM(K1050:T1051)</f>
        <v>3229780</v>
      </c>
      <c r="V1050" s="122"/>
      <c r="W1050" s="124"/>
      <c r="X1050" s="126" t="s">
        <v>3761</v>
      </c>
      <c r="Y1050" s="127"/>
      <c r="Z1050" s="127"/>
      <c r="AA1050" s="127"/>
      <c r="AB1050" s="128"/>
      <c r="AC1050" s="15" t="s">
        <v>20</v>
      </c>
      <c r="AD1050" s="129" t="s">
        <v>1732</v>
      </c>
      <c r="AE1050" s="130"/>
      <c r="AF1050" s="130"/>
      <c r="AG1050" s="130"/>
      <c r="AH1050" s="130"/>
      <c r="AI1050" s="131"/>
      <c r="AJ1050" s="132"/>
      <c r="AK1050" s="127"/>
      <c r="AL1050" s="128"/>
      <c r="AM1050" s="21"/>
      <c r="AN1050" s="133">
        <v>46308</v>
      </c>
      <c r="AO1050" s="134"/>
      <c r="AP1050" s="135"/>
      <c r="AQ1050" s="136"/>
      <c r="AR1050" s="118">
        <v>4800000</v>
      </c>
      <c r="AS1050" s="119"/>
      <c r="AT1050" s="180">
        <v>0</v>
      </c>
      <c r="AU1050" s="181"/>
      <c r="AV1050" s="118">
        <v>0</v>
      </c>
      <c r="AW1050" s="119"/>
      <c r="AX1050" s="118">
        <f>SUM(AR1050:AW1050)</f>
        <v>4800000</v>
      </c>
      <c r="AY1050" s="119"/>
      <c r="AZ1050" s="137">
        <v>46348</v>
      </c>
    </row>
    <row r="1051" spans="1:52" ht="17.100000000000001" customHeight="1" thickBot="1">
      <c r="A1051" s="110"/>
      <c r="B1051" s="27" t="s">
        <v>1591</v>
      </c>
      <c r="C1051" s="27">
        <v>84027</v>
      </c>
      <c r="D1051" s="14" t="s">
        <v>275</v>
      </c>
      <c r="E1051" s="112"/>
      <c r="F1051" s="139" t="s">
        <v>3762</v>
      </c>
      <c r="G1051" s="140"/>
      <c r="H1051" s="141"/>
      <c r="I1051" s="26">
        <v>32323</v>
      </c>
      <c r="J1051" s="117"/>
      <c r="K1051" s="120"/>
      <c r="L1051" s="121"/>
      <c r="M1051" s="120"/>
      <c r="N1051" s="121"/>
      <c r="O1051" s="120"/>
      <c r="P1051" s="121"/>
      <c r="Q1051" s="120"/>
      <c r="R1051" s="121"/>
      <c r="S1051" s="120"/>
      <c r="T1051" s="121"/>
      <c r="U1051" s="120"/>
      <c r="V1051" s="123"/>
      <c r="W1051" s="125"/>
      <c r="X1051" s="142" t="s">
        <v>3763</v>
      </c>
      <c r="Y1051" s="143"/>
      <c r="Z1051" s="143"/>
      <c r="AA1051" s="143"/>
      <c r="AB1051" s="144"/>
      <c r="AC1051" s="16" t="s">
        <v>21</v>
      </c>
      <c r="AD1051" s="17" t="s">
        <v>3764</v>
      </c>
      <c r="AE1051" s="145" t="s">
        <v>3765</v>
      </c>
      <c r="AF1051" s="146"/>
      <c r="AG1051" s="146"/>
      <c r="AH1051" s="146"/>
      <c r="AI1051" s="147"/>
      <c r="AJ1051" s="148"/>
      <c r="AK1051" s="143"/>
      <c r="AL1051" s="144"/>
      <c r="AM1051" s="22"/>
      <c r="AN1051" s="149" t="s">
        <v>15423</v>
      </c>
      <c r="AO1051" s="144"/>
      <c r="AP1051" s="148"/>
      <c r="AQ1051" s="144"/>
      <c r="AR1051" s="120"/>
      <c r="AS1051" s="121"/>
      <c r="AT1051" s="120"/>
      <c r="AU1051" s="182"/>
      <c r="AV1051" s="120"/>
      <c r="AW1051" s="121"/>
      <c r="AX1051" s="120"/>
      <c r="AY1051" s="121"/>
      <c r="AZ1051" s="138"/>
    </row>
    <row r="1052" spans="1:52" ht="17.100000000000001" customHeight="1" thickTop="1">
      <c r="A1052" s="109" t="s">
        <v>6263</v>
      </c>
      <c r="B1052" s="28">
        <v>45800</v>
      </c>
      <c r="C1052" s="25"/>
      <c r="D1052" s="13" t="s">
        <v>3469</v>
      </c>
      <c r="E1052" s="111"/>
      <c r="F1052" s="113" t="s">
        <v>3766</v>
      </c>
      <c r="G1052" s="114"/>
      <c r="H1052" s="115"/>
      <c r="I1052" s="24" t="s">
        <v>3767</v>
      </c>
      <c r="J1052" s="116">
        <v>4</v>
      </c>
      <c r="K1052" s="118">
        <f>1688500/1.1</f>
        <v>1534999.9999999998</v>
      </c>
      <c r="L1052" s="119"/>
      <c r="M1052" s="118">
        <f>K1052*0.1</f>
        <v>153499.99999999997</v>
      </c>
      <c r="N1052" s="119"/>
      <c r="O1052" s="118">
        <v>38700</v>
      </c>
      <c r="P1052" s="119"/>
      <c r="Q1052" s="118">
        <v>15110</v>
      </c>
      <c r="R1052" s="119"/>
      <c r="S1052" s="118">
        <v>139425</v>
      </c>
      <c r="T1052" s="119"/>
      <c r="U1052" s="118">
        <f>SUM(K1052:T1053)</f>
        <v>1881734.9999999998</v>
      </c>
      <c r="V1052" s="122"/>
      <c r="W1052" s="124"/>
      <c r="X1052" s="126" t="s">
        <v>3768</v>
      </c>
      <c r="Y1052" s="127"/>
      <c r="Z1052" s="127"/>
      <c r="AA1052" s="127"/>
      <c r="AB1052" s="128"/>
      <c r="AC1052" s="15" t="s">
        <v>20</v>
      </c>
      <c r="AD1052" s="129" t="s">
        <v>171</v>
      </c>
      <c r="AE1052" s="130"/>
      <c r="AF1052" s="130"/>
      <c r="AG1052" s="130"/>
      <c r="AH1052" s="130"/>
      <c r="AI1052" s="131"/>
      <c r="AJ1052" s="132"/>
      <c r="AK1052" s="127"/>
      <c r="AL1052" s="128"/>
      <c r="AM1052" s="21" t="s">
        <v>3769</v>
      </c>
      <c r="AN1052" s="133">
        <v>46136</v>
      </c>
      <c r="AO1052" s="134"/>
      <c r="AP1052" s="135"/>
      <c r="AQ1052" s="136"/>
      <c r="AR1052" s="118">
        <v>1400000</v>
      </c>
      <c r="AS1052" s="119"/>
      <c r="AT1052" s="180">
        <f>AR1052*0.1</f>
        <v>140000</v>
      </c>
      <c r="AU1052" s="181"/>
      <c r="AV1052" s="118">
        <v>15110</v>
      </c>
      <c r="AW1052" s="119"/>
      <c r="AX1052" s="118">
        <f>SUM(AR1052:AW1052)</f>
        <v>1555110</v>
      </c>
      <c r="AY1052" s="119"/>
      <c r="AZ1052" s="137"/>
    </row>
    <row r="1053" spans="1:52" ht="17.100000000000001" customHeight="1" thickBot="1">
      <c r="A1053" s="110"/>
      <c r="B1053" s="27" t="s">
        <v>1718</v>
      </c>
      <c r="C1053" s="27" t="s">
        <v>3770</v>
      </c>
      <c r="D1053" s="14" t="s">
        <v>904</v>
      </c>
      <c r="E1053" s="112"/>
      <c r="F1053" s="139" t="s">
        <v>3771</v>
      </c>
      <c r="G1053" s="140"/>
      <c r="H1053" s="141"/>
      <c r="I1053" s="26">
        <v>30217</v>
      </c>
      <c r="J1053" s="117"/>
      <c r="K1053" s="120"/>
      <c r="L1053" s="121"/>
      <c r="M1053" s="120"/>
      <c r="N1053" s="121"/>
      <c r="O1053" s="120"/>
      <c r="P1053" s="121"/>
      <c r="Q1053" s="120"/>
      <c r="R1053" s="121"/>
      <c r="S1053" s="120"/>
      <c r="T1053" s="121"/>
      <c r="U1053" s="120"/>
      <c r="V1053" s="123"/>
      <c r="W1053" s="125"/>
      <c r="X1053" s="142" t="s">
        <v>3772</v>
      </c>
      <c r="Y1053" s="143"/>
      <c r="Z1053" s="143"/>
      <c r="AA1053" s="143"/>
      <c r="AB1053" s="144"/>
      <c r="AC1053" s="16" t="s">
        <v>21</v>
      </c>
      <c r="AD1053" s="17" t="s">
        <v>2272</v>
      </c>
      <c r="AE1053" s="145" t="s">
        <v>171</v>
      </c>
      <c r="AF1053" s="146"/>
      <c r="AG1053" s="146"/>
      <c r="AH1053" s="146"/>
      <c r="AI1053" s="147"/>
      <c r="AJ1053" s="148"/>
      <c r="AK1053" s="143"/>
      <c r="AL1053" s="144"/>
      <c r="AM1053" s="22"/>
      <c r="AN1053" s="149" t="s">
        <v>6789</v>
      </c>
      <c r="AO1053" s="144"/>
      <c r="AP1053" s="148">
        <v>51591</v>
      </c>
      <c r="AQ1053" s="144"/>
      <c r="AR1053" s="120"/>
      <c r="AS1053" s="121"/>
      <c r="AT1053" s="120"/>
      <c r="AU1053" s="182"/>
      <c r="AV1053" s="120"/>
      <c r="AW1053" s="121"/>
      <c r="AX1053" s="120"/>
      <c r="AY1053" s="121"/>
      <c r="AZ1053" s="138"/>
    </row>
    <row r="1054" spans="1:52" ht="17.100000000000001" customHeight="1" thickTop="1">
      <c r="A1054" s="109" t="s">
        <v>6264</v>
      </c>
      <c r="B1054" s="28">
        <v>45803</v>
      </c>
      <c r="C1054" s="25"/>
      <c r="D1054" s="13" t="s">
        <v>3773</v>
      </c>
      <c r="E1054" s="111"/>
      <c r="F1054" s="113" t="s">
        <v>3774</v>
      </c>
      <c r="G1054" s="114"/>
      <c r="H1054" s="115"/>
      <c r="I1054" s="24" t="s">
        <v>2526</v>
      </c>
      <c r="J1054" s="116"/>
      <c r="K1054" s="118">
        <v>0</v>
      </c>
      <c r="L1054" s="119"/>
      <c r="M1054" s="118">
        <f>K1054*0.1</f>
        <v>0</v>
      </c>
      <c r="N1054" s="119"/>
      <c r="O1054" s="118">
        <v>0</v>
      </c>
      <c r="P1054" s="119"/>
      <c r="Q1054" s="118">
        <v>0</v>
      </c>
      <c r="R1054" s="119"/>
      <c r="S1054" s="118">
        <v>0</v>
      </c>
      <c r="T1054" s="119"/>
      <c r="U1054" s="118">
        <f>SUM(K1054:T1055)</f>
        <v>0</v>
      </c>
      <c r="V1054" s="122"/>
      <c r="W1054" s="124"/>
      <c r="X1054" s="126" t="s">
        <v>3775</v>
      </c>
      <c r="Y1054" s="127"/>
      <c r="Z1054" s="127"/>
      <c r="AA1054" s="127"/>
      <c r="AB1054" s="128"/>
      <c r="AC1054" s="15" t="s">
        <v>20</v>
      </c>
      <c r="AD1054" s="129"/>
      <c r="AE1054" s="130"/>
      <c r="AF1054" s="130"/>
      <c r="AG1054" s="130"/>
      <c r="AH1054" s="130"/>
      <c r="AI1054" s="131"/>
      <c r="AJ1054" s="132"/>
      <c r="AK1054" s="127"/>
      <c r="AL1054" s="128"/>
      <c r="AM1054" s="21"/>
      <c r="AN1054" s="133"/>
      <c r="AO1054" s="134"/>
      <c r="AP1054" s="135"/>
      <c r="AQ1054" s="136"/>
      <c r="AR1054" s="118"/>
      <c r="AS1054" s="119"/>
      <c r="AT1054" s="180">
        <f>AR1054*0.1</f>
        <v>0</v>
      </c>
      <c r="AU1054" s="181"/>
      <c r="AV1054" s="118"/>
      <c r="AW1054" s="119"/>
      <c r="AX1054" s="118">
        <f>SUM(AR1054:AW1054)</f>
        <v>0</v>
      </c>
      <c r="AY1054" s="119"/>
      <c r="AZ1054" s="137"/>
    </row>
    <row r="1055" spans="1:52" ht="17.100000000000001" customHeight="1" thickBot="1">
      <c r="A1055" s="110"/>
      <c r="B1055" s="27" t="s">
        <v>3776</v>
      </c>
      <c r="C1055" s="27"/>
      <c r="D1055" s="14"/>
      <c r="E1055" s="112"/>
      <c r="F1055" s="139" t="s">
        <v>3777</v>
      </c>
      <c r="G1055" s="140"/>
      <c r="H1055" s="141"/>
      <c r="I1055" s="26">
        <v>158256</v>
      </c>
      <c r="J1055" s="117"/>
      <c r="K1055" s="120"/>
      <c r="L1055" s="121"/>
      <c r="M1055" s="120"/>
      <c r="N1055" s="121"/>
      <c r="O1055" s="120"/>
      <c r="P1055" s="121"/>
      <c r="Q1055" s="120"/>
      <c r="R1055" s="121"/>
      <c r="S1055" s="120"/>
      <c r="T1055" s="121"/>
      <c r="U1055" s="120"/>
      <c r="V1055" s="123"/>
      <c r="W1055" s="125"/>
      <c r="X1055" s="142" t="s">
        <v>3778</v>
      </c>
      <c r="Y1055" s="143"/>
      <c r="Z1055" s="143"/>
      <c r="AA1055" s="143"/>
      <c r="AB1055" s="144"/>
      <c r="AC1055" s="16" t="s">
        <v>21</v>
      </c>
      <c r="AD1055" s="17" t="s">
        <v>3779</v>
      </c>
      <c r="AE1055" s="145" t="s">
        <v>171</v>
      </c>
      <c r="AF1055" s="146"/>
      <c r="AG1055" s="146"/>
      <c r="AH1055" s="146"/>
      <c r="AI1055" s="147"/>
      <c r="AJ1055" s="148"/>
      <c r="AK1055" s="143"/>
      <c r="AL1055" s="144"/>
      <c r="AM1055" s="22"/>
      <c r="AN1055" s="149"/>
      <c r="AO1055" s="144"/>
      <c r="AP1055" s="148"/>
      <c r="AQ1055" s="144"/>
      <c r="AR1055" s="120"/>
      <c r="AS1055" s="121"/>
      <c r="AT1055" s="120"/>
      <c r="AU1055" s="182"/>
      <c r="AV1055" s="120"/>
      <c r="AW1055" s="121"/>
      <c r="AX1055" s="120"/>
      <c r="AY1055" s="121"/>
      <c r="AZ1055" s="138"/>
    </row>
    <row r="1056" spans="1:52" ht="17.100000000000001" customHeight="1" thickTop="1">
      <c r="A1056" s="109" t="s">
        <v>6265</v>
      </c>
      <c r="B1056" s="28">
        <v>45804</v>
      </c>
      <c r="C1056" s="25">
        <v>1046</v>
      </c>
      <c r="D1056" s="13" t="s">
        <v>1953</v>
      </c>
      <c r="E1056" s="111"/>
      <c r="F1056" s="113" t="s">
        <v>3780</v>
      </c>
      <c r="G1056" s="114"/>
      <c r="H1056" s="115"/>
      <c r="I1056" s="24" t="s">
        <v>3781</v>
      </c>
      <c r="J1056" s="116">
        <v>4.5</v>
      </c>
      <c r="K1056" s="118">
        <v>1950000</v>
      </c>
      <c r="L1056" s="119"/>
      <c r="M1056" s="118">
        <f>K1056*0.1</f>
        <v>195000</v>
      </c>
      <c r="N1056" s="119"/>
      <c r="O1056" s="118">
        <f>28700+2870</f>
        <v>31570</v>
      </c>
      <c r="P1056" s="119"/>
      <c r="Q1056" s="118">
        <v>11740</v>
      </c>
      <c r="R1056" s="119"/>
      <c r="S1056" s="118">
        <v>27500</v>
      </c>
      <c r="T1056" s="119"/>
      <c r="U1056" s="118">
        <f>SUM(K1056:T1057)</f>
        <v>2215810</v>
      </c>
      <c r="V1056" s="122"/>
      <c r="W1056" s="124"/>
      <c r="X1056" s="126" t="s">
        <v>3782</v>
      </c>
      <c r="Y1056" s="127"/>
      <c r="Z1056" s="127"/>
      <c r="AA1056" s="127"/>
      <c r="AB1056" s="128"/>
      <c r="AC1056" s="15" t="s">
        <v>20</v>
      </c>
      <c r="AD1056" s="129" t="s">
        <v>1565</v>
      </c>
      <c r="AE1056" s="130"/>
      <c r="AF1056" s="130"/>
      <c r="AG1056" s="130"/>
      <c r="AH1056" s="130"/>
      <c r="AI1056" s="131"/>
      <c r="AJ1056" s="132"/>
      <c r="AK1056" s="127"/>
      <c r="AL1056" s="128"/>
      <c r="AM1056" s="21" t="s">
        <v>3783</v>
      </c>
      <c r="AN1056" s="133"/>
      <c r="AO1056" s="134"/>
      <c r="AP1056" s="135"/>
      <c r="AQ1056" s="136"/>
      <c r="AR1056" s="118"/>
      <c r="AS1056" s="119"/>
      <c r="AT1056" s="118">
        <f>AR1056*0.1</f>
        <v>0</v>
      </c>
      <c r="AU1056" s="119"/>
      <c r="AV1056" s="118"/>
      <c r="AW1056" s="119"/>
      <c r="AX1056" s="118">
        <f>SUM(AR1056:AW1056)</f>
        <v>0</v>
      </c>
      <c r="AY1056" s="119"/>
      <c r="AZ1056" s="137"/>
    </row>
    <row r="1057" spans="1:52" ht="17.100000000000001" customHeight="1" thickBot="1">
      <c r="A1057" s="110"/>
      <c r="B1057" s="27" t="s">
        <v>1591</v>
      </c>
      <c r="C1057" s="27">
        <v>84136</v>
      </c>
      <c r="D1057" s="14" t="s">
        <v>2116</v>
      </c>
      <c r="E1057" s="112"/>
      <c r="F1057" s="139" t="s">
        <v>3784</v>
      </c>
      <c r="G1057" s="140"/>
      <c r="H1057" s="141"/>
      <c r="I1057" s="26">
        <v>32873</v>
      </c>
      <c r="J1057" s="117"/>
      <c r="K1057" s="120"/>
      <c r="L1057" s="121"/>
      <c r="M1057" s="120"/>
      <c r="N1057" s="121"/>
      <c r="O1057" s="120"/>
      <c r="P1057" s="121"/>
      <c r="Q1057" s="120"/>
      <c r="R1057" s="121"/>
      <c r="S1057" s="120"/>
      <c r="T1057" s="121"/>
      <c r="U1057" s="120"/>
      <c r="V1057" s="123"/>
      <c r="W1057" s="125"/>
      <c r="X1057" s="142" t="s">
        <v>2688</v>
      </c>
      <c r="Y1057" s="143"/>
      <c r="Z1057" s="143"/>
      <c r="AA1057" s="143"/>
      <c r="AB1057" s="144"/>
      <c r="AC1057" s="16" t="s">
        <v>21</v>
      </c>
      <c r="AD1057" s="17" t="s">
        <v>3785</v>
      </c>
      <c r="AE1057" s="145" t="s">
        <v>2051</v>
      </c>
      <c r="AF1057" s="146"/>
      <c r="AG1057" s="146"/>
      <c r="AH1057" s="146"/>
      <c r="AI1057" s="147"/>
      <c r="AJ1057" s="148"/>
      <c r="AK1057" s="143"/>
      <c r="AL1057" s="144"/>
      <c r="AM1057" s="22"/>
      <c r="AN1057" s="149"/>
      <c r="AO1057" s="144"/>
      <c r="AP1057" s="148"/>
      <c r="AQ1057" s="144"/>
      <c r="AR1057" s="120"/>
      <c r="AS1057" s="121"/>
      <c r="AT1057" s="120"/>
      <c r="AU1057" s="121"/>
      <c r="AV1057" s="120"/>
      <c r="AW1057" s="121"/>
      <c r="AX1057" s="120"/>
      <c r="AY1057" s="121"/>
      <c r="AZ1057" s="138"/>
    </row>
    <row r="1058" spans="1:52" ht="17.100000000000001" customHeight="1" thickTop="1">
      <c r="A1058" s="109" t="s">
        <v>6266</v>
      </c>
      <c r="B1058" s="28">
        <v>45806</v>
      </c>
      <c r="C1058" s="25">
        <v>1518</v>
      </c>
      <c r="D1058" s="13" t="s">
        <v>2022</v>
      </c>
      <c r="E1058" s="111"/>
      <c r="F1058" s="113" t="s">
        <v>3786</v>
      </c>
      <c r="G1058" s="114"/>
      <c r="H1058" s="115"/>
      <c r="I1058" s="24" t="s">
        <v>2464</v>
      </c>
      <c r="J1058" s="116">
        <v>4.5</v>
      </c>
      <c r="K1058" s="118">
        <v>2400000</v>
      </c>
      <c r="L1058" s="119"/>
      <c r="M1058" s="118">
        <f>K1058*0.1</f>
        <v>240000</v>
      </c>
      <c r="N1058" s="119"/>
      <c r="O1058" s="118">
        <v>0</v>
      </c>
      <c r="P1058" s="119"/>
      <c r="Q1058" s="118">
        <v>21930</v>
      </c>
      <c r="R1058" s="119"/>
      <c r="S1058" s="118">
        <v>27500</v>
      </c>
      <c r="T1058" s="119"/>
      <c r="U1058" s="118">
        <f>SUM(K1058:T1059)</f>
        <v>2689430</v>
      </c>
      <c r="V1058" s="122"/>
      <c r="W1058" s="124"/>
      <c r="X1058" s="126" t="s">
        <v>3787</v>
      </c>
      <c r="Y1058" s="127"/>
      <c r="Z1058" s="127"/>
      <c r="AA1058" s="127"/>
      <c r="AB1058" s="128"/>
      <c r="AC1058" s="15" t="s">
        <v>20</v>
      </c>
      <c r="AD1058" s="129" t="s">
        <v>1633</v>
      </c>
      <c r="AE1058" s="130"/>
      <c r="AF1058" s="130"/>
      <c r="AG1058" s="130"/>
      <c r="AH1058" s="130"/>
      <c r="AI1058" s="131"/>
      <c r="AJ1058" s="132"/>
      <c r="AK1058" s="127"/>
      <c r="AL1058" s="128"/>
      <c r="AM1058" s="21"/>
      <c r="AN1058" s="133"/>
      <c r="AO1058" s="134"/>
      <c r="AP1058" s="135"/>
      <c r="AQ1058" s="136"/>
      <c r="AR1058" s="118"/>
      <c r="AS1058" s="119"/>
      <c r="AT1058" s="118">
        <f>AR1058*0.1</f>
        <v>0</v>
      </c>
      <c r="AU1058" s="119"/>
      <c r="AV1058" s="118"/>
      <c r="AW1058" s="119"/>
      <c r="AX1058" s="118">
        <f>SUM(AR1058:AW1058)</f>
        <v>0</v>
      </c>
      <c r="AY1058" s="119"/>
      <c r="AZ1058" s="137"/>
    </row>
    <row r="1059" spans="1:52" ht="17.100000000000001" customHeight="1" thickBot="1">
      <c r="A1059" s="110"/>
      <c r="B1059" s="27" t="s">
        <v>1600</v>
      </c>
      <c r="C1059" s="27">
        <v>75981</v>
      </c>
      <c r="D1059" s="14" t="s">
        <v>2601</v>
      </c>
      <c r="E1059" s="112"/>
      <c r="F1059" s="139" t="s">
        <v>3788</v>
      </c>
      <c r="G1059" s="140"/>
      <c r="H1059" s="141"/>
      <c r="I1059" s="26">
        <v>36024</v>
      </c>
      <c r="J1059" s="117"/>
      <c r="K1059" s="120"/>
      <c r="L1059" s="121"/>
      <c r="M1059" s="120"/>
      <c r="N1059" s="121"/>
      <c r="O1059" s="120"/>
      <c r="P1059" s="121"/>
      <c r="Q1059" s="120"/>
      <c r="R1059" s="121"/>
      <c r="S1059" s="120"/>
      <c r="T1059" s="121"/>
      <c r="U1059" s="120"/>
      <c r="V1059" s="123"/>
      <c r="W1059" s="125"/>
      <c r="X1059" s="142" t="s">
        <v>3789</v>
      </c>
      <c r="Y1059" s="143"/>
      <c r="Z1059" s="143"/>
      <c r="AA1059" s="143"/>
      <c r="AB1059" s="144"/>
      <c r="AC1059" s="16" t="s">
        <v>21</v>
      </c>
      <c r="AD1059" s="17" t="s">
        <v>2211</v>
      </c>
      <c r="AE1059" s="145" t="s">
        <v>1742</v>
      </c>
      <c r="AF1059" s="146"/>
      <c r="AG1059" s="146"/>
      <c r="AH1059" s="146"/>
      <c r="AI1059" s="147"/>
      <c r="AJ1059" s="148"/>
      <c r="AK1059" s="143"/>
      <c r="AL1059" s="144"/>
      <c r="AM1059" s="22"/>
      <c r="AN1059" s="149"/>
      <c r="AO1059" s="144"/>
      <c r="AP1059" s="148"/>
      <c r="AQ1059" s="144"/>
      <c r="AR1059" s="120"/>
      <c r="AS1059" s="121"/>
      <c r="AT1059" s="120"/>
      <c r="AU1059" s="121"/>
      <c r="AV1059" s="120"/>
      <c r="AW1059" s="121"/>
      <c r="AX1059" s="120"/>
      <c r="AY1059" s="121"/>
      <c r="AZ1059" s="138"/>
    </row>
    <row r="1060" spans="1:52" ht="17.100000000000001" customHeight="1" thickTop="1">
      <c r="A1060" s="109" t="s">
        <v>6267</v>
      </c>
      <c r="B1060" s="28">
        <v>45806</v>
      </c>
      <c r="C1060" s="25">
        <v>1935</v>
      </c>
      <c r="D1060" s="13" t="s">
        <v>2179</v>
      </c>
      <c r="E1060" s="111"/>
      <c r="F1060" s="113" t="s">
        <v>3790</v>
      </c>
      <c r="G1060" s="114"/>
      <c r="H1060" s="115"/>
      <c r="I1060" s="24"/>
      <c r="J1060" s="116">
        <v>4</v>
      </c>
      <c r="K1060" s="118">
        <v>616000</v>
      </c>
      <c r="L1060" s="119"/>
      <c r="M1060" s="118">
        <v>0</v>
      </c>
      <c r="N1060" s="119"/>
      <c r="O1060" s="118">
        <v>0</v>
      </c>
      <c r="P1060" s="119"/>
      <c r="Q1060" s="118">
        <v>9290</v>
      </c>
      <c r="R1060" s="119"/>
      <c r="S1060" s="118">
        <v>14850</v>
      </c>
      <c r="T1060" s="119"/>
      <c r="U1060" s="118">
        <f>SUM(K1060:T1061)</f>
        <v>640140</v>
      </c>
      <c r="V1060" s="122"/>
      <c r="W1060" s="124"/>
      <c r="X1060" s="126" t="s">
        <v>3791</v>
      </c>
      <c r="Y1060" s="127"/>
      <c r="Z1060" s="127"/>
      <c r="AA1060" s="127"/>
      <c r="AB1060" s="128"/>
      <c r="AC1060" s="15" t="s">
        <v>20</v>
      </c>
      <c r="AD1060" s="129"/>
      <c r="AE1060" s="130"/>
      <c r="AF1060" s="130"/>
      <c r="AG1060" s="130"/>
      <c r="AH1060" s="130"/>
      <c r="AI1060" s="131"/>
      <c r="AJ1060" s="132" t="s">
        <v>10034</v>
      </c>
      <c r="AK1060" s="127"/>
      <c r="AL1060" s="128"/>
      <c r="AM1060" s="21"/>
      <c r="AN1060" s="133">
        <v>45962</v>
      </c>
      <c r="AO1060" s="134"/>
      <c r="AP1060" s="135">
        <v>1274</v>
      </c>
      <c r="AQ1060" s="136"/>
      <c r="AR1060" s="118">
        <v>650000</v>
      </c>
      <c r="AS1060" s="119"/>
      <c r="AT1060" s="118">
        <v>0</v>
      </c>
      <c r="AU1060" s="119"/>
      <c r="AV1060" s="118">
        <v>9290</v>
      </c>
      <c r="AW1060" s="119"/>
      <c r="AX1060" s="118">
        <f>SUM(AR1060:AW1060)</f>
        <v>659290</v>
      </c>
      <c r="AY1060" s="119"/>
      <c r="AZ1060" s="137">
        <v>45965</v>
      </c>
    </row>
    <row r="1061" spans="1:52" ht="17.100000000000001" customHeight="1" thickBot="1">
      <c r="A1061" s="110"/>
      <c r="B1061" s="27" t="s">
        <v>3792</v>
      </c>
      <c r="C1061" s="27">
        <v>9007</v>
      </c>
      <c r="D1061" s="14" t="s">
        <v>3793</v>
      </c>
      <c r="E1061" s="112"/>
      <c r="F1061" s="139" t="s">
        <v>3794</v>
      </c>
      <c r="G1061" s="140"/>
      <c r="H1061" s="141"/>
      <c r="I1061" s="26">
        <v>26430</v>
      </c>
      <c r="J1061" s="117"/>
      <c r="K1061" s="120"/>
      <c r="L1061" s="121"/>
      <c r="M1061" s="120"/>
      <c r="N1061" s="121"/>
      <c r="O1061" s="120"/>
      <c r="P1061" s="121"/>
      <c r="Q1061" s="120"/>
      <c r="R1061" s="121"/>
      <c r="S1061" s="120"/>
      <c r="T1061" s="121"/>
      <c r="U1061" s="120"/>
      <c r="V1061" s="123"/>
      <c r="W1061" s="125"/>
      <c r="X1061" s="142" t="s">
        <v>3795</v>
      </c>
      <c r="Y1061" s="143"/>
      <c r="Z1061" s="143"/>
      <c r="AA1061" s="143"/>
      <c r="AB1061" s="144"/>
      <c r="AC1061" s="16" t="s">
        <v>21</v>
      </c>
      <c r="AD1061" s="17" t="s">
        <v>2428</v>
      </c>
      <c r="AE1061" s="145" t="s">
        <v>3796</v>
      </c>
      <c r="AF1061" s="146"/>
      <c r="AG1061" s="146"/>
      <c r="AH1061" s="146"/>
      <c r="AI1061" s="147"/>
      <c r="AJ1061" s="148"/>
      <c r="AK1061" s="143"/>
      <c r="AL1061" s="144"/>
      <c r="AM1061" s="22"/>
      <c r="AN1061" s="149" t="s">
        <v>2511</v>
      </c>
      <c r="AO1061" s="144"/>
      <c r="AP1061" s="148">
        <v>60239</v>
      </c>
      <c r="AQ1061" s="144"/>
      <c r="AR1061" s="120"/>
      <c r="AS1061" s="121"/>
      <c r="AT1061" s="120"/>
      <c r="AU1061" s="121"/>
      <c r="AV1061" s="120"/>
      <c r="AW1061" s="121"/>
      <c r="AX1061" s="120"/>
      <c r="AY1061" s="121"/>
      <c r="AZ1061" s="138"/>
    </row>
    <row r="1062" spans="1:52" ht="17.100000000000001" customHeight="1" thickTop="1">
      <c r="A1062" s="109" t="s">
        <v>6268</v>
      </c>
      <c r="B1062" s="28">
        <v>45807</v>
      </c>
      <c r="C1062" s="25">
        <v>2087</v>
      </c>
      <c r="D1062" s="13" t="s">
        <v>1649</v>
      </c>
      <c r="E1062" s="111"/>
      <c r="F1062" s="113" t="s">
        <v>3365</v>
      </c>
      <c r="G1062" s="114"/>
      <c r="H1062" s="115"/>
      <c r="I1062" s="24"/>
      <c r="J1062" s="116">
        <v>4.5</v>
      </c>
      <c r="K1062" s="118">
        <v>1500000</v>
      </c>
      <c r="L1062" s="119"/>
      <c r="M1062" s="118">
        <f>K1062*0.1</f>
        <v>150000</v>
      </c>
      <c r="N1062" s="119"/>
      <c r="O1062" s="118">
        <v>0</v>
      </c>
      <c r="P1062" s="119"/>
      <c r="Q1062" s="118">
        <v>13210</v>
      </c>
      <c r="R1062" s="119"/>
      <c r="S1062" s="118">
        <v>16500</v>
      </c>
      <c r="T1062" s="119"/>
      <c r="U1062" s="118">
        <f>SUM(K1062:T1063)</f>
        <v>1679710</v>
      </c>
      <c r="V1062" s="122"/>
      <c r="W1062" s="124"/>
      <c r="X1062" s="126" t="s">
        <v>3797</v>
      </c>
      <c r="Y1062" s="127"/>
      <c r="Z1062" s="127"/>
      <c r="AA1062" s="127"/>
      <c r="AB1062" s="128"/>
      <c r="AC1062" s="15" t="s">
        <v>20</v>
      </c>
      <c r="AD1062" s="129" t="s">
        <v>1670</v>
      </c>
      <c r="AE1062" s="130"/>
      <c r="AF1062" s="130"/>
      <c r="AG1062" s="130"/>
      <c r="AH1062" s="130"/>
      <c r="AI1062" s="131"/>
      <c r="AJ1062" s="132"/>
      <c r="AK1062" s="127"/>
      <c r="AL1062" s="128"/>
      <c r="AM1062" s="21"/>
      <c r="AN1062" s="133"/>
      <c r="AO1062" s="134"/>
      <c r="AP1062" s="135"/>
      <c r="AQ1062" s="136"/>
      <c r="AR1062" s="118"/>
      <c r="AS1062" s="119"/>
      <c r="AT1062" s="118">
        <f>AR1062*0.1</f>
        <v>0</v>
      </c>
      <c r="AU1062" s="119"/>
      <c r="AV1062" s="118"/>
      <c r="AW1062" s="119"/>
      <c r="AX1062" s="118">
        <f>SUM(AR1062:AW1062)</f>
        <v>0</v>
      </c>
      <c r="AY1062" s="119"/>
      <c r="AZ1062" s="137"/>
    </row>
    <row r="1063" spans="1:52" ht="17.100000000000001" customHeight="1" thickBot="1">
      <c r="A1063" s="110"/>
      <c r="B1063" s="27" t="s">
        <v>1543</v>
      </c>
      <c r="C1063" s="27">
        <v>58416</v>
      </c>
      <c r="D1063" s="14" t="s">
        <v>275</v>
      </c>
      <c r="E1063" s="112"/>
      <c r="F1063" s="139" t="s">
        <v>3798</v>
      </c>
      <c r="G1063" s="140"/>
      <c r="H1063" s="141"/>
      <c r="I1063" s="26">
        <v>49100</v>
      </c>
      <c r="J1063" s="117"/>
      <c r="K1063" s="120"/>
      <c r="L1063" s="121"/>
      <c r="M1063" s="120"/>
      <c r="N1063" s="121"/>
      <c r="O1063" s="120"/>
      <c r="P1063" s="121"/>
      <c r="Q1063" s="120"/>
      <c r="R1063" s="121"/>
      <c r="S1063" s="120"/>
      <c r="T1063" s="121"/>
      <c r="U1063" s="120"/>
      <c r="V1063" s="123"/>
      <c r="W1063" s="125"/>
      <c r="X1063" s="142" t="s">
        <v>3799</v>
      </c>
      <c r="Y1063" s="143"/>
      <c r="Z1063" s="143"/>
      <c r="AA1063" s="143"/>
      <c r="AB1063" s="144"/>
      <c r="AC1063" s="16" t="s">
        <v>21</v>
      </c>
      <c r="AD1063" s="17" t="s">
        <v>2272</v>
      </c>
      <c r="AE1063" s="145" t="s">
        <v>3800</v>
      </c>
      <c r="AF1063" s="146"/>
      <c r="AG1063" s="146"/>
      <c r="AH1063" s="146"/>
      <c r="AI1063" s="147"/>
      <c r="AJ1063" s="148"/>
      <c r="AK1063" s="143"/>
      <c r="AL1063" s="144"/>
      <c r="AM1063" s="22"/>
      <c r="AN1063" s="149"/>
      <c r="AO1063" s="144"/>
      <c r="AP1063" s="148"/>
      <c r="AQ1063" s="144"/>
      <c r="AR1063" s="120"/>
      <c r="AS1063" s="121"/>
      <c r="AT1063" s="120"/>
      <c r="AU1063" s="121"/>
      <c r="AV1063" s="120"/>
      <c r="AW1063" s="121"/>
      <c r="AX1063" s="120"/>
      <c r="AY1063" s="121"/>
      <c r="AZ1063" s="138"/>
    </row>
    <row r="1064" spans="1:52" ht="17.100000000000001" customHeight="1" thickTop="1">
      <c r="A1064" s="109" t="s">
        <v>6269</v>
      </c>
      <c r="B1064" s="28">
        <v>45808</v>
      </c>
      <c r="C1064" s="25">
        <v>1253</v>
      </c>
      <c r="D1064" s="13" t="s">
        <v>3801</v>
      </c>
      <c r="E1064" s="111"/>
      <c r="F1064" s="113" t="s">
        <v>3802</v>
      </c>
      <c r="G1064" s="114"/>
      <c r="H1064" s="115"/>
      <c r="I1064" s="24"/>
      <c r="J1064" s="116">
        <v>4</v>
      </c>
      <c r="K1064" s="118">
        <v>1805000</v>
      </c>
      <c r="L1064" s="119"/>
      <c r="M1064" s="118">
        <f>K1064*0.1</f>
        <v>180500</v>
      </c>
      <c r="N1064" s="119"/>
      <c r="O1064" s="118">
        <v>0</v>
      </c>
      <c r="P1064" s="119"/>
      <c r="Q1064" s="118">
        <v>22240</v>
      </c>
      <c r="R1064" s="119"/>
      <c r="S1064" s="118">
        <v>16500</v>
      </c>
      <c r="T1064" s="119"/>
      <c r="U1064" s="118">
        <f>SUM(K1064:T1065)</f>
        <v>2024240</v>
      </c>
      <c r="V1064" s="122"/>
      <c r="W1064" s="124"/>
      <c r="X1064" s="126" t="s">
        <v>3803</v>
      </c>
      <c r="Y1064" s="127"/>
      <c r="Z1064" s="127"/>
      <c r="AA1064" s="127"/>
      <c r="AB1064" s="128"/>
      <c r="AC1064" s="15" t="s">
        <v>20</v>
      </c>
      <c r="AD1064" s="129"/>
      <c r="AE1064" s="130"/>
      <c r="AF1064" s="130"/>
      <c r="AG1064" s="130"/>
      <c r="AH1064" s="130"/>
      <c r="AI1064" s="131"/>
      <c r="AJ1064" s="132"/>
      <c r="AK1064" s="127"/>
      <c r="AL1064" s="128"/>
      <c r="AM1064" s="21"/>
      <c r="AN1064" s="133"/>
      <c r="AO1064" s="134"/>
      <c r="AP1064" s="135"/>
      <c r="AQ1064" s="136"/>
      <c r="AR1064" s="118"/>
      <c r="AS1064" s="119"/>
      <c r="AT1064" s="118">
        <f>AR1064*0.1</f>
        <v>0</v>
      </c>
      <c r="AU1064" s="119"/>
      <c r="AV1064" s="118"/>
      <c r="AW1064" s="119"/>
      <c r="AX1064" s="118">
        <f>SUM(AR1064:AW1064)</f>
        <v>0</v>
      </c>
      <c r="AY1064" s="119"/>
      <c r="AZ1064" s="137"/>
    </row>
    <row r="1065" spans="1:52" ht="17.100000000000001" customHeight="1" thickBot="1">
      <c r="A1065" s="110"/>
      <c r="B1065" s="27" t="s">
        <v>2511</v>
      </c>
      <c r="C1065" s="27">
        <v>82065</v>
      </c>
      <c r="D1065" s="14" t="s">
        <v>2800</v>
      </c>
      <c r="E1065" s="112"/>
      <c r="F1065" s="139" t="s">
        <v>3804</v>
      </c>
      <c r="G1065" s="140"/>
      <c r="H1065" s="141"/>
      <c r="I1065" s="26">
        <v>34959</v>
      </c>
      <c r="J1065" s="117"/>
      <c r="K1065" s="120"/>
      <c r="L1065" s="121"/>
      <c r="M1065" s="120"/>
      <c r="N1065" s="121"/>
      <c r="O1065" s="120"/>
      <c r="P1065" s="121"/>
      <c r="Q1065" s="120"/>
      <c r="R1065" s="121"/>
      <c r="S1065" s="120"/>
      <c r="T1065" s="121"/>
      <c r="U1065" s="120"/>
      <c r="V1065" s="123"/>
      <c r="W1065" s="125"/>
      <c r="X1065" s="142" t="s">
        <v>3410</v>
      </c>
      <c r="Y1065" s="143"/>
      <c r="Z1065" s="143"/>
      <c r="AA1065" s="143"/>
      <c r="AB1065" s="144"/>
      <c r="AC1065" s="16" t="s">
        <v>21</v>
      </c>
      <c r="AD1065" s="17" t="s">
        <v>2226</v>
      </c>
      <c r="AE1065" s="145" t="s">
        <v>1614</v>
      </c>
      <c r="AF1065" s="146"/>
      <c r="AG1065" s="146"/>
      <c r="AH1065" s="146"/>
      <c r="AI1065" s="147"/>
      <c r="AJ1065" s="148"/>
      <c r="AK1065" s="143"/>
      <c r="AL1065" s="144"/>
      <c r="AM1065" s="22"/>
      <c r="AN1065" s="149"/>
      <c r="AO1065" s="144"/>
      <c r="AP1065" s="148"/>
      <c r="AQ1065" s="144"/>
      <c r="AR1065" s="120"/>
      <c r="AS1065" s="121"/>
      <c r="AT1065" s="120"/>
      <c r="AU1065" s="121"/>
      <c r="AV1065" s="120"/>
      <c r="AW1065" s="121"/>
      <c r="AX1065" s="120"/>
      <c r="AY1065" s="121"/>
      <c r="AZ1065" s="138"/>
    </row>
    <row r="1066" spans="1:52" ht="17.100000000000001" customHeight="1" thickTop="1">
      <c r="A1066" s="109" t="s">
        <v>6270</v>
      </c>
      <c r="B1066" s="28">
        <v>45810</v>
      </c>
      <c r="C1066" s="25"/>
      <c r="D1066" s="13" t="s">
        <v>1839</v>
      </c>
      <c r="E1066" s="111"/>
      <c r="F1066" s="113" t="s">
        <v>3805</v>
      </c>
      <c r="G1066" s="114"/>
      <c r="H1066" s="115"/>
      <c r="I1066" s="24" t="s">
        <v>3806</v>
      </c>
      <c r="J1066" s="116">
        <v>3.5</v>
      </c>
      <c r="K1066" s="118">
        <f>225500/1.1</f>
        <v>204999.99999999997</v>
      </c>
      <c r="L1066" s="119"/>
      <c r="M1066" s="118">
        <f>K1066*0.1</f>
        <v>20500</v>
      </c>
      <c r="N1066" s="119"/>
      <c r="O1066" s="118">
        <v>0</v>
      </c>
      <c r="P1066" s="119"/>
      <c r="Q1066" s="118">
        <v>8140</v>
      </c>
      <c r="R1066" s="119"/>
      <c r="S1066" s="118">
        <v>37922</v>
      </c>
      <c r="T1066" s="119"/>
      <c r="U1066" s="118">
        <f>SUM(K1066:T1067)</f>
        <v>271562</v>
      </c>
      <c r="V1066" s="122"/>
      <c r="W1066" s="124"/>
      <c r="X1066" s="126" t="s">
        <v>10059</v>
      </c>
      <c r="Y1066" s="127"/>
      <c r="Z1066" s="127"/>
      <c r="AA1066" s="127"/>
      <c r="AB1066" s="128"/>
      <c r="AC1066" s="15" t="s">
        <v>20</v>
      </c>
      <c r="AD1066" s="129" t="s">
        <v>3807</v>
      </c>
      <c r="AE1066" s="130"/>
      <c r="AF1066" s="130"/>
      <c r="AG1066" s="130"/>
      <c r="AH1066" s="130"/>
      <c r="AI1066" s="131"/>
      <c r="AJ1066" s="132"/>
      <c r="AK1066" s="127"/>
      <c r="AL1066" s="128"/>
      <c r="AM1066" s="21"/>
      <c r="AN1066" s="133">
        <v>45979</v>
      </c>
      <c r="AO1066" s="134"/>
      <c r="AP1066" s="135">
        <v>1918</v>
      </c>
      <c r="AQ1066" s="136"/>
      <c r="AR1066" s="118">
        <v>379000</v>
      </c>
      <c r="AS1066" s="119"/>
      <c r="AT1066" s="118">
        <f>AR1066*0.1</f>
        <v>37900</v>
      </c>
      <c r="AU1066" s="119"/>
      <c r="AV1066" s="118">
        <v>8140</v>
      </c>
      <c r="AW1066" s="119"/>
      <c r="AX1066" s="118">
        <f>SUM(AR1066:AW1066)</f>
        <v>425040</v>
      </c>
      <c r="AY1066" s="119"/>
      <c r="AZ1066" s="137">
        <v>45986</v>
      </c>
    </row>
    <row r="1067" spans="1:52" ht="17.100000000000001" customHeight="1" thickBot="1">
      <c r="A1067" s="110"/>
      <c r="B1067" s="27" t="s">
        <v>1718</v>
      </c>
      <c r="C1067" s="27" t="s">
        <v>3808</v>
      </c>
      <c r="D1067" s="14" t="s">
        <v>3809</v>
      </c>
      <c r="E1067" s="112"/>
      <c r="F1067" s="139" t="s">
        <v>10058</v>
      </c>
      <c r="G1067" s="140"/>
      <c r="H1067" s="141"/>
      <c r="I1067" s="26">
        <v>41313</v>
      </c>
      <c r="J1067" s="117"/>
      <c r="K1067" s="120"/>
      <c r="L1067" s="121"/>
      <c r="M1067" s="120"/>
      <c r="N1067" s="121"/>
      <c r="O1067" s="120"/>
      <c r="P1067" s="121"/>
      <c r="Q1067" s="120"/>
      <c r="R1067" s="121"/>
      <c r="S1067" s="120"/>
      <c r="T1067" s="121"/>
      <c r="U1067" s="120"/>
      <c r="V1067" s="123"/>
      <c r="W1067" s="125"/>
      <c r="X1067" s="142" t="s">
        <v>10060</v>
      </c>
      <c r="Y1067" s="143"/>
      <c r="Z1067" s="143"/>
      <c r="AA1067" s="143"/>
      <c r="AB1067" s="144"/>
      <c r="AC1067" s="16" t="s">
        <v>21</v>
      </c>
      <c r="AD1067" s="17" t="s">
        <v>1683</v>
      </c>
      <c r="AE1067" s="145" t="s">
        <v>1614</v>
      </c>
      <c r="AF1067" s="146"/>
      <c r="AG1067" s="146"/>
      <c r="AH1067" s="146"/>
      <c r="AI1067" s="147"/>
      <c r="AJ1067" s="148"/>
      <c r="AK1067" s="143"/>
      <c r="AL1067" s="144"/>
      <c r="AM1067" s="22"/>
      <c r="AN1067" s="149" t="s">
        <v>2131</v>
      </c>
      <c r="AO1067" s="144"/>
      <c r="AP1067" s="148">
        <v>3129</v>
      </c>
      <c r="AQ1067" s="144"/>
      <c r="AR1067" s="120"/>
      <c r="AS1067" s="121"/>
      <c r="AT1067" s="120"/>
      <c r="AU1067" s="121"/>
      <c r="AV1067" s="120"/>
      <c r="AW1067" s="121"/>
      <c r="AX1067" s="120"/>
      <c r="AY1067" s="121"/>
      <c r="AZ1067" s="138"/>
    </row>
    <row r="1068" spans="1:52" ht="17.100000000000001" customHeight="1" thickTop="1">
      <c r="A1068" s="109" t="s">
        <v>6271</v>
      </c>
      <c r="B1068" s="28">
        <v>45813</v>
      </c>
      <c r="C1068" s="25"/>
      <c r="D1068" s="13" t="s">
        <v>2179</v>
      </c>
      <c r="E1068" s="111"/>
      <c r="F1068" s="113" t="s">
        <v>3810</v>
      </c>
      <c r="G1068" s="114"/>
      <c r="H1068" s="115"/>
      <c r="I1068" s="24" t="s">
        <v>3811</v>
      </c>
      <c r="J1068" s="116"/>
      <c r="K1068" s="118">
        <v>3200000</v>
      </c>
      <c r="L1068" s="119"/>
      <c r="M1068" s="118">
        <v>0</v>
      </c>
      <c r="N1068" s="119"/>
      <c r="O1068" s="118"/>
      <c r="P1068" s="119"/>
      <c r="Q1068" s="118"/>
      <c r="R1068" s="119"/>
      <c r="S1068" s="118"/>
      <c r="T1068" s="119"/>
      <c r="U1068" s="118">
        <f>SUM(K1068:T1069)</f>
        <v>3200000</v>
      </c>
      <c r="V1068" s="122"/>
      <c r="W1068" s="124"/>
      <c r="X1068" s="126" t="s">
        <v>3812</v>
      </c>
      <c r="Y1068" s="127"/>
      <c r="Z1068" s="127"/>
      <c r="AA1068" s="127"/>
      <c r="AB1068" s="128"/>
      <c r="AC1068" s="15" t="s">
        <v>20</v>
      </c>
      <c r="AD1068" s="129"/>
      <c r="AE1068" s="130"/>
      <c r="AF1068" s="130"/>
      <c r="AG1068" s="130"/>
      <c r="AH1068" s="130"/>
      <c r="AI1068" s="131"/>
      <c r="AJ1068" s="132"/>
      <c r="AK1068" s="127"/>
      <c r="AL1068" s="128"/>
      <c r="AM1068" s="21" t="s">
        <v>3813</v>
      </c>
      <c r="AN1068" s="133"/>
      <c r="AO1068" s="134"/>
      <c r="AP1068" s="135"/>
      <c r="AQ1068" s="136"/>
      <c r="AR1068" s="118"/>
      <c r="AS1068" s="119"/>
      <c r="AT1068" s="118">
        <f>AR1068*0.1</f>
        <v>0</v>
      </c>
      <c r="AU1068" s="119"/>
      <c r="AV1068" s="118"/>
      <c r="AW1068" s="119"/>
      <c r="AX1068" s="118">
        <f>SUM(AR1068:AW1068)</f>
        <v>0</v>
      </c>
      <c r="AY1068" s="119"/>
      <c r="AZ1068" s="137"/>
    </row>
    <row r="1069" spans="1:52" ht="17.100000000000001" customHeight="1" thickBot="1">
      <c r="A1069" s="110"/>
      <c r="B1069" s="27" t="s">
        <v>3814</v>
      </c>
      <c r="C1069" s="27"/>
      <c r="D1069" s="14"/>
      <c r="E1069" s="112"/>
      <c r="F1069" s="139" t="s">
        <v>3815</v>
      </c>
      <c r="G1069" s="140"/>
      <c r="H1069" s="141"/>
      <c r="I1069" s="26">
        <v>54735</v>
      </c>
      <c r="J1069" s="117"/>
      <c r="K1069" s="120"/>
      <c r="L1069" s="121"/>
      <c r="M1069" s="120"/>
      <c r="N1069" s="121"/>
      <c r="O1069" s="120"/>
      <c r="P1069" s="121"/>
      <c r="Q1069" s="120"/>
      <c r="R1069" s="121"/>
      <c r="S1069" s="120"/>
      <c r="T1069" s="121"/>
      <c r="U1069" s="120"/>
      <c r="V1069" s="123"/>
      <c r="W1069" s="125"/>
      <c r="X1069" s="142" t="s">
        <v>3816</v>
      </c>
      <c r="Y1069" s="143"/>
      <c r="Z1069" s="143"/>
      <c r="AA1069" s="143"/>
      <c r="AB1069" s="144"/>
      <c r="AC1069" s="16" t="s">
        <v>21</v>
      </c>
      <c r="AD1069" s="17" t="s">
        <v>2272</v>
      </c>
      <c r="AE1069" s="145" t="s">
        <v>3817</v>
      </c>
      <c r="AF1069" s="146"/>
      <c r="AG1069" s="146"/>
      <c r="AH1069" s="146"/>
      <c r="AI1069" s="147"/>
      <c r="AJ1069" s="148"/>
      <c r="AK1069" s="143"/>
      <c r="AL1069" s="144"/>
      <c r="AM1069" s="22"/>
      <c r="AN1069" s="149"/>
      <c r="AO1069" s="144"/>
      <c r="AP1069" s="148"/>
      <c r="AQ1069" s="144"/>
      <c r="AR1069" s="120"/>
      <c r="AS1069" s="121"/>
      <c r="AT1069" s="120"/>
      <c r="AU1069" s="121"/>
      <c r="AV1069" s="120"/>
      <c r="AW1069" s="121"/>
      <c r="AX1069" s="120"/>
      <c r="AY1069" s="121"/>
      <c r="AZ1069" s="138"/>
    </row>
    <row r="1070" spans="1:52" ht="17.100000000000001" customHeight="1" thickTop="1">
      <c r="A1070" s="109" t="s">
        <v>6272</v>
      </c>
      <c r="B1070" s="28">
        <v>45813</v>
      </c>
      <c r="C1070" s="25">
        <v>1284</v>
      </c>
      <c r="D1070" s="13" t="s">
        <v>3381</v>
      </c>
      <c r="E1070" s="111"/>
      <c r="F1070" s="113" t="s">
        <v>3818</v>
      </c>
      <c r="G1070" s="114"/>
      <c r="H1070" s="115"/>
      <c r="I1070" s="24" t="s">
        <v>3819</v>
      </c>
      <c r="J1070" s="116">
        <v>4.5</v>
      </c>
      <c r="K1070" s="118">
        <v>700000</v>
      </c>
      <c r="L1070" s="119"/>
      <c r="M1070" s="118">
        <f>K1070*0.1</f>
        <v>70000</v>
      </c>
      <c r="N1070" s="119"/>
      <c r="O1070" s="118">
        <v>28380</v>
      </c>
      <c r="P1070" s="119"/>
      <c r="Q1070" s="118">
        <v>21980</v>
      </c>
      <c r="R1070" s="119"/>
      <c r="S1070" s="118">
        <v>23100</v>
      </c>
      <c r="T1070" s="119"/>
      <c r="U1070" s="118">
        <f>SUM(K1070:T1071)</f>
        <v>843460</v>
      </c>
      <c r="V1070" s="122"/>
      <c r="W1070" s="124"/>
      <c r="X1070" s="126" t="s">
        <v>3820</v>
      </c>
      <c r="Y1070" s="127"/>
      <c r="Z1070" s="127"/>
      <c r="AA1070" s="127"/>
      <c r="AB1070" s="128"/>
      <c r="AC1070" s="15" t="s">
        <v>20</v>
      </c>
      <c r="AD1070" s="129" t="s">
        <v>3821</v>
      </c>
      <c r="AE1070" s="130"/>
      <c r="AF1070" s="130"/>
      <c r="AG1070" s="130"/>
      <c r="AH1070" s="130"/>
      <c r="AI1070" s="131"/>
      <c r="AJ1070" s="167" t="s">
        <v>3822</v>
      </c>
      <c r="AK1070" s="178"/>
      <c r="AL1070" s="179"/>
      <c r="AM1070" s="21"/>
      <c r="AN1070" s="133">
        <v>45934</v>
      </c>
      <c r="AO1070" s="134"/>
      <c r="AP1070" s="135">
        <v>1270</v>
      </c>
      <c r="AQ1070" s="136"/>
      <c r="AR1070" s="118">
        <v>765000</v>
      </c>
      <c r="AS1070" s="119"/>
      <c r="AT1070" s="118">
        <f>AR1070*0.1</f>
        <v>76500</v>
      </c>
      <c r="AU1070" s="119"/>
      <c r="AV1070" s="118">
        <v>21980</v>
      </c>
      <c r="AW1070" s="119"/>
      <c r="AX1070" s="118">
        <f>SUM(AR1070:AW1070)</f>
        <v>863480</v>
      </c>
      <c r="AY1070" s="119"/>
      <c r="AZ1070" s="137">
        <v>45938</v>
      </c>
    </row>
    <row r="1071" spans="1:52" ht="17.100000000000001" customHeight="1" thickBot="1">
      <c r="A1071" s="110"/>
      <c r="B1071" s="27" t="s">
        <v>1747</v>
      </c>
      <c r="C1071" s="27">
        <v>3</v>
      </c>
      <c r="D1071" s="14" t="s">
        <v>1592</v>
      </c>
      <c r="E1071" s="112"/>
      <c r="F1071" s="139" t="s">
        <v>3823</v>
      </c>
      <c r="G1071" s="140"/>
      <c r="H1071" s="141"/>
      <c r="I1071" s="26">
        <v>52417</v>
      </c>
      <c r="J1071" s="117"/>
      <c r="K1071" s="120"/>
      <c r="L1071" s="121"/>
      <c r="M1071" s="120"/>
      <c r="N1071" s="121"/>
      <c r="O1071" s="120"/>
      <c r="P1071" s="121"/>
      <c r="Q1071" s="120"/>
      <c r="R1071" s="121"/>
      <c r="S1071" s="120"/>
      <c r="T1071" s="121"/>
      <c r="U1071" s="120"/>
      <c r="V1071" s="123"/>
      <c r="W1071" s="125"/>
      <c r="X1071" s="142" t="s">
        <v>3824</v>
      </c>
      <c r="Y1071" s="143"/>
      <c r="Z1071" s="143"/>
      <c r="AA1071" s="143"/>
      <c r="AB1071" s="144"/>
      <c r="AC1071" s="16" t="s">
        <v>21</v>
      </c>
      <c r="AD1071" s="17" t="s">
        <v>2415</v>
      </c>
      <c r="AE1071" s="145" t="s">
        <v>7118</v>
      </c>
      <c r="AF1071" s="146"/>
      <c r="AG1071" s="146"/>
      <c r="AH1071" s="146"/>
      <c r="AI1071" s="147"/>
      <c r="AJ1071" s="161" t="s">
        <v>7119</v>
      </c>
      <c r="AK1071" s="168"/>
      <c r="AL1071" s="169"/>
      <c r="AM1071" s="22" t="s">
        <v>3483</v>
      </c>
      <c r="AN1071" s="149" t="s">
        <v>7284</v>
      </c>
      <c r="AO1071" s="144"/>
      <c r="AP1071" s="148">
        <v>80054</v>
      </c>
      <c r="AQ1071" s="144"/>
      <c r="AR1071" s="120"/>
      <c r="AS1071" s="121"/>
      <c r="AT1071" s="120"/>
      <c r="AU1071" s="121"/>
      <c r="AV1071" s="120"/>
      <c r="AW1071" s="121"/>
      <c r="AX1071" s="120"/>
      <c r="AY1071" s="121"/>
      <c r="AZ1071" s="138"/>
    </row>
    <row r="1072" spans="1:52" ht="17.100000000000001" customHeight="1" thickTop="1">
      <c r="A1072" s="109" t="s">
        <v>6273</v>
      </c>
      <c r="B1072" s="28">
        <v>45813</v>
      </c>
      <c r="C1072" s="25">
        <v>1519</v>
      </c>
      <c r="D1072" s="13" t="s">
        <v>1744</v>
      </c>
      <c r="E1072" s="111"/>
      <c r="F1072" s="113" t="s">
        <v>3825</v>
      </c>
      <c r="G1072" s="114"/>
      <c r="H1072" s="115"/>
      <c r="I1072" s="24" t="s">
        <v>3826</v>
      </c>
      <c r="J1072" s="116">
        <v>4.5</v>
      </c>
      <c r="K1072" s="118">
        <v>2300000</v>
      </c>
      <c r="L1072" s="119"/>
      <c r="M1072" s="118">
        <f>K1072*0.1</f>
        <v>230000</v>
      </c>
      <c r="N1072" s="119"/>
      <c r="O1072" s="118">
        <v>28380</v>
      </c>
      <c r="P1072" s="119"/>
      <c r="Q1072" s="118">
        <v>11740</v>
      </c>
      <c r="R1072" s="119"/>
      <c r="S1072" s="118">
        <v>16500</v>
      </c>
      <c r="T1072" s="119"/>
      <c r="U1072" s="118">
        <f>SUM(K1072:T1073)</f>
        <v>2586620</v>
      </c>
      <c r="V1072" s="122"/>
      <c r="W1072" s="124"/>
      <c r="X1072" s="126" t="s">
        <v>3827</v>
      </c>
      <c r="Y1072" s="127"/>
      <c r="Z1072" s="127"/>
      <c r="AA1072" s="127"/>
      <c r="AB1072" s="128"/>
      <c r="AC1072" s="15" t="s">
        <v>20</v>
      </c>
      <c r="AD1072" s="129" t="s">
        <v>3828</v>
      </c>
      <c r="AE1072" s="130"/>
      <c r="AF1072" s="130"/>
      <c r="AG1072" s="130"/>
      <c r="AH1072" s="130"/>
      <c r="AI1072" s="131"/>
      <c r="AJ1072" s="132"/>
      <c r="AK1072" s="127"/>
      <c r="AL1072" s="128"/>
      <c r="AM1072" s="21"/>
      <c r="AN1072" s="133">
        <v>46284</v>
      </c>
      <c r="AO1072" s="134"/>
      <c r="AP1072" s="135"/>
      <c r="AQ1072" s="136"/>
      <c r="AR1072" s="118">
        <v>3327200</v>
      </c>
      <c r="AS1072" s="119"/>
      <c r="AT1072" s="118">
        <v>0</v>
      </c>
      <c r="AU1072" s="119"/>
      <c r="AV1072" s="118">
        <v>0</v>
      </c>
      <c r="AW1072" s="119"/>
      <c r="AX1072" s="118">
        <f>SUM(AR1072:AW1072)</f>
        <v>3327200</v>
      </c>
      <c r="AY1072" s="119"/>
      <c r="AZ1072" s="137">
        <v>46334</v>
      </c>
    </row>
    <row r="1073" spans="1:52" ht="17.100000000000001" customHeight="1" thickBot="1">
      <c r="A1073" s="110"/>
      <c r="B1073" s="27" t="s">
        <v>1600</v>
      </c>
      <c r="C1073" s="27">
        <v>76138</v>
      </c>
      <c r="D1073" s="14" t="s">
        <v>133</v>
      </c>
      <c r="E1073" s="112"/>
      <c r="F1073" s="139" t="s">
        <v>3829</v>
      </c>
      <c r="G1073" s="140"/>
      <c r="H1073" s="141"/>
      <c r="I1073" s="26">
        <v>25864</v>
      </c>
      <c r="J1073" s="117"/>
      <c r="K1073" s="120"/>
      <c r="L1073" s="121"/>
      <c r="M1073" s="120"/>
      <c r="N1073" s="121"/>
      <c r="O1073" s="120"/>
      <c r="P1073" s="121"/>
      <c r="Q1073" s="120"/>
      <c r="R1073" s="121"/>
      <c r="S1073" s="120"/>
      <c r="T1073" s="121"/>
      <c r="U1073" s="120"/>
      <c r="V1073" s="123"/>
      <c r="W1073" s="125"/>
      <c r="X1073" s="142" t="s">
        <v>3830</v>
      </c>
      <c r="Y1073" s="143"/>
      <c r="Z1073" s="143"/>
      <c r="AA1073" s="143"/>
      <c r="AB1073" s="144"/>
      <c r="AC1073" s="16" t="s">
        <v>21</v>
      </c>
      <c r="AD1073" s="17" t="s">
        <v>2226</v>
      </c>
      <c r="AE1073" s="145" t="s">
        <v>3831</v>
      </c>
      <c r="AF1073" s="146"/>
      <c r="AG1073" s="146"/>
      <c r="AH1073" s="146"/>
      <c r="AI1073" s="147"/>
      <c r="AJ1073" s="148"/>
      <c r="AK1073" s="143"/>
      <c r="AL1073" s="144"/>
      <c r="AM1073" s="22" t="s">
        <v>3483</v>
      </c>
      <c r="AN1073" s="149" t="s">
        <v>15418</v>
      </c>
      <c r="AO1073" s="144"/>
      <c r="AP1073" s="148"/>
      <c r="AQ1073" s="144"/>
      <c r="AR1073" s="120"/>
      <c r="AS1073" s="121"/>
      <c r="AT1073" s="120"/>
      <c r="AU1073" s="121"/>
      <c r="AV1073" s="120"/>
      <c r="AW1073" s="121"/>
      <c r="AX1073" s="120"/>
      <c r="AY1073" s="121"/>
      <c r="AZ1073" s="138"/>
    </row>
    <row r="1074" spans="1:52" ht="17.100000000000001" customHeight="1" thickTop="1">
      <c r="A1074" s="109" t="s">
        <v>6274</v>
      </c>
      <c r="B1074" s="28">
        <v>45814</v>
      </c>
      <c r="C1074" s="25">
        <v>2088</v>
      </c>
      <c r="D1074" s="13" t="s">
        <v>3832</v>
      </c>
      <c r="E1074" s="111"/>
      <c r="F1074" s="113" t="s">
        <v>3825</v>
      </c>
      <c r="G1074" s="114"/>
      <c r="H1074" s="115"/>
      <c r="I1074" s="24"/>
      <c r="J1074" s="116">
        <v>4</v>
      </c>
      <c r="K1074" s="118">
        <v>2155000</v>
      </c>
      <c r="L1074" s="119"/>
      <c r="M1074" s="118">
        <f>K1074*0.1</f>
        <v>215500</v>
      </c>
      <c r="N1074" s="119"/>
      <c r="O1074" s="118">
        <v>0</v>
      </c>
      <c r="P1074" s="119"/>
      <c r="Q1074" s="118">
        <v>11740</v>
      </c>
      <c r="R1074" s="119"/>
      <c r="S1074" s="118">
        <v>16500</v>
      </c>
      <c r="T1074" s="119"/>
      <c r="U1074" s="118">
        <f>SUM(K1074:T1075)</f>
        <v>2398740</v>
      </c>
      <c r="V1074" s="122"/>
      <c r="W1074" s="124"/>
      <c r="X1074" s="126" t="s">
        <v>3833</v>
      </c>
      <c r="Y1074" s="127"/>
      <c r="Z1074" s="127"/>
      <c r="AA1074" s="127"/>
      <c r="AB1074" s="128"/>
      <c r="AC1074" s="15" t="s">
        <v>20</v>
      </c>
      <c r="AD1074" s="129" t="s">
        <v>3821</v>
      </c>
      <c r="AE1074" s="130"/>
      <c r="AF1074" s="130"/>
      <c r="AG1074" s="130"/>
      <c r="AH1074" s="130"/>
      <c r="AI1074" s="131"/>
      <c r="AJ1074" s="132"/>
      <c r="AK1074" s="127"/>
      <c r="AL1074" s="128"/>
      <c r="AM1074" s="21"/>
      <c r="AN1074" s="133"/>
      <c r="AO1074" s="134"/>
      <c r="AP1074" s="135"/>
      <c r="AQ1074" s="136"/>
      <c r="AR1074" s="118"/>
      <c r="AS1074" s="119"/>
      <c r="AT1074" s="118">
        <f>AR1074*0.1</f>
        <v>0</v>
      </c>
      <c r="AU1074" s="119"/>
      <c r="AV1074" s="118"/>
      <c r="AW1074" s="119"/>
      <c r="AX1074" s="118">
        <f>SUM(AR1074:AW1074)</f>
        <v>0</v>
      </c>
      <c r="AY1074" s="119"/>
      <c r="AZ1074" s="137"/>
    </row>
    <row r="1075" spans="1:52" ht="17.100000000000001" customHeight="1" thickBot="1">
      <c r="A1075" s="110"/>
      <c r="B1075" s="27" t="s">
        <v>1543</v>
      </c>
      <c r="C1075" s="27">
        <v>35062</v>
      </c>
      <c r="D1075" s="14" t="s">
        <v>1700</v>
      </c>
      <c r="E1075" s="112"/>
      <c r="F1075" s="139" t="s">
        <v>3834</v>
      </c>
      <c r="G1075" s="140"/>
      <c r="H1075" s="141"/>
      <c r="I1075" s="26">
        <v>33443</v>
      </c>
      <c r="J1075" s="117"/>
      <c r="K1075" s="120"/>
      <c r="L1075" s="121"/>
      <c r="M1075" s="120"/>
      <c r="N1075" s="121"/>
      <c r="O1075" s="120"/>
      <c r="P1075" s="121"/>
      <c r="Q1075" s="120"/>
      <c r="R1075" s="121"/>
      <c r="S1075" s="120"/>
      <c r="T1075" s="121"/>
      <c r="U1075" s="120"/>
      <c r="V1075" s="123"/>
      <c r="W1075" s="125"/>
      <c r="X1075" s="142" t="s">
        <v>3835</v>
      </c>
      <c r="Y1075" s="143"/>
      <c r="Z1075" s="143"/>
      <c r="AA1075" s="143"/>
      <c r="AB1075" s="144"/>
      <c r="AC1075" s="16" t="s">
        <v>21</v>
      </c>
      <c r="AD1075" s="17" t="s">
        <v>2415</v>
      </c>
      <c r="AE1075" s="145" t="s">
        <v>3821</v>
      </c>
      <c r="AF1075" s="146"/>
      <c r="AG1075" s="146"/>
      <c r="AH1075" s="146"/>
      <c r="AI1075" s="147"/>
      <c r="AJ1075" s="148"/>
      <c r="AK1075" s="143"/>
      <c r="AL1075" s="144"/>
      <c r="AM1075" s="22"/>
      <c r="AN1075" s="149"/>
      <c r="AO1075" s="144"/>
      <c r="AP1075" s="148"/>
      <c r="AQ1075" s="144"/>
      <c r="AR1075" s="120"/>
      <c r="AS1075" s="121"/>
      <c r="AT1075" s="120"/>
      <c r="AU1075" s="121"/>
      <c r="AV1075" s="120"/>
      <c r="AW1075" s="121"/>
      <c r="AX1075" s="120"/>
      <c r="AY1075" s="121"/>
      <c r="AZ1075" s="138"/>
    </row>
    <row r="1076" spans="1:52" ht="17.100000000000001" customHeight="1" thickTop="1">
      <c r="A1076" s="109" t="s">
        <v>6275</v>
      </c>
      <c r="B1076" s="28">
        <v>45815</v>
      </c>
      <c r="C1076" s="25">
        <v>1254</v>
      </c>
      <c r="D1076" s="13" t="s">
        <v>3836</v>
      </c>
      <c r="E1076" s="111"/>
      <c r="F1076" s="113" t="s">
        <v>3837</v>
      </c>
      <c r="G1076" s="114"/>
      <c r="H1076" s="115"/>
      <c r="I1076" s="24" t="s">
        <v>3838</v>
      </c>
      <c r="J1076" s="116">
        <v>4</v>
      </c>
      <c r="K1076" s="118">
        <v>400000</v>
      </c>
      <c r="L1076" s="119"/>
      <c r="M1076" s="118">
        <f>K1076*0.1</f>
        <v>40000</v>
      </c>
      <c r="N1076" s="119"/>
      <c r="O1076" s="118">
        <v>0</v>
      </c>
      <c r="P1076" s="119"/>
      <c r="Q1076" s="118">
        <v>9790</v>
      </c>
      <c r="R1076" s="119"/>
      <c r="S1076" s="118">
        <v>13200</v>
      </c>
      <c r="T1076" s="119"/>
      <c r="U1076" s="118">
        <f>SUM(K1076:T1077)</f>
        <v>462990</v>
      </c>
      <c r="V1076" s="122"/>
      <c r="W1076" s="124"/>
      <c r="X1076" s="126" t="s">
        <v>3839</v>
      </c>
      <c r="Y1076" s="127"/>
      <c r="Z1076" s="127"/>
      <c r="AA1076" s="127"/>
      <c r="AB1076" s="128"/>
      <c r="AC1076" s="15" t="s">
        <v>20</v>
      </c>
      <c r="AD1076" s="129" t="s">
        <v>1670</v>
      </c>
      <c r="AE1076" s="130"/>
      <c r="AF1076" s="130"/>
      <c r="AG1076" s="130"/>
      <c r="AH1076" s="130"/>
      <c r="AI1076" s="131"/>
      <c r="AJ1076" s="167" t="s">
        <v>3840</v>
      </c>
      <c r="AK1076" s="178"/>
      <c r="AL1076" s="179"/>
      <c r="AM1076" s="21" t="s">
        <v>3841</v>
      </c>
      <c r="AN1076" s="133">
        <v>46011</v>
      </c>
      <c r="AO1076" s="134"/>
      <c r="AP1076" s="135">
        <v>1281</v>
      </c>
      <c r="AQ1076" s="136"/>
      <c r="AR1076" s="118">
        <v>410000</v>
      </c>
      <c r="AS1076" s="119"/>
      <c r="AT1076" s="118">
        <f>AR1076*0.1</f>
        <v>41000</v>
      </c>
      <c r="AU1076" s="119"/>
      <c r="AV1076" s="118">
        <v>9790</v>
      </c>
      <c r="AW1076" s="119"/>
      <c r="AX1076" s="118">
        <f>SUM(AR1076:AW1076)</f>
        <v>460790</v>
      </c>
      <c r="AY1076" s="119"/>
      <c r="AZ1076" s="137">
        <v>46014</v>
      </c>
    </row>
    <row r="1077" spans="1:52" ht="17.100000000000001" customHeight="1" thickBot="1">
      <c r="A1077" s="110"/>
      <c r="B1077" s="27" t="s">
        <v>2511</v>
      </c>
      <c r="C1077" s="27">
        <v>65339</v>
      </c>
      <c r="D1077" s="14" t="s">
        <v>1720</v>
      </c>
      <c r="E1077" s="112"/>
      <c r="F1077" s="139" t="s">
        <v>3842</v>
      </c>
      <c r="G1077" s="140"/>
      <c r="H1077" s="141"/>
      <c r="I1077" s="26">
        <v>45345</v>
      </c>
      <c r="J1077" s="117"/>
      <c r="K1077" s="120"/>
      <c r="L1077" s="121"/>
      <c r="M1077" s="120"/>
      <c r="N1077" s="121"/>
      <c r="O1077" s="120"/>
      <c r="P1077" s="121"/>
      <c r="Q1077" s="120"/>
      <c r="R1077" s="121"/>
      <c r="S1077" s="120"/>
      <c r="T1077" s="121"/>
      <c r="U1077" s="120"/>
      <c r="V1077" s="123"/>
      <c r="W1077" s="125"/>
      <c r="X1077" s="142" t="s">
        <v>3843</v>
      </c>
      <c r="Y1077" s="143"/>
      <c r="Z1077" s="143"/>
      <c r="AA1077" s="143"/>
      <c r="AB1077" s="144"/>
      <c r="AC1077" s="16" t="s">
        <v>21</v>
      </c>
      <c r="AD1077" s="17" t="s">
        <v>2020</v>
      </c>
      <c r="AE1077" s="145" t="s">
        <v>3844</v>
      </c>
      <c r="AF1077" s="146"/>
      <c r="AG1077" s="146"/>
      <c r="AH1077" s="146"/>
      <c r="AI1077" s="147"/>
      <c r="AJ1077" s="148" t="s">
        <v>3845</v>
      </c>
      <c r="AK1077" s="143"/>
      <c r="AL1077" s="144"/>
      <c r="AM1077" s="22"/>
      <c r="AN1077" s="149" t="s">
        <v>2511</v>
      </c>
      <c r="AO1077" s="144"/>
      <c r="AP1077" s="148">
        <v>60191</v>
      </c>
      <c r="AQ1077" s="144"/>
      <c r="AR1077" s="120"/>
      <c r="AS1077" s="121"/>
      <c r="AT1077" s="120"/>
      <c r="AU1077" s="121"/>
      <c r="AV1077" s="120"/>
      <c r="AW1077" s="121"/>
      <c r="AX1077" s="120"/>
      <c r="AY1077" s="121"/>
      <c r="AZ1077" s="138"/>
    </row>
    <row r="1078" spans="1:52" ht="17.100000000000001" customHeight="1" thickTop="1">
      <c r="A1078" s="109" t="s">
        <v>6276</v>
      </c>
      <c r="B1078" s="28">
        <v>45817</v>
      </c>
      <c r="C1078" s="25"/>
      <c r="D1078" s="13" t="s">
        <v>3296</v>
      </c>
      <c r="E1078" s="111"/>
      <c r="F1078" s="113" t="s">
        <v>3846</v>
      </c>
      <c r="G1078" s="114"/>
      <c r="H1078" s="115"/>
      <c r="I1078" s="24" t="s">
        <v>3847</v>
      </c>
      <c r="J1078" s="116">
        <v>2</v>
      </c>
      <c r="K1078" s="118">
        <v>256000</v>
      </c>
      <c r="L1078" s="119"/>
      <c r="M1078" s="118">
        <f>K1078*0.1</f>
        <v>25600</v>
      </c>
      <c r="N1078" s="119"/>
      <c r="O1078" s="118">
        <v>13000</v>
      </c>
      <c r="P1078" s="119"/>
      <c r="Q1078" s="118">
        <v>9790</v>
      </c>
      <c r="R1078" s="119"/>
      <c r="S1078" s="118">
        <v>15950</v>
      </c>
      <c r="T1078" s="119"/>
      <c r="U1078" s="118">
        <f>SUM(K1078:T1079)</f>
        <v>320340</v>
      </c>
      <c r="V1078" s="122"/>
      <c r="W1078" s="124"/>
      <c r="X1078" s="126" t="s">
        <v>3848</v>
      </c>
      <c r="Y1078" s="127"/>
      <c r="Z1078" s="127"/>
      <c r="AA1078" s="127"/>
      <c r="AB1078" s="128"/>
      <c r="AC1078" s="15" t="s">
        <v>20</v>
      </c>
      <c r="AD1078" s="129"/>
      <c r="AE1078" s="130"/>
      <c r="AF1078" s="130"/>
      <c r="AG1078" s="130"/>
      <c r="AH1078" s="130"/>
      <c r="AI1078" s="131"/>
      <c r="AJ1078" s="132"/>
      <c r="AK1078" s="127"/>
      <c r="AL1078" s="128"/>
      <c r="AM1078" s="21" t="s">
        <v>3849</v>
      </c>
      <c r="AN1078" s="133"/>
      <c r="AO1078" s="134"/>
      <c r="AP1078" s="135"/>
      <c r="AQ1078" s="136"/>
      <c r="AR1078" s="118"/>
      <c r="AS1078" s="119"/>
      <c r="AT1078" s="118">
        <f>AR1078*0.1</f>
        <v>0</v>
      </c>
      <c r="AU1078" s="119"/>
      <c r="AV1078" s="118"/>
      <c r="AW1078" s="119"/>
      <c r="AX1078" s="118">
        <f>SUM(AR1078:AW1078)</f>
        <v>0</v>
      </c>
      <c r="AY1078" s="119"/>
      <c r="AZ1078" s="137"/>
    </row>
    <row r="1079" spans="1:52" ht="17.100000000000001" customHeight="1" thickBot="1">
      <c r="A1079" s="110"/>
      <c r="B1079" s="27" t="s">
        <v>3850</v>
      </c>
      <c r="C1079" s="27">
        <v>70209</v>
      </c>
      <c r="D1079" s="14" t="s">
        <v>1720</v>
      </c>
      <c r="E1079" s="112"/>
      <c r="F1079" s="139" t="s">
        <v>3851</v>
      </c>
      <c r="G1079" s="140"/>
      <c r="H1079" s="141"/>
      <c r="I1079" s="26">
        <v>58602</v>
      </c>
      <c r="J1079" s="117"/>
      <c r="K1079" s="120"/>
      <c r="L1079" s="121"/>
      <c r="M1079" s="120"/>
      <c r="N1079" s="121"/>
      <c r="O1079" s="120"/>
      <c r="P1079" s="121"/>
      <c r="Q1079" s="120"/>
      <c r="R1079" s="121"/>
      <c r="S1079" s="120"/>
      <c r="T1079" s="121"/>
      <c r="U1079" s="120"/>
      <c r="V1079" s="123"/>
      <c r="W1079" s="125"/>
      <c r="X1079" s="142" t="s">
        <v>3852</v>
      </c>
      <c r="Y1079" s="143"/>
      <c r="Z1079" s="143"/>
      <c r="AA1079" s="143"/>
      <c r="AB1079" s="144"/>
      <c r="AC1079" s="16" t="s">
        <v>21</v>
      </c>
      <c r="AD1079" s="17" t="s">
        <v>2020</v>
      </c>
      <c r="AE1079" s="145"/>
      <c r="AF1079" s="146"/>
      <c r="AG1079" s="146"/>
      <c r="AH1079" s="146"/>
      <c r="AI1079" s="147"/>
      <c r="AJ1079" s="148" t="s">
        <v>3845</v>
      </c>
      <c r="AK1079" s="143"/>
      <c r="AL1079" s="144"/>
      <c r="AM1079" s="22"/>
      <c r="AN1079" s="149"/>
      <c r="AO1079" s="144"/>
      <c r="AP1079" s="148"/>
      <c r="AQ1079" s="144"/>
      <c r="AR1079" s="120"/>
      <c r="AS1079" s="121"/>
      <c r="AT1079" s="120"/>
      <c r="AU1079" s="121"/>
      <c r="AV1079" s="120"/>
      <c r="AW1079" s="121"/>
      <c r="AX1079" s="120"/>
      <c r="AY1079" s="121"/>
      <c r="AZ1079" s="138"/>
    </row>
    <row r="1080" spans="1:52" ht="17.100000000000001" customHeight="1" thickTop="1">
      <c r="A1080" s="109" t="s">
        <v>6277</v>
      </c>
      <c r="B1080" s="28">
        <v>45820</v>
      </c>
      <c r="C1080" s="25">
        <v>2113</v>
      </c>
      <c r="D1080" s="13" t="s">
        <v>1752</v>
      </c>
      <c r="E1080" s="111"/>
      <c r="F1080" s="113" t="s">
        <v>3853</v>
      </c>
      <c r="G1080" s="114"/>
      <c r="H1080" s="115"/>
      <c r="I1080" s="24"/>
      <c r="J1080" s="116">
        <v>4</v>
      </c>
      <c r="K1080" s="118">
        <v>403000</v>
      </c>
      <c r="L1080" s="119"/>
      <c r="M1080" s="118">
        <f>K1080*0.1</f>
        <v>40300</v>
      </c>
      <c r="N1080" s="119"/>
      <c r="O1080" s="118">
        <v>0</v>
      </c>
      <c r="P1080" s="119"/>
      <c r="Q1080" s="118">
        <v>9070</v>
      </c>
      <c r="R1080" s="119"/>
      <c r="S1080" s="118">
        <v>13750</v>
      </c>
      <c r="T1080" s="119"/>
      <c r="U1080" s="118">
        <f>SUM(K1080:T1081)</f>
        <v>466120</v>
      </c>
      <c r="V1080" s="122"/>
      <c r="W1080" s="124"/>
      <c r="X1080" s="126" t="s">
        <v>3854</v>
      </c>
      <c r="Y1080" s="127"/>
      <c r="Z1080" s="127"/>
      <c r="AA1080" s="127"/>
      <c r="AB1080" s="128"/>
      <c r="AC1080" s="15" t="s">
        <v>20</v>
      </c>
      <c r="AD1080" s="129"/>
      <c r="AE1080" s="130"/>
      <c r="AF1080" s="130"/>
      <c r="AG1080" s="130"/>
      <c r="AH1080" s="130"/>
      <c r="AI1080" s="131"/>
      <c r="AJ1080" s="132"/>
      <c r="AK1080" s="127"/>
      <c r="AL1080" s="128"/>
      <c r="AM1080" s="21"/>
      <c r="AN1080" s="133">
        <v>45997</v>
      </c>
      <c r="AO1080" s="134"/>
      <c r="AP1080" s="135">
        <v>1279</v>
      </c>
      <c r="AQ1080" s="136"/>
      <c r="AR1080" s="118">
        <v>410000</v>
      </c>
      <c r="AS1080" s="119"/>
      <c r="AT1080" s="118">
        <f>AR1080*0.1</f>
        <v>41000</v>
      </c>
      <c r="AU1080" s="119"/>
      <c r="AV1080" s="118">
        <v>9070</v>
      </c>
      <c r="AW1080" s="119"/>
      <c r="AX1080" s="118">
        <f>SUM(AR1080:AW1080)</f>
        <v>460070</v>
      </c>
      <c r="AY1080" s="119"/>
      <c r="AZ1080" s="137">
        <v>46000</v>
      </c>
    </row>
    <row r="1081" spans="1:52" ht="17.100000000000001" customHeight="1" thickBot="1">
      <c r="A1081" s="110"/>
      <c r="B1081" s="27" t="s">
        <v>1940</v>
      </c>
      <c r="C1081" s="27">
        <v>35072</v>
      </c>
      <c r="D1081" s="14" t="s">
        <v>3855</v>
      </c>
      <c r="E1081" s="112"/>
      <c r="F1081" s="139" t="s">
        <v>3856</v>
      </c>
      <c r="G1081" s="140"/>
      <c r="H1081" s="141"/>
      <c r="I1081" s="26">
        <v>47194</v>
      </c>
      <c r="J1081" s="117"/>
      <c r="K1081" s="120"/>
      <c r="L1081" s="121"/>
      <c r="M1081" s="120"/>
      <c r="N1081" s="121"/>
      <c r="O1081" s="120"/>
      <c r="P1081" s="121"/>
      <c r="Q1081" s="120"/>
      <c r="R1081" s="121"/>
      <c r="S1081" s="120"/>
      <c r="T1081" s="121"/>
      <c r="U1081" s="120"/>
      <c r="V1081" s="123"/>
      <c r="W1081" s="125"/>
      <c r="X1081" s="142" t="s">
        <v>3857</v>
      </c>
      <c r="Y1081" s="143"/>
      <c r="Z1081" s="143"/>
      <c r="AA1081" s="143"/>
      <c r="AB1081" s="144"/>
      <c r="AC1081" s="16" t="s">
        <v>21</v>
      </c>
      <c r="AD1081" s="17" t="s">
        <v>3858</v>
      </c>
      <c r="AE1081" s="145" t="s">
        <v>3859</v>
      </c>
      <c r="AF1081" s="146"/>
      <c r="AG1081" s="146"/>
      <c r="AH1081" s="146"/>
      <c r="AI1081" s="147"/>
      <c r="AJ1081" s="148"/>
      <c r="AK1081" s="143"/>
      <c r="AL1081" s="144"/>
      <c r="AM1081" s="22"/>
      <c r="AN1081" s="149" t="s">
        <v>2511</v>
      </c>
      <c r="AO1081" s="144"/>
      <c r="AP1081" s="148">
        <v>60121</v>
      </c>
      <c r="AQ1081" s="144"/>
      <c r="AR1081" s="120"/>
      <c r="AS1081" s="121"/>
      <c r="AT1081" s="120"/>
      <c r="AU1081" s="121"/>
      <c r="AV1081" s="120"/>
      <c r="AW1081" s="121"/>
      <c r="AX1081" s="120"/>
      <c r="AY1081" s="121"/>
      <c r="AZ1081" s="138"/>
    </row>
    <row r="1082" spans="1:52" ht="17.100000000000001" customHeight="1" thickTop="1">
      <c r="A1082" s="109" t="s">
        <v>6278</v>
      </c>
      <c r="B1082" s="28">
        <v>45822</v>
      </c>
      <c r="C1082" s="25">
        <v>1255</v>
      </c>
      <c r="D1082" s="13" t="s">
        <v>1758</v>
      </c>
      <c r="E1082" s="111"/>
      <c r="F1082" s="113" t="s">
        <v>3860</v>
      </c>
      <c r="G1082" s="114"/>
      <c r="H1082" s="115"/>
      <c r="I1082" s="24" t="s">
        <v>3861</v>
      </c>
      <c r="J1082" s="116">
        <v>4.5</v>
      </c>
      <c r="K1082" s="118">
        <v>700000</v>
      </c>
      <c r="L1082" s="119"/>
      <c r="M1082" s="118">
        <f>K1082*0.1</f>
        <v>70000</v>
      </c>
      <c r="N1082" s="119"/>
      <c r="O1082" s="118">
        <f>29600+2960</f>
        <v>32560</v>
      </c>
      <c r="P1082" s="119"/>
      <c r="Q1082" s="118">
        <v>17490</v>
      </c>
      <c r="R1082" s="119"/>
      <c r="S1082" s="118">
        <v>16500</v>
      </c>
      <c r="T1082" s="119"/>
      <c r="U1082" s="118">
        <f>SUM(K1082:T1083)</f>
        <v>836550</v>
      </c>
      <c r="V1082" s="122"/>
      <c r="W1082" s="124"/>
      <c r="X1082" s="126" t="s">
        <v>3862</v>
      </c>
      <c r="Y1082" s="127"/>
      <c r="Z1082" s="127"/>
      <c r="AA1082" s="127"/>
      <c r="AB1082" s="128"/>
      <c r="AC1082" s="15" t="s">
        <v>20</v>
      </c>
      <c r="AD1082" s="129" t="s">
        <v>3863</v>
      </c>
      <c r="AE1082" s="130"/>
      <c r="AF1082" s="130"/>
      <c r="AG1082" s="130"/>
      <c r="AH1082" s="130"/>
      <c r="AI1082" s="131"/>
      <c r="AJ1082" s="132"/>
      <c r="AK1082" s="127"/>
      <c r="AL1082" s="128"/>
      <c r="AM1082" s="21" t="s">
        <v>3864</v>
      </c>
      <c r="AN1082" s="133">
        <v>46011</v>
      </c>
      <c r="AO1082" s="134"/>
      <c r="AP1082" s="135">
        <v>1281</v>
      </c>
      <c r="AQ1082" s="136"/>
      <c r="AR1082" s="118">
        <v>750000</v>
      </c>
      <c r="AS1082" s="119"/>
      <c r="AT1082" s="118">
        <f>AR1082*0.1</f>
        <v>75000</v>
      </c>
      <c r="AU1082" s="119"/>
      <c r="AV1082" s="118">
        <v>17490</v>
      </c>
      <c r="AW1082" s="119"/>
      <c r="AX1082" s="118">
        <f>SUM(AR1082:AW1082)</f>
        <v>842490</v>
      </c>
      <c r="AY1082" s="119"/>
      <c r="AZ1082" s="137">
        <v>46014</v>
      </c>
    </row>
    <row r="1083" spans="1:52" ht="17.100000000000001" customHeight="1" thickBot="1">
      <c r="A1083" s="110"/>
      <c r="B1083" s="27" t="s">
        <v>2511</v>
      </c>
      <c r="C1083" s="27">
        <v>81089</v>
      </c>
      <c r="D1083" s="14" t="s">
        <v>1576</v>
      </c>
      <c r="E1083" s="112"/>
      <c r="F1083" s="139" t="s">
        <v>3865</v>
      </c>
      <c r="G1083" s="140"/>
      <c r="H1083" s="141"/>
      <c r="I1083" s="26">
        <v>58420</v>
      </c>
      <c r="J1083" s="117"/>
      <c r="K1083" s="120"/>
      <c r="L1083" s="121"/>
      <c r="M1083" s="120"/>
      <c r="N1083" s="121"/>
      <c r="O1083" s="120"/>
      <c r="P1083" s="121"/>
      <c r="Q1083" s="120"/>
      <c r="R1083" s="121"/>
      <c r="S1083" s="120"/>
      <c r="T1083" s="121"/>
      <c r="U1083" s="120"/>
      <c r="V1083" s="123"/>
      <c r="W1083" s="125"/>
      <c r="X1083" s="142" t="s">
        <v>3866</v>
      </c>
      <c r="Y1083" s="143"/>
      <c r="Z1083" s="143"/>
      <c r="AA1083" s="143"/>
      <c r="AB1083" s="144"/>
      <c r="AC1083" s="16" t="s">
        <v>21</v>
      </c>
      <c r="AD1083" s="17" t="s">
        <v>3867</v>
      </c>
      <c r="AE1083" s="145" t="s">
        <v>3868</v>
      </c>
      <c r="AF1083" s="146"/>
      <c r="AG1083" s="146"/>
      <c r="AH1083" s="146"/>
      <c r="AI1083" s="147"/>
      <c r="AJ1083" s="162"/>
      <c r="AK1083" s="143"/>
      <c r="AL1083" s="144"/>
      <c r="AM1083" s="22"/>
      <c r="AN1083" s="149" t="s">
        <v>2511</v>
      </c>
      <c r="AO1083" s="144"/>
      <c r="AP1083" s="148">
        <v>80073</v>
      </c>
      <c r="AQ1083" s="144"/>
      <c r="AR1083" s="120"/>
      <c r="AS1083" s="121"/>
      <c r="AT1083" s="120"/>
      <c r="AU1083" s="121"/>
      <c r="AV1083" s="120"/>
      <c r="AW1083" s="121"/>
      <c r="AX1083" s="120"/>
      <c r="AY1083" s="121"/>
      <c r="AZ1083" s="138"/>
    </row>
    <row r="1084" spans="1:52" ht="17.100000000000001" customHeight="1" thickTop="1">
      <c r="A1084" s="109" t="s">
        <v>6279</v>
      </c>
      <c r="B1084" s="28">
        <v>45821</v>
      </c>
      <c r="C1084" s="25"/>
      <c r="D1084" s="13" t="s">
        <v>2301</v>
      </c>
      <c r="E1084" s="111"/>
      <c r="F1084" s="113" t="s">
        <v>2000</v>
      </c>
      <c r="G1084" s="114"/>
      <c r="H1084" s="115"/>
      <c r="I1084" s="24" t="s">
        <v>3869</v>
      </c>
      <c r="J1084" s="116"/>
      <c r="K1084" s="118">
        <v>5900000</v>
      </c>
      <c r="L1084" s="119"/>
      <c r="M1084" s="118">
        <v>0</v>
      </c>
      <c r="N1084" s="119"/>
      <c r="O1084" s="118">
        <v>0</v>
      </c>
      <c r="P1084" s="119"/>
      <c r="Q1084" s="118">
        <v>0</v>
      </c>
      <c r="R1084" s="119"/>
      <c r="S1084" s="118">
        <v>0</v>
      </c>
      <c r="T1084" s="119"/>
      <c r="U1084" s="118">
        <f>SUM(K1084:T1085)</f>
        <v>5900000</v>
      </c>
      <c r="V1084" s="122"/>
      <c r="W1084" s="124"/>
      <c r="X1084" s="126" t="s">
        <v>3870</v>
      </c>
      <c r="Y1084" s="127"/>
      <c r="Z1084" s="127"/>
      <c r="AA1084" s="127"/>
      <c r="AB1084" s="128"/>
      <c r="AC1084" s="15" t="s">
        <v>20</v>
      </c>
      <c r="AD1084" s="129"/>
      <c r="AE1084" s="130"/>
      <c r="AF1084" s="130"/>
      <c r="AG1084" s="130"/>
      <c r="AH1084" s="130"/>
      <c r="AI1084" s="131"/>
      <c r="AJ1084" s="132"/>
      <c r="AK1084" s="127"/>
      <c r="AL1084" s="128"/>
      <c r="AM1084" s="21"/>
      <c r="AN1084" s="133"/>
      <c r="AO1084" s="134"/>
      <c r="AP1084" s="135"/>
      <c r="AQ1084" s="136"/>
      <c r="AR1084" s="118"/>
      <c r="AS1084" s="119"/>
      <c r="AT1084" s="118">
        <f>AR1084*0.1</f>
        <v>0</v>
      </c>
      <c r="AU1084" s="119"/>
      <c r="AV1084" s="118"/>
      <c r="AW1084" s="119"/>
      <c r="AX1084" s="118">
        <f>SUM(AR1084:AW1084)</f>
        <v>0</v>
      </c>
      <c r="AY1084" s="119"/>
      <c r="AZ1084" s="137"/>
    </row>
    <row r="1085" spans="1:52" ht="17.100000000000001" customHeight="1" thickBot="1">
      <c r="A1085" s="110"/>
      <c r="B1085" s="27" t="s">
        <v>3871</v>
      </c>
      <c r="C1085" s="27"/>
      <c r="D1085" s="14" t="s">
        <v>275</v>
      </c>
      <c r="E1085" s="112"/>
      <c r="F1085" s="139" t="s">
        <v>3872</v>
      </c>
      <c r="G1085" s="140"/>
      <c r="H1085" s="141"/>
      <c r="I1085" s="26">
        <v>43800</v>
      </c>
      <c r="J1085" s="117"/>
      <c r="K1085" s="120"/>
      <c r="L1085" s="121"/>
      <c r="M1085" s="120"/>
      <c r="N1085" s="121"/>
      <c r="O1085" s="120"/>
      <c r="P1085" s="121"/>
      <c r="Q1085" s="120"/>
      <c r="R1085" s="121"/>
      <c r="S1085" s="120"/>
      <c r="T1085" s="121"/>
      <c r="U1085" s="120"/>
      <c r="V1085" s="123"/>
      <c r="W1085" s="125"/>
      <c r="X1085" s="142" t="s">
        <v>3257</v>
      </c>
      <c r="Y1085" s="143"/>
      <c r="Z1085" s="143"/>
      <c r="AA1085" s="143"/>
      <c r="AB1085" s="144"/>
      <c r="AC1085" s="16" t="s">
        <v>21</v>
      </c>
      <c r="AD1085" s="17" t="s">
        <v>2763</v>
      </c>
      <c r="AE1085" s="145" t="s">
        <v>3873</v>
      </c>
      <c r="AF1085" s="146"/>
      <c r="AG1085" s="146"/>
      <c r="AH1085" s="146"/>
      <c r="AI1085" s="147"/>
      <c r="AJ1085" s="148"/>
      <c r="AK1085" s="143"/>
      <c r="AL1085" s="144"/>
      <c r="AM1085" s="22"/>
      <c r="AN1085" s="149"/>
      <c r="AO1085" s="144"/>
      <c r="AP1085" s="148"/>
      <c r="AQ1085" s="144"/>
      <c r="AR1085" s="120"/>
      <c r="AS1085" s="121"/>
      <c r="AT1085" s="120"/>
      <c r="AU1085" s="121"/>
      <c r="AV1085" s="120"/>
      <c r="AW1085" s="121"/>
      <c r="AX1085" s="120"/>
      <c r="AY1085" s="121"/>
      <c r="AZ1085" s="138"/>
    </row>
    <row r="1086" spans="1:52" ht="17.100000000000001" customHeight="1" thickTop="1">
      <c r="A1086" s="109" t="s">
        <v>6280</v>
      </c>
      <c r="B1086" s="28">
        <v>45822</v>
      </c>
      <c r="C1086" s="25"/>
      <c r="D1086" s="13" t="s">
        <v>1902</v>
      </c>
      <c r="E1086" s="111"/>
      <c r="F1086" s="113" t="s">
        <v>2312</v>
      </c>
      <c r="G1086" s="114"/>
      <c r="H1086" s="115"/>
      <c r="I1086" s="24" t="s">
        <v>3874</v>
      </c>
      <c r="J1086" s="116"/>
      <c r="K1086" s="118">
        <v>3000000</v>
      </c>
      <c r="L1086" s="119"/>
      <c r="M1086" s="118">
        <v>0</v>
      </c>
      <c r="N1086" s="119"/>
      <c r="O1086" s="118">
        <v>26300</v>
      </c>
      <c r="P1086" s="119"/>
      <c r="Q1086" s="118">
        <v>0</v>
      </c>
      <c r="R1086" s="119"/>
      <c r="S1086" s="118">
        <v>0</v>
      </c>
      <c r="T1086" s="119"/>
      <c r="U1086" s="118">
        <f>SUM(K1086:T1087)</f>
        <v>3026300</v>
      </c>
      <c r="V1086" s="122"/>
      <c r="W1086" s="124"/>
      <c r="X1086" s="126" t="s">
        <v>3875</v>
      </c>
      <c r="Y1086" s="127"/>
      <c r="Z1086" s="127"/>
      <c r="AA1086" s="127"/>
      <c r="AB1086" s="128"/>
      <c r="AC1086" s="15" t="s">
        <v>20</v>
      </c>
      <c r="AD1086" s="129"/>
      <c r="AE1086" s="130"/>
      <c r="AF1086" s="130"/>
      <c r="AG1086" s="130"/>
      <c r="AH1086" s="130"/>
      <c r="AI1086" s="131"/>
      <c r="AJ1086" s="132"/>
      <c r="AK1086" s="127"/>
      <c r="AL1086" s="128"/>
      <c r="AM1086" s="21" t="s">
        <v>3876</v>
      </c>
      <c r="AN1086" s="133">
        <v>46269</v>
      </c>
      <c r="AO1086" s="134"/>
      <c r="AP1086" s="135"/>
      <c r="AQ1086" s="136"/>
      <c r="AR1086" s="118">
        <v>3832500</v>
      </c>
      <c r="AS1086" s="119"/>
      <c r="AT1086" s="118">
        <v>0</v>
      </c>
      <c r="AU1086" s="119"/>
      <c r="AV1086" s="118">
        <v>0</v>
      </c>
      <c r="AW1086" s="119"/>
      <c r="AX1086" s="118">
        <f>SUM(AR1086:AW1086)</f>
        <v>3832500</v>
      </c>
      <c r="AY1086" s="119"/>
      <c r="AZ1086" s="137">
        <v>46335</v>
      </c>
    </row>
    <row r="1087" spans="1:52" ht="17.100000000000001" customHeight="1" thickBot="1">
      <c r="A1087" s="110"/>
      <c r="B1087" s="27" t="s">
        <v>3877</v>
      </c>
      <c r="C1087" s="27"/>
      <c r="D1087" s="14"/>
      <c r="E1087" s="112"/>
      <c r="F1087" s="139" t="s">
        <v>3878</v>
      </c>
      <c r="G1087" s="140"/>
      <c r="H1087" s="141"/>
      <c r="I1087" s="26"/>
      <c r="J1087" s="117"/>
      <c r="K1087" s="120"/>
      <c r="L1087" s="121"/>
      <c r="M1087" s="120"/>
      <c r="N1087" s="121"/>
      <c r="O1087" s="120"/>
      <c r="P1087" s="121"/>
      <c r="Q1087" s="120"/>
      <c r="R1087" s="121"/>
      <c r="S1087" s="120"/>
      <c r="T1087" s="121"/>
      <c r="U1087" s="120"/>
      <c r="V1087" s="123"/>
      <c r="W1087" s="125"/>
      <c r="X1087" s="142" t="s">
        <v>3879</v>
      </c>
      <c r="Y1087" s="143"/>
      <c r="Z1087" s="143"/>
      <c r="AA1087" s="143"/>
      <c r="AB1087" s="144"/>
      <c r="AC1087" s="16" t="s">
        <v>21</v>
      </c>
      <c r="AD1087" s="17" t="s">
        <v>3880</v>
      </c>
      <c r="AE1087" s="145" t="s">
        <v>2441</v>
      </c>
      <c r="AF1087" s="146"/>
      <c r="AG1087" s="146"/>
      <c r="AH1087" s="146"/>
      <c r="AI1087" s="147"/>
      <c r="AJ1087" s="148"/>
      <c r="AK1087" s="143"/>
      <c r="AL1087" s="144"/>
      <c r="AM1087" s="22"/>
      <c r="AN1087" s="149" t="s">
        <v>15419</v>
      </c>
      <c r="AO1087" s="144"/>
      <c r="AP1087" s="148"/>
      <c r="AQ1087" s="144"/>
      <c r="AR1087" s="120"/>
      <c r="AS1087" s="121"/>
      <c r="AT1087" s="120"/>
      <c r="AU1087" s="121"/>
      <c r="AV1087" s="120"/>
      <c r="AW1087" s="121"/>
      <c r="AX1087" s="120"/>
      <c r="AY1087" s="121"/>
      <c r="AZ1087" s="138"/>
    </row>
    <row r="1088" spans="1:52" ht="17.100000000000001" customHeight="1" thickTop="1">
      <c r="A1088" s="109" t="s">
        <v>6281</v>
      </c>
      <c r="B1088" s="28">
        <v>45825</v>
      </c>
      <c r="C1088" s="25">
        <v>1049</v>
      </c>
      <c r="D1088" s="13" t="s">
        <v>1686</v>
      </c>
      <c r="E1088" s="111"/>
      <c r="F1088" s="113" t="s">
        <v>3881</v>
      </c>
      <c r="G1088" s="114"/>
      <c r="H1088" s="115"/>
      <c r="I1088" s="24"/>
      <c r="J1088" s="116">
        <v>4.5</v>
      </c>
      <c r="K1088" s="118">
        <v>900000</v>
      </c>
      <c r="L1088" s="119"/>
      <c r="M1088" s="118">
        <f>K1088*0.1</f>
        <v>90000</v>
      </c>
      <c r="N1088" s="119"/>
      <c r="O1088" s="118">
        <v>0</v>
      </c>
      <c r="P1088" s="119"/>
      <c r="Q1088" s="118">
        <v>22640</v>
      </c>
      <c r="R1088" s="119"/>
      <c r="S1088" s="118">
        <v>16500</v>
      </c>
      <c r="T1088" s="119"/>
      <c r="U1088" s="118">
        <f>SUM(K1088:T1089)</f>
        <v>1029140</v>
      </c>
      <c r="V1088" s="122"/>
      <c r="W1088" s="124"/>
      <c r="X1088" s="126" t="s">
        <v>3882</v>
      </c>
      <c r="Y1088" s="127"/>
      <c r="Z1088" s="127"/>
      <c r="AA1088" s="127"/>
      <c r="AB1088" s="128"/>
      <c r="AC1088" s="15" t="s">
        <v>20</v>
      </c>
      <c r="AD1088" s="129" t="s">
        <v>3821</v>
      </c>
      <c r="AE1088" s="130"/>
      <c r="AF1088" s="130"/>
      <c r="AG1088" s="130"/>
      <c r="AH1088" s="130"/>
      <c r="AI1088" s="131"/>
      <c r="AJ1088" s="132"/>
      <c r="AK1088" s="127"/>
      <c r="AL1088" s="128"/>
      <c r="AM1088" s="21"/>
      <c r="AN1088" s="133"/>
      <c r="AO1088" s="134"/>
      <c r="AP1088" s="135"/>
      <c r="AQ1088" s="136"/>
      <c r="AR1088" s="118"/>
      <c r="AS1088" s="119"/>
      <c r="AT1088" s="118">
        <f>AR1088*0.1</f>
        <v>0</v>
      </c>
      <c r="AU1088" s="119"/>
      <c r="AV1088" s="118"/>
      <c r="AW1088" s="119"/>
      <c r="AX1088" s="118">
        <f>SUM(AR1088:AW1088)</f>
        <v>0</v>
      </c>
      <c r="AY1088" s="119"/>
      <c r="AZ1088" s="137"/>
    </row>
    <row r="1089" spans="1:52" ht="17.100000000000001" customHeight="1" thickBot="1">
      <c r="A1089" s="110"/>
      <c r="B1089" s="27" t="s">
        <v>1591</v>
      </c>
      <c r="C1089" s="27">
        <v>82105</v>
      </c>
      <c r="D1089" s="14" t="s">
        <v>1592</v>
      </c>
      <c r="E1089" s="112"/>
      <c r="F1089" s="139" t="s">
        <v>3883</v>
      </c>
      <c r="G1089" s="140"/>
      <c r="H1089" s="141"/>
      <c r="I1089" s="26">
        <v>42459</v>
      </c>
      <c r="J1089" s="117"/>
      <c r="K1089" s="120"/>
      <c r="L1089" s="121"/>
      <c r="M1089" s="120"/>
      <c r="N1089" s="121"/>
      <c r="O1089" s="120"/>
      <c r="P1089" s="121"/>
      <c r="Q1089" s="120"/>
      <c r="R1089" s="121"/>
      <c r="S1089" s="120"/>
      <c r="T1089" s="121"/>
      <c r="U1089" s="120"/>
      <c r="V1089" s="123"/>
      <c r="W1089" s="125"/>
      <c r="X1089" s="142" t="s">
        <v>3884</v>
      </c>
      <c r="Y1089" s="143"/>
      <c r="Z1089" s="143"/>
      <c r="AA1089" s="143"/>
      <c r="AB1089" s="144"/>
      <c r="AC1089" s="16" t="s">
        <v>21</v>
      </c>
      <c r="AD1089" s="17" t="s">
        <v>2818</v>
      </c>
      <c r="AE1089" s="145" t="s">
        <v>3123</v>
      </c>
      <c r="AF1089" s="146"/>
      <c r="AG1089" s="146"/>
      <c r="AH1089" s="146"/>
      <c r="AI1089" s="147"/>
      <c r="AJ1089" s="148" t="s">
        <v>3885</v>
      </c>
      <c r="AK1089" s="143"/>
      <c r="AL1089" s="144"/>
      <c r="AM1089" s="22"/>
      <c r="AN1089" s="149"/>
      <c r="AO1089" s="144"/>
      <c r="AP1089" s="148"/>
      <c r="AQ1089" s="144"/>
      <c r="AR1089" s="120"/>
      <c r="AS1089" s="121"/>
      <c r="AT1089" s="120"/>
      <c r="AU1089" s="121"/>
      <c r="AV1089" s="120"/>
      <c r="AW1089" s="121"/>
      <c r="AX1089" s="120"/>
      <c r="AY1089" s="121"/>
      <c r="AZ1089" s="138"/>
    </row>
    <row r="1090" spans="1:52" ht="17.100000000000001" customHeight="1" thickTop="1">
      <c r="A1090" s="109" t="s">
        <v>6282</v>
      </c>
      <c r="B1090" s="28">
        <v>45827</v>
      </c>
      <c r="C1090" s="25">
        <v>1938</v>
      </c>
      <c r="D1090" s="13" t="s">
        <v>1586</v>
      </c>
      <c r="E1090" s="111"/>
      <c r="F1090" s="113" t="s">
        <v>3886</v>
      </c>
      <c r="G1090" s="114"/>
      <c r="H1090" s="115"/>
      <c r="I1090" s="24"/>
      <c r="J1090" s="116">
        <v>5</v>
      </c>
      <c r="K1090" s="118">
        <v>772000</v>
      </c>
      <c r="L1090" s="119"/>
      <c r="M1090" s="118">
        <f>K1090*0.1</f>
        <v>77200</v>
      </c>
      <c r="N1090" s="119"/>
      <c r="O1090" s="118">
        <v>0</v>
      </c>
      <c r="P1090" s="119"/>
      <c r="Q1090" s="118">
        <v>8400</v>
      </c>
      <c r="R1090" s="119"/>
      <c r="S1090" s="118">
        <v>14850</v>
      </c>
      <c r="T1090" s="119"/>
      <c r="U1090" s="118">
        <f>SUM(K1090:T1091)</f>
        <v>872450</v>
      </c>
      <c r="V1090" s="122"/>
      <c r="W1090" s="124"/>
      <c r="X1090" s="126" t="s">
        <v>3887</v>
      </c>
      <c r="Y1090" s="127"/>
      <c r="Z1090" s="127"/>
      <c r="AA1090" s="127"/>
      <c r="AB1090" s="128"/>
      <c r="AC1090" s="15" t="s">
        <v>20</v>
      </c>
      <c r="AD1090" s="129" t="s">
        <v>3888</v>
      </c>
      <c r="AE1090" s="130"/>
      <c r="AF1090" s="130"/>
      <c r="AG1090" s="130"/>
      <c r="AH1090" s="130"/>
      <c r="AI1090" s="131"/>
      <c r="AJ1090" s="132"/>
      <c r="AK1090" s="127"/>
      <c r="AL1090" s="128"/>
      <c r="AM1090" s="21"/>
      <c r="AN1090" s="133">
        <v>45927</v>
      </c>
      <c r="AO1090" s="134"/>
      <c r="AP1090" s="135">
        <v>1269</v>
      </c>
      <c r="AQ1090" s="136"/>
      <c r="AR1090" s="118">
        <v>875000</v>
      </c>
      <c r="AS1090" s="119"/>
      <c r="AT1090" s="118">
        <f>AR1090*0.1</f>
        <v>87500</v>
      </c>
      <c r="AU1090" s="119"/>
      <c r="AV1090" s="118">
        <v>8400</v>
      </c>
      <c r="AW1090" s="119"/>
      <c r="AX1090" s="118">
        <f>SUM(AR1090:AW1090)</f>
        <v>970900</v>
      </c>
      <c r="AY1090" s="119"/>
      <c r="AZ1090" s="137">
        <v>45937</v>
      </c>
    </row>
    <row r="1091" spans="1:52" ht="17.100000000000001" customHeight="1" thickBot="1">
      <c r="A1091" s="110"/>
      <c r="B1091" s="27" t="s">
        <v>3792</v>
      </c>
      <c r="C1091" s="27">
        <v>3542</v>
      </c>
      <c r="D1091" s="14" t="s">
        <v>1556</v>
      </c>
      <c r="E1091" s="112"/>
      <c r="F1091" s="139" t="s">
        <v>3889</v>
      </c>
      <c r="G1091" s="140"/>
      <c r="H1091" s="141"/>
      <c r="I1091" s="26">
        <v>23440</v>
      </c>
      <c r="J1091" s="117"/>
      <c r="K1091" s="120"/>
      <c r="L1091" s="121"/>
      <c r="M1091" s="120"/>
      <c r="N1091" s="121"/>
      <c r="O1091" s="120"/>
      <c r="P1091" s="121"/>
      <c r="Q1091" s="120"/>
      <c r="R1091" s="121"/>
      <c r="S1091" s="120"/>
      <c r="T1091" s="121"/>
      <c r="U1091" s="120"/>
      <c r="V1091" s="123"/>
      <c r="W1091" s="125"/>
      <c r="X1091" s="142" t="s">
        <v>3890</v>
      </c>
      <c r="Y1091" s="143"/>
      <c r="Z1091" s="143"/>
      <c r="AA1091" s="143"/>
      <c r="AB1091" s="144"/>
      <c r="AC1091" s="16" t="s">
        <v>21</v>
      </c>
      <c r="AD1091" s="17" t="s">
        <v>3891</v>
      </c>
      <c r="AE1091" s="145" t="s">
        <v>3892</v>
      </c>
      <c r="AF1091" s="146"/>
      <c r="AG1091" s="146"/>
      <c r="AH1091" s="146"/>
      <c r="AI1091" s="147"/>
      <c r="AJ1091" s="148"/>
      <c r="AK1091" s="143"/>
      <c r="AL1091" s="144"/>
      <c r="AM1091" s="22"/>
      <c r="AN1091" s="149" t="s">
        <v>6748</v>
      </c>
      <c r="AO1091" s="144"/>
      <c r="AP1091" s="148">
        <v>60420</v>
      </c>
      <c r="AQ1091" s="144"/>
      <c r="AR1091" s="120"/>
      <c r="AS1091" s="121"/>
      <c r="AT1091" s="120"/>
      <c r="AU1091" s="121"/>
      <c r="AV1091" s="120"/>
      <c r="AW1091" s="121"/>
      <c r="AX1091" s="120"/>
      <c r="AY1091" s="121"/>
      <c r="AZ1091" s="138"/>
    </row>
    <row r="1092" spans="1:52" ht="17.100000000000001" customHeight="1" thickTop="1">
      <c r="A1092" s="109" t="s">
        <v>6283</v>
      </c>
      <c r="B1092" s="28">
        <v>45827</v>
      </c>
      <c r="C1092" s="25">
        <v>1982</v>
      </c>
      <c r="D1092" s="13" t="s">
        <v>1561</v>
      </c>
      <c r="E1092" s="111"/>
      <c r="F1092" s="113" t="s">
        <v>3893</v>
      </c>
      <c r="G1092" s="114"/>
      <c r="H1092" s="115"/>
      <c r="I1092" s="24" t="s">
        <v>3894</v>
      </c>
      <c r="J1092" s="116">
        <v>3.5</v>
      </c>
      <c r="K1092" s="118">
        <v>1050000</v>
      </c>
      <c r="L1092" s="119"/>
      <c r="M1092" s="118">
        <f>K1092*0.1</f>
        <v>105000</v>
      </c>
      <c r="N1092" s="119"/>
      <c r="O1092" s="118">
        <v>0</v>
      </c>
      <c r="P1092" s="119"/>
      <c r="Q1092" s="118">
        <v>9010</v>
      </c>
      <c r="R1092" s="119"/>
      <c r="S1092" s="118">
        <v>22000</v>
      </c>
      <c r="T1092" s="119"/>
      <c r="U1092" s="118">
        <f>SUM(K1092:T1093)</f>
        <v>1186010</v>
      </c>
      <c r="V1092" s="122"/>
      <c r="W1092" s="124"/>
      <c r="X1092" s="126" t="s">
        <v>3895</v>
      </c>
      <c r="Y1092" s="127"/>
      <c r="Z1092" s="127"/>
      <c r="AA1092" s="127"/>
      <c r="AB1092" s="128"/>
      <c r="AC1092" s="15" t="s">
        <v>20</v>
      </c>
      <c r="AD1092" s="129" t="s">
        <v>3896</v>
      </c>
      <c r="AE1092" s="130"/>
      <c r="AF1092" s="130"/>
      <c r="AG1092" s="130"/>
      <c r="AH1092" s="130"/>
      <c r="AI1092" s="131"/>
      <c r="AJ1092" s="132"/>
      <c r="AK1092" s="127"/>
      <c r="AL1092" s="128"/>
      <c r="AM1092" s="21" t="s">
        <v>3897</v>
      </c>
      <c r="AN1092" s="133">
        <v>45938</v>
      </c>
      <c r="AO1092" s="134"/>
      <c r="AP1092" s="135">
        <v>987</v>
      </c>
      <c r="AQ1092" s="136"/>
      <c r="AR1092" s="118">
        <v>1120000</v>
      </c>
      <c r="AS1092" s="119"/>
      <c r="AT1092" s="118">
        <f>AR1092*0.1</f>
        <v>112000</v>
      </c>
      <c r="AU1092" s="119"/>
      <c r="AV1092" s="118">
        <v>9010</v>
      </c>
      <c r="AW1092" s="119"/>
      <c r="AX1092" s="118">
        <f>SUM(AR1092:AW1092)</f>
        <v>1241010</v>
      </c>
      <c r="AY1092" s="119"/>
      <c r="AZ1092" s="137">
        <v>45944</v>
      </c>
    </row>
    <row r="1093" spans="1:52" ht="17.100000000000001" customHeight="1" thickBot="1">
      <c r="A1093" s="110"/>
      <c r="B1093" s="27" t="s">
        <v>2200</v>
      </c>
      <c r="C1093" s="27">
        <v>50181</v>
      </c>
      <c r="D1093" s="14" t="s">
        <v>1812</v>
      </c>
      <c r="E1093" s="112"/>
      <c r="F1093" s="139" t="s">
        <v>3898</v>
      </c>
      <c r="G1093" s="140"/>
      <c r="H1093" s="141"/>
      <c r="I1093" s="26">
        <v>63591</v>
      </c>
      <c r="J1093" s="117"/>
      <c r="K1093" s="120"/>
      <c r="L1093" s="121"/>
      <c r="M1093" s="120"/>
      <c r="N1093" s="121"/>
      <c r="O1093" s="120"/>
      <c r="P1093" s="121"/>
      <c r="Q1093" s="120"/>
      <c r="R1093" s="121"/>
      <c r="S1093" s="120"/>
      <c r="T1093" s="121"/>
      <c r="U1093" s="120"/>
      <c r="V1093" s="123"/>
      <c r="W1093" s="125"/>
      <c r="X1093" s="142" t="s">
        <v>3899</v>
      </c>
      <c r="Y1093" s="143"/>
      <c r="Z1093" s="143"/>
      <c r="AA1093" s="143"/>
      <c r="AB1093" s="144"/>
      <c r="AC1093" s="16" t="s">
        <v>21</v>
      </c>
      <c r="AD1093" s="17" t="s">
        <v>3891</v>
      </c>
      <c r="AE1093" s="145" t="s">
        <v>3896</v>
      </c>
      <c r="AF1093" s="146"/>
      <c r="AG1093" s="146"/>
      <c r="AH1093" s="146"/>
      <c r="AI1093" s="147"/>
      <c r="AJ1093" s="148" t="s">
        <v>3900</v>
      </c>
      <c r="AK1093" s="143"/>
      <c r="AL1093" s="144"/>
      <c r="AM1093" s="22"/>
      <c r="AN1093" s="149" t="s">
        <v>2794</v>
      </c>
      <c r="AO1093" s="144"/>
      <c r="AP1093" s="148">
        <v>2020</v>
      </c>
      <c r="AQ1093" s="144"/>
      <c r="AR1093" s="120"/>
      <c r="AS1093" s="121"/>
      <c r="AT1093" s="120"/>
      <c r="AU1093" s="121"/>
      <c r="AV1093" s="120"/>
      <c r="AW1093" s="121"/>
      <c r="AX1093" s="120"/>
      <c r="AY1093" s="121"/>
      <c r="AZ1093" s="138"/>
    </row>
    <row r="1094" spans="1:52" ht="17.100000000000001" customHeight="1" thickTop="1">
      <c r="A1094" s="109" t="s">
        <v>6284</v>
      </c>
      <c r="B1094" s="28">
        <v>45828</v>
      </c>
      <c r="C1094" s="25"/>
      <c r="D1094" s="13" t="s">
        <v>2036</v>
      </c>
      <c r="E1094" s="111"/>
      <c r="F1094" s="113" t="s">
        <v>3901</v>
      </c>
      <c r="G1094" s="114"/>
      <c r="H1094" s="115"/>
      <c r="I1094" s="24"/>
      <c r="J1094" s="150" t="s">
        <v>3902</v>
      </c>
      <c r="K1094" s="118">
        <f>346500/1.1</f>
        <v>315000</v>
      </c>
      <c r="L1094" s="119"/>
      <c r="M1094" s="118">
        <f>K1094*0.1</f>
        <v>31500</v>
      </c>
      <c r="N1094" s="119"/>
      <c r="O1094" s="118">
        <v>0</v>
      </c>
      <c r="P1094" s="119"/>
      <c r="Q1094" s="118">
        <v>0</v>
      </c>
      <c r="R1094" s="119"/>
      <c r="S1094" s="118">
        <v>44291</v>
      </c>
      <c r="T1094" s="119"/>
      <c r="U1094" s="118">
        <f>SUM(K1094:T1095)</f>
        <v>390791</v>
      </c>
      <c r="V1094" s="122"/>
      <c r="W1094" s="124"/>
      <c r="X1094" s="126" t="s">
        <v>3903</v>
      </c>
      <c r="Y1094" s="127"/>
      <c r="Z1094" s="127"/>
      <c r="AA1094" s="127"/>
      <c r="AB1094" s="128"/>
      <c r="AC1094" s="15" t="s">
        <v>20</v>
      </c>
      <c r="AD1094" s="129"/>
      <c r="AE1094" s="130"/>
      <c r="AF1094" s="130"/>
      <c r="AG1094" s="130"/>
      <c r="AH1094" s="130"/>
      <c r="AI1094" s="131"/>
      <c r="AJ1094" s="132"/>
      <c r="AK1094" s="127"/>
      <c r="AL1094" s="128"/>
      <c r="AM1094" s="85" t="s">
        <v>3904</v>
      </c>
      <c r="AN1094" s="133">
        <v>46050</v>
      </c>
      <c r="AO1094" s="134"/>
      <c r="AP1094" s="135">
        <v>1002</v>
      </c>
      <c r="AQ1094" s="136"/>
      <c r="AR1094" s="118">
        <v>325000</v>
      </c>
      <c r="AS1094" s="119"/>
      <c r="AT1094" s="118">
        <f>AR1094*0.1</f>
        <v>32500</v>
      </c>
      <c r="AU1094" s="119"/>
      <c r="AV1094" s="118">
        <v>0</v>
      </c>
      <c r="AW1094" s="119"/>
      <c r="AX1094" s="118">
        <f>SUM(AR1094:AW1094)</f>
        <v>357500</v>
      </c>
      <c r="AY1094" s="119"/>
      <c r="AZ1094" s="137"/>
    </row>
    <row r="1095" spans="1:52" ht="17.100000000000001" customHeight="1" thickBot="1">
      <c r="A1095" s="110"/>
      <c r="B1095" s="27" t="s">
        <v>1718</v>
      </c>
      <c r="C1095" s="27" t="s">
        <v>3905</v>
      </c>
      <c r="D1095" s="14" t="s">
        <v>2206</v>
      </c>
      <c r="E1095" s="112"/>
      <c r="F1095" s="139" t="s">
        <v>3906</v>
      </c>
      <c r="G1095" s="140"/>
      <c r="H1095" s="141"/>
      <c r="I1095" s="26">
        <v>1015</v>
      </c>
      <c r="J1095" s="117"/>
      <c r="K1095" s="120"/>
      <c r="L1095" s="121"/>
      <c r="M1095" s="120"/>
      <c r="N1095" s="121"/>
      <c r="O1095" s="120"/>
      <c r="P1095" s="121"/>
      <c r="Q1095" s="120"/>
      <c r="R1095" s="121"/>
      <c r="S1095" s="120"/>
      <c r="T1095" s="121"/>
      <c r="U1095" s="120"/>
      <c r="V1095" s="123"/>
      <c r="W1095" s="125"/>
      <c r="X1095" s="142" t="s">
        <v>3907</v>
      </c>
      <c r="Y1095" s="143"/>
      <c r="Z1095" s="143"/>
      <c r="AA1095" s="143"/>
      <c r="AB1095" s="144"/>
      <c r="AC1095" s="16" t="s">
        <v>21</v>
      </c>
      <c r="AD1095" s="17" t="s">
        <v>2508</v>
      </c>
      <c r="AE1095" s="145" t="s">
        <v>1690</v>
      </c>
      <c r="AF1095" s="146"/>
      <c r="AG1095" s="146"/>
      <c r="AH1095" s="146"/>
      <c r="AI1095" s="147"/>
      <c r="AJ1095" s="148"/>
      <c r="AK1095" s="143"/>
      <c r="AL1095" s="144"/>
      <c r="AM1095" s="22"/>
      <c r="AN1095" s="149" t="s">
        <v>2794</v>
      </c>
      <c r="AO1095" s="144"/>
      <c r="AP1095" s="148">
        <v>89017</v>
      </c>
      <c r="AQ1095" s="144"/>
      <c r="AR1095" s="120"/>
      <c r="AS1095" s="121"/>
      <c r="AT1095" s="120"/>
      <c r="AU1095" s="121"/>
      <c r="AV1095" s="120"/>
      <c r="AW1095" s="121"/>
      <c r="AX1095" s="120"/>
      <c r="AY1095" s="121"/>
      <c r="AZ1095" s="138"/>
    </row>
    <row r="1096" spans="1:52" ht="17.100000000000001" customHeight="1" thickTop="1">
      <c r="A1096" s="109" t="s">
        <v>6285</v>
      </c>
      <c r="B1096" s="28">
        <v>45828</v>
      </c>
      <c r="C1096" s="25">
        <v>1374</v>
      </c>
      <c r="D1096" s="13" t="s">
        <v>2759</v>
      </c>
      <c r="E1096" s="111"/>
      <c r="F1096" s="113" t="s">
        <v>3908</v>
      </c>
      <c r="G1096" s="114"/>
      <c r="H1096" s="115"/>
      <c r="I1096" s="24" t="s">
        <v>3909</v>
      </c>
      <c r="J1096" s="150" t="s">
        <v>1715</v>
      </c>
      <c r="K1096" s="118">
        <v>300000</v>
      </c>
      <c r="L1096" s="119"/>
      <c r="M1096" s="118">
        <f>K1096*0.1</f>
        <v>30000</v>
      </c>
      <c r="N1096" s="119"/>
      <c r="O1096" s="118">
        <v>0</v>
      </c>
      <c r="P1096" s="119"/>
      <c r="Q1096" s="118">
        <v>7950</v>
      </c>
      <c r="R1096" s="119"/>
      <c r="S1096" s="118">
        <v>13200</v>
      </c>
      <c r="T1096" s="119"/>
      <c r="U1096" s="118">
        <f>SUM(K1096:T1097)</f>
        <v>351150</v>
      </c>
      <c r="V1096" s="122"/>
      <c r="W1096" s="124"/>
      <c r="X1096" s="126" t="s">
        <v>3910</v>
      </c>
      <c r="Y1096" s="127"/>
      <c r="Z1096" s="127"/>
      <c r="AA1096" s="127"/>
      <c r="AB1096" s="128"/>
      <c r="AC1096" s="15" t="s">
        <v>20</v>
      </c>
      <c r="AD1096" s="129"/>
      <c r="AE1096" s="130"/>
      <c r="AF1096" s="130"/>
      <c r="AG1096" s="130"/>
      <c r="AH1096" s="130"/>
      <c r="AI1096" s="131"/>
      <c r="AJ1096" s="132"/>
      <c r="AK1096" s="127"/>
      <c r="AL1096" s="128"/>
      <c r="AM1096" s="21"/>
      <c r="AN1096" s="133">
        <v>46074</v>
      </c>
      <c r="AO1096" s="134"/>
      <c r="AP1096" s="135">
        <v>1289</v>
      </c>
      <c r="AQ1096" s="136"/>
      <c r="AR1096" s="118">
        <v>290000</v>
      </c>
      <c r="AS1096" s="119"/>
      <c r="AT1096" s="118">
        <f>AR1096*0.1</f>
        <v>29000</v>
      </c>
      <c r="AU1096" s="119"/>
      <c r="AV1096" s="118">
        <v>7950</v>
      </c>
      <c r="AW1096" s="119"/>
      <c r="AX1096" s="118">
        <f>SUM(AR1096:AW1096)</f>
        <v>326950</v>
      </c>
      <c r="AY1096" s="119"/>
      <c r="AZ1096" s="137">
        <v>46077</v>
      </c>
    </row>
    <row r="1097" spans="1:52" ht="17.100000000000001" customHeight="1" thickBot="1">
      <c r="A1097" s="110"/>
      <c r="B1097" s="27" t="s">
        <v>2641</v>
      </c>
      <c r="C1097" s="27">
        <v>2033</v>
      </c>
      <c r="D1097" s="14" t="s">
        <v>904</v>
      </c>
      <c r="E1097" s="112"/>
      <c r="F1097" s="139" t="s">
        <v>3911</v>
      </c>
      <c r="G1097" s="140"/>
      <c r="H1097" s="141"/>
      <c r="I1097" s="26">
        <v>57298</v>
      </c>
      <c r="J1097" s="117"/>
      <c r="K1097" s="120"/>
      <c r="L1097" s="121"/>
      <c r="M1097" s="120"/>
      <c r="N1097" s="121"/>
      <c r="O1097" s="120"/>
      <c r="P1097" s="121"/>
      <c r="Q1097" s="120"/>
      <c r="R1097" s="121"/>
      <c r="S1097" s="120"/>
      <c r="T1097" s="121"/>
      <c r="U1097" s="120"/>
      <c r="V1097" s="123"/>
      <c r="W1097" s="125"/>
      <c r="X1097" s="142" t="s">
        <v>3912</v>
      </c>
      <c r="Y1097" s="143"/>
      <c r="Z1097" s="143"/>
      <c r="AA1097" s="143"/>
      <c r="AB1097" s="144"/>
      <c r="AC1097" s="16" t="s">
        <v>21</v>
      </c>
      <c r="AD1097" s="17" t="s">
        <v>3891</v>
      </c>
      <c r="AE1097" s="145" t="s">
        <v>3913</v>
      </c>
      <c r="AF1097" s="146"/>
      <c r="AG1097" s="146"/>
      <c r="AH1097" s="146"/>
      <c r="AI1097" s="147"/>
      <c r="AJ1097" s="148"/>
      <c r="AK1097" s="143"/>
      <c r="AL1097" s="144"/>
      <c r="AM1097" s="22" t="s">
        <v>51</v>
      </c>
      <c r="AN1097" s="149" t="s">
        <v>2511</v>
      </c>
      <c r="AO1097" s="144"/>
      <c r="AP1097" s="148">
        <v>60099</v>
      </c>
      <c r="AQ1097" s="144"/>
      <c r="AR1097" s="120"/>
      <c r="AS1097" s="121"/>
      <c r="AT1097" s="120"/>
      <c r="AU1097" s="121"/>
      <c r="AV1097" s="120"/>
      <c r="AW1097" s="121"/>
      <c r="AX1097" s="120"/>
      <c r="AY1097" s="121"/>
      <c r="AZ1097" s="138"/>
    </row>
    <row r="1098" spans="1:52" ht="17.100000000000001" customHeight="1" thickTop="1">
      <c r="A1098" s="151" t="s">
        <v>6286</v>
      </c>
      <c r="B1098" s="28">
        <v>45828</v>
      </c>
      <c r="C1098" s="25">
        <v>1374</v>
      </c>
      <c r="D1098" s="13" t="s">
        <v>3914</v>
      </c>
      <c r="E1098" s="111"/>
      <c r="F1098" s="113" t="s">
        <v>3915</v>
      </c>
      <c r="G1098" s="114"/>
      <c r="H1098" s="115"/>
      <c r="I1098" s="24" t="s">
        <v>3916</v>
      </c>
      <c r="J1098" s="116">
        <v>4</v>
      </c>
      <c r="K1098" s="118">
        <v>354000</v>
      </c>
      <c r="L1098" s="119"/>
      <c r="M1098" s="118">
        <f>K1098*0.1</f>
        <v>35400</v>
      </c>
      <c r="N1098" s="119"/>
      <c r="O1098" s="118">
        <v>0</v>
      </c>
      <c r="P1098" s="119"/>
      <c r="Q1098" s="118">
        <v>8670</v>
      </c>
      <c r="R1098" s="119"/>
      <c r="S1098" s="118">
        <v>13200</v>
      </c>
      <c r="T1098" s="119"/>
      <c r="U1098" s="118">
        <f>SUM(K1098:T1099)</f>
        <v>411270</v>
      </c>
      <c r="V1098" s="122"/>
      <c r="W1098" s="124"/>
      <c r="X1098" s="126" t="s">
        <v>3917</v>
      </c>
      <c r="Y1098" s="127"/>
      <c r="Z1098" s="127"/>
      <c r="AA1098" s="127"/>
      <c r="AB1098" s="128"/>
      <c r="AC1098" s="15" t="s">
        <v>20</v>
      </c>
      <c r="AD1098" s="129" t="s">
        <v>171</v>
      </c>
      <c r="AE1098" s="130"/>
      <c r="AF1098" s="130"/>
      <c r="AG1098" s="130"/>
      <c r="AH1098" s="130"/>
      <c r="AI1098" s="131"/>
      <c r="AJ1098" s="132"/>
      <c r="AK1098" s="127"/>
      <c r="AL1098" s="128"/>
      <c r="AM1098" s="21" t="s">
        <v>3918</v>
      </c>
      <c r="AN1098" s="133">
        <v>46032</v>
      </c>
      <c r="AO1098" s="134"/>
      <c r="AP1098" s="135">
        <v>1283</v>
      </c>
      <c r="AQ1098" s="136"/>
      <c r="AR1098" s="118">
        <v>390000</v>
      </c>
      <c r="AS1098" s="119"/>
      <c r="AT1098" s="118">
        <f>AR1098*0.1</f>
        <v>39000</v>
      </c>
      <c r="AU1098" s="119"/>
      <c r="AV1098" s="118">
        <v>8670</v>
      </c>
      <c r="AW1098" s="119"/>
      <c r="AX1098" s="118">
        <f>SUM(AR1098:AW1098)</f>
        <v>437670</v>
      </c>
      <c r="AY1098" s="119"/>
      <c r="AZ1098" s="137">
        <v>46036</v>
      </c>
    </row>
    <row r="1099" spans="1:52" ht="17.100000000000001" customHeight="1" thickBot="1">
      <c r="A1099" s="152"/>
      <c r="B1099" s="27" t="s">
        <v>2641</v>
      </c>
      <c r="C1099" s="27">
        <v>3202</v>
      </c>
      <c r="D1099" s="14" t="s">
        <v>1576</v>
      </c>
      <c r="E1099" s="112"/>
      <c r="F1099" s="139" t="s">
        <v>3919</v>
      </c>
      <c r="G1099" s="140"/>
      <c r="H1099" s="141"/>
      <c r="I1099" s="26">
        <v>45100</v>
      </c>
      <c r="J1099" s="117"/>
      <c r="K1099" s="120"/>
      <c r="L1099" s="121"/>
      <c r="M1099" s="120"/>
      <c r="N1099" s="121"/>
      <c r="O1099" s="120"/>
      <c r="P1099" s="121"/>
      <c r="Q1099" s="120"/>
      <c r="R1099" s="121"/>
      <c r="S1099" s="120"/>
      <c r="T1099" s="121"/>
      <c r="U1099" s="120"/>
      <c r="V1099" s="123"/>
      <c r="W1099" s="125"/>
      <c r="X1099" s="142" t="s">
        <v>3920</v>
      </c>
      <c r="Y1099" s="143"/>
      <c r="Z1099" s="143"/>
      <c r="AA1099" s="143"/>
      <c r="AB1099" s="144"/>
      <c r="AC1099" s="16" t="s">
        <v>21</v>
      </c>
      <c r="AD1099" s="17" t="s">
        <v>2824</v>
      </c>
      <c r="AE1099" s="145" t="s">
        <v>1633</v>
      </c>
      <c r="AF1099" s="146"/>
      <c r="AG1099" s="146"/>
      <c r="AH1099" s="146"/>
      <c r="AI1099" s="147"/>
      <c r="AJ1099" s="148" t="s">
        <v>3727</v>
      </c>
      <c r="AK1099" s="143"/>
      <c r="AL1099" s="144"/>
      <c r="AM1099" s="22"/>
      <c r="AN1099" s="149" t="s">
        <v>2511</v>
      </c>
      <c r="AO1099" s="144"/>
      <c r="AP1099" s="148">
        <v>60307</v>
      </c>
      <c r="AQ1099" s="144"/>
      <c r="AR1099" s="120"/>
      <c r="AS1099" s="121"/>
      <c r="AT1099" s="120"/>
      <c r="AU1099" s="121"/>
      <c r="AV1099" s="120"/>
      <c r="AW1099" s="121"/>
      <c r="AX1099" s="120"/>
      <c r="AY1099" s="121"/>
      <c r="AZ1099" s="138"/>
    </row>
    <row r="1100" spans="1:52" ht="17.100000000000001" customHeight="1" thickTop="1">
      <c r="A1100" s="109" t="s">
        <v>6287</v>
      </c>
      <c r="B1100" s="28">
        <v>45829</v>
      </c>
      <c r="C1100" s="25">
        <v>1256</v>
      </c>
      <c r="D1100" s="13" t="s">
        <v>3921</v>
      </c>
      <c r="E1100" s="111"/>
      <c r="F1100" s="113" t="s">
        <v>3922</v>
      </c>
      <c r="G1100" s="114"/>
      <c r="H1100" s="115"/>
      <c r="I1100" s="24" t="s">
        <v>3923</v>
      </c>
      <c r="J1100" s="116">
        <v>4.5</v>
      </c>
      <c r="K1100" s="118">
        <v>1700000</v>
      </c>
      <c r="L1100" s="119"/>
      <c r="M1100" s="118">
        <f>K1100*0.1</f>
        <v>170000</v>
      </c>
      <c r="N1100" s="119"/>
      <c r="O1100" s="118">
        <v>32560</v>
      </c>
      <c r="P1100" s="119"/>
      <c r="Q1100" s="118">
        <v>16240</v>
      </c>
      <c r="R1100" s="119"/>
      <c r="S1100" s="118">
        <v>23100</v>
      </c>
      <c r="T1100" s="119"/>
      <c r="U1100" s="118">
        <f>SUM(K1100:T1101)</f>
        <v>1941900</v>
      </c>
      <c r="V1100" s="122"/>
      <c r="W1100" s="124"/>
      <c r="X1100" s="126" t="s">
        <v>3924</v>
      </c>
      <c r="Y1100" s="127"/>
      <c r="Z1100" s="127"/>
      <c r="AA1100" s="127"/>
      <c r="AB1100" s="128"/>
      <c r="AC1100" s="15" t="s">
        <v>20</v>
      </c>
      <c r="AD1100" s="129" t="s">
        <v>3925</v>
      </c>
      <c r="AE1100" s="130"/>
      <c r="AF1100" s="130"/>
      <c r="AG1100" s="130"/>
      <c r="AH1100" s="130"/>
      <c r="AI1100" s="131"/>
      <c r="AJ1100" s="132"/>
      <c r="AK1100" s="127"/>
      <c r="AL1100" s="128"/>
      <c r="AM1100" s="21" t="s">
        <v>3926</v>
      </c>
      <c r="AN1100" s="133">
        <v>46301</v>
      </c>
      <c r="AO1100" s="134"/>
      <c r="AP1100" s="135"/>
      <c r="AQ1100" s="136"/>
      <c r="AR1100" s="118">
        <v>2866000</v>
      </c>
      <c r="AS1100" s="119"/>
      <c r="AT1100" s="118">
        <v>0</v>
      </c>
      <c r="AU1100" s="119"/>
      <c r="AV1100" s="118">
        <v>0</v>
      </c>
      <c r="AW1100" s="119"/>
      <c r="AX1100" s="118">
        <f>SUM(AR1100:AW1100)</f>
        <v>2866000</v>
      </c>
      <c r="AY1100" s="119"/>
      <c r="AZ1100" s="137">
        <v>46351</v>
      </c>
    </row>
    <row r="1101" spans="1:52" ht="17.100000000000001" customHeight="1" thickBot="1">
      <c r="A1101" s="110"/>
      <c r="B1101" s="27" t="s">
        <v>2511</v>
      </c>
      <c r="C1101" s="27">
        <v>82565</v>
      </c>
      <c r="D1101" s="14" t="s">
        <v>275</v>
      </c>
      <c r="E1101" s="112"/>
      <c r="F1101" s="139" t="s">
        <v>3927</v>
      </c>
      <c r="G1101" s="140"/>
      <c r="H1101" s="141"/>
      <c r="I1101" s="26">
        <v>47906</v>
      </c>
      <c r="J1101" s="117"/>
      <c r="K1101" s="120"/>
      <c r="L1101" s="121"/>
      <c r="M1101" s="120"/>
      <c r="N1101" s="121"/>
      <c r="O1101" s="120"/>
      <c r="P1101" s="121"/>
      <c r="Q1101" s="120"/>
      <c r="R1101" s="121"/>
      <c r="S1101" s="120"/>
      <c r="T1101" s="121"/>
      <c r="U1101" s="120"/>
      <c r="V1101" s="123"/>
      <c r="W1101" s="125"/>
      <c r="X1101" s="142" t="s">
        <v>3928</v>
      </c>
      <c r="Y1101" s="143"/>
      <c r="Z1101" s="143"/>
      <c r="AA1101" s="143"/>
      <c r="AB1101" s="144"/>
      <c r="AC1101" s="16" t="s">
        <v>21</v>
      </c>
      <c r="AD1101" s="17" t="s">
        <v>3929</v>
      </c>
      <c r="AE1101" s="145" t="s">
        <v>1742</v>
      </c>
      <c r="AF1101" s="146"/>
      <c r="AG1101" s="146"/>
      <c r="AH1101" s="146"/>
      <c r="AI1101" s="147"/>
      <c r="AJ1101" s="148"/>
      <c r="AK1101" s="143"/>
      <c r="AL1101" s="144"/>
      <c r="AM1101" s="22"/>
      <c r="AN1101" s="149" t="s">
        <v>15427</v>
      </c>
      <c r="AO1101" s="144"/>
      <c r="AP1101" s="148"/>
      <c r="AQ1101" s="144"/>
      <c r="AR1101" s="120"/>
      <c r="AS1101" s="121"/>
      <c r="AT1101" s="120"/>
      <c r="AU1101" s="121"/>
      <c r="AV1101" s="120"/>
      <c r="AW1101" s="121"/>
      <c r="AX1101" s="120"/>
      <c r="AY1101" s="121"/>
      <c r="AZ1101" s="138"/>
    </row>
    <row r="1102" spans="1:52" ht="17.100000000000001" customHeight="1" thickTop="1">
      <c r="A1102" s="109" t="s">
        <v>6288</v>
      </c>
      <c r="B1102" s="28">
        <v>45831</v>
      </c>
      <c r="C1102" s="25"/>
      <c r="D1102" s="13" t="s">
        <v>2814</v>
      </c>
      <c r="E1102" s="111"/>
      <c r="F1102" s="113" t="s">
        <v>3930</v>
      </c>
      <c r="G1102" s="114"/>
      <c r="H1102" s="115"/>
      <c r="I1102" s="24" t="s">
        <v>3931</v>
      </c>
      <c r="J1102" s="116"/>
      <c r="K1102" s="118">
        <v>23000000</v>
      </c>
      <c r="L1102" s="119"/>
      <c r="M1102" s="118">
        <v>0</v>
      </c>
      <c r="N1102" s="119"/>
      <c r="O1102" s="118">
        <v>0</v>
      </c>
      <c r="P1102" s="119"/>
      <c r="Q1102" s="118">
        <v>0</v>
      </c>
      <c r="R1102" s="119"/>
      <c r="S1102" s="118">
        <v>0</v>
      </c>
      <c r="T1102" s="119"/>
      <c r="U1102" s="118">
        <f>SUM(K1102:T1103)</f>
        <v>23000000</v>
      </c>
      <c r="V1102" s="122"/>
      <c r="W1102" s="124"/>
      <c r="X1102" s="126" t="s">
        <v>3932</v>
      </c>
      <c r="Y1102" s="127"/>
      <c r="Z1102" s="127"/>
      <c r="AA1102" s="127"/>
      <c r="AB1102" s="128"/>
      <c r="AC1102" s="15" t="s">
        <v>20</v>
      </c>
      <c r="AD1102" s="129"/>
      <c r="AE1102" s="130"/>
      <c r="AF1102" s="130"/>
      <c r="AG1102" s="130"/>
      <c r="AH1102" s="130"/>
      <c r="AI1102" s="131"/>
      <c r="AJ1102" s="132"/>
      <c r="AK1102" s="127"/>
      <c r="AL1102" s="128"/>
      <c r="AM1102" s="21" t="s">
        <v>3933</v>
      </c>
      <c r="AN1102" s="133"/>
      <c r="AO1102" s="134"/>
      <c r="AP1102" s="135"/>
      <c r="AQ1102" s="136"/>
      <c r="AR1102" s="118"/>
      <c r="AS1102" s="119"/>
      <c r="AT1102" s="118">
        <f>AR1102*0.1</f>
        <v>0</v>
      </c>
      <c r="AU1102" s="119"/>
      <c r="AV1102" s="118"/>
      <c r="AW1102" s="119"/>
      <c r="AX1102" s="118">
        <f>SUM(AR1102:AW1102)</f>
        <v>0</v>
      </c>
      <c r="AY1102" s="119"/>
      <c r="AZ1102" s="137"/>
    </row>
    <row r="1103" spans="1:52" ht="17.100000000000001" customHeight="1" thickBot="1">
      <c r="A1103" s="110"/>
      <c r="B1103" s="27" t="s">
        <v>3934</v>
      </c>
      <c r="C1103" s="27"/>
      <c r="D1103" s="14"/>
      <c r="E1103" s="112"/>
      <c r="F1103" s="139" t="s">
        <v>3935</v>
      </c>
      <c r="G1103" s="140"/>
      <c r="H1103" s="141"/>
      <c r="I1103" s="26"/>
      <c r="J1103" s="117"/>
      <c r="K1103" s="120"/>
      <c r="L1103" s="121"/>
      <c r="M1103" s="120"/>
      <c r="N1103" s="121"/>
      <c r="O1103" s="120"/>
      <c r="P1103" s="121"/>
      <c r="Q1103" s="120"/>
      <c r="R1103" s="121"/>
      <c r="S1103" s="120"/>
      <c r="T1103" s="121"/>
      <c r="U1103" s="120"/>
      <c r="V1103" s="123"/>
      <c r="W1103" s="125"/>
      <c r="X1103" s="142" t="s">
        <v>3936</v>
      </c>
      <c r="Y1103" s="143"/>
      <c r="Z1103" s="143"/>
      <c r="AA1103" s="143"/>
      <c r="AB1103" s="144"/>
      <c r="AC1103" s="16" t="s">
        <v>21</v>
      </c>
      <c r="AD1103" s="17" t="s">
        <v>2457</v>
      </c>
      <c r="AE1103" s="145"/>
      <c r="AF1103" s="146"/>
      <c r="AG1103" s="146"/>
      <c r="AH1103" s="146"/>
      <c r="AI1103" s="147"/>
      <c r="AJ1103" s="148"/>
      <c r="AK1103" s="143"/>
      <c r="AL1103" s="144"/>
      <c r="AM1103" s="22"/>
      <c r="AN1103" s="149"/>
      <c r="AO1103" s="144"/>
      <c r="AP1103" s="148"/>
      <c r="AQ1103" s="144"/>
      <c r="AR1103" s="120"/>
      <c r="AS1103" s="121"/>
      <c r="AT1103" s="120"/>
      <c r="AU1103" s="121"/>
      <c r="AV1103" s="120"/>
      <c r="AW1103" s="121"/>
      <c r="AX1103" s="120"/>
      <c r="AY1103" s="121"/>
      <c r="AZ1103" s="138"/>
    </row>
    <row r="1104" spans="1:52" ht="17.100000000000001" customHeight="1" thickTop="1">
      <c r="A1104" s="109" t="s">
        <v>6289</v>
      </c>
      <c r="B1104" s="28">
        <v>45831</v>
      </c>
      <c r="C1104" s="25"/>
      <c r="D1104" s="13" t="s">
        <v>3937</v>
      </c>
      <c r="E1104" s="111"/>
      <c r="F1104" s="113" t="s">
        <v>3938</v>
      </c>
      <c r="G1104" s="114"/>
      <c r="H1104" s="115"/>
      <c r="I1104" s="24" t="s">
        <v>3939</v>
      </c>
      <c r="J1104" s="150" t="s">
        <v>1715</v>
      </c>
      <c r="K1104" s="118">
        <f>698500/1.1</f>
        <v>635000</v>
      </c>
      <c r="L1104" s="119"/>
      <c r="M1104" s="118">
        <f>K1104*0.1</f>
        <v>63500</v>
      </c>
      <c r="N1104" s="119"/>
      <c r="O1104" s="118">
        <v>0</v>
      </c>
      <c r="P1104" s="119"/>
      <c r="Q1104" s="118">
        <v>8570</v>
      </c>
      <c r="R1104" s="119"/>
      <c r="S1104" s="118">
        <v>89925</v>
      </c>
      <c r="T1104" s="119"/>
      <c r="U1104" s="118">
        <f>SUM(K1104:T1105)</f>
        <v>796995</v>
      </c>
      <c r="V1104" s="122"/>
      <c r="W1104" s="124"/>
      <c r="X1104" s="126" t="s">
        <v>3940</v>
      </c>
      <c r="Y1104" s="127"/>
      <c r="Z1104" s="127"/>
      <c r="AA1104" s="127"/>
      <c r="AB1104" s="128"/>
      <c r="AC1104" s="15" t="s">
        <v>20</v>
      </c>
      <c r="AD1104" s="129" t="s">
        <v>3941</v>
      </c>
      <c r="AE1104" s="130"/>
      <c r="AF1104" s="130"/>
      <c r="AG1104" s="130"/>
      <c r="AH1104" s="130"/>
      <c r="AI1104" s="131"/>
      <c r="AJ1104" s="132"/>
      <c r="AK1104" s="127"/>
      <c r="AL1104" s="128"/>
      <c r="AM1104" s="21" t="s">
        <v>3942</v>
      </c>
      <c r="AN1104" s="133">
        <v>45938</v>
      </c>
      <c r="AO1104" s="134"/>
      <c r="AP1104" s="135">
        <v>987</v>
      </c>
      <c r="AQ1104" s="136"/>
      <c r="AR1104" s="118">
        <v>850000</v>
      </c>
      <c r="AS1104" s="119"/>
      <c r="AT1104" s="118">
        <f>AR1104*0.1</f>
        <v>85000</v>
      </c>
      <c r="AU1104" s="119"/>
      <c r="AV1104" s="118">
        <v>8570</v>
      </c>
      <c r="AW1104" s="119"/>
      <c r="AX1104" s="118">
        <f>SUM(AR1104:AW1104)</f>
        <v>943570</v>
      </c>
      <c r="AY1104" s="119"/>
      <c r="AZ1104" s="137">
        <v>45944</v>
      </c>
    </row>
    <row r="1105" spans="1:52" ht="17.100000000000001" customHeight="1" thickBot="1">
      <c r="A1105" s="110"/>
      <c r="B1105" s="27" t="s">
        <v>1718</v>
      </c>
      <c r="C1105" s="27" t="s">
        <v>3943</v>
      </c>
      <c r="D1105" s="14" t="s">
        <v>1576</v>
      </c>
      <c r="E1105" s="112"/>
      <c r="F1105" s="139" t="s">
        <v>3944</v>
      </c>
      <c r="G1105" s="140"/>
      <c r="H1105" s="141"/>
      <c r="I1105" s="26">
        <v>79074</v>
      </c>
      <c r="J1105" s="117"/>
      <c r="K1105" s="120"/>
      <c r="L1105" s="121"/>
      <c r="M1105" s="120"/>
      <c r="N1105" s="121"/>
      <c r="O1105" s="120"/>
      <c r="P1105" s="121"/>
      <c r="Q1105" s="120"/>
      <c r="R1105" s="121"/>
      <c r="S1105" s="120"/>
      <c r="T1105" s="121"/>
      <c r="U1105" s="120"/>
      <c r="V1105" s="123"/>
      <c r="W1105" s="125"/>
      <c r="X1105" s="142" t="s">
        <v>3945</v>
      </c>
      <c r="Y1105" s="143"/>
      <c r="Z1105" s="143"/>
      <c r="AA1105" s="143"/>
      <c r="AB1105" s="144"/>
      <c r="AC1105" s="16" t="s">
        <v>21</v>
      </c>
      <c r="AD1105" s="17" t="s">
        <v>2477</v>
      </c>
      <c r="AE1105" s="145" t="s">
        <v>2758</v>
      </c>
      <c r="AF1105" s="146"/>
      <c r="AG1105" s="146"/>
      <c r="AH1105" s="146"/>
      <c r="AI1105" s="147"/>
      <c r="AJ1105" s="148"/>
      <c r="AK1105" s="143"/>
      <c r="AL1105" s="144"/>
      <c r="AM1105" s="22"/>
      <c r="AN1105" s="149" t="s">
        <v>2794</v>
      </c>
      <c r="AO1105" s="144"/>
      <c r="AP1105" s="148">
        <v>2017</v>
      </c>
      <c r="AQ1105" s="144"/>
      <c r="AR1105" s="120"/>
      <c r="AS1105" s="121"/>
      <c r="AT1105" s="120"/>
      <c r="AU1105" s="121"/>
      <c r="AV1105" s="120"/>
      <c r="AW1105" s="121"/>
      <c r="AX1105" s="120"/>
      <c r="AY1105" s="121"/>
      <c r="AZ1105" s="138"/>
    </row>
    <row r="1106" spans="1:52" ht="17.100000000000001" customHeight="1" thickTop="1">
      <c r="A1106" s="109" t="s">
        <v>6290</v>
      </c>
      <c r="B1106" s="28">
        <v>45832</v>
      </c>
      <c r="C1106" s="25">
        <v>946</v>
      </c>
      <c r="D1106" s="13" t="s">
        <v>1586</v>
      </c>
      <c r="E1106" s="111"/>
      <c r="F1106" s="113" t="s">
        <v>3946</v>
      </c>
      <c r="G1106" s="114"/>
      <c r="H1106" s="115"/>
      <c r="I1106" s="24"/>
      <c r="J1106" s="116">
        <v>3.5</v>
      </c>
      <c r="K1106" s="118">
        <v>1089000</v>
      </c>
      <c r="L1106" s="119"/>
      <c r="M1106" s="118">
        <f>K1106*0.1</f>
        <v>108900</v>
      </c>
      <c r="N1106" s="119"/>
      <c r="O1106" s="118">
        <v>0</v>
      </c>
      <c r="P1106" s="119"/>
      <c r="Q1106" s="118">
        <v>5870</v>
      </c>
      <c r="R1106" s="119"/>
      <c r="S1106" s="118">
        <v>22000</v>
      </c>
      <c r="T1106" s="119"/>
      <c r="U1106" s="118">
        <f>SUM(K1106:T1107)</f>
        <v>1225770</v>
      </c>
      <c r="V1106" s="122"/>
      <c r="W1106" s="124"/>
      <c r="X1106" s="126" t="s">
        <v>3947</v>
      </c>
      <c r="Y1106" s="127"/>
      <c r="Z1106" s="127"/>
      <c r="AA1106" s="127"/>
      <c r="AB1106" s="128"/>
      <c r="AC1106" s="15" t="s">
        <v>20</v>
      </c>
      <c r="AD1106" s="129" t="s">
        <v>3948</v>
      </c>
      <c r="AE1106" s="130"/>
      <c r="AF1106" s="130"/>
      <c r="AG1106" s="130"/>
      <c r="AH1106" s="130"/>
      <c r="AI1106" s="131"/>
      <c r="AJ1106" s="132"/>
      <c r="AK1106" s="127"/>
      <c r="AL1106" s="128"/>
      <c r="AM1106" s="21"/>
      <c r="AN1106" s="133">
        <v>45934</v>
      </c>
      <c r="AO1106" s="134"/>
      <c r="AP1106" s="135">
        <v>1270</v>
      </c>
      <c r="AQ1106" s="136"/>
      <c r="AR1106" s="118">
        <v>1085000</v>
      </c>
      <c r="AS1106" s="119"/>
      <c r="AT1106" s="118">
        <f>AR1106*0.1</f>
        <v>108500</v>
      </c>
      <c r="AU1106" s="119"/>
      <c r="AV1106" s="118">
        <v>5870</v>
      </c>
      <c r="AW1106" s="119"/>
      <c r="AX1106" s="118">
        <f>SUM(AR1106:AW1106)</f>
        <v>1199370</v>
      </c>
      <c r="AY1106" s="119"/>
      <c r="AZ1106" s="137">
        <v>45937</v>
      </c>
    </row>
    <row r="1107" spans="1:52" ht="17.100000000000001" customHeight="1" thickBot="1">
      <c r="A1107" s="110"/>
      <c r="B1107" s="27" t="s">
        <v>2055</v>
      </c>
      <c r="C1107" s="27">
        <v>163</v>
      </c>
      <c r="D1107" s="14" t="s">
        <v>1592</v>
      </c>
      <c r="E1107" s="112"/>
      <c r="F1107" s="139" t="s">
        <v>3949</v>
      </c>
      <c r="G1107" s="140"/>
      <c r="H1107" s="141"/>
      <c r="I1107" s="26">
        <v>41225</v>
      </c>
      <c r="J1107" s="117"/>
      <c r="K1107" s="120"/>
      <c r="L1107" s="121"/>
      <c r="M1107" s="120"/>
      <c r="N1107" s="121"/>
      <c r="O1107" s="120"/>
      <c r="P1107" s="121"/>
      <c r="Q1107" s="120"/>
      <c r="R1107" s="121"/>
      <c r="S1107" s="120"/>
      <c r="T1107" s="121"/>
      <c r="U1107" s="120"/>
      <c r="V1107" s="123"/>
      <c r="W1107" s="125"/>
      <c r="X1107" s="142" t="s">
        <v>3950</v>
      </c>
      <c r="Y1107" s="143"/>
      <c r="Z1107" s="143"/>
      <c r="AA1107" s="143"/>
      <c r="AB1107" s="144"/>
      <c r="AC1107" s="16" t="s">
        <v>21</v>
      </c>
      <c r="AD1107" s="17" t="s">
        <v>2530</v>
      </c>
      <c r="AE1107" s="145"/>
      <c r="AF1107" s="146"/>
      <c r="AG1107" s="146"/>
      <c r="AH1107" s="146"/>
      <c r="AI1107" s="147"/>
      <c r="AJ1107" s="148"/>
      <c r="AK1107" s="143"/>
      <c r="AL1107" s="144"/>
      <c r="AM1107" s="22"/>
      <c r="AN1107" s="149" t="s">
        <v>7284</v>
      </c>
      <c r="AO1107" s="144"/>
      <c r="AP1107" s="148">
        <v>60206</v>
      </c>
      <c r="AQ1107" s="144"/>
      <c r="AR1107" s="120"/>
      <c r="AS1107" s="121"/>
      <c r="AT1107" s="120"/>
      <c r="AU1107" s="121"/>
      <c r="AV1107" s="120"/>
      <c r="AW1107" s="121"/>
      <c r="AX1107" s="120"/>
      <c r="AY1107" s="121"/>
      <c r="AZ1107" s="138"/>
    </row>
    <row r="1108" spans="1:52" ht="17.100000000000001" customHeight="1" thickTop="1">
      <c r="A1108" s="109" t="s">
        <v>6291</v>
      </c>
      <c r="B1108" s="28">
        <v>45833</v>
      </c>
      <c r="C1108" s="25">
        <v>1794</v>
      </c>
      <c r="D1108" s="13" t="s">
        <v>2301</v>
      </c>
      <c r="E1108" s="111"/>
      <c r="F1108" s="113" t="s">
        <v>3210</v>
      </c>
      <c r="G1108" s="114"/>
      <c r="H1108" s="115"/>
      <c r="I1108" s="24"/>
      <c r="J1108" s="116">
        <v>4.5</v>
      </c>
      <c r="K1108" s="118">
        <v>865000</v>
      </c>
      <c r="L1108" s="119"/>
      <c r="M1108" s="118">
        <f>K1108*0.1</f>
        <v>86500</v>
      </c>
      <c r="N1108" s="119"/>
      <c r="O1108" s="118">
        <v>0</v>
      </c>
      <c r="P1108" s="119"/>
      <c r="Q1108" s="118">
        <v>17250</v>
      </c>
      <c r="R1108" s="119"/>
      <c r="S1108" s="118">
        <v>18150</v>
      </c>
      <c r="T1108" s="119"/>
      <c r="U1108" s="118">
        <f>SUM(K1108:T1109)</f>
        <v>986900</v>
      </c>
      <c r="V1108" s="122"/>
      <c r="W1108" s="124"/>
      <c r="X1108" s="126" t="s">
        <v>3951</v>
      </c>
      <c r="Y1108" s="127"/>
      <c r="Z1108" s="127"/>
      <c r="AA1108" s="127"/>
      <c r="AB1108" s="128"/>
      <c r="AC1108" s="15" t="s">
        <v>20</v>
      </c>
      <c r="AD1108" s="129" t="s">
        <v>3952</v>
      </c>
      <c r="AE1108" s="130"/>
      <c r="AF1108" s="130"/>
      <c r="AG1108" s="130"/>
      <c r="AH1108" s="130"/>
      <c r="AI1108" s="131"/>
      <c r="AJ1108" s="132"/>
      <c r="AK1108" s="127"/>
      <c r="AL1108" s="128"/>
      <c r="AM1108" s="21"/>
      <c r="AN1108" s="133">
        <v>46067</v>
      </c>
      <c r="AO1108" s="134"/>
      <c r="AP1108" s="135">
        <v>1288</v>
      </c>
      <c r="AQ1108" s="136"/>
      <c r="AR1108" s="118">
        <v>920000</v>
      </c>
      <c r="AS1108" s="119"/>
      <c r="AT1108" s="118">
        <f>AR1108*0.1</f>
        <v>92000</v>
      </c>
      <c r="AU1108" s="119"/>
      <c r="AV1108" s="118">
        <v>17250</v>
      </c>
      <c r="AW1108" s="119"/>
      <c r="AX1108" s="118">
        <f>SUM(AR1108:AW1108)</f>
        <v>1029250</v>
      </c>
      <c r="AY1108" s="119"/>
      <c r="AZ1108" s="137">
        <v>46071</v>
      </c>
    </row>
    <row r="1109" spans="1:52" ht="17.100000000000001" customHeight="1" thickBot="1">
      <c r="A1109" s="110"/>
      <c r="B1109" s="27" t="s">
        <v>2559</v>
      </c>
      <c r="C1109" s="27">
        <v>38084</v>
      </c>
      <c r="D1109" s="14" t="s">
        <v>1592</v>
      </c>
      <c r="E1109" s="112"/>
      <c r="F1109" s="139" t="s">
        <v>3953</v>
      </c>
      <c r="G1109" s="140"/>
      <c r="H1109" s="141"/>
      <c r="I1109" s="26">
        <v>24561</v>
      </c>
      <c r="J1109" s="117"/>
      <c r="K1109" s="120"/>
      <c r="L1109" s="121"/>
      <c r="M1109" s="120"/>
      <c r="N1109" s="121"/>
      <c r="O1109" s="120"/>
      <c r="P1109" s="121"/>
      <c r="Q1109" s="120"/>
      <c r="R1109" s="121"/>
      <c r="S1109" s="120"/>
      <c r="T1109" s="121"/>
      <c r="U1109" s="120"/>
      <c r="V1109" s="123"/>
      <c r="W1109" s="125"/>
      <c r="X1109" s="142" t="s">
        <v>3954</v>
      </c>
      <c r="Y1109" s="143"/>
      <c r="Z1109" s="143"/>
      <c r="AA1109" s="143"/>
      <c r="AB1109" s="144"/>
      <c r="AC1109" s="16" t="s">
        <v>21</v>
      </c>
      <c r="AD1109" s="17" t="s">
        <v>3929</v>
      </c>
      <c r="AE1109" s="145" t="s">
        <v>1614</v>
      </c>
      <c r="AF1109" s="146"/>
      <c r="AG1109" s="146"/>
      <c r="AH1109" s="146"/>
      <c r="AI1109" s="147"/>
      <c r="AJ1109" s="148"/>
      <c r="AK1109" s="143"/>
      <c r="AL1109" s="144"/>
      <c r="AM1109" s="22"/>
      <c r="AN1109" s="149" t="s">
        <v>6748</v>
      </c>
      <c r="AO1109" s="144"/>
      <c r="AP1109" s="148">
        <v>80211</v>
      </c>
      <c r="AQ1109" s="144"/>
      <c r="AR1109" s="120"/>
      <c r="AS1109" s="121"/>
      <c r="AT1109" s="120"/>
      <c r="AU1109" s="121"/>
      <c r="AV1109" s="120"/>
      <c r="AW1109" s="121"/>
      <c r="AX1109" s="120"/>
      <c r="AY1109" s="121"/>
      <c r="AZ1109" s="138"/>
    </row>
    <row r="1110" spans="1:52" ht="17.100000000000001" customHeight="1" thickTop="1">
      <c r="A1110" s="109" t="s">
        <v>6292</v>
      </c>
      <c r="B1110" s="28">
        <v>45835</v>
      </c>
      <c r="C1110" s="25">
        <v>247</v>
      </c>
      <c r="D1110" s="13" t="s">
        <v>3440</v>
      </c>
      <c r="E1110" s="111"/>
      <c r="F1110" s="113" t="s">
        <v>3955</v>
      </c>
      <c r="G1110" s="114"/>
      <c r="H1110" s="115"/>
      <c r="I1110" s="24"/>
      <c r="J1110" s="116">
        <v>4</v>
      </c>
      <c r="K1110" s="118">
        <v>207000</v>
      </c>
      <c r="L1110" s="119"/>
      <c r="M1110" s="118">
        <f>K1110*0.1</f>
        <v>20700</v>
      </c>
      <c r="N1110" s="119"/>
      <c r="O1110" s="118">
        <v>0</v>
      </c>
      <c r="P1110" s="119"/>
      <c r="Q1110" s="118">
        <v>9880</v>
      </c>
      <c r="R1110" s="119"/>
      <c r="S1110" s="118">
        <v>22000</v>
      </c>
      <c r="T1110" s="119"/>
      <c r="U1110" s="118">
        <f>SUM(K1110:T1111)</f>
        <v>259580</v>
      </c>
      <c r="V1110" s="122"/>
      <c r="W1110" s="124"/>
      <c r="X1110" s="126" t="s">
        <v>3956</v>
      </c>
      <c r="Y1110" s="127"/>
      <c r="Z1110" s="127"/>
      <c r="AA1110" s="127"/>
      <c r="AB1110" s="128"/>
      <c r="AC1110" s="15" t="s">
        <v>20</v>
      </c>
      <c r="AD1110" s="129"/>
      <c r="AE1110" s="130"/>
      <c r="AF1110" s="130"/>
      <c r="AG1110" s="130"/>
      <c r="AH1110" s="130"/>
      <c r="AI1110" s="131"/>
      <c r="AJ1110" s="132"/>
      <c r="AK1110" s="127"/>
      <c r="AL1110" s="128"/>
      <c r="AM1110" s="21"/>
      <c r="AN1110" s="133">
        <v>45941</v>
      </c>
      <c r="AO1110" s="134"/>
      <c r="AP1110" s="135">
        <v>1271</v>
      </c>
      <c r="AQ1110" s="136"/>
      <c r="AR1110" s="118">
        <v>285000</v>
      </c>
      <c r="AS1110" s="119"/>
      <c r="AT1110" s="118">
        <f>AR1110*0.1</f>
        <v>28500</v>
      </c>
      <c r="AU1110" s="119"/>
      <c r="AV1110" s="118">
        <v>9880</v>
      </c>
      <c r="AW1110" s="119"/>
      <c r="AX1110" s="118">
        <f>SUM(AR1110:AW1110)</f>
        <v>323380</v>
      </c>
      <c r="AY1110" s="119"/>
      <c r="AZ1110" s="137">
        <v>45945</v>
      </c>
    </row>
    <row r="1111" spans="1:52" ht="17.100000000000001" customHeight="1" thickBot="1">
      <c r="A1111" s="110"/>
      <c r="B1111" s="27" t="s">
        <v>3957</v>
      </c>
      <c r="C1111" s="27">
        <v>43</v>
      </c>
      <c r="D1111" s="14" t="s">
        <v>275</v>
      </c>
      <c r="E1111" s="112"/>
      <c r="F1111" s="139" t="s">
        <v>3958</v>
      </c>
      <c r="G1111" s="140"/>
      <c r="H1111" s="141"/>
      <c r="I1111" s="26">
        <v>64620</v>
      </c>
      <c r="J1111" s="117"/>
      <c r="K1111" s="120"/>
      <c r="L1111" s="121"/>
      <c r="M1111" s="120"/>
      <c r="N1111" s="121"/>
      <c r="O1111" s="120"/>
      <c r="P1111" s="121"/>
      <c r="Q1111" s="120"/>
      <c r="R1111" s="121"/>
      <c r="S1111" s="120"/>
      <c r="T1111" s="121"/>
      <c r="U1111" s="120"/>
      <c r="V1111" s="123"/>
      <c r="W1111" s="125"/>
      <c r="X1111" s="142" t="s">
        <v>3959</v>
      </c>
      <c r="Y1111" s="143"/>
      <c r="Z1111" s="143"/>
      <c r="AA1111" s="143"/>
      <c r="AB1111" s="144"/>
      <c r="AC1111" s="16" t="s">
        <v>21</v>
      </c>
      <c r="AD1111" s="17" t="s">
        <v>2508</v>
      </c>
      <c r="AE1111" s="145" t="s">
        <v>3624</v>
      </c>
      <c r="AF1111" s="146"/>
      <c r="AG1111" s="146"/>
      <c r="AH1111" s="146"/>
      <c r="AI1111" s="147"/>
      <c r="AJ1111" s="148"/>
      <c r="AK1111" s="143"/>
      <c r="AL1111" s="144"/>
      <c r="AM1111" s="22"/>
      <c r="AN1111" s="149" t="s">
        <v>2511</v>
      </c>
      <c r="AO1111" s="144"/>
      <c r="AP1111" s="148">
        <v>60254</v>
      </c>
      <c r="AQ1111" s="144"/>
      <c r="AR1111" s="120"/>
      <c r="AS1111" s="121"/>
      <c r="AT1111" s="120"/>
      <c r="AU1111" s="121"/>
      <c r="AV1111" s="120"/>
      <c r="AW1111" s="121"/>
      <c r="AX1111" s="120"/>
      <c r="AY1111" s="121"/>
      <c r="AZ1111" s="138"/>
    </row>
    <row r="1112" spans="1:52" ht="17.100000000000001" customHeight="1" thickTop="1">
      <c r="A1112" s="109" t="s">
        <v>6293</v>
      </c>
      <c r="B1112" s="28">
        <v>45835</v>
      </c>
      <c r="C1112" s="25">
        <v>2204</v>
      </c>
      <c r="D1112" s="13" t="s">
        <v>1929</v>
      </c>
      <c r="E1112" s="111"/>
      <c r="F1112" s="113" t="s">
        <v>3960</v>
      </c>
      <c r="G1112" s="114"/>
      <c r="H1112" s="115"/>
      <c r="I1112" s="24" t="s">
        <v>3642</v>
      </c>
      <c r="J1112" s="116">
        <v>4</v>
      </c>
      <c r="K1112" s="118">
        <v>1237000</v>
      </c>
      <c r="L1112" s="119"/>
      <c r="M1112" s="118">
        <f>K1112*0.1</f>
        <v>123700</v>
      </c>
      <c r="N1112" s="119"/>
      <c r="O1112" s="118">
        <v>38200</v>
      </c>
      <c r="P1112" s="119"/>
      <c r="Q1112" s="118">
        <v>17770</v>
      </c>
      <c r="R1112" s="119"/>
      <c r="S1112" s="118">
        <v>13750</v>
      </c>
      <c r="T1112" s="119"/>
      <c r="U1112" s="118">
        <f>SUM(K1112:T1113)</f>
        <v>1430420</v>
      </c>
      <c r="V1112" s="122"/>
      <c r="W1112" s="124"/>
      <c r="X1112" s="126" t="s">
        <v>3961</v>
      </c>
      <c r="Y1112" s="127"/>
      <c r="Z1112" s="127"/>
      <c r="AA1112" s="127"/>
      <c r="AB1112" s="128"/>
      <c r="AC1112" s="15" t="s">
        <v>20</v>
      </c>
      <c r="AD1112" s="129" t="s">
        <v>3828</v>
      </c>
      <c r="AE1112" s="130"/>
      <c r="AF1112" s="130"/>
      <c r="AG1112" s="130"/>
      <c r="AH1112" s="130"/>
      <c r="AI1112" s="131"/>
      <c r="AJ1112" s="132"/>
      <c r="AK1112" s="127"/>
      <c r="AL1112" s="128"/>
      <c r="AM1112" s="21"/>
      <c r="AN1112" s="133"/>
      <c r="AO1112" s="134"/>
      <c r="AP1112" s="135"/>
      <c r="AQ1112" s="136"/>
      <c r="AR1112" s="118"/>
      <c r="AS1112" s="119"/>
      <c r="AT1112" s="118">
        <f>AR1112*0.1</f>
        <v>0</v>
      </c>
      <c r="AU1112" s="119"/>
      <c r="AV1112" s="118"/>
      <c r="AW1112" s="119"/>
      <c r="AX1112" s="118">
        <f>SUM(AR1112:AW1112)</f>
        <v>0</v>
      </c>
      <c r="AY1112" s="119"/>
      <c r="AZ1112" s="137"/>
    </row>
    <row r="1113" spans="1:52" ht="17.100000000000001" customHeight="1" thickBot="1">
      <c r="A1113" s="110"/>
      <c r="B1113" s="27" t="s">
        <v>2438</v>
      </c>
      <c r="C1113" s="27">
        <v>35</v>
      </c>
      <c r="D1113" s="14" t="s">
        <v>275</v>
      </c>
      <c r="E1113" s="112"/>
      <c r="F1113" s="139" t="s">
        <v>3962</v>
      </c>
      <c r="G1113" s="140"/>
      <c r="H1113" s="141"/>
      <c r="I1113" s="26">
        <v>49813</v>
      </c>
      <c r="J1113" s="117"/>
      <c r="K1113" s="120"/>
      <c r="L1113" s="121"/>
      <c r="M1113" s="120"/>
      <c r="N1113" s="121"/>
      <c r="O1113" s="120"/>
      <c r="P1113" s="121"/>
      <c r="Q1113" s="120"/>
      <c r="R1113" s="121"/>
      <c r="S1113" s="120"/>
      <c r="T1113" s="121"/>
      <c r="U1113" s="120"/>
      <c r="V1113" s="123"/>
      <c r="W1113" s="125"/>
      <c r="X1113" s="142" t="s">
        <v>3963</v>
      </c>
      <c r="Y1113" s="143"/>
      <c r="Z1113" s="143"/>
      <c r="AA1113" s="143"/>
      <c r="AB1113" s="144"/>
      <c r="AC1113" s="16" t="s">
        <v>21</v>
      </c>
      <c r="AD1113" s="17" t="s">
        <v>2838</v>
      </c>
      <c r="AE1113" s="145" t="s">
        <v>2360</v>
      </c>
      <c r="AF1113" s="146"/>
      <c r="AG1113" s="146"/>
      <c r="AH1113" s="146"/>
      <c r="AI1113" s="147"/>
      <c r="AJ1113" s="148"/>
      <c r="AK1113" s="143"/>
      <c r="AL1113" s="144"/>
      <c r="AM1113" s="22" t="s">
        <v>3483</v>
      </c>
      <c r="AN1113" s="149"/>
      <c r="AO1113" s="144"/>
      <c r="AP1113" s="148"/>
      <c r="AQ1113" s="144"/>
      <c r="AR1113" s="120"/>
      <c r="AS1113" s="121"/>
      <c r="AT1113" s="120"/>
      <c r="AU1113" s="121"/>
      <c r="AV1113" s="120"/>
      <c r="AW1113" s="121"/>
      <c r="AX1113" s="120"/>
      <c r="AY1113" s="121"/>
      <c r="AZ1113" s="138"/>
    </row>
    <row r="1114" spans="1:52" ht="17.100000000000001" customHeight="1" thickTop="1">
      <c r="A1114" s="109" t="s">
        <v>6294</v>
      </c>
      <c r="B1114" s="28">
        <v>45841</v>
      </c>
      <c r="C1114" s="25">
        <v>1523</v>
      </c>
      <c r="D1114" s="13" t="s">
        <v>818</v>
      </c>
      <c r="E1114" s="111"/>
      <c r="F1114" s="113" t="s">
        <v>3964</v>
      </c>
      <c r="G1114" s="114"/>
      <c r="H1114" s="115"/>
      <c r="I1114" s="24" t="s">
        <v>1559</v>
      </c>
      <c r="J1114" s="116">
        <v>4.5</v>
      </c>
      <c r="K1114" s="118">
        <v>2270000</v>
      </c>
      <c r="L1114" s="119"/>
      <c r="M1114" s="118">
        <f>K1114*0.1</f>
        <v>227000</v>
      </c>
      <c r="N1114" s="119"/>
      <c r="O1114" s="118">
        <f>24000+2400</f>
        <v>26400</v>
      </c>
      <c r="P1114" s="119"/>
      <c r="Q1114" s="118">
        <v>21580</v>
      </c>
      <c r="R1114" s="119"/>
      <c r="S1114" s="118">
        <v>16500</v>
      </c>
      <c r="T1114" s="119"/>
      <c r="U1114" s="118">
        <f>SUM(K1114:T1115)</f>
        <v>2561480</v>
      </c>
      <c r="V1114" s="122"/>
      <c r="W1114" s="124"/>
      <c r="X1114" s="126" t="s">
        <v>3965</v>
      </c>
      <c r="Y1114" s="127"/>
      <c r="Z1114" s="127"/>
      <c r="AA1114" s="127"/>
      <c r="AB1114" s="128"/>
      <c r="AC1114" s="15" t="s">
        <v>20</v>
      </c>
      <c r="AD1114" s="129" t="s">
        <v>1633</v>
      </c>
      <c r="AE1114" s="130"/>
      <c r="AF1114" s="130"/>
      <c r="AG1114" s="130"/>
      <c r="AH1114" s="130"/>
      <c r="AI1114" s="131"/>
      <c r="AJ1114" s="132"/>
      <c r="AK1114" s="127"/>
      <c r="AL1114" s="128"/>
      <c r="AM1114" s="21" t="s">
        <v>3966</v>
      </c>
      <c r="AN1114" s="133"/>
      <c r="AO1114" s="134"/>
      <c r="AP1114" s="135"/>
      <c r="AQ1114" s="136"/>
      <c r="AR1114" s="118"/>
      <c r="AS1114" s="119"/>
      <c r="AT1114" s="118">
        <f>AR1114*0.1</f>
        <v>0</v>
      </c>
      <c r="AU1114" s="119"/>
      <c r="AV1114" s="118"/>
      <c r="AW1114" s="119"/>
      <c r="AX1114" s="118">
        <f>SUM(AR1114:AW1114)</f>
        <v>0</v>
      </c>
      <c r="AY1114" s="119"/>
      <c r="AZ1114" s="137"/>
    </row>
    <row r="1115" spans="1:52" ht="17.100000000000001" customHeight="1" thickBot="1">
      <c r="A1115" s="110"/>
      <c r="B1115" s="27" t="s">
        <v>1600</v>
      </c>
      <c r="C1115" s="27">
        <v>75721</v>
      </c>
      <c r="D1115" s="14" t="s">
        <v>275</v>
      </c>
      <c r="E1115" s="112"/>
      <c r="F1115" s="139" t="s">
        <v>3967</v>
      </c>
      <c r="G1115" s="140"/>
      <c r="H1115" s="141"/>
      <c r="I1115" s="26">
        <v>29280</v>
      </c>
      <c r="J1115" s="117"/>
      <c r="K1115" s="120"/>
      <c r="L1115" s="121"/>
      <c r="M1115" s="120"/>
      <c r="N1115" s="121"/>
      <c r="O1115" s="120"/>
      <c r="P1115" s="121"/>
      <c r="Q1115" s="120"/>
      <c r="R1115" s="121"/>
      <c r="S1115" s="120"/>
      <c r="T1115" s="121"/>
      <c r="U1115" s="120"/>
      <c r="V1115" s="123"/>
      <c r="W1115" s="125"/>
      <c r="X1115" s="142" t="s">
        <v>3968</v>
      </c>
      <c r="Y1115" s="143"/>
      <c r="Z1115" s="143"/>
      <c r="AA1115" s="143"/>
      <c r="AB1115" s="144"/>
      <c r="AC1115" s="16" t="s">
        <v>21</v>
      </c>
      <c r="AD1115" s="17" t="s">
        <v>3003</v>
      </c>
      <c r="AE1115" s="145" t="s">
        <v>1742</v>
      </c>
      <c r="AF1115" s="146"/>
      <c r="AG1115" s="146"/>
      <c r="AH1115" s="146"/>
      <c r="AI1115" s="147"/>
      <c r="AJ1115" s="148"/>
      <c r="AK1115" s="143"/>
      <c r="AL1115" s="144"/>
      <c r="AM1115" s="22"/>
      <c r="AN1115" s="149"/>
      <c r="AO1115" s="144"/>
      <c r="AP1115" s="148"/>
      <c r="AQ1115" s="144"/>
      <c r="AR1115" s="120"/>
      <c r="AS1115" s="121"/>
      <c r="AT1115" s="120"/>
      <c r="AU1115" s="121"/>
      <c r="AV1115" s="120"/>
      <c r="AW1115" s="121"/>
      <c r="AX1115" s="120"/>
      <c r="AY1115" s="121"/>
      <c r="AZ1115" s="138"/>
    </row>
    <row r="1116" spans="1:52" ht="17.100000000000001" customHeight="1" thickTop="1">
      <c r="A1116" s="109" t="s">
        <v>6295</v>
      </c>
      <c r="B1116" s="28">
        <v>45843</v>
      </c>
      <c r="C1116" s="25">
        <v>1258</v>
      </c>
      <c r="D1116" s="13" t="s">
        <v>1712</v>
      </c>
      <c r="E1116" s="111"/>
      <c r="F1116" s="113" t="s">
        <v>3447</v>
      </c>
      <c r="G1116" s="114"/>
      <c r="H1116" s="115"/>
      <c r="I1116" s="24" t="s">
        <v>3969</v>
      </c>
      <c r="J1116" s="116">
        <v>4.5</v>
      </c>
      <c r="K1116" s="118">
        <v>1310000</v>
      </c>
      <c r="L1116" s="119"/>
      <c r="M1116" s="118">
        <f>K1116*0.1</f>
        <v>131000</v>
      </c>
      <c r="N1116" s="119"/>
      <c r="O1116" s="118">
        <f>34000+3400</f>
        <v>37400</v>
      </c>
      <c r="P1116" s="119"/>
      <c r="Q1116" s="118">
        <v>21300</v>
      </c>
      <c r="R1116" s="119"/>
      <c r="S1116" s="118">
        <v>16500</v>
      </c>
      <c r="T1116" s="119"/>
      <c r="U1116" s="118">
        <f>SUM(K1116:T1117)</f>
        <v>1516200</v>
      </c>
      <c r="V1116" s="122"/>
      <c r="W1116" s="124"/>
      <c r="X1116" s="126" t="s">
        <v>3970</v>
      </c>
      <c r="Y1116" s="127"/>
      <c r="Z1116" s="127"/>
      <c r="AA1116" s="127"/>
      <c r="AB1116" s="128"/>
      <c r="AC1116" s="15" t="s">
        <v>20</v>
      </c>
      <c r="AD1116" s="129" t="s">
        <v>1670</v>
      </c>
      <c r="AE1116" s="130"/>
      <c r="AF1116" s="130"/>
      <c r="AG1116" s="130"/>
      <c r="AH1116" s="130"/>
      <c r="AI1116" s="131"/>
      <c r="AJ1116" s="132"/>
      <c r="AK1116" s="127"/>
      <c r="AL1116" s="128"/>
      <c r="AM1116" s="21"/>
      <c r="AN1116" s="133"/>
      <c r="AO1116" s="134"/>
      <c r="AP1116" s="135"/>
      <c r="AQ1116" s="136"/>
      <c r="AR1116" s="118"/>
      <c r="AS1116" s="119"/>
      <c r="AT1116" s="118">
        <f>AR1116*0.1</f>
        <v>0</v>
      </c>
      <c r="AU1116" s="119"/>
      <c r="AV1116" s="118"/>
      <c r="AW1116" s="119"/>
      <c r="AX1116" s="118">
        <f>SUM(AR1116:AW1116)</f>
        <v>0</v>
      </c>
      <c r="AY1116" s="119"/>
      <c r="AZ1116" s="137"/>
    </row>
    <row r="1117" spans="1:52" ht="17.100000000000001" customHeight="1" thickBot="1">
      <c r="A1117" s="110"/>
      <c r="B1117" s="27" t="s">
        <v>2511</v>
      </c>
      <c r="C1117" s="27">
        <v>82003</v>
      </c>
      <c r="D1117" s="14" t="s">
        <v>1576</v>
      </c>
      <c r="E1117" s="112"/>
      <c r="F1117" s="139" t="s">
        <v>3971</v>
      </c>
      <c r="G1117" s="140"/>
      <c r="H1117" s="141"/>
      <c r="I1117" s="26">
        <v>37141</v>
      </c>
      <c r="J1117" s="117"/>
      <c r="K1117" s="120"/>
      <c r="L1117" s="121"/>
      <c r="M1117" s="120"/>
      <c r="N1117" s="121"/>
      <c r="O1117" s="120"/>
      <c r="P1117" s="121"/>
      <c r="Q1117" s="120"/>
      <c r="R1117" s="121"/>
      <c r="S1117" s="120"/>
      <c r="T1117" s="121"/>
      <c r="U1117" s="120"/>
      <c r="V1117" s="123"/>
      <c r="W1117" s="125"/>
      <c r="X1117" s="142" t="s">
        <v>3410</v>
      </c>
      <c r="Y1117" s="143"/>
      <c r="Z1117" s="143"/>
      <c r="AA1117" s="143"/>
      <c r="AB1117" s="144"/>
      <c r="AC1117" s="16" t="s">
        <v>21</v>
      </c>
      <c r="AD1117" s="17" t="s">
        <v>2858</v>
      </c>
      <c r="AE1117" s="145" t="s">
        <v>3972</v>
      </c>
      <c r="AF1117" s="146"/>
      <c r="AG1117" s="146"/>
      <c r="AH1117" s="146"/>
      <c r="AI1117" s="147"/>
      <c r="AJ1117" s="148"/>
      <c r="AK1117" s="143"/>
      <c r="AL1117" s="144"/>
      <c r="AM1117" s="22" t="s">
        <v>108</v>
      </c>
      <c r="AN1117" s="149"/>
      <c r="AO1117" s="144"/>
      <c r="AP1117" s="148"/>
      <c r="AQ1117" s="144"/>
      <c r="AR1117" s="120"/>
      <c r="AS1117" s="121"/>
      <c r="AT1117" s="120"/>
      <c r="AU1117" s="121"/>
      <c r="AV1117" s="120"/>
      <c r="AW1117" s="121"/>
      <c r="AX1117" s="120"/>
      <c r="AY1117" s="121"/>
      <c r="AZ1117" s="138"/>
    </row>
    <row r="1118" spans="1:52" ht="17.100000000000001" customHeight="1" thickTop="1">
      <c r="A1118" s="109" t="s">
        <v>6296</v>
      </c>
      <c r="B1118" s="28">
        <v>45845</v>
      </c>
      <c r="C1118" s="25"/>
      <c r="D1118" s="13" t="s">
        <v>2970</v>
      </c>
      <c r="E1118" s="111"/>
      <c r="F1118" s="113" t="s">
        <v>3973</v>
      </c>
      <c r="G1118" s="114"/>
      <c r="H1118" s="115"/>
      <c r="I1118" s="24" t="s">
        <v>3974</v>
      </c>
      <c r="J1118" s="150" t="s">
        <v>1715</v>
      </c>
      <c r="K1118" s="118">
        <f>1595000/1.1</f>
        <v>1449999.9999999998</v>
      </c>
      <c r="L1118" s="119"/>
      <c r="M1118" s="118">
        <f>K1118*0.1</f>
        <v>144999.99999999997</v>
      </c>
      <c r="N1118" s="119"/>
      <c r="O1118" s="118">
        <v>21000</v>
      </c>
      <c r="P1118" s="119"/>
      <c r="Q1118" s="118">
        <v>12470</v>
      </c>
      <c r="R1118" s="119"/>
      <c r="S1118" s="118">
        <v>94875</v>
      </c>
      <c r="T1118" s="119"/>
      <c r="U1118" s="118">
        <f>SUM(K1118:T1119)</f>
        <v>1723344.9999999998</v>
      </c>
      <c r="V1118" s="122"/>
      <c r="W1118" s="124"/>
      <c r="X1118" s="126" t="s">
        <v>3975</v>
      </c>
      <c r="Y1118" s="127"/>
      <c r="Z1118" s="127"/>
      <c r="AA1118" s="127"/>
      <c r="AB1118" s="128"/>
      <c r="AC1118" s="15" t="s">
        <v>20</v>
      </c>
      <c r="AD1118" s="129" t="s">
        <v>1945</v>
      </c>
      <c r="AE1118" s="130"/>
      <c r="AF1118" s="130"/>
      <c r="AG1118" s="130"/>
      <c r="AH1118" s="130"/>
      <c r="AI1118" s="131"/>
      <c r="AJ1118" s="132" t="s">
        <v>3976</v>
      </c>
      <c r="AK1118" s="127"/>
      <c r="AL1118" s="128"/>
      <c r="AM1118" s="21" t="s">
        <v>7548</v>
      </c>
      <c r="AN1118" s="133">
        <v>45948</v>
      </c>
      <c r="AO1118" s="134"/>
      <c r="AP1118" s="135">
        <v>1272</v>
      </c>
      <c r="AQ1118" s="136"/>
      <c r="AR1118" s="118">
        <v>1645000</v>
      </c>
      <c r="AS1118" s="119"/>
      <c r="AT1118" s="118">
        <f>AR1118*0.1</f>
        <v>164500</v>
      </c>
      <c r="AU1118" s="119"/>
      <c r="AV1118" s="118">
        <v>12470</v>
      </c>
      <c r="AW1118" s="119"/>
      <c r="AX1118" s="118">
        <f>SUM(AR1118:AW1118)</f>
        <v>1821970</v>
      </c>
      <c r="AY1118" s="119"/>
      <c r="AZ1118" s="137">
        <v>45951</v>
      </c>
    </row>
    <row r="1119" spans="1:52" ht="17.100000000000001" customHeight="1" thickBot="1">
      <c r="A1119" s="110"/>
      <c r="B1119" s="27" t="s">
        <v>1718</v>
      </c>
      <c r="C1119" s="27" t="s">
        <v>3977</v>
      </c>
      <c r="D1119" s="14" t="s">
        <v>1592</v>
      </c>
      <c r="E1119" s="112"/>
      <c r="F1119" s="139" t="s">
        <v>3978</v>
      </c>
      <c r="G1119" s="140"/>
      <c r="H1119" s="141"/>
      <c r="I1119" s="26">
        <v>42927</v>
      </c>
      <c r="J1119" s="117"/>
      <c r="K1119" s="120"/>
      <c r="L1119" s="121"/>
      <c r="M1119" s="120"/>
      <c r="N1119" s="121"/>
      <c r="O1119" s="120"/>
      <c r="P1119" s="121"/>
      <c r="Q1119" s="120"/>
      <c r="R1119" s="121"/>
      <c r="S1119" s="120"/>
      <c r="T1119" s="121"/>
      <c r="U1119" s="120"/>
      <c r="V1119" s="123"/>
      <c r="W1119" s="125"/>
      <c r="X1119" s="142" t="s">
        <v>3979</v>
      </c>
      <c r="Y1119" s="143"/>
      <c r="Z1119" s="143"/>
      <c r="AA1119" s="143"/>
      <c r="AB1119" s="144"/>
      <c r="AC1119" s="16" t="s">
        <v>21</v>
      </c>
      <c r="AD1119" s="17" t="s">
        <v>3980</v>
      </c>
      <c r="AE1119" s="145" t="s">
        <v>3981</v>
      </c>
      <c r="AF1119" s="146"/>
      <c r="AG1119" s="146"/>
      <c r="AH1119" s="146"/>
      <c r="AI1119" s="147"/>
      <c r="AJ1119" s="148" t="s">
        <v>3982</v>
      </c>
      <c r="AK1119" s="143"/>
      <c r="AL1119" s="144"/>
      <c r="AM1119" s="22"/>
      <c r="AN1119" s="149" t="s">
        <v>2511</v>
      </c>
      <c r="AO1119" s="144"/>
      <c r="AP1119" s="148">
        <v>50143</v>
      </c>
      <c r="AQ1119" s="144"/>
      <c r="AR1119" s="120"/>
      <c r="AS1119" s="121"/>
      <c r="AT1119" s="120"/>
      <c r="AU1119" s="121"/>
      <c r="AV1119" s="120"/>
      <c r="AW1119" s="121"/>
      <c r="AX1119" s="120"/>
      <c r="AY1119" s="121"/>
      <c r="AZ1119" s="138"/>
    </row>
    <row r="1120" spans="1:52" ht="17.100000000000001" customHeight="1" thickTop="1">
      <c r="A1120" s="109" t="s">
        <v>6297</v>
      </c>
      <c r="B1120" s="28">
        <v>45848</v>
      </c>
      <c r="C1120" s="25">
        <v>2117</v>
      </c>
      <c r="D1120" s="13" t="s">
        <v>2329</v>
      </c>
      <c r="E1120" s="111"/>
      <c r="F1120" s="113" t="s">
        <v>3983</v>
      </c>
      <c r="G1120" s="114"/>
      <c r="H1120" s="115"/>
      <c r="I1120" s="24"/>
      <c r="J1120" s="116">
        <v>4</v>
      </c>
      <c r="K1120" s="118">
        <v>520000</v>
      </c>
      <c r="L1120" s="119"/>
      <c r="M1120" s="118">
        <f>K1120*0.1</f>
        <v>52000</v>
      </c>
      <c r="N1120" s="119"/>
      <c r="O1120" s="118">
        <v>0</v>
      </c>
      <c r="P1120" s="119"/>
      <c r="Q1120" s="118">
        <v>0</v>
      </c>
      <c r="R1120" s="119"/>
      <c r="S1120" s="118">
        <v>13750</v>
      </c>
      <c r="T1120" s="119"/>
      <c r="U1120" s="118">
        <f>SUM(K1120:T1121)</f>
        <v>585750</v>
      </c>
      <c r="V1120" s="122"/>
      <c r="W1120" s="124"/>
      <c r="X1120" s="126" t="s">
        <v>3984</v>
      </c>
      <c r="Y1120" s="127"/>
      <c r="Z1120" s="127"/>
      <c r="AA1120" s="127"/>
      <c r="AB1120" s="128"/>
      <c r="AC1120" s="15" t="s">
        <v>20</v>
      </c>
      <c r="AD1120" s="129" t="s">
        <v>1797</v>
      </c>
      <c r="AE1120" s="130"/>
      <c r="AF1120" s="130"/>
      <c r="AG1120" s="130"/>
      <c r="AH1120" s="130"/>
      <c r="AI1120" s="131"/>
      <c r="AJ1120" s="132"/>
      <c r="AK1120" s="127"/>
      <c r="AL1120" s="128"/>
      <c r="AM1120" s="21"/>
      <c r="AN1120" s="133">
        <v>45941</v>
      </c>
      <c r="AO1120" s="134"/>
      <c r="AP1120" s="135">
        <v>1271</v>
      </c>
      <c r="AQ1120" s="136"/>
      <c r="AR1120" s="118">
        <v>510000</v>
      </c>
      <c r="AS1120" s="119"/>
      <c r="AT1120" s="118">
        <f>AR1120*0.1</f>
        <v>51000</v>
      </c>
      <c r="AU1120" s="119"/>
      <c r="AV1120" s="118">
        <v>7510</v>
      </c>
      <c r="AW1120" s="119"/>
      <c r="AX1120" s="118">
        <f>SUM(AR1120:AW1120)</f>
        <v>568510</v>
      </c>
      <c r="AY1120" s="119"/>
      <c r="AZ1120" s="137">
        <v>45945</v>
      </c>
    </row>
    <row r="1121" spans="1:52" ht="17.100000000000001" customHeight="1" thickBot="1">
      <c r="A1121" s="110"/>
      <c r="B1121" s="27" t="s">
        <v>3281</v>
      </c>
      <c r="C1121" s="27">
        <v>2031</v>
      </c>
      <c r="D1121" s="14" t="s">
        <v>1592</v>
      </c>
      <c r="E1121" s="112"/>
      <c r="F1121" s="139" t="s">
        <v>3985</v>
      </c>
      <c r="G1121" s="140"/>
      <c r="H1121" s="141"/>
      <c r="I1121" s="26">
        <v>53557</v>
      </c>
      <c r="J1121" s="117"/>
      <c r="K1121" s="120"/>
      <c r="L1121" s="121"/>
      <c r="M1121" s="120"/>
      <c r="N1121" s="121"/>
      <c r="O1121" s="120"/>
      <c r="P1121" s="121"/>
      <c r="Q1121" s="120"/>
      <c r="R1121" s="121"/>
      <c r="S1121" s="120"/>
      <c r="T1121" s="121"/>
      <c r="U1121" s="120"/>
      <c r="V1121" s="123"/>
      <c r="W1121" s="125"/>
      <c r="X1121" s="142" t="s">
        <v>3986</v>
      </c>
      <c r="Y1121" s="143"/>
      <c r="Z1121" s="143"/>
      <c r="AA1121" s="143"/>
      <c r="AB1121" s="144"/>
      <c r="AC1121" s="16" t="s">
        <v>21</v>
      </c>
      <c r="AD1121" s="17" t="s">
        <v>3987</v>
      </c>
      <c r="AE1121" s="145" t="s">
        <v>3988</v>
      </c>
      <c r="AF1121" s="146"/>
      <c r="AG1121" s="146"/>
      <c r="AH1121" s="146"/>
      <c r="AI1121" s="147"/>
      <c r="AJ1121" s="148"/>
      <c r="AK1121" s="143"/>
      <c r="AL1121" s="144"/>
      <c r="AM1121" s="22"/>
      <c r="AN1121" s="149" t="s">
        <v>2511</v>
      </c>
      <c r="AO1121" s="144"/>
      <c r="AP1121" s="148">
        <v>60266</v>
      </c>
      <c r="AQ1121" s="144"/>
      <c r="AR1121" s="120"/>
      <c r="AS1121" s="121"/>
      <c r="AT1121" s="120"/>
      <c r="AU1121" s="121"/>
      <c r="AV1121" s="120"/>
      <c r="AW1121" s="121"/>
      <c r="AX1121" s="120"/>
      <c r="AY1121" s="121"/>
      <c r="AZ1121" s="138"/>
    </row>
    <row r="1122" spans="1:52" ht="17.100000000000001" customHeight="1" thickTop="1">
      <c r="A1122" s="109" t="s">
        <v>6298</v>
      </c>
      <c r="B1122" s="28">
        <v>45849</v>
      </c>
      <c r="C1122" s="25">
        <v>2093</v>
      </c>
      <c r="D1122" s="13" t="s">
        <v>2970</v>
      </c>
      <c r="E1122" s="111"/>
      <c r="F1122" s="113" t="s">
        <v>3989</v>
      </c>
      <c r="G1122" s="114"/>
      <c r="H1122" s="115"/>
      <c r="I1122" s="24" t="s">
        <v>3990</v>
      </c>
      <c r="J1122" s="116">
        <v>4.5</v>
      </c>
      <c r="K1122" s="118">
        <v>1120000</v>
      </c>
      <c r="L1122" s="119"/>
      <c r="M1122" s="118">
        <f>K1122*0.1</f>
        <v>112000</v>
      </c>
      <c r="N1122" s="119"/>
      <c r="O1122" s="118">
        <f>20300+2030</f>
        <v>22330</v>
      </c>
      <c r="P1122" s="119"/>
      <c r="Q1122" s="118">
        <v>12270</v>
      </c>
      <c r="R1122" s="119"/>
      <c r="S1122" s="118">
        <v>16500</v>
      </c>
      <c r="T1122" s="119"/>
      <c r="U1122" s="118">
        <f>SUM(K1122:T1123)</f>
        <v>1283100</v>
      </c>
      <c r="V1122" s="122"/>
      <c r="W1122" s="124"/>
      <c r="X1122" s="126" t="s">
        <v>3991</v>
      </c>
      <c r="Y1122" s="127"/>
      <c r="Z1122" s="127"/>
      <c r="AA1122" s="127"/>
      <c r="AB1122" s="128"/>
      <c r="AC1122" s="15" t="s">
        <v>20</v>
      </c>
      <c r="AD1122" s="129" t="s">
        <v>1633</v>
      </c>
      <c r="AE1122" s="130"/>
      <c r="AF1122" s="130"/>
      <c r="AG1122" s="130"/>
      <c r="AH1122" s="130"/>
      <c r="AI1122" s="131"/>
      <c r="AJ1122" s="132" t="s">
        <v>3992</v>
      </c>
      <c r="AK1122" s="127"/>
      <c r="AL1122" s="128"/>
      <c r="AM1122" s="21" t="s">
        <v>3993</v>
      </c>
      <c r="AN1122" s="133">
        <v>45927</v>
      </c>
      <c r="AO1122" s="134"/>
      <c r="AP1122" s="135">
        <v>1269</v>
      </c>
      <c r="AQ1122" s="136"/>
      <c r="AR1122" s="118">
        <v>1200000</v>
      </c>
      <c r="AS1122" s="119"/>
      <c r="AT1122" s="118">
        <f>AR1122*0.1</f>
        <v>120000</v>
      </c>
      <c r="AU1122" s="119"/>
      <c r="AV1122" s="118">
        <v>12270</v>
      </c>
      <c r="AW1122" s="119"/>
      <c r="AX1122" s="118">
        <f>SUM(AR1122:AW1122)</f>
        <v>1332270</v>
      </c>
      <c r="AY1122" s="119"/>
      <c r="AZ1122" s="137">
        <v>45937</v>
      </c>
    </row>
    <row r="1123" spans="1:52" ht="17.100000000000001" customHeight="1" thickBot="1">
      <c r="A1123" s="110"/>
      <c r="B1123" s="27" t="s">
        <v>1543</v>
      </c>
      <c r="C1123" s="27">
        <v>58233</v>
      </c>
      <c r="D1123" s="14" t="s">
        <v>1556</v>
      </c>
      <c r="E1123" s="112"/>
      <c r="F1123" s="139" t="s">
        <v>3994</v>
      </c>
      <c r="G1123" s="140"/>
      <c r="H1123" s="141"/>
      <c r="I1123" s="26">
        <v>31188</v>
      </c>
      <c r="J1123" s="117"/>
      <c r="K1123" s="120"/>
      <c r="L1123" s="121"/>
      <c r="M1123" s="120"/>
      <c r="N1123" s="121"/>
      <c r="O1123" s="120"/>
      <c r="P1123" s="121"/>
      <c r="Q1123" s="120"/>
      <c r="R1123" s="121"/>
      <c r="S1123" s="120"/>
      <c r="T1123" s="121"/>
      <c r="U1123" s="120"/>
      <c r="V1123" s="123"/>
      <c r="W1123" s="125"/>
      <c r="X1123" s="142" t="s">
        <v>1997</v>
      </c>
      <c r="Y1123" s="143"/>
      <c r="Z1123" s="143"/>
      <c r="AA1123" s="143"/>
      <c r="AB1123" s="144"/>
      <c r="AC1123" s="16" t="s">
        <v>21</v>
      </c>
      <c r="AD1123" s="17" t="s">
        <v>3995</v>
      </c>
      <c r="AE1123" s="145" t="s">
        <v>3996</v>
      </c>
      <c r="AF1123" s="146"/>
      <c r="AG1123" s="146"/>
      <c r="AH1123" s="146"/>
      <c r="AI1123" s="147"/>
      <c r="AJ1123" s="148"/>
      <c r="AK1123" s="143"/>
      <c r="AL1123" s="144"/>
      <c r="AM1123" s="22"/>
      <c r="AN1123" s="149" t="s">
        <v>6749</v>
      </c>
      <c r="AO1123" s="144"/>
      <c r="AP1123" s="148">
        <v>80060</v>
      </c>
      <c r="AQ1123" s="144"/>
      <c r="AR1123" s="120"/>
      <c r="AS1123" s="121"/>
      <c r="AT1123" s="120"/>
      <c r="AU1123" s="121"/>
      <c r="AV1123" s="120"/>
      <c r="AW1123" s="121"/>
      <c r="AX1123" s="120"/>
      <c r="AY1123" s="121"/>
      <c r="AZ1123" s="138"/>
    </row>
    <row r="1124" spans="1:52" ht="17.100000000000001" customHeight="1" thickTop="1">
      <c r="A1124" s="109" t="s">
        <v>6299</v>
      </c>
      <c r="B1124" s="28">
        <v>45849</v>
      </c>
      <c r="C1124" s="25"/>
      <c r="D1124" s="13" t="s">
        <v>1863</v>
      </c>
      <c r="E1124" s="111"/>
      <c r="F1124" s="113" t="s">
        <v>3997</v>
      </c>
      <c r="G1124" s="114"/>
      <c r="H1124" s="115"/>
      <c r="I1124" s="24" t="s">
        <v>3998</v>
      </c>
      <c r="J1124" s="116">
        <v>4.5</v>
      </c>
      <c r="K1124" s="118">
        <f>687500/1.1</f>
        <v>625000</v>
      </c>
      <c r="L1124" s="119"/>
      <c r="M1124" s="118">
        <f>K1124*0.1</f>
        <v>62500</v>
      </c>
      <c r="N1124" s="119"/>
      <c r="O1124" s="118">
        <v>0</v>
      </c>
      <c r="P1124" s="119"/>
      <c r="Q1124" s="118">
        <v>8230</v>
      </c>
      <c r="R1124" s="119"/>
      <c r="S1124" s="118">
        <v>62237</v>
      </c>
      <c r="T1124" s="119"/>
      <c r="U1124" s="118">
        <f>SUM(K1124:T1125)</f>
        <v>757967</v>
      </c>
      <c r="V1124" s="122"/>
      <c r="W1124" s="124"/>
      <c r="X1124" s="126" t="s">
        <v>3999</v>
      </c>
      <c r="Y1124" s="127"/>
      <c r="Z1124" s="127"/>
      <c r="AA1124" s="127"/>
      <c r="AB1124" s="128"/>
      <c r="AC1124" s="15" t="s">
        <v>20</v>
      </c>
      <c r="AD1124" s="129" t="s">
        <v>1581</v>
      </c>
      <c r="AE1124" s="130"/>
      <c r="AF1124" s="130"/>
      <c r="AG1124" s="130"/>
      <c r="AH1124" s="130"/>
      <c r="AI1124" s="131"/>
      <c r="AJ1124" s="132"/>
      <c r="AK1124" s="127"/>
      <c r="AL1124" s="128"/>
      <c r="AM1124" s="21" t="s">
        <v>6946</v>
      </c>
      <c r="AN1124" s="133">
        <v>45937</v>
      </c>
      <c r="AO1124" s="134"/>
      <c r="AP1124" s="135">
        <v>1912</v>
      </c>
      <c r="AQ1124" s="136"/>
      <c r="AR1124" s="118">
        <v>746000</v>
      </c>
      <c r="AS1124" s="119"/>
      <c r="AT1124" s="118">
        <f>AR1124*0.1</f>
        <v>74600</v>
      </c>
      <c r="AU1124" s="119"/>
      <c r="AV1124" s="118">
        <v>8230</v>
      </c>
      <c r="AW1124" s="119"/>
      <c r="AX1124" s="118">
        <f>SUM(AR1124:AW1124)</f>
        <v>828830</v>
      </c>
      <c r="AY1124" s="119"/>
      <c r="AZ1124" s="137"/>
    </row>
    <row r="1125" spans="1:52" ht="17.100000000000001" customHeight="1" thickBot="1">
      <c r="A1125" s="110"/>
      <c r="B1125" s="27" t="s">
        <v>1718</v>
      </c>
      <c r="C1125" s="27" t="s">
        <v>4000</v>
      </c>
      <c r="D1125" s="14" t="s">
        <v>275</v>
      </c>
      <c r="E1125" s="112"/>
      <c r="F1125" s="139" t="s">
        <v>4001</v>
      </c>
      <c r="G1125" s="140"/>
      <c r="H1125" s="141"/>
      <c r="I1125" s="26">
        <v>55865</v>
      </c>
      <c r="J1125" s="117"/>
      <c r="K1125" s="120"/>
      <c r="L1125" s="121"/>
      <c r="M1125" s="120"/>
      <c r="N1125" s="121"/>
      <c r="O1125" s="120"/>
      <c r="P1125" s="121"/>
      <c r="Q1125" s="120"/>
      <c r="R1125" s="121"/>
      <c r="S1125" s="120"/>
      <c r="T1125" s="121"/>
      <c r="U1125" s="120"/>
      <c r="V1125" s="123"/>
      <c r="W1125" s="125"/>
      <c r="X1125" s="142" t="s">
        <v>4002</v>
      </c>
      <c r="Y1125" s="143"/>
      <c r="Z1125" s="143"/>
      <c r="AA1125" s="143"/>
      <c r="AB1125" s="144"/>
      <c r="AC1125" s="16" t="s">
        <v>21</v>
      </c>
      <c r="AD1125" s="17" t="s">
        <v>4003</v>
      </c>
      <c r="AE1125" s="145" t="s">
        <v>1742</v>
      </c>
      <c r="AF1125" s="146"/>
      <c r="AG1125" s="146"/>
      <c r="AH1125" s="146"/>
      <c r="AI1125" s="147"/>
      <c r="AJ1125" s="148"/>
      <c r="AK1125" s="143"/>
      <c r="AL1125" s="144"/>
      <c r="AM1125" s="22"/>
      <c r="AN1125" s="149" t="s">
        <v>2131</v>
      </c>
      <c r="AO1125" s="144"/>
      <c r="AP1125" s="148">
        <v>3261</v>
      </c>
      <c r="AQ1125" s="144"/>
      <c r="AR1125" s="120"/>
      <c r="AS1125" s="121"/>
      <c r="AT1125" s="120"/>
      <c r="AU1125" s="121"/>
      <c r="AV1125" s="120"/>
      <c r="AW1125" s="121"/>
      <c r="AX1125" s="120"/>
      <c r="AY1125" s="121"/>
      <c r="AZ1125" s="138"/>
    </row>
    <row r="1126" spans="1:52" ht="17.100000000000001" customHeight="1" thickTop="1">
      <c r="A1126" s="109" t="s">
        <v>6300</v>
      </c>
      <c r="B1126" s="28">
        <v>45850</v>
      </c>
      <c r="C1126" s="25">
        <v>1424</v>
      </c>
      <c r="D1126" s="13" t="s">
        <v>4004</v>
      </c>
      <c r="E1126" s="111"/>
      <c r="F1126" s="113" t="s">
        <v>2585</v>
      </c>
      <c r="G1126" s="114"/>
      <c r="H1126" s="115"/>
      <c r="I1126" s="24" t="s">
        <v>3399</v>
      </c>
      <c r="J1126" s="116">
        <v>4.5</v>
      </c>
      <c r="K1126" s="118">
        <v>1815000</v>
      </c>
      <c r="L1126" s="119"/>
      <c r="M1126" s="118">
        <f>K1126*0.1</f>
        <v>181500</v>
      </c>
      <c r="N1126" s="119"/>
      <c r="O1126" s="118">
        <f>26300+2630</f>
        <v>28930</v>
      </c>
      <c r="P1126" s="119"/>
      <c r="Q1126" s="118">
        <v>22210</v>
      </c>
      <c r="R1126" s="119"/>
      <c r="S1126" s="118">
        <v>16500</v>
      </c>
      <c r="T1126" s="119"/>
      <c r="U1126" s="118">
        <f>SUM(K1126:T1127)</f>
        <v>2064140</v>
      </c>
      <c r="V1126" s="122"/>
      <c r="W1126" s="124"/>
      <c r="X1126" s="126" t="s">
        <v>4005</v>
      </c>
      <c r="Y1126" s="127"/>
      <c r="Z1126" s="127"/>
      <c r="AA1126" s="127"/>
      <c r="AB1126" s="128"/>
      <c r="AC1126" s="15" t="s">
        <v>20</v>
      </c>
      <c r="AD1126" s="129" t="s">
        <v>1565</v>
      </c>
      <c r="AE1126" s="130"/>
      <c r="AF1126" s="130"/>
      <c r="AG1126" s="130"/>
      <c r="AH1126" s="130"/>
      <c r="AI1126" s="131"/>
      <c r="AJ1126" s="132"/>
      <c r="AK1126" s="127"/>
      <c r="AL1126" s="128"/>
      <c r="AM1126" s="21"/>
      <c r="AN1126" s="133">
        <v>46350</v>
      </c>
      <c r="AO1126" s="134"/>
      <c r="AP1126" s="135"/>
      <c r="AQ1126" s="136"/>
      <c r="AR1126" s="118">
        <v>3130000</v>
      </c>
      <c r="AS1126" s="119"/>
      <c r="AT1126" s="118">
        <v>0</v>
      </c>
      <c r="AU1126" s="119"/>
      <c r="AV1126" s="118">
        <v>0</v>
      </c>
      <c r="AW1126" s="119"/>
      <c r="AX1126" s="118">
        <f>SUM(AR1126:AW1126)</f>
        <v>3130000</v>
      </c>
      <c r="AY1126" s="119"/>
      <c r="AZ1126" s="137">
        <v>46377</v>
      </c>
    </row>
    <row r="1127" spans="1:52" ht="17.100000000000001" customHeight="1" thickBot="1">
      <c r="A1127" s="110"/>
      <c r="B1127" s="27" t="s">
        <v>1779</v>
      </c>
      <c r="C1127" s="27">
        <v>5028</v>
      </c>
      <c r="D1127" s="14" t="s">
        <v>275</v>
      </c>
      <c r="E1127" s="112"/>
      <c r="F1127" s="139" t="s">
        <v>4006</v>
      </c>
      <c r="G1127" s="140"/>
      <c r="H1127" s="141"/>
      <c r="I1127" s="26">
        <v>44743</v>
      </c>
      <c r="J1127" s="117"/>
      <c r="K1127" s="120"/>
      <c r="L1127" s="121"/>
      <c r="M1127" s="120"/>
      <c r="N1127" s="121"/>
      <c r="O1127" s="120"/>
      <c r="P1127" s="121"/>
      <c r="Q1127" s="120"/>
      <c r="R1127" s="121"/>
      <c r="S1127" s="120"/>
      <c r="T1127" s="121"/>
      <c r="U1127" s="120"/>
      <c r="V1127" s="123"/>
      <c r="W1127" s="125"/>
      <c r="X1127" s="142" t="s">
        <v>4007</v>
      </c>
      <c r="Y1127" s="143"/>
      <c r="Z1127" s="143"/>
      <c r="AA1127" s="143"/>
      <c r="AB1127" s="144"/>
      <c r="AC1127" s="16" t="s">
        <v>21</v>
      </c>
      <c r="AD1127" s="17" t="s">
        <v>3987</v>
      </c>
      <c r="AE1127" s="145" t="s">
        <v>1742</v>
      </c>
      <c r="AF1127" s="146"/>
      <c r="AG1127" s="146"/>
      <c r="AH1127" s="146"/>
      <c r="AI1127" s="147"/>
      <c r="AJ1127" s="148"/>
      <c r="AK1127" s="143"/>
      <c r="AL1127" s="144"/>
      <c r="AM1127" s="22" t="s">
        <v>108</v>
      </c>
      <c r="AN1127" s="149" t="s">
        <v>13987</v>
      </c>
      <c r="AO1127" s="144"/>
      <c r="AP1127" s="148"/>
      <c r="AQ1127" s="144"/>
      <c r="AR1127" s="120"/>
      <c r="AS1127" s="121"/>
      <c r="AT1127" s="120"/>
      <c r="AU1127" s="121"/>
      <c r="AV1127" s="120"/>
      <c r="AW1127" s="121"/>
      <c r="AX1127" s="120"/>
      <c r="AY1127" s="121"/>
      <c r="AZ1127" s="138"/>
    </row>
    <row r="1128" spans="1:52" ht="17.100000000000001" customHeight="1" thickTop="1">
      <c r="A1128" s="109" t="s">
        <v>6301</v>
      </c>
      <c r="B1128" s="28">
        <v>45852</v>
      </c>
      <c r="C1128" s="25">
        <v>2052</v>
      </c>
      <c r="D1128" s="13" t="s">
        <v>818</v>
      </c>
      <c r="E1128" s="111"/>
      <c r="F1128" s="113" t="s">
        <v>4008</v>
      </c>
      <c r="G1128" s="114"/>
      <c r="H1128" s="115"/>
      <c r="I1128" s="24" t="s">
        <v>4009</v>
      </c>
      <c r="J1128" s="116">
        <v>4</v>
      </c>
      <c r="K1128" s="118">
        <v>3335000</v>
      </c>
      <c r="L1128" s="119"/>
      <c r="M1128" s="118">
        <f>K1128*0.1</f>
        <v>333500</v>
      </c>
      <c r="N1128" s="119"/>
      <c r="O1128" s="118">
        <f>24000+2400</f>
        <v>26400</v>
      </c>
      <c r="P1128" s="119"/>
      <c r="Q1128" s="118">
        <v>14760</v>
      </c>
      <c r="R1128" s="119"/>
      <c r="S1128" s="118">
        <v>12100</v>
      </c>
      <c r="T1128" s="119"/>
      <c r="U1128" s="118">
        <f>SUM(K1128:T1129)</f>
        <v>3721760</v>
      </c>
      <c r="V1128" s="122"/>
      <c r="W1128" s="124"/>
      <c r="X1128" s="126" t="s">
        <v>4010</v>
      </c>
      <c r="Y1128" s="127"/>
      <c r="Z1128" s="127"/>
      <c r="AA1128" s="127"/>
      <c r="AB1128" s="128"/>
      <c r="AC1128" s="15" t="s">
        <v>20</v>
      </c>
      <c r="AD1128" s="129" t="s">
        <v>4011</v>
      </c>
      <c r="AE1128" s="130"/>
      <c r="AF1128" s="130"/>
      <c r="AG1128" s="130"/>
      <c r="AH1128" s="130"/>
      <c r="AI1128" s="131"/>
      <c r="AJ1128" s="132"/>
      <c r="AK1128" s="127"/>
      <c r="AL1128" s="128"/>
      <c r="AM1128" s="21" t="s">
        <v>4012</v>
      </c>
      <c r="AN1128" s="133">
        <v>46336</v>
      </c>
      <c r="AO1128" s="134"/>
      <c r="AP1128" s="135"/>
      <c r="AQ1128" s="136"/>
      <c r="AR1128" s="118">
        <v>4650000</v>
      </c>
      <c r="AS1128" s="119"/>
      <c r="AT1128" s="118">
        <v>0</v>
      </c>
      <c r="AU1128" s="119"/>
      <c r="AV1128" s="118">
        <v>0</v>
      </c>
      <c r="AW1128" s="119"/>
      <c r="AX1128" s="118">
        <f>SUM(AR1128:AW1128)</f>
        <v>4650000</v>
      </c>
      <c r="AY1128" s="119"/>
      <c r="AZ1128" s="137">
        <v>46363</v>
      </c>
    </row>
    <row r="1129" spans="1:52" ht="17.100000000000001" customHeight="1" thickBot="1">
      <c r="A1129" s="110"/>
      <c r="B1129" s="27" t="s">
        <v>83</v>
      </c>
      <c r="C1129" s="27">
        <v>36013</v>
      </c>
      <c r="D1129" s="14" t="s">
        <v>133</v>
      </c>
      <c r="E1129" s="112"/>
      <c r="F1129" s="139" t="s">
        <v>4013</v>
      </c>
      <c r="G1129" s="140"/>
      <c r="H1129" s="141"/>
      <c r="I1129" s="26">
        <v>39398</v>
      </c>
      <c r="J1129" s="117"/>
      <c r="K1129" s="120"/>
      <c r="L1129" s="121"/>
      <c r="M1129" s="120"/>
      <c r="N1129" s="121"/>
      <c r="O1129" s="120"/>
      <c r="P1129" s="121"/>
      <c r="Q1129" s="120"/>
      <c r="R1129" s="121"/>
      <c r="S1129" s="120"/>
      <c r="T1129" s="121"/>
      <c r="U1129" s="120"/>
      <c r="V1129" s="123"/>
      <c r="W1129" s="125"/>
      <c r="X1129" s="142" t="s">
        <v>4014</v>
      </c>
      <c r="Y1129" s="143"/>
      <c r="Z1129" s="143"/>
      <c r="AA1129" s="143"/>
      <c r="AB1129" s="144"/>
      <c r="AC1129" s="16" t="s">
        <v>21</v>
      </c>
      <c r="AD1129" s="17" t="s">
        <v>2866</v>
      </c>
      <c r="AE1129" s="145" t="s">
        <v>4015</v>
      </c>
      <c r="AF1129" s="146"/>
      <c r="AG1129" s="146"/>
      <c r="AH1129" s="146"/>
      <c r="AI1129" s="147"/>
      <c r="AJ1129" s="148"/>
      <c r="AK1129" s="143"/>
      <c r="AL1129" s="144"/>
      <c r="AM1129" s="22"/>
      <c r="AN1129" s="149" t="s">
        <v>15698</v>
      </c>
      <c r="AO1129" s="144"/>
      <c r="AP1129" s="148"/>
      <c r="AQ1129" s="144"/>
      <c r="AR1129" s="120"/>
      <c r="AS1129" s="121"/>
      <c r="AT1129" s="120"/>
      <c r="AU1129" s="121"/>
      <c r="AV1129" s="120"/>
      <c r="AW1129" s="121"/>
      <c r="AX1129" s="120"/>
      <c r="AY1129" s="121"/>
      <c r="AZ1129" s="138"/>
    </row>
    <row r="1130" spans="1:52" ht="17.100000000000001" customHeight="1" thickTop="1">
      <c r="A1130" s="109" t="s">
        <v>6302</v>
      </c>
      <c r="B1130" s="28">
        <v>45853</v>
      </c>
      <c r="C1130" s="25"/>
      <c r="D1130" s="13"/>
      <c r="E1130" s="111" t="s">
        <v>166</v>
      </c>
      <c r="F1130" s="113" t="s">
        <v>4016</v>
      </c>
      <c r="G1130" s="114"/>
      <c r="H1130" s="115"/>
      <c r="I1130" s="24"/>
      <c r="J1130" s="116"/>
      <c r="K1130" s="118">
        <v>4977970</v>
      </c>
      <c r="L1130" s="119"/>
      <c r="M1130" s="118">
        <v>0</v>
      </c>
      <c r="N1130" s="119"/>
      <c r="O1130" s="118">
        <v>0</v>
      </c>
      <c r="P1130" s="119"/>
      <c r="Q1130" s="118">
        <v>0</v>
      </c>
      <c r="R1130" s="119"/>
      <c r="S1130" s="118">
        <v>0</v>
      </c>
      <c r="T1130" s="119"/>
      <c r="U1130" s="118">
        <f>SUM(K1130:T1131)</f>
        <v>4977970</v>
      </c>
      <c r="V1130" s="122"/>
      <c r="W1130" s="124"/>
      <c r="X1130" s="126"/>
      <c r="Y1130" s="127"/>
      <c r="Z1130" s="127"/>
      <c r="AA1130" s="127"/>
      <c r="AB1130" s="128"/>
      <c r="AC1130" s="15" t="s">
        <v>20</v>
      </c>
      <c r="AD1130" s="129"/>
      <c r="AE1130" s="130"/>
      <c r="AF1130" s="130"/>
      <c r="AG1130" s="130"/>
      <c r="AH1130" s="130"/>
      <c r="AI1130" s="131"/>
      <c r="AJ1130" s="132"/>
      <c r="AK1130" s="127"/>
      <c r="AL1130" s="128"/>
      <c r="AM1130" s="21"/>
      <c r="AN1130" s="133"/>
      <c r="AO1130" s="134"/>
      <c r="AP1130" s="135"/>
      <c r="AQ1130" s="136"/>
      <c r="AR1130" s="118"/>
      <c r="AS1130" s="119"/>
      <c r="AT1130" s="118">
        <f>AR1130*0.1</f>
        <v>0</v>
      </c>
      <c r="AU1130" s="119"/>
      <c r="AV1130" s="118"/>
      <c r="AW1130" s="119"/>
      <c r="AX1130" s="118">
        <f>SUM(AR1130:AW1130)</f>
        <v>0</v>
      </c>
      <c r="AY1130" s="119"/>
      <c r="AZ1130" s="137"/>
    </row>
    <row r="1131" spans="1:52" ht="17.100000000000001" customHeight="1" thickBot="1">
      <c r="A1131" s="110"/>
      <c r="B1131" s="27" t="s">
        <v>4017</v>
      </c>
      <c r="C1131" s="27"/>
      <c r="D1131" s="14"/>
      <c r="E1131" s="112"/>
      <c r="F1131" s="139" t="s">
        <v>4018</v>
      </c>
      <c r="G1131" s="140"/>
      <c r="H1131" s="141"/>
      <c r="I1131" s="26"/>
      <c r="J1131" s="117"/>
      <c r="K1131" s="120"/>
      <c r="L1131" s="121"/>
      <c r="M1131" s="120"/>
      <c r="N1131" s="121"/>
      <c r="O1131" s="120"/>
      <c r="P1131" s="121"/>
      <c r="Q1131" s="120"/>
      <c r="R1131" s="121"/>
      <c r="S1131" s="120"/>
      <c r="T1131" s="121"/>
      <c r="U1131" s="120"/>
      <c r="V1131" s="123"/>
      <c r="W1131" s="125"/>
      <c r="X1131" s="142" t="s">
        <v>4019</v>
      </c>
      <c r="Y1131" s="143"/>
      <c r="Z1131" s="143"/>
      <c r="AA1131" s="143"/>
      <c r="AB1131" s="144"/>
      <c r="AC1131" s="16" t="s">
        <v>21</v>
      </c>
      <c r="AD1131" s="17" t="s">
        <v>4020</v>
      </c>
      <c r="AE1131" s="145"/>
      <c r="AF1131" s="146"/>
      <c r="AG1131" s="146"/>
      <c r="AH1131" s="146"/>
      <c r="AI1131" s="147"/>
      <c r="AJ1131" s="148"/>
      <c r="AK1131" s="143"/>
      <c r="AL1131" s="144"/>
      <c r="AM1131" s="22"/>
      <c r="AN1131" s="149"/>
      <c r="AO1131" s="144"/>
      <c r="AP1131" s="148"/>
      <c r="AQ1131" s="144"/>
      <c r="AR1131" s="120"/>
      <c r="AS1131" s="121"/>
      <c r="AT1131" s="120"/>
      <c r="AU1131" s="121"/>
      <c r="AV1131" s="120"/>
      <c r="AW1131" s="121"/>
      <c r="AX1131" s="120"/>
      <c r="AY1131" s="121"/>
      <c r="AZ1131" s="138"/>
    </row>
    <row r="1132" spans="1:52" ht="17.100000000000001" customHeight="1" thickTop="1">
      <c r="A1132" s="109" t="s">
        <v>6303</v>
      </c>
      <c r="B1132" s="28">
        <v>45853</v>
      </c>
      <c r="C1132" s="25">
        <v>1901</v>
      </c>
      <c r="D1132" s="13" t="s">
        <v>1937</v>
      </c>
      <c r="E1132" s="111"/>
      <c r="F1132" s="113" t="s">
        <v>4021</v>
      </c>
      <c r="G1132" s="114"/>
      <c r="H1132" s="115"/>
      <c r="I1132" s="24"/>
      <c r="J1132" s="116">
        <v>4</v>
      </c>
      <c r="K1132" s="118">
        <v>712000</v>
      </c>
      <c r="L1132" s="119"/>
      <c r="M1132" s="118">
        <f>K1132*0.1</f>
        <v>71200</v>
      </c>
      <c r="N1132" s="119"/>
      <c r="O1132" s="118">
        <v>0</v>
      </c>
      <c r="P1132" s="119"/>
      <c r="Q1132" s="118">
        <v>9790</v>
      </c>
      <c r="R1132" s="119"/>
      <c r="S1132" s="118">
        <v>15950</v>
      </c>
      <c r="T1132" s="119"/>
      <c r="U1132" s="118">
        <f>SUM(K1132:T1133)</f>
        <v>808940</v>
      </c>
      <c r="V1132" s="122"/>
      <c r="W1132" s="124"/>
      <c r="X1132" s="126" t="s">
        <v>4022</v>
      </c>
      <c r="Y1132" s="127"/>
      <c r="Z1132" s="127"/>
      <c r="AA1132" s="127"/>
      <c r="AB1132" s="128"/>
      <c r="AC1132" s="15" t="s">
        <v>20</v>
      </c>
      <c r="AD1132" s="129"/>
      <c r="AE1132" s="130"/>
      <c r="AF1132" s="130"/>
      <c r="AG1132" s="130"/>
      <c r="AH1132" s="130"/>
      <c r="AI1132" s="131"/>
      <c r="AJ1132" s="132"/>
      <c r="AK1132" s="127"/>
      <c r="AL1132" s="128"/>
      <c r="AM1132" s="21"/>
      <c r="AN1132" s="133">
        <v>45941</v>
      </c>
      <c r="AO1132" s="134"/>
      <c r="AP1132" s="135">
        <v>1271</v>
      </c>
      <c r="AQ1132" s="136"/>
      <c r="AR1132" s="118">
        <v>745000</v>
      </c>
      <c r="AS1132" s="119"/>
      <c r="AT1132" s="118">
        <f>AR1132*0.1</f>
        <v>74500</v>
      </c>
      <c r="AU1132" s="119"/>
      <c r="AV1132" s="118">
        <v>9790</v>
      </c>
      <c r="AW1132" s="119"/>
      <c r="AX1132" s="118">
        <f>SUM(AR1132:AW1132)</f>
        <v>829290</v>
      </c>
      <c r="AY1132" s="119"/>
      <c r="AZ1132" s="137">
        <v>45944</v>
      </c>
    </row>
    <row r="1133" spans="1:52" ht="17.100000000000001" customHeight="1" thickBot="1">
      <c r="A1133" s="110"/>
      <c r="B1133" s="27" t="s">
        <v>2131</v>
      </c>
      <c r="C1133" s="27">
        <v>3340</v>
      </c>
      <c r="D1133" s="14" t="s">
        <v>4023</v>
      </c>
      <c r="E1133" s="112"/>
      <c r="F1133" s="139" t="s">
        <v>4024</v>
      </c>
      <c r="G1133" s="140"/>
      <c r="H1133" s="141"/>
      <c r="I1133" s="26">
        <v>42721</v>
      </c>
      <c r="J1133" s="117"/>
      <c r="K1133" s="120"/>
      <c r="L1133" s="121"/>
      <c r="M1133" s="120"/>
      <c r="N1133" s="121"/>
      <c r="O1133" s="120"/>
      <c r="P1133" s="121"/>
      <c r="Q1133" s="120"/>
      <c r="R1133" s="121"/>
      <c r="S1133" s="120"/>
      <c r="T1133" s="121"/>
      <c r="U1133" s="120"/>
      <c r="V1133" s="123"/>
      <c r="W1133" s="125"/>
      <c r="X1133" s="142" t="s">
        <v>4025</v>
      </c>
      <c r="Y1133" s="143"/>
      <c r="Z1133" s="143"/>
      <c r="AA1133" s="143"/>
      <c r="AB1133" s="144"/>
      <c r="AC1133" s="16" t="s">
        <v>21</v>
      </c>
      <c r="AD1133" s="17" t="s">
        <v>3995</v>
      </c>
      <c r="AE1133" s="145"/>
      <c r="AF1133" s="146"/>
      <c r="AG1133" s="146"/>
      <c r="AH1133" s="146"/>
      <c r="AI1133" s="147"/>
      <c r="AJ1133" s="148"/>
      <c r="AK1133" s="143"/>
      <c r="AL1133" s="144"/>
      <c r="AM1133" s="22"/>
      <c r="AN1133" s="149" t="s">
        <v>2511</v>
      </c>
      <c r="AO1133" s="144"/>
      <c r="AP1133" s="148">
        <v>60111</v>
      </c>
      <c r="AQ1133" s="144"/>
      <c r="AR1133" s="120"/>
      <c r="AS1133" s="121"/>
      <c r="AT1133" s="120"/>
      <c r="AU1133" s="121"/>
      <c r="AV1133" s="120"/>
      <c r="AW1133" s="121"/>
      <c r="AX1133" s="120"/>
      <c r="AY1133" s="121"/>
      <c r="AZ1133" s="138"/>
    </row>
    <row r="1134" spans="1:52" ht="17.100000000000001" customHeight="1" thickTop="1">
      <c r="A1134" s="109" t="s">
        <v>6304</v>
      </c>
      <c r="B1134" s="28">
        <v>45853</v>
      </c>
      <c r="C1134" s="25">
        <v>899</v>
      </c>
      <c r="D1134" s="13" t="s">
        <v>2970</v>
      </c>
      <c r="E1134" s="111"/>
      <c r="F1134" s="113" t="s">
        <v>4026</v>
      </c>
      <c r="G1134" s="114"/>
      <c r="H1134" s="115"/>
      <c r="I1134" s="24"/>
      <c r="J1134" s="116">
        <v>4</v>
      </c>
      <c r="K1134" s="118">
        <v>1007000</v>
      </c>
      <c r="L1134" s="119"/>
      <c r="M1134" s="118">
        <f>K1134*0.1</f>
        <v>100700</v>
      </c>
      <c r="N1134" s="119"/>
      <c r="O1134" s="118">
        <v>0</v>
      </c>
      <c r="P1134" s="119"/>
      <c r="Q1134" s="118">
        <v>6830</v>
      </c>
      <c r="R1134" s="119"/>
      <c r="S1134" s="118">
        <v>15950</v>
      </c>
      <c r="T1134" s="119"/>
      <c r="U1134" s="118">
        <f>SUM(K1134:T1135)</f>
        <v>1130480</v>
      </c>
      <c r="V1134" s="122"/>
      <c r="W1134" s="124"/>
      <c r="X1134" s="126" t="s">
        <v>4027</v>
      </c>
      <c r="Y1134" s="127"/>
      <c r="Z1134" s="127"/>
      <c r="AA1134" s="127"/>
      <c r="AB1134" s="128"/>
      <c r="AC1134" s="15" t="s">
        <v>20</v>
      </c>
      <c r="AD1134" s="129" t="s">
        <v>4028</v>
      </c>
      <c r="AE1134" s="130"/>
      <c r="AF1134" s="130"/>
      <c r="AG1134" s="130"/>
      <c r="AH1134" s="130"/>
      <c r="AI1134" s="131"/>
      <c r="AJ1134" s="132"/>
      <c r="AK1134" s="127"/>
      <c r="AL1134" s="128"/>
      <c r="AM1134" s="21"/>
      <c r="AN1134" s="133">
        <v>45941</v>
      </c>
      <c r="AO1134" s="134"/>
      <c r="AP1134" s="135">
        <v>1271</v>
      </c>
      <c r="AQ1134" s="136"/>
      <c r="AR1134" s="118">
        <v>1035000</v>
      </c>
      <c r="AS1134" s="119"/>
      <c r="AT1134" s="118">
        <f>AR1134*0.1</f>
        <v>103500</v>
      </c>
      <c r="AU1134" s="119"/>
      <c r="AV1134" s="118">
        <v>6830</v>
      </c>
      <c r="AW1134" s="119"/>
      <c r="AX1134" s="118">
        <f>SUM(AR1134:AW1134)</f>
        <v>1145330</v>
      </c>
      <c r="AY1134" s="119"/>
      <c r="AZ1134" s="137">
        <v>45944</v>
      </c>
    </row>
    <row r="1135" spans="1:52" ht="17.100000000000001" customHeight="1" thickBot="1">
      <c r="A1135" s="110"/>
      <c r="B1135" s="27" t="s">
        <v>2699</v>
      </c>
      <c r="C1135" s="27">
        <v>3122</v>
      </c>
      <c r="D1135" s="14" t="s">
        <v>1635</v>
      </c>
      <c r="E1135" s="112"/>
      <c r="F1135" s="139" t="s">
        <v>4029</v>
      </c>
      <c r="G1135" s="140"/>
      <c r="H1135" s="141"/>
      <c r="I1135" s="26">
        <v>45901</v>
      </c>
      <c r="J1135" s="117"/>
      <c r="K1135" s="120"/>
      <c r="L1135" s="121"/>
      <c r="M1135" s="120"/>
      <c r="N1135" s="121"/>
      <c r="O1135" s="120"/>
      <c r="P1135" s="121"/>
      <c r="Q1135" s="120"/>
      <c r="R1135" s="121"/>
      <c r="S1135" s="120"/>
      <c r="T1135" s="121"/>
      <c r="U1135" s="120"/>
      <c r="V1135" s="123"/>
      <c r="W1135" s="125"/>
      <c r="X1135" s="142" t="s">
        <v>4030</v>
      </c>
      <c r="Y1135" s="143"/>
      <c r="Z1135" s="143"/>
      <c r="AA1135" s="143"/>
      <c r="AB1135" s="144"/>
      <c r="AC1135" s="16" t="s">
        <v>21</v>
      </c>
      <c r="AD1135" s="17" t="s">
        <v>3995</v>
      </c>
      <c r="AE1135" s="145" t="s">
        <v>3641</v>
      </c>
      <c r="AF1135" s="146"/>
      <c r="AG1135" s="146"/>
      <c r="AH1135" s="146"/>
      <c r="AI1135" s="147"/>
      <c r="AJ1135" s="148"/>
      <c r="AK1135" s="143"/>
      <c r="AL1135" s="144"/>
      <c r="AM1135" s="22"/>
      <c r="AN1135" s="149" t="s">
        <v>2511</v>
      </c>
      <c r="AO1135" s="144"/>
      <c r="AP1135" s="148">
        <v>60108</v>
      </c>
      <c r="AQ1135" s="144"/>
      <c r="AR1135" s="120"/>
      <c r="AS1135" s="121"/>
      <c r="AT1135" s="120"/>
      <c r="AU1135" s="121"/>
      <c r="AV1135" s="120"/>
      <c r="AW1135" s="121"/>
      <c r="AX1135" s="120"/>
      <c r="AY1135" s="121"/>
      <c r="AZ1135" s="138"/>
    </row>
    <row r="1136" spans="1:52" ht="17.100000000000001" customHeight="1" thickTop="1">
      <c r="A1136" s="109" t="s">
        <v>6305</v>
      </c>
      <c r="B1136" s="28">
        <v>45854</v>
      </c>
      <c r="C1136" s="25">
        <v>976</v>
      </c>
      <c r="D1136" s="13" t="s">
        <v>1615</v>
      </c>
      <c r="E1136" s="111"/>
      <c r="F1136" s="113" t="s">
        <v>4031</v>
      </c>
      <c r="G1136" s="114"/>
      <c r="H1136" s="115"/>
      <c r="I1136" s="24"/>
      <c r="J1136" s="116">
        <v>4.5</v>
      </c>
      <c r="K1136" s="118">
        <v>530000</v>
      </c>
      <c r="L1136" s="119"/>
      <c r="M1136" s="118">
        <v>0</v>
      </c>
      <c r="N1136" s="119"/>
      <c r="O1136" s="118">
        <v>0</v>
      </c>
      <c r="P1136" s="119"/>
      <c r="Q1136" s="118">
        <v>9210</v>
      </c>
      <c r="R1136" s="119"/>
      <c r="S1136" s="118">
        <v>12100</v>
      </c>
      <c r="T1136" s="119"/>
      <c r="U1136" s="118">
        <f>SUM(K1136:T1137)</f>
        <v>551310</v>
      </c>
      <c r="V1136" s="122"/>
      <c r="W1136" s="124"/>
      <c r="X1136" s="126" t="s">
        <v>4032</v>
      </c>
      <c r="Y1136" s="127"/>
      <c r="Z1136" s="127"/>
      <c r="AA1136" s="127"/>
      <c r="AB1136" s="128"/>
      <c r="AC1136" s="15" t="s">
        <v>20</v>
      </c>
      <c r="AD1136" s="129"/>
      <c r="AE1136" s="130"/>
      <c r="AF1136" s="130"/>
      <c r="AG1136" s="130"/>
      <c r="AH1136" s="130"/>
      <c r="AI1136" s="131"/>
      <c r="AJ1136" s="132" t="s">
        <v>10035</v>
      </c>
      <c r="AK1136" s="127"/>
      <c r="AL1136" s="128"/>
      <c r="AM1136" s="21"/>
      <c r="AN1136" s="133">
        <v>45959</v>
      </c>
      <c r="AO1136" s="134"/>
      <c r="AP1136" s="135">
        <v>990</v>
      </c>
      <c r="AQ1136" s="136"/>
      <c r="AR1136" s="118">
        <v>550000</v>
      </c>
      <c r="AS1136" s="119"/>
      <c r="AT1136" s="118">
        <f>AR1136*0.1</f>
        <v>55000</v>
      </c>
      <c r="AU1136" s="119"/>
      <c r="AV1136" s="118">
        <v>9210</v>
      </c>
      <c r="AW1136" s="119"/>
      <c r="AX1136" s="118">
        <f>SUM(AR1136:AW1136)</f>
        <v>614210</v>
      </c>
      <c r="AY1136" s="119"/>
      <c r="AZ1136" s="137">
        <v>45967</v>
      </c>
    </row>
    <row r="1137" spans="1:52" ht="17.100000000000001" customHeight="1" thickBot="1">
      <c r="A1137" s="110"/>
      <c r="B1137" s="27" t="s">
        <v>2794</v>
      </c>
      <c r="C1137" s="27">
        <v>1110</v>
      </c>
      <c r="D1137" s="14" t="s">
        <v>1720</v>
      </c>
      <c r="E1137" s="112"/>
      <c r="F1137" s="139" t="s">
        <v>4033</v>
      </c>
      <c r="G1137" s="140"/>
      <c r="H1137" s="141"/>
      <c r="I1137" s="26">
        <v>26064</v>
      </c>
      <c r="J1137" s="117"/>
      <c r="K1137" s="120"/>
      <c r="L1137" s="121"/>
      <c r="M1137" s="120"/>
      <c r="N1137" s="121"/>
      <c r="O1137" s="120"/>
      <c r="P1137" s="121"/>
      <c r="Q1137" s="120"/>
      <c r="R1137" s="121"/>
      <c r="S1137" s="120"/>
      <c r="T1137" s="121"/>
      <c r="U1137" s="120"/>
      <c r="V1137" s="123"/>
      <c r="W1137" s="125"/>
      <c r="X1137" s="142" t="s">
        <v>4034</v>
      </c>
      <c r="Y1137" s="143"/>
      <c r="Z1137" s="143"/>
      <c r="AA1137" s="143"/>
      <c r="AB1137" s="144"/>
      <c r="AC1137" s="16" t="s">
        <v>21</v>
      </c>
      <c r="AD1137" s="17" t="s">
        <v>4003</v>
      </c>
      <c r="AE1137" s="145" t="s">
        <v>3385</v>
      </c>
      <c r="AF1137" s="146"/>
      <c r="AG1137" s="146"/>
      <c r="AH1137" s="146"/>
      <c r="AI1137" s="147"/>
      <c r="AJ1137" s="148"/>
      <c r="AK1137" s="143"/>
      <c r="AL1137" s="144"/>
      <c r="AM1137" s="22"/>
      <c r="AN1137" s="149" t="s">
        <v>7285</v>
      </c>
      <c r="AO1137" s="144"/>
      <c r="AP1137" s="148">
        <v>6104</v>
      </c>
      <c r="AQ1137" s="144"/>
      <c r="AR1137" s="120"/>
      <c r="AS1137" s="121"/>
      <c r="AT1137" s="120"/>
      <c r="AU1137" s="121"/>
      <c r="AV1137" s="120"/>
      <c r="AW1137" s="121"/>
      <c r="AX1137" s="120"/>
      <c r="AY1137" s="121"/>
      <c r="AZ1137" s="138"/>
    </row>
    <row r="1138" spans="1:52" ht="17.100000000000001" customHeight="1" thickTop="1">
      <c r="A1138" s="109" t="s">
        <v>6306</v>
      </c>
      <c r="B1138" s="28">
        <v>45855</v>
      </c>
      <c r="C1138" s="25">
        <v>1986</v>
      </c>
      <c r="D1138" s="13" t="s">
        <v>4035</v>
      </c>
      <c r="E1138" s="111"/>
      <c r="F1138" s="113" t="s">
        <v>4036</v>
      </c>
      <c r="G1138" s="114"/>
      <c r="H1138" s="115"/>
      <c r="I1138" s="24" t="s">
        <v>4037</v>
      </c>
      <c r="J1138" s="116">
        <v>4</v>
      </c>
      <c r="K1138" s="118">
        <v>180000</v>
      </c>
      <c r="L1138" s="119"/>
      <c r="M1138" s="118">
        <f>K1138*0.1</f>
        <v>18000</v>
      </c>
      <c r="N1138" s="119"/>
      <c r="O1138" s="118">
        <v>0</v>
      </c>
      <c r="P1138" s="119"/>
      <c r="Q1138" s="118">
        <v>8670</v>
      </c>
      <c r="R1138" s="119"/>
      <c r="S1138" s="118">
        <v>22000</v>
      </c>
      <c r="T1138" s="119"/>
      <c r="U1138" s="118">
        <f>SUM(K1138:T1139)</f>
        <v>228670</v>
      </c>
      <c r="V1138" s="122"/>
      <c r="W1138" s="124"/>
      <c r="X1138" s="126" t="s">
        <v>4038</v>
      </c>
      <c r="Y1138" s="127"/>
      <c r="Z1138" s="127"/>
      <c r="AA1138" s="127"/>
      <c r="AB1138" s="128"/>
      <c r="AC1138" s="15" t="s">
        <v>20</v>
      </c>
      <c r="AD1138" s="129"/>
      <c r="AE1138" s="130"/>
      <c r="AF1138" s="130"/>
      <c r="AG1138" s="130"/>
      <c r="AH1138" s="130"/>
      <c r="AI1138" s="131"/>
      <c r="AJ1138" s="132"/>
      <c r="AK1138" s="127"/>
      <c r="AL1138" s="128"/>
      <c r="AM1138" s="21" t="s">
        <v>4039</v>
      </c>
      <c r="AN1138" s="133">
        <v>46102</v>
      </c>
      <c r="AO1138" s="134"/>
      <c r="AP1138" s="135">
        <v>1293</v>
      </c>
      <c r="AQ1138" s="136"/>
      <c r="AR1138" s="118">
        <v>97000</v>
      </c>
      <c r="AS1138" s="119"/>
      <c r="AT1138" s="118">
        <f>AR1138*0.1</f>
        <v>9700</v>
      </c>
      <c r="AU1138" s="119"/>
      <c r="AV1138" s="118">
        <v>8670</v>
      </c>
      <c r="AW1138" s="119"/>
      <c r="AX1138" s="118">
        <f>SUM(AR1138:AW1138)</f>
        <v>115370</v>
      </c>
      <c r="AY1138" s="119"/>
      <c r="AZ1138" s="137">
        <v>46105</v>
      </c>
    </row>
    <row r="1139" spans="1:52" ht="17.100000000000001" customHeight="1" thickBot="1">
      <c r="A1139" s="110"/>
      <c r="B1139" s="27" t="s">
        <v>2200</v>
      </c>
      <c r="C1139" s="27">
        <v>50237</v>
      </c>
      <c r="D1139" s="14" t="s">
        <v>55</v>
      </c>
      <c r="E1139" s="112"/>
      <c r="F1139" s="139" t="s">
        <v>4040</v>
      </c>
      <c r="G1139" s="140"/>
      <c r="H1139" s="141"/>
      <c r="I1139" s="26">
        <v>56031</v>
      </c>
      <c r="J1139" s="117"/>
      <c r="K1139" s="120"/>
      <c r="L1139" s="121"/>
      <c r="M1139" s="120"/>
      <c r="N1139" s="121"/>
      <c r="O1139" s="120"/>
      <c r="P1139" s="121"/>
      <c r="Q1139" s="120"/>
      <c r="R1139" s="121"/>
      <c r="S1139" s="120"/>
      <c r="T1139" s="121"/>
      <c r="U1139" s="120"/>
      <c r="V1139" s="123"/>
      <c r="W1139" s="125"/>
      <c r="X1139" s="142" t="s">
        <v>4041</v>
      </c>
      <c r="Y1139" s="143"/>
      <c r="Z1139" s="143"/>
      <c r="AA1139" s="143"/>
      <c r="AB1139" s="144"/>
      <c r="AC1139" s="16" t="s">
        <v>21</v>
      </c>
      <c r="AD1139" s="17" t="s">
        <v>4003</v>
      </c>
      <c r="AE1139" s="145" t="s">
        <v>3624</v>
      </c>
      <c r="AF1139" s="146"/>
      <c r="AG1139" s="146"/>
      <c r="AH1139" s="146"/>
      <c r="AI1139" s="147"/>
      <c r="AJ1139" s="148" t="s">
        <v>3727</v>
      </c>
      <c r="AK1139" s="143"/>
      <c r="AL1139" s="144"/>
      <c r="AM1139" s="22"/>
      <c r="AN1139" s="149" t="s">
        <v>2511</v>
      </c>
      <c r="AO1139" s="144"/>
      <c r="AP1139" s="148">
        <v>90417</v>
      </c>
      <c r="AQ1139" s="144"/>
      <c r="AR1139" s="120"/>
      <c r="AS1139" s="121"/>
      <c r="AT1139" s="120"/>
      <c r="AU1139" s="121"/>
      <c r="AV1139" s="120"/>
      <c r="AW1139" s="121"/>
      <c r="AX1139" s="120"/>
      <c r="AY1139" s="121"/>
      <c r="AZ1139" s="138"/>
    </row>
    <row r="1140" spans="1:52" ht="17.100000000000001" customHeight="1" thickTop="1">
      <c r="A1140" s="109" t="s">
        <v>6307</v>
      </c>
      <c r="B1140" s="28">
        <v>45855</v>
      </c>
      <c r="C1140" s="25">
        <v>1942</v>
      </c>
      <c r="D1140" s="13" t="s">
        <v>3550</v>
      </c>
      <c r="E1140" s="111"/>
      <c r="F1140" s="113" t="s">
        <v>4042</v>
      </c>
      <c r="G1140" s="114"/>
      <c r="H1140" s="115"/>
      <c r="I1140" s="24"/>
      <c r="J1140" s="116">
        <v>4.5</v>
      </c>
      <c r="K1140" s="118">
        <v>1151000</v>
      </c>
      <c r="L1140" s="119"/>
      <c r="M1140" s="118">
        <f>K1140*0.1</f>
        <v>115100</v>
      </c>
      <c r="N1140" s="119"/>
      <c r="O1140" s="118">
        <v>0</v>
      </c>
      <c r="P1140" s="119"/>
      <c r="Q1140" s="118">
        <v>9810</v>
      </c>
      <c r="R1140" s="119"/>
      <c r="S1140" s="118">
        <v>17050</v>
      </c>
      <c r="T1140" s="119"/>
      <c r="U1140" s="118">
        <f>SUM(K1140:T1141)</f>
        <v>1292960</v>
      </c>
      <c r="V1140" s="122"/>
      <c r="W1140" s="124"/>
      <c r="X1140" s="126" t="s">
        <v>4043</v>
      </c>
      <c r="Y1140" s="127"/>
      <c r="Z1140" s="127"/>
      <c r="AA1140" s="127"/>
      <c r="AB1140" s="128"/>
      <c r="AC1140" s="15" t="s">
        <v>20</v>
      </c>
      <c r="AD1140" s="129"/>
      <c r="AE1140" s="130"/>
      <c r="AF1140" s="130"/>
      <c r="AG1140" s="130"/>
      <c r="AH1140" s="130"/>
      <c r="AI1140" s="131"/>
      <c r="AJ1140" s="132"/>
      <c r="AK1140" s="127"/>
      <c r="AL1140" s="128"/>
      <c r="AM1140" s="21"/>
      <c r="AN1140" s="133">
        <v>45934</v>
      </c>
      <c r="AO1140" s="134"/>
      <c r="AP1140" s="135">
        <v>1270</v>
      </c>
      <c r="AQ1140" s="136"/>
      <c r="AR1140" s="118">
        <v>1200000</v>
      </c>
      <c r="AS1140" s="119"/>
      <c r="AT1140" s="118">
        <f>AR1140*0.1</f>
        <v>120000</v>
      </c>
      <c r="AU1140" s="119"/>
      <c r="AV1140" s="118">
        <v>9810</v>
      </c>
      <c r="AW1140" s="119"/>
      <c r="AX1140" s="118">
        <f>SUM(AR1140:AW1140)</f>
        <v>1329810</v>
      </c>
      <c r="AY1140" s="119"/>
      <c r="AZ1140" s="137">
        <v>45937</v>
      </c>
    </row>
    <row r="1141" spans="1:52" ht="17.100000000000001" customHeight="1" thickBot="1">
      <c r="A1141" s="110"/>
      <c r="B1141" s="27" t="s">
        <v>3792</v>
      </c>
      <c r="C1141" s="27">
        <v>2042</v>
      </c>
      <c r="D1141" s="14" t="s">
        <v>1720</v>
      </c>
      <c r="E1141" s="112"/>
      <c r="F1141" s="139" t="s">
        <v>4044</v>
      </c>
      <c r="G1141" s="140"/>
      <c r="H1141" s="141"/>
      <c r="I1141" s="26">
        <v>51536</v>
      </c>
      <c r="J1141" s="117"/>
      <c r="K1141" s="120"/>
      <c r="L1141" s="121"/>
      <c r="M1141" s="120"/>
      <c r="N1141" s="121"/>
      <c r="O1141" s="120"/>
      <c r="P1141" s="121"/>
      <c r="Q1141" s="120"/>
      <c r="R1141" s="121"/>
      <c r="S1141" s="120"/>
      <c r="T1141" s="121"/>
      <c r="U1141" s="120"/>
      <c r="V1141" s="123"/>
      <c r="W1141" s="125"/>
      <c r="X1141" s="142" t="s">
        <v>4045</v>
      </c>
      <c r="Y1141" s="143"/>
      <c r="Z1141" s="143"/>
      <c r="AA1141" s="143"/>
      <c r="AB1141" s="144"/>
      <c r="AC1141" s="16" t="s">
        <v>21</v>
      </c>
      <c r="AD1141" s="17" t="s">
        <v>4003</v>
      </c>
      <c r="AE1141" s="145" t="s">
        <v>4046</v>
      </c>
      <c r="AF1141" s="146"/>
      <c r="AG1141" s="146"/>
      <c r="AH1141" s="146"/>
      <c r="AI1141" s="147"/>
      <c r="AJ1141" s="148"/>
      <c r="AK1141" s="143"/>
      <c r="AL1141" s="144"/>
      <c r="AM1141" s="22"/>
      <c r="AN1141" s="149" t="s">
        <v>7284</v>
      </c>
      <c r="AO1141" s="144"/>
      <c r="AP1141" s="148">
        <v>55105</v>
      </c>
      <c r="AQ1141" s="144"/>
      <c r="AR1141" s="120"/>
      <c r="AS1141" s="121"/>
      <c r="AT1141" s="120"/>
      <c r="AU1141" s="121"/>
      <c r="AV1141" s="120"/>
      <c r="AW1141" s="121"/>
      <c r="AX1141" s="120"/>
      <c r="AY1141" s="121"/>
      <c r="AZ1141" s="138"/>
    </row>
    <row r="1142" spans="1:52" ht="17.100000000000001" customHeight="1" thickTop="1">
      <c r="A1142" s="109" t="s">
        <v>6308</v>
      </c>
      <c r="B1142" s="28">
        <v>45856</v>
      </c>
      <c r="C1142" s="25">
        <v>1378</v>
      </c>
      <c r="D1142" s="13" t="s">
        <v>2689</v>
      </c>
      <c r="E1142" s="111"/>
      <c r="F1142" s="113" t="s">
        <v>4047</v>
      </c>
      <c r="G1142" s="114"/>
      <c r="H1142" s="115"/>
      <c r="I1142" s="24" t="s">
        <v>4048</v>
      </c>
      <c r="J1142" s="116">
        <v>4</v>
      </c>
      <c r="K1142" s="118">
        <v>810000</v>
      </c>
      <c r="L1142" s="119"/>
      <c r="M1142" s="118">
        <f>K1142*0.1</f>
        <v>81000</v>
      </c>
      <c r="N1142" s="119"/>
      <c r="O1142" s="118">
        <f>20300+2030</f>
        <v>22330</v>
      </c>
      <c r="P1142" s="119"/>
      <c r="Q1142" s="118">
        <v>8550</v>
      </c>
      <c r="R1142" s="119"/>
      <c r="S1142" s="118">
        <v>13200</v>
      </c>
      <c r="T1142" s="119"/>
      <c r="U1142" s="118">
        <f>SUM(K1142:T1143)</f>
        <v>935080</v>
      </c>
      <c r="V1142" s="122"/>
      <c r="W1142" s="124"/>
      <c r="X1142" s="126" t="s">
        <v>4049</v>
      </c>
      <c r="Y1142" s="127"/>
      <c r="Z1142" s="127"/>
      <c r="AA1142" s="127"/>
      <c r="AB1142" s="128"/>
      <c r="AC1142" s="15" t="s">
        <v>20</v>
      </c>
      <c r="AD1142" s="129" t="s">
        <v>2385</v>
      </c>
      <c r="AE1142" s="130"/>
      <c r="AF1142" s="130"/>
      <c r="AG1142" s="130"/>
      <c r="AH1142" s="130"/>
      <c r="AI1142" s="131"/>
      <c r="AJ1142" s="132"/>
      <c r="AK1142" s="127"/>
      <c r="AL1142" s="128"/>
      <c r="AM1142" s="21" t="s">
        <v>4050</v>
      </c>
      <c r="AN1142" s="133">
        <v>46074</v>
      </c>
      <c r="AO1142" s="134"/>
      <c r="AP1142" s="135">
        <v>1289</v>
      </c>
      <c r="AQ1142" s="136"/>
      <c r="AR1142" s="118">
        <v>945000</v>
      </c>
      <c r="AS1142" s="119"/>
      <c r="AT1142" s="118">
        <f>AR1142*0.1</f>
        <v>94500</v>
      </c>
      <c r="AU1142" s="119"/>
      <c r="AV1142" s="118">
        <v>8550</v>
      </c>
      <c r="AW1142" s="119"/>
      <c r="AX1142" s="118">
        <f>SUM(AR1142:AW1142)</f>
        <v>1048050</v>
      </c>
      <c r="AY1142" s="119"/>
      <c r="AZ1142" s="137">
        <v>46077</v>
      </c>
    </row>
    <row r="1143" spans="1:52" ht="17.100000000000001" customHeight="1" thickBot="1">
      <c r="A1143" s="110"/>
      <c r="B1143" s="27" t="s">
        <v>2641</v>
      </c>
      <c r="C1143" s="27">
        <v>3028</v>
      </c>
      <c r="D1143" s="14" t="s">
        <v>275</v>
      </c>
      <c r="E1143" s="112"/>
      <c r="F1143" s="139" t="s">
        <v>4051</v>
      </c>
      <c r="G1143" s="140"/>
      <c r="H1143" s="141"/>
      <c r="I1143" s="26">
        <v>100900</v>
      </c>
      <c r="J1143" s="117"/>
      <c r="K1143" s="120"/>
      <c r="L1143" s="121"/>
      <c r="M1143" s="120"/>
      <c r="N1143" s="121"/>
      <c r="O1143" s="120"/>
      <c r="P1143" s="121"/>
      <c r="Q1143" s="120"/>
      <c r="R1143" s="121"/>
      <c r="S1143" s="120"/>
      <c r="T1143" s="121"/>
      <c r="U1143" s="120"/>
      <c r="V1143" s="123"/>
      <c r="W1143" s="125"/>
      <c r="X1143" s="142" t="s">
        <v>4052</v>
      </c>
      <c r="Y1143" s="143"/>
      <c r="Z1143" s="143"/>
      <c r="AA1143" s="143"/>
      <c r="AB1143" s="144"/>
      <c r="AC1143" s="16" t="s">
        <v>21</v>
      </c>
      <c r="AD1143" s="17" t="s">
        <v>4003</v>
      </c>
      <c r="AE1143" s="145" t="s">
        <v>1742</v>
      </c>
      <c r="AF1143" s="146"/>
      <c r="AG1143" s="146"/>
      <c r="AH1143" s="146"/>
      <c r="AI1143" s="147"/>
      <c r="AJ1143" s="148"/>
      <c r="AK1143" s="143"/>
      <c r="AL1143" s="144"/>
      <c r="AM1143" s="22"/>
      <c r="AN1143" s="149" t="s">
        <v>2511</v>
      </c>
      <c r="AO1143" s="144"/>
      <c r="AP1143" s="148">
        <v>35678</v>
      </c>
      <c r="AQ1143" s="144"/>
      <c r="AR1143" s="120"/>
      <c r="AS1143" s="121"/>
      <c r="AT1143" s="120"/>
      <c r="AU1143" s="121"/>
      <c r="AV1143" s="120"/>
      <c r="AW1143" s="121"/>
      <c r="AX1143" s="120"/>
      <c r="AY1143" s="121"/>
      <c r="AZ1143" s="138"/>
    </row>
    <row r="1144" spans="1:52" ht="17.100000000000001" customHeight="1" thickTop="1">
      <c r="A1144" s="109" t="s">
        <v>6309</v>
      </c>
      <c r="B1144" s="28">
        <v>45856</v>
      </c>
      <c r="C1144" s="25">
        <v>1378</v>
      </c>
      <c r="D1144" s="13" t="s">
        <v>2179</v>
      </c>
      <c r="E1144" s="111"/>
      <c r="F1144" s="113" t="s">
        <v>1871</v>
      </c>
      <c r="G1144" s="114"/>
      <c r="H1144" s="115"/>
      <c r="I1144" s="24"/>
      <c r="J1144" s="116">
        <v>4.5</v>
      </c>
      <c r="K1144" s="118">
        <v>797000</v>
      </c>
      <c r="L1144" s="119"/>
      <c r="M1144" s="118">
        <f>K1144*0.1</f>
        <v>79700</v>
      </c>
      <c r="N1144" s="119"/>
      <c r="O1144" s="118">
        <v>0</v>
      </c>
      <c r="P1144" s="119"/>
      <c r="Q1144" s="118">
        <v>17700</v>
      </c>
      <c r="R1144" s="119"/>
      <c r="S1144" s="118">
        <v>13200</v>
      </c>
      <c r="T1144" s="119"/>
      <c r="U1144" s="118">
        <f>SUM(K1144:T1145)</f>
        <v>907600</v>
      </c>
      <c r="V1144" s="122"/>
      <c r="W1144" s="124"/>
      <c r="X1144" s="126" t="s">
        <v>4053</v>
      </c>
      <c r="Y1144" s="127"/>
      <c r="Z1144" s="127"/>
      <c r="AA1144" s="127"/>
      <c r="AB1144" s="128"/>
      <c r="AC1144" s="15" t="s">
        <v>20</v>
      </c>
      <c r="AD1144" s="129" t="s">
        <v>171</v>
      </c>
      <c r="AE1144" s="130"/>
      <c r="AF1144" s="130"/>
      <c r="AG1144" s="130"/>
      <c r="AH1144" s="130"/>
      <c r="AI1144" s="131"/>
      <c r="AJ1144" s="132"/>
      <c r="AK1144" s="127"/>
      <c r="AL1144" s="128"/>
      <c r="AM1144" s="21"/>
      <c r="AN1144" s="133">
        <v>45955</v>
      </c>
      <c r="AO1144" s="134"/>
      <c r="AP1144" s="135">
        <v>1273</v>
      </c>
      <c r="AQ1144" s="136"/>
      <c r="AR1144" s="118">
        <v>820000</v>
      </c>
      <c r="AS1144" s="119"/>
      <c r="AT1144" s="118">
        <f>AR1144*0.1</f>
        <v>82000</v>
      </c>
      <c r="AU1144" s="119"/>
      <c r="AV1144" s="118">
        <v>17700</v>
      </c>
      <c r="AW1144" s="119"/>
      <c r="AX1144" s="118">
        <f>SUM(AR1144:AW1144)</f>
        <v>919700</v>
      </c>
      <c r="AY1144" s="119"/>
      <c r="AZ1144" s="137">
        <v>45965</v>
      </c>
    </row>
    <row r="1145" spans="1:52" ht="17.100000000000001" customHeight="1" thickBot="1">
      <c r="A1145" s="110"/>
      <c r="B1145" s="27" t="s">
        <v>2641</v>
      </c>
      <c r="C1145" s="27">
        <v>3050</v>
      </c>
      <c r="D1145" s="14" t="s">
        <v>133</v>
      </c>
      <c r="E1145" s="112"/>
      <c r="F1145" s="139" t="s">
        <v>4054</v>
      </c>
      <c r="G1145" s="140"/>
      <c r="H1145" s="141"/>
      <c r="I1145" s="26">
        <v>55675</v>
      </c>
      <c r="J1145" s="117"/>
      <c r="K1145" s="120"/>
      <c r="L1145" s="121"/>
      <c r="M1145" s="120"/>
      <c r="N1145" s="121"/>
      <c r="O1145" s="120"/>
      <c r="P1145" s="121"/>
      <c r="Q1145" s="120"/>
      <c r="R1145" s="121"/>
      <c r="S1145" s="120"/>
      <c r="T1145" s="121"/>
      <c r="U1145" s="120"/>
      <c r="V1145" s="123"/>
      <c r="W1145" s="125"/>
      <c r="X1145" s="142" t="s">
        <v>2394</v>
      </c>
      <c r="Y1145" s="143"/>
      <c r="Z1145" s="143"/>
      <c r="AA1145" s="143"/>
      <c r="AB1145" s="144"/>
      <c r="AC1145" s="16" t="s">
        <v>21</v>
      </c>
      <c r="AD1145" s="17" t="s">
        <v>4003</v>
      </c>
      <c r="AE1145" s="145" t="s">
        <v>3609</v>
      </c>
      <c r="AF1145" s="146"/>
      <c r="AG1145" s="146"/>
      <c r="AH1145" s="146"/>
      <c r="AI1145" s="147"/>
      <c r="AJ1145" s="148"/>
      <c r="AK1145" s="143"/>
      <c r="AL1145" s="144"/>
      <c r="AM1145" s="22"/>
      <c r="AN1145" s="149" t="s">
        <v>6748</v>
      </c>
      <c r="AO1145" s="144"/>
      <c r="AP1145" s="148">
        <v>80049</v>
      </c>
      <c r="AQ1145" s="144"/>
      <c r="AR1145" s="120"/>
      <c r="AS1145" s="121"/>
      <c r="AT1145" s="120"/>
      <c r="AU1145" s="121"/>
      <c r="AV1145" s="120"/>
      <c r="AW1145" s="121"/>
      <c r="AX1145" s="120"/>
      <c r="AY1145" s="121"/>
      <c r="AZ1145" s="138"/>
    </row>
    <row r="1146" spans="1:52" ht="17.100000000000001" customHeight="1" thickTop="1">
      <c r="A1146" s="109" t="s">
        <v>6310</v>
      </c>
      <c r="B1146" s="28">
        <v>45859</v>
      </c>
      <c r="C1146" s="25">
        <v>2053</v>
      </c>
      <c r="D1146" s="13" t="s">
        <v>1640</v>
      </c>
      <c r="E1146" s="111"/>
      <c r="F1146" s="113" t="s">
        <v>4055</v>
      </c>
      <c r="G1146" s="114"/>
      <c r="H1146" s="115"/>
      <c r="I1146" s="24" t="s">
        <v>2526</v>
      </c>
      <c r="J1146" s="116">
        <v>4</v>
      </c>
      <c r="K1146" s="118">
        <v>528000</v>
      </c>
      <c r="L1146" s="119"/>
      <c r="M1146" s="118">
        <f>K1146*0.1</f>
        <v>52800</v>
      </c>
      <c r="N1146" s="119"/>
      <c r="O1146" s="118">
        <f>26300+2630</f>
        <v>28930</v>
      </c>
      <c r="P1146" s="119"/>
      <c r="Q1146" s="118">
        <v>17700</v>
      </c>
      <c r="R1146" s="119"/>
      <c r="S1146" s="118">
        <v>11000</v>
      </c>
      <c r="T1146" s="119"/>
      <c r="U1146" s="118">
        <f>SUM(K1146:T1147)</f>
        <v>638430</v>
      </c>
      <c r="V1146" s="122"/>
      <c r="W1146" s="124"/>
      <c r="X1146" s="126" t="s">
        <v>4056</v>
      </c>
      <c r="Y1146" s="127"/>
      <c r="Z1146" s="127"/>
      <c r="AA1146" s="127"/>
      <c r="AB1146" s="128"/>
      <c r="AC1146" s="15" t="s">
        <v>20</v>
      </c>
      <c r="AD1146" s="129"/>
      <c r="AE1146" s="130"/>
      <c r="AF1146" s="130"/>
      <c r="AG1146" s="130"/>
      <c r="AH1146" s="130"/>
      <c r="AI1146" s="131"/>
      <c r="AJ1146" s="132"/>
      <c r="AK1146" s="127"/>
      <c r="AL1146" s="128"/>
      <c r="AM1146" s="21"/>
      <c r="AN1146" s="133">
        <v>45938</v>
      </c>
      <c r="AO1146" s="134"/>
      <c r="AP1146" s="135"/>
      <c r="AQ1146" s="136"/>
      <c r="AR1146" s="118">
        <v>700000</v>
      </c>
      <c r="AS1146" s="119"/>
      <c r="AT1146" s="118">
        <f>AR1146*0.1</f>
        <v>70000</v>
      </c>
      <c r="AU1146" s="119"/>
      <c r="AV1146" s="118">
        <v>17700</v>
      </c>
      <c r="AW1146" s="119"/>
      <c r="AX1146" s="118">
        <f>SUM(AR1146:AW1146)</f>
        <v>787700</v>
      </c>
      <c r="AY1146" s="119"/>
      <c r="AZ1146" s="137"/>
    </row>
    <row r="1147" spans="1:52" ht="17.100000000000001" customHeight="1" thickBot="1">
      <c r="A1147" s="110"/>
      <c r="B1147" s="27" t="s">
        <v>83</v>
      </c>
      <c r="C1147" s="27">
        <v>34510</v>
      </c>
      <c r="D1147" s="14" t="s">
        <v>275</v>
      </c>
      <c r="E1147" s="112"/>
      <c r="F1147" s="139" t="s">
        <v>4057</v>
      </c>
      <c r="G1147" s="140"/>
      <c r="H1147" s="141"/>
      <c r="I1147" s="26">
        <v>89220</v>
      </c>
      <c r="J1147" s="117"/>
      <c r="K1147" s="120"/>
      <c r="L1147" s="121"/>
      <c r="M1147" s="120"/>
      <c r="N1147" s="121"/>
      <c r="O1147" s="120"/>
      <c r="P1147" s="121"/>
      <c r="Q1147" s="120"/>
      <c r="R1147" s="121"/>
      <c r="S1147" s="120"/>
      <c r="T1147" s="121"/>
      <c r="U1147" s="120"/>
      <c r="V1147" s="123"/>
      <c r="W1147" s="125"/>
      <c r="X1147" s="142" t="s">
        <v>4058</v>
      </c>
      <c r="Y1147" s="143"/>
      <c r="Z1147" s="143"/>
      <c r="AA1147" s="143"/>
      <c r="AB1147" s="144"/>
      <c r="AC1147" s="16" t="s">
        <v>21</v>
      </c>
      <c r="AD1147" s="17" t="s">
        <v>4059</v>
      </c>
      <c r="AE1147" s="145" t="s">
        <v>171</v>
      </c>
      <c r="AF1147" s="146"/>
      <c r="AG1147" s="146"/>
      <c r="AH1147" s="146"/>
      <c r="AI1147" s="147"/>
      <c r="AJ1147" s="148"/>
      <c r="AK1147" s="143"/>
      <c r="AL1147" s="144"/>
      <c r="AM1147" s="22"/>
      <c r="AN1147" s="149" t="s">
        <v>6789</v>
      </c>
      <c r="AO1147" s="144"/>
      <c r="AP1147" s="148">
        <v>36749</v>
      </c>
      <c r="AQ1147" s="144"/>
      <c r="AR1147" s="120"/>
      <c r="AS1147" s="121"/>
      <c r="AT1147" s="120"/>
      <c r="AU1147" s="121"/>
      <c r="AV1147" s="120"/>
      <c r="AW1147" s="121"/>
      <c r="AX1147" s="120"/>
      <c r="AY1147" s="121"/>
      <c r="AZ1147" s="138"/>
    </row>
    <row r="1148" spans="1:52" ht="17.100000000000001" customHeight="1" thickTop="1">
      <c r="A1148" s="109" t="s">
        <v>6311</v>
      </c>
      <c r="B1148" s="28">
        <v>45859</v>
      </c>
      <c r="C1148" s="25"/>
      <c r="D1148" s="13" t="s">
        <v>1642</v>
      </c>
      <c r="E1148" s="111"/>
      <c r="F1148" s="113" t="s">
        <v>4060</v>
      </c>
      <c r="G1148" s="114"/>
      <c r="H1148" s="115"/>
      <c r="I1148" s="24" t="s">
        <v>4061</v>
      </c>
      <c r="J1148" s="116">
        <v>4.5</v>
      </c>
      <c r="K1148" s="118">
        <f>1347500/1.1</f>
        <v>1225000</v>
      </c>
      <c r="L1148" s="119"/>
      <c r="M1148" s="118">
        <f>K1148*0.1</f>
        <v>122500</v>
      </c>
      <c r="N1148" s="119"/>
      <c r="O1148" s="118">
        <v>0</v>
      </c>
      <c r="P1148" s="119"/>
      <c r="Q1148" s="118">
        <v>8550</v>
      </c>
      <c r="R1148" s="119"/>
      <c r="S1148" s="118">
        <v>88688</v>
      </c>
      <c r="T1148" s="119"/>
      <c r="U1148" s="118">
        <f>SUM(K1148:T1149)</f>
        <v>1444738</v>
      </c>
      <c r="V1148" s="122"/>
      <c r="W1148" s="124"/>
      <c r="X1148" s="126" t="s">
        <v>4062</v>
      </c>
      <c r="Y1148" s="127"/>
      <c r="Z1148" s="127"/>
      <c r="AA1148" s="127"/>
      <c r="AB1148" s="128"/>
      <c r="AC1148" s="15" t="s">
        <v>20</v>
      </c>
      <c r="AD1148" s="129" t="s">
        <v>1945</v>
      </c>
      <c r="AE1148" s="130"/>
      <c r="AF1148" s="130"/>
      <c r="AG1148" s="130"/>
      <c r="AH1148" s="130"/>
      <c r="AI1148" s="131"/>
      <c r="AJ1148" s="132"/>
      <c r="AK1148" s="127"/>
      <c r="AL1148" s="128"/>
      <c r="AM1148" s="21"/>
      <c r="AN1148" s="133">
        <v>45958</v>
      </c>
      <c r="AO1148" s="134"/>
      <c r="AP1148" s="135">
        <v>1915</v>
      </c>
      <c r="AQ1148" s="136"/>
      <c r="AR1148" s="118">
        <v>1358000</v>
      </c>
      <c r="AS1148" s="119"/>
      <c r="AT1148" s="118">
        <f>AR1148*0.1</f>
        <v>135800</v>
      </c>
      <c r="AU1148" s="119"/>
      <c r="AV1148" s="118">
        <v>8550</v>
      </c>
      <c r="AW1148" s="119"/>
      <c r="AX1148" s="118">
        <f>SUM(AR1148:AW1148)</f>
        <v>1502350</v>
      </c>
      <c r="AY1148" s="119"/>
      <c r="AZ1148" s="137">
        <v>45965</v>
      </c>
    </row>
    <row r="1149" spans="1:52" ht="17.100000000000001" customHeight="1" thickBot="1">
      <c r="A1149" s="110"/>
      <c r="B1149" s="27" t="s">
        <v>1718</v>
      </c>
      <c r="C1149" s="27" t="s">
        <v>4063</v>
      </c>
      <c r="D1149" s="14" t="s">
        <v>275</v>
      </c>
      <c r="E1149" s="112"/>
      <c r="F1149" s="139" t="s">
        <v>4064</v>
      </c>
      <c r="G1149" s="140"/>
      <c r="H1149" s="141"/>
      <c r="I1149" s="26">
        <v>51109</v>
      </c>
      <c r="J1149" s="117"/>
      <c r="K1149" s="120"/>
      <c r="L1149" s="121"/>
      <c r="M1149" s="120"/>
      <c r="N1149" s="121"/>
      <c r="O1149" s="120"/>
      <c r="P1149" s="121"/>
      <c r="Q1149" s="120"/>
      <c r="R1149" s="121"/>
      <c r="S1149" s="120"/>
      <c r="T1149" s="121"/>
      <c r="U1149" s="120"/>
      <c r="V1149" s="123"/>
      <c r="W1149" s="125"/>
      <c r="X1149" s="142" t="s">
        <v>4065</v>
      </c>
      <c r="Y1149" s="143"/>
      <c r="Z1149" s="143"/>
      <c r="AA1149" s="143"/>
      <c r="AB1149" s="144"/>
      <c r="AC1149" s="16" t="s">
        <v>21</v>
      </c>
      <c r="AD1149" s="17" t="s">
        <v>4066</v>
      </c>
      <c r="AE1149" s="145" t="s">
        <v>1614</v>
      </c>
      <c r="AF1149" s="146"/>
      <c r="AG1149" s="146"/>
      <c r="AH1149" s="146"/>
      <c r="AI1149" s="147"/>
      <c r="AJ1149" s="148"/>
      <c r="AK1149" s="143"/>
      <c r="AL1149" s="144"/>
      <c r="AM1149" s="22"/>
      <c r="AN1149" s="149" t="s">
        <v>2131</v>
      </c>
      <c r="AO1149" s="144"/>
      <c r="AP1149" s="148">
        <v>3261</v>
      </c>
      <c r="AQ1149" s="144"/>
      <c r="AR1149" s="120"/>
      <c r="AS1149" s="121"/>
      <c r="AT1149" s="120"/>
      <c r="AU1149" s="121"/>
      <c r="AV1149" s="120"/>
      <c r="AW1149" s="121"/>
      <c r="AX1149" s="120"/>
      <c r="AY1149" s="121"/>
      <c r="AZ1149" s="138"/>
    </row>
    <row r="1150" spans="1:52" ht="17.100000000000001" customHeight="1" thickTop="1">
      <c r="A1150" s="109" t="s">
        <v>6312</v>
      </c>
      <c r="B1150" s="28">
        <v>45859</v>
      </c>
      <c r="C1150" s="25"/>
      <c r="D1150" s="13" t="s">
        <v>2014</v>
      </c>
      <c r="E1150" s="111"/>
      <c r="F1150" s="113" t="s">
        <v>4067</v>
      </c>
      <c r="G1150" s="114"/>
      <c r="H1150" s="115"/>
      <c r="I1150" s="24" t="s">
        <v>4068</v>
      </c>
      <c r="J1150" s="116">
        <v>4</v>
      </c>
      <c r="K1150" s="118">
        <f>1424500/1.1</f>
        <v>1295000</v>
      </c>
      <c r="L1150" s="119"/>
      <c r="M1150" s="118">
        <f>K1150*0.1</f>
        <v>129500</v>
      </c>
      <c r="N1150" s="119"/>
      <c r="O1150" s="118">
        <v>0</v>
      </c>
      <c r="P1150" s="119"/>
      <c r="Q1150" s="118">
        <v>8570</v>
      </c>
      <c r="R1150" s="119"/>
      <c r="S1150" s="118">
        <v>90613</v>
      </c>
      <c r="T1150" s="119"/>
      <c r="U1150" s="118">
        <f>SUM(K1150:T1151)</f>
        <v>1523683</v>
      </c>
      <c r="V1150" s="122"/>
      <c r="W1150" s="124"/>
      <c r="X1150" s="126" t="s">
        <v>4069</v>
      </c>
      <c r="Y1150" s="127"/>
      <c r="Z1150" s="127"/>
      <c r="AA1150" s="127"/>
      <c r="AB1150" s="128"/>
      <c r="AC1150" s="15" t="s">
        <v>20</v>
      </c>
      <c r="AD1150" s="129" t="s">
        <v>1945</v>
      </c>
      <c r="AE1150" s="130"/>
      <c r="AF1150" s="130"/>
      <c r="AG1150" s="130"/>
      <c r="AH1150" s="130"/>
      <c r="AI1150" s="131"/>
      <c r="AJ1150" s="132"/>
      <c r="AK1150" s="127"/>
      <c r="AL1150" s="128"/>
      <c r="AM1150" s="21" t="s">
        <v>7346</v>
      </c>
      <c r="AN1150" s="133">
        <v>45934</v>
      </c>
      <c r="AO1150" s="134"/>
      <c r="AP1150" s="135">
        <v>1270</v>
      </c>
      <c r="AQ1150" s="136"/>
      <c r="AR1150" s="118">
        <v>1310000</v>
      </c>
      <c r="AS1150" s="119"/>
      <c r="AT1150" s="118">
        <f>AR1150*0.1</f>
        <v>131000</v>
      </c>
      <c r="AU1150" s="119"/>
      <c r="AV1150" s="118">
        <v>8570</v>
      </c>
      <c r="AW1150" s="119"/>
      <c r="AX1150" s="118">
        <f>SUM(AR1150:AW1150)</f>
        <v>1449570</v>
      </c>
      <c r="AY1150" s="119"/>
      <c r="AZ1150" s="137">
        <v>45939</v>
      </c>
    </row>
    <row r="1151" spans="1:52" ht="17.100000000000001" customHeight="1" thickBot="1">
      <c r="A1151" s="110"/>
      <c r="B1151" s="27" t="s">
        <v>1718</v>
      </c>
      <c r="C1151" s="27" t="s">
        <v>4070</v>
      </c>
      <c r="D1151" s="14" t="s">
        <v>275</v>
      </c>
      <c r="E1151" s="112"/>
      <c r="F1151" s="139" t="s">
        <v>4071</v>
      </c>
      <c r="G1151" s="140"/>
      <c r="H1151" s="141"/>
      <c r="I1151" s="26">
        <v>6257</v>
      </c>
      <c r="J1151" s="117"/>
      <c r="K1151" s="120"/>
      <c r="L1151" s="121"/>
      <c r="M1151" s="120"/>
      <c r="N1151" s="121"/>
      <c r="O1151" s="120"/>
      <c r="P1151" s="121"/>
      <c r="Q1151" s="120"/>
      <c r="R1151" s="121"/>
      <c r="S1151" s="120"/>
      <c r="T1151" s="121"/>
      <c r="U1151" s="120"/>
      <c r="V1151" s="123"/>
      <c r="W1151" s="125"/>
      <c r="X1151" s="142" t="s">
        <v>4072</v>
      </c>
      <c r="Y1151" s="143"/>
      <c r="Z1151" s="143"/>
      <c r="AA1151" s="143"/>
      <c r="AB1151" s="144"/>
      <c r="AC1151" s="16" t="s">
        <v>21</v>
      </c>
      <c r="AD1151" s="17" t="s">
        <v>2969</v>
      </c>
      <c r="AE1151" s="145" t="s">
        <v>2347</v>
      </c>
      <c r="AF1151" s="146"/>
      <c r="AG1151" s="146"/>
      <c r="AH1151" s="146"/>
      <c r="AI1151" s="147"/>
      <c r="AJ1151" s="148"/>
      <c r="AK1151" s="143"/>
      <c r="AL1151" s="144"/>
      <c r="AM1151" s="22"/>
      <c r="AN1151" s="149" t="s">
        <v>7284</v>
      </c>
      <c r="AO1151" s="144"/>
      <c r="AP1151" s="148">
        <v>60259</v>
      </c>
      <c r="AQ1151" s="144"/>
      <c r="AR1151" s="120"/>
      <c r="AS1151" s="121"/>
      <c r="AT1151" s="120"/>
      <c r="AU1151" s="121"/>
      <c r="AV1151" s="120"/>
      <c r="AW1151" s="121"/>
      <c r="AX1151" s="120"/>
      <c r="AY1151" s="121"/>
      <c r="AZ1151" s="138"/>
    </row>
    <row r="1152" spans="1:52" ht="17.100000000000001" customHeight="1" thickTop="1">
      <c r="A1152" s="109" t="s">
        <v>6313</v>
      </c>
      <c r="B1152" s="28">
        <v>45860</v>
      </c>
      <c r="C1152" s="25">
        <v>900</v>
      </c>
      <c r="D1152" s="13" t="s">
        <v>1649</v>
      </c>
      <c r="E1152" s="111"/>
      <c r="F1152" s="113" t="s">
        <v>3853</v>
      </c>
      <c r="G1152" s="114"/>
      <c r="H1152" s="115"/>
      <c r="I1152" s="24" t="s">
        <v>2858</v>
      </c>
      <c r="J1152" s="116">
        <v>4</v>
      </c>
      <c r="K1152" s="118">
        <v>358000</v>
      </c>
      <c r="L1152" s="119"/>
      <c r="M1152" s="118">
        <f>K1152*0.1</f>
        <v>35800</v>
      </c>
      <c r="N1152" s="119"/>
      <c r="O1152" s="118">
        <v>0</v>
      </c>
      <c r="P1152" s="119"/>
      <c r="Q1152" s="118">
        <v>9070</v>
      </c>
      <c r="R1152" s="119"/>
      <c r="S1152" s="118">
        <v>15950</v>
      </c>
      <c r="T1152" s="119"/>
      <c r="U1152" s="118">
        <f>SUM(K1152:T1153)</f>
        <v>418820</v>
      </c>
      <c r="V1152" s="122"/>
      <c r="W1152" s="124"/>
      <c r="X1152" s="126" t="s">
        <v>4073</v>
      </c>
      <c r="Y1152" s="127"/>
      <c r="Z1152" s="127"/>
      <c r="AA1152" s="127"/>
      <c r="AB1152" s="128"/>
      <c r="AC1152" s="15" t="s">
        <v>20</v>
      </c>
      <c r="AD1152" s="129"/>
      <c r="AE1152" s="130"/>
      <c r="AF1152" s="130"/>
      <c r="AG1152" s="130"/>
      <c r="AH1152" s="130"/>
      <c r="AI1152" s="131"/>
      <c r="AJ1152" s="132"/>
      <c r="AK1152" s="127"/>
      <c r="AL1152" s="128"/>
      <c r="AM1152" s="21" t="s">
        <v>4074</v>
      </c>
      <c r="AN1152" s="133">
        <v>45948</v>
      </c>
      <c r="AO1152" s="134"/>
      <c r="AP1152" s="135">
        <v>1272</v>
      </c>
      <c r="AQ1152" s="136"/>
      <c r="AR1152" s="118">
        <v>365000</v>
      </c>
      <c r="AS1152" s="119"/>
      <c r="AT1152" s="118">
        <f>AR1152*0.1</f>
        <v>36500</v>
      </c>
      <c r="AU1152" s="119"/>
      <c r="AV1152" s="118">
        <v>9070</v>
      </c>
      <c r="AW1152" s="119"/>
      <c r="AX1152" s="118">
        <f>SUM(AR1152:AW1152)</f>
        <v>410570</v>
      </c>
      <c r="AY1152" s="119"/>
      <c r="AZ1152" s="137">
        <v>45951</v>
      </c>
    </row>
    <row r="1153" spans="1:52" ht="17.100000000000001" customHeight="1" thickBot="1">
      <c r="A1153" s="110"/>
      <c r="B1153" s="27" t="s">
        <v>2699</v>
      </c>
      <c r="C1153" s="27">
        <v>3026</v>
      </c>
      <c r="D1153" s="14" t="s">
        <v>3855</v>
      </c>
      <c r="E1153" s="112"/>
      <c r="F1153" s="139" t="s">
        <v>4075</v>
      </c>
      <c r="G1153" s="140"/>
      <c r="H1153" s="141"/>
      <c r="I1153" s="26">
        <v>48080</v>
      </c>
      <c r="J1153" s="117"/>
      <c r="K1153" s="120"/>
      <c r="L1153" s="121"/>
      <c r="M1153" s="120"/>
      <c r="N1153" s="121"/>
      <c r="O1153" s="120"/>
      <c r="P1153" s="121"/>
      <c r="Q1153" s="120"/>
      <c r="R1153" s="121"/>
      <c r="S1153" s="120"/>
      <c r="T1153" s="121"/>
      <c r="U1153" s="120"/>
      <c r="V1153" s="123"/>
      <c r="W1153" s="125"/>
      <c r="X1153" s="142" t="s">
        <v>4076</v>
      </c>
      <c r="Y1153" s="143"/>
      <c r="Z1153" s="143"/>
      <c r="AA1153" s="143"/>
      <c r="AB1153" s="144"/>
      <c r="AC1153" s="16" t="s">
        <v>21</v>
      </c>
      <c r="AD1153" s="17" t="s">
        <v>2079</v>
      </c>
      <c r="AE1153" s="145" t="s">
        <v>4077</v>
      </c>
      <c r="AF1153" s="146"/>
      <c r="AG1153" s="146"/>
      <c r="AH1153" s="146"/>
      <c r="AI1153" s="147"/>
      <c r="AJ1153" s="148" t="s">
        <v>3727</v>
      </c>
      <c r="AK1153" s="143"/>
      <c r="AL1153" s="144"/>
      <c r="AM1153" s="22"/>
      <c r="AN1153" s="149" t="s">
        <v>2511</v>
      </c>
      <c r="AO1153" s="144"/>
      <c r="AP1153" s="148">
        <v>60091</v>
      </c>
      <c r="AQ1153" s="144"/>
      <c r="AR1153" s="120"/>
      <c r="AS1153" s="121"/>
      <c r="AT1153" s="120"/>
      <c r="AU1153" s="121"/>
      <c r="AV1153" s="120"/>
      <c r="AW1153" s="121"/>
      <c r="AX1153" s="120"/>
      <c r="AY1153" s="121"/>
      <c r="AZ1153" s="138"/>
    </row>
    <row r="1154" spans="1:52" ht="17.100000000000001" customHeight="1" thickTop="1">
      <c r="A1154" s="109" t="s">
        <v>6314</v>
      </c>
      <c r="B1154" s="28">
        <v>45860</v>
      </c>
      <c r="C1154" s="25">
        <v>1015</v>
      </c>
      <c r="D1154" s="13" t="s">
        <v>3322</v>
      </c>
      <c r="E1154" s="111"/>
      <c r="F1154" s="113" t="s">
        <v>4078</v>
      </c>
      <c r="G1154" s="114"/>
      <c r="H1154" s="115"/>
      <c r="I1154" s="24"/>
      <c r="J1154" s="116">
        <v>4.5</v>
      </c>
      <c r="K1154" s="118">
        <v>850000</v>
      </c>
      <c r="L1154" s="119"/>
      <c r="M1154" s="118">
        <f>K1154*0.1</f>
        <v>85000</v>
      </c>
      <c r="N1154" s="119"/>
      <c r="O1154" s="118">
        <v>0</v>
      </c>
      <c r="P1154" s="119"/>
      <c r="Q1154" s="118">
        <v>16240</v>
      </c>
      <c r="R1154" s="119"/>
      <c r="S1154" s="118">
        <v>18150</v>
      </c>
      <c r="T1154" s="119"/>
      <c r="U1154" s="118">
        <f>SUM(K1154:T1155)</f>
        <v>969390</v>
      </c>
      <c r="V1154" s="122"/>
      <c r="W1154" s="124"/>
      <c r="X1154" s="126" t="s">
        <v>4079</v>
      </c>
      <c r="Y1154" s="127"/>
      <c r="Z1154" s="127"/>
      <c r="AA1154" s="127"/>
      <c r="AB1154" s="128"/>
      <c r="AC1154" s="15" t="s">
        <v>20</v>
      </c>
      <c r="AD1154" s="129" t="s">
        <v>4080</v>
      </c>
      <c r="AE1154" s="130"/>
      <c r="AF1154" s="130"/>
      <c r="AG1154" s="130"/>
      <c r="AH1154" s="130"/>
      <c r="AI1154" s="131"/>
      <c r="AJ1154" s="132"/>
      <c r="AK1154" s="127"/>
      <c r="AL1154" s="128"/>
      <c r="AM1154" s="21"/>
      <c r="AN1154" s="133">
        <v>45945</v>
      </c>
      <c r="AO1154" s="134"/>
      <c r="AP1154" s="135">
        <v>988</v>
      </c>
      <c r="AQ1154" s="136"/>
      <c r="AR1154" s="118">
        <v>950000</v>
      </c>
      <c r="AS1154" s="119"/>
      <c r="AT1154" s="118">
        <f>AR1154*0.1</f>
        <v>95000</v>
      </c>
      <c r="AU1154" s="119"/>
      <c r="AV1154" s="118">
        <v>16240</v>
      </c>
      <c r="AW1154" s="119"/>
      <c r="AX1154" s="118">
        <f>SUM(AR1154:AW1154)</f>
        <v>1061240</v>
      </c>
      <c r="AY1154" s="119"/>
      <c r="AZ1154" s="137">
        <v>45950</v>
      </c>
    </row>
    <row r="1155" spans="1:52" ht="17.100000000000001" customHeight="1" thickBot="1">
      <c r="A1155" s="110"/>
      <c r="B1155" s="27" t="s">
        <v>4081</v>
      </c>
      <c r="C1155" s="27">
        <v>30134</v>
      </c>
      <c r="D1155" s="14" t="s">
        <v>904</v>
      </c>
      <c r="E1155" s="112"/>
      <c r="F1155" s="139" t="s">
        <v>4082</v>
      </c>
      <c r="G1155" s="140"/>
      <c r="H1155" s="141"/>
      <c r="I1155" s="26">
        <v>37217</v>
      </c>
      <c r="J1155" s="117"/>
      <c r="K1155" s="120"/>
      <c r="L1155" s="121"/>
      <c r="M1155" s="120"/>
      <c r="N1155" s="121"/>
      <c r="O1155" s="120"/>
      <c r="P1155" s="121"/>
      <c r="Q1155" s="120"/>
      <c r="R1155" s="121"/>
      <c r="S1155" s="120"/>
      <c r="T1155" s="121"/>
      <c r="U1155" s="120"/>
      <c r="V1155" s="123"/>
      <c r="W1155" s="125"/>
      <c r="X1155" s="142" t="s">
        <v>2918</v>
      </c>
      <c r="Y1155" s="143"/>
      <c r="Z1155" s="143"/>
      <c r="AA1155" s="143"/>
      <c r="AB1155" s="144"/>
      <c r="AC1155" s="16" t="s">
        <v>21</v>
      </c>
      <c r="AD1155" s="17" t="s">
        <v>2514</v>
      </c>
      <c r="AE1155" s="145" t="s">
        <v>1614</v>
      </c>
      <c r="AF1155" s="146"/>
      <c r="AG1155" s="146"/>
      <c r="AH1155" s="146"/>
      <c r="AI1155" s="147"/>
      <c r="AJ1155" s="148"/>
      <c r="AK1155" s="143"/>
      <c r="AL1155" s="144"/>
      <c r="AM1155" s="22"/>
      <c r="AN1155" s="149" t="s">
        <v>2794</v>
      </c>
      <c r="AO1155" s="144"/>
      <c r="AP1155" s="148">
        <v>6028</v>
      </c>
      <c r="AQ1155" s="144"/>
      <c r="AR1155" s="120"/>
      <c r="AS1155" s="121"/>
      <c r="AT1155" s="120"/>
      <c r="AU1155" s="121"/>
      <c r="AV1155" s="120"/>
      <c r="AW1155" s="121"/>
      <c r="AX1155" s="120"/>
      <c r="AY1155" s="121"/>
      <c r="AZ1155" s="138"/>
    </row>
    <row r="1156" spans="1:52" ht="17.100000000000001" customHeight="1" thickTop="1">
      <c r="A1156" s="109" t="s">
        <v>6315</v>
      </c>
      <c r="B1156" s="28">
        <v>45860</v>
      </c>
      <c r="C1156" s="25">
        <v>950</v>
      </c>
      <c r="D1156" s="13" t="s">
        <v>2458</v>
      </c>
      <c r="E1156" s="111"/>
      <c r="F1156" s="113" t="s">
        <v>4083</v>
      </c>
      <c r="G1156" s="114"/>
      <c r="H1156" s="115"/>
      <c r="I1156" s="24"/>
      <c r="J1156" s="116">
        <v>4</v>
      </c>
      <c r="K1156" s="118">
        <v>628000</v>
      </c>
      <c r="L1156" s="119"/>
      <c r="M1156" s="118">
        <v>0</v>
      </c>
      <c r="N1156" s="119"/>
      <c r="O1156" s="118">
        <v>0</v>
      </c>
      <c r="P1156" s="119"/>
      <c r="Q1156" s="118">
        <v>9200</v>
      </c>
      <c r="R1156" s="119"/>
      <c r="S1156" s="118">
        <v>22000</v>
      </c>
      <c r="T1156" s="119"/>
      <c r="U1156" s="118">
        <f>SUM(K1156:T1157)</f>
        <v>659200</v>
      </c>
      <c r="V1156" s="122"/>
      <c r="W1156" s="124"/>
      <c r="X1156" s="126" t="s">
        <v>4084</v>
      </c>
      <c r="Y1156" s="127"/>
      <c r="Z1156" s="127"/>
      <c r="AA1156" s="127"/>
      <c r="AB1156" s="128"/>
      <c r="AC1156" s="15" t="s">
        <v>20</v>
      </c>
      <c r="AD1156" s="129" t="s">
        <v>2054</v>
      </c>
      <c r="AE1156" s="130"/>
      <c r="AF1156" s="130"/>
      <c r="AG1156" s="130"/>
      <c r="AH1156" s="130"/>
      <c r="AI1156" s="131"/>
      <c r="AJ1156" s="132"/>
      <c r="AK1156" s="127"/>
      <c r="AL1156" s="128"/>
      <c r="AM1156" s="21"/>
      <c r="AN1156" s="133">
        <v>45990</v>
      </c>
      <c r="AO1156" s="134"/>
      <c r="AP1156" s="135">
        <v>1278</v>
      </c>
      <c r="AQ1156" s="136"/>
      <c r="AR1156" s="118">
        <v>645000</v>
      </c>
      <c r="AS1156" s="119"/>
      <c r="AT1156" s="118">
        <f>AR1156*0.1</f>
        <v>64500</v>
      </c>
      <c r="AU1156" s="119"/>
      <c r="AV1156" s="118">
        <v>9200</v>
      </c>
      <c r="AW1156" s="119"/>
      <c r="AX1156" s="118">
        <f>SUM(AR1156:AW1156)</f>
        <v>718700</v>
      </c>
      <c r="AY1156" s="119"/>
      <c r="AZ1156" s="137">
        <v>45994</v>
      </c>
    </row>
    <row r="1157" spans="1:52" ht="17.100000000000001" customHeight="1" thickBot="1">
      <c r="A1157" s="110"/>
      <c r="B1157" s="27" t="s">
        <v>2055</v>
      </c>
      <c r="C1157" s="27">
        <v>298</v>
      </c>
      <c r="D1157" s="14" t="s">
        <v>1720</v>
      </c>
      <c r="E1157" s="112"/>
      <c r="F1157" s="139" t="s">
        <v>4085</v>
      </c>
      <c r="G1157" s="140"/>
      <c r="H1157" s="141"/>
      <c r="I1157" s="26">
        <v>43075</v>
      </c>
      <c r="J1157" s="117"/>
      <c r="K1157" s="120"/>
      <c r="L1157" s="121"/>
      <c r="M1157" s="120"/>
      <c r="N1157" s="121"/>
      <c r="O1157" s="120"/>
      <c r="P1157" s="121"/>
      <c r="Q1157" s="120"/>
      <c r="R1157" s="121"/>
      <c r="S1157" s="120"/>
      <c r="T1157" s="121"/>
      <c r="U1157" s="120"/>
      <c r="V1157" s="123"/>
      <c r="W1157" s="125"/>
      <c r="X1157" s="142" t="s">
        <v>2057</v>
      </c>
      <c r="Y1157" s="143"/>
      <c r="Z1157" s="143"/>
      <c r="AA1157" s="143"/>
      <c r="AB1157" s="144"/>
      <c r="AC1157" s="16" t="s">
        <v>21</v>
      </c>
      <c r="AD1157" s="17" t="s">
        <v>3399</v>
      </c>
      <c r="AE1157" s="145" t="s">
        <v>4086</v>
      </c>
      <c r="AF1157" s="146"/>
      <c r="AG1157" s="146"/>
      <c r="AH1157" s="146"/>
      <c r="AI1157" s="147"/>
      <c r="AJ1157" s="148"/>
      <c r="AK1157" s="143"/>
      <c r="AL1157" s="144"/>
      <c r="AM1157" s="22"/>
      <c r="AN1157" s="149" t="s">
        <v>2511</v>
      </c>
      <c r="AO1157" s="144"/>
      <c r="AP1157" s="148">
        <v>60201</v>
      </c>
      <c r="AQ1157" s="144"/>
      <c r="AR1157" s="120"/>
      <c r="AS1157" s="121"/>
      <c r="AT1157" s="120"/>
      <c r="AU1157" s="121"/>
      <c r="AV1157" s="120"/>
      <c r="AW1157" s="121"/>
      <c r="AX1157" s="120"/>
      <c r="AY1157" s="121"/>
      <c r="AZ1157" s="138"/>
    </row>
    <row r="1158" spans="1:52" ht="17.100000000000001" customHeight="1" thickTop="1">
      <c r="A1158" s="109" t="s">
        <v>6316</v>
      </c>
      <c r="B1158" s="28">
        <v>45861</v>
      </c>
      <c r="C1158" s="25">
        <v>1798</v>
      </c>
      <c r="D1158" s="13" t="s">
        <v>1937</v>
      </c>
      <c r="E1158" s="111"/>
      <c r="F1158" s="113" t="s">
        <v>4021</v>
      </c>
      <c r="G1158" s="114"/>
      <c r="H1158" s="115"/>
      <c r="I1158" s="24"/>
      <c r="J1158" s="116">
        <v>4.5</v>
      </c>
      <c r="K1158" s="118">
        <v>652000</v>
      </c>
      <c r="L1158" s="119"/>
      <c r="M1158" s="118">
        <f>K1158*0.1</f>
        <v>65200</v>
      </c>
      <c r="N1158" s="119"/>
      <c r="O1158" s="118">
        <v>0</v>
      </c>
      <c r="P1158" s="119"/>
      <c r="Q1158" s="118">
        <v>9790</v>
      </c>
      <c r="R1158" s="119"/>
      <c r="S1158" s="118">
        <v>18150</v>
      </c>
      <c r="T1158" s="119"/>
      <c r="U1158" s="118">
        <f>SUM(K1158:T1159)</f>
        <v>745140</v>
      </c>
      <c r="V1158" s="122"/>
      <c r="W1158" s="124"/>
      <c r="X1158" s="126" t="s">
        <v>4087</v>
      </c>
      <c r="Y1158" s="127"/>
      <c r="Z1158" s="127"/>
      <c r="AA1158" s="127"/>
      <c r="AB1158" s="128"/>
      <c r="AC1158" s="15" t="s">
        <v>20</v>
      </c>
      <c r="AD1158" s="129" t="s">
        <v>4088</v>
      </c>
      <c r="AE1158" s="130"/>
      <c r="AF1158" s="130"/>
      <c r="AG1158" s="130"/>
      <c r="AH1158" s="130"/>
      <c r="AI1158" s="131"/>
      <c r="AJ1158" s="132"/>
      <c r="AK1158" s="127"/>
      <c r="AL1158" s="128"/>
      <c r="AM1158" s="21"/>
      <c r="AN1158" s="133">
        <v>45952</v>
      </c>
      <c r="AO1158" s="134"/>
      <c r="AP1158" s="135">
        <v>989</v>
      </c>
      <c r="AQ1158" s="136"/>
      <c r="AR1158" s="118">
        <v>710000</v>
      </c>
      <c r="AS1158" s="119"/>
      <c r="AT1158" s="118">
        <f>AR1158*0.1</f>
        <v>71000</v>
      </c>
      <c r="AU1158" s="119"/>
      <c r="AV1158" s="118">
        <v>9790</v>
      </c>
      <c r="AW1158" s="119"/>
      <c r="AX1158" s="118">
        <f>SUM(AR1158:AW1158)</f>
        <v>790790</v>
      </c>
      <c r="AY1158" s="119"/>
      <c r="AZ1158" s="137">
        <v>45957</v>
      </c>
    </row>
    <row r="1159" spans="1:52" ht="17.100000000000001" customHeight="1" thickBot="1">
      <c r="A1159" s="110"/>
      <c r="B1159" s="27" t="s">
        <v>2559</v>
      </c>
      <c r="C1159" s="27">
        <v>3283</v>
      </c>
      <c r="D1159" s="14" t="s">
        <v>4023</v>
      </c>
      <c r="E1159" s="112"/>
      <c r="F1159" s="139" t="s">
        <v>4089</v>
      </c>
      <c r="G1159" s="140"/>
      <c r="H1159" s="141"/>
      <c r="I1159" s="26">
        <v>70350</v>
      </c>
      <c r="J1159" s="117"/>
      <c r="K1159" s="120"/>
      <c r="L1159" s="121"/>
      <c r="M1159" s="120"/>
      <c r="N1159" s="121"/>
      <c r="O1159" s="120"/>
      <c r="P1159" s="121"/>
      <c r="Q1159" s="120"/>
      <c r="R1159" s="121"/>
      <c r="S1159" s="120"/>
      <c r="T1159" s="121"/>
      <c r="U1159" s="120"/>
      <c r="V1159" s="123"/>
      <c r="W1159" s="125"/>
      <c r="X1159" s="142" t="s">
        <v>4090</v>
      </c>
      <c r="Y1159" s="143"/>
      <c r="Z1159" s="143"/>
      <c r="AA1159" s="143"/>
      <c r="AB1159" s="144"/>
      <c r="AC1159" s="16" t="s">
        <v>21</v>
      </c>
      <c r="AD1159" s="17" t="s">
        <v>4059</v>
      </c>
      <c r="AE1159" s="145" t="s">
        <v>4091</v>
      </c>
      <c r="AF1159" s="146"/>
      <c r="AG1159" s="146"/>
      <c r="AH1159" s="146"/>
      <c r="AI1159" s="147"/>
      <c r="AJ1159" s="148"/>
      <c r="AK1159" s="143"/>
      <c r="AL1159" s="144"/>
      <c r="AM1159" s="22"/>
      <c r="AN1159" s="149" t="s">
        <v>2794</v>
      </c>
      <c r="AO1159" s="144"/>
      <c r="AP1159" s="148">
        <v>2007</v>
      </c>
      <c r="AQ1159" s="144"/>
      <c r="AR1159" s="120"/>
      <c r="AS1159" s="121"/>
      <c r="AT1159" s="120"/>
      <c r="AU1159" s="121"/>
      <c r="AV1159" s="120"/>
      <c r="AW1159" s="121"/>
      <c r="AX1159" s="120"/>
      <c r="AY1159" s="121"/>
      <c r="AZ1159" s="138"/>
    </row>
    <row r="1160" spans="1:52" ht="17.100000000000001" customHeight="1" thickTop="1">
      <c r="A1160" s="109" t="s">
        <v>6317</v>
      </c>
      <c r="B1160" s="28">
        <v>45864</v>
      </c>
      <c r="C1160" s="25">
        <v>1261</v>
      </c>
      <c r="D1160" s="13" t="s">
        <v>2941</v>
      </c>
      <c r="E1160" s="111"/>
      <c r="F1160" s="113" t="s">
        <v>4092</v>
      </c>
      <c r="G1160" s="114"/>
      <c r="H1160" s="115"/>
      <c r="I1160" s="24" t="s">
        <v>4093</v>
      </c>
      <c r="J1160" s="116">
        <v>4.5</v>
      </c>
      <c r="K1160" s="118">
        <v>2015000</v>
      </c>
      <c r="L1160" s="119"/>
      <c r="M1160" s="118">
        <f>K1160*0.1</f>
        <v>201500</v>
      </c>
      <c r="N1160" s="119"/>
      <c r="O1160" s="118">
        <f>26300+2630</f>
        <v>28930</v>
      </c>
      <c r="P1160" s="119"/>
      <c r="Q1160" s="118">
        <v>22910</v>
      </c>
      <c r="R1160" s="119"/>
      <c r="S1160" s="118">
        <v>16500</v>
      </c>
      <c r="T1160" s="119"/>
      <c r="U1160" s="118">
        <f>SUM(K1160:T1161)</f>
        <v>2284840</v>
      </c>
      <c r="V1160" s="122"/>
      <c r="W1160" s="124"/>
      <c r="X1160" s="126" t="s">
        <v>4094</v>
      </c>
      <c r="Y1160" s="127"/>
      <c r="Z1160" s="127"/>
      <c r="AA1160" s="127"/>
      <c r="AB1160" s="128"/>
      <c r="AC1160" s="15" t="s">
        <v>20</v>
      </c>
      <c r="AD1160" s="129" t="s">
        <v>1575</v>
      </c>
      <c r="AE1160" s="130"/>
      <c r="AF1160" s="130"/>
      <c r="AG1160" s="130"/>
      <c r="AH1160" s="130"/>
      <c r="AI1160" s="131"/>
      <c r="AJ1160" s="132"/>
      <c r="AK1160" s="127"/>
      <c r="AL1160" s="128"/>
      <c r="AM1160" s="21"/>
      <c r="AN1160" s="133"/>
      <c r="AO1160" s="134"/>
      <c r="AP1160" s="135"/>
      <c r="AQ1160" s="136"/>
      <c r="AR1160" s="118"/>
      <c r="AS1160" s="119"/>
      <c r="AT1160" s="118">
        <f>AR1160*0.1</f>
        <v>0</v>
      </c>
      <c r="AU1160" s="119"/>
      <c r="AV1160" s="118"/>
      <c r="AW1160" s="119"/>
      <c r="AX1160" s="118">
        <f>SUM(AR1160:AW1160)</f>
        <v>0</v>
      </c>
      <c r="AY1160" s="119"/>
      <c r="AZ1160" s="137"/>
    </row>
    <row r="1161" spans="1:52" ht="17.100000000000001" customHeight="1" thickBot="1">
      <c r="A1161" s="110"/>
      <c r="B1161" s="27" t="s">
        <v>2511</v>
      </c>
      <c r="C1161" s="27">
        <v>80306</v>
      </c>
      <c r="D1161" s="14" t="s">
        <v>1592</v>
      </c>
      <c r="E1161" s="112"/>
      <c r="F1161" s="139" t="s">
        <v>4095</v>
      </c>
      <c r="G1161" s="140"/>
      <c r="H1161" s="141"/>
      <c r="I1161" s="26">
        <v>51605</v>
      </c>
      <c r="J1161" s="117"/>
      <c r="K1161" s="120"/>
      <c r="L1161" s="121"/>
      <c r="M1161" s="120"/>
      <c r="N1161" s="121"/>
      <c r="O1161" s="120"/>
      <c r="P1161" s="121"/>
      <c r="Q1161" s="120"/>
      <c r="R1161" s="121"/>
      <c r="S1161" s="120"/>
      <c r="T1161" s="121"/>
      <c r="U1161" s="120"/>
      <c r="V1161" s="123"/>
      <c r="W1161" s="125"/>
      <c r="X1161" s="142" t="s">
        <v>1861</v>
      </c>
      <c r="Y1161" s="143"/>
      <c r="Z1161" s="143"/>
      <c r="AA1161" s="143"/>
      <c r="AB1161" s="144"/>
      <c r="AC1161" s="16" t="s">
        <v>21</v>
      </c>
      <c r="AD1161" s="17" t="s">
        <v>2943</v>
      </c>
      <c r="AE1161" s="145" t="s">
        <v>1614</v>
      </c>
      <c r="AF1161" s="146"/>
      <c r="AG1161" s="146"/>
      <c r="AH1161" s="146"/>
      <c r="AI1161" s="147"/>
      <c r="AJ1161" s="148"/>
      <c r="AK1161" s="143"/>
      <c r="AL1161" s="144"/>
      <c r="AM1161" s="22" t="s">
        <v>51</v>
      </c>
      <c r="AN1161" s="149"/>
      <c r="AO1161" s="144"/>
      <c r="AP1161" s="148"/>
      <c r="AQ1161" s="144"/>
      <c r="AR1161" s="120"/>
      <c r="AS1161" s="121"/>
      <c r="AT1161" s="120"/>
      <c r="AU1161" s="121"/>
      <c r="AV1161" s="120"/>
      <c r="AW1161" s="121"/>
      <c r="AX1161" s="120"/>
      <c r="AY1161" s="121"/>
      <c r="AZ1161" s="138"/>
    </row>
    <row r="1162" spans="1:52" ht="17.100000000000001" customHeight="1" thickTop="1">
      <c r="A1162" s="109" t="s">
        <v>6318</v>
      </c>
      <c r="B1162" s="28">
        <v>45866</v>
      </c>
      <c r="C1162" s="25">
        <v>1172</v>
      </c>
      <c r="D1162" s="13" t="s">
        <v>2458</v>
      </c>
      <c r="E1162" s="111"/>
      <c r="F1162" s="113" t="s">
        <v>1871</v>
      </c>
      <c r="G1162" s="114"/>
      <c r="H1162" s="115"/>
      <c r="I1162" s="24" t="s">
        <v>4096</v>
      </c>
      <c r="J1162" s="116">
        <v>4</v>
      </c>
      <c r="K1162" s="118">
        <v>865000</v>
      </c>
      <c r="L1162" s="119"/>
      <c r="M1162" s="118">
        <f>K1162*0.1</f>
        <v>86500</v>
      </c>
      <c r="N1162" s="119"/>
      <c r="O1162" s="118">
        <f>26300+2630</f>
        <v>28930</v>
      </c>
      <c r="P1162" s="119"/>
      <c r="Q1162" s="118">
        <v>17700</v>
      </c>
      <c r="R1162" s="119"/>
      <c r="S1162" s="118">
        <v>15950</v>
      </c>
      <c r="T1162" s="119"/>
      <c r="U1162" s="118">
        <f>SUM(K1162:T1163)</f>
        <v>1014080</v>
      </c>
      <c r="V1162" s="122"/>
      <c r="W1162" s="124"/>
      <c r="X1162" s="126" t="s">
        <v>4097</v>
      </c>
      <c r="Y1162" s="127"/>
      <c r="Z1162" s="127"/>
      <c r="AA1162" s="127"/>
      <c r="AB1162" s="128"/>
      <c r="AC1162" s="15" t="s">
        <v>20</v>
      </c>
      <c r="AD1162" s="129" t="s">
        <v>1670</v>
      </c>
      <c r="AE1162" s="130"/>
      <c r="AF1162" s="130"/>
      <c r="AG1162" s="130"/>
      <c r="AH1162" s="130"/>
      <c r="AI1162" s="131"/>
      <c r="AJ1162" s="132"/>
      <c r="AK1162" s="127"/>
      <c r="AL1162" s="128"/>
      <c r="AM1162" s="21" t="s">
        <v>4098</v>
      </c>
      <c r="AN1162" s="133">
        <v>45941</v>
      </c>
      <c r="AO1162" s="134"/>
      <c r="AP1162" s="135">
        <v>1271</v>
      </c>
      <c r="AQ1162" s="136"/>
      <c r="AR1162" s="118">
        <v>970000</v>
      </c>
      <c r="AS1162" s="119"/>
      <c r="AT1162" s="118">
        <f>AR1162*0.1</f>
        <v>97000</v>
      </c>
      <c r="AU1162" s="119"/>
      <c r="AV1162" s="118">
        <v>17700</v>
      </c>
      <c r="AW1162" s="119"/>
      <c r="AX1162" s="118">
        <f>SUM(AR1162:AW1162)</f>
        <v>1084700</v>
      </c>
      <c r="AY1162" s="119"/>
      <c r="AZ1162" s="137">
        <v>45944</v>
      </c>
    </row>
    <row r="1163" spans="1:52" ht="17.100000000000001" customHeight="1" thickBot="1">
      <c r="A1163" s="110"/>
      <c r="B1163" s="27" t="s">
        <v>4099</v>
      </c>
      <c r="C1163" s="27">
        <v>10018</v>
      </c>
      <c r="D1163" s="14" t="s">
        <v>1576</v>
      </c>
      <c r="E1163" s="112"/>
      <c r="F1163" s="139" t="s">
        <v>4100</v>
      </c>
      <c r="G1163" s="140"/>
      <c r="H1163" s="141"/>
      <c r="I1163" s="26">
        <v>42949</v>
      </c>
      <c r="J1163" s="117"/>
      <c r="K1163" s="120"/>
      <c r="L1163" s="121"/>
      <c r="M1163" s="120"/>
      <c r="N1163" s="121"/>
      <c r="O1163" s="120"/>
      <c r="P1163" s="121"/>
      <c r="Q1163" s="120"/>
      <c r="R1163" s="121"/>
      <c r="S1163" s="120"/>
      <c r="T1163" s="121"/>
      <c r="U1163" s="120"/>
      <c r="V1163" s="123"/>
      <c r="W1163" s="125"/>
      <c r="X1163" s="142" t="s">
        <v>4101</v>
      </c>
      <c r="Y1163" s="143"/>
      <c r="Z1163" s="143"/>
      <c r="AA1163" s="143"/>
      <c r="AB1163" s="144"/>
      <c r="AC1163" s="16" t="s">
        <v>21</v>
      </c>
      <c r="AD1163" s="17" t="s">
        <v>2861</v>
      </c>
      <c r="AE1163" s="145" t="s">
        <v>4102</v>
      </c>
      <c r="AF1163" s="146"/>
      <c r="AG1163" s="146"/>
      <c r="AH1163" s="146"/>
      <c r="AI1163" s="147"/>
      <c r="AJ1163" s="148"/>
      <c r="AK1163" s="143"/>
      <c r="AL1163" s="144"/>
      <c r="AM1163" s="22"/>
      <c r="AN1163" s="149" t="s">
        <v>2511</v>
      </c>
      <c r="AO1163" s="144"/>
      <c r="AP1163" s="148">
        <v>80024</v>
      </c>
      <c r="AQ1163" s="144"/>
      <c r="AR1163" s="120"/>
      <c r="AS1163" s="121"/>
      <c r="AT1163" s="120"/>
      <c r="AU1163" s="121"/>
      <c r="AV1163" s="120"/>
      <c r="AW1163" s="121"/>
      <c r="AX1163" s="120"/>
      <c r="AY1163" s="121"/>
      <c r="AZ1163" s="138"/>
    </row>
    <row r="1164" spans="1:52" ht="17.100000000000001" customHeight="1" thickTop="1">
      <c r="A1164" s="109" t="s">
        <v>6319</v>
      </c>
      <c r="B1164" s="28">
        <v>45867</v>
      </c>
      <c r="C1164" s="25">
        <v>1055</v>
      </c>
      <c r="D1164" s="13" t="s">
        <v>1937</v>
      </c>
      <c r="E1164" s="111"/>
      <c r="F1164" s="113" t="s">
        <v>4103</v>
      </c>
      <c r="G1164" s="114"/>
      <c r="H1164" s="115"/>
      <c r="I1164" s="24"/>
      <c r="J1164" s="116">
        <v>4.5</v>
      </c>
      <c r="K1164" s="118">
        <v>1075000</v>
      </c>
      <c r="L1164" s="119"/>
      <c r="M1164" s="118">
        <f>K1164*0.1</f>
        <v>107500</v>
      </c>
      <c r="N1164" s="119"/>
      <c r="O1164" s="118">
        <v>0</v>
      </c>
      <c r="P1164" s="119"/>
      <c r="Q1164" s="118">
        <v>19330</v>
      </c>
      <c r="R1164" s="119"/>
      <c r="S1164" s="118">
        <v>16500</v>
      </c>
      <c r="T1164" s="119"/>
      <c r="U1164" s="118">
        <f>SUM(K1164:T1165)</f>
        <v>1218330</v>
      </c>
      <c r="V1164" s="122"/>
      <c r="W1164" s="124"/>
      <c r="X1164" s="126" t="s">
        <v>4104</v>
      </c>
      <c r="Y1164" s="127"/>
      <c r="Z1164" s="127"/>
      <c r="AA1164" s="127"/>
      <c r="AB1164" s="128"/>
      <c r="AC1164" s="15" t="s">
        <v>20</v>
      </c>
      <c r="AD1164" s="129" t="s">
        <v>171</v>
      </c>
      <c r="AE1164" s="130"/>
      <c r="AF1164" s="130"/>
      <c r="AG1164" s="130"/>
      <c r="AH1164" s="130"/>
      <c r="AI1164" s="131"/>
      <c r="AJ1164" s="132"/>
      <c r="AK1164" s="127"/>
      <c r="AL1164" s="128"/>
      <c r="AM1164" s="21"/>
      <c r="AN1164" s="133"/>
      <c r="AO1164" s="134"/>
      <c r="AP1164" s="135"/>
      <c r="AQ1164" s="136"/>
      <c r="AR1164" s="118"/>
      <c r="AS1164" s="119"/>
      <c r="AT1164" s="118">
        <f>AR1164*0.1</f>
        <v>0</v>
      </c>
      <c r="AU1164" s="119"/>
      <c r="AV1164" s="118"/>
      <c r="AW1164" s="119"/>
      <c r="AX1164" s="118">
        <f>SUM(AR1164:AW1164)</f>
        <v>0</v>
      </c>
      <c r="AY1164" s="119"/>
      <c r="AZ1164" s="137"/>
    </row>
    <row r="1165" spans="1:52" ht="17.100000000000001" customHeight="1" thickBot="1">
      <c r="A1165" s="110"/>
      <c r="B1165" s="27" t="s">
        <v>1591</v>
      </c>
      <c r="C1165" s="27">
        <v>84288</v>
      </c>
      <c r="D1165" s="14" t="s">
        <v>275</v>
      </c>
      <c r="E1165" s="112"/>
      <c r="F1165" s="139" t="s">
        <v>4105</v>
      </c>
      <c r="G1165" s="140"/>
      <c r="H1165" s="141"/>
      <c r="I1165" s="26">
        <v>36397</v>
      </c>
      <c r="J1165" s="117"/>
      <c r="K1165" s="120"/>
      <c r="L1165" s="121"/>
      <c r="M1165" s="120"/>
      <c r="N1165" s="121"/>
      <c r="O1165" s="120"/>
      <c r="P1165" s="121"/>
      <c r="Q1165" s="120"/>
      <c r="R1165" s="121"/>
      <c r="S1165" s="120"/>
      <c r="T1165" s="121"/>
      <c r="U1165" s="120"/>
      <c r="V1165" s="123"/>
      <c r="W1165" s="125"/>
      <c r="X1165" s="142" t="s">
        <v>1997</v>
      </c>
      <c r="Y1165" s="143"/>
      <c r="Z1165" s="143"/>
      <c r="AA1165" s="143"/>
      <c r="AB1165" s="144"/>
      <c r="AC1165" s="16" t="s">
        <v>21</v>
      </c>
      <c r="AD1165" s="17" t="s">
        <v>3923</v>
      </c>
      <c r="AE1165" s="145" t="s">
        <v>4106</v>
      </c>
      <c r="AF1165" s="146"/>
      <c r="AG1165" s="146"/>
      <c r="AH1165" s="146"/>
      <c r="AI1165" s="147"/>
      <c r="AJ1165" s="148"/>
      <c r="AK1165" s="143"/>
      <c r="AL1165" s="144"/>
      <c r="AM1165" s="22"/>
      <c r="AN1165" s="149"/>
      <c r="AO1165" s="144"/>
      <c r="AP1165" s="148"/>
      <c r="AQ1165" s="144"/>
      <c r="AR1165" s="120"/>
      <c r="AS1165" s="121"/>
      <c r="AT1165" s="120"/>
      <c r="AU1165" s="121"/>
      <c r="AV1165" s="120"/>
      <c r="AW1165" s="121"/>
      <c r="AX1165" s="120"/>
      <c r="AY1165" s="121"/>
      <c r="AZ1165" s="138"/>
    </row>
    <row r="1166" spans="1:52" ht="17.100000000000001" customHeight="1" thickTop="1">
      <c r="A1166" s="109" t="s">
        <v>6320</v>
      </c>
      <c r="B1166" s="28">
        <v>45869</v>
      </c>
      <c r="C1166" s="25">
        <v>1988</v>
      </c>
      <c r="D1166" s="13" t="s">
        <v>4107</v>
      </c>
      <c r="E1166" s="111"/>
      <c r="F1166" s="113" t="s">
        <v>4108</v>
      </c>
      <c r="G1166" s="114"/>
      <c r="H1166" s="115"/>
      <c r="I1166" s="24" t="s">
        <v>4109</v>
      </c>
      <c r="J1166" s="116">
        <v>3.5</v>
      </c>
      <c r="K1166" s="118">
        <v>562000</v>
      </c>
      <c r="L1166" s="119"/>
      <c r="M1166" s="118">
        <f>K1166*0.1</f>
        <v>56200</v>
      </c>
      <c r="N1166" s="119"/>
      <c r="O1166" s="118">
        <v>0</v>
      </c>
      <c r="P1166" s="119"/>
      <c r="Q1166" s="118">
        <v>10070</v>
      </c>
      <c r="R1166" s="119"/>
      <c r="S1166" s="118">
        <v>22000</v>
      </c>
      <c r="T1166" s="119"/>
      <c r="U1166" s="118">
        <f>SUM(K1166:T1167)</f>
        <v>650270</v>
      </c>
      <c r="V1166" s="122"/>
      <c r="W1166" s="124"/>
      <c r="X1166" s="126" t="s">
        <v>4110</v>
      </c>
      <c r="Y1166" s="127"/>
      <c r="Z1166" s="127"/>
      <c r="AA1166" s="127"/>
      <c r="AB1166" s="128"/>
      <c r="AC1166" s="15" t="s">
        <v>20</v>
      </c>
      <c r="AD1166" s="129" t="s">
        <v>1633</v>
      </c>
      <c r="AE1166" s="130"/>
      <c r="AF1166" s="130"/>
      <c r="AG1166" s="130"/>
      <c r="AH1166" s="130"/>
      <c r="AI1166" s="131"/>
      <c r="AJ1166" s="132"/>
      <c r="AK1166" s="127"/>
      <c r="AL1166" s="128"/>
      <c r="AM1166" s="21" t="s">
        <v>4111</v>
      </c>
      <c r="AN1166" s="133">
        <v>45955</v>
      </c>
      <c r="AO1166" s="134"/>
      <c r="AP1166" s="135">
        <v>1273</v>
      </c>
      <c r="AQ1166" s="136"/>
      <c r="AR1166" s="118">
        <v>585000</v>
      </c>
      <c r="AS1166" s="119"/>
      <c r="AT1166" s="118">
        <f>AR1166*0.1</f>
        <v>58500</v>
      </c>
      <c r="AU1166" s="119"/>
      <c r="AV1166" s="118">
        <v>10070</v>
      </c>
      <c r="AW1166" s="119"/>
      <c r="AX1166" s="118">
        <f>SUM(AR1166:AW1166)</f>
        <v>653570</v>
      </c>
      <c r="AY1166" s="119"/>
      <c r="AZ1166" s="137">
        <v>45958</v>
      </c>
    </row>
    <row r="1167" spans="1:52" ht="17.100000000000001" customHeight="1" thickBot="1">
      <c r="A1167" s="110"/>
      <c r="B1167" s="27" t="s">
        <v>2200</v>
      </c>
      <c r="C1167" s="27">
        <v>50204</v>
      </c>
      <c r="D1167" s="14" t="s">
        <v>1720</v>
      </c>
      <c r="E1167" s="112"/>
      <c r="F1167" s="139" t="s">
        <v>4112</v>
      </c>
      <c r="G1167" s="140"/>
      <c r="H1167" s="141"/>
      <c r="I1167" s="26">
        <v>50640</v>
      </c>
      <c r="J1167" s="117"/>
      <c r="K1167" s="120"/>
      <c r="L1167" s="121"/>
      <c r="M1167" s="120"/>
      <c r="N1167" s="121"/>
      <c r="O1167" s="120"/>
      <c r="P1167" s="121"/>
      <c r="Q1167" s="120"/>
      <c r="R1167" s="121"/>
      <c r="S1167" s="120"/>
      <c r="T1167" s="121"/>
      <c r="U1167" s="120"/>
      <c r="V1167" s="123"/>
      <c r="W1167" s="125"/>
      <c r="X1167" s="142" t="s">
        <v>2918</v>
      </c>
      <c r="Y1167" s="143"/>
      <c r="Z1167" s="143"/>
      <c r="AA1167" s="143"/>
      <c r="AB1167" s="144"/>
      <c r="AC1167" s="16" t="s">
        <v>21</v>
      </c>
      <c r="AD1167" s="17" t="s">
        <v>2064</v>
      </c>
      <c r="AE1167" s="145" t="s">
        <v>1742</v>
      </c>
      <c r="AF1167" s="146"/>
      <c r="AG1167" s="146"/>
      <c r="AH1167" s="146"/>
      <c r="AI1167" s="147"/>
      <c r="AJ1167" s="148" t="s">
        <v>3727</v>
      </c>
      <c r="AK1167" s="143"/>
      <c r="AL1167" s="144"/>
      <c r="AM1167" s="22"/>
      <c r="AN1167" s="149" t="s">
        <v>2511</v>
      </c>
      <c r="AO1167" s="144"/>
      <c r="AP1167" s="148">
        <v>60215</v>
      </c>
      <c r="AQ1167" s="144"/>
      <c r="AR1167" s="120"/>
      <c r="AS1167" s="121"/>
      <c r="AT1167" s="120"/>
      <c r="AU1167" s="121"/>
      <c r="AV1167" s="120"/>
      <c r="AW1167" s="121"/>
      <c r="AX1167" s="120"/>
      <c r="AY1167" s="121"/>
      <c r="AZ1167" s="138"/>
    </row>
    <row r="1168" spans="1:52" ht="17.100000000000001" customHeight="1" thickTop="1">
      <c r="A1168" s="109" t="s">
        <v>6321</v>
      </c>
      <c r="B1168" s="28">
        <v>45869</v>
      </c>
      <c r="C1168" s="25">
        <v>1988</v>
      </c>
      <c r="D1168" s="13" t="s">
        <v>2371</v>
      </c>
      <c r="E1168" s="111"/>
      <c r="F1168" s="113" t="s">
        <v>4113</v>
      </c>
      <c r="G1168" s="114"/>
      <c r="H1168" s="115"/>
      <c r="I1168" s="24"/>
      <c r="J1168" s="116">
        <v>4</v>
      </c>
      <c r="K1168" s="118">
        <v>120000</v>
      </c>
      <c r="L1168" s="119"/>
      <c r="M1168" s="118">
        <f>K1168*0.1</f>
        <v>12000</v>
      </c>
      <c r="N1168" s="119"/>
      <c r="O1168" s="118">
        <v>0</v>
      </c>
      <c r="P1168" s="119"/>
      <c r="Q1168" s="118">
        <v>9880</v>
      </c>
      <c r="R1168" s="119"/>
      <c r="S1168" s="118">
        <v>22000</v>
      </c>
      <c r="T1168" s="119"/>
      <c r="U1168" s="118">
        <f>SUM(K1168:T1169)</f>
        <v>163880</v>
      </c>
      <c r="V1168" s="122"/>
      <c r="W1168" s="124"/>
      <c r="X1168" s="126" t="s">
        <v>4114</v>
      </c>
      <c r="Y1168" s="127"/>
      <c r="Z1168" s="127"/>
      <c r="AA1168" s="127"/>
      <c r="AB1168" s="128"/>
      <c r="AC1168" s="15" t="s">
        <v>20</v>
      </c>
      <c r="AD1168" s="129"/>
      <c r="AE1168" s="130"/>
      <c r="AF1168" s="130"/>
      <c r="AG1168" s="130"/>
      <c r="AH1168" s="130"/>
      <c r="AI1168" s="131"/>
      <c r="AJ1168" s="132"/>
      <c r="AK1168" s="127"/>
      <c r="AL1168" s="128"/>
      <c r="AM1168" s="21"/>
      <c r="AN1168" s="133">
        <v>46046</v>
      </c>
      <c r="AO1168" s="134"/>
      <c r="AP1168" s="135">
        <v>1285</v>
      </c>
      <c r="AQ1168" s="136"/>
      <c r="AR1168" s="118">
        <v>110000</v>
      </c>
      <c r="AS1168" s="119"/>
      <c r="AT1168" s="118">
        <f>AR1168*0.1</f>
        <v>11000</v>
      </c>
      <c r="AU1168" s="119"/>
      <c r="AV1168" s="118">
        <v>9880</v>
      </c>
      <c r="AW1168" s="119"/>
      <c r="AX1168" s="118">
        <f>SUM(AR1168:AW1168)</f>
        <v>130880</v>
      </c>
      <c r="AY1168" s="119"/>
      <c r="AZ1168" s="137">
        <v>46049</v>
      </c>
    </row>
    <row r="1169" spans="1:52" ht="17.100000000000001" customHeight="1" thickBot="1">
      <c r="A1169" s="110"/>
      <c r="B1169" s="27" t="s">
        <v>2200</v>
      </c>
      <c r="C1169" s="27">
        <v>90174</v>
      </c>
      <c r="D1169" s="14" t="s">
        <v>133</v>
      </c>
      <c r="E1169" s="112"/>
      <c r="F1169" s="139" t="s">
        <v>4115</v>
      </c>
      <c r="G1169" s="140"/>
      <c r="H1169" s="141"/>
      <c r="I1169" s="26">
        <v>48374</v>
      </c>
      <c r="J1169" s="117"/>
      <c r="K1169" s="120"/>
      <c r="L1169" s="121"/>
      <c r="M1169" s="120"/>
      <c r="N1169" s="121"/>
      <c r="O1169" s="120"/>
      <c r="P1169" s="121"/>
      <c r="Q1169" s="120"/>
      <c r="R1169" s="121"/>
      <c r="S1169" s="120"/>
      <c r="T1169" s="121"/>
      <c r="U1169" s="120"/>
      <c r="V1169" s="123"/>
      <c r="W1169" s="125"/>
      <c r="X1169" s="142" t="s">
        <v>4116</v>
      </c>
      <c r="Y1169" s="143"/>
      <c r="Z1169" s="143"/>
      <c r="AA1169" s="143"/>
      <c r="AB1169" s="144"/>
      <c r="AC1169" s="16" t="s">
        <v>21</v>
      </c>
      <c r="AD1169" s="17" t="s">
        <v>2064</v>
      </c>
      <c r="AE1169" s="145"/>
      <c r="AF1169" s="146"/>
      <c r="AG1169" s="146"/>
      <c r="AH1169" s="146"/>
      <c r="AI1169" s="147"/>
      <c r="AJ1169" s="148"/>
      <c r="AK1169" s="143"/>
      <c r="AL1169" s="144"/>
      <c r="AM1169" s="22"/>
      <c r="AN1169" s="149" t="s">
        <v>2511</v>
      </c>
      <c r="AO1169" s="144"/>
      <c r="AP1169" s="148">
        <v>60092</v>
      </c>
      <c r="AQ1169" s="144"/>
      <c r="AR1169" s="120"/>
      <c r="AS1169" s="121"/>
      <c r="AT1169" s="120"/>
      <c r="AU1169" s="121"/>
      <c r="AV1169" s="120"/>
      <c r="AW1169" s="121"/>
      <c r="AX1169" s="120"/>
      <c r="AY1169" s="121"/>
      <c r="AZ1169" s="138"/>
    </row>
    <row r="1170" spans="1:52" ht="17.100000000000001" customHeight="1" thickTop="1">
      <c r="A1170" s="109" t="s">
        <v>6322</v>
      </c>
      <c r="B1170" s="28">
        <v>45869</v>
      </c>
      <c r="C1170" s="25">
        <v>1527</v>
      </c>
      <c r="D1170" s="13" t="s">
        <v>1537</v>
      </c>
      <c r="E1170" s="111"/>
      <c r="F1170" s="113" t="s">
        <v>4117</v>
      </c>
      <c r="G1170" s="114"/>
      <c r="H1170" s="115"/>
      <c r="I1170" s="24" t="s">
        <v>4118</v>
      </c>
      <c r="J1170" s="116">
        <v>4.5</v>
      </c>
      <c r="K1170" s="118">
        <v>3400000</v>
      </c>
      <c r="L1170" s="119"/>
      <c r="M1170" s="118">
        <f>K1170*0.1</f>
        <v>340000</v>
      </c>
      <c r="N1170" s="119"/>
      <c r="O1170" s="118">
        <f>34000+3400</f>
        <v>37400</v>
      </c>
      <c r="P1170" s="119"/>
      <c r="Q1170" s="118">
        <v>23490</v>
      </c>
      <c r="R1170" s="119"/>
      <c r="S1170" s="118">
        <v>27500</v>
      </c>
      <c r="T1170" s="119"/>
      <c r="U1170" s="118">
        <f>SUM(K1170:T1171)</f>
        <v>3828390</v>
      </c>
      <c r="V1170" s="122"/>
      <c r="W1170" s="124"/>
      <c r="X1170" s="126" t="s">
        <v>4119</v>
      </c>
      <c r="Y1170" s="127"/>
      <c r="Z1170" s="127"/>
      <c r="AA1170" s="127"/>
      <c r="AB1170" s="128"/>
      <c r="AC1170" s="15" t="s">
        <v>20</v>
      </c>
      <c r="AD1170" s="129" t="s">
        <v>1633</v>
      </c>
      <c r="AE1170" s="130"/>
      <c r="AF1170" s="130"/>
      <c r="AG1170" s="130"/>
      <c r="AH1170" s="130"/>
      <c r="AI1170" s="131"/>
      <c r="AJ1170" s="132"/>
      <c r="AK1170" s="127"/>
      <c r="AL1170" s="128"/>
      <c r="AM1170" s="21"/>
      <c r="AN1170" s="133">
        <v>46370</v>
      </c>
      <c r="AO1170" s="134"/>
      <c r="AP1170" s="135"/>
      <c r="AQ1170" s="136"/>
      <c r="AR1170" s="118">
        <v>5490000</v>
      </c>
      <c r="AS1170" s="119"/>
      <c r="AT1170" s="118">
        <v>0</v>
      </c>
      <c r="AU1170" s="119"/>
      <c r="AV1170" s="118">
        <v>0</v>
      </c>
      <c r="AW1170" s="119"/>
      <c r="AX1170" s="118">
        <f>SUM(AR1170:AW1170)</f>
        <v>5490000</v>
      </c>
      <c r="AY1170" s="119"/>
      <c r="AZ1170" s="137">
        <v>46040</v>
      </c>
    </row>
    <row r="1171" spans="1:52" ht="17.100000000000001" customHeight="1" thickBot="1">
      <c r="A1171" s="110"/>
      <c r="B1171" s="27" t="s">
        <v>1600</v>
      </c>
      <c r="C1171" s="27">
        <v>75221</v>
      </c>
      <c r="D1171" s="14" t="s">
        <v>1635</v>
      </c>
      <c r="E1171" s="112"/>
      <c r="F1171" s="139" t="s">
        <v>4120</v>
      </c>
      <c r="G1171" s="140"/>
      <c r="H1171" s="141"/>
      <c r="I1171" s="26">
        <v>45685</v>
      </c>
      <c r="J1171" s="117"/>
      <c r="K1171" s="120"/>
      <c r="L1171" s="121"/>
      <c r="M1171" s="120"/>
      <c r="N1171" s="121"/>
      <c r="O1171" s="120"/>
      <c r="P1171" s="121"/>
      <c r="Q1171" s="120"/>
      <c r="R1171" s="121"/>
      <c r="S1171" s="120"/>
      <c r="T1171" s="121"/>
      <c r="U1171" s="120"/>
      <c r="V1171" s="123"/>
      <c r="W1171" s="125"/>
      <c r="X1171" s="142" t="s">
        <v>1997</v>
      </c>
      <c r="Y1171" s="143"/>
      <c r="Z1171" s="143"/>
      <c r="AA1171" s="143"/>
      <c r="AB1171" s="144"/>
      <c r="AC1171" s="16" t="s">
        <v>21</v>
      </c>
      <c r="AD1171" s="17" t="s">
        <v>2064</v>
      </c>
      <c r="AE1171" s="145" t="s">
        <v>1742</v>
      </c>
      <c r="AF1171" s="146"/>
      <c r="AG1171" s="146"/>
      <c r="AH1171" s="146"/>
      <c r="AI1171" s="147"/>
      <c r="AJ1171" s="148"/>
      <c r="AK1171" s="143"/>
      <c r="AL1171" s="144"/>
      <c r="AM1171" s="22" t="s">
        <v>907</v>
      </c>
      <c r="AN1171" s="149" t="s">
        <v>13992</v>
      </c>
      <c r="AO1171" s="144"/>
      <c r="AP1171" s="148"/>
      <c r="AQ1171" s="144"/>
      <c r="AR1171" s="120"/>
      <c r="AS1171" s="121"/>
      <c r="AT1171" s="120"/>
      <c r="AU1171" s="121"/>
      <c r="AV1171" s="120"/>
      <c r="AW1171" s="121"/>
      <c r="AX1171" s="120"/>
      <c r="AY1171" s="121"/>
      <c r="AZ1171" s="138"/>
    </row>
    <row r="1172" spans="1:52" ht="17.100000000000001" customHeight="1" thickTop="1">
      <c r="A1172" s="109" t="s">
        <v>6323</v>
      </c>
      <c r="B1172" s="28">
        <v>45869</v>
      </c>
      <c r="C1172" s="25">
        <v>1527</v>
      </c>
      <c r="D1172" s="13" t="s">
        <v>4121</v>
      </c>
      <c r="E1172" s="111"/>
      <c r="F1172" s="113" t="s">
        <v>4122</v>
      </c>
      <c r="G1172" s="114"/>
      <c r="H1172" s="115"/>
      <c r="I1172" s="24" t="s">
        <v>4123</v>
      </c>
      <c r="J1172" s="116">
        <v>4.5</v>
      </c>
      <c r="K1172" s="118">
        <v>2270000</v>
      </c>
      <c r="L1172" s="119"/>
      <c r="M1172" s="118">
        <f>K1172*0.1</f>
        <v>227000</v>
      </c>
      <c r="N1172" s="119"/>
      <c r="O1172" s="118">
        <f>26300+2630</f>
        <v>28930</v>
      </c>
      <c r="P1172" s="119"/>
      <c r="Q1172" s="118">
        <v>21100</v>
      </c>
      <c r="R1172" s="119"/>
      <c r="S1172" s="118">
        <v>16500</v>
      </c>
      <c r="T1172" s="119"/>
      <c r="U1172" s="118">
        <f>SUM(K1172:T1173)</f>
        <v>2563530</v>
      </c>
      <c r="V1172" s="122"/>
      <c r="W1172" s="124"/>
      <c r="X1172" s="126" t="s">
        <v>4124</v>
      </c>
      <c r="Y1172" s="127"/>
      <c r="Z1172" s="127"/>
      <c r="AA1172" s="127"/>
      <c r="AB1172" s="128"/>
      <c r="AC1172" s="15" t="s">
        <v>20</v>
      </c>
      <c r="AD1172" s="129" t="s">
        <v>1575</v>
      </c>
      <c r="AE1172" s="130"/>
      <c r="AF1172" s="130"/>
      <c r="AG1172" s="130"/>
      <c r="AH1172" s="130"/>
      <c r="AI1172" s="131"/>
      <c r="AJ1172" s="132"/>
      <c r="AK1172" s="127"/>
      <c r="AL1172" s="128"/>
      <c r="AM1172" s="21" t="s">
        <v>4125</v>
      </c>
      <c r="AN1172" s="133">
        <v>45915</v>
      </c>
      <c r="AO1172" s="134"/>
      <c r="AP1172" s="135"/>
      <c r="AQ1172" s="136"/>
      <c r="AR1172" s="118">
        <v>3590000</v>
      </c>
      <c r="AS1172" s="119"/>
      <c r="AT1172" s="118">
        <v>0</v>
      </c>
      <c r="AU1172" s="119"/>
      <c r="AV1172" s="118">
        <v>0</v>
      </c>
      <c r="AW1172" s="119"/>
      <c r="AX1172" s="118">
        <f>SUM(AR1172:AW1172)</f>
        <v>3590000</v>
      </c>
      <c r="AY1172" s="119"/>
      <c r="AZ1172" s="137">
        <v>45956</v>
      </c>
    </row>
    <row r="1173" spans="1:52" ht="17.100000000000001" customHeight="1" thickBot="1">
      <c r="A1173" s="110"/>
      <c r="B1173" s="27" t="s">
        <v>1600</v>
      </c>
      <c r="C1173" s="27">
        <v>76026</v>
      </c>
      <c r="D1173" s="14" t="s">
        <v>2601</v>
      </c>
      <c r="E1173" s="112"/>
      <c r="F1173" s="139" t="s">
        <v>4126</v>
      </c>
      <c r="G1173" s="140"/>
      <c r="H1173" s="141"/>
      <c r="I1173" s="26">
        <v>13360</v>
      </c>
      <c r="J1173" s="117"/>
      <c r="K1173" s="120"/>
      <c r="L1173" s="121"/>
      <c r="M1173" s="120"/>
      <c r="N1173" s="121"/>
      <c r="O1173" s="120"/>
      <c r="P1173" s="121"/>
      <c r="Q1173" s="120"/>
      <c r="R1173" s="121"/>
      <c r="S1173" s="120"/>
      <c r="T1173" s="121"/>
      <c r="U1173" s="120"/>
      <c r="V1173" s="123"/>
      <c r="W1173" s="125"/>
      <c r="X1173" s="142" t="s">
        <v>4127</v>
      </c>
      <c r="Y1173" s="143"/>
      <c r="Z1173" s="143"/>
      <c r="AA1173" s="143"/>
      <c r="AB1173" s="144"/>
      <c r="AC1173" s="16" t="s">
        <v>21</v>
      </c>
      <c r="AD1173" s="17" t="s">
        <v>2064</v>
      </c>
      <c r="AE1173" s="145" t="s">
        <v>1614</v>
      </c>
      <c r="AF1173" s="146"/>
      <c r="AG1173" s="146"/>
      <c r="AH1173" s="146"/>
      <c r="AI1173" s="147"/>
      <c r="AJ1173" s="148"/>
      <c r="AK1173" s="143"/>
      <c r="AL1173" s="144"/>
      <c r="AM1173" s="22"/>
      <c r="AN1173" s="149" t="s">
        <v>14011</v>
      </c>
      <c r="AO1173" s="144"/>
      <c r="AP1173" s="148"/>
      <c r="AQ1173" s="144"/>
      <c r="AR1173" s="120"/>
      <c r="AS1173" s="121"/>
      <c r="AT1173" s="120"/>
      <c r="AU1173" s="121"/>
      <c r="AV1173" s="120"/>
      <c r="AW1173" s="121"/>
      <c r="AX1173" s="120"/>
      <c r="AY1173" s="121"/>
      <c r="AZ1173" s="138"/>
    </row>
    <row r="1174" spans="1:52" ht="17.100000000000001" customHeight="1" thickTop="1">
      <c r="A1174" s="109" t="s">
        <v>6324</v>
      </c>
      <c r="B1174" s="28">
        <v>45869</v>
      </c>
      <c r="C1174" s="25">
        <v>2120</v>
      </c>
      <c r="D1174" s="13" t="s">
        <v>1623</v>
      </c>
      <c r="E1174" s="111"/>
      <c r="F1174" s="113" t="s">
        <v>4128</v>
      </c>
      <c r="G1174" s="114"/>
      <c r="H1174" s="115"/>
      <c r="I1174" s="24" t="s">
        <v>4129</v>
      </c>
      <c r="J1174" s="116">
        <v>4</v>
      </c>
      <c r="K1174" s="118">
        <v>324000</v>
      </c>
      <c r="L1174" s="119"/>
      <c r="M1174" s="118">
        <f>K1174*0.1</f>
        <v>32400</v>
      </c>
      <c r="N1174" s="119"/>
      <c r="O1174" s="118">
        <v>0</v>
      </c>
      <c r="P1174" s="119"/>
      <c r="Q1174" s="118">
        <v>7750</v>
      </c>
      <c r="R1174" s="119"/>
      <c r="S1174" s="118">
        <v>13750</v>
      </c>
      <c r="T1174" s="119"/>
      <c r="U1174" s="118">
        <f>SUM(K1174:T1175)</f>
        <v>377900</v>
      </c>
      <c r="V1174" s="122"/>
      <c r="W1174" s="124"/>
      <c r="X1174" s="126" t="s">
        <v>4130</v>
      </c>
      <c r="Y1174" s="127"/>
      <c r="Z1174" s="127"/>
      <c r="AA1174" s="127"/>
      <c r="AB1174" s="128"/>
      <c r="AC1174" s="15" t="s">
        <v>20</v>
      </c>
      <c r="AD1174" s="129" t="s">
        <v>4131</v>
      </c>
      <c r="AE1174" s="130"/>
      <c r="AF1174" s="130"/>
      <c r="AG1174" s="130"/>
      <c r="AH1174" s="130"/>
      <c r="AI1174" s="131"/>
      <c r="AJ1174" s="132"/>
      <c r="AK1174" s="127"/>
      <c r="AL1174" s="128"/>
      <c r="AM1174" s="21"/>
      <c r="AN1174" s="133">
        <v>46011</v>
      </c>
      <c r="AO1174" s="134"/>
      <c r="AP1174" s="135">
        <v>1281</v>
      </c>
      <c r="AQ1174" s="136"/>
      <c r="AR1174" s="118">
        <v>330000</v>
      </c>
      <c r="AS1174" s="119"/>
      <c r="AT1174" s="118">
        <f>AR1174*0.1</f>
        <v>33000</v>
      </c>
      <c r="AU1174" s="119"/>
      <c r="AV1174" s="118">
        <v>7750</v>
      </c>
      <c r="AW1174" s="119"/>
      <c r="AX1174" s="118">
        <f>SUM(AR1174:AW1174)</f>
        <v>370750</v>
      </c>
      <c r="AY1174" s="119"/>
      <c r="AZ1174" s="137">
        <v>46014</v>
      </c>
    </row>
    <row r="1175" spans="1:52" ht="17.100000000000001" customHeight="1" thickBot="1">
      <c r="A1175" s="110"/>
      <c r="B1175" s="27" t="s">
        <v>3281</v>
      </c>
      <c r="C1175" s="27">
        <v>2133</v>
      </c>
      <c r="D1175" s="14" t="s">
        <v>3855</v>
      </c>
      <c r="E1175" s="112"/>
      <c r="F1175" s="139" t="s">
        <v>4132</v>
      </c>
      <c r="G1175" s="140"/>
      <c r="H1175" s="141"/>
      <c r="I1175" s="26">
        <v>46533</v>
      </c>
      <c r="J1175" s="117"/>
      <c r="K1175" s="120"/>
      <c r="L1175" s="121"/>
      <c r="M1175" s="120"/>
      <c r="N1175" s="121"/>
      <c r="O1175" s="120"/>
      <c r="P1175" s="121"/>
      <c r="Q1175" s="120"/>
      <c r="R1175" s="121"/>
      <c r="S1175" s="120"/>
      <c r="T1175" s="121"/>
      <c r="U1175" s="120"/>
      <c r="V1175" s="123"/>
      <c r="W1175" s="125"/>
      <c r="X1175" s="142" t="s">
        <v>4133</v>
      </c>
      <c r="Y1175" s="143"/>
      <c r="Z1175" s="143"/>
      <c r="AA1175" s="143"/>
      <c r="AB1175" s="144"/>
      <c r="AC1175" s="16" t="s">
        <v>21</v>
      </c>
      <c r="AD1175" s="17" t="s">
        <v>2064</v>
      </c>
      <c r="AE1175" s="145" t="s">
        <v>4134</v>
      </c>
      <c r="AF1175" s="146"/>
      <c r="AG1175" s="146"/>
      <c r="AH1175" s="146"/>
      <c r="AI1175" s="147"/>
      <c r="AJ1175" s="148"/>
      <c r="AK1175" s="143"/>
      <c r="AL1175" s="144"/>
      <c r="AM1175" s="22"/>
      <c r="AN1175" s="149" t="s">
        <v>2511</v>
      </c>
      <c r="AO1175" s="144"/>
      <c r="AP1175" s="148">
        <v>60196</v>
      </c>
      <c r="AQ1175" s="144"/>
      <c r="AR1175" s="120"/>
      <c r="AS1175" s="121"/>
      <c r="AT1175" s="120"/>
      <c r="AU1175" s="121"/>
      <c r="AV1175" s="120"/>
      <c r="AW1175" s="121"/>
      <c r="AX1175" s="120"/>
      <c r="AY1175" s="121"/>
      <c r="AZ1175" s="138"/>
    </row>
    <row r="1176" spans="1:52" ht="17.100000000000001" customHeight="1" thickTop="1">
      <c r="A1176" s="109" t="s">
        <v>6325</v>
      </c>
      <c r="B1176" s="28">
        <v>45869</v>
      </c>
      <c r="C1176" s="25">
        <v>2120</v>
      </c>
      <c r="D1176" s="13" t="s">
        <v>4135</v>
      </c>
      <c r="E1176" s="111"/>
      <c r="F1176" s="113" t="s">
        <v>4136</v>
      </c>
      <c r="G1176" s="114"/>
      <c r="H1176" s="115"/>
      <c r="I1176" s="24"/>
      <c r="J1176" s="116">
        <v>4</v>
      </c>
      <c r="K1176" s="118">
        <v>1206000</v>
      </c>
      <c r="L1176" s="119"/>
      <c r="M1176" s="118">
        <f>K1176*0.1</f>
        <v>120600</v>
      </c>
      <c r="N1176" s="119"/>
      <c r="O1176" s="118">
        <v>0</v>
      </c>
      <c r="P1176" s="119"/>
      <c r="Q1176" s="118">
        <v>6830</v>
      </c>
      <c r="R1176" s="119"/>
      <c r="S1176" s="118">
        <v>13750</v>
      </c>
      <c r="T1176" s="119"/>
      <c r="U1176" s="118">
        <f>SUM(K1176:T1177)</f>
        <v>1347180</v>
      </c>
      <c r="V1176" s="122"/>
      <c r="W1176" s="124"/>
      <c r="X1176" s="126" t="s">
        <v>4137</v>
      </c>
      <c r="Y1176" s="127"/>
      <c r="Z1176" s="127"/>
      <c r="AA1176" s="127"/>
      <c r="AB1176" s="128"/>
      <c r="AC1176" s="15" t="s">
        <v>20</v>
      </c>
      <c r="AD1176" s="129" t="s">
        <v>4138</v>
      </c>
      <c r="AE1176" s="130"/>
      <c r="AF1176" s="130"/>
      <c r="AG1176" s="130"/>
      <c r="AH1176" s="130"/>
      <c r="AI1176" s="131"/>
      <c r="AJ1176" s="132"/>
      <c r="AK1176" s="127"/>
      <c r="AL1176" s="128"/>
      <c r="AM1176" s="21"/>
      <c r="AN1176" s="133">
        <v>45931</v>
      </c>
      <c r="AO1176" s="134"/>
      <c r="AP1176" s="135">
        <v>986</v>
      </c>
      <c r="AQ1176" s="136"/>
      <c r="AR1176" s="118">
        <v>1280000</v>
      </c>
      <c r="AS1176" s="119"/>
      <c r="AT1176" s="118">
        <f>AR1176*0.1</f>
        <v>128000</v>
      </c>
      <c r="AU1176" s="119"/>
      <c r="AV1176" s="118">
        <v>6830</v>
      </c>
      <c r="AW1176" s="119"/>
      <c r="AX1176" s="118">
        <f>SUM(AR1176:AW1176)</f>
        <v>1414830</v>
      </c>
      <c r="AY1176" s="119"/>
      <c r="AZ1176" s="137">
        <v>45937</v>
      </c>
    </row>
    <row r="1177" spans="1:52" ht="17.100000000000001" customHeight="1" thickBot="1">
      <c r="A1177" s="110"/>
      <c r="B1177" s="27" t="s">
        <v>3281</v>
      </c>
      <c r="C1177" s="27">
        <v>2553</v>
      </c>
      <c r="D1177" s="14" t="s">
        <v>3855</v>
      </c>
      <c r="E1177" s="112"/>
      <c r="F1177" s="139" t="s">
        <v>4139</v>
      </c>
      <c r="G1177" s="140"/>
      <c r="H1177" s="141"/>
      <c r="I1177" s="26">
        <v>37773</v>
      </c>
      <c r="J1177" s="117"/>
      <c r="K1177" s="120"/>
      <c r="L1177" s="121"/>
      <c r="M1177" s="120"/>
      <c r="N1177" s="121"/>
      <c r="O1177" s="120"/>
      <c r="P1177" s="121"/>
      <c r="Q1177" s="120"/>
      <c r="R1177" s="121"/>
      <c r="S1177" s="120"/>
      <c r="T1177" s="121"/>
      <c r="U1177" s="120"/>
      <c r="V1177" s="123"/>
      <c r="W1177" s="125"/>
      <c r="X1177" s="142" t="s">
        <v>2440</v>
      </c>
      <c r="Y1177" s="143"/>
      <c r="Z1177" s="143"/>
      <c r="AA1177" s="143"/>
      <c r="AB1177" s="144"/>
      <c r="AC1177" s="16" t="s">
        <v>21</v>
      </c>
      <c r="AD1177" s="17" t="s">
        <v>2064</v>
      </c>
      <c r="AE1177" s="145" t="s">
        <v>4140</v>
      </c>
      <c r="AF1177" s="146"/>
      <c r="AG1177" s="146"/>
      <c r="AH1177" s="146"/>
      <c r="AI1177" s="147"/>
      <c r="AJ1177" s="148"/>
      <c r="AK1177" s="143"/>
      <c r="AL1177" s="144"/>
      <c r="AM1177" s="22"/>
      <c r="AN1177" s="149" t="s">
        <v>2794</v>
      </c>
      <c r="AO1177" s="144"/>
      <c r="AP1177" s="148">
        <v>2026</v>
      </c>
      <c r="AQ1177" s="144"/>
      <c r="AR1177" s="120"/>
      <c r="AS1177" s="121"/>
      <c r="AT1177" s="120"/>
      <c r="AU1177" s="121"/>
      <c r="AV1177" s="120"/>
      <c r="AW1177" s="121"/>
      <c r="AX1177" s="120"/>
      <c r="AY1177" s="121"/>
      <c r="AZ1177" s="138"/>
    </row>
    <row r="1178" spans="1:52" ht="17.100000000000001" customHeight="1" thickTop="1">
      <c r="A1178" s="109" t="s">
        <v>6326</v>
      </c>
      <c r="B1178" s="28">
        <v>45869</v>
      </c>
      <c r="C1178" s="25">
        <v>2120</v>
      </c>
      <c r="D1178" s="13" t="s">
        <v>2914</v>
      </c>
      <c r="E1178" s="111"/>
      <c r="F1178" s="113" t="s">
        <v>4141</v>
      </c>
      <c r="G1178" s="114"/>
      <c r="H1178" s="115"/>
      <c r="I1178" s="24"/>
      <c r="J1178" s="116">
        <v>4</v>
      </c>
      <c r="K1178" s="118">
        <v>1132000</v>
      </c>
      <c r="L1178" s="119"/>
      <c r="M1178" s="118">
        <f>K1178*0.1</f>
        <v>113200</v>
      </c>
      <c r="N1178" s="119"/>
      <c r="O1178" s="118">
        <v>0</v>
      </c>
      <c r="P1178" s="119"/>
      <c r="Q1178" s="118">
        <v>8110</v>
      </c>
      <c r="R1178" s="119"/>
      <c r="S1178" s="118">
        <v>13750</v>
      </c>
      <c r="T1178" s="119"/>
      <c r="U1178" s="118">
        <f>SUM(K1178:T1179)</f>
        <v>1267060</v>
      </c>
      <c r="V1178" s="122"/>
      <c r="W1178" s="124"/>
      <c r="X1178" s="126" t="s">
        <v>4142</v>
      </c>
      <c r="Y1178" s="127"/>
      <c r="Z1178" s="127"/>
      <c r="AA1178" s="127"/>
      <c r="AB1178" s="128"/>
      <c r="AC1178" s="15" t="s">
        <v>20</v>
      </c>
      <c r="AD1178" s="129"/>
      <c r="AE1178" s="130"/>
      <c r="AF1178" s="130"/>
      <c r="AG1178" s="130"/>
      <c r="AH1178" s="130"/>
      <c r="AI1178" s="131"/>
      <c r="AJ1178" s="132"/>
      <c r="AK1178" s="127"/>
      <c r="AL1178" s="128"/>
      <c r="AM1178" s="21"/>
      <c r="AN1178" s="133">
        <v>45938</v>
      </c>
      <c r="AO1178" s="134"/>
      <c r="AP1178" s="135">
        <v>987</v>
      </c>
      <c r="AQ1178" s="136"/>
      <c r="AR1178" s="118">
        <v>1210000</v>
      </c>
      <c r="AS1178" s="119"/>
      <c r="AT1178" s="118">
        <f>AR1178*0.1</f>
        <v>121000</v>
      </c>
      <c r="AU1178" s="119"/>
      <c r="AV1178" s="118">
        <v>8110</v>
      </c>
      <c r="AW1178" s="119"/>
      <c r="AX1178" s="118">
        <f>SUM(AR1178:AW1178)</f>
        <v>1339110</v>
      </c>
      <c r="AY1178" s="119"/>
      <c r="AZ1178" s="137">
        <v>45944</v>
      </c>
    </row>
    <row r="1179" spans="1:52" ht="17.100000000000001" customHeight="1" thickBot="1">
      <c r="A1179" s="110"/>
      <c r="B1179" s="27" t="s">
        <v>3281</v>
      </c>
      <c r="C1179" s="27">
        <v>2579</v>
      </c>
      <c r="D1179" s="14" t="s">
        <v>2601</v>
      </c>
      <c r="E1179" s="112"/>
      <c r="F1179" s="139" t="s">
        <v>4143</v>
      </c>
      <c r="G1179" s="140"/>
      <c r="H1179" s="141"/>
      <c r="I1179" s="26">
        <v>31930</v>
      </c>
      <c r="J1179" s="117"/>
      <c r="K1179" s="120"/>
      <c r="L1179" s="121"/>
      <c r="M1179" s="120"/>
      <c r="N1179" s="121"/>
      <c r="O1179" s="120"/>
      <c r="P1179" s="121"/>
      <c r="Q1179" s="120"/>
      <c r="R1179" s="121"/>
      <c r="S1179" s="120"/>
      <c r="T1179" s="121"/>
      <c r="U1179" s="120"/>
      <c r="V1179" s="123"/>
      <c r="W1179" s="125"/>
      <c r="X1179" s="142" t="s">
        <v>2440</v>
      </c>
      <c r="Y1179" s="143"/>
      <c r="Z1179" s="143"/>
      <c r="AA1179" s="143"/>
      <c r="AB1179" s="144"/>
      <c r="AC1179" s="16" t="s">
        <v>21</v>
      </c>
      <c r="AD1179" s="17" t="s">
        <v>2064</v>
      </c>
      <c r="AE1179" s="145" t="s">
        <v>4144</v>
      </c>
      <c r="AF1179" s="146"/>
      <c r="AG1179" s="146"/>
      <c r="AH1179" s="146"/>
      <c r="AI1179" s="147"/>
      <c r="AJ1179" s="148"/>
      <c r="AK1179" s="143"/>
      <c r="AL1179" s="144"/>
      <c r="AM1179" s="22"/>
      <c r="AN1179" s="149" t="s">
        <v>2794</v>
      </c>
      <c r="AO1179" s="144"/>
      <c r="AP1179" s="148">
        <v>2016</v>
      </c>
      <c r="AQ1179" s="144"/>
      <c r="AR1179" s="120"/>
      <c r="AS1179" s="121"/>
      <c r="AT1179" s="120"/>
      <c r="AU1179" s="121"/>
      <c r="AV1179" s="120"/>
      <c r="AW1179" s="121"/>
      <c r="AX1179" s="120"/>
      <c r="AY1179" s="121"/>
      <c r="AZ1179" s="138"/>
    </row>
    <row r="1180" spans="1:52" ht="17.100000000000001" customHeight="1" thickTop="1">
      <c r="A1180" s="109" t="s">
        <v>6327</v>
      </c>
      <c r="B1180" s="28">
        <v>45870</v>
      </c>
      <c r="C1180" s="25"/>
      <c r="D1180" s="13" t="s">
        <v>2322</v>
      </c>
      <c r="E1180" s="111"/>
      <c r="F1180" s="113" t="s">
        <v>4145</v>
      </c>
      <c r="G1180" s="114"/>
      <c r="H1180" s="115"/>
      <c r="I1180" s="24" t="s">
        <v>4146</v>
      </c>
      <c r="J1180" s="150" t="s">
        <v>1715</v>
      </c>
      <c r="K1180" s="118">
        <f>594000/1.1</f>
        <v>540000</v>
      </c>
      <c r="L1180" s="119"/>
      <c r="M1180" s="118">
        <f>K1180*0.1</f>
        <v>54000</v>
      </c>
      <c r="N1180" s="119"/>
      <c r="O1180" s="118">
        <v>0</v>
      </c>
      <c r="P1180" s="119"/>
      <c r="Q1180" s="118">
        <v>8110</v>
      </c>
      <c r="R1180" s="119"/>
      <c r="S1180" s="118">
        <v>57317</v>
      </c>
      <c r="T1180" s="119"/>
      <c r="U1180" s="118">
        <f>SUM(K1180:T1181)</f>
        <v>659427</v>
      </c>
      <c r="V1180" s="122"/>
      <c r="W1180" s="124"/>
      <c r="X1180" s="126" t="s">
        <v>4147</v>
      </c>
      <c r="Y1180" s="127"/>
      <c r="Z1180" s="127"/>
      <c r="AA1180" s="127"/>
      <c r="AB1180" s="128"/>
      <c r="AC1180" s="15" t="s">
        <v>20</v>
      </c>
      <c r="AD1180" s="129" t="s">
        <v>2054</v>
      </c>
      <c r="AE1180" s="130"/>
      <c r="AF1180" s="130"/>
      <c r="AG1180" s="130"/>
      <c r="AH1180" s="130"/>
      <c r="AI1180" s="131"/>
      <c r="AJ1180" s="132"/>
      <c r="AK1180" s="127"/>
      <c r="AL1180" s="128"/>
      <c r="AM1180" s="21" t="s">
        <v>8309</v>
      </c>
      <c r="AN1180" s="133">
        <v>45997</v>
      </c>
      <c r="AO1180" s="134"/>
      <c r="AP1180" s="135">
        <v>1279</v>
      </c>
      <c r="AQ1180" s="136"/>
      <c r="AR1180" s="118">
        <v>550000</v>
      </c>
      <c r="AS1180" s="119"/>
      <c r="AT1180" s="118">
        <f>AR1180*0.1</f>
        <v>55000</v>
      </c>
      <c r="AU1180" s="119"/>
      <c r="AV1180" s="118">
        <v>8110</v>
      </c>
      <c r="AW1180" s="119"/>
      <c r="AX1180" s="118">
        <f>SUM(AR1180:AW1180)</f>
        <v>613110</v>
      </c>
      <c r="AY1180" s="119"/>
      <c r="AZ1180" s="137">
        <v>46000</v>
      </c>
    </row>
    <row r="1181" spans="1:52" ht="17.100000000000001" customHeight="1" thickBot="1">
      <c r="A1181" s="110"/>
      <c r="B1181" s="27" t="s">
        <v>1718</v>
      </c>
      <c r="C1181" s="27" t="s">
        <v>4148</v>
      </c>
      <c r="D1181" s="14" t="s">
        <v>3855</v>
      </c>
      <c r="E1181" s="112"/>
      <c r="F1181" s="139" t="s">
        <v>4149</v>
      </c>
      <c r="G1181" s="140"/>
      <c r="H1181" s="141"/>
      <c r="I1181" s="26">
        <v>57994</v>
      </c>
      <c r="J1181" s="117"/>
      <c r="K1181" s="120"/>
      <c r="L1181" s="121"/>
      <c r="M1181" s="120"/>
      <c r="N1181" s="121"/>
      <c r="O1181" s="120"/>
      <c r="P1181" s="121"/>
      <c r="Q1181" s="120"/>
      <c r="R1181" s="121"/>
      <c r="S1181" s="120"/>
      <c r="T1181" s="121"/>
      <c r="U1181" s="120"/>
      <c r="V1181" s="123"/>
      <c r="W1181" s="125"/>
      <c r="X1181" s="142" t="s">
        <v>4150</v>
      </c>
      <c r="Y1181" s="143"/>
      <c r="Z1181" s="143"/>
      <c r="AA1181" s="143"/>
      <c r="AB1181" s="144"/>
      <c r="AC1181" s="16" t="s">
        <v>21</v>
      </c>
      <c r="AD1181" s="17" t="s">
        <v>2112</v>
      </c>
      <c r="AE1181" s="145" t="s">
        <v>3123</v>
      </c>
      <c r="AF1181" s="146"/>
      <c r="AG1181" s="146"/>
      <c r="AH1181" s="146"/>
      <c r="AI1181" s="147"/>
      <c r="AJ1181" s="148"/>
      <c r="AK1181" s="143"/>
      <c r="AL1181" s="144"/>
      <c r="AM1181" s="22"/>
      <c r="AN1181" s="149" t="s">
        <v>2511</v>
      </c>
      <c r="AO1181" s="144"/>
      <c r="AP1181" s="148">
        <v>60232</v>
      </c>
      <c r="AQ1181" s="144"/>
      <c r="AR1181" s="120"/>
      <c r="AS1181" s="121"/>
      <c r="AT1181" s="120"/>
      <c r="AU1181" s="121"/>
      <c r="AV1181" s="120"/>
      <c r="AW1181" s="121"/>
      <c r="AX1181" s="120"/>
      <c r="AY1181" s="121"/>
      <c r="AZ1181" s="138"/>
    </row>
    <row r="1182" spans="1:52" ht="17.100000000000001" customHeight="1" thickTop="1">
      <c r="A1182" s="109" t="s">
        <v>6328</v>
      </c>
      <c r="B1182" s="28">
        <v>45870</v>
      </c>
      <c r="C1182" s="25"/>
      <c r="D1182" s="13" t="s">
        <v>2465</v>
      </c>
      <c r="E1182" s="111"/>
      <c r="F1182" s="113" t="s">
        <v>4151</v>
      </c>
      <c r="G1182" s="114"/>
      <c r="H1182" s="115"/>
      <c r="I1182" s="24" t="s">
        <v>4152</v>
      </c>
      <c r="J1182" s="116">
        <v>4.5</v>
      </c>
      <c r="K1182" s="118">
        <f>2634500/1.1</f>
        <v>2395000</v>
      </c>
      <c r="L1182" s="119"/>
      <c r="M1182" s="118">
        <f>K1182*0.1</f>
        <v>239500</v>
      </c>
      <c r="N1182" s="119"/>
      <c r="O1182" s="118">
        <v>22500</v>
      </c>
      <c r="P1182" s="119"/>
      <c r="Q1182" s="118">
        <v>16550</v>
      </c>
      <c r="R1182" s="119"/>
      <c r="S1182" s="118">
        <v>120863</v>
      </c>
      <c r="T1182" s="119"/>
      <c r="U1182" s="118">
        <f>SUM(K1182:T1183)</f>
        <v>2794413</v>
      </c>
      <c r="V1182" s="122"/>
      <c r="W1182" s="124"/>
      <c r="X1182" s="126" t="s">
        <v>6767</v>
      </c>
      <c r="Y1182" s="127"/>
      <c r="Z1182" s="127"/>
      <c r="AA1182" s="127"/>
      <c r="AB1182" s="128"/>
      <c r="AC1182" s="15" t="s">
        <v>20</v>
      </c>
      <c r="AD1182" s="129" t="s">
        <v>171</v>
      </c>
      <c r="AE1182" s="130"/>
      <c r="AF1182" s="130"/>
      <c r="AG1182" s="130"/>
      <c r="AH1182" s="130"/>
      <c r="AI1182" s="131"/>
      <c r="AJ1182" s="132"/>
      <c r="AK1182" s="127"/>
      <c r="AL1182" s="128"/>
      <c r="AM1182" s="21"/>
      <c r="AN1182" s="133">
        <v>45934</v>
      </c>
      <c r="AO1182" s="134"/>
      <c r="AP1182" s="135">
        <v>1270</v>
      </c>
      <c r="AQ1182" s="136"/>
      <c r="AR1182" s="118">
        <v>2660000</v>
      </c>
      <c r="AS1182" s="119"/>
      <c r="AT1182" s="118">
        <f>AR1182*0.1</f>
        <v>266000</v>
      </c>
      <c r="AU1182" s="119"/>
      <c r="AV1182" s="118">
        <v>16550</v>
      </c>
      <c r="AW1182" s="119"/>
      <c r="AX1182" s="118">
        <f>SUM(AR1182:AW1182)</f>
        <v>2942550</v>
      </c>
      <c r="AY1182" s="119"/>
      <c r="AZ1182" s="137">
        <v>45937</v>
      </c>
    </row>
    <row r="1183" spans="1:52" ht="17.100000000000001" customHeight="1" thickBot="1">
      <c r="A1183" s="110"/>
      <c r="B1183" s="27" t="s">
        <v>1718</v>
      </c>
      <c r="C1183" s="27" t="s">
        <v>4153</v>
      </c>
      <c r="D1183" s="14" t="s">
        <v>275</v>
      </c>
      <c r="E1183" s="112"/>
      <c r="F1183" s="139" t="s">
        <v>4154</v>
      </c>
      <c r="G1183" s="140"/>
      <c r="H1183" s="141"/>
      <c r="I1183" s="26">
        <v>48370</v>
      </c>
      <c r="J1183" s="117"/>
      <c r="K1183" s="120"/>
      <c r="L1183" s="121"/>
      <c r="M1183" s="120"/>
      <c r="N1183" s="121"/>
      <c r="O1183" s="120"/>
      <c r="P1183" s="121"/>
      <c r="Q1183" s="120"/>
      <c r="R1183" s="121"/>
      <c r="S1183" s="120"/>
      <c r="T1183" s="121"/>
      <c r="U1183" s="120"/>
      <c r="V1183" s="123"/>
      <c r="W1183" s="125"/>
      <c r="X1183" s="142" t="s">
        <v>6768</v>
      </c>
      <c r="Y1183" s="143"/>
      <c r="Z1183" s="143"/>
      <c r="AA1183" s="143"/>
      <c r="AB1183" s="144"/>
      <c r="AC1183" s="16" t="s">
        <v>21</v>
      </c>
      <c r="AD1183" s="17" t="s">
        <v>1604</v>
      </c>
      <c r="AE1183" s="145" t="s">
        <v>7853</v>
      </c>
      <c r="AF1183" s="146"/>
      <c r="AG1183" s="146"/>
      <c r="AH1183" s="146"/>
      <c r="AI1183" s="147"/>
      <c r="AJ1183" s="148"/>
      <c r="AK1183" s="143"/>
      <c r="AL1183" s="144"/>
      <c r="AM1183" s="22"/>
      <c r="AN1183" s="149" t="s">
        <v>7284</v>
      </c>
      <c r="AO1183" s="144"/>
      <c r="AP1183" s="148">
        <v>37651</v>
      </c>
      <c r="AQ1183" s="144"/>
      <c r="AR1183" s="120"/>
      <c r="AS1183" s="121"/>
      <c r="AT1183" s="120"/>
      <c r="AU1183" s="121"/>
      <c r="AV1183" s="120"/>
      <c r="AW1183" s="121"/>
      <c r="AX1183" s="120"/>
      <c r="AY1183" s="121"/>
      <c r="AZ1183" s="138"/>
    </row>
    <row r="1184" spans="1:52" ht="17.100000000000001" customHeight="1" thickTop="1">
      <c r="A1184" s="109" t="s">
        <v>6329</v>
      </c>
      <c r="B1184" s="28">
        <v>45871</v>
      </c>
      <c r="C1184" s="25">
        <v>1262</v>
      </c>
      <c r="D1184" s="13" t="s">
        <v>1825</v>
      </c>
      <c r="E1184" s="111"/>
      <c r="F1184" s="113" t="s">
        <v>4155</v>
      </c>
      <c r="G1184" s="114"/>
      <c r="H1184" s="115"/>
      <c r="I1184" s="24"/>
      <c r="J1184" s="116">
        <v>4.5</v>
      </c>
      <c r="K1184" s="118">
        <v>1050000</v>
      </c>
      <c r="L1184" s="119"/>
      <c r="M1184" s="118">
        <v>0</v>
      </c>
      <c r="N1184" s="119"/>
      <c r="O1184" s="118">
        <v>0</v>
      </c>
      <c r="P1184" s="119"/>
      <c r="Q1184" s="118">
        <v>7150</v>
      </c>
      <c r="R1184" s="119"/>
      <c r="S1184" s="118">
        <v>13200</v>
      </c>
      <c r="T1184" s="119"/>
      <c r="U1184" s="118">
        <f>SUM(K1184:T1185)</f>
        <v>1070350</v>
      </c>
      <c r="V1184" s="122"/>
      <c r="W1184" s="124"/>
      <c r="X1184" s="126" t="s">
        <v>4156</v>
      </c>
      <c r="Y1184" s="127"/>
      <c r="Z1184" s="127"/>
      <c r="AA1184" s="127"/>
      <c r="AB1184" s="128"/>
      <c r="AC1184" s="15" t="s">
        <v>20</v>
      </c>
      <c r="AD1184" s="129" t="s">
        <v>1605</v>
      </c>
      <c r="AE1184" s="130"/>
      <c r="AF1184" s="130"/>
      <c r="AG1184" s="130"/>
      <c r="AH1184" s="130"/>
      <c r="AI1184" s="131"/>
      <c r="AJ1184" s="132"/>
      <c r="AK1184" s="127"/>
      <c r="AL1184" s="128"/>
      <c r="AM1184" s="21"/>
      <c r="AN1184" s="133">
        <v>45997</v>
      </c>
      <c r="AO1184" s="134"/>
      <c r="AP1184" s="135">
        <v>1279</v>
      </c>
      <c r="AQ1184" s="136"/>
      <c r="AR1184" s="118">
        <v>1165000</v>
      </c>
      <c r="AS1184" s="119"/>
      <c r="AT1184" s="118">
        <f>AR1184*0.1</f>
        <v>116500</v>
      </c>
      <c r="AU1184" s="119"/>
      <c r="AV1184" s="118">
        <v>7150</v>
      </c>
      <c r="AW1184" s="119"/>
      <c r="AX1184" s="118">
        <f>SUM(AR1184:AW1184)</f>
        <v>1288650</v>
      </c>
      <c r="AY1184" s="119"/>
      <c r="AZ1184" s="137">
        <v>46000</v>
      </c>
    </row>
    <row r="1185" spans="1:52" ht="17.100000000000001" customHeight="1" thickBot="1">
      <c r="A1185" s="110"/>
      <c r="B1185" s="27" t="s">
        <v>2511</v>
      </c>
      <c r="C1185" s="27">
        <v>65303</v>
      </c>
      <c r="D1185" s="14" t="s">
        <v>2836</v>
      </c>
      <c r="E1185" s="112"/>
      <c r="F1185" s="139" t="s">
        <v>4157</v>
      </c>
      <c r="G1185" s="140"/>
      <c r="H1185" s="141"/>
      <c r="I1185" s="26">
        <v>30809</v>
      </c>
      <c r="J1185" s="117"/>
      <c r="K1185" s="120"/>
      <c r="L1185" s="121"/>
      <c r="M1185" s="120"/>
      <c r="N1185" s="121"/>
      <c r="O1185" s="120"/>
      <c r="P1185" s="121"/>
      <c r="Q1185" s="120"/>
      <c r="R1185" s="121"/>
      <c r="S1185" s="120"/>
      <c r="T1185" s="121"/>
      <c r="U1185" s="120"/>
      <c r="V1185" s="123"/>
      <c r="W1185" s="125"/>
      <c r="X1185" s="142" t="s">
        <v>3410</v>
      </c>
      <c r="Y1185" s="143"/>
      <c r="Z1185" s="143"/>
      <c r="AA1185" s="143"/>
      <c r="AB1185" s="144"/>
      <c r="AC1185" s="16" t="s">
        <v>21</v>
      </c>
      <c r="AD1185" s="17" t="s">
        <v>2919</v>
      </c>
      <c r="AE1185" s="145" t="s">
        <v>4158</v>
      </c>
      <c r="AF1185" s="146"/>
      <c r="AG1185" s="146"/>
      <c r="AH1185" s="146"/>
      <c r="AI1185" s="147"/>
      <c r="AJ1185" s="148"/>
      <c r="AK1185" s="143"/>
      <c r="AL1185" s="144"/>
      <c r="AM1185" s="22"/>
      <c r="AN1185" s="149" t="s">
        <v>2511</v>
      </c>
      <c r="AO1185" s="144"/>
      <c r="AP1185" s="148">
        <v>60140</v>
      </c>
      <c r="AQ1185" s="144"/>
      <c r="AR1185" s="120"/>
      <c r="AS1185" s="121"/>
      <c r="AT1185" s="120"/>
      <c r="AU1185" s="121"/>
      <c r="AV1185" s="120"/>
      <c r="AW1185" s="121"/>
      <c r="AX1185" s="120"/>
      <c r="AY1185" s="121"/>
      <c r="AZ1185" s="138"/>
    </row>
    <row r="1186" spans="1:52" ht="17.100000000000001" customHeight="1" thickTop="1">
      <c r="A1186" s="109" t="s">
        <v>6330</v>
      </c>
      <c r="B1186" s="28">
        <v>45873</v>
      </c>
      <c r="C1186" s="25">
        <v>2055</v>
      </c>
      <c r="D1186" s="13" t="s">
        <v>2298</v>
      </c>
      <c r="E1186" s="111"/>
      <c r="F1186" s="113" t="s">
        <v>4159</v>
      </c>
      <c r="G1186" s="114"/>
      <c r="H1186" s="115"/>
      <c r="I1186" s="24" t="s">
        <v>2858</v>
      </c>
      <c r="J1186" s="116">
        <v>4</v>
      </c>
      <c r="K1186" s="118">
        <v>2100000</v>
      </c>
      <c r="L1186" s="119"/>
      <c r="M1186" s="118">
        <f>K1186*0.1</f>
        <v>210000</v>
      </c>
      <c r="N1186" s="119"/>
      <c r="O1186" s="118">
        <f>21000+2100</f>
        <v>23100</v>
      </c>
      <c r="P1186" s="119"/>
      <c r="Q1186" s="118">
        <v>17800</v>
      </c>
      <c r="R1186" s="119"/>
      <c r="S1186" s="118">
        <v>11000</v>
      </c>
      <c r="T1186" s="119"/>
      <c r="U1186" s="118">
        <f>SUM(K1186:T1187)</f>
        <v>2361900</v>
      </c>
      <c r="V1186" s="122"/>
      <c r="W1186" s="124"/>
      <c r="X1186" s="126" t="s">
        <v>4160</v>
      </c>
      <c r="Y1186" s="127"/>
      <c r="Z1186" s="127"/>
      <c r="AA1186" s="127"/>
      <c r="AB1186" s="128"/>
      <c r="AC1186" s="15" t="s">
        <v>20</v>
      </c>
      <c r="AD1186" s="129"/>
      <c r="AE1186" s="130"/>
      <c r="AF1186" s="130"/>
      <c r="AG1186" s="130"/>
      <c r="AH1186" s="130"/>
      <c r="AI1186" s="131"/>
      <c r="AJ1186" s="132"/>
      <c r="AK1186" s="127"/>
      <c r="AL1186" s="128"/>
      <c r="AM1186" s="21"/>
      <c r="AN1186" s="133">
        <v>45914</v>
      </c>
      <c r="AO1186" s="134"/>
      <c r="AP1186" s="135"/>
      <c r="AQ1186" s="136"/>
      <c r="AR1186" s="118">
        <v>3386820</v>
      </c>
      <c r="AS1186" s="119"/>
      <c r="AT1186" s="118">
        <v>0</v>
      </c>
      <c r="AU1186" s="119"/>
      <c r="AV1186" s="118">
        <v>0</v>
      </c>
      <c r="AW1186" s="119"/>
      <c r="AX1186" s="118">
        <f>SUM(AR1186:AW1186)</f>
        <v>3386820</v>
      </c>
      <c r="AY1186" s="119"/>
      <c r="AZ1186" s="137">
        <v>45946</v>
      </c>
    </row>
    <row r="1187" spans="1:52" ht="17.100000000000001" customHeight="1" thickBot="1">
      <c r="A1187" s="110"/>
      <c r="B1187" s="27" t="s">
        <v>83</v>
      </c>
      <c r="C1187" s="27">
        <v>34524</v>
      </c>
      <c r="D1187" s="14" t="s">
        <v>275</v>
      </c>
      <c r="E1187" s="112"/>
      <c r="F1187" s="139" t="s">
        <v>4161</v>
      </c>
      <c r="G1187" s="140"/>
      <c r="H1187" s="141"/>
      <c r="I1187" s="26">
        <v>26815</v>
      </c>
      <c r="J1187" s="117"/>
      <c r="K1187" s="120"/>
      <c r="L1187" s="121"/>
      <c r="M1187" s="120"/>
      <c r="N1187" s="121"/>
      <c r="O1187" s="120"/>
      <c r="P1187" s="121"/>
      <c r="Q1187" s="120"/>
      <c r="R1187" s="121"/>
      <c r="S1187" s="120"/>
      <c r="T1187" s="121"/>
      <c r="U1187" s="120"/>
      <c r="V1187" s="123"/>
      <c r="W1187" s="125"/>
      <c r="X1187" s="142" t="s">
        <v>4058</v>
      </c>
      <c r="Y1187" s="143"/>
      <c r="Z1187" s="143"/>
      <c r="AA1187" s="143"/>
      <c r="AB1187" s="144"/>
      <c r="AC1187" s="16" t="s">
        <v>21</v>
      </c>
      <c r="AD1187" s="17" t="s">
        <v>2851</v>
      </c>
      <c r="AE1187" s="145" t="s">
        <v>1742</v>
      </c>
      <c r="AF1187" s="146"/>
      <c r="AG1187" s="146"/>
      <c r="AH1187" s="146"/>
      <c r="AI1187" s="147"/>
      <c r="AJ1187" s="148"/>
      <c r="AK1187" s="143"/>
      <c r="AL1187" s="144"/>
      <c r="AM1187" s="22" t="s">
        <v>907</v>
      </c>
      <c r="AN1187" s="149" t="s">
        <v>8458</v>
      </c>
      <c r="AO1187" s="144"/>
      <c r="AP1187" s="148"/>
      <c r="AQ1187" s="144"/>
      <c r="AR1187" s="120"/>
      <c r="AS1187" s="121"/>
      <c r="AT1187" s="120"/>
      <c r="AU1187" s="121"/>
      <c r="AV1187" s="120"/>
      <c r="AW1187" s="121"/>
      <c r="AX1187" s="120"/>
      <c r="AY1187" s="121"/>
      <c r="AZ1187" s="138"/>
    </row>
    <row r="1188" spans="1:52" ht="17.100000000000001" customHeight="1" thickTop="1">
      <c r="A1188" s="109" t="s">
        <v>6331</v>
      </c>
      <c r="B1188" s="28">
        <v>45873</v>
      </c>
      <c r="C1188" s="25">
        <v>1173</v>
      </c>
      <c r="D1188" s="13" t="s">
        <v>2371</v>
      </c>
      <c r="E1188" s="111"/>
      <c r="F1188" s="113" t="s">
        <v>4162</v>
      </c>
      <c r="G1188" s="114"/>
      <c r="H1188" s="115"/>
      <c r="I1188" s="24" t="s">
        <v>3923</v>
      </c>
      <c r="J1188" s="116">
        <v>3.5</v>
      </c>
      <c r="K1188" s="118">
        <v>210000</v>
      </c>
      <c r="L1188" s="119"/>
      <c r="M1188" s="118">
        <f>K1188*0.1</f>
        <v>21000</v>
      </c>
      <c r="N1188" s="119"/>
      <c r="O1188" s="118">
        <v>0</v>
      </c>
      <c r="P1188" s="119"/>
      <c r="Q1188" s="118">
        <v>9790</v>
      </c>
      <c r="R1188" s="119"/>
      <c r="S1188" s="118">
        <v>15950</v>
      </c>
      <c r="T1188" s="119"/>
      <c r="U1188" s="118">
        <f>SUM(K1188:T1189)</f>
        <v>256740</v>
      </c>
      <c r="V1188" s="122"/>
      <c r="W1188" s="124"/>
      <c r="X1188" s="126" t="s">
        <v>4163</v>
      </c>
      <c r="Y1188" s="127"/>
      <c r="Z1188" s="127"/>
      <c r="AA1188" s="127"/>
      <c r="AB1188" s="128"/>
      <c r="AC1188" s="15" t="s">
        <v>20</v>
      </c>
      <c r="AD1188" s="129"/>
      <c r="AE1188" s="130"/>
      <c r="AF1188" s="130"/>
      <c r="AG1188" s="130"/>
      <c r="AH1188" s="130"/>
      <c r="AI1188" s="131"/>
      <c r="AJ1188" s="132"/>
      <c r="AK1188" s="127"/>
      <c r="AL1188" s="128"/>
      <c r="AM1188" s="21" t="s">
        <v>4164</v>
      </c>
      <c r="AN1188" s="133">
        <v>45976</v>
      </c>
      <c r="AO1188" s="134"/>
      <c r="AP1188" s="135">
        <v>1276</v>
      </c>
      <c r="AQ1188" s="136"/>
      <c r="AR1188" s="118">
        <v>250000</v>
      </c>
      <c r="AS1188" s="119"/>
      <c r="AT1188" s="118">
        <f>AR1188*0.1</f>
        <v>25000</v>
      </c>
      <c r="AU1188" s="119"/>
      <c r="AV1188" s="118">
        <v>9790</v>
      </c>
      <c r="AW1188" s="119"/>
      <c r="AX1188" s="118">
        <f>SUM(AR1188:AW1188)</f>
        <v>284790</v>
      </c>
      <c r="AY1188" s="119"/>
      <c r="AZ1188" s="137">
        <v>45979</v>
      </c>
    </row>
    <row r="1189" spans="1:52" ht="17.100000000000001" customHeight="1" thickBot="1">
      <c r="A1189" s="110"/>
      <c r="B1189" s="27" t="s">
        <v>4165</v>
      </c>
      <c r="C1189" s="27">
        <v>55016</v>
      </c>
      <c r="D1189" s="14" t="s">
        <v>3855</v>
      </c>
      <c r="E1189" s="112"/>
      <c r="F1189" s="139" t="s">
        <v>4166</v>
      </c>
      <c r="G1189" s="140"/>
      <c r="H1189" s="141"/>
      <c r="I1189" s="26">
        <v>50526</v>
      </c>
      <c r="J1189" s="117"/>
      <c r="K1189" s="120"/>
      <c r="L1189" s="121"/>
      <c r="M1189" s="120"/>
      <c r="N1189" s="121"/>
      <c r="O1189" s="120"/>
      <c r="P1189" s="121"/>
      <c r="Q1189" s="120"/>
      <c r="R1189" s="121"/>
      <c r="S1189" s="120"/>
      <c r="T1189" s="121"/>
      <c r="U1189" s="120"/>
      <c r="V1189" s="123"/>
      <c r="W1189" s="125"/>
      <c r="X1189" s="142" t="s">
        <v>4167</v>
      </c>
      <c r="Y1189" s="143"/>
      <c r="Z1189" s="143"/>
      <c r="AA1189" s="143"/>
      <c r="AB1189" s="144"/>
      <c r="AC1189" s="16" t="s">
        <v>21</v>
      </c>
      <c r="AD1189" s="17" t="s">
        <v>2851</v>
      </c>
      <c r="AE1189" s="145"/>
      <c r="AF1189" s="146"/>
      <c r="AG1189" s="146"/>
      <c r="AH1189" s="146"/>
      <c r="AI1189" s="147"/>
      <c r="AJ1189" s="148"/>
      <c r="AK1189" s="143"/>
      <c r="AL1189" s="144"/>
      <c r="AM1189" s="22"/>
      <c r="AN1189" s="149" t="s">
        <v>10999</v>
      </c>
      <c r="AO1189" s="144"/>
      <c r="AP1189" s="148">
        <v>63116</v>
      </c>
      <c r="AQ1189" s="144"/>
      <c r="AR1189" s="120"/>
      <c r="AS1189" s="121"/>
      <c r="AT1189" s="120"/>
      <c r="AU1189" s="121"/>
      <c r="AV1189" s="120"/>
      <c r="AW1189" s="121"/>
      <c r="AX1189" s="120"/>
      <c r="AY1189" s="121"/>
      <c r="AZ1189" s="138"/>
    </row>
    <row r="1190" spans="1:52" ht="17.100000000000001" customHeight="1" thickTop="1">
      <c r="A1190" s="109" t="s">
        <v>6332</v>
      </c>
      <c r="B1190" s="28">
        <v>45873</v>
      </c>
      <c r="C1190" s="25">
        <v>1173</v>
      </c>
      <c r="D1190" s="13" t="s">
        <v>1776</v>
      </c>
      <c r="E1190" s="111"/>
      <c r="F1190" s="113" t="s">
        <v>4168</v>
      </c>
      <c r="G1190" s="114"/>
      <c r="H1190" s="115"/>
      <c r="I1190" s="24" t="s">
        <v>2858</v>
      </c>
      <c r="J1190" s="116">
        <v>4</v>
      </c>
      <c r="K1190" s="118">
        <v>752000</v>
      </c>
      <c r="L1190" s="119"/>
      <c r="M1190" s="118">
        <f>K1190*0.1</f>
        <v>75200</v>
      </c>
      <c r="N1190" s="119"/>
      <c r="O1190" s="118">
        <v>0</v>
      </c>
      <c r="P1190" s="119"/>
      <c r="Q1190" s="118">
        <v>9790</v>
      </c>
      <c r="R1190" s="119"/>
      <c r="S1190" s="118">
        <v>15950</v>
      </c>
      <c r="T1190" s="119"/>
      <c r="U1190" s="118">
        <f>SUM(K1190:T1191)</f>
        <v>852940</v>
      </c>
      <c r="V1190" s="122"/>
      <c r="W1190" s="124"/>
      <c r="X1190" s="126" t="s">
        <v>4169</v>
      </c>
      <c r="Y1190" s="127"/>
      <c r="Z1190" s="127"/>
      <c r="AA1190" s="127"/>
      <c r="AB1190" s="128"/>
      <c r="AC1190" s="15" t="s">
        <v>20</v>
      </c>
      <c r="AD1190" s="129"/>
      <c r="AE1190" s="130"/>
      <c r="AF1190" s="130"/>
      <c r="AG1190" s="130"/>
      <c r="AH1190" s="130"/>
      <c r="AI1190" s="131"/>
      <c r="AJ1190" s="132"/>
      <c r="AK1190" s="127"/>
      <c r="AL1190" s="128"/>
      <c r="AM1190" s="21" t="s">
        <v>4170</v>
      </c>
      <c r="AN1190" s="133">
        <v>45997</v>
      </c>
      <c r="AO1190" s="134"/>
      <c r="AP1190" s="135">
        <v>1279</v>
      </c>
      <c r="AQ1190" s="136"/>
      <c r="AR1190" s="118">
        <v>760000</v>
      </c>
      <c r="AS1190" s="119"/>
      <c r="AT1190" s="118">
        <f>AR1190*0.1</f>
        <v>76000</v>
      </c>
      <c r="AU1190" s="119"/>
      <c r="AV1190" s="118">
        <v>9790</v>
      </c>
      <c r="AW1190" s="119"/>
      <c r="AX1190" s="118">
        <f>SUM(AR1190:AW1190)</f>
        <v>845790</v>
      </c>
      <c r="AY1190" s="119"/>
      <c r="AZ1190" s="137">
        <v>46002</v>
      </c>
    </row>
    <row r="1191" spans="1:52" ht="17.100000000000001" customHeight="1" thickBot="1">
      <c r="A1191" s="110"/>
      <c r="B1191" s="27" t="s">
        <v>4165</v>
      </c>
      <c r="C1191" s="27">
        <v>55028</v>
      </c>
      <c r="D1191" s="14" t="s">
        <v>2040</v>
      </c>
      <c r="E1191" s="112"/>
      <c r="F1191" s="139" t="s">
        <v>4171</v>
      </c>
      <c r="G1191" s="140"/>
      <c r="H1191" s="141"/>
      <c r="I1191" s="26">
        <v>47494</v>
      </c>
      <c r="J1191" s="117"/>
      <c r="K1191" s="120"/>
      <c r="L1191" s="121"/>
      <c r="M1191" s="120"/>
      <c r="N1191" s="121"/>
      <c r="O1191" s="120"/>
      <c r="P1191" s="121"/>
      <c r="Q1191" s="120"/>
      <c r="R1191" s="121"/>
      <c r="S1191" s="120"/>
      <c r="T1191" s="121"/>
      <c r="U1191" s="120"/>
      <c r="V1191" s="123"/>
      <c r="W1191" s="125"/>
      <c r="X1191" s="142" t="s">
        <v>4172</v>
      </c>
      <c r="Y1191" s="143"/>
      <c r="Z1191" s="143"/>
      <c r="AA1191" s="143"/>
      <c r="AB1191" s="144"/>
      <c r="AC1191" s="16" t="s">
        <v>21</v>
      </c>
      <c r="AD1191" s="17" t="s">
        <v>2851</v>
      </c>
      <c r="AE1191" s="145" t="s">
        <v>4173</v>
      </c>
      <c r="AF1191" s="146"/>
      <c r="AG1191" s="146"/>
      <c r="AH1191" s="146"/>
      <c r="AI1191" s="147"/>
      <c r="AJ1191" s="148"/>
      <c r="AK1191" s="143"/>
      <c r="AL1191" s="144"/>
      <c r="AM1191" s="22"/>
      <c r="AN1191" s="149" t="s">
        <v>2511</v>
      </c>
      <c r="AO1191" s="144"/>
      <c r="AP1191" s="148">
        <v>60109</v>
      </c>
      <c r="AQ1191" s="144"/>
      <c r="AR1191" s="120"/>
      <c r="AS1191" s="121"/>
      <c r="AT1191" s="120"/>
      <c r="AU1191" s="121"/>
      <c r="AV1191" s="120"/>
      <c r="AW1191" s="121"/>
      <c r="AX1191" s="120"/>
      <c r="AY1191" s="121"/>
      <c r="AZ1191" s="138"/>
    </row>
    <row r="1192" spans="1:52" ht="17.100000000000001" customHeight="1" thickTop="1">
      <c r="A1192" s="151" t="s">
        <v>6333</v>
      </c>
      <c r="B1192" s="28">
        <v>45873</v>
      </c>
      <c r="C1192" s="25"/>
      <c r="D1192" s="13" t="s">
        <v>4177</v>
      </c>
      <c r="E1192" s="111"/>
      <c r="F1192" s="113" t="s">
        <v>4178</v>
      </c>
      <c r="G1192" s="114"/>
      <c r="H1192" s="115"/>
      <c r="I1192" s="24" t="s">
        <v>4179</v>
      </c>
      <c r="J1192" s="116">
        <v>3.5</v>
      </c>
      <c r="K1192" s="118">
        <f>297000/1.1</f>
        <v>270000</v>
      </c>
      <c r="L1192" s="119"/>
      <c r="M1192" s="118">
        <f>K1192*0.1</f>
        <v>27000</v>
      </c>
      <c r="N1192" s="119"/>
      <c r="O1192" s="118">
        <v>22500</v>
      </c>
      <c r="P1192" s="119"/>
      <c r="Q1192" s="118">
        <v>16260</v>
      </c>
      <c r="R1192" s="119"/>
      <c r="S1192" s="118">
        <v>41685</v>
      </c>
      <c r="T1192" s="119"/>
      <c r="U1192" s="118">
        <f>SUM(K1192:T1193)</f>
        <v>377445</v>
      </c>
      <c r="V1192" s="122"/>
      <c r="W1192" s="124"/>
      <c r="X1192" s="126" t="s">
        <v>4180</v>
      </c>
      <c r="Y1192" s="127"/>
      <c r="Z1192" s="127"/>
      <c r="AA1192" s="127"/>
      <c r="AB1192" s="128"/>
      <c r="AC1192" s="15" t="s">
        <v>20</v>
      </c>
      <c r="AD1192" s="129" t="s">
        <v>1945</v>
      </c>
      <c r="AE1192" s="130"/>
      <c r="AF1192" s="130"/>
      <c r="AG1192" s="130"/>
      <c r="AH1192" s="130"/>
      <c r="AI1192" s="131"/>
      <c r="AJ1192" s="132" t="s">
        <v>6751</v>
      </c>
      <c r="AK1192" s="127"/>
      <c r="AL1192" s="128"/>
      <c r="AM1192" s="21"/>
      <c r="AN1192" s="133"/>
      <c r="AO1192" s="134"/>
      <c r="AP1192" s="135"/>
      <c r="AQ1192" s="136"/>
      <c r="AR1192" s="118"/>
      <c r="AS1192" s="119"/>
      <c r="AT1192" s="118">
        <f>AR1192*0.1</f>
        <v>0</v>
      </c>
      <c r="AU1192" s="119"/>
      <c r="AV1192" s="118"/>
      <c r="AW1192" s="119"/>
      <c r="AX1192" s="118">
        <f>SUM(AR1192:AW1192)</f>
        <v>0</v>
      </c>
      <c r="AY1192" s="119"/>
      <c r="AZ1192" s="137"/>
    </row>
    <row r="1193" spans="1:52" ht="17.100000000000001" customHeight="1" thickBot="1">
      <c r="A1193" s="152"/>
      <c r="B1193" s="27" t="s">
        <v>1718</v>
      </c>
      <c r="C1193" s="27" t="s">
        <v>4181</v>
      </c>
      <c r="D1193" s="14" t="s">
        <v>2601</v>
      </c>
      <c r="E1193" s="112"/>
      <c r="F1193" s="139" t="s">
        <v>4182</v>
      </c>
      <c r="G1193" s="140"/>
      <c r="H1193" s="141"/>
      <c r="I1193" s="26">
        <v>144448</v>
      </c>
      <c r="J1193" s="117"/>
      <c r="K1193" s="120"/>
      <c r="L1193" s="121"/>
      <c r="M1193" s="120"/>
      <c r="N1193" s="121"/>
      <c r="O1193" s="120"/>
      <c r="P1193" s="121"/>
      <c r="Q1193" s="120"/>
      <c r="R1193" s="121"/>
      <c r="S1193" s="120"/>
      <c r="T1193" s="121"/>
      <c r="U1193" s="120"/>
      <c r="V1193" s="123"/>
      <c r="W1193" s="125"/>
      <c r="X1193" s="142" t="s">
        <v>4183</v>
      </c>
      <c r="Y1193" s="143"/>
      <c r="Z1193" s="143"/>
      <c r="AA1193" s="143"/>
      <c r="AB1193" s="144"/>
      <c r="AC1193" s="16" t="s">
        <v>21</v>
      </c>
      <c r="AD1193" s="17" t="s">
        <v>4184</v>
      </c>
      <c r="AE1193" s="145" t="s">
        <v>3828</v>
      </c>
      <c r="AF1193" s="146"/>
      <c r="AG1193" s="146"/>
      <c r="AH1193" s="146"/>
      <c r="AI1193" s="147"/>
      <c r="AJ1193" s="148" t="s">
        <v>8243</v>
      </c>
      <c r="AK1193" s="143"/>
      <c r="AL1193" s="144"/>
      <c r="AM1193" s="22"/>
      <c r="AN1193" s="149"/>
      <c r="AO1193" s="144"/>
      <c r="AP1193" s="148"/>
      <c r="AQ1193" s="144"/>
      <c r="AR1193" s="120"/>
      <c r="AS1193" s="121"/>
      <c r="AT1193" s="120"/>
      <c r="AU1193" s="121"/>
      <c r="AV1193" s="120"/>
      <c r="AW1193" s="121"/>
      <c r="AX1193" s="120"/>
      <c r="AY1193" s="121"/>
      <c r="AZ1193" s="138"/>
    </row>
    <row r="1194" spans="1:52" ht="17.100000000000001" customHeight="1" thickTop="1">
      <c r="A1194" s="109" t="s">
        <v>6334</v>
      </c>
      <c r="B1194" s="28">
        <v>45875</v>
      </c>
      <c r="C1194" s="25">
        <v>1292</v>
      </c>
      <c r="D1194" s="13" t="s">
        <v>1845</v>
      </c>
      <c r="E1194" s="111"/>
      <c r="F1194" s="113" t="s">
        <v>4185</v>
      </c>
      <c r="G1194" s="114"/>
      <c r="H1194" s="115"/>
      <c r="I1194" s="24"/>
      <c r="J1194" s="116">
        <v>4</v>
      </c>
      <c r="K1194" s="118">
        <v>2360000</v>
      </c>
      <c r="L1194" s="119"/>
      <c r="M1194" s="118">
        <f>K1194*0.1</f>
        <v>236000</v>
      </c>
      <c r="N1194" s="119"/>
      <c r="O1194" s="118">
        <v>0</v>
      </c>
      <c r="P1194" s="119"/>
      <c r="Q1194" s="118">
        <v>16240</v>
      </c>
      <c r="R1194" s="119"/>
      <c r="S1194" s="118">
        <v>22000</v>
      </c>
      <c r="T1194" s="119"/>
      <c r="U1194" s="118">
        <f>SUM(K1194:T1195)</f>
        <v>2634240</v>
      </c>
      <c r="V1194" s="122"/>
      <c r="W1194" s="124"/>
      <c r="X1194" s="126" t="s">
        <v>4186</v>
      </c>
      <c r="Y1194" s="127"/>
      <c r="Z1194" s="127"/>
      <c r="AA1194" s="127"/>
      <c r="AB1194" s="128"/>
      <c r="AC1194" s="15" t="s">
        <v>20</v>
      </c>
      <c r="AD1194" s="129" t="s">
        <v>1670</v>
      </c>
      <c r="AE1194" s="130"/>
      <c r="AF1194" s="130"/>
      <c r="AG1194" s="130"/>
      <c r="AH1194" s="130"/>
      <c r="AI1194" s="131"/>
      <c r="AJ1194" s="132"/>
      <c r="AK1194" s="127"/>
      <c r="AL1194" s="128"/>
      <c r="AM1194" s="21"/>
      <c r="AN1194" s="133"/>
      <c r="AO1194" s="134"/>
      <c r="AP1194" s="135"/>
      <c r="AQ1194" s="136"/>
      <c r="AR1194" s="118"/>
      <c r="AS1194" s="119"/>
      <c r="AT1194" s="118">
        <f>AR1194*0.1</f>
        <v>0</v>
      </c>
      <c r="AU1194" s="119"/>
      <c r="AV1194" s="118"/>
      <c r="AW1194" s="119"/>
      <c r="AX1194" s="118">
        <f>SUM(AR1194:AW1194)</f>
        <v>0</v>
      </c>
      <c r="AY1194" s="119"/>
      <c r="AZ1194" s="137"/>
    </row>
    <row r="1195" spans="1:52" ht="17.100000000000001" customHeight="1" thickBot="1">
      <c r="A1195" s="110"/>
      <c r="B1195" s="27" t="s">
        <v>4187</v>
      </c>
      <c r="C1195" s="27">
        <v>20146</v>
      </c>
      <c r="D1195" s="14" t="s">
        <v>133</v>
      </c>
      <c r="E1195" s="112"/>
      <c r="F1195" s="139" t="s">
        <v>4188</v>
      </c>
      <c r="G1195" s="140"/>
      <c r="H1195" s="141"/>
      <c r="I1195" s="26">
        <v>32163</v>
      </c>
      <c r="J1195" s="117"/>
      <c r="K1195" s="120"/>
      <c r="L1195" s="121"/>
      <c r="M1195" s="120"/>
      <c r="N1195" s="121"/>
      <c r="O1195" s="120"/>
      <c r="P1195" s="121"/>
      <c r="Q1195" s="120"/>
      <c r="R1195" s="121"/>
      <c r="S1195" s="120"/>
      <c r="T1195" s="121"/>
      <c r="U1195" s="120"/>
      <c r="V1195" s="123"/>
      <c r="W1195" s="125"/>
      <c r="X1195" s="142" t="s">
        <v>4189</v>
      </c>
      <c r="Y1195" s="143"/>
      <c r="Z1195" s="143"/>
      <c r="AA1195" s="143"/>
      <c r="AB1195" s="144"/>
      <c r="AC1195" s="16" t="s">
        <v>21</v>
      </c>
      <c r="AD1195" s="17" t="s">
        <v>2919</v>
      </c>
      <c r="AE1195" s="145" t="s">
        <v>1614</v>
      </c>
      <c r="AF1195" s="146"/>
      <c r="AG1195" s="146"/>
      <c r="AH1195" s="146"/>
      <c r="AI1195" s="147"/>
      <c r="AJ1195" s="148"/>
      <c r="AK1195" s="143"/>
      <c r="AL1195" s="144"/>
      <c r="AM1195" s="22"/>
      <c r="AN1195" s="149"/>
      <c r="AO1195" s="144"/>
      <c r="AP1195" s="148"/>
      <c r="AQ1195" s="144"/>
      <c r="AR1195" s="120"/>
      <c r="AS1195" s="121"/>
      <c r="AT1195" s="120"/>
      <c r="AU1195" s="121"/>
      <c r="AV1195" s="120"/>
      <c r="AW1195" s="121"/>
      <c r="AX1195" s="120"/>
      <c r="AY1195" s="121"/>
      <c r="AZ1195" s="138"/>
    </row>
    <row r="1196" spans="1:52" ht="17.100000000000001" customHeight="1" thickTop="1">
      <c r="A1196" s="109" t="s">
        <v>6335</v>
      </c>
      <c r="B1196" s="28">
        <v>45875</v>
      </c>
      <c r="C1196" s="25">
        <v>2317</v>
      </c>
      <c r="D1196" s="13" t="s">
        <v>1688</v>
      </c>
      <c r="E1196" s="111"/>
      <c r="F1196" s="113" t="s">
        <v>4190</v>
      </c>
      <c r="G1196" s="114"/>
      <c r="H1196" s="115"/>
      <c r="I1196" s="24" t="s">
        <v>3674</v>
      </c>
      <c r="J1196" s="116">
        <v>4.5</v>
      </c>
      <c r="K1196" s="118">
        <v>1270000</v>
      </c>
      <c r="L1196" s="119"/>
      <c r="M1196" s="118">
        <f>K1196*0.1</f>
        <v>127000</v>
      </c>
      <c r="N1196" s="119"/>
      <c r="O1196" s="118">
        <f>17700+1770</f>
        <v>19470</v>
      </c>
      <c r="P1196" s="119"/>
      <c r="Q1196" s="118">
        <v>12270</v>
      </c>
      <c r="R1196" s="119"/>
      <c r="S1196" s="118">
        <v>16500</v>
      </c>
      <c r="T1196" s="119"/>
      <c r="U1196" s="118">
        <f>SUM(K1196:T1197)</f>
        <v>1445240</v>
      </c>
      <c r="V1196" s="122"/>
      <c r="W1196" s="124"/>
      <c r="X1196" s="126" t="s">
        <v>4191</v>
      </c>
      <c r="Y1196" s="127"/>
      <c r="Z1196" s="127"/>
      <c r="AA1196" s="127"/>
      <c r="AB1196" s="128"/>
      <c r="AC1196" s="15" t="s">
        <v>20</v>
      </c>
      <c r="AD1196" s="129" t="s">
        <v>2745</v>
      </c>
      <c r="AE1196" s="130"/>
      <c r="AF1196" s="130"/>
      <c r="AG1196" s="130"/>
      <c r="AH1196" s="130"/>
      <c r="AI1196" s="131"/>
      <c r="AJ1196" s="132"/>
      <c r="AK1196" s="127"/>
      <c r="AL1196" s="128"/>
      <c r="AM1196" s="21"/>
      <c r="AN1196" s="133">
        <v>45948</v>
      </c>
      <c r="AO1196" s="134"/>
      <c r="AP1196" s="135">
        <v>1272</v>
      </c>
      <c r="AQ1196" s="136"/>
      <c r="AR1196" s="118">
        <v>1400000</v>
      </c>
      <c r="AS1196" s="119"/>
      <c r="AT1196" s="118">
        <f>AR1196*0.1</f>
        <v>140000</v>
      </c>
      <c r="AU1196" s="119"/>
      <c r="AV1196" s="118">
        <v>12270</v>
      </c>
      <c r="AW1196" s="119"/>
      <c r="AX1196" s="118">
        <f>SUM(AR1196:AW1196)</f>
        <v>1552270</v>
      </c>
      <c r="AY1196" s="119"/>
      <c r="AZ1196" s="137">
        <v>45951</v>
      </c>
    </row>
    <row r="1197" spans="1:52" ht="17.100000000000001" customHeight="1" thickBot="1">
      <c r="A1197" s="110"/>
      <c r="B1197" s="27" t="s">
        <v>3422</v>
      </c>
      <c r="C1197" s="27">
        <v>60095</v>
      </c>
      <c r="D1197" s="14" t="s">
        <v>904</v>
      </c>
      <c r="E1197" s="112"/>
      <c r="F1197" s="139" t="s">
        <v>4192</v>
      </c>
      <c r="G1197" s="140"/>
      <c r="H1197" s="141"/>
      <c r="I1197" s="26">
        <v>21895</v>
      </c>
      <c r="J1197" s="117"/>
      <c r="K1197" s="120"/>
      <c r="L1197" s="121"/>
      <c r="M1197" s="120"/>
      <c r="N1197" s="121"/>
      <c r="O1197" s="120"/>
      <c r="P1197" s="121"/>
      <c r="Q1197" s="120"/>
      <c r="R1197" s="121"/>
      <c r="S1197" s="120"/>
      <c r="T1197" s="121"/>
      <c r="U1197" s="120"/>
      <c r="V1197" s="123"/>
      <c r="W1197" s="125"/>
      <c r="X1197" s="142" t="s">
        <v>2321</v>
      </c>
      <c r="Y1197" s="143"/>
      <c r="Z1197" s="143"/>
      <c r="AA1197" s="143"/>
      <c r="AB1197" s="144"/>
      <c r="AC1197" s="16" t="s">
        <v>21</v>
      </c>
      <c r="AD1197" s="17" t="s">
        <v>4193</v>
      </c>
      <c r="AE1197" s="145" t="s">
        <v>1614</v>
      </c>
      <c r="AF1197" s="146"/>
      <c r="AG1197" s="146"/>
      <c r="AH1197" s="146"/>
      <c r="AI1197" s="147"/>
      <c r="AJ1197" s="148"/>
      <c r="AK1197" s="143"/>
      <c r="AL1197" s="144"/>
      <c r="AM1197" s="22" t="s">
        <v>4194</v>
      </c>
      <c r="AN1197" s="149" t="s">
        <v>2511</v>
      </c>
      <c r="AO1197" s="144"/>
      <c r="AP1197" s="148">
        <v>80040</v>
      </c>
      <c r="AQ1197" s="144"/>
      <c r="AR1197" s="120"/>
      <c r="AS1197" s="121"/>
      <c r="AT1197" s="120"/>
      <c r="AU1197" s="121"/>
      <c r="AV1197" s="120"/>
      <c r="AW1197" s="121"/>
      <c r="AX1197" s="120"/>
      <c r="AY1197" s="121"/>
      <c r="AZ1197" s="138"/>
    </row>
    <row r="1198" spans="1:52" ht="17.100000000000001" customHeight="1" thickTop="1">
      <c r="A1198" s="109" t="s">
        <v>6336</v>
      </c>
      <c r="B1198" s="28">
        <v>45875</v>
      </c>
      <c r="C1198" s="25">
        <v>1800</v>
      </c>
      <c r="D1198" s="13" t="s">
        <v>1640</v>
      </c>
      <c r="E1198" s="111"/>
      <c r="F1198" s="113" t="s">
        <v>4195</v>
      </c>
      <c r="G1198" s="114"/>
      <c r="H1198" s="115"/>
      <c r="I1198" s="24"/>
      <c r="J1198" s="116">
        <v>4.5</v>
      </c>
      <c r="K1198" s="118">
        <v>1180000</v>
      </c>
      <c r="L1198" s="119"/>
      <c r="M1198" s="118">
        <f>K1198*0.1</f>
        <v>118000</v>
      </c>
      <c r="N1198" s="119"/>
      <c r="O1198" s="118">
        <v>0</v>
      </c>
      <c r="P1198" s="119"/>
      <c r="Q1198" s="118">
        <v>12450</v>
      </c>
      <c r="R1198" s="119"/>
      <c r="S1198" s="118">
        <v>18150</v>
      </c>
      <c r="T1198" s="119"/>
      <c r="U1198" s="118">
        <f>SUM(K1198:T1199)</f>
        <v>1328600</v>
      </c>
      <c r="V1198" s="122"/>
      <c r="W1198" s="124"/>
      <c r="X1198" s="126" t="s">
        <v>4196</v>
      </c>
      <c r="Y1198" s="127"/>
      <c r="Z1198" s="127"/>
      <c r="AA1198" s="127"/>
      <c r="AB1198" s="128"/>
      <c r="AC1198" s="15" t="s">
        <v>20</v>
      </c>
      <c r="AD1198" s="129" t="s">
        <v>2401</v>
      </c>
      <c r="AE1198" s="130"/>
      <c r="AF1198" s="130"/>
      <c r="AG1198" s="130"/>
      <c r="AH1198" s="130"/>
      <c r="AI1198" s="131"/>
      <c r="AJ1198" s="132" t="s">
        <v>4197</v>
      </c>
      <c r="AK1198" s="127"/>
      <c r="AL1198" s="128"/>
      <c r="AM1198" s="21"/>
      <c r="AN1198" s="133">
        <v>45948</v>
      </c>
      <c r="AO1198" s="134"/>
      <c r="AP1198" s="135">
        <v>1272</v>
      </c>
      <c r="AQ1198" s="136"/>
      <c r="AR1198" s="118">
        <v>1220000</v>
      </c>
      <c r="AS1198" s="119"/>
      <c r="AT1198" s="118">
        <f>AR1198*0.1</f>
        <v>122000</v>
      </c>
      <c r="AU1198" s="119"/>
      <c r="AV1198" s="118">
        <v>12450</v>
      </c>
      <c r="AW1198" s="119"/>
      <c r="AX1198" s="118">
        <f>SUM(AR1198:AW1198)</f>
        <v>1354450</v>
      </c>
      <c r="AY1198" s="119"/>
      <c r="AZ1198" s="137">
        <v>45951</v>
      </c>
    </row>
    <row r="1199" spans="1:52" ht="17.100000000000001" customHeight="1" thickBot="1">
      <c r="A1199" s="110"/>
      <c r="B1199" s="27" t="s">
        <v>2559</v>
      </c>
      <c r="C1199" s="27">
        <v>38132</v>
      </c>
      <c r="D1199" s="14" t="s">
        <v>1592</v>
      </c>
      <c r="E1199" s="112"/>
      <c r="F1199" s="139" t="s">
        <v>4198</v>
      </c>
      <c r="G1199" s="140"/>
      <c r="H1199" s="141"/>
      <c r="I1199" s="26">
        <v>42826</v>
      </c>
      <c r="J1199" s="117"/>
      <c r="K1199" s="120"/>
      <c r="L1199" s="121"/>
      <c r="M1199" s="120"/>
      <c r="N1199" s="121"/>
      <c r="O1199" s="120"/>
      <c r="P1199" s="121"/>
      <c r="Q1199" s="120"/>
      <c r="R1199" s="121"/>
      <c r="S1199" s="120"/>
      <c r="T1199" s="121"/>
      <c r="U1199" s="120"/>
      <c r="V1199" s="123"/>
      <c r="W1199" s="125"/>
      <c r="X1199" s="142" t="s">
        <v>4199</v>
      </c>
      <c r="Y1199" s="143"/>
      <c r="Z1199" s="143"/>
      <c r="AA1199" s="143"/>
      <c r="AB1199" s="144"/>
      <c r="AC1199" s="16" t="s">
        <v>21</v>
      </c>
      <c r="AD1199" s="17" t="s">
        <v>2851</v>
      </c>
      <c r="AE1199" s="145" t="s">
        <v>4200</v>
      </c>
      <c r="AF1199" s="146"/>
      <c r="AG1199" s="146"/>
      <c r="AH1199" s="146"/>
      <c r="AI1199" s="147"/>
      <c r="AJ1199" s="148" t="s">
        <v>4201</v>
      </c>
      <c r="AK1199" s="143"/>
      <c r="AL1199" s="144"/>
      <c r="AM1199" s="22"/>
      <c r="AN1199" s="149" t="s">
        <v>2511</v>
      </c>
      <c r="AO1199" s="144"/>
      <c r="AP1199" s="148">
        <v>80046</v>
      </c>
      <c r="AQ1199" s="144"/>
      <c r="AR1199" s="120"/>
      <c r="AS1199" s="121"/>
      <c r="AT1199" s="120"/>
      <c r="AU1199" s="121"/>
      <c r="AV1199" s="120"/>
      <c r="AW1199" s="121"/>
      <c r="AX1199" s="120"/>
      <c r="AY1199" s="121"/>
      <c r="AZ1199" s="138"/>
    </row>
    <row r="1200" spans="1:52" ht="17.100000000000001" customHeight="1" thickTop="1">
      <c r="A1200" s="109" t="s">
        <v>6337</v>
      </c>
      <c r="B1200" s="28">
        <v>45876</v>
      </c>
      <c r="C1200" s="25">
        <v>1989</v>
      </c>
      <c r="D1200" s="13" t="s">
        <v>3324</v>
      </c>
      <c r="E1200" s="111"/>
      <c r="F1200" s="113" t="s">
        <v>4202</v>
      </c>
      <c r="G1200" s="114"/>
      <c r="H1200" s="115"/>
      <c r="I1200" s="24" t="s">
        <v>3317</v>
      </c>
      <c r="J1200" s="150" t="s">
        <v>4203</v>
      </c>
      <c r="K1200" s="118">
        <v>1379000</v>
      </c>
      <c r="L1200" s="119"/>
      <c r="M1200" s="118">
        <f>K1200*0.1</f>
        <v>137900</v>
      </c>
      <c r="N1200" s="119"/>
      <c r="O1200" s="118">
        <v>0</v>
      </c>
      <c r="P1200" s="119"/>
      <c r="Q1200" s="118">
        <v>7200</v>
      </c>
      <c r="R1200" s="119"/>
      <c r="S1200" s="118">
        <v>22000</v>
      </c>
      <c r="T1200" s="119"/>
      <c r="U1200" s="118">
        <f>SUM(K1200:T1201)</f>
        <v>1546100</v>
      </c>
      <c r="V1200" s="122"/>
      <c r="W1200" s="124"/>
      <c r="X1200" s="126" t="s">
        <v>4204</v>
      </c>
      <c r="Y1200" s="127"/>
      <c r="Z1200" s="127"/>
      <c r="AA1200" s="127"/>
      <c r="AB1200" s="128"/>
      <c r="AC1200" s="15" t="s">
        <v>20</v>
      </c>
      <c r="AD1200" s="129" t="s">
        <v>2385</v>
      </c>
      <c r="AE1200" s="130"/>
      <c r="AF1200" s="130"/>
      <c r="AG1200" s="130"/>
      <c r="AH1200" s="130"/>
      <c r="AI1200" s="131"/>
      <c r="AJ1200" s="132"/>
      <c r="AK1200" s="127"/>
      <c r="AL1200" s="128"/>
      <c r="AM1200" s="21" t="s">
        <v>4205</v>
      </c>
      <c r="AN1200" s="133">
        <v>46046</v>
      </c>
      <c r="AO1200" s="134"/>
      <c r="AP1200" s="135">
        <v>1285</v>
      </c>
      <c r="AQ1200" s="136"/>
      <c r="AR1200" s="118">
        <v>1210000</v>
      </c>
      <c r="AS1200" s="119"/>
      <c r="AT1200" s="118">
        <f>AR1200*0.1</f>
        <v>121000</v>
      </c>
      <c r="AU1200" s="119"/>
      <c r="AV1200" s="118">
        <v>7200</v>
      </c>
      <c r="AW1200" s="119"/>
      <c r="AX1200" s="118">
        <f>SUM(AR1200:AW1200)</f>
        <v>1338200</v>
      </c>
      <c r="AY1200" s="119"/>
      <c r="AZ1200" s="137">
        <v>46049</v>
      </c>
    </row>
    <row r="1201" spans="1:52" ht="17.100000000000001" customHeight="1" thickBot="1">
      <c r="A1201" s="110"/>
      <c r="B1201" s="27" t="s">
        <v>2200</v>
      </c>
      <c r="C1201" s="27">
        <v>50180</v>
      </c>
      <c r="D1201" s="14" t="s">
        <v>1576</v>
      </c>
      <c r="E1201" s="112"/>
      <c r="F1201" s="139" t="s">
        <v>4206</v>
      </c>
      <c r="G1201" s="140"/>
      <c r="H1201" s="141"/>
      <c r="I1201" s="26">
        <v>5</v>
      </c>
      <c r="J1201" s="117"/>
      <c r="K1201" s="120"/>
      <c r="L1201" s="121"/>
      <c r="M1201" s="120"/>
      <c r="N1201" s="121"/>
      <c r="O1201" s="120"/>
      <c r="P1201" s="121"/>
      <c r="Q1201" s="120"/>
      <c r="R1201" s="121"/>
      <c r="S1201" s="120"/>
      <c r="T1201" s="121"/>
      <c r="U1201" s="120"/>
      <c r="V1201" s="123"/>
      <c r="W1201" s="125"/>
      <c r="X1201" s="142" t="s">
        <v>4207</v>
      </c>
      <c r="Y1201" s="143"/>
      <c r="Z1201" s="143"/>
      <c r="AA1201" s="143"/>
      <c r="AB1201" s="144"/>
      <c r="AC1201" s="16" t="s">
        <v>21</v>
      </c>
      <c r="AD1201" s="17" t="s">
        <v>4176</v>
      </c>
      <c r="AE1201" s="145" t="s">
        <v>1742</v>
      </c>
      <c r="AF1201" s="146"/>
      <c r="AG1201" s="146"/>
      <c r="AH1201" s="146"/>
      <c r="AI1201" s="147"/>
      <c r="AJ1201" s="148"/>
      <c r="AK1201" s="143"/>
      <c r="AL1201" s="144"/>
      <c r="AM1201" s="22"/>
      <c r="AN1201" s="149" t="s">
        <v>2511</v>
      </c>
      <c r="AO1201" s="144"/>
      <c r="AP1201" s="148">
        <v>60065</v>
      </c>
      <c r="AQ1201" s="144"/>
      <c r="AR1201" s="120"/>
      <c r="AS1201" s="121"/>
      <c r="AT1201" s="120"/>
      <c r="AU1201" s="121"/>
      <c r="AV1201" s="120"/>
      <c r="AW1201" s="121"/>
      <c r="AX1201" s="120"/>
      <c r="AY1201" s="121"/>
      <c r="AZ1201" s="138"/>
    </row>
    <row r="1202" spans="1:52" ht="17.100000000000001" customHeight="1" thickTop="1">
      <c r="A1202" s="109" t="s">
        <v>6338</v>
      </c>
      <c r="B1202" s="28">
        <v>45876</v>
      </c>
      <c r="C1202" s="25">
        <v>1945</v>
      </c>
      <c r="D1202" s="13" t="s">
        <v>2301</v>
      </c>
      <c r="E1202" s="111"/>
      <c r="F1202" s="113" t="s">
        <v>1871</v>
      </c>
      <c r="G1202" s="114"/>
      <c r="H1202" s="115"/>
      <c r="I1202" s="24"/>
      <c r="J1202" s="116">
        <v>4</v>
      </c>
      <c r="K1202" s="118">
        <v>1756000</v>
      </c>
      <c r="L1202" s="119"/>
      <c r="M1202" s="118">
        <f>K1202*0.1</f>
        <v>175600</v>
      </c>
      <c r="N1202" s="119"/>
      <c r="O1202" s="118">
        <v>0</v>
      </c>
      <c r="P1202" s="119"/>
      <c r="Q1202" s="118">
        <v>16240</v>
      </c>
      <c r="R1202" s="119"/>
      <c r="S1202" s="118">
        <v>15950</v>
      </c>
      <c r="T1202" s="119"/>
      <c r="U1202" s="118">
        <f>SUM(K1202:T1203)</f>
        <v>1963790</v>
      </c>
      <c r="V1202" s="122"/>
      <c r="W1202" s="124"/>
      <c r="X1202" s="126" t="s">
        <v>4208</v>
      </c>
      <c r="Y1202" s="127"/>
      <c r="Z1202" s="127"/>
      <c r="AA1202" s="127"/>
      <c r="AB1202" s="128"/>
      <c r="AC1202" s="15" t="s">
        <v>20</v>
      </c>
      <c r="AD1202" s="129" t="s">
        <v>1670</v>
      </c>
      <c r="AE1202" s="130"/>
      <c r="AF1202" s="130"/>
      <c r="AG1202" s="130"/>
      <c r="AH1202" s="130"/>
      <c r="AI1202" s="131"/>
      <c r="AJ1202" s="132"/>
      <c r="AK1202" s="127"/>
      <c r="AL1202" s="128"/>
      <c r="AM1202" s="21"/>
      <c r="AN1202" s="133"/>
      <c r="AO1202" s="134"/>
      <c r="AP1202" s="135"/>
      <c r="AQ1202" s="136"/>
      <c r="AR1202" s="118"/>
      <c r="AS1202" s="119"/>
      <c r="AT1202" s="118">
        <f>AR1202*0.1</f>
        <v>0</v>
      </c>
      <c r="AU1202" s="119"/>
      <c r="AV1202" s="118"/>
      <c r="AW1202" s="119"/>
      <c r="AX1202" s="118">
        <f>SUM(AR1202:AW1202)</f>
        <v>0</v>
      </c>
      <c r="AY1202" s="119"/>
      <c r="AZ1202" s="137"/>
    </row>
    <row r="1203" spans="1:52" ht="17.100000000000001" customHeight="1" thickBot="1">
      <c r="A1203" s="110"/>
      <c r="B1203" s="27" t="s">
        <v>3792</v>
      </c>
      <c r="C1203" s="27">
        <v>80019</v>
      </c>
      <c r="D1203" s="14" t="s">
        <v>1592</v>
      </c>
      <c r="E1203" s="112"/>
      <c r="F1203" s="139" t="s">
        <v>4209</v>
      </c>
      <c r="G1203" s="140"/>
      <c r="H1203" s="141"/>
      <c r="I1203" s="26">
        <v>48557</v>
      </c>
      <c r="J1203" s="117"/>
      <c r="K1203" s="120"/>
      <c r="L1203" s="121"/>
      <c r="M1203" s="120"/>
      <c r="N1203" s="121"/>
      <c r="O1203" s="120"/>
      <c r="P1203" s="121"/>
      <c r="Q1203" s="120"/>
      <c r="R1203" s="121"/>
      <c r="S1203" s="120"/>
      <c r="T1203" s="121"/>
      <c r="U1203" s="120"/>
      <c r="V1203" s="123"/>
      <c r="W1203" s="125"/>
      <c r="X1203" s="142" t="s">
        <v>4210</v>
      </c>
      <c r="Y1203" s="143"/>
      <c r="Z1203" s="143"/>
      <c r="AA1203" s="143"/>
      <c r="AB1203" s="144"/>
      <c r="AC1203" s="16" t="s">
        <v>21</v>
      </c>
      <c r="AD1203" s="17" t="s">
        <v>2851</v>
      </c>
      <c r="AE1203" s="145" t="s">
        <v>4211</v>
      </c>
      <c r="AF1203" s="146"/>
      <c r="AG1203" s="146"/>
      <c r="AH1203" s="146"/>
      <c r="AI1203" s="147"/>
      <c r="AJ1203" s="148"/>
      <c r="AK1203" s="143"/>
      <c r="AL1203" s="144"/>
      <c r="AM1203" s="22"/>
      <c r="AN1203" s="149"/>
      <c r="AO1203" s="144"/>
      <c r="AP1203" s="148"/>
      <c r="AQ1203" s="144"/>
      <c r="AR1203" s="120"/>
      <c r="AS1203" s="121"/>
      <c r="AT1203" s="120"/>
      <c r="AU1203" s="121"/>
      <c r="AV1203" s="120"/>
      <c r="AW1203" s="121"/>
      <c r="AX1203" s="120"/>
      <c r="AY1203" s="121"/>
      <c r="AZ1203" s="138"/>
    </row>
    <row r="1204" spans="1:52" ht="17.100000000000001" customHeight="1" thickTop="1">
      <c r="A1204" s="109" t="s">
        <v>6339</v>
      </c>
      <c r="B1204" s="28">
        <v>45876</v>
      </c>
      <c r="C1204" s="25">
        <v>1528</v>
      </c>
      <c r="D1204" s="13" t="s">
        <v>1977</v>
      </c>
      <c r="E1204" s="111"/>
      <c r="F1204" s="113" t="s">
        <v>4122</v>
      </c>
      <c r="G1204" s="114"/>
      <c r="H1204" s="115"/>
      <c r="I1204" s="24" t="s">
        <v>4212</v>
      </c>
      <c r="J1204" s="116">
        <v>4.5</v>
      </c>
      <c r="K1204" s="118">
        <v>1510000</v>
      </c>
      <c r="L1204" s="119"/>
      <c r="M1204" s="118">
        <f>K1204*0.1</f>
        <v>151000</v>
      </c>
      <c r="N1204" s="119"/>
      <c r="O1204" s="118">
        <f>23000+2300</f>
        <v>25300</v>
      </c>
      <c r="P1204" s="119"/>
      <c r="Q1204" s="118">
        <v>21020</v>
      </c>
      <c r="R1204" s="119"/>
      <c r="S1204" s="118">
        <v>16500</v>
      </c>
      <c r="T1204" s="119"/>
      <c r="U1204" s="118">
        <f>SUM(K1204:T1205)</f>
        <v>1723820</v>
      </c>
      <c r="V1204" s="122"/>
      <c r="W1204" s="124"/>
      <c r="X1204" s="126" t="s">
        <v>4213</v>
      </c>
      <c r="Y1204" s="127"/>
      <c r="Z1204" s="127"/>
      <c r="AA1204" s="127"/>
      <c r="AB1204" s="128"/>
      <c r="AC1204" s="15" t="s">
        <v>20</v>
      </c>
      <c r="AD1204" s="129" t="s">
        <v>171</v>
      </c>
      <c r="AE1204" s="130"/>
      <c r="AF1204" s="130"/>
      <c r="AG1204" s="130"/>
      <c r="AH1204" s="130"/>
      <c r="AI1204" s="131"/>
      <c r="AJ1204" s="132"/>
      <c r="AK1204" s="127"/>
      <c r="AL1204" s="128"/>
      <c r="AM1204" s="21"/>
      <c r="AN1204" s="133">
        <v>46362</v>
      </c>
      <c r="AO1204" s="134"/>
      <c r="AP1204" s="135"/>
      <c r="AQ1204" s="136"/>
      <c r="AR1204" s="118">
        <v>2550000</v>
      </c>
      <c r="AS1204" s="119"/>
      <c r="AT1204" s="118">
        <v>0</v>
      </c>
      <c r="AU1204" s="119"/>
      <c r="AV1204" s="118">
        <v>0</v>
      </c>
      <c r="AW1204" s="119"/>
      <c r="AX1204" s="118">
        <f>SUM(AR1204:AW1204)</f>
        <v>2550000</v>
      </c>
      <c r="AY1204" s="119"/>
      <c r="AZ1204" s="137">
        <v>46382</v>
      </c>
    </row>
    <row r="1205" spans="1:52" ht="17.100000000000001" customHeight="1" thickBot="1">
      <c r="A1205" s="110"/>
      <c r="B1205" s="27" t="s">
        <v>1600</v>
      </c>
      <c r="C1205" s="27">
        <v>78152</v>
      </c>
      <c r="D1205" s="14" t="s">
        <v>1592</v>
      </c>
      <c r="E1205" s="112"/>
      <c r="F1205" s="139" t="s">
        <v>4214</v>
      </c>
      <c r="G1205" s="140"/>
      <c r="H1205" s="141"/>
      <c r="I1205" s="26">
        <v>40240</v>
      </c>
      <c r="J1205" s="117"/>
      <c r="K1205" s="120"/>
      <c r="L1205" s="121"/>
      <c r="M1205" s="120"/>
      <c r="N1205" s="121"/>
      <c r="O1205" s="120"/>
      <c r="P1205" s="121"/>
      <c r="Q1205" s="120"/>
      <c r="R1205" s="121"/>
      <c r="S1205" s="120"/>
      <c r="T1205" s="121"/>
      <c r="U1205" s="120"/>
      <c r="V1205" s="123"/>
      <c r="W1205" s="125"/>
      <c r="X1205" s="142" t="s">
        <v>1997</v>
      </c>
      <c r="Y1205" s="143"/>
      <c r="Z1205" s="143"/>
      <c r="AA1205" s="143"/>
      <c r="AB1205" s="144"/>
      <c r="AC1205" s="16" t="s">
        <v>21</v>
      </c>
      <c r="AD1205" s="17" t="s">
        <v>2851</v>
      </c>
      <c r="AE1205" s="145" t="s">
        <v>171</v>
      </c>
      <c r="AF1205" s="146"/>
      <c r="AG1205" s="146"/>
      <c r="AH1205" s="146"/>
      <c r="AI1205" s="147"/>
      <c r="AJ1205" s="148"/>
      <c r="AK1205" s="143"/>
      <c r="AL1205" s="144"/>
      <c r="AM1205" s="22" t="s">
        <v>3483</v>
      </c>
      <c r="AN1205" s="149" t="s">
        <v>15701</v>
      </c>
      <c r="AO1205" s="144"/>
      <c r="AP1205" s="148"/>
      <c r="AQ1205" s="144"/>
      <c r="AR1205" s="120"/>
      <c r="AS1205" s="121"/>
      <c r="AT1205" s="120"/>
      <c r="AU1205" s="121"/>
      <c r="AV1205" s="120"/>
      <c r="AW1205" s="121"/>
      <c r="AX1205" s="120"/>
      <c r="AY1205" s="121"/>
      <c r="AZ1205" s="138"/>
    </row>
    <row r="1206" spans="1:52" ht="17.100000000000001" customHeight="1" thickTop="1">
      <c r="A1206" s="109" t="s">
        <v>6340</v>
      </c>
      <c r="B1206" s="28">
        <v>45876</v>
      </c>
      <c r="C1206" s="25">
        <v>1293</v>
      </c>
      <c r="D1206" s="13" t="s">
        <v>2298</v>
      </c>
      <c r="E1206" s="111"/>
      <c r="F1206" s="113" t="s">
        <v>4215</v>
      </c>
      <c r="G1206" s="114"/>
      <c r="H1206" s="115"/>
      <c r="I1206" s="24" t="s">
        <v>2858</v>
      </c>
      <c r="J1206" s="116">
        <v>5</v>
      </c>
      <c r="K1206" s="118">
        <v>3220000</v>
      </c>
      <c r="L1206" s="119"/>
      <c r="M1206" s="118">
        <f>K1206*0.1</f>
        <v>322000</v>
      </c>
      <c r="N1206" s="119"/>
      <c r="O1206" s="118">
        <f>21000+2100</f>
        <v>23100</v>
      </c>
      <c r="P1206" s="119"/>
      <c r="Q1206" s="118">
        <v>18310</v>
      </c>
      <c r="R1206" s="119"/>
      <c r="S1206" s="118">
        <v>14300</v>
      </c>
      <c r="T1206" s="119"/>
      <c r="U1206" s="118">
        <v>3597710</v>
      </c>
      <c r="V1206" s="122"/>
      <c r="W1206" s="124"/>
      <c r="X1206" s="126" t="s">
        <v>4216</v>
      </c>
      <c r="Y1206" s="127"/>
      <c r="Z1206" s="127"/>
      <c r="AA1206" s="127"/>
      <c r="AB1206" s="128"/>
      <c r="AC1206" s="15" t="s">
        <v>20</v>
      </c>
      <c r="AD1206" s="129" t="s">
        <v>1633</v>
      </c>
      <c r="AE1206" s="130"/>
      <c r="AF1206" s="130"/>
      <c r="AG1206" s="130"/>
      <c r="AH1206" s="130"/>
      <c r="AI1206" s="131"/>
      <c r="AJ1206" s="132"/>
      <c r="AK1206" s="127"/>
      <c r="AL1206" s="128"/>
      <c r="AM1206" s="21"/>
      <c r="AN1206" s="133">
        <v>45931</v>
      </c>
      <c r="AO1206" s="134"/>
      <c r="AP1206" s="135">
        <v>986</v>
      </c>
      <c r="AQ1206" s="136"/>
      <c r="AR1206" s="118">
        <v>3320000</v>
      </c>
      <c r="AS1206" s="119"/>
      <c r="AT1206" s="118">
        <f>AR1206*0.1</f>
        <v>332000</v>
      </c>
      <c r="AU1206" s="119"/>
      <c r="AV1206" s="118">
        <v>18310</v>
      </c>
      <c r="AW1206" s="119"/>
      <c r="AX1206" s="118">
        <f>SUM(AR1206:AW1206)</f>
        <v>3670310</v>
      </c>
      <c r="AY1206" s="119"/>
      <c r="AZ1206" s="137">
        <v>45937</v>
      </c>
    </row>
    <row r="1207" spans="1:52" ht="17.100000000000001" customHeight="1" thickBot="1">
      <c r="A1207" s="110"/>
      <c r="B1207" s="27" t="s">
        <v>1747</v>
      </c>
      <c r="C1207" s="27">
        <v>124</v>
      </c>
      <c r="D1207" s="14" t="s">
        <v>2601</v>
      </c>
      <c r="E1207" s="112"/>
      <c r="F1207" s="139" t="s">
        <v>4217</v>
      </c>
      <c r="G1207" s="140"/>
      <c r="H1207" s="141"/>
      <c r="I1207" s="26">
        <v>16479</v>
      </c>
      <c r="J1207" s="117"/>
      <c r="K1207" s="120"/>
      <c r="L1207" s="121"/>
      <c r="M1207" s="120"/>
      <c r="N1207" s="121"/>
      <c r="O1207" s="120"/>
      <c r="P1207" s="121"/>
      <c r="Q1207" s="120"/>
      <c r="R1207" s="121"/>
      <c r="S1207" s="120"/>
      <c r="T1207" s="121"/>
      <c r="U1207" s="120"/>
      <c r="V1207" s="123"/>
      <c r="W1207" s="125"/>
      <c r="X1207" s="142" t="s">
        <v>1861</v>
      </c>
      <c r="Y1207" s="143"/>
      <c r="Z1207" s="143"/>
      <c r="AA1207" s="143"/>
      <c r="AB1207" s="144"/>
      <c r="AC1207" s="16" t="s">
        <v>21</v>
      </c>
      <c r="AD1207" s="17" t="s">
        <v>4176</v>
      </c>
      <c r="AE1207" s="145" t="s">
        <v>1742</v>
      </c>
      <c r="AF1207" s="146"/>
      <c r="AG1207" s="146"/>
      <c r="AH1207" s="146"/>
      <c r="AI1207" s="147"/>
      <c r="AJ1207" s="148"/>
      <c r="AK1207" s="143"/>
      <c r="AL1207" s="144"/>
      <c r="AM1207" s="22" t="s">
        <v>4194</v>
      </c>
      <c r="AN1207" s="149" t="s">
        <v>2794</v>
      </c>
      <c r="AO1207" s="144"/>
      <c r="AP1207" s="148">
        <v>6027</v>
      </c>
      <c r="AQ1207" s="144"/>
      <c r="AR1207" s="120"/>
      <c r="AS1207" s="121"/>
      <c r="AT1207" s="120"/>
      <c r="AU1207" s="121"/>
      <c r="AV1207" s="120"/>
      <c r="AW1207" s="121"/>
      <c r="AX1207" s="120"/>
      <c r="AY1207" s="121"/>
      <c r="AZ1207" s="138"/>
    </row>
    <row r="1208" spans="1:52" ht="17.100000000000001" customHeight="1" thickTop="1">
      <c r="A1208" s="151" t="s">
        <v>6341</v>
      </c>
      <c r="B1208" s="28">
        <v>45876</v>
      </c>
      <c r="C1208" s="25">
        <v>2121</v>
      </c>
      <c r="D1208" s="13" t="s">
        <v>1027</v>
      </c>
      <c r="E1208" s="111"/>
      <c r="F1208" s="113" t="s">
        <v>4218</v>
      </c>
      <c r="G1208" s="114"/>
      <c r="H1208" s="115"/>
      <c r="I1208" s="24" t="s">
        <v>4219</v>
      </c>
      <c r="J1208" s="116">
        <v>4</v>
      </c>
      <c r="K1208" s="118">
        <v>305000</v>
      </c>
      <c r="L1208" s="119"/>
      <c r="M1208" s="118">
        <f>K1208*0.1</f>
        <v>30500</v>
      </c>
      <c r="N1208" s="119"/>
      <c r="O1208" s="118">
        <v>0</v>
      </c>
      <c r="P1208" s="119"/>
      <c r="Q1208" s="118">
        <v>8460</v>
      </c>
      <c r="R1208" s="119"/>
      <c r="S1208" s="118">
        <v>13750</v>
      </c>
      <c r="T1208" s="119"/>
      <c r="U1208" s="118">
        <f>SUM(K1208:T1209)</f>
        <v>357710</v>
      </c>
      <c r="V1208" s="122"/>
      <c r="W1208" s="124"/>
      <c r="X1208" s="126" t="s">
        <v>4220</v>
      </c>
      <c r="Y1208" s="127"/>
      <c r="Z1208" s="127"/>
      <c r="AA1208" s="127"/>
      <c r="AB1208" s="128"/>
      <c r="AC1208" s="15" t="s">
        <v>20</v>
      </c>
      <c r="AD1208" s="129"/>
      <c r="AE1208" s="130"/>
      <c r="AF1208" s="130"/>
      <c r="AG1208" s="130"/>
      <c r="AH1208" s="130"/>
      <c r="AI1208" s="131"/>
      <c r="AJ1208" s="132"/>
      <c r="AK1208" s="127"/>
      <c r="AL1208" s="128"/>
      <c r="AM1208" s="21" t="s">
        <v>4221</v>
      </c>
      <c r="AN1208" s="133">
        <v>46032</v>
      </c>
      <c r="AO1208" s="134"/>
      <c r="AP1208" s="135">
        <v>1283</v>
      </c>
      <c r="AQ1208" s="136"/>
      <c r="AR1208" s="118">
        <v>310000</v>
      </c>
      <c r="AS1208" s="119"/>
      <c r="AT1208" s="118">
        <f>AR1208*0.1</f>
        <v>31000</v>
      </c>
      <c r="AU1208" s="119"/>
      <c r="AV1208" s="118">
        <v>8460</v>
      </c>
      <c r="AW1208" s="119"/>
      <c r="AX1208" s="118">
        <f>SUM(AR1208:AW1208)</f>
        <v>349460</v>
      </c>
      <c r="AY1208" s="119"/>
      <c r="AZ1208" s="137">
        <v>46036</v>
      </c>
    </row>
    <row r="1209" spans="1:52" ht="17.100000000000001" customHeight="1" thickBot="1">
      <c r="A1209" s="152"/>
      <c r="B1209" s="27" t="s">
        <v>3281</v>
      </c>
      <c r="C1209" s="27">
        <v>52</v>
      </c>
      <c r="D1209" s="14" t="s">
        <v>2601</v>
      </c>
      <c r="E1209" s="112"/>
      <c r="F1209" s="139" t="s">
        <v>4222</v>
      </c>
      <c r="G1209" s="140"/>
      <c r="H1209" s="141"/>
      <c r="I1209" s="26">
        <v>58017</v>
      </c>
      <c r="J1209" s="117"/>
      <c r="K1209" s="120"/>
      <c r="L1209" s="121"/>
      <c r="M1209" s="120"/>
      <c r="N1209" s="121"/>
      <c r="O1209" s="120"/>
      <c r="P1209" s="121"/>
      <c r="Q1209" s="120"/>
      <c r="R1209" s="121"/>
      <c r="S1209" s="120"/>
      <c r="T1209" s="121"/>
      <c r="U1209" s="120"/>
      <c r="V1209" s="123"/>
      <c r="W1209" s="125"/>
      <c r="X1209" s="142" t="s">
        <v>4223</v>
      </c>
      <c r="Y1209" s="143"/>
      <c r="Z1209" s="143"/>
      <c r="AA1209" s="143"/>
      <c r="AB1209" s="144"/>
      <c r="AC1209" s="16" t="s">
        <v>21</v>
      </c>
      <c r="AD1209" s="17" t="s">
        <v>4176</v>
      </c>
      <c r="AE1209" s="145" t="s">
        <v>1633</v>
      </c>
      <c r="AF1209" s="146"/>
      <c r="AG1209" s="146"/>
      <c r="AH1209" s="146"/>
      <c r="AI1209" s="147"/>
      <c r="AJ1209" s="148"/>
      <c r="AK1209" s="143"/>
      <c r="AL1209" s="144"/>
      <c r="AM1209" s="22"/>
      <c r="AN1209" s="149" t="s">
        <v>2511</v>
      </c>
      <c r="AO1209" s="144"/>
      <c r="AP1209" s="148">
        <v>60193</v>
      </c>
      <c r="AQ1209" s="144"/>
      <c r="AR1209" s="120"/>
      <c r="AS1209" s="121"/>
      <c r="AT1209" s="120"/>
      <c r="AU1209" s="121"/>
      <c r="AV1209" s="120"/>
      <c r="AW1209" s="121"/>
      <c r="AX1209" s="120"/>
      <c r="AY1209" s="121"/>
      <c r="AZ1209" s="138"/>
    </row>
    <row r="1210" spans="1:52" ht="17.100000000000001" customHeight="1" thickTop="1">
      <c r="A1210" s="109" t="s">
        <v>6342</v>
      </c>
      <c r="B1210" s="28">
        <v>45876</v>
      </c>
      <c r="C1210" s="25">
        <v>2121</v>
      </c>
      <c r="D1210" s="13" t="s">
        <v>4224</v>
      </c>
      <c r="E1210" s="111"/>
      <c r="F1210" s="113" t="s">
        <v>4225</v>
      </c>
      <c r="G1210" s="114"/>
      <c r="H1210" s="115"/>
      <c r="I1210" s="24"/>
      <c r="J1210" s="116">
        <v>3.5</v>
      </c>
      <c r="K1210" s="118">
        <v>194000</v>
      </c>
      <c r="L1210" s="119"/>
      <c r="M1210" s="118">
        <f>K1210*0.1</f>
        <v>19400</v>
      </c>
      <c r="N1210" s="119"/>
      <c r="O1210" s="118">
        <v>0</v>
      </c>
      <c r="P1210" s="119"/>
      <c r="Q1210" s="118">
        <v>7470</v>
      </c>
      <c r="R1210" s="119"/>
      <c r="S1210" s="118">
        <v>13750</v>
      </c>
      <c r="T1210" s="119"/>
      <c r="U1210" s="118">
        <f>SUM(K1210:T1211)</f>
        <v>234620</v>
      </c>
      <c r="V1210" s="122"/>
      <c r="W1210" s="124"/>
      <c r="X1210" s="126" t="s">
        <v>4226</v>
      </c>
      <c r="Y1210" s="127"/>
      <c r="Z1210" s="127"/>
      <c r="AA1210" s="127"/>
      <c r="AB1210" s="128"/>
      <c r="AC1210" s="15" t="s">
        <v>20</v>
      </c>
      <c r="AD1210" s="129"/>
      <c r="AE1210" s="130"/>
      <c r="AF1210" s="130"/>
      <c r="AG1210" s="130"/>
      <c r="AH1210" s="130"/>
      <c r="AI1210" s="131"/>
      <c r="AJ1210" s="132"/>
      <c r="AK1210" s="127"/>
      <c r="AL1210" s="128"/>
      <c r="AM1210" s="21"/>
      <c r="AN1210" s="133">
        <v>45934</v>
      </c>
      <c r="AO1210" s="134"/>
      <c r="AP1210" s="135">
        <v>1270</v>
      </c>
      <c r="AQ1210" s="136"/>
      <c r="AR1210" s="118">
        <v>270000</v>
      </c>
      <c r="AS1210" s="119"/>
      <c r="AT1210" s="118">
        <f>AR1210*0.1</f>
        <v>27000</v>
      </c>
      <c r="AU1210" s="119"/>
      <c r="AV1210" s="118">
        <v>7470</v>
      </c>
      <c r="AW1210" s="119"/>
      <c r="AX1210" s="118">
        <f>SUM(AR1210:AW1210)</f>
        <v>304470</v>
      </c>
      <c r="AY1210" s="119"/>
      <c r="AZ1210" s="137">
        <v>45938</v>
      </c>
    </row>
    <row r="1211" spans="1:52" ht="17.100000000000001" customHeight="1" thickBot="1">
      <c r="A1211" s="110"/>
      <c r="B1211" s="27" t="s">
        <v>3281</v>
      </c>
      <c r="C1211" s="27">
        <v>2059</v>
      </c>
      <c r="D1211" s="14" t="s">
        <v>1720</v>
      </c>
      <c r="E1211" s="112"/>
      <c r="F1211" s="139" t="s">
        <v>4227</v>
      </c>
      <c r="G1211" s="140"/>
      <c r="H1211" s="141"/>
      <c r="I1211" s="26">
        <v>42344</v>
      </c>
      <c r="J1211" s="117"/>
      <c r="K1211" s="120"/>
      <c r="L1211" s="121"/>
      <c r="M1211" s="120"/>
      <c r="N1211" s="121"/>
      <c r="O1211" s="120"/>
      <c r="P1211" s="121"/>
      <c r="Q1211" s="120"/>
      <c r="R1211" s="121"/>
      <c r="S1211" s="120"/>
      <c r="T1211" s="121"/>
      <c r="U1211" s="120"/>
      <c r="V1211" s="123"/>
      <c r="W1211" s="125"/>
      <c r="X1211" s="142" t="s">
        <v>4228</v>
      </c>
      <c r="Y1211" s="143"/>
      <c r="Z1211" s="143"/>
      <c r="AA1211" s="143"/>
      <c r="AB1211" s="144"/>
      <c r="AC1211" s="16" t="s">
        <v>21</v>
      </c>
      <c r="AD1211" s="17" t="s">
        <v>4176</v>
      </c>
      <c r="AE1211" s="145" t="s">
        <v>4229</v>
      </c>
      <c r="AF1211" s="146"/>
      <c r="AG1211" s="146"/>
      <c r="AH1211" s="146"/>
      <c r="AI1211" s="147"/>
      <c r="AJ1211" s="148"/>
      <c r="AK1211" s="143"/>
      <c r="AL1211" s="144"/>
      <c r="AM1211" s="22"/>
      <c r="AN1211" s="149" t="s">
        <v>6749</v>
      </c>
      <c r="AO1211" s="144"/>
      <c r="AP1211" s="148">
        <v>60156</v>
      </c>
      <c r="AQ1211" s="144"/>
      <c r="AR1211" s="120"/>
      <c r="AS1211" s="121"/>
      <c r="AT1211" s="120"/>
      <c r="AU1211" s="121"/>
      <c r="AV1211" s="120"/>
      <c r="AW1211" s="121"/>
      <c r="AX1211" s="120"/>
      <c r="AY1211" s="121"/>
      <c r="AZ1211" s="138"/>
    </row>
    <row r="1212" spans="1:52" ht="17.100000000000001" customHeight="1" thickTop="1">
      <c r="A1212" s="109" t="s">
        <v>6343</v>
      </c>
      <c r="B1212" s="28">
        <v>45877</v>
      </c>
      <c r="C1212" s="25">
        <v>1381</v>
      </c>
      <c r="D1212" s="13" t="s">
        <v>2859</v>
      </c>
      <c r="E1212" s="111"/>
      <c r="F1212" s="113" t="s">
        <v>4230</v>
      </c>
      <c r="G1212" s="114"/>
      <c r="H1212" s="115"/>
      <c r="I1212" s="24" t="s">
        <v>4231</v>
      </c>
      <c r="J1212" s="116">
        <v>4</v>
      </c>
      <c r="K1212" s="118">
        <v>855000</v>
      </c>
      <c r="L1212" s="119"/>
      <c r="M1212" s="118">
        <f>K1212*0.1</f>
        <v>85500</v>
      </c>
      <c r="N1212" s="119"/>
      <c r="O1212" s="118">
        <f>20100+2010</f>
        <v>22110</v>
      </c>
      <c r="P1212" s="119"/>
      <c r="Q1212" s="118">
        <v>8160</v>
      </c>
      <c r="R1212" s="119"/>
      <c r="S1212" s="118">
        <v>13200</v>
      </c>
      <c r="T1212" s="119"/>
      <c r="U1212" s="118">
        <f>SUM(K1212:T1213)</f>
        <v>983970</v>
      </c>
      <c r="V1212" s="122"/>
      <c r="W1212" s="124"/>
      <c r="X1212" s="126" t="s">
        <v>4232</v>
      </c>
      <c r="Y1212" s="127"/>
      <c r="Z1212" s="127"/>
      <c r="AA1212" s="127"/>
      <c r="AB1212" s="128"/>
      <c r="AC1212" s="15" t="s">
        <v>20</v>
      </c>
      <c r="AD1212" s="129"/>
      <c r="AE1212" s="130"/>
      <c r="AF1212" s="130"/>
      <c r="AG1212" s="130"/>
      <c r="AH1212" s="130"/>
      <c r="AI1212" s="131"/>
      <c r="AJ1212" s="132"/>
      <c r="AK1212" s="127"/>
      <c r="AL1212" s="128"/>
      <c r="AM1212" s="21"/>
      <c r="AN1212" s="133">
        <v>45934</v>
      </c>
      <c r="AO1212" s="134"/>
      <c r="AP1212" s="135">
        <v>1270</v>
      </c>
      <c r="AQ1212" s="136"/>
      <c r="AR1212" s="118">
        <v>850000</v>
      </c>
      <c r="AS1212" s="119"/>
      <c r="AT1212" s="118">
        <f>AR1212*0.1</f>
        <v>85000</v>
      </c>
      <c r="AU1212" s="119"/>
      <c r="AV1212" s="118">
        <v>8160</v>
      </c>
      <c r="AW1212" s="119"/>
      <c r="AX1212" s="118">
        <f>SUM(AR1212:AW1212)</f>
        <v>943160</v>
      </c>
      <c r="AY1212" s="119"/>
      <c r="AZ1212" s="137">
        <v>45937</v>
      </c>
    </row>
    <row r="1213" spans="1:52" ht="17.100000000000001" customHeight="1" thickBot="1">
      <c r="A1213" s="110"/>
      <c r="B1213" s="27" t="s">
        <v>2641</v>
      </c>
      <c r="C1213" s="27">
        <v>3007</v>
      </c>
      <c r="D1213" s="14" t="s">
        <v>2601</v>
      </c>
      <c r="E1213" s="112"/>
      <c r="F1213" s="139" t="s">
        <v>4233</v>
      </c>
      <c r="G1213" s="140"/>
      <c r="H1213" s="141"/>
      <c r="I1213" s="26">
        <v>39097</v>
      </c>
      <c r="J1213" s="117"/>
      <c r="K1213" s="120"/>
      <c r="L1213" s="121"/>
      <c r="M1213" s="120"/>
      <c r="N1213" s="121"/>
      <c r="O1213" s="120"/>
      <c r="P1213" s="121"/>
      <c r="Q1213" s="120"/>
      <c r="R1213" s="121"/>
      <c r="S1213" s="120"/>
      <c r="T1213" s="121"/>
      <c r="U1213" s="120"/>
      <c r="V1213" s="123"/>
      <c r="W1213" s="125"/>
      <c r="X1213" s="142" t="s">
        <v>4234</v>
      </c>
      <c r="Y1213" s="143"/>
      <c r="Z1213" s="143"/>
      <c r="AA1213" s="143"/>
      <c r="AB1213" s="144"/>
      <c r="AC1213" s="16" t="s">
        <v>21</v>
      </c>
      <c r="AD1213" s="17" t="s">
        <v>4176</v>
      </c>
      <c r="AE1213" s="145" t="s">
        <v>4235</v>
      </c>
      <c r="AF1213" s="146"/>
      <c r="AG1213" s="146"/>
      <c r="AH1213" s="146"/>
      <c r="AI1213" s="147"/>
      <c r="AJ1213" s="148"/>
      <c r="AK1213" s="143"/>
      <c r="AL1213" s="144"/>
      <c r="AM1213" s="22"/>
      <c r="AN1213" s="149" t="s">
        <v>7284</v>
      </c>
      <c r="AO1213" s="144"/>
      <c r="AP1213" s="148">
        <v>55078</v>
      </c>
      <c r="AQ1213" s="144"/>
      <c r="AR1213" s="120"/>
      <c r="AS1213" s="121"/>
      <c r="AT1213" s="120"/>
      <c r="AU1213" s="121"/>
      <c r="AV1213" s="120"/>
      <c r="AW1213" s="121"/>
      <c r="AX1213" s="120"/>
      <c r="AY1213" s="121"/>
      <c r="AZ1213" s="138"/>
    </row>
    <row r="1214" spans="1:52" ht="17.100000000000001" customHeight="1" thickTop="1">
      <c r="A1214" s="109" t="s">
        <v>6344</v>
      </c>
      <c r="B1214" s="28">
        <v>45877</v>
      </c>
      <c r="C1214" s="25">
        <v>1381</v>
      </c>
      <c r="D1214" s="13" t="s">
        <v>3478</v>
      </c>
      <c r="E1214" s="111"/>
      <c r="F1214" s="113" t="s">
        <v>2035</v>
      </c>
      <c r="G1214" s="114"/>
      <c r="H1214" s="115"/>
      <c r="I1214" s="24" t="s">
        <v>4236</v>
      </c>
      <c r="J1214" s="116">
        <v>4.5</v>
      </c>
      <c r="K1214" s="118">
        <v>1081000</v>
      </c>
      <c r="L1214" s="119"/>
      <c r="M1214" s="118">
        <f>K1214*0.1</f>
        <v>108100</v>
      </c>
      <c r="N1214" s="119"/>
      <c r="O1214" s="118">
        <v>0</v>
      </c>
      <c r="P1214" s="119"/>
      <c r="Q1214" s="118">
        <v>9080</v>
      </c>
      <c r="R1214" s="119"/>
      <c r="S1214" s="118">
        <v>13200</v>
      </c>
      <c r="T1214" s="119"/>
      <c r="U1214" s="118">
        <f>SUM(K1214:T1215)</f>
        <v>1211380</v>
      </c>
      <c r="V1214" s="122"/>
      <c r="W1214" s="124"/>
      <c r="X1214" s="126" t="s">
        <v>4237</v>
      </c>
      <c r="Y1214" s="127"/>
      <c r="Z1214" s="127"/>
      <c r="AA1214" s="127"/>
      <c r="AB1214" s="128"/>
      <c r="AC1214" s="15" t="s">
        <v>20</v>
      </c>
      <c r="AD1214" s="129"/>
      <c r="AE1214" s="130"/>
      <c r="AF1214" s="130"/>
      <c r="AG1214" s="130"/>
      <c r="AH1214" s="130"/>
      <c r="AI1214" s="131"/>
      <c r="AJ1214" s="132"/>
      <c r="AK1214" s="127"/>
      <c r="AL1214" s="128"/>
      <c r="AM1214" s="21" t="s">
        <v>4238</v>
      </c>
      <c r="AN1214" s="133">
        <v>45959</v>
      </c>
      <c r="AO1214" s="134"/>
      <c r="AP1214" s="135">
        <v>990</v>
      </c>
      <c r="AQ1214" s="136"/>
      <c r="AR1214" s="118">
        <v>1180000</v>
      </c>
      <c r="AS1214" s="119"/>
      <c r="AT1214" s="118">
        <f>AR1214*0.1</f>
        <v>118000</v>
      </c>
      <c r="AU1214" s="119"/>
      <c r="AV1214" s="118">
        <v>9080</v>
      </c>
      <c r="AW1214" s="119"/>
      <c r="AX1214" s="118">
        <f>SUM(AR1214:AW1214)</f>
        <v>1307080</v>
      </c>
      <c r="AY1214" s="119"/>
      <c r="AZ1214" s="137">
        <v>45965</v>
      </c>
    </row>
    <row r="1215" spans="1:52" ht="17.100000000000001" customHeight="1" thickBot="1">
      <c r="A1215" s="110"/>
      <c r="B1215" s="27" t="s">
        <v>2641</v>
      </c>
      <c r="C1215" s="27">
        <v>3040</v>
      </c>
      <c r="D1215" s="14" t="s">
        <v>2040</v>
      </c>
      <c r="E1215" s="112"/>
      <c r="F1215" s="139" t="s">
        <v>4239</v>
      </c>
      <c r="G1215" s="140"/>
      <c r="H1215" s="141"/>
      <c r="I1215" s="26">
        <v>37490</v>
      </c>
      <c r="J1215" s="117"/>
      <c r="K1215" s="120"/>
      <c r="L1215" s="121"/>
      <c r="M1215" s="120"/>
      <c r="N1215" s="121"/>
      <c r="O1215" s="120"/>
      <c r="P1215" s="121"/>
      <c r="Q1215" s="120"/>
      <c r="R1215" s="121"/>
      <c r="S1215" s="120"/>
      <c r="T1215" s="121"/>
      <c r="U1215" s="120"/>
      <c r="V1215" s="123"/>
      <c r="W1215" s="125"/>
      <c r="X1215" s="142" t="s">
        <v>4240</v>
      </c>
      <c r="Y1215" s="143"/>
      <c r="Z1215" s="143"/>
      <c r="AA1215" s="143"/>
      <c r="AB1215" s="144"/>
      <c r="AC1215" s="16" t="s">
        <v>21</v>
      </c>
      <c r="AD1215" s="17" t="s">
        <v>4176</v>
      </c>
      <c r="AE1215" s="145"/>
      <c r="AF1215" s="146"/>
      <c r="AG1215" s="146"/>
      <c r="AH1215" s="146"/>
      <c r="AI1215" s="147"/>
      <c r="AJ1215" s="148"/>
      <c r="AK1215" s="143"/>
      <c r="AL1215" s="144"/>
      <c r="AM1215" s="22"/>
      <c r="AN1215" s="149" t="s">
        <v>2794</v>
      </c>
      <c r="AO1215" s="144"/>
      <c r="AP1215" s="148">
        <v>2071</v>
      </c>
      <c r="AQ1215" s="144"/>
      <c r="AR1215" s="120"/>
      <c r="AS1215" s="121"/>
      <c r="AT1215" s="120"/>
      <c r="AU1215" s="121"/>
      <c r="AV1215" s="120"/>
      <c r="AW1215" s="121"/>
      <c r="AX1215" s="120"/>
      <c r="AY1215" s="121"/>
      <c r="AZ1215" s="138"/>
    </row>
    <row r="1216" spans="1:52" ht="17.100000000000001" customHeight="1" thickTop="1">
      <c r="A1216" s="109" t="s">
        <v>6345</v>
      </c>
      <c r="B1216" s="28">
        <v>45878</v>
      </c>
      <c r="C1216" s="25"/>
      <c r="D1216" s="13" t="s">
        <v>1027</v>
      </c>
      <c r="E1216" s="111"/>
      <c r="F1216" s="113" t="s">
        <v>4241</v>
      </c>
      <c r="G1216" s="114"/>
      <c r="H1216" s="115"/>
      <c r="I1216" s="24" t="s">
        <v>4037</v>
      </c>
      <c r="J1216" s="116"/>
      <c r="K1216" s="118">
        <v>50000</v>
      </c>
      <c r="L1216" s="119"/>
      <c r="M1216" s="118">
        <v>0</v>
      </c>
      <c r="N1216" s="119"/>
      <c r="O1216" s="118">
        <v>0</v>
      </c>
      <c r="P1216" s="119"/>
      <c r="Q1216" s="118">
        <v>0</v>
      </c>
      <c r="R1216" s="119"/>
      <c r="S1216" s="118">
        <v>0</v>
      </c>
      <c r="T1216" s="119"/>
      <c r="U1216" s="118">
        <f>SUM(K1216:T1217)</f>
        <v>50000</v>
      </c>
      <c r="V1216" s="122"/>
      <c r="W1216" s="124"/>
      <c r="X1216" s="126" t="s">
        <v>4242</v>
      </c>
      <c r="Y1216" s="127"/>
      <c r="Z1216" s="127"/>
      <c r="AA1216" s="127"/>
      <c r="AB1216" s="128"/>
      <c r="AC1216" s="15" t="s">
        <v>20</v>
      </c>
      <c r="AD1216" s="129"/>
      <c r="AE1216" s="130"/>
      <c r="AF1216" s="130"/>
      <c r="AG1216" s="130"/>
      <c r="AH1216" s="130"/>
      <c r="AI1216" s="131"/>
      <c r="AJ1216" s="132"/>
      <c r="AK1216" s="127"/>
      <c r="AL1216" s="128"/>
      <c r="AM1216" s="21"/>
      <c r="AN1216" s="133">
        <v>45945</v>
      </c>
      <c r="AO1216" s="134"/>
      <c r="AP1216" s="135">
        <v>988</v>
      </c>
      <c r="AQ1216" s="136"/>
      <c r="AR1216" s="118">
        <v>178000</v>
      </c>
      <c r="AS1216" s="119"/>
      <c r="AT1216" s="118">
        <f>AR1216*0.1</f>
        <v>17800</v>
      </c>
      <c r="AU1216" s="119"/>
      <c r="AV1216" s="118">
        <v>21300</v>
      </c>
      <c r="AW1216" s="119"/>
      <c r="AX1216" s="118">
        <f>SUM(AR1216:AW1216)</f>
        <v>217100</v>
      </c>
      <c r="AY1216" s="119"/>
      <c r="AZ1216" s="137">
        <v>45950</v>
      </c>
    </row>
    <row r="1217" spans="1:52" ht="17.100000000000001" customHeight="1" thickBot="1">
      <c r="A1217" s="110"/>
      <c r="B1217" s="27" t="s">
        <v>4243</v>
      </c>
      <c r="C1217" s="27"/>
      <c r="D1217" s="14"/>
      <c r="E1217" s="112"/>
      <c r="F1217" s="139" t="s">
        <v>4244</v>
      </c>
      <c r="G1217" s="140"/>
      <c r="H1217" s="141"/>
      <c r="I1217" s="26"/>
      <c r="J1217" s="117"/>
      <c r="K1217" s="120"/>
      <c r="L1217" s="121"/>
      <c r="M1217" s="120"/>
      <c r="N1217" s="121"/>
      <c r="O1217" s="120"/>
      <c r="P1217" s="121"/>
      <c r="Q1217" s="120"/>
      <c r="R1217" s="121"/>
      <c r="S1217" s="120"/>
      <c r="T1217" s="121"/>
      <c r="U1217" s="120"/>
      <c r="V1217" s="123"/>
      <c r="W1217" s="125"/>
      <c r="X1217" s="142" t="s">
        <v>4245</v>
      </c>
      <c r="Y1217" s="143"/>
      <c r="Z1217" s="143"/>
      <c r="AA1217" s="143"/>
      <c r="AB1217" s="144"/>
      <c r="AC1217" s="16" t="s">
        <v>21</v>
      </c>
      <c r="AD1217" s="17" t="s">
        <v>4193</v>
      </c>
      <c r="AE1217" s="145" t="s">
        <v>1742</v>
      </c>
      <c r="AF1217" s="146"/>
      <c r="AG1217" s="146"/>
      <c r="AH1217" s="146"/>
      <c r="AI1217" s="147"/>
      <c r="AJ1217" s="148"/>
      <c r="AK1217" s="143"/>
      <c r="AL1217" s="144"/>
      <c r="AM1217" s="22"/>
      <c r="AN1217" s="149" t="s">
        <v>2794</v>
      </c>
      <c r="AO1217" s="144"/>
      <c r="AP1217" s="148">
        <v>10030</v>
      </c>
      <c r="AQ1217" s="144"/>
      <c r="AR1217" s="120"/>
      <c r="AS1217" s="121"/>
      <c r="AT1217" s="120"/>
      <c r="AU1217" s="121"/>
      <c r="AV1217" s="120"/>
      <c r="AW1217" s="121"/>
      <c r="AX1217" s="120"/>
      <c r="AY1217" s="121"/>
      <c r="AZ1217" s="138"/>
    </row>
    <row r="1218" spans="1:52" ht="17.100000000000001" customHeight="1" thickTop="1">
      <c r="A1218" s="109" t="s">
        <v>6346</v>
      </c>
      <c r="B1218" s="28">
        <v>45878</v>
      </c>
      <c r="C1218" s="25"/>
      <c r="D1218" s="13" t="s">
        <v>1549</v>
      </c>
      <c r="E1218" s="111"/>
      <c r="F1218" s="113" t="s">
        <v>1938</v>
      </c>
      <c r="G1218" s="114"/>
      <c r="H1218" s="115"/>
      <c r="I1218" s="24" t="s">
        <v>4246</v>
      </c>
      <c r="J1218" s="116"/>
      <c r="K1218" s="118">
        <v>250000</v>
      </c>
      <c r="L1218" s="119"/>
      <c r="M1218" s="118">
        <v>0</v>
      </c>
      <c r="N1218" s="119"/>
      <c r="O1218" s="118"/>
      <c r="P1218" s="119"/>
      <c r="Q1218" s="118"/>
      <c r="R1218" s="119"/>
      <c r="S1218" s="118"/>
      <c r="T1218" s="119"/>
      <c r="U1218" s="118">
        <f>SUM(K1218:T1219)</f>
        <v>250000</v>
      </c>
      <c r="V1218" s="122"/>
      <c r="W1218" s="124"/>
      <c r="X1218" s="126" t="s">
        <v>4247</v>
      </c>
      <c r="Y1218" s="127"/>
      <c r="Z1218" s="127"/>
      <c r="AA1218" s="127"/>
      <c r="AB1218" s="128"/>
      <c r="AC1218" s="15" t="s">
        <v>20</v>
      </c>
      <c r="AD1218" s="129"/>
      <c r="AE1218" s="130"/>
      <c r="AF1218" s="130"/>
      <c r="AG1218" s="130"/>
      <c r="AH1218" s="130"/>
      <c r="AI1218" s="131"/>
      <c r="AJ1218" s="132"/>
      <c r="AK1218" s="127"/>
      <c r="AL1218" s="128"/>
      <c r="AM1218" s="21"/>
      <c r="AN1218" s="133"/>
      <c r="AO1218" s="134"/>
      <c r="AP1218" s="135"/>
      <c r="AQ1218" s="136"/>
      <c r="AR1218" s="118"/>
      <c r="AS1218" s="119"/>
      <c r="AT1218" s="118">
        <f>AR1218*0.1</f>
        <v>0</v>
      </c>
      <c r="AU1218" s="119"/>
      <c r="AV1218" s="118"/>
      <c r="AW1218" s="119"/>
      <c r="AX1218" s="118">
        <f>SUM(AR1218:AW1218)</f>
        <v>0</v>
      </c>
      <c r="AY1218" s="119"/>
      <c r="AZ1218" s="137"/>
    </row>
    <row r="1219" spans="1:52" ht="17.100000000000001" customHeight="1" thickBot="1">
      <c r="A1219" s="110"/>
      <c r="B1219" s="27" t="s">
        <v>4248</v>
      </c>
      <c r="C1219" s="27"/>
      <c r="D1219" s="14"/>
      <c r="E1219" s="112"/>
      <c r="F1219" s="139" t="s">
        <v>4249</v>
      </c>
      <c r="G1219" s="140"/>
      <c r="H1219" s="141"/>
      <c r="I1219" s="26"/>
      <c r="J1219" s="117"/>
      <c r="K1219" s="120"/>
      <c r="L1219" s="121"/>
      <c r="M1219" s="120"/>
      <c r="N1219" s="121"/>
      <c r="O1219" s="120"/>
      <c r="P1219" s="121"/>
      <c r="Q1219" s="120"/>
      <c r="R1219" s="121"/>
      <c r="S1219" s="120"/>
      <c r="T1219" s="121"/>
      <c r="U1219" s="120"/>
      <c r="V1219" s="123"/>
      <c r="W1219" s="125"/>
      <c r="X1219" s="142" t="s">
        <v>4250</v>
      </c>
      <c r="Y1219" s="143"/>
      <c r="Z1219" s="143"/>
      <c r="AA1219" s="143"/>
      <c r="AB1219" s="144"/>
      <c r="AC1219" s="16" t="s">
        <v>21</v>
      </c>
      <c r="AD1219" s="17" t="s">
        <v>4193</v>
      </c>
      <c r="AE1219" s="145"/>
      <c r="AF1219" s="146"/>
      <c r="AG1219" s="146"/>
      <c r="AH1219" s="146"/>
      <c r="AI1219" s="147"/>
      <c r="AJ1219" s="148"/>
      <c r="AK1219" s="143"/>
      <c r="AL1219" s="144"/>
      <c r="AM1219" s="22"/>
      <c r="AN1219" s="149"/>
      <c r="AO1219" s="144"/>
      <c r="AP1219" s="148"/>
      <c r="AQ1219" s="144"/>
      <c r="AR1219" s="120"/>
      <c r="AS1219" s="121"/>
      <c r="AT1219" s="120"/>
      <c r="AU1219" s="121"/>
      <c r="AV1219" s="120"/>
      <c r="AW1219" s="121"/>
      <c r="AX1219" s="120"/>
      <c r="AY1219" s="121"/>
      <c r="AZ1219" s="138"/>
    </row>
    <row r="1220" spans="1:52" ht="17.100000000000001" customHeight="1" thickTop="1">
      <c r="A1220" s="109" t="s">
        <v>6347</v>
      </c>
      <c r="B1220" s="28">
        <v>45880</v>
      </c>
      <c r="C1220" s="25">
        <v>1174</v>
      </c>
      <c r="D1220" s="13" t="s">
        <v>1686</v>
      </c>
      <c r="E1220" s="111"/>
      <c r="F1220" s="113" t="s">
        <v>4251</v>
      </c>
      <c r="G1220" s="114"/>
      <c r="H1220" s="115"/>
      <c r="I1220" s="24" t="s">
        <v>1559</v>
      </c>
      <c r="J1220" s="116">
        <v>4</v>
      </c>
      <c r="K1220" s="118">
        <v>599000</v>
      </c>
      <c r="L1220" s="119"/>
      <c r="M1220" s="118">
        <f>K1220*0.1</f>
        <v>59900</v>
      </c>
      <c r="N1220" s="119"/>
      <c r="O1220" s="118">
        <v>13000</v>
      </c>
      <c r="P1220" s="119"/>
      <c r="Q1220" s="118">
        <v>9790</v>
      </c>
      <c r="R1220" s="119"/>
      <c r="S1220" s="118">
        <v>15950</v>
      </c>
      <c r="T1220" s="119"/>
      <c r="U1220" s="118">
        <f>SUM(K1220:T1221)</f>
        <v>697640</v>
      </c>
      <c r="V1220" s="122"/>
      <c r="W1220" s="124"/>
      <c r="X1220" s="126" t="s">
        <v>4252</v>
      </c>
      <c r="Y1220" s="127"/>
      <c r="Z1220" s="127"/>
      <c r="AA1220" s="127"/>
      <c r="AB1220" s="128"/>
      <c r="AC1220" s="15" t="s">
        <v>20</v>
      </c>
      <c r="AD1220" s="129"/>
      <c r="AE1220" s="130"/>
      <c r="AF1220" s="130"/>
      <c r="AG1220" s="130"/>
      <c r="AH1220" s="130"/>
      <c r="AI1220" s="131"/>
      <c r="AJ1220" s="132"/>
      <c r="AK1220" s="127"/>
      <c r="AL1220" s="128"/>
      <c r="AM1220" s="21" t="s">
        <v>4253</v>
      </c>
      <c r="AN1220" s="133">
        <v>45997</v>
      </c>
      <c r="AO1220" s="134"/>
      <c r="AP1220" s="135">
        <v>1279</v>
      </c>
      <c r="AQ1220" s="136"/>
      <c r="AR1220" s="118">
        <v>575000</v>
      </c>
      <c r="AS1220" s="119"/>
      <c r="AT1220" s="118">
        <f>AR1220*0.1</f>
        <v>57500</v>
      </c>
      <c r="AU1220" s="119"/>
      <c r="AV1220" s="118">
        <v>9790</v>
      </c>
      <c r="AW1220" s="119"/>
      <c r="AX1220" s="118">
        <f>SUM(AR1220:AW1220)</f>
        <v>642290</v>
      </c>
      <c r="AY1220" s="119"/>
      <c r="AZ1220" s="137">
        <v>46000</v>
      </c>
    </row>
    <row r="1221" spans="1:52" ht="17.100000000000001" customHeight="1" thickBot="1">
      <c r="A1221" s="110"/>
      <c r="B1221" s="27" t="s">
        <v>3724</v>
      </c>
      <c r="C1221" s="27">
        <v>50026</v>
      </c>
      <c r="D1221" s="14" t="s">
        <v>3855</v>
      </c>
      <c r="E1221" s="112"/>
      <c r="F1221" s="139" t="s">
        <v>4254</v>
      </c>
      <c r="G1221" s="140"/>
      <c r="H1221" s="141"/>
      <c r="I1221" s="26">
        <v>58151</v>
      </c>
      <c r="J1221" s="117"/>
      <c r="K1221" s="120"/>
      <c r="L1221" s="121"/>
      <c r="M1221" s="120"/>
      <c r="N1221" s="121"/>
      <c r="O1221" s="120"/>
      <c r="P1221" s="121"/>
      <c r="Q1221" s="120"/>
      <c r="R1221" s="121"/>
      <c r="S1221" s="120"/>
      <c r="T1221" s="121"/>
      <c r="U1221" s="120"/>
      <c r="V1221" s="123"/>
      <c r="W1221" s="125"/>
      <c r="X1221" s="142" t="s">
        <v>4167</v>
      </c>
      <c r="Y1221" s="143"/>
      <c r="Z1221" s="143"/>
      <c r="AA1221" s="143"/>
      <c r="AB1221" s="144"/>
      <c r="AC1221" s="16" t="s">
        <v>21</v>
      </c>
      <c r="AD1221" s="17" t="s">
        <v>4255</v>
      </c>
      <c r="AE1221" s="145"/>
      <c r="AF1221" s="146"/>
      <c r="AG1221" s="146"/>
      <c r="AH1221" s="146"/>
      <c r="AI1221" s="147"/>
      <c r="AJ1221" s="148"/>
      <c r="AK1221" s="143"/>
      <c r="AL1221" s="144"/>
      <c r="AM1221" s="22"/>
      <c r="AN1221" s="149" t="s">
        <v>2511</v>
      </c>
      <c r="AO1221" s="144"/>
      <c r="AP1221" s="148">
        <v>60007</v>
      </c>
      <c r="AQ1221" s="144"/>
      <c r="AR1221" s="120"/>
      <c r="AS1221" s="121"/>
      <c r="AT1221" s="120"/>
      <c r="AU1221" s="121"/>
      <c r="AV1221" s="120"/>
      <c r="AW1221" s="121"/>
      <c r="AX1221" s="120"/>
      <c r="AY1221" s="121"/>
      <c r="AZ1221" s="138"/>
    </row>
    <row r="1222" spans="1:52" ht="17.100000000000001" customHeight="1" thickTop="1">
      <c r="A1222" s="109" t="s">
        <v>6348</v>
      </c>
      <c r="B1222" s="28">
        <v>45887</v>
      </c>
      <c r="C1222" s="25">
        <v>2056</v>
      </c>
      <c r="D1222" s="13" t="s">
        <v>3322</v>
      </c>
      <c r="E1222" s="111"/>
      <c r="F1222" s="113" t="s">
        <v>4256</v>
      </c>
      <c r="G1222" s="114"/>
      <c r="H1222" s="115"/>
      <c r="I1222" s="24"/>
      <c r="J1222" s="116">
        <v>3.5</v>
      </c>
      <c r="K1222" s="118">
        <v>1080000</v>
      </c>
      <c r="L1222" s="119"/>
      <c r="M1222" s="118">
        <v>0</v>
      </c>
      <c r="N1222" s="119"/>
      <c r="O1222" s="118">
        <v>0</v>
      </c>
      <c r="P1222" s="119"/>
      <c r="Q1222" s="118">
        <v>7150</v>
      </c>
      <c r="R1222" s="119"/>
      <c r="S1222" s="118">
        <v>20900</v>
      </c>
      <c r="T1222" s="119"/>
      <c r="U1222" s="118">
        <f>SUM(K1222:T1223)</f>
        <v>1108050</v>
      </c>
      <c r="V1222" s="122"/>
      <c r="W1222" s="124"/>
      <c r="X1222" s="126" t="s">
        <v>4257</v>
      </c>
      <c r="Y1222" s="127"/>
      <c r="Z1222" s="127"/>
      <c r="AA1222" s="127"/>
      <c r="AB1222" s="128"/>
      <c r="AC1222" s="15" t="s">
        <v>20</v>
      </c>
      <c r="AD1222" s="129"/>
      <c r="AE1222" s="130"/>
      <c r="AF1222" s="130"/>
      <c r="AG1222" s="130"/>
      <c r="AH1222" s="130"/>
      <c r="AI1222" s="131"/>
      <c r="AJ1222" s="132"/>
      <c r="AK1222" s="127"/>
      <c r="AL1222" s="128"/>
      <c r="AM1222" s="21"/>
      <c r="AN1222" s="133"/>
      <c r="AO1222" s="134"/>
      <c r="AP1222" s="135"/>
      <c r="AQ1222" s="136"/>
      <c r="AR1222" s="118"/>
      <c r="AS1222" s="119"/>
      <c r="AT1222" s="118">
        <f>AR1222*0.1</f>
        <v>0</v>
      </c>
      <c r="AU1222" s="119"/>
      <c r="AV1222" s="118"/>
      <c r="AW1222" s="119"/>
      <c r="AX1222" s="118">
        <f>SUM(AR1222:AW1222)</f>
        <v>0</v>
      </c>
      <c r="AY1222" s="119"/>
      <c r="AZ1222" s="137"/>
    </row>
    <row r="1223" spans="1:52" ht="17.100000000000001" customHeight="1" thickBot="1">
      <c r="A1223" s="110"/>
      <c r="B1223" s="27" t="s">
        <v>83</v>
      </c>
      <c r="C1223" s="27">
        <v>25084</v>
      </c>
      <c r="D1223" s="14" t="s">
        <v>1635</v>
      </c>
      <c r="E1223" s="112"/>
      <c r="F1223" s="139" t="s">
        <v>4258</v>
      </c>
      <c r="G1223" s="140"/>
      <c r="H1223" s="141"/>
      <c r="I1223" s="26">
        <v>27045</v>
      </c>
      <c r="J1223" s="117"/>
      <c r="K1223" s="120"/>
      <c r="L1223" s="121"/>
      <c r="M1223" s="120"/>
      <c r="N1223" s="121"/>
      <c r="O1223" s="120"/>
      <c r="P1223" s="121"/>
      <c r="Q1223" s="120"/>
      <c r="R1223" s="121"/>
      <c r="S1223" s="120"/>
      <c r="T1223" s="121"/>
      <c r="U1223" s="120"/>
      <c r="V1223" s="123"/>
      <c r="W1223" s="125"/>
      <c r="X1223" s="142" t="s">
        <v>2057</v>
      </c>
      <c r="Y1223" s="143"/>
      <c r="Z1223" s="143"/>
      <c r="AA1223" s="143"/>
      <c r="AB1223" s="144"/>
      <c r="AC1223" s="16" t="s">
        <v>21</v>
      </c>
      <c r="AD1223" s="17" t="s">
        <v>2089</v>
      </c>
      <c r="AE1223" s="145" t="s">
        <v>4259</v>
      </c>
      <c r="AF1223" s="146"/>
      <c r="AG1223" s="146"/>
      <c r="AH1223" s="146"/>
      <c r="AI1223" s="147"/>
      <c r="AJ1223" s="148"/>
      <c r="AK1223" s="143"/>
      <c r="AL1223" s="144"/>
      <c r="AM1223" s="22"/>
      <c r="AN1223" s="149"/>
      <c r="AO1223" s="144"/>
      <c r="AP1223" s="148"/>
      <c r="AQ1223" s="144"/>
      <c r="AR1223" s="120"/>
      <c r="AS1223" s="121"/>
      <c r="AT1223" s="120"/>
      <c r="AU1223" s="121"/>
      <c r="AV1223" s="120"/>
      <c r="AW1223" s="121"/>
      <c r="AX1223" s="120"/>
      <c r="AY1223" s="121"/>
      <c r="AZ1223" s="138"/>
    </row>
    <row r="1224" spans="1:52" ht="17.100000000000001" customHeight="1" thickTop="1">
      <c r="A1224" s="109" t="s">
        <v>6349</v>
      </c>
      <c r="B1224" s="28">
        <v>45887</v>
      </c>
      <c r="C1224" s="25">
        <v>2056</v>
      </c>
      <c r="D1224" s="13" t="s">
        <v>2442</v>
      </c>
      <c r="E1224" s="111"/>
      <c r="F1224" s="113" t="s">
        <v>4260</v>
      </c>
      <c r="G1224" s="114"/>
      <c r="H1224" s="115"/>
      <c r="I1224" s="24" t="s">
        <v>2858</v>
      </c>
      <c r="J1224" s="116">
        <v>4</v>
      </c>
      <c r="K1224" s="118">
        <v>1955000</v>
      </c>
      <c r="L1224" s="119"/>
      <c r="M1224" s="118">
        <f>K1224*0.1</f>
        <v>195500</v>
      </c>
      <c r="N1224" s="119"/>
      <c r="O1224" s="118">
        <v>25300</v>
      </c>
      <c r="P1224" s="119"/>
      <c r="Q1224" s="118">
        <v>18130</v>
      </c>
      <c r="R1224" s="119"/>
      <c r="S1224" s="118">
        <v>11000</v>
      </c>
      <c r="T1224" s="119"/>
      <c r="U1224" s="118">
        <f>SUM(K1224:T1225)</f>
        <v>2204930</v>
      </c>
      <c r="V1224" s="122"/>
      <c r="W1224" s="124"/>
      <c r="X1224" s="126" t="s">
        <v>4261</v>
      </c>
      <c r="Y1224" s="127"/>
      <c r="Z1224" s="127"/>
      <c r="AA1224" s="127"/>
      <c r="AB1224" s="128"/>
      <c r="AC1224" s="15" t="s">
        <v>20</v>
      </c>
      <c r="AD1224" s="129" t="s">
        <v>4262</v>
      </c>
      <c r="AE1224" s="130"/>
      <c r="AF1224" s="130"/>
      <c r="AG1224" s="130"/>
      <c r="AH1224" s="130"/>
      <c r="AI1224" s="131"/>
      <c r="AJ1224" s="132"/>
      <c r="AK1224" s="127"/>
      <c r="AL1224" s="128"/>
      <c r="AM1224" s="21"/>
      <c r="AN1224" s="133"/>
      <c r="AO1224" s="134"/>
      <c r="AP1224" s="135"/>
      <c r="AQ1224" s="136"/>
      <c r="AR1224" s="118"/>
      <c r="AS1224" s="119"/>
      <c r="AT1224" s="118">
        <f>AR1224*0.1</f>
        <v>0</v>
      </c>
      <c r="AU1224" s="119"/>
      <c r="AV1224" s="118"/>
      <c r="AW1224" s="119"/>
      <c r="AX1224" s="118">
        <f>SUM(AR1224:AW1224)</f>
        <v>0</v>
      </c>
      <c r="AY1224" s="119"/>
      <c r="AZ1224" s="137"/>
    </row>
    <row r="1225" spans="1:52" ht="17.100000000000001" customHeight="1" thickBot="1">
      <c r="A1225" s="110"/>
      <c r="B1225" s="27" t="s">
        <v>83</v>
      </c>
      <c r="C1225" s="27">
        <v>36019</v>
      </c>
      <c r="D1225" s="14" t="s">
        <v>904</v>
      </c>
      <c r="E1225" s="112"/>
      <c r="F1225" s="139" t="s">
        <v>4263</v>
      </c>
      <c r="G1225" s="140"/>
      <c r="H1225" s="141"/>
      <c r="I1225" s="26">
        <v>34779</v>
      </c>
      <c r="J1225" s="117"/>
      <c r="K1225" s="120"/>
      <c r="L1225" s="121"/>
      <c r="M1225" s="120"/>
      <c r="N1225" s="121"/>
      <c r="O1225" s="120"/>
      <c r="P1225" s="121"/>
      <c r="Q1225" s="120"/>
      <c r="R1225" s="121"/>
      <c r="S1225" s="120"/>
      <c r="T1225" s="121"/>
      <c r="U1225" s="120"/>
      <c r="V1225" s="123"/>
      <c r="W1225" s="125"/>
      <c r="X1225" s="142" t="s">
        <v>4264</v>
      </c>
      <c r="Y1225" s="143"/>
      <c r="Z1225" s="143"/>
      <c r="AA1225" s="143"/>
      <c r="AB1225" s="144"/>
      <c r="AC1225" s="16" t="s">
        <v>21</v>
      </c>
      <c r="AD1225" s="17" t="s">
        <v>4255</v>
      </c>
      <c r="AE1225" s="145" t="s">
        <v>4265</v>
      </c>
      <c r="AF1225" s="146"/>
      <c r="AG1225" s="146"/>
      <c r="AH1225" s="146"/>
      <c r="AI1225" s="147"/>
      <c r="AJ1225" s="148"/>
      <c r="AK1225" s="143"/>
      <c r="AL1225" s="144"/>
      <c r="AM1225" s="22"/>
      <c r="AN1225" s="149"/>
      <c r="AO1225" s="144"/>
      <c r="AP1225" s="148"/>
      <c r="AQ1225" s="144"/>
      <c r="AR1225" s="120"/>
      <c r="AS1225" s="121"/>
      <c r="AT1225" s="120"/>
      <c r="AU1225" s="121"/>
      <c r="AV1225" s="120"/>
      <c r="AW1225" s="121"/>
      <c r="AX1225" s="120"/>
      <c r="AY1225" s="121"/>
      <c r="AZ1225" s="138"/>
    </row>
    <row r="1226" spans="1:52" ht="17.100000000000001" customHeight="1" thickTop="1">
      <c r="A1226" s="109" t="s">
        <v>6350</v>
      </c>
      <c r="B1226" s="28">
        <v>45887</v>
      </c>
      <c r="C1226" s="25"/>
      <c r="D1226" s="13" t="s">
        <v>2689</v>
      </c>
      <c r="E1226" s="111"/>
      <c r="F1226" s="113" t="s">
        <v>4266</v>
      </c>
      <c r="G1226" s="114"/>
      <c r="H1226" s="115"/>
      <c r="I1226" s="24" t="s">
        <v>4267</v>
      </c>
      <c r="J1226" s="116">
        <v>4.5</v>
      </c>
      <c r="K1226" s="118">
        <f>2343000/1.1</f>
        <v>2130000</v>
      </c>
      <c r="L1226" s="119"/>
      <c r="M1226" s="118">
        <f>K1226*0.1</f>
        <v>213000</v>
      </c>
      <c r="N1226" s="119"/>
      <c r="O1226" s="118">
        <v>15200</v>
      </c>
      <c r="P1226" s="119"/>
      <c r="Q1226" s="118">
        <v>11740</v>
      </c>
      <c r="R1226" s="119"/>
      <c r="S1226" s="118">
        <v>113575</v>
      </c>
      <c r="T1226" s="119"/>
      <c r="U1226" s="118">
        <f>SUM(K1226:T1227)</f>
        <v>2483515</v>
      </c>
      <c r="V1226" s="122"/>
      <c r="W1226" s="124"/>
      <c r="X1226" s="126" t="s">
        <v>7121</v>
      </c>
      <c r="Y1226" s="127"/>
      <c r="Z1226" s="127"/>
      <c r="AA1226" s="127"/>
      <c r="AB1226" s="128"/>
      <c r="AC1226" s="15" t="s">
        <v>20</v>
      </c>
      <c r="AD1226" s="129" t="s">
        <v>1732</v>
      </c>
      <c r="AE1226" s="130"/>
      <c r="AF1226" s="130"/>
      <c r="AG1226" s="130"/>
      <c r="AH1226" s="130"/>
      <c r="AI1226" s="131"/>
      <c r="AJ1226" s="132"/>
      <c r="AK1226" s="127"/>
      <c r="AL1226" s="128"/>
      <c r="AM1226" s="21"/>
      <c r="AN1226" s="133">
        <v>45934</v>
      </c>
      <c r="AO1226" s="134"/>
      <c r="AP1226" s="135">
        <v>1270</v>
      </c>
      <c r="AQ1226" s="136"/>
      <c r="AR1226" s="118">
        <v>2740000</v>
      </c>
      <c r="AS1226" s="119"/>
      <c r="AT1226" s="118">
        <f>AR1226*0.1</f>
        <v>274000</v>
      </c>
      <c r="AU1226" s="119"/>
      <c r="AV1226" s="118">
        <v>11740</v>
      </c>
      <c r="AW1226" s="119"/>
      <c r="AX1226" s="118">
        <f>SUM(AR1226:AW1226)</f>
        <v>3025740</v>
      </c>
      <c r="AY1226" s="119"/>
      <c r="AZ1226" s="137">
        <v>45938</v>
      </c>
    </row>
    <row r="1227" spans="1:52" ht="17.100000000000001" customHeight="1" thickBot="1">
      <c r="A1227" s="110"/>
      <c r="B1227" s="27" t="s">
        <v>1718</v>
      </c>
      <c r="C1227" s="27" t="s">
        <v>4268</v>
      </c>
      <c r="D1227" s="14" t="s">
        <v>275</v>
      </c>
      <c r="E1227" s="112"/>
      <c r="F1227" s="139" t="s">
        <v>4269</v>
      </c>
      <c r="G1227" s="140"/>
      <c r="H1227" s="141"/>
      <c r="I1227" s="26">
        <v>58929</v>
      </c>
      <c r="J1227" s="117"/>
      <c r="K1227" s="120"/>
      <c r="L1227" s="121"/>
      <c r="M1227" s="120"/>
      <c r="N1227" s="121"/>
      <c r="O1227" s="120"/>
      <c r="P1227" s="121"/>
      <c r="Q1227" s="120"/>
      <c r="R1227" s="121"/>
      <c r="S1227" s="120"/>
      <c r="T1227" s="121"/>
      <c r="U1227" s="120"/>
      <c r="V1227" s="123"/>
      <c r="W1227" s="125"/>
      <c r="X1227" s="142" t="s">
        <v>7122</v>
      </c>
      <c r="Y1227" s="143"/>
      <c r="Z1227" s="143"/>
      <c r="AA1227" s="143"/>
      <c r="AB1227" s="144"/>
      <c r="AC1227" s="16" t="s">
        <v>21</v>
      </c>
      <c r="AD1227" s="17" t="s">
        <v>2156</v>
      </c>
      <c r="AE1227" s="145" t="s">
        <v>7850</v>
      </c>
      <c r="AF1227" s="146"/>
      <c r="AG1227" s="146"/>
      <c r="AH1227" s="146"/>
      <c r="AI1227" s="147"/>
      <c r="AJ1227" s="148"/>
      <c r="AK1227" s="143"/>
      <c r="AL1227" s="144"/>
      <c r="AM1227" s="22"/>
      <c r="AN1227" s="149" t="s">
        <v>7284</v>
      </c>
      <c r="AO1227" s="144"/>
      <c r="AP1227" s="148">
        <v>37658</v>
      </c>
      <c r="AQ1227" s="144"/>
      <c r="AR1227" s="120"/>
      <c r="AS1227" s="121"/>
      <c r="AT1227" s="120"/>
      <c r="AU1227" s="121"/>
      <c r="AV1227" s="120"/>
      <c r="AW1227" s="121"/>
      <c r="AX1227" s="120"/>
      <c r="AY1227" s="121"/>
      <c r="AZ1227" s="138"/>
    </row>
    <row r="1228" spans="1:52" ht="17.100000000000001" customHeight="1" thickTop="1">
      <c r="A1228" s="109" t="s">
        <v>6351</v>
      </c>
      <c r="B1228" s="28">
        <v>45887</v>
      </c>
      <c r="C1228" s="25"/>
      <c r="D1228" s="13" t="s">
        <v>1831</v>
      </c>
      <c r="E1228" s="111"/>
      <c r="F1228" s="113" t="s">
        <v>4270</v>
      </c>
      <c r="G1228" s="114"/>
      <c r="H1228" s="115"/>
      <c r="I1228" s="24" t="s">
        <v>3819</v>
      </c>
      <c r="J1228" s="116">
        <v>4</v>
      </c>
      <c r="K1228" s="118">
        <f>495000/1.1</f>
        <v>449999.99999999994</v>
      </c>
      <c r="L1228" s="119"/>
      <c r="M1228" s="118">
        <f>K1228*0.1</f>
        <v>45000</v>
      </c>
      <c r="N1228" s="119"/>
      <c r="O1228" s="118">
        <v>0</v>
      </c>
      <c r="P1228" s="119"/>
      <c r="Q1228" s="118">
        <v>8680</v>
      </c>
      <c r="R1228" s="119"/>
      <c r="S1228" s="118">
        <v>52106</v>
      </c>
      <c r="T1228" s="119"/>
      <c r="U1228" s="118">
        <f>SUM(K1228:T1229)</f>
        <v>555786</v>
      </c>
      <c r="V1228" s="122"/>
      <c r="W1228" s="124"/>
      <c r="X1228" s="126" t="s">
        <v>8076</v>
      </c>
      <c r="Y1228" s="127"/>
      <c r="Z1228" s="127"/>
      <c r="AA1228" s="127"/>
      <c r="AB1228" s="128"/>
      <c r="AC1228" s="15" t="s">
        <v>20</v>
      </c>
      <c r="AD1228" s="129" t="s">
        <v>1945</v>
      </c>
      <c r="AE1228" s="130"/>
      <c r="AF1228" s="130"/>
      <c r="AG1228" s="130"/>
      <c r="AH1228" s="130"/>
      <c r="AI1228" s="131"/>
      <c r="AJ1228" s="132"/>
      <c r="AK1228" s="127"/>
      <c r="AL1228" s="128"/>
      <c r="AM1228" s="21"/>
      <c r="AN1228" s="133">
        <v>45951</v>
      </c>
      <c r="AO1228" s="134"/>
      <c r="AP1228" s="135">
        <v>1914</v>
      </c>
      <c r="AQ1228" s="136"/>
      <c r="AR1228" s="118">
        <v>595000</v>
      </c>
      <c r="AS1228" s="119"/>
      <c r="AT1228" s="118">
        <f>AR1228*0.1</f>
        <v>59500</v>
      </c>
      <c r="AU1228" s="119"/>
      <c r="AV1228" s="118">
        <v>8680</v>
      </c>
      <c r="AW1228" s="119"/>
      <c r="AX1228" s="118">
        <f>SUM(AR1228:AW1228)</f>
        <v>663180</v>
      </c>
      <c r="AY1228" s="119"/>
      <c r="AZ1228" s="137">
        <v>45957</v>
      </c>
    </row>
    <row r="1229" spans="1:52" ht="17.100000000000001" customHeight="1" thickBot="1">
      <c r="A1229" s="110"/>
      <c r="B1229" s="27" t="s">
        <v>1718</v>
      </c>
      <c r="C1229" s="27" t="s">
        <v>4271</v>
      </c>
      <c r="D1229" s="14" t="s">
        <v>2601</v>
      </c>
      <c r="E1229" s="112"/>
      <c r="F1229" s="139" t="s">
        <v>4272</v>
      </c>
      <c r="G1229" s="140"/>
      <c r="H1229" s="141"/>
      <c r="I1229" s="26">
        <v>39685</v>
      </c>
      <c r="J1229" s="117"/>
      <c r="K1229" s="120"/>
      <c r="L1229" s="121"/>
      <c r="M1229" s="120"/>
      <c r="N1229" s="121"/>
      <c r="O1229" s="120"/>
      <c r="P1229" s="121"/>
      <c r="Q1229" s="120"/>
      <c r="R1229" s="121"/>
      <c r="S1229" s="120"/>
      <c r="T1229" s="121"/>
      <c r="U1229" s="120"/>
      <c r="V1229" s="123"/>
      <c r="W1229" s="125"/>
      <c r="X1229" s="142" t="s">
        <v>8077</v>
      </c>
      <c r="Y1229" s="143"/>
      <c r="Z1229" s="143"/>
      <c r="AA1229" s="143"/>
      <c r="AB1229" s="144"/>
      <c r="AC1229" s="16" t="s">
        <v>21</v>
      </c>
      <c r="AD1229" s="17" t="s">
        <v>8050</v>
      </c>
      <c r="AE1229" s="145" t="s">
        <v>3828</v>
      </c>
      <c r="AF1229" s="146"/>
      <c r="AG1229" s="146"/>
      <c r="AH1229" s="146"/>
      <c r="AI1229" s="147"/>
      <c r="AJ1229" s="148"/>
      <c r="AK1229" s="143"/>
      <c r="AL1229" s="144"/>
      <c r="AM1229" s="22"/>
      <c r="AN1229" s="149" t="s">
        <v>2131</v>
      </c>
      <c r="AO1229" s="144"/>
      <c r="AP1229" s="148">
        <v>3293</v>
      </c>
      <c r="AQ1229" s="144"/>
      <c r="AR1229" s="120"/>
      <c r="AS1229" s="121"/>
      <c r="AT1229" s="120"/>
      <c r="AU1229" s="121"/>
      <c r="AV1229" s="120"/>
      <c r="AW1229" s="121"/>
      <c r="AX1229" s="120"/>
      <c r="AY1229" s="121"/>
      <c r="AZ1229" s="138"/>
    </row>
    <row r="1230" spans="1:52" ht="17.100000000000001" customHeight="1" thickTop="1">
      <c r="A1230" s="151" t="s">
        <v>6352</v>
      </c>
      <c r="B1230" s="28">
        <v>45889</v>
      </c>
      <c r="C1230" s="25">
        <v>1293</v>
      </c>
      <c r="D1230" s="13" t="s">
        <v>4273</v>
      </c>
      <c r="E1230" s="111"/>
      <c r="F1230" s="113" t="s">
        <v>4274</v>
      </c>
      <c r="G1230" s="114"/>
      <c r="H1230" s="115"/>
      <c r="I1230" s="24" t="s">
        <v>4109</v>
      </c>
      <c r="J1230" s="116">
        <v>4</v>
      </c>
      <c r="K1230" s="118">
        <v>411000</v>
      </c>
      <c r="L1230" s="119"/>
      <c r="M1230" s="118">
        <f>K1230*0.1</f>
        <v>41100</v>
      </c>
      <c r="N1230" s="119"/>
      <c r="O1230" s="118">
        <v>0</v>
      </c>
      <c r="P1230" s="119"/>
      <c r="Q1230" s="118">
        <v>8570</v>
      </c>
      <c r="R1230" s="119"/>
      <c r="S1230" s="118">
        <v>22000</v>
      </c>
      <c r="T1230" s="119"/>
      <c r="U1230" s="118">
        <f>SUM(K1230:T1231)</f>
        <v>482670</v>
      </c>
      <c r="V1230" s="122"/>
      <c r="W1230" s="124"/>
      <c r="X1230" s="126" t="s">
        <v>4275</v>
      </c>
      <c r="Y1230" s="127"/>
      <c r="Z1230" s="127"/>
      <c r="AA1230" s="127"/>
      <c r="AB1230" s="128"/>
      <c r="AC1230" s="15" t="s">
        <v>20</v>
      </c>
      <c r="AD1230" s="129" t="s">
        <v>1670</v>
      </c>
      <c r="AE1230" s="130"/>
      <c r="AF1230" s="130"/>
      <c r="AG1230" s="130"/>
      <c r="AH1230" s="130"/>
      <c r="AI1230" s="131"/>
      <c r="AJ1230" s="132"/>
      <c r="AK1230" s="127"/>
      <c r="AL1230" s="128"/>
      <c r="AM1230" s="21" t="s">
        <v>4276</v>
      </c>
      <c r="AN1230" s="133">
        <v>46039</v>
      </c>
      <c r="AO1230" s="134"/>
      <c r="AP1230" s="135">
        <v>1284</v>
      </c>
      <c r="AQ1230" s="136"/>
      <c r="AR1230" s="118">
        <v>435000</v>
      </c>
      <c r="AS1230" s="119"/>
      <c r="AT1230" s="118">
        <f>AR1230*0.1</f>
        <v>43500</v>
      </c>
      <c r="AU1230" s="119"/>
      <c r="AV1230" s="118">
        <v>8570</v>
      </c>
      <c r="AW1230" s="119"/>
      <c r="AX1230" s="118">
        <f>SUM(AR1230:AW1230)</f>
        <v>487070</v>
      </c>
      <c r="AY1230" s="119"/>
      <c r="AZ1230" s="137">
        <v>46042</v>
      </c>
    </row>
    <row r="1231" spans="1:52" ht="17.100000000000001" customHeight="1" thickBot="1">
      <c r="A1231" s="152"/>
      <c r="B1231" s="27" t="s">
        <v>4187</v>
      </c>
      <c r="C1231" s="27">
        <v>70174</v>
      </c>
      <c r="D1231" s="14" t="s">
        <v>1720</v>
      </c>
      <c r="E1231" s="112"/>
      <c r="F1231" s="139" t="s">
        <v>4277</v>
      </c>
      <c r="G1231" s="140"/>
      <c r="H1231" s="141"/>
      <c r="I1231" s="26">
        <v>57378</v>
      </c>
      <c r="J1231" s="117"/>
      <c r="K1231" s="120"/>
      <c r="L1231" s="121"/>
      <c r="M1231" s="120"/>
      <c r="N1231" s="121"/>
      <c r="O1231" s="120"/>
      <c r="P1231" s="121"/>
      <c r="Q1231" s="120"/>
      <c r="R1231" s="121"/>
      <c r="S1231" s="120"/>
      <c r="T1231" s="121"/>
      <c r="U1231" s="120"/>
      <c r="V1231" s="123"/>
      <c r="W1231" s="125"/>
      <c r="X1231" s="142" t="s">
        <v>4278</v>
      </c>
      <c r="Y1231" s="143"/>
      <c r="Z1231" s="143"/>
      <c r="AA1231" s="143"/>
      <c r="AB1231" s="144"/>
      <c r="AC1231" s="16" t="s">
        <v>21</v>
      </c>
      <c r="AD1231" s="17" t="s">
        <v>4066</v>
      </c>
      <c r="AE1231" s="158" t="s">
        <v>4279</v>
      </c>
      <c r="AF1231" s="146"/>
      <c r="AG1231" s="146"/>
      <c r="AH1231" s="146"/>
      <c r="AI1231" s="147"/>
      <c r="AJ1231" s="148"/>
      <c r="AK1231" s="143"/>
      <c r="AL1231" s="144"/>
      <c r="AM1231" s="22"/>
      <c r="AN1231" s="149" t="s">
        <v>2511</v>
      </c>
      <c r="AO1231" s="144"/>
      <c r="AP1231" s="148">
        <v>60325</v>
      </c>
      <c r="AQ1231" s="144"/>
      <c r="AR1231" s="120"/>
      <c r="AS1231" s="121"/>
      <c r="AT1231" s="120"/>
      <c r="AU1231" s="121"/>
      <c r="AV1231" s="120"/>
      <c r="AW1231" s="121"/>
      <c r="AX1231" s="120"/>
      <c r="AY1231" s="121"/>
      <c r="AZ1231" s="138"/>
    </row>
    <row r="1232" spans="1:52" ht="17.100000000000001" customHeight="1" thickTop="1">
      <c r="A1232" s="109" t="s">
        <v>6353</v>
      </c>
      <c r="B1232" s="28">
        <v>45889</v>
      </c>
      <c r="C1232" s="25"/>
      <c r="D1232" s="13" t="s">
        <v>2914</v>
      </c>
      <c r="E1232" s="111"/>
      <c r="F1232" s="113" t="s">
        <v>4280</v>
      </c>
      <c r="G1232" s="114"/>
      <c r="H1232" s="115"/>
      <c r="I1232" s="24" t="s">
        <v>4281</v>
      </c>
      <c r="J1232" s="116">
        <v>4</v>
      </c>
      <c r="K1232" s="118">
        <f>825000/1.1</f>
        <v>749999.99999999988</v>
      </c>
      <c r="L1232" s="119"/>
      <c r="M1232" s="118">
        <f>K1232*0.1</f>
        <v>74999.999999999985</v>
      </c>
      <c r="N1232" s="119"/>
      <c r="O1232" s="118">
        <v>0</v>
      </c>
      <c r="P1232" s="119"/>
      <c r="Q1232" s="118">
        <v>8110</v>
      </c>
      <c r="R1232" s="119"/>
      <c r="S1232" s="118">
        <v>69474</v>
      </c>
      <c r="T1232" s="119"/>
      <c r="U1232" s="118">
        <f>SUM(K1232:T1233)</f>
        <v>902583.99999999988</v>
      </c>
      <c r="V1232" s="122"/>
      <c r="W1232" s="124"/>
      <c r="X1232" s="126" t="s">
        <v>4282</v>
      </c>
      <c r="Y1232" s="127"/>
      <c r="Z1232" s="127"/>
      <c r="AA1232" s="127"/>
      <c r="AB1232" s="128"/>
      <c r="AC1232" s="15" t="s">
        <v>20</v>
      </c>
      <c r="AD1232" s="129" t="s">
        <v>171</v>
      </c>
      <c r="AE1232" s="130"/>
      <c r="AF1232" s="130"/>
      <c r="AG1232" s="130"/>
      <c r="AH1232" s="130"/>
      <c r="AI1232" s="131"/>
      <c r="AJ1232" s="132"/>
      <c r="AK1232" s="127"/>
      <c r="AL1232" s="128"/>
      <c r="AM1232" s="21" t="s">
        <v>7345</v>
      </c>
      <c r="AN1232" s="133">
        <v>45934</v>
      </c>
      <c r="AO1232" s="134"/>
      <c r="AP1232" s="135">
        <v>1270</v>
      </c>
      <c r="AQ1232" s="136"/>
      <c r="AR1232" s="118">
        <v>865000</v>
      </c>
      <c r="AS1232" s="119"/>
      <c r="AT1232" s="118">
        <f>AR1232*0.1</f>
        <v>86500</v>
      </c>
      <c r="AU1232" s="119"/>
      <c r="AV1232" s="118">
        <v>8110</v>
      </c>
      <c r="AW1232" s="119"/>
      <c r="AX1232" s="118">
        <f>SUM(AR1232:AW1232)</f>
        <v>959610</v>
      </c>
      <c r="AY1232" s="119"/>
      <c r="AZ1232" s="137">
        <v>45939</v>
      </c>
    </row>
    <row r="1233" spans="1:52" ht="17.100000000000001" customHeight="1" thickBot="1">
      <c r="A1233" s="110"/>
      <c r="B1233" s="27" t="s">
        <v>1718</v>
      </c>
      <c r="C1233" s="27" t="s">
        <v>4283</v>
      </c>
      <c r="D1233" s="14" t="s">
        <v>275</v>
      </c>
      <c r="E1233" s="112"/>
      <c r="F1233" s="139" t="s">
        <v>4284</v>
      </c>
      <c r="G1233" s="140"/>
      <c r="H1233" s="141"/>
      <c r="I1233" s="26">
        <v>38024</v>
      </c>
      <c r="J1233" s="117"/>
      <c r="K1233" s="120"/>
      <c r="L1233" s="121"/>
      <c r="M1233" s="120"/>
      <c r="N1233" s="121"/>
      <c r="O1233" s="120"/>
      <c r="P1233" s="121"/>
      <c r="Q1233" s="120"/>
      <c r="R1233" s="121"/>
      <c r="S1233" s="120"/>
      <c r="T1233" s="121"/>
      <c r="U1233" s="120"/>
      <c r="V1233" s="123"/>
      <c r="W1233" s="125"/>
      <c r="X1233" s="142" t="s">
        <v>4285</v>
      </c>
      <c r="Y1233" s="143"/>
      <c r="Z1233" s="143"/>
      <c r="AA1233" s="143"/>
      <c r="AB1233" s="144"/>
      <c r="AC1233" s="16" t="s">
        <v>21</v>
      </c>
      <c r="AD1233" s="17" t="s">
        <v>4286</v>
      </c>
      <c r="AE1233" s="145" t="s">
        <v>171</v>
      </c>
      <c r="AF1233" s="146"/>
      <c r="AG1233" s="146"/>
      <c r="AH1233" s="146"/>
      <c r="AI1233" s="147"/>
      <c r="AJ1233" s="148"/>
      <c r="AK1233" s="143"/>
      <c r="AL1233" s="144"/>
      <c r="AM1233" s="22"/>
      <c r="AN1233" s="149" t="s">
        <v>7284</v>
      </c>
      <c r="AO1233" s="144"/>
      <c r="AP1233" s="148">
        <v>60458</v>
      </c>
      <c r="AQ1233" s="144"/>
      <c r="AR1233" s="120"/>
      <c r="AS1233" s="121"/>
      <c r="AT1233" s="120"/>
      <c r="AU1233" s="121"/>
      <c r="AV1233" s="120"/>
      <c r="AW1233" s="121"/>
      <c r="AX1233" s="120"/>
      <c r="AY1233" s="121"/>
      <c r="AZ1233" s="138"/>
    </row>
    <row r="1234" spans="1:52" ht="17.100000000000001" customHeight="1" thickTop="1">
      <c r="A1234" s="109" t="s">
        <v>6354</v>
      </c>
      <c r="B1234" s="28">
        <v>45890</v>
      </c>
      <c r="C1234" s="25">
        <v>1990</v>
      </c>
      <c r="D1234" s="13" t="s">
        <v>4287</v>
      </c>
      <c r="E1234" s="111"/>
      <c r="F1234" s="113" t="s">
        <v>4288</v>
      </c>
      <c r="G1234" s="114"/>
      <c r="H1234" s="115"/>
      <c r="I1234" s="24" t="s">
        <v>4193</v>
      </c>
      <c r="J1234" s="116">
        <v>4</v>
      </c>
      <c r="K1234" s="118">
        <v>1592000</v>
      </c>
      <c r="L1234" s="119"/>
      <c r="M1234" s="118">
        <f>K1234*0.1</f>
        <v>159200</v>
      </c>
      <c r="N1234" s="119"/>
      <c r="O1234" s="118">
        <v>0</v>
      </c>
      <c r="P1234" s="119"/>
      <c r="Q1234" s="118">
        <v>8630</v>
      </c>
      <c r="R1234" s="119"/>
      <c r="S1234" s="118">
        <v>22000</v>
      </c>
      <c r="T1234" s="119"/>
      <c r="U1234" s="118">
        <f>SUM(K1234:T1235)</f>
        <v>1781830</v>
      </c>
      <c r="V1234" s="122"/>
      <c r="W1234" s="124"/>
      <c r="X1234" s="126" t="s">
        <v>4289</v>
      </c>
      <c r="Y1234" s="127"/>
      <c r="Z1234" s="127"/>
      <c r="AA1234" s="127"/>
      <c r="AB1234" s="128"/>
      <c r="AC1234" s="15" t="s">
        <v>20</v>
      </c>
      <c r="AD1234" s="129" t="s">
        <v>1797</v>
      </c>
      <c r="AE1234" s="130"/>
      <c r="AF1234" s="130"/>
      <c r="AG1234" s="130"/>
      <c r="AH1234" s="130"/>
      <c r="AI1234" s="131"/>
      <c r="AJ1234" s="132"/>
      <c r="AK1234" s="127"/>
      <c r="AL1234" s="128"/>
      <c r="AM1234" s="21" t="s">
        <v>4290</v>
      </c>
      <c r="AN1234" s="133">
        <v>45934</v>
      </c>
      <c r="AO1234" s="134"/>
      <c r="AP1234" s="135">
        <v>1270</v>
      </c>
      <c r="AQ1234" s="136"/>
      <c r="AR1234" s="118">
        <v>1650000</v>
      </c>
      <c r="AS1234" s="119"/>
      <c r="AT1234" s="118">
        <f>AR1234*0.1</f>
        <v>165000</v>
      </c>
      <c r="AU1234" s="119"/>
      <c r="AV1234" s="118">
        <v>8630</v>
      </c>
      <c r="AW1234" s="119"/>
      <c r="AX1234" s="118">
        <f>SUM(AR1234:AW1234)</f>
        <v>1823630</v>
      </c>
      <c r="AY1234" s="119"/>
      <c r="AZ1234" s="137">
        <v>45944</v>
      </c>
    </row>
    <row r="1235" spans="1:52" ht="17.100000000000001" customHeight="1" thickBot="1">
      <c r="A1235" s="110"/>
      <c r="B1235" s="27" t="s">
        <v>4291</v>
      </c>
      <c r="C1235" s="27">
        <v>50145</v>
      </c>
      <c r="D1235" s="14" t="s">
        <v>275</v>
      </c>
      <c r="E1235" s="112"/>
      <c r="F1235" s="139" t="s">
        <v>4292</v>
      </c>
      <c r="G1235" s="140"/>
      <c r="H1235" s="141"/>
      <c r="I1235" s="26">
        <v>7961</v>
      </c>
      <c r="J1235" s="117"/>
      <c r="K1235" s="120"/>
      <c r="L1235" s="121"/>
      <c r="M1235" s="120"/>
      <c r="N1235" s="121"/>
      <c r="O1235" s="120"/>
      <c r="P1235" s="121"/>
      <c r="Q1235" s="120"/>
      <c r="R1235" s="121"/>
      <c r="S1235" s="120"/>
      <c r="T1235" s="121"/>
      <c r="U1235" s="120"/>
      <c r="V1235" s="123"/>
      <c r="W1235" s="125"/>
      <c r="X1235" s="142" t="s">
        <v>2321</v>
      </c>
      <c r="Y1235" s="143"/>
      <c r="Z1235" s="143"/>
      <c r="AA1235" s="143"/>
      <c r="AB1235" s="144"/>
      <c r="AC1235" s="16" t="s">
        <v>21</v>
      </c>
      <c r="AD1235" s="17" t="s">
        <v>4066</v>
      </c>
      <c r="AE1235" s="145" t="s">
        <v>1609</v>
      </c>
      <c r="AF1235" s="146"/>
      <c r="AG1235" s="146"/>
      <c r="AH1235" s="146"/>
      <c r="AI1235" s="147"/>
      <c r="AJ1235" s="148"/>
      <c r="AK1235" s="143"/>
      <c r="AL1235" s="144"/>
      <c r="AM1235" s="22"/>
      <c r="AN1235" s="149" t="s">
        <v>6748</v>
      </c>
      <c r="AO1235" s="144"/>
      <c r="AP1235" s="148">
        <v>60369</v>
      </c>
      <c r="AQ1235" s="144"/>
      <c r="AR1235" s="120"/>
      <c r="AS1235" s="121"/>
      <c r="AT1235" s="120"/>
      <c r="AU1235" s="121"/>
      <c r="AV1235" s="120"/>
      <c r="AW1235" s="121"/>
      <c r="AX1235" s="120"/>
      <c r="AY1235" s="121"/>
      <c r="AZ1235" s="138"/>
    </row>
    <row r="1236" spans="1:52" ht="17.100000000000001" customHeight="1" thickTop="1">
      <c r="A1236" s="109" t="s">
        <v>6355</v>
      </c>
      <c r="B1236" s="28">
        <v>45890</v>
      </c>
      <c r="C1236" s="25">
        <v>1529</v>
      </c>
      <c r="D1236" s="13" t="s">
        <v>1586</v>
      </c>
      <c r="E1236" s="111"/>
      <c r="F1236" s="113" t="s">
        <v>4293</v>
      </c>
      <c r="G1236" s="114"/>
      <c r="H1236" s="115"/>
      <c r="I1236" s="24"/>
      <c r="J1236" s="116">
        <v>4</v>
      </c>
      <c r="K1236" s="118">
        <v>1110000</v>
      </c>
      <c r="L1236" s="119"/>
      <c r="M1236" s="118">
        <f>K1236*0.1</f>
        <v>111000</v>
      </c>
      <c r="N1236" s="119"/>
      <c r="O1236" s="118">
        <v>0</v>
      </c>
      <c r="P1236" s="119"/>
      <c r="Q1236" s="118">
        <v>22500</v>
      </c>
      <c r="R1236" s="119"/>
      <c r="S1236" s="118">
        <v>16500</v>
      </c>
      <c r="T1236" s="119"/>
      <c r="U1236" s="118">
        <f>SUM(K1236:T1237)</f>
        <v>1260000</v>
      </c>
      <c r="V1236" s="122"/>
      <c r="W1236" s="124"/>
      <c r="X1236" s="126" t="s">
        <v>4294</v>
      </c>
      <c r="Y1236" s="127"/>
      <c r="Z1236" s="127"/>
      <c r="AA1236" s="127"/>
      <c r="AB1236" s="128"/>
      <c r="AC1236" s="15" t="s">
        <v>20</v>
      </c>
      <c r="AD1236" s="129"/>
      <c r="AE1236" s="130"/>
      <c r="AF1236" s="130"/>
      <c r="AG1236" s="130"/>
      <c r="AH1236" s="130"/>
      <c r="AI1236" s="131"/>
      <c r="AJ1236" s="132"/>
      <c r="AK1236" s="127"/>
      <c r="AL1236" s="128"/>
      <c r="AM1236" s="21"/>
      <c r="AN1236" s="133">
        <v>45899</v>
      </c>
      <c r="AO1236" s="134"/>
      <c r="AP1236" s="135"/>
      <c r="AQ1236" s="136"/>
      <c r="AR1236" s="118">
        <v>2680000</v>
      </c>
      <c r="AS1236" s="119"/>
      <c r="AT1236" s="118">
        <v>0</v>
      </c>
      <c r="AU1236" s="119"/>
      <c r="AV1236" s="118">
        <v>0</v>
      </c>
      <c r="AW1236" s="119"/>
      <c r="AX1236" s="118">
        <f>SUM(AR1236:AW1236)</f>
        <v>2680000</v>
      </c>
      <c r="AY1236" s="119"/>
      <c r="AZ1236" s="137">
        <v>45957</v>
      </c>
    </row>
    <row r="1237" spans="1:52" ht="17.100000000000001" customHeight="1" thickBot="1">
      <c r="A1237" s="110"/>
      <c r="B1237" s="27" t="s">
        <v>1600</v>
      </c>
      <c r="C1237" s="27">
        <v>79151</v>
      </c>
      <c r="D1237" s="14" t="s">
        <v>133</v>
      </c>
      <c r="E1237" s="112"/>
      <c r="F1237" s="139" t="s">
        <v>4295</v>
      </c>
      <c r="G1237" s="140"/>
      <c r="H1237" s="141"/>
      <c r="I1237" s="26">
        <v>52139</v>
      </c>
      <c r="J1237" s="117"/>
      <c r="K1237" s="120"/>
      <c r="L1237" s="121"/>
      <c r="M1237" s="120"/>
      <c r="N1237" s="121"/>
      <c r="O1237" s="120"/>
      <c r="P1237" s="121"/>
      <c r="Q1237" s="120"/>
      <c r="R1237" s="121"/>
      <c r="S1237" s="120"/>
      <c r="T1237" s="121"/>
      <c r="U1237" s="120"/>
      <c r="V1237" s="123"/>
      <c r="W1237" s="125"/>
      <c r="X1237" s="142" t="s">
        <v>4296</v>
      </c>
      <c r="Y1237" s="143"/>
      <c r="Z1237" s="143"/>
      <c r="AA1237" s="143"/>
      <c r="AB1237" s="144"/>
      <c r="AC1237" s="16" t="s">
        <v>21</v>
      </c>
      <c r="AD1237" s="17" t="s">
        <v>4255</v>
      </c>
      <c r="AE1237" s="145"/>
      <c r="AF1237" s="146"/>
      <c r="AG1237" s="146"/>
      <c r="AH1237" s="146"/>
      <c r="AI1237" s="147"/>
      <c r="AJ1237" s="148"/>
      <c r="AK1237" s="143"/>
      <c r="AL1237" s="144"/>
      <c r="AM1237" s="22"/>
      <c r="AN1237" s="149" t="s">
        <v>14013</v>
      </c>
      <c r="AO1237" s="144"/>
      <c r="AP1237" s="148"/>
      <c r="AQ1237" s="144"/>
      <c r="AR1237" s="120"/>
      <c r="AS1237" s="121"/>
      <c r="AT1237" s="120"/>
      <c r="AU1237" s="121"/>
      <c r="AV1237" s="120"/>
      <c r="AW1237" s="121"/>
      <c r="AX1237" s="120"/>
      <c r="AY1237" s="121"/>
      <c r="AZ1237" s="138"/>
    </row>
    <row r="1238" spans="1:52" ht="17.100000000000001" customHeight="1" thickTop="1">
      <c r="A1238" s="109" t="s">
        <v>6356</v>
      </c>
      <c r="B1238" s="28">
        <v>45890</v>
      </c>
      <c r="C1238" s="25">
        <v>2122</v>
      </c>
      <c r="D1238" s="13" t="s">
        <v>1922</v>
      </c>
      <c r="E1238" s="111"/>
      <c r="F1238" s="113" t="s">
        <v>4297</v>
      </c>
      <c r="G1238" s="114"/>
      <c r="H1238" s="115"/>
      <c r="I1238" s="24"/>
      <c r="J1238" s="116">
        <v>4</v>
      </c>
      <c r="K1238" s="118">
        <v>1301000</v>
      </c>
      <c r="L1238" s="119"/>
      <c r="M1238" s="118">
        <f>K1238*0.1</f>
        <v>130100</v>
      </c>
      <c r="N1238" s="119"/>
      <c r="O1238" s="118">
        <v>0</v>
      </c>
      <c r="P1238" s="119"/>
      <c r="Q1238" s="118">
        <v>8550</v>
      </c>
      <c r="R1238" s="119"/>
      <c r="S1238" s="118">
        <v>13750</v>
      </c>
      <c r="T1238" s="119"/>
      <c r="U1238" s="118">
        <f>SUM(K1238:T1239)</f>
        <v>1453400</v>
      </c>
      <c r="V1238" s="122"/>
      <c r="W1238" s="124"/>
      <c r="X1238" s="126" t="s">
        <v>4298</v>
      </c>
      <c r="Y1238" s="127"/>
      <c r="Z1238" s="127"/>
      <c r="AA1238" s="127"/>
      <c r="AB1238" s="128"/>
      <c r="AC1238" s="15" t="s">
        <v>20</v>
      </c>
      <c r="AD1238" s="129"/>
      <c r="AE1238" s="130"/>
      <c r="AF1238" s="130"/>
      <c r="AG1238" s="130"/>
      <c r="AH1238" s="130"/>
      <c r="AI1238" s="131"/>
      <c r="AJ1238" s="132"/>
      <c r="AK1238" s="127"/>
      <c r="AL1238" s="128"/>
      <c r="AM1238" s="21"/>
      <c r="AN1238" s="133">
        <v>46050</v>
      </c>
      <c r="AO1238" s="134"/>
      <c r="AP1238" s="135">
        <v>1002</v>
      </c>
      <c r="AQ1238" s="136"/>
      <c r="AR1238" s="118">
        <v>1290000</v>
      </c>
      <c r="AS1238" s="119"/>
      <c r="AT1238" s="118">
        <f>AR1238*0.1</f>
        <v>129000</v>
      </c>
      <c r="AU1238" s="119"/>
      <c r="AV1238" s="118">
        <v>8550</v>
      </c>
      <c r="AW1238" s="119"/>
      <c r="AX1238" s="118">
        <f>SUM(AR1238:AW1238)</f>
        <v>1427550</v>
      </c>
      <c r="AY1238" s="119"/>
      <c r="AZ1238" s="137">
        <v>46055</v>
      </c>
    </row>
    <row r="1239" spans="1:52" ht="17.100000000000001" customHeight="1" thickBot="1">
      <c r="A1239" s="110"/>
      <c r="B1239" s="27" t="s">
        <v>3281</v>
      </c>
      <c r="C1239" s="27">
        <v>2624</v>
      </c>
      <c r="D1239" s="14" t="s">
        <v>275</v>
      </c>
      <c r="E1239" s="112"/>
      <c r="F1239" s="139" t="s">
        <v>4299</v>
      </c>
      <c r="G1239" s="140"/>
      <c r="H1239" s="141"/>
      <c r="I1239" s="26">
        <v>36499</v>
      </c>
      <c r="J1239" s="117"/>
      <c r="K1239" s="120"/>
      <c r="L1239" s="121"/>
      <c r="M1239" s="120"/>
      <c r="N1239" s="121"/>
      <c r="O1239" s="120"/>
      <c r="P1239" s="121"/>
      <c r="Q1239" s="120"/>
      <c r="R1239" s="121"/>
      <c r="S1239" s="120"/>
      <c r="T1239" s="121"/>
      <c r="U1239" s="120"/>
      <c r="V1239" s="123"/>
      <c r="W1239" s="125"/>
      <c r="X1239" s="142" t="s">
        <v>4300</v>
      </c>
      <c r="Y1239" s="143"/>
      <c r="Z1239" s="143"/>
      <c r="AA1239" s="143"/>
      <c r="AB1239" s="144"/>
      <c r="AC1239" s="16" t="s">
        <v>21</v>
      </c>
      <c r="AD1239" s="17" t="s">
        <v>4066</v>
      </c>
      <c r="AE1239" s="145" t="s">
        <v>171</v>
      </c>
      <c r="AF1239" s="146"/>
      <c r="AG1239" s="146"/>
      <c r="AH1239" s="146"/>
      <c r="AI1239" s="147"/>
      <c r="AJ1239" s="148"/>
      <c r="AK1239" s="143"/>
      <c r="AL1239" s="144"/>
      <c r="AM1239" s="22"/>
      <c r="AN1239" s="149" t="s">
        <v>9053</v>
      </c>
      <c r="AO1239" s="144"/>
      <c r="AP1239" s="148">
        <v>5120</v>
      </c>
      <c r="AQ1239" s="144"/>
      <c r="AR1239" s="120"/>
      <c r="AS1239" s="121"/>
      <c r="AT1239" s="120"/>
      <c r="AU1239" s="121"/>
      <c r="AV1239" s="120"/>
      <c r="AW1239" s="121"/>
      <c r="AX1239" s="120"/>
      <c r="AY1239" s="121"/>
      <c r="AZ1239" s="138"/>
    </row>
    <row r="1240" spans="1:52" ht="17.100000000000001" customHeight="1" thickTop="1">
      <c r="A1240" s="109" t="s">
        <v>6357</v>
      </c>
      <c r="B1240" s="28">
        <v>45890</v>
      </c>
      <c r="C1240" s="25">
        <v>1718</v>
      </c>
      <c r="D1240" s="13" t="s">
        <v>1549</v>
      </c>
      <c r="E1240" s="111"/>
      <c r="F1240" s="113" t="s">
        <v>4301</v>
      </c>
      <c r="G1240" s="114"/>
      <c r="H1240" s="115"/>
      <c r="I1240" s="24" t="s">
        <v>2943</v>
      </c>
      <c r="J1240" s="116">
        <v>4</v>
      </c>
      <c r="K1240" s="118">
        <v>537000</v>
      </c>
      <c r="L1240" s="119"/>
      <c r="M1240" s="118">
        <f>K1240*0.1</f>
        <v>53700</v>
      </c>
      <c r="N1240" s="119"/>
      <c r="O1240" s="118">
        <v>10800</v>
      </c>
      <c r="P1240" s="119"/>
      <c r="Q1240" s="118">
        <v>8780</v>
      </c>
      <c r="R1240" s="119"/>
      <c r="S1240" s="118">
        <v>15400</v>
      </c>
      <c r="T1240" s="119"/>
      <c r="U1240" s="118">
        <f>SUM(K1240:T1241)</f>
        <v>625680</v>
      </c>
      <c r="V1240" s="122"/>
      <c r="W1240" s="124"/>
      <c r="X1240" s="126" t="s">
        <v>4302</v>
      </c>
      <c r="Y1240" s="127"/>
      <c r="Z1240" s="127"/>
      <c r="AA1240" s="127"/>
      <c r="AB1240" s="128"/>
      <c r="AC1240" s="15" t="s">
        <v>20</v>
      </c>
      <c r="AD1240" s="129"/>
      <c r="AE1240" s="130"/>
      <c r="AF1240" s="130"/>
      <c r="AG1240" s="130"/>
      <c r="AH1240" s="130"/>
      <c r="AI1240" s="131"/>
      <c r="AJ1240" s="132"/>
      <c r="AK1240" s="127"/>
      <c r="AL1240" s="128"/>
      <c r="AM1240" s="21" t="s">
        <v>4303</v>
      </c>
      <c r="AN1240" s="133">
        <v>45955</v>
      </c>
      <c r="AO1240" s="134"/>
      <c r="AP1240" s="135">
        <v>1273</v>
      </c>
      <c r="AQ1240" s="136"/>
      <c r="AR1240" s="118">
        <v>610000</v>
      </c>
      <c r="AS1240" s="119"/>
      <c r="AT1240" s="118">
        <f>AR1240*0.1</f>
        <v>61000</v>
      </c>
      <c r="AU1240" s="119"/>
      <c r="AV1240" s="118">
        <v>8780</v>
      </c>
      <c r="AW1240" s="119"/>
      <c r="AX1240" s="118">
        <f>SUM(AR1240:AW1240)</f>
        <v>679780</v>
      </c>
      <c r="AY1240" s="119"/>
      <c r="AZ1240" s="137">
        <v>45958</v>
      </c>
    </row>
    <row r="1241" spans="1:52" ht="17.100000000000001" customHeight="1" thickBot="1">
      <c r="A1241" s="110"/>
      <c r="B1241" s="27" t="s">
        <v>4304</v>
      </c>
      <c r="C1241" s="27">
        <v>3038</v>
      </c>
      <c r="D1241" s="14" t="s">
        <v>2040</v>
      </c>
      <c r="E1241" s="112"/>
      <c r="F1241" s="139" t="s">
        <v>4305</v>
      </c>
      <c r="G1241" s="140"/>
      <c r="H1241" s="141"/>
      <c r="I1241" s="26">
        <v>53434</v>
      </c>
      <c r="J1241" s="117"/>
      <c r="K1241" s="120"/>
      <c r="L1241" s="121"/>
      <c r="M1241" s="120"/>
      <c r="N1241" s="121"/>
      <c r="O1241" s="120"/>
      <c r="P1241" s="121"/>
      <c r="Q1241" s="120"/>
      <c r="R1241" s="121"/>
      <c r="S1241" s="120"/>
      <c r="T1241" s="121"/>
      <c r="U1241" s="120"/>
      <c r="V1241" s="123"/>
      <c r="W1241" s="125"/>
      <c r="X1241" s="142" t="s">
        <v>4306</v>
      </c>
      <c r="Y1241" s="143"/>
      <c r="Z1241" s="143"/>
      <c r="AA1241" s="143"/>
      <c r="AB1241" s="144"/>
      <c r="AC1241" s="16" t="s">
        <v>21</v>
      </c>
      <c r="AD1241" s="17" t="s">
        <v>4066</v>
      </c>
      <c r="AE1241" s="145" t="s">
        <v>4307</v>
      </c>
      <c r="AF1241" s="146"/>
      <c r="AG1241" s="146"/>
      <c r="AH1241" s="146"/>
      <c r="AI1241" s="147"/>
      <c r="AJ1241" s="148"/>
      <c r="AK1241" s="143"/>
      <c r="AL1241" s="144"/>
      <c r="AM1241" s="22"/>
      <c r="AN1241" s="149" t="s">
        <v>2511</v>
      </c>
      <c r="AO1241" s="144"/>
      <c r="AP1241" s="148">
        <v>60184</v>
      </c>
      <c r="AQ1241" s="144"/>
      <c r="AR1241" s="120"/>
      <c r="AS1241" s="121"/>
      <c r="AT1241" s="120"/>
      <c r="AU1241" s="121"/>
      <c r="AV1241" s="120"/>
      <c r="AW1241" s="121"/>
      <c r="AX1241" s="120"/>
      <c r="AY1241" s="121"/>
      <c r="AZ1241" s="138"/>
    </row>
    <row r="1242" spans="1:52" ht="17.100000000000001" customHeight="1" thickTop="1">
      <c r="A1242" s="109" t="s">
        <v>6358</v>
      </c>
      <c r="B1242" s="28">
        <v>45891</v>
      </c>
      <c r="C1242" s="25">
        <v>2098</v>
      </c>
      <c r="D1242" s="13" t="s">
        <v>1922</v>
      </c>
      <c r="E1242" s="111"/>
      <c r="F1242" s="113" t="s">
        <v>4308</v>
      </c>
      <c r="G1242" s="114"/>
      <c r="H1242" s="115"/>
      <c r="I1242" s="24"/>
      <c r="J1242" s="116">
        <v>4</v>
      </c>
      <c r="K1242" s="118">
        <v>1180000</v>
      </c>
      <c r="L1242" s="119"/>
      <c r="M1242" s="118">
        <f>K1242*0.1</f>
        <v>118000</v>
      </c>
      <c r="N1242" s="119"/>
      <c r="O1242" s="118">
        <v>0</v>
      </c>
      <c r="P1242" s="119"/>
      <c r="Q1242" s="118">
        <v>9140</v>
      </c>
      <c r="R1242" s="119"/>
      <c r="S1242" s="118">
        <v>16500</v>
      </c>
      <c r="T1242" s="119"/>
      <c r="U1242" s="118">
        <f>SUM(K1242:T1243)</f>
        <v>1323640</v>
      </c>
      <c r="V1242" s="122"/>
      <c r="W1242" s="124"/>
      <c r="X1242" s="126" t="s">
        <v>4309</v>
      </c>
      <c r="Y1242" s="127"/>
      <c r="Z1242" s="127"/>
      <c r="AA1242" s="127"/>
      <c r="AB1242" s="128"/>
      <c r="AC1242" s="15" t="s">
        <v>20</v>
      </c>
      <c r="AD1242" s="129" t="s">
        <v>4310</v>
      </c>
      <c r="AE1242" s="130"/>
      <c r="AF1242" s="130"/>
      <c r="AG1242" s="130"/>
      <c r="AH1242" s="130"/>
      <c r="AI1242" s="131"/>
      <c r="AJ1242" s="132"/>
      <c r="AK1242" s="127"/>
      <c r="AL1242" s="128"/>
      <c r="AM1242" s="21"/>
      <c r="AN1242" s="133">
        <v>45938</v>
      </c>
      <c r="AO1242" s="134"/>
      <c r="AP1242" s="135">
        <v>987</v>
      </c>
      <c r="AQ1242" s="136"/>
      <c r="AR1242" s="118">
        <v>1205000</v>
      </c>
      <c r="AS1242" s="119"/>
      <c r="AT1242" s="118">
        <f>AR1242*0.1</f>
        <v>120500</v>
      </c>
      <c r="AU1242" s="119"/>
      <c r="AV1242" s="118">
        <v>9140</v>
      </c>
      <c r="AW1242" s="119"/>
      <c r="AX1242" s="118">
        <f>SUM(AR1242:AW1242)</f>
        <v>1334640</v>
      </c>
      <c r="AY1242" s="119"/>
      <c r="AZ1242" s="137">
        <v>45944</v>
      </c>
    </row>
    <row r="1243" spans="1:52" ht="17.100000000000001" customHeight="1" thickBot="1">
      <c r="A1243" s="110"/>
      <c r="B1243" s="27" t="s">
        <v>1543</v>
      </c>
      <c r="C1243" s="27">
        <v>55167</v>
      </c>
      <c r="D1243" s="14" t="s">
        <v>1576</v>
      </c>
      <c r="E1243" s="112"/>
      <c r="F1243" s="139" t="s">
        <v>4311</v>
      </c>
      <c r="G1243" s="140"/>
      <c r="H1243" s="141"/>
      <c r="I1243" s="26">
        <v>52895</v>
      </c>
      <c r="J1243" s="117"/>
      <c r="K1243" s="120"/>
      <c r="L1243" s="121"/>
      <c r="M1243" s="120"/>
      <c r="N1243" s="121"/>
      <c r="O1243" s="120"/>
      <c r="P1243" s="121"/>
      <c r="Q1243" s="120"/>
      <c r="R1243" s="121"/>
      <c r="S1243" s="120"/>
      <c r="T1243" s="121"/>
      <c r="U1243" s="120"/>
      <c r="V1243" s="123"/>
      <c r="W1243" s="125"/>
      <c r="X1243" s="142" t="s">
        <v>2659</v>
      </c>
      <c r="Y1243" s="143"/>
      <c r="Z1243" s="143"/>
      <c r="AA1243" s="143"/>
      <c r="AB1243" s="144"/>
      <c r="AC1243" s="16" t="s">
        <v>21</v>
      </c>
      <c r="AD1243" s="17" t="s">
        <v>2969</v>
      </c>
      <c r="AE1243" s="145" t="s">
        <v>4312</v>
      </c>
      <c r="AF1243" s="146"/>
      <c r="AG1243" s="146"/>
      <c r="AH1243" s="146"/>
      <c r="AI1243" s="147"/>
      <c r="AJ1243" s="148"/>
      <c r="AK1243" s="143"/>
      <c r="AL1243" s="144"/>
      <c r="AM1243" s="22"/>
      <c r="AN1243" s="149" t="s">
        <v>2794</v>
      </c>
      <c r="AO1243" s="144"/>
      <c r="AP1243" s="148">
        <v>2011</v>
      </c>
      <c r="AQ1243" s="144"/>
      <c r="AR1243" s="120"/>
      <c r="AS1243" s="121"/>
      <c r="AT1243" s="120"/>
      <c r="AU1243" s="121"/>
      <c r="AV1243" s="120"/>
      <c r="AW1243" s="121"/>
      <c r="AX1243" s="120"/>
      <c r="AY1243" s="121"/>
      <c r="AZ1243" s="138"/>
    </row>
    <row r="1244" spans="1:52" ht="17.100000000000001" customHeight="1" thickTop="1">
      <c r="A1244" s="109" t="s">
        <v>6359</v>
      </c>
      <c r="B1244" s="28">
        <v>45891</v>
      </c>
      <c r="C1244" s="25">
        <v>2098</v>
      </c>
      <c r="D1244" s="13" t="s">
        <v>1059</v>
      </c>
      <c r="E1244" s="111"/>
      <c r="F1244" s="113" t="s">
        <v>4313</v>
      </c>
      <c r="G1244" s="114"/>
      <c r="H1244" s="115"/>
      <c r="I1244" s="24" t="s">
        <v>4314</v>
      </c>
      <c r="J1244" s="116">
        <v>4.5</v>
      </c>
      <c r="K1244" s="118">
        <v>1220000</v>
      </c>
      <c r="L1244" s="119"/>
      <c r="M1244" s="118">
        <f>K1244*0.1</f>
        <v>122000</v>
      </c>
      <c r="N1244" s="119"/>
      <c r="O1244" s="118">
        <v>0</v>
      </c>
      <c r="P1244" s="119"/>
      <c r="Q1244" s="118">
        <v>7150</v>
      </c>
      <c r="R1244" s="119"/>
      <c r="S1244" s="118">
        <v>16500</v>
      </c>
      <c r="T1244" s="119"/>
      <c r="U1244" s="118">
        <f>SUM(K1244:T1245)</f>
        <v>1365650</v>
      </c>
      <c r="V1244" s="122"/>
      <c r="W1244" s="124"/>
      <c r="X1244" s="126" t="s">
        <v>4315</v>
      </c>
      <c r="Y1244" s="127"/>
      <c r="Z1244" s="127"/>
      <c r="AA1244" s="127"/>
      <c r="AB1244" s="128"/>
      <c r="AC1244" s="15" t="s">
        <v>20</v>
      </c>
      <c r="AD1244" s="129" t="s">
        <v>1670</v>
      </c>
      <c r="AE1244" s="130"/>
      <c r="AF1244" s="130"/>
      <c r="AG1244" s="130"/>
      <c r="AH1244" s="130"/>
      <c r="AI1244" s="131"/>
      <c r="AJ1244" s="132"/>
      <c r="AK1244" s="127"/>
      <c r="AL1244" s="128"/>
      <c r="AM1244" s="21" t="s">
        <v>4316</v>
      </c>
      <c r="AN1244" s="133">
        <v>45955</v>
      </c>
      <c r="AO1244" s="134"/>
      <c r="AP1244" s="135">
        <v>1273</v>
      </c>
      <c r="AQ1244" s="136"/>
      <c r="AR1244" s="118">
        <v>1235000</v>
      </c>
      <c r="AS1244" s="119"/>
      <c r="AT1244" s="118">
        <f>AR1244*0.1</f>
        <v>123500</v>
      </c>
      <c r="AU1244" s="119"/>
      <c r="AV1244" s="118">
        <v>7150</v>
      </c>
      <c r="AW1244" s="119"/>
      <c r="AX1244" s="118">
        <f>SUM(AR1244:AW1244)</f>
        <v>1365650</v>
      </c>
      <c r="AY1244" s="119"/>
      <c r="AZ1244" s="137">
        <v>45960</v>
      </c>
    </row>
    <row r="1245" spans="1:52" ht="17.100000000000001" customHeight="1" thickBot="1">
      <c r="A1245" s="110"/>
      <c r="B1245" s="27" t="s">
        <v>1543</v>
      </c>
      <c r="C1245" s="27">
        <v>55707</v>
      </c>
      <c r="D1245" s="14" t="s">
        <v>275</v>
      </c>
      <c r="E1245" s="112"/>
      <c r="F1245" s="139" t="s">
        <v>4317</v>
      </c>
      <c r="G1245" s="140"/>
      <c r="H1245" s="141"/>
      <c r="I1245" s="26">
        <v>33823</v>
      </c>
      <c r="J1245" s="117"/>
      <c r="K1245" s="120"/>
      <c r="L1245" s="121"/>
      <c r="M1245" s="120"/>
      <c r="N1245" s="121"/>
      <c r="O1245" s="120"/>
      <c r="P1245" s="121"/>
      <c r="Q1245" s="120"/>
      <c r="R1245" s="121"/>
      <c r="S1245" s="120"/>
      <c r="T1245" s="121"/>
      <c r="U1245" s="120"/>
      <c r="V1245" s="123"/>
      <c r="W1245" s="125"/>
      <c r="X1245" s="142" t="s">
        <v>4318</v>
      </c>
      <c r="Y1245" s="143"/>
      <c r="Z1245" s="143"/>
      <c r="AA1245" s="143"/>
      <c r="AB1245" s="144"/>
      <c r="AC1245" s="16" t="s">
        <v>21</v>
      </c>
      <c r="AD1245" s="17" t="s">
        <v>4066</v>
      </c>
      <c r="AE1245" s="145" t="s">
        <v>1873</v>
      </c>
      <c r="AF1245" s="146"/>
      <c r="AG1245" s="146"/>
      <c r="AH1245" s="146"/>
      <c r="AI1245" s="147"/>
      <c r="AJ1245" s="148"/>
      <c r="AK1245" s="143"/>
      <c r="AL1245" s="144"/>
      <c r="AM1245" s="22"/>
      <c r="AN1245" s="149" t="s">
        <v>2511</v>
      </c>
      <c r="AO1245" s="144"/>
      <c r="AP1245" s="148">
        <v>60133</v>
      </c>
      <c r="AQ1245" s="144"/>
      <c r="AR1245" s="120"/>
      <c r="AS1245" s="121"/>
      <c r="AT1245" s="120"/>
      <c r="AU1245" s="121"/>
      <c r="AV1245" s="120"/>
      <c r="AW1245" s="121"/>
      <c r="AX1245" s="120"/>
      <c r="AY1245" s="121"/>
      <c r="AZ1245" s="138"/>
    </row>
    <row r="1246" spans="1:52" ht="17.100000000000001" customHeight="1" thickTop="1">
      <c r="A1246" s="109" t="s">
        <v>6360</v>
      </c>
      <c r="B1246" s="28">
        <v>45891</v>
      </c>
      <c r="C1246" s="25">
        <v>2098</v>
      </c>
      <c r="D1246" s="13" t="s">
        <v>2737</v>
      </c>
      <c r="E1246" s="111"/>
      <c r="F1246" s="113" t="s">
        <v>4319</v>
      </c>
      <c r="G1246" s="114"/>
      <c r="H1246" s="115"/>
      <c r="I1246" s="24" t="s">
        <v>4320</v>
      </c>
      <c r="J1246" s="116">
        <v>4.5</v>
      </c>
      <c r="K1246" s="118">
        <v>2800000</v>
      </c>
      <c r="L1246" s="119"/>
      <c r="M1246" s="118">
        <f>K1246*0.1</f>
        <v>280000</v>
      </c>
      <c r="N1246" s="119"/>
      <c r="O1246" s="118">
        <f>21000+2100</f>
        <v>23100</v>
      </c>
      <c r="P1246" s="119"/>
      <c r="Q1246" s="118">
        <v>16240</v>
      </c>
      <c r="R1246" s="119"/>
      <c r="S1246" s="118">
        <v>16500</v>
      </c>
      <c r="T1246" s="119"/>
      <c r="U1246" s="118">
        <f>SUM(K1246:T1247)</f>
        <v>3135840</v>
      </c>
      <c r="V1246" s="122"/>
      <c r="W1246" s="124"/>
      <c r="X1246" s="126" t="s">
        <v>4321</v>
      </c>
      <c r="Y1246" s="127"/>
      <c r="Z1246" s="127"/>
      <c r="AA1246" s="127"/>
      <c r="AB1246" s="128"/>
      <c r="AC1246" s="15" t="s">
        <v>20</v>
      </c>
      <c r="AD1246" s="129" t="s">
        <v>1633</v>
      </c>
      <c r="AE1246" s="130"/>
      <c r="AF1246" s="130"/>
      <c r="AG1246" s="130"/>
      <c r="AH1246" s="130"/>
      <c r="AI1246" s="131"/>
      <c r="AJ1246" s="132"/>
      <c r="AK1246" s="127"/>
      <c r="AL1246" s="128"/>
      <c r="AM1246" s="21" t="s">
        <v>4322</v>
      </c>
      <c r="AN1246" s="133">
        <v>45919</v>
      </c>
      <c r="AO1246" s="134"/>
      <c r="AP1246" s="135"/>
      <c r="AQ1246" s="136"/>
      <c r="AR1246" s="118">
        <v>3992040</v>
      </c>
      <c r="AS1246" s="119"/>
      <c r="AT1246" s="118">
        <v>0</v>
      </c>
      <c r="AU1246" s="119"/>
      <c r="AV1246" s="118">
        <v>0</v>
      </c>
      <c r="AW1246" s="119"/>
      <c r="AX1246" s="118">
        <f>SUM(AR1246:AW1246)</f>
        <v>3992040</v>
      </c>
      <c r="AY1246" s="119"/>
      <c r="AZ1246" s="137">
        <v>45949</v>
      </c>
    </row>
    <row r="1247" spans="1:52" ht="17.100000000000001" customHeight="1" thickBot="1">
      <c r="A1247" s="110"/>
      <c r="B1247" s="27" t="s">
        <v>1543</v>
      </c>
      <c r="C1247" s="27">
        <v>58214</v>
      </c>
      <c r="D1247" s="14" t="s">
        <v>133</v>
      </c>
      <c r="E1247" s="112"/>
      <c r="F1247" s="139" t="s">
        <v>4323</v>
      </c>
      <c r="G1247" s="140"/>
      <c r="H1247" s="141"/>
      <c r="I1247" s="26">
        <v>39082</v>
      </c>
      <c r="J1247" s="117"/>
      <c r="K1247" s="120"/>
      <c r="L1247" s="121"/>
      <c r="M1247" s="120"/>
      <c r="N1247" s="121"/>
      <c r="O1247" s="120"/>
      <c r="P1247" s="121"/>
      <c r="Q1247" s="120"/>
      <c r="R1247" s="121"/>
      <c r="S1247" s="120"/>
      <c r="T1247" s="121"/>
      <c r="U1247" s="120"/>
      <c r="V1247" s="123"/>
      <c r="W1247" s="125"/>
      <c r="X1247" s="142" t="s">
        <v>1594</v>
      </c>
      <c r="Y1247" s="143"/>
      <c r="Z1247" s="143"/>
      <c r="AA1247" s="143"/>
      <c r="AB1247" s="144"/>
      <c r="AC1247" s="16" t="s">
        <v>21</v>
      </c>
      <c r="AD1247" s="17" t="s">
        <v>4066</v>
      </c>
      <c r="AE1247" s="145" t="s">
        <v>1614</v>
      </c>
      <c r="AF1247" s="146"/>
      <c r="AG1247" s="146"/>
      <c r="AH1247" s="146"/>
      <c r="AI1247" s="147"/>
      <c r="AJ1247" s="148"/>
      <c r="AK1247" s="143"/>
      <c r="AL1247" s="144"/>
      <c r="AM1247" s="22"/>
      <c r="AN1247" s="149" t="s">
        <v>14008</v>
      </c>
      <c r="AO1247" s="144"/>
      <c r="AP1247" s="148"/>
      <c r="AQ1247" s="144"/>
      <c r="AR1247" s="120"/>
      <c r="AS1247" s="121"/>
      <c r="AT1247" s="120"/>
      <c r="AU1247" s="121"/>
      <c r="AV1247" s="120"/>
      <c r="AW1247" s="121"/>
      <c r="AX1247" s="120"/>
      <c r="AY1247" s="121"/>
      <c r="AZ1247" s="138"/>
    </row>
    <row r="1248" spans="1:52" ht="17.100000000000001" customHeight="1" thickTop="1">
      <c r="A1248" s="109" t="s">
        <v>6361</v>
      </c>
      <c r="B1248" s="28">
        <v>45891</v>
      </c>
      <c r="C1248" s="25">
        <v>2098</v>
      </c>
      <c r="D1248" s="13" t="s">
        <v>2500</v>
      </c>
      <c r="E1248" s="111"/>
      <c r="F1248" s="113" t="s">
        <v>4324</v>
      </c>
      <c r="G1248" s="114"/>
      <c r="H1248" s="115"/>
      <c r="I1248" s="24"/>
      <c r="J1248" s="116">
        <v>4</v>
      </c>
      <c r="K1248" s="118">
        <v>345000</v>
      </c>
      <c r="L1248" s="119"/>
      <c r="M1248" s="118">
        <v>0</v>
      </c>
      <c r="N1248" s="119"/>
      <c r="O1248" s="118">
        <v>0</v>
      </c>
      <c r="P1248" s="119"/>
      <c r="Q1248" s="118">
        <v>9790</v>
      </c>
      <c r="R1248" s="119"/>
      <c r="S1248" s="118">
        <v>16500</v>
      </c>
      <c r="T1248" s="119"/>
      <c r="U1248" s="118">
        <f>SUM(K1248:T1249)</f>
        <v>371290</v>
      </c>
      <c r="V1248" s="122"/>
      <c r="W1248" s="124"/>
      <c r="X1248" s="126" t="s">
        <v>4325</v>
      </c>
      <c r="Y1248" s="127"/>
      <c r="Z1248" s="127"/>
      <c r="AA1248" s="127"/>
      <c r="AB1248" s="128"/>
      <c r="AC1248" s="15" t="s">
        <v>20</v>
      </c>
      <c r="AD1248" s="129" t="s">
        <v>1575</v>
      </c>
      <c r="AE1248" s="130"/>
      <c r="AF1248" s="130"/>
      <c r="AG1248" s="130"/>
      <c r="AH1248" s="130"/>
      <c r="AI1248" s="131"/>
      <c r="AJ1248" s="132"/>
      <c r="AK1248" s="127"/>
      <c r="AL1248" s="128"/>
      <c r="AM1248" s="21"/>
      <c r="AN1248" s="133">
        <v>45955</v>
      </c>
      <c r="AO1248" s="134"/>
      <c r="AP1248" s="135">
        <v>1273</v>
      </c>
      <c r="AQ1248" s="136"/>
      <c r="AR1248" s="118">
        <v>405000</v>
      </c>
      <c r="AS1248" s="119"/>
      <c r="AT1248" s="118">
        <f>AR1248*0.1</f>
        <v>40500</v>
      </c>
      <c r="AU1248" s="119"/>
      <c r="AV1248" s="118">
        <v>9790</v>
      </c>
      <c r="AW1248" s="119"/>
      <c r="AX1248" s="118">
        <f>SUM(AR1248:AW1248)</f>
        <v>455290</v>
      </c>
      <c r="AY1248" s="119"/>
      <c r="AZ1248" s="137">
        <v>45958</v>
      </c>
    </row>
    <row r="1249" spans="1:52" ht="17.100000000000001" customHeight="1" thickBot="1">
      <c r="A1249" s="110"/>
      <c r="B1249" s="27" t="s">
        <v>1543</v>
      </c>
      <c r="C1249" s="27">
        <v>85164</v>
      </c>
      <c r="D1249" s="14" t="s">
        <v>2800</v>
      </c>
      <c r="E1249" s="112"/>
      <c r="F1249" s="139" t="s">
        <v>4326</v>
      </c>
      <c r="G1249" s="140"/>
      <c r="H1249" s="141"/>
      <c r="I1249" s="26">
        <v>49672</v>
      </c>
      <c r="J1249" s="117"/>
      <c r="K1249" s="120"/>
      <c r="L1249" s="121"/>
      <c r="M1249" s="120"/>
      <c r="N1249" s="121"/>
      <c r="O1249" s="120"/>
      <c r="P1249" s="121"/>
      <c r="Q1249" s="120"/>
      <c r="R1249" s="121"/>
      <c r="S1249" s="120"/>
      <c r="T1249" s="121"/>
      <c r="U1249" s="120"/>
      <c r="V1249" s="123"/>
      <c r="W1249" s="125"/>
      <c r="X1249" s="142" t="s">
        <v>4327</v>
      </c>
      <c r="Y1249" s="143"/>
      <c r="Z1249" s="143"/>
      <c r="AA1249" s="143"/>
      <c r="AB1249" s="144"/>
      <c r="AC1249" s="16" t="s">
        <v>21</v>
      </c>
      <c r="AD1249" s="17" t="s">
        <v>2969</v>
      </c>
      <c r="AE1249" s="145" t="s">
        <v>4328</v>
      </c>
      <c r="AF1249" s="146"/>
      <c r="AG1249" s="146"/>
      <c r="AH1249" s="146"/>
      <c r="AI1249" s="147"/>
      <c r="AJ1249" s="148"/>
      <c r="AK1249" s="143"/>
      <c r="AL1249" s="144"/>
      <c r="AM1249" s="22"/>
      <c r="AN1249" s="149" t="s">
        <v>2511</v>
      </c>
      <c r="AO1249" s="144"/>
      <c r="AP1249" s="148">
        <v>60135</v>
      </c>
      <c r="AQ1249" s="144"/>
      <c r="AR1249" s="120"/>
      <c r="AS1249" s="121"/>
      <c r="AT1249" s="120"/>
      <c r="AU1249" s="121"/>
      <c r="AV1249" s="120"/>
      <c r="AW1249" s="121"/>
      <c r="AX1249" s="120"/>
      <c r="AY1249" s="121"/>
      <c r="AZ1249" s="138"/>
    </row>
    <row r="1250" spans="1:52" ht="17.100000000000001" customHeight="1" thickTop="1">
      <c r="A1250" s="109" t="s">
        <v>6362</v>
      </c>
      <c r="B1250" s="28">
        <v>45891</v>
      </c>
      <c r="C1250" s="25"/>
      <c r="D1250" s="13" t="s">
        <v>2036</v>
      </c>
      <c r="E1250" s="111"/>
      <c r="F1250" s="113" t="s">
        <v>4329</v>
      </c>
      <c r="G1250" s="114"/>
      <c r="H1250" s="115"/>
      <c r="I1250" s="24" t="s">
        <v>4330</v>
      </c>
      <c r="J1250" s="116">
        <v>4.5</v>
      </c>
      <c r="K1250" s="118">
        <f>1413500/1.1</f>
        <v>1285000</v>
      </c>
      <c r="L1250" s="119"/>
      <c r="M1250" s="118">
        <f>K1250*0.1</f>
        <v>128500</v>
      </c>
      <c r="N1250" s="119"/>
      <c r="O1250" s="118">
        <v>12700</v>
      </c>
      <c r="P1250" s="119"/>
      <c r="Q1250" s="118">
        <v>8170</v>
      </c>
      <c r="R1250" s="119"/>
      <c r="S1250" s="118">
        <v>90338</v>
      </c>
      <c r="T1250" s="119"/>
      <c r="U1250" s="118">
        <f>SUM(K1250:T1251)</f>
        <v>1524708</v>
      </c>
      <c r="V1250" s="122"/>
      <c r="W1250" s="124"/>
      <c r="X1250" s="126" t="s">
        <v>7437</v>
      </c>
      <c r="Y1250" s="127"/>
      <c r="Z1250" s="127"/>
      <c r="AA1250" s="127"/>
      <c r="AB1250" s="128"/>
      <c r="AC1250" s="15" t="s">
        <v>20</v>
      </c>
      <c r="AD1250" s="129" t="s">
        <v>1945</v>
      </c>
      <c r="AE1250" s="130"/>
      <c r="AF1250" s="130"/>
      <c r="AG1250" s="130"/>
      <c r="AH1250" s="130"/>
      <c r="AI1250" s="131"/>
      <c r="AJ1250" s="132"/>
      <c r="AK1250" s="127"/>
      <c r="AL1250" s="128"/>
      <c r="AM1250" s="21"/>
      <c r="AN1250" s="133">
        <v>45941</v>
      </c>
      <c r="AO1250" s="134"/>
      <c r="AP1250" s="135">
        <v>1271</v>
      </c>
      <c r="AQ1250" s="136"/>
      <c r="AR1250" s="118">
        <v>1415000</v>
      </c>
      <c r="AS1250" s="119"/>
      <c r="AT1250" s="118">
        <f>AR1250*0.1</f>
        <v>141500</v>
      </c>
      <c r="AU1250" s="119"/>
      <c r="AV1250" s="118">
        <v>8170</v>
      </c>
      <c r="AW1250" s="119"/>
      <c r="AX1250" s="118">
        <f>SUM(AR1250:AW1250)</f>
        <v>1564670</v>
      </c>
      <c r="AY1250" s="119"/>
      <c r="AZ1250" s="137">
        <v>45944</v>
      </c>
    </row>
    <row r="1251" spans="1:52" ht="17.100000000000001" customHeight="1" thickBot="1">
      <c r="A1251" s="110"/>
      <c r="B1251" s="27" t="s">
        <v>1718</v>
      </c>
      <c r="C1251" s="27" t="s">
        <v>4331</v>
      </c>
      <c r="D1251" s="14" t="s">
        <v>1592</v>
      </c>
      <c r="E1251" s="112"/>
      <c r="F1251" s="139" t="s">
        <v>4332</v>
      </c>
      <c r="G1251" s="140"/>
      <c r="H1251" s="141"/>
      <c r="I1251" s="26">
        <v>18500</v>
      </c>
      <c r="J1251" s="117"/>
      <c r="K1251" s="120"/>
      <c r="L1251" s="121"/>
      <c r="M1251" s="120"/>
      <c r="N1251" s="121"/>
      <c r="O1251" s="120"/>
      <c r="P1251" s="121"/>
      <c r="Q1251" s="120"/>
      <c r="R1251" s="121"/>
      <c r="S1251" s="120"/>
      <c r="T1251" s="121"/>
      <c r="U1251" s="120"/>
      <c r="V1251" s="123"/>
      <c r="W1251" s="125"/>
      <c r="X1251" s="142" t="s">
        <v>7438</v>
      </c>
      <c r="Y1251" s="143"/>
      <c r="Z1251" s="143"/>
      <c r="AA1251" s="143"/>
      <c r="AB1251" s="144"/>
      <c r="AC1251" s="16" t="s">
        <v>21</v>
      </c>
      <c r="AD1251" s="17" t="s">
        <v>3317</v>
      </c>
      <c r="AE1251" s="145" t="s">
        <v>4453</v>
      </c>
      <c r="AF1251" s="146"/>
      <c r="AG1251" s="146"/>
      <c r="AH1251" s="146"/>
      <c r="AI1251" s="147"/>
      <c r="AJ1251" s="148"/>
      <c r="AK1251" s="143"/>
      <c r="AL1251" s="144"/>
      <c r="AM1251" s="22"/>
      <c r="AN1251" s="149" t="s">
        <v>2511</v>
      </c>
      <c r="AO1251" s="144"/>
      <c r="AP1251" s="148">
        <v>37518</v>
      </c>
      <c r="AQ1251" s="144"/>
      <c r="AR1251" s="120"/>
      <c r="AS1251" s="121"/>
      <c r="AT1251" s="120"/>
      <c r="AU1251" s="121"/>
      <c r="AV1251" s="120"/>
      <c r="AW1251" s="121"/>
      <c r="AX1251" s="120"/>
      <c r="AY1251" s="121"/>
      <c r="AZ1251" s="138"/>
    </row>
    <row r="1252" spans="1:52" ht="17.100000000000001" customHeight="1" thickTop="1">
      <c r="A1252" s="109" t="s">
        <v>6363</v>
      </c>
      <c r="B1252" s="28">
        <v>45891</v>
      </c>
      <c r="C1252" s="25"/>
      <c r="D1252" s="13" t="s">
        <v>1853</v>
      </c>
      <c r="E1252" s="111"/>
      <c r="F1252" s="113" t="s">
        <v>4333</v>
      </c>
      <c r="G1252" s="114"/>
      <c r="H1252" s="115"/>
      <c r="I1252" s="24" t="s">
        <v>2854</v>
      </c>
      <c r="J1252" s="116">
        <v>4.5</v>
      </c>
      <c r="K1252" s="118">
        <f>2409000/1.1</f>
        <v>2190000</v>
      </c>
      <c r="L1252" s="119"/>
      <c r="M1252" s="118">
        <f>K1252*0.1</f>
        <v>219000</v>
      </c>
      <c r="N1252" s="119"/>
      <c r="O1252" s="118">
        <v>15000</v>
      </c>
      <c r="P1252" s="119"/>
      <c r="Q1252" s="118">
        <v>12470</v>
      </c>
      <c r="R1252" s="119"/>
      <c r="S1252" s="118">
        <v>115225</v>
      </c>
      <c r="T1252" s="119"/>
      <c r="U1252" s="118">
        <f>SUM(K1252:T1253)</f>
        <v>2551695</v>
      </c>
      <c r="V1252" s="122"/>
      <c r="W1252" s="124"/>
      <c r="X1252" s="126" t="s">
        <v>4334</v>
      </c>
      <c r="Y1252" s="127"/>
      <c r="Z1252" s="127"/>
      <c r="AA1252" s="127"/>
      <c r="AB1252" s="128"/>
      <c r="AC1252" s="15" t="s">
        <v>20</v>
      </c>
      <c r="AD1252" s="129"/>
      <c r="AE1252" s="130"/>
      <c r="AF1252" s="130"/>
      <c r="AG1252" s="130"/>
      <c r="AH1252" s="130"/>
      <c r="AI1252" s="131"/>
      <c r="AJ1252" s="153" t="s">
        <v>8466</v>
      </c>
      <c r="AK1252" s="127"/>
      <c r="AL1252" s="128"/>
      <c r="AM1252" s="21"/>
      <c r="AN1252" s="133">
        <v>45941</v>
      </c>
      <c r="AO1252" s="134"/>
      <c r="AP1252" s="135">
        <v>1271</v>
      </c>
      <c r="AQ1252" s="136"/>
      <c r="AR1252" s="118">
        <v>2400000</v>
      </c>
      <c r="AS1252" s="119"/>
      <c r="AT1252" s="118">
        <f>AR1252*0.1</f>
        <v>240000</v>
      </c>
      <c r="AU1252" s="119"/>
      <c r="AV1252" s="118">
        <v>12470</v>
      </c>
      <c r="AW1252" s="119"/>
      <c r="AX1252" s="118">
        <f>SUM(AR1252:AW1252)</f>
        <v>2652470</v>
      </c>
      <c r="AY1252" s="119"/>
      <c r="AZ1252" s="137">
        <v>45950</v>
      </c>
    </row>
    <row r="1253" spans="1:52" ht="17.100000000000001" customHeight="1" thickBot="1">
      <c r="A1253" s="110"/>
      <c r="B1253" s="27" t="s">
        <v>1718</v>
      </c>
      <c r="C1253" s="27" t="s">
        <v>4335</v>
      </c>
      <c r="D1253" s="14" t="s">
        <v>2601</v>
      </c>
      <c r="E1253" s="112"/>
      <c r="F1253" s="139" t="s">
        <v>4336</v>
      </c>
      <c r="G1253" s="140"/>
      <c r="H1253" s="141"/>
      <c r="I1253" s="26">
        <v>47565</v>
      </c>
      <c r="J1253" s="117"/>
      <c r="K1253" s="120"/>
      <c r="L1253" s="121"/>
      <c r="M1253" s="120"/>
      <c r="N1253" s="121"/>
      <c r="O1253" s="120"/>
      <c r="P1253" s="121"/>
      <c r="Q1253" s="120"/>
      <c r="R1253" s="121"/>
      <c r="S1253" s="120"/>
      <c r="T1253" s="121"/>
      <c r="U1253" s="120"/>
      <c r="V1253" s="123"/>
      <c r="W1253" s="125"/>
      <c r="X1253" s="142" t="s">
        <v>4337</v>
      </c>
      <c r="Y1253" s="143"/>
      <c r="Z1253" s="143"/>
      <c r="AA1253" s="143"/>
      <c r="AB1253" s="144"/>
      <c r="AC1253" s="16" t="s">
        <v>21</v>
      </c>
      <c r="AD1253" s="17" t="s">
        <v>1595</v>
      </c>
      <c r="AE1253" s="145" t="s">
        <v>7848</v>
      </c>
      <c r="AF1253" s="146"/>
      <c r="AG1253" s="146"/>
      <c r="AH1253" s="146"/>
      <c r="AI1253" s="147"/>
      <c r="AJ1253" s="148"/>
      <c r="AK1253" s="143"/>
      <c r="AL1253" s="144"/>
      <c r="AM1253" s="22"/>
      <c r="AN1253" s="149" t="s">
        <v>2511</v>
      </c>
      <c r="AO1253" s="144"/>
      <c r="AP1253" s="148">
        <v>37667</v>
      </c>
      <c r="AQ1253" s="144"/>
      <c r="AR1253" s="120"/>
      <c r="AS1253" s="121"/>
      <c r="AT1253" s="120"/>
      <c r="AU1253" s="121"/>
      <c r="AV1253" s="120"/>
      <c r="AW1253" s="121"/>
      <c r="AX1253" s="120"/>
      <c r="AY1253" s="121"/>
      <c r="AZ1253" s="138"/>
    </row>
    <row r="1254" spans="1:52" ht="17.100000000000001" customHeight="1" thickTop="1">
      <c r="A1254" s="109" t="s">
        <v>6364</v>
      </c>
      <c r="B1254" s="28">
        <v>45891</v>
      </c>
      <c r="C1254" s="25">
        <v>1382</v>
      </c>
      <c r="D1254" s="13" t="s">
        <v>4338</v>
      </c>
      <c r="E1254" s="111"/>
      <c r="F1254" s="113" t="s">
        <v>4339</v>
      </c>
      <c r="G1254" s="114"/>
      <c r="H1254" s="115"/>
      <c r="I1254" s="24" t="s">
        <v>4340</v>
      </c>
      <c r="J1254" s="116">
        <v>4</v>
      </c>
      <c r="K1254" s="118">
        <v>519000</v>
      </c>
      <c r="L1254" s="119"/>
      <c r="M1254" s="118">
        <f>K1254*0.1</f>
        <v>51900</v>
      </c>
      <c r="N1254" s="119"/>
      <c r="O1254" s="118">
        <v>0</v>
      </c>
      <c r="P1254" s="119"/>
      <c r="Q1254" s="118">
        <v>10070</v>
      </c>
      <c r="R1254" s="119"/>
      <c r="S1254" s="118">
        <v>13200</v>
      </c>
      <c r="T1254" s="119"/>
      <c r="U1254" s="118">
        <f>SUM(K1254:T1255)</f>
        <v>594170</v>
      </c>
      <c r="V1254" s="122"/>
      <c r="W1254" s="124"/>
      <c r="X1254" s="126" t="s">
        <v>4341</v>
      </c>
      <c r="Y1254" s="127"/>
      <c r="Z1254" s="127"/>
      <c r="AA1254" s="127"/>
      <c r="AB1254" s="128"/>
      <c r="AC1254" s="15" t="s">
        <v>20</v>
      </c>
      <c r="AD1254" s="129" t="s">
        <v>2054</v>
      </c>
      <c r="AE1254" s="130"/>
      <c r="AF1254" s="130"/>
      <c r="AG1254" s="130"/>
      <c r="AH1254" s="130"/>
      <c r="AI1254" s="131"/>
      <c r="AJ1254" s="132"/>
      <c r="AK1254" s="127"/>
      <c r="AL1254" s="128"/>
      <c r="AM1254" s="21" t="s">
        <v>4342</v>
      </c>
      <c r="AN1254" s="133">
        <v>45934</v>
      </c>
      <c r="AO1254" s="134"/>
      <c r="AP1254" s="135">
        <v>1270</v>
      </c>
      <c r="AQ1254" s="136"/>
      <c r="AR1254" s="118">
        <v>590000</v>
      </c>
      <c r="AS1254" s="119"/>
      <c r="AT1254" s="118">
        <f>AR1254*0.1</f>
        <v>59000</v>
      </c>
      <c r="AU1254" s="119"/>
      <c r="AV1254" s="118">
        <v>10070</v>
      </c>
      <c r="AW1254" s="119"/>
      <c r="AX1254" s="118">
        <f>SUM(AR1254:AW1254)</f>
        <v>659070</v>
      </c>
      <c r="AY1254" s="119"/>
      <c r="AZ1254" s="137">
        <v>45944</v>
      </c>
    </row>
    <row r="1255" spans="1:52" ht="17.100000000000001" customHeight="1" thickBot="1">
      <c r="A1255" s="110"/>
      <c r="B1255" s="27" t="s">
        <v>2641</v>
      </c>
      <c r="C1255" s="27">
        <v>5519</v>
      </c>
      <c r="D1255" s="14" t="s">
        <v>904</v>
      </c>
      <c r="E1255" s="112"/>
      <c r="F1255" s="139" t="s">
        <v>4343</v>
      </c>
      <c r="G1255" s="140"/>
      <c r="H1255" s="141"/>
      <c r="I1255" s="26">
        <v>28630</v>
      </c>
      <c r="J1255" s="117"/>
      <c r="K1255" s="120"/>
      <c r="L1255" s="121"/>
      <c r="M1255" s="120"/>
      <c r="N1255" s="121"/>
      <c r="O1255" s="120"/>
      <c r="P1255" s="121"/>
      <c r="Q1255" s="120"/>
      <c r="R1255" s="121"/>
      <c r="S1255" s="120"/>
      <c r="T1255" s="121"/>
      <c r="U1255" s="120"/>
      <c r="V1255" s="123"/>
      <c r="W1255" s="125"/>
      <c r="X1255" s="142" t="s">
        <v>4344</v>
      </c>
      <c r="Y1255" s="143"/>
      <c r="Z1255" s="143"/>
      <c r="AA1255" s="143"/>
      <c r="AB1255" s="144"/>
      <c r="AC1255" s="16" t="s">
        <v>21</v>
      </c>
      <c r="AD1255" s="17" t="s">
        <v>4066</v>
      </c>
      <c r="AE1255" s="145" t="s">
        <v>4345</v>
      </c>
      <c r="AF1255" s="146"/>
      <c r="AG1255" s="146"/>
      <c r="AH1255" s="146"/>
      <c r="AI1255" s="147"/>
      <c r="AJ1255" s="148"/>
      <c r="AK1255" s="143"/>
      <c r="AL1255" s="144"/>
      <c r="AM1255" s="22"/>
      <c r="AN1255" s="149" t="s">
        <v>6748</v>
      </c>
      <c r="AO1255" s="144"/>
      <c r="AP1255" s="148">
        <v>60385</v>
      </c>
      <c r="AQ1255" s="144"/>
      <c r="AR1255" s="120"/>
      <c r="AS1255" s="121"/>
      <c r="AT1255" s="120"/>
      <c r="AU1255" s="121"/>
      <c r="AV1255" s="120"/>
      <c r="AW1255" s="121"/>
      <c r="AX1255" s="120"/>
      <c r="AY1255" s="121"/>
      <c r="AZ1255" s="138"/>
    </row>
    <row r="1256" spans="1:52" ht="17.100000000000001" customHeight="1" thickTop="1">
      <c r="A1256" s="109" t="s">
        <v>6365</v>
      </c>
      <c r="B1256" s="28">
        <v>45891</v>
      </c>
      <c r="C1256" s="25"/>
      <c r="D1256" s="13" t="s">
        <v>4346</v>
      </c>
      <c r="E1256" s="111"/>
      <c r="F1256" s="113" t="s">
        <v>4347</v>
      </c>
      <c r="G1256" s="114"/>
      <c r="H1256" s="115"/>
      <c r="I1256" s="24" t="s">
        <v>2533</v>
      </c>
      <c r="J1256" s="116"/>
      <c r="K1256" s="118">
        <v>2050000</v>
      </c>
      <c r="L1256" s="119"/>
      <c r="M1256" s="118">
        <v>0</v>
      </c>
      <c r="N1256" s="119"/>
      <c r="O1256" s="118"/>
      <c r="P1256" s="119"/>
      <c r="Q1256" s="118"/>
      <c r="R1256" s="119"/>
      <c r="S1256" s="118"/>
      <c r="T1256" s="119"/>
      <c r="U1256" s="118">
        <f>SUM(K1256:T1257)</f>
        <v>2050000</v>
      </c>
      <c r="V1256" s="122"/>
      <c r="W1256" s="124"/>
      <c r="X1256" s="126" t="s">
        <v>4348</v>
      </c>
      <c r="Y1256" s="127"/>
      <c r="Z1256" s="127"/>
      <c r="AA1256" s="127"/>
      <c r="AB1256" s="128"/>
      <c r="AC1256" s="15" t="s">
        <v>20</v>
      </c>
      <c r="AD1256" s="129"/>
      <c r="AE1256" s="130"/>
      <c r="AF1256" s="130"/>
      <c r="AG1256" s="130"/>
      <c r="AH1256" s="130"/>
      <c r="AI1256" s="131"/>
      <c r="AJ1256" s="132"/>
      <c r="AK1256" s="127"/>
      <c r="AL1256" s="128"/>
      <c r="AM1256" s="21"/>
      <c r="AN1256" s="133">
        <v>45907</v>
      </c>
      <c r="AO1256" s="134"/>
      <c r="AP1256" s="135"/>
      <c r="AQ1256" s="136"/>
      <c r="AR1256" s="118">
        <v>3179000</v>
      </c>
      <c r="AS1256" s="119"/>
      <c r="AT1256" s="118">
        <v>0</v>
      </c>
      <c r="AU1256" s="119"/>
      <c r="AV1256" s="118">
        <v>0</v>
      </c>
      <c r="AW1256" s="119"/>
      <c r="AX1256" s="118">
        <f>SUM(AR1256:AW1256)</f>
        <v>3179000</v>
      </c>
      <c r="AY1256" s="119"/>
      <c r="AZ1256" s="137">
        <v>45957</v>
      </c>
    </row>
    <row r="1257" spans="1:52" ht="17.100000000000001" customHeight="1" thickBot="1">
      <c r="A1257" s="110"/>
      <c r="B1257" s="27" t="s">
        <v>4349</v>
      </c>
      <c r="C1257" s="27"/>
      <c r="D1257" s="14"/>
      <c r="E1257" s="112"/>
      <c r="F1257" s="139" t="s">
        <v>4350</v>
      </c>
      <c r="G1257" s="140"/>
      <c r="H1257" s="141"/>
      <c r="I1257" s="26"/>
      <c r="J1257" s="117"/>
      <c r="K1257" s="120"/>
      <c r="L1257" s="121"/>
      <c r="M1257" s="120"/>
      <c r="N1257" s="121"/>
      <c r="O1257" s="120"/>
      <c r="P1257" s="121"/>
      <c r="Q1257" s="120"/>
      <c r="R1257" s="121"/>
      <c r="S1257" s="120"/>
      <c r="T1257" s="121"/>
      <c r="U1257" s="120"/>
      <c r="V1257" s="123"/>
      <c r="W1257" s="125"/>
      <c r="X1257" s="142" t="s">
        <v>4351</v>
      </c>
      <c r="Y1257" s="143"/>
      <c r="Z1257" s="143"/>
      <c r="AA1257" s="143"/>
      <c r="AB1257" s="144"/>
      <c r="AC1257" s="16" t="s">
        <v>21</v>
      </c>
      <c r="AD1257" s="17" t="s">
        <v>2539</v>
      </c>
      <c r="AE1257" s="145" t="s">
        <v>1742</v>
      </c>
      <c r="AF1257" s="146"/>
      <c r="AG1257" s="146"/>
      <c r="AH1257" s="146"/>
      <c r="AI1257" s="147"/>
      <c r="AJ1257" s="148"/>
      <c r="AK1257" s="143"/>
      <c r="AL1257" s="144"/>
      <c r="AM1257" s="22"/>
      <c r="AN1257" s="149" t="s">
        <v>14012</v>
      </c>
      <c r="AO1257" s="144"/>
      <c r="AP1257" s="148"/>
      <c r="AQ1257" s="144"/>
      <c r="AR1257" s="120"/>
      <c r="AS1257" s="121"/>
      <c r="AT1257" s="120"/>
      <c r="AU1257" s="121"/>
      <c r="AV1257" s="120"/>
      <c r="AW1257" s="121"/>
      <c r="AX1257" s="120"/>
      <c r="AY1257" s="121"/>
      <c r="AZ1257" s="138"/>
    </row>
    <row r="1258" spans="1:52" ht="17.100000000000001" customHeight="1" thickTop="1">
      <c r="A1258" s="109" t="s">
        <v>6366</v>
      </c>
      <c r="B1258" s="28">
        <v>45892</v>
      </c>
      <c r="C1258" s="25">
        <v>986</v>
      </c>
      <c r="D1258" s="13" t="s">
        <v>2458</v>
      </c>
      <c r="E1258" s="111"/>
      <c r="F1258" s="113" t="s">
        <v>4352</v>
      </c>
      <c r="G1258" s="114"/>
      <c r="H1258" s="115"/>
      <c r="I1258" s="24" t="s">
        <v>4314</v>
      </c>
      <c r="J1258" s="116">
        <v>3.5</v>
      </c>
      <c r="K1258" s="118">
        <v>1490000</v>
      </c>
      <c r="L1258" s="119"/>
      <c r="M1258" s="118">
        <f>K1258*0.1</f>
        <v>149000</v>
      </c>
      <c r="N1258" s="119"/>
      <c r="O1258" s="118">
        <v>25300</v>
      </c>
      <c r="P1258" s="119"/>
      <c r="Q1258" s="118">
        <v>21220</v>
      </c>
      <c r="R1258" s="119"/>
      <c r="S1258" s="118">
        <v>19250</v>
      </c>
      <c r="T1258" s="119"/>
      <c r="U1258" s="118">
        <f>SUM(K1258:T1259)</f>
        <v>1704770</v>
      </c>
      <c r="V1258" s="122"/>
      <c r="W1258" s="124"/>
      <c r="X1258" s="126" t="s">
        <v>4353</v>
      </c>
      <c r="Y1258" s="127"/>
      <c r="Z1258" s="127"/>
      <c r="AA1258" s="127"/>
      <c r="AB1258" s="128"/>
      <c r="AC1258" s="15" t="s">
        <v>20</v>
      </c>
      <c r="AD1258" s="129" t="s">
        <v>1670</v>
      </c>
      <c r="AE1258" s="130"/>
      <c r="AF1258" s="130"/>
      <c r="AG1258" s="130"/>
      <c r="AH1258" s="130"/>
      <c r="AI1258" s="131"/>
      <c r="AJ1258" s="132"/>
      <c r="AK1258" s="127"/>
      <c r="AL1258" s="128"/>
      <c r="AM1258" s="21" t="s">
        <v>4354</v>
      </c>
      <c r="AN1258" s="133">
        <v>46300</v>
      </c>
      <c r="AO1258" s="134"/>
      <c r="AP1258" s="135"/>
      <c r="AQ1258" s="136"/>
      <c r="AR1258" s="118">
        <v>3100000</v>
      </c>
      <c r="AS1258" s="119"/>
      <c r="AT1258" s="118">
        <v>0</v>
      </c>
      <c r="AU1258" s="119"/>
      <c r="AV1258" s="118">
        <v>0</v>
      </c>
      <c r="AW1258" s="119"/>
      <c r="AX1258" s="118">
        <f>SUM(AR1258:AW1258)</f>
        <v>3100000</v>
      </c>
      <c r="AY1258" s="119"/>
      <c r="AZ1258" s="137">
        <v>46370</v>
      </c>
    </row>
    <row r="1259" spans="1:52" ht="17.100000000000001" customHeight="1" thickBot="1">
      <c r="A1259" s="110"/>
      <c r="B1259" s="27" t="s">
        <v>1707</v>
      </c>
      <c r="C1259" s="27">
        <v>5014</v>
      </c>
      <c r="D1259" s="14" t="s">
        <v>275</v>
      </c>
      <c r="E1259" s="112"/>
      <c r="F1259" s="139" t="s">
        <v>4355</v>
      </c>
      <c r="G1259" s="140"/>
      <c r="H1259" s="141"/>
      <c r="I1259" s="26">
        <v>37244</v>
      </c>
      <c r="J1259" s="117"/>
      <c r="K1259" s="120"/>
      <c r="L1259" s="121"/>
      <c r="M1259" s="120"/>
      <c r="N1259" s="121"/>
      <c r="O1259" s="120"/>
      <c r="P1259" s="121"/>
      <c r="Q1259" s="120"/>
      <c r="R1259" s="121"/>
      <c r="S1259" s="120"/>
      <c r="T1259" s="121"/>
      <c r="U1259" s="120"/>
      <c r="V1259" s="123"/>
      <c r="W1259" s="125"/>
      <c r="X1259" s="142" t="s">
        <v>4356</v>
      </c>
      <c r="Y1259" s="143"/>
      <c r="Z1259" s="143"/>
      <c r="AA1259" s="143"/>
      <c r="AB1259" s="144"/>
      <c r="AC1259" s="16" t="s">
        <v>21</v>
      </c>
      <c r="AD1259" s="17" t="s">
        <v>4066</v>
      </c>
      <c r="AE1259" s="145" t="s">
        <v>4357</v>
      </c>
      <c r="AF1259" s="146"/>
      <c r="AG1259" s="146"/>
      <c r="AH1259" s="146"/>
      <c r="AI1259" s="147"/>
      <c r="AJ1259" s="148"/>
      <c r="AK1259" s="143"/>
      <c r="AL1259" s="144"/>
      <c r="AM1259" s="22"/>
      <c r="AN1259" s="149" t="s">
        <v>13670</v>
      </c>
      <c r="AO1259" s="144"/>
      <c r="AP1259" s="148"/>
      <c r="AQ1259" s="144"/>
      <c r="AR1259" s="120"/>
      <c r="AS1259" s="121"/>
      <c r="AT1259" s="120"/>
      <c r="AU1259" s="121"/>
      <c r="AV1259" s="120"/>
      <c r="AW1259" s="121"/>
      <c r="AX1259" s="120"/>
      <c r="AY1259" s="121"/>
      <c r="AZ1259" s="138"/>
    </row>
    <row r="1260" spans="1:52" ht="17.100000000000001" customHeight="1" thickTop="1">
      <c r="A1260" s="109" t="s">
        <v>6367</v>
      </c>
      <c r="B1260" s="28">
        <v>45892</v>
      </c>
      <c r="C1260" s="25">
        <v>1264</v>
      </c>
      <c r="D1260" s="13" t="s">
        <v>2949</v>
      </c>
      <c r="E1260" s="111"/>
      <c r="F1260" s="113" t="s">
        <v>4358</v>
      </c>
      <c r="G1260" s="114"/>
      <c r="H1260" s="115"/>
      <c r="I1260" s="24" t="s">
        <v>3591</v>
      </c>
      <c r="J1260" s="116">
        <v>4</v>
      </c>
      <c r="K1260" s="118">
        <v>570000</v>
      </c>
      <c r="L1260" s="119"/>
      <c r="M1260" s="118">
        <f>K1260*0.1</f>
        <v>57000</v>
      </c>
      <c r="N1260" s="119"/>
      <c r="O1260" s="118">
        <v>0</v>
      </c>
      <c r="P1260" s="119"/>
      <c r="Q1260" s="118">
        <v>7510</v>
      </c>
      <c r="R1260" s="119"/>
      <c r="S1260" s="118">
        <v>13200</v>
      </c>
      <c r="T1260" s="119"/>
      <c r="U1260" s="118">
        <f>SUM(K1260:T1261)</f>
        <v>647710</v>
      </c>
      <c r="V1260" s="122"/>
      <c r="W1260" s="124"/>
      <c r="X1260" s="126" t="s">
        <v>4359</v>
      </c>
      <c r="Y1260" s="127"/>
      <c r="Z1260" s="127"/>
      <c r="AA1260" s="127"/>
      <c r="AB1260" s="128"/>
      <c r="AC1260" s="15" t="s">
        <v>20</v>
      </c>
      <c r="AD1260" s="129" t="s">
        <v>3412</v>
      </c>
      <c r="AE1260" s="130"/>
      <c r="AF1260" s="130"/>
      <c r="AG1260" s="130"/>
      <c r="AH1260" s="130"/>
      <c r="AI1260" s="131"/>
      <c r="AJ1260" s="132"/>
      <c r="AK1260" s="127"/>
      <c r="AL1260" s="128"/>
      <c r="AM1260" s="21"/>
      <c r="AN1260" s="133">
        <v>45980</v>
      </c>
      <c r="AO1260" s="134"/>
      <c r="AP1260" s="135">
        <v>993</v>
      </c>
      <c r="AQ1260" s="136"/>
      <c r="AR1260" s="118">
        <v>578000</v>
      </c>
      <c r="AS1260" s="119"/>
      <c r="AT1260" s="118">
        <f>AR1260*0.1</f>
        <v>57800</v>
      </c>
      <c r="AU1260" s="119"/>
      <c r="AV1260" s="118">
        <v>7510</v>
      </c>
      <c r="AW1260" s="119"/>
      <c r="AX1260" s="118">
        <f>SUM(AR1260:AW1260)</f>
        <v>643310</v>
      </c>
      <c r="AY1260" s="119"/>
      <c r="AZ1260" s="137">
        <v>45986</v>
      </c>
    </row>
    <row r="1261" spans="1:52" ht="17.100000000000001" customHeight="1" thickBot="1">
      <c r="A1261" s="110"/>
      <c r="B1261" s="27" t="s">
        <v>2511</v>
      </c>
      <c r="C1261" s="27">
        <v>65563</v>
      </c>
      <c r="D1261" s="14" t="s">
        <v>275</v>
      </c>
      <c r="E1261" s="112"/>
      <c r="F1261" s="139" t="s">
        <v>4360</v>
      </c>
      <c r="G1261" s="140"/>
      <c r="H1261" s="141"/>
      <c r="I1261" s="26">
        <v>37787</v>
      </c>
      <c r="J1261" s="117"/>
      <c r="K1261" s="120"/>
      <c r="L1261" s="121"/>
      <c r="M1261" s="120"/>
      <c r="N1261" s="121"/>
      <c r="O1261" s="120"/>
      <c r="P1261" s="121"/>
      <c r="Q1261" s="120"/>
      <c r="R1261" s="121"/>
      <c r="S1261" s="120"/>
      <c r="T1261" s="121"/>
      <c r="U1261" s="120"/>
      <c r="V1261" s="123"/>
      <c r="W1261" s="125"/>
      <c r="X1261" s="142" t="s">
        <v>4361</v>
      </c>
      <c r="Y1261" s="143"/>
      <c r="Z1261" s="143"/>
      <c r="AA1261" s="143"/>
      <c r="AB1261" s="144"/>
      <c r="AC1261" s="16" t="s">
        <v>21</v>
      </c>
      <c r="AD1261" s="17" t="s">
        <v>2969</v>
      </c>
      <c r="AE1261" s="145" t="s">
        <v>4362</v>
      </c>
      <c r="AF1261" s="146"/>
      <c r="AG1261" s="146"/>
      <c r="AH1261" s="146"/>
      <c r="AI1261" s="147"/>
      <c r="AJ1261" s="148"/>
      <c r="AK1261" s="143"/>
      <c r="AL1261" s="144"/>
      <c r="AM1261" s="22"/>
      <c r="AN1261" s="149" t="s">
        <v>7285</v>
      </c>
      <c r="AO1261" s="144"/>
      <c r="AP1261" s="148">
        <v>2060</v>
      </c>
      <c r="AQ1261" s="144"/>
      <c r="AR1261" s="120"/>
      <c r="AS1261" s="121"/>
      <c r="AT1261" s="120"/>
      <c r="AU1261" s="121"/>
      <c r="AV1261" s="120"/>
      <c r="AW1261" s="121"/>
      <c r="AX1261" s="120"/>
      <c r="AY1261" s="121"/>
      <c r="AZ1261" s="138"/>
    </row>
    <row r="1262" spans="1:52" ht="17.100000000000001" customHeight="1" thickTop="1">
      <c r="A1262" s="109" t="s">
        <v>6368</v>
      </c>
      <c r="B1262" s="28">
        <v>45894</v>
      </c>
      <c r="C1262" s="25"/>
      <c r="D1262" s="13" t="s">
        <v>1760</v>
      </c>
      <c r="E1262" s="111"/>
      <c r="F1262" s="113" t="s">
        <v>4363</v>
      </c>
      <c r="G1262" s="114"/>
      <c r="H1262" s="115"/>
      <c r="I1262" s="24" t="s">
        <v>4364</v>
      </c>
      <c r="J1262" s="116">
        <v>4.5</v>
      </c>
      <c r="K1262" s="118">
        <f>3245000/1.1</f>
        <v>2949999.9999999995</v>
      </c>
      <c r="L1262" s="119"/>
      <c r="M1262" s="118">
        <f>K1262*0.1</f>
        <v>294999.99999999994</v>
      </c>
      <c r="N1262" s="119"/>
      <c r="O1262" s="118">
        <v>8000</v>
      </c>
      <c r="P1262" s="119"/>
      <c r="Q1262" s="118">
        <v>11570</v>
      </c>
      <c r="R1262" s="119"/>
      <c r="S1262" s="118">
        <v>136125</v>
      </c>
      <c r="T1262" s="119"/>
      <c r="U1262" s="118">
        <f>SUM(K1262:T1263)</f>
        <v>3400694.9999999995</v>
      </c>
      <c r="V1262" s="122"/>
      <c r="W1262" s="124"/>
      <c r="X1262" s="126" t="s">
        <v>6853</v>
      </c>
      <c r="Y1262" s="127"/>
      <c r="Z1262" s="127"/>
      <c r="AA1262" s="127"/>
      <c r="AB1262" s="128"/>
      <c r="AC1262" s="15" t="s">
        <v>20</v>
      </c>
      <c r="AD1262" s="129" t="s">
        <v>1575</v>
      </c>
      <c r="AE1262" s="130"/>
      <c r="AF1262" s="130"/>
      <c r="AG1262" s="130"/>
      <c r="AH1262" s="130"/>
      <c r="AI1262" s="131"/>
      <c r="AJ1262" s="132"/>
      <c r="AK1262" s="127"/>
      <c r="AL1262" s="128"/>
      <c r="AM1262" s="21"/>
      <c r="AN1262" s="133">
        <v>45948</v>
      </c>
      <c r="AO1262" s="134"/>
      <c r="AP1262" s="135">
        <v>1272</v>
      </c>
      <c r="AQ1262" s="136"/>
      <c r="AR1262" s="118">
        <v>3355000</v>
      </c>
      <c r="AS1262" s="119"/>
      <c r="AT1262" s="118">
        <f>AR1262*0.1</f>
        <v>335500</v>
      </c>
      <c r="AU1262" s="119"/>
      <c r="AV1262" s="118">
        <v>11570</v>
      </c>
      <c r="AW1262" s="119"/>
      <c r="AX1262" s="118">
        <f>SUM(AR1262:AW1262)</f>
        <v>3702070</v>
      </c>
      <c r="AY1262" s="119"/>
      <c r="AZ1262" s="137">
        <v>45954</v>
      </c>
    </row>
    <row r="1263" spans="1:52" ht="17.100000000000001" customHeight="1" thickBot="1">
      <c r="A1263" s="110"/>
      <c r="B1263" s="27" t="s">
        <v>1718</v>
      </c>
      <c r="C1263" s="27" t="s">
        <v>4365</v>
      </c>
      <c r="D1263" s="14" t="s">
        <v>2601</v>
      </c>
      <c r="E1263" s="112"/>
      <c r="F1263" s="139" t="s">
        <v>4366</v>
      </c>
      <c r="G1263" s="140"/>
      <c r="H1263" s="141"/>
      <c r="I1263" s="26">
        <v>43558</v>
      </c>
      <c r="J1263" s="117"/>
      <c r="K1263" s="120"/>
      <c r="L1263" s="121"/>
      <c r="M1263" s="120"/>
      <c r="N1263" s="121"/>
      <c r="O1263" s="120"/>
      <c r="P1263" s="121"/>
      <c r="Q1263" s="120"/>
      <c r="R1263" s="121"/>
      <c r="S1263" s="120"/>
      <c r="T1263" s="121"/>
      <c r="U1263" s="120"/>
      <c r="V1263" s="123"/>
      <c r="W1263" s="125"/>
      <c r="X1263" s="142" t="s">
        <v>6854</v>
      </c>
      <c r="Y1263" s="143"/>
      <c r="Z1263" s="143"/>
      <c r="AA1263" s="143"/>
      <c r="AB1263" s="144"/>
      <c r="AC1263" s="16" t="s">
        <v>21</v>
      </c>
      <c r="AD1263" s="17" t="s">
        <v>6716</v>
      </c>
      <c r="AE1263" s="145" t="s">
        <v>1575</v>
      </c>
      <c r="AF1263" s="146"/>
      <c r="AG1263" s="146"/>
      <c r="AH1263" s="146"/>
      <c r="AI1263" s="147"/>
      <c r="AJ1263" s="148"/>
      <c r="AK1263" s="143"/>
      <c r="AL1263" s="144"/>
      <c r="AM1263" s="22"/>
      <c r="AN1263" s="149" t="s">
        <v>2511</v>
      </c>
      <c r="AO1263" s="144"/>
      <c r="AP1263" s="148">
        <v>40082</v>
      </c>
      <c r="AQ1263" s="144"/>
      <c r="AR1263" s="120"/>
      <c r="AS1263" s="121"/>
      <c r="AT1263" s="120"/>
      <c r="AU1263" s="121"/>
      <c r="AV1263" s="120"/>
      <c r="AW1263" s="121"/>
      <c r="AX1263" s="120"/>
      <c r="AY1263" s="121"/>
      <c r="AZ1263" s="138"/>
    </row>
    <row r="1264" spans="1:52" ht="17.100000000000001" customHeight="1" thickTop="1">
      <c r="A1264" s="109" t="s">
        <v>6369</v>
      </c>
      <c r="B1264" s="28">
        <v>45896</v>
      </c>
      <c r="C1264" s="25">
        <v>1802</v>
      </c>
      <c r="D1264" s="13" t="s">
        <v>1606</v>
      </c>
      <c r="E1264" s="111"/>
      <c r="F1264" s="113" t="s">
        <v>4367</v>
      </c>
      <c r="G1264" s="114"/>
      <c r="H1264" s="115"/>
      <c r="I1264" s="24"/>
      <c r="J1264" s="116">
        <v>4.5</v>
      </c>
      <c r="K1264" s="118">
        <v>467000</v>
      </c>
      <c r="L1264" s="119"/>
      <c r="M1264" s="118">
        <f>K1264*0.1</f>
        <v>46700</v>
      </c>
      <c r="N1264" s="119"/>
      <c r="O1264" s="118">
        <v>0</v>
      </c>
      <c r="P1264" s="119"/>
      <c r="Q1264" s="118">
        <v>8860</v>
      </c>
      <c r="R1264" s="119"/>
      <c r="S1264" s="118">
        <v>18150</v>
      </c>
      <c r="T1264" s="119"/>
      <c r="U1264" s="118">
        <f>SUM(K1264:T1265)</f>
        <v>540710</v>
      </c>
      <c r="V1264" s="122"/>
      <c r="W1264" s="124"/>
      <c r="X1264" s="126" t="s">
        <v>4368</v>
      </c>
      <c r="Y1264" s="127"/>
      <c r="Z1264" s="127"/>
      <c r="AA1264" s="127"/>
      <c r="AB1264" s="128"/>
      <c r="AC1264" s="15" t="s">
        <v>20</v>
      </c>
      <c r="AD1264" s="129"/>
      <c r="AE1264" s="130"/>
      <c r="AF1264" s="130"/>
      <c r="AG1264" s="130"/>
      <c r="AH1264" s="130"/>
      <c r="AI1264" s="131"/>
      <c r="AJ1264" s="132"/>
      <c r="AK1264" s="127"/>
      <c r="AL1264" s="128"/>
      <c r="AM1264" s="21"/>
      <c r="AN1264" s="133">
        <v>45938</v>
      </c>
      <c r="AO1264" s="134"/>
      <c r="AP1264" s="135">
        <v>987</v>
      </c>
      <c r="AQ1264" s="136"/>
      <c r="AR1264" s="118">
        <v>550000</v>
      </c>
      <c r="AS1264" s="119"/>
      <c r="AT1264" s="118">
        <f>AR1264*0.1</f>
        <v>55000</v>
      </c>
      <c r="AU1264" s="119"/>
      <c r="AV1264" s="118">
        <v>8860</v>
      </c>
      <c r="AW1264" s="119"/>
      <c r="AX1264" s="118">
        <f>SUM(AR1264:AW1264)</f>
        <v>613860</v>
      </c>
      <c r="AY1264" s="119"/>
      <c r="AZ1264" s="137">
        <v>45944</v>
      </c>
    </row>
    <row r="1265" spans="1:52" ht="17.100000000000001" customHeight="1" thickBot="1">
      <c r="A1265" s="110"/>
      <c r="B1265" s="27" t="s">
        <v>2559</v>
      </c>
      <c r="C1265" s="27">
        <v>3111</v>
      </c>
      <c r="D1265" s="14" t="s">
        <v>904</v>
      </c>
      <c r="E1265" s="112"/>
      <c r="F1265" s="139" t="s">
        <v>4369</v>
      </c>
      <c r="G1265" s="140"/>
      <c r="H1265" s="141"/>
      <c r="I1265" s="26">
        <v>45123</v>
      </c>
      <c r="J1265" s="117"/>
      <c r="K1265" s="120"/>
      <c r="L1265" s="121"/>
      <c r="M1265" s="120"/>
      <c r="N1265" s="121"/>
      <c r="O1265" s="120"/>
      <c r="P1265" s="121"/>
      <c r="Q1265" s="120"/>
      <c r="R1265" s="121"/>
      <c r="S1265" s="120"/>
      <c r="T1265" s="121"/>
      <c r="U1265" s="120"/>
      <c r="V1265" s="123"/>
      <c r="W1265" s="125"/>
      <c r="X1265" s="142" t="s">
        <v>2918</v>
      </c>
      <c r="Y1265" s="143"/>
      <c r="Z1265" s="143"/>
      <c r="AA1265" s="143"/>
      <c r="AB1265" s="144"/>
      <c r="AC1265" s="16" t="s">
        <v>21</v>
      </c>
      <c r="AD1265" s="17" t="s">
        <v>1559</v>
      </c>
      <c r="AE1265" s="145" t="s">
        <v>4370</v>
      </c>
      <c r="AF1265" s="146"/>
      <c r="AG1265" s="146"/>
      <c r="AH1265" s="146"/>
      <c r="AI1265" s="147"/>
      <c r="AJ1265" s="148"/>
      <c r="AK1265" s="143"/>
      <c r="AL1265" s="144"/>
      <c r="AM1265" s="22"/>
      <c r="AN1265" s="149" t="s">
        <v>2794</v>
      </c>
      <c r="AO1265" s="144"/>
      <c r="AP1265" s="148">
        <v>2006</v>
      </c>
      <c r="AQ1265" s="144"/>
      <c r="AR1265" s="120"/>
      <c r="AS1265" s="121"/>
      <c r="AT1265" s="120"/>
      <c r="AU1265" s="121"/>
      <c r="AV1265" s="120"/>
      <c r="AW1265" s="121"/>
      <c r="AX1265" s="120"/>
      <c r="AY1265" s="121"/>
      <c r="AZ1265" s="138"/>
    </row>
    <row r="1266" spans="1:52" ht="17.100000000000001" customHeight="1" thickTop="1">
      <c r="A1266" s="109" t="s">
        <v>6370</v>
      </c>
      <c r="B1266" s="28">
        <v>45896</v>
      </c>
      <c r="C1266" s="25">
        <v>1802</v>
      </c>
      <c r="D1266" s="13" t="s">
        <v>1623</v>
      </c>
      <c r="E1266" s="111"/>
      <c r="F1266" s="113" t="s">
        <v>4371</v>
      </c>
      <c r="G1266" s="114"/>
      <c r="H1266" s="115"/>
      <c r="I1266" s="24"/>
      <c r="J1266" s="116">
        <v>4</v>
      </c>
      <c r="K1266" s="118">
        <v>534000</v>
      </c>
      <c r="L1266" s="119"/>
      <c r="M1266" s="118">
        <f>K1266*0.1</f>
        <v>53400</v>
      </c>
      <c r="N1266" s="119"/>
      <c r="O1266" s="118">
        <v>0</v>
      </c>
      <c r="P1266" s="119"/>
      <c r="Q1266" s="118">
        <v>6780</v>
      </c>
      <c r="R1266" s="119"/>
      <c r="S1266" s="118">
        <v>18150</v>
      </c>
      <c r="T1266" s="119"/>
      <c r="U1266" s="118">
        <f>SUM(K1266:T1267)</f>
        <v>612330</v>
      </c>
      <c r="V1266" s="122"/>
      <c r="W1266" s="124"/>
      <c r="X1266" s="126" t="s">
        <v>4372</v>
      </c>
      <c r="Y1266" s="127"/>
      <c r="Z1266" s="127"/>
      <c r="AA1266" s="127"/>
      <c r="AB1266" s="128"/>
      <c r="AC1266" s="15" t="s">
        <v>20</v>
      </c>
      <c r="AD1266" s="129"/>
      <c r="AE1266" s="130"/>
      <c r="AF1266" s="130"/>
      <c r="AG1266" s="130"/>
      <c r="AH1266" s="130"/>
      <c r="AI1266" s="131"/>
      <c r="AJ1266" s="132"/>
      <c r="AK1266" s="127"/>
      <c r="AL1266" s="128"/>
      <c r="AM1266" s="21"/>
      <c r="AN1266" s="133">
        <v>45938</v>
      </c>
      <c r="AO1266" s="134"/>
      <c r="AP1266" s="135">
        <v>987</v>
      </c>
      <c r="AQ1266" s="136"/>
      <c r="AR1266" s="118">
        <v>535000</v>
      </c>
      <c r="AS1266" s="119"/>
      <c r="AT1266" s="118">
        <f>AR1266*0.1</f>
        <v>53500</v>
      </c>
      <c r="AU1266" s="119"/>
      <c r="AV1266" s="118">
        <v>6780</v>
      </c>
      <c r="AW1266" s="119"/>
      <c r="AX1266" s="118">
        <f>SUM(AR1266:AW1266)</f>
        <v>595280</v>
      </c>
      <c r="AY1266" s="119"/>
      <c r="AZ1266" s="137">
        <v>45944</v>
      </c>
    </row>
    <row r="1267" spans="1:52" ht="17.100000000000001" customHeight="1" thickBot="1">
      <c r="A1267" s="110"/>
      <c r="B1267" s="27" t="s">
        <v>2559</v>
      </c>
      <c r="C1267" s="27">
        <v>13112</v>
      </c>
      <c r="D1267" s="14" t="s">
        <v>1592</v>
      </c>
      <c r="E1267" s="112"/>
      <c r="F1267" s="139" t="s">
        <v>4373</v>
      </c>
      <c r="G1267" s="140"/>
      <c r="H1267" s="141"/>
      <c r="I1267" s="26">
        <v>48045</v>
      </c>
      <c r="J1267" s="117"/>
      <c r="K1267" s="120"/>
      <c r="L1267" s="121"/>
      <c r="M1267" s="120"/>
      <c r="N1267" s="121"/>
      <c r="O1267" s="120"/>
      <c r="P1267" s="121"/>
      <c r="Q1267" s="120"/>
      <c r="R1267" s="121"/>
      <c r="S1267" s="120"/>
      <c r="T1267" s="121"/>
      <c r="U1267" s="120"/>
      <c r="V1267" s="123"/>
      <c r="W1267" s="125"/>
      <c r="X1267" s="142" t="s">
        <v>1997</v>
      </c>
      <c r="Y1267" s="143"/>
      <c r="Z1267" s="143"/>
      <c r="AA1267" s="143"/>
      <c r="AB1267" s="144"/>
      <c r="AC1267" s="16" t="s">
        <v>21</v>
      </c>
      <c r="AD1267" s="17" t="s">
        <v>2548</v>
      </c>
      <c r="AE1267" s="145" t="s">
        <v>1633</v>
      </c>
      <c r="AF1267" s="146"/>
      <c r="AG1267" s="146"/>
      <c r="AH1267" s="146"/>
      <c r="AI1267" s="147"/>
      <c r="AJ1267" s="148"/>
      <c r="AK1267" s="143"/>
      <c r="AL1267" s="144"/>
      <c r="AM1267" s="22"/>
      <c r="AN1267" s="149" t="s">
        <v>2794</v>
      </c>
      <c r="AO1267" s="144"/>
      <c r="AP1267" s="148">
        <v>2027</v>
      </c>
      <c r="AQ1267" s="144"/>
      <c r="AR1267" s="120"/>
      <c r="AS1267" s="121"/>
      <c r="AT1267" s="120"/>
      <c r="AU1267" s="121"/>
      <c r="AV1267" s="120"/>
      <c r="AW1267" s="121"/>
      <c r="AX1267" s="120"/>
      <c r="AY1267" s="121"/>
      <c r="AZ1267" s="138"/>
    </row>
    <row r="1268" spans="1:52" ht="17.100000000000001" customHeight="1" thickTop="1">
      <c r="A1268" s="109" t="s">
        <v>6371</v>
      </c>
      <c r="B1268" s="28">
        <v>45896</v>
      </c>
      <c r="C1268" s="25">
        <v>1802</v>
      </c>
      <c r="D1268" s="13" t="s">
        <v>2196</v>
      </c>
      <c r="E1268" s="111"/>
      <c r="F1268" s="113" t="s">
        <v>4374</v>
      </c>
      <c r="G1268" s="114"/>
      <c r="H1268" s="115"/>
      <c r="I1268" s="24"/>
      <c r="J1268" s="116">
        <v>4</v>
      </c>
      <c r="K1268" s="118">
        <v>1305000</v>
      </c>
      <c r="L1268" s="119"/>
      <c r="M1268" s="118">
        <f>K1268*0.1</f>
        <v>130500</v>
      </c>
      <c r="N1268" s="119"/>
      <c r="O1268" s="118">
        <v>0</v>
      </c>
      <c r="P1268" s="119"/>
      <c r="Q1268" s="118">
        <v>9810</v>
      </c>
      <c r="R1268" s="119"/>
      <c r="S1268" s="118">
        <v>18150</v>
      </c>
      <c r="T1268" s="119"/>
      <c r="U1268" s="118">
        <f>SUM(K1268:T1269)</f>
        <v>1463460</v>
      </c>
      <c r="V1268" s="122"/>
      <c r="W1268" s="124"/>
      <c r="X1268" s="126" t="s">
        <v>4375</v>
      </c>
      <c r="Y1268" s="127"/>
      <c r="Z1268" s="127"/>
      <c r="AA1268" s="127"/>
      <c r="AB1268" s="128"/>
      <c r="AC1268" s="15" t="s">
        <v>20</v>
      </c>
      <c r="AD1268" s="129"/>
      <c r="AE1268" s="130"/>
      <c r="AF1268" s="130"/>
      <c r="AG1268" s="130"/>
      <c r="AH1268" s="130"/>
      <c r="AI1268" s="131"/>
      <c r="AJ1268" s="132"/>
      <c r="AK1268" s="127"/>
      <c r="AL1268" s="128"/>
      <c r="AM1268" s="21"/>
      <c r="AN1268" s="133">
        <v>45931</v>
      </c>
      <c r="AO1268" s="134"/>
      <c r="AP1268" s="135">
        <v>986</v>
      </c>
      <c r="AQ1268" s="136"/>
      <c r="AR1268" s="118">
        <v>1398000</v>
      </c>
      <c r="AS1268" s="119"/>
      <c r="AT1268" s="118">
        <f>AR1268*0.1</f>
        <v>139800</v>
      </c>
      <c r="AU1268" s="119"/>
      <c r="AV1268" s="118">
        <v>9810</v>
      </c>
      <c r="AW1268" s="119"/>
      <c r="AX1268" s="118">
        <f>SUM(AR1268:AW1268)</f>
        <v>1547610</v>
      </c>
      <c r="AY1268" s="119"/>
      <c r="AZ1268" s="137">
        <v>45939</v>
      </c>
    </row>
    <row r="1269" spans="1:52" ht="17.100000000000001" customHeight="1" thickBot="1">
      <c r="A1269" s="110"/>
      <c r="B1269" s="27" t="s">
        <v>2559</v>
      </c>
      <c r="C1269" s="27">
        <v>36338</v>
      </c>
      <c r="D1269" s="14" t="s">
        <v>275</v>
      </c>
      <c r="E1269" s="112"/>
      <c r="F1269" s="139" t="s">
        <v>4376</v>
      </c>
      <c r="G1269" s="140"/>
      <c r="H1269" s="141"/>
      <c r="I1269" s="26">
        <v>57537</v>
      </c>
      <c r="J1269" s="117"/>
      <c r="K1269" s="120"/>
      <c r="L1269" s="121"/>
      <c r="M1269" s="120"/>
      <c r="N1269" s="121"/>
      <c r="O1269" s="120"/>
      <c r="P1269" s="121"/>
      <c r="Q1269" s="120"/>
      <c r="R1269" s="121"/>
      <c r="S1269" s="120"/>
      <c r="T1269" s="121"/>
      <c r="U1269" s="120"/>
      <c r="V1269" s="123"/>
      <c r="W1269" s="125"/>
      <c r="X1269" s="142" t="s">
        <v>4377</v>
      </c>
      <c r="Y1269" s="143"/>
      <c r="Z1269" s="143"/>
      <c r="AA1269" s="143"/>
      <c r="AB1269" s="144"/>
      <c r="AC1269" s="16" t="s">
        <v>21</v>
      </c>
      <c r="AD1269" s="17" t="s">
        <v>1559</v>
      </c>
      <c r="AE1269" s="145" t="s">
        <v>2195</v>
      </c>
      <c r="AF1269" s="146"/>
      <c r="AG1269" s="146"/>
      <c r="AH1269" s="146"/>
      <c r="AI1269" s="147"/>
      <c r="AJ1269" s="148"/>
      <c r="AK1269" s="143"/>
      <c r="AL1269" s="144"/>
      <c r="AM1269" s="22"/>
      <c r="AN1269" s="149" t="s">
        <v>7285</v>
      </c>
      <c r="AO1269" s="144"/>
      <c r="AP1269" s="148">
        <v>6025</v>
      </c>
      <c r="AQ1269" s="144"/>
      <c r="AR1269" s="120"/>
      <c r="AS1269" s="121"/>
      <c r="AT1269" s="120"/>
      <c r="AU1269" s="121"/>
      <c r="AV1269" s="120"/>
      <c r="AW1269" s="121"/>
      <c r="AX1269" s="120"/>
      <c r="AY1269" s="121"/>
      <c r="AZ1269" s="138"/>
    </row>
    <row r="1270" spans="1:52" ht="17.100000000000001" customHeight="1" thickTop="1">
      <c r="A1270" s="109" t="s">
        <v>6372</v>
      </c>
      <c r="B1270" s="28">
        <v>45897</v>
      </c>
      <c r="C1270" s="25">
        <v>1947</v>
      </c>
      <c r="D1270" s="13" t="s">
        <v>3836</v>
      </c>
      <c r="E1270" s="111"/>
      <c r="F1270" s="113" t="s">
        <v>4378</v>
      </c>
      <c r="G1270" s="114"/>
      <c r="H1270" s="115"/>
      <c r="I1270" s="24"/>
      <c r="J1270" s="116">
        <v>4</v>
      </c>
      <c r="K1270" s="118">
        <v>975000</v>
      </c>
      <c r="L1270" s="119"/>
      <c r="M1270" s="118">
        <f>K1270*0.1</f>
        <v>97500</v>
      </c>
      <c r="N1270" s="119"/>
      <c r="O1270" s="118">
        <v>0</v>
      </c>
      <c r="P1270" s="119"/>
      <c r="Q1270" s="118">
        <v>16260</v>
      </c>
      <c r="R1270" s="119"/>
      <c r="S1270" s="118">
        <v>15950</v>
      </c>
      <c r="T1270" s="119"/>
      <c r="U1270" s="118">
        <f>SUM(K1270:T1271)</f>
        <v>1104710</v>
      </c>
      <c r="V1270" s="122"/>
      <c r="W1270" s="124"/>
      <c r="X1270" s="126" t="s">
        <v>4379</v>
      </c>
      <c r="Y1270" s="127"/>
      <c r="Z1270" s="127"/>
      <c r="AA1270" s="127"/>
      <c r="AB1270" s="128"/>
      <c r="AC1270" s="15" t="s">
        <v>20</v>
      </c>
      <c r="AD1270" s="129"/>
      <c r="AE1270" s="130"/>
      <c r="AF1270" s="130"/>
      <c r="AG1270" s="130"/>
      <c r="AH1270" s="130"/>
      <c r="AI1270" s="131"/>
      <c r="AJ1270" s="132"/>
      <c r="AK1270" s="127"/>
      <c r="AL1270" s="128"/>
      <c r="AM1270" s="21"/>
      <c r="AN1270" s="133">
        <v>45938</v>
      </c>
      <c r="AO1270" s="134"/>
      <c r="AP1270" s="135">
        <v>987</v>
      </c>
      <c r="AQ1270" s="136"/>
      <c r="AR1270" s="118">
        <v>1060000</v>
      </c>
      <c r="AS1270" s="119"/>
      <c r="AT1270" s="118">
        <f>AR1270*0.1</f>
        <v>106000</v>
      </c>
      <c r="AU1270" s="119"/>
      <c r="AV1270" s="118">
        <v>16260</v>
      </c>
      <c r="AW1270" s="119"/>
      <c r="AX1270" s="118">
        <f>SUM(AR1270:AW1270)</f>
        <v>1182260</v>
      </c>
      <c r="AY1270" s="119"/>
      <c r="AZ1270" s="137">
        <v>45944</v>
      </c>
    </row>
    <row r="1271" spans="1:52" ht="17.100000000000001" customHeight="1" thickBot="1">
      <c r="A1271" s="110"/>
      <c r="B1271" s="27" t="s">
        <v>3792</v>
      </c>
      <c r="C1271" s="27">
        <v>30002</v>
      </c>
      <c r="D1271" s="14" t="s">
        <v>275</v>
      </c>
      <c r="E1271" s="112"/>
      <c r="F1271" s="139" t="s">
        <v>4380</v>
      </c>
      <c r="G1271" s="140"/>
      <c r="H1271" s="141"/>
      <c r="I1271" s="26">
        <v>75173</v>
      </c>
      <c r="J1271" s="117"/>
      <c r="K1271" s="120"/>
      <c r="L1271" s="121"/>
      <c r="M1271" s="120"/>
      <c r="N1271" s="121"/>
      <c r="O1271" s="120"/>
      <c r="P1271" s="121"/>
      <c r="Q1271" s="120"/>
      <c r="R1271" s="121"/>
      <c r="S1271" s="120"/>
      <c r="T1271" s="121"/>
      <c r="U1271" s="120"/>
      <c r="V1271" s="123"/>
      <c r="W1271" s="125"/>
      <c r="X1271" s="142" t="s">
        <v>4381</v>
      </c>
      <c r="Y1271" s="143"/>
      <c r="Z1271" s="143"/>
      <c r="AA1271" s="143"/>
      <c r="AB1271" s="144"/>
      <c r="AC1271" s="16" t="s">
        <v>21</v>
      </c>
      <c r="AD1271" s="17" t="s">
        <v>1559</v>
      </c>
      <c r="AE1271" s="145"/>
      <c r="AF1271" s="146"/>
      <c r="AG1271" s="146"/>
      <c r="AH1271" s="146"/>
      <c r="AI1271" s="147"/>
      <c r="AJ1271" s="148"/>
      <c r="AK1271" s="143"/>
      <c r="AL1271" s="144"/>
      <c r="AM1271" s="22"/>
      <c r="AN1271" s="149" t="s">
        <v>2794</v>
      </c>
      <c r="AO1271" s="144"/>
      <c r="AP1271" s="148">
        <v>6105</v>
      </c>
      <c r="AQ1271" s="144"/>
      <c r="AR1271" s="120"/>
      <c r="AS1271" s="121"/>
      <c r="AT1271" s="120"/>
      <c r="AU1271" s="121"/>
      <c r="AV1271" s="120"/>
      <c r="AW1271" s="121"/>
      <c r="AX1271" s="120"/>
      <c r="AY1271" s="121"/>
      <c r="AZ1271" s="138"/>
    </row>
    <row r="1272" spans="1:52" ht="17.100000000000001" customHeight="1" thickTop="1">
      <c r="A1272" s="109" t="s">
        <v>6373</v>
      </c>
      <c r="B1272" s="28">
        <v>45897</v>
      </c>
      <c r="C1272" s="25">
        <v>2123</v>
      </c>
      <c r="D1272" s="13" t="s">
        <v>4382</v>
      </c>
      <c r="E1272" s="111"/>
      <c r="F1272" s="113" t="s">
        <v>4383</v>
      </c>
      <c r="G1272" s="114"/>
      <c r="H1272" s="115"/>
      <c r="I1272" s="24"/>
      <c r="J1272" s="116">
        <v>4</v>
      </c>
      <c r="K1272" s="118">
        <v>275000</v>
      </c>
      <c r="L1272" s="119"/>
      <c r="M1272" s="118">
        <f>K1272*0.1</f>
        <v>27500</v>
      </c>
      <c r="N1272" s="119"/>
      <c r="O1272" s="118">
        <v>0</v>
      </c>
      <c r="P1272" s="119"/>
      <c r="Q1272" s="118">
        <v>9070</v>
      </c>
      <c r="R1272" s="119"/>
      <c r="S1272" s="118">
        <v>13750</v>
      </c>
      <c r="T1272" s="119"/>
      <c r="U1272" s="118">
        <f>SUM(K1272:T1273)</f>
        <v>325320</v>
      </c>
      <c r="V1272" s="122"/>
      <c r="W1272" s="124"/>
      <c r="X1272" s="126" t="s">
        <v>4384</v>
      </c>
      <c r="Y1272" s="127"/>
      <c r="Z1272" s="127"/>
      <c r="AA1272" s="127"/>
      <c r="AB1272" s="128"/>
      <c r="AC1272" s="15" t="s">
        <v>20</v>
      </c>
      <c r="AD1272" s="129"/>
      <c r="AE1272" s="130"/>
      <c r="AF1272" s="130"/>
      <c r="AG1272" s="130"/>
      <c r="AH1272" s="130"/>
      <c r="AI1272" s="131"/>
      <c r="AJ1272" s="132"/>
      <c r="AK1272" s="127"/>
      <c r="AL1272" s="128"/>
      <c r="AM1272" s="21"/>
      <c r="AN1272" s="133">
        <v>45969</v>
      </c>
      <c r="AO1272" s="134"/>
      <c r="AP1272" s="135">
        <v>1275</v>
      </c>
      <c r="AQ1272" s="136"/>
      <c r="AR1272" s="118">
        <v>280000</v>
      </c>
      <c r="AS1272" s="119"/>
      <c r="AT1272" s="118">
        <f>AR1272*0.1</f>
        <v>28000</v>
      </c>
      <c r="AU1272" s="119"/>
      <c r="AV1272" s="118">
        <v>9070</v>
      </c>
      <c r="AW1272" s="119"/>
      <c r="AX1272" s="118">
        <f>SUM(AR1272:AW1272)</f>
        <v>317070</v>
      </c>
      <c r="AY1272" s="119"/>
      <c r="AZ1272" s="137">
        <v>45972</v>
      </c>
    </row>
    <row r="1273" spans="1:52" ht="17.100000000000001" customHeight="1" thickBot="1">
      <c r="A1273" s="110"/>
      <c r="B1273" s="27" t="s">
        <v>3281</v>
      </c>
      <c r="C1273" s="27">
        <v>188</v>
      </c>
      <c r="D1273" s="14" t="s">
        <v>2601</v>
      </c>
      <c r="E1273" s="112"/>
      <c r="F1273" s="139" t="s">
        <v>4385</v>
      </c>
      <c r="G1273" s="140"/>
      <c r="H1273" s="141"/>
      <c r="I1273" s="26">
        <v>47974</v>
      </c>
      <c r="J1273" s="117"/>
      <c r="K1273" s="120"/>
      <c r="L1273" s="121"/>
      <c r="M1273" s="120"/>
      <c r="N1273" s="121"/>
      <c r="O1273" s="120"/>
      <c r="P1273" s="121"/>
      <c r="Q1273" s="120"/>
      <c r="R1273" s="121"/>
      <c r="S1273" s="120"/>
      <c r="T1273" s="121"/>
      <c r="U1273" s="120"/>
      <c r="V1273" s="123"/>
      <c r="W1273" s="125"/>
      <c r="X1273" s="142" t="s">
        <v>4386</v>
      </c>
      <c r="Y1273" s="143"/>
      <c r="Z1273" s="143"/>
      <c r="AA1273" s="143"/>
      <c r="AB1273" s="144"/>
      <c r="AC1273" s="16" t="s">
        <v>21</v>
      </c>
      <c r="AD1273" s="17" t="s">
        <v>2976</v>
      </c>
      <c r="AE1273" s="145"/>
      <c r="AF1273" s="146"/>
      <c r="AG1273" s="146"/>
      <c r="AH1273" s="146"/>
      <c r="AI1273" s="147"/>
      <c r="AJ1273" s="148"/>
      <c r="AK1273" s="143"/>
      <c r="AL1273" s="144"/>
      <c r="AM1273" s="22"/>
      <c r="AN1273" s="149" t="s">
        <v>7284</v>
      </c>
      <c r="AO1273" s="144"/>
      <c r="AP1273" s="148">
        <v>60487</v>
      </c>
      <c r="AQ1273" s="144"/>
      <c r="AR1273" s="120"/>
      <c r="AS1273" s="121"/>
      <c r="AT1273" s="120"/>
      <c r="AU1273" s="121"/>
      <c r="AV1273" s="120"/>
      <c r="AW1273" s="121"/>
      <c r="AX1273" s="120"/>
      <c r="AY1273" s="121"/>
      <c r="AZ1273" s="138"/>
    </row>
    <row r="1274" spans="1:52" ht="17.100000000000001" customHeight="1" thickTop="1">
      <c r="A1274" s="109" t="s">
        <v>6374</v>
      </c>
      <c r="B1274" s="28">
        <v>45897</v>
      </c>
      <c r="C1274" s="25">
        <v>2123</v>
      </c>
      <c r="D1274" s="13" t="s">
        <v>2528</v>
      </c>
      <c r="E1274" s="111"/>
      <c r="F1274" s="113" t="s">
        <v>4218</v>
      </c>
      <c r="G1274" s="114"/>
      <c r="H1274" s="115"/>
      <c r="I1274" s="24"/>
      <c r="J1274" s="116">
        <v>3.5</v>
      </c>
      <c r="K1274" s="118">
        <v>173000</v>
      </c>
      <c r="L1274" s="119"/>
      <c r="M1274" s="118">
        <f>K1274*0.1</f>
        <v>17300</v>
      </c>
      <c r="N1274" s="119"/>
      <c r="O1274" s="118">
        <v>0</v>
      </c>
      <c r="P1274" s="119"/>
      <c r="Q1274" s="118">
        <v>8930</v>
      </c>
      <c r="R1274" s="119"/>
      <c r="S1274" s="118">
        <v>13750</v>
      </c>
      <c r="T1274" s="119"/>
      <c r="U1274" s="118">
        <f>SUM(K1274:T1275)</f>
        <v>212980</v>
      </c>
      <c r="V1274" s="122"/>
      <c r="W1274" s="124"/>
      <c r="X1274" s="126" t="s">
        <v>4387</v>
      </c>
      <c r="Y1274" s="127"/>
      <c r="Z1274" s="127"/>
      <c r="AA1274" s="127"/>
      <c r="AB1274" s="128"/>
      <c r="AC1274" s="15" t="s">
        <v>20</v>
      </c>
      <c r="AD1274" s="129"/>
      <c r="AE1274" s="130"/>
      <c r="AF1274" s="130"/>
      <c r="AG1274" s="130"/>
      <c r="AH1274" s="130"/>
      <c r="AI1274" s="131"/>
      <c r="AJ1274" s="132"/>
      <c r="AK1274" s="127"/>
      <c r="AL1274" s="128"/>
      <c r="AM1274" s="21"/>
      <c r="AN1274" s="133">
        <v>45969</v>
      </c>
      <c r="AO1274" s="134"/>
      <c r="AP1274" s="135">
        <v>1275</v>
      </c>
      <c r="AQ1274" s="136"/>
      <c r="AR1274" s="118">
        <v>178000</v>
      </c>
      <c r="AS1274" s="119"/>
      <c r="AT1274" s="118">
        <f>AR1274*0.1</f>
        <v>17800</v>
      </c>
      <c r="AU1274" s="119"/>
      <c r="AV1274" s="118">
        <v>8930</v>
      </c>
      <c r="AW1274" s="119"/>
      <c r="AX1274" s="118">
        <f>SUM(AR1274:AW1274)</f>
        <v>204730</v>
      </c>
      <c r="AY1274" s="119"/>
      <c r="AZ1274" s="137">
        <v>45972</v>
      </c>
    </row>
    <row r="1275" spans="1:52" ht="17.100000000000001" customHeight="1" thickBot="1">
      <c r="A1275" s="110"/>
      <c r="B1275" s="27" t="s">
        <v>3281</v>
      </c>
      <c r="C1275" s="27">
        <v>2536</v>
      </c>
      <c r="D1275" s="14" t="s">
        <v>1592</v>
      </c>
      <c r="E1275" s="112"/>
      <c r="F1275" s="139" t="s">
        <v>4388</v>
      </c>
      <c r="G1275" s="140"/>
      <c r="H1275" s="141"/>
      <c r="I1275" s="26">
        <v>44588</v>
      </c>
      <c r="J1275" s="117"/>
      <c r="K1275" s="120"/>
      <c r="L1275" s="121"/>
      <c r="M1275" s="120"/>
      <c r="N1275" s="121"/>
      <c r="O1275" s="120"/>
      <c r="P1275" s="121"/>
      <c r="Q1275" s="120"/>
      <c r="R1275" s="121"/>
      <c r="S1275" s="120"/>
      <c r="T1275" s="121"/>
      <c r="U1275" s="120"/>
      <c r="V1275" s="123"/>
      <c r="W1275" s="125"/>
      <c r="X1275" s="142" t="s">
        <v>4389</v>
      </c>
      <c r="Y1275" s="143"/>
      <c r="Z1275" s="143"/>
      <c r="AA1275" s="143"/>
      <c r="AB1275" s="144"/>
      <c r="AC1275" s="16" t="s">
        <v>21</v>
      </c>
      <c r="AD1275" s="17" t="s">
        <v>4390</v>
      </c>
      <c r="AE1275" s="145"/>
      <c r="AF1275" s="146"/>
      <c r="AG1275" s="146"/>
      <c r="AH1275" s="146"/>
      <c r="AI1275" s="147"/>
      <c r="AJ1275" s="148"/>
      <c r="AK1275" s="143"/>
      <c r="AL1275" s="144"/>
      <c r="AM1275" s="22"/>
      <c r="AN1275" s="149" t="s">
        <v>7284</v>
      </c>
      <c r="AO1275" s="144"/>
      <c r="AP1275" s="148">
        <v>63175</v>
      </c>
      <c r="AQ1275" s="144"/>
      <c r="AR1275" s="120"/>
      <c r="AS1275" s="121"/>
      <c r="AT1275" s="120"/>
      <c r="AU1275" s="121"/>
      <c r="AV1275" s="120"/>
      <c r="AW1275" s="121"/>
      <c r="AX1275" s="120"/>
      <c r="AY1275" s="121"/>
      <c r="AZ1275" s="138"/>
    </row>
    <row r="1276" spans="1:52" ht="17.100000000000001" customHeight="1" thickTop="1">
      <c r="A1276" s="109" t="s">
        <v>6375</v>
      </c>
      <c r="B1276" s="28">
        <v>45897</v>
      </c>
      <c r="C1276" s="25">
        <v>1719</v>
      </c>
      <c r="D1276" s="13" t="s">
        <v>2092</v>
      </c>
      <c r="E1276" s="111"/>
      <c r="F1276" s="113" t="s">
        <v>4391</v>
      </c>
      <c r="G1276" s="114"/>
      <c r="H1276" s="115"/>
      <c r="I1276" s="24"/>
      <c r="J1276" s="116">
        <v>4</v>
      </c>
      <c r="K1276" s="118">
        <v>967000</v>
      </c>
      <c r="L1276" s="119"/>
      <c r="M1276" s="118">
        <f>K1276*0.1</f>
        <v>96700</v>
      </c>
      <c r="N1276" s="119"/>
      <c r="O1276" s="118">
        <v>0</v>
      </c>
      <c r="P1276" s="119"/>
      <c r="Q1276" s="118">
        <v>8100</v>
      </c>
      <c r="R1276" s="119"/>
      <c r="S1276" s="118">
        <v>15400</v>
      </c>
      <c r="T1276" s="119"/>
      <c r="U1276" s="118">
        <f>SUM(K1276:T1277)</f>
        <v>1087200</v>
      </c>
      <c r="V1276" s="122"/>
      <c r="W1276" s="124"/>
      <c r="X1276" s="126" t="s">
        <v>4392</v>
      </c>
      <c r="Y1276" s="127"/>
      <c r="Z1276" s="127"/>
      <c r="AA1276" s="127"/>
      <c r="AB1276" s="128"/>
      <c r="AC1276" s="15" t="s">
        <v>20</v>
      </c>
      <c r="AD1276" s="129" t="s">
        <v>1670</v>
      </c>
      <c r="AE1276" s="130"/>
      <c r="AF1276" s="130"/>
      <c r="AG1276" s="130"/>
      <c r="AH1276" s="130"/>
      <c r="AI1276" s="131"/>
      <c r="AJ1276" s="132"/>
      <c r="AK1276" s="127"/>
      <c r="AL1276" s="128"/>
      <c r="AM1276" s="21"/>
      <c r="AN1276" s="133">
        <v>45934</v>
      </c>
      <c r="AO1276" s="134"/>
      <c r="AP1276" s="135">
        <v>1270</v>
      </c>
      <c r="AQ1276" s="136"/>
      <c r="AR1276" s="118">
        <v>1030000</v>
      </c>
      <c r="AS1276" s="119"/>
      <c r="AT1276" s="118">
        <f>AR1276*0.1</f>
        <v>103000</v>
      </c>
      <c r="AU1276" s="119"/>
      <c r="AV1276" s="118">
        <v>8100</v>
      </c>
      <c r="AW1276" s="119"/>
      <c r="AX1276" s="118">
        <f>SUM(AR1276:AW1276)</f>
        <v>1141100</v>
      </c>
      <c r="AY1276" s="119"/>
      <c r="AZ1276" s="137">
        <v>45937</v>
      </c>
    </row>
    <row r="1277" spans="1:52" ht="17.100000000000001" customHeight="1" thickBot="1">
      <c r="A1277" s="110"/>
      <c r="B1277" s="27" t="s">
        <v>4393</v>
      </c>
      <c r="C1277" s="27">
        <v>3062</v>
      </c>
      <c r="D1277" s="14" t="s">
        <v>3327</v>
      </c>
      <c r="E1277" s="112"/>
      <c r="F1277" s="139" t="s">
        <v>4394</v>
      </c>
      <c r="G1277" s="140"/>
      <c r="H1277" s="141"/>
      <c r="I1277" s="26">
        <v>37047</v>
      </c>
      <c r="J1277" s="117"/>
      <c r="K1277" s="120"/>
      <c r="L1277" s="121"/>
      <c r="M1277" s="120"/>
      <c r="N1277" s="121"/>
      <c r="O1277" s="120"/>
      <c r="P1277" s="121"/>
      <c r="Q1277" s="120"/>
      <c r="R1277" s="121"/>
      <c r="S1277" s="120"/>
      <c r="T1277" s="121"/>
      <c r="U1277" s="120"/>
      <c r="V1277" s="123"/>
      <c r="W1277" s="125"/>
      <c r="X1277" s="142" t="s">
        <v>4395</v>
      </c>
      <c r="Y1277" s="143"/>
      <c r="Z1277" s="143"/>
      <c r="AA1277" s="143"/>
      <c r="AB1277" s="144"/>
      <c r="AC1277" s="16" t="s">
        <v>21</v>
      </c>
      <c r="AD1277" s="17" t="s">
        <v>2112</v>
      </c>
      <c r="AE1277" s="145" t="s">
        <v>4396</v>
      </c>
      <c r="AF1277" s="146"/>
      <c r="AG1277" s="146"/>
      <c r="AH1277" s="146"/>
      <c r="AI1277" s="147"/>
      <c r="AJ1277" s="148"/>
      <c r="AK1277" s="143"/>
      <c r="AL1277" s="144"/>
      <c r="AM1277" s="22"/>
      <c r="AN1277" s="149" t="s">
        <v>7284</v>
      </c>
      <c r="AO1277" s="144"/>
      <c r="AP1277" s="148">
        <v>60237</v>
      </c>
      <c r="AQ1277" s="144"/>
      <c r="AR1277" s="120"/>
      <c r="AS1277" s="121"/>
      <c r="AT1277" s="120"/>
      <c r="AU1277" s="121"/>
      <c r="AV1277" s="120"/>
      <c r="AW1277" s="121"/>
      <c r="AX1277" s="120"/>
      <c r="AY1277" s="121"/>
      <c r="AZ1277" s="138"/>
    </row>
    <row r="1278" spans="1:52" ht="17.100000000000001" customHeight="1" thickTop="1">
      <c r="A1278" s="109" t="s">
        <v>6376</v>
      </c>
      <c r="B1278" s="28">
        <v>45897</v>
      </c>
      <c r="C1278" s="25">
        <v>1719</v>
      </c>
      <c r="D1278" s="13" t="s">
        <v>2122</v>
      </c>
      <c r="E1278" s="111"/>
      <c r="F1278" s="113" t="s">
        <v>4218</v>
      </c>
      <c r="G1278" s="114"/>
      <c r="H1278" s="115"/>
      <c r="I1278" s="24" t="s">
        <v>4390</v>
      </c>
      <c r="J1278" s="116">
        <v>6</v>
      </c>
      <c r="K1278" s="118">
        <v>1095000</v>
      </c>
      <c r="L1278" s="119"/>
      <c r="M1278" s="118">
        <f>K1278*0.1</f>
        <v>109500</v>
      </c>
      <c r="N1278" s="119"/>
      <c r="O1278" s="118">
        <v>10800</v>
      </c>
      <c r="P1278" s="119"/>
      <c r="Q1278" s="118">
        <v>6470</v>
      </c>
      <c r="R1278" s="119"/>
      <c r="S1278" s="118">
        <v>15400</v>
      </c>
      <c r="T1278" s="119"/>
      <c r="U1278" s="118">
        <f>SUM(K1278:T1279)</f>
        <v>1237170</v>
      </c>
      <c r="V1278" s="122"/>
      <c r="W1278" s="124"/>
      <c r="X1278" s="126" t="s">
        <v>4397</v>
      </c>
      <c r="Y1278" s="127"/>
      <c r="Z1278" s="127"/>
      <c r="AA1278" s="127"/>
      <c r="AB1278" s="128"/>
      <c r="AC1278" s="15" t="s">
        <v>20</v>
      </c>
      <c r="AD1278" s="129" t="s">
        <v>1742</v>
      </c>
      <c r="AE1278" s="130"/>
      <c r="AF1278" s="130"/>
      <c r="AG1278" s="130"/>
      <c r="AH1278" s="130"/>
      <c r="AI1278" s="131"/>
      <c r="AJ1278" s="132"/>
      <c r="AK1278" s="127"/>
      <c r="AL1278" s="128"/>
      <c r="AM1278" s="21" t="s">
        <v>4398</v>
      </c>
      <c r="AN1278" s="133">
        <v>45962</v>
      </c>
      <c r="AO1278" s="134"/>
      <c r="AP1278" s="135">
        <v>1274</v>
      </c>
      <c r="AQ1278" s="136"/>
      <c r="AR1278" s="118">
        <v>1100000</v>
      </c>
      <c r="AS1278" s="119"/>
      <c r="AT1278" s="118">
        <f>AR1278*0.1</f>
        <v>110000</v>
      </c>
      <c r="AU1278" s="119"/>
      <c r="AV1278" s="118">
        <v>6470</v>
      </c>
      <c r="AW1278" s="119"/>
      <c r="AX1278" s="118">
        <f>SUM(AR1278:AW1278)</f>
        <v>1216470</v>
      </c>
      <c r="AY1278" s="119"/>
      <c r="AZ1278" s="137">
        <v>45965</v>
      </c>
    </row>
    <row r="1279" spans="1:52" ht="17.100000000000001" customHeight="1" thickBot="1">
      <c r="A1279" s="110"/>
      <c r="B1279" s="27" t="s">
        <v>4393</v>
      </c>
      <c r="C1279" s="27">
        <v>3101</v>
      </c>
      <c r="D1279" s="14" t="s">
        <v>3809</v>
      </c>
      <c r="E1279" s="112"/>
      <c r="F1279" s="139" t="s">
        <v>4399</v>
      </c>
      <c r="G1279" s="140"/>
      <c r="H1279" s="141"/>
      <c r="I1279" s="26">
        <v>7481</v>
      </c>
      <c r="J1279" s="117"/>
      <c r="K1279" s="120"/>
      <c r="L1279" s="121"/>
      <c r="M1279" s="120"/>
      <c r="N1279" s="121"/>
      <c r="O1279" s="120"/>
      <c r="P1279" s="121"/>
      <c r="Q1279" s="120"/>
      <c r="R1279" s="121"/>
      <c r="S1279" s="120"/>
      <c r="T1279" s="121"/>
      <c r="U1279" s="120"/>
      <c r="V1279" s="123"/>
      <c r="W1279" s="125"/>
      <c r="X1279" s="142" t="s">
        <v>4400</v>
      </c>
      <c r="Y1279" s="143"/>
      <c r="Z1279" s="143"/>
      <c r="AA1279" s="143"/>
      <c r="AB1279" s="144"/>
      <c r="AC1279" s="16" t="s">
        <v>21</v>
      </c>
      <c r="AD1279" s="17" t="s">
        <v>2976</v>
      </c>
      <c r="AE1279" s="145" t="s">
        <v>1614</v>
      </c>
      <c r="AF1279" s="146"/>
      <c r="AG1279" s="146"/>
      <c r="AH1279" s="146"/>
      <c r="AI1279" s="147"/>
      <c r="AJ1279" s="148"/>
      <c r="AK1279" s="143"/>
      <c r="AL1279" s="144"/>
      <c r="AM1279" s="22"/>
      <c r="AN1279" s="149" t="s">
        <v>7284</v>
      </c>
      <c r="AO1279" s="144"/>
      <c r="AP1279" s="148">
        <v>60152</v>
      </c>
      <c r="AQ1279" s="144"/>
      <c r="AR1279" s="120"/>
      <c r="AS1279" s="121"/>
      <c r="AT1279" s="120"/>
      <c r="AU1279" s="121"/>
      <c r="AV1279" s="120"/>
      <c r="AW1279" s="121"/>
      <c r="AX1279" s="120"/>
      <c r="AY1279" s="121"/>
      <c r="AZ1279" s="138"/>
    </row>
    <row r="1280" spans="1:52" ht="17.100000000000001" customHeight="1" thickTop="1">
      <c r="A1280" s="109" t="s">
        <v>6377</v>
      </c>
      <c r="B1280" s="28">
        <v>45898</v>
      </c>
      <c r="C1280" s="25">
        <v>255</v>
      </c>
      <c r="D1280" s="13" t="s">
        <v>2022</v>
      </c>
      <c r="E1280" s="111"/>
      <c r="F1280" s="113" t="s">
        <v>2993</v>
      </c>
      <c r="G1280" s="114"/>
      <c r="H1280" s="115"/>
      <c r="I1280" s="24"/>
      <c r="J1280" s="116">
        <v>4.5</v>
      </c>
      <c r="K1280" s="118">
        <v>687000</v>
      </c>
      <c r="L1280" s="119"/>
      <c r="M1280" s="118">
        <f>K1280*0.1</f>
        <v>68700</v>
      </c>
      <c r="N1280" s="119"/>
      <c r="O1280" s="118">
        <v>0</v>
      </c>
      <c r="P1280" s="119"/>
      <c r="Q1280" s="118">
        <v>8400</v>
      </c>
      <c r="R1280" s="119"/>
      <c r="S1280" s="118">
        <v>22000</v>
      </c>
      <c r="T1280" s="119"/>
      <c r="U1280" s="118">
        <f>SUM(K1280:T1281)</f>
        <v>786100</v>
      </c>
      <c r="V1280" s="122"/>
      <c r="W1280" s="124"/>
      <c r="X1280" s="126" t="s">
        <v>4401</v>
      </c>
      <c r="Y1280" s="127"/>
      <c r="Z1280" s="127"/>
      <c r="AA1280" s="127"/>
      <c r="AB1280" s="128"/>
      <c r="AC1280" s="15" t="s">
        <v>20</v>
      </c>
      <c r="AD1280" s="129" t="s">
        <v>1670</v>
      </c>
      <c r="AE1280" s="130"/>
      <c r="AF1280" s="130"/>
      <c r="AG1280" s="130"/>
      <c r="AH1280" s="130"/>
      <c r="AI1280" s="131"/>
      <c r="AJ1280" s="132" t="s">
        <v>4402</v>
      </c>
      <c r="AK1280" s="127"/>
      <c r="AL1280" s="128"/>
      <c r="AM1280" s="21"/>
      <c r="AN1280" s="133">
        <v>46071</v>
      </c>
      <c r="AO1280" s="134"/>
      <c r="AP1280" s="135">
        <v>1005</v>
      </c>
      <c r="AQ1280" s="136"/>
      <c r="AR1280" s="118">
        <v>645000</v>
      </c>
      <c r="AS1280" s="119"/>
      <c r="AT1280" s="118">
        <f>AR1280*0.1</f>
        <v>64500</v>
      </c>
      <c r="AU1280" s="119"/>
      <c r="AV1280" s="118">
        <v>8400</v>
      </c>
      <c r="AW1280" s="119"/>
      <c r="AX1280" s="118">
        <f>SUM(AR1280:AW1280)</f>
        <v>717900</v>
      </c>
      <c r="AY1280" s="119"/>
      <c r="AZ1280" s="137">
        <v>46073</v>
      </c>
    </row>
    <row r="1281" spans="1:52" ht="17.100000000000001" customHeight="1" thickBot="1">
      <c r="A1281" s="110"/>
      <c r="B1281" s="27" t="s">
        <v>3957</v>
      </c>
      <c r="C1281" s="27">
        <v>61</v>
      </c>
      <c r="D1281" s="14" t="s">
        <v>3855</v>
      </c>
      <c r="E1281" s="112"/>
      <c r="F1281" s="139" t="s">
        <v>4403</v>
      </c>
      <c r="G1281" s="140"/>
      <c r="H1281" s="141"/>
      <c r="I1281" s="26">
        <v>54346</v>
      </c>
      <c r="J1281" s="117"/>
      <c r="K1281" s="120"/>
      <c r="L1281" s="121"/>
      <c r="M1281" s="120"/>
      <c r="N1281" s="121"/>
      <c r="O1281" s="120"/>
      <c r="P1281" s="121"/>
      <c r="Q1281" s="120"/>
      <c r="R1281" s="121"/>
      <c r="S1281" s="120"/>
      <c r="T1281" s="121"/>
      <c r="U1281" s="120"/>
      <c r="V1281" s="123"/>
      <c r="W1281" s="125"/>
      <c r="X1281" s="142" t="s">
        <v>4404</v>
      </c>
      <c r="Y1281" s="143"/>
      <c r="Z1281" s="143"/>
      <c r="AA1281" s="143"/>
      <c r="AB1281" s="144"/>
      <c r="AC1281" s="16" t="s">
        <v>21</v>
      </c>
      <c r="AD1281" s="17" t="s">
        <v>3931</v>
      </c>
      <c r="AE1281" s="145" t="s">
        <v>4405</v>
      </c>
      <c r="AF1281" s="146"/>
      <c r="AG1281" s="146"/>
      <c r="AH1281" s="146"/>
      <c r="AI1281" s="147"/>
      <c r="AJ1281" s="148"/>
      <c r="AK1281" s="143"/>
      <c r="AL1281" s="144"/>
      <c r="AM1281" s="22"/>
      <c r="AN1281" s="149" t="s">
        <v>2794</v>
      </c>
      <c r="AO1281" s="144"/>
      <c r="AP1281" s="148">
        <v>2030</v>
      </c>
      <c r="AQ1281" s="144"/>
      <c r="AR1281" s="120"/>
      <c r="AS1281" s="121"/>
      <c r="AT1281" s="120"/>
      <c r="AU1281" s="121"/>
      <c r="AV1281" s="120"/>
      <c r="AW1281" s="121"/>
      <c r="AX1281" s="120"/>
      <c r="AY1281" s="121"/>
      <c r="AZ1281" s="138"/>
    </row>
    <row r="1282" spans="1:52" ht="17.100000000000001" customHeight="1" thickTop="1">
      <c r="A1282" s="109" t="s">
        <v>6378</v>
      </c>
      <c r="B1282" s="28">
        <v>45898</v>
      </c>
      <c r="C1282" s="25">
        <v>2099</v>
      </c>
      <c r="D1282" s="13" t="s">
        <v>4406</v>
      </c>
      <c r="E1282" s="111"/>
      <c r="F1282" s="113" t="s">
        <v>4407</v>
      </c>
      <c r="G1282" s="114"/>
      <c r="H1282" s="115"/>
      <c r="I1282" s="24" t="s">
        <v>4408</v>
      </c>
      <c r="J1282" s="116">
        <v>4</v>
      </c>
      <c r="K1282" s="118">
        <v>410000</v>
      </c>
      <c r="L1282" s="119"/>
      <c r="M1282" s="118">
        <f>K1282*0.1</f>
        <v>41000</v>
      </c>
      <c r="N1282" s="119"/>
      <c r="O1282" s="118">
        <v>0</v>
      </c>
      <c r="P1282" s="119"/>
      <c r="Q1282" s="118">
        <v>8950</v>
      </c>
      <c r="R1282" s="119"/>
      <c r="S1282" s="118">
        <v>16500</v>
      </c>
      <c r="T1282" s="119"/>
      <c r="U1282" s="118">
        <f>SUM(K1282:T1283)</f>
        <v>476450</v>
      </c>
      <c r="V1282" s="122"/>
      <c r="W1282" s="124"/>
      <c r="X1282" s="126" t="s">
        <v>4409</v>
      </c>
      <c r="Y1282" s="127"/>
      <c r="Z1282" s="127"/>
      <c r="AA1282" s="127"/>
      <c r="AB1282" s="128"/>
      <c r="AC1282" s="15" t="s">
        <v>20</v>
      </c>
      <c r="AD1282" s="129" t="s">
        <v>1633</v>
      </c>
      <c r="AE1282" s="130"/>
      <c r="AF1282" s="130"/>
      <c r="AG1282" s="130"/>
      <c r="AH1282" s="130"/>
      <c r="AI1282" s="131"/>
      <c r="AJ1282" s="132"/>
      <c r="AK1282" s="127"/>
      <c r="AL1282" s="128"/>
      <c r="AM1282" s="21" t="s">
        <v>4410</v>
      </c>
      <c r="AN1282" s="133"/>
      <c r="AO1282" s="134"/>
      <c r="AP1282" s="135"/>
      <c r="AQ1282" s="136"/>
      <c r="AR1282" s="118"/>
      <c r="AS1282" s="119"/>
      <c r="AT1282" s="118">
        <f>AR1282*0.1</f>
        <v>0</v>
      </c>
      <c r="AU1282" s="119"/>
      <c r="AV1282" s="118"/>
      <c r="AW1282" s="119"/>
      <c r="AX1282" s="118">
        <f>SUM(AR1282:AW1282)</f>
        <v>0</v>
      </c>
      <c r="AY1282" s="119"/>
      <c r="AZ1282" s="137"/>
    </row>
    <row r="1283" spans="1:52" ht="17.100000000000001" customHeight="1" thickBot="1">
      <c r="A1283" s="110"/>
      <c r="B1283" s="27" t="s">
        <v>1543</v>
      </c>
      <c r="C1283" s="27">
        <v>55099</v>
      </c>
      <c r="D1283" s="14" t="s">
        <v>2601</v>
      </c>
      <c r="E1283" s="112"/>
      <c r="F1283" s="139" t="s">
        <v>4411</v>
      </c>
      <c r="G1283" s="140"/>
      <c r="H1283" s="141"/>
      <c r="I1283" s="26">
        <v>54000</v>
      </c>
      <c r="J1283" s="117"/>
      <c r="K1283" s="120"/>
      <c r="L1283" s="121"/>
      <c r="M1283" s="120"/>
      <c r="N1283" s="121"/>
      <c r="O1283" s="120"/>
      <c r="P1283" s="121"/>
      <c r="Q1283" s="120"/>
      <c r="R1283" s="121"/>
      <c r="S1283" s="120"/>
      <c r="T1283" s="121"/>
      <c r="U1283" s="120"/>
      <c r="V1283" s="123"/>
      <c r="W1283" s="125"/>
      <c r="X1283" s="142" t="s">
        <v>4412</v>
      </c>
      <c r="Y1283" s="143"/>
      <c r="Z1283" s="143"/>
      <c r="AA1283" s="143"/>
      <c r="AB1283" s="144"/>
      <c r="AC1283" s="16" t="s">
        <v>21</v>
      </c>
      <c r="AD1283" s="17" t="s">
        <v>3931</v>
      </c>
      <c r="AE1283" s="145" t="s">
        <v>4413</v>
      </c>
      <c r="AF1283" s="146"/>
      <c r="AG1283" s="146"/>
      <c r="AH1283" s="146"/>
      <c r="AI1283" s="147"/>
      <c r="AJ1283" s="148"/>
      <c r="AK1283" s="143"/>
      <c r="AL1283" s="144"/>
      <c r="AM1283" s="22"/>
      <c r="AN1283" s="149"/>
      <c r="AO1283" s="144"/>
      <c r="AP1283" s="148"/>
      <c r="AQ1283" s="144"/>
      <c r="AR1283" s="120"/>
      <c r="AS1283" s="121"/>
      <c r="AT1283" s="120"/>
      <c r="AU1283" s="121"/>
      <c r="AV1283" s="120"/>
      <c r="AW1283" s="121"/>
      <c r="AX1283" s="120"/>
      <c r="AY1283" s="121"/>
      <c r="AZ1283" s="138"/>
    </row>
    <row r="1284" spans="1:52" ht="17.100000000000001" customHeight="1" thickTop="1">
      <c r="A1284" s="109" t="s">
        <v>6379</v>
      </c>
      <c r="B1284" s="28">
        <v>45898</v>
      </c>
      <c r="C1284" s="25">
        <v>2099</v>
      </c>
      <c r="D1284" s="13" t="s">
        <v>2359</v>
      </c>
      <c r="E1284" s="111"/>
      <c r="F1284" s="113" t="s">
        <v>4414</v>
      </c>
      <c r="G1284" s="114"/>
      <c r="H1284" s="115"/>
      <c r="I1284" s="24" t="s">
        <v>4415</v>
      </c>
      <c r="J1284" s="116">
        <v>4.5</v>
      </c>
      <c r="K1284" s="118">
        <v>1395000</v>
      </c>
      <c r="L1284" s="119"/>
      <c r="M1284" s="118">
        <f>K1284*0.1</f>
        <v>139500</v>
      </c>
      <c r="N1284" s="119"/>
      <c r="O1284" s="118">
        <v>0</v>
      </c>
      <c r="P1284" s="119"/>
      <c r="Q1284" s="118">
        <v>6830</v>
      </c>
      <c r="R1284" s="119"/>
      <c r="S1284" s="118">
        <v>16500</v>
      </c>
      <c r="T1284" s="119"/>
      <c r="U1284" s="118">
        <f>SUM(K1284:T1285)</f>
        <v>1557830</v>
      </c>
      <c r="V1284" s="122"/>
      <c r="W1284" s="124"/>
      <c r="X1284" s="126" t="s">
        <v>4416</v>
      </c>
      <c r="Y1284" s="127"/>
      <c r="Z1284" s="127"/>
      <c r="AA1284" s="127"/>
      <c r="AB1284" s="128"/>
      <c r="AC1284" s="15" t="s">
        <v>20</v>
      </c>
      <c r="AD1284" s="129" t="s">
        <v>1670</v>
      </c>
      <c r="AE1284" s="130"/>
      <c r="AF1284" s="130"/>
      <c r="AG1284" s="130"/>
      <c r="AH1284" s="130"/>
      <c r="AI1284" s="131"/>
      <c r="AJ1284" s="132"/>
      <c r="AK1284" s="127"/>
      <c r="AL1284" s="128"/>
      <c r="AM1284" s="21" t="s">
        <v>4417</v>
      </c>
      <c r="AN1284" s="133">
        <v>45934</v>
      </c>
      <c r="AO1284" s="134"/>
      <c r="AP1284" s="135">
        <v>1270</v>
      </c>
      <c r="AQ1284" s="136"/>
      <c r="AR1284" s="118">
        <v>1380000</v>
      </c>
      <c r="AS1284" s="119"/>
      <c r="AT1284" s="118">
        <f>AR1284*0.1</f>
        <v>138000</v>
      </c>
      <c r="AU1284" s="119"/>
      <c r="AV1284" s="118">
        <v>6830</v>
      </c>
      <c r="AW1284" s="119"/>
      <c r="AX1284" s="118">
        <f>SUM(AR1284:AW1284)</f>
        <v>1524830</v>
      </c>
      <c r="AY1284" s="119"/>
      <c r="AZ1284" s="137">
        <v>45937</v>
      </c>
    </row>
    <row r="1285" spans="1:52" ht="17.100000000000001" customHeight="1" thickBot="1">
      <c r="A1285" s="110"/>
      <c r="B1285" s="27" t="s">
        <v>1543</v>
      </c>
      <c r="C1285" s="27">
        <v>55268</v>
      </c>
      <c r="D1285" s="14" t="s">
        <v>1576</v>
      </c>
      <c r="E1285" s="112"/>
      <c r="F1285" s="139" t="s">
        <v>4418</v>
      </c>
      <c r="G1285" s="140"/>
      <c r="H1285" s="141"/>
      <c r="I1285" s="26">
        <v>47438</v>
      </c>
      <c r="J1285" s="117"/>
      <c r="K1285" s="120"/>
      <c r="L1285" s="121"/>
      <c r="M1285" s="120"/>
      <c r="N1285" s="121"/>
      <c r="O1285" s="120"/>
      <c r="P1285" s="121"/>
      <c r="Q1285" s="120"/>
      <c r="R1285" s="121"/>
      <c r="S1285" s="120"/>
      <c r="T1285" s="121"/>
      <c r="U1285" s="120"/>
      <c r="V1285" s="123"/>
      <c r="W1285" s="125"/>
      <c r="X1285" s="142" t="s">
        <v>2358</v>
      </c>
      <c r="Y1285" s="143"/>
      <c r="Z1285" s="143"/>
      <c r="AA1285" s="143"/>
      <c r="AB1285" s="144"/>
      <c r="AC1285" s="16" t="s">
        <v>21</v>
      </c>
      <c r="AD1285" s="17" t="s">
        <v>2112</v>
      </c>
      <c r="AE1285" s="145" t="s">
        <v>1742</v>
      </c>
      <c r="AF1285" s="146"/>
      <c r="AG1285" s="146"/>
      <c r="AH1285" s="146"/>
      <c r="AI1285" s="147"/>
      <c r="AJ1285" s="148"/>
      <c r="AK1285" s="143"/>
      <c r="AL1285" s="144"/>
      <c r="AM1285" s="22"/>
      <c r="AN1285" s="149" t="s">
        <v>7284</v>
      </c>
      <c r="AO1285" s="144"/>
      <c r="AP1285" s="148">
        <v>60355</v>
      </c>
      <c r="AQ1285" s="144"/>
      <c r="AR1285" s="120"/>
      <c r="AS1285" s="121"/>
      <c r="AT1285" s="120"/>
      <c r="AU1285" s="121"/>
      <c r="AV1285" s="120"/>
      <c r="AW1285" s="121"/>
      <c r="AX1285" s="120"/>
      <c r="AY1285" s="121"/>
      <c r="AZ1285" s="138"/>
    </row>
    <row r="1286" spans="1:52" ht="17.100000000000001" customHeight="1" thickTop="1">
      <c r="A1286" s="109" t="s">
        <v>6380</v>
      </c>
      <c r="B1286" s="28">
        <v>45898</v>
      </c>
      <c r="C1286" s="25">
        <v>2099</v>
      </c>
      <c r="D1286" s="13" t="s">
        <v>818</v>
      </c>
      <c r="E1286" s="111"/>
      <c r="F1286" s="113" t="s">
        <v>2598</v>
      </c>
      <c r="G1286" s="114"/>
      <c r="H1286" s="115"/>
      <c r="I1286" s="24" t="s">
        <v>3399</v>
      </c>
      <c r="J1286" s="116">
        <v>4.5</v>
      </c>
      <c r="K1286" s="118">
        <v>1215000</v>
      </c>
      <c r="L1286" s="119"/>
      <c r="M1286" s="118">
        <f>K1286*0.1</f>
        <v>121500</v>
      </c>
      <c r="N1286" s="119"/>
      <c r="O1286" s="118">
        <v>0</v>
      </c>
      <c r="P1286" s="119"/>
      <c r="Q1286" s="118">
        <v>9370</v>
      </c>
      <c r="R1286" s="119"/>
      <c r="S1286" s="118">
        <v>16500</v>
      </c>
      <c r="T1286" s="119"/>
      <c r="U1286" s="118">
        <f>SUM(K1286:T1287)</f>
        <v>1362370</v>
      </c>
      <c r="V1286" s="122"/>
      <c r="W1286" s="124"/>
      <c r="X1286" s="126" t="s">
        <v>4419</v>
      </c>
      <c r="Y1286" s="127"/>
      <c r="Z1286" s="127"/>
      <c r="AA1286" s="127"/>
      <c r="AB1286" s="128"/>
      <c r="AC1286" s="15" t="s">
        <v>20</v>
      </c>
      <c r="AD1286" s="129" t="s">
        <v>4420</v>
      </c>
      <c r="AE1286" s="130"/>
      <c r="AF1286" s="130"/>
      <c r="AG1286" s="130"/>
      <c r="AH1286" s="130"/>
      <c r="AI1286" s="131"/>
      <c r="AJ1286" s="132"/>
      <c r="AK1286" s="127"/>
      <c r="AL1286" s="128"/>
      <c r="AM1286" s="21" t="s">
        <v>4421</v>
      </c>
      <c r="AN1286" s="133">
        <v>45990</v>
      </c>
      <c r="AO1286" s="134"/>
      <c r="AP1286" s="135">
        <v>1278</v>
      </c>
      <c r="AQ1286" s="136"/>
      <c r="AR1286" s="118">
        <v>1215000</v>
      </c>
      <c r="AS1286" s="119"/>
      <c r="AT1286" s="118">
        <f>AR1286*0.1</f>
        <v>121500</v>
      </c>
      <c r="AU1286" s="119"/>
      <c r="AV1286" s="118">
        <v>9370</v>
      </c>
      <c r="AW1286" s="119"/>
      <c r="AX1286" s="118">
        <f>SUM(AR1286:AW1286)</f>
        <v>1345870</v>
      </c>
      <c r="AY1286" s="119"/>
      <c r="AZ1286" s="137">
        <v>45994</v>
      </c>
    </row>
    <row r="1287" spans="1:52" ht="17.100000000000001" customHeight="1" thickBot="1">
      <c r="A1287" s="110"/>
      <c r="B1287" s="27" t="s">
        <v>1543</v>
      </c>
      <c r="C1287" s="27">
        <v>55484</v>
      </c>
      <c r="D1287" s="14" t="s">
        <v>2601</v>
      </c>
      <c r="E1287" s="112"/>
      <c r="F1287" s="139" t="s">
        <v>4422</v>
      </c>
      <c r="G1287" s="140"/>
      <c r="H1287" s="141"/>
      <c r="I1287" s="26">
        <v>46491</v>
      </c>
      <c r="J1287" s="117"/>
      <c r="K1287" s="120"/>
      <c r="L1287" s="121"/>
      <c r="M1287" s="120"/>
      <c r="N1287" s="121"/>
      <c r="O1287" s="120"/>
      <c r="P1287" s="121"/>
      <c r="Q1287" s="120"/>
      <c r="R1287" s="121"/>
      <c r="S1287" s="120"/>
      <c r="T1287" s="121"/>
      <c r="U1287" s="120"/>
      <c r="V1287" s="123"/>
      <c r="W1287" s="125"/>
      <c r="X1287" s="142" t="s">
        <v>4423</v>
      </c>
      <c r="Y1287" s="143"/>
      <c r="Z1287" s="143"/>
      <c r="AA1287" s="143"/>
      <c r="AB1287" s="144"/>
      <c r="AC1287" s="16" t="s">
        <v>21</v>
      </c>
      <c r="AD1287" s="17" t="s">
        <v>2112</v>
      </c>
      <c r="AE1287" s="145" t="s">
        <v>4424</v>
      </c>
      <c r="AF1287" s="146"/>
      <c r="AG1287" s="146"/>
      <c r="AH1287" s="146"/>
      <c r="AI1287" s="147"/>
      <c r="AJ1287" s="148"/>
      <c r="AK1287" s="143"/>
      <c r="AL1287" s="144"/>
      <c r="AM1287" s="22"/>
      <c r="AN1287" s="149" t="s">
        <v>7284</v>
      </c>
      <c r="AO1287" s="144"/>
      <c r="AP1287" s="148">
        <v>60255</v>
      </c>
      <c r="AQ1287" s="144"/>
      <c r="AR1287" s="120"/>
      <c r="AS1287" s="121"/>
      <c r="AT1287" s="120"/>
      <c r="AU1287" s="121"/>
      <c r="AV1287" s="120"/>
      <c r="AW1287" s="121"/>
      <c r="AX1287" s="120"/>
      <c r="AY1287" s="121"/>
      <c r="AZ1287" s="138"/>
    </row>
    <row r="1288" spans="1:52" ht="17.100000000000001" customHeight="1" thickTop="1">
      <c r="A1288" s="109" t="s">
        <v>6381</v>
      </c>
      <c r="B1288" s="28">
        <v>45898</v>
      </c>
      <c r="C1288" s="25">
        <v>2099</v>
      </c>
      <c r="D1288" s="13" t="s">
        <v>2949</v>
      </c>
      <c r="E1288" s="111"/>
      <c r="F1288" s="113" t="s">
        <v>4425</v>
      </c>
      <c r="G1288" s="114"/>
      <c r="H1288" s="115"/>
      <c r="I1288" s="24" t="s">
        <v>2919</v>
      </c>
      <c r="J1288" s="116">
        <v>4</v>
      </c>
      <c r="K1288" s="118">
        <v>690000</v>
      </c>
      <c r="L1288" s="119"/>
      <c r="M1288" s="118">
        <f>K1288*0.1</f>
        <v>69000</v>
      </c>
      <c r="N1288" s="119"/>
      <c r="O1288" s="118">
        <v>0</v>
      </c>
      <c r="P1288" s="119"/>
      <c r="Q1288" s="118">
        <v>8550</v>
      </c>
      <c r="R1288" s="119"/>
      <c r="S1288" s="118">
        <v>16500</v>
      </c>
      <c r="T1288" s="119"/>
      <c r="U1288" s="118">
        <f>SUM(K1288:T1289)</f>
        <v>784050</v>
      </c>
      <c r="V1288" s="122"/>
      <c r="W1288" s="124"/>
      <c r="X1288" s="126" t="s">
        <v>4426</v>
      </c>
      <c r="Y1288" s="127"/>
      <c r="Z1288" s="127"/>
      <c r="AA1288" s="127"/>
      <c r="AB1288" s="128"/>
      <c r="AC1288" s="15" t="s">
        <v>20</v>
      </c>
      <c r="AD1288" s="129" t="s">
        <v>1670</v>
      </c>
      <c r="AE1288" s="130"/>
      <c r="AF1288" s="130"/>
      <c r="AG1288" s="130"/>
      <c r="AH1288" s="130"/>
      <c r="AI1288" s="131"/>
      <c r="AJ1288" s="132"/>
      <c r="AK1288" s="127"/>
      <c r="AL1288" s="128"/>
      <c r="AM1288" s="21" t="s">
        <v>4427</v>
      </c>
      <c r="AN1288" s="133">
        <v>45973</v>
      </c>
      <c r="AO1288" s="134"/>
      <c r="AP1288" s="135">
        <v>992</v>
      </c>
      <c r="AQ1288" s="136"/>
      <c r="AR1288" s="118">
        <v>735000</v>
      </c>
      <c r="AS1288" s="119"/>
      <c r="AT1288" s="118">
        <f>AR1288*0.1</f>
        <v>73500</v>
      </c>
      <c r="AU1288" s="119"/>
      <c r="AV1288" s="118">
        <v>8550</v>
      </c>
      <c r="AW1288" s="119"/>
      <c r="AX1288" s="118">
        <f>SUM(AR1288:AW1288)</f>
        <v>817050</v>
      </c>
      <c r="AY1288" s="119"/>
      <c r="AZ1288" s="137">
        <v>45978</v>
      </c>
    </row>
    <row r="1289" spans="1:52" ht="17.100000000000001" customHeight="1" thickBot="1">
      <c r="A1289" s="110"/>
      <c r="B1289" s="27" t="s">
        <v>1543</v>
      </c>
      <c r="C1289" s="27">
        <v>85217</v>
      </c>
      <c r="D1289" s="14" t="s">
        <v>55</v>
      </c>
      <c r="E1289" s="112"/>
      <c r="F1289" s="139" t="s">
        <v>4428</v>
      </c>
      <c r="G1289" s="140"/>
      <c r="H1289" s="141"/>
      <c r="I1289" s="26">
        <v>16367</v>
      </c>
      <c r="J1289" s="117"/>
      <c r="K1289" s="120"/>
      <c r="L1289" s="121"/>
      <c r="M1289" s="120"/>
      <c r="N1289" s="121"/>
      <c r="O1289" s="120"/>
      <c r="P1289" s="121"/>
      <c r="Q1289" s="120"/>
      <c r="R1289" s="121"/>
      <c r="S1289" s="120"/>
      <c r="T1289" s="121"/>
      <c r="U1289" s="120"/>
      <c r="V1289" s="123"/>
      <c r="W1289" s="125"/>
      <c r="X1289" s="142" t="s">
        <v>4429</v>
      </c>
      <c r="Y1289" s="143"/>
      <c r="Z1289" s="143"/>
      <c r="AA1289" s="143"/>
      <c r="AB1289" s="144"/>
      <c r="AC1289" s="16" t="s">
        <v>21</v>
      </c>
      <c r="AD1289" s="17" t="s">
        <v>2571</v>
      </c>
      <c r="AE1289" s="145" t="s">
        <v>4430</v>
      </c>
      <c r="AF1289" s="146"/>
      <c r="AG1289" s="146"/>
      <c r="AH1289" s="146"/>
      <c r="AI1289" s="147"/>
      <c r="AJ1289" s="148"/>
      <c r="AK1289" s="143"/>
      <c r="AL1289" s="144"/>
      <c r="AM1289" s="22"/>
      <c r="AN1289" s="149" t="s">
        <v>2794</v>
      </c>
      <c r="AO1289" s="144"/>
      <c r="AP1289" s="148">
        <v>2006</v>
      </c>
      <c r="AQ1289" s="144"/>
      <c r="AR1289" s="120"/>
      <c r="AS1289" s="121"/>
      <c r="AT1289" s="120"/>
      <c r="AU1289" s="121"/>
      <c r="AV1289" s="120"/>
      <c r="AW1289" s="121"/>
      <c r="AX1289" s="120"/>
      <c r="AY1289" s="121"/>
      <c r="AZ1289" s="138"/>
    </row>
    <row r="1290" spans="1:52" ht="17.100000000000001" customHeight="1" thickTop="1">
      <c r="A1290" s="109" t="s">
        <v>6382</v>
      </c>
      <c r="B1290" s="28">
        <v>45898</v>
      </c>
      <c r="C1290" s="25"/>
      <c r="D1290" s="13" t="s">
        <v>1795</v>
      </c>
      <c r="E1290" s="111"/>
      <c r="F1290" s="113" t="s">
        <v>4363</v>
      </c>
      <c r="G1290" s="114"/>
      <c r="H1290" s="115"/>
      <c r="I1290" s="24" t="s">
        <v>3745</v>
      </c>
      <c r="J1290" s="116">
        <v>4.5</v>
      </c>
      <c r="K1290" s="118">
        <f>3481500/1.1</f>
        <v>3164999.9999999995</v>
      </c>
      <c r="L1290" s="119"/>
      <c r="M1290" s="118">
        <f>K1290*0.1</f>
        <v>316500</v>
      </c>
      <c r="N1290" s="119"/>
      <c r="O1290" s="118">
        <v>8000</v>
      </c>
      <c r="P1290" s="119"/>
      <c r="Q1290" s="118">
        <v>11570</v>
      </c>
      <c r="R1290" s="119"/>
      <c r="S1290" s="118">
        <v>142038</v>
      </c>
      <c r="T1290" s="119"/>
      <c r="U1290" s="118">
        <f>SUM(K1290:T1291)</f>
        <v>3643107.9999999995</v>
      </c>
      <c r="V1290" s="122"/>
      <c r="W1290" s="124"/>
      <c r="X1290" s="126" t="s">
        <v>4431</v>
      </c>
      <c r="Y1290" s="127"/>
      <c r="Z1290" s="127"/>
      <c r="AA1290" s="127"/>
      <c r="AB1290" s="128"/>
      <c r="AC1290" s="15" t="s">
        <v>20</v>
      </c>
      <c r="AD1290" s="129" t="s">
        <v>1945</v>
      </c>
      <c r="AE1290" s="130"/>
      <c r="AF1290" s="130"/>
      <c r="AG1290" s="130"/>
      <c r="AH1290" s="130"/>
      <c r="AI1290" s="131"/>
      <c r="AJ1290" s="132"/>
      <c r="AK1290" s="127"/>
      <c r="AL1290" s="128"/>
      <c r="AM1290" s="21"/>
      <c r="AN1290" s="133">
        <v>45934</v>
      </c>
      <c r="AO1290" s="134"/>
      <c r="AP1290" s="135">
        <v>1270</v>
      </c>
      <c r="AQ1290" s="136"/>
      <c r="AR1290" s="118">
        <v>3480000</v>
      </c>
      <c r="AS1290" s="119"/>
      <c r="AT1290" s="118">
        <f>AR1290*0.1</f>
        <v>348000</v>
      </c>
      <c r="AU1290" s="119"/>
      <c r="AV1290" s="118">
        <v>11570</v>
      </c>
      <c r="AW1290" s="119"/>
      <c r="AX1290" s="118">
        <f>SUM(AR1290:AW1290)</f>
        <v>3839570</v>
      </c>
      <c r="AY1290" s="119"/>
      <c r="AZ1290" s="137">
        <v>45944</v>
      </c>
    </row>
    <row r="1291" spans="1:52" ht="17.100000000000001" customHeight="1" thickBot="1">
      <c r="A1291" s="110"/>
      <c r="B1291" s="27" t="s">
        <v>1718</v>
      </c>
      <c r="C1291" s="27" t="s">
        <v>4432</v>
      </c>
      <c r="D1291" s="14" t="s">
        <v>275</v>
      </c>
      <c r="E1291" s="112"/>
      <c r="F1291" s="139" t="s">
        <v>4433</v>
      </c>
      <c r="G1291" s="140"/>
      <c r="H1291" s="141"/>
      <c r="I1291" s="26">
        <v>14333</v>
      </c>
      <c r="J1291" s="117"/>
      <c r="K1291" s="120"/>
      <c r="L1291" s="121"/>
      <c r="M1291" s="120"/>
      <c r="N1291" s="121"/>
      <c r="O1291" s="120"/>
      <c r="P1291" s="121"/>
      <c r="Q1291" s="120"/>
      <c r="R1291" s="121"/>
      <c r="S1291" s="120"/>
      <c r="T1291" s="121"/>
      <c r="U1291" s="120"/>
      <c r="V1291" s="123"/>
      <c r="W1291" s="125"/>
      <c r="X1291" s="142" t="s">
        <v>4434</v>
      </c>
      <c r="Y1291" s="143"/>
      <c r="Z1291" s="143"/>
      <c r="AA1291" s="143"/>
      <c r="AB1291" s="144"/>
      <c r="AC1291" s="16" t="s">
        <v>21</v>
      </c>
      <c r="AD1291" s="17" t="s">
        <v>4184</v>
      </c>
      <c r="AE1291" s="145" t="s">
        <v>4435</v>
      </c>
      <c r="AF1291" s="146"/>
      <c r="AG1291" s="146"/>
      <c r="AH1291" s="146"/>
      <c r="AI1291" s="147"/>
      <c r="AJ1291" s="148"/>
      <c r="AK1291" s="143"/>
      <c r="AL1291" s="144"/>
      <c r="AM1291" s="22"/>
      <c r="AN1291" s="149" t="s">
        <v>7284</v>
      </c>
      <c r="AO1291" s="144"/>
      <c r="AP1291" s="148">
        <v>40012</v>
      </c>
      <c r="AQ1291" s="144"/>
      <c r="AR1291" s="120"/>
      <c r="AS1291" s="121"/>
      <c r="AT1291" s="120"/>
      <c r="AU1291" s="121"/>
      <c r="AV1291" s="120"/>
      <c r="AW1291" s="121"/>
      <c r="AX1291" s="120"/>
      <c r="AY1291" s="121"/>
      <c r="AZ1291" s="138"/>
    </row>
    <row r="1292" spans="1:52" ht="17.100000000000001" customHeight="1" thickTop="1">
      <c r="A1292" s="109" t="s">
        <v>6383</v>
      </c>
      <c r="B1292" s="28">
        <v>45898</v>
      </c>
      <c r="C1292" s="25">
        <v>1383</v>
      </c>
      <c r="D1292" s="13" t="s">
        <v>818</v>
      </c>
      <c r="E1292" s="111"/>
      <c r="F1292" s="113" t="s">
        <v>4436</v>
      </c>
      <c r="G1292" s="114"/>
      <c r="H1292" s="115"/>
      <c r="I1292" s="24" t="s">
        <v>4437</v>
      </c>
      <c r="J1292" s="150" t="s">
        <v>1715</v>
      </c>
      <c r="K1292" s="118">
        <v>751000</v>
      </c>
      <c r="L1292" s="119"/>
      <c r="M1292" s="118">
        <f>K1292*0.1</f>
        <v>75100</v>
      </c>
      <c r="N1292" s="119"/>
      <c r="O1292" s="118">
        <v>0</v>
      </c>
      <c r="P1292" s="119"/>
      <c r="Q1292" s="118">
        <v>7150</v>
      </c>
      <c r="R1292" s="119"/>
      <c r="S1292" s="118">
        <v>13200</v>
      </c>
      <c r="T1292" s="119"/>
      <c r="U1292" s="118">
        <f>SUM(K1292:T1293)</f>
        <v>846450</v>
      </c>
      <c r="V1292" s="122"/>
      <c r="W1292" s="124"/>
      <c r="X1292" s="126" t="s">
        <v>4438</v>
      </c>
      <c r="Y1292" s="127"/>
      <c r="Z1292" s="127"/>
      <c r="AA1292" s="127"/>
      <c r="AB1292" s="128"/>
      <c r="AC1292" s="15" t="s">
        <v>20</v>
      </c>
      <c r="AD1292" s="129"/>
      <c r="AE1292" s="130"/>
      <c r="AF1292" s="130"/>
      <c r="AG1292" s="130"/>
      <c r="AH1292" s="130"/>
      <c r="AI1292" s="131"/>
      <c r="AJ1292" s="132"/>
      <c r="AK1292" s="127"/>
      <c r="AL1292" s="128"/>
      <c r="AM1292" s="21" t="s">
        <v>4439</v>
      </c>
      <c r="AN1292" s="133">
        <v>45934</v>
      </c>
      <c r="AO1292" s="134"/>
      <c r="AP1292" s="135">
        <v>1270</v>
      </c>
      <c r="AQ1292" s="136"/>
      <c r="AR1292" s="118">
        <v>900000</v>
      </c>
      <c r="AS1292" s="119"/>
      <c r="AT1292" s="118">
        <f>AR1292*0.1</f>
        <v>90000</v>
      </c>
      <c r="AU1292" s="119"/>
      <c r="AV1292" s="118">
        <v>7150</v>
      </c>
      <c r="AW1292" s="119"/>
      <c r="AX1292" s="118">
        <f>SUM(AR1292:AW1292)</f>
        <v>997150</v>
      </c>
      <c r="AY1292" s="119"/>
      <c r="AZ1292" s="137">
        <v>45944</v>
      </c>
    </row>
    <row r="1293" spans="1:52" ht="17.100000000000001" customHeight="1" thickBot="1">
      <c r="A1293" s="110"/>
      <c r="B1293" s="27" t="s">
        <v>2641</v>
      </c>
      <c r="C1293" s="27">
        <v>3160</v>
      </c>
      <c r="D1293" s="14" t="s">
        <v>1720</v>
      </c>
      <c r="E1293" s="112"/>
      <c r="F1293" s="139" t="s">
        <v>4440</v>
      </c>
      <c r="G1293" s="140"/>
      <c r="H1293" s="141"/>
      <c r="I1293" s="26">
        <v>66995</v>
      </c>
      <c r="J1293" s="117"/>
      <c r="K1293" s="120"/>
      <c r="L1293" s="121"/>
      <c r="M1293" s="120"/>
      <c r="N1293" s="121"/>
      <c r="O1293" s="120"/>
      <c r="P1293" s="121"/>
      <c r="Q1293" s="120"/>
      <c r="R1293" s="121"/>
      <c r="S1293" s="120"/>
      <c r="T1293" s="121"/>
      <c r="U1293" s="120"/>
      <c r="V1293" s="123"/>
      <c r="W1293" s="125"/>
      <c r="X1293" s="142" t="s">
        <v>4441</v>
      </c>
      <c r="Y1293" s="143"/>
      <c r="Z1293" s="143"/>
      <c r="AA1293" s="143"/>
      <c r="AB1293" s="144"/>
      <c r="AC1293" s="16" t="s">
        <v>21</v>
      </c>
      <c r="AD1293" s="17" t="s">
        <v>2112</v>
      </c>
      <c r="AE1293" s="145" t="s">
        <v>4442</v>
      </c>
      <c r="AF1293" s="146"/>
      <c r="AG1293" s="146"/>
      <c r="AH1293" s="146"/>
      <c r="AI1293" s="147"/>
      <c r="AJ1293" s="148"/>
      <c r="AK1293" s="143"/>
      <c r="AL1293" s="144"/>
      <c r="AM1293" s="22"/>
      <c r="AN1293" s="149" t="s">
        <v>7285</v>
      </c>
      <c r="AO1293" s="144"/>
      <c r="AP1293" s="148">
        <v>60381</v>
      </c>
      <c r="AQ1293" s="144"/>
      <c r="AR1293" s="120"/>
      <c r="AS1293" s="121"/>
      <c r="AT1293" s="120"/>
      <c r="AU1293" s="121"/>
      <c r="AV1293" s="120"/>
      <c r="AW1293" s="121"/>
      <c r="AX1293" s="120"/>
      <c r="AY1293" s="121"/>
      <c r="AZ1293" s="138"/>
    </row>
    <row r="1294" spans="1:52" ht="17.100000000000001" customHeight="1" thickTop="1">
      <c r="A1294" s="109" t="s">
        <v>6384</v>
      </c>
      <c r="B1294" s="28">
        <v>45899</v>
      </c>
      <c r="C1294" s="25">
        <v>1265</v>
      </c>
      <c r="D1294" s="13" t="s">
        <v>4443</v>
      </c>
      <c r="E1294" s="111"/>
      <c r="F1294" s="113" t="s">
        <v>4444</v>
      </c>
      <c r="G1294" s="114"/>
      <c r="H1294" s="115"/>
      <c r="I1294" s="24" t="s">
        <v>4096</v>
      </c>
      <c r="J1294" s="116">
        <v>4.5</v>
      </c>
      <c r="K1294" s="118">
        <v>785000</v>
      </c>
      <c r="L1294" s="119"/>
      <c r="M1294" s="118">
        <f>K1294*0.1</f>
        <v>78500</v>
      </c>
      <c r="N1294" s="119"/>
      <c r="O1294" s="118">
        <v>0</v>
      </c>
      <c r="P1294" s="119"/>
      <c r="Q1294" s="118">
        <v>9010</v>
      </c>
      <c r="R1294" s="119"/>
      <c r="S1294" s="118">
        <v>12100</v>
      </c>
      <c r="T1294" s="119"/>
      <c r="U1294" s="118">
        <f>SUM(K1294:T1295)</f>
        <v>884610</v>
      </c>
      <c r="V1294" s="122"/>
      <c r="W1294" s="124"/>
      <c r="X1294" s="126" t="s">
        <v>4445</v>
      </c>
      <c r="Y1294" s="127"/>
      <c r="Z1294" s="127"/>
      <c r="AA1294" s="127"/>
      <c r="AB1294" s="128"/>
      <c r="AC1294" s="15" t="s">
        <v>20</v>
      </c>
      <c r="AD1294" s="129" t="s">
        <v>1575</v>
      </c>
      <c r="AE1294" s="130"/>
      <c r="AF1294" s="130"/>
      <c r="AG1294" s="130"/>
      <c r="AH1294" s="130"/>
      <c r="AI1294" s="131"/>
      <c r="AJ1294" s="132"/>
      <c r="AK1294" s="127"/>
      <c r="AL1294" s="128"/>
      <c r="AM1294" s="21" t="s">
        <v>4446</v>
      </c>
      <c r="AN1294" s="133">
        <v>45934</v>
      </c>
      <c r="AO1294" s="134"/>
      <c r="AP1294" s="135">
        <v>1270</v>
      </c>
      <c r="AQ1294" s="136"/>
      <c r="AR1294" s="118">
        <v>880000</v>
      </c>
      <c r="AS1294" s="119"/>
      <c r="AT1294" s="118">
        <f>AR1294*0.1</f>
        <v>88000</v>
      </c>
      <c r="AU1294" s="119"/>
      <c r="AV1294" s="118">
        <v>9010</v>
      </c>
      <c r="AW1294" s="119"/>
      <c r="AX1294" s="118">
        <f>SUM(AR1294:AW1294)</f>
        <v>977010</v>
      </c>
      <c r="AY1294" s="119"/>
      <c r="AZ1294" s="137">
        <v>45938</v>
      </c>
    </row>
    <row r="1295" spans="1:52" ht="17.100000000000001" customHeight="1" thickBot="1">
      <c r="A1295" s="110"/>
      <c r="B1295" s="27" t="s">
        <v>2511</v>
      </c>
      <c r="C1295" s="27">
        <v>65226</v>
      </c>
      <c r="D1295" s="14" t="s">
        <v>2601</v>
      </c>
      <c r="E1295" s="112"/>
      <c r="F1295" s="139" t="s">
        <v>4447</v>
      </c>
      <c r="G1295" s="140"/>
      <c r="H1295" s="141"/>
      <c r="I1295" s="26">
        <v>77384</v>
      </c>
      <c r="J1295" s="117"/>
      <c r="K1295" s="120"/>
      <c r="L1295" s="121"/>
      <c r="M1295" s="120"/>
      <c r="N1295" s="121"/>
      <c r="O1295" s="120"/>
      <c r="P1295" s="121"/>
      <c r="Q1295" s="120"/>
      <c r="R1295" s="121"/>
      <c r="S1295" s="120"/>
      <c r="T1295" s="121"/>
      <c r="U1295" s="120"/>
      <c r="V1295" s="123"/>
      <c r="W1295" s="125"/>
      <c r="X1295" s="142" t="s">
        <v>4448</v>
      </c>
      <c r="Y1295" s="143"/>
      <c r="Z1295" s="143"/>
      <c r="AA1295" s="143"/>
      <c r="AB1295" s="144"/>
      <c r="AC1295" s="16" t="s">
        <v>21</v>
      </c>
      <c r="AD1295" s="17" t="s">
        <v>2571</v>
      </c>
      <c r="AE1295" s="145" t="s">
        <v>171</v>
      </c>
      <c r="AF1295" s="146"/>
      <c r="AG1295" s="146"/>
      <c r="AH1295" s="146"/>
      <c r="AI1295" s="147"/>
      <c r="AJ1295" s="148"/>
      <c r="AK1295" s="143"/>
      <c r="AL1295" s="144"/>
      <c r="AM1295" s="22"/>
      <c r="AN1295" s="149" t="s">
        <v>7284</v>
      </c>
      <c r="AO1295" s="144"/>
      <c r="AP1295" s="148">
        <v>60321</v>
      </c>
      <c r="AQ1295" s="144"/>
      <c r="AR1295" s="120"/>
      <c r="AS1295" s="121"/>
      <c r="AT1295" s="120"/>
      <c r="AU1295" s="121"/>
      <c r="AV1295" s="120"/>
      <c r="AW1295" s="121"/>
      <c r="AX1295" s="120"/>
      <c r="AY1295" s="121"/>
      <c r="AZ1295" s="138"/>
    </row>
    <row r="1296" spans="1:52" ht="17.100000000000001" customHeight="1" thickTop="1">
      <c r="A1296" s="109" t="s">
        <v>6385</v>
      </c>
      <c r="B1296" s="28">
        <v>45899</v>
      </c>
      <c r="C1296" s="25">
        <v>1265</v>
      </c>
      <c r="D1296" s="13" t="s">
        <v>2759</v>
      </c>
      <c r="E1296" s="111"/>
      <c r="F1296" s="113" t="s">
        <v>4449</v>
      </c>
      <c r="G1296" s="114"/>
      <c r="H1296" s="115"/>
      <c r="I1296" s="24"/>
      <c r="J1296" s="116">
        <v>4.5</v>
      </c>
      <c r="K1296" s="118">
        <v>785000</v>
      </c>
      <c r="L1296" s="119"/>
      <c r="M1296" s="118">
        <f>K1296*0.1</f>
        <v>78500</v>
      </c>
      <c r="N1296" s="119"/>
      <c r="O1296" s="118">
        <v>0</v>
      </c>
      <c r="P1296" s="119"/>
      <c r="Q1296" s="118">
        <v>8740</v>
      </c>
      <c r="R1296" s="119"/>
      <c r="S1296" s="118">
        <v>12100</v>
      </c>
      <c r="T1296" s="119"/>
      <c r="U1296" s="118">
        <f>SUM(K1296:T1297)</f>
        <v>884340</v>
      </c>
      <c r="V1296" s="122"/>
      <c r="W1296" s="124"/>
      <c r="X1296" s="126" t="s">
        <v>4450</v>
      </c>
      <c r="Y1296" s="127"/>
      <c r="Z1296" s="127"/>
      <c r="AA1296" s="127"/>
      <c r="AB1296" s="128"/>
      <c r="AC1296" s="15" t="s">
        <v>20</v>
      </c>
      <c r="AD1296" s="129" t="s">
        <v>1732</v>
      </c>
      <c r="AE1296" s="130"/>
      <c r="AF1296" s="130"/>
      <c r="AG1296" s="130"/>
      <c r="AH1296" s="130"/>
      <c r="AI1296" s="131"/>
      <c r="AJ1296" s="132"/>
      <c r="AK1296" s="127"/>
      <c r="AL1296" s="128"/>
      <c r="AM1296" s="21"/>
      <c r="AN1296" s="133">
        <v>45945</v>
      </c>
      <c r="AO1296" s="134"/>
      <c r="AP1296" s="135">
        <v>988</v>
      </c>
      <c r="AQ1296" s="136"/>
      <c r="AR1296" s="118">
        <v>850000</v>
      </c>
      <c r="AS1296" s="119"/>
      <c r="AT1296" s="118">
        <f>AR1296*0.1</f>
        <v>85000</v>
      </c>
      <c r="AU1296" s="119"/>
      <c r="AV1296" s="118">
        <v>8740</v>
      </c>
      <c r="AW1296" s="119"/>
      <c r="AX1296" s="118">
        <f>SUM(AR1296:AW1296)</f>
        <v>943740</v>
      </c>
      <c r="AY1296" s="119"/>
      <c r="AZ1296" s="137">
        <v>45952</v>
      </c>
    </row>
    <row r="1297" spans="1:52" ht="17.100000000000001" customHeight="1" thickBot="1">
      <c r="A1297" s="110"/>
      <c r="B1297" s="27" t="s">
        <v>2511</v>
      </c>
      <c r="C1297" s="27">
        <v>65303</v>
      </c>
      <c r="D1297" s="14" t="s">
        <v>3855</v>
      </c>
      <c r="E1297" s="112"/>
      <c r="F1297" s="139" t="s">
        <v>4451</v>
      </c>
      <c r="G1297" s="140"/>
      <c r="H1297" s="141"/>
      <c r="I1297" s="26">
        <v>47265</v>
      </c>
      <c r="J1297" s="117"/>
      <c r="K1297" s="120"/>
      <c r="L1297" s="121"/>
      <c r="M1297" s="120"/>
      <c r="N1297" s="121"/>
      <c r="O1297" s="120"/>
      <c r="P1297" s="121"/>
      <c r="Q1297" s="120"/>
      <c r="R1297" s="121"/>
      <c r="S1297" s="120"/>
      <c r="T1297" s="121"/>
      <c r="U1297" s="120"/>
      <c r="V1297" s="123"/>
      <c r="W1297" s="125"/>
      <c r="X1297" s="142" t="s">
        <v>4452</v>
      </c>
      <c r="Y1297" s="143"/>
      <c r="Z1297" s="143"/>
      <c r="AA1297" s="143"/>
      <c r="AB1297" s="144"/>
      <c r="AC1297" s="16" t="s">
        <v>21</v>
      </c>
      <c r="AD1297" s="17" t="s">
        <v>4390</v>
      </c>
      <c r="AE1297" s="145" t="s">
        <v>4453</v>
      </c>
      <c r="AF1297" s="146"/>
      <c r="AG1297" s="146"/>
      <c r="AH1297" s="146"/>
      <c r="AI1297" s="147"/>
      <c r="AJ1297" s="148"/>
      <c r="AK1297" s="143"/>
      <c r="AL1297" s="144"/>
      <c r="AM1297" s="22"/>
      <c r="AN1297" s="149" t="s">
        <v>8809</v>
      </c>
      <c r="AO1297" s="144"/>
      <c r="AP1297" s="148">
        <v>2013</v>
      </c>
      <c r="AQ1297" s="144"/>
      <c r="AR1297" s="120"/>
      <c r="AS1297" s="121"/>
      <c r="AT1297" s="120"/>
      <c r="AU1297" s="121"/>
      <c r="AV1297" s="120"/>
      <c r="AW1297" s="121"/>
      <c r="AX1297" s="120"/>
      <c r="AY1297" s="121"/>
      <c r="AZ1297" s="138"/>
    </row>
    <row r="1298" spans="1:52" ht="17.100000000000001" customHeight="1" thickTop="1">
      <c r="A1298" s="109" t="s">
        <v>6386</v>
      </c>
      <c r="B1298" s="28">
        <v>45899</v>
      </c>
      <c r="C1298" s="25">
        <v>1265</v>
      </c>
      <c r="D1298" s="13" t="s">
        <v>4121</v>
      </c>
      <c r="E1298" s="111"/>
      <c r="F1298" s="113" t="s">
        <v>4454</v>
      </c>
      <c r="G1298" s="114"/>
      <c r="H1298" s="115"/>
      <c r="I1298" s="24" t="s">
        <v>4455</v>
      </c>
      <c r="J1298" s="116">
        <v>4.5</v>
      </c>
      <c r="K1298" s="118">
        <v>1255000</v>
      </c>
      <c r="L1298" s="119"/>
      <c r="M1298" s="118">
        <f>K1298*0.1</f>
        <v>125500</v>
      </c>
      <c r="N1298" s="119"/>
      <c r="O1298" s="118">
        <f>20100+2010</f>
        <v>22110</v>
      </c>
      <c r="P1298" s="119"/>
      <c r="Q1298" s="118">
        <v>12680</v>
      </c>
      <c r="R1298" s="119"/>
      <c r="S1298" s="118">
        <v>16500</v>
      </c>
      <c r="T1298" s="119"/>
      <c r="U1298" s="118">
        <f>SUM(K1298:T1299)</f>
        <v>1431790</v>
      </c>
      <c r="V1298" s="122"/>
      <c r="W1298" s="124"/>
      <c r="X1298" s="126" t="s">
        <v>4456</v>
      </c>
      <c r="Y1298" s="127"/>
      <c r="Z1298" s="127"/>
      <c r="AA1298" s="127"/>
      <c r="AB1298" s="128"/>
      <c r="AC1298" s="15" t="s">
        <v>20</v>
      </c>
      <c r="AD1298" s="129"/>
      <c r="AE1298" s="130"/>
      <c r="AF1298" s="130"/>
      <c r="AG1298" s="130"/>
      <c r="AH1298" s="130"/>
      <c r="AI1298" s="131"/>
      <c r="AJ1298" s="132"/>
      <c r="AK1298" s="127"/>
      <c r="AL1298" s="128"/>
      <c r="AM1298" s="21"/>
      <c r="AN1298" s="133">
        <v>45931</v>
      </c>
      <c r="AO1298" s="134"/>
      <c r="AP1298" s="135">
        <v>986</v>
      </c>
      <c r="AQ1298" s="136"/>
      <c r="AR1298" s="118">
        <v>1350000</v>
      </c>
      <c r="AS1298" s="119"/>
      <c r="AT1298" s="118">
        <f>AR1298*0.1</f>
        <v>135000</v>
      </c>
      <c r="AU1298" s="119"/>
      <c r="AV1298" s="118">
        <v>12680</v>
      </c>
      <c r="AW1298" s="119"/>
      <c r="AX1298" s="118">
        <f>SUM(AR1298:AW1298)</f>
        <v>1497680</v>
      </c>
      <c r="AY1298" s="119"/>
      <c r="AZ1298" s="137">
        <v>45937</v>
      </c>
    </row>
    <row r="1299" spans="1:52" ht="17.100000000000001" customHeight="1" thickBot="1">
      <c r="A1299" s="110"/>
      <c r="B1299" s="27" t="s">
        <v>2511</v>
      </c>
      <c r="C1299" s="27">
        <v>82393</v>
      </c>
      <c r="D1299" s="14" t="s">
        <v>904</v>
      </c>
      <c r="E1299" s="112"/>
      <c r="F1299" s="139" t="s">
        <v>4457</v>
      </c>
      <c r="G1299" s="140"/>
      <c r="H1299" s="141"/>
      <c r="I1299" s="26">
        <v>79954</v>
      </c>
      <c r="J1299" s="117"/>
      <c r="K1299" s="120"/>
      <c r="L1299" s="121"/>
      <c r="M1299" s="120"/>
      <c r="N1299" s="121"/>
      <c r="O1299" s="120"/>
      <c r="P1299" s="121"/>
      <c r="Q1299" s="120"/>
      <c r="R1299" s="121"/>
      <c r="S1299" s="120"/>
      <c r="T1299" s="121"/>
      <c r="U1299" s="120"/>
      <c r="V1299" s="123"/>
      <c r="W1299" s="125"/>
      <c r="X1299" s="142" t="s">
        <v>2918</v>
      </c>
      <c r="Y1299" s="143"/>
      <c r="Z1299" s="143"/>
      <c r="AA1299" s="143"/>
      <c r="AB1299" s="144"/>
      <c r="AC1299" s="16" t="s">
        <v>21</v>
      </c>
      <c r="AD1299" s="17" t="s">
        <v>4390</v>
      </c>
      <c r="AE1299" s="145" t="s">
        <v>4458</v>
      </c>
      <c r="AF1299" s="146"/>
      <c r="AG1299" s="146"/>
      <c r="AH1299" s="146"/>
      <c r="AI1299" s="147"/>
      <c r="AJ1299" s="148" t="s">
        <v>4459</v>
      </c>
      <c r="AK1299" s="143"/>
      <c r="AL1299" s="144"/>
      <c r="AM1299" s="22"/>
      <c r="AN1299" s="149" t="s">
        <v>7285</v>
      </c>
      <c r="AO1299" s="144"/>
      <c r="AP1299" s="148">
        <v>6001</v>
      </c>
      <c r="AQ1299" s="144"/>
      <c r="AR1299" s="120"/>
      <c r="AS1299" s="121"/>
      <c r="AT1299" s="120"/>
      <c r="AU1299" s="121"/>
      <c r="AV1299" s="120"/>
      <c r="AW1299" s="121"/>
      <c r="AX1299" s="120"/>
      <c r="AY1299" s="121"/>
      <c r="AZ1299" s="138"/>
    </row>
    <row r="1300" spans="1:52" ht="17.100000000000001" customHeight="1" thickTop="1">
      <c r="A1300" s="109" t="s">
        <v>6387</v>
      </c>
      <c r="B1300" s="28">
        <v>45901</v>
      </c>
      <c r="C1300" s="25">
        <v>2058</v>
      </c>
      <c r="D1300" s="13" t="s">
        <v>3550</v>
      </c>
      <c r="E1300" s="111"/>
      <c r="F1300" s="113" t="s">
        <v>4460</v>
      </c>
      <c r="G1300" s="114"/>
      <c r="H1300" s="115"/>
      <c r="I1300" s="24"/>
      <c r="J1300" s="116">
        <v>4</v>
      </c>
      <c r="K1300" s="118">
        <v>3485000</v>
      </c>
      <c r="L1300" s="119"/>
      <c r="M1300" s="118">
        <f>K1300*0.1</f>
        <v>348500</v>
      </c>
      <c r="N1300" s="119"/>
      <c r="O1300" s="118">
        <v>0</v>
      </c>
      <c r="P1300" s="119"/>
      <c r="Q1300" s="118">
        <v>17640</v>
      </c>
      <c r="R1300" s="119"/>
      <c r="S1300" s="118">
        <v>12100</v>
      </c>
      <c r="T1300" s="119"/>
      <c r="U1300" s="118">
        <f>SUM(K1300:T1301)</f>
        <v>3863240</v>
      </c>
      <c r="V1300" s="122"/>
      <c r="W1300" s="124"/>
      <c r="X1300" s="126" t="s">
        <v>4461</v>
      </c>
      <c r="Y1300" s="127"/>
      <c r="Z1300" s="127"/>
      <c r="AA1300" s="127"/>
      <c r="AB1300" s="128"/>
      <c r="AC1300" s="15" t="s">
        <v>20</v>
      </c>
      <c r="AD1300" s="129" t="s">
        <v>4462</v>
      </c>
      <c r="AE1300" s="130"/>
      <c r="AF1300" s="130"/>
      <c r="AG1300" s="130"/>
      <c r="AH1300" s="130"/>
      <c r="AI1300" s="131"/>
      <c r="AJ1300" s="132"/>
      <c r="AK1300" s="127"/>
      <c r="AL1300" s="128"/>
      <c r="AM1300" s="21"/>
      <c r="AN1300" s="133">
        <v>45990</v>
      </c>
      <c r="AO1300" s="134"/>
      <c r="AP1300" s="135">
        <v>1278</v>
      </c>
      <c r="AQ1300" s="136"/>
      <c r="AR1300" s="118">
        <v>3700000</v>
      </c>
      <c r="AS1300" s="119"/>
      <c r="AT1300" s="118">
        <f>AR1300*0.1</f>
        <v>370000</v>
      </c>
      <c r="AU1300" s="119"/>
      <c r="AV1300" s="118">
        <v>17640</v>
      </c>
      <c r="AW1300" s="119"/>
      <c r="AX1300" s="118">
        <f>SUM(AR1300:AW1300)</f>
        <v>4087640</v>
      </c>
      <c r="AY1300" s="119"/>
      <c r="AZ1300" s="137">
        <v>45995</v>
      </c>
    </row>
    <row r="1301" spans="1:52" ht="17.100000000000001" customHeight="1" thickBot="1">
      <c r="A1301" s="110"/>
      <c r="B1301" s="27" t="s">
        <v>83</v>
      </c>
      <c r="C1301" s="27">
        <v>11017</v>
      </c>
      <c r="D1301" s="14" t="s">
        <v>1556</v>
      </c>
      <c r="E1301" s="112"/>
      <c r="F1301" s="139" t="s">
        <v>4463</v>
      </c>
      <c r="G1301" s="140"/>
      <c r="H1301" s="141"/>
      <c r="I1301" s="26">
        <v>45750</v>
      </c>
      <c r="J1301" s="117"/>
      <c r="K1301" s="120"/>
      <c r="L1301" s="121"/>
      <c r="M1301" s="120"/>
      <c r="N1301" s="121"/>
      <c r="O1301" s="120"/>
      <c r="P1301" s="121"/>
      <c r="Q1301" s="120"/>
      <c r="R1301" s="121"/>
      <c r="S1301" s="120"/>
      <c r="T1301" s="121"/>
      <c r="U1301" s="120"/>
      <c r="V1301" s="123"/>
      <c r="W1301" s="125"/>
      <c r="X1301" s="142" t="s">
        <v>4464</v>
      </c>
      <c r="Y1301" s="143"/>
      <c r="Z1301" s="143"/>
      <c r="AA1301" s="143"/>
      <c r="AB1301" s="144"/>
      <c r="AC1301" s="16" t="s">
        <v>21</v>
      </c>
      <c r="AD1301" s="17" t="s">
        <v>3931</v>
      </c>
      <c r="AE1301" s="158" t="s">
        <v>2195</v>
      </c>
      <c r="AF1301" s="146"/>
      <c r="AG1301" s="146"/>
      <c r="AH1301" s="146"/>
      <c r="AI1301" s="147"/>
      <c r="AJ1301" s="148"/>
      <c r="AK1301" s="143"/>
      <c r="AL1301" s="144"/>
      <c r="AM1301" s="22"/>
      <c r="AN1301" s="149" t="s">
        <v>6748</v>
      </c>
      <c r="AO1301" s="144"/>
      <c r="AP1301" s="148">
        <v>80060</v>
      </c>
      <c r="AQ1301" s="144"/>
      <c r="AR1301" s="120"/>
      <c r="AS1301" s="121"/>
      <c r="AT1301" s="120"/>
      <c r="AU1301" s="121"/>
      <c r="AV1301" s="120"/>
      <c r="AW1301" s="121"/>
      <c r="AX1301" s="120"/>
      <c r="AY1301" s="121"/>
      <c r="AZ1301" s="138"/>
    </row>
    <row r="1302" spans="1:52" ht="17.100000000000001" customHeight="1" thickTop="1">
      <c r="A1302" s="109" t="s">
        <v>6388</v>
      </c>
      <c r="B1302" s="28">
        <v>45901</v>
      </c>
      <c r="C1302" s="25">
        <v>2058</v>
      </c>
      <c r="D1302" s="13" t="s">
        <v>3322</v>
      </c>
      <c r="E1302" s="111"/>
      <c r="F1302" s="113" t="s">
        <v>2732</v>
      </c>
      <c r="G1302" s="114"/>
      <c r="H1302" s="115"/>
      <c r="I1302" s="24"/>
      <c r="J1302" s="116">
        <v>3.5</v>
      </c>
      <c r="K1302" s="118">
        <v>1470000</v>
      </c>
      <c r="L1302" s="119"/>
      <c r="M1302" s="118">
        <f>K1302*0.1</f>
        <v>147000</v>
      </c>
      <c r="N1302" s="119"/>
      <c r="O1302" s="118">
        <v>0</v>
      </c>
      <c r="P1302" s="119"/>
      <c r="Q1302" s="118">
        <v>19090</v>
      </c>
      <c r="R1302" s="119"/>
      <c r="S1302" s="118">
        <v>11000</v>
      </c>
      <c r="T1302" s="119"/>
      <c r="U1302" s="118">
        <f>SUM(K1302:T1303)</f>
        <v>1647090</v>
      </c>
      <c r="V1302" s="122"/>
      <c r="W1302" s="124"/>
      <c r="X1302" s="126" t="s">
        <v>4465</v>
      </c>
      <c r="Y1302" s="127"/>
      <c r="Z1302" s="127"/>
      <c r="AA1302" s="127"/>
      <c r="AB1302" s="128"/>
      <c r="AC1302" s="15" t="s">
        <v>20</v>
      </c>
      <c r="AD1302" s="129" t="s">
        <v>171</v>
      </c>
      <c r="AE1302" s="130"/>
      <c r="AF1302" s="130"/>
      <c r="AG1302" s="130"/>
      <c r="AH1302" s="130"/>
      <c r="AI1302" s="131"/>
      <c r="AJ1302" s="132"/>
      <c r="AK1302" s="127"/>
      <c r="AL1302" s="128"/>
      <c r="AM1302" s="21"/>
      <c r="AN1302" s="133"/>
      <c r="AO1302" s="134"/>
      <c r="AP1302" s="135"/>
      <c r="AQ1302" s="136"/>
      <c r="AR1302" s="118"/>
      <c r="AS1302" s="119"/>
      <c r="AT1302" s="118">
        <f>AR1302*0.1</f>
        <v>0</v>
      </c>
      <c r="AU1302" s="119"/>
      <c r="AV1302" s="118"/>
      <c r="AW1302" s="119"/>
      <c r="AX1302" s="118">
        <f>SUM(AR1302:AW1302)</f>
        <v>0</v>
      </c>
      <c r="AY1302" s="119"/>
      <c r="AZ1302" s="137"/>
    </row>
    <row r="1303" spans="1:52" ht="17.100000000000001" customHeight="1" thickBot="1">
      <c r="A1303" s="110"/>
      <c r="B1303" s="27" t="s">
        <v>83</v>
      </c>
      <c r="C1303" s="27">
        <v>32007</v>
      </c>
      <c r="D1303" s="14" t="s">
        <v>1592</v>
      </c>
      <c r="E1303" s="112"/>
      <c r="F1303" s="139" t="s">
        <v>4466</v>
      </c>
      <c r="G1303" s="140"/>
      <c r="H1303" s="141"/>
      <c r="I1303" s="26">
        <v>38854</v>
      </c>
      <c r="J1303" s="117"/>
      <c r="K1303" s="120"/>
      <c r="L1303" s="121"/>
      <c r="M1303" s="120"/>
      <c r="N1303" s="121"/>
      <c r="O1303" s="120"/>
      <c r="P1303" s="121"/>
      <c r="Q1303" s="120"/>
      <c r="R1303" s="121"/>
      <c r="S1303" s="120"/>
      <c r="T1303" s="121"/>
      <c r="U1303" s="120"/>
      <c r="V1303" s="123"/>
      <c r="W1303" s="125"/>
      <c r="X1303" s="142" t="s">
        <v>4464</v>
      </c>
      <c r="Y1303" s="143"/>
      <c r="Z1303" s="143"/>
      <c r="AA1303" s="143"/>
      <c r="AB1303" s="144"/>
      <c r="AC1303" s="16" t="s">
        <v>21</v>
      </c>
      <c r="AD1303" s="17" t="s">
        <v>2976</v>
      </c>
      <c r="AE1303" s="145" t="s">
        <v>1742</v>
      </c>
      <c r="AF1303" s="146"/>
      <c r="AG1303" s="146"/>
      <c r="AH1303" s="146"/>
      <c r="AI1303" s="147"/>
      <c r="AJ1303" s="148"/>
      <c r="AK1303" s="143"/>
      <c r="AL1303" s="144"/>
      <c r="AM1303" s="22"/>
      <c r="AN1303" s="149"/>
      <c r="AO1303" s="144"/>
      <c r="AP1303" s="148"/>
      <c r="AQ1303" s="144"/>
      <c r="AR1303" s="120"/>
      <c r="AS1303" s="121"/>
      <c r="AT1303" s="120"/>
      <c r="AU1303" s="121"/>
      <c r="AV1303" s="120"/>
      <c r="AW1303" s="121"/>
      <c r="AX1303" s="120"/>
      <c r="AY1303" s="121"/>
      <c r="AZ1303" s="138"/>
    </row>
    <row r="1304" spans="1:52" ht="17.100000000000001" customHeight="1" thickTop="1">
      <c r="A1304" s="109" t="s">
        <v>6389</v>
      </c>
      <c r="B1304" s="28">
        <v>45901</v>
      </c>
      <c r="C1304" s="25"/>
      <c r="D1304" s="13" t="s">
        <v>2390</v>
      </c>
      <c r="E1304" s="111"/>
      <c r="F1304" s="113" t="s">
        <v>4467</v>
      </c>
      <c r="G1304" s="114"/>
      <c r="H1304" s="115"/>
      <c r="I1304" s="24" t="s">
        <v>4468</v>
      </c>
      <c r="J1304" s="116">
        <v>4</v>
      </c>
      <c r="K1304" s="118">
        <f>363000/1.1</f>
        <v>330000</v>
      </c>
      <c r="L1304" s="119"/>
      <c r="M1304" s="118">
        <f>K1304*0.1</f>
        <v>33000</v>
      </c>
      <c r="N1304" s="119"/>
      <c r="O1304" s="118">
        <v>0</v>
      </c>
      <c r="P1304" s="119"/>
      <c r="Q1304" s="118">
        <v>9300</v>
      </c>
      <c r="R1304" s="119"/>
      <c r="S1304" s="118">
        <v>45159</v>
      </c>
      <c r="T1304" s="119"/>
      <c r="U1304" s="118">
        <f>SUM(K1304:T1305)</f>
        <v>417459</v>
      </c>
      <c r="V1304" s="122"/>
      <c r="W1304" s="124"/>
      <c r="X1304" s="126" t="s">
        <v>4469</v>
      </c>
      <c r="Y1304" s="127"/>
      <c r="Z1304" s="127"/>
      <c r="AA1304" s="127"/>
      <c r="AB1304" s="128"/>
      <c r="AC1304" s="15" t="s">
        <v>20</v>
      </c>
      <c r="AD1304" s="129" t="s">
        <v>171</v>
      </c>
      <c r="AE1304" s="130"/>
      <c r="AF1304" s="130"/>
      <c r="AG1304" s="130"/>
      <c r="AH1304" s="130"/>
      <c r="AI1304" s="131"/>
      <c r="AJ1304" s="132"/>
      <c r="AK1304" s="127"/>
      <c r="AL1304" s="128"/>
      <c r="AM1304" s="21"/>
      <c r="AN1304" s="133">
        <v>45941</v>
      </c>
      <c r="AO1304" s="134"/>
      <c r="AP1304" s="135">
        <v>1271</v>
      </c>
      <c r="AQ1304" s="136"/>
      <c r="AR1304" s="118">
        <v>275000</v>
      </c>
      <c r="AS1304" s="119"/>
      <c r="AT1304" s="118">
        <f>AR1304*0.1</f>
        <v>27500</v>
      </c>
      <c r="AU1304" s="119"/>
      <c r="AV1304" s="118">
        <v>9300</v>
      </c>
      <c r="AW1304" s="119"/>
      <c r="AX1304" s="118">
        <f>SUM(AR1304:AW1304)</f>
        <v>311800</v>
      </c>
      <c r="AY1304" s="119"/>
      <c r="AZ1304" s="137">
        <v>45944</v>
      </c>
    </row>
    <row r="1305" spans="1:52" ht="17.100000000000001" customHeight="1" thickBot="1">
      <c r="A1305" s="110"/>
      <c r="B1305" s="27" t="s">
        <v>1718</v>
      </c>
      <c r="C1305" s="27" t="s">
        <v>4470</v>
      </c>
      <c r="D1305" s="14" t="s">
        <v>133</v>
      </c>
      <c r="E1305" s="112"/>
      <c r="F1305" s="139" t="s">
        <v>4471</v>
      </c>
      <c r="G1305" s="140"/>
      <c r="H1305" s="141"/>
      <c r="I1305" s="26">
        <v>70942</v>
      </c>
      <c r="J1305" s="117"/>
      <c r="K1305" s="120"/>
      <c r="L1305" s="121"/>
      <c r="M1305" s="120"/>
      <c r="N1305" s="121"/>
      <c r="O1305" s="120"/>
      <c r="P1305" s="121"/>
      <c r="Q1305" s="120"/>
      <c r="R1305" s="121"/>
      <c r="S1305" s="120"/>
      <c r="T1305" s="121"/>
      <c r="U1305" s="120"/>
      <c r="V1305" s="123"/>
      <c r="W1305" s="125"/>
      <c r="X1305" s="142" t="s">
        <v>4472</v>
      </c>
      <c r="Y1305" s="143"/>
      <c r="Z1305" s="143"/>
      <c r="AA1305" s="143"/>
      <c r="AB1305" s="144"/>
      <c r="AC1305" s="16" t="s">
        <v>21</v>
      </c>
      <c r="AD1305" s="17" t="s">
        <v>2119</v>
      </c>
      <c r="AE1305" s="145" t="s">
        <v>171</v>
      </c>
      <c r="AF1305" s="146"/>
      <c r="AG1305" s="146"/>
      <c r="AH1305" s="146"/>
      <c r="AI1305" s="147"/>
      <c r="AJ1305" s="148"/>
      <c r="AK1305" s="143"/>
      <c r="AL1305" s="144"/>
      <c r="AM1305" s="22"/>
      <c r="AN1305" s="149" t="s">
        <v>2511</v>
      </c>
      <c r="AO1305" s="144"/>
      <c r="AP1305" s="148">
        <v>31092</v>
      </c>
      <c r="AQ1305" s="144"/>
      <c r="AR1305" s="120"/>
      <c r="AS1305" s="121"/>
      <c r="AT1305" s="120"/>
      <c r="AU1305" s="121"/>
      <c r="AV1305" s="120"/>
      <c r="AW1305" s="121"/>
      <c r="AX1305" s="120"/>
      <c r="AY1305" s="121"/>
      <c r="AZ1305" s="138"/>
    </row>
    <row r="1306" spans="1:52" ht="17.100000000000001" customHeight="1" thickTop="1">
      <c r="A1306" s="109" t="s">
        <v>6390</v>
      </c>
      <c r="B1306" s="28">
        <v>45901</v>
      </c>
      <c r="C1306" s="25"/>
      <c r="D1306" s="13" t="s">
        <v>1623</v>
      </c>
      <c r="E1306" s="111"/>
      <c r="F1306" s="113" t="s">
        <v>4473</v>
      </c>
      <c r="G1306" s="114"/>
      <c r="H1306" s="115"/>
      <c r="I1306" s="24"/>
      <c r="J1306" s="116">
        <v>3.5</v>
      </c>
      <c r="K1306" s="118">
        <v>328000</v>
      </c>
      <c r="L1306" s="119"/>
      <c r="M1306" s="118">
        <f>K1306*0.1</f>
        <v>32800</v>
      </c>
      <c r="N1306" s="119"/>
      <c r="O1306" s="118">
        <v>0</v>
      </c>
      <c r="P1306" s="119"/>
      <c r="Q1306" s="118">
        <v>9790</v>
      </c>
      <c r="R1306" s="119"/>
      <c r="S1306" s="118">
        <v>15950</v>
      </c>
      <c r="T1306" s="119"/>
      <c r="U1306" s="118">
        <f>SUM(K1306:T1307)</f>
        <v>386540</v>
      </c>
      <c r="V1306" s="122"/>
      <c r="W1306" s="124"/>
      <c r="X1306" s="126" t="s">
        <v>4474</v>
      </c>
      <c r="Y1306" s="127"/>
      <c r="Z1306" s="127"/>
      <c r="AA1306" s="127"/>
      <c r="AB1306" s="128"/>
      <c r="AC1306" s="15" t="s">
        <v>20</v>
      </c>
      <c r="AD1306" s="129"/>
      <c r="AE1306" s="130"/>
      <c r="AF1306" s="130"/>
      <c r="AG1306" s="130"/>
      <c r="AH1306" s="130"/>
      <c r="AI1306" s="131"/>
      <c r="AJ1306" s="132"/>
      <c r="AK1306" s="127"/>
      <c r="AL1306" s="128"/>
      <c r="AM1306" s="21"/>
      <c r="AN1306" s="133">
        <v>45934</v>
      </c>
      <c r="AO1306" s="134"/>
      <c r="AP1306" s="135">
        <v>1270</v>
      </c>
      <c r="AQ1306" s="136"/>
      <c r="AR1306" s="118">
        <v>380000</v>
      </c>
      <c r="AS1306" s="119"/>
      <c r="AT1306" s="118">
        <f>AR1306*0.1</f>
        <v>38000</v>
      </c>
      <c r="AU1306" s="119"/>
      <c r="AV1306" s="118">
        <v>9790</v>
      </c>
      <c r="AW1306" s="119"/>
      <c r="AX1306" s="118">
        <f>SUM(AR1306:AW1306)</f>
        <v>427790</v>
      </c>
      <c r="AY1306" s="119"/>
      <c r="AZ1306" s="137">
        <v>45937</v>
      </c>
    </row>
    <row r="1307" spans="1:52" ht="17.100000000000001" customHeight="1" thickBot="1">
      <c r="A1307" s="110"/>
      <c r="B1307" s="27" t="s">
        <v>4475</v>
      </c>
      <c r="C1307" s="27">
        <v>79158</v>
      </c>
      <c r="D1307" s="14" t="s">
        <v>1576</v>
      </c>
      <c r="E1307" s="112"/>
      <c r="F1307" s="139" t="s">
        <v>4476</v>
      </c>
      <c r="G1307" s="140"/>
      <c r="H1307" s="141"/>
      <c r="I1307" s="26">
        <v>59556</v>
      </c>
      <c r="J1307" s="117"/>
      <c r="K1307" s="120"/>
      <c r="L1307" s="121"/>
      <c r="M1307" s="120"/>
      <c r="N1307" s="121"/>
      <c r="O1307" s="120"/>
      <c r="P1307" s="121"/>
      <c r="Q1307" s="120"/>
      <c r="R1307" s="121"/>
      <c r="S1307" s="120"/>
      <c r="T1307" s="121"/>
      <c r="U1307" s="120"/>
      <c r="V1307" s="123"/>
      <c r="W1307" s="125"/>
      <c r="X1307" s="142" t="s">
        <v>4477</v>
      </c>
      <c r="Y1307" s="143"/>
      <c r="Z1307" s="143"/>
      <c r="AA1307" s="143"/>
      <c r="AB1307" s="144"/>
      <c r="AC1307" s="16" t="s">
        <v>21</v>
      </c>
      <c r="AD1307" s="17" t="s">
        <v>2956</v>
      </c>
      <c r="AE1307" s="145"/>
      <c r="AF1307" s="146"/>
      <c r="AG1307" s="146"/>
      <c r="AH1307" s="146"/>
      <c r="AI1307" s="147"/>
      <c r="AJ1307" s="148"/>
      <c r="AK1307" s="143"/>
      <c r="AL1307" s="144"/>
      <c r="AM1307" s="22"/>
      <c r="AN1307" s="149" t="s">
        <v>7284</v>
      </c>
      <c r="AO1307" s="144"/>
      <c r="AP1307" s="148">
        <v>60276</v>
      </c>
      <c r="AQ1307" s="144"/>
      <c r="AR1307" s="120"/>
      <c r="AS1307" s="121"/>
      <c r="AT1307" s="120"/>
      <c r="AU1307" s="121"/>
      <c r="AV1307" s="120"/>
      <c r="AW1307" s="121"/>
      <c r="AX1307" s="120"/>
      <c r="AY1307" s="121"/>
      <c r="AZ1307" s="138"/>
    </row>
    <row r="1308" spans="1:52" ht="17.100000000000001" customHeight="1" thickTop="1">
      <c r="A1308" s="109" t="s">
        <v>6391</v>
      </c>
      <c r="B1308" s="28">
        <v>45902</v>
      </c>
      <c r="C1308" s="25">
        <v>1907</v>
      </c>
      <c r="D1308" s="13" t="s">
        <v>4478</v>
      </c>
      <c r="E1308" s="111"/>
      <c r="F1308" s="113" t="s">
        <v>4479</v>
      </c>
      <c r="G1308" s="114"/>
      <c r="H1308" s="115"/>
      <c r="I1308" s="24" t="s">
        <v>4037</v>
      </c>
      <c r="J1308" s="116">
        <v>4</v>
      </c>
      <c r="K1308" s="118">
        <v>163000</v>
      </c>
      <c r="L1308" s="119"/>
      <c r="M1308" s="118">
        <f>K1308*0.1</f>
        <v>16300</v>
      </c>
      <c r="N1308" s="119"/>
      <c r="O1308" s="118">
        <v>0</v>
      </c>
      <c r="P1308" s="119"/>
      <c r="Q1308" s="118">
        <v>8670</v>
      </c>
      <c r="R1308" s="119"/>
      <c r="S1308" s="118">
        <v>15950</v>
      </c>
      <c r="T1308" s="119"/>
      <c r="U1308" s="118">
        <f>SUM(K1308:T1309)</f>
        <v>203920</v>
      </c>
      <c r="V1308" s="122"/>
      <c r="W1308" s="124"/>
      <c r="X1308" s="126" t="s">
        <v>4480</v>
      </c>
      <c r="Y1308" s="127"/>
      <c r="Z1308" s="127"/>
      <c r="AA1308" s="127"/>
      <c r="AB1308" s="128"/>
      <c r="AC1308" s="15" t="s">
        <v>20</v>
      </c>
      <c r="AD1308" s="129"/>
      <c r="AE1308" s="130"/>
      <c r="AF1308" s="130"/>
      <c r="AG1308" s="130"/>
      <c r="AH1308" s="130"/>
      <c r="AI1308" s="131"/>
      <c r="AJ1308" s="132"/>
      <c r="AK1308" s="127"/>
      <c r="AL1308" s="128"/>
      <c r="AM1308" s="21"/>
      <c r="AN1308" s="133">
        <v>45955</v>
      </c>
      <c r="AO1308" s="134"/>
      <c r="AP1308" s="135">
        <v>1273</v>
      </c>
      <c r="AQ1308" s="136"/>
      <c r="AR1308" s="118">
        <v>180000</v>
      </c>
      <c r="AS1308" s="119"/>
      <c r="AT1308" s="118">
        <f>AR1308*0.1</f>
        <v>18000</v>
      </c>
      <c r="AU1308" s="119"/>
      <c r="AV1308" s="118">
        <v>8670</v>
      </c>
      <c r="AW1308" s="119"/>
      <c r="AX1308" s="118">
        <f>SUM(AR1308:AW1308)</f>
        <v>206670</v>
      </c>
      <c r="AY1308" s="119"/>
      <c r="AZ1308" s="137">
        <v>45960</v>
      </c>
    </row>
    <row r="1309" spans="1:52" ht="17.100000000000001" customHeight="1" thickBot="1">
      <c r="A1309" s="110"/>
      <c r="B1309" s="27" t="s">
        <v>2131</v>
      </c>
      <c r="C1309" s="27">
        <v>3081</v>
      </c>
      <c r="D1309" s="14" t="s">
        <v>904</v>
      </c>
      <c r="E1309" s="112"/>
      <c r="F1309" s="139" t="s">
        <v>4481</v>
      </c>
      <c r="G1309" s="140"/>
      <c r="H1309" s="141"/>
      <c r="I1309" s="26">
        <v>36603</v>
      </c>
      <c r="J1309" s="117"/>
      <c r="K1309" s="120"/>
      <c r="L1309" s="121"/>
      <c r="M1309" s="120"/>
      <c r="N1309" s="121"/>
      <c r="O1309" s="120"/>
      <c r="P1309" s="121"/>
      <c r="Q1309" s="120"/>
      <c r="R1309" s="121"/>
      <c r="S1309" s="120"/>
      <c r="T1309" s="121"/>
      <c r="U1309" s="120"/>
      <c r="V1309" s="123"/>
      <c r="W1309" s="125"/>
      <c r="X1309" s="142" t="s">
        <v>4482</v>
      </c>
      <c r="Y1309" s="143"/>
      <c r="Z1309" s="143"/>
      <c r="AA1309" s="143"/>
      <c r="AB1309" s="144"/>
      <c r="AC1309" s="16" t="s">
        <v>21</v>
      </c>
      <c r="AD1309" s="17" t="s">
        <v>4390</v>
      </c>
      <c r="AE1309" s="145"/>
      <c r="AF1309" s="146"/>
      <c r="AG1309" s="146"/>
      <c r="AH1309" s="146"/>
      <c r="AI1309" s="147"/>
      <c r="AJ1309" s="148"/>
      <c r="AK1309" s="143"/>
      <c r="AL1309" s="144"/>
      <c r="AM1309" s="22"/>
      <c r="AN1309" s="149" t="s">
        <v>7284</v>
      </c>
      <c r="AO1309" s="144"/>
      <c r="AP1309" s="148">
        <v>60315</v>
      </c>
      <c r="AQ1309" s="144"/>
      <c r="AR1309" s="120"/>
      <c r="AS1309" s="121"/>
      <c r="AT1309" s="120"/>
      <c r="AU1309" s="121"/>
      <c r="AV1309" s="120"/>
      <c r="AW1309" s="121"/>
      <c r="AX1309" s="120"/>
      <c r="AY1309" s="121"/>
      <c r="AZ1309" s="138"/>
    </row>
    <row r="1310" spans="1:52" ht="17.100000000000001" customHeight="1" thickTop="1">
      <c r="A1310" s="109" t="s">
        <v>6392</v>
      </c>
      <c r="B1310" s="28">
        <v>45902</v>
      </c>
      <c r="C1310" s="25">
        <v>905</v>
      </c>
      <c r="D1310" s="13" t="s">
        <v>1953</v>
      </c>
      <c r="E1310" s="111"/>
      <c r="F1310" s="113" t="s">
        <v>4483</v>
      </c>
      <c r="G1310" s="114"/>
      <c r="H1310" s="115"/>
      <c r="I1310" s="24" t="s">
        <v>3923</v>
      </c>
      <c r="J1310" s="116">
        <v>3.5</v>
      </c>
      <c r="K1310" s="118">
        <v>670000</v>
      </c>
      <c r="L1310" s="119"/>
      <c r="M1310" s="118">
        <f>K1310*0.1</f>
        <v>67000</v>
      </c>
      <c r="N1310" s="119"/>
      <c r="O1310" s="118">
        <v>0</v>
      </c>
      <c r="P1310" s="119"/>
      <c r="Q1310" s="118">
        <v>8400</v>
      </c>
      <c r="R1310" s="119"/>
      <c r="S1310" s="118">
        <v>15950</v>
      </c>
      <c r="T1310" s="119"/>
      <c r="U1310" s="118">
        <f>SUM(K1310:T1311)</f>
        <v>761350</v>
      </c>
      <c r="V1310" s="122"/>
      <c r="W1310" s="124"/>
      <c r="X1310" s="126" t="s">
        <v>4484</v>
      </c>
      <c r="Y1310" s="127"/>
      <c r="Z1310" s="127"/>
      <c r="AA1310" s="127"/>
      <c r="AB1310" s="128"/>
      <c r="AC1310" s="15" t="s">
        <v>20</v>
      </c>
      <c r="AD1310" s="129" t="s">
        <v>1670</v>
      </c>
      <c r="AE1310" s="130"/>
      <c r="AF1310" s="130"/>
      <c r="AG1310" s="130"/>
      <c r="AH1310" s="130"/>
      <c r="AI1310" s="131"/>
      <c r="AJ1310" s="132"/>
      <c r="AK1310" s="127"/>
      <c r="AL1310" s="128"/>
      <c r="AM1310" s="21" t="s">
        <v>7718</v>
      </c>
      <c r="AN1310" s="133">
        <v>45987</v>
      </c>
      <c r="AO1310" s="134"/>
      <c r="AP1310" s="135">
        <v>994</v>
      </c>
      <c r="AQ1310" s="136"/>
      <c r="AR1310" s="118">
        <v>750000</v>
      </c>
      <c r="AS1310" s="119"/>
      <c r="AT1310" s="118">
        <f>AR1310*0.1</f>
        <v>75000</v>
      </c>
      <c r="AU1310" s="119"/>
      <c r="AV1310" s="118">
        <v>8400</v>
      </c>
      <c r="AW1310" s="119"/>
      <c r="AX1310" s="118">
        <f>SUM(AR1310:AW1310)</f>
        <v>833400</v>
      </c>
      <c r="AY1310" s="119"/>
      <c r="AZ1310" s="137">
        <v>45994</v>
      </c>
    </row>
    <row r="1311" spans="1:52" ht="17.100000000000001" customHeight="1" thickBot="1">
      <c r="A1311" s="110"/>
      <c r="B1311" s="27" t="s">
        <v>2699</v>
      </c>
      <c r="C1311" s="27">
        <v>3157</v>
      </c>
      <c r="D1311" s="14" t="s">
        <v>2560</v>
      </c>
      <c r="E1311" s="112"/>
      <c r="F1311" s="139" t="s">
        <v>4485</v>
      </c>
      <c r="G1311" s="140"/>
      <c r="H1311" s="141"/>
      <c r="I1311" s="26">
        <v>55323</v>
      </c>
      <c r="J1311" s="117"/>
      <c r="K1311" s="120"/>
      <c r="L1311" s="121"/>
      <c r="M1311" s="120"/>
      <c r="N1311" s="121"/>
      <c r="O1311" s="120"/>
      <c r="P1311" s="121"/>
      <c r="Q1311" s="120"/>
      <c r="R1311" s="121"/>
      <c r="S1311" s="120"/>
      <c r="T1311" s="121"/>
      <c r="U1311" s="120"/>
      <c r="V1311" s="123"/>
      <c r="W1311" s="125"/>
      <c r="X1311" s="142" t="s">
        <v>4486</v>
      </c>
      <c r="Y1311" s="143"/>
      <c r="Z1311" s="143"/>
      <c r="AA1311" s="143"/>
      <c r="AB1311" s="144"/>
      <c r="AC1311" s="16" t="s">
        <v>21</v>
      </c>
      <c r="AD1311" s="17" t="s">
        <v>4487</v>
      </c>
      <c r="AE1311" s="145" t="s">
        <v>4488</v>
      </c>
      <c r="AF1311" s="146"/>
      <c r="AG1311" s="146"/>
      <c r="AH1311" s="146"/>
      <c r="AI1311" s="147"/>
      <c r="AJ1311" s="148"/>
      <c r="AK1311" s="143"/>
      <c r="AL1311" s="144"/>
      <c r="AM1311" s="22"/>
      <c r="AN1311" s="149" t="s">
        <v>7285</v>
      </c>
      <c r="AO1311" s="144"/>
      <c r="AP1311" s="148">
        <v>2074</v>
      </c>
      <c r="AQ1311" s="144"/>
      <c r="AR1311" s="120"/>
      <c r="AS1311" s="121"/>
      <c r="AT1311" s="120"/>
      <c r="AU1311" s="121"/>
      <c r="AV1311" s="120"/>
      <c r="AW1311" s="121"/>
      <c r="AX1311" s="120"/>
      <c r="AY1311" s="121"/>
      <c r="AZ1311" s="138"/>
    </row>
    <row r="1312" spans="1:52" ht="17.100000000000001" customHeight="1" thickTop="1">
      <c r="A1312" s="109" t="s">
        <v>6393</v>
      </c>
      <c r="B1312" s="28">
        <v>45902</v>
      </c>
      <c r="C1312" s="25">
        <v>773</v>
      </c>
      <c r="D1312" s="13" t="s">
        <v>2359</v>
      </c>
      <c r="E1312" s="111"/>
      <c r="F1312" s="113" t="s">
        <v>4489</v>
      </c>
      <c r="G1312" s="114"/>
      <c r="H1312" s="115"/>
      <c r="I1312" s="24"/>
      <c r="J1312" s="116">
        <v>3.5</v>
      </c>
      <c r="K1312" s="118">
        <v>839000</v>
      </c>
      <c r="L1312" s="119"/>
      <c r="M1312" s="118">
        <f>K1312*0.1</f>
        <v>83900</v>
      </c>
      <c r="N1312" s="119"/>
      <c r="O1312" s="118">
        <v>0</v>
      </c>
      <c r="P1312" s="119"/>
      <c r="Q1312" s="118">
        <v>8740</v>
      </c>
      <c r="R1312" s="119"/>
      <c r="S1312" s="118">
        <v>22000</v>
      </c>
      <c r="T1312" s="119"/>
      <c r="U1312" s="118">
        <f>SUM(K1312:T1313)</f>
        <v>953640</v>
      </c>
      <c r="V1312" s="122"/>
      <c r="W1312" s="124"/>
      <c r="X1312" s="126" t="s">
        <v>4490</v>
      </c>
      <c r="Y1312" s="127"/>
      <c r="Z1312" s="127"/>
      <c r="AA1312" s="127"/>
      <c r="AB1312" s="128"/>
      <c r="AC1312" s="15" t="s">
        <v>20</v>
      </c>
      <c r="AD1312" s="129"/>
      <c r="AE1312" s="130"/>
      <c r="AF1312" s="130"/>
      <c r="AG1312" s="130"/>
      <c r="AH1312" s="130"/>
      <c r="AI1312" s="131"/>
      <c r="AJ1312" s="132"/>
      <c r="AK1312" s="127"/>
      <c r="AL1312" s="128"/>
      <c r="AM1312" s="21"/>
      <c r="AN1312" s="133">
        <v>45941</v>
      </c>
      <c r="AO1312" s="134"/>
      <c r="AP1312" s="135">
        <v>1271</v>
      </c>
      <c r="AQ1312" s="136"/>
      <c r="AR1312" s="118">
        <v>900000</v>
      </c>
      <c r="AS1312" s="119"/>
      <c r="AT1312" s="118">
        <f>AR1312*0.1</f>
        <v>90000</v>
      </c>
      <c r="AU1312" s="119"/>
      <c r="AV1312" s="118">
        <v>8740</v>
      </c>
      <c r="AW1312" s="119"/>
      <c r="AX1312" s="118">
        <f>SUM(AR1312:AW1312)</f>
        <v>998740</v>
      </c>
      <c r="AY1312" s="119"/>
      <c r="AZ1312" s="137">
        <v>45945</v>
      </c>
    </row>
    <row r="1313" spans="1:52" ht="17.100000000000001" customHeight="1" thickBot="1">
      <c r="A1313" s="110"/>
      <c r="B1313" s="27" t="s">
        <v>4491</v>
      </c>
      <c r="C1313" s="27">
        <v>177</v>
      </c>
      <c r="D1313" s="14" t="s">
        <v>1576</v>
      </c>
      <c r="E1313" s="112"/>
      <c r="F1313" s="139" t="s">
        <v>4492</v>
      </c>
      <c r="G1313" s="140"/>
      <c r="H1313" s="141"/>
      <c r="I1313" s="26">
        <v>23043</v>
      </c>
      <c r="J1313" s="117"/>
      <c r="K1313" s="120"/>
      <c r="L1313" s="121"/>
      <c r="M1313" s="120"/>
      <c r="N1313" s="121"/>
      <c r="O1313" s="120"/>
      <c r="P1313" s="121"/>
      <c r="Q1313" s="120"/>
      <c r="R1313" s="121"/>
      <c r="S1313" s="120"/>
      <c r="T1313" s="121"/>
      <c r="U1313" s="120"/>
      <c r="V1313" s="123"/>
      <c r="W1313" s="125"/>
      <c r="X1313" s="142" t="s">
        <v>2057</v>
      </c>
      <c r="Y1313" s="143"/>
      <c r="Z1313" s="143"/>
      <c r="AA1313" s="143"/>
      <c r="AB1313" s="144"/>
      <c r="AC1313" s="16" t="s">
        <v>21</v>
      </c>
      <c r="AD1313" s="17" t="s">
        <v>4487</v>
      </c>
      <c r="AE1313" s="145" t="s">
        <v>4493</v>
      </c>
      <c r="AF1313" s="146"/>
      <c r="AG1313" s="146"/>
      <c r="AH1313" s="146"/>
      <c r="AI1313" s="147"/>
      <c r="AJ1313" s="148"/>
      <c r="AK1313" s="143"/>
      <c r="AL1313" s="144"/>
      <c r="AM1313" s="22"/>
      <c r="AN1313" s="149" t="s">
        <v>7284</v>
      </c>
      <c r="AO1313" s="144"/>
      <c r="AP1313" s="148">
        <v>60231</v>
      </c>
      <c r="AQ1313" s="144"/>
      <c r="AR1313" s="120"/>
      <c r="AS1313" s="121"/>
      <c r="AT1313" s="120"/>
      <c r="AU1313" s="121"/>
      <c r="AV1313" s="120"/>
      <c r="AW1313" s="121"/>
      <c r="AX1313" s="120"/>
      <c r="AY1313" s="121"/>
      <c r="AZ1313" s="138"/>
    </row>
    <row r="1314" spans="1:52" ht="17.100000000000001" customHeight="1" thickTop="1">
      <c r="A1314" s="109" t="s">
        <v>6394</v>
      </c>
      <c r="B1314" s="28">
        <v>45903</v>
      </c>
      <c r="C1314" s="25">
        <v>1803</v>
      </c>
      <c r="D1314" s="13" t="s">
        <v>1631</v>
      </c>
      <c r="E1314" s="111"/>
      <c r="F1314" s="113" t="s">
        <v>4494</v>
      </c>
      <c r="G1314" s="114"/>
      <c r="H1314" s="115"/>
      <c r="I1314" s="24"/>
      <c r="J1314" s="116">
        <v>4</v>
      </c>
      <c r="K1314" s="118">
        <v>696000</v>
      </c>
      <c r="L1314" s="119"/>
      <c r="M1314" s="118">
        <f>K1314*0.1</f>
        <v>69600</v>
      </c>
      <c r="N1314" s="119"/>
      <c r="O1314" s="118">
        <v>0</v>
      </c>
      <c r="P1314" s="119"/>
      <c r="Q1314" s="118">
        <v>7860</v>
      </c>
      <c r="R1314" s="119"/>
      <c r="S1314" s="118">
        <v>18150</v>
      </c>
      <c r="T1314" s="119"/>
      <c r="U1314" s="118">
        <f>SUM(K1314:T1315)</f>
        <v>791610</v>
      </c>
      <c r="V1314" s="122"/>
      <c r="W1314" s="124"/>
      <c r="X1314" s="126" t="s">
        <v>4495</v>
      </c>
      <c r="Y1314" s="127"/>
      <c r="Z1314" s="127"/>
      <c r="AA1314" s="127"/>
      <c r="AB1314" s="128"/>
      <c r="AC1314" s="15" t="s">
        <v>20</v>
      </c>
      <c r="AD1314" s="129"/>
      <c r="AE1314" s="130"/>
      <c r="AF1314" s="130"/>
      <c r="AG1314" s="130"/>
      <c r="AH1314" s="130"/>
      <c r="AI1314" s="131"/>
      <c r="AJ1314" s="132"/>
      <c r="AK1314" s="127"/>
      <c r="AL1314" s="128"/>
      <c r="AM1314" s="21"/>
      <c r="AN1314" s="133">
        <v>45945</v>
      </c>
      <c r="AO1314" s="134"/>
      <c r="AP1314" s="135">
        <v>988</v>
      </c>
      <c r="AQ1314" s="136"/>
      <c r="AR1314" s="118">
        <v>775000</v>
      </c>
      <c r="AS1314" s="119"/>
      <c r="AT1314" s="118">
        <f>AR1314*0.1</f>
        <v>77500</v>
      </c>
      <c r="AU1314" s="119"/>
      <c r="AV1314" s="118">
        <v>7880</v>
      </c>
      <c r="AW1314" s="119"/>
      <c r="AX1314" s="118">
        <f>SUM(AR1314:AW1314)</f>
        <v>860380</v>
      </c>
      <c r="AY1314" s="119"/>
      <c r="AZ1314" s="137">
        <v>45950</v>
      </c>
    </row>
    <row r="1315" spans="1:52" ht="17.100000000000001" customHeight="1" thickBot="1">
      <c r="A1315" s="110"/>
      <c r="B1315" s="27" t="s">
        <v>2559</v>
      </c>
      <c r="C1315" s="27">
        <v>3260</v>
      </c>
      <c r="D1315" s="14" t="s">
        <v>275</v>
      </c>
      <c r="E1315" s="112"/>
      <c r="F1315" s="139" t="s">
        <v>4496</v>
      </c>
      <c r="G1315" s="140"/>
      <c r="H1315" s="141"/>
      <c r="I1315" s="26">
        <v>16173</v>
      </c>
      <c r="J1315" s="117"/>
      <c r="K1315" s="120"/>
      <c r="L1315" s="121"/>
      <c r="M1315" s="120"/>
      <c r="N1315" s="121"/>
      <c r="O1315" s="120"/>
      <c r="P1315" s="121"/>
      <c r="Q1315" s="120"/>
      <c r="R1315" s="121"/>
      <c r="S1315" s="120"/>
      <c r="T1315" s="121"/>
      <c r="U1315" s="120"/>
      <c r="V1315" s="123"/>
      <c r="W1315" s="125"/>
      <c r="X1315" s="142" t="s">
        <v>4497</v>
      </c>
      <c r="Y1315" s="143"/>
      <c r="Z1315" s="143"/>
      <c r="AA1315" s="143"/>
      <c r="AB1315" s="144"/>
      <c r="AC1315" s="16" t="s">
        <v>21</v>
      </c>
      <c r="AD1315" s="17" t="s">
        <v>2956</v>
      </c>
      <c r="AE1315" s="145"/>
      <c r="AF1315" s="146"/>
      <c r="AG1315" s="146"/>
      <c r="AH1315" s="146"/>
      <c r="AI1315" s="147"/>
      <c r="AJ1315" s="148"/>
      <c r="AK1315" s="143"/>
      <c r="AL1315" s="144"/>
      <c r="AM1315" s="22"/>
      <c r="AN1315" s="149" t="s">
        <v>2794</v>
      </c>
      <c r="AO1315" s="144"/>
      <c r="AP1315" s="148">
        <v>2077</v>
      </c>
      <c r="AQ1315" s="144"/>
      <c r="AR1315" s="120"/>
      <c r="AS1315" s="121"/>
      <c r="AT1315" s="120"/>
      <c r="AU1315" s="121"/>
      <c r="AV1315" s="120"/>
      <c r="AW1315" s="121"/>
      <c r="AX1315" s="120"/>
      <c r="AY1315" s="121"/>
      <c r="AZ1315" s="138"/>
    </row>
    <row r="1316" spans="1:52" ht="17.100000000000001" customHeight="1" thickTop="1">
      <c r="A1316" s="109" t="s">
        <v>6395</v>
      </c>
      <c r="B1316" s="28">
        <v>45903</v>
      </c>
      <c r="C1316" s="25">
        <v>1803</v>
      </c>
      <c r="D1316" s="13" t="s">
        <v>2465</v>
      </c>
      <c r="E1316" s="111"/>
      <c r="F1316" s="113" t="s">
        <v>4251</v>
      </c>
      <c r="G1316" s="114"/>
      <c r="H1316" s="115"/>
      <c r="I1316" s="24" t="s">
        <v>3923</v>
      </c>
      <c r="J1316" s="116">
        <v>4.5</v>
      </c>
      <c r="K1316" s="118">
        <v>659000</v>
      </c>
      <c r="L1316" s="119"/>
      <c r="M1316" s="118">
        <f>K1316*0.1</f>
        <v>65900</v>
      </c>
      <c r="N1316" s="119"/>
      <c r="O1316" s="118">
        <v>0</v>
      </c>
      <c r="P1316" s="119"/>
      <c r="Q1316" s="118">
        <v>9790</v>
      </c>
      <c r="R1316" s="119"/>
      <c r="S1316" s="118">
        <v>18150</v>
      </c>
      <c r="T1316" s="119"/>
      <c r="U1316" s="118">
        <f>SUM(K1316:T1317)</f>
        <v>752840</v>
      </c>
      <c r="V1316" s="122"/>
      <c r="W1316" s="124"/>
      <c r="X1316" s="126" t="s">
        <v>4498</v>
      </c>
      <c r="Y1316" s="127"/>
      <c r="Z1316" s="127"/>
      <c r="AA1316" s="127"/>
      <c r="AB1316" s="128"/>
      <c r="AC1316" s="15" t="s">
        <v>20</v>
      </c>
      <c r="AD1316" s="129" t="s">
        <v>171</v>
      </c>
      <c r="AE1316" s="130"/>
      <c r="AF1316" s="130"/>
      <c r="AG1316" s="130"/>
      <c r="AH1316" s="130"/>
      <c r="AI1316" s="131"/>
      <c r="AJ1316" s="132"/>
      <c r="AK1316" s="127"/>
      <c r="AL1316" s="128"/>
      <c r="AM1316" s="21" t="s">
        <v>8319</v>
      </c>
      <c r="AN1316" s="133">
        <v>45952</v>
      </c>
      <c r="AO1316" s="134"/>
      <c r="AP1316" s="135">
        <v>989</v>
      </c>
      <c r="AQ1316" s="136"/>
      <c r="AR1316" s="118">
        <v>705000</v>
      </c>
      <c r="AS1316" s="119"/>
      <c r="AT1316" s="118">
        <f>AR1316*0.1</f>
        <v>70500</v>
      </c>
      <c r="AU1316" s="119"/>
      <c r="AV1316" s="118">
        <v>9790</v>
      </c>
      <c r="AW1316" s="119"/>
      <c r="AX1316" s="118">
        <f>SUM(AR1316:AW1316)</f>
        <v>785290</v>
      </c>
      <c r="AY1316" s="119"/>
      <c r="AZ1316" s="137">
        <v>45957</v>
      </c>
    </row>
    <row r="1317" spans="1:52" ht="17.100000000000001" customHeight="1" thickBot="1">
      <c r="A1317" s="110"/>
      <c r="B1317" s="27" t="s">
        <v>2559</v>
      </c>
      <c r="C1317" s="27">
        <v>9236</v>
      </c>
      <c r="D1317" s="14" t="s">
        <v>3855</v>
      </c>
      <c r="E1317" s="112"/>
      <c r="F1317" s="139" t="s">
        <v>4499</v>
      </c>
      <c r="G1317" s="140"/>
      <c r="H1317" s="141"/>
      <c r="I1317" s="26">
        <v>54450</v>
      </c>
      <c r="J1317" s="117"/>
      <c r="K1317" s="120"/>
      <c r="L1317" s="121"/>
      <c r="M1317" s="120"/>
      <c r="N1317" s="121"/>
      <c r="O1317" s="120"/>
      <c r="P1317" s="121"/>
      <c r="Q1317" s="120"/>
      <c r="R1317" s="121"/>
      <c r="S1317" s="120"/>
      <c r="T1317" s="121"/>
      <c r="U1317" s="120"/>
      <c r="V1317" s="123"/>
      <c r="W1317" s="125"/>
      <c r="X1317" s="142" t="s">
        <v>4500</v>
      </c>
      <c r="Y1317" s="143"/>
      <c r="Z1317" s="143"/>
      <c r="AA1317" s="143"/>
      <c r="AB1317" s="144"/>
      <c r="AC1317" s="16" t="s">
        <v>21</v>
      </c>
      <c r="AD1317" s="17" t="s">
        <v>2956</v>
      </c>
      <c r="AE1317" s="145" t="s">
        <v>4501</v>
      </c>
      <c r="AF1317" s="146"/>
      <c r="AG1317" s="146"/>
      <c r="AH1317" s="146"/>
      <c r="AI1317" s="147"/>
      <c r="AJ1317" s="148"/>
      <c r="AK1317" s="143"/>
      <c r="AL1317" s="144"/>
      <c r="AM1317" s="22"/>
      <c r="AN1317" s="149" t="s">
        <v>9053</v>
      </c>
      <c r="AO1317" s="144"/>
      <c r="AP1317" s="148">
        <v>2039</v>
      </c>
      <c r="AQ1317" s="144"/>
      <c r="AR1317" s="120"/>
      <c r="AS1317" s="121"/>
      <c r="AT1317" s="120"/>
      <c r="AU1317" s="121"/>
      <c r="AV1317" s="120"/>
      <c r="AW1317" s="121"/>
      <c r="AX1317" s="120"/>
      <c r="AY1317" s="121"/>
      <c r="AZ1317" s="138"/>
    </row>
    <row r="1318" spans="1:52" ht="17.100000000000001" customHeight="1" thickTop="1">
      <c r="A1318" s="109" t="s">
        <v>6396</v>
      </c>
      <c r="B1318" s="28">
        <v>45904</v>
      </c>
      <c r="C1318" s="25">
        <v>1531</v>
      </c>
      <c r="D1318" s="13" t="s">
        <v>2442</v>
      </c>
      <c r="E1318" s="111"/>
      <c r="F1318" s="113" t="s">
        <v>4502</v>
      </c>
      <c r="G1318" s="114"/>
      <c r="H1318" s="115"/>
      <c r="I1318" s="24" t="s">
        <v>2858</v>
      </c>
      <c r="J1318" s="116">
        <v>4.5</v>
      </c>
      <c r="K1318" s="118">
        <v>1720000</v>
      </c>
      <c r="L1318" s="119"/>
      <c r="M1318" s="118">
        <f>K1318*0.1</f>
        <v>172000</v>
      </c>
      <c r="N1318" s="119"/>
      <c r="O1318" s="118">
        <f>17200+1720</f>
        <v>18920</v>
      </c>
      <c r="P1318" s="119"/>
      <c r="Q1318" s="118">
        <v>19040</v>
      </c>
      <c r="R1318" s="119"/>
      <c r="S1318" s="118">
        <v>16500</v>
      </c>
      <c r="T1318" s="119"/>
      <c r="U1318" s="118">
        <f>SUM(K1318:T1319)</f>
        <v>1946460</v>
      </c>
      <c r="V1318" s="122"/>
      <c r="W1318" s="124"/>
      <c r="X1318" s="126" t="s">
        <v>4503</v>
      </c>
      <c r="Y1318" s="127"/>
      <c r="Z1318" s="127"/>
      <c r="AA1318" s="127"/>
      <c r="AB1318" s="128"/>
      <c r="AC1318" s="15" t="s">
        <v>20</v>
      </c>
      <c r="AD1318" s="129" t="s">
        <v>2385</v>
      </c>
      <c r="AE1318" s="130"/>
      <c r="AF1318" s="130"/>
      <c r="AG1318" s="130"/>
      <c r="AH1318" s="130"/>
      <c r="AI1318" s="131"/>
      <c r="AJ1318" s="132"/>
      <c r="AK1318" s="127"/>
      <c r="AL1318" s="128"/>
      <c r="AM1318" s="21"/>
      <c r="AN1318" s="133">
        <v>45948</v>
      </c>
      <c r="AO1318" s="134"/>
      <c r="AP1318" s="135">
        <v>1272</v>
      </c>
      <c r="AQ1318" s="136"/>
      <c r="AR1318" s="118">
        <v>1800000</v>
      </c>
      <c r="AS1318" s="119"/>
      <c r="AT1318" s="118">
        <f>AR1318*0.1</f>
        <v>180000</v>
      </c>
      <c r="AU1318" s="119"/>
      <c r="AV1318" s="118">
        <v>19040</v>
      </c>
      <c r="AW1318" s="119"/>
      <c r="AX1318" s="118">
        <f>SUM(AR1318:AW1318)</f>
        <v>1999040</v>
      </c>
      <c r="AY1318" s="119"/>
      <c r="AZ1318" s="137">
        <v>45953</v>
      </c>
    </row>
    <row r="1319" spans="1:52" ht="17.100000000000001" customHeight="1" thickBot="1">
      <c r="A1319" s="110"/>
      <c r="B1319" s="27" t="s">
        <v>1600</v>
      </c>
      <c r="C1319" s="27">
        <v>73003</v>
      </c>
      <c r="D1319" s="14" t="s">
        <v>1592</v>
      </c>
      <c r="E1319" s="112"/>
      <c r="F1319" s="139" t="s">
        <v>4504</v>
      </c>
      <c r="G1319" s="140"/>
      <c r="H1319" s="141"/>
      <c r="I1319" s="26">
        <v>61134</v>
      </c>
      <c r="J1319" s="117"/>
      <c r="K1319" s="120"/>
      <c r="L1319" s="121"/>
      <c r="M1319" s="120"/>
      <c r="N1319" s="121"/>
      <c r="O1319" s="120"/>
      <c r="P1319" s="121"/>
      <c r="Q1319" s="120"/>
      <c r="R1319" s="121"/>
      <c r="S1319" s="120"/>
      <c r="T1319" s="121"/>
      <c r="U1319" s="120"/>
      <c r="V1319" s="123"/>
      <c r="W1319" s="125"/>
      <c r="X1319" s="142" t="s">
        <v>4505</v>
      </c>
      <c r="Y1319" s="143"/>
      <c r="Z1319" s="143"/>
      <c r="AA1319" s="143"/>
      <c r="AB1319" s="144"/>
      <c r="AC1319" s="16" t="s">
        <v>21</v>
      </c>
      <c r="AD1319" s="17" t="s">
        <v>2956</v>
      </c>
      <c r="AE1319" s="145" t="s">
        <v>1742</v>
      </c>
      <c r="AF1319" s="146"/>
      <c r="AG1319" s="146"/>
      <c r="AH1319" s="146"/>
      <c r="AI1319" s="147"/>
      <c r="AJ1319" s="148"/>
      <c r="AK1319" s="143"/>
      <c r="AL1319" s="144"/>
      <c r="AM1319" s="22"/>
      <c r="AN1319" s="149" t="s">
        <v>2511</v>
      </c>
      <c r="AO1319" s="144"/>
      <c r="AP1319" s="148">
        <v>80014</v>
      </c>
      <c r="AQ1319" s="144"/>
      <c r="AR1319" s="120"/>
      <c r="AS1319" s="121"/>
      <c r="AT1319" s="120"/>
      <c r="AU1319" s="121"/>
      <c r="AV1319" s="120"/>
      <c r="AW1319" s="121"/>
      <c r="AX1319" s="120"/>
      <c r="AY1319" s="121"/>
      <c r="AZ1319" s="138"/>
    </row>
    <row r="1320" spans="1:52" ht="17.100000000000001" customHeight="1" thickTop="1">
      <c r="A1320" s="109" t="s">
        <v>6397</v>
      </c>
      <c r="B1320" s="28">
        <v>45904</v>
      </c>
      <c r="C1320" s="25">
        <v>2124</v>
      </c>
      <c r="D1320" s="13" t="s">
        <v>1675</v>
      </c>
      <c r="E1320" s="111"/>
      <c r="F1320" s="113" t="s">
        <v>4506</v>
      </c>
      <c r="G1320" s="114"/>
      <c r="H1320" s="115"/>
      <c r="I1320" s="24"/>
      <c r="J1320" s="116">
        <v>4.5</v>
      </c>
      <c r="K1320" s="118">
        <v>596000</v>
      </c>
      <c r="L1320" s="119"/>
      <c r="M1320" s="118">
        <f>K1320*0.1</f>
        <v>59600</v>
      </c>
      <c r="N1320" s="119"/>
      <c r="O1320" s="118">
        <v>0</v>
      </c>
      <c r="P1320" s="119"/>
      <c r="Q1320" s="118">
        <v>8140</v>
      </c>
      <c r="R1320" s="119"/>
      <c r="S1320" s="118">
        <v>13750</v>
      </c>
      <c r="T1320" s="119"/>
      <c r="U1320" s="118">
        <f>SUM(K1320:T1321)</f>
        <v>677490</v>
      </c>
      <c r="V1320" s="122"/>
      <c r="W1320" s="124"/>
      <c r="X1320" s="126" t="s">
        <v>4507</v>
      </c>
      <c r="Y1320" s="127"/>
      <c r="Z1320" s="127"/>
      <c r="AA1320" s="127"/>
      <c r="AB1320" s="128"/>
      <c r="AC1320" s="15" t="s">
        <v>20</v>
      </c>
      <c r="AD1320" s="129"/>
      <c r="AE1320" s="130"/>
      <c r="AF1320" s="130"/>
      <c r="AG1320" s="130"/>
      <c r="AH1320" s="130"/>
      <c r="AI1320" s="131"/>
      <c r="AJ1320" s="132"/>
      <c r="AK1320" s="127"/>
      <c r="AL1320" s="128"/>
      <c r="AM1320" s="21"/>
      <c r="AN1320" s="133">
        <v>46050</v>
      </c>
      <c r="AO1320" s="134"/>
      <c r="AP1320" s="135">
        <v>1002</v>
      </c>
      <c r="AQ1320" s="136"/>
      <c r="AR1320" s="118">
        <v>605000</v>
      </c>
      <c r="AS1320" s="119"/>
      <c r="AT1320" s="118">
        <f>AR1320*0.1</f>
        <v>60500</v>
      </c>
      <c r="AU1320" s="119"/>
      <c r="AV1320" s="118">
        <v>8140</v>
      </c>
      <c r="AW1320" s="119"/>
      <c r="AX1320" s="118">
        <f>SUM(AR1320:AW1320)</f>
        <v>673640</v>
      </c>
      <c r="AY1320" s="119"/>
      <c r="AZ1320" s="137">
        <v>46055</v>
      </c>
    </row>
    <row r="1321" spans="1:52" ht="17.100000000000001" customHeight="1" thickBot="1">
      <c r="A1321" s="110"/>
      <c r="B1321" s="27" t="s">
        <v>3281</v>
      </c>
      <c r="C1321" s="27">
        <v>2109</v>
      </c>
      <c r="D1321" s="14" t="s">
        <v>2800</v>
      </c>
      <c r="E1321" s="112"/>
      <c r="F1321" s="139" t="s">
        <v>4508</v>
      </c>
      <c r="G1321" s="140"/>
      <c r="H1321" s="141"/>
      <c r="I1321" s="26">
        <v>49360</v>
      </c>
      <c r="J1321" s="117"/>
      <c r="K1321" s="120"/>
      <c r="L1321" s="121"/>
      <c r="M1321" s="120"/>
      <c r="N1321" s="121"/>
      <c r="O1321" s="120"/>
      <c r="P1321" s="121"/>
      <c r="Q1321" s="120"/>
      <c r="R1321" s="121"/>
      <c r="S1321" s="120"/>
      <c r="T1321" s="121"/>
      <c r="U1321" s="120"/>
      <c r="V1321" s="123"/>
      <c r="W1321" s="125"/>
      <c r="X1321" s="142" t="s">
        <v>2918</v>
      </c>
      <c r="Y1321" s="143"/>
      <c r="Z1321" s="143"/>
      <c r="AA1321" s="143"/>
      <c r="AB1321" s="144"/>
      <c r="AC1321" s="16" t="s">
        <v>21</v>
      </c>
      <c r="AD1321" s="17" t="s">
        <v>4487</v>
      </c>
      <c r="AE1321" s="145"/>
      <c r="AF1321" s="146"/>
      <c r="AG1321" s="146"/>
      <c r="AH1321" s="146"/>
      <c r="AI1321" s="147"/>
      <c r="AJ1321" s="148"/>
      <c r="AK1321" s="143"/>
      <c r="AL1321" s="144"/>
      <c r="AM1321" s="22"/>
      <c r="AN1321" s="149" t="s">
        <v>2794</v>
      </c>
      <c r="AO1321" s="144"/>
      <c r="AP1321" s="148">
        <v>2032</v>
      </c>
      <c r="AQ1321" s="144"/>
      <c r="AR1321" s="120"/>
      <c r="AS1321" s="121"/>
      <c r="AT1321" s="120"/>
      <c r="AU1321" s="121"/>
      <c r="AV1321" s="120"/>
      <c r="AW1321" s="121"/>
      <c r="AX1321" s="120"/>
      <c r="AY1321" s="121"/>
      <c r="AZ1321" s="138"/>
    </row>
    <row r="1322" spans="1:52" ht="17.100000000000001" customHeight="1" thickTop="1">
      <c r="A1322" s="109" t="s">
        <v>6398</v>
      </c>
      <c r="B1322" s="28">
        <v>45904</v>
      </c>
      <c r="C1322" s="25">
        <v>2124</v>
      </c>
      <c r="D1322" s="13" t="s">
        <v>1930</v>
      </c>
      <c r="E1322" s="111"/>
      <c r="F1322" s="113" t="s">
        <v>4509</v>
      </c>
      <c r="G1322" s="114"/>
      <c r="H1322" s="115"/>
      <c r="I1322" s="24" t="s">
        <v>4330</v>
      </c>
      <c r="J1322" s="116">
        <v>6</v>
      </c>
      <c r="K1322" s="118">
        <v>1080000</v>
      </c>
      <c r="L1322" s="119"/>
      <c r="M1322" s="118">
        <f>K1322*0.1</f>
        <v>108000</v>
      </c>
      <c r="N1322" s="119"/>
      <c r="O1322" s="118">
        <v>0</v>
      </c>
      <c r="P1322" s="119"/>
      <c r="Q1322" s="118">
        <v>6320</v>
      </c>
      <c r="R1322" s="119"/>
      <c r="S1322" s="118">
        <v>13750</v>
      </c>
      <c r="T1322" s="119"/>
      <c r="U1322" s="118">
        <f>SUM(K1322:T1323)</f>
        <v>1208070</v>
      </c>
      <c r="V1322" s="122"/>
      <c r="W1322" s="124"/>
      <c r="X1322" s="126" t="s">
        <v>4510</v>
      </c>
      <c r="Y1322" s="127"/>
      <c r="Z1322" s="127"/>
      <c r="AA1322" s="127"/>
      <c r="AB1322" s="128"/>
      <c r="AC1322" s="15" t="s">
        <v>20</v>
      </c>
      <c r="AD1322" s="129" t="s">
        <v>1633</v>
      </c>
      <c r="AE1322" s="130"/>
      <c r="AF1322" s="130"/>
      <c r="AG1322" s="130"/>
      <c r="AH1322" s="130"/>
      <c r="AI1322" s="131"/>
      <c r="AJ1322" s="132"/>
      <c r="AK1322" s="127"/>
      <c r="AL1322" s="128"/>
      <c r="AM1322" s="21" t="s">
        <v>7704</v>
      </c>
      <c r="AN1322" s="133">
        <v>45969</v>
      </c>
      <c r="AO1322" s="134"/>
      <c r="AP1322" s="135">
        <v>1275</v>
      </c>
      <c r="AQ1322" s="136"/>
      <c r="AR1322" s="118">
        <v>1020000</v>
      </c>
      <c r="AS1322" s="119"/>
      <c r="AT1322" s="118">
        <f>AR1322*0.1</f>
        <v>102000</v>
      </c>
      <c r="AU1322" s="119"/>
      <c r="AV1322" s="118">
        <v>6320</v>
      </c>
      <c r="AW1322" s="119"/>
      <c r="AX1322" s="118">
        <f>SUM(AR1322:AW1322)</f>
        <v>1128320</v>
      </c>
      <c r="AY1322" s="119"/>
      <c r="AZ1322" s="137">
        <v>45972</v>
      </c>
    </row>
    <row r="1323" spans="1:52" ht="17.100000000000001" customHeight="1" thickBot="1">
      <c r="A1323" s="110"/>
      <c r="B1323" s="27" t="s">
        <v>3281</v>
      </c>
      <c r="C1323" s="27">
        <v>2525</v>
      </c>
      <c r="D1323" s="14" t="s">
        <v>4511</v>
      </c>
      <c r="E1323" s="112"/>
      <c r="F1323" s="139" t="s">
        <v>4512</v>
      </c>
      <c r="G1323" s="140"/>
      <c r="H1323" s="141"/>
      <c r="I1323" s="26">
        <v>5</v>
      </c>
      <c r="J1323" s="117"/>
      <c r="K1323" s="120"/>
      <c r="L1323" s="121"/>
      <c r="M1323" s="120"/>
      <c r="N1323" s="121"/>
      <c r="O1323" s="120"/>
      <c r="P1323" s="121"/>
      <c r="Q1323" s="120"/>
      <c r="R1323" s="121"/>
      <c r="S1323" s="120"/>
      <c r="T1323" s="121"/>
      <c r="U1323" s="120"/>
      <c r="V1323" s="123"/>
      <c r="W1323" s="125"/>
      <c r="X1323" s="142" t="s">
        <v>4513</v>
      </c>
      <c r="Y1323" s="143"/>
      <c r="Z1323" s="143"/>
      <c r="AA1323" s="143"/>
      <c r="AB1323" s="144"/>
      <c r="AC1323" s="16" t="s">
        <v>21</v>
      </c>
      <c r="AD1323" s="17" t="s">
        <v>2584</v>
      </c>
      <c r="AE1323" s="145" t="s">
        <v>1732</v>
      </c>
      <c r="AF1323" s="146"/>
      <c r="AG1323" s="146"/>
      <c r="AH1323" s="146"/>
      <c r="AI1323" s="147"/>
      <c r="AJ1323" s="148"/>
      <c r="AK1323" s="143"/>
      <c r="AL1323" s="144"/>
      <c r="AM1323" s="22"/>
      <c r="AN1323" s="149" t="s">
        <v>7284</v>
      </c>
      <c r="AO1323" s="144"/>
      <c r="AP1323" s="148">
        <v>60451</v>
      </c>
      <c r="AQ1323" s="144"/>
      <c r="AR1323" s="120"/>
      <c r="AS1323" s="121"/>
      <c r="AT1323" s="120"/>
      <c r="AU1323" s="121"/>
      <c r="AV1323" s="120"/>
      <c r="AW1323" s="121"/>
      <c r="AX1323" s="120"/>
      <c r="AY1323" s="121"/>
      <c r="AZ1323" s="138"/>
    </row>
    <row r="1324" spans="1:52" ht="17.100000000000001" customHeight="1" thickTop="1">
      <c r="A1324" s="109" t="s">
        <v>6399</v>
      </c>
      <c r="B1324" s="28">
        <v>45904</v>
      </c>
      <c r="C1324" s="25">
        <v>2124</v>
      </c>
      <c r="D1324" s="13" t="s">
        <v>3832</v>
      </c>
      <c r="E1324" s="111"/>
      <c r="F1324" s="113" t="s">
        <v>4514</v>
      </c>
      <c r="G1324" s="114"/>
      <c r="H1324" s="115"/>
      <c r="I1324" s="24"/>
      <c r="J1324" s="116">
        <v>4.5</v>
      </c>
      <c r="K1324" s="118">
        <v>1305000</v>
      </c>
      <c r="L1324" s="119"/>
      <c r="M1324" s="118">
        <f>K1324*0.1</f>
        <v>130500</v>
      </c>
      <c r="N1324" s="119"/>
      <c r="O1324" s="118">
        <v>0</v>
      </c>
      <c r="P1324" s="119"/>
      <c r="Q1324" s="118">
        <v>6830</v>
      </c>
      <c r="R1324" s="119"/>
      <c r="S1324" s="118">
        <v>13750</v>
      </c>
      <c r="T1324" s="119"/>
      <c r="U1324" s="118">
        <f>SUM(K1324:T1325)</f>
        <v>1456080</v>
      </c>
      <c r="V1324" s="122"/>
      <c r="W1324" s="124"/>
      <c r="X1324" s="126" t="s">
        <v>4515</v>
      </c>
      <c r="Y1324" s="127"/>
      <c r="Z1324" s="127"/>
      <c r="AA1324" s="127"/>
      <c r="AB1324" s="128"/>
      <c r="AC1324" s="15" t="s">
        <v>20</v>
      </c>
      <c r="AD1324" s="129"/>
      <c r="AE1324" s="130"/>
      <c r="AF1324" s="130"/>
      <c r="AG1324" s="130"/>
      <c r="AH1324" s="130"/>
      <c r="AI1324" s="131"/>
      <c r="AJ1324" s="132"/>
      <c r="AK1324" s="127"/>
      <c r="AL1324" s="128"/>
      <c r="AM1324" s="21"/>
      <c r="AN1324" s="133">
        <v>45951</v>
      </c>
      <c r="AO1324" s="134"/>
      <c r="AP1324" s="135">
        <v>1914</v>
      </c>
      <c r="AQ1324" s="136"/>
      <c r="AR1324" s="118">
        <v>1289000</v>
      </c>
      <c r="AS1324" s="119"/>
      <c r="AT1324" s="118">
        <f>AR1324*0.1</f>
        <v>128900</v>
      </c>
      <c r="AU1324" s="119"/>
      <c r="AV1324" s="118">
        <v>6830</v>
      </c>
      <c r="AW1324" s="119"/>
      <c r="AX1324" s="118">
        <f>SUM(AR1324:AW1324)</f>
        <v>1424730</v>
      </c>
      <c r="AY1324" s="119"/>
      <c r="AZ1324" s="137">
        <v>45957</v>
      </c>
    </row>
    <row r="1325" spans="1:52" ht="17.100000000000001" customHeight="1" thickBot="1">
      <c r="A1325" s="110"/>
      <c r="B1325" s="27" t="s">
        <v>3281</v>
      </c>
      <c r="C1325" s="27">
        <v>2599</v>
      </c>
      <c r="D1325" s="14" t="s">
        <v>2601</v>
      </c>
      <c r="E1325" s="112"/>
      <c r="F1325" s="139" t="s">
        <v>4516</v>
      </c>
      <c r="G1325" s="140"/>
      <c r="H1325" s="141"/>
      <c r="I1325" s="26">
        <v>43467</v>
      </c>
      <c r="J1325" s="117"/>
      <c r="K1325" s="120"/>
      <c r="L1325" s="121"/>
      <c r="M1325" s="120"/>
      <c r="N1325" s="121"/>
      <c r="O1325" s="120"/>
      <c r="P1325" s="121"/>
      <c r="Q1325" s="120"/>
      <c r="R1325" s="121"/>
      <c r="S1325" s="120"/>
      <c r="T1325" s="121"/>
      <c r="U1325" s="120"/>
      <c r="V1325" s="123"/>
      <c r="W1325" s="125"/>
      <c r="X1325" s="142" t="s">
        <v>2440</v>
      </c>
      <c r="Y1325" s="143"/>
      <c r="Z1325" s="143"/>
      <c r="AA1325" s="143"/>
      <c r="AB1325" s="144"/>
      <c r="AC1325" s="16" t="s">
        <v>21</v>
      </c>
      <c r="AD1325" s="17" t="s">
        <v>4487</v>
      </c>
      <c r="AE1325" s="145"/>
      <c r="AF1325" s="146"/>
      <c r="AG1325" s="146"/>
      <c r="AH1325" s="146"/>
      <c r="AI1325" s="147"/>
      <c r="AJ1325" s="148" t="s">
        <v>8897</v>
      </c>
      <c r="AK1325" s="143"/>
      <c r="AL1325" s="144"/>
      <c r="AM1325" s="22"/>
      <c r="AN1325" s="149" t="s">
        <v>2131</v>
      </c>
      <c r="AO1325" s="144"/>
      <c r="AP1325" s="148">
        <v>3069</v>
      </c>
      <c r="AQ1325" s="144"/>
      <c r="AR1325" s="120"/>
      <c r="AS1325" s="121"/>
      <c r="AT1325" s="120"/>
      <c r="AU1325" s="121"/>
      <c r="AV1325" s="120"/>
      <c r="AW1325" s="121"/>
      <c r="AX1325" s="120"/>
      <c r="AY1325" s="121"/>
      <c r="AZ1325" s="138"/>
    </row>
    <row r="1326" spans="1:52" ht="17.100000000000001" customHeight="1" thickTop="1">
      <c r="A1326" s="109" t="s">
        <v>6400</v>
      </c>
      <c r="B1326" s="28">
        <v>45904</v>
      </c>
      <c r="C1326" s="25">
        <v>2124</v>
      </c>
      <c r="D1326" s="13" t="s">
        <v>1998</v>
      </c>
      <c r="E1326" s="111"/>
      <c r="F1326" s="113" t="s">
        <v>4517</v>
      </c>
      <c r="G1326" s="114"/>
      <c r="H1326" s="115"/>
      <c r="I1326" s="24"/>
      <c r="J1326" s="116">
        <v>4</v>
      </c>
      <c r="K1326" s="118">
        <v>1306000</v>
      </c>
      <c r="L1326" s="119"/>
      <c r="M1326" s="118">
        <f>K1326*0.1</f>
        <v>130600</v>
      </c>
      <c r="N1326" s="119"/>
      <c r="O1326" s="118">
        <v>0</v>
      </c>
      <c r="P1326" s="119"/>
      <c r="Q1326" s="118">
        <v>8130</v>
      </c>
      <c r="R1326" s="119"/>
      <c r="S1326" s="118">
        <v>13750</v>
      </c>
      <c r="T1326" s="119"/>
      <c r="U1326" s="118">
        <f>SUM(K1326:T1327)</f>
        <v>1458480</v>
      </c>
      <c r="V1326" s="122"/>
      <c r="W1326" s="124"/>
      <c r="X1326" s="126" t="s">
        <v>4518</v>
      </c>
      <c r="Y1326" s="127"/>
      <c r="Z1326" s="127"/>
      <c r="AA1326" s="127"/>
      <c r="AB1326" s="128"/>
      <c r="AC1326" s="15" t="s">
        <v>20</v>
      </c>
      <c r="AD1326" s="129"/>
      <c r="AE1326" s="130"/>
      <c r="AF1326" s="130"/>
      <c r="AG1326" s="130"/>
      <c r="AH1326" s="130"/>
      <c r="AI1326" s="131"/>
      <c r="AJ1326" s="132"/>
      <c r="AK1326" s="127"/>
      <c r="AL1326" s="128"/>
      <c r="AM1326" s="21"/>
      <c r="AN1326" s="133">
        <v>45931</v>
      </c>
      <c r="AO1326" s="134"/>
      <c r="AP1326" s="135">
        <v>986</v>
      </c>
      <c r="AQ1326" s="136"/>
      <c r="AR1326" s="118">
        <v>1380000</v>
      </c>
      <c r="AS1326" s="119"/>
      <c r="AT1326" s="118">
        <f>AR1326*0.1</f>
        <v>138000</v>
      </c>
      <c r="AU1326" s="119"/>
      <c r="AV1326" s="118">
        <v>8130</v>
      </c>
      <c r="AW1326" s="119"/>
      <c r="AX1326" s="118">
        <f>SUM(AR1326:AW1326)</f>
        <v>1526130</v>
      </c>
      <c r="AY1326" s="119"/>
      <c r="AZ1326" s="137">
        <v>45939</v>
      </c>
    </row>
    <row r="1327" spans="1:52" ht="17.100000000000001" customHeight="1" thickBot="1">
      <c r="A1327" s="110"/>
      <c r="B1327" s="27" t="s">
        <v>3281</v>
      </c>
      <c r="C1327" s="27">
        <v>2604</v>
      </c>
      <c r="D1327" s="14" t="s">
        <v>3793</v>
      </c>
      <c r="E1327" s="112"/>
      <c r="F1327" s="139" t="s">
        <v>4519</v>
      </c>
      <c r="G1327" s="140"/>
      <c r="H1327" s="141"/>
      <c r="I1327" s="26">
        <v>21437</v>
      </c>
      <c r="J1327" s="117"/>
      <c r="K1327" s="120"/>
      <c r="L1327" s="121"/>
      <c r="M1327" s="120"/>
      <c r="N1327" s="121"/>
      <c r="O1327" s="120"/>
      <c r="P1327" s="121"/>
      <c r="Q1327" s="120"/>
      <c r="R1327" s="121"/>
      <c r="S1327" s="120"/>
      <c r="T1327" s="121"/>
      <c r="U1327" s="120"/>
      <c r="V1327" s="123"/>
      <c r="W1327" s="125"/>
      <c r="X1327" s="142" t="s">
        <v>2440</v>
      </c>
      <c r="Y1327" s="143"/>
      <c r="Z1327" s="143"/>
      <c r="AA1327" s="143"/>
      <c r="AB1327" s="144"/>
      <c r="AC1327" s="16" t="s">
        <v>21</v>
      </c>
      <c r="AD1327" s="17" t="s">
        <v>4487</v>
      </c>
      <c r="AE1327" s="145" t="s">
        <v>2269</v>
      </c>
      <c r="AF1327" s="146"/>
      <c r="AG1327" s="146"/>
      <c r="AH1327" s="146"/>
      <c r="AI1327" s="147"/>
      <c r="AJ1327" s="148"/>
      <c r="AK1327" s="143"/>
      <c r="AL1327" s="144"/>
      <c r="AM1327" s="22"/>
      <c r="AN1327" s="149" t="s">
        <v>7285</v>
      </c>
      <c r="AO1327" s="144"/>
      <c r="AP1327" s="148">
        <v>2062</v>
      </c>
      <c r="AQ1327" s="144"/>
      <c r="AR1327" s="120"/>
      <c r="AS1327" s="121"/>
      <c r="AT1327" s="120"/>
      <c r="AU1327" s="121"/>
      <c r="AV1327" s="120"/>
      <c r="AW1327" s="121"/>
      <c r="AX1327" s="120"/>
      <c r="AY1327" s="121"/>
      <c r="AZ1327" s="138"/>
    </row>
    <row r="1328" spans="1:52" ht="17.100000000000001" customHeight="1" thickTop="1">
      <c r="A1328" s="109" t="s">
        <v>6401</v>
      </c>
      <c r="B1328" s="28">
        <v>45904</v>
      </c>
      <c r="C1328" s="25">
        <v>2124</v>
      </c>
      <c r="D1328" s="13" t="s">
        <v>2322</v>
      </c>
      <c r="E1328" s="111"/>
      <c r="F1328" s="113" t="s">
        <v>4520</v>
      </c>
      <c r="G1328" s="114"/>
      <c r="H1328" s="115"/>
      <c r="I1328" s="24" t="s">
        <v>4521</v>
      </c>
      <c r="J1328" s="116">
        <v>4.5</v>
      </c>
      <c r="K1328" s="118">
        <v>2132000</v>
      </c>
      <c r="L1328" s="119"/>
      <c r="M1328" s="118">
        <f>K1328*0.1</f>
        <v>213200</v>
      </c>
      <c r="N1328" s="119"/>
      <c r="O1328" s="118">
        <f>17910+1790</f>
        <v>19700</v>
      </c>
      <c r="P1328" s="119"/>
      <c r="Q1328" s="118">
        <v>15880</v>
      </c>
      <c r="R1328" s="119"/>
      <c r="S1328" s="118">
        <v>13750</v>
      </c>
      <c r="T1328" s="119"/>
      <c r="U1328" s="118">
        <f>SUM(K1328:T1329)</f>
        <v>2394530</v>
      </c>
      <c r="V1328" s="122"/>
      <c r="W1328" s="124"/>
      <c r="X1328" s="126" t="s">
        <v>4522</v>
      </c>
      <c r="Y1328" s="127"/>
      <c r="Z1328" s="127"/>
      <c r="AA1328" s="127"/>
      <c r="AB1328" s="128"/>
      <c r="AC1328" s="15" t="s">
        <v>20</v>
      </c>
      <c r="AD1328" s="129"/>
      <c r="AE1328" s="130"/>
      <c r="AF1328" s="130"/>
      <c r="AG1328" s="130"/>
      <c r="AH1328" s="130"/>
      <c r="AI1328" s="131"/>
      <c r="AJ1328" s="132"/>
      <c r="AK1328" s="127"/>
      <c r="AL1328" s="128"/>
      <c r="AM1328" s="21"/>
      <c r="AN1328" s="133">
        <v>45934</v>
      </c>
      <c r="AO1328" s="134"/>
      <c r="AP1328" s="135">
        <v>1270</v>
      </c>
      <c r="AQ1328" s="136"/>
      <c r="AR1328" s="118">
        <v>2275000</v>
      </c>
      <c r="AS1328" s="119"/>
      <c r="AT1328" s="118">
        <f>AR1328*0.1</f>
        <v>227500</v>
      </c>
      <c r="AU1328" s="119"/>
      <c r="AV1328" s="118">
        <v>15880</v>
      </c>
      <c r="AW1328" s="119"/>
      <c r="AX1328" s="118">
        <f>SUM(AR1328:AW1328)</f>
        <v>2518380</v>
      </c>
      <c r="AY1328" s="119"/>
      <c r="AZ1328" s="137">
        <v>45938</v>
      </c>
    </row>
    <row r="1329" spans="1:52" ht="17.100000000000001" customHeight="1" thickBot="1">
      <c r="A1329" s="110"/>
      <c r="B1329" s="27" t="s">
        <v>3281</v>
      </c>
      <c r="C1329" s="27">
        <v>71325</v>
      </c>
      <c r="D1329" s="14" t="s">
        <v>1576</v>
      </c>
      <c r="E1329" s="112"/>
      <c r="F1329" s="139" t="s">
        <v>4523</v>
      </c>
      <c r="G1329" s="140"/>
      <c r="H1329" s="141"/>
      <c r="I1329" s="26">
        <v>57433</v>
      </c>
      <c r="J1329" s="117"/>
      <c r="K1329" s="120"/>
      <c r="L1329" s="121"/>
      <c r="M1329" s="120"/>
      <c r="N1329" s="121"/>
      <c r="O1329" s="120"/>
      <c r="P1329" s="121"/>
      <c r="Q1329" s="120"/>
      <c r="R1329" s="121"/>
      <c r="S1329" s="120"/>
      <c r="T1329" s="121"/>
      <c r="U1329" s="120"/>
      <c r="V1329" s="123"/>
      <c r="W1329" s="125"/>
      <c r="X1329" s="142" t="s">
        <v>4524</v>
      </c>
      <c r="Y1329" s="143"/>
      <c r="Z1329" s="143"/>
      <c r="AA1329" s="143"/>
      <c r="AB1329" s="144"/>
      <c r="AC1329" s="16" t="s">
        <v>21</v>
      </c>
      <c r="AD1329" s="17" t="s">
        <v>4487</v>
      </c>
      <c r="AE1329" s="145"/>
      <c r="AF1329" s="146"/>
      <c r="AG1329" s="146"/>
      <c r="AH1329" s="146"/>
      <c r="AI1329" s="147"/>
      <c r="AJ1329" s="148"/>
      <c r="AK1329" s="143"/>
      <c r="AL1329" s="144"/>
      <c r="AM1329" s="22"/>
      <c r="AN1329" s="149" t="s">
        <v>7284</v>
      </c>
      <c r="AO1329" s="144"/>
      <c r="AP1329" s="148">
        <v>80044</v>
      </c>
      <c r="AQ1329" s="144"/>
      <c r="AR1329" s="120"/>
      <c r="AS1329" s="121"/>
      <c r="AT1329" s="120"/>
      <c r="AU1329" s="121"/>
      <c r="AV1329" s="120"/>
      <c r="AW1329" s="121"/>
      <c r="AX1329" s="120"/>
      <c r="AY1329" s="121"/>
      <c r="AZ1329" s="138"/>
    </row>
    <row r="1330" spans="1:52" ht="17.100000000000001" customHeight="1" thickTop="1">
      <c r="A1330" s="109" t="s">
        <v>6402</v>
      </c>
      <c r="B1330" s="28">
        <v>45905</v>
      </c>
      <c r="C1330" s="25">
        <v>2100</v>
      </c>
      <c r="D1330" s="13" t="s">
        <v>1825</v>
      </c>
      <c r="E1330" s="111"/>
      <c r="F1330" s="113" t="s">
        <v>4525</v>
      </c>
      <c r="G1330" s="114"/>
      <c r="H1330" s="115"/>
      <c r="I1330" s="24" t="s">
        <v>2494</v>
      </c>
      <c r="J1330" s="116">
        <v>4.5</v>
      </c>
      <c r="K1330" s="118">
        <v>1175000</v>
      </c>
      <c r="L1330" s="119"/>
      <c r="M1330" s="118">
        <f>K1330*0.1</f>
        <v>117500</v>
      </c>
      <c r="N1330" s="119"/>
      <c r="O1330" s="118">
        <v>0</v>
      </c>
      <c r="P1330" s="119"/>
      <c r="Q1330" s="118">
        <v>6470</v>
      </c>
      <c r="R1330" s="119"/>
      <c r="S1330" s="118">
        <v>16500</v>
      </c>
      <c r="T1330" s="119"/>
      <c r="U1330" s="118">
        <f>SUM(K1330:T1331)</f>
        <v>1315470</v>
      </c>
      <c r="V1330" s="122"/>
      <c r="W1330" s="124"/>
      <c r="X1330" s="126" t="s">
        <v>4526</v>
      </c>
      <c r="Y1330" s="127"/>
      <c r="Z1330" s="127"/>
      <c r="AA1330" s="127"/>
      <c r="AB1330" s="128"/>
      <c r="AC1330" s="15" t="s">
        <v>20</v>
      </c>
      <c r="AD1330" s="129" t="s">
        <v>4527</v>
      </c>
      <c r="AE1330" s="130"/>
      <c r="AF1330" s="130"/>
      <c r="AG1330" s="130"/>
      <c r="AH1330" s="130"/>
      <c r="AI1330" s="131"/>
      <c r="AJ1330" s="132"/>
      <c r="AK1330" s="127"/>
      <c r="AL1330" s="128"/>
      <c r="AM1330" s="21"/>
      <c r="AN1330" s="133">
        <v>45948</v>
      </c>
      <c r="AO1330" s="134"/>
      <c r="AP1330" s="135">
        <v>1272</v>
      </c>
      <c r="AQ1330" s="136"/>
      <c r="AR1330" s="118">
        <v>1220000</v>
      </c>
      <c r="AS1330" s="119"/>
      <c r="AT1330" s="118">
        <f>AR1330*0.1</f>
        <v>122000</v>
      </c>
      <c r="AU1330" s="119"/>
      <c r="AV1330" s="118">
        <v>6470</v>
      </c>
      <c r="AW1330" s="119"/>
      <c r="AX1330" s="118">
        <f>SUM(AR1330:AW1330)</f>
        <v>1348470</v>
      </c>
      <c r="AY1330" s="119"/>
      <c r="AZ1330" s="137">
        <v>45951</v>
      </c>
    </row>
    <row r="1331" spans="1:52" ht="17.100000000000001" customHeight="1" thickBot="1">
      <c r="A1331" s="110"/>
      <c r="B1331" s="27" t="s">
        <v>1543</v>
      </c>
      <c r="C1331" s="27">
        <v>55220</v>
      </c>
      <c r="D1331" s="14" t="s">
        <v>275</v>
      </c>
      <c r="E1331" s="112"/>
      <c r="F1331" s="139" t="s">
        <v>4528</v>
      </c>
      <c r="G1331" s="140"/>
      <c r="H1331" s="141"/>
      <c r="I1331" s="26">
        <v>20875</v>
      </c>
      <c r="J1331" s="117"/>
      <c r="K1331" s="120"/>
      <c r="L1331" s="121"/>
      <c r="M1331" s="120"/>
      <c r="N1331" s="121"/>
      <c r="O1331" s="120"/>
      <c r="P1331" s="121"/>
      <c r="Q1331" s="120"/>
      <c r="R1331" s="121"/>
      <c r="S1331" s="120"/>
      <c r="T1331" s="121"/>
      <c r="U1331" s="120"/>
      <c r="V1331" s="123"/>
      <c r="W1331" s="125"/>
      <c r="X1331" s="142" t="s">
        <v>4529</v>
      </c>
      <c r="Y1331" s="143"/>
      <c r="Z1331" s="143"/>
      <c r="AA1331" s="143"/>
      <c r="AB1331" s="144"/>
      <c r="AC1331" s="16" t="s">
        <v>21</v>
      </c>
      <c r="AD1331" s="17" t="s">
        <v>2119</v>
      </c>
      <c r="AE1331" s="145" t="s">
        <v>4530</v>
      </c>
      <c r="AF1331" s="146"/>
      <c r="AG1331" s="146"/>
      <c r="AH1331" s="146"/>
      <c r="AI1331" s="147"/>
      <c r="AJ1331" s="148"/>
      <c r="AK1331" s="143"/>
      <c r="AL1331" s="144"/>
      <c r="AM1331" s="22"/>
      <c r="AN1331" s="149" t="s">
        <v>7284</v>
      </c>
      <c r="AO1331" s="144"/>
      <c r="AP1331" s="148">
        <v>60080</v>
      </c>
      <c r="AQ1331" s="144"/>
      <c r="AR1331" s="120"/>
      <c r="AS1331" s="121"/>
      <c r="AT1331" s="120"/>
      <c r="AU1331" s="121"/>
      <c r="AV1331" s="120"/>
      <c r="AW1331" s="121"/>
      <c r="AX1331" s="120"/>
      <c r="AY1331" s="121"/>
      <c r="AZ1331" s="138"/>
    </row>
    <row r="1332" spans="1:52" ht="17.100000000000001" customHeight="1" thickTop="1">
      <c r="A1332" s="109" t="s">
        <v>6403</v>
      </c>
      <c r="B1332" s="28">
        <v>45905</v>
      </c>
      <c r="C1332" s="25">
        <v>2100</v>
      </c>
      <c r="D1332" s="13" t="s">
        <v>4121</v>
      </c>
      <c r="E1332" s="111"/>
      <c r="F1332" s="113" t="s">
        <v>4531</v>
      </c>
      <c r="G1332" s="114"/>
      <c r="H1332" s="115"/>
      <c r="I1332" s="24" t="s">
        <v>2919</v>
      </c>
      <c r="J1332" s="116">
        <v>4.5</v>
      </c>
      <c r="K1332" s="118">
        <v>2240000</v>
      </c>
      <c r="L1332" s="119"/>
      <c r="M1332" s="118">
        <f>K1332*0.1</f>
        <v>224000</v>
      </c>
      <c r="N1332" s="119"/>
      <c r="O1332" s="118">
        <f>19700+1970</f>
        <v>21670</v>
      </c>
      <c r="P1332" s="119"/>
      <c r="Q1332" s="118">
        <v>19090</v>
      </c>
      <c r="R1332" s="119"/>
      <c r="S1332" s="118">
        <v>16500</v>
      </c>
      <c r="T1332" s="119"/>
      <c r="U1332" s="118">
        <f>SUM(K1332:T1333)</f>
        <v>2521260</v>
      </c>
      <c r="V1332" s="122"/>
      <c r="W1332" s="124"/>
      <c r="X1332" s="126" t="s">
        <v>4532</v>
      </c>
      <c r="Y1332" s="127"/>
      <c r="Z1332" s="127"/>
      <c r="AA1332" s="127"/>
      <c r="AB1332" s="128"/>
      <c r="AC1332" s="15" t="s">
        <v>20</v>
      </c>
      <c r="AD1332" s="129" t="s">
        <v>1633</v>
      </c>
      <c r="AE1332" s="130"/>
      <c r="AF1332" s="130"/>
      <c r="AG1332" s="130"/>
      <c r="AH1332" s="130"/>
      <c r="AI1332" s="131"/>
      <c r="AJ1332" s="132"/>
      <c r="AK1332" s="127"/>
      <c r="AL1332" s="128"/>
      <c r="AM1332" s="21" t="s">
        <v>9559</v>
      </c>
      <c r="AN1332" s="133"/>
      <c r="AO1332" s="134"/>
      <c r="AP1332" s="135"/>
      <c r="AQ1332" s="136"/>
      <c r="AR1332" s="118"/>
      <c r="AS1332" s="119"/>
      <c r="AT1332" s="118">
        <f>AR1332*0.1</f>
        <v>0</v>
      </c>
      <c r="AU1332" s="119"/>
      <c r="AV1332" s="118"/>
      <c r="AW1332" s="119"/>
      <c r="AX1332" s="118">
        <f>SUM(AR1332:AW1332)</f>
        <v>0</v>
      </c>
      <c r="AY1332" s="119"/>
      <c r="AZ1332" s="137"/>
    </row>
    <row r="1333" spans="1:52" ht="17.100000000000001" customHeight="1" thickBot="1">
      <c r="A1333" s="110"/>
      <c r="B1333" s="27" t="s">
        <v>1543</v>
      </c>
      <c r="C1333" s="27">
        <v>58408</v>
      </c>
      <c r="D1333" s="14" t="s">
        <v>1576</v>
      </c>
      <c r="E1333" s="112"/>
      <c r="F1333" s="139" t="s">
        <v>4533</v>
      </c>
      <c r="G1333" s="140"/>
      <c r="H1333" s="141"/>
      <c r="I1333" s="26">
        <v>28458</v>
      </c>
      <c r="J1333" s="117"/>
      <c r="K1333" s="120"/>
      <c r="L1333" s="121"/>
      <c r="M1333" s="120"/>
      <c r="N1333" s="121"/>
      <c r="O1333" s="120"/>
      <c r="P1333" s="121"/>
      <c r="Q1333" s="120"/>
      <c r="R1333" s="121"/>
      <c r="S1333" s="120"/>
      <c r="T1333" s="121"/>
      <c r="U1333" s="120"/>
      <c r="V1333" s="123"/>
      <c r="W1333" s="125"/>
      <c r="X1333" s="142" t="s">
        <v>1594</v>
      </c>
      <c r="Y1333" s="143"/>
      <c r="Z1333" s="143"/>
      <c r="AA1333" s="143"/>
      <c r="AB1333" s="144"/>
      <c r="AC1333" s="16" t="s">
        <v>21</v>
      </c>
      <c r="AD1333" s="17" t="s">
        <v>4487</v>
      </c>
      <c r="AE1333" s="145" t="s">
        <v>1742</v>
      </c>
      <c r="AF1333" s="146"/>
      <c r="AG1333" s="146"/>
      <c r="AH1333" s="146"/>
      <c r="AI1333" s="147"/>
      <c r="AJ1333" s="148"/>
      <c r="AK1333" s="143"/>
      <c r="AL1333" s="144"/>
      <c r="AM1333" s="22"/>
      <c r="AN1333" s="149"/>
      <c r="AO1333" s="144"/>
      <c r="AP1333" s="148"/>
      <c r="AQ1333" s="144"/>
      <c r="AR1333" s="120"/>
      <c r="AS1333" s="121"/>
      <c r="AT1333" s="120"/>
      <c r="AU1333" s="121"/>
      <c r="AV1333" s="120"/>
      <c r="AW1333" s="121"/>
      <c r="AX1333" s="120"/>
      <c r="AY1333" s="121"/>
      <c r="AZ1333" s="138"/>
    </row>
    <row r="1334" spans="1:52" ht="17.100000000000001" customHeight="1" thickTop="1">
      <c r="A1334" s="109" t="s">
        <v>6404</v>
      </c>
      <c r="B1334" s="28">
        <v>45905</v>
      </c>
      <c r="C1334" s="25">
        <v>2100</v>
      </c>
      <c r="D1334" s="13" t="s">
        <v>2135</v>
      </c>
      <c r="E1334" s="111"/>
      <c r="F1334" s="113" t="s">
        <v>4534</v>
      </c>
      <c r="G1334" s="114"/>
      <c r="H1334" s="115"/>
      <c r="I1334" s="24" t="s">
        <v>4535</v>
      </c>
      <c r="J1334" s="116">
        <v>4.5</v>
      </c>
      <c r="K1334" s="118">
        <v>754000</v>
      </c>
      <c r="L1334" s="119"/>
      <c r="M1334" s="118">
        <f>K1334*0.1</f>
        <v>75400</v>
      </c>
      <c r="N1334" s="119"/>
      <c r="O1334" s="118">
        <f>17200+1720</f>
        <v>18920</v>
      </c>
      <c r="P1334" s="119"/>
      <c r="Q1334" s="118">
        <v>17250</v>
      </c>
      <c r="R1334" s="119"/>
      <c r="S1334" s="118">
        <v>16500</v>
      </c>
      <c r="T1334" s="119"/>
      <c r="U1334" s="118">
        <f>SUM(K1334:T1335)</f>
        <v>882070</v>
      </c>
      <c r="V1334" s="122"/>
      <c r="W1334" s="124"/>
      <c r="X1334" s="126" t="s">
        <v>4536</v>
      </c>
      <c r="Y1334" s="127"/>
      <c r="Z1334" s="127"/>
      <c r="AA1334" s="127"/>
      <c r="AB1334" s="128"/>
      <c r="AC1334" s="15" t="s">
        <v>20</v>
      </c>
      <c r="AD1334" s="129" t="s">
        <v>1670</v>
      </c>
      <c r="AE1334" s="130"/>
      <c r="AF1334" s="130"/>
      <c r="AG1334" s="130"/>
      <c r="AH1334" s="130"/>
      <c r="AI1334" s="131"/>
      <c r="AJ1334" s="132"/>
      <c r="AK1334" s="127"/>
      <c r="AL1334" s="128"/>
      <c r="AM1334" s="21" t="s">
        <v>9561</v>
      </c>
      <c r="AN1334" s="133"/>
      <c r="AO1334" s="134"/>
      <c r="AP1334" s="135"/>
      <c r="AQ1334" s="136"/>
      <c r="AR1334" s="118"/>
      <c r="AS1334" s="119"/>
      <c r="AT1334" s="118">
        <f>AR1334*0.1</f>
        <v>0</v>
      </c>
      <c r="AU1334" s="119"/>
      <c r="AV1334" s="118"/>
      <c r="AW1334" s="119"/>
      <c r="AX1334" s="118">
        <f>SUM(AR1334:AW1334)</f>
        <v>0</v>
      </c>
      <c r="AY1334" s="119"/>
      <c r="AZ1334" s="137"/>
    </row>
    <row r="1335" spans="1:52" ht="17.100000000000001" customHeight="1" thickBot="1">
      <c r="A1335" s="110"/>
      <c r="B1335" s="27" t="s">
        <v>1543</v>
      </c>
      <c r="C1335" s="27">
        <v>58431</v>
      </c>
      <c r="D1335" s="14" t="s">
        <v>1812</v>
      </c>
      <c r="E1335" s="112"/>
      <c r="F1335" s="139" t="s">
        <v>23444</v>
      </c>
      <c r="G1335" s="140"/>
      <c r="H1335" s="141"/>
      <c r="I1335" s="26">
        <v>35298</v>
      </c>
      <c r="J1335" s="117"/>
      <c r="K1335" s="120"/>
      <c r="L1335" s="121"/>
      <c r="M1335" s="120"/>
      <c r="N1335" s="121"/>
      <c r="O1335" s="120"/>
      <c r="P1335" s="121"/>
      <c r="Q1335" s="120"/>
      <c r="R1335" s="121"/>
      <c r="S1335" s="120"/>
      <c r="T1335" s="121"/>
      <c r="U1335" s="120"/>
      <c r="V1335" s="123"/>
      <c r="W1335" s="125"/>
      <c r="X1335" s="142" t="s">
        <v>4537</v>
      </c>
      <c r="Y1335" s="143"/>
      <c r="Z1335" s="143"/>
      <c r="AA1335" s="143"/>
      <c r="AB1335" s="144"/>
      <c r="AC1335" s="16" t="s">
        <v>21</v>
      </c>
      <c r="AD1335" s="17" t="s">
        <v>4487</v>
      </c>
      <c r="AE1335" s="145" t="s">
        <v>1742</v>
      </c>
      <c r="AF1335" s="146"/>
      <c r="AG1335" s="146"/>
      <c r="AH1335" s="146"/>
      <c r="AI1335" s="147"/>
      <c r="AJ1335" s="148"/>
      <c r="AK1335" s="143"/>
      <c r="AL1335" s="144"/>
      <c r="AM1335" s="22"/>
      <c r="AN1335" s="149"/>
      <c r="AO1335" s="144"/>
      <c r="AP1335" s="148"/>
      <c r="AQ1335" s="144"/>
      <c r="AR1335" s="120"/>
      <c r="AS1335" s="121"/>
      <c r="AT1335" s="120"/>
      <c r="AU1335" s="121"/>
      <c r="AV1335" s="120"/>
      <c r="AW1335" s="121"/>
      <c r="AX1335" s="120"/>
      <c r="AY1335" s="121"/>
      <c r="AZ1335" s="138"/>
    </row>
    <row r="1336" spans="1:52" ht="17.100000000000001" customHeight="1" thickTop="1">
      <c r="A1336" s="109" t="s">
        <v>6405</v>
      </c>
      <c r="B1336" s="28">
        <v>45905</v>
      </c>
      <c r="C1336" s="25">
        <v>2100</v>
      </c>
      <c r="D1336" s="13" t="s">
        <v>4382</v>
      </c>
      <c r="E1336" s="111"/>
      <c r="F1336" s="113" t="s">
        <v>3720</v>
      </c>
      <c r="G1336" s="114"/>
      <c r="H1336" s="115"/>
      <c r="I1336" s="24" t="s">
        <v>4538</v>
      </c>
      <c r="J1336" s="116">
        <v>4</v>
      </c>
      <c r="K1336" s="118">
        <v>345000</v>
      </c>
      <c r="L1336" s="119"/>
      <c r="M1336" s="118">
        <f>K1336*0.1</f>
        <v>34500</v>
      </c>
      <c r="N1336" s="119"/>
      <c r="O1336" s="118">
        <v>0</v>
      </c>
      <c r="P1336" s="119"/>
      <c r="Q1336" s="118">
        <v>9780</v>
      </c>
      <c r="R1336" s="119"/>
      <c r="S1336" s="118">
        <v>16500</v>
      </c>
      <c r="T1336" s="119"/>
      <c r="U1336" s="118">
        <f>SUM(K1336:T1337)</f>
        <v>405780</v>
      </c>
      <c r="V1336" s="122"/>
      <c r="W1336" s="124"/>
      <c r="X1336" s="126" t="s">
        <v>4539</v>
      </c>
      <c r="Y1336" s="127"/>
      <c r="Z1336" s="127"/>
      <c r="AA1336" s="127"/>
      <c r="AB1336" s="128"/>
      <c r="AC1336" s="15" t="s">
        <v>20</v>
      </c>
      <c r="AD1336" s="129"/>
      <c r="AE1336" s="130"/>
      <c r="AF1336" s="130"/>
      <c r="AG1336" s="130"/>
      <c r="AH1336" s="130"/>
      <c r="AI1336" s="131"/>
      <c r="AJ1336" s="132"/>
      <c r="AK1336" s="127"/>
      <c r="AL1336" s="128"/>
      <c r="AM1336" s="21"/>
      <c r="AN1336" s="133">
        <v>45927</v>
      </c>
      <c r="AO1336" s="134"/>
      <c r="AP1336" s="135">
        <v>1269</v>
      </c>
      <c r="AQ1336" s="136"/>
      <c r="AR1336" s="118">
        <v>430000</v>
      </c>
      <c r="AS1336" s="119"/>
      <c r="AT1336" s="118">
        <f>AR1336*0.1</f>
        <v>43000</v>
      </c>
      <c r="AU1336" s="119"/>
      <c r="AV1336" s="118">
        <v>9780</v>
      </c>
      <c r="AW1336" s="119"/>
      <c r="AX1336" s="118">
        <f>SUM(AR1336:AW1336)</f>
        <v>482780</v>
      </c>
      <c r="AY1336" s="119"/>
      <c r="AZ1336" s="137">
        <v>45937</v>
      </c>
    </row>
    <row r="1337" spans="1:52" ht="17.100000000000001" customHeight="1" thickBot="1">
      <c r="A1337" s="110"/>
      <c r="B1337" s="27" t="s">
        <v>1543</v>
      </c>
      <c r="C1337" s="27">
        <v>85233</v>
      </c>
      <c r="D1337" s="14" t="s">
        <v>2601</v>
      </c>
      <c r="E1337" s="112"/>
      <c r="F1337" s="139" t="s">
        <v>4540</v>
      </c>
      <c r="G1337" s="140"/>
      <c r="H1337" s="141"/>
      <c r="I1337" s="26">
        <v>54346</v>
      </c>
      <c r="J1337" s="117"/>
      <c r="K1337" s="120"/>
      <c r="L1337" s="121"/>
      <c r="M1337" s="120"/>
      <c r="N1337" s="121"/>
      <c r="O1337" s="120"/>
      <c r="P1337" s="121"/>
      <c r="Q1337" s="120"/>
      <c r="R1337" s="121"/>
      <c r="S1337" s="120"/>
      <c r="T1337" s="121"/>
      <c r="U1337" s="120"/>
      <c r="V1337" s="123"/>
      <c r="W1337" s="125"/>
      <c r="X1337" s="142" t="s">
        <v>4541</v>
      </c>
      <c r="Y1337" s="143"/>
      <c r="Z1337" s="143"/>
      <c r="AA1337" s="143"/>
      <c r="AB1337" s="144"/>
      <c r="AC1337" s="16" t="s">
        <v>21</v>
      </c>
      <c r="AD1337" s="17" t="s">
        <v>2584</v>
      </c>
      <c r="AE1337" s="145" t="s">
        <v>4542</v>
      </c>
      <c r="AF1337" s="146"/>
      <c r="AG1337" s="146"/>
      <c r="AH1337" s="146"/>
      <c r="AI1337" s="147"/>
      <c r="AJ1337" s="148"/>
      <c r="AK1337" s="143"/>
      <c r="AL1337" s="144"/>
      <c r="AM1337" s="22"/>
      <c r="AN1337" s="149" t="s">
        <v>6748</v>
      </c>
      <c r="AO1337" s="144"/>
      <c r="AP1337" s="148">
        <v>60192</v>
      </c>
      <c r="AQ1337" s="144"/>
      <c r="AR1337" s="120"/>
      <c r="AS1337" s="121"/>
      <c r="AT1337" s="120"/>
      <c r="AU1337" s="121"/>
      <c r="AV1337" s="120"/>
      <c r="AW1337" s="121"/>
      <c r="AX1337" s="120"/>
      <c r="AY1337" s="121"/>
      <c r="AZ1337" s="138"/>
    </row>
    <row r="1338" spans="1:52" ht="17.100000000000001" customHeight="1" thickTop="1">
      <c r="A1338" s="109" t="s">
        <v>6406</v>
      </c>
      <c r="B1338" s="28">
        <v>45905</v>
      </c>
      <c r="C1338" s="25">
        <v>48</v>
      </c>
      <c r="D1338" s="13" t="s">
        <v>3749</v>
      </c>
      <c r="E1338" s="111"/>
      <c r="F1338" s="113" t="s">
        <v>4543</v>
      </c>
      <c r="G1338" s="114"/>
      <c r="H1338" s="115"/>
      <c r="I1338" s="24" t="s">
        <v>3003</v>
      </c>
      <c r="J1338" s="116">
        <v>4</v>
      </c>
      <c r="K1338" s="118">
        <v>325000</v>
      </c>
      <c r="L1338" s="119"/>
      <c r="M1338" s="118">
        <f>K1338*0.1</f>
        <v>32500</v>
      </c>
      <c r="N1338" s="119"/>
      <c r="O1338" s="118">
        <v>0</v>
      </c>
      <c r="P1338" s="119"/>
      <c r="Q1338" s="118">
        <v>8490</v>
      </c>
      <c r="R1338" s="119"/>
      <c r="S1338" s="118">
        <v>33000</v>
      </c>
      <c r="T1338" s="119"/>
      <c r="U1338" s="118">
        <f>SUM(K1338:T1339)</f>
        <v>398990</v>
      </c>
      <c r="V1338" s="122"/>
      <c r="W1338" s="124"/>
      <c r="X1338" s="126" t="s">
        <v>8432</v>
      </c>
      <c r="Y1338" s="127"/>
      <c r="Z1338" s="127"/>
      <c r="AA1338" s="127"/>
      <c r="AB1338" s="128"/>
      <c r="AC1338" s="15" t="s">
        <v>20</v>
      </c>
      <c r="AD1338" s="129" t="s">
        <v>171</v>
      </c>
      <c r="AE1338" s="130"/>
      <c r="AF1338" s="130"/>
      <c r="AG1338" s="130"/>
      <c r="AH1338" s="130"/>
      <c r="AI1338" s="131"/>
      <c r="AJ1338" s="132"/>
      <c r="AK1338" s="127"/>
      <c r="AL1338" s="128"/>
      <c r="AM1338" s="21"/>
      <c r="AN1338" s="133">
        <v>45951</v>
      </c>
      <c r="AO1338" s="134"/>
      <c r="AP1338" s="135">
        <v>1914</v>
      </c>
      <c r="AQ1338" s="136"/>
      <c r="AR1338" s="118">
        <v>460000</v>
      </c>
      <c r="AS1338" s="119"/>
      <c r="AT1338" s="118">
        <f>AR1338*0.1</f>
        <v>46000</v>
      </c>
      <c r="AU1338" s="119"/>
      <c r="AV1338" s="118">
        <v>8490</v>
      </c>
      <c r="AW1338" s="119"/>
      <c r="AX1338" s="118">
        <f>SUM(AR1338:AW1338)</f>
        <v>514490</v>
      </c>
      <c r="AY1338" s="119"/>
      <c r="AZ1338" s="137">
        <v>45957</v>
      </c>
    </row>
    <row r="1339" spans="1:52" ht="17.100000000000001" customHeight="1" thickBot="1">
      <c r="A1339" s="110"/>
      <c r="B1339" s="27" t="s">
        <v>4544</v>
      </c>
      <c r="C1339" s="27">
        <v>2018</v>
      </c>
      <c r="D1339" s="14" t="s">
        <v>133</v>
      </c>
      <c r="E1339" s="112"/>
      <c r="F1339" s="139" t="s">
        <v>4545</v>
      </c>
      <c r="G1339" s="140"/>
      <c r="H1339" s="141"/>
      <c r="I1339" s="26">
        <v>35879</v>
      </c>
      <c r="J1339" s="117"/>
      <c r="K1339" s="120"/>
      <c r="L1339" s="121"/>
      <c r="M1339" s="120"/>
      <c r="N1339" s="121"/>
      <c r="O1339" s="120"/>
      <c r="P1339" s="121"/>
      <c r="Q1339" s="120"/>
      <c r="R1339" s="121"/>
      <c r="S1339" s="120"/>
      <c r="T1339" s="121"/>
      <c r="U1339" s="120"/>
      <c r="V1339" s="123"/>
      <c r="W1339" s="125"/>
      <c r="X1339" s="142" t="s">
        <v>8433</v>
      </c>
      <c r="Y1339" s="143"/>
      <c r="Z1339" s="143"/>
      <c r="AA1339" s="143"/>
      <c r="AB1339" s="144"/>
      <c r="AC1339" s="16" t="s">
        <v>21</v>
      </c>
      <c r="AD1339" s="17" t="s">
        <v>1638</v>
      </c>
      <c r="AE1339" s="145" t="s">
        <v>1742</v>
      </c>
      <c r="AF1339" s="146"/>
      <c r="AG1339" s="146"/>
      <c r="AH1339" s="146"/>
      <c r="AI1339" s="147"/>
      <c r="AJ1339" s="148"/>
      <c r="AK1339" s="143"/>
      <c r="AL1339" s="144"/>
      <c r="AM1339" s="22"/>
      <c r="AN1339" s="149" t="s">
        <v>2131</v>
      </c>
      <c r="AO1339" s="144"/>
      <c r="AP1339" s="148">
        <v>3197</v>
      </c>
      <c r="AQ1339" s="144"/>
      <c r="AR1339" s="120"/>
      <c r="AS1339" s="121"/>
      <c r="AT1339" s="120"/>
      <c r="AU1339" s="121"/>
      <c r="AV1339" s="120"/>
      <c r="AW1339" s="121"/>
      <c r="AX1339" s="120"/>
      <c r="AY1339" s="121"/>
      <c r="AZ1339" s="138"/>
    </row>
    <row r="1340" spans="1:52" ht="17.100000000000001" customHeight="1" thickTop="1">
      <c r="A1340" s="109" t="s">
        <v>6407</v>
      </c>
      <c r="B1340" s="28">
        <v>45905</v>
      </c>
      <c r="C1340" s="25"/>
      <c r="D1340" s="13" t="s">
        <v>1863</v>
      </c>
      <c r="E1340" s="111"/>
      <c r="F1340" s="113" t="s">
        <v>4546</v>
      </c>
      <c r="G1340" s="114"/>
      <c r="H1340" s="115"/>
      <c r="I1340" s="24" t="s">
        <v>4547</v>
      </c>
      <c r="J1340" s="116">
        <v>3.5</v>
      </c>
      <c r="K1340" s="118">
        <f>2321000/1.1</f>
        <v>2110000</v>
      </c>
      <c r="L1340" s="119"/>
      <c r="M1340" s="118">
        <f>K1340*0.1</f>
        <v>211000</v>
      </c>
      <c r="N1340" s="119"/>
      <c r="O1340" s="118">
        <v>22500</v>
      </c>
      <c r="P1340" s="119"/>
      <c r="Q1340" s="118">
        <v>16550</v>
      </c>
      <c r="R1340" s="119"/>
      <c r="S1340" s="118">
        <v>113025</v>
      </c>
      <c r="T1340" s="119"/>
      <c r="U1340" s="118">
        <f>SUM(K1340:T1341)</f>
        <v>2473075</v>
      </c>
      <c r="V1340" s="122"/>
      <c r="W1340" s="124"/>
      <c r="X1340" s="126" t="s">
        <v>8099</v>
      </c>
      <c r="Y1340" s="127"/>
      <c r="Z1340" s="127"/>
      <c r="AA1340" s="127"/>
      <c r="AB1340" s="128"/>
      <c r="AC1340" s="15" t="s">
        <v>20</v>
      </c>
      <c r="AD1340" s="129" t="s">
        <v>171</v>
      </c>
      <c r="AE1340" s="130"/>
      <c r="AF1340" s="130"/>
      <c r="AG1340" s="130"/>
      <c r="AH1340" s="130"/>
      <c r="AI1340" s="131"/>
      <c r="AJ1340" s="132"/>
      <c r="AK1340" s="127"/>
      <c r="AL1340" s="128"/>
      <c r="AM1340" s="21"/>
      <c r="AN1340" s="133">
        <v>45934</v>
      </c>
      <c r="AO1340" s="134"/>
      <c r="AP1340" s="135">
        <v>1270</v>
      </c>
      <c r="AQ1340" s="136"/>
      <c r="AR1340" s="118">
        <v>2285000</v>
      </c>
      <c r="AS1340" s="119"/>
      <c r="AT1340" s="118">
        <f>AR1340*0.1</f>
        <v>228500</v>
      </c>
      <c r="AU1340" s="119"/>
      <c r="AV1340" s="118">
        <v>16550</v>
      </c>
      <c r="AW1340" s="119"/>
      <c r="AX1340" s="118">
        <f>SUM(AR1340:AW1340)</f>
        <v>2530050</v>
      </c>
      <c r="AY1340" s="119"/>
      <c r="AZ1340" s="137">
        <v>45944</v>
      </c>
    </row>
    <row r="1341" spans="1:52" ht="17.100000000000001" customHeight="1" thickBot="1">
      <c r="A1341" s="110"/>
      <c r="B1341" s="27" t="s">
        <v>1718</v>
      </c>
      <c r="C1341" s="27" t="s">
        <v>4548</v>
      </c>
      <c r="D1341" s="14" t="s">
        <v>275</v>
      </c>
      <c r="E1341" s="112"/>
      <c r="F1341" s="139" t="s">
        <v>4549</v>
      </c>
      <c r="G1341" s="140"/>
      <c r="H1341" s="141"/>
      <c r="I1341" s="26">
        <v>41400</v>
      </c>
      <c r="J1341" s="117"/>
      <c r="K1341" s="120"/>
      <c r="L1341" s="121"/>
      <c r="M1341" s="120"/>
      <c r="N1341" s="121"/>
      <c r="O1341" s="120"/>
      <c r="P1341" s="121"/>
      <c r="Q1341" s="120"/>
      <c r="R1341" s="121"/>
      <c r="S1341" s="120"/>
      <c r="T1341" s="121"/>
      <c r="U1341" s="120"/>
      <c r="V1341" s="123"/>
      <c r="W1341" s="125"/>
      <c r="X1341" s="142" t="s">
        <v>1673</v>
      </c>
      <c r="Y1341" s="143"/>
      <c r="Z1341" s="143"/>
      <c r="AA1341" s="143"/>
      <c r="AB1341" s="144"/>
      <c r="AC1341" s="16" t="s">
        <v>21</v>
      </c>
      <c r="AD1341" s="17" t="s">
        <v>3980</v>
      </c>
      <c r="AE1341" s="145" t="s">
        <v>8100</v>
      </c>
      <c r="AF1341" s="146"/>
      <c r="AG1341" s="146"/>
      <c r="AH1341" s="146"/>
      <c r="AI1341" s="147"/>
      <c r="AJ1341" s="148"/>
      <c r="AK1341" s="143"/>
      <c r="AL1341" s="144"/>
      <c r="AM1341" s="22"/>
      <c r="AN1341" s="149" t="s">
        <v>7284</v>
      </c>
      <c r="AO1341" s="144"/>
      <c r="AP1341" s="148">
        <v>37759</v>
      </c>
      <c r="AQ1341" s="144"/>
      <c r="AR1341" s="120"/>
      <c r="AS1341" s="121"/>
      <c r="AT1341" s="120"/>
      <c r="AU1341" s="121"/>
      <c r="AV1341" s="120"/>
      <c r="AW1341" s="121"/>
      <c r="AX1341" s="120"/>
      <c r="AY1341" s="121"/>
      <c r="AZ1341" s="138"/>
    </row>
    <row r="1342" spans="1:52" ht="17.100000000000001" customHeight="1" thickTop="1">
      <c r="A1342" s="109" t="s">
        <v>6408</v>
      </c>
      <c r="B1342" s="28">
        <v>45905</v>
      </c>
      <c r="C1342" s="25">
        <v>1384</v>
      </c>
      <c r="D1342" s="13" t="s">
        <v>2970</v>
      </c>
      <c r="E1342" s="111"/>
      <c r="F1342" s="113" t="s">
        <v>4550</v>
      </c>
      <c r="G1342" s="114"/>
      <c r="H1342" s="115"/>
      <c r="I1342" s="24" t="s">
        <v>3490</v>
      </c>
      <c r="J1342" s="116">
        <v>4.5</v>
      </c>
      <c r="K1342" s="118">
        <v>1102000</v>
      </c>
      <c r="L1342" s="119"/>
      <c r="M1342" s="118">
        <f>K1342*0.1</f>
        <v>110200</v>
      </c>
      <c r="N1342" s="119"/>
      <c r="O1342" s="118">
        <v>0</v>
      </c>
      <c r="P1342" s="119"/>
      <c r="Q1342" s="118">
        <v>8740</v>
      </c>
      <c r="R1342" s="119"/>
      <c r="S1342" s="118">
        <v>13200</v>
      </c>
      <c r="T1342" s="119"/>
      <c r="U1342" s="118">
        <f>SUM(K1342:T1343)</f>
        <v>1234140</v>
      </c>
      <c r="V1342" s="122"/>
      <c r="W1342" s="124"/>
      <c r="X1342" s="126" t="s">
        <v>4551</v>
      </c>
      <c r="Y1342" s="127"/>
      <c r="Z1342" s="127"/>
      <c r="AA1342" s="127"/>
      <c r="AB1342" s="128"/>
      <c r="AC1342" s="15" t="s">
        <v>20</v>
      </c>
      <c r="AD1342" s="129"/>
      <c r="AE1342" s="130"/>
      <c r="AF1342" s="130"/>
      <c r="AG1342" s="130"/>
      <c r="AH1342" s="130"/>
      <c r="AI1342" s="131"/>
      <c r="AJ1342" s="132"/>
      <c r="AK1342" s="127"/>
      <c r="AL1342" s="128"/>
      <c r="AM1342" s="21" t="s">
        <v>7418</v>
      </c>
      <c r="AN1342" s="133">
        <v>45931</v>
      </c>
      <c r="AO1342" s="134"/>
      <c r="AP1342" s="135">
        <v>986</v>
      </c>
      <c r="AQ1342" s="136"/>
      <c r="AR1342" s="118">
        <v>1200000</v>
      </c>
      <c r="AS1342" s="119"/>
      <c r="AT1342" s="118">
        <f>AR1342*0.1</f>
        <v>120000</v>
      </c>
      <c r="AU1342" s="119"/>
      <c r="AV1342" s="118">
        <v>8740</v>
      </c>
      <c r="AW1342" s="119"/>
      <c r="AX1342" s="118">
        <f>SUM(AR1342:AW1342)</f>
        <v>1328740</v>
      </c>
      <c r="AY1342" s="119"/>
      <c r="AZ1342" s="137">
        <v>45939</v>
      </c>
    </row>
    <row r="1343" spans="1:52" ht="17.100000000000001" customHeight="1" thickBot="1">
      <c r="A1343" s="110"/>
      <c r="B1343" s="27" t="s">
        <v>2641</v>
      </c>
      <c r="C1343" s="27">
        <v>7502</v>
      </c>
      <c r="D1343" s="14" t="s">
        <v>1576</v>
      </c>
      <c r="E1343" s="112"/>
      <c r="F1343" s="139" t="s">
        <v>4552</v>
      </c>
      <c r="G1343" s="140"/>
      <c r="H1343" s="141"/>
      <c r="I1343" s="26">
        <v>50486</v>
      </c>
      <c r="J1343" s="117"/>
      <c r="K1343" s="120"/>
      <c r="L1343" s="121"/>
      <c r="M1343" s="120"/>
      <c r="N1343" s="121"/>
      <c r="O1343" s="120"/>
      <c r="P1343" s="121"/>
      <c r="Q1343" s="120"/>
      <c r="R1343" s="121"/>
      <c r="S1343" s="120"/>
      <c r="T1343" s="121"/>
      <c r="U1343" s="120"/>
      <c r="V1343" s="123"/>
      <c r="W1343" s="125"/>
      <c r="X1343" s="142" t="s">
        <v>4553</v>
      </c>
      <c r="Y1343" s="143"/>
      <c r="Z1343" s="143"/>
      <c r="AA1343" s="143"/>
      <c r="AB1343" s="144"/>
      <c r="AC1343" s="16" t="s">
        <v>21</v>
      </c>
      <c r="AD1343" s="17" t="s">
        <v>4487</v>
      </c>
      <c r="AE1343" s="145" t="s">
        <v>4488</v>
      </c>
      <c r="AF1343" s="146"/>
      <c r="AG1343" s="146"/>
      <c r="AH1343" s="146"/>
      <c r="AI1343" s="147"/>
      <c r="AJ1343" s="148"/>
      <c r="AK1343" s="143"/>
      <c r="AL1343" s="144"/>
      <c r="AM1343" s="22"/>
      <c r="AN1343" s="149" t="s">
        <v>7285</v>
      </c>
      <c r="AO1343" s="144"/>
      <c r="AP1343" s="148">
        <v>2056</v>
      </c>
      <c r="AQ1343" s="144"/>
      <c r="AR1343" s="120"/>
      <c r="AS1343" s="121"/>
      <c r="AT1343" s="120"/>
      <c r="AU1343" s="121"/>
      <c r="AV1343" s="120"/>
      <c r="AW1343" s="121"/>
      <c r="AX1343" s="120"/>
      <c r="AY1343" s="121"/>
      <c r="AZ1343" s="138"/>
    </row>
    <row r="1344" spans="1:52" ht="17.100000000000001" customHeight="1" thickTop="1">
      <c r="A1344" s="109" t="s">
        <v>6409</v>
      </c>
      <c r="B1344" s="28">
        <v>45905</v>
      </c>
      <c r="C1344" s="25">
        <v>1384</v>
      </c>
      <c r="D1344" s="13" t="s">
        <v>2009</v>
      </c>
      <c r="E1344" s="111"/>
      <c r="F1344" s="113" t="s">
        <v>4554</v>
      </c>
      <c r="G1344" s="114"/>
      <c r="H1344" s="115"/>
      <c r="I1344" s="24" t="s">
        <v>4555</v>
      </c>
      <c r="J1344" s="116">
        <v>4</v>
      </c>
      <c r="K1344" s="118">
        <v>1358000</v>
      </c>
      <c r="L1344" s="119"/>
      <c r="M1344" s="118">
        <f>K1344*0.1</f>
        <v>135800</v>
      </c>
      <c r="N1344" s="119"/>
      <c r="O1344" s="118">
        <v>13750</v>
      </c>
      <c r="P1344" s="119"/>
      <c r="Q1344" s="118">
        <v>7450</v>
      </c>
      <c r="R1344" s="119"/>
      <c r="S1344" s="118">
        <v>13200</v>
      </c>
      <c r="T1344" s="119"/>
      <c r="U1344" s="118">
        <f>SUM(K1344:T1345)</f>
        <v>1528200</v>
      </c>
      <c r="V1344" s="122"/>
      <c r="W1344" s="124"/>
      <c r="X1344" s="126" t="s">
        <v>4556</v>
      </c>
      <c r="Y1344" s="127"/>
      <c r="Z1344" s="127"/>
      <c r="AA1344" s="127"/>
      <c r="AB1344" s="128"/>
      <c r="AC1344" s="15" t="s">
        <v>20</v>
      </c>
      <c r="AD1344" s="129"/>
      <c r="AE1344" s="130"/>
      <c r="AF1344" s="130"/>
      <c r="AG1344" s="130"/>
      <c r="AH1344" s="130"/>
      <c r="AI1344" s="131"/>
      <c r="AJ1344" s="132"/>
      <c r="AK1344" s="127"/>
      <c r="AL1344" s="128"/>
      <c r="AM1344" s="21"/>
      <c r="AN1344" s="133">
        <v>45934</v>
      </c>
      <c r="AO1344" s="134"/>
      <c r="AP1344" s="135">
        <v>1270</v>
      </c>
      <c r="AQ1344" s="136"/>
      <c r="AR1344" s="118">
        <v>1405000</v>
      </c>
      <c r="AS1344" s="119"/>
      <c r="AT1344" s="118">
        <f>AR1344*0.1</f>
        <v>140500</v>
      </c>
      <c r="AU1344" s="119"/>
      <c r="AV1344" s="118">
        <v>7450</v>
      </c>
      <c r="AW1344" s="119"/>
      <c r="AX1344" s="118">
        <f>SUM(AR1344:AW1344)</f>
        <v>1552950</v>
      </c>
      <c r="AY1344" s="119"/>
      <c r="AZ1344" s="137">
        <v>45937</v>
      </c>
    </row>
    <row r="1345" spans="1:52" ht="17.100000000000001" customHeight="1" thickBot="1">
      <c r="A1345" s="110"/>
      <c r="B1345" s="27" t="s">
        <v>2641</v>
      </c>
      <c r="C1345" s="27">
        <v>7568</v>
      </c>
      <c r="D1345" s="14" t="s">
        <v>275</v>
      </c>
      <c r="E1345" s="112"/>
      <c r="F1345" s="139" t="s">
        <v>4557</v>
      </c>
      <c r="G1345" s="140"/>
      <c r="H1345" s="141"/>
      <c r="I1345" s="26">
        <v>54786</v>
      </c>
      <c r="J1345" s="117"/>
      <c r="K1345" s="120"/>
      <c r="L1345" s="121"/>
      <c r="M1345" s="120"/>
      <c r="N1345" s="121"/>
      <c r="O1345" s="120"/>
      <c r="P1345" s="121"/>
      <c r="Q1345" s="120"/>
      <c r="R1345" s="121"/>
      <c r="S1345" s="120"/>
      <c r="T1345" s="121"/>
      <c r="U1345" s="120"/>
      <c r="V1345" s="123"/>
      <c r="W1345" s="125"/>
      <c r="X1345" s="142" t="s">
        <v>4553</v>
      </c>
      <c r="Y1345" s="143"/>
      <c r="Z1345" s="143"/>
      <c r="AA1345" s="143"/>
      <c r="AB1345" s="144"/>
      <c r="AC1345" s="16" t="s">
        <v>21</v>
      </c>
      <c r="AD1345" s="17" t="s">
        <v>4487</v>
      </c>
      <c r="AE1345" s="145" t="s">
        <v>4558</v>
      </c>
      <c r="AF1345" s="146"/>
      <c r="AG1345" s="146"/>
      <c r="AH1345" s="146"/>
      <c r="AI1345" s="147"/>
      <c r="AJ1345" s="148"/>
      <c r="AK1345" s="143"/>
      <c r="AL1345" s="144"/>
      <c r="AM1345" s="22"/>
      <c r="AN1345" s="149" t="s">
        <v>7284</v>
      </c>
      <c r="AO1345" s="144"/>
      <c r="AP1345" s="148">
        <v>55065</v>
      </c>
      <c r="AQ1345" s="144"/>
      <c r="AR1345" s="120"/>
      <c r="AS1345" s="121"/>
      <c r="AT1345" s="120"/>
      <c r="AU1345" s="121"/>
      <c r="AV1345" s="120"/>
      <c r="AW1345" s="121"/>
      <c r="AX1345" s="120"/>
      <c r="AY1345" s="121"/>
      <c r="AZ1345" s="138"/>
    </row>
    <row r="1346" spans="1:52" ht="17.100000000000001" customHeight="1" thickTop="1">
      <c r="A1346" s="109" t="s">
        <v>6410</v>
      </c>
      <c r="B1346" s="28">
        <v>45906</v>
      </c>
      <c r="C1346" s="25">
        <v>1509</v>
      </c>
      <c r="D1346" s="13" t="s">
        <v>1712</v>
      </c>
      <c r="E1346" s="111"/>
      <c r="F1346" s="113" t="s">
        <v>4559</v>
      </c>
      <c r="G1346" s="114"/>
      <c r="H1346" s="115"/>
      <c r="I1346" s="24" t="s">
        <v>4560</v>
      </c>
      <c r="J1346" s="116">
        <v>4.5</v>
      </c>
      <c r="K1346" s="118">
        <v>680000</v>
      </c>
      <c r="L1346" s="119"/>
      <c r="M1346" s="118">
        <f>K1346*0.1</f>
        <v>68000</v>
      </c>
      <c r="N1346" s="119"/>
      <c r="O1346" s="118">
        <f>18920</f>
        <v>18920</v>
      </c>
      <c r="P1346" s="119"/>
      <c r="Q1346" s="118">
        <v>18960</v>
      </c>
      <c r="R1346" s="119"/>
      <c r="S1346" s="118">
        <v>16500</v>
      </c>
      <c r="T1346" s="119"/>
      <c r="U1346" s="118">
        <f>SUM(K1346:T1347)</f>
        <v>802380</v>
      </c>
      <c r="V1346" s="122"/>
      <c r="W1346" s="124"/>
      <c r="X1346" s="126" t="s">
        <v>4561</v>
      </c>
      <c r="Y1346" s="127"/>
      <c r="Z1346" s="127"/>
      <c r="AA1346" s="127"/>
      <c r="AB1346" s="128"/>
      <c r="AC1346" s="15" t="s">
        <v>20</v>
      </c>
      <c r="AD1346" s="129"/>
      <c r="AE1346" s="130"/>
      <c r="AF1346" s="130"/>
      <c r="AG1346" s="130"/>
      <c r="AH1346" s="130"/>
      <c r="AI1346" s="131"/>
      <c r="AJ1346" s="132"/>
      <c r="AK1346" s="127"/>
      <c r="AL1346" s="128"/>
      <c r="AM1346" s="21"/>
      <c r="AN1346" s="133">
        <v>45948</v>
      </c>
      <c r="AO1346" s="134"/>
      <c r="AP1346" s="135">
        <v>1272</v>
      </c>
      <c r="AQ1346" s="136"/>
      <c r="AR1346" s="118">
        <v>800000</v>
      </c>
      <c r="AS1346" s="119"/>
      <c r="AT1346" s="118">
        <f>AR1346*0.1</f>
        <v>80000</v>
      </c>
      <c r="AU1346" s="119"/>
      <c r="AV1346" s="118">
        <v>18960</v>
      </c>
      <c r="AW1346" s="119"/>
      <c r="AX1346" s="118">
        <f>SUM(AR1346:AW1346)</f>
        <v>898960</v>
      </c>
      <c r="AY1346" s="119"/>
      <c r="AZ1346" s="137">
        <v>45953</v>
      </c>
    </row>
    <row r="1347" spans="1:52" ht="17.100000000000001" customHeight="1" thickBot="1">
      <c r="A1347" s="110"/>
      <c r="B1347" s="27" t="s">
        <v>1555</v>
      </c>
      <c r="C1347" s="27">
        <v>83063</v>
      </c>
      <c r="D1347" s="14" t="s">
        <v>1812</v>
      </c>
      <c r="E1347" s="112"/>
      <c r="F1347" s="139" t="s">
        <v>4562</v>
      </c>
      <c r="G1347" s="140"/>
      <c r="H1347" s="141"/>
      <c r="I1347" s="26">
        <v>48091</v>
      </c>
      <c r="J1347" s="117"/>
      <c r="K1347" s="120"/>
      <c r="L1347" s="121"/>
      <c r="M1347" s="120"/>
      <c r="N1347" s="121"/>
      <c r="O1347" s="120"/>
      <c r="P1347" s="121"/>
      <c r="Q1347" s="120"/>
      <c r="R1347" s="121"/>
      <c r="S1347" s="120"/>
      <c r="T1347" s="121"/>
      <c r="U1347" s="120"/>
      <c r="V1347" s="123"/>
      <c r="W1347" s="125"/>
      <c r="X1347" s="142" t="s">
        <v>4563</v>
      </c>
      <c r="Y1347" s="143"/>
      <c r="Z1347" s="143"/>
      <c r="AA1347" s="143"/>
      <c r="AB1347" s="144"/>
      <c r="AC1347" s="16" t="s">
        <v>21</v>
      </c>
      <c r="AD1347" s="17" t="s">
        <v>2584</v>
      </c>
      <c r="AE1347" s="145" t="s">
        <v>3624</v>
      </c>
      <c r="AF1347" s="146"/>
      <c r="AG1347" s="146"/>
      <c r="AH1347" s="146"/>
      <c r="AI1347" s="147"/>
      <c r="AJ1347" s="148"/>
      <c r="AK1347" s="143"/>
      <c r="AL1347" s="144"/>
      <c r="AM1347" s="22"/>
      <c r="AN1347" s="149" t="s">
        <v>7284</v>
      </c>
      <c r="AO1347" s="144"/>
      <c r="AP1347" s="148">
        <v>80073</v>
      </c>
      <c r="AQ1347" s="144"/>
      <c r="AR1347" s="120"/>
      <c r="AS1347" s="121"/>
      <c r="AT1347" s="120"/>
      <c r="AU1347" s="121"/>
      <c r="AV1347" s="120"/>
      <c r="AW1347" s="121"/>
      <c r="AX1347" s="120"/>
      <c r="AY1347" s="121"/>
      <c r="AZ1347" s="138"/>
    </row>
    <row r="1348" spans="1:52" ht="17.100000000000001" customHeight="1" thickTop="1">
      <c r="A1348" s="109" t="s">
        <v>6411</v>
      </c>
      <c r="B1348" s="28">
        <v>45906</v>
      </c>
      <c r="C1348" s="25">
        <v>1266</v>
      </c>
      <c r="D1348" s="13" t="s">
        <v>1888</v>
      </c>
      <c r="E1348" s="111"/>
      <c r="F1348" s="113" t="s">
        <v>1616</v>
      </c>
      <c r="G1348" s="114"/>
      <c r="H1348" s="115"/>
      <c r="I1348" s="24"/>
      <c r="J1348" s="116">
        <v>5</v>
      </c>
      <c r="K1348" s="118">
        <v>640000</v>
      </c>
      <c r="L1348" s="119"/>
      <c r="M1348" s="118">
        <f>K1348*0.1</f>
        <v>64000</v>
      </c>
      <c r="N1348" s="119"/>
      <c r="O1348" s="118">
        <v>0</v>
      </c>
      <c r="P1348" s="119"/>
      <c r="Q1348" s="118">
        <v>17250</v>
      </c>
      <c r="R1348" s="119"/>
      <c r="S1348" s="118">
        <v>16500</v>
      </c>
      <c r="T1348" s="119"/>
      <c r="U1348" s="118">
        <f>SUM(K1348:T1349)</f>
        <v>737750</v>
      </c>
      <c r="V1348" s="122"/>
      <c r="W1348" s="124"/>
      <c r="X1348" s="126" t="s">
        <v>4564</v>
      </c>
      <c r="Y1348" s="127"/>
      <c r="Z1348" s="127"/>
      <c r="AA1348" s="127"/>
      <c r="AB1348" s="128"/>
      <c r="AC1348" s="15" t="s">
        <v>20</v>
      </c>
      <c r="AD1348" s="129" t="s">
        <v>1633</v>
      </c>
      <c r="AE1348" s="130"/>
      <c r="AF1348" s="130"/>
      <c r="AG1348" s="130"/>
      <c r="AH1348" s="130"/>
      <c r="AI1348" s="131"/>
      <c r="AJ1348" s="132"/>
      <c r="AK1348" s="127"/>
      <c r="AL1348" s="128"/>
      <c r="AM1348" s="21"/>
      <c r="AN1348" s="133">
        <v>45960</v>
      </c>
      <c r="AO1348" s="134"/>
      <c r="AP1348" s="135">
        <v>1304</v>
      </c>
      <c r="AQ1348" s="136"/>
      <c r="AR1348" s="118">
        <v>760000</v>
      </c>
      <c r="AS1348" s="119"/>
      <c r="AT1348" s="118">
        <f>AR1348*0.1</f>
        <v>76000</v>
      </c>
      <c r="AU1348" s="119"/>
      <c r="AV1348" s="118">
        <v>17250</v>
      </c>
      <c r="AW1348" s="119"/>
      <c r="AX1348" s="118">
        <f>SUM(AR1348:AW1348)</f>
        <v>853250</v>
      </c>
      <c r="AY1348" s="119"/>
      <c r="AZ1348" s="137">
        <v>45961</v>
      </c>
    </row>
    <row r="1349" spans="1:52" ht="17.100000000000001" customHeight="1" thickBot="1">
      <c r="A1349" s="110"/>
      <c r="B1349" s="27" t="s">
        <v>2511</v>
      </c>
      <c r="C1349" s="27">
        <v>80386</v>
      </c>
      <c r="D1349" s="14" t="s">
        <v>1592</v>
      </c>
      <c r="E1349" s="112"/>
      <c r="F1349" s="139" t="s">
        <v>4565</v>
      </c>
      <c r="G1349" s="140"/>
      <c r="H1349" s="141"/>
      <c r="I1349" s="26">
        <v>33841</v>
      </c>
      <c r="J1349" s="117"/>
      <c r="K1349" s="120"/>
      <c r="L1349" s="121"/>
      <c r="M1349" s="120"/>
      <c r="N1349" s="121"/>
      <c r="O1349" s="120"/>
      <c r="P1349" s="121"/>
      <c r="Q1349" s="120"/>
      <c r="R1349" s="121"/>
      <c r="S1349" s="120"/>
      <c r="T1349" s="121"/>
      <c r="U1349" s="120"/>
      <c r="V1349" s="123"/>
      <c r="W1349" s="125"/>
      <c r="X1349" s="142" t="s">
        <v>4566</v>
      </c>
      <c r="Y1349" s="143"/>
      <c r="Z1349" s="143"/>
      <c r="AA1349" s="143"/>
      <c r="AB1349" s="144"/>
      <c r="AC1349" s="16" t="s">
        <v>21</v>
      </c>
      <c r="AD1349" s="17" t="s">
        <v>4567</v>
      </c>
      <c r="AE1349" s="145" t="s">
        <v>1742</v>
      </c>
      <c r="AF1349" s="146"/>
      <c r="AG1349" s="146"/>
      <c r="AH1349" s="146"/>
      <c r="AI1349" s="147"/>
      <c r="AJ1349" s="148"/>
      <c r="AK1349" s="143"/>
      <c r="AL1349" s="144"/>
      <c r="AM1349" s="22"/>
      <c r="AN1349" s="149" t="s">
        <v>1747</v>
      </c>
      <c r="AO1349" s="144"/>
      <c r="AP1349" s="148">
        <v>973</v>
      </c>
      <c r="AQ1349" s="144"/>
      <c r="AR1349" s="120"/>
      <c r="AS1349" s="121"/>
      <c r="AT1349" s="120"/>
      <c r="AU1349" s="121"/>
      <c r="AV1349" s="120"/>
      <c r="AW1349" s="121"/>
      <c r="AX1349" s="120"/>
      <c r="AY1349" s="121"/>
      <c r="AZ1349" s="138"/>
    </row>
    <row r="1350" spans="1:52" ht="17.100000000000001" customHeight="1" thickTop="1">
      <c r="A1350" s="109" t="s">
        <v>6412</v>
      </c>
      <c r="B1350" s="28">
        <v>45906</v>
      </c>
      <c r="C1350" s="25">
        <v>1266</v>
      </c>
      <c r="D1350" s="13" t="s">
        <v>3322</v>
      </c>
      <c r="E1350" s="111"/>
      <c r="F1350" s="113" t="s">
        <v>1810</v>
      </c>
      <c r="G1350" s="114"/>
      <c r="H1350" s="115"/>
      <c r="I1350" s="24"/>
      <c r="J1350" s="116">
        <v>4</v>
      </c>
      <c r="K1350" s="118">
        <v>1715000</v>
      </c>
      <c r="L1350" s="119"/>
      <c r="M1350" s="118">
        <v>171500</v>
      </c>
      <c r="N1350" s="119"/>
      <c r="O1350" s="118">
        <v>0</v>
      </c>
      <c r="P1350" s="119"/>
      <c r="Q1350" s="118">
        <v>16240</v>
      </c>
      <c r="R1350" s="119"/>
      <c r="S1350" s="118">
        <v>16500</v>
      </c>
      <c r="T1350" s="119"/>
      <c r="U1350" s="118">
        <f>SUM(K1350:T1351)</f>
        <v>1919240</v>
      </c>
      <c r="V1350" s="122"/>
      <c r="W1350" s="124"/>
      <c r="X1350" s="126" t="s">
        <v>4568</v>
      </c>
      <c r="Y1350" s="127"/>
      <c r="Z1350" s="127"/>
      <c r="AA1350" s="127"/>
      <c r="AB1350" s="128"/>
      <c r="AC1350" s="15" t="s">
        <v>20</v>
      </c>
      <c r="AD1350" s="129" t="s">
        <v>1945</v>
      </c>
      <c r="AE1350" s="130"/>
      <c r="AF1350" s="130"/>
      <c r="AG1350" s="130"/>
      <c r="AH1350" s="130"/>
      <c r="AI1350" s="131"/>
      <c r="AJ1350" s="132"/>
      <c r="AK1350" s="127"/>
      <c r="AL1350" s="128"/>
      <c r="AM1350" s="21"/>
      <c r="AN1350" s="133">
        <v>45962</v>
      </c>
      <c r="AO1350" s="134"/>
      <c r="AP1350" s="135">
        <v>1274</v>
      </c>
      <c r="AQ1350" s="136"/>
      <c r="AR1350" s="118">
        <v>1770000</v>
      </c>
      <c r="AS1350" s="119"/>
      <c r="AT1350" s="118">
        <f>AR1350*0.1</f>
        <v>177000</v>
      </c>
      <c r="AU1350" s="119"/>
      <c r="AV1350" s="118">
        <v>16240</v>
      </c>
      <c r="AW1350" s="119"/>
      <c r="AX1350" s="118">
        <f>SUM(AR1350:AW1350)</f>
        <v>1963240</v>
      </c>
      <c r="AY1350" s="119"/>
      <c r="AZ1350" s="137">
        <v>45971</v>
      </c>
    </row>
    <row r="1351" spans="1:52" ht="17.100000000000001" customHeight="1" thickBot="1">
      <c r="A1351" s="110"/>
      <c r="B1351" s="27" t="s">
        <v>2511</v>
      </c>
      <c r="C1351" s="27">
        <v>82097</v>
      </c>
      <c r="D1351" s="14" t="s">
        <v>1720</v>
      </c>
      <c r="E1351" s="112"/>
      <c r="F1351" s="139" t="s">
        <v>4569</v>
      </c>
      <c r="G1351" s="140"/>
      <c r="H1351" s="141"/>
      <c r="I1351" s="26">
        <v>41370</v>
      </c>
      <c r="J1351" s="117"/>
      <c r="K1351" s="120"/>
      <c r="L1351" s="121"/>
      <c r="M1351" s="120"/>
      <c r="N1351" s="121"/>
      <c r="O1351" s="120"/>
      <c r="P1351" s="121"/>
      <c r="Q1351" s="120"/>
      <c r="R1351" s="121"/>
      <c r="S1351" s="120"/>
      <c r="T1351" s="121"/>
      <c r="U1351" s="120"/>
      <c r="V1351" s="123"/>
      <c r="W1351" s="125"/>
      <c r="X1351" s="142" t="s">
        <v>2694</v>
      </c>
      <c r="Y1351" s="143"/>
      <c r="Z1351" s="143"/>
      <c r="AA1351" s="143"/>
      <c r="AB1351" s="144"/>
      <c r="AC1351" s="16" t="s">
        <v>21</v>
      </c>
      <c r="AD1351" s="17" t="s">
        <v>4567</v>
      </c>
      <c r="AE1351" s="145" t="s">
        <v>4570</v>
      </c>
      <c r="AF1351" s="146"/>
      <c r="AG1351" s="146"/>
      <c r="AH1351" s="146"/>
      <c r="AI1351" s="147"/>
      <c r="AJ1351" s="148"/>
      <c r="AK1351" s="143"/>
      <c r="AL1351" s="144"/>
      <c r="AM1351" s="22"/>
      <c r="AN1351" s="149" t="s">
        <v>6748</v>
      </c>
      <c r="AO1351" s="144"/>
      <c r="AP1351" s="148">
        <v>80064</v>
      </c>
      <c r="AQ1351" s="144"/>
      <c r="AR1351" s="120"/>
      <c r="AS1351" s="121"/>
      <c r="AT1351" s="120"/>
      <c r="AU1351" s="121"/>
      <c r="AV1351" s="120"/>
      <c r="AW1351" s="121"/>
      <c r="AX1351" s="120"/>
      <c r="AY1351" s="121"/>
      <c r="AZ1351" s="138"/>
    </row>
    <row r="1352" spans="1:52" ht="17.100000000000001" customHeight="1" thickTop="1">
      <c r="A1352" s="109" t="s">
        <v>6413</v>
      </c>
      <c r="B1352" s="28">
        <v>45906</v>
      </c>
      <c r="C1352" s="25">
        <v>1266</v>
      </c>
      <c r="D1352" s="13" t="s">
        <v>1977</v>
      </c>
      <c r="E1352" s="111"/>
      <c r="F1352" s="113" t="s">
        <v>4571</v>
      </c>
      <c r="G1352" s="114"/>
      <c r="H1352" s="115"/>
      <c r="I1352" s="24"/>
      <c r="J1352" s="116">
        <v>4.5</v>
      </c>
      <c r="K1352" s="118">
        <v>2475000</v>
      </c>
      <c r="L1352" s="119"/>
      <c r="M1352" s="118">
        <v>247500</v>
      </c>
      <c r="N1352" s="119"/>
      <c r="O1352" s="118">
        <v>0</v>
      </c>
      <c r="P1352" s="119"/>
      <c r="Q1352" s="118">
        <v>19090</v>
      </c>
      <c r="R1352" s="119"/>
      <c r="S1352" s="118">
        <v>16500</v>
      </c>
      <c r="T1352" s="119"/>
      <c r="U1352" s="118">
        <f>SUM(K1352:T1353)</f>
        <v>2758090</v>
      </c>
      <c r="V1352" s="122"/>
      <c r="W1352" s="124"/>
      <c r="X1352" s="126" t="s">
        <v>4572</v>
      </c>
      <c r="Y1352" s="127"/>
      <c r="Z1352" s="127"/>
      <c r="AA1352" s="127"/>
      <c r="AB1352" s="128"/>
      <c r="AC1352" s="15" t="s">
        <v>20</v>
      </c>
      <c r="AD1352" s="129" t="s">
        <v>3485</v>
      </c>
      <c r="AE1352" s="130"/>
      <c r="AF1352" s="130"/>
      <c r="AG1352" s="130"/>
      <c r="AH1352" s="130"/>
      <c r="AI1352" s="131"/>
      <c r="AJ1352" s="132"/>
      <c r="AK1352" s="127"/>
      <c r="AL1352" s="128"/>
      <c r="AM1352" s="21"/>
      <c r="AN1352" s="133"/>
      <c r="AO1352" s="134"/>
      <c r="AP1352" s="135"/>
      <c r="AQ1352" s="136"/>
      <c r="AR1352" s="118"/>
      <c r="AS1352" s="119"/>
      <c r="AT1352" s="118">
        <f>AR1352*0.1</f>
        <v>0</v>
      </c>
      <c r="AU1352" s="119"/>
      <c r="AV1352" s="118"/>
      <c r="AW1352" s="119"/>
      <c r="AX1352" s="118">
        <f>SUM(AR1352:AW1352)</f>
        <v>0</v>
      </c>
      <c r="AY1352" s="119"/>
      <c r="AZ1352" s="137"/>
    </row>
    <row r="1353" spans="1:52" ht="17.100000000000001" customHeight="1" thickBot="1">
      <c r="A1353" s="110"/>
      <c r="B1353" s="27" t="s">
        <v>2511</v>
      </c>
      <c r="C1353" s="27">
        <v>82307</v>
      </c>
      <c r="D1353" s="14" t="s">
        <v>1592</v>
      </c>
      <c r="E1353" s="112"/>
      <c r="F1353" s="139" t="s">
        <v>4573</v>
      </c>
      <c r="G1353" s="140"/>
      <c r="H1353" s="141"/>
      <c r="I1353" s="26">
        <v>19649</v>
      </c>
      <c r="J1353" s="117"/>
      <c r="K1353" s="120"/>
      <c r="L1353" s="121"/>
      <c r="M1353" s="120"/>
      <c r="N1353" s="121"/>
      <c r="O1353" s="120"/>
      <c r="P1353" s="121"/>
      <c r="Q1353" s="120"/>
      <c r="R1353" s="121"/>
      <c r="S1353" s="120"/>
      <c r="T1353" s="121"/>
      <c r="U1353" s="120"/>
      <c r="V1353" s="123"/>
      <c r="W1353" s="125"/>
      <c r="X1353" s="142" t="s">
        <v>2440</v>
      </c>
      <c r="Y1353" s="143"/>
      <c r="Z1353" s="143"/>
      <c r="AA1353" s="143"/>
      <c r="AB1353" s="144"/>
      <c r="AC1353" s="16" t="s">
        <v>21</v>
      </c>
      <c r="AD1353" s="17" t="s">
        <v>4567</v>
      </c>
      <c r="AE1353" s="145" t="s">
        <v>4574</v>
      </c>
      <c r="AF1353" s="146"/>
      <c r="AG1353" s="146"/>
      <c r="AH1353" s="146"/>
      <c r="AI1353" s="147"/>
      <c r="AJ1353" s="148"/>
      <c r="AK1353" s="143"/>
      <c r="AL1353" s="144"/>
      <c r="AM1353" s="22"/>
      <c r="AN1353" s="149"/>
      <c r="AO1353" s="144"/>
      <c r="AP1353" s="148"/>
      <c r="AQ1353" s="144"/>
      <c r="AR1353" s="120"/>
      <c r="AS1353" s="121"/>
      <c r="AT1353" s="120"/>
      <c r="AU1353" s="121"/>
      <c r="AV1353" s="120"/>
      <c r="AW1353" s="121"/>
      <c r="AX1353" s="120"/>
      <c r="AY1353" s="121"/>
      <c r="AZ1353" s="138"/>
    </row>
    <row r="1354" spans="1:52" ht="17.100000000000001" customHeight="1" thickTop="1">
      <c r="A1354" s="109" t="s">
        <v>6414</v>
      </c>
      <c r="B1354" s="28">
        <v>45908</v>
      </c>
      <c r="C1354" s="25"/>
      <c r="D1354" s="13" t="s">
        <v>1714</v>
      </c>
      <c r="E1354" s="111"/>
      <c r="F1354" s="113" t="s">
        <v>4575</v>
      </c>
      <c r="G1354" s="114"/>
      <c r="H1354" s="115"/>
      <c r="I1354" s="24"/>
      <c r="J1354" s="116">
        <v>4.5</v>
      </c>
      <c r="K1354" s="118">
        <v>2454000</v>
      </c>
      <c r="L1354" s="119"/>
      <c r="M1354" s="118">
        <f>K1354*0.1</f>
        <v>245400</v>
      </c>
      <c r="N1354" s="119"/>
      <c r="O1354" s="118">
        <v>0</v>
      </c>
      <c r="P1354" s="119"/>
      <c r="Q1354" s="118">
        <v>19180</v>
      </c>
      <c r="R1354" s="119"/>
      <c r="S1354" s="118">
        <v>14850</v>
      </c>
      <c r="T1354" s="119"/>
      <c r="U1354" s="118">
        <f>SUM(K1354:T1355)</f>
        <v>2733430</v>
      </c>
      <c r="V1354" s="122"/>
      <c r="W1354" s="124"/>
      <c r="X1354" s="126" t="s">
        <v>4576</v>
      </c>
      <c r="Y1354" s="127"/>
      <c r="Z1354" s="127"/>
      <c r="AA1354" s="127"/>
      <c r="AB1354" s="128"/>
      <c r="AC1354" s="15" t="s">
        <v>20</v>
      </c>
      <c r="AD1354" s="129" t="s">
        <v>1670</v>
      </c>
      <c r="AE1354" s="130"/>
      <c r="AF1354" s="130"/>
      <c r="AG1354" s="130"/>
      <c r="AH1354" s="130"/>
      <c r="AI1354" s="131"/>
      <c r="AJ1354" s="132"/>
      <c r="AK1354" s="127"/>
      <c r="AL1354" s="128"/>
      <c r="AM1354" s="21"/>
      <c r="AN1354" s="133">
        <v>45990</v>
      </c>
      <c r="AO1354" s="134"/>
      <c r="AP1354" s="135">
        <v>1278</v>
      </c>
      <c r="AQ1354" s="136"/>
      <c r="AR1354" s="118">
        <v>2490000</v>
      </c>
      <c r="AS1354" s="119"/>
      <c r="AT1354" s="118">
        <f>AR1354*0.1</f>
        <v>249000</v>
      </c>
      <c r="AU1354" s="119"/>
      <c r="AV1354" s="118">
        <v>19180</v>
      </c>
      <c r="AW1354" s="119"/>
      <c r="AX1354" s="118">
        <f>SUM(AR1354:AW1354)</f>
        <v>2758180</v>
      </c>
      <c r="AY1354" s="119"/>
      <c r="AZ1354" s="137">
        <v>45994</v>
      </c>
    </row>
    <row r="1355" spans="1:52" ht="17.100000000000001" customHeight="1" thickBot="1">
      <c r="A1355" s="110"/>
      <c r="B1355" s="27" t="s">
        <v>2774</v>
      </c>
      <c r="C1355" s="27">
        <v>80224</v>
      </c>
      <c r="D1355" s="14" t="s">
        <v>1592</v>
      </c>
      <c r="E1355" s="112"/>
      <c r="F1355" s="139" t="s">
        <v>4577</v>
      </c>
      <c r="G1355" s="140"/>
      <c r="H1355" s="141"/>
      <c r="I1355" s="26">
        <v>37586</v>
      </c>
      <c r="J1355" s="117"/>
      <c r="K1355" s="120"/>
      <c r="L1355" s="121"/>
      <c r="M1355" s="120"/>
      <c r="N1355" s="121"/>
      <c r="O1355" s="120"/>
      <c r="P1355" s="121"/>
      <c r="Q1355" s="120"/>
      <c r="R1355" s="121"/>
      <c r="S1355" s="120"/>
      <c r="T1355" s="121"/>
      <c r="U1355" s="120"/>
      <c r="V1355" s="123"/>
      <c r="W1355" s="125"/>
      <c r="X1355" s="142" t="s">
        <v>4578</v>
      </c>
      <c r="Y1355" s="143"/>
      <c r="Z1355" s="143"/>
      <c r="AA1355" s="143"/>
      <c r="AB1355" s="144"/>
      <c r="AC1355" s="16" t="s">
        <v>21</v>
      </c>
      <c r="AD1355" s="17" t="s">
        <v>3001</v>
      </c>
      <c r="AE1355" s="145" t="s">
        <v>4579</v>
      </c>
      <c r="AF1355" s="146"/>
      <c r="AG1355" s="146"/>
      <c r="AH1355" s="146"/>
      <c r="AI1355" s="147"/>
      <c r="AJ1355" s="148"/>
      <c r="AK1355" s="143"/>
      <c r="AL1355" s="144"/>
      <c r="AM1355" s="22"/>
      <c r="AN1355" s="149" t="s">
        <v>7284</v>
      </c>
      <c r="AO1355" s="144"/>
      <c r="AP1355" s="148">
        <v>80025</v>
      </c>
      <c r="AQ1355" s="144"/>
      <c r="AR1355" s="120"/>
      <c r="AS1355" s="121"/>
      <c r="AT1355" s="120"/>
      <c r="AU1355" s="121"/>
      <c r="AV1355" s="120"/>
      <c r="AW1355" s="121"/>
      <c r="AX1355" s="120"/>
      <c r="AY1355" s="121"/>
      <c r="AZ1355" s="138"/>
    </row>
    <row r="1356" spans="1:52" ht="17.100000000000001" customHeight="1" thickTop="1">
      <c r="A1356" s="109" t="s">
        <v>6415</v>
      </c>
      <c r="B1356" s="28">
        <v>45908</v>
      </c>
      <c r="C1356" s="25">
        <v>2059</v>
      </c>
      <c r="D1356" s="13" t="s">
        <v>1623</v>
      </c>
      <c r="E1356" s="111"/>
      <c r="F1356" s="113" t="s">
        <v>4580</v>
      </c>
      <c r="G1356" s="114"/>
      <c r="H1356" s="115"/>
      <c r="I1356" s="24"/>
      <c r="J1356" s="116">
        <v>4.5</v>
      </c>
      <c r="K1356" s="118">
        <v>553000</v>
      </c>
      <c r="L1356" s="119"/>
      <c r="M1356" s="118">
        <f>K1356*0.1</f>
        <v>55300</v>
      </c>
      <c r="N1356" s="119"/>
      <c r="O1356" s="118">
        <v>0</v>
      </c>
      <c r="P1356" s="119"/>
      <c r="Q1356" s="118">
        <v>9790</v>
      </c>
      <c r="R1356" s="119"/>
      <c r="S1356" s="118">
        <v>8800</v>
      </c>
      <c r="T1356" s="119"/>
      <c r="U1356" s="118">
        <f>SUM(K1356:T1357)</f>
        <v>626890</v>
      </c>
      <c r="V1356" s="122"/>
      <c r="W1356" s="124"/>
      <c r="X1356" s="126" t="s">
        <v>4581</v>
      </c>
      <c r="Y1356" s="127"/>
      <c r="Z1356" s="127"/>
      <c r="AA1356" s="127"/>
      <c r="AB1356" s="128"/>
      <c r="AC1356" s="15" t="s">
        <v>20</v>
      </c>
      <c r="AD1356" s="129" t="s">
        <v>4582</v>
      </c>
      <c r="AE1356" s="130"/>
      <c r="AF1356" s="130"/>
      <c r="AG1356" s="130"/>
      <c r="AH1356" s="130"/>
      <c r="AI1356" s="131"/>
      <c r="AJ1356" s="132"/>
      <c r="AK1356" s="127"/>
      <c r="AL1356" s="128"/>
      <c r="AM1356" s="21"/>
      <c r="AN1356" s="133">
        <v>45941</v>
      </c>
      <c r="AO1356" s="134"/>
      <c r="AP1356" s="135">
        <v>1271</v>
      </c>
      <c r="AQ1356" s="136"/>
      <c r="AR1356" s="118">
        <v>665000</v>
      </c>
      <c r="AS1356" s="119"/>
      <c r="AT1356" s="118">
        <f>AR1356*0.1</f>
        <v>66500</v>
      </c>
      <c r="AU1356" s="119"/>
      <c r="AV1356" s="118">
        <v>9790</v>
      </c>
      <c r="AW1356" s="119"/>
      <c r="AX1356" s="118">
        <f>SUM(AR1356:AW1356)</f>
        <v>741290</v>
      </c>
      <c r="AY1356" s="119"/>
      <c r="AZ1356" s="137">
        <v>45945</v>
      </c>
    </row>
    <row r="1357" spans="1:52" ht="17.100000000000001" customHeight="1" thickBot="1">
      <c r="A1357" s="110"/>
      <c r="B1357" s="27" t="s">
        <v>83</v>
      </c>
      <c r="C1357" s="27">
        <v>22519</v>
      </c>
      <c r="D1357" s="14" t="s">
        <v>275</v>
      </c>
      <c r="E1357" s="112"/>
      <c r="F1357" s="139" t="s">
        <v>4583</v>
      </c>
      <c r="G1357" s="140"/>
      <c r="H1357" s="141"/>
      <c r="I1357" s="26">
        <v>53982</v>
      </c>
      <c r="J1357" s="117"/>
      <c r="K1357" s="120"/>
      <c r="L1357" s="121"/>
      <c r="M1357" s="120"/>
      <c r="N1357" s="121"/>
      <c r="O1357" s="120"/>
      <c r="P1357" s="121"/>
      <c r="Q1357" s="120"/>
      <c r="R1357" s="121"/>
      <c r="S1357" s="120"/>
      <c r="T1357" s="121"/>
      <c r="U1357" s="120"/>
      <c r="V1357" s="123"/>
      <c r="W1357" s="125"/>
      <c r="X1357" s="142" t="s">
        <v>4584</v>
      </c>
      <c r="Y1357" s="143"/>
      <c r="Z1357" s="143"/>
      <c r="AA1357" s="143"/>
      <c r="AB1357" s="144"/>
      <c r="AC1357" s="16" t="s">
        <v>21</v>
      </c>
      <c r="AD1357" s="17" t="s">
        <v>4487</v>
      </c>
      <c r="AE1357" s="145" t="s">
        <v>1742</v>
      </c>
      <c r="AF1357" s="146"/>
      <c r="AG1357" s="146"/>
      <c r="AH1357" s="146"/>
      <c r="AI1357" s="147"/>
      <c r="AJ1357" s="148"/>
      <c r="AK1357" s="143"/>
      <c r="AL1357" s="144"/>
      <c r="AM1357" s="22"/>
      <c r="AN1357" s="149" t="s">
        <v>2511</v>
      </c>
      <c r="AO1357" s="144"/>
      <c r="AP1357" s="148">
        <v>60293</v>
      </c>
      <c r="AQ1357" s="144"/>
      <c r="AR1357" s="120"/>
      <c r="AS1357" s="121"/>
      <c r="AT1357" s="120"/>
      <c r="AU1357" s="121"/>
      <c r="AV1357" s="120"/>
      <c r="AW1357" s="121"/>
      <c r="AX1357" s="120"/>
      <c r="AY1357" s="121"/>
      <c r="AZ1357" s="138"/>
    </row>
    <row r="1358" spans="1:52" ht="17.100000000000001" customHeight="1" thickTop="1">
      <c r="A1358" s="109" t="s">
        <v>6416</v>
      </c>
      <c r="B1358" s="28">
        <v>45908</v>
      </c>
      <c r="C1358" s="25"/>
      <c r="D1358" s="13" t="s">
        <v>2141</v>
      </c>
      <c r="E1358" s="111"/>
      <c r="F1358" s="113" t="s">
        <v>4585</v>
      </c>
      <c r="G1358" s="114"/>
      <c r="H1358" s="115"/>
      <c r="I1358" s="24" t="s">
        <v>4586</v>
      </c>
      <c r="J1358" s="116">
        <v>3.5</v>
      </c>
      <c r="K1358" s="118">
        <f>726000/1.1</f>
        <v>660000</v>
      </c>
      <c r="L1358" s="119"/>
      <c r="M1358" s="118">
        <f>K1358*0.1</f>
        <v>66000</v>
      </c>
      <c r="N1358" s="119"/>
      <c r="O1358" s="118">
        <v>0</v>
      </c>
      <c r="P1358" s="119"/>
      <c r="Q1358" s="118">
        <v>9010</v>
      </c>
      <c r="R1358" s="119"/>
      <c r="S1358" s="118">
        <v>64265</v>
      </c>
      <c r="T1358" s="119"/>
      <c r="U1358" s="118">
        <f>SUM(K1358:T1359)</f>
        <v>799275</v>
      </c>
      <c r="V1358" s="122"/>
      <c r="W1358" s="124"/>
      <c r="X1358" s="126" t="s">
        <v>6850</v>
      </c>
      <c r="Y1358" s="127"/>
      <c r="Z1358" s="127"/>
      <c r="AA1358" s="127"/>
      <c r="AB1358" s="128"/>
      <c r="AC1358" s="15" t="s">
        <v>20</v>
      </c>
      <c r="AD1358" s="129" t="s">
        <v>1581</v>
      </c>
      <c r="AE1358" s="130"/>
      <c r="AF1358" s="130"/>
      <c r="AG1358" s="130"/>
      <c r="AH1358" s="130"/>
      <c r="AI1358" s="131"/>
      <c r="AJ1358" s="132"/>
      <c r="AK1358" s="127"/>
      <c r="AL1358" s="128"/>
      <c r="AM1358" s="21"/>
      <c r="AN1358" s="133">
        <v>45948</v>
      </c>
      <c r="AO1358" s="134"/>
      <c r="AP1358" s="135">
        <v>1272</v>
      </c>
      <c r="AQ1358" s="136"/>
      <c r="AR1358" s="118">
        <v>880000</v>
      </c>
      <c r="AS1358" s="119"/>
      <c r="AT1358" s="118">
        <f>AR1358*0.1</f>
        <v>88000</v>
      </c>
      <c r="AU1358" s="119"/>
      <c r="AV1358" s="118">
        <v>9010</v>
      </c>
      <c r="AW1358" s="119"/>
      <c r="AX1358" s="118">
        <f>SUM(AR1358:AW1358)</f>
        <v>977010</v>
      </c>
      <c r="AY1358" s="119"/>
      <c r="AZ1358" s="137">
        <v>45951</v>
      </c>
    </row>
    <row r="1359" spans="1:52" ht="17.100000000000001" customHeight="1" thickBot="1">
      <c r="A1359" s="110"/>
      <c r="B1359" s="27" t="s">
        <v>1718</v>
      </c>
      <c r="C1359" s="27" t="s">
        <v>4587</v>
      </c>
      <c r="D1359" s="14" t="s">
        <v>133</v>
      </c>
      <c r="E1359" s="112"/>
      <c r="F1359" s="139" t="s">
        <v>4588</v>
      </c>
      <c r="G1359" s="140"/>
      <c r="H1359" s="141"/>
      <c r="I1359" s="26">
        <v>79710</v>
      </c>
      <c r="J1359" s="117"/>
      <c r="K1359" s="120"/>
      <c r="L1359" s="121"/>
      <c r="M1359" s="120"/>
      <c r="N1359" s="121"/>
      <c r="O1359" s="120"/>
      <c r="P1359" s="121"/>
      <c r="Q1359" s="120"/>
      <c r="R1359" s="121"/>
      <c r="S1359" s="120"/>
      <c r="T1359" s="121"/>
      <c r="U1359" s="120"/>
      <c r="V1359" s="123"/>
      <c r="W1359" s="125"/>
      <c r="X1359" s="142" t="s">
        <v>6851</v>
      </c>
      <c r="Y1359" s="143"/>
      <c r="Z1359" s="143"/>
      <c r="AA1359" s="143"/>
      <c r="AB1359" s="144"/>
      <c r="AC1359" s="16" t="s">
        <v>21</v>
      </c>
      <c r="AD1359" s="17" t="s">
        <v>6716</v>
      </c>
      <c r="AE1359" s="145" t="s">
        <v>6852</v>
      </c>
      <c r="AF1359" s="146"/>
      <c r="AG1359" s="146"/>
      <c r="AH1359" s="146"/>
      <c r="AI1359" s="147"/>
      <c r="AJ1359" s="148"/>
      <c r="AK1359" s="143"/>
      <c r="AL1359" s="144"/>
      <c r="AM1359" s="22"/>
      <c r="AN1359" s="149" t="s">
        <v>7284</v>
      </c>
      <c r="AO1359" s="144"/>
      <c r="AP1359" s="148">
        <v>65179</v>
      </c>
      <c r="AQ1359" s="144"/>
      <c r="AR1359" s="120"/>
      <c r="AS1359" s="121"/>
      <c r="AT1359" s="120"/>
      <c r="AU1359" s="121"/>
      <c r="AV1359" s="120"/>
      <c r="AW1359" s="121"/>
      <c r="AX1359" s="120"/>
      <c r="AY1359" s="121"/>
      <c r="AZ1359" s="138"/>
    </row>
    <row r="1360" spans="1:52" ht="17.100000000000001" customHeight="1" thickTop="1">
      <c r="A1360" s="109" t="s">
        <v>6417</v>
      </c>
      <c r="B1360" s="28">
        <v>45908</v>
      </c>
      <c r="C1360" s="25"/>
      <c r="D1360" s="13" t="s">
        <v>3921</v>
      </c>
      <c r="E1360" s="111"/>
      <c r="F1360" s="113" t="s">
        <v>4589</v>
      </c>
      <c r="G1360" s="114"/>
      <c r="H1360" s="115"/>
      <c r="I1360" s="24" t="s">
        <v>4590</v>
      </c>
      <c r="J1360" s="116">
        <v>4</v>
      </c>
      <c r="K1360" s="118">
        <f>830500/1.1</f>
        <v>754999.99999999988</v>
      </c>
      <c r="L1360" s="119"/>
      <c r="M1360" s="118">
        <f>K1360*0.1</f>
        <v>75499.999999999985</v>
      </c>
      <c r="N1360" s="119"/>
      <c r="O1360" s="118">
        <v>0</v>
      </c>
      <c r="P1360" s="119"/>
      <c r="Q1360" s="118">
        <v>6540</v>
      </c>
      <c r="R1360" s="119"/>
      <c r="S1360" s="118">
        <v>69765</v>
      </c>
      <c r="T1360" s="119"/>
      <c r="U1360" s="118">
        <f>SUM(K1360:T1361)</f>
        <v>906804.99999999988</v>
      </c>
      <c r="V1360" s="122"/>
      <c r="W1360" s="124"/>
      <c r="X1360" s="126" t="s">
        <v>7123</v>
      </c>
      <c r="Y1360" s="127"/>
      <c r="Z1360" s="127"/>
      <c r="AA1360" s="127"/>
      <c r="AB1360" s="128"/>
      <c r="AC1360" s="15" t="s">
        <v>20</v>
      </c>
      <c r="AD1360" s="129" t="s">
        <v>1945</v>
      </c>
      <c r="AE1360" s="130"/>
      <c r="AF1360" s="130"/>
      <c r="AG1360" s="130"/>
      <c r="AH1360" s="130"/>
      <c r="AI1360" s="131"/>
      <c r="AJ1360" s="132"/>
      <c r="AK1360" s="127"/>
      <c r="AL1360" s="128"/>
      <c r="AM1360" s="21"/>
      <c r="AN1360" s="133">
        <v>45934</v>
      </c>
      <c r="AO1360" s="134"/>
      <c r="AP1360" s="135">
        <v>1270</v>
      </c>
      <c r="AQ1360" s="136"/>
      <c r="AR1360" s="118">
        <v>995000</v>
      </c>
      <c r="AS1360" s="119"/>
      <c r="AT1360" s="118">
        <f>AR1360*0.1</f>
        <v>99500</v>
      </c>
      <c r="AU1360" s="119"/>
      <c r="AV1360" s="118">
        <v>6540</v>
      </c>
      <c r="AW1360" s="119"/>
      <c r="AX1360" s="118">
        <f>SUM(AR1360:AW1360)</f>
        <v>1101040</v>
      </c>
      <c r="AY1360" s="119"/>
      <c r="AZ1360" s="137">
        <v>45938</v>
      </c>
    </row>
    <row r="1361" spans="1:52" ht="17.100000000000001" customHeight="1" thickBot="1">
      <c r="A1361" s="110"/>
      <c r="B1361" s="27" t="s">
        <v>1718</v>
      </c>
      <c r="C1361" s="27" t="s">
        <v>4591</v>
      </c>
      <c r="D1361" s="14" t="s">
        <v>1720</v>
      </c>
      <c r="E1361" s="112"/>
      <c r="F1361" s="139" t="s">
        <v>4592</v>
      </c>
      <c r="G1361" s="140"/>
      <c r="H1361" s="141"/>
      <c r="I1361" s="26">
        <v>40897</v>
      </c>
      <c r="J1361" s="117"/>
      <c r="K1361" s="120"/>
      <c r="L1361" s="121"/>
      <c r="M1361" s="120"/>
      <c r="N1361" s="121"/>
      <c r="O1361" s="120"/>
      <c r="P1361" s="121"/>
      <c r="Q1361" s="120"/>
      <c r="R1361" s="121"/>
      <c r="S1361" s="120"/>
      <c r="T1361" s="121"/>
      <c r="U1361" s="120"/>
      <c r="V1361" s="123"/>
      <c r="W1361" s="125"/>
      <c r="X1361" s="142" t="s">
        <v>7124</v>
      </c>
      <c r="Y1361" s="143"/>
      <c r="Z1361" s="143"/>
      <c r="AA1361" s="143"/>
      <c r="AB1361" s="144"/>
      <c r="AC1361" s="16" t="s">
        <v>21</v>
      </c>
      <c r="AD1361" s="17" t="s">
        <v>2156</v>
      </c>
      <c r="AE1361" s="145" t="s">
        <v>1633</v>
      </c>
      <c r="AF1361" s="146"/>
      <c r="AG1361" s="146"/>
      <c r="AH1361" s="146"/>
      <c r="AI1361" s="147"/>
      <c r="AJ1361" s="148"/>
      <c r="AK1361" s="143"/>
      <c r="AL1361" s="144"/>
      <c r="AM1361" s="22"/>
      <c r="AN1361" s="149" t="s">
        <v>7284</v>
      </c>
      <c r="AO1361" s="144"/>
      <c r="AP1361" s="148">
        <v>65040</v>
      </c>
      <c r="AQ1361" s="144"/>
      <c r="AR1361" s="120"/>
      <c r="AS1361" s="121"/>
      <c r="AT1361" s="120"/>
      <c r="AU1361" s="121"/>
      <c r="AV1361" s="120"/>
      <c r="AW1361" s="121"/>
      <c r="AX1361" s="120"/>
      <c r="AY1361" s="121"/>
      <c r="AZ1361" s="138"/>
    </row>
    <row r="1362" spans="1:52" ht="17.100000000000001" customHeight="1" thickTop="1">
      <c r="A1362" s="109" t="s">
        <v>6418</v>
      </c>
      <c r="B1362" s="28">
        <v>45908</v>
      </c>
      <c r="C1362" s="25"/>
      <c r="D1362" s="13" t="s">
        <v>2298</v>
      </c>
      <c r="E1362" s="111"/>
      <c r="F1362" s="113" t="s">
        <v>4593</v>
      </c>
      <c r="G1362" s="114"/>
      <c r="H1362" s="115"/>
      <c r="I1362" s="24" t="s">
        <v>4594</v>
      </c>
      <c r="J1362" s="116">
        <v>4</v>
      </c>
      <c r="K1362" s="118">
        <f>929500/1.1</f>
        <v>844999.99999999988</v>
      </c>
      <c r="L1362" s="119"/>
      <c r="M1362" s="118">
        <f>K1362*0.1</f>
        <v>84500</v>
      </c>
      <c r="N1362" s="119"/>
      <c r="O1362" s="118">
        <v>12700</v>
      </c>
      <c r="P1362" s="119"/>
      <c r="Q1362" s="118">
        <v>8170</v>
      </c>
      <c r="R1362" s="119"/>
      <c r="S1362" s="118">
        <v>74974</v>
      </c>
      <c r="T1362" s="119"/>
      <c r="U1362" s="118">
        <f>SUM(K1362:T1363)</f>
        <v>1025343.9999999999</v>
      </c>
      <c r="V1362" s="122"/>
      <c r="W1362" s="124"/>
      <c r="X1362" s="126" t="s">
        <v>7362</v>
      </c>
      <c r="Y1362" s="127"/>
      <c r="Z1362" s="127"/>
      <c r="AA1362" s="127"/>
      <c r="AB1362" s="128"/>
      <c r="AC1362" s="15" t="s">
        <v>20</v>
      </c>
      <c r="AD1362" s="129" t="s">
        <v>1605</v>
      </c>
      <c r="AE1362" s="130"/>
      <c r="AF1362" s="130"/>
      <c r="AG1362" s="130"/>
      <c r="AH1362" s="130"/>
      <c r="AI1362" s="131"/>
      <c r="AJ1362" s="132"/>
      <c r="AK1362" s="127"/>
      <c r="AL1362" s="128"/>
      <c r="AM1362" s="21"/>
      <c r="AN1362" s="133">
        <v>45941</v>
      </c>
      <c r="AO1362" s="134"/>
      <c r="AP1362" s="135">
        <v>1271</v>
      </c>
      <c r="AQ1362" s="136"/>
      <c r="AR1362" s="118">
        <v>1175000</v>
      </c>
      <c r="AS1362" s="119"/>
      <c r="AT1362" s="118">
        <f>AR1362*0.1</f>
        <v>117500</v>
      </c>
      <c r="AU1362" s="119"/>
      <c r="AV1362" s="118">
        <v>8170</v>
      </c>
      <c r="AW1362" s="119"/>
      <c r="AX1362" s="118">
        <f>SUM(AR1362:AW1362)</f>
        <v>1300670</v>
      </c>
      <c r="AY1362" s="119"/>
      <c r="AZ1362" s="137">
        <v>45944</v>
      </c>
    </row>
    <row r="1363" spans="1:52" ht="17.100000000000001" customHeight="1" thickBot="1">
      <c r="A1363" s="110"/>
      <c r="B1363" s="27" t="s">
        <v>1718</v>
      </c>
      <c r="C1363" s="27" t="s">
        <v>4595</v>
      </c>
      <c r="D1363" s="14" t="s">
        <v>275</v>
      </c>
      <c r="E1363" s="112"/>
      <c r="F1363" s="139" t="s">
        <v>4596</v>
      </c>
      <c r="G1363" s="140"/>
      <c r="H1363" s="141"/>
      <c r="I1363" s="26">
        <v>41075</v>
      </c>
      <c r="J1363" s="117"/>
      <c r="K1363" s="120"/>
      <c r="L1363" s="121"/>
      <c r="M1363" s="120"/>
      <c r="N1363" s="121"/>
      <c r="O1363" s="120"/>
      <c r="P1363" s="121"/>
      <c r="Q1363" s="120"/>
      <c r="R1363" s="121"/>
      <c r="S1363" s="120"/>
      <c r="T1363" s="121"/>
      <c r="U1363" s="120"/>
      <c r="V1363" s="123"/>
      <c r="W1363" s="125"/>
      <c r="X1363" s="142" t="s">
        <v>7363</v>
      </c>
      <c r="Y1363" s="143"/>
      <c r="Z1363" s="143"/>
      <c r="AA1363" s="143"/>
      <c r="AB1363" s="144"/>
      <c r="AC1363" s="16" t="s">
        <v>21</v>
      </c>
      <c r="AD1363" s="17" t="s">
        <v>2156</v>
      </c>
      <c r="AE1363" s="145" t="s">
        <v>2750</v>
      </c>
      <c r="AF1363" s="146"/>
      <c r="AG1363" s="146"/>
      <c r="AH1363" s="146"/>
      <c r="AI1363" s="147"/>
      <c r="AJ1363" s="148"/>
      <c r="AK1363" s="143"/>
      <c r="AL1363" s="144"/>
      <c r="AM1363" s="22"/>
      <c r="AN1363" s="149" t="s">
        <v>7284</v>
      </c>
      <c r="AO1363" s="144"/>
      <c r="AP1363" s="148">
        <v>37653</v>
      </c>
      <c r="AQ1363" s="144"/>
      <c r="AR1363" s="120"/>
      <c r="AS1363" s="121"/>
      <c r="AT1363" s="120"/>
      <c r="AU1363" s="121"/>
      <c r="AV1363" s="120"/>
      <c r="AW1363" s="121"/>
      <c r="AX1363" s="120"/>
      <c r="AY1363" s="121"/>
      <c r="AZ1363" s="138"/>
    </row>
    <row r="1364" spans="1:52" ht="17.100000000000001" customHeight="1" thickTop="1">
      <c r="A1364" s="151" t="s">
        <v>6419</v>
      </c>
      <c r="B1364" s="28">
        <v>45908</v>
      </c>
      <c r="C1364" s="25"/>
      <c r="D1364" s="13" t="s">
        <v>1027</v>
      </c>
      <c r="E1364" s="111"/>
      <c r="F1364" s="113" t="s">
        <v>4597</v>
      </c>
      <c r="G1364" s="114"/>
      <c r="H1364" s="115"/>
      <c r="I1364" s="24" t="s">
        <v>4598</v>
      </c>
      <c r="J1364" s="116">
        <v>3.5</v>
      </c>
      <c r="K1364" s="118">
        <f>148500/1.1</f>
        <v>135000</v>
      </c>
      <c r="L1364" s="119"/>
      <c r="M1364" s="118">
        <f>K1364*0.1</f>
        <v>13500</v>
      </c>
      <c r="N1364" s="119"/>
      <c r="O1364" s="118">
        <v>0</v>
      </c>
      <c r="P1364" s="119"/>
      <c r="Q1364" s="118">
        <v>8490</v>
      </c>
      <c r="R1364" s="119"/>
      <c r="S1364" s="118">
        <v>33869</v>
      </c>
      <c r="T1364" s="119"/>
      <c r="U1364" s="118">
        <f>SUM(K1364:T1365)</f>
        <v>190859</v>
      </c>
      <c r="V1364" s="122"/>
      <c r="W1364" s="124"/>
      <c r="X1364" s="126" t="s">
        <v>4599</v>
      </c>
      <c r="Y1364" s="127"/>
      <c r="Z1364" s="127"/>
      <c r="AA1364" s="127"/>
      <c r="AB1364" s="128"/>
      <c r="AC1364" s="15" t="s">
        <v>20</v>
      </c>
      <c r="AD1364" s="129" t="s">
        <v>171</v>
      </c>
      <c r="AE1364" s="130"/>
      <c r="AF1364" s="130"/>
      <c r="AG1364" s="130"/>
      <c r="AH1364" s="130"/>
      <c r="AI1364" s="131"/>
      <c r="AJ1364" s="132" t="s">
        <v>8040</v>
      </c>
      <c r="AK1364" s="127"/>
      <c r="AL1364" s="128"/>
      <c r="AM1364" s="21"/>
      <c r="AN1364" s="133"/>
      <c r="AO1364" s="134"/>
      <c r="AP1364" s="135"/>
      <c r="AQ1364" s="136"/>
      <c r="AR1364" s="118"/>
      <c r="AS1364" s="119"/>
      <c r="AT1364" s="118">
        <f>AR1364*0.1</f>
        <v>0</v>
      </c>
      <c r="AU1364" s="119"/>
      <c r="AV1364" s="118"/>
      <c r="AW1364" s="119"/>
      <c r="AX1364" s="118">
        <f>SUM(AR1364:AW1364)</f>
        <v>0</v>
      </c>
      <c r="AY1364" s="119"/>
      <c r="AZ1364" s="137"/>
    </row>
    <row r="1365" spans="1:52" ht="17.100000000000001" customHeight="1" thickBot="1">
      <c r="A1365" s="152"/>
      <c r="B1365" s="27" t="s">
        <v>1718</v>
      </c>
      <c r="C1365" s="27" t="s">
        <v>4600</v>
      </c>
      <c r="D1365" s="14" t="s">
        <v>1720</v>
      </c>
      <c r="E1365" s="112"/>
      <c r="F1365" s="139" t="s">
        <v>4601</v>
      </c>
      <c r="G1365" s="140"/>
      <c r="H1365" s="141"/>
      <c r="I1365" s="26">
        <v>50538</v>
      </c>
      <c r="J1365" s="117"/>
      <c r="K1365" s="120"/>
      <c r="L1365" s="121"/>
      <c r="M1365" s="120"/>
      <c r="N1365" s="121"/>
      <c r="O1365" s="120"/>
      <c r="P1365" s="121"/>
      <c r="Q1365" s="120"/>
      <c r="R1365" s="121"/>
      <c r="S1365" s="120"/>
      <c r="T1365" s="121"/>
      <c r="U1365" s="120"/>
      <c r="V1365" s="123"/>
      <c r="W1365" s="125"/>
      <c r="X1365" s="142" t="s">
        <v>4602</v>
      </c>
      <c r="Y1365" s="143"/>
      <c r="Z1365" s="143"/>
      <c r="AA1365" s="143"/>
      <c r="AB1365" s="144"/>
      <c r="AC1365" s="16" t="s">
        <v>21</v>
      </c>
      <c r="AD1365" s="17" t="s">
        <v>4567</v>
      </c>
      <c r="AE1365" s="145" t="s">
        <v>171</v>
      </c>
      <c r="AF1365" s="146"/>
      <c r="AG1365" s="146"/>
      <c r="AH1365" s="146"/>
      <c r="AI1365" s="147"/>
      <c r="AJ1365" s="148" t="s">
        <v>8041</v>
      </c>
      <c r="AK1365" s="143"/>
      <c r="AL1365" s="144"/>
      <c r="AM1365" s="22"/>
      <c r="AN1365" s="149"/>
      <c r="AO1365" s="144"/>
      <c r="AP1365" s="148"/>
      <c r="AQ1365" s="144"/>
      <c r="AR1365" s="120"/>
      <c r="AS1365" s="121"/>
      <c r="AT1365" s="120"/>
      <c r="AU1365" s="121"/>
      <c r="AV1365" s="120"/>
      <c r="AW1365" s="121"/>
      <c r="AX1365" s="120"/>
      <c r="AY1365" s="121"/>
      <c r="AZ1365" s="138"/>
    </row>
    <row r="1366" spans="1:52" ht="17.100000000000001" customHeight="1" thickTop="1">
      <c r="A1366" s="109" t="s">
        <v>6420</v>
      </c>
      <c r="B1366" s="28">
        <v>45908</v>
      </c>
      <c r="C1366" s="25">
        <v>49</v>
      </c>
      <c r="D1366" s="13" t="s">
        <v>1853</v>
      </c>
      <c r="E1366" s="111"/>
      <c r="F1366" s="113" t="s">
        <v>4603</v>
      </c>
      <c r="G1366" s="114"/>
      <c r="H1366" s="115"/>
      <c r="I1366" s="24" t="s">
        <v>4037</v>
      </c>
      <c r="J1366" s="116">
        <v>4.5</v>
      </c>
      <c r="K1366" s="118">
        <v>1050000</v>
      </c>
      <c r="L1366" s="119"/>
      <c r="M1366" s="118">
        <f>K1366*0.1</f>
        <v>105000</v>
      </c>
      <c r="N1366" s="119"/>
      <c r="O1366" s="118">
        <v>0</v>
      </c>
      <c r="P1366" s="119"/>
      <c r="Q1366" s="118">
        <v>8640</v>
      </c>
      <c r="R1366" s="119"/>
      <c r="S1366" s="118">
        <v>44000</v>
      </c>
      <c r="T1366" s="119"/>
      <c r="U1366" s="118">
        <f>SUM(K1366:T1367)</f>
        <v>1207640</v>
      </c>
      <c r="V1366" s="122"/>
      <c r="W1366" s="124"/>
      <c r="X1366" s="126" t="s">
        <v>4604</v>
      </c>
      <c r="Y1366" s="127"/>
      <c r="Z1366" s="127"/>
      <c r="AA1366" s="127"/>
      <c r="AB1366" s="128"/>
      <c r="AC1366" s="15" t="s">
        <v>20</v>
      </c>
      <c r="AD1366" s="129" t="s">
        <v>4605</v>
      </c>
      <c r="AE1366" s="130"/>
      <c r="AF1366" s="130"/>
      <c r="AG1366" s="130"/>
      <c r="AH1366" s="130"/>
      <c r="AI1366" s="131"/>
      <c r="AJ1366" s="132"/>
      <c r="AK1366" s="127"/>
      <c r="AL1366" s="128"/>
      <c r="AM1366" s="21"/>
      <c r="AN1366" s="133">
        <v>45934</v>
      </c>
      <c r="AO1366" s="134"/>
      <c r="AP1366" s="135">
        <v>1270</v>
      </c>
      <c r="AQ1366" s="136"/>
      <c r="AR1366" s="118">
        <v>1090000</v>
      </c>
      <c r="AS1366" s="119"/>
      <c r="AT1366" s="118">
        <f>AR1366*0.1</f>
        <v>109000</v>
      </c>
      <c r="AU1366" s="119"/>
      <c r="AV1366" s="118">
        <v>8640</v>
      </c>
      <c r="AW1366" s="119"/>
      <c r="AX1366" s="118">
        <f>SUM(AR1366:AW1366)</f>
        <v>1207640</v>
      </c>
      <c r="AY1366" s="119"/>
      <c r="AZ1366" s="137">
        <v>45939</v>
      </c>
    </row>
    <row r="1367" spans="1:52" ht="17.100000000000001" customHeight="1" thickBot="1">
      <c r="A1367" s="110"/>
      <c r="B1367" s="27" t="s">
        <v>4544</v>
      </c>
      <c r="C1367" s="27">
        <v>1021</v>
      </c>
      <c r="D1367" s="14" t="s">
        <v>3793</v>
      </c>
      <c r="E1367" s="112"/>
      <c r="F1367" s="139" t="s">
        <v>4606</v>
      </c>
      <c r="G1367" s="140"/>
      <c r="H1367" s="141"/>
      <c r="I1367" s="26">
        <v>27507</v>
      </c>
      <c r="J1367" s="117"/>
      <c r="K1367" s="120"/>
      <c r="L1367" s="121"/>
      <c r="M1367" s="120"/>
      <c r="N1367" s="121"/>
      <c r="O1367" s="120"/>
      <c r="P1367" s="121"/>
      <c r="Q1367" s="120"/>
      <c r="R1367" s="121"/>
      <c r="S1367" s="120"/>
      <c r="T1367" s="121"/>
      <c r="U1367" s="120"/>
      <c r="V1367" s="123"/>
      <c r="W1367" s="125"/>
      <c r="X1367" s="142" t="s">
        <v>3602</v>
      </c>
      <c r="Y1367" s="143"/>
      <c r="Z1367" s="143"/>
      <c r="AA1367" s="143"/>
      <c r="AB1367" s="144"/>
      <c r="AC1367" s="16" t="s">
        <v>21</v>
      </c>
      <c r="AD1367" s="17" t="s">
        <v>4607</v>
      </c>
      <c r="AE1367" s="145" t="s">
        <v>7428</v>
      </c>
      <c r="AF1367" s="146"/>
      <c r="AG1367" s="146"/>
      <c r="AH1367" s="146"/>
      <c r="AI1367" s="147"/>
      <c r="AJ1367" s="148"/>
      <c r="AK1367" s="143"/>
      <c r="AL1367" s="144"/>
      <c r="AM1367" s="22"/>
      <c r="AN1367" s="149" t="s">
        <v>7284</v>
      </c>
      <c r="AO1367" s="144"/>
      <c r="AP1367" s="148">
        <v>65110</v>
      </c>
      <c r="AQ1367" s="144"/>
      <c r="AR1367" s="120"/>
      <c r="AS1367" s="121"/>
      <c r="AT1367" s="120"/>
      <c r="AU1367" s="121"/>
      <c r="AV1367" s="120"/>
      <c r="AW1367" s="121"/>
      <c r="AX1367" s="120"/>
      <c r="AY1367" s="121"/>
      <c r="AZ1367" s="138"/>
    </row>
    <row r="1368" spans="1:52" ht="17.100000000000001" customHeight="1" thickTop="1">
      <c r="A1368" s="109" t="s">
        <v>6421</v>
      </c>
      <c r="B1368" s="28">
        <v>45909</v>
      </c>
      <c r="C1368" s="25">
        <v>1908</v>
      </c>
      <c r="D1368" s="13" t="s">
        <v>4609</v>
      </c>
      <c r="E1368" s="111"/>
      <c r="F1368" s="113" t="s">
        <v>1573</v>
      </c>
      <c r="G1368" s="114"/>
      <c r="H1368" s="115"/>
      <c r="I1368" s="24" t="s">
        <v>2526</v>
      </c>
      <c r="J1368" s="116">
        <v>4</v>
      </c>
      <c r="K1368" s="118">
        <v>506000</v>
      </c>
      <c r="L1368" s="119"/>
      <c r="M1368" s="118">
        <f>K1368*0.1</f>
        <v>50600</v>
      </c>
      <c r="N1368" s="119"/>
      <c r="O1368" s="118">
        <v>21670</v>
      </c>
      <c r="P1368" s="119"/>
      <c r="Q1368" s="118">
        <v>16740</v>
      </c>
      <c r="R1368" s="119"/>
      <c r="S1368" s="118">
        <v>15950</v>
      </c>
      <c r="T1368" s="119"/>
      <c r="U1368" s="118">
        <f>SUM(K1368:T1369)</f>
        <v>610960</v>
      </c>
      <c r="V1368" s="122"/>
      <c r="W1368" s="124"/>
      <c r="X1368" s="126" t="s">
        <v>4610</v>
      </c>
      <c r="Y1368" s="127"/>
      <c r="Z1368" s="127"/>
      <c r="AA1368" s="127"/>
      <c r="AB1368" s="128"/>
      <c r="AC1368" s="15" t="s">
        <v>20</v>
      </c>
      <c r="AD1368" s="129" t="s">
        <v>1581</v>
      </c>
      <c r="AE1368" s="130"/>
      <c r="AF1368" s="130"/>
      <c r="AG1368" s="130"/>
      <c r="AH1368" s="130"/>
      <c r="AI1368" s="131"/>
      <c r="AJ1368" s="132"/>
      <c r="AK1368" s="127"/>
      <c r="AL1368" s="128"/>
      <c r="AM1368" s="21"/>
      <c r="AN1368" s="133">
        <v>45959</v>
      </c>
      <c r="AO1368" s="134"/>
      <c r="AP1368" s="135">
        <v>990</v>
      </c>
      <c r="AQ1368" s="136"/>
      <c r="AR1368" s="118">
        <v>570000</v>
      </c>
      <c r="AS1368" s="119"/>
      <c r="AT1368" s="118">
        <f>AR1368*0.1</f>
        <v>57000</v>
      </c>
      <c r="AU1368" s="119"/>
      <c r="AV1368" s="118">
        <v>16740</v>
      </c>
      <c r="AW1368" s="119"/>
      <c r="AX1368" s="118">
        <f>SUM(AR1368:AW1368)</f>
        <v>643740</v>
      </c>
      <c r="AY1368" s="119"/>
      <c r="AZ1368" s="137">
        <v>45965</v>
      </c>
    </row>
    <row r="1369" spans="1:52" ht="17.100000000000001" customHeight="1" thickBot="1">
      <c r="A1369" s="110"/>
      <c r="B1369" s="27" t="s">
        <v>2131</v>
      </c>
      <c r="C1369" s="27">
        <v>5017</v>
      </c>
      <c r="D1369" s="14" t="s">
        <v>904</v>
      </c>
      <c r="E1369" s="112"/>
      <c r="F1369" s="139" t="s">
        <v>4611</v>
      </c>
      <c r="G1369" s="140"/>
      <c r="H1369" s="141"/>
      <c r="I1369" s="26">
        <v>60874</v>
      </c>
      <c r="J1369" s="117"/>
      <c r="K1369" s="120"/>
      <c r="L1369" s="121"/>
      <c r="M1369" s="120"/>
      <c r="N1369" s="121"/>
      <c r="O1369" s="120"/>
      <c r="P1369" s="121"/>
      <c r="Q1369" s="120"/>
      <c r="R1369" s="121"/>
      <c r="S1369" s="120"/>
      <c r="T1369" s="121"/>
      <c r="U1369" s="120"/>
      <c r="V1369" s="123"/>
      <c r="W1369" s="125"/>
      <c r="X1369" s="142" t="s">
        <v>4612</v>
      </c>
      <c r="Y1369" s="143"/>
      <c r="Z1369" s="143"/>
      <c r="AA1369" s="143"/>
      <c r="AB1369" s="144"/>
      <c r="AC1369" s="16" t="s">
        <v>21</v>
      </c>
      <c r="AD1369" s="17" t="s">
        <v>2119</v>
      </c>
      <c r="AE1369" s="145" t="s">
        <v>4613</v>
      </c>
      <c r="AF1369" s="146"/>
      <c r="AG1369" s="146"/>
      <c r="AH1369" s="146"/>
      <c r="AI1369" s="147"/>
      <c r="AJ1369" s="148"/>
      <c r="AK1369" s="143"/>
      <c r="AL1369" s="144"/>
      <c r="AM1369" s="22" t="s">
        <v>3483</v>
      </c>
      <c r="AN1369" s="149" t="s">
        <v>9053</v>
      </c>
      <c r="AO1369" s="144"/>
      <c r="AP1369" s="148">
        <v>5126</v>
      </c>
      <c r="AQ1369" s="144"/>
      <c r="AR1369" s="120"/>
      <c r="AS1369" s="121"/>
      <c r="AT1369" s="120"/>
      <c r="AU1369" s="121"/>
      <c r="AV1369" s="120"/>
      <c r="AW1369" s="121"/>
      <c r="AX1369" s="120"/>
      <c r="AY1369" s="121"/>
      <c r="AZ1369" s="138"/>
    </row>
    <row r="1370" spans="1:52" ht="17.100000000000001" customHeight="1" thickTop="1">
      <c r="A1370" s="109" t="s">
        <v>6422</v>
      </c>
      <c r="B1370" s="28">
        <v>45909</v>
      </c>
      <c r="C1370" s="25">
        <v>786</v>
      </c>
      <c r="D1370" s="13" t="s">
        <v>4614</v>
      </c>
      <c r="E1370" s="111"/>
      <c r="F1370" s="113" t="s">
        <v>4615</v>
      </c>
      <c r="G1370" s="114"/>
      <c r="H1370" s="115"/>
      <c r="I1370" s="24" t="s">
        <v>3509</v>
      </c>
      <c r="J1370" s="116">
        <v>4.5</v>
      </c>
      <c r="K1370" s="118">
        <v>1011000</v>
      </c>
      <c r="L1370" s="119"/>
      <c r="M1370" s="118">
        <f>K1370*0.1</f>
        <v>101100</v>
      </c>
      <c r="N1370" s="119"/>
      <c r="O1370" s="118">
        <v>0</v>
      </c>
      <c r="P1370" s="119"/>
      <c r="Q1370" s="118">
        <v>8200</v>
      </c>
      <c r="R1370" s="119"/>
      <c r="S1370" s="118">
        <v>15950</v>
      </c>
      <c r="T1370" s="119"/>
      <c r="U1370" s="118">
        <f>SUM(K1370:T1371)</f>
        <v>1136250</v>
      </c>
      <c r="V1370" s="122"/>
      <c r="W1370" s="124"/>
      <c r="X1370" s="126" t="s">
        <v>4616</v>
      </c>
      <c r="Y1370" s="127"/>
      <c r="Z1370" s="127"/>
      <c r="AA1370" s="127"/>
      <c r="AB1370" s="128"/>
      <c r="AC1370" s="15" t="s">
        <v>20</v>
      </c>
      <c r="AD1370" s="129" t="s">
        <v>4617</v>
      </c>
      <c r="AE1370" s="130"/>
      <c r="AF1370" s="130"/>
      <c r="AG1370" s="130"/>
      <c r="AH1370" s="130"/>
      <c r="AI1370" s="131"/>
      <c r="AJ1370" s="132"/>
      <c r="AK1370" s="127"/>
      <c r="AL1370" s="128"/>
      <c r="AM1370" s="21" t="s">
        <v>7703</v>
      </c>
      <c r="AN1370" s="133">
        <v>46053</v>
      </c>
      <c r="AO1370" s="134"/>
      <c r="AP1370" s="135">
        <v>1286</v>
      </c>
      <c r="AQ1370" s="136"/>
      <c r="AR1370" s="118">
        <v>1100000</v>
      </c>
      <c r="AS1370" s="119"/>
      <c r="AT1370" s="118">
        <f>AR1370*0.1</f>
        <v>110000</v>
      </c>
      <c r="AU1370" s="119"/>
      <c r="AV1370" s="118">
        <v>9200</v>
      </c>
      <c r="AW1370" s="119"/>
      <c r="AX1370" s="118">
        <f>SUM(AR1370:AW1370)</f>
        <v>1219200</v>
      </c>
      <c r="AY1370" s="119"/>
      <c r="AZ1370" s="137">
        <v>46056</v>
      </c>
    </row>
    <row r="1371" spans="1:52" ht="17.100000000000001" customHeight="1" thickBot="1">
      <c r="A1371" s="110"/>
      <c r="B1371" s="27" t="s">
        <v>3367</v>
      </c>
      <c r="C1371" s="27">
        <v>3007</v>
      </c>
      <c r="D1371" s="14" t="s">
        <v>1592</v>
      </c>
      <c r="E1371" s="112"/>
      <c r="F1371" s="139" t="s">
        <v>4618</v>
      </c>
      <c r="G1371" s="140"/>
      <c r="H1371" s="141"/>
      <c r="I1371" s="26">
        <v>9719</v>
      </c>
      <c r="J1371" s="117"/>
      <c r="K1371" s="120"/>
      <c r="L1371" s="121"/>
      <c r="M1371" s="120"/>
      <c r="N1371" s="121"/>
      <c r="O1371" s="120"/>
      <c r="P1371" s="121"/>
      <c r="Q1371" s="120"/>
      <c r="R1371" s="121"/>
      <c r="S1371" s="120"/>
      <c r="T1371" s="121"/>
      <c r="U1371" s="120"/>
      <c r="V1371" s="123"/>
      <c r="W1371" s="125"/>
      <c r="X1371" s="142" t="s">
        <v>4619</v>
      </c>
      <c r="Y1371" s="143"/>
      <c r="Z1371" s="143"/>
      <c r="AA1371" s="143"/>
      <c r="AB1371" s="144"/>
      <c r="AC1371" s="16" t="s">
        <v>21</v>
      </c>
      <c r="AD1371" s="17" t="s">
        <v>3001</v>
      </c>
      <c r="AE1371" s="145" t="s">
        <v>4617</v>
      </c>
      <c r="AF1371" s="146"/>
      <c r="AG1371" s="146"/>
      <c r="AH1371" s="146"/>
      <c r="AI1371" s="147"/>
      <c r="AJ1371" s="148"/>
      <c r="AK1371" s="143"/>
      <c r="AL1371" s="144"/>
      <c r="AM1371" s="22"/>
      <c r="AN1371" s="149" t="s">
        <v>2511</v>
      </c>
      <c r="AO1371" s="144"/>
      <c r="AP1371" s="148">
        <v>62069</v>
      </c>
      <c r="AQ1371" s="144"/>
      <c r="AR1371" s="120"/>
      <c r="AS1371" s="121"/>
      <c r="AT1371" s="120"/>
      <c r="AU1371" s="121"/>
      <c r="AV1371" s="120"/>
      <c r="AW1371" s="121"/>
      <c r="AX1371" s="120"/>
      <c r="AY1371" s="121"/>
      <c r="AZ1371" s="138"/>
    </row>
    <row r="1372" spans="1:52" ht="17.100000000000001" customHeight="1" thickTop="1">
      <c r="A1372" s="109" t="s">
        <v>6423</v>
      </c>
      <c r="B1372" s="28">
        <v>45909</v>
      </c>
      <c r="C1372" s="25">
        <v>786</v>
      </c>
      <c r="D1372" s="13" t="s">
        <v>2697</v>
      </c>
      <c r="E1372" s="111"/>
      <c r="F1372" s="113" t="s">
        <v>4620</v>
      </c>
      <c r="G1372" s="114"/>
      <c r="H1372" s="115"/>
      <c r="I1372" s="24" t="s">
        <v>3509</v>
      </c>
      <c r="J1372" s="116">
        <v>5</v>
      </c>
      <c r="K1372" s="118">
        <v>1102000</v>
      </c>
      <c r="L1372" s="119"/>
      <c r="M1372" s="118">
        <f>K1372*0.1</f>
        <v>110200</v>
      </c>
      <c r="N1372" s="119"/>
      <c r="O1372" s="118">
        <v>0</v>
      </c>
      <c r="P1372" s="119"/>
      <c r="Q1372" s="118">
        <v>8200</v>
      </c>
      <c r="R1372" s="119"/>
      <c r="S1372" s="118">
        <v>15950</v>
      </c>
      <c r="T1372" s="119"/>
      <c r="U1372" s="118">
        <f>SUM(K1372:T1373)</f>
        <v>1236350</v>
      </c>
      <c r="V1372" s="122"/>
      <c r="W1372" s="124"/>
      <c r="X1372" s="126" t="s">
        <v>4621</v>
      </c>
      <c r="Y1372" s="127"/>
      <c r="Z1372" s="127"/>
      <c r="AA1372" s="127"/>
      <c r="AB1372" s="128"/>
      <c r="AC1372" s="15" t="s">
        <v>20</v>
      </c>
      <c r="AD1372" s="129" t="s">
        <v>4622</v>
      </c>
      <c r="AE1372" s="130"/>
      <c r="AF1372" s="130"/>
      <c r="AG1372" s="130"/>
      <c r="AH1372" s="130"/>
      <c r="AI1372" s="131"/>
      <c r="AJ1372" s="132"/>
      <c r="AK1372" s="127"/>
      <c r="AL1372" s="128"/>
      <c r="AM1372" s="21" t="s">
        <v>7701</v>
      </c>
      <c r="AN1372" s="133">
        <v>45969</v>
      </c>
      <c r="AO1372" s="134"/>
      <c r="AP1372" s="135">
        <v>1275</v>
      </c>
      <c r="AQ1372" s="136"/>
      <c r="AR1372" s="118">
        <v>1215000</v>
      </c>
      <c r="AS1372" s="119"/>
      <c r="AT1372" s="118">
        <f>AR1372*0.1</f>
        <v>121500</v>
      </c>
      <c r="AU1372" s="119"/>
      <c r="AV1372" s="118">
        <v>8200</v>
      </c>
      <c r="AW1372" s="119"/>
      <c r="AX1372" s="118">
        <f>SUM(AR1372:AW1372)</f>
        <v>1344700</v>
      </c>
      <c r="AY1372" s="119"/>
      <c r="AZ1372" s="137">
        <v>45972</v>
      </c>
    </row>
    <row r="1373" spans="1:52" ht="17.100000000000001" customHeight="1" thickBot="1">
      <c r="A1373" s="110"/>
      <c r="B1373" s="27" t="s">
        <v>3367</v>
      </c>
      <c r="C1373" s="27">
        <v>3040</v>
      </c>
      <c r="D1373" s="14" t="s">
        <v>1592</v>
      </c>
      <c r="E1373" s="112"/>
      <c r="F1373" s="139" t="s">
        <v>4623</v>
      </c>
      <c r="G1373" s="140"/>
      <c r="H1373" s="141"/>
      <c r="I1373" s="26">
        <v>1012</v>
      </c>
      <c r="J1373" s="117"/>
      <c r="K1373" s="120"/>
      <c r="L1373" s="121"/>
      <c r="M1373" s="120"/>
      <c r="N1373" s="121"/>
      <c r="O1373" s="120"/>
      <c r="P1373" s="121"/>
      <c r="Q1373" s="120"/>
      <c r="R1373" s="121"/>
      <c r="S1373" s="120"/>
      <c r="T1373" s="121"/>
      <c r="U1373" s="120"/>
      <c r="V1373" s="123"/>
      <c r="W1373" s="125"/>
      <c r="X1373" s="142" t="s">
        <v>4624</v>
      </c>
      <c r="Y1373" s="143"/>
      <c r="Z1373" s="143"/>
      <c r="AA1373" s="143"/>
      <c r="AB1373" s="144"/>
      <c r="AC1373" s="16" t="s">
        <v>21</v>
      </c>
      <c r="AD1373" s="17" t="s">
        <v>2119</v>
      </c>
      <c r="AE1373" s="145" t="s">
        <v>4622</v>
      </c>
      <c r="AF1373" s="146"/>
      <c r="AG1373" s="146"/>
      <c r="AH1373" s="146"/>
      <c r="AI1373" s="147"/>
      <c r="AJ1373" s="148"/>
      <c r="AK1373" s="143"/>
      <c r="AL1373" s="144"/>
      <c r="AM1373" s="22"/>
      <c r="AN1373" s="149" t="s">
        <v>2511</v>
      </c>
      <c r="AO1373" s="144"/>
      <c r="AP1373" s="148">
        <v>60037</v>
      </c>
      <c r="AQ1373" s="144"/>
      <c r="AR1373" s="120"/>
      <c r="AS1373" s="121"/>
      <c r="AT1373" s="120"/>
      <c r="AU1373" s="121"/>
      <c r="AV1373" s="120"/>
      <c r="AW1373" s="121"/>
      <c r="AX1373" s="120"/>
      <c r="AY1373" s="121"/>
      <c r="AZ1373" s="138"/>
    </row>
    <row r="1374" spans="1:52" ht="17.100000000000001" customHeight="1" thickTop="1">
      <c r="A1374" s="109" t="s">
        <v>6424</v>
      </c>
      <c r="B1374" s="28">
        <v>45909</v>
      </c>
      <c r="C1374" s="25">
        <v>906</v>
      </c>
      <c r="D1374" s="13" t="s">
        <v>818</v>
      </c>
      <c r="E1374" s="111"/>
      <c r="F1374" s="113" t="s">
        <v>4625</v>
      </c>
      <c r="G1374" s="114"/>
      <c r="H1374" s="115"/>
      <c r="I1374" s="24" t="s">
        <v>1559</v>
      </c>
      <c r="J1374" s="116">
        <v>4.5</v>
      </c>
      <c r="K1374" s="118">
        <v>1030000</v>
      </c>
      <c r="L1374" s="119"/>
      <c r="M1374" s="118">
        <f>K1374*0.1</f>
        <v>103000</v>
      </c>
      <c r="N1374" s="119"/>
      <c r="O1374" s="118">
        <v>0</v>
      </c>
      <c r="P1374" s="119"/>
      <c r="Q1374" s="118">
        <v>8790</v>
      </c>
      <c r="R1374" s="119"/>
      <c r="S1374" s="118">
        <v>15950</v>
      </c>
      <c r="T1374" s="119"/>
      <c r="U1374" s="118">
        <f>SUM(K1374:T1375)</f>
        <v>1157740</v>
      </c>
      <c r="V1374" s="122"/>
      <c r="W1374" s="124"/>
      <c r="X1374" s="126" t="s">
        <v>4626</v>
      </c>
      <c r="Y1374" s="127"/>
      <c r="Z1374" s="127"/>
      <c r="AA1374" s="127"/>
      <c r="AB1374" s="128"/>
      <c r="AC1374" s="15" t="s">
        <v>20</v>
      </c>
      <c r="AD1374" s="129" t="s">
        <v>3896</v>
      </c>
      <c r="AE1374" s="130"/>
      <c r="AF1374" s="130"/>
      <c r="AG1374" s="130"/>
      <c r="AH1374" s="130"/>
      <c r="AI1374" s="131"/>
      <c r="AJ1374" s="132"/>
      <c r="AK1374" s="127"/>
      <c r="AL1374" s="128"/>
      <c r="AM1374" s="21" t="s">
        <v>8308</v>
      </c>
      <c r="AN1374" s="133">
        <v>45952</v>
      </c>
      <c r="AO1374" s="134"/>
      <c r="AP1374" s="135">
        <v>989</v>
      </c>
      <c r="AQ1374" s="136"/>
      <c r="AR1374" s="118">
        <v>1070000</v>
      </c>
      <c r="AS1374" s="119"/>
      <c r="AT1374" s="118">
        <f>AR1374*0.1</f>
        <v>107000</v>
      </c>
      <c r="AU1374" s="119"/>
      <c r="AV1374" s="118">
        <v>8790</v>
      </c>
      <c r="AW1374" s="119"/>
      <c r="AX1374" s="118">
        <f>SUM(AR1374:AW1374)</f>
        <v>1185790</v>
      </c>
      <c r="AY1374" s="119"/>
      <c r="AZ1374" s="137">
        <v>45957</v>
      </c>
    </row>
    <row r="1375" spans="1:52" ht="17.100000000000001" customHeight="1" thickBot="1">
      <c r="A1375" s="110"/>
      <c r="B1375" s="27" t="s">
        <v>2699</v>
      </c>
      <c r="C1375" s="27">
        <v>3069</v>
      </c>
      <c r="D1375" s="14" t="s">
        <v>2601</v>
      </c>
      <c r="E1375" s="112"/>
      <c r="F1375" s="139" t="s">
        <v>4627</v>
      </c>
      <c r="G1375" s="140"/>
      <c r="H1375" s="141"/>
      <c r="I1375" s="26">
        <v>56799</v>
      </c>
      <c r="J1375" s="117"/>
      <c r="K1375" s="120"/>
      <c r="L1375" s="121"/>
      <c r="M1375" s="120"/>
      <c r="N1375" s="121"/>
      <c r="O1375" s="120"/>
      <c r="P1375" s="121"/>
      <c r="Q1375" s="120"/>
      <c r="R1375" s="121"/>
      <c r="S1375" s="120"/>
      <c r="T1375" s="121"/>
      <c r="U1375" s="120"/>
      <c r="V1375" s="123"/>
      <c r="W1375" s="125"/>
      <c r="X1375" s="142" t="s">
        <v>4628</v>
      </c>
      <c r="Y1375" s="143"/>
      <c r="Z1375" s="143"/>
      <c r="AA1375" s="143"/>
      <c r="AB1375" s="144"/>
      <c r="AC1375" s="16" t="s">
        <v>21</v>
      </c>
      <c r="AD1375" s="17" t="s">
        <v>2119</v>
      </c>
      <c r="AE1375" s="145" t="s">
        <v>4629</v>
      </c>
      <c r="AF1375" s="146"/>
      <c r="AG1375" s="146"/>
      <c r="AH1375" s="146"/>
      <c r="AI1375" s="147"/>
      <c r="AJ1375" s="148"/>
      <c r="AK1375" s="143"/>
      <c r="AL1375" s="144"/>
      <c r="AM1375" s="22"/>
      <c r="AN1375" s="149" t="s">
        <v>2794</v>
      </c>
      <c r="AO1375" s="144"/>
      <c r="AP1375" s="148">
        <v>2036</v>
      </c>
      <c r="AQ1375" s="144"/>
      <c r="AR1375" s="120"/>
      <c r="AS1375" s="121"/>
      <c r="AT1375" s="120"/>
      <c r="AU1375" s="121"/>
      <c r="AV1375" s="120"/>
      <c r="AW1375" s="121"/>
      <c r="AX1375" s="120"/>
      <c r="AY1375" s="121"/>
      <c r="AZ1375" s="138"/>
    </row>
    <row r="1376" spans="1:52" ht="17.100000000000001" customHeight="1" thickTop="1">
      <c r="A1376" s="109" t="s">
        <v>6425</v>
      </c>
      <c r="B1376" s="28">
        <v>45909</v>
      </c>
      <c r="C1376" s="25">
        <v>906</v>
      </c>
      <c r="D1376" s="13" t="s">
        <v>1937</v>
      </c>
      <c r="E1376" s="111"/>
      <c r="F1376" s="113" t="s">
        <v>4630</v>
      </c>
      <c r="G1376" s="114"/>
      <c r="H1376" s="115"/>
      <c r="I1376" s="24"/>
      <c r="J1376" s="116">
        <v>4</v>
      </c>
      <c r="K1376" s="118">
        <v>213000</v>
      </c>
      <c r="L1376" s="119"/>
      <c r="M1376" s="118">
        <f>K1376*0.1</f>
        <v>21300</v>
      </c>
      <c r="N1376" s="119"/>
      <c r="O1376" s="118">
        <v>0</v>
      </c>
      <c r="P1376" s="119"/>
      <c r="Q1376" s="118">
        <v>7320</v>
      </c>
      <c r="R1376" s="119"/>
      <c r="S1376" s="118">
        <v>15950</v>
      </c>
      <c r="T1376" s="119"/>
      <c r="U1376" s="118">
        <f>SUM(K1376:T1377)</f>
        <v>257570</v>
      </c>
      <c r="V1376" s="122"/>
      <c r="W1376" s="124"/>
      <c r="X1376" s="126" t="s">
        <v>4631</v>
      </c>
      <c r="Y1376" s="127"/>
      <c r="Z1376" s="127"/>
      <c r="AA1376" s="127"/>
      <c r="AB1376" s="128"/>
      <c r="AC1376" s="15" t="s">
        <v>20</v>
      </c>
      <c r="AD1376" s="129"/>
      <c r="AE1376" s="130"/>
      <c r="AF1376" s="130"/>
      <c r="AG1376" s="130"/>
      <c r="AH1376" s="130"/>
      <c r="AI1376" s="131"/>
      <c r="AJ1376" s="132"/>
      <c r="AK1376" s="127"/>
      <c r="AL1376" s="128"/>
      <c r="AM1376" s="21"/>
      <c r="AN1376" s="133">
        <v>45934</v>
      </c>
      <c r="AO1376" s="134"/>
      <c r="AP1376" s="135">
        <v>1270</v>
      </c>
      <c r="AQ1376" s="136"/>
      <c r="AR1376" s="118">
        <v>255000</v>
      </c>
      <c r="AS1376" s="119"/>
      <c r="AT1376" s="118">
        <f>AR1376*0.1</f>
        <v>25500</v>
      </c>
      <c r="AU1376" s="119"/>
      <c r="AV1376" s="118">
        <v>7320</v>
      </c>
      <c r="AW1376" s="119"/>
      <c r="AX1376" s="118">
        <f>SUM(AR1376:AW1376)</f>
        <v>287820</v>
      </c>
      <c r="AY1376" s="119"/>
      <c r="AZ1376" s="137">
        <v>45937</v>
      </c>
    </row>
    <row r="1377" spans="1:52" ht="17.100000000000001" customHeight="1" thickBot="1">
      <c r="A1377" s="110"/>
      <c r="B1377" s="27" t="s">
        <v>2699</v>
      </c>
      <c r="C1377" s="27">
        <v>4226</v>
      </c>
      <c r="D1377" s="14" t="s">
        <v>904</v>
      </c>
      <c r="E1377" s="112"/>
      <c r="F1377" s="139" t="s">
        <v>4632</v>
      </c>
      <c r="G1377" s="140"/>
      <c r="H1377" s="141"/>
      <c r="I1377" s="26">
        <v>36385</v>
      </c>
      <c r="J1377" s="117"/>
      <c r="K1377" s="120"/>
      <c r="L1377" s="121"/>
      <c r="M1377" s="120"/>
      <c r="N1377" s="121"/>
      <c r="O1377" s="120"/>
      <c r="P1377" s="121"/>
      <c r="Q1377" s="120"/>
      <c r="R1377" s="121"/>
      <c r="S1377" s="120"/>
      <c r="T1377" s="121"/>
      <c r="U1377" s="120"/>
      <c r="V1377" s="123"/>
      <c r="W1377" s="125"/>
      <c r="X1377" s="142" t="s">
        <v>4633</v>
      </c>
      <c r="Y1377" s="143"/>
      <c r="Z1377" s="143"/>
      <c r="AA1377" s="143"/>
      <c r="AB1377" s="144"/>
      <c r="AC1377" s="16" t="s">
        <v>21</v>
      </c>
      <c r="AD1377" s="17" t="s">
        <v>3001</v>
      </c>
      <c r="AE1377" s="145"/>
      <c r="AF1377" s="146"/>
      <c r="AG1377" s="146"/>
      <c r="AH1377" s="146"/>
      <c r="AI1377" s="147"/>
      <c r="AJ1377" s="148"/>
      <c r="AK1377" s="143"/>
      <c r="AL1377" s="144"/>
      <c r="AM1377" s="22"/>
      <c r="AN1377" s="149" t="s">
        <v>7284</v>
      </c>
      <c r="AO1377" s="144"/>
      <c r="AP1377" s="148">
        <v>60124</v>
      </c>
      <c r="AQ1377" s="144"/>
      <c r="AR1377" s="120"/>
      <c r="AS1377" s="121"/>
      <c r="AT1377" s="120"/>
      <c r="AU1377" s="121"/>
      <c r="AV1377" s="120"/>
      <c r="AW1377" s="121"/>
      <c r="AX1377" s="120"/>
      <c r="AY1377" s="121"/>
      <c r="AZ1377" s="138"/>
    </row>
    <row r="1378" spans="1:52" ht="17.100000000000001" customHeight="1" thickTop="1">
      <c r="A1378" s="109" t="s">
        <v>6426</v>
      </c>
      <c r="B1378" s="28">
        <v>45909</v>
      </c>
      <c r="C1378" s="25">
        <v>906</v>
      </c>
      <c r="D1378" s="13" t="s">
        <v>1752</v>
      </c>
      <c r="E1378" s="111"/>
      <c r="F1378" s="113" t="s">
        <v>4634</v>
      </c>
      <c r="G1378" s="114"/>
      <c r="H1378" s="115"/>
      <c r="I1378" s="24"/>
      <c r="J1378" s="116">
        <v>4</v>
      </c>
      <c r="K1378" s="118">
        <v>183000</v>
      </c>
      <c r="L1378" s="119"/>
      <c r="M1378" s="118">
        <f>K1378*0.1</f>
        <v>18300</v>
      </c>
      <c r="N1378" s="119"/>
      <c r="O1378" s="118">
        <v>0</v>
      </c>
      <c r="P1378" s="119"/>
      <c r="Q1378" s="118">
        <v>7320</v>
      </c>
      <c r="R1378" s="119"/>
      <c r="S1378" s="118">
        <v>15950</v>
      </c>
      <c r="T1378" s="119"/>
      <c r="U1378" s="118">
        <f>SUM(K1378:T1379)</f>
        <v>224570</v>
      </c>
      <c r="V1378" s="122"/>
      <c r="W1378" s="124"/>
      <c r="X1378" s="126" t="s">
        <v>4635</v>
      </c>
      <c r="Y1378" s="127"/>
      <c r="Z1378" s="127"/>
      <c r="AA1378" s="127"/>
      <c r="AB1378" s="128"/>
      <c r="AC1378" s="15" t="s">
        <v>20</v>
      </c>
      <c r="AD1378" s="129"/>
      <c r="AE1378" s="130"/>
      <c r="AF1378" s="130"/>
      <c r="AG1378" s="130"/>
      <c r="AH1378" s="130"/>
      <c r="AI1378" s="131"/>
      <c r="AJ1378" s="132"/>
      <c r="AK1378" s="127"/>
      <c r="AL1378" s="128"/>
      <c r="AM1378" s="21"/>
      <c r="AN1378" s="133">
        <v>45948</v>
      </c>
      <c r="AO1378" s="134"/>
      <c r="AP1378" s="135">
        <v>1272</v>
      </c>
      <c r="AQ1378" s="136"/>
      <c r="AR1378" s="118">
        <v>215000</v>
      </c>
      <c r="AS1378" s="119"/>
      <c r="AT1378" s="118">
        <f>AR1378*0.1</f>
        <v>21500</v>
      </c>
      <c r="AU1378" s="119"/>
      <c r="AV1378" s="118">
        <v>7320</v>
      </c>
      <c r="AW1378" s="119"/>
      <c r="AX1378" s="118">
        <f>SUM(AR1378:AW1378)</f>
        <v>243820</v>
      </c>
      <c r="AY1378" s="119"/>
      <c r="AZ1378" s="137">
        <v>45951</v>
      </c>
    </row>
    <row r="1379" spans="1:52" ht="17.100000000000001" customHeight="1" thickBot="1">
      <c r="A1379" s="110"/>
      <c r="B1379" s="27" t="s">
        <v>2699</v>
      </c>
      <c r="C1379" s="27">
        <v>4230</v>
      </c>
      <c r="D1379" s="14" t="s">
        <v>3855</v>
      </c>
      <c r="E1379" s="112"/>
      <c r="F1379" s="139" t="s">
        <v>4636</v>
      </c>
      <c r="G1379" s="140"/>
      <c r="H1379" s="141"/>
      <c r="I1379" s="26">
        <v>32889</v>
      </c>
      <c r="J1379" s="117"/>
      <c r="K1379" s="120"/>
      <c r="L1379" s="121"/>
      <c r="M1379" s="120"/>
      <c r="N1379" s="121"/>
      <c r="O1379" s="120"/>
      <c r="P1379" s="121"/>
      <c r="Q1379" s="120"/>
      <c r="R1379" s="121"/>
      <c r="S1379" s="120"/>
      <c r="T1379" s="121"/>
      <c r="U1379" s="120"/>
      <c r="V1379" s="123"/>
      <c r="W1379" s="125"/>
      <c r="X1379" s="142" t="s">
        <v>4633</v>
      </c>
      <c r="Y1379" s="143"/>
      <c r="Z1379" s="143"/>
      <c r="AA1379" s="143"/>
      <c r="AB1379" s="144"/>
      <c r="AC1379" s="16" t="s">
        <v>21</v>
      </c>
      <c r="AD1379" s="17" t="s">
        <v>3001</v>
      </c>
      <c r="AE1379" s="145" t="s">
        <v>4637</v>
      </c>
      <c r="AF1379" s="146"/>
      <c r="AG1379" s="146"/>
      <c r="AH1379" s="146"/>
      <c r="AI1379" s="147"/>
      <c r="AJ1379" s="148"/>
      <c r="AK1379" s="143"/>
      <c r="AL1379" s="144"/>
      <c r="AM1379" s="22"/>
      <c r="AN1379" s="149" t="s">
        <v>2511</v>
      </c>
      <c r="AO1379" s="144"/>
      <c r="AP1379" s="148">
        <v>60113</v>
      </c>
      <c r="AQ1379" s="144"/>
      <c r="AR1379" s="120"/>
      <c r="AS1379" s="121"/>
      <c r="AT1379" s="120"/>
      <c r="AU1379" s="121"/>
      <c r="AV1379" s="120"/>
      <c r="AW1379" s="121"/>
      <c r="AX1379" s="120"/>
      <c r="AY1379" s="121"/>
      <c r="AZ1379" s="138"/>
    </row>
    <row r="1380" spans="1:52" ht="17.100000000000001" customHeight="1" thickTop="1">
      <c r="A1380" s="109" t="s">
        <v>6427</v>
      </c>
      <c r="B1380" s="28">
        <v>45909</v>
      </c>
      <c r="C1380" s="25">
        <v>1207</v>
      </c>
      <c r="D1380" s="13" t="s">
        <v>3921</v>
      </c>
      <c r="E1380" s="111"/>
      <c r="F1380" s="113" t="s">
        <v>4638</v>
      </c>
      <c r="G1380" s="114"/>
      <c r="H1380" s="115"/>
      <c r="I1380" s="24"/>
      <c r="J1380" s="116">
        <v>4</v>
      </c>
      <c r="K1380" s="118">
        <v>1111000</v>
      </c>
      <c r="L1380" s="119"/>
      <c r="M1380" s="118">
        <f>K1380*0.1</f>
        <v>111100</v>
      </c>
      <c r="N1380" s="119"/>
      <c r="O1380" s="118">
        <v>0</v>
      </c>
      <c r="P1380" s="119"/>
      <c r="Q1380" s="118">
        <v>20170</v>
      </c>
      <c r="R1380" s="119"/>
      <c r="S1380" s="118">
        <v>15950</v>
      </c>
      <c r="T1380" s="119"/>
      <c r="U1380" s="118">
        <f>SUM(K1380:T1381)</f>
        <v>1258220</v>
      </c>
      <c r="V1380" s="122"/>
      <c r="W1380" s="124"/>
      <c r="X1380" s="126" t="s">
        <v>4639</v>
      </c>
      <c r="Y1380" s="127"/>
      <c r="Z1380" s="127"/>
      <c r="AA1380" s="127"/>
      <c r="AB1380" s="128"/>
      <c r="AC1380" s="15" t="s">
        <v>20</v>
      </c>
      <c r="AD1380" s="129"/>
      <c r="AE1380" s="130"/>
      <c r="AF1380" s="130"/>
      <c r="AG1380" s="130"/>
      <c r="AH1380" s="130"/>
      <c r="AI1380" s="131"/>
      <c r="AJ1380" s="132"/>
      <c r="AK1380" s="127"/>
      <c r="AL1380" s="128"/>
      <c r="AM1380" s="21"/>
      <c r="AN1380" s="133">
        <v>45948</v>
      </c>
      <c r="AO1380" s="134"/>
      <c r="AP1380" s="135">
        <v>1272</v>
      </c>
      <c r="AQ1380" s="136"/>
      <c r="AR1380" s="118">
        <v>1155000</v>
      </c>
      <c r="AS1380" s="119"/>
      <c r="AT1380" s="118">
        <f>AR1380*0.1</f>
        <v>115500</v>
      </c>
      <c r="AU1380" s="119"/>
      <c r="AV1380" s="118">
        <v>20170</v>
      </c>
      <c r="AW1380" s="119"/>
      <c r="AX1380" s="118">
        <f>SUM(AR1380:AW1380)</f>
        <v>1290670</v>
      </c>
      <c r="AY1380" s="119"/>
      <c r="AZ1380" s="137">
        <v>45951</v>
      </c>
    </row>
    <row r="1381" spans="1:52" ht="17.100000000000001" customHeight="1" thickBot="1">
      <c r="A1381" s="110"/>
      <c r="B1381" s="27" t="s">
        <v>2379</v>
      </c>
      <c r="C1381" s="27">
        <v>5026</v>
      </c>
      <c r="D1381" s="14" t="s">
        <v>3327</v>
      </c>
      <c r="E1381" s="112"/>
      <c r="F1381" s="139" t="s">
        <v>4640</v>
      </c>
      <c r="G1381" s="140"/>
      <c r="H1381" s="141"/>
      <c r="I1381" s="26">
        <v>56759</v>
      </c>
      <c r="J1381" s="117"/>
      <c r="K1381" s="120"/>
      <c r="L1381" s="121"/>
      <c r="M1381" s="120"/>
      <c r="N1381" s="121"/>
      <c r="O1381" s="120"/>
      <c r="P1381" s="121"/>
      <c r="Q1381" s="120"/>
      <c r="R1381" s="121"/>
      <c r="S1381" s="120"/>
      <c r="T1381" s="121"/>
      <c r="U1381" s="120"/>
      <c r="V1381" s="123"/>
      <c r="W1381" s="125"/>
      <c r="X1381" s="142" t="s">
        <v>4641</v>
      </c>
      <c r="Y1381" s="143"/>
      <c r="Z1381" s="143"/>
      <c r="AA1381" s="143"/>
      <c r="AB1381" s="144"/>
      <c r="AC1381" s="16" t="s">
        <v>21</v>
      </c>
      <c r="AD1381" s="17" t="s">
        <v>4642</v>
      </c>
      <c r="AE1381" s="145"/>
      <c r="AF1381" s="146"/>
      <c r="AG1381" s="146"/>
      <c r="AH1381" s="146"/>
      <c r="AI1381" s="147"/>
      <c r="AJ1381" s="148"/>
      <c r="AK1381" s="143"/>
      <c r="AL1381" s="144"/>
      <c r="AM1381" s="22"/>
      <c r="AN1381" s="149" t="s">
        <v>2511</v>
      </c>
      <c r="AO1381" s="144"/>
      <c r="AP1381" s="148">
        <v>80032</v>
      </c>
      <c r="AQ1381" s="144"/>
      <c r="AR1381" s="120"/>
      <c r="AS1381" s="121"/>
      <c r="AT1381" s="120"/>
      <c r="AU1381" s="121"/>
      <c r="AV1381" s="120"/>
      <c r="AW1381" s="121"/>
      <c r="AX1381" s="120"/>
      <c r="AY1381" s="121"/>
      <c r="AZ1381" s="138"/>
    </row>
    <row r="1382" spans="1:52" ht="17.100000000000001" customHeight="1" thickTop="1">
      <c r="A1382" s="109" t="s">
        <v>6428</v>
      </c>
      <c r="B1382" s="28">
        <v>45909</v>
      </c>
      <c r="C1382" s="25">
        <v>956</v>
      </c>
      <c r="D1382" s="13" t="s">
        <v>1714</v>
      </c>
      <c r="E1382" s="111"/>
      <c r="F1382" s="113" t="s">
        <v>4643</v>
      </c>
      <c r="G1382" s="114"/>
      <c r="H1382" s="115"/>
      <c r="I1382" s="24"/>
      <c r="J1382" s="116">
        <v>4</v>
      </c>
      <c r="K1382" s="118">
        <v>1109000</v>
      </c>
      <c r="L1382" s="119"/>
      <c r="M1382" s="118">
        <f>K1382*0.1</f>
        <v>110900</v>
      </c>
      <c r="N1382" s="119"/>
      <c r="O1382" s="118">
        <v>0</v>
      </c>
      <c r="P1382" s="119"/>
      <c r="Q1382" s="118">
        <v>8740</v>
      </c>
      <c r="R1382" s="119"/>
      <c r="S1382" s="118">
        <v>22000</v>
      </c>
      <c r="T1382" s="119"/>
      <c r="U1382" s="118">
        <f>SUM(K1382:T1383)</f>
        <v>1250640</v>
      </c>
      <c r="V1382" s="122"/>
      <c r="W1382" s="124"/>
      <c r="X1382" s="126" t="s">
        <v>4644</v>
      </c>
      <c r="Y1382" s="127"/>
      <c r="Z1382" s="127"/>
      <c r="AA1382" s="127"/>
      <c r="AB1382" s="128"/>
      <c r="AC1382" s="15" t="s">
        <v>20</v>
      </c>
      <c r="AD1382" s="129" t="s">
        <v>1797</v>
      </c>
      <c r="AE1382" s="130"/>
      <c r="AF1382" s="130"/>
      <c r="AG1382" s="130"/>
      <c r="AH1382" s="130"/>
      <c r="AI1382" s="131"/>
      <c r="AJ1382" s="132"/>
      <c r="AK1382" s="127"/>
      <c r="AL1382" s="128"/>
      <c r="AM1382" s="21"/>
      <c r="AN1382" s="133">
        <v>46144</v>
      </c>
      <c r="AO1382" s="134"/>
      <c r="AP1382" s="135">
        <v>1299</v>
      </c>
      <c r="AQ1382" s="136"/>
      <c r="AR1382" s="118">
        <v>1125000</v>
      </c>
      <c r="AS1382" s="119"/>
      <c r="AT1382" s="118">
        <f>AR1382*0.1</f>
        <v>112500</v>
      </c>
      <c r="AU1382" s="119"/>
      <c r="AV1382" s="118">
        <v>8740</v>
      </c>
      <c r="AW1382" s="119"/>
      <c r="AX1382" s="118">
        <f>SUM(AR1382:AW1382)</f>
        <v>1246240</v>
      </c>
      <c r="AY1382" s="119"/>
      <c r="AZ1382" s="137">
        <v>46154</v>
      </c>
    </row>
    <row r="1383" spans="1:52" ht="17.100000000000001" customHeight="1" thickBot="1">
      <c r="A1383" s="110"/>
      <c r="B1383" s="27" t="s">
        <v>2055</v>
      </c>
      <c r="C1383" s="27">
        <v>21</v>
      </c>
      <c r="D1383" s="14" t="s">
        <v>4023</v>
      </c>
      <c r="E1383" s="112"/>
      <c r="F1383" s="139" t="s">
        <v>4645</v>
      </c>
      <c r="G1383" s="140"/>
      <c r="H1383" s="141"/>
      <c r="I1383" s="26">
        <v>52330</v>
      </c>
      <c r="J1383" s="117"/>
      <c r="K1383" s="120"/>
      <c r="L1383" s="121"/>
      <c r="M1383" s="120"/>
      <c r="N1383" s="121"/>
      <c r="O1383" s="120"/>
      <c r="P1383" s="121"/>
      <c r="Q1383" s="120"/>
      <c r="R1383" s="121"/>
      <c r="S1383" s="120"/>
      <c r="T1383" s="121"/>
      <c r="U1383" s="120"/>
      <c r="V1383" s="123"/>
      <c r="W1383" s="125"/>
      <c r="X1383" s="142" t="s">
        <v>2482</v>
      </c>
      <c r="Y1383" s="143"/>
      <c r="Z1383" s="143"/>
      <c r="AA1383" s="143"/>
      <c r="AB1383" s="144"/>
      <c r="AC1383" s="16" t="s">
        <v>21</v>
      </c>
      <c r="AD1383" s="17" t="s">
        <v>1571</v>
      </c>
      <c r="AE1383" s="145" t="s">
        <v>9491</v>
      </c>
      <c r="AF1383" s="146"/>
      <c r="AG1383" s="146"/>
      <c r="AH1383" s="146"/>
      <c r="AI1383" s="147"/>
      <c r="AJ1383" s="148"/>
      <c r="AK1383" s="143"/>
      <c r="AL1383" s="144"/>
      <c r="AM1383" s="22"/>
      <c r="AN1383" s="149" t="s">
        <v>25047</v>
      </c>
      <c r="AO1383" s="144"/>
      <c r="AP1383" s="148">
        <v>60123</v>
      </c>
      <c r="AQ1383" s="144"/>
      <c r="AR1383" s="120"/>
      <c r="AS1383" s="121"/>
      <c r="AT1383" s="120"/>
      <c r="AU1383" s="121"/>
      <c r="AV1383" s="120"/>
      <c r="AW1383" s="121"/>
      <c r="AX1383" s="120"/>
      <c r="AY1383" s="121"/>
      <c r="AZ1383" s="138"/>
    </row>
    <row r="1384" spans="1:52" ht="17.100000000000001" customHeight="1" thickTop="1">
      <c r="A1384" s="109" t="s">
        <v>6429</v>
      </c>
      <c r="B1384" s="28">
        <v>45911</v>
      </c>
      <c r="C1384" s="25">
        <v>1532</v>
      </c>
      <c r="D1384" s="13" t="s">
        <v>2157</v>
      </c>
      <c r="E1384" s="111"/>
      <c r="F1384" s="113" t="s">
        <v>4646</v>
      </c>
      <c r="G1384" s="114"/>
      <c r="H1384" s="115"/>
      <c r="I1384" s="24" t="s">
        <v>4647</v>
      </c>
      <c r="J1384" s="116">
        <v>4.5</v>
      </c>
      <c r="K1384" s="118">
        <v>1510000</v>
      </c>
      <c r="L1384" s="119"/>
      <c r="M1384" s="118">
        <f>K1384*0.1</f>
        <v>151000</v>
      </c>
      <c r="N1384" s="119"/>
      <c r="O1384" s="118">
        <f>17200+1720</f>
        <v>18920</v>
      </c>
      <c r="P1384" s="119"/>
      <c r="Q1384" s="118">
        <v>14260</v>
      </c>
      <c r="R1384" s="119"/>
      <c r="S1384" s="118">
        <v>16500</v>
      </c>
      <c r="T1384" s="119"/>
      <c r="U1384" s="118">
        <f>SUM(K1384:T1385)</f>
        <v>1710680</v>
      </c>
      <c r="V1384" s="122"/>
      <c r="W1384" s="124"/>
      <c r="X1384" s="126" t="s">
        <v>4648</v>
      </c>
      <c r="Y1384" s="127"/>
      <c r="Z1384" s="127"/>
      <c r="AA1384" s="127"/>
      <c r="AB1384" s="128"/>
      <c r="AC1384" s="15" t="s">
        <v>20</v>
      </c>
      <c r="AD1384" s="129" t="s">
        <v>1670</v>
      </c>
      <c r="AE1384" s="130"/>
      <c r="AF1384" s="130"/>
      <c r="AG1384" s="130"/>
      <c r="AH1384" s="130"/>
      <c r="AI1384" s="131"/>
      <c r="AJ1384" s="132" t="s">
        <v>8951</v>
      </c>
      <c r="AK1384" s="127"/>
      <c r="AL1384" s="128"/>
      <c r="AM1384" s="21" t="s">
        <v>9562</v>
      </c>
      <c r="AN1384" s="133"/>
      <c r="AO1384" s="134"/>
      <c r="AP1384" s="135"/>
      <c r="AQ1384" s="136"/>
      <c r="AR1384" s="118"/>
      <c r="AS1384" s="119"/>
      <c r="AT1384" s="118">
        <f>AR1384*0.1</f>
        <v>0</v>
      </c>
      <c r="AU1384" s="119"/>
      <c r="AV1384" s="118"/>
      <c r="AW1384" s="119"/>
      <c r="AX1384" s="118">
        <f>SUM(AR1384:AW1384)</f>
        <v>0</v>
      </c>
      <c r="AY1384" s="119"/>
      <c r="AZ1384" s="137"/>
    </row>
    <row r="1385" spans="1:52" ht="17.100000000000001" customHeight="1" thickBot="1">
      <c r="A1385" s="110"/>
      <c r="B1385" s="27" t="s">
        <v>1600</v>
      </c>
      <c r="C1385" s="27">
        <v>79031</v>
      </c>
      <c r="D1385" s="14" t="s">
        <v>904</v>
      </c>
      <c r="E1385" s="112"/>
      <c r="F1385" s="139" t="s">
        <v>4649</v>
      </c>
      <c r="G1385" s="140"/>
      <c r="H1385" s="141"/>
      <c r="I1385" s="26">
        <v>54587</v>
      </c>
      <c r="J1385" s="117"/>
      <c r="K1385" s="120"/>
      <c r="L1385" s="121"/>
      <c r="M1385" s="120"/>
      <c r="N1385" s="121"/>
      <c r="O1385" s="120"/>
      <c r="P1385" s="121"/>
      <c r="Q1385" s="120"/>
      <c r="R1385" s="121"/>
      <c r="S1385" s="120"/>
      <c r="T1385" s="121"/>
      <c r="U1385" s="120"/>
      <c r="V1385" s="123"/>
      <c r="W1385" s="125"/>
      <c r="X1385" s="142" t="s">
        <v>4650</v>
      </c>
      <c r="Y1385" s="143"/>
      <c r="Z1385" s="143"/>
      <c r="AA1385" s="143"/>
      <c r="AB1385" s="144"/>
      <c r="AC1385" s="16" t="s">
        <v>21</v>
      </c>
      <c r="AD1385" s="17" t="s">
        <v>4642</v>
      </c>
      <c r="AE1385" s="145" t="s">
        <v>4651</v>
      </c>
      <c r="AF1385" s="146"/>
      <c r="AG1385" s="146"/>
      <c r="AH1385" s="146"/>
      <c r="AI1385" s="147"/>
      <c r="AJ1385" s="148"/>
      <c r="AK1385" s="143"/>
      <c r="AL1385" s="144"/>
      <c r="AM1385" s="22"/>
      <c r="AN1385" s="149"/>
      <c r="AO1385" s="144"/>
      <c r="AP1385" s="148"/>
      <c r="AQ1385" s="144"/>
      <c r="AR1385" s="120"/>
      <c r="AS1385" s="121"/>
      <c r="AT1385" s="120"/>
      <c r="AU1385" s="121"/>
      <c r="AV1385" s="120"/>
      <c r="AW1385" s="121"/>
      <c r="AX1385" s="120"/>
      <c r="AY1385" s="121"/>
      <c r="AZ1385" s="138"/>
    </row>
    <row r="1386" spans="1:52" ht="17.100000000000001" customHeight="1" thickTop="1">
      <c r="A1386" s="109" t="s">
        <v>6430</v>
      </c>
      <c r="B1386" s="28">
        <v>45911</v>
      </c>
      <c r="C1386" s="25">
        <v>1993</v>
      </c>
      <c r="D1386" s="13" t="s">
        <v>4652</v>
      </c>
      <c r="E1386" s="111"/>
      <c r="F1386" s="113" t="s">
        <v>4653</v>
      </c>
      <c r="G1386" s="114"/>
      <c r="H1386" s="115"/>
      <c r="I1386" s="24" t="s">
        <v>2526</v>
      </c>
      <c r="J1386" s="116">
        <v>3.5</v>
      </c>
      <c r="K1386" s="118">
        <v>460000</v>
      </c>
      <c r="L1386" s="119"/>
      <c r="M1386" s="118">
        <f>K1386*0.1</f>
        <v>46000</v>
      </c>
      <c r="N1386" s="119"/>
      <c r="O1386" s="118">
        <v>0</v>
      </c>
      <c r="P1386" s="119"/>
      <c r="Q1386" s="118">
        <v>8540</v>
      </c>
      <c r="R1386" s="119"/>
      <c r="S1386" s="118">
        <v>22000</v>
      </c>
      <c r="T1386" s="119"/>
      <c r="U1386" s="118">
        <f>SUM(K1386:T1387)</f>
        <v>536540</v>
      </c>
      <c r="V1386" s="122"/>
      <c r="W1386" s="124"/>
      <c r="X1386" s="126" t="s">
        <v>4654</v>
      </c>
      <c r="Y1386" s="127"/>
      <c r="Z1386" s="127"/>
      <c r="AA1386" s="127"/>
      <c r="AB1386" s="128"/>
      <c r="AC1386" s="15" t="s">
        <v>20</v>
      </c>
      <c r="AD1386" s="129" t="s">
        <v>4655</v>
      </c>
      <c r="AE1386" s="130"/>
      <c r="AF1386" s="130"/>
      <c r="AG1386" s="130"/>
      <c r="AH1386" s="130"/>
      <c r="AI1386" s="131"/>
      <c r="AJ1386" s="132"/>
      <c r="AK1386" s="127"/>
      <c r="AL1386" s="128"/>
      <c r="AM1386" s="21" t="s">
        <v>7747</v>
      </c>
      <c r="AN1386" s="133">
        <v>45934</v>
      </c>
      <c r="AO1386" s="134"/>
      <c r="AP1386" s="135">
        <v>1270</v>
      </c>
      <c r="AQ1386" s="136"/>
      <c r="AR1386" s="118">
        <v>580000</v>
      </c>
      <c r="AS1386" s="119"/>
      <c r="AT1386" s="118">
        <f>AR1386*0.1</f>
        <v>58000</v>
      </c>
      <c r="AU1386" s="119"/>
      <c r="AV1386" s="118">
        <v>8540</v>
      </c>
      <c r="AW1386" s="119"/>
      <c r="AX1386" s="118">
        <f>SUM(AR1386:AW1386)</f>
        <v>646540</v>
      </c>
      <c r="AY1386" s="119"/>
      <c r="AZ1386" s="137">
        <v>45944</v>
      </c>
    </row>
    <row r="1387" spans="1:52" ht="17.100000000000001" customHeight="1" thickBot="1">
      <c r="A1387" s="110"/>
      <c r="B1387" s="27" t="s">
        <v>2200</v>
      </c>
      <c r="C1387" s="27">
        <v>50135</v>
      </c>
      <c r="D1387" s="14" t="s">
        <v>1720</v>
      </c>
      <c r="E1387" s="112"/>
      <c r="F1387" s="139" t="s">
        <v>4656</v>
      </c>
      <c r="G1387" s="140"/>
      <c r="H1387" s="141"/>
      <c r="I1387" s="26">
        <v>75848</v>
      </c>
      <c r="J1387" s="117"/>
      <c r="K1387" s="120"/>
      <c r="L1387" s="121"/>
      <c r="M1387" s="120"/>
      <c r="N1387" s="121"/>
      <c r="O1387" s="120"/>
      <c r="P1387" s="121"/>
      <c r="Q1387" s="120"/>
      <c r="R1387" s="121"/>
      <c r="S1387" s="120"/>
      <c r="T1387" s="121"/>
      <c r="U1387" s="120"/>
      <c r="V1387" s="123"/>
      <c r="W1387" s="125"/>
      <c r="X1387" s="142" t="s">
        <v>4657</v>
      </c>
      <c r="Y1387" s="143"/>
      <c r="Z1387" s="143"/>
      <c r="AA1387" s="143"/>
      <c r="AB1387" s="144"/>
      <c r="AC1387" s="16" t="s">
        <v>21</v>
      </c>
      <c r="AD1387" s="17" t="s">
        <v>1595</v>
      </c>
      <c r="AE1387" s="145" t="s">
        <v>4658</v>
      </c>
      <c r="AF1387" s="146"/>
      <c r="AG1387" s="146"/>
      <c r="AH1387" s="146"/>
      <c r="AI1387" s="147"/>
      <c r="AJ1387" s="148"/>
      <c r="AK1387" s="143"/>
      <c r="AL1387" s="144"/>
      <c r="AM1387" s="22"/>
      <c r="AN1387" s="149" t="s">
        <v>6748</v>
      </c>
      <c r="AO1387" s="144"/>
      <c r="AP1387" s="148">
        <v>60139</v>
      </c>
      <c r="AQ1387" s="144"/>
      <c r="AR1387" s="120"/>
      <c r="AS1387" s="121"/>
      <c r="AT1387" s="120"/>
      <c r="AU1387" s="121"/>
      <c r="AV1387" s="120"/>
      <c r="AW1387" s="121"/>
      <c r="AX1387" s="120"/>
      <c r="AY1387" s="121"/>
      <c r="AZ1387" s="138"/>
    </row>
    <row r="1388" spans="1:52" ht="17.100000000000001" customHeight="1" thickTop="1">
      <c r="A1388" s="109" t="s">
        <v>6431</v>
      </c>
      <c r="B1388" s="28">
        <v>45911</v>
      </c>
      <c r="C1388" s="25">
        <v>1297</v>
      </c>
      <c r="D1388" s="13" t="s">
        <v>2348</v>
      </c>
      <c r="E1388" s="111"/>
      <c r="F1388" s="113" t="s">
        <v>4659</v>
      </c>
      <c r="G1388" s="114"/>
      <c r="H1388" s="115"/>
      <c r="I1388" s="24"/>
      <c r="J1388" s="116">
        <v>4.5</v>
      </c>
      <c r="K1388" s="118">
        <v>1145000</v>
      </c>
      <c r="L1388" s="119"/>
      <c r="M1388" s="118">
        <f>K1388*0.1</f>
        <v>114500</v>
      </c>
      <c r="N1388" s="119"/>
      <c r="O1388" s="118">
        <v>0</v>
      </c>
      <c r="P1388" s="119"/>
      <c r="Q1388" s="118">
        <v>20950</v>
      </c>
      <c r="R1388" s="119"/>
      <c r="S1388" s="118">
        <v>14300</v>
      </c>
      <c r="T1388" s="119"/>
      <c r="U1388" s="118">
        <f>SUM(K1388:T1389)</f>
        <v>1294750</v>
      </c>
      <c r="V1388" s="122"/>
      <c r="W1388" s="124"/>
      <c r="X1388" s="126" t="s">
        <v>4660</v>
      </c>
      <c r="Y1388" s="127"/>
      <c r="Z1388" s="127"/>
      <c r="AA1388" s="127"/>
      <c r="AB1388" s="128"/>
      <c r="AC1388" s="15" t="s">
        <v>20</v>
      </c>
      <c r="AD1388" s="129" t="s">
        <v>4661</v>
      </c>
      <c r="AE1388" s="130"/>
      <c r="AF1388" s="130"/>
      <c r="AG1388" s="130"/>
      <c r="AH1388" s="130"/>
      <c r="AI1388" s="131"/>
      <c r="AJ1388" s="132"/>
      <c r="AK1388" s="127"/>
      <c r="AL1388" s="128"/>
      <c r="AM1388" s="21"/>
      <c r="AN1388" s="133">
        <v>45934</v>
      </c>
      <c r="AO1388" s="134"/>
      <c r="AP1388" s="135">
        <v>1270</v>
      </c>
      <c r="AQ1388" s="136"/>
      <c r="AR1388" s="118">
        <v>1220000</v>
      </c>
      <c r="AS1388" s="119"/>
      <c r="AT1388" s="118">
        <f>AR1388*0.1</f>
        <v>122000</v>
      </c>
      <c r="AU1388" s="119"/>
      <c r="AV1388" s="118">
        <v>20950</v>
      </c>
      <c r="AW1388" s="119"/>
      <c r="AX1388" s="118">
        <f>SUM(AR1388:AW1388)</f>
        <v>1362950</v>
      </c>
      <c r="AY1388" s="119"/>
      <c r="AZ1388" s="137">
        <v>45937</v>
      </c>
    </row>
    <row r="1389" spans="1:52" ht="17.100000000000001" customHeight="1" thickBot="1">
      <c r="A1389" s="110"/>
      <c r="B1389" s="27" t="s">
        <v>1747</v>
      </c>
      <c r="C1389" s="27">
        <v>661</v>
      </c>
      <c r="D1389" s="14" t="s">
        <v>2086</v>
      </c>
      <c r="E1389" s="112"/>
      <c r="F1389" s="139" t="s">
        <v>4662</v>
      </c>
      <c r="G1389" s="140"/>
      <c r="H1389" s="141"/>
      <c r="I1389" s="26">
        <v>32960</v>
      </c>
      <c r="J1389" s="117"/>
      <c r="K1389" s="120"/>
      <c r="L1389" s="121"/>
      <c r="M1389" s="120"/>
      <c r="N1389" s="121"/>
      <c r="O1389" s="120"/>
      <c r="P1389" s="121"/>
      <c r="Q1389" s="120"/>
      <c r="R1389" s="121"/>
      <c r="S1389" s="120"/>
      <c r="T1389" s="121"/>
      <c r="U1389" s="120"/>
      <c r="V1389" s="123"/>
      <c r="W1389" s="125"/>
      <c r="X1389" s="142" t="s">
        <v>4663</v>
      </c>
      <c r="Y1389" s="143"/>
      <c r="Z1389" s="143"/>
      <c r="AA1389" s="143"/>
      <c r="AB1389" s="144"/>
      <c r="AC1389" s="16" t="s">
        <v>21</v>
      </c>
      <c r="AD1389" s="17" t="s">
        <v>1595</v>
      </c>
      <c r="AE1389" s="145" t="s">
        <v>4664</v>
      </c>
      <c r="AF1389" s="146"/>
      <c r="AG1389" s="146"/>
      <c r="AH1389" s="146"/>
      <c r="AI1389" s="147"/>
      <c r="AJ1389" s="148"/>
      <c r="AK1389" s="143"/>
      <c r="AL1389" s="144"/>
      <c r="AM1389" s="22"/>
      <c r="AN1389" s="149" t="s">
        <v>7284</v>
      </c>
      <c r="AO1389" s="144"/>
      <c r="AP1389" s="148">
        <v>80010</v>
      </c>
      <c r="AQ1389" s="144"/>
      <c r="AR1389" s="120"/>
      <c r="AS1389" s="121"/>
      <c r="AT1389" s="120"/>
      <c r="AU1389" s="121"/>
      <c r="AV1389" s="120"/>
      <c r="AW1389" s="121"/>
      <c r="AX1389" s="120"/>
      <c r="AY1389" s="121"/>
      <c r="AZ1389" s="138"/>
    </row>
    <row r="1390" spans="1:52" ht="17.100000000000001" customHeight="1" thickTop="1">
      <c r="A1390" s="109" t="s">
        <v>6432</v>
      </c>
      <c r="B1390" s="28">
        <v>45911</v>
      </c>
      <c r="C1390" s="25">
        <v>1297</v>
      </c>
      <c r="D1390" s="13" t="s">
        <v>1888</v>
      </c>
      <c r="E1390" s="111"/>
      <c r="F1390" s="113" t="s">
        <v>4665</v>
      </c>
      <c r="G1390" s="114"/>
      <c r="H1390" s="115"/>
      <c r="I1390" s="24"/>
      <c r="J1390" s="116">
        <v>4.5</v>
      </c>
      <c r="K1390" s="118">
        <v>1385000</v>
      </c>
      <c r="L1390" s="119"/>
      <c r="M1390" s="118">
        <f>K1390*0.1</f>
        <v>138500</v>
      </c>
      <c r="N1390" s="119"/>
      <c r="O1390" s="118">
        <v>0</v>
      </c>
      <c r="P1390" s="119"/>
      <c r="Q1390" s="118">
        <v>19150</v>
      </c>
      <c r="R1390" s="119"/>
      <c r="S1390" s="118">
        <v>14300</v>
      </c>
      <c r="T1390" s="119"/>
      <c r="U1390" s="118">
        <f>SUM(K1390:T1391)</f>
        <v>1556950</v>
      </c>
      <c r="V1390" s="122"/>
      <c r="W1390" s="124"/>
      <c r="X1390" s="126" t="s">
        <v>4666</v>
      </c>
      <c r="Y1390" s="127"/>
      <c r="Z1390" s="127"/>
      <c r="AA1390" s="127"/>
      <c r="AB1390" s="128"/>
      <c r="AC1390" s="15" t="s">
        <v>20</v>
      </c>
      <c r="AD1390" s="129" t="s">
        <v>4667</v>
      </c>
      <c r="AE1390" s="130"/>
      <c r="AF1390" s="130"/>
      <c r="AG1390" s="130"/>
      <c r="AH1390" s="130"/>
      <c r="AI1390" s="131"/>
      <c r="AJ1390" s="132"/>
      <c r="AK1390" s="127"/>
      <c r="AL1390" s="128"/>
      <c r="AM1390" s="21"/>
      <c r="AN1390" s="133">
        <v>45934</v>
      </c>
      <c r="AO1390" s="134"/>
      <c r="AP1390" s="135">
        <v>1270</v>
      </c>
      <c r="AQ1390" s="136"/>
      <c r="AR1390" s="118">
        <v>1410000</v>
      </c>
      <c r="AS1390" s="119"/>
      <c r="AT1390" s="118">
        <f>AR1390*0.1</f>
        <v>141000</v>
      </c>
      <c r="AU1390" s="119"/>
      <c r="AV1390" s="118">
        <v>19150</v>
      </c>
      <c r="AW1390" s="119"/>
      <c r="AX1390" s="118">
        <f>SUM(AR1390:AW1390)</f>
        <v>1570150</v>
      </c>
      <c r="AY1390" s="119"/>
      <c r="AZ1390" s="137">
        <v>45938</v>
      </c>
    </row>
    <row r="1391" spans="1:52" ht="17.100000000000001" customHeight="1" thickBot="1">
      <c r="A1391" s="110"/>
      <c r="B1391" s="27" t="s">
        <v>1747</v>
      </c>
      <c r="C1391" s="27">
        <v>805</v>
      </c>
      <c r="D1391" s="14" t="s">
        <v>1720</v>
      </c>
      <c r="E1391" s="112"/>
      <c r="F1391" s="139" t="s">
        <v>4668</v>
      </c>
      <c r="G1391" s="140"/>
      <c r="H1391" s="141"/>
      <c r="I1391" s="26">
        <v>48714</v>
      </c>
      <c r="J1391" s="117"/>
      <c r="K1391" s="120"/>
      <c r="L1391" s="121"/>
      <c r="M1391" s="120"/>
      <c r="N1391" s="121"/>
      <c r="O1391" s="120"/>
      <c r="P1391" s="121"/>
      <c r="Q1391" s="120"/>
      <c r="R1391" s="121"/>
      <c r="S1391" s="120"/>
      <c r="T1391" s="121"/>
      <c r="U1391" s="120"/>
      <c r="V1391" s="123"/>
      <c r="W1391" s="125"/>
      <c r="X1391" s="142" t="s">
        <v>1861</v>
      </c>
      <c r="Y1391" s="143"/>
      <c r="Z1391" s="143"/>
      <c r="AA1391" s="143"/>
      <c r="AB1391" s="144"/>
      <c r="AC1391" s="16" t="s">
        <v>21</v>
      </c>
      <c r="AD1391" s="17" t="s">
        <v>1595</v>
      </c>
      <c r="AE1391" s="145" t="s">
        <v>4669</v>
      </c>
      <c r="AF1391" s="146"/>
      <c r="AG1391" s="146"/>
      <c r="AH1391" s="146"/>
      <c r="AI1391" s="147"/>
      <c r="AJ1391" s="148"/>
      <c r="AK1391" s="143"/>
      <c r="AL1391" s="144"/>
      <c r="AM1391" s="22"/>
      <c r="AN1391" s="149" t="s">
        <v>7284</v>
      </c>
      <c r="AO1391" s="144"/>
      <c r="AP1391" s="148">
        <v>80032</v>
      </c>
      <c r="AQ1391" s="144"/>
      <c r="AR1391" s="120"/>
      <c r="AS1391" s="121"/>
      <c r="AT1391" s="120"/>
      <c r="AU1391" s="121"/>
      <c r="AV1391" s="120"/>
      <c r="AW1391" s="121"/>
      <c r="AX1391" s="120"/>
      <c r="AY1391" s="121"/>
      <c r="AZ1391" s="138"/>
    </row>
    <row r="1392" spans="1:52" ht="17.100000000000001" customHeight="1" thickTop="1">
      <c r="A1392" s="109" t="s">
        <v>6433</v>
      </c>
      <c r="B1392" s="28">
        <v>45911</v>
      </c>
      <c r="C1392" s="25">
        <v>2125</v>
      </c>
      <c r="D1392" s="13" t="s">
        <v>4670</v>
      </c>
      <c r="E1392" s="111"/>
      <c r="F1392" s="113" t="s">
        <v>4671</v>
      </c>
      <c r="G1392" s="114"/>
      <c r="H1392" s="115"/>
      <c r="I1392" s="24" t="s">
        <v>4672</v>
      </c>
      <c r="J1392" s="116">
        <v>4</v>
      </c>
      <c r="K1392" s="118">
        <v>177000</v>
      </c>
      <c r="L1392" s="119"/>
      <c r="M1392" s="118">
        <f>K1392*0.1</f>
        <v>17700</v>
      </c>
      <c r="N1392" s="119"/>
      <c r="O1392" s="118">
        <v>0</v>
      </c>
      <c r="P1392" s="119"/>
      <c r="Q1392" s="118">
        <v>9470</v>
      </c>
      <c r="R1392" s="119"/>
      <c r="S1392" s="118">
        <v>13750</v>
      </c>
      <c r="T1392" s="119"/>
      <c r="U1392" s="118">
        <f>SUM(K1392:T1393)</f>
        <v>217920</v>
      </c>
      <c r="V1392" s="122"/>
      <c r="W1392" s="124"/>
      <c r="X1392" s="126" t="s">
        <v>4673</v>
      </c>
      <c r="Y1392" s="127"/>
      <c r="Z1392" s="127"/>
      <c r="AA1392" s="127"/>
      <c r="AB1392" s="128"/>
      <c r="AC1392" s="15" t="s">
        <v>20</v>
      </c>
      <c r="AD1392" s="129" t="s">
        <v>4674</v>
      </c>
      <c r="AE1392" s="130"/>
      <c r="AF1392" s="130"/>
      <c r="AG1392" s="130"/>
      <c r="AH1392" s="130"/>
      <c r="AI1392" s="131"/>
      <c r="AJ1392" s="132"/>
      <c r="AK1392" s="127"/>
      <c r="AL1392" s="128"/>
      <c r="AM1392" s="21"/>
      <c r="AN1392" s="133">
        <v>45948</v>
      </c>
      <c r="AO1392" s="134"/>
      <c r="AP1392" s="135">
        <v>1272</v>
      </c>
      <c r="AQ1392" s="136"/>
      <c r="AR1392" s="118">
        <v>240000</v>
      </c>
      <c r="AS1392" s="119"/>
      <c r="AT1392" s="118">
        <f>AR1392*0.1</f>
        <v>24000</v>
      </c>
      <c r="AU1392" s="119"/>
      <c r="AV1392" s="118">
        <v>9470</v>
      </c>
      <c r="AW1392" s="119"/>
      <c r="AX1392" s="118">
        <f>SUM(AR1392:AW1392)</f>
        <v>273470</v>
      </c>
      <c r="AY1392" s="119"/>
      <c r="AZ1392" s="137">
        <v>45958</v>
      </c>
    </row>
    <row r="1393" spans="1:52" ht="17.100000000000001" customHeight="1" thickBot="1">
      <c r="A1393" s="110"/>
      <c r="B1393" s="27" t="s">
        <v>3281</v>
      </c>
      <c r="C1393" s="27">
        <v>2032</v>
      </c>
      <c r="D1393" s="14" t="s">
        <v>2040</v>
      </c>
      <c r="E1393" s="112"/>
      <c r="F1393" s="139" t="s">
        <v>4675</v>
      </c>
      <c r="G1393" s="140"/>
      <c r="H1393" s="141"/>
      <c r="I1393" s="26">
        <v>56404</v>
      </c>
      <c r="J1393" s="117"/>
      <c r="K1393" s="120"/>
      <c r="L1393" s="121"/>
      <c r="M1393" s="120"/>
      <c r="N1393" s="121"/>
      <c r="O1393" s="120"/>
      <c r="P1393" s="121"/>
      <c r="Q1393" s="120"/>
      <c r="R1393" s="121"/>
      <c r="S1393" s="120"/>
      <c r="T1393" s="121"/>
      <c r="U1393" s="120"/>
      <c r="V1393" s="123"/>
      <c r="W1393" s="125"/>
      <c r="X1393" s="142" t="s">
        <v>4676</v>
      </c>
      <c r="Y1393" s="143"/>
      <c r="Z1393" s="143"/>
      <c r="AA1393" s="143"/>
      <c r="AB1393" s="144"/>
      <c r="AC1393" s="16" t="s">
        <v>21</v>
      </c>
      <c r="AD1393" s="17" t="s">
        <v>2098</v>
      </c>
      <c r="AE1393" s="145" t="s">
        <v>2051</v>
      </c>
      <c r="AF1393" s="146"/>
      <c r="AG1393" s="146"/>
      <c r="AH1393" s="146"/>
      <c r="AI1393" s="147"/>
      <c r="AJ1393" s="148"/>
      <c r="AK1393" s="143"/>
      <c r="AL1393" s="144"/>
      <c r="AM1393" s="22"/>
      <c r="AN1393" s="149" t="s">
        <v>6748</v>
      </c>
      <c r="AO1393" s="144"/>
      <c r="AP1393" s="148">
        <v>60128</v>
      </c>
      <c r="AQ1393" s="144"/>
      <c r="AR1393" s="120"/>
      <c r="AS1393" s="121"/>
      <c r="AT1393" s="120"/>
      <c r="AU1393" s="121"/>
      <c r="AV1393" s="120"/>
      <c r="AW1393" s="121"/>
      <c r="AX1393" s="120"/>
      <c r="AY1393" s="121"/>
      <c r="AZ1393" s="138"/>
    </row>
    <row r="1394" spans="1:52" ht="17.100000000000001" customHeight="1" thickTop="1">
      <c r="A1394" s="109" t="s">
        <v>6434</v>
      </c>
      <c r="B1394" s="28">
        <v>45911</v>
      </c>
      <c r="C1394" s="25">
        <v>2125</v>
      </c>
      <c r="D1394" s="13" t="s">
        <v>2963</v>
      </c>
      <c r="E1394" s="111"/>
      <c r="F1394" s="113" t="s">
        <v>4677</v>
      </c>
      <c r="G1394" s="114"/>
      <c r="H1394" s="115"/>
      <c r="I1394" s="24" t="s">
        <v>4678</v>
      </c>
      <c r="J1394" s="116">
        <v>4.5</v>
      </c>
      <c r="K1394" s="118">
        <v>1031000</v>
      </c>
      <c r="L1394" s="119"/>
      <c r="M1394" s="118">
        <f>K1394*0.1</f>
        <v>103100</v>
      </c>
      <c r="N1394" s="119"/>
      <c r="O1394" s="118">
        <v>0</v>
      </c>
      <c r="P1394" s="119"/>
      <c r="Q1394" s="118">
        <v>7150</v>
      </c>
      <c r="R1394" s="119"/>
      <c r="S1394" s="118">
        <v>13750</v>
      </c>
      <c r="T1394" s="119"/>
      <c r="U1394" s="118">
        <f>SUM(K1394:T1395)</f>
        <v>1155000</v>
      </c>
      <c r="V1394" s="122"/>
      <c r="W1394" s="124"/>
      <c r="X1394" s="126" t="s">
        <v>4679</v>
      </c>
      <c r="Y1394" s="127"/>
      <c r="Z1394" s="127"/>
      <c r="AA1394" s="127"/>
      <c r="AB1394" s="128"/>
      <c r="AC1394" s="15" t="s">
        <v>20</v>
      </c>
      <c r="AD1394" s="129"/>
      <c r="AE1394" s="130"/>
      <c r="AF1394" s="130"/>
      <c r="AG1394" s="130"/>
      <c r="AH1394" s="130"/>
      <c r="AI1394" s="131"/>
      <c r="AJ1394" s="132"/>
      <c r="AK1394" s="127"/>
      <c r="AL1394" s="128"/>
      <c r="AM1394" s="21" t="s">
        <v>7355</v>
      </c>
      <c r="AN1394" s="133">
        <v>45934</v>
      </c>
      <c r="AO1394" s="134"/>
      <c r="AP1394" s="135">
        <v>1270</v>
      </c>
      <c r="AQ1394" s="136"/>
      <c r="AR1394" s="118">
        <v>1105000</v>
      </c>
      <c r="AS1394" s="119"/>
      <c r="AT1394" s="118">
        <f>AR1394*0.1</f>
        <v>110500</v>
      </c>
      <c r="AU1394" s="119"/>
      <c r="AV1394" s="118">
        <v>7150</v>
      </c>
      <c r="AW1394" s="119"/>
      <c r="AX1394" s="118">
        <f>SUM(AR1394:AW1394)</f>
        <v>1222650</v>
      </c>
      <c r="AY1394" s="119"/>
      <c r="AZ1394" s="137">
        <v>45939</v>
      </c>
    </row>
    <row r="1395" spans="1:52" ht="17.100000000000001" customHeight="1" thickBot="1">
      <c r="A1395" s="110"/>
      <c r="B1395" s="27" t="s">
        <v>3281</v>
      </c>
      <c r="C1395" s="27">
        <v>2504</v>
      </c>
      <c r="D1395" s="14" t="s">
        <v>275</v>
      </c>
      <c r="E1395" s="112"/>
      <c r="F1395" s="139" t="s">
        <v>4680</v>
      </c>
      <c r="G1395" s="140"/>
      <c r="H1395" s="141"/>
      <c r="I1395" s="26">
        <v>29339</v>
      </c>
      <c r="J1395" s="117"/>
      <c r="K1395" s="120"/>
      <c r="L1395" s="121"/>
      <c r="M1395" s="120"/>
      <c r="N1395" s="121"/>
      <c r="O1395" s="120"/>
      <c r="P1395" s="121"/>
      <c r="Q1395" s="120"/>
      <c r="R1395" s="121"/>
      <c r="S1395" s="120"/>
      <c r="T1395" s="121"/>
      <c r="U1395" s="120"/>
      <c r="V1395" s="123"/>
      <c r="W1395" s="125"/>
      <c r="X1395" s="142" t="s">
        <v>4681</v>
      </c>
      <c r="Y1395" s="143"/>
      <c r="Z1395" s="143"/>
      <c r="AA1395" s="143"/>
      <c r="AB1395" s="144"/>
      <c r="AC1395" s="16" t="s">
        <v>21</v>
      </c>
      <c r="AD1395" s="17" t="s">
        <v>1595</v>
      </c>
      <c r="AE1395" s="145" t="s">
        <v>4682</v>
      </c>
      <c r="AF1395" s="146"/>
      <c r="AG1395" s="146"/>
      <c r="AH1395" s="146"/>
      <c r="AI1395" s="147"/>
      <c r="AJ1395" s="148"/>
      <c r="AK1395" s="143"/>
      <c r="AL1395" s="144"/>
      <c r="AM1395" s="22"/>
      <c r="AN1395" s="149" t="s">
        <v>7284</v>
      </c>
      <c r="AO1395" s="144"/>
      <c r="AP1395" s="148">
        <v>60279</v>
      </c>
      <c r="AQ1395" s="144"/>
      <c r="AR1395" s="120"/>
      <c r="AS1395" s="121"/>
      <c r="AT1395" s="120"/>
      <c r="AU1395" s="121"/>
      <c r="AV1395" s="120"/>
      <c r="AW1395" s="121"/>
      <c r="AX1395" s="120"/>
      <c r="AY1395" s="121"/>
      <c r="AZ1395" s="138"/>
    </row>
    <row r="1396" spans="1:52" ht="17.100000000000001" customHeight="1" thickTop="1">
      <c r="A1396" s="109" t="s">
        <v>6435</v>
      </c>
      <c r="B1396" s="28">
        <v>45911</v>
      </c>
      <c r="C1396" s="25">
        <v>2125</v>
      </c>
      <c r="D1396" s="13" t="s">
        <v>1651</v>
      </c>
      <c r="E1396" s="111"/>
      <c r="F1396" s="113" t="s">
        <v>4683</v>
      </c>
      <c r="G1396" s="114"/>
      <c r="H1396" s="115"/>
      <c r="I1396" s="24" t="s">
        <v>4684</v>
      </c>
      <c r="J1396" s="116">
        <v>4</v>
      </c>
      <c r="K1396" s="118">
        <v>1220000</v>
      </c>
      <c r="L1396" s="119"/>
      <c r="M1396" s="118">
        <f>K1396*0.1</f>
        <v>122000</v>
      </c>
      <c r="N1396" s="119"/>
      <c r="O1396" s="118">
        <v>0</v>
      </c>
      <c r="P1396" s="119"/>
      <c r="Q1396" s="118">
        <v>8630</v>
      </c>
      <c r="R1396" s="119"/>
      <c r="S1396" s="118">
        <v>13750</v>
      </c>
      <c r="T1396" s="119"/>
      <c r="U1396" s="118">
        <f>SUM(K1396:T1397)</f>
        <v>1364380</v>
      </c>
      <c r="V1396" s="122"/>
      <c r="W1396" s="124"/>
      <c r="X1396" s="126" t="s">
        <v>4685</v>
      </c>
      <c r="Y1396" s="127"/>
      <c r="Z1396" s="127"/>
      <c r="AA1396" s="127"/>
      <c r="AB1396" s="128"/>
      <c r="AC1396" s="15" t="s">
        <v>20</v>
      </c>
      <c r="AD1396" s="129" t="s">
        <v>1945</v>
      </c>
      <c r="AE1396" s="130"/>
      <c r="AF1396" s="130"/>
      <c r="AG1396" s="130"/>
      <c r="AH1396" s="130"/>
      <c r="AI1396" s="131"/>
      <c r="AJ1396" s="132"/>
      <c r="AK1396" s="127"/>
      <c r="AL1396" s="128"/>
      <c r="AM1396" s="21" t="s">
        <v>8307</v>
      </c>
      <c r="AN1396" s="133">
        <v>46071</v>
      </c>
      <c r="AO1396" s="134"/>
      <c r="AP1396" s="135">
        <v>1005</v>
      </c>
      <c r="AQ1396" s="136"/>
      <c r="AR1396" s="118">
        <v>1210000</v>
      </c>
      <c r="AS1396" s="119"/>
      <c r="AT1396" s="118">
        <f>AR1396*0.1</f>
        <v>121000</v>
      </c>
      <c r="AU1396" s="119"/>
      <c r="AV1396" s="118">
        <v>8630</v>
      </c>
      <c r="AW1396" s="119"/>
      <c r="AX1396" s="118">
        <f>SUM(AR1396:AW1396)</f>
        <v>1339630</v>
      </c>
      <c r="AY1396" s="119"/>
      <c r="AZ1396" s="137">
        <v>46073</v>
      </c>
    </row>
    <row r="1397" spans="1:52" ht="17.100000000000001" customHeight="1" thickBot="1">
      <c r="A1397" s="110"/>
      <c r="B1397" s="27" t="s">
        <v>3281</v>
      </c>
      <c r="C1397" s="27">
        <v>2509</v>
      </c>
      <c r="D1397" s="14" t="s">
        <v>1576</v>
      </c>
      <c r="E1397" s="112"/>
      <c r="F1397" s="139" t="s">
        <v>8306</v>
      </c>
      <c r="G1397" s="140"/>
      <c r="H1397" s="141"/>
      <c r="I1397" s="26">
        <v>43631</v>
      </c>
      <c r="J1397" s="117"/>
      <c r="K1397" s="120"/>
      <c r="L1397" s="121"/>
      <c r="M1397" s="120"/>
      <c r="N1397" s="121"/>
      <c r="O1397" s="120"/>
      <c r="P1397" s="121"/>
      <c r="Q1397" s="120"/>
      <c r="R1397" s="121"/>
      <c r="S1397" s="120"/>
      <c r="T1397" s="121"/>
      <c r="U1397" s="120"/>
      <c r="V1397" s="123"/>
      <c r="W1397" s="125"/>
      <c r="X1397" s="142" t="s">
        <v>4686</v>
      </c>
      <c r="Y1397" s="143"/>
      <c r="Z1397" s="143"/>
      <c r="AA1397" s="143"/>
      <c r="AB1397" s="144"/>
      <c r="AC1397" s="16" t="s">
        <v>21</v>
      </c>
      <c r="AD1397" s="17" t="s">
        <v>1595</v>
      </c>
      <c r="AE1397" s="145" t="s">
        <v>1945</v>
      </c>
      <c r="AF1397" s="146"/>
      <c r="AG1397" s="146"/>
      <c r="AH1397" s="146"/>
      <c r="AI1397" s="147"/>
      <c r="AJ1397" s="148"/>
      <c r="AK1397" s="143"/>
      <c r="AL1397" s="144"/>
      <c r="AM1397" s="22"/>
      <c r="AN1397" s="149" t="s">
        <v>2794</v>
      </c>
      <c r="AO1397" s="144"/>
      <c r="AP1397" s="148">
        <v>2038</v>
      </c>
      <c r="AQ1397" s="144"/>
      <c r="AR1397" s="120"/>
      <c r="AS1397" s="121"/>
      <c r="AT1397" s="120"/>
      <c r="AU1397" s="121"/>
      <c r="AV1397" s="120"/>
      <c r="AW1397" s="121"/>
      <c r="AX1397" s="120"/>
      <c r="AY1397" s="121"/>
      <c r="AZ1397" s="138"/>
    </row>
    <row r="1398" spans="1:52" ht="17.100000000000001" customHeight="1" thickTop="1">
      <c r="A1398" s="109" t="s">
        <v>6436</v>
      </c>
      <c r="B1398" s="28">
        <v>45911</v>
      </c>
      <c r="C1398" s="25">
        <v>2125</v>
      </c>
      <c r="D1398" s="13" t="s">
        <v>1977</v>
      </c>
      <c r="E1398" s="111"/>
      <c r="F1398" s="113" t="s">
        <v>4687</v>
      </c>
      <c r="G1398" s="114"/>
      <c r="H1398" s="115"/>
      <c r="I1398" s="24" t="s">
        <v>4212</v>
      </c>
      <c r="J1398" s="116">
        <v>4.5</v>
      </c>
      <c r="K1398" s="118">
        <v>1040000</v>
      </c>
      <c r="L1398" s="119"/>
      <c r="M1398" s="118">
        <f>K1398*0.1</f>
        <v>104000</v>
      </c>
      <c r="N1398" s="119"/>
      <c r="O1398" s="118">
        <v>0</v>
      </c>
      <c r="P1398" s="119"/>
      <c r="Q1398" s="118">
        <v>8430</v>
      </c>
      <c r="R1398" s="119"/>
      <c r="S1398" s="118">
        <v>13750</v>
      </c>
      <c r="T1398" s="119"/>
      <c r="U1398" s="118">
        <f>SUM(K1398:T1399)</f>
        <v>1166180</v>
      </c>
      <c r="V1398" s="122"/>
      <c r="W1398" s="124"/>
      <c r="X1398" s="126" t="s">
        <v>4688</v>
      </c>
      <c r="Y1398" s="127"/>
      <c r="Z1398" s="127"/>
      <c r="AA1398" s="127"/>
      <c r="AB1398" s="128"/>
      <c r="AC1398" s="15" t="s">
        <v>20</v>
      </c>
      <c r="AD1398" s="129" t="s">
        <v>1565</v>
      </c>
      <c r="AE1398" s="130"/>
      <c r="AF1398" s="130"/>
      <c r="AG1398" s="130"/>
      <c r="AH1398" s="130"/>
      <c r="AI1398" s="131"/>
      <c r="AJ1398" s="132"/>
      <c r="AK1398" s="127"/>
      <c r="AL1398" s="128"/>
      <c r="AM1398" s="21" t="s">
        <v>8305</v>
      </c>
      <c r="AN1398" s="133">
        <v>45941</v>
      </c>
      <c r="AO1398" s="134"/>
      <c r="AP1398" s="135">
        <v>1271</v>
      </c>
      <c r="AQ1398" s="136"/>
      <c r="AR1398" s="118">
        <v>1140000</v>
      </c>
      <c r="AS1398" s="119"/>
      <c r="AT1398" s="118">
        <f>AR1398*0.1</f>
        <v>114000</v>
      </c>
      <c r="AU1398" s="119"/>
      <c r="AV1398" s="118">
        <v>8430</v>
      </c>
      <c r="AW1398" s="119"/>
      <c r="AX1398" s="118">
        <f>SUM(AR1398:AW1398)</f>
        <v>1262430</v>
      </c>
      <c r="AY1398" s="119"/>
      <c r="AZ1398" s="137">
        <v>45950</v>
      </c>
    </row>
    <row r="1399" spans="1:52" ht="17.100000000000001" customHeight="1" thickBot="1">
      <c r="A1399" s="110"/>
      <c r="B1399" s="27" t="s">
        <v>3281</v>
      </c>
      <c r="C1399" s="27">
        <v>2559</v>
      </c>
      <c r="D1399" s="14" t="s">
        <v>275</v>
      </c>
      <c r="E1399" s="112"/>
      <c r="F1399" s="139" t="s">
        <v>4689</v>
      </c>
      <c r="G1399" s="140"/>
      <c r="H1399" s="141"/>
      <c r="I1399" s="26">
        <v>8709</v>
      </c>
      <c r="J1399" s="117"/>
      <c r="K1399" s="120"/>
      <c r="L1399" s="121"/>
      <c r="M1399" s="120"/>
      <c r="N1399" s="121"/>
      <c r="O1399" s="120"/>
      <c r="P1399" s="121"/>
      <c r="Q1399" s="120"/>
      <c r="R1399" s="121"/>
      <c r="S1399" s="120"/>
      <c r="T1399" s="121"/>
      <c r="U1399" s="120"/>
      <c r="V1399" s="123"/>
      <c r="W1399" s="125"/>
      <c r="X1399" s="142" t="s">
        <v>4690</v>
      </c>
      <c r="Y1399" s="143"/>
      <c r="Z1399" s="143"/>
      <c r="AA1399" s="143"/>
      <c r="AB1399" s="144"/>
      <c r="AC1399" s="16" t="s">
        <v>21</v>
      </c>
      <c r="AD1399" s="17" t="s">
        <v>1595</v>
      </c>
      <c r="AE1399" s="145" t="s">
        <v>4691</v>
      </c>
      <c r="AF1399" s="146"/>
      <c r="AG1399" s="146"/>
      <c r="AH1399" s="146"/>
      <c r="AI1399" s="147"/>
      <c r="AJ1399" s="148"/>
      <c r="AK1399" s="143"/>
      <c r="AL1399" s="144"/>
      <c r="AM1399" s="22"/>
      <c r="AN1399" s="149" t="s">
        <v>2511</v>
      </c>
      <c r="AO1399" s="144"/>
      <c r="AP1399" s="148">
        <v>60260</v>
      </c>
      <c r="AQ1399" s="144"/>
      <c r="AR1399" s="120"/>
      <c r="AS1399" s="121"/>
      <c r="AT1399" s="120"/>
      <c r="AU1399" s="121"/>
      <c r="AV1399" s="120"/>
      <c r="AW1399" s="121"/>
      <c r="AX1399" s="120"/>
      <c r="AY1399" s="121"/>
      <c r="AZ1399" s="138"/>
    </row>
    <row r="1400" spans="1:52" ht="17.100000000000001" customHeight="1" thickTop="1">
      <c r="A1400" s="109" t="s">
        <v>6437</v>
      </c>
      <c r="B1400" s="28">
        <v>45911</v>
      </c>
      <c r="C1400" s="25">
        <v>2125</v>
      </c>
      <c r="D1400" s="13" t="s">
        <v>3014</v>
      </c>
      <c r="E1400" s="111"/>
      <c r="F1400" s="113" t="s">
        <v>4692</v>
      </c>
      <c r="G1400" s="114"/>
      <c r="H1400" s="115"/>
      <c r="I1400" s="24"/>
      <c r="J1400" s="116">
        <v>4</v>
      </c>
      <c r="K1400" s="118">
        <v>1083000</v>
      </c>
      <c r="L1400" s="119"/>
      <c r="M1400" s="118">
        <f>K1400*0.1</f>
        <v>108300</v>
      </c>
      <c r="N1400" s="119"/>
      <c r="O1400" s="118">
        <v>0</v>
      </c>
      <c r="P1400" s="119"/>
      <c r="Q1400" s="118">
        <v>7340</v>
      </c>
      <c r="R1400" s="119"/>
      <c r="S1400" s="118">
        <v>13750</v>
      </c>
      <c r="T1400" s="119"/>
      <c r="U1400" s="118">
        <f>SUM(K1400:T1401)</f>
        <v>1212390</v>
      </c>
      <c r="V1400" s="122"/>
      <c r="W1400" s="124"/>
      <c r="X1400" s="126" t="s">
        <v>4693</v>
      </c>
      <c r="Y1400" s="127"/>
      <c r="Z1400" s="127"/>
      <c r="AA1400" s="127"/>
      <c r="AB1400" s="128"/>
      <c r="AC1400" s="15" t="s">
        <v>20</v>
      </c>
      <c r="AD1400" s="129" t="s">
        <v>4694</v>
      </c>
      <c r="AE1400" s="130"/>
      <c r="AF1400" s="130"/>
      <c r="AG1400" s="130"/>
      <c r="AH1400" s="130"/>
      <c r="AI1400" s="131"/>
      <c r="AJ1400" s="132"/>
      <c r="AK1400" s="127"/>
      <c r="AL1400" s="128"/>
      <c r="AM1400" s="21"/>
      <c r="AN1400" s="133">
        <v>45948</v>
      </c>
      <c r="AO1400" s="134"/>
      <c r="AP1400" s="135">
        <v>1272</v>
      </c>
      <c r="AQ1400" s="136"/>
      <c r="AR1400" s="118">
        <v>1145000</v>
      </c>
      <c r="AS1400" s="119"/>
      <c r="AT1400" s="118">
        <f>AR1400*0.1</f>
        <v>114500</v>
      </c>
      <c r="AU1400" s="119"/>
      <c r="AV1400" s="118">
        <v>7340</v>
      </c>
      <c r="AW1400" s="119"/>
      <c r="AX1400" s="118">
        <f>SUM(AR1400:AW1400)</f>
        <v>1266840</v>
      </c>
      <c r="AY1400" s="119"/>
      <c r="AZ1400" s="137">
        <v>45952</v>
      </c>
    </row>
    <row r="1401" spans="1:52" ht="17.100000000000001" customHeight="1" thickBot="1">
      <c r="A1401" s="110"/>
      <c r="B1401" s="27" t="s">
        <v>3281</v>
      </c>
      <c r="C1401" s="27">
        <v>2561</v>
      </c>
      <c r="D1401" s="14" t="s">
        <v>275</v>
      </c>
      <c r="E1401" s="112"/>
      <c r="F1401" s="139" t="s">
        <v>4695</v>
      </c>
      <c r="G1401" s="140"/>
      <c r="H1401" s="141"/>
      <c r="I1401" s="26">
        <v>21272</v>
      </c>
      <c r="J1401" s="117"/>
      <c r="K1401" s="120"/>
      <c r="L1401" s="121"/>
      <c r="M1401" s="120"/>
      <c r="N1401" s="121"/>
      <c r="O1401" s="120"/>
      <c r="P1401" s="121"/>
      <c r="Q1401" s="120"/>
      <c r="R1401" s="121"/>
      <c r="S1401" s="120"/>
      <c r="T1401" s="121"/>
      <c r="U1401" s="120"/>
      <c r="V1401" s="123"/>
      <c r="W1401" s="125"/>
      <c r="X1401" s="142" t="s">
        <v>4696</v>
      </c>
      <c r="Y1401" s="143"/>
      <c r="Z1401" s="143"/>
      <c r="AA1401" s="143"/>
      <c r="AB1401" s="144"/>
      <c r="AC1401" s="16" t="s">
        <v>21</v>
      </c>
      <c r="AD1401" s="17" t="s">
        <v>1595</v>
      </c>
      <c r="AE1401" s="145" t="s">
        <v>4697</v>
      </c>
      <c r="AF1401" s="146"/>
      <c r="AG1401" s="146"/>
      <c r="AH1401" s="146"/>
      <c r="AI1401" s="147"/>
      <c r="AJ1401" s="148"/>
      <c r="AK1401" s="143"/>
      <c r="AL1401" s="144"/>
      <c r="AM1401" s="22"/>
      <c r="AN1401" s="149" t="s">
        <v>2511</v>
      </c>
      <c r="AO1401" s="144"/>
      <c r="AP1401" s="148">
        <v>60235</v>
      </c>
      <c r="AQ1401" s="144"/>
      <c r="AR1401" s="120"/>
      <c r="AS1401" s="121"/>
      <c r="AT1401" s="120"/>
      <c r="AU1401" s="121"/>
      <c r="AV1401" s="120"/>
      <c r="AW1401" s="121"/>
      <c r="AX1401" s="120"/>
      <c r="AY1401" s="121"/>
      <c r="AZ1401" s="138"/>
    </row>
    <row r="1402" spans="1:52" ht="17.100000000000001" customHeight="1" thickTop="1">
      <c r="A1402" s="109" t="s">
        <v>6438</v>
      </c>
      <c r="B1402" s="28">
        <v>45911</v>
      </c>
      <c r="C1402" s="25">
        <v>2125</v>
      </c>
      <c r="D1402" s="13" t="s">
        <v>3014</v>
      </c>
      <c r="E1402" s="111"/>
      <c r="F1402" s="113" t="s">
        <v>2598</v>
      </c>
      <c r="G1402" s="114"/>
      <c r="H1402" s="115"/>
      <c r="I1402" s="24" t="s">
        <v>4698</v>
      </c>
      <c r="J1402" s="116">
        <v>4</v>
      </c>
      <c r="K1402" s="118">
        <v>1208000</v>
      </c>
      <c r="L1402" s="119"/>
      <c r="M1402" s="118">
        <f>K1402*0.1</f>
        <v>120800</v>
      </c>
      <c r="N1402" s="119"/>
      <c r="O1402" s="118">
        <v>0</v>
      </c>
      <c r="P1402" s="119"/>
      <c r="Q1402" s="118">
        <v>8390</v>
      </c>
      <c r="R1402" s="119"/>
      <c r="S1402" s="118">
        <v>13750</v>
      </c>
      <c r="T1402" s="119"/>
      <c r="U1402" s="118">
        <f>SUM(K1402:T1403)</f>
        <v>1350940</v>
      </c>
      <c r="V1402" s="122"/>
      <c r="W1402" s="124"/>
      <c r="X1402" s="126" t="s">
        <v>4699</v>
      </c>
      <c r="Y1402" s="127"/>
      <c r="Z1402" s="127"/>
      <c r="AA1402" s="127"/>
      <c r="AB1402" s="128"/>
      <c r="AC1402" s="15" t="s">
        <v>20</v>
      </c>
      <c r="AD1402" s="129" t="s">
        <v>4700</v>
      </c>
      <c r="AE1402" s="130"/>
      <c r="AF1402" s="130"/>
      <c r="AG1402" s="130"/>
      <c r="AH1402" s="130"/>
      <c r="AI1402" s="131"/>
      <c r="AJ1402" s="132"/>
      <c r="AK1402" s="127"/>
      <c r="AL1402" s="128"/>
      <c r="AM1402" s="21" t="s">
        <v>7712</v>
      </c>
      <c r="AN1402" s="133">
        <v>45959</v>
      </c>
      <c r="AO1402" s="134"/>
      <c r="AP1402" s="135">
        <v>990</v>
      </c>
      <c r="AQ1402" s="136"/>
      <c r="AR1402" s="118">
        <v>1280000</v>
      </c>
      <c r="AS1402" s="119"/>
      <c r="AT1402" s="118">
        <f>AR1402*0.1</f>
        <v>128000</v>
      </c>
      <c r="AU1402" s="119"/>
      <c r="AV1402" s="118">
        <v>8390</v>
      </c>
      <c r="AW1402" s="119"/>
      <c r="AX1402" s="118">
        <f>SUM(AR1402:AW1402)</f>
        <v>1416390</v>
      </c>
      <c r="AY1402" s="119"/>
      <c r="AZ1402" s="137">
        <v>45965</v>
      </c>
    </row>
    <row r="1403" spans="1:52" ht="17.100000000000001" customHeight="1" thickBot="1">
      <c r="A1403" s="110"/>
      <c r="B1403" s="27" t="s">
        <v>3281</v>
      </c>
      <c r="C1403" s="27">
        <v>2562</v>
      </c>
      <c r="D1403" s="14" t="s">
        <v>1812</v>
      </c>
      <c r="E1403" s="112"/>
      <c r="F1403" s="139" t="s">
        <v>4701</v>
      </c>
      <c r="G1403" s="140"/>
      <c r="H1403" s="141"/>
      <c r="I1403" s="26">
        <v>42630</v>
      </c>
      <c r="J1403" s="117"/>
      <c r="K1403" s="120"/>
      <c r="L1403" s="121"/>
      <c r="M1403" s="120"/>
      <c r="N1403" s="121"/>
      <c r="O1403" s="120"/>
      <c r="P1403" s="121"/>
      <c r="Q1403" s="120"/>
      <c r="R1403" s="121"/>
      <c r="S1403" s="120"/>
      <c r="T1403" s="121"/>
      <c r="U1403" s="120"/>
      <c r="V1403" s="123"/>
      <c r="W1403" s="125"/>
      <c r="X1403" s="142" t="s">
        <v>2321</v>
      </c>
      <c r="Y1403" s="143"/>
      <c r="Z1403" s="143"/>
      <c r="AA1403" s="143"/>
      <c r="AB1403" s="144"/>
      <c r="AC1403" s="16" t="s">
        <v>21</v>
      </c>
      <c r="AD1403" s="17" t="s">
        <v>1595</v>
      </c>
      <c r="AE1403" s="145" t="s">
        <v>4702</v>
      </c>
      <c r="AF1403" s="146"/>
      <c r="AG1403" s="146"/>
      <c r="AH1403" s="146"/>
      <c r="AI1403" s="147"/>
      <c r="AJ1403" s="148"/>
      <c r="AK1403" s="143"/>
      <c r="AL1403" s="144"/>
      <c r="AM1403" s="22"/>
      <c r="AN1403" s="149" t="s">
        <v>8809</v>
      </c>
      <c r="AO1403" s="144"/>
      <c r="AP1403" s="148">
        <v>2093</v>
      </c>
      <c r="AQ1403" s="144"/>
      <c r="AR1403" s="120"/>
      <c r="AS1403" s="121"/>
      <c r="AT1403" s="120"/>
      <c r="AU1403" s="121"/>
      <c r="AV1403" s="120"/>
      <c r="AW1403" s="121"/>
      <c r="AX1403" s="120"/>
      <c r="AY1403" s="121"/>
      <c r="AZ1403" s="138"/>
    </row>
    <row r="1404" spans="1:52" ht="17.100000000000001" customHeight="1" thickTop="1">
      <c r="A1404" s="109" t="s">
        <v>6439</v>
      </c>
      <c r="B1404" s="28">
        <v>45911</v>
      </c>
      <c r="C1404" s="25">
        <v>1721</v>
      </c>
      <c r="D1404" s="13" t="s">
        <v>2689</v>
      </c>
      <c r="E1404" s="111"/>
      <c r="F1404" s="113" t="s">
        <v>4703</v>
      </c>
      <c r="G1404" s="114"/>
      <c r="H1404" s="115"/>
      <c r="I1404" s="24" t="s">
        <v>4193</v>
      </c>
      <c r="J1404" s="116">
        <v>4</v>
      </c>
      <c r="K1404" s="118">
        <v>1271000</v>
      </c>
      <c r="L1404" s="119"/>
      <c r="M1404" s="118">
        <f>K1404*0.1</f>
        <v>127100</v>
      </c>
      <c r="N1404" s="119"/>
      <c r="O1404" s="118">
        <v>10800</v>
      </c>
      <c r="P1404" s="119"/>
      <c r="Q1404" s="118">
        <v>8550</v>
      </c>
      <c r="R1404" s="119"/>
      <c r="S1404" s="118">
        <v>15400</v>
      </c>
      <c r="T1404" s="119"/>
      <c r="U1404" s="118">
        <f>SUM(K1404:T1405)</f>
        <v>1432850</v>
      </c>
      <c r="V1404" s="122"/>
      <c r="W1404" s="124"/>
      <c r="X1404" s="126" t="s">
        <v>4704</v>
      </c>
      <c r="Y1404" s="127"/>
      <c r="Z1404" s="127"/>
      <c r="AA1404" s="127"/>
      <c r="AB1404" s="128"/>
      <c r="AC1404" s="15" t="s">
        <v>20</v>
      </c>
      <c r="AD1404" s="129" t="s">
        <v>4705</v>
      </c>
      <c r="AE1404" s="130"/>
      <c r="AF1404" s="130"/>
      <c r="AG1404" s="130"/>
      <c r="AH1404" s="130"/>
      <c r="AI1404" s="131"/>
      <c r="AJ1404" s="132"/>
      <c r="AK1404" s="127"/>
      <c r="AL1404" s="128"/>
      <c r="AM1404" s="21" t="s">
        <v>8318</v>
      </c>
      <c r="AN1404" s="133">
        <v>45941</v>
      </c>
      <c r="AO1404" s="134"/>
      <c r="AP1404" s="135">
        <v>1271</v>
      </c>
      <c r="AQ1404" s="136"/>
      <c r="AR1404" s="118">
        <v>1355000</v>
      </c>
      <c r="AS1404" s="119"/>
      <c r="AT1404" s="118">
        <f>AR1404*0.1</f>
        <v>135500</v>
      </c>
      <c r="AU1404" s="119"/>
      <c r="AV1404" s="118">
        <v>8550</v>
      </c>
      <c r="AW1404" s="119"/>
      <c r="AX1404" s="118">
        <f>SUM(AR1404:AW1404)</f>
        <v>1499050</v>
      </c>
      <c r="AY1404" s="119"/>
      <c r="AZ1404" s="137">
        <v>45950</v>
      </c>
    </row>
    <row r="1405" spans="1:52" ht="17.100000000000001" customHeight="1" thickBot="1">
      <c r="A1405" s="110"/>
      <c r="B1405" s="27" t="s">
        <v>4304</v>
      </c>
      <c r="C1405" s="27">
        <v>3010</v>
      </c>
      <c r="D1405" s="14" t="s">
        <v>2601</v>
      </c>
      <c r="E1405" s="112"/>
      <c r="F1405" s="139" t="s">
        <v>4706</v>
      </c>
      <c r="G1405" s="140"/>
      <c r="H1405" s="141"/>
      <c r="I1405" s="26">
        <v>50718</v>
      </c>
      <c r="J1405" s="117"/>
      <c r="K1405" s="120"/>
      <c r="L1405" s="121"/>
      <c r="M1405" s="120"/>
      <c r="N1405" s="121"/>
      <c r="O1405" s="120"/>
      <c r="P1405" s="121"/>
      <c r="Q1405" s="120"/>
      <c r="R1405" s="121"/>
      <c r="S1405" s="120"/>
      <c r="T1405" s="121"/>
      <c r="U1405" s="120"/>
      <c r="V1405" s="123"/>
      <c r="W1405" s="125"/>
      <c r="X1405" s="142" t="s">
        <v>4707</v>
      </c>
      <c r="Y1405" s="143"/>
      <c r="Z1405" s="143"/>
      <c r="AA1405" s="143"/>
      <c r="AB1405" s="144"/>
      <c r="AC1405" s="16" t="s">
        <v>21</v>
      </c>
      <c r="AD1405" s="17" t="s">
        <v>1595</v>
      </c>
      <c r="AE1405" s="145" t="s">
        <v>4708</v>
      </c>
      <c r="AF1405" s="146"/>
      <c r="AG1405" s="146"/>
      <c r="AH1405" s="146"/>
      <c r="AI1405" s="147"/>
      <c r="AJ1405" s="148"/>
      <c r="AK1405" s="143"/>
      <c r="AL1405" s="144"/>
      <c r="AM1405" s="22"/>
      <c r="AN1405" s="149" t="s">
        <v>2511</v>
      </c>
      <c r="AO1405" s="144"/>
      <c r="AP1405" s="148">
        <v>60245</v>
      </c>
      <c r="AQ1405" s="144"/>
      <c r="AR1405" s="120"/>
      <c r="AS1405" s="121"/>
      <c r="AT1405" s="120"/>
      <c r="AU1405" s="121"/>
      <c r="AV1405" s="120"/>
      <c r="AW1405" s="121"/>
      <c r="AX1405" s="120"/>
      <c r="AY1405" s="121"/>
      <c r="AZ1405" s="138"/>
    </row>
    <row r="1406" spans="1:52" ht="17.100000000000001" customHeight="1" thickTop="1">
      <c r="A1406" s="109" t="s">
        <v>6440</v>
      </c>
      <c r="B1406" s="28">
        <v>45912</v>
      </c>
      <c r="C1406" s="25">
        <v>1758</v>
      </c>
      <c r="D1406" s="13" t="s">
        <v>1597</v>
      </c>
      <c r="E1406" s="111"/>
      <c r="F1406" s="113" t="s">
        <v>1871</v>
      </c>
      <c r="G1406" s="114"/>
      <c r="H1406" s="115"/>
      <c r="I1406" s="24"/>
      <c r="J1406" s="116">
        <v>4</v>
      </c>
      <c r="K1406" s="118">
        <v>1291000</v>
      </c>
      <c r="L1406" s="119"/>
      <c r="M1406" s="118">
        <f>K1406*0.1</f>
        <v>129100</v>
      </c>
      <c r="N1406" s="119"/>
      <c r="O1406" s="118">
        <v>0</v>
      </c>
      <c r="P1406" s="119"/>
      <c r="Q1406" s="118">
        <v>17600</v>
      </c>
      <c r="R1406" s="119"/>
      <c r="S1406" s="118">
        <v>16500</v>
      </c>
      <c r="T1406" s="119"/>
      <c r="U1406" s="118">
        <f>SUM(K1406:T1407)</f>
        <v>1454200</v>
      </c>
      <c r="V1406" s="122"/>
      <c r="W1406" s="124"/>
      <c r="X1406" s="126" t="s">
        <v>4709</v>
      </c>
      <c r="Y1406" s="127"/>
      <c r="Z1406" s="127"/>
      <c r="AA1406" s="127"/>
      <c r="AB1406" s="128"/>
      <c r="AC1406" s="15" t="s">
        <v>20</v>
      </c>
      <c r="AD1406" s="129" t="s">
        <v>2781</v>
      </c>
      <c r="AE1406" s="130"/>
      <c r="AF1406" s="130"/>
      <c r="AG1406" s="130"/>
      <c r="AH1406" s="130"/>
      <c r="AI1406" s="131"/>
      <c r="AJ1406" s="132"/>
      <c r="AK1406" s="127"/>
      <c r="AL1406" s="128"/>
      <c r="AM1406" s="21"/>
      <c r="AN1406" s="133">
        <v>45941</v>
      </c>
      <c r="AO1406" s="134"/>
      <c r="AP1406" s="135">
        <v>1271</v>
      </c>
      <c r="AQ1406" s="136"/>
      <c r="AR1406" s="118">
        <v>1445000</v>
      </c>
      <c r="AS1406" s="119"/>
      <c r="AT1406" s="118">
        <f>AR1406*0.1</f>
        <v>144500</v>
      </c>
      <c r="AU1406" s="119"/>
      <c r="AV1406" s="118">
        <v>17600</v>
      </c>
      <c r="AW1406" s="119"/>
      <c r="AX1406" s="118">
        <f>SUM(AR1406:AW1406)</f>
        <v>1607100</v>
      </c>
      <c r="AY1406" s="119"/>
      <c r="AZ1406" s="137">
        <v>45944</v>
      </c>
    </row>
    <row r="1407" spans="1:52" ht="17.100000000000001" customHeight="1" thickBot="1">
      <c r="A1407" s="110"/>
      <c r="B1407" s="27" t="s">
        <v>2492</v>
      </c>
      <c r="C1407" s="27">
        <v>3405</v>
      </c>
      <c r="D1407" s="14" t="s">
        <v>1576</v>
      </c>
      <c r="E1407" s="112"/>
      <c r="F1407" s="139" t="s">
        <v>4710</v>
      </c>
      <c r="G1407" s="140"/>
      <c r="H1407" s="141"/>
      <c r="I1407" s="26">
        <v>25688</v>
      </c>
      <c r="J1407" s="117"/>
      <c r="K1407" s="120"/>
      <c r="L1407" s="121"/>
      <c r="M1407" s="120"/>
      <c r="N1407" s="121"/>
      <c r="O1407" s="120"/>
      <c r="P1407" s="121"/>
      <c r="Q1407" s="120"/>
      <c r="R1407" s="121"/>
      <c r="S1407" s="120"/>
      <c r="T1407" s="121"/>
      <c r="U1407" s="120"/>
      <c r="V1407" s="123"/>
      <c r="W1407" s="125"/>
      <c r="X1407" s="142" t="s">
        <v>4711</v>
      </c>
      <c r="Y1407" s="143"/>
      <c r="Z1407" s="143"/>
      <c r="AA1407" s="143"/>
      <c r="AB1407" s="144"/>
      <c r="AC1407" s="16" t="s">
        <v>21</v>
      </c>
      <c r="AD1407" s="17" t="s">
        <v>1595</v>
      </c>
      <c r="AE1407" s="145" t="s">
        <v>1742</v>
      </c>
      <c r="AF1407" s="146"/>
      <c r="AG1407" s="146"/>
      <c r="AH1407" s="146"/>
      <c r="AI1407" s="147"/>
      <c r="AJ1407" s="148"/>
      <c r="AK1407" s="143"/>
      <c r="AL1407" s="144"/>
      <c r="AM1407" s="22"/>
      <c r="AN1407" s="149" t="s">
        <v>2511</v>
      </c>
      <c r="AO1407" s="144"/>
      <c r="AP1407" s="148">
        <v>80227</v>
      </c>
      <c r="AQ1407" s="144"/>
      <c r="AR1407" s="120"/>
      <c r="AS1407" s="121"/>
      <c r="AT1407" s="120"/>
      <c r="AU1407" s="121"/>
      <c r="AV1407" s="120"/>
      <c r="AW1407" s="121"/>
      <c r="AX1407" s="120"/>
      <c r="AY1407" s="121"/>
      <c r="AZ1407" s="138"/>
    </row>
    <row r="1408" spans="1:52" ht="17.100000000000001" customHeight="1" thickTop="1">
      <c r="A1408" s="109" t="s">
        <v>6441</v>
      </c>
      <c r="B1408" s="28">
        <v>45912</v>
      </c>
      <c r="C1408" s="25">
        <v>1758</v>
      </c>
      <c r="D1408" s="13" t="s">
        <v>1853</v>
      </c>
      <c r="E1408" s="111"/>
      <c r="F1408" s="113" t="s">
        <v>4712</v>
      </c>
      <c r="G1408" s="114"/>
      <c r="H1408" s="115"/>
      <c r="I1408" s="24"/>
      <c r="J1408" s="116">
        <v>5</v>
      </c>
      <c r="K1408" s="118">
        <v>1231000</v>
      </c>
      <c r="L1408" s="119"/>
      <c r="M1408" s="118">
        <f>K1408*0.1</f>
        <v>123100</v>
      </c>
      <c r="N1408" s="119"/>
      <c r="O1408" s="118">
        <v>0</v>
      </c>
      <c r="P1408" s="119"/>
      <c r="Q1408" s="118">
        <v>12470</v>
      </c>
      <c r="R1408" s="119"/>
      <c r="S1408" s="118">
        <v>17600</v>
      </c>
      <c r="T1408" s="119"/>
      <c r="U1408" s="118">
        <f>SUM(K1408:T1409)</f>
        <v>1384170</v>
      </c>
      <c r="V1408" s="122"/>
      <c r="W1408" s="124"/>
      <c r="X1408" s="126" t="s">
        <v>4713</v>
      </c>
      <c r="Y1408" s="127"/>
      <c r="Z1408" s="127"/>
      <c r="AA1408" s="127"/>
      <c r="AB1408" s="128"/>
      <c r="AC1408" s="15" t="s">
        <v>20</v>
      </c>
      <c r="AD1408" s="129" t="s">
        <v>171</v>
      </c>
      <c r="AE1408" s="130"/>
      <c r="AF1408" s="130"/>
      <c r="AG1408" s="130"/>
      <c r="AH1408" s="130"/>
      <c r="AI1408" s="131"/>
      <c r="AJ1408" s="132"/>
      <c r="AK1408" s="127"/>
      <c r="AL1408" s="128"/>
      <c r="AM1408" s="21"/>
      <c r="AN1408" s="133"/>
      <c r="AO1408" s="134"/>
      <c r="AP1408" s="135"/>
      <c r="AQ1408" s="136"/>
      <c r="AR1408" s="118"/>
      <c r="AS1408" s="119"/>
      <c r="AT1408" s="118">
        <f>AR1408*0.1</f>
        <v>0</v>
      </c>
      <c r="AU1408" s="119"/>
      <c r="AV1408" s="118"/>
      <c r="AW1408" s="119"/>
      <c r="AX1408" s="118">
        <f>SUM(AR1408:AW1408)</f>
        <v>0</v>
      </c>
      <c r="AY1408" s="119"/>
      <c r="AZ1408" s="137"/>
    </row>
    <row r="1409" spans="1:52" ht="17.100000000000001" customHeight="1" thickBot="1">
      <c r="A1409" s="110"/>
      <c r="B1409" s="27" t="s">
        <v>2492</v>
      </c>
      <c r="C1409" s="27">
        <v>5002</v>
      </c>
      <c r="D1409" s="14" t="s">
        <v>133</v>
      </c>
      <c r="E1409" s="112"/>
      <c r="F1409" s="139" t="s">
        <v>4714</v>
      </c>
      <c r="G1409" s="140"/>
      <c r="H1409" s="141"/>
      <c r="I1409" s="26">
        <v>24762</v>
      </c>
      <c r="J1409" s="117"/>
      <c r="K1409" s="120"/>
      <c r="L1409" s="121"/>
      <c r="M1409" s="120"/>
      <c r="N1409" s="121"/>
      <c r="O1409" s="120"/>
      <c r="P1409" s="121"/>
      <c r="Q1409" s="120"/>
      <c r="R1409" s="121"/>
      <c r="S1409" s="120"/>
      <c r="T1409" s="121"/>
      <c r="U1409" s="120"/>
      <c r="V1409" s="123"/>
      <c r="W1409" s="125"/>
      <c r="X1409" s="142" t="s">
        <v>4715</v>
      </c>
      <c r="Y1409" s="143"/>
      <c r="Z1409" s="143"/>
      <c r="AA1409" s="143"/>
      <c r="AB1409" s="144"/>
      <c r="AC1409" s="16" t="s">
        <v>21</v>
      </c>
      <c r="AD1409" s="17" t="s">
        <v>1595</v>
      </c>
      <c r="AE1409" s="145" t="s">
        <v>1742</v>
      </c>
      <c r="AF1409" s="146"/>
      <c r="AG1409" s="146"/>
      <c r="AH1409" s="146"/>
      <c r="AI1409" s="147"/>
      <c r="AJ1409" s="148"/>
      <c r="AK1409" s="143"/>
      <c r="AL1409" s="144"/>
      <c r="AM1409" s="22"/>
      <c r="AN1409" s="149"/>
      <c r="AO1409" s="144"/>
      <c r="AP1409" s="148"/>
      <c r="AQ1409" s="144"/>
      <c r="AR1409" s="120"/>
      <c r="AS1409" s="121"/>
      <c r="AT1409" s="120"/>
      <c r="AU1409" s="121"/>
      <c r="AV1409" s="120"/>
      <c r="AW1409" s="121"/>
      <c r="AX1409" s="120"/>
      <c r="AY1409" s="121"/>
      <c r="AZ1409" s="138"/>
    </row>
    <row r="1410" spans="1:52" ht="17.100000000000001" customHeight="1" thickTop="1">
      <c r="A1410" s="109" t="s">
        <v>6442</v>
      </c>
      <c r="B1410" s="28">
        <v>45912</v>
      </c>
      <c r="C1410" s="25">
        <v>2101</v>
      </c>
      <c r="D1410" s="13" t="s">
        <v>1853</v>
      </c>
      <c r="E1410" s="111"/>
      <c r="F1410" s="113" t="s">
        <v>4716</v>
      </c>
      <c r="G1410" s="114"/>
      <c r="H1410" s="115"/>
      <c r="I1410" s="24" t="s">
        <v>4717</v>
      </c>
      <c r="J1410" s="116">
        <v>4</v>
      </c>
      <c r="K1410" s="118">
        <v>775000</v>
      </c>
      <c r="L1410" s="119"/>
      <c r="M1410" s="118">
        <f>K1410*0.1</f>
        <v>77500</v>
      </c>
      <c r="N1410" s="119"/>
      <c r="O1410" s="118">
        <v>0</v>
      </c>
      <c r="P1410" s="119"/>
      <c r="Q1410" s="118">
        <v>7150</v>
      </c>
      <c r="R1410" s="119"/>
      <c r="S1410" s="118">
        <v>16500</v>
      </c>
      <c r="T1410" s="119"/>
      <c r="U1410" s="118">
        <f>SUM(K1410:T1411)</f>
        <v>876150</v>
      </c>
      <c r="V1410" s="122"/>
      <c r="W1410" s="124"/>
      <c r="X1410" s="126" t="s">
        <v>4718</v>
      </c>
      <c r="Y1410" s="127"/>
      <c r="Z1410" s="127"/>
      <c r="AA1410" s="127"/>
      <c r="AB1410" s="128"/>
      <c r="AC1410" s="15" t="s">
        <v>20</v>
      </c>
      <c r="AD1410" s="129" t="s">
        <v>1670</v>
      </c>
      <c r="AE1410" s="130"/>
      <c r="AF1410" s="130"/>
      <c r="AG1410" s="130"/>
      <c r="AH1410" s="130"/>
      <c r="AI1410" s="131"/>
      <c r="AJ1410" s="132"/>
      <c r="AK1410" s="127"/>
      <c r="AL1410" s="128"/>
      <c r="AM1410" s="21"/>
      <c r="AN1410" s="133">
        <v>45969</v>
      </c>
      <c r="AO1410" s="134"/>
      <c r="AP1410" s="135">
        <v>1275</v>
      </c>
      <c r="AQ1410" s="136"/>
      <c r="AR1410" s="118">
        <v>850000</v>
      </c>
      <c r="AS1410" s="119"/>
      <c r="AT1410" s="118">
        <f>AR1410*0.1</f>
        <v>85000</v>
      </c>
      <c r="AU1410" s="119"/>
      <c r="AV1410" s="118">
        <v>7150</v>
      </c>
      <c r="AW1410" s="119"/>
      <c r="AX1410" s="118">
        <f>SUM(AR1410:AW1410)</f>
        <v>942150</v>
      </c>
      <c r="AY1410" s="119"/>
      <c r="AZ1410" s="137">
        <v>45972</v>
      </c>
    </row>
    <row r="1411" spans="1:52" ht="17.100000000000001" customHeight="1" thickBot="1">
      <c r="A1411" s="110"/>
      <c r="B1411" s="27" t="s">
        <v>1543</v>
      </c>
      <c r="C1411" s="27">
        <v>55344</v>
      </c>
      <c r="D1411" s="14" t="s">
        <v>3855</v>
      </c>
      <c r="E1411" s="112"/>
      <c r="F1411" s="139" t="s">
        <v>4719</v>
      </c>
      <c r="G1411" s="140"/>
      <c r="H1411" s="141"/>
      <c r="I1411" s="26">
        <v>54696</v>
      </c>
      <c r="J1411" s="117"/>
      <c r="K1411" s="120"/>
      <c r="L1411" s="121"/>
      <c r="M1411" s="120"/>
      <c r="N1411" s="121"/>
      <c r="O1411" s="120"/>
      <c r="P1411" s="121"/>
      <c r="Q1411" s="120"/>
      <c r="R1411" s="121"/>
      <c r="S1411" s="120"/>
      <c r="T1411" s="121"/>
      <c r="U1411" s="120"/>
      <c r="V1411" s="123"/>
      <c r="W1411" s="125"/>
      <c r="X1411" s="142" t="s">
        <v>1656</v>
      </c>
      <c r="Y1411" s="143"/>
      <c r="Z1411" s="143"/>
      <c r="AA1411" s="143"/>
      <c r="AB1411" s="144"/>
      <c r="AC1411" s="16" t="s">
        <v>21</v>
      </c>
      <c r="AD1411" s="17" t="s">
        <v>4642</v>
      </c>
      <c r="AE1411" s="145" t="s">
        <v>4357</v>
      </c>
      <c r="AF1411" s="146"/>
      <c r="AG1411" s="146"/>
      <c r="AH1411" s="146"/>
      <c r="AI1411" s="147"/>
      <c r="AJ1411" s="148"/>
      <c r="AK1411" s="143"/>
      <c r="AL1411" s="144"/>
      <c r="AM1411" s="22"/>
      <c r="AN1411" s="149" t="s">
        <v>2511</v>
      </c>
      <c r="AO1411" s="144"/>
      <c r="AP1411" s="148">
        <v>60167</v>
      </c>
      <c r="AQ1411" s="144"/>
      <c r="AR1411" s="120"/>
      <c r="AS1411" s="121"/>
      <c r="AT1411" s="120"/>
      <c r="AU1411" s="121"/>
      <c r="AV1411" s="120"/>
      <c r="AW1411" s="121"/>
      <c r="AX1411" s="120"/>
      <c r="AY1411" s="121"/>
      <c r="AZ1411" s="138"/>
    </row>
    <row r="1412" spans="1:52" ht="17.100000000000001" customHeight="1" thickTop="1">
      <c r="A1412" s="109" t="s">
        <v>6443</v>
      </c>
      <c r="B1412" s="28">
        <v>45912</v>
      </c>
      <c r="C1412" s="25">
        <v>2101</v>
      </c>
      <c r="D1412" s="13" t="s">
        <v>2681</v>
      </c>
      <c r="E1412" s="111"/>
      <c r="F1412" s="113" t="s">
        <v>4720</v>
      </c>
      <c r="G1412" s="114"/>
      <c r="H1412" s="115"/>
      <c r="I1412" s="24" t="s">
        <v>2064</v>
      </c>
      <c r="J1412" s="116">
        <v>4.5</v>
      </c>
      <c r="K1412" s="118">
        <v>1255000</v>
      </c>
      <c r="L1412" s="119"/>
      <c r="M1412" s="118">
        <f>K1412*0.1</f>
        <v>125500</v>
      </c>
      <c r="N1412" s="119"/>
      <c r="O1412" s="118">
        <v>0</v>
      </c>
      <c r="P1412" s="119"/>
      <c r="Q1412" s="118">
        <v>6830</v>
      </c>
      <c r="R1412" s="119"/>
      <c r="S1412" s="118">
        <v>16500</v>
      </c>
      <c r="T1412" s="119"/>
      <c r="U1412" s="118">
        <f>SUM(K1412:T1413)</f>
        <v>1403830</v>
      </c>
      <c r="V1412" s="122"/>
      <c r="W1412" s="124"/>
      <c r="X1412" s="126" t="s">
        <v>4721</v>
      </c>
      <c r="Y1412" s="127"/>
      <c r="Z1412" s="127"/>
      <c r="AA1412" s="127"/>
      <c r="AB1412" s="128"/>
      <c r="AC1412" s="15" t="s">
        <v>20</v>
      </c>
      <c r="AD1412" s="129" t="s">
        <v>1732</v>
      </c>
      <c r="AE1412" s="130"/>
      <c r="AF1412" s="130"/>
      <c r="AG1412" s="130"/>
      <c r="AH1412" s="130"/>
      <c r="AI1412" s="131"/>
      <c r="AJ1412" s="132"/>
      <c r="AK1412" s="127"/>
      <c r="AL1412" s="128"/>
      <c r="AM1412" s="21" t="s">
        <v>7552</v>
      </c>
      <c r="AN1412" s="133">
        <v>45937</v>
      </c>
      <c r="AO1412" s="134"/>
      <c r="AP1412" s="135">
        <v>1912</v>
      </c>
      <c r="AQ1412" s="136"/>
      <c r="AR1412" s="118">
        <v>1276000</v>
      </c>
      <c r="AS1412" s="119"/>
      <c r="AT1412" s="118">
        <f>AR1412*0.1</f>
        <v>127600</v>
      </c>
      <c r="AU1412" s="119"/>
      <c r="AV1412" s="118">
        <v>6830</v>
      </c>
      <c r="AW1412" s="119"/>
      <c r="AX1412" s="118">
        <f>SUM(AR1412:AW1412)</f>
        <v>1410430</v>
      </c>
      <c r="AY1412" s="119"/>
      <c r="AZ1412" s="137"/>
    </row>
    <row r="1413" spans="1:52" ht="17.100000000000001" customHeight="1" thickBot="1">
      <c r="A1413" s="110"/>
      <c r="B1413" s="27" t="s">
        <v>1543</v>
      </c>
      <c r="C1413" s="27">
        <v>55373</v>
      </c>
      <c r="D1413" s="14" t="s">
        <v>1576</v>
      </c>
      <c r="E1413" s="112"/>
      <c r="F1413" s="139" t="s">
        <v>4722</v>
      </c>
      <c r="G1413" s="140"/>
      <c r="H1413" s="141"/>
      <c r="I1413" s="26">
        <v>54377</v>
      </c>
      <c r="J1413" s="117"/>
      <c r="K1413" s="120"/>
      <c r="L1413" s="121"/>
      <c r="M1413" s="120"/>
      <c r="N1413" s="121"/>
      <c r="O1413" s="120"/>
      <c r="P1413" s="121"/>
      <c r="Q1413" s="120"/>
      <c r="R1413" s="121"/>
      <c r="S1413" s="120"/>
      <c r="T1413" s="121"/>
      <c r="U1413" s="120"/>
      <c r="V1413" s="123"/>
      <c r="W1413" s="125"/>
      <c r="X1413" s="142" t="s">
        <v>4723</v>
      </c>
      <c r="Y1413" s="143"/>
      <c r="Z1413" s="143"/>
      <c r="AA1413" s="143"/>
      <c r="AB1413" s="144"/>
      <c r="AC1413" s="16" t="s">
        <v>21</v>
      </c>
      <c r="AD1413" s="17" t="s">
        <v>1595</v>
      </c>
      <c r="AE1413" s="145" t="s">
        <v>1614</v>
      </c>
      <c r="AF1413" s="146"/>
      <c r="AG1413" s="146"/>
      <c r="AH1413" s="146"/>
      <c r="AI1413" s="147"/>
      <c r="AJ1413" s="148"/>
      <c r="AK1413" s="143"/>
      <c r="AL1413" s="144"/>
      <c r="AM1413" s="22"/>
      <c r="AN1413" s="149" t="s">
        <v>2131</v>
      </c>
      <c r="AO1413" s="144"/>
      <c r="AP1413" s="148">
        <v>3149</v>
      </c>
      <c r="AQ1413" s="144"/>
      <c r="AR1413" s="120"/>
      <c r="AS1413" s="121"/>
      <c r="AT1413" s="120"/>
      <c r="AU1413" s="121"/>
      <c r="AV1413" s="120"/>
      <c r="AW1413" s="121"/>
      <c r="AX1413" s="120"/>
      <c r="AY1413" s="121"/>
      <c r="AZ1413" s="138"/>
    </row>
    <row r="1414" spans="1:52" ht="17.100000000000001" customHeight="1" thickTop="1">
      <c r="A1414" s="109" t="s">
        <v>16426</v>
      </c>
      <c r="B1414" s="28">
        <v>45912</v>
      </c>
      <c r="C1414" s="25">
        <v>2101</v>
      </c>
      <c r="D1414" s="13" t="s">
        <v>1793</v>
      </c>
      <c r="E1414" s="111"/>
      <c r="F1414" s="113" t="s">
        <v>4724</v>
      </c>
      <c r="G1414" s="114"/>
      <c r="H1414" s="115"/>
      <c r="I1414" s="24"/>
      <c r="J1414" s="116">
        <v>4</v>
      </c>
      <c r="K1414" s="118">
        <v>985000</v>
      </c>
      <c r="L1414" s="119"/>
      <c r="M1414" s="118">
        <f>K1414*0.1</f>
        <v>98500</v>
      </c>
      <c r="N1414" s="119"/>
      <c r="O1414" s="118">
        <v>0</v>
      </c>
      <c r="P1414" s="119"/>
      <c r="Q1414" s="118">
        <v>9170</v>
      </c>
      <c r="R1414" s="119"/>
      <c r="S1414" s="118">
        <v>16500</v>
      </c>
      <c r="T1414" s="119"/>
      <c r="U1414" s="118">
        <f>SUM(K1414:T1415)</f>
        <v>1109170</v>
      </c>
      <c r="V1414" s="122"/>
      <c r="W1414" s="124"/>
      <c r="X1414" s="126" t="s">
        <v>4725</v>
      </c>
      <c r="Y1414" s="127"/>
      <c r="Z1414" s="127"/>
      <c r="AA1414" s="127"/>
      <c r="AB1414" s="128"/>
      <c r="AC1414" s="15" t="s">
        <v>20</v>
      </c>
      <c r="AD1414" s="129"/>
      <c r="AE1414" s="130"/>
      <c r="AF1414" s="130"/>
      <c r="AG1414" s="130"/>
      <c r="AH1414" s="130"/>
      <c r="AI1414" s="131"/>
      <c r="AJ1414" s="132"/>
      <c r="AK1414" s="127"/>
      <c r="AL1414" s="128"/>
      <c r="AM1414" s="21"/>
      <c r="AN1414" s="133">
        <v>46046</v>
      </c>
      <c r="AO1414" s="134"/>
      <c r="AP1414" s="135">
        <v>1285</v>
      </c>
      <c r="AQ1414" s="136"/>
      <c r="AR1414" s="118">
        <v>915000</v>
      </c>
      <c r="AS1414" s="119"/>
      <c r="AT1414" s="118">
        <f>AR1414*0.1</f>
        <v>91500</v>
      </c>
      <c r="AU1414" s="119"/>
      <c r="AV1414" s="118">
        <v>9170</v>
      </c>
      <c r="AW1414" s="119"/>
      <c r="AX1414" s="118">
        <f>SUM(AR1414:AW1414)</f>
        <v>1015670</v>
      </c>
      <c r="AY1414" s="119"/>
      <c r="AZ1414" s="137">
        <v>46049</v>
      </c>
    </row>
    <row r="1415" spans="1:52" ht="17.100000000000001" customHeight="1" thickBot="1">
      <c r="A1415" s="110"/>
      <c r="B1415" s="27" t="s">
        <v>1543</v>
      </c>
      <c r="C1415" s="27">
        <v>55460</v>
      </c>
      <c r="D1415" s="14" t="s">
        <v>275</v>
      </c>
      <c r="E1415" s="112"/>
      <c r="F1415" s="139" t="s">
        <v>4726</v>
      </c>
      <c r="G1415" s="140"/>
      <c r="H1415" s="141"/>
      <c r="I1415" s="26">
        <v>51520</v>
      </c>
      <c r="J1415" s="117"/>
      <c r="K1415" s="120"/>
      <c r="L1415" s="121"/>
      <c r="M1415" s="120"/>
      <c r="N1415" s="121"/>
      <c r="O1415" s="120"/>
      <c r="P1415" s="121"/>
      <c r="Q1415" s="120"/>
      <c r="R1415" s="121"/>
      <c r="S1415" s="120"/>
      <c r="T1415" s="121"/>
      <c r="U1415" s="120"/>
      <c r="V1415" s="123"/>
      <c r="W1415" s="125"/>
      <c r="X1415" s="142" t="s">
        <v>2659</v>
      </c>
      <c r="Y1415" s="143"/>
      <c r="Z1415" s="143"/>
      <c r="AA1415" s="143"/>
      <c r="AB1415" s="144"/>
      <c r="AC1415" s="16" t="s">
        <v>21</v>
      </c>
      <c r="AD1415" s="17" t="s">
        <v>1571</v>
      </c>
      <c r="AE1415" s="145"/>
      <c r="AF1415" s="146"/>
      <c r="AG1415" s="146"/>
      <c r="AH1415" s="146"/>
      <c r="AI1415" s="147"/>
      <c r="AJ1415" s="148"/>
      <c r="AK1415" s="143"/>
      <c r="AL1415" s="144"/>
      <c r="AM1415" s="22"/>
      <c r="AN1415" s="149" t="s">
        <v>2511</v>
      </c>
      <c r="AO1415" s="144"/>
      <c r="AP1415" s="148">
        <v>60076</v>
      </c>
      <c r="AQ1415" s="144"/>
      <c r="AR1415" s="120"/>
      <c r="AS1415" s="121"/>
      <c r="AT1415" s="120"/>
      <c r="AU1415" s="121"/>
      <c r="AV1415" s="120"/>
      <c r="AW1415" s="121"/>
      <c r="AX1415" s="120"/>
      <c r="AY1415" s="121"/>
      <c r="AZ1415" s="138"/>
    </row>
    <row r="1416" spans="1:52" ht="17.100000000000001" customHeight="1" thickTop="1">
      <c r="A1416" s="109" t="s">
        <v>6444</v>
      </c>
      <c r="B1416" s="28">
        <v>45912</v>
      </c>
      <c r="C1416" s="25">
        <v>2101</v>
      </c>
      <c r="D1416" s="13" t="s">
        <v>2329</v>
      </c>
      <c r="E1416" s="111"/>
      <c r="F1416" s="113" t="s">
        <v>4727</v>
      </c>
      <c r="G1416" s="114"/>
      <c r="H1416" s="115"/>
      <c r="I1416" s="24" t="s">
        <v>1547</v>
      </c>
      <c r="J1416" s="116">
        <v>4.5</v>
      </c>
      <c r="K1416" s="118">
        <v>760000</v>
      </c>
      <c r="L1416" s="119"/>
      <c r="M1416" s="118">
        <v>76000</v>
      </c>
      <c r="N1416" s="119"/>
      <c r="O1416" s="118">
        <f>15200+1520</f>
        <v>16720</v>
      </c>
      <c r="P1416" s="119"/>
      <c r="Q1416" s="118">
        <v>19090</v>
      </c>
      <c r="R1416" s="119"/>
      <c r="S1416" s="118">
        <v>27500</v>
      </c>
      <c r="T1416" s="119"/>
      <c r="U1416" s="118">
        <f>SUM(K1416:T1417)</f>
        <v>899310</v>
      </c>
      <c r="V1416" s="122"/>
      <c r="W1416" s="124"/>
      <c r="X1416" s="126" t="s">
        <v>4728</v>
      </c>
      <c r="Y1416" s="127"/>
      <c r="Z1416" s="127"/>
      <c r="AA1416" s="127"/>
      <c r="AB1416" s="128"/>
      <c r="AC1416" s="15" t="s">
        <v>20</v>
      </c>
      <c r="AD1416" s="129" t="s">
        <v>1575</v>
      </c>
      <c r="AE1416" s="130"/>
      <c r="AF1416" s="130"/>
      <c r="AG1416" s="130"/>
      <c r="AH1416" s="130"/>
      <c r="AI1416" s="131"/>
      <c r="AJ1416" s="132"/>
      <c r="AK1416" s="127"/>
      <c r="AL1416" s="128"/>
      <c r="AM1416" s="21" t="s">
        <v>8330</v>
      </c>
      <c r="AN1416" s="133">
        <v>45948</v>
      </c>
      <c r="AO1416" s="134"/>
      <c r="AP1416" s="135">
        <v>1272</v>
      </c>
      <c r="AQ1416" s="136"/>
      <c r="AR1416" s="118">
        <v>850000</v>
      </c>
      <c r="AS1416" s="119"/>
      <c r="AT1416" s="118">
        <f>AR1416*0.1</f>
        <v>85000</v>
      </c>
      <c r="AU1416" s="119"/>
      <c r="AV1416" s="118">
        <v>19090</v>
      </c>
      <c r="AW1416" s="119"/>
      <c r="AX1416" s="118">
        <f>SUM(AR1416:AW1416)</f>
        <v>954090</v>
      </c>
      <c r="AY1416" s="119"/>
      <c r="AZ1416" s="137">
        <v>45951</v>
      </c>
    </row>
    <row r="1417" spans="1:52" ht="17.100000000000001" customHeight="1" thickBot="1">
      <c r="A1417" s="110"/>
      <c r="B1417" s="27" t="s">
        <v>1543</v>
      </c>
      <c r="C1417" s="27">
        <v>58696</v>
      </c>
      <c r="D1417" s="14" t="s">
        <v>3327</v>
      </c>
      <c r="E1417" s="112"/>
      <c r="F1417" s="139" t="s">
        <v>4729</v>
      </c>
      <c r="G1417" s="140"/>
      <c r="H1417" s="141"/>
      <c r="I1417" s="26">
        <v>70960</v>
      </c>
      <c r="J1417" s="117"/>
      <c r="K1417" s="120"/>
      <c r="L1417" s="121"/>
      <c r="M1417" s="120"/>
      <c r="N1417" s="121"/>
      <c r="O1417" s="120"/>
      <c r="P1417" s="121"/>
      <c r="Q1417" s="120"/>
      <c r="R1417" s="121"/>
      <c r="S1417" s="120"/>
      <c r="T1417" s="121"/>
      <c r="U1417" s="120"/>
      <c r="V1417" s="123"/>
      <c r="W1417" s="125"/>
      <c r="X1417" s="142" t="s">
        <v>2321</v>
      </c>
      <c r="Y1417" s="143"/>
      <c r="Z1417" s="143"/>
      <c r="AA1417" s="143"/>
      <c r="AB1417" s="144"/>
      <c r="AC1417" s="16" t="s">
        <v>21</v>
      </c>
      <c r="AD1417" s="17" t="s">
        <v>4567</v>
      </c>
      <c r="AE1417" s="145" t="s">
        <v>1732</v>
      </c>
      <c r="AF1417" s="146"/>
      <c r="AG1417" s="146"/>
      <c r="AH1417" s="146"/>
      <c r="AI1417" s="147"/>
      <c r="AJ1417" s="148"/>
      <c r="AK1417" s="143"/>
      <c r="AL1417" s="144"/>
      <c r="AM1417" s="22"/>
      <c r="AN1417" s="149" t="s">
        <v>2511</v>
      </c>
      <c r="AO1417" s="144"/>
      <c r="AP1417" s="148">
        <v>80245</v>
      </c>
      <c r="AQ1417" s="144"/>
      <c r="AR1417" s="120"/>
      <c r="AS1417" s="121"/>
      <c r="AT1417" s="120"/>
      <c r="AU1417" s="121"/>
      <c r="AV1417" s="120"/>
      <c r="AW1417" s="121"/>
      <c r="AX1417" s="120"/>
      <c r="AY1417" s="121"/>
      <c r="AZ1417" s="138"/>
    </row>
    <row r="1418" spans="1:52" ht="17.100000000000001" customHeight="1" thickTop="1">
      <c r="A1418" s="109" t="s">
        <v>6445</v>
      </c>
      <c r="B1418" s="28">
        <v>45912</v>
      </c>
      <c r="C1418" s="25"/>
      <c r="D1418" s="13" t="s">
        <v>1795</v>
      </c>
      <c r="E1418" s="111"/>
      <c r="F1418" s="113" t="s">
        <v>4730</v>
      </c>
      <c r="G1418" s="114"/>
      <c r="H1418" s="115"/>
      <c r="I1418" s="24" t="s">
        <v>4731</v>
      </c>
      <c r="J1418" s="116">
        <v>4.5</v>
      </c>
      <c r="K1418" s="118">
        <f>1611500/1.1</f>
        <v>1464999.9999999998</v>
      </c>
      <c r="L1418" s="119"/>
      <c r="M1418" s="118">
        <f>K1418*0.1</f>
        <v>146499.99999999997</v>
      </c>
      <c r="N1418" s="119"/>
      <c r="O1418" s="118">
        <v>12700</v>
      </c>
      <c r="P1418" s="119"/>
      <c r="Q1418" s="118">
        <v>11510</v>
      </c>
      <c r="R1418" s="119"/>
      <c r="S1418" s="118">
        <v>95288</v>
      </c>
      <c r="T1418" s="119"/>
      <c r="U1418" s="118">
        <f>SUM(K1418:T1419)</f>
        <v>1730997.9999999998</v>
      </c>
      <c r="V1418" s="122"/>
      <c r="W1418" s="124"/>
      <c r="X1418" s="126" t="s">
        <v>4732</v>
      </c>
      <c r="Y1418" s="127"/>
      <c r="Z1418" s="127"/>
      <c r="AA1418" s="127"/>
      <c r="AB1418" s="128"/>
      <c r="AC1418" s="15" t="s">
        <v>20</v>
      </c>
      <c r="AD1418" s="129" t="s">
        <v>1945</v>
      </c>
      <c r="AE1418" s="130"/>
      <c r="AF1418" s="130"/>
      <c r="AG1418" s="130"/>
      <c r="AH1418" s="130"/>
      <c r="AI1418" s="131"/>
      <c r="AJ1418" s="132"/>
      <c r="AK1418" s="127"/>
      <c r="AL1418" s="128"/>
      <c r="AM1418" s="21"/>
      <c r="AN1418" s="133">
        <v>45941</v>
      </c>
      <c r="AO1418" s="134"/>
      <c r="AP1418" s="135">
        <v>1271</v>
      </c>
      <c r="AQ1418" s="136"/>
      <c r="AR1418" s="118">
        <v>1535000</v>
      </c>
      <c r="AS1418" s="119"/>
      <c r="AT1418" s="118">
        <f>AR1418*0.1</f>
        <v>153500</v>
      </c>
      <c r="AU1418" s="119"/>
      <c r="AV1418" s="118">
        <v>11510</v>
      </c>
      <c r="AW1418" s="119"/>
      <c r="AX1418" s="118">
        <f>SUM(AR1418:AW1418)</f>
        <v>1700010</v>
      </c>
      <c r="AY1418" s="119"/>
      <c r="AZ1418" s="137">
        <v>45950</v>
      </c>
    </row>
    <row r="1419" spans="1:52" ht="17.100000000000001" customHeight="1" thickBot="1">
      <c r="A1419" s="110"/>
      <c r="B1419" s="27" t="s">
        <v>1718</v>
      </c>
      <c r="C1419" s="27" t="s">
        <v>4733</v>
      </c>
      <c r="D1419" s="14" t="s">
        <v>904</v>
      </c>
      <c r="E1419" s="112"/>
      <c r="F1419" s="139" t="s">
        <v>4734</v>
      </c>
      <c r="G1419" s="140"/>
      <c r="H1419" s="141"/>
      <c r="I1419" s="26">
        <v>43000</v>
      </c>
      <c r="J1419" s="117"/>
      <c r="K1419" s="120"/>
      <c r="L1419" s="121"/>
      <c r="M1419" s="120"/>
      <c r="N1419" s="121"/>
      <c r="O1419" s="120"/>
      <c r="P1419" s="121"/>
      <c r="Q1419" s="120"/>
      <c r="R1419" s="121"/>
      <c r="S1419" s="120"/>
      <c r="T1419" s="121"/>
      <c r="U1419" s="120"/>
      <c r="V1419" s="123"/>
      <c r="W1419" s="125"/>
      <c r="X1419" s="142" t="s">
        <v>4735</v>
      </c>
      <c r="Y1419" s="143"/>
      <c r="Z1419" s="143"/>
      <c r="AA1419" s="143"/>
      <c r="AB1419" s="144"/>
      <c r="AC1419" s="16" t="s">
        <v>21</v>
      </c>
      <c r="AD1419" s="17" t="s">
        <v>4286</v>
      </c>
      <c r="AE1419" s="145" t="s">
        <v>1614</v>
      </c>
      <c r="AF1419" s="146"/>
      <c r="AG1419" s="146"/>
      <c r="AH1419" s="146"/>
      <c r="AI1419" s="147"/>
      <c r="AJ1419" s="148"/>
      <c r="AK1419" s="143"/>
      <c r="AL1419" s="144"/>
      <c r="AM1419" s="22"/>
      <c r="AN1419" s="149" t="s">
        <v>2511</v>
      </c>
      <c r="AO1419" s="144"/>
      <c r="AP1419" s="148">
        <v>37783</v>
      </c>
      <c r="AQ1419" s="144"/>
      <c r="AR1419" s="120"/>
      <c r="AS1419" s="121"/>
      <c r="AT1419" s="120"/>
      <c r="AU1419" s="121"/>
      <c r="AV1419" s="120"/>
      <c r="AW1419" s="121"/>
      <c r="AX1419" s="120"/>
      <c r="AY1419" s="121"/>
      <c r="AZ1419" s="138"/>
    </row>
    <row r="1420" spans="1:52" ht="17.100000000000001" customHeight="1" thickTop="1">
      <c r="A1420" s="109" t="s">
        <v>6446</v>
      </c>
      <c r="B1420" s="28">
        <v>45912</v>
      </c>
      <c r="C1420" s="25"/>
      <c r="D1420" s="13" t="s">
        <v>4382</v>
      </c>
      <c r="E1420" s="111"/>
      <c r="F1420" s="113" t="s">
        <v>4736</v>
      </c>
      <c r="G1420" s="114"/>
      <c r="H1420" s="115"/>
      <c r="I1420" s="24" t="s">
        <v>4737</v>
      </c>
      <c r="J1420" s="116">
        <v>4</v>
      </c>
      <c r="K1420" s="118">
        <f>225500/1.1</f>
        <v>204999.99999999997</v>
      </c>
      <c r="L1420" s="119"/>
      <c r="M1420" s="118">
        <f>K1420*0.1</f>
        <v>20500</v>
      </c>
      <c r="N1420" s="119"/>
      <c r="O1420" s="118">
        <v>0</v>
      </c>
      <c r="P1420" s="119"/>
      <c r="Q1420" s="118">
        <v>9460</v>
      </c>
      <c r="R1420" s="119"/>
      <c r="S1420" s="118">
        <v>37922</v>
      </c>
      <c r="T1420" s="119"/>
      <c r="U1420" s="118">
        <f>SUM(K1420:T1421)</f>
        <v>272882</v>
      </c>
      <c r="V1420" s="122"/>
      <c r="W1420" s="124"/>
      <c r="X1420" s="126" t="s">
        <v>4738</v>
      </c>
      <c r="Y1420" s="127"/>
      <c r="Z1420" s="127"/>
      <c r="AA1420" s="127"/>
      <c r="AB1420" s="128"/>
      <c r="AC1420" s="15" t="s">
        <v>20</v>
      </c>
      <c r="AD1420" s="129" t="s">
        <v>1797</v>
      </c>
      <c r="AE1420" s="130"/>
      <c r="AF1420" s="130"/>
      <c r="AG1420" s="130"/>
      <c r="AH1420" s="130"/>
      <c r="AI1420" s="131"/>
      <c r="AJ1420" s="132"/>
      <c r="AK1420" s="127"/>
      <c r="AL1420" s="128"/>
      <c r="AM1420" s="21"/>
      <c r="AN1420" s="133">
        <v>45934</v>
      </c>
      <c r="AO1420" s="134"/>
      <c r="AP1420" s="135">
        <v>1270</v>
      </c>
      <c r="AQ1420" s="136"/>
      <c r="AR1420" s="118">
        <v>475000</v>
      </c>
      <c r="AS1420" s="119"/>
      <c r="AT1420" s="118">
        <f>AR1420*0.1</f>
        <v>47500</v>
      </c>
      <c r="AU1420" s="119"/>
      <c r="AV1420" s="118">
        <v>9460</v>
      </c>
      <c r="AW1420" s="119"/>
      <c r="AX1420" s="118">
        <f>SUM(AR1420:AW1420)</f>
        <v>531960</v>
      </c>
      <c r="AY1420" s="119"/>
      <c r="AZ1420" s="137">
        <v>45937</v>
      </c>
    </row>
    <row r="1421" spans="1:52" ht="17.100000000000001" customHeight="1" thickBot="1">
      <c r="A1421" s="110"/>
      <c r="B1421" s="27" t="s">
        <v>1718</v>
      </c>
      <c r="C1421" s="27" t="s">
        <v>4739</v>
      </c>
      <c r="D1421" s="14" t="s">
        <v>4023</v>
      </c>
      <c r="E1421" s="112"/>
      <c r="F1421" s="139" t="s">
        <v>4740</v>
      </c>
      <c r="G1421" s="140"/>
      <c r="H1421" s="141"/>
      <c r="I1421" s="26">
        <v>38060</v>
      </c>
      <c r="J1421" s="117"/>
      <c r="K1421" s="120"/>
      <c r="L1421" s="121"/>
      <c r="M1421" s="120"/>
      <c r="N1421" s="121"/>
      <c r="O1421" s="120"/>
      <c r="P1421" s="121"/>
      <c r="Q1421" s="120"/>
      <c r="R1421" s="121"/>
      <c r="S1421" s="120"/>
      <c r="T1421" s="121"/>
      <c r="U1421" s="120"/>
      <c r="V1421" s="123"/>
      <c r="W1421" s="125"/>
      <c r="X1421" s="142" t="s">
        <v>4741</v>
      </c>
      <c r="Y1421" s="143"/>
      <c r="Z1421" s="143"/>
      <c r="AA1421" s="143"/>
      <c r="AB1421" s="144"/>
      <c r="AC1421" s="16" t="s">
        <v>21</v>
      </c>
      <c r="AD1421" s="17" t="s">
        <v>3032</v>
      </c>
      <c r="AE1421" s="145" t="s">
        <v>7849</v>
      </c>
      <c r="AF1421" s="146"/>
      <c r="AG1421" s="146"/>
      <c r="AH1421" s="146"/>
      <c r="AI1421" s="147"/>
      <c r="AJ1421" s="148"/>
      <c r="AK1421" s="143"/>
      <c r="AL1421" s="144"/>
      <c r="AM1421" s="22"/>
      <c r="AN1421" s="149" t="s">
        <v>7284</v>
      </c>
      <c r="AO1421" s="144"/>
      <c r="AP1421" s="148">
        <v>62054</v>
      </c>
      <c r="AQ1421" s="144"/>
      <c r="AR1421" s="120"/>
      <c r="AS1421" s="121"/>
      <c r="AT1421" s="120"/>
      <c r="AU1421" s="121"/>
      <c r="AV1421" s="120"/>
      <c r="AW1421" s="121"/>
      <c r="AX1421" s="120"/>
      <c r="AY1421" s="121"/>
      <c r="AZ1421" s="138"/>
    </row>
    <row r="1422" spans="1:52" ht="17.100000000000001" customHeight="1" thickTop="1">
      <c r="A1422" s="109" t="s">
        <v>6447</v>
      </c>
      <c r="B1422" s="28">
        <v>45912</v>
      </c>
      <c r="C1422" s="25"/>
      <c r="D1422" s="13" t="s">
        <v>1853</v>
      </c>
      <c r="E1422" s="111"/>
      <c r="F1422" s="113" t="s">
        <v>4742</v>
      </c>
      <c r="G1422" s="114"/>
      <c r="H1422" s="115"/>
      <c r="I1422" s="24" t="s">
        <v>4743</v>
      </c>
      <c r="J1422" s="116">
        <v>4.5</v>
      </c>
      <c r="K1422" s="118">
        <f>2909500/1.1</f>
        <v>2645000</v>
      </c>
      <c r="L1422" s="119"/>
      <c r="M1422" s="118">
        <f>K1422*0.1</f>
        <v>264500</v>
      </c>
      <c r="N1422" s="119"/>
      <c r="O1422" s="118">
        <v>15000</v>
      </c>
      <c r="P1422" s="119"/>
      <c r="Q1422" s="118">
        <v>12470</v>
      </c>
      <c r="R1422" s="119"/>
      <c r="S1422" s="118">
        <v>127738</v>
      </c>
      <c r="T1422" s="119"/>
      <c r="U1422" s="118">
        <f>SUM(K1422:T1423)</f>
        <v>3064708</v>
      </c>
      <c r="V1422" s="122"/>
      <c r="W1422" s="124"/>
      <c r="X1422" s="126" t="s">
        <v>4744</v>
      </c>
      <c r="Y1422" s="127"/>
      <c r="Z1422" s="127"/>
      <c r="AA1422" s="127"/>
      <c r="AB1422" s="128"/>
      <c r="AC1422" s="15" t="s">
        <v>20</v>
      </c>
      <c r="AD1422" s="129" t="s">
        <v>1945</v>
      </c>
      <c r="AE1422" s="130"/>
      <c r="AF1422" s="130"/>
      <c r="AG1422" s="130"/>
      <c r="AH1422" s="130"/>
      <c r="AI1422" s="131"/>
      <c r="AJ1422" s="132"/>
      <c r="AK1422" s="127"/>
      <c r="AL1422" s="128"/>
      <c r="AM1422" s="21"/>
      <c r="AN1422" s="133">
        <v>45934</v>
      </c>
      <c r="AO1422" s="134"/>
      <c r="AP1422" s="135">
        <v>1270</v>
      </c>
      <c r="AQ1422" s="136"/>
      <c r="AR1422" s="118">
        <v>2590000</v>
      </c>
      <c r="AS1422" s="119"/>
      <c r="AT1422" s="118">
        <f>AR1422*0.1</f>
        <v>259000</v>
      </c>
      <c r="AU1422" s="119"/>
      <c r="AV1422" s="118">
        <v>12470</v>
      </c>
      <c r="AW1422" s="119"/>
      <c r="AX1422" s="118">
        <f>SUM(AR1422:AW1422)</f>
        <v>2861470</v>
      </c>
      <c r="AY1422" s="119"/>
      <c r="AZ1422" s="137">
        <v>45944</v>
      </c>
    </row>
    <row r="1423" spans="1:52" ht="17.100000000000001" customHeight="1" thickBot="1">
      <c r="A1423" s="110"/>
      <c r="B1423" s="27" t="s">
        <v>1718</v>
      </c>
      <c r="C1423" s="27" t="s">
        <v>4745</v>
      </c>
      <c r="D1423" s="14" t="s">
        <v>275</v>
      </c>
      <c r="E1423" s="112"/>
      <c r="F1423" s="139" t="s">
        <v>4746</v>
      </c>
      <c r="G1423" s="140"/>
      <c r="H1423" s="141"/>
      <c r="I1423" s="26">
        <v>53085</v>
      </c>
      <c r="J1423" s="117"/>
      <c r="K1423" s="120"/>
      <c r="L1423" s="121"/>
      <c r="M1423" s="120"/>
      <c r="N1423" s="121"/>
      <c r="O1423" s="120"/>
      <c r="P1423" s="121"/>
      <c r="Q1423" s="120"/>
      <c r="R1423" s="121"/>
      <c r="S1423" s="120"/>
      <c r="T1423" s="121"/>
      <c r="U1423" s="120"/>
      <c r="V1423" s="123"/>
      <c r="W1423" s="125"/>
      <c r="X1423" s="142" t="s">
        <v>4747</v>
      </c>
      <c r="Y1423" s="143"/>
      <c r="Z1423" s="143"/>
      <c r="AA1423" s="143"/>
      <c r="AB1423" s="144"/>
      <c r="AC1423" s="16" t="s">
        <v>21</v>
      </c>
      <c r="AD1423" s="17" t="s">
        <v>4184</v>
      </c>
      <c r="AE1423" s="145" t="s">
        <v>3828</v>
      </c>
      <c r="AF1423" s="146"/>
      <c r="AG1423" s="146"/>
      <c r="AH1423" s="146"/>
      <c r="AI1423" s="147"/>
      <c r="AJ1423" s="148"/>
      <c r="AK1423" s="143"/>
      <c r="AL1423" s="144"/>
      <c r="AM1423" s="22"/>
      <c r="AN1423" s="149" t="s">
        <v>7284</v>
      </c>
      <c r="AO1423" s="144"/>
      <c r="AP1423" s="148">
        <v>37696</v>
      </c>
      <c r="AQ1423" s="144"/>
      <c r="AR1423" s="120"/>
      <c r="AS1423" s="121"/>
      <c r="AT1423" s="120"/>
      <c r="AU1423" s="121"/>
      <c r="AV1423" s="120"/>
      <c r="AW1423" s="121"/>
      <c r="AX1423" s="120"/>
      <c r="AY1423" s="121"/>
      <c r="AZ1423" s="138"/>
    </row>
    <row r="1424" spans="1:52" ht="17.100000000000001" customHeight="1" thickTop="1">
      <c r="A1424" s="109" t="s">
        <v>6448</v>
      </c>
      <c r="B1424" s="28">
        <v>45912</v>
      </c>
      <c r="C1424" s="25">
        <v>50</v>
      </c>
      <c r="D1424" s="13" t="s">
        <v>2689</v>
      </c>
      <c r="E1424" s="111"/>
      <c r="F1424" s="113" t="s">
        <v>4603</v>
      </c>
      <c r="G1424" s="114"/>
      <c r="H1424" s="115"/>
      <c r="I1424" s="24" t="s">
        <v>2533</v>
      </c>
      <c r="J1424" s="116">
        <v>5</v>
      </c>
      <c r="K1424" s="118">
        <v>1100000</v>
      </c>
      <c r="L1424" s="119"/>
      <c r="M1424" s="118">
        <f>K1424*0.1</f>
        <v>110000</v>
      </c>
      <c r="N1424" s="119"/>
      <c r="O1424" s="118">
        <v>0</v>
      </c>
      <c r="P1424" s="119"/>
      <c r="Q1424" s="118">
        <v>8640</v>
      </c>
      <c r="R1424" s="119"/>
      <c r="S1424" s="118">
        <v>44000</v>
      </c>
      <c r="T1424" s="119"/>
      <c r="U1424" s="118">
        <f>SUM(K1424:T1425)</f>
        <v>1262640</v>
      </c>
      <c r="V1424" s="122"/>
      <c r="W1424" s="124"/>
      <c r="X1424" s="126" t="s">
        <v>6914</v>
      </c>
      <c r="Y1424" s="127"/>
      <c r="Z1424" s="127"/>
      <c r="AA1424" s="127"/>
      <c r="AB1424" s="128"/>
      <c r="AC1424" s="15" t="s">
        <v>20</v>
      </c>
      <c r="AD1424" s="129" t="s">
        <v>171</v>
      </c>
      <c r="AE1424" s="130"/>
      <c r="AF1424" s="130"/>
      <c r="AG1424" s="130"/>
      <c r="AH1424" s="130"/>
      <c r="AI1424" s="131"/>
      <c r="AJ1424" s="132"/>
      <c r="AK1424" s="127"/>
      <c r="AL1424" s="128"/>
      <c r="AM1424" s="21"/>
      <c r="AN1424" s="133">
        <v>45944</v>
      </c>
      <c r="AO1424" s="134"/>
      <c r="AP1424" s="135">
        <v>1913</v>
      </c>
      <c r="AQ1424" s="136"/>
      <c r="AR1424" s="118">
        <v>1298000</v>
      </c>
      <c r="AS1424" s="119"/>
      <c r="AT1424" s="118">
        <f>AR1424*0.1</f>
        <v>129800</v>
      </c>
      <c r="AU1424" s="119"/>
      <c r="AV1424" s="118">
        <v>8640</v>
      </c>
      <c r="AW1424" s="119"/>
      <c r="AX1424" s="118">
        <f>SUM(AR1424:AW1424)</f>
        <v>1436440</v>
      </c>
      <c r="AY1424" s="119"/>
      <c r="AZ1424" s="137">
        <v>45950</v>
      </c>
    </row>
    <row r="1425" spans="1:52" ht="17.100000000000001" customHeight="1" thickBot="1">
      <c r="A1425" s="110"/>
      <c r="B1425" s="27" t="s">
        <v>4544</v>
      </c>
      <c r="C1425" s="27">
        <v>1034</v>
      </c>
      <c r="D1425" s="14" t="s">
        <v>2800</v>
      </c>
      <c r="E1425" s="112"/>
      <c r="F1425" s="139" t="s">
        <v>4748</v>
      </c>
      <c r="G1425" s="140"/>
      <c r="H1425" s="141"/>
      <c r="I1425" s="26">
        <v>13480</v>
      </c>
      <c r="J1425" s="117"/>
      <c r="K1425" s="120"/>
      <c r="L1425" s="121"/>
      <c r="M1425" s="120"/>
      <c r="N1425" s="121"/>
      <c r="O1425" s="120"/>
      <c r="P1425" s="121"/>
      <c r="Q1425" s="120"/>
      <c r="R1425" s="121"/>
      <c r="S1425" s="120"/>
      <c r="T1425" s="121"/>
      <c r="U1425" s="120"/>
      <c r="V1425" s="123"/>
      <c r="W1425" s="125"/>
      <c r="X1425" s="142" t="s">
        <v>6915</v>
      </c>
      <c r="Y1425" s="143"/>
      <c r="Z1425" s="143"/>
      <c r="AA1425" s="143"/>
      <c r="AB1425" s="144"/>
      <c r="AC1425" s="16" t="s">
        <v>21</v>
      </c>
      <c r="AD1425" s="17" t="s">
        <v>6834</v>
      </c>
      <c r="AE1425" s="145" t="s">
        <v>1742</v>
      </c>
      <c r="AF1425" s="146"/>
      <c r="AG1425" s="146"/>
      <c r="AH1425" s="146"/>
      <c r="AI1425" s="147"/>
      <c r="AJ1425" s="148"/>
      <c r="AK1425" s="143"/>
      <c r="AL1425" s="144"/>
      <c r="AM1425" s="22"/>
      <c r="AN1425" s="149" t="s">
        <v>2131</v>
      </c>
      <c r="AO1425" s="144"/>
      <c r="AP1425" s="148">
        <v>3441</v>
      </c>
      <c r="AQ1425" s="144"/>
      <c r="AR1425" s="120"/>
      <c r="AS1425" s="121"/>
      <c r="AT1425" s="120"/>
      <c r="AU1425" s="121"/>
      <c r="AV1425" s="120"/>
      <c r="AW1425" s="121"/>
      <c r="AX1425" s="120"/>
      <c r="AY1425" s="121"/>
      <c r="AZ1425" s="138"/>
    </row>
    <row r="1426" spans="1:52" ht="17.100000000000001" customHeight="1" thickTop="1">
      <c r="A1426" s="109" t="s">
        <v>6449</v>
      </c>
      <c r="B1426" s="28">
        <v>45912</v>
      </c>
      <c r="C1426" s="25">
        <v>50</v>
      </c>
      <c r="D1426" s="13" t="s">
        <v>2442</v>
      </c>
      <c r="E1426" s="111"/>
      <c r="F1426" s="113" t="s">
        <v>3323</v>
      </c>
      <c r="G1426" s="114"/>
      <c r="H1426" s="115"/>
      <c r="I1426" s="24" t="s">
        <v>2858</v>
      </c>
      <c r="J1426" s="116">
        <v>4</v>
      </c>
      <c r="K1426" s="118">
        <v>860000</v>
      </c>
      <c r="L1426" s="119"/>
      <c r="M1426" s="118">
        <f>K1426*0.1</f>
        <v>86000</v>
      </c>
      <c r="N1426" s="119"/>
      <c r="O1426" s="118">
        <v>0</v>
      </c>
      <c r="P1426" s="119"/>
      <c r="Q1426" s="118">
        <v>8110</v>
      </c>
      <c r="R1426" s="119"/>
      <c r="S1426" s="118">
        <v>33000</v>
      </c>
      <c r="T1426" s="119"/>
      <c r="U1426" s="118">
        <f>SUM(K1426:T1427)</f>
        <v>987110</v>
      </c>
      <c r="V1426" s="122"/>
      <c r="W1426" s="124"/>
      <c r="X1426" s="126" t="s">
        <v>10149</v>
      </c>
      <c r="Y1426" s="127"/>
      <c r="Z1426" s="127"/>
      <c r="AA1426" s="127"/>
      <c r="AB1426" s="128"/>
      <c r="AC1426" s="15" t="s">
        <v>20</v>
      </c>
      <c r="AD1426" s="129" t="s">
        <v>171</v>
      </c>
      <c r="AE1426" s="130"/>
      <c r="AF1426" s="130"/>
      <c r="AG1426" s="130"/>
      <c r="AH1426" s="130"/>
      <c r="AI1426" s="131"/>
      <c r="AJ1426" s="132"/>
      <c r="AK1426" s="127"/>
      <c r="AL1426" s="128"/>
      <c r="AM1426" s="21"/>
      <c r="AN1426" s="133">
        <v>45965</v>
      </c>
      <c r="AO1426" s="134"/>
      <c r="AP1426" s="135">
        <v>1916</v>
      </c>
      <c r="AQ1426" s="136"/>
      <c r="AR1426" s="118">
        <v>1003000</v>
      </c>
      <c r="AS1426" s="119"/>
      <c r="AT1426" s="118">
        <f>AR1426*0.1</f>
        <v>100300</v>
      </c>
      <c r="AU1426" s="119"/>
      <c r="AV1426" s="118">
        <v>8110</v>
      </c>
      <c r="AW1426" s="119"/>
      <c r="AX1426" s="118">
        <f>SUM(AR1426:AW1426)</f>
        <v>1111410</v>
      </c>
      <c r="AY1426" s="119"/>
      <c r="AZ1426" s="137">
        <v>45971</v>
      </c>
    </row>
    <row r="1427" spans="1:52" ht="17.100000000000001" customHeight="1" thickBot="1">
      <c r="A1427" s="110"/>
      <c r="B1427" s="27" t="s">
        <v>4544</v>
      </c>
      <c r="C1427" s="27">
        <v>2018</v>
      </c>
      <c r="D1427" s="14" t="s">
        <v>2040</v>
      </c>
      <c r="E1427" s="112"/>
      <c r="F1427" s="139" t="s">
        <v>4749</v>
      </c>
      <c r="G1427" s="140"/>
      <c r="H1427" s="141"/>
      <c r="I1427" s="26">
        <v>37476</v>
      </c>
      <c r="J1427" s="117"/>
      <c r="K1427" s="120"/>
      <c r="L1427" s="121"/>
      <c r="M1427" s="120"/>
      <c r="N1427" s="121"/>
      <c r="O1427" s="120"/>
      <c r="P1427" s="121"/>
      <c r="Q1427" s="120"/>
      <c r="R1427" s="121"/>
      <c r="S1427" s="120"/>
      <c r="T1427" s="121"/>
      <c r="U1427" s="120"/>
      <c r="V1427" s="123"/>
      <c r="W1427" s="125"/>
      <c r="X1427" s="142" t="s">
        <v>4285</v>
      </c>
      <c r="Y1427" s="143"/>
      <c r="Z1427" s="143"/>
      <c r="AA1427" s="143"/>
      <c r="AB1427" s="144"/>
      <c r="AC1427" s="16" t="s">
        <v>21</v>
      </c>
      <c r="AD1427" s="17" t="s">
        <v>10146</v>
      </c>
      <c r="AE1427" s="145" t="s">
        <v>1742</v>
      </c>
      <c r="AF1427" s="146"/>
      <c r="AG1427" s="146"/>
      <c r="AH1427" s="146"/>
      <c r="AI1427" s="147"/>
      <c r="AJ1427" s="148"/>
      <c r="AK1427" s="143"/>
      <c r="AL1427" s="144"/>
      <c r="AM1427" s="22"/>
      <c r="AN1427" s="149" t="s">
        <v>2131</v>
      </c>
      <c r="AO1427" s="144"/>
      <c r="AP1427" s="148">
        <v>3281</v>
      </c>
      <c r="AQ1427" s="144"/>
      <c r="AR1427" s="120"/>
      <c r="AS1427" s="121"/>
      <c r="AT1427" s="120"/>
      <c r="AU1427" s="121"/>
      <c r="AV1427" s="120"/>
      <c r="AW1427" s="121"/>
      <c r="AX1427" s="120"/>
      <c r="AY1427" s="121"/>
      <c r="AZ1427" s="138"/>
    </row>
    <row r="1428" spans="1:52" ht="17.100000000000001" customHeight="1" thickTop="1">
      <c r="A1428" s="109" t="s">
        <v>6450</v>
      </c>
      <c r="B1428" s="28">
        <v>45912</v>
      </c>
      <c r="C1428" s="25">
        <v>1385</v>
      </c>
      <c r="D1428" s="13" t="s">
        <v>1744</v>
      </c>
      <c r="E1428" s="111"/>
      <c r="F1428" s="113" t="s">
        <v>4750</v>
      </c>
      <c r="G1428" s="114"/>
      <c r="H1428" s="115"/>
      <c r="I1428" s="24"/>
      <c r="J1428" s="150" t="s">
        <v>1715</v>
      </c>
      <c r="K1428" s="118">
        <v>408000</v>
      </c>
      <c r="L1428" s="119"/>
      <c r="M1428" s="118">
        <f>K1428*0.1</f>
        <v>40800</v>
      </c>
      <c r="N1428" s="119"/>
      <c r="O1428" s="118">
        <v>0</v>
      </c>
      <c r="P1428" s="119"/>
      <c r="Q1428" s="118">
        <v>8400</v>
      </c>
      <c r="R1428" s="119"/>
      <c r="S1428" s="118">
        <v>13200</v>
      </c>
      <c r="T1428" s="119"/>
      <c r="U1428" s="118">
        <f>SUM(K1428:T1429)</f>
        <v>470400</v>
      </c>
      <c r="V1428" s="122"/>
      <c r="W1428" s="124"/>
      <c r="X1428" s="126" t="s">
        <v>4751</v>
      </c>
      <c r="Y1428" s="127"/>
      <c r="Z1428" s="127"/>
      <c r="AA1428" s="127"/>
      <c r="AB1428" s="128"/>
      <c r="AC1428" s="15" t="s">
        <v>20</v>
      </c>
      <c r="AD1428" s="129"/>
      <c r="AE1428" s="130"/>
      <c r="AF1428" s="130"/>
      <c r="AG1428" s="130"/>
      <c r="AH1428" s="130"/>
      <c r="AI1428" s="131"/>
      <c r="AJ1428" s="132"/>
      <c r="AK1428" s="127"/>
      <c r="AL1428" s="128"/>
      <c r="AM1428" s="21"/>
      <c r="AN1428" s="133">
        <v>46004</v>
      </c>
      <c r="AO1428" s="134"/>
      <c r="AP1428" s="135">
        <v>1280</v>
      </c>
      <c r="AQ1428" s="136"/>
      <c r="AR1428" s="118">
        <v>415000</v>
      </c>
      <c r="AS1428" s="119"/>
      <c r="AT1428" s="118">
        <f>AR1428*0.1</f>
        <v>41500</v>
      </c>
      <c r="AU1428" s="119"/>
      <c r="AV1428" s="118">
        <v>8400</v>
      </c>
      <c r="AW1428" s="119"/>
      <c r="AX1428" s="118">
        <f>SUM(AR1428:AW1428)</f>
        <v>464900</v>
      </c>
      <c r="AY1428" s="119"/>
      <c r="AZ1428" s="137">
        <v>46008</v>
      </c>
    </row>
    <row r="1429" spans="1:52" ht="17.100000000000001" customHeight="1" thickBot="1">
      <c r="A1429" s="110"/>
      <c r="B1429" s="27" t="s">
        <v>2641</v>
      </c>
      <c r="C1429" s="27">
        <v>2189</v>
      </c>
      <c r="D1429" s="14" t="s">
        <v>1720</v>
      </c>
      <c r="E1429" s="112"/>
      <c r="F1429" s="139" t="s">
        <v>4752</v>
      </c>
      <c r="G1429" s="140"/>
      <c r="H1429" s="141"/>
      <c r="I1429" s="26">
        <v>53531</v>
      </c>
      <c r="J1429" s="117"/>
      <c r="K1429" s="120"/>
      <c r="L1429" s="121"/>
      <c r="M1429" s="120"/>
      <c r="N1429" s="121"/>
      <c r="O1429" s="120"/>
      <c r="P1429" s="121"/>
      <c r="Q1429" s="120"/>
      <c r="R1429" s="121"/>
      <c r="S1429" s="120"/>
      <c r="T1429" s="121"/>
      <c r="U1429" s="120"/>
      <c r="V1429" s="123"/>
      <c r="W1429" s="125"/>
      <c r="X1429" s="142" t="s">
        <v>4296</v>
      </c>
      <c r="Y1429" s="143"/>
      <c r="Z1429" s="143"/>
      <c r="AA1429" s="143"/>
      <c r="AB1429" s="144"/>
      <c r="AC1429" s="16" t="s">
        <v>21</v>
      </c>
      <c r="AD1429" s="17" t="s">
        <v>1595</v>
      </c>
      <c r="AE1429" s="145" t="s">
        <v>4637</v>
      </c>
      <c r="AF1429" s="146"/>
      <c r="AG1429" s="146"/>
      <c r="AH1429" s="146"/>
      <c r="AI1429" s="147"/>
      <c r="AJ1429" s="148"/>
      <c r="AK1429" s="143"/>
      <c r="AL1429" s="144"/>
      <c r="AM1429" s="22"/>
      <c r="AN1429" s="149" t="s">
        <v>2511</v>
      </c>
      <c r="AO1429" s="144"/>
      <c r="AP1429" s="148">
        <v>60064</v>
      </c>
      <c r="AQ1429" s="144"/>
      <c r="AR1429" s="120"/>
      <c r="AS1429" s="121"/>
      <c r="AT1429" s="120"/>
      <c r="AU1429" s="121"/>
      <c r="AV1429" s="120"/>
      <c r="AW1429" s="121"/>
      <c r="AX1429" s="120"/>
      <c r="AY1429" s="121"/>
      <c r="AZ1429" s="138"/>
    </row>
    <row r="1430" spans="1:52" ht="17.100000000000001" customHeight="1" thickTop="1">
      <c r="A1430" s="109" t="s">
        <v>6451</v>
      </c>
      <c r="B1430" s="28">
        <v>45912</v>
      </c>
      <c r="C1430" s="25">
        <v>1385</v>
      </c>
      <c r="D1430" s="13" t="s">
        <v>1831</v>
      </c>
      <c r="E1430" s="111"/>
      <c r="F1430" s="113" t="s">
        <v>4753</v>
      </c>
      <c r="G1430" s="114"/>
      <c r="H1430" s="115"/>
      <c r="I1430" s="24" t="s">
        <v>4754</v>
      </c>
      <c r="J1430" s="116">
        <v>4</v>
      </c>
      <c r="K1430" s="118">
        <v>327000</v>
      </c>
      <c r="L1430" s="119"/>
      <c r="M1430" s="118">
        <f>K1430*0.1</f>
        <v>32700</v>
      </c>
      <c r="N1430" s="119"/>
      <c r="O1430" s="118">
        <v>0</v>
      </c>
      <c r="P1430" s="119"/>
      <c r="Q1430" s="118">
        <v>8780</v>
      </c>
      <c r="R1430" s="119"/>
      <c r="S1430" s="118">
        <v>13200</v>
      </c>
      <c r="T1430" s="119"/>
      <c r="U1430" s="118">
        <f>SUM(K1430:T1431)</f>
        <v>381680</v>
      </c>
      <c r="V1430" s="122"/>
      <c r="W1430" s="124"/>
      <c r="X1430" s="126" t="s">
        <v>4755</v>
      </c>
      <c r="Y1430" s="127"/>
      <c r="Z1430" s="127"/>
      <c r="AA1430" s="127"/>
      <c r="AB1430" s="128"/>
      <c r="AC1430" s="15" t="s">
        <v>20</v>
      </c>
      <c r="AD1430" s="129"/>
      <c r="AE1430" s="130"/>
      <c r="AF1430" s="130"/>
      <c r="AG1430" s="130"/>
      <c r="AH1430" s="130"/>
      <c r="AI1430" s="131"/>
      <c r="AJ1430" s="132"/>
      <c r="AK1430" s="127"/>
      <c r="AL1430" s="128"/>
      <c r="AM1430" s="21" t="s">
        <v>7416</v>
      </c>
      <c r="AN1430" s="133">
        <v>45934</v>
      </c>
      <c r="AO1430" s="134"/>
      <c r="AP1430" s="135">
        <v>1270</v>
      </c>
      <c r="AQ1430" s="136"/>
      <c r="AR1430" s="118">
        <v>400000</v>
      </c>
      <c r="AS1430" s="119"/>
      <c r="AT1430" s="118">
        <f>AR1430*0.1</f>
        <v>40000</v>
      </c>
      <c r="AU1430" s="119"/>
      <c r="AV1430" s="118">
        <v>8780</v>
      </c>
      <c r="AW1430" s="119"/>
      <c r="AX1430" s="118">
        <f>SUM(AR1430:AW1430)</f>
        <v>448780</v>
      </c>
      <c r="AY1430" s="119"/>
      <c r="AZ1430" s="137">
        <v>45944</v>
      </c>
    </row>
    <row r="1431" spans="1:52" ht="17.100000000000001" customHeight="1" thickBot="1">
      <c r="A1431" s="110"/>
      <c r="B1431" s="27" t="s">
        <v>2641</v>
      </c>
      <c r="C1431" s="27">
        <v>2223</v>
      </c>
      <c r="D1431" s="14" t="s">
        <v>3855</v>
      </c>
      <c r="E1431" s="112"/>
      <c r="F1431" s="139" t="s">
        <v>4756</v>
      </c>
      <c r="G1431" s="140"/>
      <c r="H1431" s="141"/>
      <c r="I1431" s="26">
        <v>61903</v>
      </c>
      <c r="J1431" s="117"/>
      <c r="K1431" s="120"/>
      <c r="L1431" s="121"/>
      <c r="M1431" s="120"/>
      <c r="N1431" s="121"/>
      <c r="O1431" s="120"/>
      <c r="P1431" s="121"/>
      <c r="Q1431" s="120"/>
      <c r="R1431" s="121"/>
      <c r="S1431" s="120"/>
      <c r="T1431" s="121"/>
      <c r="U1431" s="120"/>
      <c r="V1431" s="123"/>
      <c r="W1431" s="125"/>
      <c r="X1431" s="142" t="s">
        <v>4757</v>
      </c>
      <c r="Y1431" s="143"/>
      <c r="Z1431" s="143"/>
      <c r="AA1431" s="143"/>
      <c r="AB1431" s="144"/>
      <c r="AC1431" s="16" t="s">
        <v>21</v>
      </c>
      <c r="AD1431" s="17" t="s">
        <v>1595</v>
      </c>
      <c r="AE1431" s="145" t="s">
        <v>171</v>
      </c>
      <c r="AF1431" s="146"/>
      <c r="AG1431" s="146"/>
      <c r="AH1431" s="146"/>
      <c r="AI1431" s="147"/>
      <c r="AJ1431" s="148"/>
      <c r="AK1431" s="143"/>
      <c r="AL1431" s="144"/>
      <c r="AM1431" s="22"/>
      <c r="AN1431" s="149" t="s">
        <v>6749</v>
      </c>
      <c r="AO1431" s="144"/>
      <c r="AP1431" s="148">
        <v>60244</v>
      </c>
      <c r="AQ1431" s="144"/>
      <c r="AR1431" s="120"/>
      <c r="AS1431" s="121"/>
      <c r="AT1431" s="120"/>
      <c r="AU1431" s="121"/>
      <c r="AV1431" s="120"/>
      <c r="AW1431" s="121"/>
      <c r="AX1431" s="120"/>
      <c r="AY1431" s="121"/>
      <c r="AZ1431" s="138"/>
    </row>
    <row r="1432" spans="1:52" ht="17.100000000000001" customHeight="1" thickTop="1">
      <c r="A1432" s="109" t="s">
        <v>6452</v>
      </c>
      <c r="B1432" s="28">
        <v>45912</v>
      </c>
      <c r="C1432" s="25">
        <v>1385</v>
      </c>
      <c r="D1432" s="13" t="s">
        <v>1725</v>
      </c>
      <c r="E1432" s="111"/>
      <c r="F1432" s="113" t="s">
        <v>4758</v>
      </c>
      <c r="G1432" s="114"/>
      <c r="H1432" s="115"/>
      <c r="I1432" s="24" t="s">
        <v>4759</v>
      </c>
      <c r="J1432" s="116">
        <v>4</v>
      </c>
      <c r="K1432" s="118">
        <v>564000</v>
      </c>
      <c r="L1432" s="119"/>
      <c r="M1432" s="118">
        <f>K1432*0.1</f>
        <v>56400</v>
      </c>
      <c r="N1432" s="119"/>
      <c r="O1432" s="118">
        <v>0</v>
      </c>
      <c r="P1432" s="119"/>
      <c r="Q1432" s="118">
        <v>7140</v>
      </c>
      <c r="R1432" s="119"/>
      <c r="S1432" s="118">
        <v>13200</v>
      </c>
      <c r="T1432" s="119"/>
      <c r="U1432" s="118">
        <f>SUM(K1432:T1433)</f>
        <v>640740</v>
      </c>
      <c r="V1432" s="122"/>
      <c r="W1432" s="124"/>
      <c r="X1432" s="126" t="s">
        <v>4760</v>
      </c>
      <c r="Y1432" s="127"/>
      <c r="Z1432" s="127"/>
      <c r="AA1432" s="127"/>
      <c r="AB1432" s="128"/>
      <c r="AC1432" s="15" t="s">
        <v>20</v>
      </c>
      <c r="AD1432" s="129" t="s">
        <v>171</v>
      </c>
      <c r="AE1432" s="130"/>
      <c r="AF1432" s="130"/>
      <c r="AG1432" s="130"/>
      <c r="AH1432" s="130"/>
      <c r="AI1432" s="131"/>
      <c r="AJ1432" s="132"/>
      <c r="AK1432" s="127"/>
      <c r="AL1432" s="128"/>
      <c r="AM1432" s="21" t="s">
        <v>8304</v>
      </c>
      <c r="AN1432" s="133">
        <v>45941</v>
      </c>
      <c r="AO1432" s="134"/>
      <c r="AP1432" s="135">
        <v>1271</v>
      </c>
      <c r="AQ1432" s="136"/>
      <c r="AR1432" s="118">
        <v>620000</v>
      </c>
      <c r="AS1432" s="119"/>
      <c r="AT1432" s="118">
        <f>AR1432*0.1</f>
        <v>62000</v>
      </c>
      <c r="AU1432" s="119"/>
      <c r="AV1432" s="118">
        <v>7140</v>
      </c>
      <c r="AW1432" s="119"/>
      <c r="AX1432" s="118">
        <f>SUM(AR1432:AW1432)</f>
        <v>689140</v>
      </c>
      <c r="AY1432" s="119"/>
      <c r="AZ1432" s="137">
        <v>45950</v>
      </c>
    </row>
    <row r="1433" spans="1:52" ht="17.100000000000001" customHeight="1" thickBot="1">
      <c r="A1433" s="110"/>
      <c r="B1433" s="27" t="s">
        <v>2641</v>
      </c>
      <c r="C1433" s="27">
        <v>3146</v>
      </c>
      <c r="D1433" s="14" t="s">
        <v>275</v>
      </c>
      <c r="E1433" s="112"/>
      <c r="F1433" s="139" t="s">
        <v>4761</v>
      </c>
      <c r="G1433" s="140"/>
      <c r="H1433" s="141"/>
      <c r="I1433" s="26">
        <v>57762</v>
      </c>
      <c r="J1433" s="117"/>
      <c r="K1433" s="120"/>
      <c r="L1433" s="121"/>
      <c r="M1433" s="120"/>
      <c r="N1433" s="121"/>
      <c r="O1433" s="120"/>
      <c r="P1433" s="121"/>
      <c r="Q1433" s="120"/>
      <c r="R1433" s="121"/>
      <c r="S1433" s="120"/>
      <c r="T1433" s="121"/>
      <c r="U1433" s="120"/>
      <c r="V1433" s="123"/>
      <c r="W1433" s="125"/>
      <c r="X1433" s="142" t="s">
        <v>4762</v>
      </c>
      <c r="Y1433" s="143"/>
      <c r="Z1433" s="143"/>
      <c r="AA1433" s="143"/>
      <c r="AB1433" s="144"/>
      <c r="AC1433" s="16" t="s">
        <v>21</v>
      </c>
      <c r="AD1433" s="17" t="s">
        <v>1595</v>
      </c>
      <c r="AE1433" s="145" t="s">
        <v>2395</v>
      </c>
      <c r="AF1433" s="146"/>
      <c r="AG1433" s="146"/>
      <c r="AH1433" s="146"/>
      <c r="AI1433" s="147"/>
      <c r="AJ1433" s="148"/>
      <c r="AK1433" s="143"/>
      <c r="AL1433" s="144"/>
      <c r="AM1433" s="22"/>
      <c r="AN1433" s="149" t="s">
        <v>2511</v>
      </c>
      <c r="AO1433" s="144"/>
      <c r="AP1433" s="148">
        <v>60252</v>
      </c>
      <c r="AQ1433" s="144"/>
      <c r="AR1433" s="120"/>
      <c r="AS1433" s="121"/>
      <c r="AT1433" s="120"/>
      <c r="AU1433" s="121"/>
      <c r="AV1433" s="120"/>
      <c r="AW1433" s="121"/>
      <c r="AX1433" s="120"/>
      <c r="AY1433" s="121"/>
      <c r="AZ1433" s="138"/>
    </row>
    <row r="1434" spans="1:52" ht="17.100000000000001" customHeight="1" thickTop="1">
      <c r="A1434" s="109" t="s">
        <v>6453</v>
      </c>
      <c r="B1434" s="28">
        <v>45912</v>
      </c>
      <c r="C1434" s="25">
        <v>1385</v>
      </c>
      <c r="D1434" s="13" t="s">
        <v>2059</v>
      </c>
      <c r="E1434" s="111"/>
      <c r="F1434" s="113" t="s">
        <v>4763</v>
      </c>
      <c r="G1434" s="114"/>
      <c r="H1434" s="115"/>
      <c r="I1434" s="24" t="s">
        <v>4764</v>
      </c>
      <c r="J1434" s="116">
        <v>4</v>
      </c>
      <c r="K1434" s="118">
        <v>1149000</v>
      </c>
      <c r="L1434" s="119"/>
      <c r="M1434" s="118">
        <f>K1434*0.1</f>
        <v>114900</v>
      </c>
      <c r="N1434" s="119"/>
      <c r="O1434" s="118">
        <v>0</v>
      </c>
      <c r="P1434" s="119"/>
      <c r="Q1434" s="118">
        <v>7500</v>
      </c>
      <c r="R1434" s="119"/>
      <c r="S1434" s="118">
        <v>13200</v>
      </c>
      <c r="T1434" s="119"/>
      <c r="U1434" s="118">
        <f>SUM(K1434:T1435)</f>
        <v>1284600</v>
      </c>
      <c r="V1434" s="122"/>
      <c r="W1434" s="124"/>
      <c r="X1434" s="126" t="s">
        <v>4765</v>
      </c>
      <c r="Y1434" s="127"/>
      <c r="Z1434" s="127"/>
      <c r="AA1434" s="127"/>
      <c r="AB1434" s="128"/>
      <c r="AC1434" s="15" t="s">
        <v>20</v>
      </c>
      <c r="AD1434" s="129" t="s">
        <v>1565</v>
      </c>
      <c r="AE1434" s="130"/>
      <c r="AF1434" s="130"/>
      <c r="AG1434" s="130"/>
      <c r="AH1434" s="130"/>
      <c r="AI1434" s="131"/>
      <c r="AJ1434" s="132"/>
      <c r="AK1434" s="127"/>
      <c r="AL1434" s="128"/>
      <c r="AM1434" s="21" t="s">
        <v>7354</v>
      </c>
      <c r="AN1434" s="133">
        <v>45934</v>
      </c>
      <c r="AO1434" s="134"/>
      <c r="AP1434" s="135">
        <v>1270</v>
      </c>
      <c r="AQ1434" s="136"/>
      <c r="AR1434" s="118">
        <v>1165000</v>
      </c>
      <c r="AS1434" s="119"/>
      <c r="AT1434" s="118">
        <f>AR1434*0.1</f>
        <v>116500</v>
      </c>
      <c r="AU1434" s="119"/>
      <c r="AV1434" s="118">
        <v>7500</v>
      </c>
      <c r="AW1434" s="119"/>
      <c r="AX1434" s="118">
        <f>SUM(AR1434:AW1434)</f>
        <v>1289000</v>
      </c>
      <c r="AY1434" s="119"/>
      <c r="AZ1434" s="137">
        <v>45939</v>
      </c>
    </row>
    <row r="1435" spans="1:52" ht="17.100000000000001" customHeight="1" thickBot="1">
      <c r="A1435" s="110"/>
      <c r="B1435" s="27" t="s">
        <v>2641</v>
      </c>
      <c r="C1435" s="27">
        <v>3195</v>
      </c>
      <c r="D1435" s="14" t="s">
        <v>2601</v>
      </c>
      <c r="E1435" s="112"/>
      <c r="F1435" s="139" t="s">
        <v>4766</v>
      </c>
      <c r="G1435" s="140"/>
      <c r="H1435" s="141"/>
      <c r="I1435" s="26">
        <v>56965</v>
      </c>
      <c r="J1435" s="117"/>
      <c r="K1435" s="120"/>
      <c r="L1435" s="121"/>
      <c r="M1435" s="120"/>
      <c r="N1435" s="121"/>
      <c r="O1435" s="120"/>
      <c r="P1435" s="121"/>
      <c r="Q1435" s="120"/>
      <c r="R1435" s="121"/>
      <c r="S1435" s="120"/>
      <c r="T1435" s="121"/>
      <c r="U1435" s="120"/>
      <c r="V1435" s="123"/>
      <c r="W1435" s="125"/>
      <c r="X1435" s="142" t="s">
        <v>4767</v>
      </c>
      <c r="Y1435" s="143"/>
      <c r="Z1435" s="143"/>
      <c r="AA1435" s="143"/>
      <c r="AB1435" s="144"/>
      <c r="AC1435" s="16" t="s">
        <v>21</v>
      </c>
      <c r="AD1435" s="17" t="s">
        <v>2098</v>
      </c>
      <c r="AE1435" s="145" t="s">
        <v>3123</v>
      </c>
      <c r="AF1435" s="146"/>
      <c r="AG1435" s="146"/>
      <c r="AH1435" s="146"/>
      <c r="AI1435" s="147"/>
      <c r="AJ1435" s="148"/>
      <c r="AK1435" s="143"/>
      <c r="AL1435" s="144"/>
      <c r="AM1435" s="22"/>
      <c r="AN1435" s="149" t="s">
        <v>7284</v>
      </c>
      <c r="AO1435" s="144"/>
      <c r="AP1435" s="148">
        <v>60118</v>
      </c>
      <c r="AQ1435" s="144"/>
      <c r="AR1435" s="120"/>
      <c r="AS1435" s="121"/>
      <c r="AT1435" s="120"/>
      <c r="AU1435" s="121"/>
      <c r="AV1435" s="120"/>
      <c r="AW1435" s="121"/>
      <c r="AX1435" s="120"/>
      <c r="AY1435" s="121"/>
      <c r="AZ1435" s="138"/>
    </row>
    <row r="1436" spans="1:52" ht="17.100000000000001" customHeight="1" thickTop="1">
      <c r="A1436" s="109" t="s">
        <v>6454</v>
      </c>
      <c r="B1436" s="28">
        <v>45912</v>
      </c>
      <c r="C1436" s="25">
        <v>1385</v>
      </c>
      <c r="D1436" s="13" t="s">
        <v>2606</v>
      </c>
      <c r="E1436" s="111"/>
      <c r="F1436" s="113" t="s">
        <v>4768</v>
      </c>
      <c r="G1436" s="114"/>
      <c r="H1436" s="115"/>
      <c r="I1436" s="24" t="s">
        <v>4769</v>
      </c>
      <c r="J1436" s="116">
        <v>4</v>
      </c>
      <c r="K1436" s="118">
        <v>2400000</v>
      </c>
      <c r="L1436" s="119"/>
      <c r="M1436" s="118">
        <f>K1436*0.1</f>
        <v>240000</v>
      </c>
      <c r="N1436" s="119"/>
      <c r="O1436" s="118">
        <f>18000+1800</f>
        <v>19800</v>
      </c>
      <c r="P1436" s="119"/>
      <c r="Q1436" s="118">
        <v>21480</v>
      </c>
      <c r="R1436" s="119"/>
      <c r="S1436" s="118">
        <f>18000+1800</f>
        <v>19800</v>
      </c>
      <c r="T1436" s="119"/>
      <c r="U1436" s="118">
        <f>SUM(K1436:T1437)</f>
        <v>2701080</v>
      </c>
      <c r="V1436" s="122"/>
      <c r="W1436" s="124"/>
      <c r="X1436" s="126" t="s">
        <v>4770</v>
      </c>
      <c r="Y1436" s="127"/>
      <c r="Z1436" s="127"/>
      <c r="AA1436" s="127"/>
      <c r="AB1436" s="128"/>
      <c r="AC1436" s="15" t="s">
        <v>20</v>
      </c>
      <c r="AD1436" s="129" t="s">
        <v>171</v>
      </c>
      <c r="AE1436" s="130"/>
      <c r="AF1436" s="130"/>
      <c r="AG1436" s="130"/>
      <c r="AH1436" s="130"/>
      <c r="AI1436" s="131"/>
      <c r="AJ1436" s="132"/>
      <c r="AK1436" s="127"/>
      <c r="AL1436" s="128"/>
      <c r="AM1436" s="21"/>
      <c r="AN1436" s="133">
        <v>45941</v>
      </c>
      <c r="AO1436" s="134"/>
      <c r="AP1436" s="135">
        <v>1271</v>
      </c>
      <c r="AQ1436" s="136"/>
      <c r="AR1436" s="118">
        <v>2585000</v>
      </c>
      <c r="AS1436" s="119"/>
      <c r="AT1436" s="118">
        <f>AR1436*0.1</f>
        <v>258500</v>
      </c>
      <c r="AU1436" s="119"/>
      <c r="AV1436" s="118">
        <v>21480</v>
      </c>
      <c r="AW1436" s="119"/>
      <c r="AX1436" s="118">
        <f>SUM(AR1436:AW1436)</f>
        <v>2864980</v>
      </c>
      <c r="AY1436" s="119"/>
      <c r="AZ1436" s="137">
        <v>45944</v>
      </c>
    </row>
    <row r="1437" spans="1:52" ht="17.100000000000001" customHeight="1" thickBot="1">
      <c r="A1437" s="110"/>
      <c r="B1437" s="27" t="s">
        <v>2641</v>
      </c>
      <c r="C1437" s="27">
        <v>3291</v>
      </c>
      <c r="D1437" s="14" t="s">
        <v>1720</v>
      </c>
      <c r="E1437" s="112"/>
      <c r="F1437" s="139" t="s">
        <v>4771</v>
      </c>
      <c r="G1437" s="140"/>
      <c r="H1437" s="141"/>
      <c r="I1437" s="26">
        <v>28746</v>
      </c>
      <c r="J1437" s="117"/>
      <c r="K1437" s="120"/>
      <c r="L1437" s="121"/>
      <c r="M1437" s="120"/>
      <c r="N1437" s="121"/>
      <c r="O1437" s="120"/>
      <c r="P1437" s="121"/>
      <c r="Q1437" s="120"/>
      <c r="R1437" s="121"/>
      <c r="S1437" s="120"/>
      <c r="T1437" s="121"/>
      <c r="U1437" s="120"/>
      <c r="V1437" s="123"/>
      <c r="W1437" s="125"/>
      <c r="X1437" s="142" t="s">
        <v>4772</v>
      </c>
      <c r="Y1437" s="143"/>
      <c r="Z1437" s="143"/>
      <c r="AA1437" s="143"/>
      <c r="AB1437" s="144"/>
      <c r="AC1437" s="16" t="s">
        <v>21</v>
      </c>
      <c r="AD1437" s="17" t="s">
        <v>1595</v>
      </c>
      <c r="AE1437" s="145" t="s">
        <v>4773</v>
      </c>
      <c r="AF1437" s="146"/>
      <c r="AG1437" s="146"/>
      <c r="AH1437" s="146"/>
      <c r="AI1437" s="147"/>
      <c r="AJ1437" s="148"/>
      <c r="AK1437" s="143"/>
      <c r="AL1437" s="144"/>
      <c r="AM1437" s="22"/>
      <c r="AN1437" s="149" t="s">
        <v>2511</v>
      </c>
      <c r="AO1437" s="144"/>
      <c r="AP1437" s="148">
        <v>80107</v>
      </c>
      <c r="AQ1437" s="144"/>
      <c r="AR1437" s="120"/>
      <c r="AS1437" s="121"/>
      <c r="AT1437" s="120"/>
      <c r="AU1437" s="121"/>
      <c r="AV1437" s="120"/>
      <c r="AW1437" s="121"/>
      <c r="AX1437" s="120"/>
      <c r="AY1437" s="121"/>
      <c r="AZ1437" s="138"/>
    </row>
    <row r="1438" spans="1:52" ht="17.100000000000001" customHeight="1" thickTop="1">
      <c r="A1438" s="109" t="s">
        <v>6455</v>
      </c>
      <c r="B1438" s="28">
        <v>45913</v>
      </c>
      <c r="C1438" s="25"/>
      <c r="D1438" s="13" t="s">
        <v>1953</v>
      </c>
      <c r="E1438" s="111"/>
      <c r="F1438" s="113" t="s">
        <v>1871</v>
      </c>
      <c r="G1438" s="114"/>
      <c r="H1438" s="115"/>
      <c r="I1438" s="24" t="s">
        <v>4774</v>
      </c>
      <c r="J1438" s="116"/>
      <c r="K1438" s="118">
        <v>2028480</v>
      </c>
      <c r="L1438" s="119"/>
      <c r="M1438" s="118">
        <v>0</v>
      </c>
      <c r="N1438" s="119"/>
      <c r="O1438" s="118">
        <v>0</v>
      </c>
      <c r="P1438" s="119"/>
      <c r="Q1438" s="118">
        <v>0</v>
      </c>
      <c r="R1438" s="119"/>
      <c r="S1438" s="118">
        <v>0</v>
      </c>
      <c r="T1438" s="119"/>
      <c r="U1438" s="118">
        <f>SUM(K1438:T1439)</f>
        <v>2028480</v>
      </c>
      <c r="V1438" s="122"/>
      <c r="W1438" s="124"/>
      <c r="X1438" s="126" t="s">
        <v>4775</v>
      </c>
      <c r="Y1438" s="127"/>
      <c r="Z1438" s="127"/>
      <c r="AA1438" s="127"/>
      <c r="AB1438" s="128"/>
      <c r="AC1438" s="15" t="s">
        <v>20</v>
      </c>
      <c r="AD1438" s="129"/>
      <c r="AE1438" s="130"/>
      <c r="AF1438" s="130"/>
      <c r="AG1438" s="130"/>
      <c r="AH1438" s="130"/>
      <c r="AI1438" s="131"/>
      <c r="AJ1438" s="132"/>
      <c r="AK1438" s="127"/>
      <c r="AL1438" s="128"/>
      <c r="AM1438" s="21"/>
      <c r="AN1438" s="133">
        <v>46318</v>
      </c>
      <c r="AO1438" s="134"/>
      <c r="AP1438" s="135"/>
      <c r="AQ1438" s="136"/>
      <c r="AR1438" s="118">
        <v>2867900</v>
      </c>
      <c r="AS1438" s="119"/>
      <c r="AT1438" s="118">
        <v>0</v>
      </c>
      <c r="AU1438" s="119"/>
      <c r="AV1438" s="118">
        <v>0</v>
      </c>
      <c r="AW1438" s="119"/>
      <c r="AX1438" s="118">
        <f>SUM(AR1438:AW1438)</f>
        <v>2867900</v>
      </c>
      <c r="AY1438" s="119"/>
      <c r="AZ1438" s="137">
        <v>46342</v>
      </c>
    </row>
    <row r="1439" spans="1:52" ht="17.100000000000001" customHeight="1" thickBot="1">
      <c r="A1439" s="110"/>
      <c r="B1439" s="27" t="s">
        <v>4776</v>
      </c>
      <c r="C1439" s="27"/>
      <c r="D1439" s="14"/>
      <c r="E1439" s="112"/>
      <c r="F1439" s="139" t="s">
        <v>4777</v>
      </c>
      <c r="G1439" s="140"/>
      <c r="H1439" s="141"/>
      <c r="I1439" s="26">
        <v>26377</v>
      </c>
      <c r="J1439" s="117"/>
      <c r="K1439" s="120"/>
      <c r="L1439" s="121"/>
      <c r="M1439" s="120"/>
      <c r="N1439" s="121"/>
      <c r="O1439" s="120"/>
      <c r="P1439" s="121"/>
      <c r="Q1439" s="120"/>
      <c r="R1439" s="121"/>
      <c r="S1439" s="120"/>
      <c r="T1439" s="121"/>
      <c r="U1439" s="120"/>
      <c r="V1439" s="123"/>
      <c r="W1439" s="125"/>
      <c r="X1439" s="142" t="s">
        <v>3602</v>
      </c>
      <c r="Y1439" s="143"/>
      <c r="Z1439" s="143"/>
      <c r="AA1439" s="143"/>
      <c r="AB1439" s="144"/>
      <c r="AC1439" s="16" t="s">
        <v>21</v>
      </c>
      <c r="AD1439" s="17" t="s">
        <v>2119</v>
      </c>
      <c r="AE1439" s="145" t="s">
        <v>1742</v>
      </c>
      <c r="AF1439" s="146"/>
      <c r="AG1439" s="146"/>
      <c r="AH1439" s="146"/>
      <c r="AI1439" s="147"/>
      <c r="AJ1439" s="148"/>
      <c r="AK1439" s="143"/>
      <c r="AL1439" s="144"/>
      <c r="AM1439" s="22"/>
      <c r="AN1439" s="149" t="s">
        <v>15422</v>
      </c>
      <c r="AO1439" s="144"/>
      <c r="AP1439" s="148"/>
      <c r="AQ1439" s="144"/>
      <c r="AR1439" s="120"/>
      <c r="AS1439" s="121"/>
      <c r="AT1439" s="120"/>
      <c r="AU1439" s="121"/>
      <c r="AV1439" s="120"/>
      <c r="AW1439" s="121"/>
      <c r="AX1439" s="120"/>
      <c r="AY1439" s="121"/>
      <c r="AZ1439" s="138"/>
    </row>
    <row r="1440" spans="1:52" ht="17.100000000000001" customHeight="1" thickTop="1">
      <c r="A1440" s="109" t="s">
        <v>6456</v>
      </c>
      <c r="B1440" s="28">
        <v>45913</v>
      </c>
      <c r="C1440" s="25">
        <v>1510</v>
      </c>
      <c r="D1440" s="13" t="s">
        <v>4121</v>
      </c>
      <c r="E1440" s="111"/>
      <c r="F1440" s="113" t="s">
        <v>4778</v>
      </c>
      <c r="G1440" s="114"/>
      <c r="H1440" s="115"/>
      <c r="I1440" s="24" t="s">
        <v>4123</v>
      </c>
      <c r="J1440" s="116">
        <v>4</v>
      </c>
      <c r="K1440" s="118">
        <v>1205000</v>
      </c>
      <c r="L1440" s="119"/>
      <c r="M1440" s="118">
        <f>K1440*0.1</f>
        <v>120500</v>
      </c>
      <c r="N1440" s="119"/>
      <c r="O1440" s="118">
        <f>19700+1970</f>
        <v>21670</v>
      </c>
      <c r="P1440" s="119"/>
      <c r="Q1440" s="118">
        <v>20540</v>
      </c>
      <c r="R1440" s="119"/>
      <c r="S1440" s="118">
        <v>16500</v>
      </c>
      <c r="T1440" s="119"/>
      <c r="U1440" s="118">
        <f>SUM(K1440:T1441)</f>
        <v>1384210</v>
      </c>
      <c r="V1440" s="122"/>
      <c r="W1440" s="124"/>
      <c r="X1440" s="126" t="s">
        <v>4779</v>
      </c>
      <c r="Y1440" s="127"/>
      <c r="Z1440" s="127"/>
      <c r="AA1440" s="127"/>
      <c r="AB1440" s="128"/>
      <c r="AC1440" s="15" t="s">
        <v>20</v>
      </c>
      <c r="AD1440" s="129" t="s">
        <v>1670</v>
      </c>
      <c r="AE1440" s="130"/>
      <c r="AF1440" s="130"/>
      <c r="AG1440" s="130"/>
      <c r="AH1440" s="130"/>
      <c r="AI1440" s="131"/>
      <c r="AJ1440" s="132"/>
      <c r="AK1440" s="127"/>
      <c r="AL1440" s="128"/>
      <c r="AM1440" s="21"/>
      <c r="AN1440" s="133">
        <v>45946</v>
      </c>
      <c r="AO1440" s="134"/>
      <c r="AP1440" s="135">
        <v>1302</v>
      </c>
      <c r="AQ1440" s="136"/>
      <c r="AR1440" s="118">
        <v>1350000</v>
      </c>
      <c r="AS1440" s="119"/>
      <c r="AT1440" s="118">
        <f>AR1440*0.1</f>
        <v>135000</v>
      </c>
      <c r="AU1440" s="119"/>
      <c r="AV1440" s="118">
        <v>20540</v>
      </c>
      <c r="AW1440" s="119"/>
      <c r="AX1440" s="118">
        <f>SUM(AR1440:AW1440)</f>
        <v>1505540</v>
      </c>
      <c r="AY1440" s="119"/>
      <c r="AZ1440" s="137">
        <v>45947</v>
      </c>
    </row>
    <row r="1441" spans="1:52" ht="17.100000000000001" customHeight="1" thickBot="1">
      <c r="A1441" s="110"/>
      <c r="B1441" s="27" t="s">
        <v>1555</v>
      </c>
      <c r="C1441" s="27">
        <v>50104</v>
      </c>
      <c r="D1441" s="14" t="s">
        <v>1592</v>
      </c>
      <c r="E1441" s="112"/>
      <c r="F1441" s="139" t="s">
        <v>4780</v>
      </c>
      <c r="G1441" s="140"/>
      <c r="H1441" s="141"/>
      <c r="I1441" s="26">
        <v>69696</v>
      </c>
      <c r="J1441" s="117"/>
      <c r="K1441" s="120"/>
      <c r="L1441" s="121"/>
      <c r="M1441" s="120"/>
      <c r="N1441" s="121"/>
      <c r="O1441" s="120"/>
      <c r="P1441" s="121"/>
      <c r="Q1441" s="120"/>
      <c r="R1441" s="121"/>
      <c r="S1441" s="120"/>
      <c r="T1441" s="121"/>
      <c r="U1441" s="120"/>
      <c r="V1441" s="123"/>
      <c r="W1441" s="125"/>
      <c r="X1441" s="142" t="s">
        <v>1594</v>
      </c>
      <c r="Y1441" s="143"/>
      <c r="Z1441" s="143"/>
      <c r="AA1441" s="143"/>
      <c r="AB1441" s="144"/>
      <c r="AC1441" s="16" t="s">
        <v>21</v>
      </c>
      <c r="AD1441" s="17" t="s">
        <v>1571</v>
      </c>
      <c r="AE1441" s="145" t="s">
        <v>1742</v>
      </c>
      <c r="AF1441" s="146"/>
      <c r="AG1441" s="146"/>
      <c r="AH1441" s="146"/>
      <c r="AI1441" s="147"/>
      <c r="AJ1441" s="148"/>
      <c r="AK1441" s="143"/>
      <c r="AL1441" s="144"/>
      <c r="AM1441" s="22" t="s">
        <v>3483</v>
      </c>
      <c r="AN1441" s="149" t="s">
        <v>1747</v>
      </c>
      <c r="AO1441" s="144"/>
      <c r="AP1441" s="148">
        <v>537</v>
      </c>
      <c r="AQ1441" s="144"/>
      <c r="AR1441" s="120"/>
      <c r="AS1441" s="121"/>
      <c r="AT1441" s="120"/>
      <c r="AU1441" s="121"/>
      <c r="AV1441" s="120"/>
      <c r="AW1441" s="121"/>
      <c r="AX1441" s="120"/>
      <c r="AY1441" s="121"/>
      <c r="AZ1441" s="138"/>
    </row>
    <row r="1442" spans="1:52" ht="17.100000000000001" customHeight="1" thickTop="1">
      <c r="A1442" s="109" t="s">
        <v>6457</v>
      </c>
      <c r="B1442" s="28">
        <v>45913</v>
      </c>
      <c r="C1442" s="25">
        <v>1510</v>
      </c>
      <c r="D1442" s="13" t="s">
        <v>1825</v>
      </c>
      <c r="E1442" s="111"/>
      <c r="F1442" s="113" t="s">
        <v>4781</v>
      </c>
      <c r="G1442" s="114"/>
      <c r="H1442" s="115"/>
      <c r="I1442" s="24"/>
      <c r="J1442" s="116">
        <v>4.5</v>
      </c>
      <c r="K1442" s="118">
        <v>1655000</v>
      </c>
      <c r="L1442" s="119"/>
      <c r="M1442" s="118">
        <f>K1442*0.1</f>
        <v>165500</v>
      </c>
      <c r="N1442" s="119"/>
      <c r="O1442" s="118">
        <v>0</v>
      </c>
      <c r="P1442" s="119"/>
      <c r="Q1442" s="118">
        <v>16250</v>
      </c>
      <c r="R1442" s="119"/>
      <c r="S1442" s="118">
        <v>16500</v>
      </c>
      <c r="T1442" s="119"/>
      <c r="U1442" s="118">
        <f>SUM(K1442:T1443)</f>
        <v>1853250</v>
      </c>
      <c r="V1442" s="122"/>
      <c r="W1442" s="124"/>
      <c r="X1442" s="126" t="s">
        <v>4782</v>
      </c>
      <c r="Y1442" s="127"/>
      <c r="Z1442" s="127"/>
      <c r="AA1442" s="127"/>
      <c r="AB1442" s="128"/>
      <c r="AC1442" s="15" t="s">
        <v>20</v>
      </c>
      <c r="AD1442" s="129" t="s">
        <v>1565</v>
      </c>
      <c r="AE1442" s="130"/>
      <c r="AF1442" s="130"/>
      <c r="AG1442" s="130"/>
      <c r="AH1442" s="130"/>
      <c r="AI1442" s="131"/>
      <c r="AJ1442" s="132"/>
      <c r="AK1442" s="127"/>
      <c r="AL1442" s="128"/>
      <c r="AM1442" s="21"/>
      <c r="AN1442" s="133">
        <v>45941</v>
      </c>
      <c r="AO1442" s="134"/>
      <c r="AP1442" s="135">
        <v>1271</v>
      </c>
      <c r="AQ1442" s="136"/>
      <c r="AR1442" s="118">
        <v>1745000</v>
      </c>
      <c r="AS1442" s="119"/>
      <c r="AT1442" s="118">
        <f>AR1442*0.1</f>
        <v>174500</v>
      </c>
      <c r="AU1442" s="119"/>
      <c r="AV1442" s="118">
        <v>16250</v>
      </c>
      <c r="AW1442" s="119"/>
      <c r="AX1442" s="118">
        <f>SUM(AR1442:AW1442)</f>
        <v>1935750</v>
      </c>
      <c r="AY1442" s="119"/>
      <c r="AZ1442" s="137">
        <v>45944</v>
      </c>
    </row>
    <row r="1443" spans="1:52" ht="17.100000000000001" customHeight="1" thickBot="1">
      <c r="A1443" s="110"/>
      <c r="B1443" s="27" t="s">
        <v>1555</v>
      </c>
      <c r="C1443" s="27">
        <v>83041</v>
      </c>
      <c r="D1443" s="14" t="s">
        <v>2836</v>
      </c>
      <c r="E1443" s="112"/>
      <c r="F1443" s="139" t="s">
        <v>4783</v>
      </c>
      <c r="G1443" s="140"/>
      <c r="H1443" s="141"/>
      <c r="I1443" s="26">
        <v>20790</v>
      </c>
      <c r="J1443" s="117"/>
      <c r="K1443" s="120"/>
      <c r="L1443" s="121"/>
      <c r="M1443" s="120"/>
      <c r="N1443" s="121"/>
      <c r="O1443" s="120"/>
      <c r="P1443" s="121"/>
      <c r="Q1443" s="120"/>
      <c r="R1443" s="121"/>
      <c r="S1443" s="120"/>
      <c r="T1443" s="121"/>
      <c r="U1443" s="120"/>
      <c r="V1443" s="123"/>
      <c r="W1443" s="125"/>
      <c r="X1443" s="142" t="s">
        <v>4784</v>
      </c>
      <c r="Y1443" s="143"/>
      <c r="Z1443" s="143"/>
      <c r="AA1443" s="143"/>
      <c r="AB1443" s="144"/>
      <c r="AC1443" s="16" t="s">
        <v>21</v>
      </c>
      <c r="AD1443" s="17" t="s">
        <v>1595</v>
      </c>
      <c r="AE1443" s="145" t="s">
        <v>1742</v>
      </c>
      <c r="AF1443" s="146"/>
      <c r="AG1443" s="146"/>
      <c r="AH1443" s="146"/>
      <c r="AI1443" s="147"/>
      <c r="AJ1443" s="148"/>
      <c r="AK1443" s="143"/>
      <c r="AL1443" s="144"/>
      <c r="AM1443" s="22"/>
      <c r="AN1443" s="149" t="s">
        <v>2511</v>
      </c>
      <c r="AO1443" s="144"/>
      <c r="AP1443" s="148">
        <v>80040</v>
      </c>
      <c r="AQ1443" s="144"/>
      <c r="AR1443" s="120"/>
      <c r="AS1443" s="121"/>
      <c r="AT1443" s="120"/>
      <c r="AU1443" s="121"/>
      <c r="AV1443" s="120"/>
      <c r="AW1443" s="121"/>
      <c r="AX1443" s="120"/>
      <c r="AY1443" s="121"/>
      <c r="AZ1443" s="138"/>
    </row>
    <row r="1444" spans="1:52" ht="17.100000000000001" customHeight="1" thickTop="1">
      <c r="A1444" s="109" t="s">
        <v>6458</v>
      </c>
      <c r="B1444" s="28">
        <v>45913</v>
      </c>
      <c r="C1444" s="25">
        <v>1689</v>
      </c>
      <c r="D1444" s="13" t="s">
        <v>4121</v>
      </c>
      <c r="E1444" s="111"/>
      <c r="F1444" s="113" t="s">
        <v>4785</v>
      </c>
      <c r="G1444" s="114"/>
      <c r="H1444" s="115"/>
      <c r="I1444" s="24"/>
      <c r="J1444" s="116">
        <v>4.5</v>
      </c>
      <c r="K1444" s="118">
        <v>1835000</v>
      </c>
      <c r="L1444" s="119"/>
      <c r="M1444" s="118">
        <f>K1444*0.1</f>
        <v>183500</v>
      </c>
      <c r="N1444" s="119"/>
      <c r="O1444" s="118">
        <v>0</v>
      </c>
      <c r="P1444" s="119"/>
      <c r="Q1444" s="118">
        <v>11740</v>
      </c>
      <c r="R1444" s="119"/>
      <c r="S1444" s="118">
        <v>14300</v>
      </c>
      <c r="T1444" s="119"/>
      <c r="U1444" s="118">
        <f>SUM(K1444:T1445)</f>
        <v>2044540</v>
      </c>
      <c r="V1444" s="122"/>
      <c r="W1444" s="124"/>
      <c r="X1444" s="126" t="s">
        <v>4786</v>
      </c>
      <c r="Y1444" s="127"/>
      <c r="Z1444" s="127"/>
      <c r="AA1444" s="127"/>
      <c r="AB1444" s="128"/>
      <c r="AC1444" s="15" t="s">
        <v>20</v>
      </c>
      <c r="AD1444" s="129"/>
      <c r="AE1444" s="130"/>
      <c r="AF1444" s="130"/>
      <c r="AG1444" s="130"/>
      <c r="AH1444" s="130"/>
      <c r="AI1444" s="131"/>
      <c r="AJ1444" s="132"/>
      <c r="AK1444" s="127"/>
      <c r="AL1444" s="128"/>
      <c r="AM1444" s="21"/>
      <c r="AN1444" s="133">
        <v>46298</v>
      </c>
      <c r="AO1444" s="134"/>
      <c r="AP1444" s="135"/>
      <c r="AQ1444" s="136"/>
      <c r="AR1444" s="118">
        <v>3071300</v>
      </c>
      <c r="AS1444" s="119"/>
      <c r="AT1444" s="118">
        <v>0</v>
      </c>
      <c r="AU1444" s="119"/>
      <c r="AV1444" s="118">
        <v>0</v>
      </c>
      <c r="AW1444" s="119"/>
      <c r="AX1444" s="118">
        <f>SUM(AR1444:AW1444)</f>
        <v>3071300</v>
      </c>
      <c r="AY1444" s="119"/>
      <c r="AZ1444" s="137">
        <v>46348</v>
      </c>
    </row>
    <row r="1445" spans="1:52" ht="17.100000000000001" customHeight="1" thickBot="1">
      <c r="A1445" s="110"/>
      <c r="B1445" s="27" t="s">
        <v>1859</v>
      </c>
      <c r="C1445" s="27">
        <v>332</v>
      </c>
      <c r="D1445" s="14" t="s">
        <v>133</v>
      </c>
      <c r="E1445" s="112"/>
      <c r="F1445" s="139" t="s">
        <v>4787</v>
      </c>
      <c r="G1445" s="140"/>
      <c r="H1445" s="141"/>
      <c r="I1445" s="26">
        <v>54159</v>
      </c>
      <c r="J1445" s="117"/>
      <c r="K1445" s="120"/>
      <c r="L1445" s="121"/>
      <c r="M1445" s="120"/>
      <c r="N1445" s="121"/>
      <c r="O1445" s="120"/>
      <c r="P1445" s="121"/>
      <c r="Q1445" s="120"/>
      <c r="R1445" s="121"/>
      <c r="S1445" s="120"/>
      <c r="T1445" s="121"/>
      <c r="U1445" s="120"/>
      <c r="V1445" s="123"/>
      <c r="W1445" s="125"/>
      <c r="X1445" s="142" t="s">
        <v>2440</v>
      </c>
      <c r="Y1445" s="143"/>
      <c r="Z1445" s="143"/>
      <c r="AA1445" s="143"/>
      <c r="AB1445" s="144"/>
      <c r="AC1445" s="16" t="s">
        <v>21</v>
      </c>
      <c r="AD1445" s="17" t="s">
        <v>1595</v>
      </c>
      <c r="AE1445" s="145" t="s">
        <v>1732</v>
      </c>
      <c r="AF1445" s="146"/>
      <c r="AG1445" s="146"/>
      <c r="AH1445" s="146"/>
      <c r="AI1445" s="147"/>
      <c r="AJ1445" s="148"/>
      <c r="AK1445" s="143"/>
      <c r="AL1445" s="144"/>
      <c r="AM1445" s="22"/>
      <c r="AN1445" s="149" t="s">
        <v>15424</v>
      </c>
      <c r="AO1445" s="144"/>
      <c r="AP1445" s="148"/>
      <c r="AQ1445" s="144"/>
      <c r="AR1445" s="120"/>
      <c r="AS1445" s="121"/>
      <c r="AT1445" s="120"/>
      <c r="AU1445" s="121"/>
      <c r="AV1445" s="120"/>
      <c r="AW1445" s="121"/>
      <c r="AX1445" s="120"/>
      <c r="AY1445" s="121"/>
      <c r="AZ1445" s="138"/>
    </row>
    <row r="1446" spans="1:52" ht="17.100000000000001" customHeight="1" thickTop="1">
      <c r="A1446" s="109" t="s">
        <v>6459</v>
      </c>
      <c r="B1446" s="28">
        <v>45913</v>
      </c>
      <c r="C1446" s="25"/>
      <c r="D1446" s="13" t="s">
        <v>1649</v>
      </c>
      <c r="E1446" s="111"/>
      <c r="F1446" s="113" t="s">
        <v>4788</v>
      </c>
      <c r="G1446" s="114"/>
      <c r="H1446" s="115"/>
      <c r="I1446" s="24" t="s">
        <v>4789</v>
      </c>
      <c r="J1446" s="116">
        <v>4</v>
      </c>
      <c r="K1446" s="118">
        <f>423500/1.1</f>
        <v>384999.99999999994</v>
      </c>
      <c r="L1446" s="119"/>
      <c r="M1446" s="118">
        <f>K1446*0.1</f>
        <v>38499.999999999993</v>
      </c>
      <c r="N1446" s="119"/>
      <c r="O1446" s="118">
        <v>0</v>
      </c>
      <c r="P1446" s="119"/>
      <c r="Q1446" s="118">
        <v>9070</v>
      </c>
      <c r="R1446" s="119"/>
      <c r="S1446" s="118">
        <v>48343</v>
      </c>
      <c r="T1446" s="119"/>
      <c r="U1446" s="118">
        <f>SUM(K1446:T1447)</f>
        <v>480912.99999999994</v>
      </c>
      <c r="V1446" s="122"/>
      <c r="W1446" s="124"/>
      <c r="X1446" s="126" t="s">
        <v>10205</v>
      </c>
      <c r="Y1446" s="127"/>
      <c r="Z1446" s="127"/>
      <c r="AA1446" s="127"/>
      <c r="AB1446" s="128"/>
      <c r="AC1446" s="15" t="s">
        <v>20</v>
      </c>
      <c r="AD1446" s="129" t="s">
        <v>1605</v>
      </c>
      <c r="AE1446" s="130"/>
      <c r="AF1446" s="130"/>
      <c r="AG1446" s="130"/>
      <c r="AH1446" s="130"/>
      <c r="AI1446" s="131"/>
      <c r="AJ1446" s="132"/>
      <c r="AK1446" s="127"/>
      <c r="AL1446" s="128"/>
      <c r="AM1446" s="21"/>
      <c r="AN1446" s="133">
        <v>45983</v>
      </c>
      <c r="AO1446" s="134"/>
      <c r="AP1446" s="135">
        <v>1277</v>
      </c>
      <c r="AQ1446" s="136"/>
      <c r="AR1446" s="118">
        <v>525000</v>
      </c>
      <c r="AS1446" s="119"/>
      <c r="AT1446" s="118">
        <f>AR1446*0.1</f>
        <v>52500</v>
      </c>
      <c r="AU1446" s="119"/>
      <c r="AV1446" s="118">
        <v>9070</v>
      </c>
      <c r="AW1446" s="119"/>
      <c r="AX1446" s="118">
        <f>SUM(AR1446:AW1446)</f>
        <v>586570</v>
      </c>
      <c r="AY1446" s="119"/>
      <c r="AZ1446" s="137">
        <v>45987</v>
      </c>
    </row>
    <row r="1447" spans="1:52" ht="17.100000000000001" customHeight="1" thickBot="1">
      <c r="A1447" s="110"/>
      <c r="B1447" s="27" t="s">
        <v>1718</v>
      </c>
      <c r="C1447" s="27" t="s">
        <v>4790</v>
      </c>
      <c r="D1447" s="14" t="s">
        <v>1812</v>
      </c>
      <c r="E1447" s="112"/>
      <c r="F1447" s="139" t="s">
        <v>4791</v>
      </c>
      <c r="G1447" s="140"/>
      <c r="H1447" s="141"/>
      <c r="I1447" s="26">
        <v>41665</v>
      </c>
      <c r="J1447" s="117"/>
      <c r="K1447" s="120"/>
      <c r="L1447" s="121"/>
      <c r="M1447" s="120"/>
      <c r="N1447" s="121"/>
      <c r="O1447" s="120"/>
      <c r="P1447" s="121"/>
      <c r="Q1447" s="120"/>
      <c r="R1447" s="121"/>
      <c r="S1447" s="120"/>
      <c r="T1447" s="121"/>
      <c r="U1447" s="120"/>
      <c r="V1447" s="123"/>
      <c r="W1447" s="125"/>
      <c r="X1447" s="142" t="s">
        <v>10206</v>
      </c>
      <c r="Y1447" s="143"/>
      <c r="Z1447" s="143"/>
      <c r="AA1447" s="143"/>
      <c r="AB1447" s="144"/>
      <c r="AC1447" s="16" t="s">
        <v>21</v>
      </c>
      <c r="AD1447" s="17" t="s">
        <v>3397</v>
      </c>
      <c r="AE1447" s="145" t="s">
        <v>1633</v>
      </c>
      <c r="AF1447" s="146"/>
      <c r="AG1447" s="146"/>
      <c r="AH1447" s="146"/>
      <c r="AI1447" s="147"/>
      <c r="AJ1447" s="148"/>
      <c r="AK1447" s="143"/>
      <c r="AL1447" s="144"/>
      <c r="AM1447" s="22"/>
      <c r="AN1447" s="149" t="s">
        <v>2511</v>
      </c>
      <c r="AO1447" s="144"/>
      <c r="AP1447" s="148">
        <v>31141</v>
      </c>
      <c r="AQ1447" s="144"/>
      <c r="AR1447" s="120"/>
      <c r="AS1447" s="121"/>
      <c r="AT1447" s="120"/>
      <c r="AU1447" s="121"/>
      <c r="AV1447" s="120"/>
      <c r="AW1447" s="121"/>
      <c r="AX1447" s="120"/>
      <c r="AY1447" s="121"/>
      <c r="AZ1447" s="138"/>
    </row>
    <row r="1448" spans="1:52" ht="17.100000000000001" customHeight="1" thickTop="1">
      <c r="A1448" s="151" t="s">
        <v>6460</v>
      </c>
      <c r="B1448" s="28">
        <v>45913</v>
      </c>
      <c r="C1448" s="25">
        <v>1267</v>
      </c>
      <c r="D1448" s="13" t="s">
        <v>4792</v>
      </c>
      <c r="E1448" s="111"/>
      <c r="F1448" s="113" t="s">
        <v>4793</v>
      </c>
      <c r="G1448" s="114"/>
      <c r="H1448" s="115"/>
      <c r="I1448" s="24"/>
      <c r="J1448" s="116">
        <v>4</v>
      </c>
      <c r="K1448" s="118">
        <v>273000</v>
      </c>
      <c r="L1448" s="119"/>
      <c r="M1448" s="118">
        <f>K1448*0.1</f>
        <v>27300</v>
      </c>
      <c r="N1448" s="119"/>
      <c r="O1448" s="118">
        <v>0</v>
      </c>
      <c r="P1448" s="119"/>
      <c r="Q1448" s="118">
        <v>8670</v>
      </c>
      <c r="R1448" s="119"/>
      <c r="S1448" s="118">
        <v>9900</v>
      </c>
      <c r="T1448" s="119"/>
      <c r="U1448" s="118">
        <f>SUM(K1448:T1449)</f>
        <v>318870</v>
      </c>
      <c r="V1448" s="122"/>
      <c r="W1448" s="124"/>
      <c r="X1448" s="126" t="s">
        <v>4794</v>
      </c>
      <c r="Y1448" s="127"/>
      <c r="Z1448" s="127"/>
      <c r="AA1448" s="127"/>
      <c r="AB1448" s="128"/>
      <c r="AC1448" s="15" t="s">
        <v>20</v>
      </c>
      <c r="AD1448" s="129"/>
      <c r="AE1448" s="130"/>
      <c r="AF1448" s="130"/>
      <c r="AG1448" s="130"/>
      <c r="AH1448" s="130"/>
      <c r="AI1448" s="131"/>
      <c r="AJ1448" s="132"/>
      <c r="AK1448" s="127"/>
      <c r="AL1448" s="128"/>
      <c r="AM1448" s="21"/>
      <c r="AN1448" s="133">
        <v>46032</v>
      </c>
      <c r="AO1448" s="134"/>
      <c r="AP1448" s="135">
        <v>1283</v>
      </c>
      <c r="AQ1448" s="136"/>
      <c r="AR1448" s="118">
        <v>250000</v>
      </c>
      <c r="AS1448" s="119"/>
      <c r="AT1448" s="118">
        <f>AR1448*0.1</f>
        <v>25000</v>
      </c>
      <c r="AU1448" s="119"/>
      <c r="AV1448" s="118">
        <v>8670</v>
      </c>
      <c r="AW1448" s="119"/>
      <c r="AX1448" s="118">
        <f>SUM(AR1448:AW1448)</f>
        <v>283670</v>
      </c>
      <c r="AY1448" s="119"/>
      <c r="AZ1448" s="137">
        <v>46036</v>
      </c>
    </row>
    <row r="1449" spans="1:52" ht="17.100000000000001" customHeight="1" thickBot="1">
      <c r="A1449" s="152"/>
      <c r="B1449" s="27" t="s">
        <v>2511</v>
      </c>
      <c r="C1449" s="27">
        <v>63207</v>
      </c>
      <c r="D1449" s="14" t="s">
        <v>55</v>
      </c>
      <c r="E1449" s="112"/>
      <c r="F1449" s="139" t="s">
        <v>4795</v>
      </c>
      <c r="G1449" s="140"/>
      <c r="H1449" s="141"/>
      <c r="I1449" s="26">
        <v>55505</v>
      </c>
      <c r="J1449" s="117"/>
      <c r="K1449" s="120"/>
      <c r="L1449" s="121"/>
      <c r="M1449" s="120"/>
      <c r="N1449" s="121"/>
      <c r="O1449" s="120"/>
      <c r="P1449" s="121"/>
      <c r="Q1449" s="120"/>
      <c r="R1449" s="121"/>
      <c r="S1449" s="120"/>
      <c r="T1449" s="121"/>
      <c r="U1449" s="120"/>
      <c r="V1449" s="123"/>
      <c r="W1449" s="125"/>
      <c r="X1449" s="142" t="s">
        <v>4796</v>
      </c>
      <c r="Y1449" s="143"/>
      <c r="Z1449" s="143"/>
      <c r="AA1449" s="143"/>
      <c r="AB1449" s="144"/>
      <c r="AC1449" s="16" t="s">
        <v>21</v>
      </c>
      <c r="AD1449" s="17" t="s">
        <v>2148</v>
      </c>
      <c r="AE1449" s="145"/>
      <c r="AF1449" s="146"/>
      <c r="AG1449" s="146"/>
      <c r="AH1449" s="146"/>
      <c r="AI1449" s="147"/>
      <c r="AJ1449" s="148"/>
      <c r="AK1449" s="143"/>
      <c r="AL1449" s="144"/>
      <c r="AM1449" s="22"/>
      <c r="AN1449" s="149" t="s">
        <v>2511</v>
      </c>
      <c r="AO1449" s="144"/>
      <c r="AP1449" s="148">
        <v>60127</v>
      </c>
      <c r="AQ1449" s="144"/>
      <c r="AR1449" s="120"/>
      <c r="AS1449" s="121"/>
      <c r="AT1449" s="120"/>
      <c r="AU1449" s="121"/>
      <c r="AV1449" s="120"/>
      <c r="AW1449" s="121"/>
      <c r="AX1449" s="120"/>
      <c r="AY1449" s="121"/>
      <c r="AZ1449" s="138"/>
    </row>
    <row r="1450" spans="1:52" ht="17.100000000000001" customHeight="1" thickTop="1">
      <c r="A1450" s="109" t="s">
        <v>6461</v>
      </c>
      <c r="B1450" s="28">
        <v>45913</v>
      </c>
      <c r="C1450" s="25">
        <v>1267</v>
      </c>
      <c r="D1450" s="13" t="s">
        <v>1767</v>
      </c>
      <c r="E1450" s="111"/>
      <c r="F1450" s="113" t="s">
        <v>4797</v>
      </c>
      <c r="G1450" s="114"/>
      <c r="H1450" s="115"/>
      <c r="I1450" s="24" t="s">
        <v>4037</v>
      </c>
      <c r="J1450" s="116">
        <v>4</v>
      </c>
      <c r="K1450" s="118">
        <v>450000</v>
      </c>
      <c r="L1450" s="119"/>
      <c r="M1450" s="118">
        <f>K1450*0.1</f>
        <v>45000</v>
      </c>
      <c r="N1450" s="119"/>
      <c r="O1450" s="118">
        <v>0</v>
      </c>
      <c r="P1450" s="119"/>
      <c r="Q1450" s="118">
        <v>8680</v>
      </c>
      <c r="R1450" s="119"/>
      <c r="S1450" s="118">
        <v>12100</v>
      </c>
      <c r="T1450" s="119"/>
      <c r="U1450" s="118">
        <f>SUM(K1450:T1451)</f>
        <v>515780</v>
      </c>
      <c r="V1450" s="122"/>
      <c r="W1450" s="124"/>
      <c r="X1450" s="126" t="s">
        <v>4798</v>
      </c>
      <c r="Y1450" s="127"/>
      <c r="Z1450" s="127"/>
      <c r="AA1450" s="127"/>
      <c r="AB1450" s="128"/>
      <c r="AC1450" s="15" t="s">
        <v>20</v>
      </c>
      <c r="AD1450" s="129" t="s">
        <v>2745</v>
      </c>
      <c r="AE1450" s="130"/>
      <c r="AF1450" s="130"/>
      <c r="AG1450" s="130"/>
      <c r="AH1450" s="130"/>
      <c r="AI1450" s="131"/>
      <c r="AJ1450" s="132"/>
      <c r="AK1450" s="127"/>
      <c r="AL1450" s="128"/>
      <c r="AM1450" s="21"/>
      <c r="AN1450" s="133">
        <v>45948</v>
      </c>
      <c r="AO1450" s="134"/>
      <c r="AP1450" s="135">
        <v>1272</v>
      </c>
      <c r="AQ1450" s="136"/>
      <c r="AR1450" s="118">
        <v>460000</v>
      </c>
      <c r="AS1450" s="119"/>
      <c r="AT1450" s="118">
        <f>AR1450*0.1</f>
        <v>46000</v>
      </c>
      <c r="AU1450" s="119"/>
      <c r="AV1450" s="118">
        <v>8680</v>
      </c>
      <c r="AW1450" s="119"/>
      <c r="AX1450" s="118">
        <f>SUM(AR1450:AW1450)</f>
        <v>514680</v>
      </c>
      <c r="AY1450" s="119"/>
      <c r="AZ1450" s="137">
        <v>45952</v>
      </c>
    </row>
    <row r="1451" spans="1:52" ht="17.100000000000001" customHeight="1" thickBot="1">
      <c r="A1451" s="110"/>
      <c r="B1451" s="27" t="s">
        <v>2511</v>
      </c>
      <c r="C1451" s="27">
        <v>65316</v>
      </c>
      <c r="D1451" s="14" t="s">
        <v>275</v>
      </c>
      <c r="E1451" s="112"/>
      <c r="F1451" s="139" t="s">
        <v>4799</v>
      </c>
      <c r="G1451" s="140"/>
      <c r="H1451" s="141"/>
      <c r="I1451" s="26">
        <v>76428</v>
      </c>
      <c r="J1451" s="117"/>
      <c r="K1451" s="120"/>
      <c r="L1451" s="121"/>
      <c r="M1451" s="120"/>
      <c r="N1451" s="121"/>
      <c r="O1451" s="120"/>
      <c r="P1451" s="121"/>
      <c r="Q1451" s="120"/>
      <c r="R1451" s="121"/>
      <c r="S1451" s="120"/>
      <c r="T1451" s="121"/>
      <c r="U1451" s="120"/>
      <c r="V1451" s="123"/>
      <c r="W1451" s="125"/>
      <c r="X1451" s="142" t="s">
        <v>4800</v>
      </c>
      <c r="Y1451" s="143"/>
      <c r="Z1451" s="143"/>
      <c r="AA1451" s="143"/>
      <c r="AB1451" s="144"/>
      <c r="AC1451" s="16" t="s">
        <v>21</v>
      </c>
      <c r="AD1451" s="17" t="s">
        <v>4567</v>
      </c>
      <c r="AE1451" s="145" t="s">
        <v>4801</v>
      </c>
      <c r="AF1451" s="146"/>
      <c r="AG1451" s="146"/>
      <c r="AH1451" s="146"/>
      <c r="AI1451" s="147"/>
      <c r="AJ1451" s="148" t="s">
        <v>4802</v>
      </c>
      <c r="AK1451" s="143"/>
      <c r="AL1451" s="144"/>
      <c r="AM1451" s="22"/>
      <c r="AN1451" s="149" t="s">
        <v>2511</v>
      </c>
      <c r="AO1451" s="144"/>
      <c r="AP1451" s="148">
        <v>60248</v>
      </c>
      <c r="AQ1451" s="144"/>
      <c r="AR1451" s="120"/>
      <c r="AS1451" s="121"/>
      <c r="AT1451" s="120"/>
      <c r="AU1451" s="121"/>
      <c r="AV1451" s="120"/>
      <c r="AW1451" s="121"/>
      <c r="AX1451" s="120"/>
      <c r="AY1451" s="121"/>
      <c r="AZ1451" s="138"/>
    </row>
    <row r="1452" spans="1:52" ht="17.100000000000001" customHeight="1" thickTop="1">
      <c r="A1452" s="109" t="s">
        <v>6462</v>
      </c>
      <c r="B1452" s="28">
        <v>45913</v>
      </c>
      <c r="C1452" s="25">
        <v>1267</v>
      </c>
      <c r="D1452" s="13" t="s">
        <v>2442</v>
      </c>
      <c r="E1452" s="111"/>
      <c r="F1452" s="113" t="s">
        <v>2598</v>
      </c>
      <c r="G1452" s="114"/>
      <c r="H1452" s="115"/>
      <c r="I1452" s="24" t="s">
        <v>4803</v>
      </c>
      <c r="J1452" s="116">
        <v>4</v>
      </c>
      <c r="K1452" s="118">
        <v>1100000</v>
      </c>
      <c r="L1452" s="119"/>
      <c r="M1452" s="118">
        <f>K1452*0.1</f>
        <v>110000</v>
      </c>
      <c r="N1452" s="119"/>
      <c r="O1452" s="118">
        <v>0</v>
      </c>
      <c r="P1452" s="119"/>
      <c r="Q1452" s="118">
        <v>9080</v>
      </c>
      <c r="R1452" s="119"/>
      <c r="S1452" s="118">
        <v>13200</v>
      </c>
      <c r="T1452" s="119"/>
      <c r="U1452" s="118">
        <f>SUM(K1452:T1453)</f>
        <v>1232280</v>
      </c>
      <c r="V1452" s="122"/>
      <c r="W1452" s="124"/>
      <c r="X1452" s="126" t="s">
        <v>4804</v>
      </c>
      <c r="Y1452" s="127"/>
      <c r="Z1452" s="127"/>
      <c r="AA1452" s="127"/>
      <c r="AB1452" s="128"/>
      <c r="AC1452" s="15" t="s">
        <v>20</v>
      </c>
      <c r="AD1452" s="129" t="s">
        <v>1670</v>
      </c>
      <c r="AE1452" s="130"/>
      <c r="AF1452" s="130"/>
      <c r="AG1452" s="130"/>
      <c r="AH1452" s="130"/>
      <c r="AI1452" s="131"/>
      <c r="AJ1452" s="132"/>
      <c r="AK1452" s="127"/>
      <c r="AL1452" s="128"/>
      <c r="AM1452" s="21" t="s">
        <v>7553</v>
      </c>
      <c r="AN1452" s="133">
        <v>45938</v>
      </c>
      <c r="AO1452" s="134"/>
      <c r="AP1452" s="135">
        <v>987</v>
      </c>
      <c r="AQ1452" s="136"/>
      <c r="AR1452" s="118">
        <v>1265000</v>
      </c>
      <c r="AS1452" s="119"/>
      <c r="AT1452" s="118">
        <f>AR1452*0.1</f>
        <v>126500</v>
      </c>
      <c r="AU1452" s="119"/>
      <c r="AV1452" s="118">
        <v>9080</v>
      </c>
      <c r="AW1452" s="119"/>
      <c r="AX1452" s="118">
        <f>SUM(AR1452:AW1452)</f>
        <v>1400580</v>
      </c>
      <c r="AY1452" s="119"/>
      <c r="AZ1452" s="137">
        <v>45944</v>
      </c>
    </row>
    <row r="1453" spans="1:52" ht="17.100000000000001" customHeight="1" thickBot="1">
      <c r="A1453" s="110"/>
      <c r="B1453" s="27" t="s">
        <v>2511</v>
      </c>
      <c r="C1453" s="27">
        <v>65336</v>
      </c>
      <c r="D1453" s="14" t="s">
        <v>2601</v>
      </c>
      <c r="E1453" s="112"/>
      <c r="F1453" s="139" t="s">
        <v>4805</v>
      </c>
      <c r="G1453" s="140"/>
      <c r="H1453" s="141"/>
      <c r="I1453" s="26">
        <v>48000</v>
      </c>
      <c r="J1453" s="117"/>
      <c r="K1453" s="120"/>
      <c r="L1453" s="121"/>
      <c r="M1453" s="120"/>
      <c r="N1453" s="121"/>
      <c r="O1453" s="120"/>
      <c r="P1453" s="121"/>
      <c r="Q1453" s="120"/>
      <c r="R1453" s="121"/>
      <c r="S1453" s="120"/>
      <c r="T1453" s="121"/>
      <c r="U1453" s="120"/>
      <c r="V1453" s="123"/>
      <c r="W1453" s="125"/>
      <c r="X1453" s="142" t="s">
        <v>4806</v>
      </c>
      <c r="Y1453" s="143"/>
      <c r="Z1453" s="143"/>
      <c r="AA1453" s="143"/>
      <c r="AB1453" s="144"/>
      <c r="AC1453" s="16" t="s">
        <v>21</v>
      </c>
      <c r="AD1453" s="17" t="s">
        <v>4567</v>
      </c>
      <c r="AE1453" s="145" t="s">
        <v>4807</v>
      </c>
      <c r="AF1453" s="146"/>
      <c r="AG1453" s="146"/>
      <c r="AH1453" s="146"/>
      <c r="AI1453" s="147"/>
      <c r="AJ1453" s="148"/>
      <c r="AK1453" s="143"/>
      <c r="AL1453" s="144"/>
      <c r="AM1453" s="22"/>
      <c r="AN1453" s="149" t="s">
        <v>2794</v>
      </c>
      <c r="AO1453" s="144"/>
      <c r="AP1453" s="148">
        <v>2010</v>
      </c>
      <c r="AQ1453" s="144"/>
      <c r="AR1453" s="120"/>
      <c r="AS1453" s="121"/>
      <c r="AT1453" s="120"/>
      <c r="AU1453" s="121"/>
      <c r="AV1453" s="120"/>
      <c r="AW1453" s="121"/>
      <c r="AX1453" s="120"/>
      <c r="AY1453" s="121"/>
      <c r="AZ1453" s="138"/>
    </row>
    <row r="1454" spans="1:52" ht="17.100000000000001" customHeight="1" thickTop="1">
      <c r="A1454" s="109" t="s">
        <v>6463</v>
      </c>
      <c r="B1454" s="28">
        <v>45913</v>
      </c>
      <c r="C1454" s="25">
        <v>1267</v>
      </c>
      <c r="D1454" s="13" t="s">
        <v>1986</v>
      </c>
      <c r="E1454" s="111"/>
      <c r="F1454" s="113" t="s">
        <v>4808</v>
      </c>
      <c r="G1454" s="114"/>
      <c r="H1454" s="115"/>
      <c r="I1454" s="24" t="s">
        <v>4809</v>
      </c>
      <c r="J1454" s="116">
        <v>4</v>
      </c>
      <c r="K1454" s="118">
        <v>1590000</v>
      </c>
      <c r="L1454" s="119"/>
      <c r="M1454" s="118">
        <f>K1454*0.1</f>
        <v>159000</v>
      </c>
      <c r="N1454" s="119"/>
      <c r="O1454" s="118">
        <f>18000+1800</f>
        <v>19800</v>
      </c>
      <c r="P1454" s="119"/>
      <c r="Q1454" s="118">
        <v>13890</v>
      </c>
      <c r="R1454" s="119"/>
      <c r="S1454" s="118">
        <v>16500</v>
      </c>
      <c r="T1454" s="119"/>
      <c r="U1454" s="118">
        <f>SUM(K1454:T1455)</f>
        <v>1799190</v>
      </c>
      <c r="V1454" s="122"/>
      <c r="W1454" s="124"/>
      <c r="X1454" s="126" t="s">
        <v>4810</v>
      </c>
      <c r="Y1454" s="127"/>
      <c r="Z1454" s="127"/>
      <c r="AA1454" s="127"/>
      <c r="AB1454" s="128"/>
      <c r="AC1454" s="15" t="s">
        <v>20</v>
      </c>
      <c r="AD1454" s="129" t="s">
        <v>1633</v>
      </c>
      <c r="AE1454" s="130"/>
      <c r="AF1454" s="130"/>
      <c r="AG1454" s="130"/>
      <c r="AH1454" s="130"/>
      <c r="AI1454" s="131"/>
      <c r="AJ1454" s="132"/>
      <c r="AK1454" s="127"/>
      <c r="AL1454" s="128"/>
      <c r="AM1454" s="21"/>
      <c r="AN1454" s="133">
        <v>45959</v>
      </c>
      <c r="AO1454" s="134"/>
      <c r="AP1454" s="135">
        <v>990</v>
      </c>
      <c r="AQ1454" s="136"/>
      <c r="AR1454" s="118">
        <v>1705000</v>
      </c>
      <c r="AS1454" s="119"/>
      <c r="AT1454" s="118">
        <f>AR1454*0.1</f>
        <v>170500</v>
      </c>
      <c r="AU1454" s="119"/>
      <c r="AV1454" s="118">
        <v>13890</v>
      </c>
      <c r="AW1454" s="119"/>
      <c r="AX1454" s="118">
        <f>SUM(AR1454:AW1454)</f>
        <v>1889390</v>
      </c>
      <c r="AY1454" s="119"/>
      <c r="AZ1454" s="137">
        <v>45965</v>
      </c>
    </row>
    <row r="1455" spans="1:52" ht="17.100000000000001" customHeight="1" thickBot="1">
      <c r="A1455" s="110"/>
      <c r="B1455" s="27" t="s">
        <v>2511</v>
      </c>
      <c r="C1455" s="27">
        <v>82379</v>
      </c>
      <c r="D1455" s="14" t="s">
        <v>904</v>
      </c>
      <c r="E1455" s="112"/>
      <c r="F1455" s="139" t="s">
        <v>4811</v>
      </c>
      <c r="G1455" s="140"/>
      <c r="H1455" s="141"/>
      <c r="I1455" s="26">
        <v>32608</v>
      </c>
      <c r="J1455" s="117"/>
      <c r="K1455" s="120"/>
      <c r="L1455" s="121"/>
      <c r="M1455" s="120"/>
      <c r="N1455" s="121"/>
      <c r="O1455" s="120"/>
      <c r="P1455" s="121"/>
      <c r="Q1455" s="120"/>
      <c r="R1455" s="121"/>
      <c r="S1455" s="120"/>
      <c r="T1455" s="121"/>
      <c r="U1455" s="120"/>
      <c r="V1455" s="123"/>
      <c r="W1455" s="125"/>
      <c r="X1455" s="142" t="s">
        <v>2321</v>
      </c>
      <c r="Y1455" s="143"/>
      <c r="Z1455" s="143"/>
      <c r="AA1455" s="143"/>
      <c r="AB1455" s="144"/>
      <c r="AC1455" s="16" t="s">
        <v>21</v>
      </c>
      <c r="AD1455" s="17" t="s">
        <v>4567</v>
      </c>
      <c r="AE1455" s="145" t="s">
        <v>4812</v>
      </c>
      <c r="AF1455" s="146"/>
      <c r="AG1455" s="146"/>
      <c r="AH1455" s="146"/>
      <c r="AI1455" s="147"/>
      <c r="AJ1455" s="148"/>
      <c r="AK1455" s="143"/>
      <c r="AL1455" s="144"/>
      <c r="AM1455" s="22" t="s">
        <v>3483</v>
      </c>
      <c r="AN1455" s="149" t="s">
        <v>2794</v>
      </c>
      <c r="AO1455" s="144"/>
      <c r="AP1455" s="148">
        <v>6092</v>
      </c>
      <c r="AQ1455" s="144"/>
      <c r="AR1455" s="120"/>
      <c r="AS1455" s="121"/>
      <c r="AT1455" s="120"/>
      <c r="AU1455" s="121"/>
      <c r="AV1455" s="120"/>
      <c r="AW1455" s="121"/>
      <c r="AX1455" s="120"/>
      <c r="AY1455" s="121"/>
      <c r="AZ1455" s="138"/>
    </row>
    <row r="1456" spans="1:52" ht="17.100000000000001" customHeight="1" thickTop="1">
      <c r="A1456" s="109" t="s">
        <v>6464</v>
      </c>
      <c r="B1456" s="28">
        <v>45915</v>
      </c>
      <c r="C1456" s="25">
        <v>2060</v>
      </c>
      <c r="D1456" s="13" t="s">
        <v>2226</v>
      </c>
      <c r="E1456" s="111"/>
      <c r="F1456" s="113" t="s">
        <v>4813</v>
      </c>
      <c r="G1456" s="114"/>
      <c r="H1456" s="115"/>
      <c r="I1456" s="24"/>
      <c r="J1456" s="116">
        <v>5</v>
      </c>
      <c r="K1456" s="118">
        <v>1505000</v>
      </c>
      <c r="L1456" s="119"/>
      <c r="M1456" s="118">
        <f>K1456*0.1</f>
        <v>150500</v>
      </c>
      <c r="N1456" s="119"/>
      <c r="O1456" s="118">
        <v>0</v>
      </c>
      <c r="P1456" s="119"/>
      <c r="Q1456" s="118">
        <v>7150</v>
      </c>
      <c r="R1456" s="119"/>
      <c r="S1456" s="118">
        <v>8800</v>
      </c>
      <c r="T1456" s="119"/>
      <c r="U1456" s="118">
        <f>SUM(K1456:T1457)</f>
        <v>1671450</v>
      </c>
      <c r="V1456" s="122"/>
      <c r="W1456" s="124"/>
      <c r="X1456" s="126" t="s">
        <v>4814</v>
      </c>
      <c r="Y1456" s="127"/>
      <c r="Z1456" s="127"/>
      <c r="AA1456" s="127"/>
      <c r="AB1456" s="128"/>
      <c r="AC1456" s="15" t="s">
        <v>20</v>
      </c>
      <c r="AD1456" s="129"/>
      <c r="AE1456" s="130"/>
      <c r="AF1456" s="130"/>
      <c r="AG1456" s="130"/>
      <c r="AH1456" s="130"/>
      <c r="AI1456" s="131"/>
      <c r="AJ1456" s="132"/>
      <c r="AK1456" s="127"/>
      <c r="AL1456" s="128"/>
      <c r="AM1456" s="21"/>
      <c r="AN1456" s="133">
        <v>46057</v>
      </c>
      <c r="AO1456" s="134"/>
      <c r="AP1456" s="135">
        <v>1003</v>
      </c>
      <c r="AQ1456" s="136"/>
      <c r="AR1456" s="118">
        <v>1435000</v>
      </c>
      <c r="AS1456" s="119"/>
      <c r="AT1456" s="118">
        <f>AR1456*0.1</f>
        <v>143500</v>
      </c>
      <c r="AU1456" s="119"/>
      <c r="AV1456" s="118">
        <v>8750</v>
      </c>
      <c r="AW1456" s="119"/>
      <c r="AX1456" s="118">
        <f>SUM(AR1456:AW1456)</f>
        <v>1587250</v>
      </c>
      <c r="AY1456" s="119"/>
      <c r="AZ1456" s="137">
        <v>46062</v>
      </c>
    </row>
    <row r="1457" spans="1:52" ht="17.100000000000001" customHeight="1" thickBot="1">
      <c r="A1457" s="110"/>
      <c r="B1457" s="27" t="s">
        <v>83</v>
      </c>
      <c r="C1457" s="27">
        <v>24020</v>
      </c>
      <c r="D1457" s="14" t="s">
        <v>275</v>
      </c>
      <c r="E1457" s="112"/>
      <c r="F1457" s="139" t="s">
        <v>4815</v>
      </c>
      <c r="G1457" s="140"/>
      <c r="H1457" s="141"/>
      <c r="I1457" s="26">
        <v>9059</v>
      </c>
      <c r="J1457" s="117"/>
      <c r="K1457" s="120"/>
      <c r="L1457" s="121"/>
      <c r="M1457" s="120"/>
      <c r="N1457" s="121"/>
      <c r="O1457" s="120"/>
      <c r="P1457" s="121"/>
      <c r="Q1457" s="120"/>
      <c r="R1457" s="121"/>
      <c r="S1457" s="120"/>
      <c r="T1457" s="121"/>
      <c r="U1457" s="120"/>
      <c r="V1457" s="123"/>
      <c r="W1457" s="125"/>
      <c r="X1457" s="142" t="s">
        <v>4816</v>
      </c>
      <c r="Y1457" s="143"/>
      <c r="Z1457" s="143"/>
      <c r="AA1457" s="143"/>
      <c r="AB1457" s="144"/>
      <c r="AC1457" s="16" t="s">
        <v>21</v>
      </c>
      <c r="AD1457" s="17" t="s">
        <v>1571</v>
      </c>
      <c r="AE1457" s="145" t="s">
        <v>2832</v>
      </c>
      <c r="AF1457" s="146"/>
      <c r="AG1457" s="146"/>
      <c r="AH1457" s="146"/>
      <c r="AI1457" s="147"/>
      <c r="AJ1457" s="148"/>
      <c r="AK1457" s="143"/>
      <c r="AL1457" s="144"/>
      <c r="AM1457" s="22"/>
      <c r="AN1457" s="149" t="s">
        <v>2794</v>
      </c>
      <c r="AO1457" s="144"/>
      <c r="AP1457" s="148">
        <v>2032</v>
      </c>
      <c r="AQ1457" s="144"/>
      <c r="AR1457" s="120"/>
      <c r="AS1457" s="121"/>
      <c r="AT1457" s="120"/>
      <c r="AU1457" s="121"/>
      <c r="AV1457" s="120"/>
      <c r="AW1457" s="121"/>
      <c r="AX1457" s="120"/>
      <c r="AY1457" s="121"/>
      <c r="AZ1457" s="138"/>
    </row>
    <row r="1458" spans="1:52" ht="17.100000000000001" customHeight="1" thickTop="1">
      <c r="A1458" s="109" t="s">
        <v>6465</v>
      </c>
      <c r="B1458" s="28">
        <v>45915</v>
      </c>
      <c r="C1458" s="25">
        <v>2060</v>
      </c>
      <c r="D1458" s="13" t="s">
        <v>2187</v>
      </c>
      <c r="E1458" s="111"/>
      <c r="F1458" s="113" t="s">
        <v>4817</v>
      </c>
      <c r="G1458" s="114"/>
      <c r="H1458" s="115"/>
      <c r="I1458" s="24"/>
      <c r="J1458" s="116">
        <v>4.5</v>
      </c>
      <c r="K1458" s="118">
        <v>1915000</v>
      </c>
      <c r="L1458" s="119"/>
      <c r="M1458" s="118">
        <f>K1458*0.1</f>
        <v>191500</v>
      </c>
      <c r="N1458" s="119"/>
      <c r="O1458" s="118">
        <v>0</v>
      </c>
      <c r="P1458" s="119"/>
      <c r="Q1458" s="118">
        <v>15170</v>
      </c>
      <c r="R1458" s="119"/>
      <c r="S1458" s="118">
        <v>11000</v>
      </c>
      <c r="T1458" s="119"/>
      <c r="U1458" s="118">
        <f>SUM(K1458:T1459)</f>
        <v>2132670</v>
      </c>
      <c r="V1458" s="122"/>
      <c r="W1458" s="124"/>
      <c r="X1458" s="126" t="s">
        <v>4818</v>
      </c>
      <c r="Y1458" s="127"/>
      <c r="Z1458" s="127"/>
      <c r="AA1458" s="127"/>
      <c r="AB1458" s="128"/>
      <c r="AC1458" s="15" t="s">
        <v>20</v>
      </c>
      <c r="AD1458" s="129" t="s">
        <v>171</v>
      </c>
      <c r="AE1458" s="130"/>
      <c r="AF1458" s="130"/>
      <c r="AG1458" s="130"/>
      <c r="AH1458" s="130"/>
      <c r="AI1458" s="131"/>
      <c r="AJ1458" s="132"/>
      <c r="AK1458" s="127"/>
      <c r="AL1458" s="128"/>
      <c r="AM1458" s="21"/>
      <c r="AN1458" s="133">
        <v>45955</v>
      </c>
      <c r="AO1458" s="134"/>
      <c r="AP1458" s="135">
        <v>1273</v>
      </c>
      <c r="AQ1458" s="136"/>
      <c r="AR1458" s="118">
        <v>2000000</v>
      </c>
      <c r="AS1458" s="119"/>
      <c r="AT1458" s="118">
        <f>AR1458*0.1</f>
        <v>200000</v>
      </c>
      <c r="AU1458" s="119"/>
      <c r="AV1458" s="118">
        <v>15180</v>
      </c>
      <c r="AW1458" s="119"/>
      <c r="AX1458" s="118">
        <f>SUM(AR1458:AW1458)</f>
        <v>2215180</v>
      </c>
      <c r="AY1458" s="119"/>
      <c r="AZ1458" s="137">
        <v>45958</v>
      </c>
    </row>
    <row r="1459" spans="1:52" ht="17.100000000000001" customHeight="1" thickBot="1">
      <c r="A1459" s="110"/>
      <c r="B1459" s="27" t="s">
        <v>83</v>
      </c>
      <c r="C1459" s="27">
        <v>33507</v>
      </c>
      <c r="D1459" s="14" t="s">
        <v>133</v>
      </c>
      <c r="E1459" s="112"/>
      <c r="F1459" s="139" t="s">
        <v>4819</v>
      </c>
      <c r="G1459" s="140"/>
      <c r="H1459" s="141"/>
      <c r="I1459" s="26">
        <v>35270</v>
      </c>
      <c r="J1459" s="117"/>
      <c r="K1459" s="120"/>
      <c r="L1459" s="121"/>
      <c r="M1459" s="120"/>
      <c r="N1459" s="121"/>
      <c r="O1459" s="120"/>
      <c r="P1459" s="121"/>
      <c r="Q1459" s="120"/>
      <c r="R1459" s="121"/>
      <c r="S1459" s="120"/>
      <c r="T1459" s="121"/>
      <c r="U1459" s="120"/>
      <c r="V1459" s="123"/>
      <c r="W1459" s="125"/>
      <c r="X1459" s="142" t="s">
        <v>4820</v>
      </c>
      <c r="Y1459" s="143"/>
      <c r="Z1459" s="143"/>
      <c r="AA1459" s="143"/>
      <c r="AB1459" s="144"/>
      <c r="AC1459" s="16" t="s">
        <v>21</v>
      </c>
      <c r="AD1459" s="17" t="s">
        <v>1571</v>
      </c>
      <c r="AE1459" s="145" t="s">
        <v>1742</v>
      </c>
      <c r="AF1459" s="146"/>
      <c r="AG1459" s="146"/>
      <c r="AH1459" s="146"/>
      <c r="AI1459" s="147"/>
      <c r="AJ1459" s="148"/>
      <c r="AK1459" s="143"/>
      <c r="AL1459" s="144"/>
      <c r="AM1459" s="22"/>
      <c r="AN1459" s="149" t="s">
        <v>2511</v>
      </c>
      <c r="AO1459" s="144"/>
      <c r="AP1459" s="148">
        <v>80037</v>
      </c>
      <c r="AQ1459" s="144"/>
      <c r="AR1459" s="120"/>
      <c r="AS1459" s="121"/>
      <c r="AT1459" s="120"/>
      <c r="AU1459" s="121"/>
      <c r="AV1459" s="120"/>
      <c r="AW1459" s="121"/>
      <c r="AX1459" s="120"/>
      <c r="AY1459" s="121"/>
      <c r="AZ1459" s="138"/>
    </row>
    <row r="1460" spans="1:52" ht="17.100000000000001" customHeight="1" thickTop="1">
      <c r="A1460" s="109" t="s">
        <v>6466</v>
      </c>
      <c r="B1460" s="28">
        <v>45915</v>
      </c>
      <c r="C1460" s="25">
        <v>2060</v>
      </c>
      <c r="D1460" s="13" t="s">
        <v>2616</v>
      </c>
      <c r="E1460" s="111"/>
      <c r="F1460" s="113" t="s">
        <v>4821</v>
      </c>
      <c r="G1460" s="114"/>
      <c r="H1460" s="115"/>
      <c r="I1460" s="24" t="s">
        <v>3509</v>
      </c>
      <c r="J1460" s="116">
        <v>4.5</v>
      </c>
      <c r="K1460" s="118">
        <v>1395000</v>
      </c>
      <c r="L1460" s="119"/>
      <c r="M1460" s="118">
        <f>K1460*0.1</f>
        <v>139500</v>
      </c>
      <c r="N1460" s="119"/>
      <c r="O1460" s="118">
        <f>15200+1520</f>
        <v>16720</v>
      </c>
      <c r="P1460" s="119"/>
      <c r="Q1460" s="118">
        <v>15160</v>
      </c>
      <c r="R1460" s="119"/>
      <c r="S1460" s="118">
        <v>11000</v>
      </c>
      <c r="T1460" s="119"/>
      <c r="U1460" s="118">
        <f>SUM(K1460:T1461)</f>
        <v>1577380</v>
      </c>
      <c r="V1460" s="122"/>
      <c r="W1460" s="124"/>
      <c r="X1460" s="126" t="s">
        <v>4822</v>
      </c>
      <c r="Y1460" s="127"/>
      <c r="Z1460" s="127"/>
      <c r="AA1460" s="127"/>
      <c r="AB1460" s="128"/>
      <c r="AC1460" s="15" t="s">
        <v>20</v>
      </c>
      <c r="AD1460" s="129" t="s">
        <v>4462</v>
      </c>
      <c r="AE1460" s="130"/>
      <c r="AF1460" s="130"/>
      <c r="AG1460" s="130"/>
      <c r="AH1460" s="130"/>
      <c r="AI1460" s="131"/>
      <c r="AJ1460" s="132"/>
      <c r="AK1460" s="127"/>
      <c r="AL1460" s="128"/>
      <c r="AM1460" s="21"/>
      <c r="AN1460" s="133">
        <v>45934</v>
      </c>
      <c r="AO1460" s="134"/>
      <c r="AP1460" s="135">
        <v>1270</v>
      </c>
      <c r="AQ1460" s="136"/>
      <c r="AR1460" s="118">
        <v>1515000</v>
      </c>
      <c r="AS1460" s="119"/>
      <c r="AT1460" s="118">
        <f>AR1460*0.1</f>
        <v>151500</v>
      </c>
      <c r="AU1460" s="119"/>
      <c r="AV1460" s="118">
        <v>15160</v>
      </c>
      <c r="AW1460" s="119"/>
      <c r="AX1460" s="118">
        <f>SUM(AR1460:AW1460)</f>
        <v>1681660</v>
      </c>
      <c r="AY1460" s="119"/>
      <c r="AZ1460" s="137">
        <v>45938</v>
      </c>
    </row>
    <row r="1461" spans="1:52" ht="17.100000000000001" customHeight="1" thickBot="1">
      <c r="A1461" s="110"/>
      <c r="B1461" s="27" t="s">
        <v>83</v>
      </c>
      <c r="C1461" s="27">
        <v>33509</v>
      </c>
      <c r="D1461" s="14" t="s">
        <v>2601</v>
      </c>
      <c r="E1461" s="112"/>
      <c r="F1461" s="139" t="s">
        <v>4823</v>
      </c>
      <c r="G1461" s="140"/>
      <c r="H1461" s="141"/>
      <c r="I1461" s="26">
        <v>51847</v>
      </c>
      <c r="J1461" s="117"/>
      <c r="K1461" s="120"/>
      <c r="L1461" s="121"/>
      <c r="M1461" s="120"/>
      <c r="N1461" s="121"/>
      <c r="O1461" s="120"/>
      <c r="P1461" s="121"/>
      <c r="Q1461" s="120"/>
      <c r="R1461" s="121"/>
      <c r="S1461" s="120"/>
      <c r="T1461" s="121"/>
      <c r="U1461" s="120"/>
      <c r="V1461" s="123"/>
      <c r="W1461" s="125"/>
      <c r="X1461" s="142" t="s">
        <v>4820</v>
      </c>
      <c r="Y1461" s="143"/>
      <c r="Z1461" s="143"/>
      <c r="AA1461" s="143"/>
      <c r="AB1461" s="144"/>
      <c r="AC1461" s="16" t="s">
        <v>21</v>
      </c>
      <c r="AD1461" s="17" t="s">
        <v>4567</v>
      </c>
      <c r="AE1461" s="145" t="s">
        <v>4773</v>
      </c>
      <c r="AF1461" s="146"/>
      <c r="AG1461" s="146"/>
      <c r="AH1461" s="146"/>
      <c r="AI1461" s="147"/>
      <c r="AJ1461" s="148"/>
      <c r="AK1461" s="143"/>
      <c r="AL1461" s="144"/>
      <c r="AM1461" s="22"/>
      <c r="AN1461" s="149" t="s">
        <v>7284</v>
      </c>
      <c r="AO1461" s="144"/>
      <c r="AP1461" s="148">
        <v>80030</v>
      </c>
      <c r="AQ1461" s="144"/>
      <c r="AR1461" s="120"/>
      <c r="AS1461" s="121"/>
      <c r="AT1461" s="120"/>
      <c r="AU1461" s="121"/>
      <c r="AV1461" s="120"/>
      <c r="AW1461" s="121"/>
      <c r="AX1461" s="120"/>
      <c r="AY1461" s="121"/>
      <c r="AZ1461" s="138"/>
    </row>
    <row r="1462" spans="1:52" ht="17.100000000000001" customHeight="1" thickTop="1">
      <c r="A1462" s="109" t="s">
        <v>6467</v>
      </c>
      <c r="B1462" s="28">
        <v>45915</v>
      </c>
      <c r="C1462" s="25">
        <v>2060</v>
      </c>
      <c r="D1462" s="13" t="s">
        <v>4824</v>
      </c>
      <c r="E1462" s="111"/>
      <c r="F1462" s="113" t="s">
        <v>4825</v>
      </c>
      <c r="G1462" s="114"/>
      <c r="H1462" s="115"/>
      <c r="I1462" s="24"/>
      <c r="J1462" s="116">
        <v>4</v>
      </c>
      <c r="K1462" s="118">
        <v>432000</v>
      </c>
      <c r="L1462" s="119"/>
      <c r="M1462" s="118">
        <f>K1462*0.1</f>
        <v>43200</v>
      </c>
      <c r="N1462" s="119"/>
      <c r="O1462" s="118">
        <v>0</v>
      </c>
      <c r="P1462" s="119"/>
      <c r="Q1462" s="118">
        <v>17940</v>
      </c>
      <c r="R1462" s="119"/>
      <c r="S1462" s="118">
        <v>11000</v>
      </c>
      <c r="T1462" s="119"/>
      <c r="U1462" s="118">
        <f>SUM(K1462:T1463)</f>
        <v>504140</v>
      </c>
      <c r="V1462" s="122"/>
      <c r="W1462" s="124"/>
      <c r="X1462" s="126" t="s">
        <v>4826</v>
      </c>
      <c r="Y1462" s="127"/>
      <c r="Z1462" s="127"/>
      <c r="AA1462" s="127"/>
      <c r="AB1462" s="128"/>
      <c r="AC1462" s="15" t="s">
        <v>20</v>
      </c>
      <c r="AD1462" s="129"/>
      <c r="AE1462" s="130"/>
      <c r="AF1462" s="130"/>
      <c r="AG1462" s="130"/>
      <c r="AH1462" s="130"/>
      <c r="AI1462" s="131"/>
      <c r="AJ1462" s="132"/>
      <c r="AK1462" s="127"/>
      <c r="AL1462" s="128"/>
      <c r="AM1462" s="21"/>
      <c r="AN1462" s="133">
        <v>45948</v>
      </c>
      <c r="AO1462" s="134"/>
      <c r="AP1462" s="135">
        <v>1272</v>
      </c>
      <c r="AQ1462" s="136"/>
      <c r="AR1462" s="118">
        <v>635000</v>
      </c>
      <c r="AS1462" s="119"/>
      <c r="AT1462" s="118">
        <f>AR1462*0.1</f>
        <v>63500</v>
      </c>
      <c r="AU1462" s="119"/>
      <c r="AV1462" s="118">
        <v>17940</v>
      </c>
      <c r="AW1462" s="119"/>
      <c r="AX1462" s="118">
        <f>SUM(AR1462:AW1462)</f>
        <v>716440</v>
      </c>
      <c r="AY1462" s="119"/>
      <c r="AZ1462" s="137">
        <v>45951</v>
      </c>
    </row>
    <row r="1463" spans="1:52" ht="17.100000000000001" customHeight="1" thickBot="1">
      <c r="A1463" s="110"/>
      <c r="B1463" s="27" t="s">
        <v>83</v>
      </c>
      <c r="C1463" s="27">
        <v>34508</v>
      </c>
      <c r="D1463" s="14" t="s">
        <v>133</v>
      </c>
      <c r="E1463" s="112"/>
      <c r="F1463" s="139" t="s">
        <v>4827</v>
      </c>
      <c r="G1463" s="140"/>
      <c r="H1463" s="141"/>
      <c r="I1463" s="26">
        <v>48031</v>
      </c>
      <c r="J1463" s="117"/>
      <c r="K1463" s="120"/>
      <c r="L1463" s="121"/>
      <c r="M1463" s="120"/>
      <c r="N1463" s="121"/>
      <c r="O1463" s="120"/>
      <c r="P1463" s="121"/>
      <c r="Q1463" s="120"/>
      <c r="R1463" s="121"/>
      <c r="S1463" s="120"/>
      <c r="T1463" s="121"/>
      <c r="U1463" s="120"/>
      <c r="V1463" s="123"/>
      <c r="W1463" s="125"/>
      <c r="X1463" s="142" t="s">
        <v>4828</v>
      </c>
      <c r="Y1463" s="143"/>
      <c r="Z1463" s="143"/>
      <c r="AA1463" s="143"/>
      <c r="AB1463" s="144"/>
      <c r="AC1463" s="16" t="s">
        <v>21</v>
      </c>
      <c r="AD1463" s="17" t="s">
        <v>4567</v>
      </c>
      <c r="AE1463" s="145" t="s">
        <v>4773</v>
      </c>
      <c r="AF1463" s="146"/>
      <c r="AG1463" s="146"/>
      <c r="AH1463" s="146"/>
      <c r="AI1463" s="147"/>
      <c r="AJ1463" s="148"/>
      <c r="AK1463" s="143"/>
      <c r="AL1463" s="144"/>
      <c r="AM1463" s="22"/>
      <c r="AN1463" s="149" t="s">
        <v>2511</v>
      </c>
      <c r="AO1463" s="144"/>
      <c r="AP1463" s="148">
        <v>80039</v>
      </c>
      <c r="AQ1463" s="144"/>
      <c r="AR1463" s="120"/>
      <c r="AS1463" s="121"/>
      <c r="AT1463" s="120"/>
      <c r="AU1463" s="121"/>
      <c r="AV1463" s="120"/>
      <c r="AW1463" s="121"/>
      <c r="AX1463" s="120"/>
      <c r="AY1463" s="121"/>
      <c r="AZ1463" s="138"/>
    </row>
    <row r="1464" spans="1:52" ht="17.100000000000001" customHeight="1" thickTop="1">
      <c r="A1464" s="109" t="s">
        <v>6468</v>
      </c>
      <c r="B1464" s="28">
        <v>45915</v>
      </c>
      <c r="C1464" s="25"/>
      <c r="D1464" s="13" t="s">
        <v>1855</v>
      </c>
      <c r="E1464" s="111"/>
      <c r="F1464" s="113" t="s">
        <v>4829</v>
      </c>
      <c r="G1464" s="114"/>
      <c r="H1464" s="115"/>
      <c r="I1464" s="24" t="s">
        <v>4193</v>
      </c>
      <c r="J1464" s="116">
        <v>4</v>
      </c>
      <c r="K1464" s="118">
        <v>560000</v>
      </c>
      <c r="L1464" s="119"/>
      <c r="M1464" s="118">
        <f>K1464*0.1</f>
        <v>56000</v>
      </c>
      <c r="N1464" s="119"/>
      <c r="O1464" s="118">
        <v>13000</v>
      </c>
      <c r="P1464" s="119"/>
      <c r="Q1464" s="118">
        <v>8140</v>
      </c>
      <c r="R1464" s="119"/>
      <c r="S1464" s="118">
        <v>15950</v>
      </c>
      <c r="T1464" s="119"/>
      <c r="U1464" s="118">
        <f>SUM(K1464:T1465)</f>
        <v>653090</v>
      </c>
      <c r="V1464" s="122"/>
      <c r="W1464" s="124"/>
      <c r="X1464" s="126" t="s">
        <v>4830</v>
      </c>
      <c r="Y1464" s="127"/>
      <c r="Z1464" s="127"/>
      <c r="AA1464" s="127"/>
      <c r="AB1464" s="128"/>
      <c r="AC1464" s="15" t="s">
        <v>20</v>
      </c>
      <c r="AD1464" s="129"/>
      <c r="AE1464" s="130"/>
      <c r="AF1464" s="130"/>
      <c r="AG1464" s="130"/>
      <c r="AH1464" s="130"/>
      <c r="AI1464" s="131"/>
      <c r="AJ1464" s="132"/>
      <c r="AK1464" s="127"/>
      <c r="AL1464" s="128"/>
      <c r="AM1464" s="21" t="s">
        <v>8302</v>
      </c>
      <c r="AN1464" s="133">
        <v>45941</v>
      </c>
      <c r="AO1464" s="134"/>
      <c r="AP1464" s="135">
        <v>1271</v>
      </c>
      <c r="AQ1464" s="136"/>
      <c r="AR1464" s="118">
        <v>585000</v>
      </c>
      <c r="AS1464" s="119"/>
      <c r="AT1464" s="118">
        <f>AR1464*0.1</f>
        <v>58500</v>
      </c>
      <c r="AU1464" s="119"/>
      <c r="AV1464" s="118">
        <v>8140</v>
      </c>
      <c r="AW1464" s="119"/>
      <c r="AX1464" s="118">
        <f>SUM(AR1464:AW1464)</f>
        <v>651640</v>
      </c>
      <c r="AY1464" s="119"/>
      <c r="AZ1464" s="137">
        <v>45950</v>
      </c>
    </row>
    <row r="1465" spans="1:52" ht="17.100000000000001" customHeight="1" thickBot="1">
      <c r="A1465" s="110"/>
      <c r="B1465" s="27" t="s">
        <v>3850</v>
      </c>
      <c r="C1465" s="27">
        <v>70077</v>
      </c>
      <c r="D1465" s="14" t="s">
        <v>3855</v>
      </c>
      <c r="E1465" s="112"/>
      <c r="F1465" s="139" t="s">
        <v>4831</v>
      </c>
      <c r="G1465" s="140"/>
      <c r="H1465" s="141"/>
      <c r="I1465" s="26">
        <v>22968</v>
      </c>
      <c r="J1465" s="117"/>
      <c r="K1465" s="120"/>
      <c r="L1465" s="121"/>
      <c r="M1465" s="120"/>
      <c r="N1465" s="121"/>
      <c r="O1465" s="120"/>
      <c r="P1465" s="121"/>
      <c r="Q1465" s="120"/>
      <c r="R1465" s="121"/>
      <c r="S1465" s="120"/>
      <c r="T1465" s="121"/>
      <c r="U1465" s="120"/>
      <c r="V1465" s="123"/>
      <c r="W1465" s="125"/>
      <c r="X1465" s="142" t="s">
        <v>2776</v>
      </c>
      <c r="Y1465" s="143"/>
      <c r="Z1465" s="143"/>
      <c r="AA1465" s="143"/>
      <c r="AB1465" s="144"/>
      <c r="AC1465" s="16" t="s">
        <v>21</v>
      </c>
      <c r="AD1465" s="17" t="s">
        <v>4286</v>
      </c>
      <c r="AE1465" s="145"/>
      <c r="AF1465" s="146"/>
      <c r="AG1465" s="146"/>
      <c r="AH1465" s="146"/>
      <c r="AI1465" s="147"/>
      <c r="AJ1465" s="148"/>
      <c r="AK1465" s="143"/>
      <c r="AL1465" s="144"/>
      <c r="AM1465" s="22"/>
      <c r="AN1465" s="149" t="s">
        <v>2511</v>
      </c>
      <c r="AO1465" s="144"/>
      <c r="AP1465" s="148">
        <v>60246</v>
      </c>
      <c r="AQ1465" s="144"/>
      <c r="AR1465" s="120"/>
      <c r="AS1465" s="121"/>
      <c r="AT1465" s="120"/>
      <c r="AU1465" s="121"/>
      <c r="AV1465" s="120"/>
      <c r="AW1465" s="121"/>
      <c r="AX1465" s="120"/>
      <c r="AY1465" s="121"/>
      <c r="AZ1465" s="138"/>
    </row>
    <row r="1466" spans="1:52" ht="17.100000000000001" customHeight="1" thickTop="1">
      <c r="A1466" s="109" t="s">
        <v>6469</v>
      </c>
      <c r="B1466" s="28">
        <v>45915</v>
      </c>
      <c r="C1466" s="25"/>
      <c r="D1466" s="13" t="s">
        <v>2465</v>
      </c>
      <c r="E1466" s="111"/>
      <c r="F1466" s="113" t="s">
        <v>4832</v>
      </c>
      <c r="G1466" s="114"/>
      <c r="H1466" s="115"/>
      <c r="I1466" s="24"/>
      <c r="J1466" s="116">
        <v>3.5</v>
      </c>
      <c r="K1466" s="118">
        <v>610000</v>
      </c>
      <c r="L1466" s="119"/>
      <c r="M1466" s="118">
        <f>K1466*0.1</f>
        <v>61000</v>
      </c>
      <c r="N1466" s="119"/>
      <c r="O1466" s="118">
        <v>0</v>
      </c>
      <c r="P1466" s="119"/>
      <c r="Q1466" s="118">
        <v>9130</v>
      </c>
      <c r="R1466" s="119"/>
      <c r="S1466" s="118">
        <v>15950</v>
      </c>
      <c r="T1466" s="119"/>
      <c r="U1466" s="118">
        <f>SUM(K1466:T1467)</f>
        <v>696080</v>
      </c>
      <c r="V1466" s="122"/>
      <c r="W1466" s="124"/>
      <c r="X1466" s="126" t="s">
        <v>4833</v>
      </c>
      <c r="Y1466" s="127"/>
      <c r="Z1466" s="127"/>
      <c r="AA1466" s="127"/>
      <c r="AB1466" s="128"/>
      <c r="AC1466" s="15" t="s">
        <v>20</v>
      </c>
      <c r="AD1466" s="129"/>
      <c r="AE1466" s="130"/>
      <c r="AF1466" s="130"/>
      <c r="AG1466" s="130"/>
      <c r="AH1466" s="130"/>
      <c r="AI1466" s="131"/>
      <c r="AJ1466" s="132"/>
      <c r="AK1466" s="127"/>
      <c r="AL1466" s="128"/>
      <c r="AM1466" s="21"/>
      <c r="AN1466" s="133">
        <v>45955</v>
      </c>
      <c r="AO1466" s="134"/>
      <c r="AP1466" s="135">
        <v>1273</v>
      </c>
      <c r="AQ1466" s="136"/>
      <c r="AR1466" s="118">
        <v>685000</v>
      </c>
      <c r="AS1466" s="119"/>
      <c r="AT1466" s="118">
        <f>AR1466*0.1</f>
        <v>68500</v>
      </c>
      <c r="AU1466" s="119"/>
      <c r="AV1466" s="118">
        <v>9130</v>
      </c>
      <c r="AW1466" s="119"/>
      <c r="AX1466" s="118">
        <f>SUM(AR1466:AW1466)</f>
        <v>762630</v>
      </c>
      <c r="AY1466" s="119"/>
      <c r="AZ1466" s="137">
        <v>45958</v>
      </c>
    </row>
    <row r="1467" spans="1:52" ht="17.100000000000001" customHeight="1" thickBot="1">
      <c r="A1467" s="110"/>
      <c r="B1467" s="27" t="s">
        <v>3850</v>
      </c>
      <c r="C1467" s="27">
        <v>70165</v>
      </c>
      <c r="D1467" s="14" t="s">
        <v>2040</v>
      </c>
      <c r="E1467" s="112"/>
      <c r="F1467" s="139" t="s">
        <v>4834</v>
      </c>
      <c r="G1467" s="140"/>
      <c r="H1467" s="141"/>
      <c r="I1467" s="26">
        <v>57939</v>
      </c>
      <c r="J1467" s="117"/>
      <c r="K1467" s="120"/>
      <c r="L1467" s="121"/>
      <c r="M1467" s="120"/>
      <c r="N1467" s="121"/>
      <c r="O1467" s="120"/>
      <c r="P1467" s="121"/>
      <c r="Q1467" s="120"/>
      <c r="R1467" s="121"/>
      <c r="S1467" s="120"/>
      <c r="T1467" s="121"/>
      <c r="U1467" s="120"/>
      <c r="V1467" s="123"/>
      <c r="W1467" s="125"/>
      <c r="X1467" s="142" t="s">
        <v>2776</v>
      </c>
      <c r="Y1467" s="143"/>
      <c r="Z1467" s="143"/>
      <c r="AA1467" s="143"/>
      <c r="AB1467" s="144"/>
      <c r="AC1467" s="16" t="s">
        <v>21</v>
      </c>
      <c r="AD1467" s="17" t="s">
        <v>4286</v>
      </c>
      <c r="AE1467" s="145" t="s">
        <v>4637</v>
      </c>
      <c r="AF1467" s="146"/>
      <c r="AG1467" s="146"/>
      <c r="AH1467" s="146"/>
      <c r="AI1467" s="147"/>
      <c r="AJ1467" s="148"/>
      <c r="AK1467" s="143"/>
      <c r="AL1467" s="144"/>
      <c r="AM1467" s="22"/>
      <c r="AN1467" s="149" t="s">
        <v>2511</v>
      </c>
      <c r="AO1467" s="144"/>
      <c r="AP1467" s="148">
        <v>55032</v>
      </c>
      <c r="AQ1467" s="144"/>
      <c r="AR1467" s="120"/>
      <c r="AS1467" s="121"/>
      <c r="AT1467" s="120"/>
      <c r="AU1467" s="121"/>
      <c r="AV1467" s="120"/>
      <c r="AW1467" s="121"/>
      <c r="AX1467" s="120"/>
      <c r="AY1467" s="121"/>
      <c r="AZ1467" s="138"/>
    </row>
    <row r="1468" spans="1:52" ht="17.100000000000001" customHeight="1" thickTop="1">
      <c r="A1468" s="109" t="s">
        <v>6470</v>
      </c>
      <c r="B1468" s="28">
        <v>45915</v>
      </c>
      <c r="C1468" s="25"/>
      <c r="D1468" s="13" t="s">
        <v>4835</v>
      </c>
      <c r="E1468" s="111"/>
      <c r="F1468" s="113" t="s">
        <v>4836</v>
      </c>
      <c r="G1468" s="114"/>
      <c r="H1468" s="115"/>
      <c r="I1468" s="24" t="s">
        <v>3509</v>
      </c>
      <c r="J1468" s="116">
        <v>3.5</v>
      </c>
      <c r="K1468" s="118">
        <v>499000</v>
      </c>
      <c r="L1468" s="119"/>
      <c r="M1468" s="118">
        <f>K1468*0.1</f>
        <v>49900</v>
      </c>
      <c r="N1468" s="119"/>
      <c r="O1468" s="118">
        <v>13000</v>
      </c>
      <c r="P1468" s="119"/>
      <c r="Q1468" s="118">
        <v>8550</v>
      </c>
      <c r="R1468" s="119"/>
      <c r="S1468" s="118">
        <v>15950</v>
      </c>
      <c r="T1468" s="119"/>
      <c r="U1468" s="118">
        <f>SUM(K1468:T1469)</f>
        <v>586400</v>
      </c>
      <c r="V1468" s="122"/>
      <c r="W1468" s="124"/>
      <c r="X1468" s="126" t="s">
        <v>4837</v>
      </c>
      <c r="Y1468" s="127"/>
      <c r="Z1468" s="127"/>
      <c r="AA1468" s="127"/>
      <c r="AB1468" s="128"/>
      <c r="AC1468" s="15" t="s">
        <v>20</v>
      </c>
      <c r="AD1468" s="129"/>
      <c r="AE1468" s="130"/>
      <c r="AF1468" s="130"/>
      <c r="AG1468" s="130"/>
      <c r="AH1468" s="130"/>
      <c r="AI1468" s="131"/>
      <c r="AJ1468" s="132"/>
      <c r="AK1468" s="127"/>
      <c r="AL1468" s="128"/>
      <c r="AM1468" s="21" t="s">
        <v>8303</v>
      </c>
      <c r="AN1468" s="133">
        <v>45941</v>
      </c>
      <c r="AO1468" s="134"/>
      <c r="AP1468" s="135">
        <v>1271</v>
      </c>
      <c r="AQ1468" s="136"/>
      <c r="AR1468" s="118">
        <v>550000</v>
      </c>
      <c r="AS1468" s="119"/>
      <c r="AT1468" s="118">
        <f>AR1468*0.1</f>
        <v>55000</v>
      </c>
      <c r="AU1468" s="119"/>
      <c r="AV1468" s="118">
        <v>8550</v>
      </c>
      <c r="AW1468" s="119"/>
      <c r="AX1468" s="118">
        <f>SUM(AR1468:AW1468)</f>
        <v>613550</v>
      </c>
      <c r="AY1468" s="119"/>
      <c r="AZ1468" s="137">
        <v>45950</v>
      </c>
    </row>
    <row r="1469" spans="1:52" ht="17.100000000000001" customHeight="1" thickBot="1">
      <c r="A1469" s="110"/>
      <c r="B1469" s="27" t="s">
        <v>3850</v>
      </c>
      <c r="C1469" s="27">
        <v>70258</v>
      </c>
      <c r="D1469" s="14" t="s">
        <v>904</v>
      </c>
      <c r="E1469" s="112"/>
      <c r="F1469" s="139" t="s">
        <v>4838</v>
      </c>
      <c r="G1469" s="140"/>
      <c r="H1469" s="141"/>
      <c r="I1469" s="26">
        <v>35620</v>
      </c>
      <c r="J1469" s="117"/>
      <c r="K1469" s="120"/>
      <c r="L1469" s="121"/>
      <c r="M1469" s="120"/>
      <c r="N1469" s="121"/>
      <c r="O1469" s="120"/>
      <c r="P1469" s="121"/>
      <c r="Q1469" s="120"/>
      <c r="R1469" s="121"/>
      <c r="S1469" s="120"/>
      <c r="T1469" s="121"/>
      <c r="U1469" s="120"/>
      <c r="V1469" s="123"/>
      <c r="W1469" s="125"/>
      <c r="X1469" s="142" t="s">
        <v>2776</v>
      </c>
      <c r="Y1469" s="143"/>
      <c r="Z1469" s="143"/>
      <c r="AA1469" s="143"/>
      <c r="AB1469" s="144"/>
      <c r="AC1469" s="16" t="s">
        <v>21</v>
      </c>
      <c r="AD1469" s="17" t="s">
        <v>2148</v>
      </c>
      <c r="AE1469" s="145" t="s">
        <v>4839</v>
      </c>
      <c r="AF1469" s="146"/>
      <c r="AG1469" s="146"/>
      <c r="AH1469" s="146"/>
      <c r="AI1469" s="147"/>
      <c r="AJ1469" s="148"/>
      <c r="AK1469" s="143"/>
      <c r="AL1469" s="144"/>
      <c r="AM1469" s="22"/>
      <c r="AN1469" s="149" t="s">
        <v>2511</v>
      </c>
      <c r="AO1469" s="144"/>
      <c r="AP1469" s="148">
        <v>60221</v>
      </c>
      <c r="AQ1469" s="144"/>
      <c r="AR1469" s="120"/>
      <c r="AS1469" s="121"/>
      <c r="AT1469" s="120"/>
      <c r="AU1469" s="121"/>
      <c r="AV1469" s="120"/>
      <c r="AW1469" s="121"/>
      <c r="AX1469" s="120"/>
      <c r="AY1469" s="121"/>
      <c r="AZ1469" s="138"/>
    </row>
    <row r="1470" spans="1:52" ht="17.100000000000001" customHeight="1" thickTop="1">
      <c r="A1470" s="109" t="s">
        <v>6471</v>
      </c>
      <c r="B1470" s="28">
        <v>45915</v>
      </c>
      <c r="C1470" s="25"/>
      <c r="D1470" s="13" t="s">
        <v>4840</v>
      </c>
      <c r="E1470" s="111"/>
      <c r="F1470" s="113" t="s">
        <v>4841</v>
      </c>
      <c r="G1470" s="114"/>
      <c r="H1470" s="115"/>
      <c r="I1470" s="24"/>
      <c r="J1470" s="116">
        <v>3.5</v>
      </c>
      <c r="K1470" s="118">
        <v>247000</v>
      </c>
      <c r="L1470" s="119"/>
      <c r="M1470" s="118">
        <f>K1470*0.1</f>
        <v>24700</v>
      </c>
      <c r="N1470" s="119"/>
      <c r="O1470" s="118">
        <v>0</v>
      </c>
      <c r="P1470" s="119"/>
      <c r="Q1470" s="118">
        <v>10020</v>
      </c>
      <c r="R1470" s="119"/>
      <c r="S1470" s="118">
        <v>15950</v>
      </c>
      <c r="T1470" s="119"/>
      <c r="U1470" s="118">
        <f>SUM(K1470:T1471)</f>
        <v>297670</v>
      </c>
      <c r="V1470" s="122"/>
      <c r="W1470" s="124"/>
      <c r="X1470" s="126" t="s">
        <v>4842</v>
      </c>
      <c r="Y1470" s="127"/>
      <c r="Z1470" s="127"/>
      <c r="AA1470" s="127"/>
      <c r="AB1470" s="128"/>
      <c r="AC1470" s="15" t="s">
        <v>20</v>
      </c>
      <c r="AD1470" s="129"/>
      <c r="AE1470" s="130"/>
      <c r="AF1470" s="130"/>
      <c r="AG1470" s="130"/>
      <c r="AH1470" s="130"/>
      <c r="AI1470" s="131"/>
      <c r="AJ1470" s="132"/>
      <c r="AK1470" s="127"/>
      <c r="AL1470" s="128"/>
      <c r="AM1470" s="21"/>
      <c r="AN1470" s="133">
        <v>45962</v>
      </c>
      <c r="AO1470" s="134"/>
      <c r="AP1470" s="135">
        <v>1274</v>
      </c>
      <c r="AQ1470" s="136"/>
      <c r="AR1470" s="118">
        <v>280000</v>
      </c>
      <c r="AS1470" s="119"/>
      <c r="AT1470" s="118">
        <f>AR1470*0.1</f>
        <v>28000</v>
      </c>
      <c r="AU1470" s="119"/>
      <c r="AV1470" s="118">
        <v>10020</v>
      </c>
      <c r="AW1470" s="119"/>
      <c r="AX1470" s="118">
        <f>SUM(AR1470:AW1470)</f>
        <v>318020</v>
      </c>
      <c r="AY1470" s="119"/>
      <c r="AZ1470" s="137">
        <v>45965</v>
      </c>
    </row>
    <row r="1471" spans="1:52" ht="17.100000000000001" customHeight="1" thickBot="1">
      <c r="A1471" s="110"/>
      <c r="B1471" s="27" t="s">
        <v>3850</v>
      </c>
      <c r="C1471" s="27">
        <v>79054</v>
      </c>
      <c r="D1471" s="14" t="s">
        <v>2601</v>
      </c>
      <c r="E1471" s="112"/>
      <c r="F1471" s="139" t="s">
        <v>4843</v>
      </c>
      <c r="G1471" s="140"/>
      <c r="H1471" s="141"/>
      <c r="I1471" s="26">
        <v>20864</v>
      </c>
      <c r="J1471" s="117"/>
      <c r="K1471" s="120"/>
      <c r="L1471" s="121"/>
      <c r="M1471" s="120"/>
      <c r="N1471" s="121"/>
      <c r="O1471" s="120"/>
      <c r="P1471" s="121"/>
      <c r="Q1471" s="120"/>
      <c r="R1471" s="121"/>
      <c r="S1471" s="120"/>
      <c r="T1471" s="121"/>
      <c r="U1471" s="120"/>
      <c r="V1471" s="123"/>
      <c r="W1471" s="125"/>
      <c r="X1471" s="142" t="s">
        <v>2776</v>
      </c>
      <c r="Y1471" s="143"/>
      <c r="Z1471" s="143"/>
      <c r="AA1471" s="143"/>
      <c r="AB1471" s="144"/>
      <c r="AC1471" s="16" t="s">
        <v>21</v>
      </c>
      <c r="AD1471" s="17" t="s">
        <v>4286</v>
      </c>
      <c r="AE1471" s="145"/>
      <c r="AF1471" s="146"/>
      <c r="AG1471" s="146"/>
      <c r="AH1471" s="146"/>
      <c r="AI1471" s="147"/>
      <c r="AJ1471" s="148"/>
      <c r="AK1471" s="143"/>
      <c r="AL1471" s="144"/>
      <c r="AM1471" s="22"/>
      <c r="AN1471" s="149" t="s">
        <v>2511</v>
      </c>
      <c r="AO1471" s="144"/>
      <c r="AP1471" s="148">
        <v>63034</v>
      </c>
      <c r="AQ1471" s="144"/>
      <c r="AR1471" s="120"/>
      <c r="AS1471" s="121"/>
      <c r="AT1471" s="120"/>
      <c r="AU1471" s="121"/>
      <c r="AV1471" s="120"/>
      <c r="AW1471" s="121"/>
      <c r="AX1471" s="120"/>
      <c r="AY1471" s="121"/>
      <c r="AZ1471" s="138"/>
    </row>
    <row r="1472" spans="1:52" ht="17.100000000000001" customHeight="1" thickTop="1">
      <c r="A1472" s="109" t="s">
        <v>6472</v>
      </c>
      <c r="B1472" s="28">
        <v>45915</v>
      </c>
      <c r="C1472" s="25"/>
      <c r="D1472" s="13" t="s">
        <v>4382</v>
      </c>
      <c r="E1472" s="111"/>
      <c r="F1472" s="113" t="s">
        <v>4844</v>
      </c>
      <c r="G1472" s="114"/>
      <c r="H1472" s="115"/>
      <c r="I1472" s="24"/>
      <c r="J1472" s="150" t="s">
        <v>1715</v>
      </c>
      <c r="K1472" s="118">
        <v>127000</v>
      </c>
      <c r="L1472" s="119"/>
      <c r="M1472" s="118">
        <f>K1472*0.1</f>
        <v>12700</v>
      </c>
      <c r="N1472" s="119"/>
      <c r="O1472" s="118">
        <v>0</v>
      </c>
      <c r="P1472" s="119"/>
      <c r="Q1472" s="118">
        <v>9280</v>
      </c>
      <c r="R1472" s="119"/>
      <c r="S1472" s="118">
        <v>15950</v>
      </c>
      <c r="T1472" s="119"/>
      <c r="U1472" s="118">
        <f>SUM(K1472:T1473)</f>
        <v>164930</v>
      </c>
      <c r="V1472" s="122"/>
      <c r="W1472" s="124"/>
      <c r="X1472" s="126" t="s">
        <v>4845</v>
      </c>
      <c r="Y1472" s="127"/>
      <c r="Z1472" s="127"/>
      <c r="AA1472" s="127"/>
      <c r="AB1472" s="128"/>
      <c r="AC1472" s="15" t="s">
        <v>20</v>
      </c>
      <c r="AD1472" s="129"/>
      <c r="AE1472" s="130"/>
      <c r="AF1472" s="130"/>
      <c r="AG1472" s="130"/>
      <c r="AH1472" s="130"/>
      <c r="AI1472" s="131"/>
      <c r="AJ1472" s="132"/>
      <c r="AK1472" s="127"/>
      <c r="AL1472" s="128"/>
      <c r="AM1472" s="21"/>
      <c r="AN1472" s="133">
        <v>45941</v>
      </c>
      <c r="AO1472" s="134"/>
      <c r="AP1472" s="135">
        <v>1271</v>
      </c>
      <c r="AQ1472" s="136"/>
      <c r="AR1472" s="118">
        <v>190000</v>
      </c>
      <c r="AS1472" s="119"/>
      <c r="AT1472" s="118">
        <f>AR1472*0.1</f>
        <v>19000</v>
      </c>
      <c r="AU1472" s="119"/>
      <c r="AV1472" s="118">
        <v>9280</v>
      </c>
      <c r="AW1472" s="119"/>
      <c r="AX1472" s="118">
        <f>SUM(AR1472:AW1472)</f>
        <v>218280</v>
      </c>
      <c r="AY1472" s="119"/>
      <c r="AZ1472" s="137">
        <v>45945</v>
      </c>
    </row>
    <row r="1473" spans="1:52" ht="17.100000000000001" customHeight="1" thickBot="1">
      <c r="A1473" s="110"/>
      <c r="B1473" s="27" t="s">
        <v>3850</v>
      </c>
      <c r="C1473" s="27">
        <v>79220</v>
      </c>
      <c r="D1473" s="14" t="s">
        <v>3793</v>
      </c>
      <c r="E1473" s="112"/>
      <c r="F1473" s="139" t="s">
        <v>4846</v>
      </c>
      <c r="G1473" s="140"/>
      <c r="H1473" s="141"/>
      <c r="I1473" s="26">
        <v>43311</v>
      </c>
      <c r="J1473" s="117"/>
      <c r="K1473" s="120"/>
      <c r="L1473" s="121"/>
      <c r="M1473" s="120"/>
      <c r="N1473" s="121"/>
      <c r="O1473" s="120"/>
      <c r="P1473" s="121"/>
      <c r="Q1473" s="120"/>
      <c r="R1473" s="121"/>
      <c r="S1473" s="120"/>
      <c r="T1473" s="121"/>
      <c r="U1473" s="120"/>
      <c r="V1473" s="123"/>
      <c r="W1473" s="125"/>
      <c r="X1473" s="142" t="s">
        <v>4847</v>
      </c>
      <c r="Y1473" s="143"/>
      <c r="Z1473" s="143"/>
      <c r="AA1473" s="143"/>
      <c r="AB1473" s="144"/>
      <c r="AC1473" s="16" t="s">
        <v>21</v>
      </c>
      <c r="AD1473" s="17" t="s">
        <v>4286</v>
      </c>
      <c r="AE1473" s="145"/>
      <c r="AF1473" s="146"/>
      <c r="AG1473" s="146"/>
      <c r="AH1473" s="146"/>
      <c r="AI1473" s="147"/>
      <c r="AJ1473" s="148"/>
      <c r="AK1473" s="143"/>
      <c r="AL1473" s="144"/>
      <c r="AM1473" s="22"/>
      <c r="AN1473" s="149" t="s">
        <v>2511</v>
      </c>
      <c r="AO1473" s="144"/>
      <c r="AP1473" s="148">
        <v>60275</v>
      </c>
      <c r="AQ1473" s="144"/>
      <c r="AR1473" s="120"/>
      <c r="AS1473" s="121"/>
      <c r="AT1473" s="120"/>
      <c r="AU1473" s="121"/>
      <c r="AV1473" s="120"/>
      <c r="AW1473" s="121"/>
      <c r="AX1473" s="120"/>
      <c r="AY1473" s="121"/>
      <c r="AZ1473" s="138"/>
    </row>
    <row r="1474" spans="1:52" ht="17.100000000000001" customHeight="1" thickTop="1">
      <c r="A1474" s="109" t="s">
        <v>6473</v>
      </c>
      <c r="B1474" s="28">
        <v>45915</v>
      </c>
      <c r="C1474" s="25"/>
      <c r="D1474" s="13" t="s">
        <v>1623</v>
      </c>
      <c r="E1474" s="111"/>
      <c r="F1474" s="113" t="s">
        <v>4848</v>
      </c>
      <c r="G1474" s="114"/>
      <c r="H1474" s="115"/>
      <c r="I1474" s="24"/>
      <c r="J1474" s="116">
        <v>3</v>
      </c>
      <c r="K1474" s="118">
        <v>415000</v>
      </c>
      <c r="L1474" s="119"/>
      <c r="M1474" s="118">
        <f>K1474*0.1</f>
        <v>41500</v>
      </c>
      <c r="N1474" s="119"/>
      <c r="O1474" s="118">
        <v>0</v>
      </c>
      <c r="P1474" s="119"/>
      <c r="Q1474" s="118">
        <v>9790</v>
      </c>
      <c r="R1474" s="119"/>
      <c r="S1474" s="118">
        <v>15950</v>
      </c>
      <c r="T1474" s="119"/>
      <c r="U1474" s="118">
        <f>SUM(K1474:T1475)</f>
        <v>482240</v>
      </c>
      <c r="V1474" s="122"/>
      <c r="W1474" s="124"/>
      <c r="X1474" s="126" t="s">
        <v>4849</v>
      </c>
      <c r="Y1474" s="127"/>
      <c r="Z1474" s="127"/>
      <c r="AA1474" s="127"/>
      <c r="AB1474" s="128"/>
      <c r="AC1474" s="15" t="s">
        <v>20</v>
      </c>
      <c r="AD1474" s="129"/>
      <c r="AE1474" s="130"/>
      <c r="AF1474" s="130"/>
      <c r="AG1474" s="130"/>
      <c r="AH1474" s="130"/>
      <c r="AI1474" s="131"/>
      <c r="AJ1474" s="132"/>
      <c r="AK1474" s="127"/>
      <c r="AL1474" s="128"/>
      <c r="AM1474" s="21"/>
      <c r="AN1474" s="133">
        <v>45955</v>
      </c>
      <c r="AO1474" s="134"/>
      <c r="AP1474" s="135">
        <v>1273</v>
      </c>
      <c r="AQ1474" s="136"/>
      <c r="AR1474" s="118">
        <v>455000</v>
      </c>
      <c r="AS1474" s="119"/>
      <c r="AT1474" s="118">
        <f>AR1474*0.1</f>
        <v>45500</v>
      </c>
      <c r="AU1474" s="119"/>
      <c r="AV1474" s="118">
        <v>9790</v>
      </c>
      <c r="AW1474" s="119"/>
      <c r="AX1474" s="118">
        <f>SUM(AR1474:AW1474)</f>
        <v>510290</v>
      </c>
      <c r="AY1474" s="119"/>
      <c r="AZ1474" s="137">
        <v>45958</v>
      </c>
    </row>
    <row r="1475" spans="1:52" ht="17.100000000000001" customHeight="1" thickBot="1">
      <c r="A1475" s="110"/>
      <c r="B1475" s="27" t="s">
        <v>3850</v>
      </c>
      <c r="C1475" s="27">
        <v>79225</v>
      </c>
      <c r="D1475" s="14" t="s">
        <v>275</v>
      </c>
      <c r="E1475" s="112"/>
      <c r="F1475" s="139" t="s">
        <v>4850</v>
      </c>
      <c r="G1475" s="140"/>
      <c r="H1475" s="141"/>
      <c r="I1475" s="26">
        <v>55053</v>
      </c>
      <c r="J1475" s="117"/>
      <c r="K1475" s="120"/>
      <c r="L1475" s="121"/>
      <c r="M1475" s="120"/>
      <c r="N1475" s="121"/>
      <c r="O1475" s="120"/>
      <c r="P1475" s="121"/>
      <c r="Q1475" s="120"/>
      <c r="R1475" s="121"/>
      <c r="S1475" s="120"/>
      <c r="T1475" s="121"/>
      <c r="U1475" s="120"/>
      <c r="V1475" s="123"/>
      <c r="W1475" s="125"/>
      <c r="X1475" s="142" t="s">
        <v>4477</v>
      </c>
      <c r="Y1475" s="143"/>
      <c r="Z1475" s="143"/>
      <c r="AA1475" s="143"/>
      <c r="AB1475" s="144"/>
      <c r="AC1475" s="16" t="s">
        <v>21</v>
      </c>
      <c r="AD1475" s="17" t="s">
        <v>4286</v>
      </c>
      <c r="AE1475" s="145"/>
      <c r="AF1475" s="146"/>
      <c r="AG1475" s="146"/>
      <c r="AH1475" s="146"/>
      <c r="AI1475" s="147"/>
      <c r="AJ1475" s="148"/>
      <c r="AK1475" s="143"/>
      <c r="AL1475" s="144"/>
      <c r="AM1475" s="22"/>
      <c r="AN1475" s="149" t="s">
        <v>2511</v>
      </c>
      <c r="AO1475" s="144"/>
      <c r="AP1475" s="148">
        <v>60231</v>
      </c>
      <c r="AQ1475" s="144"/>
      <c r="AR1475" s="120"/>
      <c r="AS1475" s="121"/>
      <c r="AT1475" s="120"/>
      <c r="AU1475" s="121"/>
      <c r="AV1475" s="120"/>
      <c r="AW1475" s="121"/>
      <c r="AX1475" s="120"/>
      <c r="AY1475" s="121"/>
      <c r="AZ1475" s="138"/>
    </row>
    <row r="1476" spans="1:52" ht="17.100000000000001" customHeight="1" thickTop="1">
      <c r="A1476" s="109" t="s">
        <v>6474</v>
      </c>
      <c r="B1476" s="28">
        <v>45915</v>
      </c>
      <c r="C1476" s="25"/>
      <c r="D1476" s="13" t="s">
        <v>2737</v>
      </c>
      <c r="E1476" s="111"/>
      <c r="F1476" s="113" t="s">
        <v>4308</v>
      </c>
      <c r="G1476" s="114"/>
      <c r="H1476" s="115"/>
      <c r="I1476" s="24" t="s">
        <v>3509</v>
      </c>
      <c r="J1476" s="116">
        <v>4</v>
      </c>
      <c r="K1476" s="118">
        <v>1094000</v>
      </c>
      <c r="L1476" s="119"/>
      <c r="M1476" s="118">
        <f>K1476*0.1</f>
        <v>109400</v>
      </c>
      <c r="N1476" s="119"/>
      <c r="O1476" s="118">
        <v>13000</v>
      </c>
      <c r="P1476" s="119"/>
      <c r="Q1476" s="118">
        <v>9140</v>
      </c>
      <c r="R1476" s="119"/>
      <c r="S1476" s="118">
        <v>15950</v>
      </c>
      <c r="T1476" s="119"/>
      <c r="U1476" s="118">
        <f>SUM(K1476:T1477)</f>
        <v>1241490</v>
      </c>
      <c r="V1476" s="122"/>
      <c r="W1476" s="124"/>
      <c r="X1476" s="126" t="s">
        <v>4851</v>
      </c>
      <c r="Y1476" s="127"/>
      <c r="Z1476" s="127"/>
      <c r="AA1476" s="127"/>
      <c r="AB1476" s="128"/>
      <c r="AC1476" s="15" t="s">
        <v>20</v>
      </c>
      <c r="AD1476" s="129"/>
      <c r="AE1476" s="130"/>
      <c r="AF1476" s="130"/>
      <c r="AG1476" s="130"/>
      <c r="AH1476" s="130"/>
      <c r="AI1476" s="131"/>
      <c r="AJ1476" s="132"/>
      <c r="AK1476" s="127"/>
      <c r="AL1476" s="128"/>
      <c r="AM1476" s="21" t="s">
        <v>8301</v>
      </c>
      <c r="AN1476" s="133">
        <v>45997</v>
      </c>
      <c r="AO1476" s="134"/>
      <c r="AP1476" s="135">
        <v>1279</v>
      </c>
      <c r="AQ1476" s="136"/>
      <c r="AR1476" s="118">
        <v>1140000</v>
      </c>
      <c r="AS1476" s="119"/>
      <c r="AT1476" s="118">
        <f>AR1476*0.1</f>
        <v>114000</v>
      </c>
      <c r="AU1476" s="119"/>
      <c r="AV1476" s="118">
        <v>9140</v>
      </c>
      <c r="AW1476" s="119"/>
      <c r="AX1476" s="118">
        <f>SUM(AR1476:AW1476)</f>
        <v>1263140</v>
      </c>
      <c r="AY1476" s="119"/>
      <c r="AZ1476" s="137">
        <v>46000</v>
      </c>
    </row>
    <row r="1477" spans="1:52" ht="17.100000000000001" customHeight="1" thickBot="1">
      <c r="A1477" s="110"/>
      <c r="B1477" s="27" t="s">
        <v>3850</v>
      </c>
      <c r="C1477" s="27">
        <v>80004</v>
      </c>
      <c r="D1477" s="14" t="s">
        <v>1576</v>
      </c>
      <c r="E1477" s="112"/>
      <c r="F1477" s="139" t="s">
        <v>4852</v>
      </c>
      <c r="G1477" s="140"/>
      <c r="H1477" s="141"/>
      <c r="I1477" s="26">
        <v>52380</v>
      </c>
      <c r="J1477" s="117"/>
      <c r="K1477" s="120"/>
      <c r="L1477" s="121"/>
      <c r="M1477" s="120"/>
      <c r="N1477" s="121"/>
      <c r="O1477" s="120"/>
      <c r="P1477" s="121"/>
      <c r="Q1477" s="120"/>
      <c r="R1477" s="121"/>
      <c r="S1477" s="120"/>
      <c r="T1477" s="121"/>
      <c r="U1477" s="120"/>
      <c r="V1477" s="123"/>
      <c r="W1477" s="125"/>
      <c r="X1477" s="142" t="s">
        <v>3018</v>
      </c>
      <c r="Y1477" s="143"/>
      <c r="Z1477" s="143"/>
      <c r="AA1477" s="143"/>
      <c r="AB1477" s="144"/>
      <c r="AC1477" s="16" t="s">
        <v>21</v>
      </c>
      <c r="AD1477" s="17" t="s">
        <v>4286</v>
      </c>
      <c r="AE1477" s="145" t="s">
        <v>4853</v>
      </c>
      <c r="AF1477" s="146"/>
      <c r="AG1477" s="146"/>
      <c r="AH1477" s="146"/>
      <c r="AI1477" s="147"/>
      <c r="AJ1477" s="148"/>
      <c r="AK1477" s="143"/>
      <c r="AL1477" s="144"/>
      <c r="AM1477" s="22"/>
      <c r="AN1477" s="149" t="s">
        <v>2511</v>
      </c>
      <c r="AO1477" s="144"/>
      <c r="AP1477" s="148">
        <v>60009</v>
      </c>
      <c r="AQ1477" s="144"/>
      <c r="AR1477" s="120"/>
      <c r="AS1477" s="121"/>
      <c r="AT1477" s="120"/>
      <c r="AU1477" s="121"/>
      <c r="AV1477" s="120"/>
      <c r="AW1477" s="121"/>
      <c r="AX1477" s="120"/>
      <c r="AY1477" s="121"/>
      <c r="AZ1477" s="138"/>
    </row>
    <row r="1478" spans="1:52" ht="17.100000000000001" customHeight="1" thickTop="1">
      <c r="A1478" s="109" t="s">
        <v>6475</v>
      </c>
      <c r="B1478" s="28">
        <v>45915</v>
      </c>
      <c r="C1478" s="25"/>
      <c r="D1478" s="13" t="s">
        <v>2009</v>
      </c>
      <c r="E1478" s="111"/>
      <c r="F1478" s="113" t="s">
        <v>4854</v>
      </c>
      <c r="G1478" s="114"/>
      <c r="H1478" s="115"/>
      <c r="I1478" s="24"/>
      <c r="J1478" s="116">
        <v>4</v>
      </c>
      <c r="K1478" s="118">
        <v>1286000</v>
      </c>
      <c r="L1478" s="119"/>
      <c r="M1478" s="118">
        <f>K1478*0.1</f>
        <v>128600</v>
      </c>
      <c r="N1478" s="119"/>
      <c r="O1478" s="118">
        <v>0</v>
      </c>
      <c r="P1478" s="119"/>
      <c r="Q1478" s="118">
        <v>8550</v>
      </c>
      <c r="R1478" s="119"/>
      <c r="S1478" s="118">
        <v>15950</v>
      </c>
      <c r="T1478" s="119"/>
      <c r="U1478" s="118">
        <f>SUM(K1478:T1479)</f>
        <v>1439100</v>
      </c>
      <c r="V1478" s="122"/>
      <c r="W1478" s="124"/>
      <c r="X1478" s="126" t="s">
        <v>4855</v>
      </c>
      <c r="Y1478" s="127"/>
      <c r="Z1478" s="127"/>
      <c r="AA1478" s="127"/>
      <c r="AB1478" s="128"/>
      <c r="AC1478" s="15" t="s">
        <v>20</v>
      </c>
      <c r="AD1478" s="129" t="s">
        <v>3485</v>
      </c>
      <c r="AE1478" s="130"/>
      <c r="AF1478" s="130"/>
      <c r="AG1478" s="130"/>
      <c r="AH1478" s="130"/>
      <c r="AI1478" s="131"/>
      <c r="AJ1478" s="132"/>
      <c r="AK1478" s="127"/>
      <c r="AL1478" s="128"/>
      <c r="AM1478" s="21"/>
      <c r="AN1478" s="133">
        <v>46011</v>
      </c>
      <c r="AO1478" s="134"/>
      <c r="AP1478" s="135">
        <v>1281</v>
      </c>
      <c r="AQ1478" s="136"/>
      <c r="AR1478" s="118">
        <v>1330000</v>
      </c>
      <c r="AS1478" s="119"/>
      <c r="AT1478" s="118">
        <f>AR1478*0.1</f>
        <v>133000</v>
      </c>
      <c r="AU1478" s="119"/>
      <c r="AV1478" s="118">
        <v>8550</v>
      </c>
      <c r="AW1478" s="119"/>
      <c r="AX1478" s="118">
        <f>SUM(AR1478:AW1478)</f>
        <v>1471550</v>
      </c>
      <c r="AY1478" s="119"/>
      <c r="AZ1478" s="137">
        <v>46014</v>
      </c>
    </row>
    <row r="1479" spans="1:52" ht="17.100000000000001" customHeight="1" thickBot="1">
      <c r="A1479" s="110"/>
      <c r="B1479" s="27" t="s">
        <v>3724</v>
      </c>
      <c r="C1479" s="27">
        <v>55144</v>
      </c>
      <c r="D1479" s="14" t="s">
        <v>275</v>
      </c>
      <c r="E1479" s="112"/>
      <c r="F1479" s="139" t="s">
        <v>4856</v>
      </c>
      <c r="G1479" s="140"/>
      <c r="H1479" s="141"/>
      <c r="I1479" s="26">
        <v>17115</v>
      </c>
      <c r="J1479" s="117"/>
      <c r="K1479" s="120"/>
      <c r="L1479" s="121"/>
      <c r="M1479" s="120"/>
      <c r="N1479" s="121"/>
      <c r="O1479" s="120"/>
      <c r="P1479" s="121"/>
      <c r="Q1479" s="120"/>
      <c r="R1479" s="121"/>
      <c r="S1479" s="120"/>
      <c r="T1479" s="121"/>
      <c r="U1479" s="120"/>
      <c r="V1479" s="123"/>
      <c r="W1479" s="125"/>
      <c r="X1479" s="142" t="s">
        <v>4857</v>
      </c>
      <c r="Y1479" s="143"/>
      <c r="Z1479" s="143"/>
      <c r="AA1479" s="143"/>
      <c r="AB1479" s="144"/>
      <c r="AC1479" s="16" t="s">
        <v>21</v>
      </c>
      <c r="AD1479" s="17" t="s">
        <v>4567</v>
      </c>
      <c r="AE1479" s="145" t="s">
        <v>3485</v>
      </c>
      <c r="AF1479" s="146"/>
      <c r="AG1479" s="146"/>
      <c r="AH1479" s="146"/>
      <c r="AI1479" s="147"/>
      <c r="AJ1479" s="148"/>
      <c r="AK1479" s="143"/>
      <c r="AL1479" s="144"/>
      <c r="AM1479" s="22"/>
      <c r="AN1479" s="149" t="s">
        <v>2511</v>
      </c>
      <c r="AO1479" s="144"/>
      <c r="AP1479" s="148">
        <v>60117</v>
      </c>
      <c r="AQ1479" s="144"/>
      <c r="AR1479" s="120"/>
      <c r="AS1479" s="121"/>
      <c r="AT1479" s="120"/>
      <c r="AU1479" s="121"/>
      <c r="AV1479" s="120"/>
      <c r="AW1479" s="121"/>
      <c r="AX1479" s="120"/>
      <c r="AY1479" s="121"/>
      <c r="AZ1479" s="138"/>
    </row>
    <row r="1480" spans="1:52" ht="17.100000000000001" customHeight="1" thickTop="1">
      <c r="A1480" s="109" t="s">
        <v>6476</v>
      </c>
      <c r="B1480" s="28">
        <v>45915</v>
      </c>
      <c r="C1480" s="25"/>
      <c r="D1480" s="13" t="s">
        <v>2759</v>
      </c>
      <c r="E1480" s="111"/>
      <c r="F1480" s="113" t="s">
        <v>4145</v>
      </c>
      <c r="G1480" s="114"/>
      <c r="H1480" s="115"/>
      <c r="I1480" s="24"/>
      <c r="J1480" s="116">
        <v>4</v>
      </c>
      <c r="K1480" s="118">
        <v>761000</v>
      </c>
      <c r="L1480" s="119"/>
      <c r="M1480" s="118">
        <f>K1480*0.1</f>
        <v>76100</v>
      </c>
      <c r="N1480" s="119"/>
      <c r="O1480" s="118">
        <v>0</v>
      </c>
      <c r="P1480" s="119"/>
      <c r="Q1480" s="118">
        <v>8110</v>
      </c>
      <c r="R1480" s="119"/>
      <c r="S1480" s="118">
        <v>15950</v>
      </c>
      <c r="T1480" s="119"/>
      <c r="U1480" s="118">
        <f>SUM(K1480:T1481)</f>
        <v>861160</v>
      </c>
      <c r="V1480" s="122"/>
      <c r="W1480" s="124"/>
      <c r="X1480" s="126" t="s">
        <v>4858</v>
      </c>
      <c r="Y1480" s="127"/>
      <c r="Z1480" s="127"/>
      <c r="AA1480" s="127"/>
      <c r="AB1480" s="128"/>
      <c r="AC1480" s="15" t="s">
        <v>20</v>
      </c>
      <c r="AD1480" s="129" t="s">
        <v>1670</v>
      </c>
      <c r="AE1480" s="130"/>
      <c r="AF1480" s="130"/>
      <c r="AG1480" s="130"/>
      <c r="AH1480" s="130"/>
      <c r="AI1480" s="131"/>
      <c r="AJ1480" s="132"/>
      <c r="AK1480" s="127"/>
      <c r="AL1480" s="128"/>
      <c r="AM1480" s="21"/>
      <c r="AN1480" s="133">
        <v>45941</v>
      </c>
      <c r="AO1480" s="134"/>
      <c r="AP1480" s="135">
        <v>1271</v>
      </c>
      <c r="AQ1480" s="136"/>
      <c r="AR1480" s="118">
        <v>875000</v>
      </c>
      <c r="AS1480" s="119"/>
      <c r="AT1480" s="118">
        <f>AR1480*0.1</f>
        <v>87500</v>
      </c>
      <c r="AU1480" s="119"/>
      <c r="AV1480" s="118">
        <v>8110</v>
      </c>
      <c r="AW1480" s="119"/>
      <c r="AX1480" s="118">
        <f>SUM(AR1480:AW1480)</f>
        <v>970610</v>
      </c>
      <c r="AY1480" s="119"/>
      <c r="AZ1480" s="137">
        <v>45945</v>
      </c>
    </row>
    <row r="1481" spans="1:52" ht="17.100000000000001" customHeight="1" thickBot="1">
      <c r="A1481" s="110"/>
      <c r="B1481" s="27" t="s">
        <v>3724</v>
      </c>
      <c r="C1481" s="27">
        <v>55238</v>
      </c>
      <c r="D1481" s="14" t="s">
        <v>275</v>
      </c>
      <c r="E1481" s="112"/>
      <c r="F1481" s="139" t="s">
        <v>4859</v>
      </c>
      <c r="G1481" s="140"/>
      <c r="H1481" s="141"/>
      <c r="I1481" s="26">
        <v>56293</v>
      </c>
      <c r="J1481" s="117"/>
      <c r="K1481" s="120"/>
      <c r="L1481" s="121"/>
      <c r="M1481" s="120"/>
      <c r="N1481" s="121"/>
      <c r="O1481" s="120"/>
      <c r="P1481" s="121"/>
      <c r="Q1481" s="120"/>
      <c r="R1481" s="121"/>
      <c r="S1481" s="120"/>
      <c r="T1481" s="121"/>
      <c r="U1481" s="120"/>
      <c r="V1481" s="123"/>
      <c r="W1481" s="125"/>
      <c r="X1481" s="142" t="s">
        <v>4167</v>
      </c>
      <c r="Y1481" s="143"/>
      <c r="Z1481" s="143"/>
      <c r="AA1481" s="143"/>
      <c r="AB1481" s="144"/>
      <c r="AC1481" s="16" t="s">
        <v>21</v>
      </c>
      <c r="AD1481" s="17" t="s">
        <v>2148</v>
      </c>
      <c r="AE1481" s="145" t="s">
        <v>1670</v>
      </c>
      <c r="AF1481" s="146"/>
      <c r="AG1481" s="146"/>
      <c r="AH1481" s="146"/>
      <c r="AI1481" s="147"/>
      <c r="AJ1481" s="148"/>
      <c r="AK1481" s="143"/>
      <c r="AL1481" s="144"/>
      <c r="AM1481" s="22"/>
      <c r="AN1481" s="149" t="s">
        <v>2511</v>
      </c>
      <c r="AO1481" s="144"/>
      <c r="AP1481" s="148">
        <v>60257</v>
      </c>
      <c r="AQ1481" s="144"/>
      <c r="AR1481" s="120"/>
      <c r="AS1481" s="121"/>
      <c r="AT1481" s="120"/>
      <c r="AU1481" s="121"/>
      <c r="AV1481" s="120"/>
      <c r="AW1481" s="121"/>
      <c r="AX1481" s="120"/>
      <c r="AY1481" s="121"/>
      <c r="AZ1481" s="138"/>
    </row>
    <row r="1482" spans="1:52" ht="17.100000000000001" customHeight="1" thickTop="1">
      <c r="A1482" s="109" t="s">
        <v>6477</v>
      </c>
      <c r="B1482" s="28">
        <v>45915</v>
      </c>
      <c r="C1482" s="25"/>
      <c r="D1482" s="13" t="s">
        <v>4860</v>
      </c>
      <c r="E1482" s="111"/>
      <c r="F1482" s="113" t="s">
        <v>1938</v>
      </c>
      <c r="G1482" s="114"/>
      <c r="H1482" s="115"/>
      <c r="I1482" s="24" t="s">
        <v>4314</v>
      </c>
      <c r="J1482" s="116">
        <v>4</v>
      </c>
      <c r="K1482" s="118">
        <v>405000</v>
      </c>
      <c r="L1482" s="119"/>
      <c r="M1482" s="118">
        <f>K1482*0.1</f>
        <v>40500</v>
      </c>
      <c r="N1482" s="119"/>
      <c r="O1482" s="118">
        <f>17200+1720</f>
        <v>18920</v>
      </c>
      <c r="P1482" s="119"/>
      <c r="Q1482" s="118">
        <v>18960</v>
      </c>
      <c r="R1482" s="119"/>
      <c r="S1482" s="118">
        <v>14850</v>
      </c>
      <c r="T1482" s="119"/>
      <c r="U1482" s="118">
        <f>SUM(K1482:T1483)</f>
        <v>498230</v>
      </c>
      <c r="V1482" s="122"/>
      <c r="W1482" s="124"/>
      <c r="X1482" s="126" t="s">
        <v>4861</v>
      </c>
      <c r="Y1482" s="127"/>
      <c r="Z1482" s="127"/>
      <c r="AA1482" s="127"/>
      <c r="AB1482" s="128"/>
      <c r="AC1482" s="15" t="s">
        <v>20</v>
      </c>
      <c r="AD1482" s="129"/>
      <c r="AE1482" s="130"/>
      <c r="AF1482" s="130"/>
      <c r="AG1482" s="130"/>
      <c r="AH1482" s="130"/>
      <c r="AI1482" s="131"/>
      <c r="AJ1482" s="132"/>
      <c r="AK1482" s="127"/>
      <c r="AL1482" s="128"/>
      <c r="AM1482" s="21" t="s">
        <v>8329</v>
      </c>
      <c r="AN1482" s="133">
        <v>45962</v>
      </c>
      <c r="AO1482" s="134"/>
      <c r="AP1482" s="135">
        <v>1274</v>
      </c>
      <c r="AQ1482" s="136"/>
      <c r="AR1482" s="118">
        <v>500000</v>
      </c>
      <c r="AS1482" s="119"/>
      <c r="AT1482" s="118">
        <f>AR1482*0.1</f>
        <v>50000</v>
      </c>
      <c r="AU1482" s="119"/>
      <c r="AV1482" s="118">
        <v>18960</v>
      </c>
      <c r="AW1482" s="119"/>
      <c r="AX1482" s="118">
        <f>SUM(AR1482:AW1482)</f>
        <v>568960</v>
      </c>
      <c r="AY1482" s="119"/>
      <c r="AZ1482" s="137">
        <v>45965</v>
      </c>
    </row>
    <row r="1483" spans="1:52" ht="17.100000000000001" customHeight="1" thickBot="1">
      <c r="A1483" s="110"/>
      <c r="B1483" s="27" t="s">
        <v>4862</v>
      </c>
      <c r="C1483" s="27">
        <v>55209</v>
      </c>
      <c r="D1483" s="14" t="s">
        <v>1592</v>
      </c>
      <c r="E1483" s="112"/>
      <c r="F1483" s="139" t="s">
        <v>4863</v>
      </c>
      <c r="G1483" s="140"/>
      <c r="H1483" s="141"/>
      <c r="I1483" s="26">
        <v>69434</v>
      </c>
      <c r="J1483" s="117"/>
      <c r="K1483" s="120"/>
      <c r="L1483" s="121"/>
      <c r="M1483" s="120"/>
      <c r="N1483" s="121"/>
      <c r="O1483" s="120"/>
      <c r="P1483" s="121"/>
      <c r="Q1483" s="120"/>
      <c r="R1483" s="121"/>
      <c r="S1483" s="120"/>
      <c r="T1483" s="121"/>
      <c r="U1483" s="120"/>
      <c r="V1483" s="123"/>
      <c r="W1483" s="125"/>
      <c r="X1483" s="142" t="s">
        <v>4167</v>
      </c>
      <c r="Y1483" s="143"/>
      <c r="Z1483" s="143"/>
      <c r="AA1483" s="143"/>
      <c r="AB1483" s="144"/>
      <c r="AC1483" s="16" t="s">
        <v>21</v>
      </c>
      <c r="AD1483" s="17" t="s">
        <v>2148</v>
      </c>
      <c r="AE1483" s="145" t="s">
        <v>4864</v>
      </c>
      <c r="AF1483" s="146"/>
      <c r="AG1483" s="146"/>
      <c r="AH1483" s="146"/>
      <c r="AI1483" s="147"/>
      <c r="AJ1483" s="148"/>
      <c r="AK1483" s="143"/>
      <c r="AL1483" s="144"/>
      <c r="AM1483" s="22"/>
      <c r="AN1483" s="149" t="s">
        <v>2511</v>
      </c>
      <c r="AO1483" s="144"/>
      <c r="AP1483" s="148">
        <v>80082</v>
      </c>
      <c r="AQ1483" s="144"/>
      <c r="AR1483" s="120"/>
      <c r="AS1483" s="121"/>
      <c r="AT1483" s="120"/>
      <c r="AU1483" s="121"/>
      <c r="AV1483" s="120"/>
      <c r="AW1483" s="121"/>
      <c r="AX1483" s="120"/>
      <c r="AY1483" s="121"/>
      <c r="AZ1483" s="138"/>
    </row>
    <row r="1484" spans="1:52" ht="17.100000000000001" customHeight="1" thickTop="1">
      <c r="A1484" s="109" t="s">
        <v>6478</v>
      </c>
      <c r="B1484" s="28">
        <v>45915</v>
      </c>
      <c r="C1484" s="25"/>
      <c r="D1484" s="13" t="s">
        <v>2697</v>
      </c>
      <c r="E1484" s="111"/>
      <c r="F1484" s="113" t="s">
        <v>4865</v>
      </c>
      <c r="G1484" s="114"/>
      <c r="H1484" s="115"/>
      <c r="I1484" s="24" t="s">
        <v>4866</v>
      </c>
      <c r="J1484" s="116">
        <v>4.5</v>
      </c>
      <c r="K1484" s="118">
        <f>2766500/1.1</f>
        <v>2515000</v>
      </c>
      <c r="L1484" s="119"/>
      <c r="M1484" s="118">
        <f>K1484*0.1</f>
        <v>251500</v>
      </c>
      <c r="N1484" s="119"/>
      <c r="O1484" s="118">
        <v>15200</v>
      </c>
      <c r="P1484" s="119"/>
      <c r="Q1484" s="118">
        <v>11650</v>
      </c>
      <c r="R1484" s="119"/>
      <c r="S1484" s="118">
        <v>124163</v>
      </c>
      <c r="T1484" s="119"/>
      <c r="U1484" s="118">
        <f>SUM(K1484:T1485)</f>
        <v>2917513</v>
      </c>
      <c r="V1484" s="122"/>
      <c r="W1484" s="124"/>
      <c r="X1484" s="126" t="s">
        <v>4867</v>
      </c>
      <c r="Y1484" s="127"/>
      <c r="Z1484" s="127"/>
      <c r="AA1484" s="127"/>
      <c r="AB1484" s="128"/>
      <c r="AC1484" s="15" t="s">
        <v>20</v>
      </c>
      <c r="AD1484" s="129" t="s">
        <v>1945</v>
      </c>
      <c r="AE1484" s="130"/>
      <c r="AF1484" s="130"/>
      <c r="AG1484" s="130"/>
      <c r="AH1484" s="130"/>
      <c r="AI1484" s="131"/>
      <c r="AJ1484" s="132"/>
      <c r="AK1484" s="127"/>
      <c r="AL1484" s="128"/>
      <c r="AM1484" s="21"/>
      <c r="AN1484" s="133">
        <v>45934</v>
      </c>
      <c r="AO1484" s="134"/>
      <c r="AP1484" s="135">
        <v>1270</v>
      </c>
      <c r="AQ1484" s="136"/>
      <c r="AR1484" s="118">
        <v>2705000</v>
      </c>
      <c r="AS1484" s="119"/>
      <c r="AT1484" s="118">
        <f>AR1484*0.1</f>
        <v>270500</v>
      </c>
      <c r="AU1484" s="119"/>
      <c r="AV1484" s="118">
        <v>11650</v>
      </c>
      <c r="AW1484" s="119"/>
      <c r="AX1484" s="118">
        <f>SUM(AR1484:AW1484)</f>
        <v>2987150</v>
      </c>
      <c r="AY1484" s="119"/>
      <c r="AZ1484" s="137">
        <v>45937</v>
      </c>
    </row>
    <row r="1485" spans="1:52" ht="17.100000000000001" customHeight="1" thickBot="1">
      <c r="A1485" s="110"/>
      <c r="B1485" s="27" t="s">
        <v>1718</v>
      </c>
      <c r="C1485" s="27" t="s">
        <v>4868</v>
      </c>
      <c r="D1485" s="14" t="s">
        <v>1812</v>
      </c>
      <c r="E1485" s="112"/>
      <c r="F1485" s="139" t="s">
        <v>4869</v>
      </c>
      <c r="G1485" s="140"/>
      <c r="H1485" s="141"/>
      <c r="I1485" s="26">
        <v>8042</v>
      </c>
      <c r="J1485" s="117"/>
      <c r="K1485" s="120"/>
      <c r="L1485" s="121"/>
      <c r="M1485" s="120"/>
      <c r="N1485" s="121"/>
      <c r="O1485" s="120"/>
      <c r="P1485" s="121"/>
      <c r="Q1485" s="120"/>
      <c r="R1485" s="121"/>
      <c r="S1485" s="120"/>
      <c r="T1485" s="121"/>
      <c r="U1485" s="120"/>
      <c r="V1485" s="123"/>
      <c r="W1485" s="125"/>
      <c r="X1485" s="142" t="s">
        <v>4870</v>
      </c>
      <c r="Y1485" s="143"/>
      <c r="Z1485" s="143"/>
      <c r="AA1485" s="143"/>
      <c r="AB1485" s="144"/>
      <c r="AC1485" s="16" t="s">
        <v>21</v>
      </c>
      <c r="AD1485" s="17" t="s">
        <v>4567</v>
      </c>
      <c r="AE1485" s="145" t="s">
        <v>1614</v>
      </c>
      <c r="AF1485" s="146"/>
      <c r="AG1485" s="146"/>
      <c r="AH1485" s="146"/>
      <c r="AI1485" s="147"/>
      <c r="AJ1485" s="148"/>
      <c r="AK1485" s="143"/>
      <c r="AL1485" s="144"/>
      <c r="AM1485" s="22"/>
      <c r="AN1485" s="149" t="s">
        <v>7284</v>
      </c>
      <c r="AO1485" s="144"/>
      <c r="AP1485" s="148">
        <v>37722</v>
      </c>
      <c r="AQ1485" s="144"/>
      <c r="AR1485" s="120"/>
      <c r="AS1485" s="121"/>
      <c r="AT1485" s="120"/>
      <c r="AU1485" s="121"/>
      <c r="AV1485" s="120"/>
      <c r="AW1485" s="121"/>
      <c r="AX1485" s="120"/>
      <c r="AY1485" s="121"/>
      <c r="AZ1485" s="138"/>
    </row>
    <row r="1486" spans="1:52" ht="17.100000000000001" customHeight="1" thickTop="1">
      <c r="A1486" s="109" t="s">
        <v>6479</v>
      </c>
      <c r="B1486" s="28">
        <v>45915</v>
      </c>
      <c r="C1486" s="25"/>
      <c r="D1486" s="13" t="s">
        <v>3381</v>
      </c>
      <c r="E1486" s="111"/>
      <c r="F1486" s="113" t="s">
        <v>4871</v>
      </c>
      <c r="G1486" s="114"/>
      <c r="H1486" s="115"/>
      <c r="I1486" s="24" t="s">
        <v>4872</v>
      </c>
      <c r="J1486" s="116">
        <v>4.5</v>
      </c>
      <c r="K1486" s="118">
        <f>605000/1.1</f>
        <v>550000</v>
      </c>
      <c r="L1486" s="119"/>
      <c r="M1486" s="118">
        <f>K1486*0.1</f>
        <v>55000</v>
      </c>
      <c r="N1486" s="119"/>
      <c r="O1486" s="118">
        <v>0</v>
      </c>
      <c r="P1486" s="119"/>
      <c r="Q1486" s="118">
        <v>9670</v>
      </c>
      <c r="R1486" s="119"/>
      <c r="S1486" s="118">
        <v>57896</v>
      </c>
      <c r="T1486" s="119"/>
      <c r="U1486" s="118">
        <f>SUM(K1486:T1487)</f>
        <v>672566</v>
      </c>
      <c r="V1486" s="122"/>
      <c r="W1486" s="124"/>
      <c r="X1486" s="126" t="s">
        <v>4873</v>
      </c>
      <c r="Y1486" s="127"/>
      <c r="Z1486" s="127"/>
      <c r="AA1486" s="127"/>
      <c r="AB1486" s="128"/>
      <c r="AC1486" s="15" t="s">
        <v>20</v>
      </c>
      <c r="AD1486" s="129" t="s">
        <v>1945</v>
      </c>
      <c r="AE1486" s="130"/>
      <c r="AF1486" s="130"/>
      <c r="AG1486" s="130"/>
      <c r="AH1486" s="130"/>
      <c r="AI1486" s="131"/>
      <c r="AJ1486" s="132"/>
      <c r="AK1486" s="127"/>
      <c r="AL1486" s="128"/>
      <c r="AM1486" s="21"/>
      <c r="AN1486" s="133">
        <v>45937</v>
      </c>
      <c r="AO1486" s="134"/>
      <c r="AP1486" s="135">
        <v>1912</v>
      </c>
      <c r="AQ1486" s="136"/>
      <c r="AR1486" s="118">
        <v>656000</v>
      </c>
      <c r="AS1486" s="119"/>
      <c r="AT1486" s="118">
        <f>AR1486*0.1</f>
        <v>65600</v>
      </c>
      <c r="AU1486" s="119"/>
      <c r="AV1486" s="118">
        <v>9670</v>
      </c>
      <c r="AW1486" s="119"/>
      <c r="AX1486" s="118">
        <f>SUM(AR1486:AW1486)</f>
        <v>731270</v>
      </c>
      <c r="AY1486" s="119"/>
      <c r="AZ1486" s="137"/>
    </row>
    <row r="1487" spans="1:52" ht="17.100000000000001" customHeight="1" thickBot="1">
      <c r="A1487" s="110"/>
      <c r="B1487" s="27" t="s">
        <v>1718</v>
      </c>
      <c r="C1487" s="27" t="s">
        <v>4874</v>
      </c>
      <c r="D1487" s="14" t="s">
        <v>1576</v>
      </c>
      <c r="E1487" s="112"/>
      <c r="F1487" s="139" t="s">
        <v>4875</v>
      </c>
      <c r="G1487" s="140"/>
      <c r="H1487" s="141"/>
      <c r="I1487" s="26">
        <v>52410</v>
      </c>
      <c r="J1487" s="117"/>
      <c r="K1487" s="120"/>
      <c r="L1487" s="121"/>
      <c r="M1487" s="120"/>
      <c r="N1487" s="121"/>
      <c r="O1487" s="120"/>
      <c r="P1487" s="121"/>
      <c r="Q1487" s="120"/>
      <c r="R1487" s="121"/>
      <c r="S1487" s="120"/>
      <c r="T1487" s="121"/>
      <c r="U1487" s="120"/>
      <c r="V1487" s="123"/>
      <c r="W1487" s="125"/>
      <c r="X1487" s="142" t="s">
        <v>4876</v>
      </c>
      <c r="Y1487" s="143"/>
      <c r="Z1487" s="143"/>
      <c r="AA1487" s="143"/>
      <c r="AB1487" s="144"/>
      <c r="AC1487" s="16" t="s">
        <v>21</v>
      </c>
      <c r="AD1487" s="17" t="s">
        <v>4184</v>
      </c>
      <c r="AE1487" s="145" t="s">
        <v>1732</v>
      </c>
      <c r="AF1487" s="146"/>
      <c r="AG1487" s="146"/>
      <c r="AH1487" s="146"/>
      <c r="AI1487" s="147"/>
      <c r="AJ1487" s="148"/>
      <c r="AK1487" s="143"/>
      <c r="AL1487" s="144"/>
      <c r="AM1487" s="22"/>
      <c r="AN1487" s="149" t="s">
        <v>2131</v>
      </c>
      <c r="AO1487" s="144"/>
      <c r="AP1487" s="148">
        <v>3257</v>
      </c>
      <c r="AQ1487" s="144"/>
      <c r="AR1487" s="120"/>
      <c r="AS1487" s="121"/>
      <c r="AT1487" s="120"/>
      <c r="AU1487" s="121"/>
      <c r="AV1487" s="120"/>
      <c r="AW1487" s="121"/>
      <c r="AX1487" s="120"/>
      <c r="AY1487" s="121"/>
      <c r="AZ1487" s="138"/>
    </row>
    <row r="1488" spans="1:52" ht="17.100000000000001" customHeight="1" thickTop="1">
      <c r="A1488" s="109" t="s">
        <v>6480</v>
      </c>
      <c r="B1488" s="28">
        <v>45915</v>
      </c>
      <c r="C1488" s="25"/>
      <c r="D1488" s="13" t="s">
        <v>1986</v>
      </c>
      <c r="E1488" s="111"/>
      <c r="F1488" s="113" t="s">
        <v>4877</v>
      </c>
      <c r="G1488" s="114"/>
      <c r="H1488" s="115"/>
      <c r="I1488" s="24" t="s">
        <v>4878</v>
      </c>
      <c r="J1488" s="116">
        <v>4.5</v>
      </c>
      <c r="K1488" s="118">
        <f>1061500/1.1</f>
        <v>964999.99999999988</v>
      </c>
      <c r="L1488" s="119"/>
      <c r="M1488" s="118">
        <f>K1488*0.1</f>
        <v>96500</v>
      </c>
      <c r="N1488" s="119"/>
      <c r="O1488" s="118">
        <v>0</v>
      </c>
      <c r="P1488" s="119"/>
      <c r="Q1488" s="118">
        <v>7150</v>
      </c>
      <c r="R1488" s="119"/>
      <c r="S1488" s="118">
        <v>81538</v>
      </c>
      <c r="T1488" s="119"/>
      <c r="U1488" s="118">
        <f>SUM(K1488:T1489)</f>
        <v>1150188</v>
      </c>
      <c r="V1488" s="122"/>
      <c r="W1488" s="124"/>
      <c r="X1488" s="126" t="s">
        <v>10731</v>
      </c>
      <c r="Y1488" s="127"/>
      <c r="Z1488" s="127"/>
      <c r="AA1488" s="127"/>
      <c r="AB1488" s="128"/>
      <c r="AC1488" s="15" t="s">
        <v>20</v>
      </c>
      <c r="AD1488" s="129" t="s">
        <v>1732</v>
      </c>
      <c r="AE1488" s="130"/>
      <c r="AF1488" s="130"/>
      <c r="AG1488" s="130"/>
      <c r="AH1488" s="130"/>
      <c r="AI1488" s="131"/>
      <c r="AJ1488" s="132"/>
      <c r="AK1488" s="127"/>
      <c r="AL1488" s="128"/>
      <c r="AM1488" s="21"/>
      <c r="AN1488" s="133">
        <v>45972</v>
      </c>
      <c r="AO1488" s="134"/>
      <c r="AP1488" s="135">
        <v>1917</v>
      </c>
      <c r="AQ1488" s="136"/>
      <c r="AR1488" s="118">
        <v>1098000</v>
      </c>
      <c r="AS1488" s="119"/>
      <c r="AT1488" s="118">
        <f>AR1488*0.1</f>
        <v>109800</v>
      </c>
      <c r="AU1488" s="119"/>
      <c r="AV1488" s="118">
        <v>7150</v>
      </c>
      <c r="AW1488" s="119"/>
      <c r="AX1488" s="118">
        <f>SUM(AR1488:AW1488)</f>
        <v>1214950</v>
      </c>
      <c r="AY1488" s="119"/>
      <c r="AZ1488" s="137"/>
    </row>
    <row r="1489" spans="1:52" ht="17.100000000000001" customHeight="1" thickBot="1">
      <c r="A1489" s="110"/>
      <c r="B1489" s="27" t="s">
        <v>1718</v>
      </c>
      <c r="C1489" s="27" t="s">
        <v>4879</v>
      </c>
      <c r="D1489" s="14" t="s">
        <v>275</v>
      </c>
      <c r="E1489" s="112"/>
      <c r="F1489" s="139" t="s">
        <v>4880</v>
      </c>
      <c r="G1489" s="140"/>
      <c r="H1489" s="141"/>
      <c r="I1489" s="26">
        <v>53344</v>
      </c>
      <c r="J1489" s="117"/>
      <c r="K1489" s="120"/>
      <c r="L1489" s="121"/>
      <c r="M1489" s="120"/>
      <c r="N1489" s="121"/>
      <c r="O1489" s="120"/>
      <c r="P1489" s="121"/>
      <c r="Q1489" s="120"/>
      <c r="R1489" s="121"/>
      <c r="S1489" s="120"/>
      <c r="T1489" s="121"/>
      <c r="U1489" s="120"/>
      <c r="V1489" s="123"/>
      <c r="W1489" s="125"/>
      <c r="X1489" s="142" t="s">
        <v>10732</v>
      </c>
      <c r="Y1489" s="143"/>
      <c r="Z1489" s="143"/>
      <c r="AA1489" s="143"/>
      <c r="AB1489" s="144"/>
      <c r="AC1489" s="16" t="s">
        <v>21</v>
      </c>
      <c r="AD1489" s="17" t="s">
        <v>10733</v>
      </c>
      <c r="AE1489" s="145" t="s">
        <v>10734</v>
      </c>
      <c r="AF1489" s="146"/>
      <c r="AG1489" s="146"/>
      <c r="AH1489" s="146"/>
      <c r="AI1489" s="147"/>
      <c r="AJ1489" s="148"/>
      <c r="AK1489" s="143"/>
      <c r="AL1489" s="144"/>
      <c r="AM1489" s="22"/>
      <c r="AN1489" s="149" t="s">
        <v>2131</v>
      </c>
      <c r="AO1489" s="144"/>
      <c r="AP1489" s="148">
        <v>3087</v>
      </c>
      <c r="AQ1489" s="144"/>
      <c r="AR1489" s="120"/>
      <c r="AS1489" s="121"/>
      <c r="AT1489" s="120"/>
      <c r="AU1489" s="121"/>
      <c r="AV1489" s="120"/>
      <c r="AW1489" s="121"/>
      <c r="AX1489" s="120"/>
      <c r="AY1489" s="121"/>
      <c r="AZ1489" s="138"/>
    </row>
    <row r="1490" spans="1:52" ht="17.100000000000001" customHeight="1" thickTop="1">
      <c r="A1490" s="109" t="s">
        <v>6481</v>
      </c>
      <c r="B1490" s="28">
        <v>45915</v>
      </c>
      <c r="C1490" s="25"/>
      <c r="D1490" s="13" t="s">
        <v>2963</v>
      </c>
      <c r="E1490" s="111"/>
      <c r="F1490" s="113" t="s">
        <v>2950</v>
      </c>
      <c r="G1490" s="114"/>
      <c r="H1490" s="115"/>
      <c r="I1490" s="24" t="s">
        <v>4881</v>
      </c>
      <c r="J1490" s="116">
        <v>4.5</v>
      </c>
      <c r="K1490" s="118">
        <f>3399000/1.1</f>
        <v>3089999.9999999995</v>
      </c>
      <c r="L1490" s="119"/>
      <c r="M1490" s="118">
        <f>K1490*0.1</f>
        <v>308999.99999999994</v>
      </c>
      <c r="N1490" s="119"/>
      <c r="O1490" s="118">
        <v>21700</v>
      </c>
      <c r="P1490" s="119"/>
      <c r="Q1490" s="118">
        <v>14900</v>
      </c>
      <c r="R1490" s="119"/>
      <c r="S1490" s="118">
        <v>139975</v>
      </c>
      <c r="T1490" s="119"/>
      <c r="U1490" s="118">
        <f>SUM(K1490:T1491)</f>
        <v>3575574.9999999995</v>
      </c>
      <c r="V1490" s="122"/>
      <c r="W1490" s="124"/>
      <c r="X1490" s="126" t="s">
        <v>4882</v>
      </c>
      <c r="Y1490" s="127"/>
      <c r="Z1490" s="127"/>
      <c r="AA1490" s="127"/>
      <c r="AB1490" s="128"/>
      <c r="AC1490" s="15" t="s">
        <v>20</v>
      </c>
      <c r="AD1490" s="129" t="s">
        <v>4883</v>
      </c>
      <c r="AE1490" s="130"/>
      <c r="AF1490" s="130"/>
      <c r="AG1490" s="130"/>
      <c r="AH1490" s="130"/>
      <c r="AI1490" s="131"/>
      <c r="AJ1490" s="132"/>
      <c r="AK1490" s="127"/>
      <c r="AL1490" s="128"/>
      <c r="AM1490" s="21"/>
      <c r="AN1490" s="133">
        <v>45934</v>
      </c>
      <c r="AO1490" s="134"/>
      <c r="AP1490" s="135">
        <v>1270</v>
      </c>
      <c r="AQ1490" s="136"/>
      <c r="AR1490" s="118">
        <v>3210000</v>
      </c>
      <c r="AS1490" s="119"/>
      <c r="AT1490" s="118">
        <f>AR1490*0.1</f>
        <v>321000</v>
      </c>
      <c r="AU1490" s="119"/>
      <c r="AV1490" s="118">
        <v>14900</v>
      </c>
      <c r="AW1490" s="119"/>
      <c r="AX1490" s="118">
        <f>SUM(AR1490:AW1490)</f>
        <v>3545900</v>
      </c>
      <c r="AY1490" s="119"/>
      <c r="AZ1490" s="137">
        <v>45937</v>
      </c>
    </row>
    <row r="1491" spans="1:52" ht="17.100000000000001" customHeight="1" thickBot="1">
      <c r="A1491" s="110"/>
      <c r="B1491" s="27" t="s">
        <v>1718</v>
      </c>
      <c r="C1491" s="27" t="s">
        <v>4884</v>
      </c>
      <c r="D1491" s="14" t="s">
        <v>2601</v>
      </c>
      <c r="E1491" s="112"/>
      <c r="F1491" s="139" t="s">
        <v>4885</v>
      </c>
      <c r="G1491" s="140"/>
      <c r="H1491" s="141"/>
      <c r="I1491" s="26">
        <v>39348</v>
      </c>
      <c r="J1491" s="117"/>
      <c r="K1491" s="120"/>
      <c r="L1491" s="121"/>
      <c r="M1491" s="120"/>
      <c r="N1491" s="121"/>
      <c r="O1491" s="120"/>
      <c r="P1491" s="121"/>
      <c r="Q1491" s="120"/>
      <c r="R1491" s="121"/>
      <c r="S1491" s="120"/>
      <c r="T1491" s="121"/>
      <c r="U1491" s="120"/>
      <c r="V1491" s="123"/>
      <c r="W1491" s="125"/>
      <c r="X1491" s="142" t="s">
        <v>4886</v>
      </c>
      <c r="Y1491" s="143"/>
      <c r="Z1491" s="143"/>
      <c r="AA1491" s="143"/>
      <c r="AB1491" s="144"/>
      <c r="AC1491" s="16" t="s">
        <v>21</v>
      </c>
      <c r="AD1491" s="17" t="s">
        <v>4286</v>
      </c>
      <c r="AE1491" s="145" t="s">
        <v>4887</v>
      </c>
      <c r="AF1491" s="146"/>
      <c r="AG1491" s="146"/>
      <c r="AH1491" s="146"/>
      <c r="AI1491" s="147"/>
      <c r="AJ1491" s="148"/>
      <c r="AK1491" s="143"/>
      <c r="AL1491" s="144"/>
      <c r="AM1491" s="22"/>
      <c r="AN1491" s="149" t="s">
        <v>7284</v>
      </c>
      <c r="AO1491" s="144"/>
      <c r="AP1491" s="148">
        <v>37101</v>
      </c>
      <c r="AQ1491" s="144"/>
      <c r="AR1491" s="120"/>
      <c r="AS1491" s="121"/>
      <c r="AT1491" s="120"/>
      <c r="AU1491" s="121"/>
      <c r="AV1491" s="120"/>
      <c r="AW1491" s="121"/>
      <c r="AX1491" s="120"/>
      <c r="AY1491" s="121"/>
      <c r="AZ1491" s="138"/>
    </row>
    <row r="1492" spans="1:52" ht="17.100000000000001" customHeight="1" thickTop="1">
      <c r="A1492" s="109" t="s">
        <v>6482</v>
      </c>
      <c r="B1492" s="28">
        <v>45915</v>
      </c>
      <c r="C1492" s="25"/>
      <c r="D1492" s="13" t="s">
        <v>2009</v>
      </c>
      <c r="E1492" s="111"/>
      <c r="F1492" s="113" t="s">
        <v>4888</v>
      </c>
      <c r="G1492" s="114"/>
      <c r="H1492" s="115"/>
      <c r="I1492" s="24" t="s">
        <v>4889</v>
      </c>
      <c r="J1492" s="116">
        <v>4.5</v>
      </c>
      <c r="K1492" s="118">
        <f>2062500/1.1</f>
        <v>1874999.9999999998</v>
      </c>
      <c r="L1492" s="119"/>
      <c r="M1492" s="118">
        <f>K1492*0.1</f>
        <v>187500</v>
      </c>
      <c r="N1492" s="119"/>
      <c r="O1492" s="118">
        <v>15200</v>
      </c>
      <c r="P1492" s="119"/>
      <c r="Q1492" s="118">
        <v>8600</v>
      </c>
      <c r="R1492" s="119"/>
      <c r="S1492" s="118">
        <v>106563</v>
      </c>
      <c r="T1492" s="119"/>
      <c r="U1492" s="118">
        <f>SUM(K1492:T1493)</f>
        <v>2192863</v>
      </c>
      <c r="V1492" s="122"/>
      <c r="W1492" s="124"/>
      <c r="X1492" s="126" t="s">
        <v>6769</v>
      </c>
      <c r="Y1492" s="127"/>
      <c r="Z1492" s="127"/>
      <c r="AA1492" s="127"/>
      <c r="AB1492" s="128"/>
      <c r="AC1492" s="15" t="s">
        <v>20</v>
      </c>
      <c r="AD1492" s="129" t="s">
        <v>1945</v>
      </c>
      <c r="AE1492" s="130"/>
      <c r="AF1492" s="130"/>
      <c r="AG1492" s="130"/>
      <c r="AH1492" s="130"/>
      <c r="AI1492" s="131"/>
      <c r="AJ1492" s="132"/>
      <c r="AK1492" s="127"/>
      <c r="AL1492" s="128"/>
      <c r="AM1492" s="21"/>
      <c r="AN1492" s="133">
        <v>45934</v>
      </c>
      <c r="AO1492" s="134"/>
      <c r="AP1492" s="135">
        <v>1270</v>
      </c>
      <c r="AQ1492" s="136"/>
      <c r="AR1492" s="118">
        <v>2195000</v>
      </c>
      <c r="AS1492" s="119"/>
      <c r="AT1492" s="118">
        <f>AR1492*0.1</f>
        <v>219500</v>
      </c>
      <c r="AU1492" s="119"/>
      <c r="AV1492" s="118">
        <v>8600</v>
      </c>
      <c r="AW1492" s="119"/>
      <c r="AX1492" s="118">
        <f>SUM(AR1492:AW1492)</f>
        <v>2423100</v>
      </c>
      <c r="AY1492" s="119"/>
      <c r="AZ1492" s="137">
        <v>45937</v>
      </c>
    </row>
    <row r="1493" spans="1:52" ht="17.100000000000001" customHeight="1" thickBot="1">
      <c r="A1493" s="110"/>
      <c r="B1493" s="27" t="s">
        <v>1718</v>
      </c>
      <c r="C1493" s="27" t="s">
        <v>4890</v>
      </c>
      <c r="D1493" s="14" t="s">
        <v>2601</v>
      </c>
      <c r="E1493" s="112"/>
      <c r="F1493" s="139" t="s">
        <v>4891</v>
      </c>
      <c r="G1493" s="140"/>
      <c r="H1493" s="141"/>
      <c r="I1493" s="26">
        <v>25694</v>
      </c>
      <c r="J1493" s="117"/>
      <c r="K1493" s="120"/>
      <c r="L1493" s="121"/>
      <c r="M1493" s="120"/>
      <c r="N1493" s="121"/>
      <c r="O1493" s="120"/>
      <c r="P1493" s="121"/>
      <c r="Q1493" s="120"/>
      <c r="R1493" s="121"/>
      <c r="S1493" s="120"/>
      <c r="T1493" s="121"/>
      <c r="U1493" s="120"/>
      <c r="V1493" s="123"/>
      <c r="W1493" s="125"/>
      <c r="X1493" s="142" t="s">
        <v>6770</v>
      </c>
      <c r="Y1493" s="143"/>
      <c r="Z1493" s="143"/>
      <c r="AA1493" s="143"/>
      <c r="AB1493" s="144"/>
      <c r="AC1493" s="16" t="s">
        <v>21</v>
      </c>
      <c r="AD1493" s="17" t="s">
        <v>1604</v>
      </c>
      <c r="AE1493" s="145" t="s">
        <v>1732</v>
      </c>
      <c r="AF1493" s="146"/>
      <c r="AG1493" s="146"/>
      <c r="AH1493" s="146"/>
      <c r="AI1493" s="147"/>
      <c r="AJ1493" s="148"/>
      <c r="AK1493" s="143"/>
      <c r="AL1493" s="144"/>
      <c r="AM1493" s="22"/>
      <c r="AN1493" s="149" t="s">
        <v>7284</v>
      </c>
      <c r="AO1493" s="144"/>
      <c r="AP1493" s="148">
        <v>37670</v>
      </c>
      <c r="AQ1493" s="144"/>
      <c r="AR1493" s="120"/>
      <c r="AS1493" s="121"/>
      <c r="AT1493" s="120"/>
      <c r="AU1493" s="121"/>
      <c r="AV1493" s="120"/>
      <c r="AW1493" s="121"/>
      <c r="AX1493" s="120"/>
      <c r="AY1493" s="121"/>
      <c r="AZ1493" s="138"/>
    </row>
    <row r="1494" spans="1:52" ht="17.100000000000001" customHeight="1" thickTop="1">
      <c r="A1494" s="109" t="s">
        <v>6483</v>
      </c>
      <c r="B1494" s="28">
        <v>45915</v>
      </c>
      <c r="C1494" s="25">
        <v>51</v>
      </c>
      <c r="D1494" s="13" t="s">
        <v>2737</v>
      </c>
      <c r="E1494" s="111"/>
      <c r="F1494" s="113" t="s">
        <v>4892</v>
      </c>
      <c r="G1494" s="114"/>
      <c r="H1494" s="115"/>
      <c r="I1494" s="24" t="s">
        <v>3509</v>
      </c>
      <c r="J1494" s="116">
        <v>4.5</v>
      </c>
      <c r="K1494" s="118">
        <v>2075000</v>
      </c>
      <c r="L1494" s="119"/>
      <c r="M1494" s="118">
        <f>K1494*0.1</f>
        <v>207500</v>
      </c>
      <c r="N1494" s="119"/>
      <c r="O1494" s="118">
        <f>12700+1270</f>
        <v>13970</v>
      </c>
      <c r="P1494" s="119"/>
      <c r="Q1494" s="118">
        <v>8340</v>
      </c>
      <c r="R1494" s="119"/>
      <c r="S1494" s="118">
        <v>66000</v>
      </c>
      <c r="T1494" s="119"/>
      <c r="U1494" s="118">
        <f>SUM(K1494:T1495)</f>
        <v>2370810</v>
      </c>
      <c r="V1494" s="122"/>
      <c r="W1494" s="124"/>
      <c r="X1494" s="126" t="s">
        <v>7953</v>
      </c>
      <c r="Y1494" s="127"/>
      <c r="Z1494" s="127"/>
      <c r="AA1494" s="127"/>
      <c r="AB1494" s="128"/>
      <c r="AC1494" s="15" t="s">
        <v>20</v>
      </c>
      <c r="AD1494" s="129" t="s">
        <v>171</v>
      </c>
      <c r="AE1494" s="130"/>
      <c r="AF1494" s="130"/>
      <c r="AG1494" s="130"/>
      <c r="AH1494" s="130"/>
      <c r="AI1494" s="131"/>
      <c r="AJ1494" s="132"/>
      <c r="AK1494" s="127"/>
      <c r="AL1494" s="128"/>
      <c r="AM1494" s="21"/>
      <c r="AN1494" s="133">
        <v>45941</v>
      </c>
      <c r="AO1494" s="134"/>
      <c r="AP1494" s="135">
        <v>1271</v>
      </c>
      <c r="AQ1494" s="136"/>
      <c r="AR1494" s="118">
        <v>2320000</v>
      </c>
      <c r="AS1494" s="119"/>
      <c r="AT1494" s="118">
        <f>AR1494*0.1</f>
        <v>232000</v>
      </c>
      <c r="AU1494" s="119"/>
      <c r="AV1494" s="118">
        <v>8340</v>
      </c>
      <c r="AW1494" s="119"/>
      <c r="AX1494" s="118">
        <f>SUM(AR1494:AW1494)</f>
        <v>2560340</v>
      </c>
      <c r="AY1494" s="119"/>
      <c r="AZ1494" s="137">
        <v>45944</v>
      </c>
    </row>
    <row r="1495" spans="1:52" ht="17.100000000000001" customHeight="1" thickBot="1">
      <c r="A1495" s="110"/>
      <c r="B1495" s="27" t="s">
        <v>4544</v>
      </c>
      <c r="C1495" s="27">
        <v>1015</v>
      </c>
      <c r="D1495" s="14" t="s">
        <v>275</v>
      </c>
      <c r="E1495" s="112"/>
      <c r="F1495" s="139" t="s">
        <v>4893</v>
      </c>
      <c r="G1495" s="140"/>
      <c r="H1495" s="141"/>
      <c r="I1495" s="26">
        <v>18258</v>
      </c>
      <c r="J1495" s="117"/>
      <c r="K1495" s="120"/>
      <c r="L1495" s="121"/>
      <c r="M1495" s="120"/>
      <c r="N1495" s="121"/>
      <c r="O1495" s="120"/>
      <c r="P1495" s="121"/>
      <c r="Q1495" s="120"/>
      <c r="R1495" s="121"/>
      <c r="S1495" s="120"/>
      <c r="T1495" s="121"/>
      <c r="U1495" s="120"/>
      <c r="V1495" s="123"/>
      <c r="W1495" s="125"/>
      <c r="X1495" s="142" t="s">
        <v>7954</v>
      </c>
      <c r="Y1495" s="143"/>
      <c r="Z1495" s="143"/>
      <c r="AA1495" s="143"/>
      <c r="AB1495" s="144"/>
      <c r="AC1495" s="16" t="s">
        <v>21</v>
      </c>
      <c r="AD1495" s="17" t="s">
        <v>2604</v>
      </c>
      <c r="AE1495" s="145" t="s">
        <v>4453</v>
      </c>
      <c r="AF1495" s="146"/>
      <c r="AG1495" s="146"/>
      <c r="AH1495" s="146"/>
      <c r="AI1495" s="147"/>
      <c r="AJ1495" s="148"/>
      <c r="AK1495" s="143"/>
      <c r="AL1495" s="144"/>
      <c r="AM1495" s="22"/>
      <c r="AN1495" s="149" t="s">
        <v>2511</v>
      </c>
      <c r="AO1495" s="144"/>
      <c r="AP1495" s="148">
        <v>37488</v>
      </c>
      <c r="AQ1495" s="144"/>
      <c r="AR1495" s="120"/>
      <c r="AS1495" s="121"/>
      <c r="AT1495" s="120"/>
      <c r="AU1495" s="121"/>
      <c r="AV1495" s="120"/>
      <c r="AW1495" s="121"/>
      <c r="AX1495" s="120"/>
      <c r="AY1495" s="121"/>
      <c r="AZ1495" s="138"/>
    </row>
    <row r="1496" spans="1:52" ht="17.100000000000001" customHeight="1" thickTop="1">
      <c r="A1496" s="109" t="s">
        <v>6484</v>
      </c>
      <c r="B1496" s="28">
        <v>45915</v>
      </c>
      <c r="C1496" s="25">
        <v>51</v>
      </c>
      <c r="D1496" s="13" t="s">
        <v>2179</v>
      </c>
      <c r="E1496" s="111"/>
      <c r="F1496" s="113" t="s">
        <v>4894</v>
      </c>
      <c r="G1496" s="114"/>
      <c r="H1496" s="115"/>
      <c r="I1496" s="24" t="s">
        <v>1547</v>
      </c>
      <c r="J1496" s="116">
        <v>4.5</v>
      </c>
      <c r="K1496" s="118">
        <v>960000</v>
      </c>
      <c r="L1496" s="119"/>
      <c r="M1496" s="118">
        <f>K1496*0.1</f>
        <v>96000</v>
      </c>
      <c r="N1496" s="119"/>
      <c r="O1496" s="118">
        <v>0</v>
      </c>
      <c r="P1496" s="119"/>
      <c r="Q1496" s="118">
        <v>9200</v>
      </c>
      <c r="R1496" s="119"/>
      <c r="S1496" s="118">
        <v>33000</v>
      </c>
      <c r="T1496" s="119"/>
      <c r="U1496" s="118">
        <f>SUM(K1496:T1497)</f>
        <v>1098200</v>
      </c>
      <c r="V1496" s="122"/>
      <c r="W1496" s="124"/>
      <c r="X1496" s="126" t="s">
        <v>4895</v>
      </c>
      <c r="Y1496" s="127"/>
      <c r="Z1496" s="127"/>
      <c r="AA1496" s="127"/>
      <c r="AB1496" s="128"/>
      <c r="AC1496" s="15" t="s">
        <v>20</v>
      </c>
      <c r="AD1496" s="129" t="s">
        <v>1670</v>
      </c>
      <c r="AE1496" s="130"/>
      <c r="AF1496" s="130"/>
      <c r="AG1496" s="130"/>
      <c r="AH1496" s="130"/>
      <c r="AI1496" s="131"/>
      <c r="AJ1496" s="132"/>
      <c r="AK1496" s="127"/>
      <c r="AL1496" s="128"/>
      <c r="AM1496" s="21" t="s">
        <v>7554</v>
      </c>
      <c r="AN1496" s="133">
        <v>45937</v>
      </c>
      <c r="AO1496" s="134"/>
      <c r="AP1496" s="135">
        <v>1912</v>
      </c>
      <c r="AQ1496" s="136"/>
      <c r="AR1496" s="118">
        <v>1019000</v>
      </c>
      <c r="AS1496" s="119"/>
      <c r="AT1496" s="118">
        <f>AR1496*0.1</f>
        <v>101900</v>
      </c>
      <c r="AU1496" s="119"/>
      <c r="AV1496" s="118">
        <v>9200</v>
      </c>
      <c r="AW1496" s="119"/>
      <c r="AX1496" s="118">
        <f>SUM(AR1496:AW1496)</f>
        <v>1130100</v>
      </c>
      <c r="AY1496" s="119"/>
      <c r="AZ1496" s="137"/>
    </row>
    <row r="1497" spans="1:52" ht="17.100000000000001" customHeight="1" thickBot="1">
      <c r="A1497" s="110"/>
      <c r="B1497" s="27" t="s">
        <v>4544</v>
      </c>
      <c r="C1497" s="27">
        <v>1026</v>
      </c>
      <c r="D1497" s="14" t="s">
        <v>1576</v>
      </c>
      <c r="E1497" s="112"/>
      <c r="F1497" s="139" t="s">
        <v>4896</v>
      </c>
      <c r="G1497" s="140"/>
      <c r="H1497" s="141"/>
      <c r="I1497" s="26">
        <v>37779</v>
      </c>
      <c r="J1497" s="117"/>
      <c r="K1497" s="120"/>
      <c r="L1497" s="121"/>
      <c r="M1497" s="120"/>
      <c r="N1497" s="121"/>
      <c r="O1497" s="120"/>
      <c r="P1497" s="121"/>
      <c r="Q1497" s="120"/>
      <c r="R1497" s="121"/>
      <c r="S1497" s="120"/>
      <c r="T1497" s="121"/>
      <c r="U1497" s="120"/>
      <c r="V1497" s="123"/>
      <c r="W1497" s="125"/>
      <c r="X1497" s="142" t="s">
        <v>4897</v>
      </c>
      <c r="Y1497" s="143"/>
      <c r="Z1497" s="143"/>
      <c r="AA1497" s="143"/>
      <c r="AB1497" s="144"/>
      <c r="AC1497" s="16" t="s">
        <v>21</v>
      </c>
      <c r="AD1497" s="17" t="s">
        <v>3032</v>
      </c>
      <c r="AE1497" s="145" t="s">
        <v>2347</v>
      </c>
      <c r="AF1497" s="146"/>
      <c r="AG1497" s="146"/>
      <c r="AH1497" s="146"/>
      <c r="AI1497" s="147"/>
      <c r="AJ1497" s="148"/>
      <c r="AK1497" s="143"/>
      <c r="AL1497" s="144"/>
      <c r="AM1497" s="22"/>
      <c r="AN1497" s="149" t="s">
        <v>2131</v>
      </c>
      <c r="AO1497" s="144"/>
      <c r="AP1497" s="148">
        <v>3265</v>
      </c>
      <c r="AQ1497" s="144"/>
      <c r="AR1497" s="120"/>
      <c r="AS1497" s="121"/>
      <c r="AT1497" s="120"/>
      <c r="AU1497" s="121"/>
      <c r="AV1497" s="120"/>
      <c r="AW1497" s="121"/>
      <c r="AX1497" s="120"/>
      <c r="AY1497" s="121"/>
      <c r="AZ1497" s="138"/>
    </row>
    <row r="1498" spans="1:52" ht="17.100000000000001" customHeight="1" thickTop="1">
      <c r="A1498" s="109" t="s">
        <v>6485</v>
      </c>
      <c r="B1498" s="28">
        <v>45916</v>
      </c>
      <c r="C1498" s="25">
        <v>1909</v>
      </c>
      <c r="D1498" s="13" t="s">
        <v>1688</v>
      </c>
      <c r="E1498" s="111"/>
      <c r="F1498" s="113" t="s">
        <v>4898</v>
      </c>
      <c r="G1498" s="114"/>
      <c r="H1498" s="115"/>
      <c r="I1498" s="24" t="s">
        <v>1559</v>
      </c>
      <c r="J1498" s="116">
        <v>4</v>
      </c>
      <c r="K1498" s="118">
        <v>1441000</v>
      </c>
      <c r="L1498" s="119"/>
      <c r="M1498" s="118">
        <f>K1498*0.1</f>
        <v>144100</v>
      </c>
      <c r="N1498" s="119"/>
      <c r="O1498" s="118">
        <v>0</v>
      </c>
      <c r="P1498" s="119"/>
      <c r="Q1498" s="118">
        <v>7440</v>
      </c>
      <c r="R1498" s="119"/>
      <c r="S1498" s="118">
        <v>15950</v>
      </c>
      <c r="T1498" s="119"/>
      <c r="U1498" s="118">
        <f>SUM(K1498:T1499)</f>
        <v>1608490</v>
      </c>
      <c r="V1498" s="122"/>
      <c r="W1498" s="124"/>
      <c r="X1498" s="126" t="s">
        <v>4899</v>
      </c>
      <c r="Y1498" s="127"/>
      <c r="Z1498" s="127"/>
      <c r="AA1498" s="127"/>
      <c r="AB1498" s="128"/>
      <c r="AC1498" s="15" t="s">
        <v>20</v>
      </c>
      <c r="AD1498" s="129" t="s">
        <v>4028</v>
      </c>
      <c r="AE1498" s="130"/>
      <c r="AF1498" s="130"/>
      <c r="AG1498" s="130"/>
      <c r="AH1498" s="130"/>
      <c r="AI1498" s="131"/>
      <c r="AJ1498" s="132"/>
      <c r="AK1498" s="127"/>
      <c r="AL1498" s="128"/>
      <c r="AM1498" s="21"/>
      <c r="AN1498" s="133">
        <v>45941</v>
      </c>
      <c r="AO1498" s="134"/>
      <c r="AP1498" s="135">
        <v>1271</v>
      </c>
      <c r="AQ1498" s="136"/>
      <c r="AR1498" s="118">
        <v>1480000</v>
      </c>
      <c r="AS1498" s="119"/>
      <c r="AT1498" s="118">
        <f>AR1498*0.1</f>
        <v>148000</v>
      </c>
      <c r="AU1498" s="119"/>
      <c r="AV1498" s="118">
        <v>7040</v>
      </c>
      <c r="AW1498" s="119"/>
      <c r="AX1498" s="118">
        <f>SUM(AR1498:AW1498)</f>
        <v>1635040</v>
      </c>
      <c r="AY1498" s="119"/>
      <c r="AZ1498" s="137">
        <v>45945</v>
      </c>
    </row>
    <row r="1499" spans="1:52" ht="17.100000000000001" customHeight="1" thickBot="1">
      <c r="A1499" s="110"/>
      <c r="B1499" s="27" t="s">
        <v>2131</v>
      </c>
      <c r="C1499" s="27">
        <v>3253</v>
      </c>
      <c r="D1499" s="14" t="s">
        <v>2601</v>
      </c>
      <c r="E1499" s="112"/>
      <c r="F1499" s="139" t="s">
        <v>4900</v>
      </c>
      <c r="G1499" s="140"/>
      <c r="H1499" s="141"/>
      <c r="I1499" s="26">
        <v>24193</v>
      </c>
      <c r="J1499" s="117"/>
      <c r="K1499" s="120"/>
      <c r="L1499" s="121"/>
      <c r="M1499" s="120"/>
      <c r="N1499" s="121"/>
      <c r="O1499" s="120"/>
      <c r="P1499" s="121"/>
      <c r="Q1499" s="120"/>
      <c r="R1499" s="121"/>
      <c r="S1499" s="120"/>
      <c r="T1499" s="121"/>
      <c r="U1499" s="120"/>
      <c r="V1499" s="123"/>
      <c r="W1499" s="125"/>
      <c r="X1499" s="142" t="s">
        <v>4901</v>
      </c>
      <c r="Y1499" s="143"/>
      <c r="Z1499" s="143"/>
      <c r="AA1499" s="143"/>
      <c r="AB1499" s="144"/>
      <c r="AC1499" s="16" t="s">
        <v>21</v>
      </c>
      <c r="AD1499" s="17" t="s">
        <v>2148</v>
      </c>
      <c r="AE1499" s="145" t="s">
        <v>3641</v>
      </c>
      <c r="AF1499" s="146"/>
      <c r="AG1499" s="146"/>
      <c r="AH1499" s="146"/>
      <c r="AI1499" s="147"/>
      <c r="AJ1499" s="148"/>
      <c r="AK1499" s="143"/>
      <c r="AL1499" s="144"/>
      <c r="AM1499" s="22"/>
      <c r="AN1499" s="149" t="s">
        <v>2511</v>
      </c>
      <c r="AO1499" s="144"/>
      <c r="AP1499" s="148">
        <v>60182</v>
      </c>
      <c r="AQ1499" s="144"/>
      <c r="AR1499" s="120"/>
      <c r="AS1499" s="121"/>
      <c r="AT1499" s="120"/>
      <c r="AU1499" s="121"/>
      <c r="AV1499" s="120"/>
      <c r="AW1499" s="121"/>
      <c r="AX1499" s="120"/>
      <c r="AY1499" s="121"/>
      <c r="AZ1499" s="138"/>
    </row>
    <row r="1500" spans="1:52" ht="17.100000000000001" customHeight="1" thickTop="1">
      <c r="A1500" s="151" t="s">
        <v>6486</v>
      </c>
      <c r="B1500" s="28">
        <v>45916</v>
      </c>
      <c r="C1500" s="25">
        <v>1909</v>
      </c>
      <c r="D1500" s="13" t="s">
        <v>2066</v>
      </c>
      <c r="E1500" s="111"/>
      <c r="F1500" s="113" t="s">
        <v>4720</v>
      </c>
      <c r="G1500" s="114"/>
      <c r="H1500" s="115"/>
      <c r="I1500" s="24"/>
      <c r="J1500" s="116">
        <v>4.5</v>
      </c>
      <c r="K1500" s="118">
        <v>1449000</v>
      </c>
      <c r="L1500" s="119"/>
      <c r="M1500" s="118">
        <f>K1500*0.1</f>
        <v>144900</v>
      </c>
      <c r="N1500" s="119"/>
      <c r="O1500" s="118">
        <v>0</v>
      </c>
      <c r="P1500" s="119"/>
      <c r="Q1500" s="118">
        <v>6850</v>
      </c>
      <c r="R1500" s="119"/>
      <c r="S1500" s="118">
        <v>15950</v>
      </c>
      <c r="T1500" s="119"/>
      <c r="U1500" s="118">
        <f>SUM(K1500:T1501)</f>
        <v>1616700</v>
      </c>
      <c r="V1500" s="122"/>
      <c r="W1500" s="124"/>
      <c r="X1500" s="126" t="s">
        <v>4902</v>
      </c>
      <c r="Y1500" s="127"/>
      <c r="Z1500" s="127"/>
      <c r="AA1500" s="127"/>
      <c r="AB1500" s="128"/>
      <c r="AC1500" s="15" t="s">
        <v>20</v>
      </c>
      <c r="AD1500" s="129"/>
      <c r="AE1500" s="130"/>
      <c r="AF1500" s="130"/>
      <c r="AG1500" s="130"/>
      <c r="AH1500" s="130"/>
      <c r="AI1500" s="131"/>
      <c r="AJ1500" s="132" t="s">
        <v>9074</v>
      </c>
      <c r="AK1500" s="127"/>
      <c r="AL1500" s="128"/>
      <c r="AM1500" s="21"/>
      <c r="AN1500" s="133"/>
      <c r="AO1500" s="134"/>
      <c r="AP1500" s="135"/>
      <c r="AQ1500" s="136"/>
      <c r="AR1500" s="118"/>
      <c r="AS1500" s="119"/>
      <c r="AT1500" s="118">
        <f>AR1500*0.1</f>
        <v>0</v>
      </c>
      <c r="AU1500" s="119"/>
      <c r="AV1500" s="118"/>
      <c r="AW1500" s="119"/>
      <c r="AX1500" s="118">
        <f>SUM(AR1500:AW1500)</f>
        <v>0</v>
      </c>
      <c r="AY1500" s="119"/>
      <c r="AZ1500" s="137"/>
    </row>
    <row r="1501" spans="1:52" ht="17.100000000000001" customHeight="1" thickBot="1">
      <c r="A1501" s="152"/>
      <c r="B1501" s="27" t="s">
        <v>2131</v>
      </c>
      <c r="C1501" s="27">
        <v>3390</v>
      </c>
      <c r="D1501" s="14" t="s">
        <v>3327</v>
      </c>
      <c r="E1501" s="112"/>
      <c r="F1501" s="139" t="s">
        <v>4903</v>
      </c>
      <c r="G1501" s="140"/>
      <c r="H1501" s="141"/>
      <c r="I1501" s="26">
        <v>28377</v>
      </c>
      <c r="J1501" s="117"/>
      <c r="K1501" s="120"/>
      <c r="L1501" s="121"/>
      <c r="M1501" s="120"/>
      <c r="N1501" s="121"/>
      <c r="O1501" s="120"/>
      <c r="P1501" s="121"/>
      <c r="Q1501" s="120"/>
      <c r="R1501" s="121"/>
      <c r="S1501" s="120"/>
      <c r="T1501" s="121"/>
      <c r="U1501" s="120"/>
      <c r="V1501" s="123"/>
      <c r="W1501" s="125"/>
      <c r="X1501" s="142" t="s">
        <v>4904</v>
      </c>
      <c r="Y1501" s="143"/>
      <c r="Z1501" s="143"/>
      <c r="AA1501" s="143"/>
      <c r="AB1501" s="144"/>
      <c r="AC1501" s="16" t="s">
        <v>21</v>
      </c>
      <c r="AD1501" s="17" t="s">
        <v>2148</v>
      </c>
      <c r="AE1501" s="145"/>
      <c r="AF1501" s="146"/>
      <c r="AG1501" s="146"/>
      <c r="AH1501" s="146"/>
      <c r="AI1501" s="147"/>
      <c r="AJ1501" s="148"/>
      <c r="AK1501" s="143"/>
      <c r="AL1501" s="144"/>
      <c r="AM1501" s="22"/>
      <c r="AN1501" s="149"/>
      <c r="AO1501" s="144"/>
      <c r="AP1501" s="148"/>
      <c r="AQ1501" s="144"/>
      <c r="AR1501" s="120"/>
      <c r="AS1501" s="121"/>
      <c r="AT1501" s="120"/>
      <c r="AU1501" s="121"/>
      <c r="AV1501" s="120"/>
      <c r="AW1501" s="121"/>
      <c r="AX1501" s="120"/>
      <c r="AY1501" s="121"/>
      <c r="AZ1501" s="138"/>
    </row>
    <row r="1502" spans="1:52" ht="17.100000000000001" customHeight="1" thickTop="1">
      <c r="A1502" s="109" t="s">
        <v>6487</v>
      </c>
      <c r="B1502" s="28">
        <v>45916</v>
      </c>
      <c r="C1502" s="25">
        <v>1909</v>
      </c>
      <c r="D1502" s="13" t="s">
        <v>4840</v>
      </c>
      <c r="E1502" s="111"/>
      <c r="F1502" s="113" t="s">
        <v>4905</v>
      </c>
      <c r="G1502" s="114"/>
      <c r="H1502" s="115"/>
      <c r="I1502" s="24"/>
      <c r="J1502" s="150" t="s">
        <v>1715</v>
      </c>
      <c r="K1502" s="118">
        <v>250000</v>
      </c>
      <c r="L1502" s="119"/>
      <c r="M1502" s="118">
        <f>K1502*0.1</f>
        <v>25000</v>
      </c>
      <c r="N1502" s="119"/>
      <c r="O1502" s="118">
        <v>0</v>
      </c>
      <c r="P1502" s="119"/>
      <c r="Q1502" s="118">
        <v>9070</v>
      </c>
      <c r="R1502" s="119"/>
      <c r="S1502" s="118">
        <v>15950</v>
      </c>
      <c r="T1502" s="119"/>
      <c r="U1502" s="118">
        <v>300020</v>
      </c>
      <c r="V1502" s="122"/>
      <c r="W1502" s="124"/>
      <c r="X1502" s="126" t="s">
        <v>4906</v>
      </c>
      <c r="Y1502" s="127"/>
      <c r="Z1502" s="127"/>
      <c r="AA1502" s="127"/>
      <c r="AB1502" s="128"/>
      <c r="AC1502" s="15" t="s">
        <v>20</v>
      </c>
      <c r="AD1502" s="171" t="s">
        <v>4907</v>
      </c>
      <c r="AE1502" s="130"/>
      <c r="AF1502" s="130"/>
      <c r="AG1502" s="130"/>
      <c r="AH1502" s="130"/>
      <c r="AI1502" s="131"/>
      <c r="AJ1502" s="132"/>
      <c r="AK1502" s="127"/>
      <c r="AL1502" s="128"/>
      <c r="AM1502" s="21"/>
      <c r="AN1502" s="133">
        <v>45934</v>
      </c>
      <c r="AO1502" s="134"/>
      <c r="AP1502" s="135">
        <v>1270</v>
      </c>
      <c r="AQ1502" s="136"/>
      <c r="AR1502" s="118">
        <v>160000</v>
      </c>
      <c r="AS1502" s="119"/>
      <c r="AT1502" s="118">
        <f>AR1502*0.1</f>
        <v>16000</v>
      </c>
      <c r="AU1502" s="119"/>
      <c r="AV1502" s="118">
        <v>9070</v>
      </c>
      <c r="AW1502" s="119"/>
      <c r="AX1502" s="118">
        <f>SUM(AR1502:AW1502)</f>
        <v>185070</v>
      </c>
      <c r="AY1502" s="119"/>
      <c r="AZ1502" s="137">
        <v>45937</v>
      </c>
    </row>
    <row r="1503" spans="1:52" ht="17.100000000000001" customHeight="1" thickBot="1">
      <c r="A1503" s="110"/>
      <c r="B1503" s="27" t="s">
        <v>2131</v>
      </c>
      <c r="C1503" s="27">
        <v>7094</v>
      </c>
      <c r="D1503" s="14" t="s">
        <v>2800</v>
      </c>
      <c r="E1503" s="112"/>
      <c r="F1503" s="139" t="s">
        <v>4908</v>
      </c>
      <c r="G1503" s="140"/>
      <c r="H1503" s="141"/>
      <c r="I1503" s="26">
        <v>45084</v>
      </c>
      <c r="J1503" s="117"/>
      <c r="K1503" s="120"/>
      <c r="L1503" s="121"/>
      <c r="M1503" s="120"/>
      <c r="N1503" s="121"/>
      <c r="O1503" s="120"/>
      <c r="P1503" s="121"/>
      <c r="Q1503" s="120"/>
      <c r="R1503" s="121"/>
      <c r="S1503" s="120"/>
      <c r="T1503" s="121"/>
      <c r="U1503" s="120"/>
      <c r="V1503" s="123"/>
      <c r="W1503" s="125"/>
      <c r="X1503" s="142" t="s">
        <v>1997</v>
      </c>
      <c r="Y1503" s="143"/>
      <c r="Z1503" s="143"/>
      <c r="AA1503" s="143"/>
      <c r="AB1503" s="144"/>
      <c r="AC1503" s="16" t="s">
        <v>21</v>
      </c>
      <c r="AD1503" s="17" t="s">
        <v>2148</v>
      </c>
      <c r="AE1503" s="145"/>
      <c r="AF1503" s="146"/>
      <c r="AG1503" s="146"/>
      <c r="AH1503" s="146"/>
      <c r="AI1503" s="147"/>
      <c r="AJ1503" s="148"/>
      <c r="AK1503" s="143"/>
      <c r="AL1503" s="144"/>
      <c r="AM1503" s="22"/>
      <c r="AN1503" s="149" t="s">
        <v>7284</v>
      </c>
      <c r="AO1503" s="144"/>
      <c r="AP1503" s="148">
        <v>60262</v>
      </c>
      <c r="AQ1503" s="144"/>
      <c r="AR1503" s="120"/>
      <c r="AS1503" s="121"/>
      <c r="AT1503" s="120"/>
      <c r="AU1503" s="121"/>
      <c r="AV1503" s="120"/>
      <c r="AW1503" s="121"/>
      <c r="AX1503" s="120"/>
      <c r="AY1503" s="121"/>
      <c r="AZ1503" s="138"/>
    </row>
    <row r="1504" spans="1:52" ht="17.100000000000001" customHeight="1" thickTop="1">
      <c r="A1504" s="109" t="s">
        <v>6488</v>
      </c>
      <c r="B1504" s="28">
        <v>45916</v>
      </c>
      <c r="C1504" s="25">
        <v>787</v>
      </c>
      <c r="D1504" s="13" t="s">
        <v>3921</v>
      </c>
      <c r="E1504" s="111"/>
      <c r="F1504" s="113" t="s">
        <v>4909</v>
      </c>
      <c r="G1504" s="114"/>
      <c r="H1504" s="115"/>
      <c r="I1504" s="24"/>
      <c r="J1504" s="116">
        <v>4</v>
      </c>
      <c r="K1504" s="118">
        <v>894000</v>
      </c>
      <c r="L1504" s="119"/>
      <c r="M1504" s="118">
        <f>K1504*0.1</f>
        <v>89400</v>
      </c>
      <c r="N1504" s="119"/>
      <c r="O1504" s="118">
        <v>0</v>
      </c>
      <c r="P1504" s="119"/>
      <c r="Q1504" s="118">
        <v>8400</v>
      </c>
      <c r="R1504" s="119"/>
      <c r="S1504" s="118">
        <v>15950</v>
      </c>
      <c r="T1504" s="119"/>
      <c r="U1504" s="118">
        <f>SUM(K1504:T1505)</f>
        <v>1007750</v>
      </c>
      <c r="V1504" s="122"/>
      <c r="W1504" s="124"/>
      <c r="X1504" s="126" t="s">
        <v>4910</v>
      </c>
      <c r="Y1504" s="127"/>
      <c r="Z1504" s="127"/>
      <c r="AA1504" s="127"/>
      <c r="AB1504" s="128"/>
      <c r="AC1504" s="15" t="s">
        <v>20</v>
      </c>
      <c r="AD1504" s="129"/>
      <c r="AE1504" s="130"/>
      <c r="AF1504" s="130"/>
      <c r="AG1504" s="130"/>
      <c r="AH1504" s="130"/>
      <c r="AI1504" s="131"/>
      <c r="AJ1504" s="132"/>
      <c r="AK1504" s="127"/>
      <c r="AL1504" s="128"/>
      <c r="AM1504" s="21"/>
      <c r="AN1504" s="133">
        <v>45955</v>
      </c>
      <c r="AO1504" s="134"/>
      <c r="AP1504" s="135">
        <v>1273</v>
      </c>
      <c r="AQ1504" s="136"/>
      <c r="AR1504" s="118">
        <v>955000</v>
      </c>
      <c r="AS1504" s="119"/>
      <c r="AT1504" s="118">
        <f>AR1504*0.1</f>
        <v>95500</v>
      </c>
      <c r="AU1504" s="119"/>
      <c r="AV1504" s="118">
        <v>8400</v>
      </c>
      <c r="AW1504" s="119"/>
      <c r="AX1504" s="118">
        <f>SUM(AR1504:AW1504)</f>
        <v>1058900</v>
      </c>
      <c r="AY1504" s="119"/>
      <c r="AZ1504" s="137">
        <v>45958</v>
      </c>
    </row>
    <row r="1505" spans="1:52" ht="17.100000000000001" customHeight="1" thickBot="1">
      <c r="A1505" s="110"/>
      <c r="B1505" s="27" t="s">
        <v>3367</v>
      </c>
      <c r="C1505" s="27">
        <v>3029</v>
      </c>
      <c r="D1505" s="14" t="s">
        <v>3327</v>
      </c>
      <c r="E1505" s="112"/>
      <c r="F1505" s="139" t="s">
        <v>4911</v>
      </c>
      <c r="G1505" s="140"/>
      <c r="H1505" s="141"/>
      <c r="I1505" s="26">
        <v>33132</v>
      </c>
      <c r="J1505" s="117"/>
      <c r="K1505" s="120"/>
      <c r="L1505" s="121"/>
      <c r="M1505" s="120"/>
      <c r="N1505" s="121"/>
      <c r="O1505" s="120"/>
      <c r="P1505" s="121"/>
      <c r="Q1505" s="120"/>
      <c r="R1505" s="121"/>
      <c r="S1505" s="120"/>
      <c r="T1505" s="121"/>
      <c r="U1505" s="120"/>
      <c r="V1505" s="123"/>
      <c r="W1505" s="125"/>
      <c r="X1505" s="142" t="s">
        <v>4912</v>
      </c>
      <c r="Y1505" s="143"/>
      <c r="Z1505" s="143"/>
      <c r="AA1505" s="143"/>
      <c r="AB1505" s="144"/>
      <c r="AC1505" s="16" t="s">
        <v>21</v>
      </c>
      <c r="AD1505" s="17" t="s">
        <v>2148</v>
      </c>
      <c r="AE1505" s="145"/>
      <c r="AF1505" s="146"/>
      <c r="AG1505" s="146"/>
      <c r="AH1505" s="146"/>
      <c r="AI1505" s="147"/>
      <c r="AJ1505" s="148"/>
      <c r="AK1505" s="143"/>
      <c r="AL1505" s="144"/>
      <c r="AM1505" s="22"/>
      <c r="AN1505" s="149" t="s">
        <v>2511</v>
      </c>
      <c r="AO1505" s="144"/>
      <c r="AP1505" s="148">
        <v>60233</v>
      </c>
      <c r="AQ1505" s="144"/>
      <c r="AR1505" s="120"/>
      <c r="AS1505" s="121"/>
      <c r="AT1505" s="120"/>
      <c r="AU1505" s="121"/>
      <c r="AV1505" s="120"/>
      <c r="AW1505" s="121"/>
      <c r="AX1505" s="120"/>
      <c r="AY1505" s="121"/>
      <c r="AZ1505" s="138"/>
    </row>
    <row r="1506" spans="1:52" ht="17.100000000000001" customHeight="1" thickTop="1">
      <c r="A1506" s="109" t="s">
        <v>6489</v>
      </c>
      <c r="B1506" s="28">
        <v>45916</v>
      </c>
      <c r="C1506" s="25">
        <v>787</v>
      </c>
      <c r="D1506" s="13" t="s">
        <v>4913</v>
      </c>
      <c r="E1506" s="111"/>
      <c r="F1506" s="113" t="s">
        <v>4914</v>
      </c>
      <c r="G1506" s="114"/>
      <c r="H1506" s="115"/>
      <c r="I1506" s="24"/>
      <c r="J1506" s="116">
        <v>4</v>
      </c>
      <c r="K1506" s="118">
        <v>76000</v>
      </c>
      <c r="L1506" s="119"/>
      <c r="M1506" s="118">
        <f>K1506*0.1</f>
        <v>7600</v>
      </c>
      <c r="N1506" s="119"/>
      <c r="O1506" s="118">
        <v>0</v>
      </c>
      <c r="P1506" s="119"/>
      <c r="Q1506" s="118">
        <v>9170</v>
      </c>
      <c r="R1506" s="119"/>
      <c r="S1506" s="118">
        <v>15950</v>
      </c>
      <c r="T1506" s="119"/>
      <c r="U1506" s="118">
        <f>SUM(K1506:T1507)</f>
        <v>108720</v>
      </c>
      <c r="V1506" s="122"/>
      <c r="W1506" s="124"/>
      <c r="X1506" s="126" t="s">
        <v>4915</v>
      </c>
      <c r="Y1506" s="127"/>
      <c r="Z1506" s="127"/>
      <c r="AA1506" s="127"/>
      <c r="AB1506" s="128"/>
      <c r="AC1506" s="15" t="s">
        <v>20</v>
      </c>
      <c r="AD1506" s="129" t="s">
        <v>4080</v>
      </c>
      <c r="AE1506" s="130"/>
      <c r="AF1506" s="130"/>
      <c r="AG1506" s="130"/>
      <c r="AH1506" s="130"/>
      <c r="AI1506" s="131"/>
      <c r="AJ1506" s="132"/>
      <c r="AK1506" s="127"/>
      <c r="AL1506" s="128"/>
      <c r="AM1506" s="21"/>
      <c r="AN1506" s="133">
        <v>45934</v>
      </c>
      <c r="AO1506" s="134"/>
      <c r="AP1506" s="135">
        <v>1270</v>
      </c>
      <c r="AQ1506" s="136"/>
      <c r="AR1506" s="118">
        <v>195000</v>
      </c>
      <c r="AS1506" s="119"/>
      <c r="AT1506" s="118">
        <f>AR1506*0.1</f>
        <v>19500</v>
      </c>
      <c r="AU1506" s="119"/>
      <c r="AV1506" s="118">
        <v>9170</v>
      </c>
      <c r="AW1506" s="119"/>
      <c r="AX1506" s="118">
        <f>SUM(AR1506:AW1506)</f>
        <v>223670</v>
      </c>
      <c r="AY1506" s="119"/>
      <c r="AZ1506" s="137">
        <v>45937</v>
      </c>
    </row>
    <row r="1507" spans="1:52" ht="17.100000000000001" customHeight="1" thickBot="1">
      <c r="A1507" s="110"/>
      <c r="B1507" s="27" t="s">
        <v>3367</v>
      </c>
      <c r="C1507" s="27">
        <v>3060</v>
      </c>
      <c r="D1507" s="14" t="s">
        <v>3855</v>
      </c>
      <c r="E1507" s="112"/>
      <c r="F1507" s="139" t="s">
        <v>4916</v>
      </c>
      <c r="G1507" s="140"/>
      <c r="H1507" s="141"/>
      <c r="I1507" s="26">
        <v>79403</v>
      </c>
      <c r="J1507" s="117"/>
      <c r="K1507" s="120"/>
      <c r="L1507" s="121"/>
      <c r="M1507" s="120"/>
      <c r="N1507" s="121"/>
      <c r="O1507" s="120"/>
      <c r="P1507" s="121"/>
      <c r="Q1507" s="120"/>
      <c r="R1507" s="121"/>
      <c r="S1507" s="120"/>
      <c r="T1507" s="121"/>
      <c r="U1507" s="120"/>
      <c r="V1507" s="123"/>
      <c r="W1507" s="125"/>
      <c r="X1507" s="142" t="s">
        <v>2918</v>
      </c>
      <c r="Y1507" s="143"/>
      <c r="Z1507" s="143"/>
      <c r="AA1507" s="143"/>
      <c r="AB1507" s="144"/>
      <c r="AC1507" s="16" t="s">
        <v>21</v>
      </c>
      <c r="AD1507" s="17" t="s">
        <v>2148</v>
      </c>
      <c r="AE1507" s="145" t="s">
        <v>4917</v>
      </c>
      <c r="AF1507" s="146"/>
      <c r="AG1507" s="146"/>
      <c r="AH1507" s="146"/>
      <c r="AI1507" s="147"/>
      <c r="AJ1507" s="148"/>
      <c r="AK1507" s="143"/>
      <c r="AL1507" s="144"/>
      <c r="AM1507" s="22"/>
      <c r="AN1507" s="149" t="s">
        <v>7284</v>
      </c>
      <c r="AO1507" s="144"/>
      <c r="AP1507" s="148">
        <v>60209</v>
      </c>
      <c r="AQ1507" s="144"/>
      <c r="AR1507" s="120"/>
      <c r="AS1507" s="121"/>
      <c r="AT1507" s="120"/>
      <c r="AU1507" s="121"/>
      <c r="AV1507" s="120"/>
      <c r="AW1507" s="121"/>
      <c r="AX1507" s="120"/>
      <c r="AY1507" s="121"/>
      <c r="AZ1507" s="138"/>
    </row>
    <row r="1508" spans="1:52" ht="17.100000000000001" customHeight="1" thickTop="1">
      <c r="A1508" s="109" t="s">
        <v>6490</v>
      </c>
      <c r="B1508" s="28">
        <v>45916</v>
      </c>
      <c r="C1508" s="25">
        <v>907</v>
      </c>
      <c r="D1508" s="13" t="s">
        <v>1752</v>
      </c>
      <c r="E1508" s="111"/>
      <c r="F1508" s="113" t="s">
        <v>4918</v>
      </c>
      <c r="G1508" s="114"/>
      <c r="H1508" s="115"/>
      <c r="I1508" s="24" t="s">
        <v>2571</v>
      </c>
      <c r="J1508" s="116">
        <v>4</v>
      </c>
      <c r="K1508" s="118">
        <v>1255000</v>
      </c>
      <c r="L1508" s="119"/>
      <c r="M1508" s="118">
        <f>K1508*0.1</f>
        <v>125500</v>
      </c>
      <c r="N1508" s="119"/>
      <c r="O1508" s="118">
        <v>24750</v>
      </c>
      <c r="P1508" s="119"/>
      <c r="Q1508" s="118">
        <v>14930</v>
      </c>
      <c r="R1508" s="119"/>
      <c r="S1508" s="118">
        <v>17050</v>
      </c>
      <c r="T1508" s="119"/>
      <c r="U1508" s="118">
        <f>SUM(K1508:T1509)</f>
        <v>1437230</v>
      </c>
      <c r="V1508" s="122"/>
      <c r="W1508" s="124"/>
      <c r="X1508" s="126" t="s">
        <v>4919</v>
      </c>
      <c r="Y1508" s="127"/>
      <c r="Z1508" s="127"/>
      <c r="AA1508" s="127"/>
      <c r="AB1508" s="128"/>
      <c r="AC1508" s="15" t="s">
        <v>20</v>
      </c>
      <c r="AD1508" s="129"/>
      <c r="AE1508" s="130"/>
      <c r="AF1508" s="130"/>
      <c r="AG1508" s="130"/>
      <c r="AH1508" s="130"/>
      <c r="AI1508" s="131"/>
      <c r="AJ1508" s="132"/>
      <c r="AK1508" s="127"/>
      <c r="AL1508" s="128"/>
      <c r="AM1508" s="21"/>
      <c r="AN1508" s="133">
        <v>45931</v>
      </c>
      <c r="AO1508" s="134"/>
      <c r="AP1508" s="135">
        <v>986</v>
      </c>
      <c r="AQ1508" s="136"/>
      <c r="AR1508" s="118">
        <v>1380000</v>
      </c>
      <c r="AS1508" s="119"/>
      <c r="AT1508" s="118">
        <f>AR1508*0.1</f>
        <v>138000</v>
      </c>
      <c r="AU1508" s="119"/>
      <c r="AV1508" s="118">
        <v>14930</v>
      </c>
      <c r="AW1508" s="119"/>
      <c r="AX1508" s="118">
        <f>SUM(AR1508:AW1508)</f>
        <v>1532930</v>
      </c>
      <c r="AY1508" s="119"/>
      <c r="AZ1508" s="137">
        <v>45937</v>
      </c>
    </row>
    <row r="1509" spans="1:52" ht="17.100000000000001" customHeight="1" thickBot="1">
      <c r="A1509" s="110"/>
      <c r="B1509" s="27" t="s">
        <v>2699</v>
      </c>
      <c r="C1509" s="27">
        <v>2121</v>
      </c>
      <c r="D1509" s="14" t="s">
        <v>55</v>
      </c>
      <c r="E1509" s="112"/>
      <c r="F1509" s="139" t="s">
        <v>4920</v>
      </c>
      <c r="G1509" s="140"/>
      <c r="H1509" s="141"/>
      <c r="I1509" s="26">
        <v>48948</v>
      </c>
      <c r="J1509" s="117"/>
      <c r="K1509" s="120"/>
      <c r="L1509" s="121"/>
      <c r="M1509" s="120"/>
      <c r="N1509" s="121"/>
      <c r="O1509" s="120"/>
      <c r="P1509" s="121"/>
      <c r="Q1509" s="120"/>
      <c r="R1509" s="121"/>
      <c r="S1509" s="120"/>
      <c r="T1509" s="121"/>
      <c r="U1509" s="120"/>
      <c r="V1509" s="123"/>
      <c r="W1509" s="125"/>
      <c r="X1509" s="142" t="s">
        <v>3007</v>
      </c>
      <c r="Y1509" s="143"/>
      <c r="Z1509" s="143"/>
      <c r="AA1509" s="143"/>
      <c r="AB1509" s="144"/>
      <c r="AC1509" s="16" t="s">
        <v>21</v>
      </c>
      <c r="AD1509" s="17" t="s">
        <v>4286</v>
      </c>
      <c r="AE1509" s="145"/>
      <c r="AF1509" s="146"/>
      <c r="AG1509" s="146"/>
      <c r="AH1509" s="146"/>
      <c r="AI1509" s="147"/>
      <c r="AJ1509" s="148"/>
      <c r="AK1509" s="143"/>
      <c r="AL1509" s="144"/>
      <c r="AM1509" s="22"/>
      <c r="AN1509" s="149" t="s">
        <v>2794</v>
      </c>
      <c r="AO1509" s="144"/>
      <c r="AP1509" s="148">
        <v>6103</v>
      </c>
      <c r="AQ1509" s="144"/>
      <c r="AR1509" s="120"/>
      <c r="AS1509" s="121"/>
      <c r="AT1509" s="120"/>
      <c r="AU1509" s="121"/>
      <c r="AV1509" s="120"/>
      <c r="AW1509" s="121"/>
      <c r="AX1509" s="120"/>
      <c r="AY1509" s="121"/>
      <c r="AZ1509" s="138"/>
    </row>
    <row r="1510" spans="1:52" ht="17.100000000000001" customHeight="1" thickTop="1">
      <c r="A1510" s="109" t="s">
        <v>6491</v>
      </c>
      <c r="B1510" s="28">
        <v>45916</v>
      </c>
      <c r="C1510" s="25">
        <v>907</v>
      </c>
      <c r="D1510" s="13" t="s">
        <v>2428</v>
      </c>
      <c r="E1510" s="111"/>
      <c r="F1510" s="113" t="s">
        <v>4921</v>
      </c>
      <c r="G1510" s="114"/>
      <c r="H1510" s="115"/>
      <c r="I1510" s="24" t="s">
        <v>4314</v>
      </c>
      <c r="J1510" s="116">
        <v>4.5</v>
      </c>
      <c r="K1510" s="118">
        <v>1460000</v>
      </c>
      <c r="L1510" s="119"/>
      <c r="M1510" s="118">
        <f>K1510*0.1</f>
        <v>146000</v>
      </c>
      <c r="N1510" s="119"/>
      <c r="O1510" s="118">
        <v>0</v>
      </c>
      <c r="P1510" s="119"/>
      <c r="Q1510" s="118">
        <v>6730</v>
      </c>
      <c r="R1510" s="119"/>
      <c r="S1510" s="118">
        <v>15950</v>
      </c>
      <c r="T1510" s="119"/>
      <c r="U1510" s="118">
        <f>SUM(K1510:T1511)</f>
        <v>1628680</v>
      </c>
      <c r="V1510" s="122"/>
      <c r="W1510" s="124"/>
      <c r="X1510" s="126" t="s">
        <v>4922</v>
      </c>
      <c r="Y1510" s="127"/>
      <c r="Z1510" s="127"/>
      <c r="AA1510" s="127"/>
      <c r="AB1510" s="128"/>
      <c r="AC1510" s="15" t="s">
        <v>20</v>
      </c>
      <c r="AD1510" s="129" t="s">
        <v>171</v>
      </c>
      <c r="AE1510" s="130"/>
      <c r="AF1510" s="130"/>
      <c r="AG1510" s="130"/>
      <c r="AH1510" s="130"/>
      <c r="AI1510" s="131"/>
      <c r="AJ1510" s="132"/>
      <c r="AK1510" s="127"/>
      <c r="AL1510" s="128"/>
      <c r="AM1510" s="21" t="s">
        <v>8317</v>
      </c>
      <c r="AN1510" s="133">
        <v>45990</v>
      </c>
      <c r="AO1510" s="134"/>
      <c r="AP1510" s="135">
        <v>1278</v>
      </c>
      <c r="AQ1510" s="136"/>
      <c r="AR1510" s="118">
        <v>1470000</v>
      </c>
      <c r="AS1510" s="119"/>
      <c r="AT1510" s="118">
        <f>AR1510*0.1</f>
        <v>147000</v>
      </c>
      <c r="AU1510" s="119"/>
      <c r="AV1510" s="118">
        <v>6730</v>
      </c>
      <c r="AW1510" s="119"/>
      <c r="AX1510" s="118">
        <f>SUM(AR1510:AW1510)</f>
        <v>1623730</v>
      </c>
      <c r="AY1510" s="119"/>
      <c r="AZ1510" s="137">
        <v>45994</v>
      </c>
    </row>
    <row r="1511" spans="1:52" ht="17.100000000000001" customHeight="1" thickBot="1">
      <c r="A1511" s="110"/>
      <c r="B1511" s="27" t="s">
        <v>2699</v>
      </c>
      <c r="C1511" s="27">
        <v>3041</v>
      </c>
      <c r="D1511" s="14" t="s">
        <v>2601</v>
      </c>
      <c r="E1511" s="112"/>
      <c r="F1511" s="139" t="s">
        <v>4923</v>
      </c>
      <c r="G1511" s="140"/>
      <c r="H1511" s="141"/>
      <c r="I1511" s="26">
        <v>25781</v>
      </c>
      <c r="J1511" s="117"/>
      <c r="K1511" s="120"/>
      <c r="L1511" s="121"/>
      <c r="M1511" s="120"/>
      <c r="N1511" s="121"/>
      <c r="O1511" s="120"/>
      <c r="P1511" s="121"/>
      <c r="Q1511" s="120"/>
      <c r="R1511" s="121"/>
      <c r="S1511" s="120"/>
      <c r="T1511" s="121"/>
      <c r="U1511" s="120"/>
      <c r="V1511" s="123"/>
      <c r="W1511" s="125"/>
      <c r="X1511" s="142" t="s">
        <v>4924</v>
      </c>
      <c r="Y1511" s="143"/>
      <c r="Z1511" s="143"/>
      <c r="AA1511" s="143"/>
      <c r="AB1511" s="144"/>
      <c r="AC1511" s="16" t="s">
        <v>21</v>
      </c>
      <c r="AD1511" s="17" t="s">
        <v>4286</v>
      </c>
      <c r="AE1511" s="145" t="s">
        <v>171</v>
      </c>
      <c r="AF1511" s="146"/>
      <c r="AG1511" s="146"/>
      <c r="AH1511" s="146"/>
      <c r="AI1511" s="147"/>
      <c r="AJ1511" s="148"/>
      <c r="AK1511" s="143"/>
      <c r="AL1511" s="144"/>
      <c r="AM1511" s="22"/>
      <c r="AN1511" s="149" t="s">
        <v>2511</v>
      </c>
      <c r="AO1511" s="144"/>
      <c r="AP1511" s="148">
        <v>60257</v>
      </c>
      <c r="AQ1511" s="144"/>
      <c r="AR1511" s="120"/>
      <c r="AS1511" s="121"/>
      <c r="AT1511" s="120"/>
      <c r="AU1511" s="121"/>
      <c r="AV1511" s="120"/>
      <c r="AW1511" s="121"/>
      <c r="AX1511" s="120"/>
      <c r="AY1511" s="121"/>
      <c r="AZ1511" s="138"/>
    </row>
    <row r="1512" spans="1:52" ht="17.100000000000001" customHeight="1" thickTop="1">
      <c r="A1512" s="109" t="s">
        <v>6492</v>
      </c>
      <c r="B1512" s="28">
        <v>45916</v>
      </c>
      <c r="C1512" s="25">
        <v>907</v>
      </c>
      <c r="D1512" s="13" t="s">
        <v>2906</v>
      </c>
      <c r="E1512" s="111"/>
      <c r="F1512" s="113" t="s">
        <v>4925</v>
      </c>
      <c r="G1512" s="114"/>
      <c r="H1512" s="115"/>
      <c r="I1512" s="24"/>
      <c r="J1512" s="116">
        <v>3.5</v>
      </c>
      <c r="K1512" s="118">
        <v>315000</v>
      </c>
      <c r="L1512" s="119"/>
      <c r="M1512" s="118">
        <f>K1512*0.1</f>
        <v>31500</v>
      </c>
      <c r="N1512" s="119"/>
      <c r="O1512" s="118">
        <v>0</v>
      </c>
      <c r="P1512" s="119"/>
      <c r="Q1512" s="118">
        <v>8280</v>
      </c>
      <c r="R1512" s="119"/>
      <c r="S1512" s="118">
        <v>15950</v>
      </c>
      <c r="T1512" s="119"/>
      <c r="U1512" s="118">
        <f>SUM(K1512:T1513)</f>
        <v>370730</v>
      </c>
      <c r="V1512" s="122"/>
      <c r="W1512" s="124"/>
      <c r="X1512" s="126" t="s">
        <v>4926</v>
      </c>
      <c r="Y1512" s="127"/>
      <c r="Z1512" s="127"/>
      <c r="AA1512" s="127"/>
      <c r="AB1512" s="128"/>
      <c r="AC1512" s="15" t="s">
        <v>20</v>
      </c>
      <c r="AD1512" s="129"/>
      <c r="AE1512" s="130"/>
      <c r="AF1512" s="130"/>
      <c r="AG1512" s="130"/>
      <c r="AH1512" s="130"/>
      <c r="AI1512" s="131"/>
      <c r="AJ1512" s="132"/>
      <c r="AK1512" s="127"/>
      <c r="AL1512" s="128"/>
      <c r="AM1512" s="21"/>
      <c r="AN1512" s="133">
        <v>45941</v>
      </c>
      <c r="AO1512" s="134"/>
      <c r="AP1512" s="135">
        <v>1271</v>
      </c>
      <c r="AQ1512" s="136"/>
      <c r="AR1512" s="118">
        <v>415000</v>
      </c>
      <c r="AS1512" s="119"/>
      <c r="AT1512" s="118">
        <f>AR1512*0.1</f>
        <v>41500</v>
      </c>
      <c r="AU1512" s="119"/>
      <c r="AV1512" s="118">
        <v>8280</v>
      </c>
      <c r="AW1512" s="119"/>
      <c r="AX1512" s="118">
        <f>SUM(AR1512:AW1512)</f>
        <v>464780</v>
      </c>
      <c r="AY1512" s="119"/>
      <c r="AZ1512" s="137">
        <v>45945</v>
      </c>
    </row>
    <row r="1513" spans="1:52" ht="17.100000000000001" customHeight="1" thickBot="1">
      <c r="A1513" s="110"/>
      <c r="B1513" s="27" t="s">
        <v>2699</v>
      </c>
      <c r="C1513" s="27">
        <v>3043</v>
      </c>
      <c r="D1513" s="14" t="s">
        <v>275</v>
      </c>
      <c r="E1513" s="112"/>
      <c r="F1513" s="139" t="s">
        <v>4927</v>
      </c>
      <c r="G1513" s="140"/>
      <c r="H1513" s="141"/>
      <c r="I1513" s="26">
        <v>51625</v>
      </c>
      <c r="J1513" s="117"/>
      <c r="K1513" s="120"/>
      <c r="L1513" s="121"/>
      <c r="M1513" s="120"/>
      <c r="N1513" s="121"/>
      <c r="O1513" s="120"/>
      <c r="P1513" s="121"/>
      <c r="Q1513" s="120"/>
      <c r="R1513" s="121"/>
      <c r="S1513" s="120"/>
      <c r="T1513" s="121"/>
      <c r="U1513" s="120"/>
      <c r="V1513" s="123"/>
      <c r="W1513" s="125"/>
      <c r="X1513" s="142" t="s">
        <v>4928</v>
      </c>
      <c r="Y1513" s="143"/>
      <c r="Z1513" s="143"/>
      <c r="AA1513" s="143"/>
      <c r="AB1513" s="144"/>
      <c r="AC1513" s="16" t="s">
        <v>21</v>
      </c>
      <c r="AD1513" s="17" t="s">
        <v>4286</v>
      </c>
      <c r="AE1513" s="145" t="s">
        <v>4929</v>
      </c>
      <c r="AF1513" s="146"/>
      <c r="AG1513" s="146"/>
      <c r="AH1513" s="146"/>
      <c r="AI1513" s="147"/>
      <c r="AJ1513" s="148"/>
      <c r="AK1513" s="143"/>
      <c r="AL1513" s="144"/>
      <c r="AM1513" s="22"/>
      <c r="AN1513" s="149" t="s">
        <v>2511</v>
      </c>
      <c r="AO1513" s="144"/>
      <c r="AP1513" s="148">
        <v>60162</v>
      </c>
      <c r="AQ1513" s="144"/>
      <c r="AR1513" s="120"/>
      <c r="AS1513" s="121"/>
      <c r="AT1513" s="120"/>
      <c r="AU1513" s="121"/>
      <c r="AV1513" s="120"/>
      <c r="AW1513" s="121"/>
      <c r="AX1513" s="120"/>
      <c r="AY1513" s="121"/>
      <c r="AZ1513" s="138"/>
    </row>
    <row r="1514" spans="1:52" ht="17.100000000000001" customHeight="1" thickTop="1">
      <c r="A1514" s="109" t="s">
        <v>6493</v>
      </c>
      <c r="B1514" s="28">
        <v>45916</v>
      </c>
      <c r="C1514" s="25">
        <v>907</v>
      </c>
      <c r="D1514" s="13" t="s">
        <v>1845</v>
      </c>
      <c r="E1514" s="111"/>
      <c r="F1514" s="113" t="s">
        <v>4930</v>
      </c>
      <c r="G1514" s="114"/>
      <c r="H1514" s="115"/>
      <c r="I1514" s="24"/>
      <c r="J1514" s="116">
        <v>4</v>
      </c>
      <c r="K1514" s="118">
        <v>374000</v>
      </c>
      <c r="L1514" s="119"/>
      <c r="M1514" s="118">
        <f>K1514*0.1</f>
        <v>37400</v>
      </c>
      <c r="N1514" s="119"/>
      <c r="O1514" s="118">
        <v>0</v>
      </c>
      <c r="P1514" s="119"/>
      <c r="Q1514" s="118">
        <v>7140</v>
      </c>
      <c r="R1514" s="119"/>
      <c r="S1514" s="118">
        <v>15950</v>
      </c>
      <c r="T1514" s="119"/>
      <c r="U1514" s="118">
        <f>SUM(K1514:T1515)</f>
        <v>434490</v>
      </c>
      <c r="V1514" s="122"/>
      <c r="W1514" s="124"/>
      <c r="X1514" s="126" t="s">
        <v>4931</v>
      </c>
      <c r="Y1514" s="127"/>
      <c r="Z1514" s="127"/>
      <c r="AA1514" s="127"/>
      <c r="AB1514" s="128"/>
      <c r="AC1514" s="15" t="s">
        <v>20</v>
      </c>
      <c r="AD1514" s="129"/>
      <c r="AE1514" s="130"/>
      <c r="AF1514" s="130"/>
      <c r="AG1514" s="130"/>
      <c r="AH1514" s="130"/>
      <c r="AI1514" s="131"/>
      <c r="AJ1514" s="132"/>
      <c r="AK1514" s="127"/>
      <c r="AL1514" s="128"/>
      <c r="AM1514" s="21"/>
      <c r="AN1514" s="133">
        <v>45948</v>
      </c>
      <c r="AO1514" s="134"/>
      <c r="AP1514" s="135">
        <v>1272</v>
      </c>
      <c r="AQ1514" s="136"/>
      <c r="AR1514" s="118">
        <v>465000</v>
      </c>
      <c r="AS1514" s="119"/>
      <c r="AT1514" s="118">
        <f>AR1514*0.1</f>
        <v>46500</v>
      </c>
      <c r="AU1514" s="119"/>
      <c r="AV1514" s="118">
        <v>7140</v>
      </c>
      <c r="AW1514" s="119"/>
      <c r="AX1514" s="118">
        <f>SUM(AR1514:AW1514)</f>
        <v>518640</v>
      </c>
      <c r="AY1514" s="119"/>
      <c r="AZ1514" s="137">
        <v>45951</v>
      </c>
    </row>
    <row r="1515" spans="1:52" ht="17.100000000000001" customHeight="1" thickBot="1">
      <c r="A1515" s="110"/>
      <c r="B1515" s="27" t="s">
        <v>2699</v>
      </c>
      <c r="C1515" s="27">
        <v>3060</v>
      </c>
      <c r="D1515" s="14" t="s">
        <v>1720</v>
      </c>
      <c r="E1515" s="112"/>
      <c r="F1515" s="139" t="s">
        <v>4932</v>
      </c>
      <c r="G1515" s="140"/>
      <c r="H1515" s="141"/>
      <c r="I1515" s="26">
        <v>58407</v>
      </c>
      <c r="J1515" s="117"/>
      <c r="K1515" s="120"/>
      <c r="L1515" s="121"/>
      <c r="M1515" s="120"/>
      <c r="N1515" s="121"/>
      <c r="O1515" s="120"/>
      <c r="P1515" s="121"/>
      <c r="Q1515" s="120"/>
      <c r="R1515" s="121"/>
      <c r="S1515" s="120"/>
      <c r="T1515" s="121"/>
      <c r="U1515" s="120"/>
      <c r="V1515" s="123"/>
      <c r="W1515" s="125"/>
      <c r="X1515" s="142" t="s">
        <v>4933</v>
      </c>
      <c r="Y1515" s="143"/>
      <c r="Z1515" s="143"/>
      <c r="AA1515" s="143"/>
      <c r="AB1515" s="144"/>
      <c r="AC1515" s="16" t="s">
        <v>21</v>
      </c>
      <c r="AD1515" s="17" t="s">
        <v>4286</v>
      </c>
      <c r="AE1515" s="145" t="s">
        <v>4934</v>
      </c>
      <c r="AF1515" s="146"/>
      <c r="AG1515" s="146"/>
      <c r="AH1515" s="146"/>
      <c r="AI1515" s="147"/>
      <c r="AJ1515" s="148"/>
      <c r="AK1515" s="143"/>
      <c r="AL1515" s="144"/>
      <c r="AM1515" s="22"/>
      <c r="AN1515" s="149" t="s">
        <v>2511</v>
      </c>
      <c r="AO1515" s="144"/>
      <c r="AP1515" s="148">
        <v>60185</v>
      </c>
      <c r="AQ1515" s="144"/>
      <c r="AR1515" s="120"/>
      <c r="AS1515" s="121"/>
      <c r="AT1515" s="120"/>
      <c r="AU1515" s="121"/>
      <c r="AV1515" s="120"/>
      <c r="AW1515" s="121"/>
      <c r="AX1515" s="120"/>
      <c r="AY1515" s="121"/>
      <c r="AZ1515" s="138"/>
    </row>
    <row r="1516" spans="1:52" ht="17.100000000000001" customHeight="1" thickTop="1">
      <c r="A1516" s="109" t="s">
        <v>6494</v>
      </c>
      <c r="B1516" s="28">
        <v>45916</v>
      </c>
      <c r="C1516" s="25">
        <v>907</v>
      </c>
      <c r="D1516" s="13" t="s">
        <v>4840</v>
      </c>
      <c r="E1516" s="111"/>
      <c r="F1516" s="113" t="s">
        <v>4935</v>
      </c>
      <c r="G1516" s="114"/>
      <c r="H1516" s="115"/>
      <c r="I1516" s="24"/>
      <c r="J1516" s="116">
        <v>3.5</v>
      </c>
      <c r="K1516" s="118">
        <v>93000</v>
      </c>
      <c r="L1516" s="119"/>
      <c r="M1516" s="118">
        <f>K1516*0.1</f>
        <v>9300</v>
      </c>
      <c r="N1516" s="119"/>
      <c r="O1516" s="118">
        <v>0</v>
      </c>
      <c r="P1516" s="119"/>
      <c r="Q1516" s="118">
        <v>10000</v>
      </c>
      <c r="R1516" s="119"/>
      <c r="S1516" s="118">
        <v>15950</v>
      </c>
      <c r="T1516" s="119"/>
      <c r="U1516" s="118">
        <f>SUM(K1516:T1517)</f>
        <v>128250</v>
      </c>
      <c r="V1516" s="122"/>
      <c r="W1516" s="124"/>
      <c r="X1516" s="126" t="s">
        <v>4936</v>
      </c>
      <c r="Y1516" s="127"/>
      <c r="Z1516" s="127"/>
      <c r="AA1516" s="127"/>
      <c r="AB1516" s="128"/>
      <c r="AC1516" s="15" t="s">
        <v>20</v>
      </c>
      <c r="AD1516" s="129"/>
      <c r="AE1516" s="130"/>
      <c r="AF1516" s="130"/>
      <c r="AG1516" s="130"/>
      <c r="AH1516" s="130"/>
      <c r="AI1516" s="131"/>
      <c r="AJ1516" s="132"/>
      <c r="AK1516" s="127"/>
      <c r="AL1516" s="128"/>
      <c r="AM1516" s="21"/>
      <c r="AN1516" s="133">
        <v>45966</v>
      </c>
      <c r="AO1516" s="134"/>
      <c r="AP1516" s="135">
        <v>991</v>
      </c>
      <c r="AQ1516" s="136"/>
      <c r="AR1516" s="118">
        <v>140000</v>
      </c>
      <c r="AS1516" s="119"/>
      <c r="AT1516" s="118">
        <f>AR1516*0.1</f>
        <v>14000</v>
      </c>
      <c r="AU1516" s="119"/>
      <c r="AV1516" s="118">
        <v>10000</v>
      </c>
      <c r="AW1516" s="119"/>
      <c r="AX1516" s="118">
        <f>SUM(AR1516:AW1516)</f>
        <v>164000</v>
      </c>
      <c r="AY1516" s="119"/>
      <c r="AZ1516" s="137">
        <v>45971</v>
      </c>
    </row>
    <row r="1517" spans="1:52" ht="17.100000000000001" customHeight="1" thickBot="1">
      <c r="A1517" s="110"/>
      <c r="B1517" s="27" t="s">
        <v>2699</v>
      </c>
      <c r="C1517" s="27">
        <v>4255</v>
      </c>
      <c r="D1517" s="14" t="s">
        <v>1720</v>
      </c>
      <c r="E1517" s="112"/>
      <c r="F1517" s="139" t="s">
        <v>4937</v>
      </c>
      <c r="G1517" s="140"/>
      <c r="H1517" s="141"/>
      <c r="I1517" s="26">
        <v>58836</v>
      </c>
      <c r="J1517" s="117"/>
      <c r="K1517" s="120"/>
      <c r="L1517" s="121"/>
      <c r="M1517" s="120"/>
      <c r="N1517" s="121"/>
      <c r="O1517" s="120"/>
      <c r="P1517" s="121"/>
      <c r="Q1517" s="120"/>
      <c r="R1517" s="121"/>
      <c r="S1517" s="120"/>
      <c r="T1517" s="121"/>
      <c r="U1517" s="120"/>
      <c r="V1517" s="123"/>
      <c r="W1517" s="125"/>
      <c r="X1517" s="142" t="s">
        <v>4628</v>
      </c>
      <c r="Y1517" s="143"/>
      <c r="Z1517" s="143"/>
      <c r="AA1517" s="143"/>
      <c r="AB1517" s="144"/>
      <c r="AC1517" s="16" t="s">
        <v>21</v>
      </c>
      <c r="AD1517" s="17" t="s">
        <v>4286</v>
      </c>
      <c r="AE1517" s="145" t="s">
        <v>4938</v>
      </c>
      <c r="AF1517" s="146"/>
      <c r="AG1517" s="146"/>
      <c r="AH1517" s="146"/>
      <c r="AI1517" s="147"/>
      <c r="AJ1517" s="148"/>
      <c r="AK1517" s="143"/>
      <c r="AL1517" s="144"/>
      <c r="AM1517" s="22"/>
      <c r="AN1517" s="149" t="s">
        <v>2794</v>
      </c>
      <c r="AO1517" s="144"/>
      <c r="AP1517" s="148">
        <v>2026</v>
      </c>
      <c r="AQ1517" s="144"/>
      <c r="AR1517" s="120"/>
      <c r="AS1517" s="121"/>
      <c r="AT1517" s="120"/>
      <c r="AU1517" s="121"/>
      <c r="AV1517" s="120"/>
      <c r="AW1517" s="121"/>
      <c r="AX1517" s="120"/>
      <c r="AY1517" s="121"/>
      <c r="AZ1517" s="138"/>
    </row>
    <row r="1518" spans="1:52" ht="17.100000000000001" customHeight="1" thickTop="1">
      <c r="A1518" s="109" t="s">
        <v>6495</v>
      </c>
      <c r="B1518" s="28">
        <v>45916</v>
      </c>
      <c r="C1518" s="25">
        <v>907</v>
      </c>
      <c r="D1518" s="13" t="s">
        <v>2906</v>
      </c>
      <c r="E1518" s="111"/>
      <c r="F1518" s="113" t="s">
        <v>4939</v>
      </c>
      <c r="G1518" s="114"/>
      <c r="H1518" s="115"/>
      <c r="I1518" s="24"/>
      <c r="J1518" s="116">
        <v>3.5</v>
      </c>
      <c r="K1518" s="118">
        <v>209000</v>
      </c>
      <c r="L1518" s="119"/>
      <c r="M1518" s="118">
        <f>K1518*0.1</f>
        <v>20900</v>
      </c>
      <c r="N1518" s="119"/>
      <c r="O1518" s="118">
        <v>0</v>
      </c>
      <c r="P1518" s="119"/>
      <c r="Q1518" s="118">
        <v>9780</v>
      </c>
      <c r="R1518" s="119"/>
      <c r="S1518" s="118">
        <v>15950</v>
      </c>
      <c r="T1518" s="119"/>
      <c r="U1518" s="118">
        <f>SUM(K1518:T1519)</f>
        <v>255630</v>
      </c>
      <c r="V1518" s="122"/>
      <c r="W1518" s="124"/>
      <c r="X1518" s="126" t="s">
        <v>4940</v>
      </c>
      <c r="Y1518" s="127"/>
      <c r="Z1518" s="127"/>
      <c r="AA1518" s="127"/>
      <c r="AB1518" s="128"/>
      <c r="AC1518" s="15" t="s">
        <v>20</v>
      </c>
      <c r="AD1518" s="129"/>
      <c r="AE1518" s="130"/>
      <c r="AF1518" s="130"/>
      <c r="AG1518" s="130"/>
      <c r="AH1518" s="130"/>
      <c r="AI1518" s="131"/>
      <c r="AJ1518" s="132"/>
      <c r="AK1518" s="127"/>
      <c r="AL1518" s="128"/>
      <c r="AM1518" s="21"/>
      <c r="AN1518" s="133">
        <v>45962</v>
      </c>
      <c r="AO1518" s="134"/>
      <c r="AP1518" s="135">
        <v>1274</v>
      </c>
      <c r="AQ1518" s="136"/>
      <c r="AR1518" s="118">
        <v>280000</v>
      </c>
      <c r="AS1518" s="119"/>
      <c r="AT1518" s="118">
        <f>AR1518*0.1</f>
        <v>28000</v>
      </c>
      <c r="AU1518" s="119"/>
      <c r="AV1518" s="118">
        <v>9780</v>
      </c>
      <c r="AW1518" s="119"/>
      <c r="AX1518" s="118">
        <f>SUM(AR1518:AW1518)</f>
        <v>317780</v>
      </c>
      <c r="AY1518" s="119"/>
      <c r="AZ1518" s="137">
        <v>45965</v>
      </c>
    </row>
    <row r="1519" spans="1:52" ht="17.100000000000001" customHeight="1" thickBot="1">
      <c r="A1519" s="110"/>
      <c r="B1519" s="27" t="s">
        <v>2699</v>
      </c>
      <c r="C1519" s="27">
        <v>4337</v>
      </c>
      <c r="D1519" s="14" t="s">
        <v>275</v>
      </c>
      <c r="E1519" s="112"/>
      <c r="F1519" s="139" t="s">
        <v>4941</v>
      </c>
      <c r="G1519" s="140"/>
      <c r="H1519" s="141"/>
      <c r="I1519" s="26">
        <v>48219</v>
      </c>
      <c r="J1519" s="117"/>
      <c r="K1519" s="120"/>
      <c r="L1519" s="121"/>
      <c r="M1519" s="120"/>
      <c r="N1519" s="121"/>
      <c r="O1519" s="120"/>
      <c r="P1519" s="121"/>
      <c r="Q1519" s="120"/>
      <c r="R1519" s="121"/>
      <c r="S1519" s="120"/>
      <c r="T1519" s="121"/>
      <c r="U1519" s="120"/>
      <c r="V1519" s="123"/>
      <c r="W1519" s="125"/>
      <c r="X1519" s="142" t="s">
        <v>4942</v>
      </c>
      <c r="Y1519" s="143"/>
      <c r="Z1519" s="143"/>
      <c r="AA1519" s="143"/>
      <c r="AB1519" s="144"/>
      <c r="AC1519" s="16" t="s">
        <v>21</v>
      </c>
      <c r="AD1519" s="17" t="s">
        <v>4286</v>
      </c>
      <c r="AE1519" s="145"/>
      <c r="AF1519" s="146"/>
      <c r="AG1519" s="146"/>
      <c r="AH1519" s="146"/>
      <c r="AI1519" s="147"/>
      <c r="AJ1519" s="148"/>
      <c r="AK1519" s="143"/>
      <c r="AL1519" s="144"/>
      <c r="AM1519" s="22"/>
      <c r="AN1519" s="149" t="s">
        <v>2511</v>
      </c>
      <c r="AO1519" s="144"/>
      <c r="AP1519" s="148">
        <v>63033</v>
      </c>
      <c r="AQ1519" s="144"/>
      <c r="AR1519" s="120"/>
      <c r="AS1519" s="121"/>
      <c r="AT1519" s="120"/>
      <c r="AU1519" s="121"/>
      <c r="AV1519" s="120"/>
      <c r="AW1519" s="121"/>
      <c r="AX1519" s="120"/>
      <c r="AY1519" s="121"/>
      <c r="AZ1519" s="138"/>
    </row>
    <row r="1520" spans="1:52" ht="17.100000000000001" customHeight="1" thickTop="1">
      <c r="A1520" s="109" t="s">
        <v>6496</v>
      </c>
      <c r="B1520" s="28">
        <v>45916</v>
      </c>
      <c r="C1520" s="25">
        <v>907</v>
      </c>
      <c r="D1520" s="13" t="s">
        <v>4177</v>
      </c>
      <c r="E1520" s="111"/>
      <c r="F1520" s="113" t="s">
        <v>4218</v>
      </c>
      <c r="G1520" s="114"/>
      <c r="H1520" s="115"/>
      <c r="I1520" s="24"/>
      <c r="J1520" s="116">
        <v>4</v>
      </c>
      <c r="K1520" s="118">
        <v>204000</v>
      </c>
      <c r="L1520" s="119"/>
      <c r="M1520" s="118">
        <f>K1520*0.1</f>
        <v>20400</v>
      </c>
      <c r="N1520" s="119"/>
      <c r="O1520" s="118">
        <v>0</v>
      </c>
      <c r="P1520" s="119"/>
      <c r="Q1520" s="118">
        <v>8930</v>
      </c>
      <c r="R1520" s="119"/>
      <c r="S1520" s="118">
        <v>15950</v>
      </c>
      <c r="T1520" s="119"/>
      <c r="U1520" s="118">
        <f>SUM(K1520:T1521)</f>
        <v>249280</v>
      </c>
      <c r="V1520" s="122"/>
      <c r="W1520" s="124"/>
      <c r="X1520" s="126" t="s">
        <v>4943</v>
      </c>
      <c r="Y1520" s="127"/>
      <c r="Z1520" s="127"/>
      <c r="AA1520" s="127"/>
      <c r="AB1520" s="128"/>
      <c r="AC1520" s="15" t="s">
        <v>20</v>
      </c>
      <c r="AD1520" s="129" t="s">
        <v>171</v>
      </c>
      <c r="AE1520" s="130"/>
      <c r="AF1520" s="130"/>
      <c r="AG1520" s="130"/>
      <c r="AH1520" s="130"/>
      <c r="AI1520" s="131"/>
      <c r="AJ1520" s="132"/>
      <c r="AK1520" s="127"/>
      <c r="AL1520" s="128"/>
      <c r="AM1520" s="21"/>
      <c r="AN1520" s="133">
        <v>45941</v>
      </c>
      <c r="AO1520" s="134"/>
      <c r="AP1520" s="135">
        <v>1271</v>
      </c>
      <c r="AQ1520" s="136"/>
      <c r="AR1520" s="118">
        <v>280000</v>
      </c>
      <c r="AS1520" s="119"/>
      <c r="AT1520" s="118">
        <f>AR1520*0.1</f>
        <v>28000</v>
      </c>
      <c r="AU1520" s="119"/>
      <c r="AV1520" s="118">
        <v>8930</v>
      </c>
      <c r="AW1520" s="119"/>
      <c r="AX1520" s="118">
        <f>SUM(AR1520:AW1520)</f>
        <v>316930</v>
      </c>
      <c r="AY1520" s="119"/>
      <c r="AZ1520" s="137">
        <v>45950</v>
      </c>
    </row>
    <row r="1521" spans="1:52" ht="17.100000000000001" customHeight="1" thickBot="1">
      <c r="A1521" s="110"/>
      <c r="B1521" s="27" t="s">
        <v>2699</v>
      </c>
      <c r="C1521" s="27">
        <v>7102</v>
      </c>
      <c r="D1521" s="14" t="s">
        <v>3855</v>
      </c>
      <c r="E1521" s="112"/>
      <c r="F1521" s="139" t="s">
        <v>4944</v>
      </c>
      <c r="G1521" s="140"/>
      <c r="H1521" s="141"/>
      <c r="I1521" s="26">
        <v>14582</v>
      </c>
      <c r="J1521" s="117"/>
      <c r="K1521" s="120"/>
      <c r="L1521" s="121"/>
      <c r="M1521" s="120"/>
      <c r="N1521" s="121"/>
      <c r="O1521" s="120"/>
      <c r="P1521" s="121"/>
      <c r="Q1521" s="120"/>
      <c r="R1521" s="121"/>
      <c r="S1521" s="120"/>
      <c r="T1521" s="121"/>
      <c r="U1521" s="120"/>
      <c r="V1521" s="123"/>
      <c r="W1521" s="125"/>
      <c r="X1521" s="142" t="s">
        <v>4945</v>
      </c>
      <c r="Y1521" s="143"/>
      <c r="Z1521" s="143"/>
      <c r="AA1521" s="143"/>
      <c r="AB1521" s="144"/>
      <c r="AC1521" s="16" t="s">
        <v>21</v>
      </c>
      <c r="AD1521" s="17" t="s">
        <v>4286</v>
      </c>
      <c r="AE1521" s="145" t="s">
        <v>171</v>
      </c>
      <c r="AF1521" s="146"/>
      <c r="AG1521" s="146"/>
      <c r="AH1521" s="146"/>
      <c r="AI1521" s="147"/>
      <c r="AJ1521" s="148"/>
      <c r="AK1521" s="143"/>
      <c r="AL1521" s="144"/>
      <c r="AM1521" s="22"/>
      <c r="AN1521" s="149" t="s">
        <v>6749</v>
      </c>
      <c r="AO1521" s="144"/>
      <c r="AP1521" s="148">
        <v>60163</v>
      </c>
      <c r="AQ1521" s="144"/>
      <c r="AR1521" s="120"/>
      <c r="AS1521" s="121"/>
      <c r="AT1521" s="120"/>
      <c r="AU1521" s="121"/>
      <c r="AV1521" s="120"/>
      <c r="AW1521" s="121"/>
      <c r="AX1521" s="120"/>
      <c r="AY1521" s="121"/>
      <c r="AZ1521" s="138"/>
    </row>
    <row r="1522" spans="1:52" ht="17.100000000000001" customHeight="1" thickTop="1">
      <c r="A1522" s="109" t="s">
        <v>6497</v>
      </c>
      <c r="B1522" s="28">
        <v>45916</v>
      </c>
      <c r="C1522" s="25">
        <v>1061</v>
      </c>
      <c r="D1522" s="13" t="s">
        <v>1712</v>
      </c>
      <c r="E1522" s="111"/>
      <c r="F1522" s="113" t="s">
        <v>4575</v>
      </c>
      <c r="G1522" s="114"/>
      <c r="H1522" s="115"/>
      <c r="I1522" s="24" t="s">
        <v>4946</v>
      </c>
      <c r="J1522" s="116">
        <v>4</v>
      </c>
      <c r="K1522" s="118">
        <v>1190000</v>
      </c>
      <c r="L1522" s="119"/>
      <c r="M1522" s="118">
        <f>K1522*0.1</f>
        <v>119000</v>
      </c>
      <c r="N1522" s="119"/>
      <c r="O1522" s="118">
        <f>19700+1970</f>
        <v>21670</v>
      </c>
      <c r="P1522" s="119"/>
      <c r="Q1522" s="118">
        <v>20540</v>
      </c>
      <c r="R1522" s="119"/>
      <c r="S1522" s="118">
        <v>16500</v>
      </c>
      <c r="T1522" s="119"/>
      <c r="U1522" s="118">
        <f>SUM(K1522:T1523)</f>
        <v>1367710</v>
      </c>
      <c r="V1522" s="122"/>
      <c r="W1522" s="124"/>
      <c r="X1522" s="126" t="s">
        <v>4947</v>
      </c>
      <c r="Y1522" s="127"/>
      <c r="Z1522" s="127"/>
      <c r="AA1522" s="127"/>
      <c r="AB1522" s="128"/>
      <c r="AC1522" s="15" t="s">
        <v>20</v>
      </c>
      <c r="AD1522" s="129" t="s">
        <v>4948</v>
      </c>
      <c r="AE1522" s="130"/>
      <c r="AF1522" s="130"/>
      <c r="AG1522" s="130"/>
      <c r="AH1522" s="130"/>
      <c r="AI1522" s="131"/>
      <c r="AJ1522" s="132"/>
      <c r="AK1522" s="127"/>
      <c r="AL1522" s="128"/>
      <c r="AM1522" s="21"/>
      <c r="AN1522" s="133">
        <v>45969</v>
      </c>
      <c r="AO1522" s="134"/>
      <c r="AP1522" s="135">
        <v>1275</v>
      </c>
      <c r="AQ1522" s="136"/>
      <c r="AR1522" s="118">
        <v>1290000</v>
      </c>
      <c r="AS1522" s="119"/>
      <c r="AT1522" s="118">
        <f>AR1522*0.1</f>
        <v>129000</v>
      </c>
      <c r="AU1522" s="119"/>
      <c r="AV1522" s="118">
        <v>20540</v>
      </c>
      <c r="AW1522" s="119"/>
      <c r="AX1522" s="118">
        <f>SUM(AR1522:AW1522)</f>
        <v>1439540</v>
      </c>
      <c r="AY1522" s="119"/>
      <c r="AZ1522" s="137">
        <v>45972</v>
      </c>
    </row>
    <row r="1523" spans="1:52" ht="17.100000000000001" customHeight="1" thickBot="1">
      <c r="A1523" s="110"/>
      <c r="B1523" s="27" t="s">
        <v>1591</v>
      </c>
      <c r="C1523" s="27">
        <v>82009</v>
      </c>
      <c r="D1523" s="14" t="s">
        <v>133</v>
      </c>
      <c r="E1523" s="112"/>
      <c r="F1523" s="139" t="s">
        <v>4949</v>
      </c>
      <c r="G1523" s="140"/>
      <c r="H1523" s="141"/>
      <c r="I1523" s="26">
        <v>31422</v>
      </c>
      <c r="J1523" s="117"/>
      <c r="K1523" s="120"/>
      <c r="L1523" s="121"/>
      <c r="M1523" s="120"/>
      <c r="N1523" s="121"/>
      <c r="O1523" s="120"/>
      <c r="P1523" s="121"/>
      <c r="Q1523" s="120"/>
      <c r="R1523" s="121"/>
      <c r="S1523" s="120"/>
      <c r="T1523" s="121"/>
      <c r="U1523" s="120"/>
      <c r="V1523" s="123"/>
      <c r="W1523" s="125"/>
      <c r="X1523" s="142" t="s">
        <v>1970</v>
      </c>
      <c r="Y1523" s="143"/>
      <c r="Z1523" s="143"/>
      <c r="AA1523" s="143"/>
      <c r="AB1523" s="144"/>
      <c r="AC1523" s="16" t="s">
        <v>21</v>
      </c>
      <c r="AD1523" s="17" t="s">
        <v>4286</v>
      </c>
      <c r="AE1523" s="145" t="s">
        <v>1742</v>
      </c>
      <c r="AF1523" s="146"/>
      <c r="AG1523" s="146"/>
      <c r="AH1523" s="146"/>
      <c r="AI1523" s="147"/>
      <c r="AJ1523" s="148"/>
      <c r="AK1523" s="143"/>
      <c r="AL1523" s="144"/>
      <c r="AM1523" s="22" t="s">
        <v>3483</v>
      </c>
      <c r="AN1523" s="149" t="s">
        <v>2511</v>
      </c>
      <c r="AO1523" s="144"/>
      <c r="AP1523" s="148">
        <v>80066</v>
      </c>
      <c r="AQ1523" s="144"/>
      <c r="AR1523" s="120"/>
      <c r="AS1523" s="121"/>
      <c r="AT1523" s="120"/>
      <c r="AU1523" s="121"/>
      <c r="AV1523" s="120"/>
      <c r="AW1523" s="121"/>
      <c r="AX1523" s="120"/>
      <c r="AY1523" s="121"/>
      <c r="AZ1523" s="138"/>
    </row>
    <row r="1524" spans="1:52" ht="17.100000000000001" customHeight="1" thickTop="1">
      <c r="A1524" s="109" t="s">
        <v>6498</v>
      </c>
      <c r="B1524" s="28">
        <v>45916</v>
      </c>
      <c r="C1524" s="25">
        <v>1061</v>
      </c>
      <c r="D1524" s="13" t="s">
        <v>3386</v>
      </c>
      <c r="E1524" s="111"/>
      <c r="F1524" s="113" t="s">
        <v>4950</v>
      </c>
      <c r="G1524" s="114"/>
      <c r="H1524" s="115"/>
      <c r="I1524" s="24" t="s">
        <v>4951</v>
      </c>
      <c r="J1524" s="116">
        <v>4.5</v>
      </c>
      <c r="K1524" s="118">
        <v>770000</v>
      </c>
      <c r="L1524" s="119"/>
      <c r="M1524" s="118">
        <f>K1524*0.1</f>
        <v>77000</v>
      </c>
      <c r="N1524" s="119"/>
      <c r="O1524" s="118">
        <f>15200+1520</f>
        <v>16720</v>
      </c>
      <c r="P1524" s="119"/>
      <c r="Q1524" s="118">
        <v>11810</v>
      </c>
      <c r="R1524" s="119"/>
      <c r="S1524" s="118">
        <v>16500</v>
      </c>
      <c r="T1524" s="119"/>
      <c r="U1524" s="118">
        <f>SUM(K1524:T1525)</f>
        <v>892030</v>
      </c>
      <c r="V1524" s="122"/>
      <c r="W1524" s="124"/>
      <c r="X1524" s="126" t="s">
        <v>4952</v>
      </c>
      <c r="Y1524" s="127"/>
      <c r="Z1524" s="127"/>
      <c r="AA1524" s="127"/>
      <c r="AB1524" s="128"/>
      <c r="AC1524" s="15" t="s">
        <v>20</v>
      </c>
      <c r="AD1524" s="129" t="s">
        <v>1670</v>
      </c>
      <c r="AE1524" s="130"/>
      <c r="AF1524" s="130"/>
      <c r="AG1524" s="130"/>
      <c r="AH1524" s="130"/>
      <c r="AI1524" s="131"/>
      <c r="AJ1524" s="132"/>
      <c r="AK1524" s="127"/>
      <c r="AL1524" s="128"/>
      <c r="AM1524" s="21" t="s">
        <v>8331</v>
      </c>
      <c r="AN1524" s="133">
        <v>45952</v>
      </c>
      <c r="AO1524" s="134"/>
      <c r="AP1524" s="135">
        <v>989</v>
      </c>
      <c r="AQ1524" s="136"/>
      <c r="AR1524" s="118">
        <v>1030000</v>
      </c>
      <c r="AS1524" s="119"/>
      <c r="AT1524" s="118">
        <f>AR1524*0.1</f>
        <v>103000</v>
      </c>
      <c r="AU1524" s="119"/>
      <c r="AV1524" s="118">
        <v>11810</v>
      </c>
      <c r="AW1524" s="119"/>
      <c r="AX1524" s="118">
        <f>SUM(AR1524:AW1524)</f>
        <v>1144810</v>
      </c>
      <c r="AY1524" s="119"/>
      <c r="AZ1524" s="137">
        <v>45958</v>
      </c>
    </row>
    <row r="1525" spans="1:52" ht="17.100000000000001" customHeight="1" thickBot="1">
      <c r="A1525" s="110"/>
      <c r="B1525" s="27" t="s">
        <v>1591</v>
      </c>
      <c r="C1525" s="27">
        <v>84025</v>
      </c>
      <c r="D1525" s="14" t="s">
        <v>904</v>
      </c>
      <c r="E1525" s="112"/>
      <c r="F1525" s="139" t="s">
        <v>4953</v>
      </c>
      <c r="G1525" s="140"/>
      <c r="H1525" s="141"/>
      <c r="I1525" s="26">
        <v>59500</v>
      </c>
      <c r="J1525" s="117"/>
      <c r="K1525" s="120"/>
      <c r="L1525" s="121"/>
      <c r="M1525" s="120"/>
      <c r="N1525" s="121"/>
      <c r="O1525" s="120"/>
      <c r="P1525" s="121"/>
      <c r="Q1525" s="120"/>
      <c r="R1525" s="121"/>
      <c r="S1525" s="120"/>
      <c r="T1525" s="121"/>
      <c r="U1525" s="120"/>
      <c r="V1525" s="123"/>
      <c r="W1525" s="125"/>
      <c r="X1525" s="142" t="s">
        <v>1612</v>
      </c>
      <c r="Y1525" s="143"/>
      <c r="Z1525" s="143"/>
      <c r="AA1525" s="143"/>
      <c r="AB1525" s="144"/>
      <c r="AC1525" s="16" t="s">
        <v>21</v>
      </c>
      <c r="AD1525" s="17" t="s">
        <v>4567</v>
      </c>
      <c r="AE1525" s="145" t="s">
        <v>171</v>
      </c>
      <c r="AF1525" s="146"/>
      <c r="AG1525" s="146"/>
      <c r="AH1525" s="146"/>
      <c r="AI1525" s="147"/>
      <c r="AJ1525" s="148"/>
      <c r="AK1525" s="143"/>
      <c r="AL1525" s="144"/>
      <c r="AM1525" s="22"/>
      <c r="AN1525" s="149" t="s">
        <v>7285</v>
      </c>
      <c r="AO1525" s="144"/>
      <c r="AP1525" s="148">
        <v>5278</v>
      </c>
      <c r="AQ1525" s="144"/>
      <c r="AR1525" s="120"/>
      <c r="AS1525" s="121"/>
      <c r="AT1525" s="120"/>
      <c r="AU1525" s="121"/>
      <c r="AV1525" s="120"/>
      <c r="AW1525" s="121"/>
      <c r="AX1525" s="120"/>
      <c r="AY1525" s="121"/>
      <c r="AZ1525" s="138"/>
    </row>
    <row r="1526" spans="1:52" ht="17.100000000000001" customHeight="1" thickTop="1">
      <c r="A1526" s="109" t="s">
        <v>6499</v>
      </c>
      <c r="B1526" s="28">
        <v>45916</v>
      </c>
      <c r="C1526" s="25">
        <v>1061</v>
      </c>
      <c r="D1526" s="13" t="s">
        <v>2361</v>
      </c>
      <c r="E1526" s="111"/>
      <c r="F1526" s="113" t="s">
        <v>4954</v>
      </c>
      <c r="G1526" s="114"/>
      <c r="H1526" s="115"/>
      <c r="I1526" s="24" t="s">
        <v>4955</v>
      </c>
      <c r="J1526" s="116">
        <v>4.5</v>
      </c>
      <c r="K1526" s="118">
        <v>870000</v>
      </c>
      <c r="L1526" s="119"/>
      <c r="M1526" s="118">
        <f>K1526*0.1</f>
        <v>87000</v>
      </c>
      <c r="N1526" s="119"/>
      <c r="O1526" s="118">
        <f>19700+1970</f>
        <v>21670</v>
      </c>
      <c r="P1526" s="119"/>
      <c r="Q1526" s="118">
        <v>15940</v>
      </c>
      <c r="R1526" s="119"/>
      <c r="S1526" s="118">
        <v>16500</v>
      </c>
      <c r="T1526" s="119"/>
      <c r="U1526" s="118">
        <f>SUM(K1526:T1527)</f>
        <v>1011110</v>
      </c>
      <c r="V1526" s="122"/>
      <c r="W1526" s="124"/>
      <c r="X1526" s="126" t="s">
        <v>4956</v>
      </c>
      <c r="Y1526" s="127"/>
      <c r="Z1526" s="127"/>
      <c r="AA1526" s="127"/>
      <c r="AB1526" s="128"/>
      <c r="AC1526" s="15" t="s">
        <v>20</v>
      </c>
      <c r="AD1526" s="129" t="s">
        <v>171</v>
      </c>
      <c r="AE1526" s="130"/>
      <c r="AF1526" s="130"/>
      <c r="AG1526" s="130"/>
      <c r="AH1526" s="130"/>
      <c r="AI1526" s="131"/>
      <c r="AJ1526" s="132"/>
      <c r="AK1526" s="127"/>
      <c r="AL1526" s="128"/>
      <c r="AM1526" s="21"/>
      <c r="AN1526" s="133">
        <v>45948</v>
      </c>
      <c r="AO1526" s="134"/>
      <c r="AP1526" s="135">
        <v>1272</v>
      </c>
      <c r="AQ1526" s="136"/>
      <c r="AR1526" s="118">
        <v>905000</v>
      </c>
      <c r="AS1526" s="119"/>
      <c r="AT1526" s="118">
        <f>AR1526*0.1</f>
        <v>90500</v>
      </c>
      <c r="AU1526" s="119"/>
      <c r="AV1526" s="118">
        <v>15940</v>
      </c>
      <c r="AW1526" s="119"/>
      <c r="AX1526" s="118">
        <f>SUM(AR1526:AW1526)</f>
        <v>1011440</v>
      </c>
      <c r="AY1526" s="119"/>
      <c r="AZ1526" s="137">
        <v>45953</v>
      </c>
    </row>
    <row r="1527" spans="1:52" ht="17.100000000000001" customHeight="1" thickBot="1">
      <c r="A1527" s="110"/>
      <c r="B1527" s="27" t="s">
        <v>1591</v>
      </c>
      <c r="C1527" s="27">
        <v>84034</v>
      </c>
      <c r="D1527" s="14" t="s">
        <v>275</v>
      </c>
      <c r="E1527" s="112"/>
      <c r="F1527" s="139" t="s">
        <v>4957</v>
      </c>
      <c r="G1527" s="140"/>
      <c r="H1527" s="141"/>
      <c r="I1527" s="26">
        <v>45682</v>
      </c>
      <c r="J1527" s="117"/>
      <c r="K1527" s="120"/>
      <c r="L1527" s="121"/>
      <c r="M1527" s="120"/>
      <c r="N1527" s="121"/>
      <c r="O1527" s="120"/>
      <c r="P1527" s="121"/>
      <c r="Q1527" s="120"/>
      <c r="R1527" s="121"/>
      <c r="S1527" s="120"/>
      <c r="T1527" s="121"/>
      <c r="U1527" s="120"/>
      <c r="V1527" s="123"/>
      <c r="W1527" s="125"/>
      <c r="X1527" s="142" t="s">
        <v>4958</v>
      </c>
      <c r="Y1527" s="143"/>
      <c r="Z1527" s="143"/>
      <c r="AA1527" s="143"/>
      <c r="AB1527" s="144"/>
      <c r="AC1527" s="16" t="s">
        <v>21</v>
      </c>
      <c r="AD1527" s="17" t="s">
        <v>4567</v>
      </c>
      <c r="AE1527" s="145" t="s">
        <v>4134</v>
      </c>
      <c r="AF1527" s="146"/>
      <c r="AG1527" s="146"/>
      <c r="AH1527" s="146"/>
      <c r="AI1527" s="147"/>
      <c r="AJ1527" s="148"/>
      <c r="AK1527" s="143"/>
      <c r="AL1527" s="144"/>
      <c r="AM1527" s="22"/>
      <c r="AN1527" s="149" t="s">
        <v>2511</v>
      </c>
      <c r="AO1527" s="144"/>
      <c r="AP1527" s="148">
        <v>80017</v>
      </c>
      <c r="AQ1527" s="144"/>
      <c r="AR1527" s="120"/>
      <c r="AS1527" s="121"/>
      <c r="AT1527" s="120"/>
      <c r="AU1527" s="121"/>
      <c r="AV1527" s="120"/>
      <c r="AW1527" s="121"/>
      <c r="AX1527" s="120"/>
      <c r="AY1527" s="121"/>
      <c r="AZ1527" s="138"/>
    </row>
    <row r="1528" spans="1:52" ht="17.100000000000001" customHeight="1" thickTop="1">
      <c r="A1528" s="109" t="s">
        <v>6500</v>
      </c>
      <c r="B1528" s="28">
        <v>45917</v>
      </c>
      <c r="C1528" s="25">
        <v>2322</v>
      </c>
      <c r="D1528" s="13" t="s">
        <v>1767</v>
      </c>
      <c r="E1528" s="111"/>
      <c r="F1528" s="113" t="s">
        <v>4959</v>
      </c>
      <c r="G1528" s="114"/>
      <c r="H1528" s="115"/>
      <c r="I1528" s="24"/>
      <c r="J1528" s="116">
        <v>4</v>
      </c>
      <c r="K1528" s="118">
        <v>810000</v>
      </c>
      <c r="L1528" s="119"/>
      <c r="M1528" s="118">
        <f>K1528*0.1</f>
        <v>81000</v>
      </c>
      <c r="N1528" s="119"/>
      <c r="O1528" s="118">
        <v>0</v>
      </c>
      <c r="P1528" s="119"/>
      <c r="Q1528" s="118">
        <v>20540</v>
      </c>
      <c r="R1528" s="119"/>
      <c r="S1528" s="118">
        <v>16500</v>
      </c>
      <c r="T1528" s="119"/>
      <c r="U1528" s="118">
        <f>SUM(K1528:T1529)</f>
        <v>928040</v>
      </c>
      <c r="V1528" s="122"/>
      <c r="W1528" s="124"/>
      <c r="X1528" s="126" t="s">
        <v>4960</v>
      </c>
      <c r="Y1528" s="127"/>
      <c r="Z1528" s="127"/>
      <c r="AA1528" s="127"/>
      <c r="AB1528" s="128"/>
      <c r="AC1528" s="15" t="s">
        <v>20</v>
      </c>
      <c r="AD1528" s="129"/>
      <c r="AE1528" s="130"/>
      <c r="AF1528" s="130"/>
      <c r="AG1528" s="130"/>
      <c r="AH1528" s="130"/>
      <c r="AI1528" s="131"/>
      <c r="AJ1528" s="132"/>
      <c r="AK1528" s="127"/>
      <c r="AL1528" s="128"/>
      <c r="AM1528" s="21"/>
      <c r="AN1528" s="133">
        <v>45990</v>
      </c>
      <c r="AO1528" s="134"/>
      <c r="AP1528" s="135">
        <v>1278</v>
      </c>
      <c r="AQ1528" s="136"/>
      <c r="AR1528" s="118">
        <v>870000</v>
      </c>
      <c r="AS1528" s="119"/>
      <c r="AT1528" s="118">
        <f>AR1528*0.1</f>
        <v>87000</v>
      </c>
      <c r="AU1528" s="119"/>
      <c r="AV1528" s="118">
        <v>20540</v>
      </c>
      <c r="AW1528" s="119"/>
      <c r="AX1528" s="118">
        <f>SUM(AR1528:AW1528)</f>
        <v>977540</v>
      </c>
      <c r="AY1528" s="119"/>
      <c r="AZ1528" s="137">
        <v>45995</v>
      </c>
    </row>
    <row r="1529" spans="1:52" ht="17.100000000000001" customHeight="1" thickBot="1">
      <c r="A1529" s="110"/>
      <c r="B1529" s="27" t="s">
        <v>3422</v>
      </c>
      <c r="C1529" s="27">
        <v>60031</v>
      </c>
      <c r="D1529" s="14" t="s">
        <v>275</v>
      </c>
      <c r="E1529" s="112"/>
      <c r="F1529" s="139" t="s">
        <v>4961</v>
      </c>
      <c r="G1529" s="140"/>
      <c r="H1529" s="141"/>
      <c r="I1529" s="26">
        <v>66269</v>
      </c>
      <c r="J1529" s="117"/>
      <c r="K1529" s="120"/>
      <c r="L1529" s="121"/>
      <c r="M1529" s="120"/>
      <c r="N1529" s="121"/>
      <c r="O1529" s="120"/>
      <c r="P1529" s="121"/>
      <c r="Q1529" s="120"/>
      <c r="R1529" s="121"/>
      <c r="S1529" s="120"/>
      <c r="T1529" s="121"/>
      <c r="U1529" s="120"/>
      <c r="V1529" s="123"/>
      <c r="W1529" s="125"/>
      <c r="X1529" s="142" t="s">
        <v>4962</v>
      </c>
      <c r="Y1529" s="143"/>
      <c r="Z1529" s="143"/>
      <c r="AA1529" s="143"/>
      <c r="AB1529" s="144"/>
      <c r="AC1529" s="16" t="s">
        <v>21</v>
      </c>
      <c r="AD1529" s="17" t="s">
        <v>2098</v>
      </c>
      <c r="AE1529" s="145" t="s">
        <v>4963</v>
      </c>
      <c r="AF1529" s="146"/>
      <c r="AG1529" s="146"/>
      <c r="AH1529" s="146"/>
      <c r="AI1529" s="147"/>
      <c r="AJ1529" s="148"/>
      <c r="AK1529" s="143"/>
      <c r="AL1529" s="144"/>
      <c r="AM1529" s="22"/>
      <c r="AN1529" s="149" t="s">
        <v>6749</v>
      </c>
      <c r="AO1529" s="144"/>
      <c r="AP1529" s="148">
        <v>80229</v>
      </c>
      <c r="AQ1529" s="144"/>
      <c r="AR1529" s="120"/>
      <c r="AS1529" s="121"/>
      <c r="AT1529" s="120"/>
      <c r="AU1529" s="121"/>
      <c r="AV1529" s="120"/>
      <c r="AW1529" s="121"/>
      <c r="AX1529" s="120"/>
      <c r="AY1529" s="121"/>
      <c r="AZ1529" s="138"/>
    </row>
    <row r="1530" spans="1:52" ht="17.100000000000001" customHeight="1" thickTop="1">
      <c r="A1530" s="109" t="s">
        <v>6501</v>
      </c>
      <c r="B1530" s="28">
        <v>45917</v>
      </c>
      <c r="C1530" s="25">
        <v>1805</v>
      </c>
      <c r="D1530" s="13" t="s">
        <v>1853</v>
      </c>
      <c r="E1530" s="111"/>
      <c r="F1530" s="113" t="s">
        <v>3590</v>
      </c>
      <c r="G1530" s="114"/>
      <c r="H1530" s="115"/>
      <c r="I1530" s="24"/>
      <c r="J1530" s="116">
        <v>4.5</v>
      </c>
      <c r="K1530" s="118">
        <v>689000</v>
      </c>
      <c r="L1530" s="119"/>
      <c r="M1530" s="118">
        <f>K1530*0.1</f>
        <v>68900</v>
      </c>
      <c r="N1530" s="119"/>
      <c r="O1530" s="118">
        <v>0</v>
      </c>
      <c r="P1530" s="119"/>
      <c r="Q1530" s="118">
        <v>5340</v>
      </c>
      <c r="R1530" s="119"/>
      <c r="S1530" s="118">
        <v>18150</v>
      </c>
      <c r="T1530" s="119"/>
      <c r="U1530" s="118">
        <f>SUM(K1530:T1531)</f>
        <v>781390</v>
      </c>
      <c r="V1530" s="122"/>
      <c r="W1530" s="124"/>
      <c r="X1530" s="126" t="s">
        <v>4964</v>
      </c>
      <c r="Y1530" s="127"/>
      <c r="Z1530" s="127"/>
      <c r="AA1530" s="127"/>
      <c r="AB1530" s="128"/>
      <c r="AC1530" s="15" t="s">
        <v>20</v>
      </c>
      <c r="AD1530" s="129" t="s">
        <v>171</v>
      </c>
      <c r="AE1530" s="130"/>
      <c r="AF1530" s="130"/>
      <c r="AG1530" s="130"/>
      <c r="AH1530" s="130"/>
      <c r="AI1530" s="131"/>
      <c r="AJ1530" s="132"/>
      <c r="AK1530" s="127"/>
      <c r="AL1530" s="128"/>
      <c r="AM1530" s="21"/>
      <c r="AN1530" s="133">
        <v>45941</v>
      </c>
      <c r="AO1530" s="134"/>
      <c r="AP1530" s="135">
        <v>1271</v>
      </c>
      <c r="AQ1530" s="136"/>
      <c r="AR1530" s="118">
        <v>775000</v>
      </c>
      <c r="AS1530" s="119"/>
      <c r="AT1530" s="118">
        <f>AR1530*0.1</f>
        <v>77500</v>
      </c>
      <c r="AU1530" s="119"/>
      <c r="AV1530" s="118">
        <v>5340</v>
      </c>
      <c r="AW1530" s="119"/>
      <c r="AX1530" s="118">
        <f>SUM(AR1530:AW1530)</f>
        <v>857840</v>
      </c>
      <c r="AY1530" s="119"/>
      <c r="AZ1530" s="137">
        <v>45945</v>
      </c>
    </row>
    <row r="1531" spans="1:52" ht="17.100000000000001" customHeight="1" thickBot="1">
      <c r="A1531" s="110"/>
      <c r="B1531" s="27" t="s">
        <v>2559</v>
      </c>
      <c r="C1531" s="27">
        <v>3089</v>
      </c>
      <c r="D1531" s="14" t="s">
        <v>1576</v>
      </c>
      <c r="E1531" s="112"/>
      <c r="F1531" s="139" t="s">
        <v>4965</v>
      </c>
      <c r="G1531" s="140"/>
      <c r="H1531" s="141"/>
      <c r="I1531" s="26">
        <v>70002</v>
      </c>
      <c r="J1531" s="117"/>
      <c r="K1531" s="120"/>
      <c r="L1531" s="121"/>
      <c r="M1531" s="120"/>
      <c r="N1531" s="121"/>
      <c r="O1531" s="120"/>
      <c r="P1531" s="121"/>
      <c r="Q1531" s="120"/>
      <c r="R1531" s="121"/>
      <c r="S1531" s="120"/>
      <c r="T1531" s="121"/>
      <c r="U1531" s="120"/>
      <c r="V1531" s="123"/>
      <c r="W1531" s="125"/>
      <c r="X1531" s="142" t="s">
        <v>4966</v>
      </c>
      <c r="Y1531" s="143"/>
      <c r="Z1531" s="143"/>
      <c r="AA1531" s="143"/>
      <c r="AB1531" s="144"/>
      <c r="AC1531" s="16" t="s">
        <v>21</v>
      </c>
      <c r="AD1531" s="17" t="s">
        <v>4286</v>
      </c>
      <c r="AE1531" s="145" t="s">
        <v>4608</v>
      </c>
      <c r="AF1531" s="146"/>
      <c r="AG1531" s="146"/>
      <c r="AH1531" s="146"/>
      <c r="AI1531" s="147"/>
      <c r="AJ1531" s="148"/>
      <c r="AK1531" s="143"/>
      <c r="AL1531" s="144"/>
      <c r="AM1531" s="22"/>
      <c r="AN1531" s="149" t="s">
        <v>2511</v>
      </c>
      <c r="AO1531" s="144"/>
      <c r="AP1531" s="148">
        <v>60205</v>
      </c>
      <c r="AQ1531" s="144"/>
      <c r="AR1531" s="120"/>
      <c r="AS1531" s="121"/>
      <c r="AT1531" s="120"/>
      <c r="AU1531" s="121"/>
      <c r="AV1531" s="120"/>
      <c r="AW1531" s="121"/>
      <c r="AX1531" s="120"/>
      <c r="AY1531" s="121"/>
      <c r="AZ1531" s="138"/>
    </row>
    <row r="1532" spans="1:52" ht="17.100000000000001" customHeight="1" thickTop="1">
      <c r="A1532" s="109" t="s">
        <v>6502</v>
      </c>
      <c r="B1532" s="28">
        <v>45917</v>
      </c>
      <c r="C1532" s="25">
        <v>1805</v>
      </c>
      <c r="D1532" s="13" t="s">
        <v>1586</v>
      </c>
      <c r="E1532" s="111"/>
      <c r="F1532" s="113" t="s">
        <v>4967</v>
      </c>
      <c r="G1532" s="114"/>
      <c r="H1532" s="115"/>
      <c r="I1532" s="24"/>
      <c r="J1532" s="116">
        <v>4</v>
      </c>
      <c r="K1532" s="118">
        <v>752000</v>
      </c>
      <c r="L1532" s="119"/>
      <c r="M1532" s="118">
        <v>75200</v>
      </c>
      <c r="N1532" s="119"/>
      <c r="O1532" s="118">
        <v>0</v>
      </c>
      <c r="P1532" s="119"/>
      <c r="Q1532" s="118">
        <v>9200</v>
      </c>
      <c r="R1532" s="119"/>
      <c r="S1532" s="118">
        <v>18150</v>
      </c>
      <c r="T1532" s="119"/>
      <c r="U1532" s="118">
        <f>SUM(K1532:T1533)</f>
        <v>854550</v>
      </c>
      <c r="V1532" s="122"/>
      <c r="W1532" s="124"/>
      <c r="X1532" s="126" t="s">
        <v>4968</v>
      </c>
      <c r="Y1532" s="127"/>
      <c r="Z1532" s="127"/>
      <c r="AA1532" s="127"/>
      <c r="AB1532" s="128"/>
      <c r="AC1532" s="15" t="s">
        <v>20</v>
      </c>
      <c r="AD1532" s="129"/>
      <c r="AE1532" s="130"/>
      <c r="AF1532" s="130"/>
      <c r="AG1532" s="130"/>
      <c r="AH1532" s="130"/>
      <c r="AI1532" s="131"/>
      <c r="AJ1532" s="132"/>
      <c r="AK1532" s="127"/>
      <c r="AL1532" s="128"/>
      <c r="AM1532" s="21"/>
      <c r="AN1532" s="133">
        <v>45941</v>
      </c>
      <c r="AO1532" s="134"/>
      <c r="AP1532" s="135">
        <v>1271</v>
      </c>
      <c r="AQ1532" s="136"/>
      <c r="AR1532" s="118">
        <v>815000</v>
      </c>
      <c r="AS1532" s="119"/>
      <c r="AT1532" s="118">
        <f>AR1532*0.1</f>
        <v>81500</v>
      </c>
      <c r="AU1532" s="119"/>
      <c r="AV1532" s="118">
        <v>9200</v>
      </c>
      <c r="AW1532" s="119"/>
      <c r="AX1532" s="118">
        <f>SUM(AR1532:AW1532)</f>
        <v>905700</v>
      </c>
      <c r="AY1532" s="119"/>
      <c r="AZ1532" s="137">
        <v>45945</v>
      </c>
    </row>
    <row r="1533" spans="1:52" ht="17.100000000000001" customHeight="1" thickBot="1">
      <c r="A1533" s="110"/>
      <c r="B1533" s="27" t="s">
        <v>2559</v>
      </c>
      <c r="C1533" s="27">
        <v>3093</v>
      </c>
      <c r="D1533" s="14" t="s">
        <v>275</v>
      </c>
      <c r="E1533" s="112"/>
      <c r="F1533" s="139" t="s">
        <v>4969</v>
      </c>
      <c r="G1533" s="140"/>
      <c r="H1533" s="141"/>
      <c r="I1533" s="26">
        <v>72748</v>
      </c>
      <c r="J1533" s="117"/>
      <c r="K1533" s="120"/>
      <c r="L1533" s="121"/>
      <c r="M1533" s="120"/>
      <c r="N1533" s="121"/>
      <c r="O1533" s="120"/>
      <c r="P1533" s="121"/>
      <c r="Q1533" s="120"/>
      <c r="R1533" s="121"/>
      <c r="S1533" s="120"/>
      <c r="T1533" s="121"/>
      <c r="U1533" s="120"/>
      <c r="V1533" s="123"/>
      <c r="W1533" s="125"/>
      <c r="X1533" s="142" t="s">
        <v>4970</v>
      </c>
      <c r="Y1533" s="143"/>
      <c r="Z1533" s="143"/>
      <c r="AA1533" s="143"/>
      <c r="AB1533" s="144"/>
      <c r="AC1533" s="16" t="s">
        <v>21</v>
      </c>
      <c r="AD1533" s="17" t="s">
        <v>4567</v>
      </c>
      <c r="AE1533" s="145" t="s">
        <v>4046</v>
      </c>
      <c r="AF1533" s="146"/>
      <c r="AG1533" s="146"/>
      <c r="AH1533" s="146"/>
      <c r="AI1533" s="147"/>
      <c r="AJ1533" s="148"/>
      <c r="AK1533" s="143"/>
      <c r="AL1533" s="144"/>
      <c r="AM1533" s="22"/>
      <c r="AN1533" s="149" t="s">
        <v>2511</v>
      </c>
      <c r="AO1533" s="144"/>
      <c r="AP1533" s="148">
        <v>60184</v>
      </c>
      <c r="AQ1533" s="144"/>
      <c r="AR1533" s="120"/>
      <c r="AS1533" s="121"/>
      <c r="AT1533" s="120"/>
      <c r="AU1533" s="121"/>
      <c r="AV1533" s="120"/>
      <c r="AW1533" s="121"/>
      <c r="AX1533" s="120"/>
      <c r="AY1533" s="121"/>
      <c r="AZ1533" s="138"/>
    </row>
    <row r="1534" spans="1:52" ht="17.100000000000001" customHeight="1" thickTop="1">
      <c r="A1534" s="109" t="s">
        <v>6503</v>
      </c>
      <c r="B1534" s="28">
        <v>45917</v>
      </c>
      <c r="C1534" s="25">
        <v>1805</v>
      </c>
      <c r="D1534" s="13" t="s">
        <v>2606</v>
      </c>
      <c r="E1534" s="111"/>
      <c r="F1534" s="113" t="s">
        <v>4971</v>
      </c>
      <c r="G1534" s="114"/>
      <c r="H1534" s="115"/>
      <c r="I1534" s="24" t="s">
        <v>4096</v>
      </c>
      <c r="J1534" s="116">
        <v>4</v>
      </c>
      <c r="K1534" s="118">
        <v>1825000</v>
      </c>
      <c r="L1534" s="119"/>
      <c r="M1534" s="118">
        <f>K1534*0.1</f>
        <v>182500</v>
      </c>
      <c r="N1534" s="119"/>
      <c r="O1534" s="118">
        <f>18000+1800</f>
        <v>19800</v>
      </c>
      <c r="P1534" s="119"/>
      <c r="Q1534" s="118">
        <v>21240</v>
      </c>
      <c r="R1534" s="119"/>
      <c r="S1534" s="118">
        <v>18150</v>
      </c>
      <c r="T1534" s="119"/>
      <c r="U1534" s="118">
        <f>SUM(K1534:T1535)</f>
        <v>2066690</v>
      </c>
      <c r="V1534" s="122"/>
      <c r="W1534" s="124"/>
      <c r="X1534" s="126" t="s">
        <v>4972</v>
      </c>
      <c r="Y1534" s="127"/>
      <c r="Z1534" s="127"/>
      <c r="AA1534" s="127"/>
      <c r="AB1534" s="128"/>
      <c r="AC1534" s="15" t="s">
        <v>20</v>
      </c>
      <c r="AD1534" s="129"/>
      <c r="AE1534" s="130"/>
      <c r="AF1534" s="130"/>
      <c r="AG1534" s="130"/>
      <c r="AH1534" s="130"/>
      <c r="AI1534" s="131"/>
      <c r="AJ1534" s="132"/>
      <c r="AK1534" s="127"/>
      <c r="AL1534" s="128"/>
      <c r="AM1534" s="21"/>
      <c r="AN1534" s="133">
        <v>45934</v>
      </c>
      <c r="AO1534" s="134"/>
      <c r="AP1534" s="135">
        <v>1270</v>
      </c>
      <c r="AQ1534" s="136"/>
      <c r="AR1534" s="118">
        <v>1960000</v>
      </c>
      <c r="AS1534" s="119"/>
      <c r="AT1534" s="118">
        <f>AR1534*0.1</f>
        <v>196000</v>
      </c>
      <c r="AU1534" s="119"/>
      <c r="AV1534" s="118">
        <v>21240</v>
      </c>
      <c r="AW1534" s="119"/>
      <c r="AX1534" s="118">
        <f>SUM(AR1534:AW1534)</f>
        <v>2177240</v>
      </c>
      <c r="AY1534" s="119"/>
      <c r="AZ1534" s="137">
        <v>45939</v>
      </c>
    </row>
    <row r="1535" spans="1:52" ht="17.100000000000001" customHeight="1" thickBot="1">
      <c r="A1535" s="110"/>
      <c r="B1535" s="27" t="s">
        <v>2559</v>
      </c>
      <c r="C1535" s="27">
        <v>38058</v>
      </c>
      <c r="D1535" s="14" t="s">
        <v>133</v>
      </c>
      <c r="E1535" s="112"/>
      <c r="F1535" s="139" t="s">
        <v>4973</v>
      </c>
      <c r="G1535" s="140"/>
      <c r="H1535" s="141"/>
      <c r="I1535" s="26">
        <v>75357</v>
      </c>
      <c r="J1535" s="117"/>
      <c r="K1535" s="120"/>
      <c r="L1535" s="121"/>
      <c r="M1535" s="120"/>
      <c r="N1535" s="121"/>
      <c r="O1535" s="120"/>
      <c r="P1535" s="121"/>
      <c r="Q1535" s="120"/>
      <c r="R1535" s="121"/>
      <c r="S1535" s="120"/>
      <c r="T1535" s="121"/>
      <c r="U1535" s="120"/>
      <c r="V1535" s="123"/>
      <c r="W1535" s="125"/>
      <c r="X1535" s="142" t="s">
        <v>3455</v>
      </c>
      <c r="Y1535" s="143"/>
      <c r="Z1535" s="143"/>
      <c r="AA1535" s="143"/>
      <c r="AB1535" s="144"/>
      <c r="AC1535" s="16" t="s">
        <v>21</v>
      </c>
      <c r="AD1535" s="17" t="s">
        <v>4567</v>
      </c>
      <c r="AE1535" s="145" t="s">
        <v>4974</v>
      </c>
      <c r="AF1535" s="146"/>
      <c r="AG1535" s="146"/>
      <c r="AH1535" s="146"/>
      <c r="AI1535" s="147"/>
      <c r="AJ1535" s="148"/>
      <c r="AK1535" s="143"/>
      <c r="AL1535" s="144"/>
      <c r="AM1535" s="22"/>
      <c r="AN1535" s="149" t="s">
        <v>6748</v>
      </c>
      <c r="AO1535" s="144"/>
      <c r="AP1535" s="148">
        <v>80041</v>
      </c>
      <c r="AQ1535" s="144"/>
      <c r="AR1535" s="120"/>
      <c r="AS1535" s="121"/>
      <c r="AT1535" s="120"/>
      <c r="AU1535" s="121"/>
      <c r="AV1535" s="120"/>
      <c r="AW1535" s="121"/>
      <c r="AX1535" s="120"/>
      <c r="AY1535" s="121"/>
      <c r="AZ1535" s="138"/>
    </row>
    <row r="1536" spans="1:52" ht="17.100000000000001" customHeight="1" thickTop="1">
      <c r="A1536" s="109" t="s">
        <v>6504</v>
      </c>
      <c r="B1536" s="28">
        <v>45917</v>
      </c>
      <c r="C1536" s="25">
        <v>1805</v>
      </c>
      <c r="D1536" s="13" t="s">
        <v>1937</v>
      </c>
      <c r="E1536" s="111"/>
      <c r="F1536" s="113" t="s">
        <v>4975</v>
      </c>
      <c r="G1536" s="114"/>
      <c r="H1536" s="115"/>
      <c r="I1536" s="24"/>
      <c r="J1536" s="116">
        <v>4.5</v>
      </c>
      <c r="K1536" s="118">
        <v>860000</v>
      </c>
      <c r="L1536" s="119"/>
      <c r="M1536" s="118">
        <f>K1536*0.1</f>
        <v>86000</v>
      </c>
      <c r="N1536" s="119"/>
      <c r="O1536" s="118">
        <v>0</v>
      </c>
      <c r="P1536" s="119"/>
      <c r="Q1536" s="118">
        <v>12450</v>
      </c>
      <c r="R1536" s="119"/>
      <c r="S1536" s="118">
        <v>18150</v>
      </c>
      <c r="T1536" s="119"/>
      <c r="U1536" s="118">
        <f>SUM(K1536:T1537)</f>
        <v>976600</v>
      </c>
      <c r="V1536" s="122"/>
      <c r="W1536" s="124"/>
      <c r="X1536" s="126" t="s">
        <v>4976</v>
      </c>
      <c r="Y1536" s="127"/>
      <c r="Z1536" s="127"/>
      <c r="AA1536" s="127"/>
      <c r="AB1536" s="128"/>
      <c r="AC1536" s="15" t="s">
        <v>20</v>
      </c>
      <c r="AD1536" s="129"/>
      <c r="AE1536" s="130"/>
      <c r="AF1536" s="130"/>
      <c r="AG1536" s="130"/>
      <c r="AH1536" s="130"/>
      <c r="AI1536" s="131"/>
      <c r="AJ1536" s="132"/>
      <c r="AK1536" s="127"/>
      <c r="AL1536" s="128"/>
      <c r="AM1536" s="21"/>
      <c r="AN1536" s="133">
        <v>45948</v>
      </c>
      <c r="AO1536" s="134"/>
      <c r="AP1536" s="135">
        <v>1272</v>
      </c>
      <c r="AQ1536" s="136"/>
      <c r="AR1536" s="118">
        <v>980000</v>
      </c>
      <c r="AS1536" s="119"/>
      <c r="AT1536" s="118">
        <f>AR1536*0.1</f>
        <v>98000</v>
      </c>
      <c r="AU1536" s="119"/>
      <c r="AV1536" s="118">
        <v>12450</v>
      </c>
      <c r="AW1536" s="119"/>
      <c r="AX1536" s="118">
        <f>SUM(AR1536:AW1536)</f>
        <v>1090450</v>
      </c>
      <c r="AY1536" s="119"/>
      <c r="AZ1536" s="137">
        <v>45951</v>
      </c>
    </row>
    <row r="1537" spans="1:52" ht="17.100000000000001" customHeight="1" thickBot="1">
      <c r="A1537" s="110"/>
      <c r="B1537" s="27" t="s">
        <v>2559</v>
      </c>
      <c r="C1537" s="27">
        <v>38069</v>
      </c>
      <c r="D1537" s="14" t="s">
        <v>133</v>
      </c>
      <c r="E1537" s="112"/>
      <c r="F1537" s="139" t="s">
        <v>4977</v>
      </c>
      <c r="G1537" s="140"/>
      <c r="H1537" s="141"/>
      <c r="I1537" s="26">
        <v>41318</v>
      </c>
      <c r="J1537" s="117"/>
      <c r="K1537" s="120"/>
      <c r="L1537" s="121"/>
      <c r="M1537" s="120"/>
      <c r="N1537" s="121"/>
      <c r="O1537" s="120"/>
      <c r="P1537" s="121"/>
      <c r="Q1537" s="120"/>
      <c r="R1537" s="121"/>
      <c r="S1537" s="120"/>
      <c r="T1537" s="121"/>
      <c r="U1537" s="120"/>
      <c r="V1537" s="123"/>
      <c r="W1537" s="125"/>
      <c r="X1537" s="142" t="s">
        <v>4978</v>
      </c>
      <c r="Y1537" s="143"/>
      <c r="Z1537" s="143"/>
      <c r="AA1537" s="143"/>
      <c r="AB1537" s="144"/>
      <c r="AC1537" s="16" t="s">
        <v>21</v>
      </c>
      <c r="AD1537" s="17" t="s">
        <v>4567</v>
      </c>
      <c r="AE1537" s="145" t="s">
        <v>4979</v>
      </c>
      <c r="AF1537" s="146"/>
      <c r="AG1537" s="146"/>
      <c r="AH1537" s="146"/>
      <c r="AI1537" s="147"/>
      <c r="AJ1537" s="148"/>
      <c r="AK1537" s="143"/>
      <c r="AL1537" s="144"/>
      <c r="AM1537" s="22"/>
      <c r="AN1537" s="149" t="s">
        <v>2511</v>
      </c>
      <c r="AO1537" s="144"/>
      <c r="AP1537" s="148">
        <v>80132</v>
      </c>
      <c r="AQ1537" s="144"/>
      <c r="AR1537" s="120"/>
      <c r="AS1537" s="121"/>
      <c r="AT1537" s="120"/>
      <c r="AU1537" s="121"/>
      <c r="AV1537" s="120"/>
      <c r="AW1537" s="121"/>
      <c r="AX1537" s="120"/>
      <c r="AY1537" s="121"/>
      <c r="AZ1537" s="138"/>
    </row>
    <row r="1538" spans="1:52" ht="17.100000000000001" customHeight="1" thickTop="1">
      <c r="A1538" s="109" t="s">
        <v>6505</v>
      </c>
      <c r="B1538" s="28">
        <v>45918</v>
      </c>
      <c r="C1538" s="25">
        <v>1950</v>
      </c>
      <c r="D1538" s="13" t="s">
        <v>3014</v>
      </c>
      <c r="E1538" s="111"/>
      <c r="F1538" s="113" t="s">
        <v>4980</v>
      </c>
      <c r="G1538" s="114"/>
      <c r="H1538" s="115"/>
      <c r="I1538" s="24"/>
      <c r="J1538" s="116">
        <v>4.5</v>
      </c>
      <c r="K1538" s="118">
        <v>985000</v>
      </c>
      <c r="L1538" s="119"/>
      <c r="M1538" s="118">
        <f>K1538*0.1</f>
        <v>98500</v>
      </c>
      <c r="N1538" s="119"/>
      <c r="O1538" s="118">
        <v>0</v>
      </c>
      <c r="P1538" s="119"/>
      <c r="Q1538" s="118">
        <v>7440</v>
      </c>
      <c r="R1538" s="119"/>
      <c r="S1538" s="118">
        <v>15950</v>
      </c>
      <c r="T1538" s="119"/>
      <c r="U1538" s="118">
        <f>SUM(K1538:T1539)</f>
        <v>1106890</v>
      </c>
      <c r="V1538" s="122"/>
      <c r="W1538" s="124"/>
      <c r="X1538" s="126" t="s">
        <v>4981</v>
      </c>
      <c r="Y1538" s="127"/>
      <c r="Z1538" s="127"/>
      <c r="AA1538" s="127"/>
      <c r="AB1538" s="128"/>
      <c r="AC1538" s="15" t="s">
        <v>20</v>
      </c>
      <c r="AD1538" s="129" t="s">
        <v>4982</v>
      </c>
      <c r="AE1538" s="130"/>
      <c r="AF1538" s="130"/>
      <c r="AG1538" s="130"/>
      <c r="AH1538" s="130"/>
      <c r="AI1538" s="131"/>
      <c r="AJ1538" s="132"/>
      <c r="AK1538" s="127"/>
      <c r="AL1538" s="128"/>
      <c r="AM1538" s="21"/>
      <c r="AN1538" s="133">
        <v>45948</v>
      </c>
      <c r="AO1538" s="134"/>
      <c r="AP1538" s="135">
        <v>1272</v>
      </c>
      <c r="AQ1538" s="136"/>
      <c r="AR1538" s="118">
        <v>1090000</v>
      </c>
      <c r="AS1538" s="119"/>
      <c r="AT1538" s="118">
        <f>AR1538*0.1</f>
        <v>109000</v>
      </c>
      <c r="AU1538" s="119"/>
      <c r="AV1538" s="118">
        <v>7440</v>
      </c>
      <c r="AW1538" s="119"/>
      <c r="AX1538" s="118">
        <f>SUM(AR1538:AW1538)</f>
        <v>1206440</v>
      </c>
      <c r="AY1538" s="119"/>
      <c r="AZ1538" s="137">
        <v>45951</v>
      </c>
    </row>
    <row r="1539" spans="1:52" ht="17.100000000000001" customHeight="1" thickBot="1">
      <c r="A1539" s="110"/>
      <c r="B1539" s="27" t="s">
        <v>3792</v>
      </c>
      <c r="C1539" s="27">
        <v>62072</v>
      </c>
      <c r="D1539" s="14" t="s">
        <v>1592</v>
      </c>
      <c r="E1539" s="112"/>
      <c r="F1539" s="139" t="s">
        <v>4983</v>
      </c>
      <c r="G1539" s="140"/>
      <c r="H1539" s="141"/>
      <c r="I1539" s="26">
        <v>31980</v>
      </c>
      <c r="J1539" s="117"/>
      <c r="K1539" s="120"/>
      <c r="L1539" s="121"/>
      <c r="M1539" s="120"/>
      <c r="N1539" s="121"/>
      <c r="O1539" s="120"/>
      <c r="P1539" s="121"/>
      <c r="Q1539" s="120"/>
      <c r="R1539" s="121"/>
      <c r="S1539" s="120"/>
      <c r="T1539" s="121"/>
      <c r="U1539" s="120"/>
      <c r="V1539" s="123"/>
      <c r="W1539" s="125"/>
      <c r="X1539" s="142" t="s">
        <v>4984</v>
      </c>
      <c r="Y1539" s="143"/>
      <c r="Z1539" s="143"/>
      <c r="AA1539" s="143"/>
      <c r="AB1539" s="144"/>
      <c r="AC1539" s="16" t="s">
        <v>21</v>
      </c>
      <c r="AD1539" s="17" t="s">
        <v>4286</v>
      </c>
      <c r="AE1539" s="145" t="s">
        <v>4985</v>
      </c>
      <c r="AF1539" s="146"/>
      <c r="AG1539" s="146"/>
      <c r="AH1539" s="146"/>
      <c r="AI1539" s="147"/>
      <c r="AJ1539" s="148"/>
      <c r="AK1539" s="143"/>
      <c r="AL1539" s="144"/>
      <c r="AM1539" s="22"/>
      <c r="AN1539" s="149" t="s">
        <v>2511</v>
      </c>
      <c r="AO1539" s="144"/>
      <c r="AP1539" s="148">
        <v>41012</v>
      </c>
      <c r="AQ1539" s="144"/>
      <c r="AR1539" s="120"/>
      <c r="AS1539" s="121"/>
      <c r="AT1539" s="120"/>
      <c r="AU1539" s="121"/>
      <c r="AV1539" s="120"/>
      <c r="AW1539" s="121"/>
      <c r="AX1539" s="120"/>
      <c r="AY1539" s="121"/>
      <c r="AZ1539" s="138"/>
    </row>
    <row r="1540" spans="1:52" ht="17.100000000000001" customHeight="1" thickTop="1">
      <c r="A1540" s="109" t="s">
        <v>6506</v>
      </c>
      <c r="B1540" s="28">
        <v>45918</v>
      </c>
      <c r="C1540" s="25">
        <v>1994</v>
      </c>
      <c r="D1540" s="13" t="s">
        <v>2001</v>
      </c>
      <c r="E1540" s="111"/>
      <c r="F1540" s="113" t="s">
        <v>4898</v>
      </c>
      <c r="G1540" s="114"/>
      <c r="H1540" s="115"/>
      <c r="I1540" s="24" t="s">
        <v>2861</v>
      </c>
      <c r="J1540" s="116">
        <v>4.5</v>
      </c>
      <c r="K1540" s="118">
        <v>1555000</v>
      </c>
      <c r="L1540" s="119"/>
      <c r="M1540" s="118">
        <f>K1540*0.1</f>
        <v>155500</v>
      </c>
      <c r="N1540" s="119"/>
      <c r="O1540" s="118">
        <v>0</v>
      </c>
      <c r="P1540" s="119"/>
      <c r="Q1540" s="118">
        <v>7040</v>
      </c>
      <c r="R1540" s="119"/>
      <c r="S1540" s="118">
        <v>22000</v>
      </c>
      <c r="T1540" s="119"/>
      <c r="U1540" s="118">
        <f>SUM(K1540:T1541)</f>
        <v>1739540</v>
      </c>
      <c r="V1540" s="122"/>
      <c r="W1540" s="124"/>
      <c r="X1540" s="126" t="s">
        <v>4986</v>
      </c>
      <c r="Y1540" s="127"/>
      <c r="Z1540" s="127"/>
      <c r="AA1540" s="127"/>
      <c r="AB1540" s="128"/>
      <c r="AC1540" s="15" t="s">
        <v>20</v>
      </c>
      <c r="AD1540" s="129" t="s">
        <v>171</v>
      </c>
      <c r="AE1540" s="130"/>
      <c r="AF1540" s="130"/>
      <c r="AG1540" s="130"/>
      <c r="AH1540" s="130"/>
      <c r="AI1540" s="131"/>
      <c r="AJ1540" s="132"/>
      <c r="AK1540" s="127"/>
      <c r="AL1540" s="128"/>
      <c r="AM1540" s="21" t="s">
        <v>8514</v>
      </c>
      <c r="AN1540" s="133">
        <v>45948</v>
      </c>
      <c r="AO1540" s="134"/>
      <c r="AP1540" s="135">
        <v>1272</v>
      </c>
      <c r="AQ1540" s="136"/>
      <c r="AR1540" s="118">
        <v>1795000</v>
      </c>
      <c r="AS1540" s="119"/>
      <c r="AT1540" s="118">
        <f>AR1540*0.1</f>
        <v>179500</v>
      </c>
      <c r="AU1540" s="119"/>
      <c r="AV1540" s="118">
        <v>7040</v>
      </c>
      <c r="AW1540" s="119"/>
      <c r="AX1540" s="118">
        <f>SUM(AR1540:AW1540)</f>
        <v>1981540</v>
      </c>
      <c r="AY1540" s="119"/>
      <c r="AZ1540" s="137">
        <v>45952</v>
      </c>
    </row>
    <row r="1541" spans="1:52" ht="17.100000000000001" customHeight="1" thickBot="1">
      <c r="A1541" s="110"/>
      <c r="B1541" s="27" t="s">
        <v>2200</v>
      </c>
      <c r="C1541" s="27">
        <v>50048</v>
      </c>
      <c r="D1541" s="14" t="s">
        <v>275</v>
      </c>
      <c r="E1541" s="112"/>
      <c r="F1541" s="139" t="s">
        <v>4987</v>
      </c>
      <c r="G1541" s="140"/>
      <c r="H1541" s="141"/>
      <c r="I1541" s="26">
        <v>11015</v>
      </c>
      <c r="J1541" s="117"/>
      <c r="K1541" s="120"/>
      <c r="L1541" s="121"/>
      <c r="M1541" s="120"/>
      <c r="N1541" s="121"/>
      <c r="O1541" s="120"/>
      <c r="P1541" s="121"/>
      <c r="Q1541" s="120"/>
      <c r="R1541" s="121"/>
      <c r="S1541" s="120"/>
      <c r="T1541" s="121"/>
      <c r="U1541" s="120"/>
      <c r="V1541" s="123"/>
      <c r="W1541" s="125"/>
      <c r="X1541" s="142" t="s">
        <v>2321</v>
      </c>
      <c r="Y1541" s="143"/>
      <c r="Z1541" s="143"/>
      <c r="AA1541" s="143"/>
      <c r="AB1541" s="144"/>
      <c r="AC1541" s="16" t="s">
        <v>21</v>
      </c>
      <c r="AD1541" s="17" t="s">
        <v>4286</v>
      </c>
      <c r="AE1541" s="145" t="s">
        <v>1742</v>
      </c>
      <c r="AF1541" s="146"/>
      <c r="AG1541" s="146"/>
      <c r="AH1541" s="146"/>
      <c r="AI1541" s="147"/>
      <c r="AJ1541" s="148"/>
      <c r="AK1541" s="143"/>
      <c r="AL1541" s="144"/>
      <c r="AM1541" s="22"/>
      <c r="AN1541" s="149" t="s">
        <v>2511</v>
      </c>
      <c r="AO1541" s="144"/>
      <c r="AP1541" s="148">
        <v>60454</v>
      </c>
      <c r="AQ1541" s="144"/>
      <c r="AR1541" s="120"/>
      <c r="AS1541" s="121"/>
      <c r="AT1541" s="120"/>
      <c r="AU1541" s="121"/>
      <c r="AV1541" s="120"/>
      <c r="AW1541" s="121"/>
      <c r="AX1541" s="120"/>
      <c r="AY1541" s="121"/>
      <c r="AZ1541" s="138"/>
    </row>
    <row r="1542" spans="1:52" ht="17.100000000000001" customHeight="1" thickTop="1">
      <c r="A1542" s="109" t="s">
        <v>6507</v>
      </c>
      <c r="B1542" s="28">
        <v>45918</v>
      </c>
      <c r="C1542" s="25">
        <v>1994</v>
      </c>
      <c r="D1542" s="13" t="s">
        <v>2301</v>
      </c>
      <c r="E1542" s="111"/>
      <c r="F1542" s="113" t="s">
        <v>4988</v>
      </c>
      <c r="G1542" s="114"/>
      <c r="H1542" s="115"/>
      <c r="I1542" s="24" t="s">
        <v>2571</v>
      </c>
      <c r="J1542" s="116">
        <v>3.5</v>
      </c>
      <c r="K1542" s="118">
        <v>802000</v>
      </c>
      <c r="L1542" s="119"/>
      <c r="M1542" s="118">
        <f>K1542*0.1</f>
        <v>80200</v>
      </c>
      <c r="N1542" s="119"/>
      <c r="O1542" s="118">
        <v>0</v>
      </c>
      <c r="P1542" s="119"/>
      <c r="Q1542" s="118">
        <v>9310</v>
      </c>
      <c r="R1542" s="119"/>
      <c r="S1542" s="118">
        <v>22000</v>
      </c>
      <c r="T1542" s="119"/>
      <c r="U1542" s="118">
        <f>SUM(K1542:T1543)</f>
        <v>913510</v>
      </c>
      <c r="V1542" s="122"/>
      <c r="W1542" s="124"/>
      <c r="X1542" s="126" t="s">
        <v>4989</v>
      </c>
      <c r="Y1542" s="127"/>
      <c r="Z1542" s="127"/>
      <c r="AA1542" s="127"/>
      <c r="AB1542" s="128"/>
      <c r="AC1542" s="15" t="s">
        <v>20</v>
      </c>
      <c r="AD1542" s="129" t="s">
        <v>1633</v>
      </c>
      <c r="AE1542" s="130"/>
      <c r="AF1542" s="130"/>
      <c r="AG1542" s="130"/>
      <c r="AH1542" s="130"/>
      <c r="AI1542" s="131"/>
      <c r="AJ1542" s="132"/>
      <c r="AK1542" s="127"/>
      <c r="AL1542" s="128"/>
      <c r="AM1542" s="21"/>
      <c r="AN1542" s="133">
        <v>46050</v>
      </c>
      <c r="AO1542" s="134"/>
      <c r="AP1542" s="135">
        <v>1002</v>
      </c>
      <c r="AQ1542" s="136"/>
      <c r="AR1542" s="118">
        <v>750000</v>
      </c>
      <c r="AS1542" s="119"/>
      <c r="AT1542" s="118">
        <f>AR1542*0.1</f>
        <v>75000</v>
      </c>
      <c r="AU1542" s="119"/>
      <c r="AV1542" s="118">
        <v>9310</v>
      </c>
      <c r="AW1542" s="119"/>
      <c r="AX1542" s="118">
        <f>SUM(AR1542:AW1542)</f>
        <v>834310</v>
      </c>
      <c r="AY1542" s="119"/>
      <c r="AZ1542" s="137">
        <v>46055</v>
      </c>
    </row>
    <row r="1543" spans="1:52" ht="17.100000000000001" customHeight="1" thickBot="1">
      <c r="A1543" s="110"/>
      <c r="B1543" s="27" t="s">
        <v>2200</v>
      </c>
      <c r="C1543" s="27">
        <v>50149</v>
      </c>
      <c r="D1543" s="14" t="s">
        <v>2040</v>
      </c>
      <c r="E1543" s="112"/>
      <c r="F1543" s="139" t="s">
        <v>4990</v>
      </c>
      <c r="G1543" s="140"/>
      <c r="H1543" s="141"/>
      <c r="I1543" s="26">
        <v>61909</v>
      </c>
      <c r="J1543" s="117"/>
      <c r="K1543" s="120"/>
      <c r="L1543" s="121"/>
      <c r="M1543" s="120"/>
      <c r="N1543" s="121"/>
      <c r="O1543" s="120"/>
      <c r="P1543" s="121"/>
      <c r="Q1543" s="120"/>
      <c r="R1543" s="121"/>
      <c r="S1543" s="120"/>
      <c r="T1543" s="121"/>
      <c r="U1543" s="120"/>
      <c r="V1543" s="123"/>
      <c r="W1543" s="125"/>
      <c r="X1543" s="142" t="s">
        <v>4991</v>
      </c>
      <c r="Y1543" s="143"/>
      <c r="Z1543" s="143"/>
      <c r="AA1543" s="143"/>
      <c r="AB1543" s="144"/>
      <c r="AC1543" s="16" t="s">
        <v>21</v>
      </c>
      <c r="AD1543" s="17" t="s">
        <v>4286</v>
      </c>
      <c r="AE1543" s="145" t="s">
        <v>4992</v>
      </c>
      <c r="AF1543" s="146"/>
      <c r="AG1543" s="146"/>
      <c r="AH1543" s="146"/>
      <c r="AI1543" s="147"/>
      <c r="AJ1543" s="148"/>
      <c r="AK1543" s="143"/>
      <c r="AL1543" s="144"/>
      <c r="AM1543" s="22"/>
      <c r="AN1543" s="149" t="s">
        <v>2794</v>
      </c>
      <c r="AO1543" s="144"/>
      <c r="AP1543" s="148">
        <v>2048</v>
      </c>
      <c r="AQ1543" s="144"/>
      <c r="AR1543" s="120"/>
      <c r="AS1543" s="121"/>
      <c r="AT1543" s="120"/>
      <c r="AU1543" s="121"/>
      <c r="AV1543" s="120"/>
      <c r="AW1543" s="121"/>
      <c r="AX1543" s="120"/>
      <c r="AY1543" s="121"/>
      <c r="AZ1543" s="138"/>
    </row>
    <row r="1544" spans="1:52" ht="17.100000000000001" customHeight="1" thickTop="1">
      <c r="A1544" s="109" t="s">
        <v>6508</v>
      </c>
      <c r="B1544" s="28">
        <v>45918</v>
      </c>
      <c r="C1544" s="25">
        <v>1533</v>
      </c>
      <c r="D1544" s="13" t="s">
        <v>4121</v>
      </c>
      <c r="E1544" s="111"/>
      <c r="F1544" s="113" t="s">
        <v>4993</v>
      </c>
      <c r="G1544" s="114"/>
      <c r="H1544" s="115"/>
      <c r="I1544" s="24" t="s">
        <v>3399</v>
      </c>
      <c r="J1544" s="116">
        <v>5</v>
      </c>
      <c r="K1544" s="118">
        <v>2700000</v>
      </c>
      <c r="L1544" s="119"/>
      <c r="M1544" s="118">
        <f>K1544*0.1</f>
        <v>270000</v>
      </c>
      <c r="N1544" s="119"/>
      <c r="O1544" s="118">
        <f>17200+1720</f>
        <v>18920</v>
      </c>
      <c r="P1544" s="119"/>
      <c r="Q1544" s="118">
        <v>11740</v>
      </c>
      <c r="R1544" s="119"/>
      <c r="S1544" s="118">
        <v>16500</v>
      </c>
      <c r="T1544" s="119"/>
      <c r="U1544" s="118">
        <f>SUM(K1544:T1545)</f>
        <v>3017160</v>
      </c>
      <c r="V1544" s="122"/>
      <c r="W1544" s="124"/>
      <c r="X1544" s="126" t="s">
        <v>4994</v>
      </c>
      <c r="Y1544" s="127"/>
      <c r="Z1544" s="127"/>
      <c r="AA1544" s="127"/>
      <c r="AB1544" s="128"/>
      <c r="AC1544" s="15" t="s">
        <v>20</v>
      </c>
      <c r="AD1544" s="129" t="s">
        <v>1633</v>
      </c>
      <c r="AE1544" s="130"/>
      <c r="AF1544" s="130"/>
      <c r="AG1544" s="130"/>
      <c r="AH1544" s="130"/>
      <c r="AI1544" s="131"/>
      <c r="AJ1544" s="132"/>
      <c r="AK1544" s="127"/>
      <c r="AL1544" s="128"/>
      <c r="AM1544" s="21"/>
      <c r="AN1544" s="133"/>
      <c r="AO1544" s="134"/>
      <c r="AP1544" s="135"/>
      <c r="AQ1544" s="136"/>
      <c r="AR1544" s="118"/>
      <c r="AS1544" s="119"/>
      <c r="AT1544" s="118">
        <f>AR1544*0.1</f>
        <v>0</v>
      </c>
      <c r="AU1544" s="119"/>
      <c r="AV1544" s="118"/>
      <c r="AW1544" s="119"/>
      <c r="AX1544" s="118">
        <f>SUM(AR1544:AW1544)</f>
        <v>0</v>
      </c>
      <c r="AY1544" s="119"/>
      <c r="AZ1544" s="137"/>
    </row>
    <row r="1545" spans="1:52" ht="17.100000000000001" customHeight="1" thickBot="1">
      <c r="A1545" s="110"/>
      <c r="B1545" s="27" t="s">
        <v>1600</v>
      </c>
      <c r="C1545" s="27">
        <v>70323</v>
      </c>
      <c r="D1545" s="14" t="s">
        <v>133</v>
      </c>
      <c r="E1545" s="112"/>
      <c r="F1545" s="139" t="s">
        <v>4995</v>
      </c>
      <c r="G1545" s="140"/>
      <c r="H1545" s="141"/>
      <c r="I1545" s="26">
        <v>12828</v>
      </c>
      <c r="J1545" s="117"/>
      <c r="K1545" s="120"/>
      <c r="L1545" s="121"/>
      <c r="M1545" s="120"/>
      <c r="N1545" s="121"/>
      <c r="O1545" s="120"/>
      <c r="P1545" s="121"/>
      <c r="Q1545" s="120"/>
      <c r="R1545" s="121"/>
      <c r="S1545" s="120"/>
      <c r="T1545" s="121"/>
      <c r="U1545" s="120"/>
      <c r="V1545" s="123"/>
      <c r="W1545" s="125"/>
      <c r="X1545" s="142" t="s">
        <v>4996</v>
      </c>
      <c r="Y1545" s="143"/>
      <c r="Z1545" s="143"/>
      <c r="AA1545" s="143"/>
      <c r="AB1545" s="144"/>
      <c r="AC1545" s="16" t="s">
        <v>21</v>
      </c>
      <c r="AD1545" s="17" t="s">
        <v>4286</v>
      </c>
      <c r="AE1545" s="145" t="s">
        <v>1633</v>
      </c>
      <c r="AF1545" s="146"/>
      <c r="AG1545" s="146"/>
      <c r="AH1545" s="146"/>
      <c r="AI1545" s="147"/>
      <c r="AJ1545" s="148"/>
      <c r="AK1545" s="143"/>
      <c r="AL1545" s="144"/>
      <c r="AM1545" s="22" t="s">
        <v>3483</v>
      </c>
      <c r="AN1545" s="149"/>
      <c r="AO1545" s="144"/>
      <c r="AP1545" s="148"/>
      <c r="AQ1545" s="144"/>
      <c r="AR1545" s="120"/>
      <c r="AS1545" s="121"/>
      <c r="AT1545" s="120"/>
      <c r="AU1545" s="121"/>
      <c r="AV1545" s="120"/>
      <c r="AW1545" s="121"/>
      <c r="AX1545" s="120"/>
      <c r="AY1545" s="121"/>
      <c r="AZ1545" s="138"/>
    </row>
    <row r="1546" spans="1:52" ht="17.100000000000001" customHeight="1" thickTop="1">
      <c r="A1546" s="109" t="s">
        <v>6509</v>
      </c>
      <c r="B1546" s="28">
        <v>45918</v>
      </c>
      <c r="C1546" s="25">
        <v>1298</v>
      </c>
      <c r="D1546" s="13" t="s">
        <v>2681</v>
      </c>
      <c r="E1546" s="111"/>
      <c r="F1546" s="113" t="s">
        <v>4997</v>
      </c>
      <c r="G1546" s="114"/>
      <c r="H1546" s="115"/>
      <c r="I1546" s="24" t="s">
        <v>2064</v>
      </c>
      <c r="J1546" s="116">
        <v>4.5</v>
      </c>
      <c r="K1546" s="118">
        <v>1910000</v>
      </c>
      <c r="L1546" s="119"/>
      <c r="M1546" s="118">
        <f>K1546*0.1</f>
        <v>191000</v>
      </c>
      <c r="N1546" s="119"/>
      <c r="O1546" s="118">
        <f>21700+2170</f>
        <v>23870</v>
      </c>
      <c r="P1546" s="119"/>
      <c r="Q1546" s="118">
        <v>17060</v>
      </c>
      <c r="R1546" s="119"/>
      <c r="S1546" s="118">
        <v>16500</v>
      </c>
      <c r="T1546" s="119"/>
      <c r="U1546" s="118">
        <f>SUM(K1546:T1547)</f>
        <v>2158430</v>
      </c>
      <c r="V1546" s="122"/>
      <c r="W1546" s="124"/>
      <c r="X1546" s="126" t="s">
        <v>4998</v>
      </c>
      <c r="Y1546" s="127"/>
      <c r="Z1546" s="127"/>
      <c r="AA1546" s="127"/>
      <c r="AB1546" s="128"/>
      <c r="AC1546" s="15" t="s">
        <v>20</v>
      </c>
      <c r="AD1546" s="129" t="s">
        <v>1565</v>
      </c>
      <c r="AE1546" s="130"/>
      <c r="AF1546" s="130"/>
      <c r="AG1546" s="130"/>
      <c r="AH1546" s="130"/>
      <c r="AI1546" s="131"/>
      <c r="AJ1546" s="132"/>
      <c r="AK1546" s="127"/>
      <c r="AL1546" s="128"/>
      <c r="AM1546" s="21"/>
      <c r="AN1546" s="133">
        <v>45955</v>
      </c>
      <c r="AO1546" s="134"/>
      <c r="AP1546" s="135">
        <v>1273</v>
      </c>
      <c r="AQ1546" s="136"/>
      <c r="AR1546" s="118">
        <v>1980000</v>
      </c>
      <c r="AS1546" s="119"/>
      <c r="AT1546" s="118">
        <f>AR1546*0.1</f>
        <v>198000</v>
      </c>
      <c r="AU1546" s="119"/>
      <c r="AV1546" s="118">
        <v>17060</v>
      </c>
      <c r="AW1546" s="119"/>
      <c r="AX1546" s="118">
        <f>SUM(AR1546:AW1546)</f>
        <v>2195060</v>
      </c>
      <c r="AY1546" s="119"/>
      <c r="AZ1546" s="137">
        <v>45965</v>
      </c>
    </row>
    <row r="1547" spans="1:52" ht="17.100000000000001" customHeight="1" thickBot="1">
      <c r="A1547" s="110"/>
      <c r="B1547" s="27" t="s">
        <v>1747</v>
      </c>
      <c r="C1547" s="27">
        <v>27</v>
      </c>
      <c r="D1547" s="14" t="s">
        <v>904</v>
      </c>
      <c r="E1547" s="112"/>
      <c r="F1547" s="139" t="s">
        <v>4999</v>
      </c>
      <c r="G1547" s="140"/>
      <c r="H1547" s="141"/>
      <c r="I1547" s="26">
        <v>39193</v>
      </c>
      <c r="J1547" s="117"/>
      <c r="K1547" s="120"/>
      <c r="L1547" s="121"/>
      <c r="M1547" s="120"/>
      <c r="N1547" s="121"/>
      <c r="O1547" s="120"/>
      <c r="P1547" s="121"/>
      <c r="Q1547" s="120"/>
      <c r="R1547" s="121"/>
      <c r="S1547" s="120"/>
      <c r="T1547" s="121"/>
      <c r="U1547" s="120"/>
      <c r="V1547" s="123"/>
      <c r="W1547" s="125"/>
      <c r="X1547" s="142" t="s">
        <v>5000</v>
      </c>
      <c r="Y1547" s="143"/>
      <c r="Z1547" s="143"/>
      <c r="AA1547" s="143"/>
      <c r="AB1547" s="144"/>
      <c r="AC1547" s="16" t="s">
        <v>21</v>
      </c>
      <c r="AD1547" s="17" t="s">
        <v>5001</v>
      </c>
      <c r="AE1547" s="145" t="s">
        <v>1614</v>
      </c>
      <c r="AF1547" s="146"/>
      <c r="AG1547" s="146"/>
      <c r="AH1547" s="146"/>
      <c r="AI1547" s="147"/>
      <c r="AJ1547" s="148"/>
      <c r="AK1547" s="143"/>
      <c r="AL1547" s="144"/>
      <c r="AM1547" s="22" t="s">
        <v>3483</v>
      </c>
      <c r="AN1547" s="149" t="s">
        <v>6748</v>
      </c>
      <c r="AO1547" s="144"/>
      <c r="AP1547" s="148">
        <v>80027</v>
      </c>
      <c r="AQ1547" s="144"/>
      <c r="AR1547" s="120"/>
      <c r="AS1547" s="121"/>
      <c r="AT1547" s="120"/>
      <c r="AU1547" s="121"/>
      <c r="AV1547" s="120"/>
      <c r="AW1547" s="121"/>
      <c r="AX1547" s="120"/>
      <c r="AY1547" s="121"/>
      <c r="AZ1547" s="138"/>
    </row>
    <row r="1548" spans="1:52" ht="17.100000000000001" customHeight="1" thickTop="1">
      <c r="A1548" s="109" t="s">
        <v>6510</v>
      </c>
      <c r="B1548" s="28">
        <v>45918</v>
      </c>
      <c r="C1548" s="25">
        <v>1298</v>
      </c>
      <c r="D1548" s="13" t="s">
        <v>2359</v>
      </c>
      <c r="E1548" s="111"/>
      <c r="F1548" s="113" t="s">
        <v>5002</v>
      </c>
      <c r="G1548" s="114"/>
      <c r="H1548" s="115"/>
      <c r="I1548" s="24"/>
      <c r="J1548" s="116">
        <v>4</v>
      </c>
      <c r="K1548" s="118">
        <v>1505000</v>
      </c>
      <c r="L1548" s="119"/>
      <c r="M1548" s="118">
        <f>K1548*0.1</f>
        <v>150500</v>
      </c>
      <c r="N1548" s="119"/>
      <c r="O1548" s="118">
        <v>0</v>
      </c>
      <c r="P1548" s="119"/>
      <c r="Q1548" s="118">
        <v>15180</v>
      </c>
      <c r="R1548" s="119"/>
      <c r="S1548" s="118">
        <v>16500</v>
      </c>
      <c r="T1548" s="119"/>
      <c r="U1548" s="118">
        <f>SUM(K1548:T1549)</f>
        <v>1687180</v>
      </c>
      <c r="V1548" s="122"/>
      <c r="W1548" s="124"/>
      <c r="X1548" s="126" t="s">
        <v>5003</v>
      </c>
      <c r="Y1548" s="127"/>
      <c r="Z1548" s="127"/>
      <c r="AA1548" s="127"/>
      <c r="AB1548" s="128"/>
      <c r="AC1548" s="15" t="s">
        <v>20</v>
      </c>
      <c r="AD1548" s="129" t="s">
        <v>3412</v>
      </c>
      <c r="AE1548" s="130"/>
      <c r="AF1548" s="130"/>
      <c r="AG1548" s="130"/>
      <c r="AH1548" s="130"/>
      <c r="AI1548" s="131"/>
      <c r="AJ1548" s="132"/>
      <c r="AK1548" s="127"/>
      <c r="AL1548" s="128"/>
      <c r="AM1548" s="21"/>
      <c r="AN1548" s="133">
        <v>45948</v>
      </c>
      <c r="AO1548" s="134"/>
      <c r="AP1548" s="135">
        <v>1272</v>
      </c>
      <c r="AQ1548" s="136"/>
      <c r="AR1548" s="118">
        <v>1610000</v>
      </c>
      <c r="AS1548" s="119"/>
      <c r="AT1548" s="118">
        <f>AR1548*0.1</f>
        <v>161000</v>
      </c>
      <c r="AU1548" s="119"/>
      <c r="AV1548" s="118">
        <v>15180</v>
      </c>
      <c r="AW1548" s="119"/>
      <c r="AX1548" s="118">
        <f>SUM(AR1548:AW1548)</f>
        <v>1786180</v>
      </c>
      <c r="AY1548" s="119"/>
      <c r="AZ1548" s="137">
        <v>45951</v>
      </c>
    </row>
    <row r="1549" spans="1:52" ht="17.100000000000001" customHeight="1" thickBot="1">
      <c r="A1549" s="110"/>
      <c r="B1549" s="27" t="s">
        <v>1747</v>
      </c>
      <c r="C1549" s="27">
        <v>351</v>
      </c>
      <c r="D1549" s="14" t="s">
        <v>1576</v>
      </c>
      <c r="E1549" s="112"/>
      <c r="F1549" s="139" t="s">
        <v>5004</v>
      </c>
      <c r="G1549" s="140"/>
      <c r="H1549" s="141"/>
      <c r="I1549" s="26">
        <v>50584</v>
      </c>
      <c r="J1549" s="117"/>
      <c r="K1549" s="120"/>
      <c r="L1549" s="121"/>
      <c r="M1549" s="120"/>
      <c r="N1549" s="121"/>
      <c r="O1549" s="120"/>
      <c r="P1549" s="121"/>
      <c r="Q1549" s="120"/>
      <c r="R1549" s="121"/>
      <c r="S1549" s="120"/>
      <c r="T1549" s="121"/>
      <c r="U1549" s="120"/>
      <c r="V1549" s="123"/>
      <c r="W1549" s="125"/>
      <c r="X1549" s="142" t="s">
        <v>5005</v>
      </c>
      <c r="Y1549" s="143"/>
      <c r="Z1549" s="143"/>
      <c r="AA1549" s="143"/>
      <c r="AB1549" s="144"/>
      <c r="AC1549" s="16" t="s">
        <v>21</v>
      </c>
      <c r="AD1549" s="17" t="s">
        <v>2148</v>
      </c>
      <c r="AE1549" s="145" t="s">
        <v>1614</v>
      </c>
      <c r="AF1549" s="146"/>
      <c r="AG1549" s="146"/>
      <c r="AH1549" s="146"/>
      <c r="AI1549" s="147"/>
      <c r="AJ1549" s="148"/>
      <c r="AK1549" s="143"/>
      <c r="AL1549" s="144"/>
      <c r="AM1549" s="22"/>
      <c r="AN1549" s="149" t="s">
        <v>2511</v>
      </c>
      <c r="AO1549" s="144"/>
      <c r="AP1549" s="148">
        <v>80012</v>
      </c>
      <c r="AQ1549" s="144"/>
      <c r="AR1549" s="120"/>
      <c r="AS1549" s="121"/>
      <c r="AT1549" s="120"/>
      <c r="AU1549" s="121"/>
      <c r="AV1549" s="120"/>
      <c r="AW1549" s="121"/>
      <c r="AX1549" s="120"/>
      <c r="AY1549" s="121"/>
      <c r="AZ1549" s="138"/>
    </row>
    <row r="1550" spans="1:52" ht="17.100000000000001" customHeight="1" thickTop="1">
      <c r="A1550" s="109" t="s">
        <v>6511</v>
      </c>
      <c r="B1550" s="28">
        <v>45918</v>
      </c>
      <c r="C1550" s="25">
        <v>1298</v>
      </c>
      <c r="D1550" s="13" t="s">
        <v>2606</v>
      </c>
      <c r="E1550" s="111"/>
      <c r="F1550" s="113" t="s">
        <v>5006</v>
      </c>
      <c r="G1550" s="114"/>
      <c r="H1550" s="115"/>
      <c r="I1550" s="24" t="s">
        <v>4096</v>
      </c>
      <c r="J1550" s="116">
        <v>4.5</v>
      </c>
      <c r="K1550" s="118">
        <v>1765000</v>
      </c>
      <c r="L1550" s="119"/>
      <c r="M1550" s="118">
        <f>K1550*0.1</f>
        <v>176500</v>
      </c>
      <c r="N1550" s="119"/>
      <c r="O1550" s="118">
        <f>15200+1520</f>
        <v>16720</v>
      </c>
      <c r="P1550" s="119"/>
      <c r="Q1550" s="118">
        <v>20980</v>
      </c>
      <c r="R1550" s="119"/>
      <c r="S1550" s="118">
        <v>16500</v>
      </c>
      <c r="T1550" s="119"/>
      <c r="U1550" s="118">
        <f>SUM(K1550:T1551)</f>
        <v>1995700</v>
      </c>
      <c r="V1550" s="122"/>
      <c r="W1550" s="124"/>
      <c r="X1550" s="126" t="s">
        <v>5007</v>
      </c>
      <c r="Y1550" s="127"/>
      <c r="Z1550" s="127"/>
      <c r="AA1550" s="127"/>
      <c r="AB1550" s="128"/>
      <c r="AC1550" s="15" t="s">
        <v>20</v>
      </c>
      <c r="AD1550" s="129" t="s">
        <v>2587</v>
      </c>
      <c r="AE1550" s="130"/>
      <c r="AF1550" s="130"/>
      <c r="AG1550" s="130"/>
      <c r="AH1550" s="130"/>
      <c r="AI1550" s="131"/>
      <c r="AJ1550" s="132"/>
      <c r="AK1550" s="127"/>
      <c r="AL1550" s="128"/>
      <c r="AM1550" s="21"/>
      <c r="AN1550" s="133">
        <v>45931</v>
      </c>
      <c r="AO1550" s="134"/>
      <c r="AP1550" s="135">
        <v>986</v>
      </c>
      <c r="AQ1550" s="136"/>
      <c r="AR1550" s="118">
        <v>1870000</v>
      </c>
      <c r="AS1550" s="119"/>
      <c r="AT1550" s="118">
        <f>AR1550*0.1</f>
        <v>187000</v>
      </c>
      <c r="AU1550" s="119"/>
      <c r="AV1550" s="118">
        <v>20980</v>
      </c>
      <c r="AW1550" s="119"/>
      <c r="AX1550" s="118">
        <f>SUM(AR1550:AW1550)</f>
        <v>2077980</v>
      </c>
      <c r="AY1550" s="119"/>
      <c r="AZ1550" s="137">
        <v>45937</v>
      </c>
    </row>
    <row r="1551" spans="1:52" ht="17.100000000000001" customHeight="1" thickBot="1">
      <c r="A1551" s="110"/>
      <c r="B1551" s="27" t="s">
        <v>1747</v>
      </c>
      <c r="C1551" s="27">
        <v>513</v>
      </c>
      <c r="D1551" s="14" t="s">
        <v>1720</v>
      </c>
      <c r="E1551" s="112"/>
      <c r="F1551" s="139" t="s">
        <v>5008</v>
      </c>
      <c r="G1551" s="140"/>
      <c r="H1551" s="141"/>
      <c r="I1551" s="26">
        <v>55359</v>
      </c>
      <c r="J1551" s="117"/>
      <c r="K1551" s="120"/>
      <c r="L1551" s="121"/>
      <c r="M1551" s="120"/>
      <c r="N1551" s="121"/>
      <c r="O1551" s="120"/>
      <c r="P1551" s="121"/>
      <c r="Q1551" s="120"/>
      <c r="R1551" s="121"/>
      <c r="S1551" s="120"/>
      <c r="T1551" s="121"/>
      <c r="U1551" s="120"/>
      <c r="V1551" s="123"/>
      <c r="W1551" s="125"/>
      <c r="X1551" s="142" t="s">
        <v>5009</v>
      </c>
      <c r="Y1551" s="143"/>
      <c r="Z1551" s="143"/>
      <c r="AA1551" s="143"/>
      <c r="AB1551" s="144"/>
      <c r="AC1551" s="16" t="s">
        <v>21</v>
      </c>
      <c r="AD1551" s="17" t="s">
        <v>2098</v>
      </c>
      <c r="AE1551" s="145" t="s">
        <v>1742</v>
      </c>
      <c r="AF1551" s="146"/>
      <c r="AG1551" s="146"/>
      <c r="AH1551" s="146"/>
      <c r="AI1551" s="147"/>
      <c r="AJ1551" s="148"/>
      <c r="AK1551" s="143"/>
      <c r="AL1551" s="144"/>
      <c r="AM1551" s="22"/>
      <c r="AN1551" s="149" t="s">
        <v>2794</v>
      </c>
      <c r="AO1551" s="144"/>
      <c r="AP1551" s="148">
        <v>6019</v>
      </c>
      <c r="AQ1551" s="144"/>
      <c r="AR1551" s="120"/>
      <c r="AS1551" s="121"/>
      <c r="AT1551" s="120"/>
      <c r="AU1551" s="121"/>
      <c r="AV1551" s="120"/>
      <c r="AW1551" s="121"/>
      <c r="AX1551" s="120"/>
      <c r="AY1551" s="121"/>
      <c r="AZ1551" s="138"/>
    </row>
    <row r="1552" spans="1:52" ht="17.100000000000001" customHeight="1" thickTop="1">
      <c r="A1552" s="109" t="s">
        <v>6512</v>
      </c>
      <c r="B1552" s="28">
        <v>45918</v>
      </c>
      <c r="C1552" s="25">
        <v>2126</v>
      </c>
      <c r="D1552" s="13" t="s">
        <v>1623</v>
      </c>
      <c r="E1552" s="111"/>
      <c r="F1552" s="113" t="s">
        <v>5010</v>
      </c>
      <c r="G1552" s="114"/>
      <c r="H1552" s="115"/>
      <c r="I1552" s="24"/>
      <c r="J1552" s="116">
        <v>4</v>
      </c>
      <c r="K1552" s="118">
        <v>405000</v>
      </c>
      <c r="L1552" s="119"/>
      <c r="M1552" s="118">
        <f>K1552*0.1</f>
        <v>40500</v>
      </c>
      <c r="N1552" s="119"/>
      <c r="O1552" s="118">
        <v>0</v>
      </c>
      <c r="P1552" s="119"/>
      <c r="Q1552" s="118">
        <v>9130</v>
      </c>
      <c r="R1552" s="119"/>
      <c r="S1552" s="118">
        <v>13750</v>
      </c>
      <c r="T1552" s="119"/>
      <c r="U1552" s="118">
        <f>SUM(K1552:T1553)</f>
        <v>468380</v>
      </c>
      <c r="V1552" s="122"/>
      <c r="W1552" s="124"/>
      <c r="X1552" s="126" t="s">
        <v>5011</v>
      </c>
      <c r="Y1552" s="127"/>
      <c r="Z1552" s="127"/>
      <c r="AA1552" s="127"/>
      <c r="AB1552" s="128"/>
      <c r="AC1552" s="15" t="s">
        <v>20</v>
      </c>
      <c r="AD1552" s="129" t="s">
        <v>5012</v>
      </c>
      <c r="AE1552" s="130"/>
      <c r="AF1552" s="130"/>
      <c r="AG1552" s="130"/>
      <c r="AH1552" s="130"/>
      <c r="AI1552" s="131"/>
      <c r="AJ1552" s="132"/>
      <c r="AK1552" s="127"/>
      <c r="AL1552" s="128"/>
      <c r="AM1552" s="21"/>
      <c r="AN1552" s="133">
        <v>45948</v>
      </c>
      <c r="AO1552" s="134"/>
      <c r="AP1552" s="135">
        <v>1272</v>
      </c>
      <c r="AQ1552" s="136"/>
      <c r="AR1552" s="118">
        <v>480000</v>
      </c>
      <c r="AS1552" s="119"/>
      <c r="AT1552" s="118">
        <f>AR1552*0.1</f>
        <v>48000</v>
      </c>
      <c r="AU1552" s="119"/>
      <c r="AV1552" s="118">
        <v>9130</v>
      </c>
      <c r="AW1552" s="119"/>
      <c r="AX1552" s="118">
        <f>SUM(AR1552:AW1552)</f>
        <v>537130</v>
      </c>
      <c r="AY1552" s="119"/>
      <c r="AZ1552" s="137">
        <v>45958</v>
      </c>
    </row>
    <row r="1553" spans="1:52" ht="17.100000000000001" customHeight="1" thickBot="1">
      <c r="A1553" s="110"/>
      <c r="B1553" s="27" t="s">
        <v>3281</v>
      </c>
      <c r="C1553" s="27">
        <v>56</v>
      </c>
      <c r="D1553" s="14" t="s">
        <v>1576</v>
      </c>
      <c r="E1553" s="112"/>
      <c r="F1553" s="139" t="s">
        <v>5013</v>
      </c>
      <c r="G1553" s="140"/>
      <c r="H1553" s="141"/>
      <c r="I1553" s="26">
        <v>43352</v>
      </c>
      <c r="J1553" s="117"/>
      <c r="K1553" s="120"/>
      <c r="L1553" s="121"/>
      <c r="M1553" s="120"/>
      <c r="N1553" s="121"/>
      <c r="O1553" s="120"/>
      <c r="P1553" s="121"/>
      <c r="Q1553" s="120"/>
      <c r="R1553" s="121"/>
      <c r="S1553" s="120"/>
      <c r="T1553" s="121"/>
      <c r="U1553" s="120"/>
      <c r="V1553" s="123"/>
      <c r="W1553" s="125"/>
      <c r="X1553" s="142" t="s">
        <v>5014</v>
      </c>
      <c r="Y1553" s="143"/>
      <c r="Z1553" s="143"/>
      <c r="AA1553" s="143"/>
      <c r="AB1553" s="144"/>
      <c r="AC1553" s="16" t="s">
        <v>21</v>
      </c>
      <c r="AD1553" s="17" t="s">
        <v>4286</v>
      </c>
      <c r="AE1553" s="145" t="s">
        <v>5015</v>
      </c>
      <c r="AF1553" s="146"/>
      <c r="AG1553" s="146"/>
      <c r="AH1553" s="146"/>
      <c r="AI1553" s="147"/>
      <c r="AJ1553" s="148"/>
      <c r="AK1553" s="143"/>
      <c r="AL1553" s="144"/>
      <c r="AM1553" s="22"/>
      <c r="AN1553" s="149" t="s">
        <v>6748</v>
      </c>
      <c r="AO1553" s="144"/>
      <c r="AP1553" s="148">
        <v>55026</v>
      </c>
      <c r="AQ1553" s="144"/>
      <c r="AR1553" s="120"/>
      <c r="AS1553" s="121"/>
      <c r="AT1553" s="120"/>
      <c r="AU1553" s="121"/>
      <c r="AV1553" s="120"/>
      <c r="AW1553" s="121"/>
      <c r="AX1553" s="120"/>
      <c r="AY1553" s="121"/>
      <c r="AZ1553" s="138"/>
    </row>
    <row r="1554" spans="1:52" ht="17.100000000000001" customHeight="1" thickTop="1">
      <c r="A1554" s="109" t="s">
        <v>6513</v>
      </c>
      <c r="B1554" s="28">
        <v>45918</v>
      </c>
      <c r="C1554" s="25">
        <v>2126</v>
      </c>
      <c r="D1554" s="13" t="s">
        <v>2322</v>
      </c>
      <c r="E1554" s="111"/>
      <c r="F1554" s="113" t="s">
        <v>5016</v>
      </c>
      <c r="G1554" s="114"/>
      <c r="H1554" s="115"/>
      <c r="I1554" s="24" t="s">
        <v>4390</v>
      </c>
      <c r="J1554" s="116">
        <v>4.5</v>
      </c>
      <c r="K1554" s="118">
        <v>557000</v>
      </c>
      <c r="L1554" s="119"/>
      <c r="M1554" s="118">
        <f>K1554*0.1</f>
        <v>55700</v>
      </c>
      <c r="N1554" s="119"/>
      <c r="O1554" s="118">
        <v>0</v>
      </c>
      <c r="P1554" s="119"/>
      <c r="Q1554" s="118">
        <v>9670</v>
      </c>
      <c r="R1554" s="119"/>
      <c r="S1554" s="118">
        <v>13750</v>
      </c>
      <c r="T1554" s="119"/>
      <c r="U1554" s="118">
        <f>SUM(K1554:T1555)</f>
        <v>636120</v>
      </c>
      <c r="V1554" s="122"/>
      <c r="W1554" s="124"/>
      <c r="X1554" s="126" t="s">
        <v>5017</v>
      </c>
      <c r="Y1554" s="127"/>
      <c r="Z1554" s="127"/>
      <c r="AA1554" s="127"/>
      <c r="AB1554" s="128"/>
      <c r="AC1554" s="15" t="s">
        <v>20</v>
      </c>
      <c r="AD1554" s="129"/>
      <c r="AE1554" s="130"/>
      <c r="AF1554" s="130"/>
      <c r="AG1554" s="130"/>
      <c r="AH1554" s="130"/>
      <c r="AI1554" s="131"/>
      <c r="AJ1554" s="132"/>
      <c r="AK1554" s="127"/>
      <c r="AL1554" s="128"/>
      <c r="AM1554" s="21" t="s">
        <v>7353</v>
      </c>
      <c r="AN1554" s="133">
        <v>45934</v>
      </c>
      <c r="AO1554" s="134"/>
      <c r="AP1554" s="135">
        <v>1270</v>
      </c>
      <c r="AQ1554" s="136"/>
      <c r="AR1554" s="118">
        <v>610000</v>
      </c>
      <c r="AS1554" s="119"/>
      <c r="AT1554" s="118">
        <f>AR1554*0.1</f>
        <v>61000</v>
      </c>
      <c r="AU1554" s="119"/>
      <c r="AV1554" s="118">
        <v>9670</v>
      </c>
      <c r="AW1554" s="119"/>
      <c r="AX1554" s="118">
        <f>SUM(AR1554:AW1554)</f>
        <v>680670</v>
      </c>
      <c r="AY1554" s="119"/>
      <c r="AZ1554" s="137">
        <v>45939</v>
      </c>
    </row>
    <row r="1555" spans="1:52" ht="17.100000000000001" customHeight="1" thickBot="1">
      <c r="A1555" s="110"/>
      <c r="B1555" s="27" t="s">
        <v>3281</v>
      </c>
      <c r="C1555" s="27">
        <v>2034</v>
      </c>
      <c r="D1555" s="14" t="s">
        <v>1720</v>
      </c>
      <c r="E1555" s="112"/>
      <c r="F1555" s="139" t="s">
        <v>5018</v>
      </c>
      <c r="G1555" s="140"/>
      <c r="H1555" s="141"/>
      <c r="I1555" s="26">
        <v>42891</v>
      </c>
      <c r="J1555" s="117"/>
      <c r="K1555" s="120"/>
      <c r="L1555" s="121"/>
      <c r="M1555" s="120"/>
      <c r="N1555" s="121"/>
      <c r="O1555" s="120"/>
      <c r="P1555" s="121"/>
      <c r="Q1555" s="120"/>
      <c r="R1555" s="121"/>
      <c r="S1555" s="120"/>
      <c r="T1555" s="121"/>
      <c r="U1555" s="120"/>
      <c r="V1555" s="123"/>
      <c r="W1555" s="125"/>
      <c r="X1555" s="142" t="s">
        <v>5019</v>
      </c>
      <c r="Y1555" s="143"/>
      <c r="Z1555" s="143"/>
      <c r="AA1555" s="143"/>
      <c r="AB1555" s="144"/>
      <c r="AC1555" s="16" t="s">
        <v>21</v>
      </c>
      <c r="AD1555" s="17" t="s">
        <v>4286</v>
      </c>
      <c r="AE1555" s="145" t="s">
        <v>6845</v>
      </c>
      <c r="AF1555" s="146"/>
      <c r="AG1555" s="146"/>
      <c r="AH1555" s="146"/>
      <c r="AI1555" s="147"/>
      <c r="AJ1555" s="148"/>
      <c r="AK1555" s="143"/>
      <c r="AL1555" s="144"/>
      <c r="AM1555" s="22"/>
      <c r="AN1555" s="149" t="s">
        <v>7284</v>
      </c>
      <c r="AO1555" s="144"/>
      <c r="AP1555" s="148">
        <v>60461</v>
      </c>
      <c r="AQ1555" s="144"/>
      <c r="AR1555" s="120"/>
      <c r="AS1555" s="121"/>
      <c r="AT1555" s="120"/>
      <c r="AU1555" s="121"/>
      <c r="AV1555" s="120"/>
      <c r="AW1555" s="121"/>
      <c r="AX1555" s="120"/>
      <c r="AY1555" s="121"/>
      <c r="AZ1555" s="138"/>
    </row>
    <row r="1556" spans="1:52" ht="17.100000000000001" customHeight="1" thickTop="1">
      <c r="A1556" s="109" t="s">
        <v>6514</v>
      </c>
      <c r="B1556" s="28">
        <v>45918</v>
      </c>
      <c r="C1556" s="25">
        <v>2126</v>
      </c>
      <c r="D1556" s="13" t="s">
        <v>2298</v>
      </c>
      <c r="E1556" s="111"/>
      <c r="F1556" s="113" t="s">
        <v>5020</v>
      </c>
      <c r="G1556" s="114"/>
      <c r="H1556" s="115"/>
      <c r="I1556" s="24" t="s">
        <v>2858</v>
      </c>
      <c r="J1556" s="116">
        <v>4.5</v>
      </c>
      <c r="K1556" s="118">
        <v>1001000</v>
      </c>
      <c r="L1556" s="119"/>
      <c r="M1556" s="118">
        <f>K1556*0.1</f>
        <v>100100</v>
      </c>
      <c r="N1556" s="119"/>
      <c r="O1556" s="118">
        <v>0</v>
      </c>
      <c r="P1556" s="119"/>
      <c r="Q1556" s="118">
        <v>6830</v>
      </c>
      <c r="R1556" s="119"/>
      <c r="S1556" s="118">
        <v>13750</v>
      </c>
      <c r="T1556" s="119"/>
      <c r="U1556" s="118">
        <f>SUM(K1556:T1557)</f>
        <v>1121680</v>
      </c>
      <c r="V1556" s="122"/>
      <c r="W1556" s="124"/>
      <c r="X1556" s="126" t="s">
        <v>5021</v>
      </c>
      <c r="Y1556" s="127"/>
      <c r="Z1556" s="127"/>
      <c r="AA1556" s="127"/>
      <c r="AB1556" s="128"/>
      <c r="AC1556" s="15" t="s">
        <v>20</v>
      </c>
      <c r="AD1556" s="129" t="s">
        <v>1670</v>
      </c>
      <c r="AE1556" s="130"/>
      <c r="AF1556" s="130"/>
      <c r="AG1556" s="130"/>
      <c r="AH1556" s="130"/>
      <c r="AI1556" s="131"/>
      <c r="AJ1556" s="132"/>
      <c r="AK1556" s="127"/>
      <c r="AL1556" s="128"/>
      <c r="AM1556" s="21"/>
      <c r="AN1556" s="133">
        <v>45944</v>
      </c>
      <c r="AO1556" s="134"/>
      <c r="AP1556" s="135">
        <v>1913</v>
      </c>
      <c r="AQ1556" s="136"/>
      <c r="AR1556" s="118">
        <v>1001000</v>
      </c>
      <c r="AS1556" s="119"/>
      <c r="AT1556" s="118">
        <f>AR1556*0.1</f>
        <v>100100</v>
      </c>
      <c r="AU1556" s="119"/>
      <c r="AV1556" s="118">
        <v>6830</v>
      </c>
      <c r="AW1556" s="119"/>
      <c r="AX1556" s="118">
        <f>SUM(AR1556:AW1556)</f>
        <v>1107930</v>
      </c>
      <c r="AY1556" s="119"/>
      <c r="AZ1556" s="137">
        <v>45950</v>
      </c>
    </row>
    <row r="1557" spans="1:52" ht="17.100000000000001" customHeight="1" thickBot="1">
      <c r="A1557" s="110"/>
      <c r="B1557" s="27" t="s">
        <v>3281</v>
      </c>
      <c r="C1557" s="27">
        <v>2096</v>
      </c>
      <c r="D1557" s="14" t="s">
        <v>3855</v>
      </c>
      <c r="E1557" s="112"/>
      <c r="F1557" s="139" t="s">
        <v>5022</v>
      </c>
      <c r="G1557" s="140"/>
      <c r="H1557" s="141"/>
      <c r="I1557" s="26">
        <v>46080</v>
      </c>
      <c r="J1557" s="117"/>
      <c r="K1557" s="120"/>
      <c r="L1557" s="121"/>
      <c r="M1557" s="120"/>
      <c r="N1557" s="121"/>
      <c r="O1557" s="120"/>
      <c r="P1557" s="121"/>
      <c r="Q1557" s="120"/>
      <c r="R1557" s="121"/>
      <c r="S1557" s="120"/>
      <c r="T1557" s="121"/>
      <c r="U1557" s="120"/>
      <c r="V1557" s="123"/>
      <c r="W1557" s="125"/>
      <c r="X1557" s="142" t="s">
        <v>5023</v>
      </c>
      <c r="Y1557" s="143"/>
      <c r="Z1557" s="143"/>
      <c r="AA1557" s="143"/>
      <c r="AB1557" s="144"/>
      <c r="AC1557" s="16" t="s">
        <v>21</v>
      </c>
      <c r="AD1557" s="17" t="s">
        <v>4286</v>
      </c>
      <c r="AE1557" s="145" t="s">
        <v>2395</v>
      </c>
      <c r="AF1557" s="146"/>
      <c r="AG1557" s="146"/>
      <c r="AH1557" s="146"/>
      <c r="AI1557" s="147"/>
      <c r="AJ1557" s="148"/>
      <c r="AK1557" s="143"/>
      <c r="AL1557" s="144"/>
      <c r="AM1557" s="22"/>
      <c r="AN1557" s="149" t="s">
        <v>2131</v>
      </c>
      <c r="AO1557" s="144"/>
      <c r="AP1557" s="148">
        <v>3159</v>
      </c>
      <c r="AQ1557" s="144"/>
      <c r="AR1557" s="120"/>
      <c r="AS1557" s="121"/>
      <c r="AT1557" s="120"/>
      <c r="AU1557" s="121"/>
      <c r="AV1557" s="120"/>
      <c r="AW1557" s="121"/>
      <c r="AX1557" s="120"/>
      <c r="AY1557" s="121"/>
      <c r="AZ1557" s="138"/>
    </row>
    <row r="1558" spans="1:52" ht="17.100000000000001" customHeight="1" thickTop="1">
      <c r="A1558" s="109" t="s">
        <v>6515</v>
      </c>
      <c r="B1558" s="28">
        <v>45918</v>
      </c>
      <c r="C1558" s="25">
        <v>2126</v>
      </c>
      <c r="D1558" s="13" t="s">
        <v>1712</v>
      </c>
      <c r="E1558" s="111"/>
      <c r="F1558" s="113" t="s">
        <v>5024</v>
      </c>
      <c r="G1558" s="114"/>
      <c r="H1558" s="115"/>
      <c r="I1558" s="24"/>
      <c r="J1558" s="116">
        <v>4</v>
      </c>
      <c r="K1558" s="118">
        <v>642000</v>
      </c>
      <c r="L1558" s="119"/>
      <c r="M1558" s="118">
        <f>K1558*0.1</f>
        <v>64200</v>
      </c>
      <c r="N1558" s="119"/>
      <c r="O1558" s="118">
        <v>0</v>
      </c>
      <c r="P1558" s="119"/>
      <c r="Q1558" s="118">
        <v>9790</v>
      </c>
      <c r="R1558" s="119"/>
      <c r="S1558" s="118">
        <v>13750</v>
      </c>
      <c r="T1558" s="119"/>
      <c r="U1558" s="118">
        <f>SUM(K1558:T1559)</f>
        <v>729740</v>
      </c>
      <c r="V1558" s="122"/>
      <c r="W1558" s="124"/>
      <c r="X1558" s="126" t="s">
        <v>5025</v>
      </c>
      <c r="Y1558" s="127"/>
      <c r="Z1558" s="127"/>
      <c r="AA1558" s="127"/>
      <c r="AB1558" s="128"/>
      <c r="AC1558" s="15" t="s">
        <v>20</v>
      </c>
      <c r="AD1558" s="129"/>
      <c r="AE1558" s="130"/>
      <c r="AF1558" s="130"/>
      <c r="AG1558" s="130"/>
      <c r="AH1558" s="130"/>
      <c r="AI1558" s="131"/>
      <c r="AJ1558" s="132"/>
      <c r="AK1558" s="127"/>
      <c r="AL1558" s="128"/>
      <c r="AM1558" s="21"/>
      <c r="AN1558" s="133">
        <v>45983</v>
      </c>
      <c r="AO1558" s="134"/>
      <c r="AP1558" s="135">
        <v>1277</v>
      </c>
      <c r="AQ1558" s="136"/>
      <c r="AR1558" s="118">
        <v>695000</v>
      </c>
      <c r="AS1558" s="119"/>
      <c r="AT1558" s="118">
        <f>AR1558*0.1</f>
        <v>69500</v>
      </c>
      <c r="AU1558" s="119"/>
      <c r="AV1558" s="118">
        <v>9790</v>
      </c>
      <c r="AW1558" s="119"/>
      <c r="AX1558" s="118">
        <f>SUM(AR1558:AW1558)</f>
        <v>774290</v>
      </c>
      <c r="AY1558" s="119"/>
      <c r="AZ1558" s="137">
        <v>45987</v>
      </c>
    </row>
    <row r="1559" spans="1:52" ht="17.100000000000001" customHeight="1" thickBot="1">
      <c r="A1559" s="110"/>
      <c r="B1559" s="27" t="s">
        <v>3281</v>
      </c>
      <c r="C1559" s="27">
        <v>2517</v>
      </c>
      <c r="D1559" s="14" t="s">
        <v>275</v>
      </c>
      <c r="E1559" s="112"/>
      <c r="F1559" s="139" t="s">
        <v>5026</v>
      </c>
      <c r="G1559" s="140"/>
      <c r="H1559" s="141"/>
      <c r="I1559" s="26">
        <v>61460</v>
      </c>
      <c r="J1559" s="117"/>
      <c r="K1559" s="120"/>
      <c r="L1559" s="121"/>
      <c r="M1559" s="120"/>
      <c r="N1559" s="121"/>
      <c r="O1559" s="120"/>
      <c r="P1559" s="121"/>
      <c r="Q1559" s="120"/>
      <c r="R1559" s="121"/>
      <c r="S1559" s="120"/>
      <c r="T1559" s="121"/>
      <c r="U1559" s="120"/>
      <c r="V1559" s="123"/>
      <c r="W1559" s="125"/>
      <c r="X1559" s="142" t="s">
        <v>2440</v>
      </c>
      <c r="Y1559" s="143"/>
      <c r="Z1559" s="143"/>
      <c r="AA1559" s="143"/>
      <c r="AB1559" s="144"/>
      <c r="AC1559" s="16" t="s">
        <v>21</v>
      </c>
      <c r="AD1559" s="17" t="s">
        <v>4286</v>
      </c>
      <c r="AE1559" s="145" t="s">
        <v>171</v>
      </c>
      <c r="AF1559" s="146"/>
      <c r="AG1559" s="146"/>
      <c r="AH1559" s="146"/>
      <c r="AI1559" s="147"/>
      <c r="AJ1559" s="148"/>
      <c r="AK1559" s="143"/>
      <c r="AL1559" s="144"/>
      <c r="AM1559" s="22"/>
      <c r="AN1559" s="149" t="s">
        <v>2511</v>
      </c>
      <c r="AO1559" s="144"/>
      <c r="AP1559" s="148">
        <v>60123</v>
      </c>
      <c r="AQ1559" s="144"/>
      <c r="AR1559" s="120"/>
      <c r="AS1559" s="121"/>
      <c r="AT1559" s="120"/>
      <c r="AU1559" s="121"/>
      <c r="AV1559" s="120"/>
      <c r="AW1559" s="121"/>
      <c r="AX1559" s="120"/>
      <c r="AY1559" s="121"/>
      <c r="AZ1559" s="138"/>
    </row>
    <row r="1560" spans="1:52" ht="17.100000000000001" customHeight="1" thickTop="1">
      <c r="A1560" s="151" t="s">
        <v>6516</v>
      </c>
      <c r="B1560" s="28">
        <v>45918</v>
      </c>
      <c r="C1560" s="25">
        <v>2126</v>
      </c>
      <c r="D1560" s="13" t="s">
        <v>2022</v>
      </c>
      <c r="E1560" s="111"/>
      <c r="F1560" s="113" t="s">
        <v>5027</v>
      </c>
      <c r="G1560" s="114"/>
      <c r="H1560" s="115"/>
      <c r="I1560" s="24" t="s">
        <v>5028</v>
      </c>
      <c r="J1560" s="116">
        <v>4</v>
      </c>
      <c r="K1560" s="118">
        <v>764000</v>
      </c>
      <c r="L1560" s="119"/>
      <c r="M1560" s="118">
        <f>K1560*0.1</f>
        <v>76400</v>
      </c>
      <c r="N1560" s="119"/>
      <c r="O1560" s="118">
        <v>0</v>
      </c>
      <c r="P1560" s="119"/>
      <c r="Q1560" s="118">
        <v>8680</v>
      </c>
      <c r="R1560" s="119"/>
      <c r="S1560" s="118">
        <v>13750</v>
      </c>
      <c r="T1560" s="119"/>
      <c r="U1560" s="118">
        <f>SUM(K1560:T1561)</f>
        <v>862830</v>
      </c>
      <c r="V1560" s="122"/>
      <c r="W1560" s="124"/>
      <c r="X1560" s="126" t="s">
        <v>5029</v>
      </c>
      <c r="Y1560" s="127"/>
      <c r="Z1560" s="127"/>
      <c r="AA1560" s="127"/>
      <c r="AB1560" s="128"/>
      <c r="AC1560" s="15" t="s">
        <v>20</v>
      </c>
      <c r="AD1560" s="129" t="s">
        <v>5030</v>
      </c>
      <c r="AE1560" s="130"/>
      <c r="AF1560" s="130"/>
      <c r="AG1560" s="130"/>
      <c r="AH1560" s="130"/>
      <c r="AI1560" s="131"/>
      <c r="AJ1560" s="132" t="s">
        <v>8387</v>
      </c>
      <c r="AK1560" s="127"/>
      <c r="AL1560" s="128"/>
      <c r="AM1560" s="21"/>
      <c r="AN1560" s="133"/>
      <c r="AO1560" s="134"/>
      <c r="AP1560" s="135"/>
      <c r="AQ1560" s="136"/>
      <c r="AR1560" s="118"/>
      <c r="AS1560" s="119"/>
      <c r="AT1560" s="118">
        <f>AR1560*0.1</f>
        <v>0</v>
      </c>
      <c r="AU1560" s="119"/>
      <c r="AV1560" s="118"/>
      <c r="AW1560" s="119"/>
      <c r="AX1560" s="118">
        <f>SUM(AR1560:AW1560)</f>
        <v>0</v>
      </c>
      <c r="AY1560" s="119"/>
      <c r="AZ1560" s="137"/>
    </row>
    <row r="1561" spans="1:52" ht="17.100000000000001" customHeight="1" thickBot="1">
      <c r="A1561" s="152"/>
      <c r="B1561" s="27" t="s">
        <v>3281</v>
      </c>
      <c r="C1561" s="27">
        <v>2521</v>
      </c>
      <c r="D1561" s="14" t="s">
        <v>1720</v>
      </c>
      <c r="E1561" s="112"/>
      <c r="F1561" s="139" t="s">
        <v>5031</v>
      </c>
      <c r="G1561" s="140"/>
      <c r="H1561" s="141"/>
      <c r="I1561" s="26">
        <v>32944</v>
      </c>
      <c r="J1561" s="117"/>
      <c r="K1561" s="120"/>
      <c r="L1561" s="121"/>
      <c r="M1561" s="120"/>
      <c r="N1561" s="121"/>
      <c r="O1561" s="120"/>
      <c r="P1561" s="121"/>
      <c r="Q1561" s="120"/>
      <c r="R1561" s="121"/>
      <c r="S1561" s="120"/>
      <c r="T1561" s="121"/>
      <c r="U1561" s="120"/>
      <c r="V1561" s="123"/>
      <c r="W1561" s="125"/>
      <c r="X1561" s="142" t="s">
        <v>5014</v>
      </c>
      <c r="Y1561" s="143"/>
      <c r="Z1561" s="143"/>
      <c r="AA1561" s="143"/>
      <c r="AB1561" s="144"/>
      <c r="AC1561" s="16" t="s">
        <v>21</v>
      </c>
      <c r="AD1561" s="17" t="s">
        <v>4286</v>
      </c>
      <c r="AE1561" s="145" t="s">
        <v>5015</v>
      </c>
      <c r="AF1561" s="146"/>
      <c r="AG1561" s="146"/>
      <c r="AH1561" s="146"/>
      <c r="AI1561" s="147"/>
      <c r="AJ1561" s="148" t="s">
        <v>8938</v>
      </c>
      <c r="AK1561" s="143"/>
      <c r="AL1561" s="144"/>
      <c r="AM1561" s="22"/>
      <c r="AN1561" s="149"/>
      <c r="AO1561" s="144"/>
      <c r="AP1561" s="148"/>
      <c r="AQ1561" s="144"/>
      <c r="AR1561" s="120"/>
      <c r="AS1561" s="121"/>
      <c r="AT1561" s="120"/>
      <c r="AU1561" s="121"/>
      <c r="AV1561" s="120"/>
      <c r="AW1561" s="121"/>
      <c r="AX1561" s="120"/>
      <c r="AY1561" s="121"/>
      <c r="AZ1561" s="138"/>
    </row>
    <row r="1562" spans="1:52" ht="17.100000000000001" customHeight="1" thickTop="1">
      <c r="A1562" s="109" t="s">
        <v>6517</v>
      </c>
      <c r="B1562" s="28">
        <v>45918</v>
      </c>
      <c r="C1562" s="25">
        <v>2126</v>
      </c>
      <c r="D1562" s="13" t="s">
        <v>2442</v>
      </c>
      <c r="E1562" s="111"/>
      <c r="F1562" s="113" t="s">
        <v>5032</v>
      </c>
      <c r="G1562" s="114"/>
      <c r="H1562" s="115"/>
      <c r="I1562" s="24"/>
      <c r="J1562" s="116">
        <v>4</v>
      </c>
      <c r="K1562" s="118">
        <v>683000</v>
      </c>
      <c r="L1562" s="119"/>
      <c r="M1562" s="118">
        <f>K1562*0.1</f>
        <v>68300</v>
      </c>
      <c r="N1562" s="119"/>
      <c r="O1562" s="118">
        <v>0</v>
      </c>
      <c r="P1562" s="119"/>
      <c r="Q1562" s="118">
        <v>8110</v>
      </c>
      <c r="R1562" s="119"/>
      <c r="S1562" s="118">
        <v>13750</v>
      </c>
      <c r="T1562" s="119"/>
      <c r="U1562" s="118">
        <f>SUM(K1562:T1563)</f>
        <v>773160</v>
      </c>
      <c r="V1562" s="122"/>
      <c r="W1562" s="124"/>
      <c r="X1562" s="126" t="s">
        <v>5033</v>
      </c>
      <c r="Y1562" s="127"/>
      <c r="Z1562" s="127"/>
      <c r="AA1562" s="127"/>
      <c r="AB1562" s="128"/>
      <c r="AC1562" s="15" t="s">
        <v>20</v>
      </c>
      <c r="AD1562" s="129"/>
      <c r="AE1562" s="130"/>
      <c r="AF1562" s="130"/>
      <c r="AG1562" s="130"/>
      <c r="AH1562" s="130"/>
      <c r="AI1562" s="131"/>
      <c r="AJ1562" s="132"/>
      <c r="AK1562" s="127"/>
      <c r="AL1562" s="128"/>
      <c r="AM1562" s="21"/>
      <c r="AN1562" s="133">
        <v>45944</v>
      </c>
      <c r="AO1562" s="134"/>
      <c r="AP1562" s="135">
        <v>1913</v>
      </c>
      <c r="AQ1562" s="136"/>
      <c r="AR1562" s="118">
        <v>683000</v>
      </c>
      <c r="AS1562" s="119"/>
      <c r="AT1562" s="118">
        <f>AR1562*0.1</f>
        <v>68300</v>
      </c>
      <c r="AU1562" s="119"/>
      <c r="AV1562" s="118">
        <v>8110</v>
      </c>
      <c r="AW1562" s="119"/>
      <c r="AX1562" s="118">
        <f>SUM(AR1562:AW1562)</f>
        <v>759410</v>
      </c>
      <c r="AY1562" s="119"/>
      <c r="AZ1562" s="137">
        <v>45950</v>
      </c>
    </row>
    <row r="1563" spans="1:52" ht="17.100000000000001" customHeight="1" thickBot="1">
      <c r="A1563" s="110"/>
      <c r="B1563" s="27" t="s">
        <v>3281</v>
      </c>
      <c r="C1563" s="27">
        <v>2553</v>
      </c>
      <c r="D1563" s="14" t="s">
        <v>1720</v>
      </c>
      <c r="E1563" s="112"/>
      <c r="F1563" s="139" t="s">
        <v>5034</v>
      </c>
      <c r="G1563" s="140"/>
      <c r="H1563" s="141"/>
      <c r="I1563" s="26">
        <v>52752</v>
      </c>
      <c r="J1563" s="117"/>
      <c r="K1563" s="120"/>
      <c r="L1563" s="121"/>
      <c r="M1563" s="120"/>
      <c r="N1563" s="121"/>
      <c r="O1563" s="120"/>
      <c r="P1563" s="121"/>
      <c r="Q1563" s="120"/>
      <c r="R1563" s="121"/>
      <c r="S1563" s="120"/>
      <c r="T1563" s="121"/>
      <c r="U1563" s="120"/>
      <c r="V1563" s="123"/>
      <c r="W1563" s="125"/>
      <c r="X1563" s="142" t="s">
        <v>5035</v>
      </c>
      <c r="Y1563" s="143"/>
      <c r="Z1563" s="143"/>
      <c r="AA1563" s="143"/>
      <c r="AB1563" s="144"/>
      <c r="AC1563" s="16" t="s">
        <v>21</v>
      </c>
      <c r="AD1563" s="17" t="s">
        <v>4286</v>
      </c>
      <c r="AE1563" s="145" t="s">
        <v>5036</v>
      </c>
      <c r="AF1563" s="146"/>
      <c r="AG1563" s="146"/>
      <c r="AH1563" s="146"/>
      <c r="AI1563" s="147"/>
      <c r="AJ1563" s="148"/>
      <c r="AK1563" s="143"/>
      <c r="AL1563" s="144"/>
      <c r="AM1563" s="22"/>
      <c r="AN1563" s="149" t="s">
        <v>2131</v>
      </c>
      <c r="AO1563" s="144"/>
      <c r="AP1563" s="148">
        <v>3143</v>
      </c>
      <c r="AQ1563" s="144"/>
      <c r="AR1563" s="120"/>
      <c r="AS1563" s="121"/>
      <c r="AT1563" s="120"/>
      <c r="AU1563" s="121"/>
      <c r="AV1563" s="120"/>
      <c r="AW1563" s="121"/>
      <c r="AX1563" s="120"/>
      <c r="AY1563" s="121"/>
      <c r="AZ1563" s="138"/>
    </row>
    <row r="1564" spans="1:52" ht="17.100000000000001" customHeight="1" thickTop="1">
      <c r="A1564" s="109" t="s">
        <v>6518</v>
      </c>
      <c r="B1564" s="28">
        <v>45918</v>
      </c>
      <c r="C1564" s="25">
        <v>2126</v>
      </c>
      <c r="D1564" s="13" t="s">
        <v>5037</v>
      </c>
      <c r="E1564" s="111"/>
      <c r="F1564" s="113" t="s">
        <v>5038</v>
      </c>
      <c r="G1564" s="114"/>
      <c r="H1564" s="115"/>
      <c r="I1564" s="24"/>
      <c r="J1564" s="116">
        <v>4</v>
      </c>
      <c r="K1564" s="118">
        <v>282000</v>
      </c>
      <c r="L1564" s="119"/>
      <c r="M1564" s="118">
        <v>0</v>
      </c>
      <c r="N1564" s="119"/>
      <c r="O1564" s="118">
        <v>0</v>
      </c>
      <c r="P1564" s="119"/>
      <c r="Q1564" s="118">
        <v>9880</v>
      </c>
      <c r="R1564" s="119"/>
      <c r="S1564" s="118">
        <v>13750</v>
      </c>
      <c r="T1564" s="119"/>
      <c r="U1564" s="118">
        <f>SUM(K1564:T1565)</f>
        <v>305630</v>
      </c>
      <c r="V1564" s="122"/>
      <c r="W1564" s="124"/>
      <c r="X1564" s="126" t="s">
        <v>5039</v>
      </c>
      <c r="Y1564" s="127"/>
      <c r="Z1564" s="127"/>
      <c r="AA1564" s="127"/>
      <c r="AB1564" s="128"/>
      <c r="AC1564" s="15" t="s">
        <v>20</v>
      </c>
      <c r="AD1564" s="129" t="s">
        <v>5040</v>
      </c>
      <c r="AE1564" s="130"/>
      <c r="AF1564" s="130"/>
      <c r="AG1564" s="130"/>
      <c r="AH1564" s="130"/>
      <c r="AI1564" s="131"/>
      <c r="AJ1564" s="132" t="s">
        <v>8790</v>
      </c>
      <c r="AK1564" s="127"/>
      <c r="AL1564" s="128"/>
      <c r="AM1564" s="21"/>
      <c r="AN1564" s="133">
        <v>45948</v>
      </c>
      <c r="AO1564" s="134"/>
      <c r="AP1564" s="135">
        <v>1272</v>
      </c>
      <c r="AQ1564" s="136"/>
      <c r="AR1564" s="118">
        <v>400000</v>
      </c>
      <c r="AS1564" s="119"/>
      <c r="AT1564" s="118">
        <v>0</v>
      </c>
      <c r="AU1564" s="119"/>
      <c r="AV1564" s="118">
        <v>9880</v>
      </c>
      <c r="AW1564" s="119"/>
      <c r="AX1564" s="118">
        <f>SUM(AR1564:AW1564)</f>
        <v>409880</v>
      </c>
      <c r="AY1564" s="119"/>
      <c r="AZ1564" s="137">
        <v>45951</v>
      </c>
    </row>
    <row r="1565" spans="1:52" ht="17.100000000000001" customHeight="1" thickBot="1">
      <c r="A1565" s="110"/>
      <c r="B1565" s="27" t="s">
        <v>3281</v>
      </c>
      <c r="C1565" s="27">
        <v>2556</v>
      </c>
      <c r="D1565" s="14" t="s">
        <v>2601</v>
      </c>
      <c r="E1565" s="112"/>
      <c r="F1565" s="139" t="s">
        <v>5041</v>
      </c>
      <c r="G1565" s="140"/>
      <c r="H1565" s="141"/>
      <c r="I1565" s="26">
        <v>61225</v>
      </c>
      <c r="J1565" s="117"/>
      <c r="K1565" s="120"/>
      <c r="L1565" s="121"/>
      <c r="M1565" s="120"/>
      <c r="N1565" s="121"/>
      <c r="O1565" s="120"/>
      <c r="P1565" s="121"/>
      <c r="Q1565" s="120"/>
      <c r="R1565" s="121"/>
      <c r="S1565" s="120"/>
      <c r="T1565" s="121"/>
      <c r="U1565" s="120"/>
      <c r="V1565" s="123"/>
      <c r="W1565" s="125"/>
      <c r="X1565" s="142" t="s">
        <v>5042</v>
      </c>
      <c r="Y1565" s="143"/>
      <c r="Z1565" s="143"/>
      <c r="AA1565" s="143"/>
      <c r="AB1565" s="144"/>
      <c r="AC1565" s="16" t="s">
        <v>21</v>
      </c>
      <c r="AD1565" s="17" t="s">
        <v>4286</v>
      </c>
      <c r="AE1565" s="145" t="s">
        <v>3604</v>
      </c>
      <c r="AF1565" s="146"/>
      <c r="AG1565" s="146"/>
      <c r="AH1565" s="146"/>
      <c r="AI1565" s="147"/>
      <c r="AJ1565" s="148"/>
      <c r="AK1565" s="143"/>
      <c r="AL1565" s="144"/>
      <c r="AM1565" s="22"/>
      <c r="AN1565" s="149" t="s">
        <v>2511</v>
      </c>
      <c r="AO1565" s="144"/>
      <c r="AP1565" s="148">
        <v>60125</v>
      </c>
      <c r="AQ1565" s="144"/>
      <c r="AR1565" s="120"/>
      <c r="AS1565" s="121"/>
      <c r="AT1565" s="120"/>
      <c r="AU1565" s="121"/>
      <c r="AV1565" s="120"/>
      <c r="AW1565" s="121"/>
      <c r="AX1565" s="120"/>
      <c r="AY1565" s="121"/>
      <c r="AZ1565" s="138"/>
    </row>
    <row r="1566" spans="1:52" ht="17.100000000000001" customHeight="1" thickTop="1">
      <c r="A1566" s="109" t="s">
        <v>6519</v>
      </c>
      <c r="B1566" s="28">
        <v>45919</v>
      </c>
      <c r="C1566" s="25">
        <v>52</v>
      </c>
      <c r="D1566" s="13" t="s">
        <v>2465</v>
      </c>
      <c r="E1566" s="111"/>
      <c r="F1566" s="113" t="s">
        <v>5043</v>
      </c>
      <c r="G1566" s="114"/>
      <c r="H1566" s="115"/>
      <c r="I1566" s="24" t="s">
        <v>3923</v>
      </c>
      <c r="J1566" s="116">
        <v>4</v>
      </c>
      <c r="K1566" s="118">
        <v>595000</v>
      </c>
      <c r="L1566" s="119"/>
      <c r="M1566" s="118">
        <f>K1566*0.1</f>
        <v>59500</v>
      </c>
      <c r="N1566" s="119"/>
      <c r="O1566" s="118">
        <v>0</v>
      </c>
      <c r="P1566" s="119"/>
      <c r="Q1566" s="118">
        <v>9790</v>
      </c>
      <c r="R1566" s="119"/>
      <c r="S1566" s="118">
        <v>33000</v>
      </c>
      <c r="T1566" s="119"/>
      <c r="U1566" s="118">
        <f>SUM(K1566:T1567)</f>
        <v>697290</v>
      </c>
      <c r="V1566" s="122"/>
      <c r="W1566" s="124"/>
      <c r="X1566" s="126" t="s">
        <v>7982</v>
      </c>
      <c r="Y1566" s="127"/>
      <c r="Z1566" s="127"/>
      <c r="AA1566" s="127"/>
      <c r="AB1566" s="128"/>
      <c r="AC1566" s="15" t="s">
        <v>20</v>
      </c>
      <c r="AD1566" s="129" t="s">
        <v>5044</v>
      </c>
      <c r="AE1566" s="130"/>
      <c r="AF1566" s="130"/>
      <c r="AG1566" s="130"/>
      <c r="AH1566" s="130"/>
      <c r="AI1566" s="131"/>
      <c r="AJ1566" s="132"/>
      <c r="AK1566" s="127"/>
      <c r="AL1566" s="128"/>
      <c r="AM1566" s="21"/>
      <c r="AN1566" s="133">
        <v>45958</v>
      </c>
      <c r="AO1566" s="134"/>
      <c r="AP1566" s="135">
        <v>1915</v>
      </c>
      <c r="AQ1566" s="136"/>
      <c r="AR1566" s="118">
        <v>593000</v>
      </c>
      <c r="AS1566" s="119"/>
      <c r="AT1566" s="118">
        <f>AR1566*0.1</f>
        <v>59300</v>
      </c>
      <c r="AU1566" s="119"/>
      <c r="AV1566" s="118">
        <v>9790</v>
      </c>
      <c r="AW1566" s="119"/>
      <c r="AX1566" s="118">
        <f>SUM(AR1566:AW1566)</f>
        <v>662090</v>
      </c>
      <c r="AY1566" s="119"/>
      <c r="AZ1566" s="137">
        <v>45965</v>
      </c>
    </row>
    <row r="1567" spans="1:52" ht="17.100000000000001" customHeight="1" thickBot="1">
      <c r="A1567" s="110"/>
      <c r="B1567" s="27" t="s">
        <v>4544</v>
      </c>
      <c r="C1567" s="27">
        <v>1005</v>
      </c>
      <c r="D1567" s="14" t="s">
        <v>3327</v>
      </c>
      <c r="E1567" s="112"/>
      <c r="F1567" s="139" t="s">
        <v>5045</v>
      </c>
      <c r="G1567" s="140"/>
      <c r="H1567" s="141"/>
      <c r="I1567" s="26">
        <v>58024</v>
      </c>
      <c r="J1567" s="117"/>
      <c r="K1567" s="120"/>
      <c r="L1567" s="121"/>
      <c r="M1567" s="120"/>
      <c r="N1567" s="121"/>
      <c r="O1567" s="120"/>
      <c r="P1567" s="121"/>
      <c r="Q1567" s="120"/>
      <c r="R1567" s="121"/>
      <c r="S1567" s="120"/>
      <c r="T1567" s="121"/>
      <c r="U1567" s="120"/>
      <c r="V1567" s="123"/>
      <c r="W1567" s="125"/>
      <c r="X1567" s="142" t="s">
        <v>7983</v>
      </c>
      <c r="Y1567" s="143"/>
      <c r="Z1567" s="143"/>
      <c r="AA1567" s="143"/>
      <c r="AB1567" s="144"/>
      <c r="AC1567" s="16" t="s">
        <v>21</v>
      </c>
      <c r="AD1567" s="17" t="s">
        <v>3289</v>
      </c>
      <c r="AE1567" s="145" t="s">
        <v>7984</v>
      </c>
      <c r="AF1567" s="146"/>
      <c r="AG1567" s="146"/>
      <c r="AH1567" s="146"/>
      <c r="AI1567" s="147"/>
      <c r="AJ1567" s="148"/>
      <c r="AK1567" s="143"/>
      <c r="AL1567" s="144"/>
      <c r="AM1567" s="22"/>
      <c r="AN1567" s="149" t="s">
        <v>2131</v>
      </c>
      <c r="AO1567" s="144"/>
      <c r="AP1567" s="148">
        <v>3135</v>
      </c>
      <c r="AQ1567" s="144"/>
      <c r="AR1567" s="120"/>
      <c r="AS1567" s="121"/>
      <c r="AT1567" s="120"/>
      <c r="AU1567" s="121"/>
      <c r="AV1567" s="120"/>
      <c r="AW1567" s="121"/>
      <c r="AX1567" s="120"/>
      <c r="AY1567" s="121"/>
      <c r="AZ1567" s="138"/>
    </row>
    <row r="1568" spans="1:52" ht="17.100000000000001" customHeight="1" thickTop="1">
      <c r="A1568" s="109" t="s">
        <v>6520</v>
      </c>
      <c r="B1568" s="28">
        <v>45919</v>
      </c>
      <c r="C1568" s="25">
        <v>52</v>
      </c>
      <c r="D1568" s="13" t="s">
        <v>2141</v>
      </c>
      <c r="E1568" s="111"/>
      <c r="F1568" s="113" t="s">
        <v>5046</v>
      </c>
      <c r="G1568" s="114"/>
      <c r="H1568" s="115"/>
      <c r="I1568" s="24" t="s">
        <v>2064</v>
      </c>
      <c r="J1568" s="116">
        <v>4</v>
      </c>
      <c r="K1568" s="118">
        <v>950000</v>
      </c>
      <c r="L1568" s="119"/>
      <c r="M1568" s="118">
        <f>K1568*0.1</f>
        <v>95000</v>
      </c>
      <c r="N1568" s="119"/>
      <c r="O1568" s="118">
        <v>0</v>
      </c>
      <c r="P1568" s="119"/>
      <c r="Q1568" s="118">
        <v>8680</v>
      </c>
      <c r="R1568" s="119"/>
      <c r="S1568" s="118">
        <v>33000</v>
      </c>
      <c r="T1568" s="119"/>
      <c r="U1568" s="118">
        <f>SUM(K1568:T1569)</f>
        <v>1086680</v>
      </c>
      <c r="V1568" s="122"/>
      <c r="W1568" s="124"/>
      <c r="X1568" s="126" t="s">
        <v>7441</v>
      </c>
      <c r="Y1568" s="127"/>
      <c r="Z1568" s="127"/>
      <c r="AA1568" s="127"/>
      <c r="AB1568" s="128"/>
      <c r="AC1568" s="15" t="s">
        <v>20</v>
      </c>
      <c r="AD1568" s="129"/>
      <c r="AE1568" s="130"/>
      <c r="AF1568" s="130"/>
      <c r="AG1568" s="130"/>
      <c r="AH1568" s="130"/>
      <c r="AI1568" s="131"/>
      <c r="AJ1568" s="132"/>
      <c r="AK1568" s="127"/>
      <c r="AL1568" s="128"/>
      <c r="AM1568" s="21" t="s">
        <v>8513</v>
      </c>
      <c r="AN1568" s="133">
        <v>45944</v>
      </c>
      <c r="AO1568" s="134"/>
      <c r="AP1568" s="135">
        <v>1913</v>
      </c>
      <c r="AQ1568" s="136"/>
      <c r="AR1568" s="118">
        <v>1050000</v>
      </c>
      <c r="AS1568" s="119"/>
      <c r="AT1568" s="118">
        <f>AR1568*0.1</f>
        <v>105000</v>
      </c>
      <c r="AU1568" s="119"/>
      <c r="AV1568" s="118">
        <v>8680</v>
      </c>
      <c r="AW1568" s="119"/>
      <c r="AX1568" s="118">
        <f>SUM(AR1568:AW1568)</f>
        <v>1163680</v>
      </c>
      <c r="AY1568" s="119"/>
      <c r="AZ1568" s="137">
        <v>45950</v>
      </c>
    </row>
    <row r="1569" spans="1:52" ht="17.100000000000001" customHeight="1" thickBot="1">
      <c r="A1569" s="110"/>
      <c r="B1569" s="27" t="s">
        <v>4544</v>
      </c>
      <c r="C1569" s="27">
        <v>1026</v>
      </c>
      <c r="D1569" s="14" t="s">
        <v>1720</v>
      </c>
      <c r="E1569" s="112"/>
      <c r="F1569" s="139" t="s">
        <v>5047</v>
      </c>
      <c r="G1569" s="140"/>
      <c r="H1569" s="141"/>
      <c r="I1569" s="26">
        <v>47155</v>
      </c>
      <c r="J1569" s="117"/>
      <c r="K1569" s="120"/>
      <c r="L1569" s="121"/>
      <c r="M1569" s="120"/>
      <c r="N1569" s="121"/>
      <c r="O1569" s="120"/>
      <c r="P1569" s="121"/>
      <c r="Q1569" s="120"/>
      <c r="R1569" s="121"/>
      <c r="S1569" s="120"/>
      <c r="T1569" s="121"/>
      <c r="U1569" s="120"/>
      <c r="V1569" s="123"/>
      <c r="W1569" s="125"/>
      <c r="X1569" s="142" t="s">
        <v>7442</v>
      </c>
      <c r="Y1569" s="143"/>
      <c r="Z1569" s="143"/>
      <c r="AA1569" s="143"/>
      <c r="AB1569" s="144"/>
      <c r="AC1569" s="16" t="s">
        <v>21</v>
      </c>
      <c r="AD1569" s="17" t="s">
        <v>3317</v>
      </c>
      <c r="AE1569" s="145" t="s">
        <v>4106</v>
      </c>
      <c r="AF1569" s="146"/>
      <c r="AG1569" s="146"/>
      <c r="AH1569" s="146"/>
      <c r="AI1569" s="147"/>
      <c r="AJ1569" s="148"/>
      <c r="AK1569" s="143"/>
      <c r="AL1569" s="144"/>
      <c r="AM1569" s="22"/>
      <c r="AN1569" s="149" t="s">
        <v>2131</v>
      </c>
      <c r="AO1569" s="144"/>
      <c r="AP1569" s="148">
        <v>3435</v>
      </c>
      <c r="AQ1569" s="144"/>
      <c r="AR1569" s="120"/>
      <c r="AS1569" s="121"/>
      <c r="AT1569" s="120"/>
      <c r="AU1569" s="121"/>
      <c r="AV1569" s="120"/>
      <c r="AW1569" s="121"/>
      <c r="AX1569" s="120"/>
      <c r="AY1569" s="121"/>
      <c r="AZ1569" s="138"/>
    </row>
    <row r="1570" spans="1:52" ht="17.100000000000001" customHeight="1" thickTop="1">
      <c r="A1570" s="109" t="s">
        <v>6521</v>
      </c>
      <c r="B1570" s="28">
        <v>45919</v>
      </c>
      <c r="C1570" s="25">
        <v>258</v>
      </c>
      <c r="D1570" s="13" t="s">
        <v>4840</v>
      </c>
      <c r="E1570" s="111"/>
      <c r="F1570" s="113" t="s">
        <v>5048</v>
      </c>
      <c r="G1570" s="114"/>
      <c r="H1570" s="115"/>
      <c r="I1570" s="24"/>
      <c r="J1570" s="116">
        <v>4</v>
      </c>
      <c r="K1570" s="118">
        <v>309000</v>
      </c>
      <c r="L1570" s="119"/>
      <c r="M1570" s="118">
        <f>K1570*0.1</f>
        <v>30900</v>
      </c>
      <c r="N1570" s="119"/>
      <c r="O1570" s="118">
        <v>0</v>
      </c>
      <c r="P1570" s="119"/>
      <c r="Q1570" s="118">
        <v>8930</v>
      </c>
      <c r="R1570" s="119"/>
      <c r="S1570" s="118">
        <v>22000</v>
      </c>
      <c r="T1570" s="119"/>
      <c r="U1570" s="118">
        <f>SUM(K1570:T1571)</f>
        <v>370830</v>
      </c>
      <c r="V1570" s="122"/>
      <c r="W1570" s="124"/>
      <c r="X1570" s="126" t="s">
        <v>5049</v>
      </c>
      <c r="Y1570" s="127"/>
      <c r="Z1570" s="127"/>
      <c r="AA1570" s="127"/>
      <c r="AB1570" s="128"/>
      <c r="AC1570" s="15" t="s">
        <v>20</v>
      </c>
      <c r="AD1570" s="129"/>
      <c r="AE1570" s="130"/>
      <c r="AF1570" s="130"/>
      <c r="AG1570" s="130"/>
      <c r="AH1570" s="130"/>
      <c r="AI1570" s="131"/>
      <c r="AJ1570" s="132"/>
      <c r="AK1570" s="127"/>
      <c r="AL1570" s="128"/>
      <c r="AM1570" s="21"/>
      <c r="AN1570" s="133">
        <v>46036</v>
      </c>
      <c r="AO1570" s="134"/>
      <c r="AP1570" s="135">
        <v>1000</v>
      </c>
      <c r="AQ1570" s="136"/>
      <c r="AR1570" s="118">
        <v>345000</v>
      </c>
      <c r="AS1570" s="119"/>
      <c r="AT1570" s="118">
        <f>AR1570*0.1</f>
        <v>34500</v>
      </c>
      <c r="AU1570" s="119"/>
      <c r="AV1570" s="118">
        <v>8930</v>
      </c>
      <c r="AW1570" s="119"/>
      <c r="AX1570" s="118">
        <f>SUM(AR1570:AW1570)</f>
        <v>388430</v>
      </c>
      <c r="AY1570" s="119"/>
      <c r="AZ1570" s="137">
        <v>46041</v>
      </c>
    </row>
    <row r="1571" spans="1:52" ht="17.100000000000001" customHeight="1" thickBot="1">
      <c r="A1571" s="110"/>
      <c r="B1571" s="27" t="s">
        <v>5050</v>
      </c>
      <c r="C1571" s="27">
        <v>39</v>
      </c>
      <c r="D1571" s="14" t="s">
        <v>2040</v>
      </c>
      <c r="E1571" s="112"/>
      <c r="F1571" s="139" t="s">
        <v>5051</v>
      </c>
      <c r="G1571" s="140"/>
      <c r="H1571" s="141"/>
      <c r="I1571" s="26">
        <v>13928</v>
      </c>
      <c r="J1571" s="117"/>
      <c r="K1571" s="120"/>
      <c r="L1571" s="121"/>
      <c r="M1571" s="120"/>
      <c r="N1571" s="121"/>
      <c r="O1571" s="120"/>
      <c r="P1571" s="121"/>
      <c r="Q1571" s="120"/>
      <c r="R1571" s="121"/>
      <c r="S1571" s="120"/>
      <c r="T1571" s="121"/>
      <c r="U1571" s="120"/>
      <c r="V1571" s="123"/>
      <c r="W1571" s="125"/>
      <c r="X1571" s="142" t="s">
        <v>5052</v>
      </c>
      <c r="Y1571" s="143"/>
      <c r="Z1571" s="143"/>
      <c r="AA1571" s="143"/>
      <c r="AB1571" s="144"/>
      <c r="AC1571" s="16" t="s">
        <v>21</v>
      </c>
      <c r="AD1571" s="17" t="s">
        <v>2148</v>
      </c>
      <c r="AE1571" s="145"/>
      <c r="AF1571" s="146"/>
      <c r="AG1571" s="146"/>
      <c r="AH1571" s="146"/>
      <c r="AI1571" s="147"/>
      <c r="AJ1571" s="148"/>
      <c r="AK1571" s="143"/>
      <c r="AL1571" s="144"/>
      <c r="AM1571" s="22"/>
      <c r="AN1571" s="149" t="s">
        <v>2794</v>
      </c>
      <c r="AO1571" s="144"/>
      <c r="AP1571" s="148">
        <v>2036</v>
      </c>
      <c r="AQ1571" s="144"/>
      <c r="AR1571" s="120"/>
      <c r="AS1571" s="121"/>
      <c r="AT1571" s="120"/>
      <c r="AU1571" s="121"/>
      <c r="AV1571" s="120"/>
      <c r="AW1571" s="121"/>
      <c r="AX1571" s="120"/>
      <c r="AY1571" s="121"/>
      <c r="AZ1571" s="138"/>
    </row>
    <row r="1572" spans="1:52" ht="17.100000000000001" customHeight="1" thickTop="1">
      <c r="A1572" s="109" t="s">
        <v>6522</v>
      </c>
      <c r="B1572" s="28">
        <v>45919</v>
      </c>
      <c r="C1572" s="25">
        <v>2102</v>
      </c>
      <c r="D1572" s="13" t="s">
        <v>1922</v>
      </c>
      <c r="E1572" s="111"/>
      <c r="F1572" s="113" t="s">
        <v>5053</v>
      </c>
      <c r="G1572" s="114"/>
      <c r="H1572" s="115"/>
      <c r="I1572" s="24" t="s">
        <v>4390</v>
      </c>
      <c r="J1572" s="116">
        <v>4.5</v>
      </c>
      <c r="K1572" s="118">
        <v>1095000</v>
      </c>
      <c r="L1572" s="119"/>
      <c r="M1572" s="118">
        <v>0</v>
      </c>
      <c r="N1572" s="119"/>
      <c r="O1572" s="118">
        <v>0</v>
      </c>
      <c r="P1572" s="119"/>
      <c r="Q1572" s="118">
        <v>7150</v>
      </c>
      <c r="R1572" s="119"/>
      <c r="S1572" s="118">
        <v>12100</v>
      </c>
      <c r="T1572" s="119"/>
      <c r="U1572" s="118">
        <f>SUM(K1572:T1573)</f>
        <v>1114250</v>
      </c>
      <c r="V1572" s="122"/>
      <c r="W1572" s="124"/>
      <c r="X1572" s="126" t="s">
        <v>5054</v>
      </c>
      <c r="Y1572" s="127"/>
      <c r="Z1572" s="127"/>
      <c r="AA1572" s="127"/>
      <c r="AB1572" s="128"/>
      <c r="AC1572" s="15" t="s">
        <v>20</v>
      </c>
      <c r="AD1572" s="129" t="s">
        <v>5055</v>
      </c>
      <c r="AE1572" s="130"/>
      <c r="AF1572" s="130"/>
      <c r="AG1572" s="130"/>
      <c r="AH1572" s="130"/>
      <c r="AI1572" s="131"/>
      <c r="AJ1572" s="132"/>
      <c r="AK1572" s="127"/>
      <c r="AL1572" s="128"/>
      <c r="AM1572" s="21" t="s">
        <v>8300</v>
      </c>
      <c r="AN1572" s="133">
        <v>45976</v>
      </c>
      <c r="AO1572" s="134"/>
      <c r="AP1572" s="135">
        <v>1276</v>
      </c>
      <c r="AQ1572" s="136"/>
      <c r="AR1572" s="118">
        <v>1080000</v>
      </c>
      <c r="AS1572" s="119"/>
      <c r="AT1572" s="118">
        <f>AR1572*0.1</f>
        <v>108000</v>
      </c>
      <c r="AU1572" s="119"/>
      <c r="AV1572" s="118">
        <v>7150</v>
      </c>
      <c r="AW1572" s="119"/>
      <c r="AX1572" s="118">
        <f>SUM(AR1572:AW1572)</f>
        <v>1195150</v>
      </c>
      <c r="AY1572" s="119"/>
      <c r="AZ1572" s="137">
        <v>45979</v>
      </c>
    </row>
    <row r="1573" spans="1:52" ht="17.100000000000001" customHeight="1" thickBot="1">
      <c r="A1573" s="110"/>
      <c r="B1573" s="27" t="s">
        <v>1543</v>
      </c>
      <c r="C1573" s="27">
        <v>55049</v>
      </c>
      <c r="D1573" s="14" t="s">
        <v>2836</v>
      </c>
      <c r="E1573" s="112"/>
      <c r="F1573" s="139" t="s">
        <v>5056</v>
      </c>
      <c r="G1573" s="140"/>
      <c r="H1573" s="141"/>
      <c r="I1573" s="26">
        <v>34450</v>
      </c>
      <c r="J1573" s="117"/>
      <c r="K1573" s="120"/>
      <c r="L1573" s="121"/>
      <c r="M1573" s="120"/>
      <c r="N1573" s="121"/>
      <c r="O1573" s="120"/>
      <c r="P1573" s="121"/>
      <c r="Q1573" s="120"/>
      <c r="R1573" s="121"/>
      <c r="S1573" s="120"/>
      <c r="T1573" s="121"/>
      <c r="U1573" s="120"/>
      <c r="V1573" s="123"/>
      <c r="W1573" s="125"/>
      <c r="X1573" s="142" t="s">
        <v>5057</v>
      </c>
      <c r="Y1573" s="143"/>
      <c r="Z1573" s="143"/>
      <c r="AA1573" s="143"/>
      <c r="AB1573" s="144"/>
      <c r="AC1573" s="16" t="s">
        <v>21</v>
      </c>
      <c r="AD1573" s="17" t="s">
        <v>4286</v>
      </c>
      <c r="AE1573" s="145" t="s">
        <v>3888</v>
      </c>
      <c r="AF1573" s="146"/>
      <c r="AG1573" s="146"/>
      <c r="AH1573" s="146"/>
      <c r="AI1573" s="147"/>
      <c r="AJ1573" s="148"/>
      <c r="AK1573" s="143"/>
      <c r="AL1573" s="144"/>
      <c r="AM1573" s="22"/>
      <c r="AN1573" s="149" t="s">
        <v>10999</v>
      </c>
      <c r="AO1573" s="144"/>
      <c r="AP1573" s="148">
        <v>60256</v>
      </c>
      <c r="AQ1573" s="144"/>
      <c r="AR1573" s="120"/>
      <c r="AS1573" s="121"/>
      <c r="AT1573" s="120"/>
      <c r="AU1573" s="121"/>
      <c r="AV1573" s="120"/>
      <c r="AW1573" s="121"/>
      <c r="AX1573" s="120"/>
      <c r="AY1573" s="121"/>
      <c r="AZ1573" s="138"/>
    </row>
    <row r="1574" spans="1:52" ht="17.100000000000001" customHeight="1" thickTop="1">
      <c r="A1574" s="109" t="s">
        <v>6523</v>
      </c>
      <c r="B1574" s="28">
        <v>45919</v>
      </c>
      <c r="C1574" s="25">
        <v>2102</v>
      </c>
      <c r="D1574" s="13" t="s">
        <v>1998</v>
      </c>
      <c r="E1574" s="111"/>
      <c r="F1574" s="113" t="s">
        <v>5058</v>
      </c>
      <c r="G1574" s="114"/>
      <c r="H1574" s="115"/>
      <c r="I1574" s="24" t="s">
        <v>5059</v>
      </c>
      <c r="J1574" s="116">
        <v>5</v>
      </c>
      <c r="K1574" s="118">
        <v>1765000</v>
      </c>
      <c r="L1574" s="119"/>
      <c r="M1574" s="118">
        <f>K1574*0.1</f>
        <v>176500</v>
      </c>
      <c r="N1574" s="119"/>
      <c r="O1574" s="118">
        <v>0</v>
      </c>
      <c r="P1574" s="119"/>
      <c r="Q1574" s="118">
        <v>7340</v>
      </c>
      <c r="R1574" s="119"/>
      <c r="S1574" s="118">
        <v>12100</v>
      </c>
      <c r="T1574" s="119"/>
      <c r="U1574" s="118">
        <f>SUM(K1574:T1575)</f>
        <v>1960940</v>
      </c>
      <c r="V1574" s="122"/>
      <c r="W1574" s="124"/>
      <c r="X1574" s="126" t="s">
        <v>5060</v>
      </c>
      <c r="Y1574" s="127"/>
      <c r="Z1574" s="127"/>
      <c r="AA1574" s="127"/>
      <c r="AB1574" s="128"/>
      <c r="AC1574" s="15" t="s">
        <v>20</v>
      </c>
      <c r="AD1574" s="129" t="s">
        <v>4420</v>
      </c>
      <c r="AE1574" s="130"/>
      <c r="AF1574" s="130"/>
      <c r="AG1574" s="130"/>
      <c r="AH1574" s="130"/>
      <c r="AI1574" s="131"/>
      <c r="AJ1574" s="132"/>
      <c r="AK1574" s="127"/>
      <c r="AL1574" s="128"/>
      <c r="AM1574" s="21" t="s">
        <v>8316</v>
      </c>
      <c r="AN1574" s="133">
        <v>46113</v>
      </c>
      <c r="AO1574" s="134"/>
      <c r="AP1574" s="135">
        <v>1011</v>
      </c>
      <c r="AQ1574" s="136"/>
      <c r="AR1574" s="118">
        <v>1770000</v>
      </c>
      <c r="AS1574" s="119"/>
      <c r="AT1574" s="118">
        <f>AR1574*0.1</f>
        <v>177000</v>
      </c>
      <c r="AU1574" s="119"/>
      <c r="AV1574" s="118">
        <v>7340</v>
      </c>
      <c r="AW1574" s="119"/>
      <c r="AX1574" s="118">
        <f>SUM(AR1574:AW1574)</f>
        <v>1954340</v>
      </c>
      <c r="AY1574" s="119"/>
      <c r="AZ1574" s="137">
        <v>46119</v>
      </c>
    </row>
    <row r="1575" spans="1:52" ht="17.100000000000001" customHeight="1" thickBot="1">
      <c r="A1575" s="110"/>
      <c r="B1575" s="27" t="s">
        <v>1543</v>
      </c>
      <c r="C1575" s="27">
        <v>55057</v>
      </c>
      <c r="D1575" s="14" t="s">
        <v>275</v>
      </c>
      <c r="E1575" s="112"/>
      <c r="F1575" s="139" t="s">
        <v>5061</v>
      </c>
      <c r="G1575" s="140"/>
      <c r="H1575" s="141"/>
      <c r="I1575" s="26">
        <v>24589</v>
      </c>
      <c r="J1575" s="117"/>
      <c r="K1575" s="120"/>
      <c r="L1575" s="121"/>
      <c r="M1575" s="120"/>
      <c r="N1575" s="121"/>
      <c r="O1575" s="120"/>
      <c r="P1575" s="121"/>
      <c r="Q1575" s="120"/>
      <c r="R1575" s="121"/>
      <c r="S1575" s="120"/>
      <c r="T1575" s="121"/>
      <c r="U1575" s="120"/>
      <c r="V1575" s="123"/>
      <c r="W1575" s="125"/>
      <c r="X1575" s="142" t="s">
        <v>5062</v>
      </c>
      <c r="Y1575" s="143"/>
      <c r="Z1575" s="143"/>
      <c r="AA1575" s="143"/>
      <c r="AB1575" s="144"/>
      <c r="AC1575" s="16" t="s">
        <v>21</v>
      </c>
      <c r="AD1575" s="17" t="s">
        <v>4286</v>
      </c>
      <c r="AE1575" s="145" t="s">
        <v>5063</v>
      </c>
      <c r="AF1575" s="146"/>
      <c r="AG1575" s="146"/>
      <c r="AH1575" s="146"/>
      <c r="AI1575" s="147"/>
      <c r="AJ1575" s="148"/>
      <c r="AK1575" s="143"/>
      <c r="AL1575" s="144"/>
      <c r="AM1575" s="22"/>
      <c r="AN1575" s="149" t="s">
        <v>7285</v>
      </c>
      <c r="AO1575" s="144"/>
      <c r="AP1575" s="148">
        <v>2035</v>
      </c>
      <c r="AQ1575" s="144"/>
      <c r="AR1575" s="120"/>
      <c r="AS1575" s="121"/>
      <c r="AT1575" s="120"/>
      <c r="AU1575" s="121"/>
      <c r="AV1575" s="120"/>
      <c r="AW1575" s="121"/>
      <c r="AX1575" s="120"/>
      <c r="AY1575" s="121"/>
      <c r="AZ1575" s="138"/>
    </row>
    <row r="1576" spans="1:52" ht="17.100000000000001" customHeight="1" thickTop="1">
      <c r="A1576" s="109" t="s">
        <v>6524</v>
      </c>
      <c r="B1576" s="28">
        <v>45919</v>
      </c>
      <c r="C1576" s="25">
        <v>2102</v>
      </c>
      <c r="D1576" s="13" t="s">
        <v>1760</v>
      </c>
      <c r="E1576" s="111"/>
      <c r="F1576" s="113" t="s">
        <v>5064</v>
      </c>
      <c r="G1576" s="114"/>
      <c r="H1576" s="115"/>
      <c r="I1576" s="24"/>
      <c r="J1576" s="116">
        <v>4</v>
      </c>
      <c r="K1576" s="118">
        <v>1205000</v>
      </c>
      <c r="L1576" s="119"/>
      <c r="M1576" s="118">
        <f>K1576*0.1</f>
        <v>120500</v>
      </c>
      <c r="N1576" s="119"/>
      <c r="O1576" s="118">
        <v>0</v>
      </c>
      <c r="P1576" s="119"/>
      <c r="Q1576" s="118">
        <v>7530</v>
      </c>
      <c r="R1576" s="119"/>
      <c r="S1576" s="118">
        <v>12100</v>
      </c>
      <c r="T1576" s="119"/>
      <c r="U1576" s="118">
        <f>SUM(K1576:T1577)</f>
        <v>1345130</v>
      </c>
      <c r="V1576" s="122"/>
      <c r="W1576" s="124"/>
      <c r="X1576" s="126" t="s">
        <v>5065</v>
      </c>
      <c r="Y1576" s="127"/>
      <c r="Z1576" s="127"/>
      <c r="AA1576" s="127"/>
      <c r="AB1576" s="128"/>
      <c r="AC1576" s="15" t="s">
        <v>20</v>
      </c>
      <c r="AD1576" s="129" t="s">
        <v>1575</v>
      </c>
      <c r="AE1576" s="130"/>
      <c r="AF1576" s="130"/>
      <c r="AG1576" s="130"/>
      <c r="AH1576" s="130"/>
      <c r="AI1576" s="131"/>
      <c r="AJ1576" s="132"/>
      <c r="AK1576" s="127"/>
      <c r="AL1576" s="128"/>
      <c r="AM1576" s="21"/>
      <c r="AN1576" s="133">
        <v>45934</v>
      </c>
      <c r="AO1576" s="134"/>
      <c r="AP1576" s="135">
        <v>1270</v>
      </c>
      <c r="AQ1576" s="136"/>
      <c r="AR1576" s="118">
        <v>1245000</v>
      </c>
      <c r="AS1576" s="119"/>
      <c r="AT1576" s="118">
        <f>AR1576*0.1</f>
        <v>124500</v>
      </c>
      <c r="AU1576" s="119"/>
      <c r="AV1576" s="118">
        <v>7530</v>
      </c>
      <c r="AW1576" s="119"/>
      <c r="AX1576" s="118">
        <f>SUM(AR1576:AW1576)</f>
        <v>1377030</v>
      </c>
      <c r="AY1576" s="119"/>
      <c r="AZ1576" s="137">
        <v>45937</v>
      </c>
    </row>
    <row r="1577" spans="1:52" ht="17.100000000000001" customHeight="1" thickBot="1">
      <c r="A1577" s="110"/>
      <c r="B1577" s="27" t="s">
        <v>1543</v>
      </c>
      <c r="C1577" s="27">
        <v>55402</v>
      </c>
      <c r="D1577" s="14" t="s">
        <v>1812</v>
      </c>
      <c r="E1577" s="112"/>
      <c r="F1577" s="139" t="s">
        <v>5066</v>
      </c>
      <c r="G1577" s="140"/>
      <c r="H1577" s="141"/>
      <c r="I1577" s="26">
        <v>18797</v>
      </c>
      <c r="J1577" s="117"/>
      <c r="K1577" s="120"/>
      <c r="L1577" s="121"/>
      <c r="M1577" s="120"/>
      <c r="N1577" s="121"/>
      <c r="O1577" s="120"/>
      <c r="P1577" s="121"/>
      <c r="Q1577" s="120"/>
      <c r="R1577" s="121"/>
      <c r="S1577" s="120"/>
      <c r="T1577" s="121"/>
      <c r="U1577" s="120"/>
      <c r="V1577" s="123"/>
      <c r="W1577" s="125"/>
      <c r="X1577" s="142" t="s">
        <v>5067</v>
      </c>
      <c r="Y1577" s="143"/>
      <c r="Z1577" s="143"/>
      <c r="AA1577" s="143"/>
      <c r="AB1577" s="144"/>
      <c r="AC1577" s="16" t="s">
        <v>21</v>
      </c>
      <c r="AD1577" s="17" t="s">
        <v>4286</v>
      </c>
      <c r="AE1577" s="145" t="s">
        <v>5068</v>
      </c>
      <c r="AF1577" s="146"/>
      <c r="AG1577" s="146"/>
      <c r="AH1577" s="146"/>
      <c r="AI1577" s="147"/>
      <c r="AJ1577" s="148"/>
      <c r="AK1577" s="143"/>
      <c r="AL1577" s="144"/>
      <c r="AM1577" s="22"/>
      <c r="AN1577" s="149" t="s">
        <v>7284</v>
      </c>
      <c r="AO1577" s="144"/>
      <c r="AP1577" s="148">
        <v>60059</v>
      </c>
      <c r="AQ1577" s="144"/>
      <c r="AR1577" s="120"/>
      <c r="AS1577" s="121"/>
      <c r="AT1577" s="120"/>
      <c r="AU1577" s="121"/>
      <c r="AV1577" s="120"/>
      <c r="AW1577" s="121"/>
      <c r="AX1577" s="120"/>
      <c r="AY1577" s="121"/>
      <c r="AZ1577" s="138"/>
    </row>
    <row r="1578" spans="1:52" ht="17.100000000000001" customHeight="1" thickTop="1">
      <c r="A1578" s="109" t="s">
        <v>6525</v>
      </c>
      <c r="B1578" s="28">
        <v>45919</v>
      </c>
      <c r="C1578" s="25">
        <v>2102</v>
      </c>
      <c r="D1578" s="13" t="s">
        <v>2681</v>
      </c>
      <c r="E1578" s="111"/>
      <c r="F1578" s="113" t="s">
        <v>5069</v>
      </c>
      <c r="G1578" s="114"/>
      <c r="H1578" s="115"/>
      <c r="I1578" s="24" t="s">
        <v>5070</v>
      </c>
      <c r="J1578" s="116">
        <v>4.5</v>
      </c>
      <c r="K1578" s="118">
        <v>645000</v>
      </c>
      <c r="L1578" s="119"/>
      <c r="M1578" s="118">
        <f>K1578*0.1</f>
        <v>64500</v>
      </c>
      <c r="N1578" s="119"/>
      <c r="O1578" s="118">
        <v>0</v>
      </c>
      <c r="P1578" s="119"/>
      <c r="Q1578" s="118">
        <v>7860</v>
      </c>
      <c r="R1578" s="119"/>
      <c r="S1578" s="118">
        <v>12100</v>
      </c>
      <c r="T1578" s="119"/>
      <c r="U1578" s="118">
        <f>SUM(K1578:T1579)</f>
        <v>729460</v>
      </c>
      <c r="V1578" s="122"/>
      <c r="W1578" s="124"/>
      <c r="X1578" s="126" t="s">
        <v>5071</v>
      </c>
      <c r="Y1578" s="127"/>
      <c r="Z1578" s="127"/>
      <c r="AA1578" s="127"/>
      <c r="AB1578" s="128"/>
      <c r="AC1578" s="15" t="s">
        <v>20</v>
      </c>
      <c r="AD1578" s="129"/>
      <c r="AE1578" s="130"/>
      <c r="AF1578" s="130"/>
      <c r="AG1578" s="130"/>
      <c r="AH1578" s="130"/>
      <c r="AI1578" s="131"/>
      <c r="AJ1578" s="132"/>
      <c r="AK1578" s="127"/>
      <c r="AL1578" s="128"/>
      <c r="AM1578" s="21" t="s">
        <v>8292</v>
      </c>
      <c r="AN1578" s="133">
        <v>45990</v>
      </c>
      <c r="AO1578" s="134"/>
      <c r="AP1578" s="135">
        <v>1278</v>
      </c>
      <c r="AQ1578" s="136"/>
      <c r="AR1578" s="118">
        <v>670000</v>
      </c>
      <c r="AS1578" s="119"/>
      <c r="AT1578" s="118">
        <f>AR1578*0.1</f>
        <v>67000</v>
      </c>
      <c r="AU1578" s="119"/>
      <c r="AV1578" s="118">
        <v>7860</v>
      </c>
      <c r="AW1578" s="119"/>
      <c r="AX1578" s="118">
        <f>SUM(AR1578:AW1578)</f>
        <v>744860</v>
      </c>
      <c r="AY1578" s="119"/>
      <c r="AZ1578" s="137">
        <v>45994</v>
      </c>
    </row>
    <row r="1579" spans="1:52" ht="17.100000000000001" customHeight="1" thickBot="1">
      <c r="A1579" s="110"/>
      <c r="B1579" s="27" t="s">
        <v>1543</v>
      </c>
      <c r="C1579" s="27">
        <v>55608</v>
      </c>
      <c r="D1579" s="14" t="s">
        <v>1592</v>
      </c>
      <c r="E1579" s="112"/>
      <c r="F1579" s="139" t="s">
        <v>5072</v>
      </c>
      <c r="G1579" s="140"/>
      <c r="H1579" s="141"/>
      <c r="I1579" s="26">
        <v>28250</v>
      </c>
      <c r="J1579" s="117"/>
      <c r="K1579" s="120"/>
      <c r="L1579" s="121"/>
      <c r="M1579" s="120"/>
      <c r="N1579" s="121"/>
      <c r="O1579" s="120"/>
      <c r="P1579" s="121"/>
      <c r="Q1579" s="120"/>
      <c r="R1579" s="121"/>
      <c r="S1579" s="120"/>
      <c r="T1579" s="121"/>
      <c r="U1579" s="120"/>
      <c r="V1579" s="123"/>
      <c r="W1579" s="125"/>
      <c r="X1579" s="142" t="s">
        <v>5073</v>
      </c>
      <c r="Y1579" s="143"/>
      <c r="Z1579" s="143"/>
      <c r="AA1579" s="143"/>
      <c r="AB1579" s="144"/>
      <c r="AC1579" s="16" t="s">
        <v>21</v>
      </c>
      <c r="AD1579" s="17" t="s">
        <v>4286</v>
      </c>
      <c r="AE1579" s="145"/>
      <c r="AF1579" s="146"/>
      <c r="AG1579" s="146"/>
      <c r="AH1579" s="146"/>
      <c r="AI1579" s="147"/>
      <c r="AJ1579" s="148"/>
      <c r="AK1579" s="143"/>
      <c r="AL1579" s="144"/>
      <c r="AM1579" s="22"/>
      <c r="AN1579" s="149" t="s">
        <v>2511</v>
      </c>
      <c r="AO1579" s="144"/>
      <c r="AP1579" s="148">
        <v>60213</v>
      </c>
      <c r="AQ1579" s="144"/>
      <c r="AR1579" s="120"/>
      <c r="AS1579" s="121"/>
      <c r="AT1579" s="120"/>
      <c r="AU1579" s="121"/>
      <c r="AV1579" s="120"/>
      <c r="AW1579" s="121"/>
      <c r="AX1579" s="120"/>
      <c r="AY1579" s="121"/>
      <c r="AZ1579" s="138"/>
    </row>
    <row r="1580" spans="1:52" ht="17.100000000000001" customHeight="1" thickTop="1">
      <c r="A1580" s="109" t="s">
        <v>6526</v>
      </c>
      <c r="B1580" s="28">
        <v>45919</v>
      </c>
      <c r="C1580" s="25">
        <v>2102</v>
      </c>
      <c r="D1580" s="13" t="s">
        <v>1988</v>
      </c>
      <c r="E1580" s="111"/>
      <c r="F1580" s="113" t="s">
        <v>5020</v>
      </c>
      <c r="G1580" s="114"/>
      <c r="H1580" s="115"/>
      <c r="I1580" s="24" t="s">
        <v>2112</v>
      </c>
      <c r="J1580" s="116">
        <v>4.5</v>
      </c>
      <c r="K1580" s="118">
        <v>1165000</v>
      </c>
      <c r="L1580" s="119"/>
      <c r="M1580" s="118">
        <f>K1580*0.1</f>
        <v>116500</v>
      </c>
      <c r="N1580" s="119"/>
      <c r="O1580" s="118">
        <v>0</v>
      </c>
      <c r="P1580" s="119"/>
      <c r="Q1580" s="118">
        <v>6850</v>
      </c>
      <c r="R1580" s="119"/>
      <c r="S1580" s="118">
        <v>12100</v>
      </c>
      <c r="T1580" s="119"/>
      <c r="U1580" s="118">
        <f>SUM(K1580:T1581)</f>
        <v>1300450</v>
      </c>
      <c r="V1580" s="122"/>
      <c r="W1580" s="124"/>
      <c r="X1580" s="126" t="s">
        <v>5074</v>
      </c>
      <c r="Y1580" s="127"/>
      <c r="Z1580" s="127"/>
      <c r="AA1580" s="127"/>
      <c r="AB1580" s="128"/>
      <c r="AC1580" s="15" t="s">
        <v>20</v>
      </c>
      <c r="AD1580" s="129" t="s">
        <v>5075</v>
      </c>
      <c r="AE1580" s="130"/>
      <c r="AF1580" s="130"/>
      <c r="AG1580" s="130"/>
      <c r="AH1580" s="130"/>
      <c r="AI1580" s="131"/>
      <c r="AJ1580" s="132"/>
      <c r="AK1580" s="127"/>
      <c r="AL1580" s="128"/>
      <c r="AM1580" s="21" t="s">
        <v>7551</v>
      </c>
      <c r="AN1580" s="133">
        <v>45937</v>
      </c>
      <c r="AO1580" s="134"/>
      <c r="AP1580" s="135">
        <v>1912</v>
      </c>
      <c r="AQ1580" s="136"/>
      <c r="AR1580" s="118">
        <v>1177000</v>
      </c>
      <c r="AS1580" s="119"/>
      <c r="AT1580" s="118">
        <f>AR1580*0.1</f>
        <v>117700</v>
      </c>
      <c r="AU1580" s="119"/>
      <c r="AV1580" s="118">
        <v>6850</v>
      </c>
      <c r="AW1580" s="119"/>
      <c r="AX1580" s="118">
        <f>SUM(AR1580:AW1580)</f>
        <v>1301550</v>
      </c>
      <c r="AY1580" s="119"/>
      <c r="AZ1580" s="137"/>
    </row>
    <row r="1581" spans="1:52" ht="17.100000000000001" customHeight="1" thickBot="1">
      <c r="A1581" s="110"/>
      <c r="B1581" s="27" t="s">
        <v>1543</v>
      </c>
      <c r="C1581" s="27">
        <v>55613</v>
      </c>
      <c r="D1581" s="14" t="s">
        <v>2836</v>
      </c>
      <c r="E1581" s="112"/>
      <c r="F1581" s="139" t="s">
        <v>5076</v>
      </c>
      <c r="G1581" s="140"/>
      <c r="H1581" s="141"/>
      <c r="I1581" s="26">
        <v>19936</v>
      </c>
      <c r="J1581" s="117"/>
      <c r="K1581" s="120"/>
      <c r="L1581" s="121"/>
      <c r="M1581" s="120"/>
      <c r="N1581" s="121"/>
      <c r="O1581" s="120"/>
      <c r="P1581" s="121"/>
      <c r="Q1581" s="120"/>
      <c r="R1581" s="121"/>
      <c r="S1581" s="120"/>
      <c r="T1581" s="121"/>
      <c r="U1581" s="120"/>
      <c r="V1581" s="123"/>
      <c r="W1581" s="125"/>
      <c r="X1581" s="142" t="s">
        <v>5077</v>
      </c>
      <c r="Y1581" s="143"/>
      <c r="Z1581" s="143"/>
      <c r="AA1581" s="143"/>
      <c r="AB1581" s="144"/>
      <c r="AC1581" s="16" t="s">
        <v>21</v>
      </c>
      <c r="AD1581" s="17" t="s">
        <v>4286</v>
      </c>
      <c r="AE1581" s="145" t="s">
        <v>5078</v>
      </c>
      <c r="AF1581" s="146"/>
      <c r="AG1581" s="146"/>
      <c r="AH1581" s="146"/>
      <c r="AI1581" s="147"/>
      <c r="AJ1581" s="148"/>
      <c r="AK1581" s="143"/>
      <c r="AL1581" s="144"/>
      <c r="AM1581" s="22"/>
      <c r="AN1581" s="149" t="s">
        <v>2131</v>
      </c>
      <c r="AO1581" s="144"/>
      <c r="AP1581" s="148">
        <v>3125</v>
      </c>
      <c r="AQ1581" s="144"/>
      <c r="AR1581" s="120"/>
      <c r="AS1581" s="121"/>
      <c r="AT1581" s="120"/>
      <c r="AU1581" s="121"/>
      <c r="AV1581" s="120"/>
      <c r="AW1581" s="121"/>
      <c r="AX1581" s="120"/>
      <c r="AY1581" s="121"/>
      <c r="AZ1581" s="138"/>
    </row>
    <row r="1582" spans="1:52" ht="17.100000000000001" customHeight="1" thickTop="1">
      <c r="A1582" s="109" t="s">
        <v>6527</v>
      </c>
      <c r="B1582" s="28">
        <v>45919</v>
      </c>
      <c r="C1582" s="25">
        <v>2102</v>
      </c>
      <c r="D1582" s="13" t="s">
        <v>2759</v>
      </c>
      <c r="E1582" s="111"/>
      <c r="F1582" s="113" t="s">
        <v>5079</v>
      </c>
      <c r="G1582" s="114"/>
      <c r="H1582" s="115"/>
      <c r="I1582" s="24"/>
      <c r="J1582" s="116">
        <v>4</v>
      </c>
      <c r="K1582" s="118">
        <v>1230000</v>
      </c>
      <c r="L1582" s="119"/>
      <c r="M1582" s="118">
        <f>K1582*0.1</f>
        <v>123000</v>
      </c>
      <c r="N1582" s="119"/>
      <c r="O1582" s="118">
        <v>0</v>
      </c>
      <c r="P1582" s="119"/>
      <c r="Q1582" s="118">
        <v>17600</v>
      </c>
      <c r="R1582" s="119"/>
      <c r="S1582" s="118">
        <v>16500</v>
      </c>
      <c r="T1582" s="119"/>
      <c r="U1582" s="118">
        <f>SUM(K1582:T1583)</f>
        <v>1387100</v>
      </c>
      <c r="V1582" s="122"/>
      <c r="W1582" s="124"/>
      <c r="X1582" s="126" t="s">
        <v>5080</v>
      </c>
      <c r="Y1582" s="127"/>
      <c r="Z1582" s="127"/>
      <c r="AA1582" s="127"/>
      <c r="AB1582" s="128"/>
      <c r="AC1582" s="15" t="s">
        <v>20</v>
      </c>
      <c r="AD1582" s="129" t="s">
        <v>5081</v>
      </c>
      <c r="AE1582" s="130"/>
      <c r="AF1582" s="130"/>
      <c r="AG1582" s="130"/>
      <c r="AH1582" s="130"/>
      <c r="AI1582" s="131"/>
      <c r="AJ1582" s="132"/>
      <c r="AK1582" s="127"/>
      <c r="AL1582" s="128"/>
      <c r="AM1582" s="21"/>
      <c r="AN1582" s="133">
        <v>45931</v>
      </c>
      <c r="AO1582" s="134"/>
      <c r="AP1582" s="135">
        <v>986</v>
      </c>
      <c r="AQ1582" s="136"/>
      <c r="AR1582" s="118">
        <v>1265000</v>
      </c>
      <c r="AS1582" s="119"/>
      <c r="AT1582" s="118">
        <f>AR1582*0.1</f>
        <v>126500</v>
      </c>
      <c r="AU1582" s="119"/>
      <c r="AV1582" s="118">
        <v>17600</v>
      </c>
      <c r="AW1582" s="119"/>
      <c r="AX1582" s="118">
        <f>SUM(AR1582:AW1582)</f>
        <v>1409100</v>
      </c>
      <c r="AY1582" s="119"/>
      <c r="AZ1582" s="137">
        <v>45937</v>
      </c>
    </row>
    <row r="1583" spans="1:52" ht="17.100000000000001" customHeight="1" thickBot="1">
      <c r="A1583" s="110"/>
      <c r="B1583" s="27" t="s">
        <v>1543</v>
      </c>
      <c r="C1583" s="27">
        <v>58306</v>
      </c>
      <c r="D1583" s="14" t="s">
        <v>3855</v>
      </c>
      <c r="E1583" s="112"/>
      <c r="F1583" s="139" t="s">
        <v>5082</v>
      </c>
      <c r="G1583" s="140"/>
      <c r="H1583" s="141"/>
      <c r="I1583" s="26">
        <v>38023</v>
      </c>
      <c r="J1583" s="117"/>
      <c r="K1583" s="120"/>
      <c r="L1583" s="121"/>
      <c r="M1583" s="120"/>
      <c r="N1583" s="121"/>
      <c r="O1583" s="120"/>
      <c r="P1583" s="121"/>
      <c r="Q1583" s="120"/>
      <c r="R1583" s="121"/>
      <c r="S1583" s="120"/>
      <c r="T1583" s="121"/>
      <c r="U1583" s="120"/>
      <c r="V1583" s="123"/>
      <c r="W1583" s="125"/>
      <c r="X1583" s="142" t="s">
        <v>3410</v>
      </c>
      <c r="Y1583" s="143"/>
      <c r="Z1583" s="143"/>
      <c r="AA1583" s="143"/>
      <c r="AB1583" s="144"/>
      <c r="AC1583" s="16" t="s">
        <v>21</v>
      </c>
      <c r="AD1583" s="17" t="s">
        <v>4286</v>
      </c>
      <c r="AE1583" s="145" t="s">
        <v>5083</v>
      </c>
      <c r="AF1583" s="146"/>
      <c r="AG1583" s="146"/>
      <c r="AH1583" s="146"/>
      <c r="AI1583" s="147"/>
      <c r="AJ1583" s="148"/>
      <c r="AK1583" s="143"/>
      <c r="AL1583" s="144"/>
      <c r="AM1583" s="22"/>
      <c r="AN1583" s="149" t="s">
        <v>2794</v>
      </c>
      <c r="AO1583" s="144"/>
      <c r="AP1583" s="148">
        <v>6006</v>
      </c>
      <c r="AQ1583" s="144"/>
      <c r="AR1583" s="120"/>
      <c r="AS1583" s="121"/>
      <c r="AT1583" s="120"/>
      <c r="AU1583" s="121"/>
      <c r="AV1583" s="120"/>
      <c r="AW1583" s="121"/>
      <c r="AX1583" s="120"/>
      <c r="AY1583" s="121"/>
      <c r="AZ1583" s="138"/>
    </row>
    <row r="1584" spans="1:52" ht="17.100000000000001" customHeight="1" thickTop="1">
      <c r="A1584" s="109" t="s">
        <v>6528</v>
      </c>
      <c r="B1584" s="28">
        <v>45919</v>
      </c>
      <c r="C1584" s="25">
        <v>2102</v>
      </c>
      <c r="D1584" s="13" t="s">
        <v>859</v>
      </c>
      <c r="E1584" s="111"/>
      <c r="F1584" s="113" t="s">
        <v>5084</v>
      </c>
      <c r="G1584" s="114"/>
      <c r="H1584" s="115"/>
      <c r="I1584" s="24" t="s">
        <v>3585</v>
      </c>
      <c r="J1584" s="116">
        <v>4</v>
      </c>
      <c r="K1584" s="118">
        <v>1680000</v>
      </c>
      <c r="L1584" s="119"/>
      <c r="M1584" s="118">
        <f>K1584*0.1</f>
        <v>168000</v>
      </c>
      <c r="N1584" s="119"/>
      <c r="O1584" s="118">
        <f>15200+1520</f>
        <v>16720</v>
      </c>
      <c r="P1584" s="119"/>
      <c r="Q1584" s="118">
        <v>17930</v>
      </c>
      <c r="R1584" s="119"/>
      <c r="S1584" s="118">
        <v>16500</v>
      </c>
      <c r="T1584" s="119"/>
      <c r="U1584" s="118">
        <f>SUM(K1584:T1585)</f>
        <v>1899150</v>
      </c>
      <c r="V1584" s="122"/>
      <c r="W1584" s="124"/>
      <c r="X1584" s="126" t="s">
        <v>5085</v>
      </c>
      <c r="Y1584" s="127"/>
      <c r="Z1584" s="127"/>
      <c r="AA1584" s="127"/>
      <c r="AB1584" s="128"/>
      <c r="AC1584" s="15" t="s">
        <v>20</v>
      </c>
      <c r="AD1584" s="129" t="s">
        <v>1633</v>
      </c>
      <c r="AE1584" s="130"/>
      <c r="AF1584" s="130"/>
      <c r="AG1584" s="130"/>
      <c r="AH1584" s="130"/>
      <c r="AI1584" s="131"/>
      <c r="AJ1584" s="132"/>
      <c r="AK1584" s="127"/>
      <c r="AL1584" s="128"/>
      <c r="AM1584" s="21"/>
      <c r="AN1584" s="133">
        <v>45933</v>
      </c>
      <c r="AO1584" s="134"/>
      <c r="AP1584" s="135"/>
      <c r="AQ1584" s="136"/>
      <c r="AR1584" s="118">
        <v>1830000</v>
      </c>
      <c r="AS1584" s="119"/>
      <c r="AT1584" s="118">
        <f>AR1584*0.1</f>
        <v>183000</v>
      </c>
      <c r="AU1584" s="119"/>
      <c r="AV1584" s="118">
        <v>17930</v>
      </c>
      <c r="AW1584" s="119"/>
      <c r="AX1584" s="118">
        <f>SUM(AR1584:AW1584)</f>
        <v>2030930</v>
      </c>
      <c r="AY1584" s="119"/>
      <c r="AZ1584" s="137"/>
    </row>
    <row r="1585" spans="1:52" ht="17.100000000000001" customHeight="1" thickBot="1">
      <c r="A1585" s="110"/>
      <c r="B1585" s="27" t="s">
        <v>1543</v>
      </c>
      <c r="C1585" s="27">
        <v>58870</v>
      </c>
      <c r="D1585" s="14" t="s">
        <v>1592</v>
      </c>
      <c r="E1585" s="112"/>
      <c r="F1585" s="139" t="s">
        <v>5086</v>
      </c>
      <c r="G1585" s="140"/>
      <c r="H1585" s="141"/>
      <c r="I1585" s="26">
        <v>51960</v>
      </c>
      <c r="J1585" s="117"/>
      <c r="K1585" s="120"/>
      <c r="L1585" s="121"/>
      <c r="M1585" s="120"/>
      <c r="N1585" s="121"/>
      <c r="O1585" s="120"/>
      <c r="P1585" s="121"/>
      <c r="Q1585" s="120"/>
      <c r="R1585" s="121"/>
      <c r="S1585" s="120"/>
      <c r="T1585" s="121"/>
      <c r="U1585" s="120"/>
      <c r="V1585" s="123"/>
      <c r="W1585" s="125"/>
      <c r="X1585" s="142" t="s">
        <v>2309</v>
      </c>
      <c r="Y1585" s="143"/>
      <c r="Z1585" s="143"/>
      <c r="AA1585" s="143"/>
      <c r="AB1585" s="144"/>
      <c r="AC1585" s="16" t="s">
        <v>21</v>
      </c>
      <c r="AD1585" s="17" t="s">
        <v>2148</v>
      </c>
      <c r="AE1585" s="145" t="s">
        <v>1614</v>
      </c>
      <c r="AF1585" s="146"/>
      <c r="AG1585" s="146"/>
      <c r="AH1585" s="146"/>
      <c r="AI1585" s="147"/>
      <c r="AJ1585" s="148"/>
      <c r="AK1585" s="143"/>
      <c r="AL1585" s="144"/>
      <c r="AM1585" s="22"/>
      <c r="AN1585" s="149" t="s">
        <v>6789</v>
      </c>
      <c r="AO1585" s="144"/>
      <c r="AP1585" s="148">
        <v>36989</v>
      </c>
      <c r="AQ1585" s="144"/>
      <c r="AR1585" s="120"/>
      <c r="AS1585" s="121"/>
      <c r="AT1585" s="120"/>
      <c r="AU1585" s="121"/>
      <c r="AV1585" s="120"/>
      <c r="AW1585" s="121"/>
      <c r="AX1585" s="120"/>
      <c r="AY1585" s="121"/>
      <c r="AZ1585" s="138"/>
    </row>
    <row r="1586" spans="1:52" ht="17.100000000000001" customHeight="1" thickTop="1">
      <c r="A1586" s="109" t="s">
        <v>6529</v>
      </c>
      <c r="B1586" s="28">
        <v>45919</v>
      </c>
      <c r="C1586" s="25"/>
      <c r="D1586" s="13" t="s">
        <v>2301</v>
      </c>
      <c r="E1586" s="111"/>
      <c r="F1586" s="113" t="s">
        <v>5087</v>
      </c>
      <c r="G1586" s="114"/>
      <c r="H1586" s="115"/>
      <c r="I1586" s="24"/>
      <c r="J1586" s="116">
        <v>3.5</v>
      </c>
      <c r="K1586" s="118">
        <f>605000/1.1</f>
        <v>550000</v>
      </c>
      <c r="L1586" s="119"/>
      <c r="M1586" s="118">
        <f>K1586*0.1</f>
        <v>55000</v>
      </c>
      <c r="N1586" s="119"/>
      <c r="O1586" s="118">
        <v>0</v>
      </c>
      <c r="P1586" s="119"/>
      <c r="Q1586" s="118">
        <v>8230</v>
      </c>
      <c r="R1586" s="119"/>
      <c r="S1586" s="118">
        <v>57896</v>
      </c>
      <c r="T1586" s="119"/>
      <c r="U1586" s="118">
        <f>SUM(K1586:T1587)</f>
        <v>671126</v>
      </c>
      <c r="V1586" s="122"/>
      <c r="W1586" s="124"/>
      <c r="X1586" s="126" t="s">
        <v>7960</v>
      </c>
      <c r="Y1586" s="127"/>
      <c r="Z1586" s="127"/>
      <c r="AA1586" s="127"/>
      <c r="AB1586" s="128"/>
      <c r="AC1586" s="15" t="s">
        <v>20</v>
      </c>
      <c r="AD1586" s="129" t="s">
        <v>1605</v>
      </c>
      <c r="AE1586" s="130"/>
      <c r="AF1586" s="130"/>
      <c r="AG1586" s="130"/>
      <c r="AH1586" s="130"/>
      <c r="AI1586" s="131"/>
      <c r="AJ1586" s="132"/>
      <c r="AK1586" s="127"/>
      <c r="AL1586" s="128"/>
      <c r="AM1586" s="21"/>
      <c r="AN1586" s="133">
        <v>45944</v>
      </c>
      <c r="AO1586" s="134"/>
      <c r="AP1586" s="135">
        <v>1913</v>
      </c>
      <c r="AQ1586" s="136"/>
      <c r="AR1586" s="118">
        <v>752000</v>
      </c>
      <c r="AS1586" s="119"/>
      <c r="AT1586" s="118">
        <f>AR1586*0.1</f>
        <v>75200</v>
      </c>
      <c r="AU1586" s="119"/>
      <c r="AV1586" s="118">
        <v>8230</v>
      </c>
      <c r="AW1586" s="119"/>
      <c r="AX1586" s="118">
        <f>SUM(AR1586:AW1586)</f>
        <v>835430</v>
      </c>
      <c r="AY1586" s="119"/>
      <c r="AZ1586" s="137"/>
    </row>
    <row r="1587" spans="1:52" ht="17.100000000000001" customHeight="1" thickBot="1">
      <c r="A1587" s="110"/>
      <c r="B1587" s="27" t="s">
        <v>1718</v>
      </c>
      <c r="C1587" s="27" t="s">
        <v>5088</v>
      </c>
      <c r="D1587" s="14" t="s">
        <v>2116</v>
      </c>
      <c r="E1587" s="112"/>
      <c r="F1587" s="139" t="s">
        <v>8058</v>
      </c>
      <c r="G1587" s="140"/>
      <c r="H1587" s="141"/>
      <c r="I1587" s="26">
        <v>19320</v>
      </c>
      <c r="J1587" s="117"/>
      <c r="K1587" s="120"/>
      <c r="L1587" s="121"/>
      <c r="M1587" s="120"/>
      <c r="N1587" s="121"/>
      <c r="O1587" s="120"/>
      <c r="P1587" s="121"/>
      <c r="Q1587" s="120"/>
      <c r="R1587" s="121"/>
      <c r="S1587" s="120"/>
      <c r="T1587" s="121"/>
      <c r="U1587" s="120"/>
      <c r="V1587" s="123"/>
      <c r="W1587" s="125"/>
      <c r="X1587" s="142" t="s">
        <v>7961</v>
      </c>
      <c r="Y1587" s="143"/>
      <c r="Z1587" s="143"/>
      <c r="AA1587" s="143"/>
      <c r="AB1587" s="144"/>
      <c r="AC1587" s="16" t="s">
        <v>21</v>
      </c>
      <c r="AD1587" s="17" t="s">
        <v>2604</v>
      </c>
      <c r="AE1587" s="145" t="s">
        <v>2395</v>
      </c>
      <c r="AF1587" s="146"/>
      <c r="AG1587" s="146"/>
      <c r="AH1587" s="146"/>
      <c r="AI1587" s="147"/>
      <c r="AJ1587" s="148"/>
      <c r="AK1587" s="143"/>
      <c r="AL1587" s="144"/>
      <c r="AM1587" s="22"/>
      <c r="AN1587" s="149" t="s">
        <v>2131</v>
      </c>
      <c r="AO1587" s="144"/>
      <c r="AP1587" s="148">
        <v>3433</v>
      </c>
      <c r="AQ1587" s="144"/>
      <c r="AR1587" s="120"/>
      <c r="AS1587" s="121"/>
      <c r="AT1587" s="120"/>
      <c r="AU1587" s="121"/>
      <c r="AV1587" s="120"/>
      <c r="AW1587" s="121"/>
      <c r="AX1587" s="120"/>
      <c r="AY1587" s="121"/>
      <c r="AZ1587" s="138"/>
    </row>
    <row r="1588" spans="1:52" ht="17.100000000000001" customHeight="1" thickTop="1">
      <c r="A1588" s="109" t="s">
        <v>6530</v>
      </c>
      <c r="B1588" s="28">
        <v>45919</v>
      </c>
      <c r="C1588" s="25"/>
      <c r="D1588" s="13" t="s">
        <v>5089</v>
      </c>
      <c r="E1588" s="111"/>
      <c r="F1588" s="113" t="s">
        <v>5090</v>
      </c>
      <c r="G1588" s="114"/>
      <c r="H1588" s="115"/>
      <c r="I1588" s="24" t="s">
        <v>5091</v>
      </c>
      <c r="J1588" s="116">
        <v>4</v>
      </c>
      <c r="K1588" s="118">
        <f>445500/1.1</f>
        <v>404999.99999999994</v>
      </c>
      <c r="L1588" s="119"/>
      <c r="M1588" s="118">
        <f>K1588*0.1</f>
        <v>40500</v>
      </c>
      <c r="N1588" s="119"/>
      <c r="O1588" s="118">
        <v>0</v>
      </c>
      <c r="P1588" s="119"/>
      <c r="Q1588" s="118">
        <v>9970</v>
      </c>
      <c r="R1588" s="119"/>
      <c r="S1588" s="118">
        <v>49500</v>
      </c>
      <c r="T1588" s="119"/>
      <c r="U1588" s="118">
        <f>SUM(K1588:T1589)</f>
        <v>504969.99999999994</v>
      </c>
      <c r="V1588" s="122"/>
      <c r="W1588" s="124"/>
      <c r="X1588" s="126" t="s">
        <v>6846</v>
      </c>
      <c r="Y1588" s="127"/>
      <c r="Z1588" s="127"/>
      <c r="AA1588" s="127"/>
      <c r="AB1588" s="128"/>
      <c r="AC1588" s="15" t="s">
        <v>20</v>
      </c>
      <c r="AD1588" s="129"/>
      <c r="AE1588" s="130"/>
      <c r="AF1588" s="130"/>
      <c r="AG1588" s="130"/>
      <c r="AH1588" s="130"/>
      <c r="AI1588" s="131"/>
      <c r="AJ1588" s="132"/>
      <c r="AK1588" s="127"/>
      <c r="AL1588" s="128"/>
      <c r="AM1588" s="21"/>
      <c r="AN1588" s="133">
        <v>45955</v>
      </c>
      <c r="AO1588" s="134"/>
      <c r="AP1588" s="135">
        <v>1273</v>
      </c>
      <c r="AQ1588" s="136"/>
      <c r="AR1588" s="118">
        <v>475000</v>
      </c>
      <c r="AS1588" s="119"/>
      <c r="AT1588" s="118">
        <f>AR1588*0.1</f>
        <v>47500</v>
      </c>
      <c r="AU1588" s="119"/>
      <c r="AV1588" s="118">
        <v>9970</v>
      </c>
      <c r="AW1588" s="119"/>
      <c r="AX1588" s="118">
        <f>SUM(AR1588:AW1588)</f>
        <v>532470</v>
      </c>
      <c r="AY1588" s="119"/>
      <c r="AZ1588" s="137">
        <v>45958</v>
      </c>
    </row>
    <row r="1589" spans="1:52" ht="17.100000000000001" customHeight="1" thickBot="1">
      <c r="A1589" s="110"/>
      <c r="B1589" s="27" t="s">
        <v>1718</v>
      </c>
      <c r="C1589" s="27" t="s">
        <v>5092</v>
      </c>
      <c r="D1589" s="14" t="s">
        <v>275</v>
      </c>
      <c r="E1589" s="112"/>
      <c r="F1589" s="139" t="s">
        <v>5093</v>
      </c>
      <c r="G1589" s="140"/>
      <c r="H1589" s="141"/>
      <c r="I1589" s="26">
        <v>49000</v>
      </c>
      <c r="J1589" s="117"/>
      <c r="K1589" s="120"/>
      <c r="L1589" s="121"/>
      <c r="M1589" s="120"/>
      <c r="N1589" s="121"/>
      <c r="O1589" s="120"/>
      <c r="P1589" s="121"/>
      <c r="Q1589" s="120"/>
      <c r="R1589" s="121"/>
      <c r="S1589" s="120"/>
      <c r="T1589" s="121"/>
      <c r="U1589" s="120"/>
      <c r="V1589" s="123"/>
      <c r="W1589" s="125"/>
      <c r="X1589" s="142" t="s">
        <v>6847</v>
      </c>
      <c r="Y1589" s="143"/>
      <c r="Z1589" s="143"/>
      <c r="AA1589" s="143"/>
      <c r="AB1589" s="144"/>
      <c r="AC1589" s="16" t="s">
        <v>21</v>
      </c>
      <c r="AD1589" s="17" t="s">
        <v>6716</v>
      </c>
      <c r="AE1589" s="145" t="s">
        <v>171</v>
      </c>
      <c r="AF1589" s="146"/>
      <c r="AG1589" s="146"/>
      <c r="AH1589" s="146"/>
      <c r="AI1589" s="147"/>
      <c r="AJ1589" s="148"/>
      <c r="AK1589" s="143"/>
      <c r="AL1589" s="144"/>
      <c r="AM1589" s="22"/>
      <c r="AN1589" s="149" t="s">
        <v>2511</v>
      </c>
      <c r="AO1589" s="144"/>
      <c r="AP1589" s="148">
        <v>31087</v>
      </c>
      <c r="AQ1589" s="144"/>
      <c r="AR1589" s="120"/>
      <c r="AS1589" s="121"/>
      <c r="AT1589" s="120"/>
      <c r="AU1589" s="121"/>
      <c r="AV1589" s="120"/>
      <c r="AW1589" s="121"/>
      <c r="AX1589" s="120"/>
      <c r="AY1589" s="121"/>
      <c r="AZ1589" s="138"/>
    </row>
    <row r="1590" spans="1:52" ht="17.100000000000001" customHeight="1" thickTop="1">
      <c r="A1590" s="109" t="s">
        <v>6531</v>
      </c>
      <c r="B1590" s="28">
        <v>45919</v>
      </c>
      <c r="C1590" s="25"/>
      <c r="D1590" s="13" t="s">
        <v>1642</v>
      </c>
      <c r="E1590" s="111"/>
      <c r="F1590" s="113" t="s">
        <v>5094</v>
      </c>
      <c r="G1590" s="114"/>
      <c r="H1590" s="115"/>
      <c r="I1590" s="24" t="s">
        <v>5095</v>
      </c>
      <c r="J1590" s="116">
        <v>4.5</v>
      </c>
      <c r="K1590" s="118">
        <f>3085500/1.1</f>
        <v>2805000</v>
      </c>
      <c r="L1590" s="119"/>
      <c r="M1590" s="118">
        <f>K1590*0.1</f>
        <v>280500</v>
      </c>
      <c r="N1590" s="119"/>
      <c r="O1590" s="118">
        <v>18100</v>
      </c>
      <c r="P1590" s="119"/>
      <c r="Q1590" s="118">
        <v>14900</v>
      </c>
      <c r="R1590" s="119"/>
      <c r="S1590" s="118">
        <v>132138</v>
      </c>
      <c r="T1590" s="119"/>
      <c r="U1590" s="118">
        <f>SUM(K1590:T1591)</f>
        <v>3250638</v>
      </c>
      <c r="V1590" s="122"/>
      <c r="W1590" s="124"/>
      <c r="X1590" s="126" t="s">
        <v>9130</v>
      </c>
      <c r="Y1590" s="127"/>
      <c r="Z1590" s="127"/>
      <c r="AA1590" s="127"/>
      <c r="AB1590" s="128"/>
      <c r="AC1590" s="15" t="s">
        <v>20</v>
      </c>
      <c r="AD1590" s="129" t="s">
        <v>5096</v>
      </c>
      <c r="AE1590" s="130"/>
      <c r="AF1590" s="130"/>
      <c r="AG1590" s="130"/>
      <c r="AH1590" s="130"/>
      <c r="AI1590" s="131"/>
      <c r="AJ1590" s="132"/>
      <c r="AK1590" s="127"/>
      <c r="AL1590" s="128"/>
      <c r="AM1590" s="21"/>
      <c r="AN1590" s="133">
        <v>45948</v>
      </c>
      <c r="AO1590" s="134"/>
      <c r="AP1590" s="135">
        <v>1272</v>
      </c>
      <c r="AQ1590" s="136"/>
      <c r="AR1590" s="118">
        <v>3100000</v>
      </c>
      <c r="AS1590" s="119"/>
      <c r="AT1590" s="118">
        <f>AR1590*0.1</f>
        <v>310000</v>
      </c>
      <c r="AU1590" s="119"/>
      <c r="AV1590" s="118">
        <v>14900</v>
      </c>
      <c r="AW1590" s="119"/>
      <c r="AX1590" s="118">
        <f>SUM(AR1590:AW1590)</f>
        <v>3424900</v>
      </c>
      <c r="AY1590" s="119"/>
      <c r="AZ1590" s="137">
        <v>45958</v>
      </c>
    </row>
    <row r="1591" spans="1:52" ht="17.100000000000001" customHeight="1" thickBot="1">
      <c r="A1591" s="110"/>
      <c r="B1591" s="27" t="s">
        <v>1718</v>
      </c>
      <c r="C1591" s="27" t="s">
        <v>5097</v>
      </c>
      <c r="D1591" s="14" t="s">
        <v>275</v>
      </c>
      <c r="E1591" s="112"/>
      <c r="F1591" s="139" t="s">
        <v>5098</v>
      </c>
      <c r="G1591" s="140"/>
      <c r="H1591" s="141"/>
      <c r="I1591" s="26">
        <v>57634</v>
      </c>
      <c r="J1591" s="117"/>
      <c r="K1591" s="120"/>
      <c r="L1591" s="121"/>
      <c r="M1591" s="120"/>
      <c r="N1591" s="121"/>
      <c r="O1591" s="120"/>
      <c r="P1591" s="121"/>
      <c r="Q1591" s="120"/>
      <c r="R1591" s="121"/>
      <c r="S1591" s="120"/>
      <c r="T1591" s="121"/>
      <c r="U1591" s="120"/>
      <c r="V1591" s="123"/>
      <c r="W1591" s="125"/>
      <c r="X1591" s="142" t="s">
        <v>5161</v>
      </c>
      <c r="Y1591" s="143"/>
      <c r="Z1591" s="143"/>
      <c r="AA1591" s="143"/>
      <c r="AB1591" s="144"/>
      <c r="AC1591" s="16" t="s">
        <v>21</v>
      </c>
      <c r="AD1591" s="17" t="s">
        <v>9131</v>
      </c>
      <c r="AE1591" s="145" t="s">
        <v>1614</v>
      </c>
      <c r="AF1591" s="146"/>
      <c r="AG1591" s="146"/>
      <c r="AH1591" s="146"/>
      <c r="AI1591" s="147"/>
      <c r="AJ1591" s="148"/>
      <c r="AK1591" s="143"/>
      <c r="AL1591" s="144"/>
      <c r="AM1591" s="22"/>
      <c r="AN1591" s="149" t="s">
        <v>2511</v>
      </c>
      <c r="AO1591" s="144"/>
      <c r="AP1591" s="148">
        <v>37214</v>
      </c>
      <c r="AQ1591" s="144"/>
      <c r="AR1591" s="120"/>
      <c r="AS1591" s="121"/>
      <c r="AT1591" s="120"/>
      <c r="AU1591" s="121"/>
      <c r="AV1591" s="120"/>
      <c r="AW1591" s="121"/>
      <c r="AX1591" s="120"/>
      <c r="AY1591" s="121"/>
      <c r="AZ1591" s="138"/>
    </row>
    <row r="1592" spans="1:52" ht="17.100000000000001" customHeight="1" thickTop="1">
      <c r="A1592" s="109" t="s">
        <v>6532</v>
      </c>
      <c r="B1592" s="28">
        <v>45919</v>
      </c>
      <c r="C1592" s="25"/>
      <c r="D1592" s="13" t="s">
        <v>1793</v>
      </c>
      <c r="E1592" s="111"/>
      <c r="F1592" s="113" t="s">
        <v>5099</v>
      </c>
      <c r="G1592" s="114"/>
      <c r="H1592" s="115"/>
      <c r="I1592" s="24" t="s">
        <v>5100</v>
      </c>
      <c r="J1592" s="150" t="s">
        <v>1715</v>
      </c>
      <c r="K1592" s="118">
        <f>258500/1.1</f>
        <v>234999.99999999997</v>
      </c>
      <c r="L1592" s="119"/>
      <c r="M1592" s="118">
        <f>K1592*0.1</f>
        <v>23500</v>
      </c>
      <c r="N1592" s="119"/>
      <c r="O1592" s="118">
        <v>21500</v>
      </c>
      <c r="P1592" s="119"/>
      <c r="Q1592" s="118">
        <v>16360</v>
      </c>
      <c r="R1592" s="119"/>
      <c r="S1592" s="118">
        <v>39659</v>
      </c>
      <c r="T1592" s="119"/>
      <c r="U1592" s="118">
        <f>SUM(K1592:T1593)</f>
        <v>336019</v>
      </c>
      <c r="V1592" s="122"/>
      <c r="W1592" s="124"/>
      <c r="X1592" s="126" t="s">
        <v>5101</v>
      </c>
      <c r="Y1592" s="127"/>
      <c r="Z1592" s="127"/>
      <c r="AA1592" s="127"/>
      <c r="AB1592" s="128"/>
      <c r="AC1592" s="15" t="s">
        <v>20</v>
      </c>
      <c r="AD1592" s="129" t="s">
        <v>3178</v>
      </c>
      <c r="AE1592" s="130"/>
      <c r="AF1592" s="130"/>
      <c r="AG1592" s="130"/>
      <c r="AH1592" s="130"/>
      <c r="AI1592" s="131"/>
      <c r="AJ1592" s="132"/>
      <c r="AK1592" s="127"/>
      <c r="AL1592" s="128"/>
      <c r="AM1592" s="21"/>
      <c r="AN1592" s="133">
        <v>45934</v>
      </c>
      <c r="AO1592" s="134"/>
      <c r="AP1592" s="135">
        <v>1270</v>
      </c>
      <c r="AQ1592" s="136"/>
      <c r="AR1592" s="118">
        <v>300000</v>
      </c>
      <c r="AS1592" s="119"/>
      <c r="AT1592" s="118">
        <f>AR1592*0.1</f>
        <v>30000</v>
      </c>
      <c r="AU1592" s="119"/>
      <c r="AV1592" s="118">
        <v>16360</v>
      </c>
      <c r="AW1592" s="119"/>
      <c r="AX1592" s="118">
        <f>SUM(AR1592:AW1592)</f>
        <v>346360</v>
      </c>
      <c r="AY1592" s="119"/>
      <c r="AZ1592" s="137">
        <v>45937</v>
      </c>
    </row>
    <row r="1593" spans="1:52" ht="17.100000000000001" customHeight="1" thickBot="1">
      <c r="A1593" s="110"/>
      <c r="B1593" s="27" t="s">
        <v>1718</v>
      </c>
      <c r="C1593" s="27" t="s">
        <v>5102</v>
      </c>
      <c r="D1593" s="14" t="s">
        <v>55</v>
      </c>
      <c r="E1593" s="112"/>
      <c r="F1593" s="139" t="s">
        <v>5103</v>
      </c>
      <c r="G1593" s="140"/>
      <c r="H1593" s="141"/>
      <c r="I1593" s="26">
        <v>147972</v>
      </c>
      <c r="J1593" s="117"/>
      <c r="K1593" s="120"/>
      <c r="L1593" s="121"/>
      <c r="M1593" s="120"/>
      <c r="N1593" s="121"/>
      <c r="O1593" s="120"/>
      <c r="P1593" s="121"/>
      <c r="Q1593" s="120"/>
      <c r="R1593" s="121"/>
      <c r="S1593" s="120"/>
      <c r="T1593" s="121"/>
      <c r="U1593" s="120"/>
      <c r="V1593" s="123"/>
      <c r="W1593" s="125"/>
      <c r="X1593" s="142" t="s">
        <v>5104</v>
      </c>
      <c r="Y1593" s="143"/>
      <c r="Z1593" s="143"/>
      <c r="AA1593" s="143"/>
      <c r="AB1593" s="144"/>
      <c r="AC1593" s="16" t="s">
        <v>21</v>
      </c>
      <c r="AD1593" s="17" t="s">
        <v>4184</v>
      </c>
      <c r="AE1593" s="145" t="s">
        <v>3828</v>
      </c>
      <c r="AF1593" s="146"/>
      <c r="AG1593" s="146"/>
      <c r="AH1593" s="146"/>
      <c r="AI1593" s="147"/>
      <c r="AJ1593" s="148"/>
      <c r="AK1593" s="143"/>
      <c r="AL1593" s="144"/>
      <c r="AM1593" s="22"/>
      <c r="AN1593" s="149" t="s">
        <v>7283</v>
      </c>
      <c r="AO1593" s="144"/>
      <c r="AP1593" s="148">
        <v>33111</v>
      </c>
      <c r="AQ1593" s="144"/>
      <c r="AR1593" s="120"/>
      <c r="AS1593" s="121"/>
      <c r="AT1593" s="120"/>
      <c r="AU1593" s="121"/>
      <c r="AV1593" s="120"/>
      <c r="AW1593" s="121"/>
      <c r="AX1593" s="120"/>
      <c r="AY1593" s="121"/>
      <c r="AZ1593" s="138"/>
    </row>
    <row r="1594" spans="1:52" ht="17.100000000000001" customHeight="1" thickTop="1">
      <c r="A1594" s="109" t="s">
        <v>6533</v>
      </c>
      <c r="B1594" s="28">
        <v>45919</v>
      </c>
      <c r="C1594" s="25"/>
      <c r="D1594" s="13" t="s">
        <v>1712</v>
      </c>
      <c r="E1594" s="111"/>
      <c r="F1594" s="113" t="s">
        <v>5105</v>
      </c>
      <c r="G1594" s="114"/>
      <c r="H1594" s="115"/>
      <c r="I1594" s="24" t="s">
        <v>5106</v>
      </c>
      <c r="J1594" s="116">
        <v>4.5</v>
      </c>
      <c r="K1594" s="118">
        <f>2849000/1.1</f>
        <v>2590000</v>
      </c>
      <c r="L1594" s="119"/>
      <c r="M1594" s="118">
        <f>K1594*0.1</f>
        <v>259000</v>
      </c>
      <c r="N1594" s="119"/>
      <c r="O1594" s="118">
        <v>24100</v>
      </c>
      <c r="P1594" s="119"/>
      <c r="Q1594" s="118">
        <v>14980</v>
      </c>
      <c r="R1594" s="119"/>
      <c r="S1594" s="118">
        <v>126225</v>
      </c>
      <c r="T1594" s="119"/>
      <c r="U1594" s="118">
        <f>SUM(K1594:T1595)</f>
        <v>3014305</v>
      </c>
      <c r="V1594" s="122"/>
      <c r="W1594" s="124"/>
      <c r="X1594" s="126" t="s">
        <v>5107</v>
      </c>
      <c r="Y1594" s="127"/>
      <c r="Z1594" s="127"/>
      <c r="AA1594" s="127"/>
      <c r="AB1594" s="128"/>
      <c r="AC1594" s="15" t="s">
        <v>20</v>
      </c>
      <c r="AD1594" s="129" t="s">
        <v>1581</v>
      </c>
      <c r="AE1594" s="130"/>
      <c r="AF1594" s="130"/>
      <c r="AG1594" s="130"/>
      <c r="AH1594" s="130"/>
      <c r="AI1594" s="131"/>
      <c r="AJ1594" s="170"/>
      <c r="AK1594" s="127"/>
      <c r="AL1594" s="128"/>
      <c r="AM1594" s="21"/>
      <c r="AN1594" s="133">
        <v>45934</v>
      </c>
      <c r="AO1594" s="134"/>
      <c r="AP1594" s="135">
        <v>1270</v>
      </c>
      <c r="AQ1594" s="136"/>
      <c r="AR1594" s="118">
        <v>2730000</v>
      </c>
      <c r="AS1594" s="119"/>
      <c r="AT1594" s="118">
        <f>AR1594*0.1</f>
        <v>273000</v>
      </c>
      <c r="AU1594" s="119"/>
      <c r="AV1594" s="118">
        <v>14980</v>
      </c>
      <c r="AW1594" s="119"/>
      <c r="AX1594" s="118">
        <f>SUM(AR1594:AW1594)</f>
        <v>3017980</v>
      </c>
      <c r="AY1594" s="119"/>
      <c r="AZ1594" s="137">
        <v>45937</v>
      </c>
    </row>
    <row r="1595" spans="1:52" ht="17.100000000000001" customHeight="1" thickBot="1">
      <c r="A1595" s="110"/>
      <c r="B1595" s="27" t="s">
        <v>1718</v>
      </c>
      <c r="C1595" s="27" t="s">
        <v>5108</v>
      </c>
      <c r="D1595" s="14" t="s">
        <v>2601</v>
      </c>
      <c r="E1595" s="112"/>
      <c r="F1595" s="139" t="s">
        <v>5109</v>
      </c>
      <c r="G1595" s="140"/>
      <c r="H1595" s="141"/>
      <c r="I1595" s="26">
        <v>65437</v>
      </c>
      <c r="J1595" s="117"/>
      <c r="K1595" s="120"/>
      <c r="L1595" s="121"/>
      <c r="M1595" s="120"/>
      <c r="N1595" s="121"/>
      <c r="O1595" s="120"/>
      <c r="P1595" s="121"/>
      <c r="Q1595" s="120"/>
      <c r="R1595" s="121"/>
      <c r="S1595" s="120"/>
      <c r="T1595" s="121"/>
      <c r="U1595" s="120"/>
      <c r="V1595" s="123"/>
      <c r="W1595" s="125"/>
      <c r="X1595" s="142" t="s">
        <v>5110</v>
      </c>
      <c r="Y1595" s="143"/>
      <c r="Z1595" s="143"/>
      <c r="AA1595" s="143"/>
      <c r="AB1595" s="144"/>
      <c r="AC1595" s="16" t="s">
        <v>21</v>
      </c>
      <c r="AD1595" s="17" t="s">
        <v>4184</v>
      </c>
      <c r="AE1595" s="145" t="s">
        <v>7104</v>
      </c>
      <c r="AF1595" s="146"/>
      <c r="AG1595" s="146"/>
      <c r="AH1595" s="146"/>
      <c r="AI1595" s="147"/>
      <c r="AJ1595" s="148"/>
      <c r="AK1595" s="143"/>
      <c r="AL1595" s="144"/>
      <c r="AM1595" s="22"/>
      <c r="AN1595" s="149" t="s">
        <v>7284</v>
      </c>
      <c r="AO1595" s="144"/>
      <c r="AP1595" s="148">
        <v>37151</v>
      </c>
      <c r="AQ1595" s="144"/>
      <c r="AR1595" s="120"/>
      <c r="AS1595" s="121"/>
      <c r="AT1595" s="120"/>
      <c r="AU1595" s="121"/>
      <c r="AV1595" s="120"/>
      <c r="AW1595" s="121"/>
      <c r="AX1595" s="120"/>
      <c r="AY1595" s="121"/>
      <c r="AZ1595" s="138"/>
    </row>
    <row r="1596" spans="1:52" ht="17.100000000000001" customHeight="1" thickTop="1">
      <c r="A1596" s="151" t="s">
        <v>6534</v>
      </c>
      <c r="B1596" s="28">
        <v>45919</v>
      </c>
      <c r="C1596" s="25"/>
      <c r="D1596" s="13" t="s">
        <v>2234</v>
      </c>
      <c r="E1596" s="111"/>
      <c r="F1596" s="113" t="s">
        <v>5111</v>
      </c>
      <c r="G1596" s="114"/>
      <c r="H1596" s="115"/>
      <c r="I1596" s="24" t="s">
        <v>5112</v>
      </c>
      <c r="J1596" s="116">
        <v>4</v>
      </c>
      <c r="K1596" s="118">
        <f>698500/1.1</f>
        <v>635000</v>
      </c>
      <c r="L1596" s="119"/>
      <c r="M1596" s="118">
        <f>K1596*0.1</f>
        <v>63500</v>
      </c>
      <c r="N1596" s="119"/>
      <c r="O1596" s="118">
        <v>0</v>
      </c>
      <c r="P1596" s="119"/>
      <c r="Q1596" s="118">
        <v>8110</v>
      </c>
      <c r="R1596" s="119"/>
      <c r="S1596" s="118">
        <v>62817</v>
      </c>
      <c r="T1596" s="119"/>
      <c r="U1596" s="118">
        <f>SUM(K1596:T1597)</f>
        <v>769427</v>
      </c>
      <c r="V1596" s="122"/>
      <c r="W1596" s="124"/>
      <c r="X1596" s="126" t="s">
        <v>5113</v>
      </c>
      <c r="Y1596" s="127"/>
      <c r="Z1596" s="127"/>
      <c r="AA1596" s="127"/>
      <c r="AB1596" s="128"/>
      <c r="AC1596" s="15" t="s">
        <v>20</v>
      </c>
      <c r="AD1596" s="129" t="s">
        <v>171</v>
      </c>
      <c r="AE1596" s="130"/>
      <c r="AF1596" s="130"/>
      <c r="AG1596" s="130"/>
      <c r="AH1596" s="130"/>
      <c r="AI1596" s="131"/>
      <c r="AJ1596" s="132" t="s">
        <v>7185</v>
      </c>
      <c r="AK1596" s="127"/>
      <c r="AL1596" s="128"/>
      <c r="AM1596" s="21"/>
      <c r="AN1596" s="133"/>
      <c r="AO1596" s="134"/>
      <c r="AP1596" s="135"/>
      <c r="AQ1596" s="136"/>
      <c r="AR1596" s="118"/>
      <c r="AS1596" s="119"/>
      <c r="AT1596" s="118">
        <f>AR1596*0.1</f>
        <v>0</v>
      </c>
      <c r="AU1596" s="119"/>
      <c r="AV1596" s="118"/>
      <c r="AW1596" s="119"/>
      <c r="AX1596" s="118">
        <f>SUM(AR1596:AW1596)</f>
        <v>0</v>
      </c>
      <c r="AY1596" s="119"/>
      <c r="AZ1596" s="137"/>
    </row>
    <row r="1597" spans="1:52" ht="17.100000000000001" customHeight="1" thickBot="1">
      <c r="A1597" s="152"/>
      <c r="B1597" s="27" t="s">
        <v>1718</v>
      </c>
      <c r="C1597" s="27" t="s">
        <v>5114</v>
      </c>
      <c r="D1597" s="14" t="s">
        <v>3809</v>
      </c>
      <c r="E1597" s="112"/>
      <c r="F1597" s="139" t="s">
        <v>5115</v>
      </c>
      <c r="G1597" s="140"/>
      <c r="H1597" s="141"/>
      <c r="I1597" s="26">
        <v>56760</v>
      </c>
      <c r="J1597" s="117"/>
      <c r="K1597" s="120"/>
      <c r="L1597" s="121"/>
      <c r="M1597" s="120"/>
      <c r="N1597" s="121"/>
      <c r="O1597" s="120"/>
      <c r="P1597" s="121"/>
      <c r="Q1597" s="120"/>
      <c r="R1597" s="121"/>
      <c r="S1597" s="120"/>
      <c r="T1597" s="121"/>
      <c r="U1597" s="120"/>
      <c r="V1597" s="123"/>
      <c r="W1597" s="125"/>
      <c r="X1597" s="142" t="s">
        <v>5116</v>
      </c>
      <c r="Y1597" s="143"/>
      <c r="Z1597" s="143"/>
      <c r="AA1597" s="143"/>
      <c r="AB1597" s="144"/>
      <c r="AC1597" s="16" t="s">
        <v>21</v>
      </c>
      <c r="AD1597" s="17" t="s">
        <v>4184</v>
      </c>
      <c r="AE1597" s="145" t="s">
        <v>5117</v>
      </c>
      <c r="AF1597" s="146"/>
      <c r="AG1597" s="146"/>
      <c r="AH1597" s="146"/>
      <c r="AI1597" s="147"/>
      <c r="AJ1597" s="148" t="s">
        <v>5118</v>
      </c>
      <c r="AK1597" s="143"/>
      <c r="AL1597" s="144"/>
      <c r="AM1597" s="22"/>
      <c r="AN1597" s="149"/>
      <c r="AO1597" s="144"/>
      <c r="AP1597" s="148"/>
      <c r="AQ1597" s="144"/>
      <c r="AR1597" s="120"/>
      <c r="AS1597" s="121"/>
      <c r="AT1597" s="120"/>
      <c r="AU1597" s="121"/>
      <c r="AV1597" s="120"/>
      <c r="AW1597" s="121"/>
      <c r="AX1597" s="120"/>
      <c r="AY1597" s="121"/>
      <c r="AZ1597" s="138"/>
    </row>
    <row r="1598" spans="1:52" ht="17.100000000000001" customHeight="1" thickTop="1">
      <c r="A1598" s="109" t="s">
        <v>6535</v>
      </c>
      <c r="B1598" s="28">
        <v>45919</v>
      </c>
      <c r="C1598" s="25"/>
      <c r="D1598" s="13" t="s">
        <v>1767</v>
      </c>
      <c r="E1598" s="111"/>
      <c r="F1598" s="113" t="s">
        <v>5119</v>
      </c>
      <c r="G1598" s="114"/>
      <c r="H1598" s="115"/>
      <c r="I1598" s="24" t="s">
        <v>2854</v>
      </c>
      <c r="J1598" s="116">
        <v>4.5</v>
      </c>
      <c r="K1598" s="118">
        <f>940500/1.1</f>
        <v>854999.99999999988</v>
      </c>
      <c r="L1598" s="119"/>
      <c r="M1598" s="118">
        <f>K1598*0.1</f>
        <v>85500</v>
      </c>
      <c r="N1598" s="119"/>
      <c r="O1598" s="118">
        <v>0</v>
      </c>
      <c r="P1598" s="119"/>
      <c r="Q1598" s="118">
        <v>8790</v>
      </c>
      <c r="R1598" s="119"/>
      <c r="S1598" s="118">
        <v>75554</v>
      </c>
      <c r="T1598" s="119"/>
      <c r="U1598" s="118">
        <f>SUM(K1598:T1599)</f>
        <v>1024843.9999999999</v>
      </c>
      <c r="V1598" s="122"/>
      <c r="W1598" s="124"/>
      <c r="X1598" s="126" t="s">
        <v>8080</v>
      </c>
      <c r="Y1598" s="127"/>
      <c r="Z1598" s="127"/>
      <c r="AA1598" s="127"/>
      <c r="AB1598" s="128"/>
      <c r="AC1598" s="15" t="s">
        <v>20</v>
      </c>
      <c r="AD1598" s="129" t="s">
        <v>5120</v>
      </c>
      <c r="AE1598" s="130"/>
      <c r="AF1598" s="130"/>
      <c r="AG1598" s="130"/>
      <c r="AH1598" s="130"/>
      <c r="AI1598" s="131"/>
      <c r="AJ1598" s="132"/>
      <c r="AK1598" s="127"/>
      <c r="AL1598" s="128"/>
      <c r="AM1598" s="21"/>
      <c r="AN1598" s="133">
        <v>45951</v>
      </c>
      <c r="AO1598" s="134"/>
      <c r="AP1598" s="135">
        <v>1914</v>
      </c>
      <c r="AQ1598" s="136"/>
      <c r="AR1598" s="118">
        <v>1000000</v>
      </c>
      <c r="AS1598" s="119"/>
      <c r="AT1598" s="118">
        <f>AR1598*0.1</f>
        <v>100000</v>
      </c>
      <c r="AU1598" s="119"/>
      <c r="AV1598" s="118">
        <v>8790</v>
      </c>
      <c r="AW1598" s="119"/>
      <c r="AX1598" s="118">
        <f>SUM(AR1598:AW1598)</f>
        <v>1108790</v>
      </c>
      <c r="AY1598" s="119"/>
      <c r="AZ1598" s="137">
        <v>45957</v>
      </c>
    </row>
    <row r="1599" spans="1:52" ht="17.100000000000001" customHeight="1" thickBot="1">
      <c r="A1599" s="110"/>
      <c r="B1599" s="27" t="s">
        <v>1718</v>
      </c>
      <c r="C1599" s="27" t="s">
        <v>5121</v>
      </c>
      <c r="D1599" s="14" t="s">
        <v>3855</v>
      </c>
      <c r="E1599" s="112"/>
      <c r="F1599" s="139" t="s">
        <v>5122</v>
      </c>
      <c r="G1599" s="140"/>
      <c r="H1599" s="141"/>
      <c r="I1599" s="26">
        <v>12143</v>
      </c>
      <c r="J1599" s="117"/>
      <c r="K1599" s="120"/>
      <c r="L1599" s="121"/>
      <c r="M1599" s="120"/>
      <c r="N1599" s="121"/>
      <c r="O1599" s="120"/>
      <c r="P1599" s="121"/>
      <c r="Q1599" s="120"/>
      <c r="R1599" s="121"/>
      <c r="S1599" s="120"/>
      <c r="T1599" s="121"/>
      <c r="U1599" s="120"/>
      <c r="V1599" s="123"/>
      <c r="W1599" s="125"/>
      <c r="X1599" s="142" t="s">
        <v>8081</v>
      </c>
      <c r="Y1599" s="143"/>
      <c r="Z1599" s="143"/>
      <c r="AA1599" s="143"/>
      <c r="AB1599" s="144"/>
      <c r="AC1599" s="16" t="s">
        <v>21</v>
      </c>
      <c r="AD1599" s="17" t="s">
        <v>8050</v>
      </c>
      <c r="AE1599" s="145" t="s">
        <v>3828</v>
      </c>
      <c r="AF1599" s="146"/>
      <c r="AG1599" s="146"/>
      <c r="AH1599" s="146"/>
      <c r="AI1599" s="147"/>
      <c r="AJ1599" s="148"/>
      <c r="AK1599" s="143"/>
      <c r="AL1599" s="144"/>
      <c r="AM1599" s="22"/>
      <c r="AN1599" s="149" t="s">
        <v>2131</v>
      </c>
      <c r="AO1599" s="144"/>
      <c r="AP1599" s="148">
        <v>3247</v>
      </c>
      <c r="AQ1599" s="144"/>
      <c r="AR1599" s="120"/>
      <c r="AS1599" s="121"/>
      <c r="AT1599" s="120"/>
      <c r="AU1599" s="121"/>
      <c r="AV1599" s="120"/>
      <c r="AW1599" s="121"/>
      <c r="AX1599" s="120"/>
      <c r="AY1599" s="121"/>
      <c r="AZ1599" s="138"/>
    </row>
    <row r="1600" spans="1:52" ht="17.100000000000001" customHeight="1" thickTop="1">
      <c r="A1600" s="109" t="s">
        <v>6536</v>
      </c>
      <c r="B1600" s="28">
        <v>45919</v>
      </c>
      <c r="C1600" s="25"/>
      <c r="D1600" s="13" t="s">
        <v>1597</v>
      </c>
      <c r="E1600" s="111"/>
      <c r="F1600" s="113" t="s">
        <v>5123</v>
      </c>
      <c r="G1600" s="114"/>
      <c r="H1600" s="115"/>
      <c r="I1600" s="24" t="s">
        <v>5124</v>
      </c>
      <c r="J1600" s="150" t="s">
        <v>1715</v>
      </c>
      <c r="K1600" s="118">
        <f>2590500/1.1</f>
        <v>2355000</v>
      </c>
      <c r="L1600" s="119"/>
      <c r="M1600" s="118">
        <f>K1600*0.1</f>
        <v>235500</v>
      </c>
      <c r="N1600" s="119"/>
      <c r="O1600" s="118">
        <v>18700</v>
      </c>
      <c r="P1600" s="119"/>
      <c r="Q1600" s="118">
        <v>16550</v>
      </c>
      <c r="R1600" s="119"/>
      <c r="S1600" s="118">
        <v>119763</v>
      </c>
      <c r="T1600" s="119"/>
      <c r="U1600" s="118">
        <f>SUM(K1600:T1601)</f>
        <v>2745513</v>
      </c>
      <c r="V1600" s="122"/>
      <c r="W1600" s="124"/>
      <c r="X1600" s="126" t="s">
        <v>6842</v>
      </c>
      <c r="Y1600" s="127"/>
      <c r="Z1600" s="127"/>
      <c r="AA1600" s="127"/>
      <c r="AB1600" s="128"/>
      <c r="AC1600" s="15" t="s">
        <v>20</v>
      </c>
      <c r="AD1600" s="129" t="s">
        <v>1945</v>
      </c>
      <c r="AE1600" s="130"/>
      <c r="AF1600" s="130"/>
      <c r="AG1600" s="130"/>
      <c r="AH1600" s="130"/>
      <c r="AI1600" s="131"/>
      <c r="AJ1600" s="132" t="s">
        <v>11629</v>
      </c>
      <c r="AK1600" s="127"/>
      <c r="AL1600" s="128"/>
      <c r="AM1600" s="21"/>
      <c r="AN1600" s="133">
        <v>45955</v>
      </c>
      <c r="AO1600" s="134"/>
      <c r="AP1600" s="135">
        <v>1273</v>
      </c>
      <c r="AQ1600" s="136"/>
      <c r="AR1600" s="118">
        <v>2905000</v>
      </c>
      <c r="AS1600" s="119"/>
      <c r="AT1600" s="118">
        <f>AR1600*0.1</f>
        <v>290500</v>
      </c>
      <c r="AU1600" s="119"/>
      <c r="AV1600" s="118">
        <v>16550</v>
      </c>
      <c r="AW1600" s="119"/>
      <c r="AX1600" s="118">
        <f>SUM(AR1600:AW1600)</f>
        <v>3212050</v>
      </c>
      <c r="AY1600" s="119"/>
      <c r="AZ1600" s="137">
        <v>45958</v>
      </c>
    </row>
    <row r="1601" spans="1:52" ht="17.100000000000001" customHeight="1" thickBot="1">
      <c r="A1601" s="110"/>
      <c r="B1601" s="27" t="s">
        <v>1718</v>
      </c>
      <c r="C1601" s="27" t="s">
        <v>5125</v>
      </c>
      <c r="D1601" s="14" t="s">
        <v>1592</v>
      </c>
      <c r="E1601" s="112"/>
      <c r="F1601" s="139" t="s">
        <v>5126</v>
      </c>
      <c r="G1601" s="140"/>
      <c r="H1601" s="141"/>
      <c r="I1601" s="26">
        <v>54222</v>
      </c>
      <c r="J1601" s="117"/>
      <c r="K1601" s="120"/>
      <c r="L1601" s="121"/>
      <c r="M1601" s="120"/>
      <c r="N1601" s="121"/>
      <c r="O1601" s="120"/>
      <c r="P1601" s="121"/>
      <c r="Q1601" s="120"/>
      <c r="R1601" s="121"/>
      <c r="S1601" s="120"/>
      <c r="T1601" s="121"/>
      <c r="U1601" s="120"/>
      <c r="V1601" s="123"/>
      <c r="W1601" s="125"/>
      <c r="X1601" s="142" t="s">
        <v>6841</v>
      </c>
      <c r="Y1601" s="143"/>
      <c r="Z1601" s="143"/>
      <c r="AA1601" s="143"/>
      <c r="AB1601" s="144"/>
      <c r="AC1601" s="16" t="s">
        <v>21</v>
      </c>
      <c r="AD1601" s="17" t="s">
        <v>6834</v>
      </c>
      <c r="AE1601" s="145" t="s">
        <v>9501</v>
      </c>
      <c r="AF1601" s="146"/>
      <c r="AG1601" s="146"/>
      <c r="AH1601" s="146"/>
      <c r="AI1601" s="147"/>
      <c r="AJ1601" s="148"/>
      <c r="AK1601" s="143"/>
      <c r="AL1601" s="144"/>
      <c r="AM1601" s="22"/>
      <c r="AN1601" s="149" t="s">
        <v>2511</v>
      </c>
      <c r="AO1601" s="144"/>
      <c r="AP1601" s="148">
        <v>37132</v>
      </c>
      <c r="AQ1601" s="144"/>
      <c r="AR1601" s="120"/>
      <c r="AS1601" s="121"/>
      <c r="AT1601" s="120"/>
      <c r="AU1601" s="121"/>
      <c r="AV1601" s="120"/>
      <c r="AW1601" s="121"/>
      <c r="AX1601" s="120"/>
      <c r="AY1601" s="121"/>
      <c r="AZ1601" s="138"/>
    </row>
    <row r="1602" spans="1:52" ht="17.100000000000001" customHeight="1" thickTop="1">
      <c r="A1602" s="109" t="s">
        <v>6537</v>
      </c>
      <c r="B1602" s="28">
        <v>45919</v>
      </c>
      <c r="C1602" s="25"/>
      <c r="D1602" s="13" t="s">
        <v>2689</v>
      </c>
      <c r="E1602" s="111"/>
      <c r="F1602" s="113" t="s">
        <v>5127</v>
      </c>
      <c r="G1602" s="114"/>
      <c r="H1602" s="115"/>
      <c r="I1602" s="24" t="s">
        <v>5128</v>
      </c>
      <c r="J1602" s="116">
        <v>4</v>
      </c>
      <c r="K1602" s="118">
        <f>946000/1.1</f>
        <v>859999.99999999988</v>
      </c>
      <c r="L1602" s="119"/>
      <c r="M1602" s="118">
        <f>K1602*0.1</f>
        <v>86000</v>
      </c>
      <c r="N1602" s="119"/>
      <c r="O1602" s="118">
        <v>0</v>
      </c>
      <c r="P1602" s="119"/>
      <c r="Q1602" s="118">
        <v>8550</v>
      </c>
      <c r="R1602" s="119"/>
      <c r="S1602" s="118">
        <v>75843</v>
      </c>
      <c r="T1602" s="119"/>
      <c r="U1602" s="118">
        <f>SUM(K1602:T1603)</f>
        <v>1030392.9999999999</v>
      </c>
      <c r="V1602" s="122"/>
      <c r="W1602" s="124"/>
      <c r="X1602" s="126" t="s">
        <v>10940</v>
      </c>
      <c r="Y1602" s="127"/>
      <c r="Z1602" s="127"/>
      <c r="AA1602" s="127"/>
      <c r="AB1602" s="128"/>
      <c r="AC1602" s="15" t="s">
        <v>20</v>
      </c>
      <c r="AD1602" s="129" t="s">
        <v>1945</v>
      </c>
      <c r="AE1602" s="130"/>
      <c r="AF1602" s="130"/>
      <c r="AG1602" s="130"/>
      <c r="AH1602" s="130"/>
      <c r="AI1602" s="131"/>
      <c r="AJ1602" s="132"/>
      <c r="AK1602" s="127"/>
      <c r="AL1602" s="128"/>
      <c r="AM1602" s="21"/>
      <c r="AN1602" s="133">
        <v>45979</v>
      </c>
      <c r="AO1602" s="134"/>
      <c r="AP1602" s="135">
        <v>1918</v>
      </c>
      <c r="AQ1602" s="136"/>
      <c r="AR1602" s="118">
        <v>1013000</v>
      </c>
      <c r="AS1602" s="119"/>
      <c r="AT1602" s="118">
        <f>AR1602*0.1</f>
        <v>101300</v>
      </c>
      <c r="AU1602" s="119"/>
      <c r="AV1602" s="118">
        <v>8550</v>
      </c>
      <c r="AW1602" s="119"/>
      <c r="AX1602" s="118">
        <f>SUM(AR1602:AW1602)</f>
        <v>1122850</v>
      </c>
      <c r="AY1602" s="119"/>
      <c r="AZ1602" s="137">
        <v>45986</v>
      </c>
    </row>
    <row r="1603" spans="1:52" ht="17.100000000000001" customHeight="1" thickBot="1">
      <c r="A1603" s="110"/>
      <c r="B1603" s="27" t="s">
        <v>1718</v>
      </c>
      <c r="C1603" s="27" t="s">
        <v>5129</v>
      </c>
      <c r="D1603" s="14" t="s">
        <v>3327</v>
      </c>
      <c r="E1603" s="112"/>
      <c r="F1603" s="139" t="s">
        <v>5130</v>
      </c>
      <c r="G1603" s="140"/>
      <c r="H1603" s="141"/>
      <c r="I1603" s="26">
        <v>44382</v>
      </c>
      <c r="J1603" s="117"/>
      <c r="K1603" s="120"/>
      <c r="L1603" s="121"/>
      <c r="M1603" s="120"/>
      <c r="N1603" s="121"/>
      <c r="O1603" s="120"/>
      <c r="P1603" s="121"/>
      <c r="Q1603" s="120"/>
      <c r="R1603" s="121"/>
      <c r="S1603" s="120"/>
      <c r="T1603" s="121"/>
      <c r="U1603" s="120"/>
      <c r="V1603" s="123"/>
      <c r="W1603" s="125"/>
      <c r="X1603" s="142" t="s">
        <v>10941</v>
      </c>
      <c r="Y1603" s="143"/>
      <c r="Z1603" s="143"/>
      <c r="AA1603" s="143"/>
      <c r="AB1603" s="144"/>
      <c r="AC1603" s="16" t="s">
        <v>21</v>
      </c>
      <c r="AD1603" s="17" t="s">
        <v>10911</v>
      </c>
      <c r="AE1603" s="145" t="s">
        <v>10922</v>
      </c>
      <c r="AF1603" s="146"/>
      <c r="AG1603" s="146"/>
      <c r="AH1603" s="146"/>
      <c r="AI1603" s="147"/>
      <c r="AJ1603" s="148"/>
      <c r="AK1603" s="143"/>
      <c r="AL1603" s="144"/>
      <c r="AM1603" s="22"/>
      <c r="AN1603" s="149" t="s">
        <v>2131</v>
      </c>
      <c r="AO1603" s="144"/>
      <c r="AP1603" s="148">
        <v>3367</v>
      </c>
      <c r="AQ1603" s="144"/>
      <c r="AR1603" s="120"/>
      <c r="AS1603" s="121"/>
      <c r="AT1603" s="120"/>
      <c r="AU1603" s="121"/>
      <c r="AV1603" s="120"/>
      <c r="AW1603" s="121"/>
      <c r="AX1603" s="120"/>
      <c r="AY1603" s="121"/>
      <c r="AZ1603" s="138"/>
    </row>
    <row r="1604" spans="1:52" ht="17.100000000000001" customHeight="1" thickTop="1">
      <c r="A1604" s="109" t="s">
        <v>6538</v>
      </c>
      <c r="B1604" s="28">
        <v>45919</v>
      </c>
      <c r="C1604" s="25"/>
      <c r="D1604" s="13" t="s">
        <v>4860</v>
      </c>
      <c r="E1604" s="111"/>
      <c r="F1604" s="113" t="s">
        <v>5131</v>
      </c>
      <c r="G1604" s="114"/>
      <c r="H1604" s="115"/>
      <c r="I1604" s="24" t="s">
        <v>5132</v>
      </c>
      <c r="J1604" s="116">
        <v>4.5</v>
      </c>
      <c r="K1604" s="118">
        <f>1039500/1.1</f>
        <v>944999.99999999988</v>
      </c>
      <c r="L1604" s="119"/>
      <c r="M1604" s="118">
        <f>K1604*0.1</f>
        <v>94500</v>
      </c>
      <c r="N1604" s="119"/>
      <c r="O1604" s="118">
        <v>0</v>
      </c>
      <c r="P1604" s="119"/>
      <c r="Q1604" s="118">
        <v>8990</v>
      </c>
      <c r="R1604" s="119"/>
      <c r="S1604" s="118">
        <v>80765</v>
      </c>
      <c r="T1604" s="119"/>
      <c r="U1604" s="118">
        <f>SUM(K1604:T1605)</f>
        <v>1129255</v>
      </c>
      <c r="V1604" s="122"/>
      <c r="W1604" s="124"/>
      <c r="X1604" s="126" t="s">
        <v>6848</v>
      </c>
      <c r="Y1604" s="127"/>
      <c r="Z1604" s="127"/>
      <c r="AA1604" s="127"/>
      <c r="AB1604" s="128"/>
      <c r="AC1604" s="15" t="s">
        <v>20</v>
      </c>
      <c r="AD1604" s="129" t="s">
        <v>4883</v>
      </c>
      <c r="AE1604" s="130"/>
      <c r="AF1604" s="130"/>
      <c r="AG1604" s="130"/>
      <c r="AH1604" s="130"/>
      <c r="AI1604" s="131"/>
      <c r="AJ1604" s="132"/>
      <c r="AK1604" s="127"/>
      <c r="AL1604" s="128"/>
      <c r="AM1604" s="21"/>
      <c r="AN1604" s="133">
        <v>45937</v>
      </c>
      <c r="AO1604" s="134"/>
      <c r="AP1604" s="135">
        <v>1912</v>
      </c>
      <c r="AQ1604" s="136"/>
      <c r="AR1604" s="118">
        <v>1178000</v>
      </c>
      <c r="AS1604" s="119"/>
      <c r="AT1604" s="118">
        <f>AR1604*0.1</f>
        <v>117800</v>
      </c>
      <c r="AU1604" s="119"/>
      <c r="AV1604" s="118">
        <v>8990</v>
      </c>
      <c r="AW1604" s="119"/>
      <c r="AX1604" s="118">
        <f>SUM(AR1604:AW1604)</f>
        <v>1304790</v>
      </c>
      <c r="AY1604" s="119"/>
      <c r="AZ1604" s="137"/>
    </row>
    <row r="1605" spans="1:52" ht="17.100000000000001" customHeight="1" thickBot="1">
      <c r="A1605" s="110"/>
      <c r="B1605" s="27" t="s">
        <v>1718</v>
      </c>
      <c r="C1605" s="27" t="s">
        <v>5133</v>
      </c>
      <c r="D1605" s="14" t="s">
        <v>1812</v>
      </c>
      <c r="E1605" s="112"/>
      <c r="F1605" s="139" t="s">
        <v>5134</v>
      </c>
      <c r="G1605" s="140"/>
      <c r="H1605" s="141"/>
      <c r="I1605" s="26">
        <v>48791</v>
      </c>
      <c r="J1605" s="117"/>
      <c r="K1605" s="120"/>
      <c r="L1605" s="121"/>
      <c r="M1605" s="120"/>
      <c r="N1605" s="121"/>
      <c r="O1605" s="120"/>
      <c r="P1605" s="121"/>
      <c r="Q1605" s="120"/>
      <c r="R1605" s="121"/>
      <c r="S1605" s="120"/>
      <c r="T1605" s="121"/>
      <c r="U1605" s="120"/>
      <c r="V1605" s="123"/>
      <c r="W1605" s="125"/>
      <c r="X1605" s="142" t="s">
        <v>6849</v>
      </c>
      <c r="Y1605" s="143"/>
      <c r="Z1605" s="143"/>
      <c r="AA1605" s="143"/>
      <c r="AB1605" s="144"/>
      <c r="AC1605" s="16" t="s">
        <v>21</v>
      </c>
      <c r="AD1605" s="17" t="s">
        <v>6716</v>
      </c>
      <c r="AE1605" s="145" t="s">
        <v>2758</v>
      </c>
      <c r="AF1605" s="146"/>
      <c r="AG1605" s="146"/>
      <c r="AH1605" s="146"/>
      <c r="AI1605" s="147"/>
      <c r="AJ1605" s="148"/>
      <c r="AK1605" s="143"/>
      <c r="AL1605" s="144"/>
      <c r="AM1605" s="22"/>
      <c r="AN1605" s="149" t="s">
        <v>2131</v>
      </c>
      <c r="AO1605" s="144"/>
      <c r="AP1605" s="148">
        <v>3378</v>
      </c>
      <c r="AQ1605" s="144"/>
      <c r="AR1605" s="120"/>
      <c r="AS1605" s="121"/>
      <c r="AT1605" s="120"/>
      <c r="AU1605" s="121"/>
      <c r="AV1605" s="120"/>
      <c r="AW1605" s="121"/>
      <c r="AX1605" s="120"/>
      <c r="AY1605" s="121"/>
      <c r="AZ1605" s="138"/>
    </row>
    <row r="1606" spans="1:52" ht="17.100000000000001" customHeight="1" thickTop="1">
      <c r="A1606" s="109" t="s">
        <v>6539</v>
      </c>
      <c r="B1606" s="28">
        <v>45919</v>
      </c>
      <c r="C1606" s="25">
        <v>1386</v>
      </c>
      <c r="D1606" s="13" t="s">
        <v>1675</v>
      </c>
      <c r="E1606" s="111"/>
      <c r="F1606" s="113" t="s">
        <v>5135</v>
      </c>
      <c r="G1606" s="114"/>
      <c r="H1606" s="115"/>
      <c r="I1606" s="24" t="s">
        <v>5136</v>
      </c>
      <c r="J1606" s="116">
        <v>4.5</v>
      </c>
      <c r="K1606" s="118">
        <v>700000</v>
      </c>
      <c r="L1606" s="119"/>
      <c r="M1606" s="118">
        <f>K1606*0.1</f>
        <v>70000</v>
      </c>
      <c r="N1606" s="119"/>
      <c r="O1606" s="118">
        <v>0</v>
      </c>
      <c r="P1606" s="119"/>
      <c r="Q1606" s="118">
        <v>9550</v>
      </c>
      <c r="R1606" s="119"/>
      <c r="S1606" s="118">
        <v>13200</v>
      </c>
      <c r="T1606" s="119"/>
      <c r="U1606" s="118">
        <f>SUM(K1606:T1607)</f>
        <v>792750</v>
      </c>
      <c r="V1606" s="122"/>
      <c r="W1606" s="124"/>
      <c r="X1606" s="126" t="s">
        <v>5137</v>
      </c>
      <c r="Y1606" s="127"/>
      <c r="Z1606" s="127"/>
      <c r="AA1606" s="127"/>
      <c r="AB1606" s="128"/>
      <c r="AC1606" s="15" t="s">
        <v>20</v>
      </c>
      <c r="AD1606" s="129" t="s">
        <v>171</v>
      </c>
      <c r="AE1606" s="130"/>
      <c r="AF1606" s="130"/>
      <c r="AG1606" s="130"/>
      <c r="AH1606" s="130"/>
      <c r="AI1606" s="131"/>
      <c r="AJ1606" s="132"/>
      <c r="AK1606" s="127"/>
      <c r="AL1606" s="128"/>
      <c r="AM1606" s="21" t="s">
        <v>8299</v>
      </c>
      <c r="AN1606" s="133">
        <v>45955</v>
      </c>
      <c r="AO1606" s="134"/>
      <c r="AP1606" s="135">
        <v>1273</v>
      </c>
      <c r="AQ1606" s="136"/>
      <c r="AR1606" s="118">
        <v>700000</v>
      </c>
      <c r="AS1606" s="119"/>
      <c r="AT1606" s="118">
        <f>AR1606*0.1</f>
        <v>70000</v>
      </c>
      <c r="AU1606" s="119"/>
      <c r="AV1606" s="118">
        <v>9550</v>
      </c>
      <c r="AW1606" s="119"/>
      <c r="AX1606" s="118">
        <f>SUM(AR1606:AW1606)</f>
        <v>779550</v>
      </c>
      <c r="AY1606" s="119"/>
      <c r="AZ1606" s="137">
        <v>45960</v>
      </c>
    </row>
    <row r="1607" spans="1:52" ht="17.100000000000001" customHeight="1" thickBot="1">
      <c r="A1607" s="110"/>
      <c r="B1607" s="27" t="s">
        <v>2641</v>
      </c>
      <c r="C1607" s="27">
        <v>3113</v>
      </c>
      <c r="D1607" s="14" t="s">
        <v>133</v>
      </c>
      <c r="E1607" s="112"/>
      <c r="F1607" s="139" t="s">
        <v>5138</v>
      </c>
      <c r="G1607" s="140"/>
      <c r="H1607" s="141"/>
      <c r="I1607" s="26">
        <v>41960</v>
      </c>
      <c r="J1607" s="117"/>
      <c r="K1607" s="120"/>
      <c r="L1607" s="121"/>
      <c r="M1607" s="120"/>
      <c r="N1607" s="121"/>
      <c r="O1607" s="120"/>
      <c r="P1607" s="121"/>
      <c r="Q1607" s="120"/>
      <c r="R1607" s="121"/>
      <c r="S1607" s="120"/>
      <c r="T1607" s="121"/>
      <c r="U1607" s="120"/>
      <c r="V1607" s="123"/>
      <c r="W1607" s="125"/>
      <c r="X1607" s="142" t="s">
        <v>5139</v>
      </c>
      <c r="Y1607" s="143"/>
      <c r="Z1607" s="143"/>
      <c r="AA1607" s="143"/>
      <c r="AB1607" s="144"/>
      <c r="AC1607" s="16" t="s">
        <v>21</v>
      </c>
      <c r="AD1607" s="17" t="s">
        <v>4286</v>
      </c>
      <c r="AE1607" s="145" t="s">
        <v>5140</v>
      </c>
      <c r="AF1607" s="146"/>
      <c r="AG1607" s="146"/>
      <c r="AH1607" s="146"/>
      <c r="AI1607" s="147"/>
      <c r="AJ1607" s="148"/>
      <c r="AK1607" s="143"/>
      <c r="AL1607" s="144"/>
      <c r="AM1607" s="22"/>
      <c r="AN1607" s="149" t="s">
        <v>2511</v>
      </c>
      <c r="AO1607" s="144"/>
      <c r="AP1607" s="148">
        <v>60254</v>
      </c>
      <c r="AQ1607" s="144"/>
      <c r="AR1607" s="120"/>
      <c r="AS1607" s="121"/>
      <c r="AT1607" s="120"/>
      <c r="AU1607" s="121"/>
      <c r="AV1607" s="120"/>
      <c r="AW1607" s="121"/>
      <c r="AX1607" s="120"/>
      <c r="AY1607" s="121"/>
      <c r="AZ1607" s="138"/>
    </row>
    <row r="1608" spans="1:52" ht="17.100000000000001" customHeight="1" thickTop="1">
      <c r="A1608" s="109" t="s">
        <v>6540</v>
      </c>
      <c r="B1608" s="28">
        <v>45919</v>
      </c>
      <c r="C1608" s="25">
        <v>1386</v>
      </c>
      <c r="D1608" s="13" t="s">
        <v>2322</v>
      </c>
      <c r="E1608" s="111"/>
      <c r="F1608" s="113" t="s">
        <v>5141</v>
      </c>
      <c r="G1608" s="114"/>
      <c r="H1608" s="115"/>
      <c r="I1608" s="24" t="s">
        <v>5142</v>
      </c>
      <c r="J1608" s="116">
        <v>4</v>
      </c>
      <c r="K1608" s="118">
        <v>544000</v>
      </c>
      <c r="L1608" s="119"/>
      <c r="M1608" s="118">
        <f>K1608*0.1</f>
        <v>54400</v>
      </c>
      <c r="N1608" s="119"/>
      <c r="O1608" s="118">
        <v>0</v>
      </c>
      <c r="P1608" s="119"/>
      <c r="Q1608" s="118">
        <v>7950</v>
      </c>
      <c r="R1608" s="119"/>
      <c r="S1608" s="118">
        <v>13200</v>
      </c>
      <c r="T1608" s="119"/>
      <c r="U1608" s="118">
        <f>SUM(K1608:T1609)</f>
        <v>619550</v>
      </c>
      <c r="V1608" s="122"/>
      <c r="W1608" s="124"/>
      <c r="X1608" s="126" t="s">
        <v>5143</v>
      </c>
      <c r="Y1608" s="127"/>
      <c r="Z1608" s="127"/>
      <c r="AA1608" s="127"/>
      <c r="AB1608" s="128"/>
      <c r="AC1608" s="15" t="s">
        <v>20</v>
      </c>
      <c r="AD1608" s="129"/>
      <c r="AE1608" s="130"/>
      <c r="AF1608" s="130"/>
      <c r="AG1608" s="130"/>
      <c r="AH1608" s="130"/>
      <c r="AI1608" s="131"/>
      <c r="AJ1608" s="132"/>
      <c r="AK1608" s="127"/>
      <c r="AL1608" s="128"/>
      <c r="AM1608" s="21" t="s">
        <v>7713</v>
      </c>
      <c r="AN1608" s="133">
        <v>45952</v>
      </c>
      <c r="AO1608" s="134"/>
      <c r="AP1608" s="135">
        <v>989</v>
      </c>
      <c r="AQ1608" s="136"/>
      <c r="AR1608" s="118">
        <v>630000</v>
      </c>
      <c r="AS1608" s="119"/>
      <c r="AT1608" s="118">
        <f>AR1608*0.1</f>
        <v>63000</v>
      </c>
      <c r="AU1608" s="119"/>
      <c r="AV1608" s="118">
        <v>7950</v>
      </c>
      <c r="AW1608" s="119"/>
      <c r="AX1608" s="118">
        <f>SUM(AR1608:AW1608)</f>
        <v>700950</v>
      </c>
      <c r="AY1608" s="119"/>
      <c r="AZ1608" s="137">
        <v>45957</v>
      </c>
    </row>
    <row r="1609" spans="1:52" ht="17.100000000000001" customHeight="1" thickBot="1">
      <c r="A1609" s="110"/>
      <c r="B1609" s="27" t="s">
        <v>2641</v>
      </c>
      <c r="C1609" s="27">
        <v>3194</v>
      </c>
      <c r="D1609" s="14" t="s">
        <v>904</v>
      </c>
      <c r="E1609" s="112"/>
      <c r="F1609" s="139" t="s">
        <v>5144</v>
      </c>
      <c r="G1609" s="140"/>
      <c r="H1609" s="141"/>
      <c r="I1609" s="26">
        <v>42528</v>
      </c>
      <c r="J1609" s="117"/>
      <c r="K1609" s="120"/>
      <c r="L1609" s="121"/>
      <c r="M1609" s="120"/>
      <c r="N1609" s="121"/>
      <c r="O1609" s="120"/>
      <c r="P1609" s="121"/>
      <c r="Q1609" s="120"/>
      <c r="R1609" s="121"/>
      <c r="S1609" s="120"/>
      <c r="T1609" s="121"/>
      <c r="U1609" s="120"/>
      <c r="V1609" s="123"/>
      <c r="W1609" s="125"/>
      <c r="X1609" s="142" t="s">
        <v>5145</v>
      </c>
      <c r="Y1609" s="143"/>
      <c r="Z1609" s="143"/>
      <c r="AA1609" s="143"/>
      <c r="AB1609" s="144"/>
      <c r="AC1609" s="16" t="s">
        <v>21</v>
      </c>
      <c r="AD1609" s="17" t="s">
        <v>4286</v>
      </c>
      <c r="AE1609" s="145" t="s">
        <v>3624</v>
      </c>
      <c r="AF1609" s="146"/>
      <c r="AG1609" s="146"/>
      <c r="AH1609" s="146"/>
      <c r="AI1609" s="147"/>
      <c r="AJ1609" s="148"/>
      <c r="AK1609" s="143"/>
      <c r="AL1609" s="144"/>
      <c r="AM1609" s="22"/>
      <c r="AN1609" s="149" t="s">
        <v>2794</v>
      </c>
      <c r="AO1609" s="144"/>
      <c r="AP1609" s="148">
        <v>2019</v>
      </c>
      <c r="AQ1609" s="144"/>
      <c r="AR1609" s="120"/>
      <c r="AS1609" s="121"/>
      <c r="AT1609" s="120"/>
      <c r="AU1609" s="121"/>
      <c r="AV1609" s="120"/>
      <c r="AW1609" s="121"/>
      <c r="AX1609" s="120"/>
      <c r="AY1609" s="121"/>
      <c r="AZ1609" s="138"/>
    </row>
    <row r="1610" spans="1:52" ht="17.100000000000001" customHeight="1" thickTop="1">
      <c r="A1610" s="109" t="s">
        <v>6541</v>
      </c>
      <c r="B1610" s="28">
        <v>45919</v>
      </c>
      <c r="C1610" s="25">
        <v>1386</v>
      </c>
      <c r="D1610" s="13" t="s">
        <v>1640</v>
      </c>
      <c r="E1610" s="111"/>
      <c r="F1610" s="113" t="s">
        <v>5146</v>
      </c>
      <c r="G1610" s="114"/>
      <c r="H1610" s="115"/>
      <c r="I1610" s="24" t="s">
        <v>5147</v>
      </c>
      <c r="J1610" s="116">
        <v>4</v>
      </c>
      <c r="K1610" s="118">
        <v>424000</v>
      </c>
      <c r="L1610" s="119"/>
      <c r="M1610" s="118">
        <f>K1610*0.1</f>
        <v>42400</v>
      </c>
      <c r="N1610" s="119"/>
      <c r="O1610" s="118">
        <v>0</v>
      </c>
      <c r="P1610" s="119"/>
      <c r="Q1610" s="118">
        <v>9190</v>
      </c>
      <c r="R1610" s="119"/>
      <c r="S1610" s="118">
        <v>13200</v>
      </c>
      <c r="T1610" s="119"/>
      <c r="U1610" s="118">
        <f>SUM(K1610:T1611)</f>
        <v>488790</v>
      </c>
      <c r="V1610" s="122"/>
      <c r="W1610" s="124"/>
      <c r="X1610" s="126" t="s">
        <v>5148</v>
      </c>
      <c r="Y1610" s="127"/>
      <c r="Z1610" s="127"/>
      <c r="AA1610" s="127"/>
      <c r="AB1610" s="128"/>
      <c r="AC1610" s="15" t="s">
        <v>20</v>
      </c>
      <c r="AD1610" s="129"/>
      <c r="AE1610" s="130"/>
      <c r="AF1610" s="130"/>
      <c r="AG1610" s="130"/>
      <c r="AH1610" s="130"/>
      <c r="AI1610" s="131"/>
      <c r="AJ1610" s="132"/>
      <c r="AK1610" s="127"/>
      <c r="AL1610" s="128"/>
      <c r="AM1610" s="21" t="s">
        <v>7347</v>
      </c>
      <c r="AN1610" s="133">
        <v>45934</v>
      </c>
      <c r="AO1610" s="134"/>
      <c r="AP1610" s="135">
        <v>1270</v>
      </c>
      <c r="AQ1610" s="136"/>
      <c r="AR1610" s="118">
        <v>525000</v>
      </c>
      <c r="AS1610" s="119"/>
      <c r="AT1610" s="118">
        <f>AR1610*0.1</f>
        <v>52500</v>
      </c>
      <c r="AU1610" s="119"/>
      <c r="AV1610" s="118">
        <v>9190</v>
      </c>
      <c r="AW1610" s="119"/>
      <c r="AX1610" s="118">
        <f>SUM(AR1610:AW1610)</f>
        <v>586690</v>
      </c>
      <c r="AY1610" s="119"/>
      <c r="AZ1610" s="137">
        <v>45939</v>
      </c>
    </row>
    <row r="1611" spans="1:52" ht="17.100000000000001" customHeight="1" thickBot="1">
      <c r="A1611" s="110"/>
      <c r="B1611" s="27" t="s">
        <v>2641</v>
      </c>
      <c r="C1611" s="27">
        <v>3196</v>
      </c>
      <c r="D1611" s="14" t="s">
        <v>275</v>
      </c>
      <c r="E1611" s="112"/>
      <c r="F1611" s="139" t="s">
        <v>5149</v>
      </c>
      <c r="G1611" s="140"/>
      <c r="H1611" s="141"/>
      <c r="I1611" s="26">
        <v>57819</v>
      </c>
      <c r="J1611" s="117"/>
      <c r="K1611" s="120"/>
      <c r="L1611" s="121"/>
      <c r="M1611" s="120"/>
      <c r="N1611" s="121"/>
      <c r="O1611" s="120"/>
      <c r="P1611" s="121"/>
      <c r="Q1611" s="120"/>
      <c r="R1611" s="121"/>
      <c r="S1611" s="120"/>
      <c r="T1611" s="121"/>
      <c r="U1611" s="120"/>
      <c r="V1611" s="123"/>
      <c r="W1611" s="125"/>
      <c r="X1611" s="142" t="s">
        <v>5150</v>
      </c>
      <c r="Y1611" s="143"/>
      <c r="Z1611" s="143"/>
      <c r="AA1611" s="143"/>
      <c r="AB1611" s="144"/>
      <c r="AC1611" s="16" t="s">
        <v>21</v>
      </c>
      <c r="AD1611" s="17" t="s">
        <v>4286</v>
      </c>
      <c r="AE1611" s="145" t="s">
        <v>5151</v>
      </c>
      <c r="AF1611" s="146"/>
      <c r="AG1611" s="146"/>
      <c r="AH1611" s="146"/>
      <c r="AI1611" s="147"/>
      <c r="AJ1611" s="148"/>
      <c r="AK1611" s="143"/>
      <c r="AL1611" s="144"/>
      <c r="AM1611" s="22"/>
      <c r="AN1611" s="149" t="s">
        <v>7284</v>
      </c>
      <c r="AO1611" s="144"/>
      <c r="AP1611" s="148">
        <v>60082</v>
      </c>
      <c r="AQ1611" s="144"/>
      <c r="AR1611" s="120"/>
      <c r="AS1611" s="121"/>
      <c r="AT1611" s="120"/>
      <c r="AU1611" s="121"/>
      <c r="AV1611" s="120"/>
      <c r="AW1611" s="121"/>
      <c r="AX1611" s="120"/>
      <c r="AY1611" s="121"/>
      <c r="AZ1611" s="138"/>
    </row>
    <row r="1612" spans="1:52" ht="17.100000000000001" customHeight="1" thickTop="1">
      <c r="A1612" s="109" t="s">
        <v>6542</v>
      </c>
      <c r="B1612" s="28">
        <v>45919</v>
      </c>
      <c r="C1612" s="25">
        <v>1386</v>
      </c>
      <c r="D1612" s="13" t="s">
        <v>2407</v>
      </c>
      <c r="E1612" s="111"/>
      <c r="F1612" s="113" t="s">
        <v>4218</v>
      </c>
      <c r="G1612" s="114"/>
      <c r="H1612" s="115"/>
      <c r="I1612" s="24" t="s">
        <v>5152</v>
      </c>
      <c r="J1612" s="116">
        <v>3.5</v>
      </c>
      <c r="K1612" s="118">
        <v>154000</v>
      </c>
      <c r="L1612" s="119"/>
      <c r="M1612" s="118">
        <f>K1612*0.1</f>
        <v>15400</v>
      </c>
      <c r="N1612" s="119"/>
      <c r="O1612" s="118">
        <v>0</v>
      </c>
      <c r="P1612" s="119"/>
      <c r="Q1612" s="118">
        <v>8930</v>
      </c>
      <c r="R1612" s="119"/>
      <c r="S1612" s="118">
        <v>13200</v>
      </c>
      <c r="T1612" s="119"/>
      <c r="U1612" s="118">
        <f>SUM(K1612:T1613)</f>
        <v>191530</v>
      </c>
      <c r="V1612" s="122"/>
      <c r="W1612" s="124"/>
      <c r="X1612" s="126" t="s">
        <v>5153</v>
      </c>
      <c r="Y1612" s="127"/>
      <c r="Z1612" s="127"/>
      <c r="AA1612" s="127"/>
      <c r="AB1612" s="128"/>
      <c r="AC1612" s="15" t="s">
        <v>20</v>
      </c>
      <c r="AD1612" s="129" t="s">
        <v>171</v>
      </c>
      <c r="AE1612" s="130"/>
      <c r="AF1612" s="130"/>
      <c r="AG1612" s="130"/>
      <c r="AH1612" s="130"/>
      <c r="AI1612" s="131"/>
      <c r="AJ1612" s="132" t="s">
        <v>5154</v>
      </c>
      <c r="AK1612" s="127"/>
      <c r="AL1612" s="128"/>
      <c r="AM1612" s="21" t="s">
        <v>7714</v>
      </c>
      <c r="AN1612" s="133">
        <v>45962</v>
      </c>
      <c r="AO1612" s="134"/>
      <c r="AP1612" s="135">
        <v>1274</v>
      </c>
      <c r="AQ1612" s="136"/>
      <c r="AR1612" s="118">
        <v>205000</v>
      </c>
      <c r="AS1612" s="119"/>
      <c r="AT1612" s="118">
        <f>AR1612*0.1</f>
        <v>20500</v>
      </c>
      <c r="AU1612" s="119"/>
      <c r="AV1612" s="118">
        <v>9790</v>
      </c>
      <c r="AW1612" s="119"/>
      <c r="AX1612" s="118">
        <f>SUM(AR1612:AW1612)</f>
        <v>235290</v>
      </c>
      <c r="AY1612" s="119"/>
      <c r="AZ1612" s="137">
        <v>45965</v>
      </c>
    </row>
    <row r="1613" spans="1:52" ht="17.100000000000001" customHeight="1" thickBot="1">
      <c r="A1613" s="110"/>
      <c r="B1613" s="27" t="s">
        <v>2641</v>
      </c>
      <c r="C1613" s="27">
        <v>3204</v>
      </c>
      <c r="D1613" s="14" t="s">
        <v>3793</v>
      </c>
      <c r="E1613" s="112"/>
      <c r="F1613" s="139" t="s">
        <v>5155</v>
      </c>
      <c r="G1613" s="140"/>
      <c r="H1613" s="141"/>
      <c r="I1613" s="26">
        <v>56300</v>
      </c>
      <c r="J1613" s="117"/>
      <c r="K1613" s="120"/>
      <c r="L1613" s="121"/>
      <c r="M1613" s="120"/>
      <c r="N1613" s="121"/>
      <c r="O1613" s="120"/>
      <c r="P1613" s="121"/>
      <c r="Q1613" s="120"/>
      <c r="R1613" s="121"/>
      <c r="S1613" s="120"/>
      <c r="T1613" s="121"/>
      <c r="U1613" s="120"/>
      <c r="V1613" s="123"/>
      <c r="W1613" s="125"/>
      <c r="X1613" s="142" t="s">
        <v>5156</v>
      </c>
      <c r="Y1613" s="143"/>
      <c r="Z1613" s="143"/>
      <c r="AA1613" s="143"/>
      <c r="AB1613" s="144"/>
      <c r="AC1613" s="16" t="s">
        <v>21</v>
      </c>
      <c r="AD1613" s="17" t="s">
        <v>4286</v>
      </c>
      <c r="AE1613" s="145" t="s">
        <v>5157</v>
      </c>
      <c r="AF1613" s="146"/>
      <c r="AG1613" s="146"/>
      <c r="AH1613" s="146"/>
      <c r="AI1613" s="147"/>
      <c r="AJ1613" s="148"/>
      <c r="AK1613" s="143"/>
      <c r="AL1613" s="144"/>
      <c r="AM1613" s="22"/>
      <c r="AN1613" s="149" t="s">
        <v>2511</v>
      </c>
      <c r="AO1613" s="144"/>
      <c r="AP1613" s="148">
        <v>60383</v>
      </c>
      <c r="AQ1613" s="144"/>
      <c r="AR1613" s="120"/>
      <c r="AS1613" s="121"/>
      <c r="AT1613" s="120"/>
      <c r="AU1613" s="121"/>
      <c r="AV1613" s="120"/>
      <c r="AW1613" s="121"/>
      <c r="AX1613" s="120"/>
      <c r="AY1613" s="121"/>
      <c r="AZ1613" s="138"/>
    </row>
    <row r="1614" spans="1:52" ht="17.100000000000001" customHeight="1" thickTop="1">
      <c r="A1614" s="109" t="s">
        <v>6543</v>
      </c>
      <c r="B1614" s="28">
        <v>45920</v>
      </c>
      <c r="C1614" s="25">
        <v>990</v>
      </c>
      <c r="D1614" s="13" t="s">
        <v>1714</v>
      </c>
      <c r="E1614" s="111"/>
      <c r="F1614" s="113" t="s">
        <v>5158</v>
      </c>
      <c r="G1614" s="114"/>
      <c r="H1614" s="115"/>
      <c r="I1614" s="24"/>
      <c r="J1614" s="116">
        <v>4.5</v>
      </c>
      <c r="K1614" s="118">
        <v>2100000</v>
      </c>
      <c r="L1614" s="119"/>
      <c r="M1614" s="118">
        <f>K1614*0.1</f>
        <v>210000</v>
      </c>
      <c r="N1614" s="119"/>
      <c r="O1614" s="118">
        <v>0</v>
      </c>
      <c r="P1614" s="119"/>
      <c r="Q1614" s="118">
        <v>19250</v>
      </c>
      <c r="R1614" s="119"/>
      <c r="S1614" s="118">
        <v>19090</v>
      </c>
      <c r="T1614" s="119"/>
      <c r="U1614" s="118">
        <f>SUM(K1614:T1615)</f>
        <v>2348340</v>
      </c>
      <c r="V1614" s="122"/>
      <c r="W1614" s="124"/>
      <c r="X1614" s="126" t="s">
        <v>5159</v>
      </c>
      <c r="Y1614" s="127"/>
      <c r="Z1614" s="127"/>
      <c r="AA1614" s="127"/>
      <c r="AB1614" s="128"/>
      <c r="AC1614" s="15" t="s">
        <v>20</v>
      </c>
      <c r="AD1614" s="129" t="s">
        <v>1670</v>
      </c>
      <c r="AE1614" s="130"/>
      <c r="AF1614" s="130"/>
      <c r="AG1614" s="130"/>
      <c r="AH1614" s="130"/>
      <c r="AI1614" s="131"/>
      <c r="AJ1614" s="132"/>
      <c r="AK1614" s="127"/>
      <c r="AL1614" s="128"/>
      <c r="AM1614" s="21"/>
      <c r="AN1614" s="133">
        <v>45962</v>
      </c>
      <c r="AO1614" s="134"/>
      <c r="AP1614" s="135">
        <v>1274</v>
      </c>
      <c r="AQ1614" s="136"/>
      <c r="AR1614" s="118">
        <v>2280000</v>
      </c>
      <c r="AS1614" s="119"/>
      <c r="AT1614" s="118">
        <f>AR1614*0.1</f>
        <v>228000</v>
      </c>
      <c r="AU1614" s="119"/>
      <c r="AV1614" s="118">
        <v>19090</v>
      </c>
      <c r="AW1614" s="119"/>
      <c r="AX1614" s="118">
        <f>SUM(AR1614:AW1614)</f>
        <v>2527090</v>
      </c>
      <c r="AY1614" s="119"/>
      <c r="AZ1614" s="137">
        <v>45965</v>
      </c>
    </row>
    <row r="1615" spans="1:52" ht="17.100000000000001" customHeight="1" thickBot="1">
      <c r="A1615" s="110"/>
      <c r="B1615" s="27" t="s">
        <v>1707</v>
      </c>
      <c r="C1615" s="27">
        <v>5081</v>
      </c>
      <c r="D1615" s="14" t="s">
        <v>2836</v>
      </c>
      <c r="E1615" s="112"/>
      <c r="F1615" s="139" t="s">
        <v>5160</v>
      </c>
      <c r="G1615" s="140"/>
      <c r="H1615" s="141"/>
      <c r="I1615" s="26">
        <v>19206</v>
      </c>
      <c r="J1615" s="117"/>
      <c r="K1615" s="120"/>
      <c r="L1615" s="121"/>
      <c r="M1615" s="120"/>
      <c r="N1615" s="121"/>
      <c r="O1615" s="120"/>
      <c r="P1615" s="121"/>
      <c r="Q1615" s="120"/>
      <c r="R1615" s="121"/>
      <c r="S1615" s="120"/>
      <c r="T1615" s="121"/>
      <c r="U1615" s="120"/>
      <c r="V1615" s="123"/>
      <c r="W1615" s="125"/>
      <c r="X1615" s="142" t="s">
        <v>5161</v>
      </c>
      <c r="Y1615" s="143"/>
      <c r="Z1615" s="143"/>
      <c r="AA1615" s="143"/>
      <c r="AB1615" s="144"/>
      <c r="AC1615" s="16" t="s">
        <v>21</v>
      </c>
      <c r="AD1615" s="17" t="s">
        <v>4607</v>
      </c>
      <c r="AE1615" s="145" t="s">
        <v>5162</v>
      </c>
      <c r="AF1615" s="146"/>
      <c r="AG1615" s="146"/>
      <c r="AH1615" s="146"/>
      <c r="AI1615" s="147"/>
      <c r="AJ1615" s="148"/>
      <c r="AK1615" s="143"/>
      <c r="AL1615" s="144"/>
      <c r="AM1615" s="22"/>
      <c r="AN1615" s="149" t="s">
        <v>2511</v>
      </c>
      <c r="AO1615" s="144"/>
      <c r="AP1615" s="148">
        <v>80069</v>
      </c>
      <c r="AQ1615" s="144"/>
      <c r="AR1615" s="120"/>
      <c r="AS1615" s="121"/>
      <c r="AT1615" s="120"/>
      <c r="AU1615" s="121"/>
      <c r="AV1615" s="120"/>
      <c r="AW1615" s="121"/>
      <c r="AX1615" s="120"/>
      <c r="AY1615" s="121"/>
      <c r="AZ1615" s="138"/>
    </row>
    <row r="1616" spans="1:52" ht="17.100000000000001" customHeight="1" thickTop="1">
      <c r="A1616" s="109" t="s">
        <v>6544</v>
      </c>
      <c r="B1616" s="28">
        <v>45920</v>
      </c>
      <c r="C1616" s="25">
        <v>1511</v>
      </c>
      <c r="D1616" s="13" t="s">
        <v>3478</v>
      </c>
      <c r="E1616" s="111"/>
      <c r="F1616" s="113" t="s">
        <v>3636</v>
      </c>
      <c r="G1616" s="114"/>
      <c r="H1616" s="115"/>
      <c r="I1616" s="24"/>
      <c r="J1616" s="116">
        <v>4.5</v>
      </c>
      <c r="K1616" s="118">
        <v>1610000</v>
      </c>
      <c r="L1616" s="119"/>
      <c r="M1616" s="118">
        <f>K1616*0.1</f>
        <v>161000</v>
      </c>
      <c r="N1616" s="119"/>
      <c r="O1616" s="118">
        <v>0</v>
      </c>
      <c r="P1616" s="119"/>
      <c r="Q1616" s="118">
        <v>16240</v>
      </c>
      <c r="R1616" s="119"/>
      <c r="S1616" s="118">
        <v>16500</v>
      </c>
      <c r="T1616" s="119"/>
      <c r="U1616" s="118">
        <f>SUM(K1616:T1617)</f>
        <v>1803740</v>
      </c>
      <c r="V1616" s="122"/>
      <c r="W1616" s="124"/>
      <c r="X1616" s="126" t="s">
        <v>5163</v>
      </c>
      <c r="Y1616" s="127"/>
      <c r="Z1616" s="127"/>
      <c r="AA1616" s="127"/>
      <c r="AB1616" s="128"/>
      <c r="AC1616" s="15" t="s">
        <v>20</v>
      </c>
      <c r="AD1616" s="129" t="s">
        <v>1690</v>
      </c>
      <c r="AE1616" s="130"/>
      <c r="AF1616" s="130"/>
      <c r="AG1616" s="130"/>
      <c r="AH1616" s="130"/>
      <c r="AI1616" s="131"/>
      <c r="AJ1616" s="132"/>
      <c r="AK1616" s="127"/>
      <c r="AL1616" s="128"/>
      <c r="AM1616" s="21"/>
      <c r="AN1616" s="133"/>
      <c r="AO1616" s="134"/>
      <c r="AP1616" s="135"/>
      <c r="AQ1616" s="136"/>
      <c r="AR1616" s="118"/>
      <c r="AS1616" s="119"/>
      <c r="AT1616" s="118">
        <f>AR1616*0.1</f>
        <v>0</v>
      </c>
      <c r="AU1616" s="119"/>
      <c r="AV1616" s="118"/>
      <c r="AW1616" s="119"/>
      <c r="AX1616" s="118">
        <f>SUM(AR1616:AW1616)</f>
        <v>0</v>
      </c>
      <c r="AY1616" s="119"/>
      <c r="AZ1616" s="137"/>
    </row>
    <row r="1617" spans="1:52" ht="17.100000000000001" customHeight="1" thickBot="1">
      <c r="A1617" s="110"/>
      <c r="B1617" s="27" t="s">
        <v>1555</v>
      </c>
      <c r="C1617" s="27">
        <v>83184</v>
      </c>
      <c r="D1617" s="14" t="s">
        <v>3793</v>
      </c>
      <c r="E1617" s="112"/>
      <c r="F1617" s="139" t="s">
        <v>5164</v>
      </c>
      <c r="G1617" s="140"/>
      <c r="H1617" s="141"/>
      <c r="I1617" s="26">
        <v>52258</v>
      </c>
      <c r="J1617" s="117"/>
      <c r="K1617" s="120"/>
      <c r="L1617" s="121"/>
      <c r="M1617" s="120"/>
      <c r="N1617" s="121"/>
      <c r="O1617" s="120"/>
      <c r="P1617" s="121"/>
      <c r="Q1617" s="120"/>
      <c r="R1617" s="121"/>
      <c r="S1617" s="120"/>
      <c r="T1617" s="121"/>
      <c r="U1617" s="120"/>
      <c r="V1617" s="123"/>
      <c r="W1617" s="125"/>
      <c r="X1617" s="142" t="s">
        <v>1997</v>
      </c>
      <c r="Y1617" s="143"/>
      <c r="Z1617" s="143"/>
      <c r="AA1617" s="143"/>
      <c r="AB1617" s="144"/>
      <c r="AC1617" s="16" t="s">
        <v>21</v>
      </c>
      <c r="AD1617" s="17" t="s">
        <v>5001</v>
      </c>
      <c r="AE1617" s="145" t="s">
        <v>1742</v>
      </c>
      <c r="AF1617" s="146"/>
      <c r="AG1617" s="146"/>
      <c r="AH1617" s="146"/>
      <c r="AI1617" s="147"/>
      <c r="AJ1617" s="148"/>
      <c r="AK1617" s="143"/>
      <c r="AL1617" s="144"/>
      <c r="AM1617" s="22"/>
      <c r="AN1617" s="149"/>
      <c r="AO1617" s="144"/>
      <c r="AP1617" s="148"/>
      <c r="AQ1617" s="144"/>
      <c r="AR1617" s="120"/>
      <c r="AS1617" s="121"/>
      <c r="AT1617" s="120"/>
      <c r="AU1617" s="121"/>
      <c r="AV1617" s="120"/>
      <c r="AW1617" s="121"/>
      <c r="AX1617" s="120"/>
      <c r="AY1617" s="121"/>
      <c r="AZ1617" s="138"/>
    </row>
    <row r="1618" spans="1:52" ht="17.100000000000001" customHeight="1" thickTop="1">
      <c r="A1618" s="109" t="s">
        <v>6545</v>
      </c>
      <c r="B1618" s="28">
        <v>45920</v>
      </c>
      <c r="C1618" s="25">
        <v>1690</v>
      </c>
      <c r="D1618" s="13" t="s">
        <v>2348</v>
      </c>
      <c r="E1618" s="111"/>
      <c r="F1618" s="113" t="s">
        <v>5165</v>
      </c>
      <c r="G1618" s="114"/>
      <c r="H1618" s="115"/>
      <c r="I1618" s="24"/>
      <c r="J1618" s="116">
        <v>4.5</v>
      </c>
      <c r="K1618" s="118">
        <v>1800000</v>
      </c>
      <c r="L1618" s="119"/>
      <c r="M1618" s="118">
        <f>K1618*0.1</f>
        <v>180000</v>
      </c>
      <c r="N1618" s="119"/>
      <c r="O1618" s="118">
        <v>0</v>
      </c>
      <c r="P1618" s="119"/>
      <c r="Q1618" s="118">
        <v>21830</v>
      </c>
      <c r="R1618" s="119"/>
      <c r="S1618" s="118">
        <v>23100</v>
      </c>
      <c r="T1618" s="119"/>
      <c r="U1618" s="118">
        <f>SUM(K1618:T1619)</f>
        <v>2024930</v>
      </c>
      <c r="V1618" s="122"/>
      <c r="W1618" s="124"/>
      <c r="X1618" s="126" t="s">
        <v>5166</v>
      </c>
      <c r="Y1618" s="127"/>
      <c r="Z1618" s="127"/>
      <c r="AA1618" s="127"/>
      <c r="AB1618" s="128"/>
      <c r="AC1618" s="15" t="s">
        <v>20</v>
      </c>
      <c r="AD1618" s="129" t="s">
        <v>1565</v>
      </c>
      <c r="AE1618" s="130"/>
      <c r="AF1618" s="130"/>
      <c r="AG1618" s="130"/>
      <c r="AH1618" s="130"/>
      <c r="AI1618" s="131"/>
      <c r="AJ1618" s="132"/>
      <c r="AK1618" s="127"/>
      <c r="AL1618" s="128"/>
      <c r="AM1618" s="21"/>
      <c r="AN1618" s="133">
        <v>45948</v>
      </c>
      <c r="AO1618" s="134"/>
      <c r="AP1618" s="135">
        <v>1272</v>
      </c>
      <c r="AQ1618" s="136"/>
      <c r="AR1618" s="118">
        <v>1930000</v>
      </c>
      <c r="AS1618" s="119"/>
      <c r="AT1618" s="118">
        <f>AR1618*0.1</f>
        <v>193000</v>
      </c>
      <c r="AU1618" s="119"/>
      <c r="AV1618" s="118">
        <v>21830</v>
      </c>
      <c r="AW1618" s="119"/>
      <c r="AX1618" s="118">
        <f>SUM(AR1618:AW1618)</f>
        <v>2144830</v>
      </c>
      <c r="AY1618" s="119"/>
      <c r="AZ1618" s="137">
        <v>45951</v>
      </c>
    </row>
    <row r="1619" spans="1:52" ht="17.100000000000001" customHeight="1" thickBot="1">
      <c r="A1619" s="110"/>
      <c r="B1619" s="27" t="s">
        <v>1859</v>
      </c>
      <c r="C1619" s="27">
        <v>508</v>
      </c>
      <c r="D1619" s="14" t="s">
        <v>133</v>
      </c>
      <c r="E1619" s="112"/>
      <c r="F1619" s="139" t="s">
        <v>5167</v>
      </c>
      <c r="G1619" s="140"/>
      <c r="H1619" s="141"/>
      <c r="I1619" s="26">
        <v>38666</v>
      </c>
      <c r="J1619" s="117"/>
      <c r="K1619" s="120"/>
      <c r="L1619" s="121"/>
      <c r="M1619" s="120"/>
      <c r="N1619" s="121"/>
      <c r="O1619" s="120"/>
      <c r="P1619" s="121"/>
      <c r="Q1619" s="120"/>
      <c r="R1619" s="121"/>
      <c r="S1619" s="120"/>
      <c r="T1619" s="121"/>
      <c r="U1619" s="120"/>
      <c r="V1619" s="123"/>
      <c r="W1619" s="125"/>
      <c r="X1619" s="142" t="s">
        <v>5168</v>
      </c>
      <c r="Y1619" s="143"/>
      <c r="Z1619" s="143"/>
      <c r="AA1619" s="143"/>
      <c r="AB1619" s="144"/>
      <c r="AC1619" s="16" t="s">
        <v>21</v>
      </c>
      <c r="AD1619" s="17" t="s">
        <v>4286</v>
      </c>
      <c r="AE1619" s="145" t="s">
        <v>1614</v>
      </c>
      <c r="AF1619" s="146"/>
      <c r="AG1619" s="146"/>
      <c r="AH1619" s="146"/>
      <c r="AI1619" s="147"/>
      <c r="AJ1619" s="148"/>
      <c r="AK1619" s="143"/>
      <c r="AL1619" s="144"/>
      <c r="AM1619" s="22"/>
      <c r="AN1619" s="149" t="s">
        <v>2511</v>
      </c>
      <c r="AO1619" s="144"/>
      <c r="AP1619" s="148">
        <v>80120</v>
      </c>
      <c r="AQ1619" s="144"/>
      <c r="AR1619" s="120"/>
      <c r="AS1619" s="121"/>
      <c r="AT1619" s="120"/>
      <c r="AU1619" s="121"/>
      <c r="AV1619" s="120"/>
      <c r="AW1619" s="121"/>
      <c r="AX1619" s="120"/>
      <c r="AY1619" s="121"/>
      <c r="AZ1619" s="138"/>
    </row>
    <row r="1620" spans="1:52" ht="17.100000000000001" customHeight="1" thickTop="1">
      <c r="A1620" s="109" t="s">
        <v>6546</v>
      </c>
      <c r="B1620" s="28">
        <v>45920</v>
      </c>
      <c r="C1620" s="25">
        <v>1268</v>
      </c>
      <c r="D1620" s="13" t="s">
        <v>1845</v>
      </c>
      <c r="E1620" s="111"/>
      <c r="F1620" s="113" t="s">
        <v>2598</v>
      </c>
      <c r="G1620" s="114"/>
      <c r="H1620" s="115"/>
      <c r="I1620" s="24"/>
      <c r="J1620" s="116">
        <v>4</v>
      </c>
      <c r="K1620" s="118">
        <v>1150000</v>
      </c>
      <c r="L1620" s="119"/>
      <c r="M1620" s="118">
        <f>K1620*0.1</f>
        <v>115000</v>
      </c>
      <c r="N1620" s="119"/>
      <c r="O1620" s="118">
        <v>0</v>
      </c>
      <c r="P1620" s="119"/>
      <c r="Q1620" s="118">
        <v>8390</v>
      </c>
      <c r="R1620" s="119"/>
      <c r="S1620" s="118">
        <v>23100</v>
      </c>
      <c r="T1620" s="119"/>
      <c r="U1620" s="118">
        <f>SUM(K1620:T1621)</f>
        <v>1296490</v>
      </c>
      <c r="V1620" s="122"/>
      <c r="W1620" s="124"/>
      <c r="X1620" s="126" t="s">
        <v>6754</v>
      </c>
      <c r="Y1620" s="127"/>
      <c r="Z1620" s="127"/>
      <c r="AA1620" s="127"/>
      <c r="AB1620" s="128"/>
      <c r="AC1620" s="15" t="s">
        <v>20</v>
      </c>
      <c r="AD1620" s="129" t="s">
        <v>1565</v>
      </c>
      <c r="AE1620" s="130"/>
      <c r="AF1620" s="130"/>
      <c r="AG1620" s="130"/>
      <c r="AH1620" s="130"/>
      <c r="AI1620" s="131"/>
      <c r="AJ1620" s="132"/>
      <c r="AK1620" s="127"/>
      <c r="AL1620" s="128"/>
      <c r="AM1620" s="21"/>
      <c r="AN1620" s="133">
        <v>45934</v>
      </c>
      <c r="AO1620" s="134"/>
      <c r="AP1620" s="135">
        <v>1270</v>
      </c>
      <c r="AQ1620" s="136"/>
      <c r="AR1620" s="118">
        <v>1210000</v>
      </c>
      <c r="AS1620" s="119"/>
      <c r="AT1620" s="118">
        <f>AR1620*0.1</f>
        <v>121000</v>
      </c>
      <c r="AU1620" s="119"/>
      <c r="AV1620" s="118">
        <v>8390</v>
      </c>
      <c r="AW1620" s="119"/>
      <c r="AX1620" s="118">
        <f>SUM(AR1620:AW1620)</f>
        <v>1339390</v>
      </c>
      <c r="AY1620" s="119"/>
      <c r="AZ1620" s="137">
        <v>45937</v>
      </c>
    </row>
    <row r="1621" spans="1:52" ht="17.100000000000001" customHeight="1" thickBot="1">
      <c r="A1621" s="110"/>
      <c r="B1621" s="27" t="s">
        <v>2511</v>
      </c>
      <c r="C1621" s="27">
        <v>31208</v>
      </c>
      <c r="D1621" s="14" t="s">
        <v>275</v>
      </c>
      <c r="E1621" s="112"/>
      <c r="F1621" s="139" t="s">
        <v>5169</v>
      </c>
      <c r="G1621" s="140"/>
      <c r="H1621" s="141"/>
      <c r="I1621" s="26">
        <v>23980</v>
      </c>
      <c r="J1621" s="117"/>
      <c r="K1621" s="120"/>
      <c r="L1621" s="121"/>
      <c r="M1621" s="120"/>
      <c r="N1621" s="121"/>
      <c r="O1621" s="120"/>
      <c r="P1621" s="121"/>
      <c r="Q1621" s="120"/>
      <c r="R1621" s="121"/>
      <c r="S1621" s="120"/>
      <c r="T1621" s="121"/>
      <c r="U1621" s="120"/>
      <c r="V1621" s="123"/>
      <c r="W1621" s="125"/>
      <c r="X1621" s="142" t="s">
        <v>6755</v>
      </c>
      <c r="Y1621" s="143"/>
      <c r="Z1621" s="143"/>
      <c r="AA1621" s="143"/>
      <c r="AB1621" s="144"/>
      <c r="AC1621" s="16" t="s">
        <v>21</v>
      </c>
      <c r="AD1621" s="17" t="s">
        <v>6716</v>
      </c>
      <c r="AE1621" s="145" t="s">
        <v>5140</v>
      </c>
      <c r="AF1621" s="146"/>
      <c r="AG1621" s="146"/>
      <c r="AH1621" s="146"/>
      <c r="AI1621" s="147"/>
      <c r="AJ1621" s="148" t="s">
        <v>5170</v>
      </c>
      <c r="AK1621" s="143"/>
      <c r="AL1621" s="144"/>
      <c r="AM1621" s="22"/>
      <c r="AN1621" s="149" t="s">
        <v>7284</v>
      </c>
      <c r="AO1621" s="144"/>
      <c r="AP1621" s="148">
        <v>60319</v>
      </c>
      <c r="AQ1621" s="144"/>
      <c r="AR1621" s="120"/>
      <c r="AS1621" s="121"/>
      <c r="AT1621" s="120"/>
      <c r="AU1621" s="121"/>
      <c r="AV1621" s="120"/>
      <c r="AW1621" s="121"/>
      <c r="AX1621" s="120"/>
      <c r="AY1621" s="121"/>
      <c r="AZ1621" s="138"/>
    </row>
    <row r="1622" spans="1:52" ht="17.100000000000001" customHeight="1" thickTop="1">
      <c r="A1622" s="109" t="s">
        <v>6547</v>
      </c>
      <c r="B1622" s="28">
        <v>45920</v>
      </c>
      <c r="C1622" s="25">
        <v>1268</v>
      </c>
      <c r="D1622" s="13" t="s">
        <v>3749</v>
      </c>
      <c r="E1622" s="111"/>
      <c r="F1622" s="113" t="s">
        <v>5171</v>
      </c>
      <c r="G1622" s="114"/>
      <c r="H1622" s="115"/>
      <c r="I1622" s="24"/>
      <c r="J1622" s="116">
        <v>4.5</v>
      </c>
      <c r="K1622" s="118">
        <v>710000</v>
      </c>
      <c r="L1622" s="119"/>
      <c r="M1622" s="118">
        <f>K1622*0.1</f>
        <v>71000</v>
      </c>
      <c r="N1622" s="119"/>
      <c r="O1622" s="118">
        <v>0</v>
      </c>
      <c r="P1622" s="119"/>
      <c r="Q1622" s="118">
        <v>8470</v>
      </c>
      <c r="R1622" s="119"/>
      <c r="S1622" s="118">
        <v>13200</v>
      </c>
      <c r="T1622" s="119"/>
      <c r="U1622" s="118">
        <f>SUM(K1622:T1623)</f>
        <v>802670</v>
      </c>
      <c r="V1622" s="122"/>
      <c r="W1622" s="124"/>
      <c r="X1622" s="126" t="s">
        <v>6756</v>
      </c>
      <c r="Y1622" s="127"/>
      <c r="Z1622" s="127"/>
      <c r="AA1622" s="127"/>
      <c r="AB1622" s="128"/>
      <c r="AC1622" s="15" t="s">
        <v>20</v>
      </c>
      <c r="AD1622" s="129" t="s">
        <v>5172</v>
      </c>
      <c r="AE1622" s="130"/>
      <c r="AF1622" s="130"/>
      <c r="AG1622" s="130"/>
      <c r="AH1622" s="130"/>
      <c r="AI1622" s="131"/>
      <c r="AJ1622" s="132"/>
      <c r="AK1622" s="127"/>
      <c r="AL1622" s="128"/>
      <c r="AM1622" s="21"/>
      <c r="AN1622" s="133">
        <v>45969</v>
      </c>
      <c r="AO1622" s="134"/>
      <c r="AP1622" s="135">
        <v>1275</v>
      </c>
      <c r="AQ1622" s="136"/>
      <c r="AR1622" s="118">
        <v>705000</v>
      </c>
      <c r="AS1622" s="119"/>
      <c r="AT1622" s="118">
        <f>AR1622*0.1</f>
        <v>70500</v>
      </c>
      <c r="AU1622" s="119"/>
      <c r="AV1622" s="118">
        <v>8470</v>
      </c>
      <c r="AW1622" s="119"/>
      <c r="AX1622" s="118">
        <f>SUM(AR1622:AW1622)</f>
        <v>783970</v>
      </c>
      <c r="AY1622" s="119"/>
      <c r="AZ1622" s="137">
        <v>45972</v>
      </c>
    </row>
    <row r="1623" spans="1:52" ht="17.100000000000001" customHeight="1" thickBot="1">
      <c r="A1623" s="110"/>
      <c r="B1623" s="27" t="s">
        <v>2511</v>
      </c>
      <c r="C1623" s="27">
        <v>65347</v>
      </c>
      <c r="D1623" s="14" t="s">
        <v>2601</v>
      </c>
      <c r="E1623" s="112"/>
      <c r="F1623" s="139" t="s">
        <v>5173</v>
      </c>
      <c r="G1623" s="140"/>
      <c r="H1623" s="141"/>
      <c r="I1623" s="26">
        <v>45321</v>
      </c>
      <c r="J1623" s="117"/>
      <c r="K1623" s="120"/>
      <c r="L1623" s="121"/>
      <c r="M1623" s="120"/>
      <c r="N1623" s="121"/>
      <c r="O1623" s="120"/>
      <c r="P1623" s="121"/>
      <c r="Q1623" s="120"/>
      <c r="R1623" s="121"/>
      <c r="S1623" s="120"/>
      <c r="T1623" s="121"/>
      <c r="U1623" s="120"/>
      <c r="V1623" s="123"/>
      <c r="W1623" s="125"/>
      <c r="X1623" s="142" t="s">
        <v>6757</v>
      </c>
      <c r="Y1623" s="143"/>
      <c r="Z1623" s="143"/>
      <c r="AA1623" s="143"/>
      <c r="AB1623" s="144"/>
      <c r="AC1623" s="16" t="s">
        <v>21</v>
      </c>
      <c r="AD1623" s="17" t="s">
        <v>6716</v>
      </c>
      <c r="AE1623" s="145" t="s">
        <v>6758</v>
      </c>
      <c r="AF1623" s="146"/>
      <c r="AG1623" s="146"/>
      <c r="AH1623" s="146"/>
      <c r="AI1623" s="147"/>
      <c r="AJ1623" s="148" t="s">
        <v>5174</v>
      </c>
      <c r="AK1623" s="143"/>
      <c r="AL1623" s="144"/>
      <c r="AM1623" s="22"/>
      <c r="AN1623" s="149" t="s">
        <v>2511</v>
      </c>
      <c r="AO1623" s="144"/>
      <c r="AP1623" s="148">
        <v>60209</v>
      </c>
      <c r="AQ1623" s="144"/>
      <c r="AR1623" s="120"/>
      <c r="AS1623" s="121"/>
      <c r="AT1623" s="120"/>
      <c r="AU1623" s="121"/>
      <c r="AV1623" s="120"/>
      <c r="AW1623" s="121"/>
      <c r="AX1623" s="120"/>
      <c r="AY1623" s="121"/>
      <c r="AZ1623" s="138"/>
    </row>
    <row r="1624" spans="1:52" ht="17.100000000000001" customHeight="1" thickTop="1">
      <c r="A1624" s="109" t="s">
        <v>6548</v>
      </c>
      <c r="B1624" s="28">
        <v>45920</v>
      </c>
      <c r="C1624" s="25">
        <v>1268</v>
      </c>
      <c r="D1624" s="13" t="s">
        <v>2654</v>
      </c>
      <c r="E1624" s="111"/>
      <c r="F1624" s="113" t="s">
        <v>5175</v>
      </c>
      <c r="G1624" s="114"/>
      <c r="H1624" s="115"/>
      <c r="I1624" s="24" t="s">
        <v>5176</v>
      </c>
      <c r="J1624" s="116">
        <v>4</v>
      </c>
      <c r="K1624" s="118">
        <v>900000</v>
      </c>
      <c r="L1624" s="119"/>
      <c r="M1624" s="118">
        <v>0</v>
      </c>
      <c r="N1624" s="119"/>
      <c r="O1624" s="118">
        <v>0</v>
      </c>
      <c r="P1624" s="119"/>
      <c r="Q1624" s="118">
        <v>9080</v>
      </c>
      <c r="R1624" s="119"/>
      <c r="S1624" s="118">
        <v>23100</v>
      </c>
      <c r="T1624" s="119"/>
      <c r="U1624" s="118">
        <f>SUM(K1624:T1625)</f>
        <v>932180</v>
      </c>
      <c r="V1624" s="122"/>
      <c r="W1624" s="124"/>
      <c r="X1624" s="126" t="s">
        <v>5177</v>
      </c>
      <c r="Y1624" s="127"/>
      <c r="Z1624" s="127"/>
      <c r="AA1624" s="127"/>
      <c r="AB1624" s="128"/>
      <c r="AC1624" s="15" t="s">
        <v>20</v>
      </c>
      <c r="AD1624" s="129" t="s">
        <v>5178</v>
      </c>
      <c r="AE1624" s="130"/>
      <c r="AF1624" s="130"/>
      <c r="AG1624" s="130"/>
      <c r="AH1624" s="130"/>
      <c r="AI1624" s="131"/>
      <c r="AJ1624" s="132" t="s">
        <v>6815</v>
      </c>
      <c r="AK1624" s="127"/>
      <c r="AL1624" s="128"/>
      <c r="AM1624" s="21" t="s">
        <v>6945</v>
      </c>
      <c r="AN1624" s="133">
        <v>45931</v>
      </c>
      <c r="AO1624" s="134"/>
      <c r="AP1624" s="135">
        <v>986</v>
      </c>
      <c r="AQ1624" s="136"/>
      <c r="AR1624" s="118">
        <v>1080000</v>
      </c>
      <c r="AS1624" s="119"/>
      <c r="AT1624" s="118">
        <f>AR1624*0.1</f>
        <v>108000</v>
      </c>
      <c r="AU1624" s="119"/>
      <c r="AV1624" s="118">
        <v>9080</v>
      </c>
      <c r="AW1624" s="119"/>
      <c r="AX1624" s="118">
        <f>SUM(AR1624:AW1624)</f>
        <v>1197080</v>
      </c>
      <c r="AY1624" s="119"/>
      <c r="AZ1624" s="137">
        <v>45937</v>
      </c>
    </row>
    <row r="1625" spans="1:52" ht="17.100000000000001" customHeight="1" thickBot="1">
      <c r="A1625" s="110"/>
      <c r="B1625" s="27" t="s">
        <v>2511</v>
      </c>
      <c r="C1625" s="27">
        <v>65508</v>
      </c>
      <c r="D1625" s="14" t="s">
        <v>1720</v>
      </c>
      <c r="E1625" s="112"/>
      <c r="F1625" s="139" t="s">
        <v>5179</v>
      </c>
      <c r="G1625" s="140"/>
      <c r="H1625" s="141"/>
      <c r="I1625" s="26">
        <v>43159</v>
      </c>
      <c r="J1625" s="117"/>
      <c r="K1625" s="120"/>
      <c r="L1625" s="121"/>
      <c r="M1625" s="120"/>
      <c r="N1625" s="121"/>
      <c r="O1625" s="120"/>
      <c r="P1625" s="121"/>
      <c r="Q1625" s="120"/>
      <c r="R1625" s="121"/>
      <c r="S1625" s="120"/>
      <c r="T1625" s="121"/>
      <c r="U1625" s="120"/>
      <c r="V1625" s="123"/>
      <c r="W1625" s="125"/>
      <c r="X1625" s="142" t="s">
        <v>6715</v>
      </c>
      <c r="Y1625" s="143"/>
      <c r="Z1625" s="143"/>
      <c r="AA1625" s="143"/>
      <c r="AB1625" s="144"/>
      <c r="AC1625" s="16" t="s">
        <v>21</v>
      </c>
      <c r="AD1625" s="17" t="s">
        <v>6716</v>
      </c>
      <c r="AE1625" s="145" t="s">
        <v>6717</v>
      </c>
      <c r="AF1625" s="146"/>
      <c r="AG1625" s="146"/>
      <c r="AH1625" s="146"/>
      <c r="AI1625" s="147"/>
      <c r="AJ1625" s="148" t="s">
        <v>5180</v>
      </c>
      <c r="AK1625" s="143"/>
      <c r="AL1625" s="144"/>
      <c r="AM1625" s="22"/>
      <c r="AN1625" s="149" t="s">
        <v>2794</v>
      </c>
      <c r="AO1625" s="144"/>
      <c r="AP1625" s="148">
        <v>2063</v>
      </c>
      <c r="AQ1625" s="144"/>
      <c r="AR1625" s="120"/>
      <c r="AS1625" s="121"/>
      <c r="AT1625" s="120"/>
      <c r="AU1625" s="121"/>
      <c r="AV1625" s="120"/>
      <c r="AW1625" s="121"/>
      <c r="AX1625" s="120"/>
      <c r="AY1625" s="121"/>
      <c r="AZ1625" s="138"/>
    </row>
    <row r="1626" spans="1:52" ht="17.100000000000001" customHeight="1" thickTop="1">
      <c r="A1626" s="109" t="s">
        <v>6549</v>
      </c>
      <c r="B1626" s="28">
        <v>45920</v>
      </c>
      <c r="C1626" s="25">
        <v>1268</v>
      </c>
      <c r="D1626" s="13" t="s">
        <v>3322</v>
      </c>
      <c r="E1626" s="111"/>
      <c r="F1626" s="113" t="s">
        <v>5181</v>
      </c>
      <c r="G1626" s="114"/>
      <c r="H1626" s="115"/>
      <c r="I1626" s="24"/>
      <c r="J1626" s="116">
        <v>4</v>
      </c>
      <c r="K1626" s="118">
        <v>1510000</v>
      </c>
      <c r="L1626" s="119"/>
      <c r="M1626" s="118">
        <f>K1626*0.1</f>
        <v>151000</v>
      </c>
      <c r="N1626" s="119"/>
      <c r="O1626" s="118">
        <v>0</v>
      </c>
      <c r="P1626" s="119"/>
      <c r="Q1626" s="118">
        <v>21220</v>
      </c>
      <c r="R1626" s="119"/>
      <c r="S1626" s="118">
        <v>16500</v>
      </c>
      <c r="T1626" s="119"/>
      <c r="U1626" s="118">
        <f>SUM(K1626:T1627)</f>
        <v>1698720</v>
      </c>
      <c r="V1626" s="122"/>
      <c r="W1626" s="124"/>
      <c r="X1626" s="126" t="s">
        <v>6760</v>
      </c>
      <c r="Y1626" s="127"/>
      <c r="Z1626" s="127"/>
      <c r="AA1626" s="127"/>
      <c r="AB1626" s="128"/>
      <c r="AC1626" s="15" t="s">
        <v>20</v>
      </c>
      <c r="AD1626" s="129" t="s">
        <v>1732</v>
      </c>
      <c r="AE1626" s="130"/>
      <c r="AF1626" s="130"/>
      <c r="AG1626" s="130"/>
      <c r="AH1626" s="130"/>
      <c r="AI1626" s="131"/>
      <c r="AJ1626" s="132"/>
      <c r="AK1626" s="127"/>
      <c r="AL1626" s="128"/>
      <c r="AM1626" s="21"/>
      <c r="AN1626" s="133">
        <v>45934</v>
      </c>
      <c r="AO1626" s="134"/>
      <c r="AP1626" s="135">
        <v>1270</v>
      </c>
      <c r="AQ1626" s="136"/>
      <c r="AR1626" s="118">
        <v>1670000</v>
      </c>
      <c r="AS1626" s="119"/>
      <c r="AT1626" s="118">
        <f>AR1626*0.1</f>
        <v>167000</v>
      </c>
      <c r="AU1626" s="119"/>
      <c r="AV1626" s="118">
        <v>21200</v>
      </c>
      <c r="AW1626" s="119"/>
      <c r="AX1626" s="118">
        <f>SUM(AR1626:AW1626)</f>
        <v>1858200</v>
      </c>
      <c r="AY1626" s="119"/>
      <c r="AZ1626" s="137">
        <v>45938</v>
      </c>
    </row>
    <row r="1627" spans="1:52" ht="17.100000000000001" customHeight="1" thickBot="1">
      <c r="A1627" s="110"/>
      <c r="B1627" s="27" t="s">
        <v>2511</v>
      </c>
      <c r="C1627" s="27">
        <v>82009</v>
      </c>
      <c r="D1627" s="14" t="s">
        <v>133</v>
      </c>
      <c r="E1627" s="112"/>
      <c r="F1627" s="139" t="s">
        <v>5182</v>
      </c>
      <c r="G1627" s="140"/>
      <c r="H1627" s="141"/>
      <c r="I1627" s="26">
        <v>48900</v>
      </c>
      <c r="J1627" s="117"/>
      <c r="K1627" s="120"/>
      <c r="L1627" s="121"/>
      <c r="M1627" s="120"/>
      <c r="N1627" s="121"/>
      <c r="O1627" s="120"/>
      <c r="P1627" s="121"/>
      <c r="Q1627" s="120"/>
      <c r="R1627" s="121"/>
      <c r="S1627" s="120"/>
      <c r="T1627" s="121"/>
      <c r="U1627" s="120"/>
      <c r="V1627" s="123"/>
      <c r="W1627" s="125"/>
      <c r="X1627" s="142" t="s">
        <v>1594</v>
      </c>
      <c r="Y1627" s="143"/>
      <c r="Z1627" s="143"/>
      <c r="AA1627" s="143"/>
      <c r="AB1627" s="144"/>
      <c r="AC1627" s="16" t="s">
        <v>21</v>
      </c>
      <c r="AD1627" s="17" t="s">
        <v>6716</v>
      </c>
      <c r="AE1627" s="145" t="s">
        <v>1614</v>
      </c>
      <c r="AF1627" s="146"/>
      <c r="AG1627" s="146"/>
      <c r="AH1627" s="146"/>
      <c r="AI1627" s="147"/>
      <c r="AJ1627" s="148"/>
      <c r="AK1627" s="143"/>
      <c r="AL1627" s="144"/>
      <c r="AM1627" s="22"/>
      <c r="AN1627" s="149" t="s">
        <v>6749</v>
      </c>
      <c r="AO1627" s="144"/>
      <c r="AP1627" s="148">
        <v>80063</v>
      </c>
      <c r="AQ1627" s="144"/>
      <c r="AR1627" s="120"/>
      <c r="AS1627" s="121"/>
      <c r="AT1627" s="120"/>
      <c r="AU1627" s="121"/>
      <c r="AV1627" s="120"/>
      <c r="AW1627" s="121"/>
      <c r="AX1627" s="120"/>
      <c r="AY1627" s="121"/>
      <c r="AZ1627" s="138"/>
    </row>
    <row r="1628" spans="1:52" ht="17.100000000000001" customHeight="1" thickTop="1">
      <c r="A1628" s="109" t="s">
        <v>6550</v>
      </c>
      <c r="B1628" s="28">
        <v>45920</v>
      </c>
      <c r="C1628" s="25">
        <v>1268</v>
      </c>
      <c r="D1628" s="13" t="s">
        <v>2187</v>
      </c>
      <c r="E1628" s="111"/>
      <c r="F1628" s="113" t="s">
        <v>5183</v>
      </c>
      <c r="G1628" s="114"/>
      <c r="H1628" s="115"/>
      <c r="I1628" s="24"/>
      <c r="J1628" s="116">
        <v>4</v>
      </c>
      <c r="K1628" s="118">
        <v>2010000</v>
      </c>
      <c r="L1628" s="119"/>
      <c r="M1628" s="118">
        <f>K1628*0.1</f>
        <v>201000</v>
      </c>
      <c r="N1628" s="119"/>
      <c r="O1628" s="118">
        <v>0</v>
      </c>
      <c r="P1628" s="119"/>
      <c r="Q1628" s="118">
        <v>19090</v>
      </c>
      <c r="R1628" s="119"/>
      <c r="S1628" s="118">
        <v>16500</v>
      </c>
      <c r="T1628" s="119"/>
      <c r="U1628" s="118">
        <f>SUM(K1628:T1629)</f>
        <v>2246590</v>
      </c>
      <c r="V1628" s="122"/>
      <c r="W1628" s="124"/>
      <c r="X1628" s="126" t="s">
        <v>6752</v>
      </c>
      <c r="Y1628" s="127"/>
      <c r="Z1628" s="127"/>
      <c r="AA1628" s="127"/>
      <c r="AB1628" s="128"/>
      <c r="AC1628" s="15" t="s">
        <v>20</v>
      </c>
      <c r="AD1628" s="129" t="s">
        <v>1732</v>
      </c>
      <c r="AE1628" s="130"/>
      <c r="AF1628" s="130"/>
      <c r="AG1628" s="130"/>
      <c r="AH1628" s="130"/>
      <c r="AI1628" s="131"/>
      <c r="AJ1628" s="132"/>
      <c r="AK1628" s="127"/>
      <c r="AL1628" s="128"/>
      <c r="AM1628" s="21"/>
      <c r="AN1628" s="133">
        <v>45927</v>
      </c>
      <c r="AO1628" s="134"/>
      <c r="AP1628" s="135">
        <v>1269</v>
      </c>
      <c r="AQ1628" s="136"/>
      <c r="AR1628" s="118">
        <v>2170000</v>
      </c>
      <c r="AS1628" s="119"/>
      <c r="AT1628" s="118">
        <f>AR1628*0.1</f>
        <v>217000</v>
      </c>
      <c r="AU1628" s="119"/>
      <c r="AV1628" s="118">
        <v>19090</v>
      </c>
      <c r="AW1628" s="119"/>
      <c r="AX1628" s="118">
        <f>SUM(AR1628:AW1628)</f>
        <v>2406090</v>
      </c>
      <c r="AY1628" s="119"/>
      <c r="AZ1628" s="137">
        <v>45937</v>
      </c>
    </row>
    <row r="1629" spans="1:52" ht="17.100000000000001" customHeight="1" thickBot="1">
      <c r="A1629" s="110"/>
      <c r="B1629" s="27" t="s">
        <v>2511</v>
      </c>
      <c r="C1629" s="27">
        <v>82097</v>
      </c>
      <c r="D1629" s="14" t="s">
        <v>1592</v>
      </c>
      <c r="E1629" s="112"/>
      <c r="F1629" s="139" t="s">
        <v>5184</v>
      </c>
      <c r="G1629" s="140"/>
      <c r="H1629" s="141"/>
      <c r="I1629" s="26">
        <v>59317</v>
      </c>
      <c r="J1629" s="117"/>
      <c r="K1629" s="120"/>
      <c r="L1629" s="121"/>
      <c r="M1629" s="120"/>
      <c r="N1629" s="121"/>
      <c r="O1629" s="120"/>
      <c r="P1629" s="121"/>
      <c r="Q1629" s="120"/>
      <c r="R1629" s="121"/>
      <c r="S1629" s="120"/>
      <c r="T1629" s="121"/>
      <c r="U1629" s="120"/>
      <c r="V1629" s="123"/>
      <c r="W1629" s="125"/>
      <c r="X1629" s="142" t="s">
        <v>6753</v>
      </c>
      <c r="Y1629" s="143"/>
      <c r="Z1629" s="143"/>
      <c r="AA1629" s="143"/>
      <c r="AB1629" s="144"/>
      <c r="AC1629" s="16" t="s">
        <v>21</v>
      </c>
      <c r="AD1629" s="17" t="s">
        <v>6716</v>
      </c>
      <c r="AE1629" s="145" t="s">
        <v>1614</v>
      </c>
      <c r="AF1629" s="146"/>
      <c r="AG1629" s="146"/>
      <c r="AH1629" s="146"/>
      <c r="AI1629" s="147"/>
      <c r="AJ1629" s="148"/>
      <c r="AK1629" s="143"/>
      <c r="AL1629" s="144"/>
      <c r="AM1629" s="22"/>
      <c r="AN1629" s="149" t="s">
        <v>6748</v>
      </c>
      <c r="AO1629" s="144"/>
      <c r="AP1629" s="148">
        <v>80016</v>
      </c>
      <c r="AQ1629" s="144"/>
      <c r="AR1629" s="120"/>
      <c r="AS1629" s="121"/>
      <c r="AT1629" s="120"/>
      <c r="AU1629" s="121"/>
      <c r="AV1629" s="120"/>
      <c r="AW1629" s="121"/>
      <c r="AX1629" s="120"/>
      <c r="AY1629" s="121"/>
      <c r="AZ1629" s="138"/>
    </row>
    <row r="1630" spans="1:52" ht="17.100000000000001" customHeight="1" thickTop="1">
      <c r="A1630" s="109" t="s">
        <v>6551</v>
      </c>
      <c r="B1630" s="28">
        <v>45920</v>
      </c>
      <c r="C1630" s="25">
        <v>1268</v>
      </c>
      <c r="D1630" s="13" t="s">
        <v>2179</v>
      </c>
      <c r="E1630" s="111"/>
      <c r="F1630" s="113" t="s">
        <v>1871</v>
      </c>
      <c r="G1630" s="114"/>
      <c r="H1630" s="115"/>
      <c r="I1630" s="24" t="s">
        <v>1547</v>
      </c>
      <c r="J1630" s="116">
        <v>4.5</v>
      </c>
      <c r="K1630" s="118">
        <v>600000</v>
      </c>
      <c r="L1630" s="119"/>
      <c r="M1630" s="118">
        <f>K1630*0.1</f>
        <v>60000</v>
      </c>
      <c r="N1630" s="119"/>
      <c r="O1630" s="118">
        <f>19700+1970</f>
        <v>21670</v>
      </c>
      <c r="P1630" s="119"/>
      <c r="Q1630" s="118">
        <v>18960</v>
      </c>
      <c r="R1630" s="119"/>
      <c r="S1630" s="118">
        <v>16500</v>
      </c>
      <c r="T1630" s="119"/>
      <c r="U1630" s="118">
        <f>SUM(K1630:T1631)</f>
        <v>717130</v>
      </c>
      <c r="V1630" s="122"/>
      <c r="W1630" s="124"/>
      <c r="X1630" s="126" t="s">
        <v>5185</v>
      </c>
      <c r="Y1630" s="127"/>
      <c r="Z1630" s="127"/>
      <c r="AA1630" s="127"/>
      <c r="AB1630" s="128"/>
      <c r="AC1630" s="15" t="s">
        <v>20</v>
      </c>
      <c r="AD1630" s="129" t="s">
        <v>1633</v>
      </c>
      <c r="AE1630" s="130"/>
      <c r="AF1630" s="130"/>
      <c r="AG1630" s="130"/>
      <c r="AH1630" s="130"/>
      <c r="AI1630" s="131"/>
      <c r="AJ1630" s="132"/>
      <c r="AK1630" s="127"/>
      <c r="AL1630" s="128"/>
      <c r="AM1630" s="21" t="s">
        <v>8325</v>
      </c>
      <c r="AN1630" s="133">
        <v>45983</v>
      </c>
      <c r="AO1630" s="134"/>
      <c r="AP1630" s="135">
        <v>1277</v>
      </c>
      <c r="AQ1630" s="136"/>
      <c r="AR1630" s="118">
        <v>700000</v>
      </c>
      <c r="AS1630" s="119"/>
      <c r="AT1630" s="118">
        <f>AR1630*0.1</f>
        <v>70000</v>
      </c>
      <c r="AU1630" s="119"/>
      <c r="AV1630" s="118">
        <v>18960</v>
      </c>
      <c r="AW1630" s="119"/>
      <c r="AX1630" s="118">
        <f>SUM(AR1630:AW1630)</f>
        <v>788960</v>
      </c>
      <c r="AY1630" s="119"/>
      <c r="AZ1630" s="137">
        <v>45987</v>
      </c>
    </row>
    <row r="1631" spans="1:52" ht="17.100000000000001" customHeight="1" thickBot="1">
      <c r="A1631" s="110"/>
      <c r="B1631" s="27" t="s">
        <v>2511</v>
      </c>
      <c r="C1631" s="27">
        <v>82293</v>
      </c>
      <c r="D1631" s="14" t="s">
        <v>1635</v>
      </c>
      <c r="E1631" s="112"/>
      <c r="F1631" s="139" t="s">
        <v>5186</v>
      </c>
      <c r="G1631" s="140"/>
      <c r="H1631" s="141"/>
      <c r="I1631" s="26">
        <v>65690</v>
      </c>
      <c r="J1631" s="117"/>
      <c r="K1631" s="120"/>
      <c r="L1631" s="121"/>
      <c r="M1631" s="120"/>
      <c r="N1631" s="121"/>
      <c r="O1631" s="120"/>
      <c r="P1631" s="121"/>
      <c r="Q1631" s="120"/>
      <c r="R1631" s="121"/>
      <c r="S1631" s="120"/>
      <c r="T1631" s="121"/>
      <c r="U1631" s="120"/>
      <c r="V1631" s="123"/>
      <c r="W1631" s="125"/>
      <c r="X1631" s="142" t="s">
        <v>6759</v>
      </c>
      <c r="Y1631" s="143"/>
      <c r="Z1631" s="143"/>
      <c r="AA1631" s="143"/>
      <c r="AB1631" s="144"/>
      <c r="AC1631" s="16" t="s">
        <v>21</v>
      </c>
      <c r="AD1631" s="17" t="s">
        <v>6716</v>
      </c>
      <c r="AE1631" s="145" t="s">
        <v>1742</v>
      </c>
      <c r="AF1631" s="146"/>
      <c r="AG1631" s="146"/>
      <c r="AH1631" s="146"/>
      <c r="AI1631" s="147"/>
      <c r="AJ1631" s="148"/>
      <c r="AK1631" s="143"/>
      <c r="AL1631" s="144"/>
      <c r="AM1631" s="22"/>
      <c r="AN1631" s="149" t="s">
        <v>2511</v>
      </c>
      <c r="AO1631" s="144"/>
      <c r="AP1631" s="148">
        <v>80260</v>
      </c>
      <c r="AQ1631" s="144"/>
      <c r="AR1631" s="120"/>
      <c r="AS1631" s="121"/>
      <c r="AT1631" s="120"/>
      <c r="AU1631" s="121"/>
      <c r="AV1631" s="120"/>
      <c r="AW1631" s="121"/>
      <c r="AX1631" s="120"/>
      <c r="AY1631" s="121"/>
      <c r="AZ1631" s="138"/>
    </row>
    <row r="1632" spans="1:52" ht="17.100000000000001" customHeight="1" thickTop="1">
      <c r="A1632" s="109" t="s">
        <v>6552</v>
      </c>
      <c r="B1632" s="28">
        <v>45920</v>
      </c>
      <c r="C1632" s="25">
        <v>1268</v>
      </c>
      <c r="D1632" s="13" t="s">
        <v>2970</v>
      </c>
      <c r="E1632" s="111"/>
      <c r="F1632" s="113" t="s">
        <v>4559</v>
      </c>
      <c r="G1632" s="114"/>
      <c r="H1632" s="115"/>
      <c r="I1632" s="24" t="s">
        <v>3490</v>
      </c>
      <c r="J1632" s="116">
        <v>4</v>
      </c>
      <c r="K1632" s="118">
        <v>1400000</v>
      </c>
      <c r="L1632" s="119"/>
      <c r="M1632" s="118">
        <f>K1632*0.1</f>
        <v>140000</v>
      </c>
      <c r="N1632" s="119"/>
      <c r="O1632" s="118">
        <f>15200+1520</f>
        <v>16720</v>
      </c>
      <c r="P1632" s="119"/>
      <c r="Q1632" s="118">
        <v>16240</v>
      </c>
      <c r="R1632" s="119"/>
      <c r="S1632" s="118">
        <v>16500</v>
      </c>
      <c r="T1632" s="119"/>
      <c r="U1632" s="118">
        <f>SUM(K1632:T1633)</f>
        <v>1589460</v>
      </c>
      <c r="V1632" s="122"/>
      <c r="W1632" s="124"/>
      <c r="X1632" s="126" t="s">
        <v>5187</v>
      </c>
      <c r="Y1632" s="127"/>
      <c r="Z1632" s="127"/>
      <c r="AA1632" s="127"/>
      <c r="AB1632" s="128"/>
      <c r="AC1632" s="15" t="s">
        <v>20</v>
      </c>
      <c r="AD1632" s="129" t="s">
        <v>1633</v>
      </c>
      <c r="AE1632" s="130"/>
      <c r="AF1632" s="130"/>
      <c r="AG1632" s="130"/>
      <c r="AH1632" s="130"/>
      <c r="AI1632" s="131"/>
      <c r="AJ1632" s="132"/>
      <c r="AK1632" s="127"/>
      <c r="AL1632" s="128"/>
      <c r="AM1632" s="21"/>
      <c r="AN1632" s="133">
        <v>45931</v>
      </c>
      <c r="AO1632" s="134"/>
      <c r="AP1632" s="135">
        <v>1269</v>
      </c>
      <c r="AQ1632" s="136"/>
      <c r="AR1632" s="118">
        <v>1460000</v>
      </c>
      <c r="AS1632" s="119"/>
      <c r="AT1632" s="118">
        <f>AR1632*0.1</f>
        <v>146000</v>
      </c>
      <c r="AU1632" s="119"/>
      <c r="AV1632" s="118">
        <v>16240</v>
      </c>
      <c r="AW1632" s="119"/>
      <c r="AX1632" s="118">
        <f>SUM(AR1632:AW1632)</f>
        <v>1622240</v>
      </c>
      <c r="AY1632" s="119"/>
      <c r="AZ1632" s="137">
        <v>45937</v>
      </c>
    </row>
    <row r="1633" spans="1:52" ht="17.100000000000001" customHeight="1" thickBot="1">
      <c r="A1633" s="110"/>
      <c r="B1633" s="27" t="s">
        <v>2511</v>
      </c>
      <c r="C1633" s="27">
        <v>82371</v>
      </c>
      <c r="D1633" s="14" t="s">
        <v>133</v>
      </c>
      <c r="E1633" s="112"/>
      <c r="F1633" s="139" t="s">
        <v>5188</v>
      </c>
      <c r="G1633" s="140"/>
      <c r="H1633" s="141"/>
      <c r="I1633" s="26">
        <v>52124</v>
      </c>
      <c r="J1633" s="117"/>
      <c r="K1633" s="120"/>
      <c r="L1633" s="121"/>
      <c r="M1633" s="120"/>
      <c r="N1633" s="121"/>
      <c r="O1633" s="120"/>
      <c r="P1633" s="121"/>
      <c r="Q1633" s="120"/>
      <c r="R1633" s="121"/>
      <c r="S1633" s="120"/>
      <c r="T1633" s="121"/>
      <c r="U1633" s="120"/>
      <c r="V1633" s="123"/>
      <c r="W1633" s="125"/>
      <c r="X1633" s="142" t="s">
        <v>3410</v>
      </c>
      <c r="Y1633" s="143"/>
      <c r="Z1633" s="143"/>
      <c r="AA1633" s="143"/>
      <c r="AB1633" s="144"/>
      <c r="AC1633" s="16" t="s">
        <v>21</v>
      </c>
      <c r="AD1633" s="17" t="s">
        <v>6716</v>
      </c>
      <c r="AE1633" s="145" t="s">
        <v>1742</v>
      </c>
      <c r="AF1633" s="146"/>
      <c r="AG1633" s="146"/>
      <c r="AH1633" s="146"/>
      <c r="AI1633" s="147"/>
      <c r="AJ1633" s="148"/>
      <c r="AK1633" s="143"/>
      <c r="AL1633" s="144"/>
      <c r="AM1633" s="22"/>
      <c r="AN1633" s="149" t="s">
        <v>6749</v>
      </c>
      <c r="AO1633" s="144"/>
      <c r="AP1633" s="148">
        <v>80267</v>
      </c>
      <c r="AQ1633" s="144"/>
      <c r="AR1633" s="120"/>
      <c r="AS1633" s="121"/>
      <c r="AT1633" s="120"/>
      <c r="AU1633" s="121"/>
      <c r="AV1633" s="120"/>
      <c r="AW1633" s="121"/>
      <c r="AX1633" s="120"/>
      <c r="AY1633" s="121"/>
      <c r="AZ1633" s="138"/>
    </row>
    <row r="1634" spans="1:52" ht="17.100000000000001" customHeight="1" thickTop="1">
      <c r="A1634" s="109" t="s">
        <v>6553</v>
      </c>
      <c r="B1634" s="28">
        <v>45920</v>
      </c>
      <c r="C1634" s="25">
        <v>1268</v>
      </c>
      <c r="D1634" s="13" t="s">
        <v>1714</v>
      </c>
      <c r="E1634" s="111"/>
      <c r="F1634" s="113" t="s">
        <v>5189</v>
      </c>
      <c r="G1634" s="114"/>
      <c r="H1634" s="115"/>
      <c r="I1634" s="24" t="s">
        <v>2526</v>
      </c>
      <c r="J1634" s="116">
        <v>4.5</v>
      </c>
      <c r="K1634" s="118">
        <v>6745000</v>
      </c>
      <c r="L1634" s="119"/>
      <c r="M1634" s="118">
        <f>K1634*0.1</f>
        <v>674500</v>
      </c>
      <c r="N1634" s="119"/>
      <c r="O1634" s="118">
        <f>25000+250</f>
        <v>25250</v>
      </c>
      <c r="P1634" s="119"/>
      <c r="Q1634" s="118">
        <v>19780</v>
      </c>
      <c r="R1634" s="119"/>
      <c r="S1634" s="118">
        <v>16500</v>
      </c>
      <c r="T1634" s="119"/>
      <c r="U1634" s="118">
        <f>SUM(K1634:T1635)</f>
        <v>7481030</v>
      </c>
      <c r="V1634" s="122"/>
      <c r="W1634" s="124"/>
      <c r="X1634" s="126" t="s">
        <v>5190</v>
      </c>
      <c r="Y1634" s="127"/>
      <c r="Z1634" s="127"/>
      <c r="AA1634" s="127"/>
      <c r="AB1634" s="128"/>
      <c r="AC1634" s="15" t="s">
        <v>20</v>
      </c>
      <c r="AD1634" s="129" t="s">
        <v>171</v>
      </c>
      <c r="AE1634" s="130"/>
      <c r="AF1634" s="130"/>
      <c r="AG1634" s="130"/>
      <c r="AH1634" s="130"/>
      <c r="AI1634" s="131"/>
      <c r="AJ1634" s="132"/>
      <c r="AK1634" s="127"/>
      <c r="AL1634" s="128"/>
      <c r="AM1634" s="21"/>
      <c r="AN1634" s="133">
        <v>45932</v>
      </c>
      <c r="AO1634" s="134"/>
      <c r="AP1634" s="135">
        <v>1300</v>
      </c>
      <c r="AQ1634" s="136"/>
      <c r="AR1634" s="118">
        <v>7200000</v>
      </c>
      <c r="AS1634" s="119"/>
      <c r="AT1634" s="118">
        <f>AR1634*0.1</f>
        <v>720000</v>
      </c>
      <c r="AU1634" s="119"/>
      <c r="AV1634" s="118">
        <v>19780</v>
      </c>
      <c r="AW1634" s="119"/>
      <c r="AX1634" s="118">
        <f>SUM(AR1634:AW1634)</f>
        <v>7939780</v>
      </c>
      <c r="AY1634" s="119"/>
      <c r="AZ1634" s="137">
        <v>45933</v>
      </c>
    </row>
    <row r="1635" spans="1:52" ht="17.100000000000001" customHeight="1" thickBot="1">
      <c r="A1635" s="110"/>
      <c r="B1635" s="27" t="s">
        <v>2511</v>
      </c>
      <c r="C1635" s="27">
        <v>82405</v>
      </c>
      <c r="D1635" s="14" t="s">
        <v>1592</v>
      </c>
      <c r="E1635" s="112"/>
      <c r="F1635" s="139" t="s">
        <v>5191</v>
      </c>
      <c r="G1635" s="140"/>
      <c r="H1635" s="141"/>
      <c r="I1635" s="26">
        <v>46744</v>
      </c>
      <c r="J1635" s="117"/>
      <c r="K1635" s="120"/>
      <c r="L1635" s="121"/>
      <c r="M1635" s="120"/>
      <c r="N1635" s="121"/>
      <c r="O1635" s="120"/>
      <c r="P1635" s="121"/>
      <c r="Q1635" s="120"/>
      <c r="R1635" s="121"/>
      <c r="S1635" s="120"/>
      <c r="T1635" s="121"/>
      <c r="U1635" s="120"/>
      <c r="V1635" s="123"/>
      <c r="W1635" s="125"/>
      <c r="X1635" s="142" t="s">
        <v>6840</v>
      </c>
      <c r="Y1635" s="143"/>
      <c r="Z1635" s="143"/>
      <c r="AA1635" s="143"/>
      <c r="AB1635" s="144"/>
      <c r="AC1635" s="16" t="s">
        <v>21</v>
      </c>
      <c r="AD1635" s="17" t="s">
        <v>6834</v>
      </c>
      <c r="AE1635" s="145" t="s">
        <v>171</v>
      </c>
      <c r="AF1635" s="146"/>
      <c r="AG1635" s="146"/>
      <c r="AH1635" s="146"/>
      <c r="AI1635" s="147"/>
      <c r="AJ1635" s="148"/>
      <c r="AK1635" s="143"/>
      <c r="AL1635" s="144"/>
      <c r="AM1635" s="22"/>
      <c r="AN1635" s="149" t="s">
        <v>1747</v>
      </c>
      <c r="AO1635" s="144"/>
      <c r="AP1635" s="148">
        <v>71</v>
      </c>
      <c r="AQ1635" s="144"/>
      <c r="AR1635" s="120"/>
      <c r="AS1635" s="121"/>
      <c r="AT1635" s="120"/>
      <c r="AU1635" s="121"/>
      <c r="AV1635" s="120"/>
      <c r="AW1635" s="121"/>
      <c r="AX1635" s="120"/>
      <c r="AY1635" s="121"/>
      <c r="AZ1635" s="138"/>
    </row>
    <row r="1636" spans="1:52" ht="17.100000000000001" customHeight="1" thickTop="1">
      <c r="A1636" s="109" t="s">
        <v>6554</v>
      </c>
      <c r="B1636" s="28">
        <v>45922</v>
      </c>
      <c r="C1636" s="25">
        <v>53</v>
      </c>
      <c r="D1636" s="13" t="s">
        <v>2654</v>
      </c>
      <c r="E1636" s="111"/>
      <c r="F1636" s="113" t="s">
        <v>5192</v>
      </c>
      <c r="G1636" s="114"/>
      <c r="H1636" s="115"/>
      <c r="I1636" s="24" t="s">
        <v>4314</v>
      </c>
      <c r="J1636" s="116">
        <v>3.5</v>
      </c>
      <c r="K1636" s="118">
        <v>925000</v>
      </c>
      <c r="L1636" s="119"/>
      <c r="M1636" s="118">
        <f>K1636*0.1</f>
        <v>92500</v>
      </c>
      <c r="N1636" s="119"/>
      <c r="O1636" s="118">
        <v>0</v>
      </c>
      <c r="P1636" s="119"/>
      <c r="Q1636" s="118">
        <v>8790</v>
      </c>
      <c r="R1636" s="119"/>
      <c r="S1636" s="118">
        <v>33000</v>
      </c>
      <c r="T1636" s="119"/>
      <c r="U1636" s="118">
        <f>SUM(K1636:T1637)</f>
        <v>1059290</v>
      </c>
      <c r="V1636" s="122"/>
      <c r="W1636" s="124"/>
      <c r="X1636" s="126" t="s">
        <v>7382</v>
      </c>
      <c r="Y1636" s="127"/>
      <c r="Z1636" s="127"/>
      <c r="AA1636" s="127"/>
      <c r="AB1636" s="128"/>
      <c r="AC1636" s="15" t="s">
        <v>20</v>
      </c>
      <c r="AD1636" s="129" t="s">
        <v>171</v>
      </c>
      <c r="AE1636" s="130"/>
      <c r="AF1636" s="130"/>
      <c r="AG1636" s="130"/>
      <c r="AH1636" s="130"/>
      <c r="AI1636" s="131"/>
      <c r="AJ1636" s="132"/>
      <c r="AK1636" s="127"/>
      <c r="AL1636" s="128"/>
      <c r="AM1636" s="21" t="s">
        <v>9126</v>
      </c>
      <c r="AN1636" s="133">
        <v>45962</v>
      </c>
      <c r="AO1636" s="134"/>
      <c r="AP1636" s="135">
        <v>1274</v>
      </c>
      <c r="AQ1636" s="136"/>
      <c r="AR1636" s="118">
        <v>900000</v>
      </c>
      <c r="AS1636" s="119"/>
      <c r="AT1636" s="118">
        <f>AR1636*0.1</f>
        <v>90000</v>
      </c>
      <c r="AU1636" s="119"/>
      <c r="AV1636" s="118">
        <v>8790</v>
      </c>
      <c r="AW1636" s="119"/>
      <c r="AX1636" s="118">
        <f>SUM(AR1636:AW1636)</f>
        <v>998790</v>
      </c>
      <c r="AY1636" s="119"/>
      <c r="AZ1636" s="137">
        <v>45965</v>
      </c>
    </row>
    <row r="1637" spans="1:52" ht="17.100000000000001" customHeight="1" thickBot="1">
      <c r="A1637" s="110"/>
      <c r="B1637" s="27" t="s">
        <v>4544</v>
      </c>
      <c r="C1637" s="27">
        <v>1004</v>
      </c>
      <c r="D1637" s="14" t="s">
        <v>133</v>
      </c>
      <c r="E1637" s="112"/>
      <c r="F1637" s="139" t="s">
        <v>5193</v>
      </c>
      <c r="G1637" s="140"/>
      <c r="H1637" s="141"/>
      <c r="I1637" s="26">
        <v>33007</v>
      </c>
      <c r="J1637" s="117"/>
      <c r="K1637" s="120"/>
      <c r="L1637" s="121"/>
      <c r="M1637" s="120"/>
      <c r="N1637" s="121"/>
      <c r="O1637" s="120"/>
      <c r="P1637" s="121"/>
      <c r="Q1637" s="120"/>
      <c r="R1637" s="121"/>
      <c r="S1637" s="120"/>
      <c r="T1637" s="121"/>
      <c r="U1637" s="120"/>
      <c r="V1637" s="123"/>
      <c r="W1637" s="125"/>
      <c r="X1637" s="142" t="s">
        <v>7383</v>
      </c>
      <c r="Y1637" s="143"/>
      <c r="Z1637" s="143"/>
      <c r="AA1637" s="143"/>
      <c r="AB1637" s="144"/>
      <c r="AC1637" s="16" t="s">
        <v>21</v>
      </c>
      <c r="AD1637" s="17" t="s">
        <v>2156</v>
      </c>
      <c r="AE1637" s="145" t="s">
        <v>8952</v>
      </c>
      <c r="AF1637" s="146"/>
      <c r="AG1637" s="146"/>
      <c r="AH1637" s="146"/>
      <c r="AI1637" s="147"/>
      <c r="AJ1637" s="148"/>
      <c r="AK1637" s="143"/>
      <c r="AL1637" s="144"/>
      <c r="AM1637" s="22"/>
      <c r="AN1637" s="149" t="s">
        <v>2511</v>
      </c>
      <c r="AO1637" s="144"/>
      <c r="AP1637" s="148">
        <v>65138</v>
      </c>
      <c r="AQ1637" s="144"/>
      <c r="AR1637" s="120"/>
      <c r="AS1637" s="121"/>
      <c r="AT1637" s="120"/>
      <c r="AU1637" s="121"/>
      <c r="AV1637" s="120"/>
      <c r="AW1637" s="121"/>
      <c r="AX1637" s="120"/>
      <c r="AY1637" s="121"/>
      <c r="AZ1637" s="138"/>
    </row>
    <row r="1638" spans="1:52" ht="17.100000000000001" customHeight="1" thickTop="1">
      <c r="A1638" s="109" t="s">
        <v>6555</v>
      </c>
      <c r="B1638" s="28">
        <v>45922</v>
      </c>
      <c r="C1638" s="25">
        <v>53</v>
      </c>
      <c r="D1638" s="13" t="s">
        <v>1922</v>
      </c>
      <c r="E1638" s="111"/>
      <c r="F1638" s="113" t="s">
        <v>5194</v>
      </c>
      <c r="G1638" s="114"/>
      <c r="H1638" s="115"/>
      <c r="I1638" s="24" t="s">
        <v>2571</v>
      </c>
      <c r="J1638" s="116">
        <v>4.5</v>
      </c>
      <c r="K1638" s="118">
        <v>1185000</v>
      </c>
      <c r="L1638" s="119"/>
      <c r="M1638" s="118">
        <f>K1638*0.1</f>
        <v>118500</v>
      </c>
      <c r="N1638" s="119"/>
      <c r="O1638" s="118">
        <v>0</v>
      </c>
      <c r="P1638" s="119"/>
      <c r="Q1638" s="118">
        <v>8640</v>
      </c>
      <c r="R1638" s="119"/>
      <c r="S1638" s="118">
        <v>44000</v>
      </c>
      <c r="T1638" s="119"/>
      <c r="U1638" s="118">
        <f>SUM(K1638:T1639)</f>
        <v>1356140</v>
      </c>
      <c r="V1638" s="122"/>
      <c r="W1638" s="124"/>
      <c r="X1638" s="126" t="s">
        <v>7951</v>
      </c>
      <c r="Y1638" s="127"/>
      <c r="Z1638" s="127"/>
      <c r="AA1638" s="127"/>
      <c r="AB1638" s="128"/>
      <c r="AC1638" s="15" t="s">
        <v>20</v>
      </c>
      <c r="AD1638" s="129" t="s">
        <v>1670</v>
      </c>
      <c r="AE1638" s="130"/>
      <c r="AF1638" s="130"/>
      <c r="AG1638" s="130"/>
      <c r="AH1638" s="130"/>
      <c r="AI1638" s="131"/>
      <c r="AJ1638" s="132"/>
      <c r="AK1638" s="127"/>
      <c r="AL1638" s="128"/>
      <c r="AM1638" s="21"/>
      <c r="AN1638" s="133">
        <v>45951</v>
      </c>
      <c r="AO1638" s="134"/>
      <c r="AP1638" s="135">
        <v>1914</v>
      </c>
      <c r="AQ1638" s="136"/>
      <c r="AR1638" s="118">
        <v>1220000</v>
      </c>
      <c r="AS1638" s="119"/>
      <c r="AT1638" s="118">
        <f>AR1638*0.1</f>
        <v>122000</v>
      </c>
      <c r="AU1638" s="119"/>
      <c r="AV1638" s="118">
        <v>8640</v>
      </c>
      <c r="AW1638" s="119"/>
      <c r="AX1638" s="118">
        <f>SUM(AR1638:AW1638)</f>
        <v>1350640</v>
      </c>
      <c r="AY1638" s="119"/>
      <c r="AZ1638" s="137">
        <v>45957</v>
      </c>
    </row>
    <row r="1639" spans="1:52" ht="17.100000000000001" customHeight="1" thickBot="1">
      <c r="A1639" s="110"/>
      <c r="B1639" s="27" t="s">
        <v>4544</v>
      </c>
      <c r="C1639" s="27">
        <v>1031</v>
      </c>
      <c r="D1639" s="14" t="s">
        <v>1812</v>
      </c>
      <c r="E1639" s="112"/>
      <c r="F1639" s="139" t="s">
        <v>5195</v>
      </c>
      <c r="G1639" s="140"/>
      <c r="H1639" s="141"/>
      <c r="I1639" s="26">
        <v>46894</v>
      </c>
      <c r="J1639" s="117"/>
      <c r="K1639" s="120"/>
      <c r="L1639" s="121"/>
      <c r="M1639" s="120"/>
      <c r="N1639" s="121"/>
      <c r="O1639" s="120"/>
      <c r="P1639" s="121"/>
      <c r="Q1639" s="120"/>
      <c r="R1639" s="121"/>
      <c r="S1639" s="120"/>
      <c r="T1639" s="121"/>
      <c r="U1639" s="120"/>
      <c r="V1639" s="123"/>
      <c r="W1639" s="125"/>
      <c r="X1639" s="142" t="s">
        <v>7952</v>
      </c>
      <c r="Y1639" s="143"/>
      <c r="Z1639" s="143"/>
      <c r="AA1639" s="143"/>
      <c r="AB1639" s="144"/>
      <c r="AC1639" s="16" t="s">
        <v>21</v>
      </c>
      <c r="AD1639" s="17" t="s">
        <v>2604</v>
      </c>
      <c r="AE1639" s="145" t="s">
        <v>1742</v>
      </c>
      <c r="AF1639" s="146"/>
      <c r="AG1639" s="146"/>
      <c r="AH1639" s="146"/>
      <c r="AI1639" s="147"/>
      <c r="AJ1639" s="148"/>
      <c r="AK1639" s="143"/>
      <c r="AL1639" s="144"/>
      <c r="AM1639" s="22"/>
      <c r="AN1639" s="149" t="s">
        <v>2131</v>
      </c>
      <c r="AO1639" s="144"/>
      <c r="AP1639" s="148">
        <v>3189</v>
      </c>
      <c r="AQ1639" s="144"/>
      <c r="AR1639" s="120"/>
      <c r="AS1639" s="121"/>
      <c r="AT1639" s="120"/>
      <c r="AU1639" s="121"/>
      <c r="AV1639" s="120"/>
      <c r="AW1639" s="121"/>
      <c r="AX1639" s="120"/>
      <c r="AY1639" s="121"/>
      <c r="AZ1639" s="138"/>
    </row>
    <row r="1640" spans="1:52" ht="17.100000000000001" customHeight="1" thickTop="1">
      <c r="A1640" s="109" t="s">
        <v>6556</v>
      </c>
      <c r="B1640" s="28">
        <v>45922</v>
      </c>
      <c r="C1640" s="25">
        <v>53</v>
      </c>
      <c r="D1640" s="13" t="s">
        <v>2001</v>
      </c>
      <c r="E1640" s="111"/>
      <c r="F1640" s="113" t="s">
        <v>5196</v>
      </c>
      <c r="G1640" s="114"/>
      <c r="H1640" s="115"/>
      <c r="I1640" s="24" t="s">
        <v>2861</v>
      </c>
      <c r="J1640" s="116">
        <v>4.5</v>
      </c>
      <c r="K1640" s="118">
        <v>855000</v>
      </c>
      <c r="L1640" s="119"/>
      <c r="M1640" s="118">
        <f>K1640*0.1</f>
        <v>85500</v>
      </c>
      <c r="N1640" s="119"/>
      <c r="O1640" s="118">
        <v>0</v>
      </c>
      <c r="P1640" s="119"/>
      <c r="Q1640" s="118">
        <v>6550</v>
      </c>
      <c r="R1640" s="119"/>
      <c r="S1640" s="118">
        <v>33000</v>
      </c>
      <c r="T1640" s="119"/>
      <c r="U1640" s="118">
        <f>SUM(K1640:T1641)</f>
        <v>980050</v>
      </c>
      <c r="V1640" s="122"/>
      <c r="W1640" s="124"/>
      <c r="X1640" s="126" t="s">
        <v>6916</v>
      </c>
      <c r="Y1640" s="127"/>
      <c r="Z1640" s="127"/>
      <c r="AA1640" s="127"/>
      <c r="AB1640" s="128"/>
      <c r="AC1640" s="15" t="s">
        <v>20</v>
      </c>
      <c r="AD1640" s="129" t="s">
        <v>171</v>
      </c>
      <c r="AE1640" s="130"/>
      <c r="AF1640" s="130"/>
      <c r="AG1640" s="130"/>
      <c r="AH1640" s="130"/>
      <c r="AI1640" s="131"/>
      <c r="AJ1640" s="132"/>
      <c r="AK1640" s="127"/>
      <c r="AL1640" s="128"/>
      <c r="AM1640" s="21" t="s">
        <v>8296</v>
      </c>
      <c r="AN1640" s="133">
        <v>45983</v>
      </c>
      <c r="AO1640" s="134"/>
      <c r="AP1640" s="135">
        <v>1277</v>
      </c>
      <c r="AQ1640" s="136"/>
      <c r="AR1640" s="118">
        <v>790000</v>
      </c>
      <c r="AS1640" s="119"/>
      <c r="AT1640" s="118">
        <f>AR1640*0.1</f>
        <v>79000</v>
      </c>
      <c r="AU1640" s="119"/>
      <c r="AV1640" s="118">
        <v>6550</v>
      </c>
      <c r="AW1640" s="119"/>
      <c r="AX1640" s="118">
        <f>SUM(AR1640:AW1640)</f>
        <v>875550</v>
      </c>
      <c r="AY1640" s="119"/>
      <c r="AZ1640" s="137">
        <v>45987</v>
      </c>
    </row>
    <row r="1641" spans="1:52" ht="17.100000000000001" customHeight="1" thickBot="1">
      <c r="A1641" s="110"/>
      <c r="B1641" s="27" t="s">
        <v>4544</v>
      </c>
      <c r="C1641" s="27">
        <v>1059</v>
      </c>
      <c r="D1641" s="14" t="s">
        <v>3793</v>
      </c>
      <c r="E1641" s="112"/>
      <c r="F1641" s="139" t="s">
        <v>5197</v>
      </c>
      <c r="G1641" s="140"/>
      <c r="H1641" s="141"/>
      <c r="I1641" s="26">
        <v>7338</v>
      </c>
      <c r="J1641" s="117"/>
      <c r="K1641" s="120"/>
      <c r="L1641" s="121"/>
      <c r="M1641" s="120"/>
      <c r="N1641" s="121"/>
      <c r="O1641" s="120"/>
      <c r="P1641" s="121"/>
      <c r="Q1641" s="120"/>
      <c r="R1641" s="121"/>
      <c r="S1641" s="120"/>
      <c r="T1641" s="121"/>
      <c r="U1641" s="120"/>
      <c r="V1641" s="123"/>
      <c r="W1641" s="125"/>
      <c r="X1641" s="142" t="s">
        <v>6917</v>
      </c>
      <c r="Y1641" s="143"/>
      <c r="Z1641" s="143"/>
      <c r="AA1641" s="143"/>
      <c r="AB1641" s="144"/>
      <c r="AC1641" s="16" t="s">
        <v>21</v>
      </c>
      <c r="AD1641" s="17" t="s">
        <v>6834</v>
      </c>
      <c r="AE1641" s="145" t="s">
        <v>1633</v>
      </c>
      <c r="AF1641" s="146"/>
      <c r="AG1641" s="146"/>
      <c r="AH1641" s="146"/>
      <c r="AI1641" s="147"/>
      <c r="AJ1641" s="148"/>
      <c r="AK1641" s="143"/>
      <c r="AL1641" s="144"/>
      <c r="AM1641" s="22"/>
      <c r="AN1641" s="149" t="s">
        <v>2511</v>
      </c>
      <c r="AO1641" s="144"/>
      <c r="AP1641" s="148">
        <v>60285</v>
      </c>
      <c r="AQ1641" s="144"/>
      <c r="AR1641" s="120"/>
      <c r="AS1641" s="121"/>
      <c r="AT1641" s="120"/>
      <c r="AU1641" s="121"/>
      <c r="AV1641" s="120"/>
      <c r="AW1641" s="121"/>
      <c r="AX1641" s="120"/>
      <c r="AY1641" s="121"/>
      <c r="AZ1641" s="138"/>
    </row>
    <row r="1642" spans="1:52" ht="17.100000000000001" customHeight="1" thickTop="1">
      <c r="A1642" s="109" t="s">
        <v>6557</v>
      </c>
      <c r="B1642" s="28">
        <v>45922</v>
      </c>
      <c r="C1642" s="25">
        <v>53</v>
      </c>
      <c r="D1642" s="13" t="s">
        <v>3386</v>
      </c>
      <c r="E1642" s="111"/>
      <c r="F1642" s="113" t="s">
        <v>2312</v>
      </c>
      <c r="G1642" s="114"/>
      <c r="H1642" s="115"/>
      <c r="I1642" s="24" t="s">
        <v>4096</v>
      </c>
      <c r="J1642" s="116">
        <v>5</v>
      </c>
      <c r="K1642" s="118">
        <v>3250000</v>
      </c>
      <c r="L1642" s="119"/>
      <c r="M1642" s="118">
        <f>K1642*0.1</f>
        <v>325000</v>
      </c>
      <c r="N1642" s="119"/>
      <c r="O1642" s="118">
        <f>18000+1800</f>
        <v>19800</v>
      </c>
      <c r="P1642" s="119"/>
      <c r="Q1642" s="118">
        <v>16240</v>
      </c>
      <c r="R1642" s="119"/>
      <c r="S1642" s="118">
        <v>88000</v>
      </c>
      <c r="T1642" s="119"/>
      <c r="U1642" s="118">
        <f>SUM(K1642:T1643)</f>
        <v>3699040</v>
      </c>
      <c r="V1642" s="122"/>
      <c r="W1642" s="124"/>
      <c r="X1642" s="126" t="s">
        <v>9427</v>
      </c>
      <c r="Y1642" s="127"/>
      <c r="Z1642" s="127"/>
      <c r="AA1642" s="127"/>
      <c r="AB1642" s="128"/>
      <c r="AC1642" s="15" t="s">
        <v>20</v>
      </c>
      <c r="AD1642" s="129" t="s">
        <v>171</v>
      </c>
      <c r="AE1642" s="130"/>
      <c r="AF1642" s="130"/>
      <c r="AG1642" s="130"/>
      <c r="AH1642" s="130"/>
      <c r="AI1642" s="131"/>
      <c r="AJ1642" s="132"/>
      <c r="AK1642" s="127"/>
      <c r="AL1642" s="128"/>
      <c r="AM1642" s="21" t="s">
        <v>9689</v>
      </c>
      <c r="AN1642" s="133">
        <v>46061</v>
      </c>
      <c r="AO1642" s="134"/>
      <c r="AP1642" s="135"/>
      <c r="AQ1642" s="136"/>
      <c r="AR1642" s="118">
        <v>4422800</v>
      </c>
      <c r="AS1642" s="119"/>
      <c r="AT1642" s="118">
        <v>0</v>
      </c>
      <c r="AU1642" s="119"/>
      <c r="AV1642" s="118">
        <v>0</v>
      </c>
      <c r="AW1642" s="119"/>
      <c r="AX1642" s="118">
        <f>SUM(AR1642:AW1642)</f>
        <v>4422800</v>
      </c>
      <c r="AY1642" s="119"/>
      <c r="AZ1642" s="137">
        <v>46074</v>
      </c>
    </row>
    <row r="1643" spans="1:52" ht="17.100000000000001" customHeight="1" thickBot="1">
      <c r="A1643" s="110"/>
      <c r="B1643" s="27" t="s">
        <v>4544</v>
      </c>
      <c r="C1643" s="27">
        <v>10020</v>
      </c>
      <c r="D1643" s="14" t="s">
        <v>275</v>
      </c>
      <c r="E1643" s="112"/>
      <c r="F1643" s="139" t="s">
        <v>5198</v>
      </c>
      <c r="G1643" s="140"/>
      <c r="H1643" s="141"/>
      <c r="I1643" s="26">
        <v>10355</v>
      </c>
      <c r="J1643" s="117"/>
      <c r="K1643" s="120"/>
      <c r="L1643" s="121"/>
      <c r="M1643" s="120"/>
      <c r="N1643" s="121"/>
      <c r="O1643" s="120"/>
      <c r="P1643" s="121"/>
      <c r="Q1643" s="120"/>
      <c r="R1643" s="121"/>
      <c r="S1643" s="120"/>
      <c r="T1643" s="121"/>
      <c r="U1643" s="120"/>
      <c r="V1643" s="123"/>
      <c r="W1643" s="125"/>
      <c r="X1643" s="142" t="s">
        <v>1656</v>
      </c>
      <c r="Y1643" s="143"/>
      <c r="Z1643" s="143"/>
      <c r="AA1643" s="143"/>
      <c r="AB1643" s="144"/>
      <c r="AC1643" s="16" t="s">
        <v>21</v>
      </c>
      <c r="AD1643" s="17" t="s">
        <v>9428</v>
      </c>
      <c r="AE1643" s="145"/>
      <c r="AF1643" s="146"/>
      <c r="AG1643" s="146"/>
      <c r="AH1643" s="146"/>
      <c r="AI1643" s="147"/>
      <c r="AJ1643" s="148"/>
      <c r="AK1643" s="143"/>
      <c r="AL1643" s="144"/>
      <c r="AM1643" s="22"/>
      <c r="AN1643" s="149" t="s">
        <v>21629</v>
      </c>
      <c r="AO1643" s="144"/>
      <c r="AP1643" s="148"/>
      <c r="AQ1643" s="144"/>
      <c r="AR1643" s="120"/>
      <c r="AS1643" s="121"/>
      <c r="AT1643" s="120"/>
      <c r="AU1643" s="121"/>
      <c r="AV1643" s="120"/>
      <c r="AW1643" s="121"/>
      <c r="AX1643" s="120"/>
      <c r="AY1643" s="121"/>
      <c r="AZ1643" s="138"/>
    </row>
    <row r="1644" spans="1:52" ht="17.100000000000001" customHeight="1" thickTop="1">
      <c r="A1644" s="109" t="s">
        <v>6558</v>
      </c>
      <c r="B1644" s="28">
        <v>45922</v>
      </c>
      <c r="C1644" s="25"/>
      <c r="D1644" s="13" t="s">
        <v>1845</v>
      </c>
      <c r="E1644" s="111"/>
      <c r="F1644" s="113" t="s">
        <v>5199</v>
      </c>
      <c r="G1644" s="114"/>
      <c r="H1644" s="115"/>
      <c r="I1644" s="24"/>
      <c r="J1644" s="116">
        <v>4</v>
      </c>
      <c r="K1644" s="118">
        <v>1096000</v>
      </c>
      <c r="L1644" s="119"/>
      <c r="M1644" s="118">
        <f>K1644*0.1</f>
        <v>109600</v>
      </c>
      <c r="N1644" s="119"/>
      <c r="O1644" s="118">
        <v>0</v>
      </c>
      <c r="P1644" s="119"/>
      <c r="Q1644" s="118">
        <v>8110</v>
      </c>
      <c r="R1644" s="119"/>
      <c r="S1644" s="118">
        <v>15950</v>
      </c>
      <c r="T1644" s="119"/>
      <c r="U1644" s="118">
        <f>SUM(K1644:T1645)</f>
        <v>1229660</v>
      </c>
      <c r="V1644" s="122"/>
      <c r="W1644" s="124"/>
      <c r="X1644" s="126" t="s">
        <v>6773</v>
      </c>
      <c r="Y1644" s="127"/>
      <c r="Z1644" s="127"/>
      <c r="AA1644" s="127"/>
      <c r="AB1644" s="128"/>
      <c r="AC1644" s="15" t="s">
        <v>20</v>
      </c>
      <c r="AD1644" s="129"/>
      <c r="AE1644" s="130"/>
      <c r="AF1644" s="130"/>
      <c r="AG1644" s="130"/>
      <c r="AH1644" s="130"/>
      <c r="AI1644" s="131"/>
      <c r="AJ1644" s="132"/>
      <c r="AK1644" s="127"/>
      <c r="AL1644" s="128"/>
      <c r="AM1644" s="21"/>
      <c r="AN1644" s="133">
        <v>45934</v>
      </c>
      <c r="AO1644" s="134"/>
      <c r="AP1644" s="135">
        <v>1270</v>
      </c>
      <c r="AQ1644" s="136"/>
      <c r="AR1644" s="118">
        <v>1155000</v>
      </c>
      <c r="AS1644" s="119"/>
      <c r="AT1644" s="118">
        <f>AR1644*0.1</f>
        <v>115500</v>
      </c>
      <c r="AU1644" s="119"/>
      <c r="AV1644" s="118">
        <v>8110</v>
      </c>
      <c r="AW1644" s="119"/>
      <c r="AX1644" s="118">
        <f>SUM(AR1644:AW1644)</f>
        <v>1278610</v>
      </c>
      <c r="AY1644" s="119"/>
      <c r="AZ1644" s="137">
        <v>45938</v>
      </c>
    </row>
    <row r="1645" spans="1:52" ht="17.100000000000001" customHeight="1" thickBot="1">
      <c r="A1645" s="110"/>
      <c r="B1645" s="27" t="s">
        <v>4475</v>
      </c>
      <c r="C1645" s="27">
        <v>70208</v>
      </c>
      <c r="D1645" s="14" t="s">
        <v>275</v>
      </c>
      <c r="E1645" s="112"/>
      <c r="F1645" s="139" t="s">
        <v>5200</v>
      </c>
      <c r="G1645" s="140"/>
      <c r="H1645" s="141"/>
      <c r="I1645" s="26">
        <v>18443</v>
      </c>
      <c r="J1645" s="117"/>
      <c r="K1645" s="120"/>
      <c r="L1645" s="121"/>
      <c r="M1645" s="120"/>
      <c r="N1645" s="121"/>
      <c r="O1645" s="120"/>
      <c r="P1645" s="121"/>
      <c r="Q1645" s="120"/>
      <c r="R1645" s="121"/>
      <c r="S1645" s="120"/>
      <c r="T1645" s="121"/>
      <c r="U1645" s="120"/>
      <c r="V1645" s="123"/>
      <c r="W1645" s="125"/>
      <c r="X1645" s="142" t="s">
        <v>2776</v>
      </c>
      <c r="Y1645" s="143"/>
      <c r="Z1645" s="143"/>
      <c r="AA1645" s="143"/>
      <c r="AB1645" s="144"/>
      <c r="AC1645" s="16" t="s">
        <v>21</v>
      </c>
      <c r="AD1645" s="17" t="s">
        <v>1604</v>
      </c>
      <c r="AE1645" s="145"/>
      <c r="AF1645" s="146"/>
      <c r="AG1645" s="146"/>
      <c r="AH1645" s="146"/>
      <c r="AI1645" s="147"/>
      <c r="AJ1645" s="148"/>
      <c r="AK1645" s="143"/>
      <c r="AL1645" s="144"/>
      <c r="AM1645" s="22"/>
      <c r="AN1645" s="149" t="s">
        <v>7284</v>
      </c>
      <c r="AO1645" s="144"/>
      <c r="AP1645" s="148">
        <v>60435</v>
      </c>
      <c r="AQ1645" s="144"/>
      <c r="AR1645" s="120"/>
      <c r="AS1645" s="121"/>
      <c r="AT1645" s="120"/>
      <c r="AU1645" s="121"/>
      <c r="AV1645" s="120"/>
      <c r="AW1645" s="121"/>
      <c r="AX1645" s="120"/>
      <c r="AY1645" s="121"/>
      <c r="AZ1645" s="138"/>
    </row>
    <row r="1646" spans="1:52" ht="17.100000000000001" customHeight="1" thickTop="1">
      <c r="A1646" s="109" t="s">
        <v>6559</v>
      </c>
      <c r="B1646" s="28">
        <v>45922</v>
      </c>
      <c r="C1646" s="25"/>
      <c r="D1646" s="13" t="s">
        <v>1649</v>
      </c>
      <c r="E1646" s="111"/>
      <c r="F1646" s="113" t="s">
        <v>5201</v>
      </c>
      <c r="G1646" s="114"/>
      <c r="H1646" s="115"/>
      <c r="I1646" s="24" t="s">
        <v>2858</v>
      </c>
      <c r="J1646" s="116">
        <v>3.5</v>
      </c>
      <c r="K1646" s="118">
        <v>271000</v>
      </c>
      <c r="L1646" s="119"/>
      <c r="M1646" s="118">
        <f>K1646*0.1</f>
        <v>27100</v>
      </c>
      <c r="N1646" s="119"/>
      <c r="O1646" s="118">
        <v>13000</v>
      </c>
      <c r="P1646" s="119"/>
      <c r="Q1646" s="118">
        <v>8460</v>
      </c>
      <c r="R1646" s="119"/>
      <c r="S1646" s="118">
        <v>15950</v>
      </c>
      <c r="T1646" s="119"/>
      <c r="U1646" s="118">
        <f>SUM(K1646:T1647)</f>
        <v>335510</v>
      </c>
      <c r="V1646" s="122"/>
      <c r="W1646" s="124"/>
      <c r="X1646" s="126" t="s">
        <v>5202</v>
      </c>
      <c r="Y1646" s="127"/>
      <c r="Z1646" s="127"/>
      <c r="AA1646" s="127"/>
      <c r="AB1646" s="128"/>
      <c r="AC1646" s="15" t="s">
        <v>20</v>
      </c>
      <c r="AD1646" s="129"/>
      <c r="AE1646" s="130"/>
      <c r="AF1646" s="130"/>
      <c r="AG1646" s="130"/>
      <c r="AH1646" s="130"/>
      <c r="AI1646" s="131"/>
      <c r="AJ1646" s="132"/>
      <c r="AK1646" s="127"/>
      <c r="AL1646" s="128"/>
      <c r="AM1646" s="21" t="s">
        <v>7706</v>
      </c>
      <c r="AN1646" s="133">
        <v>46053</v>
      </c>
      <c r="AO1646" s="134"/>
      <c r="AP1646" s="135">
        <v>1286</v>
      </c>
      <c r="AQ1646" s="136"/>
      <c r="AR1646" s="118">
        <v>295000</v>
      </c>
      <c r="AS1646" s="119"/>
      <c r="AT1646" s="118">
        <f>AR1646*0.1</f>
        <v>29500</v>
      </c>
      <c r="AU1646" s="119"/>
      <c r="AV1646" s="118">
        <v>8460</v>
      </c>
      <c r="AW1646" s="119"/>
      <c r="AX1646" s="118">
        <f>SUM(AR1646:AW1646)</f>
        <v>332960</v>
      </c>
      <c r="AY1646" s="119"/>
      <c r="AZ1646" s="137">
        <v>46056</v>
      </c>
    </row>
    <row r="1647" spans="1:52" ht="17.100000000000001" customHeight="1" thickBot="1">
      <c r="A1647" s="110"/>
      <c r="B1647" s="27" t="s">
        <v>4475</v>
      </c>
      <c r="C1647" s="27">
        <v>70246</v>
      </c>
      <c r="D1647" s="14" t="s">
        <v>904</v>
      </c>
      <c r="E1647" s="112"/>
      <c r="F1647" s="139" t="s">
        <v>5203</v>
      </c>
      <c r="G1647" s="140"/>
      <c r="H1647" s="141"/>
      <c r="I1647" s="26">
        <v>48098</v>
      </c>
      <c r="J1647" s="117"/>
      <c r="K1647" s="120"/>
      <c r="L1647" s="121"/>
      <c r="M1647" s="120"/>
      <c r="N1647" s="121"/>
      <c r="O1647" s="120"/>
      <c r="P1647" s="121"/>
      <c r="Q1647" s="120"/>
      <c r="R1647" s="121"/>
      <c r="S1647" s="120"/>
      <c r="T1647" s="121"/>
      <c r="U1647" s="120"/>
      <c r="V1647" s="123"/>
      <c r="W1647" s="125"/>
      <c r="X1647" s="142" t="s">
        <v>3300</v>
      </c>
      <c r="Y1647" s="143"/>
      <c r="Z1647" s="143"/>
      <c r="AA1647" s="143"/>
      <c r="AB1647" s="144"/>
      <c r="AC1647" s="16" t="s">
        <v>21</v>
      </c>
      <c r="AD1647" s="17" t="s">
        <v>1604</v>
      </c>
      <c r="AE1647" s="145"/>
      <c r="AF1647" s="146"/>
      <c r="AG1647" s="146"/>
      <c r="AH1647" s="146"/>
      <c r="AI1647" s="147"/>
      <c r="AJ1647" s="148"/>
      <c r="AK1647" s="143"/>
      <c r="AL1647" s="144"/>
      <c r="AM1647" s="22"/>
      <c r="AN1647" s="149" t="s">
        <v>2511</v>
      </c>
      <c r="AO1647" s="144"/>
      <c r="AP1647" s="148">
        <v>60085</v>
      </c>
      <c r="AQ1647" s="144"/>
      <c r="AR1647" s="120"/>
      <c r="AS1647" s="121"/>
      <c r="AT1647" s="120"/>
      <c r="AU1647" s="121"/>
      <c r="AV1647" s="120"/>
      <c r="AW1647" s="121"/>
      <c r="AX1647" s="120"/>
      <c r="AY1647" s="121"/>
      <c r="AZ1647" s="138"/>
    </row>
    <row r="1648" spans="1:52" ht="17.100000000000001" customHeight="1" thickTop="1">
      <c r="A1648" s="109" t="s">
        <v>6560</v>
      </c>
      <c r="B1648" s="28">
        <v>45922</v>
      </c>
      <c r="C1648" s="25"/>
      <c r="D1648" s="13" t="s">
        <v>1831</v>
      </c>
      <c r="E1648" s="111"/>
      <c r="F1648" s="113" t="s">
        <v>4218</v>
      </c>
      <c r="G1648" s="114"/>
      <c r="H1648" s="115"/>
      <c r="I1648" s="24"/>
      <c r="J1648" s="116">
        <v>4</v>
      </c>
      <c r="K1648" s="118">
        <v>431000</v>
      </c>
      <c r="L1648" s="119"/>
      <c r="M1648" s="118">
        <f>K1648*0.1</f>
        <v>43100</v>
      </c>
      <c r="N1648" s="119"/>
      <c r="O1648" s="118">
        <v>0</v>
      </c>
      <c r="P1648" s="119"/>
      <c r="Q1648" s="118">
        <v>8460</v>
      </c>
      <c r="R1648" s="119"/>
      <c r="S1648" s="118">
        <v>15950</v>
      </c>
      <c r="T1648" s="119"/>
      <c r="U1648" s="118">
        <f>SUM(K1648:T1649)</f>
        <v>498510</v>
      </c>
      <c r="V1648" s="122"/>
      <c r="W1648" s="124"/>
      <c r="X1648" s="126" t="s">
        <v>6771</v>
      </c>
      <c r="Y1648" s="127"/>
      <c r="Z1648" s="127"/>
      <c r="AA1648" s="127"/>
      <c r="AB1648" s="128"/>
      <c r="AC1648" s="15" t="s">
        <v>20</v>
      </c>
      <c r="AD1648" s="129"/>
      <c r="AE1648" s="130"/>
      <c r="AF1648" s="130"/>
      <c r="AG1648" s="130"/>
      <c r="AH1648" s="130"/>
      <c r="AI1648" s="131"/>
      <c r="AJ1648" s="132"/>
      <c r="AK1648" s="127"/>
      <c r="AL1648" s="128"/>
      <c r="AM1648" s="21"/>
      <c r="AN1648" s="133">
        <v>45973</v>
      </c>
      <c r="AO1648" s="134"/>
      <c r="AP1648" s="135">
        <v>992</v>
      </c>
      <c r="AQ1648" s="136"/>
      <c r="AR1648" s="118">
        <v>505000</v>
      </c>
      <c r="AS1648" s="119"/>
      <c r="AT1648" s="118">
        <f>AR1648*0.1</f>
        <v>50500</v>
      </c>
      <c r="AU1648" s="119"/>
      <c r="AV1648" s="118">
        <v>8460</v>
      </c>
      <c r="AW1648" s="119"/>
      <c r="AX1648" s="118">
        <f>SUM(AR1648:AW1648)</f>
        <v>563960</v>
      </c>
      <c r="AY1648" s="119"/>
      <c r="AZ1648" s="137">
        <v>45978</v>
      </c>
    </row>
    <row r="1649" spans="1:52" ht="17.100000000000001" customHeight="1" thickBot="1">
      <c r="A1649" s="110"/>
      <c r="B1649" s="27" t="s">
        <v>4475</v>
      </c>
      <c r="C1649" s="27">
        <v>80199</v>
      </c>
      <c r="D1649" s="14" t="s">
        <v>1592</v>
      </c>
      <c r="E1649" s="112"/>
      <c r="F1649" s="139" t="s">
        <v>5204</v>
      </c>
      <c r="G1649" s="140"/>
      <c r="H1649" s="141"/>
      <c r="I1649" s="26">
        <v>50807</v>
      </c>
      <c r="J1649" s="117"/>
      <c r="K1649" s="120"/>
      <c r="L1649" s="121"/>
      <c r="M1649" s="120"/>
      <c r="N1649" s="121"/>
      <c r="O1649" s="120"/>
      <c r="P1649" s="121"/>
      <c r="Q1649" s="120"/>
      <c r="R1649" s="121"/>
      <c r="S1649" s="120"/>
      <c r="T1649" s="121"/>
      <c r="U1649" s="120"/>
      <c r="V1649" s="123"/>
      <c r="W1649" s="125"/>
      <c r="X1649" s="142" t="s">
        <v>6772</v>
      </c>
      <c r="Y1649" s="143"/>
      <c r="Z1649" s="143"/>
      <c r="AA1649" s="143"/>
      <c r="AB1649" s="144"/>
      <c r="AC1649" s="16" t="s">
        <v>21</v>
      </c>
      <c r="AD1649" s="17" t="s">
        <v>1604</v>
      </c>
      <c r="AE1649" s="145"/>
      <c r="AF1649" s="146"/>
      <c r="AG1649" s="146"/>
      <c r="AH1649" s="146"/>
      <c r="AI1649" s="147"/>
      <c r="AJ1649" s="148"/>
      <c r="AK1649" s="143"/>
      <c r="AL1649" s="144"/>
      <c r="AM1649" s="22"/>
      <c r="AN1649" s="149" t="s">
        <v>2794</v>
      </c>
      <c r="AO1649" s="144"/>
      <c r="AP1649" s="148">
        <v>2017</v>
      </c>
      <c r="AQ1649" s="144"/>
      <c r="AR1649" s="120"/>
      <c r="AS1649" s="121"/>
      <c r="AT1649" s="120"/>
      <c r="AU1649" s="121"/>
      <c r="AV1649" s="120"/>
      <c r="AW1649" s="121"/>
      <c r="AX1649" s="120"/>
      <c r="AY1649" s="121"/>
      <c r="AZ1649" s="138"/>
    </row>
    <row r="1650" spans="1:52" ht="17.100000000000001" customHeight="1" thickTop="1">
      <c r="A1650" s="109" t="s">
        <v>6561</v>
      </c>
      <c r="B1650" s="28">
        <v>45922</v>
      </c>
      <c r="C1650" s="25"/>
      <c r="D1650" s="13" t="s">
        <v>1714</v>
      </c>
      <c r="E1650" s="111"/>
      <c r="F1650" s="113" t="s">
        <v>3015</v>
      </c>
      <c r="G1650" s="114"/>
      <c r="H1650" s="115"/>
      <c r="I1650" s="24" t="s">
        <v>2526</v>
      </c>
      <c r="J1650" s="116">
        <v>4</v>
      </c>
      <c r="K1650" s="118">
        <v>1141000</v>
      </c>
      <c r="L1650" s="119"/>
      <c r="M1650" s="118">
        <f>K1650*0.1</f>
        <v>114100</v>
      </c>
      <c r="N1650" s="119"/>
      <c r="O1650" s="118">
        <v>13000</v>
      </c>
      <c r="P1650" s="119"/>
      <c r="Q1650" s="118">
        <v>8550</v>
      </c>
      <c r="R1650" s="119"/>
      <c r="S1650" s="118">
        <v>15950</v>
      </c>
      <c r="T1650" s="119"/>
      <c r="U1650" s="118">
        <f>SUM(K1650:T1651)</f>
        <v>1292600</v>
      </c>
      <c r="V1650" s="122"/>
      <c r="W1650" s="124"/>
      <c r="X1650" s="126" t="s">
        <v>5205</v>
      </c>
      <c r="Y1650" s="127"/>
      <c r="Z1650" s="127"/>
      <c r="AA1650" s="127"/>
      <c r="AB1650" s="128"/>
      <c r="AC1650" s="15" t="s">
        <v>20</v>
      </c>
      <c r="AD1650" s="129" t="s">
        <v>1670</v>
      </c>
      <c r="AE1650" s="130"/>
      <c r="AF1650" s="130"/>
      <c r="AG1650" s="130"/>
      <c r="AH1650" s="130"/>
      <c r="AI1650" s="131"/>
      <c r="AJ1650" s="132"/>
      <c r="AK1650" s="127"/>
      <c r="AL1650" s="128"/>
      <c r="AM1650" s="21" t="s">
        <v>8293</v>
      </c>
      <c r="AN1650" s="133">
        <v>45941</v>
      </c>
      <c r="AO1650" s="134"/>
      <c r="AP1650" s="135">
        <v>1271</v>
      </c>
      <c r="AQ1650" s="136"/>
      <c r="AR1650" s="118">
        <v>1190000</v>
      </c>
      <c r="AS1650" s="119"/>
      <c r="AT1650" s="118">
        <f>AR1650*0.1</f>
        <v>119000</v>
      </c>
      <c r="AU1650" s="119"/>
      <c r="AV1650" s="118">
        <v>8550</v>
      </c>
      <c r="AW1650" s="119"/>
      <c r="AX1650" s="118">
        <f>SUM(AR1650:AW1650)</f>
        <v>1317550</v>
      </c>
      <c r="AY1650" s="119"/>
      <c r="AZ1650" s="137">
        <v>45950</v>
      </c>
    </row>
    <row r="1651" spans="1:52" ht="17.100000000000001" customHeight="1" thickBot="1">
      <c r="A1651" s="110"/>
      <c r="B1651" s="27" t="s">
        <v>3724</v>
      </c>
      <c r="C1651" s="27">
        <v>55025</v>
      </c>
      <c r="D1651" s="14" t="s">
        <v>1576</v>
      </c>
      <c r="E1651" s="112"/>
      <c r="F1651" s="139" t="s">
        <v>5206</v>
      </c>
      <c r="G1651" s="140"/>
      <c r="H1651" s="141"/>
      <c r="I1651" s="26">
        <v>52312</v>
      </c>
      <c r="J1651" s="117"/>
      <c r="K1651" s="120"/>
      <c r="L1651" s="121"/>
      <c r="M1651" s="120"/>
      <c r="N1651" s="121"/>
      <c r="O1651" s="120"/>
      <c r="P1651" s="121"/>
      <c r="Q1651" s="120"/>
      <c r="R1651" s="121"/>
      <c r="S1651" s="120"/>
      <c r="T1651" s="121"/>
      <c r="U1651" s="120"/>
      <c r="V1651" s="123"/>
      <c r="W1651" s="125"/>
      <c r="X1651" s="142" t="s">
        <v>5207</v>
      </c>
      <c r="Y1651" s="143"/>
      <c r="Z1651" s="143"/>
      <c r="AA1651" s="143"/>
      <c r="AB1651" s="144"/>
      <c r="AC1651" s="16" t="s">
        <v>21</v>
      </c>
      <c r="AD1651" s="17" t="s">
        <v>4184</v>
      </c>
      <c r="AE1651" s="145" t="s">
        <v>5208</v>
      </c>
      <c r="AF1651" s="146"/>
      <c r="AG1651" s="146"/>
      <c r="AH1651" s="146"/>
      <c r="AI1651" s="147"/>
      <c r="AJ1651" s="148"/>
      <c r="AK1651" s="143"/>
      <c r="AL1651" s="144"/>
      <c r="AM1651" s="22"/>
      <c r="AN1651" s="149" t="s">
        <v>2511</v>
      </c>
      <c r="AO1651" s="144"/>
      <c r="AP1651" s="148">
        <v>60080</v>
      </c>
      <c r="AQ1651" s="144"/>
      <c r="AR1651" s="120"/>
      <c r="AS1651" s="121"/>
      <c r="AT1651" s="120"/>
      <c r="AU1651" s="121"/>
      <c r="AV1651" s="120"/>
      <c r="AW1651" s="121"/>
      <c r="AX1651" s="120"/>
      <c r="AY1651" s="121"/>
      <c r="AZ1651" s="138"/>
    </row>
    <row r="1652" spans="1:52" ht="17.100000000000001" customHeight="1" thickTop="1">
      <c r="A1652" s="109" t="s">
        <v>6562</v>
      </c>
      <c r="B1652" s="28">
        <v>45922</v>
      </c>
      <c r="C1652" s="25"/>
      <c r="D1652" s="13" t="s">
        <v>1795</v>
      </c>
      <c r="E1652" s="111"/>
      <c r="F1652" s="113" t="s">
        <v>5209</v>
      </c>
      <c r="G1652" s="114"/>
      <c r="H1652" s="115"/>
      <c r="I1652" s="24" t="s">
        <v>5210</v>
      </c>
      <c r="J1652" s="116">
        <v>5</v>
      </c>
      <c r="K1652" s="118">
        <f>1694000/1.1</f>
        <v>1539999.9999999998</v>
      </c>
      <c r="L1652" s="119"/>
      <c r="M1652" s="118">
        <f>K1652*0.1</f>
        <v>153999.99999999997</v>
      </c>
      <c r="N1652" s="119"/>
      <c r="O1652" s="118">
        <v>0</v>
      </c>
      <c r="P1652" s="119"/>
      <c r="Q1652" s="118">
        <v>7040</v>
      </c>
      <c r="R1652" s="119"/>
      <c r="S1652" s="118">
        <v>97350</v>
      </c>
      <c r="T1652" s="119"/>
      <c r="U1652" s="118">
        <f>SUM(K1652:T1653)</f>
        <v>1798389.9999999998</v>
      </c>
      <c r="V1652" s="122"/>
      <c r="W1652" s="124"/>
      <c r="X1652" s="126" t="s">
        <v>7365</v>
      </c>
      <c r="Y1652" s="127"/>
      <c r="Z1652" s="127"/>
      <c r="AA1652" s="127"/>
      <c r="AB1652" s="128"/>
      <c r="AC1652" s="15" t="s">
        <v>20</v>
      </c>
      <c r="AD1652" s="129" t="s">
        <v>1945</v>
      </c>
      <c r="AE1652" s="130"/>
      <c r="AF1652" s="130"/>
      <c r="AG1652" s="130"/>
      <c r="AH1652" s="130"/>
      <c r="AI1652" s="131"/>
      <c r="AJ1652" s="132"/>
      <c r="AK1652" s="127"/>
      <c r="AL1652" s="128"/>
      <c r="AM1652" s="21"/>
      <c r="AN1652" s="133">
        <v>45951</v>
      </c>
      <c r="AO1652" s="134"/>
      <c r="AP1652" s="135">
        <v>1914</v>
      </c>
      <c r="AQ1652" s="136"/>
      <c r="AR1652" s="118">
        <v>1630000</v>
      </c>
      <c r="AS1652" s="119"/>
      <c r="AT1652" s="118">
        <f>AR1652*0.1</f>
        <v>163000</v>
      </c>
      <c r="AU1652" s="119"/>
      <c r="AV1652" s="118">
        <v>7040</v>
      </c>
      <c r="AW1652" s="119"/>
      <c r="AX1652" s="118">
        <f>SUM(AR1652:AW1652)</f>
        <v>1800040</v>
      </c>
      <c r="AY1652" s="119"/>
      <c r="AZ1652" s="137">
        <v>45957</v>
      </c>
    </row>
    <row r="1653" spans="1:52" ht="17.100000000000001" customHeight="1" thickBot="1">
      <c r="A1653" s="110"/>
      <c r="B1653" s="27" t="s">
        <v>1718</v>
      </c>
      <c r="C1653" s="27" t="s">
        <v>5211</v>
      </c>
      <c r="D1653" s="14" t="s">
        <v>2836</v>
      </c>
      <c r="E1653" s="112"/>
      <c r="F1653" s="139" t="s">
        <v>5212</v>
      </c>
      <c r="G1653" s="140"/>
      <c r="H1653" s="141"/>
      <c r="I1653" s="26">
        <v>20000</v>
      </c>
      <c r="J1653" s="117"/>
      <c r="K1653" s="120"/>
      <c r="L1653" s="121"/>
      <c r="M1653" s="120"/>
      <c r="N1653" s="121"/>
      <c r="O1653" s="120"/>
      <c r="P1653" s="121"/>
      <c r="Q1653" s="120"/>
      <c r="R1653" s="121"/>
      <c r="S1653" s="120"/>
      <c r="T1653" s="121"/>
      <c r="U1653" s="120"/>
      <c r="V1653" s="123"/>
      <c r="W1653" s="125"/>
      <c r="X1653" s="142" t="s">
        <v>7366</v>
      </c>
      <c r="Y1653" s="143"/>
      <c r="Z1653" s="143"/>
      <c r="AA1653" s="143"/>
      <c r="AB1653" s="144"/>
      <c r="AC1653" s="16" t="s">
        <v>21</v>
      </c>
      <c r="AD1653" s="17" t="s">
        <v>2156</v>
      </c>
      <c r="AE1653" s="145" t="s">
        <v>1614</v>
      </c>
      <c r="AF1653" s="146"/>
      <c r="AG1653" s="146"/>
      <c r="AH1653" s="146"/>
      <c r="AI1653" s="147"/>
      <c r="AJ1653" s="148"/>
      <c r="AK1653" s="143"/>
      <c r="AL1653" s="144"/>
      <c r="AM1653" s="22"/>
      <c r="AN1653" s="149" t="s">
        <v>2131</v>
      </c>
      <c r="AO1653" s="144"/>
      <c r="AP1653" s="148">
        <v>3147</v>
      </c>
      <c r="AQ1653" s="144"/>
      <c r="AR1653" s="120"/>
      <c r="AS1653" s="121"/>
      <c r="AT1653" s="120"/>
      <c r="AU1653" s="121"/>
      <c r="AV1653" s="120"/>
      <c r="AW1653" s="121"/>
      <c r="AX1653" s="120"/>
      <c r="AY1653" s="121"/>
      <c r="AZ1653" s="138"/>
    </row>
    <row r="1654" spans="1:52" ht="17.100000000000001" customHeight="1" thickTop="1">
      <c r="A1654" s="151" t="s">
        <v>6563</v>
      </c>
      <c r="B1654" s="28">
        <v>45922</v>
      </c>
      <c r="C1654" s="25"/>
      <c r="D1654" s="13" t="s">
        <v>2059</v>
      </c>
      <c r="E1654" s="111"/>
      <c r="F1654" s="113" t="s">
        <v>5213</v>
      </c>
      <c r="G1654" s="114"/>
      <c r="H1654" s="115"/>
      <c r="I1654" s="24" t="s">
        <v>5214</v>
      </c>
      <c r="J1654" s="116">
        <v>4</v>
      </c>
      <c r="K1654" s="118">
        <f>742500/1.1</f>
        <v>675000</v>
      </c>
      <c r="L1654" s="119"/>
      <c r="M1654" s="118">
        <f>K1654*0.1</f>
        <v>67500</v>
      </c>
      <c r="N1654" s="119"/>
      <c r="O1654" s="118">
        <v>0</v>
      </c>
      <c r="P1654" s="119"/>
      <c r="Q1654" s="118">
        <v>9200</v>
      </c>
      <c r="R1654" s="119"/>
      <c r="S1654" s="118">
        <v>65133</v>
      </c>
      <c r="T1654" s="119"/>
      <c r="U1654" s="118">
        <f>SUM(K1654:T1655)</f>
        <v>816833</v>
      </c>
      <c r="V1654" s="122"/>
      <c r="W1654" s="124"/>
      <c r="X1654" s="126" t="s">
        <v>8907</v>
      </c>
      <c r="Y1654" s="127"/>
      <c r="Z1654" s="127"/>
      <c r="AA1654" s="127"/>
      <c r="AB1654" s="128"/>
      <c r="AC1654" s="15" t="s">
        <v>20</v>
      </c>
      <c r="AD1654" s="129" t="s">
        <v>171</v>
      </c>
      <c r="AE1654" s="130"/>
      <c r="AF1654" s="130"/>
      <c r="AG1654" s="130"/>
      <c r="AH1654" s="130"/>
      <c r="AI1654" s="131"/>
      <c r="AJ1654" s="132" t="s">
        <v>8040</v>
      </c>
      <c r="AK1654" s="127"/>
      <c r="AL1654" s="128"/>
      <c r="AM1654" s="21"/>
      <c r="AN1654" s="133"/>
      <c r="AO1654" s="134"/>
      <c r="AP1654" s="135"/>
      <c r="AQ1654" s="136"/>
      <c r="AR1654" s="118"/>
      <c r="AS1654" s="119"/>
      <c r="AT1654" s="118">
        <f>AR1654*0.1</f>
        <v>0</v>
      </c>
      <c r="AU1654" s="119"/>
      <c r="AV1654" s="118"/>
      <c r="AW1654" s="119"/>
      <c r="AX1654" s="118">
        <f>SUM(AR1654:AW1654)</f>
        <v>0</v>
      </c>
      <c r="AY1654" s="119"/>
      <c r="AZ1654" s="137"/>
    </row>
    <row r="1655" spans="1:52" ht="17.100000000000001" customHeight="1" thickBot="1">
      <c r="A1655" s="152"/>
      <c r="B1655" s="27" t="s">
        <v>1718</v>
      </c>
      <c r="C1655" s="27" t="s">
        <v>5215</v>
      </c>
      <c r="D1655" s="14" t="s">
        <v>1812</v>
      </c>
      <c r="E1655" s="112"/>
      <c r="F1655" s="139" t="s">
        <v>5216</v>
      </c>
      <c r="G1655" s="140"/>
      <c r="H1655" s="141"/>
      <c r="I1655" s="26">
        <v>29278</v>
      </c>
      <c r="J1655" s="117"/>
      <c r="K1655" s="120"/>
      <c r="L1655" s="121"/>
      <c r="M1655" s="120"/>
      <c r="N1655" s="121"/>
      <c r="O1655" s="120"/>
      <c r="P1655" s="121"/>
      <c r="Q1655" s="120"/>
      <c r="R1655" s="121"/>
      <c r="S1655" s="120"/>
      <c r="T1655" s="121"/>
      <c r="U1655" s="120"/>
      <c r="V1655" s="123"/>
      <c r="W1655" s="125"/>
      <c r="X1655" s="142" t="s">
        <v>8908</v>
      </c>
      <c r="Y1655" s="143"/>
      <c r="Z1655" s="143"/>
      <c r="AA1655" s="143"/>
      <c r="AB1655" s="144"/>
      <c r="AC1655" s="16" t="s">
        <v>21</v>
      </c>
      <c r="AD1655" s="17" t="s">
        <v>1665</v>
      </c>
      <c r="AE1655" s="145" t="s">
        <v>1742</v>
      </c>
      <c r="AF1655" s="146"/>
      <c r="AG1655" s="146"/>
      <c r="AH1655" s="146"/>
      <c r="AI1655" s="147"/>
      <c r="AJ1655" s="148"/>
      <c r="AK1655" s="143"/>
      <c r="AL1655" s="144"/>
      <c r="AM1655" s="22"/>
      <c r="AN1655" s="149"/>
      <c r="AO1655" s="144"/>
      <c r="AP1655" s="148"/>
      <c r="AQ1655" s="144"/>
      <c r="AR1655" s="120"/>
      <c r="AS1655" s="121"/>
      <c r="AT1655" s="120"/>
      <c r="AU1655" s="121"/>
      <c r="AV1655" s="120"/>
      <c r="AW1655" s="121"/>
      <c r="AX1655" s="120"/>
      <c r="AY1655" s="121"/>
      <c r="AZ1655" s="138"/>
    </row>
    <row r="1656" spans="1:52" ht="17.100000000000001" customHeight="1" thickTop="1">
      <c r="A1656" s="109" t="s">
        <v>6564</v>
      </c>
      <c r="B1656" s="28">
        <v>45922</v>
      </c>
      <c r="C1656" s="25"/>
      <c r="D1656" s="13" t="s">
        <v>1697</v>
      </c>
      <c r="E1656" s="111"/>
      <c r="F1656" s="113" t="s">
        <v>5217</v>
      </c>
      <c r="G1656" s="114"/>
      <c r="H1656" s="115"/>
      <c r="I1656" s="24" t="s">
        <v>4212</v>
      </c>
      <c r="J1656" s="116">
        <v>4.5</v>
      </c>
      <c r="K1656" s="118">
        <f>3580500/1.1</f>
        <v>3254999.9999999995</v>
      </c>
      <c r="L1656" s="119"/>
      <c r="M1656" s="118">
        <f>K1656*0.1</f>
        <v>325500</v>
      </c>
      <c r="N1656" s="119"/>
      <c r="O1656" s="118">
        <v>15000</v>
      </c>
      <c r="P1656" s="119"/>
      <c r="Q1656" s="118">
        <v>12250</v>
      </c>
      <c r="R1656" s="119"/>
      <c r="S1656" s="118">
        <v>144513</v>
      </c>
      <c r="T1656" s="119"/>
      <c r="U1656" s="118">
        <f>SUM(K1656:T1657)</f>
        <v>3752262.9999999995</v>
      </c>
      <c r="V1656" s="122"/>
      <c r="W1656" s="124"/>
      <c r="X1656" s="126" t="s">
        <v>6843</v>
      </c>
      <c r="Y1656" s="127"/>
      <c r="Z1656" s="127"/>
      <c r="AA1656" s="127"/>
      <c r="AB1656" s="128"/>
      <c r="AC1656" s="15" t="s">
        <v>20</v>
      </c>
      <c r="AD1656" s="129" t="s">
        <v>171</v>
      </c>
      <c r="AE1656" s="130"/>
      <c r="AF1656" s="130"/>
      <c r="AG1656" s="130"/>
      <c r="AH1656" s="130"/>
      <c r="AI1656" s="131"/>
      <c r="AJ1656" s="132"/>
      <c r="AK1656" s="127"/>
      <c r="AL1656" s="128"/>
      <c r="AM1656" s="21"/>
      <c r="AN1656" s="133">
        <v>45934</v>
      </c>
      <c r="AO1656" s="134"/>
      <c r="AP1656" s="135">
        <v>1270</v>
      </c>
      <c r="AQ1656" s="136"/>
      <c r="AR1656" s="118">
        <v>3410000</v>
      </c>
      <c r="AS1656" s="119"/>
      <c r="AT1656" s="118">
        <f>AR1656*0.1</f>
        <v>341000</v>
      </c>
      <c r="AU1656" s="119"/>
      <c r="AV1656" s="118">
        <v>12250</v>
      </c>
      <c r="AW1656" s="119"/>
      <c r="AX1656" s="118">
        <f>SUM(AR1656:AW1656)</f>
        <v>3763250</v>
      </c>
      <c r="AY1656" s="119"/>
      <c r="AZ1656" s="137">
        <v>45938</v>
      </c>
    </row>
    <row r="1657" spans="1:52" ht="17.100000000000001" customHeight="1" thickBot="1">
      <c r="A1657" s="110"/>
      <c r="B1657" s="27" t="s">
        <v>1718</v>
      </c>
      <c r="C1657" s="27" t="s">
        <v>5218</v>
      </c>
      <c r="D1657" s="14" t="s">
        <v>275</v>
      </c>
      <c r="E1657" s="112"/>
      <c r="F1657" s="139" t="s">
        <v>5219</v>
      </c>
      <c r="G1657" s="140"/>
      <c r="H1657" s="141"/>
      <c r="I1657" s="26">
        <v>15608</v>
      </c>
      <c r="J1657" s="117"/>
      <c r="K1657" s="120"/>
      <c r="L1657" s="121"/>
      <c r="M1657" s="120"/>
      <c r="N1657" s="121"/>
      <c r="O1657" s="120"/>
      <c r="P1657" s="121"/>
      <c r="Q1657" s="120"/>
      <c r="R1657" s="121"/>
      <c r="S1657" s="120"/>
      <c r="T1657" s="121"/>
      <c r="U1657" s="120"/>
      <c r="V1657" s="123"/>
      <c r="W1657" s="125"/>
      <c r="X1657" s="142" t="s">
        <v>6844</v>
      </c>
      <c r="Y1657" s="143"/>
      <c r="Z1657" s="143"/>
      <c r="AA1657" s="143"/>
      <c r="AB1657" s="144"/>
      <c r="AC1657" s="16" t="s">
        <v>21</v>
      </c>
      <c r="AD1657" s="17" t="s">
        <v>6834</v>
      </c>
      <c r="AE1657" s="145" t="s">
        <v>1605</v>
      </c>
      <c r="AF1657" s="146"/>
      <c r="AG1657" s="146"/>
      <c r="AH1657" s="146"/>
      <c r="AI1657" s="147"/>
      <c r="AJ1657" s="148"/>
      <c r="AK1657" s="143"/>
      <c r="AL1657" s="144"/>
      <c r="AM1657" s="22"/>
      <c r="AN1657" s="149" t="s">
        <v>7284</v>
      </c>
      <c r="AO1657" s="144"/>
      <c r="AP1657" s="148">
        <v>37723</v>
      </c>
      <c r="AQ1657" s="144"/>
      <c r="AR1657" s="120"/>
      <c r="AS1657" s="121"/>
      <c r="AT1657" s="120"/>
      <c r="AU1657" s="121"/>
      <c r="AV1657" s="120"/>
      <c r="AW1657" s="121"/>
      <c r="AX1657" s="120"/>
      <c r="AY1657" s="121"/>
      <c r="AZ1657" s="138"/>
    </row>
    <row r="1658" spans="1:52" ht="17.100000000000001" customHeight="1" thickTop="1">
      <c r="A1658" s="109" t="s">
        <v>6565</v>
      </c>
      <c r="B1658" s="28">
        <v>45922</v>
      </c>
      <c r="C1658" s="25">
        <v>2061</v>
      </c>
      <c r="D1658" s="13" t="s">
        <v>2737</v>
      </c>
      <c r="E1658" s="111"/>
      <c r="F1658" s="113" t="s">
        <v>5220</v>
      </c>
      <c r="G1658" s="114"/>
      <c r="H1658" s="115"/>
      <c r="I1658" s="24"/>
      <c r="J1658" s="116">
        <v>4</v>
      </c>
      <c r="K1658" s="118">
        <v>911000</v>
      </c>
      <c r="L1658" s="119"/>
      <c r="M1658" s="118">
        <f>K1658*0.1</f>
        <v>91100</v>
      </c>
      <c r="N1658" s="119"/>
      <c r="O1658" s="118">
        <v>0</v>
      </c>
      <c r="P1658" s="119"/>
      <c r="Q1658" s="118">
        <v>8550</v>
      </c>
      <c r="R1658" s="119"/>
      <c r="S1658" s="118">
        <v>8800</v>
      </c>
      <c r="T1658" s="119"/>
      <c r="U1658" s="118">
        <f>SUM(K1658:T1659)</f>
        <v>1019450</v>
      </c>
      <c r="V1658" s="122"/>
      <c r="W1658" s="124"/>
      <c r="X1658" s="126" t="s">
        <v>5221</v>
      </c>
      <c r="Y1658" s="127"/>
      <c r="Z1658" s="127"/>
      <c r="AA1658" s="127"/>
      <c r="AB1658" s="128"/>
      <c r="AC1658" s="15" t="s">
        <v>20</v>
      </c>
      <c r="AD1658" s="129"/>
      <c r="AE1658" s="130"/>
      <c r="AF1658" s="130"/>
      <c r="AG1658" s="130"/>
      <c r="AH1658" s="130"/>
      <c r="AI1658" s="131"/>
      <c r="AJ1658" s="132"/>
      <c r="AK1658" s="127"/>
      <c r="AL1658" s="128"/>
      <c r="AM1658" s="21"/>
      <c r="AN1658" s="133">
        <v>45948</v>
      </c>
      <c r="AO1658" s="134"/>
      <c r="AP1658" s="135">
        <v>1272</v>
      </c>
      <c r="AQ1658" s="136"/>
      <c r="AR1658" s="118">
        <v>1005000</v>
      </c>
      <c r="AS1658" s="119"/>
      <c r="AT1658" s="118">
        <f>AR1658*0.1</f>
        <v>100500</v>
      </c>
      <c r="AU1658" s="119"/>
      <c r="AV1658" s="118">
        <v>8550</v>
      </c>
      <c r="AW1658" s="119"/>
      <c r="AX1658" s="118">
        <f>SUM(AR1658:AW1658)</f>
        <v>1114050</v>
      </c>
      <c r="AY1658" s="119"/>
      <c r="AZ1658" s="137">
        <v>45951</v>
      </c>
    </row>
    <row r="1659" spans="1:52" ht="17.100000000000001" customHeight="1" thickBot="1">
      <c r="A1659" s="110"/>
      <c r="B1659" s="27" t="s">
        <v>83</v>
      </c>
      <c r="C1659" s="27">
        <v>24034</v>
      </c>
      <c r="D1659" s="14" t="s">
        <v>275</v>
      </c>
      <c r="E1659" s="112"/>
      <c r="F1659" s="139" t="s">
        <v>5222</v>
      </c>
      <c r="G1659" s="140"/>
      <c r="H1659" s="141"/>
      <c r="I1659" s="26">
        <v>46154</v>
      </c>
      <c r="J1659" s="117"/>
      <c r="K1659" s="120"/>
      <c r="L1659" s="121"/>
      <c r="M1659" s="120"/>
      <c r="N1659" s="121"/>
      <c r="O1659" s="120"/>
      <c r="P1659" s="121"/>
      <c r="Q1659" s="120"/>
      <c r="R1659" s="121"/>
      <c r="S1659" s="120"/>
      <c r="T1659" s="121"/>
      <c r="U1659" s="120"/>
      <c r="V1659" s="123"/>
      <c r="W1659" s="125"/>
      <c r="X1659" s="142" t="s">
        <v>2440</v>
      </c>
      <c r="Y1659" s="143"/>
      <c r="Z1659" s="143"/>
      <c r="AA1659" s="143"/>
      <c r="AB1659" s="144"/>
      <c r="AC1659" s="16" t="s">
        <v>21</v>
      </c>
      <c r="AD1659" s="17" t="s">
        <v>5001</v>
      </c>
      <c r="AE1659" s="145" t="s">
        <v>1581</v>
      </c>
      <c r="AF1659" s="146"/>
      <c r="AG1659" s="146"/>
      <c r="AH1659" s="146"/>
      <c r="AI1659" s="147"/>
      <c r="AJ1659" s="148"/>
      <c r="AK1659" s="143"/>
      <c r="AL1659" s="144"/>
      <c r="AM1659" s="22"/>
      <c r="AN1659" s="149" t="s">
        <v>2511</v>
      </c>
      <c r="AO1659" s="144"/>
      <c r="AP1659" s="148">
        <v>60138</v>
      </c>
      <c r="AQ1659" s="144"/>
      <c r="AR1659" s="120"/>
      <c r="AS1659" s="121"/>
      <c r="AT1659" s="120"/>
      <c r="AU1659" s="121"/>
      <c r="AV1659" s="120"/>
      <c r="AW1659" s="121"/>
      <c r="AX1659" s="120"/>
      <c r="AY1659" s="121"/>
      <c r="AZ1659" s="138"/>
    </row>
    <row r="1660" spans="1:52" ht="17.100000000000001" customHeight="1" thickTop="1">
      <c r="A1660" s="109" t="s">
        <v>6566</v>
      </c>
      <c r="B1660" s="28">
        <v>45922</v>
      </c>
      <c r="C1660" s="25">
        <v>2061</v>
      </c>
      <c r="D1660" s="13" t="s">
        <v>1853</v>
      </c>
      <c r="E1660" s="111"/>
      <c r="F1660" s="113" t="s">
        <v>4145</v>
      </c>
      <c r="G1660" s="114"/>
      <c r="H1660" s="115"/>
      <c r="I1660" s="24"/>
      <c r="J1660" s="116">
        <v>4</v>
      </c>
      <c r="K1660" s="118">
        <v>920000</v>
      </c>
      <c r="L1660" s="119"/>
      <c r="M1660" s="118">
        <f>K1660*0.1</f>
        <v>92000</v>
      </c>
      <c r="N1660" s="119"/>
      <c r="O1660" s="118">
        <v>0</v>
      </c>
      <c r="P1660" s="119"/>
      <c r="Q1660" s="118">
        <v>8110</v>
      </c>
      <c r="R1660" s="119"/>
      <c r="S1660" s="118">
        <v>20900</v>
      </c>
      <c r="T1660" s="119"/>
      <c r="U1660" s="118">
        <f>SUM(K1660:T1661)</f>
        <v>1041010</v>
      </c>
      <c r="V1660" s="122"/>
      <c r="W1660" s="124"/>
      <c r="X1660" s="126" t="s">
        <v>5223</v>
      </c>
      <c r="Y1660" s="127"/>
      <c r="Z1660" s="127"/>
      <c r="AA1660" s="127"/>
      <c r="AB1660" s="128"/>
      <c r="AC1660" s="15" t="s">
        <v>20</v>
      </c>
      <c r="AD1660" s="129"/>
      <c r="AE1660" s="130"/>
      <c r="AF1660" s="130"/>
      <c r="AG1660" s="130"/>
      <c r="AH1660" s="130"/>
      <c r="AI1660" s="131"/>
      <c r="AJ1660" s="132"/>
      <c r="AK1660" s="127"/>
      <c r="AL1660" s="128"/>
      <c r="AM1660" s="21"/>
      <c r="AN1660" s="133">
        <v>45934</v>
      </c>
      <c r="AO1660" s="134"/>
      <c r="AP1660" s="135">
        <v>1270</v>
      </c>
      <c r="AQ1660" s="136"/>
      <c r="AR1660" s="118">
        <v>995000</v>
      </c>
      <c r="AS1660" s="119"/>
      <c r="AT1660" s="118">
        <f>AR1660*0.1</f>
        <v>99500</v>
      </c>
      <c r="AU1660" s="119"/>
      <c r="AV1660" s="118">
        <v>8110</v>
      </c>
      <c r="AW1660" s="119"/>
      <c r="AX1660" s="118">
        <f>SUM(AR1660:AW1660)</f>
        <v>1102610</v>
      </c>
      <c r="AY1660" s="119"/>
      <c r="AZ1660" s="137">
        <v>45937</v>
      </c>
    </row>
    <row r="1661" spans="1:52" ht="17.100000000000001" customHeight="1" thickBot="1">
      <c r="A1661" s="110"/>
      <c r="B1661" s="27" t="s">
        <v>83</v>
      </c>
      <c r="C1661" s="27">
        <v>25038</v>
      </c>
      <c r="D1661" s="14" t="s">
        <v>2601</v>
      </c>
      <c r="E1661" s="112"/>
      <c r="F1661" s="139" t="s">
        <v>5224</v>
      </c>
      <c r="G1661" s="140"/>
      <c r="H1661" s="141"/>
      <c r="I1661" s="26">
        <v>14824</v>
      </c>
      <c r="J1661" s="117"/>
      <c r="K1661" s="120"/>
      <c r="L1661" s="121"/>
      <c r="M1661" s="120"/>
      <c r="N1661" s="121"/>
      <c r="O1661" s="120"/>
      <c r="P1661" s="121"/>
      <c r="Q1661" s="120"/>
      <c r="R1661" s="121"/>
      <c r="S1661" s="120"/>
      <c r="T1661" s="121"/>
      <c r="U1661" s="120"/>
      <c r="V1661" s="123"/>
      <c r="W1661" s="125"/>
      <c r="X1661" s="142" t="s">
        <v>2057</v>
      </c>
      <c r="Y1661" s="143"/>
      <c r="Z1661" s="143"/>
      <c r="AA1661" s="143"/>
      <c r="AB1661" s="144"/>
      <c r="AC1661" s="16" t="s">
        <v>21</v>
      </c>
      <c r="AD1661" s="17" t="s">
        <v>4184</v>
      </c>
      <c r="AE1661" s="145"/>
      <c r="AF1661" s="146"/>
      <c r="AG1661" s="146"/>
      <c r="AH1661" s="146"/>
      <c r="AI1661" s="147"/>
      <c r="AJ1661" s="148"/>
      <c r="AK1661" s="143"/>
      <c r="AL1661" s="144"/>
      <c r="AM1661" s="22"/>
      <c r="AN1661" s="149" t="s">
        <v>7284</v>
      </c>
      <c r="AO1661" s="144"/>
      <c r="AP1661" s="148">
        <v>60395</v>
      </c>
      <c r="AQ1661" s="144"/>
      <c r="AR1661" s="120"/>
      <c r="AS1661" s="121"/>
      <c r="AT1661" s="120"/>
      <c r="AU1661" s="121"/>
      <c r="AV1661" s="120"/>
      <c r="AW1661" s="121"/>
      <c r="AX1661" s="120"/>
      <c r="AY1661" s="121"/>
      <c r="AZ1661" s="138"/>
    </row>
    <row r="1662" spans="1:52" ht="17.100000000000001" customHeight="1" thickTop="1">
      <c r="A1662" s="109" t="s">
        <v>6567</v>
      </c>
      <c r="B1662" s="28">
        <v>45922</v>
      </c>
      <c r="C1662" s="25">
        <v>2061</v>
      </c>
      <c r="D1662" s="13" t="s">
        <v>3322</v>
      </c>
      <c r="E1662" s="111"/>
      <c r="F1662" s="113" t="s">
        <v>5225</v>
      </c>
      <c r="G1662" s="114"/>
      <c r="H1662" s="115"/>
      <c r="I1662" s="24"/>
      <c r="J1662" s="116">
        <v>3.5</v>
      </c>
      <c r="K1662" s="118">
        <v>507000</v>
      </c>
      <c r="L1662" s="119"/>
      <c r="M1662" s="118">
        <f>K1662*0.1</f>
        <v>50700</v>
      </c>
      <c r="N1662" s="119"/>
      <c r="O1662" s="118">
        <v>0</v>
      </c>
      <c r="P1662" s="119"/>
      <c r="Q1662" s="118">
        <v>6470</v>
      </c>
      <c r="R1662" s="119"/>
      <c r="S1662" s="118">
        <v>20900</v>
      </c>
      <c r="T1662" s="119"/>
      <c r="U1662" s="118">
        <f>SUM(K1662:T1663)</f>
        <v>585070</v>
      </c>
      <c r="V1662" s="122"/>
      <c r="W1662" s="124"/>
      <c r="X1662" s="126" t="s">
        <v>5226</v>
      </c>
      <c r="Y1662" s="127"/>
      <c r="Z1662" s="127"/>
      <c r="AA1662" s="127"/>
      <c r="AB1662" s="128"/>
      <c r="AC1662" s="15" t="s">
        <v>20</v>
      </c>
      <c r="AD1662" s="129"/>
      <c r="AE1662" s="130"/>
      <c r="AF1662" s="130"/>
      <c r="AG1662" s="130"/>
      <c r="AH1662" s="130"/>
      <c r="AI1662" s="131"/>
      <c r="AJ1662" s="132"/>
      <c r="AK1662" s="127"/>
      <c r="AL1662" s="128"/>
      <c r="AM1662" s="21"/>
      <c r="AN1662" s="133">
        <v>45934</v>
      </c>
      <c r="AO1662" s="134"/>
      <c r="AP1662" s="135">
        <v>1270</v>
      </c>
      <c r="AQ1662" s="136"/>
      <c r="AR1662" s="118">
        <v>590000</v>
      </c>
      <c r="AS1662" s="119"/>
      <c r="AT1662" s="118">
        <f>AR1662*0.1</f>
        <v>59000</v>
      </c>
      <c r="AU1662" s="119"/>
      <c r="AV1662" s="118">
        <v>6470</v>
      </c>
      <c r="AW1662" s="119"/>
      <c r="AX1662" s="118">
        <f>SUM(AR1662:AW1662)</f>
        <v>655470</v>
      </c>
      <c r="AY1662" s="119"/>
      <c r="AZ1662" s="137">
        <v>45938</v>
      </c>
    </row>
    <row r="1663" spans="1:52" ht="17.100000000000001" customHeight="1" thickBot="1">
      <c r="A1663" s="110"/>
      <c r="B1663" s="27" t="s">
        <v>83</v>
      </c>
      <c r="C1663" s="27">
        <v>25046</v>
      </c>
      <c r="D1663" s="14" t="s">
        <v>1592</v>
      </c>
      <c r="E1663" s="112"/>
      <c r="F1663" s="139" t="s">
        <v>5227</v>
      </c>
      <c r="G1663" s="140"/>
      <c r="H1663" s="141"/>
      <c r="I1663" s="26">
        <v>54890</v>
      </c>
      <c r="J1663" s="117"/>
      <c r="K1663" s="120"/>
      <c r="L1663" s="121"/>
      <c r="M1663" s="120"/>
      <c r="N1663" s="121"/>
      <c r="O1663" s="120"/>
      <c r="P1663" s="121"/>
      <c r="Q1663" s="120"/>
      <c r="R1663" s="121"/>
      <c r="S1663" s="120"/>
      <c r="T1663" s="121"/>
      <c r="U1663" s="120"/>
      <c r="V1663" s="123"/>
      <c r="W1663" s="125"/>
      <c r="X1663" s="142" t="s">
        <v>2482</v>
      </c>
      <c r="Y1663" s="143"/>
      <c r="Z1663" s="143"/>
      <c r="AA1663" s="143"/>
      <c r="AB1663" s="144"/>
      <c r="AC1663" s="16" t="s">
        <v>21</v>
      </c>
      <c r="AD1663" s="17" t="s">
        <v>4184</v>
      </c>
      <c r="AE1663" s="145"/>
      <c r="AF1663" s="146"/>
      <c r="AG1663" s="146"/>
      <c r="AH1663" s="146"/>
      <c r="AI1663" s="147"/>
      <c r="AJ1663" s="148"/>
      <c r="AK1663" s="143"/>
      <c r="AL1663" s="144"/>
      <c r="AM1663" s="22"/>
      <c r="AN1663" s="149" t="s">
        <v>7284</v>
      </c>
      <c r="AO1663" s="144"/>
      <c r="AP1663" s="148">
        <v>60473</v>
      </c>
      <c r="AQ1663" s="144"/>
      <c r="AR1663" s="120"/>
      <c r="AS1663" s="121"/>
      <c r="AT1663" s="120"/>
      <c r="AU1663" s="121"/>
      <c r="AV1663" s="120"/>
      <c r="AW1663" s="121"/>
      <c r="AX1663" s="120"/>
      <c r="AY1663" s="121"/>
      <c r="AZ1663" s="138"/>
    </row>
    <row r="1664" spans="1:52" ht="17.100000000000001" customHeight="1" thickTop="1">
      <c r="A1664" s="109" t="s">
        <v>6568</v>
      </c>
      <c r="B1664" s="28">
        <v>45922</v>
      </c>
      <c r="C1664" s="25">
        <v>2061</v>
      </c>
      <c r="D1664" s="13" t="s">
        <v>2272</v>
      </c>
      <c r="E1664" s="111"/>
      <c r="F1664" s="113" t="s">
        <v>5228</v>
      </c>
      <c r="G1664" s="114"/>
      <c r="H1664" s="115"/>
      <c r="I1664" s="24" t="s">
        <v>3923</v>
      </c>
      <c r="J1664" s="116">
        <v>4</v>
      </c>
      <c r="K1664" s="118">
        <v>1310000</v>
      </c>
      <c r="L1664" s="119"/>
      <c r="M1664" s="118">
        <f>K1664*0.1</f>
        <v>131000</v>
      </c>
      <c r="N1664" s="119"/>
      <c r="O1664" s="118">
        <v>0</v>
      </c>
      <c r="P1664" s="119"/>
      <c r="Q1664" s="118">
        <v>11100</v>
      </c>
      <c r="R1664" s="119"/>
      <c r="S1664" s="118">
        <v>20900</v>
      </c>
      <c r="T1664" s="119"/>
      <c r="U1664" s="118">
        <f>SUM(K1664:T1665)</f>
        <v>1473000</v>
      </c>
      <c r="V1664" s="122"/>
      <c r="W1664" s="124"/>
      <c r="X1664" s="126" t="s">
        <v>5229</v>
      </c>
      <c r="Y1664" s="127"/>
      <c r="Z1664" s="127"/>
      <c r="AA1664" s="127"/>
      <c r="AB1664" s="128"/>
      <c r="AC1664" s="15" t="s">
        <v>20</v>
      </c>
      <c r="AD1664" s="129" t="s">
        <v>3485</v>
      </c>
      <c r="AE1664" s="130"/>
      <c r="AF1664" s="130"/>
      <c r="AG1664" s="130"/>
      <c r="AH1664" s="130"/>
      <c r="AI1664" s="131"/>
      <c r="AJ1664" s="132"/>
      <c r="AK1664" s="127"/>
      <c r="AL1664" s="128"/>
      <c r="AM1664" s="21" t="s">
        <v>8321</v>
      </c>
      <c r="AN1664" s="133">
        <v>45972</v>
      </c>
      <c r="AO1664" s="134"/>
      <c r="AP1664" s="135">
        <v>1917</v>
      </c>
      <c r="AQ1664" s="136"/>
      <c r="AR1664" s="118">
        <v>1331000</v>
      </c>
      <c r="AS1664" s="119"/>
      <c r="AT1664" s="118">
        <f>AR1664*0.1</f>
        <v>133100</v>
      </c>
      <c r="AU1664" s="119"/>
      <c r="AV1664" s="118">
        <v>11100</v>
      </c>
      <c r="AW1664" s="119"/>
      <c r="AX1664" s="118">
        <f>SUM(AR1664:AW1664)</f>
        <v>1475200</v>
      </c>
      <c r="AY1664" s="119"/>
      <c r="AZ1664" s="137"/>
    </row>
    <row r="1665" spans="1:52" ht="17.100000000000001" customHeight="1" thickBot="1">
      <c r="A1665" s="110"/>
      <c r="B1665" s="27" t="s">
        <v>83</v>
      </c>
      <c r="C1665" s="27">
        <v>25162</v>
      </c>
      <c r="D1665" s="14" t="s">
        <v>275</v>
      </c>
      <c r="E1665" s="112"/>
      <c r="F1665" s="139" t="s">
        <v>5230</v>
      </c>
      <c r="G1665" s="140"/>
      <c r="H1665" s="141"/>
      <c r="I1665" s="26">
        <v>6171</v>
      </c>
      <c r="J1665" s="117"/>
      <c r="K1665" s="120"/>
      <c r="L1665" s="121"/>
      <c r="M1665" s="120"/>
      <c r="N1665" s="121"/>
      <c r="O1665" s="120"/>
      <c r="P1665" s="121"/>
      <c r="Q1665" s="120"/>
      <c r="R1665" s="121"/>
      <c r="S1665" s="120"/>
      <c r="T1665" s="121"/>
      <c r="U1665" s="120"/>
      <c r="V1665" s="123"/>
      <c r="W1665" s="125"/>
      <c r="X1665" s="142" t="s">
        <v>2482</v>
      </c>
      <c r="Y1665" s="143"/>
      <c r="Z1665" s="143"/>
      <c r="AA1665" s="143"/>
      <c r="AB1665" s="144"/>
      <c r="AC1665" s="16" t="s">
        <v>21</v>
      </c>
      <c r="AD1665" s="17" t="s">
        <v>4184</v>
      </c>
      <c r="AE1665" s="145" t="s">
        <v>7834</v>
      </c>
      <c r="AF1665" s="146"/>
      <c r="AG1665" s="146"/>
      <c r="AH1665" s="146"/>
      <c r="AI1665" s="147"/>
      <c r="AJ1665" s="148"/>
      <c r="AK1665" s="143"/>
      <c r="AL1665" s="144"/>
      <c r="AM1665" s="22"/>
      <c r="AN1665" s="149" t="s">
        <v>2131</v>
      </c>
      <c r="AO1665" s="144"/>
      <c r="AP1665" s="148">
        <v>3061</v>
      </c>
      <c r="AQ1665" s="144"/>
      <c r="AR1665" s="120"/>
      <c r="AS1665" s="121"/>
      <c r="AT1665" s="120"/>
      <c r="AU1665" s="121"/>
      <c r="AV1665" s="120"/>
      <c r="AW1665" s="121"/>
      <c r="AX1665" s="120"/>
      <c r="AY1665" s="121"/>
      <c r="AZ1665" s="138"/>
    </row>
    <row r="1666" spans="1:52" ht="17.100000000000001" customHeight="1" thickTop="1">
      <c r="A1666" s="109" t="s">
        <v>6569</v>
      </c>
      <c r="B1666" s="28">
        <v>45922</v>
      </c>
      <c r="C1666" s="25">
        <v>2061</v>
      </c>
      <c r="D1666" s="13" t="s">
        <v>2272</v>
      </c>
      <c r="E1666" s="111"/>
      <c r="F1666" s="113" t="s">
        <v>5228</v>
      </c>
      <c r="G1666" s="114"/>
      <c r="H1666" s="115"/>
      <c r="I1666" s="24" t="s">
        <v>3923</v>
      </c>
      <c r="J1666" s="116">
        <v>4</v>
      </c>
      <c r="K1666" s="118">
        <v>1310000</v>
      </c>
      <c r="L1666" s="119"/>
      <c r="M1666" s="118">
        <f>K1666*0.1</f>
        <v>131000</v>
      </c>
      <c r="N1666" s="119"/>
      <c r="O1666" s="118">
        <v>0</v>
      </c>
      <c r="P1666" s="119"/>
      <c r="Q1666" s="118">
        <v>11100</v>
      </c>
      <c r="R1666" s="119"/>
      <c r="S1666" s="118">
        <v>20900</v>
      </c>
      <c r="T1666" s="119"/>
      <c r="U1666" s="118">
        <f>SUM(K1666:T1667)</f>
        <v>1473000</v>
      </c>
      <c r="V1666" s="122"/>
      <c r="W1666" s="124"/>
      <c r="X1666" s="126" t="s">
        <v>5231</v>
      </c>
      <c r="Y1666" s="127"/>
      <c r="Z1666" s="127"/>
      <c r="AA1666" s="127"/>
      <c r="AB1666" s="128"/>
      <c r="AC1666" s="15" t="s">
        <v>20</v>
      </c>
      <c r="AD1666" s="129" t="s">
        <v>3485</v>
      </c>
      <c r="AE1666" s="130"/>
      <c r="AF1666" s="130"/>
      <c r="AG1666" s="130"/>
      <c r="AH1666" s="130"/>
      <c r="AI1666" s="131"/>
      <c r="AJ1666" s="132"/>
      <c r="AK1666" s="127"/>
      <c r="AL1666" s="128"/>
      <c r="AM1666" s="21" t="s">
        <v>8320</v>
      </c>
      <c r="AN1666" s="133">
        <v>45972</v>
      </c>
      <c r="AO1666" s="134"/>
      <c r="AP1666" s="135">
        <v>1917</v>
      </c>
      <c r="AQ1666" s="136"/>
      <c r="AR1666" s="118">
        <v>1322000</v>
      </c>
      <c r="AS1666" s="119"/>
      <c r="AT1666" s="118">
        <f>AR1666*0.1</f>
        <v>132200</v>
      </c>
      <c r="AU1666" s="119"/>
      <c r="AV1666" s="118">
        <v>11100</v>
      </c>
      <c r="AW1666" s="119"/>
      <c r="AX1666" s="118">
        <f>SUM(AR1666:AW1666)</f>
        <v>1465300</v>
      </c>
      <c r="AY1666" s="119"/>
      <c r="AZ1666" s="137"/>
    </row>
    <row r="1667" spans="1:52" ht="17.100000000000001" customHeight="1" thickBot="1">
      <c r="A1667" s="110"/>
      <c r="B1667" s="27" t="s">
        <v>83</v>
      </c>
      <c r="C1667" s="27">
        <v>25167</v>
      </c>
      <c r="D1667" s="14" t="s">
        <v>275</v>
      </c>
      <c r="E1667" s="112"/>
      <c r="F1667" s="139" t="s">
        <v>5232</v>
      </c>
      <c r="G1667" s="140"/>
      <c r="H1667" s="141"/>
      <c r="I1667" s="26">
        <v>5192</v>
      </c>
      <c r="J1667" s="117"/>
      <c r="K1667" s="120"/>
      <c r="L1667" s="121"/>
      <c r="M1667" s="120"/>
      <c r="N1667" s="121"/>
      <c r="O1667" s="120"/>
      <c r="P1667" s="121"/>
      <c r="Q1667" s="120"/>
      <c r="R1667" s="121"/>
      <c r="S1667" s="120"/>
      <c r="T1667" s="121"/>
      <c r="U1667" s="120"/>
      <c r="V1667" s="123"/>
      <c r="W1667" s="125"/>
      <c r="X1667" s="142" t="s">
        <v>2482</v>
      </c>
      <c r="Y1667" s="143"/>
      <c r="Z1667" s="143"/>
      <c r="AA1667" s="143"/>
      <c r="AB1667" s="144"/>
      <c r="AC1667" s="16" t="s">
        <v>21</v>
      </c>
      <c r="AD1667" s="17" t="s">
        <v>4184</v>
      </c>
      <c r="AE1667" s="145" t="s">
        <v>7834</v>
      </c>
      <c r="AF1667" s="146"/>
      <c r="AG1667" s="146"/>
      <c r="AH1667" s="146"/>
      <c r="AI1667" s="147"/>
      <c r="AJ1667" s="148"/>
      <c r="AK1667" s="143"/>
      <c r="AL1667" s="144"/>
      <c r="AM1667" s="22"/>
      <c r="AN1667" s="149" t="s">
        <v>2131</v>
      </c>
      <c r="AO1667" s="144"/>
      <c r="AP1667" s="148">
        <v>3141</v>
      </c>
      <c r="AQ1667" s="144"/>
      <c r="AR1667" s="120"/>
      <c r="AS1667" s="121"/>
      <c r="AT1667" s="120"/>
      <c r="AU1667" s="121"/>
      <c r="AV1667" s="120"/>
      <c r="AW1667" s="121"/>
      <c r="AX1667" s="120"/>
      <c r="AY1667" s="121"/>
      <c r="AZ1667" s="138"/>
    </row>
    <row r="1668" spans="1:52" ht="17.100000000000001" customHeight="1" thickTop="1">
      <c r="A1668" s="109" t="s">
        <v>6570</v>
      </c>
      <c r="B1668" s="28">
        <v>45922</v>
      </c>
      <c r="C1668" s="25">
        <v>2061</v>
      </c>
      <c r="D1668" s="13" t="s">
        <v>2272</v>
      </c>
      <c r="E1668" s="111"/>
      <c r="F1668" s="113" t="s">
        <v>2719</v>
      </c>
      <c r="G1668" s="114"/>
      <c r="H1668" s="115"/>
      <c r="I1668" s="24" t="s">
        <v>3923</v>
      </c>
      <c r="J1668" s="116">
        <v>4</v>
      </c>
      <c r="K1668" s="118">
        <v>1305000</v>
      </c>
      <c r="L1668" s="119"/>
      <c r="M1668" s="118">
        <f>K1668*0.1</f>
        <v>130500</v>
      </c>
      <c r="N1668" s="119"/>
      <c r="O1668" s="118">
        <v>0</v>
      </c>
      <c r="P1668" s="119"/>
      <c r="Q1668" s="118">
        <v>11100</v>
      </c>
      <c r="R1668" s="119"/>
      <c r="S1668" s="118">
        <v>20900</v>
      </c>
      <c r="T1668" s="119"/>
      <c r="U1668" s="118">
        <f>SUM(K1668:T1669)</f>
        <v>1467500</v>
      </c>
      <c r="V1668" s="122"/>
      <c r="W1668" s="124"/>
      <c r="X1668" s="126" t="s">
        <v>5233</v>
      </c>
      <c r="Y1668" s="127"/>
      <c r="Z1668" s="127"/>
      <c r="AA1668" s="127"/>
      <c r="AB1668" s="128"/>
      <c r="AC1668" s="15" t="s">
        <v>20</v>
      </c>
      <c r="AD1668" s="129" t="s">
        <v>3485</v>
      </c>
      <c r="AE1668" s="130"/>
      <c r="AF1668" s="130"/>
      <c r="AG1668" s="130"/>
      <c r="AH1668" s="130"/>
      <c r="AI1668" s="131"/>
      <c r="AJ1668" s="132"/>
      <c r="AK1668" s="127"/>
      <c r="AL1668" s="128"/>
      <c r="AM1668" s="21" t="s">
        <v>8323</v>
      </c>
      <c r="AN1668" s="133">
        <v>45941</v>
      </c>
      <c r="AO1668" s="134"/>
      <c r="AP1668" s="135">
        <v>1271</v>
      </c>
      <c r="AQ1668" s="136"/>
      <c r="AR1668" s="118">
        <v>1365000</v>
      </c>
      <c r="AS1668" s="119"/>
      <c r="AT1668" s="118">
        <f>AR1668*0.1</f>
        <v>136500</v>
      </c>
      <c r="AU1668" s="119"/>
      <c r="AV1668" s="118">
        <v>11100</v>
      </c>
      <c r="AW1668" s="119"/>
      <c r="AX1668" s="118">
        <f>SUM(AR1668:AW1668)</f>
        <v>1512600</v>
      </c>
      <c r="AY1668" s="119"/>
      <c r="AZ1668" s="137">
        <v>45950</v>
      </c>
    </row>
    <row r="1669" spans="1:52" ht="17.100000000000001" customHeight="1" thickBot="1">
      <c r="A1669" s="110"/>
      <c r="B1669" s="27" t="s">
        <v>83</v>
      </c>
      <c r="C1669" s="27">
        <v>25217</v>
      </c>
      <c r="D1669" s="14" t="s">
        <v>275</v>
      </c>
      <c r="E1669" s="112"/>
      <c r="F1669" s="139" t="s">
        <v>5234</v>
      </c>
      <c r="G1669" s="140"/>
      <c r="H1669" s="141"/>
      <c r="I1669" s="26">
        <v>5782</v>
      </c>
      <c r="J1669" s="117"/>
      <c r="K1669" s="120"/>
      <c r="L1669" s="121"/>
      <c r="M1669" s="120"/>
      <c r="N1669" s="121"/>
      <c r="O1669" s="120"/>
      <c r="P1669" s="121"/>
      <c r="Q1669" s="120"/>
      <c r="R1669" s="121"/>
      <c r="S1669" s="120"/>
      <c r="T1669" s="121"/>
      <c r="U1669" s="120"/>
      <c r="V1669" s="123"/>
      <c r="W1669" s="125"/>
      <c r="X1669" s="142" t="s">
        <v>2482</v>
      </c>
      <c r="Y1669" s="143"/>
      <c r="Z1669" s="143"/>
      <c r="AA1669" s="143"/>
      <c r="AB1669" s="144"/>
      <c r="AC1669" s="16" t="s">
        <v>21</v>
      </c>
      <c r="AD1669" s="17" t="s">
        <v>4184</v>
      </c>
      <c r="AE1669" s="145" t="s">
        <v>7833</v>
      </c>
      <c r="AF1669" s="146"/>
      <c r="AG1669" s="146"/>
      <c r="AH1669" s="146"/>
      <c r="AI1669" s="147"/>
      <c r="AJ1669" s="148"/>
      <c r="AK1669" s="143"/>
      <c r="AL1669" s="144"/>
      <c r="AM1669" s="22"/>
      <c r="AN1669" s="149" t="s">
        <v>2511</v>
      </c>
      <c r="AO1669" s="144"/>
      <c r="AP1669" s="148">
        <v>60154</v>
      </c>
      <c r="AQ1669" s="144"/>
      <c r="AR1669" s="120"/>
      <c r="AS1669" s="121"/>
      <c r="AT1669" s="120"/>
      <c r="AU1669" s="121"/>
      <c r="AV1669" s="120"/>
      <c r="AW1669" s="121"/>
      <c r="AX1669" s="120"/>
      <c r="AY1669" s="121"/>
      <c r="AZ1669" s="138"/>
    </row>
    <row r="1670" spans="1:52" ht="17.100000000000001" customHeight="1" thickTop="1">
      <c r="A1670" s="109" t="s">
        <v>6571</v>
      </c>
      <c r="B1670" s="28">
        <v>45922</v>
      </c>
      <c r="C1670" s="25">
        <v>2061</v>
      </c>
      <c r="D1670" s="13" t="s">
        <v>2272</v>
      </c>
      <c r="E1670" s="111"/>
      <c r="F1670" s="113" t="s">
        <v>2719</v>
      </c>
      <c r="G1670" s="114"/>
      <c r="H1670" s="115"/>
      <c r="I1670" s="24" t="s">
        <v>3923</v>
      </c>
      <c r="J1670" s="116">
        <v>4.5</v>
      </c>
      <c r="K1670" s="118">
        <v>1305000</v>
      </c>
      <c r="L1670" s="119"/>
      <c r="M1670" s="118">
        <f>K1670*0.1</f>
        <v>130500</v>
      </c>
      <c r="N1670" s="119"/>
      <c r="O1670" s="118">
        <v>0</v>
      </c>
      <c r="P1670" s="119"/>
      <c r="Q1670" s="118">
        <v>11100</v>
      </c>
      <c r="R1670" s="119"/>
      <c r="S1670" s="118">
        <v>20900</v>
      </c>
      <c r="T1670" s="119"/>
      <c r="U1670" s="118">
        <f>SUM(K1670:T1671)</f>
        <v>1467500</v>
      </c>
      <c r="V1670" s="122"/>
      <c r="W1670" s="124"/>
      <c r="X1670" s="126" t="s">
        <v>5235</v>
      </c>
      <c r="Y1670" s="127"/>
      <c r="Z1670" s="127"/>
      <c r="AA1670" s="127"/>
      <c r="AB1670" s="128"/>
      <c r="AC1670" s="15" t="s">
        <v>20</v>
      </c>
      <c r="AD1670" s="129" t="s">
        <v>3485</v>
      </c>
      <c r="AE1670" s="130"/>
      <c r="AF1670" s="130"/>
      <c r="AG1670" s="130"/>
      <c r="AH1670" s="130"/>
      <c r="AI1670" s="131"/>
      <c r="AJ1670" s="132"/>
      <c r="AK1670" s="127"/>
      <c r="AL1670" s="128"/>
      <c r="AM1670" s="21" t="s">
        <v>8322</v>
      </c>
      <c r="AN1670" s="133">
        <v>45972</v>
      </c>
      <c r="AO1670" s="134"/>
      <c r="AP1670" s="135">
        <v>1917</v>
      </c>
      <c r="AQ1670" s="136"/>
      <c r="AR1670" s="118">
        <v>1316000</v>
      </c>
      <c r="AS1670" s="119"/>
      <c r="AT1670" s="118">
        <f>AR1670*0.1</f>
        <v>131600</v>
      </c>
      <c r="AU1670" s="119"/>
      <c r="AV1670" s="118">
        <v>11100</v>
      </c>
      <c r="AW1670" s="119"/>
      <c r="AX1670" s="118">
        <f>SUM(AR1670:AW1670)</f>
        <v>1458700</v>
      </c>
      <c r="AY1670" s="119"/>
      <c r="AZ1670" s="137"/>
    </row>
    <row r="1671" spans="1:52" ht="17.100000000000001" customHeight="1" thickBot="1">
      <c r="A1671" s="110"/>
      <c r="B1671" s="27" t="s">
        <v>83</v>
      </c>
      <c r="C1671" s="27">
        <v>25281</v>
      </c>
      <c r="D1671" s="14" t="s">
        <v>275</v>
      </c>
      <c r="E1671" s="112"/>
      <c r="F1671" s="139" t="s">
        <v>5236</v>
      </c>
      <c r="G1671" s="140"/>
      <c r="H1671" s="141"/>
      <c r="I1671" s="26">
        <v>5218</v>
      </c>
      <c r="J1671" s="117"/>
      <c r="K1671" s="120"/>
      <c r="L1671" s="121"/>
      <c r="M1671" s="120"/>
      <c r="N1671" s="121"/>
      <c r="O1671" s="120"/>
      <c r="P1671" s="121"/>
      <c r="Q1671" s="120"/>
      <c r="R1671" s="121"/>
      <c r="S1671" s="120"/>
      <c r="T1671" s="121"/>
      <c r="U1671" s="120"/>
      <c r="V1671" s="123"/>
      <c r="W1671" s="125"/>
      <c r="X1671" s="142" t="s">
        <v>2482</v>
      </c>
      <c r="Y1671" s="143"/>
      <c r="Z1671" s="143"/>
      <c r="AA1671" s="143"/>
      <c r="AB1671" s="144"/>
      <c r="AC1671" s="16" t="s">
        <v>21</v>
      </c>
      <c r="AD1671" s="17" t="s">
        <v>4184</v>
      </c>
      <c r="AE1671" s="145" t="s">
        <v>7120</v>
      </c>
      <c r="AF1671" s="146"/>
      <c r="AG1671" s="146"/>
      <c r="AH1671" s="146"/>
      <c r="AI1671" s="147"/>
      <c r="AJ1671" s="148"/>
      <c r="AK1671" s="143"/>
      <c r="AL1671" s="144"/>
      <c r="AM1671" s="22"/>
      <c r="AN1671" s="149" t="s">
        <v>2131</v>
      </c>
      <c r="AO1671" s="144"/>
      <c r="AP1671" s="148">
        <v>3137</v>
      </c>
      <c r="AQ1671" s="144"/>
      <c r="AR1671" s="120"/>
      <c r="AS1671" s="121"/>
      <c r="AT1671" s="120"/>
      <c r="AU1671" s="121"/>
      <c r="AV1671" s="120"/>
      <c r="AW1671" s="121"/>
      <c r="AX1671" s="120"/>
      <c r="AY1671" s="121"/>
      <c r="AZ1671" s="138"/>
    </row>
    <row r="1672" spans="1:52" ht="17.100000000000001" customHeight="1" thickTop="1">
      <c r="A1672" s="109" t="s">
        <v>6572</v>
      </c>
      <c r="B1672" s="28">
        <v>45922</v>
      </c>
      <c r="C1672" s="25">
        <v>2061</v>
      </c>
      <c r="D1672" s="13" t="s">
        <v>1922</v>
      </c>
      <c r="E1672" s="111"/>
      <c r="F1672" s="113" t="s">
        <v>5237</v>
      </c>
      <c r="G1672" s="114"/>
      <c r="H1672" s="115"/>
      <c r="I1672" s="24"/>
      <c r="J1672" s="116">
        <v>4</v>
      </c>
      <c r="K1672" s="118">
        <v>785000</v>
      </c>
      <c r="L1672" s="119"/>
      <c r="M1672" s="118">
        <f>K1672*0.1</f>
        <v>78500</v>
      </c>
      <c r="N1672" s="119"/>
      <c r="O1672" s="118">
        <v>0</v>
      </c>
      <c r="P1672" s="119"/>
      <c r="Q1672" s="118">
        <v>7140</v>
      </c>
      <c r="R1672" s="119"/>
      <c r="S1672" s="118">
        <v>20900</v>
      </c>
      <c r="T1672" s="119"/>
      <c r="U1672" s="118">
        <f>SUM(K1672:T1673)</f>
        <v>891540</v>
      </c>
      <c r="V1672" s="122"/>
      <c r="W1672" s="124"/>
      <c r="X1672" s="126" t="s">
        <v>5238</v>
      </c>
      <c r="Y1672" s="127"/>
      <c r="Z1672" s="127"/>
      <c r="AA1672" s="127"/>
      <c r="AB1672" s="128"/>
      <c r="AC1672" s="15" t="s">
        <v>20</v>
      </c>
      <c r="AD1672" s="129" t="s">
        <v>3485</v>
      </c>
      <c r="AE1672" s="130"/>
      <c r="AF1672" s="130"/>
      <c r="AG1672" s="130"/>
      <c r="AH1672" s="130"/>
      <c r="AI1672" s="131"/>
      <c r="AJ1672" s="132"/>
      <c r="AK1672" s="127"/>
      <c r="AL1672" s="128"/>
      <c r="AM1672" s="21"/>
      <c r="AN1672" s="133">
        <v>45934</v>
      </c>
      <c r="AO1672" s="134"/>
      <c r="AP1672" s="135">
        <v>1270</v>
      </c>
      <c r="AQ1672" s="136"/>
      <c r="AR1672" s="118">
        <v>840000</v>
      </c>
      <c r="AS1672" s="119"/>
      <c r="AT1672" s="118">
        <f>AR1672*0.1</f>
        <v>84000</v>
      </c>
      <c r="AU1672" s="119"/>
      <c r="AV1672" s="118">
        <v>7140</v>
      </c>
      <c r="AW1672" s="119"/>
      <c r="AX1672" s="118">
        <f>SUM(AR1672:AW1672)</f>
        <v>931140</v>
      </c>
      <c r="AY1672" s="119"/>
      <c r="AZ1672" s="137">
        <v>45938</v>
      </c>
    </row>
    <row r="1673" spans="1:52" ht="17.100000000000001" customHeight="1" thickBot="1">
      <c r="A1673" s="110"/>
      <c r="B1673" s="27" t="s">
        <v>83</v>
      </c>
      <c r="C1673" s="27">
        <v>25285</v>
      </c>
      <c r="D1673" s="14" t="s">
        <v>1720</v>
      </c>
      <c r="E1673" s="112"/>
      <c r="F1673" s="139" t="s">
        <v>5239</v>
      </c>
      <c r="G1673" s="140"/>
      <c r="H1673" s="141"/>
      <c r="I1673" s="26">
        <v>33789</v>
      </c>
      <c r="J1673" s="117"/>
      <c r="K1673" s="120"/>
      <c r="L1673" s="121"/>
      <c r="M1673" s="120"/>
      <c r="N1673" s="121"/>
      <c r="O1673" s="120"/>
      <c r="P1673" s="121"/>
      <c r="Q1673" s="120"/>
      <c r="R1673" s="121"/>
      <c r="S1673" s="120"/>
      <c r="T1673" s="121"/>
      <c r="U1673" s="120"/>
      <c r="V1673" s="123"/>
      <c r="W1673" s="125"/>
      <c r="X1673" s="142" t="s">
        <v>2482</v>
      </c>
      <c r="Y1673" s="143"/>
      <c r="Z1673" s="143"/>
      <c r="AA1673" s="143"/>
      <c r="AB1673" s="144"/>
      <c r="AC1673" s="16" t="s">
        <v>21</v>
      </c>
      <c r="AD1673" s="17" t="s">
        <v>4184</v>
      </c>
      <c r="AE1673" s="145"/>
      <c r="AF1673" s="146"/>
      <c r="AG1673" s="146"/>
      <c r="AH1673" s="146"/>
      <c r="AI1673" s="147"/>
      <c r="AJ1673" s="148"/>
      <c r="AK1673" s="143"/>
      <c r="AL1673" s="144"/>
      <c r="AM1673" s="22"/>
      <c r="AN1673" s="149" t="s">
        <v>7284</v>
      </c>
      <c r="AO1673" s="144"/>
      <c r="AP1673" s="148">
        <v>60517</v>
      </c>
      <c r="AQ1673" s="144"/>
      <c r="AR1673" s="120"/>
      <c r="AS1673" s="121"/>
      <c r="AT1673" s="120"/>
      <c r="AU1673" s="121"/>
      <c r="AV1673" s="120"/>
      <c r="AW1673" s="121"/>
      <c r="AX1673" s="120"/>
      <c r="AY1673" s="121"/>
      <c r="AZ1673" s="138"/>
    </row>
    <row r="1674" spans="1:52" ht="17.100000000000001" customHeight="1" thickTop="1">
      <c r="A1674" s="109" t="s">
        <v>6573</v>
      </c>
      <c r="B1674" s="28">
        <v>45922</v>
      </c>
      <c r="C1674" s="25">
        <v>2061</v>
      </c>
      <c r="D1674" s="13" t="s">
        <v>3921</v>
      </c>
      <c r="E1674" s="111"/>
      <c r="F1674" s="113" t="s">
        <v>5240</v>
      </c>
      <c r="G1674" s="114"/>
      <c r="H1674" s="115"/>
      <c r="I1674" s="24" t="s">
        <v>2533</v>
      </c>
      <c r="J1674" s="116">
        <v>4</v>
      </c>
      <c r="K1674" s="118">
        <v>2075000</v>
      </c>
      <c r="L1674" s="119"/>
      <c r="M1674" s="118">
        <f>K1674*0.1</f>
        <v>207500</v>
      </c>
      <c r="N1674" s="119"/>
      <c r="O1674" s="118">
        <f>19700+1970</f>
        <v>21670</v>
      </c>
      <c r="P1674" s="119"/>
      <c r="Q1674" s="118">
        <v>21500</v>
      </c>
      <c r="R1674" s="119"/>
      <c r="S1674" s="118">
        <v>11000</v>
      </c>
      <c r="T1674" s="119"/>
      <c r="U1674" s="118">
        <f>SUM(K1674:T1675)</f>
        <v>2336670</v>
      </c>
      <c r="V1674" s="122"/>
      <c r="W1674" s="124"/>
      <c r="X1674" s="126" t="s">
        <v>5241</v>
      </c>
      <c r="Y1674" s="127"/>
      <c r="Z1674" s="127"/>
      <c r="AA1674" s="127"/>
      <c r="AB1674" s="128"/>
      <c r="AC1674" s="15" t="s">
        <v>20</v>
      </c>
      <c r="AD1674" s="129" t="s">
        <v>1605</v>
      </c>
      <c r="AE1674" s="130"/>
      <c r="AF1674" s="130"/>
      <c r="AG1674" s="130"/>
      <c r="AH1674" s="130"/>
      <c r="AI1674" s="131"/>
      <c r="AJ1674" s="132"/>
      <c r="AK1674" s="127"/>
      <c r="AL1674" s="128"/>
      <c r="AM1674" s="21"/>
      <c r="AN1674" s="133">
        <v>45941</v>
      </c>
      <c r="AO1674" s="134"/>
      <c r="AP1674" s="135">
        <v>1271</v>
      </c>
      <c r="AQ1674" s="136"/>
      <c r="AR1674" s="118">
        <v>2220000</v>
      </c>
      <c r="AS1674" s="119"/>
      <c r="AT1674" s="118">
        <f>AR1674*0.1</f>
        <v>222000</v>
      </c>
      <c r="AU1674" s="119"/>
      <c r="AV1674" s="118">
        <v>21500</v>
      </c>
      <c r="AW1674" s="119"/>
      <c r="AX1674" s="118">
        <f>SUM(AR1674:AW1674)</f>
        <v>2463500</v>
      </c>
      <c r="AY1674" s="119"/>
      <c r="AZ1674" s="137">
        <v>45944</v>
      </c>
    </row>
    <row r="1675" spans="1:52" ht="17.100000000000001" customHeight="1" thickBot="1">
      <c r="A1675" s="110"/>
      <c r="B1675" s="27" t="s">
        <v>83</v>
      </c>
      <c r="C1675" s="27">
        <v>35003</v>
      </c>
      <c r="D1675" s="14" t="s">
        <v>1592</v>
      </c>
      <c r="E1675" s="112"/>
      <c r="F1675" s="139" t="s">
        <v>5242</v>
      </c>
      <c r="G1675" s="140"/>
      <c r="H1675" s="141"/>
      <c r="I1675" s="26">
        <v>33929</v>
      </c>
      <c r="J1675" s="117"/>
      <c r="K1675" s="120"/>
      <c r="L1675" s="121"/>
      <c r="M1675" s="120"/>
      <c r="N1675" s="121"/>
      <c r="O1675" s="120"/>
      <c r="P1675" s="121"/>
      <c r="Q1675" s="120"/>
      <c r="R1675" s="121"/>
      <c r="S1675" s="120"/>
      <c r="T1675" s="121"/>
      <c r="U1675" s="120"/>
      <c r="V1675" s="123"/>
      <c r="W1675" s="125"/>
      <c r="X1675" s="142" t="s">
        <v>5243</v>
      </c>
      <c r="Y1675" s="143"/>
      <c r="Z1675" s="143"/>
      <c r="AA1675" s="143"/>
      <c r="AB1675" s="144"/>
      <c r="AC1675" s="16" t="s">
        <v>21</v>
      </c>
      <c r="AD1675" s="17" t="s">
        <v>4184</v>
      </c>
      <c r="AE1675" s="145" t="s">
        <v>3828</v>
      </c>
      <c r="AF1675" s="146"/>
      <c r="AG1675" s="146"/>
      <c r="AH1675" s="146"/>
      <c r="AI1675" s="147"/>
      <c r="AJ1675" s="148"/>
      <c r="AK1675" s="143"/>
      <c r="AL1675" s="144"/>
      <c r="AM1675" s="22"/>
      <c r="AN1675" s="149" t="s">
        <v>2511</v>
      </c>
      <c r="AO1675" s="144"/>
      <c r="AP1675" s="148">
        <v>80101</v>
      </c>
      <c r="AQ1675" s="144"/>
      <c r="AR1675" s="120"/>
      <c r="AS1675" s="121"/>
      <c r="AT1675" s="120"/>
      <c r="AU1675" s="121"/>
      <c r="AV1675" s="120"/>
      <c r="AW1675" s="121"/>
      <c r="AX1675" s="120"/>
      <c r="AY1675" s="121"/>
      <c r="AZ1675" s="138"/>
    </row>
    <row r="1676" spans="1:52" ht="17.100000000000001" customHeight="1" thickTop="1">
      <c r="A1676" s="109" t="s">
        <v>6574</v>
      </c>
      <c r="B1676" s="28">
        <v>45922</v>
      </c>
      <c r="C1676" s="25">
        <v>2061</v>
      </c>
      <c r="D1676" s="13" t="s">
        <v>1597</v>
      </c>
      <c r="E1676" s="111"/>
      <c r="F1676" s="113" t="s">
        <v>5244</v>
      </c>
      <c r="G1676" s="114"/>
      <c r="H1676" s="115"/>
      <c r="I1676" s="24"/>
      <c r="J1676" s="116">
        <v>4</v>
      </c>
      <c r="K1676" s="118">
        <v>1325000</v>
      </c>
      <c r="L1676" s="119"/>
      <c r="M1676" s="118">
        <f>K1676*0.1</f>
        <v>132500</v>
      </c>
      <c r="N1676" s="119"/>
      <c r="O1676" s="118">
        <v>0</v>
      </c>
      <c r="P1676" s="119"/>
      <c r="Q1676" s="118">
        <v>19390</v>
      </c>
      <c r="R1676" s="119"/>
      <c r="S1676" s="118">
        <v>11000</v>
      </c>
      <c r="T1676" s="119"/>
      <c r="U1676" s="118">
        <f>SUM(K1676:T1677)</f>
        <v>1487890</v>
      </c>
      <c r="V1676" s="122"/>
      <c r="W1676" s="124"/>
      <c r="X1676" s="126" t="s">
        <v>5245</v>
      </c>
      <c r="Y1676" s="127"/>
      <c r="Z1676" s="127"/>
      <c r="AA1676" s="127"/>
      <c r="AB1676" s="128"/>
      <c r="AC1676" s="15" t="s">
        <v>20</v>
      </c>
      <c r="AD1676" s="129" t="s">
        <v>171</v>
      </c>
      <c r="AE1676" s="130"/>
      <c r="AF1676" s="130"/>
      <c r="AG1676" s="130"/>
      <c r="AH1676" s="130"/>
      <c r="AI1676" s="131"/>
      <c r="AJ1676" s="132"/>
      <c r="AK1676" s="127"/>
      <c r="AL1676" s="128"/>
      <c r="AM1676" s="21"/>
      <c r="AN1676" s="133">
        <v>45934</v>
      </c>
      <c r="AO1676" s="134"/>
      <c r="AP1676" s="135">
        <v>1270</v>
      </c>
      <c r="AQ1676" s="136"/>
      <c r="AR1676" s="118">
        <v>1420000</v>
      </c>
      <c r="AS1676" s="119"/>
      <c r="AT1676" s="118">
        <f>AR1676*0.1</f>
        <v>142000</v>
      </c>
      <c r="AU1676" s="119"/>
      <c r="AV1676" s="118">
        <v>19390</v>
      </c>
      <c r="AW1676" s="119"/>
      <c r="AX1676" s="118">
        <f>SUM(AR1676:AW1676)</f>
        <v>1581390</v>
      </c>
      <c r="AY1676" s="119"/>
      <c r="AZ1676" s="137">
        <v>45938</v>
      </c>
    </row>
    <row r="1677" spans="1:52" ht="17.100000000000001" customHeight="1" thickBot="1">
      <c r="A1677" s="110"/>
      <c r="B1677" s="27" t="s">
        <v>83</v>
      </c>
      <c r="C1677" s="27">
        <v>35005</v>
      </c>
      <c r="D1677" s="14" t="s">
        <v>904</v>
      </c>
      <c r="E1677" s="112"/>
      <c r="F1677" s="139" t="s">
        <v>5246</v>
      </c>
      <c r="G1677" s="140"/>
      <c r="H1677" s="141"/>
      <c r="I1677" s="26">
        <v>14078</v>
      </c>
      <c r="J1677" s="117"/>
      <c r="K1677" s="120"/>
      <c r="L1677" s="121"/>
      <c r="M1677" s="120"/>
      <c r="N1677" s="121"/>
      <c r="O1677" s="120"/>
      <c r="P1677" s="121"/>
      <c r="Q1677" s="120"/>
      <c r="R1677" s="121"/>
      <c r="S1677" s="120"/>
      <c r="T1677" s="121"/>
      <c r="U1677" s="120"/>
      <c r="V1677" s="123"/>
      <c r="W1677" s="125"/>
      <c r="X1677" s="142" t="s">
        <v>5243</v>
      </c>
      <c r="Y1677" s="143"/>
      <c r="Z1677" s="143"/>
      <c r="AA1677" s="143"/>
      <c r="AB1677" s="144"/>
      <c r="AC1677" s="16" t="s">
        <v>21</v>
      </c>
      <c r="AD1677" s="17" t="s">
        <v>4184</v>
      </c>
      <c r="AE1677" s="145" t="s">
        <v>3828</v>
      </c>
      <c r="AF1677" s="146"/>
      <c r="AG1677" s="146"/>
      <c r="AH1677" s="146"/>
      <c r="AI1677" s="147"/>
      <c r="AJ1677" s="148"/>
      <c r="AK1677" s="143"/>
      <c r="AL1677" s="144"/>
      <c r="AM1677" s="22"/>
      <c r="AN1677" s="149" t="s">
        <v>7284</v>
      </c>
      <c r="AO1677" s="144"/>
      <c r="AP1677" s="148">
        <v>80074</v>
      </c>
      <c r="AQ1677" s="144"/>
      <c r="AR1677" s="120"/>
      <c r="AS1677" s="121"/>
      <c r="AT1677" s="120"/>
      <c r="AU1677" s="121"/>
      <c r="AV1677" s="120"/>
      <c r="AW1677" s="121"/>
      <c r="AX1677" s="120"/>
      <c r="AY1677" s="121"/>
      <c r="AZ1677" s="138"/>
    </row>
    <row r="1678" spans="1:52" ht="17.100000000000001" customHeight="1" thickTop="1">
      <c r="A1678" s="109" t="s">
        <v>6575</v>
      </c>
      <c r="B1678" s="28">
        <v>45923</v>
      </c>
      <c r="C1678" s="25">
        <v>1910</v>
      </c>
      <c r="D1678" s="13" t="s">
        <v>3381</v>
      </c>
      <c r="E1678" s="111"/>
      <c r="F1678" s="113" t="s">
        <v>5247</v>
      </c>
      <c r="G1678" s="114"/>
      <c r="H1678" s="115"/>
      <c r="I1678" s="24"/>
      <c r="J1678" s="116">
        <v>4.5</v>
      </c>
      <c r="K1678" s="118">
        <v>912000</v>
      </c>
      <c r="L1678" s="119"/>
      <c r="M1678" s="118">
        <f>K1678*0.1</f>
        <v>91200</v>
      </c>
      <c r="N1678" s="119"/>
      <c r="O1678" s="118">
        <v>0</v>
      </c>
      <c r="P1678" s="119"/>
      <c r="Q1678" s="118">
        <v>22120</v>
      </c>
      <c r="R1678" s="119"/>
      <c r="S1678" s="118">
        <v>15950</v>
      </c>
      <c r="T1678" s="119"/>
      <c r="U1678" s="118">
        <f>SUM(K1678:T1679)</f>
        <v>1041270</v>
      </c>
      <c r="V1678" s="122"/>
      <c r="W1678" s="124"/>
      <c r="X1678" s="126" t="s">
        <v>5248</v>
      </c>
      <c r="Y1678" s="127"/>
      <c r="Z1678" s="127"/>
      <c r="AA1678" s="127"/>
      <c r="AB1678" s="128"/>
      <c r="AC1678" s="15" t="s">
        <v>20</v>
      </c>
      <c r="AD1678" s="129" t="s">
        <v>1670</v>
      </c>
      <c r="AE1678" s="130"/>
      <c r="AF1678" s="130"/>
      <c r="AG1678" s="130"/>
      <c r="AH1678" s="130"/>
      <c r="AI1678" s="131"/>
      <c r="AJ1678" s="132"/>
      <c r="AK1678" s="127"/>
      <c r="AL1678" s="128"/>
      <c r="AM1678" s="21"/>
      <c r="AN1678" s="133">
        <v>45934</v>
      </c>
      <c r="AO1678" s="134"/>
      <c r="AP1678" s="135">
        <v>1270</v>
      </c>
      <c r="AQ1678" s="136"/>
      <c r="AR1678" s="118">
        <v>1070000</v>
      </c>
      <c r="AS1678" s="119"/>
      <c r="AT1678" s="118">
        <f>AR1678*0.1</f>
        <v>107000</v>
      </c>
      <c r="AU1678" s="119"/>
      <c r="AV1678" s="118">
        <v>22120</v>
      </c>
      <c r="AW1678" s="119"/>
      <c r="AX1678" s="118">
        <f>SUM(AR1678:AW1678)</f>
        <v>1199120</v>
      </c>
      <c r="AY1678" s="119"/>
      <c r="AZ1678" s="137">
        <v>45938</v>
      </c>
    </row>
    <row r="1679" spans="1:52" ht="17.100000000000001" customHeight="1" thickBot="1">
      <c r="A1679" s="110"/>
      <c r="B1679" s="27" t="s">
        <v>2131</v>
      </c>
      <c r="C1679" s="27">
        <v>5027</v>
      </c>
      <c r="D1679" s="14" t="s">
        <v>1635</v>
      </c>
      <c r="E1679" s="112"/>
      <c r="F1679" s="139" t="s">
        <v>5249</v>
      </c>
      <c r="G1679" s="140"/>
      <c r="H1679" s="141"/>
      <c r="I1679" s="26">
        <v>46551</v>
      </c>
      <c r="J1679" s="117"/>
      <c r="K1679" s="120"/>
      <c r="L1679" s="121"/>
      <c r="M1679" s="120"/>
      <c r="N1679" s="121"/>
      <c r="O1679" s="120"/>
      <c r="P1679" s="121"/>
      <c r="Q1679" s="120"/>
      <c r="R1679" s="121"/>
      <c r="S1679" s="120"/>
      <c r="T1679" s="121"/>
      <c r="U1679" s="120"/>
      <c r="V1679" s="123"/>
      <c r="W1679" s="125"/>
      <c r="X1679" s="142" t="s">
        <v>5250</v>
      </c>
      <c r="Y1679" s="143"/>
      <c r="Z1679" s="143"/>
      <c r="AA1679" s="143"/>
      <c r="AB1679" s="144"/>
      <c r="AC1679" s="16" t="s">
        <v>21</v>
      </c>
      <c r="AD1679" s="17" t="s">
        <v>4607</v>
      </c>
      <c r="AE1679" s="145" t="s">
        <v>171</v>
      </c>
      <c r="AF1679" s="146"/>
      <c r="AG1679" s="146"/>
      <c r="AH1679" s="146"/>
      <c r="AI1679" s="147"/>
      <c r="AJ1679" s="148"/>
      <c r="AK1679" s="143"/>
      <c r="AL1679" s="144"/>
      <c r="AM1679" s="22"/>
      <c r="AN1679" s="149" t="s">
        <v>7284</v>
      </c>
      <c r="AO1679" s="144"/>
      <c r="AP1679" s="148">
        <v>80015</v>
      </c>
      <c r="AQ1679" s="144"/>
      <c r="AR1679" s="120"/>
      <c r="AS1679" s="121"/>
      <c r="AT1679" s="120"/>
      <c r="AU1679" s="121"/>
      <c r="AV1679" s="120"/>
      <c r="AW1679" s="121"/>
      <c r="AX1679" s="120"/>
      <c r="AY1679" s="121"/>
      <c r="AZ1679" s="138"/>
    </row>
    <row r="1680" spans="1:52" ht="17.100000000000001" customHeight="1" thickTop="1">
      <c r="A1680" s="109" t="s">
        <v>6576</v>
      </c>
      <c r="B1680" s="28">
        <v>45923</v>
      </c>
      <c r="C1680" s="25">
        <v>1910</v>
      </c>
      <c r="D1680" s="13" t="s">
        <v>1606</v>
      </c>
      <c r="E1680" s="111"/>
      <c r="F1680" s="113" t="s">
        <v>5251</v>
      </c>
      <c r="G1680" s="114"/>
      <c r="H1680" s="115"/>
      <c r="I1680" s="24"/>
      <c r="J1680" s="116">
        <v>4</v>
      </c>
      <c r="K1680" s="118">
        <v>522000</v>
      </c>
      <c r="L1680" s="119"/>
      <c r="M1680" s="118">
        <f>K1680*0.1</f>
        <v>52200</v>
      </c>
      <c r="N1680" s="119"/>
      <c r="O1680" s="118">
        <v>0</v>
      </c>
      <c r="P1680" s="119"/>
      <c r="Q1680" s="118">
        <v>8460</v>
      </c>
      <c r="R1680" s="119"/>
      <c r="S1680" s="118">
        <v>15950</v>
      </c>
      <c r="T1680" s="119"/>
      <c r="U1680" s="118">
        <f>SUM(K1680:T1681)</f>
        <v>598610</v>
      </c>
      <c r="V1680" s="122"/>
      <c r="W1680" s="124"/>
      <c r="X1680" s="126" t="s">
        <v>5252</v>
      </c>
      <c r="Y1680" s="127"/>
      <c r="Z1680" s="127"/>
      <c r="AA1680" s="127"/>
      <c r="AB1680" s="128"/>
      <c r="AC1680" s="15" t="s">
        <v>20</v>
      </c>
      <c r="AD1680" s="129"/>
      <c r="AE1680" s="130"/>
      <c r="AF1680" s="130"/>
      <c r="AG1680" s="130"/>
      <c r="AH1680" s="130"/>
      <c r="AI1680" s="131"/>
      <c r="AJ1680" s="132"/>
      <c r="AK1680" s="127"/>
      <c r="AL1680" s="128"/>
      <c r="AM1680" s="21"/>
      <c r="AN1680" s="133">
        <v>46004</v>
      </c>
      <c r="AO1680" s="134"/>
      <c r="AP1680" s="135">
        <v>1280</v>
      </c>
      <c r="AQ1680" s="136"/>
      <c r="AR1680" s="118">
        <v>560000</v>
      </c>
      <c r="AS1680" s="119"/>
      <c r="AT1680" s="118">
        <f>AR1680*0.1</f>
        <v>56000</v>
      </c>
      <c r="AU1680" s="119"/>
      <c r="AV1680" s="118">
        <v>8460</v>
      </c>
      <c r="AW1680" s="119"/>
      <c r="AX1680" s="118">
        <f>SUM(AR1680:AW1680)</f>
        <v>624460</v>
      </c>
      <c r="AY1680" s="119"/>
      <c r="AZ1680" s="137">
        <v>46008</v>
      </c>
    </row>
    <row r="1681" spans="1:52" ht="17.100000000000001" customHeight="1" thickBot="1">
      <c r="A1681" s="110"/>
      <c r="B1681" s="27" t="s">
        <v>2131</v>
      </c>
      <c r="C1681" s="27">
        <v>5402</v>
      </c>
      <c r="D1681" s="14" t="s">
        <v>275</v>
      </c>
      <c r="E1681" s="112"/>
      <c r="F1681" s="139" t="s">
        <v>5253</v>
      </c>
      <c r="G1681" s="140"/>
      <c r="H1681" s="141"/>
      <c r="I1681" s="26">
        <v>49221</v>
      </c>
      <c r="J1681" s="117"/>
      <c r="K1681" s="120"/>
      <c r="L1681" s="121"/>
      <c r="M1681" s="120"/>
      <c r="N1681" s="121"/>
      <c r="O1681" s="120"/>
      <c r="P1681" s="121"/>
      <c r="Q1681" s="120"/>
      <c r="R1681" s="121"/>
      <c r="S1681" s="120"/>
      <c r="T1681" s="121"/>
      <c r="U1681" s="120"/>
      <c r="V1681" s="123"/>
      <c r="W1681" s="125"/>
      <c r="X1681" s="142" t="s">
        <v>5254</v>
      </c>
      <c r="Y1681" s="143"/>
      <c r="Z1681" s="143"/>
      <c r="AA1681" s="143"/>
      <c r="AB1681" s="144"/>
      <c r="AC1681" s="16" t="s">
        <v>21</v>
      </c>
      <c r="AD1681" s="17" t="s">
        <v>4184</v>
      </c>
      <c r="AE1681" s="145"/>
      <c r="AF1681" s="146"/>
      <c r="AG1681" s="146"/>
      <c r="AH1681" s="146"/>
      <c r="AI1681" s="147"/>
      <c r="AJ1681" s="148"/>
      <c r="AK1681" s="143"/>
      <c r="AL1681" s="144"/>
      <c r="AM1681" s="22"/>
      <c r="AN1681" s="149" t="s">
        <v>2511</v>
      </c>
      <c r="AO1681" s="144"/>
      <c r="AP1681" s="148">
        <v>60147</v>
      </c>
      <c r="AQ1681" s="144"/>
      <c r="AR1681" s="120"/>
      <c r="AS1681" s="121"/>
      <c r="AT1681" s="120"/>
      <c r="AU1681" s="121"/>
      <c r="AV1681" s="120"/>
      <c r="AW1681" s="121"/>
      <c r="AX1681" s="120"/>
      <c r="AY1681" s="121"/>
      <c r="AZ1681" s="138"/>
    </row>
    <row r="1682" spans="1:52" ht="17.100000000000001" customHeight="1" thickTop="1">
      <c r="A1682" s="109" t="s">
        <v>6577</v>
      </c>
      <c r="B1682" s="28">
        <v>45923</v>
      </c>
      <c r="C1682" s="25">
        <v>1910</v>
      </c>
      <c r="D1682" s="13" t="s">
        <v>1623</v>
      </c>
      <c r="E1682" s="111"/>
      <c r="F1682" s="113" t="s">
        <v>5255</v>
      </c>
      <c r="G1682" s="114"/>
      <c r="H1682" s="115"/>
      <c r="I1682" s="24"/>
      <c r="J1682" s="116">
        <v>3.5</v>
      </c>
      <c r="K1682" s="118">
        <v>325000</v>
      </c>
      <c r="L1682" s="119"/>
      <c r="M1682" s="118">
        <f>K1682*0.1</f>
        <v>32500</v>
      </c>
      <c r="N1682" s="119"/>
      <c r="O1682" s="118">
        <v>0</v>
      </c>
      <c r="P1682" s="119"/>
      <c r="Q1682" s="118">
        <v>8460</v>
      </c>
      <c r="R1682" s="119"/>
      <c r="S1682" s="118">
        <v>15950</v>
      </c>
      <c r="T1682" s="119"/>
      <c r="U1682" s="118">
        <f>SUM(K1682:T1683)</f>
        <v>381910</v>
      </c>
      <c r="V1682" s="122"/>
      <c r="W1682" s="124"/>
      <c r="X1682" s="126" t="s">
        <v>5256</v>
      </c>
      <c r="Y1682" s="127"/>
      <c r="Z1682" s="127"/>
      <c r="AA1682" s="127"/>
      <c r="AB1682" s="128"/>
      <c r="AC1682" s="15" t="s">
        <v>20</v>
      </c>
      <c r="AD1682" s="129" t="s">
        <v>1581</v>
      </c>
      <c r="AE1682" s="130"/>
      <c r="AF1682" s="130"/>
      <c r="AG1682" s="130"/>
      <c r="AH1682" s="130"/>
      <c r="AI1682" s="131"/>
      <c r="AJ1682" s="132"/>
      <c r="AK1682" s="127"/>
      <c r="AL1682" s="128"/>
      <c r="AM1682" s="21"/>
      <c r="AN1682" s="133">
        <v>45934</v>
      </c>
      <c r="AO1682" s="134"/>
      <c r="AP1682" s="135">
        <v>1270</v>
      </c>
      <c r="AQ1682" s="136"/>
      <c r="AR1682" s="118">
        <v>410000</v>
      </c>
      <c r="AS1682" s="119"/>
      <c r="AT1682" s="118">
        <f>AR1682*0.1</f>
        <v>41000</v>
      </c>
      <c r="AU1682" s="119"/>
      <c r="AV1682" s="118">
        <v>8460</v>
      </c>
      <c r="AW1682" s="119"/>
      <c r="AX1682" s="118">
        <f>SUM(AR1682:AW1682)</f>
        <v>459460</v>
      </c>
      <c r="AY1682" s="119"/>
      <c r="AZ1682" s="137">
        <v>45937</v>
      </c>
    </row>
    <row r="1683" spans="1:52" ht="17.100000000000001" customHeight="1" thickBot="1">
      <c r="A1683" s="110"/>
      <c r="B1683" s="27" t="s">
        <v>2131</v>
      </c>
      <c r="C1683" s="27">
        <v>7075</v>
      </c>
      <c r="D1683" s="14" t="s">
        <v>275</v>
      </c>
      <c r="E1683" s="112"/>
      <c r="F1683" s="139" t="s">
        <v>5257</v>
      </c>
      <c r="G1683" s="140"/>
      <c r="H1683" s="141"/>
      <c r="I1683" s="26">
        <v>37612</v>
      </c>
      <c r="J1683" s="117"/>
      <c r="K1683" s="120"/>
      <c r="L1683" s="121"/>
      <c r="M1683" s="120"/>
      <c r="N1683" s="121"/>
      <c r="O1683" s="120"/>
      <c r="P1683" s="121"/>
      <c r="Q1683" s="120"/>
      <c r="R1683" s="121"/>
      <c r="S1683" s="120"/>
      <c r="T1683" s="121"/>
      <c r="U1683" s="120"/>
      <c r="V1683" s="123"/>
      <c r="W1683" s="125"/>
      <c r="X1683" s="142" t="s">
        <v>5258</v>
      </c>
      <c r="Y1683" s="143"/>
      <c r="Z1683" s="143"/>
      <c r="AA1683" s="143"/>
      <c r="AB1683" s="144"/>
      <c r="AC1683" s="16" t="s">
        <v>21</v>
      </c>
      <c r="AD1683" s="17" t="s">
        <v>4607</v>
      </c>
      <c r="AE1683" s="145" t="s">
        <v>1581</v>
      </c>
      <c r="AF1683" s="146"/>
      <c r="AG1683" s="146"/>
      <c r="AH1683" s="146"/>
      <c r="AI1683" s="147"/>
      <c r="AJ1683" s="148"/>
      <c r="AK1683" s="143"/>
      <c r="AL1683" s="144"/>
      <c r="AM1683" s="22"/>
      <c r="AN1683" s="149" t="s">
        <v>7284</v>
      </c>
      <c r="AO1683" s="144"/>
      <c r="AP1683" s="148">
        <v>60175</v>
      </c>
      <c r="AQ1683" s="144"/>
      <c r="AR1683" s="120"/>
      <c r="AS1683" s="121"/>
      <c r="AT1683" s="120"/>
      <c r="AU1683" s="121"/>
      <c r="AV1683" s="120"/>
      <c r="AW1683" s="121"/>
      <c r="AX1683" s="120"/>
      <c r="AY1683" s="121"/>
      <c r="AZ1683" s="138"/>
    </row>
    <row r="1684" spans="1:52" ht="17.100000000000001" customHeight="1" thickTop="1">
      <c r="A1684" s="109" t="s">
        <v>6578</v>
      </c>
      <c r="B1684" s="28">
        <v>45923</v>
      </c>
      <c r="C1684" s="25">
        <v>788</v>
      </c>
      <c r="D1684" s="13" t="s">
        <v>2322</v>
      </c>
      <c r="E1684" s="111"/>
      <c r="F1684" s="113" t="s">
        <v>5259</v>
      </c>
      <c r="G1684" s="114"/>
      <c r="H1684" s="115"/>
      <c r="I1684" s="24" t="s">
        <v>3509</v>
      </c>
      <c r="J1684" s="116">
        <v>4.5</v>
      </c>
      <c r="K1684" s="118">
        <v>406000</v>
      </c>
      <c r="L1684" s="119"/>
      <c r="M1684" s="118">
        <f>K1684*0.1</f>
        <v>40600</v>
      </c>
      <c r="N1684" s="119"/>
      <c r="O1684" s="118">
        <v>18920</v>
      </c>
      <c r="P1684" s="119"/>
      <c r="Q1684" s="118">
        <v>11810</v>
      </c>
      <c r="R1684" s="119"/>
      <c r="S1684" s="118">
        <v>19250</v>
      </c>
      <c r="T1684" s="119"/>
      <c r="U1684" s="118">
        <f>SUM(K1684:T1685)</f>
        <v>496580</v>
      </c>
      <c r="V1684" s="122"/>
      <c r="W1684" s="124"/>
      <c r="X1684" s="126" t="s">
        <v>5260</v>
      </c>
      <c r="Y1684" s="127"/>
      <c r="Z1684" s="127"/>
      <c r="AA1684" s="127"/>
      <c r="AB1684" s="128"/>
      <c r="AC1684" s="15" t="s">
        <v>20</v>
      </c>
      <c r="AD1684" s="129"/>
      <c r="AE1684" s="130"/>
      <c r="AF1684" s="130"/>
      <c r="AG1684" s="130"/>
      <c r="AH1684" s="130"/>
      <c r="AI1684" s="131"/>
      <c r="AJ1684" s="132"/>
      <c r="AK1684" s="127"/>
      <c r="AL1684" s="128"/>
      <c r="AM1684" s="21" t="s">
        <v>8328</v>
      </c>
      <c r="AN1684" s="133">
        <v>45966</v>
      </c>
      <c r="AO1684" s="134"/>
      <c r="AP1684" s="135">
        <v>991</v>
      </c>
      <c r="AQ1684" s="136"/>
      <c r="AR1684" s="118">
        <v>520000</v>
      </c>
      <c r="AS1684" s="119"/>
      <c r="AT1684" s="118">
        <f>AR1684*0.1</f>
        <v>52000</v>
      </c>
      <c r="AU1684" s="119"/>
      <c r="AV1684" s="118">
        <v>11810</v>
      </c>
      <c r="AW1684" s="119"/>
      <c r="AX1684" s="118">
        <f>SUM(AR1684:AW1684)</f>
        <v>583810</v>
      </c>
      <c r="AY1684" s="119"/>
      <c r="AZ1684" s="137">
        <v>45971</v>
      </c>
    </row>
    <row r="1685" spans="1:52" ht="17.100000000000001" customHeight="1" thickBot="1">
      <c r="A1685" s="110"/>
      <c r="B1685" s="27" t="s">
        <v>3367</v>
      </c>
      <c r="C1685" s="27">
        <v>5007</v>
      </c>
      <c r="D1685" s="14" t="s">
        <v>1592</v>
      </c>
      <c r="E1685" s="112"/>
      <c r="F1685" s="139" t="s">
        <v>5261</v>
      </c>
      <c r="G1685" s="140"/>
      <c r="H1685" s="141"/>
      <c r="I1685" s="26">
        <v>53664</v>
      </c>
      <c r="J1685" s="117"/>
      <c r="K1685" s="120"/>
      <c r="L1685" s="121"/>
      <c r="M1685" s="120"/>
      <c r="N1685" s="121"/>
      <c r="O1685" s="120"/>
      <c r="P1685" s="121"/>
      <c r="Q1685" s="120"/>
      <c r="R1685" s="121"/>
      <c r="S1685" s="120"/>
      <c r="T1685" s="121"/>
      <c r="U1685" s="120"/>
      <c r="V1685" s="123"/>
      <c r="W1685" s="125"/>
      <c r="X1685" s="142" t="s">
        <v>5262</v>
      </c>
      <c r="Y1685" s="143"/>
      <c r="Z1685" s="143"/>
      <c r="AA1685" s="143"/>
      <c r="AB1685" s="144"/>
      <c r="AC1685" s="16" t="s">
        <v>21</v>
      </c>
      <c r="AD1685" s="17" t="s">
        <v>4607</v>
      </c>
      <c r="AE1685" s="145" t="s">
        <v>2832</v>
      </c>
      <c r="AF1685" s="146"/>
      <c r="AG1685" s="146"/>
      <c r="AH1685" s="146"/>
      <c r="AI1685" s="147"/>
      <c r="AJ1685" s="148"/>
      <c r="AK1685" s="143"/>
      <c r="AL1685" s="144"/>
      <c r="AM1685" s="22"/>
      <c r="AN1685" s="149" t="s">
        <v>2794</v>
      </c>
      <c r="AO1685" s="144"/>
      <c r="AP1685" s="148">
        <v>6048</v>
      </c>
      <c r="AQ1685" s="144"/>
      <c r="AR1685" s="120"/>
      <c r="AS1685" s="121"/>
      <c r="AT1685" s="120"/>
      <c r="AU1685" s="121"/>
      <c r="AV1685" s="120"/>
      <c r="AW1685" s="121"/>
      <c r="AX1685" s="120"/>
      <c r="AY1685" s="121"/>
      <c r="AZ1685" s="138"/>
    </row>
    <row r="1686" spans="1:52" ht="17.100000000000001" customHeight="1" thickTop="1">
      <c r="A1686" s="109" t="s">
        <v>6579</v>
      </c>
      <c r="B1686" s="28">
        <v>45923</v>
      </c>
      <c r="C1686" s="25">
        <v>908</v>
      </c>
      <c r="D1686" s="13" t="s">
        <v>1922</v>
      </c>
      <c r="E1686" s="111"/>
      <c r="F1686" s="113" t="s">
        <v>5263</v>
      </c>
      <c r="G1686" s="114"/>
      <c r="H1686" s="115"/>
      <c r="I1686" s="24"/>
      <c r="J1686" s="116">
        <v>4</v>
      </c>
      <c r="K1686" s="118">
        <v>1300000</v>
      </c>
      <c r="L1686" s="119"/>
      <c r="M1686" s="118">
        <f>K1686*0.1</f>
        <v>130000</v>
      </c>
      <c r="N1686" s="119"/>
      <c r="O1686" s="118">
        <v>0</v>
      </c>
      <c r="P1686" s="119"/>
      <c r="Q1686" s="118">
        <v>7040</v>
      </c>
      <c r="R1686" s="119"/>
      <c r="S1686" s="118">
        <v>15950</v>
      </c>
      <c r="T1686" s="119"/>
      <c r="U1686" s="118">
        <f>SUM(K1686:T1687)</f>
        <v>1452990</v>
      </c>
      <c r="V1686" s="122"/>
      <c r="W1686" s="124"/>
      <c r="X1686" s="126" t="s">
        <v>5264</v>
      </c>
      <c r="Y1686" s="127"/>
      <c r="Z1686" s="127"/>
      <c r="AA1686" s="127"/>
      <c r="AB1686" s="128"/>
      <c r="AC1686" s="15" t="s">
        <v>20</v>
      </c>
      <c r="AD1686" s="129"/>
      <c r="AE1686" s="130"/>
      <c r="AF1686" s="130"/>
      <c r="AG1686" s="130"/>
      <c r="AH1686" s="130"/>
      <c r="AI1686" s="131"/>
      <c r="AJ1686" s="132"/>
      <c r="AK1686" s="127"/>
      <c r="AL1686" s="128"/>
      <c r="AM1686" s="21"/>
      <c r="AN1686" s="133">
        <v>45934</v>
      </c>
      <c r="AO1686" s="134"/>
      <c r="AP1686" s="135">
        <v>1270</v>
      </c>
      <c r="AQ1686" s="136"/>
      <c r="AR1686" s="118">
        <v>1350000</v>
      </c>
      <c r="AS1686" s="119"/>
      <c r="AT1686" s="118">
        <f>AR1686*0.1</f>
        <v>135000</v>
      </c>
      <c r="AU1686" s="119"/>
      <c r="AV1686" s="118">
        <v>7040</v>
      </c>
      <c r="AW1686" s="119"/>
      <c r="AX1686" s="118">
        <f>SUM(AR1686:AW1686)</f>
        <v>1492040</v>
      </c>
      <c r="AY1686" s="119"/>
      <c r="AZ1686" s="137">
        <v>45937</v>
      </c>
    </row>
    <row r="1687" spans="1:52" ht="17.100000000000001" customHeight="1" thickBot="1">
      <c r="A1687" s="110"/>
      <c r="B1687" s="27" t="s">
        <v>2699</v>
      </c>
      <c r="C1687" s="27">
        <v>3036</v>
      </c>
      <c r="D1687" s="14" t="s">
        <v>904</v>
      </c>
      <c r="E1687" s="112"/>
      <c r="F1687" s="139" t="s">
        <v>5265</v>
      </c>
      <c r="G1687" s="140"/>
      <c r="H1687" s="141"/>
      <c r="I1687" s="26">
        <v>19777</v>
      </c>
      <c r="J1687" s="117"/>
      <c r="K1687" s="120"/>
      <c r="L1687" s="121"/>
      <c r="M1687" s="120"/>
      <c r="N1687" s="121"/>
      <c r="O1687" s="120"/>
      <c r="P1687" s="121"/>
      <c r="Q1687" s="120"/>
      <c r="R1687" s="121"/>
      <c r="S1687" s="120"/>
      <c r="T1687" s="121"/>
      <c r="U1687" s="120"/>
      <c r="V1687" s="123"/>
      <c r="W1687" s="125"/>
      <c r="X1687" s="142" t="s">
        <v>4076</v>
      </c>
      <c r="Y1687" s="143"/>
      <c r="Z1687" s="143"/>
      <c r="AA1687" s="143"/>
      <c r="AB1687" s="144"/>
      <c r="AC1687" s="16" t="s">
        <v>21</v>
      </c>
      <c r="AD1687" s="17" t="s">
        <v>4607</v>
      </c>
      <c r="AE1687" s="145" t="s">
        <v>5266</v>
      </c>
      <c r="AF1687" s="146"/>
      <c r="AG1687" s="146"/>
      <c r="AH1687" s="146"/>
      <c r="AI1687" s="147"/>
      <c r="AJ1687" s="148"/>
      <c r="AK1687" s="143"/>
      <c r="AL1687" s="144"/>
      <c r="AM1687" s="22"/>
      <c r="AN1687" s="149" t="s">
        <v>7284</v>
      </c>
      <c r="AO1687" s="144"/>
      <c r="AP1687" s="148">
        <v>60103</v>
      </c>
      <c r="AQ1687" s="144"/>
      <c r="AR1687" s="120"/>
      <c r="AS1687" s="121"/>
      <c r="AT1687" s="120"/>
      <c r="AU1687" s="121"/>
      <c r="AV1687" s="120"/>
      <c r="AW1687" s="121"/>
      <c r="AX1687" s="120"/>
      <c r="AY1687" s="121"/>
      <c r="AZ1687" s="138"/>
    </row>
    <row r="1688" spans="1:52" ht="17.100000000000001" customHeight="1" thickTop="1">
      <c r="A1688" s="109" t="s">
        <v>6580</v>
      </c>
      <c r="B1688" s="28">
        <v>45923</v>
      </c>
      <c r="C1688" s="25">
        <v>908</v>
      </c>
      <c r="D1688" s="13" t="s">
        <v>3801</v>
      </c>
      <c r="E1688" s="111"/>
      <c r="F1688" s="113" t="s">
        <v>5267</v>
      </c>
      <c r="G1688" s="114"/>
      <c r="H1688" s="115"/>
      <c r="I1688" s="24"/>
      <c r="J1688" s="116">
        <v>4</v>
      </c>
      <c r="K1688" s="118">
        <v>1105000</v>
      </c>
      <c r="L1688" s="119"/>
      <c r="M1688" s="118">
        <f>K1688*0.1</f>
        <v>110500</v>
      </c>
      <c r="N1688" s="119"/>
      <c r="O1688" s="118">
        <v>0</v>
      </c>
      <c r="P1688" s="119"/>
      <c r="Q1688" s="118">
        <v>6830</v>
      </c>
      <c r="R1688" s="119"/>
      <c r="S1688" s="118">
        <v>15950</v>
      </c>
      <c r="T1688" s="119"/>
      <c r="U1688" s="118">
        <f>SUM(K1688:T1689)</f>
        <v>1238280</v>
      </c>
      <c r="V1688" s="122"/>
      <c r="W1688" s="124"/>
      <c r="X1688" s="126" t="s">
        <v>5268</v>
      </c>
      <c r="Y1688" s="127"/>
      <c r="Z1688" s="127"/>
      <c r="AA1688" s="127"/>
      <c r="AB1688" s="128"/>
      <c r="AC1688" s="15" t="s">
        <v>20</v>
      </c>
      <c r="AD1688" s="129" t="s">
        <v>171</v>
      </c>
      <c r="AE1688" s="130"/>
      <c r="AF1688" s="130"/>
      <c r="AG1688" s="130"/>
      <c r="AH1688" s="130"/>
      <c r="AI1688" s="131"/>
      <c r="AJ1688" s="132"/>
      <c r="AK1688" s="127"/>
      <c r="AL1688" s="128"/>
      <c r="AM1688" s="21"/>
      <c r="AN1688" s="133">
        <v>45980</v>
      </c>
      <c r="AO1688" s="134"/>
      <c r="AP1688" s="135">
        <v>993</v>
      </c>
      <c r="AQ1688" s="136"/>
      <c r="AR1688" s="118">
        <v>1160000</v>
      </c>
      <c r="AS1688" s="119"/>
      <c r="AT1688" s="118">
        <f>AR1688*0.1</f>
        <v>116000</v>
      </c>
      <c r="AU1688" s="119"/>
      <c r="AV1688" s="118">
        <v>6830</v>
      </c>
      <c r="AW1688" s="119"/>
      <c r="AX1688" s="118">
        <f>SUM(AR1688:AW1688)</f>
        <v>1282830</v>
      </c>
      <c r="AY1688" s="119"/>
      <c r="AZ1688" s="137">
        <v>45986</v>
      </c>
    </row>
    <row r="1689" spans="1:52" ht="17.100000000000001" customHeight="1" thickBot="1">
      <c r="A1689" s="110"/>
      <c r="B1689" s="27" t="s">
        <v>2699</v>
      </c>
      <c r="C1689" s="27">
        <v>3062</v>
      </c>
      <c r="D1689" s="14" t="s">
        <v>3855</v>
      </c>
      <c r="E1689" s="112"/>
      <c r="F1689" s="139" t="s">
        <v>5269</v>
      </c>
      <c r="G1689" s="140"/>
      <c r="H1689" s="141"/>
      <c r="I1689" s="26">
        <v>38905</v>
      </c>
      <c r="J1689" s="117"/>
      <c r="K1689" s="120"/>
      <c r="L1689" s="121"/>
      <c r="M1689" s="120"/>
      <c r="N1689" s="121"/>
      <c r="O1689" s="120"/>
      <c r="P1689" s="121"/>
      <c r="Q1689" s="120"/>
      <c r="R1689" s="121"/>
      <c r="S1689" s="120"/>
      <c r="T1689" s="121"/>
      <c r="U1689" s="120"/>
      <c r="V1689" s="123"/>
      <c r="W1689" s="125"/>
      <c r="X1689" s="142" t="s">
        <v>4619</v>
      </c>
      <c r="Y1689" s="143"/>
      <c r="Z1689" s="143"/>
      <c r="AA1689" s="143"/>
      <c r="AB1689" s="144"/>
      <c r="AC1689" s="16" t="s">
        <v>21</v>
      </c>
      <c r="AD1689" s="17" t="s">
        <v>4184</v>
      </c>
      <c r="AE1689" s="145" t="s">
        <v>5270</v>
      </c>
      <c r="AF1689" s="146"/>
      <c r="AG1689" s="146"/>
      <c r="AH1689" s="146"/>
      <c r="AI1689" s="147"/>
      <c r="AJ1689" s="148"/>
      <c r="AK1689" s="143"/>
      <c r="AL1689" s="144"/>
      <c r="AM1689" s="22"/>
      <c r="AN1689" s="149" t="s">
        <v>2794</v>
      </c>
      <c r="AO1689" s="144"/>
      <c r="AP1689" s="148">
        <v>2022</v>
      </c>
      <c r="AQ1689" s="144"/>
      <c r="AR1689" s="120"/>
      <c r="AS1689" s="121"/>
      <c r="AT1689" s="120"/>
      <c r="AU1689" s="121"/>
      <c r="AV1689" s="120"/>
      <c r="AW1689" s="121"/>
      <c r="AX1689" s="120"/>
      <c r="AY1689" s="121"/>
      <c r="AZ1689" s="138"/>
    </row>
    <row r="1690" spans="1:52" ht="17.100000000000001" customHeight="1" thickTop="1">
      <c r="A1690" s="109" t="s">
        <v>6581</v>
      </c>
      <c r="B1690" s="28">
        <v>45923</v>
      </c>
      <c r="C1690" s="25">
        <v>908</v>
      </c>
      <c r="D1690" s="13" t="s">
        <v>2681</v>
      </c>
      <c r="E1690" s="111"/>
      <c r="F1690" s="113" t="s">
        <v>5271</v>
      </c>
      <c r="G1690" s="114"/>
      <c r="H1690" s="115"/>
      <c r="I1690" s="24" t="s">
        <v>2064</v>
      </c>
      <c r="J1690" s="116">
        <v>4.5</v>
      </c>
      <c r="K1690" s="118">
        <v>799000</v>
      </c>
      <c r="L1690" s="119"/>
      <c r="M1690" s="118">
        <f>K1690*0.1</f>
        <v>79900</v>
      </c>
      <c r="N1690" s="119"/>
      <c r="O1690" s="118">
        <v>0</v>
      </c>
      <c r="P1690" s="119"/>
      <c r="Q1690" s="118">
        <v>6470</v>
      </c>
      <c r="R1690" s="119"/>
      <c r="S1690" s="118">
        <v>15950</v>
      </c>
      <c r="T1690" s="119"/>
      <c r="U1690" s="118">
        <f>SUM(K1690:T1691)</f>
        <v>901320</v>
      </c>
      <c r="V1690" s="122"/>
      <c r="W1690" s="124"/>
      <c r="X1690" s="126" t="s">
        <v>5272</v>
      </c>
      <c r="Y1690" s="127"/>
      <c r="Z1690" s="127"/>
      <c r="AA1690" s="127"/>
      <c r="AB1690" s="128"/>
      <c r="AC1690" s="15" t="s">
        <v>20</v>
      </c>
      <c r="AD1690" s="129" t="s">
        <v>171</v>
      </c>
      <c r="AE1690" s="130"/>
      <c r="AF1690" s="130"/>
      <c r="AG1690" s="130"/>
      <c r="AH1690" s="130"/>
      <c r="AI1690" s="131"/>
      <c r="AJ1690" s="132"/>
      <c r="AK1690" s="127"/>
      <c r="AL1690" s="128"/>
      <c r="AM1690" s="21" t="s">
        <v>7716</v>
      </c>
      <c r="AN1690" s="133">
        <v>45934</v>
      </c>
      <c r="AO1690" s="134"/>
      <c r="AP1690" s="135">
        <v>1270</v>
      </c>
      <c r="AQ1690" s="136"/>
      <c r="AR1690" s="118">
        <v>950000</v>
      </c>
      <c r="AS1690" s="119"/>
      <c r="AT1690" s="118">
        <f>AR1690*0.1</f>
        <v>95000</v>
      </c>
      <c r="AU1690" s="119"/>
      <c r="AV1690" s="118">
        <v>6470</v>
      </c>
      <c r="AW1690" s="119"/>
      <c r="AX1690" s="118">
        <f>SUM(AR1690:AW1690)</f>
        <v>1051470</v>
      </c>
      <c r="AY1690" s="119"/>
      <c r="AZ1690" s="137">
        <v>45944</v>
      </c>
    </row>
    <row r="1691" spans="1:52" ht="17.100000000000001" customHeight="1" thickBot="1">
      <c r="A1691" s="110"/>
      <c r="B1691" s="27" t="s">
        <v>2699</v>
      </c>
      <c r="C1691" s="27">
        <v>3116</v>
      </c>
      <c r="D1691" s="14" t="s">
        <v>1720</v>
      </c>
      <c r="E1691" s="112"/>
      <c r="F1691" s="139" t="s">
        <v>5273</v>
      </c>
      <c r="G1691" s="140"/>
      <c r="H1691" s="141"/>
      <c r="I1691" s="26">
        <v>11769</v>
      </c>
      <c r="J1691" s="117"/>
      <c r="K1691" s="120"/>
      <c r="L1691" s="121"/>
      <c r="M1691" s="120"/>
      <c r="N1691" s="121"/>
      <c r="O1691" s="120"/>
      <c r="P1691" s="121"/>
      <c r="Q1691" s="120"/>
      <c r="R1691" s="121"/>
      <c r="S1691" s="120"/>
      <c r="T1691" s="121"/>
      <c r="U1691" s="120"/>
      <c r="V1691" s="123"/>
      <c r="W1691" s="125"/>
      <c r="X1691" s="142" t="s">
        <v>5274</v>
      </c>
      <c r="Y1691" s="143"/>
      <c r="Z1691" s="143"/>
      <c r="AA1691" s="143"/>
      <c r="AB1691" s="144"/>
      <c r="AC1691" s="16" t="s">
        <v>21</v>
      </c>
      <c r="AD1691" s="17" t="s">
        <v>4607</v>
      </c>
      <c r="AE1691" s="145" t="s">
        <v>5275</v>
      </c>
      <c r="AF1691" s="146"/>
      <c r="AG1691" s="146"/>
      <c r="AH1691" s="146"/>
      <c r="AI1691" s="147"/>
      <c r="AJ1691" s="148"/>
      <c r="AK1691" s="143"/>
      <c r="AL1691" s="144"/>
      <c r="AM1691" s="22"/>
      <c r="AN1691" s="149" t="s">
        <v>6748</v>
      </c>
      <c r="AO1691" s="144"/>
      <c r="AP1691" s="148">
        <v>60165</v>
      </c>
      <c r="AQ1691" s="144"/>
      <c r="AR1691" s="120"/>
      <c r="AS1691" s="121"/>
      <c r="AT1691" s="120"/>
      <c r="AU1691" s="121"/>
      <c r="AV1691" s="120"/>
      <c r="AW1691" s="121"/>
      <c r="AX1691" s="120"/>
      <c r="AY1691" s="121"/>
      <c r="AZ1691" s="138"/>
    </row>
    <row r="1692" spans="1:52" ht="17.100000000000001" customHeight="1" thickTop="1">
      <c r="A1692" s="109" t="s">
        <v>6582</v>
      </c>
      <c r="B1692" s="28">
        <v>45923</v>
      </c>
      <c r="C1692" s="25">
        <v>1209</v>
      </c>
      <c r="D1692" s="13" t="s">
        <v>3478</v>
      </c>
      <c r="E1692" s="111"/>
      <c r="F1692" s="113" t="s">
        <v>2724</v>
      </c>
      <c r="G1692" s="114"/>
      <c r="H1692" s="115"/>
      <c r="I1692" s="24"/>
      <c r="J1692" s="116">
        <v>4</v>
      </c>
      <c r="K1692" s="118">
        <v>479000</v>
      </c>
      <c r="L1692" s="119"/>
      <c r="M1692" s="118">
        <f>K1692*0.1</f>
        <v>47900</v>
      </c>
      <c r="N1692" s="119"/>
      <c r="O1692" s="118">
        <v>0</v>
      </c>
      <c r="P1692" s="119"/>
      <c r="Q1692" s="118">
        <v>16240</v>
      </c>
      <c r="R1692" s="119"/>
      <c r="S1692" s="118">
        <v>15950</v>
      </c>
      <c r="T1692" s="119"/>
      <c r="U1692" s="118">
        <f>SUM(K1692:T1693)</f>
        <v>559090</v>
      </c>
      <c r="V1692" s="122"/>
      <c r="W1692" s="124"/>
      <c r="X1692" s="126" t="s">
        <v>5276</v>
      </c>
      <c r="Y1692" s="127"/>
      <c r="Z1692" s="127"/>
      <c r="AA1692" s="127"/>
      <c r="AB1692" s="128"/>
      <c r="AC1692" s="15" t="s">
        <v>20</v>
      </c>
      <c r="AD1692" s="129"/>
      <c r="AE1692" s="130"/>
      <c r="AF1692" s="130"/>
      <c r="AG1692" s="130"/>
      <c r="AH1692" s="130"/>
      <c r="AI1692" s="131"/>
      <c r="AJ1692" s="132"/>
      <c r="AK1692" s="127"/>
      <c r="AL1692" s="128"/>
      <c r="AM1692" s="21"/>
      <c r="AN1692" s="133">
        <v>45941</v>
      </c>
      <c r="AO1692" s="134"/>
      <c r="AP1692" s="135">
        <v>1271</v>
      </c>
      <c r="AQ1692" s="136"/>
      <c r="AR1692" s="118">
        <v>735000</v>
      </c>
      <c r="AS1692" s="119"/>
      <c r="AT1692" s="118">
        <f>AR1692*0.1</f>
        <v>73500</v>
      </c>
      <c r="AU1692" s="119"/>
      <c r="AV1692" s="118">
        <v>16240</v>
      </c>
      <c r="AW1692" s="119"/>
      <c r="AX1692" s="118">
        <f>SUM(AR1692:AW1692)</f>
        <v>824740</v>
      </c>
      <c r="AY1692" s="119"/>
      <c r="AZ1692" s="137">
        <v>45944</v>
      </c>
    </row>
    <row r="1693" spans="1:52" ht="17.100000000000001" customHeight="1" thickBot="1">
      <c r="A1693" s="110"/>
      <c r="B1693" s="27" t="s">
        <v>2379</v>
      </c>
      <c r="C1693" s="27">
        <v>5027</v>
      </c>
      <c r="D1693" s="14" t="s">
        <v>904</v>
      </c>
      <c r="E1693" s="112"/>
      <c r="F1693" s="139" t="s">
        <v>5277</v>
      </c>
      <c r="G1693" s="140"/>
      <c r="H1693" s="141"/>
      <c r="I1693" s="26">
        <v>45952</v>
      </c>
      <c r="J1693" s="117"/>
      <c r="K1693" s="120"/>
      <c r="L1693" s="121"/>
      <c r="M1693" s="120"/>
      <c r="N1693" s="121"/>
      <c r="O1693" s="120"/>
      <c r="P1693" s="121"/>
      <c r="Q1693" s="120"/>
      <c r="R1693" s="121"/>
      <c r="S1693" s="120"/>
      <c r="T1693" s="121"/>
      <c r="U1693" s="120"/>
      <c r="V1693" s="123"/>
      <c r="W1693" s="125"/>
      <c r="X1693" s="142" t="s">
        <v>5278</v>
      </c>
      <c r="Y1693" s="143"/>
      <c r="Z1693" s="143"/>
      <c r="AA1693" s="143"/>
      <c r="AB1693" s="144"/>
      <c r="AC1693" s="16" t="s">
        <v>21</v>
      </c>
      <c r="AD1693" s="17" t="s">
        <v>4607</v>
      </c>
      <c r="AE1693" s="145" t="s">
        <v>2832</v>
      </c>
      <c r="AF1693" s="146"/>
      <c r="AG1693" s="146"/>
      <c r="AH1693" s="146"/>
      <c r="AI1693" s="147"/>
      <c r="AJ1693" s="148"/>
      <c r="AK1693" s="143"/>
      <c r="AL1693" s="144"/>
      <c r="AM1693" s="22"/>
      <c r="AN1693" s="149" t="s">
        <v>2511</v>
      </c>
      <c r="AO1693" s="144"/>
      <c r="AP1693" s="148">
        <v>80202</v>
      </c>
      <c r="AQ1693" s="144"/>
      <c r="AR1693" s="120"/>
      <c r="AS1693" s="121"/>
      <c r="AT1693" s="120"/>
      <c r="AU1693" s="121"/>
      <c r="AV1693" s="120"/>
      <c r="AW1693" s="121"/>
      <c r="AX1693" s="120"/>
      <c r="AY1693" s="121"/>
      <c r="AZ1693" s="138"/>
    </row>
    <row r="1694" spans="1:52" ht="17.100000000000001" customHeight="1" thickTop="1">
      <c r="A1694" s="109" t="s">
        <v>6583</v>
      </c>
      <c r="B1694" s="28">
        <v>45923</v>
      </c>
      <c r="C1694" s="25">
        <v>1209</v>
      </c>
      <c r="D1694" s="13" t="s">
        <v>1863</v>
      </c>
      <c r="E1694" s="111"/>
      <c r="F1694" s="113" t="s">
        <v>2724</v>
      </c>
      <c r="G1694" s="114"/>
      <c r="H1694" s="115"/>
      <c r="I1694" s="24" t="s">
        <v>4109</v>
      </c>
      <c r="J1694" s="116">
        <v>4</v>
      </c>
      <c r="K1694" s="118">
        <v>578000</v>
      </c>
      <c r="L1694" s="119"/>
      <c r="M1694" s="118">
        <f>K1694*0.1</f>
        <v>57800</v>
      </c>
      <c r="N1694" s="119"/>
      <c r="O1694" s="118">
        <v>18920</v>
      </c>
      <c r="P1694" s="119"/>
      <c r="Q1694" s="118">
        <v>17700</v>
      </c>
      <c r="R1694" s="119"/>
      <c r="S1694" s="118">
        <v>15950</v>
      </c>
      <c r="T1694" s="119"/>
      <c r="U1694" s="118">
        <f>SUM(K1694:T1695)</f>
        <v>688370</v>
      </c>
      <c r="V1694" s="122"/>
      <c r="W1694" s="124"/>
      <c r="X1694" s="126" t="s">
        <v>5279</v>
      </c>
      <c r="Y1694" s="127"/>
      <c r="Z1694" s="127"/>
      <c r="AA1694" s="127"/>
      <c r="AB1694" s="128"/>
      <c r="AC1694" s="15" t="s">
        <v>20</v>
      </c>
      <c r="AD1694" s="129"/>
      <c r="AE1694" s="130"/>
      <c r="AF1694" s="130"/>
      <c r="AG1694" s="130"/>
      <c r="AH1694" s="130"/>
      <c r="AI1694" s="131"/>
      <c r="AJ1694" s="132"/>
      <c r="AK1694" s="127"/>
      <c r="AL1694" s="128"/>
      <c r="AM1694" s="21"/>
      <c r="AN1694" s="133">
        <v>46004</v>
      </c>
      <c r="AO1694" s="134"/>
      <c r="AP1694" s="135">
        <v>1280</v>
      </c>
      <c r="AQ1694" s="136"/>
      <c r="AR1694" s="118">
        <v>645000</v>
      </c>
      <c r="AS1694" s="119"/>
      <c r="AT1694" s="118">
        <f>AR1694*0.1</f>
        <v>64500</v>
      </c>
      <c r="AU1694" s="119"/>
      <c r="AV1694" s="118">
        <v>17700</v>
      </c>
      <c r="AW1694" s="119"/>
      <c r="AX1694" s="118">
        <f>SUM(AR1694:AW1694)</f>
        <v>727200</v>
      </c>
      <c r="AY1694" s="119"/>
      <c r="AZ1694" s="137">
        <v>46007</v>
      </c>
    </row>
    <row r="1695" spans="1:52" ht="17.100000000000001" customHeight="1" thickBot="1">
      <c r="A1695" s="110"/>
      <c r="B1695" s="27" t="s">
        <v>2379</v>
      </c>
      <c r="C1695" s="27">
        <v>32032</v>
      </c>
      <c r="D1695" s="14" t="s">
        <v>904</v>
      </c>
      <c r="E1695" s="112"/>
      <c r="F1695" s="139" t="s">
        <v>5280</v>
      </c>
      <c r="G1695" s="140"/>
      <c r="H1695" s="141"/>
      <c r="I1695" s="26">
        <v>40149</v>
      </c>
      <c r="J1695" s="117"/>
      <c r="K1695" s="120"/>
      <c r="L1695" s="121"/>
      <c r="M1695" s="120"/>
      <c r="N1695" s="121"/>
      <c r="O1695" s="120"/>
      <c r="P1695" s="121"/>
      <c r="Q1695" s="120"/>
      <c r="R1695" s="121"/>
      <c r="S1695" s="120"/>
      <c r="T1695" s="121"/>
      <c r="U1695" s="120"/>
      <c r="V1695" s="123"/>
      <c r="W1695" s="125"/>
      <c r="X1695" s="142" t="s">
        <v>5281</v>
      </c>
      <c r="Y1695" s="143"/>
      <c r="Z1695" s="143"/>
      <c r="AA1695" s="143"/>
      <c r="AB1695" s="144"/>
      <c r="AC1695" s="16" t="s">
        <v>21</v>
      </c>
      <c r="AD1695" s="17" t="s">
        <v>4607</v>
      </c>
      <c r="AE1695" s="145" t="s">
        <v>2832</v>
      </c>
      <c r="AF1695" s="146"/>
      <c r="AG1695" s="146"/>
      <c r="AH1695" s="146"/>
      <c r="AI1695" s="147"/>
      <c r="AJ1695" s="148"/>
      <c r="AK1695" s="143"/>
      <c r="AL1695" s="144"/>
      <c r="AM1695" s="22" t="s">
        <v>3483</v>
      </c>
      <c r="AN1695" s="149" t="s">
        <v>2511</v>
      </c>
      <c r="AO1695" s="144"/>
      <c r="AP1695" s="148">
        <v>80011</v>
      </c>
      <c r="AQ1695" s="144"/>
      <c r="AR1695" s="120"/>
      <c r="AS1695" s="121"/>
      <c r="AT1695" s="120"/>
      <c r="AU1695" s="121"/>
      <c r="AV1695" s="120"/>
      <c r="AW1695" s="121"/>
      <c r="AX1695" s="120"/>
      <c r="AY1695" s="121"/>
      <c r="AZ1695" s="138"/>
    </row>
    <row r="1696" spans="1:52" ht="17.100000000000001" customHeight="1" thickTop="1">
      <c r="A1696" s="109" t="s">
        <v>6584</v>
      </c>
      <c r="B1696" s="28">
        <v>45923</v>
      </c>
      <c r="C1696" s="25">
        <v>1062</v>
      </c>
      <c r="D1696" s="13" t="s">
        <v>1615</v>
      </c>
      <c r="E1696" s="111"/>
      <c r="F1696" s="113" t="s">
        <v>2312</v>
      </c>
      <c r="G1696" s="114"/>
      <c r="H1696" s="115"/>
      <c r="I1696" s="24" t="s">
        <v>5282</v>
      </c>
      <c r="J1696" s="116">
        <v>4.5</v>
      </c>
      <c r="K1696" s="118">
        <v>1740000</v>
      </c>
      <c r="L1696" s="119"/>
      <c r="M1696" s="118">
        <f>K1696*0.1</f>
        <v>174000</v>
      </c>
      <c r="N1696" s="119"/>
      <c r="O1696" s="118">
        <f>19700+1970</f>
        <v>21670</v>
      </c>
      <c r="P1696" s="119"/>
      <c r="Q1696" s="118">
        <v>19090</v>
      </c>
      <c r="R1696" s="119"/>
      <c r="S1696" s="118">
        <v>16500</v>
      </c>
      <c r="T1696" s="119"/>
      <c r="U1696" s="118">
        <f>SUM(K1696:T1697)</f>
        <v>1971260</v>
      </c>
      <c r="V1696" s="122"/>
      <c r="W1696" s="124"/>
      <c r="X1696" s="126" t="s">
        <v>5283</v>
      </c>
      <c r="Y1696" s="127"/>
      <c r="Z1696" s="127"/>
      <c r="AA1696" s="127"/>
      <c r="AB1696" s="128"/>
      <c r="AC1696" s="15" t="s">
        <v>20</v>
      </c>
      <c r="AD1696" s="129"/>
      <c r="AE1696" s="130"/>
      <c r="AF1696" s="130"/>
      <c r="AG1696" s="130"/>
      <c r="AH1696" s="130"/>
      <c r="AI1696" s="131"/>
      <c r="AJ1696" s="132"/>
      <c r="AK1696" s="127"/>
      <c r="AL1696" s="128"/>
      <c r="AM1696" s="21" t="s">
        <v>9560</v>
      </c>
      <c r="AN1696" s="133">
        <v>46309</v>
      </c>
      <c r="AO1696" s="134"/>
      <c r="AP1696" s="135"/>
      <c r="AQ1696" s="136"/>
      <c r="AR1696" s="118">
        <v>2599800</v>
      </c>
      <c r="AS1696" s="119"/>
      <c r="AT1696" s="118">
        <v>0</v>
      </c>
      <c r="AU1696" s="119"/>
      <c r="AV1696" s="118">
        <v>0</v>
      </c>
      <c r="AW1696" s="119"/>
      <c r="AX1696" s="118">
        <f>SUM(AR1696:AW1696)</f>
        <v>2599800</v>
      </c>
      <c r="AY1696" s="119"/>
      <c r="AZ1696" s="137">
        <v>46350</v>
      </c>
    </row>
    <row r="1697" spans="1:52" ht="17.100000000000001" customHeight="1" thickBot="1">
      <c r="A1697" s="110"/>
      <c r="B1697" s="27" t="s">
        <v>1591</v>
      </c>
      <c r="C1697" s="27">
        <v>82022</v>
      </c>
      <c r="D1697" s="14" t="s">
        <v>275</v>
      </c>
      <c r="E1697" s="112"/>
      <c r="F1697" s="139" t="s">
        <v>5284</v>
      </c>
      <c r="G1697" s="140"/>
      <c r="H1697" s="141"/>
      <c r="I1697" s="26">
        <v>97752</v>
      </c>
      <c r="J1697" s="117"/>
      <c r="K1697" s="120"/>
      <c r="L1697" s="121"/>
      <c r="M1697" s="120"/>
      <c r="N1697" s="121"/>
      <c r="O1697" s="120"/>
      <c r="P1697" s="121"/>
      <c r="Q1697" s="120"/>
      <c r="R1697" s="121"/>
      <c r="S1697" s="120"/>
      <c r="T1697" s="121"/>
      <c r="U1697" s="120"/>
      <c r="V1697" s="123"/>
      <c r="W1697" s="125"/>
      <c r="X1697" s="142" t="s">
        <v>5285</v>
      </c>
      <c r="Y1697" s="143"/>
      <c r="Z1697" s="143"/>
      <c r="AA1697" s="143"/>
      <c r="AB1697" s="144"/>
      <c r="AC1697" s="16" t="s">
        <v>21</v>
      </c>
      <c r="AD1697" s="17" t="s">
        <v>4184</v>
      </c>
      <c r="AE1697" s="145" t="s">
        <v>4077</v>
      </c>
      <c r="AF1697" s="146"/>
      <c r="AG1697" s="146"/>
      <c r="AH1697" s="146"/>
      <c r="AI1697" s="147"/>
      <c r="AJ1697" s="148"/>
      <c r="AK1697" s="143"/>
      <c r="AL1697" s="144"/>
      <c r="AM1697" s="22"/>
      <c r="AN1697" s="149" t="s">
        <v>15425</v>
      </c>
      <c r="AO1697" s="144"/>
      <c r="AP1697" s="148"/>
      <c r="AQ1697" s="144"/>
      <c r="AR1697" s="120"/>
      <c r="AS1697" s="121"/>
      <c r="AT1697" s="120"/>
      <c r="AU1697" s="121"/>
      <c r="AV1697" s="120"/>
      <c r="AW1697" s="121"/>
      <c r="AX1697" s="120"/>
      <c r="AY1697" s="121"/>
      <c r="AZ1697" s="138"/>
    </row>
    <row r="1698" spans="1:52" ht="17.100000000000001" customHeight="1" thickTop="1">
      <c r="A1698" s="109" t="s">
        <v>6585</v>
      </c>
      <c r="B1698" s="28">
        <v>45923</v>
      </c>
      <c r="C1698" s="25"/>
      <c r="D1698" s="13" t="s">
        <v>2084</v>
      </c>
      <c r="E1698" s="111"/>
      <c r="F1698" s="113" t="s">
        <v>5286</v>
      </c>
      <c r="G1698" s="114"/>
      <c r="H1698" s="115"/>
      <c r="I1698" s="24" t="s">
        <v>5287</v>
      </c>
      <c r="J1698" s="116">
        <v>3.5</v>
      </c>
      <c r="K1698" s="118">
        <f>3169351/1.1</f>
        <v>2881228.1818181816</v>
      </c>
      <c r="L1698" s="119"/>
      <c r="M1698" s="118">
        <f>K1698*0.1</f>
        <v>288122.81818181818</v>
      </c>
      <c r="N1698" s="119"/>
      <c r="O1698" s="118">
        <v>12700</v>
      </c>
      <c r="P1698" s="119"/>
      <c r="Q1698" s="118">
        <v>6450</v>
      </c>
      <c r="R1698" s="119"/>
      <c r="S1698" s="118">
        <v>134234</v>
      </c>
      <c r="T1698" s="119"/>
      <c r="U1698" s="118">
        <f>SUM(K1698:T1699)</f>
        <v>3322735</v>
      </c>
      <c r="V1698" s="122"/>
      <c r="W1698" s="124"/>
      <c r="X1698" s="126" t="s">
        <v>7946</v>
      </c>
      <c r="Y1698" s="127"/>
      <c r="Z1698" s="127"/>
      <c r="AA1698" s="127"/>
      <c r="AB1698" s="128"/>
      <c r="AC1698" s="15" t="s">
        <v>20</v>
      </c>
      <c r="AD1698" s="129" t="s">
        <v>186</v>
      </c>
      <c r="AE1698" s="130"/>
      <c r="AF1698" s="130"/>
      <c r="AG1698" s="130"/>
      <c r="AH1698" s="130"/>
      <c r="AI1698" s="131"/>
      <c r="AJ1698" s="132"/>
      <c r="AK1698" s="127"/>
      <c r="AL1698" s="128"/>
      <c r="AM1698" s="21"/>
      <c r="AN1698" s="133">
        <v>45955</v>
      </c>
      <c r="AO1698" s="134"/>
      <c r="AP1698" s="135">
        <v>1273</v>
      </c>
      <c r="AQ1698" s="136"/>
      <c r="AR1698" s="118">
        <v>3200000</v>
      </c>
      <c r="AS1698" s="119"/>
      <c r="AT1698" s="118">
        <f>AR1698*0.1</f>
        <v>320000</v>
      </c>
      <c r="AU1698" s="119"/>
      <c r="AV1698" s="118">
        <v>6450</v>
      </c>
      <c r="AW1698" s="119"/>
      <c r="AX1698" s="118">
        <f>SUM(AR1698:AW1698)</f>
        <v>3526450</v>
      </c>
      <c r="AY1698" s="119"/>
      <c r="AZ1698" s="137">
        <v>45958</v>
      </c>
    </row>
    <row r="1699" spans="1:52" ht="17.100000000000001" customHeight="1" thickBot="1">
      <c r="A1699" s="110"/>
      <c r="B1699" s="27" t="s">
        <v>1718</v>
      </c>
      <c r="C1699" s="27" t="s">
        <v>5288</v>
      </c>
      <c r="D1699" s="14" t="s">
        <v>1576</v>
      </c>
      <c r="E1699" s="112"/>
      <c r="F1699" s="139" t="s">
        <v>5289</v>
      </c>
      <c r="G1699" s="140"/>
      <c r="H1699" s="141"/>
      <c r="I1699" s="26">
        <v>3000</v>
      </c>
      <c r="J1699" s="117"/>
      <c r="K1699" s="120"/>
      <c r="L1699" s="121"/>
      <c r="M1699" s="120"/>
      <c r="N1699" s="121"/>
      <c r="O1699" s="120"/>
      <c r="P1699" s="121"/>
      <c r="Q1699" s="120"/>
      <c r="R1699" s="121"/>
      <c r="S1699" s="120"/>
      <c r="T1699" s="121"/>
      <c r="U1699" s="120"/>
      <c r="V1699" s="123"/>
      <c r="W1699" s="125"/>
      <c r="X1699" s="142" t="s">
        <v>7947</v>
      </c>
      <c r="Y1699" s="143"/>
      <c r="Z1699" s="143"/>
      <c r="AA1699" s="143"/>
      <c r="AB1699" s="144"/>
      <c r="AC1699" s="16" t="s">
        <v>21</v>
      </c>
      <c r="AD1699" s="17" t="s">
        <v>1613</v>
      </c>
      <c r="AE1699" s="145" t="s">
        <v>1614</v>
      </c>
      <c r="AF1699" s="146"/>
      <c r="AG1699" s="146"/>
      <c r="AH1699" s="146"/>
      <c r="AI1699" s="147"/>
      <c r="AJ1699" s="148"/>
      <c r="AK1699" s="143"/>
      <c r="AL1699" s="144"/>
      <c r="AM1699" s="22"/>
      <c r="AN1699" s="149" t="s">
        <v>2511</v>
      </c>
      <c r="AO1699" s="144"/>
      <c r="AP1699" s="148">
        <v>37159</v>
      </c>
      <c r="AQ1699" s="144"/>
      <c r="AR1699" s="120"/>
      <c r="AS1699" s="121"/>
      <c r="AT1699" s="120"/>
      <c r="AU1699" s="121"/>
      <c r="AV1699" s="120"/>
      <c r="AW1699" s="121"/>
      <c r="AX1699" s="120"/>
      <c r="AY1699" s="121"/>
      <c r="AZ1699" s="138"/>
    </row>
    <row r="1700" spans="1:52" ht="17.100000000000001" customHeight="1" thickTop="1">
      <c r="A1700" s="109" t="s">
        <v>6586</v>
      </c>
      <c r="B1700" s="28">
        <v>45924</v>
      </c>
      <c r="C1700" s="25">
        <v>1299</v>
      </c>
      <c r="D1700" s="13" t="s">
        <v>4840</v>
      </c>
      <c r="E1700" s="111"/>
      <c r="F1700" s="113" t="s">
        <v>5290</v>
      </c>
      <c r="G1700" s="114"/>
      <c r="H1700" s="115"/>
      <c r="I1700" s="24"/>
      <c r="J1700" s="116">
        <v>4</v>
      </c>
      <c r="K1700" s="118">
        <v>161000</v>
      </c>
      <c r="L1700" s="119"/>
      <c r="M1700" s="118">
        <f>K1700*0.1</f>
        <v>16100</v>
      </c>
      <c r="N1700" s="119"/>
      <c r="O1700" s="118">
        <v>0</v>
      </c>
      <c r="P1700" s="119"/>
      <c r="Q1700" s="118">
        <v>9200</v>
      </c>
      <c r="R1700" s="119"/>
      <c r="S1700" s="118">
        <v>13200</v>
      </c>
      <c r="T1700" s="119"/>
      <c r="U1700" s="118">
        <f>SUM(K1700:T1701)</f>
        <v>199500</v>
      </c>
      <c r="V1700" s="122"/>
      <c r="W1700" s="124"/>
      <c r="X1700" s="126" t="s">
        <v>5291</v>
      </c>
      <c r="Y1700" s="127"/>
      <c r="Z1700" s="127"/>
      <c r="AA1700" s="127"/>
      <c r="AB1700" s="128"/>
      <c r="AC1700" s="15" t="s">
        <v>20</v>
      </c>
      <c r="AD1700" s="129"/>
      <c r="AE1700" s="130"/>
      <c r="AF1700" s="130"/>
      <c r="AG1700" s="130"/>
      <c r="AH1700" s="130"/>
      <c r="AI1700" s="131"/>
      <c r="AJ1700" s="132"/>
      <c r="AK1700" s="127"/>
      <c r="AL1700" s="128"/>
      <c r="AM1700" s="21"/>
      <c r="AN1700" s="133">
        <v>45948</v>
      </c>
      <c r="AO1700" s="134"/>
      <c r="AP1700" s="135">
        <v>1272</v>
      </c>
      <c r="AQ1700" s="136"/>
      <c r="AR1700" s="118">
        <v>240000</v>
      </c>
      <c r="AS1700" s="119"/>
      <c r="AT1700" s="118">
        <f>AR1700*0.1</f>
        <v>24000</v>
      </c>
      <c r="AU1700" s="119"/>
      <c r="AV1700" s="118">
        <v>9200</v>
      </c>
      <c r="AW1700" s="119"/>
      <c r="AX1700" s="118">
        <f>SUM(AR1700:AW1700)</f>
        <v>273200</v>
      </c>
      <c r="AY1700" s="119"/>
      <c r="AZ1700" s="137">
        <v>45951</v>
      </c>
    </row>
    <row r="1701" spans="1:52" ht="17.100000000000001" customHeight="1" thickBot="1">
      <c r="A1701" s="110"/>
      <c r="B1701" s="27" t="s">
        <v>5292</v>
      </c>
      <c r="C1701" s="27">
        <v>8251</v>
      </c>
      <c r="D1701" s="14" t="s">
        <v>5293</v>
      </c>
      <c r="E1701" s="112"/>
      <c r="F1701" s="139" t="s">
        <v>5294</v>
      </c>
      <c r="G1701" s="140"/>
      <c r="H1701" s="141"/>
      <c r="I1701" s="26">
        <v>57272</v>
      </c>
      <c r="J1701" s="117"/>
      <c r="K1701" s="120"/>
      <c r="L1701" s="121"/>
      <c r="M1701" s="120"/>
      <c r="N1701" s="121"/>
      <c r="O1701" s="120"/>
      <c r="P1701" s="121"/>
      <c r="Q1701" s="120"/>
      <c r="R1701" s="121"/>
      <c r="S1701" s="120"/>
      <c r="T1701" s="121"/>
      <c r="U1701" s="120"/>
      <c r="V1701" s="123"/>
      <c r="W1701" s="125"/>
      <c r="X1701" s="142" t="s">
        <v>5295</v>
      </c>
      <c r="Y1701" s="143"/>
      <c r="Z1701" s="143"/>
      <c r="AA1701" s="143"/>
      <c r="AB1701" s="144"/>
      <c r="AC1701" s="16" t="s">
        <v>21</v>
      </c>
      <c r="AD1701" s="17" t="s">
        <v>4607</v>
      </c>
      <c r="AE1701" s="145" t="s">
        <v>171</v>
      </c>
      <c r="AF1701" s="146"/>
      <c r="AG1701" s="146"/>
      <c r="AH1701" s="146"/>
      <c r="AI1701" s="147"/>
      <c r="AJ1701" s="148"/>
      <c r="AK1701" s="143"/>
      <c r="AL1701" s="144"/>
      <c r="AM1701" s="22"/>
      <c r="AN1701" s="149" t="s">
        <v>2511</v>
      </c>
      <c r="AO1701" s="144"/>
      <c r="AP1701" s="148">
        <v>60159</v>
      </c>
      <c r="AQ1701" s="144"/>
      <c r="AR1701" s="120"/>
      <c r="AS1701" s="121"/>
      <c r="AT1701" s="120"/>
      <c r="AU1701" s="121"/>
      <c r="AV1701" s="120"/>
      <c r="AW1701" s="121"/>
      <c r="AX1701" s="120"/>
      <c r="AY1701" s="121"/>
      <c r="AZ1701" s="138"/>
    </row>
    <row r="1702" spans="1:52" ht="17.100000000000001" customHeight="1" thickTop="1">
      <c r="A1702" s="109" t="s">
        <v>6587</v>
      </c>
      <c r="B1702" s="28">
        <v>45924</v>
      </c>
      <c r="C1702" s="25"/>
      <c r="D1702" s="13" t="s">
        <v>3014</v>
      </c>
      <c r="E1702" s="111"/>
      <c r="F1702" s="113" t="s">
        <v>5296</v>
      </c>
      <c r="G1702" s="114"/>
      <c r="H1702" s="115"/>
      <c r="I1702" s="24"/>
      <c r="J1702" s="116">
        <v>4.5</v>
      </c>
      <c r="K1702" s="118">
        <v>700000</v>
      </c>
      <c r="L1702" s="119"/>
      <c r="M1702" s="118">
        <f>K1702*0.1</f>
        <v>70000</v>
      </c>
      <c r="N1702" s="119"/>
      <c r="O1702" s="118">
        <v>0</v>
      </c>
      <c r="P1702" s="119"/>
      <c r="Q1702" s="118">
        <v>7510</v>
      </c>
      <c r="R1702" s="119"/>
      <c r="S1702" s="118">
        <v>16500</v>
      </c>
      <c r="T1702" s="119"/>
      <c r="U1702" s="118">
        <f>SUM(K1702:T1703)</f>
        <v>794010</v>
      </c>
      <c r="V1702" s="122"/>
      <c r="W1702" s="124"/>
      <c r="X1702" s="126" t="s">
        <v>6927</v>
      </c>
      <c r="Y1702" s="127"/>
      <c r="Z1702" s="127"/>
      <c r="AA1702" s="127"/>
      <c r="AB1702" s="128"/>
      <c r="AC1702" s="15" t="s">
        <v>20</v>
      </c>
      <c r="AD1702" s="129" t="s">
        <v>1670</v>
      </c>
      <c r="AE1702" s="130"/>
      <c r="AF1702" s="130"/>
      <c r="AG1702" s="130"/>
      <c r="AH1702" s="130"/>
      <c r="AI1702" s="131"/>
      <c r="AJ1702" s="132"/>
      <c r="AK1702" s="127"/>
      <c r="AL1702" s="128"/>
      <c r="AM1702" s="21"/>
      <c r="AN1702" s="133">
        <v>45934</v>
      </c>
      <c r="AO1702" s="134"/>
      <c r="AP1702" s="135">
        <v>1270</v>
      </c>
      <c r="AQ1702" s="136"/>
      <c r="AR1702" s="118">
        <v>750000</v>
      </c>
      <c r="AS1702" s="119"/>
      <c r="AT1702" s="118">
        <f>AR1702*0.1</f>
        <v>75000</v>
      </c>
      <c r="AU1702" s="119"/>
      <c r="AV1702" s="118">
        <v>7510</v>
      </c>
      <c r="AW1702" s="119"/>
      <c r="AX1702" s="118">
        <f>SUM(AR1702:AW1702)</f>
        <v>832510</v>
      </c>
      <c r="AY1702" s="119"/>
      <c r="AZ1702" s="137">
        <v>45937</v>
      </c>
    </row>
    <row r="1703" spans="1:52" ht="17.100000000000001" customHeight="1" thickBot="1">
      <c r="A1703" s="110"/>
      <c r="B1703" s="27" t="s">
        <v>3422</v>
      </c>
      <c r="C1703" s="27">
        <v>20061</v>
      </c>
      <c r="D1703" s="14" t="s">
        <v>1592</v>
      </c>
      <c r="E1703" s="112"/>
      <c r="F1703" s="139" t="s">
        <v>5297</v>
      </c>
      <c r="G1703" s="140"/>
      <c r="H1703" s="141"/>
      <c r="I1703" s="26">
        <v>41259</v>
      </c>
      <c r="J1703" s="117"/>
      <c r="K1703" s="120"/>
      <c r="L1703" s="121"/>
      <c r="M1703" s="120"/>
      <c r="N1703" s="121"/>
      <c r="O1703" s="120"/>
      <c r="P1703" s="121"/>
      <c r="Q1703" s="120"/>
      <c r="R1703" s="121"/>
      <c r="S1703" s="120"/>
      <c r="T1703" s="121"/>
      <c r="U1703" s="120"/>
      <c r="V1703" s="123"/>
      <c r="W1703" s="125"/>
      <c r="X1703" s="142" t="s">
        <v>4389</v>
      </c>
      <c r="Y1703" s="143"/>
      <c r="Z1703" s="143"/>
      <c r="AA1703" s="143"/>
      <c r="AB1703" s="144"/>
      <c r="AC1703" s="16" t="s">
        <v>21</v>
      </c>
      <c r="AD1703" s="17" t="s">
        <v>6834</v>
      </c>
      <c r="AE1703" s="145" t="s">
        <v>6928</v>
      </c>
      <c r="AF1703" s="146"/>
      <c r="AG1703" s="146"/>
      <c r="AH1703" s="146"/>
      <c r="AI1703" s="147"/>
      <c r="AJ1703" s="148"/>
      <c r="AK1703" s="143"/>
      <c r="AL1703" s="144"/>
      <c r="AM1703" s="22"/>
      <c r="AN1703" s="149" t="s">
        <v>7284</v>
      </c>
      <c r="AO1703" s="144"/>
      <c r="AP1703" s="148">
        <v>60195</v>
      </c>
      <c r="AQ1703" s="144"/>
      <c r="AR1703" s="120"/>
      <c r="AS1703" s="121"/>
      <c r="AT1703" s="120"/>
      <c r="AU1703" s="121"/>
      <c r="AV1703" s="120"/>
      <c r="AW1703" s="121"/>
      <c r="AX1703" s="120"/>
      <c r="AY1703" s="121"/>
      <c r="AZ1703" s="138"/>
    </row>
    <row r="1704" spans="1:52" ht="17.100000000000001" customHeight="1" thickTop="1">
      <c r="A1704" s="109" t="s">
        <v>6588</v>
      </c>
      <c r="B1704" s="28">
        <v>45924</v>
      </c>
      <c r="C1704" s="25"/>
      <c r="D1704" s="13" t="s">
        <v>3749</v>
      </c>
      <c r="E1704" s="111"/>
      <c r="F1704" s="113" t="s">
        <v>5298</v>
      </c>
      <c r="G1704" s="114"/>
      <c r="H1704" s="115"/>
      <c r="I1704" s="24"/>
      <c r="J1704" s="116">
        <v>4.5</v>
      </c>
      <c r="K1704" s="118">
        <v>735000</v>
      </c>
      <c r="L1704" s="119"/>
      <c r="M1704" s="118">
        <f>K1704*0.1</f>
        <v>73500</v>
      </c>
      <c r="N1704" s="119"/>
      <c r="O1704" s="118">
        <v>0</v>
      </c>
      <c r="P1704" s="119"/>
      <c r="Q1704" s="118">
        <v>11810</v>
      </c>
      <c r="R1704" s="119"/>
      <c r="S1704" s="118">
        <v>16500</v>
      </c>
      <c r="T1704" s="119"/>
      <c r="U1704" s="118">
        <f>SUM(K1704:T1705)</f>
        <v>836810</v>
      </c>
      <c r="V1704" s="122"/>
      <c r="W1704" s="124"/>
      <c r="X1704" s="126" t="s">
        <v>5299</v>
      </c>
      <c r="Y1704" s="127"/>
      <c r="Z1704" s="127"/>
      <c r="AA1704" s="127"/>
      <c r="AB1704" s="128"/>
      <c r="AC1704" s="15" t="s">
        <v>20</v>
      </c>
      <c r="AD1704" s="129"/>
      <c r="AE1704" s="130"/>
      <c r="AF1704" s="130"/>
      <c r="AG1704" s="130"/>
      <c r="AH1704" s="130"/>
      <c r="AI1704" s="131"/>
      <c r="AJ1704" s="132"/>
      <c r="AK1704" s="127"/>
      <c r="AL1704" s="128"/>
      <c r="AM1704" s="21"/>
      <c r="AN1704" s="133">
        <v>45934</v>
      </c>
      <c r="AO1704" s="134"/>
      <c r="AP1704" s="135">
        <v>1270</v>
      </c>
      <c r="AQ1704" s="136"/>
      <c r="AR1704" s="118">
        <v>800000</v>
      </c>
      <c r="AS1704" s="119"/>
      <c r="AT1704" s="118">
        <f>AR1704*0.1</f>
        <v>80000</v>
      </c>
      <c r="AU1704" s="119"/>
      <c r="AV1704" s="118">
        <v>11810</v>
      </c>
      <c r="AW1704" s="119"/>
      <c r="AX1704" s="118">
        <f>SUM(AR1704:AW1704)</f>
        <v>891810</v>
      </c>
      <c r="AY1704" s="119"/>
      <c r="AZ1704" s="137">
        <v>45938</v>
      </c>
    </row>
    <row r="1705" spans="1:52" ht="17.100000000000001" customHeight="1" thickBot="1">
      <c r="A1705" s="110"/>
      <c r="B1705" s="27" t="s">
        <v>3422</v>
      </c>
      <c r="C1705" s="27">
        <v>60187</v>
      </c>
      <c r="D1705" s="14" t="s">
        <v>2601</v>
      </c>
      <c r="E1705" s="112"/>
      <c r="F1705" s="139" t="s">
        <v>5300</v>
      </c>
      <c r="G1705" s="140"/>
      <c r="H1705" s="141"/>
      <c r="I1705" s="26">
        <v>70878</v>
      </c>
      <c r="J1705" s="117"/>
      <c r="K1705" s="120"/>
      <c r="L1705" s="121"/>
      <c r="M1705" s="120"/>
      <c r="N1705" s="121"/>
      <c r="O1705" s="120"/>
      <c r="P1705" s="121"/>
      <c r="Q1705" s="120"/>
      <c r="R1705" s="121"/>
      <c r="S1705" s="120"/>
      <c r="T1705" s="121"/>
      <c r="U1705" s="120"/>
      <c r="V1705" s="123"/>
      <c r="W1705" s="125"/>
      <c r="X1705" s="142" t="s">
        <v>5301</v>
      </c>
      <c r="Y1705" s="143"/>
      <c r="Z1705" s="143"/>
      <c r="AA1705" s="143"/>
      <c r="AB1705" s="144"/>
      <c r="AC1705" s="16" t="s">
        <v>21</v>
      </c>
      <c r="AD1705" s="17" t="s">
        <v>4184</v>
      </c>
      <c r="AE1705" s="145" t="s">
        <v>5302</v>
      </c>
      <c r="AF1705" s="146"/>
      <c r="AG1705" s="146"/>
      <c r="AH1705" s="146"/>
      <c r="AI1705" s="147"/>
      <c r="AJ1705" s="148" t="s">
        <v>5303</v>
      </c>
      <c r="AK1705" s="143"/>
      <c r="AL1705" s="144"/>
      <c r="AM1705" s="22"/>
      <c r="AN1705" s="149" t="s">
        <v>7284</v>
      </c>
      <c r="AO1705" s="144"/>
      <c r="AP1705" s="148">
        <v>50265</v>
      </c>
      <c r="AQ1705" s="144"/>
      <c r="AR1705" s="120"/>
      <c r="AS1705" s="121"/>
      <c r="AT1705" s="120"/>
      <c r="AU1705" s="121"/>
      <c r="AV1705" s="120"/>
      <c r="AW1705" s="121"/>
      <c r="AX1705" s="120"/>
      <c r="AY1705" s="121"/>
      <c r="AZ1705" s="138"/>
    </row>
    <row r="1706" spans="1:52" ht="17.100000000000001" customHeight="1" thickTop="1">
      <c r="A1706" s="109" t="s">
        <v>6589</v>
      </c>
      <c r="B1706" s="28">
        <v>45924</v>
      </c>
      <c r="C1706" s="25">
        <v>776</v>
      </c>
      <c r="D1706" s="13" t="s">
        <v>3461</v>
      </c>
      <c r="E1706" s="111"/>
      <c r="F1706" s="113" t="s">
        <v>5304</v>
      </c>
      <c r="G1706" s="114"/>
      <c r="H1706" s="115"/>
      <c r="I1706" s="24" t="s">
        <v>4096</v>
      </c>
      <c r="J1706" s="116">
        <v>4</v>
      </c>
      <c r="K1706" s="118">
        <v>908000</v>
      </c>
      <c r="L1706" s="119"/>
      <c r="M1706" s="118">
        <f>K1706*0.1</f>
        <v>90800</v>
      </c>
      <c r="N1706" s="119"/>
      <c r="O1706" s="118">
        <v>0</v>
      </c>
      <c r="P1706" s="119"/>
      <c r="Q1706" s="118">
        <v>8010</v>
      </c>
      <c r="R1706" s="119"/>
      <c r="S1706" s="118">
        <v>22000</v>
      </c>
      <c r="T1706" s="119"/>
      <c r="U1706" s="118">
        <f>SUM(K1706:T1707)</f>
        <v>1028810</v>
      </c>
      <c r="V1706" s="122"/>
      <c r="W1706" s="124"/>
      <c r="X1706" s="126" t="s">
        <v>5305</v>
      </c>
      <c r="Y1706" s="127"/>
      <c r="Z1706" s="127"/>
      <c r="AA1706" s="127"/>
      <c r="AB1706" s="128"/>
      <c r="AC1706" s="15" t="s">
        <v>20</v>
      </c>
      <c r="AD1706" s="129" t="s">
        <v>186</v>
      </c>
      <c r="AE1706" s="130"/>
      <c r="AF1706" s="130"/>
      <c r="AG1706" s="130"/>
      <c r="AH1706" s="130"/>
      <c r="AI1706" s="131"/>
      <c r="AJ1706" s="132"/>
      <c r="AK1706" s="127"/>
      <c r="AL1706" s="128"/>
      <c r="AM1706" s="21" t="s">
        <v>7549</v>
      </c>
      <c r="AN1706" s="133">
        <v>45937</v>
      </c>
      <c r="AO1706" s="134"/>
      <c r="AP1706" s="135">
        <v>1912</v>
      </c>
      <c r="AQ1706" s="136"/>
      <c r="AR1706" s="118">
        <v>958000</v>
      </c>
      <c r="AS1706" s="119"/>
      <c r="AT1706" s="118">
        <f>AR1706*0.1</f>
        <v>95800</v>
      </c>
      <c r="AU1706" s="119"/>
      <c r="AV1706" s="118">
        <v>8010</v>
      </c>
      <c r="AW1706" s="119"/>
      <c r="AX1706" s="118">
        <f>SUM(AR1706:AW1706)</f>
        <v>1061810</v>
      </c>
      <c r="AY1706" s="119"/>
      <c r="AZ1706" s="137"/>
    </row>
    <row r="1707" spans="1:52" ht="17.100000000000001" customHeight="1" thickBot="1">
      <c r="A1707" s="110"/>
      <c r="B1707" s="27" t="s">
        <v>4491</v>
      </c>
      <c r="C1707" s="27">
        <v>197</v>
      </c>
      <c r="D1707" s="14" t="s">
        <v>1592</v>
      </c>
      <c r="E1707" s="112"/>
      <c r="F1707" s="139" t="s">
        <v>5306</v>
      </c>
      <c r="G1707" s="140"/>
      <c r="H1707" s="141"/>
      <c r="I1707" s="26">
        <v>32448</v>
      </c>
      <c r="J1707" s="117"/>
      <c r="K1707" s="120"/>
      <c r="L1707" s="121"/>
      <c r="M1707" s="120"/>
      <c r="N1707" s="121"/>
      <c r="O1707" s="120"/>
      <c r="P1707" s="121"/>
      <c r="Q1707" s="120"/>
      <c r="R1707" s="121"/>
      <c r="S1707" s="120"/>
      <c r="T1707" s="121"/>
      <c r="U1707" s="120"/>
      <c r="V1707" s="123"/>
      <c r="W1707" s="125"/>
      <c r="X1707" s="142" t="s">
        <v>6905</v>
      </c>
      <c r="Y1707" s="143"/>
      <c r="Z1707" s="143"/>
      <c r="AA1707" s="143"/>
      <c r="AB1707" s="144"/>
      <c r="AC1707" s="16" t="s">
        <v>21</v>
      </c>
      <c r="AD1707" s="17" t="s">
        <v>6716</v>
      </c>
      <c r="AE1707" s="145" t="s">
        <v>6906</v>
      </c>
      <c r="AF1707" s="146"/>
      <c r="AG1707" s="146"/>
      <c r="AH1707" s="146"/>
      <c r="AI1707" s="147"/>
      <c r="AJ1707" s="148"/>
      <c r="AK1707" s="143"/>
      <c r="AL1707" s="144"/>
      <c r="AM1707" s="22"/>
      <c r="AN1707" s="149" t="s">
        <v>2131</v>
      </c>
      <c r="AO1707" s="144"/>
      <c r="AP1707" s="148">
        <v>3181</v>
      </c>
      <c r="AQ1707" s="144"/>
      <c r="AR1707" s="120"/>
      <c r="AS1707" s="121"/>
      <c r="AT1707" s="120"/>
      <c r="AU1707" s="121"/>
      <c r="AV1707" s="120"/>
      <c r="AW1707" s="121"/>
      <c r="AX1707" s="120"/>
      <c r="AY1707" s="121"/>
      <c r="AZ1707" s="138"/>
    </row>
    <row r="1708" spans="1:52" ht="17.100000000000001" customHeight="1" thickTop="1">
      <c r="A1708" s="109" t="s">
        <v>6590</v>
      </c>
      <c r="B1708" s="28">
        <v>45924</v>
      </c>
      <c r="C1708" s="25">
        <v>1806</v>
      </c>
      <c r="D1708" s="13" t="s">
        <v>1688</v>
      </c>
      <c r="E1708" s="111"/>
      <c r="F1708" s="113" t="s">
        <v>4218</v>
      </c>
      <c r="G1708" s="114"/>
      <c r="H1708" s="115"/>
      <c r="I1708" s="24" t="s">
        <v>3399</v>
      </c>
      <c r="J1708" s="116">
        <v>5</v>
      </c>
      <c r="K1708" s="118">
        <v>890000</v>
      </c>
      <c r="L1708" s="119"/>
      <c r="M1708" s="118">
        <f>K1708*0.1</f>
        <v>89000</v>
      </c>
      <c r="N1708" s="119"/>
      <c r="O1708" s="118">
        <v>0</v>
      </c>
      <c r="P1708" s="119"/>
      <c r="Q1708" s="118">
        <v>6470</v>
      </c>
      <c r="R1708" s="119"/>
      <c r="S1708" s="118">
        <v>18150</v>
      </c>
      <c r="T1708" s="119"/>
      <c r="U1708" s="118">
        <f>SUM(K1708:T1709)</f>
        <v>1003620</v>
      </c>
      <c r="V1708" s="122"/>
      <c r="W1708" s="124"/>
      <c r="X1708" s="126" t="s">
        <v>5307</v>
      </c>
      <c r="Y1708" s="127"/>
      <c r="Z1708" s="127"/>
      <c r="AA1708" s="127"/>
      <c r="AB1708" s="128"/>
      <c r="AC1708" s="15" t="s">
        <v>20</v>
      </c>
      <c r="AD1708" s="129" t="s">
        <v>5308</v>
      </c>
      <c r="AE1708" s="130"/>
      <c r="AF1708" s="130"/>
      <c r="AG1708" s="130"/>
      <c r="AH1708" s="130"/>
      <c r="AI1708" s="131"/>
      <c r="AJ1708" s="132"/>
      <c r="AK1708" s="127"/>
      <c r="AL1708" s="128"/>
      <c r="AM1708" s="21" t="s">
        <v>7715</v>
      </c>
      <c r="AN1708" s="133">
        <v>45959</v>
      </c>
      <c r="AO1708" s="134"/>
      <c r="AP1708" s="135">
        <v>990</v>
      </c>
      <c r="AQ1708" s="136"/>
      <c r="AR1708" s="118">
        <v>925000</v>
      </c>
      <c r="AS1708" s="119"/>
      <c r="AT1708" s="118">
        <f>AR1708*0.1</f>
        <v>92500</v>
      </c>
      <c r="AU1708" s="119"/>
      <c r="AV1708" s="118">
        <v>6470</v>
      </c>
      <c r="AW1708" s="119"/>
      <c r="AX1708" s="118">
        <f>SUM(AR1708:AW1708)</f>
        <v>1023970</v>
      </c>
      <c r="AY1708" s="119"/>
      <c r="AZ1708" s="137">
        <v>45965</v>
      </c>
    </row>
    <row r="1709" spans="1:52" ht="17.100000000000001" customHeight="1" thickBot="1">
      <c r="A1709" s="110"/>
      <c r="B1709" s="27" t="s">
        <v>2559</v>
      </c>
      <c r="C1709" s="27">
        <v>3187</v>
      </c>
      <c r="D1709" s="14" t="s">
        <v>2601</v>
      </c>
      <c r="E1709" s="112"/>
      <c r="F1709" s="139" t="s">
        <v>5309</v>
      </c>
      <c r="G1709" s="140"/>
      <c r="H1709" s="141"/>
      <c r="I1709" s="26">
        <v>44111</v>
      </c>
      <c r="J1709" s="117"/>
      <c r="K1709" s="120"/>
      <c r="L1709" s="121"/>
      <c r="M1709" s="120"/>
      <c r="N1709" s="121"/>
      <c r="O1709" s="120"/>
      <c r="P1709" s="121"/>
      <c r="Q1709" s="120"/>
      <c r="R1709" s="121"/>
      <c r="S1709" s="120"/>
      <c r="T1709" s="121"/>
      <c r="U1709" s="120"/>
      <c r="V1709" s="123"/>
      <c r="W1709" s="125"/>
      <c r="X1709" s="142" t="s">
        <v>5310</v>
      </c>
      <c r="Y1709" s="143"/>
      <c r="Z1709" s="143"/>
      <c r="AA1709" s="143"/>
      <c r="AB1709" s="144"/>
      <c r="AC1709" s="16" t="s">
        <v>21</v>
      </c>
      <c r="AD1709" s="17" t="s">
        <v>4607</v>
      </c>
      <c r="AE1709" s="145" t="s">
        <v>2080</v>
      </c>
      <c r="AF1709" s="146"/>
      <c r="AG1709" s="146"/>
      <c r="AH1709" s="146"/>
      <c r="AI1709" s="147"/>
      <c r="AJ1709" s="148"/>
      <c r="AK1709" s="143"/>
      <c r="AL1709" s="144"/>
      <c r="AM1709" s="22"/>
      <c r="AN1709" s="149" t="s">
        <v>2794</v>
      </c>
      <c r="AO1709" s="144"/>
      <c r="AP1709" s="148">
        <v>2032</v>
      </c>
      <c r="AQ1709" s="144"/>
      <c r="AR1709" s="120"/>
      <c r="AS1709" s="121"/>
      <c r="AT1709" s="120"/>
      <c r="AU1709" s="121"/>
      <c r="AV1709" s="120"/>
      <c r="AW1709" s="121"/>
      <c r="AX1709" s="120"/>
      <c r="AY1709" s="121"/>
      <c r="AZ1709" s="138"/>
    </row>
    <row r="1710" spans="1:52" ht="17.100000000000001" customHeight="1" thickTop="1">
      <c r="A1710" s="109" t="s">
        <v>6591</v>
      </c>
      <c r="B1710" s="28">
        <v>45924</v>
      </c>
      <c r="C1710" s="25">
        <v>1806</v>
      </c>
      <c r="D1710" s="13" t="s">
        <v>1640</v>
      </c>
      <c r="E1710" s="111"/>
      <c r="F1710" s="113" t="s">
        <v>4585</v>
      </c>
      <c r="G1710" s="114"/>
      <c r="H1710" s="115"/>
      <c r="I1710" s="24" t="s">
        <v>3399</v>
      </c>
      <c r="J1710" s="116">
        <v>4</v>
      </c>
      <c r="K1710" s="118">
        <v>1003000</v>
      </c>
      <c r="L1710" s="119"/>
      <c r="M1710" s="118">
        <f>K1710*0.1</f>
        <v>100300</v>
      </c>
      <c r="N1710" s="119"/>
      <c r="O1710" s="118">
        <v>0</v>
      </c>
      <c r="P1710" s="119"/>
      <c r="Q1710" s="118">
        <v>9010</v>
      </c>
      <c r="R1710" s="119"/>
      <c r="S1710" s="118">
        <v>18150</v>
      </c>
      <c r="T1710" s="119"/>
      <c r="U1710" s="118">
        <f>SUM(K1710:T1711)</f>
        <v>1130460</v>
      </c>
      <c r="V1710" s="122"/>
      <c r="W1710" s="124"/>
      <c r="X1710" s="126" t="s">
        <v>5311</v>
      </c>
      <c r="Y1710" s="127"/>
      <c r="Z1710" s="127"/>
      <c r="AA1710" s="127"/>
      <c r="AB1710" s="128"/>
      <c r="AC1710" s="15" t="s">
        <v>20</v>
      </c>
      <c r="AD1710" s="129" t="s">
        <v>5312</v>
      </c>
      <c r="AE1710" s="130"/>
      <c r="AF1710" s="130"/>
      <c r="AG1710" s="130"/>
      <c r="AH1710" s="130"/>
      <c r="AI1710" s="131"/>
      <c r="AJ1710" s="132"/>
      <c r="AK1710" s="127"/>
      <c r="AL1710" s="128"/>
      <c r="AM1710" s="21" t="s">
        <v>7717</v>
      </c>
      <c r="AN1710" s="133">
        <v>45966</v>
      </c>
      <c r="AO1710" s="134"/>
      <c r="AP1710" s="135">
        <v>991</v>
      </c>
      <c r="AQ1710" s="136"/>
      <c r="AR1710" s="118">
        <v>1145000</v>
      </c>
      <c r="AS1710" s="119"/>
      <c r="AT1710" s="118">
        <f>AR1710*0.1</f>
        <v>114500</v>
      </c>
      <c r="AU1710" s="119"/>
      <c r="AV1710" s="118">
        <v>9010</v>
      </c>
      <c r="AW1710" s="119"/>
      <c r="AX1710" s="118">
        <f>SUM(AR1710:AW1710)</f>
        <v>1268510</v>
      </c>
      <c r="AY1710" s="119"/>
      <c r="AZ1710" s="137">
        <v>45971</v>
      </c>
    </row>
    <row r="1711" spans="1:52" ht="17.100000000000001" customHeight="1" thickBot="1">
      <c r="A1711" s="110"/>
      <c r="B1711" s="27" t="s">
        <v>2559</v>
      </c>
      <c r="C1711" s="27">
        <v>3200</v>
      </c>
      <c r="D1711" s="14" t="s">
        <v>1812</v>
      </c>
      <c r="E1711" s="112"/>
      <c r="F1711" s="139" t="s">
        <v>5313</v>
      </c>
      <c r="G1711" s="140"/>
      <c r="H1711" s="141"/>
      <c r="I1711" s="26">
        <v>68347</v>
      </c>
      <c r="J1711" s="117"/>
      <c r="K1711" s="120"/>
      <c r="L1711" s="121"/>
      <c r="M1711" s="120"/>
      <c r="N1711" s="121"/>
      <c r="O1711" s="120"/>
      <c r="P1711" s="121"/>
      <c r="Q1711" s="120"/>
      <c r="R1711" s="121"/>
      <c r="S1711" s="120"/>
      <c r="T1711" s="121"/>
      <c r="U1711" s="120"/>
      <c r="V1711" s="123"/>
      <c r="W1711" s="125"/>
      <c r="X1711" s="142" t="s">
        <v>6774</v>
      </c>
      <c r="Y1711" s="143"/>
      <c r="Z1711" s="143"/>
      <c r="AA1711" s="143"/>
      <c r="AB1711" s="144"/>
      <c r="AC1711" s="16" t="s">
        <v>21</v>
      </c>
      <c r="AD1711" s="17" t="s">
        <v>1604</v>
      </c>
      <c r="AE1711" s="145" t="s">
        <v>6775</v>
      </c>
      <c r="AF1711" s="146"/>
      <c r="AG1711" s="146"/>
      <c r="AH1711" s="146"/>
      <c r="AI1711" s="147"/>
      <c r="AJ1711" s="148"/>
      <c r="AK1711" s="143"/>
      <c r="AL1711" s="144"/>
      <c r="AM1711" s="22"/>
      <c r="AN1711" s="149" t="s">
        <v>2794</v>
      </c>
      <c r="AO1711" s="144"/>
      <c r="AP1711" s="148">
        <v>2062</v>
      </c>
      <c r="AQ1711" s="144"/>
      <c r="AR1711" s="120"/>
      <c r="AS1711" s="121"/>
      <c r="AT1711" s="120"/>
      <c r="AU1711" s="121"/>
      <c r="AV1711" s="120"/>
      <c r="AW1711" s="121"/>
      <c r="AX1711" s="120"/>
      <c r="AY1711" s="121"/>
      <c r="AZ1711" s="138"/>
    </row>
    <row r="1712" spans="1:52" ht="17.100000000000001" customHeight="1" thickTop="1">
      <c r="A1712" s="109" t="s">
        <v>6592</v>
      </c>
      <c r="B1712" s="28">
        <v>45924</v>
      </c>
      <c r="C1712" s="25">
        <v>1806</v>
      </c>
      <c r="D1712" s="13" t="s">
        <v>4670</v>
      </c>
      <c r="E1712" s="111"/>
      <c r="F1712" s="113" t="s">
        <v>2907</v>
      </c>
      <c r="G1712" s="114"/>
      <c r="H1712" s="115"/>
      <c r="I1712" s="24" t="s">
        <v>4109</v>
      </c>
      <c r="J1712" s="116">
        <v>4</v>
      </c>
      <c r="K1712" s="118">
        <v>686000</v>
      </c>
      <c r="L1712" s="119"/>
      <c r="M1712" s="118">
        <f>K1712*0.1</f>
        <v>68600</v>
      </c>
      <c r="N1712" s="119"/>
      <c r="O1712" s="118">
        <v>0</v>
      </c>
      <c r="P1712" s="119"/>
      <c r="Q1712" s="118">
        <v>9070</v>
      </c>
      <c r="R1712" s="119"/>
      <c r="S1712" s="118">
        <v>18150</v>
      </c>
      <c r="T1712" s="119"/>
      <c r="U1712" s="118">
        <f>SUM(K1712:T1713)</f>
        <v>781820</v>
      </c>
      <c r="V1712" s="122"/>
      <c r="W1712" s="124"/>
      <c r="X1712" s="126" t="s">
        <v>5314</v>
      </c>
      <c r="Y1712" s="127"/>
      <c r="Z1712" s="127"/>
      <c r="AA1712" s="127"/>
      <c r="AB1712" s="128"/>
      <c r="AC1712" s="15" t="s">
        <v>20</v>
      </c>
      <c r="AD1712" s="129" t="s">
        <v>5308</v>
      </c>
      <c r="AE1712" s="130"/>
      <c r="AF1712" s="130"/>
      <c r="AG1712" s="130"/>
      <c r="AH1712" s="130"/>
      <c r="AI1712" s="131"/>
      <c r="AJ1712" s="132"/>
      <c r="AK1712" s="127"/>
      <c r="AL1712" s="128"/>
      <c r="AM1712" s="21" t="s">
        <v>7352</v>
      </c>
      <c r="AN1712" s="133">
        <v>45934</v>
      </c>
      <c r="AO1712" s="134"/>
      <c r="AP1712" s="135">
        <v>1270</v>
      </c>
      <c r="AQ1712" s="136"/>
      <c r="AR1712" s="118">
        <v>755000</v>
      </c>
      <c r="AS1712" s="119"/>
      <c r="AT1712" s="118">
        <f>AR1712*0.1</f>
        <v>75500</v>
      </c>
      <c r="AU1712" s="119"/>
      <c r="AV1712" s="118">
        <v>9070</v>
      </c>
      <c r="AW1712" s="119"/>
      <c r="AX1712" s="118">
        <f>SUM(AR1712:AW1712)</f>
        <v>839570</v>
      </c>
      <c r="AY1712" s="119"/>
      <c r="AZ1712" s="137">
        <v>45939</v>
      </c>
    </row>
    <row r="1713" spans="1:52" ht="17.100000000000001" customHeight="1" thickBot="1">
      <c r="A1713" s="110"/>
      <c r="B1713" s="27" t="s">
        <v>2559</v>
      </c>
      <c r="C1713" s="27">
        <v>3228</v>
      </c>
      <c r="D1713" s="14" t="s">
        <v>55</v>
      </c>
      <c r="E1713" s="112"/>
      <c r="F1713" s="139" t="s">
        <v>5315</v>
      </c>
      <c r="G1713" s="140"/>
      <c r="H1713" s="141"/>
      <c r="I1713" s="26">
        <v>60328</v>
      </c>
      <c r="J1713" s="117"/>
      <c r="K1713" s="120"/>
      <c r="L1713" s="121"/>
      <c r="M1713" s="120"/>
      <c r="N1713" s="121"/>
      <c r="O1713" s="120"/>
      <c r="P1713" s="121"/>
      <c r="Q1713" s="120"/>
      <c r="R1713" s="121"/>
      <c r="S1713" s="120"/>
      <c r="T1713" s="121"/>
      <c r="U1713" s="120"/>
      <c r="V1713" s="123"/>
      <c r="W1713" s="125"/>
      <c r="X1713" s="142" t="s">
        <v>1656</v>
      </c>
      <c r="Y1713" s="143"/>
      <c r="Z1713" s="143"/>
      <c r="AA1713" s="143"/>
      <c r="AB1713" s="144"/>
      <c r="AC1713" s="16" t="s">
        <v>21</v>
      </c>
      <c r="AD1713" s="17" t="s">
        <v>6716</v>
      </c>
      <c r="AE1713" s="145" t="s">
        <v>6873</v>
      </c>
      <c r="AF1713" s="146"/>
      <c r="AG1713" s="146"/>
      <c r="AH1713" s="146"/>
      <c r="AI1713" s="147"/>
      <c r="AJ1713" s="148"/>
      <c r="AK1713" s="143"/>
      <c r="AL1713" s="144"/>
      <c r="AM1713" s="22"/>
      <c r="AN1713" s="149" t="s">
        <v>7284</v>
      </c>
      <c r="AO1713" s="144"/>
      <c r="AP1713" s="148">
        <v>60153</v>
      </c>
      <c r="AQ1713" s="144"/>
      <c r="AR1713" s="120"/>
      <c r="AS1713" s="121"/>
      <c r="AT1713" s="120"/>
      <c r="AU1713" s="121"/>
      <c r="AV1713" s="120"/>
      <c r="AW1713" s="121"/>
      <c r="AX1713" s="120"/>
      <c r="AY1713" s="121"/>
      <c r="AZ1713" s="138"/>
    </row>
    <row r="1714" spans="1:52" ht="17.100000000000001" customHeight="1" thickTop="1">
      <c r="A1714" s="109" t="s">
        <v>6593</v>
      </c>
      <c r="B1714" s="28">
        <v>45924</v>
      </c>
      <c r="C1714" s="25">
        <v>1806</v>
      </c>
      <c r="D1714" s="13" t="s">
        <v>2859</v>
      </c>
      <c r="E1714" s="111"/>
      <c r="F1714" s="113" t="s">
        <v>5316</v>
      </c>
      <c r="G1714" s="114"/>
      <c r="H1714" s="115"/>
      <c r="I1714" s="24"/>
      <c r="J1714" s="116">
        <v>5</v>
      </c>
      <c r="K1714" s="118">
        <v>2465000</v>
      </c>
      <c r="L1714" s="119"/>
      <c r="M1714" s="118">
        <f>K1714*0.1</f>
        <v>246500</v>
      </c>
      <c r="N1714" s="119"/>
      <c r="O1714" s="118">
        <v>0</v>
      </c>
      <c r="P1714" s="119"/>
      <c r="Q1714" s="118">
        <v>21650</v>
      </c>
      <c r="R1714" s="119"/>
      <c r="S1714" s="118">
        <v>18150</v>
      </c>
      <c r="T1714" s="119"/>
      <c r="U1714" s="118">
        <f>SUM(K1714:T1715)</f>
        <v>2751300</v>
      </c>
      <c r="V1714" s="122"/>
      <c r="W1714" s="124"/>
      <c r="X1714" s="126" t="s">
        <v>5317</v>
      </c>
      <c r="Y1714" s="127"/>
      <c r="Z1714" s="127"/>
      <c r="AA1714" s="127"/>
      <c r="AB1714" s="128"/>
      <c r="AC1714" s="15" t="s">
        <v>20</v>
      </c>
      <c r="AD1714" s="129"/>
      <c r="AE1714" s="130"/>
      <c r="AF1714" s="130"/>
      <c r="AG1714" s="130"/>
      <c r="AH1714" s="130"/>
      <c r="AI1714" s="131"/>
      <c r="AJ1714" s="132"/>
      <c r="AK1714" s="127"/>
      <c r="AL1714" s="128"/>
      <c r="AM1714" s="21"/>
      <c r="AN1714" s="133">
        <v>46067</v>
      </c>
      <c r="AO1714" s="134"/>
      <c r="AP1714" s="135">
        <v>1288</v>
      </c>
      <c r="AQ1714" s="136"/>
      <c r="AR1714" s="118">
        <v>2460000</v>
      </c>
      <c r="AS1714" s="119"/>
      <c r="AT1714" s="118">
        <f>AR1714*0.1</f>
        <v>246000</v>
      </c>
      <c r="AU1714" s="119"/>
      <c r="AV1714" s="118">
        <v>21650</v>
      </c>
      <c r="AW1714" s="119"/>
      <c r="AX1714" s="118">
        <f>SUM(AR1714:AW1714)</f>
        <v>2727650</v>
      </c>
      <c r="AY1714" s="119"/>
      <c r="AZ1714" s="137">
        <v>46070</v>
      </c>
    </row>
    <row r="1715" spans="1:52" ht="17.100000000000001" customHeight="1" thickBot="1">
      <c r="A1715" s="110"/>
      <c r="B1715" s="27" t="s">
        <v>2559</v>
      </c>
      <c r="C1715" s="27">
        <v>38018</v>
      </c>
      <c r="D1715" s="14" t="s">
        <v>2601</v>
      </c>
      <c r="E1715" s="112"/>
      <c r="F1715" s="139" t="s">
        <v>5318</v>
      </c>
      <c r="G1715" s="140"/>
      <c r="H1715" s="141"/>
      <c r="I1715" s="26">
        <v>37189</v>
      </c>
      <c r="J1715" s="117"/>
      <c r="K1715" s="120"/>
      <c r="L1715" s="121"/>
      <c r="M1715" s="120"/>
      <c r="N1715" s="121"/>
      <c r="O1715" s="120"/>
      <c r="P1715" s="121"/>
      <c r="Q1715" s="120"/>
      <c r="R1715" s="121"/>
      <c r="S1715" s="120"/>
      <c r="T1715" s="121"/>
      <c r="U1715" s="120"/>
      <c r="V1715" s="123"/>
      <c r="W1715" s="125"/>
      <c r="X1715" s="142" t="s">
        <v>3455</v>
      </c>
      <c r="Y1715" s="143"/>
      <c r="Z1715" s="143"/>
      <c r="AA1715" s="143"/>
      <c r="AB1715" s="144"/>
      <c r="AC1715" s="16" t="s">
        <v>21</v>
      </c>
      <c r="AD1715" s="17" t="s">
        <v>4184</v>
      </c>
      <c r="AE1715" s="145" t="s">
        <v>5319</v>
      </c>
      <c r="AF1715" s="146"/>
      <c r="AG1715" s="146"/>
      <c r="AH1715" s="146"/>
      <c r="AI1715" s="147"/>
      <c r="AJ1715" s="148"/>
      <c r="AK1715" s="143"/>
      <c r="AL1715" s="144"/>
      <c r="AM1715" s="22"/>
      <c r="AN1715" s="149" t="s">
        <v>2511</v>
      </c>
      <c r="AO1715" s="144"/>
      <c r="AP1715" s="148">
        <v>80136</v>
      </c>
      <c r="AQ1715" s="144"/>
      <c r="AR1715" s="120"/>
      <c r="AS1715" s="121"/>
      <c r="AT1715" s="120"/>
      <c r="AU1715" s="121"/>
      <c r="AV1715" s="120"/>
      <c r="AW1715" s="121"/>
      <c r="AX1715" s="120"/>
      <c r="AY1715" s="121"/>
      <c r="AZ1715" s="138"/>
    </row>
    <row r="1716" spans="1:52" ht="17.100000000000001" customHeight="1" thickTop="1">
      <c r="A1716" s="109" t="s">
        <v>6594</v>
      </c>
      <c r="B1716" s="28">
        <v>45925</v>
      </c>
      <c r="C1716" s="25">
        <v>1951</v>
      </c>
      <c r="D1716" s="13" t="s">
        <v>1929</v>
      </c>
      <c r="E1716" s="111"/>
      <c r="F1716" s="113" t="s">
        <v>5320</v>
      </c>
      <c r="G1716" s="114"/>
      <c r="H1716" s="115"/>
      <c r="I1716" s="24" t="s">
        <v>2526</v>
      </c>
      <c r="J1716" s="116">
        <v>4</v>
      </c>
      <c r="K1716" s="118">
        <v>715000</v>
      </c>
      <c r="L1716" s="119"/>
      <c r="M1716" s="118">
        <f>K1716*0.1</f>
        <v>71500</v>
      </c>
      <c r="N1716" s="119"/>
      <c r="O1716" s="118">
        <v>0</v>
      </c>
      <c r="P1716" s="119"/>
      <c r="Q1716" s="118">
        <v>9010</v>
      </c>
      <c r="R1716" s="119"/>
      <c r="S1716" s="118">
        <v>15950</v>
      </c>
      <c r="T1716" s="119"/>
      <c r="U1716" s="118">
        <f>SUM(K1716:T1717)</f>
        <v>811460</v>
      </c>
      <c r="V1716" s="122"/>
      <c r="W1716" s="124"/>
      <c r="X1716" s="126" t="s">
        <v>5321</v>
      </c>
      <c r="Y1716" s="127"/>
      <c r="Z1716" s="127"/>
      <c r="AA1716" s="127"/>
      <c r="AB1716" s="128"/>
      <c r="AC1716" s="15" t="s">
        <v>20</v>
      </c>
      <c r="AD1716" s="129"/>
      <c r="AE1716" s="130"/>
      <c r="AF1716" s="130"/>
      <c r="AG1716" s="130"/>
      <c r="AH1716" s="130"/>
      <c r="AI1716" s="131"/>
      <c r="AJ1716" s="132"/>
      <c r="AK1716" s="127"/>
      <c r="AL1716" s="128"/>
      <c r="AM1716" s="21" t="s">
        <v>7351</v>
      </c>
      <c r="AN1716" s="133">
        <v>45934</v>
      </c>
      <c r="AO1716" s="134"/>
      <c r="AP1716" s="135">
        <v>1270</v>
      </c>
      <c r="AQ1716" s="136"/>
      <c r="AR1716" s="118">
        <v>920000</v>
      </c>
      <c r="AS1716" s="119"/>
      <c r="AT1716" s="118">
        <f>AR1716*0.1</f>
        <v>92000</v>
      </c>
      <c r="AU1716" s="119"/>
      <c r="AV1716" s="118">
        <v>9010</v>
      </c>
      <c r="AW1716" s="119"/>
      <c r="AX1716" s="118">
        <f>SUM(AR1716:AW1716)</f>
        <v>1021010</v>
      </c>
      <c r="AY1716" s="119"/>
      <c r="AZ1716" s="137">
        <v>45939</v>
      </c>
    </row>
    <row r="1717" spans="1:52" ht="17.100000000000001" customHeight="1" thickBot="1">
      <c r="A1717" s="110"/>
      <c r="B1717" s="27" t="s">
        <v>3792</v>
      </c>
      <c r="C1717" s="27">
        <v>3522</v>
      </c>
      <c r="D1717" s="14" t="s">
        <v>1592</v>
      </c>
      <c r="E1717" s="112"/>
      <c r="F1717" s="139" t="s">
        <v>5322</v>
      </c>
      <c r="G1717" s="140"/>
      <c r="H1717" s="141"/>
      <c r="I1717" s="26">
        <v>67764</v>
      </c>
      <c r="J1717" s="117"/>
      <c r="K1717" s="120"/>
      <c r="L1717" s="121"/>
      <c r="M1717" s="120"/>
      <c r="N1717" s="121"/>
      <c r="O1717" s="120"/>
      <c r="P1717" s="121"/>
      <c r="Q1717" s="120"/>
      <c r="R1717" s="121"/>
      <c r="S1717" s="120"/>
      <c r="T1717" s="121"/>
      <c r="U1717" s="120"/>
      <c r="V1717" s="123"/>
      <c r="W1717" s="125"/>
      <c r="X1717" s="142" t="s">
        <v>6900</v>
      </c>
      <c r="Y1717" s="143"/>
      <c r="Z1717" s="143"/>
      <c r="AA1717" s="143"/>
      <c r="AB1717" s="144"/>
      <c r="AC1717" s="16" t="s">
        <v>21</v>
      </c>
      <c r="AD1717" s="17" t="s">
        <v>6716</v>
      </c>
      <c r="AE1717" s="145" t="s">
        <v>4938</v>
      </c>
      <c r="AF1717" s="146"/>
      <c r="AG1717" s="146"/>
      <c r="AH1717" s="146"/>
      <c r="AI1717" s="147"/>
      <c r="AJ1717" s="148"/>
      <c r="AK1717" s="143"/>
      <c r="AL1717" s="144"/>
      <c r="AM1717" s="22"/>
      <c r="AN1717" s="149" t="s">
        <v>7284</v>
      </c>
      <c r="AO1717" s="144"/>
      <c r="AP1717" s="148">
        <v>60376</v>
      </c>
      <c r="AQ1717" s="144"/>
      <c r="AR1717" s="120"/>
      <c r="AS1717" s="121"/>
      <c r="AT1717" s="120"/>
      <c r="AU1717" s="121"/>
      <c r="AV1717" s="120"/>
      <c r="AW1717" s="121"/>
      <c r="AX1717" s="120"/>
      <c r="AY1717" s="121"/>
      <c r="AZ1717" s="138"/>
    </row>
    <row r="1718" spans="1:52" ht="17.100000000000001" customHeight="1" thickTop="1">
      <c r="A1718" s="109" t="s">
        <v>6595</v>
      </c>
      <c r="B1718" s="28">
        <v>45925</v>
      </c>
      <c r="C1718" s="25">
        <v>1951</v>
      </c>
      <c r="D1718" s="13" t="s">
        <v>2465</v>
      </c>
      <c r="E1718" s="111"/>
      <c r="F1718" s="113" t="s">
        <v>1938</v>
      </c>
      <c r="G1718" s="114"/>
      <c r="H1718" s="115"/>
      <c r="I1718" s="24"/>
      <c r="J1718" s="116">
        <v>4</v>
      </c>
      <c r="K1718" s="118">
        <v>618000</v>
      </c>
      <c r="L1718" s="119"/>
      <c r="M1718" s="118">
        <f>K1718*0.1</f>
        <v>61800</v>
      </c>
      <c r="N1718" s="119"/>
      <c r="O1718" s="118">
        <v>0</v>
      </c>
      <c r="P1718" s="119"/>
      <c r="Q1718" s="118">
        <v>17700</v>
      </c>
      <c r="R1718" s="119"/>
      <c r="S1718" s="118">
        <v>15950</v>
      </c>
      <c r="T1718" s="119"/>
      <c r="U1718" s="118">
        <f>SUM(K1718:T1719)</f>
        <v>713450</v>
      </c>
      <c r="V1718" s="122"/>
      <c r="W1718" s="124"/>
      <c r="X1718" s="126" t="s">
        <v>6766</v>
      </c>
      <c r="Y1718" s="127"/>
      <c r="Z1718" s="127"/>
      <c r="AA1718" s="127"/>
      <c r="AB1718" s="128"/>
      <c r="AC1718" s="15" t="s">
        <v>20</v>
      </c>
      <c r="AD1718" s="129"/>
      <c r="AE1718" s="130"/>
      <c r="AF1718" s="130"/>
      <c r="AG1718" s="130"/>
      <c r="AH1718" s="130"/>
      <c r="AI1718" s="131"/>
      <c r="AJ1718" s="132"/>
      <c r="AK1718" s="127"/>
      <c r="AL1718" s="128"/>
      <c r="AM1718" s="21"/>
      <c r="AN1718" s="133">
        <v>45934</v>
      </c>
      <c r="AO1718" s="134"/>
      <c r="AP1718" s="135">
        <v>1270</v>
      </c>
      <c r="AQ1718" s="136"/>
      <c r="AR1718" s="118">
        <v>685000</v>
      </c>
      <c r="AS1718" s="119"/>
      <c r="AT1718" s="118">
        <f>AR1718*0.1</f>
        <v>68500</v>
      </c>
      <c r="AU1718" s="119"/>
      <c r="AV1718" s="118">
        <v>17700</v>
      </c>
      <c r="AW1718" s="119"/>
      <c r="AX1718" s="118">
        <f>SUM(AR1718:AW1718)</f>
        <v>771200</v>
      </c>
      <c r="AY1718" s="119"/>
      <c r="AZ1718" s="137">
        <v>45938</v>
      </c>
    </row>
    <row r="1719" spans="1:52" ht="17.100000000000001" customHeight="1" thickBot="1">
      <c r="A1719" s="110"/>
      <c r="B1719" s="27" t="s">
        <v>3792</v>
      </c>
      <c r="C1719" s="27">
        <v>5012</v>
      </c>
      <c r="D1719" s="14" t="s">
        <v>1576</v>
      </c>
      <c r="E1719" s="112"/>
      <c r="F1719" s="139" t="s">
        <v>5323</v>
      </c>
      <c r="G1719" s="140"/>
      <c r="H1719" s="141"/>
      <c r="I1719" s="26">
        <v>35215</v>
      </c>
      <c r="J1719" s="117"/>
      <c r="K1719" s="120"/>
      <c r="L1719" s="121"/>
      <c r="M1719" s="120"/>
      <c r="N1719" s="121"/>
      <c r="O1719" s="120"/>
      <c r="P1719" s="121"/>
      <c r="Q1719" s="120"/>
      <c r="R1719" s="121"/>
      <c r="S1719" s="120"/>
      <c r="T1719" s="121"/>
      <c r="U1719" s="120"/>
      <c r="V1719" s="123"/>
      <c r="W1719" s="125"/>
      <c r="X1719" s="142" t="s">
        <v>5052</v>
      </c>
      <c r="Y1719" s="143"/>
      <c r="Z1719" s="143"/>
      <c r="AA1719" s="143"/>
      <c r="AB1719" s="144"/>
      <c r="AC1719" s="16" t="s">
        <v>21</v>
      </c>
      <c r="AD1719" s="17" t="s">
        <v>1604</v>
      </c>
      <c r="AE1719" s="145"/>
      <c r="AF1719" s="146"/>
      <c r="AG1719" s="146"/>
      <c r="AH1719" s="146"/>
      <c r="AI1719" s="147"/>
      <c r="AJ1719" s="148"/>
      <c r="AK1719" s="143"/>
      <c r="AL1719" s="144"/>
      <c r="AM1719" s="22"/>
      <c r="AN1719" s="149" t="s">
        <v>7284</v>
      </c>
      <c r="AO1719" s="144"/>
      <c r="AP1719" s="148">
        <v>80024</v>
      </c>
      <c r="AQ1719" s="144"/>
      <c r="AR1719" s="120"/>
      <c r="AS1719" s="121"/>
      <c r="AT1719" s="120"/>
      <c r="AU1719" s="121"/>
      <c r="AV1719" s="120"/>
      <c r="AW1719" s="121"/>
      <c r="AX1719" s="120"/>
      <c r="AY1719" s="121"/>
      <c r="AZ1719" s="138"/>
    </row>
    <row r="1720" spans="1:52" ht="17.100000000000001" customHeight="1" thickTop="1">
      <c r="A1720" s="109" t="s">
        <v>6596</v>
      </c>
      <c r="B1720" s="28">
        <v>45925</v>
      </c>
      <c r="C1720" s="25">
        <v>1995</v>
      </c>
      <c r="D1720" s="13" t="s">
        <v>2477</v>
      </c>
      <c r="E1720" s="111"/>
      <c r="F1720" s="113" t="s">
        <v>5324</v>
      </c>
      <c r="G1720" s="114"/>
      <c r="H1720" s="115"/>
      <c r="I1720" s="24" t="s">
        <v>2152</v>
      </c>
      <c r="J1720" s="116">
        <v>4</v>
      </c>
      <c r="K1720" s="118">
        <v>731000</v>
      </c>
      <c r="L1720" s="119"/>
      <c r="M1720" s="118">
        <f>K1720*0.1</f>
        <v>73100</v>
      </c>
      <c r="N1720" s="119"/>
      <c r="O1720" s="118">
        <v>0</v>
      </c>
      <c r="P1720" s="119"/>
      <c r="Q1720" s="118">
        <v>5690</v>
      </c>
      <c r="R1720" s="119"/>
      <c r="S1720" s="118">
        <v>22000</v>
      </c>
      <c r="T1720" s="119"/>
      <c r="U1720" s="118">
        <f>SUM(K1720:T1721)</f>
        <v>831790</v>
      </c>
      <c r="V1720" s="122"/>
      <c r="W1720" s="124"/>
      <c r="X1720" s="126" t="s">
        <v>6907</v>
      </c>
      <c r="Y1720" s="127"/>
      <c r="Z1720" s="127"/>
      <c r="AA1720" s="127"/>
      <c r="AB1720" s="128"/>
      <c r="AC1720" s="15" t="s">
        <v>20</v>
      </c>
      <c r="AD1720" s="129" t="s">
        <v>5325</v>
      </c>
      <c r="AE1720" s="130"/>
      <c r="AF1720" s="130"/>
      <c r="AG1720" s="130"/>
      <c r="AH1720" s="130"/>
      <c r="AI1720" s="131"/>
      <c r="AJ1720" s="132"/>
      <c r="AK1720" s="127"/>
      <c r="AL1720" s="128"/>
      <c r="AM1720" s="21" t="s">
        <v>7705</v>
      </c>
      <c r="AN1720" s="133">
        <v>45948</v>
      </c>
      <c r="AO1720" s="134"/>
      <c r="AP1720" s="135">
        <v>1272</v>
      </c>
      <c r="AQ1720" s="136"/>
      <c r="AR1720" s="118">
        <v>830000</v>
      </c>
      <c r="AS1720" s="119"/>
      <c r="AT1720" s="118">
        <f>AR1720*0.1</f>
        <v>83000</v>
      </c>
      <c r="AU1720" s="119"/>
      <c r="AV1720" s="118">
        <v>5690</v>
      </c>
      <c r="AW1720" s="119"/>
      <c r="AX1720" s="118">
        <f>SUM(AR1720:AW1720)</f>
        <v>918690</v>
      </c>
      <c r="AY1720" s="119"/>
      <c r="AZ1720" s="137">
        <v>45952</v>
      </c>
    </row>
    <row r="1721" spans="1:52" ht="17.100000000000001" customHeight="1" thickBot="1">
      <c r="A1721" s="110"/>
      <c r="B1721" s="27" t="s">
        <v>2200</v>
      </c>
      <c r="C1721" s="27">
        <v>50007</v>
      </c>
      <c r="D1721" s="14" t="s">
        <v>1576</v>
      </c>
      <c r="E1721" s="112"/>
      <c r="F1721" s="139" t="s">
        <v>5326</v>
      </c>
      <c r="G1721" s="140"/>
      <c r="H1721" s="141"/>
      <c r="I1721" s="26">
        <v>3629</v>
      </c>
      <c r="J1721" s="117"/>
      <c r="K1721" s="120"/>
      <c r="L1721" s="121"/>
      <c r="M1721" s="120"/>
      <c r="N1721" s="121"/>
      <c r="O1721" s="120"/>
      <c r="P1721" s="121"/>
      <c r="Q1721" s="120"/>
      <c r="R1721" s="121"/>
      <c r="S1721" s="120"/>
      <c r="T1721" s="121"/>
      <c r="U1721" s="120"/>
      <c r="V1721" s="123"/>
      <c r="W1721" s="125"/>
      <c r="X1721" s="142" t="s">
        <v>6908</v>
      </c>
      <c r="Y1721" s="143"/>
      <c r="Z1721" s="143"/>
      <c r="AA1721" s="143"/>
      <c r="AB1721" s="144"/>
      <c r="AC1721" s="16" t="s">
        <v>21</v>
      </c>
      <c r="AD1721" s="17" t="s">
        <v>6716</v>
      </c>
      <c r="AE1721" s="145" t="s">
        <v>6909</v>
      </c>
      <c r="AF1721" s="146"/>
      <c r="AG1721" s="146"/>
      <c r="AH1721" s="146"/>
      <c r="AI1721" s="147"/>
      <c r="AJ1721" s="148"/>
      <c r="AK1721" s="143"/>
      <c r="AL1721" s="144"/>
      <c r="AM1721" s="22"/>
      <c r="AN1721" s="149" t="s">
        <v>2511</v>
      </c>
      <c r="AO1721" s="144"/>
      <c r="AP1721" s="148">
        <v>60442</v>
      </c>
      <c r="AQ1721" s="144"/>
      <c r="AR1721" s="120"/>
      <c r="AS1721" s="121"/>
      <c r="AT1721" s="120"/>
      <c r="AU1721" s="121"/>
      <c r="AV1721" s="120"/>
      <c r="AW1721" s="121"/>
      <c r="AX1721" s="120"/>
      <c r="AY1721" s="121"/>
      <c r="AZ1721" s="138"/>
    </row>
    <row r="1722" spans="1:52" ht="17.100000000000001" customHeight="1" thickTop="1">
      <c r="A1722" s="109" t="s">
        <v>6597</v>
      </c>
      <c r="B1722" s="28">
        <v>45925</v>
      </c>
      <c r="C1722" s="25">
        <v>1995</v>
      </c>
      <c r="D1722" s="13" t="s">
        <v>1845</v>
      </c>
      <c r="E1722" s="111"/>
      <c r="F1722" s="113" t="s">
        <v>5327</v>
      </c>
      <c r="G1722" s="114"/>
      <c r="H1722" s="115"/>
      <c r="I1722" s="24"/>
      <c r="J1722" s="116">
        <v>4.5</v>
      </c>
      <c r="K1722" s="118">
        <v>1299000</v>
      </c>
      <c r="L1722" s="119"/>
      <c r="M1722" s="118">
        <f>K1722*0.1</f>
        <v>129900</v>
      </c>
      <c r="N1722" s="119"/>
      <c r="O1722" s="118">
        <v>0</v>
      </c>
      <c r="P1722" s="119"/>
      <c r="Q1722" s="118">
        <v>9310</v>
      </c>
      <c r="R1722" s="119"/>
      <c r="S1722" s="118">
        <v>22000</v>
      </c>
      <c r="T1722" s="119"/>
      <c r="U1722" s="118">
        <f>SUM(K1722:T1723)</f>
        <v>1460210</v>
      </c>
      <c r="V1722" s="122"/>
      <c r="W1722" s="124"/>
      <c r="X1722" s="126" t="s">
        <v>6910</v>
      </c>
      <c r="Y1722" s="127"/>
      <c r="Z1722" s="127"/>
      <c r="AA1722" s="127"/>
      <c r="AB1722" s="128"/>
      <c r="AC1722" s="15" t="s">
        <v>20</v>
      </c>
      <c r="AD1722" s="129"/>
      <c r="AE1722" s="130"/>
      <c r="AF1722" s="130"/>
      <c r="AG1722" s="130"/>
      <c r="AH1722" s="130"/>
      <c r="AI1722" s="131"/>
      <c r="AJ1722" s="132"/>
      <c r="AK1722" s="127"/>
      <c r="AL1722" s="128"/>
      <c r="AM1722" s="21"/>
      <c r="AN1722" s="133">
        <v>45937</v>
      </c>
      <c r="AO1722" s="134"/>
      <c r="AP1722" s="135">
        <v>1912</v>
      </c>
      <c r="AQ1722" s="136"/>
      <c r="AR1722" s="118">
        <v>1280000</v>
      </c>
      <c r="AS1722" s="119"/>
      <c r="AT1722" s="118">
        <f>AR1722*0.1</f>
        <v>128000</v>
      </c>
      <c r="AU1722" s="119"/>
      <c r="AV1722" s="118">
        <v>9310</v>
      </c>
      <c r="AW1722" s="119"/>
      <c r="AX1722" s="118">
        <f>SUM(AR1722:AW1722)</f>
        <v>1417310</v>
      </c>
      <c r="AY1722" s="119"/>
      <c r="AZ1722" s="137"/>
    </row>
    <row r="1723" spans="1:52" ht="17.100000000000001" customHeight="1" thickBot="1">
      <c r="A1723" s="110"/>
      <c r="B1723" s="27" t="s">
        <v>2200</v>
      </c>
      <c r="C1723" s="27">
        <v>50009</v>
      </c>
      <c r="D1723" s="14" t="s">
        <v>2601</v>
      </c>
      <c r="E1723" s="112"/>
      <c r="F1723" s="139" t="s">
        <v>5328</v>
      </c>
      <c r="G1723" s="140"/>
      <c r="H1723" s="141"/>
      <c r="I1723" s="26">
        <v>33281</v>
      </c>
      <c r="J1723" s="117"/>
      <c r="K1723" s="120"/>
      <c r="L1723" s="121"/>
      <c r="M1723" s="120"/>
      <c r="N1723" s="121"/>
      <c r="O1723" s="120"/>
      <c r="P1723" s="121"/>
      <c r="Q1723" s="120"/>
      <c r="R1723" s="121"/>
      <c r="S1723" s="120"/>
      <c r="T1723" s="121"/>
      <c r="U1723" s="120"/>
      <c r="V1723" s="123"/>
      <c r="W1723" s="125"/>
      <c r="X1723" s="142" t="s">
        <v>2918</v>
      </c>
      <c r="Y1723" s="143"/>
      <c r="Z1723" s="143"/>
      <c r="AA1723" s="143"/>
      <c r="AB1723" s="144"/>
      <c r="AC1723" s="16" t="s">
        <v>21</v>
      </c>
      <c r="AD1723" s="17" t="s">
        <v>6716</v>
      </c>
      <c r="AE1723" s="145" t="s">
        <v>6911</v>
      </c>
      <c r="AF1723" s="146"/>
      <c r="AG1723" s="146"/>
      <c r="AH1723" s="146"/>
      <c r="AI1723" s="147"/>
      <c r="AJ1723" s="148"/>
      <c r="AK1723" s="143"/>
      <c r="AL1723" s="144"/>
      <c r="AM1723" s="22"/>
      <c r="AN1723" s="149" t="s">
        <v>2131</v>
      </c>
      <c r="AO1723" s="144"/>
      <c r="AP1723" s="148">
        <v>3153</v>
      </c>
      <c r="AQ1723" s="144"/>
      <c r="AR1723" s="120"/>
      <c r="AS1723" s="121"/>
      <c r="AT1723" s="120"/>
      <c r="AU1723" s="121"/>
      <c r="AV1723" s="120"/>
      <c r="AW1723" s="121"/>
      <c r="AX1723" s="120"/>
      <c r="AY1723" s="121"/>
      <c r="AZ1723" s="138"/>
    </row>
    <row r="1724" spans="1:52" ht="17.100000000000001" customHeight="1" thickTop="1">
      <c r="A1724" s="109" t="s">
        <v>6598</v>
      </c>
      <c r="B1724" s="28">
        <v>45925</v>
      </c>
      <c r="C1724" s="25">
        <v>1995</v>
      </c>
      <c r="D1724" s="13" t="s">
        <v>3296</v>
      </c>
      <c r="E1724" s="111"/>
      <c r="F1724" s="113" t="s">
        <v>4251</v>
      </c>
      <c r="G1724" s="114"/>
      <c r="H1724" s="115"/>
      <c r="I1724" s="24" t="s">
        <v>2533</v>
      </c>
      <c r="J1724" s="116">
        <v>4</v>
      </c>
      <c r="K1724" s="118">
        <v>653000</v>
      </c>
      <c r="L1724" s="119"/>
      <c r="M1724" s="118">
        <f>K1724*0.1</f>
        <v>65300</v>
      </c>
      <c r="N1724" s="119"/>
      <c r="O1724" s="118">
        <v>0</v>
      </c>
      <c r="P1724" s="119"/>
      <c r="Q1724" s="118">
        <v>9790</v>
      </c>
      <c r="R1724" s="119"/>
      <c r="S1724" s="118">
        <v>22000</v>
      </c>
      <c r="T1724" s="119"/>
      <c r="U1724" s="118">
        <f>SUM(K1724:T1725)</f>
        <v>750090</v>
      </c>
      <c r="V1724" s="122"/>
      <c r="W1724" s="124"/>
      <c r="X1724" s="126" t="s">
        <v>5329</v>
      </c>
      <c r="Y1724" s="127"/>
      <c r="Z1724" s="127"/>
      <c r="AA1724" s="127"/>
      <c r="AB1724" s="128"/>
      <c r="AC1724" s="15" t="s">
        <v>20</v>
      </c>
      <c r="AD1724" s="129"/>
      <c r="AE1724" s="130"/>
      <c r="AF1724" s="130"/>
      <c r="AG1724" s="130"/>
      <c r="AH1724" s="130"/>
      <c r="AI1724" s="131"/>
      <c r="AJ1724" s="132"/>
      <c r="AK1724" s="127"/>
      <c r="AL1724" s="128"/>
      <c r="AM1724" s="21" t="s">
        <v>7348</v>
      </c>
      <c r="AN1724" s="133">
        <v>45934</v>
      </c>
      <c r="AO1724" s="134"/>
      <c r="AP1724" s="135">
        <v>1270</v>
      </c>
      <c r="AQ1724" s="136"/>
      <c r="AR1724" s="118">
        <v>705000</v>
      </c>
      <c r="AS1724" s="119"/>
      <c r="AT1724" s="118">
        <f>AR1724*0.1</f>
        <v>70500</v>
      </c>
      <c r="AU1724" s="119"/>
      <c r="AV1724" s="118">
        <v>9790</v>
      </c>
      <c r="AW1724" s="119"/>
      <c r="AX1724" s="118">
        <f>SUM(AR1724:AW1724)</f>
        <v>785290</v>
      </c>
      <c r="AY1724" s="119"/>
      <c r="AZ1724" s="137">
        <v>45939</v>
      </c>
    </row>
    <row r="1725" spans="1:52" ht="17.100000000000001" customHeight="1" thickBot="1">
      <c r="A1725" s="110"/>
      <c r="B1725" s="27" t="s">
        <v>2200</v>
      </c>
      <c r="C1725" s="27">
        <v>50040</v>
      </c>
      <c r="D1725" s="14" t="s">
        <v>1576</v>
      </c>
      <c r="E1725" s="112"/>
      <c r="F1725" s="139" t="s">
        <v>5330</v>
      </c>
      <c r="G1725" s="140"/>
      <c r="H1725" s="141"/>
      <c r="I1725" s="26">
        <v>51131</v>
      </c>
      <c r="J1725" s="117"/>
      <c r="K1725" s="120"/>
      <c r="L1725" s="121"/>
      <c r="M1725" s="120"/>
      <c r="N1725" s="121"/>
      <c r="O1725" s="120"/>
      <c r="P1725" s="121"/>
      <c r="Q1725" s="120"/>
      <c r="R1725" s="121"/>
      <c r="S1725" s="120"/>
      <c r="T1725" s="121"/>
      <c r="U1725" s="120"/>
      <c r="V1725" s="123"/>
      <c r="W1725" s="125"/>
      <c r="X1725" s="142" t="s">
        <v>6904</v>
      </c>
      <c r="Y1725" s="143"/>
      <c r="Z1725" s="143"/>
      <c r="AA1725" s="143"/>
      <c r="AB1725" s="144"/>
      <c r="AC1725" s="16" t="s">
        <v>21</v>
      </c>
      <c r="AD1725" s="17" t="s">
        <v>6716</v>
      </c>
      <c r="AE1725" s="145" t="s">
        <v>2441</v>
      </c>
      <c r="AF1725" s="146"/>
      <c r="AG1725" s="146"/>
      <c r="AH1725" s="146"/>
      <c r="AI1725" s="147"/>
      <c r="AJ1725" s="148"/>
      <c r="AK1725" s="143"/>
      <c r="AL1725" s="144"/>
      <c r="AM1725" s="22"/>
      <c r="AN1725" s="149" t="s">
        <v>7284</v>
      </c>
      <c r="AO1725" s="144"/>
      <c r="AP1725" s="148">
        <v>60009</v>
      </c>
      <c r="AQ1725" s="144"/>
      <c r="AR1725" s="120"/>
      <c r="AS1725" s="121"/>
      <c r="AT1725" s="120"/>
      <c r="AU1725" s="121"/>
      <c r="AV1725" s="120"/>
      <c r="AW1725" s="121"/>
      <c r="AX1725" s="120"/>
      <c r="AY1725" s="121"/>
      <c r="AZ1725" s="138"/>
    </row>
    <row r="1726" spans="1:52" ht="17.100000000000001" customHeight="1" thickTop="1">
      <c r="A1726" s="109" t="s">
        <v>6599</v>
      </c>
      <c r="B1726" s="28">
        <v>45925</v>
      </c>
      <c r="C1726" s="25">
        <v>1995</v>
      </c>
      <c r="D1726" s="13" t="s">
        <v>1623</v>
      </c>
      <c r="E1726" s="111"/>
      <c r="F1726" s="113" t="s">
        <v>4218</v>
      </c>
      <c r="G1726" s="114"/>
      <c r="H1726" s="115"/>
      <c r="I1726" s="24"/>
      <c r="J1726" s="116">
        <v>4</v>
      </c>
      <c r="K1726" s="118">
        <v>451000</v>
      </c>
      <c r="L1726" s="119"/>
      <c r="M1726" s="118">
        <f>K1726*0.1</f>
        <v>45100</v>
      </c>
      <c r="N1726" s="119"/>
      <c r="O1726" s="118">
        <v>0</v>
      </c>
      <c r="P1726" s="119"/>
      <c r="Q1726" s="118">
        <v>8460</v>
      </c>
      <c r="R1726" s="119"/>
      <c r="S1726" s="118">
        <v>22000</v>
      </c>
      <c r="T1726" s="119"/>
      <c r="U1726" s="118">
        <f>SUM(K1726:T1727)</f>
        <v>526560</v>
      </c>
      <c r="V1726" s="122"/>
      <c r="W1726" s="124"/>
      <c r="X1726" s="126" t="s">
        <v>6902</v>
      </c>
      <c r="Y1726" s="127"/>
      <c r="Z1726" s="127"/>
      <c r="AA1726" s="127"/>
      <c r="AB1726" s="128"/>
      <c r="AC1726" s="15" t="s">
        <v>20</v>
      </c>
      <c r="AD1726" s="129" t="s">
        <v>171</v>
      </c>
      <c r="AE1726" s="130"/>
      <c r="AF1726" s="130"/>
      <c r="AG1726" s="130"/>
      <c r="AH1726" s="130"/>
      <c r="AI1726" s="131"/>
      <c r="AJ1726" s="132"/>
      <c r="AK1726" s="127"/>
      <c r="AL1726" s="128"/>
      <c r="AM1726" s="21"/>
      <c r="AN1726" s="133">
        <v>45941</v>
      </c>
      <c r="AO1726" s="134"/>
      <c r="AP1726" s="135">
        <v>1271</v>
      </c>
      <c r="AQ1726" s="136"/>
      <c r="AR1726" s="118">
        <v>530000</v>
      </c>
      <c r="AS1726" s="119"/>
      <c r="AT1726" s="118">
        <f>AR1726*0.1</f>
        <v>53000</v>
      </c>
      <c r="AU1726" s="119"/>
      <c r="AV1726" s="118">
        <v>8460</v>
      </c>
      <c r="AW1726" s="119"/>
      <c r="AX1726" s="118">
        <f>SUM(AR1726:AW1726)</f>
        <v>591460</v>
      </c>
      <c r="AY1726" s="119"/>
      <c r="AZ1726" s="137">
        <v>45950</v>
      </c>
    </row>
    <row r="1727" spans="1:52" ht="17.100000000000001" customHeight="1" thickBot="1">
      <c r="A1727" s="110"/>
      <c r="B1727" s="27" t="s">
        <v>2200</v>
      </c>
      <c r="C1727" s="27">
        <v>50070</v>
      </c>
      <c r="D1727" s="14" t="s">
        <v>1720</v>
      </c>
      <c r="E1727" s="112"/>
      <c r="F1727" s="139" t="s">
        <v>5331</v>
      </c>
      <c r="G1727" s="140"/>
      <c r="H1727" s="141"/>
      <c r="I1727" s="26">
        <v>11961</v>
      </c>
      <c r="J1727" s="117"/>
      <c r="K1727" s="120"/>
      <c r="L1727" s="121"/>
      <c r="M1727" s="120"/>
      <c r="N1727" s="121"/>
      <c r="O1727" s="120"/>
      <c r="P1727" s="121"/>
      <c r="Q1727" s="120"/>
      <c r="R1727" s="121"/>
      <c r="S1727" s="120"/>
      <c r="T1727" s="121"/>
      <c r="U1727" s="120"/>
      <c r="V1727" s="123"/>
      <c r="W1727" s="125"/>
      <c r="X1727" s="142" t="s">
        <v>6903</v>
      </c>
      <c r="Y1727" s="143"/>
      <c r="Z1727" s="143"/>
      <c r="AA1727" s="143"/>
      <c r="AB1727" s="144"/>
      <c r="AC1727" s="16" t="s">
        <v>21</v>
      </c>
      <c r="AD1727" s="17" t="s">
        <v>6716</v>
      </c>
      <c r="AE1727" s="145" t="s">
        <v>171</v>
      </c>
      <c r="AF1727" s="146"/>
      <c r="AG1727" s="146"/>
      <c r="AH1727" s="146"/>
      <c r="AI1727" s="147"/>
      <c r="AJ1727" s="148"/>
      <c r="AK1727" s="143"/>
      <c r="AL1727" s="144"/>
      <c r="AM1727" s="22"/>
      <c r="AN1727" s="149" t="s">
        <v>6748</v>
      </c>
      <c r="AO1727" s="144"/>
      <c r="AP1727" s="148">
        <v>60088</v>
      </c>
      <c r="AQ1727" s="144"/>
      <c r="AR1727" s="120"/>
      <c r="AS1727" s="121"/>
      <c r="AT1727" s="120"/>
      <c r="AU1727" s="121"/>
      <c r="AV1727" s="120"/>
      <c r="AW1727" s="121"/>
      <c r="AX1727" s="120"/>
      <c r="AY1727" s="121"/>
      <c r="AZ1727" s="138"/>
    </row>
    <row r="1728" spans="1:52" ht="17.100000000000001" customHeight="1" thickTop="1">
      <c r="A1728" s="109" t="s">
        <v>6600</v>
      </c>
      <c r="B1728" s="28">
        <v>45925</v>
      </c>
      <c r="C1728" s="25">
        <v>1995</v>
      </c>
      <c r="D1728" s="13" t="s">
        <v>5332</v>
      </c>
      <c r="E1728" s="111"/>
      <c r="F1728" s="113" t="s">
        <v>5333</v>
      </c>
      <c r="G1728" s="114"/>
      <c r="H1728" s="115"/>
      <c r="I1728" s="24" t="s">
        <v>3509</v>
      </c>
      <c r="J1728" s="116">
        <v>4</v>
      </c>
      <c r="K1728" s="118">
        <v>201000</v>
      </c>
      <c r="L1728" s="119"/>
      <c r="M1728" s="118">
        <f>K1728*0.1</f>
        <v>20100</v>
      </c>
      <c r="N1728" s="119"/>
      <c r="O1728" s="118">
        <v>0</v>
      </c>
      <c r="P1728" s="119"/>
      <c r="Q1728" s="118">
        <v>8590</v>
      </c>
      <c r="R1728" s="119"/>
      <c r="S1728" s="118">
        <v>22000</v>
      </c>
      <c r="T1728" s="119"/>
      <c r="U1728" s="118">
        <f>SUM(K1728:T1729)</f>
        <v>251690</v>
      </c>
      <c r="V1728" s="122"/>
      <c r="W1728" s="124"/>
      <c r="X1728" s="126" t="s">
        <v>5334</v>
      </c>
      <c r="Y1728" s="127"/>
      <c r="Z1728" s="127"/>
      <c r="AA1728" s="127"/>
      <c r="AB1728" s="128"/>
      <c r="AC1728" s="15" t="s">
        <v>20</v>
      </c>
      <c r="AD1728" s="129" t="s">
        <v>5335</v>
      </c>
      <c r="AE1728" s="130"/>
      <c r="AF1728" s="130"/>
      <c r="AG1728" s="130"/>
      <c r="AH1728" s="130"/>
      <c r="AI1728" s="131"/>
      <c r="AJ1728" s="132"/>
      <c r="AK1728" s="127"/>
      <c r="AL1728" s="128"/>
      <c r="AM1728" s="21" t="s">
        <v>8315</v>
      </c>
      <c r="AN1728" s="133">
        <v>45941</v>
      </c>
      <c r="AO1728" s="134"/>
      <c r="AP1728" s="135">
        <v>1271</v>
      </c>
      <c r="AQ1728" s="136"/>
      <c r="AR1728" s="118">
        <v>270000</v>
      </c>
      <c r="AS1728" s="119"/>
      <c r="AT1728" s="118">
        <v>27000</v>
      </c>
      <c r="AU1728" s="119"/>
      <c r="AV1728" s="118">
        <v>8590</v>
      </c>
      <c r="AW1728" s="119"/>
      <c r="AX1728" s="118">
        <f>SUM(AR1728:AW1728)</f>
        <v>305590</v>
      </c>
      <c r="AY1728" s="119"/>
      <c r="AZ1728" s="137">
        <v>45950</v>
      </c>
    </row>
    <row r="1729" spans="1:52" ht="17.100000000000001" customHeight="1" thickBot="1">
      <c r="A1729" s="110"/>
      <c r="B1729" s="27" t="s">
        <v>2200</v>
      </c>
      <c r="C1729" s="27">
        <v>90059</v>
      </c>
      <c r="D1729" s="14" t="s">
        <v>1576</v>
      </c>
      <c r="E1729" s="112"/>
      <c r="F1729" s="139" t="s">
        <v>5336</v>
      </c>
      <c r="G1729" s="140"/>
      <c r="H1729" s="141"/>
      <c r="I1729" s="26">
        <v>59460</v>
      </c>
      <c r="J1729" s="117"/>
      <c r="K1729" s="120"/>
      <c r="L1729" s="121"/>
      <c r="M1729" s="120"/>
      <c r="N1729" s="121"/>
      <c r="O1729" s="120"/>
      <c r="P1729" s="121"/>
      <c r="Q1729" s="120"/>
      <c r="R1729" s="121"/>
      <c r="S1729" s="120"/>
      <c r="T1729" s="121"/>
      <c r="U1729" s="120"/>
      <c r="V1729" s="123"/>
      <c r="W1729" s="125"/>
      <c r="X1729" s="142" t="s">
        <v>6893</v>
      </c>
      <c r="Y1729" s="143"/>
      <c r="Z1729" s="143"/>
      <c r="AA1729" s="143"/>
      <c r="AB1729" s="144"/>
      <c r="AC1729" s="16" t="s">
        <v>21</v>
      </c>
      <c r="AD1729" s="17" t="s">
        <v>6716</v>
      </c>
      <c r="AE1729" s="145" t="s">
        <v>6894</v>
      </c>
      <c r="AF1729" s="146"/>
      <c r="AG1729" s="146"/>
      <c r="AH1729" s="146"/>
      <c r="AI1729" s="147"/>
      <c r="AJ1729" s="148"/>
      <c r="AK1729" s="143"/>
      <c r="AL1729" s="144"/>
      <c r="AM1729" s="22"/>
      <c r="AN1729" s="149" t="s">
        <v>2511</v>
      </c>
      <c r="AO1729" s="144"/>
      <c r="AP1729" s="148">
        <v>60061</v>
      </c>
      <c r="AQ1729" s="144"/>
      <c r="AR1729" s="120"/>
      <c r="AS1729" s="121"/>
      <c r="AT1729" s="120"/>
      <c r="AU1729" s="121"/>
      <c r="AV1729" s="120"/>
      <c r="AW1729" s="121"/>
      <c r="AX1729" s="120"/>
      <c r="AY1729" s="121"/>
      <c r="AZ1729" s="138"/>
    </row>
    <row r="1730" spans="1:52" ht="17.100000000000001" customHeight="1" thickTop="1">
      <c r="A1730" s="109" t="s">
        <v>6601</v>
      </c>
      <c r="B1730" s="28">
        <v>45925</v>
      </c>
      <c r="C1730" s="25">
        <v>2127</v>
      </c>
      <c r="D1730" s="13" t="s">
        <v>4840</v>
      </c>
      <c r="E1730" s="111"/>
      <c r="F1730" s="113" t="s">
        <v>5337</v>
      </c>
      <c r="G1730" s="114"/>
      <c r="H1730" s="115"/>
      <c r="I1730" s="24"/>
      <c r="J1730" s="116">
        <v>3.5</v>
      </c>
      <c r="K1730" s="118">
        <v>146000</v>
      </c>
      <c r="L1730" s="119"/>
      <c r="M1730" s="118">
        <f>K1730*0.1</f>
        <v>14600</v>
      </c>
      <c r="N1730" s="119"/>
      <c r="O1730" s="118">
        <v>0</v>
      </c>
      <c r="P1730" s="119"/>
      <c r="Q1730" s="118">
        <v>8490</v>
      </c>
      <c r="R1730" s="119"/>
      <c r="S1730" s="118">
        <v>13750</v>
      </c>
      <c r="T1730" s="119"/>
      <c r="U1730" s="118">
        <f>SUM(K1730:T1731)</f>
        <v>182840</v>
      </c>
      <c r="V1730" s="122"/>
      <c r="W1730" s="124"/>
      <c r="X1730" s="126" t="s">
        <v>6868</v>
      </c>
      <c r="Y1730" s="127"/>
      <c r="Z1730" s="127"/>
      <c r="AA1730" s="127"/>
      <c r="AB1730" s="128"/>
      <c r="AC1730" s="15" t="s">
        <v>20</v>
      </c>
      <c r="AD1730" s="129"/>
      <c r="AE1730" s="130"/>
      <c r="AF1730" s="130"/>
      <c r="AG1730" s="130"/>
      <c r="AH1730" s="130"/>
      <c r="AI1730" s="131"/>
      <c r="AJ1730" s="132"/>
      <c r="AK1730" s="127"/>
      <c r="AL1730" s="128"/>
      <c r="AM1730" s="21"/>
      <c r="AN1730" s="133">
        <v>45934</v>
      </c>
      <c r="AO1730" s="134"/>
      <c r="AP1730" s="135">
        <v>1270</v>
      </c>
      <c r="AQ1730" s="136"/>
      <c r="AR1730" s="118">
        <v>230000</v>
      </c>
      <c r="AS1730" s="119"/>
      <c r="AT1730" s="118">
        <f>AR1730*0.1</f>
        <v>23000</v>
      </c>
      <c r="AU1730" s="119"/>
      <c r="AV1730" s="118">
        <v>8490</v>
      </c>
      <c r="AW1730" s="119"/>
      <c r="AX1730" s="118">
        <f>SUM(AR1730:AW1730)</f>
        <v>261490</v>
      </c>
      <c r="AY1730" s="119"/>
      <c r="AZ1730" s="137">
        <v>45939</v>
      </c>
    </row>
    <row r="1731" spans="1:52" ht="17.100000000000001" customHeight="1" thickBot="1">
      <c r="A1731" s="110"/>
      <c r="B1731" s="27" t="s">
        <v>3281</v>
      </c>
      <c r="C1731" s="27">
        <v>36</v>
      </c>
      <c r="D1731" s="14" t="s">
        <v>1556</v>
      </c>
      <c r="E1731" s="112"/>
      <c r="F1731" s="139" t="s">
        <v>5338</v>
      </c>
      <c r="G1731" s="140"/>
      <c r="H1731" s="141"/>
      <c r="I1731" s="26">
        <v>50129</v>
      </c>
      <c r="J1731" s="117"/>
      <c r="K1731" s="120"/>
      <c r="L1731" s="121"/>
      <c r="M1731" s="120"/>
      <c r="N1731" s="121"/>
      <c r="O1731" s="120"/>
      <c r="P1731" s="121"/>
      <c r="Q1731" s="120"/>
      <c r="R1731" s="121"/>
      <c r="S1731" s="120"/>
      <c r="T1731" s="121"/>
      <c r="U1731" s="120"/>
      <c r="V1731" s="123"/>
      <c r="W1731" s="125"/>
      <c r="X1731" s="142" t="s">
        <v>6870</v>
      </c>
      <c r="Y1731" s="143"/>
      <c r="Z1731" s="143"/>
      <c r="AA1731" s="143"/>
      <c r="AB1731" s="144"/>
      <c r="AC1731" s="16" t="s">
        <v>21</v>
      </c>
      <c r="AD1731" s="17" t="s">
        <v>6716</v>
      </c>
      <c r="AE1731" s="145"/>
      <c r="AF1731" s="146"/>
      <c r="AG1731" s="146"/>
      <c r="AH1731" s="146"/>
      <c r="AI1731" s="147"/>
      <c r="AJ1731" s="148"/>
      <c r="AK1731" s="143"/>
      <c r="AL1731" s="144"/>
      <c r="AM1731" s="22"/>
      <c r="AN1731" s="149" t="s">
        <v>6749</v>
      </c>
      <c r="AO1731" s="144"/>
      <c r="AP1731" s="148">
        <v>60013</v>
      </c>
      <c r="AQ1731" s="144"/>
      <c r="AR1731" s="120"/>
      <c r="AS1731" s="121"/>
      <c r="AT1731" s="120"/>
      <c r="AU1731" s="121"/>
      <c r="AV1731" s="120"/>
      <c r="AW1731" s="121"/>
      <c r="AX1731" s="120"/>
      <c r="AY1731" s="121"/>
      <c r="AZ1731" s="138"/>
    </row>
    <row r="1732" spans="1:52" ht="17.100000000000001" customHeight="1" thickTop="1">
      <c r="A1732" s="109" t="s">
        <v>6602</v>
      </c>
      <c r="B1732" s="28">
        <v>45925</v>
      </c>
      <c r="C1732" s="25">
        <v>2127</v>
      </c>
      <c r="D1732" s="13" t="s">
        <v>3478</v>
      </c>
      <c r="E1732" s="111"/>
      <c r="F1732" s="113" t="s">
        <v>5339</v>
      </c>
      <c r="G1732" s="114"/>
      <c r="H1732" s="115"/>
      <c r="I1732" s="24"/>
      <c r="J1732" s="116">
        <v>4</v>
      </c>
      <c r="K1732" s="118">
        <v>653000</v>
      </c>
      <c r="L1732" s="119"/>
      <c r="M1732" s="118">
        <f>K1732*0.1</f>
        <v>65300</v>
      </c>
      <c r="N1732" s="119"/>
      <c r="O1732" s="118">
        <v>0</v>
      </c>
      <c r="P1732" s="119"/>
      <c r="Q1732" s="118">
        <v>8400</v>
      </c>
      <c r="R1732" s="119"/>
      <c r="S1732" s="118">
        <v>13750</v>
      </c>
      <c r="T1732" s="119"/>
      <c r="U1732" s="118">
        <f>SUM(K1732:T1733)</f>
        <v>740450</v>
      </c>
      <c r="V1732" s="122"/>
      <c r="W1732" s="124"/>
      <c r="X1732" s="126" t="s">
        <v>6865</v>
      </c>
      <c r="Y1732" s="127"/>
      <c r="Z1732" s="127"/>
      <c r="AA1732" s="127"/>
      <c r="AB1732" s="128"/>
      <c r="AC1732" s="15" t="s">
        <v>20</v>
      </c>
      <c r="AD1732" s="129"/>
      <c r="AE1732" s="130"/>
      <c r="AF1732" s="130"/>
      <c r="AG1732" s="130"/>
      <c r="AH1732" s="130"/>
      <c r="AI1732" s="131"/>
      <c r="AJ1732" s="132"/>
      <c r="AK1732" s="127"/>
      <c r="AL1732" s="128"/>
      <c r="AM1732" s="21"/>
      <c r="AN1732" s="133">
        <v>45934</v>
      </c>
      <c r="AO1732" s="134"/>
      <c r="AP1732" s="135">
        <v>1270</v>
      </c>
      <c r="AQ1732" s="136"/>
      <c r="AR1732" s="118">
        <v>770000</v>
      </c>
      <c r="AS1732" s="119"/>
      <c r="AT1732" s="118">
        <f>AR1732*0.1</f>
        <v>77000</v>
      </c>
      <c r="AU1732" s="119"/>
      <c r="AV1732" s="118">
        <v>8400</v>
      </c>
      <c r="AW1732" s="119"/>
      <c r="AX1732" s="118">
        <f>SUM(AR1732:AW1732)</f>
        <v>855400</v>
      </c>
      <c r="AY1732" s="119"/>
      <c r="AZ1732" s="137">
        <v>45937</v>
      </c>
    </row>
    <row r="1733" spans="1:52" ht="17.100000000000001" customHeight="1" thickBot="1">
      <c r="A1733" s="110"/>
      <c r="B1733" s="27" t="s">
        <v>3281</v>
      </c>
      <c r="C1733" s="27">
        <v>2020</v>
      </c>
      <c r="D1733" s="14" t="s">
        <v>1720</v>
      </c>
      <c r="E1733" s="112"/>
      <c r="F1733" s="139" t="s">
        <v>5340</v>
      </c>
      <c r="G1733" s="140"/>
      <c r="H1733" s="141"/>
      <c r="I1733" s="26">
        <v>52065</v>
      </c>
      <c r="J1733" s="117"/>
      <c r="K1733" s="120"/>
      <c r="L1733" s="121"/>
      <c r="M1733" s="120"/>
      <c r="N1733" s="121"/>
      <c r="O1733" s="120"/>
      <c r="P1733" s="121"/>
      <c r="Q1733" s="120"/>
      <c r="R1733" s="121"/>
      <c r="S1733" s="120"/>
      <c r="T1733" s="121"/>
      <c r="U1733" s="120"/>
      <c r="V1733" s="123"/>
      <c r="W1733" s="125"/>
      <c r="X1733" s="142" t="s">
        <v>6866</v>
      </c>
      <c r="Y1733" s="143"/>
      <c r="Z1733" s="143"/>
      <c r="AA1733" s="143"/>
      <c r="AB1733" s="144"/>
      <c r="AC1733" s="16" t="s">
        <v>21</v>
      </c>
      <c r="AD1733" s="17" t="s">
        <v>6716</v>
      </c>
      <c r="AE1733" s="145"/>
      <c r="AF1733" s="146"/>
      <c r="AG1733" s="146"/>
      <c r="AH1733" s="146"/>
      <c r="AI1733" s="147"/>
      <c r="AJ1733" s="148"/>
      <c r="AK1733" s="143"/>
      <c r="AL1733" s="144"/>
      <c r="AM1733" s="22"/>
      <c r="AN1733" s="149" t="s">
        <v>7284</v>
      </c>
      <c r="AO1733" s="144"/>
      <c r="AP1733" s="148">
        <v>60003</v>
      </c>
      <c r="AQ1733" s="144"/>
      <c r="AR1733" s="120"/>
      <c r="AS1733" s="121"/>
      <c r="AT1733" s="120"/>
      <c r="AU1733" s="121"/>
      <c r="AV1733" s="120"/>
      <c r="AW1733" s="121"/>
      <c r="AX1733" s="120"/>
      <c r="AY1733" s="121"/>
      <c r="AZ1733" s="138"/>
    </row>
    <row r="1734" spans="1:52" ht="17.100000000000001" customHeight="1" thickTop="1">
      <c r="A1734" s="109" t="s">
        <v>6603</v>
      </c>
      <c r="B1734" s="28">
        <v>45925</v>
      </c>
      <c r="C1734" s="25">
        <v>2127</v>
      </c>
      <c r="D1734" s="13" t="s">
        <v>1714</v>
      </c>
      <c r="E1734" s="111"/>
      <c r="F1734" s="113" t="s">
        <v>5327</v>
      </c>
      <c r="G1734" s="114"/>
      <c r="H1734" s="115"/>
      <c r="I1734" s="24" t="s">
        <v>5341</v>
      </c>
      <c r="J1734" s="116">
        <v>4.5</v>
      </c>
      <c r="K1734" s="118">
        <v>1162000</v>
      </c>
      <c r="L1734" s="119"/>
      <c r="M1734" s="118">
        <f>K1734*0.1</f>
        <v>116200</v>
      </c>
      <c r="N1734" s="119"/>
      <c r="O1734" s="118">
        <v>0</v>
      </c>
      <c r="P1734" s="119"/>
      <c r="Q1734" s="118">
        <v>8740</v>
      </c>
      <c r="R1734" s="119"/>
      <c r="S1734" s="118">
        <v>13750</v>
      </c>
      <c r="T1734" s="119"/>
      <c r="U1734" s="118">
        <f>SUM(K1734:T1735)</f>
        <v>1300690</v>
      </c>
      <c r="V1734" s="122"/>
      <c r="W1734" s="124"/>
      <c r="X1734" s="126" t="s">
        <v>6869</v>
      </c>
      <c r="Y1734" s="127"/>
      <c r="Z1734" s="127"/>
      <c r="AA1734" s="127"/>
      <c r="AB1734" s="128"/>
      <c r="AC1734" s="15" t="s">
        <v>20</v>
      </c>
      <c r="AD1734" s="129" t="s">
        <v>6867</v>
      </c>
      <c r="AE1734" s="130"/>
      <c r="AF1734" s="130"/>
      <c r="AG1734" s="130"/>
      <c r="AH1734" s="130"/>
      <c r="AI1734" s="131"/>
      <c r="AJ1734" s="132"/>
      <c r="AK1734" s="127"/>
      <c r="AL1734" s="128"/>
      <c r="AM1734" s="21" t="s">
        <v>7711</v>
      </c>
      <c r="AN1734" s="133">
        <v>45944</v>
      </c>
      <c r="AO1734" s="134"/>
      <c r="AP1734" s="135">
        <v>1913</v>
      </c>
      <c r="AQ1734" s="136"/>
      <c r="AR1734" s="118">
        <v>1191000</v>
      </c>
      <c r="AS1734" s="119"/>
      <c r="AT1734" s="118">
        <f>AR1734*0.1</f>
        <v>119100</v>
      </c>
      <c r="AU1734" s="119"/>
      <c r="AV1734" s="118">
        <v>8740</v>
      </c>
      <c r="AW1734" s="119"/>
      <c r="AX1734" s="118">
        <f>SUM(AR1734:AW1734)</f>
        <v>1318840</v>
      </c>
      <c r="AY1734" s="119"/>
      <c r="AZ1734" s="137">
        <v>45950</v>
      </c>
    </row>
    <row r="1735" spans="1:52" ht="17.100000000000001" customHeight="1" thickBot="1">
      <c r="A1735" s="110"/>
      <c r="B1735" s="27" t="s">
        <v>3281</v>
      </c>
      <c r="C1735" s="27">
        <v>2114</v>
      </c>
      <c r="D1735" s="14" t="s">
        <v>904</v>
      </c>
      <c r="E1735" s="112"/>
      <c r="F1735" s="139" t="s">
        <v>5342</v>
      </c>
      <c r="G1735" s="140"/>
      <c r="H1735" s="141"/>
      <c r="I1735" s="26">
        <v>34677</v>
      </c>
      <c r="J1735" s="117"/>
      <c r="K1735" s="120"/>
      <c r="L1735" s="121"/>
      <c r="M1735" s="120"/>
      <c r="N1735" s="121"/>
      <c r="O1735" s="120"/>
      <c r="P1735" s="121"/>
      <c r="Q1735" s="120"/>
      <c r="R1735" s="121"/>
      <c r="S1735" s="120"/>
      <c r="T1735" s="121"/>
      <c r="U1735" s="120"/>
      <c r="V1735" s="123"/>
      <c r="W1735" s="125"/>
      <c r="X1735" s="142" t="s">
        <v>6863</v>
      </c>
      <c r="Y1735" s="143"/>
      <c r="Z1735" s="143"/>
      <c r="AA1735" s="143"/>
      <c r="AB1735" s="144"/>
      <c r="AC1735" s="16" t="s">
        <v>21</v>
      </c>
      <c r="AD1735" s="17" t="s">
        <v>6716</v>
      </c>
      <c r="AE1735" s="145" t="s">
        <v>6864</v>
      </c>
      <c r="AF1735" s="146"/>
      <c r="AG1735" s="146"/>
      <c r="AH1735" s="146"/>
      <c r="AI1735" s="147"/>
      <c r="AJ1735" s="148"/>
      <c r="AK1735" s="143"/>
      <c r="AL1735" s="144"/>
      <c r="AM1735" s="22"/>
      <c r="AN1735" s="149" t="s">
        <v>2131</v>
      </c>
      <c r="AO1735" s="144"/>
      <c r="AP1735" s="148">
        <v>3135</v>
      </c>
      <c r="AQ1735" s="144"/>
      <c r="AR1735" s="120"/>
      <c r="AS1735" s="121"/>
      <c r="AT1735" s="120"/>
      <c r="AU1735" s="121"/>
      <c r="AV1735" s="120"/>
      <c r="AW1735" s="121"/>
      <c r="AX1735" s="120"/>
      <c r="AY1735" s="121"/>
      <c r="AZ1735" s="138"/>
    </row>
    <row r="1736" spans="1:52" ht="17.100000000000001" customHeight="1" thickTop="1">
      <c r="A1736" s="109" t="s">
        <v>6604</v>
      </c>
      <c r="B1736" s="28">
        <v>45925</v>
      </c>
      <c r="C1736" s="25">
        <v>2127</v>
      </c>
      <c r="D1736" s="13" t="s">
        <v>3695</v>
      </c>
      <c r="E1736" s="111"/>
      <c r="F1736" s="113" t="s">
        <v>5344</v>
      </c>
      <c r="G1736" s="114"/>
      <c r="H1736" s="115"/>
      <c r="I1736" s="24"/>
      <c r="J1736" s="116">
        <v>4</v>
      </c>
      <c r="K1736" s="118">
        <v>167000</v>
      </c>
      <c r="L1736" s="119"/>
      <c r="M1736" s="118">
        <f>K1736*0.1</f>
        <v>16700</v>
      </c>
      <c r="N1736" s="119"/>
      <c r="O1736" s="118">
        <v>0</v>
      </c>
      <c r="P1736" s="119"/>
      <c r="Q1736" s="118">
        <v>10100</v>
      </c>
      <c r="R1736" s="119"/>
      <c r="S1736" s="118">
        <v>13750</v>
      </c>
      <c r="T1736" s="119"/>
      <c r="U1736" s="118">
        <f>SUM(K1736:T1737)</f>
        <v>207550</v>
      </c>
      <c r="V1736" s="122"/>
      <c r="W1736" s="124"/>
      <c r="X1736" s="126" t="s">
        <v>7097</v>
      </c>
      <c r="Y1736" s="127"/>
      <c r="Z1736" s="127"/>
      <c r="AA1736" s="127"/>
      <c r="AB1736" s="128"/>
      <c r="AC1736" s="15" t="s">
        <v>20</v>
      </c>
      <c r="AD1736" s="129"/>
      <c r="AE1736" s="130"/>
      <c r="AF1736" s="130"/>
      <c r="AG1736" s="130"/>
      <c r="AH1736" s="130"/>
      <c r="AI1736" s="131"/>
      <c r="AJ1736" s="132"/>
      <c r="AK1736" s="127"/>
      <c r="AL1736" s="128"/>
      <c r="AM1736" s="21"/>
      <c r="AN1736" s="133">
        <v>46046</v>
      </c>
      <c r="AO1736" s="134"/>
      <c r="AP1736" s="135">
        <v>1285</v>
      </c>
      <c r="AQ1736" s="136"/>
      <c r="AR1736" s="118">
        <v>175000</v>
      </c>
      <c r="AS1736" s="119"/>
      <c r="AT1736" s="118">
        <f>AR1736*0.1</f>
        <v>17500</v>
      </c>
      <c r="AU1736" s="119"/>
      <c r="AV1736" s="118">
        <v>10100</v>
      </c>
      <c r="AW1736" s="119"/>
      <c r="AX1736" s="118">
        <f>SUM(AR1736:AW1736)</f>
        <v>202600</v>
      </c>
      <c r="AY1736" s="119"/>
      <c r="AZ1736" s="137">
        <v>46049</v>
      </c>
    </row>
    <row r="1737" spans="1:52" ht="17.100000000000001" customHeight="1" thickBot="1">
      <c r="A1737" s="110"/>
      <c r="B1737" s="27" t="s">
        <v>3281</v>
      </c>
      <c r="C1737" s="27">
        <v>2134</v>
      </c>
      <c r="D1737" s="14" t="s">
        <v>1720</v>
      </c>
      <c r="E1737" s="112"/>
      <c r="F1737" s="139" t="s">
        <v>5345</v>
      </c>
      <c r="G1737" s="140"/>
      <c r="H1737" s="141"/>
      <c r="I1737" s="26">
        <v>55049</v>
      </c>
      <c r="J1737" s="117"/>
      <c r="K1737" s="120"/>
      <c r="L1737" s="121"/>
      <c r="M1737" s="120"/>
      <c r="N1737" s="121"/>
      <c r="O1737" s="120"/>
      <c r="P1737" s="121"/>
      <c r="Q1737" s="120"/>
      <c r="R1737" s="121"/>
      <c r="S1737" s="120"/>
      <c r="T1737" s="121"/>
      <c r="U1737" s="120"/>
      <c r="V1737" s="123"/>
      <c r="W1737" s="125"/>
      <c r="X1737" s="142" t="s">
        <v>7098</v>
      </c>
      <c r="Y1737" s="143"/>
      <c r="Z1737" s="143"/>
      <c r="AA1737" s="143"/>
      <c r="AB1737" s="144"/>
      <c r="AC1737" s="16" t="s">
        <v>21</v>
      </c>
      <c r="AD1737" s="17" t="s">
        <v>3733</v>
      </c>
      <c r="AE1737" s="145"/>
      <c r="AF1737" s="146"/>
      <c r="AG1737" s="146"/>
      <c r="AH1737" s="146"/>
      <c r="AI1737" s="147"/>
      <c r="AJ1737" s="148"/>
      <c r="AK1737" s="143"/>
      <c r="AL1737" s="144"/>
      <c r="AM1737" s="22"/>
      <c r="AN1737" s="149" t="s">
        <v>2511</v>
      </c>
      <c r="AO1737" s="144"/>
      <c r="AP1737" s="148">
        <v>60046</v>
      </c>
      <c r="AQ1737" s="144"/>
      <c r="AR1737" s="120"/>
      <c r="AS1737" s="121"/>
      <c r="AT1737" s="120"/>
      <c r="AU1737" s="121"/>
      <c r="AV1737" s="120"/>
      <c r="AW1737" s="121"/>
      <c r="AX1737" s="120"/>
      <c r="AY1737" s="121"/>
      <c r="AZ1737" s="138"/>
    </row>
    <row r="1738" spans="1:52" ht="17.100000000000001" customHeight="1" thickTop="1">
      <c r="A1738" s="151" t="s">
        <v>6605</v>
      </c>
      <c r="B1738" s="28">
        <v>45925</v>
      </c>
      <c r="C1738" s="25">
        <v>2127</v>
      </c>
      <c r="D1738" s="13" t="s">
        <v>2428</v>
      </c>
      <c r="E1738" s="111"/>
      <c r="F1738" s="113" t="s">
        <v>5346</v>
      </c>
      <c r="G1738" s="114"/>
      <c r="H1738" s="115"/>
      <c r="I1738" s="24" t="s">
        <v>4314</v>
      </c>
      <c r="J1738" s="116">
        <v>4</v>
      </c>
      <c r="K1738" s="118">
        <v>1194000</v>
      </c>
      <c r="L1738" s="119"/>
      <c r="M1738" s="118">
        <f>K1738*0.1</f>
        <v>119400</v>
      </c>
      <c r="N1738" s="119"/>
      <c r="O1738" s="118">
        <v>0</v>
      </c>
      <c r="P1738" s="119"/>
      <c r="Q1738" s="118">
        <v>8200</v>
      </c>
      <c r="R1738" s="119"/>
      <c r="S1738" s="118">
        <v>13750</v>
      </c>
      <c r="T1738" s="119"/>
      <c r="U1738" s="118">
        <f>SUM(K1738:T1739)</f>
        <v>1335350</v>
      </c>
      <c r="V1738" s="122"/>
      <c r="W1738" s="124"/>
      <c r="X1738" s="126" t="s">
        <v>5347</v>
      </c>
      <c r="Y1738" s="127"/>
      <c r="Z1738" s="127"/>
      <c r="AA1738" s="127"/>
      <c r="AB1738" s="128"/>
      <c r="AC1738" s="15" t="s">
        <v>20</v>
      </c>
      <c r="AD1738" s="129" t="s">
        <v>1670</v>
      </c>
      <c r="AE1738" s="130"/>
      <c r="AF1738" s="130"/>
      <c r="AG1738" s="130"/>
      <c r="AH1738" s="130"/>
      <c r="AI1738" s="131"/>
      <c r="AJ1738" s="132" t="s">
        <v>6944</v>
      </c>
      <c r="AK1738" s="127"/>
      <c r="AL1738" s="128"/>
      <c r="AM1738" s="21"/>
      <c r="AN1738" s="133"/>
      <c r="AO1738" s="134"/>
      <c r="AP1738" s="135"/>
      <c r="AQ1738" s="136"/>
      <c r="AR1738" s="118"/>
      <c r="AS1738" s="119"/>
      <c r="AT1738" s="118">
        <f>AR1738*0.1</f>
        <v>0</v>
      </c>
      <c r="AU1738" s="119"/>
      <c r="AV1738" s="118"/>
      <c r="AW1738" s="119"/>
      <c r="AX1738" s="118">
        <f>SUM(AR1738:AW1738)</f>
        <v>0</v>
      </c>
      <c r="AY1738" s="119"/>
      <c r="AZ1738" s="137"/>
    </row>
    <row r="1739" spans="1:52" ht="17.100000000000001" customHeight="1" thickBot="1">
      <c r="A1739" s="152"/>
      <c r="B1739" s="27" t="s">
        <v>3281</v>
      </c>
      <c r="C1739" s="27">
        <v>2147</v>
      </c>
      <c r="D1739" s="14" t="s">
        <v>2836</v>
      </c>
      <c r="E1739" s="112"/>
      <c r="F1739" s="139" t="s">
        <v>5348</v>
      </c>
      <c r="G1739" s="140"/>
      <c r="H1739" s="141"/>
      <c r="I1739" s="26">
        <v>25880</v>
      </c>
      <c r="J1739" s="117"/>
      <c r="K1739" s="120"/>
      <c r="L1739" s="121"/>
      <c r="M1739" s="120"/>
      <c r="N1739" s="121"/>
      <c r="O1739" s="120"/>
      <c r="P1739" s="121"/>
      <c r="Q1739" s="120"/>
      <c r="R1739" s="121"/>
      <c r="S1739" s="120"/>
      <c r="T1739" s="121"/>
      <c r="U1739" s="120"/>
      <c r="V1739" s="123"/>
      <c r="W1739" s="125"/>
      <c r="X1739" s="142" t="s">
        <v>6862</v>
      </c>
      <c r="Y1739" s="143"/>
      <c r="Z1739" s="143"/>
      <c r="AA1739" s="143"/>
      <c r="AB1739" s="144"/>
      <c r="AC1739" s="16" t="s">
        <v>21</v>
      </c>
      <c r="AD1739" s="17" t="s">
        <v>6716</v>
      </c>
      <c r="AE1739" s="145" t="s">
        <v>1670</v>
      </c>
      <c r="AF1739" s="146"/>
      <c r="AG1739" s="146"/>
      <c r="AH1739" s="146"/>
      <c r="AI1739" s="147"/>
      <c r="AJ1739" s="148"/>
      <c r="AK1739" s="143"/>
      <c r="AL1739" s="144"/>
      <c r="AM1739" s="22"/>
      <c r="AN1739" s="149"/>
      <c r="AO1739" s="144"/>
      <c r="AP1739" s="148"/>
      <c r="AQ1739" s="144"/>
      <c r="AR1739" s="120"/>
      <c r="AS1739" s="121"/>
      <c r="AT1739" s="120"/>
      <c r="AU1739" s="121"/>
      <c r="AV1739" s="120"/>
      <c r="AW1739" s="121"/>
      <c r="AX1739" s="120"/>
      <c r="AY1739" s="121"/>
      <c r="AZ1739" s="138"/>
    </row>
    <row r="1740" spans="1:52" ht="17.100000000000001" customHeight="1" thickTop="1">
      <c r="A1740" s="109" t="s">
        <v>6606</v>
      </c>
      <c r="B1740" s="28">
        <v>45925</v>
      </c>
      <c r="C1740" s="25">
        <v>2127</v>
      </c>
      <c r="D1740" s="13" t="s">
        <v>2359</v>
      </c>
      <c r="E1740" s="111"/>
      <c r="F1740" s="113" t="s">
        <v>5171</v>
      </c>
      <c r="G1740" s="114"/>
      <c r="H1740" s="115"/>
      <c r="I1740" s="24" t="s">
        <v>5136</v>
      </c>
      <c r="J1740" s="116">
        <v>4</v>
      </c>
      <c r="K1740" s="118">
        <v>1052000</v>
      </c>
      <c r="L1740" s="119"/>
      <c r="M1740" s="118">
        <f>K1740*0.1</f>
        <v>105200</v>
      </c>
      <c r="N1740" s="119"/>
      <c r="O1740" s="118">
        <v>0</v>
      </c>
      <c r="P1740" s="119"/>
      <c r="Q1740" s="118">
        <v>8510</v>
      </c>
      <c r="R1740" s="119"/>
      <c r="S1740" s="118">
        <v>13750</v>
      </c>
      <c r="T1740" s="119"/>
      <c r="U1740" s="118">
        <f>SUM(K1740:T1741)</f>
        <v>1179460</v>
      </c>
      <c r="V1740" s="122"/>
      <c r="W1740" s="124"/>
      <c r="X1740" s="126" t="s">
        <v>5349</v>
      </c>
      <c r="Y1740" s="127"/>
      <c r="Z1740" s="127"/>
      <c r="AA1740" s="127"/>
      <c r="AB1740" s="128"/>
      <c r="AC1740" s="15" t="s">
        <v>20</v>
      </c>
      <c r="AD1740" s="129" t="s">
        <v>1945</v>
      </c>
      <c r="AE1740" s="130"/>
      <c r="AF1740" s="130"/>
      <c r="AG1740" s="130"/>
      <c r="AH1740" s="130"/>
      <c r="AI1740" s="131"/>
      <c r="AJ1740" s="132"/>
      <c r="AK1740" s="127"/>
      <c r="AL1740" s="128"/>
      <c r="AM1740" s="21" t="s">
        <v>8314</v>
      </c>
      <c r="AN1740" s="133">
        <v>45948</v>
      </c>
      <c r="AO1740" s="134"/>
      <c r="AP1740" s="135">
        <v>1272</v>
      </c>
      <c r="AQ1740" s="136"/>
      <c r="AR1740" s="118">
        <v>1185000</v>
      </c>
      <c r="AS1740" s="119"/>
      <c r="AT1740" s="118">
        <f>AR1740*0.1</f>
        <v>118500</v>
      </c>
      <c r="AU1740" s="119"/>
      <c r="AV1740" s="118">
        <v>8510</v>
      </c>
      <c r="AW1740" s="119"/>
      <c r="AX1740" s="118">
        <f>SUM(AR1740:AW1740)</f>
        <v>1312010</v>
      </c>
      <c r="AY1740" s="119"/>
      <c r="AZ1740" s="137">
        <v>45952</v>
      </c>
    </row>
    <row r="1741" spans="1:52" ht="17.100000000000001" customHeight="1" thickBot="1">
      <c r="A1741" s="110"/>
      <c r="B1741" s="27" t="s">
        <v>3281</v>
      </c>
      <c r="C1741" s="27">
        <v>2516</v>
      </c>
      <c r="D1741" s="14" t="s">
        <v>2601</v>
      </c>
      <c r="E1741" s="112"/>
      <c r="F1741" s="139" t="s">
        <v>5350</v>
      </c>
      <c r="G1741" s="140"/>
      <c r="H1741" s="141"/>
      <c r="I1741" s="26">
        <v>41938</v>
      </c>
      <c r="J1741" s="117"/>
      <c r="K1741" s="120"/>
      <c r="L1741" s="121"/>
      <c r="M1741" s="120"/>
      <c r="N1741" s="121"/>
      <c r="O1741" s="120"/>
      <c r="P1741" s="121"/>
      <c r="Q1741" s="120"/>
      <c r="R1741" s="121"/>
      <c r="S1741" s="120"/>
      <c r="T1741" s="121"/>
      <c r="U1741" s="120"/>
      <c r="V1741" s="123"/>
      <c r="W1741" s="125"/>
      <c r="X1741" s="142" t="s">
        <v>4681</v>
      </c>
      <c r="Y1741" s="143"/>
      <c r="Z1741" s="143"/>
      <c r="AA1741" s="143"/>
      <c r="AB1741" s="144"/>
      <c r="AC1741" s="16" t="s">
        <v>21</v>
      </c>
      <c r="AD1741" s="17" t="s">
        <v>6716</v>
      </c>
      <c r="AE1741" s="145" t="s">
        <v>6861</v>
      </c>
      <c r="AF1741" s="146"/>
      <c r="AG1741" s="146"/>
      <c r="AH1741" s="146"/>
      <c r="AI1741" s="147"/>
      <c r="AJ1741" s="148"/>
      <c r="AK1741" s="143"/>
      <c r="AL1741" s="144"/>
      <c r="AM1741" s="22"/>
      <c r="AN1741" s="149" t="s">
        <v>2511</v>
      </c>
      <c r="AO1741" s="144"/>
      <c r="AP1741" s="148">
        <v>60293</v>
      </c>
      <c r="AQ1741" s="144"/>
      <c r="AR1741" s="120"/>
      <c r="AS1741" s="121"/>
      <c r="AT1741" s="120"/>
      <c r="AU1741" s="121"/>
      <c r="AV1741" s="120"/>
      <c r="AW1741" s="121"/>
      <c r="AX1741" s="120"/>
      <c r="AY1741" s="121"/>
      <c r="AZ1741" s="138"/>
    </row>
    <row r="1742" spans="1:52" ht="17.100000000000001" customHeight="1" thickTop="1">
      <c r="A1742" s="109" t="s">
        <v>6607</v>
      </c>
      <c r="B1742" s="28">
        <v>45925</v>
      </c>
      <c r="C1742" s="25">
        <v>2127</v>
      </c>
      <c r="D1742" s="13" t="s">
        <v>2066</v>
      </c>
      <c r="E1742" s="111"/>
      <c r="F1742" s="113" t="s">
        <v>4683</v>
      </c>
      <c r="G1742" s="114"/>
      <c r="H1742" s="115"/>
      <c r="I1742" s="24" t="s">
        <v>5351</v>
      </c>
      <c r="J1742" s="116">
        <v>4</v>
      </c>
      <c r="K1742" s="118">
        <v>1279000</v>
      </c>
      <c r="L1742" s="119"/>
      <c r="M1742" s="118">
        <f>K1742*0.1</f>
        <v>127900</v>
      </c>
      <c r="N1742" s="119"/>
      <c r="O1742" s="118">
        <v>0</v>
      </c>
      <c r="P1742" s="119"/>
      <c r="Q1742" s="118">
        <v>8630</v>
      </c>
      <c r="R1742" s="119"/>
      <c r="S1742" s="118">
        <v>13750</v>
      </c>
      <c r="T1742" s="119"/>
      <c r="U1742" s="118">
        <f>SUM(K1742:T1743)</f>
        <v>1429280</v>
      </c>
      <c r="V1742" s="122"/>
      <c r="W1742" s="124"/>
      <c r="X1742" s="126" t="s">
        <v>5352</v>
      </c>
      <c r="Y1742" s="127"/>
      <c r="Z1742" s="127"/>
      <c r="AA1742" s="127"/>
      <c r="AB1742" s="128"/>
      <c r="AC1742" s="15" t="s">
        <v>20</v>
      </c>
      <c r="AD1742" s="129" t="s">
        <v>9398</v>
      </c>
      <c r="AE1742" s="130"/>
      <c r="AF1742" s="130"/>
      <c r="AG1742" s="130"/>
      <c r="AH1742" s="130"/>
      <c r="AI1742" s="131"/>
      <c r="AJ1742" s="132"/>
      <c r="AK1742" s="127"/>
      <c r="AL1742" s="128"/>
      <c r="AM1742" s="21" t="s">
        <v>8298</v>
      </c>
      <c r="AN1742" s="133">
        <v>45955</v>
      </c>
      <c r="AO1742" s="134"/>
      <c r="AP1742" s="135">
        <v>1273</v>
      </c>
      <c r="AQ1742" s="136"/>
      <c r="AR1742" s="118">
        <v>1350000</v>
      </c>
      <c r="AS1742" s="119"/>
      <c r="AT1742" s="118">
        <f>AR1742*0.1</f>
        <v>135000</v>
      </c>
      <c r="AU1742" s="119"/>
      <c r="AV1742" s="118">
        <v>8630</v>
      </c>
      <c r="AW1742" s="119"/>
      <c r="AX1742" s="118">
        <f>SUM(AR1742:AW1742)</f>
        <v>1493630</v>
      </c>
      <c r="AY1742" s="119"/>
      <c r="AZ1742" s="137">
        <v>45958</v>
      </c>
    </row>
    <row r="1743" spans="1:52" ht="17.100000000000001" customHeight="1" thickBot="1">
      <c r="A1743" s="110"/>
      <c r="B1743" s="27" t="s">
        <v>3281</v>
      </c>
      <c r="C1743" s="27">
        <v>2578</v>
      </c>
      <c r="D1743" s="14" t="s">
        <v>904</v>
      </c>
      <c r="E1743" s="112"/>
      <c r="F1743" s="139" t="s">
        <v>5353</v>
      </c>
      <c r="G1743" s="140"/>
      <c r="H1743" s="141"/>
      <c r="I1743" s="26">
        <v>6134</v>
      </c>
      <c r="J1743" s="117"/>
      <c r="K1743" s="120"/>
      <c r="L1743" s="121"/>
      <c r="M1743" s="120"/>
      <c r="N1743" s="121"/>
      <c r="O1743" s="120"/>
      <c r="P1743" s="121"/>
      <c r="Q1743" s="120"/>
      <c r="R1743" s="121"/>
      <c r="S1743" s="120"/>
      <c r="T1743" s="121"/>
      <c r="U1743" s="120"/>
      <c r="V1743" s="123"/>
      <c r="W1743" s="125"/>
      <c r="X1743" s="142" t="s">
        <v>6859</v>
      </c>
      <c r="Y1743" s="143"/>
      <c r="Z1743" s="143"/>
      <c r="AA1743" s="143"/>
      <c r="AB1743" s="144"/>
      <c r="AC1743" s="16" t="s">
        <v>21</v>
      </c>
      <c r="AD1743" s="17" t="s">
        <v>6716</v>
      </c>
      <c r="AE1743" s="145" t="s">
        <v>6860</v>
      </c>
      <c r="AF1743" s="146"/>
      <c r="AG1743" s="146"/>
      <c r="AH1743" s="146"/>
      <c r="AI1743" s="147"/>
      <c r="AJ1743" s="148"/>
      <c r="AK1743" s="143"/>
      <c r="AL1743" s="144"/>
      <c r="AM1743" s="22"/>
      <c r="AN1743" s="149" t="s">
        <v>2511</v>
      </c>
      <c r="AO1743" s="144"/>
      <c r="AP1743" s="148">
        <v>60145</v>
      </c>
      <c r="AQ1743" s="144"/>
      <c r="AR1743" s="120"/>
      <c r="AS1743" s="121"/>
      <c r="AT1743" s="120"/>
      <c r="AU1743" s="121"/>
      <c r="AV1743" s="120"/>
      <c r="AW1743" s="121"/>
      <c r="AX1743" s="120"/>
      <c r="AY1743" s="121"/>
      <c r="AZ1743" s="138"/>
    </row>
    <row r="1744" spans="1:52" ht="17.100000000000001" customHeight="1" thickTop="1">
      <c r="A1744" s="109" t="s">
        <v>6608</v>
      </c>
      <c r="B1744" s="28">
        <v>45925</v>
      </c>
      <c r="C1744" s="25">
        <v>2127</v>
      </c>
      <c r="D1744" s="13" t="s">
        <v>5354</v>
      </c>
      <c r="E1744" s="111"/>
      <c r="F1744" s="113" t="s">
        <v>5048</v>
      </c>
      <c r="G1744" s="114"/>
      <c r="H1744" s="115"/>
      <c r="I1744" s="24"/>
      <c r="J1744" s="116">
        <v>4</v>
      </c>
      <c r="K1744" s="118">
        <v>83000</v>
      </c>
      <c r="L1744" s="119"/>
      <c r="M1744" s="118">
        <f>K1744*0.1</f>
        <v>8300</v>
      </c>
      <c r="N1744" s="119"/>
      <c r="O1744" s="118">
        <v>0</v>
      </c>
      <c r="P1744" s="119"/>
      <c r="Q1744" s="118">
        <v>9880</v>
      </c>
      <c r="R1744" s="119"/>
      <c r="S1744" s="118">
        <v>13750</v>
      </c>
      <c r="T1744" s="119"/>
      <c r="U1744" s="118">
        <f>SUM(K1744:T1745)</f>
        <v>114930</v>
      </c>
      <c r="V1744" s="122"/>
      <c r="W1744" s="124"/>
      <c r="X1744" s="126" t="s">
        <v>6857</v>
      </c>
      <c r="Y1744" s="127"/>
      <c r="Z1744" s="127"/>
      <c r="AA1744" s="127"/>
      <c r="AB1744" s="128"/>
      <c r="AC1744" s="15" t="s">
        <v>20</v>
      </c>
      <c r="AD1744" s="129" t="s">
        <v>1670</v>
      </c>
      <c r="AE1744" s="130"/>
      <c r="AF1744" s="130"/>
      <c r="AG1744" s="130"/>
      <c r="AH1744" s="130"/>
      <c r="AI1744" s="131"/>
      <c r="AJ1744" s="132"/>
      <c r="AK1744" s="127"/>
      <c r="AL1744" s="128"/>
      <c r="AM1744" s="21"/>
      <c r="AN1744" s="133">
        <v>45934</v>
      </c>
      <c r="AO1744" s="134"/>
      <c r="AP1744" s="135">
        <v>1270</v>
      </c>
      <c r="AQ1744" s="136"/>
      <c r="AR1744" s="118">
        <v>230000</v>
      </c>
      <c r="AS1744" s="119"/>
      <c r="AT1744" s="118">
        <f>AR1744*0.1</f>
        <v>23000</v>
      </c>
      <c r="AU1744" s="119"/>
      <c r="AV1744" s="118">
        <v>9880</v>
      </c>
      <c r="AW1744" s="119"/>
      <c r="AX1744" s="118">
        <f>SUM(AR1744:AW1744)</f>
        <v>262880</v>
      </c>
      <c r="AY1744" s="119"/>
      <c r="AZ1744" s="137">
        <v>45937</v>
      </c>
    </row>
    <row r="1745" spans="1:52" ht="17.100000000000001" customHeight="1" thickBot="1">
      <c r="A1745" s="110"/>
      <c r="B1745" s="27" t="s">
        <v>3281</v>
      </c>
      <c r="C1745" s="27">
        <v>35175</v>
      </c>
      <c r="D1745" s="14" t="s">
        <v>2601</v>
      </c>
      <c r="E1745" s="112"/>
      <c r="F1745" s="139" t="s">
        <v>5355</v>
      </c>
      <c r="G1745" s="140"/>
      <c r="H1745" s="141"/>
      <c r="I1745" s="26">
        <v>46648</v>
      </c>
      <c r="J1745" s="117"/>
      <c r="K1745" s="120"/>
      <c r="L1745" s="121"/>
      <c r="M1745" s="120"/>
      <c r="N1745" s="121"/>
      <c r="O1745" s="120"/>
      <c r="P1745" s="121"/>
      <c r="Q1745" s="120"/>
      <c r="R1745" s="121"/>
      <c r="S1745" s="120"/>
      <c r="T1745" s="121"/>
      <c r="U1745" s="120"/>
      <c r="V1745" s="123"/>
      <c r="W1745" s="125"/>
      <c r="X1745" s="142" t="s">
        <v>6858</v>
      </c>
      <c r="Y1745" s="143"/>
      <c r="Z1745" s="143"/>
      <c r="AA1745" s="143"/>
      <c r="AB1745" s="144"/>
      <c r="AC1745" s="16" t="s">
        <v>21</v>
      </c>
      <c r="AD1745" s="17" t="s">
        <v>6716</v>
      </c>
      <c r="AE1745" s="145" t="s">
        <v>171</v>
      </c>
      <c r="AF1745" s="146"/>
      <c r="AG1745" s="146"/>
      <c r="AH1745" s="146"/>
      <c r="AI1745" s="147"/>
      <c r="AJ1745" s="148"/>
      <c r="AK1745" s="143"/>
      <c r="AL1745" s="144"/>
      <c r="AM1745" s="22"/>
      <c r="AN1745" s="149" t="s">
        <v>7284</v>
      </c>
      <c r="AO1745" s="144"/>
      <c r="AP1745" s="148">
        <v>60007</v>
      </c>
      <c r="AQ1745" s="144"/>
      <c r="AR1745" s="120"/>
      <c r="AS1745" s="121"/>
      <c r="AT1745" s="120"/>
      <c r="AU1745" s="121"/>
      <c r="AV1745" s="120"/>
      <c r="AW1745" s="121"/>
      <c r="AX1745" s="120"/>
      <c r="AY1745" s="121"/>
      <c r="AZ1745" s="138"/>
    </row>
    <row r="1746" spans="1:52" ht="17.100000000000001" customHeight="1" thickTop="1">
      <c r="A1746" s="109" t="s">
        <v>6609</v>
      </c>
      <c r="B1746" s="28">
        <v>45925</v>
      </c>
      <c r="C1746" s="25">
        <v>1299</v>
      </c>
      <c r="D1746" s="13" t="s">
        <v>1977</v>
      </c>
      <c r="E1746" s="111"/>
      <c r="F1746" s="113" t="s">
        <v>5356</v>
      </c>
      <c r="G1746" s="114"/>
      <c r="H1746" s="115"/>
      <c r="I1746" s="24" t="s">
        <v>4109</v>
      </c>
      <c r="J1746" s="116">
        <v>4.5</v>
      </c>
      <c r="K1746" s="118">
        <v>2100000</v>
      </c>
      <c r="L1746" s="119"/>
      <c r="M1746" s="118">
        <f>K1746*0.1</f>
        <v>210000</v>
      </c>
      <c r="N1746" s="119"/>
      <c r="O1746" s="118">
        <f>17200+1720</f>
        <v>18920</v>
      </c>
      <c r="P1746" s="119"/>
      <c r="Q1746" s="118">
        <v>20460</v>
      </c>
      <c r="R1746" s="119"/>
      <c r="S1746" s="118">
        <v>14300</v>
      </c>
      <c r="T1746" s="119"/>
      <c r="U1746" s="118">
        <f>SUM(K1746:T1747)</f>
        <v>2363680</v>
      </c>
      <c r="V1746" s="122"/>
      <c r="W1746" s="124"/>
      <c r="X1746" s="126" t="s">
        <v>5357</v>
      </c>
      <c r="Y1746" s="127"/>
      <c r="Z1746" s="127"/>
      <c r="AA1746" s="127"/>
      <c r="AB1746" s="128"/>
      <c r="AC1746" s="15" t="s">
        <v>20</v>
      </c>
      <c r="AD1746" s="129" t="s">
        <v>1633</v>
      </c>
      <c r="AE1746" s="130"/>
      <c r="AF1746" s="130"/>
      <c r="AG1746" s="130"/>
      <c r="AH1746" s="130"/>
      <c r="AI1746" s="131"/>
      <c r="AJ1746" s="132"/>
      <c r="AK1746" s="127"/>
      <c r="AL1746" s="128"/>
      <c r="AM1746" s="21"/>
      <c r="AN1746" s="133">
        <v>45969</v>
      </c>
      <c r="AO1746" s="134"/>
      <c r="AP1746" s="135">
        <v>1275</v>
      </c>
      <c r="AQ1746" s="136"/>
      <c r="AR1746" s="118">
        <v>2130000</v>
      </c>
      <c r="AS1746" s="119"/>
      <c r="AT1746" s="118">
        <f>AR1746*0.1</f>
        <v>213000</v>
      </c>
      <c r="AU1746" s="119"/>
      <c r="AV1746" s="118">
        <v>20460</v>
      </c>
      <c r="AW1746" s="119"/>
      <c r="AX1746" s="118">
        <f>SUM(AR1746:AW1746)</f>
        <v>2363460</v>
      </c>
      <c r="AY1746" s="119"/>
      <c r="AZ1746" s="137">
        <v>45972</v>
      </c>
    </row>
    <row r="1747" spans="1:52" ht="17.100000000000001" customHeight="1" thickBot="1">
      <c r="A1747" s="110"/>
      <c r="B1747" s="27" t="s">
        <v>1747</v>
      </c>
      <c r="C1747" s="27">
        <v>31</v>
      </c>
      <c r="D1747" s="14" t="s">
        <v>2601</v>
      </c>
      <c r="E1747" s="112"/>
      <c r="F1747" s="139" t="s">
        <v>5358</v>
      </c>
      <c r="G1747" s="140"/>
      <c r="H1747" s="141"/>
      <c r="I1747" s="26">
        <v>48642</v>
      </c>
      <c r="J1747" s="117"/>
      <c r="K1747" s="120"/>
      <c r="L1747" s="121"/>
      <c r="M1747" s="120"/>
      <c r="N1747" s="121"/>
      <c r="O1747" s="120"/>
      <c r="P1747" s="121"/>
      <c r="Q1747" s="120"/>
      <c r="R1747" s="121"/>
      <c r="S1747" s="120"/>
      <c r="T1747" s="121"/>
      <c r="U1747" s="120"/>
      <c r="V1747" s="123"/>
      <c r="W1747" s="125"/>
      <c r="X1747" s="142" t="s">
        <v>1861</v>
      </c>
      <c r="Y1747" s="143"/>
      <c r="Z1747" s="143"/>
      <c r="AA1747" s="143"/>
      <c r="AB1747" s="144"/>
      <c r="AC1747" s="16" t="s">
        <v>21</v>
      </c>
      <c r="AD1747" s="17" t="s">
        <v>6716</v>
      </c>
      <c r="AE1747" s="145" t="s">
        <v>1742</v>
      </c>
      <c r="AF1747" s="146"/>
      <c r="AG1747" s="146"/>
      <c r="AH1747" s="146"/>
      <c r="AI1747" s="147"/>
      <c r="AJ1747" s="148"/>
      <c r="AK1747" s="143"/>
      <c r="AL1747" s="144"/>
      <c r="AM1747" s="22" t="s">
        <v>3483</v>
      </c>
      <c r="AN1747" s="149" t="s">
        <v>2511</v>
      </c>
      <c r="AO1747" s="144"/>
      <c r="AP1747" s="148">
        <v>80039</v>
      </c>
      <c r="AQ1747" s="144"/>
      <c r="AR1747" s="120"/>
      <c r="AS1747" s="121"/>
      <c r="AT1747" s="120"/>
      <c r="AU1747" s="121"/>
      <c r="AV1747" s="120"/>
      <c r="AW1747" s="121"/>
      <c r="AX1747" s="120"/>
      <c r="AY1747" s="121"/>
      <c r="AZ1747" s="138"/>
    </row>
    <row r="1748" spans="1:52" ht="17.100000000000001" customHeight="1" thickTop="1">
      <c r="A1748" s="109" t="s">
        <v>6610</v>
      </c>
      <c r="B1748" s="28">
        <v>45925</v>
      </c>
      <c r="C1748" s="25">
        <v>1534</v>
      </c>
      <c r="D1748" s="13" t="s">
        <v>1027</v>
      </c>
      <c r="E1748" s="111"/>
      <c r="F1748" s="113" t="s">
        <v>5359</v>
      </c>
      <c r="G1748" s="114"/>
      <c r="H1748" s="115"/>
      <c r="I1748" s="24" t="s">
        <v>4037</v>
      </c>
      <c r="J1748" s="116">
        <v>4.5</v>
      </c>
      <c r="K1748" s="118">
        <v>2250000</v>
      </c>
      <c r="L1748" s="119"/>
      <c r="M1748" s="118">
        <f>K1748*0.1</f>
        <v>225000</v>
      </c>
      <c r="N1748" s="119"/>
      <c r="O1748" s="118">
        <f>19700+1970</f>
        <v>21670</v>
      </c>
      <c r="P1748" s="119"/>
      <c r="Q1748" s="118">
        <v>13210</v>
      </c>
      <c r="R1748" s="119"/>
      <c r="S1748" s="118">
        <v>16500</v>
      </c>
      <c r="T1748" s="119"/>
      <c r="U1748" s="118">
        <f>SUM(K1748:T1749)</f>
        <v>2526380</v>
      </c>
      <c r="V1748" s="122"/>
      <c r="W1748" s="124"/>
      <c r="X1748" s="126" t="s">
        <v>5360</v>
      </c>
      <c r="Y1748" s="127"/>
      <c r="Z1748" s="127"/>
      <c r="AA1748" s="127"/>
      <c r="AB1748" s="128"/>
      <c r="AC1748" s="15" t="s">
        <v>20</v>
      </c>
      <c r="AD1748" s="129"/>
      <c r="AE1748" s="130"/>
      <c r="AF1748" s="130"/>
      <c r="AG1748" s="130"/>
      <c r="AH1748" s="130"/>
      <c r="AI1748" s="131"/>
      <c r="AJ1748" s="132"/>
      <c r="AK1748" s="127"/>
      <c r="AL1748" s="128"/>
      <c r="AM1748" s="21"/>
      <c r="AN1748" s="133"/>
      <c r="AO1748" s="134"/>
      <c r="AP1748" s="135"/>
      <c r="AQ1748" s="136"/>
      <c r="AR1748" s="118"/>
      <c r="AS1748" s="119"/>
      <c r="AT1748" s="118">
        <f>AR1748*0.1</f>
        <v>0</v>
      </c>
      <c r="AU1748" s="119"/>
      <c r="AV1748" s="118"/>
      <c r="AW1748" s="119"/>
      <c r="AX1748" s="118">
        <f>SUM(AR1748:AW1748)</f>
        <v>0</v>
      </c>
      <c r="AY1748" s="119"/>
      <c r="AZ1748" s="137"/>
    </row>
    <row r="1749" spans="1:52" ht="17.100000000000001" customHeight="1" thickBot="1">
      <c r="A1749" s="110"/>
      <c r="B1749" s="27" t="s">
        <v>1600</v>
      </c>
      <c r="C1749" s="27">
        <v>76436</v>
      </c>
      <c r="D1749" s="14" t="s">
        <v>275</v>
      </c>
      <c r="E1749" s="112"/>
      <c r="F1749" s="139" t="s">
        <v>5361</v>
      </c>
      <c r="G1749" s="140"/>
      <c r="H1749" s="141"/>
      <c r="I1749" s="26">
        <v>24721</v>
      </c>
      <c r="J1749" s="117"/>
      <c r="K1749" s="120"/>
      <c r="L1749" s="121"/>
      <c r="M1749" s="120"/>
      <c r="N1749" s="121"/>
      <c r="O1749" s="120"/>
      <c r="P1749" s="121"/>
      <c r="Q1749" s="120"/>
      <c r="R1749" s="121"/>
      <c r="S1749" s="120"/>
      <c r="T1749" s="121"/>
      <c r="U1749" s="120"/>
      <c r="V1749" s="123"/>
      <c r="W1749" s="125"/>
      <c r="X1749" s="142" t="s">
        <v>6762</v>
      </c>
      <c r="Y1749" s="143"/>
      <c r="Z1749" s="143"/>
      <c r="AA1749" s="143"/>
      <c r="AB1749" s="144"/>
      <c r="AC1749" s="16" t="s">
        <v>21</v>
      </c>
      <c r="AD1749" s="17" t="s">
        <v>6716</v>
      </c>
      <c r="AE1749" s="145" t="s">
        <v>6763</v>
      </c>
      <c r="AF1749" s="146"/>
      <c r="AG1749" s="146"/>
      <c r="AH1749" s="146"/>
      <c r="AI1749" s="147"/>
      <c r="AJ1749" s="148"/>
      <c r="AK1749" s="143"/>
      <c r="AL1749" s="144"/>
      <c r="AM1749" s="22" t="s">
        <v>3483</v>
      </c>
      <c r="AN1749" s="149"/>
      <c r="AO1749" s="144"/>
      <c r="AP1749" s="148"/>
      <c r="AQ1749" s="144"/>
      <c r="AR1749" s="120"/>
      <c r="AS1749" s="121"/>
      <c r="AT1749" s="120"/>
      <c r="AU1749" s="121"/>
      <c r="AV1749" s="120"/>
      <c r="AW1749" s="121"/>
      <c r="AX1749" s="120"/>
      <c r="AY1749" s="121"/>
      <c r="AZ1749" s="138"/>
    </row>
    <row r="1750" spans="1:52" ht="17.100000000000001" customHeight="1" thickTop="1">
      <c r="A1750" s="109" t="s">
        <v>6611</v>
      </c>
      <c r="B1750" s="28">
        <v>45926</v>
      </c>
      <c r="C1750" s="25">
        <v>54</v>
      </c>
      <c r="D1750" s="13" t="s">
        <v>2022</v>
      </c>
      <c r="E1750" s="111"/>
      <c r="F1750" s="113" t="s">
        <v>5220</v>
      </c>
      <c r="G1750" s="114"/>
      <c r="H1750" s="115"/>
      <c r="I1750" s="24" t="s">
        <v>3931</v>
      </c>
      <c r="J1750" s="150" t="s">
        <v>1715</v>
      </c>
      <c r="K1750" s="118">
        <v>530000</v>
      </c>
      <c r="L1750" s="119"/>
      <c r="M1750" s="118">
        <f>K1750*0.1</f>
        <v>53000</v>
      </c>
      <c r="N1750" s="119"/>
      <c r="O1750" s="118">
        <v>0</v>
      </c>
      <c r="P1750" s="119"/>
      <c r="Q1750" s="118">
        <v>9080</v>
      </c>
      <c r="R1750" s="119"/>
      <c r="S1750" s="118">
        <v>33000</v>
      </c>
      <c r="T1750" s="119"/>
      <c r="U1750" s="118">
        <f>SUM(K1750:T1751)</f>
        <v>625080</v>
      </c>
      <c r="V1750" s="122"/>
      <c r="W1750" s="124"/>
      <c r="X1750" s="126" t="s">
        <v>7955</v>
      </c>
      <c r="Y1750" s="127"/>
      <c r="Z1750" s="127"/>
      <c r="AA1750" s="127"/>
      <c r="AB1750" s="128"/>
      <c r="AC1750" s="15" t="s">
        <v>20</v>
      </c>
      <c r="AD1750" s="129"/>
      <c r="AE1750" s="130"/>
      <c r="AF1750" s="130"/>
      <c r="AG1750" s="130"/>
      <c r="AH1750" s="130"/>
      <c r="AI1750" s="131"/>
      <c r="AJ1750" s="132"/>
      <c r="AK1750" s="127"/>
      <c r="AL1750" s="128"/>
      <c r="AM1750" s="21"/>
      <c r="AN1750" s="133">
        <v>45948</v>
      </c>
      <c r="AO1750" s="134"/>
      <c r="AP1750" s="135">
        <v>1272</v>
      </c>
      <c r="AQ1750" s="136"/>
      <c r="AR1750" s="118">
        <v>710000</v>
      </c>
      <c r="AS1750" s="119"/>
      <c r="AT1750" s="118">
        <f>AR1750*0.1</f>
        <v>71000</v>
      </c>
      <c r="AU1750" s="119"/>
      <c r="AV1750" s="118">
        <v>9080</v>
      </c>
      <c r="AW1750" s="119"/>
      <c r="AX1750" s="118">
        <f>SUM(AR1750:AW1750)</f>
        <v>790080</v>
      </c>
      <c r="AY1750" s="119"/>
      <c r="AZ1750" s="137">
        <v>45951</v>
      </c>
    </row>
    <row r="1751" spans="1:52" ht="17.100000000000001" customHeight="1" thickBot="1">
      <c r="A1751" s="110"/>
      <c r="B1751" s="27" t="s">
        <v>4544</v>
      </c>
      <c r="C1751" s="27">
        <v>1005</v>
      </c>
      <c r="D1751" s="14" t="s">
        <v>275</v>
      </c>
      <c r="E1751" s="112"/>
      <c r="F1751" s="139" t="s">
        <v>5362</v>
      </c>
      <c r="G1751" s="140"/>
      <c r="H1751" s="141"/>
      <c r="I1751" s="26">
        <v>35512</v>
      </c>
      <c r="J1751" s="117"/>
      <c r="K1751" s="120"/>
      <c r="L1751" s="121"/>
      <c r="M1751" s="120"/>
      <c r="N1751" s="121"/>
      <c r="O1751" s="120"/>
      <c r="P1751" s="121"/>
      <c r="Q1751" s="120"/>
      <c r="R1751" s="121"/>
      <c r="S1751" s="120"/>
      <c r="T1751" s="121"/>
      <c r="U1751" s="120"/>
      <c r="V1751" s="123"/>
      <c r="W1751" s="125"/>
      <c r="X1751" s="142" t="s">
        <v>7956</v>
      </c>
      <c r="Y1751" s="143"/>
      <c r="Z1751" s="143"/>
      <c r="AA1751" s="143"/>
      <c r="AB1751" s="144"/>
      <c r="AC1751" s="16" t="s">
        <v>21</v>
      </c>
      <c r="AD1751" s="17" t="s">
        <v>2604</v>
      </c>
      <c r="AE1751" s="145"/>
      <c r="AF1751" s="146"/>
      <c r="AG1751" s="146"/>
      <c r="AH1751" s="146"/>
      <c r="AI1751" s="147"/>
      <c r="AJ1751" s="148"/>
      <c r="AK1751" s="143"/>
      <c r="AL1751" s="144"/>
      <c r="AM1751" s="22"/>
      <c r="AN1751" s="149" t="s">
        <v>2511</v>
      </c>
      <c r="AO1751" s="144"/>
      <c r="AP1751" s="148">
        <v>65182</v>
      </c>
      <c r="AQ1751" s="144"/>
      <c r="AR1751" s="120"/>
      <c r="AS1751" s="121"/>
      <c r="AT1751" s="120"/>
      <c r="AU1751" s="121"/>
      <c r="AV1751" s="120"/>
      <c r="AW1751" s="121"/>
      <c r="AX1751" s="120"/>
      <c r="AY1751" s="121"/>
      <c r="AZ1751" s="138"/>
    </row>
    <row r="1752" spans="1:52" ht="17.100000000000001" customHeight="1" thickTop="1">
      <c r="A1752" s="109" t="s">
        <v>6612</v>
      </c>
      <c r="B1752" s="28">
        <v>45926</v>
      </c>
      <c r="C1752" s="25">
        <v>54</v>
      </c>
      <c r="D1752" s="13" t="s">
        <v>1059</v>
      </c>
      <c r="E1752" s="111"/>
      <c r="F1752" s="113" t="s">
        <v>5363</v>
      </c>
      <c r="G1752" s="114"/>
      <c r="H1752" s="115"/>
      <c r="I1752" s="24" t="s">
        <v>4314</v>
      </c>
      <c r="J1752" s="116">
        <v>4</v>
      </c>
      <c r="K1752" s="118">
        <v>1155000</v>
      </c>
      <c r="L1752" s="119"/>
      <c r="M1752" s="118">
        <f>K1752*0.1</f>
        <v>115500</v>
      </c>
      <c r="N1752" s="119"/>
      <c r="O1752" s="118">
        <f>12700+1270</f>
        <v>13970</v>
      </c>
      <c r="P1752" s="119"/>
      <c r="Q1752" s="118">
        <v>6960</v>
      </c>
      <c r="R1752" s="119"/>
      <c r="S1752" s="118">
        <v>44000</v>
      </c>
      <c r="T1752" s="119"/>
      <c r="U1752" s="118">
        <f>SUM(K1752:T1753)</f>
        <v>1335430</v>
      </c>
      <c r="V1752" s="122"/>
      <c r="W1752" s="124"/>
      <c r="X1752" s="126" t="s">
        <v>7917</v>
      </c>
      <c r="Y1752" s="127"/>
      <c r="Z1752" s="127"/>
      <c r="AA1752" s="127"/>
      <c r="AB1752" s="128"/>
      <c r="AC1752" s="15" t="s">
        <v>20</v>
      </c>
      <c r="AD1752" s="129" t="s">
        <v>171</v>
      </c>
      <c r="AE1752" s="130"/>
      <c r="AF1752" s="130"/>
      <c r="AG1752" s="130"/>
      <c r="AH1752" s="130"/>
      <c r="AI1752" s="131"/>
      <c r="AJ1752" s="132"/>
      <c r="AK1752" s="127"/>
      <c r="AL1752" s="128"/>
      <c r="AM1752" s="21"/>
      <c r="AN1752" s="133">
        <v>45941</v>
      </c>
      <c r="AO1752" s="134"/>
      <c r="AP1752" s="135">
        <v>1271</v>
      </c>
      <c r="AQ1752" s="136"/>
      <c r="AR1752" s="118">
        <v>1460000</v>
      </c>
      <c r="AS1752" s="119"/>
      <c r="AT1752" s="118">
        <f>AR1752*0.1</f>
        <v>146000</v>
      </c>
      <c r="AU1752" s="119"/>
      <c r="AV1752" s="118">
        <v>8860</v>
      </c>
      <c r="AW1752" s="119"/>
      <c r="AX1752" s="118">
        <f>SUM(AR1752:AW1752)</f>
        <v>1614860</v>
      </c>
      <c r="AY1752" s="119"/>
      <c r="AZ1752" s="137">
        <v>45944</v>
      </c>
    </row>
    <row r="1753" spans="1:52" ht="17.100000000000001" customHeight="1" thickBot="1">
      <c r="A1753" s="110"/>
      <c r="B1753" s="27" t="s">
        <v>4544</v>
      </c>
      <c r="C1753" s="27">
        <v>1039</v>
      </c>
      <c r="D1753" s="14" t="s">
        <v>904</v>
      </c>
      <c r="E1753" s="112"/>
      <c r="F1753" s="139" t="s">
        <v>5364</v>
      </c>
      <c r="G1753" s="140"/>
      <c r="H1753" s="141"/>
      <c r="I1753" s="26">
        <v>26291</v>
      </c>
      <c r="J1753" s="117"/>
      <c r="K1753" s="120"/>
      <c r="L1753" s="121"/>
      <c r="M1753" s="120"/>
      <c r="N1753" s="121"/>
      <c r="O1753" s="120"/>
      <c r="P1753" s="121"/>
      <c r="Q1753" s="120"/>
      <c r="R1753" s="121"/>
      <c r="S1753" s="120"/>
      <c r="T1753" s="121"/>
      <c r="U1753" s="120"/>
      <c r="V1753" s="123"/>
      <c r="W1753" s="125"/>
      <c r="X1753" s="142" t="s">
        <v>7918</v>
      </c>
      <c r="Y1753" s="143"/>
      <c r="Z1753" s="143"/>
      <c r="AA1753" s="143"/>
      <c r="AB1753" s="144"/>
      <c r="AC1753" s="16" t="s">
        <v>21</v>
      </c>
      <c r="AD1753" s="17" t="s">
        <v>1613</v>
      </c>
      <c r="AE1753" s="145" t="s">
        <v>7919</v>
      </c>
      <c r="AF1753" s="146"/>
      <c r="AG1753" s="146"/>
      <c r="AH1753" s="146"/>
      <c r="AI1753" s="147"/>
      <c r="AJ1753" s="148"/>
      <c r="AK1753" s="143"/>
      <c r="AL1753" s="144"/>
      <c r="AM1753" s="22"/>
      <c r="AN1753" s="149" t="s">
        <v>2511</v>
      </c>
      <c r="AO1753" s="144"/>
      <c r="AP1753" s="148">
        <v>37490</v>
      </c>
      <c r="AQ1753" s="144"/>
      <c r="AR1753" s="120"/>
      <c r="AS1753" s="121"/>
      <c r="AT1753" s="120"/>
      <c r="AU1753" s="121"/>
      <c r="AV1753" s="120"/>
      <c r="AW1753" s="121"/>
      <c r="AX1753" s="120"/>
      <c r="AY1753" s="121"/>
      <c r="AZ1753" s="138"/>
    </row>
    <row r="1754" spans="1:52" ht="17.100000000000001" customHeight="1" thickTop="1">
      <c r="A1754" s="109" t="s">
        <v>6613</v>
      </c>
      <c r="B1754" s="28">
        <v>45926</v>
      </c>
      <c r="C1754" s="25">
        <v>54</v>
      </c>
      <c r="D1754" s="13" t="s">
        <v>1606</v>
      </c>
      <c r="E1754" s="111"/>
      <c r="F1754" s="113" t="s">
        <v>5365</v>
      </c>
      <c r="G1754" s="114"/>
      <c r="H1754" s="115"/>
      <c r="I1754" s="24" t="s">
        <v>4037</v>
      </c>
      <c r="J1754" s="116">
        <v>4</v>
      </c>
      <c r="K1754" s="118">
        <v>265000</v>
      </c>
      <c r="L1754" s="119"/>
      <c r="M1754" s="118">
        <f>K1754*0.1</f>
        <v>26500</v>
      </c>
      <c r="N1754" s="119"/>
      <c r="O1754" s="118">
        <v>0</v>
      </c>
      <c r="P1754" s="119"/>
      <c r="Q1754" s="118">
        <v>8060</v>
      </c>
      <c r="R1754" s="119"/>
      <c r="S1754" s="118">
        <v>33000</v>
      </c>
      <c r="T1754" s="119"/>
      <c r="U1754" s="118">
        <f>SUM(K1754:T1755)</f>
        <v>332560</v>
      </c>
      <c r="V1754" s="122"/>
      <c r="W1754" s="124"/>
      <c r="X1754" s="126" t="s">
        <v>8261</v>
      </c>
      <c r="Y1754" s="127"/>
      <c r="Z1754" s="127"/>
      <c r="AA1754" s="127"/>
      <c r="AB1754" s="128"/>
      <c r="AC1754" s="15" t="s">
        <v>20</v>
      </c>
      <c r="AD1754" s="129" t="s">
        <v>171</v>
      </c>
      <c r="AE1754" s="130"/>
      <c r="AF1754" s="130"/>
      <c r="AG1754" s="130"/>
      <c r="AH1754" s="130"/>
      <c r="AI1754" s="131"/>
      <c r="AJ1754" s="132"/>
      <c r="AK1754" s="127"/>
      <c r="AL1754" s="128"/>
      <c r="AM1754" s="21"/>
      <c r="AN1754" s="133">
        <v>45951</v>
      </c>
      <c r="AO1754" s="134"/>
      <c r="AP1754" s="135">
        <v>1914</v>
      </c>
      <c r="AQ1754" s="136"/>
      <c r="AR1754" s="118">
        <v>412000</v>
      </c>
      <c r="AS1754" s="119"/>
      <c r="AT1754" s="118">
        <f>AR1754*0.1</f>
        <v>41200</v>
      </c>
      <c r="AU1754" s="119"/>
      <c r="AV1754" s="118">
        <v>8060</v>
      </c>
      <c r="AW1754" s="119"/>
      <c r="AX1754" s="118">
        <f>SUM(AR1754:AW1754)</f>
        <v>461260</v>
      </c>
      <c r="AY1754" s="119"/>
      <c r="AZ1754" s="137">
        <v>45957</v>
      </c>
    </row>
    <row r="1755" spans="1:52" ht="17.100000000000001" customHeight="1" thickBot="1">
      <c r="A1755" s="110"/>
      <c r="B1755" s="27" t="s">
        <v>4544</v>
      </c>
      <c r="C1755" s="27">
        <v>1078</v>
      </c>
      <c r="D1755" s="14" t="s">
        <v>1576</v>
      </c>
      <c r="E1755" s="112"/>
      <c r="F1755" s="139" t="s">
        <v>5366</v>
      </c>
      <c r="G1755" s="140"/>
      <c r="H1755" s="141"/>
      <c r="I1755" s="26">
        <v>18930</v>
      </c>
      <c r="J1755" s="117"/>
      <c r="K1755" s="120"/>
      <c r="L1755" s="121"/>
      <c r="M1755" s="120"/>
      <c r="N1755" s="121"/>
      <c r="O1755" s="120"/>
      <c r="P1755" s="121"/>
      <c r="Q1755" s="120"/>
      <c r="R1755" s="121"/>
      <c r="S1755" s="120"/>
      <c r="T1755" s="121"/>
      <c r="U1755" s="120"/>
      <c r="V1755" s="123"/>
      <c r="W1755" s="125"/>
      <c r="X1755" s="142" t="s">
        <v>8262</v>
      </c>
      <c r="Y1755" s="143"/>
      <c r="Z1755" s="143"/>
      <c r="AA1755" s="143"/>
      <c r="AB1755" s="144"/>
      <c r="AC1755" s="16" t="s">
        <v>21</v>
      </c>
      <c r="AD1755" s="17" t="s">
        <v>1622</v>
      </c>
      <c r="AE1755" s="145" t="s">
        <v>3395</v>
      </c>
      <c r="AF1755" s="146"/>
      <c r="AG1755" s="146"/>
      <c r="AH1755" s="146"/>
      <c r="AI1755" s="147"/>
      <c r="AJ1755" s="148"/>
      <c r="AK1755" s="143"/>
      <c r="AL1755" s="144"/>
      <c r="AM1755" s="22"/>
      <c r="AN1755" s="149" t="s">
        <v>2131</v>
      </c>
      <c r="AO1755" s="144"/>
      <c r="AP1755" s="148">
        <v>3245</v>
      </c>
      <c r="AQ1755" s="144"/>
      <c r="AR1755" s="120"/>
      <c r="AS1755" s="121"/>
      <c r="AT1755" s="120"/>
      <c r="AU1755" s="121"/>
      <c r="AV1755" s="120"/>
      <c r="AW1755" s="121"/>
      <c r="AX1755" s="120"/>
      <c r="AY1755" s="121"/>
      <c r="AZ1755" s="138"/>
    </row>
    <row r="1756" spans="1:52" ht="17.100000000000001" customHeight="1" thickTop="1">
      <c r="A1756" s="109" t="s">
        <v>6614</v>
      </c>
      <c r="B1756" s="28">
        <v>45926</v>
      </c>
      <c r="C1756" s="25">
        <v>54</v>
      </c>
      <c r="D1756" s="13" t="s">
        <v>1642</v>
      </c>
      <c r="E1756" s="111"/>
      <c r="F1756" s="113" t="s">
        <v>5367</v>
      </c>
      <c r="G1756" s="114"/>
      <c r="H1756" s="115"/>
      <c r="I1756" s="24" t="s">
        <v>1559</v>
      </c>
      <c r="J1756" s="116">
        <v>4.5</v>
      </c>
      <c r="K1756" s="118">
        <v>1510000</v>
      </c>
      <c r="L1756" s="119"/>
      <c r="M1756" s="118">
        <f>K1756*0.1</f>
        <v>151000</v>
      </c>
      <c r="N1756" s="119"/>
      <c r="O1756" s="118">
        <v>0</v>
      </c>
      <c r="P1756" s="119"/>
      <c r="Q1756" s="118">
        <v>8640</v>
      </c>
      <c r="R1756" s="119"/>
      <c r="S1756" s="118">
        <v>44000</v>
      </c>
      <c r="T1756" s="119"/>
      <c r="U1756" s="118">
        <f>SUM(K1756:T1757)</f>
        <v>1713640</v>
      </c>
      <c r="V1756" s="122"/>
      <c r="W1756" s="124"/>
      <c r="X1756" s="126" t="s">
        <v>8516</v>
      </c>
      <c r="Y1756" s="127"/>
      <c r="Z1756" s="127"/>
      <c r="AA1756" s="127"/>
      <c r="AB1756" s="128"/>
      <c r="AC1756" s="15" t="s">
        <v>20</v>
      </c>
      <c r="AD1756" s="129" t="s">
        <v>171</v>
      </c>
      <c r="AE1756" s="130"/>
      <c r="AF1756" s="130"/>
      <c r="AG1756" s="130"/>
      <c r="AH1756" s="130"/>
      <c r="AI1756" s="131"/>
      <c r="AJ1756" s="132"/>
      <c r="AK1756" s="127"/>
      <c r="AL1756" s="128"/>
      <c r="AM1756" s="21"/>
      <c r="AN1756" s="133">
        <v>45944</v>
      </c>
      <c r="AO1756" s="134"/>
      <c r="AP1756" s="135">
        <v>1913</v>
      </c>
      <c r="AQ1756" s="136"/>
      <c r="AR1756" s="118">
        <v>1714000</v>
      </c>
      <c r="AS1756" s="119"/>
      <c r="AT1756" s="118">
        <f>AR1756*0.1</f>
        <v>171400</v>
      </c>
      <c r="AU1756" s="119"/>
      <c r="AV1756" s="118">
        <v>8640</v>
      </c>
      <c r="AW1756" s="119"/>
      <c r="AX1756" s="118">
        <f>SUM(AR1756:AW1756)</f>
        <v>1894040</v>
      </c>
      <c r="AY1756" s="119"/>
      <c r="AZ1756" s="137">
        <v>45950</v>
      </c>
    </row>
    <row r="1757" spans="1:52" ht="17.100000000000001" customHeight="1" thickBot="1">
      <c r="A1757" s="110"/>
      <c r="B1757" s="27" t="s">
        <v>4544</v>
      </c>
      <c r="C1757" s="27">
        <v>2007</v>
      </c>
      <c r="D1757" s="14" t="s">
        <v>1556</v>
      </c>
      <c r="E1757" s="112"/>
      <c r="F1757" s="139" t="s">
        <v>5368</v>
      </c>
      <c r="G1757" s="140"/>
      <c r="H1757" s="141"/>
      <c r="I1757" s="26">
        <v>34360</v>
      </c>
      <c r="J1757" s="117"/>
      <c r="K1757" s="120"/>
      <c r="L1757" s="121"/>
      <c r="M1757" s="120"/>
      <c r="N1757" s="121"/>
      <c r="O1757" s="120"/>
      <c r="P1757" s="121"/>
      <c r="Q1757" s="120"/>
      <c r="R1757" s="121"/>
      <c r="S1757" s="120"/>
      <c r="T1757" s="121"/>
      <c r="U1757" s="120"/>
      <c r="V1757" s="123"/>
      <c r="W1757" s="125"/>
      <c r="X1757" s="142" t="s">
        <v>5052</v>
      </c>
      <c r="Y1757" s="143"/>
      <c r="Z1757" s="143"/>
      <c r="AA1757" s="143"/>
      <c r="AB1757" s="144"/>
      <c r="AC1757" s="16" t="s">
        <v>21</v>
      </c>
      <c r="AD1757" s="17" t="s">
        <v>1648</v>
      </c>
      <c r="AE1757" s="145" t="s">
        <v>171</v>
      </c>
      <c r="AF1757" s="146"/>
      <c r="AG1757" s="146"/>
      <c r="AH1757" s="146"/>
      <c r="AI1757" s="147"/>
      <c r="AJ1757" s="148"/>
      <c r="AK1757" s="143"/>
      <c r="AL1757" s="144"/>
      <c r="AM1757" s="22"/>
      <c r="AN1757" s="149" t="s">
        <v>2131</v>
      </c>
      <c r="AO1757" s="144"/>
      <c r="AP1757" s="148">
        <v>3439</v>
      </c>
      <c r="AQ1757" s="144"/>
      <c r="AR1757" s="120"/>
      <c r="AS1757" s="121"/>
      <c r="AT1757" s="120"/>
      <c r="AU1757" s="121"/>
      <c r="AV1757" s="120"/>
      <c r="AW1757" s="121"/>
      <c r="AX1757" s="120"/>
      <c r="AY1757" s="121"/>
      <c r="AZ1757" s="138"/>
    </row>
    <row r="1758" spans="1:52" ht="17.100000000000001" customHeight="1" thickTop="1">
      <c r="A1758" s="109" t="s">
        <v>6615</v>
      </c>
      <c r="B1758" s="28">
        <v>45926</v>
      </c>
      <c r="C1758" s="25">
        <v>259</v>
      </c>
      <c r="D1758" s="13" t="s">
        <v>4824</v>
      </c>
      <c r="E1758" s="111"/>
      <c r="F1758" s="113" t="s">
        <v>5369</v>
      </c>
      <c r="G1758" s="114"/>
      <c r="H1758" s="115"/>
      <c r="I1758" s="24"/>
      <c r="J1758" s="116">
        <v>3.5</v>
      </c>
      <c r="K1758" s="118">
        <v>221000</v>
      </c>
      <c r="L1758" s="119"/>
      <c r="M1758" s="118">
        <f>K1758*0.1</f>
        <v>22100</v>
      </c>
      <c r="N1758" s="119"/>
      <c r="O1758" s="118">
        <v>0</v>
      </c>
      <c r="P1758" s="119"/>
      <c r="Q1758" s="118">
        <v>8460</v>
      </c>
      <c r="R1758" s="119"/>
      <c r="S1758" s="118">
        <v>22000</v>
      </c>
      <c r="T1758" s="119"/>
      <c r="U1758" s="118">
        <f>SUM(K1758:T1759)</f>
        <v>273560</v>
      </c>
      <c r="V1758" s="122"/>
      <c r="W1758" s="124"/>
      <c r="X1758" s="126" t="s">
        <v>6918</v>
      </c>
      <c r="Y1758" s="127"/>
      <c r="Z1758" s="127"/>
      <c r="AA1758" s="127"/>
      <c r="AB1758" s="128"/>
      <c r="AC1758" s="15" t="s">
        <v>20</v>
      </c>
      <c r="AD1758" s="129"/>
      <c r="AE1758" s="130"/>
      <c r="AF1758" s="130"/>
      <c r="AG1758" s="130"/>
      <c r="AH1758" s="130"/>
      <c r="AI1758" s="131"/>
      <c r="AJ1758" s="132"/>
      <c r="AK1758" s="127"/>
      <c r="AL1758" s="128"/>
      <c r="AM1758" s="21"/>
      <c r="AN1758" s="133">
        <v>45934</v>
      </c>
      <c r="AO1758" s="134"/>
      <c r="AP1758" s="135">
        <v>1270</v>
      </c>
      <c r="AQ1758" s="136"/>
      <c r="AR1758" s="118">
        <v>300000</v>
      </c>
      <c r="AS1758" s="119"/>
      <c r="AT1758" s="118">
        <f>AR1758*0.1</f>
        <v>30000</v>
      </c>
      <c r="AU1758" s="119"/>
      <c r="AV1758" s="118">
        <v>8460</v>
      </c>
      <c r="AW1758" s="119"/>
      <c r="AX1758" s="118">
        <f>SUM(AR1758:AW1758)</f>
        <v>338460</v>
      </c>
      <c r="AY1758" s="119"/>
      <c r="AZ1758" s="137">
        <v>45937</v>
      </c>
    </row>
    <row r="1759" spans="1:52" ht="17.100000000000001" customHeight="1" thickBot="1">
      <c r="A1759" s="110"/>
      <c r="B1759" s="27" t="s">
        <v>5050</v>
      </c>
      <c r="C1759" s="27">
        <v>37</v>
      </c>
      <c r="D1759" s="14" t="s">
        <v>3327</v>
      </c>
      <c r="E1759" s="112"/>
      <c r="F1759" s="139" t="s">
        <v>5370</v>
      </c>
      <c r="G1759" s="140"/>
      <c r="H1759" s="141"/>
      <c r="I1759" s="26">
        <v>52780</v>
      </c>
      <c r="J1759" s="117"/>
      <c r="K1759" s="120"/>
      <c r="L1759" s="121"/>
      <c r="M1759" s="120"/>
      <c r="N1759" s="121"/>
      <c r="O1759" s="120"/>
      <c r="P1759" s="121"/>
      <c r="Q1759" s="120"/>
      <c r="R1759" s="121"/>
      <c r="S1759" s="120"/>
      <c r="T1759" s="121"/>
      <c r="U1759" s="120"/>
      <c r="V1759" s="123"/>
      <c r="W1759" s="125"/>
      <c r="X1759" s="142" t="s">
        <v>6919</v>
      </c>
      <c r="Y1759" s="143"/>
      <c r="Z1759" s="143"/>
      <c r="AA1759" s="143"/>
      <c r="AB1759" s="144"/>
      <c r="AC1759" s="16" t="s">
        <v>21</v>
      </c>
      <c r="AD1759" s="17" t="s">
        <v>6834</v>
      </c>
      <c r="AE1759" s="145"/>
      <c r="AF1759" s="146"/>
      <c r="AG1759" s="146"/>
      <c r="AH1759" s="146"/>
      <c r="AI1759" s="147"/>
      <c r="AJ1759" s="148"/>
      <c r="AK1759" s="143"/>
      <c r="AL1759" s="144"/>
      <c r="AM1759" s="22"/>
      <c r="AN1759" s="149" t="s">
        <v>7284</v>
      </c>
      <c r="AO1759" s="144"/>
      <c r="AP1759" s="148">
        <v>60018</v>
      </c>
      <c r="AQ1759" s="144"/>
      <c r="AR1759" s="120"/>
      <c r="AS1759" s="121"/>
      <c r="AT1759" s="120"/>
      <c r="AU1759" s="121"/>
      <c r="AV1759" s="120"/>
      <c r="AW1759" s="121"/>
      <c r="AX1759" s="120"/>
      <c r="AY1759" s="121"/>
      <c r="AZ1759" s="138"/>
    </row>
    <row r="1760" spans="1:52" ht="17.100000000000001" customHeight="1" thickTop="1">
      <c r="A1760" s="109" t="s">
        <v>6616</v>
      </c>
      <c r="B1760" s="28">
        <v>45926</v>
      </c>
      <c r="C1760" s="25">
        <v>259</v>
      </c>
      <c r="D1760" s="13" t="s">
        <v>4835</v>
      </c>
      <c r="E1760" s="111"/>
      <c r="F1760" s="113" t="s">
        <v>5371</v>
      </c>
      <c r="G1760" s="114"/>
      <c r="H1760" s="115"/>
      <c r="I1760" s="24"/>
      <c r="J1760" s="116">
        <v>4</v>
      </c>
      <c r="K1760" s="118">
        <v>288000</v>
      </c>
      <c r="L1760" s="119"/>
      <c r="M1760" s="118">
        <f>K1760*0.1</f>
        <v>28800</v>
      </c>
      <c r="N1760" s="119"/>
      <c r="O1760" s="118">
        <v>0</v>
      </c>
      <c r="P1760" s="119"/>
      <c r="Q1760" s="118">
        <v>7860</v>
      </c>
      <c r="R1760" s="119"/>
      <c r="S1760" s="118">
        <v>22000</v>
      </c>
      <c r="T1760" s="119"/>
      <c r="U1760" s="118">
        <f>SUM(K1760:T1761)</f>
        <v>346660</v>
      </c>
      <c r="V1760" s="122"/>
      <c r="W1760" s="124"/>
      <c r="X1760" s="126" t="s">
        <v>6912</v>
      </c>
      <c r="Y1760" s="127"/>
      <c r="Z1760" s="127"/>
      <c r="AA1760" s="127"/>
      <c r="AB1760" s="128"/>
      <c r="AC1760" s="15" t="s">
        <v>20</v>
      </c>
      <c r="AD1760" s="129"/>
      <c r="AE1760" s="130"/>
      <c r="AF1760" s="130"/>
      <c r="AG1760" s="130"/>
      <c r="AH1760" s="130"/>
      <c r="AI1760" s="131"/>
      <c r="AJ1760" s="132"/>
      <c r="AK1760" s="127"/>
      <c r="AL1760" s="128"/>
      <c r="AM1760" s="21"/>
      <c r="AN1760" s="133">
        <v>45934</v>
      </c>
      <c r="AO1760" s="134"/>
      <c r="AP1760" s="135">
        <v>1270</v>
      </c>
      <c r="AQ1760" s="136"/>
      <c r="AR1760" s="118">
        <v>375000</v>
      </c>
      <c r="AS1760" s="119"/>
      <c r="AT1760" s="118">
        <f>AR1760*0.1</f>
        <v>37500</v>
      </c>
      <c r="AU1760" s="119"/>
      <c r="AV1760" s="118">
        <v>7860</v>
      </c>
      <c r="AW1760" s="119"/>
      <c r="AX1760" s="118">
        <f>SUM(AR1760:AW1760)</f>
        <v>420360</v>
      </c>
      <c r="AY1760" s="119"/>
      <c r="AZ1760" s="137">
        <v>45937</v>
      </c>
    </row>
    <row r="1761" spans="1:52" ht="17.100000000000001" customHeight="1" thickBot="1">
      <c r="A1761" s="110"/>
      <c r="B1761" s="27" t="s">
        <v>5050</v>
      </c>
      <c r="C1761" s="27">
        <v>60</v>
      </c>
      <c r="D1761" s="14" t="s">
        <v>1592</v>
      </c>
      <c r="E1761" s="112"/>
      <c r="F1761" s="139" t="s">
        <v>5372</v>
      </c>
      <c r="G1761" s="140"/>
      <c r="H1761" s="141"/>
      <c r="I1761" s="26">
        <v>63980</v>
      </c>
      <c r="J1761" s="117"/>
      <c r="K1761" s="120"/>
      <c r="L1761" s="121"/>
      <c r="M1761" s="120"/>
      <c r="N1761" s="121"/>
      <c r="O1761" s="120"/>
      <c r="P1761" s="121"/>
      <c r="Q1761" s="120"/>
      <c r="R1761" s="121"/>
      <c r="S1761" s="120"/>
      <c r="T1761" s="121"/>
      <c r="U1761" s="120"/>
      <c r="V1761" s="123"/>
      <c r="W1761" s="125"/>
      <c r="X1761" s="142" t="s">
        <v>4423</v>
      </c>
      <c r="Y1761" s="143"/>
      <c r="Z1761" s="143"/>
      <c r="AA1761" s="143"/>
      <c r="AB1761" s="144"/>
      <c r="AC1761" s="16" t="s">
        <v>21</v>
      </c>
      <c r="AD1761" s="17" t="s">
        <v>6716</v>
      </c>
      <c r="AE1761" s="145" t="s">
        <v>171</v>
      </c>
      <c r="AF1761" s="146"/>
      <c r="AG1761" s="146"/>
      <c r="AH1761" s="146"/>
      <c r="AI1761" s="147"/>
      <c r="AJ1761" s="148"/>
      <c r="AK1761" s="143"/>
      <c r="AL1761" s="144"/>
      <c r="AM1761" s="22"/>
      <c r="AN1761" s="149" t="s">
        <v>7284</v>
      </c>
      <c r="AO1761" s="144"/>
      <c r="AP1761" s="148">
        <v>60419</v>
      </c>
      <c r="AQ1761" s="144"/>
      <c r="AR1761" s="120"/>
      <c r="AS1761" s="121"/>
      <c r="AT1761" s="120"/>
      <c r="AU1761" s="121"/>
      <c r="AV1761" s="120"/>
      <c r="AW1761" s="121"/>
      <c r="AX1761" s="120"/>
      <c r="AY1761" s="121"/>
      <c r="AZ1761" s="138"/>
    </row>
    <row r="1762" spans="1:52" ht="17.100000000000001" customHeight="1" thickTop="1">
      <c r="A1762" s="109" t="s">
        <v>6617</v>
      </c>
      <c r="B1762" s="28">
        <v>45926</v>
      </c>
      <c r="C1762" s="25">
        <v>259</v>
      </c>
      <c r="D1762" s="13" t="s">
        <v>1879</v>
      </c>
      <c r="E1762" s="111"/>
      <c r="F1762" s="113" t="s">
        <v>5373</v>
      </c>
      <c r="G1762" s="114"/>
      <c r="H1762" s="115"/>
      <c r="I1762" s="24"/>
      <c r="J1762" s="116">
        <v>4</v>
      </c>
      <c r="K1762" s="118">
        <v>246000</v>
      </c>
      <c r="L1762" s="119"/>
      <c r="M1762" s="118">
        <f>K1762*0.1</f>
        <v>24600</v>
      </c>
      <c r="N1762" s="119"/>
      <c r="O1762" s="118">
        <v>0</v>
      </c>
      <c r="P1762" s="119"/>
      <c r="Q1762" s="118">
        <v>5070</v>
      </c>
      <c r="R1762" s="119"/>
      <c r="S1762" s="118">
        <v>22000</v>
      </c>
      <c r="T1762" s="119"/>
      <c r="U1762" s="118">
        <f>SUM(K1762:T1763)</f>
        <v>297670</v>
      </c>
      <c r="V1762" s="122"/>
      <c r="W1762" s="124"/>
      <c r="X1762" s="126" t="s">
        <v>6898</v>
      </c>
      <c r="Y1762" s="127"/>
      <c r="Z1762" s="127"/>
      <c r="AA1762" s="127"/>
      <c r="AB1762" s="128"/>
      <c r="AC1762" s="15" t="s">
        <v>20</v>
      </c>
      <c r="AD1762" s="129"/>
      <c r="AE1762" s="130"/>
      <c r="AF1762" s="130"/>
      <c r="AG1762" s="130"/>
      <c r="AH1762" s="130"/>
      <c r="AI1762" s="131"/>
      <c r="AJ1762" s="132"/>
      <c r="AK1762" s="127"/>
      <c r="AL1762" s="128"/>
      <c r="AM1762" s="21"/>
      <c r="AN1762" s="133">
        <v>45962</v>
      </c>
      <c r="AO1762" s="134"/>
      <c r="AP1762" s="135">
        <v>1274</v>
      </c>
      <c r="AQ1762" s="136"/>
      <c r="AR1762" s="118">
        <v>289000</v>
      </c>
      <c r="AS1762" s="119"/>
      <c r="AT1762" s="118">
        <f>AR1762*0.1</f>
        <v>28900</v>
      </c>
      <c r="AU1762" s="119"/>
      <c r="AV1762" s="118">
        <v>5070</v>
      </c>
      <c r="AW1762" s="119"/>
      <c r="AX1762" s="118">
        <f>SUM(AR1762:AW1762)</f>
        <v>322970</v>
      </c>
      <c r="AY1762" s="119"/>
      <c r="AZ1762" s="137">
        <v>45965</v>
      </c>
    </row>
    <row r="1763" spans="1:52" ht="17.100000000000001" customHeight="1" thickBot="1">
      <c r="A1763" s="110"/>
      <c r="B1763" s="27" t="s">
        <v>5050</v>
      </c>
      <c r="C1763" s="27">
        <v>100</v>
      </c>
      <c r="D1763" s="14" t="s">
        <v>1592</v>
      </c>
      <c r="E1763" s="112"/>
      <c r="F1763" s="139" t="s">
        <v>5374</v>
      </c>
      <c r="G1763" s="140"/>
      <c r="H1763" s="141"/>
      <c r="I1763" s="26">
        <v>55697</v>
      </c>
      <c r="J1763" s="117"/>
      <c r="K1763" s="120"/>
      <c r="L1763" s="121"/>
      <c r="M1763" s="120"/>
      <c r="N1763" s="121"/>
      <c r="O1763" s="120"/>
      <c r="P1763" s="121"/>
      <c r="Q1763" s="120"/>
      <c r="R1763" s="121"/>
      <c r="S1763" s="120"/>
      <c r="T1763" s="121"/>
      <c r="U1763" s="120"/>
      <c r="V1763" s="123"/>
      <c r="W1763" s="125"/>
      <c r="X1763" s="142" t="s">
        <v>6899</v>
      </c>
      <c r="Y1763" s="143"/>
      <c r="Z1763" s="143"/>
      <c r="AA1763" s="143"/>
      <c r="AB1763" s="144"/>
      <c r="AC1763" s="16" t="s">
        <v>21</v>
      </c>
      <c r="AD1763" s="17" t="s">
        <v>6716</v>
      </c>
      <c r="AE1763" s="145"/>
      <c r="AF1763" s="146"/>
      <c r="AG1763" s="146"/>
      <c r="AH1763" s="146"/>
      <c r="AI1763" s="147"/>
      <c r="AJ1763" s="148"/>
      <c r="AK1763" s="143"/>
      <c r="AL1763" s="144"/>
      <c r="AM1763" s="22"/>
      <c r="AN1763" s="149" t="s">
        <v>2511</v>
      </c>
      <c r="AO1763" s="144"/>
      <c r="AP1763" s="148">
        <v>63027</v>
      </c>
      <c r="AQ1763" s="144"/>
      <c r="AR1763" s="120"/>
      <c r="AS1763" s="121"/>
      <c r="AT1763" s="120"/>
      <c r="AU1763" s="121"/>
      <c r="AV1763" s="120"/>
      <c r="AW1763" s="121"/>
      <c r="AX1763" s="120"/>
      <c r="AY1763" s="121"/>
      <c r="AZ1763" s="138"/>
    </row>
    <row r="1764" spans="1:52" ht="17.100000000000001" customHeight="1" thickTop="1">
      <c r="A1764" s="109" t="s">
        <v>6618</v>
      </c>
      <c r="B1764" s="28">
        <v>45926</v>
      </c>
      <c r="C1764" s="25">
        <v>259</v>
      </c>
      <c r="D1764" s="13" t="s">
        <v>1823</v>
      </c>
      <c r="E1764" s="111"/>
      <c r="F1764" s="113" t="s">
        <v>5375</v>
      </c>
      <c r="G1764" s="114"/>
      <c r="H1764" s="115"/>
      <c r="I1764" s="24" t="s">
        <v>4193</v>
      </c>
      <c r="J1764" s="116">
        <v>4</v>
      </c>
      <c r="K1764" s="118">
        <v>255000</v>
      </c>
      <c r="L1764" s="119"/>
      <c r="M1764" s="118">
        <f>K1764*0.1</f>
        <v>25500</v>
      </c>
      <c r="N1764" s="119"/>
      <c r="O1764" s="118">
        <v>0</v>
      </c>
      <c r="P1764" s="119"/>
      <c r="Q1764" s="118">
        <v>9770</v>
      </c>
      <c r="R1764" s="119"/>
      <c r="S1764" s="118">
        <v>22000</v>
      </c>
      <c r="T1764" s="119"/>
      <c r="U1764" s="118">
        <f>SUM(K1764:T1765)</f>
        <v>312270</v>
      </c>
      <c r="V1764" s="122"/>
      <c r="W1764" s="124"/>
      <c r="X1764" s="126" t="s">
        <v>6895</v>
      </c>
      <c r="Y1764" s="127"/>
      <c r="Z1764" s="127"/>
      <c r="AA1764" s="127"/>
      <c r="AB1764" s="128"/>
      <c r="AC1764" s="15" t="s">
        <v>20</v>
      </c>
      <c r="AD1764" s="129" t="s">
        <v>5376</v>
      </c>
      <c r="AE1764" s="130"/>
      <c r="AF1764" s="130"/>
      <c r="AG1764" s="130"/>
      <c r="AH1764" s="130"/>
      <c r="AI1764" s="131"/>
      <c r="AJ1764" s="132"/>
      <c r="AK1764" s="127"/>
      <c r="AL1764" s="128"/>
      <c r="AM1764" s="21" t="s">
        <v>7710</v>
      </c>
      <c r="AN1764" s="133">
        <v>45934</v>
      </c>
      <c r="AO1764" s="134"/>
      <c r="AP1764" s="135">
        <v>1270</v>
      </c>
      <c r="AQ1764" s="136"/>
      <c r="AR1764" s="118">
        <v>330000</v>
      </c>
      <c r="AS1764" s="119"/>
      <c r="AT1764" s="118">
        <f>AR1764*0.1</f>
        <v>33000</v>
      </c>
      <c r="AU1764" s="119"/>
      <c r="AV1764" s="118">
        <v>9770</v>
      </c>
      <c r="AW1764" s="119"/>
      <c r="AX1764" s="118">
        <f>SUM(AR1764:AW1764)</f>
        <v>372770</v>
      </c>
      <c r="AY1764" s="119"/>
      <c r="AZ1764" s="137">
        <v>45944</v>
      </c>
    </row>
    <row r="1765" spans="1:52" ht="17.100000000000001" customHeight="1" thickBot="1">
      <c r="A1765" s="110"/>
      <c r="B1765" s="27" t="s">
        <v>5050</v>
      </c>
      <c r="C1765" s="27">
        <v>115</v>
      </c>
      <c r="D1765" s="14" t="s">
        <v>1812</v>
      </c>
      <c r="E1765" s="112"/>
      <c r="F1765" s="139" t="s">
        <v>5377</v>
      </c>
      <c r="G1765" s="140"/>
      <c r="H1765" s="141"/>
      <c r="I1765" s="26">
        <v>51599</v>
      </c>
      <c r="J1765" s="117"/>
      <c r="K1765" s="120"/>
      <c r="L1765" s="121"/>
      <c r="M1765" s="120"/>
      <c r="N1765" s="121"/>
      <c r="O1765" s="120"/>
      <c r="P1765" s="121"/>
      <c r="Q1765" s="120"/>
      <c r="R1765" s="121"/>
      <c r="S1765" s="120"/>
      <c r="T1765" s="121"/>
      <c r="U1765" s="120"/>
      <c r="V1765" s="123"/>
      <c r="W1765" s="125"/>
      <c r="X1765" s="142" t="s">
        <v>2659</v>
      </c>
      <c r="Y1765" s="143"/>
      <c r="Z1765" s="143"/>
      <c r="AA1765" s="143"/>
      <c r="AB1765" s="144"/>
      <c r="AC1765" s="16" t="s">
        <v>21</v>
      </c>
      <c r="AD1765" s="17" t="s">
        <v>6716</v>
      </c>
      <c r="AE1765" s="145" t="s">
        <v>6896</v>
      </c>
      <c r="AF1765" s="146"/>
      <c r="AG1765" s="146"/>
      <c r="AH1765" s="146"/>
      <c r="AI1765" s="147"/>
      <c r="AJ1765" s="148"/>
      <c r="AK1765" s="143"/>
      <c r="AL1765" s="144"/>
      <c r="AM1765" s="22"/>
      <c r="AN1765" s="149" t="s">
        <v>6748</v>
      </c>
      <c r="AO1765" s="144"/>
      <c r="AP1765" s="148">
        <v>60033</v>
      </c>
      <c r="AQ1765" s="144"/>
      <c r="AR1765" s="120"/>
      <c r="AS1765" s="121"/>
      <c r="AT1765" s="120"/>
      <c r="AU1765" s="121"/>
      <c r="AV1765" s="120"/>
      <c r="AW1765" s="121"/>
      <c r="AX1765" s="120"/>
      <c r="AY1765" s="121"/>
      <c r="AZ1765" s="138"/>
    </row>
    <row r="1766" spans="1:52" ht="17.100000000000001" customHeight="1" thickTop="1">
      <c r="A1766" s="109" t="s">
        <v>6619</v>
      </c>
      <c r="B1766" s="28">
        <v>45926</v>
      </c>
      <c r="C1766" s="25">
        <v>259</v>
      </c>
      <c r="D1766" s="13" t="s">
        <v>4443</v>
      </c>
      <c r="E1766" s="111"/>
      <c r="F1766" s="113" t="s">
        <v>5378</v>
      </c>
      <c r="G1766" s="114"/>
      <c r="H1766" s="115"/>
      <c r="I1766" s="24"/>
      <c r="J1766" s="116">
        <v>4.5</v>
      </c>
      <c r="K1766" s="118">
        <v>384000</v>
      </c>
      <c r="L1766" s="119"/>
      <c r="M1766" s="118">
        <f>K1766*0.1</f>
        <v>38400</v>
      </c>
      <c r="N1766" s="119"/>
      <c r="O1766" s="118">
        <v>0</v>
      </c>
      <c r="P1766" s="119"/>
      <c r="Q1766" s="118">
        <v>7720</v>
      </c>
      <c r="R1766" s="119"/>
      <c r="S1766" s="118">
        <v>22000</v>
      </c>
      <c r="T1766" s="119"/>
      <c r="U1766" s="118">
        <f>SUM(K1766:T1767)</f>
        <v>452120</v>
      </c>
      <c r="V1766" s="122"/>
      <c r="W1766" s="124"/>
      <c r="X1766" s="126" t="s">
        <v>6897</v>
      </c>
      <c r="Y1766" s="127"/>
      <c r="Z1766" s="127"/>
      <c r="AA1766" s="127"/>
      <c r="AB1766" s="128"/>
      <c r="AC1766" s="15" t="s">
        <v>20</v>
      </c>
      <c r="AD1766" s="129"/>
      <c r="AE1766" s="130"/>
      <c r="AF1766" s="130"/>
      <c r="AG1766" s="130"/>
      <c r="AH1766" s="130"/>
      <c r="AI1766" s="131"/>
      <c r="AJ1766" s="132"/>
      <c r="AK1766" s="127"/>
      <c r="AL1766" s="128"/>
      <c r="AM1766" s="21"/>
      <c r="AN1766" s="133">
        <v>45934</v>
      </c>
      <c r="AO1766" s="134"/>
      <c r="AP1766" s="135">
        <v>1270</v>
      </c>
      <c r="AQ1766" s="136"/>
      <c r="AR1766" s="118">
        <v>410000</v>
      </c>
      <c r="AS1766" s="119"/>
      <c r="AT1766" s="118">
        <f>AR1766*0.1</f>
        <v>41000</v>
      </c>
      <c r="AU1766" s="119"/>
      <c r="AV1766" s="118">
        <v>7720</v>
      </c>
      <c r="AW1766" s="119"/>
      <c r="AX1766" s="118">
        <f>SUM(AR1766:AW1766)</f>
        <v>458720</v>
      </c>
      <c r="AY1766" s="119"/>
      <c r="AZ1766" s="137">
        <v>45937</v>
      </c>
    </row>
    <row r="1767" spans="1:52" ht="17.100000000000001" customHeight="1" thickBot="1">
      <c r="A1767" s="110"/>
      <c r="B1767" s="27" t="s">
        <v>5050</v>
      </c>
      <c r="C1767" s="27">
        <v>116</v>
      </c>
      <c r="D1767" s="14" t="s">
        <v>1592</v>
      </c>
      <c r="E1767" s="112"/>
      <c r="F1767" s="139" t="s">
        <v>5379</v>
      </c>
      <c r="G1767" s="140"/>
      <c r="H1767" s="141"/>
      <c r="I1767" s="26">
        <v>24681</v>
      </c>
      <c r="J1767" s="117"/>
      <c r="K1767" s="120"/>
      <c r="L1767" s="121"/>
      <c r="M1767" s="120"/>
      <c r="N1767" s="121"/>
      <c r="O1767" s="120"/>
      <c r="P1767" s="121"/>
      <c r="Q1767" s="120"/>
      <c r="R1767" s="121"/>
      <c r="S1767" s="120"/>
      <c r="T1767" s="121"/>
      <c r="U1767" s="120"/>
      <c r="V1767" s="123"/>
      <c r="W1767" s="125"/>
      <c r="X1767" s="142" t="s">
        <v>2659</v>
      </c>
      <c r="Y1767" s="143"/>
      <c r="Z1767" s="143"/>
      <c r="AA1767" s="143"/>
      <c r="AB1767" s="144"/>
      <c r="AC1767" s="16" t="s">
        <v>21</v>
      </c>
      <c r="AD1767" s="17" t="s">
        <v>6716</v>
      </c>
      <c r="AE1767" s="145"/>
      <c r="AF1767" s="146"/>
      <c r="AG1767" s="146"/>
      <c r="AH1767" s="146"/>
      <c r="AI1767" s="147"/>
      <c r="AJ1767" s="148"/>
      <c r="AK1767" s="143"/>
      <c r="AL1767" s="144"/>
      <c r="AM1767" s="22"/>
      <c r="AN1767" s="149" t="s">
        <v>7284</v>
      </c>
      <c r="AO1767" s="144"/>
      <c r="AP1767" s="148">
        <v>60043</v>
      </c>
      <c r="AQ1767" s="144"/>
      <c r="AR1767" s="120"/>
      <c r="AS1767" s="121"/>
      <c r="AT1767" s="120"/>
      <c r="AU1767" s="121"/>
      <c r="AV1767" s="120"/>
      <c r="AW1767" s="121"/>
      <c r="AX1767" s="120"/>
      <c r="AY1767" s="121"/>
      <c r="AZ1767" s="138"/>
    </row>
    <row r="1768" spans="1:52" ht="17.100000000000001" customHeight="1" thickTop="1">
      <c r="A1768" s="109" t="s">
        <v>6620</v>
      </c>
      <c r="B1768" s="28">
        <v>45926</v>
      </c>
      <c r="C1768" s="25">
        <v>259</v>
      </c>
      <c r="D1768" s="13" t="s">
        <v>5380</v>
      </c>
      <c r="E1768" s="111"/>
      <c r="F1768" s="113" t="s">
        <v>5381</v>
      </c>
      <c r="G1768" s="114"/>
      <c r="H1768" s="115"/>
      <c r="I1768" s="24" t="s">
        <v>2571</v>
      </c>
      <c r="J1768" s="116">
        <v>3.5</v>
      </c>
      <c r="K1768" s="118">
        <v>237000</v>
      </c>
      <c r="L1768" s="119"/>
      <c r="M1768" s="118">
        <f>K1768*0.1</f>
        <v>23700</v>
      </c>
      <c r="N1768" s="119"/>
      <c r="O1768" s="118">
        <v>0</v>
      </c>
      <c r="P1768" s="119"/>
      <c r="Q1768" s="118">
        <v>8670</v>
      </c>
      <c r="R1768" s="119"/>
      <c r="S1768" s="118">
        <v>22000</v>
      </c>
      <c r="T1768" s="119"/>
      <c r="U1768" s="118">
        <f>SUM(K1768:T1769)</f>
        <v>291370</v>
      </c>
      <c r="V1768" s="122"/>
      <c r="W1768" s="124"/>
      <c r="X1768" s="126" t="s">
        <v>5382</v>
      </c>
      <c r="Y1768" s="127"/>
      <c r="Z1768" s="127"/>
      <c r="AA1768" s="127"/>
      <c r="AB1768" s="128"/>
      <c r="AC1768" s="15" t="s">
        <v>20</v>
      </c>
      <c r="AD1768" s="129"/>
      <c r="AE1768" s="130"/>
      <c r="AF1768" s="130"/>
      <c r="AG1768" s="130"/>
      <c r="AH1768" s="130"/>
      <c r="AI1768" s="131"/>
      <c r="AJ1768" s="132"/>
      <c r="AK1768" s="127"/>
      <c r="AL1768" s="128"/>
      <c r="AM1768" s="21"/>
      <c r="AN1768" s="133">
        <v>45936</v>
      </c>
      <c r="AO1768" s="134"/>
      <c r="AP1768" s="135"/>
      <c r="AQ1768" s="136"/>
      <c r="AR1768" s="118">
        <v>380000</v>
      </c>
      <c r="AS1768" s="119"/>
      <c r="AT1768" s="118">
        <f>AR1768*0.1</f>
        <v>38000</v>
      </c>
      <c r="AU1768" s="119"/>
      <c r="AV1768" s="118">
        <v>8670</v>
      </c>
      <c r="AW1768" s="119"/>
      <c r="AX1768" s="118">
        <f>SUM(AR1768:AW1768)</f>
        <v>426670</v>
      </c>
      <c r="AY1768" s="119"/>
      <c r="AZ1768" s="137"/>
    </row>
    <row r="1769" spans="1:52" ht="17.100000000000001" customHeight="1" thickBot="1">
      <c r="A1769" s="110"/>
      <c r="B1769" s="27" t="s">
        <v>5050</v>
      </c>
      <c r="C1769" s="27">
        <v>20065</v>
      </c>
      <c r="D1769" s="14" t="s">
        <v>904</v>
      </c>
      <c r="E1769" s="112"/>
      <c r="F1769" s="139" t="s">
        <v>5383</v>
      </c>
      <c r="G1769" s="140"/>
      <c r="H1769" s="141"/>
      <c r="I1769" s="26">
        <v>57613</v>
      </c>
      <c r="J1769" s="117"/>
      <c r="K1769" s="120"/>
      <c r="L1769" s="121"/>
      <c r="M1769" s="120"/>
      <c r="N1769" s="121"/>
      <c r="O1769" s="120"/>
      <c r="P1769" s="121"/>
      <c r="Q1769" s="120"/>
      <c r="R1769" s="121"/>
      <c r="S1769" s="120"/>
      <c r="T1769" s="121"/>
      <c r="U1769" s="120"/>
      <c r="V1769" s="123"/>
      <c r="W1769" s="125"/>
      <c r="X1769" s="142" t="s">
        <v>6913</v>
      </c>
      <c r="Y1769" s="143"/>
      <c r="Z1769" s="143"/>
      <c r="AA1769" s="143"/>
      <c r="AB1769" s="144"/>
      <c r="AC1769" s="16" t="s">
        <v>21</v>
      </c>
      <c r="AD1769" s="17" t="s">
        <v>6716</v>
      </c>
      <c r="AE1769" s="145"/>
      <c r="AF1769" s="146"/>
      <c r="AG1769" s="146"/>
      <c r="AH1769" s="146"/>
      <c r="AI1769" s="147"/>
      <c r="AJ1769" s="148"/>
      <c r="AK1769" s="143"/>
      <c r="AL1769" s="144"/>
      <c r="AM1769" s="22"/>
      <c r="AN1769" s="149" t="s">
        <v>6789</v>
      </c>
      <c r="AO1769" s="144"/>
      <c r="AP1769" s="148">
        <v>37026</v>
      </c>
      <c r="AQ1769" s="144"/>
      <c r="AR1769" s="120"/>
      <c r="AS1769" s="121"/>
      <c r="AT1769" s="120"/>
      <c r="AU1769" s="121"/>
      <c r="AV1769" s="120"/>
      <c r="AW1769" s="121"/>
      <c r="AX1769" s="120"/>
      <c r="AY1769" s="121"/>
      <c r="AZ1769" s="138"/>
    </row>
    <row r="1770" spans="1:52" ht="17.100000000000001" customHeight="1" thickTop="1">
      <c r="A1770" s="109" t="s">
        <v>6621</v>
      </c>
      <c r="B1770" s="28">
        <v>45926</v>
      </c>
      <c r="C1770" s="25">
        <v>2103</v>
      </c>
      <c r="D1770" s="13" t="s">
        <v>1986</v>
      </c>
      <c r="E1770" s="111"/>
      <c r="F1770" s="113" t="s">
        <v>5384</v>
      </c>
      <c r="G1770" s="114"/>
      <c r="H1770" s="115"/>
      <c r="I1770" s="24" t="s">
        <v>2943</v>
      </c>
      <c r="J1770" s="116">
        <v>4.5</v>
      </c>
      <c r="K1770" s="118">
        <v>1265000</v>
      </c>
      <c r="L1770" s="119"/>
      <c r="M1770" s="118">
        <f>K1770*0.1</f>
        <v>126500</v>
      </c>
      <c r="N1770" s="119"/>
      <c r="O1770" s="118">
        <f>15200+1520</f>
        <v>16720</v>
      </c>
      <c r="P1770" s="119"/>
      <c r="Q1770" s="118">
        <v>12370</v>
      </c>
      <c r="R1770" s="119"/>
      <c r="S1770" s="118">
        <v>16500</v>
      </c>
      <c r="T1770" s="119"/>
      <c r="U1770" s="118">
        <f>SUM(K1770:T1771)</f>
        <v>1437090</v>
      </c>
      <c r="V1770" s="122"/>
      <c r="W1770" s="124"/>
      <c r="X1770" s="126" t="s">
        <v>5385</v>
      </c>
      <c r="Y1770" s="127"/>
      <c r="Z1770" s="127"/>
      <c r="AA1770" s="127"/>
      <c r="AB1770" s="128"/>
      <c r="AC1770" s="15" t="s">
        <v>20</v>
      </c>
      <c r="AD1770" s="129" t="s">
        <v>171</v>
      </c>
      <c r="AE1770" s="130"/>
      <c r="AF1770" s="130"/>
      <c r="AG1770" s="130"/>
      <c r="AH1770" s="130"/>
      <c r="AI1770" s="131"/>
      <c r="AJ1770" s="132"/>
      <c r="AK1770" s="127"/>
      <c r="AL1770" s="128"/>
      <c r="AM1770" s="21"/>
      <c r="AN1770" s="133">
        <v>46004</v>
      </c>
      <c r="AO1770" s="134"/>
      <c r="AP1770" s="135">
        <v>1280</v>
      </c>
      <c r="AQ1770" s="136"/>
      <c r="AR1770" s="118">
        <v>1405000</v>
      </c>
      <c r="AS1770" s="119"/>
      <c r="AT1770" s="118">
        <f>AR1770*0.1</f>
        <v>140500</v>
      </c>
      <c r="AU1770" s="119"/>
      <c r="AV1770" s="118">
        <v>12370</v>
      </c>
      <c r="AW1770" s="119"/>
      <c r="AX1770" s="118">
        <f>SUM(AR1770:AW1770)</f>
        <v>1557870</v>
      </c>
      <c r="AY1770" s="119"/>
      <c r="AZ1770" s="137">
        <v>46007</v>
      </c>
    </row>
    <row r="1771" spans="1:52" ht="17.100000000000001" customHeight="1" thickBot="1">
      <c r="A1771" s="110"/>
      <c r="B1771" s="27" t="s">
        <v>1543</v>
      </c>
      <c r="C1771" s="27">
        <v>13003</v>
      </c>
      <c r="D1771" s="14" t="s">
        <v>904</v>
      </c>
      <c r="E1771" s="112"/>
      <c r="F1771" s="139" t="s">
        <v>5386</v>
      </c>
      <c r="G1771" s="140"/>
      <c r="H1771" s="141"/>
      <c r="I1771" s="26">
        <v>29095</v>
      </c>
      <c r="J1771" s="117"/>
      <c r="K1771" s="120"/>
      <c r="L1771" s="121"/>
      <c r="M1771" s="120"/>
      <c r="N1771" s="121"/>
      <c r="O1771" s="120"/>
      <c r="P1771" s="121"/>
      <c r="Q1771" s="120"/>
      <c r="R1771" s="121"/>
      <c r="S1771" s="120"/>
      <c r="T1771" s="121"/>
      <c r="U1771" s="120"/>
      <c r="V1771" s="123"/>
      <c r="W1771" s="125"/>
      <c r="X1771" s="142" t="s">
        <v>6761</v>
      </c>
      <c r="Y1771" s="143"/>
      <c r="Z1771" s="143"/>
      <c r="AA1771" s="143"/>
      <c r="AB1771" s="144"/>
      <c r="AC1771" s="16" t="s">
        <v>21</v>
      </c>
      <c r="AD1771" s="17" t="s">
        <v>6716</v>
      </c>
      <c r="AE1771" s="145" t="s">
        <v>7427</v>
      </c>
      <c r="AF1771" s="146"/>
      <c r="AG1771" s="146"/>
      <c r="AH1771" s="146"/>
      <c r="AI1771" s="147"/>
      <c r="AJ1771" s="148"/>
      <c r="AK1771" s="143"/>
      <c r="AL1771" s="144"/>
      <c r="AM1771" s="22"/>
      <c r="AN1771" s="149" t="s">
        <v>2511</v>
      </c>
      <c r="AO1771" s="144"/>
      <c r="AP1771" s="148">
        <v>80046</v>
      </c>
      <c r="AQ1771" s="144"/>
      <c r="AR1771" s="120"/>
      <c r="AS1771" s="121"/>
      <c r="AT1771" s="120"/>
      <c r="AU1771" s="121"/>
      <c r="AV1771" s="120"/>
      <c r="AW1771" s="121"/>
      <c r="AX1771" s="120"/>
      <c r="AY1771" s="121"/>
      <c r="AZ1771" s="138"/>
    </row>
    <row r="1772" spans="1:52" ht="17.100000000000001" customHeight="1" thickTop="1">
      <c r="A1772" s="109" t="s">
        <v>6622</v>
      </c>
      <c r="B1772" s="28">
        <v>45926</v>
      </c>
      <c r="C1772" s="25">
        <v>2103</v>
      </c>
      <c r="D1772" s="13" t="s">
        <v>1986</v>
      </c>
      <c r="E1772" s="111"/>
      <c r="F1772" s="113" t="s">
        <v>5387</v>
      </c>
      <c r="G1772" s="114"/>
      <c r="H1772" s="115"/>
      <c r="I1772" s="24"/>
      <c r="J1772" s="116">
        <v>4.5</v>
      </c>
      <c r="K1772" s="118">
        <v>2230000</v>
      </c>
      <c r="L1772" s="119"/>
      <c r="M1772" s="118">
        <f>K1772*0.1</f>
        <v>223000</v>
      </c>
      <c r="N1772" s="119"/>
      <c r="O1772" s="118">
        <v>0</v>
      </c>
      <c r="P1772" s="119"/>
      <c r="Q1772" s="118">
        <v>23610</v>
      </c>
      <c r="R1772" s="119"/>
      <c r="S1772" s="118">
        <v>16500</v>
      </c>
      <c r="T1772" s="119"/>
      <c r="U1772" s="118">
        <f>SUM(K1772:T1773)</f>
        <v>2493110</v>
      </c>
      <c r="V1772" s="122"/>
      <c r="W1772" s="124"/>
      <c r="X1772" s="126" t="s">
        <v>7101</v>
      </c>
      <c r="Y1772" s="127"/>
      <c r="Z1772" s="127"/>
      <c r="AA1772" s="127"/>
      <c r="AB1772" s="128"/>
      <c r="AC1772" s="15" t="s">
        <v>20</v>
      </c>
      <c r="AD1772" s="129" t="s">
        <v>5388</v>
      </c>
      <c r="AE1772" s="130"/>
      <c r="AF1772" s="130"/>
      <c r="AG1772" s="130"/>
      <c r="AH1772" s="130"/>
      <c r="AI1772" s="131"/>
      <c r="AJ1772" s="132"/>
      <c r="AK1772" s="127"/>
      <c r="AL1772" s="128"/>
      <c r="AM1772" s="21"/>
      <c r="AN1772" s="133">
        <v>45990</v>
      </c>
      <c r="AO1772" s="134"/>
      <c r="AP1772" s="135">
        <v>1278</v>
      </c>
      <c r="AQ1772" s="136"/>
      <c r="AR1772" s="118">
        <v>2350000</v>
      </c>
      <c r="AS1772" s="119"/>
      <c r="AT1772" s="118">
        <f>AR1772*0.1</f>
        <v>235000</v>
      </c>
      <c r="AU1772" s="119"/>
      <c r="AV1772" s="118">
        <v>23610</v>
      </c>
      <c r="AW1772" s="119"/>
      <c r="AX1772" s="118">
        <f>SUM(AR1772:AW1772)</f>
        <v>2608610</v>
      </c>
      <c r="AY1772" s="119"/>
      <c r="AZ1772" s="137">
        <v>45994</v>
      </c>
    </row>
    <row r="1773" spans="1:52" ht="17.100000000000001" customHeight="1" thickBot="1">
      <c r="A1773" s="110"/>
      <c r="B1773" s="27" t="s">
        <v>1543</v>
      </c>
      <c r="C1773" s="27">
        <v>13202</v>
      </c>
      <c r="D1773" s="14" t="s">
        <v>55</v>
      </c>
      <c r="E1773" s="112"/>
      <c r="F1773" s="139" t="s">
        <v>5389</v>
      </c>
      <c r="G1773" s="140"/>
      <c r="H1773" s="141"/>
      <c r="I1773" s="26">
        <v>45621</v>
      </c>
      <c r="J1773" s="117"/>
      <c r="K1773" s="120"/>
      <c r="L1773" s="121"/>
      <c r="M1773" s="120"/>
      <c r="N1773" s="121"/>
      <c r="O1773" s="120"/>
      <c r="P1773" s="121"/>
      <c r="Q1773" s="120"/>
      <c r="R1773" s="121"/>
      <c r="S1773" s="120"/>
      <c r="T1773" s="121"/>
      <c r="U1773" s="120"/>
      <c r="V1773" s="123"/>
      <c r="W1773" s="125"/>
      <c r="X1773" s="142" t="s">
        <v>4423</v>
      </c>
      <c r="Y1773" s="143"/>
      <c r="Z1773" s="143"/>
      <c r="AA1773" s="143"/>
      <c r="AB1773" s="144"/>
      <c r="AC1773" s="16" t="s">
        <v>21</v>
      </c>
      <c r="AD1773" s="17" t="s">
        <v>3733</v>
      </c>
      <c r="AE1773" s="145" t="s">
        <v>1945</v>
      </c>
      <c r="AF1773" s="146"/>
      <c r="AG1773" s="146"/>
      <c r="AH1773" s="146"/>
      <c r="AI1773" s="147"/>
      <c r="AJ1773" s="148"/>
      <c r="AK1773" s="143"/>
      <c r="AL1773" s="144"/>
      <c r="AM1773" s="22"/>
      <c r="AN1773" s="149" t="s">
        <v>2511</v>
      </c>
      <c r="AO1773" s="144"/>
      <c r="AP1773" s="148">
        <v>80148</v>
      </c>
      <c r="AQ1773" s="144"/>
      <c r="AR1773" s="120"/>
      <c r="AS1773" s="121"/>
      <c r="AT1773" s="120"/>
      <c r="AU1773" s="121"/>
      <c r="AV1773" s="120"/>
      <c r="AW1773" s="121"/>
      <c r="AX1773" s="120"/>
      <c r="AY1773" s="121"/>
      <c r="AZ1773" s="138"/>
    </row>
    <row r="1774" spans="1:52" ht="17.100000000000001" customHeight="1" thickTop="1">
      <c r="A1774" s="109" t="s">
        <v>6623</v>
      </c>
      <c r="B1774" s="28">
        <v>45926</v>
      </c>
      <c r="C1774" s="25">
        <v>2103</v>
      </c>
      <c r="D1774" s="13" t="s">
        <v>4121</v>
      </c>
      <c r="E1774" s="111"/>
      <c r="F1774" s="113" t="s">
        <v>5390</v>
      </c>
      <c r="G1774" s="114"/>
      <c r="H1774" s="115"/>
      <c r="I1774" s="24" t="s">
        <v>4096</v>
      </c>
      <c r="J1774" s="116">
        <v>4</v>
      </c>
      <c r="K1774" s="118">
        <v>1620000</v>
      </c>
      <c r="L1774" s="119"/>
      <c r="M1774" s="118">
        <f>K1774*0.1</f>
        <v>162000</v>
      </c>
      <c r="N1774" s="119"/>
      <c r="O1774" s="118">
        <f>19700+1970</f>
        <v>21670</v>
      </c>
      <c r="P1774" s="119"/>
      <c r="Q1774" s="118">
        <v>22470</v>
      </c>
      <c r="R1774" s="119"/>
      <c r="S1774" s="118">
        <v>16500</v>
      </c>
      <c r="T1774" s="119"/>
      <c r="U1774" s="118">
        <f>SUM(K1774:T1775)</f>
        <v>1842640</v>
      </c>
      <c r="V1774" s="122"/>
      <c r="W1774" s="124"/>
      <c r="X1774" s="126" t="s">
        <v>5391</v>
      </c>
      <c r="Y1774" s="127"/>
      <c r="Z1774" s="127"/>
      <c r="AA1774" s="127"/>
      <c r="AB1774" s="128"/>
      <c r="AC1774" s="15" t="s">
        <v>20</v>
      </c>
      <c r="AD1774" s="129" t="s">
        <v>1605</v>
      </c>
      <c r="AE1774" s="130"/>
      <c r="AF1774" s="130"/>
      <c r="AG1774" s="130"/>
      <c r="AH1774" s="130"/>
      <c r="AI1774" s="131"/>
      <c r="AJ1774" s="132"/>
      <c r="AK1774" s="127"/>
      <c r="AL1774" s="128"/>
      <c r="AM1774" s="21" t="s">
        <v>9507</v>
      </c>
      <c r="AN1774" s="133"/>
      <c r="AO1774" s="134"/>
      <c r="AP1774" s="135"/>
      <c r="AQ1774" s="136"/>
      <c r="AR1774" s="118"/>
      <c r="AS1774" s="119"/>
      <c r="AT1774" s="118">
        <f>AR1774*0.1</f>
        <v>0</v>
      </c>
      <c r="AU1774" s="119"/>
      <c r="AV1774" s="118"/>
      <c r="AW1774" s="119"/>
      <c r="AX1774" s="118">
        <f>SUM(AR1774:AW1774)</f>
        <v>0</v>
      </c>
      <c r="AY1774" s="119"/>
      <c r="AZ1774" s="137"/>
    </row>
    <row r="1775" spans="1:52" ht="17.100000000000001" customHeight="1" thickBot="1">
      <c r="A1775" s="110"/>
      <c r="B1775" s="27" t="s">
        <v>1543</v>
      </c>
      <c r="C1775" s="27">
        <v>35219</v>
      </c>
      <c r="D1775" s="14" t="s">
        <v>275</v>
      </c>
      <c r="E1775" s="112"/>
      <c r="F1775" s="139" t="s">
        <v>5392</v>
      </c>
      <c r="G1775" s="140"/>
      <c r="H1775" s="141"/>
      <c r="I1775" s="26">
        <v>40967</v>
      </c>
      <c r="J1775" s="117"/>
      <c r="K1775" s="120"/>
      <c r="L1775" s="121"/>
      <c r="M1775" s="120"/>
      <c r="N1775" s="121"/>
      <c r="O1775" s="120"/>
      <c r="P1775" s="121"/>
      <c r="Q1775" s="120"/>
      <c r="R1775" s="121"/>
      <c r="S1775" s="120"/>
      <c r="T1775" s="121"/>
      <c r="U1775" s="120"/>
      <c r="V1775" s="123"/>
      <c r="W1775" s="125"/>
      <c r="X1775" s="142" t="s">
        <v>6937</v>
      </c>
      <c r="Y1775" s="143"/>
      <c r="Z1775" s="143"/>
      <c r="AA1775" s="143"/>
      <c r="AB1775" s="144"/>
      <c r="AC1775" s="16" t="s">
        <v>21</v>
      </c>
      <c r="AD1775" s="17" t="s">
        <v>6834</v>
      </c>
      <c r="AE1775" s="145" t="s">
        <v>171</v>
      </c>
      <c r="AF1775" s="146"/>
      <c r="AG1775" s="146"/>
      <c r="AH1775" s="146"/>
      <c r="AI1775" s="147"/>
      <c r="AJ1775" s="148"/>
      <c r="AK1775" s="143"/>
      <c r="AL1775" s="144"/>
      <c r="AM1775" s="22"/>
      <c r="AN1775" s="149"/>
      <c r="AO1775" s="144"/>
      <c r="AP1775" s="148"/>
      <c r="AQ1775" s="144"/>
      <c r="AR1775" s="120"/>
      <c r="AS1775" s="121"/>
      <c r="AT1775" s="120"/>
      <c r="AU1775" s="121"/>
      <c r="AV1775" s="120"/>
      <c r="AW1775" s="121"/>
      <c r="AX1775" s="120"/>
      <c r="AY1775" s="121"/>
      <c r="AZ1775" s="138"/>
    </row>
    <row r="1776" spans="1:52" ht="17.100000000000001" customHeight="1" thickTop="1">
      <c r="A1776" s="109" t="s">
        <v>6624</v>
      </c>
      <c r="B1776" s="28">
        <v>45926</v>
      </c>
      <c r="C1776" s="25">
        <v>2103</v>
      </c>
      <c r="D1776" s="13" t="s">
        <v>3014</v>
      </c>
      <c r="E1776" s="111"/>
      <c r="F1776" s="113" t="s">
        <v>5393</v>
      </c>
      <c r="G1776" s="114"/>
      <c r="H1776" s="115"/>
      <c r="I1776" s="24" t="s">
        <v>5394</v>
      </c>
      <c r="J1776" s="116">
        <v>4.5</v>
      </c>
      <c r="K1776" s="118">
        <v>1500000</v>
      </c>
      <c r="L1776" s="119"/>
      <c r="M1776" s="118">
        <f>K1776*0.1</f>
        <v>150000</v>
      </c>
      <c r="N1776" s="119"/>
      <c r="O1776" s="118">
        <f>15200+1520</f>
        <v>16720</v>
      </c>
      <c r="P1776" s="119"/>
      <c r="Q1776" s="118">
        <v>12370</v>
      </c>
      <c r="R1776" s="119"/>
      <c r="S1776" s="118">
        <v>27500</v>
      </c>
      <c r="T1776" s="119"/>
      <c r="U1776" s="118">
        <f>SUM(K1776:T1777)</f>
        <v>1706590</v>
      </c>
      <c r="V1776" s="122"/>
      <c r="W1776" s="124"/>
      <c r="X1776" s="126" t="s">
        <v>5395</v>
      </c>
      <c r="Y1776" s="127"/>
      <c r="Z1776" s="127"/>
      <c r="AA1776" s="127"/>
      <c r="AB1776" s="128"/>
      <c r="AC1776" s="15" t="s">
        <v>20</v>
      </c>
      <c r="AD1776" s="129" t="s">
        <v>1575</v>
      </c>
      <c r="AE1776" s="130"/>
      <c r="AF1776" s="130"/>
      <c r="AG1776" s="130"/>
      <c r="AH1776" s="130"/>
      <c r="AI1776" s="131"/>
      <c r="AJ1776" s="132"/>
      <c r="AK1776" s="127"/>
      <c r="AL1776" s="128"/>
      <c r="AM1776" s="21" t="s">
        <v>8324</v>
      </c>
      <c r="AN1776" s="133">
        <v>46046</v>
      </c>
      <c r="AO1776" s="134"/>
      <c r="AP1776" s="135"/>
      <c r="AQ1776" s="136"/>
      <c r="AR1776" s="118">
        <v>2588000</v>
      </c>
      <c r="AS1776" s="119"/>
      <c r="AT1776" s="118">
        <v>0</v>
      </c>
      <c r="AU1776" s="119"/>
      <c r="AV1776" s="118">
        <v>0</v>
      </c>
      <c r="AW1776" s="119"/>
      <c r="AX1776" s="118">
        <f>SUM(AR1776:AW1776)</f>
        <v>2588000</v>
      </c>
      <c r="AY1776" s="119"/>
      <c r="AZ1776" s="137">
        <v>46083</v>
      </c>
    </row>
    <row r="1777" spans="1:52" ht="17.100000000000001" customHeight="1" thickBot="1">
      <c r="A1777" s="110"/>
      <c r="B1777" s="27" t="s">
        <v>1543</v>
      </c>
      <c r="C1777" s="27">
        <v>58107</v>
      </c>
      <c r="D1777" s="14" t="s">
        <v>133</v>
      </c>
      <c r="E1777" s="112"/>
      <c r="F1777" s="139" t="s">
        <v>5396</v>
      </c>
      <c r="G1777" s="140"/>
      <c r="H1777" s="141"/>
      <c r="I1777" s="26">
        <v>35184</v>
      </c>
      <c r="J1777" s="117"/>
      <c r="K1777" s="120"/>
      <c r="L1777" s="121"/>
      <c r="M1777" s="120"/>
      <c r="N1777" s="121"/>
      <c r="O1777" s="120"/>
      <c r="P1777" s="121"/>
      <c r="Q1777" s="120"/>
      <c r="R1777" s="121"/>
      <c r="S1777" s="120"/>
      <c r="T1777" s="121"/>
      <c r="U1777" s="120"/>
      <c r="V1777" s="123"/>
      <c r="W1777" s="125"/>
      <c r="X1777" s="142" t="s">
        <v>1997</v>
      </c>
      <c r="Y1777" s="143"/>
      <c r="Z1777" s="143"/>
      <c r="AA1777" s="143"/>
      <c r="AB1777" s="144"/>
      <c r="AC1777" s="16" t="s">
        <v>21</v>
      </c>
      <c r="AD1777" s="17" t="s">
        <v>6716</v>
      </c>
      <c r="AE1777" s="145" t="s">
        <v>6765</v>
      </c>
      <c r="AF1777" s="146"/>
      <c r="AG1777" s="146"/>
      <c r="AH1777" s="146"/>
      <c r="AI1777" s="147"/>
      <c r="AJ1777" s="148"/>
      <c r="AK1777" s="143"/>
      <c r="AL1777" s="144"/>
      <c r="AM1777" s="22"/>
      <c r="AN1777" s="149" t="s">
        <v>24626</v>
      </c>
      <c r="AO1777" s="144"/>
      <c r="AP1777" s="148"/>
      <c r="AQ1777" s="144"/>
      <c r="AR1777" s="120"/>
      <c r="AS1777" s="121"/>
      <c r="AT1777" s="120"/>
      <c r="AU1777" s="121"/>
      <c r="AV1777" s="120"/>
      <c r="AW1777" s="121"/>
      <c r="AX1777" s="120"/>
      <c r="AY1777" s="121"/>
      <c r="AZ1777" s="138"/>
    </row>
    <row r="1778" spans="1:52" ht="17.100000000000001" customHeight="1" thickTop="1">
      <c r="A1778" s="109" t="s">
        <v>6625</v>
      </c>
      <c r="B1778" s="28">
        <v>45926</v>
      </c>
      <c r="C1778" s="25">
        <v>2103</v>
      </c>
      <c r="D1778" s="13" t="s">
        <v>1597</v>
      </c>
      <c r="E1778" s="111"/>
      <c r="F1778" s="113" t="s">
        <v>5397</v>
      </c>
      <c r="G1778" s="114"/>
      <c r="H1778" s="115"/>
      <c r="I1778" s="24"/>
      <c r="J1778" s="116">
        <v>4.5</v>
      </c>
      <c r="K1778" s="118">
        <v>670000</v>
      </c>
      <c r="L1778" s="119"/>
      <c r="M1778" s="118">
        <f>K1778*0.1</f>
        <v>67000</v>
      </c>
      <c r="N1778" s="119"/>
      <c r="O1778" s="118">
        <v>0</v>
      </c>
      <c r="P1778" s="119"/>
      <c r="Q1778" s="118">
        <v>17250</v>
      </c>
      <c r="R1778" s="119"/>
      <c r="S1778" s="118">
        <v>16500</v>
      </c>
      <c r="T1778" s="119"/>
      <c r="U1778" s="118">
        <f>SUM(K1778:T1779)</f>
        <v>770750</v>
      </c>
      <c r="V1778" s="122"/>
      <c r="W1778" s="124"/>
      <c r="X1778" s="126" t="s">
        <v>7102</v>
      </c>
      <c r="Y1778" s="127"/>
      <c r="Z1778" s="127"/>
      <c r="AA1778" s="127"/>
      <c r="AB1778" s="128"/>
      <c r="AC1778" s="15" t="s">
        <v>20</v>
      </c>
      <c r="AD1778" s="129" t="s">
        <v>1633</v>
      </c>
      <c r="AE1778" s="130"/>
      <c r="AF1778" s="130"/>
      <c r="AG1778" s="130"/>
      <c r="AH1778" s="130"/>
      <c r="AI1778" s="131"/>
      <c r="AJ1778" s="132"/>
      <c r="AK1778" s="127"/>
      <c r="AL1778" s="128"/>
      <c r="AM1778" s="21"/>
      <c r="AN1778" s="133">
        <v>46355</v>
      </c>
      <c r="AO1778" s="134"/>
      <c r="AP1778" s="135"/>
      <c r="AQ1778" s="136"/>
      <c r="AR1778" s="118">
        <v>1590000</v>
      </c>
      <c r="AS1778" s="119"/>
      <c r="AT1778" s="118">
        <v>0</v>
      </c>
      <c r="AU1778" s="119"/>
      <c r="AV1778" s="118">
        <v>0</v>
      </c>
      <c r="AW1778" s="119"/>
      <c r="AX1778" s="118">
        <f>SUM(AR1778:AW1778)</f>
        <v>1590000</v>
      </c>
      <c r="AY1778" s="119"/>
      <c r="AZ1778" s="137">
        <v>46383</v>
      </c>
    </row>
    <row r="1779" spans="1:52" ht="17.100000000000001" customHeight="1" thickBot="1">
      <c r="A1779" s="110"/>
      <c r="B1779" s="27" t="s">
        <v>1543</v>
      </c>
      <c r="C1779" s="27">
        <v>58623</v>
      </c>
      <c r="D1779" s="14" t="s">
        <v>1812</v>
      </c>
      <c r="E1779" s="112"/>
      <c r="F1779" s="139" t="s">
        <v>5398</v>
      </c>
      <c r="G1779" s="140"/>
      <c r="H1779" s="141"/>
      <c r="I1779" s="26">
        <v>42672</v>
      </c>
      <c r="J1779" s="117"/>
      <c r="K1779" s="120"/>
      <c r="L1779" s="121"/>
      <c r="M1779" s="120"/>
      <c r="N1779" s="121"/>
      <c r="O1779" s="120"/>
      <c r="P1779" s="121"/>
      <c r="Q1779" s="120"/>
      <c r="R1779" s="121"/>
      <c r="S1779" s="120"/>
      <c r="T1779" s="121"/>
      <c r="U1779" s="120"/>
      <c r="V1779" s="123"/>
      <c r="W1779" s="125"/>
      <c r="X1779" s="142" t="s">
        <v>7103</v>
      </c>
      <c r="Y1779" s="143"/>
      <c r="Z1779" s="143"/>
      <c r="AA1779" s="143"/>
      <c r="AB1779" s="144"/>
      <c r="AC1779" s="16" t="s">
        <v>21</v>
      </c>
      <c r="AD1779" s="17" t="s">
        <v>3733</v>
      </c>
      <c r="AE1779" s="145" t="s">
        <v>7746</v>
      </c>
      <c r="AF1779" s="146"/>
      <c r="AG1779" s="146"/>
      <c r="AH1779" s="146"/>
      <c r="AI1779" s="147"/>
      <c r="AJ1779" s="148"/>
      <c r="AK1779" s="143"/>
      <c r="AL1779" s="144"/>
      <c r="AM1779" s="22"/>
      <c r="AN1779" s="149" t="s">
        <v>14390</v>
      </c>
      <c r="AO1779" s="144"/>
      <c r="AP1779" s="148"/>
      <c r="AQ1779" s="144"/>
      <c r="AR1779" s="120"/>
      <c r="AS1779" s="121"/>
      <c r="AT1779" s="120"/>
      <c r="AU1779" s="121"/>
      <c r="AV1779" s="120"/>
      <c r="AW1779" s="121"/>
      <c r="AX1779" s="120"/>
      <c r="AY1779" s="121"/>
      <c r="AZ1779" s="138"/>
    </row>
    <row r="1780" spans="1:52" ht="17.100000000000001" customHeight="1" thickTop="1">
      <c r="A1780" s="109" t="s">
        <v>6626</v>
      </c>
      <c r="B1780" s="28">
        <v>45926</v>
      </c>
      <c r="C1780" s="25">
        <v>2103</v>
      </c>
      <c r="D1780" s="13" t="s">
        <v>1929</v>
      </c>
      <c r="E1780" s="111"/>
      <c r="F1780" s="113" t="s">
        <v>1938</v>
      </c>
      <c r="G1780" s="114"/>
      <c r="H1780" s="115"/>
      <c r="I1780" s="24"/>
      <c r="J1780" s="116">
        <v>4</v>
      </c>
      <c r="K1780" s="118">
        <v>490000</v>
      </c>
      <c r="L1780" s="119"/>
      <c r="M1780" s="118">
        <f>K1780*0.1</f>
        <v>49000</v>
      </c>
      <c r="N1780" s="119"/>
      <c r="O1780" s="118">
        <v>0</v>
      </c>
      <c r="P1780" s="119"/>
      <c r="Q1780" s="118">
        <v>17700</v>
      </c>
      <c r="R1780" s="119"/>
      <c r="S1780" s="118">
        <v>16500</v>
      </c>
      <c r="T1780" s="119"/>
      <c r="U1780" s="118">
        <f>SUM(K1780:T1781)</f>
        <v>573200</v>
      </c>
      <c r="V1780" s="122"/>
      <c r="W1780" s="124"/>
      <c r="X1780" s="126" t="s">
        <v>6764</v>
      </c>
      <c r="Y1780" s="127"/>
      <c r="Z1780" s="127"/>
      <c r="AA1780" s="127"/>
      <c r="AB1780" s="128"/>
      <c r="AC1780" s="15" t="s">
        <v>20</v>
      </c>
      <c r="AD1780" s="129"/>
      <c r="AE1780" s="130"/>
      <c r="AF1780" s="130"/>
      <c r="AG1780" s="130"/>
      <c r="AH1780" s="130"/>
      <c r="AI1780" s="131"/>
      <c r="AJ1780" s="132"/>
      <c r="AK1780" s="127"/>
      <c r="AL1780" s="128"/>
      <c r="AM1780" s="21"/>
      <c r="AN1780" s="133">
        <v>45938</v>
      </c>
      <c r="AO1780" s="134"/>
      <c r="AP1780" s="135">
        <v>987</v>
      </c>
      <c r="AQ1780" s="136"/>
      <c r="AR1780" s="118">
        <v>620000</v>
      </c>
      <c r="AS1780" s="119"/>
      <c r="AT1780" s="118">
        <f>AR1780*0.1</f>
        <v>62000</v>
      </c>
      <c r="AU1780" s="119"/>
      <c r="AV1780" s="118">
        <v>17700</v>
      </c>
      <c r="AW1780" s="119"/>
      <c r="AX1780" s="118">
        <f>SUM(AR1780:AW1780)</f>
        <v>699700</v>
      </c>
      <c r="AY1780" s="119"/>
      <c r="AZ1780" s="137">
        <v>45944</v>
      </c>
    </row>
    <row r="1781" spans="1:52" ht="17.100000000000001" customHeight="1" thickBot="1">
      <c r="A1781" s="110"/>
      <c r="B1781" s="27" t="s">
        <v>1543</v>
      </c>
      <c r="C1781" s="27">
        <v>58652</v>
      </c>
      <c r="D1781" s="14" t="s">
        <v>3327</v>
      </c>
      <c r="E1781" s="112"/>
      <c r="F1781" s="139" t="s">
        <v>5399</v>
      </c>
      <c r="G1781" s="140"/>
      <c r="H1781" s="141"/>
      <c r="I1781" s="26">
        <v>57233</v>
      </c>
      <c r="J1781" s="117"/>
      <c r="K1781" s="120"/>
      <c r="L1781" s="121"/>
      <c r="M1781" s="120"/>
      <c r="N1781" s="121"/>
      <c r="O1781" s="120"/>
      <c r="P1781" s="121"/>
      <c r="Q1781" s="120"/>
      <c r="R1781" s="121"/>
      <c r="S1781" s="120"/>
      <c r="T1781" s="121"/>
      <c r="U1781" s="120"/>
      <c r="V1781" s="123"/>
      <c r="W1781" s="125"/>
      <c r="X1781" s="142" t="s">
        <v>1997</v>
      </c>
      <c r="Y1781" s="143"/>
      <c r="Z1781" s="143"/>
      <c r="AA1781" s="143"/>
      <c r="AB1781" s="144"/>
      <c r="AC1781" s="16" t="s">
        <v>21</v>
      </c>
      <c r="AD1781" s="17" t="s">
        <v>6716</v>
      </c>
      <c r="AE1781" s="145" t="s">
        <v>1633</v>
      </c>
      <c r="AF1781" s="146"/>
      <c r="AG1781" s="146"/>
      <c r="AH1781" s="146"/>
      <c r="AI1781" s="147"/>
      <c r="AJ1781" s="148"/>
      <c r="AK1781" s="143"/>
      <c r="AL1781" s="144"/>
      <c r="AM1781" s="22"/>
      <c r="AN1781" s="149" t="s">
        <v>2794</v>
      </c>
      <c r="AO1781" s="144"/>
      <c r="AP1781" s="148">
        <v>5052</v>
      </c>
      <c r="AQ1781" s="144"/>
      <c r="AR1781" s="120"/>
      <c r="AS1781" s="121"/>
      <c r="AT1781" s="120"/>
      <c r="AU1781" s="121"/>
      <c r="AV1781" s="120"/>
      <c r="AW1781" s="121"/>
      <c r="AX1781" s="120"/>
      <c r="AY1781" s="121"/>
      <c r="AZ1781" s="138"/>
    </row>
    <row r="1782" spans="1:52" ht="17.100000000000001" customHeight="1" thickTop="1">
      <c r="A1782" s="109" t="s">
        <v>6627</v>
      </c>
      <c r="B1782" s="28">
        <v>45926</v>
      </c>
      <c r="C1782" s="25"/>
      <c r="D1782" s="13" t="s">
        <v>2092</v>
      </c>
      <c r="E1782" s="111"/>
      <c r="F1782" s="113" t="s">
        <v>5400</v>
      </c>
      <c r="G1782" s="114"/>
      <c r="H1782" s="115"/>
      <c r="I1782" s="24" t="s">
        <v>5401</v>
      </c>
      <c r="J1782" s="116">
        <v>5</v>
      </c>
      <c r="K1782" s="118">
        <f>2051500/1.1</f>
        <v>1864999.9999999998</v>
      </c>
      <c r="L1782" s="119"/>
      <c r="M1782" s="118">
        <f>K1782*0.1</f>
        <v>186500</v>
      </c>
      <c r="N1782" s="119"/>
      <c r="O1782" s="118">
        <v>12700</v>
      </c>
      <c r="P1782" s="119"/>
      <c r="Q1782" s="118">
        <v>8600</v>
      </c>
      <c r="R1782" s="119"/>
      <c r="S1782" s="118">
        <v>106288</v>
      </c>
      <c r="T1782" s="119"/>
      <c r="U1782" s="118">
        <f>SUM(K1782:T1783)</f>
        <v>2179088</v>
      </c>
      <c r="V1782" s="122"/>
      <c r="W1782" s="124"/>
      <c r="X1782" s="126" t="s">
        <v>9864</v>
      </c>
      <c r="Y1782" s="127"/>
      <c r="Z1782" s="127"/>
      <c r="AA1782" s="127"/>
      <c r="AB1782" s="128"/>
      <c r="AC1782" s="15" t="s">
        <v>20</v>
      </c>
      <c r="AD1782" s="129" t="s">
        <v>1945</v>
      </c>
      <c r="AE1782" s="130"/>
      <c r="AF1782" s="130"/>
      <c r="AG1782" s="130"/>
      <c r="AH1782" s="130"/>
      <c r="AI1782" s="131"/>
      <c r="AJ1782" s="132"/>
      <c r="AK1782" s="127"/>
      <c r="AL1782" s="128"/>
      <c r="AM1782" s="21"/>
      <c r="AN1782" s="133">
        <v>45962</v>
      </c>
      <c r="AO1782" s="134"/>
      <c r="AP1782" s="135">
        <v>1274</v>
      </c>
      <c r="AQ1782" s="136"/>
      <c r="AR1782" s="118">
        <v>2135000</v>
      </c>
      <c r="AS1782" s="119"/>
      <c r="AT1782" s="118">
        <f>AR1782*0.1</f>
        <v>213500</v>
      </c>
      <c r="AU1782" s="119"/>
      <c r="AV1782" s="118">
        <v>8600</v>
      </c>
      <c r="AW1782" s="119"/>
      <c r="AX1782" s="118">
        <f>SUM(AR1782:AW1782)</f>
        <v>2357100</v>
      </c>
      <c r="AY1782" s="119"/>
      <c r="AZ1782" s="137">
        <v>45967</v>
      </c>
    </row>
    <row r="1783" spans="1:52" ht="17.100000000000001" customHeight="1" thickBot="1">
      <c r="A1783" s="110"/>
      <c r="B1783" s="27" t="s">
        <v>1718</v>
      </c>
      <c r="C1783" s="27" t="s">
        <v>5402</v>
      </c>
      <c r="D1783" s="14" t="s">
        <v>1592</v>
      </c>
      <c r="E1783" s="112"/>
      <c r="F1783" s="139" t="s">
        <v>5403</v>
      </c>
      <c r="G1783" s="140"/>
      <c r="H1783" s="141"/>
      <c r="I1783" s="26">
        <v>25270</v>
      </c>
      <c r="J1783" s="117"/>
      <c r="K1783" s="120"/>
      <c r="L1783" s="121"/>
      <c r="M1783" s="120"/>
      <c r="N1783" s="121"/>
      <c r="O1783" s="120"/>
      <c r="P1783" s="121"/>
      <c r="Q1783" s="120"/>
      <c r="R1783" s="121"/>
      <c r="S1783" s="120"/>
      <c r="T1783" s="121"/>
      <c r="U1783" s="120"/>
      <c r="V1783" s="123"/>
      <c r="W1783" s="125"/>
      <c r="X1783" s="142" t="s">
        <v>9865</v>
      </c>
      <c r="Y1783" s="143"/>
      <c r="Z1783" s="143"/>
      <c r="AA1783" s="143"/>
      <c r="AB1783" s="144"/>
      <c r="AC1783" s="16" t="s">
        <v>21</v>
      </c>
      <c r="AD1783" s="17" t="s">
        <v>9858</v>
      </c>
      <c r="AE1783" s="145" t="s">
        <v>1945</v>
      </c>
      <c r="AF1783" s="146"/>
      <c r="AG1783" s="146"/>
      <c r="AH1783" s="146"/>
      <c r="AI1783" s="147"/>
      <c r="AJ1783" s="148"/>
      <c r="AK1783" s="143"/>
      <c r="AL1783" s="144"/>
      <c r="AM1783" s="22"/>
      <c r="AN1783" s="149" t="s">
        <v>2511</v>
      </c>
      <c r="AO1783" s="144"/>
      <c r="AP1783" s="148">
        <v>37067</v>
      </c>
      <c r="AQ1783" s="144"/>
      <c r="AR1783" s="120"/>
      <c r="AS1783" s="121"/>
      <c r="AT1783" s="120"/>
      <c r="AU1783" s="121"/>
      <c r="AV1783" s="120"/>
      <c r="AW1783" s="121"/>
      <c r="AX1783" s="120"/>
      <c r="AY1783" s="121"/>
      <c r="AZ1783" s="138"/>
    </row>
    <row r="1784" spans="1:52" ht="17.100000000000001" customHeight="1" thickTop="1">
      <c r="A1784" s="109" t="s">
        <v>6628</v>
      </c>
      <c r="B1784" s="28">
        <v>45926</v>
      </c>
      <c r="C1784" s="25"/>
      <c r="D1784" s="13" t="s">
        <v>2298</v>
      </c>
      <c r="E1784" s="111"/>
      <c r="F1784" s="113" t="s">
        <v>5404</v>
      </c>
      <c r="G1784" s="114"/>
      <c r="H1784" s="115"/>
      <c r="I1784" s="24" t="s">
        <v>5405</v>
      </c>
      <c r="J1784" s="116">
        <v>4.5</v>
      </c>
      <c r="K1784" s="118">
        <f>1105500/1.1</f>
        <v>1004999.9999999999</v>
      </c>
      <c r="L1784" s="119"/>
      <c r="M1784" s="118">
        <f>K1784*0.1</f>
        <v>100500</v>
      </c>
      <c r="N1784" s="119"/>
      <c r="O1784" s="118">
        <v>0</v>
      </c>
      <c r="P1784" s="119"/>
      <c r="Q1784" s="118">
        <v>5870</v>
      </c>
      <c r="R1784" s="119"/>
      <c r="S1784" s="118">
        <v>82638</v>
      </c>
      <c r="T1784" s="119"/>
      <c r="U1784" s="118">
        <f>SUM(K1784:T1785)</f>
        <v>1194008</v>
      </c>
      <c r="V1784" s="122"/>
      <c r="W1784" s="124"/>
      <c r="X1784" s="126" t="s">
        <v>8905</v>
      </c>
      <c r="Y1784" s="127"/>
      <c r="Z1784" s="127"/>
      <c r="AA1784" s="127"/>
      <c r="AB1784" s="128"/>
      <c r="AC1784" s="15" t="s">
        <v>20</v>
      </c>
      <c r="AD1784" s="129" t="s">
        <v>1605</v>
      </c>
      <c r="AE1784" s="130"/>
      <c r="AF1784" s="130"/>
      <c r="AG1784" s="130"/>
      <c r="AH1784" s="130"/>
      <c r="AI1784" s="131"/>
      <c r="AJ1784" s="132"/>
      <c r="AK1784" s="127"/>
      <c r="AL1784" s="128"/>
      <c r="AM1784" s="21"/>
      <c r="AN1784" s="133">
        <v>45979</v>
      </c>
      <c r="AO1784" s="134"/>
      <c r="AP1784" s="135">
        <v>1918</v>
      </c>
      <c r="AQ1784" s="136"/>
      <c r="AR1784" s="118">
        <v>1287000</v>
      </c>
      <c r="AS1784" s="119"/>
      <c r="AT1784" s="118">
        <f>AR1784*0.1</f>
        <v>128700</v>
      </c>
      <c r="AU1784" s="119"/>
      <c r="AV1784" s="118">
        <v>5870</v>
      </c>
      <c r="AW1784" s="119"/>
      <c r="AX1784" s="118">
        <f>SUM(AR1784:AW1784)</f>
        <v>1421570</v>
      </c>
      <c r="AY1784" s="119"/>
      <c r="AZ1784" s="137">
        <v>45986</v>
      </c>
    </row>
    <row r="1785" spans="1:52" ht="17.100000000000001" customHeight="1" thickBot="1">
      <c r="A1785" s="110"/>
      <c r="B1785" s="27" t="s">
        <v>1718</v>
      </c>
      <c r="C1785" s="27" t="s">
        <v>5406</v>
      </c>
      <c r="D1785" s="14" t="s">
        <v>1812</v>
      </c>
      <c r="E1785" s="112"/>
      <c r="F1785" s="139" t="s">
        <v>5407</v>
      </c>
      <c r="G1785" s="140"/>
      <c r="H1785" s="141"/>
      <c r="I1785" s="26">
        <v>35526</v>
      </c>
      <c r="J1785" s="117"/>
      <c r="K1785" s="120"/>
      <c r="L1785" s="121"/>
      <c r="M1785" s="120"/>
      <c r="N1785" s="121"/>
      <c r="O1785" s="120"/>
      <c r="P1785" s="121"/>
      <c r="Q1785" s="120"/>
      <c r="R1785" s="121"/>
      <c r="S1785" s="120"/>
      <c r="T1785" s="121"/>
      <c r="U1785" s="120"/>
      <c r="V1785" s="123"/>
      <c r="W1785" s="125"/>
      <c r="X1785" s="142" t="s">
        <v>8906</v>
      </c>
      <c r="Y1785" s="143"/>
      <c r="Z1785" s="143"/>
      <c r="AA1785" s="143"/>
      <c r="AB1785" s="144"/>
      <c r="AC1785" s="16" t="s">
        <v>21</v>
      </c>
      <c r="AD1785" s="17" t="s">
        <v>1665</v>
      </c>
      <c r="AE1785" s="145" t="s">
        <v>171</v>
      </c>
      <c r="AF1785" s="146"/>
      <c r="AG1785" s="146"/>
      <c r="AH1785" s="146"/>
      <c r="AI1785" s="147"/>
      <c r="AJ1785" s="148"/>
      <c r="AK1785" s="143"/>
      <c r="AL1785" s="144"/>
      <c r="AM1785" s="22"/>
      <c r="AN1785" s="149" t="s">
        <v>2131</v>
      </c>
      <c r="AO1785" s="144"/>
      <c r="AP1785" s="148">
        <v>3061</v>
      </c>
      <c r="AQ1785" s="144"/>
      <c r="AR1785" s="120"/>
      <c r="AS1785" s="121"/>
      <c r="AT1785" s="120"/>
      <c r="AU1785" s="121"/>
      <c r="AV1785" s="120"/>
      <c r="AW1785" s="121"/>
      <c r="AX1785" s="120"/>
      <c r="AY1785" s="121"/>
      <c r="AZ1785" s="138"/>
    </row>
    <row r="1786" spans="1:52" ht="17.100000000000001" customHeight="1" thickTop="1">
      <c r="A1786" s="151" t="s">
        <v>6629</v>
      </c>
      <c r="B1786" s="28">
        <v>45926</v>
      </c>
      <c r="C1786" s="25"/>
      <c r="D1786" s="13" t="s">
        <v>2084</v>
      </c>
      <c r="E1786" s="111"/>
      <c r="F1786" s="113" t="s">
        <v>5217</v>
      </c>
      <c r="G1786" s="114"/>
      <c r="H1786" s="115"/>
      <c r="I1786" s="24" t="s">
        <v>4521</v>
      </c>
      <c r="J1786" s="116">
        <v>4.5</v>
      </c>
      <c r="K1786" s="118">
        <f>3547500/1.1</f>
        <v>3224999.9999999995</v>
      </c>
      <c r="L1786" s="119"/>
      <c r="M1786" s="118">
        <f>K1786*0.1</f>
        <v>322500</v>
      </c>
      <c r="N1786" s="119"/>
      <c r="O1786" s="118">
        <v>15000</v>
      </c>
      <c r="P1786" s="119"/>
      <c r="Q1786" s="118">
        <v>12250</v>
      </c>
      <c r="R1786" s="119"/>
      <c r="S1786" s="118">
        <v>143688</v>
      </c>
      <c r="T1786" s="119"/>
      <c r="U1786" s="118">
        <f>SUM(K1786:T1787)</f>
        <v>3718437.9999999995</v>
      </c>
      <c r="V1786" s="122"/>
      <c r="W1786" s="124"/>
      <c r="X1786" s="126"/>
      <c r="Y1786" s="127"/>
      <c r="Z1786" s="127"/>
      <c r="AA1786" s="127"/>
      <c r="AB1786" s="128"/>
      <c r="AC1786" s="15" t="s">
        <v>20</v>
      </c>
      <c r="AD1786" s="129" t="s">
        <v>1945</v>
      </c>
      <c r="AE1786" s="130"/>
      <c r="AF1786" s="130"/>
      <c r="AG1786" s="130"/>
      <c r="AH1786" s="130"/>
      <c r="AI1786" s="131"/>
      <c r="AJ1786" s="132" t="s">
        <v>8040</v>
      </c>
      <c r="AK1786" s="127"/>
      <c r="AL1786" s="128"/>
      <c r="AM1786" s="21"/>
      <c r="AN1786" s="133"/>
      <c r="AO1786" s="134"/>
      <c r="AP1786" s="135"/>
      <c r="AQ1786" s="136"/>
      <c r="AR1786" s="118"/>
      <c r="AS1786" s="119"/>
      <c r="AT1786" s="118">
        <f>AR1786*0.1</f>
        <v>0</v>
      </c>
      <c r="AU1786" s="119"/>
      <c r="AV1786" s="118"/>
      <c r="AW1786" s="119"/>
      <c r="AX1786" s="118">
        <f>SUM(AR1786:AW1786)</f>
        <v>0</v>
      </c>
      <c r="AY1786" s="119"/>
      <c r="AZ1786" s="137"/>
    </row>
    <row r="1787" spans="1:52" ht="17.100000000000001" customHeight="1" thickBot="1">
      <c r="A1787" s="152"/>
      <c r="B1787" s="27" t="s">
        <v>1718</v>
      </c>
      <c r="C1787" s="27" t="s">
        <v>5408</v>
      </c>
      <c r="D1787" s="14" t="s">
        <v>2601</v>
      </c>
      <c r="E1787" s="112"/>
      <c r="F1787" s="139" t="s">
        <v>5409</v>
      </c>
      <c r="G1787" s="140"/>
      <c r="H1787" s="141"/>
      <c r="I1787" s="26">
        <v>19012</v>
      </c>
      <c r="J1787" s="117"/>
      <c r="K1787" s="120"/>
      <c r="L1787" s="121"/>
      <c r="M1787" s="120"/>
      <c r="N1787" s="121"/>
      <c r="O1787" s="120"/>
      <c r="P1787" s="121"/>
      <c r="Q1787" s="120"/>
      <c r="R1787" s="121"/>
      <c r="S1787" s="120"/>
      <c r="T1787" s="121"/>
      <c r="U1787" s="120"/>
      <c r="V1787" s="123"/>
      <c r="W1787" s="125"/>
      <c r="X1787" s="142"/>
      <c r="Y1787" s="143"/>
      <c r="Z1787" s="143"/>
      <c r="AA1787" s="143"/>
      <c r="AB1787" s="144"/>
      <c r="AC1787" s="16" t="s">
        <v>21</v>
      </c>
      <c r="AD1787" s="17"/>
      <c r="AE1787" s="145"/>
      <c r="AF1787" s="146"/>
      <c r="AG1787" s="146"/>
      <c r="AH1787" s="146"/>
      <c r="AI1787" s="147"/>
      <c r="AJ1787" s="148"/>
      <c r="AK1787" s="143"/>
      <c r="AL1787" s="144"/>
      <c r="AM1787" s="22"/>
      <c r="AN1787" s="149"/>
      <c r="AO1787" s="144"/>
      <c r="AP1787" s="148"/>
      <c r="AQ1787" s="144"/>
      <c r="AR1787" s="120"/>
      <c r="AS1787" s="121"/>
      <c r="AT1787" s="120"/>
      <c r="AU1787" s="121"/>
      <c r="AV1787" s="120"/>
      <c r="AW1787" s="121"/>
      <c r="AX1787" s="120"/>
      <c r="AY1787" s="121"/>
      <c r="AZ1787" s="138"/>
    </row>
    <row r="1788" spans="1:52" ht="17.100000000000001" customHeight="1" thickTop="1">
      <c r="A1788" s="109" t="s">
        <v>6630</v>
      </c>
      <c r="B1788" s="28">
        <v>45926</v>
      </c>
      <c r="C1788" s="25"/>
      <c r="D1788" s="13" t="s">
        <v>1845</v>
      </c>
      <c r="E1788" s="111"/>
      <c r="F1788" s="113" t="s">
        <v>5267</v>
      </c>
      <c r="G1788" s="114"/>
      <c r="H1788" s="115"/>
      <c r="I1788" s="24" t="s">
        <v>5410</v>
      </c>
      <c r="J1788" s="116">
        <v>4</v>
      </c>
      <c r="K1788" s="118">
        <f>962500/1.1</f>
        <v>874999.99999999988</v>
      </c>
      <c r="L1788" s="119"/>
      <c r="M1788" s="118">
        <f>K1788*0.1</f>
        <v>87500</v>
      </c>
      <c r="N1788" s="119"/>
      <c r="O1788" s="118">
        <v>0</v>
      </c>
      <c r="P1788" s="119"/>
      <c r="Q1788" s="118">
        <v>6830</v>
      </c>
      <c r="R1788" s="119"/>
      <c r="S1788" s="118">
        <v>76711</v>
      </c>
      <c r="T1788" s="119"/>
      <c r="U1788" s="118">
        <f>SUM(K1788:T1789)</f>
        <v>1046040.9999999999</v>
      </c>
      <c r="V1788" s="122"/>
      <c r="W1788" s="124"/>
      <c r="X1788" s="126" t="s">
        <v>9113</v>
      </c>
      <c r="Y1788" s="127"/>
      <c r="Z1788" s="127"/>
      <c r="AA1788" s="127"/>
      <c r="AB1788" s="128"/>
      <c r="AC1788" s="15" t="s">
        <v>20</v>
      </c>
      <c r="AD1788" s="129" t="s">
        <v>1945</v>
      </c>
      <c r="AE1788" s="130"/>
      <c r="AF1788" s="130"/>
      <c r="AG1788" s="130"/>
      <c r="AH1788" s="130"/>
      <c r="AI1788" s="131"/>
      <c r="AJ1788" s="132"/>
      <c r="AK1788" s="127"/>
      <c r="AL1788" s="128"/>
      <c r="AM1788" s="21"/>
      <c r="AN1788" s="133">
        <v>45955</v>
      </c>
      <c r="AO1788" s="134"/>
      <c r="AP1788" s="135">
        <v>1273</v>
      </c>
      <c r="AQ1788" s="136"/>
      <c r="AR1788" s="118">
        <v>1215000</v>
      </c>
      <c r="AS1788" s="119"/>
      <c r="AT1788" s="118">
        <f>AR1788*0.1</f>
        <v>121500</v>
      </c>
      <c r="AU1788" s="119"/>
      <c r="AV1788" s="118">
        <v>6830</v>
      </c>
      <c r="AW1788" s="119"/>
      <c r="AX1788" s="118">
        <f>SUM(AR1788:AW1788)</f>
        <v>1343330</v>
      </c>
      <c r="AY1788" s="119"/>
      <c r="AZ1788" s="137">
        <v>45958</v>
      </c>
    </row>
    <row r="1789" spans="1:52" ht="17.100000000000001" customHeight="1" thickBot="1">
      <c r="A1789" s="110"/>
      <c r="B1789" s="27" t="s">
        <v>1718</v>
      </c>
      <c r="C1789" s="27" t="s">
        <v>5411</v>
      </c>
      <c r="D1789" s="14" t="s">
        <v>1812</v>
      </c>
      <c r="E1789" s="112"/>
      <c r="F1789" s="139" t="s">
        <v>5412</v>
      </c>
      <c r="G1789" s="140"/>
      <c r="H1789" s="141"/>
      <c r="I1789" s="26">
        <v>45298</v>
      </c>
      <c r="J1789" s="117"/>
      <c r="K1789" s="120"/>
      <c r="L1789" s="121"/>
      <c r="M1789" s="120"/>
      <c r="N1789" s="121"/>
      <c r="O1789" s="120"/>
      <c r="P1789" s="121"/>
      <c r="Q1789" s="120"/>
      <c r="R1789" s="121"/>
      <c r="S1789" s="120"/>
      <c r="T1789" s="121"/>
      <c r="U1789" s="120"/>
      <c r="V1789" s="123"/>
      <c r="W1789" s="125"/>
      <c r="X1789" s="142" t="s">
        <v>9114</v>
      </c>
      <c r="Y1789" s="143"/>
      <c r="Z1789" s="143"/>
      <c r="AA1789" s="143"/>
      <c r="AB1789" s="144"/>
      <c r="AC1789" s="16" t="s">
        <v>21</v>
      </c>
      <c r="AD1789" s="17" t="s">
        <v>8956</v>
      </c>
      <c r="AE1789" s="145" t="s">
        <v>1945</v>
      </c>
      <c r="AF1789" s="146"/>
      <c r="AG1789" s="146"/>
      <c r="AH1789" s="146"/>
      <c r="AI1789" s="147"/>
      <c r="AJ1789" s="148"/>
      <c r="AK1789" s="143"/>
      <c r="AL1789" s="144"/>
      <c r="AM1789" s="22"/>
      <c r="AN1789" s="149" t="s">
        <v>2511</v>
      </c>
      <c r="AO1789" s="144"/>
      <c r="AP1789" s="148">
        <v>65041</v>
      </c>
      <c r="AQ1789" s="144"/>
      <c r="AR1789" s="120"/>
      <c r="AS1789" s="121"/>
      <c r="AT1789" s="120"/>
      <c r="AU1789" s="121"/>
      <c r="AV1789" s="120"/>
      <c r="AW1789" s="121"/>
      <c r="AX1789" s="120"/>
      <c r="AY1789" s="121"/>
      <c r="AZ1789" s="138"/>
    </row>
    <row r="1790" spans="1:52" ht="17.100000000000001" customHeight="1" thickTop="1">
      <c r="A1790" s="151" t="s">
        <v>6631</v>
      </c>
      <c r="B1790" s="28">
        <v>45926</v>
      </c>
      <c r="C1790" s="25"/>
      <c r="D1790" s="13" t="s">
        <v>2009</v>
      </c>
      <c r="E1790" s="111"/>
      <c r="F1790" s="113" t="s">
        <v>4854</v>
      </c>
      <c r="G1790" s="114"/>
      <c r="H1790" s="115"/>
      <c r="I1790" s="24" t="s">
        <v>4555</v>
      </c>
      <c r="J1790" s="116">
        <v>4.5</v>
      </c>
      <c r="K1790" s="118">
        <f>1402500/1.1</f>
        <v>1275000</v>
      </c>
      <c r="L1790" s="119"/>
      <c r="M1790" s="118">
        <f>K1790*0.1</f>
        <v>127500</v>
      </c>
      <c r="N1790" s="119"/>
      <c r="O1790" s="118">
        <v>0</v>
      </c>
      <c r="P1790" s="119"/>
      <c r="Q1790" s="118">
        <v>8550</v>
      </c>
      <c r="R1790" s="119"/>
      <c r="S1790" s="118">
        <v>90063</v>
      </c>
      <c r="T1790" s="119"/>
      <c r="U1790" s="118">
        <f>SUM(K1790:T1791)</f>
        <v>1501113</v>
      </c>
      <c r="V1790" s="122"/>
      <c r="W1790" s="124"/>
      <c r="X1790" s="126"/>
      <c r="Y1790" s="127"/>
      <c r="Z1790" s="127"/>
      <c r="AA1790" s="127"/>
      <c r="AB1790" s="128"/>
      <c r="AC1790" s="15" t="s">
        <v>20</v>
      </c>
      <c r="AD1790" s="129" t="s">
        <v>1797</v>
      </c>
      <c r="AE1790" s="130"/>
      <c r="AF1790" s="130"/>
      <c r="AG1790" s="130"/>
      <c r="AH1790" s="130"/>
      <c r="AI1790" s="131"/>
      <c r="AJ1790" s="132" t="s">
        <v>8040</v>
      </c>
      <c r="AK1790" s="127"/>
      <c r="AL1790" s="128"/>
      <c r="AM1790" s="21"/>
      <c r="AN1790" s="133"/>
      <c r="AO1790" s="134"/>
      <c r="AP1790" s="135"/>
      <c r="AQ1790" s="136"/>
      <c r="AR1790" s="118"/>
      <c r="AS1790" s="119"/>
      <c r="AT1790" s="118">
        <f>AR1790*0.1</f>
        <v>0</v>
      </c>
      <c r="AU1790" s="119"/>
      <c r="AV1790" s="118"/>
      <c r="AW1790" s="119"/>
      <c r="AX1790" s="118">
        <f>SUM(AR1790:AW1790)</f>
        <v>0</v>
      </c>
      <c r="AY1790" s="119"/>
      <c r="AZ1790" s="137"/>
    </row>
    <row r="1791" spans="1:52" ht="17.100000000000001" customHeight="1" thickBot="1">
      <c r="A1791" s="152"/>
      <c r="B1791" s="27" t="s">
        <v>1718</v>
      </c>
      <c r="C1791" s="27" t="s">
        <v>5413</v>
      </c>
      <c r="D1791" s="14" t="s">
        <v>275</v>
      </c>
      <c r="E1791" s="112"/>
      <c r="F1791" s="139" t="s">
        <v>5414</v>
      </c>
      <c r="G1791" s="140"/>
      <c r="H1791" s="141"/>
      <c r="I1791" s="26">
        <v>18103</v>
      </c>
      <c r="J1791" s="117"/>
      <c r="K1791" s="120"/>
      <c r="L1791" s="121"/>
      <c r="M1791" s="120"/>
      <c r="N1791" s="121"/>
      <c r="O1791" s="120"/>
      <c r="P1791" s="121"/>
      <c r="Q1791" s="120"/>
      <c r="R1791" s="121"/>
      <c r="S1791" s="120"/>
      <c r="T1791" s="121"/>
      <c r="U1791" s="120"/>
      <c r="V1791" s="123"/>
      <c r="W1791" s="125"/>
      <c r="X1791" s="142"/>
      <c r="Y1791" s="143"/>
      <c r="Z1791" s="143"/>
      <c r="AA1791" s="143"/>
      <c r="AB1791" s="144"/>
      <c r="AC1791" s="16" t="s">
        <v>21</v>
      </c>
      <c r="AD1791" s="17"/>
      <c r="AE1791" s="145"/>
      <c r="AF1791" s="146"/>
      <c r="AG1791" s="146"/>
      <c r="AH1791" s="146"/>
      <c r="AI1791" s="147"/>
      <c r="AJ1791" s="148"/>
      <c r="AK1791" s="143"/>
      <c r="AL1791" s="144"/>
      <c r="AM1791" s="22"/>
      <c r="AN1791" s="149"/>
      <c r="AO1791" s="144"/>
      <c r="AP1791" s="148"/>
      <c r="AQ1791" s="144"/>
      <c r="AR1791" s="120"/>
      <c r="AS1791" s="121"/>
      <c r="AT1791" s="120"/>
      <c r="AU1791" s="121"/>
      <c r="AV1791" s="120"/>
      <c r="AW1791" s="121"/>
      <c r="AX1791" s="120"/>
      <c r="AY1791" s="121"/>
      <c r="AZ1791" s="138"/>
    </row>
    <row r="1792" spans="1:52" ht="17.100000000000001" customHeight="1" thickTop="1">
      <c r="A1792" s="109" t="s">
        <v>6632</v>
      </c>
      <c r="B1792" s="28">
        <v>45926</v>
      </c>
      <c r="C1792" s="25"/>
      <c r="D1792" s="13" t="s">
        <v>2043</v>
      </c>
      <c r="E1792" s="111"/>
      <c r="F1792" s="113" t="s">
        <v>5415</v>
      </c>
      <c r="G1792" s="114"/>
      <c r="H1792" s="115"/>
      <c r="I1792" s="24" t="s">
        <v>5416</v>
      </c>
      <c r="J1792" s="116">
        <v>6</v>
      </c>
      <c r="K1792" s="118">
        <f>2101000/1.1</f>
        <v>1909999.9999999998</v>
      </c>
      <c r="L1792" s="119"/>
      <c r="M1792" s="118">
        <f>K1792*0.1</f>
        <v>191000</v>
      </c>
      <c r="N1792" s="119"/>
      <c r="O1792" s="118">
        <v>0</v>
      </c>
      <c r="P1792" s="119"/>
      <c r="Q1792" s="118">
        <v>10000</v>
      </c>
      <c r="R1792" s="119"/>
      <c r="S1792" s="118">
        <v>107525</v>
      </c>
      <c r="T1792" s="119"/>
      <c r="U1792" s="118">
        <f>SUM(K1792:T1793)</f>
        <v>2218525</v>
      </c>
      <c r="V1792" s="122"/>
      <c r="W1792" s="124"/>
      <c r="X1792" s="126" t="s">
        <v>10200</v>
      </c>
      <c r="Y1792" s="127"/>
      <c r="Z1792" s="127"/>
      <c r="AA1792" s="127"/>
      <c r="AB1792" s="128"/>
      <c r="AC1792" s="15" t="s">
        <v>20</v>
      </c>
      <c r="AD1792" s="129" t="s">
        <v>1732</v>
      </c>
      <c r="AE1792" s="130"/>
      <c r="AF1792" s="130"/>
      <c r="AG1792" s="130"/>
      <c r="AH1792" s="130"/>
      <c r="AI1792" s="131"/>
      <c r="AJ1792" s="132"/>
      <c r="AK1792" s="127"/>
      <c r="AL1792" s="128"/>
      <c r="AM1792" s="21"/>
      <c r="AN1792" s="133">
        <v>45969</v>
      </c>
      <c r="AO1792" s="134"/>
      <c r="AP1792" s="135">
        <v>1275</v>
      </c>
      <c r="AQ1792" s="136"/>
      <c r="AR1792" s="118">
        <v>2455000</v>
      </c>
      <c r="AS1792" s="119"/>
      <c r="AT1792" s="118">
        <f>AR1792*0.1</f>
        <v>245500</v>
      </c>
      <c r="AU1792" s="119"/>
      <c r="AV1792" s="118">
        <v>10000</v>
      </c>
      <c r="AW1792" s="119"/>
      <c r="AX1792" s="118">
        <f>SUM(AR1792:AW1792)</f>
        <v>2710500</v>
      </c>
      <c r="AY1792" s="119"/>
      <c r="AZ1792" s="137">
        <v>45972</v>
      </c>
    </row>
    <row r="1793" spans="1:52" ht="17.100000000000001" customHeight="1" thickBot="1">
      <c r="A1793" s="110"/>
      <c r="B1793" s="27" t="s">
        <v>1718</v>
      </c>
      <c r="C1793" s="27" t="s">
        <v>5417</v>
      </c>
      <c r="D1793" s="14" t="s">
        <v>5418</v>
      </c>
      <c r="E1793" s="112"/>
      <c r="F1793" s="139" t="s">
        <v>5419</v>
      </c>
      <c r="G1793" s="140"/>
      <c r="H1793" s="141"/>
      <c r="I1793" s="26">
        <v>68</v>
      </c>
      <c r="J1793" s="117"/>
      <c r="K1793" s="120"/>
      <c r="L1793" s="121"/>
      <c r="M1793" s="120"/>
      <c r="N1793" s="121"/>
      <c r="O1793" s="120"/>
      <c r="P1793" s="121"/>
      <c r="Q1793" s="120"/>
      <c r="R1793" s="121"/>
      <c r="S1793" s="120"/>
      <c r="T1793" s="121"/>
      <c r="U1793" s="120"/>
      <c r="V1793" s="123"/>
      <c r="W1793" s="125"/>
      <c r="X1793" s="142" t="s">
        <v>10201</v>
      </c>
      <c r="Y1793" s="143"/>
      <c r="Z1793" s="143"/>
      <c r="AA1793" s="143"/>
      <c r="AB1793" s="144"/>
      <c r="AC1793" s="16" t="s">
        <v>21</v>
      </c>
      <c r="AD1793" s="17" t="s">
        <v>3397</v>
      </c>
      <c r="AE1793" s="145" t="s">
        <v>10202</v>
      </c>
      <c r="AF1793" s="146"/>
      <c r="AG1793" s="146"/>
      <c r="AH1793" s="146"/>
      <c r="AI1793" s="147"/>
      <c r="AJ1793" s="148"/>
      <c r="AK1793" s="143"/>
      <c r="AL1793" s="144"/>
      <c r="AM1793" s="22"/>
      <c r="AN1793" s="149" t="s">
        <v>2511</v>
      </c>
      <c r="AO1793" s="144"/>
      <c r="AP1793" s="148">
        <v>30027</v>
      </c>
      <c r="AQ1793" s="144"/>
      <c r="AR1793" s="120"/>
      <c r="AS1793" s="121"/>
      <c r="AT1793" s="120"/>
      <c r="AU1793" s="121"/>
      <c r="AV1793" s="120"/>
      <c r="AW1793" s="121"/>
      <c r="AX1793" s="120"/>
      <c r="AY1793" s="121"/>
      <c r="AZ1793" s="138"/>
    </row>
    <row r="1794" spans="1:52" ht="17.100000000000001" customHeight="1" thickTop="1">
      <c r="A1794" s="109" t="s">
        <v>6633</v>
      </c>
      <c r="B1794" s="28">
        <v>45926</v>
      </c>
      <c r="C1794" s="25"/>
      <c r="D1794" s="13" t="s">
        <v>2689</v>
      </c>
      <c r="E1794" s="111"/>
      <c r="F1794" s="113" t="s">
        <v>2950</v>
      </c>
      <c r="G1794" s="114"/>
      <c r="H1794" s="115"/>
      <c r="I1794" s="24" t="s">
        <v>4267</v>
      </c>
      <c r="J1794" s="116">
        <v>4.5</v>
      </c>
      <c r="K1794" s="118">
        <f>3542000/1.1</f>
        <v>3219999.9999999995</v>
      </c>
      <c r="L1794" s="119"/>
      <c r="M1794" s="118">
        <f>K1794*0.1</f>
        <v>322000</v>
      </c>
      <c r="N1794" s="119"/>
      <c r="O1794" s="118">
        <v>18100</v>
      </c>
      <c r="P1794" s="119"/>
      <c r="Q1794" s="118">
        <v>14900</v>
      </c>
      <c r="R1794" s="119"/>
      <c r="S1794" s="118">
        <v>143550</v>
      </c>
      <c r="T1794" s="119"/>
      <c r="U1794" s="118">
        <f>SUM(K1794:T1795)</f>
        <v>3718549.9999999995</v>
      </c>
      <c r="V1794" s="122"/>
      <c r="W1794" s="124"/>
      <c r="X1794" s="126" t="s">
        <v>9047</v>
      </c>
      <c r="Y1794" s="127"/>
      <c r="Z1794" s="127"/>
      <c r="AA1794" s="127"/>
      <c r="AB1794" s="128"/>
      <c r="AC1794" s="15" t="s">
        <v>20</v>
      </c>
      <c r="AD1794" s="129" t="s">
        <v>1605</v>
      </c>
      <c r="AE1794" s="130"/>
      <c r="AF1794" s="130"/>
      <c r="AG1794" s="130"/>
      <c r="AH1794" s="130"/>
      <c r="AI1794" s="131"/>
      <c r="AJ1794" s="132"/>
      <c r="AK1794" s="127"/>
      <c r="AL1794" s="128"/>
      <c r="AM1794" s="21"/>
      <c r="AN1794" s="133">
        <v>45948</v>
      </c>
      <c r="AO1794" s="134"/>
      <c r="AP1794" s="135">
        <v>1272</v>
      </c>
      <c r="AQ1794" s="136"/>
      <c r="AR1794" s="118">
        <v>3610000</v>
      </c>
      <c r="AS1794" s="119"/>
      <c r="AT1794" s="118">
        <f>AR1794*0.1</f>
        <v>361000</v>
      </c>
      <c r="AU1794" s="119"/>
      <c r="AV1794" s="118">
        <v>14900</v>
      </c>
      <c r="AW1794" s="119"/>
      <c r="AX1794" s="118">
        <f>SUM(AR1794:AW1794)</f>
        <v>3985900</v>
      </c>
      <c r="AY1794" s="119"/>
      <c r="AZ1794" s="137">
        <v>45958</v>
      </c>
    </row>
    <row r="1795" spans="1:52" ht="17.100000000000001" customHeight="1" thickBot="1">
      <c r="A1795" s="110"/>
      <c r="B1795" s="27" t="s">
        <v>1718</v>
      </c>
      <c r="C1795" s="27" t="s">
        <v>5420</v>
      </c>
      <c r="D1795" s="14" t="s">
        <v>275</v>
      </c>
      <c r="E1795" s="112"/>
      <c r="F1795" s="139" t="s">
        <v>5421</v>
      </c>
      <c r="G1795" s="140"/>
      <c r="H1795" s="141"/>
      <c r="I1795" s="26">
        <v>38149</v>
      </c>
      <c r="J1795" s="117"/>
      <c r="K1795" s="120"/>
      <c r="L1795" s="121"/>
      <c r="M1795" s="120"/>
      <c r="N1795" s="121"/>
      <c r="O1795" s="120"/>
      <c r="P1795" s="121"/>
      <c r="Q1795" s="120"/>
      <c r="R1795" s="121"/>
      <c r="S1795" s="120"/>
      <c r="T1795" s="121"/>
      <c r="U1795" s="120"/>
      <c r="V1795" s="123"/>
      <c r="W1795" s="125"/>
      <c r="X1795" s="142" t="s">
        <v>3602</v>
      </c>
      <c r="Y1795" s="143"/>
      <c r="Z1795" s="143"/>
      <c r="AA1795" s="143"/>
      <c r="AB1795" s="144"/>
      <c r="AC1795" s="16" t="s">
        <v>21</v>
      </c>
      <c r="AD1795" s="17" t="s">
        <v>8956</v>
      </c>
      <c r="AE1795" s="145" t="s">
        <v>5075</v>
      </c>
      <c r="AF1795" s="146"/>
      <c r="AG1795" s="146"/>
      <c r="AH1795" s="146"/>
      <c r="AI1795" s="147"/>
      <c r="AJ1795" s="148"/>
      <c r="AK1795" s="143"/>
      <c r="AL1795" s="144"/>
      <c r="AM1795" s="22"/>
      <c r="AN1795" s="149" t="s">
        <v>2511</v>
      </c>
      <c r="AO1795" s="144"/>
      <c r="AP1795" s="148">
        <v>37259</v>
      </c>
      <c r="AQ1795" s="144"/>
      <c r="AR1795" s="120"/>
      <c r="AS1795" s="121"/>
      <c r="AT1795" s="120"/>
      <c r="AU1795" s="121"/>
      <c r="AV1795" s="120"/>
      <c r="AW1795" s="121"/>
      <c r="AX1795" s="120"/>
      <c r="AY1795" s="121"/>
      <c r="AZ1795" s="138"/>
    </row>
    <row r="1796" spans="1:52" ht="17.100000000000001" customHeight="1" thickTop="1">
      <c r="A1796" s="109" t="s">
        <v>6634</v>
      </c>
      <c r="B1796" s="28">
        <v>45926</v>
      </c>
      <c r="C1796" s="25"/>
      <c r="D1796" s="13" t="s">
        <v>2616</v>
      </c>
      <c r="E1796" s="111"/>
      <c r="F1796" s="113" t="s">
        <v>5422</v>
      </c>
      <c r="G1796" s="114"/>
      <c r="H1796" s="115"/>
      <c r="I1796" s="24" t="s">
        <v>5423</v>
      </c>
      <c r="J1796" s="116">
        <v>4</v>
      </c>
      <c r="K1796" s="118">
        <f>2271500/1.1</f>
        <v>2064999.9999999998</v>
      </c>
      <c r="L1796" s="119"/>
      <c r="M1796" s="118">
        <f>K1796*0.1</f>
        <v>206500</v>
      </c>
      <c r="N1796" s="119"/>
      <c r="O1796" s="118">
        <v>12000</v>
      </c>
      <c r="P1796" s="119"/>
      <c r="Q1796" s="118">
        <v>12050</v>
      </c>
      <c r="R1796" s="119"/>
      <c r="S1796" s="118">
        <v>111788</v>
      </c>
      <c r="T1796" s="119"/>
      <c r="U1796" s="118">
        <f>SUM(K1796:T1797)</f>
        <v>2407338</v>
      </c>
      <c r="V1796" s="122"/>
      <c r="W1796" s="124"/>
      <c r="X1796" s="126" t="s">
        <v>11055</v>
      </c>
      <c r="Y1796" s="127"/>
      <c r="Z1796" s="127"/>
      <c r="AA1796" s="127"/>
      <c r="AB1796" s="128"/>
      <c r="AC1796" s="15" t="s">
        <v>20</v>
      </c>
      <c r="AD1796" s="129" t="s">
        <v>1605</v>
      </c>
      <c r="AE1796" s="130"/>
      <c r="AF1796" s="130"/>
      <c r="AG1796" s="130"/>
      <c r="AH1796" s="130"/>
      <c r="AI1796" s="131"/>
      <c r="AJ1796" s="132"/>
      <c r="AK1796" s="127"/>
      <c r="AL1796" s="128"/>
      <c r="AM1796" s="21"/>
      <c r="AN1796" s="133">
        <v>45983</v>
      </c>
      <c r="AO1796" s="134"/>
      <c r="AP1796" s="135">
        <v>1277</v>
      </c>
      <c r="AQ1796" s="136"/>
      <c r="AR1796" s="118">
        <v>2355000</v>
      </c>
      <c r="AS1796" s="119"/>
      <c r="AT1796" s="118">
        <f>AR1796*0.1</f>
        <v>235500</v>
      </c>
      <c r="AU1796" s="119"/>
      <c r="AV1796" s="118">
        <v>12050</v>
      </c>
      <c r="AW1796" s="119"/>
      <c r="AX1796" s="118">
        <f>SUM(AR1796:AW1796)</f>
        <v>2602550</v>
      </c>
      <c r="AY1796" s="119"/>
      <c r="AZ1796" s="137">
        <v>45987</v>
      </c>
    </row>
    <row r="1797" spans="1:52" ht="17.100000000000001" customHeight="1" thickBot="1">
      <c r="A1797" s="110"/>
      <c r="B1797" s="27" t="s">
        <v>1718</v>
      </c>
      <c r="C1797" s="27" t="s">
        <v>5424</v>
      </c>
      <c r="D1797" s="14" t="s">
        <v>275</v>
      </c>
      <c r="E1797" s="112"/>
      <c r="F1797" s="139" t="s">
        <v>5425</v>
      </c>
      <c r="G1797" s="140"/>
      <c r="H1797" s="141"/>
      <c r="I1797" s="26">
        <v>62773</v>
      </c>
      <c r="J1797" s="117"/>
      <c r="K1797" s="120"/>
      <c r="L1797" s="121"/>
      <c r="M1797" s="120"/>
      <c r="N1797" s="121"/>
      <c r="O1797" s="120"/>
      <c r="P1797" s="121"/>
      <c r="Q1797" s="120"/>
      <c r="R1797" s="121"/>
      <c r="S1797" s="120"/>
      <c r="T1797" s="121"/>
      <c r="U1797" s="120"/>
      <c r="V1797" s="123"/>
      <c r="W1797" s="125"/>
      <c r="X1797" s="142" t="s">
        <v>11056</v>
      </c>
      <c r="Y1797" s="143"/>
      <c r="Z1797" s="143"/>
      <c r="AA1797" s="143"/>
      <c r="AB1797" s="144"/>
      <c r="AC1797" s="16" t="s">
        <v>21</v>
      </c>
      <c r="AD1797" s="17" t="s">
        <v>10983</v>
      </c>
      <c r="AE1797" s="145" t="s">
        <v>11057</v>
      </c>
      <c r="AF1797" s="146"/>
      <c r="AG1797" s="146"/>
      <c r="AH1797" s="146"/>
      <c r="AI1797" s="147"/>
      <c r="AJ1797" s="148"/>
      <c r="AK1797" s="143"/>
      <c r="AL1797" s="144"/>
      <c r="AM1797" s="22"/>
      <c r="AN1797" s="149" t="s">
        <v>7284</v>
      </c>
      <c r="AO1797" s="144"/>
      <c r="AP1797" s="148">
        <v>37510</v>
      </c>
      <c r="AQ1797" s="144"/>
      <c r="AR1797" s="120"/>
      <c r="AS1797" s="121"/>
      <c r="AT1797" s="120"/>
      <c r="AU1797" s="121"/>
      <c r="AV1797" s="120"/>
      <c r="AW1797" s="121"/>
      <c r="AX1797" s="120"/>
      <c r="AY1797" s="121"/>
      <c r="AZ1797" s="138"/>
    </row>
    <row r="1798" spans="1:52" ht="17.100000000000001" customHeight="1" thickTop="1">
      <c r="A1798" s="109" t="s">
        <v>6635</v>
      </c>
      <c r="B1798" s="28">
        <v>45926</v>
      </c>
      <c r="C1798" s="25">
        <v>1387</v>
      </c>
      <c r="D1798" s="13" t="s">
        <v>2196</v>
      </c>
      <c r="E1798" s="111"/>
      <c r="F1798" s="113" t="s">
        <v>5369</v>
      </c>
      <c r="G1798" s="114"/>
      <c r="H1798" s="115"/>
      <c r="I1798" s="24"/>
      <c r="J1798" s="116">
        <v>4</v>
      </c>
      <c r="K1798" s="118">
        <v>431000</v>
      </c>
      <c r="L1798" s="119"/>
      <c r="M1798" s="118">
        <f>K1798*0.1</f>
        <v>43100</v>
      </c>
      <c r="N1798" s="119"/>
      <c r="O1798" s="118">
        <v>0</v>
      </c>
      <c r="P1798" s="119"/>
      <c r="Q1798" s="118">
        <v>8850</v>
      </c>
      <c r="R1798" s="119"/>
      <c r="S1798" s="118">
        <v>13200</v>
      </c>
      <c r="T1798" s="119"/>
      <c r="U1798" s="118">
        <f>SUM(K1798:T1799)</f>
        <v>496150</v>
      </c>
      <c r="V1798" s="122"/>
      <c r="W1798" s="124"/>
      <c r="X1798" s="126" t="s">
        <v>6878</v>
      </c>
      <c r="Y1798" s="127"/>
      <c r="Z1798" s="127"/>
      <c r="AA1798" s="127"/>
      <c r="AB1798" s="128"/>
      <c r="AC1798" s="15" t="s">
        <v>20</v>
      </c>
      <c r="AD1798" s="129" t="s">
        <v>5426</v>
      </c>
      <c r="AE1798" s="130"/>
      <c r="AF1798" s="130"/>
      <c r="AG1798" s="130"/>
      <c r="AH1798" s="130"/>
      <c r="AI1798" s="131"/>
      <c r="AJ1798" s="132"/>
      <c r="AK1798" s="127"/>
      <c r="AL1798" s="128"/>
      <c r="AM1798" s="21"/>
      <c r="AN1798" s="133">
        <v>45934</v>
      </c>
      <c r="AO1798" s="134"/>
      <c r="AP1798" s="135">
        <v>1270</v>
      </c>
      <c r="AQ1798" s="136"/>
      <c r="AR1798" s="118">
        <v>470000</v>
      </c>
      <c r="AS1798" s="119"/>
      <c r="AT1798" s="118">
        <f>AR1798*0.1</f>
        <v>47000</v>
      </c>
      <c r="AU1798" s="119"/>
      <c r="AV1798" s="118">
        <v>8850</v>
      </c>
      <c r="AW1798" s="119"/>
      <c r="AX1798" s="118">
        <f>SUM(AR1798:AW1798)</f>
        <v>525850</v>
      </c>
      <c r="AY1798" s="119"/>
      <c r="AZ1798" s="137">
        <v>45937</v>
      </c>
    </row>
    <row r="1799" spans="1:52" ht="17.100000000000001" customHeight="1" thickBot="1">
      <c r="A1799" s="110"/>
      <c r="B1799" s="27" t="s">
        <v>2641</v>
      </c>
      <c r="C1799" s="27">
        <v>1831</v>
      </c>
      <c r="D1799" s="14" t="s">
        <v>275</v>
      </c>
      <c r="E1799" s="112"/>
      <c r="F1799" s="139" t="s">
        <v>5427</v>
      </c>
      <c r="G1799" s="140"/>
      <c r="H1799" s="141"/>
      <c r="I1799" s="26">
        <v>27021</v>
      </c>
      <c r="J1799" s="117"/>
      <c r="K1799" s="120"/>
      <c r="L1799" s="121"/>
      <c r="M1799" s="120"/>
      <c r="N1799" s="121"/>
      <c r="O1799" s="120"/>
      <c r="P1799" s="121"/>
      <c r="Q1799" s="120"/>
      <c r="R1799" s="121"/>
      <c r="S1799" s="120"/>
      <c r="T1799" s="121"/>
      <c r="U1799" s="120"/>
      <c r="V1799" s="123"/>
      <c r="W1799" s="125"/>
      <c r="X1799" s="142" t="s">
        <v>6879</v>
      </c>
      <c r="Y1799" s="143"/>
      <c r="Z1799" s="143"/>
      <c r="AA1799" s="143"/>
      <c r="AB1799" s="144"/>
      <c r="AC1799" s="16" t="s">
        <v>21</v>
      </c>
      <c r="AD1799" s="17" t="s">
        <v>6716</v>
      </c>
      <c r="AE1799" s="145" t="s">
        <v>6880</v>
      </c>
      <c r="AF1799" s="146"/>
      <c r="AG1799" s="146"/>
      <c r="AH1799" s="146"/>
      <c r="AI1799" s="147"/>
      <c r="AJ1799" s="148"/>
      <c r="AK1799" s="143"/>
      <c r="AL1799" s="144"/>
      <c r="AM1799" s="22"/>
      <c r="AN1799" s="149" t="s">
        <v>7284</v>
      </c>
      <c r="AO1799" s="144"/>
      <c r="AP1799" s="148">
        <v>60045</v>
      </c>
      <c r="AQ1799" s="144"/>
      <c r="AR1799" s="120"/>
      <c r="AS1799" s="121"/>
      <c r="AT1799" s="120"/>
      <c r="AU1799" s="121"/>
      <c r="AV1799" s="120"/>
      <c r="AW1799" s="121"/>
      <c r="AX1799" s="120"/>
      <c r="AY1799" s="121"/>
      <c r="AZ1799" s="138"/>
    </row>
    <row r="1800" spans="1:52" ht="17.100000000000001" customHeight="1" thickTop="1">
      <c r="A1800" s="109" t="s">
        <v>6636</v>
      </c>
      <c r="B1800" s="28">
        <v>45926</v>
      </c>
      <c r="C1800" s="25">
        <v>1387</v>
      </c>
      <c r="D1800" s="13" t="s">
        <v>1920</v>
      </c>
      <c r="E1800" s="111"/>
      <c r="F1800" s="113" t="s">
        <v>5428</v>
      </c>
      <c r="G1800" s="114"/>
      <c r="H1800" s="115"/>
      <c r="I1800" s="24"/>
      <c r="J1800" s="116">
        <v>4</v>
      </c>
      <c r="K1800" s="118">
        <v>339000</v>
      </c>
      <c r="L1800" s="119"/>
      <c r="M1800" s="118">
        <f>K1800*0.1</f>
        <v>33900</v>
      </c>
      <c r="N1800" s="119"/>
      <c r="O1800" s="118">
        <v>0</v>
      </c>
      <c r="P1800" s="119"/>
      <c r="Q1800" s="118">
        <v>7750</v>
      </c>
      <c r="R1800" s="119"/>
      <c r="S1800" s="118">
        <v>13200</v>
      </c>
      <c r="T1800" s="119"/>
      <c r="U1800" s="118">
        <f>SUM(K1800:T1801)</f>
        <v>393850</v>
      </c>
      <c r="V1800" s="122"/>
      <c r="W1800" s="124"/>
      <c r="X1800" s="126" t="s">
        <v>6877</v>
      </c>
      <c r="Y1800" s="127"/>
      <c r="Z1800" s="127"/>
      <c r="AA1800" s="127"/>
      <c r="AB1800" s="128"/>
      <c r="AC1800" s="15" t="s">
        <v>20</v>
      </c>
      <c r="AD1800" s="129"/>
      <c r="AE1800" s="130"/>
      <c r="AF1800" s="130"/>
      <c r="AG1800" s="130"/>
      <c r="AH1800" s="130"/>
      <c r="AI1800" s="131"/>
      <c r="AJ1800" s="132"/>
      <c r="AK1800" s="127"/>
      <c r="AL1800" s="128"/>
      <c r="AM1800" s="21"/>
      <c r="AN1800" s="133">
        <v>45934</v>
      </c>
      <c r="AO1800" s="134"/>
      <c r="AP1800" s="135">
        <v>1270</v>
      </c>
      <c r="AQ1800" s="136"/>
      <c r="AR1800" s="118">
        <v>395000</v>
      </c>
      <c r="AS1800" s="119"/>
      <c r="AT1800" s="118">
        <f>AR1800*0.1</f>
        <v>39500</v>
      </c>
      <c r="AU1800" s="119"/>
      <c r="AV1800" s="118">
        <v>7750</v>
      </c>
      <c r="AW1800" s="119"/>
      <c r="AX1800" s="118">
        <f>SUM(AR1800:AW1800)</f>
        <v>442250</v>
      </c>
      <c r="AY1800" s="119"/>
      <c r="AZ1800" s="137">
        <v>45937</v>
      </c>
    </row>
    <row r="1801" spans="1:52" ht="17.100000000000001" customHeight="1" thickBot="1">
      <c r="A1801" s="110"/>
      <c r="B1801" s="27" t="s">
        <v>2641</v>
      </c>
      <c r="C1801" s="27">
        <v>2171</v>
      </c>
      <c r="D1801" s="14" t="s">
        <v>2601</v>
      </c>
      <c r="E1801" s="112"/>
      <c r="F1801" s="139" t="s">
        <v>5429</v>
      </c>
      <c r="G1801" s="140"/>
      <c r="H1801" s="141"/>
      <c r="I1801" s="26">
        <v>45447</v>
      </c>
      <c r="J1801" s="117"/>
      <c r="K1801" s="120"/>
      <c r="L1801" s="121"/>
      <c r="M1801" s="120"/>
      <c r="N1801" s="121"/>
      <c r="O1801" s="120"/>
      <c r="P1801" s="121"/>
      <c r="Q1801" s="120"/>
      <c r="R1801" s="121"/>
      <c r="S1801" s="120"/>
      <c r="T1801" s="121"/>
      <c r="U1801" s="120"/>
      <c r="V1801" s="123"/>
      <c r="W1801" s="125"/>
      <c r="X1801" s="142" t="s">
        <v>2891</v>
      </c>
      <c r="Y1801" s="143"/>
      <c r="Z1801" s="143"/>
      <c r="AA1801" s="143"/>
      <c r="AB1801" s="144"/>
      <c r="AC1801" s="16" t="s">
        <v>21</v>
      </c>
      <c r="AD1801" s="17" t="s">
        <v>6716</v>
      </c>
      <c r="AE1801" s="145" t="s">
        <v>7117</v>
      </c>
      <c r="AF1801" s="146"/>
      <c r="AG1801" s="146"/>
      <c r="AH1801" s="146"/>
      <c r="AI1801" s="147"/>
      <c r="AJ1801" s="148"/>
      <c r="AK1801" s="143"/>
      <c r="AL1801" s="144"/>
      <c r="AM1801" s="22"/>
      <c r="AN1801" s="149" t="s">
        <v>7284</v>
      </c>
      <c r="AO1801" s="144"/>
      <c r="AP1801" s="148">
        <v>60035</v>
      </c>
      <c r="AQ1801" s="144"/>
      <c r="AR1801" s="120"/>
      <c r="AS1801" s="121"/>
      <c r="AT1801" s="120"/>
      <c r="AU1801" s="121"/>
      <c r="AV1801" s="120"/>
      <c r="AW1801" s="121"/>
      <c r="AX1801" s="120"/>
      <c r="AY1801" s="121"/>
      <c r="AZ1801" s="138"/>
    </row>
    <row r="1802" spans="1:52" ht="17.100000000000001" customHeight="1" thickTop="1">
      <c r="A1802" s="109" t="s">
        <v>6637</v>
      </c>
      <c r="B1802" s="28">
        <v>45926</v>
      </c>
      <c r="C1802" s="25">
        <v>1387</v>
      </c>
      <c r="D1802" s="13" t="s">
        <v>1561</v>
      </c>
      <c r="E1802" s="111"/>
      <c r="F1802" s="113" t="s">
        <v>5430</v>
      </c>
      <c r="G1802" s="114"/>
      <c r="H1802" s="115"/>
      <c r="I1802" s="24" t="s">
        <v>5431</v>
      </c>
      <c r="J1802" s="116">
        <v>4</v>
      </c>
      <c r="K1802" s="118">
        <v>270000</v>
      </c>
      <c r="L1802" s="119"/>
      <c r="M1802" s="118">
        <f>K1802*0.1</f>
        <v>27000</v>
      </c>
      <c r="N1802" s="119"/>
      <c r="O1802" s="118">
        <v>0</v>
      </c>
      <c r="P1802" s="119"/>
      <c r="Q1802" s="118">
        <v>9790</v>
      </c>
      <c r="R1802" s="119"/>
      <c r="S1802" s="118">
        <v>13200</v>
      </c>
      <c r="T1802" s="119"/>
      <c r="U1802" s="118">
        <f>SUM(K1802:T1803)</f>
        <v>319990</v>
      </c>
      <c r="V1802" s="122"/>
      <c r="W1802" s="124"/>
      <c r="X1802" s="126" t="s">
        <v>6901</v>
      </c>
      <c r="Y1802" s="127"/>
      <c r="Z1802" s="127"/>
      <c r="AA1802" s="127"/>
      <c r="AB1802" s="128"/>
      <c r="AC1802" s="15" t="s">
        <v>20</v>
      </c>
      <c r="AD1802" s="129"/>
      <c r="AE1802" s="130"/>
      <c r="AF1802" s="130"/>
      <c r="AG1802" s="130"/>
      <c r="AH1802" s="130"/>
      <c r="AI1802" s="131"/>
      <c r="AJ1802" s="132"/>
      <c r="AK1802" s="127"/>
      <c r="AL1802" s="128"/>
      <c r="AM1802" s="21" t="s">
        <v>7350</v>
      </c>
      <c r="AN1802" s="133">
        <v>45934</v>
      </c>
      <c r="AO1802" s="134"/>
      <c r="AP1802" s="135">
        <v>1270</v>
      </c>
      <c r="AQ1802" s="136"/>
      <c r="AR1802" s="118">
        <v>285000</v>
      </c>
      <c r="AS1802" s="119"/>
      <c r="AT1802" s="118">
        <f>AR1802*0.1</f>
        <v>28500</v>
      </c>
      <c r="AU1802" s="119"/>
      <c r="AV1802" s="118">
        <v>9790</v>
      </c>
      <c r="AW1802" s="119"/>
      <c r="AX1802" s="118">
        <f>SUM(AR1802:AW1802)</f>
        <v>323290</v>
      </c>
      <c r="AY1802" s="119"/>
      <c r="AZ1802" s="137">
        <v>45939</v>
      </c>
    </row>
    <row r="1803" spans="1:52" ht="17.100000000000001" customHeight="1" thickBot="1">
      <c r="A1803" s="110"/>
      <c r="B1803" s="27" t="s">
        <v>2641</v>
      </c>
      <c r="C1803" s="27">
        <v>2241</v>
      </c>
      <c r="D1803" s="14" t="s">
        <v>2601</v>
      </c>
      <c r="E1803" s="112"/>
      <c r="F1803" s="139" t="s">
        <v>5432</v>
      </c>
      <c r="G1803" s="140"/>
      <c r="H1803" s="141"/>
      <c r="I1803" s="26">
        <v>140520</v>
      </c>
      <c r="J1803" s="117"/>
      <c r="K1803" s="120"/>
      <c r="L1803" s="121"/>
      <c r="M1803" s="120"/>
      <c r="N1803" s="121"/>
      <c r="O1803" s="120"/>
      <c r="P1803" s="121"/>
      <c r="Q1803" s="120"/>
      <c r="R1803" s="121"/>
      <c r="S1803" s="120"/>
      <c r="T1803" s="121"/>
      <c r="U1803" s="120"/>
      <c r="V1803" s="123"/>
      <c r="W1803" s="125"/>
      <c r="X1803" s="142" t="s">
        <v>2891</v>
      </c>
      <c r="Y1803" s="143"/>
      <c r="Z1803" s="143"/>
      <c r="AA1803" s="143"/>
      <c r="AB1803" s="144"/>
      <c r="AC1803" s="16" t="s">
        <v>21</v>
      </c>
      <c r="AD1803" s="17" t="s">
        <v>6716</v>
      </c>
      <c r="AE1803" s="145"/>
      <c r="AF1803" s="146"/>
      <c r="AG1803" s="146"/>
      <c r="AH1803" s="146"/>
      <c r="AI1803" s="147"/>
      <c r="AJ1803" s="148"/>
      <c r="AK1803" s="143"/>
      <c r="AL1803" s="144"/>
      <c r="AM1803" s="22"/>
      <c r="AN1803" s="149" t="s">
        <v>7284</v>
      </c>
      <c r="AO1803" s="144"/>
      <c r="AP1803" s="148">
        <v>60386</v>
      </c>
      <c r="AQ1803" s="144"/>
      <c r="AR1803" s="120"/>
      <c r="AS1803" s="121"/>
      <c r="AT1803" s="120"/>
      <c r="AU1803" s="121"/>
      <c r="AV1803" s="120"/>
      <c r="AW1803" s="121"/>
      <c r="AX1803" s="120"/>
      <c r="AY1803" s="121"/>
      <c r="AZ1803" s="138"/>
    </row>
    <row r="1804" spans="1:52" ht="17.100000000000001" customHeight="1" thickTop="1">
      <c r="A1804" s="109" t="s">
        <v>6638</v>
      </c>
      <c r="B1804" s="28">
        <v>45926</v>
      </c>
      <c r="C1804" s="25">
        <v>1387</v>
      </c>
      <c r="D1804" s="13" t="s">
        <v>2036</v>
      </c>
      <c r="E1804" s="111"/>
      <c r="F1804" s="113" t="s">
        <v>5433</v>
      </c>
      <c r="G1804" s="114"/>
      <c r="H1804" s="115"/>
      <c r="I1804" s="24" t="s">
        <v>4330</v>
      </c>
      <c r="J1804" s="116">
        <v>4</v>
      </c>
      <c r="K1804" s="118">
        <v>1345000</v>
      </c>
      <c r="L1804" s="119"/>
      <c r="M1804" s="118">
        <f>K1804*0.1</f>
        <v>134500</v>
      </c>
      <c r="N1804" s="119"/>
      <c r="O1804" s="118">
        <f>7100+710</f>
        <v>7810</v>
      </c>
      <c r="P1804" s="119"/>
      <c r="Q1804" s="118">
        <v>8990</v>
      </c>
      <c r="R1804" s="119"/>
      <c r="S1804" s="118">
        <v>13200</v>
      </c>
      <c r="T1804" s="119"/>
      <c r="U1804" s="118">
        <f>SUM(K1804:T1805)</f>
        <v>1509500</v>
      </c>
      <c r="V1804" s="122"/>
      <c r="W1804" s="124"/>
      <c r="X1804" s="126" t="s">
        <v>6881</v>
      </c>
      <c r="Y1804" s="127"/>
      <c r="Z1804" s="127"/>
      <c r="AA1804" s="127"/>
      <c r="AB1804" s="128"/>
      <c r="AC1804" s="15" t="s">
        <v>20</v>
      </c>
      <c r="AD1804" s="129" t="s">
        <v>4420</v>
      </c>
      <c r="AE1804" s="130"/>
      <c r="AF1804" s="130"/>
      <c r="AG1804" s="130"/>
      <c r="AH1804" s="130"/>
      <c r="AI1804" s="131"/>
      <c r="AJ1804" s="132"/>
      <c r="AK1804" s="127"/>
      <c r="AL1804" s="128"/>
      <c r="AM1804" s="21"/>
      <c r="AN1804" s="133">
        <v>45941</v>
      </c>
      <c r="AO1804" s="134"/>
      <c r="AP1804" s="135">
        <v>1271</v>
      </c>
      <c r="AQ1804" s="136"/>
      <c r="AR1804" s="118">
        <v>1475000</v>
      </c>
      <c r="AS1804" s="119"/>
      <c r="AT1804" s="118">
        <f>AR1804*0.1</f>
        <v>147500</v>
      </c>
      <c r="AU1804" s="119"/>
      <c r="AV1804" s="118">
        <v>8990</v>
      </c>
      <c r="AW1804" s="119"/>
      <c r="AX1804" s="118">
        <f>SUM(AR1804:AW1804)</f>
        <v>1631490</v>
      </c>
      <c r="AY1804" s="119"/>
      <c r="AZ1804" s="137">
        <v>45944</v>
      </c>
    </row>
    <row r="1805" spans="1:52" ht="17.100000000000001" customHeight="1" thickBot="1">
      <c r="A1805" s="110"/>
      <c r="B1805" s="27" t="s">
        <v>2641</v>
      </c>
      <c r="C1805" s="27">
        <v>3011</v>
      </c>
      <c r="D1805" s="14" t="s">
        <v>1592</v>
      </c>
      <c r="E1805" s="112"/>
      <c r="F1805" s="139" t="s">
        <v>5434</v>
      </c>
      <c r="G1805" s="140"/>
      <c r="H1805" s="141"/>
      <c r="I1805" s="26">
        <v>26149</v>
      </c>
      <c r="J1805" s="117"/>
      <c r="K1805" s="120"/>
      <c r="L1805" s="121"/>
      <c r="M1805" s="120"/>
      <c r="N1805" s="121"/>
      <c r="O1805" s="120"/>
      <c r="P1805" s="121"/>
      <c r="Q1805" s="120"/>
      <c r="R1805" s="121"/>
      <c r="S1805" s="120"/>
      <c r="T1805" s="121"/>
      <c r="U1805" s="120"/>
      <c r="V1805" s="123"/>
      <c r="W1805" s="125"/>
      <c r="X1805" s="142" t="s">
        <v>6882</v>
      </c>
      <c r="Y1805" s="143"/>
      <c r="Z1805" s="143"/>
      <c r="AA1805" s="143"/>
      <c r="AB1805" s="144"/>
      <c r="AC1805" s="16" t="s">
        <v>21</v>
      </c>
      <c r="AD1805" s="17" t="s">
        <v>6716</v>
      </c>
      <c r="AE1805" s="145" t="s">
        <v>4420</v>
      </c>
      <c r="AF1805" s="146"/>
      <c r="AG1805" s="146"/>
      <c r="AH1805" s="146"/>
      <c r="AI1805" s="147"/>
      <c r="AJ1805" s="148"/>
      <c r="AK1805" s="143"/>
      <c r="AL1805" s="144"/>
      <c r="AM1805" s="22" t="s">
        <v>3483</v>
      </c>
      <c r="AN1805" s="149" t="s">
        <v>2511</v>
      </c>
      <c r="AO1805" s="144"/>
      <c r="AP1805" s="148">
        <v>41030</v>
      </c>
      <c r="AQ1805" s="144"/>
      <c r="AR1805" s="120"/>
      <c r="AS1805" s="121"/>
      <c r="AT1805" s="120"/>
      <c r="AU1805" s="121"/>
      <c r="AV1805" s="120"/>
      <c r="AW1805" s="121"/>
      <c r="AX1805" s="120"/>
      <c r="AY1805" s="121"/>
      <c r="AZ1805" s="138"/>
    </row>
    <row r="1806" spans="1:52" ht="17.100000000000001" customHeight="1" thickTop="1">
      <c r="A1806" s="109" t="s">
        <v>6639</v>
      </c>
      <c r="B1806" s="28">
        <v>45926</v>
      </c>
      <c r="C1806" s="25">
        <v>1387</v>
      </c>
      <c r="D1806" s="13" t="s">
        <v>3381</v>
      </c>
      <c r="E1806" s="111"/>
      <c r="F1806" s="113" t="s">
        <v>5435</v>
      </c>
      <c r="G1806" s="114"/>
      <c r="H1806" s="115"/>
      <c r="I1806" s="24"/>
      <c r="J1806" s="116">
        <v>4</v>
      </c>
      <c r="K1806" s="118">
        <v>653000</v>
      </c>
      <c r="L1806" s="119"/>
      <c r="M1806" s="118">
        <f>K1806*0.1</f>
        <v>65300</v>
      </c>
      <c r="N1806" s="119"/>
      <c r="O1806" s="118">
        <v>0</v>
      </c>
      <c r="P1806" s="119"/>
      <c r="Q1806" s="118">
        <v>7950</v>
      </c>
      <c r="R1806" s="119"/>
      <c r="S1806" s="118">
        <v>13200</v>
      </c>
      <c r="T1806" s="119"/>
      <c r="U1806" s="118">
        <f>SUM(K1806:T1807)</f>
        <v>739450</v>
      </c>
      <c r="V1806" s="122"/>
      <c r="W1806" s="124"/>
      <c r="X1806" s="126" t="s">
        <v>6891</v>
      </c>
      <c r="Y1806" s="127"/>
      <c r="Z1806" s="127"/>
      <c r="AA1806" s="127"/>
      <c r="AB1806" s="128"/>
      <c r="AC1806" s="15" t="s">
        <v>20</v>
      </c>
      <c r="AD1806" s="129" t="s">
        <v>5436</v>
      </c>
      <c r="AE1806" s="130"/>
      <c r="AF1806" s="130"/>
      <c r="AG1806" s="130"/>
      <c r="AH1806" s="130"/>
      <c r="AI1806" s="131"/>
      <c r="AJ1806" s="132"/>
      <c r="AK1806" s="127"/>
      <c r="AL1806" s="128"/>
      <c r="AM1806" s="21" t="s">
        <v>3178</v>
      </c>
      <c r="AN1806" s="133"/>
      <c r="AO1806" s="134"/>
      <c r="AP1806" s="135"/>
      <c r="AQ1806" s="136"/>
      <c r="AR1806" s="118"/>
      <c r="AS1806" s="119"/>
      <c r="AT1806" s="118">
        <f>AR1806*0.1</f>
        <v>0</v>
      </c>
      <c r="AU1806" s="119"/>
      <c r="AV1806" s="118"/>
      <c r="AW1806" s="119"/>
      <c r="AX1806" s="118">
        <f>SUM(AR1806:AW1806)</f>
        <v>0</v>
      </c>
      <c r="AY1806" s="119"/>
      <c r="AZ1806" s="137"/>
    </row>
    <row r="1807" spans="1:52" ht="17.100000000000001" customHeight="1" thickBot="1">
      <c r="A1807" s="110"/>
      <c r="B1807" s="27" t="s">
        <v>2641</v>
      </c>
      <c r="C1807" s="27">
        <v>3021</v>
      </c>
      <c r="D1807" s="14" t="s">
        <v>1812</v>
      </c>
      <c r="E1807" s="112"/>
      <c r="F1807" s="139" t="s">
        <v>5437</v>
      </c>
      <c r="G1807" s="140"/>
      <c r="H1807" s="141"/>
      <c r="I1807" s="26">
        <v>49893</v>
      </c>
      <c r="J1807" s="117"/>
      <c r="K1807" s="120"/>
      <c r="L1807" s="121"/>
      <c r="M1807" s="120"/>
      <c r="N1807" s="121"/>
      <c r="O1807" s="120"/>
      <c r="P1807" s="121"/>
      <c r="Q1807" s="120"/>
      <c r="R1807" s="121"/>
      <c r="S1807" s="120"/>
      <c r="T1807" s="121"/>
      <c r="U1807" s="120"/>
      <c r="V1807" s="123"/>
      <c r="W1807" s="125"/>
      <c r="X1807" s="142" t="s">
        <v>4296</v>
      </c>
      <c r="Y1807" s="143"/>
      <c r="Z1807" s="143"/>
      <c r="AA1807" s="143"/>
      <c r="AB1807" s="144"/>
      <c r="AC1807" s="16" t="s">
        <v>21</v>
      </c>
      <c r="AD1807" s="17" t="s">
        <v>6716</v>
      </c>
      <c r="AE1807" s="145" t="s">
        <v>6892</v>
      </c>
      <c r="AF1807" s="146"/>
      <c r="AG1807" s="146"/>
      <c r="AH1807" s="146"/>
      <c r="AI1807" s="147"/>
      <c r="AJ1807" s="148"/>
      <c r="AK1807" s="143"/>
      <c r="AL1807" s="144"/>
      <c r="AM1807" s="22"/>
      <c r="AN1807" s="149"/>
      <c r="AO1807" s="144"/>
      <c r="AP1807" s="148"/>
      <c r="AQ1807" s="144"/>
      <c r="AR1807" s="120"/>
      <c r="AS1807" s="121"/>
      <c r="AT1807" s="120"/>
      <c r="AU1807" s="121"/>
      <c r="AV1807" s="120"/>
      <c r="AW1807" s="121"/>
      <c r="AX1807" s="120"/>
      <c r="AY1807" s="121"/>
      <c r="AZ1807" s="138"/>
    </row>
    <row r="1808" spans="1:52" ht="17.100000000000001" customHeight="1" thickTop="1">
      <c r="A1808" s="109" t="s">
        <v>6640</v>
      </c>
      <c r="B1808" s="28">
        <v>45926</v>
      </c>
      <c r="C1808" s="25">
        <v>1387</v>
      </c>
      <c r="D1808" s="13" t="s">
        <v>1631</v>
      </c>
      <c r="E1808" s="111"/>
      <c r="F1808" s="113" t="s">
        <v>5438</v>
      </c>
      <c r="G1808" s="114"/>
      <c r="H1808" s="115"/>
      <c r="I1808" s="24" t="s">
        <v>5439</v>
      </c>
      <c r="J1808" s="116">
        <v>4</v>
      </c>
      <c r="K1808" s="118">
        <v>674000</v>
      </c>
      <c r="L1808" s="119"/>
      <c r="M1808" s="118">
        <f>K1808*0.1</f>
        <v>67400</v>
      </c>
      <c r="N1808" s="119"/>
      <c r="O1808" s="118">
        <v>0</v>
      </c>
      <c r="P1808" s="119"/>
      <c r="Q1808" s="118">
        <v>7140</v>
      </c>
      <c r="R1808" s="119"/>
      <c r="S1808" s="118">
        <v>13200</v>
      </c>
      <c r="T1808" s="119"/>
      <c r="U1808" s="118">
        <f>SUM(K1808:T1809)</f>
        <v>761740</v>
      </c>
      <c r="V1808" s="122"/>
      <c r="W1808" s="124"/>
      <c r="X1808" s="126" t="s">
        <v>6886</v>
      </c>
      <c r="Y1808" s="127"/>
      <c r="Z1808" s="127"/>
      <c r="AA1808" s="127"/>
      <c r="AB1808" s="128"/>
      <c r="AC1808" s="15" t="s">
        <v>20</v>
      </c>
      <c r="AD1808" s="129" t="s">
        <v>3896</v>
      </c>
      <c r="AE1808" s="130"/>
      <c r="AF1808" s="130"/>
      <c r="AG1808" s="130"/>
      <c r="AH1808" s="130"/>
      <c r="AI1808" s="131"/>
      <c r="AJ1808" s="132"/>
      <c r="AK1808" s="127"/>
      <c r="AL1808" s="128"/>
      <c r="AM1808" s="21" t="s">
        <v>7749</v>
      </c>
      <c r="AN1808" s="133">
        <v>45934</v>
      </c>
      <c r="AO1808" s="134"/>
      <c r="AP1808" s="135">
        <v>1270</v>
      </c>
      <c r="AQ1808" s="136"/>
      <c r="AR1808" s="118">
        <v>750000</v>
      </c>
      <c r="AS1808" s="119"/>
      <c r="AT1808" s="118">
        <f>AR1808*0.1</f>
        <v>75000</v>
      </c>
      <c r="AU1808" s="119"/>
      <c r="AV1808" s="118">
        <v>7140</v>
      </c>
      <c r="AW1808" s="119"/>
      <c r="AX1808" s="118">
        <f>SUM(AR1808:AW1808)</f>
        <v>832140</v>
      </c>
      <c r="AY1808" s="119"/>
      <c r="AZ1808" s="137">
        <v>45944</v>
      </c>
    </row>
    <row r="1809" spans="1:52" ht="17.100000000000001" customHeight="1" thickBot="1">
      <c r="A1809" s="110"/>
      <c r="B1809" s="27" t="s">
        <v>2641</v>
      </c>
      <c r="C1809" s="27">
        <v>3033</v>
      </c>
      <c r="D1809" s="14" t="s">
        <v>1720</v>
      </c>
      <c r="E1809" s="112"/>
      <c r="F1809" s="139" t="s">
        <v>5440</v>
      </c>
      <c r="G1809" s="140"/>
      <c r="H1809" s="141"/>
      <c r="I1809" s="26">
        <v>21914</v>
      </c>
      <c r="J1809" s="117"/>
      <c r="K1809" s="120"/>
      <c r="L1809" s="121"/>
      <c r="M1809" s="120"/>
      <c r="N1809" s="121"/>
      <c r="O1809" s="120"/>
      <c r="P1809" s="121"/>
      <c r="Q1809" s="120"/>
      <c r="R1809" s="121"/>
      <c r="S1809" s="120"/>
      <c r="T1809" s="121"/>
      <c r="U1809" s="120"/>
      <c r="V1809" s="123"/>
      <c r="W1809" s="125"/>
      <c r="X1809" s="142" t="s">
        <v>6887</v>
      </c>
      <c r="Y1809" s="143"/>
      <c r="Z1809" s="143"/>
      <c r="AA1809" s="143"/>
      <c r="AB1809" s="144"/>
      <c r="AC1809" s="16" t="s">
        <v>21</v>
      </c>
      <c r="AD1809" s="17" t="s">
        <v>6716</v>
      </c>
      <c r="AE1809" s="145" t="s">
        <v>28</v>
      </c>
      <c r="AF1809" s="146"/>
      <c r="AG1809" s="146"/>
      <c r="AH1809" s="146"/>
      <c r="AI1809" s="147"/>
      <c r="AJ1809" s="148"/>
      <c r="AK1809" s="143"/>
      <c r="AL1809" s="144"/>
      <c r="AM1809" s="22"/>
      <c r="AN1809" s="149" t="s">
        <v>6748</v>
      </c>
      <c r="AO1809" s="144"/>
      <c r="AP1809" s="148">
        <v>60039</v>
      </c>
      <c r="AQ1809" s="144"/>
      <c r="AR1809" s="120"/>
      <c r="AS1809" s="121"/>
      <c r="AT1809" s="120"/>
      <c r="AU1809" s="121"/>
      <c r="AV1809" s="120"/>
      <c r="AW1809" s="121"/>
      <c r="AX1809" s="120"/>
      <c r="AY1809" s="121"/>
      <c r="AZ1809" s="138"/>
    </row>
    <row r="1810" spans="1:52" ht="17.100000000000001" customHeight="1" thickTop="1">
      <c r="A1810" s="109" t="s">
        <v>6641</v>
      </c>
      <c r="B1810" s="28">
        <v>45926</v>
      </c>
      <c r="C1810" s="25">
        <v>1387</v>
      </c>
      <c r="D1810" s="13" t="s">
        <v>1686</v>
      </c>
      <c r="E1810" s="111"/>
      <c r="F1810" s="113" t="s">
        <v>5441</v>
      </c>
      <c r="G1810" s="114"/>
      <c r="H1810" s="115"/>
      <c r="I1810" s="24" t="s">
        <v>4061</v>
      </c>
      <c r="J1810" s="116">
        <v>4.5</v>
      </c>
      <c r="K1810" s="118">
        <v>933000</v>
      </c>
      <c r="L1810" s="119"/>
      <c r="M1810" s="118">
        <f>K1810*0.1</f>
        <v>93300</v>
      </c>
      <c r="N1810" s="119"/>
      <c r="O1810" s="118">
        <v>0</v>
      </c>
      <c r="P1810" s="119"/>
      <c r="Q1810" s="118">
        <v>8990</v>
      </c>
      <c r="R1810" s="119"/>
      <c r="S1810" s="118">
        <v>13200</v>
      </c>
      <c r="T1810" s="119"/>
      <c r="U1810" s="118">
        <f>SUM(K1810:T1811)</f>
        <v>1048490</v>
      </c>
      <c r="V1810" s="122"/>
      <c r="W1810" s="124"/>
      <c r="X1810" s="126" t="s">
        <v>6883</v>
      </c>
      <c r="Y1810" s="127"/>
      <c r="Z1810" s="127"/>
      <c r="AA1810" s="127"/>
      <c r="AB1810" s="128"/>
      <c r="AC1810" s="15" t="s">
        <v>20</v>
      </c>
      <c r="AD1810" s="129" t="s">
        <v>5442</v>
      </c>
      <c r="AE1810" s="130"/>
      <c r="AF1810" s="130"/>
      <c r="AG1810" s="130"/>
      <c r="AH1810" s="130"/>
      <c r="AI1810" s="131"/>
      <c r="AJ1810" s="132"/>
      <c r="AK1810" s="127"/>
      <c r="AL1810" s="128"/>
      <c r="AM1810" s="21" t="s">
        <v>8297</v>
      </c>
      <c r="AN1810" s="133">
        <v>45945</v>
      </c>
      <c r="AO1810" s="134"/>
      <c r="AP1810" s="135">
        <v>988</v>
      </c>
      <c r="AQ1810" s="136"/>
      <c r="AR1810" s="118">
        <v>980000</v>
      </c>
      <c r="AS1810" s="119"/>
      <c r="AT1810" s="118">
        <f>AR1810*0.1</f>
        <v>98000</v>
      </c>
      <c r="AU1810" s="119"/>
      <c r="AV1810" s="118">
        <v>8990</v>
      </c>
      <c r="AW1810" s="119"/>
      <c r="AX1810" s="118">
        <f>SUM(AR1810:AW1810)</f>
        <v>1086990</v>
      </c>
      <c r="AY1810" s="119"/>
      <c r="AZ1810" s="137">
        <v>45950</v>
      </c>
    </row>
    <row r="1811" spans="1:52" ht="17.100000000000001" customHeight="1" thickBot="1">
      <c r="A1811" s="110"/>
      <c r="B1811" s="27" t="s">
        <v>2641</v>
      </c>
      <c r="C1811" s="27">
        <v>3067</v>
      </c>
      <c r="D1811" s="14" t="s">
        <v>904</v>
      </c>
      <c r="E1811" s="112"/>
      <c r="F1811" s="139" t="s">
        <v>5443</v>
      </c>
      <c r="G1811" s="140"/>
      <c r="H1811" s="141"/>
      <c r="I1811" s="26">
        <v>52530</v>
      </c>
      <c r="J1811" s="117"/>
      <c r="K1811" s="120"/>
      <c r="L1811" s="121"/>
      <c r="M1811" s="120"/>
      <c r="N1811" s="121"/>
      <c r="O1811" s="120"/>
      <c r="P1811" s="121"/>
      <c r="Q1811" s="120"/>
      <c r="R1811" s="121"/>
      <c r="S1811" s="120"/>
      <c r="T1811" s="121"/>
      <c r="U1811" s="120"/>
      <c r="V1811" s="123"/>
      <c r="W1811" s="125"/>
      <c r="X1811" s="142" t="s">
        <v>6884</v>
      </c>
      <c r="Y1811" s="143"/>
      <c r="Z1811" s="143"/>
      <c r="AA1811" s="143"/>
      <c r="AB1811" s="144"/>
      <c r="AC1811" s="16" t="s">
        <v>21</v>
      </c>
      <c r="AD1811" s="17" t="s">
        <v>6716</v>
      </c>
      <c r="AE1811" s="145" t="s">
        <v>6885</v>
      </c>
      <c r="AF1811" s="146"/>
      <c r="AG1811" s="146"/>
      <c r="AH1811" s="146"/>
      <c r="AI1811" s="147"/>
      <c r="AJ1811" s="148"/>
      <c r="AK1811" s="143"/>
      <c r="AL1811" s="144"/>
      <c r="AM1811" s="22"/>
      <c r="AN1811" s="149" t="s">
        <v>2794</v>
      </c>
      <c r="AO1811" s="144"/>
      <c r="AP1811" s="148">
        <v>2067</v>
      </c>
      <c r="AQ1811" s="144"/>
      <c r="AR1811" s="120"/>
      <c r="AS1811" s="121"/>
      <c r="AT1811" s="120"/>
      <c r="AU1811" s="121"/>
      <c r="AV1811" s="120"/>
      <c r="AW1811" s="121"/>
      <c r="AX1811" s="120"/>
      <c r="AY1811" s="121"/>
      <c r="AZ1811" s="138"/>
    </row>
    <row r="1812" spans="1:52" ht="17.100000000000001" customHeight="1" thickTop="1">
      <c r="A1812" s="109" t="s">
        <v>6642</v>
      </c>
      <c r="B1812" s="28">
        <v>45926</v>
      </c>
      <c r="C1812" s="25">
        <v>1387</v>
      </c>
      <c r="D1812" s="13" t="s">
        <v>5444</v>
      </c>
      <c r="E1812" s="111"/>
      <c r="F1812" s="113" t="s">
        <v>5445</v>
      </c>
      <c r="G1812" s="114"/>
      <c r="H1812" s="115"/>
      <c r="I1812" s="24" t="s">
        <v>5446</v>
      </c>
      <c r="J1812" s="116">
        <v>4</v>
      </c>
      <c r="K1812" s="118">
        <v>597000</v>
      </c>
      <c r="L1812" s="119"/>
      <c r="M1812" s="118">
        <f>K1812*0.1</f>
        <v>59700</v>
      </c>
      <c r="N1812" s="119"/>
      <c r="O1812" s="118">
        <v>0</v>
      </c>
      <c r="P1812" s="119"/>
      <c r="Q1812" s="118">
        <v>8910</v>
      </c>
      <c r="R1812" s="119"/>
      <c r="S1812" s="118">
        <v>13200</v>
      </c>
      <c r="T1812" s="119"/>
      <c r="U1812" s="118">
        <f>SUM(K1812:T1813)</f>
        <v>678810</v>
      </c>
      <c r="V1812" s="122"/>
      <c r="W1812" s="124"/>
      <c r="X1812" s="126" t="s">
        <v>6921</v>
      </c>
      <c r="Y1812" s="127"/>
      <c r="Z1812" s="127"/>
      <c r="AA1812" s="127"/>
      <c r="AB1812" s="128"/>
      <c r="AC1812" s="15" t="s">
        <v>20</v>
      </c>
      <c r="AD1812" s="129"/>
      <c r="AE1812" s="130"/>
      <c r="AF1812" s="130"/>
      <c r="AG1812" s="130"/>
      <c r="AH1812" s="130"/>
      <c r="AI1812" s="131"/>
      <c r="AJ1812" s="132"/>
      <c r="AK1812" s="127"/>
      <c r="AL1812" s="128"/>
      <c r="AM1812" s="21" t="s">
        <v>7709</v>
      </c>
      <c r="AN1812" s="133">
        <v>45983</v>
      </c>
      <c r="AO1812" s="134"/>
      <c r="AP1812" s="135">
        <v>1277</v>
      </c>
      <c r="AQ1812" s="136"/>
      <c r="AR1812" s="118">
        <v>700000</v>
      </c>
      <c r="AS1812" s="119"/>
      <c r="AT1812" s="118">
        <f>AR1812*0.1</f>
        <v>70000</v>
      </c>
      <c r="AU1812" s="119"/>
      <c r="AV1812" s="118">
        <v>8910</v>
      </c>
      <c r="AW1812" s="119"/>
      <c r="AX1812" s="118">
        <f>SUM(AR1812:AW1812)</f>
        <v>778910</v>
      </c>
      <c r="AY1812" s="119"/>
      <c r="AZ1812" s="137">
        <v>45992</v>
      </c>
    </row>
    <row r="1813" spans="1:52" ht="17.100000000000001" customHeight="1" thickBot="1">
      <c r="A1813" s="110"/>
      <c r="B1813" s="27" t="s">
        <v>2641</v>
      </c>
      <c r="C1813" s="27">
        <v>3098</v>
      </c>
      <c r="D1813" s="14" t="s">
        <v>275</v>
      </c>
      <c r="E1813" s="112"/>
      <c r="F1813" s="139" t="s">
        <v>5447</v>
      </c>
      <c r="G1813" s="140"/>
      <c r="H1813" s="141"/>
      <c r="I1813" s="26">
        <v>69980</v>
      </c>
      <c r="J1813" s="117"/>
      <c r="K1813" s="120"/>
      <c r="L1813" s="121"/>
      <c r="M1813" s="120"/>
      <c r="N1813" s="121"/>
      <c r="O1813" s="120"/>
      <c r="P1813" s="121"/>
      <c r="Q1813" s="120"/>
      <c r="R1813" s="121"/>
      <c r="S1813" s="120"/>
      <c r="T1813" s="121"/>
      <c r="U1813" s="120"/>
      <c r="V1813" s="123"/>
      <c r="W1813" s="125"/>
      <c r="X1813" s="142" t="s">
        <v>6922</v>
      </c>
      <c r="Y1813" s="143"/>
      <c r="Z1813" s="143"/>
      <c r="AA1813" s="143"/>
      <c r="AB1813" s="144"/>
      <c r="AC1813" s="16" t="s">
        <v>21</v>
      </c>
      <c r="AD1813" s="17" t="s">
        <v>6834</v>
      </c>
      <c r="AE1813" s="145"/>
      <c r="AF1813" s="146"/>
      <c r="AG1813" s="146"/>
      <c r="AH1813" s="146"/>
      <c r="AI1813" s="147"/>
      <c r="AJ1813" s="148"/>
      <c r="AK1813" s="143"/>
      <c r="AL1813" s="144"/>
      <c r="AM1813" s="22"/>
      <c r="AN1813" s="149" t="s">
        <v>6749</v>
      </c>
      <c r="AO1813" s="144"/>
      <c r="AP1813" s="148">
        <v>60129</v>
      </c>
      <c r="AQ1813" s="144"/>
      <c r="AR1813" s="120"/>
      <c r="AS1813" s="121"/>
      <c r="AT1813" s="120"/>
      <c r="AU1813" s="121"/>
      <c r="AV1813" s="120"/>
      <c r="AW1813" s="121"/>
      <c r="AX1813" s="120"/>
      <c r="AY1813" s="121"/>
      <c r="AZ1813" s="138"/>
    </row>
    <row r="1814" spans="1:52" ht="17.100000000000001" customHeight="1" thickTop="1">
      <c r="A1814" s="109" t="s">
        <v>6643</v>
      </c>
      <c r="B1814" s="28">
        <v>45926</v>
      </c>
      <c r="C1814" s="25">
        <v>1387</v>
      </c>
      <c r="D1814" s="13" t="s">
        <v>1888</v>
      </c>
      <c r="E1814" s="111"/>
      <c r="F1814" s="113" t="s">
        <v>5448</v>
      </c>
      <c r="G1814" s="114"/>
      <c r="H1814" s="115"/>
      <c r="I1814" s="24" t="s">
        <v>5449</v>
      </c>
      <c r="J1814" s="116">
        <v>4</v>
      </c>
      <c r="K1814" s="118">
        <v>689000</v>
      </c>
      <c r="L1814" s="119"/>
      <c r="M1814" s="118">
        <f>K1814*0.1</f>
        <v>68900</v>
      </c>
      <c r="N1814" s="119"/>
      <c r="O1814" s="118">
        <v>0</v>
      </c>
      <c r="P1814" s="119"/>
      <c r="Q1814" s="118">
        <v>8400</v>
      </c>
      <c r="R1814" s="119"/>
      <c r="S1814" s="118">
        <v>13200</v>
      </c>
      <c r="T1814" s="119"/>
      <c r="U1814" s="118">
        <f>SUM(K1814:T1815)</f>
        <v>779500</v>
      </c>
      <c r="V1814" s="122"/>
      <c r="W1814" s="124"/>
      <c r="X1814" s="126" t="s">
        <v>6889</v>
      </c>
      <c r="Y1814" s="127"/>
      <c r="Z1814" s="127"/>
      <c r="AA1814" s="127"/>
      <c r="AB1814" s="128"/>
      <c r="AC1814" s="15" t="s">
        <v>20</v>
      </c>
      <c r="AD1814" s="129"/>
      <c r="AE1814" s="130"/>
      <c r="AF1814" s="130"/>
      <c r="AG1814" s="130"/>
      <c r="AH1814" s="130"/>
      <c r="AI1814" s="131"/>
      <c r="AJ1814" s="132"/>
      <c r="AK1814" s="127"/>
      <c r="AL1814" s="128"/>
      <c r="AM1814" s="21" t="s">
        <v>7349</v>
      </c>
      <c r="AN1814" s="133">
        <v>45934</v>
      </c>
      <c r="AO1814" s="134"/>
      <c r="AP1814" s="135">
        <v>1270</v>
      </c>
      <c r="AQ1814" s="136"/>
      <c r="AR1814" s="118">
        <v>780000</v>
      </c>
      <c r="AS1814" s="119"/>
      <c r="AT1814" s="118">
        <f>AR1814*0.1</f>
        <v>78000</v>
      </c>
      <c r="AU1814" s="119"/>
      <c r="AV1814" s="118">
        <v>8400</v>
      </c>
      <c r="AW1814" s="119"/>
      <c r="AX1814" s="118">
        <f>SUM(AR1814:AW1814)</f>
        <v>866400</v>
      </c>
      <c r="AY1814" s="119"/>
      <c r="AZ1814" s="137">
        <v>45939</v>
      </c>
    </row>
    <row r="1815" spans="1:52" ht="17.100000000000001" customHeight="1" thickBot="1">
      <c r="A1815" s="110"/>
      <c r="B1815" s="27" t="s">
        <v>2641</v>
      </c>
      <c r="C1815" s="27">
        <v>3223</v>
      </c>
      <c r="D1815" s="14" t="s">
        <v>1556</v>
      </c>
      <c r="E1815" s="112"/>
      <c r="F1815" s="139" t="s">
        <v>5450</v>
      </c>
      <c r="G1815" s="140"/>
      <c r="H1815" s="141"/>
      <c r="I1815" s="26">
        <v>46812</v>
      </c>
      <c r="J1815" s="117"/>
      <c r="K1815" s="120"/>
      <c r="L1815" s="121"/>
      <c r="M1815" s="120"/>
      <c r="N1815" s="121"/>
      <c r="O1815" s="120"/>
      <c r="P1815" s="121"/>
      <c r="Q1815" s="120"/>
      <c r="R1815" s="121"/>
      <c r="S1815" s="120"/>
      <c r="T1815" s="121"/>
      <c r="U1815" s="120"/>
      <c r="V1815" s="123"/>
      <c r="W1815" s="125"/>
      <c r="X1815" s="142" t="s">
        <v>6890</v>
      </c>
      <c r="Y1815" s="143"/>
      <c r="Z1815" s="143"/>
      <c r="AA1815" s="143"/>
      <c r="AB1815" s="144"/>
      <c r="AC1815" s="16" t="s">
        <v>21</v>
      </c>
      <c r="AD1815" s="17" t="s">
        <v>6716</v>
      </c>
      <c r="AE1815" s="145"/>
      <c r="AF1815" s="146"/>
      <c r="AG1815" s="146"/>
      <c r="AH1815" s="146"/>
      <c r="AI1815" s="147"/>
      <c r="AJ1815" s="148"/>
      <c r="AK1815" s="143"/>
      <c r="AL1815" s="144"/>
      <c r="AM1815" s="22"/>
      <c r="AN1815" s="149" t="s">
        <v>7642</v>
      </c>
      <c r="AO1815" s="144"/>
      <c r="AP1815" s="148">
        <v>60027</v>
      </c>
      <c r="AQ1815" s="144"/>
      <c r="AR1815" s="120"/>
      <c r="AS1815" s="121"/>
      <c r="AT1815" s="120"/>
      <c r="AU1815" s="121"/>
      <c r="AV1815" s="120"/>
      <c r="AW1815" s="121"/>
      <c r="AX1815" s="120"/>
      <c r="AY1815" s="121"/>
      <c r="AZ1815" s="138"/>
    </row>
    <row r="1816" spans="1:52" ht="17.100000000000001" customHeight="1" thickTop="1">
      <c r="A1816" s="109" t="s">
        <v>6644</v>
      </c>
      <c r="B1816" s="28">
        <v>45926</v>
      </c>
      <c r="C1816" s="25">
        <v>1387</v>
      </c>
      <c r="D1816" s="13" t="s">
        <v>2187</v>
      </c>
      <c r="E1816" s="111"/>
      <c r="F1816" s="113" t="s">
        <v>4603</v>
      </c>
      <c r="G1816" s="114"/>
      <c r="H1816" s="115"/>
      <c r="I1816" s="24"/>
      <c r="J1816" s="116">
        <v>4.5</v>
      </c>
      <c r="K1816" s="118">
        <v>1021000</v>
      </c>
      <c r="L1816" s="119"/>
      <c r="M1816" s="118">
        <f>K1816*0.1</f>
        <v>102100</v>
      </c>
      <c r="N1816" s="119"/>
      <c r="O1816" s="118">
        <v>0</v>
      </c>
      <c r="P1816" s="119"/>
      <c r="Q1816" s="118">
        <v>8640</v>
      </c>
      <c r="R1816" s="119"/>
      <c r="S1816" s="118">
        <v>13200</v>
      </c>
      <c r="T1816" s="119"/>
      <c r="U1816" s="118">
        <f>SUM(K1816:T1817)</f>
        <v>1144940</v>
      </c>
      <c r="V1816" s="122"/>
      <c r="W1816" s="124"/>
      <c r="X1816" s="126" t="s">
        <v>6923</v>
      </c>
      <c r="Y1816" s="127"/>
      <c r="Z1816" s="127"/>
      <c r="AA1816" s="127"/>
      <c r="AB1816" s="128"/>
      <c r="AC1816" s="15" t="s">
        <v>20</v>
      </c>
      <c r="AD1816" s="129" t="s">
        <v>2385</v>
      </c>
      <c r="AE1816" s="130"/>
      <c r="AF1816" s="130"/>
      <c r="AG1816" s="130"/>
      <c r="AH1816" s="130"/>
      <c r="AI1816" s="131"/>
      <c r="AJ1816" s="132"/>
      <c r="AK1816" s="127"/>
      <c r="AL1816" s="128"/>
      <c r="AM1816" s="21"/>
      <c r="AN1816" s="133">
        <v>45934</v>
      </c>
      <c r="AO1816" s="134"/>
      <c r="AP1816" s="135">
        <v>1270</v>
      </c>
      <c r="AQ1816" s="136"/>
      <c r="AR1816" s="118">
        <v>1070000</v>
      </c>
      <c r="AS1816" s="119"/>
      <c r="AT1816" s="118">
        <f>AR1816*0.1</f>
        <v>107000</v>
      </c>
      <c r="AU1816" s="119"/>
      <c r="AV1816" s="118">
        <v>8640</v>
      </c>
      <c r="AW1816" s="119"/>
      <c r="AX1816" s="118">
        <f>SUM(AR1816:AW1816)</f>
        <v>1185640</v>
      </c>
      <c r="AY1816" s="119"/>
      <c r="AZ1816" s="137">
        <v>45937</v>
      </c>
    </row>
    <row r="1817" spans="1:52" ht="17.100000000000001" customHeight="1" thickBot="1">
      <c r="A1817" s="110"/>
      <c r="B1817" s="27" t="s">
        <v>2641</v>
      </c>
      <c r="C1817" s="27">
        <v>3224</v>
      </c>
      <c r="D1817" s="14" t="s">
        <v>1720</v>
      </c>
      <c r="E1817" s="112"/>
      <c r="F1817" s="139" t="s">
        <v>5451</v>
      </c>
      <c r="G1817" s="140"/>
      <c r="H1817" s="141"/>
      <c r="I1817" s="26">
        <v>25259</v>
      </c>
      <c r="J1817" s="117"/>
      <c r="K1817" s="120"/>
      <c r="L1817" s="121"/>
      <c r="M1817" s="120"/>
      <c r="N1817" s="121"/>
      <c r="O1817" s="120"/>
      <c r="P1817" s="121"/>
      <c r="Q1817" s="120"/>
      <c r="R1817" s="121"/>
      <c r="S1817" s="120"/>
      <c r="T1817" s="121"/>
      <c r="U1817" s="120"/>
      <c r="V1817" s="123"/>
      <c r="W1817" s="125"/>
      <c r="X1817" s="142" t="s">
        <v>6924</v>
      </c>
      <c r="Y1817" s="143"/>
      <c r="Z1817" s="143"/>
      <c r="AA1817" s="143"/>
      <c r="AB1817" s="144"/>
      <c r="AC1817" s="16" t="s">
        <v>21</v>
      </c>
      <c r="AD1817" s="17" t="s">
        <v>6834</v>
      </c>
      <c r="AE1817" s="145" t="s">
        <v>2051</v>
      </c>
      <c r="AF1817" s="146"/>
      <c r="AG1817" s="146"/>
      <c r="AH1817" s="146"/>
      <c r="AI1817" s="147"/>
      <c r="AJ1817" s="148"/>
      <c r="AK1817" s="143"/>
      <c r="AL1817" s="144"/>
      <c r="AM1817" s="22"/>
      <c r="AN1817" s="149" t="s">
        <v>7284</v>
      </c>
      <c r="AO1817" s="144"/>
      <c r="AP1817" s="148">
        <v>60023</v>
      </c>
      <c r="AQ1817" s="144"/>
      <c r="AR1817" s="120"/>
      <c r="AS1817" s="121"/>
      <c r="AT1817" s="120"/>
      <c r="AU1817" s="121"/>
      <c r="AV1817" s="120"/>
      <c r="AW1817" s="121"/>
      <c r="AX1817" s="120"/>
      <c r="AY1817" s="121"/>
      <c r="AZ1817" s="138"/>
    </row>
    <row r="1818" spans="1:52" ht="17.100000000000001" customHeight="1" thickTop="1">
      <c r="A1818" s="109" t="s">
        <v>6645</v>
      </c>
      <c r="B1818" s="28">
        <v>45926</v>
      </c>
      <c r="C1818" s="25">
        <v>1387</v>
      </c>
      <c r="D1818" s="13" t="s">
        <v>3801</v>
      </c>
      <c r="E1818" s="111"/>
      <c r="F1818" s="113" t="s">
        <v>5452</v>
      </c>
      <c r="G1818" s="114"/>
      <c r="H1818" s="115"/>
      <c r="I1818" s="24"/>
      <c r="J1818" s="116">
        <v>4</v>
      </c>
      <c r="K1818" s="118">
        <v>398000</v>
      </c>
      <c r="L1818" s="119"/>
      <c r="M1818" s="118">
        <f>K1818*0.1</f>
        <v>39800</v>
      </c>
      <c r="N1818" s="119"/>
      <c r="O1818" s="118">
        <v>0</v>
      </c>
      <c r="P1818" s="119"/>
      <c r="Q1818" s="118">
        <v>7500</v>
      </c>
      <c r="R1818" s="119"/>
      <c r="S1818" s="118">
        <v>13200</v>
      </c>
      <c r="T1818" s="119"/>
      <c r="U1818" s="118">
        <f>SUM(K1818:T1819)</f>
        <v>458500</v>
      </c>
      <c r="V1818" s="122"/>
      <c r="W1818" s="124"/>
      <c r="X1818" s="126" t="s">
        <v>6920</v>
      </c>
      <c r="Y1818" s="127"/>
      <c r="Z1818" s="127"/>
      <c r="AA1818" s="127"/>
      <c r="AB1818" s="128"/>
      <c r="AC1818" s="15" t="s">
        <v>20</v>
      </c>
      <c r="AD1818" s="129"/>
      <c r="AE1818" s="130"/>
      <c r="AF1818" s="130"/>
      <c r="AG1818" s="130"/>
      <c r="AH1818" s="130"/>
      <c r="AI1818" s="131"/>
      <c r="AJ1818" s="132"/>
      <c r="AK1818" s="127"/>
      <c r="AL1818" s="128"/>
      <c r="AM1818" s="21"/>
      <c r="AN1818" s="133">
        <v>45934</v>
      </c>
      <c r="AO1818" s="134"/>
      <c r="AP1818" s="135">
        <v>1270</v>
      </c>
      <c r="AQ1818" s="136"/>
      <c r="AR1818" s="118">
        <v>445000</v>
      </c>
      <c r="AS1818" s="119"/>
      <c r="AT1818" s="118">
        <f>AR1818*0.1</f>
        <v>44500</v>
      </c>
      <c r="AU1818" s="119"/>
      <c r="AV1818" s="118">
        <v>7500</v>
      </c>
      <c r="AW1818" s="119"/>
      <c r="AX1818" s="118">
        <f>SUM(AR1818:AW1818)</f>
        <v>497000</v>
      </c>
      <c r="AY1818" s="119"/>
      <c r="AZ1818" s="137">
        <v>45937</v>
      </c>
    </row>
    <row r="1819" spans="1:52" ht="17.100000000000001" customHeight="1" thickBot="1">
      <c r="A1819" s="110"/>
      <c r="B1819" s="27" t="s">
        <v>2641</v>
      </c>
      <c r="C1819" s="27">
        <v>7019</v>
      </c>
      <c r="D1819" s="14" t="s">
        <v>1592</v>
      </c>
      <c r="E1819" s="112"/>
      <c r="F1819" s="139" t="s">
        <v>5453</v>
      </c>
      <c r="G1819" s="140"/>
      <c r="H1819" s="141"/>
      <c r="I1819" s="26">
        <v>56658</v>
      </c>
      <c r="J1819" s="117"/>
      <c r="K1819" s="120"/>
      <c r="L1819" s="121"/>
      <c r="M1819" s="120"/>
      <c r="N1819" s="121"/>
      <c r="O1819" s="120"/>
      <c r="P1819" s="121"/>
      <c r="Q1819" s="120"/>
      <c r="R1819" s="121"/>
      <c r="S1819" s="120"/>
      <c r="T1819" s="121"/>
      <c r="U1819" s="120"/>
      <c r="V1819" s="123"/>
      <c r="W1819" s="125"/>
      <c r="X1819" s="142" t="s">
        <v>4553</v>
      </c>
      <c r="Y1819" s="143"/>
      <c r="Z1819" s="143"/>
      <c r="AA1819" s="143"/>
      <c r="AB1819" s="144"/>
      <c r="AC1819" s="16" t="s">
        <v>21</v>
      </c>
      <c r="AD1819" s="17" t="s">
        <v>6834</v>
      </c>
      <c r="AE1819" s="145"/>
      <c r="AF1819" s="146"/>
      <c r="AG1819" s="146"/>
      <c r="AH1819" s="146"/>
      <c r="AI1819" s="147"/>
      <c r="AJ1819" s="148"/>
      <c r="AK1819" s="143"/>
      <c r="AL1819" s="144"/>
      <c r="AM1819" s="22"/>
      <c r="AN1819" s="149" t="s">
        <v>7284</v>
      </c>
      <c r="AO1819" s="144"/>
      <c r="AP1819" s="148">
        <v>60047</v>
      </c>
      <c r="AQ1819" s="144"/>
      <c r="AR1819" s="120"/>
      <c r="AS1819" s="121"/>
      <c r="AT1819" s="120"/>
      <c r="AU1819" s="121"/>
      <c r="AV1819" s="120"/>
      <c r="AW1819" s="121"/>
      <c r="AX1819" s="120"/>
      <c r="AY1819" s="121"/>
      <c r="AZ1819" s="138"/>
    </row>
    <row r="1820" spans="1:52" ht="17.100000000000001" customHeight="1" thickTop="1">
      <c r="A1820" s="109" t="s">
        <v>7451</v>
      </c>
      <c r="B1820" s="28">
        <v>45926</v>
      </c>
      <c r="C1820" s="25">
        <v>1387</v>
      </c>
      <c r="D1820" s="13" t="s">
        <v>2564</v>
      </c>
      <c r="E1820" s="111"/>
      <c r="F1820" s="113" t="s">
        <v>3846</v>
      </c>
      <c r="G1820" s="114"/>
      <c r="H1820" s="115"/>
      <c r="I1820" s="24" t="s">
        <v>5454</v>
      </c>
      <c r="J1820" s="116">
        <v>4</v>
      </c>
      <c r="K1820" s="118">
        <v>191000</v>
      </c>
      <c r="L1820" s="119"/>
      <c r="M1820" s="118">
        <f>K1820*0.1</f>
        <v>19100</v>
      </c>
      <c r="N1820" s="119"/>
      <c r="O1820" s="118">
        <v>0</v>
      </c>
      <c r="P1820" s="119"/>
      <c r="Q1820" s="118">
        <v>9790</v>
      </c>
      <c r="R1820" s="119"/>
      <c r="S1820" s="118">
        <v>13200</v>
      </c>
      <c r="T1820" s="119"/>
      <c r="U1820" s="118">
        <f>SUM(K1820:T1821)</f>
        <v>233090</v>
      </c>
      <c r="V1820" s="122"/>
      <c r="W1820" s="124"/>
      <c r="X1820" s="126" t="s">
        <v>7452</v>
      </c>
      <c r="Y1820" s="127"/>
      <c r="Z1820" s="127"/>
      <c r="AA1820" s="127"/>
      <c r="AB1820" s="128"/>
      <c r="AC1820" s="15" t="s">
        <v>20</v>
      </c>
      <c r="AD1820" s="129"/>
      <c r="AE1820" s="130"/>
      <c r="AF1820" s="130"/>
      <c r="AG1820" s="130"/>
      <c r="AH1820" s="130"/>
      <c r="AI1820" s="131"/>
      <c r="AJ1820" s="132"/>
      <c r="AK1820" s="127"/>
      <c r="AL1820" s="128"/>
      <c r="AM1820" s="21" t="s">
        <v>7550</v>
      </c>
      <c r="AN1820" s="133">
        <v>45934</v>
      </c>
      <c r="AO1820" s="134"/>
      <c r="AP1820" s="135">
        <v>1270</v>
      </c>
      <c r="AQ1820" s="136"/>
      <c r="AR1820" s="118">
        <v>195000</v>
      </c>
      <c r="AS1820" s="119"/>
      <c r="AT1820" s="118">
        <f>AR1820*0.1</f>
        <v>19500</v>
      </c>
      <c r="AU1820" s="119"/>
      <c r="AV1820" s="118">
        <v>9790</v>
      </c>
      <c r="AW1820" s="119"/>
      <c r="AX1820" s="118">
        <f>SUM(AR1820:AW1820)</f>
        <v>224290</v>
      </c>
      <c r="AY1820" s="119"/>
      <c r="AZ1820" s="137">
        <v>45944</v>
      </c>
    </row>
    <row r="1821" spans="1:52" ht="17.100000000000001" customHeight="1" thickBot="1">
      <c r="A1821" s="110"/>
      <c r="B1821" s="27" t="s">
        <v>2641</v>
      </c>
      <c r="C1821" s="27">
        <v>9063</v>
      </c>
      <c r="D1821" s="14" t="s">
        <v>2601</v>
      </c>
      <c r="E1821" s="112"/>
      <c r="F1821" s="139" t="s">
        <v>5455</v>
      </c>
      <c r="G1821" s="140"/>
      <c r="H1821" s="141"/>
      <c r="I1821" s="26">
        <v>125607</v>
      </c>
      <c r="J1821" s="117"/>
      <c r="K1821" s="120"/>
      <c r="L1821" s="121"/>
      <c r="M1821" s="120"/>
      <c r="N1821" s="121"/>
      <c r="O1821" s="120"/>
      <c r="P1821" s="121"/>
      <c r="Q1821" s="120"/>
      <c r="R1821" s="121"/>
      <c r="S1821" s="120"/>
      <c r="T1821" s="121"/>
      <c r="U1821" s="120"/>
      <c r="V1821" s="123"/>
      <c r="W1821" s="125"/>
      <c r="X1821" s="142" t="s">
        <v>7453</v>
      </c>
      <c r="Y1821" s="143"/>
      <c r="Z1821" s="143"/>
      <c r="AA1821" s="143"/>
      <c r="AB1821" s="144"/>
      <c r="AC1821" s="16" t="s">
        <v>21</v>
      </c>
      <c r="AD1821" s="17" t="s">
        <v>1613</v>
      </c>
      <c r="AE1821" s="145" t="s">
        <v>7454</v>
      </c>
      <c r="AF1821" s="146"/>
      <c r="AG1821" s="146"/>
      <c r="AH1821" s="146"/>
      <c r="AI1821" s="147"/>
      <c r="AJ1821" s="148"/>
      <c r="AK1821" s="143"/>
      <c r="AL1821" s="144"/>
      <c r="AM1821" s="22"/>
      <c r="AN1821" s="149" t="s">
        <v>7284</v>
      </c>
      <c r="AO1821" s="144"/>
      <c r="AP1821" s="148">
        <v>60049</v>
      </c>
      <c r="AQ1821" s="144"/>
      <c r="AR1821" s="120"/>
      <c r="AS1821" s="121"/>
      <c r="AT1821" s="120"/>
      <c r="AU1821" s="121"/>
      <c r="AV1821" s="120"/>
      <c r="AW1821" s="121"/>
      <c r="AX1821" s="120"/>
      <c r="AY1821" s="121"/>
      <c r="AZ1821" s="138"/>
    </row>
    <row r="1822" spans="1:52" ht="17.100000000000001" customHeight="1" thickTop="1">
      <c r="A1822" s="109" t="s">
        <v>6646</v>
      </c>
      <c r="B1822" s="28">
        <v>45926</v>
      </c>
      <c r="C1822" s="25">
        <v>1387</v>
      </c>
      <c r="D1822" s="13" t="s">
        <v>5456</v>
      </c>
      <c r="E1822" s="111"/>
      <c r="F1822" s="113" t="s">
        <v>5457</v>
      </c>
      <c r="G1822" s="114"/>
      <c r="H1822" s="115"/>
      <c r="I1822" s="24" t="s">
        <v>5458</v>
      </c>
      <c r="J1822" s="150" t="s">
        <v>1715</v>
      </c>
      <c r="K1822" s="118">
        <v>220000</v>
      </c>
      <c r="L1822" s="119"/>
      <c r="M1822" s="118">
        <f>K1822*0.1</f>
        <v>22000</v>
      </c>
      <c r="N1822" s="119"/>
      <c r="O1822" s="118">
        <v>0</v>
      </c>
      <c r="P1822" s="119"/>
      <c r="Q1822" s="118">
        <v>9670</v>
      </c>
      <c r="R1822" s="119"/>
      <c r="S1822" s="118">
        <v>13200</v>
      </c>
      <c r="T1822" s="119"/>
      <c r="U1822" s="118">
        <f>SUM(K1822:T1823)</f>
        <v>264870</v>
      </c>
      <c r="V1822" s="122"/>
      <c r="W1822" s="124"/>
      <c r="X1822" s="126" t="s">
        <v>6874</v>
      </c>
      <c r="Y1822" s="127"/>
      <c r="Z1822" s="127"/>
      <c r="AA1822" s="127"/>
      <c r="AB1822" s="128"/>
      <c r="AC1822" s="15" t="s">
        <v>20</v>
      </c>
      <c r="AD1822" s="129" t="s">
        <v>5459</v>
      </c>
      <c r="AE1822" s="130"/>
      <c r="AF1822" s="130"/>
      <c r="AG1822" s="130"/>
      <c r="AH1822" s="130"/>
      <c r="AI1822" s="131"/>
      <c r="AJ1822" s="132"/>
      <c r="AK1822" s="127"/>
      <c r="AL1822" s="128"/>
      <c r="AM1822" s="21"/>
      <c r="AN1822" s="133">
        <v>45976</v>
      </c>
      <c r="AO1822" s="134"/>
      <c r="AP1822" s="135">
        <v>1276</v>
      </c>
      <c r="AQ1822" s="136"/>
      <c r="AR1822" s="118">
        <v>250000</v>
      </c>
      <c r="AS1822" s="119"/>
      <c r="AT1822" s="118">
        <f>AR1822*0.1</f>
        <v>25000</v>
      </c>
      <c r="AU1822" s="119"/>
      <c r="AV1822" s="118">
        <v>9670</v>
      </c>
      <c r="AW1822" s="119"/>
      <c r="AX1822" s="118">
        <f>SUM(AR1822:AW1822)</f>
        <v>284670</v>
      </c>
      <c r="AY1822" s="119"/>
      <c r="AZ1822" s="137">
        <v>45979</v>
      </c>
    </row>
    <row r="1823" spans="1:52" ht="17.100000000000001" customHeight="1" thickBot="1">
      <c r="A1823" s="110"/>
      <c r="B1823" s="27" t="s">
        <v>2641</v>
      </c>
      <c r="C1823" s="27">
        <v>9077</v>
      </c>
      <c r="D1823" s="14" t="s">
        <v>1720</v>
      </c>
      <c r="E1823" s="112"/>
      <c r="F1823" s="139" t="s">
        <v>5460</v>
      </c>
      <c r="G1823" s="140"/>
      <c r="H1823" s="141"/>
      <c r="I1823" s="26">
        <v>22108</v>
      </c>
      <c r="J1823" s="117"/>
      <c r="K1823" s="120"/>
      <c r="L1823" s="121"/>
      <c r="M1823" s="120"/>
      <c r="N1823" s="121"/>
      <c r="O1823" s="120"/>
      <c r="P1823" s="121"/>
      <c r="Q1823" s="120"/>
      <c r="R1823" s="121"/>
      <c r="S1823" s="120"/>
      <c r="T1823" s="121"/>
      <c r="U1823" s="120"/>
      <c r="V1823" s="123"/>
      <c r="W1823" s="125"/>
      <c r="X1823" s="142" t="s">
        <v>6875</v>
      </c>
      <c r="Y1823" s="143"/>
      <c r="Z1823" s="143"/>
      <c r="AA1823" s="143"/>
      <c r="AB1823" s="144"/>
      <c r="AC1823" s="16" t="s">
        <v>21</v>
      </c>
      <c r="AD1823" s="17" t="s">
        <v>6716</v>
      </c>
      <c r="AE1823" s="145" t="s">
        <v>6876</v>
      </c>
      <c r="AF1823" s="146"/>
      <c r="AG1823" s="146"/>
      <c r="AH1823" s="146"/>
      <c r="AI1823" s="147"/>
      <c r="AJ1823" s="148"/>
      <c r="AK1823" s="143"/>
      <c r="AL1823" s="144"/>
      <c r="AM1823" s="22"/>
      <c r="AN1823" s="149" t="s">
        <v>7284</v>
      </c>
      <c r="AO1823" s="144"/>
      <c r="AP1823" s="148">
        <v>63110</v>
      </c>
      <c r="AQ1823" s="144"/>
      <c r="AR1823" s="120"/>
      <c r="AS1823" s="121"/>
      <c r="AT1823" s="120"/>
      <c r="AU1823" s="121"/>
      <c r="AV1823" s="120"/>
      <c r="AW1823" s="121"/>
      <c r="AX1823" s="120"/>
      <c r="AY1823" s="121"/>
      <c r="AZ1823" s="138"/>
    </row>
    <row r="1824" spans="1:52" ht="17.100000000000001" customHeight="1" thickTop="1">
      <c r="A1824" s="109" t="s">
        <v>6647</v>
      </c>
      <c r="B1824" s="28">
        <v>45926</v>
      </c>
      <c r="C1824" s="25">
        <v>1387</v>
      </c>
      <c r="D1824" s="13" t="s">
        <v>2082</v>
      </c>
      <c r="E1824" s="111"/>
      <c r="F1824" s="113" t="s">
        <v>5461</v>
      </c>
      <c r="G1824" s="114"/>
      <c r="H1824" s="115"/>
      <c r="I1824" s="24" t="s">
        <v>5462</v>
      </c>
      <c r="J1824" s="150" t="s">
        <v>1715</v>
      </c>
      <c r="K1824" s="118">
        <v>179000</v>
      </c>
      <c r="L1824" s="119"/>
      <c r="M1824" s="118">
        <f>K1824*0.1</f>
        <v>17900</v>
      </c>
      <c r="N1824" s="119"/>
      <c r="O1824" s="118">
        <v>0</v>
      </c>
      <c r="P1824" s="119"/>
      <c r="Q1824" s="118">
        <v>8570</v>
      </c>
      <c r="R1824" s="119"/>
      <c r="S1824" s="118">
        <v>13200</v>
      </c>
      <c r="T1824" s="119"/>
      <c r="U1824" s="118">
        <f>SUM(K1824:T1825)</f>
        <v>218670</v>
      </c>
      <c r="V1824" s="122"/>
      <c r="W1824" s="124"/>
      <c r="X1824" s="126" t="s">
        <v>7399</v>
      </c>
      <c r="Y1824" s="127"/>
      <c r="Z1824" s="127"/>
      <c r="AA1824" s="127"/>
      <c r="AB1824" s="128"/>
      <c r="AC1824" s="15" t="s">
        <v>20</v>
      </c>
      <c r="AD1824" s="129"/>
      <c r="AE1824" s="130"/>
      <c r="AF1824" s="130"/>
      <c r="AG1824" s="130"/>
      <c r="AH1824" s="130"/>
      <c r="AI1824" s="131"/>
      <c r="AJ1824" s="132"/>
      <c r="AK1824" s="127"/>
      <c r="AL1824" s="128"/>
      <c r="AM1824" s="21" t="s">
        <v>7555</v>
      </c>
      <c r="AN1824" s="133">
        <v>45934</v>
      </c>
      <c r="AO1824" s="134"/>
      <c r="AP1824" s="135">
        <v>1270</v>
      </c>
      <c r="AQ1824" s="136"/>
      <c r="AR1824" s="118">
        <v>245000</v>
      </c>
      <c r="AS1824" s="119"/>
      <c r="AT1824" s="118">
        <f>AR1824*0.1</f>
        <v>24500</v>
      </c>
      <c r="AU1824" s="119"/>
      <c r="AV1824" s="118">
        <v>8570</v>
      </c>
      <c r="AW1824" s="119"/>
      <c r="AX1824" s="118">
        <f>SUM(AR1824:AW1824)</f>
        <v>278070</v>
      </c>
      <c r="AY1824" s="119"/>
      <c r="AZ1824" s="137">
        <v>45944</v>
      </c>
    </row>
    <row r="1825" spans="1:52" ht="17.100000000000001" customHeight="1" thickBot="1">
      <c r="A1825" s="110"/>
      <c r="B1825" s="27" t="s">
        <v>2641</v>
      </c>
      <c r="C1825" s="27">
        <v>9163</v>
      </c>
      <c r="D1825" s="14" t="s">
        <v>1812</v>
      </c>
      <c r="E1825" s="112"/>
      <c r="F1825" s="139" t="s">
        <v>5463</v>
      </c>
      <c r="G1825" s="140"/>
      <c r="H1825" s="141"/>
      <c r="I1825" s="26">
        <v>105059</v>
      </c>
      <c r="J1825" s="117"/>
      <c r="K1825" s="120"/>
      <c r="L1825" s="121"/>
      <c r="M1825" s="120"/>
      <c r="N1825" s="121"/>
      <c r="O1825" s="120"/>
      <c r="P1825" s="121"/>
      <c r="Q1825" s="120"/>
      <c r="R1825" s="121"/>
      <c r="S1825" s="120"/>
      <c r="T1825" s="121"/>
      <c r="U1825" s="120"/>
      <c r="V1825" s="123"/>
      <c r="W1825" s="125"/>
      <c r="X1825" s="142" t="s">
        <v>7400</v>
      </c>
      <c r="Y1825" s="143"/>
      <c r="Z1825" s="143"/>
      <c r="AA1825" s="143"/>
      <c r="AB1825" s="144"/>
      <c r="AC1825" s="16" t="s">
        <v>21</v>
      </c>
      <c r="AD1825" s="17" t="s">
        <v>3317</v>
      </c>
      <c r="AE1825" s="145"/>
      <c r="AF1825" s="146"/>
      <c r="AG1825" s="146"/>
      <c r="AH1825" s="146"/>
      <c r="AI1825" s="147"/>
      <c r="AJ1825" s="148"/>
      <c r="AK1825" s="143"/>
      <c r="AL1825" s="144"/>
      <c r="AM1825" s="22"/>
      <c r="AN1825" s="149" t="s">
        <v>7284</v>
      </c>
      <c r="AO1825" s="144"/>
      <c r="AP1825" s="148">
        <v>60398</v>
      </c>
      <c r="AQ1825" s="144"/>
      <c r="AR1825" s="120"/>
      <c r="AS1825" s="121"/>
      <c r="AT1825" s="120"/>
      <c r="AU1825" s="121"/>
      <c r="AV1825" s="120"/>
      <c r="AW1825" s="121"/>
      <c r="AX1825" s="120"/>
      <c r="AY1825" s="121"/>
      <c r="AZ1825" s="138"/>
    </row>
    <row r="1826" spans="1:52" ht="17.100000000000001" customHeight="1" thickTop="1">
      <c r="A1826" s="109" t="s">
        <v>6648</v>
      </c>
      <c r="B1826" s="28">
        <v>45926</v>
      </c>
      <c r="C1826" s="25">
        <v>1387</v>
      </c>
      <c r="D1826" s="13" t="s">
        <v>3440</v>
      </c>
      <c r="E1826" s="111"/>
      <c r="F1826" s="113" t="s">
        <v>5464</v>
      </c>
      <c r="G1826" s="114"/>
      <c r="H1826" s="115"/>
      <c r="I1826" s="24" t="s">
        <v>4594</v>
      </c>
      <c r="J1826" s="116">
        <v>4</v>
      </c>
      <c r="K1826" s="118">
        <v>153000</v>
      </c>
      <c r="L1826" s="119"/>
      <c r="M1826" s="118">
        <f>K1826*0.1</f>
        <v>15300</v>
      </c>
      <c r="N1826" s="119"/>
      <c r="O1826" s="118">
        <v>0</v>
      </c>
      <c r="P1826" s="119"/>
      <c r="Q1826" s="118">
        <v>9080</v>
      </c>
      <c r="R1826" s="119"/>
      <c r="S1826" s="118">
        <v>13200</v>
      </c>
      <c r="T1826" s="119"/>
      <c r="U1826" s="118">
        <f>SUM(K1826:T1827)</f>
        <v>190580</v>
      </c>
      <c r="V1826" s="122"/>
      <c r="W1826" s="124"/>
      <c r="X1826" s="126" t="s">
        <v>6925</v>
      </c>
      <c r="Y1826" s="127"/>
      <c r="Z1826" s="127"/>
      <c r="AA1826" s="127"/>
      <c r="AB1826" s="128"/>
      <c r="AC1826" s="15" t="s">
        <v>20</v>
      </c>
      <c r="AD1826" s="129"/>
      <c r="AE1826" s="130"/>
      <c r="AF1826" s="130"/>
      <c r="AG1826" s="130"/>
      <c r="AH1826" s="130"/>
      <c r="AI1826" s="131"/>
      <c r="AJ1826" s="132"/>
      <c r="AK1826" s="127"/>
      <c r="AL1826" s="128"/>
      <c r="AM1826" s="21"/>
      <c r="AN1826" s="133">
        <v>46102</v>
      </c>
      <c r="AO1826" s="134"/>
      <c r="AP1826" s="135">
        <v>1293</v>
      </c>
      <c r="AQ1826" s="136"/>
      <c r="AR1826" s="118">
        <v>205000</v>
      </c>
      <c r="AS1826" s="119"/>
      <c r="AT1826" s="118">
        <f>AR1826*0.1</f>
        <v>20500</v>
      </c>
      <c r="AU1826" s="119"/>
      <c r="AV1826" s="118">
        <v>9080</v>
      </c>
      <c r="AW1826" s="119"/>
      <c r="AX1826" s="118">
        <f>SUM(AR1826:AW1826)</f>
        <v>234580</v>
      </c>
      <c r="AY1826" s="119"/>
      <c r="AZ1826" s="137">
        <v>46105</v>
      </c>
    </row>
    <row r="1827" spans="1:52" ht="17.100000000000001" customHeight="1" thickBot="1">
      <c r="A1827" s="110"/>
      <c r="B1827" s="27" t="s">
        <v>2641</v>
      </c>
      <c r="C1827" s="27">
        <v>9175</v>
      </c>
      <c r="D1827" s="14" t="s">
        <v>2040</v>
      </c>
      <c r="E1827" s="112"/>
      <c r="F1827" s="139" t="s">
        <v>5465</v>
      </c>
      <c r="G1827" s="140"/>
      <c r="H1827" s="141"/>
      <c r="I1827" s="26">
        <v>51166</v>
      </c>
      <c r="J1827" s="117"/>
      <c r="K1827" s="120"/>
      <c r="L1827" s="121"/>
      <c r="M1827" s="120"/>
      <c r="N1827" s="121"/>
      <c r="O1827" s="120"/>
      <c r="P1827" s="121"/>
      <c r="Q1827" s="120"/>
      <c r="R1827" s="121"/>
      <c r="S1827" s="120"/>
      <c r="T1827" s="121"/>
      <c r="U1827" s="120"/>
      <c r="V1827" s="123"/>
      <c r="W1827" s="125"/>
      <c r="X1827" s="142" t="s">
        <v>6926</v>
      </c>
      <c r="Y1827" s="143"/>
      <c r="Z1827" s="143"/>
      <c r="AA1827" s="143"/>
      <c r="AB1827" s="144"/>
      <c r="AC1827" s="16" t="s">
        <v>21</v>
      </c>
      <c r="AD1827" s="17" t="s">
        <v>6834</v>
      </c>
      <c r="AE1827" s="145" t="s">
        <v>171</v>
      </c>
      <c r="AF1827" s="146"/>
      <c r="AG1827" s="146"/>
      <c r="AH1827" s="146"/>
      <c r="AI1827" s="147"/>
      <c r="AJ1827" s="148"/>
      <c r="AK1827" s="143"/>
      <c r="AL1827" s="144"/>
      <c r="AM1827" s="22"/>
      <c r="AN1827" s="149" t="s">
        <v>2511</v>
      </c>
      <c r="AO1827" s="144"/>
      <c r="AP1827" s="148">
        <v>60085</v>
      </c>
      <c r="AQ1827" s="144"/>
      <c r="AR1827" s="120"/>
      <c r="AS1827" s="121"/>
      <c r="AT1827" s="120"/>
      <c r="AU1827" s="121"/>
      <c r="AV1827" s="120"/>
      <c r="AW1827" s="121"/>
      <c r="AX1827" s="120"/>
      <c r="AY1827" s="121"/>
      <c r="AZ1827" s="138"/>
    </row>
    <row r="1828" spans="1:52" ht="17.100000000000001" customHeight="1" thickTop="1">
      <c r="A1828" s="109" t="s">
        <v>6649</v>
      </c>
      <c r="B1828" s="28">
        <v>45926</v>
      </c>
      <c r="C1828" s="25">
        <v>1387</v>
      </c>
      <c r="D1828" s="13" t="s">
        <v>5466</v>
      </c>
      <c r="E1828" s="111"/>
      <c r="F1828" s="113" t="s">
        <v>5467</v>
      </c>
      <c r="G1828" s="114"/>
      <c r="H1828" s="115"/>
      <c r="I1828" s="24" t="s">
        <v>5468</v>
      </c>
      <c r="J1828" s="116">
        <v>4</v>
      </c>
      <c r="K1828" s="118">
        <v>214000</v>
      </c>
      <c r="L1828" s="119"/>
      <c r="M1828" s="118">
        <f>K1828*0.1</f>
        <v>21400</v>
      </c>
      <c r="N1828" s="119"/>
      <c r="O1828" s="118">
        <v>0</v>
      </c>
      <c r="P1828" s="119"/>
      <c r="Q1828" s="118">
        <v>10120</v>
      </c>
      <c r="R1828" s="119"/>
      <c r="S1828" s="118">
        <v>13200</v>
      </c>
      <c r="T1828" s="119"/>
      <c r="U1828" s="118">
        <f>SUM(K1828:T1829)</f>
        <v>258720</v>
      </c>
      <c r="V1828" s="122"/>
      <c r="W1828" s="124"/>
      <c r="X1828" s="126" t="s">
        <v>7443</v>
      </c>
      <c r="Y1828" s="127"/>
      <c r="Z1828" s="127"/>
      <c r="AA1828" s="127"/>
      <c r="AB1828" s="128"/>
      <c r="AC1828" s="15" t="s">
        <v>20</v>
      </c>
      <c r="AD1828" s="129"/>
      <c r="AE1828" s="130"/>
      <c r="AF1828" s="130"/>
      <c r="AG1828" s="130"/>
      <c r="AH1828" s="130"/>
      <c r="AI1828" s="131"/>
      <c r="AJ1828" s="132"/>
      <c r="AK1828" s="127"/>
      <c r="AL1828" s="128"/>
      <c r="AM1828" s="21" t="s">
        <v>7708</v>
      </c>
      <c r="AN1828" s="133"/>
      <c r="AO1828" s="134"/>
      <c r="AP1828" s="135"/>
      <c r="AQ1828" s="136"/>
      <c r="AR1828" s="118"/>
      <c r="AS1828" s="119"/>
      <c r="AT1828" s="118">
        <f>AR1828*0.1</f>
        <v>0</v>
      </c>
      <c r="AU1828" s="119"/>
      <c r="AV1828" s="118"/>
      <c r="AW1828" s="119"/>
      <c r="AX1828" s="118">
        <f>SUM(AR1828:AW1828)</f>
        <v>0</v>
      </c>
      <c r="AY1828" s="119"/>
      <c r="AZ1828" s="137"/>
    </row>
    <row r="1829" spans="1:52" ht="17.100000000000001" customHeight="1" thickBot="1">
      <c r="A1829" s="110"/>
      <c r="B1829" s="27" t="s">
        <v>2641</v>
      </c>
      <c r="C1829" s="27">
        <v>9283</v>
      </c>
      <c r="D1829" s="14" t="s">
        <v>1720</v>
      </c>
      <c r="E1829" s="112"/>
      <c r="F1829" s="139" t="s">
        <v>5469</v>
      </c>
      <c r="G1829" s="140"/>
      <c r="H1829" s="141"/>
      <c r="I1829" s="26">
        <v>89040</v>
      </c>
      <c r="J1829" s="117"/>
      <c r="K1829" s="120"/>
      <c r="L1829" s="121"/>
      <c r="M1829" s="120"/>
      <c r="N1829" s="121"/>
      <c r="O1829" s="120"/>
      <c r="P1829" s="121"/>
      <c r="Q1829" s="120"/>
      <c r="R1829" s="121"/>
      <c r="S1829" s="120"/>
      <c r="T1829" s="121"/>
      <c r="U1829" s="120"/>
      <c r="V1829" s="123"/>
      <c r="W1829" s="125"/>
      <c r="X1829" s="142" t="s">
        <v>3562</v>
      </c>
      <c r="Y1829" s="143"/>
      <c r="Z1829" s="143"/>
      <c r="AA1829" s="143"/>
      <c r="AB1829" s="144"/>
      <c r="AC1829" s="16" t="s">
        <v>21</v>
      </c>
      <c r="AD1829" s="17" t="s">
        <v>3317</v>
      </c>
      <c r="AE1829" s="145" t="s">
        <v>5470</v>
      </c>
      <c r="AF1829" s="146"/>
      <c r="AG1829" s="146"/>
      <c r="AH1829" s="146"/>
      <c r="AI1829" s="147"/>
      <c r="AJ1829" s="148"/>
      <c r="AK1829" s="143"/>
      <c r="AL1829" s="144"/>
      <c r="AM1829" s="22"/>
      <c r="AN1829" s="149"/>
      <c r="AO1829" s="144"/>
      <c r="AP1829" s="148"/>
      <c r="AQ1829" s="144"/>
      <c r="AR1829" s="120"/>
      <c r="AS1829" s="121"/>
      <c r="AT1829" s="120"/>
      <c r="AU1829" s="121"/>
      <c r="AV1829" s="120"/>
      <c r="AW1829" s="121"/>
      <c r="AX1829" s="120"/>
      <c r="AY1829" s="121"/>
      <c r="AZ1829" s="138"/>
    </row>
    <row r="1830" spans="1:52" ht="17.100000000000001" customHeight="1" thickTop="1">
      <c r="A1830" s="109" t="s">
        <v>6650</v>
      </c>
      <c r="B1830" s="28">
        <v>45926</v>
      </c>
      <c r="C1830" s="25">
        <v>1387</v>
      </c>
      <c r="D1830" s="13" t="s">
        <v>4035</v>
      </c>
      <c r="E1830" s="111"/>
      <c r="F1830" s="113" t="s">
        <v>5471</v>
      </c>
      <c r="G1830" s="114"/>
      <c r="H1830" s="115"/>
      <c r="I1830" s="24" t="s">
        <v>5472</v>
      </c>
      <c r="J1830" s="116">
        <v>4</v>
      </c>
      <c r="K1830" s="118">
        <v>34000</v>
      </c>
      <c r="L1830" s="119"/>
      <c r="M1830" s="118">
        <f>K1830*0.1</f>
        <v>3400</v>
      </c>
      <c r="N1830" s="119"/>
      <c r="O1830" s="118">
        <v>0</v>
      </c>
      <c r="P1830" s="119"/>
      <c r="Q1830" s="118">
        <v>9670</v>
      </c>
      <c r="R1830" s="119"/>
      <c r="S1830" s="118">
        <v>13200</v>
      </c>
      <c r="T1830" s="119"/>
      <c r="U1830" s="118">
        <f>SUM(K1830:T1831)</f>
        <v>60270</v>
      </c>
      <c r="V1830" s="122"/>
      <c r="W1830" s="124"/>
      <c r="X1830" s="126" t="s">
        <v>7093</v>
      </c>
      <c r="Y1830" s="127"/>
      <c r="Z1830" s="127"/>
      <c r="AA1830" s="127"/>
      <c r="AB1830" s="128"/>
      <c r="AC1830" s="15" t="s">
        <v>20</v>
      </c>
      <c r="AD1830" s="129" t="s">
        <v>5388</v>
      </c>
      <c r="AE1830" s="130"/>
      <c r="AF1830" s="130"/>
      <c r="AG1830" s="130"/>
      <c r="AH1830" s="130"/>
      <c r="AI1830" s="131"/>
      <c r="AJ1830" s="132"/>
      <c r="AK1830" s="127"/>
      <c r="AL1830" s="128"/>
      <c r="AM1830" s="21"/>
      <c r="AN1830" s="133">
        <v>45934</v>
      </c>
      <c r="AO1830" s="134"/>
      <c r="AP1830" s="135">
        <v>1270</v>
      </c>
      <c r="AQ1830" s="136"/>
      <c r="AR1830" s="118">
        <v>150000</v>
      </c>
      <c r="AS1830" s="119"/>
      <c r="AT1830" s="118">
        <f>AR1830*0.1</f>
        <v>15000</v>
      </c>
      <c r="AU1830" s="119"/>
      <c r="AV1830" s="118">
        <v>9670</v>
      </c>
      <c r="AW1830" s="119"/>
      <c r="AX1830" s="118">
        <f>SUM(AR1830:AW1830)</f>
        <v>174670</v>
      </c>
      <c r="AY1830" s="119"/>
      <c r="AZ1830" s="137">
        <v>45939</v>
      </c>
    </row>
    <row r="1831" spans="1:52" ht="17.100000000000001" customHeight="1" thickBot="1">
      <c r="A1831" s="110"/>
      <c r="B1831" s="27" t="s">
        <v>2641</v>
      </c>
      <c r="C1831" s="27">
        <v>9295</v>
      </c>
      <c r="D1831" s="14" t="s">
        <v>2040</v>
      </c>
      <c r="E1831" s="112"/>
      <c r="F1831" s="139" t="s">
        <v>5473</v>
      </c>
      <c r="G1831" s="140"/>
      <c r="H1831" s="141"/>
      <c r="I1831" s="26">
        <v>32084</v>
      </c>
      <c r="J1831" s="117"/>
      <c r="K1831" s="120"/>
      <c r="L1831" s="121"/>
      <c r="M1831" s="120"/>
      <c r="N1831" s="121"/>
      <c r="O1831" s="120"/>
      <c r="P1831" s="121"/>
      <c r="Q1831" s="120"/>
      <c r="R1831" s="121"/>
      <c r="S1831" s="120"/>
      <c r="T1831" s="121"/>
      <c r="U1831" s="120"/>
      <c r="V1831" s="123"/>
      <c r="W1831" s="125"/>
      <c r="X1831" s="142" t="s">
        <v>7094</v>
      </c>
      <c r="Y1831" s="143"/>
      <c r="Z1831" s="143"/>
      <c r="AA1831" s="143"/>
      <c r="AB1831" s="144"/>
      <c r="AC1831" s="16" t="s">
        <v>21</v>
      </c>
      <c r="AD1831" s="17" t="s">
        <v>3733</v>
      </c>
      <c r="AE1831" s="145" t="s">
        <v>1945</v>
      </c>
      <c r="AF1831" s="146"/>
      <c r="AG1831" s="146"/>
      <c r="AH1831" s="146"/>
      <c r="AI1831" s="147"/>
      <c r="AJ1831" s="148"/>
      <c r="AK1831" s="143"/>
      <c r="AL1831" s="144"/>
      <c r="AM1831" s="22"/>
      <c r="AN1831" s="149" t="s">
        <v>7284</v>
      </c>
      <c r="AO1831" s="144"/>
      <c r="AP1831" s="148">
        <v>60021</v>
      </c>
      <c r="AQ1831" s="144"/>
      <c r="AR1831" s="120"/>
      <c r="AS1831" s="121"/>
      <c r="AT1831" s="120"/>
      <c r="AU1831" s="121"/>
      <c r="AV1831" s="120"/>
      <c r="AW1831" s="121"/>
      <c r="AX1831" s="120"/>
      <c r="AY1831" s="121"/>
      <c r="AZ1831" s="138"/>
    </row>
    <row r="1832" spans="1:52" ht="17.100000000000001" customHeight="1" thickTop="1">
      <c r="A1832" s="109" t="s">
        <v>6651</v>
      </c>
      <c r="B1832" s="28">
        <v>45926</v>
      </c>
      <c r="C1832" s="25">
        <v>1387</v>
      </c>
      <c r="D1832" s="13" t="s">
        <v>1027</v>
      </c>
      <c r="E1832" s="111"/>
      <c r="F1832" s="113" t="s">
        <v>3853</v>
      </c>
      <c r="G1832" s="114"/>
      <c r="H1832" s="115"/>
      <c r="I1832" s="24"/>
      <c r="J1832" s="116">
        <v>3.5</v>
      </c>
      <c r="K1832" s="118">
        <v>286000</v>
      </c>
      <c r="L1832" s="119"/>
      <c r="M1832" s="118">
        <f>K1832*0.1</f>
        <v>28600</v>
      </c>
      <c r="N1832" s="119"/>
      <c r="O1832" s="118">
        <v>0</v>
      </c>
      <c r="P1832" s="119"/>
      <c r="Q1832" s="118">
        <v>9070</v>
      </c>
      <c r="R1832" s="119"/>
      <c r="S1832" s="118">
        <v>13200</v>
      </c>
      <c r="T1832" s="119"/>
      <c r="U1832" s="118">
        <f>SUM(K1832:T1833)</f>
        <v>336870</v>
      </c>
      <c r="V1832" s="122"/>
      <c r="W1832" s="124"/>
      <c r="X1832" s="126" t="s">
        <v>6888</v>
      </c>
      <c r="Y1832" s="127"/>
      <c r="Z1832" s="127"/>
      <c r="AA1832" s="127"/>
      <c r="AB1832" s="128"/>
      <c r="AC1832" s="15" t="s">
        <v>20</v>
      </c>
      <c r="AD1832" s="129"/>
      <c r="AE1832" s="130"/>
      <c r="AF1832" s="130"/>
      <c r="AG1832" s="130"/>
      <c r="AH1832" s="130"/>
      <c r="AI1832" s="131"/>
      <c r="AJ1832" s="132"/>
      <c r="AK1832" s="127"/>
      <c r="AL1832" s="128"/>
      <c r="AM1832" s="21"/>
      <c r="AN1832" s="133">
        <v>45948</v>
      </c>
      <c r="AO1832" s="134"/>
      <c r="AP1832" s="135">
        <v>1272</v>
      </c>
      <c r="AQ1832" s="136"/>
      <c r="AR1832" s="118">
        <v>345000</v>
      </c>
      <c r="AS1832" s="119"/>
      <c r="AT1832" s="118">
        <f>AR1832*0.1</f>
        <v>34500</v>
      </c>
      <c r="AU1832" s="119"/>
      <c r="AV1832" s="118">
        <v>9070</v>
      </c>
      <c r="AW1832" s="119"/>
      <c r="AX1832" s="118">
        <f>SUM(AR1832:AW1832)</f>
        <v>388570</v>
      </c>
      <c r="AY1832" s="119"/>
      <c r="AZ1832" s="137">
        <v>45951</v>
      </c>
    </row>
    <row r="1833" spans="1:52" ht="17.100000000000001" customHeight="1" thickBot="1">
      <c r="A1833" s="110"/>
      <c r="B1833" s="27" t="s">
        <v>2641</v>
      </c>
      <c r="C1833" s="27">
        <v>9382</v>
      </c>
      <c r="D1833" s="14" t="s">
        <v>1556</v>
      </c>
      <c r="E1833" s="112"/>
      <c r="F1833" s="139" t="s">
        <v>5474</v>
      </c>
      <c r="G1833" s="140"/>
      <c r="H1833" s="141"/>
      <c r="I1833" s="26">
        <v>54844</v>
      </c>
      <c r="J1833" s="117"/>
      <c r="K1833" s="120"/>
      <c r="L1833" s="121"/>
      <c r="M1833" s="120"/>
      <c r="N1833" s="121"/>
      <c r="O1833" s="120"/>
      <c r="P1833" s="121"/>
      <c r="Q1833" s="120"/>
      <c r="R1833" s="121"/>
      <c r="S1833" s="120"/>
      <c r="T1833" s="121"/>
      <c r="U1833" s="120"/>
      <c r="V1833" s="123"/>
      <c r="W1833" s="125"/>
      <c r="X1833" s="142" t="s">
        <v>2891</v>
      </c>
      <c r="Y1833" s="143"/>
      <c r="Z1833" s="143"/>
      <c r="AA1833" s="143"/>
      <c r="AB1833" s="144"/>
      <c r="AC1833" s="16" t="s">
        <v>21</v>
      </c>
      <c r="AD1833" s="17" t="s">
        <v>6716</v>
      </c>
      <c r="AE1833" s="145" t="s">
        <v>3859</v>
      </c>
      <c r="AF1833" s="146"/>
      <c r="AG1833" s="146"/>
      <c r="AH1833" s="146"/>
      <c r="AI1833" s="147"/>
      <c r="AJ1833" s="148"/>
      <c r="AK1833" s="143"/>
      <c r="AL1833" s="144"/>
      <c r="AM1833" s="22"/>
      <c r="AN1833" s="149" t="s">
        <v>7284</v>
      </c>
      <c r="AO1833" s="144"/>
      <c r="AP1833" s="148">
        <v>60124</v>
      </c>
      <c r="AQ1833" s="144"/>
      <c r="AR1833" s="120"/>
      <c r="AS1833" s="121"/>
      <c r="AT1833" s="120"/>
      <c r="AU1833" s="121"/>
      <c r="AV1833" s="120"/>
      <c r="AW1833" s="121"/>
      <c r="AX1833" s="120"/>
      <c r="AY1833" s="121"/>
      <c r="AZ1833" s="138"/>
    </row>
    <row r="1834" spans="1:52" ht="17.100000000000001" customHeight="1" thickTop="1">
      <c r="A1834" s="109" t="s">
        <v>6652</v>
      </c>
      <c r="B1834" s="28">
        <v>45928</v>
      </c>
      <c r="C1834" s="25"/>
      <c r="D1834" s="13" t="s">
        <v>4609</v>
      </c>
      <c r="E1834" s="111"/>
      <c r="F1834" s="113" t="s">
        <v>5475</v>
      </c>
      <c r="G1834" s="114"/>
      <c r="H1834" s="115"/>
      <c r="I1834" s="24" t="s">
        <v>5476</v>
      </c>
      <c r="J1834" s="116"/>
      <c r="K1834" s="118">
        <v>286729</v>
      </c>
      <c r="L1834" s="119"/>
      <c r="M1834" s="118">
        <v>0</v>
      </c>
      <c r="N1834" s="119"/>
      <c r="O1834" s="118"/>
      <c r="P1834" s="119"/>
      <c r="Q1834" s="118"/>
      <c r="R1834" s="119"/>
      <c r="S1834" s="118"/>
      <c r="T1834" s="119"/>
      <c r="U1834" s="118">
        <f>SUM(K1834:T1835)</f>
        <v>286729</v>
      </c>
      <c r="V1834" s="122"/>
      <c r="W1834" s="124"/>
      <c r="X1834" s="126" t="s">
        <v>5477</v>
      </c>
      <c r="Y1834" s="127"/>
      <c r="Z1834" s="127"/>
      <c r="AA1834" s="127"/>
      <c r="AB1834" s="128"/>
      <c r="AC1834" s="15" t="s">
        <v>20</v>
      </c>
      <c r="AD1834" s="129"/>
      <c r="AE1834" s="130"/>
      <c r="AF1834" s="130"/>
      <c r="AG1834" s="130"/>
      <c r="AH1834" s="130"/>
      <c r="AI1834" s="131"/>
      <c r="AJ1834" s="132"/>
      <c r="AK1834" s="127"/>
      <c r="AL1834" s="128"/>
      <c r="AM1834" s="21"/>
      <c r="AN1834" s="133">
        <v>45934</v>
      </c>
      <c r="AO1834" s="134"/>
      <c r="AP1834" s="135">
        <v>1270</v>
      </c>
      <c r="AQ1834" s="136"/>
      <c r="AR1834" s="118">
        <v>445000</v>
      </c>
      <c r="AS1834" s="119"/>
      <c r="AT1834" s="118">
        <f>AR1834*0.1</f>
        <v>44500</v>
      </c>
      <c r="AU1834" s="119"/>
      <c r="AV1834" s="118">
        <v>21350</v>
      </c>
      <c r="AW1834" s="119"/>
      <c r="AX1834" s="118">
        <f>SUM(AR1834:AW1834)</f>
        <v>510850</v>
      </c>
      <c r="AY1834" s="119"/>
      <c r="AZ1834" s="137">
        <v>45937</v>
      </c>
    </row>
    <row r="1835" spans="1:52" ht="17.100000000000001" customHeight="1" thickBot="1">
      <c r="A1835" s="110"/>
      <c r="B1835" s="27" t="s">
        <v>5478</v>
      </c>
      <c r="C1835" s="27"/>
      <c r="D1835" s="14"/>
      <c r="E1835" s="112"/>
      <c r="F1835" s="139" t="s">
        <v>5479</v>
      </c>
      <c r="G1835" s="140"/>
      <c r="H1835" s="141"/>
      <c r="I1835" s="26">
        <v>82728</v>
      </c>
      <c r="J1835" s="117"/>
      <c r="K1835" s="120"/>
      <c r="L1835" s="121"/>
      <c r="M1835" s="120"/>
      <c r="N1835" s="121"/>
      <c r="O1835" s="120"/>
      <c r="P1835" s="121"/>
      <c r="Q1835" s="120"/>
      <c r="R1835" s="121"/>
      <c r="S1835" s="120"/>
      <c r="T1835" s="121"/>
      <c r="U1835" s="120"/>
      <c r="V1835" s="123"/>
      <c r="W1835" s="125"/>
      <c r="X1835" s="142" t="s">
        <v>5480</v>
      </c>
      <c r="Y1835" s="143"/>
      <c r="Z1835" s="143"/>
      <c r="AA1835" s="143"/>
      <c r="AB1835" s="144"/>
      <c r="AC1835" s="16" t="s">
        <v>21</v>
      </c>
      <c r="AD1835" s="17" t="s">
        <v>4184</v>
      </c>
      <c r="AE1835" s="145" t="s">
        <v>7429</v>
      </c>
      <c r="AF1835" s="146"/>
      <c r="AG1835" s="146"/>
      <c r="AH1835" s="146"/>
      <c r="AI1835" s="147"/>
      <c r="AJ1835" s="148"/>
      <c r="AK1835" s="143"/>
      <c r="AL1835" s="144"/>
      <c r="AM1835" s="22"/>
      <c r="AN1835" s="149" t="s">
        <v>7284</v>
      </c>
      <c r="AO1835" s="144"/>
      <c r="AP1835" s="148">
        <v>82150</v>
      </c>
      <c r="AQ1835" s="144"/>
      <c r="AR1835" s="120"/>
      <c r="AS1835" s="121"/>
      <c r="AT1835" s="120"/>
      <c r="AU1835" s="121"/>
      <c r="AV1835" s="120"/>
      <c r="AW1835" s="121"/>
      <c r="AX1835" s="120"/>
      <c r="AY1835" s="121"/>
      <c r="AZ1835" s="138"/>
    </row>
    <row r="1836" spans="1:52" ht="17.100000000000001" customHeight="1" thickTop="1">
      <c r="A1836" s="109" t="s">
        <v>6653</v>
      </c>
      <c r="B1836" s="28">
        <v>45927</v>
      </c>
      <c r="C1836" s="25">
        <v>1269</v>
      </c>
      <c r="D1836" s="13" t="s">
        <v>1971</v>
      </c>
      <c r="E1836" s="111"/>
      <c r="F1836" s="113" t="s">
        <v>5481</v>
      </c>
      <c r="G1836" s="114"/>
      <c r="H1836" s="115"/>
      <c r="I1836" s="24" t="s">
        <v>5482</v>
      </c>
      <c r="J1836" s="116">
        <v>4.5</v>
      </c>
      <c r="K1836" s="118">
        <v>1625000</v>
      </c>
      <c r="L1836" s="119"/>
      <c r="M1836" s="118">
        <f>K1836*0.1</f>
        <v>162500</v>
      </c>
      <c r="N1836" s="119"/>
      <c r="O1836" s="118">
        <v>0</v>
      </c>
      <c r="P1836" s="119"/>
      <c r="Q1836" s="118">
        <v>11100</v>
      </c>
      <c r="R1836" s="119"/>
      <c r="S1836" s="118">
        <v>12100</v>
      </c>
      <c r="T1836" s="119"/>
      <c r="U1836" s="118">
        <f>SUM(K1836:T1837)</f>
        <v>1810700</v>
      </c>
      <c r="V1836" s="122"/>
      <c r="W1836" s="124"/>
      <c r="X1836" s="126" t="s">
        <v>6929</v>
      </c>
      <c r="Y1836" s="127"/>
      <c r="Z1836" s="127"/>
      <c r="AA1836" s="127"/>
      <c r="AB1836" s="128"/>
      <c r="AC1836" s="15" t="s">
        <v>20</v>
      </c>
      <c r="AD1836" s="129" t="s">
        <v>5325</v>
      </c>
      <c r="AE1836" s="130"/>
      <c r="AF1836" s="130"/>
      <c r="AG1836" s="130"/>
      <c r="AH1836" s="130"/>
      <c r="AI1836" s="131"/>
      <c r="AJ1836" s="132"/>
      <c r="AK1836" s="127"/>
      <c r="AL1836" s="128"/>
      <c r="AM1836" s="21" t="s">
        <v>8291</v>
      </c>
      <c r="AN1836" s="133">
        <v>45937</v>
      </c>
      <c r="AO1836" s="134"/>
      <c r="AP1836" s="135">
        <v>1912</v>
      </c>
      <c r="AQ1836" s="136"/>
      <c r="AR1836" s="118">
        <v>1695000</v>
      </c>
      <c r="AS1836" s="119"/>
      <c r="AT1836" s="118">
        <f>AR1836*0.1</f>
        <v>169500</v>
      </c>
      <c r="AU1836" s="119"/>
      <c r="AV1836" s="118">
        <v>11100</v>
      </c>
      <c r="AW1836" s="119"/>
      <c r="AX1836" s="118">
        <f>SUM(AR1836:AW1836)</f>
        <v>1875600</v>
      </c>
      <c r="AY1836" s="119"/>
      <c r="AZ1836" s="137">
        <v>45950</v>
      </c>
    </row>
    <row r="1837" spans="1:52" ht="17.100000000000001" customHeight="1" thickBot="1">
      <c r="A1837" s="110"/>
      <c r="B1837" s="27" t="s">
        <v>2511</v>
      </c>
      <c r="C1837" s="27">
        <v>31052</v>
      </c>
      <c r="D1837" s="14" t="s">
        <v>2601</v>
      </c>
      <c r="E1837" s="112"/>
      <c r="F1837" s="139" t="s">
        <v>5483</v>
      </c>
      <c r="G1837" s="140"/>
      <c r="H1837" s="141"/>
      <c r="I1837" s="26">
        <v>21285</v>
      </c>
      <c r="J1837" s="117"/>
      <c r="K1837" s="120"/>
      <c r="L1837" s="121"/>
      <c r="M1837" s="120"/>
      <c r="N1837" s="121"/>
      <c r="O1837" s="120"/>
      <c r="P1837" s="121"/>
      <c r="Q1837" s="120"/>
      <c r="R1837" s="121"/>
      <c r="S1837" s="120"/>
      <c r="T1837" s="121"/>
      <c r="U1837" s="120"/>
      <c r="V1837" s="123"/>
      <c r="W1837" s="125"/>
      <c r="X1837" s="142" t="s">
        <v>2918</v>
      </c>
      <c r="Y1837" s="143"/>
      <c r="Z1837" s="143"/>
      <c r="AA1837" s="143"/>
      <c r="AB1837" s="144"/>
      <c r="AC1837" s="16" t="s">
        <v>21</v>
      </c>
      <c r="AD1837" s="17" t="s">
        <v>6834</v>
      </c>
      <c r="AE1837" s="145" t="s">
        <v>6930</v>
      </c>
      <c r="AF1837" s="146"/>
      <c r="AG1837" s="146"/>
      <c r="AH1837" s="146"/>
      <c r="AI1837" s="147"/>
      <c r="AJ1837" s="148"/>
      <c r="AK1837" s="143"/>
      <c r="AL1837" s="144"/>
      <c r="AM1837" s="22"/>
      <c r="AN1837" s="149" t="s">
        <v>7644</v>
      </c>
      <c r="AO1837" s="144"/>
      <c r="AP1837" s="148">
        <v>3173</v>
      </c>
      <c r="AQ1837" s="144"/>
      <c r="AR1837" s="120"/>
      <c r="AS1837" s="121"/>
      <c r="AT1837" s="120"/>
      <c r="AU1837" s="121"/>
      <c r="AV1837" s="120"/>
      <c r="AW1837" s="121"/>
      <c r="AX1837" s="120"/>
      <c r="AY1837" s="121"/>
      <c r="AZ1837" s="138"/>
    </row>
    <row r="1838" spans="1:52" ht="17.100000000000001" customHeight="1" thickTop="1">
      <c r="A1838" s="109" t="s">
        <v>6654</v>
      </c>
      <c r="B1838" s="28">
        <v>45927</v>
      </c>
      <c r="C1838" s="25">
        <v>1269</v>
      </c>
      <c r="D1838" s="13" t="s">
        <v>1561</v>
      </c>
      <c r="E1838" s="111"/>
      <c r="F1838" s="113" t="s">
        <v>5484</v>
      </c>
      <c r="G1838" s="114"/>
      <c r="H1838" s="115"/>
      <c r="I1838" s="24" t="s">
        <v>5485</v>
      </c>
      <c r="J1838" s="116">
        <v>4</v>
      </c>
      <c r="K1838" s="118">
        <v>855000</v>
      </c>
      <c r="L1838" s="119"/>
      <c r="M1838" s="118">
        <f>K1838*0.1</f>
        <v>85500</v>
      </c>
      <c r="N1838" s="119"/>
      <c r="O1838" s="118">
        <f>19700+1970</f>
        <v>21670</v>
      </c>
      <c r="P1838" s="119"/>
      <c r="Q1838" s="118">
        <v>11810</v>
      </c>
      <c r="R1838" s="119"/>
      <c r="S1838" s="118">
        <v>12100</v>
      </c>
      <c r="T1838" s="119"/>
      <c r="U1838" s="118">
        <f>SUM(K1838:T1839)</f>
        <v>986080</v>
      </c>
      <c r="V1838" s="122"/>
      <c r="W1838" s="124"/>
      <c r="X1838" s="126" t="s">
        <v>5486</v>
      </c>
      <c r="Y1838" s="127"/>
      <c r="Z1838" s="127"/>
      <c r="AA1838" s="127"/>
      <c r="AB1838" s="128"/>
      <c r="AC1838" s="15" t="s">
        <v>20</v>
      </c>
      <c r="AD1838" s="129" t="s">
        <v>2781</v>
      </c>
      <c r="AE1838" s="130"/>
      <c r="AF1838" s="130"/>
      <c r="AG1838" s="130"/>
      <c r="AH1838" s="130"/>
      <c r="AI1838" s="131"/>
      <c r="AJ1838" s="132"/>
      <c r="AK1838" s="127"/>
      <c r="AL1838" s="128"/>
      <c r="AM1838" s="21"/>
      <c r="AN1838" s="133">
        <v>45997</v>
      </c>
      <c r="AO1838" s="134"/>
      <c r="AP1838" s="135">
        <v>1279</v>
      </c>
      <c r="AQ1838" s="136"/>
      <c r="AR1838" s="118">
        <v>910000</v>
      </c>
      <c r="AS1838" s="119"/>
      <c r="AT1838" s="118">
        <f>AR1838*0.1</f>
        <v>91000</v>
      </c>
      <c r="AU1838" s="119"/>
      <c r="AV1838" s="118">
        <v>11810</v>
      </c>
      <c r="AW1838" s="119"/>
      <c r="AX1838" s="118">
        <f>SUM(AR1838:AW1838)</f>
        <v>1012810</v>
      </c>
      <c r="AY1838" s="119"/>
      <c r="AZ1838" s="137">
        <v>46001</v>
      </c>
    </row>
    <row r="1839" spans="1:52" ht="17.100000000000001" customHeight="1" thickBot="1">
      <c r="A1839" s="110"/>
      <c r="B1839" s="27" t="s">
        <v>2511</v>
      </c>
      <c r="C1839" s="27">
        <v>37607</v>
      </c>
      <c r="D1839" s="14" t="s">
        <v>275</v>
      </c>
      <c r="E1839" s="112"/>
      <c r="F1839" s="139" t="s">
        <v>5487</v>
      </c>
      <c r="G1839" s="140"/>
      <c r="H1839" s="141"/>
      <c r="I1839" s="26">
        <v>54571</v>
      </c>
      <c r="J1839" s="117"/>
      <c r="K1839" s="120"/>
      <c r="L1839" s="121"/>
      <c r="M1839" s="120"/>
      <c r="N1839" s="121"/>
      <c r="O1839" s="120"/>
      <c r="P1839" s="121"/>
      <c r="Q1839" s="120"/>
      <c r="R1839" s="121"/>
      <c r="S1839" s="120"/>
      <c r="T1839" s="121"/>
      <c r="U1839" s="120"/>
      <c r="V1839" s="123"/>
      <c r="W1839" s="125"/>
      <c r="X1839" s="142" t="s">
        <v>7371</v>
      </c>
      <c r="Y1839" s="143"/>
      <c r="Z1839" s="143"/>
      <c r="AA1839" s="143"/>
      <c r="AB1839" s="144"/>
      <c r="AC1839" s="16" t="s">
        <v>21</v>
      </c>
      <c r="AD1839" s="17" t="s">
        <v>2156</v>
      </c>
      <c r="AE1839" s="145" t="s">
        <v>7372</v>
      </c>
      <c r="AF1839" s="146"/>
      <c r="AG1839" s="146"/>
      <c r="AH1839" s="146"/>
      <c r="AI1839" s="147"/>
      <c r="AJ1839" s="148"/>
      <c r="AK1839" s="143"/>
      <c r="AL1839" s="144"/>
      <c r="AM1839" s="22"/>
      <c r="AN1839" s="149" t="s">
        <v>2511</v>
      </c>
      <c r="AO1839" s="144"/>
      <c r="AP1839" s="148">
        <v>50116</v>
      </c>
      <c r="AQ1839" s="144"/>
      <c r="AR1839" s="120"/>
      <c r="AS1839" s="121"/>
      <c r="AT1839" s="120"/>
      <c r="AU1839" s="121"/>
      <c r="AV1839" s="120"/>
      <c r="AW1839" s="121"/>
      <c r="AX1839" s="120"/>
      <c r="AY1839" s="121"/>
      <c r="AZ1839" s="138"/>
    </row>
    <row r="1840" spans="1:52" ht="17.100000000000001" customHeight="1" thickTop="1">
      <c r="A1840" s="109" t="s">
        <v>6655</v>
      </c>
      <c r="B1840" s="28">
        <v>45927</v>
      </c>
      <c r="C1840" s="25">
        <v>1269</v>
      </c>
      <c r="D1840" s="13" t="s">
        <v>1651</v>
      </c>
      <c r="E1840" s="111"/>
      <c r="F1840" s="113" t="s">
        <v>5438</v>
      </c>
      <c r="G1840" s="114"/>
      <c r="H1840" s="115"/>
      <c r="I1840" s="24" t="s">
        <v>2943</v>
      </c>
      <c r="J1840" s="116">
        <v>4.5</v>
      </c>
      <c r="K1840" s="118">
        <v>1085000</v>
      </c>
      <c r="L1840" s="119"/>
      <c r="M1840" s="118">
        <f>K1840*0.1</f>
        <v>108500</v>
      </c>
      <c r="N1840" s="119"/>
      <c r="O1840" s="118">
        <v>0</v>
      </c>
      <c r="P1840" s="119"/>
      <c r="Q1840" s="118">
        <v>6550</v>
      </c>
      <c r="R1840" s="119"/>
      <c r="S1840" s="118">
        <v>11000</v>
      </c>
      <c r="T1840" s="119"/>
      <c r="U1840" s="118">
        <f>SUM(K1840:T1841)</f>
        <v>1211050</v>
      </c>
      <c r="V1840" s="122"/>
      <c r="W1840" s="124"/>
      <c r="X1840" s="126" t="s">
        <v>5488</v>
      </c>
      <c r="Y1840" s="127"/>
      <c r="Z1840" s="127"/>
      <c r="AA1840" s="127"/>
      <c r="AB1840" s="128"/>
      <c r="AC1840" s="15" t="s">
        <v>20</v>
      </c>
      <c r="AD1840" s="129" t="s">
        <v>4705</v>
      </c>
      <c r="AE1840" s="130"/>
      <c r="AF1840" s="130"/>
      <c r="AG1840" s="130"/>
      <c r="AH1840" s="130"/>
      <c r="AI1840" s="131"/>
      <c r="AJ1840" s="132"/>
      <c r="AK1840" s="127"/>
      <c r="AL1840" s="128"/>
      <c r="AM1840" s="21" t="s">
        <v>8295</v>
      </c>
      <c r="AN1840" s="133">
        <v>45983</v>
      </c>
      <c r="AO1840" s="134"/>
      <c r="AP1840" s="135">
        <v>1277</v>
      </c>
      <c r="AQ1840" s="136"/>
      <c r="AR1840" s="118">
        <v>1090000</v>
      </c>
      <c r="AS1840" s="119"/>
      <c r="AT1840" s="118">
        <f>AR1840*0.1</f>
        <v>109000</v>
      </c>
      <c r="AU1840" s="119"/>
      <c r="AV1840" s="118">
        <v>6550</v>
      </c>
      <c r="AW1840" s="119"/>
      <c r="AX1840" s="118">
        <f>SUM(AR1840:AW1840)</f>
        <v>1205550</v>
      </c>
      <c r="AY1840" s="119"/>
      <c r="AZ1840" s="137">
        <v>45987</v>
      </c>
    </row>
    <row r="1841" spans="1:52" ht="17.100000000000001" customHeight="1" thickBot="1">
      <c r="A1841" s="110"/>
      <c r="B1841" s="27" t="s">
        <v>2511</v>
      </c>
      <c r="C1841" s="27">
        <v>62032</v>
      </c>
      <c r="D1841" s="14" t="s">
        <v>275</v>
      </c>
      <c r="E1841" s="112"/>
      <c r="F1841" s="139" t="s">
        <v>5489</v>
      </c>
      <c r="G1841" s="140"/>
      <c r="H1841" s="141"/>
      <c r="I1841" s="26">
        <v>25858</v>
      </c>
      <c r="J1841" s="117"/>
      <c r="K1841" s="120"/>
      <c r="L1841" s="121"/>
      <c r="M1841" s="120"/>
      <c r="N1841" s="121"/>
      <c r="O1841" s="120"/>
      <c r="P1841" s="121"/>
      <c r="Q1841" s="120"/>
      <c r="R1841" s="121"/>
      <c r="S1841" s="120"/>
      <c r="T1841" s="121"/>
      <c r="U1841" s="120"/>
      <c r="V1841" s="123"/>
      <c r="W1841" s="125"/>
      <c r="X1841" s="142" t="s">
        <v>6932</v>
      </c>
      <c r="Y1841" s="143"/>
      <c r="Z1841" s="143"/>
      <c r="AA1841" s="143"/>
      <c r="AB1841" s="144"/>
      <c r="AC1841" s="16" t="s">
        <v>21</v>
      </c>
      <c r="AD1841" s="17" t="s">
        <v>6834</v>
      </c>
      <c r="AE1841" s="145" t="s">
        <v>6933</v>
      </c>
      <c r="AF1841" s="146"/>
      <c r="AG1841" s="146"/>
      <c r="AH1841" s="146"/>
      <c r="AI1841" s="147"/>
      <c r="AJ1841" s="148"/>
      <c r="AK1841" s="143"/>
      <c r="AL1841" s="144"/>
      <c r="AM1841" s="22"/>
      <c r="AN1841" s="149" t="s">
        <v>7284</v>
      </c>
      <c r="AO1841" s="144"/>
      <c r="AP1841" s="148">
        <v>60273</v>
      </c>
      <c r="AQ1841" s="144"/>
      <c r="AR1841" s="120"/>
      <c r="AS1841" s="121"/>
      <c r="AT1841" s="120"/>
      <c r="AU1841" s="121"/>
      <c r="AV1841" s="120"/>
      <c r="AW1841" s="121"/>
      <c r="AX1841" s="120"/>
      <c r="AY1841" s="121"/>
      <c r="AZ1841" s="138"/>
    </row>
    <row r="1842" spans="1:52" ht="17.100000000000001" customHeight="1" thickTop="1">
      <c r="A1842" s="109" t="s">
        <v>6656</v>
      </c>
      <c r="B1842" s="28">
        <v>45927</v>
      </c>
      <c r="C1842" s="25">
        <v>1269</v>
      </c>
      <c r="D1842" s="13" t="s">
        <v>2859</v>
      </c>
      <c r="E1842" s="111"/>
      <c r="F1842" s="113" t="s">
        <v>5490</v>
      </c>
      <c r="G1842" s="114"/>
      <c r="H1842" s="115"/>
      <c r="I1842" s="24" t="s">
        <v>4754</v>
      </c>
      <c r="J1842" s="116">
        <v>4.5</v>
      </c>
      <c r="K1842" s="118">
        <v>530000</v>
      </c>
      <c r="L1842" s="119"/>
      <c r="M1842" s="118">
        <f>K1842*0.1</f>
        <v>53000</v>
      </c>
      <c r="N1842" s="119"/>
      <c r="O1842" s="118">
        <v>0</v>
      </c>
      <c r="P1842" s="119"/>
      <c r="Q1842" s="118">
        <v>7170</v>
      </c>
      <c r="R1842" s="119"/>
      <c r="S1842" s="118">
        <v>12100</v>
      </c>
      <c r="T1842" s="119"/>
      <c r="U1842" s="118">
        <f>SUM(K1842:T1843)</f>
        <v>602270</v>
      </c>
      <c r="V1842" s="122"/>
      <c r="W1842" s="124"/>
      <c r="X1842" s="126" t="s">
        <v>5491</v>
      </c>
      <c r="Y1842" s="127"/>
      <c r="Z1842" s="127"/>
      <c r="AA1842" s="127"/>
      <c r="AB1842" s="128"/>
      <c r="AC1842" s="15" t="s">
        <v>20</v>
      </c>
      <c r="AD1842" s="129" t="s">
        <v>5492</v>
      </c>
      <c r="AE1842" s="130"/>
      <c r="AF1842" s="130"/>
      <c r="AG1842" s="130"/>
      <c r="AH1842" s="130"/>
      <c r="AI1842" s="131"/>
      <c r="AJ1842" s="132"/>
      <c r="AK1842" s="127"/>
      <c r="AL1842" s="128"/>
      <c r="AM1842" s="21"/>
      <c r="AN1842" s="133">
        <v>45931</v>
      </c>
      <c r="AO1842" s="134"/>
      <c r="AP1842" s="135">
        <v>986</v>
      </c>
      <c r="AQ1842" s="136"/>
      <c r="AR1842" s="118">
        <v>600000</v>
      </c>
      <c r="AS1842" s="119"/>
      <c r="AT1842" s="118">
        <f>AR1842*0.1</f>
        <v>60000</v>
      </c>
      <c r="AU1842" s="119"/>
      <c r="AV1842" s="118">
        <v>7170</v>
      </c>
      <c r="AW1842" s="119"/>
      <c r="AX1842" s="118">
        <f>SUM(AR1842:AW1842)</f>
        <v>667170</v>
      </c>
      <c r="AY1842" s="119"/>
      <c r="AZ1842" s="137">
        <v>45939</v>
      </c>
    </row>
    <row r="1843" spans="1:52" ht="17.100000000000001" customHeight="1" thickBot="1">
      <c r="A1843" s="110"/>
      <c r="B1843" s="27" t="s">
        <v>2511</v>
      </c>
      <c r="C1843" s="27">
        <v>65036</v>
      </c>
      <c r="D1843" s="14" t="s">
        <v>904</v>
      </c>
      <c r="E1843" s="112"/>
      <c r="F1843" s="139" t="s">
        <v>5493</v>
      </c>
      <c r="G1843" s="140"/>
      <c r="H1843" s="141"/>
      <c r="I1843" s="26">
        <v>31310</v>
      </c>
      <c r="J1843" s="117"/>
      <c r="K1843" s="120"/>
      <c r="L1843" s="121"/>
      <c r="M1843" s="120"/>
      <c r="N1843" s="121"/>
      <c r="O1843" s="120"/>
      <c r="P1843" s="121"/>
      <c r="Q1843" s="120"/>
      <c r="R1843" s="121"/>
      <c r="S1843" s="120"/>
      <c r="T1843" s="121"/>
      <c r="U1843" s="120"/>
      <c r="V1843" s="123"/>
      <c r="W1843" s="125"/>
      <c r="X1843" s="142" t="s">
        <v>7401</v>
      </c>
      <c r="Y1843" s="143"/>
      <c r="Z1843" s="143"/>
      <c r="AA1843" s="143"/>
      <c r="AB1843" s="144"/>
      <c r="AC1843" s="16" t="s">
        <v>21</v>
      </c>
      <c r="AD1843" s="17" t="s">
        <v>3317</v>
      </c>
      <c r="AE1843" s="145" t="s">
        <v>7402</v>
      </c>
      <c r="AF1843" s="146"/>
      <c r="AG1843" s="146"/>
      <c r="AH1843" s="146"/>
      <c r="AI1843" s="147"/>
      <c r="AJ1843" s="148"/>
      <c r="AK1843" s="143"/>
      <c r="AL1843" s="144"/>
      <c r="AM1843" s="22"/>
      <c r="AN1843" s="149" t="s">
        <v>2794</v>
      </c>
      <c r="AO1843" s="144"/>
      <c r="AP1843" s="148">
        <v>2058</v>
      </c>
      <c r="AQ1843" s="144"/>
      <c r="AR1843" s="120"/>
      <c r="AS1843" s="121"/>
      <c r="AT1843" s="120"/>
      <c r="AU1843" s="121"/>
      <c r="AV1843" s="120"/>
      <c r="AW1843" s="121"/>
      <c r="AX1843" s="120"/>
      <c r="AY1843" s="121"/>
      <c r="AZ1843" s="138"/>
    </row>
    <row r="1844" spans="1:52" ht="17.100000000000001" customHeight="1" thickTop="1">
      <c r="A1844" s="109" t="s">
        <v>6657</v>
      </c>
      <c r="B1844" s="28">
        <v>45927</v>
      </c>
      <c r="C1844" s="25">
        <v>1269</v>
      </c>
      <c r="D1844" s="13" t="s">
        <v>2122</v>
      </c>
      <c r="E1844" s="111"/>
      <c r="F1844" s="113" t="s">
        <v>5494</v>
      </c>
      <c r="G1844" s="114"/>
      <c r="H1844" s="115"/>
      <c r="I1844" s="24" t="s">
        <v>5495</v>
      </c>
      <c r="J1844" s="116">
        <v>5</v>
      </c>
      <c r="K1844" s="118">
        <v>1125000</v>
      </c>
      <c r="L1844" s="119"/>
      <c r="M1844" s="118">
        <f>K1844*0.1</f>
        <v>112500</v>
      </c>
      <c r="N1844" s="119"/>
      <c r="O1844" s="118">
        <v>0</v>
      </c>
      <c r="P1844" s="119"/>
      <c r="Q1844" s="118">
        <v>8200</v>
      </c>
      <c r="R1844" s="119"/>
      <c r="S1844" s="118">
        <v>12100</v>
      </c>
      <c r="T1844" s="119"/>
      <c r="U1844" s="118">
        <f>SUM(K1844:T1845)</f>
        <v>1257800</v>
      </c>
      <c r="V1844" s="122"/>
      <c r="W1844" s="124"/>
      <c r="X1844" s="126" t="s">
        <v>5496</v>
      </c>
      <c r="Y1844" s="127"/>
      <c r="Z1844" s="127"/>
      <c r="AA1844" s="127"/>
      <c r="AB1844" s="128"/>
      <c r="AC1844" s="15" t="s">
        <v>20</v>
      </c>
      <c r="AD1844" s="129" t="s">
        <v>1575</v>
      </c>
      <c r="AE1844" s="130"/>
      <c r="AF1844" s="130"/>
      <c r="AG1844" s="130"/>
      <c r="AH1844" s="130"/>
      <c r="AI1844" s="131"/>
      <c r="AJ1844" s="132"/>
      <c r="AK1844" s="127"/>
      <c r="AL1844" s="128"/>
      <c r="AM1844" s="21" t="s">
        <v>7702</v>
      </c>
      <c r="AN1844" s="133">
        <v>45944</v>
      </c>
      <c r="AO1844" s="134"/>
      <c r="AP1844" s="135">
        <v>1913</v>
      </c>
      <c r="AQ1844" s="136"/>
      <c r="AR1844" s="118">
        <v>1180000</v>
      </c>
      <c r="AS1844" s="119"/>
      <c r="AT1844" s="118">
        <f>AR1844*0.1</f>
        <v>118000</v>
      </c>
      <c r="AU1844" s="119"/>
      <c r="AV1844" s="118">
        <v>8200</v>
      </c>
      <c r="AW1844" s="119"/>
      <c r="AX1844" s="118">
        <f>SUM(AR1844:AW1844)</f>
        <v>1306200</v>
      </c>
      <c r="AY1844" s="119"/>
      <c r="AZ1844" s="137">
        <v>45950</v>
      </c>
    </row>
    <row r="1845" spans="1:52" ht="17.100000000000001" customHeight="1" thickBot="1">
      <c r="A1845" s="110"/>
      <c r="B1845" s="27" t="s">
        <v>2511</v>
      </c>
      <c r="C1845" s="27">
        <v>65039</v>
      </c>
      <c r="D1845" s="14" t="s">
        <v>275</v>
      </c>
      <c r="E1845" s="112"/>
      <c r="F1845" s="139" t="s">
        <v>5497</v>
      </c>
      <c r="G1845" s="140"/>
      <c r="H1845" s="141"/>
      <c r="I1845" s="26">
        <v>7170</v>
      </c>
      <c r="J1845" s="117"/>
      <c r="K1845" s="120"/>
      <c r="L1845" s="121"/>
      <c r="M1845" s="120"/>
      <c r="N1845" s="121"/>
      <c r="O1845" s="120"/>
      <c r="P1845" s="121"/>
      <c r="Q1845" s="120"/>
      <c r="R1845" s="121"/>
      <c r="S1845" s="120"/>
      <c r="T1845" s="121"/>
      <c r="U1845" s="120"/>
      <c r="V1845" s="123"/>
      <c r="W1845" s="125"/>
      <c r="X1845" s="142" t="s">
        <v>6931</v>
      </c>
      <c r="Y1845" s="143"/>
      <c r="Z1845" s="143"/>
      <c r="AA1845" s="143"/>
      <c r="AB1845" s="144"/>
      <c r="AC1845" s="16" t="s">
        <v>21</v>
      </c>
      <c r="AD1845" s="17" t="s">
        <v>6834</v>
      </c>
      <c r="AE1845" s="145" t="s">
        <v>1945</v>
      </c>
      <c r="AF1845" s="146"/>
      <c r="AG1845" s="146"/>
      <c r="AH1845" s="146"/>
      <c r="AI1845" s="147"/>
      <c r="AJ1845" s="148"/>
      <c r="AK1845" s="143"/>
      <c r="AL1845" s="144"/>
      <c r="AM1845" s="22"/>
      <c r="AN1845" s="149" t="s">
        <v>2131</v>
      </c>
      <c r="AO1845" s="144"/>
      <c r="AP1845" s="148">
        <v>3141</v>
      </c>
      <c r="AQ1845" s="144"/>
      <c r="AR1845" s="120"/>
      <c r="AS1845" s="121"/>
      <c r="AT1845" s="120"/>
      <c r="AU1845" s="121"/>
      <c r="AV1845" s="120"/>
      <c r="AW1845" s="121"/>
      <c r="AX1845" s="120"/>
      <c r="AY1845" s="121"/>
      <c r="AZ1845" s="138"/>
    </row>
    <row r="1846" spans="1:52" ht="17.100000000000001" customHeight="1" thickTop="1">
      <c r="A1846" s="109" t="s">
        <v>6658</v>
      </c>
      <c r="B1846" s="28">
        <v>45927</v>
      </c>
      <c r="C1846" s="25">
        <v>1269</v>
      </c>
      <c r="D1846" s="13" t="s">
        <v>1767</v>
      </c>
      <c r="E1846" s="111"/>
      <c r="F1846" s="113" t="s">
        <v>5498</v>
      </c>
      <c r="G1846" s="114"/>
      <c r="H1846" s="115"/>
      <c r="I1846" s="24" t="s">
        <v>4236</v>
      </c>
      <c r="J1846" s="116">
        <v>4.5</v>
      </c>
      <c r="K1846" s="118">
        <v>505000</v>
      </c>
      <c r="L1846" s="119"/>
      <c r="M1846" s="118">
        <f>K1846*0.1</f>
        <v>50500</v>
      </c>
      <c r="N1846" s="119"/>
      <c r="O1846" s="118">
        <v>0</v>
      </c>
      <c r="P1846" s="119"/>
      <c r="Q1846" s="118">
        <v>9190</v>
      </c>
      <c r="R1846" s="119"/>
      <c r="S1846" s="118">
        <v>12100</v>
      </c>
      <c r="T1846" s="119"/>
      <c r="U1846" s="118">
        <f>SUM(K1846:T1847)</f>
        <v>576790</v>
      </c>
      <c r="V1846" s="122"/>
      <c r="W1846" s="124"/>
      <c r="X1846" s="126" t="s">
        <v>5499</v>
      </c>
      <c r="Y1846" s="127"/>
      <c r="Z1846" s="127"/>
      <c r="AA1846" s="127"/>
      <c r="AB1846" s="128"/>
      <c r="AC1846" s="15" t="s">
        <v>20</v>
      </c>
      <c r="AD1846" s="129" t="s">
        <v>5500</v>
      </c>
      <c r="AE1846" s="130"/>
      <c r="AF1846" s="130"/>
      <c r="AG1846" s="130"/>
      <c r="AH1846" s="130"/>
      <c r="AI1846" s="131"/>
      <c r="AJ1846" s="132"/>
      <c r="AK1846" s="127"/>
      <c r="AL1846" s="128"/>
      <c r="AM1846" s="21"/>
      <c r="AN1846" s="133">
        <v>45931</v>
      </c>
      <c r="AO1846" s="134"/>
      <c r="AP1846" s="135">
        <v>986</v>
      </c>
      <c r="AQ1846" s="136"/>
      <c r="AR1846" s="118">
        <v>565000</v>
      </c>
      <c r="AS1846" s="119"/>
      <c r="AT1846" s="118">
        <f>AR1846*0.1</f>
        <v>56500</v>
      </c>
      <c r="AU1846" s="119"/>
      <c r="AV1846" s="118">
        <v>9190</v>
      </c>
      <c r="AW1846" s="119"/>
      <c r="AX1846" s="118">
        <f>SUM(AR1846:AW1846)</f>
        <v>630690</v>
      </c>
      <c r="AY1846" s="119"/>
      <c r="AZ1846" s="137">
        <v>45937</v>
      </c>
    </row>
    <row r="1847" spans="1:52" ht="17.100000000000001" customHeight="1" thickBot="1">
      <c r="A1847" s="110"/>
      <c r="B1847" s="27" t="s">
        <v>2511</v>
      </c>
      <c r="C1847" s="27">
        <v>65494</v>
      </c>
      <c r="D1847" s="14" t="s">
        <v>2040</v>
      </c>
      <c r="E1847" s="112"/>
      <c r="F1847" s="139" t="s">
        <v>5501</v>
      </c>
      <c r="G1847" s="140"/>
      <c r="H1847" s="141"/>
      <c r="I1847" s="26">
        <v>53378</v>
      </c>
      <c r="J1847" s="117"/>
      <c r="K1847" s="120"/>
      <c r="L1847" s="121"/>
      <c r="M1847" s="120"/>
      <c r="N1847" s="121"/>
      <c r="O1847" s="120"/>
      <c r="P1847" s="121"/>
      <c r="Q1847" s="120"/>
      <c r="R1847" s="121"/>
      <c r="S1847" s="120"/>
      <c r="T1847" s="121"/>
      <c r="U1847" s="120"/>
      <c r="V1847" s="123"/>
      <c r="W1847" s="125"/>
      <c r="X1847" s="142" t="s">
        <v>6833</v>
      </c>
      <c r="Y1847" s="143"/>
      <c r="Z1847" s="143"/>
      <c r="AA1847" s="143"/>
      <c r="AB1847" s="144"/>
      <c r="AC1847" s="16" t="s">
        <v>21</v>
      </c>
      <c r="AD1847" s="17" t="s">
        <v>6834</v>
      </c>
      <c r="AE1847" s="145" t="s">
        <v>4801</v>
      </c>
      <c r="AF1847" s="146"/>
      <c r="AG1847" s="146"/>
      <c r="AH1847" s="146"/>
      <c r="AI1847" s="147"/>
      <c r="AJ1847" s="148"/>
      <c r="AK1847" s="143"/>
      <c r="AL1847" s="144"/>
      <c r="AM1847" s="22"/>
      <c r="AN1847" s="149" t="s">
        <v>2794</v>
      </c>
      <c r="AO1847" s="144"/>
      <c r="AP1847" s="148">
        <v>2061</v>
      </c>
      <c r="AQ1847" s="144"/>
      <c r="AR1847" s="120"/>
      <c r="AS1847" s="121"/>
      <c r="AT1847" s="120"/>
      <c r="AU1847" s="121"/>
      <c r="AV1847" s="120"/>
      <c r="AW1847" s="121"/>
      <c r="AX1847" s="120"/>
      <c r="AY1847" s="121"/>
      <c r="AZ1847" s="138"/>
    </row>
    <row r="1848" spans="1:52" ht="17.100000000000001" customHeight="1" thickTop="1">
      <c r="A1848" s="109" t="s">
        <v>6659</v>
      </c>
      <c r="B1848" s="28">
        <v>45927</v>
      </c>
      <c r="C1848" s="25">
        <v>1269</v>
      </c>
      <c r="D1848" s="13" t="s">
        <v>2500</v>
      </c>
      <c r="E1848" s="111"/>
      <c r="F1848" s="113" t="s">
        <v>4444</v>
      </c>
      <c r="G1848" s="114"/>
      <c r="H1848" s="115"/>
      <c r="I1848" s="24"/>
      <c r="J1848" s="116">
        <v>4</v>
      </c>
      <c r="K1848" s="118">
        <v>670000</v>
      </c>
      <c r="L1848" s="119"/>
      <c r="M1848" s="118">
        <f>K1848*0.1</f>
        <v>67000</v>
      </c>
      <c r="N1848" s="119"/>
      <c r="O1848" s="118">
        <v>0</v>
      </c>
      <c r="P1848" s="119"/>
      <c r="Q1848" s="118">
        <v>9010</v>
      </c>
      <c r="R1848" s="119"/>
      <c r="S1848" s="118">
        <v>12100</v>
      </c>
      <c r="T1848" s="119"/>
      <c r="U1848" s="118">
        <f>SUM(K1848:T1849)</f>
        <v>758110</v>
      </c>
      <c r="V1848" s="122"/>
      <c r="W1848" s="124"/>
      <c r="X1848" s="126" t="s">
        <v>6836</v>
      </c>
      <c r="Y1848" s="127"/>
      <c r="Z1848" s="127"/>
      <c r="AA1848" s="127"/>
      <c r="AB1848" s="128"/>
      <c r="AC1848" s="15" t="s">
        <v>20</v>
      </c>
      <c r="AD1848" s="129"/>
      <c r="AE1848" s="130"/>
      <c r="AF1848" s="130"/>
      <c r="AG1848" s="130"/>
      <c r="AH1848" s="130"/>
      <c r="AI1848" s="131"/>
      <c r="AJ1848" s="132"/>
      <c r="AK1848" s="127"/>
      <c r="AL1848" s="128"/>
      <c r="AM1848" s="21"/>
      <c r="AN1848" s="133">
        <v>45931</v>
      </c>
      <c r="AO1848" s="134"/>
      <c r="AP1848" s="135">
        <v>986</v>
      </c>
      <c r="AQ1848" s="136"/>
      <c r="AR1848" s="118">
        <v>830000</v>
      </c>
      <c r="AS1848" s="119"/>
      <c r="AT1848" s="118">
        <f>AR1848*0.1</f>
        <v>83000</v>
      </c>
      <c r="AU1848" s="119"/>
      <c r="AV1848" s="118">
        <v>9010</v>
      </c>
      <c r="AW1848" s="119"/>
      <c r="AX1848" s="118">
        <f>SUM(AR1848:AW1848)</f>
        <v>922010</v>
      </c>
      <c r="AY1848" s="119"/>
      <c r="AZ1848" s="137">
        <v>45937</v>
      </c>
    </row>
    <row r="1849" spans="1:52" ht="17.100000000000001" customHeight="1" thickBot="1">
      <c r="A1849" s="110"/>
      <c r="B1849" s="27" t="s">
        <v>2511</v>
      </c>
      <c r="C1849" s="27">
        <v>65507</v>
      </c>
      <c r="D1849" s="14" t="s">
        <v>3327</v>
      </c>
      <c r="E1849" s="112"/>
      <c r="F1849" s="139" t="s">
        <v>5502</v>
      </c>
      <c r="G1849" s="140"/>
      <c r="H1849" s="141"/>
      <c r="I1849" s="26">
        <v>95027</v>
      </c>
      <c r="J1849" s="117"/>
      <c r="K1849" s="120"/>
      <c r="L1849" s="121"/>
      <c r="M1849" s="120"/>
      <c r="N1849" s="121"/>
      <c r="O1849" s="120"/>
      <c r="P1849" s="121"/>
      <c r="Q1849" s="120"/>
      <c r="R1849" s="121"/>
      <c r="S1849" s="120"/>
      <c r="T1849" s="121"/>
      <c r="U1849" s="120"/>
      <c r="V1849" s="123"/>
      <c r="W1849" s="125"/>
      <c r="X1849" s="142" t="s">
        <v>6837</v>
      </c>
      <c r="Y1849" s="143"/>
      <c r="Z1849" s="143"/>
      <c r="AA1849" s="143"/>
      <c r="AB1849" s="144"/>
      <c r="AC1849" s="16" t="s">
        <v>21</v>
      </c>
      <c r="AD1849" s="17" t="s">
        <v>6834</v>
      </c>
      <c r="AE1849" s="145" t="s">
        <v>6835</v>
      </c>
      <c r="AF1849" s="146"/>
      <c r="AG1849" s="146"/>
      <c r="AH1849" s="146"/>
      <c r="AI1849" s="147"/>
      <c r="AJ1849" s="148" t="s">
        <v>5503</v>
      </c>
      <c r="AK1849" s="143"/>
      <c r="AL1849" s="144"/>
      <c r="AM1849" s="22"/>
      <c r="AN1849" s="149" t="s">
        <v>2794</v>
      </c>
      <c r="AO1849" s="144"/>
      <c r="AP1849" s="148">
        <v>2059</v>
      </c>
      <c r="AQ1849" s="144"/>
      <c r="AR1849" s="120"/>
      <c r="AS1849" s="121"/>
      <c r="AT1849" s="120"/>
      <c r="AU1849" s="121"/>
      <c r="AV1849" s="120"/>
      <c r="AW1849" s="121"/>
      <c r="AX1849" s="120"/>
      <c r="AY1849" s="121"/>
      <c r="AZ1849" s="138"/>
    </row>
    <row r="1850" spans="1:52" ht="17.100000000000001" customHeight="1" thickTop="1">
      <c r="A1850" s="109" t="s">
        <v>6660</v>
      </c>
      <c r="B1850" s="28">
        <v>45927</v>
      </c>
      <c r="C1850" s="25">
        <v>1269</v>
      </c>
      <c r="D1850" s="13" t="s">
        <v>2234</v>
      </c>
      <c r="E1850" s="111"/>
      <c r="F1850" s="113" t="s">
        <v>4559</v>
      </c>
      <c r="G1850" s="114"/>
      <c r="H1850" s="115"/>
      <c r="I1850" s="24"/>
      <c r="J1850" s="116">
        <v>4</v>
      </c>
      <c r="K1850" s="118">
        <v>475000</v>
      </c>
      <c r="L1850" s="119"/>
      <c r="M1850" s="118">
        <f>K1850*0.1</f>
        <v>47500</v>
      </c>
      <c r="N1850" s="119"/>
      <c r="O1850" s="118">
        <v>0</v>
      </c>
      <c r="P1850" s="119"/>
      <c r="Q1850" s="118">
        <v>17700</v>
      </c>
      <c r="R1850" s="119"/>
      <c r="S1850" s="118">
        <v>16500</v>
      </c>
      <c r="T1850" s="119"/>
      <c r="U1850" s="118">
        <f>SUM(K1850:T1851)</f>
        <v>556700</v>
      </c>
      <c r="V1850" s="122"/>
      <c r="W1850" s="124"/>
      <c r="X1850" s="126" t="s">
        <v>6940</v>
      </c>
      <c r="Y1850" s="127"/>
      <c r="Z1850" s="127"/>
      <c r="AA1850" s="127"/>
      <c r="AB1850" s="128"/>
      <c r="AC1850" s="15" t="s">
        <v>20</v>
      </c>
      <c r="AD1850" s="129"/>
      <c r="AE1850" s="130"/>
      <c r="AF1850" s="130"/>
      <c r="AG1850" s="130"/>
      <c r="AH1850" s="130"/>
      <c r="AI1850" s="131"/>
      <c r="AJ1850" s="132"/>
      <c r="AK1850" s="127"/>
      <c r="AL1850" s="128"/>
      <c r="AM1850" s="21"/>
      <c r="AN1850" s="133">
        <v>45952</v>
      </c>
      <c r="AO1850" s="134"/>
      <c r="AP1850" s="135">
        <v>989</v>
      </c>
      <c r="AQ1850" s="136"/>
      <c r="AR1850" s="118">
        <v>590000</v>
      </c>
      <c r="AS1850" s="119"/>
      <c r="AT1850" s="118">
        <f>AR1850*0.1</f>
        <v>59000</v>
      </c>
      <c r="AU1850" s="119"/>
      <c r="AV1850" s="118">
        <v>17700</v>
      </c>
      <c r="AW1850" s="119"/>
      <c r="AX1850" s="118">
        <f>SUM(AR1850:AW1850)</f>
        <v>666700</v>
      </c>
      <c r="AY1850" s="119"/>
      <c r="AZ1850" s="137">
        <v>45960</v>
      </c>
    </row>
    <row r="1851" spans="1:52" ht="17.100000000000001" customHeight="1" thickBot="1">
      <c r="A1851" s="110"/>
      <c r="B1851" s="27" t="s">
        <v>2511</v>
      </c>
      <c r="C1851" s="27">
        <v>82079</v>
      </c>
      <c r="D1851" s="14" t="s">
        <v>904</v>
      </c>
      <c r="E1851" s="112"/>
      <c r="F1851" s="139" t="s">
        <v>5504</v>
      </c>
      <c r="G1851" s="140"/>
      <c r="H1851" s="141"/>
      <c r="I1851" s="26">
        <v>68029</v>
      </c>
      <c r="J1851" s="117"/>
      <c r="K1851" s="120"/>
      <c r="L1851" s="121"/>
      <c r="M1851" s="120"/>
      <c r="N1851" s="121"/>
      <c r="O1851" s="120"/>
      <c r="P1851" s="121"/>
      <c r="Q1851" s="120"/>
      <c r="R1851" s="121"/>
      <c r="S1851" s="120"/>
      <c r="T1851" s="121"/>
      <c r="U1851" s="120"/>
      <c r="V1851" s="123"/>
      <c r="W1851" s="125"/>
      <c r="X1851" s="142" t="s">
        <v>2776</v>
      </c>
      <c r="Y1851" s="143"/>
      <c r="Z1851" s="143"/>
      <c r="AA1851" s="143"/>
      <c r="AB1851" s="144"/>
      <c r="AC1851" s="16" t="s">
        <v>21</v>
      </c>
      <c r="AD1851" s="17" t="s">
        <v>6834</v>
      </c>
      <c r="AE1851" s="145" t="s">
        <v>7091</v>
      </c>
      <c r="AF1851" s="146"/>
      <c r="AG1851" s="146"/>
      <c r="AH1851" s="146"/>
      <c r="AI1851" s="147"/>
      <c r="AJ1851" s="148"/>
      <c r="AK1851" s="143"/>
      <c r="AL1851" s="144"/>
      <c r="AM1851" s="22"/>
      <c r="AN1851" s="149" t="s">
        <v>7285</v>
      </c>
      <c r="AO1851" s="144"/>
      <c r="AP1851" s="148">
        <v>5288</v>
      </c>
      <c r="AQ1851" s="144"/>
      <c r="AR1851" s="120"/>
      <c r="AS1851" s="121"/>
      <c r="AT1851" s="120"/>
      <c r="AU1851" s="121"/>
      <c r="AV1851" s="120"/>
      <c r="AW1851" s="121"/>
      <c r="AX1851" s="120"/>
      <c r="AY1851" s="121"/>
      <c r="AZ1851" s="138"/>
    </row>
    <row r="1852" spans="1:52" ht="17.100000000000001" customHeight="1" thickTop="1">
      <c r="A1852" s="109" t="s">
        <v>6661</v>
      </c>
      <c r="B1852" s="28">
        <v>45927</v>
      </c>
      <c r="C1852" s="25">
        <v>1269</v>
      </c>
      <c r="D1852" s="13" t="s">
        <v>1744</v>
      </c>
      <c r="E1852" s="111"/>
      <c r="F1852" s="113" t="s">
        <v>5397</v>
      </c>
      <c r="G1852" s="114"/>
      <c r="H1852" s="115"/>
      <c r="I1852" s="24"/>
      <c r="J1852" s="116">
        <v>4.5</v>
      </c>
      <c r="K1852" s="118">
        <v>600000</v>
      </c>
      <c r="L1852" s="119"/>
      <c r="M1852" s="118">
        <f>K1852*0.1</f>
        <v>60000</v>
      </c>
      <c r="N1852" s="119"/>
      <c r="O1852" s="118">
        <v>0</v>
      </c>
      <c r="P1852" s="119"/>
      <c r="Q1852" s="118">
        <v>17250</v>
      </c>
      <c r="R1852" s="119"/>
      <c r="S1852" s="118">
        <v>16500</v>
      </c>
      <c r="T1852" s="119"/>
      <c r="U1852" s="118">
        <f>SUM(K1852:T1853)</f>
        <v>693750</v>
      </c>
      <c r="V1852" s="122"/>
      <c r="W1852" s="124"/>
      <c r="X1852" s="126" t="s">
        <v>6838</v>
      </c>
      <c r="Y1852" s="127"/>
      <c r="Z1852" s="127"/>
      <c r="AA1852" s="127"/>
      <c r="AB1852" s="128"/>
      <c r="AC1852" s="15" t="s">
        <v>20</v>
      </c>
      <c r="AD1852" s="129"/>
      <c r="AE1852" s="130"/>
      <c r="AF1852" s="130"/>
      <c r="AG1852" s="130"/>
      <c r="AH1852" s="130"/>
      <c r="AI1852" s="131"/>
      <c r="AJ1852" s="132"/>
      <c r="AK1852" s="127"/>
      <c r="AL1852" s="128"/>
      <c r="AM1852" s="21"/>
      <c r="AN1852" s="133">
        <v>45932</v>
      </c>
      <c r="AO1852" s="134"/>
      <c r="AP1852" s="135">
        <v>1300</v>
      </c>
      <c r="AQ1852" s="136"/>
      <c r="AR1852" s="118">
        <v>715000</v>
      </c>
      <c r="AS1852" s="119"/>
      <c r="AT1852" s="118">
        <f>AR1852*0.1</f>
        <v>71500</v>
      </c>
      <c r="AU1852" s="119"/>
      <c r="AV1852" s="118">
        <v>17250</v>
      </c>
      <c r="AW1852" s="119"/>
      <c r="AX1852" s="118">
        <f>SUM(AR1852:AW1852)</f>
        <v>803750</v>
      </c>
      <c r="AY1852" s="119"/>
      <c r="AZ1852" s="137">
        <v>45933</v>
      </c>
    </row>
    <row r="1853" spans="1:52" ht="17.100000000000001" customHeight="1" thickBot="1">
      <c r="A1853" s="110"/>
      <c r="B1853" s="27" t="s">
        <v>2511</v>
      </c>
      <c r="C1853" s="27">
        <v>82271</v>
      </c>
      <c r="D1853" s="14" t="s">
        <v>5505</v>
      </c>
      <c r="E1853" s="112"/>
      <c r="F1853" s="139" t="s">
        <v>5506</v>
      </c>
      <c r="G1853" s="140"/>
      <c r="H1853" s="141"/>
      <c r="I1853" s="26">
        <v>57006</v>
      </c>
      <c r="J1853" s="117"/>
      <c r="K1853" s="120"/>
      <c r="L1853" s="121"/>
      <c r="M1853" s="120"/>
      <c r="N1853" s="121"/>
      <c r="O1853" s="120"/>
      <c r="P1853" s="121"/>
      <c r="Q1853" s="120"/>
      <c r="R1853" s="121"/>
      <c r="S1853" s="120"/>
      <c r="T1853" s="121"/>
      <c r="U1853" s="120"/>
      <c r="V1853" s="123"/>
      <c r="W1853" s="125"/>
      <c r="X1853" s="142" t="s">
        <v>2918</v>
      </c>
      <c r="Y1853" s="143"/>
      <c r="Z1853" s="143"/>
      <c r="AA1853" s="143"/>
      <c r="AB1853" s="144"/>
      <c r="AC1853" s="16" t="s">
        <v>21</v>
      </c>
      <c r="AD1853" s="17" t="s">
        <v>6834</v>
      </c>
      <c r="AE1853" s="145" t="s">
        <v>6839</v>
      </c>
      <c r="AF1853" s="146"/>
      <c r="AG1853" s="146"/>
      <c r="AH1853" s="146"/>
      <c r="AI1853" s="147"/>
      <c r="AJ1853" s="148"/>
      <c r="AK1853" s="143"/>
      <c r="AL1853" s="144"/>
      <c r="AM1853" s="22"/>
      <c r="AN1853" s="149" t="s">
        <v>1747</v>
      </c>
      <c r="AO1853" s="144"/>
      <c r="AP1853" s="148">
        <v>133</v>
      </c>
      <c r="AQ1853" s="144"/>
      <c r="AR1853" s="120"/>
      <c r="AS1853" s="121"/>
      <c r="AT1853" s="120"/>
      <c r="AU1853" s="121"/>
      <c r="AV1853" s="120"/>
      <c r="AW1853" s="121"/>
      <c r="AX1853" s="120"/>
      <c r="AY1853" s="121"/>
      <c r="AZ1853" s="138"/>
    </row>
    <row r="1854" spans="1:52" ht="17.100000000000001" customHeight="1" thickTop="1">
      <c r="A1854" s="109" t="s">
        <v>6662</v>
      </c>
      <c r="B1854" s="28">
        <v>45927</v>
      </c>
      <c r="C1854" s="25">
        <v>1269</v>
      </c>
      <c r="D1854" s="13" t="s">
        <v>2654</v>
      </c>
      <c r="E1854" s="111"/>
      <c r="F1854" s="113" t="s">
        <v>5507</v>
      </c>
      <c r="G1854" s="114"/>
      <c r="H1854" s="115"/>
      <c r="I1854" s="24"/>
      <c r="J1854" s="116">
        <v>4.5</v>
      </c>
      <c r="K1854" s="118">
        <v>1840000</v>
      </c>
      <c r="L1854" s="119"/>
      <c r="M1854" s="118">
        <f>K1854*0.1</f>
        <v>184000</v>
      </c>
      <c r="N1854" s="119"/>
      <c r="O1854" s="118">
        <v>0</v>
      </c>
      <c r="P1854" s="119"/>
      <c r="Q1854" s="118">
        <v>15790</v>
      </c>
      <c r="R1854" s="119"/>
      <c r="S1854" s="118">
        <v>16500</v>
      </c>
      <c r="T1854" s="119"/>
      <c r="U1854" s="118">
        <f>SUM(K1854:T1855)</f>
        <v>2056290</v>
      </c>
      <c r="V1854" s="122"/>
      <c r="W1854" s="124"/>
      <c r="X1854" s="126" t="s">
        <v>6935</v>
      </c>
      <c r="Y1854" s="127"/>
      <c r="Z1854" s="127"/>
      <c r="AA1854" s="127"/>
      <c r="AB1854" s="128"/>
      <c r="AC1854" s="15" t="s">
        <v>20</v>
      </c>
      <c r="AD1854" s="129" t="s">
        <v>1633</v>
      </c>
      <c r="AE1854" s="130"/>
      <c r="AF1854" s="130"/>
      <c r="AG1854" s="130"/>
      <c r="AH1854" s="130"/>
      <c r="AI1854" s="131"/>
      <c r="AJ1854" s="132"/>
      <c r="AK1854" s="127"/>
      <c r="AL1854" s="128"/>
      <c r="AM1854" s="21"/>
      <c r="AN1854" s="133">
        <v>45948</v>
      </c>
      <c r="AO1854" s="134"/>
      <c r="AP1854" s="135">
        <v>1272</v>
      </c>
      <c r="AQ1854" s="136"/>
      <c r="AR1854" s="118">
        <v>1980000</v>
      </c>
      <c r="AS1854" s="119"/>
      <c r="AT1854" s="118">
        <f>AR1854*0.1</f>
        <v>198000</v>
      </c>
      <c r="AU1854" s="119"/>
      <c r="AV1854" s="118">
        <v>15790</v>
      </c>
      <c r="AW1854" s="119"/>
      <c r="AX1854" s="118">
        <f>SUM(AR1854:AW1854)</f>
        <v>2193790</v>
      </c>
      <c r="AY1854" s="119"/>
      <c r="AZ1854" s="137">
        <v>45951</v>
      </c>
    </row>
    <row r="1855" spans="1:52" ht="17.100000000000001" customHeight="1" thickBot="1">
      <c r="A1855" s="110"/>
      <c r="B1855" s="27" t="s">
        <v>2511</v>
      </c>
      <c r="C1855" s="27">
        <v>82325</v>
      </c>
      <c r="D1855" s="14" t="s">
        <v>904</v>
      </c>
      <c r="E1855" s="112"/>
      <c r="F1855" s="139" t="s">
        <v>5508</v>
      </c>
      <c r="G1855" s="140"/>
      <c r="H1855" s="141"/>
      <c r="I1855" s="26">
        <v>18490</v>
      </c>
      <c r="J1855" s="117"/>
      <c r="K1855" s="120"/>
      <c r="L1855" s="121"/>
      <c r="M1855" s="120"/>
      <c r="N1855" s="121"/>
      <c r="O1855" s="120"/>
      <c r="P1855" s="121"/>
      <c r="Q1855" s="120"/>
      <c r="R1855" s="121"/>
      <c r="S1855" s="120"/>
      <c r="T1855" s="121"/>
      <c r="U1855" s="120"/>
      <c r="V1855" s="123"/>
      <c r="W1855" s="125"/>
      <c r="X1855" s="142" t="s">
        <v>2611</v>
      </c>
      <c r="Y1855" s="143"/>
      <c r="Z1855" s="143"/>
      <c r="AA1855" s="143"/>
      <c r="AB1855" s="144"/>
      <c r="AC1855" s="16" t="s">
        <v>21</v>
      </c>
      <c r="AD1855" s="17" t="s">
        <v>6834</v>
      </c>
      <c r="AE1855" s="145" t="s">
        <v>6936</v>
      </c>
      <c r="AF1855" s="146"/>
      <c r="AG1855" s="146"/>
      <c r="AH1855" s="146"/>
      <c r="AI1855" s="147"/>
      <c r="AJ1855" s="148"/>
      <c r="AK1855" s="143"/>
      <c r="AL1855" s="144"/>
      <c r="AM1855" s="22"/>
      <c r="AN1855" s="149" t="s">
        <v>7284</v>
      </c>
      <c r="AO1855" s="144"/>
      <c r="AP1855" s="148">
        <v>80041</v>
      </c>
      <c r="AQ1855" s="144"/>
      <c r="AR1855" s="120"/>
      <c r="AS1855" s="121"/>
      <c r="AT1855" s="120"/>
      <c r="AU1855" s="121"/>
      <c r="AV1855" s="120"/>
      <c r="AW1855" s="121"/>
      <c r="AX1855" s="120"/>
      <c r="AY1855" s="121"/>
      <c r="AZ1855" s="138"/>
    </row>
    <row r="1856" spans="1:52" ht="17.100000000000001" customHeight="1" thickTop="1">
      <c r="A1856" s="109" t="s">
        <v>6663</v>
      </c>
      <c r="B1856" s="28">
        <v>45927</v>
      </c>
      <c r="C1856" s="25">
        <v>1269</v>
      </c>
      <c r="D1856" s="13" t="s">
        <v>2301</v>
      </c>
      <c r="E1856" s="111"/>
      <c r="F1856" s="113" t="s">
        <v>1660</v>
      </c>
      <c r="G1856" s="114"/>
      <c r="H1856" s="115"/>
      <c r="I1856" s="24"/>
      <c r="J1856" s="116">
        <v>4.5</v>
      </c>
      <c r="K1856" s="118">
        <v>3300000</v>
      </c>
      <c r="L1856" s="119"/>
      <c r="M1856" s="118">
        <f>K1856*0.1</f>
        <v>330000</v>
      </c>
      <c r="N1856" s="119"/>
      <c r="O1856" s="118">
        <v>0</v>
      </c>
      <c r="P1856" s="119"/>
      <c r="Q1856" s="118">
        <v>25180</v>
      </c>
      <c r="R1856" s="119"/>
      <c r="S1856" s="118">
        <v>16500</v>
      </c>
      <c r="T1856" s="119"/>
      <c r="U1856" s="118">
        <f>SUM(K1856:T1857)</f>
        <v>3671680</v>
      </c>
      <c r="V1856" s="122"/>
      <c r="W1856" s="124"/>
      <c r="X1856" s="126" t="s">
        <v>6938</v>
      </c>
      <c r="Y1856" s="127"/>
      <c r="Z1856" s="127"/>
      <c r="AA1856" s="127"/>
      <c r="AB1856" s="128"/>
      <c r="AC1856" s="15" t="s">
        <v>20</v>
      </c>
      <c r="AD1856" s="129"/>
      <c r="AE1856" s="130"/>
      <c r="AF1856" s="130"/>
      <c r="AG1856" s="130"/>
      <c r="AH1856" s="130"/>
      <c r="AI1856" s="131"/>
      <c r="AJ1856" s="132"/>
      <c r="AK1856" s="127"/>
      <c r="AL1856" s="128"/>
      <c r="AM1856" s="21"/>
      <c r="AN1856" s="133"/>
      <c r="AO1856" s="134"/>
      <c r="AP1856" s="135"/>
      <c r="AQ1856" s="136"/>
      <c r="AR1856" s="118"/>
      <c r="AS1856" s="119"/>
      <c r="AT1856" s="118">
        <f>AR1856*0.1</f>
        <v>0</v>
      </c>
      <c r="AU1856" s="119"/>
      <c r="AV1856" s="118"/>
      <c r="AW1856" s="119"/>
      <c r="AX1856" s="118">
        <f>SUM(AR1856:AW1856)</f>
        <v>0</v>
      </c>
      <c r="AY1856" s="119"/>
      <c r="AZ1856" s="137"/>
    </row>
    <row r="1857" spans="1:52" ht="17.100000000000001" customHeight="1" thickBot="1">
      <c r="A1857" s="110"/>
      <c r="B1857" s="27" t="s">
        <v>2511</v>
      </c>
      <c r="C1857" s="27">
        <v>82453</v>
      </c>
      <c r="D1857" s="14" t="s">
        <v>1576</v>
      </c>
      <c r="E1857" s="112"/>
      <c r="F1857" s="139" t="s">
        <v>5509</v>
      </c>
      <c r="G1857" s="140"/>
      <c r="H1857" s="141"/>
      <c r="I1857" s="26">
        <v>43194</v>
      </c>
      <c r="J1857" s="117"/>
      <c r="K1857" s="120"/>
      <c r="L1857" s="121"/>
      <c r="M1857" s="120"/>
      <c r="N1857" s="121"/>
      <c r="O1857" s="120"/>
      <c r="P1857" s="121"/>
      <c r="Q1857" s="120"/>
      <c r="R1857" s="121"/>
      <c r="S1857" s="120"/>
      <c r="T1857" s="121"/>
      <c r="U1857" s="120"/>
      <c r="V1857" s="123"/>
      <c r="W1857" s="125"/>
      <c r="X1857" s="142" t="s">
        <v>6939</v>
      </c>
      <c r="Y1857" s="143"/>
      <c r="Z1857" s="143"/>
      <c r="AA1857" s="143"/>
      <c r="AB1857" s="144"/>
      <c r="AC1857" s="16" t="s">
        <v>21</v>
      </c>
      <c r="AD1857" s="17" t="s">
        <v>6834</v>
      </c>
      <c r="AE1857" s="145" t="s">
        <v>1742</v>
      </c>
      <c r="AF1857" s="146"/>
      <c r="AG1857" s="146"/>
      <c r="AH1857" s="146"/>
      <c r="AI1857" s="147"/>
      <c r="AJ1857" s="148"/>
      <c r="AK1857" s="143"/>
      <c r="AL1857" s="144"/>
      <c r="AM1857" s="22"/>
      <c r="AN1857" s="149"/>
      <c r="AO1857" s="144"/>
      <c r="AP1857" s="148"/>
      <c r="AQ1857" s="144"/>
      <c r="AR1857" s="120"/>
      <c r="AS1857" s="121"/>
      <c r="AT1857" s="120"/>
      <c r="AU1857" s="121"/>
      <c r="AV1857" s="120"/>
      <c r="AW1857" s="121"/>
      <c r="AX1857" s="120"/>
      <c r="AY1857" s="121"/>
      <c r="AZ1857" s="138"/>
    </row>
    <row r="1858" spans="1:52" ht="17.100000000000001" customHeight="1" thickTop="1">
      <c r="A1858" s="109" t="s">
        <v>6664</v>
      </c>
      <c r="B1858" s="28">
        <v>45927</v>
      </c>
      <c r="C1858" s="25">
        <v>1269</v>
      </c>
      <c r="D1858" s="13" t="s">
        <v>4121</v>
      </c>
      <c r="E1858" s="111"/>
      <c r="F1858" s="113" t="s">
        <v>5510</v>
      </c>
      <c r="G1858" s="114"/>
      <c r="H1858" s="115"/>
      <c r="I1858" s="24"/>
      <c r="J1858" s="116">
        <v>4.5</v>
      </c>
      <c r="K1858" s="118">
        <v>1815000</v>
      </c>
      <c r="L1858" s="119"/>
      <c r="M1858" s="118">
        <f>K1858*0.1</f>
        <v>181500</v>
      </c>
      <c r="N1858" s="119"/>
      <c r="O1858" s="118">
        <v>0</v>
      </c>
      <c r="P1858" s="119"/>
      <c r="Q1858" s="118">
        <v>21650</v>
      </c>
      <c r="R1858" s="119"/>
      <c r="S1858" s="118">
        <v>16500</v>
      </c>
      <c r="T1858" s="119"/>
      <c r="U1858" s="118">
        <f>SUM(K1858:T1859)</f>
        <v>2034650</v>
      </c>
      <c r="V1858" s="122"/>
      <c r="W1858" s="124"/>
      <c r="X1858" s="126" t="s">
        <v>7090</v>
      </c>
      <c r="Y1858" s="127"/>
      <c r="Z1858" s="127"/>
      <c r="AA1858" s="127"/>
      <c r="AB1858" s="128"/>
      <c r="AC1858" s="15" t="s">
        <v>20</v>
      </c>
      <c r="AD1858" s="129" t="s">
        <v>1633</v>
      </c>
      <c r="AE1858" s="130"/>
      <c r="AF1858" s="130"/>
      <c r="AG1858" s="130"/>
      <c r="AH1858" s="130"/>
      <c r="AI1858" s="131"/>
      <c r="AJ1858" s="132"/>
      <c r="AK1858" s="127"/>
      <c r="AL1858" s="128"/>
      <c r="AM1858" s="21"/>
      <c r="AN1858" s="133">
        <v>45931</v>
      </c>
      <c r="AO1858" s="134"/>
      <c r="AP1858" s="135">
        <v>986</v>
      </c>
      <c r="AQ1858" s="136"/>
      <c r="AR1858" s="118">
        <v>2110000</v>
      </c>
      <c r="AS1858" s="119"/>
      <c r="AT1858" s="118">
        <f>AR1858*0.1</f>
        <v>211000</v>
      </c>
      <c r="AU1858" s="119"/>
      <c r="AV1858" s="118">
        <v>21650</v>
      </c>
      <c r="AW1858" s="119"/>
      <c r="AX1858" s="118">
        <f>SUM(AR1858:AW1858)</f>
        <v>2342650</v>
      </c>
      <c r="AY1858" s="119"/>
      <c r="AZ1858" s="137">
        <v>45937</v>
      </c>
    </row>
    <row r="1859" spans="1:52" ht="17.100000000000001" customHeight="1" thickBot="1">
      <c r="A1859" s="110"/>
      <c r="B1859" s="27" t="s">
        <v>2511</v>
      </c>
      <c r="C1859" s="27">
        <v>82501</v>
      </c>
      <c r="D1859" s="14" t="s">
        <v>1720</v>
      </c>
      <c r="E1859" s="112"/>
      <c r="F1859" s="139" t="s">
        <v>5511</v>
      </c>
      <c r="G1859" s="140"/>
      <c r="H1859" s="141"/>
      <c r="I1859" s="26">
        <v>33665</v>
      </c>
      <c r="J1859" s="117"/>
      <c r="K1859" s="120"/>
      <c r="L1859" s="121"/>
      <c r="M1859" s="120"/>
      <c r="N1859" s="121"/>
      <c r="O1859" s="120"/>
      <c r="P1859" s="121"/>
      <c r="Q1859" s="120"/>
      <c r="R1859" s="121"/>
      <c r="S1859" s="120"/>
      <c r="T1859" s="121"/>
      <c r="U1859" s="120"/>
      <c r="V1859" s="123"/>
      <c r="W1859" s="125"/>
      <c r="X1859" s="142" t="s">
        <v>1861</v>
      </c>
      <c r="Y1859" s="143"/>
      <c r="Z1859" s="143"/>
      <c r="AA1859" s="143"/>
      <c r="AB1859" s="144"/>
      <c r="AC1859" s="16" t="s">
        <v>21</v>
      </c>
      <c r="AD1859" s="17" t="s">
        <v>3733</v>
      </c>
      <c r="AE1859" s="145" t="s">
        <v>1633</v>
      </c>
      <c r="AF1859" s="146"/>
      <c r="AG1859" s="146"/>
      <c r="AH1859" s="146"/>
      <c r="AI1859" s="147"/>
      <c r="AJ1859" s="148"/>
      <c r="AK1859" s="143"/>
      <c r="AL1859" s="144"/>
      <c r="AM1859" s="22"/>
      <c r="AN1859" s="149" t="s">
        <v>2794</v>
      </c>
      <c r="AO1859" s="144"/>
      <c r="AP1859" s="148">
        <v>5055</v>
      </c>
      <c r="AQ1859" s="144"/>
      <c r="AR1859" s="120"/>
      <c r="AS1859" s="121"/>
      <c r="AT1859" s="120"/>
      <c r="AU1859" s="121"/>
      <c r="AV1859" s="120"/>
      <c r="AW1859" s="121"/>
      <c r="AX1859" s="120"/>
      <c r="AY1859" s="121"/>
      <c r="AZ1859" s="138"/>
    </row>
    <row r="1860" spans="1:52" ht="17.100000000000001" customHeight="1" thickTop="1">
      <c r="A1860" s="109" t="s">
        <v>6665</v>
      </c>
      <c r="B1860" s="28">
        <v>45927</v>
      </c>
      <c r="C1860" s="25">
        <v>1269</v>
      </c>
      <c r="D1860" s="13" t="s">
        <v>2196</v>
      </c>
      <c r="E1860" s="111"/>
      <c r="F1860" s="113" t="s">
        <v>4559</v>
      </c>
      <c r="G1860" s="114"/>
      <c r="H1860" s="115"/>
      <c r="I1860" s="24"/>
      <c r="J1860" s="116">
        <v>4.5</v>
      </c>
      <c r="K1860" s="118">
        <v>1120000</v>
      </c>
      <c r="L1860" s="119"/>
      <c r="M1860" s="118">
        <f>K1860*0.1</f>
        <v>112000</v>
      </c>
      <c r="N1860" s="119"/>
      <c r="O1860" s="118">
        <v>0</v>
      </c>
      <c r="P1860" s="119"/>
      <c r="Q1860" s="118">
        <v>16240</v>
      </c>
      <c r="R1860" s="119"/>
      <c r="S1860" s="118">
        <v>16500</v>
      </c>
      <c r="T1860" s="119"/>
      <c r="U1860" s="118">
        <f>SUM(K1860:T1861)</f>
        <v>1264740</v>
      </c>
      <c r="V1860" s="122"/>
      <c r="W1860" s="124"/>
      <c r="X1860" s="126" t="s">
        <v>7099</v>
      </c>
      <c r="Y1860" s="127"/>
      <c r="Z1860" s="127"/>
      <c r="AA1860" s="127"/>
      <c r="AB1860" s="128"/>
      <c r="AC1860" s="15" t="s">
        <v>20</v>
      </c>
      <c r="AD1860" s="129"/>
      <c r="AE1860" s="130"/>
      <c r="AF1860" s="130"/>
      <c r="AG1860" s="130"/>
      <c r="AH1860" s="130"/>
      <c r="AI1860" s="131"/>
      <c r="AJ1860" s="132"/>
      <c r="AK1860" s="127"/>
      <c r="AL1860" s="128"/>
      <c r="AM1860" s="21"/>
      <c r="AN1860" s="133">
        <v>45941</v>
      </c>
      <c r="AO1860" s="134"/>
      <c r="AP1860" s="135">
        <v>1271</v>
      </c>
      <c r="AQ1860" s="136"/>
      <c r="AR1860" s="118">
        <v>1245000</v>
      </c>
      <c r="AS1860" s="119"/>
      <c r="AT1860" s="118">
        <f>AR1860*0.1</f>
        <v>124500</v>
      </c>
      <c r="AU1860" s="119"/>
      <c r="AV1860" s="118">
        <v>16240</v>
      </c>
      <c r="AW1860" s="119"/>
      <c r="AX1860" s="118">
        <f>SUM(AR1860:AW1860)</f>
        <v>1385740</v>
      </c>
      <c r="AY1860" s="119"/>
      <c r="AZ1860" s="137">
        <v>45944</v>
      </c>
    </row>
    <row r="1861" spans="1:52" ht="17.100000000000001" customHeight="1" thickBot="1">
      <c r="A1861" s="110"/>
      <c r="B1861" s="27" t="s">
        <v>2511</v>
      </c>
      <c r="C1861" s="27">
        <v>82575</v>
      </c>
      <c r="D1861" s="14" t="s">
        <v>133</v>
      </c>
      <c r="E1861" s="112"/>
      <c r="F1861" s="139" t="s">
        <v>5512</v>
      </c>
      <c r="G1861" s="140"/>
      <c r="H1861" s="141"/>
      <c r="I1861" s="26">
        <v>49959</v>
      </c>
      <c r="J1861" s="117"/>
      <c r="K1861" s="120"/>
      <c r="L1861" s="121"/>
      <c r="M1861" s="120"/>
      <c r="N1861" s="121"/>
      <c r="O1861" s="120"/>
      <c r="P1861" s="121"/>
      <c r="Q1861" s="120"/>
      <c r="R1861" s="121"/>
      <c r="S1861" s="120"/>
      <c r="T1861" s="121"/>
      <c r="U1861" s="120"/>
      <c r="V1861" s="123"/>
      <c r="W1861" s="125"/>
      <c r="X1861" s="142" t="s">
        <v>7100</v>
      </c>
      <c r="Y1861" s="143"/>
      <c r="Z1861" s="143"/>
      <c r="AA1861" s="143"/>
      <c r="AB1861" s="144"/>
      <c r="AC1861" s="16" t="s">
        <v>21</v>
      </c>
      <c r="AD1861" s="17" t="s">
        <v>3733</v>
      </c>
      <c r="AE1861" s="145" t="s">
        <v>2825</v>
      </c>
      <c r="AF1861" s="146"/>
      <c r="AG1861" s="146"/>
      <c r="AH1861" s="146"/>
      <c r="AI1861" s="147"/>
      <c r="AJ1861" s="148"/>
      <c r="AK1861" s="143"/>
      <c r="AL1861" s="144"/>
      <c r="AM1861" s="22"/>
      <c r="AN1861" s="149" t="s">
        <v>7284</v>
      </c>
      <c r="AO1861" s="144"/>
      <c r="AP1861" s="148">
        <v>80020</v>
      </c>
      <c r="AQ1861" s="144"/>
      <c r="AR1861" s="120"/>
      <c r="AS1861" s="121"/>
      <c r="AT1861" s="120"/>
      <c r="AU1861" s="121"/>
      <c r="AV1861" s="120"/>
      <c r="AW1861" s="121"/>
      <c r="AX1861" s="120"/>
      <c r="AY1861" s="121"/>
      <c r="AZ1861" s="138"/>
    </row>
    <row r="1862" spans="1:52" ht="17.100000000000001" customHeight="1" thickTop="1">
      <c r="A1862" s="109" t="s">
        <v>6666</v>
      </c>
      <c r="B1862" s="28">
        <v>45927</v>
      </c>
      <c r="C1862" s="25">
        <v>1512</v>
      </c>
      <c r="D1862" s="13" t="s">
        <v>1760</v>
      </c>
      <c r="E1862" s="111"/>
      <c r="F1862" s="113" t="s">
        <v>1147</v>
      </c>
      <c r="G1862" s="114"/>
      <c r="H1862" s="115"/>
      <c r="I1862" s="24"/>
      <c r="J1862" s="116">
        <v>4.5</v>
      </c>
      <c r="K1862" s="118">
        <v>1425000</v>
      </c>
      <c r="L1862" s="119"/>
      <c r="M1862" s="118">
        <f>K1862*0.1</f>
        <v>142500</v>
      </c>
      <c r="N1862" s="119"/>
      <c r="O1862" s="118">
        <v>0</v>
      </c>
      <c r="P1862" s="119"/>
      <c r="Q1862" s="118">
        <v>17600</v>
      </c>
      <c r="R1862" s="119"/>
      <c r="S1862" s="118">
        <v>16500</v>
      </c>
      <c r="T1862" s="119"/>
      <c r="U1862" s="118">
        <f>SUM(K1862:T1863)</f>
        <v>1601600</v>
      </c>
      <c r="V1862" s="122"/>
      <c r="W1862" s="124"/>
      <c r="X1862" s="126" t="s">
        <v>7088</v>
      </c>
      <c r="Y1862" s="127"/>
      <c r="Z1862" s="127"/>
      <c r="AA1862" s="127"/>
      <c r="AB1862" s="128"/>
      <c r="AC1862" s="15" t="s">
        <v>20</v>
      </c>
      <c r="AD1862" s="129"/>
      <c r="AE1862" s="130"/>
      <c r="AF1862" s="130"/>
      <c r="AG1862" s="130"/>
      <c r="AH1862" s="130"/>
      <c r="AI1862" s="131"/>
      <c r="AJ1862" s="132"/>
      <c r="AK1862" s="127"/>
      <c r="AL1862" s="128"/>
      <c r="AM1862" s="21"/>
      <c r="AN1862" s="133">
        <v>45932</v>
      </c>
      <c r="AO1862" s="134"/>
      <c r="AP1862" s="135">
        <v>1300</v>
      </c>
      <c r="AQ1862" s="136"/>
      <c r="AR1862" s="118">
        <v>1655000</v>
      </c>
      <c r="AS1862" s="119"/>
      <c r="AT1862" s="118">
        <f>AR1862*0.1</f>
        <v>165500</v>
      </c>
      <c r="AU1862" s="119"/>
      <c r="AV1862" s="118">
        <v>17600</v>
      </c>
      <c r="AW1862" s="119"/>
      <c r="AX1862" s="118">
        <f>SUM(AR1862:AW1862)</f>
        <v>1838100</v>
      </c>
      <c r="AY1862" s="119"/>
      <c r="AZ1862" s="137">
        <v>45933</v>
      </c>
    </row>
    <row r="1863" spans="1:52" ht="17.100000000000001" customHeight="1" thickBot="1">
      <c r="A1863" s="110"/>
      <c r="B1863" s="27" t="s">
        <v>1555</v>
      </c>
      <c r="C1863" s="27">
        <v>83176</v>
      </c>
      <c r="D1863" s="14" t="s">
        <v>133</v>
      </c>
      <c r="E1863" s="112"/>
      <c r="F1863" s="139" t="s">
        <v>5513</v>
      </c>
      <c r="G1863" s="140"/>
      <c r="H1863" s="141"/>
      <c r="I1863" s="26">
        <v>71855</v>
      </c>
      <c r="J1863" s="117"/>
      <c r="K1863" s="120"/>
      <c r="L1863" s="121"/>
      <c r="M1863" s="120"/>
      <c r="N1863" s="121"/>
      <c r="O1863" s="120"/>
      <c r="P1863" s="121"/>
      <c r="Q1863" s="120"/>
      <c r="R1863" s="121"/>
      <c r="S1863" s="120"/>
      <c r="T1863" s="121"/>
      <c r="U1863" s="120"/>
      <c r="V1863" s="123"/>
      <c r="W1863" s="125"/>
      <c r="X1863" s="142" t="s">
        <v>1997</v>
      </c>
      <c r="Y1863" s="143"/>
      <c r="Z1863" s="143"/>
      <c r="AA1863" s="143"/>
      <c r="AB1863" s="144"/>
      <c r="AC1863" s="16" t="s">
        <v>21</v>
      </c>
      <c r="AD1863" s="17" t="s">
        <v>3733</v>
      </c>
      <c r="AE1863" s="145" t="s">
        <v>7089</v>
      </c>
      <c r="AF1863" s="146"/>
      <c r="AG1863" s="146"/>
      <c r="AH1863" s="146"/>
      <c r="AI1863" s="147"/>
      <c r="AJ1863" s="148"/>
      <c r="AK1863" s="143"/>
      <c r="AL1863" s="144"/>
      <c r="AM1863" s="22"/>
      <c r="AN1863" s="149" t="s">
        <v>1747</v>
      </c>
      <c r="AO1863" s="144"/>
      <c r="AP1863" s="148">
        <v>137</v>
      </c>
      <c r="AQ1863" s="144"/>
      <c r="AR1863" s="120"/>
      <c r="AS1863" s="121"/>
      <c r="AT1863" s="120"/>
      <c r="AU1863" s="121"/>
      <c r="AV1863" s="120"/>
      <c r="AW1863" s="121"/>
      <c r="AX1863" s="120"/>
      <c r="AY1863" s="121"/>
      <c r="AZ1863" s="138"/>
    </row>
    <row r="1864" spans="1:52" ht="17.100000000000001" customHeight="1" thickTop="1">
      <c r="A1864" s="109" t="s">
        <v>6667</v>
      </c>
      <c r="B1864" s="28">
        <v>45927</v>
      </c>
      <c r="C1864" s="25">
        <v>1512</v>
      </c>
      <c r="D1864" s="13" t="s">
        <v>1725</v>
      </c>
      <c r="E1864" s="111"/>
      <c r="F1864" s="113" t="s">
        <v>4559</v>
      </c>
      <c r="G1864" s="114"/>
      <c r="H1864" s="115"/>
      <c r="I1864" s="24"/>
      <c r="J1864" s="116">
        <v>4</v>
      </c>
      <c r="K1864" s="118">
        <v>800000</v>
      </c>
      <c r="L1864" s="119"/>
      <c r="M1864" s="118">
        <f>K1864*0.1</f>
        <v>80000</v>
      </c>
      <c r="N1864" s="119"/>
      <c r="O1864" s="118">
        <v>0</v>
      </c>
      <c r="P1864" s="119"/>
      <c r="Q1864" s="118">
        <v>16240</v>
      </c>
      <c r="R1864" s="119"/>
      <c r="S1864" s="118">
        <v>16500</v>
      </c>
      <c r="T1864" s="119"/>
      <c r="U1864" s="118">
        <f>SUM(K1864:T1865)</f>
        <v>912740</v>
      </c>
      <c r="V1864" s="122"/>
      <c r="W1864" s="124"/>
      <c r="X1864" s="126" t="s">
        <v>6934</v>
      </c>
      <c r="Y1864" s="127"/>
      <c r="Z1864" s="127"/>
      <c r="AA1864" s="127"/>
      <c r="AB1864" s="128"/>
      <c r="AC1864" s="15" t="s">
        <v>20</v>
      </c>
      <c r="AD1864" s="129" t="s">
        <v>1633</v>
      </c>
      <c r="AE1864" s="130"/>
      <c r="AF1864" s="130"/>
      <c r="AG1864" s="130"/>
      <c r="AH1864" s="130"/>
      <c r="AI1864" s="131"/>
      <c r="AJ1864" s="132"/>
      <c r="AK1864" s="127"/>
      <c r="AL1864" s="128"/>
      <c r="AM1864" s="21"/>
      <c r="AN1864" s="133">
        <v>45934</v>
      </c>
      <c r="AO1864" s="134"/>
      <c r="AP1864" s="135">
        <v>1270</v>
      </c>
      <c r="AQ1864" s="136"/>
      <c r="AR1864" s="118">
        <v>975000</v>
      </c>
      <c r="AS1864" s="119"/>
      <c r="AT1864" s="118">
        <f>AR1864*0.1</f>
        <v>97500</v>
      </c>
      <c r="AU1864" s="119"/>
      <c r="AV1864" s="118">
        <v>16240</v>
      </c>
      <c r="AW1864" s="119"/>
      <c r="AX1864" s="118">
        <f>SUM(AR1864:AW1864)</f>
        <v>1088740</v>
      </c>
      <c r="AY1864" s="119"/>
      <c r="AZ1864" s="137">
        <v>45938</v>
      </c>
    </row>
    <row r="1865" spans="1:52" ht="17.100000000000001" customHeight="1" thickBot="1">
      <c r="A1865" s="110"/>
      <c r="B1865" s="27" t="s">
        <v>1555</v>
      </c>
      <c r="C1865" s="27">
        <v>83223</v>
      </c>
      <c r="D1865" s="14" t="s">
        <v>275</v>
      </c>
      <c r="E1865" s="112"/>
      <c r="F1865" s="139" t="s">
        <v>5514</v>
      </c>
      <c r="G1865" s="140"/>
      <c r="H1865" s="141"/>
      <c r="I1865" s="26">
        <v>58444</v>
      </c>
      <c r="J1865" s="117"/>
      <c r="K1865" s="120"/>
      <c r="L1865" s="121"/>
      <c r="M1865" s="120"/>
      <c r="N1865" s="121"/>
      <c r="O1865" s="120"/>
      <c r="P1865" s="121"/>
      <c r="Q1865" s="120"/>
      <c r="R1865" s="121"/>
      <c r="S1865" s="120"/>
      <c r="T1865" s="121"/>
      <c r="U1865" s="120"/>
      <c r="V1865" s="123"/>
      <c r="W1865" s="125"/>
      <c r="X1865" s="142" t="s">
        <v>2918</v>
      </c>
      <c r="Y1865" s="143"/>
      <c r="Z1865" s="143"/>
      <c r="AA1865" s="143"/>
      <c r="AB1865" s="144"/>
      <c r="AC1865" s="16" t="s">
        <v>21</v>
      </c>
      <c r="AD1865" s="17" t="s">
        <v>6834</v>
      </c>
      <c r="AE1865" s="145" t="s">
        <v>1742</v>
      </c>
      <c r="AF1865" s="146"/>
      <c r="AG1865" s="146"/>
      <c r="AH1865" s="146"/>
      <c r="AI1865" s="147"/>
      <c r="AJ1865" s="148"/>
      <c r="AK1865" s="143"/>
      <c r="AL1865" s="144"/>
      <c r="AM1865" s="22"/>
      <c r="AN1865" s="149" t="s">
        <v>7284</v>
      </c>
      <c r="AO1865" s="144"/>
      <c r="AP1865" s="148">
        <v>80237</v>
      </c>
      <c r="AQ1865" s="144"/>
      <c r="AR1865" s="120"/>
      <c r="AS1865" s="121"/>
      <c r="AT1865" s="120"/>
      <c r="AU1865" s="121"/>
      <c r="AV1865" s="120"/>
      <c r="AW1865" s="121"/>
      <c r="AX1865" s="120"/>
      <c r="AY1865" s="121"/>
      <c r="AZ1865" s="138"/>
    </row>
    <row r="1866" spans="1:52" ht="17.100000000000001" customHeight="1" thickTop="1">
      <c r="A1866" s="109" t="s">
        <v>6668</v>
      </c>
      <c r="B1866" s="28">
        <v>45929</v>
      </c>
      <c r="C1866" s="25">
        <v>55</v>
      </c>
      <c r="D1866" s="13" t="s">
        <v>1688</v>
      </c>
      <c r="E1866" s="111"/>
      <c r="F1866" s="113" t="s">
        <v>5515</v>
      </c>
      <c r="G1866" s="114"/>
      <c r="H1866" s="115"/>
      <c r="I1866" s="24" t="s">
        <v>3399</v>
      </c>
      <c r="J1866" s="116">
        <v>5</v>
      </c>
      <c r="K1866" s="118">
        <v>1115000</v>
      </c>
      <c r="L1866" s="119"/>
      <c r="M1866" s="118">
        <f>K1866*0.1</f>
        <v>111500</v>
      </c>
      <c r="N1866" s="119"/>
      <c r="O1866" s="118">
        <v>0</v>
      </c>
      <c r="P1866" s="119"/>
      <c r="Q1866" s="118">
        <v>8130</v>
      </c>
      <c r="R1866" s="119"/>
      <c r="S1866" s="118">
        <v>44000</v>
      </c>
      <c r="T1866" s="119"/>
      <c r="U1866" s="118">
        <f>SUM(K1866:T1867)</f>
        <v>1278630</v>
      </c>
      <c r="V1866" s="122"/>
      <c r="W1866" s="124"/>
      <c r="X1866" s="126" t="s">
        <v>7915</v>
      </c>
      <c r="Y1866" s="127"/>
      <c r="Z1866" s="127"/>
      <c r="AA1866" s="127"/>
      <c r="AB1866" s="128"/>
      <c r="AC1866" s="15" t="s">
        <v>20</v>
      </c>
      <c r="AD1866" s="129" t="s">
        <v>171</v>
      </c>
      <c r="AE1866" s="130"/>
      <c r="AF1866" s="130"/>
      <c r="AG1866" s="130"/>
      <c r="AH1866" s="130"/>
      <c r="AI1866" s="131"/>
      <c r="AJ1866" s="132"/>
      <c r="AK1866" s="127"/>
      <c r="AL1866" s="128"/>
      <c r="AM1866" s="21"/>
      <c r="AN1866" s="133">
        <v>45944</v>
      </c>
      <c r="AO1866" s="134"/>
      <c r="AP1866" s="135">
        <v>1913</v>
      </c>
      <c r="AQ1866" s="136"/>
      <c r="AR1866" s="118">
        <v>1273000</v>
      </c>
      <c r="AS1866" s="119"/>
      <c r="AT1866" s="118">
        <f>AR1866*0.1</f>
        <v>127300</v>
      </c>
      <c r="AU1866" s="119"/>
      <c r="AV1866" s="118">
        <v>8130</v>
      </c>
      <c r="AW1866" s="119"/>
      <c r="AX1866" s="118">
        <f>SUM(AR1866:AW1866)</f>
        <v>1408430</v>
      </c>
      <c r="AY1866" s="119"/>
      <c r="AZ1866" s="137">
        <v>45950</v>
      </c>
    </row>
    <row r="1867" spans="1:52" ht="17.100000000000001" customHeight="1" thickBot="1">
      <c r="A1867" s="110"/>
      <c r="B1867" s="27" t="s">
        <v>4544</v>
      </c>
      <c r="C1867" s="27">
        <v>1036</v>
      </c>
      <c r="D1867" s="14" t="s">
        <v>2800</v>
      </c>
      <c r="E1867" s="112"/>
      <c r="F1867" s="139" t="s">
        <v>5516</v>
      </c>
      <c r="G1867" s="140"/>
      <c r="H1867" s="141"/>
      <c r="I1867" s="26">
        <v>13359</v>
      </c>
      <c r="J1867" s="117"/>
      <c r="K1867" s="120"/>
      <c r="L1867" s="121"/>
      <c r="M1867" s="120"/>
      <c r="N1867" s="121"/>
      <c r="O1867" s="120"/>
      <c r="P1867" s="121"/>
      <c r="Q1867" s="120"/>
      <c r="R1867" s="121"/>
      <c r="S1867" s="120"/>
      <c r="T1867" s="121"/>
      <c r="U1867" s="120"/>
      <c r="V1867" s="123"/>
      <c r="W1867" s="125"/>
      <c r="X1867" s="142" t="s">
        <v>7916</v>
      </c>
      <c r="Y1867" s="143"/>
      <c r="Z1867" s="143"/>
      <c r="AA1867" s="143"/>
      <c r="AB1867" s="144"/>
      <c r="AC1867" s="16" t="s">
        <v>21</v>
      </c>
      <c r="AD1867" s="17" t="s">
        <v>1613</v>
      </c>
      <c r="AE1867" s="145" t="s">
        <v>1732</v>
      </c>
      <c r="AF1867" s="146"/>
      <c r="AG1867" s="146"/>
      <c r="AH1867" s="146"/>
      <c r="AI1867" s="147"/>
      <c r="AJ1867" s="148"/>
      <c r="AK1867" s="143"/>
      <c r="AL1867" s="144"/>
      <c r="AM1867" s="22"/>
      <c r="AN1867" s="149" t="s">
        <v>2131</v>
      </c>
      <c r="AO1867" s="144"/>
      <c r="AP1867" s="148">
        <v>3443</v>
      </c>
      <c r="AQ1867" s="144"/>
      <c r="AR1867" s="120"/>
      <c r="AS1867" s="121"/>
      <c r="AT1867" s="120"/>
      <c r="AU1867" s="121"/>
      <c r="AV1867" s="120"/>
      <c r="AW1867" s="121"/>
      <c r="AX1867" s="120"/>
      <c r="AY1867" s="121"/>
      <c r="AZ1867" s="138"/>
    </row>
    <row r="1868" spans="1:52" ht="17.100000000000001" customHeight="1" thickTop="1">
      <c r="A1868" s="109" t="s">
        <v>6669</v>
      </c>
      <c r="B1868" s="28">
        <v>45929</v>
      </c>
      <c r="C1868" s="25">
        <v>55</v>
      </c>
      <c r="D1868" s="13" t="s">
        <v>2477</v>
      </c>
      <c r="E1868" s="111"/>
      <c r="F1868" s="113" t="s">
        <v>5517</v>
      </c>
      <c r="G1868" s="114"/>
      <c r="H1868" s="115"/>
      <c r="I1868" s="24" t="s">
        <v>2152</v>
      </c>
      <c r="J1868" s="116">
        <v>6</v>
      </c>
      <c r="K1868" s="118">
        <v>1860000</v>
      </c>
      <c r="L1868" s="119"/>
      <c r="M1868" s="118">
        <f>K1868*0.1</f>
        <v>186000</v>
      </c>
      <c r="N1868" s="119"/>
      <c r="O1868" s="118">
        <v>0</v>
      </c>
      <c r="P1868" s="119"/>
      <c r="Q1868" s="118">
        <v>7230</v>
      </c>
      <c r="R1868" s="119"/>
      <c r="S1868" s="118">
        <v>44000</v>
      </c>
      <c r="T1868" s="119"/>
      <c r="U1868" s="118">
        <f>SUM(K1868:T1869)</f>
        <v>2097230</v>
      </c>
      <c r="V1868" s="122"/>
      <c r="W1868" s="124"/>
      <c r="X1868" s="126" t="s">
        <v>7439</v>
      </c>
      <c r="Y1868" s="127"/>
      <c r="Z1868" s="127"/>
      <c r="AA1868" s="127"/>
      <c r="AB1868" s="128"/>
      <c r="AC1868" s="15" t="s">
        <v>20</v>
      </c>
      <c r="AD1868" s="129" t="s">
        <v>171</v>
      </c>
      <c r="AE1868" s="130"/>
      <c r="AF1868" s="130"/>
      <c r="AG1868" s="130"/>
      <c r="AH1868" s="130"/>
      <c r="AI1868" s="131"/>
      <c r="AJ1868" s="132"/>
      <c r="AK1868" s="127"/>
      <c r="AL1868" s="128"/>
      <c r="AM1868" s="21"/>
      <c r="AN1868" s="133">
        <v>45944</v>
      </c>
      <c r="AO1868" s="134"/>
      <c r="AP1868" s="135">
        <v>1913</v>
      </c>
      <c r="AQ1868" s="136"/>
      <c r="AR1868" s="118">
        <v>1858000</v>
      </c>
      <c r="AS1868" s="119"/>
      <c r="AT1868" s="118">
        <f>AR1868*0.1</f>
        <v>185800</v>
      </c>
      <c r="AU1868" s="119"/>
      <c r="AV1868" s="118">
        <v>7230</v>
      </c>
      <c r="AW1868" s="119"/>
      <c r="AX1868" s="118">
        <f>SUM(AR1868:AW1868)</f>
        <v>2051030</v>
      </c>
      <c r="AY1868" s="119"/>
      <c r="AZ1868" s="137">
        <v>45950</v>
      </c>
    </row>
    <row r="1869" spans="1:52" ht="17.100000000000001" customHeight="1" thickBot="1">
      <c r="A1869" s="110"/>
      <c r="B1869" s="27" t="s">
        <v>4544</v>
      </c>
      <c r="C1869" s="27">
        <v>1064</v>
      </c>
      <c r="D1869" s="14" t="s">
        <v>2601</v>
      </c>
      <c r="E1869" s="112"/>
      <c r="F1869" s="139" t="s">
        <v>5518</v>
      </c>
      <c r="G1869" s="140"/>
      <c r="H1869" s="141"/>
      <c r="I1869" s="26">
        <v>3079</v>
      </c>
      <c r="J1869" s="117"/>
      <c r="K1869" s="120"/>
      <c r="L1869" s="121"/>
      <c r="M1869" s="120"/>
      <c r="N1869" s="121"/>
      <c r="O1869" s="120"/>
      <c r="P1869" s="121"/>
      <c r="Q1869" s="120"/>
      <c r="R1869" s="121"/>
      <c r="S1869" s="120"/>
      <c r="T1869" s="121"/>
      <c r="U1869" s="120"/>
      <c r="V1869" s="123"/>
      <c r="W1869" s="125"/>
      <c r="X1869" s="142" t="s">
        <v>7440</v>
      </c>
      <c r="Y1869" s="143"/>
      <c r="Z1869" s="143"/>
      <c r="AA1869" s="143"/>
      <c r="AB1869" s="144"/>
      <c r="AC1869" s="16" t="s">
        <v>21</v>
      </c>
      <c r="AD1869" s="17" t="s">
        <v>3317</v>
      </c>
      <c r="AE1869" s="145" t="s">
        <v>4453</v>
      </c>
      <c r="AF1869" s="146"/>
      <c r="AG1869" s="146"/>
      <c r="AH1869" s="146"/>
      <c r="AI1869" s="147"/>
      <c r="AJ1869" s="148"/>
      <c r="AK1869" s="143"/>
      <c r="AL1869" s="144"/>
      <c r="AM1869" s="22"/>
      <c r="AN1869" s="149" t="s">
        <v>2131</v>
      </c>
      <c r="AO1869" s="144"/>
      <c r="AP1869" s="148">
        <v>3431</v>
      </c>
      <c r="AQ1869" s="144"/>
      <c r="AR1869" s="120"/>
      <c r="AS1869" s="121"/>
      <c r="AT1869" s="120"/>
      <c r="AU1869" s="121"/>
      <c r="AV1869" s="120"/>
      <c r="AW1869" s="121"/>
      <c r="AX1869" s="120"/>
      <c r="AY1869" s="121"/>
      <c r="AZ1869" s="138"/>
    </row>
    <row r="1870" spans="1:52" ht="17.100000000000001" customHeight="1" thickTop="1">
      <c r="A1870" s="109" t="s">
        <v>6670</v>
      </c>
      <c r="B1870" s="28">
        <v>45929</v>
      </c>
      <c r="C1870" s="25">
        <v>55</v>
      </c>
      <c r="D1870" s="13" t="s">
        <v>1027</v>
      </c>
      <c r="E1870" s="111"/>
      <c r="F1870" s="113" t="s">
        <v>3611</v>
      </c>
      <c r="G1870" s="114"/>
      <c r="H1870" s="115"/>
      <c r="I1870" s="24" t="s">
        <v>4037</v>
      </c>
      <c r="J1870" s="116">
        <v>4</v>
      </c>
      <c r="K1870" s="118">
        <v>635000</v>
      </c>
      <c r="L1870" s="119"/>
      <c r="M1870" s="118">
        <f>K1870*0.1</f>
        <v>63500</v>
      </c>
      <c r="N1870" s="119"/>
      <c r="O1870" s="118">
        <v>0</v>
      </c>
      <c r="P1870" s="119"/>
      <c r="Q1870" s="118">
        <v>8860</v>
      </c>
      <c r="R1870" s="119"/>
      <c r="S1870" s="118">
        <v>33000</v>
      </c>
      <c r="T1870" s="119"/>
      <c r="U1870" s="118">
        <f>SUM(K1870:T1871)</f>
        <v>740360</v>
      </c>
      <c r="V1870" s="122"/>
      <c r="W1870" s="124"/>
      <c r="X1870" s="126" t="s">
        <v>9547</v>
      </c>
      <c r="Y1870" s="127"/>
      <c r="Z1870" s="127"/>
      <c r="AA1870" s="127"/>
      <c r="AB1870" s="128"/>
      <c r="AC1870" s="15" t="s">
        <v>20</v>
      </c>
      <c r="AD1870" s="129" t="s">
        <v>9538</v>
      </c>
      <c r="AE1870" s="130"/>
      <c r="AF1870" s="130"/>
      <c r="AG1870" s="130"/>
      <c r="AH1870" s="130"/>
      <c r="AI1870" s="131"/>
      <c r="AJ1870" s="132"/>
      <c r="AK1870" s="127"/>
      <c r="AL1870" s="128"/>
      <c r="AM1870" s="21"/>
      <c r="AN1870" s="133">
        <v>45980</v>
      </c>
      <c r="AO1870" s="134"/>
      <c r="AP1870" s="135">
        <v>993</v>
      </c>
      <c r="AQ1870" s="136"/>
      <c r="AR1870" s="118">
        <v>710000</v>
      </c>
      <c r="AS1870" s="119"/>
      <c r="AT1870" s="118">
        <f>AR1870*0.1</f>
        <v>71000</v>
      </c>
      <c r="AU1870" s="119"/>
      <c r="AV1870" s="118">
        <v>8860</v>
      </c>
      <c r="AW1870" s="119"/>
      <c r="AX1870" s="118">
        <f>SUM(AR1870:AW1870)</f>
        <v>789860</v>
      </c>
      <c r="AY1870" s="119"/>
      <c r="AZ1870" s="137">
        <v>45986</v>
      </c>
    </row>
    <row r="1871" spans="1:52" ht="17.100000000000001" customHeight="1" thickBot="1">
      <c r="A1871" s="110"/>
      <c r="B1871" s="27" t="s">
        <v>4544</v>
      </c>
      <c r="C1871" s="27">
        <v>1081</v>
      </c>
      <c r="D1871" s="14" t="s">
        <v>1556</v>
      </c>
      <c r="E1871" s="112"/>
      <c r="F1871" s="139" t="s">
        <v>5519</v>
      </c>
      <c r="G1871" s="140"/>
      <c r="H1871" s="141"/>
      <c r="I1871" s="26">
        <v>36715</v>
      </c>
      <c r="J1871" s="117"/>
      <c r="K1871" s="120"/>
      <c r="L1871" s="121"/>
      <c r="M1871" s="120"/>
      <c r="N1871" s="121"/>
      <c r="O1871" s="120"/>
      <c r="P1871" s="121"/>
      <c r="Q1871" s="120"/>
      <c r="R1871" s="121"/>
      <c r="S1871" s="120"/>
      <c r="T1871" s="121"/>
      <c r="U1871" s="120"/>
      <c r="V1871" s="123"/>
      <c r="W1871" s="125"/>
      <c r="X1871" s="142" t="s">
        <v>9548</v>
      </c>
      <c r="Y1871" s="143"/>
      <c r="Z1871" s="143"/>
      <c r="AA1871" s="143"/>
      <c r="AB1871" s="144"/>
      <c r="AC1871" s="16" t="s">
        <v>21</v>
      </c>
      <c r="AD1871" s="17" t="s">
        <v>1674</v>
      </c>
      <c r="AE1871" s="145" t="s">
        <v>4106</v>
      </c>
      <c r="AF1871" s="146"/>
      <c r="AG1871" s="146"/>
      <c r="AH1871" s="146"/>
      <c r="AI1871" s="147"/>
      <c r="AJ1871" s="148"/>
      <c r="AK1871" s="143"/>
      <c r="AL1871" s="144"/>
      <c r="AM1871" s="22"/>
      <c r="AN1871" s="149" t="s">
        <v>2794</v>
      </c>
      <c r="AO1871" s="144"/>
      <c r="AP1871" s="148">
        <v>2059</v>
      </c>
      <c r="AQ1871" s="144"/>
      <c r="AR1871" s="120"/>
      <c r="AS1871" s="121"/>
      <c r="AT1871" s="120"/>
      <c r="AU1871" s="121"/>
      <c r="AV1871" s="120"/>
      <c r="AW1871" s="121"/>
      <c r="AX1871" s="120"/>
      <c r="AY1871" s="121"/>
      <c r="AZ1871" s="138"/>
    </row>
    <row r="1872" spans="1:52" ht="17.100000000000001" customHeight="1" thickTop="1">
      <c r="A1872" s="109" t="s">
        <v>6671</v>
      </c>
      <c r="B1872" s="28">
        <v>45929</v>
      </c>
      <c r="C1872" s="25"/>
      <c r="D1872" s="13" t="s">
        <v>5520</v>
      </c>
      <c r="E1872" s="111"/>
      <c r="F1872" s="113" t="s">
        <v>5521</v>
      </c>
      <c r="G1872" s="114"/>
      <c r="H1872" s="115"/>
      <c r="I1872" s="24"/>
      <c r="J1872" s="116">
        <v>4</v>
      </c>
      <c r="K1872" s="118">
        <v>229000</v>
      </c>
      <c r="L1872" s="119"/>
      <c r="M1872" s="118">
        <f>K1872*0.1</f>
        <v>22900</v>
      </c>
      <c r="N1872" s="119"/>
      <c r="O1872" s="118">
        <v>0</v>
      </c>
      <c r="P1872" s="119"/>
      <c r="Q1872" s="118">
        <v>9560</v>
      </c>
      <c r="R1872" s="119"/>
      <c r="S1872" s="118">
        <v>15950</v>
      </c>
      <c r="T1872" s="119"/>
      <c r="U1872" s="118">
        <f>SUM(K1872:T1873)</f>
        <v>277410</v>
      </c>
      <c r="V1872" s="122"/>
      <c r="W1872" s="124"/>
      <c r="X1872" s="126" t="s">
        <v>7448</v>
      </c>
      <c r="Y1872" s="127"/>
      <c r="Z1872" s="127"/>
      <c r="AA1872" s="127"/>
      <c r="AB1872" s="128"/>
      <c r="AC1872" s="15" t="s">
        <v>20</v>
      </c>
      <c r="AD1872" s="129"/>
      <c r="AE1872" s="130"/>
      <c r="AF1872" s="130"/>
      <c r="AG1872" s="130"/>
      <c r="AH1872" s="130"/>
      <c r="AI1872" s="131"/>
      <c r="AJ1872" s="132"/>
      <c r="AK1872" s="127"/>
      <c r="AL1872" s="128"/>
      <c r="AM1872" s="21"/>
      <c r="AN1872" s="133">
        <v>45955</v>
      </c>
      <c r="AO1872" s="134"/>
      <c r="AP1872" s="135">
        <v>1273</v>
      </c>
      <c r="AQ1872" s="136"/>
      <c r="AR1872" s="118">
        <v>300000</v>
      </c>
      <c r="AS1872" s="119"/>
      <c r="AT1872" s="118">
        <f>AR1872*0.1</f>
        <v>30000</v>
      </c>
      <c r="AU1872" s="119"/>
      <c r="AV1872" s="118">
        <v>9560</v>
      </c>
      <c r="AW1872" s="119"/>
      <c r="AX1872" s="118">
        <f>SUM(AR1872:AW1872)</f>
        <v>339560</v>
      </c>
      <c r="AY1872" s="119"/>
      <c r="AZ1872" s="137">
        <v>45960</v>
      </c>
    </row>
    <row r="1873" spans="1:52" ht="17.100000000000001" customHeight="1" thickBot="1">
      <c r="A1873" s="110"/>
      <c r="B1873" s="27" t="s">
        <v>4475</v>
      </c>
      <c r="C1873" s="27">
        <v>70170</v>
      </c>
      <c r="D1873" s="14" t="s">
        <v>1720</v>
      </c>
      <c r="E1873" s="112"/>
      <c r="F1873" s="139" t="s">
        <v>5522</v>
      </c>
      <c r="G1873" s="140"/>
      <c r="H1873" s="141"/>
      <c r="I1873" s="26">
        <v>34766</v>
      </c>
      <c r="J1873" s="117"/>
      <c r="K1873" s="120"/>
      <c r="L1873" s="121"/>
      <c r="M1873" s="120"/>
      <c r="N1873" s="121"/>
      <c r="O1873" s="120"/>
      <c r="P1873" s="121"/>
      <c r="Q1873" s="120"/>
      <c r="R1873" s="121"/>
      <c r="S1873" s="120"/>
      <c r="T1873" s="121"/>
      <c r="U1873" s="120"/>
      <c r="V1873" s="123"/>
      <c r="W1873" s="125"/>
      <c r="X1873" s="142" t="s">
        <v>3300</v>
      </c>
      <c r="Y1873" s="143"/>
      <c r="Z1873" s="143"/>
      <c r="AA1873" s="143"/>
      <c r="AB1873" s="144"/>
      <c r="AC1873" s="16" t="s">
        <v>21</v>
      </c>
      <c r="AD1873" s="17" t="s">
        <v>3317</v>
      </c>
      <c r="AE1873" s="145"/>
      <c r="AF1873" s="146"/>
      <c r="AG1873" s="146"/>
      <c r="AH1873" s="146"/>
      <c r="AI1873" s="147"/>
      <c r="AJ1873" s="148"/>
      <c r="AK1873" s="143"/>
      <c r="AL1873" s="144"/>
      <c r="AM1873" s="22"/>
      <c r="AN1873" s="149" t="s">
        <v>2511</v>
      </c>
      <c r="AO1873" s="144"/>
      <c r="AP1873" s="148">
        <v>60304</v>
      </c>
      <c r="AQ1873" s="144"/>
      <c r="AR1873" s="120"/>
      <c r="AS1873" s="121"/>
      <c r="AT1873" s="120"/>
      <c r="AU1873" s="121"/>
      <c r="AV1873" s="120"/>
      <c r="AW1873" s="121"/>
      <c r="AX1873" s="120"/>
      <c r="AY1873" s="121"/>
      <c r="AZ1873" s="138"/>
    </row>
    <row r="1874" spans="1:52" ht="17.100000000000001" customHeight="1" thickTop="1">
      <c r="A1874" s="109" t="s">
        <v>6672</v>
      </c>
      <c r="B1874" s="28">
        <v>45929</v>
      </c>
      <c r="C1874" s="25"/>
      <c r="D1874" s="13" t="s">
        <v>2100</v>
      </c>
      <c r="E1874" s="111"/>
      <c r="F1874" s="113" t="s">
        <v>5523</v>
      </c>
      <c r="G1874" s="114"/>
      <c r="H1874" s="115"/>
      <c r="I1874" s="24" t="s">
        <v>1559</v>
      </c>
      <c r="J1874" s="116">
        <v>4</v>
      </c>
      <c r="K1874" s="118">
        <v>1135000</v>
      </c>
      <c r="L1874" s="119"/>
      <c r="M1874" s="118">
        <f>K1874*0.1</f>
        <v>113500</v>
      </c>
      <c r="N1874" s="119"/>
      <c r="O1874" s="118">
        <f>19700+1970</f>
        <v>21670</v>
      </c>
      <c r="P1874" s="119"/>
      <c r="Q1874" s="118">
        <v>17800</v>
      </c>
      <c r="R1874" s="119"/>
      <c r="S1874" s="118">
        <v>15950</v>
      </c>
      <c r="T1874" s="119"/>
      <c r="U1874" s="118">
        <f>SUM(K1874:T1875)</f>
        <v>1303920</v>
      </c>
      <c r="V1874" s="122"/>
      <c r="W1874" s="124"/>
      <c r="X1874" s="126" t="s">
        <v>5524</v>
      </c>
      <c r="Y1874" s="127"/>
      <c r="Z1874" s="127"/>
      <c r="AA1874" s="127"/>
      <c r="AB1874" s="128"/>
      <c r="AC1874" s="15" t="s">
        <v>20</v>
      </c>
      <c r="AD1874" s="129" t="s">
        <v>1609</v>
      </c>
      <c r="AE1874" s="130"/>
      <c r="AF1874" s="130"/>
      <c r="AG1874" s="130"/>
      <c r="AH1874" s="130"/>
      <c r="AI1874" s="131"/>
      <c r="AJ1874" s="132"/>
      <c r="AK1874" s="127"/>
      <c r="AL1874" s="128"/>
      <c r="AM1874" s="21" t="s">
        <v>8327</v>
      </c>
      <c r="AN1874" s="133">
        <v>45969</v>
      </c>
      <c r="AO1874" s="134"/>
      <c r="AP1874" s="135">
        <v>1275</v>
      </c>
      <c r="AQ1874" s="136"/>
      <c r="AR1874" s="118">
        <v>1260000</v>
      </c>
      <c r="AS1874" s="119"/>
      <c r="AT1874" s="118">
        <f>AR1874*0.1</f>
        <v>126000</v>
      </c>
      <c r="AU1874" s="119"/>
      <c r="AV1874" s="118">
        <v>17800</v>
      </c>
      <c r="AW1874" s="119"/>
      <c r="AX1874" s="118">
        <f>SUM(AR1874:AW1874)</f>
        <v>1403800</v>
      </c>
      <c r="AY1874" s="119"/>
      <c r="AZ1874" s="137">
        <v>45972</v>
      </c>
    </row>
    <row r="1875" spans="1:52" ht="17.100000000000001" customHeight="1" thickBot="1">
      <c r="A1875" s="110"/>
      <c r="B1875" s="27" t="s">
        <v>4475</v>
      </c>
      <c r="C1875" s="27">
        <v>80148</v>
      </c>
      <c r="D1875" s="14" t="s">
        <v>275</v>
      </c>
      <c r="E1875" s="112"/>
      <c r="F1875" s="139" t="s">
        <v>7433</v>
      </c>
      <c r="G1875" s="140"/>
      <c r="H1875" s="141"/>
      <c r="I1875" s="26">
        <v>75452</v>
      </c>
      <c r="J1875" s="117"/>
      <c r="K1875" s="120"/>
      <c r="L1875" s="121"/>
      <c r="M1875" s="120"/>
      <c r="N1875" s="121"/>
      <c r="O1875" s="120"/>
      <c r="P1875" s="121"/>
      <c r="Q1875" s="120"/>
      <c r="R1875" s="121"/>
      <c r="S1875" s="120"/>
      <c r="T1875" s="121"/>
      <c r="U1875" s="120"/>
      <c r="V1875" s="123"/>
      <c r="W1875" s="125"/>
      <c r="X1875" s="142" t="s">
        <v>7434</v>
      </c>
      <c r="Y1875" s="143"/>
      <c r="Z1875" s="143"/>
      <c r="AA1875" s="143"/>
      <c r="AB1875" s="144"/>
      <c r="AC1875" s="16" t="s">
        <v>21</v>
      </c>
      <c r="AD1875" s="17" t="s">
        <v>3317</v>
      </c>
      <c r="AE1875" s="145" t="s">
        <v>1742</v>
      </c>
      <c r="AF1875" s="146"/>
      <c r="AG1875" s="146"/>
      <c r="AH1875" s="146"/>
      <c r="AI1875" s="147"/>
      <c r="AJ1875" s="148"/>
      <c r="AK1875" s="143"/>
      <c r="AL1875" s="144"/>
      <c r="AM1875" s="22"/>
      <c r="AN1875" s="149" t="s">
        <v>7284</v>
      </c>
      <c r="AO1875" s="144"/>
      <c r="AP1875" s="148">
        <v>80051</v>
      </c>
      <c r="AQ1875" s="144"/>
      <c r="AR1875" s="120"/>
      <c r="AS1875" s="121"/>
      <c r="AT1875" s="120"/>
      <c r="AU1875" s="121"/>
      <c r="AV1875" s="120"/>
      <c r="AW1875" s="121"/>
      <c r="AX1875" s="120"/>
      <c r="AY1875" s="121"/>
      <c r="AZ1875" s="138"/>
    </row>
    <row r="1876" spans="1:52" ht="17.100000000000001" customHeight="1" thickTop="1">
      <c r="A1876" s="109" t="s">
        <v>6673</v>
      </c>
      <c r="B1876" s="28">
        <v>45929</v>
      </c>
      <c r="C1876" s="25"/>
      <c r="D1876" s="13" t="s">
        <v>1688</v>
      </c>
      <c r="E1876" s="111"/>
      <c r="F1876" s="113" t="s">
        <v>4297</v>
      </c>
      <c r="G1876" s="114"/>
      <c r="H1876" s="115"/>
      <c r="I1876" s="24" t="s">
        <v>3399</v>
      </c>
      <c r="J1876" s="116">
        <v>4</v>
      </c>
      <c r="K1876" s="118">
        <v>1438000</v>
      </c>
      <c r="L1876" s="119"/>
      <c r="M1876" s="118">
        <f>K1876*0.1</f>
        <v>143800</v>
      </c>
      <c r="N1876" s="119"/>
      <c r="O1876" s="118">
        <v>0</v>
      </c>
      <c r="P1876" s="119"/>
      <c r="Q1876" s="118">
        <v>8550</v>
      </c>
      <c r="R1876" s="119"/>
      <c r="S1876" s="118">
        <v>15950</v>
      </c>
      <c r="T1876" s="119"/>
      <c r="U1876" s="118">
        <f>SUM(K1876:T1877)</f>
        <v>1606300</v>
      </c>
      <c r="V1876" s="122"/>
      <c r="W1876" s="124"/>
      <c r="X1876" s="126" t="s">
        <v>7446</v>
      </c>
      <c r="Y1876" s="127"/>
      <c r="Z1876" s="127"/>
      <c r="AA1876" s="127"/>
      <c r="AB1876" s="128"/>
      <c r="AC1876" s="15" t="s">
        <v>20</v>
      </c>
      <c r="AD1876" s="129" t="s">
        <v>5525</v>
      </c>
      <c r="AE1876" s="130"/>
      <c r="AF1876" s="130"/>
      <c r="AG1876" s="130"/>
      <c r="AH1876" s="130"/>
      <c r="AI1876" s="131"/>
      <c r="AJ1876" s="132"/>
      <c r="AK1876" s="127"/>
      <c r="AL1876" s="128"/>
      <c r="AM1876" s="21" t="s">
        <v>7748</v>
      </c>
      <c r="AN1876" s="133">
        <v>45934</v>
      </c>
      <c r="AO1876" s="134"/>
      <c r="AP1876" s="135">
        <v>1270</v>
      </c>
      <c r="AQ1876" s="136"/>
      <c r="AR1876" s="118">
        <v>1510000</v>
      </c>
      <c r="AS1876" s="119"/>
      <c r="AT1876" s="118">
        <f>AR1876*0.1</f>
        <v>151000</v>
      </c>
      <c r="AU1876" s="119"/>
      <c r="AV1876" s="118">
        <v>8550</v>
      </c>
      <c r="AW1876" s="119"/>
      <c r="AX1876" s="118">
        <f>SUM(AR1876:AW1876)</f>
        <v>1669550</v>
      </c>
      <c r="AY1876" s="119"/>
      <c r="AZ1876" s="137">
        <v>45944</v>
      </c>
    </row>
    <row r="1877" spans="1:52" ht="17.100000000000001" customHeight="1" thickBot="1">
      <c r="A1877" s="110"/>
      <c r="B1877" s="27" t="s">
        <v>4475</v>
      </c>
      <c r="C1877" s="27">
        <v>80246</v>
      </c>
      <c r="D1877" s="14" t="s">
        <v>2601</v>
      </c>
      <c r="E1877" s="112"/>
      <c r="F1877" s="139" t="s">
        <v>5526</v>
      </c>
      <c r="G1877" s="140"/>
      <c r="H1877" s="141"/>
      <c r="I1877" s="26">
        <v>14441</v>
      </c>
      <c r="J1877" s="117"/>
      <c r="K1877" s="120"/>
      <c r="L1877" s="121"/>
      <c r="M1877" s="120"/>
      <c r="N1877" s="121"/>
      <c r="O1877" s="120"/>
      <c r="P1877" s="121"/>
      <c r="Q1877" s="120"/>
      <c r="R1877" s="121"/>
      <c r="S1877" s="120"/>
      <c r="T1877" s="121"/>
      <c r="U1877" s="120"/>
      <c r="V1877" s="123"/>
      <c r="W1877" s="125"/>
      <c r="X1877" s="142" t="s">
        <v>7447</v>
      </c>
      <c r="Y1877" s="143"/>
      <c r="Z1877" s="143"/>
      <c r="AA1877" s="143"/>
      <c r="AB1877" s="144"/>
      <c r="AC1877" s="16" t="s">
        <v>21</v>
      </c>
      <c r="AD1877" s="17" t="s">
        <v>3317</v>
      </c>
      <c r="AE1877" s="145" t="s">
        <v>7750</v>
      </c>
      <c r="AF1877" s="146"/>
      <c r="AG1877" s="146"/>
      <c r="AH1877" s="146"/>
      <c r="AI1877" s="147"/>
      <c r="AJ1877" s="148"/>
      <c r="AK1877" s="143"/>
      <c r="AL1877" s="144"/>
      <c r="AM1877" s="22"/>
      <c r="AN1877" s="149" t="s">
        <v>6748</v>
      </c>
      <c r="AO1877" s="144"/>
      <c r="AP1877" s="148">
        <v>60342</v>
      </c>
      <c r="AQ1877" s="144"/>
      <c r="AR1877" s="120"/>
      <c r="AS1877" s="121"/>
      <c r="AT1877" s="120"/>
      <c r="AU1877" s="121"/>
      <c r="AV1877" s="120"/>
      <c r="AW1877" s="121"/>
      <c r="AX1877" s="120"/>
      <c r="AY1877" s="121"/>
      <c r="AZ1877" s="138"/>
    </row>
    <row r="1878" spans="1:52" ht="17.100000000000001" customHeight="1" thickTop="1">
      <c r="A1878" s="109" t="s">
        <v>6674</v>
      </c>
      <c r="B1878" s="28">
        <v>45929</v>
      </c>
      <c r="C1878" s="25"/>
      <c r="D1878" s="13" t="s">
        <v>1563</v>
      </c>
      <c r="E1878" s="111"/>
      <c r="F1878" s="113" t="s">
        <v>4683</v>
      </c>
      <c r="G1878" s="114"/>
      <c r="H1878" s="115"/>
      <c r="I1878" s="24"/>
      <c r="J1878" s="116">
        <v>4</v>
      </c>
      <c r="K1878" s="118">
        <v>1245000</v>
      </c>
      <c r="L1878" s="119"/>
      <c r="M1878" s="118">
        <f>K1878*0.1</f>
        <v>124500</v>
      </c>
      <c r="N1878" s="119"/>
      <c r="O1878" s="118">
        <v>0</v>
      </c>
      <c r="P1878" s="119"/>
      <c r="Q1878" s="118">
        <v>7150</v>
      </c>
      <c r="R1878" s="119"/>
      <c r="S1878" s="118">
        <v>15950</v>
      </c>
      <c r="T1878" s="119"/>
      <c r="U1878" s="118">
        <f>SUM(K1878:T1879)</f>
        <v>1392600</v>
      </c>
      <c r="V1878" s="122"/>
      <c r="W1878" s="124"/>
      <c r="X1878" s="126" t="s">
        <v>7373</v>
      </c>
      <c r="Y1878" s="127"/>
      <c r="Z1878" s="127"/>
      <c r="AA1878" s="127"/>
      <c r="AB1878" s="128"/>
      <c r="AC1878" s="15" t="s">
        <v>20</v>
      </c>
      <c r="AD1878" s="129" t="s">
        <v>1670</v>
      </c>
      <c r="AE1878" s="130"/>
      <c r="AF1878" s="130"/>
      <c r="AG1878" s="130"/>
      <c r="AH1878" s="130"/>
      <c r="AI1878" s="131"/>
      <c r="AJ1878" s="132"/>
      <c r="AK1878" s="127"/>
      <c r="AL1878" s="128"/>
      <c r="AM1878" s="21"/>
      <c r="AN1878" s="133">
        <v>46008</v>
      </c>
      <c r="AO1878" s="134"/>
      <c r="AP1878" s="135">
        <v>997</v>
      </c>
      <c r="AQ1878" s="136"/>
      <c r="AR1878" s="118">
        <v>1305000</v>
      </c>
      <c r="AS1878" s="119"/>
      <c r="AT1878" s="118">
        <f>AR1878*0.1</f>
        <v>130500</v>
      </c>
      <c r="AU1878" s="119"/>
      <c r="AV1878" s="118">
        <v>7150</v>
      </c>
      <c r="AW1878" s="119"/>
      <c r="AX1878" s="118">
        <f>SUM(AR1878:AW1878)</f>
        <v>1442650</v>
      </c>
      <c r="AY1878" s="119"/>
      <c r="AZ1878" s="137">
        <v>46013</v>
      </c>
    </row>
    <row r="1879" spans="1:52" ht="17.100000000000001" customHeight="1" thickBot="1">
      <c r="A1879" s="110"/>
      <c r="B1879" s="27" t="s">
        <v>3724</v>
      </c>
      <c r="C1879" s="27">
        <v>50041</v>
      </c>
      <c r="D1879" s="14" t="s">
        <v>275</v>
      </c>
      <c r="E1879" s="112"/>
      <c r="F1879" s="139" t="s">
        <v>5527</v>
      </c>
      <c r="G1879" s="140"/>
      <c r="H1879" s="141"/>
      <c r="I1879" s="26">
        <v>35270</v>
      </c>
      <c r="J1879" s="117"/>
      <c r="K1879" s="120"/>
      <c r="L1879" s="121"/>
      <c r="M1879" s="120"/>
      <c r="N1879" s="121"/>
      <c r="O1879" s="120"/>
      <c r="P1879" s="121"/>
      <c r="Q1879" s="120"/>
      <c r="R1879" s="121"/>
      <c r="S1879" s="120"/>
      <c r="T1879" s="121"/>
      <c r="U1879" s="120"/>
      <c r="V1879" s="123"/>
      <c r="W1879" s="125"/>
      <c r="X1879" s="142" t="s">
        <v>4167</v>
      </c>
      <c r="Y1879" s="143"/>
      <c r="Z1879" s="143"/>
      <c r="AA1879" s="143"/>
      <c r="AB1879" s="144"/>
      <c r="AC1879" s="16" t="s">
        <v>21</v>
      </c>
      <c r="AD1879" s="17" t="s">
        <v>2156</v>
      </c>
      <c r="AE1879" s="145" t="s">
        <v>1670</v>
      </c>
      <c r="AF1879" s="146"/>
      <c r="AG1879" s="146"/>
      <c r="AH1879" s="146"/>
      <c r="AI1879" s="147"/>
      <c r="AJ1879" s="148"/>
      <c r="AK1879" s="143"/>
      <c r="AL1879" s="144"/>
      <c r="AM1879" s="22"/>
      <c r="AN1879" s="149" t="s">
        <v>2794</v>
      </c>
      <c r="AO1879" s="144"/>
      <c r="AP1879" s="148">
        <v>2062</v>
      </c>
      <c r="AQ1879" s="144"/>
      <c r="AR1879" s="120"/>
      <c r="AS1879" s="121"/>
      <c r="AT1879" s="120"/>
      <c r="AU1879" s="121"/>
      <c r="AV1879" s="120"/>
      <c r="AW1879" s="121"/>
      <c r="AX1879" s="120"/>
      <c r="AY1879" s="121"/>
      <c r="AZ1879" s="138"/>
    </row>
    <row r="1880" spans="1:52" ht="17.100000000000001" customHeight="1" thickTop="1">
      <c r="A1880" s="109" t="s">
        <v>6675</v>
      </c>
      <c r="B1880" s="28">
        <v>45929</v>
      </c>
      <c r="C1880" s="25">
        <v>2062</v>
      </c>
      <c r="D1880" s="13" t="s">
        <v>3832</v>
      </c>
      <c r="E1880" s="111"/>
      <c r="F1880" s="113" t="s">
        <v>5528</v>
      </c>
      <c r="G1880" s="114"/>
      <c r="H1880" s="115"/>
      <c r="I1880" s="24" t="s">
        <v>2112</v>
      </c>
      <c r="J1880" s="116">
        <v>4</v>
      </c>
      <c r="K1880" s="118">
        <v>2620000</v>
      </c>
      <c r="L1880" s="119"/>
      <c r="M1880" s="118">
        <f>K1880*0.1</f>
        <v>262000</v>
      </c>
      <c r="N1880" s="119"/>
      <c r="O1880" s="118">
        <f>15200+1520</f>
        <v>16720</v>
      </c>
      <c r="P1880" s="119"/>
      <c r="Q1880" s="118">
        <v>23510</v>
      </c>
      <c r="R1880" s="119"/>
      <c r="S1880" s="118">
        <v>11000</v>
      </c>
      <c r="T1880" s="119"/>
      <c r="U1880" s="118">
        <f>SUM(K1880:T1881)</f>
        <v>2933230</v>
      </c>
      <c r="V1880" s="122"/>
      <c r="W1880" s="124"/>
      <c r="X1880" s="126" t="s">
        <v>5529</v>
      </c>
      <c r="Y1880" s="127"/>
      <c r="Z1880" s="127"/>
      <c r="AA1880" s="127"/>
      <c r="AB1880" s="128"/>
      <c r="AC1880" s="15" t="s">
        <v>20</v>
      </c>
      <c r="AD1880" s="129" t="s">
        <v>1670</v>
      </c>
      <c r="AE1880" s="130"/>
      <c r="AF1880" s="130"/>
      <c r="AG1880" s="130"/>
      <c r="AH1880" s="130"/>
      <c r="AI1880" s="131"/>
      <c r="AJ1880" s="132"/>
      <c r="AK1880" s="127"/>
      <c r="AL1880" s="128"/>
      <c r="AM1880" s="21"/>
      <c r="AN1880" s="133">
        <v>45934</v>
      </c>
      <c r="AO1880" s="134"/>
      <c r="AP1880" s="135">
        <v>1270</v>
      </c>
      <c r="AQ1880" s="136"/>
      <c r="AR1880" s="118">
        <v>2855000</v>
      </c>
      <c r="AS1880" s="119"/>
      <c r="AT1880" s="118">
        <f>AR1880*0.1</f>
        <v>285500</v>
      </c>
      <c r="AU1880" s="119"/>
      <c r="AV1880" s="118">
        <v>23510</v>
      </c>
      <c r="AW1880" s="119"/>
      <c r="AX1880" s="118">
        <f>SUM(AR1880:AW1880)</f>
        <v>3164010</v>
      </c>
      <c r="AY1880" s="119"/>
      <c r="AZ1880" s="137">
        <v>45938</v>
      </c>
    </row>
    <row r="1881" spans="1:52" ht="17.100000000000001" customHeight="1" thickBot="1">
      <c r="A1881" s="110"/>
      <c r="B1881" s="27" t="s">
        <v>83</v>
      </c>
      <c r="C1881" s="27">
        <v>11005</v>
      </c>
      <c r="D1881" s="14" t="s">
        <v>2601</v>
      </c>
      <c r="E1881" s="112"/>
      <c r="F1881" s="139" t="s">
        <v>5530</v>
      </c>
      <c r="G1881" s="140"/>
      <c r="H1881" s="141"/>
      <c r="I1881" s="26">
        <v>22475</v>
      </c>
      <c r="J1881" s="117"/>
      <c r="K1881" s="120"/>
      <c r="L1881" s="121"/>
      <c r="M1881" s="120"/>
      <c r="N1881" s="121"/>
      <c r="O1881" s="120"/>
      <c r="P1881" s="121"/>
      <c r="Q1881" s="120"/>
      <c r="R1881" s="121"/>
      <c r="S1881" s="120"/>
      <c r="T1881" s="121"/>
      <c r="U1881" s="120"/>
      <c r="V1881" s="123"/>
      <c r="W1881" s="125"/>
      <c r="X1881" s="142" t="s">
        <v>2321</v>
      </c>
      <c r="Y1881" s="143"/>
      <c r="Z1881" s="143"/>
      <c r="AA1881" s="143"/>
      <c r="AB1881" s="144"/>
      <c r="AC1881" s="16" t="s">
        <v>21</v>
      </c>
      <c r="AD1881" s="17" t="s">
        <v>6716</v>
      </c>
      <c r="AE1881" s="145" t="s">
        <v>6855</v>
      </c>
      <c r="AF1881" s="146"/>
      <c r="AG1881" s="146"/>
      <c r="AH1881" s="146"/>
      <c r="AI1881" s="147"/>
      <c r="AJ1881" s="148"/>
      <c r="AK1881" s="143"/>
      <c r="AL1881" s="144"/>
      <c r="AM1881" s="22"/>
      <c r="AN1881" s="149" t="s">
        <v>7284</v>
      </c>
      <c r="AO1881" s="144"/>
      <c r="AP1881" s="148">
        <v>80235</v>
      </c>
      <c r="AQ1881" s="144"/>
      <c r="AR1881" s="120"/>
      <c r="AS1881" s="121"/>
      <c r="AT1881" s="120"/>
      <c r="AU1881" s="121"/>
      <c r="AV1881" s="120"/>
      <c r="AW1881" s="121"/>
      <c r="AX1881" s="120"/>
      <c r="AY1881" s="121"/>
      <c r="AZ1881" s="138"/>
    </row>
    <row r="1882" spans="1:52" ht="17.100000000000001" customHeight="1" thickTop="1">
      <c r="A1882" s="109" t="s">
        <v>6676</v>
      </c>
      <c r="B1882" s="28">
        <v>45929</v>
      </c>
      <c r="C1882" s="25">
        <v>2062</v>
      </c>
      <c r="D1882" s="13" t="s">
        <v>2009</v>
      </c>
      <c r="E1882" s="111"/>
      <c r="F1882" s="113" t="s">
        <v>4288</v>
      </c>
      <c r="G1882" s="114"/>
      <c r="H1882" s="115"/>
      <c r="I1882" s="24"/>
      <c r="J1882" s="116">
        <v>4.5</v>
      </c>
      <c r="K1882" s="118">
        <v>1430000</v>
      </c>
      <c r="L1882" s="119"/>
      <c r="M1882" s="118">
        <f>K1882*0.1</f>
        <v>143000</v>
      </c>
      <c r="N1882" s="119"/>
      <c r="O1882" s="118">
        <v>0</v>
      </c>
      <c r="P1882" s="119"/>
      <c r="Q1882" s="118">
        <v>8630</v>
      </c>
      <c r="R1882" s="119"/>
      <c r="S1882" s="118">
        <v>8800</v>
      </c>
      <c r="T1882" s="119"/>
      <c r="U1882" s="118">
        <f>SUM(K1882:T1883)</f>
        <v>1590430</v>
      </c>
      <c r="V1882" s="122"/>
      <c r="W1882" s="124"/>
      <c r="X1882" s="126" t="s">
        <v>6871</v>
      </c>
      <c r="Y1882" s="127"/>
      <c r="Z1882" s="127"/>
      <c r="AA1882" s="127"/>
      <c r="AB1882" s="128"/>
      <c r="AC1882" s="15" t="s">
        <v>20</v>
      </c>
      <c r="AD1882" s="129" t="s">
        <v>5531</v>
      </c>
      <c r="AE1882" s="130"/>
      <c r="AF1882" s="130"/>
      <c r="AG1882" s="130"/>
      <c r="AH1882" s="130"/>
      <c r="AI1882" s="131"/>
      <c r="AJ1882" s="132"/>
      <c r="AK1882" s="127"/>
      <c r="AL1882" s="128"/>
      <c r="AM1882" s="21"/>
      <c r="AN1882" s="133">
        <v>45941</v>
      </c>
      <c r="AO1882" s="134"/>
      <c r="AP1882" s="135">
        <v>1271</v>
      </c>
      <c r="AQ1882" s="136"/>
      <c r="AR1882" s="118">
        <v>1515000</v>
      </c>
      <c r="AS1882" s="119"/>
      <c r="AT1882" s="118">
        <f>AR1882*0.1</f>
        <v>151500</v>
      </c>
      <c r="AU1882" s="119"/>
      <c r="AV1882" s="118">
        <v>8630</v>
      </c>
      <c r="AW1882" s="119"/>
      <c r="AX1882" s="118">
        <f>SUM(AR1882:AW1882)</f>
        <v>1675130</v>
      </c>
      <c r="AY1882" s="119"/>
      <c r="AZ1882" s="137">
        <v>45945</v>
      </c>
    </row>
    <row r="1883" spans="1:52" ht="17.100000000000001" customHeight="1" thickBot="1">
      <c r="A1883" s="110"/>
      <c r="B1883" s="27" t="s">
        <v>83</v>
      </c>
      <c r="C1883" s="27">
        <v>24005</v>
      </c>
      <c r="D1883" s="14" t="s">
        <v>275</v>
      </c>
      <c r="E1883" s="112"/>
      <c r="F1883" s="139" t="s">
        <v>5532</v>
      </c>
      <c r="G1883" s="140"/>
      <c r="H1883" s="141"/>
      <c r="I1883" s="26">
        <v>14126</v>
      </c>
      <c r="J1883" s="117"/>
      <c r="K1883" s="120"/>
      <c r="L1883" s="121"/>
      <c r="M1883" s="120"/>
      <c r="N1883" s="121"/>
      <c r="O1883" s="120"/>
      <c r="P1883" s="121"/>
      <c r="Q1883" s="120"/>
      <c r="R1883" s="121"/>
      <c r="S1883" s="120"/>
      <c r="T1883" s="121"/>
      <c r="U1883" s="120"/>
      <c r="V1883" s="123"/>
      <c r="W1883" s="125"/>
      <c r="X1883" s="142" t="s">
        <v>6872</v>
      </c>
      <c r="Y1883" s="143"/>
      <c r="Z1883" s="143"/>
      <c r="AA1883" s="143"/>
      <c r="AB1883" s="144"/>
      <c r="AC1883" s="16" t="s">
        <v>21</v>
      </c>
      <c r="AD1883" s="17" t="s">
        <v>6716</v>
      </c>
      <c r="AE1883" s="145" t="s">
        <v>1742</v>
      </c>
      <c r="AF1883" s="146"/>
      <c r="AG1883" s="146"/>
      <c r="AH1883" s="146"/>
      <c r="AI1883" s="147"/>
      <c r="AJ1883" s="148"/>
      <c r="AK1883" s="143"/>
      <c r="AL1883" s="144"/>
      <c r="AM1883" s="22"/>
      <c r="AN1883" s="149" t="s">
        <v>7284</v>
      </c>
      <c r="AO1883" s="144"/>
      <c r="AP1883" s="148">
        <v>60308</v>
      </c>
      <c r="AQ1883" s="144"/>
      <c r="AR1883" s="120"/>
      <c r="AS1883" s="121"/>
      <c r="AT1883" s="120"/>
      <c r="AU1883" s="121"/>
      <c r="AV1883" s="120"/>
      <c r="AW1883" s="121"/>
      <c r="AX1883" s="120"/>
      <c r="AY1883" s="121"/>
      <c r="AZ1883" s="138"/>
    </row>
    <row r="1884" spans="1:52" ht="17.100000000000001" customHeight="1" thickTop="1">
      <c r="A1884" s="109" t="s">
        <v>6677</v>
      </c>
      <c r="B1884" s="28">
        <v>45929</v>
      </c>
      <c r="C1884" s="25">
        <v>2062</v>
      </c>
      <c r="D1884" s="13" t="s">
        <v>1597</v>
      </c>
      <c r="E1884" s="111"/>
      <c r="F1884" s="113" t="s">
        <v>4930</v>
      </c>
      <c r="G1884" s="114"/>
      <c r="H1884" s="115"/>
      <c r="I1884" s="24"/>
      <c r="J1884" s="116">
        <v>4</v>
      </c>
      <c r="K1884" s="118">
        <v>323000</v>
      </c>
      <c r="L1884" s="119"/>
      <c r="M1884" s="118">
        <f>K1884*0.1</f>
        <v>32300</v>
      </c>
      <c r="N1884" s="119"/>
      <c r="O1884" s="118">
        <v>0</v>
      </c>
      <c r="P1884" s="119"/>
      <c r="Q1884" s="118">
        <v>7140</v>
      </c>
      <c r="R1884" s="119"/>
      <c r="S1884" s="118">
        <v>20900</v>
      </c>
      <c r="T1884" s="119"/>
      <c r="U1884" s="118">
        <f>SUM(K1884:T1885)</f>
        <v>383340</v>
      </c>
      <c r="V1884" s="122"/>
      <c r="W1884" s="124"/>
      <c r="X1884" s="126" t="s">
        <v>7105</v>
      </c>
      <c r="Y1884" s="127"/>
      <c r="Z1884" s="127"/>
      <c r="AA1884" s="127"/>
      <c r="AB1884" s="128"/>
      <c r="AC1884" s="15" t="s">
        <v>20</v>
      </c>
      <c r="AD1884" s="129"/>
      <c r="AE1884" s="130"/>
      <c r="AF1884" s="130"/>
      <c r="AG1884" s="130"/>
      <c r="AH1884" s="130"/>
      <c r="AI1884" s="131"/>
      <c r="AJ1884" s="132"/>
      <c r="AK1884" s="127"/>
      <c r="AL1884" s="128"/>
      <c r="AM1884" s="21"/>
      <c r="AN1884" s="133">
        <v>45941</v>
      </c>
      <c r="AO1884" s="134"/>
      <c r="AP1884" s="135">
        <v>1271</v>
      </c>
      <c r="AQ1884" s="136"/>
      <c r="AR1884" s="118">
        <v>445000</v>
      </c>
      <c r="AS1884" s="119"/>
      <c r="AT1884" s="118">
        <f>AR1884*0.1</f>
        <v>44500</v>
      </c>
      <c r="AU1884" s="119"/>
      <c r="AV1884" s="118">
        <v>7140</v>
      </c>
      <c r="AW1884" s="119"/>
      <c r="AX1884" s="118">
        <f>SUM(AR1884:AW1884)</f>
        <v>496640</v>
      </c>
      <c r="AY1884" s="119"/>
      <c r="AZ1884" s="137">
        <v>45945</v>
      </c>
    </row>
    <row r="1885" spans="1:52" ht="17.100000000000001" customHeight="1" thickBot="1">
      <c r="A1885" s="110"/>
      <c r="B1885" s="27" t="s">
        <v>83</v>
      </c>
      <c r="C1885" s="27">
        <v>25144</v>
      </c>
      <c r="D1885" s="14" t="s">
        <v>1592</v>
      </c>
      <c r="E1885" s="112"/>
      <c r="F1885" s="139" t="s">
        <v>5533</v>
      </c>
      <c r="G1885" s="140"/>
      <c r="H1885" s="141"/>
      <c r="I1885" s="26">
        <v>48616</v>
      </c>
      <c r="J1885" s="117"/>
      <c r="K1885" s="120"/>
      <c r="L1885" s="121"/>
      <c r="M1885" s="120"/>
      <c r="N1885" s="121"/>
      <c r="O1885" s="120"/>
      <c r="P1885" s="121"/>
      <c r="Q1885" s="120"/>
      <c r="R1885" s="121"/>
      <c r="S1885" s="120"/>
      <c r="T1885" s="121"/>
      <c r="U1885" s="120"/>
      <c r="V1885" s="123"/>
      <c r="W1885" s="125"/>
      <c r="X1885" s="142" t="s">
        <v>2057</v>
      </c>
      <c r="Y1885" s="143"/>
      <c r="Z1885" s="143"/>
      <c r="AA1885" s="143"/>
      <c r="AB1885" s="144"/>
      <c r="AC1885" s="16" t="s">
        <v>21</v>
      </c>
      <c r="AD1885" s="17" t="s">
        <v>3733</v>
      </c>
      <c r="AE1885" s="145" t="s">
        <v>7846</v>
      </c>
      <c r="AF1885" s="146"/>
      <c r="AG1885" s="146"/>
      <c r="AH1885" s="146"/>
      <c r="AI1885" s="147"/>
      <c r="AJ1885" s="148"/>
      <c r="AK1885" s="143"/>
      <c r="AL1885" s="144"/>
      <c r="AM1885" s="22"/>
      <c r="AN1885" s="149" t="s">
        <v>7284</v>
      </c>
      <c r="AO1885" s="144"/>
      <c r="AP1885" s="148">
        <v>60311</v>
      </c>
      <c r="AQ1885" s="144"/>
      <c r="AR1885" s="120"/>
      <c r="AS1885" s="121"/>
      <c r="AT1885" s="120"/>
      <c r="AU1885" s="121"/>
      <c r="AV1885" s="120"/>
      <c r="AW1885" s="121"/>
      <c r="AX1885" s="120"/>
      <c r="AY1885" s="121"/>
      <c r="AZ1885" s="138"/>
    </row>
    <row r="1886" spans="1:52" ht="17.100000000000001" customHeight="1" thickTop="1">
      <c r="A1886" s="109" t="s">
        <v>6678</v>
      </c>
      <c r="B1886" s="28">
        <v>45929</v>
      </c>
      <c r="C1886" s="25">
        <v>2062</v>
      </c>
      <c r="D1886" s="13" t="s">
        <v>2458</v>
      </c>
      <c r="E1886" s="111"/>
      <c r="F1886" s="113" t="s">
        <v>5534</v>
      </c>
      <c r="G1886" s="114"/>
      <c r="H1886" s="115"/>
      <c r="I1886" s="24"/>
      <c r="J1886" s="116">
        <v>3.5</v>
      </c>
      <c r="K1886" s="118">
        <v>1595000</v>
      </c>
      <c r="L1886" s="119"/>
      <c r="M1886" s="118">
        <f>K1886*0.1</f>
        <v>159500</v>
      </c>
      <c r="N1886" s="119"/>
      <c r="O1886" s="118">
        <v>0</v>
      </c>
      <c r="P1886" s="119"/>
      <c r="Q1886" s="118">
        <v>17430</v>
      </c>
      <c r="R1886" s="119"/>
      <c r="S1886" s="118">
        <v>11000</v>
      </c>
      <c r="T1886" s="119"/>
      <c r="U1886" s="118">
        <f>SUM(K1886:T1887)</f>
        <v>1782930</v>
      </c>
      <c r="V1886" s="122"/>
      <c r="W1886" s="124"/>
      <c r="X1886" s="126" t="s">
        <v>6856</v>
      </c>
      <c r="Y1886" s="127"/>
      <c r="Z1886" s="127"/>
      <c r="AA1886" s="127"/>
      <c r="AB1886" s="128"/>
      <c r="AC1886" s="15" t="s">
        <v>20</v>
      </c>
      <c r="AD1886" s="129" t="s">
        <v>2544</v>
      </c>
      <c r="AE1886" s="130"/>
      <c r="AF1886" s="130"/>
      <c r="AG1886" s="130"/>
      <c r="AH1886" s="130"/>
      <c r="AI1886" s="131"/>
      <c r="AJ1886" s="132"/>
      <c r="AK1886" s="127"/>
      <c r="AL1886" s="128"/>
      <c r="AM1886" s="21"/>
      <c r="AN1886" s="133">
        <v>45983</v>
      </c>
      <c r="AO1886" s="134"/>
      <c r="AP1886" s="135">
        <v>1277</v>
      </c>
      <c r="AQ1886" s="136"/>
      <c r="AR1886" s="118">
        <v>1660000</v>
      </c>
      <c r="AS1886" s="119"/>
      <c r="AT1886" s="118">
        <f>AR1886*0.1</f>
        <v>166000</v>
      </c>
      <c r="AU1886" s="119"/>
      <c r="AV1886" s="118">
        <v>17430</v>
      </c>
      <c r="AW1886" s="119"/>
      <c r="AX1886" s="118">
        <f>SUM(AR1886:AW1886)</f>
        <v>1843430</v>
      </c>
      <c r="AY1886" s="119"/>
      <c r="AZ1886" s="137">
        <v>45987</v>
      </c>
    </row>
    <row r="1887" spans="1:52" ht="17.100000000000001" customHeight="1" thickBot="1">
      <c r="A1887" s="110"/>
      <c r="B1887" s="27" t="s">
        <v>83</v>
      </c>
      <c r="C1887" s="27">
        <v>33508</v>
      </c>
      <c r="D1887" s="14" t="s">
        <v>275</v>
      </c>
      <c r="E1887" s="112"/>
      <c r="F1887" s="139" t="s">
        <v>5535</v>
      </c>
      <c r="G1887" s="140"/>
      <c r="H1887" s="141"/>
      <c r="I1887" s="26">
        <v>55235</v>
      </c>
      <c r="J1887" s="117"/>
      <c r="K1887" s="120"/>
      <c r="L1887" s="121"/>
      <c r="M1887" s="120"/>
      <c r="N1887" s="121"/>
      <c r="O1887" s="120"/>
      <c r="P1887" s="121"/>
      <c r="Q1887" s="120"/>
      <c r="R1887" s="121"/>
      <c r="S1887" s="120"/>
      <c r="T1887" s="121"/>
      <c r="U1887" s="120"/>
      <c r="V1887" s="123"/>
      <c r="W1887" s="125"/>
      <c r="X1887" s="142" t="s">
        <v>4820</v>
      </c>
      <c r="Y1887" s="143"/>
      <c r="Z1887" s="143"/>
      <c r="AA1887" s="143"/>
      <c r="AB1887" s="144"/>
      <c r="AC1887" s="16" t="s">
        <v>21</v>
      </c>
      <c r="AD1887" s="17" t="s">
        <v>6716</v>
      </c>
      <c r="AE1887" s="145" t="s">
        <v>7092</v>
      </c>
      <c r="AF1887" s="146"/>
      <c r="AG1887" s="146"/>
      <c r="AH1887" s="146"/>
      <c r="AI1887" s="147"/>
      <c r="AJ1887" s="148"/>
      <c r="AK1887" s="143"/>
      <c r="AL1887" s="144"/>
      <c r="AM1887" s="22"/>
      <c r="AN1887" s="149" t="s">
        <v>2511</v>
      </c>
      <c r="AO1887" s="144"/>
      <c r="AP1887" s="148">
        <v>80143</v>
      </c>
      <c r="AQ1887" s="144"/>
      <c r="AR1887" s="120"/>
      <c r="AS1887" s="121"/>
      <c r="AT1887" s="120"/>
      <c r="AU1887" s="121"/>
      <c r="AV1887" s="120"/>
      <c r="AW1887" s="121"/>
      <c r="AX1887" s="120"/>
      <c r="AY1887" s="121"/>
      <c r="AZ1887" s="138"/>
    </row>
    <row r="1888" spans="1:52" ht="17.100000000000001" customHeight="1" thickTop="1">
      <c r="A1888" s="109" t="s">
        <v>6679</v>
      </c>
      <c r="B1888" s="28">
        <v>45929</v>
      </c>
      <c r="C1888" s="25">
        <v>2062</v>
      </c>
      <c r="D1888" s="13" t="s">
        <v>1712</v>
      </c>
      <c r="E1888" s="111"/>
      <c r="F1888" s="113" t="s">
        <v>5536</v>
      </c>
      <c r="G1888" s="114"/>
      <c r="H1888" s="115"/>
      <c r="I1888" s="24" t="s">
        <v>4109</v>
      </c>
      <c r="J1888" s="116">
        <v>4</v>
      </c>
      <c r="K1888" s="118">
        <v>637000</v>
      </c>
      <c r="L1888" s="119"/>
      <c r="M1888" s="118">
        <f>K1888*0.1</f>
        <v>63700</v>
      </c>
      <c r="N1888" s="119"/>
      <c r="O1888" s="118">
        <f>17200+1720</f>
        <v>18920</v>
      </c>
      <c r="P1888" s="119"/>
      <c r="Q1888" s="118">
        <v>18960</v>
      </c>
      <c r="R1888" s="119"/>
      <c r="S1888" s="118">
        <v>11000</v>
      </c>
      <c r="T1888" s="119"/>
      <c r="U1888" s="118">
        <f>SUM(K1888:T1889)</f>
        <v>749580</v>
      </c>
      <c r="V1888" s="122"/>
      <c r="W1888" s="124"/>
      <c r="X1888" s="126" t="s">
        <v>5537</v>
      </c>
      <c r="Y1888" s="127"/>
      <c r="Z1888" s="127"/>
      <c r="AA1888" s="127"/>
      <c r="AB1888" s="128"/>
      <c r="AC1888" s="15" t="s">
        <v>20</v>
      </c>
      <c r="AD1888" s="129"/>
      <c r="AE1888" s="130"/>
      <c r="AF1888" s="130"/>
      <c r="AG1888" s="130"/>
      <c r="AH1888" s="130"/>
      <c r="AI1888" s="131"/>
      <c r="AJ1888" s="132"/>
      <c r="AK1888" s="127"/>
      <c r="AL1888" s="128"/>
      <c r="AM1888" s="21"/>
      <c r="AN1888" s="133">
        <v>45983</v>
      </c>
      <c r="AO1888" s="134"/>
      <c r="AP1888" s="135">
        <v>1277</v>
      </c>
      <c r="AQ1888" s="136"/>
      <c r="AR1888" s="118">
        <v>700000</v>
      </c>
      <c r="AS1888" s="119"/>
      <c r="AT1888" s="118">
        <f>AR1888*0.1</f>
        <v>70000</v>
      </c>
      <c r="AU1888" s="119"/>
      <c r="AV1888" s="118">
        <v>18960</v>
      </c>
      <c r="AW1888" s="119"/>
      <c r="AX1888" s="118">
        <f>SUM(AR1888:AW1888)</f>
        <v>788960</v>
      </c>
      <c r="AY1888" s="119"/>
      <c r="AZ1888" s="137">
        <v>45987</v>
      </c>
    </row>
    <row r="1889" spans="1:52" ht="17.100000000000001" customHeight="1" thickBot="1">
      <c r="A1889" s="110"/>
      <c r="B1889" s="27" t="s">
        <v>83</v>
      </c>
      <c r="C1889" s="27">
        <v>34523</v>
      </c>
      <c r="D1889" s="14" t="s">
        <v>1720</v>
      </c>
      <c r="E1889" s="112"/>
      <c r="F1889" s="139" t="s">
        <v>5538</v>
      </c>
      <c r="G1889" s="140"/>
      <c r="H1889" s="141"/>
      <c r="I1889" s="26">
        <v>49226</v>
      </c>
      <c r="J1889" s="117"/>
      <c r="K1889" s="120"/>
      <c r="L1889" s="121"/>
      <c r="M1889" s="120"/>
      <c r="N1889" s="121"/>
      <c r="O1889" s="120"/>
      <c r="P1889" s="121"/>
      <c r="Q1889" s="120"/>
      <c r="R1889" s="121"/>
      <c r="S1889" s="120"/>
      <c r="T1889" s="121"/>
      <c r="U1889" s="120"/>
      <c r="V1889" s="123"/>
      <c r="W1889" s="125"/>
      <c r="X1889" s="142" t="s">
        <v>4828</v>
      </c>
      <c r="Y1889" s="143"/>
      <c r="Z1889" s="143"/>
      <c r="AA1889" s="143"/>
      <c r="AB1889" s="144"/>
      <c r="AC1889" s="16" t="s">
        <v>21</v>
      </c>
      <c r="AD1889" s="17" t="s">
        <v>6834</v>
      </c>
      <c r="AE1889" s="145" t="s">
        <v>1742</v>
      </c>
      <c r="AF1889" s="146"/>
      <c r="AG1889" s="146"/>
      <c r="AH1889" s="146"/>
      <c r="AI1889" s="147"/>
      <c r="AJ1889" s="148"/>
      <c r="AK1889" s="143"/>
      <c r="AL1889" s="144"/>
      <c r="AM1889" s="22" t="s">
        <v>3483</v>
      </c>
      <c r="AN1889" s="149" t="s">
        <v>2511</v>
      </c>
      <c r="AO1889" s="144"/>
      <c r="AP1889" s="148">
        <v>80078</v>
      </c>
      <c r="AQ1889" s="144"/>
      <c r="AR1889" s="120"/>
      <c r="AS1889" s="121"/>
      <c r="AT1889" s="120"/>
      <c r="AU1889" s="121"/>
      <c r="AV1889" s="120"/>
      <c r="AW1889" s="121"/>
      <c r="AX1889" s="120"/>
      <c r="AY1889" s="121"/>
      <c r="AZ1889" s="138"/>
    </row>
    <row r="1890" spans="1:52" ht="17.100000000000001" customHeight="1" thickTop="1">
      <c r="A1890" s="109" t="s">
        <v>6680</v>
      </c>
      <c r="B1890" s="28">
        <v>45929</v>
      </c>
      <c r="C1890" s="25">
        <v>2062</v>
      </c>
      <c r="D1890" s="13" t="s">
        <v>3921</v>
      </c>
      <c r="E1890" s="111"/>
      <c r="F1890" s="113" t="s">
        <v>5539</v>
      </c>
      <c r="G1890" s="114"/>
      <c r="H1890" s="115"/>
      <c r="I1890" s="24" t="s">
        <v>2533</v>
      </c>
      <c r="J1890" s="116">
        <v>4.5</v>
      </c>
      <c r="K1890" s="118">
        <v>1855000</v>
      </c>
      <c r="L1890" s="119"/>
      <c r="M1890" s="118">
        <f>K1890*0.1</f>
        <v>185500</v>
      </c>
      <c r="N1890" s="119"/>
      <c r="O1890" s="118">
        <f>19700+1970</f>
        <v>21670</v>
      </c>
      <c r="P1890" s="119"/>
      <c r="Q1890" s="118">
        <v>21720</v>
      </c>
      <c r="R1890" s="119"/>
      <c r="S1890" s="118">
        <v>11000</v>
      </c>
      <c r="T1890" s="119"/>
      <c r="U1890" s="118">
        <f>SUM(K1890:T1891)</f>
        <v>2094890</v>
      </c>
      <c r="V1890" s="122"/>
      <c r="W1890" s="124"/>
      <c r="X1890" s="126" t="s">
        <v>5540</v>
      </c>
      <c r="Y1890" s="127"/>
      <c r="Z1890" s="127"/>
      <c r="AA1890" s="127"/>
      <c r="AB1890" s="128"/>
      <c r="AC1890" s="15" t="s">
        <v>20</v>
      </c>
      <c r="AD1890" s="129"/>
      <c r="AE1890" s="130"/>
      <c r="AF1890" s="130"/>
      <c r="AG1890" s="130"/>
      <c r="AH1890" s="130"/>
      <c r="AI1890" s="131"/>
      <c r="AJ1890" s="132"/>
      <c r="AK1890" s="127"/>
      <c r="AL1890" s="128"/>
      <c r="AM1890" s="21"/>
      <c r="AN1890" s="133">
        <v>45950</v>
      </c>
      <c r="AO1890" s="134"/>
      <c r="AP1890" s="135"/>
      <c r="AQ1890" s="136"/>
      <c r="AR1890" s="118">
        <v>2100000</v>
      </c>
      <c r="AS1890" s="119"/>
      <c r="AT1890" s="118">
        <f>AR1890*0.1</f>
        <v>210000</v>
      </c>
      <c r="AU1890" s="119"/>
      <c r="AV1890" s="118">
        <v>21720</v>
      </c>
      <c r="AW1890" s="119"/>
      <c r="AX1890" s="118">
        <f>SUM(AR1890:AW1890)</f>
        <v>2331720</v>
      </c>
      <c r="AY1890" s="119"/>
      <c r="AZ1890" s="137"/>
    </row>
    <row r="1891" spans="1:52" ht="17.100000000000001" customHeight="1" thickBot="1">
      <c r="A1891" s="110"/>
      <c r="B1891" s="27" t="s">
        <v>83</v>
      </c>
      <c r="C1891" s="27">
        <v>34530</v>
      </c>
      <c r="D1891" s="14" t="s">
        <v>133</v>
      </c>
      <c r="E1891" s="112"/>
      <c r="F1891" s="139" t="s">
        <v>5541</v>
      </c>
      <c r="G1891" s="140"/>
      <c r="H1891" s="141"/>
      <c r="I1891" s="26">
        <v>67313</v>
      </c>
      <c r="J1891" s="117"/>
      <c r="K1891" s="120"/>
      <c r="L1891" s="121"/>
      <c r="M1891" s="120"/>
      <c r="N1891" s="121"/>
      <c r="O1891" s="120"/>
      <c r="P1891" s="121"/>
      <c r="Q1891" s="120"/>
      <c r="R1891" s="121"/>
      <c r="S1891" s="120"/>
      <c r="T1891" s="121"/>
      <c r="U1891" s="120"/>
      <c r="V1891" s="123"/>
      <c r="W1891" s="125"/>
      <c r="X1891" s="142" t="s">
        <v>4058</v>
      </c>
      <c r="Y1891" s="143"/>
      <c r="Z1891" s="143"/>
      <c r="AA1891" s="143"/>
      <c r="AB1891" s="144"/>
      <c r="AC1891" s="16" t="s">
        <v>21</v>
      </c>
      <c r="AD1891" s="17" t="s">
        <v>3317</v>
      </c>
      <c r="AE1891" s="145" t="s">
        <v>1742</v>
      </c>
      <c r="AF1891" s="146"/>
      <c r="AG1891" s="146"/>
      <c r="AH1891" s="146"/>
      <c r="AI1891" s="147"/>
      <c r="AJ1891" s="148"/>
      <c r="AK1891" s="143"/>
      <c r="AL1891" s="144"/>
      <c r="AM1891" s="22" t="s">
        <v>3483</v>
      </c>
      <c r="AN1891" s="149" t="s">
        <v>6789</v>
      </c>
      <c r="AO1891" s="144"/>
      <c r="AP1891" s="148">
        <v>40070</v>
      </c>
      <c r="AQ1891" s="144"/>
      <c r="AR1891" s="120"/>
      <c r="AS1891" s="121"/>
      <c r="AT1891" s="120"/>
      <c r="AU1891" s="121"/>
      <c r="AV1891" s="120"/>
      <c r="AW1891" s="121"/>
      <c r="AX1891" s="120"/>
      <c r="AY1891" s="121"/>
      <c r="AZ1891" s="138"/>
    </row>
    <row r="1892" spans="1:52" ht="17.100000000000001" customHeight="1" thickTop="1">
      <c r="A1892" s="109" t="s">
        <v>6681</v>
      </c>
      <c r="B1892" s="28">
        <v>45929</v>
      </c>
      <c r="C1892" s="25">
        <v>2062</v>
      </c>
      <c r="D1892" s="13" t="s">
        <v>2606</v>
      </c>
      <c r="E1892" s="111"/>
      <c r="F1892" s="113" t="s">
        <v>5542</v>
      </c>
      <c r="G1892" s="114"/>
      <c r="H1892" s="115"/>
      <c r="I1892" s="24"/>
      <c r="J1892" s="116">
        <v>4.5</v>
      </c>
      <c r="K1892" s="118">
        <v>1395000</v>
      </c>
      <c r="L1892" s="119"/>
      <c r="M1892" s="118">
        <f>K1892*0.1</f>
        <v>139500</v>
      </c>
      <c r="N1892" s="119"/>
      <c r="O1892" s="118">
        <v>0</v>
      </c>
      <c r="P1892" s="119"/>
      <c r="Q1892" s="118">
        <v>17800</v>
      </c>
      <c r="R1892" s="119"/>
      <c r="S1892" s="118">
        <v>11000</v>
      </c>
      <c r="T1892" s="119"/>
      <c r="U1892" s="118">
        <f>SUM(K1892:T1893)</f>
        <v>1563300</v>
      </c>
      <c r="V1892" s="122"/>
      <c r="W1892" s="124"/>
      <c r="X1892" s="126" t="s">
        <v>7430</v>
      </c>
      <c r="Y1892" s="127"/>
      <c r="Z1892" s="127"/>
      <c r="AA1892" s="127"/>
      <c r="AB1892" s="128"/>
      <c r="AC1892" s="15" t="s">
        <v>20</v>
      </c>
      <c r="AD1892" s="129"/>
      <c r="AE1892" s="130"/>
      <c r="AF1892" s="130"/>
      <c r="AG1892" s="130"/>
      <c r="AH1892" s="130"/>
      <c r="AI1892" s="131"/>
      <c r="AJ1892" s="132"/>
      <c r="AK1892" s="127"/>
      <c r="AL1892" s="128"/>
      <c r="AM1892" s="21"/>
      <c r="AN1892" s="133">
        <v>45948</v>
      </c>
      <c r="AO1892" s="134"/>
      <c r="AP1892" s="135">
        <v>1272</v>
      </c>
      <c r="AQ1892" s="136"/>
      <c r="AR1892" s="118">
        <v>1645000</v>
      </c>
      <c r="AS1892" s="119"/>
      <c r="AT1892" s="118">
        <f>AR1892*0.1</f>
        <v>164500</v>
      </c>
      <c r="AU1892" s="119"/>
      <c r="AV1892" s="118">
        <v>17800</v>
      </c>
      <c r="AW1892" s="119"/>
      <c r="AX1892" s="118">
        <f>SUM(AR1892:AW1892)</f>
        <v>1827300</v>
      </c>
      <c r="AY1892" s="119"/>
      <c r="AZ1892" s="137">
        <v>45951</v>
      </c>
    </row>
    <row r="1893" spans="1:52" ht="17.100000000000001" customHeight="1" thickBot="1">
      <c r="A1893" s="110"/>
      <c r="B1893" s="27" t="s">
        <v>83</v>
      </c>
      <c r="C1893" s="27">
        <v>34538</v>
      </c>
      <c r="D1893" s="14" t="s">
        <v>1635</v>
      </c>
      <c r="E1893" s="112"/>
      <c r="F1893" s="139" t="s">
        <v>5543</v>
      </c>
      <c r="G1893" s="140"/>
      <c r="H1893" s="141"/>
      <c r="I1893" s="26">
        <v>53918</v>
      </c>
      <c r="J1893" s="117"/>
      <c r="K1893" s="120"/>
      <c r="L1893" s="121"/>
      <c r="M1893" s="120"/>
      <c r="N1893" s="121"/>
      <c r="O1893" s="120"/>
      <c r="P1893" s="121"/>
      <c r="Q1893" s="120"/>
      <c r="R1893" s="121"/>
      <c r="S1893" s="120"/>
      <c r="T1893" s="121"/>
      <c r="U1893" s="120"/>
      <c r="V1893" s="123"/>
      <c r="W1893" s="125"/>
      <c r="X1893" s="142" t="s">
        <v>4058</v>
      </c>
      <c r="Y1893" s="143"/>
      <c r="Z1893" s="143"/>
      <c r="AA1893" s="143"/>
      <c r="AB1893" s="144"/>
      <c r="AC1893" s="16" t="s">
        <v>21</v>
      </c>
      <c r="AD1893" s="17" t="s">
        <v>3317</v>
      </c>
      <c r="AE1893" s="145" t="s">
        <v>1742</v>
      </c>
      <c r="AF1893" s="146"/>
      <c r="AG1893" s="146"/>
      <c r="AH1893" s="146"/>
      <c r="AI1893" s="147"/>
      <c r="AJ1893" s="148"/>
      <c r="AK1893" s="143"/>
      <c r="AL1893" s="144"/>
      <c r="AM1893" s="22"/>
      <c r="AN1893" s="149" t="s">
        <v>7284</v>
      </c>
      <c r="AO1893" s="144"/>
      <c r="AP1893" s="148">
        <v>80027</v>
      </c>
      <c r="AQ1893" s="144"/>
      <c r="AR1893" s="120"/>
      <c r="AS1893" s="121"/>
      <c r="AT1893" s="120"/>
      <c r="AU1893" s="121"/>
      <c r="AV1893" s="120"/>
      <c r="AW1893" s="121"/>
      <c r="AX1893" s="120"/>
      <c r="AY1893" s="121"/>
      <c r="AZ1893" s="138"/>
    </row>
    <row r="1894" spans="1:52" ht="17.100000000000001" customHeight="1" thickTop="1">
      <c r="A1894" s="109" t="s">
        <v>6682</v>
      </c>
      <c r="B1894" s="28">
        <v>45929</v>
      </c>
      <c r="C1894" s="25"/>
      <c r="D1894" s="13" t="s">
        <v>1667</v>
      </c>
      <c r="E1894" s="111"/>
      <c r="F1894" s="113" t="s">
        <v>5544</v>
      </c>
      <c r="G1894" s="114"/>
      <c r="H1894" s="115"/>
      <c r="I1894" s="24" t="s">
        <v>4146</v>
      </c>
      <c r="J1894" s="116">
        <v>4.5</v>
      </c>
      <c r="K1894" s="118">
        <f>1595000/1.1</f>
        <v>1449999.9999999998</v>
      </c>
      <c r="L1894" s="119"/>
      <c r="M1894" s="118">
        <f>K1894*0.1</f>
        <v>144999.99999999997</v>
      </c>
      <c r="N1894" s="119"/>
      <c r="O1894" s="118">
        <v>18700</v>
      </c>
      <c r="P1894" s="119"/>
      <c r="Q1894" s="118">
        <v>16960</v>
      </c>
      <c r="R1894" s="119"/>
      <c r="S1894" s="118">
        <v>94875</v>
      </c>
      <c r="T1894" s="119"/>
      <c r="U1894" s="118">
        <f>SUM(K1894:T1895)</f>
        <v>1725534.9999999998</v>
      </c>
      <c r="V1894" s="122"/>
      <c r="W1894" s="124"/>
      <c r="X1894" s="126" t="s">
        <v>7944</v>
      </c>
      <c r="Y1894" s="127"/>
      <c r="Z1894" s="127"/>
      <c r="AA1894" s="127"/>
      <c r="AB1894" s="128"/>
      <c r="AC1894" s="15" t="s">
        <v>20</v>
      </c>
      <c r="AD1894" s="129" t="s">
        <v>1945</v>
      </c>
      <c r="AE1894" s="130"/>
      <c r="AF1894" s="130"/>
      <c r="AG1894" s="130"/>
      <c r="AH1894" s="130"/>
      <c r="AI1894" s="131"/>
      <c r="AJ1894" s="132"/>
      <c r="AK1894" s="127"/>
      <c r="AL1894" s="128"/>
      <c r="AM1894" s="21"/>
      <c r="AN1894" s="133">
        <v>45941</v>
      </c>
      <c r="AO1894" s="134"/>
      <c r="AP1894" s="135">
        <v>1271</v>
      </c>
      <c r="AQ1894" s="136"/>
      <c r="AR1894" s="118">
        <v>1840000</v>
      </c>
      <c r="AS1894" s="119"/>
      <c r="AT1894" s="118">
        <f>AR1894*0.1</f>
        <v>184000</v>
      </c>
      <c r="AU1894" s="119"/>
      <c r="AV1894" s="118">
        <v>16960</v>
      </c>
      <c r="AW1894" s="119"/>
      <c r="AX1894" s="118">
        <f>SUM(AR1894:AW1894)</f>
        <v>2040960</v>
      </c>
      <c r="AY1894" s="119"/>
      <c r="AZ1894" s="137">
        <v>45944</v>
      </c>
    </row>
    <row r="1895" spans="1:52" ht="17.100000000000001" customHeight="1" thickBot="1">
      <c r="A1895" s="110"/>
      <c r="B1895" s="27" t="s">
        <v>1718</v>
      </c>
      <c r="C1895" s="27" t="s">
        <v>5545</v>
      </c>
      <c r="D1895" s="14" t="s">
        <v>1592</v>
      </c>
      <c r="E1895" s="112"/>
      <c r="F1895" s="139" t="s">
        <v>5546</v>
      </c>
      <c r="G1895" s="140"/>
      <c r="H1895" s="141"/>
      <c r="I1895" s="26">
        <v>75018</v>
      </c>
      <c r="J1895" s="117"/>
      <c r="K1895" s="120"/>
      <c r="L1895" s="121"/>
      <c r="M1895" s="120"/>
      <c r="N1895" s="121"/>
      <c r="O1895" s="120"/>
      <c r="P1895" s="121"/>
      <c r="Q1895" s="120"/>
      <c r="R1895" s="121"/>
      <c r="S1895" s="120"/>
      <c r="T1895" s="121"/>
      <c r="U1895" s="120"/>
      <c r="V1895" s="123"/>
      <c r="W1895" s="125"/>
      <c r="X1895" s="142" t="s">
        <v>7945</v>
      </c>
      <c r="Y1895" s="143"/>
      <c r="Z1895" s="143"/>
      <c r="AA1895" s="143"/>
      <c r="AB1895" s="144"/>
      <c r="AC1895" s="16" t="s">
        <v>21</v>
      </c>
      <c r="AD1895" s="17" t="s">
        <v>1613</v>
      </c>
      <c r="AE1895" s="145" t="s">
        <v>1945</v>
      </c>
      <c r="AF1895" s="146"/>
      <c r="AG1895" s="146"/>
      <c r="AH1895" s="146"/>
      <c r="AI1895" s="147"/>
      <c r="AJ1895" s="148"/>
      <c r="AK1895" s="143"/>
      <c r="AL1895" s="144"/>
      <c r="AM1895" s="22"/>
      <c r="AN1895" s="149" t="s">
        <v>2511</v>
      </c>
      <c r="AO1895" s="144"/>
      <c r="AP1895" s="148">
        <v>37861</v>
      </c>
      <c r="AQ1895" s="144"/>
      <c r="AR1895" s="120"/>
      <c r="AS1895" s="121"/>
      <c r="AT1895" s="120"/>
      <c r="AU1895" s="121"/>
      <c r="AV1895" s="120"/>
      <c r="AW1895" s="121"/>
      <c r="AX1895" s="120"/>
      <c r="AY1895" s="121"/>
      <c r="AZ1895" s="138"/>
    </row>
    <row r="1896" spans="1:52" ht="17.100000000000001" customHeight="1" thickTop="1">
      <c r="A1896" s="109" t="s">
        <v>6683</v>
      </c>
      <c r="B1896" s="28">
        <v>45929</v>
      </c>
      <c r="C1896" s="25"/>
      <c r="D1896" s="13" t="s">
        <v>1688</v>
      </c>
      <c r="E1896" s="111"/>
      <c r="F1896" s="113" t="s">
        <v>5547</v>
      </c>
      <c r="G1896" s="114"/>
      <c r="H1896" s="115"/>
      <c r="I1896" s="24" t="s">
        <v>5548</v>
      </c>
      <c r="J1896" s="150" t="s">
        <v>1715</v>
      </c>
      <c r="K1896" s="118">
        <f>1826000/1.1</f>
        <v>1659999.9999999998</v>
      </c>
      <c r="L1896" s="119"/>
      <c r="M1896" s="118">
        <f>K1896*0.1</f>
        <v>166000</v>
      </c>
      <c r="N1896" s="119"/>
      <c r="O1896" s="118">
        <v>12700</v>
      </c>
      <c r="P1896" s="119"/>
      <c r="Q1896" s="118">
        <v>11650</v>
      </c>
      <c r="R1896" s="119"/>
      <c r="S1896" s="118">
        <v>100650</v>
      </c>
      <c r="T1896" s="119"/>
      <c r="U1896" s="118">
        <f>SUM(K1896:T1897)</f>
        <v>1950999.9999999998</v>
      </c>
      <c r="V1896" s="122"/>
      <c r="W1896" s="124"/>
      <c r="X1896" s="126" t="s">
        <v>7367</v>
      </c>
      <c r="Y1896" s="127"/>
      <c r="Z1896" s="127"/>
      <c r="AA1896" s="127"/>
      <c r="AB1896" s="128"/>
      <c r="AC1896" s="15" t="s">
        <v>20</v>
      </c>
      <c r="AD1896" s="129" t="s">
        <v>1565</v>
      </c>
      <c r="AE1896" s="130"/>
      <c r="AF1896" s="130"/>
      <c r="AG1896" s="130"/>
      <c r="AH1896" s="130"/>
      <c r="AI1896" s="131"/>
      <c r="AJ1896" s="132"/>
      <c r="AK1896" s="127"/>
      <c r="AL1896" s="128"/>
      <c r="AM1896" s="21"/>
      <c r="AN1896" s="133">
        <v>45962</v>
      </c>
      <c r="AO1896" s="134"/>
      <c r="AP1896" s="135">
        <v>1274</v>
      </c>
      <c r="AQ1896" s="136"/>
      <c r="AR1896" s="118">
        <v>1510000</v>
      </c>
      <c r="AS1896" s="119"/>
      <c r="AT1896" s="118">
        <f>AR1896*0.1</f>
        <v>151000</v>
      </c>
      <c r="AU1896" s="119"/>
      <c r="AV1896" s="118">
        <v>11650</v>
      </c>
      <c r="AW1896" s="119"/>
      <c r="AX1896" s="118">
        <f>SUM(AR1896:AW1896)</f>
        <v>1672650</v>
      </c>
      <c r="AY1896" s="119"/>
      <c r="AZ1896" s="137">
        <v>45965</v>
      </c>
    </row>
    <row r="1897" spans="1:52" ht="17.100000000000001" customHeight="1" thickBot="1">
      <c r="A1897" s="110"/>
      <c r="B1897" s="27" t="s">
        <v>1718</v>
      </c>
      <c r="C1897" s="27" t="s">
        <v>5549</v>
      </c>
      <c r="D1897" s="14" t="s">
        <v>2800</v>
      </c>
      <c r="E1897" s="112"/>
      <c r="F1897" s="139" t="s">
        <v>5550</v>
      </c>
      <c r="G1897" s="140"/>
      <c r="H1897" s="141"/>
      <c r="I1897" s="26">
        <v>11764</v>
      </c>
      <c r="J1897" s="117"/>
      <c r="K1897" s="120"/>
      <c r="L1897" s="121"/>
      <c r="M1897" s="120"/>
      <c r="N1897" s="121"/>
      <c r="O1897" s="120"/>
      <c r="P1897" s="121"/>
      <c r="Q1897" s="120"/>
      <c r="R1897" s="121"/>
      <c r="S1897" s="120"/>
      <c r="T1897" s="121"/>
      <c r="U1897" s="120"/>
      <c r="V1897" s="123"/>
      <c r="W1897" s="125"/>
      <c r="X1897" s="142" t="s">
        <v>7368</v>
      </c>
      <c r="Y1897" s="143"/>
      <c r="Z1897" s="143"/>
      <c r="AA1897" s="143"/>
      <c r="AB1897" s="144"/>
      <c r="AC1897" s="16" t="s">
        <v>21</v>
      </c>
      <c r="AD1897" s="17" t="s">
        <v>2156</v>
      </c>
      <c r="AE1897" s="145" t="s">
        <v>1742</v>
      </c>
      <c r="AF1897" s="146"/>
      <c r="AG1897" s="146"/>
      <c r="AH1897" s="146"/>
      <c r="AI1897" s="147"/>
      <c r="AJ1897" s="148"/>
      <c r="AK1897" s="143"/>
      <c r="AL1897" s="144"/>
      <c r="AM1897" s="22"/>
      <c r="AN1897" s="149" t="s">
        <v>7284</v>
      </c>
      <c r="AO1897" s="144"/>
      <c r="AP1897" s="148">
        <v>55082</v>
      </c>
      <c r="AQ1897" s="144"/>
      <c r="AR1897" s="120"/>
      <c r="AS1897" s="121"/>
      <c r="AT1897" s="120"/>
      <c r="AU1897" s="121"/>
      <c r="AV1897" s="120"/>
      <c r="AW1897" s="121"/>
      <c r="AX1897" s="120"/>
      <c r="AY1897" s="121"/>
      <c r="AZ1897" s="138"/>
    </row>
    <row r="1898" spans="1:52" ht="17.100000000000001" customHeight="1" thickTop="1">
      <c r="A1898" s="109" t="s">
        <v>6684</v>
      </c>
      <c r="B1898" s="28">
        <v>45929</v>
      </c>
      <c r="C1898" s="25"/>
      <c r="D1898" s="13" t="s">
        <v>1870</v>
      </c>
      <c r="E1898" s="111"/>
      <c r="F1898" s="113" t="s">
        <v>5551</v>
      </c>
      <c r="G1898" s="114"/>
      <c r="H1898" s="115"/>
      <c r="I1898" s="24" t="s">
        <v>5552</v>
      </c>
      <c r="J1898" s="150" t="s">
        <v>1715</v>
      </c>
      <c r="K1898" s="118">
        <f>759000/1.1</f>
        <v>690000</v>
      </c>
      <c r="L1898" s="119"/>
      <c r="M1898" s="118">
        <f>K1898*0.1</f>
        <v>69000</v>
      </c>
      <c r="N1898" s="119"/>
      <c r="O1898" s="118">
        <v>36600</v>
      </c>
      <c r="P1898" s="119"/>
      <c r="Q1898" s="118">
        <v>14980</v>
      </c>
      <c r="R1898" s="119"/>
      <c r="S1898" s="118">
        <v>66000</v>
      </c>
      <c r="T1898" s="119"/>
      <c r="U1898" s="118">
        <f>SUM(K1898:T1899)</f>
        <v>876580</v>
      </c>
      <c r="V1898" s="122"/>
      <c r="W1898" s="124"/>
      <c r="X1898" s="126" t="s">
        <v>7974</v>
      </c>
      <c r="Y1898" s="127"/>
      <c r="Z1898" s="127"/>
      <c r="AA1898" s="127"/>
      <c r="AB1898" s="128"/>
      <c r="AC1898" s="15" t="s">
        <v>20</v>
      </c>
      <c r="AD1898" s="129" t="s">
        <v>171</v>
      </c>
      <c r="AE1898" s="130"/>
      <c r="AF1898" s="130"/>
      <c r="AG1898" s="130"/>
      <c r="AH1898" s="130"/>
      <c r="AI1898" s="131"/>
      <c r="AJ1898" s="132"/>
      <c r="AK1898" s="127"/>
      <c r="AL1898" s="128"/>
      <c r="AM1898" s="21"/>
      <c r="AN1898" s="133">
        <v>45948</v>
      </c>
      <c r="AO1898" s="134"/>
      <c r="AP1898" s="135">
        <v>1272</v>
      </c>
      <c r="AQ1898" s="136"/>
      <c r="AR1898" s="118">
        <v>770000</v>
      </c>
      <c r="AS1898" s="119"/>
      <c r="AT1898" s="118">
        <f>AR1898*0.1</f>
        <v>77000</v>
      </c>
      <c r="AU1898" s="119"/>
      <c r="AV1898" s="118">
        <v>14980</v>
      </c>
      <c r="AW1898" s="119"/>
      <c r="AX1898" s="118">
        <f>SUM(AR1898:AW1898)</f>
        <v>861980</v>
      </c>
      <c r="AY1898" s="119"/>
      <c r="AZ1898" s="137">
        <v>45951</v>
      </c>
    </row>
    <row r="1899" spans="1:52" ht="17.100000000000001" customHeight="1" thickBot="1">
      <c r="A1899" s="110"/>
      <c r="B1899" s="27" t="s">
        <v>1718</v>
      </c>
      <c r="C1899" s="27" t="s">
        <v>5553</v>
      </c>
      <c r="D1899" s="14" t="s">
        <v>2601</v>
      </c>
      <c r="E1899" s="112"/>
      <c r="F1899" s="139" t="s">
        <v>5554</v>
      </c>
      <c r="G1899" s="140"/>
      <c r="H1899" s="141"/>
      <c r="I1899" s="26">
        <v>136654</v>
      </c>
      <c r="J1899" s="117"/>
      <c r="K1899" s="120"/>
      <c r="L1899" s="121"/>
      <c r="M1899" s="120"/>
      <c r="N1899" s="121"/>
      <c r="O1899" s="120"/>
      <c r="P1899" s="121"/>
      <c r="Q1899" s="120"/>
      <c r="R1899" s="121"/>
      <c r="S1899" s="120"/>
      <c r="T1899" s="121"/>
      <c r="U1899" s="120"/>
      <c r="V1899" s="123"/>
      <c r="W1899" s="125"/>
      <c r="X1899" s="142" t="s">
        <v>7975</v>
      </c>
      <c r="Y1899" s="143"/>
      <c r="Z1899" s="143"/>
      <c r="AA1899" s="143"/>
      <c r="AB1899" s="144"/>
      <c r="AC1899" s="16" t="s">
        <v>21</v>
      </c>
      <c r="AD1899" s="17" t="s">
        <v>2604</v>
      </c>
      <c r="AE1899" s="145" t="s">
        <v>8248</v>
      </c>
      <c r="AF1899" s="146"/>
      <c r="AG1899" s="146"/>
      <c r="AH1899" s="146"/>
      <c r="AI1899" s="147"/>
      <c r="AJ1899" s="148"/>
      <c r="AK1899" s="143"/>
      <c r="AL1899" s="144"/>
      <c r="AM1899" s="22"/>
      <c r="AN1899" s="149" t="s">
        <v>2511</v>
      </c>
      <c r="AO1899" s="144"/>
      <c r="AP1899" s="148">
        <v>33005</v>
      </c>
      <c r="AQ1899" s="144"/>
      <c r="AR1899" s="120"/>
      <c r="AS1899" s="121"/>
      <c r="AT1899" s="120"/>
      <c r="AU1899" s="121"/>
      <c r="AV1899" s="120"/>
      <c r="AW1899" s="121"/>
      <c r="AX1899" s="120"/>
      <c r="AY1899" s="121"/>
      <c r="AZ1899" s="138"/>
    </row>
    <row r="1900" spans="1:52" ht="17.100000000000001" customHeight="1" thickTop="1">
      <c r="A1900" s="109" t="s">
        <v>6685</v>
      </c>
      <c r="B1900" s="28">
        <v>45929</v>
      </c>
      <c r="C1900" s="25"/>
      <c r="D1900" s="13" t="s">
        <v>859</v>
      </c>
      <c r="E1900" s="111"/>
      <c r="F1900" s="113" t="s">
        <v>5555</v>
      </c>
      <c r="G1900" s="114"/>
      <c r="H1900" s="115"/>
      <c r="I1900" s="24" t="s">
        <v>3585</v>
      </c>
      <c r="J1900" s="116">
        <v>4</v>
      </c>
      <c r="K1900" s="118">
        <f>2618000/1.1</f>
        <v>2380000</v>
      </c>
      <c r="L1900" s="119"/>
      <c r="M1900" s="118">
        <f>K1900*0.1</f>
        <v>238000</v>
      </c>
      <c r="N1900" s="119"/>
      <c r="O1900" s="118">
        <v>12700</v>
      </c>
      <c r="P1900" s="119"/>
      <c r="Q1900" s="118">
        <v>10230</v>
      </c>
      <c r="R1900" s="119"/>
      <c r="S1900" s="118">
        <v>120450</v>
      </c>
      <c r="T1900" s="119"/>
      <c r="U1900" s="118">
        <f>SUM(K1900:T1901)</f>
        <v>2761380</v>
      </c>
      <c r="V1900" s="122"/>
      <c r="W1900" s="124"/>
      <c r="X1900" s="126" t="s">
        <v>8443</v>
      </c>
      <c r="Y1900" s="127"/>
      <c r="Z1900" s="127"/>
      <c r="AA1900" s="127"/>
      <c r="AB1900" s="128"/>
      <c r="AC1900" s="15" t="s">
        <v>20</v>
      </c>
      <c r="AD1900" s="129" t="s">
        <v>1945</v>
      </c>
      <c r="AE1900" s="130"/>
      <c r="AF1900" s="130"/>
      <c r="AG1900" s="130"/>
      <c r="AH1900" s="130"/>
      <c r="AI1900" s="131"/>
      <c r="AJ1900" s="132"/>
      <c r="AK1900" s="127"/>
      <c r="AL1900" s="128"/>
      <c r="AM1900" s="21"/>
      <c r="AN1900" s="133">
        <v>45955</v>
      </c>
      <c r="AO1900" s="134"/>
      <c r="AP1900" s="135">
        <v>1273</v>
      </c>
      <c r="AQ1900" s="136"/>
      <c r="AR1900" s="118">
        <v>2795000</v>
      </c>
      <c r="AS1900" s="119"/>
      <c r="AT1900" s="118">
        <f>AR1900*0.1</f>
        <v>279500</v>
      </c>
      <c r="AU1900" s="119"/>
      <c r="AV1900" s="118">
        <v>10230</v>
      </c>
      <c r="AW1900" s="119"/>
      <c r="AX1900" s="118">
        <f>SUM(AR1900:AW1900)</f>
        <v>3084730</v>
      </c>
      <c r="AY1900" s="119"/>
      <c r="AZ1900" s="137">
        <v>45958</v>
      </c>
    </row>
    <row r="1901" spans="1:52" ht="17.100000000000001" customHeight="1" thickBot="1">
      <c r="A1901" s="110"/>
      <c r="B1901" s="27" t="s">
        <v>1718</v>
      </c>
      <c r="C1901" s="27" t="s">
        <v>5556</v>
      </c>
      <c r="D1901" s="14" t="s">
        <v>2601</v>
      </c>
      <c r="E1901" s="112"/>
      <c r="F1901" s="139" t="s">
        <v>5557</v>
      </c>
      <c r="G1901" s="140"/>
      <c r="H1901" s="141"/>
      <c r="I1901" s="26">
        <v>54199</v>
      </c>
      <c r="J1901" s="117"/>
      <c r="K1901" s="120"/>
      <c r="L1901" s="121"/>
      <c r="M1901" s="120"/>
      <c r="N1901" s="121"/>
      <c r="O1901" s="120"/>
      <c r="P1901" s="121"/>
      <c r="Q1901" s="120"/>
      <c r="R1901" s="121"/>
      <c r="S1901" s="120"/>
      <c r="T1901" s="121"/>
      <c r="U1901" s="120"/>
      <c r="V1901" s="123"/>
      <c r="W1901" s="125"/>
      <c r="X1901" s="142" t="s">
        <v>8444</v>
      </c>
      <c r="Y1901" s="143"/>
      <c r="Z1901" s="143"/>
      <c r="AA1901" s="143"/>
      <c r="AB1901" s="144"/>
      <c r="AC1901" s="16" t="s">
        <v>21</v>
      </c>
      <c r="AD1901" s="17" t="s">
        <v>1638</v>
      </c>
      <c r="AE1901" s="145" t="s">
        <v>1614</v>
      </c>
      <c r="AF1901" s="146"/>
      <c r="AG1901" s="146"/>
      <c r="AH1901" s="146"/>
      <c r="AI1901" s="147"/>
      <c r="AJ1901" s="148"/>
      <c r="AK1901" s="143"/>
      <c r="AL1901" s="144"/>
      <c r="AM1901" s="22"/>
      <c r="AN1901" s="149" t="s">
        <v>7284</v>
      </c>
      <c r="AO1901" s="144"/>
      <c r="AP1901" s="148">
        <v>37803</v>
      </c>
      <c r="AQ1901" s="144"/>
      <c r="AR1901" s="120"/>
      <c r="AS1901" s="121"/>
      <c r="AT1901" s="120"/>
      <c r="AU1901" s="121"/>
      <c r="AV1901" s="120"/>
      <c r="AW1901" s="121"/>
      <c r="AX1901" s="120"/>
      <c r="AY1901" s="121"/>
      <c r="AZ1901" s="138"/>
    </row>
    <row r="1902" spans="1:52" ht="17.100000000000001" customHeight="1" thickTop="1">
      <c r="A1902" s="109" t="s">
        <v>6686</v>
      </c>
      <c r="B1902" s="28">
        <v>45930</v>
      </c>
      <c r="C1902" s="25">
        <v>1911</v>
      </c>
      <c r="D1902" s="13" t="s">
        <v>2941</v>
      </c>
      <c r="E1902" s="111"/>
      <c r="F1902" s="113" t="s">
        <v>5694</v>
      </c>
      <c r="G1902" s="114"/>
      <c r="H1902" s="115"/>
      <c r="I1902" s="24" t="s">
        <v>2943</v>
      </c>
      <c r="J1902" s="116">
        <v>4</v>
      </c>
      <c r="K1902" s="118">
        <v>1180000</v>
      </c>
      <c r="L1902" s="119"/>
      <c r="M1902" s="118">
        <f>K1902*0.1</f>
        <v>118000</v>
      </c>
      <c r="N1902" s="119"/>
      <c r="O1902" s="118">
        <v>0</v>
      </c>
      <c r="P1902" s="119"/>
      <c r="Q1902" s="118">
        <v>7500</v>
      </c>
      <c r="R1902" s="119"/>
      <c r="S1902" s="118">
        <v>20900</v>
      </c>
      <c r="T1902" s="119"/>
      <c r="U1902" s="118">
        <f>SUM(K1902:T1903)</f>
        <v>1326400</v>
      </c>
      <c r="V1902" s="122"/>
      <c r="W1902" s="124"/>
      <c r="X1902" s="126" t="s">
        <v>6718</v>
      </c>
      <c r="Y1902" s="127"/>
      <c r="Z1902" s="127"/>
      <c r="AA1902" s="127"/>
      <c r="AB1902" s="128"/>
      <c r="AC1902" s="15" t="s">
        <v>20</v>
      </c>
      <c r="AD1902" s="129"/>
      <c r="AE1902" s="130"/>
      <c r="AF1902" s="130"/>
      <c r="AG1902" s="130"/>
      <c r="AH1902" s="130"/>
      <c r="AI1902" s="131"/>
      <c r="AJ1902" s="132"/>
      <c r="AK1902" s="127"/>
      <c r="AL1902" s="128"/>
      <c r="AM1902" s="21" t="s">
        <v>7707</v>
      </c>
      <c r="AN1902" s="133">
        <v>45948</v>
      </c>
      <c r="AO1902" s="134"/>
      <c r="AP1902" s="135">
        <v>1272</v>
      </c>
      <c r="AQ1902" s="136"/>
      <c r="AR1902" s="118">
        <v>1190000</v>
      </c>
      <c r="AS1902" s="119"/>
      <c r="AT1902" s="118">
        <f>AR1902*0.1</f>
        <v>119000</v>
      </c>
      <c r="AU1902" s="119"/>
      <c r="AV1902" s="118">
        <v>7500</v>
      </c>
      <c r="AW1902" s="119"/>
      <c r="AX1902" s="118">
        <f>SUM(AR1902:AW1902)</f>
        <v>1316500</v>
      </c>
      <c r="AY1902" s="119"/>
      <c r="AZ1902" s="137">
        <v>45951</v>
      </c>
    </row>
    <row r="1903" spans="1:52" ht="17.100000000000001" customHeight="1" thickBot="1">
      <c r="A1903" s="110"/>
      <c r="B1903" s="27" t="s">
        <v>2131</v>
      </c>
      <c r="C1903" s="27">
        <v>3203</v>
      </c>
      <c r="D1903" s="14" t="s">
        <v>275</v>
      </c>
      <c r="E1903" s="112"/>
      <c r="F1903" s="139" t="s">
        <v>5695</v>
      </c>
      <c r="G1903" s="140"/>
      <c r="H1903" s="141"/>
      <c r="I1903" s="26">
        <v>46770</v>
      </c>
      <c r="J1903" s="117"/>
      <c r="K1903" s="120"/>
      <c r="L1903" s="121"/>
      <c r="M1903" s="120"/>
      <c r="N1903" s="121"/>
      <c r="O1903" s="120"/>
      <c r="P1903" s="121"/>
      <c r="Q1903" s="120"/>
      <c r="R1903" s="121"/>
      <c r="S1903" s="120"/>
      <c r="T1903" s="121"/>
      <c r="U1903" s="120"/>
      <c r="V1903" s="123"/>
      <c r="W1903" s="125"/>
      <c r="X1903" s="142" t="s">
        <v>4318</v>
      </c>
      <c r="Y1903" s="143"/>
      <c r="Z1903" s="143"/>
      <c r="AA1903" s="143"/>
      <c r="AB1903" s="144"/>
      <c r="AC1903" s="16" t="s">
        <v>21</v>
      </c>
      <c r="AD1903" s="17" t="s">
        <v>2156</v>
      </c>
      <c r="AE1903" s="145" t="s">
        <v>2832</v>
      </c>
      <c r="AF1903" s="146"/>
      <c r="AG1903" s="146"/>
      <c r="AH1903" s="146"/>
      <c r="AI1903" s="147"/>
      <c r="AJ1903" s="148"/>
      <c r="AK1903" s="143"/>
      <c r="AL1903" s="144"/>
      <c r="AM1903" s="22"/>
      <c r="AN1903" s="149" t="s">
        <v>7284</v>
      </c>
      <c r="AO1903" s="144"/>
      <c r="AP1903" s="148">
        <v>60155</v>
      </c>
      <c r="AQ1903" s="144"/>
      <c r="AR1903" s="120"/>
      <c r="AS1903" s="121"/>
      <c r="AT1903" s="120"/>
      <c r="AU1903" s="121"/>
      <c r="AV1903" s="120"/>
      <c r="AW1903" s="121"/>
      <c r="AX1903" s="120"/>
      <c r="AY1903" s="121"/>
      <c r="AZ1903" s="138"/>
    </row>
    <row r="1904" spans="1:52" ht="17.100000000000001" customHeight="1" thickTop="1">
      <c r="A1904" s="109" t="s">
        <v>6687</v>
      </c>
      <c r="B1904" s="28">
        <v>45930</v>
      </c>
      <c r="C1904" s="25">
        <v>1911</v>
      </c>
      <c r="D1904" s="13" t="s">
        <v>1920</v>
      </c>
      <c r="E1904" s="111"/>
      <c r="F1904" s="113" t="s">
        <v>5696</v>
      </c>
      <c r="G1904" s="114"/>
      <c r="H1904" s="115"/>
      <c r="I1904" s="24"/>
      <c r="J1904" s="116">
        <v>4</v>
      </c>
      <c r="K1904" s="118">
        <v>200000</v>
      </c>
      <c r="L1904" s="119"/>
      <c r="M1904" s="118">
        <f>K1904*0.1</f>
        <v>20000</v>
      </c>
      <c r="N1904" s="119"/>
      <c r="O1904" s="118">
        <v>0</v>
      </c>
      <c r="P1904" s="119"/>
      <c r="Q1904" s="118">
        <v>7320</v>
      </c>
      <c r="R1904" s="119"/>
      <c r="S1904" s="118">
        <v>15950</v>
      </c>
      <c r="T1904" s="119"/>
      <c r="U1904" s="118">
        <f>SUM(K1904:T1905)</f>
        <v>243270</v>
      </c>
      <c r="V1904" s="122"/>
      <c r="W1904" s="124"/>
      <c r="X1904" s="126" t="s">
        <v>7374</v>
      </c>
      <c r="Y1904" s="127"/>
      <c r="Z1904" s="127"/>
      <c r="AA1904" s="127"/>
      <c r="AB1904" s="128"/>
      <c r="AC1904" s="15" t="s">
        <v>20</v>
      </c>
      <c r="AD1904" s="129"/>
      <c r="AE1904" s="130"/>
      <c r="AF1904" s="130"/>
      <c r="AG1904" s="130"/>
      <c r="AH1904" s="130"/>
      <c r="AI1904" s="131"/>
      <c r="AJ1904" s="132"/>
      <c r="AK1904" s="127"/>
      <c r="AL1904" s="128"/>
      <c r="AM1904" s="21"/>
      <c r="AN1904" s="133">
        <v>45941</v>
      </c>
      <c r="AO1904" s="134"/>
      <c r="AP1904" s="135">
        <v>1271</v>
      </c>
      <c r="AQ1904" s="136"/>
      <c r="AR1904" s="118">
        <v>270000</v>
      </c>
      <c r="AS1904" s="119"/>
      <c r="AT1904" s="118">
        <f>AR1904*0.1</f>
        <v>27000</v>
      </c>
      <c r="AU1904" s="119"/>
      <c r="AV1904" s="118">
        <v>7320</v>
      </c>
      <c r="AW1904" s="119"/>
      <c r="AX1904" s="118">
        <f>SUM(AR1904:AW1904)</f>
        <v>304320</v>
      </c>
      <c r="AY1904" s="119"/>
      <c r="AZ1904" s="137">
        <v>45950</v>
      </c>
    </row>
    <row r="1905" spans="1:52" ht="17.100000000000001" customHeight="1" thickBot="1">
      <c r="A1905" s="110"/>
      <c r="B1905" s="27" t="s">
        <v>2131</v>
      </c>
      <c r="C1905" s="27">
        <v>3273</v>
      </c>
      <c r="D1905" s="14" t="s">
        <v>3809</v>
      </c>
      <c r="E1905" s="112"/>
      <c r="F1905" s="139" t="s">
        <v>5697</v>
      </c>
      <c r="G1905" s="140"/>
      <c r="H1905" s="141"/>
      <c r="I1905" s="26">
        <v>56005</v>
      </c>
      <c r="J1905" s="117"/>
      <c r="K1905" s="120"/>
      <c r="L1905" s="121"/>
      <c r="M1905" s="120"/>
      <c r="N1905" s="121"/>
      <c r="O1905" s="120"/>
      <c r="P1905" s="121"/>
      <c r="Q1905" s="120"/>
      <c r="R1905" s="121"/>
      <c r="S1905" s="120"/>
      <c r="T1905" s="121"/>
      <c r="U1905" s="120"/>
      <c r="V1905" s="123"/>
      <c r="W1905" s="125"/>
      <c r="X1905" s="142" t="s">
        <v>5250</v>
      </c>
      <c r="Y1905" s="143"/>
      <c r="Z1905" s="143"/>
      <c r="AA1905" s="143"/>
      <c r="AB1905" s="144"/>
      <c r="AC1905" s="16" t="s">
        <v>21</v>
      </c>
      <c r="AD1905" s="17" t="s">
        <v>2156</v>
      </c>
      <c r="AE1905" s="145"/>
      <c r="AF1905" s="146"/>
      <c r="AG1905" s="146"/>
      <c r="AH1905" s="146"/>
      <c r="AI1905" s="147"/>
      <c r="AJ1905" s="148"/>
      <c r="AK1905" s="143"/>
      <c r="AL1905" s="144"/>
      <c r="AM1905" s="22"/>
      <c r="AN1905" s="149" t="s">
        <v>6748</v>
      </c>
      <c r="AO1905" s="144"/>
      <c r="AP1905" s="148">
        <v>60098</v>
      </c>
      <c r="AQ1905" s="144"/>
      <c r="AR1905" s="120"/>
      <c r="AS1905" s="121"/>
      <c r="AT1905" s="120"/>
      <c r="AU1905" s="121"/>
      <c r="AV1905" s="120"/>
      <c r="AW1905" s="121"/>
      <c r="AX1905" s="120"/>
      <c r="AY1905" s="121"/>
      <c r="AZ1905" s="138"/>
    </row>
    <row r="1906" spans="1:52" ht="17.100000000000001" customHeight="1" thickTop="1">
      <c r="A1906" s="109" t="s">
        <v>6688</v>
      </c>
      <c r="B1906" s="28">
        <v>45930</v>
      </c>
      <c r="C1906" s="25">
        <v>1911</v>
      </c>
      <c r="D1906" s="13" t="s">
        <v>1958</v>
      </c>
      <c r="E1906" s="111"/>
      <c r="F1906" s="113" t="s">
        <v>5698</v>
      </c>
      <c r="G1906" s="114"/>
      <c r="H1906" s="115"/>
      <c r="I1906" s="24" t="s">
        <v>2919</v>
      </c>
      <c r="J1906" s="116">
        <v>4.5</v>
      </c>
      <c r="K1906" s="118">
        <v>1321000</v>
      </c>
      <c r="L1906" s="119"/>
      <c r="M1906" s="118">
        <f>K1906*0.1</f>
        <v>132100</v>
      </c>
      <c r="N1906" s="119"/>
      <c r="O1906" s="118">
        <v>18920</v>
      </c>
      <c r="P1906" s="119"/>
      <c r="Q1906" s="118">
        <v>19090</v>
      </c>
      <c r="R1906" s="119"/>
      <c r="S1906" s="118">
        <v>15950</v>
      </c>
      <c r="T1906" s="119"/>
      <c r="U1906" s="118">
        <f>SUM(K1906:T1907)</f>
        <v>1507060</v>
      </c>
      <c r="V1906" s="122"/>
      <c r="W1906" s="124"/>
      <c r="X1906" s="126" t="s">
        <v>6720</v>
      </c>
      <c r="Y1906" s="127"/>
      <c r="Z1906" s="127"/>
      <c r="AA1906" s="127"/>
      <c r="AB1906" s="128"/>
      <c r="AC1906" s="15" t="s">
        <v>20</v>
      </c>
      <c r="AD1906" s="129"/>
      <c r="AE1906" s="130"/>
      <c r="AF1906" s="130"/>
      <c r="AG1906" s="130"/>
      <c r="AH1906" s="130"/>
      <c r="AI1906" s="131"/>
      <c r="AJ1906" s="132"/>
      <c r="AK1906" s="127"/>
      <c r="AL1906" s="128"/>
      <c r="AM1906" s="21"/>
      <c r="AN1906" s="133">
        <v>45941</v>
      </c>
      <c r="AO1906" s="134"/>
      <c r="AP1906" s="135">
        <v>1271</v>
      </c>
      <c r="AQ1906" s="136"/>
      <c r="AR1906" s="118">
        <v>1425000</v>
      </c>
      <c r="AS1906" s="119"/>
      <c r="AT1906" s="118">
        <v>142500</v>
      </c>
      <c r="AU1906" s="119"/>
      <c r="AV1906" s="118">
        <v>19090</v>
      </c>
      <c r="AW1906" s="119"/>
      <c r="AX1906" s="118">
        <f>SUM(AR1906:AW1906)</f>
        <v>1586590</v>
      </c>
      <c r="AY1906" s="119"/>
      <c r="AZ1906" s="137">
        <v>45944</v>
      </c>
    </row>
    <row r="1907" spans="1:52" ht="17.100000000000001" customHeight="1" thickBot="1">
      <c r="A1907" s="110"/>
      <c r="B1907" s="27" t="s">
        <v>2131</v>
      </c>
      <c r="C1907" s="27">
        <v>5033</v>
      </c>
      <c r="D1907" s="14" t="s">
        <v>3327</v>
      </c>
      <c r="E1907" s="112"/>
      <c r="F1907" s="139" t="s">
        <v>6719</v>
      </c>
      <c r="G1907" s="140"/>
      <c r="H1907" s="141"/>
      <c r="I1907" s="26">
        <v>32348</v>
      </c>
      <c r="J1907" s="117"/>
      <c r="K1907" s="120"/>
      <c r="L1907" s="121"/>
      <c r="M1907" s="120"/>
      <c r="N1907" s="121"/>
      <c r="O1907" s="120"/>
      <c r="P1907" s="121"/>
      <c r="Q1907" s="120"/>
      <c r="R1907" s="121"/>
      <c r="S1907" s="120"/>
      <c r="T1907" s="121"/>
      <c r="U1907" s="120"/>
      <c r="V1907" s="123"/>
      <c r="W1907" s="125"/>
      <c r="X1907" s="142" t="s">
        <v>7364</v>
      </c>
      <c r="Y1907" s="143"/>
      <c r="Z1907" s="143"/>
      <c r="AA1907" s="143"/>
      <c r="AB1907" s="144"/>
      <c r="AC1907" s="16" t="s">
        <v>21</v>
      </c>
      <c r="AD1907" s="17" t="s">
        <v>2156</v>
      </c>
      <c r="AE1907" s="145" t="s">
        <v>7851</v>
      </c>
      <c r="AF1907" s="146"/>
      <c r="AG1907" s="146"/>
      <c r="AH1907" s="146"/>
      <c r="AI1907" s="147"/>
      <c r="AJ1907" s="148" t="s">
        <v>7852</v>
      </c>
      <c r="AK1907" s="143"/>
      <c r="AL1907" s="144"/>
      <c r="AM1907" s="22"/>
      <c r="AN1907" s="149" t="s">
        <v>7284</v>
      </c>
      <c r="AO1907" s="144"/>
      <c r="AP1907" s="148">
        <v>80015</v>
      </c>
      <c r="AQ1907" s="144"/>
      <c r="AR1907" s="120"/>
      <c r="AS1907" s="121"/>
      <c r="AT1907" s="120"/>
      <c r="AU1907" s="121"/>
      <c r="AV1907" s="120"/>
      <c r="AW1907" s="121"/>
      <c r="AX1907" s="120"/>
      <c r="AY1907" s="121"/>
      <c r="AZ1907" s="138"/>
    </row>
    <row r="1908" spans="1:52" ht="17.100000000000001" customHeight="1" thickTop="1">
      <c r="A1908" s="109" t="s">
        <v>6689</v>
      </c>
      <c r="B1908" s="28">
        <v>45930</v>
      </c>
      <c r="C1908" s="25">
        <v>1911</v>
      </c>
      <c r="D1908" s="13" t="s">
        <v>1631</v>
      </c>
      <c r="E1908" s="111"/>
      <c r="F1908" s="113" t="s">
        <v>5699</v>
      </c>
      <c r="G1908" s="114"/>
      <c r="H1908" s="115"/>
      <c r="I1908" s="24"/>
      <c r="J1908" s="116">
        <v>4.5</v>
      </c>
      <c r="K1908" s="118">
        <v>1107000</v>
      </c>
      <c r="L1908" s="119"/>
      <c r="M1908" s="118">
        <f>K1908*0.1</f>
        <v>110700</v>
      </c>
      <c r="N1908" s="119"/>
      <c r="O1908" s="118">
        <v>0</v>
      </c>
      <c r="P1908" s="119"/>
      <c r="Q1908" s="118">
        <v>7150</v>
      </c>
      <c r="R1908" s="119"/>
      <c r="S1908" s="118">
        <v>15950</v>
      </c>
      <c r="T1908" s="119"/>
      <c r="U1908" s="118">
        <f>SUM(K1908:T1909)</f>
        <v>1240800</v>
      </c>
      <c r="V1908" s="122"/>
      <c r="W1908" s="124"/>
      <c r="X1908" s="126" t="s">
        <v>7126</v>
      </c>
      <c r="Y1908" s="127"/>
      <c r="Z1908" s="127"/>
      <c r="AA1908" s="127"/>
      <c r="AB1908" s="128"/>
      <c r="AC1908" s="15" t="s">
        <v>20</v>
      </c>
      <c r="AD1908" s="129" t="s">
        <v>171</v>
      </c>
      <c r="AE1908" s="130"/>
      <c r="AF1908" s="130"/>
      <c r="AG1908" s="130"/>
      <c r="AH1908" s="130"/>
      <c r="AI1908" s="131"/>
      <c r="AJ1908" s="132"/>
      <c r="AK1908" s="127"/>
      <c r="AL1908" s="128"/>
      <c r="AM1908" s="21"/>
      <c r="AN1908" s="133">
        <v>45934</v>
      </c>
      <c r="AO1908" s="134"/>
      <c r="AP1908" s="135">
        <v>1270</v>
      </c>
      <c r="AQ1908" s="136"/>
      <c r="AR1908" s="118">
        <v>1170000</v>
      </c>
      <c r="AS1908" s="119"/>
      <c r="AT1908" s="118">
        <f>AR1908*0.1</f>
        <v>117000</v>
      </c>
      <c r="AU1908" s="119"/>
      <c r="AV1908" s="118">
        <v>7150</v>
      </c>
      <c r="AW1908" s="119"/>
      <c r="AX1908" s="118">
        <f>SUM(AR1908:AW1908)</f>
        <v>1294150</v>
      </c>
      <c r="AY1908" s="119"/>
      <c r="AZ1908" s="137">
        <v>45938</v>
      </c>
    </row>
    <row r="1909" spans="1:52" ht="17.100000000000001" customHeight="1" thickBot="1">
      <c r="A1909" s="110"/>
      <c r="B1909" s="27" t="s">
        <v>2131</v>
      </c>
      <c r="C1909" s="27">
        <v>5423</v>
      </c>
      <c r="D1909" s="14" t="s">
        <v>2601</v>
      </c>
      <c r="E1909" s="112"/>
      <c r="F1909" s="139" t="s">
        <v>5700</v>
      </c>
      <c r="G1909" s="140"/>
      <c r="H1909" s="141"/>
      <c r="I1909" s="26">
        <v>51716</v>
      </c>
      <c r="J1909" s="117"/>
      <c r="K1909" s="120"/>
      <c r="L1909" s="121"/>
      <c r="M1909" s="120"/>
      <c r="N1909" s="121"/>
      <c r="O1909" s="120"/>
      <c r="P1909" s="121"/>
      <c r="Q1909" s="120"/>
      <c r="R1909" s="121"/>
      <c r="S1909" s="120"/>
      <c r="T1909" s="121"/>
      <c r="U1909" s="120"/>
      <c r="V1909" s="123"/>
      <c r="W1909" s="125"/>
      <c r="X1909" s="142" t="s">
        <v>7127</v>
      </c>
      <c r="Y1909" s="143"/>
      <c r="Z1909" s="143"/>
      <c r="AA1909" s="143"/>
      <c r="AB1909" s="144"/>
      <c r="AC1909" s="16" t="s">
        <v>21</v>
      </c>
      <c r="AD1909" s="17" t="s">
        <v>2156</v>
      </c>
      <c r="AE1909" s="145" t="s">
        <v>2395</v>
      </c>
      <c r="AF1909" s="146"/>
      <c r="AG1909" s="146"/>
      <c r="AH1909" s="146"/>
      <c r="AI1909" s="147"/>
      <c r="AJ1909" s="148"/>
      <c r="AK1909" s="143"/>
      <c r="AL1909" s="144"/>
      <c r="AM1909" s="22"/>
      <c r="AN1909" s="149" t="s">
        <v>7284</v>
      </c>
      <c r="AO1909" s="144"/>
      <c r="AP1909" s="148">
        <v>60459</v>
      </c>
      <c r="AQ1909" s="144"/>
      <c r="AR1909" s="120"/>
      <c r="AS1909" s="121"/>
      <c r="AT1909" s="120"/>
      <c r="AU1909" s="121"/>
      <c r="AV1909" s="120"/>
      <c r="AW1909" s="121"/>
      <c r="AX1909" s="120"/>
      <c r="AY1909" s="121"/>
      <c r="AZ1909" s="138"/>
    </row>
    <row r="1910" spans="1:52" ht="17.100000000000001" customHeight="1" thickTop="1">
      <c r="A1910" s="109" t="s">
        <v>6690</v>
      </c>
      <c r="B1910" s="28">
        <v>45930</v>
      </c>
      <c r="C1910" s="25">
        <v>1911</v>
      </c>
      <c r="D1910" s="13" t="s">
        <v>1744</v>
      </c>
      <c r="E1910" s="111"/>
      <c r="F1910" s="113" t="s">
        <v>5701</v>
      </c>
      <c r="G1910" s="114"/>
      <c r="H1910" s="115"/>
      <c r="I1910" s="24"/>
      <c r="J1910" s="150" t="s">
        <v>1715</v>
      </c>
      <c r="K1910" s="118">
        <v>293000</v>
      </c>
      <c r="L1910" s="119"/>
      <c r="M1910" s="118">
        <f>K1910*0.1</f>
        <v>29300</v>
      </c>
      <c r="N1910" s="119"/>
      <c r="O1910" s="118">
        <v>0</v>
      </c>
      <c r="P1910" s="119"/>
      <c r="Q1910" s="118">
        <v>8400</v>
      </c>
      <c r="R1910" s="119"/>
      <c r="S1910" s="118">
        <v>15950</v>
      </c>
      <c r="T1910" s="119"/>
      <c r="U1910" s="118">
        <f>SUM(K1910:T1911)</f>
        <v>346650</v>
      </c>
      <c r="V1910" s="122"/>
      <c r="W1910" s="124"/>
      <c r="X1910" s="126" t="s">
        <v>7375</v>
      </c>
      <c r="Y1910" s="127"/>
      <c r="Z1910" s="127"/>
      <c r="AA1910" s="127"/>
      <c r="AB1910" s="128"/>
      <c r="AC1910" s="15" t="s">
        <v>20</v>
      </c>
      <c r="AD1910" s="129"/>
      <c r="AE1910" s="130"/>
      <c r="AF1910" s="130"/>
      <c r="AG1910" s="130"/>
      <c r="AH1910" s="130"/>
      <c r="AI1910" s="131"/>
      <c r="AJ1910" s="132"/>
      <c r="AK1910" s="127"/>
      <c r="AL1910" s="128"/>
      <c r="AM1910" s="21"/>
      <c r="AN1910" s="133">
        <v>45941</v>
      </c>
      <c r="AO1910" s="134"/>
      <c r="AP1910" s="135">
        <v>1271</v>
      </c>
      <c r="AQ1910" s="136"/>
      <c r="AR1910" s="118">
        <v>325000</v>
      </c>
      <c r="AS1910" s="119"/>
      <c r="AT1910" s="118">
        <f>AR1910*0.1</f>
        <v>32500</v>
      </c>
      <c r="AU1910" s="119"/>
      <c r="AV1910" s="118">
        <v>8400</v>
      </c>
      <c r="AW1910" s="119"/>
      <c r="AX1910" s="118">
        <f>SUM(AR1910:AW1910)</f>
        <v>365900</v>
      </c>
      <c r="AY1910" s="119"/>
      <c r="AZ1910" s="137">
        <v>45945</v>
      </c>
    </row>
    <row r="1911" spans="1:52" ht="17.100000000000001" customHeight="1" thickBot="1">
      <c r="A1911" s="110"/>
      <c r="B1911" s="27" t="s">
        <v>2131</v>
      </c>
      <c r="C1911" s="27">
        <v>32048</v>
      </c>
      <c r="D1911" s="14" t="s">
        <v>904</v>
      </c>
      <c r="E1911" s="112"/>
      <c r="F1911" s="139" t="s">
        <v>5702</v>
      </c>
      <c r="G1911" s="140"/>
      <c r="H1911" s="141"/>
      <c r="I1911" s="26">
        <v>75988</v>
      </c>
      <c r="J1911" s="117"/>
      <c r="K1911" s="120"/>
      <c r="L1911" s="121"/>
      <c r="M1911" s="120"/>
      <c r="N1911" s="121"/>
      <c r="O1911" s="120"/>
      <c r="P1911" s="121"/>
      <c r="Q1911" s="120"/>
      <c r="R1911" s="121"/>
      <c r="S1911" s="120"/>
      <c r="T1911" s="121"/>
      <c r="U1911" s="120"/>
      <c r="V1911" s="123"/>
      <c r="W1911" s="125"/>
      <c r="X1911" s="142" t="s">
        <v>3390</v>
      </c>
      <c r="Y1911" s="143"/>
      <c r="Z1911" s="143"/>
      <c r="AA1911" s="143"/>
      <c r="AB1911" s="144"/>
      <c r="AC1911" s="16" t="s">
        <v>21</v>
      </c>
      <c r="AD1911" s="17" t="s">
        <v>2156</v>
      </c>
      <c r="AE1911" s="145"/>
      <c r="AF1911" s="146"/>
      <c r="AG1911" s="146"/>
      <c r="AH1911" s="146"/>
      <c r="AI1911" s="147"/>
      <c r="AJ1911" s="148"/>
      <c r="AK1911" s="143"/>
      <c r="AL1911" s="144"/>
      <c r="AM1911" s="22"/>
      <c r="AN1911" s="149" t="s">
        <v>7284</v>
      </c>
      <c r="AO1911" s="144"/>
      <c r="AP1911" s="148">
        <v>60156</v>
      </c>
      <c r="AQ1911" s="144"/>
      <c r="AR1911" s="120"/>
      <c r="AS1911" s="121"/>
      <c r="AT1911" s="120"/>
      <c r="AU1911" s="121"/>
      <c r="AV1911" s="120"/>
      <c r="AW1911" s="121"/>
      <c r="AX1911" s="120"/>
      <c r="AY1911" s="121"/>
      <c r="AZ1911" s="138"/>
    </row>
    <row r="1912" spans="1:52" ht="17.100000000000001" customHeight="1" thickTop="1">
      <c r="A1912" s="109" t="s">
        <v>6691</v>
      </c>
      <c r="B1912" s="28">
        <v>45930</v>
      </c>
      <c r="C1912" s="25">
        <v>1911</v>
      </c>
      <c r="D1912" s="13" t="s">
        <v>3469</v>
      </c>
      <c r="E1912" s="111"/>
      <c r="F1912" s="113" t="s">
        <v>5703</v>
      </c>
      <c r="G1912" s="114"/>
      <c r="H1912" s="115"/>
      <c r="I1912" s="24"/>
      <c r="J1912" s="116">
        <v>4</v>
      </c>
      <c r="K1912" s="118">
        <v>283000</v>
      </c>
      <c r="L1912" s="119"/>
      <c r="M1912" s="118">
        <f>K1912*0.1</f>
        <v>28300</v>
      </c>
      <c r="N1912" s="119"/>
      <c r="O1912" s="118">
        <v>0</v>
      </c>
      <c r="P1912" s="119"/>
      <c r="Q1912" s="118">
        <v>9670</v>
      </c>
      <c r="R1912" s="119"/>
      <c r="S1912" s="118">
        <v>15950</v>
      </c>
      <c r="T1912" s="119"/>
      <c r="U1912" s="118">
        <f>SUM(K1912:T1913)</f>
        <v>336920</v>
      </c>
      <c r="V1912" s="122"/>
      <c r="W1912" s="124"/>
      <c r="X1912" s="126" t="s">
        <v>7125</v>
      </c>
      <c r="Y1912" s="127"/>
      <c r="Z1912" s="127"/>
      <c r="AA1912" s="127"/>
      <c r="AB1912" s="128"/>
      <c r="AC1912" s="15" t="s">
        <v>20</v>
      </c>
      <c r="AD1912" s="129"/>
      <c r="AE1912" s="130"/>
      <c r="AF1912" s="130"/>
      <c r="AG1912" s="130"/>
      <c r="AH1912" s="130"/>
      <c r="AI1912" s="131"/>
      <c r="AJ1912" s="132"/>
      <c r="AK1912" s="127"/>
      <c r="AL1912" s="128"/>
      <c r="AM1912" s="21"/>
      <c r="AN1912" s="133">
        <v>45934</v>
      </c>
      <c r="AO1912" s="134"/>
      <c r="AP1912" s="135">
        <v>1270</v>
      </c>
      <c r="AQ1912" s="136"/>
      <c r="AR1912" s="118">
        <v>370000</v>
      </c>
      <c r="AS1912" s="119"/>
      <c r="AT1912" s="118">
        <f>AR1912*0.1</f>
        <v>37000</v>
      </c>
      <c r="AU1912" s="119"/>
      <c r="AV1912" s="118">
        <v>9670</v>
      </c>
      <c r="AW1912" s="119"/>
      <c r="AX1912" s="118">
        <f>SUM(AR1912:AW1912)</f>
        <v>416670</v>
      </c>
      <c r="AY1912" s="119"/>
      <c r="AZ1912" s="137">
        <v>45938</v>
      </c>
    </row>
    <row r="1913" spans="1:52" ht="17.100000000000001" customHeight="1" thickBot="1">
      <c r="A1913" s="110"/>
      <c r="B1913" s="27" t="s">
        <v>2131</v>
      </c>
      <c r="C1913" s="27">
        <v>33030</v>
      </c>
      <c r="D1913" s="14" t="s">
        <v>1720</v>
      </c>
      <c r="E1913" s="112"/>
      <c r="F1913" s="139" t="s">
        <v>5704</v>
      </c>
      <c r="G1913" s="140"/>
      <c r="H1913" s="141"/>
      <c r="I1913" s="26">
        <v>28394</v>
      </c>
      <c r="J1913" s="117"/>
      <c r="K1913" s="120"/>
      <c r="L1913" s="121"/>
      <c r="M1913" s="120"/>
      <c r="N1913" s="121"/>
      <c r="O1913" s="120"/>
      <c r="P1913" s="121"/>
      <c r="Q1913" s="120"/>
      <c r="R1913" s="121"/>
      <c r="S1913" s="120"/>
      <c r="T1913" s="121"/>
      <c r="U1913" s="120"/>
      <c r="V1913" s="123"/>
      <c r="W1913" s="125"/>
      <c r="X1913" s="142" t="s">
        <v>3390</v>
      </c>
      <c r="Y1913" s="143"/>
      <c r="Z1913" s="143"/>
      <c r="AA1913" s="143"/>
      <c r="AB1913" s="144"/>
      <c r="AC1913" s="16" t="s">
        <v>21</v>
      </c>
      <c r="AD1913" s="17" t="s">
        <v>2156</v>
      </c>
      <c r="AE1913" s="145"/>
      <c r="AF1913" s="146"/>
      <c r="AG1913" s="146"/>
      <c r="AH1913" s="146"/>
      <c r="AI1913" s="147"/>
      <c r="AJ1913" s="148"/>
      <c r="AK1913" s="143"/>
      <c r="AL1913" s="144"/>
      <c r="AM1913" s="22"/>
      <c r="AN1913" s="149" t="s">
        <v>7284</v>
      </c>
      <c r="AO1913" s="144"/>
      <c r="AP1913" s="148">
        <v>60472</v>
      </c>
      <c r="AQ1913" s="144"/>
      <c r="AR1913" s="120"/>
      <c r="AS1913" s="121"/>
      <c r="AT1913" s="120"/>
      <c r="AU1913" s="121"/>
      <c r="AV1913" s="120"/>
      <c r="AW1913" s="121"/>
      <c r="AX1913" s="120"/>
      <c r="AY1913" s="121"/>
      <c r="AZ1913" s="138"/>
    </row>
    <row r="1914" spans="1:52" ht="17.100000000000001" customHeight="1" thickTop="1">
      <c r="A1914" s="109" t="s">
        <v>6692</v>
      </c>
      <c r="B1914" s="28">
        <v>45930</v>
      </c>
      <c r="C1914" s="25">
        <v>789</v>
      </c>
      <c r="D1914" s="13" t="s">
        <v>1642</v>
      </c>
      <c r="E1914" s="111"/>
      <c r="F1914" s="113" t="s">
        <v>5705</v>
      </c>
      <c r="G1914" s="114"/>
      <c r="H1914" s="115"/>
      <c r="I1914" s="24"/>
      <c r="J1914" s="116">
        <v>5</v>
      </c>
      <c r="K1914" s="118">
        <v>542000</v>
      </c>
      <c r="L1914" s="119"/>
      <c r="M1914" s="118">
        <f>K1914*0.1</f>
        <v>54200</v>
      </c>
      <c r="N1914" s="119"/>
      <c r="O1914" s="118">
        <v>0</v>
      </c>
      <c r="P1914" s="119"/>
      <c r="Q1914" s="118">
        <v>7140</v>
      </c>
      <c r="R1914" s="119"/>
      <c r="S1914" s="118">
        <v>15950</v>
      </c>
      <c r="T1914" s="119"/>
      <c r="U1914" s="118">
        <f>SUM(K1914:T1915)</f>
        <v>619290</v>
      </c>
      <c r="V1914" s="122"/>
      <c r="W1914" s="124"/>
      <c r="X1914" s="126" t="s">
        <v>7444</v>
      </c>
      <c r="Y1914" s="127"/>
      <c r="Z1914" s="127"/>
      <c r="AA1914" s="127"/>
      <c r="AB1914" s="128"/>
      <c r="AC1914" s="15" t="s">
        <v>20</v>
      </c>
      <c r="AD1914" s="129" t="s">
        <v>2930</v>
      </c>
      <c r="AE1914" s="130"/>
      <c r="AF1914" s="130"/>
      <c r="AG1914" s="130"/>
      <c r="AH1914" s="130"/>
      <c r="AI1914" s="131"/>
      <c r="AJ1914" s="132"/>
      <c r="AK1914" s="127"/>
      <c r="AL1914" s="128"/>
      <c r="AM1914" s="21"/>
      <c r="AN1914" s="133">
        <v>45941</v>
      </c>
      <c r="AO1914" s="134"/>
      <c r="AP1914" s="135">
        <v>1271</v>
      </c>
      <c r="AQ1914" s="136"/>
      <c r="AR1914" s="118">
        <v>685000</v>
      </c>
      <c r="AS1914" s="119"/>
      <c r="AT1914" s="118">
        <f>AR1914*0.1</f>
        <v>68500</v>
      </c>
      <c r="AU1914" s="119"/>
      <c r="AV1914" s="118">
        <v>7140</v>
      </c>
      <c r="AW1914" s="119"/>
      <c r="AX1914" s="118">
        <f>SUM(AR1914:AW1914)</f>
        <v>760640</v>
      </c>
      <c r="AY1914" s="119"/>
      <c r="AZ1914" s="137">
        <v>45950</v>
      </c>
    </row>
    <row r="1915" spans="1:52" ht="17.100000000000001" customHeight="1" thickBot="1">
      <c r="A1915" s="110"/>
      <c r="B1915" s="27" t="s">
        <v>3367</v>
      </c>
      <c r="C1915" s="27">
        <v>3055</v>
      </c>
      <c r="D1915" s="14" t="s">
        <v>1592</v>
      </c>
      <c r="E1915" s="112"/>
      <c r="F1915" s="139" t="s">
        <v>5706</v>
      </c>
      <c r="G1915" s="140"/>
      <c r="H1915" s="141"/>
      <c r="I1915" s="26">
        <v>19407</v>
      </c>
      <c r="J1915" s="117"/>
      <c r="K1915" s="120"/>
      <c r="L1915" s="121"/>
      <c r="M1915" s="120"/>
      <c r="N1915" s="121"/>
      <c r="O1915" s="120"/>
      <c r="P1915" s="121"/>
      <c r="Q1915" s="120"/>
      <c r="R1915" s="121"/>
      <c r="S1915" s="120"/>
      <c r="T1915" s="121"/>
      <c r="U1915" s="120"/>
      <c r="V1915" s="123"/>
      <c r="W1915" s="125"/>
      <c r="X1915" s="142" t="s">
        <v>7445</v>
      </c>
      <c r="Y1915" s="143"/>
      <c r="Z1915" s="143"/>
      <c r="AA1915" s="143"/>
      <c r="AB1915" s="144"/>
      <c r="AC1915" s="16" t="s">
        <v>21</v>
      </c>
      <c r="AD1915" s="17" t="s">
        <v>3317</v>
      </c>
      <c r="AE1915" s="145" t="s">
        <v>1633</v>
      </c>
      <c r="AF1915" s="146"/>
      <c r="AG1915" s="146"/>
      <c r="AH1915" s="146"/>
      <c r="AI1915" s="147"/>
      <c r="AJ1915" s="148"/>
      <c r="AK1915" s="143"/>
      <c r="AL1915" s="144"/>
      <c r="AM1915" s="22"/>
      <c r="AN1915" s="149" t="s">
        <v>6748</v>
      </c>
      <c r="AO1915" s="144"/>
      <c r="AP1915" s="148">
        <v>60089</v>
      </c>
      <c r="AQ1915" s="144"/>
      <c r="AR1915" s="120"/>
      <c r="AS1915" s="121"/>
      <c r="AT1915" s="120"/>
      <c r="AU1915" s="121"/>
      <c r="AV1915" s="120"/>
      <c r="AW1915" s="121"/>
      <c r="AX1915" s="120"/>
      <c r="AY1915" s="121"/>
      <c r="AZ1915" s="138"/>
    </row>
    <row r="1916" spans="1:52" ht="17.100000000000001" customHeight="1" thickTop="1">
      <c r="A1916" s="109" t="s">
        <v>6693</v>
      </c>
      <c r="B1916" s="28">
        <v>45930</v>
      </c>
      <c r="C1916" s="25">
        <v>909</v>
      </c>
      <c r="D1916" s="13" t="s">
        <v>6721</v>
      </c>
      <c r="E1916" s="111"/>
      <c r="F1916" s="113" t="s">
        <v>5707</v>
      </c>
      <c r="G1916" s="114"/>
      <c r="H1916" s="115"/>
      <c r="I1916" s="24"/>
      <c r="J1916" s="116">
        <v>3.5</v>
      </c>
      <c r="K1916" s="118">
        <v>298000</v>
      </c>
      <c r="L1916" s="119"/>
      <c r="M1916" s="118">
        <f>K1916*0.1</f>
        <v>29800</v>
      </c>
      <c r="N1916" s="119"/>
      <c r="O1916" s="118">
        <v>0</v>
      </c>
      <c r="P1916" s="119"/>
      <c r="Q1916" s="118">
        <v>8730</v>
      </c>
      <c r="R1916" s="119"/>
      <c r="S1916" s="118">
        <v>15950</v>
      </c>
      <c r="T1916" s="119"/>
      <c r="U1916" s="118">
        <f>SUM(K1916:T1917)</f>
        <v>352480</v>
      </c>
      <c r="V1916" s="122"/>
      <c r="W1916" s="124"/>
      <c r="X1916" s="126" t="s">
        <v>7380</v>
      </c>
      <c r="Y1916" s="127"/>
      <c r="Z1916" s="127"/>
      <c r="AA1916" s="127"/>
      <c r="AB1916" s="128"/>
      <c r="AC1916" s="15" t="s">
        <v>20</v>
      </c>
      <c r="AD1916" s="129"/>
      <c r="AE1916" s="130"/>
      <c r="AF1916" s="130"/>
      <c r="AG1916" s="130"/>
      <c r="AH1916" s="130"/>
      <c r="AI1916" s="131"/>
      <c r="AJ1916" s="132"/>
      <c r="AK1916" s="127"/>
      <c r="AL1916" s="128"/>
      <c r="AM1916" s="21"/>
      <c r="AN1916" s="133">
        <v>46011</v>
      </c>
      <c r="AO1916" s="134"/>
      <c r="AP1916" s="135">
        <v>1281</v>
      </c>
      <c r="AQ1916" s="136"/>
      <c r="AR1916" s="118">
        <v>295000</v>
      </c>
      <c r="AS1916" s="119"/>
      <c r="AT1916" s="118">
        <f>AR1916*0.1</f>
        <v>29500</v>
      </c>
      <c r="AU1916" s="119"/>
      <c r="AV1916" s="118">
        <v>8730</v>
      </c>
      <c r="AW1916" s="119"/>
      <c r="AX1916" s="118">
        <f>SUM(AR1916:AW1916)</f>
        <v>333230</v>
      </c>
      <c r="AY1916" s="119"/>
      <c r="AZ1916" s="137">
        <v>46014</v>
      </c>
    </row>
    <row r="1917" spans="1:52" ht="17.100000000000001" customHeight="1" thickBot="1">
      <c r="A1917" s="110"/>
      <c r="B1917" s="27" t="s">
        <v>2699</v>
      </c>
      <c r="C1917" s="27">
        <v>3033</v>
      </c>
      <c r="D1917" s="14" t="s">
        <v>2601</v>
      </c>
      <c r="E1917" s="112"/>
      <c r="F1917" s="139" t="s">
        <v>5708</v>
      </c>
      <c r="G1917" s="140"/>
      <c r="H1917" s="141"/>
      <c r="I1917" s="26">
        <v>37018</v>
      </c>
      <c r="J1917" s="117"/>
      <c r="K1917" s="120"/>
      <c r="L1917" s="121"/>
      <c r="M1917" s="120"/>
      <c r="N1917" s="121"/>
      <c r="O1917" s="120"/>
      <c r="P1917" s="121"/>
      <c r="Q1917" s="120"/>
      <c r="R1917" s="121"/>
      <c r="S1917" s="120"/>
      <c r="T1917" s="121"/>
      <c r="U1917" s="120"/>
      <c r="V1917" s="123"/>
      <c r="W1917" s="125"/>
      <c r="X1917" s="142" t="s">
        <v>4928</v>
      </c>
      <c r="Y1917" s="143"/>
      <c r="Z1917" s="143"/>
      <c r="AA1917" s="143"/>
      <c r="AB1917" s="144"/>
      <c r="AC1917" s="16" t="s">
        <v>21</v>
      </c>
      <c r="AD1917" s="17" t="s">
        <v>2156</v>
      </c>
      <c r="AE1917" s="145" t="s">
        <v>7838</v>
      </c>
      <c r="AF1917" s="146"/>
      <c r="AG1917" s="146"/>
      <c r="AH1917" s="146"/>
      <c r="AI1917" s="147"/>
      <c r="AJ1917" s="148"/>
      <c r="AK1917" s="143"/>
      <c r="AL1917" s="144"/>
      <c r="AM1917" s="22"/>
      <c r="AN1917" s="149" t="s">
        <v>2511</v>
      </c>
      <c r="AO1917" s="144"/>
      <c r="AP1917" s="148">
        <v>60068</v>
      </c>
      <c r="AQ1917" s="144"/>
      <c r="AR1917" s="120"/>
      <c r="AS1917" s="121"/>
      <c r="AT1917" s="120"/>
      <c r="AU1917" s="121"/>
      <c r="AV1917" s="120"/>
      <c r="AW1917" s="121"/>
      <c r="AX1917" s="120"/>
      <c r="AY1917" s="121"/>
      <c r="AZ1917" s="138"/>
    </row>
    <row r="1918" spans="1:52" ht="17.100000000000001" customHeight="1" thickTop="1">
      <c r="A1918" s="109" t="s">
        <v>6694</v>
      </c>
      <c r="B1918" s="28">
        <v>45930</v>
      </c>
      <c r="C1918" s="25">
        <v>909</v>
      </c>
      <c r="D1918" s="13" t="s">
        <v>1712</v>
      </c>
      <c r="E1918" s="111"/>
      <c r="F1918" s="113" t="s">
        <v>5709</v>
      </c>
      <c r="G1918" s="114"/>
      <c r="H1918" s="115"/>
      <c r="I1918" s="24" t="s">
        <v>2526</v>
      </c>
      <c r="J1918" s="116">
        <v>4</v>
      </c>
      <c r="K1918" s="118">
        <v>591000</v>
      </c>
      <c r="L1918" s="119"/>
      <c r="M1918" s="118">
        <f>K1918*0.1</f>
        <v>59100</v>
      </c>
      <c r="N1918" s="119"/>
      <c r="O1918" s="118">
        <v>0</v>
      </c>
      <c r="P1918" s="119"/>
      <c r="Q1918" s="118">
        <v>9790</v>
      </c>
      <c r="R1918" s="119"/>
      <c r="S1918" s="118">
        <v>15950</v>
      </c>
      <c r="T1918" s="119"/>
      <c r="U1918" s="118">
        <f>SUM(K1918:T1919)</f>
        <v>675840</v>
      </c>
      <c r="V1918" s="122"/>
      <c r="W1918" s="124"/>
      <c r="X1918" s="126" t="s">
        <v>6722</v>
      </c>
      <c r="Y1918" s="127"/>
      <c r="Z1918" s="127"/>
      <c r="AA1918" s="127"/>
      <c r="AB1918" s="128"/>
      <c r="AC1918" s="15" t="s">
        <v>20</v>
      </c>
      <c r="AD1918" s="129" t="s">
        <v>171</v>
      </c>
      <c r="AE1918" s="130"/>
      <c r="AF1918" s="130"/>
      <c r="AG1918" s="130"/>
      <c r="AH1918" s="130"/>
      <c r="AI1918" s="131"/>
      <c r="AJ1918" s="132"/>
      <c r="AK1918" s="127"/>
      <c r="AL1918" s="128"/>
      <c r="AM1918" s="21" t="s">
        <v>7417</v>
      </c>
      <c r="AN1918" s="133">
        <v>45934</v>
      </c>
      <c r="AO1918" s="134"/>
      <c r="AP1918" s="135">
        <v>1270</v>
      </c>
      <c r="AQ1918" s="136"/>
      <c r="AR1918" s="118">
        <v>705000</v>
      </c>
      <c r="AS1918" s="119"/>
      <c r="AT1918" s="118">
        <f>AR1918*0.1</f>
        <v>70500</v>
      </c>
      <c r="AU1918" s="119"/>
      <c r="AV1918" s="118">
        <v>9790</v>
      </c>
      <c r="AW1918" s="119"/>
      <c r="AX1918" s="118">
        <f>SUM(AR1918:AW1918)</f>
        <v>785290</v>
      </c>
      <c r="AY1918" s="119"/>
      <c r="AZ1918" s="137">
        <v>45944</v>
      </c>
    </row>
    <row r="1919" spans="1:52" ht="17.100000000000001" customHeight="1" thickBot="1">
      <c r="A1919" s="110"/>
      <c r="B1919" s="27" t="s">
        <v>2699</v>
      </c>
      <c r="C1919" s="27">
        <v>3045</v>
      </c>
      <c r="D1919" s="14" t="s">
        <v>3327</v>
      </c>
      <c r="E1919" s="112"/>
      <c r="F1919" s="139" t="s">
        <v>5710</v>
      </c>
      <c r="G1919" s="140"/>
      <c r="H1919" s="141"/>
      <c r="I1919" s="26">
        <v>52867</v>
      </c>
      <c r="J1919" s="117"/>
      <c r="K1919" s="120"/>
      <c r="L1919" s="121"/>
      <c r="M1919" s="120"/>
      <c r="N1919" s="121"/>
      <c r="O1919" s="120"/>
      <c r="P1919" s="121"/>
      <c r="Q1919" s="120"/>
      <c r="R1919" s="121"/>
      <c r="S1919" s="120"/>
      <c r="T1919" s="121"/>
      <c r="U1919" s="120"/>
      <c r="V1919" s="123"/>
      <c r="W1919" s="125"/>
      <c r="X1919" s="142" t="s">
        <v>7184</v>
      </c>
      <c r="Y1919" s="143"/>
      <c r="Z1919" s="143"/>
      <c r="AA1919" s="143"/>
      <c r="AB1919" s="144"/>
      <c r="AC1919" s="16" t="s">
        <v>21</v>
      </c>
      <c r="AD1919" s="17" t="s">
        <v>2156</v>
      </c>
      <c r="AE1919" s="145" t="s">
        <v>171</v>
      </c>
      <c r="AF1919" s="146"/>
      <c r="AG1919" s="146"/>
      <c r="AH1919" s="146"/>
      <c r="AI1919" s="147"/>
      <c r="AJ1919" s="148"/>
      <c r="AK1919" s="143"/>
      <c r="AL1919" s="144"/>
      <c r="AM1919" s="22"/>
      <c r="AN1919" s="149" t="s">
        <v>7284</v>
      </c>
      <c r="AO1919" s="144"/>
      <c r="AP1919" s="148">
        <v>60496</v>
      </c>
      <c r="AQ1919" s="144"/>
      <c r="AR1919" s="120"/>
      <c r="AS1919" s="121"/>
      <c r="AT1919" s="120"/>
      <c r="AU1919" s="121"/>
      <c r="AV1919" s="120"/>
      <c r="AW1919" s="121"/>
      <c r="AX1919" s="120"/>
      <c r="AY1919" s="121"/>
      <c r="AZ1919" s="138"/>
    </row>
    <row r="1920" spans="1:52" ht="17.100000000000001" customHeight="1" thickTop="1">
      <c r="A1920" s="109" t="s">
        <v>6695</v>
      </c>
      <c r="B1920" s="28">
        <v>45930</v>
      </c>
      <c r="C1920" s="25">
        <v>909</v>
      </c>
      <c r="D1920" s="13" t="s">
        <v>3386</v>
      </c>
      <c r="E1920" s="111"/>
      <c r="F1920" s="113" t="s">
        <v>5711</v>
      </c>
      <c r="G1920" s="114"/>
      <c r="H1920" s="115"/>
      <c r="I1920" s="24" t="s">
        <v>4096</v>
      </c>
      <c r="J1920" s="116">
        <v>3.5</v>
      </c>
      <c r="K1920" s="118">
        <v>890000</v>
      </c>
      <c r="L1920" s="119"/>
      <c r="M1920" s="118">
        <f>K1920*0.1</f>
        <v>89000</v>
      </c>
      <c r="N1920" s="119"/>
      <c r="O1920" s="118">
        <v>0</v>
      </c>
      <c r="P1920" s="119"/>
      <c r="Q1920" s="118">
        <v>8640</v>
      </c>
      <c r="R1920" s="119"/>
      <c r="S1920" s="118">
        <v>15950</v>
      </c>
      <c r="T1920" s="119"/>
      <c r="U1920" s="118">
        <f>SUM(K1920:T1921)</f>
        <v>1003590</v>
      </c>
      <c r="V1920" s="122"/>
      <c r="W1920" s="124"/>
      <c r="X1920" s="126" t="s">
        <v>6723</v>
      </c>
      <c r="Y1920" s="127"/>
      <c r="Z1920" s="127"/>
      <c r="AA1920" s="127"/>
      <c r="AB1920" s="128"/>
      <c r="AC1920" s="15" t="s">
        <v>20</v>
      </c>
      <c r="AD1920" s="129" t="s">
        <v>171</v>
      </c>
      <c r="AE1920" s="130"/>
      <c r="AF1920" s="130"/>
      <c r="AG1920" s="130"/>
      <c r="AH1920" s="130"/>
      <c r="AI1920" s="131"/>
      <c r="AJ1920" s="132"/>
      <c r="AK1920" s="127"/>
      <c r="AL1920" s="128"/>
      <c r="AM1920" s="21" t="s">
        <v>8294</v>
      </c>
      <c r="AN1920" s="133">
        <v>45948</v>
      </c>
      <c r="AO1920" s="134"/>
      <c r="AP1920" s="135">
        <v>1272</v>
      </c>
      <c r="AQ1920" s="136"/>
      <c r="AR1920" s="118">
        <v>925000</v>
      </c>
      <c r="AS1920" s="119"/>
      <c r="AT1920" s="118">
        <f>AR1920*0.1</f>
        <v>92500</v>
      </c>
      <c r="AU1920" s="119"/>
      <c r="AV1920" s="118">
        <v>8640</v>
      </c>
      <c r="AW1920" s="119"/>
      <c r="AX1920" s="118">
        <f>SUM(AR1920:AW1920)</f>
        <v>1026140</v>
      </c>
      <c r="AY1920" s="119"/>
      <c r="AZ1920" s="137">
        <v>45951</v>
      </c>
    </row>
    <row r="1921" spans="1:52" ht="17.100000000000001" customHeight="1" thickBot="1">
      <c r="A1921" s="110"/>
      <c r="B1921" s="27" t="s">
        <v>2699</v>
      </c>
      <c r="C1921" s="27">
        <v>3075</v>
      </c>
      <c r="D1921" s="14" t="s">
        <v>275</v>
      </c>
      <c r="E1921" s="112"/>
      <c r="F1921" s="139" t="s">
        <v>5712</v>
      </c>
      <c r="G1921" s="140"/>
      <c r="H1921" s="141"/>
      <c r="I1921" s="26">
        <v>65707</v>
      </c>
      <c r="J1921" s="117"/>
      <c r="K1921" s="120"/>
      <c r="L1921" s="121"/>
      <c r="M1921" s="120"/>
      <c r="N1921" s="121"/>
      <c r="O1921" s="120"/>
      <c r="P1921" s="121"/>
      <c r="Q1921" s="120"/>
      <c r="R1921" s="121"/>
      <c r="S1921" s="120"/>
      <c r="T1921" s="121"/>
      <c r="U1921" s="120"/>
      <c r="V1921" s="123"/>
      <c r="W1921" s="125"/>
      <c r="X1921" s="142" t="s">
        <v>1997</v>
      </c>
      <c r="Y1921" s="143"/>
      <c r="Z1921" s="143"/>
      <c r="AA1921" s="143"/>
      <c r="AB1921" s="144"/>
      <c r="AC1921" s="16" t="s">
        <v>21</v>
      </c>
      <c r="AD1921" s="17" t="s">
        <v>2156</v>
      </c>
      <c r="AE1921" s="145" t="s">
        <v>1742</v>
      </c>
      <c r="AF1921" s="146"/>
      <c r="AG1921" s="146"/>
      <c r="AH1921" s="146"/>
      <c r="AI1921" s="147"/>
      <c r="AJ1921" s="148"/>
      <c r="AK1921" s="143"/>
      <c r="AL1921" s="144"/>
      <c r="AM1921" s="22"/>
      <c r="AN1921" s="149" t="s">
        <v>7284</v>
      </c>
      <c r="AO1921" s="144"/>
      <c r="AP1921" s="148">
        <v>60108</v>
      </c>
      <c r="AQ1921" s="144"/>
      <c r="AR1921" s="120"/>
      <c r="AS1921" s="121"/>
      <c r="AT1921" s="120"/>
      <c r="AU1921" s="121"/>
      <c r="AV1921" s="120"/>
      <c r="AW1921" s="121"/>
      <c r="AX1921" s="120"/>
      <c r="AY1921" s="121"/>
      <c r="AZ1921" s="138"/>
    </row>
    <row r="1922" spans="1:52" ht="17.100000000000001" customHeight="1" thickTop="1">
      <c r="A1922" s="109" t="s">
        <v>6696</v>
      </c>
      <c r="B1922" s="28">
        <v>45930</v>
      </c>
      <c r="C1922" s="25">
        <v>909</v>
      </c>
      <c r="D1922" s="13" t="s">
        <v>1597</v>
      </c>
      <c r="E1922" s="111"/>
      <c r="F1922" s="113" t="s">
        <v>5713</v>
      </c>
      <c r="G1922" s="114"/>
      <c r="H1922" s="115"/>
      <c r="I1922" s="24"/>
      <c r="J1922" s="116">
        <v>4</v>
      </c>
      <c r="K1922" s="118">
        <v>819000</v>
      </c>
      <c r="L1922" s="119"/>
      <c r="M1922" s="118">
        <f>K1922*0.1</f>
        <v>81900</v>
      </c>
      <c r="N1922" s="119"/>
      <c r="O1922" s="118">
        <v>0</v>
      </c>
      <c r="P1922" s="119"/>
      <c r="Q1922" s="118">
        <v>8400</v>
      </c>
      <c r="R1922" s="119"/>
      <c r="S1922" s="118">
        <v>15950</v>
      </c>
      <c r="T1922" s="119"/>
      <c r="U1922" s="118">
        <f>SUM(K1922:T1923)</f>
        <v>925250</v>
      </c>
      <c r="V1922" s="122"/>
      <c r="W1922" s="124"/>
      <c r="X1922" s="126" t="s">
        <v>7378</v>
      </c>
      <c r="Y1922" s="127"/>
      <c r="Z1922" s="127"/>
      <c r="AA1922" s="127"/>
      <c r="AB1922" s="128"/>
      <c r="AC1922" s="15" t="s">
        <v>20</v>
      </c>
      <c r="AD1922" s="129"/>
      <c r="AE1922" s="130"/>
      <c r="AF1922" s="130"/>
      <c r="AG1922" s="130"/>
      <c r="AH1922" s="130"/>
      <c r="AI1922" s="131"/>
      <c r="AJ1922" s="132"/>
      <c r="AK1922" s="127"/>
      <c r="AL1922" s="128"/>
      <c r="AM1922" s="21"/>
      <c r="AN1922" s="133">
        <v>45969</v>
      </c>
      <c r="AO1922" s="134"/>
      <c r="AP1922" s="135">
        <v>1275</v>
      </c>
      <c r="AQ1922" s="136"/>
      <c r="AR1922" s="118">
        <v>950000</v>
      </c>
      <c r="AS1922" s="119"/>
      <c r="AT1922" s="118">
        <f>AR1922*0.1</f>
        <v>95000</v>
      </c>
      <c r="AU1922" s="119"/>
      <c r="AV1922" s="118">
        <v>8400</v>
      </c>
      <c r="AW1922" s="119"/>
      <c r="AX1922" s="118">
        <f>SUM(AR1922:AW1922)</f>
        <v>1053400</v>
      </c>
      <c r="AY1922" s="119"/>
      <c r="AZ1922" s="137">
        <v>45974</v>
      </c>
    </row>
    <row r="1923" spans="1:52" ht="17.100000000000001" customHeight="1" thickBot="1">
      <c r="A1923" s="110"/>
      <c r="B1923" s="27" t="s">
        <v>2699</v>
      </c>
      <c r="C1923" s="27">
        <v>3085</v>
      </c>
      <c r="D1923" s="14" t="s">
        <v>1556</v>
      </c>
      <c r="E1923" s="112"/>
      <c r="F1923" s="139" t="s">
        <v>5714</v>
      </c>
      <c r="G1923" s="140"/>
      <c r="H1923" s="141"/>
      <c r="I1923" s="26">
        <v>49980</v>
      </c>
      <c r="J1923" s="117"/>
      <c r="K1923" s="120"/>
      <c r="L1923" s="121"/>
      <c r="M1923" s="120"/>
      <c r="N1923" s="121"/>
      <c r="O1923" s="120"/>
      <c r="P1923" s="121"/>
      <c r="Q1923" s="120"/>
      <c r="R1923" s="121"/>
      <c r="S1923" s="120"/>
      <c r="T1923" s="121"/>
      <c r="U1923" s="120"/>
      <c r="V1923" s="123"/>
      <c r="W1923" s="125"/>
      <c r="X1923" s="142" t="s">
        <v>7379</v>
      </c>
      <c r="Y1923" s="143"/>
      <c r="Z1923" s="143"/>
      <c r="AA1923" s="143"/>
      <c r="AB1923" s="144"/>
      <c r="AC1923" s="16" t="s">
        <v>21</v>
      </c>
      <c r="AD1923" s="17" t="s">
        <v>2156</v>
      </c>
      <c r="AE1923" s="145" t="s">
        <v>7842</v>
      </c>
      <c r="AF1923" s="146"/>
      <c r="AG1923" s="146"/>
      <c r="AH1923" s="146"/>
      <c r="AI1923" s="147"/>
      <c r="AJ1923" s="148"/>
      <c r="AK1923" s="143"/>
      <c r="AL1923" s="144"/>
      <c r="AM1923" s="22"/>
      <c r="AN1923" s="149" t="s">
        <v>6749</v>
      </c>
      <c r="AO1923" s="144"/>
      <c r="AP1923" s="148">
        <v>60160</v>
      </c>
      <c r="AQ1923" s="144"/>
      <c r="AR1923" s="120"/>
      <c r="AS1923" s="121"/>
      <c r="AT1923" s="120"/>
      <c r="AU1923" s="121"/>
      <c r="AV1923" s="120"/>
      <c r="AW1923" s="121"/>
      <c r="AX1923" s="120"/>
      <c r="AY1923" s="121"/>
      <c r="AZ1923" s="138"/>
    </row>
    <row r="1924" spans="1:52" ht="17.100000000000001" customHeight="1" thickTop="1">
      <c r="A1924" s="109" t="s">
        <v>6697</v>
      </c>
      <c r="B1924" s="28">
        <v>45930</v>
      </c>
      <c r="C1924" s="25">
        <v>909</v>
      </c>
      <c r="D1924" s="13" t="s">
        <v>2515</v>
      </c>
      <c r="E1924" s="111"/>
      <c r="F1924" s="113" t="s">
        <v>5715</v>
      </c>
      <c r="G1924" s="114"/>
      <c r="H1924" s="115"/>
      <c r="I1924" s="24"/>
      <c r="J1924" s="116">
        <v>4</v>
      </c>
      <c r="K1924" s="118">
        <v>165000</v>
      </c>
      <c r="L1924" s="119"/>
      <c r="M1924" s="118">
        <f>K1924*0.1</f>
        <v>16500</v>
      </c>
      <c r="N1924" s="119"/>
      <c r="O1924" s="118">
        <v>0</v>
      </c>
      <c r="P1924" s="119"/>
      <c r="Q1924" s="118">
        <v>9790</v>
      </c>
      <c r="R1924" s="119"/>
      <c r="S1924" s="118">
        <v>15950</v>
      </c>
      <c r="T1924" s="119"/>
      <c r="U1924" s="118">
        <f>SUM(K1924:T1925)</f>
        <v>207240</v>
      </c>
      <c r="V1924" s="122"/>
      <c r="W1924" s="124"/>
      <c r="X1924" s="126" t="s">
        <v>7377</v>
      </c>
      <c r="Y1924" s="127"/>
      <c r="Z1924" s="127"/>
      <c r="AA1924" s="127"/>
      <c r="AB1924" s="128"/>
      <c r="AC1924" s="15" t="s">
        <v>20</v>
      </c>
      <c r="AD1924" s="129"/>
      <c r="AE1924" s="130"/>
      <c r="AF1924" s="130"/>
      <c r="AG1924" s="130"/>
      <c r="AH1924" s="130"/>
      <c r="AI1924" s="131"/>
      <c r="AJ1924" s="132"/>
      <c r="AK1924" s="127"/>
      <c r="AL1924" s="128"/>
      <c r="AM1924" s="21"/>
      <c r="AN1924" s="133">
        <v>45941</v>
      </c>
      <c r="AO1924" s="134"/>
      <c r="AP1924" s="135">
        <v>1271</v>
      </c>
      <c r="AQ1924" s="136"/>
      <c r="AR1924" s="118">
        <v>255000</v>
      </c>
      <c r="AS1924" s="119"/>
      <c r="AT1924" s="118">
        <f>AR1924*0.1</f>
        <v>25500</v>
      </c>
      <c r="AU1924" s="119"/>
      <c r="AV1924" s="118">
        <v>9790</v>
      </c>
      <c r="AW1924" s="119"/>
      <c r="AX1924" s="118">
        <f>SUM(AR1924:AW1924)</f>
        <v>290290</v>
      </c>
      <c r="AY1924" s="119"/>
      <c r="AZ1924" s="137">
        <v>45944</v>
      </c>
    </row>
    <row r="1925" spans="1:52" ht="17.100000000000001" customHeight="1" thickBot="1">
      <c r="A1925" s="110"/>
      <c r="B1925" s="27" t="s">
        <v>2699</v>
      </c>
      <c r="C1925" s="27">
        <v>4094</v>
      </c>
      <c r="D1925" s="14" t="s">
        <v>2086</v>
      </c>
      <c r="E1925" s="112"/>
      <c r="F1925" s="139" t="s">
        <v>5716</v>
      </c>
      <c r="G1925" s="140"/>
      <c r="H1925" s="141"/>
      <c r="I1925" s="26">
        <v>17707</v>
      </c>
      <c r="J1925" s="117"/>
      <c r="K1925" s="120"/>
      <c r="L1925" s="121"/>
      <c r="M1925" s="120"/>
      <c r="N1925" s="121"/>
      <c r="O1925" s="120"/>
      <c r="P1925" s="121"/>
      <c r="Q1925" s="120"/>
      <c r="R1925" s="121"/>
      <c r="S1925" s="120"/>
      <c r="T1925" s="121"/>
      <c r="U1925" s="120"/>
      <c r="V1925" s="123"/>
      <c r="W1925" s="125"/>
      <c r="X1925" s="142" t="s">
        <v>4628</v>
      </c>
      <c r="Y1925" s="143"/>
      <c r="Z1925" s="143"/>
      <c r="AA1925" s="143"/>
      <c r="AB1925" s="144"/>
      <c r="AC1925" s="16" t="s">
        <v>21</v>
      </c>
      <c r="AD1925" s="17" t="s">
        <v>2156</v>
      </c>
      <c r="AE1925" s="145" t="s">
        <v>7837</v>
      </c>
      <c r="AF1925" s="146"/>
      <c r="AG1925" s="146"/>
      <c r="AH1925" s="146"/>
      <c r="AI1925" s="147"/>
      <c r="AJ1925" s="148"/>
      <c r="AK1925" s="143"/>
      <c r="AL1925" s="144"/>
      <c r="AM1925" s="22"/>
      <c r="AN1925" s="149" t="s">
        <v>7284</v>
      </c>
      <c r="AO1925" s="144"/>
      <c r="AP1925" s="148">
        <v>60087</v>
      </c>
      <c r="AQ1925" s="144"/>
      <c r="AR1925" s="120"/>
      <c r="AS1925" s="121"/>
      <c r="AT1925" s="120"/>
      <c r="AU1925" s="121"/>
      <c r="AV1925" s="120"/>
      <c r="AW1925" s="121"/>
      <c r="AX1925" s="120"/>
      <c r="AY1925" s="121"/>
      <c r="AZ1925" s="138"/>
    </row>
    <row r="1926" spans="1:52" ht="17.100000000000001" customHeight="1" thickTop="1">
      <c r="A1926" s="109" t="s">
        <v>6698</v>
      </c>
      <c r="B1926" s="28">
        <v>45930</v>
      </c>
      <c r="C1926" s="25">
        <v>909</v>
      </c>
      <c r="D1926" s="13" t="s">
        <v>1640</v>
      </c>
      <c r="E1926" s="111"/>
      <c r="F1926" s="113" t="s">
        <v>5717</v>
      </c>
      <c r="G1926" s="114"/>
      <c r="H1926" s="115"/>
      <c r="I1926" s="24" t="s">
        <v>3399</v>
      </c>
      <c r="J1926" s="116">
        <v>4</v>
      </c>
      <c r="K1926" s="118">
        <v>333000</v>
      </c>
      <c r="L1926" s="119"/>
      <c r="M1926" s="118">
        <f>K1926*0.1</f>
        <v>33300</v>
      </c>
      <c r="N1926" s="119"/>
      <c r="O1926" s="118">
        <v>0</v>
      </c>
      <c r="P1926" s="119"/>
      <c r="Q1926" s="118">
        <v>7170</v>
      </c>
      <c r="R1926" s="119"/>
      <c r="S1926" s="118">
        <v>15950</v>
      </c>
      <c r="T1926" s="119"/>
      <c r="U1926" s="118">
        <f>SUM(K1926:T1927)</f>
        <v>389420</v>
      </c>
      <c r="V1926" s="122"/>
      <c r="W1926" s="124"/>
      <c r="X1926" s="126" t="s">
        <v>7381</v>
      </c>
      <c r="Y1926" s="127"/>
      <c r="Z1926" s="127"/>
      <c r="AA1926" s="127"/>
      <c r="AB1926" s="128"/>
      <c r="AC1926" s="15" t="s">
        <v>20</v>
      </c>
      <c r="AD1926" s="129" t="s">
        <v>3896</v>
      </c>
      <c r="AE1926" s="130"/>
      <c r="AF1926" s="130"/>
      <c r="AG1926" s="130"/>
      <c r="AH1926" s="130"/>
      <c r="AI1926" s="131"/>
      <c r="AJ1926" s="132"/>
      <c r="AK1926" s="127"/>
      <c r="AL1926" s="128"/>
      <c r="AM1926" s="21" t="s">
        <v>8313</v>
      </c>
      <c r="AN1926" s="133">
        <v>45941</v>
      </c>
      <c r="AO1926" s="134"/>
      <c r="AP1926" s="135">
        <v>1271</v>
      </c>
      <c r="AQ1926" s="136"/>
      <c r="AR1926" s="118">
        <v>355000</v>
      </c>
      <c r="AS1926" s="119"/>
      <c r="AT1926" s="118">
        <f>AR1926*0.1</f>
        <v>35500</v>
      </c>
      <c r="AU1926" s="119"/>
      <c r="AV1926" s="118">
        <v>7170</v>
      </c>
      <c r="AW1926" s="119"/>
      <c r="AX1926" s="118">
        <f>SUM(AR1926:AW1926)</f>
        <v>397670</v>
      </c>
      <c r="AY1926" s="119"/>
      <c r="AZ1926" s="137">
        <v>45950</v>
      </c>
    </row>
    <row r="1927" spans="1:52" ht="17.100000000000001" customHeight="1" thickBot="1">
      <c r="A1927" s="110"/>
      <c r="B1927" s="27" t="s">
        <v>2699</v>
      </c>
      <c r="C1927" s="27">
        <v>4143</v>
      </c>
      <c r="D1927" s="14" t="s">
        <v>275</v>
      </c>
      <c r="E1927" s="112"/>
      <c r="F1927" s="139" t="s">
        <v>5718</v>
      </c>
      <c r="G1927" s="140"/>
      <c r="H1927" s="141"/>
      <c r="I1927" s="26">
        <v>50656</v>
      </c>
      <c r="J1927" s="117"/>
      <c r="K1927" s="120"/>
      <c r="L1927" s="121"/>
      <c r="M1927" s="120"/>
      <c r="N1927" s="121"/>
      <c r="O1927" s="120"/>
      <c r="P1927" s="121"/>
      <c r="Q1927" s="120"/>
      <c r="R1927" s="121"/>
      <c r="S1927" s="120"/>
      <c r="T1927" s="121"/>
      <c r="U1927" s="120"/>
      <c r="V1927" s="123"/>
      <c r="W1927" s="125"/>
      <c r="X1927" s="142" t="s">
        <v>4628</v>
      </c>
      <c r="Y1927" s="143"/>
      <c r="Z1927" s="143"/>
      <c r="AA1927" s="143"/>
      <c r="AB1927" s="144"/>
      <c r="AC1927" s="16" t="s">
        <v>21</v>
      </c>
      <c r="AD1927" s="17" t="s">
        <v>2156</v>
      </c>
      <c r="AE1927" s="145" t="s">
        <v>7840</v>
      </c>
      <c r="AF1927" s="146"/>
      <c r="AG1927" s="146"/>
      <c r="AH1927" s="146"/>
      <c r="AI1927" s="147"/>
      <c r="AJ1927" s="148"/>
      <c r="AK1927" s="143"/>
      <c r="AL1927" s="144"/>
      <c r="AM1927" s="22"/>
      <c r="AN1927" s="149" t="s">
        <v>2511</v>
      </c>
      <c r="AO1927" s="144"/>
      <c r="AP1927" s="148">
        <v>60071</v>
      </c>
      <c r="AQ1927" s="144"/>
      <c r="AR1927" s="120"/>
      <c r="AS1927" s="121"/>
      <c r="AT1927" s="120"/>
      <c r="AU1927" s="121"/>
      <c r="AV1927" s="120"/>
      <c r="AW1927" s="121"/>
      <c r="AX1927" s="120"/>
      <c r="AY1927" s="121"/>
      <c r="AZ1927" s="138"/>
    </row>
    <row r="1928" spans="1:52" ht="17.100000000000001" customHeight="1" thickTop="1">
      <c r="A1928" s="109" t="s">
        <v>6699</v>
      </c>
      <c r="B1928" s="28">
        <v>45930</v>
      </c>
      <c r="C1928" s="25">
        <v>909</v>
      </c>
      <c r="D1928" s="13" t="s">
        <v>1027</v>
      </c>
      <c r="E1928" s="111"/>
      <c r="F1928" s="113" t="s">
        <v>5719</v>
      </c>
      <c r="G1928" s="114"/>
      <c r="H1928" s="115"/>
      <c r="I1928" s="24"/>
      <c r="J1928" s="116">
        <v>4</v>
      </c>
      <c r="K1928" s="118">
        <v>370000</v>
      </c>
      <c r="L1928" s="119"/>
      <c r="M1928" s="118">
        <f>K1928*0.1</f>
        <v>37000</v>
      </c>
      <c r="N1928" s="119"/>
      <c r="O1928" s="118">
        <v>0</v>
      </c>
      <c r="P1928" s="119"/>
      <c r="Q1928" s="118">
        <v>8460</v>
      </c>
      <c r="R1928" s="119"/>
      <c r="S1928" s="118">
        <v>15950</v>
      </c>
      <c r="T1928" s="119"/>
      <c r="U1928" s="118">
        <f>SUM(K1928:T1929)</f>
        <v>431410</v>
      </c>
      <c r="V1928" s="122"/>
      <c r="W1928" s="124"/>
      <c r="X1928" s="126" t="s">
        <v>7376</v>
      </c>
      <c r="Y1928" s="127"/>
      <c r="Z1928" s="127"/>
      <c r="AA1928" s="127"/>
      <c r="AB1928" s="128"/>
      <c r="AC1928" s="15" t="s">
        <v>20</v>
      </c>
      <c r="AD1928" s="129"/>
      <c r="AE1928" s="130"/>
      <c r="AF1928" s="130"/>
      <c r="AG1928" s="130"/>
      <c r="AH1928" s="130"/>
      <c r="AI1928" s="131"/>
      <c r="AJ1928" s="132"/>
      <c r="AK1928" s="127"/>
      <c r="AL1928" s="128"/>
      <c r="AM1928" s="21"/>
      <c r="AN1928" s="133">
        <v>45941</v>
      </c>
      <c r="AO1928" s="134"/>
      <c r="AP1928" s="135">
        <v>1271</v>
      </c>
      <c r="AQ1928" s="136"/>
      <c r="AR1928" s="118">
        <v>415000</v>
      </c>
      <c r="AS1928" s="119"/>
      <c r="AT1928" s="118">
        <f>AR1928*0.1</f>
        <v>41500</v>
      </c>
      <c r="AU1928" s="119"/>
      <c r="AV1928" s="118">
        <v>8460</v>
      </c>
      <c r="AW1928" s="119"/>
      <c r="AX1928" s="118">
        <f>SUM(AR1928:AW1928)</f>
        <v>464960</v>
      </c>
      <c r="AY1928" s="119"/>
      <c r="AZ1928" s="137">
        <v>45945</v>
      </c>
    </row>
    <row r="1929" spans="1:52" ht="17.100000000000001" customHeight="1" thickBot="1">
      <c r="A1929" s="110"/>
      <c r="B1929" s="27" t="s">
        <v>2699</v>
      </c>
      <c r="C1929" s="27">
        <v>7153</v>
      </c>
      <c r="D1929" s="14" t="s">
        <v>1720</v>
      </c>
      <c r="E1929" s="112"/>
      <c r="F1929" s="139" t="s">
        <v>5720</v>
      </c>
      <c r="G1929" s="140"/>
      <c r="H1929" s="141"/>
      <c r="I1929" s="26">
        <v>44954</v>
      </c>
      <c r="J1929" s="117"/>
      <c r="K1929" s="120"/>
      <c r="L1929" s="121"/>
      <c r="M1929" s="120"/>
      <c r="N1929" s="121"/>
      <c r="O1929" s="120"/>
      <c r="P1929" s="121"/>
      <c r="Q1929" s="120"/>
      <c r="R1929" s="121"/>
      <c r="S1929" s="120"/>
      <c r="T1929" s="121"/>
      <c r="U1929" s="120"/>
      <c r="V1929" s="123"/>
      <c r="W1929" s="125"/>
      <c r="X1929" s="142" t="s">
        <v>2891</v>
      </c>
      <c r="Y1929" s="143"/>
      <c r="Z1929" s="143"/>
      <c r="AA1929" s="143"/>
      <c r="AB1929" s="144"/>
      <c r="AC1929" s="16" t="s">
        <v>21</v>
      </c>
      <c r="AD1929" s="17" t="s">
        <v>2156</v>
      </c>
      <c r="AE1929" s="145" t="s">
        <v>7839</v>
      </c>
      <c r="AF1929" s="146"/>
      <c r="AG1929" s="146"/>
      <c r="AH1929" s="146"/>
      <c r="AI1929" s="147"/>
      <c r="AJ1929" s="148"/>
      <c r="AK1929" s="143"/>
      <c r="AL1929" s="144"/>
      <c r="AM1929" s="22"/>
      <c r="AN1929" s="149" t="s">
        <v>7284</v>
      </c>
      <c r="AO1929" s="144"/>
      <c r="AP1929" s="148">
        <v>60322</v>
      </c>
      <c r="AQ1929" s="144"/>
      <c r="AR1929" s="120"/>
      <c r="AS1929" s="121"/>
      <c r="AT1929" s="120"/>
      <c r="AU1929" s="121"/>
      <c r="AV1929" s="120"/>
      <c r="AW1929" s="121"/>
      <c r="AX1929" s="120"/>
      <c r="AY1929" s="121"/>
      <c r="AZ1929" s="138"/>
    </row>
    <row r="1930" spans="1:52" ht="17.100000000000001" customHeight="1" thickTop="1">
      <c r="A1930" s="109" t="s">
        <v>6700</v>
      </c>
      <c r="B1930" s="28">
        <v>45930</v>
      </c>
      <c r="C1930" s="25">
        <v>2062</v>
      </c>
      <c r="D1930" s="13" t="s">
        <v>1597</v>
      </c>
      <c r="E1930" s="111"/>
      <c r="F1930" s="113" t="s">
        <v>6724</v>
      </c>
      <c r="G1930" s="114"/>
      <c r="H1930" s="115"/>
      <c r="I1930" s="24"/>
      <c r="J1930" s="116">
        <v>4.5</v>
      </c>
      <c r="K1930" s="118">
        <v>800000</v>
      </c>
      <c r="L1930" s="119"/>
      <c r="M1930" s="118">
        <f>K1930*0.1</f>
        <v>80000</v>
      </c>
      <c r="N1930" s="119"/>
      <c r="O1930" s="118">
        <v>0</v>
      </c>
      <c r="P1930" s="119"/>
      <c r="Q1930" s="118">
        <v>16580</v>
      </c>
      <c r="R1930" s="119"/>
      <c r="S1930" s="118">
        <v>17600</v>
      </c>
      <c r="T1930" s="119"/>
      <c r="U1930" s="118">
        <f>SUM(K1930:T1931)</f>
        <v>914180</v>
      </c>
      <c r="V1930" s="122"/>
      <c r="W1930" s="124"/>
      <c r="X1930" s="126" t="s">
        <v>6941</v>
      </c>
      <c r="Y1930" s="127"/>
      <c r="Z1930" s="127"/>
      <c r="AA1930" s="127"/>
      <c r="AB1930" s="128"/>
      <c r="AC1930" s="15" t="s">
        <v>20</v>
      </c>
      <c r="AD1930" s="129" t="s">
        <v>3888</v>
      </c>
      <c r="AE1930" s="130"/>
      <c r="AF1930" s="130"/>
      <c r="AG1930" s="130"/>
      <c r="AH1930" s="130"/>
      <c r="AI1930" s="131"/>
      <c r="AJ1930" s="132"/>
      <c r="AK1930" s="127"/>
      <c r="AL1930" s="128"/>
      <c r="AM1930" s="21"/>
      <c r="AN1930" s="133">
        <v>45966</v>
      </c>
      <c r="AO1930" s="134"/>
      <c r="AP1930" s="135">
        <v>991</v>
      </c>
      <c r="AQ1930" s="136"/>
      <c r="AR1930" s="118">
        <v>950000</v>
      </c>
      <c r="AS1930" s="119"/>
      <c r="AT1930" s="118">
        <f>AR1930*0.1</f>
        <v>95000</v>
      </c>
      <c r="AU1930" s="119"/>
      <c r="AV1930" s="118">
        <v>16580</v>
      </c>
      <c r="AW1930" s="119"/>
      <c r="AX1930" s="118">
        <f>SUM(AR1930:AW1930)</f>
        <v>1061580</v>
      </c>
      <c r="AY1930" s="119"/>
      <c r="AZ1930" s="137">
        <v>45971</v>
      </c>
    </row>
    <row r="1931" spans="1:52" ht="17.100000000000001" customHeight="1" thickBot="1">
      <c r="A1931" s="110"/>
      <c r="B1931" s="27" t="s">
        <v>83</v>
      </c>
      <c r="C1931" s="27">
        <v>34524</v>
      </c>
      <c r="D1931" s="14" t="s">
        <v>904</v>
      </c>
      <c r="E1931" s="112"/>
      <c r="F1931" s="139" t="s">
        <v>5721</v>
      </c>
      <c r="G1931" s="140"/>
      <c r="H1931" s="141"/>
      <c r="I1931" s="26">
        <v>28654</v>
      </c>
      <c r="J1931" s="117"/>
      <c r="K1931" s="120"/>
      <c r="L1931" s="121"/>
      <c r="M1931" s="120"/>
      <c r="N1931" s="121"/>
      <c r="O1931" s="120"/>
      <c r="P1931" s="121"/>
      <c r="Q1931" s="120"/>
      <c r="R1931" s="121"/>
      <c r="S1931" s="120"/>
      <c r="T1931" s="121"/>
      <c r="U1931" s="120"/>
      <c r="V1931" s="123"/>
      <c r="W1931" s="125"/>
      <c r="X1931" s="142" t="s">
        <v>6942</v>
      </c>
      <c r="Y1931" s="143"/>
      <c r="Z1931" s="143"/>
      <c r="AA1931" s="143"/>
      <c r="AB1931" s="144"/>
      <c r="AC1931" s="16" t="s">
        <v>21</v>
      </c>
      <c r="AD1931" s="17" t="s">
        <v>6834</v>
      </c>
      <c r="AE1931" s="145" t="s">
        <v>6943</v>
      </c>
      <c r="AF1931" s="146"/>
      <c r="AG1931" s="146"/>
      <c r="AH1931" s="146"/>
      <c r="AI1931" s="147"/>
      <c r="AJ1931" s="148"/>
      <c r="AK1931" s="143"/>
      <c r="AL1931" s="144"/>
      <c r="AM1931" s="22"/>
      <c r="AN1931" s="149" t="s">
        <v>2794</v>
      </c>
      <c r="AO1931" s="144"/>
      <c r="AP1931" s="148">
        <v>6046</v>
      </c>
      <c r="AQ1931" s="144"/>
      <c r="AR1931" s="120"/>
      <c r="AS1931" s="121"/>
      <c r="AT1931" s="120"/>
      <c r="AU1931" s="121"/>
      <c r="AV1931" s="120"/>
      <c r="AW1931" s="121"/>
      <c r="AX1931" s="120"/>
      <c r="AY1931" s="121"/>
      <c r="AZ1931" s="138"/>
    </row>
    <row r="1932" spans="1:52" ht="17.100000000000001" customHeight="1" thickTop="1">
      <c r="A1932" s="109" t="s">
        <v>6701</v>
      </c>
      <c r="B1932" s="28">
        <v>45930</v>
      </c>
      <c r="C1932" s="25">
        <v>1063</v>
      </c>
      <c r="D1932" s="13" t="s">
        <v>1640</v>
      </c>
      <c r="E1932" s="111"/>
      <c r="F1932" s="113" t="s">
        <v>5722</v>
      </c>
      <c r="G1932" s="114"/>
      <c r="H1932" s="115"/>
      <c r="I1932" s="24" t="s">
        <v>4878</v>
      </c>
      <c r="J1932" s="116">
        <v>4.5</v>
      </c>
      <c r="K1932" s="118">
        <v>1075000</v>
      </c>
      <c r="L1932" s="119"/>
      <c r="M1932" s="118">
        <v>107500</v>
      </c>
      <c r="N1932" s="119"/>
      <c r="O1932" s="118">
        <v>21670</v>
      </c>
      <c r="P1932" s="119"/>
      <c r="Q1932" s="118">
        <v>19440</v>
      </c>
      <c r="R1932" s="119"/>
      <c r="S1932" s="118">
        <v>16500</v>
      </c>
      <c r="T1932" s="119"/>
      <c r="U1932" s="118">
        <f>SUM(K1932:T1933)</f>
        <v>1240110</v>
      </c>
      <c r="V1932" s="122"/>
      <c r="W1932" s="124"/>
      <c r="X1932" s="126" t="s">
        <v>6727</v>
      </c>
      <c r="Y1932" s="127"/>
      <c r="Z1932" s="127"/>
      <c r="AA1932" s="127"/>
      <c r="AB1932" s="128"/>
      <c r="AC1932" s="15" t="s">
        <v>20</v>
      </c>
      <c r="AD1932" s="129"/>
      <c r="AE1932" s="130"/>
      <c r="AF1932" s="130"/>
      <c r="AG1932" s="130"/>
      <c r="AH1932" s="130"/>
      <c r="AI1932" s="131"/>
      <c r="AJ1932" s="132"/>
      <c r="AK1932" s="127"/>
      <c r="AL1932" s="128"/>
      <c r="AM1932" s="21"/>
      <c r="AN1932" s="133">
        <v>45948</v>
      </c>
      <c r="AO1932" s="134"/>
      <c r="AP1932" s="135">
        <v>1272</v>
      </c>
      <c r="AQ1932" s="136"/>
      <c r="AR1932" s="118">
        <v>1160000</v>
      </c>
      <c r="AS1932" s="119"/>
      <c r="AT1932" s="118">
        <f>AR1932*0.1</f>
        <v>116000</v>
      </c>
      <c r="AU1932" s="119"/>
      <c r="AV1932" s="118">
        <v>19440</v>
      </c>
      <c r="AW1932" s="119"/>
      <c r="AX1932" s="118">
        <f>SUM(AR1932:AW1932)</f>
        <v>1295440</v>
      </c>
      <c r="AY1932" s="119"/>
      <c r="AZ1932" s="137">
        <v>45953</v>
      </c>
    </row>
    <row r="1933" spans="1:52" ht="17.100000000000001" customHeight="1" thickBot="1">
      <c r="A1933" s="110"/>
      <c r="B1933" s="27" t="s">
        <v>1591</v>
      </c>
      <c r="C1933" s="27">
        <v>84218</v>
      </c>
      <c r="D1933" s="14" t="s">
        <v>6725</v>
      </c>
      <c r="E1933" s="112"/>
      <c r="F1933" s="139" t="s">
        <v>6726</v>
      </c>
      <c r="G1933" s="140"/>
      <c r="H1933" s="141"/>
      <c r="I1933" s="26">
        <v>74542</v>
      </c>
      <c r="J1933" s="117"/>
      <c r="K1933" s="120"/>
      <c r="L1933" s="121"/>
      <c r="M1933" s="120"/>
      <c r="N1933" s="121"/>
      <c r="O1933" s="120"/>
      <c r="P1933" s="121"/>
      <c r="Q1933" s="120"/>
      <c r="R1933" s="121"/>
      <c r="S1933" s="120"/>
      <c r="T1933" s="121"/>
      <c r="U1933" s="120"/>
      <c r="V1933" s="123"/>
      <c r="W1933" s="125"/>
      <c r="X1933" s="142" t="s">
        <v>7721</v>
      </c>
      <c r="Y1933" s="143"/>
      <c r="Z1933" s="143"/>
      <c r="AA1933" s="143"/>
      <c r="AB1933" s="144"/>
      <c r="AC1933" s="16" t="s">
        <v>21</v>
      </c>
      <c r="AD1933" s="17" t="s">
        <v>1613</v>
      </c>
      <c r="AE1933" s="145" t="s">
        <v>1742</v>
      </c>
      <c r="AF1933" s="146"/>
      <c r="AG1933" s="146"/>
      <c r="AH1933" s="146"/>
      <c r="AI1933" s="147"/>
      <c r="AJ1933" s="148"/>
      <c r="AK1933" s="143"/>
      <c r="AL1933" s="144"/>
      <c r="AM1933" s="22"/>
      <c r="AN1933" s="149" t="s">
        <v>7284</v>
      </c>
      <c r="AO1933" s="144"/>
      <c r="AP1933" s="148">
        <v>80025</v>
      </c>
      <c r="AQ1933" s="144"/>
      <c r="AR1933" s="120"/>
      <c r="AS1933" s="121"/>
      <c r="AT1933" s="120"/>
      <c r="AU1933" s="121"/>
      <c r="AV1933" s="120"/>
      <c r="AW1933" s="121"/>
      <c r="AX1933" s="120"/>
      <c r="AY1933" s="121"/>
      <c r="AZ1933" s="138"/>
    </row>
    <row r="1934" spans="1:52" ht="17.100000000000001" customHeight="1" thickTop="1">
      <c r="A1934" s="109" t="s">
        <v>6702</v>
      </c>
      <c r="B1934" s="28">
        <v>45930</v>
      </c>
      <c r="C1934" s="25">
        <v>959</v>
      </c>
      <c r="D1934" s="13" t="s">
        <v>2759</v>
      </c>
      <c r="E1934" s="111"/>
      <c r="F1934" s="113" t="s">
        <v>5196</v>
      </c>
      <c r="G1934" s="114"/>
      <c r="H1934" s="115"/>
      <c r="I1934" s="24"/>
      <c r="J1934" s="116">
        <v>3.5</v>
      </c>
      <c r="K1934" s="118">
        <v>378000</v>
      </c>
      <c r="L1934" s="119"/>
      <c r="M1934" s="118">
        <f>K1934*0.1</f>
        <v>37800</v>
      </c>
      <c r="N1934" s="119"/>
      <c r="O1934" s="118">
        <v>0</v>
      </c>
      <c r="P1934" s="119"/>
      <c r="Q1934" s="118">
        <v>7140</v>
      </c>
      <c r="R1934" s="119"/>
      <c r="S1934" s="118">
        <v>22000</v>
      </c>
      <c r="T1934" s="119"/>
      <c r="U1934" s="118">
        <f>SUM(K1934:T1935)</f>
        <v>444940</v>
      </c>
      <c r="V1934" s="122"/>
      <c r="W1934" s="124"/>
      <c r="X1934" s="126" t="s">
        <v>7643</v>
      </c>
      <c r="Y1934" s="127"/>
      <c r="Z1934" s="127"/>
      <c r="AA1934" s="127"/>
      <c r="AB1934" s="128"/>
      <c r="AC1934" s="15" t="s">
        <v>20</v>
      </c>
      <c r="AD1934" s="129" t="s">
        <v>2054</v>
      </c>
      <c r="AE1934" s="130"/>
      <c r="AF1934" s="130"/>
      <c r="AG1934" s="130"/>
      <c r="AH1934" s="130"/>
      <c r="AI1934" s="131"/>
      <c r="AJ1934" s="132"/>
      <c r="AK1934" s="127"/>
      <c r="AL1934" s="128"/>
      <c r="AM1934" s="21"/>
      <c r="AN1934" s="133">
        <v>45937</v>
      </c>
      <c r="AO1934" s="134"/>
      <c r="AP1934" s="135">
        <v>1912</v>
      </c>
      <c r="AQ1934" s="136"/>
      <c r="AR1934" s="118">
        <v>485000</v>
      </c>
      <c r="AS1934" s="119"/>
      <c r="AT1934" s="118">
        <f>AR1934*0.1</f>
        <v>48500</v>
      </c>
      <c r="AU1934" s="119"/>
      <c r="AV1934" s="118">
        <v>7140</v>
      </c>
      <c r="AW1934" s="119"/>
      <c r="AX1934" s="118">
        <f>SUM(AR1934:AW1934)</f>
        <v>540640</v>
      </c>
      <c r="AY1934" s="119"/>
      <c r="AZ1934" s="137">
        <v>45944</v>
      </c>
    </row>
    <row r="1935" spans="1:52" ht="17.100000000000001" customHeight="1" thickBot="1">
      <c r="A1935" s="110"/>
      <c r="B1935" s="27" t="s">
        <v>5723</v>
      </c>
      <c r="C1935" s="27">
        <v>5</v>
      </c>
      <c r="D1935" s="14" t="s">
        <v>1592</v>
      </c>
      <c r="E1935" s="112"/>
      <c r="F1935" s="139" t="s">
        <v>5724</v>
      </c>
      <c r="G1935" s="140"/>
      <c r="H1935" s="141"/>
      <c r="I1935" s="26">
        <v>31870</v>
      </c>
      <c r="J1935" s="117"/>
      <c r="K1935" s="120"/>
      <c r="L1935" s="121"/>
      <c r="M1935" s="120"/>
      <c r="N1935" s="121"/>
      <c r="O1935" s="120"/>
      <c r="P1935" s="121"/>
      <c r="Q1935" s="120"/>
      <c r="R1935" s="121"/>
      <c r="S1935" s="120"/>
      <c r="T1935" s="121"/>
      <c r="U1935" s="120"/>
      <c r="V1935" s="123"/>
      <c r="W1935" s="125"/>
      <c r="X1935" s="142" t="s">
        <v>2057</v>
      </c>
      <c r="Y1935" s="143"/>
      <c r="Z1935" s="143"/>
      <c r="AA1935" s="143"/>
      <c r="AB1935" s="144"/>
      <c r="AC1935" s="16" t="s">
        <v>21</v>
      </c>
      <c r="AD1935" s="17" t="s">
        <v>1613</v>
      </c>
      <c r="AE1935" s="145" t="s">
        <v>1670</v>
      </c>
      <c r="AF1935" s="146"/>
      <c r="AG1935" s="146"/>
      <c r="AH1935" s="146"/>
      <c r="AI1935" s="147"/>
      <c r="AJ1935" s="148"/>
      <c r="AK1935" s="143"/>
      <c r="AL1935" s="144"/>
      <c r="AM1935" s="22"/>
      <c r="AN1935" s="149" t="s">
        <v>7644</v>
      </c>
      <c r="AO1935" s="144"/>
      <c r="AP1935" s="148">
        <v>3263</v>
      </c>
      <c r="AQ1935" s="144"/>
      <c r="AR1935" s="120"/>
      <c r="AS1935" s="121"/>
      <c r="AT1935" s="120"/>
      <c r="AU1935" s="121"/>
      <c r="AV1935" s="120"/>
      <c r="AW1935" s="121"/>
      <c r="AX1935" s="120"/>
      <c r="AY1935" s="121"/>
      <c r="AZ1935" s="138"/>
    </row>
    <row r="1936" spans="1:52" ht="17.100000000000001" customHeight="1" thickTop="1">
      <c r="A1936" s="109" t="s">
        <v>6703</v>
      </c>
      <c r="B1936" s="28">
        <v>45930</v>
      </c>
      <c r="C1936" s="25">
        <v>959</v>
      </c>
      <c r="D1936" s="13" t="s">
        <v>2759</v>
      </c>
      <c r="E1936" s="111"/>
      <c r="F1936" s="113" t="s">
        <v>4930</v>
      </c>
      <c r="G1936" s="114"/>
      <c r="H1936" s="115"/>
      <c r="I1936" s="24"/>
      <c r="J1936" s="116">
        <v>3.5</v>
      </c>
      <c r="K1936" s="118">
        <v>398000</v>
      </c>
      <c r="L1936" s="119"/>
      <c r="M1936" s="118">
        <f>K1936*0.1</f>
        <v>39800</v>
      </c>
      <c r="N1936" s="119"/>
      <c r="O1936" s="118">
        <v>0</v>
      </c>
      <c r="P1936" s="119"/>
      <c r="Q1936" s="118">
        <v>7140</v>
      </c>
      <c r="R1936" s="119"/>
      <c r="S1936" s="118">
        <v>22000</v>
      </c>
      <c r="T1936" s="119"/>
      <c r="U1936" s="118">
        <f>SUM(K1936:T1937)</f>
        <v>466940</v>
      </c>
      <c r="V1936" s="122"/>
      <c r="W1936" s="124"/>
      <c r="X1936" s="126" t="s">
        <v>7542</v>
      </c>
      <c r="Y1936" s="127"/>
      <c r="Z1936" s="127"/>
      <c r="AA1936" s="127"/>
      <c r="AB1936" s="128"/>
      <c r="AC1936" s="15" t="s">
        <v>20</v>
      </c>
      <c r="AD1936" s="129" t="s">
        <v>2054</v>
      </c>
      <c r="AE1936" s="130"/>
      <c r="AF1936" s="130"/>
      <c r="AG1936" s="130"/>
      <c r="AH1936" s="130"/>
      <c r="AI1936" s="131"/>
      <c r="AJ1936" s="132"/>
      <c r="AK1936" s="127"/>
      <c r="AL1936" s="128"/>
      <c r="AM1936" s="21"/>
      <c r="AN1936" s="133">
        <v>45937</v>
      </c>
      <c r="AO1936" s="134"/>
      <c r="AP1936" s="135">
        <v>1912</v>
      </c>
      <c r="AQ1936" s="136"/>
      <c r="AR1936" s="118">
        <v>529000</v>
      </c>
      <c r="AS1936" s="119"/>
      <c r="AT1936" s="118">
        <f>AR1936*0.1</f>
        <v>52900</v>
      </c>
      <c r="AU1936" s="119"/>
      <c r="AV1936" s="118">
        <v>7140</v>
      </c>
      <c r="AW1936" s="119"/>
      <c r="AX1936" s="118">
        <f>SUM(AR1936:AW1936)</f>
        <v>589040</v>
      </c>
      <c r="AY1936" s="119"/>
      <c r="AZ1936" s="137"/>
    </row>
    <row r="1937" spans="1:52" ht="17.100000000000001" customHeight="1" thickBot="1">
      <c r="A1937" s="110"/>
      <c r="B1937" s="27" t="s">
        <v>5723</v>
      </c>
      <c r="C1937" s="27">
        <v>52</v>
      </c>
      <c r="D1937" s="14" t="s">
        <v>1592</v>
      </c>
      <c r="E1937" s="112"/>
      <c r="F1937" s="139" t="s">
        <v>5725</v>
      </c>
      <c r="G1937" s="140"/>
      <c r="H1937" s="141"/>
      <c r="I1937" s="26">
        <v>54168</v>
      </c>
      <c r="J1937" s="117"/>
      <c r="K1937" s="120"/>
      <c r="L1937" s="121"/>
      <c r="M1937" s="120"/>
      <c r="N1937" s="121"/>
      <c r="O1937" s="120"/>
      <c r="P1937" s="121"/>
      <c r="Q1937" s="120"/>
      <c r="R1937" s="121"/>
      <c r="S1937" s="120"/>
      <c r="T1937" s="121"/>
      <c r="U1937" s="120"/>
      <c r="V1937" s="123"/>
      <c r="W1937" s="125"/>
      <c r="X1937" s="142" t="s">
        <v>2057</v>
      </c>
      <c r="Y1937" s="143"/>
      <c r="Z1937" s="143"/>
      <c r="AA1937" s="143"/>
      <c r="AB1937" s="144"/>
      <c r="AC1937" s="16" t="s">
        <v>21</v>
      </c>
      <c r="AD1937" s="17" t="s">
        <v>1613</v>
      </c>
      <c r="AE1937" s="145" t="s">
        <v>1670</v>
      </c>
      <c r="AF1937" s="146"/>
      <c r="AG1937" s="146"/>
      <c r="AH1937" s="146"/>
      <c r="AI1937" s="147"/>
      <c r="AJ1937" s="148"/>
      <c r="AK1937" s="143"/>
      <c r="AL1937" s="144"/>
      <c r="AM1937" s="22"/>
      <c r="AN1937" s="149" t="s">
        <v>2131</v>
      </c>
      <c r="AO1937" s="144"/>
      <c r="AP1937" s="148">
        <v>3259</v>
      </c>
      <c r="AQ1937" s="144"/>
      <c r="AR1937" s="120"/>
      <c r="AS1937" s="121"/>
      <c r="AT1937" s="120"/>
      <c r="AU1937" s="121"/>
      <c r="AV1937" s="120"/>
      <c r="AW1937" s="121"/>
      <c r="AX1937" s="120"/>
      <c r="AY1937" s="121"/>
      <c r="AZ1937" s="138"/>
    </row>
    <row r="1938" spans="1:52" ht="17.100000000000001" customHeight="1" thickTop="1">
      <c r="A1938" s="109" t="s">
        <v>6704</v>
      </c>
      <c r="B1938" s="28">
        <v>45930</v>
      </c>
      <c r="C1938" s="25">
        <v>959</v>
      </c>
      <c r="D1938" s="13" t="s">
        <v>2359</v>
      </c>
      <c r="E1938" s="111"/>
      <c r="F1938" s="113" t="s">
        <v>5369</v>
      </c>
      <c r="G1938" s="114"/>
      <c r="H1938" s="115"/>
      <c r="I1938" s="24"/>
      <c r="J1938" s="116">
        <v>3.5</v>
      </c>
      <c r="K1938" s="118">
        <v>518000</v>
      </c>
      <c r="L1938" s="119"/>
      <c r="M1938" s="118">
        <f>K1938*0.1</f>
        <v>51800</v>
      </c>
      <c r="N1938" s="119"/>
      <c r="O1938" s="118">
        <v>0</v>
      </c>
      <c r="P1938" s="119"/>
      <c r="Q1938" s="118">
        <v>6470</v>
      </c>
      <c r="R1938" s="119"/>
      <c r="S1938" s="118">
        <v>22000</v>
      </c>
      <c r="T1938" s="119"/>
      <c r="U1938" s="118">
        <f>SUM(K1938:T1939)</f>
        <v>598270</v>
      </c>
      <c r="V1938" s="122"/>
      <c r="W1938" s="124"/>
      <c r="X1938" s="126" t="s">
        <v>7726</v>
      </c>
      <c r="Y1938" s="127"/>
      <c r="Z1938" s="127"/>
      <c r="AA1938" s="127"/>
      <c r="AB1938" s="128"/>
      <c r="AC1938" s="15" t="s">
        <v>20</v>
      </c>
      <c r="AD1938" s="129" t="s">
        <v>1797</v>
      </c>
      <c r="AE1938" s="130"/>
      <c r="AF1938" s="130"/>
      <c r="AG1938" s="130"/>
      <c r="AH1938" s="130"/>
      <c r="AI1938" s="131"/>
      <c r="AJ1938" s="132"/>
      <c r="AK1938" s="127"/>
      <c r="AL1938" s="128"/>
      <c r="AM1938" s="21"/>
      <c r="AN1938" s="133">
        <v>45951</v>
      </c>
      <c r="AO1938" s="134"/>
      <c r="AP1938" s="135">
        <v>1914</v>
      </c>
      <c r="AQ1938" s="136"/>
      <c r="AR1938" s="118">
        <v>532000</v>
      </c>
      <c r="AS1938" s="119"/>
      <c r="AT1938" s="118">
        <f>AR1938*0.1</f>
        <v>53200</v>
      </c>
      <c r="AU1938" s="119"/>
      <c r="AV1938" s="118">
        <v>6470</v>
      </c>
      <c r="AW1938" s="119"/>
      <c r="AX1938" s="118">
        <f>SUM(AR1938:AW1938)</f>
        <v>591670</v>
      </c>
      <c r="AY1938" s="119"/>
      <c r="AZ1938" s="137">
        <v>45957</v>
      </c>
    </row>
    <row r="1939" spans="1:52" ht="17.100000000000001" customHeight="1" thickBot="1">
      <c r="A1939" s="110"/>
      <c r="B1939" s="27" t="s">
        <v>5723</v>
      </c>
      <c r="C1939" s="27">
        <v>124</v>
      </c>
      <c r="D1939" s="14" t="s">
        <v>1592</v>
      </c>
      <c r="E1939" s="112"/>
      <c r="F1939" s="139" t="s">
        <v>5726</v>
      </c>
      <c r="G1939" s="140"/>
      <c r="H1939" s="141"/>
      <c r="I1939" s="26">
        <v>52147</v>
      </c>
      <c r="J1939" s="117"/>
      <c r="K1939" s="120"/>
      <c r="L1939" s="121"/>
      <c r="M1939" s="120"/>
      <c r="N1939" s="121"/>
      <c r="O1939" s="120"/>
      <c r="P1939" s="121"/>
      <c r="Q1939" s="120"/>
      <c r="R1939" s="121"/>
      <c r="S1939" s="120"/>
      <c r="T1939" s="121"/>
      <c r="U1939" s="120"/>
      <c r="V1939" s="123"/>
      <c r="W1939" s="125"/>
      <c r="X1939" s="142" t="s">
        <v>2057</v>
      </c>
      <c r="Y1939" s="143"/>
      <c r="Z1939" s="143"/>
      <c r="AA1939" s="143"/>
      <c r="AB1939" s="144"/>
      <c r="AC1939" s="16" t="s">
        <v>21</v>
      </c>
      <c r="AD1939" s="17" t="s">
        <v>1613</v>
      </c>
      <c r="AE1939" s="145" t="s">
        <v>1633</v>
      </c>
      <c r="AF1939" s="146"/>
      <c r="AG1939" s="146"/>
      <c r="AH1939" s="146"/>
      <c r="AI1939" s="147"/>
      <c r="AJ1939" s="148"/>
      <c r="AK1939" s="143"/>
      <c r="AL1939" s="144"/>
      <c r="AM1939" s="22"/>
      <c r="AN1939" s="149" t="s">
        <v>2131</v>
      </c>
      <c r="AO1939" s="144"/>
      <c r="AP1939" s="148">
        <v>3081</v>
      </c>
      <c r="AQ1939" s="144"/>
      <c r="AR1939" s="120"/>
      <c r="AS1939" s="121"/>
      <c r="AT1939" s="120"/>
      <c r="AU1939" s="121"/>
      <c r="AV1939" s="120"/>
      <c r="AW1939" s="121"/>
      <c r="AX1939" s="120"/>
      <c r="AY1939" s="121"/>
      <c r="AZ1939" s="138"/>
    </row>
    <row r="1940" spans="1:52" ht="17.100000000000001" customHeight="1" thickTop="1">
      <c r="A1940" s="109" t="s">
        <v>6705</v>
      </c>
      <c r="B1940" s="28">
        <v>45930</v>
      </c>
      <c r="C1940" s="25">
        <v>959</v>
      </c>
      <c r="D1940" s="13" t="s">
        <v>1853</v>
      </c>
      <c r="E1940" s="111"/>
      <c r="F1940" s="113" t="s">
        <v>6728</v>
      </c>
      <c r="G1940" s="114"/>
      <c r="H1940" s="115"/>
      <c r="I1940" s="24" t="s">
        <v>4037</v>
      </c>
      <c r="J1940" s="116">
        <v>4</v>
      </c>
      <c r="K1940" s="118">
        <v>998000</v>
      </c>
      <c r="L1940" s="119"/>
      <c r="M1940" s="118">
        <f>K1940*0.1</f>
        <v>99800</v>
      </c>
      <c r="N1940" s="119"/>
      <c r="O1940" s="118">
        <v>0</v>
      </c>
      <c r="P1940" s="119"/>
      <c r="Q1940" s="118">
        <v>8110</v>
      </c>
      <c r="R1940" s="119"/>
      <c r="S1940" s="118">
        <v>22000</v>
      </c>
      <c r="T1940" s="119"/>
      <c r="U1940" s="118">
        <f>SUM(K1940:T1941)</f>
        <v>1127910</v>
      </c>
      <c r="V1940" s="122"/>
      <c r="W1940" s="124"/>
      <c r="X1940" s="126" t="s">
        <v>6729</v>
      </c>
      <c r="Y1940" s="127"/>
      <c r="Z1940" s="127"/>
      <c r="AA1940" s="127"/>
      <c r="AB1940" s="128"/>
      <c r="AC1940" s="15" t="s">
        <v>20</v>
      </c>
      <c r="AD1940" s="129"/>
      <c r="AE1940" s="130"/>
      <c r="AF1940" s="130"/>
      <c r="AG1940" s="130"/>
      <c r="AH1940" s="130"/>
      <c r="AI1940" s="131"/>
      <c r="AJ1940" s="132"/>
      <c r="AK1940" s="127"/>
      <c r="AL1940" s="128"/>
      <c r="AM1940" s="21"/>
      <c r="AN1940" s="133">
        <v>45994</v>
      </c>
      <c r="AO1940" s="134"/>
      <c r="AP1940" s="135">
        <v>995</v>
      </c>
      <c r="AQ1940" s="136"/>
      <c r="AR1940" s="118">
        <v>1020000</v>
      </c>
      <c r="AS1940" s="119"/>
      <c r="AT1940" s="118">
        <f>AR1940*0.1</f>
        <v>102000</v>
      </c>
      <c r="AU1940" s="119"/>
      <c r="AV1940" s="118">
        <v>8110</v>
      </c>
      <c r="AW1940" s="119"/>
      <c r="AX1940" s="118">
        <f>SUM(AR1940:AW1940)</f>
        <v>1130110</v>
      </c>
      <c r="AY1940" s="119"/>
      <c r="AZ1940" s="137">
        <v>45999</v>
      </c>
    </row>
    <row r="1941" spans="1:52" ht="17.100000000000001" customHeight="1" thickBot="1">
      <c r="A1941" s="110"/>
      <c r="B1941" s="27" t="s">
        <v>5723</v>
      </c>
      <c r="C1941" s="27">
        <v>220</v>
      </c>
      <c r="D1941" s="14" t="s">
        <v>2601</v>
      </c>
      <c r="E1941" s="112"/>
      <c r="F1941" s="139" t="s">
        <v>5727</v>
      </c>
      <c r="G1941" s="140"/>
      <c r="H1941" s="141"/>
      <c r="I1941" s="26">
        <v>26157</v>
      </c>
      <c r="J1941" s="117"/>
      <c r="K1941" s="120"/>
      <c r="L1941" s="121"/>
      <c r="M1941" s="120"/>
      <c r="N1941" s="121"/>
      <c r="O1941" s="120"/>
      <c r="P1941" s="121"/>
      <c r="Q1941" s="120"/>
      <c r="R1941" s="121"/>
      <c r="S1941" s="120"/>
      <c r="T1941" s="121"/>
      <c r="U1941" s="120"/>
      <c r="V1941" s="123"/>
      <c r="W1941" s="125"/>
      <c r="X1941" s="142" t="s">
        <v>7743</v>
      </c>
      <c r="Y1941" s="143"/>
      <c r="Z1941" s="143"/>
      <c r="AA1941" s="143"/>
      <c r="AB1941" s="144"/>
      <c r="AC1941" s="16" t="s">
        <v>21</v>
      </c>
      <c r="AD1941" s="17" t="s">
        <v>1613</v>
      </c>
      <c r="AE1941" s="145" t="s">
        <v>2401</v>
      </c>
      <c r="AF1941" s="146"/>
      <c r="AG1941" s="146"/>
      <c r="AH1941" s="146"/>
      <c r="AI1941" s="147"/>
      <c r="AJ1941" s="148"/>
      <c r="AK1941" s="143"/>
      <c r="AL1941" s="144"/>
      <c r="AM1941" s="22"/>
      <c r="AN1941" s="149" t="s">
        <v>2794</v>
      </c>
      <c r="AO1941" s="144"/>
      <c r="AP1941" s="148">
        <v>2040</v>
      </c>
      <c r="AQ1941" s="144"/>
      <c r="AR1941" s="120"/>
      <c r="AS1941" s="121"/>
      <c r="AT1941" s="120"/>
      <c r="AU1941" s="121"/>
      <c r="AV1941" s="120"/>
      <c r="AW1941" s="121"/>
      <c r="AX1941" s="120"/>
      <c r="AY1941" s="121"/>
      <c r="AZ1941" s="138"/>
    </row>
    <row r="1942" spans="1:52" ht="17.100000000000001" customHeight="1" thickTop="1">
      <c r="A1942" s="109" t="s">
        <v>6706</v>
      </c>
      <c r="B1942" s="28">
        <v>45930</v>
      </c>
      <c r="C1942" s="25">
        <v>959</v>
      </c>
      <c r="D1942" s="13" t="s">
        <v>4121</v>
      </c>
      <c r="E1942" s="111"/>
      <c r="F1942" s="113" t="s">
        <v>5365</v>
      </c>
      <c r="G1942" s="114"/>
      <c r="H1942" s="115"/>
      <c r="I1942" s="24"/>
      <c r="J1942" s="116">
        <v>4</v>
      </c>
      <c r="K1942" s="118">
        <v>468000</v>
      </c>
      <c r="L1942" s="119"/>
      <c r="M1942" s="118">
        <f>K1942*0.1</f>
        <v>46800</v>
      </c>
      <c r="N1942" s="119"/>
      <c r="O1942" s="118">
        <v>0</v>
      </c>
      <c r="P1942" s="119"/>
      <c r="Q1942" s="118">
        <v>8700</v>
      </c>
      <c r="R1942" s="119"/>
      <c r="S1942" s="118">
        <v>22000</v>
      </c>
      <c r="T1942" s="119"/>
      <c r="U1942" s="118">
        <f>SUM(K1942:T1943)</f>
        <v>545500</v>
      </c>
      <c r="V1942" s="122"/>
      <c r="W1942" s="124"/>
      <c r="X1942" s="126" t="s">
        <v>7543</v>
      </c>
      <c r="Y1942" s="127"/>
      <c r="Z1942" s="127"/>
      <c r="AA1942" s="127"/>
      <c r="AB1942" s="128"/>
      <c r="AC1942" s="15" t="s">
        <v>20</v>
      </c>
      <c r="AD1942" s="129" t="s">
        <v>6730</v>
      </c>
      <c r="AE1942" s="130"/>
      <c r="AF1942" s="130"/>
      <c r="AG1942" s="130"/>
      <c r="AH1942" s="130"/>
      <c r="AI1942" s="131"/>
      <c r="AJ1942" s="132"/>
      <c r="AK1942" s="127"/>
      <c r="AL1942" s="128"/>
      <c r="AM1942" s="21"/>
      <c r="AN1942" s="133">
        <v>45937</v>
      </c>
      <c r="AO1942" s="134"/>
      <c r="AP1942" s="135">
        <v>1912</v>
      </c>
      <c r="AQ1942" s="136"/>
      <c r="AR1942" s="118">
        <v>518000</v>
      </c>
      <c r="AS1942" s="119"/>
      <c r="AT1942" s="118">
        <f>AR1942*0.1</f>
        <v>51800</v>
      </c>
      <c r="AU1942" s="119"/>
      <c r="AV1942" s="118">
        <v>8700</v>
      </c>
      <c r="AW1942" s="119"/>
      <c r="AX1942" s="118">
        <f>SUM(AR1942:AW1942)</f>
        <v>578500</v>
      </c>
      <c r="AY1942" s="119"/>
      <c r="AZ1942" s="137"/>
    </row>
    <row r="1943" spans="1:52" ht="17.100000000000001" customHeight="1" thickBot="1">
      <c r="A1943" s="110"/>
      <c r="B1943" s="27" t="s">
        <v>5723</v>
      </c>
      <c r="C1943" s="27">
        <v>1023</v>
      </c>
      <c r="D1943" s="14" t="s">
        <v>1720</v>
      </c>
      <c r="E1943" s="112"/>
      <c r="F1943" s="139" t="s">
        <v>5728</v>
      </c>
      <c r="G1943" s="140"/>
      <c r="H1943" s="141"/>
      <c r="I1943" s="26">
        <v>52202</v>
      </c>
      <c r="J1943" s="117"/>
      <c r="K1943" s="120"/>
      <c r="L1943" s="121"/>
      <c r="M1943" s="120"/>
      <c r="N1943" s="121"/>
      <c r="O1943" s="120"/>
      <c r="P1943" s="121"/>
      <c r="Q1943" s="120"/>
      <c r="R1943" s="121"/>
      <c r="S1943" s="120"/>
      <c r="T1943" s="121"/>
      <c r="U1943" s="120"/>
      <c r="V1943" s="123"/>
      <c r="W1943" s="125"/>
      <c r="X1943" s="142" t="s">
        <v>5035</v>
      </c>
      <c r="Y1943" s="143"/>
      <c r="Z1943" s="143"/>
      <c r="AA1943" s="143"/>
      <c r="AB1943" s="144"/>
      <c r="AC1943" s="16" t="s">
        <v>21</v>
      </c>
      <c r="AD1943" s="17" t="s">
        <v>1613</v>
      </c>
      <c r="AE1943" s="145" t="s">
        <v>7836</v>
      </c>
      <c r="AF1943" s="146"/>
      <c r="AG1943" s="146"/>
      <c r="AH1943" s="146"/>
      <c r="AI1943" s="147"/>
      <c r="AJ1943" s="148"/>
      <c r="AK1943" s="143"/>
      <c r="AL1943" s="144"/>
      <c r="AM1943" s="22"/>
      <c r="AN1943" s="149" t="s">
        <v>2131</v>
      </c>
      <c r="AO1943" s="144"/>
      <c r="AP1943" s="148">
        <v>3179</v>
      </c>
      <c r="AQ1943" s="144"/>
      <c r="AR1943" s="120"/>
      <c r="AS1943" s="121"/>
      <c r="AT1943" s="120"/>
      <c r="AU1943" s="121"/>
      <c r="AV1943" s="120"/>
      <c r="AW1943" s="121"/>
      <c r="AX1943" s="120"/>
      <c r="AY1943" s="121"/>
      <c r="AZ1943" s="138"/>
    </row>
    <row r="1944" spans="1:52" ht="17.100000000000001" customHeight="1" thickTop="1">
      <c r="A1944" s="109" t="s">
        <v>6707</v>
      </c>
      <c r="B1944" s="28">
        <v>45930</v>
      </c>
      <c r="C1944" s="25">
        <v>777</v>
      </c>
      <c r="D1944" s="13" t="s">
        <v>818</v>
      </c>
      <c r="E1944" s="111"/>
      <c r="F1944" s="113" t="s">
        <v>5196</v>
      </c>
      <c r="G1944" s="114"/>
      <c r="H1944" s="115"/>
      <c r="I1944" s="24"/>
      <c r="J1944" s="116">
        <v>4.5</v>
      </c>
      <c r="K1944" s="118">
        <v>459000</v>
      </c>
      <c r="L1944" s="119"/>
      <c r="M1944" s="118">
        <f>K1944*0.1</f>
        <v>45900</v>
      </c>
      <c r="N1944" s="119"/>
      <c r="O1944" s="118">
        <v>0</v>
      </c>
      <c r="P1944" s="119"/>
      <c r="Q1944" s="118">
        <v>7140</v>
      </c>
      <c r="R1944" s="119"/>
      <c r="S1944" s="118">
        <v>22000</v>
      </c>
      <c r="T1944" s="119"/>
      <c r="U1944" s="118">
        <f>SUM(K1944:T1945)</f>
        <v>534040</v>
      </c>
      <c r="V1944" s="122"/>
      <c r="W1944" s="124"/>
      <c r="X1944" s="126" t="s">
        <v>7725</v>
      </c>
      <c r="Y1944" s="127"/>
      <c r="Z1944" s="127"/>
      <c r="AA1944" s="127"/>
      <c r="AB1944" s="128"/>
      <c r="AC1944" s="15" t="s">
        <v>20</v>
      </c>
      <c r="AD1944" s="129" t="s">
        <v>1670</v>
      </c>
      <c r="AE1944" s="130"/>
      <c r="AF1944" s="130"/>
      <c r="AG1944" s="130"/>
      <c r="AH1944" s="130"/>
      <c r="AI1944" s="131"/>
      <c r="AJ1944" s="132"/>
      <c r="AK1944" s="127"/>
      <c r="AL1944" s="128"/>
      <c r="AM1944" s="21"/>
      <c r="AN1944" s="133">
        <v>45951</v>
      </c>
      <c r="AO1944" s="134"/>
      <c r="AP1944" s="135">
        <v>1912</v>
      </c>
      <c r="AQ1944" s="136"/>
      <c r="AR1944" s="118">
        <v>538000</v>
      </c>
      <c r="AS1944" s="119"/>
      <c r="AT1944" s="118">
        <f>AR1944*0.1</f>
        <v>53800</v>
      </c>
      <c r="AU1944" s="119"/>
      <c r="AV1944" s="118">
        <v>7140</v>
      </c>
      <c r="AW1944" s="119"/>
      <c r="AX1944" s="118">
        <f>SUM(AR1944:AW1944)</f>
        <v>598940</v>
      </c>
      <c r="AY1944" s="119"/>
      <c r="AZ1944" s="137">
        <v>45957</v>
      </c>
    </row>
    <row r="1945" spans="1:52" ht="17.100000000000001" customHeight="1" thickBot="1">
      <c r="A1945" s="110"/>
      <c r="B1945" s="27" t="s">
        <v>5729</v>
      </c>
      <c r="C1945" s="27">
        <v>23</v>
      </c>
      <c r="D1945" s="14" t="s">
        <v>1592</v>
      </c>
      <c r="E1945" s="112"/>
      <c r="F1945" s="139" t="s">
        <v>5730</v>
      </c>
      <c r="G1945" s="140"/>
      <c r="H1945" s="141"/>
      <c r="I1945" s="26">
        <v>2543</v>
      </c>
      <c r="J1945" s="117"/>
      <c r="K1945" s="120"/>
      <c r="L1945" s="121"/>
      <c r="M1945" s="120"/>
      <c r="N1945" s="121"/>
      <c r="O1945" s="120"/>
      <c r="P1945" s="121"/>
      <c r="Q1945" s="120"/>
      <c r="R1945" s="121"/>
      <c r="S1945" s="120"/>
      <c r="T1945" s="121"/>
      <c r="U1945" s="120"/>
      <c r="V1945" s="123"/>
      <c r="W1945" s="125"/>
      <c r="X1945" s="142" t="s">
        <v>2057</v>
      </c>
      <c r="Y1945" s="143"/>
      <c r="Z1945" s="143"/>
      <c r="AA1945" s="143"/>
      <c r="AB1945" s="144"/>
      <c r="AC1945" s="16" t="s">
        <v>21</v>
      </c>
      <c r="AD1945" s="17" t="s">
        <v>2604</v>
      </c>
      <c r="AE1945" s="145" t="s">
        <v>7835</v>
      </c>
      <c r="AF1945" s="146"/>
      <c r="AG1945" s="146"/>
      <c r="AH1945" s="146"/>
      <c r="AI1945" s="147"/>
      <c r="AJ1945" s="148"/>
      <c r="AK1945" s="143"/>
      <c r="AL1945" s="144"/>
      <c r="AM1945" s="22"/>
      <c r="AN1945" s="149" t="s">
        <v>2131</v>
      </c>
      <c r="AO1945" s="144"/>
      <c r="AP1945" s="148">
        <v>3107</v>
      </c>
      <c r="AQ1945" s="144"/>
      <c r="AR1945" s="120"/>
      <c r="AS1945" s="121"/>
      <c r="AT1945" s="120"/>
      <c r="AU1945" s="121"/>
      <c r="AV1945" s="120"/>
      <c r="AW1945" s="121"/>
      <c r="AX1945" s="120"/>
      <c r="AY1945" s="121"/>
      <c r="AZ1945" s="138"/>
    </row>
    <row r="1946" spans="1:52" ht="17.100000000000001" customHeight="1" thickTop="1">
      <c r="A1946" s="109" t="s">
        <v>6708</v>
      </c>
      <c r="B1946" s="28">
        <v>45930</v>
      </c>
      <c r="C1946" s="25">
        <v>777</v>
      </c>
      <c r="D1946" s="13" t="s">
        <v>1930</v>
      </c>
      <c r="E1946" s="111"/>
      <c r="F1946" s="113" t="s">
        <v>2719</v>
      </c>
      <c r="G1946" s="114"/>
      <c r="H1946" s="115"/>
      <c r="I1946" s="24" t="s">
        <v>2526</v>
      </c>
      <c r="J1946" s="116">
        <v>4.5</v>
      </c>
      <c r="K1946" s="118">
        <v>1298000</v>
      </c>
      <c r="L1946" s="119"/>
      <c r="M1946" s="118">
        <f>K1946*0.1</f>
        <v>129800</v>
      </c>
      <c r="N1946" s="119"/>
      <c r="O1946" s="118">
        <v>0</v>
      </c>
      <c r="P1946" s="119"/>
      <c r="Q1946" s="118">
        <v>11100</v>
      </c>
      <c r="R1946" s="119"/>
      <c r="S1946" s="118">
        <v>22000</v>
      </c>
      <c r="T1946" s="119"/>
      <c r="U1946" s="118">
        <f>SUM(K1946:T1947)</f>
        <v>1460900</v>
      </c>
      <c r="V1946" s="122"/>
      <c r="W1946" s="124"/>
      <c r="X1946" s="126" t="s">
        <v>6731</v>
      </c>
      <c r="Y1946" s="127"/>
      <c r="Z1946" s="127"/>
      <c r="AA1946" s="127"/>
      <c r="AB1946" s="128"/>
      <c r="AC1946" s="15" t="s">
        <v>20</v>
      </c>
      <c r="AD1946" s="129" t="s">
        <v>4982</v>
      </c>
      <c r="AE1946" s="130"/>
      <c r="AF1946" s="130"/>
      <c r="AG1946" s="130"/>
      <c r="AH1946" s="130"/>
      <c r="AI1946" s="131"/>
      <c r="AJ1946" s="132"/>
      <c r="AK1946" s="127"/>
      <c r="AL1946" s="128"/>
      <c r="AM1946" s="21" t="s">
        <v>8310</v>
      </c>
      <c r="AN1946" s="133">
        <v>45944</v>
      </c>
      <c r="AO1946" s="134"/>
      <c r="AP1946" s="135">
        <v>1913</v>
      </c>
      <c r="AQ1946" s="136"/>
      <c r="AR1946" s="118">
        <v>1364000</v>
      </c>
      <c r="AS1946" s="119"/>
      <c r="AT1946" s="118">
        <f>AR1946*0.1</f>
        <v>136400</v>
      </c>
      <c r="AU1946" s="119"/>
      <c r="AV1946" s="118">
        <v>11100</v>
      </c>
      <c r="AW1946" s="119"/>
      <c r="AX1946" s="118">
        <f>SUM(AR1946:AW1946)</f>
        <v>1511500</v>
      </c>
      <c r="AY1946" s="119"/>
      <c r="AZ1946" s="137">
        <v>45950</v>
      </c>
    </row>
    <row r="1947" spans="1:52" ht="17.100000000000001" customHeight="1" thickBot="1">
      <c r="A1947" s="110"/>
      <c r="B1947" s="27" t="s">
        <v>5729</v>
      </c>
      <c r="C1947" s="27">
        <v>58</v>
      </c>
      <c r="D1947" s="14" t="s">
        <v>275</v>
      </c>
      <c r="E1947" s="112"/>
      <c r="F1947" s="139" t="s">
        <v>5731</v>
      </c>
      <c r="G1947" s="140"/>
      <c r="H1947" s="141"/>
      <c r="I1947" s="26">
        <v>5122</v>
      </c>
      <c r="J1947" s="117"/>
      <c r="K1947" s="120"/>
      <c r="L1947" s="121"/>
      <c r="M1947" s="120"/>
      <c r="N1947" s="121"/>
      <c r="O1947" s="120"/>
      <c r="P1947" s="121"/>
      <c r="Q1947" s="120"/>
      <c r="R1947" s="121"/>
      <c r="S1947" s="120"/>
      <c r="T1947" s="121"/>
      <c r="U1947" s="120"/>
      <c r="V1947" s="123"/>
      <c r="W1947" s="125"/>
      <c r="X1947" s="142" t="s">
        <v>2057</v>
      </c>
      <c r="Y1947" s="143"/>
      <c r="Z1947" s="143"/>
      <c r="AA1947" s="143"/>
      <c r="AB1947" s="144"/>
      <c r="AC1947" s="16" t="s">
        <v>21</v>
      </c>
      <c r="AD1947" s="17" t="s">
        <v>1613</v>
      </c>
      <c r="AE1947" s="145" t="s">
        <v>7724</v>
      </c>
      <c r="AF1947" s="146"/>
      <c r="AG1947" s="146"/>
      <c r="AH1947" s="146"/>
      <c r="AI1947" s="147"/>
      <c r="AJ1947" s="148"/>
      <c r="AK1947" s="143"/>
      <c r="AL1947" s="144"/>
      <c r="AM1947" s="22"/>
      <c r="AN1947" s="149" t="s">
        <v>2131</v>
      </c>
      <c r="AO1947" s="144"/>
      <c r="AP1947" s="148">
        <v>3107</v>
      </c>
      <c r="AQ1947" s="144"/>
      <c r="AR1947" s="120"/>
      <c r="AS1947" s="121"/>
      <c r="AT1947" s="120"/>
      <c r="AU1947" s="121"/>
      <c r="AV1947" s="120"/>
      <c r="AW1947" s="121"/>
      <c r="AX1947" s="120"/>
      <c r="AY1947" s="121"/>
      <c r="AZ1947" s="138"/>
    </row>
    <row r="1948" spans="1:52" ht="17.100000000000001" customHeight="1" thickTop="1">
      <c r="A1948" s="109" t="s">
        <v>6709</v>
      </c>
      <c r="B1948" s="28">
        <v>45930</v>
      </c>
      <c r="C1948" s="25">
        <v>777</v>
      </c>
      <c r="D1948" s="13" t="s">
        <v>1930</v>
      </c>
      <c r="E1948" s="111"/>
      <c r="F1948" s="113" t="s">
        <v>2719</v>
      </c>
      <c r="G1948" s="114"/>
      <c r="H1948" s="115"/>
      <c r="I1948" s="24" t="s">
        <v>2526</v>
      </c>
      <c r="J1948" s="116">
        <v>4.5</v>
      </c>
      <c r="K1948" s="118">
        <v>1298000</v>
      </c>
      <c r="L1948" s="119"/>
      <c r="M1948" s="118">
        <f>K1948*0.1</f>
        <v>129800</v>
      </c>
      <c r="N1948" s="119"/>
      <c r="O1948" s="118">
        <v>0</v>
      </c>
      <c r="P1948" s="119"/>
      <c r="Q1948" s="118">
        <v>11100</v>
      </c>
      <c r="R1948" s="119"/>
      <c r="S1948" s="118">
        <v>22000</v>
      </c>
      <c r="T1948" s="119"/>
      <c r="U1948" s="118">
        <f>SUM(K1948:T1949)</f>
        <v>1460900</v>
      </c>
      <c r="V1948" s="122"/>
      <c r="W1948" s="124"/>
      <c r="X1948" s="126" t="s">
        <v>6732</v>
      </c>
      <c r="Y1948" s="127"/>
      <c r="Z1948" s="127"/>
      <c r="AA1948" s="127"/>
      <c r="AB1948" s="128"/>
      <c r="AC1948" s="15" t="s">
        <v>20</v>
      </c>
      <c r="AD1948" s="129" t="s">
        <v>4982</v>
      </c>
      <c r="AE1948" s="130"/>
      <c r="AF1948" s="130"/>
      <c r="AG1948" s="130"/>
      <c r="AH1948" s="130"/>
      <c r="AI1948" s="131"/>
      <c r="AJ1948" s="132"/>
      <c r="AK1948" s="127"/>
      <c r="AL1948" s="128"/>
      <c r="AM1948" s="21" t="s">
        <v>8311</v>
      </c>
      <c r="AN1948" s="133">
        <v>45944</v>
      </c>
      <c r="AO1948" s="134"/>
      <c r="AP1948" s="135">
        <v>1913</v>
      </c>
      <c r="AQ1948" s="136"/>
      <c r="AR1948" s="118">
        <v>1361000</v>
      </c>
      <c r="AS1948" s="119"/>
      <c r="AT1948" s="118">
        <f>AR1948*0.1</f>
        <v>136100</v>
      </c>
      <c r="AU1948" s="119"/>
      <c r="AV1948" s="118">
        <v>11100</v>
      </c>
      <c r="AW1948" s="119"/>
      <c r="AX1948" s="118">
        <f>SUM(AR1948:AW1948)</f>
        <v>1508200</v>
      </c>
      <c r="AY1948" s="119"/>
      <c r="AZ1948" s="137">
        <v>45950</v>
      </c>
    </row>
    <row r="1949" spans="1:52" ht="17.100000000000001" customHeight="1" thickBot="1">
      <c r="A1949" s="110"/>
      <c r="B1949" s="27" t="s">
        <v>5729</v>
      </c>
      <c r="C1949" s="27">
        <v>61</v>
      </c>
      <c r="D1949" s="14" t="s">
        <v>275</v>
      </c>
      <c r="E1949" s="112"/>
      <c r="F1949" s="139" t="s">
        <v>5732</v>
      </c>
      <c r="G1949" s="140"/>
      <c r="H1949" s="141"/>
      <c r="I1949" s="26">
        <v>4397</v>
      </c>
      <c r="J1949" s="117"/>
      <c r="K1949" s="120"/>
      <c r="L1949" s="121"/>
      <c r="M1949" s="120"/>
      <c r="N1949" s="121"/>
      <c r="O1949" s="120"/>
      <c r="P1949" s="121"/>
      <c r="Q1949" s="120"/>
      <c r="R1949" s="121"/>
      <c r="S1949" s="120"/>
      <c r="T1949" s="121"/>
      <c r="U1949" s="120"/>
      <c r="V1949" s="123"/>
      <c r="W1949" s="125"/>
      <c r="X1949" s="142" t="s">
        <v>2057</v>
      </c>
      <c r="Y1949" s="143"/>
      <c r="Z1949" s="143"/>
      <c r="AA1949" s="143"/>
      <c r="AB1949" s="144"/>
      <c r="AC1949" s="16" t="s">
        <v>21</v>
      </c>
      <c r="AD1949" s="17" t="s">
        <v>1613</v>
      </c>
      <c r="AE1949" s="145" t="s">
        <v>7724</v>
      </c>
      <c r="AF1949" s="146"/>
      <c r="AG1949" s="146"/>
      <c r="AH1949" s="146"/>
      <c r="AI1949" s="147"/>
      <c r="AJ1949" s="148"/>
      <c r="AK1949" s="143"/>
      <c r="AL1949" s="144"/>
      <c r="AM1949" s="22"/>
      <c r="AN1949" s="149" t="s">
        <v>2131</v>
      </c>
      <c r="AO1949" s="144"/>
      <c r="AP1949" s="148">
        <v>3171</v>
      </c>
      <c r="AQ1949" s="144"/>
      <c r="AR1949" s="120"/>
      <c r="AS1949" s="121"/>
      <c r="AT1949" s="120"/>
      <c r="AU1949" s="121"/>
      <c r="AV1949" s="120"/>
      <c r="AW1949" s="121"/>
      <c r="AX1949" s="120"/>
      <c r="AY1949" s="121"/>
      <c r="AZ1949" s="138"/>
    </row>
    <row r="1950" spans="1:52" ht="17.100000000000001" customHeight="1" thickTop="1">
      <c r="A1950" s="109" t="s">
        <v>6710</v>
      </c>
      <c r="B1950" s="28">
        <v>45930</v>
      </c>
      <c r="C1950" s="25">
        <v>777</v>
      </c>
      <c r="D1950" s="13" t="s">
        <v>1930</v>
      </c>
      <c r="E1950" s="111"/>
      <c r="F1950" s="113" t="s">
        <v>2719</v>
      </c>
      <c r="G1950" s="114"/>
      <c r="H1950" s="115"/>
      <c r="I1950" s="24" t="s">
        <v>2526</v>
      </c>
      <c r="J1950" s="116">
        <v>4.5</v>
      </c>
      <c r="K1950" s="118">
        <v>1298000</v>
      </c>
      <c r="L1950" s="119"/>
      <c r="M1950" s="118">
        <f>K1950*0.1</f>
        <v>129800</v>
      </c>
      <c r="N1950" s="119"/>
      <c r="O1950" s="118">
        <v>0</v>
      </c>
      <c r="P1950" s="119"/>
      <c r="Q1950" s="118">
        <v>11100</v>
      </c>
      <c r="R1950" s="119"/>
      <c r="S1950" s="118">
        <v>22000</v>
      </c>
      <c r="T1950" s="119"/>
      <c r="U1950" s="118">
        <f>SUM(K1950:T1951)</f>
        <v>1460900</v>
      </c>
      <c r="V1950" s="122"/>
      <c r="W1950" s="124"/>
      <c r="X1950" s="126" t="s">
        <v>6733</v>
      </c>
      <c r="Y1950" s="127"/>
      <c r="Z1950" s="127"/>
      <c r="AA1950" s="127"/>
      <c r="AB1950" s="128"/>
      <c r="AC1950" s="15" t="s">
        <v>20</v>
      </c>
      <c r="AD1950" s="129" t="s">
        <v>4982</v>
      </c>
      <c r="AE1950" s="130"/>
      <c r="AF1950" s="130"/>
      <c r="AG1950" s="130"/>
      <c r="AH1950" s="130"/>
      <c r="AI1950" s="131"/>
      <c r="AJ1950" s="132"/>
      <c r="AK1950" s="127"/>
      <c r="AL1950" s="128"/>
      <c r="AM1950" s="21" t="s">
        <v>8312</v>
      </c>
      <c r="AN1950" s="133">
        <v>45944</v>
      </c>
      <c r="AO1950" s="134"/>
      <c r="AP1950" s="135">
        <v>1913</v>
      </c>
      <c r="AQ1950" s="136"/>
      <c r="AR1950" s="118">
        <v>1367000</v>
      </c>
      <c r="AS1950" s="119"/>
      <c r="AT1950" s="118">
        <f>AR1950*0.1</f>
        <v>136700</v>
      </c>
      <c r="AU1950" s="119"/>
      <c r="AV1950" s="118">
        <v>11100</v>
      </c>
      <c r="AW1950" s="119"/>
      <c r="AX1950" s="118">
        <f>SUM(AR1950:AW1950)</f>
        <v>1514800</v>
      </c>
      <c r="AY1950" s="119"/>
      <c r="AZ1950" s="137">
        <v>45950</v>
      </c>
    </row>
    <row r="1951" spans="1:52" ht="17.100000000000001" customHeight="1" thickBot="1">
      <c r="A1951" s="110"/>
      <c r="B1951" s="27" t="s">
        <v>5729</v>
      </c>
      <c r="C1951" s="27">
        <v>62</v>
      </c>
      <c r="D1951" s="14" t="s">
        <v>275</v>
      </c>
      <c r="E1951" s="112"/>
      <c r="F1951" s="139" t="s">
        <v>5733</v>
      </c>
      <c r="G1951" s="140"/>
      <c r="H1951" s="141"/>
      <c r="I1951" s="26">
        <v>3908</v>
      </c>
      <c r="J1951" s="117"/>
      <c r="K1951" s="120"/>
      <c r="L1951" s="121"/>
      <c r="M1951" s="120"/>
      <c r="N1951" s="121"/>
      <c r="O1951" s="120"/>
      <c r="P1951" s="121"/>
      <c r="Q1951" s="120"/>
      <c r="R1951" s="121"/>
      <c r="S1951" s="120"/>
      <c r="T1951" s="121"/>
      <c r="U1951" s="120"/>
      <c r="V1951" s="123"/>
      <c r="W1951" s="125"/>
      <c r="X1951" s="142" t="s">
        <v>2057</v>
      </c>
      <c r="Y1951" s="143"/>
      <c r="Z1951" s="143"/>
      <c r="AA1951" s="143"/>
      <c r="AB1951" s="144"/>
      <c r="AC1951" s="16" t="s">
        <v>21</v>
      </c>
      <c r="AD1951" s="17" t="s">
        <v>1613</v>
      </c>
      <c r="AE1951" s="145" t="s">
        <v>7831</v>
      </c>
      <c r="AF1951" s="146"/>
      <c r="AG1951" s="146"/>
      <c r="AH1951" s="146"/>
      <c r="AI1951" s="147"/>
      <c r="AJ1951" s="148"/>
      <c r="AK1951" s="143"/>
      <c r="AL1951" s="144"/>
      <c r="AM1951" s="22"/>
      <c r="AN1951" s="149" t="s">
        <v>2131</v>
      </c>
      <c r="AO1951" s="144"/>
      <c r="AP1951" s="148">
        <v>3091</v>
      </c>
      <c r="AQ1951" s="144"/>
      <c r="AR1951" s="120"/>
      <c r="AS1951" s="121"/>
      <c r="AT1951" s="120"/>
      <c r="AU1951" s="121"/>
      <c r="AV1951" s="120"/>
      <c r="AW1951" s="121"/>
      <c r="AX1951" s="120"/>
      <c r="AY1951" s="121"/>
      <c r="AZ1951" s="138"/>
    </row>
    <row r="1952" spans="1:52" ht="17.100000000000001" customHeight="1" thickTop="1">
      <c r="A1952" s="109" t="s">
        <v>6711</v>
      </c>
      <c r="B1952" s="28">
        <v>45930</v>
      </c>
      <c r="C1952" s="25">
        <v>777</v>
      </c>
      <c r="D1952" s="13" t="s">
        <v>1930</v>
      </c>
      <c r="E1952" s="111"/>
      <c r="F1952" s="113" t="s">
        <v>2719</v>
      </c>
      <c r="G1952" s="114"/>
      <c r="H1952" s="115"/>
      <c r="I1952" s="24" t="s">
        <v>2526</v>
      </c>
      <c r="J1952" s="116">
        <v>4.5</v>
      </c>
      <c r="K1952" s="118">
        <v>1298000</v>
      </c>
      <c r="L1952" s="119"/>
      <c r="M1952" s="118">
        <f>K1952*0.1</f>
        <v>129800</v>
      </c>
      <c r="N1952" s="119"/>
      <c r="O1952" s="118">
        <v>0</v>
      </c>
      <c r="P1952" s="119"/>
      <c r="Q1952" s="118">
        <v>11100</v>
      </c>
      <c r="R1952" s="119"/>
      <c r="S1952" s="118">
        <v>22000</v>
      </c>
      <c r="T1952" s="119"/>
      <c r="U1952" s="118">
        <f>SUM(K1952:T1953)</f>
        <v>1460900</v>
      </c>
      <c r="V1952" s="122"/>
      <c r="W1952" s="124"/>
      <c r="X1952" s="126" t="s">
        <v>6734</v>
      </c>
      <c r="Y1952" s="127"/>
      <c r="Z1952" s="127"/>
      <c r="AA1952" s="127"/>
      <c r="AB1952" s="128"/>
      <c r="AC1952" s="15" t="s">
        <v>20</v>
      </c>
      <c r="AD1952" s="129" t="s">
        <v>4982</v>
      </c>
      <c r="AE1952" s="130"/>
      <c r="AF1952" s="130"/>
      <c r="AG1952" s="130"/>
      <c r="AH1952" s="130"/>
      <c r="AI1952" s="131"/>
      <c r="AJ1952" s="132"/>
      <c r="AK1952" s="127"/>
      <c r="AL1952" s="128"/>
      <c r="AM1952" s="21" t="s">
        <v>8289</v>
      </c>
      <c r="AN1952" s="133">
        <v>45944</v>
      </c>
      <c r="AO1952" s="134"/>
      <c r="AP1952" s="135">
        <v>1913</v>
      </c>
      <c r="AQ1952" s="136"/>
      <c r="AR1952" s="118">
        <v>1364000</v>
      </c>
      <c r="AS1952" s="119"/>
      <c r="AT1952" s="118">
        <f>AR1952*0.1</f>
        <v>136400</v>
      </c>
      <c r="AU1952" s="119"/>
      <c r="AV1952" s="118">
        <v>11100</v>
      </c>
      <c r="AW1952" s="119"/>
      <c r="AX1952" s="118">
        <f>SUM(AR1952:AW1952)</f>
        <v>1511500</v>
      </c>
      <c r="AY1952" s="119"/>
      <c r="AZ1952" s="137">
        <v>45950</v>
      </c>
    </row>
    <row r="1953" spans="1:52" ht="17.100000000000001" customHeight="1" thickBot="1">
      <c r="A1953" s="110"/>
      <c r="B1953" s="27" t="s">
        <v>5729</v>
      </c>
      <c r="C1953" s="27">
        <v>63</v>
      </c>
      <c r="D1953" s="14" t="s">
        <v>275</v>
      </c>
      <c r="E1953" s="112"/>
      <c r="F1953" s="139" t="s">
        <v>5734</v>
      </c>
      <c r="G1953" s="140"/>
      <c r="H1953" s="141"/>
      <c r="I1953" s="26">
        <v>5724</v>
      </c>
      <c r="J1953" s="117"/>
      <c r="K1953" s="120"/>
      <c r="L1953" s="121"/>
      <c r="M1953" s="120"/>
      <c r="N1953" s="121"/>
      <c r="O1953" s="120"/>
      <c r="P1953" s="121"/>
      <c r="Q1953" s="120"/>
      <c r="R1953" s="121"/>
      <c r="S1953" s="120"/>
      <c r="T1953" s="121"/>
      <c r="U1953" s="120"/>
      <c r="V1953" s="123"/>
      <c r="W1953" s="125"/>
      <c r="X1953" s="142" t="s">
        <v>2057</v>
      </c>
      <c r="Y1953" s="143"/>
      <c r="Z1953" s="143"/>
      <c r="AA1953" s="143"/>
      <c r="AB1953" s="144"/>
      <c r="AC1953" s="16" t="s">
        <v>21</v>
      </c>
      <c r="AD1953" s="17" t="s">
        <v>1613</v>
      </c>
      <c r="AE1953" s="145" t="s">
        <v>7752</v>
      </c>
      <c r="AF1953" s="146"/>
      <c r="AG1953" s="146"/>
      <c r="AH1953" s="146"/>
      <c r="AI1953" s="147"/>
      <c r="AJ1953" s="148"/>
      <c r="AK1953" s="143"/>
      <c r="AL1953" s="144"/>
      <c r="AM1953" s="22"/>
      <c r="AN1953" s="149" t="s">
        <v>2131</v>
      </c>
      <c r="AO1953" s="144"/>
      <c r="AP1953" s="148">
        <v>3081</v>
      </c>
      <c r="AQ1953" s="144"/>
      <c r="AR1953" s="120"/>
      <c r="AS1953" s="121"/>
      <c r="AT1953" s="120"/>
      <c r="AU1953" s="121"/>
      <c r="AV1953" s="120"/>
      <c r="AW1953" s="121"/>
      <c r="AX1953" s="120"/>
      <c r="AY1953" s="121"/>
      <c r="AZ1953" s="138"/>
    </row>
    <row r="1954" spans="1:52" ht="17.100000000000001" customHeight="1" thickTop="1">
      <c r="A1954" s="109" t="s">
        <v>6712</v>
      </c>
      <c r="B1954" s="28">
        <v>45930</v>
      </c>
      <c r="C1954" s="25">
        <v>777</v>
      </c>
      <c r="D1954" s="13" t="s">
        <v>1930</v>
      </c>
      <c r="E1954" s="111"/>
      <c r="F1954" s="113" t="s">
        <v>2719</v>
      </c>
      <c r="G1954" s="114"/>
      <c r="H1954" s="115"/>
      <c r="I1954" s="24" t="s">
        <v>2526</v>
      </c>
      <c r="J1954" s="116">
        <v>4.5</v>
      </c>
      <c r="K1954" s="118">
        <v>1298000</v>
      </c>
      <c r="L1954" s="119"/>
      <c r="M1954" s="118">
        <f>K1954*0.1</f>
        <v>129800</v>
      </c>
      <c r="N1954" s="119"/>
      <c r="O1954" s="118">
        <v>0</v>
      </c>
      <c r="P1954" s="119"/>
      <c r="Q1954" s="118">
        <v>111000</v>
      </c>
      <c r="R1954" s="119"/>
      <c r="S1954" s="118">
        <v>22000</v>
      </c>
      <c r="T1954" s="119"/>
      <c r="U1954" s="118">
        <f>SUM(K1954:T1955)</f>
        <v>1560800</v>
      </c>
      <c r="V1954" s="122"/>
      <c r="W1954" s="124"/>
      <c r="X1954" s="126" t="s">
        <v>6735</v>
      </c>
      <c r="Y1954" s="127"/>
      <c r="Z1954" s="127"/>
      <c r="AA1954" s="127"/>
      <c r="AB1954" s="128"/>
      <c r="AC1954" s="15" t="s">
        <v>20</v>
      </c>
      <c r="AD1954" s="129" t="s">
        <v>4982</v>
      </c>
      <c r="AE1954" s="130"/>
      <c r="AF1954" s="130"/>
      <c r="AG1954" s="130"/>
      <c r="AH1954" s="130"/>
      <c r="AI1954" s="131"/>
      <c r="AJ1954" s="132"/>
      <c r="AK1954" s="127"/>
      <c r="AL1954" s="128"/>
      <c r="AM1954" s="21" t="s">
        <v>8290</v>
      </c>
      <c r="AN1954" s="133">
        <v>45944</v>
      </c>
      <c r="AO1954" s="134"/>
      <c r="AP1954" s="135">
        <v>1913</v>
      </c>
      <c r="AQ1954" s="136"/>
      <c r="AR1954" s="118">
        <v>1367000</v>
      </c>
      <c r="AS1954" s="119"/>
      <c r="AT1954" s="118">
        <f>AR1954*0.1</f>
        <v>136700</v>
      </c>
      <c r="AU1954" s="119"/>
      <c r="AV1954" s="118">
        <v>11100</v>
      </c>
      <c r="AW1954" s="119"/>
      <c r="AX1954" s="118">
        <f>SUM(AR1954:AW1954)</f>
        <v>1514800</v>
      </c>
      <c r="AY1954" s="119"/>
      <c r="AZ1954" s="137">
        <v>45950</v>
      </c>
    </row>
    <row r="1955" spans="1:52" ht="17.100000000000001" customHeight="1" thickBot="1">
      <c r="A1955" s="110"/>
      <c r="B1955" s="27" t="s">
        <v>5729</v>
      </c>
      <c r="C1955" s="27">
        <v>64</v>
      </c>
      <c r="D1955" s="14" t="s">
        <v>275</v>
      </c>
      <c r="E1955" s="112"/>
      <c r="F1955" s="139" t="s">
        <v>5735</v>
      </c>
      <c r="G1955" s="140"/>
      <c r="H1955" s="141"/>
      <c r="I1955" s="26">
        <v>3204</v>
      </c>
      <c r="J1955" s="117"/>
      <c r="K1955" s="120"/>
      <c r="L1955" s="121"/>
      <c r="M1955" s="120"/>
      <c r="N1955" s="121"/>
      <c r="O1955" s="120"/>
      <c r="P1955" s="121"/>
      <c r="Q1955" s="120"/>
      <c r="R1955" s="121"/>
      <c r="S1955" s="120"/>
      <c r="T1955" s="121"/>
      <c r="U1955" s="120"/>
      <c r="V1955" s="123"/>
      <c r="W1955" s="125"/>
      <c r="X1955" s="142" t="s">
        <v>2057</v>
      </c>
      <c r="Y1955" s="143"/>
      <c r="Z1955" s="143"/>
      <c r="AA1955" s="143"/>
      <c r="AB1955" s="144"/>
      <c r="AC1955" s="16" t="s">
        <v>21</v>
      </c>
      <c r="AD1955" s="17" t="s">
        <v>1613</v>
      </c>
      <c r="AE1955" s="145" t="s">
        <v>4982</v>
      </c>
      <c r="AF1955" s="146"/>
      <c r="AG1955" s="146"/>
      <c r="AH1955" s="146"/>
      <c r="AI1955" s="147"/>
      <c r="AJ1955" s="148"/>
      <c r="AK1955" s="143"/>
      <c r="AL1955" s="144"/>
      <c r="AM1955" s="22"/>
      <c r="AN1955" s="149" t="s">
        <v>2131</v>
      </c>
      <c r="AO1955" s="144"/>
      <c r="AP1955" s="148">
        <v>3049</v>
      </c>
      <c r="AQ1955" s="144"/>
      <c r="AR1955" s="120"/>
      <c r="AS1955" s="121"/>
      <c r="AT1955" s="120"/>
      <c r="AU1955" s="121"/>
      <c r="AV1955" s="120"/>
      <c r="AW1955" s="121"/>
      <c r="AX1955" s="120"/>
      <c r="AY1955" s="121"/>
      <c r="AZ1955" s="138"/>
    </row>
    <row r="1956" spans="1:52" ht="17.100000000000001" customHeight="1" thickTop="1">
      <c r="A1956" s="109" t="s">
        <v>6713</v>
      </c>
      <c r="B1956" s="28">
        <v>45930</v>
      </c>
      <c r="C1956" s="25">
        <v>777</v>
      </c>
      <c r="D1956" s="13" t="s">
        <v>3014</v>
      </c>
      <c r="E1956" s="111"/>
      <c r="F1956" s="113" t="s">
        <v>2719</v>
      </c>
      <c r="G1956" s="114"/>
      <c r="H1956" s="115"/>
      <c r="I1956" s="24"/>
      <c r="J1956" s="116">
        <v>4</v>
      </c>
      <c r="K1956" s="118">
        <v>968000</v>
      </c>
      <c r="L1956" s="119"/>
      <c r="M1956" s="118">
        <f>K1956*0.1</f>
        <v>96800</v>
      </c>
      <c r="N1956" s="119"/>
      <c r="O1956" s="118">
        <v>0</v>
      </c>
      <c r="P1956" s="119"/>
      <c r="Q1956" s="118">
        <v>8550</v>
      </c>
      <c r="R1956" s="119"/>
      <c r="S1956" s="118">
        <v>22000</v>
      </c>
      <c r="T1956" s="119"/>
      <c r="U1956" s="118">
        <f>SUM(K1956:T1957)</f>
        <v>1095350</v>
      </c>
      <c r="V1956" s="122"/>
      <c r="W1956" s="124"/>
      <c r="X1956" s="126" t="s">
        <v>7950</v>
      </c>
      <c r="Y1956" s="127"/>
      <c r="Z1956" s="127"/>
      <c r="AA1956" s="127"/>
      <c r="AB1956" s="128"/>
      <c r="AC1956" s="15" t="s">
        <v>20</v>
      </c>
      <c r="AD1956" s="129" t="s">
        <v>4982</v>
      </c>
      <c r="AE1956" s="130"/>
      <c r="AF1956" s="130"/>
      <c r="AG1956" s="130"/>
      <c r="AH1956" s="130"/>
      <c r="AI1956" s="131"/>
      <c r="AJ1956" s="132"/>
      <c r="AK1956" s="127"/>
      <c r="AL1956" s="128"/>
      <c r="AM1956" s="21"/>
      <c r="AN1956" s="133">
        <v>45944</v>
      </c>
      <c r="AO1956" s="134"/>
      <c r="AP1956" s="135">
        <v>1913</v>
      </c>
      <c r="AQ1956" s="136"/>
      <c r="AR1956" s="118">
        <v>979000</v>
      </c>
      <c r="AS1956" s="119"/>
      <c r="AT1956" s="118">
        <f>AR1956*0.1</f>
        <v>97900</v>
      </c>
      <c r="AU1956" s="119"/>
      <c r="AV1956" s="118">
        <v>8550</v>
      </c>
      <c r="AW1956" s="119"/>
      <c r="AX1956" s="118">
        <f>SUM(AR1956:AW1956)</f>
        <v>1085450</v>
      </c>
      <c r="AY1956" s="119"/>
      <c r="AZ1956" s="137">
        <v>45950</v>
      </c>
    </row>
    <row r="1957" spans="1:52" ht="17.100000000000001" customHeight="1" thickBot="1">
      <c r="A1957" s="110"/>
      <c r="B1957" s="27" t="s">
        <v>5729</v>
      </c>
      <c r="C1957" s="27">
        <v>210</v>
      </c>
      <c r="D1957" s="14" t="s">
        <v>275</v>
      </c>
      <c r="E1957" s="112"/>
      <c r="F1957" s="139" t="s">
        <v>5736</v>
      </c>
      <c r="G1957" s="140"/>
      <c r="H1957" s="141"/>
      <c r="I1957" s="26">
        <v>47860</v>
      </c>
      <c r="J1957" s="117"/>
      <c r="K1957" s="120"/>
      <c r="L1957" s="121"/>
      <c r="M1957" s="120"/>
      <c r="N1957" s="121"/>
      <c r="O1957" s="120"/>
      <c r="P1957" s="121"/>
      <c r="Q1957" s="120"/>
      <c r="R1957" s="121"/>
      <c r="S1957" s="120"/>
      <c r="T1957" s="121"/>
      <c r="U1957" s="120"/>
      <c r="V1957" s="123"/>
      <c r="W1957" s="125"/>
      <c r="X1957" s="142" t="s">
        <v>7949</v>
      </c>
      <c r="Y1957" s="143"/>
      <c r="Z1957" s="143"/>
      <c r="AA1957" s="143"/>
      <c r="AB1957" s="144"/>
      <c r="AC1957" s="16" t="s">
        <v>21</v>
      </c>
      <c r="AD1957" s="17" t="s">
        <v>1613</v>
      </c>
      <c r="AE1957" s="145" t="s">
        <v>4982</v>
      </c>
      <c r="AF1957" s="146"/>
      <c r="AG1957" s="146"/>
      <c r="AH1957" s="146"/>
      <c r="AI1957" s="147"/>
      <c r="AJ1957" s="148"/>
      <c r="AK1957" s="143"/>
      <c r="AL1957" s="144"/>
      <c r="AM1957" s="22"/>
      <c r="AN1957" s="149" t="s">
        <v>2131</v>
      </c>
      <c r="AO1957" s="144"/>
      <c r="AP1957" s="148">
        <v>3109</v>
      </c>
      <c r="AQ1957" s="144"/>
      <c r="AR1957" s="120"/>
      <c r="AS1957" s="121"/>
      <c r="AT1957" s="120"/>
      <c r="AU1957" s="121"/>
      <c r="AV1957" s="120"/>
      <c r="AW1957" s="121"/>
      <c r="AX1957" s="120"/>
      <c r="AY1957" s="121"/>
      <c r="AZ1957" s="138"/>
    </row>
    <row r="1958" spans="1:52" ht="17.100000000000001" customHeight="1" thickTop="1">
      <c r="A1958" s="109" t="s">
        <v>6714</v>
      </c>
      <c r="B1958" s="28">
        <v>45930</v>
      </c>
      <c r="C1958" s="25">
        <v>777</v>
      </c>
      <c r="D1958" s="13" t="s">
        <v>3014</v>
      </c>
      <c r="E1958" s="111"/>
      <c r="F1958" s="113" t="s">
        <v>2719</v>
      </c>
      <c r="G1958" s="114"/>
      <c r="H1958" s="115"/>
      <c r="I1958" s="24"/>
      <c r="J1958" s="116">
        <v>4</v>
      </c>
      <c r="K1958" s="118">
        <v>978000</v>
      </c>
      <c r="L1958" s="119"/>
      <c r="M1958" s="118">
        <f>K1958*0.1</f>
        <v>97800</v>
      </c>
      <c r="N1958" s="119"/>
      <c r="O1958" s="118">
        <v>0</v>
      </c>
      <c r="P1958" s="119"/>
      <c r="Q1958" s="118">
        <v>8550</v>
      </c>
      <c r="R1958" s="119"/>
      <c r="S1958" s="118">
        <v>22000</v>
      </c>
      <c r="T1958" s="119"/>
      <c r="U1958" s="118">
        <f>SUM(K1958:T1959)</f>
        <v>1106350</v>
      </c>
      <c r="V1958" s="122"/>
      <c r="W1958" s="124"/>
      <c r="X1958" s="126" t="s">
        <v>7948</v>
      </c>
      <c r="Y1958" s="127"/>
      <c r="Z1958" s="127"/>
      <c r="AA1958" s="127"/>
      <c r="AB1958" s="128"/>
      <c r="AC1958" s="15" t="s">
        <v>20</v>
      </c>
      <c r="AD1958" s="129" t="s">
        <v>4982</v>
      </c>
      <c r="AE1958" s="130"/>
      <c r="AF1958" s="130"/>
      <c r="AG1958" s="130"/>
      <c r="AH1958" s="130"/>
      <c r="AI1958" s="131"/>
      <c r="AJ1958" s="132"/>
      <c r="AK1958" s="127"/>
      <c r="AL1958" s="128"/>
      <c r="AM1958" s="21"/>
      <c r="AN1958" s="133">
        <v>45944</v>
      </c>
      <c r="AO1958" s="134"/>
      <c r="AP1958" s="135">
        <v>1913</v>
      </c>
      <c r="AQ1958" s="136"/>
      <c r="AR1958" s="118">
        <v>991000</v>
      </c>
      <c r="AS1958" s="119"/>
      <c r="AT1958" s="118">
        <v>99100</v>
      </c>
      <c r="AU1958" s="119"/>
      <c r="AV1958" s="118">
        <v>8550</v>
      </c>
      <c r="AW1958" s="119"/>
      <c r="AX1958" s="118">
        <f>SUM(AR1958:AW1958)</f>
        <v>1098650</v>
      </c>
      <c r="AY1958" s="119"/>
      <c r="AZ1958" s="137">
        <v>45950</v>
      </c>
    </row>
    <row r="1959" spans="1:52" ht="17.100000000000001" customHeight="1" thickBot="1">
      <c r="A1959" s="110"/>
      <c r="B1959" s="27" t="s">
        <v>5729</v>
      </c>
      <c r="C1959" s="27">
        <v>211</v>
      </c>
      <c r="D1959" s="14" t="s">
        <v>275</v>
      </c>
      <c r="E1959" s="112"/>
      <c r="F1959" s="139" t="s">
        <v>5737</v>
      </c>
      <c r="G1959" s="140"/>
      <c r="H1959" s="141"/>
      <c r="I1959" s="26">
        <v>40184</v>
      </c>
      <c r="J1959" s="117"/>
      <c r="K1959" s="120"/>
      <c r="L1959" s="121"/>
      <c r="M1959" s="120"/>
      <c r="N1959" s="121"/>
      <c r="O1959" s="120"/>
      <c r="P1959" s="121"/>
      <c r="Q1959" s="120"/>
      <c r="R1959" s="121"/>
      <c r="S1959" s="120"/>
      <c r="T1959" s="121"/>
      <c r="U1959" s="120"/>
      <c r="V1959" s="123"/>
      <c r="W1959" s="125"/>
      <c r="X1959" s="142" t="s">
        <v>7949</v>
      </c>
      <c r="Y1959" s="143"/>
      <c r="Z1959" s="143"/>
      <c r="AA1959" s="143"/>
      <c r="AB1959" s="144"/>
      <c r="AC1959" s="16" t="s">
        <v>21</v>
      </c>
      <c r="AD1959" s="17" t="s">
        <v>1613</v>
      </c>
      <c r="AE1959" s="145" t="s">
        <v>4982</v>
      </c>
      <c r="AF1959" s="146"/>
      <c r="AG1959" s="146"/>
      <c r="AH1959" s="146"/>
      <c r="AI1959" s="147"/>
      <c r="AJ1959" s="148"/>
      <c r="AK1959" s="143"/>
      <c r="AL1959" s="144"/>
      <c r="AM1959" s="22"/>
      <c r="AN1959" s="149" t="s">
        <v>2131</v>
      </c>
      <c r="AO1959" s="144"/>
      <c r="AP1959" s="148">
        <v>3175</v>
      </c>
      <c r="AQ1959" s="144"/>
      <c r="AR1959" s="120"/>
      <c r="AS1959" s="121"/>
      <c r="AT1959" s="120"/>
      <c r="AU1959" s="121"/>
      <c r="AV1959" s="120"/>
      <c r="AW1959" s="121"/>
      <c r="AX1959" s="120"/>
      <c r="AY1959" s="121"/>
      <c r="AZ1959" s="138"/>
    </row>
    <row r="1960" spans="1:52" ht="17.100000000000001" customHeight="1" thickTop="1">
      <c r="A1960" s="109" t="s">
        <v>6736</v>
      </c>
      <c r="B1960" s="28">
        <v>45931</v>
      </c>
      <c r="C1960" s="25">
        <v>1807</v>
      </c>
      <c r="D1960" s="13" t="s">
        <v>2428</v>
      </c>
      <c r="E1960" s="111"/>
      <c r="F1960" s="113" t="s">
        <v>6741</v>
      </c>
      <c r="G1960" s="114"/>
      <c r="H1960" s="115"/>
      <c r="I1960" s="24"/>
      <c r="J1960" s="116">
        <v>4.5</v>
      </c>
      <c r="K1960" s="118">
        <v>937000</v>
      </c>
      <c r="L1960" s="119"/>
      <c r="M1960" s="118">
        <f>K1960*0.1</f>
        <v>93700</v>
      </c>
      <c r="N1960" s="119"/>
      <c r="O1960" s="118">
        <v>0</v>
      </c>
      <c r="P1960" s="119"/>
      <c r="Q1960" s="118">
        <v>6860</v>
      </c>
      <c r="R1960" s="119"/>
      <c r="S1960" s="118">
        <v>18150</v>
      </c>
      <c r="T1960" s="119"/>
      <c r="U1960" s="118">
        <f>SUM(K1960:T1961)</f>
        <v>1055710</v>
      </c>
      <c r="V1960" s="122"/>
      <c r="W1960" s="124"/>
      <c r="X1960" s="126" t="s">
        <v>7741</v>
      </c>
      <c r="Y1960" s="127"/>
      <c r="Z1960" s="127"/>
      <c r="AA1960" s="127"/>
      <c r="AB1960" s="128"/>
      <c r="AC1960" s="15" t="s">
        <v>20</v>
      </c>
      <c r="AD1960" s="129"/>
      <c r="AE1960" s="130"/>
      <c r="AF1960" s="130"/>
      <c r="AG1960" s="130"/>
      <c r="AH1960" s="130"/>
      <c r="AI1960" s="131"/>
      <c r="AJ1960" s="132"/>
      <c r="AK1960" s="127"/>
      <c r="AL1960" s="128"/>
      <c r="AM1960" s="21"/>
      <c r="AN1960" s="133">
        <v>45945</v>
      </c>
      <c r="AO1960" s="134"/>
      <c r="AP1960" s="135">
        <v>988</v>
      </c>
      <c r="AQ1960" s="136"/>
      <c r="AR1960" s="118">
        <v>1050000</v>
      </c>
      <c r="AS1960" s="119"/>
      <c r="AT1960" s="118">
        <v>105000</v>
      </c>
      <c r="AU1960" s="119"/>
      <c r="AV1960" s="118">
        <v>6860</v>
      </c>
      <c r="AW1960" s="119"/>
      <c r="AX1960" s="118">
        <f>SUM(AR1960:AW1960)</f>
        <v>1161860</v>
      </c>
      <c r="AY1960" s="119"/>
      <c r="AZ1960" s="137">
        <v>45950</v>
      </c>
    </row>
    <row r="1961" spans="1:52" ht="17.100000000000001" customHeight="1" thickBot="1">
      <c r="A1961" s="110"/>
      <c r="B1961" s="27" t="s">
        <v>2559</v>
      </c>
      <c r="C1961" s="27">
        <v>3301</v>
      </c>
      <c r="D1961" s="14" t="s">
        <v>275</v>
      </c>
      <c r="E1961" s="112"/>
      <c r="F1961" s="139" t="s">
        <v>6740</v>
      </c>
      <c r="G1961" s="140"/>
      <c r="H1961" s="141"/>
      <c r="I1961" s="26">
        <v>45210</v>
      </c>
      <c r="J1961" s="117"/>
      <c r="K1961" s="120"/>
      <c r="L1961" s="121"/>
      <c r="M1961" s="120"/>
      <c r="N1961" s="121"/>
      <c r="O1961" s="120"/>
      <c r="P1961" s="121"/>
      <c r="Q1961" s="120"/>
      <c r="R1961" s="121"/>
      <c r="S1961" s="120"/>
      <c r="T1961" s="121"/>
      <c r="U1961" s="120"/>
      <c r="V1961" s="123"/>
      <c r="W1961" s="125"/>
      <c r="X1961" s="142" t="s">
        <v>1997</v>
      </c>
      <c r="Y1961" s="143"/>
      <c r="Z1961" s="143"/>
      <c r="AA1961" s="143"/>
      <c r="AB1961" s="144"/>
      <c r="AC1961" s="16" t="s">
        <v>21</v>
      </c>
      <c r="AD1961" s="17" t="s">
        <v>1613</v>
      </c>
      <c r="AE1961" s="145" t="s">
        <v>7742</v>
      </c>
      <c r="AF1961" s="146"/>
      <c r="AG1961" s="146"/>
      <c r="AH1961" s="146"/>
      <c r="AI1961" s="147"/>
      <c r="AJ1961" s="148"/>
      <c r="AK1961" s="143"/>
      <c r="AL1961" s="144"/>
      <c r="AM1961" s="22"/>
      <c r="AN1961" s="149" t="s">
        <v>2794</v>
      </c>
      <c r="AO1961" s="144"/>
      <c r="AP1961" s="148">
        <v>2073</v>
      </c>
      <c r="AQ1961" s="144"/>
      <c r="AR1961" s="120"/>
      <c r="AS1961" s="121"/>
      <c r="AT1961" s="120"/>
      <c r="AU1961" s="121"/>
      <c r="AV1961" s="120"/>
      <c r="AW1961" s="121"/>
      <c r="AX1961" s="120"/>
      <c r="AY1961" s="121"/>
      <c r="AZ1961" s="138"/>
    </row>
    <row r="1962" spans="1:52" ht="17.100000000000001" customHeight="1" thickTop="1">
      <c r="A1962" s="109" t="s">
        <v>6737</v>
      </c>
      <c r="B1962" s="28">
        <v>45931</v>
      </c>
      <c r="C1962" s="25">
        <v>1807</v>
      </c>
      <c r="D1962" s="13" t="s">
        <v>1937</v>
      </c>
      <c r="E1962" s="111"/>
      <c r="F1962" s="113" t="s">
        <v>6742</v>
      </c>
      <c r="G1962" s="114"/>
      <c r="H1962" s="115"/>
      <c r="I1962" s="24"/>
      <c r="J1962" s="116">
        <v>4.5</v>
      </c>
      <c r="K1962" s="118">
        <v>1205000</v>
      </c>
      <c r="L1962" s="119"/>
      <c r="M1962" s="118">
        <f t="shared" ref="M1962" si="0">K1962*0.1</f>
        <v>120500</v>
      </c>
      <c r="N1962" s="119"/>
      <c r="O1962" s="118">
        <v>0</v>
      </c>
      <c r="P1962" s="119"/>
      <c r="Q1962" s="118">
        <v>9810</v>
      </c>
      <c r="R1962" s="119"/>
      <c r="S1962" s="118">
        <v>18150</v>
      </c>
      <c r="T1962" s="119"/>
      <c r="U1962" s="118">
        <f t="shared" ref="U1962" si="1">SUM(K1962:T1963)</f>
        <v>1353460</v>
      </c>
      <c r="V1962" s="122"/>
      <c r="W1962" s="124"/>
      <c r="X1962" s="126" t="s">
        <v>7423</v>
      </c>
      <c r="Y1962" s="127"/>
      <c r="Z1962" s="127"/>
      <c r="AA1962" s="127"/>
      <c r="AB1962" s="128"/>
      <c r="AC1962" s="15" t="s">
        <v>20</v>
      </c>
      <c r="AD1962" s="129"/>
      <c r="AE1962" s="130"/>
      <c r="AF1962" s="130"/>
      <c r="AG1962" s="130"/>
      <c r="AH1962" s="130"/>
      <c r="AI1962" s="131"/>
      <c r="AJ1962" s="132"/>
      <c r="AK1962" s="127"/>
      <c r="AL1962" s="128"/>
      <c r="AM1962" s="21"/>
      <c r="AN1962" s="133">
        <v>45934</v>
      </c>
      <c r="AO1962" s="134"/>
      <c r="AP1962" s="135">
        <v>1270</v>
      </c>
      <c r="AQ1962" s="136"/>
      <c r="AR1962" s="118">
        <v>1320000</v>
      </c>
      <c r="AS1962" s="119"/>
      <c r="AT1962" s="118">
        <v>132000</v>
      </c>
      <c r="AU1962" s="119"/>
      <c r="AV1962" s="118">
        <v>9810</v>
      </c>
      <c r="AW1962" s="119"/>
      <c r="AX1962" s="118">
        <f t="shared" ref="AX1962" si="2">SUM(AR1962:AW1962)</f>
        <v>1461810</v>
      </c>
      <c r="AY1962" s="119"/>
      <c r="AZ1962" s="137">
        <v>45944</v>
      </c>
    </row>
    <row r="1963" spans="1:52" ht="17.100000000000001" customHeight="1" thickBot="1">
      <c r="A1963" s="110"/>
      <c r="B1963" s="27" t="s">
        <v>2559</v>
      </c>
      <c r="C1963" s="27">
        <v>36247</v>
      </c>
      <c r="D1963" s="14" t="s">
        <v>2601</v>
      </c>
      <c r="E1963" s="112"/>
      <c r="F1963" s="139" t="s">
        <v>6743</v>
      </c>
      <c r="G1963" s="140"/>
      <c r="H1963" s="141"/>
      <c r="I1963" s="26">
        <v>44098</v>
      </c>
      <c r="J1963" s="117"/>
      <c r="K1963" s="120"/>
      <c r="L1963" s="121"/>
      <c r="M1963" s="120"/>
      <c r="N1963" s="121"/>
      <c r="O1963" s="120"/>
      <c r="P1963" s="121"/>
      <c r="Q1963" s="120"/>
      <c r="R1963" s="121"/>
      <c r="S1963" s="120"/>
      <c r="T1963" s="121"/>
      <c r="U1963" s="120"/>
      <c r="V1963" s="123"/>
      <c r="W1963" s="125"/>
      <c r="X1963" s="142" t="s">
        <v>4199</v>
      </c>
      <c r="Y1963" s="143"/>
      <c r="Z1963" s="143"/>
      <c r="AA1963" s="143"/>
      <c r="AB1963" s="144"/>
      <c r="AC1963" s="16" t="s">
        <v>21</v>
      </c>
      <c r="AD1963" s="17" t="s">
        <v>3317</v>
      </c>
      <c r="AE1963" s="145" t="s">
        <v>7422</v>
      </c>
      <c r="AF1963" s="146"/>
      <c r="AG1963" s="146"/>
      <c r="AH1963" s="146"/>
      <c r="AI1963" s="147"/>
      <c r="AJ1963" s="148"/>
      <c r="AK1963" s="143"/>
      <c r="AL1963" s="144"/>
      <c r="AM1963" s="22"/>
      <c r="AN1963" s="149" t="s">
        <v>7283</v>
      </c>
      <c r="AO1963" s="144"/>
      <c r="AP1963" s="148">
        <v>106</v>
      </c>
      <c r="AQ1963" s="144"/>
      <c r="AR1963" s="120"/>
      <c r="AS1963" s="121"/>
      <c r="AT1963" s="120"/>
      <c r="AU1963" s="121"/>
      <c r="AV1963" s="120"/>
      <c r="AW1963" s="121"/>
      <c r="AX1963" s="120"/>
      <c r="AY1963" s="121"/>
      <c r="AZ1963" s="138"/>
    </row>
    <row r="1964" spans="1:52" ht="17.100000000000001" customHeight="1" thickTop="1">
      <c r="A1964" s="109" t="s">
        <v>6738</v>
      </c>
      <c r="B1964" s="28">
        <v>45931</v>
      </c>
      <c r="C1964" s="25">
        <v>1807</v>
      </c>
      <c r="D1964" s="13" t="s">
        <v>1902</v>
      </c>
      <c r="E1964" s="111"/>
      <c r="F1964" s="113" t="s">
        <v>5528</v>
      </c>
      <c r="G1964" s="114"/>
      <c r="H1964" s="115"/>
      <c r="I1964" s="24"/>
      <c r="J1964" s="116">
        <v>4</v>
      </c>
      <c r="K1964" s="118">
        <v>2140000</v>
      </c>
      <c r="L1964" s="119"/>
      <c r="M1964" s="118">
        <f t="shared" ref="M1964" si="3">K1964*0.1</f>
        <v>214000</v>
      </c>
      <c r="N1964" s="119"/>
      <c r="O1964" s="118">
        <v>0</v>
      </c>
      <c r="P1964" s="119"/>
      <c r="Q1964" s="118">
        <v>23510</v>
      </c>
      <c r="R1964" s="119"/>
      <c r="S1964" s="118">
        <v>18150</v>
      </c>
      <c r="T1964" s="119"/>
      <c r="U1964" s="118">
        <f t="shared" ref="U1964" si="4">SUM(K1964:T1965)</f>
        <v>2395660</v>
      </c>
      <c r="V1964" s="122"/>
      <c r="W1964" s="124"/>
      <c r="X1964" s="126" t="s">
        <v>7419</v>
      </c>
      <c r="Y1964" s="127"/>
      <c r="Z1964" s="127"/>
      <c r="AA1964" s="127"/>
      <c r="AB1964" s="128"/>
      <c r="AC1964" s="15" t="s">
        <v>20</v>
      </c>
      <c r="AD1964" s="129"/>
      <c r="AE1964" s="130"/>
      <c r="AF1964" s="130"/>
      <c r="AG1964" s="130"/>
      <c r="AH1964" s="130"/>
      <c r="AI1964" s="131"/>
      <c r="AJ1964" s="132"/>
      <c r="AK1964" s="127"/>
      <c r="AL1964" s="128"/>
      <c r="AM1964" s="21"/>
      <c r="AN1964" s="133">
        <v>45934</v>
      </c>
      <c r="AO1964" s="134"/>
      <c r="AP1964" s="135">
        <v>1270</v>
      </c>
      <c r="AQ1964" s="136"/>
      <c r="AR1964" s="118">
        <v>2465000</v>
      </c>
      <c r="AS1964" s="119"/>
      <c r="AT1964" s="118">
        <v>246500</v>
      </c>
      <c r="AU1964" s="119"/>
      <c r="AV1964" s="118">
        <v>23510</v>
      </c>
      <c r="AW1964" s="119"/>
      <c r="AX1964" s="118">
        <f t="shared" ref="AX1964" si="5">SUM(AR1964:AW1964)</f>
        <v>2735010</v>
      </c>
      <c r="AY1964" s="119"/>
      <c r="AZ1964" s="137">
        <v>45944</v>
      </c>
    </row>
    <row r="1965" spans="1:52" ht="17.100000000000001" customHeight="1" thickBot="1">
      <c r="A1965" s="110"/>
      <c r="B1965" s="27" t="s">
        <v>2559</v>
      </c>
      <c r="C1965" s="27">
        <v>38149</v>
      </c>
      <c r="D1965" s="14" t="s">
        <v>2116</v>
      </c>
      <c r="E1965" s="112"/>
      <c r="F1965" s="139" t="s">
        <v>6744</v>
      </c>
      <c r="G1965" s="140"/>
      <c r="H1965" s="141"/>
      <c r="I1965" s="26">
        <v>46545</v>
      </c>
      <c r="J1965" s="117"/>
      <c r="K1965" s="120"/>
      <c r="L1965" s="121"/>
      <c r="M1965" s="120"/>
      <c r="N1965" s="121"/>
      <c r="O1965" s="120"/>
      <c r="P1965" s="121"/>
      <c r="Q1965" s="120"/>
      <c r="R1965" s="121"/>
      <c r="S1965" s="120"/>
      <c r="T1965" s="121"/>
      <c r="U1965" s="120"/>
      <c r="V1965" s="123"/>
      <c r="W1965" s="125"/>
      <c r="X1965" s="142" t="s">
        <v>7420</v>
      </c>
      <c r="Y1965" s="143"/>
      <c r="Z1965" s="143"/>
      <c r="AA1965" s="143"/>
      <c r="AB1965" s="144"/>
      <c r="AC1965" s="16" t="s">
        <v>21</v>
      </c>
      <c r="AD1965" s="17" t="s">
        <v>3317</v>
      </c>
      <c r="AE1965" s="145" t="s">
        <v>7421</v>
      </c>
      <c r="AF1965" s="146"/>
      <c r="AG1965" s="146"/>
      <c r="AH1965" s="146"/>
      <c r="AI1965" s="147"/>
      <c r="AJ1965" s="148"/>
      <c r="AK1965" s="143"/>
      <c r="AL1965" s="144"/>
      <c r="AM1965" s="22"/>
      <c r="AN1965" s="149" t="s">
        <v>7284</v>
      </c>
      <c r="AO1965" s="144"/>
      <c r="AP1965" s="148">
        <v>80314</v>
      </c>
      <c r="AQ1965" s="144"/>
      <c r="AR1965" s="120"/>
      <c r="AS1965" s="121"/>
      <c r="AT1965" s="120"/>
      <c r="AU1965" s="121"/>
      <c r="AV1965" s="120"/>
      <c r="AW1965" s="121"/>
      <c r="AX1965" s="120"/>
      <c r="AY1965" s="121"/>
      <c r="AZ1965" s="138"/>
    </row>
    <row r="1966" spans="1:52" ht="17.100000000000001" customHeight="1" thickTop="1">
      <c r="A1966" s="109" t="s">
        <v>6739</v>
      </c>
      <c r="B1966" s="28">
        <v>45931</v>
      </c>
      <c r="C1966" s="25">
        <v>1807</v>
      </c>
      <c r="D1966" s="13" t="s">
        <v>2759</v>
      </c>
      <c r="E1966" s="111"/>
      <c r="F1966" s="113" t="s">
        <v>6745</v>
      </c>
      <c r="G1966" s="114"/>
      <c r="H1966" s="115"/>
      <c r="I1966" s="24"/>
      <c r="J1966" s="116">
        <v>4.5</v>
      </c>
      <c r="K1966" s="118">
        <v>1030000</v>
      </c>
      <c r="L1966" s="119"/>
      <c r="M1966" s="118">
        <f t="shared" ref="M1966" si="6">K1966*0.1</f>
        <v>103000</v>
      </c>
      <c r="N1966" s="119"/>
      <c r="O1966" s="118">
        <v>0</v>
      </c>
      <c r="P1966" s="119"/>
      <c r="Q1966" s="118">
        <v>7440</v>
      </c>
      <c r="R1966" s="119"/>
      <c r="S1966" s="118">
        <v>18150</v>
      </c>
      <c r="T1966" s="119"/>
      <c r="U1966" s="118">
        <f t="shared" ref="U1966" si="7">SUM(K1966:T1967)</f>
        <v>1158590</v>
      </c>
      <c r="V1966" s="122"/>
      <c r="W1966" s="124"/>
      <c r="X1966" s="126" t="s">
        <v>7449</v>
      </c>
      <c r="Y1966" s="127"/>
      <c r="Z1966" s="127"/>
      <c r="AA1966" s="127"/>
      <c r="AB1966" s="128"/>
      <c r="AC1966" s="15" t="s">
        <v>20</v>
      </c>
      <c r="AD1966" s="129" t="s">
        <v>1670</v>
      </c>
      <c r="AE1966" s="130"/>
      <c r="AF1966" s="130"/>
      <c r="AG1966" s="130"/>
      <c r="AH1966" s="130"/>
      <c r="AI1966" s="131"/>
      <c r="AJ1966" s="132"/>
      <c r="AK1966" s="127"/>
      <c r="AL1966" s="128"/>
      <c r="AM1966" s="21"/>
      <c r="AN1966" s="133">
        <v>45934</v>
      </c>
      <c r="AO1966" s="134"/>
      <c r="AP1966" s="135">
        <v>1270</v>
      </c>
      <c r="AQ1966" s="136"/>
      <c r="AR1966" s="118">
        <v>1150000</v>
      </c>
      <c r="AS1966" s="119"/>
      <c r="AT1966" s="118">
        <v>115000</v>
      </c>
      <c r="AU1966" s="119"/>
      <c r="AV1966" s="118">
        <v>7440</v>
      </c>
      <c r="AW1966" s="119"/>
      <c r="AX1966" s="118">
        <f t="shared" ref="AX1966" si="8">SUM(AR1966:AW1966)</f>
        <v>1272440</v>
      </c>
      <c r="AY1966" s="119"/>
      <c r="AZ1966" s="137">
        <v>45944</v>
      </c>
    </row>
    <row r="1967" spans="1:52" ht="17.100000000000001" customHeight="1" thickBot="1">
      <c r="A1967" s="110"/>
      <c r="B1967" s="27" t="s">
        <v>2559</v>
      </c>
      <c r="C1967" s="27">
        <v>40064</v>
      </c>
      <c r="D1967" s="14" t="s">
        <v>1592</v>
      </c>
      <c r="E1967" s="112"/>
      <c r="F1967" s="139" t="s">
        <v>6746</v>
      </c>
      <c r="G1967" s="140"/>
      <c r="H1967" s="141"/>
      <c r="I1967" s="26">
        <v>35776</v>
      </c>
      <c r="J1967" s="117"/>
      <c r="K1967" s="120"/>
      <c r="L1967" s="121"/>
      <c r="M1967" s="120"/>
      <c r="N1967" s="121"/>
      <c r="O1967" s="120"/>
      <c r="P1967" s="121"/>
      <c r="Q1967" s="120"/>
      <c r="R1967" s="121"/>
      <c r="S1967" s="120"/>
      <c r="T1967" s="121"/>
      <c r="U1967" s="120"/>
      <c r="V1967" s="123"/>
      <c r="W1967" s="125"/>
      <c r="X1967" s="142" t="s">
        <v>7450</v>
      </c>
      <c r="Y1967" s="143"/>
      <c r="Z1967" s="143"/>
      <c r="AA1967" s="143"/>
      <c r="AB1967" s="144"/>
      <c r="AC1967" s="16" t="s">
        <v>21</v>
      </c>
      <c r="AD1967" s="17" t="s">
        <v>3317</v>
      </c>
      <c r="AE1967" s="145" t="s">
        <v>1670</v>
      </c>
      <c r="AF1967" s="146"/>
      <c r="AG1967" s="146"/>
      <c r="AH1967" s="146"/>
      <c r="AI1967" s="147"/>
      <c r="AJ1967" s="148"/>
      <c r="AK1967" s="143"/>
      <c r="AL1967" s="144"/>
      <c r="AM1967" s="22"/>
      <c r="AN1967" s="149" t="s">
        <v>6748</v>
      </c>
      <c r="AO1967" s="144"/>
      <c r="AP1967" s="148">
        <v>41065</v>
      </c>
      <c r="AQ1967" s="144"/>
      <c r="AR1967" s="120"/>
      <c r="AS1967" s="121"/>
      <c r="AT1967" s="120"/>
      <c r="AU1967" s="121"/>
      <c r="AV1967" s="120"/>
      <c r="AW1967" s="121"/>
      <c r="AX1967" s="120"/>
      <c r="AY1967" s="121"/>
      <c r="AZ1967" s="138"/>
    </row>
    <row r="1968" spans="1:52" ht="17.100000000000001" customHeight="1" thickTop="1">
      <c r="A1968" s="109" t="s">
        <v>6776</v>
      </c>
      <c r="B1968" s="28">
        <v>45932</v>
      </c>
      <c r="C1968" s="25">
        <v>1952</v>
      </c>
      <c r="D1968" s="13" t="s">
        <v>5456</v>
      </c>
      <c r="E1968" s="111"/>
      <c r="F1968" s="113" t="s">
        <v>5048</v>
      </c>
      <c r="G1968" s="114"/>
      <c r="H1968" s="115"/>
      <c r="I1968" s="24"/>
      <c r="J1968" s="116">
        <v>4.5</v>
      </c>
      <c r="K1968" s="118">
        <v>223000</v>
      </c>
      <c r="L1968" s="119"/>
      <c r="M1968" s="118">
        <f t="shared" ref="M1968" si="9">K1968*0.1</f>
        <v>22300</v>
      </c>
      <c r="N1968" s="119"/>
      <c r="O1968" s="118">
        <v>0</v>
      </c>
      <c r="P1968" s="119"/>
      <c r="Q1968" s="118">
        <v>8930</v>
      </c>
      <c r="R1968" s="119"/>
      <c r="S1968" s="118">
        <v>17050</v>
      </c>
      <c r="T1968" s="119"/>
      <c r="U1968" s="118">
        <f t="shared" ref="U1968" si="10">SUM(K1968:T1969)</f>
        <v>271280</v>
      </c>
      <c r="V1968" s="122"/>
      <c r="W1968" s="124"/>
      <c r="X1968" s="126" t="s">
        <v>7369</v>
      </c>
      <c r="Y1968" s="127"/>
      <c r="Z1968" s="127"/>
      <c r="AA1968" s="127"/>
      <c r="AB1968" s="128"/>
      <c r="AC1968" s="15" t="s">
        <v>20</v>
      </c>
      <c r="AD1968" s="129"/>
      <c r="AE1968" s="130"/>
      <c r="AF1968" s="130"/>
      <c r="AG1968" s="130"/>
      <c r="AH1968" s="130"/>
      <c r="AI1968" s="131"/>
      <c r="AJ1968" s="132"/>
      <c r="AK1968" s="127"/>
      <c r="AL1968" s="128"/>
      <c r="AM1968" s="21"/>
      <c r="AN1968" s="133">
        <v>45990</v>
      </c>
      <c r="AO1968" s="134"/>
      <c r="AP1968" s="135">
        <v>1278</v>
      </c>
      <c r="AQ1968" s="136"/>
      <c r="AR1968" s="118">
        <v>280000</v>
      </c>
      <c r="AS1968" s="119"/>
      <c r="AT1968" s="118">
        <f t="shared" ref="AT1968" si="11">AR1968*0.1</f>
        <v>28000</v>
      </c>
      <c r="AU1968" s="119"/>
      <c r="AV1968" s="118">
        <v>8930</v>
      </c>
      <c r="AW1968" s="119"/>
      <c r="AX1968" s="118">
        <f t="shared" ref="AX1968" si="12">SUM(AR1968:AW1968)</f>
        <v>316930</v>
      </c>
      <c r="AY1968" s="119"/>
      <c r="AZ1968" s="137">
        <v>45994</v>
      </c>
    </row>
    <row r="1969" spans="1:52" ht="17.100000000000001" customHeight="1" thickBot="1">
      <c r="A1969" s="110"/>
      <c r="B1969" s="27" t="s">
        <v>3792</v>
      </c>
      <c r="C1969" s="27">
        <v>3001</v>
      </c>
      <c r="D1969" s="14" t="s">
        <v>275</v>
      </c>
      <c r="E1969" s="112"/>
      <c r="F1969" s="139" t="s">
        <v>6747</v>
      </c>
      <c r="G1969" s="140"/>
      <c r="H1969" s="141"/>
      <c r="I1969" s="26">
        <v>48114</v>
      </c>
      <c r="J1969" s="117"/>
      <c r="K1969" s="120"/>
      <c r="L1969" s="121"/>
      <c r="M1969" s="120"/>
      <c r="N1969" s="121"/>
      <c r="O1969" s="120"/>
      <c r="P1969" s="121"/>
      <c r="Q1969" s="120"/>
      <c r="R1969" s="121"/>
      <c r="S1969" s="120"/>
      <c r="T1969" s="121"/>
      <c r="U1969" s="120"/>
      <c r="V1969" s="123"/>
      <c r="W1969" s="125"/>
      <c r="X1969" s="142" t="s">
        <v>7370</v>
      </c>
      <c r="Y1969" s="143"/>
      <c r="Z1969" s="143"/>
      <c r="AA1969" s="143"/>
      <c r="AB1969" s="144"/>
      <c r="AC1969" s="16" t="s">
        <v>21</v>
      </c>
      <c r="AD1969" s="17" t="s">
        <v>2156</v>
      </c>
      <c r="AE1969" s="145" t="s">
        <v>7832</v>
      </c>
      <c r="AF1969" s="146"/>
      <c r="AG1969" s="146"/>
      <c r="AH1969" s="146"/>
      <c r="AI1969" s="147"/>
      <c r="AJ1969" s="148"/>
      <c r="AK1969" s="143"/>
      <c r="AL1969" s="144"/>
      <c r="AM1969" s="22"/>
      <c r="AN1969" s="149" t="s">
        <v>2511</v>
      </c>
      <c r="AO1969" s="144"/>
      <c r="AP1969" s="148">
        <v>60229</v>
      </c>
      <c r="AQ1969" s="144"/>
      <c r="AR1969" s="120"/>
      <c r="AS1969" s="121"/>
      <c r="AT1969" s="120"/>
      <c r="AU1969" s="121"/>
      <c r="AV1969" s="120"/>
      <c r="AW1969" s="121"/>
      <c r="AX1969" s="120"/>
      <c r="AY1969" s="121"/>
      <c r="AZ1969" s="138"/>
    </row>
    <row r="1970" spans="1:52" ht="17.100000000000001" customHeight="1" thickTop="1">
      <c r="A1970" s="109" t="s">
        <v>6777</v>
      </c>
      <c r="B1970" s="28">
        <v>45932</v>
      </c>
      <c r="C1970" s="25">
        <v>1300</v>
      </c>
      <c r="D1970" s="13" t="s">
        <v>2415</v>
      </c>
      <c r="E1970" s="111"/>
      <c r="F1970" s="113" t="s">
        <v>4677</v>
      </c>
      <c r="G1970" s="114"/>
      <c r="H1970" s="115"/>
      <c r="I1970" s="24" t="s">
        <v>2584</v>
      </c>
      <c r="J1970" s="116">
        <v>4.5</v>
      </c>
      <c r="K1970" s="118">
        <v>985000</v>
      </c>
      <c r="L1970" s="119"/>
      <c r="M1970" s="118">
        <f t="shared" ref="M1970" si="13">K1970*0.1</f>
        <v>98500</v>
      </c>
      <c r="N1970" s="119"/>
      <c r="O1970" s="118">
        <v>10000</v>
      </c>
      <c r="P1970" s="119"/>
      <c r="Q1970" s="118">
        <v>9280</v>
      </c>
      <c r="R1970" s="119"/>
      <c r="S1970" s="118">
        <v>14300</v>
      </c>
      <c r="T1970" s="119"/>
      <c r="U1970" s="118">
        <f t="shared" ref="U1970" si="14">SUM(K1970:T1971)</f>
        <v>1117080</v>
      </c>
      <c r="V1970" s="122"/>
      <c r="W1970" s="124"/>
      <c r="X1970" s="126" t="s">
        <v>6750</v>
      </c>
      <c r="Y1970" s="127"/>
      <c r="Z1970" s="127"/>
      <c r="AA1970" s="127"/>
      <c r="AB1970" s="128"/>
      <c r="AC1970" s="15" t="s">
        <v>20</v>
      </c>
      <c r="AD1970" s="129" t="s">
        <v>1565</v>
      </c>
      <c r="AE1970" s="130"/>
      <c r="AF1970" s="130"/>
      <c r="AG1970" s="130"/>
      <c r="AH1970" s="130"/>
      <c r="AI1970" s="131"/>
      <c r="AJ1970" s="132"/>
      <c r="AK1970" s="127"/>
      <c r="AL1970" s="128"/>
      <c r="AM1970" s="21"/>
      <c r="AN1970" s="133">
        <v>45937</v>
      </c>
      <c r="AO1970" s="134"/>
      <c r="AP1970" s="135">
        <v>1912</v>
      </c>
      <c r="AQ1970" s="136"/>
      <c r="AR1970" s="118">
        <v>1211000</v>
      </c>
      <c r="AS1970" s="119"/>
      <c r="AT1970" s="118">
        <v>121100</v>
      </c>
      <c r="AU1970" s="119"/>
      <c r="AV1970" s="118">
        <v>9280</v>
      </c>
      <c r="AW1970" s="119"/>
      <c r="AX1970" s="118">
        <f t="shared" ref="AX1970" si="15">SUM(AR1970:AW1970)</f>
        <v>1341380</v>
      </c>
      <c r="AY1970" s="119"/>
      <c r="AZ1970" s="137"/>
    </row>
    <row r="1971" spans="1:52" ht="17.100000000000001" customHeight="1" thickBot="1">
      <c r="A1971" s="110"/>
      <c r="B1971" s="27" t="s">
        <v>1747</v>
      </c>
      <c r="C1971" s="27">
        <v>760</v>
      </c>
      <c r="D1971" s="14" t="s">
        <v>275</v>
      </c>
      <c r="E1971" s="112"/>
      <c r="F1971" s="139" t="s">
        <v>7095</v>
      </c>
      <c r="G1971" s="140"/>
      <c r="H1971" s="141"/>
      <c r="I1971" s="26">
        <v>10481</v>
      </c>
      <c r="J1971" s="117"/>
      <c r="K1971" s="120"/>
      <c r="L1971" s="121"/>
      <c r="M1971" s="120"/>
      <c r="N1971" s="121"/>
      <c r="O1971" s="120"/>
      <c r="P1971" s="121"/>
      <c r="Q1971" s="120"/>
      <c r="R1971" s="121"/>
      <c r="S1971" s="120"/>
      <c r="T1971" s="121"/>
      <c r="U1971" s="120"/>
      <c r="V1971" s="123"/>
      <c r="W1971" s="125"/>
      <c r="X1971" s="142" t="s">
        <v>7096</v>
      </c>
      <c r="Y1971" s="143"/>
      <c r="Z1971" s="143"/>
      <c r="AA1971" s="143"/>
      <c r="AB1971" s="144"/>
      <c r="AC1971" s="16" t="s">
        <v>21</v>
      </c>
      <c r="AD1971" s="17" t="s">
        <v>3733</v>
      </c>
      <c r="AE1971" s="145" t="s">
        <v>1742</v>
      </c>
      <c r="AF1971" s="146"/>
      <c r="AG1971" s="146"/>
      <c r="AH1971" s="146"/>
      <c r="AI1971" s="147"/>
      <c r="AJ1971" s="148"/>
      <c r="AK1971" s="143"/>
      <c r="AL1971" s="144"/>
      <c r="AM1971" s="22"/>
      <c r="AN1971" s="149" t="s">
        <v>2131</v>
      </c>
      <c r="AO1971" s="144"/>
      <c r="AP1971" s="148">
        <v>3183</v>
      </c>
      <c r="AQ1971" s="144"/>
      <c r="AR1971" s="120"/>
      <c r="AS1971" s="121"/>
      <c r="AT1971" s="120"/>
      <c r="AU1971" s="121"/>
      <c r="AV1971" s="120"/>
      <c r="AW1971" s="121"/>
      <c r="AX1971" s="120"/>
      <c r="AY1971" s="121"/>
      <c r="AZ1971" s="138"/>
    </row>
    <row r="1972" spans="1:52" ht="17.100000000000001" customHeight="1" thickTop="1">
      <c r="A1972" s="109" t="s">
        <v>6778</v>
      </c>
      <c r="B1972" s="28">
        <v>45932</v>
      </c>
      <c r="C1972" s="25">
        <v>1996</v>
      </c>
      <c r="D1972" s="13" t="s">
        <v>1714</v>
      </c>
      <c r="E1972" s="111"/>
      <c r="F1972" s="113" t="s">
        <v>6779</v>
      </c>
      <c r="G1972" s="114"/>
      <c r="H1972" s="115"/>
      <c r="I1972" s="24" t="s">
        <v>2526</v>
      </c>
      <c r="J1972" s="116">
        <v>3.5</v>
      </c>
      <c r="K1972" s="118">
        <v>864000</v>
      </c>
      <c r="L1972" s="119"/>
      <c r="M1972" s="118">
        <f t="shared" ref="M1972" si="16">K1972*0.1</f>
        <v>86400</v>
      </c>
      <c r="N1972" s="119"/>
      <c r="O1972" s="118">
        <v>0</v>
      </c>
      <c r="P1972" s="119"/>
      <c r="Q1972" s="118">
        <v>8390</v>
      </c>
      <c r="R1972" s="119"/>
      <c r="S1972" s="118">
        <v>22000</v>
      </c>
      <c r="T1972" s="119"/>
      <c r="U1972" s="118">
        <f t="shared" ref="U1972" si="17">SUM(K1972:T1973)</f>
        <v>980790</v>
      </c>
      <c r="V1972" s="122"/>
      <c r="W1972" s="124"/>
      <c r="X1972" s="126" t="s">
        <v>6781</v>
      </c>
      <c r="Y1972" s="127"/>
      <c r="Z1972" s="127"/>
      <c r="AA1972" s="127"/>
      <c r="AB1972" s="128"/>
      <c r="AC1972" s="15" t="s">
        <v>20</v>
      </c>
      <c r="AD1972" s="129" t="s">
        <v>3888</v>
      </c>
      <c r="AE1972" s="130"/>
      <c r="AF1972" s="130"/>
      <c r="AG1972" s="130"/>
      <c r="AH1972" s="130"/>
      <c r="AI1972" s="131"/>
      <c r="AJ1972" s="132"/>
      <c r="AK1972" s="127"/>
      <c r="AL1972" s="128"/>
      <c r="AM1972" s="21"/>
      <c r="AN1972" s="133">
        <v>45948</v>
      </c>
      <c r="AO1972" s="134"/>
      <c r="AP1972" s="135">
        <v>1272</v>
      </c>
      <c r="AQ1972" s="136"/>
      <c r="AR1972" s="118">
        <v>1250000</v>
      </c>
      <c r="AS1972" s="119"/>
      <c r="AT1972" s="118">
        <f t="shared" ref="AT1972" si="18">AR1972*0.1</f>
        <v>125000</v>
      </c>
      <c r="AU1972" s="119"/>
      <c r="AV1972" s="118">
        <v>8390</v>
      </c>
      <c r="AW1972" s="119"/>
      <c r="AX1972" s="118">
        <f t="shared" ref="AX1972" si="19">SUM(AR1972:AW1972)</f>
        <v>1383390</v>
      </c>
      <c r="AY1972" s="119"/>
      <c r="AZ1972" s="137">
        <v>45952</v>
      </c>
    </row>
    <row r="1973" spans="1:52" ht="17.100000000000001" customHeight="1" thickBot="1">
      <c r="A1973" s="110"/>
      <c r="B1973" s="27" t="s">
        <v>2200</v>
      </c>
      <c r="C1973" s="27">
        <v>50036</v>
      </c>
      <c r="D1973" s="14" t="s">
        <v>2601</v>
      </c>
      <c r="E1973" s="112"/>
      <c r="F1973" s="139" t="s">
        <v>6780</v>
      </c>
      <c r="G1973" s="140"/>
      <c r="H1973" s="141"/>
      <c r="I1973" s="26">
        <v>49062</v>
      </c>
      <c r="J1973" s="117"/>
      <c r="K1973" s="120"/>
      <c r="L1973" s="121"/>
      <c r="M1973" s="120"/>
      <c r="N1973" s="121"/>
      <c r="O1973" s="120"/>
      <c r="P1973" s="121"/>
      <c r="Q1973" s="120"/>
      <c r="R1973" s="121"/>
      <c r="S1973" s="120"/>
      <c r="T1973" s="121"/>
      <c r="U1973" s="120"/>
      <c r="V1973" s="123"/>
      <c r="W1973" s="125"/>
      <c r="X1973" s="142" t="s">
        <v>2321</v>
      </c>
      <c r="Y1973" s="143"/>
      <c r="Z1973" s="143"/>
      <c r="AA1973" s="143"/>
      <c r="AB1973" s="144"/>
      <c r="AC1973" s="16" t="s">
        <v>21</v>
      </c>
      <c r="AD1973" s="17" t="s">
        <v>1613</v>
      </c>
      <c r="AE1973" s="145" t="s">
        <v>171</v>
      </c>
      <c r="AF1973" s="146"/>
      <c r="AG1973" s="146"/>
      <c r="AH1973" s="146"/>
      <c r="AI1973" s="147"/>
      <c r="AJ1973" s="148"/>
      <c r="AK1973" s="143"/>
      <c r="AL1973" s="144"/>
      <c r="AM1973" s="22"/>
      <c r="AN1973" s="149" t="s">
        <v>7284</v>
      </c>
      <c r="AO1973" s="144"/>
      <c r="AP1973" s="148">
        <v>60436</v>
      </c>
      <c r="AQ1973" s="144"/>
      <c r="AR1973" s="120"/>
      <c r="AS1973" s="121"/>
      <c r="AT1973" s="120"/>
      <c r="AU1973" s="121"/>
      <c r="AV1973" s="120"/>
      <c r="AW1973" s="121"/>
      <c r="AX1973" s="120"/>
      <c r="AY1973" s="121"/>
      <c r="AZ1973" s="138"/>
    </row>
    <row r="1974" spans="1:52" ht="17.100000000000001" customHeight="1" thickTop="1">
      <c r="A1974" s="109" t="s">
        <v>6782</v>
      </c>
      <c r="B1974" s="28">
        <v>45932</v>
      </c>
      <c r="C1974" s="25">
        <v>1535</v>
      </c>
      <c r="D1974" s="13" t="s">
        <v>1586</v>
      </c>
      <c r="E1974" s="111"/>
      <c r="F1974" s="113" t="s">
        <v>1777</v>
      </c>
      <c r="G1974" s="114"/>
      <c r="H1974" s="115"/>
      <c r="I1974" s="24" t="s">
        <v>6785</v>
      </c>
      <c r="J1974" s="116">
        <v>4.5</v>
      </c>
      <c r="K1974" s="118">
        <v>1320000</v>
      </c>
      <c r="L1974" s="119"/>
      <c r="M1974" s="118">
        <f t="shared" ref="M1974" si="20">K1974*0.1</f>
        <v>132000</v>
      </c>
      <c r="N1974" s="119"/>
      <c r="O1974" s="118">
        <f>16400+1640</f>
        <v>18040</v>
      </c>
      <c r="P1974" s="119"/>
      <c r="Q1974" s="118">
        <v>16240</v>
      </c>
      <c r="R1974" s="119"/>
      <c r="S1974" s="118">
        <v>16500</v>
      </c>
      <c r="T1974" s="119"/>
      <c r="U1974" s="118">
        <f t="shared" ref="U1974" si="21">SUM(K1974:T1975)</f>
        <v>1502780</v>
      </c>
      <c r="V1974" s="122"/>
      <c r="W1974" s="124"/>
      <c r="X1974" s="126" t="s">
        <v>6786</v>
      </c>
      <c r="Y1974" s="127"/>
      <c r="Z1974" s="127"/>
      <c r="AA1974" s="127"/>
      <c r="AB1974" s="128"/>
      <c r="AC1974" s="15" t="s">
        <v>20</v>
      </c>
      <c r="AD1974" s="129"/>
      <c r="AE1974" s="130"/>
      <c r="AF1974" s="130"/>
      <c r="AG1974" s="130"/>
      <c r="AH1974" s="130"/>
      <c r="AI1974" s="131"/>
      <c r="AJ1974" s="132"/>
      <c r="AK1974" s="127"/>
      <c r="AL1974" s="128"/>
      <c r="AM1974" s="21"/>
      <c r="AN1974" s="133">
        <v>45955</v>
      </c>
      <c r="AO1974" s="134"/>
      <c r="AP1974" s="135">
        <v>1273</v>
      </c>
      <c r="AQ1974" s="136"/>
      <c r="AR1974" s="118">
        <v>1530000</v>
      </c>
      <c r="AS1974" s="119"/>
      <c r="AT1974" s="118">
        <f t="shared" ref="AT1974" si="22">AR1974*0.1</f>
        <v>153000</v>
      </c>
      <c r="AU1974" s="119"/>
      <c r="AV1974" s="118">
        <v>16240</v>
      </c>
      <c r="AW1974" s="119"/>
      <c r="AX1974" s="118">
        <f t="shared" ref="AX1974" si="23">SUM(AR1974:AW1974)</f>
        <v>1699240</v>
      </c>
      <c r="AY1974" s="119"/>
      <c r="AZ1974" s="137">
        <v>45958</v>
      </c>
    </row>
    <row r="1975" spans="1:52" ht="17.100000000000001" customHeight="1" thickBot="1">
      <c r="A1975" s="110"/>
      <c r="B1975" s="27" t="s">
        <v>1600</v>
      </c>
      <c r="C1975" s="27">
        <v>75859</v>
      </c>
      <c r="D1975" s="14" t="s">
        <v>133</v>
      </c>
      <c r="E1975" s="112"/>
      <c r="F1975" s="139" t="s">
        <v>6784</v>
      </c>
      <c r="G1975" s="140"/>
      <c r="H1975" s="141"/>
      <c r="I1975" s="26">
        <v>45193</v>
      </c>
      <c r="J1975" s="117"/>
      <c r="K1975" s="120"/>
      <c r="L1975" s="121"/>
      <c r="M1975" s="120"/>
      <c r="N1975" s="121"/>
      <c r="O1975" s="120"/>
      <c r="P1975" s="121"/>
      <c r="Q1975" s="120"/>
      <c r="R1975" s="121"/>
      <c r="S1975" s="120"/>
      <c r="T1975" s="121"/>
      <c r="U1975" s="120"/>
      <c r="V1975" s="123"/>
      <c r="W1975" s="125"/>
      <c r="X1975" s="142" t="s">
        <v>7431</v>
      </c>
      <c r="Y1975" s="143"/>
      <c r="Z1975" s="143"/>
      <c r="AA1975" s="143"/>
      <c r="AB1975" s="144"/>
      <c r="AC1975" s="16" t="s">
        <v>21</v>
      </c>
      <c r="AD1975" s="17" t="s">
        <v>3317</v>
      </c>
      <c r="AE1975" s="145" t="s">
        <v>7432</v>
      </c>
      <c r="AF1975" s="146"/>
      <c r="AG1975" s="146"/>
      <c r="AH1975" s="146"/>
      <c r="AI1975" s="147"/>
      <c r="AJ1975" s="148"/>
      <c r="AK1975" s="143"/>
      <c r="AL1975" s="144"/>
      <c r="AM1975" s="22"/>
      <c r="AN1975" s="149" t="s">
        <v>7284</v>
      </c>
      <c r="AO1975" s="144"/>
      <c r="AP1975" s="148">
        <v>80031</v>
      </c>
      <c r="AQ1975" s="144"/>
      <c r="AR1975" s="120"/>
      <c r="AS1975" s="121"/>
      <c r="AT1975" s="120"/>
      <c r="AU1975" s="121"/>
      <c r="AV1975" s="120"/>
      <c r="AW1975" s="121"/>
      <c r="AX1975" s="120"/>
      <c r="AY1975" s="121"/>
      <c r="AZ1975" s="138"/>
    </row>
    <row r="1976" spans="1:52" ht="17.100000000000001" customHeight="1" thickTop="1">
      <c r="A1976" s="109" t="s">
        <v>6783</v>
      </c>
      <c r="B1976" s="28">
        <v>45932</v>
      </c>
      <c r="C1976" s="25">
        <v>1535</v>
      </c>
      <c r="D1976" s="13" t="s">
        <v>4121</v>
      </c>
      <c r="E1976" s="111"/>
      <c r="F1976" s="113" t="s">
        <v>1938</v>
      </c>
      <c r="G1976" s="114"/>
      <c r="H1976" s="115"/>
      <c r="I1976" s="24" t="s">
        <v>4193</v>
      </c>
      <c r="J1976" s="116">
        <v>4.5</v>
      </c>
      <c r="K1976" s="118">
        <v>1020000</v>
      </c>
      <c r="L1976" s="119"/>
      <c r="M1976" s="118">
        <f t="shared" ref="M1976" si="24">K1976*0.1</f>
        <v>102000</v>
      </c>
      <c r="N1976" s="119"/>
      <c r="O1976" s="118">
        <f>14300+1430</f>
        <v>15730</v>
      </c>
      <c r="P1976" s="119"/>
      <c r="Q1976" s="118">
        <v>17600</v>
      </c>
      <c r="R1976" s="119"/>
      <c r="S1976" s="118">
        <v>16500</v>
      </c>
      <c r="T1976" s="119"/>
      <c r="U1976" s="118">
        <f t="shared" ref="U1976" si="25">SUM(K1976:T1977)</f>
        <v>1171830</v>
      </c>
      <c r="V1976" s="122"/>
      <c r="W1976" s="124"/>
      <c r="X1976" s="126" t="s">
        <v>6788</v>
      </c>
      <c r="Y1976" s="127"/>
      <c r="Z1976" s="127"/>
      <c r="AA1976" s="127"/>
      <c r="AB1976" s="128"/>
      <c r="AC1976" s="15" t="s">
        <v>20</v>
      </c>
      <c r="AD1976" s="129" t="s">
        <v>9929</v>
      </c>
      <c r="AE1976" s="130"/>
      <c r="AF1976" s="130"/>
      <c r="AG1976" s="130"/>
      <c r="AH1976" s="130"/>
      <c r="AI1976" s="131"/>
      <c r="AJ1976" s="132"/>
      <c r="AK1976" s="127"/>
      <c r="AL1976" s="128"/>
      <c r="AM1976" s="21" t="s">
        <v>8326</v>
      </c>
      <c r="AN1976" s="133">
        <v>45962</v>
      </c>
      <c r="AO1976" s="134"/>
      <c r="AP1976" s="135">
        <v>1274</v>
      </c>
      <c r="AQ1976" s="136"/>
      <c r="AR1976" s="118">
        <v>1185000</v>
      </c>
      <c r="AS1976" s="119"/>
      <c r="AT1976" s="118">
        <f t="shared" ref="AT1976" si="26">AR1976*0.1</f>
        <v>118500</v>
      </c>
      <c r="AU1976" s="119"/>
      <c r="AV1976" s="118">
        <v>17600</v>
      </c>
      <c r="AW1976" s="119"/>
      <c r="AX1976" s="118">
        <f t="shared" ref="AX1976" si="27">SUM(AR1976:AW1976)</f>
        <v>1321100</v>
      </c>
      <c r="AY1976" s="119"/>
      <c r="AZ1976" s="137">
        <v>45965</v>
      </c>
    </row>
    <row r="1977" spans="1:52" ht="17.100000000000001" customHeight="1" thickBot="1">
      <c r="A1977" s="110"/>
      <c r="B1977" s="27" t="s">
        <v>1600</v>
      </c>
      <c r="C1977" s="27">
        <v>78169</v>
      </c>
      <c r="D1977" s="14" t="s">
        <v>904</v>
      </c>
      <c r="E1977" s="112"/>
      <c r="F1977" s="139" t="s">
        <v>6787</v>
      </c>
      <c r="G1977" s="140"/>
      <c r="H1977" s="141"/>
      <c r="I1977" s="26">
        <v>19300</v>
      </c>
      <c r="J1977" s="117"/>
      <c r="K1977" s="120"/>
      <c r="L1977" s="121"/>
      <c r="M1977" s="120"/>
      <c r="N1977" s="121"/>
      <c r="O1977" s="120"/>
      <c r="P1977" s="121"/>
      <c r="Q1977" s="120"/>
      <c r="R1977" s="121"/>
      <c r="S1977" s="120"/>
      <c r="T1977" s="121"/>
      <c r="U1977" s="120"/>
      <c r="V1977" s="123"/>
      <c r="W1977" s="125"/>
      <c r="X1977" s="142" t="s">
        <v>7720</v>
      </c>
      <c r="Y1977" s="143"/>
      <c r="Z1977" s="143"/>
      <c r="AA1977" s="143"/>
      <c r="AB1977" s="144"/>
      <c r="AC1977" s="16" t="s">
        <v>21</v>
      </c>
      <c r="AD1977" s="17" t="s">
        <v>1613</v>
      </c>
      <c r="AE1977" s="145" t="s">
        <v>1614</v>
      </c>
      <c r="AF1977" s="146"/>
      <c r="AG1977" s="146"/>
      <c r="AH1977" s="146"/>
      <c r="AI1977" s="147"/>
      <c r="AJ1977" s="148"/>
      <c r="AK1977" s="143"/>
      <c r="AL1977" s="144"/>
      <c r="AM1977" s="22"/>
      <c r="AN1977" s="149" t="s">
        <v>7284</v>
      </c>
      <c r="AO1977" s="144"/>
      <c r="AP1977" s="148">
        <v>80084</v>
      </c>
      <c r="AQ1977" s="144"/>
      <c r="AR1977" s="120"/>
      <c r="AS1977" s="121"/>
      <c r="AT1977" s="120"/>
      <c r="AU1977" s="121"/>
      <c r="AV1977" s="120"/>
      <c r="AW1977" s="121"/>
      <c r="AX1977" s="120"/>
      <c r="AY1977" s="121"/>
      <c r="AZ1977" s="138"/>
    </row>
    <row r="1978" spans="1:52" ht="17.100000000000001" customHeight="1" thickTop="1">
      <c r="A1978" s="109" t="s">
        <v>6790</v>
      </c>
      <c r="B1978" s="28">
        <v>45932</v>
      </c>
      <c r="C1978" s="25">
        <v>2128</v>
      </c>
      <c r="D1978" s="13" t="s">
        <v>2564</v>
      </c>
      <c r="E1978" s="111"/>
      <c r="F1978" s="113" t="s">
        <v>4597</v>
      </c>
      <c r="G1978" s="114"/>
      <c r="H1978" s="115"/>
      <c r="I1978" s="24" t="s">
        <v>4560</v>
      </c>
      <c r="J1978" s="116">
        <v>4</v>
      </c>
      <c r="K1978" s="118">
        <v>359000</v>
      </c>
      <c r="L1978" s="119"/>
      <c r="M1978" s="118">
        <f t="shared" ref="M1978" si="28">K1978*0.1</f>
        <v>35900</v>
      </c>
      <c r="N1978" s="119"/>
      <c r="O1978" s="118">
        <v>0</v>
      </c>
      <c r="P1978" s="119"/>
      <c r="Q1978" s="118">
        <v>8490</v>
      </c>
      <c r="R1978" s="119"/>
      <c r="S1978" s="118">
        <v>13750</v>
      </c>
      <c r="T1978" s="119"/>
      <c r="U1978" s="118">
        <f t="shared" ref="U1978" si="29">SUM(K1978:T1979)</f>
        <v>417140</v>
      </c>
      <c r="V1978" s="122"/>
      <c r="W1978" s="124"/>
      <c r="X1978" s="126" t="s">
        <v>7913</v>
      </c>
      <c r="Y1978" s="127"/>
      <c r="Z1978" s="127"/>
      <c r="AA1978" s="127"/>
      <c r="AB1978" s="128"/>
      <c r="AC1978" s="15" t="s">
        <v>20</v>
      </c>
      <c r="AD1978" s="129"/>
      <c r="AE1978" s="130"/>
      <c r="AF1978" s="130"/>
      <c r="AG1978" s="130"/>
      <c r="AH1978" s="130"/>
      <c r="AI1978" s="131"/>
      <c r="AJ1978" s="132"/>
      <c r="AK1978" s="127"/>
      <c r="AL1978" s="128"/>
      <c r="AM1978" s="21" t="s">
        <v>11017</v>
      </c>
      <c r="AN1978" s="133">
        <v>46085</v>
      </c>
      <c r="AO1978" s="134"/>
      <c r="AP1978" s="135">
        <v>1007</v>
      </c>
      <c r="AQ1978" s="136"/>
      <c r="AR1978" s="118">
        <v>270000</v>
      </c>
      <c r="AS1978" s="119"/>
      <c r="AT1978" s="118">
        <f t="shared" ref="AT1978" si="30">AR1978*0.1</f>
        <v>27000</v>
      </c>
      <c r="AU1978" s="119"/>
      <c r="AV1978" s="118">
        <v>8490</v>
      </c>
      <c r="AW1978" s="119"/>
      <c r="AX1978" s="118">
        <f t="shared" ref="AX1978" si="31">SUM(AR1978:AW1978)</f>
        <v>305490</v>
      </c>
      <c r="AY1978" s="119"/>
      <c r="AZ1978" s="137">
        <v>46090</v>
      </c>
    </row>
    <row r="1979" spans="1:52" ht="17.100000000000001" customHeight="1" thickBot="1">
      <c r="A1979" s="110"/>
      <c r="B1979" s="27" t="s">
        <v>3281</v>
      </c>
      <c r="C1979" s="27">
        <v>25</v>
      </c>
      <c r="D1979" s="14" t="s">
        <v>133</v>
      </c>
      <c r="E1979" s="112"/>
      <c r="F1979" s="139" t="s">
        <v>6803</v>
      </c>
      <c r="G1979" s="140"/>
      <c r="H1979" s="141"/>
      <c r="I1979" s="26">
        <v>72335</v>
      </c>
      <c r="J1979" s="117"/>
      <c r="K1979" s="120"/>
      <c r="L1979" s="121"/>
      <c r="M1979" s="120"/>
      <c r="N1979" s="121"/>
      <c r="O1979" s="120"/>
      <c r="P1979" s="121"/>
      <c r="Q1979" s="120"/>
      <c r="R1979" s="121"/>
      <c r="S1979" s="120"/>
      <c r="T1979" s="121"/>
      <c r="U1979" s="120"/>
      <c r="V1979" s="123"/>
      <c r="W1979" s="125"/>
      <c r="X1979" s="142" t="s">
        <v>3410</v>
      </c>
      <c r="Y1979" s="143"/>
      <c r="Z1979" s="143"/>
      <c r="AA1979" s="143"/>
      <c r="AB1979" s="144"/>
      <c r="AC1979" s="16" t="s">
        <v>21</v>
      </c>
      <c r="AD1979" s="17" t="s">
        <v>1613</v>
      </c>
      <c r="AE1979" s="145" t="s">
        <v>7914</v>
      </c>
      <c r="AF1979" s="146"/>
      <c r="AG1979" s="146"/>
      <c r="AH1979" s="146"/>
      <c r="AI1979" s="147"/>
      <c r="AJ1979" s="148"/>
      <c r="AK1979" s="143"/>
      <c r="AL1979" s="144"/>
      <c r="AM1979" s="22"/>
      <c r="AN1979" s="149" t="s">
        <v>2794</v>
      </c>
      <c r="AO1979" s="144"/>
      <c r="AP1979" s="148">
        <v>2031</v>
      </c>
      <c r="AQ1979" s="144"/>
      <c r="AR1979" s="120"/>
      <c r="AS1979" s="121"/>
      <c r="AT1979" s="120"/>
      <c r="AU1979" s="121"/>
      <c r="AV1979" s="120"/>
      <c r="AW1979" s="121"/>
      <c r="AX1979" s="120"/>
      <c r="AY1979" s="121"/>
      <c r="AZ1979" s="138"/>
    </row>
    <row r="1980" spans="1:52" ht="17.100000000000001" customHeight="1" thickTop="1">
      <c r="A1980" s="109" t="s">
        <v>6791</v>
      </c>
      <c r="B1980" s="28">
        <v>45932</v>
      </c>
      <c r="C1980" s="25">
        <v>2128</v>
      </c>
      <c r="D1980" s="13" t="s">
        <v>4840</v>
      </c>
      <c r="E1980" s="111"/>
      <c r="F1980" s="113" t="s">
        <v>6816</v>
      </c>
      <c r="G1980" s="114"/>
      <c r="H1980" s="115"/>
      <c r="I1980" s="24"/>
      <c r="J1980" s="116">
        <v>4</v>
      </c>
      <c r="K1980" s="118">
        <v>118000</v>
      </c>
      <c r="L1980" s="119"/>
      <c r="M1980" s="118">
        <f t="shared" ref="M1980" si="32">K1980*0.1</f>
        <v>11800</v>
      </c>
      <c r="N1980" s="119"/>
      <c r="O1980" s="118">
        <v>0</v>
      </c>
      <c r="P1980" s="119"/>
      <c r="Q1980" s="118">
        <v>9070</v>
      </c>
      <c r="R1980" s="119"/>
      <c r="S1980" s="118">
        <v>13750</v>
      </c>
      <c r="T1980" s="119"/>
      <c r="U1980" s="118">
        <f t="shared" ref="U1980" si="33">SUM(K1980:T1981)</f>
        <v>152620</v>
      </c>
      <c r="V1980" s="122"/>
      <c r="W1980" s="124"/>
      <c r="X1980" s="126" t="s">
        <v>7912</v>
      </c>
      <c r="Y1980" s="127"/>
      <c r="Z1980" s="127"/>
      <c r="AA1980" s="127"/>
      <c r="AB1980" s="128"/>
      <c r="AC1980" s="15" t="s">
        <v>20</v>
      </c>
      <c r="AD1980" s="129"/>
      <c r="AE1980" s="130"/>
      <c r="AF1980" s="130"/>
      <c r="AG1980" s="130"/>
      <c r="AH1980" s="130"/>
      <c r="AI1980" s="131"/>
      <c r="AJ1980" s="132"/>
      <c r="AK1980" s="127"/>
      <c r="AL1980" s="128"/>
      <c r="AM1980" s="21"/>
      <c r="AN1980" s="133">
        <v>45941</v>
      </c>
      <c r="AO1980" s="134"/>
      <c r="AP1980" s="135">
        <v>1271</v>
      </c>
      <c r="AQ1980" s="136"/>
      <c r="AR1980" s="118">
        <v>165000</v>
      </c>
      <c r="AS1980" s="119"/>
      <c r="AT1980" s="118">
        <v>16500</v>
      </c>
      <c r="AU1980" s="119"/>
      <c r="AV1980" s="118">
        <v>9070</v>
      </c>
      <c r="AW1980" s="119"/>
      <c r="AX1980" s="118">
        <f t="shared" ref="AX1980" si="34">SUM(AR1980:AW1980)</f>
        <v>190570</v>
      </c>
      <c r="AY1980" s="119"/>
      <c r="AZ1980" s="137">
        <v>45944</v>
      </c>
    </row>
    <row r="1981" spans="1:52" ht="17.100000000000001" customHeight="1" thickBot="1">
      <c r="A1981" s="110"/>
      <c r="B1981" s="27" t="s">
        <v>3281</v>
      </c>
      <c r="C1981" s="27">
        <v>50</v>
      </c>
      <c r="D1981" s="14" t="s">
        <v>5505</v>
      </c>
      <c r="E1981" s="112"/>
      <c r="F1981" s="139" t="s">
        <v>6804</v>
      </c>
      <c r="G1981" s="140"/>
      <c r="H1981" s="141"/>
      <c r="I1981" s="26">
        <v>80801</v>
      </c>
      <c r="J1981" s="117"/>
      <c r="K1981" s="120"/>
      <c r="L1981" s="121"/>
      <c r="M1981" s="120"/>
      <c r="N1981" s="121"/>
      <c r="O1981" s="120"/>
      <c r="P1981" s="121"/>
      <c r="Q1981" s="120"/>
      <c r="R1981" s="121"/>
      <c r="S1981" s="120"/>
      <c r="T1981" s="121"/>
      <c r="U1981" s="120"/>
      <c r="V1981" s="123"/>
      <c r="W1981" s="125"/>
      <c r="X1981" s="142" t="s">
        <v>3410</v>
      </c>
      <c r="Y1981" s="143"/>
      <c r="Z1981" s="143"/>
      <c r="AA1981" s="143"/>
      <c r="AB1981" s="144"/>
      <c r="AC1981" s="16" t="s">
        <v>21</v>
      </c>
      <c r="AD1981" s="17" t="s">
        <v>1613</v>
      </c>
      <c r="AE1981" s="145" t="s">
        <v>2385</v>
      </c>
      <c r="AF1981" s="146"/>
      <c r="AG1981" s="146"/>
      <c r="AH1981" s="146"/>
      <c r="AI1981" s="147"/>
      <c r="AJ1981" s="148"/>
      <c r="AK1981" s="143"/>
      <c r="AL1981" s="144"/>
      <c r="AM1981" s="22"/>
      <c r="AN1981" s="149" t="s">
        <v>2511</v>
      </c>
      <c r="AO1981" s="144"/>
      <c r="AP1981" s="148">
        <v>60031</v>
      </c>
      <c r="AQ1981" s="144"/>
      <c r="AR1981" s="120"/>
      <c r="AS1981" s="121"/>
      <c r="AT1981" s="120"/>
      <c r="AU1981" s="121"/>
      <c r="AV1981" s="120"/>
      <c r="AW1981" s="121"/>
      <c r="AX1981" s="120"/>
      <c r="AY1981" s="121"/>
      <c r="AZ1981" s="138"/>
    </row>
    <row r="1982" spans="1:52" ht="17.100000000000001" customHeight="1" thickTop="1">
      <c r="A1982" s="109" t="s">
        <v>6792</v>
      </c>
      <c r="B1982" s="28">
        <v>45932</v>
      </c>
      <c r="C1982" s="25">
        <v>2128</v>
      </c>
      <c r="D1982" s="13" t="s">
        <v>1831</v>
      </c>
      <c r="E1982" s="111"/>
      <c r="F1982" s="113" t="s">
        <v>6817</v>
      </c>
      <c r="G1982" s="114"/>
      <c r="H1982" s="115"/>
      <c r="I1982" s="24"/>
      <c r="J1982" s="116">
        <v>4</v>
      </c>
      <c r="K1982" s="118">
        <v>369000</v>
      </c>
      <c r="L1982" s="119"/>
      <c r="M1982" s="118">
        <f t="shared" ref="M1982" si="35">K1982*0.1</f>
        <v>36900</v>
      </c>
      <c r="N1982" s="119"/>
      <c r="O1982" s="118">
        <v>0</v>
      </c>
      <c r="P1982" s="119"/>
      <c r="Q1982" s="118">
        <v>9190</v>
      </c>
      <c r="R1982" s="119"/>
      <c r="S1982" s="118">
        <v>13750</v>
      </c>
      <c r="T1982" s="119"/>
      <c r="U1982" s="118">
        <f t="shared" ref="U1982" si="36">SUM(K1982:T1983)</f>
        <v>428840</v>
      </c>
      <c r="V1982" s="122"/>
      <c r="W1982" s="124"/>
      <c r="X1982" s="126" t="s">
        <v>7911</v>
      </c>
      <c r="Y1982" s="127"/>
      <c r="Z1982" s="127"/>
      <c r="AA1982" s="127"/>
      <c r="AB1982" s="128"/>
      <c r="AC1982" s="15" t="s">
        <v>20</v>
      </c>
      <c r="AD1982" s="129" t="s">
        <v>2745</v>
      </c>
      <c r="AE1982" s="130"/>
      <c r="AF1982" s="130"/>
      <c r="AG1982" s="130"/>
      <c r="AH1982" s="130"/>
      <c r="AI1982" s="131"/>
      <c r="AJ1982" s="132"/>
      <c r="AK1982" s="127"/>
      <c r="AL1982" s="128"/>
      <c r="AM1982" s="21"/>
      <c r="AN1982" s="133">
        <v>45955</v>
      </c>
      <c r="AO1982" s="134"/>
      <c r="AP1982" s="135">
        <v>1273</v>
      </c>
      <c r="AQ1982" s="136"/>
      <c r="AR1982" s="118">
        <v>440000</v>
      </c>
      <c r="AS1982" s="119"/>
      <c r="AT1982" s="118">
        <f t="shared" ref="AT1982" si="37">AR1982*0.1</f>
        <v>44000</v>
      </c>
      <c r="AU1982" s="119"/>
      <c r="AV1982" s="118">
        <v>9190</v>
      </c>
      <c r="AW1982" s="119"/>
      <c r="AX1982" s="118">
        <f t="shared" ref="AX1982" si="38">SUM(AR1982:AW1982)</f>
        <v>493190</v>
      </c>
      <c r="AY1982" s="119"/>
      <c r="AZ1982" s="137">
        <v>45965</v>
      </c>
    </row>
    <row r="1983" spans="1:52" ht="17.100000000000001" customHeight="1" thickBot="1">
      <c r="A1983" s="110"/>
      <c r="B1983" s="27" t="s">
        <v>3281</v>
      </c>
      <c r="C1983" s="27">
        <v>185</v>
      </c>
      <c r="D1983" s="14" t="s">
        <v>4023</v>
      </c>
      <c r="E1983" s="112"/>
      <c r="F1983" s="139" t="s">
        <v>6805</v>
      </c>
      <c r="G1983" s="140"/>
      <c r="H1983" s="141"/>
      <c r="I1983" s="26">
        <v>52973</v>
      </c>
      <c r="J1983" s="117"/>
      <c r="K1983" s="120"/>
      <c r="L1983" s="121"/>
      <c r="M1983" s="120"/>
      <c r="N1983" s="121"/>
      <c r="O1983" s="120"/>
      <c r="P1983" s="121"/>
      <c r="Q1983" s="120"/>
      <c r="R1983" s="121"/>
      <c r="S1983" s="120"/>
      <c r="T1983" s="121"/>
      <c r="U1983" s="120"/>
      <c r="V1983" s="123"/>
      <c r="W1983" s="125"/>
      <c r="X1983" s="142" t="s">
        <v>5014</v>
      </c>
      <c r="Y1983" s="143"/>
      <c r="Z1983" s="143"/>
      <c r="AA1983" s="143"/>
      <c r="AB1983" s="144"/>
      <c r="AC1983" s="16" t="s">
        <v>21</v>
      </c>
      <c r="AD1983" s="17" t="s">
        <v>1613</v>
      </c>
      <c r="AE1983" s="145" t="s">
        <v>2745</v>
      </c>
      <c r="AF1983" s="146"/>
      <c r="AG1983" s="146"/>
      <c r="AH1983" s="146"/>
      <c r="AI1983" s="147"/>
      <c r="AJ1983" s="148"/>
      <c r="AK1983" s="143"/>
      <c r="AL1983" s="144"/>
      <c r="AM1983" s="22"/>
      <c r="AN1983" s="149" t="s">
        <v>6748</v>
      </c>
      <c r="AO1983" s="144"/>
      <c r="AP1983" s="148">
        <v>60088</v>
      </c>
      <c r="AQ1983" s="144"/>
      <c r="AR1983" s="120"/>
      <c r="AS1983" s="121"/>
      <c r="AT1983" s="120"/>
      <c r="AU1983" s="121"/>
      <c r="AV1983" s="120"/>
      <c r="AW1983" s="121"/>
      <c r="AX1983" s="120"/>
      <c r="AY1983" s="121"/>
      <c r="AZ1983" s="138"/>
    </row>
    <row r="1984" spans="1:52" ht="17.100000000000001" customHeight="1" thickTop="1">
      <c r="A1984" s="109" t="s">
        <v>6793</v>
      </c>
      <c r="B1984" s="28">
        <v>45932</v>
      </c>
      <c r="C1984" s="25">
        <v>2128</v>
      </c>
      <c r="D1984" s="13" t="s">
        <v>1649</v>
      </c>
      <c r="E1984" s="111"/>
      <c r="F1984" s="113" t="s">
        <v>2993</v>
      </c>
      <c r="G1984" s="114"/>
      <c r="H1984" s="115"/>
      <c r="I1984" s="24" t="s">
        <v>6818</v>
      </c>
      <c r="J1984" s="116">
        <v>3.5</v>
      </c>
      <c r="K1984" s="118">
        <v>133000</v>
      </c>
      <c r="L1984" s="119"/>
      <c r="M1984" s="118">
        <f t="shared" ref="M1984" si="39">K1984*0.1</f>
        <v>13300</v>
      </c>
      <c r="N1984" s="119"/>
      <c r="O1984" s="118">
        <v>0</v>
      </c>
      <c r="P1984" s="119"/>
      <c r="Q1984" s="118">
        <v>8860</v>
      </c>
      <c r="R1984" s="119"/>
      <c r="S1984" s="118">
        <v>13750</v>
      </c>
      <c r="T1984" s="119"/>
      <c r="U1984" s="118">
        <f t="shared" ref="U1984" si="40">SUM(K1984:T1985)</f>
        <v>168910</v>
      </c>
      <c r="V1984" s="122"/>
      <c r="W1984" s="124"/>
      <c r="X1984" s="126" t="s">
        <v>7981</v>
      </c>
      <c r="Y1984" s="127"/>
      <c r="Z1984" s="127"/>
      <c r="AA1984" s="127"/>
      <c r="AB1984" s="128"/>
      <c r="AC1984" s="15" t="s">
        <v>20</v>
      </c>
      <c r="AD1984" s="129"/>
      <c r="AE1984" s="130"/>
      <c r="AF1984" s="130"/>
      <c r="AG1984" s="130"/>
      <c r="AH1984" s="130"/>
      <c r="AI1984" s="131"/>
      <c r="AJ1984" s="132"/>
      <c r="AK1984" s="127"/>
      <c r="AL1984" s="128"/>
      <c r="AM1984" s="21"/>
      <c r="AN1984" s="133">
        <v>45941</v>
      </c>
      <c r="AO1984" s="134"/>
      <c r="AP1984" s="135">
        <v>1271</v>
      </c>
      <c r="AQ1984" s="136"/>
      <c r="AR1984" s="118">
        <v>135000</v>
      </c>
      <c r="AS1984" s="119"/>
      <c r="AT1984" s="118">
        <v>13500</v>
      </c>
      <c r="AU1984" s="119"/>
      <c r="AV1984" s="118">
        <v>8860</v>
      </c>
      <c r="AW1984" s="119"/>
      <c r="AX1984" s="118">
        <f t="shared" ref="AX1984" si="41">SUM(AR1984:AW1984)</f>
        <v>157360</v>
      </c>
      <c r="AY1984" s="119"/>
      <c r="AZ1984" s="137">
        <v>45945</v>
      </c>
    </row>
    <row r="1985" spans="1:52" ht="17.100000000000001" customHeight="1" thickBot="1">
      <c r="A1985" s="110"/>
      <c r="B1985" s="27" t="s">
        <v>3281</v>
      </c>
      <c r="C1985" s="27">
        <v>202</v>
      </c>
      <c r="D1985" s="14" t="s">
        <v>904</v>
      </c>
      <c r="E1985" s="112"/>
      <c r="F1985" s="139" t="s">
        <v>6806</v>
      </c>
      <c r="G1985" s="140"/>
      <c r="H1985" s="141"/>
      <c r="I1985" s="26">
        <v>174908</v>
      </c>
      <c r="J1985" s="117"/>
      <c r="K1985" s="120"/>
      <c r="L1985" s="121"/>
      <c r="M1985" s="120"/>
      <c r="N1985" s="121"/>
      <c r="O1985" s="120"/>
      <c r="P1985" s="121"/>
      <c r="Q1985" s="120"/>
      <c r="R1985" s="121"/>
      <c r="S1985" s="120"/>
      <c r="T1985" s="121"/>
      <c r="U1985" s="120"/>
      <c r="V1985" s="123"/>
      <c r="W1985" s="125"/>
      <c r="X1985" s="142" t="s">
        <v>3410</v>
      </c>
      <c r="Y1985" s="143"/>
      <c r="Z1985" s="143"/>
      <c r="AA1985" s="143"/>
      <c r="AB1985" s="144"/>
      <c r="AC1985" s="16" t="s">
        <v>21</v>
      </c>
      <c r="AD1985" s="17" t="s">
        <v>3289</v>
      </c>
      <c r="AE1985" s="145" t="s">
        <v>1742</v>
      </c>
      <c r="AF1985" s="146"/>
      <c r="AG1985" s="146"/>
      <c r="AH1985" s="146"/>
      <c r="AI1985" s="147"/>
      <c r="AJ1985" s="148"/>
      <c r="AK1985" s="143"/>
      <c r="AL1985" s="144"/>
      <c r="AM1985" s="22"/>
      <c r="AN1985" s="149" t="s">
        <v>2511</v>
      </c>
      <c r="AO1985" s="144"/>
      <c r="AP1985" s="148">
        <v>60485</v>
      </c>
      <c r="AQ1985" s="144"/>
      <c r="AR1985" s="120"/>
      <c r="AS1985" s="121"/>
      <c r="AT1985" s="120"/>
      <c r="AU1985" s="121"/>
      <c r="AV1985" s="120"/>
      <c r="AW1985" s="121"/>
      <c r="AX1985" s="120"/>
      <c r="AY1985" s="121"/>
      <c r="AZ1985" s="138"/>
    </row>
    <row r="1986" spans="1:52" ht="17.100000000000001" customHeight="1" thickTop="1">
      <c r="A1986" s="109" t="s">
        <v>6794</v>
      </c>
      <c r="B1986" s="28">
        <v>45932</v>
      </c>
      <c r="C1986" s="25">
        <v>2128</v>
      </c>
      <c r="D1986" s="13" t="s">
        <v>3921</v>
      </c>
      <c r="E1986" s="111"/>
      <c r="F1986" s="113" t="s">
        <v>6819</v>
      </c>
      <c r="G1986" s="114"/>
      <c r="H1986" s="115"/>
      <c r="I1986" s="24"/>
      <c r="J1986" s="116">
        <v>4</v>
      </c>
      <c r="K1986" s="118">
        <v>844000</v>
      </c>
      <c r="L1986" s="119"/>
      <c r="M1986" s="118">
        <f t="shared" ref="M1986" si="42">K1986*0.1</f>
        <v>84400</v>
      </c>
      <c r="N1986" s="119"/>
      <c r="O1986" s="118">
        <v>0</v>
      </c>
      <c r="P1986" s="119"/>
      <c r="Q1986" s="118">
        <v>8400</v>
      </c>
      <c r="R1986" s="119"/>
      <c r="S1986" s="118">
        <v>13750</v>
      </c>
      <c r="T1986" s="119"/>
      <c r="U1986" s="118">
        <f t="shared" ref="U1986" si="43">SUM(K1986:T1987)</f>
        <v>950550</v>
      </c>
      <c r="V1986" s="122"/>
      <c r="W1986" s="124"/>
      <c r="X1986" s="126" t="s">
        <v>7910</v>
      </c>
      <c r="Y1986" s="127"/>
      <c r="Z1986" s="127"/>
      <c r="AA1986" s="127"/>
      <c r="AB1986" s="128"/>
      <c r="AC1986" s="15" t="s">
        <v>20</v>
      </c>
      <c r="AD1986" s="129"/>
      <c r="AE1986" s="130"/>
      <c r="AF1986" s="130"/>
      <c r="AG1986" s="130"/>
      <c r="AH1986" s="130"/>
      <c r="AI1986" s="131"/>
      <c r="AJ1986" s="132"/>
      <c r="AK1986" s="127"/>
      <c r="AL1986" s="128"/>
      <c r="AM1986" s="21"/>
      <c r="AN1986" s="133">
        <v>45955</v>
      </c>
      <c r="AO1986" s="134"/>
      <c r="AP1986" s="135">
        <v>1273</v>
      </c>
      <c r="AQ1986" s="136"/>
      <c r="AR1986" s="118">
        <v>930000</v>
      </c>
      <c r="AS1986" s="119"/>
      <c r="AT1986" s="118">
        <f t="shared" ref="AT1986" si="44">AR1986*0.1</f>
        <v>93000</v>
      </c>
      <c r="AU1986" s="119"/>
      <c r="AV1986" s="118">
        <v>8400</v>
      </c>
      <c r="AW1986" s="119"/>
      <c r="AX1986" s="118">
        <f t="shared" ref="AX1986" si="45">SUM(AR1986:AW1986)</f>
        <v>1031400</v>
      </c>
      <c r="AY1986" s="119"/>
      <c r="AZ1986" s="137">
        <v>45958</v>
      </c>
    </row>
    <row r="1987" spans="1:52" ht="17.100000000000001" customHeight="1" thickBot="1">
      <c r="A1987" s="110"/>
      <c r="B1987" s="27" t="s">
        <v>3281</v>
      </c>
      <c r="C1987" s="27">
        <v>2127</v>
      </c>
      <c r="D1987" s="14" t="s">
        <v>1576</v>
      </c>
      <c r="E1987" s="112"/>
      <c r="F1987" s="139" t="s">
        <v>6807</v>
      </c>
      <c r="G1987" s="140"/>
      <c r="H1987" s="141"/>
      <c r="I1987" s="26">
        <v>27557</v>
      </c>
      <c r="J1987" s="117"/>
      <c r="K1987" s="120"/>
      <c r="L1987" s="121"/>
      <c r="M1987" s="120"/>
      <c r="N1987" s="121"/>
      <c r="O1987" s="120"/>
      <c r="P1987" s="121"/>
      <c r="Q1987" s="120"/>
      <c r="R1987" s="121"/>
      <c r="S1987" s="120"/>
      <c r="T1987" s="121"/>
      <c r="U1987" s="120"/>
      <c r="V1987" s="123"/>
      <c r="W1987" s="125"/>
      <c r="X1987" s="142" t="s">
        <v>4296</v>
      </c>
      <c r="Y1987" s="143"/>
      <c r="Z1987" s="143"/>
      <c r="AA1987" s="143"/>
      <c r="AB1987" s="144"/>
      <c r="AC1987" s="16" t="s">
        <v>21</v>
      </c>
      <c r="AD1987" s="17" t="s">
        <v>1613</v>
      </c>
      <c r="AE1987" s="145" t="s">
        <v>7842</v>
      </c>
      <c r="AF1987" s="146"/>
      <c r="AG1987" s="146"/>
      <c r="AH1987" s="146"/>
      <c r="AI1987" s="147"/>
      <c r="AJ1987" s="148"/>
      <c r="AK1987" s="143"/>
      <c r="AL1987" s="144"/>
      <c r="AM1987" s="22"/>
      <c r="AN1987" s="149" t="s">
        <v>7284</v>
      </c>
      <c r="AO1987" s="144"/>
      <c r="AP1987" s="148">
        <v>60146</v>
      </c>
      <c r="AQ1987" s="144"/>
      <c r="AR1987" s="120"/>
      <c r="AS1987" s="121"/>
      <c r="AT1987" s="120"/>
      <c r="AU1987" s="121"/>
      <c r="AV1987" s="120"/>
      <c r="AW1987" s="121"/>
      <c r="AX1987" s="120"/>
      <c r="AY1987" s="121"/>
      <c r="AZ1987" s="138"/>
    </row>
    <row r="1988" spans="1:52" ht="17.100000000000001" customHeight="1" thickTop="1">
      <c r="A1988" s="109" t="s">
        <v>6795</v>
      </c>
      <c r="B1988" s="28">
        <v>45932</v>
      </c>
      <c r="C1988" s="25">
        <v>2128</v>
      </c>
      <c r="D1988" s="13" t="s">
        <v>2970</v>
      </c>
      <c r="E1988" s="111"/>
      <c r="F1988" s="113" t="s">
        <v>6820</v>
      </c>
      <c r="G1988" s="114"/>
      <c r="H1988" s="115"/>
      <c r="I1988" s="24" t="s">
        <v>6821</v>
      </c>
      <c r="J1988" s="116">
        <v>4</v>
      </c>
      <c r="K1988" s="118">
        <v>1067000</v>
      </c>
      <c r="L1988" s="119"/>
      <c r="M1988" s="118">
        <f t="shared" ref="M1988" si="46">K1988*0.1</f>
        <v>106700</v>
      </c>
      <c r="N1988" s="119"/>
      <c r="O1988" s="118">
        <v>0</v>
      </c>
      <c r="P1988" s="119"/>
      <c r="Q1988" s="118">
        <v>8790</v>
      </c>
      <c r="R1988" s="119"/>
      <c r="S1988" s="118">
        <v>13750</v>
      </c>
      <c r="T1988" s="119"/>
      <c r="U1988" s="118">
        <f t="shared" ref="U1988" si="47">SUM(K1988:T1989)</f>
        <v>1196240</v>
      </c>
      <c r="V1988" s="122"/>
      <c r="W1988" s="124"/>
      <c r="X1988" s="126" t="s">
        <v>7908</v>
      </c>
      <c r="Y1988" s="127"/>
      <c r="Z1988" s="127"/>
      <c r="AA1988" s="127"/>
      <c r="AB1988" s="128"/>
      <c r="AC1988" s="15" t="s">
        <v>20</v>
      </c>
      <c r="AD1988" s="129" t="s">
        <v>6822</v>
      </c>
      <c r="AE1988" s="130"/>
      <c r="AF1988" s="130"/>
      <c r="AG1988" s="130"/>
      <c r="AH1988" s="130"/>
      <c r="AI1988" s="131"/>
      <c r="AJ1988" s="132"/>
      <c r="AK1988" s="127"/>
      <c r="AL1988" s="128"/>
      <c r="AM1988" s="21"/>
      <c r="AN1988" s="133">
        <v>45951</v>
      </c>
      <c r="AO1988" s="134"/>
      <c r="AP1988" s="135">
        <v>1914</v>
      </c>
      <c r="AQ1988" s="136"/>
      <c r="AR1988" s="118">
        <v>1098000</v>
      </c>
      <c r="AS1988" s="119"/>
      <c r="AT1988" s="118">
        <f t="shared" ref="AT1988" si="48">AR1988*0.1</f>
        <v>109800</v>
      </c>
      <c r="AU1988" s="119"/>
      <c r="AV1988" s="118">
        <v>8790</v>
      </c>
      <c r="AW1988" s="119"/>
      <c r="AX1988" s="118">
        <f t="shared" ref="AX1988" si="49">SUM(AR1988:AW1988)</f>
        <v>1216590</v>
      </c>
      <c r="AY1988" s="119"/>
      <c r="AZ1988" s="137">
        <v>45957</v>
      </c>
    </row>
    <row r="1989" spans="1:52" ht="17.100000000000001" customHeight="1" thickBot="1">
      <c r="A1989" s="110"/>
      <c r="B1989" s="27" t="s">
        <v>3281</v>
      </c>
      <c r="C1989" s="27">
        <v>2505</v>
      </c>
      <c r="D1989" s="14" t="s">
        <v>3855</v>
      </c>
      <c r="E1989" s="112"/>
      <c r="F1989" s="139" t="s">
        <v>6808</v>
      </c>
      <c r="G1989" s="140"/>
      <c r="H1989" s="141"/>
      <c r="I1989" s="26">
        <v>44468</v>
      </c>
      <c r="J1989" s="117"/>
      <c r="K1989" s="120"/>
      <c r="L1989" s="121"/>
      <c r="M1989" s="120"/>
      <c r="N1989" s="121"/>
      <c r="O1989" s="120"/>
      <c r="P1989" s="121"/>
      <c r="Q1989" s="120"/>
      <c r="R1989" s="121"/>
      <c r="S1989" s="120"/>
      <c r="T1989" s="121"/>
      <c r="U1989" s="120"/>
      <c r="V1989" s="123"/>
      <c r="W1989" s="125"/>
      <c r="X1989" s="142" t="s">
        <v>2992</v>
      </c>
      <c r="Y1989" s="143"/>
      <c r="Z1989" s="143"/>
      <c r="AA1989" s="143"/>
      <c r="AB1989" s="144"/>
      <c r="AC1989" s="16" t="s">
        <v>21</v>
      </c>
      <c r="AD1989" s="17" t="s">
        <v>1613</v>
      </c>
      <c r="AE1989" s="145" t="s">
        <v>7909</v>
      </c>
      <c r="AF1989" s="146"/>
      <c r="AG1989" s="146"/>
      <c r="AH1989" s="146"/>
      <c r="AI1989" s="147"/>
      <c r="AJ1989" s="148"/>
      <c r="AK1989" s="143"/>
      <c r="AL1989" s="144"/>
      <c r="AM1989" s="22"/>
      <c r="AN1989" s="149" t="s">
        <v>2131</v>
      </c>
      <c r="AO1989" s="144"/>
      <c r="AP1989" s="148">
        <v>3129</v>
      </c>
      <c r="AQ1989" s="144"/>
      <c r="AR1989" s="120"/>
      <c r="AS1989" s="121"/>
      <c r="AT1989" s="120"/>
      <c r="AU1989" s="121"/>
      <c r="AV1989" s="120"/>
      <c r="AW1989" s="121"/>
      <c r="AX1989" s="120"/>
      <c r="AY1989" s="121"/>
      <c r="AZ1989" s="138"/>
    </row>
    <row r="1990" spans="1:52" ht="17.100000000000001" customHeight="1" thickTop="1">
      <c r="A1990" s="109" t="s">
        <v>6796</v>
      </c>
      <c r="B1990" s="28">
        <v>45932</v>
      </c>
      <c r="C1990" s="25">
        <v>2128</v>
      </c>
      <c r="D1990" s="13" t="s">
        <v>1855</v>
      </c>
      <c r="E1990" s="111"/>
      <c r="F1990" s="113" t="s">
        <v>6823</v>
      </c>
      <c r="G1990" s="114"/>
      <c r="H1990" s="115"/>
      <c r="I1990" s="24"/>
      <c r="J1990" s="116">
        <v>4</v>
      </c>
      <c r="K1990" s="118">
        <v>832000</v>
      </c>
      <c r="L1990" s="119"/>
      <c r="M1990" s="118">
        <f t="shared" ref="M1990" si="50">K1990*0.1</f>
        <v>83200</v>
      </c>
      <c r="N1990" s="119"/>
      <c r="O1990" s="118">
        <v>0</v>
      </c>
      <c r="P1990" s="119"/>
      <c r="Q1990" s="118">
        <v>6220</v>
      </c>
      <c r="R1990" s="119"/>
      <c r="S1990" s="118">
        <v>13750</v>
      </c>
      <c r="T1990" s="119"/>
      <c r="U1990" s="118">
        <f t="shared" ref="U1990" si="51">SUM(K1990:T1991)</f>
        <v>935170</v>
      </c>
      <c r="V1990" s="122"/>
      <c r="W1990" s="124"/>
      <c r="X1990" s="126" t="s">
        <v>8086</v>
      </c>
      <c r="Y1990" s="127"/>
      <c r="Z1990" s="127"/>
      <c r="AA1990" s="127"/>
      <c r="AB1990" s="128"/>
      <c r="AC1990" s="15" t="s">
        <v>20</v>
      </c>
      <c r="AD1990" s="129"/>
      <c r="AE1990" s="130"/>
      <c r="AF1990" s="130"/>
      <c r="AG1990" s="130"/>
      <c r="AH1990" s="130"/>
      <c r="AI1990" s="131"/>
      <c r="AJ1990" s="132"/>
      <c r="AK1990" s="127"/>
      <c r="AL1990" s="128"/>
      <c r="AM1990" s="21"/>
      <c r="AN1990" s="133">
        <v>45955</v>
      </c>
      <c r="AO1990" s="134"/>
      <c r="AP1990" s="135">
        <v>1273</v>
      </c>
      <c r="AQ1990" s="136"/>
      <c r="AR1990" s="118">
        <v>910000</v>
      </c>
      <c r="AS1990" s="119"/>
      <c r="AT1990" s="118">
        <f t="shared" ref="AT1990" si="52">AR1990*0.1</f>
        <v>91000</v>
      </c>
      <c r="AU1990" s="119"/>
      <c r="AV1990" s="118">
        <v>6220</v>
      </c>
      <c r="AW1990" s="119"/>
      <c r="AX1990" s="118">
        <f t="shared" ref="AX1990" si="53">SUM(AR1990:AW1990)</f>
        <v>1007220</v>
      </c>
      <c r="AY1990" s="119"/>
      <c r="AZ1990" s="137">
        <v>45958</v>
      </c>
    </row>
    <row r="1991" spans="1:52" ht="17.100000000000001" customHeight="1" thickBot="1">
      <c r="A1991" s="110"/>
      <c r="B1991" s="27" t="s">
        <v>3281</v>
      </c>
      <c r="C1991" s="27">
        <v>2511</v>
      </c>
      <c r="D1991" s="14" t="s">
        <v>1592</v>
      </c>
      <c r="E1991" s="112"/>
      <c r="F1991" s="139" t="s">
        <v>6809</v>
      </c>
      <c r="G1991" s="140"/>
      <c r="H1991" s="141"/>
      <c r="I1991" s="26">
        <v>56863</v>
      </c>
      <c r="J1991" s="117"/>
      <c r="K1991" s="120"/>
      <c r="L1991" s="121"/>
      <c r="M1991" s="120"/>
      <c r="N1991" s="121"/>
      <c r="O1991" s="120"/>
      <c r="P1991" s="121"/>
      <c r="Q1991" s="120"/>
      <c r="R1991" s="121"/>
      <c r="S1991" s="120"/>
      <c r="T1991" s="121"/>
      <c r="U1991" s="120"/>
      <c r="V1991" s="123"/>
      <c r="W1991" s="125"/>
      <c r="X1991" s="142" t="s">
        <v>4389</v>
      </c>
      <c r="Y1991" s="143"/>
      <c r="Z1991" s="143"/>
      <c r="AA1991" s="143"/>
      <c r="AB1991" s="144"/>
      <c r="AC1991" s="16" t="s">
        <v>21</v>
      </c>
      <c r="AD1991" s="17" t="s">
        <v>8050</v>
      </c>
      <c r="AE1991" s="145"/>
      <c r="AF1991" s="146"/>
      <c r="AG1991" s="146"/>
      <c r="AH1991" s="146"/>
      <c r="AI1991" s="147"/>
      <c r="AJ1991" s="148"/>
      <c r="AK1991" s="143"/>
      <c r="AL1991" s="144"/>
      <c r="AM1991" s="22"/>
      <c r="AN1991" s="149" t="s">
        <v>7284</v>
      </c>
      <c r="AO1991" s="144"/>
      <c r="AP1991" s="148">
        <v>60118</v>
      </c>
      <c r="AQ1991" s="144"/>
      <c r="AR1991" s="120"/>
      <c r="AS1991" s="121"/>
      <c r="AT1991" s="120"/>
      <c r="AU1991" s="121"/>
      <c r="AV1991" s="120"/>
      <c r="AW1991" s="121"/>
      <c r="AX1991" s="120"/>
      <c r="AY1991" s="121"/>
      <c r="AZ1991" s="138"/>
    </row>
    <row r="1992" spans="1:52" ht="17.100000000000001" customHeight="1" thickTop="1">
      <c r="A1992" s="109" t="s">
        <v>6798</v>
      </c>
      <c r="B1992" s="28">
        <v>45932</v>
      </c>
      <c r="C1992" s="25">
        <v>2128</v>
      </c>
      <c r="D1992" s="13" t="s">
        <v>1930</v>
      </c>
      <c r="E1992" s="111"/>
      <c r="F1992" s="113" t="s">
        <v>6824</v>
      </c>
      <c r="G1992" s="114"/>
      <c r="H1992" s="115"/>
      <c r="I1992" s="24" t="s">
        <v>1547</v>
      </c>
      <c r="J1992" s="116">
        <v>4</v>
      </c>
      <c r="K1992" s="118">
        <v>1301000</v>
      </c>
      <c r="L1992" s="119"/>
      <c r="M1992" s="118">
        <f t="shared" ref="M1992" si="54">K1992*0.1</f>
        <v>130100</v>
      </c>
      <c r="N1992" s="119"/>
      <c r="O1992" s="118">
        <v>10800</v>
      </c>
      <c r="P1992" s="119"/>
      <c r="Q1992" s="118">
        <v>5990</v>
      </c>
      <c r="R1992" s="119"/>
      <c r="S1992" s="118">
        <v>15400</v>
      </c>
      <c r="T1992" s="119"/>
      <c r="U1992" s="118">
        <f t="shared" ref="U1992" si="55">SUM(K1992:T1993)</f>
        <v>1463290</v>
      </c>
      <c r="V1992" s="122"/>
      <c r="W1992" s="124"/>
      <c r="X1992" s="126" t="s">
        <v>6825</v>
      </c>
      <c r="Y1992" s="127"/>
      <c r="Z1992" s="127"/>
      <c r="AA1992" s="127"/>
      <c r="AB1992" s="128"/>
      <c r="AC1992" s="15" t="s">
        <v>20</v>
      </c>
      <c r="AD1992" s="129" t="s">
        <v>1670</v>
      </c>
      <c r="AE1992" s="130"/>
      <c r="AF1992" s="130"/>
      <c r="AG1992" s="130"/>
      <c r="AH1992" s="130"/>
      <c r="AI1992" s="131"/>
      <c r="AJ1992" s="132"/>
      <c r="AK1992" s="127"/>
      <c r="AL1992" s="128"/>
      <c r="AM1992" s="21" t="s">
        <v>11009</v>
      </c>
      <c r="AN1992" s="133">
        <v>46043</v>
      </c>
      <c r="AO1992" s="134"/>
      <c r="AP1992" s="135">
        <v>1001</v>
      </c>
      <c r="AQ1992" s="136"/>
      <c r="AR1992" s="118">
        <v>1340000</v>
      </c>
      <c r="AS1992" s="119"/>
      <c r="AT1992" s="118">
        <f t="shared" ref="AT1992" si="56">AR1992*0.1</f>
        <v>134000</v>
      </c>
      <c r="AU1992" s="119"/>
      <c r="AV1992" s="118">
        <v>5990</v>
      </c>
      <c r="AW1992" s="119"/>
      <c r="AX1992" s="118">
        <f t="shared" ref="AX1992" si="57">SUM(AR1992:AW1992)</f>
        <v>1479990</v>
      </c>
      <c r="AY1992" s="119"/>
      <c r="AZ1992" s="137">
        <v>46048</v>
      </c>
    </row>
    <row r="1993" spans="1:52" ht="17.100000000000001" customHeight="1" thickBot="1">
      <c r="A1993" s="110"/>
      <c r="B1993" s="27" t="s">
        <v>6797</v>
      </c>
      <c r="C1993" s="27">
        <v>3013</v>
      </c>
      <c r="D1993" s="14" t="s">
        <v>2601</v>
      </c>
      <c r="E1993" s="112"/>
      <c r="F1993" s="139" t="s">
        <v>6810</v>
      </c>
      <c r="G1993" s="140"/>
      <c r="H1993" s="141"/>
      <c r="I1993" s="26">
        <v>51733</v>
      </c>
      <c r="J1993" s="117"/>
      <c r="K1993" s="120"/>
      <c r="L1993" s="121"/>
      <c r="M1993" s="120"/>
      <c r="N1993" s="121"/>
      <c r="O1993" s="120"/>
      <c r="P1993" s="121"/>
      <c r="Q1993" s="120"/>
      <c r="R1993" s="121"/>
      <c r="S1993" s="120"/>
      <c r="T1993" s="121"/>
      <c r="U1993" s="120"/>
      <c r="V1993" s="123"/>
      <c r="W1993" s="125"/>
      <c r="X1993" s="142" t="s">
        <v>7737</v>
      </c>
      <c r="Y1993" s="143"/>
      <c r="Z1993" s="143"/>
      <c r="AA1993" s="143"/>
      <c r="AB1993" s="144"/>
      <c r="AC1993" s="16" t="s">
        <v>21</v>
      </c>
      <c r="AD1993" s="17" t="s">
        <v>1613</v>
      </c>
      <c r="AE1993" s="145" t="s">
        <v>1614</v>
      </c>
      <c r="AF1993" s="146"/>
      <c r="AG1993" s="146"/>
      <c r="AH1993" s="146"/>
      <c r="AI1993" s="147"/>
      <c r="AJ1993" s="148"/>
      <c r="AK1993" s="143"/>
      <c r="AL1993" s="144"/>
      <c r="AM1993" s="22" t="s">
        <v>11010</v>
      </c>
      <c r="AN1993" s="149" t="s">
        <v>2794</v>
      </c>
      <c r="AO1993" s="144"/>
      <c r="AP1993" s="148">
        <v>2025</v>
      </c>
      <c r="AQ1993" s="144"/>
      <c r="AR1993" s="120"/>
      <c r="AS1993" s="121"/>
      <c r="AT1993" s="120"/>
      <c r="AU1993" s="121"/>
      <c r="AV1993" s="120"/>
      <c r="AW1993" s="121"/>
      <c r="AX1993" s="120"/>
      <c r="AY1993" s="121"/>
      <c r="AZ1993" s="138"/>
    </row>
    <row r="1994" spans="1:52" ht="17.100000000000001" customHeight="1" thickTop="1">
      <c r="A1994" s="109" t="s">
        <v>6799</v>
      </c>
      <c r="B1994" s="28">
        <v>45932</v>
      </c>
      <c r="C1994" s="25">
        <v>2128</v>
      </c>
      <c r="D1994" s="13" t="s">
        <v>1847</v>
      </c>
      <c r="E1994" s="111"/>
      <c r="F1994" s="113" t="s">
        <v>6826</v>
      </c>
      <c r="G1994" s="114"/>
      <c r="H1994" s="115"/>
      <c r="I1994" s="24"/>
      <c r="J1994" s="116">
        <v>4.5</v>
      </c>
      <c r="K1994" s="118">
        <v>1266000</v>
      </c>
      <c r="L1994" s="119"/>
      <c r="M1994" s="118">
        <f t="shared" ref="M1994" si="58">K1994*0.1</f>
        <v>126600</v>
      </c>
      <c r="N1994" s="119"/>
      <c r="O1994" s="118">
        <v>0</v>
      </c>
      <c r="P1994" s="119"/>
      <c r="Q1994" s="118">
        <v>9710</v>
      </c>
      <c r="R1994" s="119"/>
      <c r="S1994" s="118">
        <v>15400</v>
      </c>
      <c r="T1994" s="119"/>
      <c r="U1994" s="118">
        <f t="shared" ref="U1994" si="59">SUM(K1994:T1995)</f>
        <v>1417710</v>
      </c>
      <c r="V1994" s="122"/>
      <c r="W1994" s="124"/>
      <c r="X1994" s="126" t="s">
        <v>7739</v>
      </c>
      <c r="Y1994" s="127"/>
      <c r="Z1994" s="127"/>
      <c r="AA1994" s="127"/>
      <c r="AB1994" s="128"/>
      <c r="AC1994" s="15" t="s">
        <v>20</v>
      </c>
      <c r="AD1994" s="129" t="s">
        <v>1670</v>
      </c>
      <c r="AE1994" s="130"/>
      <c r="AF1994" s="130"/>
      <c r="AG1994" s="130"/>
      <c r="AH1994" s="130"/>
      <c r="AI1994" s="131"/>
      <c r="AJ1994" s="132"/>
      <c r="AK1994" s="127"/>
      <c r="AL1994" s="128"/>
      <c r="AM1994" s="21"/>
      <c r="AN1994" s="133">
        <v>45969</v>
      </c>
      <c r="AO1994" s="134"/>
      <c r="AP1994" s="135">
        <v>1275</v>
      </c>
      <c r="AQ1994" s="136"/>
      <c r="AR1994" s="118">
        <v>1275000</v>
      </c>
      <c r="AS1994" s="119"/>
      <c r="AT1994" s="118">
        <f t="shared" ref="AT1994" si="60">AR1994*0.1</f>
        <v>127500</v>
      </c>
      <c r="AU1994" s="119"/>
      <c r="AV1994" s="118">
        <v>9710</v>
      </c>
      <c r="AW1994" s="119"/>
      <c r="AX1994" s="118">
        <f t="shared" ref="AX1994" si="61">SUM(AR1994:AW1994)</f>
        <v>1412210</v>
      </c>
      <c r="AY1994" s="119"/>
      <c r="AZ1994" s="137">
        <v>45972</v>
      </c>
    </row>
    <row r="1995" spans="1:52" ht="17.100000000000001" customHeight="1" thickBot="1">
      <c r="A1995" s="110"/>
      <c r="B1995" s="27" t="s">
        <v>6797</v>
      </c>
      <c r="C1995" s="27">
        <v>3032</v>
      </c>
      <c r="D1995" s="14" t="s">
        <v>1812</v>
      </c>
      <c r="E1995" s="112"/>
      <c r="F1995" s="139" t="s">
        <v>6811</v>
      </c>
      <c r="G1995" s="140"/>
      <c r="H1995" s="141"/>
      <c r="I1995" s="26">
        <v>43630</v>
      </c>
      <c r="J1995" s="117"/>
      <c r="K1995" s="120"/>
      <c r="L1995" s="121"/>
      <c r="M1995" s="120"/>
      <c r="N1995" s="121"/>
      <c r="O1995" s="120"/>
      <c r="P1995" s="121"/>
      <c r="Q1995" s="120"/>
      <c r="R1995" s="121"/>
      <c r="S1995" s="120"/>
      <c r="T1995" s="121"/>
      <c r="U1995" s="120"/>
      <c r="V1995" s="123"/>
      <c r="W1995" s="125"/>
      <c r="X1995" s="142" t="s">
        <v>7740</v>
      </c>
      <c r="Y1995" s="143"/>
      <c r="Z1995" s="143"/>
      <c r="AA1995" s="143"/>
      <c r="AB1995" s="144"/>
      <c r="AC1995" s="16" t="s">
        <v>21</v>
      </c>
      <c r="AD1995" s="17" t="s">
        <v>1613</v>
      </c>
      <c r="AE1995" s="145" t="s">
        <v>1742</v>
      </c>
      <c r="AF1995" s="146"/>
      <c r="AG1995" s="146"/>
      <c r="AH1995" s="146"/>
      <c r="AI1995" s="147"/>
      <c r="AJ1995" s="148"/>
      <c r="AK1995" s="143"/>
      <c r="AL1995" s="144"/>
      <c r="AM1995" s="22"/>
      <c r="AN1995" s="149" t="s">
        <v>2511</v>
      </c>
      <c r="AO1995" s="144"/>
      <c r="AP1995" s="148">
        <v>60059</v>
      </c>
      <c r="AQ1995" s="144"/>
      <c r="AR1995" s="120"/>
      <c r="AS1995" s="121"/>
      <c r="AT1995" s="120"/>
      <c r="AU1995" s="121"/>
      <c r="AV1995" s="120"/>
      <c r="AW1995" s="121"/>
      <c r="AX1995" s="120"/>
      <c r="AY1995" s="121"/>
      <c r="AZ1995" s="138"/>
    </row>
    <row r="1996" spans="1:52" ht="17.100000000000001" customHeight="1" thickTop="1">
      <c r="A1996" s="109" t="s">
        <v>6800</v>
      </c>
      <c r="B1996" s="28">
        <v>45932</v>
      </c>
      <c r="C1996" s="25">
        <v>2128</v>
      </c>
      <c r="D1996" s="13" t="s">
        <v>1631</v>
      </c>
      <c r="E1996" s="111"/>
      <c r="F1996" s="113" t="s">
        <v>6827</v>
      </c>
      <c r="G1996" s="114"/>
      <c r="H1996" s="115"/>
      <c r="I1996" s="24"/>
      <c r="J1996" s="116">
        <v>3.5</v>
      </c>
      <c r="K1996" s="118">
        <v>743000</v>
      </c>
      <c r="L1996" s="119"/>
      <c r="M1996" s="118">
        <f t="shared" ref="M1996" si="62">K1996*0.1</f>
        <v>74300</v>
      </c>
      <c r="N1996" s="119"/>
      <c r="O1996" s="118">
        <v>0</v>
      </c>
      <c r="P1996" s="119"/>
      <c r="Q1996" s="118">
        <v>7860</v>
      </c>
      <c r="R1996" s="119"/>
      <c r="S1996" s="118">
        <v>15400</v>
      </c>
      <c r="T1996" s="119"/>
      <c r="U1996" s="118">
        <f t="shared" ref="U1996" si="63">SUM(K1996:T1997)</f>
        <v>840560</v>
      </c>
      <c r="V1996" s="122"/>
      <c r="W1996" s="124"/>
      <c r="X1996" s="126" t="s">
        <v>7957</v>
      </c>
      <c r="Y1996" s="127"/>
      <c r="Z1996" s="127"/>
      <c r="AA1996" s="127"/>
      <c r="AB1996" s="128"/>
      <c r="AC1996" s="15" t="s">
        <v>20</v>
      </c>
      <c r="AD1996" s="129" t="s">
        <v>1670</v>
      </c>
      <c r="AE1996" s="130"/>
      <c r="AF1996" s="130"/>
      <c r="AG1996" s="130"/>
      <c r="AH1996" s="130"/>
      <c r="AI1996" s="131"/>
      <c r="AJ1996" s="132"/>
      <c r="AK1996" s="127"/>
      <c r="AL1996" s="128"/>
      <c r="AM1996" s="21"/>
      <c r="AN1996" s="133">
        <v>45941</v>
      </c>
      <c r="AO1996" s="134"/>
      <c r="AP1996" s="135">
        <v>1271</v>
      </c>
      <c r="AQ1996" s="136"/>
      <c r="AR1996" s="118">
        <v>820000</v>
      </c>
      <c r="AS1996" s="119"/>
      <c r="AT1996" s="118">
        <v>82000</v>
      </c>
      <c r="AU1996" s="119"/>
      <c r="AV1996" s="118">
        <v>7860</v>
      </c>
      <c r="AW1996" s="119"/>
      <c r="AX1996" s="118">
        <f t="shared" ref="AX1996" si="64">SUM(AR1996:AW1996)</f>
        <v>909860</v>
      </c>
      <c r="AY1996" s="119"/>
      <c r="AZ1996" s="137">
        <v>45945</v>
      </c>
    </row>
    <row r="1997" spans="1:52" ht="17.100000000000001" customHeight="1" thickBot="1">
      <c r="A1997" s="110"/>
      <c r="B1997" s="27" t="s">
        <v>6797</v>
      </c>
      <c r="C1997" s="27">
        <v>3045</v>
      </c>
      <c r="D1997" s="14" t="s">
        <v>1720</v>
      </c>
      <c r="E1997" s="112"/>
      <c r="F1997" s="139" t="s">
        <v>6812</v>
      </c>
      <c r="G1997" s="140"/>
      <c r="H1997" s="141"/>
      <c r="I1997" s="26">
        <v>38258</v>
      </c>
      <c r="J1997" s="117"/>
      <c r="K1997" s="120"/>
      <c r="L1997" s="121"/>
      <c r="M1997" s="120"/>
      <c r="N1997" s="121"/>
      <c r="O1997" s="120"/>
      <c r="P1997" s="121"/>
      <c r="Q1997" s="120"/>
      <c r="R1997" s="121"/>
      <c r="S1997" s="120"/>
      <c r="T1997" s="121"/>
      <c r="U1997" s="120"/>
      <c r="V1997" s="123"/>
      <c r="W1997" s="125"/>
      <c r="X1997" s="142" t="s">
        <v>7958</v>
      </c>
      <c r="Y1997" s="143"/>
      <c r="Z1997" s="143"/>
      <c r="AA1997" s="143"/>
      <c r="AB1997" s="144"/>
      <c r="AC1997" s="16" t="s">
        <v>21</v>
      </c>
      <c r="AD1997" s="17" t="s">
        <v>2604</v>
      </c>
      <c r="AE1997" s="145" t="s">
        <v>7959</v>
      </c>
      <c r="AF1997" s="146"/>
      <c r="AG1997" s="146"/>
      <c r="AH1997" s="146"/>
      <c r="AI1997" s="147"/>
      <c r="AJ1997" s="148"/>
      <c r="AK1997" s="143"/>
      <c r="AL1997" s="144"/>
      <c r="AM1997" s="22"/>
      <c r="AN1997" s="149" t="s">
        <v>2511</v>
      </c>
      <c r="AO1997" s="144"/>
      <c r="AP1997" s="148">
        <v>60007</v>
      </c>
      <c r="AQ1997" s="144"/>
      <c r="AR1997" s="120"/>
      <c r="AS1997" s="121"/>
      <c r="AT1997" s="120"/>
      <c r="AU1997" s="121"/>
      <c r="AV1997" s="120"/>
      <c r="AW1997" s="121"/>
      <c r="AX1997" s="120"/>
      <c r="AY1997" s="121"/>
      <c r="AZ1997" s="138"/>
    </row>
    <row r="1998" spans="1:52" ht="17.100000000000001" customHeight="1" thickTop="1">
      <c r="A1998" s="109" t="s">
        <v>6801</v>
      </c>
      <c r="B1998" s="28">
        <v>45932</v>
      </c>
      <c r="C1998" s="25">
        <v>2128</v>
      </c>
      <c r="D1998" s="13" t="s">
        <v>2084</v>
      </c>
      <c r="E1998" s="111"/>
      <c r="F1998" s="113" t="s">
        <v>6828</v>
      </c>
      <c r="G1998" s="114"/>
      <c r="H1998" s="115"/>
      <c r="I1998" s="24" t="s">
        <v>3509</v>
      </c>
      <c r="J1998" s="116">
        <v>4.5</v>
      </c>
      <c r="K1998" s="118">
        <v>1243000</v>
      </c>
      <c r="L1998" s="119"/>
      <c r="M1998" s="118">
        <f t="shared" ref="M1998" si="65">K1998*0.1</f>
        <v>124300</v>
      </c>
      <c r="N1998" s="119"/>
      <c r="O1998" s="118">
        <v>10800</v>
      </c>
      <c r="P1998" s="119"/>
      <c r="Q1998" s="118">
        <v>5990</v>
      </c>
      <c r="R1998" s="119"/>
      <c r="S1998" s="118">
        <v>15400</v>
      </c>
      <c r="T1998" s="119"/>
      <c r="U1998" s="118">
        <f t="shared" ref="U1998" si="66">SUM(K1998:T1999)</f>
        <v>1399490</v>
      </c>
      <c r="V1998" s="122"/>
      <c r="W1998" s="124"/>
      <c r="X1998" s="126" t="s">
        <v>6829</v>
      </c>
      <c r="Y1998" s="127"/>
      <c r="Z1998" s="127"/>
      <c r="AA1998" s="127"/>
      <c r="AB1998" s="128"/>
      <c r="AC1998" s="15" t="s">
        <v>20</v>
      </c>
      <c r="AD1998" s="129" t="s">
        <v>1670</v>
      </c>
      <c r="AE1998" s="130"/>
      <c r="AF1998" s="130"/>
      <c r="AG1998" s="130"/>
      <c r="AH1998" s="130"/>
      <c r="AI1998" s="131"/>
      <c r="AJ1998" s="132"/>
      <c r="AK1998" s="127"/>
      <c r="AL1998" s="128"/>
      <c r="AM1998" s="21" t="s">
        <v>10251</v>
      </c>
      <c r="AN1998" s="133">
        <v>45966</v>
      </c>
      <c r="AO1998" s="134"/>
      <c r="AP1998" s="135">
        <v>991</v>
      </c>
      <c r="AQ1998" s="136"/>
      <c r="AR1998" s="118">
        <v>1300000</v>
      </c>
      <c r="AS1998" s="119"/>
      <c r="AT1998" s="118">
        <f t="shared" ref="AT1998" si="67">AR1998*0.1</f>
        <v>130000</v>
      </c>
      <c r="AU1998" s="119"/>
      <c r="AV1998" s="118">
        <v>5990</v>
      </c>
      <c r="AW1998" s="119"/>
      <c r="AX1998" s="118">
        <f t="shared" ref="AX1998" si="68">SUM(AR1998:AW1998)</f>
        <v>1435990</v>
      </c>
      <c r="AY1998" s="119"/>
      <c r="AZ1998" s="137">
        <v>45971</v>
      </c>
    </row>
    <row r="1999" spans="1:52" ht="17.100000000000001" customHeight="1" thickBot="1">
      <c r="A1999" s="110"/>
      <c r="B1999" s="27" t="s">
        <v>4304</v>
      </c>
      <c r="C1999" s="27">
        <v>3053</v>
      </c>
      <c r="D1999" s="14" t="s">
        <v>1556</v>
      </c>
      <c r="E1999" s="112"/>
      <c r="F1999" s="139" t="s">
        <v>6813</v>
      </c>
      <c r="G1999" s="140"/>
      <c r="H1999" s="141"/>
      <c r="I1999" s="26">
        <v>7371</v>
      </c>
      <c r="J1999" s="117"/>
      <c r="K1999" s="120"/>
      <c r="L1999" s="121"/>
      <c r="M1999" s="120"/>
      <c r="N1999" s="121"/>
      <c r="O1999" s="120"/>
      <c r="P1999" s="121"/>
      <c r="Q1999" s="120"/>
      <c r="R1999" s="121"/>
      <c r="S1999" s="120"/>
      <c r="T1999" s="121"/>
      <c r="U1999" s="120"/>
      <c r="V1999" s="123"/>
      <c r="W1999" s="125"/>
      <c r="X1999" s="142" t="s">
        <v>7738</v>
      </c>
      <c r="Y1999" s="143"/>
      <c r="Z1999" s="143"/>
      <c r="AA1999" s="143"/>
      <c r="AB1999" s="144"/>
      <c r="AC1999" s="16" t="s">
        <v>21</v>
      </c>
      <c r="AD1999" s="17" t="s">
        <v>1613</v>
      </c>
      <c r="AE1999" s="145" t="s">
        <v>1742</v>
      </c>
      <c r="AF1999" s="146"/>
      <c r="AG1999" s="146"/>
      <c r="AH1999" s="146"/>
      <c r="AI1999" s="147"/>
      <c r="AJ1999" s="148"/>
      <c r="AK1999" s="143"/>
      <c r="AL1999" s="144"/>
      <c r="AM1999" s="22"/>
      <c r="AN1999" s="149" t="s">
        <v>2794</v>
      </c>
      <c r="AO1999" s="144"/>
      <c r="AP1999" s="148">
        <v>2080</v>
      </c>
      <c r="AQ1999" s="144"/>
      <c r="AR1999" s="120"/>
      <c r="AS1999" s="121"/>
      <c r="AT1999" s="120"/>
      <c r="AU1999" s="121"/>
      <c r="AV1999" s="120"/>
      <c r="AW1999" s="121"/>
      <c r="AX1999" s="120"/>
      <c r="AY1999" s="121"/>
      <c r="AZ1999" s="138"/>
    </row>
    <row r="2000" spans="1:52" ht="17.100000000000001" customHeight="1" thickTop="1">
      <c r="A2000" s="109" t="s">
        <v>6802</v>
      </c>
      <c r="B2000" s="28">
        <v>45932</v>
      </c>
      <c r="C2000" s="25">
        <v>2128</v>
      </c>
      <c r="D2000" s="13" t="s">
        <v>1845</v>
      </c>
      <c r="E2000" s="111"/>
      <c r="F2000" s="113" t="s">
        <v>1938</v>
      </c>
      <c r="G2000" s="114"/>
      <c r="H2000" s="115"/>
      <c r="I2000" s="24"/>
      <c r="J2000" s="116">
        <v>4.5</v>
      </c>
      <c r="K2000" s="118">
        <v>1718000</v>
      </c>
      <c r="L2000" s="119"/>
      <c r="M2000" s="118">
        <f t="shared" ref="M2000" si="69">K2000*0.1</f>
        <v>171800</v>
      </c>
      <c r="N2000" s="119"/>
      <c r="O2000" s="118">
        <v>0</v>
      </c>
      <c r="P2000" s="119"/>
      <c r="Q2000" s="118">
        <v>17600</v>
      </c>
      <c r="R2000" s="119"/>
      <c r="S2000" s="118">
        <v>15400</v>
      </c>
      <c r="T2000" s="119"/>
      <c r="U2000" s="118">
        <f t="shared" ref="U2000" si="70">SUM(K2000:T2001)</f>
        <v>1922800</v>
      </c>
      <c r="V2000" s="122"/>
      <c r="W2000" s="124"/>
      <c r="X2000" s="126" t="s">
        <v>7722</v>
      </c>
      <c r="Y2000" s="127"/>
      <c r="Z2000" s="127"/>
      <c r="AA2000" s="127"/>
      <c r="AB2000" s="128"/>
      <c r="AC2000" s="15" t="s">
        <v>20</v>
      </c>
      <c r="AD2000" s="129"/>
      <c r="AE2000" s="130"/>
      <c r="AF2000" s="130"/>
      <c r="AG2000" s="130"/>
      <c r="AH2000" s="130"/>
      <c r="AI2000" s="131"/>
      <c r="AJ2000" s="132"/>
      <c r="AK2000" s="127"/>
      <c r="AL2000" s="128"/>
      <c r="AM2000" s="21"/>
      <c r="AN2000" s="133">
        <v>45939</v>
      </c>
      <c r="AO2000" s="134"/>
      <c r="AP2000" s="135">
        <v>1301</v>
      </c>
      <c r="AQ2000" s="136"/>
      <c r="AR2000" s="118">
        <v>1895000</v>
      </c>
      <c r="AS2000" s="119"/>
      <c r="AT2000" s="118">
        <v>189500</v>
      </c>
      <c r="AU2000" s="119"/>
      <c r="AV2000" s="118">
        <v>17600</v>
      </c>
      <c r="AW2000" s="119"/>
      <c r="AX2000" s="118">
        <f t="shared" ref="AX2000" si="71">SUM(AR2000:AW2000)</f>
        <v>2102100</v>
      </c>
      <c r="AY2000" s="119"/>
      <c r="AZ2000" s="137">
        <v>45940</v>
      </c>
    </row>
    <row r="2001" spans="1:52" ht="17.100000000000001" customHeight="1" thickBot="1">
      <c r="A2001" s="110"/>
      <c r="B2001" s="27" t="s">
        <v>4304</v>
      </c>
      <c r="C2001" s="27">
        <v>6565</v>
      </c>
      <c r="D2001" s="14" t="s">
        <v>133</v>
      </c>
      <c r="E2001" s="112"/>
      <c r="F2001" s="139" t="s">
        <v>6814</v>
      </c>
      <c r="G2001" s="140"/>
      <c r="H2001" s="141"/>
      <c r="I2001" s="26">
        <v>34308</v>
      </c>
      <c r="J2001" s="117"/>
      <c r="K2001" s="120"/>
      <c r="L2001" s="121"/>
      <c r="M2001" s="120"/>
      <c r="N2001" s="121"/>
      <c r="O2001" s="120"/>
      <c r="P2001" s="121"/>
      <c r="Q2001" s="120"/>
      <c r="R2001" s="121"/>
      <c r="S2001" s="120"/>
      <c r="T2001" s="121"/>
      <c r="U2001" s="120"/>
      <c r="V2001" s="123"/>
      <c r="W2001" s="125"/>
      <c r="X2001" s="142" t="s">
        <v>7723</v>
      </c>
      <c r="Y2001" s="143"/>
      <c r="Z2001" s="143"/>
      <c r="AA2001" s="143"/>
      <c r="AB2001" s="144"/>
      <c r="AC2001" s="16" t="s">
        <v>21</v>
      </c>
      <c r="AD2001" s="17" t="s">
        <v>1613</v>
      </c>
      <c r="AE2001" s="145" t="s">
        <v>2441</v>
      </c>
      <c r="AF2001" s="146"/>
      <c r="AG2001" s="146"/>
      <c r="AH2001" s="146"/>
      <c r="AI2001" s="147"/>
      <c r="AJ2001" s="148"/>
      <c r="AK2001" s="143"/>
      <c r="AL2001" s="144"/>
      <c r="AM2001" s="22"/>
      <c r="AN2001" s="149" t="s">
        <v>7579</v>
      </c>
      <c r="AO2001" s="144"/>
      <c r="AP2001" s="148">
        <v>324</v>
      </c>
      <c r="AQ2001" s="144"/>
      <c r="AR2001" s="120"/>
      <c r="AS2001" s="121"/>
      <c r="AT2001" s="120"/>
      <c r="AU2001" s="121"/>
      <c r="AV2001" s="120"/>
      <c r="AW2001" s="121"/>
      <c r="AX2001" s="120"/>
      <c r="AY2001" s="121"/>
      <c r="AZ2001" s="138"/>
    </row>
    <row r="2002" spans="1:52" ht="17.100000000000001" customHeight="1" thickTop="1">
      <c r="A2002" s="109" t="s">
        <v>6947</v>
      </c>
      <c r="B2002" s="28">
        <v>45933</v>
      </c>
      <c r="C2002" s="25">
        <v>260</v>
      </c>
      <c r="D2002" s="13" t="s">
        <v>2226</v>
      </c>
      <c r="E2002" s="111"/>
      <c r="F2002" s="113" t="s">
        <v>6830</v>
      </c>
      <c r="G2002" s="114"/>
      <c r="H2002" s="115"/>
      <c r="I2002" s="24" t="s">
        <v>2919</v>
      </c>
      <c r="J2002" s="116">
        <v>6</v>
      </c>
      <c r="K2002" s="118">
        <v>1422000</v>
      </c>
      <c r="L2002" s="119"/>
      <c r="M2002" s="118">
        <f t="shared" ref="M2002" si="72">K2002*0.1</f>
        <v>142200</v>
      </c>
      <c r="N2002" s="119"/>
      <c r="O2002" s="118">
        <v>0</v>
      </c>
      <c r="P2002" s="119"/>
      <c r="Q2002" s="118">
        <v>6860</v>
      </c>
      <c r="R2002" s="119"/>
      <c r="S2002" s="118">
        <v>22000</v>
      </c>
      <c r="T2002" s="119"/>
      <c r="U2002" s="118">
        <f t="shared" ref="U2002" si="73">SUM(K2002:T2003)</f>
        <v>1593060</v>
      </c>
      <c r="V2002" s="122"/>
      <c r="W2002" s="124"/>
      <c r="X2002" s="126" t="s">
        <v>6832</v>
      </c>
      <c r="Y2002" s="127"/>
      <c r="Z2002" s="127"/>
      <c r="AA2002" s="127"/>
      <c r="AB2002" s="128"/>
      <c r="AC2002" s="15" t="s">
        <v>20</v>
      </c>
      <c r="AD2002" s="129" t="s">
        <v>1670</v>
      </c>
      <c r="AE2002" s="130"/>
      <c r="AF2002" s="130"/>
      <c r="AG2002" s="130"/>
      <c r="AH2002" s="130"/>
      <c r="AI2002" s="131"/>
      <c r="AJ2002" s="132"/>
      <c r="AK2002" s="127"/>
      <c r="AL2002" s="128"/>
      <c r="AM2002" s="21"/>
      <c r="AN2002" s="133">
        <v>45944</v>
      </c>
      <c r="AO2002" s="134"/>
      <c r="AP2002" s="135">
        <v>1913</v>
      </c>
      <c r="AQ2002" s="136"/>
      <c r="AR2002" s="118">
        <v>1482000</v>
      </c>
      <c r="AS2002" s="119"/>
      <c r="AT2002" s="118">
        <v>148200</v>
      </c>
      <c r="AU2002" s="119"/>
      <c r="AV2002" s="118">
        <v>6860</v>
      </c>
      <c r="AW2002" s="119"/>
      <c r="AX2002" s="118">
        <f t="shared" ref="AX2002" si="74">SUM(AR2002:AW2002)</f>
        <v>1637060</v>
      </c>
      <c r="AY2002" s="119"/>
      <c r="AZ2002" s="137">
        <v>45950</v>
      </c>
    </row>
    <row r="2003" spans="1:52" ht="17.100000000000001" customHeight="1" thickBot="1">
      <c r="A2003" s="110"/>
      <c r="B2003" s="27" t="s">
        <v>3957</v>
      </c>
      <c r="C2003" s="27">
        <v>28</v>
      </c>
      <c r="D2003" s="14" t="s">
        <v>1592</v>
      </c>
      <c r="E2003" s="112"/>
      <c r="F2003" s="139" t="s">
        <v>6831</v>
      </c>
      <c r="G2003" s="140"/>
      <c r="H2003" s="141"/>
      <c r="I2003" s="26">
        <v>8</v>
      </c>
      <c r="J2003" s="117"/>
      <c r="K2003" s="120"/>
      <c r="L2003" s="121"/>
      <c r="M2003" s="120"/>
      <c r="N2003" s="121"/>
      <c r="O2003" s="120"/>
      <c r="P2003" s="121"/>
      <c r="Q2003" s="120"/>
      <c r="R2003" s="121"/>
      <c r="S2003" s="120"/>
      <c r="T2003" s="121"/>
      <c r="U2003" s="120"/>
      <c r="V2003" s="123"/>
      <c r="W2003" s="125"/>
      <c r="X2003" s="142" t="s">
        <v>7962</v>
      </c>
      <c r="Y2003" s="143"/>
      <c r="Z2003" s="143"/>
      <c r="AA2003" s="143"/>
      <c r="AB2003" s="144"/>
      <c r="AC2003" s="16" t="s">
        <v>21</v>
      </c>
      <c r="AD2003" s="17" t="s">
        <v>2604</v>
      </c>
      <c r="AE2003" s="145" t="s">
        <v>171</v>
      </c>
      <c r="AF2003" s="146"/>
      <c r="AG2003" s="146"/>
      <c r="AH2003" s="146"/>
      <c r="AI2003" s="147"/>
      <c r="AJ2003" s="148"/>
      <c r="AK2003" s="143"/>
      <c r="AL2003" s="144"/>
      <c r="AM2003" s="22"/>
      <c r="AN2003" s="149" t="s">
        <v>2131</v>
      </c>
      <c r="AO2003" s="144"/>
      <c r="AP2003" s="148">
        <v>3295</v>
      </c>
      <c r="AQ2003" s="144"/>
      <c r="AR2003" s="120"/>
      <c r="AS2003" s="121"/>
      <c r="AT2003" s="120"/>
      <c r="AU2003" s="121"/>
      <c r="AV2003" s="120"/>
      <c r="AW2003" s="121"/>
      <c r="AX2003" s="120"/>
      <c r="AY2003" s="121"/>
      <c r="AZ2003" s="138"/>
    </row>
    <row r="2004" spans="1:52" ht="17.100000000000001" customHeight="1" thickTop="1">
      <c r="A2004" s="109" t="s">
        <v>6948</v>
      </c>
      <c r="B2004" s="28">
        <v>45933</v>
      </c>
      <c r="C2004" s="25">
        <v>56</v>
      </c>
      <c r="D2004" s="13" t="s">
        <v>1651</v>
      </c>
      <c r="E2004" s="111"/>
      <c r="F2004" s="113" t="s">
        <v>6960</v>
      </c>
      <c r="G2004" s="114"/>
      <c r="H2004" s="115"/>
      <c r="I2004" s="24" t="s">
        <v>2943</v>
      </c>
      <c r="J2004" s="116">
        <v>4.5</v>
      </c>
      <c r="K2004" s="118">
        <v>1235000</v>
      </c>
      <c r="L2004" s="119"/>
      <c r="M2004" s="118">
        <f t="shared" ref="M2004" si="75">K2004*0.1</f>
        <v>123500</v>
      </c>
      <c r="N2004" s="119"/>
      <c r="O2004" s="118">
        <v>0</v>
      </c>
      <c r="P2004" s="119"/>
      <c r="Q2004" s="118">
        <v>7040</v>
      </c>
      <c r="R2004" s="119"/>
      <c r="S2004" s="118">
        <v>44000</v>
      </c>
      <c r="T2004" s="119"/>
      <c r="U2004" s="118">
        <f t="shared" ref="U2004" si="76">SUM(K2004:T2005)</f>
        <v>1409540</v>
      </c>
      <c r="V2004" s="122"/>
      <c r="W2004" s="124"/>
      <c r="X2004" s="126" t="s">
        <v>8797</v>
      </c>
      <c r="Y2004" s="127"/>
      <c r="Z2004" s="127"/>
      <c r="AA2004" s="127"/>
      <c r="AB2004" s="128"/>
      <c r="AC2004" s="15" t="s">
        <v>20</v>
      </c>
      <c r="AD2004" s="129" t="s">
        <v>6961</v>
      </c>
      <c r="AE2004" s="130"/>
      <c r="AF2004" s="130"/>
      <c r="AG2004" s="130"/>
      <c r="AH2004" s="130"/>
      <c r="AI2004" s="131"/>
      <c r="AJ2004" s="132"/>
      <c r="AK2004" s="127"/>
      <c r="AL2004" s="128"/>
      <c r="AM2004" s="21"/>
      <c r="AN2004" s="133">
        <v>45958</v>
      </c>
      <c r="AO2004" s="134"/>
      <c r="AP2004" s="135">
        <v>1915</v>
      </c>
      <c r="AQ2004" s="136"/>
      <c r="AR2004" s="118">
        <v>1342000</v>
      </c>
      <c r="AS2004" s="119"/>
      <c r="AT2004" s="118">
        <f t="shared" ref="AT2004" si="77">AR2004*0.1</f>
        <v>134200</v>
      </c>
      <c r="AU2004" s="119"/>
      <c r="AV2004" s="118">
        <v>7040</v>
      </c>
      <c r="AW2004" s="119"/>
      <c r="AX2004" s="118">
        <f t="shared" ref="AX2004" si="78">SUM(AR2004:AW2004)</f>
        <v>1483240</v>
      </c>
      <c r="AY2004" s="119"/>
      <c r="AZ2004" s="137">
        <v>45965</v>
      </c>
    </row>
    <row r="2005" spans="1:52" ht="17.100000000000001" customHeight="1" thickBot="1">
      <c r="A2005" s="110"/>
      <c r="B2005" s="27" t="s">
        <v>4544</v>
      </c>
      <c r="C2005" s="27">
        <v>1016</v>
      </c>
      <c r="D2005" s="14" t="s">
        <v>1720</v>
      </c>
      <c r="E2005" s="112"/>
      <c r="F2005" s="139" t="s">
        <v>6959</v>
      </c>
      <c r="G2005" s="140"/>
      <c r="H2005" s="141"/>
      <c r="I2005" s="26">
        <v>50382</v>
      </c>
      <c r="J2005" s="117"/>
      <c r="K2005" s="120"/>
      <c r="L2005" s="121"/>
      <c r="M2005" s="120"/>
      <c r="N2005" s="121"/>
      <c r="O2005" s="120"/>
      <c r="P2005" s="121"/>
      <c r="Q2005" s="120"/>
      <c r="R2005" s="121"/>
      <c r="S2005" s="120"/>
      <c r="T2005" s="121"/>
      <c r="U2005" s="120"/>
      <c r="V2005" s="123"/>
      <c r="W2005" s="125"/>
      <c r="X2005" s="142" t="s">
        <v>8798</v>
      </c>
      <c r="Y2005" s="143"/>
      <c r="Z2005" s="143"/>
      <c r="AA2005" s="143"/>
      <c r="AB2005" s="144"/>
      <c r="AC2005" s="16" t="s">
        <v>21</v>
      </c>
      <c r="AD2005" s="17" t="s">
        <v>8763</v>
      </c>
      <c r="AE2005" s="145" t="s">
        <v>2347</v>
      </c>
      <c r="AF2005" s="146"/>
      <c r="AG2005" s="146"/>
      <c r="AH2005" s="146"/>
      <c r="AI2005" s="147"/>
      <c r="AJ2005" s="148"/>
      <c r="AK2005" s="143"/>
      <c r="AL2005" s="144"/>
      <c r="AM2005" s="22"/>
      <c r="AN2005" s="149" t="s">
        <v>2131</v>
      </c>
      <c r="AO2005" s="144"/>
      <c r="AP2005" s="148">
        <v>3147</v>
      </c>
      <c r="AQ2005" s="144"/>
      <c r="AR2005" s="120"/>
      <c r="AS2005" s="121"/>
      <c r="AT2005" s="120"/>
      <c r="AU2005" s="121"/>
      <c r="AV2005" s="120"/>
      <c r="AW2005" s="121"/>
      <c r="AX2005" s="120"/>
      <c r="AY2005" s="121"/>
      <c r="AZ2005" s="138"/>
    </row>
    <row r="2006" spans="1:52" ht="17.100000000000001" customHeight="1" thickTop="1">
      <c r="A2006" s="109" t="s">
        <v>6949</v>
      </c>
      <c r="B2006" s="28">
        <v>45933</v>
      </c>
      <c r="C2006" s="25">
        <v>1388</v>
      </c>
      <c r="D2006" s="13" t="s">
        <v>2465</v>
      </c>
      <c r="E2006" s="111"/>
      <c r="F2006" s="113" t="s">
        <v>7023</v>
      </c>
      <c r="G2006" s="114"/>
      <c r="H2006" s="115"/>
      <c r="I2006" s="24"/>
      <c r="J2006" s="116">
        <v>3.5</v>
      </c>
      <c r="K2006" s="118">
        <v>480000</v>
      </c>
      <c r="L2006" s="119"/>
      <c r="M2006" s="118">
        <f t="shared" ref="M2006" si="79">K2006*0.1</f>
        <v>48000</v>
      </c>
      <c r="N2006" s="119"/>
      <c r="O2006" s="118">
        <v>0</v>
      </c>
      <c r="P2006" s="119"/>
      <c r="Q2006" s="118">
        <v>8430</v>
      </c>
      <c r="R2006" s="119"/>
      <c r="S2006" s="118">
        <v>13200</v>
      </c>
      <c r="T2006" s="119"/>
      <c r="U2006" s="118">
        <f t="shared" ref="U2006" si="80">SUM(K2006:T2007)</f>
        <v>549630</v>
      </c>
      <c r="V2006" s="122"/>
      <c r="W2006" s="124"/>
      <c r="X2006" s="126" t="s">
        <v>7734</v>
      </c>
      <c r="Y2006" s="127"/>
      <c r="Z2006" s="127"/>
      <c r="AA2006" s="127"/>
      <c r="AB2006" s="128"/>
      <c r="AC2006" s="15" t="s">
        <v>20</v>
      </c>
      <c r="AD2006" s="129" t="s">
        <v>7024</v>
      </c>
      <c r="AE2006" s="130"/>
      <c r="AF2006" s="130"/>
      <c r="AG2006" s="130"/>
      <c r="AH2006" s="130"/>
      <c r="AI2006" s="131"/>
      <c r="AJ2006" s="132"/>
      <c r="AK2006" s="127"/>
      <c r="AL2006" s="128"/>
      <c r="AM2006" s="21"/>
      <c r="AN2006" s="133">
        <v>45941</v>
      </c>
      <c r="AO2006" s="134"/>
      <c r="AP2006" s="135">
        <v>1271</v>
      </c>
      <c r="AQ2006" s="136"/>
      <c r="AR2006" s="118">
        <v>555000</v>
      </c>
      <c r="AS2006" s="119"/>
      <c r="AT2006" s="118">
        <v>55500</v>
      </c>
      <c r="AU2006" s="119"/>
      <c r="AV2006" s="118">
        <v>8430</v>
      </c>
      <c r="AW2006" s="119"/>
      <c r="AX2006" s="118">
        <f t="shared" ref="AX2006" si="81">SUM(AR2006:AW2006)</f>
        <v>618930</v>
      </c>
      <c r="AY2006" s="119"/>
      <c r="AZ2006" s="137">
        <v>45944</v>
      </c>
    </row>
    <row r="2007" spans="1:52" ht="17.100000000000001" customHeight="1" thickBot="1">
      <c r="A2007" s="110"/>
      <c r="B2007" s="27" t="s">
        <v>2641</v>
      </c>
      <c r="C2007" s="27">
        <v>1120</v>
      </c>
      <c r="D2007" s="14" t="s">
        <v>275</v>
      </c>
      <c r="E2007" s="112"/>
      <c r="F2007" s="139" t="s">
        <v>6962</v>
      </c>
      <c r="G2007" s="140"/>
      <c r="H2007" s="141"/>
      <c r="I2007" s="26">
        <v>44401</v>
      </c>
      <c r="J2007" s="117"/>
      <c r="K2007" s="120"/>
      <c r="L2007" s="121"/>
      <c r="M2007" s="120"/>
      <c r="N2007" s="121"/>
      <c r="O2007" s="120"/>
      <c r="P2007" s="121"/>
      <c r="Q2007" s="120"/>
      <c r="R2007" s="121"/>
      <c r="S2007" s="120"/>
      <c r="T2007" s="121"/>
      <c r="U2007" s="120"/>
      <c r="V2007" s="123"/>
      <c r="W2007" s="125"/>
      <c r="X2007" s="142" t="s">
        <v>7735</v>
      </c>
      <c r="Y2007" s="143"/>
      <c r="Z2007" s="143"/>
      <c r="AA2007" s="143"/>
      <c r="AB2007" s="144"/>
      <c r="AC2007" s="16" t="s">
        <v>21</v>
      </c>
      <c r="AD2007" s="17" t="s">
        <v>1613</v>
      </c>
      <c r="AE2007" s="145" t="s">
        <v>7736</v>
      </c>
      <c r="AF2007" s="146"/>
      <c r="AG2007" s="146"/>
      <c r="AH2007" s="146"/>
      <c r="AI2007" s="147"/>
      <c r="AJ2007" s="148"/>
      <c r="AK2007" s="143"/>
      <c r="AL2007" s="144"/>
      <c r="AM2007" s="22"/>
      <c r="AN2007" s="149" t="s">
        <v>2511</v>
      </c>
      <c r="AO2007" s="144"/>
      <c r="AP2007" s="148">
        <v>60036</v>
      </c>
      <c r="AQ2007" s="144"/>
      <c r="AR2007" s="120"/>
      <c r="AS2007" s="121"/>
      <c r="AT2007" s="120"/>
      <c r="AU2007" s="121"/>
      <c r="AV2007" s="120"/>
      <c r="AW2007" s="121"/>
      <c r="AX2007" s="120"/>
      <c r="AY2007" s="121"/>
      <c r="AZ2007" s="138"/>
    </row>
    <row r="2008" spans="1:52" ht="17.100000000000001" customHeight="1" thickTop="1">
      <c r="A2008" s="109" t="s">
        <v>6950</v>
      </c>
      <c r="B2008" s="28">
        <v>45933</v>
      </c>
      <c r="C2008" s="25">
        <v>1388</v>
      </c>
      <c r="D2008" s="13" t="s">
        <v>1803</v>
      </c>
      <c r="E2008" s="111"/>
      <c r="F2008" s="113" t="s">
        <v>7025</v>
      </c>
      <c r="G2008" s="114"/>
      <c r="H2008" s="115"/>
      <c r="I2008" s="24" t="s">
        <v>4946</v>
      </c>
      <c r="J2008" s="116">
        <v>3.5</v>
      </c>
      <c r="K2008" s="118">
        <v>314000</v>
      </c>
      <c r="L2008" s="119"/>
      <c r="M2008" s="118">
        <f t="shared" ref="M2008" si="82">K2008*0.1</f>
        <v>31400</v>
      </c>
      <c r="N2008" s="119"/>
      <c r="O2008" s="118">
        <v>0</v>
      </c>
      <c r="P2008" s="119"/>
      <c r="Q2008" s="118">
        <v>8850</v>
      </c>
      <c r="R2008" s="119"/>
      <c r="S2008" s="118">
        <v>13200</v>
      </c>
      <c r="T2008" s="119"/>
      <c r="U2008" s="118">
        <f t="shared" ref="U2008" si="83">SUM(K2008:T2009)</f>
        <v>367450</v>
      </c>
      <c r="V2008" s="122"/>
      <c r="W2008" s="124"/>
      <c r="X2008" s="126" t="s">
        <v>7727</v>
      </c>
      <c r="Y2008" s="127"/>
      <c r="Z2008" s="127"/>
      <c r="AA2008" s="127"/>
      <c r="AB2008" s="128"/>
      <c r="AC2008" s="15" t="s">
        <v>20</v>
      </c>
      <c r="AD2008" s="129" t="s">
        <v>171</v>
      </c>
      <c r="AE2008" s="130"/>
      <c r="AF2008" s="130"/>
      <c r="AG2008" s="130"/>
      <c r="AH2008" s="130"/>
      <c r="AI2008" s="131"/>
      <c r="AJ2008" s="132"/>
      <c r="AK2008" s="127"/>
      <c r="AL2008" s="128"/>
      <c r="AM2008" s="21"/>
      <c r="AN2008" s="133">
        <v>45948</v>
      </c>
      <c r="AO2008" s="134"/>
      <c r="AP2008" s="135">
        <v>1272</v>
      </c>
      <c r="AQ2008" s="136"/>
      <c r="AR2008" s="118">
        <v>420000</v>
      </c>
      <c r="AS2008" s="119"/>
      <c r="AT2008" s="118">
        <f t="shared" ref="AT2008" si="84">AR2008*0.1</f>
        <v>42000</v>
      </c>
      <c r="AU2008" s="119"/>
      <c r="AV2008" s="118">
        <v>8850</v>
      </c>
      <c r="AW2008" s="119"/>
      <c r="AX2008" s="118">
        <f t="shared" ref="AX2008" si="85">SUM(AR2008:AW2008)</f>
        <v>470850</v>
      </c>
      <c r="AY2008" s="119"/>
      <c r="AZ2008" s="137">
        <v>45951</v>
      </c>
    </row>
    <row r="2009" spans="1:52" ht="17.100000000000001" customHeight="1" thickBot="1">
      <c r="A2009" s="110"/>
      <c r="B2009" s="27" t="s">
        <v>2641</v>
      </c>
      <c r="C2009" s="27">
        <v>1801</v>
      </c>
      <c r="D2009" s="14" t="s">
        <v>2836</v>
      </c>
      <c r="E2009" s="112"/>
      <c r="F2009" s="139" t="s">
        <v>6963</v>
      </c>
      <c r="G2009" s="140"/>
      <c r="H2009" s="141"/>
      <c r="I2009" s="26">
        <v>49313</v>
      </c>
      <c r="J2009" s="117"/>
      <c r="K2009" s="120"/>
      <c r="L2009" s="121"/>
      <c r="M2009" s="120"/>
      <c r="N2009" s="121"/>
      <c r="O2009" s="120"/>
      <c r="P2009" s="121"/>
      <c r="Q2009" s="120"/>
      <c r="R2009" s="121"/>
      <c r="S2009" s="120"/>
      <c r="T2009" s="121"/>
      <c r="U2009" s="120"/>
      <c r="V2009" s="123"/>
      <c r="W2009" s="125"/>
      <c r="X2009" s="142" t="s">
        <v>7728</v>
      </c>
      <c r="Y2009" s="143"/>
      <c r="Z2009" s="143"/>
      <c r="AA2009" s="143"/>
      <c r="AB2009" s="144"/>
      <c r="AC2009" s="16" t="s">
        <v>21</v>
      </c>
      <c r="AD2009" s="17" t="s">
        <v>1613</v>
      </c>
      <c r="AE2009" s="145" t="s">
        <v>7841</v>
      </c>
      <c r="AF2009" s="146"/>
      <c r="AG2009" s="146"/>
      <c r="AH2009" s="146"/>
      <c r="AI2009" s="147"/>
      <c r="AJ2009" s="148"/>
      <c r="AK2009" s="143"/>
      <c r="AL2009" s="144"/>
      <c r="AM2009" s="22"/>
      <c r="AN2009" s="149" t="s">
        <v>7284</v>
      </c>
      <c r="AO2009" s="144"/>
      <c r="AP2009" s="148">
        <v>60170</v>
      </c>
      <c r="AQ2009" s="144"/>
      <c r="AR2009" s="120"/>
      <c r="AS2009" s="121"/>
      <c r="AT2009" s="120"/>
      <c r="AU2009" s="121"/>
      <c r="AV2009" s="120"/>
      <c r="AW2009" s="121"/>
      <c r="AX2009" s="120"/>
      <c r="AY2009" s="121"/>
      <c r="AZ2009" s="138"/>
    </row>
    <row r="2010" spans="1:52" ht="17.100000000000001" customHeight="1" thickTop="1">
      <c r="A2010" s="109" t="s">
        <v>6951</v>
      </c>
      <c r="B2010" s="28">
        <v>45933</v>
      </c>
      <c r="C2010" s="25">
        <v>1388</v>
      </c>
      <c r="D2010" s="13" t="s">
        <v>7026</v>
      </c>
      <c r="E2010" s="111"/>
      <c r="F2010" s="113" t="s">
        <v>6965</v>
      </c>
      <c r="G2010" s="114"/>
      <c r="H2010" s="115"/>
      <c r="I2010" s="24"/>
      <c r="J2010" s="116">
        <v>3.5</v>
      </c>
      <c r="K2010" s="118">
        <v>189000</v>
      </c>
      <c r="L2010" s="119"/>
      <c r="M2010" s="118">
        <f t="shared" ref="M2010" si="86">K2010*0.1</f>
        <v>18900</v>
      </c>
      <c r="N2010" s="119"/>
      <c r="O2010" s="118">
        <v>0</v>
      </c>
      <c r="P2010" s="119"/>
      <c r="Q2010" s="118">
        <v>8100</v>
      </c>
      <c r="R2010" s="119"/>
      <c r="S2010" s="118">
        <v>13200</v>
      </c>
      <c r="T2010" s="119"/>
      <c r="U2010" s="118">
        <f t="shared" ref="U2010" si="87">SUM(K2010:T2011)</f>
        <v>229200</v>
      </c>
      <c r="V2010" s="122"/>
      <c r="W2010" s="124"/>
      <c r="X2010" s="126" t="s">
        <v>7731</v>
      </c>
      <c r="Y2010" s="127"/>
      <c r="Z2010" s="127"/>
      <c r="AA2010" s="127"/>
      <c r="AB2010" s="128"/>
      <c r="AC2010" s="15" t="s">
        <v>20</v>
      </c>
      <c r="AD2010" s="129"/>
      <c r="AE2010" s="130"/>
      <c r="AF2010" s="130"/>
      <c r="AG2010" s="130"/>
      <c r="AH2010" s="130"/>
      <c r="AI2010" s="131"/>
      <c r="AJ2010" s="132"/>
      <c r="AK2010" s="127"/>
      <c r="AL2010" s="128"/>
      <c r="AM2010" s="21"/>
      <c r="AN2010" s="133">
        <v>45962</v>
      </c>
      <c r="AO2010" s="134"/>
      <c r="AP2010" s="135">
        <v>1274</v>
      </c>
      <c r="AQ2010" s="136"/>
      <c r="AR2010" s="118">
        <v>226000</v>
      </c>
      <c r="AS2010" s="119"/>
      <c r="AT2010" s="118">
        <f t="shared" ref="AT2010" si="88">AR2010*0.1</f>
        <v>22600</v>
      </c>
      <c r="AU2010" s="119"/>
      <c r="AV2010" s="118">
        <v>8100</v>
      </c>
      <c r="AW2010" s="119"/>
      <c r="AX2010" s="118">
        <f t="shared" ref="AX2010" si="89">SUM(AR2010:AW2010)</f>
        <v>256700</v>
      </c>
      <c r="AY2010" s="119"/>
      <c r="AZ2010" s="137">
        <v>45965</v>
      </c>
    </row>
    <row r="2011" spans="1:52" ht="17.100000000000001" customHeight="1" thickBot="1">
      <c r="A2011" s="110"/>
      <c r="B2011" s="27" t="s">
        <v>2641</v>
      </c>
      <c r="C2011" s="27">
        <v>2061</v>
      </c>
      <c r="D2011" s="14" t="s">
        <v>1720</v>
      </c>
      <c r="E2011" s="112"/>
      <c r="F2011" s="139" t="s">
        <v>6964</v>
      </c>
      <c r="G2011" s="140"/>
      <c r="H2011" s="141"/>
      <c r="I2011" s="26">
        <v>37319</v>
      </c>
      <c r="J2011" s="117"/>
      <c r="K2011" s="120"/>
      <c r="L2011" s="121"/>
      <c r="M2011" s="120"/>
      <c r="N2011" s="121"/>
      <c r="O2011" s="120"/>
      <c r="P2011" s="121"/>
      <c r="Q2011" s="120"/>
      <c r="R2011" s="121"/>
      <c r="S2011" s="120"/>
      <c r="T2011" s="121"/>
      <c r="U2011" s="120"/>
      <c r="V2011" s="123"/>
      <c r="W2011" s="125"/>
      <c r="X2011" s="142" t="s">
        <v>7732</v>
      </c>
      <c r="Y2011" s="143"/>
      <c r="Z2011" s="143"/>
      <c r="AA2011" s="143"/>
      <c r="AB2011" s="144"/>
      <c r="AC2011" s="16" t="s">
        <v>21</v>
      </c>
      <c r="AD2011" s="17" t="s">
        <v>1613</v>
      </c>
      <c r="AE2011" s="145" t="s">
        <v>7733</v>
      </c>
      <c r="AF2011" s="146"/>
      <c r="AG2011" s="146"/>
      <c r="AH2011" s="146"/>
      <c r="AI2011" s="147"/>
      <c r="AJ2011" s="148"/>
      <c r="AK2011" s="143"/>
      <c r="AL2011" s="144"/>
      <c r="AM2011" s="22"/>
      <c r="AN2011" s="149" t="s">
        <v>7284</v>
      </c>
      <c r="AO2011" s="144"/>
      <c r="AP2011" s="148">
        <v>63036</v>
      </c>
      <c r="AQ2011" s="144"/>
      <c r="AR2011" s="120"/>
      <c r="AS2011" s="121"/>
      <c r="AT2011" s="120"/>
      <c r="AU2011" s="121"/>
      <c r="AV2011" s="120"/>
      <c r="AW2011" s="121"/>
      <c r="AX2011" s="120"/>
      <c r="AY2011" s="121"/>
      <c r="AZ2011" s="138"/>
    </row>
    <row r="2012" spans="1:52" ht="17.100000000000001" customHeight="1" thickTop="1">
      <c r="A2012" s="109" t="s">
        <v>6952</v>
      </c>
      <c r="B2012" s="28">
        <v>45933</v>
      </c>
      <c r="C2012" s="25">
        <v>1388</v>
      </c>
      <c r="D2012" s="13" t="s">
        <v>2500</v>
      </c>
      <c r="E2012" s="111"/>
      <c r="F2012" s="113" t="s">
        <v>7027</v>
      </c>
      <c r="G2012" s="114"/>
      <c r="H2012" s="115"/>
      <c r="I2012" s="24" t="s">
        <v>7028</v>
      </c>
      <c r="J2012" s="116">
        <v>4</v>
      </c>
      <c r="K2012" s="118">
        <v>504000</v>
      </c>
      <c r="L2012" s="119"/>
      <c r="M2012" s="118">
        <f t="shared" ref="M2012" si="90">K2012*0.1</f>
        <v>50400</v>
      </c>
      <c r="N2012" s="119"/>
      <c r="O2012" s="118">
        <f>14300+1430</f>
        <v>15730</v>
      </c>
      <c r="P2012" s="119"/>
      <c r="Q2012" s="118">
        <v>10460</v>
      </c>
      <c r="R2012" s="119"/>
      <c r="S2012" s="118">
        <v>13200</v>
      </c>
      <c r="T2012" s="119"/>
      <c r="U2012" s="118">
        <f t="shared" ref="U2012" si="91">SUM(K2012:T2013)</f>
        <v>593790</v>
      </c>
      <c r="V2012" s="122"/>
      <c r="W2012" s="124"/>
      <c r="X2012" s="126" t="s">
        <v>7730</v>
      </c>
      <c r="Y2012" s="127"/>
      <c r="Z2012" s="127"/>
      <c r="AA2012" s="127"/>
      <c r="AB2012" s="128"/>
      <c r="AC2012" s="15" t="s">
        <v>20</v>
      </c>
      <c r="AD2012" s="129"/>
      <c r="AE2012" s="130"/>
      <c r="AF2012" s="130"/>
      <c r="AG2012" s="130"/>
      <c r="AH2012" s="130"/>
      <c r="AI2012" s="131"/>
      <c r="AJ2012" s="132"/>
      <c r="AK2012" s="127"/>
      <c r="AL2012" s="128"/>
      <c r="AM2012" s="21" t="s">
        <v>10799</v>
      </c>
      <c r="AN2012" s="133">
        <v>46004</v>
      </c>
      <c r="AO2012" s="134"/>
      <c r="AP2012" s="135">
        <v>1280</v>
      </c>
      <c r="AQ2012" s="136"/>
      <c r="AR2012" s="118">
        <v>535000</v>
      </c>
      <c r="AS2012" s="119"/>
      <c r="AT2012" s="118">
        <f t="shared" ref="AT2012" si="92">AR2012*0.1</f>
        <v>53500</v>
      </c>
      <c r="AU2012" s="119"/>
      <c r="AV2012" s="118">
        <v>10460</v>
      </c>
      <c r="AW2012" s="119"/>
      <c r="AX2012" s="118">
        <f t="shared" ref="AX2012" si="93">SUM(AR2012:AW2012)</f>
        <v>598960</v>
      </c>
      <c r="AY2012" s="119"/>
      <c r="AZ2012" s="137">
        <v>46008</v>
      </c>
    </row>
    <row r="2013" spans="1:52" ht="17.100000000000001" customHeight="1" thickBot="1">
      <c r="A2013" s="110"/>
      <c r="B2013" s="27" t="s">
        <v>2641</v>
      </c>
      <c r="C2013" s="27">
        <v>2191</v>
      </c>
      <c r="D2013" s="14" t="s">
        <v>2836</v>
      </c>
      <c r="E2013" s="112"/>
      <c r="F2013" s="139" t="s">
        <v>6966</v>
      </c>
      <c r="G2013" s="140"/>
      <c r="H2013" s="141"/>
      <c r="I2013" s="26">
        <v>51138</v>
      </c>
      <c r="J2013" s="117"/>
      <c r="K2013" s="120"/>
      <c r="L2013" s="121"/>
      <c r="M2013" s="120"/>
      <c r="N2013" s="121"/>
      <c r="O2013" s="120"/>
      <c r="P2013" s="121"/>
      <c r="Q2013" s="120"/>
      <c r="R2013" s="121"/>
      <c r="S2013" s="120"/>
      <c r="T2013" s="121"/>
      <c r="U2013" s="120"/>
      <c r="V2013" s="123"/>
      <c r="W2013" s="125"/>
      <c r="X2013" s="142" t="s">
        <v>1997</v>
      </c>
      <c r="Y2013" s="143"/>
      <c r="Z2013" s="143"/>
      <c r="AA2013" s="143"/>
      <c r="AB2013" s="144"/>
      <c r="AC2013" s="16" t="s">
        <v>21</v>
      </c>
      <c r="AD2013" s="17" t="s">
        <v>1613</v>
      </c>
      <c r="AE2013" s="145"/>
      <c r="AF2013" s="146"/>
      <c r="AG2013" s="146"/>
      <c r="AH2013" s="146"/>
      <c r="AI2013" s="147"/>
      <c r="AJ2013" s="148"/>
      <c r="AK2013" s="143"/>
      <c r="AL2013" s="144"/>
      <c r="AM2013" s="22"/>
      <c r="AN2013" s="149" t="s">
        <v>7284</v>
      </c>
      <c r="AO2013" s="144"/>
      <c r="AP2013" s="148">
        <v>55036</v>
      </c>
      <c r="AQ2013" s="144"/>
      <c r="AR2013" s="120"/>
      <c r="AS2013" s="121"/>
      <c r="AT2013" s="120"/>
      <c r="AU2013" s="121"/>
      <c r="AV2013" s="120"/>
      <c r="AW2013" s="121"/>
      <c r="AX2013" s="120"/>
      <c r="AY2013" s="121"/>
      <c r="AZ2013" s="138"/>
    </row>
    <row r="2014" spans="1:52" ht="17.100000000000001" customHeight="1" thickTop="1">
      <c r="A2014" s="109" t="s">
        <v>6953</v>
      </c>
      <c r="B2014" s="28">
        <v>45933</v>
      </c>
      <c r="C2014" s="25">
        <v>1388</v>
      </c>
      <c r="D2014" s="13" t="s">
        <v>2211</v>
      </c>
      <c r="E2014" s="111"/>
      <c r="F2014" s="113" t="s">
        <v>7029</v>
      </c>
      <c r="G2014" s="114"/>
      <c r="H2014" s="115"/>
      <c r="I2014" s="24" t="s">
        <v>7030</v>
      </c>
      <c r="J2014" s="116">
        <v>5</v>
      </c>
      <c r="K2014" s="118">
        <v>1917000</v>
      </c>
      <c r="L2014" s="119"/>
      <c r="M2014" s="118">
        <f t="shared" ref="M2014" si="94">K2014*0.1</f>
        <v>191700</v>
      </c>
      <c r="N2014" s="119"/>
      <c r="O2014" s="118">
        <v>0</v>
      </c>
      <c r="P2014" s="119"/>
      <c r="Q2014" s="118">
        <v>7230</v>
      </c>
      <c r="R2014" s="119"/>
      <c r="S2014" s="118">
        <v>13200</v>
      </c>
      <c r="T2014" s="119"/>
      <c r="U2014" s="118">
        <f t="shared" ref="U2014" si="95">SUM(K2014:T2015)</f>
        <v>2129130</v>
      </c>
      <c r="V2014" s="122"/>
      <c r="W2014" s="124"/>
      <c r="X2014" s="126" t="s">
        <v>7921</v>
      </c>
      <c r="Y2014" s="127"/>
      <c r="Z2014" s="127"/>
      <c r="AA2014" s="127"/>
      <c r="AB2014" s="128"/>
      <c r="AC2014" s="15" t="s">
        <v>20</v>
      </c>
      <c r="AD2014" s="129" t="s">
        <v>171</v>
      </c>
      <c r="AE2014" s="130"/>
      <c r="AF2014" s="130"/>
      <c r="AG2014" s="130"/>
      <c r="AH2014" s="130"/>
      <c r="AI2014" s="131"/>
      <c r="AJ2014" s="132"/>
      <c r="AK2014" s="127"/>
      <c r="AL2014" s="128"/>
      <c r="AM2014" s="21" t="s">
        <v>10409</v>
      </c>
      <c r="AN2014" s="133">
        <v>45969</v>
      </c>
      <c r="AO2014" s="134"/>
      <c r="AP2014" s="135">
        <v>1275</v>
      </c>
      <c r="AQ2014" s="136"/>
      <c r="AR2014" s="118">
        <v>1915000</v>
      </c>
      <c r="AS2014" s="119"/>
      <c r="AT2014" s="118">
        <f t="shared" ref="AT2014" si="96">AR2014*0.1</f>
        <v>191500</v>
      </c>
      <c r="AU2014" s="119"/>
      <c r="AV2014" s="118">
        <v>7230</v>
      </c>
      <c r="AW2014" s="119"/>
      <c r="AX2014" s="118">
        <f t="shared" ref="AX2014" si="97">SUM(AR2014:AW2014)</f>
        <v>2113730</v>
      </c>
      <c r="AY2014" s="119"/>
      <c r="AZ2014" s="137">
        <v>45974</v>
      </c>
    </row>
    <row r="2015" spans="1:52" ht="17.100000000000001" customHeight="1" thickBot="1">
      <c r="A2015" s="110"/>
      <c r="B2015" s="27" t="s">
        <v>2641</v>
      </c>
      <c r="C2015" s="27">
        <v>3014</v>
      </c>
      <c r="D2015" s="14" t="s">
        <v>2601</v>
      </c>
      <c r="E2015" s="112"/>
      <c r="F2015" s="139" t="s">
        <v>6967</v>
      </c>
      <c r="G2015" s="140"/>
      <c r="H2015" s="141"/>
      <c r="I2015" s="26">
        <v>9505</v>
      </c>
      <c r="J2015" s="117"/>
      <c r="K2015" s="120"/>
      <c r="L2015" s="121"/>
      <c r="M2015" s="120"/>
      <c r="N2015" s="121"/>
      <c r="O2015" s="120"/>
      <c r="P2015" s="121"/>
      <c r="Q2015" s="120"/>
      <c r="R2015" s="121"/>
      <c r="S2015" s="120"/>
      <c r="T2015" s="121"/>
      <c r="U2015" s="120"/>
      <c r="V2015" s="123"/>
      <c r="W2015" s="125"/>
      <c r="X2015" s="142" t="s">
        <v>7922</v>
      </c>
      <c r="Y2015" s="143"/>
      <c r="Z2015" s="143"/>
      <c r="AA2015" s="143"/>
      <c r="AB2015" s="144"/>
      <c r="AC2015" s="16" t="s">
        <v>21</v>
      </c>
      <c r="AD2015" s="17" t="s">
        <v>1613</v>
      </c>
      <c r="AE2015" s="145" t="s">
        <v>7923</v>
      </c>
      <c r="AF2015" s="146"/>
      <c r="AG2015" s="146"/>
      <c r="AH2015" s="146"/>
      <c r="AI2015" s="147"/>
      <c r="AJ2015" s="148"/>
      <c r="AK2015" s="143"/>
      <c r="AL2015" s="144"/>
      <c r="AM2015" s="22"/>
      <c r="AN2015" s="149" t="s">
        <v>7284</v>
      </c>
      <c r="AO2015" s="144"/>
      <c r="AP2015" s="148">
        <v>60067</v>
      </c>
      <c r="AQ2015" s="144"/>
      <c r="AR2015" s="120"/>
      <c r="AS2015" s="121"/>
      <c r="AT2015" s="120"/>
      <c r="AU2015" s="121"/>
      <c r="AV2015" s="120"/>
      <c r="AW2015" s="121"/>
      <c r="AX2015" s="120"/>
      <c r="AY2015" s="121"/>
      <c r="AZ2015" s="138"/>
    </row>
    <row r="2016" spans="1:52" ht="17.100000000000001" customHeight="1" thickTop="1">
      <c r="A2016" s="109" t="s">
        <v>6954</v>
      </c>
      <c r="B2016" s="28">
        <v>45933</v>
      </c>
      <c r="C2016" s="25">
        <v>1388</v>
      </c>
      <c r="D2016" s="13" t="s">
        <v>2179</v>
      </c>
      <c r="E2016" s="111"/>
      <c r="F2016" s="113" t="s">
        <v>6968</v>
      </c>
      <c r="G2016" s="114"/>
      <c r="H2016" s="115"/>
      <c r="I2016" s="24" t="s">
        <v>5100</v>
      </c>
      <c r="J2016" s="116">
        <v>3.5</v>
      </c>
      <c r="K2016" s="118">
        <v>456000</v>
      </c>
      <c r="L2016" s="119"/>
      <c r="M2016" s="118">
        <f t="shared" ref="M2016" si="98">K2016*0.1</f>
        <v>45600</v>
      </c>
      <c r="N2016" s="119"/>
      <c r="O2016" s="118">
        <v>0</v>
      </c>
      <c r="P2016" s="119"/>
      <c r="Q2016" s="118">
        <v>9790</v>
      </c>
      <c r="R2016" s="119"/>
      <c r="S2016" s="118">
        <v>13200</v>
      </c>
      <c r="T2016" s="119"/>
      <c r="U2016" s="118">
        <f t="shared" ref="U2016" si="99">SUM(K2016:T2017)</f>
        <v>524590</v>
      </c>
      <c r="V2016" s="122"/>
      <c r="W2016" s="124"/>
      <c r="X2016" s="126" t="s">
        <v>7920</v>
      </c>
      <c r="Y2016" s="127"/>
      <c r="Z2016" s="127"/>
      <c r="AA2016" s="127"/>
      <c r="AB2016" s="128"/>
      <c r="AC2016" s="15" t="s">
        <v>20</v>
      </c>
      <c r="AD2016" s="129" t="s">
        <v>2385</v>
      </c>
      <c r="AE2016" s="130"/>
      <c r="AF2016" s="130"/>
      <c r="AG2016" s="130"/>
      <c r="AH2016" s="130"/>
      <c r="AI2016" s="131"/>
      <c r="AJ2016" s="132"/>
      <c r="AK2016" s="127"/>
      <c r="AL2016" s="128"/>
      <c r="AM2016" s="21"/>
      <c r="AN2016" s="133">
        <v>45941</v>
      </c>
      <c r="AO2016" s="134"/>
      <c r="AP2016" s="135">
        <v>1271</v>
      </c>
      <c r="AQ2016" s="136"/>
      <c r="AR2016" s="118">
        <v>610000</v>
      </c>
      <c r="AS2016" s="119"/>
      <c r="AT2016" s="118">
        <v>61000</v>
      </c>
      <c r="AU2016" s="119"/>
      <c r="AV2016" s="118">
        <v>9790</v>
      </c>
      <c r="AW2016" s="119"/>
      <c r="AX2016" s="118">
        <f t="shared" ref="AX2016" si="100">SUM(AR2016:AW2016)</f>
        <v>680790</v>
      </c>
      <c r="AY2016" s="119"/>
      <c r="AZ2016" s="137">
        <v>45944</v>
      </c>
    </row>
    <row r="2017" spans="1:52" ht="17.100000000000001" customHeight="1" thickBot="1">
      <c r="A2017" s="110"/>
      <c r="B2017" s="27" t="s">
        <v>2641</v>
      </c>
      <c r="C2017" s="27">
        <v>3048</v>
      </c>
      <c r="D2017" s="14" t="s">
        <v>1812</v>
      </c>
      <c r="E2017" s="112"/>
      <c r="F2017" s="139" t="s">
        <v>6969</v>
      </c>
      <c r="G2017" s="140"/>
      <c r="H2017" s="141"/>
      <c r="I2017" s="26">
        <v>57922</v>
      </c>
      <c r="J2017" s="117"/>
      <c r="K2017" s="120"/>
      <c r="L2017" s="121"/>
      <c r="M2017" s="120"/>
      <c r="N2017" s="121"/>
      <c r="O2017" s="120"/>
      <c r="P2017" s="121"/>
      <c r="Q2017" s="120"/>
      <c r="R2017" s="121"/>
      <c r="S2017" s="120"/>
      <c r="T2017" s="121"/>
      <c r="U2017" s="120"/>
      <c r="V2017" s="123"/>
      <c r="W2017" s="125"/>
      <c r="X2017" s="142" t="s">
        <v>4285</v>
      </c>
      <c r="Y2017" s="143"/>
      <c r="Z2017" s="143"/>
      <c r="AA2017" s="143"/>
      <c r="AB2017" s="144"/>
      <c r="AC2017" s="16" t="s">
        <v>21</v>
      </c>
      <c r="AD2017" s="17" t="s">
        <v>1613</v>
      </c>
      <c r="AE2017" s="145" t="s">
        <v>2385</v>
      </c>
      <c r="AF2017" s="146"/>
      <c r="AG2017" s="146"/>
      <c r="AH2017" s="146"/>
      <c r="AI2017" s="147"/>
      <c r="AJ2017" s="148"/>
      <c r="AK2017" s="143"/>
      <c r="AL2017" s="144"/>
      <c r="AM2017" s="22"/>
      <c r="AN2017" s="149" t="s">
        <v>2511</v>
      </c>
      <c r="AO2017" s="144"/>
      <c r="AP2017" s="148">
        <v>60039</v>
      </c>
      <c r="AQ2017" s="144"/>
      <c r="AR2017" s="120"/>
      <c r="AS2017" s="121"/>
      <c r="AT2017" s="120"/>
      <c r="AU2017" s="121"/>
      <c r="AV2017" s="120"/>
      <c r="AW2017" s="121"/>
      <c r="AX2017" s="120"/>
      <c r="AY2017" s="121"/>
      <c r="AZ2017" s="138"/>
    </row>
    <row r="2018" spans="1:52" ht="17.100000000000001" customHeight="1" thickTop="1">
      <c r="A2018" s="109" t="s">
        <v>6955</v>
      </c>
      <c r="B2018" s="28">
        <v>45933</v>
      </c>
      <c r="C2018" s="25">
        <v>1388</v>
      </c>
      <c r="D2018" s="13" t="s">
        <v>1795</v>
      </c>
      <c r="E2018" s="111"/>
      <c r="F2018" s="113" t="s">
        <v>6970</v>
      </c>
      <c r="G2018" s="114"/>
      <c r="H2018" s="115"/>
      <c r="I2018" s="24"/>
      <c r="J2018" s="116">
        <v>4.5</v>
      </c>
      <c r="K2018" s="118">
        <v>1261000</v>
      </c>
      <c r="L2018" s="119"/>
      <c r="M2018" s="118">
        <f t="shared" ref="M2018" si="101">K2018*0.1</f>
        <v>126100</v>
      </c>
      <c r="N2018" s="119"/>
      <c r="O2018" s="118">
        <v>0</v>
      </c>
      <c r="P2018" s="119"/>
      <c r="Q2018" s="118">
        <v>6470</v>
      </c>
      <c r="R2018" s="119"/>
      <c r="S2018" s="118">
        <v>13200</v>
      </c>
      <c r="T2018" s="119"/>
      <c r="U2018" s="118">
        <f t="shared" ref="U2018" si="102">SUM(K2018:T2019)</f>
        <v>1406770</v>
      </c>
      <c r="V2018" s="122"/>
      <c r="W2018" s="124"/>
      <c r="X2018" s="126" t="s">
        <v>7969</v>
      </c>
      <c r="Y2018" s="127"/>
      <c r="Z2018" s="127"/>
      <c r="AA2018" s="127"/>
      <c r="AB2018" s="128"/>
      <c r="AC2018" s="15" t="s">
        <v>20</v>
      </c>
      <c r="AD2018" s="129"/>
      <c r="AE2018" s="130"/>
      <c r="AF2018" s="130"/>
      <c r="AG2018" s="130"/>
      <c r="AH2018" s="130"/>
      <c r="AI2018" s="131"/>
      <c r="AJ2018" s="132"/>
      <c r="AK2018" s="127"/>
      <c r="AL2018" s="128"/>
      <c r="AM2018" s="21"/>
      <c r="AN2018" s="133">
        <v>45955</v>
      </c>
      <c r="AO2018" s="134"/>
      <c r="AP2018" s="135">
        <v>1273</v>
      </c>
      <c r="AQ2018" s="136"/>
      <c r="AR2018" s="118">
        <v>1350000</v>
      </c>
      <c r="AS2018" s="119"/>
      <c r="AT2018" s="118">
        <f t="shared" ref="AT2018" si="103">AR2018*0.1</f>
        <v>135000</v>
      </c>
      <c r="AU2018" s="119"/>
      <c r="AV2018" s="118">
        <v>6470</v>
      </c>
      <c r="AW2018" s="119"/>
      <c r="AX2018" s="118">
        <f t="shared" ref="AX2018" si="104">SUM(AR2018:AW2018)</f>
        <v>1491470</v>
      </c>
      <c r="AY2018" s="119"/>
      <c r="AZ2018" s="137">
        <v>45965</v>
      </c>
    </row>
    <row r="2019" spans="1:52" ht="17.100000000000001" customHeight="1" thickBot="1">
      <c r="A2019" s="110"/>
      <c r="B2019" s="27" t="s">
        <v>2641</v>
      </c>
      <c r="C2019" s="27">
        <v>7135</v>
      </c>
      <c r="D2019" s="14" t="s">
        <v>275</v>
      </c>
      <c r="E2019" s="112"/>
      <c r="F2019" s="139" t="s">
        <v>6971</v>
      </c>
      <c r="G2019" s="140"/>
      <c r="H2019" s="141"/>
      <c r="I2019" s="26">
        <v>22513</v>
      </c>
      <c r="J2019" s="117"/>
      <c r="K2019" s="120"/>
      <c r="L2019" s="121"/>
      <c r="M2019" s="120"/>
      <c r="N2019" s="121"/>
      <c r="O2019" s="120"/>
      <c r="P2019" s="121"/>
      <c r="Q2019" s="120"/>
      <c r="R2019" s="121"/>
      <c r="S2019" s="120"/>
      <c r="T2019" s="121"/>
      <c r="U2019" s="120"/>
      <c r="V2019" s="123"/>
      <c r="W2019" s="125"/>
      <c r="X2019" s="142" t="s">
        <v>4553</v>
      </c>
      <c r="Y2019" s="143"/>
      <c r="Z2019" s="143"/>
      <c r="AA2019" s="143"/>
      <c r="AB2019" s="144"/>
      <c r="AC2019" s="16" t="s">
        <v>21</v>
      </c>
      <c r="AD2019" s="17" t="s">
        <v>2604</v>
      </c>
      <c r="AE2019" s="145" t="s">
        <v>7845</v>
      </c>
      <c r="AF2019" s="146"/>
      <c r="AG2019" s="146"/>
      <c r="AH2019" s="146"/>
      <c r="AI2019" s="147"/>
      <c r="AJ2019" s="148"/>
      <c r="AK2019" s="143"/>
      <c r="AL2019" s="144"/>
      <c r="AM2019" s="22"/>
      <c r="AN2019" s="149" t="s">
        <v>6748</v>
      </c>
      <c r="AO2019" s="144"/>
      <c r="AP2019" s="148">
        <v>60100</v>
      </c>
      <c r="AQ2019" s="144"/>
      <c r="AR2019" s="120"/>
      <c r="AS2019" s="121"/>
      <c r="AT2019" s="120"/>
      <c r="AU2019" s="121"/>
      <c r="AV2019" s="120"/>
      <c r="AW2019" s="121"/>
      <c r="AX2019" s="120"/>
      <c r="AY2019" s="121"/>
      <c r="AZ2019" s="138"/>
    </row>
    <row r="2020" spans="1:52" ht="17.100000000000001" customHeight="1" thickTop="1">
      <c r="A2020" s="109" t="s">
        <v>6956</v>
      </c>
      <c r="B2020" s="28">
        <v>45933</v>
      </c>
      <c r="C2020" s="25">
        <v>1388</v>
      </c>
      <c r="D2020" s="13" t="s">
        <v>1870</v>
      </c>
      <c r="E2020" s="111"/>
      <c r="F2020" s="113" t="s">
        <v>7031</v>
      </c>
      <c r="G2020" s="114"/>
      <c r="H2020" s="115"/>
      <c r="I2020" s="24"/>
      <c r="J2020" s="116">
        <v>3.5</v>
      </c>
      <c r="K2020" s="118">
        <v>322000</v>
      </c>
      <c r="L2020" s="119"/>
      <c r="M2020" s="118">
        <f t="shared" ref="M2020" si="105">K2020*0.1</f>
        <v>32200</v>
      </c>
      <c r="N2020" s="119"/>
      <c r="O2020" s="118">
        <v>0</v>
      </c>
      <c r="P2020" s="119"/>
      <c r="Q2020" s="118">
        <v>10460</v>
      </c>
      <c r="R2020" s="119"/>
      <c r="S2020" s="118">
        <v>13200</v>
      </c>
      <c r="T2020" s="119"/>
      <c r="U2020" s="118">
        <f t="shared" ref="U2020" si="106">SUM(K2020:T2021)</f>
        <v>377860</v>
      </c>
      <c r="V2020" s="122"/>
      <c r="W2020" s="124"/>
      <c r="X2020" s="126" t="s">
        <v>7729</v>
      </c>
      <c r="Y2020" s="127"/>
      <c r="Z2020" s="127"/>
      <c r="AA2020" s="127"/>
      <c r="AB2020" s="128"/>
      <c r="AC2020" s="15" t="s">
        <v>20</v>
      </c>
      <c r="AD2020" s="129"/>
      <c r="AE2020" s="130"/>
      <c r="AF2020" s="130"/>
      <c r="AG2020" s="130"/>
      <c r="AH2020" s="130"/>
      <c r="AI2020" s="131"/>
      <c r="AJ2020" s="132"/>
      <c r="AK2020" s="127"/>
      <c r="AL2020" s="128"/>
      <c r="AM2020" s="21"/>
      <c r="AN2020" s="133">
        <v>45948</v>
      </c>
      <c r="AO2020" s="134"/>
      <c r="AP2020" s="135">
        <v>1272</v>
      </c>
      <c r="AQ2020" s="136"/>
      <c r="AR2020" s="118">
        <v>405000</v>
      </c>
      <c r="AS2020" s="119"/>
      <c r="AT2020" s="118">
        <f t="shared" ref="AT2020" si="107">AR2020*0.1</f>
        <v>40500</v>
      </c>
      <c r="AU2020" s="119"/>
      <c r="AV2020" s="118">
        <v>10460</v>
      </c>
      <c r="AW2020" s="119"/>
      <c r="AX2020" s="118">
        <f t="shared" ref="AX2020" si="108">SUM(AR2020:AW2020)</f>
        <v>455960</v>
      </c>
      <c r="AY2020" s="119"/>
      <c r="AZ2020" s="137">
        <v>45951</v>
      </c>
    </row>
    <row r="2021" spans="1:52" ht="17.100000000000001" customHeight="1" thickBot="1">
      <c r="A2021" s="110"/>
      <c r="B2021" s="27" t="s">
        <v>2641</v>
      </c>
      <c r="C2021" s="27">
        <v>9008</v>
      </c>
      <c r="D2021" s="14" t="s">
        <v>1720</v>
      </c>
      <c r="E2021" s="112"/>
      <c r="F2021" s="139" t="s">
        <v>6972</v>
      </c>
      <c r="G2021" s="140"/>
      <c r="H2021" s="141"/>
      <c r="I2021" s="26">
        <v>54564</v>
      </c>
      <c r="J2021" s="117"/>
      <c r="K2021" s="120"/>
      <c r="L2021" s="121"/>
      <c r="M2021" s="120"/>
      <c r="N2021" s="121"/>
      <c r="O2021" s="120"/>
      <c r="P2021" s="121"/>
      <c r="Q2021" s="120"/>
      <c r="R2021" s="121"/>
      <c r="S2021" s="120"/>
      <c r="T2021" s="121"/>
      <c r="U2021" s="120"/>
      <c r="V2021" s="123"/>
      <c r="W2021" s="125"/>
      <c r="X2021" s="142" t="s">
        <v>1997</v>
      </c>
      <c r="Y2021" s="143"/>
      <c r="Z2021" s="143"/>
      <c r="AA2021" s="143"/>
      <c r="AB2021" s="144"/>
      <c r="AC2021" s="16" t="s">
        <v>21</v>
      </c>
      <c r="AD2021" s="17" t="s">
        <v>1613</v>
      </c>
      <c r="AE2021" s="145"/>
      <c r="AF2021" s="146"/>
      <c r="AG2021" s="146"/>
      <c r="AH2021" s="146"/>
      <c r="AI2021" s="147"/>
      <c r="AJ2021" s="148"/>
      <c r="AK2021" s="143"/>
      <c r="AL2021" s="144"/>
      <c r="AM2021" s="22"/>
      <c r="AN2021" s="149" t="s">
        <v>7284</v>
      </c>
      <c r="AO2021" s="144"/>
      <c r="AP2021" s="148">
        <v>55102</v>
      </c>
      <c r="AQ2021" s="144"/>
      <c r="AR2021" s="120"/>
      <c r="AS2021" s="121"/>
      <c r="AT2021" s="120"/>
      <c r="AU2021" s="121"/>
      <c r="AV2021" s="120"/>
      <c r="AW2021" s="121"/>
      <c r="AX2021" s="120"/>
      <c r="AY2021" s="121"/>
      <c r="AZ2021" s="138"/>
    </row>
    <row r="2022" spans="1:52" ht="17.100000000000001" customHeight="1" thickTop="1">
      <c r="A2022" s="109" t="s">
        <v>6957</v>
      </c>
      <c r="B2022" s="28">
        <v>45933</v>
      </c>
      <c r="C2022" s="25">
        <v>1388</v>
      </c>
      <c r="D2022" s="13" t="s">
        <v>4107</v>
      </c>
      <c r="E2022" s="111"/>
      <c r="F2022" s="113" t="s">
        <v>6973</v>
      </c>
      <c r="G2022" s="114"/>
      <c r="H2022" s="115"/>
      <c r="I2022" s="24" t="s">
        <v>5176</v>
      </c>
      <c r="J2022" s="116">
        <v>4</v>
      </c>
      <c r="K2022" s="118">
        <v>238000</v>
      </c>
      <c r="L2022" s="119"/>
      <c r="M2022" s="118">
        <f t="shared" ref="M2022" si="109">K2022*0.1</f>
        <v>23800</v>
      </c>
      <c r="N2022" s="119"/>
      <c r="O2022" s="118">
        <v>0</v>
      </c>
      <c r="P2022" s="119"/>
      <c r="Q2022" s="118">
        <v>10270</v>
      </c>
      <c r="R2022" s="119"/>
      <c r="S2022" s="118">
        <v>13200</v>
      </c>
      <c r="T2022" s="119"/>
      <c r="U2022" s="118">
        <f t="shared" ref="U2022" si="110">SUM(K2022:T2023)</f>
        <v>285270</v>
      </c>
      <c r="V2022" s="122"/>
      <c r="W2022" s="124"/>
      <c r="X2022" s="126" t="s">
        <v>7967</v>
      </c>
      <c r="Y2022" s="127"/>
      <c r="Z2022" s="127"/>
      <c r="AA2022" s="127"/>
      <c r="AB2022" s="128"/>
      <c r="AC2022" s="15" t="s">
        <v>20</v>
      </c>
      <c r="AD2022" s="129"/>
      <c r="AE2022" s="130"/>
      <c r="AF2022" s="130"/>
      <c r="AG2022" s="130"/>
      <c r="AH2022" s="130"/>
      <c r="AI2022" s="131"/>
      <c r="AJ2022" s="132"/>
      <c r="AK2022" s="127"/>
      <c r="AL2022" s="128"/>
      <c r="AM2022" s="21"/>
      <c r="AN2022" s="133">
        <v>45941</v>
      </c>
      <c r="AO2022" s="134"/>
      <c r="AP2022" s="135">
        <v>1271</v>
      </c>
      <c r="AQ2022" s="136"/>
      <c r="AR2022" s="118">
        <v>280000</v>
      </c>
      <c r="AS2022" s="119"/>
      <c r="AT2022" s="118">
        <v>28000</v>
      </c>
      <c r="AU2022" s="119"/>
      <c r="AV2022" s="118">
        <v>10270</v>
      </c>
      <c r="AW2022" s="119"/>
      <c r="AX2022" s="118">
        <f t="shared" ref="AX2022" si="111">SUM(AR2022:AW2022)</f>
        <v>318270</v>
      </c>
      <c r="AY2022" s="119"/>
      <c r="AZ2022" s="137">
        <v>45944</v>
      </c>
    </row>
    <row r="2023" spans="1:52" ht="17.100000000000001" customHeight="1" thickBot="1">
      <c r="A2023" s="110"/>
      <c r="B2023" s="27" t="s">
        <v>2641</v>
      </c>
      <c r="C2023" s="27">
        <v>9064</v>
      </c>
      <c r="D2023" s="14" t="s">
        <v>133</v>
      </c>
      <c r="E2023" s="112"/>
      <c r="F2023" s="139" t="s">
        <v>6974</v>
      </c>
      <c r="G2023" s="140"/>
      <c r="H2023" s="141"/>
      <c r="I2023" s="26">
        <v>62797</v>
      </c>
      <c r="J2023" s="117"/>
      <c r="K2023" s="120"/>
      <c r="L2023" s="121"/>
      <c r="M2023" s="120"/>
      <c r="N2023" s="121"/>
      <c r="O2023" s="120"/>
      <c r="P2023" s="121"/>
      <c r="Q2023" s="120"/>
      <c r="R2023" s="121"/>
      <c r="S2023" s="120"/>
      <c r="T2023" s="121"/>
      <c r="U2023" s="120"/>
      <c r="V2023" s="123"/>
      <c r="W2023" s="125"/>
      <c r="X2023" s="142" t="s">
        <v>7968</v>
      </c>
      <c r="Y2023" s="143"/>
      <c r="Z2023" s="143"/>
      <c r="AA2023" s="143"/>
      <c r="AB2023" s="144"/>
      <c r="AC2023" s="16" t="s">
        <v>21</v>
      </c>
      <c r="AD2023" s="17" t="s">
        <v>2604</v>
      </c>
      <c r="AE2023" s="145" t="s">
        <v>7842</v>
      </c>
      <c r="AF2023" s="146"/>
      <c r="AG2023" s="146"/>
      <c r="AH2023" s="146"/>
      <c r="AI2023" s="147"/>
      <c r="AJ2023" s="148"/>
      <c r="AK2023" s="143"/>
      <c r="AL2023" s="144"/>
      <c r="AM2023" s="22"/>
      <c r="AN2023" s="149" t="s">
        <v>2511</v>
      </c>
      <c r="AO2023" s="144"/>
      <c r="AP2023" s="148">
        <v>60038</v>
      </c>
      <c r="AQ2023" s="144"/>
      <c r="AR2023" s="120"/>
      <c r="AS2023" s="121"/>
      <c r="AT2023" s="120"/>
      <c r="AU2023" s="121"/>
      <c r="AV2023" s="120"/>
      <c r="AW2023" s="121"/>
      <c r="AX2023" s="120"/>
      <c r="AY2023" s="121"/>
      <c r="AZ2023" s="138"/>
    </row>
    <row r="2024" spans="1:52" ht="17.100000000000001" customHeight="1" thickTop="1">
      <c r="A2024" s="109" t="s">
        <v>6958</v>
      </c>
      <c r="B2024" s="28">
        <v>45933</v>
      </c>
      <c r="C2024" s="25">
        <v>1388</v>
      </c>
      <c r="D2024" s="13" t="s">
        <v>1623</v>
      </c>
      <c r="E2024" s="111"/>
      <c r="F2024" s="113" t="s">
        <v>5448</v>
      </c>
      <c r="G2024" s="114"/>
      <c r="H2024" s="115"/>
      <c r="I2024" s="24"/>
      <c r="J2024" s="116">
        <v>4</v>
      </c>
      <c r="K2024" s="118">
        <v>163000</v>
      </c>
      <c r="L2024" s="119"/>
      <c r="M2024" s="118">
        <f t="shared" ref="M2024" si="112">K2024*0.1</f>
        <v>16300</v>
      </c>
      <c r="N2024" s="119"/>
      <c r="O2024" s="118">
        <v>0</v>
      </c>
      <c r="P2024" s="119"/>
      <c r="Q2024" s="118">
        <v>8860</v>
      </c>
      <c r="R2024" s="119"/>
      <c r="S2024" s="118">
        <v>13200</v>
      </c>
      <c r="T2024" s="119"/>
      <c r="U2024" s="118">
        <f t="shared" ref="U2024" si="113">SUM(K2024:T2025)</f>
        <v>201360</v>
      </c>
      <c r="V2024" s="122"/>
      <c r="W2024" s="124"/>
      <c r="X2024" s="126" t="s">
        <v>7965</v>
      </c>
      <c r="Y2024" s="127"/>
      <c r="Z2024" s="127"/>
      <c r="AA2024" s="127"/>
      <c r="AB2024" s="128"/>
      <c r="AC2024" s="15" t="s">
        <v>20</v>
      </c>
      <c r="AD2024" s="129"/>
      <c r="AE2024" s="130"/>
      <c r="AF2024" s="130"/>
      <c r="AG2024" s="130"/>
      <c r="AH2024" s="130"/>
      <c r="AI2024" s="131"/>
      <c r="AJ2024" s="132"/>
      <c r="AK2024" s="127"/>
      <c r="AL2024" s="128"/>
      <c r="AM2024" s="21"/>
      <c r="AN2024" s="133">
        <v>45954</v>
      </c>
      <c r="AO2024" s="134"/>
      <c r="AP2024" s="135"/>
      <c r="AQ2024" s="136"/>
      <c r="AR2024" s="118">
        <v>310000</v>
      </c>
      <c r="AS2024" s="119"/>
      <c r="AT2024" s="118">
        <f t="shared" ref="AT2024" si="114">AR2024*0.1</f>
        <v>31000</v>
      </c>
      <c r="AU2024" s="119"/>
      <c r="AV2024" s="118">
        <v>8860</v>
      </c>
      <c r="AW2024" s="119"/>
      <c r="AX2024" s="118">
        <f t="shared" ref="AX2024" si="115">SUM(AR2024:AW2024)</f>
        <v>349860</v>
      </c>
      <c r="AY2024" s="119"/>
      <c r="AZ2024" s="137"/>
    </row>
    <row r="2025" spans="1:52" ht="17.100000000000001" customHeight="1" thickBot="1">
      <c r="A2025" s="110"/>
      <c r="B2025" s="27" t="s">
        <v>2641</v>
      </c>
      <c r="C2025" s="27">
        <v>9081</v>
      </c>
      <c r="D2025" s="14" t="s">
        <v>1556</v>
      </c>
      <c r="E2025" s="112"/>
      <c r="F2025" s="139" t="s">
        <v>6975</v>
      </c>
      <c r="G2025" s="140"/>
      <c r="H2025" s="141"/>
      <c r="I2025" s="26">
        <v>135555</v>
      </c>
      <c r="J2025" s="117"/>
      <c r="K2025" s="120"/>
      <c r="L2025" s="121"/>
      <c r="M2025" s="120"/>
      <c r="N2025" s="121"/>
      <c r="O2025" s="120"/>
      <c r="P2025" s="121"/>
      <c r="Q2025" s="120"/>
      <c r="R2025" s="121"/>
      <c r="S2025" s="120"/>
      <c r="T2025" s="121"/>
      <c r="U2025" s="120"/>
      <c r="V2025" s="123"/>
      <c r="W2025" s="125"/>
      <c r="X2025" s="142" t="s">
        <v>7966</v>
      </c>
      <c r="Y2025" s="143"/>
      <c r="Z2025" s="143"/>
      <c r="AA2025" s="143"/>
      <c r="AB2025" s="144"/>
      <c r="AC2025" s="16" t="s">
        <v>21</v>
      </c>
      <c r="AD2025" s="17" t="s">
        <v>2604</v>
      </c>
      <c r="AE2025" s="145" t="s">
        <v>2395</v>
      </c>
      <c r="AF2025" s="146"/>
      <c r="AG2025" s="146"/>
      <c r="AH2025" s="146"/>
      <c r="AI2025" s="147"/>
      <c r="AJ2025" s="148"/>
      <c r="AK2025" s="143"/>
      <c r="AL2025" s="144"/>
      <c r="AM2025" s="22"/>
      <c r="AN2025" s="149" t="s">
        <v>6789</v>
      </c>
      <c r="AO2025" s="144"/>
      <c r="AP2025" s="148">
        <v>42074</v>
      </c>
      <c r="AQ2025" s="144"/>
      <c r="AR2025" s="120"/>
      <c r="AS2025" s="121"/>
      <c r="AT2025" s="120"/>
      <c r="AU2025" s="121"/>
      <c r="AV2025" s="120"/>
      <c r="AW2025" s="121"/>
      <c r="AX2025" s="120"/>
      <c r="AY2025" s="121"/>
      <c r="AZ2025" s="138"/>
    </row>
    <row r="2026" spans="1:52" ht="17.100000000000001" customHeight="1" thickTop="1">
      <c r="A2026" s="109" t="s">
        <v>6976</v>
      </c>
      <c r="B2026" s="28">
        <v>45933</v>
      </c>
      <c r="C2026" s="25">
        <v>2104</v>
      </c>
      <c r="D2026" s="13" t="s">
        <v>1853</v>
      </c>
      <c r="E2026" s="111"/>
      <c r="F2026" s="113" t="s">
        <v>1147</v>
      </c>
      <c r="G2026" s="114"/>
      <c r="H2026" s="115"/>
      <c r="I2026" s="24"/>
      <c r="J2026" s="116">
        <v>4.5</v>
      </c>
      <c r="K2026" s="118">
        <v>1300000</v>
      </c>
      <c r="L2026" s="119"/>
      <c r="M2026" s="118">
        <f t="shared" ref="M2026" si="116">K2026*0.1</f>
        <v>130000</v>
      </c>
      <c r="N2026" s="119"/>
      <c r="O2026" s="118">
        <v>0</v>
      </c>
      <c r="P2026" s="119"/>
      <c r="Q2026" s="118">
        <v>16240</v>
      </c>
      <c r="R2026" s="119"/>
      <c r="S2026" s="118">
        <v>27500</v>
      </c>
      <c r="T2026" s="119"/>
      <c r="U2026" s="118">
        <f t="shared" ref="U2026" si="117">SUM(K2026:T2027)</f>
        <v>1473740</v>
      </c>
      <c r="V2026" s="122"/>
      <c r="W2026" s="124"/>
      <c r="X2026" s="126" t="s">
        <v>7902</v>
      </c>
      <c r="Y2026" s="127"/>
      <c r="Z2026" s="127"/>
      <c r="AA2026" s="127"/>
      <c r="AB2026" s="128"/>
      <c r="AC2026" s="15" t="s">
        <v>20</v>
      </c>
      <c r="AD2026" s="129"/>
      <c r="AE2026" s="130"/>
      <c r="AF2026" s="130"/>
      <c r="AG2026" s="130"/>
      <c r="AH2026" s="130"/>
      <c r="AI2026" s="131"/>
      <c r="AJ2026" s="132"/>
      <c r="AK2026" s="127"/>
      <c r="AL2026" s="128"/>
      <c r="AM2026" s="21"/>
      <c r="AN2026" s="133">
        <v>45946</v>
      </c>
      <c r="AO2026" s="134"/>
      <c r="AP2026" s="135">
        <v>1302</v>
      </c>
      <c r="AQ2026" s="136"/>
      <c r="AR2026" s="118">
        <v>1525000</v>
      </c>
      <c r="AS2026" s="119"/>
      <c r="AT2026" s="118">
        <v>152500</v>
      </c>
      <c r="AU2026" s="119"/>
      <c r="AV2026" s="118">
        <v>16240</v>
      </c>
      <c r="AW2026" s="119"/>
      <c r="AX2026" s="118">
        <f t="shared" ref="AX2026" si="118">SUM(AR2026:AW2026)</f>
        <v>1693740</v>
      </c>
      <c r="AY2026" s="119"/>
      <c r="AZ2026" s="137">
        <v>45947</v>
      </c>
    </row>
    <row r="2027" spans="1:52" ht="17.100000000000001" customHeight="1" thickBot="1">
      <c r="A2027" s="110"/>
      <c r="B2027" s="27" t="s">
        <v>1543</v>
      </c>
      <c r="C2027" s="27">
        <v>13128</v>
      </c>
      <c r="D2027" s="14" t="s">
        <v>1556</v>
      </c>
      <c r="E2027" s="112"/>
      <c r="F2027" s="139" t="s">
        <v>7032</v>
      </c>
      <c r="G2027" s="140"/>
      <c r="H2027" s="141"/>
      <c r="I2027" s="26">
        <v>26099</v>
      </c>
      <c r="J2027" s="117"/>
      <c r="K2027" s="120"/>
      <c r="L2027" s="121"/>
      <c r="M2027" s="120"/>
      <c r="N2027" s="121"/>
      <c r="O2027" s="120"/>
      <c r="P2027" s="121"/>
      <c r="Q2027" s="120"/>
      <c r="R2027" s="121"/>
      <c r="S2027" s="120"/>
      <c r="T2027" s="121"/>
      <c r="U2027" s="120"/>
      <c r="V2027" s="123"/>
      <c r="W2027" s="125"/>
      <c r="X2027" s="142" t="s">
        <v>1997</v>
      </c>
      <c r="Y2027" s="143"/>
      <c r="Z2027" s="143"/>
      <c r="AA2027" s="143"/>
      <c r="AB2027" s="144"/>
      <c r="AC2027" s="16" t="s">
        <v>21</v>
      </c>
      <c r="AD2027" s="17" t="s">
        <v>1613</v>
      </c>
      <c r="AE2027" s="145" t="s">
        <v>3277</v>
      </c>
      <c r="AF2027" s="146"/>
      <c r="AG2027" s="146"/>
      <c r="AH2027" s="146"/>
      <c r="AI2027" s="147"/>
      <c r="AJ2027" s="148"/>
      <c r="AK2027" s="143"/>
      <c r="AL2027" s="144"/>
      <c r="AM2027" s="22"/>
      <c r="AN2027" s="149" t="s">
        <v>1747</v>
      </c>
      <c r="AO2027" s="144"/>
      <c r="AP2027" s="148">
        <v>509</v>
      </c>
      <c r="AQ2027" s="144"/>
      <c r="AR2027" s="120"/>
      <c r="AS2027" s="121"/>
      <c r="AT2027" s="120"/>
      <c r="AU2027" s="121"/>
      <c r="AV2027" s="120"/>
      <c r="AW2027" s="121"/>
      <c r="AX2027" s="120"/>
      <c r="AY2027" s="121"/>
      <c r="AZ2027" s="138"/>
    </row>
    <row r="2028" spans="1:52" ht="17.100000000000001" customHeight="1" thickTop="1">
      <c r="A2028" s="109" t="s">
        <v>6977</v>
      </c>
      <c r="B2028" s="28">
        <v>45933</v>
      </c>
      <c r="C2028" s="25">
        <v>2104</v>
      </c>
      <c r="D2028" s="13" t="s">
        <v>1725</v>
      </c>
      <c r="E2028" s="111"/>
      <c r="F2028" s="113" t="s">
        <v>7033</v>
      </c>
      <c r="G2028" s="114"/>
      <c r="H2028" s="115"/>
      <c r="I2028" s="24"/>
      <c r="J2028" s="116">
        <v>4.5</v>
      </c>
      <c r="K2028" s="118">
        <v>2905000</v>
      </c>
      <c r="L2028" s="119"/>
      <c r="M2028" s="118">
        <f t="shared" ref="M2028" si="119">K2028*0.1</f>
        <v>290500</v>
      </c>
      <c r="N2028" s="119"/>
      <c r="O2028" s="118">
        <v>0</v>
      </c>
      <c r="P2028" s="119"/>
      <c r="Q2028" s="118">
        <v>18930</v>
      </c>
      <c r="R2028" s="119"/>
      <c r="S2028" s="118">
        <v>16500</v>
      </c>
      <c r="T2028" s="119"/>
      <c r="U2028" s="118">
        <f t="shared" ref="U2028" si="120">SUM(K2028:T2029)</f>
        <v>3230930</v>
      </c>
      <c r="V2028" s="122"/>
      <c r="W2028" s="124"/>
      <c r="X2028" s="126" t="s">
        <v>7901</v>
      </c>
      <c r="Y2028" s="127"/>
      <c r="Z2028" s="127"/>
      <c r="AA2028" s="127"/>
      <c r="AB2028" s="128"/>
      <c r="AC2028" s="15" t="s">
        <v>20</v>
      </c>
      <c r="AD2028" s="129"/>
      <c r="AE2028" s="130"/>
      <c r="AF2028" s="130"/>
      <c r="AG2028" s="130"/>
      <c r="AH2028" s="130"/>
      <c r="AI2028" s="131"/>
      <c r="AJ2028" s="132"/>
      <c r="AK2028" s="127"/>
      <c r="AL2028" s="128"/>
      <c r="AM2028" s="21"/>
      <c r="AN2028" s="133">
        <v>45966</v>
      </c>
      <c r="AO2028" s="134"/>
      <c r="AP2028" s="135">
        <v>991</v>
      </c>
      <c r="AQ2028" s="136"/>
      <c r="AR2028" s="118">
        <v>3000000</v>
      </c>
      <c r="AS2028" s="119"/>
      <c r="AT2028" s="118">
        <f t="shared" ref="AT2028" si="121">AR2028*0.1</f>
        <v>300000</v>
      </c>
      <c r="AU2028" s="119"/>
      <c r="AV2028" s="118">
        <v>18930</v>
      </c>
      <c r="AW2028" s="119"/>
      <c r="AX2028" s="118">
        <f t="shared" ref="AX2028" si="122">SUM(AR2028:AW2028)</f>
        <v>3318930</v>
      </c>
      <c r="AY2028" s="119"/>
      <c r="AZ2028" s="137">
        <v>45971</v>
      </c>
    </row>
    <row r="2029" spans="1:52" ht="17.100000000000001" customHeight="1" thickBot="1">
      <c r="A2029" s="110"/>
      <c r="B2029" s="27" t="s">
        <v>1543</v>
      </c>
      <c r="C2029" s="27">
        <v>13171</v>
      </c>
      <c r="D2029" s="14" t="s">
        <v>275</v>
      </c>
      <c r="E2029" s="112"/>
      <c r="F2029" s="139" t="s">
        <v>7034</v>
      </c>
      <c r="G2029" s="140"/>
      <c r="H2029" s="141"/>
      <c r="I2029" s="26">
        <v>41335</v>
      </c>
      <c r="J2029" s="117"/>
      <c r="K2029" s="120"/>
      <c r="L2029" s="121"/>
      <c r="M2029" s="120"/>
      <c r="N2029" s="121"/>
      <c r="O2029" s="120"/>
      <c r="P2029" s="121"/>
      <c r="Q2029" s="120"/>
      <c r="R2029" s="121"/>
      <c r="S2029" s="120"/>
      <c r="T2029" s="121"/>
      <c r="U2029" s="120"/>
      <c r="V2029" s="123"/>
      <c r="W2029" s="125"/>
      <c r="X2029" s="142" t="s">
        <v>2918</v>
      </c>
      <c r="Y2029" s="143"/>
      <c r="Z2029" s="143"/>
      <c r="AA2029" s="143"/>
      <c r="AB2029" s="144"/>
      <c r="AC2029" s="16" t="s">
        <v>21</v>
      </c>
      <c r="AD2029" s="17" t="s">
        <v>1613</v>
      </c>
      <c r="AE2029" s="145"/>
      <c r="AF2029" s="146"/>
      <c r="AG2029" s="146"/>
      <c r="AH2029" s="146"/>
      <c r="AI2029" s="147"/>
      <c r="AJ2029" s="148"/>
      <c r="AK2029" s="143"/>
      <c r="AL2029" s="144"/>
      <c r="AM2029" s="22"/>
      <c r="AN2029" s="149" t="s">
        <v>2794</v>
      </c>
      <c r="AO2029" s="144"/>
      <c r="AP2029" s="148">
        <v>6068</v>
      </c>
      <c r="AQ2029" s="144"/>
      <c r="AR2029" s="120"/>
      <c r="AS2029" s="121"/>
      <c r="AT2029" s="120"/>
      <c r="AU2029" s="121"/>
      <c r="AV2029" s="120"/>
      <c r="AW2029" s="121"/>
      <c r="AX2029" s="120"/>
      <c r="AY2029" s="121"/>
      <c r="AZ2029" s="138"/>
    </row>
    <row r="2030" spans="1:52" ht="17.100000000000001" customHeight="1" thickTop="1">
      <c r="A2030" s="109" t="s">
        <v>6978</v>
      </c>
      <c r="B2030" s="28">
        <v>45933</v>
      </c>
      <c r="C2030" s="25">
        <v>2104</v>
      </c>
      <c r="D2030" s="13" t="s">
        <v>2348</v>
      </c>
      <c r="E2030" s="111"/>
      <c r="F2030" s="113" t="s">
        <v>7035</v>
      </c>
      <c r="G2030" s="114"/>
      <c r="H2030" s="115"/>
      <c r="I2030" s="24" t="s">
        <v>3931</v>
      </c>
      <c r="J2030" s="116">
        <v>4.5</v>
      </c>
      <c r="K2030" s="118">
        <v>1745000</v>
      </c>
      <c r="L2030" s="119"/>
      <c r="M2030" s="118">
        <f t="shared" ref="M2030" si="123">K2030*0.1</f>
        <v>174500</v>
      </c>
      <c r="N2030" s="119"/>
      <c r="O2030" s="118">
        <f>27700+2770</f>
        <v>30470</v>
      </c>
      <c r="P2030" s="119"/>
      <c r="Q2030" s="118">
        <v>14840</v>
      </c>
      <c r="R2030" s="119"/>
      <c r="S2030" s="118">
        <v>16500</v>
      </c>
      <c r="T2030" s="119"/>
      <c r="U2030" s="118">
        <f t="shared" ref="U2030" si="124">SUM(K2030:T2031)</f>
        <v>1981310</v>
      </c>
      <c r="V2030" s="122"/>
      <c r="W2030" s="124"/>
      <c r="X2030" s="126" t="s">
        <v>7036</v>
      </c>
      <c r="Y2030" s="127"/>
      <c r="Z2030" s="127"/>
      <c r="AA2030" s="127"/>
      <c r="AB2030" s="128"/>
      <c r="AC2030" s="15" t="s">
        <v>20</v>
      </c>
      <c r="AD2030" s="129" t="s">
        <v>1633</v>
      </c>
      <c r="AE2030" s="130"/>
      <c r="AF2030" s="130"/>
      <c r="AG2030" s="130"/>
      <c r="AH2030" s="130"/>
      <c r="AI2030" s="131"/>
      <c r="AJ2030" s="132" t="s">
        <v>8266</v>
      </c>
      <c r="AK2030" s="127"/>
      <c r="AL2030" s="128"/>
      <c r="AM2030" s="21"/>
      <c r="AN2030" s="133">
        <v>45939</v>
      </c>
      <c r="AO2030" s="134"/>
      <c r="AP2030" s="135">
        <v>1301</v>
      </c>
      <c r="AQ2030" s="136"/>
      <c r="AR2030" s="118">
        <v>1895000</v>
      </c>
      <c r="AS2030" s="119"/>
      <c r="AT2030" s="118">
        <v>189500</v>
      </c>
      <c r="AU2030" s="119"/>
      <c r="AV2030" s="118">
        <v>14840</v>
      </c>
      <c r="AW2030" s="119"/>
      <c r="AX2030" s="118">
        <f t="shared" ref="AX2030" si="125">SUM(AR2030:AW2030)</f>
        <v>2099340</v>
      </c>
      <c r="AY2030" s="119"/>
      <c r="AZ2030" s="137">
        <v>45940</v>
      </c>
    </row>
    <row r="2031" spans="1:52" ht="17.100000000000001" customHeight="1" thickBot="1">
      <c r="A2031" s="110"/>
      <c r="B2031" s="27" t="s">
        <v>1543</v>
      </c>
      <c r="C2031" s="27">
        <v>13179</v>
      </c>
      <c r="D2031" s="14" t="s">
        <v>904</v>
      </c>
      <c r="E2031" s="112"/>
      <c r="F2031" s="139" t="s">
        <v>7546</v>
      </c>
      <c r="G2031" s="140"/>
      <c r="H2031" s="141"/>
      <c r="I2031" s="26">
        <v>54137</v>
      </c>
      <c r="J2031" s="117"/>
      <c r="K2031" s="120"/>
      <c r="L2031" s="121"/>
      <c r="M2031" s="120"/>
      <c r="N2031" s="121"/>
      <c r="O2031" s="120"/>
      <c r="P2031" s="121"/>
      <c r="Q2031" s="120"/>
      <c r="R2031" s="121"/>
      <c r="S2031" s="120"/>
      <c r="T2031" s="121"/>
      <c r="U2031" s="120"/>
      <c r="V2031" s="123"/>
      <c r="W2031" s="125"/>
      <c r="X2031" s="142" t="s">
        <v>7547</v>
      </c>
      <c r="Y2031" s="143"/>
      <c r="Z2031" s="143"/>
      <c r="AA2031" s="143"/>
      <c r="AB2031" s="144"/>
      <c r="AC2031" s="16" t="s">
        <v>21</v>
      </c>
      <c r="AD2031" s="17" t="s">
        <v>1613</v>
      </c>
      <c r="AE2031" s="145" t="s">
        <v>7847</v>
      </c>
      <c r="AF2031" s="146"/>
      <c r="AG2031" s="146"/>
      <c r="AH2031" s="146"/>
      <c r="AI2031" s="147"/>
      <c r="AJ2031" s="161" t="s">
        <v>8101</v>
      </c>
      <c r="AK2031" s="168"/>
      <c r="AL2031" s="169"/>
      <c r="AM2031" s="22"/>
      <c r="AN2031" s="149" t="s">
        <v>7572</v>
      </c>
      <c r="AO2031" s="144"/>
      <c r="AP2031" s="148">
        <v>83</v>
      </c>
      <c r="AQ2031" s="144"/>
      <c r="AR2031" s="120"/>
      <c r="AS2031" s="121"/>
      <c r="AT2031" s="120"/>
      <c r="AU2031" s="121"/>
      <c r="AV2031" s="120"/>
      <c r="AW2031" s="121"/>
      <c r="AX2031" s="120"/>
      <c r="AY2031" s="121"/>
      <c r="AZ2031" s="138"/>
    </row>
    <row r="2032" spans="1:52" ht="17.100000000000001" customHeight="1" thickTop="1">
      <c r="A2032" s="109" t="s">
        <v>6979</v>
      </c>
      <c r="B2032" s="28">
        <v>45933</v>
      </c>
      <c r="C2032" s="25">
        <v>2104</v>
      </c>
      <c r="D2032" s="13" t="s">
        <v>2141</v>
      </c>
      <c r="E2032" s="111"/>
      <c r="F2032" s="113" t="s">
        <v>6992</v>
      </c>
      <c r="G2032" s="114"/>
      <c r="H2032" s="115"/>
      <c r="I2032" s="24" t="s">
        <v>2064</v>
      </c>
      <c r="J2032" s="116">
        <v>4.5</v>
      </c>
      <c r="K2032" s="118">
        <v>1090000</v>
      </c>
      <c r="L2032" s="119"/>
      <c r="M2032" s="118">
        <f t="shared" ref="M2032" si="126">K2032*0.1</f>
        <v>109000</v>
      </c>
      <c r="N2032" s="119"/>
      <c r="O2032" s="118">
        <f>16400+1640</f>
        <v>18040</v>
      </c>
      <c r="P2032" s="119"/>
      <c r="Q2032" s="118">
        <v>20860</v>
      </c>
      <c r="R2032" s="119"/>
      <c r="S2032" s="118">
        <v>16500</v>
      </c>
      <c r="T2032" s="119"/>
      <c r="U2032" s="118">
        <f t="shared" ref="U2032" si="127">SUM(K2032:T2033)</f>
        <v>1254400</v>
      </c>
      <c r="V2032" s="122"/>
      <c r="W2032" s="124"/>
      <c r="X2032" s="126" t="s">
        <v>7038</v>
      </c>
      <c r="Y2032" s="127"/>
      <c r="Z2032" s="127"/>
      <c r="AA2032" s="127"/>
      <c r="AB2032" s="128"/>
      <c r="AC2032" s="15" t="s">
        <v>20</v>
      </c>
      <c r="AD2032" s="129" t="s">
        <v>1633</v>
      </c>
      <c r="AE2032" s="130"/>
      <c r="AF2032" s="130"/>
      <c r="AG2032" s="130"/>
      <c r="AH2032" s="130"/>
      <c r="AI2032" s="131"/>
      <c r="AJ2032" s="132"/>
      <c r="AK2032" s="127"/>
      <c r="AL2032" s="128"/>
      <c r="AM2032" s="21"/>
      <c r="AN2032" s="133">
        <v>45953</v>
      </c>
      <c r="AO2032" s="134"/>
      <c r="AP2032" s="135">
        <v>1303</v>
      </c>
      <c r="AQ2032" s="136"/>
      <c r="AR2032" s="118">
        <v>1190000</v>
      </c>
      <c r="AS2032" s="119"/>
      <c r="AT2032" s="118">
        <f t="shared" ref="AT2032" si="128">AR2032*0.1</f>
        <v>119000</v>
      </c>
      <c r="AU2032" s="119"/>
      <c r="AV2032" s="118">
        <v>20860</v>
      </c>
      <c r="AW2032" s="119"/>
      <c r="AX2032" s="118">
        <f t="shared" ref="AX2032" si="129">SUM(AR2032:AW2032)</f>
        <v>1329860</v>
      </c>
      <c r="AY2032" s="119"/>
      <c r="AZ2032" s="137">
        <v>45954</v>
      </c>
    </row>
    <row r="2033" spans="1:52" ht="17.100000000000001" customHeight="1" thickBot="1">
      <c r="A2033" s="110"/>
      <c r="B2033" s="27" t="s">
        <v>1543</v>
      </c>
      <c r="C2033" s="27">
        <v>35207</v>
      </c>
      <c r="D2033" s="14" t="s">
        <v>1592</v>
      </c>
      <c r="E2033" s="112"/>
      <c r="F2033" s="139" t="s">
        <v>7037</v>
      </c>
      <c r="G2033" s="140"/>
      <c r="H2033" s="141"/>
      <c r="I2033" s="26">
        <v>48118</v>
      </c>
      <c r="J2033" s="117"/>
      <c r="K2033" s="120"/>
      <c r="L2033" s="121"/>
      <c r="M2033" s="120"/>
      <c r="N2033" s="121"/>
      <c r="O2033" s="120"/>
      <c r="P2033" s="121"/>
      <c r="Q2033" s="120"/>
      <c r="R2033" s="121"/>
      <c r="S2033" s="120"/>
      <c r="T2033" s="121"/>
      <c r="U2033" s="120"/>
      <c r="V2033" s="123"/>
      <c r="W2033" s="125"/>
      <c r="X2033" s="142" t="s">
        <v>7906</v>
      </c>
      <c r="Y2033" s="143"/>
      <c r="Z2033" s="143"/>
      <c r="AA2033" s="143"/>
      <c r="AB2033" s="144"/>
      <c r="AC2033" s="16" t="s">
        <v>21</v>
      </c>
      <c r="AD2033" s="17" t="s">
        <v>1613</v>
      </c>
      <c r="AE2033" s="145" t="s">
        <v>1742</v>
      </c>
      <c r="AF2033" s="146"/>
      <c r="AG2033" s="146"/>
      <c r="AH2033" s="146"/>
      <c r="AI2033" s="147"/>
      <c r="AJ2033" s="148"/>
      <c r="AK2033" s="143"/>
      <c r="AL2033" s="144"/>
      <c r="AM2033" s="22"/>
      <c r="AN2033" s="149" t="s">
        <v>7579</v>
      </c>
      <c r="AO2033" s="144"/>
      <c r="AP2033" s="148">
        <v>24</v>
      </c>
      <c r="AQ2033" s="144"/>
      <c r="AR2033" s="120"/>
      <c r="AS2033" s="121"/>
      <c r="AT2033" s="120"/>
      <c r="AU2033" s="121"/>
      <c r="AV2033" s="120"/>
      <c r="AW2033" s="121"/>
      <c r="AX2033" s="120"/>
      <c r="AY2033" s="121"/>
      <c r="AZ2033" s="138"/>
    </row>
    <row r="2034" spans="1:52" ht="17.100000000000001" customHeight="1" thickTop="1">
      <c r="A2034" s="109" t="s">
        <v>6980</v>
      </c>
      <c r="B2034" s="28">
        <v>45933</v>
      </c>
      <c r="C2034" s="25">
        <v>2104</v>
      </c>
      <c r="D2034" s="13" t="s">
        <v>2059</v>
      </c>
      <c r="E2034" s="111"/>
      <c r="F2034" s="113" t="s">
        <v>1871</v>
      </c>
      <c r="G2034" s="114"/>
      <c r="H2034" s="115"/>
      <c r="I2034" s="24" t="s">
        <v>5677</v>
      </c>
      <c r="J2034" s="116">
        <v>4</v>
      </c>
      <c r="K2034" s="118">
        <v>465000</v>
      </c>
      <c r="L2034" s="119"/>
      <c r="M2034" s="118">
        <f t="shared" ref="M2034" si="130">K2034*0.1</f>
        <v>46500</v>
      </c>
      <c r="N2034" s="119"/>
      <c r="O2034" s="118">
        <f>16400+1640</f>
        <v>18040</v>
      </c>
      <c r="P2034" s="119"/>
      <c r="Q2034" s="118">
        <v>18960</v>
      </c>
      <c r="R2034" s="119"/>
      <c r="S2034" s="118">
        <v>16500</v>
      </c>
      <c r="T2034" s="119"/>
      <c r="U2034" s="118">
        <f t="shared" ref="U2034" si="131">SUM(K2034:T2035)</f>
        <v>565000</v>
      </c>
      <c r="V2034" s="122"/>
      <c r="W2034" s="124"/>
      <c r="X2034" s="126" t="s">
        <v>7040</v>
      </c>
      <c r="Y2034" s="127"/>
      <c r="Z2034" s="127"/>
      <c r="AA2034" s="127"/>
      <c r="AB2034" s="128"/>
      <c r="AC2034" s="15" t="s">
        <v>20</v>
      </c>
      <c r="AD2034" s="129" t="s">
        <v>4883</v>
      </c>
      <c r="AE2034" s="130"/>
      <c r="AF2034" s="130"/>
      <c r="AG2034" s="130"/>
      <c r="AH2034" s="130"/>
      <c r="AI2034" s="131"/>
      <c r="AJ2034" s="132"/>
      <c r="AK2034" s="127"/>
      <c r="AL2034" s="128"/>
      <c r="AM2034" s="21"/>
      <c r="AN2034" s="133">
        <v>45953</v>
      </c>
      <c r="AO2034" s="134"/>
      <c r="AP2034" s="135">
        <v>1303</v>
      </c>
      <c r="AQ2034" s="136"/>
      <c r="AR2034" s="118">
        <v>495000</v>
      </c>
      <c r="AS2034" s="119"/>
      <c r="AT2034" s="118">
        <f t="shared" ref="AT2034" si="132">AR2034*0.1</f>
        <v>49500</v>
      </c>
      <c r="AU2034" s="119"/>
      <c r="AV2034" s="118">
        <v>18960</v>
      </c>
      <c r="AW2034" s="119"/>
      <c r="AX2034" s="118">
        <f t="shared" ref="AX2034" si="133">SUM(AR2034:AW2034)</f>
        <v>563460</v>
      </c>
      <c r="AY2034" s="119"/>
      <c r="AZ2034" s="137">
        <v>45954</v>
      </c>
    </row>
    <row r="2035" spans="1:52" ht="17.100000000000001" customHeight="1" thickBot="1">
      <c r="A2035" s="110"/>
      <c r="B2035" s="27" t="s">
        <v>1543</v>
      </c>
      <c r="C2035" s="27">
        <v>35335</v>
      </c>
      <c r="D2035" s="14" t="s">
        <v>275</v>
      </c>
      <c r="E2035" s="112"/>
      <c r="F2035" s="139" t="s">
        <v>7039</v>
      </c>
      <c r="G2035" s="140"/>
      <c r="H2035" s="141"/>
      <c r="I2035" s="26">
        <v>59848</v>
      </c>
      <c r="J2035" s="117"/>
      <c r="K2035" s="120"/>
      <c r="L2035" s="121"/>
      <c r="M2035" s="120"/>
      <c r="N2035" s="121"/>
      <c r="O2035" s="120"/>
      <c r="P2035" s="121"/>
      <c r="Q2035" s="120"/>
      <c r="R2035" s="121"/>
      <c r="S2035" s="120"/>
      <c r="T2035" s="121"/>
      <c r="U2035" s="120"/>
      <c r="V2035" s="123"/>
      <c r="W2035" s="125"/>
      <c r="X2035" s="142" t="s">
        <v>7907</v>
      </c>
      <c r="Y2035" s="143"/>
      <c r="Z2035" s="143"/>
      <c r="AA2035" s="143"/>
      <c r="AB2035" s="144"/>
      <c r="AC2035" s="16" t="s">
        <v>21</v>
      </c>
      <c r="AD2035" s="17" t="s">
        <v>1613</v>
      </c>
      <c r="AE2035" s="145" t="s">
        <v>1742</v>
      </c>
      <c r="AF2035" s="146"/>
      <c r="AG2035" s="146"/>
      <c r="AH2035" s="146"/>
      <c r="AI2035" s="147"/>
      <c r="AJ2035" s="148"/>
      <c r="AK2035" s="143"/>
      <c r="AL2035" s="144"/>
      <c r="AM2035" s="22"/>
      <c r="AN2035" s="149" t="s">
        <v>7579</v>
      </c>
      <c r="AO2035" s="144"/>
      <c r="AP2035" s="148">
        <v>149</v>
      </c>
      <c r="AQ2035" s="144"/>
      <c r="AR2035" s="120"/>
      <c r="AS2035" s="121"/>
      <c r="AT2035" s="120"/>
      <c r="AU2035" s="121"/>
      <c r="AV2035" s="120"/>
      <c r="AW2035" s="121"/>
      <c r="AX2035" s="120"/>
      <c r="AY2035" s="121"/>
      <c r="AZ2035" s="138"/>
    </row>
    <row r="2036" spans="1:52" ht="17.100000000000001" customHeight="1" thickTop="1">
      <c r="A2036" s="109" t="s">
        <v>6981</v>
      </c>
      <c r="B2036" s="28">
        <v>45933</v>
      </c>
      <c r="C2036" s="25">
        <v>2104</v>
      </c>
      <c r="D2036" s="13" t="s">
        <v>1714</v>
      </c>
      <c r="E2036" s="111"/>
      <c r="F2036" s="113" t="s">
        <v>4703</v>
      </c>
      <c r="G2036" s="114"/>
      <c r="H2036" s="115"/>
      <c r="I2036" s="24" t="s">
        <v>7041</v>
      </c>
      <c r="J2036" s="116">
        <v>4.5</v>
      </c>
      <c r="K2036" s="118">
        <v>1205000</v>
      </c>
      <c r="L2036" s="119"/>
      <c r="M2036" s="118">
        <f t="shared" ref="M2036" si="134">K2036*0.1</f>
        <v>120500</v>
      </c>
      <c r="N2036" s="119"/>
      <c r="O2036" s="118">
        <v>0</v>
      </c>
      <c r="P2036" s="119"/>
      <c r="Q2036" s="118">
        <v>8550</v>
      </c>
      <c r="R2036" s="119"/>
      <c r="S2036" s="118">
        <v>16500</v>
      </c>
      <c r="T2036" s="119"/>
      <c r="U2036" s="118">
        <f t="shared" ref="U2036" si="135">SUM(K2036:T2037)</f>
        <v>1350550</v>
      </c>
      <c r="V2036" s="122"/>
      <c r="W2036" s="124"/>
      <c r="X2036" s="126" t="s">
        <v>7042</v>
      </c>
      <c r="Y2036" s="127"/>
      <c r="Z2036" s="127"/>
      <c r="AA2036" s="127"/>
      <c r="AB2036" s="128"/>
      <c r="AC2036" s="15" t="s">
        <v>20</v>
      </c>
      <c r="AD2036" s="129" t="s">
        <v>7043</v>
      </c>
      <c r="AE2036" s="130"/>
      <c r="AF2036" s="130"/>
      <c r="AG2036" s="130"/>
      <c r="AH2036" s="130"/>
      <c r="AI2036" s="131"/>
      <c r="AJ2036" s="132"/>
      <c r="AK2036" s="127"/>
      <c r="AL2036" s="128"/>
      <c r="AM2036" s="21" t="s">
        <v>10045</v>
      </c>
      <c r="AN2036" s="133">
        <v>45962</v>
      </c>
      <c r="AO2036" s="134"/>
      <c r="AP2036" s="135">
        <v>1274</v>
      </c>
      <c r="AQ2036" s="136"/>
      <c r="AR2036" s="118">
        <v>1250000</v>
      </c>
      <c r="AS2036" s="119"/>
      <c r="AT2036" s="118">
        <f t="shared" ref="AT2036" si="136">AR2036*0.1</f>
        <v>125000</v>
      </c>
      <c r="AU2036" s="119"/>
      <c r="AV2036" s="118">
        <v>8550</v>
      </c>
      <c r="AW2036" s="119"/>
      <c r="AX2036" s="118">
        <f t="shared" ref="AX2036" si="137">SUM(AR2036:AW2036)</f>
        <v>1383550</v>
      </c>
      <c r="AY2036" s="119"/>
      <c r="AZ2036" s="137">
        <v>45967</v>
      </c>
    </row>
    <row r="2037" spans="1:52" ht="17.100000000000001" customHeight="1" thickBot="1">
      <c r="A2037" s="110"/>
      <c r="B2037" s="27" t="s">
        <v>1543</v>
      </c>
      <c r="C2037" s="27">
        <v>55122</v>
      </c>
      <c r="D2037" s="14" t="s">
        <v>275</v>
      </c>
      <c r="E2037" s="112"/>
      <c r="F2037" s="139" t="s">
        <v>6993</v>
      </c>
      <c r="G2037" s="140"/>
      <c r="H2037" s="141"/>
      <c r="I2037" s="26">
        <v>49197</v>
      </c>
      <c r="J2037" s="117"/>
      <c r="K2037" s="120"/>
      <c r="L2037" s="121"/>
      <c r="M2037" s="120"/>
      <c r="N2037" s="121"/>
      <c r="O2037" s="120"/>
      <c r="P2037" s="121"/>
      <c r="Q2037" s="120"/>
      <c r="R2037" s="121"/>
      <c r="S2037" s="120"/>
      <c r="T2037" s="121"/>
      <c r="U2037" s="120"/>
      <c r="V2037" s="123"/>
      <c r="W2037" s="125"/>
      <c r="X2037" s="142" t="s">
        <v>7941</v>
      </c>
      <c r="Y2037" s="143"/>
      <c r="Z2037" s="143"/>
      <c r="AA2037" s="143"/>
      <c r="AB2037" s="144"/>
      <c r="AC2037" s="16" t="s">
        <v>21</v>
      </c>
      <c r="AD2037" s="17" t="s">
        <v>1613</v>
      </c>
      <c r="AE2037" s="145" t="s">
        <v>2347</v>
      </c>
      <c r="AF2037" s="146"/>
      <c r="AG2037" s="146"/>
      <c r="AH2037" s="146"/>
      <c r="AI2037" s="147"/>
      <c r="AJ2037" s="148"/>
      <c r="AK2037" s="143"/>
      <c r="AL2037" s="144"/>
      <c r="AM2037" s="22"/>
      <c r="AN2037" s="149" t="s">
        <v>7284</v>
      </c>
      <c r="AO2037" s="144"/>
      <c r="AP2037" s="148">
        <v>60186</v>
      </c>
      <c r="AQ2037" s="144"/>
      <c r="AR2037" s="120"/>
      <c r="AS2037" s="121"/>
      <c r="AT2037" s="120"/>
      <c r="AU2037" s="121"/>
      <c r="AV2037" s="120"/>
      <c r="AW2037" s="121"/>
      <c r="AX2037" s="120"/>
      <c r="AY2037" s="121"/>
      <c r="AZ2037" s="138"/>
    </row>
    <row r="2038" spans="1:52" ht="17.100000000000001" customHeight="1" thickTop="1">
      <c r="A2038" s="109" t="s">
        <v>6982</v>
      </c>
      <c r="B2038" s="28">
        <v>45933</v>
      </c>
      <c r="C2038" s="25">
        <v>2104</v>
      </c>
      <c r="D2038" s="13" t="s">
        <v>1059</v>
      </c>
      <c r="E2038" s="111"/>
      <c r="F2038" s="113" t="s">
        <v>6994</v>
      </c>
      <c r="G2038" s="114"/>
      <c r="H2038" s="115"/>
      <c r="I2038" s="24" t="s">
        <v>7044</v>
      </c>
      <c r="J2038" s="116">
        <v>4</v>
      </c>
      <c r="K2038" s="118">
        <v>1110000</v>
      </c>
      <c r="L2038" s="119"/>
      <c r="M2038" s="118">
        <f t="shared" ref="M2038" si="138">K2038*0.1</f>
        <v>111000</v>
      </c>
      <c r="N2038" s="119"/>
      <c r="O2038" s="118">
        <v>0</v>
      </c>
      <c r="P2038" s="119"/>
      <c r="Q2038" s="118">
        <v>8640</v>
      </c>
      <c r="R2038" s="119"/>
      <c r="S2038" s="118">
        <v>16500</v>
      </c>
      <c r="T2038" s="119"/>
      <c r="U2038" s="118">
        <f t="shared" ref="U2038" si="139">SUM(K2038:T2039)</f>
        <v>1246140</v>
      </c>
      <c r="V2038" s="122"/>
      <c r="W2038" s="124"/>
      <c r="X2038" s="126" t="s">
        <v>7045</v>
      </c>
      <c r="Y2038" s="127"/>
      <c r="Z2038" s="127"/>
      <c r="AA2038" s="127"/>
      <c r="AB2038" s="128"/>
      <c r="AC2038" s="15" t="s">
        <v>20</v>
      </c>
      <c r="AD2038" s="129"/>
      <c r="AE2038" s="130"/>
      <c r="AF2038" s="130"/>
      <c r="AG2038" s="130"/>
      <c r="AH2038" s="130"/>
      <c r="AI2038" s="131"/>
      <c r="AJ2038" s="132"/>
      <c r="AK2038" s="127"/>
      <c r="AL2038" s="128"/>
      <c r="AM2038" s="21"/>
      <c r="AN2038" s="133">
        <v>45941</v>
      </c>
      <c r="AO2038" s="134"/>
      <c r="AP2038" s="135">
        <v>1271</v>
      </c>
      <c r="AQ2038" s="136"/>
      <c r="AR2038" s="118">
        <v>1170000</v>
      </c>
      <c r="AS2038" s="119"/>
      <c r="AT2038" s="118">
        <v>117000</v>
      </c>
      <c r="AU2038" s="119"/>
      <c r="AV2038" s="118">
        <v>8640</v>
      </c>
      <c r="AW2038" s="119"/>
      <c r="AX2038" s="118">
        <f t="shared" ref="AX2038" si="140">SUM(AR2038:AW2038)</f>
        <v>1295640</v>
      </c>
      <c r="AY2038" s="119"/>
      <c r="AZ2038" s="137">
        <v>45945</v>
      </c>
    </row>
    <row r="2039" spans="1:52" ht="17.100000000000001" customHeight="1" thickBot="1">
      <c r="A2039" s="110"/>
      <c r="B2039" s="27" t="s">
        <v>1543</v>
      </c>
      <c r="C2039" s="27">
        <v>55134</v>
      </c>
      <c r="D2039" s="14" t="s">
        <v>1576</v>
      </c>
      <c r="E2039" s="112"/>
      <c r="F2039" s="139" t="s">
        <v>6995</v>
      </c>
      <c r="G2039" s="140"/>
      <c r="H2039" s="141"/>
      <c r="I2039" s="26">
        <v>54286</v>
      </c>
      <c r="J2039" s="117"/>
      <c r="K2039" s="120"/>
      <c r="L2039" s="121"/>
      <c r="M2039" s="120"/>
      <c r="N2039" s="121"/>
      <c r="O2039" s="120"/>
      <c r="P2039" s="121"/>
      <c r="Q2039" s="120"/>
      <c r="R2039" s="121"/>
      <c r="S2039" s="120"/>
      <c r="T2039" s="121"/>
      <c r="U2039" s="120"/>
      <c r="V2039" s="123"/>
      <c r="W2039" s="125"/>
      <c r="X2039" s="142" t="s">
        <v>3410</v>
      </c>
      <c r="Y2039" s="143"/>
      <c r="Z2039" s="143"/>
      <c r="AA2039" s="143"/>
      <c r="AB2039" s="144"/>
      <c r="AC2039" s="16" t="s">
        <v>21</v>
      </c>
      <c r="AD2039" s="17" t="s">
        <v>3289</v>
      </c>
      <c r="AE2039" s="145" t="s">
        <v>2673</v>
      </c>
      <c r="AF2039" s="146"/>
      <c r="AG2039" s="146"/>
      <c r="AH2039" s="146"/>
      <c r="AI2039" s="147"/>
      <c r="AJ2039" s="148"/>
      <c r="AK2039" s="143"/>
      <c r="AL2039" s="144"/>
      <c r="AM2039" s="22"/>
      <c r="AN2039" s="149" t="s">
        <v>2511</v>
      </c>
      <c r="AO2039" s="144"/>
      <c r="AP2039" s="148">
        <v>60483</v>
      </c>
      <c r="AQ2039" s="144"/>
      <c r="AR2039" s="120"/>
      <c r="AS2039" s="121"/>
      <c r="AT2039" s="120"/>
      <c r="AU2039" s="121"/>
      <c r="AV2039" s="120"/>
      <c r="AW2039" s="121"/>
      <c r="AX2039" s="120"/>
      <c r="AY2039" s="121"/>
      <c r="AZ2039" s="138"/>
    </row>
    <row r="2040" spans="1:52" ht="17.100000000000001" customHeight="1" thickTop="1">
      <c r="A2040" s="109" t="s">
        <v>6983</v>
      </c>
      <c r="B2040" s="28">
        <v>45933</v>
      </c>
      <c r="C2040" s="25">
        <v>2104</v>
      </c>
      <c r="D2040" s="13" t="s">
        <v>2084</v>
      </c>
      <c r="E2040" s="111"/>
      <c r="F2040" s="113" t="s">
        <v>7046</v>
      </c>
      <c r="G2040" s="114"/>
      <c r="H2040" s="115"/>
      <c r="I2040" s="24" t="s">
        <v>5458</v>
      </c>
      <c r="J2040" s="116">
        <v>4</v>
      </c>
      <c r="K2040" s="118">
        <v>720000</v>
      </c>
      <c r="L2040" s="119"/>
      <c r="M2040" s="118">
        <f t="shared" ref="M2040" si="141">K2040*0.1</f>
        <v>72000</v>
      </c>
      <c r="N2040" s="119"/>
      <c r="O2040" s="118">
        <v>0</v>
      </c>
      <c r="P2040" s="119"/>
      <c r="Q2040" s="118">
        <v>8510</v>
      </c>
      <c r="R2040" s="119"/>
      <c r="S2040" s="118">
        <v>16500</v>
      </c>
      <c r="T2040" s="119"/>
      <c r="U2040" s="118">
        <f t="shared" ref="U2040" si="142">SUM(K2040:T2041)</f>
        <v>817010</v>
      </c>
      <c r="V2040" s="122"/>
      <c r="W2040" s="124"/>
      <c r="X2040" s="126" t="s">
        <v>7047</v>
      </c>
      <c r="Y2040" s="127"/>
      <c r="Z2040" s="127"/>
      <c r="AA2040" s="127"/>
      <c r="AB2040" s="128"/>
      <c r="AC2040" s="15" t="s">
        <v>20</v>
      </c>
      <c r="AD2040" s="129" t="s">
        <v>1945</v>
      </c>
      <c r="AE2040" s="130"/>
      <c r="AF2040" s="130"/>
      <c r="AG2040" s="130"/>
      <c r="AH2040" s="130"/>
      <c r="AI2040" s="131"/>
      <c r="AJ2040" s="132"/>
      <c r="AK2040" s="127"/>
      <c r="AL2040" s="128"/>
      <c r="AM2040" s="21"/>
      <c r="AN2040" s="133">
        <v>45948</v>
      </c>
      <c r="AO2040" s="134"/>
      <c r="AP2040" s="135">
        <v>1272</v>
      </c>
      <c r="AQ2040" s="136"/>
      <c r="AR2040" s="118">
        <v>800000</v>
      </c>
      <c r="AS2040" s="119"/>
      <c r="AT2040" s="118">
        <f t="shared" ref="AT2040" si="143">AR2040*0.1</f>
        <v>80000</v>
      </c>
      <c r="AU2040" s="119"/>
      <c r="AV2040" s="118">
        <v>8510</v>
      </c>
      <c r="AW2040" s="119"/>
      <c r="AX2040" s="118">
        <f t="shared" ref="AX2040" si="144">SUM(AR2040:AW2040)</f>
        <v>888510</v>
      </c>
      <c r="AY2040" s="119"/>
      <c r="AZ2040" s="137">
        <v>45952</v>
      </c>
    </row>
    <row r="2041" spans="1:52" ht="17.100000000000001" customHeight="1" thickBot="1">
      <c r="A2041" s="110"/>
      <c r="B2041" s="27" t="s">
        <v>1543</v>
      </c>
      <c r="C2041" s="27">
        <v>55207</v>
      </c>
      <c r="D2041" s="14" t="s">
        <v>1720</v>
      </c>
      <c r="E2041" s="112"/>
      <c r="F2041" s="139" t="s">
        <v>6996</v>
      </c>
      <c r="G2041" s="140"/>
      <c r="H2041" s="141"/>
      <c r="I2041" s="26">
        <v>47073</v>
      </c>
      <c r="J2041" s="117"/>
      <c r="K2041" s="120"/>
      <c r="L2041" s="121"/>
      <c r="M2041" s="120"/>
      <c r="N2041" s="121"/>
      <c r="O2041" s="120"/>
      <c r="P2041" s="121"/>
      <c r="Q2041" s="120"/>
      <c r="R2041" s="121"/>
      <c r="S2041" s="120"/>
      <c r="T2041" s="121"/>
      <c r="U2041" s="120"/>
      <c r="V2041" s="123"/>
      <c r="W2041" s="125"/>
      <c r="X2041" s="142" t="s">
        <v>7924</v>
      </c>
      <c r="Y2041" s="143"/>
      <c r="Z2041" s="143"/>
      <c r="AA2041" s="143"/>
      <c r="AB2041" s="144"/>
      <c r="AC2041" s="16" t="s">
        <v>21</v>
      </c>
      <c r="AD2041" s="17" t="s">
        <v>1613</v>
      </c>
      <c r="AE2041" s="145" t="s">
        <v>7925</v>
      </c>
      <c r="AF2041" s="146"/>
      <c r="AG2041" s="146"/>
      <c r="AH2041" s="146"/>
      <c r="AI2041" s="147"/>
      <c r="AJ2041" s="148"/>
      <c r="AK2041" s="143"/>
      <c r="AL2041" s="144"/>
      <c r="AM2041" s="22"/>
      <c r="AN2041" s="149" t="s">
        <v>7284</v>
      </c>
      <c r="AO2041" s="144"/>
      <c r="AP2041" s="148">
        <v>60286</v>
      </c>
      <c r="AQ2041" s="144"/>
      <c r="AR2041" s="120"/>
      <c r="AS2041" s="121"/>
      <c r="AT2041" s="120"/>
      <c r="AU2041" s="121"/>
      <c r="AV2041" s="120"/>
      <c r="AW2041" s="121"/>
      <c r="AX2041" s="120"/>
      <c r="AY2041" s="121"/>
      <c r="AZ2041" s="138"/>
    </row>
    <row r="2042" spans="1:52" ht="17.100000000000001" customHeight="1" thickTop="1">
      <c r="A2042" s="109" t="s">
        <v>6984</v>
      </c>
      <c r="B2042" s="28">
        <v>45933</v>
      </c>
      <c r="C2042" s="25">
        <v>2104</v>
      </c>
      <c r="D2042" s="13" t="s">
        <v>2428</v>
      </c>
      <c r="E2042" s="111"/>
      <c r="F2042" s="113" t="s">
        <v>6997</v>
      </c>
      <c r="G2042" s="114"/>
      <c r="H2042" s="115"/>
      <c r="I2042" s="24" t="s">
        <v>4314</v>
      </c>
      <c r="J2042" s="116">
        <v>4</v>
      </c>
      <c r="K2042" s="118">
        <v>1495000</v>
      </c>
      <c r="L2042" s="119"/>
      <c r="M2042" s="118">
        <f t="shared" ref="M2042" si="145">K2042*0.1</f>
        <v>149500</v>
      </c>
      <c r="N2042" s="119"/>
      <c r="O2042" s="118">
        <v>0</v>
      </c>
      <c r="P2042" s="119"/>
      <c r="Q2042" s="118">
        <v>11100</v>
      </c>
      <c r="R2042" s="119"/>
      <c r="S2042" s="118">
        <v>16500</v>
      </c>
      <c r="T2042" s="119"/>
      <c r="U2042" s="118">
        <f t="shared" ref="U2042" si="146">SUM(K2042:T2043)</f>
        <v>1672100</v>
      </c>
      <c r="V2042" s="122"/>
      <c r="W2042" s="124"/>
      <c r="X2042" s="126" t="s">
        <v>7048</v>
      </c>
      <c r="Y2042" s="127"/>
      <c r="Z2042" s="127"/>
      <c r="AA2042" s="127"/>
      <c r="AB2042" s="128"/>
      <c r="AC2042" s="15" t="s">
        <v>20</v>
      </c>
      <c r="AD2042" s="129" t="s">
        <v>1797</v>
      </c>
      <c r="AE2042" s="130"/>
      <c r="AF2042" s="130"/>
      <c r="AG2042" s="130"/>
      <c r="AH2042" s="130"/>
      <c r="AI2042" s="131"/>
      <c r="AJ2042" s="132"/>
      <c r="AK2042" s="127"/>
      <c r="AL2042" s="128"/>
      <c r="AM2042" s="21"/>
      <c r="AN2042" s="133">
        <v>45941</v>
      </c>
      <c r="AO2042" s="134"/>
      <c r="AP2042" s="135">
        <v>1271</v>
      </c>
      <c r="AQ2042" s="136"/>
      <c r="AR2042" s="118">
        <v>1540000</v>
      </c>
      <c r="AS2042" s="119"/>
      <c r="AT2042" s="118">
        <v>154000</v>
      </c>
      <c r="AU2042" s="119"/>
      <c r="AV2042" s="118">
        <v>11100</v>
      </c>
      <c r="AW2042" s="119"/>
      <c r="AX2042" s="118">
        <f t="shared" ref="AX2042" si="147">SUM(AR2042:AW2042)</f>
        <v>1705100</v>
      </c>
      <c r="AY2042" s="119"/>
      <c r="AZ2042" s="137">
        <v>45944</v>
      </c>
    </row>
    <row r="2043" spans="1:52" ht="17.100000000000001" customHeight="1" thickBot="1">
      <c r="A2043" s="110"/>
      <c r="B2043" s="27" t="s">
        <v>1543</v>
      </c>
      <c r="C2043" s="27">
        <v>55227</v>
      </c>
      <c r="D2043" s="14" t="s">
        <v>2601</v>
      </c>
      <c r="E2043" s="112"/>
      <c r="F2043" s="139" t="s">
        <v>6998</v>
      </c>
      <c r="G2043" s="140"/>
      <c r="H2043" s="141"/>
      <c r="I2043" s="26">
        <v>31539</v>
      </c>
      <c r="J2043" s="117"/>
      <c r="K2043" s="120"/>
      <c r="L2043" s="121"/>
      <c r="M2043" s="120"/>
      <c r="N2043" s="121"/>
      <c r="O2043" s="120"/>
      <c r="P2043" s="121"/>
      <c r="Q2043" s="120"/>
      <c r="R2043" s="121"/>
      <c r="S2043" s="120"/>
      <c r="T2043" s="121"/>
      <c r="U2043" s="120"/>
      <c r="V2043" s="123"/>
      <c r="W2043" s="125"/>
      <c r="X2043" s="142" t="s">
        <v>7942</v>
      </c>
      <c r="Y2043" s="143"/>
      <c r="Z2043" s="143"/>
      <c r="AA2043" s="143"/>
      <c r="AB2043" s="144"/>
      <c r="AC2043" s="16" t="s">
        <v>21</v>
      </c>
      <c r="AD2043" s="17" t="s">
        <v>1613</v>
      </c>
      <c r="AE2043" s="145" t="s">
        <v>1742</v>
      </c>
      <c r="AF2043" s="146"/>
      <c r="AG2043" s="146"/>
      <c r="AH2043" s="146"/>
      <c r="AI2043" s="147"/>
      <c r="AJ2043" s="148"/>
      <c r="AK2043" s="143"/>
      <c r="AL2043" s="144"/>
      <c r="AM2043" s="22"/>
      <c r="AN2043" s="149" t="s">
        <v>2511</v>
      </c>
      <c r="AO2043" s="144"/>
      <c r="AP2043" s="148">
        <v>60019</v>
      </c>
      <c r="AQ2043" s="144"/>
      <c r="AR2043" s="120"/>
      <c r="AS2043" s="121"/>
      <c r="AT2043" s="120"/>
      <c r="AU2043" s="121"/>
      <c r="AV2043" s="120"/>
      <c r="AW2043" s="121"/>
      <c r="AX2043" s="120"/>
      <c r="AY2043" s="121"/>
      <c r="AZ2043" s="138"/>
    </row>
    <row r="2044" spans="1:52" ht="17.100000000000001" customHeight="1" thickTop="1">
      <c r="A2044" s="109" t="s">
        <v>6985</v>
      </c>
      <c r="B2044" s="28">
        <v>45933</v>
      </c>
      <c r="C2044" s="25">
        <v>2104</v>
      </c>
      <c r="D2044" s="13" t="s">
        <v>3921</v>
      </c>
      <c r="E2044" s="111"/>
      <c r="F2044" s="113" t="s">
        <v>2993</v>
      </c>
      <c r="G2044" s="114"/>
      <c r="H2044" s="115"/>
      <c r="I2044" s="24" t="s">
        <v>2533</v>
      </c>
      <c r="J2044" s="116">
        <v>4</v>
      </c>
      <c r="K2044" s="118">
        <v>685000</v>
      </c>
      <c r="L2044" s="119"/>
      <c r="M2044" s="118">
        <f t="shared" ref="M2044" si="148">K2044*0.1</f>
        <v>68500</v>
      </c>
      <c r="N2044" s="119"/>
      <c r="O2044" s="118">
        <v>0</v>
      </c>
      <c r="P2044" s="119"/>
      <c r="Q2044" s="118">
        <v>8400</v>
      </c>
      <c r="R2044" s="119"/>
      <c r="S2044" s="118">
        <v>16500</v>
      </c>
      <c r="T2044" s="119"/>
      <c r="U2044" s="118">
        <f t="shared" ref="U2044" si="149">SUM(K2044:T2045)</f>
        <v>778400</v>
      </c>
      <c r="V2044" s="122"/>
      <c r="W2044" s="124"/>
      <c r="X2044" s="126" t="s">
        <v>7049</v>
      </c>
      <c r="Y2044" s="127"/>
      <c r="Z2044" s="127"/>
      <c r="AA2044" s="127"/>
      <c r="AB2044" s="128"/>
      <c r="AC2044" s="15" t="s">
        <v>20</v>
      </c>
      <c r="AD2044" s="129" t="s">
        <v>5075</v>
      </c>
      <c r="AE2044" s="130"/>
      <c r="AF2044" s="130"/>
      <c r="AG2044" s="130"/>
      <c r="AH2044" s="130"/>
      <c r="AI2044" s="131"/>
      <c r="AJ2044" s="132"/>
      <c r="AK2044" s="127"/>
      <c r="AL2044" s="128"/>
      <c r="AM2044" s="21"/>
      <c r="AN2044" s="133">
        <v>45948</v>
      </c>
      <c r="AO2044" s="134"/>
      <c r="AP2044" s="135">
        <v>1272</v>
      </c>
      <c r="AQ2044" s="136"/>
      <c r="AR2044" s="118">
        <v>765000</v>
      </c>
      <c r="AS2044" s="119"/>
      <c r="AT2044" s="118">
        <f t="shared" ref="AT2044" si="150">AR2044*0.1</f>
        <v>76500</v>
      </c>
      <c r="AU2044" s="119"/>
      <c r="AV2044" s="118">
        <v>8400</v>
      </c>
      <c r="AW2044" s="119"/>
      <c r="AX2044" s="118">
        <f t="shared" ref="AX2044" si="151">SUM(AR2044:AW2044)</f>
        <v>849900</v>
      </c>
      <c r="AY2044" s="119"/>
      <c r="AZ2044" s="137">
        <v>45952</v>
      </c>
    </row>
    <row r="2045" spans="1:52" ht="17.100000000000001" customHeight="1" thickBot="1">
      <c r="A2045" s="110"/>
      <c r="B2045" s="27" t="s">
        <v>1543</v>
      </c>
      <c r="C2045" s="27">
        <v>55264</v>
      </c>
      <c r="D2045" s="14" t="s">
        <v>2836</v>
      </c>
      <c r="E2045" s="112"/>
      <c r="F2045" s="139" t="s">
        <v>6999</v>
      </c>
      <c r="G2045" s="140"/>
      <c r="H2045" s="141"/>
      <c r="I2045" s="26">
        <v>40811</v>
      </c>
      <c r="J2045" s="117"/>
      <c r="K2045" s="120"/>
      <c r="L2045" s="121"/>
      <c r="M2045" s="120"/>
      <c r="N2045" s="121"/>
      <c r="O2045" s="120"/>
      <c r="P2045" s="121"/>
      <c r="Q2045" s="120"/>
      <c r="R2045" s="121"/>
      <c r="S2045" s="120"/>
      <c r="T2045" s="121"/>
      <c r="U2045" s="120"/>
      <c r="V2045" s="123"/>
      <c r="W2045" s="125"/>
      <c r="X2045" s="142" t="s">
        <v>7932</v>
      </c>
      <c r="Y2045" s="143"/>
      <c r="Z2045" s="143"/>
      <c r="AA2045" s="143"/>
      <c r="AB2045" s="144"/>
      <c r="AC2045" s="16" t="s">
        <v>21</v>
      </c>
      <c r="AD2045" s="17" t="s">
        <v>1613</v>
      </c>
      <c r="AE2045" s="145" t="s">
        <v>2051</v>
      </c>
      <c r="AF2045" s="146"/>
      <c r="AG2045" s="146"/>
      <c r="AH2045" s="146"/>
      <c r="AI2045" s="147"/>
      <c r="AJ2045" s="148"/>
      <c r="AK2045" s="143"/>
      <c r="AL2045" s="144"/>
      <c r="AM2045" s="22"/>
      <c r="AN2045" s="149" t="s">
        <v>7284</v>
      </c>
      <c r="AO2045" s="144"/>
      <c r="AP2045" s="148">
        <v>60221</v>
      </c>
      <c r="AQ2045" s="144"/>
      <c r="AR2045" s="120"/>
      <c r="AS2045" s="121"/>
      <c r="AT2045" s="120"/>
      <c r="AU2045" s="121"/>
      <c r="AV2045" s="120"/>
      <c r="AW2045" s="121"/>
      <c r="AX2045" s="120"/>
      <c r="AY2045" s="121"/>
      <c r="AZ2045" s="138"/>
    </row>
    <row r="2046" spans="1:52" ht="17.100000000000001" customHeight="1" thickTop="1">
      <c r="A2046" s="109" t="s">
        <v>6986</v>
      </c>
      <c r="B2046" s="28">
        <v>45933</v>
      </c>
      <c r="C2046" s="25">
        <v>2104</v>
      </c>
      <c r="D2046" s="13" t="s">
        <v>2092</v>
      </c>
      <c r="E2046" s="111"/>
      <c r="F2046" s="113" t="s">
        <v>7000</v>
      </c>
      <c r="G2046" s="114"/>
      <c r="H2046" s="115"/>
      <c r="I2046" s="24"/>
      <c r="J2046" s="116">
        <v>4</v>
      </c>
      <c r="K2046" s="118">
        <v>1085000</v>
      </c>
      <c r="L2046" s="119"/>
      <c r="M2046" s="118">
        <v>0</v>
      </c>
      <c r="N2046" s="119"/>
      <c r="O2046" s="118">
        <v>0</v>
      </c>
      <c r="P2046" s="119"/>
      <c r="Q2046" s="118">
        <v>8550</v>
      </c>
      <c r="R2046" s="119"/>
      <c r="S2046" s="118">
        <v>16500</v>
      </c>
      <c r="T2046" s="119"/>
      <c r="U2046" s="118">
        <f t="shared" ref="U2046" si="152">SUM(K2046:T2047)</f>
        <v>1110050</v>
      </c>
      <c r="V2046" s="122"/>
      <c r="W2046" s="124"/>
      <c r="X2046" s="126" t="s">
        <v>7933</v>
      </c>
      <c r="Y2046" s="127"/>
      <c r="Z2046" s="127"/>
      <c r="AA2046" s="127"/>
      <c r="AB2046" s="128"/>
      <c r="AC2046" s="15" t="s">
        <v>20</v>
      </c>
      <c r="AD2046" s="129" t="s">
        <v>1575</v>
      </c>
      <c r="AE2046" s="130"/>
      <c r="AF2046" s="130"/>
      <c r="AG2046" s="130"/>
      <c r="AH2046" s="130"/>
      <c r="AI2046" s="131"/>
      <c r="AJ2046" s="132"/>
      <c r="AK2046" s="127"/>
      <c r="AL2046" s="128"/>
      <c r="AM2046" s="21"/>
      <c r="AN2046" s="133">
        <v>45987</v>
      </c>
      <c r="AO2046" s="134"/>
      <c r="AP2046" s="135">
        <v>994</v>
      </c>
      <c r="AQ2046" s="136"/>
      <c r="AR2046" s="118">
        <v>1075000</v>
      </c>
      <c r="AS2046" s="119"/>
      <c r="AT2046" s="118">
        <f t="shared" ref="AT2046" si="153">AR2046*0.1</f>
        <v>107500</v>
      </c>
      <c r="AU2046" s="119"/>
      <c r="AV2046" s="118">
        <v>8550</v>
      </c>
      <c r="AW2046" s="119"/>
      <c r="AX2046" s="118">
        <f t="shared" ref="AX2046" si="154">SUM(AR2046:AW2046)</f>
        <v>1191050</v>
      </c>
      <c r="AY2046" s="119"/>
      <c r="AZ2046" s="137">
        <v>45992</v>
      </c>
    </row>
    <row r="2047" spans="1:52" ht="17.100000000000001" customHeight="1" thickBot="1">
      <c r="A2047" s="110"/>
      <c r="B2047" s="27" t="s">
        <v>1543</v>
      </c>
      <c r="C2047" s="27">
        <v>55307</v>
      </c>
      <c r="D2047" s="14" t="s">
        <v>2040</v>
      </c>
      <c r="E2047" s="112"/>
      <c r="F2047" s="139" t="s">
        <v>7001</v>
      </c>
      <c r="G2047" s="140"/>
      <c r="H2047" s="141"/>
      <c r="I2047" s="26">
        <v>45595</v>
      </c>
      <c r="J2047" s="117"/>
      <c r="K2047" s="120"/>
      <c r="L2047" s="121"/>
      <c r="M2047" s="120"/>
      <c r="N2047" s="121"/>
      <c r="O2047" s="120"/>
      <c r="P2047" s="121"/>
      <c r="Q2047" s="120"/>
      <c r="R2047" s="121"/>
      <c r="S2047" s="120"/>
      <c r="T2047" s="121"/>
      <c r="U2047" s="120"/>
      <c r="V2047" s="123"/>
      <c r="W2047" s="125"/>
      <c r="X2047" s="142" t="s">
        <v>7934</v>
      </c>
      <c r="Y2047" s="143"/>
      <c r="Z2047" s="143"/>
      <c r="AA2047" s="143"/>
      <c r="AB2047" s="144"/>
      <c r="AC2047" s="16" t="s">
        <v>21</v>
      </c>
      <c r="AD2047" s="17" t="s">
        <v>1613</v>
      </c>
      <c r="AE2047" s="145" t="s">
        <v>7935</v>
      </c>
      <c r="AF2047" s="146"/>
      <c r="AG2047" s="146"/>
      <c r="AH2047" s="146"/>
      <c r="AI2047" s="147"/>
      <c r="AJ2047" s="148"/>
      <c r="AK2047" s="143"/>
      <c r="AL2047" s="144"/>
      <c r="AM2047" s="22"/>
      <c r="AN2047" s="149" t="s">
        <v>11801</v>
      </c>
      <c r="AO2047" s="144"/>
      <c r="AP2047" s="148">
        <v>2081</v>
      </c>
      <c r="AQ2047" s="144"/>
      <c r="AR2047" s="120"/>
      <c r="AS2047" s="121"/>
      <c r="AT2047" s="120"/>
      <c r="AU2047" s="121"/>
      <c r="AV2047" s="120"/>
      <c r="AW2047" s="121"/>
      <c r="AX2047" s="120"/>
      <c r="AY2047" s="121"/>
      <c r="AZ2047" s="138"/>
    </row>
    <row r="2048" spans="1:52" ht="17.100000000000001" customHeight="1" thickTop="1">
      <c r="A2048" s="109" t="s">
        <v>6987</v>
      </c>
      <c r="B2048" s="28">
        <v>45933</v>
      </c>
      <c r="C2048" s="25">
        <v>2104</v>
      </c>
      <c r="D2048" s="13" t="s">
        <v>2157</v>
      </c>
      <c r="E2048" s="111"/>
      <c r="F2048" s="113" t="s">
        <v>5494</v>
      </c>
      <c r="G2048" s="114"/>
      <c r="H2048" s="115"/>
      <c r="I2048" s="24"/>
      <c r="J2048" s="116">
        <v>4.5</v>
      </c>
      <c r="K2048" s="118">
        <v>435000</v>
      </c>
      <c r="L2048" s="119"/>
      <c r="M2048" s="118">
        <f t="shared" ref="M2048" si="155">K2048*0.1</f>
        <v>43500</v>
      </c>
      <c r="N2048" s="119"/>
      <c r="O2048" s="118">
        <v>0</v>
      </c>
      <c r="P2048" s="119"/>
      <c r="Q2048" s="118">
        <v>9210</v>
      </c>
      <c r="R2048" s="119"/>
      <c r="S2048" s="118">
        <v>16500</v>
      </c>
      <c r="T2048" s="119"/>
      <c r="U2048" s="118">
        <f t="shared" ref="U2048" si="156">SUM(K2048:T2049)</f>
        <v>504210</v>
      </c>
      <c r="V2048" s="122"/>
      <c r="W2048" s="124"/>
      <c r="X2048" s="126" t="s">
        <v>7540</v>
      </c>
      <c r="Y2048" s="127"/>
      <c r="Z2048" s="127"/>
      <c r="AA2048" s="127"/>
      <c r="AB2048" s="128"/>
      <c r="AC2048" s="15" t="s">
        <v>20</v>
      </c>
      <c r="AD2048" s="129" t="s">
        <v>1732</v>
      </c>
      <c r="AE2048" s="130"/>
      <c r="AF2048" s="130"/>
      <c r="AG2048" s="130"/>
      <c r="AH2048" s="130"/>
      <c r="AI2048" s="131"/>
      <c r="AJ2048" s="132"/>
      <c r="AK2048" s="127"/>
      <c r="AL2048" s="128"/>
      <c r="AM2048" s="21"/>
      <c r="AN2048" s="133">
        <v>45937</v>
      </c>
      <c r="AO2048" s="134"/>
      <c r="AP2048" s="135">
        <v>1912</v>
      </c>
      <c r="AQ2048" s="136"/>
      <c r="AR2048" s="118">
        <v>493000</v>
      </c>
      <c r="AS2048" s="119"/>
      <c r="AT2048" s="118">
        <v>49300</v>
      </c>
      <c r="AU2048" s="119"/>
      <c r="AV2048" s="118">
        <v>9210</v>
      </c>
      <c r="AW2048" s="119"/>
      <c r="AX2048" s="118">
        <f t="shared" ref="AX2048" si="157">SUM(AR2048:AW2048)</f>
        <v>551510</v>
      </c>
      <c r="AY2048" s="119"/>
      <c r="AZ2048" s="137"/>
    </row>
    <row r="2049" spans="1:52" ht="17.100000000000001" customHeight="1" thickBot="1">
      <c r="A2049" s="110"/>
      <c r="B2049" s="27" t="s">
        <v>1543</v>
      </c>
      <c r="C2049" s="27">
        <v>55360</v>
      </c>
      <c r="D2049" s="14" t="s">
        <v>1720</v>
      </c>
      <c r="E2049" s="112"/>
      <c r="F2049" s="139" t="s">
        <v>7002</v>
      </c>
      <c r="G2049" s="140"/>
      <c r="H2049" s="141"/>
      <c r="I2049" s="26">
        <v>25100</v>
      </c>
      <c r="J2049" s="117"/>
      <c r="K2049" s="120"/>
      <c r="L2049" s="121"/>
      <c r="M2049" s="120"/>
      <c r="N2049" s="121"/>
      <c r="O2049" s="120"/>
      <c r="P2049" s="121"/>
      <c r="Q2049" s="120"/>
      <c r="R2049" s="121"/>
      <c r="S2049" s="120"/>
      <c r="T2049" s="121"/>
      <c r="U2049" s="120"/>
      <c r="V2049" s="123"/>
      <c r="W2049" s="125"/>
      <c r="X2049" s="142" t="s">
        <v>7541</v>
      </c>
      <c r="Y2049" s="143"/>
      <c r="Z2049" s="143"/>
      <c r="AA2049" s="143"/>
      <c r="AB2049" s="144"/>
      <c r="AC2049" s="16" t="s">
        <v>21</v>
      </c>
      <c r="AD2049" s="17" t="s">
        <v>1613</v>
      </c>
      <c r="AE2049" s="145" t="s">
        <v>2750</v>
      </c>
      <c r="AF2049" s="146"/>
      <c r="AG2049" s="146"/>
      <c r="AH2049" s="146"/>
      <c r="AI2049" s="147"/>
      <c r="AJ2049" s="148"/>
      <c r="AK2049" s="143"/>
      <c r="AL2049" s="144"/>
      <c r="AM2049" s="22"/>
      <c r="AN2049" s="149" t="s">
        <v>2131</v>
      </c>
      <c r="AO2049" s="144"/>
      <c r="AP2049" s="148">
        <v>3241</v>
      </c>
      <c r="AQ2049" s="144"/>
      <c r="AR2049" s="120"/>
      <c r="AS2049" s="121"/>
      <c r="AT2049" s="120"/>
      <c r="AU2049" s="121"/>
      <c r="AV2049" s="120"/>
      <c r="AW2049" s="121"/>
      <c r="AX2049" s="120"/>
      <c r="AY2049" s="121"/>
      <c r="AZ2049" s="138"/>
    </row>
    <row r="2050" spans="1:52" ht="17.100000000000001" customHeight="1" thickTop="1">
      <c r="A2050" s="109" t="s">
        <v>6988</v>
      </c>
      <c r="B2050" s="28">
        <v>45933</v>
      </c>
      <c r="C2050" s="25">
        <v>2104</v>
      </c>
      <c r="D2050" s="13" t="s">
        <v>1712</v>
      </c>
      <c r="E2050" s="111"/>
      <c r="F2050" s="113" t="s">
        <v>7003</v>
      </c>
      <c r="G2050" s="114"/>
      <c r="H2050" s="115"/>
      <c r="I2050" s="24" t="s">
        <v>2526</v>
      </c>
      <c r="J2050" s="116">
        <v>4</v>
      </c>
      <c r="K2050" s="118">
        <v>625000</v>
      </c>
      <c r="L2050" s="119"/>
      <c r="M2050" s="118">
        <f t="shared" ref="M2050" si="158">K2050*0.1</f>
        <v>62500</v>
      </c>
      <c r="N2050" s="119"/>
      <c r="O2050" s="118">
        <v>0</v>
      </c>
      <c r="P2050" s="119"/>
      <c r="Q2050" s="118">
        <v>8850</v>
      </c>
      <c r="R2050" s="119"/>
      <c r="S2050" s="118">
        <v>16500</v>
      </c>
      <c r="T2050" s="119"/>
      <c r="U2050" s="118">
        <f t="shared" ref="U2050" si="159">SUM(K2050:T2051)</f>
        <v>712850</v>
      </c>
      <c r="V2050" s="122"/>
      <c r="W2050" s="124"/>
      <c r="X2050" s="126" t="s">
        <v>7050</v>
      </c>
      <c r="Y2050" s="127"/>
      <c r="Z2050" s="127"/>
      <c r="AA2050" s="127"/>
      <c r="AB2050" s="128"/>
      <c r="AC2050" s="15" t="s">
        <v>20</v>
      </c>
      <c r="AD2050" s="129" t="s">
        <v>2198</v>
      </c>
      <c r="AE2050" s="130"/>
      <c r="AF2050" s="130"/>
      <c r="AG2050" s="130"/>
      <c r="AH2050" s="130"/>
      <c r="AI2050" s="131"/>
      <c r="AJ2050" s="132"/>
      <c r="AK2050" s="127"/>
      <c r="AL2050" s="128"/>
      <c r="AM2050" s="21"/>
      <c r="AN2050" s="133">
        <v>45941</v>
      </c>
      <c r="AO2050" s="134"/>
      <c r="AP2050" s="135">
        <v>1271</v>
      </c>
      <c r="AQ2050" s="136"/>
      <c r="AR2050" s="118">
        <v>685000</v>
      </c>
      <c r="AS2050" s="119"/>
      <c r="AT2050" s="118">
        <v>68500</v>
      </c>
      <c r="AU2050" s="119"/>
      <c r="AV2050" s="118">
        <v>8850</v>
      </c>
      <c r="AW2050" s="119"/>
      <c r="AX2050" s="118">
        <f t="shared" ref="AX2050" si="160">SUM(AR2050:AW2050)</f>
        <v>762350</v>
      </c>
      <c r="AY2050" s="119"/>
      <c r="AZ2050" s="137">
        <v>45944</v>
      </c>
    </row>
    <row r="2051" spans="1:52" ht="17.100000000000001" customHeight="1" thickBot="1">
      <c r="A2051" s="110"/>
      <c r="B2051" s="27" t="s">
        <v>1543</v>
      </c>
      <c r="C2051" s="27">
        <v>55415</v>
      </c>
      <c r="D2051" s="14" t="s">
        <v>275</v>
      </c>
      <c r="E2051" s="112"/>
      <c r="F2051" s="139" t="s">
        <v>7004</v>
      </c>
      <c r="G2051" s="140"/>
      <c r="H2051" s="141"/>
      <c r="I2051" s="26">
        <v>44120</v>
      </c>
      <c r="J2051" s="117"/>
      <c r="K2051" s="120"/>
      <c r="L2051" s="121"/>
      <c r="M2051" s="120"/>
      <c r="N2051" s="121"/>
      <c r="O2051" s="120"/>
      <c r="P2051" s="121"/>
      <c r="Q2051" s="120"/>
      <c r="R2051" s="121"/>
      <c r="S2051" s="120"/>
      <c r="T2051" s="121"/>
      <c r="U2051" s="120"/>
      <c r="V2051" s="123"/>
      <c r="W2051" s="125"/>
      <c r="X2051" s="142" t="s">
        <v>7936</v>
      </c>
      <c r="Y2051" s="143"/>
      <c r="Z2051" s="143"/>
      <c r="AA2051" s="143"/>
      <c r="AB2051" s="144"/>
      <c r="AC2051" s="16" t="s">
        <v>21</v>
      </c>
      <c r="AD2051" s="17" t="s">
        <v>1613</v>
      </c>
      <c r="AE2051" s="145" t="s">
        <v>8039</v>
      </c>
      <c r="AF2051" s="146"/>
      <c r="AG2051" s="146"/>
      <c r="AH2051" s="146"/>
      <c r="AI2051" s="147"/>
      <c r="AJ2051" s="148"/>
      <c r="AK2051" s="143"/>
      <c r="AL2051" s="144"/>
      <c r="AM2051" s="22"/>
      <c r="AN2051" s="149" t="s">
        <v>2511</v>
      </c>
      <c r="AO2051" s="144"/>
      <c r="AP2051" s="148">
        <v>60025</v>
      </c>
      <c r="AQ2051" s="144"/>
      <c r="AR2051" s="120"/>
      <c r="AS2051" s="121"/>
      <c r="AT2051" s="120"/>
      <c r="AU2051" s="121"/>
      <c r="AV2051" s="120"/>
      <c r="AW2051" s="121"/>
      <c r="AX2051" s="120"/>
      <c r="AY2051" s="121"/>
      <c r="AZ2051" s="138"/>
    </row>
    <row r="2052" spans="1:52" ht="17.100000000000001" customHeight="1" thickTop="1">
      <c r="A2052" s="109" t="s">
        <v>6989</v>
      </c>
      <c r="B2052" s="28">
        <v>45933</v>
      </c>
      <c r="C2052" s="25">
        <v>2104</v>
      </c>
      <c r="D2052" s="13" t="s">
        <v>7051</v>
      </c>
      <c r="E2052" s="111"/>
      <c r="F2052" s="113" t="s">
        <v>7005</v>
      </c>
      <c r="G2052" s="114"/>
      <c r="H2052" s="115"/>
      <c r="I2052" s="24" t="s">
        <v>2112</v>
      </c>
      <c r="J2052" s="116">
        <v>4.5</v>
      </c>
      <c r="K2052" s="118">
        <v>350000</v>
      </c>
      <c r="L2052" s="119"/>
      <c r="M2052" s="118">
        <f t="shared" ref="M2052" si="161">K2052*0.1</f>
        <v>35000</v>
      </c>
      <c r="N2052" s="119"/>
      <c r="O2052" s="118">
        <v>0</v>
      </c>
      <c r="P2052" s="119"/>
      <c r="Q2052" s="118">
        <v>9070</v>
      </c>
      <c r="R2052" s="119"/>
      <c r="S2052" s="118">
        <v>16500</v>
      </c>
      <c r="T2052" s="119"/>
      <c r="U2052" s="118">
        <f t="shared" ref="U2052" si="162">SUM(K2052:T2053)</f>
        <v>410570</v>
      </c>
      <c r="V2052" s="122"/>
      <c r="W2052" s="124"/>
      <c r="X2052" s="126" t="s">
        <v>7052</v>
      </c>
      <c r="Y2052" s="127"/>
      <c r="Z2052" s="127"/>
      <c r="AA2052" s="127"/>
      <c r="AB2052" s="128"/>
      <c r="AC2052" s="15" t="s">
        <v>20</v>
      </c>
      <c r="AD2052" s="129"/>
      <c r="AE2052" s="130"/>
      <c r="AF2052" s="130"/>
      <c r="AG2052" s="130"/>
      <c r="AH2052" s="130"/>
      <c r="AI2052" s="131"/>
      <c r="AJ2052" s="132"/>
      <c r="AK2052" s="127"/>
      <c r="AL2052" s="128"/>
      <c r="AM2052" s="21"/>
      <c r="AN2052" s="133">
        <v>45951</v>
      </c>
      <c r="AO2052" s="134"/>
      <c r="AP2052" s="135">
        <v>1914</v>
      </c>
      <c r="AQ2052" s="136"/>
      <c r="AR2052" s="118">
        <v>391000</v>
      </c>
      <c r="AS2052" s="119"/>
      <c r="AT2052" s="118">
        <f t="shared" ref="AT2052" si="163">AR2052*0.1</f>
        <v>39100</v>
      </c>
      <c r="AU2052" s="119"/>
      <c r="AV2052" s="118">
        <v>9070</v>
      </c>
      <c r="AW2052" s="119"/>
      <c r="AX2052" s="118">
        <f t="shared" ref="AX2052" si="164">SUM(AR2052:AW2052)</f>
        <v>439170</v>
      </c>
      <c r="AY2052" s="119"/>
      <c r="AZ2052" s="137">
        <v>45957</v>
      </c>
    </row>
    <row r="2053" spans="1:52" ht="17.100000000000001" customHeight="1" thickBot="1">
      <c r="A2053" s="110"/>
      <c r="B2053" s="27" t="s">
        <v>1543</v>
      </c>
      <c r="C2053" s="27">
        <v>55444</v>
      </c>
      <c r="D2053" s="14" t="s">
        <v>3855</v>
      </c>
      <c r="E2053" s="112"/>
      <c r="F2053" s="139" t="s">
        <v>7006</v>
      </c>
      <c r="G2053" s="140"/>
      <c r="H2053" s="141"/>
      <c r="I2053" s="26">
        <v>54856</v>
      </c>
      <c r="J2053" s="117"/>
      <c r="K2053" s="120"/>
      <c r="L2053" s="121"/>
      <c r="M2053" s="120"/>
      <c r="N2053" s="121"/>
      <c r="O2053" s="120"/>
      <c r="P2053" s="121"/>
      <c r="Q2053" s="120"/>
      <c r="R2053" s="121"/>
      <c r="S2053" s="120"/>
      <c r="T2053" s="121"/>
      <c r="U2053" s="120"/>
      <c r="V2053" s="123"/>
      <c r="W2053" s="125"/>
      <c r="X2053" s="142" t="s">
        <v>7943</v>
      </c>
      <c r="Y2053" s="143"/>
      <c r="Z2053" s="143"/>
      <c r="AA2053" s="143"/>
      <c r="AB2053" s="144"/>
      <c r="AC2053" s="16" t="s">
        <v>21</v>
      </c>
      <c r="AD2053" s="17" t="s">
        <v>1613</v>
      </c>
      <c r="AE2053" s="145" t="s">
        <v>171</v>
      </c>
      <c r="AF2053" s="146"/>
      <c r="AG2053" s="146"/>
      <c r="AH2053" s="146"/>
      <c r="AI2053" s="147"/>
      <c r="AJ2053" s="148"/>
      <c r="AK2053" s="143"/>
      <c r="AL2053" s="144"/>
      <c r="AM2053" s="22"/>
      <c r="AN2053" s="149" t="s">
        <v>2131</v>
      </c>
      <c r="AO2053" s="144"/>
      <c r="AP2053" s="148">
        <v>3131</v>
      </c>
      <c r="AQ2053" s="144"/>
      <c r="AR2053" s="120"/>
      <c r="AS2053" s="121"/>
      <c r="AT2053" s="120"/>
      <c r="AU2053" s="121"/>
      <c r="AV2053" s="120"/>
      <c r="AW2053" s="121"/>
      <c r="AX2053" s="120"/>
      <c r="AY2053" s="121"/>
      <c r="AZ2053" s="138"/>
    </row>
    <row r="2054" spans="1:52" ht="17.100000000000001" customHeight="1" thickTop="1">
      <c r="A2054" s="109" t="s">
        <v>6990</v>
      </c>
      <c r="B2054" s="28">
        <v>45933</v>
      </c>
      <c r="C2054" s="25">
        <v>2104</v>
      </c>
      <c r="D2054" s="13" t="s">
        <v>1642</v>
      </c>
      <c r="E2054" s="111"/>
      <c r="F2054" s="113" t="s">
        <v>4414</v>
      </c>
      <c r="G2054" s="114"/>
      <c r="H2054" s="115"/>
      <c r="I2054" s="24" t="s">
        <v>4061</v>
      </c>
      <c r="J2054" s="116">
        <v>4.5</v>
      </c>
      <c r="K2054" s="118">
        <v>1280000</v>
      </c>
      <c r="L2054" s="119"/>
      <c r="M2054" s="118">
        <f t="shared" ref="M2054" si="165">K2054*0.1</f>
        <v>128000</v>
      </c>
      <c r="N2054" s="119"/>
      <c r="O2054" s="118">
        <v>0</v>
      </c>
      <c r="P2054" s="119"/>
      <c r="Q2054" s="118">
        <v>6830</v>
      </c>
      <c r="R2054" s="119"/>
      <c r="S2054" s="118">
        <v>16500</v>
      </c>
      <c r="T2054" s="119"/>
      <c r="U2054" s="118">
        <f t="shared" ref="U2054" si="166">SUM(K2054:T2055)</f>
        <v>1431330</v>
      </c>
      <c r="V2054" s="122"/>
      <c r="W2054" s="124"/>
      <c r="X2054" s="126" t="s">
        <v>7053</v>
      </c>
      <c r="Y2054" s="127"/>
      <c r="Z2054" s="127"/>
      <c r="AA2054" s="127"/>
      <c r="AB2054" s="128"/>
      <c r="AC2054" s="15" t="s">
        <v>20</v>
      </c>
      <c r="AD2054" s="129"/>
      <c r="AE2054" s="130"/>
      <c r="AF2054" s="130"/>
      <c r="AG2054" s="130"/>
      <c r="AH2054" s="130"/>
      <c r="AI2054" s="131"/>
      <c r="AJ2054" s="132"/>
      <c r="AK2054" s="127"/>
      <c r="AL2054" s="128"/>
      <c r="AM2054" s="21" t="s">
        <v>11063</v>
      </c>
      <c r="AN2054" s="133">
        <v>45987</v>
      </c>
      <c r="AO2054" s="134"/>
      <c r="AP2054" s="135">
        <v>994</v>
      </c>
      <c r="AQ2054" s="136"/>
      <c r="AR2054" s="118">
        <v>1330000</v>
      </c>
      <c r="AS2054" s="119"/>
      <c r="AT2054" s="118">
        <f t="shared" ref="AT2054" si="167">AR2054*0.1</f>
        <v>133000</v>
      </c>
      <c r="AU2054" s="119"/>
      <c r="AV2054" s="118">
        <v>6830</v>
      </c>
      <c r="AW2054" s="119"/>
      <c r="AX2054" s="118">
        <f t="shared" ref="AX2054" si="168">SUM(AR2054:AW2054)</f>
        <v>1469830</v>
      </c>
      <c r="AY2054" s="119"/>
      <c r="AZ2054" s="137">
        <v>45992</v>
      </c>
    </row>
    <row r="2055" spans="1:52" ht="17.100000000000001" customHeight="1" thickBot="1">
      <c r="A2055" s="110"/>
      <c r="B2055" s="27" t="s">
        <v>1543</v>
      </c>
      <c r="C2055" s="27">
        <v>55469</v>
      </c>
      <c r="D2055" s="14" t="s">
        <v>2601</v>
      </c>
      <c r="E2055" s="112"/>
      <c r="F2055" s="139" t="s">
        <v>7007</v>
      </c>
      <c r="G2055" s="140"/>
      <c r="H2055" s="141"/>
      <c r="I2055" s="26">
        <v>59880</v>
      </c>
      <c r="J2055" s="117"/>
      <c r="K2055" s="120"/>
      <c r="L2055" s="121"/>
      <c r="M2055" s="120"/>
      <c r="N2055" s="121"/>
      <c r="O2055" s="120"/>
      <c r="P2055" s="121"/>
      <c r="Q2055" s="120"/>
      <c r="R2055" s="121"/>
      <c r="S2055" s="120"/>
      <c r="T2055" s="121"/>
      <c r="U2055" s="120"/>
      <c r="V2055" s="123"/>
      <c r="W2055" s="125"/>
      <c r="X2055" s="142" t="s">
        <v>7939</v>
      </c>
      <c r="Y2055" s="143"/>
      <c r="Z2055" s="143"/>
      <c r="AA2055" s="143"/>
      <c r="AB2055" s="144"/>
      <c r="AC2055" s="16" t="s">
        <v>21</v>
      </c>
      <c r="AD2055" s="17" t="s">
        <v>1613</v>
      </c>
      <c r="AE2055" s="145" t="s">
        <v>2395</v>
      </c>
      <c r="AF2055" s="146"/>
      <c r="AG2055" s="146"/>
      <c r="AH2055" s="146"/>
      <c r="AI2055" s="147"/>
      <c r="AJ2055" s="148"/>
      <c r="AK2055" s="143"/>
      <c r="AL2055" s="144"/>
      <c r="AM2055" s="22"/>
      <c r="AN2055" s="149" t="s">
        <v>11801</v>
      </c>
      <c r="AO2055" s="144"/>
      <c r="AP2055" s="148">
        <v>2049</v>
      </c>
      <c r="AQ2055" s="144"/>
      <c r="AR2055" s="120"/>
      <c r="AS2055" s="121"/>
      <c r="AT2055" s="120"/>
      <c r="AU2055" s="121"/>
      <c r="AV2055" s="120"/>
      <c r="AW2055" s="121"/>
      <c r="AX2055" s="120"/>
      <c r="AY2055" s="121"/>
      <c r="AZ2055" s="138"/>
    </row>
    <row r="2056" spans="1:52" ht="17.100000000000001" customHeight="1" thickTop="1">
      <c r="A2056" s="109" t="s">
        <v>6991</v>
      </c>
      <c r="B2056" s="28">
        <v>45933</v>
      </c>
      <c r="C2056" s="25">
        <v>2104</v>
      </c>
      <c r="D2056" s="13" t="s">
        <v>1958</v>
      </c>
      <c r="E2056" s="111"/>
      <c r="F2056" s="113" t="s">
        <v>4436</v>
      </c>
      <c r="G2056" s="114"/>
      <c r="H2056" s="115"/>
      <c r="I2056" s="24" t="s">
        <v>2919</v>
      </c>
      <c r="J2056" s="116">
        <v>4.5</v>
      </c>
      <c r="K2056" s="118">
        <v>900000</v>
      </c>
      <c r="L2056" s="119"/>
      <c r="M2056" s="118">
        <f t="shared" ref="M2056" si="169">K2056*0.1</f>
        <v>90000</v>
      </c>
      <c r="N2056" s="119"/>
      <c r="O2056" s="118">
        <v>0</v>
      </c>
      <c r="P2056" s="119"/>
      <c r="Q2056" s="118">
        <v>9200</v>
      </c>
      <c r="R2056" s="119"/>
      <c r="S2056" s="118">
        <v>16500</v>
      </c>
      <c r="T2056" s="119"/>
      <c r="U2056" s="118">
        <f t="shared" ref="U2056" si="170">SUM(K2056:T2057)</f>
        <v>1015700</v>
      </c>
      <c r="V2056" s="122"/>
      <c r="W2056" s="124"/>
      <c r="X2056" s="126" t="s">
        <v>7963</v>
      </c>
      <c r="Y2056" s="127"/>
      <c r="Z2056" s="127"/>
      <c r="AA2056" s="127"/>
      <c r="AB2056" s="128"/>
      <c r="AC2056" s="15" t="s">
        <v>20</v>
      </c>
      <c r="AD2056" s="129" t="s">
        <v>3896</v>
      </c>
      <c r="AE2056" s="130"/>
      <c r="AF2056" s="130"/>
      <c r="AG2056" s="130"/>
      <c r="AH2056" s="130"/>
      <c r="AI2056" s="131"/>
      <c r="AJ2056" s="132"/>
      <c r="AK2056" s="127"/>
      <c r="AL2056" s="128"/>
      <c r="AM2056" s="21" t="s">
        <v>10038</v>
      </c>
      <c r="AN2056" s="133">
        <v>45962</v>
      </c>
      <c r="AO2056" s="134"/>
      <c r="AP2056" s="135">
        <v>1274</v>
      </c>
      <c r="AQ2056" s="136"/>
      <c r="AR2056" s="118">
        <v>975000</v>
      </c>
      <c r="AS2056" s="119"/>
      <c r="AT2056" s="118">
        <f t="shared" ref="AT2056" si="171">AR2056*0.1</f>
        <v>97500</v>
      </c>
      <c r="AU2056" s="119"/>
      <c r="AV2056" s="118">
        <v>9200</v>
      </c>
      <c r="AW2056" s="119"/>
      <c r="AX2056" s="118">
        <f t="shared" ref="AX2056" si="172">SUM(AR2056:AW2056)</f>
        <v>1081700</v>
      </c>
      <c r="AY2056" s="119"/>
      <c r="AZ2056" s="137">
        <v>45967</v>
      </c>
    </row>
    <row r="2057" spans="1:52" ht="17.100000000000001" customHeight="1" thickBot="1">
      <c r="A2057" s="110"/>
      <c r="B2057" s="27" t="s">
        <v>1543</v>
      </c>
      <c r="C2057" s="27">
        <v>55470</v>
      </c>
      <c r="D2057" s="14" t="s">
        <v>275</v>
      </c>
      <c r="E2057" s="112"/>
      <c r="F2057" s="139" t="s">
        <v>7008</v>
      </c>
      <c r="G2057" s="140"/>
      <c r="H2057" s="141"/>
      <c r="I2057" s="26">
        <v>53500</v>
      </c>
      <c r="J2057" s="117"/>
      <c r="K2057" s="120"/>
      <c r="L2057" s="121"/>
      <c r="M2057" s="120"/>
      <c r="N2057" s="121"/>
      <c r="O2057" s="120"/>
      <c r="P2057" s="121"/>
      <c r="Q2057" s="120"/>
      <c r="R2057" s="121"/>
      <c r="S2057" s="120"/>
      <c r="T2057" s="121"/>
      <c r="U2057" s="120"/>
      <c r="V2057" s="123"/>
      <c r="W2057" s="125"/>
      <c r="X2057" s="142" t="s">
        <v>7964</v>
      </c>
      <c r="Y2057" s="143"/>
      <c r="Z2057" s="143"/>
      <c r="AA2057" s="143"/>
      <c r="AB2057" s="144"/>
      <c r="AC2057" s="16" t="s">
        <v>21</v>
      </c>
      <c r="AD2057" s="17" t="s">
        <v>2604</v>
      </c>
      <c r="AE2057" s="145" t="s">
        <v>8515</v>
      </c>
      <c r="AF2057" s="146"/>
      <c r="AG2057" s="146"/>
      <c r="AH2057" s="146"/>
      <c r="AI2057" s="147"/>
      <c r="AJ2057" s="148"/>
      <c r="AK2057" s="143"/>
      <c r="AL2057" s="144"/>
      <c r="AM2057" s="22"/>
      <c r="AN2057" s="149" t="s">
        <v>2511</v>
      </c>
      <c r="AO2057" s="144"/>
      <c r="AP2057" s="148">
        <v>60060</v>
      </c>
      <c r="AQ2057" s="144"/>
      <c r="AR2057" s="120"/>
      <c r="AS2057" s="121"/>
      <c r="AT2057" s="120"/>
      <c r="AU2057" s="121"/>
      <c r="AV2057" s="120"/>
      <c r="AW2057" s="121"/>
      <c r="AX2057" s="120"/>
      <c r="AY2057" s="121"/>
      <c r="AZ2057" s="138"/>
    </row>
    <row r="2058" spans="1:52" ht="17.100000000000001" customHeight="1" thickTop="1">
      <c r="A2058" s="109" t="s">
        <v>7009</v>
      </c>
      <c r="B2058" s="28">
        <v>45933</v>
      </c>
      <c r="C2058" s="25">
        <v>2104</v>
      </c>
      <c r="D2058" s="13" t="s">
        <v>3381</v>
      </c>
      <c r="E2058" s="111"/>
      <c r="F2058" s="113" t="s">
        <v>7054</v>
      </c>
      <c r="G2058" s="114"/>
      <c r="H2058" s="115"/>
      <c r="I2058" s="24" t="s">
        <v>3838</v>
      </c>
      <c r="J2058" s="116">
        <v>4.5</v>
      </c>
      <c r="K2058" s="118">
        <v>2040000</v>
      </c>
      <c r="L2058" s="119"/>
      <c r="M2058" s="118">
        <f t="shared" ref="M2058" si="173">K2058*0.1</f>
        <v>204000</v>
      </c>
      <c r="N2058" s="119"/>
      <c r="O2058" s="118">
        <f>16400+1640</f>
        <v>18040</v>
      </c>
      <c r="P2058" s="119"/>
      <c r="Q2058" s="118">
        <v>13210</v>
      </c>
      <c r="R2058" s="119"/>
      <c r="S2058" s="118">
        <v>16500</v>
      </c>
      <c r="T2058" s="119"/>
      <c r="U2058" s="118">
        <f t="shared" ref="U2058" si="174">SUM(K2058:T2059)</f>
        <v>2291750</v>
      </c>
      <c r="V2058" s="122"/>
      <c r="W2058" s="124"/>
      <c r="X2058" s="126" t="s">
        <v>7056</v>
      </c>
      <c r="Y2058" s="127"/>
      <c r="Z2058" s="127"/>
      <c r="AA2058" s="127"/>
      <c r="AB2058" s="128"/>
      <c r="AC2058" s="15" t="s">
        <v>20</v>
      </c>
      <c r="AD2058" s="129" t="s">
        <v>7905</v>
      </c>
      <c r="AE2058" s="130"/>
      <c r="AF2058" s="130"/>
      <c r="AG2058" s="130"/>
      <c r="AH2058" s="130"/>
      <c r="AI2058" s="131"/>
      <c r="AJ2058" s="132"/>
      <c r="AK2058" s="127"/>
      <c r="AL2058" s="128"/>
      <c r="AM2058" s="21"/>
      <c r="AN2058" s="133"/>
      <c r="AO2058" s="134"/>
      <c r="AP2058" s="135"/>
      <c r="AQ2058" s="136"/>
      <c r="AR2058" s="118"/>
      <c r="AS2058" s="119"/>
      <c r="AT2058" s="118">
        <f t="shared" ref="AT2058" si="175">AR2058*0.1</f>
        <v>0</v>
      </c>
      <c r="AU2058" s="119"/>
      <c r="AV2058" s="118"/>
      <c r="AW2058" s="119"/>
      <c r="AX2058" s="118">
        <f t="shared" ref="AX2058" si="176">SUM(AR2058:AW2058)</f>
        <v>0</v>
      </c>
      <c r="AY2058" s="119"/>
      <c r="AZ2058" s="137"/>
    </row>
    <row r="2059" spans="1:52" ht="17.100000000000001" customHeight="1" thickBot="1">
      <c r="A2059" s="110"/>
      <c r="B2059" s="27" t="s">
        <v>1543</v>
      </c>
      <c r="C2059" s="27">
        <v>58395</v>
      </c>
      <c r="D2059" s="14" t="s">
        <v>2601</v>
      </c>
      <c r="E2059" s="112"/>
      <c r="F2059" s="139" t="s">
        <v>7055</v>
      </c>
      <c r="G2059" s="140"/>
      <c r="H2059" s="141"/>
      <c r="I2059" s="26">
        <v>52023</v>
      </c>
      <c r="J2059" s="117"/>
      <c r="K2059" s="120"/>
      <c r="L2059" s="121"/>
      <c r="M2059" s="120"/>
      <c r="N2059" s="121"/>
      <c r="O2059" s="120"/>
      <c r="P2059" s="121"/>
      <c r="Q2059" s="120"/>
      <c r="R2059" s="121"/>
      <c r="S2059" s="120"/>
      <c r="T2059" s="121"/>
      <c r="U2059" s="120"/>
      <c r="V2059" s="123"/>
      <c r="W2059" s="125"/>
      <c r="X2059" s="142" t="s">
        <v>7903</v>
      </c>
      <c r="Y2059" s="143"/>
      <c r="Z2059" s="143"/>
      <c r="AA2059" s="143"/>
      <c r="AB2059" s="144"/>
      <c r="AC2059" s="16" t="s">
        <v>21</v>
      </c>
      <c r="AD2059" s="17" t="s">
        <v>1613</v>
      </c>
      <c r="AE2059" s="145" t="s">
        <v>7904</v>
      </c>
      <c r="AF2059" s="146"/>
      <c r="AG2059" s="146"/>
      <c r="AH2059" s="146"/>
      <c r="AI2059" s="147"/>
      <c r="AJ2059" s="148"/>
      <c r="AK2059" s="143"/>
      <c r="AL2059" s="144"/>
      <c r="AM2059" s="22" t="s">
        <v>3483</v>
      </c>
      <c r="AN2059" s="149"/>
      <c r="AO2059" s="144"/>
      <c r="AP2059" s="148"/>
      <c r="AQ2059" s="144"/>
      <c r="AR2059" s="120"/>
      <c r="AS2059" s="121"/>
      <c r="AT2059" s="120"/>
      <c r="AU2059" s="121"/>
      <c r="AV2059" s="120"/>
      <c r="AW2059" s="121"/>
      <c r="AX2059" s="120"/>
      <c r="AY2059" s="121"/>
      <c r="AZ2059" s="138"/>
    </row>
    <row r="2060" spans="1:52" ht="17.100000000000001" customHeight="1" thickTop="1">
      <c r="A2060" s="109" t="s">
        <v>7010</v>
      </c>
      <c r="B2060" s="28">
        <v>45933</v>
      </c>
      <c r="C2060" s="25">
        <v>2104</v>
      </c>
      <c r="D2060" s="13" t="s">
        <v>4860</v>
      </c>
      <c r="E2060" s="111"/>
      <c r="F2060" s="113" t="s">
        <v>4218</v>
      </c>
      <c r="G2060" s="114"/>
      <c r="H2060" s="115"/>
      <c r="I2060" s="24"/>
      <c r="J2060" s="116">
        <v>4</v>
      </c>
      <c r="K2060" s="118">
        <v>255000</v>
      </c>
      <c r="L2060" s="119"/>
      <c r="M2060" s="118">
        <f t="shared" ref="M2060" si="177">K2060*0.1</f>
        <v>25500</v>
      </c>
      <c r="N2060" s="119"/>
      <c r="O2060" s="118">
        <v>0</v>
      </c>
      <c r="P2060" s="119"/>
      <c r="Q2060" s="118">
        <v>8460</v>
      </c>
      <c r="R2060" s="119"/>
      <c r="S2060" s="118">
        <v>16500</v>
      </c>
      <c r="T2060" s="119"/>
      <c r="U2060" s="118">
        <f t="shared" ref="U2060" si="178">SUM(K2060:T2061)</f>
        <v>305460</v>
      </c>
      <c r="V2060" s="122"/>
      <c r="W2060" s="124"/>
      <c r="X2060" s="126" t="s">
        <v>7926</v>
      </c>
      <c r="Y2060" s="127"/>
      <c r="Z2060" s="127"/>
      <c r="AA2060" s="127"/>
      <c r="AB2060" s="128"/>
      <c r="AC2060" s="15" t="s">
        <v>20</v>
      </c>
      <c r="AD2060" s="129" t="s">
        <v>171</v>
      </c>
      <c r="AE2060" s="130"/>
      <c r="AF2060" s="130"/>
      <c r="AG2060" s="130"/>
      <c r="AH2060" s="130"/>
      <c r="AI2060" s="131"/>
      <c r="AJ2060" s="132"/>
      <c r="AK2060" s="127"/>
      <c r="AL2060" s="128"/>
      <c r="AM2060" s="21"/>
      <c r="AN2060" s="133">
        <v>45983</v>
      </c>
      <c r="AO2060" s="134"/>
      <c r="AP2060" s="135">
        <v>1277</v>
      </c>
      <c r="AQ2060" s="136"/>
      <c r="AR2060" s="118">
        <v>256000</v>
      </c>
      <c r="AS2060" s="119"/>
      <c r="AT2060" s="118">
        <f t="shared" ref="AT2060" si="179">AR2060*0.1</f>
        <v>25600</v>
      </c>
      <c r="AU2060" s="119"/>
      <c r="AV2060" s="118">
        <v>8460</v>
      </c>
      <c r="AW2060" s="119"/>
      <c r="AX2060" s="118">
        <f t="shared" ref="AX2060" si="180">SUM(AR2060:AW2060)</f>
        <v>290060</v>
      </c>
      <c r="AY2060" s="119"/>
      <c r="AZ2060" s="137">
        <v>45987</v>
      </c>
    </row>
    <row r="2061" spans="1:52" ht="17.100000000000001" customHeight="1" thickBot="1">
      <c r="A2061" s="110"/>
      <c r="B2061" s="27" t="s">
        <v>1543</v>
      </c>
      <c r="C2061" s="27">
        <v>85034</v>
      </c>
      <c r="D2061" s="14" t="s">
        <v>4023</v>
      </c>
      <c r="E2061" s="112"/>
      <c r="F2061" s="139" t="s">
        <v>7016</v>
      </c>
      <c r="G2061" s="140"/>
      <c r="H2061" s="141"/>
      <c r="I2061" s="26">
        <v>48915</v>
      </c>
      <c r="J2061" s="117"/>
      <c r="K2061" s="120"/>
      <c r="L2061" s="121"/>
      <c r="M2061" s="120"/>
      <c r="N2061" s="121"/>
      <c r="O2061" s="120"/>
      <c r="P2061" s="121"/>
      <c r="Q2061" s="120"/>
      <c r="R2061" s="121"/>
      <c r="S2061" s="120"/>
      <c r="T2061" s="121"/>
      <c r="U2061" s="120"/>
      <c r="V2061" s="123"/>
      <c r="W2061" s="125"/>
      <c r="X2061" s="142" t="s">
        <v>7927</v>
      </c>
      <c r="Y2061" s="143"/>
      <c r="Z2061" s="143"/>
      <c r="AA2061" s="143"/>
      <c r="AB2061" s="144"/>
      <c r="AC2061" s="16" t="s">
        <v>21</v>
      </c>
      <c r="AD2061" s="17" t="s">
        <v>1613</v>
      </c>
      <c r="AE2061" s="145" t="s">
        <v>171</v>
      </c>
      <c r="AF2061" s="146"/>
      <c r="AG2061" s="146"/>
      <c r="AH2061" s="146"/>
      <c r="AI2061" s="147"/>
      <c r="AJ2061" s="148"/>
      <c r="AK2061" s="143"/>
      <c r="AL2061" s="144"/>
      <c r="AM2061" s="22"/>
      <c r="AN2061" s="149" t="s">
        <v>7284</v>
      </c>
      <c r="AO2061" s="144"/>
      <c r="AP2061" s="148">
        <v>63099</v>
      </c>
      <c r="AQ2061" s="144"/>
      <c r="AR2061" s="120"/>
      <c r="AS2061" s="121"/>
      <c r="AT2061" s="120"/>
      <c r="AU2061" s="121"/>
      <c r="AV2061" s="120"/>
      <c r="AW2061" s="121"/>
      <c r="AX2061" s="120"/>
      <c r="AY2061" s="121"/>
      <c r="AZ2061" s="138"/>
    </row>
    <row r="2062" spans="1:52" ht="17.100000000000001" customHeight="1" thickTop="1">
      <c r="A2062" s="109" t="s">
        <v>7011</v>
      </c>
      <c r="B2062" s="28">
        <v>45933</v>
      </c>
      <c r="C2062" s="25">
        <v>2104</v>
      </c>
      <c r="D2062" s="13" t="s">
        <v>1695</v>
      </c>
      <c r="E2062" s="111"/>
      <c r="F2062" s="113" t="s">
        <v>7057</v>
      </c>
      <c r="G2062" s="114"/>
      <c r="H2062" s="115"/>
      <c r="I2062" s="24" t="s">
        <v>7058</v>
      </c>
      <c r="J2062" s="116">
        <v>4</v>
      </c>
      <c r="K2062" s="118">
        <v>595000</v>
      </c>
      <c r="L2062" s="119"/>
      <c r="M2062" s="118">
        <f t="shared" ref="M2062" si="181">K2062*0.1</f>
        <v>59500</v>
      </c>
      <c r="N2062" s="119"/>
      <c r="O2062" s="118">
        <v>0</v>
      </c>
      <c r="P2062" s="119"/>
      <c r="Q2062" s="118">
        <v>9670</v>
      </c>
      <c r="R2062" s="119"/>
      <c r="S2062" s="118">
        <v>16500</v>
      </c>
      <c r="T2062" s="119"/>
      <c r="U2062" s="118">
        <f t="shared" ref="U2062" si="182">SUM(K2062:T2063)</f>
        <v>680670</v>
      </c>
      <c r="V2062" s="122"/>
      <c r="W2062" s="124"/>
      <c r="X2062" s="126" t="s">
        <v>7059</v>
      </c>
      <c r="Y2062" s="127"/>
      <c r="Z2062" s="127"/>
      <c r="AA2062" s="127"/>
      <c r="AB2062" s="128"/>
      <c r="AC2062" s="15" t="s">
        <v>20</v>
      </c>
      <c r="AD2062" s="129" t="s">
        <v>1797</v>
      </c>
      <c r="AE2062" s="130"/>
      <c r="AF2062" s="130"/>
      <c r="AG2062" s="130"/>
      <c r="AH2062" s="130"/>
      <c r="AI2062" s="131"/>
      <c r="AJ2062" s="132"/>
      <c r="AK2062" s="127"/>
      <c r="AL2062" s="128"/>
      <c r="AM2062" s="21"/>
      <c r="AN2062" s="133">
        <v>45955</v>
      </c>
      <c r="AO2062" s="134"/>
      <c r="AP2062" s="135">
        <v>1273</v>
      </c>
      <c r="AQ2062" s="136"/>
      <c r="AR2062" s="118">
        <v>630000</v>
      </c>
      <c r="AS2062" s="119"/>
      <c r="AT2062" s="118">
        <f t="shared" ref="AT2062" si="183">AR2062*0.1</f>
        <v>63000</v>
      </c>
      <c r="AU2062" s="119"/>
      <c r="AV2062" s="118">
        <v>9670</v>
      </c>
      <c r="AW2062" s="119"/>
      <c r="AX2062" s="118">
        <f t="shared" ref="AX2062" si="184">SUM(AR2062:AW2062)</f>
        <v>702670</v>
      </c>
      <c r="AY2062" s="119"/>
      <c r="AZ2062" s="137">
        <v>45960</v>
      </c>
    </row>
    <row r="2063" spans="1:52" ht="17.100000000000001" customHeight="1" thickBot="1">
      <c r="A2063" s="110"/>
      <c r="B2063" s="27" t="s">
        <v>1543</v>
      </c>
      <c r="C2063" s="27">
        <v>85037</v>
      </c>
      <c r="D2063" s="14" t="s">
        <v>55</v>
      </c>
      <c r="E2063" s="112"/>
      <c r="F2063" s="139" t="s">
        <v>7017</v>
      </c>
      <c r="G2063" s="140"/>
      <c r="H2063" s="141"/>
      <c r="I2063" s="26">
        <v>58957</v>
      </c>
      <c r="J2063" s="117"/>
      <c r="K2063" s="120"/>
      <c r="L2063" s="121"/>
      <c r="M2063" s="120"/>
      <c r="N2063" s="121"/>
      <c r="O2063" s="120"/>
      <c r="P2063" s="121"/>
      <c r="Q2063" s="120"/>
      <c r="R2063" s="121"/>
      <c r="S2063" s="120"/>
      <c r="T2063" s="121"/>
      <c r="U2063" s="120"/>
      <c r="V2063" s="123"/>
      <c r="W2063" s="125"/>
      <c r="X2063" s="142" t="s">
        <v>8064</v>
      </c>
      <c r="Y2063" s="143"/>
      <c r="Z2063" s="143"/>
      <c r="AA2063" s="143"/>
      <c r="AB2063" s="144"/>
      <c r="AC2063" s="16" t="s">
        <v>21</v>
      </c>
      <c r="AD2063" s="17" t="s">
        <v>8050</v>
      </c>
      <c r="AE2063" s="145" t="s">
        <v>1670</v>
      </c>
      <c r="AF2063" s="146"/>
      <c r="AG2063" s="146"/>
      <c r="AH2063" s="146"/>
      <c r="AI2063" s="147"/>
      <c r="AJ2063" s="148"/>
      <c r="AK2063" s="143"/>
      <c r="AL2063" s="144"/>
      <c r="AM2063" s="22"/>
      <c r="AN2063" s="149" t="s">
        <v>7284</v>
      </c>
      <c r="AO2063" s="144"/>
      <c r="AP2063" s="148">
        <v>60275</v>
      </c>
      <c r="AQ2063" s="144"/>
      <c r="AR2063" s="120"/>
      <c r="AS2063" s="121"/>
      <c r="AT2063" s="120"/>
      <c r="AU2063" s="121"/>
      <c r="AV2063" s="120"/>
      <c r="AW2063" s="121"/>
      <c r="AX2063" s="120"/>
      <c r="AY2063" s="121"/>
      <c r="AZ2063" s="138"/>
    </row>
    <row r="2064" spans="1:52" ht="17.100000000000001" customHeight="1" thickTop="1">
      <c r="A2064" s="109" t="s">
        <v>7012</v>
      </c>
      <c r="B2064" s="28">
        <v>45933</v>
      </c>
      <c r="C2064" s="25">
        <v>2104</v>
      </c>
      <c r="D2064" s="13" t="s">
        <v>1953</v>
      </c>
      <c r="E2064" s="111"/>
      <c r="F2064" s="113" t="s">
        <v>7018</v>
      </c>
      <c r="G2064" s="114"/>
      <c r="H2064" s="115"/>
      <c r="I2064" s="24" t="s">
        <v>3585</v>
      </c>
      <c r="J2064" s="116">
        <v>4.5</v>
      </c>
      <c r="K2064" s="118">
        <v>520000</v>
      </c>
      <c r="L2064" s="119"/>
      <c r="M2064" s="118">
        <f t="shared" ref="M2064" si="185">K2064*0.1</f>
        <v>52000</v>
      </c>
      <c r="N2064" s="119"/>
      <c r="O2064" s="118">
        <v>0</v>
      </c>
      <c r="P2064" s="119"/>
      <c r="Q2064" s="118">
        <v>7140</v>
      </c>
      <c r="R2064" s="119"/>
      <c r="S2064" s="118">
        <v>16500</v>
      </c>
      <c r="T2064" s="119"/>
      <c r="U2064" s="118">
        <f t="shared" ref="U2064" si="186">SUM(K2064:T2065)</f>
        <v>595640</v>
      </c>
      <c r="V2064" s="122"/>
      <c r="W2064" s="124"/>
      <c r="X2064" s="126" t="s">
        <v>7060</v>
      </c>
      <c r="Y2064" s="127"/>
      <c r="Z2064" s="127"/>
      <c r="AA2064" s="127"/>
      <c r="AB2064" s="128"/>
      <c r="AC2064" s="15" t="s">
        <v>20</v>
      </c>
      <c r="AD2064" s="129" t="s">
        <v>7043</v>
      </c>
      <c r="AE2064" s="130"/>
      <c r="AF2064" s="130"/>
      <c r="AG2064" s="130"/>
      <c r="AH2064" s="130"/>
      <c r="AI2064" s="131"/>
      <c r="AJ2064" s="132"/>
      <c r="AK2064" s="127"/>
      <c r="AL2064" s="128"/>
      <c r="AM2064" s="21"/>
      <c r="AN2064" s="133">
        <v>45944</v>
      </c>
      <c r="AO2064" s="134"/>
      <c r="AP2064" s="135">
        <v>1913</v>
      </c>
      <c r="AQ2064" s="136"/>
      <c r="AR2064" s="118">
        <v>553000</v>
      </c>
      <c r="AS2064" s="119"/>
      <c r="AT2064" s="118">
        <v>55300</v>
      </c>
      <c r="AU2064" s="119"/>
      <c r="AV2064" s="118">
        <v>7140</v>
      </c>
      <c r="AW2064" s="119"/>
      <c r="AX2064" s="118">
        <f t="shared" ref="AX2064" si="187">SUM(AR2064:AW2064)</f>
        <v>615440</v>
      </c>
      <c r="AY2064" s="119"/>
      <c r="AZ2064" s="137">
        <v>45950</v>
      </c>
    </row>
    <row r="2065" spans="1:52" ht="17.100000000000001" customHeight="1" thickBot="1">
      <c r="A2065" s="110"/>
      <c r="B2065" s="27" t="s">
        <v>1543</v>
      </c>
      <c r="C2065" s="27">
        <v>85117</v>
      </c>
      <c r="D2065" s="14" t="s">
        <v>2836</v>
      </c>
      <c r="E2065" s="112"/>
      <c r="F2065" s="139" t="s">
        <v>7019</v>
      </c>
      <c r="G2065" s="140"/>
      <c r="H2065" s="141"/>
      <c r="I2065" s="26">
        <v>31600</v>
      </c>
      <c r="J2065" s="117"/>
      <c r="K2065" s="120"/>
      <c r="L2065" s="121"/>
      <c r="M2065" s="120"/>
      <c r="N2065" s="121"/>
      <c r="O2065" s="120"/>
      <c r="P2065" s="121"/>
      <c r="Q2065" s="120"/>
      <c r="R2065" s="121"/>
      <c r="S2065" s="120"/>
      <c r="T2065" s="121"/>
      <c r="U2065" s="120"/>
      <c r="V2065" s="123"/>
      <c r="W2065" s="125"/>
      <c r="X2065" s="142" t="s">
        <v>7937</v>
      </c>
      <c r="Y2065" s="143"/>
      <c r="Z2065" s="143"/>
      <c r="AA2065" s="143"/>
      <c r="AB2065" s="144"/>
      <c r="AC2065" s="16" t="s">
        <v>21</v>
      </c>
      <c r="AD2065" s="17" t="s">
        <v>1613</v>
      </c>
      <c r="AE2065" s="145" t="s">
        <v>7938</v>
      </c>
      <c r="AF2065" s="146"/>
      <c r="AG2065" s="146"/>
      <c r="AH2065" s="146"/>
      <c r="AI2065" s="147"/>
      <c r="AJ2065" s="148"/>
      <c r="AK2065" s="143"/>
      <c r="AL2065" s="144"/>
      <c r="AM2065" s="22"/>
      <c r="AN2065" s="149" t="s">
        <v>2131</v>
      </c>
      <c r="AO2065" s="144"/>
      <c r="AP2065" s="148">
        <v>3147</v>
      </c>
      <c r="AQ2065" s="144"/>
      <c r="AR2065" s="120"/>
      <c r="AS2065" s="121"/>
      <c r="AT2065" s="120"/>
      <c r="AU2065" s="121"/>
      <c r="AV2065" s="120"/>
      <c r="AW2065" s="121"/>
      <c r="AX2065" s="120"/>
      <c r="AY2065" s="121"/>
      <c r="AZ2065" s="138"/>
    </row>
    <row r="2066" spans="1:52" ht="17.100000000000001" customHeight="1" thickTop="1">
      <c r="A2066" s="109" t="s">
        <v>7013</v>
      </c>
      <c r="B2066" s="28">
        <v>45933</v>
      </c>
      <c r="C2066" s="25">
        <v>2104</v>
      </c>
      <c r="D2066" s="13" t="s">
        <v>1793</v>
      </c>
      <c r="E2066" s="111"/>
      <c r="F2066" s="113" t="s">
        <v>4218</v>
      </c>
      <c r="G2066" s="114"/>
      <c r="H2066" s="115"/>
      <c r="I2066" s="24"/>
      <c r="J2066" s="116">
        <v>4</v>
      </c>
      <c r="K2066" s="118">
        <v>185000</v>
      </c>
      <c r="L2066" s="119"/>
      <c r="M2066" s="118">
        <f t="shared" ref="M2066" si="188">K2066*0.1</f>
        <v>18500</v>
      </c>
      <c r="N2066" s="119"/>
      <c r="O2066" s="118">
        <v>0</v>
      </c>
      <c r="P2066" s="119"/>
      <c r="Q2066" s="118">
        <v>9880</v>
      </c>
      <c r="R2066" s="119"/>
      <c r="S2066" s="118">
        <v>16500</v>
      </c>
      <c r="T2066" s="119"/>
      <c r="U2066" s="118">
        <f t="shared" ref="U2066" si="189">SUM(K2066:T2067)</f>
        <v>229880</v>
      </c>
      <c r="V2066" s="122"/>
      <c r="W2066" s="124"/>
      <c r="X2066" s="126" t="s">
        <v>7929</v>
      </c>
      <c r="Y2066" s="127"/>
      <c r="Z2066" s="127"/>
      <c r="AA2066" s="127"/>
      <c r="AB2066" s="128"/>
      <c r="AC2066" s="15" t="s">
        <v>20</v>
      </c>
      <c r="AD2066" s="129" t="s">
        <v>7061</v>
      </c>
      <c r="AE2066" s="130"/>
      <c r="AF2066" s="130"/>
      <c r="AG2066" s="130"/>
      <c r="AH2066" s="130"/>
      <c r="AI2066" s="131"/>
      <c r="AJ2066" s="132"/>
      <c r="AK2066" s="127"/>
      <c r="AL2066" s="128"/>
      <c r="AM2066" s="21"/>
      <c r="AN2066" s="133">
        <v>46071</v>
      </c>
      <c r="AO2066" s="134"/>
      <c r="AP2066" s="135">
        <v>1005</v>
      </c>
      <c r="AQ2066" s="136"/>
      <c r="AR2066" s="118">
        <v>165000</v>
      </c>
      <c r="AS2066" s="119"/>
      <c r="AT2066" s="118">
        <f t="shared" ref="AT2066" si="190">AR2066*0.1</f>
        <v>16500</v>
      </c>
      <c r="AU2066" s="119"/>
      <c r="AV2066" s="118">
        <v>9880</v>
      </c>
      <c r="AW2066" s="119"/>
      <c r="AX2066" s="118">
        <f t="shared" ref="AX2066" si="191">SUM(AR2066:AW2066)</f>
        <v>191380</v>
      </c>
      <c r="AY2066" s="119"/>
      <c r="AZ2066" s="137">
        <v>46073</v>
      </c>
    </row>
    <row r="2067" spans="1:52" ht="17.100000000000001" customHeight="1" thickBot="1">
      <c r="A2067" s="110"/>
      <c r="B2067" s="27" t="s">
        <v>1543</v>
      </c>
      <c r="C2067" s="27">
        <v>85180</v>
      </c>
      <c r="D2067" s="14" t="s">
        <v>2601</v>
      </c>
      <c r="E2067" s="112"/>
      <c r="F2067" s="139" t="s">
        <v>7020</v>
      </c>
      <c r="G2067" s="140"/>
      <c r="H2067" s="141"/>
      <c r="I2067" s="26">
        <v>57193</v>
      </c>
      <c r="J2067" s="117"/>
      <c r="K2067" s="120"/>
      <c r="L2067" s="121"/>
      <c r="M2067" s="120"/>
      <c r="N2067" s="121"/>
      <c r="O2067" s="120"/>
      <c r="P2067" s="121"/>
      <c r="Q2067" s="120"/>
      <c r="R2067" s="121"/>
      <c r="S2067" s="120"/>
      <c r="T2067" s="121"/>
      <c r="U2067" s="120"/>
      <c r="V2067" s="123"/>
      <c r="W2067" s="125"/>
      <c r="X2067" s="142" t="s">
        <v>7930</v>
      </c>
      <c r="Y2067" s="143"/>
      <c r="Z2067" s="143"/>
      <c r="AA2067" s="143"/>
      <c r="AB2067" s="144"/>
      <c r="AC2067" s="16" t="s">
        <v>21</v>
      </c>
      <c r="AD2067" s="17" t="s">
        <v>1613</v>
      </c>
      <c r="AE2067" s="145" t="s">
        <v>7931</v>
      </c>
      <c r="AF2067" s="146"/>
      <c r="AG2067" s="146"/>
      <c r="AH2067" s="146"/>
      <c r="AI2067" s="147"/>
      <c r="AJ2067" s="148"/>
      <c r="AK2067" s="143"/>
      <c r="AL2067" s="144"/>
      <c r="AM2067" s="22"/>
      <c r="AN2067" s="149" t="s">
        <v>2794</v>
      </c>
      <c r="AO2067" s="144"/>
      <c r="AP2067" s="148">
        <v>2036</v>
      </c>
      <c r="AQ2067" s="144"/>
      <c r="AR2067" s="120"/>
      <c r="AS2067" s="121"/>
      <c r="AT2067" s="120"/>
      <c r="AU2067" s="121"/>
      <c r="AV2067" s="120"/>
      <c r="AW2067" s="121"/>
      <c r="AX2067" s="120"/>
      <c r="AY2067" s="121"/>
      <c r="AZ2067" s="138"/>
    </row>
    <row r="2068" spans="1:52" ht="17.100000000000001" customHeight="1" thickTop="1">
      <c r="A2068" s="109" t="s">
        <v>7014</v>
      </c>
      <c r="B2068" s="28">
        <v>45933</v>
      </c>
      <c r="C2068" s="25">
        <v>2104</v>
      </c>
      <c r="D2068" s="13" t="s">
        <v>3921</v>
      </c>
      <c r="E2068" s="111"/>
      <c r="F2068" s="113" t="s">
        <v>7062</v>
      </c>
      <c r="G2068" s="114"/>
      <c r="H2068" s="115"/>
      <c r="I2068" s="24" t="s">
        <v>4048</v>
      </c>
      <c r="J2068" s="116">
        <v>4</v>
      </c>
      <c r="K2068" s="118">
        <v>400000</v>
      </c>
      <c r="L2068" s="119"/>
      <c r="M2068" s="118">
        <f t="shared" ref="M2068" si="192">K2068*0.1</f>
        <v>40000</v>
      </c>
      <c r="N2068" s="119"/>
      <c r="O2068" s="118">
        <v>0</v>
      </c>
      <c r="P2068" s="119"/>
      <c r="Q2068" s="118">
        <v>8850</v>
      </c>
      <c r="R2068" s="119"/>
      <c r="S2068" s="118">
        <v>16500</v>
      </c>
      <c r="T2068" s="119"/>
      <c r="U2068" s="118">
        <f t="shared" ref="U2068" si="193">SUM(K2068:T2069)</f>
        <v>465350</v>
      </c>
      <c r="V2068" s="122"/>
      <c r="W2068" s="124"/>
      <c r="X2068" s="126" t="s">
        <v>7063</v>
      </c>
      <c r="Y2068" s="127"/>
      <c r="Z2068" s="127"/>
      <c r="AA2068" s="127"/>
      <c r="AB2068" s="128"/>
      <c r="AC2068" s="15" t="s">
        <v>20</v>
      </c>
      <c r="AD2068" s="129" t="s">
        <v>7064</v>
      </c>
      <c r="AE2068" s="130"/>
      <c r="AF2068" s="130"/>
      <c r="AG2068" s="130"/>
      <c r="AH2068" s="130"/>
      <c r="AI2068" s="131"/>
      <c r="AJ2068" s="132"/>
      <c r="AK2068" s="127"/>
      <c r="AL2068" s="128"/>
      <c r="AM2068" s="21"/>
      <c r="AN2068" s="133">
        <v>45941</v>
      </c>
      <c r="AO2068" s="134"/>
      <c r="AP2068" s="135">
        <v>1271</v>
      </c>
      <c r="AQ2068" s="136"/>
      <c r="AR2068" s="118">
        <v>595000</v>
      </c>
      <c r="AS2068" s="119"/>
      <c r="AT2068" s="118">
        <v>59500</v>
      </c>
      <c r="AU2068" s="119"/>
      <c r="AV2068" s="118">
        <v>8850</v>
      </c>
      <c r="AW2068" s="119"/>
      <c r="AX2068" s="118">
        <f t="shared" ref="AX2068" si="194">SUM(AR2068:AW2068)</f>
        <v>663350</v>
      </c>
      <c r="AY2068" s="119"/>
      <c r="AZ2068" s="137">
        <v>45944</v>
      </c>
    </row>
    <row r="2069" spans="1:52" ht="17.100000000000001" customHeight="1" thickBot="1">
      <c r="A2069" s="110"/>
      <c r="B2069" s="27" t="s">
        <v>1543</v>
      </c>
      <c r="C2069" s="27">
        <v>85194</v>
      </c>
      <c r="D2069" s="14" t="s">
        <v>2836</v>
      </c>
      <c r="E2069" s="112"/>
      <c r="F2069" s="139" t="s">
        <v>7021</v>
      </c>
      <c r="G2069" s="140"/>
      <c r="H2069" s="141"/>
      <c r="I2069" s="26">
        <v>23775</v>
      </c>
      <c r="J2069" s="117"/>
      <c r="K2069" s="120"/>
      <c r="L2069" s="121"/>
      <c r="M2069" s="120"/>
      <c r="N2069" s="121"/>
      <c r="O2069" s="120"/>
      <c r="P2069" s="121"/>
      <c r="Q2069" s="120"/>
      <c r="R2069" s="121"/>
      <c r="S2069" s="120"/>
      <c r="T2069" s="121"/>
      <c r="U2069" s="120"/>
      <c r="V2069" s="123"/>
      <c r="W2069" s="125"/>
      <c r="X2069" s="142" t="s">
        <v>7928</v>
      </c>
      <c r="Y2069" s="143"/>
      <c r="Z2069" s="143"/>
      <c r="AA2069" s="143"/>
      <c r="AB2069" s="144"/>
      <c r="AC2069" s="16" t="s">
        <v>21</v>
      </c>
      <c r="AD2069" s="17" t="s">
        <v>1613</v>
      </c>
      <c r="AE2069" s="145" t="s">
        <v>6911</v>
      </c>
      <c r="AF2069" s="146"/>
      <c r="AG2069" s="146"/>
      <c r="AH2069" s="146"/>
      <c r="AI2069" s="147"/>
      <c r="AJ2069" s="148"/>
      <c r="AK2069" s="143"/>
      <c r="AL2069" s="144"/>
      <c r="AM2069" s="22"/>
      <c r="AN2069" s="149" t="s">
        <v>2511</v>
      </c>
      <c r="AO2069" s="144"/>
      <c r="AP2069" s="148">
        <v>60053</v>
      </c>
      <c r="AQ2069" s="144"/>
      <c r="AR2069" s="120"/>
      <c r="AS2069" s="121"/>
      <c r="AT2069" s="120"/>
      <c r="AU2069" s="121"/>
      <c r="AV2069" s="120"/>
      <c r="AW2069" s="121"/>
      <c r="AX2069" s="120"/>
      <c r="AY2069" s="121"/>
      <c r="AZ2069" s="138"/>
    </row>
    <row r="2070" spans="1:52" ht="17.100000000000001" customHeight="1" thickTop="1">
      <c r="A2070" s="109" t="s">
        <v>7015</v>
      </c>
      <c r="B2070" s="28">
        <v>45933</v>
      </c>
      <c r="C2070" s="25">
        <v>2104</v>
      </c>
      <c r="D2070" s="13" t="s">
        <v>5343</v>
      </c>
      <c r="E2070" s="111"/>
      <c r="F2070" s="113" t="s">
        <v>7065</v>
      </c>
      <c r="G2070" s="114"/>
      <c r="H2070" s="115"/>
      <c r="I2070" s="24" t="s">
        <v>2956</v>
      </c>
      <c r="J2070" s="116">
        <v>4</v>
      </c>
      <c r="K2070" s="118">
        <v>305000</v>
      </c>
      <c r="L2070" s="119"/>
      <c r="M2070" s="118">
        <f t="shared" ref="M2070" si="195">K2070*0.1</f>
        <v>30500</v>
      </c>
      <c r="N2070" s="119"/>
      <c r="O2070" s="118">
        <v>0</v>
      </c>
      <c r="P2070" s="119"/>
      <c r="Q2070" s="118">
        <v>8930</v>
      </c>
      <c r="R2070" s="119"/>
      <c r="S2070" s="118">
        <v>16500</v>
      </c>
      <c r="T2070" s="119"/>
      <c r="U2070" s="118">
        <f t="shared" ref="U2070" si="196">SUM(K2070:T2071)</f>
        <v>360930</v>
      </c>
      <c r="V2070" s="122"/>
      <c r="W2070" s="124"/>
      <c r="X2070" s="126" t="s">
        <v>7066</v>
      </c>
      <c r="Y2070" s="127"/>
      <c r="Z2070" s="127"/>
      <c r="AA2070" s="127"/>
      <c r="AB2070" s="128"/>
      <c r="AC2070" s="15" t="s">
        <v>20</v>
      </c>
      <c r="AD2070" s="129"/>
      <c r="AE2070" s="130"/>
      <c r="AF2070" s="130"/>
      <c r="AG2070" s="130"/>
      <c r="AH2070" s="130"/>
      <c r="AI2070" s="131"/>
      <c r="AJ2070" s="132"/>
      <c r="AK2070" s="127"/>
      <c r="AL2070" s="128"/>
      <c r="AM2070" s="21"/>
      <c r="AN2070" s="133">
        <v>45941</v>
      </c>
      <c r="AO2070" s="134"/>
      <c r="AP2070" s="135">
        <v>1271</v>
      </c>
      <c r="AQ2070" s="136"/>
      <c r="AR2070" s="118">
        <v>380000</v>
      </c>
      <c r="AS2070" s="119"/>
      <c r="AT2070" s="118">
        <v>38000</v>
      </c>
      <c r="AU2070" s="119"/>
      <c r="AV2070" s="118">
        <v>8930</v>
      </c>
      <c r="AW2070" s="119"/>
      <c r="AX2070" s="118">
        <f t="shared" ref="AX2070" si="197">SUM(AR2070:AW2070)</f>
        <v>426930</v>
      </c>
      <c r="AY2070" s="119"/>
      <c r="AZ2070" s="137">
        <v>45944</v>
      </c>
    </row>
    <row r="2071" spans="1:52" ht="17.100000000000001" customHeight="1" thickBot="1">
      <c r="A2071" s="110"/>
      <c r="B2071" s="27" t="s">
        <v>1543</v>
      </c>
      <c r="C2071" s="27">
        <v>85248</v>
      </c>
      <c r="D2071" s="14" t="s">
        <v>4023</v>
      </c>
      <c r="E2071" s="112"/>
      <c r="F2071" s="139" t="s">
        <v>7022</v>
      </c>
      <c r="G2071" s="140"/>
      <c r="H2071" s="141"/>
      <c r="I2071" s="26">
        <v>51985</v>
      </c>
      <c r="J2071" s="117"/>
      <c r="K2071" s="120"/>
      <c r="L2071" s="121"/>
      <c r="M2071" s="120"/>
      <c r="N2071" s="121"/>
      <c r="O2071" s="120"/>
      <c r="P2071" s="121"/>
      <c r="Q2071" s="120"/>
      <c r="R2071" s="121"/>
      <c r="S2071" s="120"/>
      <c r="T2071" s="121"/>
      <c r="U2071" s="120"/>
      <c r="V2071" s="123"/>
      <c r="W2071" s="125"/>
      <c r="X2071" s="142" t="s">
        <v>7940</v>
      </c>
      <c r="Y2071" s="143"/>
      <c r="Z2071" s="143"/>
      <c r="AA2071" s="143"/>
      <c r="AB2071" s="144"/>
      <c r="AC2071" s="16" t="s">
        <v>21</v>
      </c>
      <c r="AD2071" s="17" t="s">
        <v>1613</v>
      </c>
      <c r="AE2071" s="145"/>
      <c r="AF2071" s="146"/>
      <c r="AG2071" s="146"/>
      <c r="AH2071" s="146"/>
      <c r="AI2071" s="147"/>
      <c r="AJ2071" s="148"/>
      <c r="AK2071" s="143"/>
      <c r="AL2071" s="144"/>
      <c r="AM2071" s="22"/>
      <c r="AN2071" s="149" t="s">
        <v>2511</v>
      </c>
      <c r="AO2071" s="144"/>
      <c r="AP2071" s="148">
        <v>60033</v>
      </c>
      <c r="AQ2071" s="144"/>
      <c r="AR2071" s="120"/>
      <c r="AS2071" s="121"/>
      <c r="AT2071" s="120"/>
      <c r="AU2071" s="121"/>
      <c r="AV2071" s="120"/>
      <c r="AW2071" s="121"/>
      <c r="AX2071" s="120"/>
      <c r="AY2071" s="121"/>
      <c r="AZ2071" s="138"/>
    </row>
    <row r="2072" spans="1:52" ht="17.100000000000001" customHeight="1" thickTop="1">
      <c r="A2072" s="109" t="s">
        <v>7067</v>
      </c>
      <c r="B2072" s="28">
        <v>45933</v>
      </c>
      <c r="C2072" s="25"/>
      <c r="D2072" s="13" t="s">
        <v>859</v>
      </c>
      <c r="E2072" s="111"/>
      <c r="F2072" s="113" t="s">
        <v>4297</v>
      </c>
      <c r="G2072" s="114"/>
      <c r="H2072" s="115"/>
      <c r="I2072" s="24" t="s">
        <v>3585</v>
      </c>
      <c r="J2072" s="116">
        <v>4</v>
      </c>
      <c r="K2072" s="118">
        <f>1347500/1.1</f>
        <v>1225000</v>
      </c>
      <c r="L2072" s="119"/>
      <c r="M2072" s="118">
        <f t="shared" ref="M2072" si="198">K2072*0.1</f>
        <v>122500</v>
      </c>
      <c r="N2072" s="119"/>
      <c r="O2072" s="118">
        <v>0</v>
      </c>
      <c r="P2072" s="119"/>
      <c r="Q2072" s="118">
        <v>8550</v>
      </c>
      <c r="R2072" s="119"/>
      <c r="S2072" s="118">
        <v>88688</v>
      </c>
      <c r="T2072" s="119"/>
      <c r="U2072" s="118">
        <f t="shared" ref="U2072" si="199">SUM(K2072:T2073)</f>
        <v>1444738</v>
      </c>
      <c r="V2072" s="122"/>
      <c r="W2072" s="124"/>
      <c r="X2072" s="126" t="s">
        <v>10387</v>
      </c>
      <c r="Y2072" s="127"/>
      <c r="Z2072" s="127"/>
      <c r="AA2072" s="127"/>
      <c r="AB2072" s="128"/>
      <c r="AC2072" s="15" t="s">
        <v>20</v>
      </c>
      <c r="AD2072" s="129" t="s">
        <v>7074</v>
      </c>
      <c r="AE2072" s="130"/>
      <c r="AF2072" s="130"/>
      <c r="AG2072" s="130"/>
      <c r="AH2072" s="130"/>
      <c r="AI2072" s="131"/>
      <c r="AJ2072" s="132"/>
      <c r="AK2072" s="127"/>
      <c r="AL2072" s="128"/>
      <c r="AM2072" s="21"/>
      <c r="AN2072" s="133">
        <v>45976</v>
      </c>
      <c r="AO2072" s="134"/>
      <c r="AP2072" s="135">
        <v>1276</v>
      </c>
      <c r="AQ2072" s="136"/>
      <c r="AR2072" s="118">
        <v>1370000</v>
      </c>
      <c r="AS2072" s="119"/>
      <c r="AT2072" s="118">
        <f t="shared" ref="AT2072" si="200">AR2072*0.1</f>
        <v>137000</v>
      </c>
      <c r="AU2072" s="119"/>
      <c r="AV2072" s="118">
        <v>8550</v>
      </c>
      <c r="AW2072" s="119"/>
      <c r="AX2072" s="118">
        <f t="shared" ref="AX2072" si="201">SUM(AR2072:AW2072)</f>
        <v>1515550</v>
      </c>
      <c r="AY2072" s="119"/>
      <c r="AZ2072" s="137">
        <v>45979</v>
      </c>
    </row>
    <row r="2073" spans="1:52" ht="17.100000000000001" customHeight="1" thickBot="1">
      <c r="A2073" s="110"/>
      <c r="B2073" s="27" t="s">
        <v>1718</v>
      </c>
      <c r="C2073" s="27" t="s">
        <v>7072</v>
      </c>
      <c r="D2073" s="14" t="s">
        <v>133</v>
      </c>
      <c r="E2073" s="112"/>
      <c r="F2073" s="139" t="s">
        <v>7073</v>
      </c>
      <c r="G2073" s="140"/>
      <c r="H2073" s="141"/>
      <c r="I2073" s="26">
        <v>12944</v>
      </c>
      <c r="J2073" s="117"/>
      <c r="K2073" s="120"/>
      <c r="L2073" s="121"/>
      <c r="M2073" s="120"/>
      <c r="N2073" s="121"/>
      <c r="O2073" s="120"/>
      <c r="P2073" s="121"/>
      <c r="Q2073" s="120"/>
      <c r="R2073" s="121"/>
      <c r="S2073" s="120"/>
      <c r="T2073" s="121"/>
      <c r="U2073" s="120"/>
      <c r="V2073" s="123"/>
      <c r="W2073" s="125"/>
      <c r="X2073" s="142" t="s">
        <v>4285</v>
      </c>
      <c r="Y2073" s="143"/>
      <c r="Z2073" s="143"/>
      <c r="AA2073" s="143"/>
      <c r="AB2073" s="144"/>
      <c r="AC2073" s="16" t="s">
        <v>21</v>
      </c>
      <c r="AD2073" s="17" t="s">
        <v>1694</v>
      </c>
      <c r="AE2073" s="145" t="s">
        <v>1614</v>
      </c>
      <c r="AF2073" s="146"/>
      <c r="AG2073" s="146"/>
      <c r="AH2073" s="146"/>
      <c r="AI2073" s="147"/>
      <c r="AJ2073" s="148"/>
      <c r="AK2073" s="143"/>
      <c r="AL2073" s="144"/>
      <c r="AM2073" s="22"/>
      <c r="AN2073" s="149" t="s">
        <v>7284</v>
      </c>
      <c r="AO2073" s="144"/>
      <c r="AP2073" s="148">
        <v>65581</v>
      </c>
      <c r="AQ2073" s="144"/>
      <c r="AR2073" s="120"/>
      <c r="AS2073" s="121"/>
      <c r="AT2073" s="120"/>
      <c r="AU2073" s="121"/>
      <c r="AV2073" s="120"/>
      <c r="AW2073" s="121"/>
      <c r="AX2073" s="120"/>
      <c r="AY2073" s="121"/>
      <c r="AZ2073" s="138"/>
    </row>
    <row r="2074" spans="1:52" ht="17.100000000000001" customHeight="1" thickTop="1">
      <c r="A2074" s="109" t="s">
        <v>7068</v>
      </c>
      <c r="B2074" s="28">
        <v>45933</v>
      </c>
      <c r="C2074" s="25"/>
      <c r="D2074" s="13" t="s">
        <v>3461</v>
      </c>
      <c r="E2074" s="111"/>
      <c r="F2074" s="113" t="s">
        <v>7076</v>
      </c>
      <c r="G2074" s="114"/>
      <c r="H2074" s="115"/>
      <c r="I2074" s="24" t="s">
        <v>2868</v>
      </c>
      <c r="J2074" s="116">
        <v>5</v>
      </c>
      <c r="K2074" s="118">
        <f>1699500/1.1</f>
        <v>1544999.9999999998</v>
      </c>
      <c r="L2074" s="119"/>
      <c r="M2074" s="118">
        <f t="shared" ref="M2074" si="202">K2074*0.1</f>
        <v>154499.99999999997</v>
      </c>
      <c r="N2074" s="119"/>
      <c r="O2074" s="118">
        <v>0</v>
      </c>
      <c r="P2074" s="119"/>
      <c r="Q2074" s="118">
        <v>6850</v>
      </c>
      <c r="R2074" s="119"/>
      <c r="S2074" s="118">
        <v>97488</v>
      </c>
      <c r="T2074" s="119"/>
      <c r="U2074" s="118">
        <f t="shared" ref="U2074" si="203">SUM(K2074:T2075)</f>
        <v>1803837.9999999998</v>
      </c>
      <c r="V2074" s="122"/>
      <c r="W2074" s="124"/>
      <c r="X2074" s="126" t="s">
        <v>8447</v>
      </c>
      <c r="Y2074" s="127"/>
      <c r="Z2074" s="127"/>
      <c r="AA2074" s="127"/>
      <c r="AB2074" s="128"/>
      <c r="AC2074" s="15" t="s">
        <v>20</v>
      </c>
      <c r="AD2074" s="129" t="s">
        <v>1945</v>
      </c>
      <c r="AE2074" s="130"/>
      <c r="AF2074" s="130"/>
      <c r="AG2074" s="130"/>
      <c r="AH2074" s="130"/>
      <c r="AI2074" s="131"/>
      <c r="AJ2074" s="132"/>
      <c r="AK2074" s="127"/>
      <c r="AL2074" s="128"/>
      <c r="AM2074" s="21"/>
      <c r="AN2074" s="133">
        <v>45951</v>
      </c>
      <c r="AO2074" s="134"/>
      <c r="AP2074" s="135">
        <v>1914</v>
      </c>
      <c r="AQ2074" s="136"/>
      <c r="AR2074" s="118">
        <v>1859000</v>
      </c>
      <c r="AS2074" s="119"/>
      <c r="AT2074" s="118">
        <f t="shared" ref="AT2074" si="204">AR2074*0.1</f>
        <v>185900</v>
      </c>
      <c r="AU2074" s="119"/>
      <c r="AV2074" s="118">
        <v>6850</v>
      </c>
      <c r="AW2074" s="119"/>
      <c r="AX2074" s="118">
        <f t="shared" ref="AX2074" si="205">SUM(AR2074:AW2074)</f>
        <v>2051750</v>
      </c>
      <c r="AY2074" s="119"/>
      <c r="AZ2074" s="137">
        <v>45957</v>
      </c>
    </row>
    <row r="2075" spans="1:52" ht="17.100000000000001" customHeight="1" thickBot="1">
      <c r="A2075" s="110"/>
      <c r="B2075" s="27" t="s">
        <v>1718</v>
      </c>
      <c r="C2075" s="27" t="s">
        <v>7075</v>
      </c>
      <c r="D2075" s="14" t="s">
        <v>1812</v>
      </c>
      <c r="E2075" s="112"/>
      <c r="F2075" s="139" t="s">
        <v>7077</v>
      </c>
      <c r="G2075" s="140"/>
      <c r="H2075" s="141"/>
      <c r="I2075" s="26">
        <v>7500</v>
      </c>
      <c r="J2075" s="117"/>
      <c r="K2075" s="120"/>
      <c r="L2075" s="121"/>
      <c r="M2075" s="120"/>
      <c r="N2075" s="121"/>
      <c r="O2075" s="120"/>
      <c r="P2075" s="121"/>
      <c r="Q2075" s="120"/>
      <c r="R2075" s="121"/>
      <c r="S2075" s="120"/>
      <c r="T2075" s="121"/>
      <c r="U2075" s="120"/>
      <c r="V2075" s="123"/>
      <c r="W2075" s="125"/>
      <c r="X2075" s="142" t="s">
        <v>8448</v>
      </c>
      <c r="Y2075" s="143"/>
      <c r="Z2075" s="143"/>
      <c r="AA2075" s="143"/>
      <c r="AB2075" s="144"/>
      <c r="AC2075" s="16" t="s">
        <v>21</v>
      </c>
      <c r="AD2075" s="17" t="s">
        <v>1638</v>
      </c>
      <c r="AE2075" s="145" t="s">
        <v>1945</v>
      </c>
      <c r="AF2075" s="146"/>
      <c r="AG2075" s="146"/>
      <c r="AH2075" s="146"/>
      <c r="AI2075" s="147"/>
      <c r="AJ2075" s="148"/>
      <c r="AK2075" s="143"/>
      <c r="AL2075" s="144"/>
      <c r="AM2075" s="22"/>
      <c r="AN2075" s="149" t="s">
        <v>2131</v>
      </c>
      <c r="AO2075" s="144"/>
      <c r="AP2075" s="148">
        <v>3199</v>
      </c>
      <c r="AQ2075" s="144"/>
      <c r="AR2075" s="120"/>
      <c r="AS2075" s="121"/>
      <c r="AT2075" s="120"/>
      <c r="AU2075" s="121"/>
      <c r="AV2075" s="120"/>
      <c r="AW2075" s="121"/>
      <c r="AX2075" s="120"/>
      <c r="AY2075" s="121"/>
      <c r="AZ2075" s="138"/>
    </row>
    <row r="2076" spans="1:52" ht="17.100000000000001" customHeight="1" thickTop="1">
      <c r="A2076" s="109" t="s">
        <v>7069</v>
      </c>
      <c r="B2076" s="28">
        <v>45933</v>
      </c>
      <c r="C2076" s="25"/>
      <c r="D2076" s="13" t="s">
        <v>1688</v>
      </c>
      <c r="E2076" s="111"/>
      <c r="F2076" s="113" t="s">
        <v>4363</v>
      </c>
      <c r="G2076" s="114"/>
      <c r="H2076" s="115"/>
      <c r="I2076" s="24" t="s">
        <v>7080</v>
      </c>
      <c r="J2076" s="116">
        <v>4.5</v>
      </c>
      <c r="K2076" s="118">
        <f>3514500/1.1</f>
        <v>3194999.9999999995</v>
      </c>
      <c r="L2076" s="119"/>
      <c r="M2076" s="118">
        <f t="shared" ref="M2076" si="206">K2076*0.1</f>
        <v>319500</v>
      </c>
      <c r="N2076" s="119"/>
      <c r="O2076" s="118">
        <v>0</v>
      </c>
      <c r="P2076" s="119"/>
      <c r="Q2076" s="118">
        <v>11570</v>
      </c>
      <c r="R2076" s="119"/>
      <c r="S2076" s="118">
        <v>142863</v>
      </c>
      <c r="T2076" s="119"/>
      <c r="U2076" s="118">
        <f t="shared" ref="U2076" si="207">SUM(K2076:T2077)</f>
        <v>3668932.9999999995</v>
      </c>
      <c r="V2076" s="122"/>
      <c r="W2076" s="124"/>
      <c r="X2076" s="126" t="s">
        <v>9426</v>
      </c>
      <c r="Y2076" s="127"/>
      <c r="Z2076" s="127"/>
      <c r="AA2076" s="127"/>
      <c r="AB2076" s="128"/>
      <c r="AC2076" s="15" t="s">
        <v>20</v>
      </c>
      <c r="AD2076" s="129" t="s">
        <v>1945</v>
      </c>
      <c r="AE2076" s="130"/>
      <c r="AF2076" s="130"/>
      <c r="AG2076" s="130"/>
      <c r="AH2076" s="130"/>
      <c r="AI2076" s="131"/>
      <c r="AJ2076" s="132"/>
      <c r="AK2076" s="127"/>
      <c r="AL2076" s="128"/>
      <c r="AM2076" s="21"/>
      <c r="AN2076" s="133">
        <v>45955</v>
      </c>
      <c r="AO2076" s="134"/>
      <c r="AP2076" s="135">
        <v>1273</v>
      </c>
      <c r="AQ2076" s="136"/>
      <c r="AR2076" s="118">
        <v>3375000</v>
      </c>
      <c r="AS2076" s="119"/>
      <c r="AT2076" s="118">
        <f t="shared" ref="AT2076" si="208">AR2076*0.1</f>
        <v>337500</v>
      </c>
      <c r="AU2076" s="119"/>
      <c r="AV2076" s="118">
        <v>11570</v>
      </c>
      <c r="AW2076" s="119"/>
      <c r="AX2076" s="118">
        <f t="shared" ref="AX2076" si="209">SUM(AR2076:AW2076)</f>
        <v>3724070</v>
      </c>
      <c r="AY2076" s="119"/>
      <c r="AZ2076" s="137">
        <v>45960</v>
      </c>
    </row>
    <row r="2077" spans="1:52" ht="17.100000000000001" customHeight="1" thickBot="1">
      <c r="A2077" s="110"/>
      <c r="B2077" s="27" t="s">
        <v>1718</v>
      </c>
      <c r="C2077" s="27" t="s">
        <v>7078</v>
      </c>
      <c r="D2077" s="14" t="s">
        <v>1592</v>
      </c>
      <c r="E2077" s="112"/>
      <c r="F2077" s="139" t="s">
        <v>7079</v>
      </c>
      <c r="G2077" s="140"/>
      <c r="H2077" s="141"/>
      <c r="I2077" s="26">
        <v>22706</v>
      </c>
      <c r="J2077" s="117"/>
      <c r="K2077" s="120"/>
      <c r="L2077" s="121"/>
      <c r="M2077" s="120"/>
      <c r="N2077" s="121"/>
      <c r="O2077" s="120"/>
      <c r="P2077" s="121"/>
      <c r="Q2077" s="120"/>
      <c r="R2077" s="121"/>
      <c r="S2077" s="120"/>
      <c r="T2077" s="121"/>
      <c r="U2077" s="120"/>
      <c r="V2077" s="123"/>
      <c r="W2077" s="125"/>
      <c r="X2077" s="142" t="s">
        <v>5285</v>
      </c>
      <c r="Y2077" s="143"/>
      <c r="Z2077" s="143"/>
      <c r="AA2077" s="143"/>
      <c r="AB2077" s="144"/>
      <c r="AC2077" s="16" t="s">
        <v>21</v>
      </c>
      <c r="AD2077" s="17" t="s">
        <v>3341</v>
      </c>
      <c r="AE2077" s="145" t="s">
        <v>9499</v>
      </c>
      <c r="AF2077" s="146"/>
      <c r="AG2077" s="146"/>
      <c r="AH2077" s="146"/>
      <c r="AI2077" s="147"/>
      <c r="AJ2077" s="148"/>
      <c r="AK2077" s="143"/>
      <c r="AL2077" s="144"/>
      <c r="AM2077" s="22"/>
      <c r="AN2077" s="149" t="s">
        <v>7284</v>
      </c>
      <c r="AO2077" s="144"/>
      <c r="AP2077" s="148">
        <v>40014</v>
      </c>
      <c r="AQ2077" s="144"/>
      <c r="AR2077" s="120"/>
      <c r="AS2077" s="121"/>
      <c r="AT2077" s="120"/>
      <c r="AU2077" s="121"/>
      <c r="AV2077" s="120"/>
      <c r="AW2077" s="121"/>
      <c r="AX2077" s="120"/>
      <c r="AY2077" s="121"/>
      <c r="AZ2077" s="138"/>
    </row>
    <row r="2078" spans="1:52" ht="17.100000000000001" customHeight="1" thickTop="1">
      <c r="A2078" s="109" t="s">
        <v>7070</v>
      </c>
      <c r="B2078" s="28">
        <v>45933</v>
      </c>
      <c r="C2078" s="25"/>
      <c r="D2078" s="13" t="s">
        <v>1831</v>
      </c>
      <c r="E2078" s="111"/>
      <c r="F2078" s="113" t="s">
        <v>7082</v>
      </c>
      <c r="G2078" s="114"/>
      <c r="H2078" s="115"/>
      <c r="I2078" s="24" t="s">
        <v>3691</v>
      </c>
      <c r="J2078" s="116">
        <v>4</v>
      </c>
      <c r="K2078" s="118">
        <f>720500/1.1</f>
        <v>655000</v>
      </c>
      <c r="L2078" s="119"/>
      <c r="M2078" s="118">
        <f t="shared" ref="M2078" si="210">K2078*0.1</f>
        <v>65500</v>
      </c>
      <c r="N2078" s="119"/>
      <c r="O2078" s="118">
        <v>16400</v>
      </c>
      <c r="P2078" s="119"/>
      <c r="Q2078" s="118">
        <v>11810</v>
      </c>
      <c r="R2078" s="119"/>
      <c r="S2078" s="118">
        <v>63974</v>
      </c>
      <c r="T2078" s="119"/>
      <c r="U2078" s="118">
        <f t="shared" ref="U2078" si="211">SUM(K2078:T2079)</f>
        <v>812684</v>
      </c>
      <c r="V2078" s="122"/>
      <c r="W2078" s="124"/>
      <c r="X2078" s="126" t="s">
        <v>8078</v>
      </c>
      <c r="Y2078" s="127"/>
      <c r="Z2078" s="127"/>
      <c r="AA2078" s="127"/>
      <c r="AB2078" s="128"/>
      <c r="AC2078" s="15" t="s">
        <v>20</v>
      </c>
      <c r="AD2078" s="129" t="s">
        <v>1732</v>
      </c>
      <c r="AE2078" s="130"/>
      <c r="AF2078" s="130"/>
      <c r="AG2078" s="130"/>
      <c r="AH2078" s="130"/>
      <c r="AI2078" s="131"/>
      <c r="AJ2078" s="132"/>
      <c r="AK2078" s="127"/>
      <c r="AL2078" s="128"/>
      <c r="AM2078" s="21"/>
      <c r="AN2078" s="133">
        <v>45948</v>
      </c>
      <c r="AO2078" s="134"/>
      <c r="AP2078" s="135">
        <v>1272</v>
      </c>
      <c r="AQ2078" s="136"/>
      <c r="AR2078" s="118">
        <v>920000</v>
      </c>
      <c r="AS2078" s="119"/>
      <c r="AT2078" s="118">
        <f t="shared" ref="AT2078" si="212">AR2078*0.1</f>
        <v>92000</v>
      </c>
      <c r="AU2078" s="119"/>
      <c r="AV2078" s="118">
        <v>11810</v>
      </c>
      <c r="AW2078" s="119"/>
      <c r="AX2078" s="118">
        <f t="shared" ref="AX2078" si="213">SUM(AR2078:AW2078)</f>
        <v>1023810</v>
      </c>
      <c r="AY2078" s="119"/>
      <c r="AZ2078" s="137">
        <v>45951</v>
      </c>
    </row>
    <row r="2079" spans="1:52" ht="17.100000000000001" customHeight="1" thickBot="1">
      <c r="A2079" s="110"/>
      <c r="B2079" s="27" t="s">
        <v>1718</v>
      </c>
      <c r="C2079" s="27" t="s">
        <v>7081</v>
      </c>
      <c r="D2079" s="14" t="s">
        <v>275</v>
      </c>
      <c r="E2079" s="112"/>
      <c r="F2079" s="139" t="s">
        <v>7083</v>
      </c>
      <c r="G2079" s="140"/>
      <c r="H2079" s="141"/>
      <c r="I2079" s="26">
        <v>69816</v>
      </c>
      <c r="J2079" s="117"/>
      <c r="K2079" s="120"/>
      <c r="L2079" s="121"/>
      <c r="M2079" s="120"/>
      <c r="N2079" s="121"/>
      <c r="O2079" s="120"/>
      <c r="P2079" s="121"/>
      <c r="Q2079" s="120"/>
      <c r="R2079" s="121"/>
      <c r="S2079" s="120"/>
      <c r="T2079" s="121"/>
      <c r="U2079" s="120"/>
      <c r="V2079" s="123"/>
      <c r="W2079" s="125"/>
      <c r="X2079" s="142" t="s">
        <v>8079</v>
      </c>
      <c r="Y2079" s="143"/>
      <c r="Z2079" s="143"/>
      <c r="AA2079" s="143"/>
      <c r="AB2079" s="144"/>
      <c r="AC2079" s="16" t="s">
        <v>21</v>
      </c>
      <c r="AD2079" s="17" t="s">
        <v>8050</v>
      </c>
      <c r="AE2079" s="145" t="s">
        <v>8467</v>
      </c>
      <c r="AF2079" s="146"/>
      <c r="AG2079" s="146"/>
      <c r="AH2079" s="146"/>
      <c r="AI2079" s="147"/>
      <c r="AJ2079" s="148"/>
      <c r="AK2079" s="143"/>
      <c r="AL2079" s="144"/>
      <c r="AM2079" s="22"/>
      <c r="AN2079" s="149" t="s">
        <v>2511</v>
      </c>
      <c r="AO2079" s="144"/>
      <c r="AP2079" s="148">
        <v>37285</v>
      </c>
      <c r="AQ2079" s="144"/>
      <c r="AR2079" s="120"/>
      <c r="AS2079" s="121"/>
      <c r="AT2079" s="120"/>
      <c r="AU2079" s="121"/>
      <c r="AV2079" s="120"/>
      <c r="AW2079" s="121"/>
      <c r="AX2079" s="120"/>
      <c r="AY2079" s="121"/>
      <c r="AZ2079" s="138"/>
    </row>
    <row r="2080" spans="1:52" ht="17.100000000000001" customHeight="1" thickTop="1">
      <c r="A2080" s="109" t="s">
        <v>7071</v>
      </c>
      <c r="B2080" s="28">
        <v>45933</v>
      </c>
      <c r="C2080" s="25"/>
      <c r="D2080" s="13" t="s">
        <v>1786</v>
      </c>
      <c r="E2080" s="111"/>
      <c r="F2080" s="113" t="s">
        <v>7085</v>
      </c>
      <c r="G2080" s="114"/>
      <c r="H2080" s="115"/>
      <c r="I2080" s="24" t="s">
        <v>7087</v>
      </c>
      <c r="J2080" s="116">
        <v>4.5</v>
      </c>
      <c r="K2080" s="118">
        <f>1925000/1.1</f>
        <v>1749999.9999999998</v>
      </c>
      <c r="L2080" s="119"/>
      <c r="M2080" s="118">
        <f t="shared" ref="M2080" si="214">K2080*0.1</f>
        <v>175000</v>
      </c>
      <c r="N2080" s="119"/>
      <c r="O2080" s="118">
        <v>0</v>
      </c>
      <c r="P2080" s="119"/>
      <c r="Q2080" s="118">
        <v>7880</v>
      </c>
      <c r="R2080" s="119"/>
      <c r="S2080" s="118">
        <v>103125</v>
      </c>
      <c r="T2080" s="119"/>
      <c r="U2080" s="118">
        <f t="shared" ref="U2080" si="215">SUM(K2080:T2081)</f>
        <v>2036004.9999999998</v>
      </c>
      <c r="V2080" s="122"/>
      <c r="W2080" s="124"/>
      <c r="X2080" s="126" t="s">
        <v>11502</v>
      </c>
      <c r="Y2080" s="127"/>
      <c r="Z2080" s="127"/>
      <c r="AA2080" s="127"/>
      <c r="AB2080" s="128"/>
      <c r="AC2080" s="15" t="s">
        <v>20</v>
      </c>
      <c r="AD2080" s="129" t="s">
        <v>1945</v>
      </c>
      <c r="AE2080" s="130"/>
      <c r="AF2080" s="130"/>
      <c r="AG2080" s="130"/>
      <c r="AH2080" s="130"/>
      <c r="AI2080" s="131"/>
      <c r="AJ2080" s="132"/>
      <c r="AK2080" s="127"/>
      <c r="AL2080" s="128"/>
      <c r="AM2080" s="21"/>
      <c r="AN2080" s="133">
        <v>46000</v>
      </c>
      <c r="AO2080" s="134"/>
      <c r="AP2080" s="135">
        <v>1921</v>
      </c>
      <c r="AQ2080" s="136"/>
      <c r="AR2080" s="118">
        <v>2021000</v>
      </c>
      <c r="AS2080" s="119"/>
      <c r="AT2080" s="118">
        <f t="shared" ref="AT2080" si="216">AR2080*0.1</f>
        <v>202100</v>
      </c>
      <c r="AU2080" s="119"/>
      <c r="AV2080" s="118">
        <v>7880</v>
      </c>
      <c r="AW2080" s="119"/>
      <c r="AX2080" s="118">
        <f t="shared" ref="AX2080" si="217">SUM(AR2080:AW2080)</f>
        <v>2230980</v>
      </c>
      <c r="AY2080" s="119"/>
      <c r="AZ2080" s="137">
        <v>46006</v>
      </c>
    </row>
    <row r="2081" spans="1:52" ht="17.100000000000001" customHeight="1" thickBot="1">
      <c r="A2081" s="110"/>
      <c r="B2081" s="27" t="s">
        <v>1718</v>
      </c>
      <c r="C2081" s="27" t="s">
        <v>7084</v>
      </c>
      <c r="D2081" s="14" t="s">
        <v>133</v>
      </c>
      <c r="E2081" s="112"/>
      <c r="F2081" s="139" t="s">
        <v>7086</v>
      </c>
      <c r="G2081" s="140"/>
      <c r="H2081" s="141"/>
      <c r="I2081" s="26">
        <v>12964</v>
      </c>
      <c r="J2081" s="117"/>
      <c r="K2081" s="120"/>
      <c r="L2081" s="121"/>
      <c r="M2081" s="120"/>
      <c r="N2081" s="121"/>
      <c r="O2081" s="120"/>
      <c r="P2081" s="121"/>
      <c r="Q2081" s="120"/>
      <c r="R2081" s="121"/>
      <c r="S2081" s="120"/>
      <c r="T2081" s="121"/>
      <c r="U2081" s="120"/>
      <c r="V2081" s="123"/>
      <c r="W2081" s="125"/>
      <c r="X2081" s="142" t="s">
        <v>11503</v>
      </c>
      <c r="Y2081" s="143"/>
      <c r="Z2081" s="143"/>
      <c r="AA2081" s="143"/>
      <c r="AB2081" s="144"/>
      <c r="AC2081" s="16" t="s">
        <v>21</v>
      </c>
      <c r="AD2081" s="17" t="s">
        <v>2203</v>
      </c>
      <c r="AE2081" s="145" t="s">
        <v>12544</v>
      </c>
      <c r="AF2081" s="146"/>
      <c r="AG2081" s="146"/>
      <c r="AH2081" s="146"/>
      <c r="AI2081" s="147"/>
      <c r="AJ2081" s="148"/>
      <c r="AK2081" s="143"/>
      <c r="AL2081" s="144"/>
      <c r="AM2081" s="22"/>
      <c r="AN2081" s="149" t="s">
        <v>2131</v>
      </c>
      <c r="AO2081" s="144"/>
      <c r="AP2081" s="148">
        <v>3263</v>
      </c>
      <c r="AQ2081" s="144"/>
      <c r="AR2081" s="120"/>
      <c r="AS2081" s="121"/>
      <c r="AT2081" s="120"/>
      <c r="AU2081" s="121"/>
      <c r="AV2081" s="120"/>
      <c r="AW2081" s="121"/>
      <c r="AX2081" s="120"/>
      <c r="AY2081" s="121"/>
      <c r="AZ2081" s="138"/>
    </row>
    <row r="2082" spans="1:52" ht="17.100000000000001" customHeight="1" thickTop="1">
      <c r="A2082" s="109" t="s">
        <v>7106</v>
      </c>
      <c r="B2082" s="28">
        <v>45933</v>
      </c>
      <c r="C2082" s="25">
        <v>56</v>
      </c>
      <c r="D2082" s="13" t="s">
        <v>2681</v>
      </c>
      <c r="E2082" s="111"/>
      <c r="F2082" s="113" t="s">
        <v>5694</v>
      </c>
      <c r="G2082" s="114"/>
      <c r="H2082" s="115"/>
      <c r="I2082" s="24" t="s">
        <v>2943</v>
      </c>
      <c r="J2082" s="116">
        <v>4.5</v>
      </c>
      <c r="K2082" s="118">
        <v>1555000</v>
      </c>
      <c r="L2082" s="119"/>
      <c r="M2082" s="118">
        <f t="shared" ref="M2082" si="218">K2082*0.1</f>
        <v>155500</v>
      </c>
      <c r="N2082" s="119"/>
      <c r="O2082" s="118">
        <v>0</v>
      </c>
      <c r="P2082" s="119"/>
      <c r="Q2082" s="118">
        <v>6960</v>
      </c>
      <c r="R2082" s="119"/>
      <c r="S2082" s="118">
        <v>44000</v>
      </c>
      <c r="T2082" s="119"/>
      <c r="U2082" s="118">
        <f t="shared" ref="U2082" si="219">SUM(K2082:T2083)</f>
        <v>1761460</v>
      </c>
      <c r="V2082" s="122"/>
      <c r="W2082" s="124"/>
      <c r="X2082" s="126" t="s">
        <v>10557</v>
      </c>
      <c r="Y2082" s="127"/>
      <c r="Z2082" s="127"/>
      <c r="AA2082" s="127"/>
      <c r="AB2082" s="128"/>
      <c r="AC2082" s="15" t="s">
        <v>20</v>
      </c>
      <c r="AD2082" s="129" t="s">
        <v>1670</v>
      </c>
      <c r="AE2082" s="130"/>
      <c r="AF2082" s="130"/>
      <c r="AG2082" s="130"/>
      <c r="AH2082" s="130"/>
      <c r="AI2082" s="131"/>
      <c r="AJ2082" s="132"/>
      <c r="AK2082" s="127"/>
      <c r="AL2082" s="128"/>
      <c r="AM2082" s="21" t="s">
        <v>10712</v>
      </c>
      <c r="AN2082" s="133">
        <v>45969</v>
      </c>
      <c r="AO2082" s="134"/>
      <c r="AP2082" s="135">
        <v>1275</v>
      </c>
      <c r="AQ2082" s="136"/>
      <c r="AR2082" s="118">
        <v>1610000</v>
      </c>
      <c r="AS2082" s="119"/>
      <c r="AT2082" s="118">
        <f t="shared" ref="AT2082" si="220">AR2082*0.1</f>
        <v>161000</v>
      </c>
      <c r="AU2082" s="119"/>
      <c r="AV2082" s="118">
        <v>8960</v>
      </c>
      <c r="AW2082" s="119"/>
      <c r="AX2082" s="118">
        <f t="shared" ref="AX2082" si="221">SUM(AR2082:AW2082)</f>
        <v>1779960</v>
      </c>
      <c r="AY2082" s="119"/>
      <c r="AZ2082" s="137">
        <v>45979</v>
      </c>
    </row>
    <row r="2083" spans="1:52" ht="17.100000000000001" customHeight="1" thickBot="1">
      <c r="A2083" s="110"/>
      <c r="B2083" s="27" t="s">
        <v>4544</v>
      </c>
      <c r="C2083" s="27">
        <v>1108</v>
      </c>
      <c r="D2083" s="14" t="s">
        <v>1720</v>
      </c>
      <c r="E2083" s="112"/>
      <c r="F2083" s="139" t="s">
        <v>7107</v>
      </c>
      <c r="G2083" s="140"/>
      <c r="H2083" s="141"/>
      <c r="I2083" s="26">
        <v>14880</v>
      </c>
      <c r="J2083" s="117"/>
      <c r="K2083" s="120"/>
      <c r="L2083" s="121"/>
      <c r="M2083" s="120"/>
      <c r="N2083" s="121"/>
      <c r="O2083" s="120"/>
      <c r="P2083" s="121"/>
      <c r="Q2083" s="120"/>
      <c r="R2083" s="121"/>
      <c r="S2083" s="120"/>
      <c r="T2083" s="121"/>
      <c r="U2083" s="120"/>
      <c r="V2083" s="123"/>
      <c r="W2083" s="125"/>
      <c r="X2083" s="142" t="s">
        <v>10558</v>
      </c>
      <c r="Y2083" s="143"/>
      <c r="Z2083" s="143"/>
      <c r="AA2083" s="143"/>
      <c r="AB2083" s="144"/>
      <c r="AC2083" s="16" t="s">
        <v>21</v>
      </c>
      <c r="AD2083" s="17" t="s">
        <v>10500</v>
      </c>
      <c r="AE2083" s="145" t="s">
        <v>10559</v>
      </c>
      <c r="AF2083" s="146"/>
      <c r="AG2083" s="146"/>
      <c r="AH2083" s="146"/>
      <c r="AI2083" s="147"/>
      <c r="AJ2083" s="148"/>
      <c r="AK2083" s="143"/>
      <c r="AL2083" s="144"/>
      <c r="AM2083" s="22"/>
      <c r="AN2083" s="149" t="s">
        <v>7284</v>
      </c>
      <c r="AO2083" s="144"/>
      <c r="AP2083" s="148">
        <v>65039</v>
      </c>
      <c r="AQ2083" s="144"/>
      <c r="AR2083" s="120"/>
      <c r="AS2083" s="121"/>
      <c r="AT2083" s="120"/>
      <c r="AU2083" s="121"/>
      <c r="AV2083" s="120"/>
      <c r="AW2083" s="121"/>
      <c r="AX2083" s="120"/>
      <c r="AY2083" s="121"/>
      <c r="AZ2083" s="138"/>
    </row>
    <row r="2084" spans="1:52" ht="17.100000000000001" customHeight="1" thickTop="1">
      <c r="A2084" s="109" t="s">
        <v>7108</v>
      </c>
      <c r="B2084" s="28">
        <v>45934</v>
      </c>
      <c r="C2084" s="25">
        <v>1513</v>
      </c>
      <c r="D2084" s="13" t="s">
        <v>859</v>
      </c>
      <c r="E2084" s="111"/>
      <c r="F2084" s="113" t="s">
        <v>7110</v>
      </c>
      <c r="G2084" s="114"/>
      <c r="H2084" s="115"/>
      <c r="I2084" s="24" t="s">
        <v>4109</v>
      </c>
      <c r="J2084" s="116">
        <v>4</v>
      </c>
      <c r="K2084" s="118">
        <v>1415000</v>
      </c>
      <c r="L2084" s="119"/>
      <c r="M2084" s="118">
        <f t="shared" ref="M2084" si="222">K2084*0.1</f>
        <v>141500</v>
      </c>
      <c r="N2084" s="119"/>
      <c r="O2084" s="118">
        <f>12700+1270</f>
        <v>13970</v>
      </c>
      <c r="P2084" s="119"/>
      <c r="Q2084" s="118">
        <v>19090</v>
      </c>
      <c r="R2084" s="119"/>
      <c r="S2084" s="118">
        <v>16500</v>
      </c>
      <c r="T2084" s="119"/>
      <c r="U2084" s="118">
        <f t="shared" ref="U2084" si="223">SUM(K2084:T2085)</f>
        <v>1606060</v>
      </c>
      <c r="V2084" s="122"/>
      <c r="W2084" s="124"/>
      <c r="X2084" s="126" t="s">
        <v>7112</v>
      </c>
      <c r="Y2084" s="127"/>
      <c r="Z2084" s="127"/>
      <c r="AA2084" s="127"/>
      <c r="AB2084" s="128"/>
      <c r="AC2084" s="15" t="s">
        <v>20</v>
      </c>
      <c r="AD2084" s="129" t="s">
        <v>1633</v>
      </c>
      <c r="AE2084" s="130"/>
      <c r="AF2084" s="130"/>
      <c r="AG2084" s="130"/>
      <c r="AH2084" s="130"/>
      <c r="AI2084" s="131"/>
      <c r="AJ2084" s="132"/>
      <c r="AK2084" s="127"/>
      <c r="AL2084" s="128"/>
      <c r="AM2084" s="21"/>
      <c r="AN2084" s="133">
        <v>45948</v>
      </c>
      <c r="AO2084" s="134"/>
      <c r="AP2084" s="135">
        <v>1272</v>
      </c>
      <c r="AQ2084" s="136"/>
      <c r="AR2084" s="118">
        <v>1580000</v>
      </c>
      <c r="AS2084" s="119"/>
      <c r="AT2084" s="118">
        <f t="shared" ref="AT2084" si="224">AR2084*0.1</f>
        <v>158000</v>
      </c>
      <c r="AU2084" s="119"/>
      <c r="AV2084" s="118">
        <v>19090</v>
      </c>
      <c r="AW2084" s="119"/>
      <c r="AX2084" s="118">
        <f t="shared" ref="AX2084" si="225">SUM(AR2084:AW2084)</f>
        <v>1757090</v>
      </c>
      <c r="AY2084" s="119"/>
      <c r="AZ2084" s="137">
        <v>45951</v>
      </c>
    </row>
    <row r="2085" spans="1:52" ht="17.100000000000001" customHeight="1" thickBot="1">
      <c r="A2085" s="110"/>
      <c r="B2085" s="27" t="s">
        <v>1555</v>
      </c>
      <c r="C2085" s="27">
        <v>83159</v>
      </c>
      <c r="D2085" s="14" t="s">
        <v>2836</v>
      </c>
      <c r="E2085" s="112"/>
      <c r="F2085" s="139" t="s">
        <v>7111</v>
      </c>
      <c r="G2085" s="140"/>
      <c r="H2085" s="141"/>
      <c r="I2085" s="26">
        <v>44340</v>
      </c>
      <c r="J2085" s="117"/>
      <c r="K2085" s="120"/>
      <c r="L2085" s="121"/>
      <c r="M2085" s="120"/>
      <c r="N2085" s="121"/>
      <c r="O2085" s="120"/>
      <c r="P2085" s="121"/>
      <c r="Q2085" s="120"/>
      <c r="R2085" s="121"/>
      <c r="S2085" s="120"/>
      <c r="T2085" s="121"/>
      <c r="U2085" s="120"/>
      <c r="V2085" s="123"/>
      <c r="W2085" s="125"/>
      <c r="X2085" s="142" t="s">
        <v>7719</v>
      </c>
      <c r="Y2085" s="143"/>
      <c r="Z2085" s="143"/>
      <c r="AA2085" s="143"/>
      <c r="AB2085" s="144"/>
      <c r="AC2085" s="16" t="s">
        <v>21</v>
      </c>
      <c r="AD2085" s="17" t="s">
        <v>1613</v>
      </c>
      <c r="AE2085" s="145" t="s">
        <v>2758</v>
      </c>
      <c r="AF2085" s="146"/>
      <c r="AG2085" s="146"/>
      <c r="AH2085" s="146"/>
      <c r="AI2085" s="147"/>
      <c r="AJ2085" s="148"/>
      <c r="AK2085" s="143"/>
      <c r="AL2085" s="144"/>
      <c r="AM2085" s="22"/>
      <c r="AN2085" s="149" t="s">
        <v>2511</v>
      </c>
      <c r="AO2085" s="144"/>
      <c r="AP2085" s="148">
        <v>80007</v>
      </c>
      <c r="AQ2085" s="144"/>
      <c r="AR2085" s="120"/>
      <c r="AS2085" s="121"/>
      <c r="AT2085" s="120"/>
      <c r="AU2085" s="121"/>
      <c r="AV2085" s="120"/>
      <c r="AW2085" s="121"/>
      <c r="AX2085" s="120"/>
      <c r="AY2085" s="121"/>
      <c r="AZ2085" s="138"/>
    </row>
    <row r="2086" spans="1:52" ht="17.100000000000001" customHeight="1" thickTop="1">
      <c r="A2086" s="109" t="s">
        <v>7109</v>
      </c>
      <c r="B2086" s="28">
        <v>45934</v>
      </c>
      <c r="C2086" s="25">
        <v>1513</v>
      </c>
      <c r="D2086" s="13" t="s">
        <v>1958</v>
      </c>
      <c r="E2086" s="111"/>
      <c r="F2086" s="113" t="s">
        <v>7113</v>
      </c>
      <c r="G2086" s="114"/>
      <c r="H2086" s="115"/>
      <c r="I2086" s="24" t="s">
        <v>2919</v>
      </c>
      <c r="J2086" s="116">
        <v>4.5</v>
      </c>
      <c r="K2086" s="118">
        <v>3000000</v>
      </c>
      <c r="L2086" s="119"/>
      <c r="M2086" s="118">
        <f t="shared" ref="M2086" si="226">K2086*0.1</f>
        <v>300000</v>
      </c>
      <c r="N2086" s="119"/>
      <c r="O2086" s="118">
        <f>21200+2120</f>
        <v>23320</v>
      </c>
      <c r="P2086" s="119"/>
      <c r="Q2086" s="118">
        <v>22760</v>
      </c>
      <c r="R2086" s="119"/>
      <c r="S2086" s="118">
        <v>27500</v>
      </c>
      <c r="T2086" s="119"/>
      <c r="U2086" s="118">
        <f t="shared" ref="U2086" si="227">SUM(K2086:T2087)</f>
        <v>3373580</v>
      </c>
      <c r="V2086" s="122"/>
      <c r="W2086" s="124"/>
      <c r="X2086" s="126" t="s">
        <v>7115</v>
      </c>
      <c r="Y2086" s="127"/>
      <c r="Z2086" s="127"/>
      <c r="AA2086" s="127"/>
      <c r="AB2086" s="128"/>
      <c r="AC2086" s="15" t="s">
        <v>20</v>
      </c>
      <c r="AD2086" s="129" t="s">
        <v>7116</v>
      </c>
      <c r="AE2086" s="130"/>
      <c r="AF2086" s="130"/>
      <c r="AG2086" s="130"/>
      <c r="AH2086" s="130"/>
      <c r="AI2086" s="131"/>
      <c r="AJ2086" s="132"/>
      <c r="AK2086" s="127"/>
      <c r="AL2086" s="128"/>
      <c r="AM2086" s="21"/>
      <c r="AN2086" s="133">
        <v>45939</v>
      </c>
      <c r="AO2086" s="134"/>
      <c r="AP2086" s="135">
        <v>1301</v>
      </c>
      <c r="AQ2086" s="136"/>
      <c r="AR2086" s="118">
        <v>3270000</v>
      </c>
      <c r="AS2086" s="119"/>
      <c r="AT2086" s="118">
        <v>327000</v>
      </c>
      <c r="AU2086" s="119"/>
      <c r="AV2086" s="118">
        <v>22760</v>
      </c>
      <c r="AW2086" s="119"/>
      <c r="AX2086" s="118">
        <f t="shared" ref="AX2086" si="228">SUM(AR2086:AW2086)</f>
        <v>3619760</v>
      </c>
      <c r="AY2086" s="119"/>
      <c r="AZ2086" s="137">
        <v>45940</v>
      </c>
    </row>
    <row r="2087" spans="1:52" ht="17.100000000000001" customHeight="1" thickBot="1">
      <c r="A2087" s="110"/>
      <c r="B2087" s="27" t="s">
        <v>1555</v>
      </c>
      <c r="C2087" s="27">
        <v>83160</v>
      </c>
      <c r="D2087" s="14" t="s">
        <v>275</v>
      </c>
      <c r="E2087" s="112"/>
      <c r="F2087" s="139" t="s">
        <v>7114</v>
      </c>
      <c r="G2087" s="140"/>
      <c r="H2087" s="141"/>
      <c r="I2087" s="26">
        <v>50273</v>
      </c>
      <c r="J2087" s="117"/>
      <c r="K2087" s="120"/>
      <c r="L2087" s="121"/>
      <c r="M2087" s="120"/>
      <c r="N2087" s="121"/>
      <c r="O2087" s="120"/>
      <c r="P2087" s="121"/>
      <c r="Q2087" s="120"/>
      <c r="R2087" s="121"/>
      <c r="S2087" s="120"/>
      <c r="T2087" s="121"/>
      <c r="U2087" s="120"/>
      <c r="V2087" s="123"/>
      <c r="W2087" s="125"/>
      <c r="X2087" s="142" t="s">
        <v>7544</v>
      </c>
      <c r="Y2087" s="143"/>
      <c r="Z2087" s="143"/>
      <c r="AA2087" s="143"/>
      <c r="AB2087" s="144"/>
      <c r="AC2087" s="16" t="s">
        <v>21</v>
      </c>
      <c r="AD2087" s="17" t="s">
        <v>1613</v>
      </c>
      <c r="AE2087" s="145" t="s">
        <v>7545</v>
      </c>
      <c r="AF2087" s="146"/>
      <c r="AG2087" s="146"/>
      <c r="AH2087" s="146"/>
      <c r="AI2087" s="147"/>
      <c r="AJ2087" s="148"/>
      <c r="AK2087" s="143"/>
      <c r="AL2087" s="144"/>
      <c r="AM2087" s="22"/>
      <c r="AN2087" s="149" t="s">
        <v>7579</v>
      </c>
      <c r="AO2087" s="144"/>
      <c r="AP2087" s="148">
        <v>346</v>
      </c>
      <c r="AQ2087" s="144"/>
      <c r="AR2087" s="120"/>
      <c r="AS2087" s="121"/>
      <c r="AT2087" s="120"/>
      <c r="AU2087" s="121"/>
      <c r="AV2087" s="120"/>
      <c r="AW2087" s="121"/>
      <c r="AX2087" s="120"/>
      <c r="AY2087" s="121"/>
      <c r="AZ2087" s="138"/>
    </row>
    <row r="2088" spans="1:52" ht="17.100000000000001" customHeight="1" thickTop="1">
      <c r="A2088" s="109" t="s">
        <v>7128</v>
      </c>
      <c r="B2088" s="28">
        <v>45934</v>
      </c>
      <c r="C2088" s="25">
        <v>1692</v>
      </c>
      <c r="D2088" s="13" t="s">
        <v>2458</v>
      </c>
      <c r="E2088" s="111"/>
      <c r="F2088" s="113" t="s">
        <v>7138</v>
      </c>
      <c r="G2088" s="114"/>
      <c r="H2088" s="115"/>
      <c r="I2088" s="24" t="s">
        <v>4096</v>
      </c>
      <c r="J2088" s="116">
        <v>4.5</v>
      </c>
      <c r="K2088" s="118">
        <v>2005000</v>
      </c>
      <c r="L2088" s="119"/>
      <c r="M2088" s="118">
        <f t="shared" ref="M2088" si="229">K2088*0.1</f>
        <v>200500</v>
      </c>
      <c r="N2088" s="119"/>
      <c r="O2088" s="118">
        <f>21200+2120</f>
        <v>23320</v>
      </c>
      <c r="P2088" s="119"/>
      <c r="Q2088" s="118">
        <v>17430</v>
      </c>
      <c r="R2088" s="119"/>
      <c r="S2088" s="118">
        <v>14300</v>
      </c>
      <c r="T2088" s="119"/>
      <c r="U2088" s="118">
        <f t="shared" ref="U2088" si="230">SUM(K2088:T2089)</f>
        <v>2260550</v>
      </c>
      <c r="V2088" s="122"/>
      <c r="W2088" s="124"/>
      <c r="X2088" s="126" t="s">
        <v>7140</v>
      </c>
      <c r="Y2088" s="127"/>
      <c r="Z2088" s="127"/>
      <c r="AA2088" s="127"/>
      <c r="AB2088" s="128"/>
      <c r="AC2088" s="15" t="s">
        <v>20</v>
      </c>
      <c r="AD2088" s="129" t="s">
        <v>7141</v>
      </c>
      <c r="AE2088" s="130"/>
      <c r="AF2088" s="130"/>
      <c r="AG2088" s="130"/>
      <c r="AH2088" s="130"/>
      <c r="AI2088" s="131"/>
      <c r="AJ2088" s="132"/>
      <c r="AK2088" s="127"/>
      <c r="AL2088" s="128"/>
      <c r="AM2088" s="21" t="s">
        <v>11636</v>
      </c>
      <c r="AN2088" s="133"/>
      <c r="AO2088" s="134"/>
      <c r="AP2088" s="135"/>
      <c r="AQ2088" s="136"/>
      <c r="AR2088" s="118"/>
      <c r="AS2088" s="119"/>
      <c r="AT2088" s="118">
        <f t="shared" ref="AT2088" si="231">AR2088*0.1</f>
        <v>0</v>
      </c>
      <c r="AU2088" s="119"/>
      <c r="AV2088" s="118"/>
      <c r="AW2088" s="119"/>
      <c r="AX2088" s="118">
        <f t="shared" ref="AX2088" si="232">SUM(AR2088:AW2088)</f>
        <v>0</v>
      </c>
      <c r="AY2088" s="119"/>
      <c r="AZ2088" s="137"/>
    </row>
    <row r="2089" spans="1:52" ht="17.100000000000001" customHeight="1" thickBot="1">
      <c r="A2089" s="110"/>
      <c r="B2089" s="27" t="s">
        <v>1859</v>
      </c>
      <c r="C2089" s="27">
        <v>309</v>
      </c>
      <c r="D2089" s="14" t="s">
        <v>1635</v>
      </c>
      <c r="E2089" s="112"/>
      <c r="F2089" s="139" t="s">
        <v>7139</v>
      </c>
      <c r="G2089" s="140"/>
      <c r="H2089" s="141"/>
      <c r="I2089" s="26">
        <v>19289</v>
      </c>
      <c r="J2089" s="117"/>
      <c r="K2089" s="120"/>
      <c r="L2089" s="121"/>
      <c r="M2089" s="120"/>
      <c r="N2089" s="121"/>
      <c r="O2089" s="120"/>
      <c r="P2089" s="121"/>
      <c r="Q2089" s="120"/>
      <c r="R2089" s="121"/>
      <c r="S2089" s="120"/>
      <c r="T2089" s="121"/>
      <c r="U2089" s="120"/>
      <c r="V2089" s="123"/>
      <c r="W2089" s="125"/>
      <c r="X2089" s="142" t="s">
        <v>1861</v>
      </c>
      <c r="Y2089" s="143"/>
      <c r="Z2089" s="143"/>
      <c r="AA2089" s="143"/>
      <c r="AB2089" s="144"/>
      <c r="AC2089" s="16" t="s">
        <v>21</v>
      </c>
      <c r="AD2089" s="17" t="s">
        <v>1613</v>
      </c>
      <c r="AE2089" s="145" t="s">
        <v>2549</v>
      </c>
      <c r="AF2089" s="146"/>
      <c r="AG2089" s="146"/>
      <c r="AH2089" s="146"/>
      <c r="AI2089" s="147"/>
      <c r="AJ2089" s="148"/>
      <c r="AK2089" s="143"/>
      <c r="AL2089" s="144"/>
      <c r="AM2089" s="22"/>
      <c r="AN2089" s="149"/>
      <c r="AO2089" s="144"/>
      <c r="AP2089" s="148"/>
      <c r="AQ2089" s="144"/>
      <c r="AR2089" s="120"/>
      <c r="AS2089" s="121"/>
      <c r="AT2089" s="120"/>
      <c r="AU2089" s="121"/>
      <c r="AV2089" s="120"/>
      <c r="AW2089" s="121"/>
      <c r="AX2089" s="120"/>
      <c r="AY2089" s="121"/>
      <c r="AZ2089" s="138"/>
    </row>
    <row r="2090" spans="1:52" ht="17.100000000000001" customHeight="1" thickTop="1">
      <c r="A2090" s="109" t="s">
        <v>7129</v>
      </c>
      <c r="B2090" s="28">
        <v>45934</v>
      </c>
      <c r="C2090" s="25">
        <v>1270</v>
      </c>
      <c r="D2090" s="13" t="s">
        <v>2442</v>
      </c>
      <c r="E2090" s="111"/>
      <c r="F2090" s="113" t="s">
        <v>5490</v>
      </c>
      <c r="G2090" s="114"/>
      <c r="H2090" s="115"/>
      <c r="I2090" s="24"/>
      <c r="J2090" s="116">
        <v>4</v>
      </c>
      <c r="K2090" s="118">
        <v>390000</v>
      </c>
      <c r="L2090" s="119"/>
      <c r="M2090" s="118">
        <f t="shared" ref="M2090" si="233">K2090*0.1</f>
        <v>39000</v>
      </c>
      <c r="N2090" s="119"/>
      <c r="O2090" s="118">
        <v>0</v>
      </c>
      <c r="P2090" s="119"/>
      <c r="Q2090" s="118">
        <v>7170</v>
      </c>
      <c r="R2090" s="119"/>
      <c r="S2090" s="118">
        <v>12100</v>
      </c>
      <c r="T2090" s="119"/>
      <c r="U2090" s="118">
        <f t="shared" ref="U2090" si="234">SUM(K2090:T2091)</f>
        <v>448270</v>
      </c>
      <c r="V2090" s="122"/>
      <c r="W2090" s="124"/>
      <c r="X2090" s="126" t="s">
        <v>8093</v>
      </c>
      <c r="Y2090" s="127"/>
      <c r="Z2090" s="127"/>
      <c r="AA2090" s="127"/>
      <c r="AB2090" s="128"/>
      <c r="AC2090" s="15" t="s">
        <v>20</v>
      </c>
      <c r="AD2090" s="129" t="s">
        <v>1670</v>
      </c>
      <c r="AE2090" s="130"/>
      <c r="AF2090" s="130"/>
      <c r="AG2090" s="130"/>
      <c r="AH2090" s="130"/>
      <c r="AI2090" s="131"/>
      <c r="AJ2090" s="132"/>
      <c r="AK2090" s="127"/>
      <c r="AL2090" s="128"/>
      <c r="AM2090" s="21"/>
      <c r="AN2090" s="133">
        <v>45945</v>
      </c>
      <c r="AO2090" s="134"/>
      <c r="AP2090" s="135">
        <v>988</v>
      </c>
      <c r="AQ2090" s="136"/>
      <c r="AR2090" s="118">
        <v>465000</v>
      </c>
      <c r="AS2090" s="119"/>
      <c r="AT2090" s="118">
        <v>46500</v>
      </c>
      <c r="AU2090" s="119"/>
      <c r="AV2090" s="118">
        <v>7170</v>
      </c>
      <c r="AW2090" s="119"/>
      <c r="AX2090" s="118">
        <f t="shared" ref="AX2090" si="235">SUM(AR2090:AW2090)</f>
        <v>518670</v>
      </c>
      <c r="AY2090" s="119"/>
      <c r="AZ2090" s="137">
        <v>45950</v>
      </c>
    </row>
    <row r="2091" spans="1:52" ht="17.100000000000001" customHeight="1" thickBot="1">
      <c r="A2091" s="110"/>
      <c r="B2091" s="27" t="s">
        <v>2511</v>
      </c>
      <c r="C2091" s="27">
        <v>31092</v>
      </c>
      <c r="D2091" s="14" t="s">
        <v>904</v>
      </c>
      <c r="E2091" s="112"/>
      <c r="F2091" s="139" t="s">
        <v>7148</v>
      </c>
      <c r="G2091" s="140"/>
      <c r="H2091" s="141"/>
      <c r="I2091" s="26">
        <v>45015</v>
      </c>
      <c r="J2091" s="117"/>
      <c r="K2091" s="120"/>
      <c r="L2091" s="121"/>
      <c r="M2091" s="120"/>
      <c r="N2091" s="121"/>
      <c r="O2091" s="120"/>
      <c r="P2091" s="121"/>
      <c r="Q2091" s="120"/>
      <c r="R2091" s="121"/>
      <c r="S2091" s="120"/>
      <c r="T2091" s="121"/>
      <c r="U2091" s="120"/>
      <c r="V2091" s="123"/>
      <c r="W2091" s="125"/>
      <c r="X2091" s="142" t="s">
        <v>3410</v>
      </c>
      <c r="Y2091" s="143"/>
      <c r="Z2091" s="143"/>
      <c r="AA2091" s="143"/>
      <c r="AB2091" s="144"/>
      <c r="AC2091" s="16" t="s">
        <v>21</v>
      </c>
      <c r="AD2091" s="17" t="s">
        <v>8050</v>
      </c>
      <c r="AE2091" s="145" t="s">
        <v>8092</v>
      </c>
      <c r="AF2091" s="146"/>
      <c r="AG2091" s="146"/>
      <c r="AH2091" s="146"/>
      <c r="AI2091" s="147"/>
      <c r="AJ2091" s="148" t="s">
        <v>7436</v>
      </c>
      <c r="AK2091" s="143"/>
      <c r="AL2091" s="144"/>
      <c r="AM2091" s="22"/>
      <c r="AN2091" s="149" t="s">
        <v>2794</v>
      </c>
      <c r="AO2091" s="144"/>
      <c r="AP2091" s="148">
        <v>2022</v>
      </c>
      <c r="AQ2091" s="144"/>
      <c r="AR2091" s="120"/>
      <c r="AS2091" s="121"/>
      <c r="AT2091" s="120"/>
      <c r="AU2091" s="121"/>
      <c r="AV2091" s="120"/>
      <c r="AW2091" s="121"/>
      <c r="AX2091" s="120"/>
      <c r="AY2091" s="121"/>
      <c r="AZ2091" s="138"/>
    </row>
    <row r="2092" spans="1:52" ht="17.100000000000001" customHeight="1" thickTop="1">
      <c r="A2092" s="109" t="s">
        <v>7130</v>
      </c>
      <c r="B2092" s="28">
        <v>45934</v>
      </c>
      <c r="C2092" s="25">
        <v>1270</v>
      </c>
      <c r="D2092" s="13" t="s">
        <v>2681</v>
      </c>
      <c r="E2092" s="111"/>
      <c r="F2092" s="113" t="s">
        <v>7149</v>
      </c>
      <c r="G2092" s="114"/>
      <c r="H2092" s="115"/>
      <c r="I2092" s="24" t="s">
        <v>7151</v>
      </c>
      <c r="J2092" s="116">
        <v>4</v>
      </c>
      <c r="K2092" s="118">
        <v>800000</v>
      </c>
      <c r="L2092" s="119"/>
      <c r="M2092" s="118">
        <f t="shared" ref="M2092" si="236">K2092*0.1</f>
        <v>80000</v>
      </c>
      <c r="N2092" s="119"/>
      <c r="O2092" s="118">
        <v>0</v>
      </c>
      <c r="P2092" s="119"/>
      <c r="Q2092" s="118">
        <v>8550</v>
      </c>
      <c r="R2092" s="119"/>
      <c r="S2092" s="118">
        <v>23100</v>
      </c>
      <c r="T2092" s="119"/>
      <c r="U2092" s="118">
        <f t="shared" ref="U2092" si="237">SUM(K2092:T2093)</f>
        <v>911650</v>
      </c>
      <c r="V2092" s="122"/>
      <c r="W2092" s="124"/>
      <c r="X2092" s="126" t="s">
        <v>7152</v>
      </c>
      <c r="Y2092" s="127"/>
      <c r="Z2092" s="127"/>
      <c r="AA2092" s="127"/>
      <c r="AB2092" s="128"/>
      <c r="AC2092" s="15" t="s">
        <v>20</v>
      </c>
      <c r="AD2092" s="129" t="s">
        <v>7183</v>
      </c>
      <c r="AE2092" s="130"/>
      <c r="AF2092" s="130"/>
      <c r="AG2092" s="130"/>
      <c r="AH2092" s="130"/>
      <c r="AI2092" s="131"/>
      <c r="AJ2092" s="132"/>
      <c r="AK2092" s="127"/>
      <c r="AL2092" s="128"/>
      <c r="AM2092" s="21"/>
      <c r="AN2092" s="133">
        <v>45938</v>
      </c>
      <c r="AO2092" s="134"/>
      <c r="AP2092" s="135">
        <v>987</v>
      </c>
      <c r="AQ2092" s="136"/>
      <c r="AR2092" s="118">
        <v>1000000</v>
      </c>
      <c r="AS2092" s="119"/>
      <c r="AT2092" s="118">
        <v>100000</v>
      </c>
      <c r="AU2092" s="119"/>
      <c r="AV2092" s="118">
        <v>8550</v>
      </c>
      <c r="AW2092" s="119"/>
      <c r="AX2092" s="118">
        <f t="shared" ref="AX2092" si="238">SUM(AR2092:AW2092)</f>
        <v>1108550</v>
      </c>
      <c r="AY2092" s="119"/>
      <c r="AZ2092" s="137">
        <v>45944</v>
      </c>
    </row>
    <row r="2093" spans="1:52" ht="17.100000000000001" customHeight="1" thickBot="1">
      <c r="A2093" s="110"/>
      <c r="B2093" s="27" t="s">
        <v>2511</v>
      </c>
      <c r="C2093" s="27">
        <v>31094</v>
      </c>
      <c r="D2093" s="14" t="s">
        <v>3855</v>
      </c>
      <c r="E2093" s="112"/>
      <c r="F2093" s="139" t="s">
        <v>7150</v>
      </c>
      <c r="G2093" s="140"/>
      <c r="H2093" s="141"/>
      <c r="I2093" s="26">
        <v>12889</v>
      </c>
      <c r="J2093" s="117"/>
      <c r="K2093" s="120"/>
      <c r="L2093" s="121"/>
      <c r="M2093" s="120"/>
      <c r="N2093" s="121"/>
      <c r="O2093" s="120"/>
      <c r="P2093" s="121"/>
      <c r="Q2093" s="120"/>
      <c r="R2093" s="121"/>
      <c r="S2093" s="120"/>
      <c r="T2093" s="121"/>
      <c r="U2093" s="120"/>
      <c r="V2093" s="123"/>
      <c r="W2093" s="125"/>
      <c r="X2093" s="142" t="s">
        <v>8375</v>
      </c>
      <c r="Y2093" s="143"/>
      <c r="Z2093" s="143"/>
      <c r="AA2093" s="143"/>
      <c r="AB2093" s="144"/>
      <c r="AC2093" s="16" t="s">
        <v>21</v>
      </c>
      <c r="AD2093" s="17" t="s">
        <v>3980</v>
      </c>
      <c r="AE2093" s="145" t="s">
        <v>8376</v>
      </c>
      <c r="AF2093" s="146"/>
      <c r="AG2093" s="146"/>
      <c r="AH2093" s="146"/>
      <c r="AI2093" s="147"/>
      <c r="AJ2093" s="148" t="s">
        <v>7435</v>
      </c>
      <c r="AK2093" s="143"/>
      <c r="AL2093" s="144"/>
      <c r="AM2093" s="22"/>
      <c r="AN2093" s="149" t="s">
        <v>2794</v>
      </c>
      <c r="AO2093" s="144"/>
      <c r="AP2093" s="148">
        <v>2058</v>
      </c>
      <c r="AQ2093" s="144"/>
      <c r="AR2093" s="120"/>
      <c r="AS2093" s="121"/>
      <c r="AT2093" s="120"/>
      <c r="AU2093" s="121"/>
      <c r="AV2093" s="120"/>
      <c r="AW2093" s="121"/>
      <c r="AX2093" s="120"/>
      <c r="AY2093" s="121"/>
      <c r="AZ2093" s="138"/>
    </row>
    <row r="2094" spans="1:52" ht="17.100000000000001" customHeight="1" thickTop="1">
      <c r="A2094" s="109" t="s">
        <v>7131</v>
      </c>
      <c r="B2094" s="28">
        <v>45934</v>
      </c>
      <c r="C2094" s="25">
        <v>1270</v>
      </c>
      <c r="D2094" s="13" t="s">
        <v>1606</v>
      </c>
      <c r="E2094" s="111"/>
      <c r="F2094" s="113" t="s">
        <v>5435</v>
      </c>
      <c r="G2094" s="114"/>
      <c r="H2094" s="115"/>
      <c r="I2094" s="24"/>
      <c r="J2094" s="116">
        <v>4</v>
      </c>
      <c r="K2094" s="118">
        <v>365000</v>
      </c>
      <c r="L2094" s="119"/>
      <c r="M2094" s="118">
        <f t="shared" ref="M2094" si="239">K2094*0.1</f>
        <v>36500</v>
      </c>
      <c r="N2094" s="119"/>
      <c r="O2094" s="118">
        <v>0</v>
      </c>
      <c r="P2094" s="119"/>
      <c r="Q2094" s="118">
        <v>7950</v>
      </c>
      <c r="R2094" s="119"/>
      <c r="S2094" s="118">
        <v>12100</v>
      </c>
      <c r="T2094" s="119"/>
      <c r="U2094" s="118">
        <f t="shared" ref="U2094" si="240">SUM(K2094:T2095)</f>
        <v>421550</v>
      </c>
      <c r="V2094" s="122"/>
      <c r="W2094" s="124"/>
      <c r="X2094" s="126" t="s">
        <v>8097</v>
      </c>
      <c r="Y2094" s="127"/>
      <c r="Z2094" s="127"/>
      <c r="AA2094" s="127"/>
      <c r="AB2094" s="128"/>
      <c r="AC2094" s="15" t="s">
        <v>20</v>
      </c>
      <c r="AD2094" s="129" t="s">
        <v>186</v>
      </c>
      <c r="AE2094" s="130"/>
      <c r="AF2094" s="130"/>
      <c r="AG2094" s="130"/>
      <c r="AH2094" s="130"/>
      <c r="AI2094" s="131"/>
      <c r="AJ2094" s="132"/>
      <c r="AK2094" s="127"/>
      <c r="AL2094" s="128"/>
      <c r="AM2094" s="21"/>
      <c r="AN2094" s="133">
        <v>45948</v>
      </c>
      <c r="AO2094" s="134"/>
      <c r="AP2094" s="135">
        <v>1272</v>
      </c>
      <c r="AQ2094" s="136"/>
      <c r="AR2094" s="118">
        <v>445000</v>
      </c>
      <c r="AS2094" s="119"/>
      <c r="AT2094" s="118">
        <f t="shared" ref="AT2094" si="241">AR2094*0.1</f>
        <v>44500</v>
      </c>
      <c r="AU2094" s="119"/>
      <c r="AV2094" s="118">
        <v>7950</v>
      </c>
      <c r="AW2094" s="119"/>
      <c r="AX2094" s="118">
        <f t="shared" ref="AX2094" si="242">SUM(AR2094:AW2094)</f>
        <v>497450</v>
      </c>
      <c r="AY2094" s="119"/>
      <c r="AZ2094" s="137">
        <v>45952</v>
      </c>
    </row>
    <row r="2095" spans="1:52" ht="17.100000000000001" customHeight="1" thickBot="1">
      <c r="A2095" s="110"/>
      <c r="B2095" s="27" t="s">
        <v>2511</v>
      </c>
      <c r="C2095" s="27">
        <v>31205</v>
      </c>
      <c r="D2095" s="14" t="s">
        <v>3809</v>
      </c>
      <c r="E2095" s="112"/>
      <c r="F2095" s="139" t="s">
        <v>7153</v>
      </c>
      <c r="G2095" s="140"/>
      <c r="H2095" s="141"/>
      <c r="I2095" s="26">
        <v>60252</v>
      </c>
      <c r="J2095" s="117"/>
      <c r="K2095" s="120"/>
      <c r="L2095" s="121"/>
      <c r="M2095" s="120"/>
      <c r="N2095" s="121"/>
      <c r="O2095" s="120"/>
      <c r="P2095" s="121"/>
      <c r="Q2095" s="120"/>
      <c r="R2095" s="121"/>
      <c r="S2095" s="120"/>
      <c r="T2095" s="121"/>
      <c r="U2095" s="120"/>
      <c r="V2095" s="123"/>
      <c r="W2095" s="125"/>
      <c r="X2095" s="142" t="s">
        <v>1997</v>
      </c>
      <c r="Y2095" s="143"/>
      <c r="Z2095" s="143"/>
      <c r="AA2095" s="143"/>
      <c r="AB2095" s="144"/>
      <c r="AC2095" s="16" t="s">
        <v>21</v>
      </c>
      <c r="AD2095" s="17" t="s">
        <v>8050</v>
      </c>
      <c r="AE2095" s="145" t="s">
        <v>7843</v>
      </c>
      <c r="AF2095" s="146"/>
      <c r="AG2095" s="146"/>
      <c r="AH2095" s="146"/>
      <c r="AI2095" s="147"/>
      <c r="AJ2095" s="148"/>
      <c r="AK2095" s="143"/>
      <c r="AL2095" s="144"/>
      <c r="AM2095" s="22"/>
      <c r="AN2095" s="149" t="s">
        <v>7284</v>
      </c>
      <c r="AO2095" s="144"/>
      <c r="AP2095" s="148">
        <v>60301</v>
      </c>
      <c r="AQ2095" s="144"/>
      <c r="AR2095" s="120"/>
      <c r="AS2095" s="121"/>
      <c r="AT2095" s="120"/>
      <c r="AU2095" s="121"/>
      <c r="AV2095" s="120"/>
      <c r="AW2095" s="121"/>
      <c r="AX2095" s="120"/>
      <c r="AY2095" s="121"/>
      <c r="AZ2095" s="138"/>
    </row>
    <row r="2096" spans="1:52" ht="17.100000000000001" customHeight="1" thickTop="1">
      <c r="A2096" s="109" t="s">
        <v>7132</v>
      </c>
      <c r="B2096" s="28">
        <v>45934</v>
      </c>
      <c r="C2096" s="25">
        <v>1270</v>
      </c>
      <c r="D2096" s="13" t="s">
        <v>1999</v>
      </c>
      <c r="E2096" s="111"/>
      <c r="F2096" s="113" t="s">
        <v>2907</v>
      </c>
      <c r="G2096" s="114"/>
      <c r="H2096" s="115"/>
      <c r="I2096" s="24"/>
      <c r="J2096" s="116">
        <v>4</v>
      </c>
      <c r="K2096" s="118">
        <v>800000</v>
      </c>
      <c r="L2096" s="119"/>
      <c r="M2096" s="118">
        <f t="shared" ref="M2096" si="243">K2096*0.1</f>
        <v>80000</v>
      </c>
      <c r="N2096" s="119"/>
      <c r="O2096" s="118">
        <v>0</v>
      </c>
      <c r="P2096" s="119"/>
      <c r="Q2096" s="118">
        <v>9170</v>
      </c>
      <c r="R2096" s="119"/>
      <c r="S2096" s="118">
        <v>23100</v>
      </c>
      <c r="T2096" s="119"/>
      <c r="U2096" s="118">
        <f t="shared" ref="U2096" si="244">SUM(K2096:T2097)</f>
        <v>912270</v>
      </c>
      <c r="V2096" s="122"/>
      <c r="W2096" s="124"/>
      <c r="X2096" s="126"/>
      <c r="Y2096" s="127"/>
      <c r="Z2096" s="127"/>
      <c r="AA2096" s="127"/>
      <c r="AB2096" s="128"/>
      <c r="AC2096" s="15" t="s">
        <v>20</v>
      </c>
      <c r="AD2096" s="129"/>
      <c r="AE2096" s="130"/>
      <c r="AF2096" s="130"/>
      <c r="AG2096" s="130"/>
      <c r="AH2096" s="130"/>
      <c r="AI2096" s="131"/>
      <c r="AJ2096" s="132"/>
      <c r="AK2096" s="127"/>
      <c r="AL2096" s="128"/>
      <c r="AM2096" s="21"/>
      <c r="AN2096" s="133">
        <v>45938</v>
      </c>
      <c r="AO2096" s="134"/>
      <c r="AP2096" s="135">
        <v>987</v>
      </c>
      <c r="AQ2096" s="136"/>
      <c r="AR2096" s="118">
        <v>970000</v>
      </c>
      <c r="AS2096" s="119"/>
      <c r="AT2096" s="118">
        <v>97000</v>
      </c>
      <c r="AU2096" s="119"/>
      <c r="AV2096" s="118">
        <v>9170</v>
      </c>
      <c r="AW2096" s="119"/>
      <c r="AX2096" s="118">
        <f t="shared" ref="AX2096" si="245">SUM(AR2096:AW2096)</f>
        <v>1076170</v>
      </c>
      <c r="AY2096" s="119"/>
      <c r="AZ2096" s="137">
        <v>45944</v>
      </c>
    </row>
    <row r="2097" spans="1:52" ht="17.100000000000001" customHeight="1" thickBot="1">
      <c r="A2097" s="110"/>
      <c r="B2097" s="27" t="s">
        <v>2511</v>
      </c>
      <c r="C2097" s="27">
        <v>31229</v>
      </c>
      <c r="D2097" s="14" t="s">
        <v>1592</v>
      </c>
      <c r="E2097" s="112"/>
      <c r="F2097" s="139" t="s">
        <v>7154</v>
      </c>
      <c r="G2097" s="140"/>
      <c r="H2097" s="141"/>
      <c r="I2097" s="26">
        <v>21947</v>
      </c>
      <c r="J2097" s="117"/>
      <c r="K2097" s="120"/>
      <c r="L2097" s="121"/>
      <c r="M2097" s="120"/>
      <c r="N2097" s="121"/>
      <c r="O2097" s="120"/>
      <c r="P2097" s="121"/>
      <c r="Q2097" s="120"/>
      <c r="R2097" s="121"/>
      <c r="S2097" s="120"/>
      <c r="T2097" s="121"/>
      <c r="U2097" s="120"/>
      <c r="V2097" s="123"/>
      <c r="W2097" s="125"/>
      <c r="X2097" s="142" t="s">
        <v>8375</v>
      </c>
      <c r="Y2097" s="143"/>
      <c r="Z2097" s="143"/>
      <c r="AA2097" s="143"/>
      <c r="AB2097" s="144"/>
      <c r="AC2097" s="16" t="s">
        <v>21</v>
      </c>
      <c r="AD2097" s="17" t="s">
        <v>3980</v>
      </c>
      <c r="AE2097" s="145" t="s">
        <v>8376</v>
      </c>
      <c r="AF2097" s="146"/>
      <c r="AG2097" s="146"/>
      <c r="AH2097" s="146"/>
      <c r="AI2097" s="147"/>
      <c r="AJ2097" s="148"/>
      <c r="AK2097" s="143"/>
      <c r="AL2097" s="144"/>
      <c r="AM2097" s="22"/>
      <c r="AN2097" s="149" t="s">
        <v>2794</v>
      </c>
      <c r="AO2097" s="144"/>
      <c r="AP2097" s="148">
        <v>2052</v>
      </c>
      <c r="AQ2097" s="144"/>
      <c r="AR2097" s="120"/>
      <c r="AS2097" s="121"/>
      <c r="AT2097" s="120"/>
      <c r="AU2097" s="121"/>
      <c r="AV2097" s="120"/>
      <c r="AW2097" s="121"/>
      <c r="AX2097" s="120"/>
      <c r="AY2097" s="121"/>
      <c r="AZ2097" s="138"/>
    </row>
    <row r="2098" spans="1:52" ht="17.100000000000001" customHeight="1" thickTop="1">
      <c r="A2098" s="109" t="s">
        <v>7133</v>
      </c>
      <c r="B2098" s="28">
        <v>45934</v>
      </c>
      <c r="C2098" s="25">
        <v>1270</v>
      </c>
      <c r="D2098" s="13" t="s">
        <v>7155</v>
      </c>
      <c r="E2098" s="111"/>
      <c r="F2098" s="113" t="s">
        <v>2982</v>
      </c>
      <c r="G2098" s="114"/>
      <c r="H2098" s="115"/>
      <c r="I2098" s="24" t="s">
        <v>3463</v>
      </c>
      <c r="J2098" s="116">
        <v>4</v>
      </c>
      <c r="K2098" s="118">
        <v>753000</v>
      </c>
      <c r="L2098" s="119"/>
      <c r="M2098" s="118">
        <f t="shared" ref="M2098" si="246">K2098*0.1</f>
        <v>75300</v>
      </c>
      <c r="N2098" s="119"/>
      <c r="O2098" s="118">
        <v>0</v>
      </c>
      <c r="P2098" s="119"/>
      <c r="Q2098" s="118">
        <v>9010</v>
      </c>
      <c r="R2098" s="119"/>
      <c r="S2098" s="118">
        <v>11000</v>
      </c>
      <c r="T2098" s="119"/>
      <c r="U2098" s="118">
        <f t="shared" ref="U2098" si="247">SUM(K2098:T2099)</f>
        <v>848310</v>
      </c>
      <c r="V2098" s="122"/>
      <c r="W2098" s="124"/>
      <c r="X2098" s="126" t="s">
        <v>7157</v>
      </c>
      <c r="Y2098" s="127"/>
      <c r="Z2098" s="127"/>
      <c r="AA2098" s="127"/>
      <c r="AB2098" s="128"/>
      <c r="AC2098" s="15" t="s">
        <v>20</v>
      </c>
      <c r="AD2098" s="129"/>
      <c r="AE2098" s="130"/>
      <c r="AF2098" s="130"/>
      <c r="AG2098" s="130"/>
      <c r="AH2098" s="130"/>
      <c r="AI2098" s="131"/>
      <c r="AJ2098" s="132"/>
      <c r="AK2098" s="127"/>
      <c r="AL2098" s="128"/>
      <c r="AM2098" s="21"/>
      <c r="AN2098" s="133">
        <v>45938</v>
      </c>
      <c r="AO2098" s="134"/>
      <c r="AP2098" s="135">
        <v>987</v>
      </c>
      <c r="AQ2098" s="136"/>
      <c r="AR2098" s="118">
        <v>920000</v>
      </c>
      <c r="AS2098" s="119"/>
      <c r="AT2098" s="118">
        <v>92000</v>
      </c>
      <c r="AU2098" s="119"/>
      <c r="AV2098" s="118">
        <v>9010</v>
      </c>
      <c r="AW2098" s="119"/>
      <c r="AX2098" s="118">
        <f t="shared" ref="AX2098" si="248">SUM(AR2098:AW2098)</f>
        <v>1021010</v>
      </c>
      <c r="AY2098" s="119"/>
      <c r="AZ2098" s="137">
        <v>45944</v>
      </c>
    </row>
    <row r="2099" spans="1:52" ht="17.100000000000001" customHeight="1" thickBot="1">
      <c r="A2099" s="110"/>
      <c r="B2099" s="27" t="s">
        <v>2511</v>
      </c>
      <c r="C2099" s="27">
        <v>62047</v>
      </c>
      <c r="D2099" s="14" t="s">
        <v>275</v>
      </c>
      <c r="E2099" s="112"/>
      <c r="F2099" s="139" t="s">
        <v>7156</v>
      </c>
      <c r="G2099" s="140"/>
      <c r="H2099" s="141"/>
      <c r="I2099" s="26">
        <v>71010</v>
      </c>
      <c r="J2099" s="117"/>
      <c r="K2099" s="120"/>
      <c r="L2099" s="121"/>
      <c r="M2099" s="120"/>
      <c r="N2099" s="121"/>
      <c r="O2099" s="120"/>
      <c r="P2099" s="121"/>
      <c r="Q2099" s="120"/>
      <c r="R2099" s="121"/>
      <c r="S2099" s="120"/>
      <c r="T2099" s="121"/>
      <c r="U2099" s="120"/>
      <c r="V2099" s="123"/>
      <c r="W2099" s="125"/>
      <c r="X2099" s="142" t="s">
        <v>8375</v>
      </c>
      <c r="Y2099" s="143"/>
      <c r="Z2099" s="143"/>
      <c r="AA2099" s="143"/>
      <c r="AB2099" s="144"/>
      <c r="AC2099" s="16" t="s">
        <v>21</v>
      </c>
      <c r="AD2099" s="17" t="s">
        <v>3980</v>
      </c>
      <c r="AE2099" s="145" t="s">
        <v>8377</v>
      </c>
      <c r="AF2099" s="146"/>
      <c r="AG2099" s="146"/>
      <c r="AH2099" s="146"/>
      <c r="AI2099" s="147"/>
      <c r="AJ2099" s="148"/>
      <c r="AK2099" s="143"/>
      <c r="AL2099" s="144"/>
      <c r="AM2099" s="22"/>
      <c r="AN2099" s="149" t="s">
        <v>2794</v>
      </c>
      <c r="AO2099" s="144"/>
      <c r="AP2099" s="148">
        <v>2047</v>
      </c>
      <c r="AQ2099" s="144"/>
      <c r="AR2099" s="120"/>
      <c r="AS2099" s="121"/>
      <c r="AT2099" s="120"/>
      <c r="AU2099" s="121"/>
      <c r="AV2099" s="120"/>
      <c r="AW2099" s="121"/>
      <c r="AX2099" s="120"/>
      <c r="AY2099" s="121"/>
      <c r="AZ2099" s="138"/>
    </row>
    <row r="2100" spans="1:52" ht="17.100000000000001" customHeight="1" thickTop="1">
      <c r="A2100" s="109" t="s">
        <v>7134</v>
      </c>
      <c r="B2100" s="28">
        <v>45934</v>
      </c>
      <c r="C2100" s="25">
        <v>1270</v>
      </c>
      <c r="D2100" s="13" t="s">
        <v>2859</v>
      </c>
      <c r="E2100" s="111"/>
      <c r="F2100" s="113" t="s">
        <v>7158</v>
      </c>
      <c r="G2100" s="114"/>
      <c r="H2100" s="115"/>
      <c r="I2100" s="24" t="s">
        <v>2858</v>
      </c>
      <c r="J2100" s="116">
        <v>4.5</v>
      </c>
      <c r="K2100" s="118">
        <v>635000</v>
      </c>
      <c r="L2100" s="119"/>
      <c r="M2100" s="118">
        <f t="shared" ref="M2100" si="249">K2100*0.1</f>
        <v>63500</v>
      </c>
      <c r="N2100" s="119"/>
      <c r="O2100" s="118">
        <v>0</v>
      </c>
      <c r="P2100" s="119"/>
      <c r="Q2100" s="118">
        <v>8230</v>
      </c>
      <c r="R2100" s="119"/>
      <c r="S2100" s="118">
        <v>13200</v>
      </c>
      <c r="T2100" s="119"/>
      <c r="U2100" s="118">
        <f t="shared" ref="U2100" si="250">SUM(K2100:T2101)</f>
        <v>719930</v>
      </c>
      <c r="V2100" s="122"/>
      <c r="W2100" s="124"/>
      <c r="X2100" s="126" t="s">
        <v>8090</v>
      </c>
      <c r="Y2100" s="127"/>
      <c r="Z2100" s="127"/>
      <c r="AA2100" s="127"/>
      <c r="AB2100" s="128"/>
      <c r="AC2100" s="15" t="s">
        <v>20</v>
      </c>
      <c r="AD2100" s="129" t="s">
        <v>3896</v>
      </c>
      <c r="AE2100" s="130"/>
      <c r="AF2100" s="130"/>
      <c r="AG2100" s="130"/>
      <c r="AH2100" s="130"/>
      <c r="AI2100" s="131"/>
      <c r="AJ2100" s="132"/>
      <c r="AK2100" s="127"/>
      <c r="AL2100" s="128"/>
      <c r="AM2100" s="21"/>
      <c r="AN2100" s="133">
        <v>45945</v>
      </c>
      <c r="AO2100" s="134"/>
      <c r="AP2100" s="135">
        <v>988</v>
      </c>
      <c r="AQ2100" s="136"/>
      <c r="AR2100" s="118">
        <v>700000</v>
      </c>
      <c r="AS2100" s="119"/>
      <c r="AT2100" s="118">
        <v>70000</v>
      </c>
      <c r="AU2100" s="119"/>
      <c r="AV2100" s="118">
        <v>8230</v>
      </c>
      <c r="AW2100" s="119"/>
      <c r="AX2100" s="118">
        <f t="shared" ref="AX2100" si="251">SUM(AR2100:AW2100)</f>
        <v>778230</v>
      </c>
      <c r="AY2100" s="119"/>
      <c r="AZ2100" s="137">
        <v>45950</v>
      </c>
    </row>
    <row r="2101" spans="1:52" ht="17.100000000000001" customHeight="1" thickBot="1">
      <c r="A2101" s="110"/>
      <c r="B2101" s="27" t="s">
        <v>2511</v>
      </c>
      <c r="C2101" s="27">
        <v>65007</v>
      </c>
      <c r="D2101" s="14" t="s">
        <v>275</v>
      </c>
      <c r="E2101" s="112"/>
      <c r="F2101" s="139" t="s">
        <v>7159</v>
      </c>
      <c r="G2101" s="140"/>
      <c r="H2101" s="141"/>
      <c r="I2101" s="26">
        <v>76256</v>
      </c>
      <c r="J2101" s="117"/>
      <c r="K2101" s="120"/>
      <c r="L2101" s="121"/>
      <c r="M2101" s="120"/>
      <c r="N2101" s="121"/>
      <c r="O2101" s="120"/>
      <c r="P2101" s="121"/>
      <c r="Q2101" s="120"/>
      <c r="R2101" s="121"/>
      <c r="S2101" s="120"/>
      <c r="T2101" s="121"/>
      <c r="U2101" s="120"/>
      <c r="V2101" s="123"/>
      <c r="W2101" s="125"/>
      <c r="X2101" s="142" t="s">
        <v>8091</v>
      </c>
      <c r="Y2101" s="143"/>
      <c r="Z2101" s="143"/>
      <c r="AA2101" s="143"/>
      <c r="AB2101" s="144"/>
      <c r="AC2101" s="16" t="s">
        <v>21</v>
      </c>
      <c r="AD2101" s="17" t="s">
        <v>8050</v>
      </c>
      <c r="AE2101" s="145" t="s">
        <v>8089</v>
      </c>
      <c r="AF2101" s="146"/>
      <c r="AG2101" s="146"/>
      <c r="AH2101" s="146"/>
      <c r="AI2101" s="147"/>
      <c r="AJ2101" s="148"/>
      <c r="AK2101" s="143"/>
      <c r="AL2101" s="144"/>
      <c r="AM2101" s="22"/>
      <c r="AN2101" s="149" t="s">
        <v>2794</v>
      </c>
      <c r="AO2101" s="144"/>
      <c r="AP2101" s="148">
        <v>2021</v>
      </c>
      <c r="AQ2101" s="144"/>
      <c r="AR2101" s="120"/>
      <c r="AS2101" s="121"/>
      <c r="AT2101" s="120"/>
      <c r="AU2101" s="121"/>
      <c r="AV2101" s="120"/>
      <c r="AW2101" s="121"/>
      <c r="AX2101" s="120"/>
      <c r="AY2101" s="121"/>
      <c r="AZ2101" s="138"/>
    </row>
    <row r="2102" spans="1:52" ht="17.100000000000001" customHeight="1" thickTop="1">
      <c r="A2102" s="109" t="s">
        <v>7135</v>
      </c>
      <c r="B2102" s="28">
        <v>45934</v>
      </c>
      <c r="C2102" s="25">
        <v>1270</v>
      </c>
      <c r="D2102" s="13" t="s">
        <v>1831</v>
      </c>
      <c r="E2102" s="111"/>
      <c r="F2102" s="113" t="s">
        <v>2598</v>
      </c>
      <c r="G2102" s="114"/>
      <c r="H2102" s="115"/>
      <c r="I2102" s="24"/>
      <c r="J2102" s="116">
        <v>4</v>
      </c>
      <c r="K2102" s="118">
        <v>605000</v>
      </c>
      <c r="L2102" s="119"/>
      <c r="M2102" s="118">
        <f t="shared" ref="M2102" si="252">K2102*0.1</f>
        <v>60500</v>
      </c>
      <c r="N2102" s="119"/>
      <c r="O2102" s="118">
        <v>0</v>
      </c>
      <c r="P2102" s="119"/>
      <c r="Q2102" s="118">
        <v>9910</v>
      </c>
      <c r="R2102" s="119"/>
      <c r="S2102" s="118">
        <v>12100</v>
      </c>
      <c r="T2102" s="119"/>
      <c r="U2102" s="118">
        <f t="shared" ref="U2102" si="253">SUM(K2102:T2103)</f>
        <v>687510</v>
      </c>
      <c r="V2102" s="122"/>
      <c r="W2102" s="124"/>
      <c r="X2102" s="126" t="s">
        <v>8096</v>
      </c>
      <c r="Y2102" s="127"/>
      <c r="Z2102" s="127"/>
      <c r="AA2102" s="127"/>
      <c r="AB2102" s="128"/>
      <c r="AC2102" s="15" t="s">
        <v>20</v>
      </c>
      <c r="AD2102" s="129" t="s">
        <v>1581</v>
      </c>
      <c r="AE2102" s="130"/>
      <c r="AF2102" s="130"/>
      <c r="AG2102" s="130"/>
      <c r="AH2102" s="130"/>
      <c r="AI2102" s="131"/>
      <c r="AJ2102" s="132"/>
      <c r="AK2102" s="127"/>
      <c r="AL2102" s="128"/>
      <c r="AM2102" s="21"/>
      <c r="AN2102" s="133">
        <v>45969</v>
      </c>
      <c r="AO2102" s="134"/>
      <c r="AP2102" s="135">
        <v>1275</v>
      </c>
      <c r="AQ2102" s="136"/>
      <c r="AR2102" s="118">
        <v>640000</v>
      </c>
      <c r="AS2102" s="119"/>
      <c r="AT2102" s="118">
        <f t="shared" ref="AT2102" si="254">AR2102*0.1</f>
        <v>64000</v>
      </c>
      <c r="AU2102" s="119"/>
      <c r="AV2102" s="118">
        <v>9910</v>
      </c>
      <c r="AW2102" s="119"/>
      <c r="AX2102" s="118">
        <f t="shared" ref="AX2102" si="255">SUM(AR2102:AW2102)</f>
        <v>713910</v>
      </c>
      <c r="AY2102" s="119"/>
      <c r="AZ2102" s="137">
        <v>45972</v>
      </c>
    </row>
    <row r="2103" spans="1:52" ht="17.100000000000001" customHeight="1" thickBot="1">
      <c r="A2103" s="110"/>
      <c r="B2103" s="27" t="s">
        <v>2511</v>
      </c>
      <c r="C2103" s="27">
        <v>65124</v>
      </c>
      <c r="D2103" s="14" t="s">
        <v>2601</v>
      </c>
      <c r="E2103" s="112"/>
      <c r="F2103" s="139" t="s">
        <v>7160</v>
      </c>
      <c r="G2103" s="140"/>
      <c r="H2103" s="141"/>
      <c r="I2103" s="26">
        <v>72454</v>
      </c>
      <c r="J2103" s="117"/>
      <c r="K2103" s="120"/>
      <c r="L2103" s="121"/>
      <c r="M2103" s="120"/>
      <c r="N2103" s="121"/>
      <c r="O2103" s="120"/>
      <c r="P2103" s="121"/>
      <c r="Q2103" s="120"/>
      <c r="R2103" s="121"/>
      <c r="S2103" s="120"/>
      <c r="T2103" s="121"/>
      <c r="U2103" s="120"/>
      <c r="V2103" s="123"/>
      <c r="W2103" s="125"/>
      <c r="X2103" s="142" t="s">
        <v>2918</v>
      </c>
      <c r="Y2103" s="143"/>
      <c r="Z2103" s="143"/>
      <c r="AA2103" s="143"/>
      <c r="AB2103" s="144"/>
      <c r="AC2103" s="16" t="s">
        <v>21</v>
      </c>
      <c r="AD2103" s="17" t="s">
        <v>8050</v>
      </c>
      <c r="AE2103" s="145" t="s">
        <v>1581</v>
      </c>
      <c r="AF2103" s="146"/>
      <c r="AG2103" s="146"/>
      <c r="AH2103" s="146"/>
      <c r="AI2103" s="147"/>
      <c r="AJ2103" s="148"/>
      <c r="AK2103" s="143"/>
      <c r="AL2103" s="144"/>
      <c r="AM2103" s="22"/>
      <c r="AN2103" s="149" t="s">
        <v>7284</v>
      </c>
      <c r="AO2103" s="144"/>
      <c r="AP2103" s="148">
        <v>60249</v>
      </c>
      <c r="AQ2103" s="144"/>
      <c r="AR2103" s="120"/>
      <c r="AS2103" s="121"/>
      <c r="AT2103" s="120"/>
      <c r="AU2103" s="121"/>
      <c r="AV2103" s="120"/>
      <c r="AW2103" s="121"/>
      <c r="AX2103" s="120"/>
      <c r="AY2103" s="121"/>
      <c r="AZ2103" s="138"/>
    </row>
    <row r="2104" spans="1:52" ht="17.100000000000001" customHeight="1" thickTop="1">
      <c r="A2104" s="109" t="s">
        <v>7136</v>
      </c>
      <c r="B2104" s="28">
        <v>45934</v>
      </c>
      <c r="C2104" s="25">
        <v>1270</v>
      </c>
      <c r="D2104" s="13" t="s">
        <v>3381</v>
      </c>
      <c r="E2104" s="111"/>
      <c r="F2104" s="113" t="s">
        <v>7161</v>
      </c>
      <c r="G2104" s="114"/>
      <c r="H2104" s="115"/>
      <c r="I2104" s="24" t="s">
        <v>2861</v>
      </c>
      <c r="J2104" s="116">
        <v>4.5</v>
      </c>
      <c r="K2104" s="118">
        <v>725000</v>
      </c>
      <c r="L2104" s="119"/>
      <c r="M2104" s="118">
        <f t="shared" ref="M2104" si="256">K2104*0.1</f>
        <v>72500</v>
      </c>
      <c r="N2104" s="119"/>
      <c r="O2104" s="118">
        <v>0</v>
      </c>
      <c r="P2104" s="119"/>
      <c r="Q2104" s="118">
        <v>7500</v>
      </c>
      <c r="R2104" s="119"/>
      <c r="S2104" s="118">
        <v>12100</v>
      </c>
      <c r="T2104" s="119"/>
      <c r="U2104" s="118">
        <f t="shared" ref="U2104" si="257">SUM(K2104:T2105)</f>
        <v>817100</v>
      </c>
      <c r="V2104" s="122"/>
      <c r="W2104" s="124"/>
      <c r="X2104" s="126" t="s">
        <v>7163</v>
      </c>
      <c r="Y2104" s="127"/>
      <c r="Z2104" s="127"/>
      <c r="AA2104" s="127"/>
      <c r="AB2104" s="128"/>
      <c r="AC2104" s="15" t="s">
        <v>20</v>
      </c>
      <c r="AD2104" s="129" t="s">
        <v>1581</v>
      </c>
      <c r="AE2104" s="130"/>
      <c r="AF2104" s="130"/>
      <c r="AG2104" s="130"/>
      <c r="AH2104" s="130"/>
      <c r="AI2104" s="131"/>
      <c r="AJ2104" s="132"/>
      <c r="AK2104" s="127"/>
      <c r="AL2104" s="128"/>
      <c r="AM2104" s="21"/>
      <c r="AN2104" s="133">
        <v>46011</v>
      </c>
      <c r="AO2104" s="134"/>
      <c r="AP2104" s="135">
        <v>1281</v>
      </c>
      <c r="AQ2104" s="136"/>
      <c r="AR2104" s="118">
        <v>750000</v>
      </c>
      <c r="AS2104" s="119"/>
      <c r="AT2104" s="118">
        <f t="shared" ref="AT2104" si="258">AR2104*0.1</f>
        <v>75000</v>
      </c>
      <c r="AU2104" s="119"/>
      <c r="AV2104" s="118">
        <v>7500</v>
      </c>
      <c r="AW2104" s="119"/>
      <c r="AX2104" s="118">
        <f t="shared" ref="AX2104" si="259">SUM(AR2104:AW2104)</f>
        <v>832500</v>
      </c>
      <c r="AY2104" s="119"/>
      <c r="AZ2104" s="137">
        <v>46014</v>
      </c>
    </row>
    <row r="2105" spans="1:52" ht="17.100000000000001" customHeight="1" thickBot="1">
      <c r="A2105" s="110"/>
      <c r="B2105" s="27" t="s">
        <v>2511</v>
      </c>
      <c r="C2105" s="27">
        <v>65300</v>
      </c>
      <c r="D2105" s="14" t="s">
        <v>2601</v>
      </c>
      <c r="E2105" s="112"/>
      <c r="F2105" s="139" t="s">
        <v>7162</v>
      </c>
      <c r="G2105" s="140"/>
      <c r="H2105" s="141"/>
      <c r="I2105" s="26">
        <v>70431</v>
      </c>
      <c r="J2105" s="117"/>
      <c r="K2105" s="120"/>
      <c r="L2105" s="121"/>
      <c r="M2105" s="120"/>
      <c r="N2105" s="121"/>
      <c r="O2105" s="120"/>
      <c r="P2105" s="121"/>
      <c r="Q2105" s="120"/>
      <c r="R2105" s="121"/>
      <c r="S2105" s="120"/>
      <c r="T2105" s="121"/>
      <c r="U2105" s="120"/>
      <c r="V2105" s="123"/>
      <c r="W2105" s="125"/>
      <c r="X2105" s="142" t="s">
        <v>8098</v>
      </c>
      <c r="Y2105" s="143"/>
      <c r="Z2105" s="143"/>
      <c r="AA2105" s="143"/>
      <c r="AB2105" s="144"/>
      <c r="AC2105" s="16" t="s">
        <v>21</v>
      </c>
      <c r="AD2105" s="17" t="s">
        <v>8050</v>
      </c>
      <c r="AE2105" s="145" t="s">
        <v>7904</v>
      </c>
      <c r="AF2105" s="146"/>
      <c r="AG2105" s="146"/>
      <c r="AH2105" s="146"/>
      <c r="AI2105" s="147"/>
      <c r="AJ2105" s="148"/>
      <c r="AK2105" s="143"/>
      <c r="AL2105" s="144"/>
      <c r="AM2105" s="22"/>
      <c r="AN2105" s="149" t="s">
        <v>2511</v>
      </c>
      <c r="AO2105" s="144"/>
      <c r="AP2105" s="148">
        <v>60203</v>
      </c>
      <c r="AQ2105" s="144"/>
      <c r="AR2105" s="120"/>
      <c r="AS2105" s="121"/>
      <c r="AT2105" s="120"/>
      <c r="AU2105" s="121"/>
      <c r="AV2105" s="120"/>
      <c r="AW2105" s="121"/>
      <c r="AX2105" s="120"/>
      <c r="AY2105" s="121"/>
      <c r="AZ2105" s="138"/>
    </row>
    <row r="2106" spans="1:52" ht="17.100000000000001" customHeight="1" thickTop="1">
      <c r="A2106" s="109" t="s">
        <v>7137</v>
      </c>
      <c r="B2106" s="28">
        <v>45934</v>
      </c>
      <c r="C2106" s="25">
        <v>1270</v>
      </c>
      <c r="D2106" s="13" t="s">
        <v>1825</v>
      </c>
      <c r="E2106" s="111"/>
      <c r="F2106" s="113" t="s">
        <v>7164</v>
      </c>
      <c r="G2106" s="114"/>
      <c r="H2106" s="115"/>
      <c r="I2106" s="24"/>
      <c r="J2106" s="116">
        <v>4.5</v>
      </c>
      <c r="K2106" s="118">
        <v>1170000</v>
      </c>
      <c r="L2106" s="119"/>
      <c r="M2106" s="118">
        <f t="shared" ref="M2106" si="260">K2106*0.1</f>
        <v>117000</v>
      </c>
      <c r="N2106" s="119"/>
      <c r="O2106" s="118">
        <v>0</v>
      </c>
      <c r="P2106" s="119"/>
      <c r="Q2106" s="118">
        <v>7150</v>
      </c>
      <c r="R2106" s="119"/>
      <c r="S2106" s="118">
        <v>12100</v>
      </c>
      <c r="T2106" s="119"/>
      <c r="U2106" s="118">
        <f t="shared" ref="U2106" si="261">SUM(K2106:T2107)</f>
        <v>1306250</v>
      </c>
      <c r="V2106" s="122"/>
      <c r="W2106" s="124"/>
      <c r="X2106" s="126" t="s">
        <v>8094</v>
      </c>
      <c r="Y2106" s="127"/>
      <c r="Z2106" s="127"/>
      <c r="AA2106" s="127"/>
      <c r="AB2106" s="128"/>
      <c r="AC2106" s="15" t="s">
        <v>20</v>
      </c>
      <c r="AD2106" s="129" t="s">
        <v>1605</v>
      </c>
      <c r="AE2106" s="130"/>
      <c r="AF2106" s="130"/>
      <c r="AG2106" s="130"/>
      <c r="AH2106" s="130"/>
      <c r="AI2106" s="131"/>
      <c r="AJ2106" s="132"/>
      <c r="AK2106" s="127"/>
      <c r="AL2106" s="128"/>
      <c r="AM2106" s="21"/>
      <c r="AN2106" s="133">
        <v>45944</v>
      </c>
      <c r="AO2106" s="134"/>
      <c r="AP2106" s="135">
        <v>1913</v>
      </c>
      <c r="AQ2106" s="136"/>
      <c r="AR2106" s="118">
        <v>1270000</v>
      </c>
      <c r="AS2106" s="119"/>
      <c r="AT2106" s="118">
        <v>127000</v>
      </c>
      <c r="AU2106" s="119"/>
      <c r="AV2106" s="118">
        <v>7150</v>
      </c>
      <c r="AW2106" s="119"/>
      <c r="AX2106" s="118">
        <f t="shared" ref="AX2106" si="262">SUM(AR2106:AW2106)</f>
        <v>1404150</v>
      </c>
      <c r="AY2106" s="119"/>
      <c r="AZ2106" s="137">
        <v>45950</v>
      </c>
    </row>
    <row r="2107" spans="1:52" ht="17.100000000000001" customHeight="1" thickBot="1">
      <c r="A2107" s="110"/>
      <c r="B2107" s="27" t="s">
        <v>2511</v>
      </c>
      <c r="C2107" s="27">
        <v>65360</v>
      </c>
      <c r="D2107" s="14" t="s">
        <v>2601</v>
      </c>
      <c r="E2107" s="112"/>
      <c r="F2107" s="139" t="s">
        <v>7165</v>
      </c>
      <c r="G2107" s="140"/>
      <c r="H2107" s="141"/>
      <c r="I2107" s="26">
        <v>46500</v>
      </c>
      <c r="J2107" s="117"/>
      <c r="K2107" s="120"/>
      <c r="L2107" s="121"/>
      <c r="M2107" s="120"/>
      <c r="N2107" s="121"/>
      <c r="O2107" s="120"/>
      <c r="P2107" s="121"/>
      <c r="Q2107" s="120"/>
      <c r="R2107" s="121"/>
      <c r="S2107" s="120"/>
      <c r="T2107" s="121"/>
      <c r="U2107" s="120"/>
      <c r="V2107" s="123"/>
      <c r="W2107" s="125"/>
      <c r="X2107" s="142" t="s">
        <v>8095</v>
      </c>
      <c r="Y2107" s="143"/>
      <c r="Z2107" s="143"/>
      <c r="AA2107" s="143"/>
      <c r="AB2107" s="144"/>
      <c r="AC2107" s="16" t="s">
        <v>21</v>
      </c>
      <c r="AD2107" s="17" t="s">
        <v>8050</v>
      </c>
      <c r="AE2107" s="145" t="s">
        <v>4435</v>
      </c>
      <c r="AF2107" s="146"/>
      <c r="AG2107" s="146"/>
      <c r="AH2107" s="146"/>
      <c r="AI2107" s="147"/>
      <c r="AJ2107" s="148"/>
      <c r="AK2107" s="143"/>
      <c r="AL2107" s="144"/>
      <c r="AM2107" s="22"/>
      <c r="AN2107" s="149" t="s">
        <v>2131</v>
      </c>
      <c r="AO2107" s="144"/>
      <c r="AP2107" s="148">
        <v>3173</v>
      </c>
      <c r="AQ2107" s="144"/>
      <c r="AR2107" s="120"/>
      <c r="AS2107" s="121"/>
      <c r="AT2107" s="120"/>
      <c r="AU2107" s="121"/>
      <c r="AV2107" s="120"/>
      <c r="AW2107" s="121"/>
      <c r="AX2107" s="120"/>
      <c r="AY2107" s="121"/>
      <c r="AZ2107" s="138"/>
    </row>
    <row r="2108" spans="1:52" ht="17.100000000000001" customHeight="1" thickTop="1">
      <c r="A2108" s="109" t="s">
        <v>7142</v>
      </c>
      <c r="B2108" s="28">
        <v>45934</v>
      </c>
      <c r="C2108" s="25">
        <v>1270</v>
      </c>
      <c r="D2108" s="13" t="s">
        <v>2036</v>
      </c>
      <c r="E2108" s="111"/>
      <c r="F2108" s="113" t="s">
        <v>7166</v>
      </c>
      <c r="G2108" s="114"/>
      <c r="H2108" s="115"/>
      <c r="I2108" s="24" t="s">
        <v>7168</v>
      </c>
      <c r="J2108" s="116">
        <v>4.5</v>
      </c>
      <c r="K2108" s="118">
        <v>1695000</v>
      </c>
      <c r="L2108" s="119"/>
      <c r="M2108" s="118">
        <v>169500</v>
      </c>
      <c r="N2108" s="119"/>
      <c r="O2108" s="118">
        <f>12700+1270</f>
        <v>13970</v>
      </c>
      <c r="P2108" s="119"/>
      <c r="Q2108" s="118">
        <v>17310</v>
      </c>
      <c r="R2108" s="119"/>
      <c r="S2108" s="118">
        <v>16500</v>
      </c>
      <c r="T2108" s="119"/>
      <c r="U2108" s="118">
        <f t="shared" ref="U2108" si="263">SUM(K2108:T2109)</f>
        <v>1912280</v>
      </c>
      <c r="V2108" s="122"/>
      <c r="W2108" s="124"/>
      <c r="X2108" s="126" t="s">
        <v>7169</v>
      </c>
      <c r="Y2108" s="127"/>
      <c r="Z2108" s="127"/>
      <c r="AA2108" s="127"/>
      <c r="AB2108" s="128"/>
      <c r="AC2108" s="15" t="s">
        <v>20</v>
      </c>
      <c r="AD2108" s="129" t="s">
        <v>3371</v>
      </c>
      <c r="AE2108" s="130"/>
      <c r="AF2108" s="130"/>
      <c r="AG2108" s="130"/>
      <c r="AH2108" s="130"/>
      <c r="AI2108" s="131"/>
      <c r="AJ2108" s="132"/>
      <c r="AK2108" s="127"/>
      <c r="AL2108" s="128"/>
      <c r="AM2108" s="21"/>
      <c r="AN2108" s="133">
        <v>45945</v>
      </c>
      <c r="AO2108" s="134"/>
      <c r="AP2108" s="135">
        <v>988</v>
      </c>
      <c r="AQ2108" s="136"/>
      <c r="AR2108" s="118">
        <v>1880000</v>
      </c>
      <c r="AS2108" s="119"/>
      <c r="AT2108" s="118">
        <v>188000</v>
      </c>
      <c r="AU2108" s="119"/>
      <c r="AV2108" s="118">
        <v>17310</v>
      </c>
      <c r="AW2108" s="119"/>
      <c r="AX2108" s="118">
        <f t="shared" ref="AX2108" si="264">SUM(AR2108:AW2108)</f>
        <v>2085310</v>
      </c>
      <c r="AY2108" s="119"/>
      <c r="AZ2108" s="137">
        <v>45950</v>
      </c>
    </row>
    <row r="2109" spans="1:52" ht="17.100000000000001" customHeight="1" thickBot="1">
      <c r="A2109" s="110"/>
      <c r="B2109" s="27" t="s">
        <v>2511</v>
      </c>
      <c r="C2109" s="27">
        <v>82058</v>
      </c>
      <c r="D2109" s="14" t="s">
        <v>1812</v>
      </c>
      <c r="E2109" s="112"/>
      <c r="F2109" s="139" t="s">
        <v>7167</v>
      </c>
      <c r="G2109" s="140"/>
      <c r="H2109" s="141"/>
      <c r="I2109" s="26">
        <v>18045</v>
      </c>
      <c r="J2109" s="117"/>
      <c r="K2109" s="120"/>
      <c r="L2109" s="121"/>
      <c r="M2109" s="120"/>
      <c r="N2109" s="121"/>
      <c r="O2109" s="120"/>
      <c r="P2109" s="121"/>
      <c r="Q2109" s="120"/>
      <c r="R2109" s="121"/>
      <c r="S2109" s="120"/>
      <c r="T2109" s="121"/>
      <c r="U2109" s="120"/>
      <c r="V2109" s="123"/>
      <c r="W2109" s="125"/>
      <c r="X2109" s="142" t="s">
        <v>8379</v>
      </c>
      <c r="Y2109" s="143"/>
      <c r="Z2109" s="143"/>
      <c r="AA2109" s="143"/>
      <c r="AB2109" s="144"/>
      <c r="AC2109" s="16" t="s">
        <v>21</v>
      </c>
      <c r="AD2109" s="17" t="s">
        <v>8050</v>
      </c>
      <c r="AE2109" s="145" t="s">
        <v>1633</v>
      </c>
      <c r="AF2109" s="146"/>
      <c r="AG2109" s="146"/>
      <c r="AH2109" s="146"/>
      <c r="AI2109" s="147"/>
      <c r="AJ2109" s="148"/>
      <c r="AK2109" s="143"/>
      <c r="AL2109" s="144"/>
      <c r="AM2109" s="22"/>
      <c r="AN2109" s="149" t="s">
        <v>2794</v>
      </c>
      <c r="AO2109" s="144"/>
      <c r="AP2109" s="148">
        <v>6013</v>
      </c>
      <c r="AQ2109" s="144"/>
      <c r="AR2109" s="120"/>
      <c r="AS2109" s="121"/>
      <c r="AT2109" s="120"/>
      <c r="AU2109" s="121"/>
      <c r="AV2109" s="120"/>
      <c r="AW2109" s="121"/>
      <c r="AX2109" s="120"/>
      <c r="AY2109" s="121"/>
      <c r="AZ2109" s="138"/>
    </row>
    <row r="2110" spans="1:52" ht="17.100000000000001" customHeight="1" thickTop="1">
      <c r="A2110" s="109" t="s">
        <v>7143</v>
      </c>
      <c r="B2110" s="28">
        <v>45934</v>
      </c>
      <c r="C2110" s="25">
        <v>1270</v>
      </c>
      <c r="D2110" s="13" t="s">
        <v>3478</v>
      </c>
      <c r="E2110" s="111"/>
      <c r="F2110" s="113" t="s">
        <v>7170</v>
      </c>
      <c r="G2110" s="114"/>
      <c r="H2110" s="115"/>
      <c r="I2110" s="24"/>
      <c r="J2110" s="116">
        <v>4.5</v>
      </c>
      <c r="K2110" s="118">
        <v>480000</v>
      </c>
      <c r="L2110" s="119"/>
      <c r="M2110" s="118">
        <f t="shared" ref="M2110" si="265">K2110*0.1</f>
        <v>48000</v>
      </c>
      <c r="N2110" s="119"/>
      <c r="O2110" s="118">
        <v>0</v>
      </c>
      <c r="P2110" s="119"/>
      <c r="Q2110" s="118">
        <v>19120</v>
      </c>
      <c r="R2110" s="119"/>
      <c r="S2110" s="118">
        <v>16500</v>
      </c>
      <c r="T2110" s="119"/>
      <c r="U2110" s="118">
        <f t="shared" ref="U2110" si="266">SUM(K2110:T2111)</f>
        <v>563620</v>
      </c>
      <c r="V2110" s="122"/>
      <c r="W2110" s="124"/>
      <c r="X2110" s="126"/>
      <c r="Y2110" s="127"/>
      <c r="Z2110" s="127"/>
      <c r="AA2110" s="127"/>
      <c r="AB2110" s="128"/>
      <c r="AC2110" s="15" t="s">
        <v>20</v>
      </c>
      <c r="AD2110" s="129" t="s">
        <v>7172</v>
      </c>
      <c r="AE2110" s="130"/>
      <c r="AF2110" s="130"/>
      <c r="AG2110" s="130"/>
      <c r="AH2110" s="130"/>
      <c r="AI2110" s="131"/>
      <c r="AJ2110" s="132"/>
      <c r="AK2110" s="127"/>
      <c r="AL2110" s="128"/>
      <c r="AM2110" s="21"/>
      <c r="AN2110" s="133">
        <v>45939</v>
      </c>
      <c r="AO2110" s="134"/>
      <c r="AP2110" s="135">
        <v>1301</v>
      </c>
      <c r="AQ2110" s="136"/>
      <c r="AR2110" s="118">
        <v>675000</v>
      </c>
      <c r="AS2110" s="119"/>
      <c r="AT2110" s="118">
        <v>67500</v>
      </c>
      <c r="AU2110" s="119"/>
      <c r="AV2110" s="118">
        <v>19120</v>
      </c>
      <c r="AW2110" s="119"/>
      <c r="AX2110" s="118">
        <f t="shared" ref="AX2110" si="267">SUM(AR2110:AW2110)</f>
        <v>761620</v>
      </c>
      <c r="AY2110" s="119"/>
      <c r="AZ2110" s="137">
        <v>45940</v>
      </c>
    </row>
    <row r="2111" spans="1:52" ht="17.100000000000001" customHeight="1" thickBot="1">
      <c r="A2111" s="110"/>
      <c r="B2111" s="27" t="s">
        <v>2511</v>
      </c>
      <c r="C2111" s="27">
        <v>82125</v>
      </c>
      <c r="D2111" s="14" t="s">
        <v>3327</v>
      </c>
      <c r="E2111" s="112"/>
      <c r="F2111" s="139" t="s">
        <v>7171</v>
      </c>
      <c r="G2111" s="140"/>
      <c r="H2111" s="141"/>
      <c r="I2111" s="26">
        <v>83866</v>
      </c>
      <c r="J2111" s="117"/>
      <c r="K2111" s="120"/>
      <c r="L2111" s="121"/>
      <c r="M2111" s="120"/>
      <c r="N2111" s="121"/>
      <c r="O2111" s="120"/>
      <c r="P2111" s="121"/>
      <c r="Q2111" s="120"/>
      <c r="R2111" s="121"/>
      <c r="S2111" s="120"/>
      <c r="T2111" s="121"/>
      <c r="U2111" s="120"/>
      <c r="V2111" s="123"/>
      <c r="W2111" s="125"/>
      <c r="X2111" s="142" t="s">
        <v>8375</v>
      </c>
      <c r="Y2111" s="143"/>
      <c r="Z2111" s="143"/>
      <c r="AA2111" s="143"/>
      <c r="AB2111" s="144"/>
      <c r="AC2111" s="16" t="s">
        <v>21</v>
      </c>
      <c r="AD2111" s="17" t="s">
        <v>3980</v>
      </c>
      <c r="AE2111" s="145" t="s">
        <v>8378</v>
      </c>
      <c r="AF2111" s="146"/>
      <c r="AG2111" s="146"/>
      <c r="AH2111" s="146"/>
      <c r="AI2111" s="147"/>
      <c r="AJ2111" s="148"/>
      <c r="AK2111" s="143"/>
      <c r="AL2111" s="144"/>
      <c r="AM2111" s="22"/>
      <c r="AN2111" s="149" t="s">
        <v>7579</v>
      </c>
      <c r="AO2111" s="144"/>
      <c r="AP2111" s="148">
        <v>97</v>
      </c>
      <c r="AQ2111" s="144"/>
      <c r="AR2111" s="120"/>
      <c r="AS2111" s="121"/>
      <c r="AT2111" s="120"/>
      <c r="AU2111" s="121"/>
      <c r="AV2111" s="120"/>
      <c r="AW2111" s="121"/>
      <c r="AX2111" s="120"/>
      <c r="AY2111" s="121"/>
      <c r="AZ2111" s="138"/>
    </row>
    <row r="2112" spans="1:52" ht="17.100000000000001" customHeight="1" thickTop="1">
      <c r="A2112" s="109" t="s">
        <v>7144</v>
      </c>
      <c r="B2112" s="28">
        <v>45934</v>
      </c>
      <c r="C2112" s="25">
        <v>1270</v>
      </c>
      <c r="D2112" s="13" t="s">
        <v>2970</v>
      </c>
      <c r="E2112" s="111"/>
      <c r="F2112" s="113" t="s">
        <v>7173</v>
      </c>
      <c r="G2112" s="114"/>
      <c r="H2112" s="115"/>
      <c r="I2112" s="24" t="s">
        <v>4109</v>
      </c>
      <c r="J2112" s="116">
        <v>4.5</v>
      </c>
      <c r="K2112" s="118">
        <v>1890000</v>
      </c>
      <c r="L2112" s="119"/>
      <c r="M2112" s="118">
        <f t="shared" ref="M2112" si="268">K2112*0.1</f>
        <v>189000</v>
      </c>
      <c r="N2112" s="119"/>
      <c r="O2112" s="118">
        <f>15000+1500</f>
        <v>16500</v>
      </c>
      <c r="P2112" s="119"/>
      <c r="Q2112" s="118">
        <v>20630</v>
      </c>
      <c r="R2112" s="119"/>
      <c r="S2112" s="118">
        <v>16500</v>
      </c>
      <c r="T2112" s="119"/>
      <c r="U2112" s="118">
        <f t="shared" ref="U2112" si="269">SUM(K2112:T2113)</f>
        <v>2132630</v>
      </c>
      <c r="V2112" s="122"/>
      <c r="W2112" s="124"/>
      <c r="X2112" s="126" t="s">
        <v>7174</v>
      </c>
      <c r="Y2112" s="127"/>
      <c r="Z2112" s="127"/>
      <c r="AA2112" s="127"/>
      <c r="AB2112" s="128"/>
      <c r="AC2112" s="15" t="s">
        <v>20</v>
      </c>
      <c r="AD2112" s="129" t="s">
        <v>1732</v>
      </c>
      <c r="AE2112" s="130"/>
      <c r="AF2112" s="130"/>
      <c r="AG2112" s="130"/>
      <c r="AH2112" s="130"/>
      <c r="AI2112" s="131"/>
      <c r="AJ2112" s="132"/>
      <c r="AK2112" s="127"/>
      <c r="AL2112" s="128"/>
      <c r="AM2112" s="21"/>
      <c r="AN2112" s="133">
        <v>45995</v>
      </c>
      <c r="AO2112" s="134"/>
      <c r="AP2112" s="135">
        <v>1309</v>
      </c>
      <c r="AQ2112" s="136"/>
      <c r="AR2112" s="118">
        <v>1995000</v>
      </c>
      <c r="AS2112" s="119"/>
      <c r="AT2112" s="118">
        <f t="shared" ref="AT2112" si="270">AR2112*0.1</f>
        <v>199500</v>
      </c>
      <c r="AU2112" s="119"/>
      <c r="AV2112" s="118">
        <v>20630</v>
      </c>
      <c r="AW2112" s="119"/>
      <c r="AX2112" s="118">
        <f t="shared" ref="AX2112" si="271">SUM(AR2112:AW2112)</f>
        <v>2215130</v>
      </c>
      <c r="AY2112" s="119"/>
      <c r="AZ2112" s="137">
        <v>45996</v>
      </c>
    </row>
    <row r="2113" spans="1:52" ht="17.100000000000001" customHeight="1" thickBot="1">
      <c r="A2113" s="110"/>
      <c r="B2113" s="27" t="s">
        <v>2511</v>
      </c>
      <c r="C2113" s="27">
        <v>82237</v>
      </c>
      <c r="D2113" s="14" t="s">
        <v>1576</v>
      </c>
      <c r="E2113" s="112"/>
      <c r="F2113" s="139" t="s">
        <v>7182</v>
      </c>
      <c r="G2113" s="140"/>
      <c r="H2113" s="141"/>
      <c r="I2113" s="26">
        <v>39094</v>
      </c>
      <c r="J2113" s="117"/>
      <c r="K2113" s="120"/>
      <c r="L2113" s="121"/>
      <c r="M2113" s="120"/>
      <c r="N2113" s="121"/>
      <c r="O2113" s="120"/>
      <c r="P2113" s="121"/>
      <c r="Q2113" s="120"/>
      <c r="R2113" s="121"/>
      <c r="S2113" s="120"/>
      <c r="T2113" s="121"/>
      <c r="U2113" s="120"/>
      <c r="V2113" s="123"/>
      <c r="W2113" s="125"/>
      <c r="X2113" s="142" t="s">
        <v>8381</v>
      </c>
      <c r="Y2113" s="143"/>
      <c r="Z2113" s="143"/>
      <c r="AA2113" s="143"/>
      <c r="AB2113" s="144"/>
      <c r="AC2113" s="16" t="s">
        <v>21</v>
      </c>
      <c r="AD2113" s="17" t="s">
        <v>8050</v>
      </c>
      <c r="AE2113" s="145" t="s">
        <v>1614</v>
      </c>
      <c r="AF2113" s="146"/>
      <c r="AG2113" s="146"/>
      <c r="AH2113" s="146"/>
      <c r="AI2113" s="147"/>
      <c r="AJ2113" s="148"/>
      <c r="AK2113" s="143"/>
      <c r="AL2113" s="144"/>
      <c r="AM2113" s="22" t="s">
        <v>3483</v>
      </c>
      <c r="AN2113" s="149" t="s">
        <v>7579</v>
      </c>
      <c r="AO2113" s="144"/>
      <c r="AP2113" s="148">
        <v>314</v>
      </c>
      <c r="AQ2113" s="144"/>
      <c r="AR2113" s="120"/>
      <c r="AS2113" s="121"/>
      <c r="AT2113" s="120"/>
      <c r="AU2113" s="121"/>
      <c r="AV2113" s="120"/>
      <c r="AW2113" s="121"/>
      <c r="AX2113" s="120"/>
      <c r="AY2113" s="121"/>
      <c r="AZ2113" s="138"/>
    </row>
    <row r="2114" spans="1:52" ht="17.100000000000001" customHeight="1" thickTop="1">
      <c r="A2114" s="109" t="s">
        <v>7145</v>
      </c>
      <c r="B2114" s="28">
        <v>45934</v>
      </c>
      <c r="C2114" s="25">
        <v>1270</v>
      </c>
      <c r="D2114" s="13" t="s">
        <v>1027</v>
      </c>
      <c r="E2114" s="111"/>
      <c r="F2114" s="113" t="s">
        <v>1938</v>
      </c>
      <c r="G2114" s="114"/>
      <c r="H2114" s="115"/>
      <c r="I2114" s="24" t="s">
        <v>4037</v>
      </c>
      <c r="J2114" s="116">
        <v>4.5</v>
      </c>
      <c r="K2114" s="118">
        <v>420000</v>
      </c>
      <c r="L2114" s="119"/>
      <c r="M2114" s="118">
        <f t="shared" ref="M2114" si="272">K2114*0.1</f>
        <v>42000</v>
      </c>
      <c r="N2114" s="119"/>
      <c r="O2114" s="118">
        <f>14300+1430</f>
        <v>15730</v>
      </c>
      <c r="P2114" s="119"/>
      <c r="Q2114" s="118">
        <v>17700</v>
      </c>
      <c r="R2114" s="119"/>
      <c r="S2114" s="118">
        <v>23100</v>
      </c>
      <c r="T2114" s="119"/>
      <c r="U2114" s="118">
        <f t="shared" ref="U2114" si="273">SUM(K2114:T2115)</f>
        <v>518530</v>
      </c>
      <c r="V2114" s="122"/>
      <c r="W2114" s="124"/>
      <c r="X2114" s="126" t="s">
        <v>7176</v>
      </c>
      <c r="Y2114" s="127"/>
      <c r="Z2114" s="127"/>
      <c r="AA2114" s="127"/>
      <c r="AB2114" s="128"/>
      <c r="AC2114" s="15" t="s">
        <v>20</v>
      </c>
      <c r="AD2114" s="129" t="s">
        <v>1732</v>
      </c>
      <c r="AE2114" s="130"/>
      <c r="AF2114" s="130"/>
      <c r="AG2114" s="130"/>
      <c r="AH2114" s="130"/>
      <c r="AI2114" s="131"/>
      <c r="AJ2114" s="132"/>
      <c r="AK2114" s="127"/>
      <c r="AL2114" s="128"/>
      <c r="AM2114" s="21"/>
      <c r="AN2114" s="133">
        <v>45955</v>
      </c>
      <c r="AO2114" s="134"/>
      <c r="AP2114" s="135">
        <v>1273</v>
      </c>
      <c r="AQ2114" s="136"/>
      <c r="AR2114" s="118">
        <v>525000</v>
      </c>
      <c r="AS2114" s="119"/>
      <c r="AT2114" s="118">
        <f t="shared" ref="AT2114" si="274">AR2114*0.1</f>
        <v>52500</v>
      </c>
      <c r="AU2114" s="119"/>
      <c r="AV2114" s="118">
        <v>17700</v>
      </c>
      <c r="AW2114" s="119"/>
      <c r="AX2114" s="118">
        <f t="shared" ref="AX2114" si="275">SUM(AR2114:AW2114)</f>
        <v>595200</v>
      </c>
      <c r="AY2114" s="119"/>
      <c r="AZ2114" s="137">
        <v>45958</v>
      </c>
    </row>
    <row r="2115" spans="1:52" ht="17.100000000000001" customHeight="1" thickBot="1">
      <c r="A2115" s="110"/>
      <c r="B2115" s="27" t="s">
        <v>2511</v>
      </c>
      <c r="C2115" s="27">
        <v>82368</v>
      </c>
      <c r="D2115" s="14" t="s">
        <v>1592</v>
      </c>
      <c r="E2115" s="112"/>
      <c r="F2115" s="139" t="s">
        <v>7175</v>
      </c>
      <c r="G2115" s="140"/>
      <c r="H2115" s="141"/>
      <c r="I2115" s="26">
        <v>38014</v>
      </c>
      <c r="J2115" s="117"/>
      <c r="K2115" s="120"/>
      <c r="L2115" s="121"/>
      <c r="M2115" s="120"/>
      <c r="N2115" s="121"/>
      <c r="O2115" s="120"/>
      <c r="P2115" s="121"/>
      <c r="Q2115" s="120"/>
      <c r="R2115" s="121"/>
      <c r="S2115" s="120"/>
      <c r="T2115" s="121"/>
      <c r="U2115" s="120"/>
      <c r="V2115" s="123"/>
      <c r="W2115" s="125"/>
      <c r="X2115" s="142" t="s">
        <v>8380</v>
      </c>
      <c r="Y2115" s="143"/>
      <c r="Z2115" s="143"/>
      <c r="AA2115" s="143"/>
      <c r="AB2115" s="144"/>
      <c r="AC2115" s="16" t="s">
        <v>21</v>
      </c>
      <c r="AD2115" s="17" t="s">
        <v>8050</v>
      </c>
      <c r="AE2115" s="145" t="s">
        <v>1633</v>
      </c>
      <c r="AF2115" s="146"/>
      <c r="AG2115" s="146"/>
      <c r="AH2115" s="146"/>
      <c r="AI2115" s="147"/>
      <c r="AJ2115" s="148"/>
      <c r="AK2115" s="143"/>
      <c r="AL2115" s="144"/>
      <c r="AM2115" s="22"/>
      <c r="AN2115" s="149" t="s">
        <v>7284</v>
      </c>
      <c r="AO2115" s="144"/>
      <c r="AP2115" s="148">
        <v>80315</v>
      </c>
      <c r="AQ2115" s="144"/>
      <c r="AR2115" s="120"/>
      <c r="AS2115" s="121"/>
      <c r="AT2115" s="120"/>
      <c r="AU2115" s="121"/>
      <c r="AV2115" s="120"/>
      <c r="AW2115" s="121"/>
      <c r="AX2115" s="120"/>
      <c r="AY2115" s="121"/>
      <c r="AZ2115" s="138"/>
    </row>
    <row r="2116" spans="1:52" ht="17.100000000000001" customHeight="1" thickTop="1">
      <c r="A2116" s="109" t="s">
        <v>7146</v>
      </c>
      <c r="B2116" s="28">
        <v>45934</v>
      </c>
      <c r="C2116" s="25">
        <v>1270</v>
      </c>
      <c r="D2116" s="13" t="s">
        <v>1776</v>
      </c>
      <c r="E2116" s="111"/>
      <c r="F2116" s="113" t="s">
        <v>7177</v>
      </c>
      <c r="G2116" s="114"/>
      <c r="H2116" s="115"/>
      <c r="I2116" s="24" t="s">
        <v>4803</v>
      </c>
      <c r="J2116" s="116">
        <v>4.5</v>
      </c>
      <c r="K2116" s="118">
        <v>990000</v>
      </c>
      <c r="L2116" s="119"/>
      <c r="M2116" s="118">
        <f t="shared" ref="M2116" si="276">K2116*0.1</f>
        <v>99000</v>
      </c>
      <c r="N2116" s="119"/>
      <c r="O2116" s="118">
        <f>14300+1430</f>
        <v>15730</v>
      </c>
      <c r="P2116" s="119"/>
      <c r="Q2116" s="118">
        <v>12450</v>
      </c>
      <c r="R2116" s="119"/>
      <c r="S2116" s="118">
        <v>16500</v>
      </c>
      <c r="T2116" s="119"/>
      <c r="U2116" s="118">
        <f t="shared" ref="U2116" si="277">SUM(K2116:T2117)</f>
        <v>1133680</v>
      </c>
      <c r="V2116" s="122"/>
      <c r="W2116" s="124"/>
      <c r="X2116" s="126" t="s">
        <v>7179</v>
      </c>
      <c r="Y2116" s="127"/>
      <c r="Z2116" s="127"/>
      <c r="AA2116" s="127"/>
      <c r="AB2116" s="128"/>
      <c r="AC2116" s="15" t="s">
        <v>20</v>
      </c>
      <c r="AD2116" s="129" t="s">
        <v>7064</v>
      </c>
      <c r="AE2116" s="130"/>
      <c r="AF2116" s="130"/>
      <c r="AG2116" s="130"/>
      <c r="AH2116" s="130"/>
      <c r="AI2116" s="131"/>
      <c r="AJ2116" s="132"/>
      <c r="AK2116" s="127"/>
      <c r="AL2116" s="128"/>
      <c r="AM2116" s="21"/>
      <c r="AN2116" s="133">
        <v>45941</v>
      </c>
      <c r="AO2116" s="134"/>
      <c r="AP2116" s="135">
        <v>1271</v>
      </c>
      <c r="AQ2116" s="136"/>
      <c r="AR2116" s="118">
        <v>1130000</v>
      </c>
      <c r="AS2116" s="119"/>
      <c r="AT2116" s="118">
        <v>113000</v>
      </c>
      <c r="AU2116" s="119"/>
      <c r="AV2116" s="118">
        <v>12450</v>
      </c>
      <c r="AW2116" s="119"/>
      <c r="AX2116" s="118">
        <f t="shared" ref="AX2116" si="278">SUM(AR2116:AW2116)</f>
        <v>1255450</v>
      </c>
      <c r="AY2116" s="119"/>
      <c r="AZ2116" s="137">
        <v>45945</v>
      </c>
    </row>
    <row r="2117" spans="1:52" ht="17.100000000000001" customHeight="1" thickBot="1">
      <c r="A2117" s="110"/>
      <c r="B2117" s="27" t="s">
        <v>2511</v>
      </c>
      <c r="C2117" s="27">
        <v>82374</v>
      </c>
      <c r="D2117" s="14" t="s">
        <v>1592</v>
      </c>
      <c r="E2117" s="112"/>
      <c r="F2117" s="139" t="s">
        <v>7178</v>
      </c>
      <c r="G2117" s="140"/>
      <c r="H2117" s="141"/>
      <c r="I2117" s="26">
        <v>51696</v>
      </c>
      <c r="J2117" s="117"/>
      <c r="K2117" s="120"/>
      <c r="L2117" s="121"/>
      <c r="M2117" s="120"/>
      <c r="N2117" s="121"/>
      <c r="O2117" s="120"/>
      <c r="P2117" s="121"/>
      <c r="Q2117" s="120"/>
      <c r="R2117" s="121"/>
      <c r="S2117" s="120"/>
      <c r="T2117" s="121"/>
      <c r="U2117" s="120"/>
      <c r="V2117" s="123"/>
      <c r="W2117" s="125"/>
      <c r="X2117" s="142" t="s">
        <v>8049</v>
      </c>
      <c r="Y2117" s="143"/>
      <c r="Z2117" s="143"/>
      <c r="AA2117" s="143"/>
      <c r="AB2117" s="144"/>
      <c r="AC2117" s="16" t="s">
        <v>21</v>
      </c>
      <c r="AD2117" s="17" t="s">
        <v>8050</v>
      </c>
      <c r="AE2117" s="145" t="s">
        <v>8051</v>
      </c>
      <c r="AF2117" s="146"/>
      <c r="AG2117" s="146"/>
      <c r="AH2117" s="146"/>
      <c r="AI2117" s="147"/>
      <c r="AJ2117" s="148"/>
      <c r="AK2117" s="143"/>
      <c r="AL2117" s="144"/>
      <c r="AM2117" s="22"/>
      <c r="AN2117" s="149" t="s">
        <v>2511</v>
      </c>
      <c r="AO2117" s="144"/>
      <c r="AP2117" s="148">
        <v>80058</v>
      </c>
      <c r="AQ2117" s="144"/>
      <c r="AR2117" s="120"/>
      <c r="AS2117" s="121"/>
      <c r="AT2117" s="120"/>
      <c r="AU2117" s="121"/>
      <c r="AV2117" s="120"/>
      <c r="AW2117" s="121"/>
      <c r="AX2117" s="120"/>
      <c r="AY2117" s="121"/>
      <c r="AZ2117" s="138"/>
    </row>
    <row r="2118" spans="1:52" ht="17.100000000000001" customHeight="1" thickTop="1">
      <c r="A2118" s="109" t="s">
        <v>7147</v>
      </c>
      <c r="B2118" s="28">
        <v>45936</v>
      </c>
      <c r="C2118" s="25">
        <v>57</v>
      </c>
      <c r="D2118" s="13" t="s">
        <v>1853</v>
      </c>
      <c r="E2118" s="111"/>
      <c r="F2118" s="113" t="s">
        <v>7180</v>
      </c>
      <c r="G2118" s="114"/>
      <c r="H2118" s="115"/>
      <c r="I2118" s="24" t="s">
        <v>4037</v>
      </c>
      <c r="J2118" s="116">
        <v>4.5</v>
      </c>
      <c r="K2118" s="118">
        <v>1375000</v>
      </c>
      <c r="L2118" s="119"/>
      <c r="M2118" s="118">
        <f t="shared" ref="M2118" si="279">K2118*0.1</f>
        <v>137500</v>
      </c>
      <c r="N2118" s="119"/>
      <c r="O2118" s="118">
        <v>15000</v>
      </c>
      <c r="P2118" s="119"/>
      <c r="Q2118" s="118">
        <v>17800</v>
      </c>
      <c r="R2118" s="119"/>
      <c r="S2118" s="118">
        <v>44000</v>
      </c>
      <c r="T2118" s="119"/>
      <c r="U2118" s="118">
        <f t="shared" ref="U2118" si="280">SUM(K2118:T2119)</f>
        <v>1589300</v>
      </c>
      <c r="V2118" s="122"/>
      <c r="W2118" s="124"/>
      <c r="X2118" s="126" t="s">
        <v>10265</v>
      </c>
      <c r="Y2118" s="127"/>
      <c r="Z2118" s="127"/>
      <c r="AA2118" s="127"/>
      <c r="AB2118" s="128"/>
      <c r="AC2118" s="15" t="s">
        <v>20</v>
      </c>
      <c r="AD2118" s="129"/>
      <c r="AE2118" s="130"/>
      <c r="AF2118" s="130"/>
      <c r="AG2118" s="130"/>
      <c r="AH2118" s="130"/>
      <c r="AI2118" s="131"/>
      <c r="AJ2118" s="132"/>
      <c r="AK2118" s="127"/>
      <c r="AL2118" s="128"/>
      <c r="AM2118" s="21"/>
      <c r="AN2118" s="133">
        <v>45976</v>
      </c>
      <c r="AO2118" s="134"/>
      <c r="AP2118" s="135">
        <v>1276</v>
      </c>
      <c r="AQ2118" s="136"/>
      <c r="AR2118" s="118">
        <v>1665000</v>
      </c>
      <c r="AS2118" s="119"/>
      <c r="AT2118" s="118">
        <f t="shared" ref="AT2118" si="281">AR2118*0.1</f>
        <v>166500</v>
      </c>
      <c r="AU2118" s="119"/>
      <c r="AV2118" s="118">
        <v>17800</v>
      </c>
      <c r="AW2118" s="119"/>
      <c r="AX2118" s="118">
        <f t="shared" ref="AX2118" si="282">SUM(AR2118:AW2118)</f>
        <v>1849300</v>
      </c>
      <c r="AY2118" s="119"/>
      <c r="AZ2118" s="137">
        <v>45981</v>
      </c>
    </row>
    <row r="2119" spans="1:52" ht="17.100000000000001" customHeight="1" thickBot="1">
      <c r="A2119" s="110"/>
      <c r="B2119" s="27" t="s">
        <v>4544</v>
      </c>
      <c r="C2119" s="27">
        <v>10006</v>
      </c>
      <c r="D2119" s="14" t="s">
        <v>1592</v>
      </c>
      <c r="E2119" s="112"/>
      <c r="F2119" s="139" t="s">
        <v>7181</v>
      </c>
      <c r="G2119" s="140"/>
      <c r="H2119" s="141"/>
      <c r="I2119" s="26">
        <v>61403</v>
      </c>
      <c r="J2119" s="117"/>
      <c r="K2119" s="120"/>
      <c r="L2119" s="121"/>
      <c r="M2119" s="120"/>
      <c r="N2119" s="121"/>
      <c r="O2119" s="120"/>
      <c r="P2119" s="121"/>
      <c r="Q2119" s="120"/>
      <c r="R2119" s="121"/>
      <c r="S2119" s="120"/>
      <c r="T2119" s="121"/>
      <c r="U2119" s="120"/>
      <c r="V2119" s="123"/>
      <c r="W2119" s="125"/>
      <c r="X2119" s="142" t="s">
        <v>10266</v>
      </c>
      <c r="Y2119" s="143"/>
      <c r="Z2119" s="143"/>
      <c r="AA2119" s="143"/>
      <c r="AB2119" s="144"/>
      <c r="AC2119" s="16" t="s">
        <v>21</v>
      </c>
      <c r="AD2119" s="17" t="s">
        <v>3397</v>
      </c>
      <c r="AE2119" s="145" t="s">
        <v>1742</v>
      </c>
      <c r="AF2119" s="146"/>
      <c r="AG2119" s="146"/>
      <c r="AH2119" s="146"/>
      <c r="AI2119" s="147"/>
      <c r="AJ2119" s="148"/>
      <c r="AK2119" s="143"/>
      <c r="AL2119" s="144"/>
      <c r="AM2119" s="22"/>
      <c r="AN2119" s="149" t="s">
        <v>7284</v>
      </c>
      <c r="AO2119" s="144"/>
      <c r="AP2119" s="148">
        <v>82165</v>
      </c>
      <c r="AQ2119" s="144"/>
      <c r="AR2119" s="120"/>
      <c r="AS2119" s="121"/>
      <c r="AT2119" s="120"/>
      <c r="AU2119" s="121"/>
      <c r="AV2119" s="120"/>
      <c r="AW2119" s="121"/>
      <c r="AX2119" s="120"/>
      <c r="AY2119" s="121"/>
      <c r="AZ2119" s="138"/>
    </row>
    <row r="2120" spans="1:52" ht="17.100000000000001" customHeight="1" thickTop="1">
      <c r="A2120" s="151" t="s">
        <v>7287</v>
      </c>
      <c r="B2120" s="28">
        <v>45936</v>
      </c>
      <c r="C2120" s="25"/>
      <c r="D2120" s="13" t="s">
        <v>7187</v>
      </c>
      <c r="E2120" s="111"/>
      <c r="F2120" s="113" t="s">
        <v>7189</v>
      </c>
      <c r="G2120" s="114"/>
      <c r="H2120" s="115"/>
      <c r="I2120" s="24" t="s">
        <v>7191</v>
      </c>
      <c r="J2120" s="116">
        <v>4.5</v>
      </c>
      <c r="K2120" s="118">
        <f>1435500/1.1</f>
        <v>1305000</v>
      </c>
      <c r="L2120" s="119"/>
      <c r="M2120" s="118">
        <f t="shared" ref="M2120" si="283">K2120*0.1</f>
        <v>130500</v>
      </c>
      <c r="N2120" s="119"/>
      <c r="O2120" s="118">
        <v>12700</v>
      </c>
      <c r="P2120" s="119"/>
      <c r="Q2120" s="118">
        <v>10720</v>
      </c>
      <c r="R2120" s="119"/>
      <c r="S2120" s="118">
        <v>90888</v>
      </c>
      <c r="T2120" s="119"/>
      <c r="U2120" s="118">
        <f t="shared" ref="U2120" si="284">SUM(K2120:T2121)</f>
        <v>1549808</v>
      </c>
      <c r="V2120" s="122"/>
      <c r="W2120" s="124"/>
      <c r="X2120" s="126"/>
      <c r="Y2120" s="127"/>
      <c r="Z2120" s="127"/>
      <c r="AA2120" s="127"/>
      <c r="AB2120" s="128"/>
      <c r="AC2120" s="15" t="s">
        <v>20</v>
      </c>
      <c r="AD2120" s="129" t="s">
        <v>4138</v>
      </c>
      <c r="AE2120" s="130"/>
      <c r="AF2120" s="130"/>
      <c r="AG2120" s="130"/>
      <c r="AH2120" s="130"/>
      <c r="AI2120" s="131"/>
      <c r="AJ2120" s="132" t="s">
        <v>8040</v>
      </c>
      <c r="AK2120" s="127"/>
      <c r="AL2120" s="128"/>
      <c r="AM2120" s="21"/>
      <c r="AN2120" s="133"/>
      <c r="AO2120" s="134"/>
      <c r="AP2120" s="135"/>
      <c r="AQ2120" s="136"/>
      <c r="AR2120" s="118"/>
      <c r="AS2120" s="119"/>
      <c r="AT2120" s="118">
        <f t="shared" ref="AT2120" si="285">AR2120*0.1</f>
        <v>0</v>
      </c>
      <c r="AU2120" s="119"/>
      <c r="AV2120" s="118"/>
      <c r="AW2120" s="119"/>
      <c r="AX2120" s="118">
        <f t="shared" ref="AX2120" si="286">SUM(AR2120:AW2120)</f>
        <v>0</v>
      </c>
      <c r="AY2120" s="119"/>
      <c r="AZ2120" s="137"/>
    </row>
    <row r="2121" spans="1:52" ht="17.100000000000001" customHeight="1" thickBot="1">
      <c r="A2121" s="152"/>
      <c r="B2121" s="27" t="s">
        <v>1718</v>
      </c>
      <c r="C2121" s="27" t="s">
        <v>7186</v>
      </c>
      <c r="D2121" s="14" t="s">
        <v>7188</v>
      </c>
      <c r="E2121" s="112"/>
      <c r="F2121" s="139" t="s">
        <v>7190</v>
      </c>
      <c r="G2121" s="140"/>
      <c r="H2121" s="141"/>
      <c r="I2121" s="26">
        <v>28781</v>
      </c>
      <c r="J2121" s="117"/>
      <c r="K2121" s="120"/>
      <c r="L2121" s="121"/>
      <c r="M2121" s="120"/>
      <c r="N2121" s="121"/>
      <c r="O2121" s="120"/>
      <c r="P2121" s="121"/>
      <c r="Q2121" s="120"/>
      <c r="R2121" s="121"/>
      <c r="S2121" s="120"/>
      <c r="T2121" s="121"/>
      <c r="U2121" s="120"/>
      <c r="V2121" s="123"/>
      <c r="W2121" s="125"/>
      <c r="X2121" s="142"/>
      <c r="Y2121" s="143"/>
      <c r="Z2121" s="143"/>
      <c r="AA2121" s="143"/>
      <c r="AB2121" s="144"/>
      <c r="AC2121" s="16" t="s">
        <v>21</v>
      </c>
      <c r="AD2121" s="17" t="s">
        <v>10540</v>
      </c>
      <c r="AE2121" s="145"/>
      <c r="AF2121" s="146"/>
      <c r="AG2121" s="146"/>
      <c r="AH2121" s="146"/>
      <c r="AI2121" s="147"/>
      <c r="AJ2121" s="148"/>
      <c r="AK2121" s="143"/>
      <c r="AL2121" s="144"/>
      <c r="AM2121" s="22"/>
      <c r="AN2121" s="149"/>
      <c r="AO2121" s="144"/>
      <c r="AP2121" s="148"/>
      <c r="AQ2121" s="144"/>
      <c r="AR2121" s="120"/>
      <c r="AS2121" s="121"/>
      <c r="AT2121" s="120"/>
      <c r="AU2121" s="121"/>
      <c r="AV2121" s="120"/>
      <c r="AW2121" s="121"/>
      <c r="AX2121" s="120"/>
      <c r="AY2121" s="121"/>
      <c r="AZ2121" s="138"/>
    </row>
    <row r="2122" spans="1:52" ht="17.100000000000001" customHeight="1" thickTop="1">
      <c r="A2122" s="109" t="s">
        <v>7288</v>
      </c>
      <c r="B2122" s="28">
        <v>45936</v>
      </c>
      <c r="C2122" s="25"/>
      <c r="D2122" s="13" t="s">
        <v>7193</v>
      </c>
      <c r="E2122" s="111"/>
      <c r="F2122" s="113" t="s">
        <v>7195</v>
      </c>
      <c r="G2122" s="114"/>
      <c r="H2122" s="115"/>
      <c r="I2122" s="24" t="s">
        <v>7197</v>
      </c>
      <c r="J2122" s="116">
        <v>4</v>
      </c>
      <c r="K2122" s="118">
        <f>814000/1.1</f>
        <v>739999.99999999988</v>
      </c>
      <c r="L2122" s="119"/>
      <c r="M2122" s="118">
        <f t="shared" ref="M2122" si="287">K2122*0.1</f>
        <v>73999.999999999985</v>
      </c>
      <c r="N2122" s="119"/>
      <c r="O2122" s="118">
        <v>0</v>
      </c>
      <c r="P2122" s="119"/>
      <c r="Q2122" s="118">
        <v>11220</v>
      </c>
      <c r="R2122" s="119"/>
      <c r="S2122" s="118">
        <v>68896</v>
      </c>
      <c r="T2122" s="119"/>
      <c r="U2122" s="118">
        <f t="shared" ref="U2122" si="288">SUM(K2122:T2123)</f>
        <v>894115.99999999988</v>
      </c>
      <c r="V2122" s="122"/>
      <c r="W2122" s="124"/>
      <c r="X2122" s="126" t="s">
        <v>8449</v>
      </c>
      <c r="Y2122" s="127"/>
      <c r="Z2122" s="127"/>
      <c r="AA2122" s="127"/>
      <c r="AB2122" s="128"/>
      <c r="AC2122" s="15" t="s">
        <v>20</v>
      </c>
      <c r="AD2122" s="129" t="s">
        <v>7198</v>
      </c>
      <c r="AE2122" s="130"/>
      <c r="AF2122" s="130"/>
      <c r="AG2122" s="130"/>
      <c r="AH2122" s="130"/>
      <c r="AI2122" s="131"/>
      <c r="AJ2122" s="132"/>
      <c r="AK2122" s="127"/>
      <c r="AL2122" s="128"/>
      <c r="AM2122" s="21" t="s">
        <v>9508</v>
      </c>
      <c r="AN2122" s="133">
        <v>45962</v>
      </c>
      <c r="AO2122" s="134"/>
      <c r="AP2122" s="135">
        <v>1274</v>
      </c>
      <c r="AQ2122" s="136"/>
      <c r="AR2122" s="118">
        <v>885000</v>
      </c>
      <c r="AS2122" s="119"/>
      <c r="AT2122" s="118">
        <f t="shared" ref="AT2122" si="289">AR2122*0.1</f>
        <v>88500</v>
      </c>
      <c r="AU2122" s="119"/>
      <c r="AV2122" s="118">
        <v>11220</v>
      </c>
      <c r="AW2122" s="119"/>
      <c r="AX2122" s="118">
        <f t="shared" ref="AX2122" si="290">SUM(AR2122:AW2122)</f>
        <v>984720</v>
      </c>
      <c r="AY2122" s="119"/>
      <c r="AZ2122" s="137">
        <v>45965</v>
      </c>
    </row>
    <row r="2123" spans="1:52" ht="17.100000000000001" customHeight="1" thickBot="1">
      <c r="A2123" s="110"/>
      <c r="B2123" s="27" t="s">
        <v>1718</v>
      </c>
      <c r="C2123" s="27" t="s">
        <v>7192</v>
      </c>
      <c r="D2123" s="14" t="s">
        <v>7194</v>
      </c>
      <c r="E2123" s="112"/>
      <c r="F2123" s="139" t="s">
        <v>7196</v>
      </c>
      <c r="G2123" s="140"/>
      <c r="H2123" s="141"/>
      <c r="I2123" s="26">
        <v>83924</v>
      </c>
      <c r="J2123" s="117"/>
      <c r="K2123" s="120"/>
      <c r="L2123" s="121"/>
      <c r="M2123" s="120"/>
      <c r="N2123" s="121"/>
      <c r="O2123" s="120"/>
      <c r="P2123" s="121"/>
      <c r="Q2123" s="120"/>
      <c r="R2123" s="121"/>
      <c r="S2123" s="120"/>
      <c r="T2123" s="121"/>
      <c r="U2123" s="120"/>
      <c r="V2123" s="123"/>
      <c r="W2123" s="125"/>
      <c r="X2123" s="142" t="s">
        <v>8450</v>
      </c>
      <c r="Y2123" s="143"/>
      <c r="Z2123" s="143"/>
      <c r="AA2123" s="143"/>
      <c r="AB2123" s="144"/>
      <c r="AC2123" s="16" t="s">
        <v>21</v>
      </c>
      <c r="AD2123" s="17" t="s">
        <v>1638</v>
      </c>
      <c r="AE2123" s="145" t="s">
        <v>9500</v>
      </c>
      <c r="AF2123" s="146"/>
      <c r="AG2123" s="146"/>
      <c r="AH2123" s="146"/>
      <c r="AI2123" s="147"/>
      <c r="AJ2123" s="148"/>
      <c r="AK2123" s="143"/>
      <c r="AL2123" s="144"/>
      <c r="AM2123" s="22"/>
      <c r="AN2123" s="149" t="s">
        <v>7284</v>
      </c>
      <c r="AO2123" s="144"/>
      <c r="AP2123" s="148">
        <v>31281</v>
      </c>
      <c r="AQ2123" s="144"/>
      <c r="AR2123" s="120"/>
      <c r="AS2123" s="121"/>
      <c r="AT2123" s="120"/>
      <c r="AU2123" s="121"/>
      <c r="AV2123" s="120"/>
      <c r="AW2123" s="121"/>
      <c r="AX2123" s="120"/>
      <c r="AY2123" s="121"/>
      <c r="AZ2123" s="138"/>
    </row>
    <row r="2124" spans="1:52" ht="17.100000000000001" customHeight="1" thickTop="1">
      <c r="A2124" s="109" t="s">
        <v>7289</v>
      </c>
      <c r="B2124" s="28">
        <v>45936</v>
      </c>
      <c r="C2124" s="25"/>
      <c r="D2124" s="13" t="s">
        <v>1953</v>
      </c>
      <c r="E2124" s="111"/>
      <c r="F2124" s="113" t="s">
        <v>7201</v>
      </c>
      <c r="G2124" s="114"/>
      <c r="H2124" s="115"/>
      <c r="I2124" s="24" t="s">
        <v>7203</v>
      </c>
      <c r="J2124" s="116">
        <v>4</v>
      </c>
      <c r="K2124" s="118">
        <f>1512500/1.1</f>
        <v>1375000</v>
      </c>
      <c r="L2124" s="119"/>
      <c r="M2124" s="118">
        <f t="shared" ref="M2124" si="291">K2124*0.1</f>
        <v>137500</v>
      </c>
      <c r="N2124" s="119"/>
      <c r="O2124" s="118">
        <v>14300</v>
      </c>
      <c r="P2124" s="119"/>
      <c r="Q2124" s="118">
        <v>10360</v>
      </c>
      <c r="R2124" s="119"/>
      <c r="S2124" s="118">
        <v>92813</v>
      </c>
      <c r="T2124" s="119"/>
      <c r="U2124" s="118">
        <f t="shared" ref="U2124" si="292">SUM(K2124:T2125)</f>
        <v>1629973</v>
      </c>
      <c r="V2124" s="122"/>
      <c r="W2124" s="124"/>
      <c r="X2124" s="126" t="s">
        <v>8335</v>
      </c>
      <c r="Y2124" s="127"/>
      <c r="Z2124" s="127"/>
      <c r="AA2124" s="127"/>
      <c r="AB2124" s="128"/>
      <c r="AC2124" s="15" t="s">
        <v>20</v>
      </c>
      <c r="AD2124" s="129" t="s">
        <v>7204</v>
      </c>
      <c r="AE2124" s="130"/>
      <c r="AF2124" s="130"/>
      <c r="AG2124" s="130"/>
      <c r="AH2124" s="130"/>
      <c r="AI2124" s="131"/>
      <c r="AJ2124" s="132"/>
      <c r="AK2124" s="127"/>
      <c r="AL2124" s="128"/>
      <c r="AM2124" s="21"/>
      <c r="AN2124" s="133">
        <v>45955</v>
      </c>
      <c r="AO2124" s="134"/>
      <c r="AP2124" s="135">
        <v>1273</v>
      </c>
      <c r="AQ2124" s="136"/>
      <c r="AR2124" s="118">
        <v>1330000</v>
      </c>
      <c r="AS2124" s="119"/>
      <c r="AT2124" s="118">
        <f t="shared" ref="AT2124" si="293">AR2124*0.1</f>
        <v>133000</v>
      </c>
      <c r="AU2124" s="119"/>
      <c r="AV2124" s="118">
        <v>10360</v>
      </c>
      <c r="AW2124" s="119"/>
      <c r="AX2124" s="118">
        <f t="shared" ref="AX2124" si="294">SUM(AR2124:AW2124)</f>
        <v>1473360</v>
      </c>
      <c r="AY2124" s="119"/>
      <c r="AZ2124" s="137">
        <v>45960</v>
      </c>
    </row>
    <row r="2125" spans="1:52" ht="17.100000000000001" customHeight="1" thickBot="1">
      <c r="A2125" s="110"/>
      <c r="B2125" s="27" t="s">
        <v>1718</v>
      </c>
      <c r="C2125" s="27" t="s">
        <v>7199</v>
      </c>
      <c r="D2125" s="14" t="s">
        <v>7200</v>
      </c>
      <c r="E2125" s="112"/>
      <c r="F2125" s="139" t="s">
        <v>7202</v>
      </c>
      <c r="G2125" s="140"/>
      <c r="H2125" s="141"/>
      <c r="I2125" s="26">
        <v>53921</v>
      </c>
      <c r="J2125" s="117"/>
      <c r="K2125" s="120"/>
      <c r="L2125" s="121"/>
      <c r="M2125" s="120"/>
      <c r="N2125" s="121"/>
      <c r="O2125" s="120"/>
      <c r="P2125" s="121"/>
      <c r="Q2125" s="120"/>
      <c r="R2125" s="121"/>
      <c r="S2125" s="120"/>
      <c r="T2125" s="121"/>
      <c r="U2125" s="120"/>
      <c r="V2125" s="123"/>
      <c r="W2125" s="125"/>
      <c r="X2125" s="142" t="s">
        <v>8336</v>
      </c>
      <c r="Y2125" s="143"/>
      <c r="Z2125" s="143"/>
      <c r="AA2125" s="143"/>
      <c r="AB2125" s="144"/>
      <c r="AC2125" s="16" t="s">
        <v>21</v>
      </c>
      <c r="AD2125" s="17" t="s">
        <v>1622</v>
      </c>
      <c r="AE2125" s="145" t="s">
        <v>9506</v>
      </c>
      <c r="AF2125" s="146"/>
      <c r="AG2125" s="146"/>
      <c r="AH2125" s="146"/>
      <c r="AI2125" s="147"/>
      <c r="AJ2125" s="148"/>
      <c r="AK2125" s="143"/>
      <c r="AL2125" s="144"/>
      <c r="AM2125" s="22"/>
      <c r="AN2125" s="149" t="s">
        <v>2511</v>
      </c>
      <c r="AO2125" s="144"/>
      <c r="AP2125" s="148">
        <v>37897</v>
      </c>
      <c r="AQ2125" s="144"/>
      <c r="AR2125" s="120"/>
      <c r="AS2125" s="121"/>
      <c r="AT2125" s="120"/>
      <c r="AU2125" s="121"/>
      <c r="AV2125" s="120"/>
      <c r="AW2125" s="121"/>
      <c r="AX2125" s="120"/>
      <c r="AY2125" s="121"/>
      <c r="AZ2125" s="138"/>
    </row>
    <row r="2126" spans="1:52" ht="17.100000000000001" customHeight="1" thickTop="1">
      <c r="A2126" s="151" t="s">
        <v>7290</v>
      </c>
      <c r="B2126" s="28">
        <v>45936</v>
      </c>
      <c r="C2126" s="25"/>
      <c r="D2126" s="13" t="s">
        <v>7206</v>
      </c>
      <c r="E2126" s="111"/>
      <c r="F2126" s="113" t="s">
        <v>7208</v>
      </c>
      <c r="G2126" s="114"/>
      <c r="H2126" s="115"/>
      <c r="I2126" s="24" t="s">
        <v>7210</v>
      </c>
      <c r="J2126" s="116">
        <v>4</v>
      </c>
      <c r="K2126" s="118">
        <f>968000/1.1</f>
        <v>879999.99999999988</v>
      </c>
      <c r="L2126" s="119"/>
      <c r="M2126" s="118">
        <f t="shared" ref="M2126" si="295">K2126*0.1</f>
        <v>88000</v>
      </c>
      <c r="N2126" s="119"/>
      <c r="O2126" s="118">
        <v>0</v>
      </c>
      <c r="P2126" s="119"/>
      <c r="Q2126" s="118">
        <v>8790</v>
      </c>
      <c r="R2126" s="119"/>
      <c r="S2126" s="118">
        <v>77000</v>
      </c>
      <c r="T2126" s="119"/>
      <c r="U2126" s="118">
        <f t="shared" ref="U2126" si="296">SUM(K2126:T2127)</f>
        <v>1053790</v>
      </c>
      <c r="V2126" s="122"/>
      <c r="W2126" s="124"/>
      <c r="X2126" s="126" t="s">
        <v>8441</v>
      </c>
      <c r="Y2126" s="127"/>
      <c r="Z2126" s="127"/>
      <c r="AA2126" s="127"/>
      <c r="AB2126" s="128"/>
      <c r="AC2126" s="15" t="s">
        <v>20</v>
      </c>
      <c r="AD2126" s="129" t="s">
        <v>7211</v>
      </c>
      <c r="AE2126" s="130"/>
      <c r="AF2126" s="130"/>
      <c r="AG2126" s="130"/>
      <c r="AH2126" s="130"/>
      <c r="AI2126" s="131"/>
      <c r="AJ2126" s="132" t="s">
        <v>8040</v>
      </c>
      <c r="AK2126" s="127"/>
      <c r="AL2126" s="128"/>
      <c r="AM2126" s="21"/>
      <c r="AN2126" s="133"/>
      <c r="AO2126" s="134"/>
      <c r="AP2126" s="135"/>
      <c r="AQ2126" s="136"/>
      <c r="AR2126" s="118"/>
      <c r="AS2126" s="119"/>
      <c r="AT2126" s="118">
        <f t="shared" ref="AT2126" si="297">AR2126*0.1</f>
        <v>0</v>
      </c>
      <c r="AU2126" s="119"/>
      <c r="AV2126" s="118"/>
      <c r="AW2126" s="119"/>
      <c r="AX2126" s="118">
        <f t="shared" ref="AX2126" si="298">SUM(AR2126:AW2126)</f>
        <v>0</v>
      </c>
      <c r="AY2126" s="119"/>
      <c r="AZ2126" s="137"/>
    </row>
    <row r="2127" spans="1:52" ht="17.100000000000001" customHeight="1" thickBot="1">
      <c r="A2127" s="152"/>
      <c r="B2127" s="27" t="s">
        <v>1718</v>
      </c>
      <c r="C2127" s="27" t="s">
        <v>7205</v>
      </c>
      <c r="D2127" s="14" t="s">
        <v>7207</v>
      </c>
      <c r="E2127" s="112"/>
      <c r="F2127" s="139" t="s">
        <v>7209</v>
      </c>
      <c r="G2127" s="140"/>
      <c r="H2127" s="141"/>
      <c r="I2127" s="26">
        <v>34943</v>
      </c>
      <c r="J2127" s="117"/>
      <c r="K2127" s="120"/>
      <c r="L2127" s="121"/>
      <c r="M2127" s="120"/>
      <c r="N2127" s="121"/>
      <c r="O2127" s="120"/>
      <c r="P2127" s="121"/>
      <c r="Q2127" s="120"/>
      <c r="R2127" s="121"/>
      <c r="S2127" s="120"/>
      <c r="T2127" s="121"/>
      <c r="U2127" s="120"/>
      <c r="V2127" s="123"/>
      <c r="W2127" s="125"/>
      <c r="X2127" s="142" t="s">
        <v>8442</v>
      </c>
      <c r="Y2127" s="143"/>
      <c r="Z2127" s="143"/>
      <c r="AA2127" s="143"/>
      <c r="AB2127" s="144"/>
      <c r="AC2127" s="16" t="s">
        <v>21</v>
      </c>
      <c r="AD2127" s="17" t="s">
        <v>1638</v>
      </c>
      <c r="AE2127" s="145" t="s">
        <v>1605</v>
      </c>
      <c r="AF2127" s="146"/>
      <c r="AG2127" s="146"/>
      <c r="AH2127" s="146"/>
      <c r="AI2127" s="147"/>
      <c r="AJ2127" s="148" t="s">
        <v>10028</v>
      </c>
      <c r="AK2127" s="143"/>
      <c r="AL2127" s="144"/>
      <c r="AM2127" s="22"/>
      <c r="AN2127" s="149"/>
      <c r="AO2127" s="144"/>
      <c r="AP2127" s="148"/>
      <c r="AQ2127" s="144"/>
      <c r="AR2127" s="120"/>
      <c r="AS2127" s="121"/>
      <c r="AT2127" s="120"/>
      <c r="AU2127" s="121"/>
      <c r="AV2127" s="120"/>
      <c r="AW2127" s="121"/>
      <c r="AX2127" s="120"/>
      <c r="AY2127" s="121"/>
      <c r="AZ2127" s="138"/>
    </row>
    <row r="2128" spans="1:52" ht="17.100000000000001" customHeight="1" thickTop="1">
      <c r="A2128" s="109" t="s">
        <v>7291</v>
      </c>
      <c r="B2128" s="28">
        <v>45936</v>
      </c>
      <c r="C2128" s="25"/>
      <c r="D2128" s="13" t="s">
        <v>7213</v>
      </c>
      <c r="E2128" s="111"/>
      <c r="F2128" s="113" t="s">
        <v>7215</v>
      </c>
      <c r="G2128" s="114"/>
      <c r="H2128" s="115"/>
      <c r="I2128" s="24" t="s">
        <v>7217</v>
      </c>
      <c r="J2128" s="150" t="s">
        <v>7218</v>
      </c>
      <c r="K2128" s="118">
        <f>3239500/1.1</f>
        <v>2944999.9999999995</v>
      </c>
      <c r="L2128" s="119"/>
      <c r="M2128" s="118">
        <f t="shared" ref="M2128" si="299">K2128*0.1</f>
        <v>294499.99999999994</v>
      </c>
      <c r="N2128" s="119"/>
      <c r="O2128" s="118">
        <v>3100</v>
      </c>
      <c r="P2128" s="119"/>
      <c r="Q2128" s="118">
        <v>14930</v>
      </c>
      <c r="R2128" s="119"/>
      <c r="S2128" s="118">
        <v>135988</v>
      </c>
      <c r="T2128" s="119"/>
      <c r="U2128" s="118">
        <f t="shared" ref="U2128" si="300">SUM(K2128:T2129)</f>
        <v>3393517.9999999995</v>
      </c>
      <c r="V2128" s="122"/>
      <c r="W2128" s="124"/>
      <c r="X2128" s="126" t="s">
        <v>9118</v>
      </c>
      <c r="Y2128" s="127"/>
      <c r="Z2128" s="127"/>
      <c r="AA2128" s="127"/>
      <c r="AB2128" s="128"/>
      <c r="AC2128" s="15" t="s">
        <v>20</v>
      </c>
      <c r="AD2128" s="129" t="s">
        <v>7219</v>
      </c>
      <c r="AE2128" s="130"/>
      <c r="AF2128" s="130"/>
      <c r="AG2128" s="130"/>
      <c r="AH2128" s="130"/>
      <c r="AI2128" s="131"/>
      <c r="AJ2128" s="132"/>
      <c r="AK2128" s="127"/>
      <c r="AL2128" s="128"/>
      <c r="AM2128" s="21" t="s">
        <v>9691</v>
      </c>
      <c r="AN2128" s="133">
        <v>45969</v>
      </c>
      <c r="AO2128" s="134"/>
      <c r="AP2128" s="135">
        <v>1275</v>
      </c>
      <c r="AQ2128" s="136"/>
      <c r="AR2128" s="118">
        <v>3455000</v>
      </c>
      <c r="AS2128" s="119"/>
      <c r="AT2128" s="118">
        <f t="shared" ref="AT2128" si="301">AR2128*0.1</f>
        <v>345500</v>
      </c>
      <c r="AU2128" s="119"/>
      <c r="AV2128" s="118">
        <v>14930</v>
      </c>
      <c r="AW2128" s="119"/>
      <c r="AX2128" s="118">
        <f t="shared" ref="AX2128" si="302">SUM(AR2128:AW2128)</f>
        <v>3815430</v>
      </c>
      <c r="AY2128" s="119"/>
      <c r="AZ2128" s="137">
        <v>45972</v>
      </c>
    </row>
    <row r="2129" spans="1:52" ht="17.100000000000001" customHeight="1" thickBot="1">
      <c r="A2129" s="110"/>
      <c r="B2129" s="27" t="s">
        <v>1718</v>
      </c>
      <c r="C2129" s="27" t="s">
        <v>7212</v>
      </c>
      <c r="D2129" s="14" t="s">
        <v>7214</v>
      </c>
      <c r="E2129" s="112"/>
      <c r="F2129" s="139" t="s">
        <v>7216</v>
      </c>
      <c r="G2129" s="140"/>
      <c r="H2129" s="141"/>
      <c r="I2129" s="26">
        <v>36221</v>
      </c>
      <c r="J2129" s="117"/>
      <c r="K2129" s="120"/>
      <c r="L2129" s="121"/>
      <c r="M2129" s="120"/>
      <c r="N2129" s="121"/>
      <c r="O2129" s="120"/>
      <c r="P2129" s="121"/>
      <c r="Q2129" s="120"/>
      <c r="R2129" s="121"/>
      <c r="S2129" s="120"/>
      <c r="T2129" s="121"/>
      <c r="U2129" s="120"/>
      <c r="V2129" s="123"/>
      <c r="W2129" s="125"/>
      <c r="X2129" s="142" t="s">
        <v>9119</v>
      </c>
      <c r="Y2129" s="143"/>
      <c r="Z2129" s="143"/>
      <c r="AA2129" s="143"/>
      <c r="AB2129" s="144"/>
      <c r="AC2129" s="16" t="s">
        <v>21</v>
      </c>
      <c r="AD2129" s="17" t="s">
        <v>8956</v>
      </c>
      <c r="AE2129" s="145" t="s">
        <v>9120</v>
      </c>
      <c r="AF2129" s="146"/>
      <c r="AG2129" s="146"/>
      <c r="AH2129" s="146"/>
      <c r="AI2129" s="147"/>
      <c r="AJ2129" s="148"/>
      <c r="AK2129" s="143"/>
      <c r="AL2129" s="144"/>
      <c r="AM2129" s="22"/>
      <c r="AN2129" s="149" t="s">
        <v>7284</v>
      </c>
      <c r="AO2129" s="144"/>
      <c r="AP2129" s="148">
        <v>37135</v>
      </c>
      <c r="AQ2129" s="144"/>
      <c r="AR2129" s="120"/>
      <c r="AS2129" s="121"/>
      <c r="AT2129" s="120"/>
      <c r="AU2129" s="121"/>
      <c r="AV2129" s="120"/>
      <c r="AW2129" s="121"/>
      <c r="AX2129" s="120"/>
      <c r="AY2129" s="121"/>
      <c r="AZ2129" s="138"/>
    </row>
    <row r="2130" spans="1:52" ht="17.100000000000001" customHeight="1" thickTop="1">
      <c r="A2130" s="151" t="s">
        <v>7292</v>
      </c>
      <c r="B2130" s="28">
        <v>45936</v>
      </c>
      <c r="C2130" s="25"/>
      <c r="D2130" s="13" t="s">
        <v>7221</v>
      </c>
      <c r="E2130" s="111"/>
      <c r="F2130" s="113" t="s">
        <v>7223</v>
      </c>
      <c r="G2130" s="114"/>
      <c r="H2130" s="115"/>
      <c r="I2130" s="24" t="s">
        <v>7225</v>
      </c>
      <c r="J2130" s="116">
        <v>4</v>
      </c>
      <c r="K2130" s="118">
        <f>324500/1.1</f>
        <v>295000</v>
      </c>
      <c r="L2130" s="119"/>
      <c r="M2130" s="118">
        <f t="shared" ref="M2130" si="303">K2130*0.1</f>
        <v>29500</v>
      </c>
      <c r="N2130" s="119"/>
      <c r="O2130" s="118">
        <v>0</v>
      </c>
      <c r="P2130" s="119"/>
      <c r="Q2130" s="118">
        <v>8490</v>
      </c>
      <c r="R2130" s="119"/>
      <c r="S2130" s="118">
        <v>43133</v>
      </c>
      <c r="T2130" s="119"/>
      <c r="U2130" s="118">
        <f t="shared" ref="U2130" si="304">SUM(K2130:T2131)</f>
        <v>376123</v>
      </c>
      <c r="V2130" s="122"/>
      <c r="W2130" s="124"/>
      <c r="X2130" s="126" t="s">
        <v>8459</v>
      </c>
      <c r="Y2130" s="127"/>
      <c r="Z2130" s="127"/>
      <c r="AA2130" s="127"/>
      <c r="AB2130" s="128"/>
      <c r="AC2130" s="15" t="s">
        <v>20</v>
      </c>
      <c r="AD2130" s="129" t="s">
        <v>7226</v>
      </c>
      <c r="AE2130" s="130"/>
      <c r="AF2130" s="130"/>
      <c r="AG2130" s="130"/>
      <c r="AH2130" s="130"/>
      <c r="AI2130" s="131"/>
      <c r="AJ2130" s="132" t="s">
        <v>10985</v>
      </c>
      <c r="AK2130" s="127"/>
      <c r="AL2130" s="128"/>
      <c r="AM2130" s="21"/>
      <c r="AN2130" s="133"/>
      <c r="AO2130" s="134"/>
      <c r="AP2130" s="135"/>
      <c r="AQ2130" s="136"/>
      <c r="AR2130" s="118"/>
      <c r="AS2130" s="119"/>
      <c r="AT2130" s="118">
        <f t="shared" ref="AT2130" si="305">AR2130*0.1</f>
        <v>0</v>
      </c>
      <c r="AU2130" s="119"/>
      <c r="AV2130" s="118"/>
      <c r="AW2130" s="119"/>
      <c r="AX2130" s="118">
        <f t="shared" ref="AX2130" si="306">SUM(AR2130:AW2130)</f>
        <v>0</v>
      </c>
      <c r="AY2130" s="119"/>
      <c r="AZ2130" s="137"/>
    </row>
    <row r="2131" spans="1:52" ht="17.100000000000001" customHeight="1" thickBot="1">
      <c r="A2131" s="152"/>
      <c r="B2131" s="27" t="s">
        <v>1718</v>
      </c>
      <c r="C2131" s="27" t="s">
        <v>7220</v>
      </c>
      <c r="D2131" s="14" t="s">
        <v>7222</v>
      </c>
      <c r="E2131" s="112"/>
      <c r="F2131" s="139" t="s">
        <v>7224</v>
      </c>
      <c r="G2131" s="140"/>
      <c r="H2131" s="141"/>
      <c r="I2131" s="26">
        <v>53894</v>
      </c>
      <c r="J2131" s="117"/>
      <c r="K2131" s="120"/>
      <c r="L2131" s="121"/>
      <c r="M2131" s="120"/>
      <c r="N2131" s="121"/>
      <c r="O2131" s="120"/>
      <c r="P2131" s="121"/>
      <c r="Q2131" s="120"/>
      <c r="R2131" s="121"/>
      <c r="S2131" s="120"/>
      <c r="T2131" s="121"/>
      <c r="U2131" s="120"/>
      <c r="V2131" s="123"/>
      <c r="W2131" s="125"/>
      <c r="X2131" s="142" t="s">
        <v>8460</v>
      </c>
      <c r="Y2131" s="143"/>
      <c r="Z2131" s="143"/>
      <c r="AA2131" s="143"/>
      <c r="AB2131" s="144"/>
      <c r="AC2131" s="16" t="s">
        <v>21</v>
      </c>
      <c r="AD2131" s="17" t="s">
        <v>1638</v>
      </c>
      <c r="AE2131" s="145" t="s">
        <v>1742</v>
      </c>
      <c r="AF2131" s="146"/>
      <c r="AG2131" s="146"/>
      <c r="AH2131" s="146"/>
      <c r="AI2131" s="147"/>
      <c r="AJ2131" s="148"/>
      <c r="AK2131" s="143"/>
      <c r="AL2131" s="144"/>
      <c r="AM2131" s="22"/>
      <c r="AN2131" s="149"/>
      <c r="AO2131" s="144"/>
      <c r="AP2131" s="148"/>
      <c r="AQ2131" s="144"/>
      <c r="AR2131" s="120"/>
      <c r="AS2131" s="121"/>
      <c r="AT2131" s="120"/>
      <c r="AU2131" s="121"/>
      <c r="AV2131" s="120"/>
      <c r="AW2131" s="121"/>
      <c r="AX2131" s="120"/>
      <c r="AY2131" s="121"/>
      <c r="AZ2131" s="138"/>
    </row>
    <row r="2132" spans="1:52" ht="17.100000000000001" customHeight="1" thickTop="1">
      <c r="A2132" s="109" t="s">
        <v>7293</v>
      </c>
      <c r="B2132" s="28">
        <v>45936</v>
      </c>
      <c r="C2132" s="25"/>
      <c r="D2132" s="13" t="s">
        <v>7228</v>
      </c>
      <c r="E2132" s="111"/>
      <c r="F2132" s="113" t="s">
        <v>7215</v>
      </c>
      <c r="G2132" s="114"/>
      <c r="H2132" s="115"/>
      <c r="I2132" s="24" t="s">
        <v>7230</v>
      </c>
      <c r="J2132" s="116">
        <v>4.5</v>
      </c>
      <c r="K2132" s="118">
        <v>3360000</v>
      </c>
      <c r="L2132" s="119"/>
      <c r="M2132" s="118">
        <v>336000</v>
      </c>
      <c r="N2132" s="119"/>
      <c r="O2132" s="118">
        <v>14500</v>
      </c>
      <c r="P2132" s="119"/>
      <c r="Q2132" s="118">
        <v>14930</v>
      </c>
      <c r="R2132" s="119"/>
      <c r="S2132" s="118">
        <v>147400</v>
      </c>
      <c r="T2132" s="119"/>
      <c r="U2132" s="118">
        <f t="shared" ref="U2132" si="307">SUM(K2132:T2133)</f>
        <v>3872830</v>
      </c>
      <c r="V2132" s="122"/>
      <c r="W2132" s="124"/>
      <c r="X2132" s="126" t="s">
        <v>10389</v>
      </c>
      <c r="Y2132" s="127"/>
      <c r="Z2132" s="127"/>
      <c r="AA2132" s="127"/>
      <c r="AB2132" s="128"/>
      <c r="AC2132" s="15" t="s">
        <v>20</v>
      </c>
      <c r="AD2132" s="129" t="s">
        <v>7231</v>
      </c>
      <c r="AE2132" s="130"/>
      <c r="AF2132" s="130"/>
      <c r="AG2132" s="130"/>
      <c r="AH2132" s="130"/>
      <c r="AI2132" s="131"/>
      <c r="AJ2132" s="132"/>
      <c r="AK2132" s="127"/>
      <c r="AL2132" s="128"/>
      <c r="AM2132" s="21"/>
      <c r="AN2132" s="133">
        <v>45969</v>
      </c>
      <c r="AO2132" s="134"/>
      <c r="AP2132" s="135">
        <v>1275</v>
      </c>
      <c r="AQ2132" s="136"/>
      <c r="AR2132" s="118">
        <v>3615000</v>
      </c>
      <c r="AS2132" s="119"/>
      <c r="AT2132" s="118">
        <f t="shared" ref="AT2132" si="308">AR2132*0.1</f>
        <v>361500</v>
      </c>
      <c r="AU2132" s="119"/>
      <c r="AV2132" s="118">
        <v>14930</v>
      </c>
      <c r="AW2132" s="119"/>
      <c r="AX2132" s="118">
        <f t="shared" ref="AX2132" si="309">SUM(AR2132:AW2132)</f>
        <v>3991430</v>
      </c>
      <c r="AY2132" s="119"/>
      <c r="AZ2132" s="137">
        <v>45974</v>
      </c>
    </row>
    <row r="2133" spans="1:52" ht="17.100000000000001" customHeight="1" thickBot="1">
      <c r="A2133" s="110"/>
      <c r="B2133" s="27" t="s">
        <v>1718</v>
      </c>
      <c r="C2133" s="27" t="s">
        <v>7227</v>
      </c>
      <c r="D2133" s="14" t="s">
        <v>7214</v>
      </c>
      <c r="E2133" s="112"/>
      <c r="F2133" s="139" t="s">
        <v>7229</v>
      </c>
      <c r="G2133" s="140"/>
      <c r="H2133" s="141"/>
      <c r="I2133" s="26">
        <v>22898</v>
      </c>
      <c r="J2133" s="117"/>
      <c r="K2133" s="120"/>
      <c r="L2133" s="121"/>
      <c r="M2133" s="120"/>
      <c r="N2133" s="121"/>
      <c r="O2133" s="120"/>
      <c r="P2133" s="121"/>
      <c r="Q2133" s="120"/>
      <c r="R2133" s="121"/>
      <c r="S2133" s="120"/>
      <c r="T2133" s="121"/>
      <c r="U2133" s="120"/>
      <c r="V2133" s="123"/>
      <c r="W2133" s="125"/>
      <c r="X2133" s="142" t="s">
        <v>10390</v>
      </c>
      <c r="Y2133" s="143"/>
      <c r="Z2133" s="143"/>
      <c r="AA2133" s="143"/>
      <c r="AB2133" s="144"/>
      <c r="AC2133" s="16" t="s">
        <v>21</v>
      </c>
      <c r="AD2133" s="17" t="s">
        <v>2194</v>
      </c>
      <c r="AE2133" s="145" t="s">
        <v>1614</v>
      </c>
      <c r="AF2133" s="146"/>
      <c r="AG2133" s="146"/>
      <c r="AH2133" s="146"/>
      <c r="AI2133" s="147"/>
      <c r="AJ2133" s="148"/>
      <c r="AK2133" s="143"/>
      <c r="AL2133" s="144"/>
      <c r="AM2133" s="22"/>
      <c r="AN2133" s="149" t="s">
        <v>7284</v>
      </c>
      <c r="AO2133" s="144"/>
      <c r="AP2133" s="148">
        <v>37141</v>
      </c>
      <c r="AQ2133" s="144"/>
      <c r="AR2133" s="120"/>
      <c r="AS2133" s="121"/>
      <c r="AT2133" s="120"/>
      <c r="AU2133" s="121"/>
      <c r="AV2133" s="120"/>
      <c r="AW2133" s="121"/>
      <c r="AX2133" s="120"/>
      <c r="AY2133" s="121"/>
      <c r="AZ2133" s="138"/>
    </row>
    <row r="2134" spans="1:52" ht="17.100000000000001" customHeight="1" thickTop="1">
      <c r="A2134" s="109" t="s">
        <v>7294</v>
      </c>
      <c r="B2134" s="28">
        <v>45936</v>
      </c>
      <c r="C2134" s="25"/>
      <c r="D2134" s="13" t="s">
        <v>7233</v>
      </c>
      <c r="E2134" s="111"/>
      <c r="F2134" s="113" t="s">
        <v>7235</v>
      </c>
      <c r="G2134" s="114"/>
      <c r="H2134" s="115"/>
      <c r="I2134" s="24" t="s">
        <v>7237</v>
      </c>
      <c r="J2134" s="116">
        <v>4</v>
      </c>
      <c r="K2134" s="118">
        <f>1094500/1.1</f>
        <v>994999.99999999988</v>
      </c>
      <c r="L2134" s="119"/>
      <c r="M2134" s="118">
        <f t="shared" ref="M2134" si="310">K2134*0.1</f>
        <v>99500</v>
      </c>
      <c r="N2134" s="119"/>
      <c r="O2134" s="118">
        <v>16400</v>
      </c>
      <c r="P2134" s="119"/>
      <c r="Q2134" s="118">
        <v>11270</v>
      </c>
      <c r="R2134" s="119"/>
      <c r="S2134" s="118">
        <v>82363</v>
      </c>
      <c r="T2134" s="119"/>
      <c r="U2134" s="118">
        <f t="shared" ref="U2134" si="311">SUM(K2134:T2135)</f>
        <v>1204533</v>
      </c>
      <c r="V2134" s="122"/>
      <c r="W2134" s="124"/>
      <c r="X2134" s="126" t="s">
        <v>8520</v>
      </c>
      <c r="Y2134" s="127"/>
      <c r="Z2134" s="127"/>
      <c r="AA2134" s="127"/>
      <c r="AB2134" s="128"/>
      <c r="AC2134" s="15" t="s">
        <v>20</v>
      </c>
      <c r="AD2134" s="129" t="s">
        <v>7226</v>
      </c>
      <c r="AE2134" s="130"/>
      <c r="AF2134" s="130"/>
      <c r="AG2134" s="130"/>
      <c r="AH2134" s="130"/>
      <c r="AI2134" s="131"/>
      <c r="AJ2134" s="132"/>
      <c r="AK2134" s="127"/>
      <c r="AL2134" s="128"/>
      <c r="AM2134" s="21"/>
      <c r="AN2134" s="133">
        <v>45962</v>
      </c>
      <c r="AO2134" s="134"/>
      <c r="AP2134" s="135">
        <v>1274</v>
      </c>
      <c r="AQ2134" s="136"/>
      <c r="AR2134" s="118">
        <v>1185000</v>
      </c>
      <c r="AS2134" s="119"/>
      <c r="AT2134" s="118">
        <f t="shared" ref="AT2134" si="312">AR2134*0.1</f>
        <v>118500</v>
      </c>
      <c r="AU2134" s="119"/>
      <c r="AV2134" s="118">
        <v>22170</v>
      </c>
      <c r="AW2134" s="119"/>
      <c r="AX2134" s="118">
        <v>1314770</v>
      </c>
      <c r="AY2134" s="119"/>
      <c r="AZ2134" s="137">
        <v>45965</v>
      </c>
    </row>
    <row r="2135" spans="1:52" ht="17.100000000000001" customHeight="1" thickBot="1">
      <c r="A2135" s="110"/>
      <c r="B2135" s="27" t="s">
        <v>1718</v>
      </c>
      <c r="C2135" s="27" t="s">
        <v>7232</v>
      </c>
      <c r="D2135" s="14" t="s">
        <v>7234</v>
      </c>
      <c r="E2135" s="112"/>
      <c r="F2135" s="139" t="s">
        <v>7236</v>
      </c>
      <c r="G2135" s="140"/>
      <c r="H2135" s="141"/>
      <c r="I2135" s="26">
        <v>130998</v>
      </c>
      <c r="J2135" s="117"/>
      <c r="K2135" s="120"/>
      <c r="L2135" s="121"/>
      <c r="M2135" s="120"/>
      <c r="N2135" s="121"/>
      <c r="O2135" s="120"/>
      <c r="P2135" s="121"/>
      <c r="Q2135" s="120"/>
      <c r="R2135" s="121"/>
      <c r="S2135" s="120"/>
      <c r="T2135" s="121"/>
      <c r="U2135" s="120"/>
      <c r="V2135" s="123"/>
      <c r="W2135" s="125"/>
      <c r="X2135" s="142" t="s">
        <v>8521</v>
      </c>
      <c r="Y2135" s="143"/>
      <c r="Z2135" s="143"/>
      <c r="AA2135" s="143"/>
      <c r="AB2135" s="144"/>
      <c r="AC2135" s="16" t="s">
        <v>21</v>
      </c>
      <c r="AD2135" s="17" t="s">
        <v>1648</v>
      </c>
      <c r="AE2135" s="145" t="s">
        <v>9505</v>
      </c>
      <c r="AF2135" s="146"/>
      <c r="AG2135" s="146"/>
      <c r="AH2135" s="146"/>
      <c r="AI2135" s="147"/>
      <c r="AJ2135" s="148"/>
      <c r="AK2135" s="143"/>
      <c r="AL2135" s="144"/>
      <c r="AM2135" s="22"/>
      <c r="AN2135" s="149" t="s">
        <v>2511</v>
      </c>
      <c r="AO2135" s="144"/>
      <c r="AP2135" s="148">
        <v>31049</v>
      </c>
      <c r="AQ2135" s="144"/>
      <c r="AR2135" s="120"/>
      <c r="AS2135" s="121"/>
      <c r="AT2135" s="120"/>
      <c r="AU2135" s="121"/>
      <c r="AV2135" s="120"/>
      <c r="AW2135" s="121"/>
      <c r="AX2135" s="120"/>
      <c r="AY2135" s="121"/>
      <c r="AZ2135" s="138"/>
    </row>
    <row r="2136" spans="1:52" ht="17.100000000000001" customHeight="1" thickTop="1">
      <c r="A2136" s="109" t="s">
        <v>7295</v>
      </c>
      <c r="B2136" s="28">
        <v>45936</v>
      </c>
      <c r="C2136" s="25"/>
      <c r="D2136" s="13" t="s">
        <v>7239</v>
      </c>
      <c r="E2136" s="111"/>
      <c r="F2136" s="113" t="s">
        <v>7240</v>
      </c>
      <c r="G2136" s="114"/>
      <c r="H2136" s="115"/>
      <c r="I2136" s="24" t="s">
        <v>7242</v>
      </c>
      <c r="J2136" s="116">
        <v>4.5</v>
      </c>
      <c r="K2136" s="118">
        <f>3767500/1.1</f>
        <v>3424999.9999999995</v>
      </c>
      <c r="L2136" s="119"/>
      <c r="M2136" s="118">
        <f t="shared" ref="M2136" si="313">K2136*0.1</f>
        <v>342500</v>
      </c>
      <c r="N2136" s="119"/>
      <c r="O2136" s="118">
        <v>13100</v>
      </c>
      <c r="P2136" s="119"/>
      <c r="Q2136" s="118">
        <v>14330</v>
      </c>
      <c r="R2136" s="119"/>
      <c r="S2136" s="118">
        <v>149188</v>
      </c>
      <c r="T2136" s="119"/>
      <c r="U2136" s="118">
        <f t="shared" ref="U2136" si="314">SUM(K2136:T2137)</f>
        <v>3944117.9999999995</v>
      </c>
      <c r="V2136" s="122"/>
      <c r="W2136" s="124"/>
      <c r="X2136" s="126" t="s">
        <v>9948</v>
      </c>
      <c r="Y2136" s="127"/>
      <c r="Z2136" s="127"/>
      <c r="AA2136" s="127"/>
      <c r="AB2136" s="128"/>
      <c r="AC2136" s="15" t="s">
        <v>20</v>
      </c>
      <c r="AD2136" s="129" t="s">
        <v>7231</v>
      </c>
      <c r="AE2136" s="130"/>
      <c r="AF2136" s="130"/>
      <c r="AG2136" s="130"/>
      <c r="AH2136" s="130"/>
      <c r="AI2136" s="131"/>
      <c r="AJ2136" s="132"/>
      <c r="AK2136" s="127"/>
      <c r="AL2136" s="128"/>
      <c r="AM2136" s="21"/>
      <c r="AN2136" s="133">
        <v>45976</v>
      </c>
      <c r="AO2136" s="134"/>
      <c r="AP2136" s="135">
        <v>1276</v>
      </c>
      <c r="AQ2136" s="136"/>
      <c r="AR2136" s="118">
        <v>3610000</v>
      </c>
      <c r="AS2136" s="119"/>
      <c r="AT2136" s="118">
        <f t="shared" ref="AT2136" si="315">AR2136*0.1</f>
        <v>361000</v>
      </c>
      <c r="AU2136" s="119"/>
      <c r="AV2136" s="118">
        <v>14330</v>
      </c>
      <c r="AW2136" s="119"/>
      <c r="AX2136" s="118">
        <f t="shared" ref="AX2136" si="316">SUM(AR2136:AW2136)</f>
        <v>3985330</v>
      </c>
      <c r="AY2136" s="119"/>
      <c r="AZ2136" s="137">
        <v>45981</v>
      </c>
    </row>
    <row r="2137" spans="1:52" ht="17.100000000000001" customHeight="1" thickBot="1">
      <c r="A2137" s="110"/>
      <c r="B2137" s="27" t="s">
        <v>1718</v>
      </c>
      <c r="C2137" s="27" t="s">
        <v>7238</v>
      </c>
      <c r="D2137" s="14" t="s">
        <v>7214</v>
      </c>
      <c r="E2137" s="112"/>
      <c r="F2137" s="139" t="s">
        <v>7241</v>
      </c>
      <c r="G2137" s="140"/>
      <c r="H2137" s="141"/>
      <c r="I2137" s="26">
        <v>42062</v>
      </c>
      <c r="J2137" s="117"/>
      <c r="K2137" s="120"/>
      <c r="L2137" s="121"/>
      <c r="M2137" s="120"/>
      <c r="N2137" s="121"/>
      <c r="O2137" s="120"/>
      <c r="P2137" s="121"/>
      <c r="Q2137" s="120"/>
      <c r="R2137" s="121"/>
      <c r="S2137" s="120"/>
      <c r="T2137" s="121"/>
      <c r="U2137" s="120"/>
      <c r="V2137" s="123"/>
      <c r="W2137" s="125"/>
      <c r="X2137" s="142" t="s">
        <v>9949</v>
      </c>
      <c r="Y2137" s="143"/>
      <c r="Z2137" s="143"/>
      <c r="AA2137" s="143"/>
      <c r="AB2137" s="144"/>
      <c r="AC2137" s="16" t="s">
        <v>21</v>
      </c>
      <c r="AD2137" s="17" t="s">
        <v>3391</v>
      </c>
      <c r="AE2137" s="145" t="s">
        <v>9950</v>
      </c>
      <c r="AF2137" s="146"/>
      <c r="AG2137" s="146"/>
      <c r="AH2137" s="146"/>
      <c r="AI2137" s="147"/>
      <c r="AJ2137" s="148"/>
      <c r="AK2137" s="143"/>
      <c r="AL2137" s="144"/>
      <c r="AM2137" s="22"/>
      <c r="AN2137" s="149" t="s">
        <v>7284</v>
      </c>
      <c r="AO2137" s="144"/>
      <c r="AP2137" s="148">
        <v>37067</v>
      </c>
      <c r="AQ2137" s="144"/>
      <c r="AR2137" s="120"/>
      <c r="AS2137" s="121"/>
      <c r="AT2137" s="120"/>
      <c r="AU2137" s="121"/>
      <c r="AV2137" s="120"/>
      <c r="AW2137" s="121"/>
      <c r="AX2137" s="120"/>
      <c r="AY2137" s="121"/>
      <c r="AZ2137" s="138"/>
    </row>
    <row r="2138" spans="1:52" ht="17.100000000000001" customHeight="1" thickTop="1">
      <c r="A2138" s="109" t="s">
        <v>7296</v>
      </c>
      <c r="B2138" s="28">
        <v>45936</v>
      </c>
      <c r="C2138" s="25"/>
      <c r="D2138" s="13" t="s">
        <v>7244</v>
      </c>
      <c r="E2138" s="111"/>
      <c r="F2138" s="113" t="s">
        <v>7246</v>
      </c>
      <c r="G2138" s="114"/>
      <c r="H2138" s="115"/>
      <c r="I2138" s="24" t="s">
        <v>7248</v>
      </c>
      <c r="J2138" s="116">
        <v>4</v>
      </c>
      <c r="K2138" s="118">
        <f>412500/1.1</f>
        <v>374999.99999999994</v>
      </c>
      <c r="L2138" s="119"/>
      <c r="M2138" s="118">
        <f t="shared" ref="M2138" si="317">K2138*0.1</f>
        <v>37499.999999999993</v>
      </c>
      <c r="N2138" s="119"/>
      <c r="O2138" s="118">
        <v>0</v>
      </c>
      <c r="P2138" s="119"/>
      <c r="Q2138" s="118">
        <v>5990</v>
      </c>
      <c r="R2138" s="119"/>
      <c r="S2138" s="118">
        <v>47765</v>
      </c>
      <c r="T2138" s="119"/>
      <c r="U2138" s="118">
        <f t="shared" ref="U2138" si="318">SUM(K2138:T2139)</f>
        <v>466254.99999999994</v>
      </c>
      <c r="V2138" s="122"/>
      <c r="W2138" s="124"/>
      <c r="X2138" s="126" t="s">
        <v>10462</v>
      </c>
      <c r="Y2138" s="127"/>
      <c r="Z2138" s="127"/>
      <c r="AA2138" s="127"/>
      <c r="AB2138" s="128"/>
      <c r="AC2138" s="15" t="s">
        <v>20</v>
      </c>
      <c r="AD2138" s="129" t="s">
        <v>7219</v>
      </c>
      <c r="AE2138" s="130"/>
      <c r="AF2138" s="130"/>
      <c r="AG2138" s="130"/>
      <c r="AH2138" s="130"/>
      <c r="AI2138" s="131"/>
      <c r="AJ2138" s="132"/>
      <c r="AK2138" s="127"/>
      <c r="AL2138" s="128"/>
      <c r="AM2138" s="21"/>
      <c r="AN2138" s="133">
        <v>45976</v>
      </c>
      <c r="AO2138" s="134"/>
      <c r="AP2138" s="135">
        <v>1276</v>
      </c>
      <c r="AQ2138" s="136"/>
      <c r="AR2138" s="118">
        <v>450000</v>
      </c>
      <c r="AS2138" s="119"/>
      <c r="AT2138" s="118">
        <f t="shared" ref="AT2138" si="319">AR2138*0.1</f>
        <v>45000</v>
      </c>
      <c r="AU2138" s="119"/>
      <c r="AV2138" s="118">
        <v>5990</v>
      </c>
      <c r="AW2138" s="119"/>
      <c r="AX2138" s="118">
        <f t="shared" ref="AX2138" si="320">SUM(AR2138:AW2138)</f>
        <v>500990</v>
      </c>
      <c r="AY2138" s="119"/>
      <c r="AZ2138" s="137">
        <v>45981</v>
      </c>
    </row>
    <row r="2139" spans="1:52" ht="17.100000000000001" customHeight="1" thickBot="1">
      <c r="A2139" s="110"/>
      <c r="B2139" s="27" t="s">
        <v>1718</v>
      </c>
      <c r="C2139" s="27" t="s">
        <v>7243</v>
      </c>
      <c r="D2139" s="14" t="s">
        <v>7245</v>
      </c>
      <c r="E2139" s="112"/>
      <c r="F2139" s="139" t="s">
        <v>7247</v>
      </c>
      <c r="G2139" s="140"/>
      <c r="H2139" s="141"/>
      <c r="I2139" s="26">
        <v>55789</v>
      </c>
      <c r="J2139" s="117"/>
      <c r="K2139" s="120"/>
      <c r="L2139" s="121"/>
      <c r="M2139" s="120"/>
      <c r="N2139" s="121"/>
      <c r="O2139" s="120"/>
      <c r="P2139" s="121"/>
      <c r="Q2139" s="120"/>
      <c r="R2139" s="121"/>
      <c r="S2139" s="120"/>
      <c r="T2139" s="121"/>
      <c r="U2139" s="120"/>
      <c r="V2139" s="123"/>
      <c r="W2139" s="125"/>
      <c r="X2139" s="142" t="s">
        <v>10463</v>
      </c>
      <c r="Y2139" s="143"/>
      <c r="Z2139" s="143"/>
      <c r="AA2139" s="143"/>
      <c r="AB2139" s="144"/>
      <c r="AC2139" s="16" t="s">
        <v>21</v>
      </c>
      <c r="AD2139" s="17" t="s">
        <v>1694</v>
      </c>
      <c r="AE2139" s="145" t="s">
        <v>10464</v>
      </c>
      <c r="AF2139" s="146"/>
      <c r="AG2139" s="146"/>
      <c r="AH2139" s="146"/>
      <c r="AI2139" s="147"/>
      <c r="AJ2139" s="148"/>
      <c r="AK2139" s="143"/>
      <c r="AL2139" s="144"/>
      <c r="AM2139" s="22"/>
      <c r="AN2139" s="149" t="s">
        <v>7284</v>
      </c>
      <c r="AO2139" s="144"/>
      <c r="AP2139" s="148">
        <v>65399</v>
      </c>
      <c r="AQ2139" s="144"/>
      <c r="AR2139" s="120"/>
      <c r="AS2139" s="121"/>
      <c r="AT2139" s="120"/>
      <c r="AU2139" s="121"/>
      <c r="AV2139" s="120"/>
      <c r="AW2139" s="121"/>
      <c r="AX2139" s="120"/>
      <c r="AY2139" s="121"/>
      <c r="AZ2139" s="138"/>
    </row>
    <row r="2140" spans="1:52" ht="17.100000000000001" customHeight="1" thickTop="1">
      <c r="A2140" s="109" t="s">
        <v>7297</v>
      </c>
      <c r="B2140" s="28">
        <v>45936</v>
      </c>
      <c r="C2140" s="25"/>
      <c r="D2140" s="13" t="s">
        <v>7250</v>
      </c>
      <c r="E2140" s="111"/>
      <c r="F2140" s="113" t="s">
        <v>7312</v>
      </c>
      <c r="G2140" s="114"/>
      <c r="H2140" s="115"/>
      <c r="I2140" s="24" t="s">
        <v>7253</v>
      </c>
      <c r="J2140" s="116">
        <v>4.5</v>
      </c>
      <c r="K2140" s="118">
        <f>1309000/1.1</f>
        <v>1190000</v>
      </c>
      <c r="L2140" s="119"/>
      <c r="M2140" s="118">
        <f t="shared" ref="M2140" si="321">K2140*0.1</f>
        <v>119000</v>
      </c>
      <c r="N2140" s="119"/>
      <c r="O2140" s="118">
        <v>0</v>
      </c>
      <c r="P2140" s="119"/>
      <c r="Q2140" s="118">
        <v>6830</v>
      </c>
      <c r="R2140" s="119"/>
      <c r="S2140" s="118">
        <v>87725</v>
      </c>
      <c r="T2140" s="119"/>
      <c r="U2140" s="118">
        <f t="shared" ref="U2140" si="322">SUM(K2140:T2141)</f>
        <v>1403555</v>
      </c>
      <c r="V2140" s="122"/>
      <c r="W2140" s="124"/>
      <c r="X2140" s="126" t="s">
        <v>9861</v>
      </c>
      <c r="Y2140" s="127"/>
      <c r="Z2140" s="127"/>
      <c r="AA2140" s="127"/>
      <c r="AB2140" s="128"/>
      <c r="AC2140" s="15" t="s">
        <v>20</v>
      </c>
      <c r="AD2140" s="129" t="s">
        <v>7254</v>
      </c>
      <c r="AE2140" s="130"/>
      <c r="AF2140" s="130"/>
      <c r="AG2140" s="130"/>
      <c r="AH2140" s="130"/>
      <c r="AI2140" s="131"/>
      <c r="AJ2140" s="132"/>
      <c r="AK2140" s="127"/>
      <c r="AL2140" s="128"/>
      <c r="AM2140" s="21"/>
      <c r="AN2140" s="133">
        <v>45958</v>
      </c>
      <c r="AO2140" s="134"/>
      <c r="AP2140" s="135">
        <v>1915</v>
      </c>
      <c r="AQ2140" s="136"/>
      <c r="AR2140" s="118">
        <v>1430000</v>
      </c>
      <c r="AS2140" s="119"/>
      <c r="AT2140" s="118">
        <f t="shared" ref="AT2140" si="323">AR2140*0.1</f>
        <v>143000</v>
      </c>
      <c r="AU2140" s="119"/>
      <c r="AV2140" s="118">
        <v>6830</v>
      </c>
      <c r="AW2140" s="119"/>
      <c r="AX2140" s="118">
        <f t="shared" ref="AX2140" si="324">SUM(AR2140:AW2140)</f>
        <v>1579830</v>
      </c>
      <c r="AY2140" s="119"/>
      <c r="AZ2140" s="137">
        <v>45965</v>
      </c>
    </row>
    <row r="2141" spans="1:52" ht="17.100000000000001" customHeight="1" thickBot="1">
      <c r="A2141" s="110"/>
      <c r="B2141" s="27" t="s">
        <v>1718</v>
      </c>
      <c r="C2141" s="27" t="s">
        <v>7249</v>
      </c>
      <c r="D2141" s="14" t="s">
        <v>7251</v>
      </c>
      <c r="E2141" s="112"/>
      <c r="F2141" s="139" t="s">
        <v>7252</v>
      </c>
      <c r="G2141" s="140"/>
      <c r="H2141" s="141"/>
      <c r="I2141" s="26">
        <v>46507</v>
      </c>
      <c r="J2141" s="117"/>
      <c r="K2141" s="120"/>
      <c r="L2141" s="121"/>
      <c r="M2141" s="120"/>
      <c r="N2141" s="121"/>
      <c r="O2141" s="120"/>
      <c r="P2141" s="121"/>
      <c r="Q2141" s="120"/>
      <c r="R2141" s="121"/>
      <c r="S2141" s="120"/>
      <c r="T2141" s="121"/>
      <c r="U2141" s="120"/>
      <c r="V2141" s="123"/>
      <c r="W2141" s="125"/>
      <c r="X2141" s="142" t="s">
        <v>9862</v>
      </c>
      <c r="Y2141" s="143"/>
      <c r="Z2141" s="143"/>
      <c r="AA2141" s="143"/>
      <c r="AB2141" s="144"/>
      <c r="AC2141" s="16" t="s">
        <v>21</v>
      </c>
      <c r="AD2141" s="17" t="s">
        <v>9858</v>
      </c>
      <c r="AE2141" s="145" t="s">
        <v>7043</v>
      </c>
      <c r="AF2141" s="146"/>
      <c r="AG2141" s="146"/>
      <c r="AH2141" s="146"/>
      <c r="AI2141" s="147"/>
      <c r="AJ2141" s="148"/>
      <c r="AK2141" s="143"/>
      <c r="AL2141" s="144"/>
      <c r="AM2141" s="22"/>
      <c r="AN2141" s="149" t="s">
        <v>2131</v>
      </c>
      <c r="AO2141" s="144"/>
      <c r="AP2141" s="148">
        <v>3249</v>
      </c>
      <c r="AQ2141" s="144"/>
      <c r="AR2141" s="120"/>
      <c r="AS2141" s="121"/>
      <c r="AT2141" s="120"/>
      <c r="AU2141" s="121"/>
      <c r="AV2141" s="120"/>
      <c r="AW2141" s="121"/>
      <c r="AX2141" s="120"/>
      <c r="AY2141" s="121"/>
      <c r="AZ2141" s="138"/>
    </row>
    <row r="2142" spans="1:52" ht="17.100000000000001" customHeight="1" thickTop="1">
      <c r="A2142" s="109" t="s">
        <v>7298</v>
      </c>
      <c r="B2142" s="28">
        <v>45936</v>
      </c>
      <c r="C2142" s="25"/>
      <c r="D2142" s="13" t="s">
        <v>7256</v>
      </c>
      <c r="E2142" s="111"/>
      <c r="F2142" s="113" t="s">
        <v>7257</v>
      </c>
      <c r="G2142" s="114"/>
      <c r="H2142" s="115"/>
      <c r="I2142" s="24" t="s">
        <v>7259</v>
      </c>
      <c r="J2142" s="116">
        <v>4</v>
      </c>
      <c r="K2142" s="118">
        <f>1727000/1.1</f>
        <v>1569999.9999999998</v>
      </c>
      <c r="L2142" s="119"/>
      <c r="M2142" s="118">
        <f t="shared" ref="M2142" si="325">K2142*0.1</f>
        <v>156999.99999999997</v>
      </c>
      <c r="N2142" s="119"/>
      <c r="O2142" s="118">
        <v>12700</v>
      </c>
      <c r="P2142" s="119"/>
      <c r="Q2142" s="118">
        <v>7470</v>
      </c>
      <c r="R2142" s="119"/>
      <c r="S2142" s="118">
        <v>98175</v>
      </c>
      <c r="T2142" s="119"/>
      <c r="U2142" s="118">
        <f>SUM(K2142:T2143)</f>
        <v>1845344.9999999998</v>
      </c>
      <c r="V2142" s="122"/>
      <c r="W2142" s="124"/>
      <c r="X2142" s="126" t="s">
        <v>8518</v>
      </c>
      <c r="Y2142" s="127"/>
      <c r="Z2142" s="127"/>
      <c r="AA2142" s="127"/>
      <c r="AB2142" s="128"/>
      <c r="AC2142" s="15" t="s">
        <v>20</v>
      </c>
      <c r="AD2142" s="129" t="s">
        <v>7260</v>
      </c>
      <c r="AE2142" s="130"/>
      <c r="AF2142" s="130"/>
      <c r="AG2142" s="130"/>
      <c r="AH2142" s="130"/>
      <c r="AI2142" s="131"/>
      <c r="AJ2142" s="132"/>
      <c r="AK2142" s="127"/>
      <c r="AL2142" s="128"/>
      <c r="AM2142" s="21"/>
      <c r="AN2142" s="133">
        <v>45955</v>
      </c>
      <c r="AO2142" s="134"/>
      <c r="AP2142" s="135">
        <v>1273</v>
      </c>
      <c r="AQ2142" s="136"/>
      <c r="AR2142" s="118">
        <v>2005000</v>
      </c>
      <c r="AS2142" s="119"/>
      <c r="AT2142" s="118">
        <f t="shared" ref="AT2142" si="326">AR2142*0.1</f>
        <v>200500</v>
      </c>
      <c r="AU2142" s="119"/>
      <c r="AV2142" s="118">
        <v>7470</v>
      </c>
      <c r="AW2142" s="119"/>
      <c r="AX2142" s="118">
        <f t="shared" ref="AX2142" si="327">SUM(AR2142:AW2142)</f>
        <v>2212970</v>
      </c>
      <c r="AY2142" s="119"/>
      <c r="AZ2142" s="137">
        <v>45958</v>
      </c>
    </row>
    <row r="2143" spans="1:52" ht="17.100000000000001" customHeight="1" thickBot="1">
      <c r="A2143" s="110"/>
      <c r="B2143" s="27" t="s">
        <v>1718</v>
      </c>
      <c r="C2143" s="27" t="s">
        <v>7255</v>
      </c>
      <c r="D2143" s="14" t="s">
        <v>7214</v>
      </c>
      <c r="E2143" s="112"/>
      <c r="F2143" s="139" t="s">
        <v>7258</v>
      </c>
      <c r="G2143" s="140"/>
      <c r="H2143" s="141"/>
      <c r="I2143" s="26">
        <v>35552</v>
      </c>
      <c r="J2143" s="117"/>
      <c r="K2143" s="120"/>
      <c r="L2143" s="121"/>
      <c r="M2143" s="120"/>
      <c r="N2143" s="121"/>
      <c r="O2143" s="120"/>
      <c r="P2143" s="121"/>
      <c r="Q2143" s="120"/>
      <c r="R2143" s="121"/>
      <c r="S2143" s="120"/>
      <c r="T2143" s="121"/>
      <c r="U2143" s="120"/>
      <c r="V2143" s="123"/>
      <c r="W2143" s="125"/>
      <c r="X2143" s="142" t="s">
        <v>8519</v>
      </c>
      <c r="Y2143" s="143"/>
      <c r="Z2143" s="143"/>
      <c r="AA2143" s="143"/>
      <c r="AB2143" s="144"/>
      <c r="AC2143" s="16" t="s">
        <v>21</v>
      </c>
      <c r="AD2143" s="17" t="s">
        <v>1648</v>
      </c>
      <c r="AE2143" s="145" t="s">
        <v>9504</v>
      </c>
      <c r="AF2143" s="146"/>
      <c r="AG2143" s="146"/>
      <c r="AH2143" s="146"/>
      <c r="AI2143" s="147"/>
      <c r="AJ2143" s="148"/>
      <c r="AK2143" s="143"/>
      <c r="AL2143" s="144"/>
      <c r="AM2143" s="22"/>
      <c r="AN2143" s="149" t="s">
        <v>7284</v>
      </c>
      <c r="AO2143" s="144"/>
      <c r="AP2143" s="148">
        <v>37610</v>
      </c>
      <c r="AQ2143" s="144"/>
      <c r="AR2143" s="120"/>
      <c r="AS2143" s="121"/>
      <c r="AT2143" s="120"/>
      <c r="AU2143" s="121"/>
      <c r="AV2143" s="120"/>
      <c r="AW2143" s="121"/>
      <c r="AX2143" s="120"/>
      <c r="AY2143" s="121"/>
      <c r="AZ2143" s="138"/>
    </row>
    <row r="2144" spans="1:52" ht="17.100000000000001" customHeight="1" thickTop="1">
      <c r="A2144" s="109" t="s">
        <v>7299</v>
      </c>
      <c r="B2144" s="28">
        <v>45936</v>
      </c>
      <c r="C2144" s="25"/>
      <c r="D2144" s="13" t="s">
        <v>7262</v>
      </c>
      <c r="E2144" s="111"/>
      <c r="F2144" s="113" t="s">
        <v>7263</v>
      </c>
      <c r="G2144" s="114"/>
      <c r="H2144" s="115"/>
      <c r="I2144" s="24" t="s">
        <v>7265</v>
      </c>
      <c r="J2144" s="116">
        <v>4</v>
      </c>
      <c r="K2144" s="118">
        <f>1518000/1.1</f>
        <v>1380000</v>
      </c>
      <c r="L2144" s="119"/>
      <c r="M2144" s="118">
        <f t="shared" ref="M2144" si="328">K2144*0.1</f>
        <v>138000</v>
      </c>
      <c r="N2144" s="119"/>
      <c r="O2144" s="118">
        <v>14300</v>
      </c>
      <c r="P2144" s="119"/>
      <c r="Q2144" s="118">
        <v>10360</v>
      </c>
      <c r="R2144" s="119"/>
      <c r="S2144" s="118">
        <v>92950</v>
      </c>
      <c r="T2144" s="119"/>
      <c r="U2144" s="118">
        <f t="shared" ref="U2144" si="329">SUM(K2144:T2145)</f>
        <v>1635610</v>
      </c>
      <c r="V2144" s="122"/>
      <c r="W2144" s="124"/>
      <c r="X2144" s="126" t="s">
        <v>8718</v>
      </c>
      <c r="Y2144" s="127"/>
      <c r="Z2144" s="127"/>
      <c r="AA2144" s="127"/>
      <c r="AB2144" s="128"/>
      <c r="AC2144" s="15" t="s">
        <v>20</v>
      </c>
      <c r="AD2144" s="129" t="s">
        <v>7231</v>
      </c>
      <c r="AE2144" s="130"/>
      <c r="AF2144" s="130"/>
      <c r="AG2144" s="130"/>
      <c r="AH2144" s="130"/>
      <c r="AI2144" s="131"/>
      <c r="AJ2144" s="132"/>
      <c r="AK2144" s="127"/>
      <c r="AL2144" s="128"/>
      <c r="AM2144" s="21"/>
      <c r="AN2144" s="133">
        <v>45955</v>
      </c>
      <c r="AO2144" s="134"/>
      <c r="AP2144" s="135">
        <v>1273</v>
      </c>
      <c r="AQ2144" s="136"/>
      <c r="AR2144" s="118">
        <v>1670000</v>
      </c>
      <c r="AS2144" s="119"/>
      <c r="AT2144" s="118">
        <f t="shared" ref="AT2144" si="330">AR2144*0.1</f>
        <v>167000</v>
      </c>
      <c r="AU2144" s="119"/>
      <c r="AV2144" s="118">
        <v>10360</v>
      </c>
      <c r="AW2144" s="119"/>
      <c r="AX2144" s="118">
        <f t="shared" ref="AX2144" si="331">SUM(AR2144:AW2144)</f>
        <v>1847360</v>
      </c>
      <c r="AY2144" s="119"/>
      <c r="AZ2144" s="137">
        <v>45958</v>
      </c>
    </row>
    <row r="2145" spans="1:52" ht="17.100000000000001" customHeight="1" thickBot="1">
      <c r="A2145" s="110"/>
      <c r="B2145" s="27" t="s">
        <v>1718</v>
      </c>
      <c r="C2145" s="27" t="s">
        <v>7261</v>
      </c>
      <c r="D2145" s="14" t="s">
        <v>7214</v>
      </c>
      <c r="E2145" s="112"/>
      <c r="F2145" s="139" t="s">
        <v>7264</v>
      </c>
      <c r="G2145" s="140"/>
      <c r="H2145" s="141"/>
      <c r="I2145" s="26">
        <v>35320</v>
      </c>
      <c r="J2145" s="117"/>
      <c r="K2145" s="120"/>
      <c r="L2145" s="121"/>
      <c r="M2145" s="120"/>
      <c r="N2145" s="121"/>
      <c r="O2145" s="120"/>
      <c r="P2145" s="121"/>
      <c r="Q2145" s="120"/>
      <c r="R2145" s="121"/>
      <c r="S2145" s="120"/>
      <c r="T2145" s="121"/>
      <c r="U2145" s="120"/>
      <c r="V2145" s="123"/>
      <c r="W2145" s="125"/>
      <c r="X2145" s="142" t="s">
        <v>8719</v>
      </c>
      <c r="Y2145" s="143"/>
      <c r="Z2145" s="143"/>
      <c r="AA2145" s="143"/>
      <c r="AB2145" s="144"/>
      <c r="AC2145" s="16" t="s">
        <v>21</v>
      </c>
      <c r="AD2145" s="17" t="s">
        <v>2171</v>
      </c>
      <c r="AE2145" s="145" t="s">
        <v>1614</v>
      </c>
      <c r="AF2145" s="146"/>
      <c r="AG2145" s="146"/>
      <c r="AH2145" s="146"/>
      <c r="AI2145" s="147"/>
      <c r="AJ2145" s="148"/>
      <c r="AK2145" s="143"/>
      <c r="AL2145" s="144"/>
      <c r="AM2145" s="22"/>
      <c r="AN2145" s="149" t="s">
        <v>2511</v>
      </c>
      <c r="AO2145" s="144"/>
      <c r="AP2145" s="148">
        <v>37608</v>
      </c>
      <c r="AQ2145" s="144"/>
      <c r="AR2145" s="120"/>
      <c r="AS2145" s="121"/>
      <c r="AT2145" s="120"/>
      <c r="AU2145" s="121"/>
      <c r="AV2145" s="120"/>
      <c r="AW2145" s="121"/>
      <c r="AX2145" s="120"/>
      <c r="AY2145" s="121"/>
      <c r="AZ2145" s="138"/>
    </row>
    <row r="2146" spans="1:52" ht="17.100000000000001" customHeight="1" thickTop="1">
      <c r="A2146" s="109" t="s">
        <v>7300</v>
      </c>
      <c r="B2146" s="28">
        <v>45936</v>
      </c>
      <c r="C2146" s="25"/>
      <c r="D2146" s="13" t="s">
        <v>7267</v>
      </c>
      <c r="E2146" s="111"/>
      <c r="F2146" s="113" t="s">
        <v>7269</v>
      </c>
      <c r="G2146" s="114"/>
      <c r="H2146" s="115"/>
      <c r="I2146" s="24" t="s">
        <v>7271</v>
      </c>
      <c r="J2146" s="116">
        <v>4</v>
      </c>
      <c r="K2146" s="118">
        <f>1254000/1.1</f>
        <v>1140000</v>
      </c>
      <c r="L2146" s="119"/>
      <c r="M2146" s="118">
        <f t="shared" ref="M2146" si="332">K2146*0.1</f>
        <v>114000</v>
      </c>
      <c r="N2146" s="119"/>
      <c r="O2146" s="118">
        <v>18700</v>
      </c>
      <c r="P2146" s="119"/>
      <c r="Q2146" s="118">
        <v>12570</v>
      </c>
      <c r="R2146" s="119"/>
      <c r="S2146" s="118">
        <v>86350</v>
      </c>
      <c r="T2146" s="119"/>
      <c r="U2146" s="118">
        <f t="shared" ref="U2146" si="333">SUM(K2146:T2147)</f>
        <v>1371620</v>
      </c>
      <c r="V2146" s="122"/>
      <c r="W2146" s="124"/>
      <c r="X2146" s="126" t="s">
        <v>10055</v>
      </c>
      <c r="Y2146" s="127"/>
      <c r="Z2146" s="127"/>
      <c r="AA2146" s="127"/>
      <c r="AB2146" s="128"/>
      <c r="AC2146" s="15" t="s">
        <v>20</v>
      </c>
      <c r="AD2146" s="129" t="s">
        <v>7219</v>
      </c>
      <c r="AE2146" s="130"/>
      <c r="AF2146" s="130"/>
      <c r="AG2146" s="130"/>
      <c r="AH2146" s="130"/>
      <c r="AI2146" s="131"/>
      <c r="AJ2146" s="132"/>
      <c r="AK2146" s="127"/>
      <c r="AL2146" s="128"/>
      <c r="AM2146" s="21"/>
      <c r="AN2146" s="133">
        <v>45983</v>
      </c>
      <c r="AO2146" s="134"/>
      <c r="AP2146" s="135">
        <v>1277</v>
      </c>
      <c r="AQ2146" s="136"/>
      <c r="AR2146" s="118">
        <v>1250000</v>
      </c>
      <c r="AS2146" s="119"/>
      <c r="AT2146" s="118">
        <f t="shared" ref="AT2146" si="334">AR2146*0.1</f>
        <v>125000</v>
      </c>
      <c r="AU2146" s="119"/>
      <c r="AV2146" s="118">
        <v>12570</v>
      </c>
      <c r="AW2146" s="119"/>
      <c r="AX2146" s="118">
        <f t="shared" ref="AX2146" si="335">SUM(AR2146:AW2146)</f>
        <v>1387570</v>
      </c>
      <c r="AY2146" s="119"/>
      <c r="AZ2146" s="137">
        <v>45992</v>
      </c>
    </row>
    <row r="2147" spans="1:52" ht="17.100000000000001" customHeight="1" thickBot="1">
      <c r="A2147" s="110"/>
      <c r="B2147" s="27" t="s">
        <v>1718</v>
      </c>
      <c r="C2147" s="27" t="s">
        <v>7266</v>
      </c>
      <c r="D2147" s="14" t="s">
        <v>7268</v>
      </c>
      <c r="E2147" s="112"/>
      <c r="F2147" s="139" t="s">
        <v>7270</v>
      </c>
      <c r="G2147" s="140"/>
      <c r="H2147" s="141"/>
      <c r="I2147" s="26">
        <v>84988</v>
      </c>
      <c r="J2147" s="117"/>
      <c r="K2147" s="120"/>
      <c r="L2147" s="121"/>
      <c r="M2147" s="120"/>
      <c r="N2147" s="121"/>
      <c r="O2147" s="120"/>
      <c r="P2147" s="121"/>
      <c r="Q2147" s="120"/>
      <c r="R2147" s="121"/>
      <c r="S2147" s="120"/>
      <c r="T2147" s="121"/>
      <c r="U2147" s="120"/>
      <c r="V2147" s="123"/>
      <c r="W2147" s="125"/>
      <c r="X2147" s="142" t="s">
        <v>10056</v>
      </c>
      <c r="Y2147" s="143"/>
      <c r="Z2147" s="143"/>
      <c r="AA2147" s="143"/>
      <c r="AB2147" s="144"/>
      <c r="AC2147" s="16" t="s">
        <v>21</v>
      </c>
      <c r="AD2147" s="17" t="s">
        <v>1683</v>
      </c>
      <c r="AE2147" s="145" t="s">
        <v>10057</v>
      </c>
      <c r="AF2147" s="146"/>
      <c r="AG2147" s="146"/>
      <c r="AH2147" s="146"/>
      <c r="AI2147" s="147"/>
      <c r="AJ2147" s="148"/>
      <c r="AK2147" s="143"/>
      <c r="AL2147" s="144"/>
      <c r="AM2147" s="22"/>
      <c r="AN2147" s="149" t="s">
        <v>6749</v>
      </c>
      <c r="AO2147" s="144"/>
      <c r="AP2147" s="148">
        <v>31132</v>
      </c>
      <c r="AQ2147" s="144"/>
      <c r="AR2147" s="120"/>
      <c r="AS2147" s="121"/>
      <c r="AT2147" s="120"/>
      <c r="AU2147" s="121"/>
      <c r="AV2147" s="120"/>
      <c r="AW2147" s="121"/>
      <c r="AX2147" s="120"/>
      <c r="AY2147" s="121"/>
      <c r="AZ2147" s="138"/>
    </row>
    <row r="2148" spans="1:52" ht="17.100000000000001" customHeight="1" thickTop="1">
      <c r="A2148" s="109" t="s">
        <v>7301</v>
      </c>
      <c r="B2148" s="28">
        <v>45936</v>
      </c>
      <c r="C2148" s="25"/>
      <c r="D2148" s="13" t="s">
        <v>7273</v>
      </c>
      <c r="E2148" s="111"/>
      <c r="F2148" s="113" t="s">
        <v>7275</v>
      </c>
      <c r="G2148" s="114"/>
      <c r="H2148" s="115"/>
      <c r="I2148" s="24" t="s">
        <v>7277</v>
      </c>
      <c r="J2148" s="116">
        <v>4</v>
      </c>
      <c r="K2148" s="118">
        <f>1424500/1.1</f>
        <v>1295000</v>
      </c>
      <c r="L2148" s="119"/>
      <c r="M2148" s="118">
        <f t="shared" ref="M2148" si="336">K2148*0.1</f>
        <v>129500</v>
      </c>
      <c r="N2148" s="119"/>
      <c r="O2148" s="118">
        <v>0</v>
      </c>
      <c r="P2148" s="119"/>
      <c r="Q2148" s="118">
        <v>7040</v>
      </c>
      <c r="R2148" s="119"/>
      <c r="S2148" s="118">
        <v>90613</v>
      </c>
      <c r="T2148" s="119"/>
      <c r="U2148" s="118">
        <f t="shared" ref="U2148" si="337">SUM(K2148:T2149)</f>
        <v>1522153</v>
      </c>
      <c r="V2148" s="122"/>
      <c r="W2148" s="124"/>
      <c r="X2148" s="126" t="s">
        <v>8451</v>
      </c>
      <c r="Y2148" s="127"/>
      <c r="Z2148" s="127"/>
      <c r="AA2148" s="127"/>
      <c r="AB2148" s="128"/>
      <c r="AC2148" s="15" t="s">
        <v>20</v>
      </c>
      <c r="AD2148" s="129" t="s">
        <v>7219</v>
      </c>
      <c r="AE2148" s="130"/>
      <c r="AF2148" s="130"/>
      <c r="AG2148" s="130"/>
      <c r="AH2148" s="130"/>
      <c r="AI2148" s="131"/>
      <c r="AJ2148" s="132"/>
      <c r="AK2148" s="127"/>
      <c r="AL2148" s="128"/>
      <c r="AM2148" s="21"/>
      <c r="AN2148" s="133">
        <v>45951</v>
      </c>
      <c r="AO2148" s="134"/>
      <c r="AP2148" s="135">
        <v>1914</v>
      </c>
      <c r="AQ2148" s="136"/>
      <c r="AR2148" s="118">
        <v>1525000</v>
      </c>
      <c r="AS2148" s="119"/>
      <c r="AT2148" s="118">
        <f t="shared" ref="AT2148" si="338">AR2148*0.1</f>
        <v>152500</v>
      </c>
      <c r="AU2148" s="119"/>
      <c r="AV2148" s="118">
        <v>7040</v>
      </c>
      <c r="AW2148" s="119"/>
      <c r="AX2148" s="118">
        <f t="shared" ref="AX2148" si="339">SUM(AR2148:AW2148)</f>
        <v>1684540</v>
      </c>
      <c r="AY2148" s="119"/>
      <c r="AZ2148" s="137">
        <v>45957</v>
      </c>
    </row>
    <row r="2149" spans="1:52" ht="17.100000000000001" customHeight="1" thickBot="1">
      <c r="A2149" s="110"/>
      <c r="B2149" s="27" t="s">
        <v>1718</v>
      </c>
      <c r="C2149" s="27" t="s">
        <v>7272</v>
      </c>
      <c r="D2149" s="14" t="s">
        <v>7274</v>
      </c>
      <c r="E2149" s="112"/>
      <c r="F2149" s="139" t="s">
        <v>7276</v>
      </c>
      <c r="G2149" s="140"/>
      <c r="H2149" s="141"/>
      <c r="I2149" s="26">
        <v>17106</v>
      </c>
      <c r="J2149" s="117"/>
      <c r="K2149" s="120"/>
      <c r="L2149" s="121"/>
      <c r="M2149" s="120"/>
      <c r="N2149" s="121"/>
      <c r="O2149" s="120"/>
      <c r="P2149" s="121"/>
      <c r="Q2149" s="120"/>
      <c r="R2149" s="121"/>
      <c r="S2149" s="120"/>
      <c r="T2149" s="121"/>
      <c r="U2149" s="120"/>
      <c r="V2149" s="123"/>
      <c r="W2149" s="125"/>
      <c r="X2149" s="142" t="s">
        <v>8452</v>
      </c>
      <c r="Y2149" s="143"/>
      <c r="Z2149" s="143"/>
      <c r="AA2149" s="143"/>
      <c r="AB2149" s="144"/>
      <c r="AC2149" s="16" t="s">
        <v>21</v>
      </c>
      <c r="AD2149" s="17" t="s">
        <v>1638</v>
      </c>
      <c r="AE2149" s="145" t="s">
        <v>1742</v>
      </c>
      <c r="AF2149" s="146"/>
      <c r="AG2149" s="146"/>
      <c r="AH2149" s="146"/>
      <c r="AI2149" s="147"/>
      <c r="AJ2149" s="148"/>
      <c r="AK2149" s="143"/>
      <c r="AL2149" s="144"/>
      <c r="AM2149" s="22"/>
      <c r="AN2149" s="149" t="s">
        <v>7644</v>
      </c>
      <c r="AO2149" s="144"/>
      <c r="AP2149" s="148">
        <v>3295</v>
      </c>
      <c r="AQ2149" s="144"/>
      <c r="AR2149" s="120"/>
      <c r="AS2149" s="121"/>
      <c r="AT2149" s="120"/>
      <c r="AU2149" s="121"/>
      <c r="AV2149" s="120"/>
      <c r="AW2149" s="121"/>
      <c r="AX2149" s="120"/>
      <c r="AY2149" s="121"/>
      <c r="AZ2149" s="138"/>
    </row>
    <row r="2150" spans="1:52" ht="17.100000000000001" customHeight="1" thickTop="1">
      <c r="A2150" s="109" t="s">
        <v>7302</v>
      </c>
      <c r="B2150" s="28">
        <v>45936</v>
      </c>
      <c r="C2150" s="25"/>
      <c r="D2150" s="13" t="s">
        <v>7279</v>
      </c>
      <c r="E2150" s="111"/>
      <c r="F2150" s="113" t="s">
        <v>7280</v>
      </c>
      <c r="G2150" s="114"/>
      <c r="H2150" s="115"/>
      <c r="I2150" s="24" t="s">
        <v>7282</v>
      </c>
      <c r="J2150" s="116">
        <v>4.5</v>
      </c>
      <c r="K2150" s="118">
        <f>2585000/1.1</f>
        <v>2350000</v>
      </c>
      <c r="L2150" s="119"/>
      <c r="M2150" s="118">
        <f t="shared" ref="M2150" si="340">K2150*0.1</f>
        <v>235000</v>
      </c>
      <c r="N2150" s="119"/>
      <c r="O2150" s="118">
        <v>12700</v>
      </c>
      <c r="P2150" s="119"/>
      <c r="Q2150" s="118">
        <v>11650</v>
      </c>
      <c r="R2150" s="119"/>
      <c r="S2150" s="118">
        <v>119625</v>
      </c>
      <c r="T2150" s="119"/>
      <c r="U2150" s="118">
        <f t="shared" ref="U2150" si="341">SUM(K2150:T2151)</f>
        <v>2728975</v>
      </c>
      <c r="V2150" s="122"/>
      <c r="W2150" s="124"/>
      <c r="X2150" s="126" t="s">
        <v>8716</v>
      </c>
      <c r="Y2150" s="127"/>
      <c r="Z2150" s="127"/>
      <c r="AA2150" s="127"/>
      <c r="AB2150" s="128"/>
      <c r="AC2150" s="15" t="s">
        <v>20</v>
      </c>
      <c r="AD2150" s="129" t="s">
        <v>7286</v>
      </c>
      <c r="AE2150" s="130"/>
      <c r="AF2150" s="130"/>
      <c r="AG2150" s="130"/>
      <c r="AH2150" s="130"/>
      <c r="AI2150" s="131"/>
      <c r="AJ2150" s="132"/>
      <c r="AK2150" s="127"/>
      <c r="AL2150" s="128"/>
      <c r="AM2150" s="21"/>
      <c r="AN2150" s="133">
        <v>45955</v>
      </c>
      <c r="AO2150" s="134"/>
      <c r="AP2150" s="135">
        <v>1273</v>
      </c>
      <c r="AQ2150" s="136"/>
      <c r="AR2150" s="118">
        <v>2455000</v>
      </c>
      <c r="AS2150" s="119"/>
      <c r="AT2150" s="118">
        <f t="shared" ref="AT2150" si="342">AR2150*0.1</f>
        <v>245500</v>
      </c>
      <c r="AU2150" s="119"/>
      <c r="AV2150" s="118">
        <v>11550</v>
      </c>
      <c r="AW2150" s="119"/>
      <c r="AX2150" s="118">
        <f t="shared" ref="AX2150" si="343">SUM(AR2150:AW2150)</f>
        <v>2712050</v>
      </c>
      <c r="AY2150" s="119"/>
      <c r="AZ2150" s="137">
        <v>45958</v>
      </c>
    </row>
    <row r="2151" spans="1:52" ht="17.100000000000001" customHeight="1" thickBot="1">
      <c r="A2151" s="110"/>
      <c r="B2151" s="27" t="s">
        <v>1718</v>
      </c>
      <c r="C2151" s="27" t="s">
        <v>7278</v>
      </c>
      <c r="D2151" s="14" t="s">
        <v>7234</v>
      </c>
      <c r="E2151" s="112"/>
      <c r="F2151" s="139" t="s">
        <v>7281</v>
      </c>
      <c r="G2151" s="140"/>
      <c r="H2151" s="141"/>
      <c r="I2151" s="26">
        <v>18547</v>
      </c>
      <c r="J2151" s="117"/>
      <c r="K2151" s="120"/>
      <c r="L2151" s="121"/>
      <c r="M2151" s="120"/>
      <c r="N2151" s="121"/>
      <c r="O2151" s="120"/>
      <c r="P2151" s="121"/>
      <c r="Q2151" s="120"/>
      <c r="R2151" s="121"/>
      <c r="S2151" s="120"/>
      <c r="T2151" s="121"/>
      <c r="U2151" s="120"/>
      <c r="V2151" s="123"/>
      <c r="W2151" s="125"/>
      <c r="X2151" s="142" t="s">
        <v>8717</v>
      </c>
      <c r="Y2151" s="143"/>
      <c r="Z2151" s="143"/>
      <c r="AA2151" s="143"/>
      <c r="AB2151" s="144"/>
      <c r="AC2151" s="16" t="s">
        <v>21</v>
      </c>
      <c r="AD2151" s="17" t="s">
        <v>2171</v>
      </c>
      <c r="AE2151" s="145" t="s">
        <v>1614</v>
      </c>
      <c r="AF2151" s="146"/>
      <c r="AG2151" s="146"/>
      <c r="AH2151" s="146"/>
      <c r="AI2151" s="147"/>
      <c r="AJ2151" s="148"/>
      <c r="AK2151" s="143"/>
      <c r="AL2151" s="144"/>
      <c r="AM2151" s="22"/>
      <c r="AN2151" s="149" t="s">
        <v>2511</v>
      </c>
      <c r="AO2151" s="144"/>
      <c r="AP2151" s="148">
        <v>37227</v>
      </c>
      <c r="AQ2151" s="144"/>
      <c r="AR2151" s="120"/>
      <c r="AS2151" s="121"/>
      <c r="AT2151" s="120"/>
      <c r="AU2151" s="121"/>
      <c r="AV2151" s="120"/>
      <c r="AW2151" s="121"/>
      <c r="AX2151" s="120"/>
      <c r="AY2151" s="121"/>
      <c r="AZ2151" s="138"/>
    </row>
    <row r="2152" spans="1:52" ht="17.100000000000001" customHeight="1" thickTop="1">
      <c r="A2152" s="109" t="s">
        <v>7303</v>
      </c>
      <c r="B2152" s="28">
        <v>45936</v>
      </c>
      <c r="C2152" s="25"/>
      <c r="D2152" s="13" t="s">
        <v>1744</v>
      </c>
      <c r="E2152" s="111"/>
      <c r="F2152" s="113" t="s">
        <v>7313</v>
      </c>
      <c r="G2152" s="114"/>
      <c r="H2152" s="115"/>
      <c r="I2152" s="24"/>
      <c r="J2152" s="116">
        <v>4.5</v>
      </c>
      <c r="K2152" s="118">
        <v>1280000</v>
      </c>
      <c r="L2152" s="119"/>
      <c r="M2152" s="118">
        <f t="shared" ref="M2152" si="344">K2152*0.1</f>
        <v>128000</v>
      </c>
      <c r="N2152" s="119"/>
      <c r="O2152" s="118">
        <v>0</v>
      </c>
      <c r="P2152" s="119"/>
      <c r="Q2152" s="118">
        <v>19330</v>
      </c>
      <c r="R2152" s="119"/>
      <c r="S2152" s="118">
        <v>14850</v>
      </c>
      <c r="T2152" s="119"/>
      <c r="U2152" s="118">
        <f t="shared" ref="U2152" si="345">SUM(K2152:T2153)</f>
        <v>1442180</v>
      </c>
      <c r="V2152" s="122"/>
      <c r="W2152" s="124"/>
      <c r="X2152" s="126" t="s">
        <v>7989</v>
      </c>
      <c r="Y2152" s="127"/>
      <c r="Z2152" s="127"/>
      <c r="AA2152" s="127"/>
      <c r="AB2152" s="128"/>
      <c r="AC2152" s="15" t="s">
        <v>20</v>
      </c>
      <c r="AD2152" s="129" t="s">
        <v>1670</v>
      </c>
      <c r="AE2152" s="130"/>
      <c r="AF2152" s="130"/>
      <c r="AG2152" s="130"/>
      <c r="AH2152" s="130"/>
      <c r="AI2152" s="131"/>
      <c r="AJ2152" s="132"/>
      <c r="AK2152" s="127"/>
      <c r="AL2152" s="128"/>
      <c r="AM2152" s="21"/>
      <c r="AN2152" s="133">
        <v>45941</v>
      </c>
      <c r="AO2152" s="134"/>
      <c r="AP2152" s="135">
        <v>1271</v>
      </c>
      <c r="AQ2152" s="136"/>
      <c r="AR2152" s="118">
        <v>1450000</v>
      </c>
      <c r="AS2152" s="119"/>
      <c r="AT2152" s="118">
        <v>145000</v>
      </c>
      <c r="AU2152" s="119"/>
      <c r="AV2152" s="118">
        <v>19330</v>
      </c>
      <c r="AW2152" s="119"/>
      <c r="AX2152" s="118">
        <f t="shared" ref="AX2152" si="346">SUM(AR2152:AW2152)</f>
        <v>1614330</v>
      </c>
      <c r="AY2152" s="119"/>
      <c r="AZ2152" s="137">
        <v>45944</v>
      </c>
    </row>
    <row r="2153" spans="1:52" ht="17.100000000000001" customHeight="1" thickBot="1">
      <c r="A2153" s="110"/>
      <c r="B2153" s="27" t="s">
        <v>2774</v>
      </c>
      <c r="C2153" s="27">
        <v>70382</v>
      </c>
      <c r="D2153" s="14" t="s">
        <v>275</v>
      </c>
      <c r="E2153" s="112"/>
      <c r="F2153" s="139" t="s">
        <v>7988</v>
      </c>
      <c r="G2153" s="140"/>
      <c r="H2153" s="141"/>
      <c r="I2153" s="26">
        <v>16846</v>
      </c>
      <c r="J2153" s="117"/>
      <c r="K2153" s="120"/>
      <c r="L2153" s="121"/>
      <c r="M2153" s="120"/>
      <c r="N2153" s="121"/>
      <c r="O2153" s="120"/>
      <c r="P2153" s="121"/>
      <c r="Q2153" s="120"/>
      <c r="R2153" s="121"/>
      <c r="S2153" s="120"/>
      <c r="T2153" s="121"/>
      <c r="U2153" s="120"/>
      <c r="V2153" s="123"/>
      <c r="W2153" s="125"/>
      <c r="X2153" s="142" t="s">
        <v>7990</v>
      </c>
      <c r="Y2153" s="143"/>
      <c r="Z2153" s="143"/>
      <c r="AA2153" s="143"/>
      <c r="AB2153" s="144"/>
      <c r="AC2153" s="16" t="s">
        <v>21</v>
      </c>
      <c r="AD2153" s="17" t="s">
        <v>3289</v>
      </c>
      <c r="AE2153" s="145" t="s">
        <v>1742</v>
      </c>
      <c r="AF2153" s="146"/>
      <c r="AG2153" s="146"/>
      <c r="AH2153" s="146"/>
      <c r="AI2153" s="147"/>
      <c r="AJ2153" s="148"/>
      <c r="AK2153" s="143"/>
      <c r="AL2153" s="144"/>
      <c r="AM2153" s="22"/>
      <c r="AN2153" s="149" t="s">
        <v>2511</v>
      </c>
      <c r="AO2153" s="144"/>
      <c r="AP2153" s="148">
        <v>80066</v>
      </c>
      <c r="AQ2153" s="144"/>
      <c r="AR2153" s="120"/>
      <c r="AS2153" s="121"/>
      <c r="AT2153" s="120"/>
      <c r="AU2153" s="121"/>
      <c r="AV2153" s="120"/>
      <c r="AW2153" s="121"/>
      <c r="AX2153" s="120"/>
      <c r="AY2153" s="121"/>
      <c r="AZ2153" s="138"/>
    </row>
    <row r="2154" spans="1:52" ht="17.100000000000001" customHeight="1" thickTop="1">
      <c r="A2154" s="109" t="s">
        <v>7304</v>
      </c>
      <c r="B2154" s="28">
        <v>45936</v>
      </c>
      <c r="C2154" s="25"/>
      <c r="D2154" s="13" t="s">
        <v>3014</v>
      </c>
      <c r="E2154" s="111"/>
      <c r="F2154" s="113" t="s">
        <v>7751</v>
      </c>
      <c r="G2154" s="114"/>
      <c r="H2154" s="115"/>
      <c r="I2154" s="24" t="s">
        <v>4193</v>
      </c>
      <c r="J2154" s="116">
        <v>4</v>
      </c>
      <c r="K2154" s="118">
        <v>1794000</v>
      </c>
      <c r="L2154" s="119"/>
      <c r="M2154" s="118">
        <f t="shared" ref="M2154" si="347">K2154*0.1</f>
        <v>179400</v>
      </c>
      <c r="N2154" s="119"/>
      <c r="O2154" s="118">
        <f>10400+1040</f>
        <v>11440</v>
      </c>
      <c r="P2154" s="119"/>
      <c r="Q2154" s="118">
        <v>11930</v>
      </c>
      <c r="R2154" s="119"/>
      <c r="S2154" s="118">
        <v>14850</v>
      </c>
      <c r="T2154" s="119"/>
      <c r="U2154" s="118">
        <f t="shared" ref="U2154" si="348">SUM(K2154:T2155)</f>
        <v>2011620</v>
      </c>
      <c r="V2154" s="122"/>
      <c r="W2154" s="124"/>
      <c r="X2154" s="126" t="s">
        <v>7314</v>
      </c>
      <c r="Y2154" s="127"/>
      <c r="Z2154" s="127"/>
      <c r="AA2154" s="127"/>
      <c r="AB2154" s="128"/>
      <c r="AC2154" s="15" t="s">
        <v>20</v>
      </c>
      <c r="AD2154" s="129"/>
      <c r="AE2154" s="130"/>
      <c r="AF2154" s="130"/>
      <c r="AG2154" s="130"/>
      <c r="AH2154" s="130"/>
      <c r="AI2154" s="131"/>
      <c r="AJ2154" s="132"/>
      <c r="AK2154" s="127"/>
      <c r="AL2154" s="128"/>
      <c r="AM2154" s="21"/>
      <c r="AN2154" s="133">
        <v>45941</v>
      </c>
      <c r="AO2154" s="134"/>
      <c r="AP2154" s="135">
        <v>1271</v>
      </c>
      <c r="AQ2154" s="136"/>
      <c r="AR2154" s="118">
        <v>2070000</v>
      </c>
      <c r="AS2154" s="119"/>
      <c r="AT2154" s="118">
        <v>207000</v>
      </c>
      <c r="AU2154" s="119"/>
      <c r="AV2154" s="118">
        <v>11930</v>
      </c>
      <c r="AW2154" s="119"/>
      <c r="AX2154" s="118">
        <f t="shared" ref="AX2154" si="349">SUM(AR2154:AW2154)</f>
        <v>2288930</v>
      </c>
      <c r="AY2154" s="119"/>
      <c r="AZ2154" s="137">
        <v>45944</v>
      </c>
    </row>
    <row r="2155" spans="1:52" ht="17.100000000000001" customHeight="1" thickBot="1">
      <c r="A2155" s="110"/>
      <c r="B2155" s="27" t="s">
        <v>2774</v>
      </c>
      <c r="C2155" s="27">
        <v>80233</v>
      </c>
      <c r="D2155" s="14" t="s">
        <v>1592</v>
      </c>
      <c r="E2155" s="112"/>
      <c r="F2155" s="139" t="s">
        <v>7987</v>
      </c>
      <c r="G2155" s="140"/>
      <c r="H2155" s="141"/>
      <c r="I2155" s="26">
        <v>18552</v>
      </c>
      <c r="J2155" s="117"/>
      <c r="K2155" s="120"/>
      <c r="L2155" s="121"/>
      <c r="M2155" s="120"/>
      <c r="N2155" s="121"/>
      <c r="O2155" s="120"/>
      <c r="P2155" s="121"/>
      <c r="Q2155" s="120"/>
      <c r="R2155" s="121"/>
      <c r="S2155" s="120"/>
      <c r="T2155" s="121"/>
      <c r="U2155" s="120"/>
      <c r="V2155" s="123"/>
      <c r="W2155" s="125"/>
      <c r="X2155" s="142" t="s">
        <v>2776</v>
      </c>
      <c r="Y2155" s="143"/>
      <c r="Z2155" s="143"/>
      <c r="AA2155" s="143"/>
      <c r="AB2155" s="144"/>
      <c r="AC2155" s="16" t="s">
        <v>21</v>
      </c>
      <c r="AD2155" s="17" t="s">
        <v>3289</v>
      </c>
      <c r="AE2155" s="145" t="s">
        <v>3301</v>
      </c>
      <c r="AF2155" s="146"/>
      <c r="AG2155" s="146"/>
      <c r="AH2155" s="146"/>
      <c r="AI2155" s="147"/>
      <c r="AJ2155" s="148"/>
      <c r="AK2155" s="143"/>
      <c r="AL2155" s="144"/>
      <c r="AM2155" s="22"/>
      <c r="AN2155" s="149" t="s">
        <v>2511</v>
      </c>
      <c r="AO2155" s="144"/>
      <c r="AP2155" s="148">
        <v>80094</v>
      </c>
      <c r="AQ2155" s="144"/>
      <c r="AR2155" s="120"/>
      <c r="AS2155" s="121"/>
      <c r="AT2155" s="120"/>
      <c r="AU2155" s="121"/>
      <c r="AV2155" s="120"/>
      <c r="AW2155" s="121"/>
      <c r="AX2155" s="120"/>
      <c r="AY2155" s="121"/>
      <c r="AZ2155" s="138"/>
    </row>
    <row r="2156" spans="1:52" ht="17.100000000000001" customHeight="1" thickTop="1">
      <c r="A2156" s="109" t="s">
        <v>7305</v>
      </c>
      <c r="B2156" s="28">
        <v>45936</v>
      </c>
      <c r="C2156" s="25"/>
      <c r="D2156" s="13" t="s">
        <v>4121</v>
      </c>
      <c r="E2156" s="111"/>
      <c r="F2156" s="113" t="s">
        <v>7315</v>
      </c>
      <c r="G2156" s="114"/>
      <c r="H2156" s="115"/>
      <c r="I2156" s="24" t="s">
        <v>4193</v>
      </c>
      <c r="J2156" s="116">
        <v>4</v>
      </c>
      <c r="K2156" s="118">
        <v>1041000</v>
      </c>
      <c r="L2156" s="119"/>
      <c r="M2156" s="118">
        <f t="shared" ref="M2156" si="350">K2156*0.1</f>
        <v>104100</v>
      </c>
      <c r="N2156" s="119"/>
      <c r="O2156" s="118">
        <f>14300+1430</f>
        <v>15730</v>
      </c>
      <c r="P2156" s="119"/>
      <c r="Q2156" s="118">
        <v>17600</v>
      </c>
      <c r="R2156" s="119"/>
      <c r="S2156" s="118">
        <v>14850</v>
      </c>
      <c r="T2156" s="119"/>
      <c r="U2156" s="118">
        <f t="shared" ref="U2156" si="351">SUM(K2156:T2157)</f>
        <v>1193280</v>
      </c>
      <c r="V2156" s="122"/>
      <c r="W2156" s="124"/>
      <c r="X2156" s="126" t="s">
        <v>7316</v>
      </c>
      <c r="Y2156" s="127"/>
      <c r="Z2156" s="127"/>
      <c r="AA2156" s="127"/>
      <c r="AB2156" s="128"/>
      <c r="AC2156" s="15" t="s">
        <v>20</v>
      </c>
      <c r="AD2156" s="129"/>
      <c r="AE2156" s="130"/>
      <c r="AF2156" s="130"/>
      <c r="AG2156" s="130"/>
      <c r="AH2156" s="130"/>
      <c r="AI2156" s="131"/>
      <c r="AJ2156" s="132"/>
      <c r="AK2156" s="127"/>
      <c r="AL2156" s="128"/>
      <c r="AM2156" s="21"/>
      <c r="AN2156" s="133">
        <v>45955</v>
      </c>
      <c r="AO2156" s="134"/>
      <c r="AP2156" s="135">
        <v>1273</v>
      </c>
      <c r="AQ2156" s="136"/>
      <c r="AR2156" s="118">
        <v>1225000</v>
      </c>
      <c r="AS2156" s="119"/>
      <c r="AT2156" s="118">
        <f t="shared" ref="AT2156" si="352">AR2156*0.1</f>
        <v>122500</v>
      </c>
      <c r="AU2156" s="119"/>
      <c r="AV2156" s="118">
        <v>17600</v>
      </c>
      <c r="AW2156" s="119"/>
      <c r="AX2156" s="118">
        <f t="shared" ref="AX2156" si="353">SUM(AR2156:AW2156)</f>
        <v>1365100</v>
      </c>
      <c r="AY2156" s="119"/>
      <c r="AZ2156" s="137">
        <v>45958</v>
      </c>
    </row>
    <row r="2157" spans="1:52" ht="17.100000000000001" customHeight="1" thickBot="1">
      <c r="A2157" s="110"/>
      <c r="B2157" s="27" t="s">
        <v>2774</v>
      </c>
      <c r="C2157" s="27">
        <v>80235</v>
      </c>
      <c r="D2157" s="14" t="s">
        <v>904</v>
      </c>
      <c r="E2157" s="112"/>
      <c r="F2157" s="139" t="s">
        <v>7986</v>
      </c>
      <c r="G2157" s="140"/>
      <c r="H2157" s="141"/>
      <c r="I2157" s="26">
        <v>32218</v>
      </c>
      <c r="J2157" s="117"/>
      <c r="K2157" s="120"/>
      <c r="L2157" s="121"/>
      <c r="M2157" s="120"/>
      <c r="N2157" s="121"/>
      <c r="O2157" s="120"/>
      <c r="P2157" s="121"/>
      <c r="Q2157" s="120"/>
      <c r="R2157" s="121"/>
      <c r="S2157" s="120"/>
      <c r="T2157" s="121"/>
      <c r="U2157" s="120"/>
      <c r="V2157" s="123"/>
      <c r="W2157" s="125"/>
      <c r="X2157" s="142" t="s">
        <v>2776</v>
      </c>
      <c r="Y2157" s="143"/>
      <c r="Z2157" s="143"/>
      <c r="AA2157" s="143"/>
      <c r="AB2157" s="144"/>
      <c r="AC2157" s="16" t="s">
        <v>21</v>
      </c>
      <c r="AD2157" s="17" t="s">
        <v>3289</v>
      </c>
      <c r="AE2157" s="145" t="s">
        <v>2441</v>
      </c>
      <c r="AF2157" s="146"/>
      <c r="AG2157" s="146"/>
      <c r="AH2157" s="146"/>
      <c r="AI2157" s="147"/>
      <c r="AJ2157" s="148"/>
      <c r="AK2157" s="143"/>
      <c r="AL2157" s="144"/>
      <c r="AM2157" s="22"/>
      <c r="AN2157" s="149" t="s">
        <v>7284</v>
      </c>
      <c r="AO2157" s="144"/>
      <c r="AP2157" s="148">
        <v>80042</v>
      </c>
      <c r="AQ2157" s="144"/>
      <c r="AR2157" s="120"/>
      <c r="AS2157" s="121"/>
      <c r="AT2157" s="120"/>
      <c r="AU2157" s="121"/>
      <c r="AV2157" s="120"/>
      <c r="AW2157" s="121"/>
      <c r="AX2157" s="120"/>
      <c r="AY2157" s="121"/>
      <c r="AZ2157" s="138"/>
    </row>
    <row r="2158" spans="1:52" ht="17.100000000000001" customHeight="1" thickTop="1">
      <c r="A2158" s="109" t="s">
        <v>7306</v>
      </c>
      <c r="B2158" s="28">
        <v>45936</v>
      </c>
      <c r="C2158" s="25"/>
      <c r="D2158" s="13" t="s">
        <v>2970</v>
      </c>
      <c r="E2158" s="111"/>
      <c r="F2158" s="113" t="s">
        <v>7317</v>
      </c>
      <c r="G2158" s="114"/>
      <c r="H2158" s="115"/>
      <c r="I2158" s="24" t="s">
        <v>4109</v>
      </c>
      <c r="J2158" s="116">
        <v>4.5</v>
      </c>
      <c r="K2158" s="118">
        <v>1813000</v>
      </c>
      <c r="L2158" s="119"/>
      <c r="M2158" s="118">
        <f t="shared" ref="M2158" si="354">K2158*0.1</f>
        <v>181300</v>
      </c>
      <c r="N2158" s="119"/>
      <c r="O2158" s="118">
        <f>15000+1500</f>
        <v>16500</v>
      </c>
      <c r="P2158" s="119"/>
      <c r="Q2158" s="118">
        <v>17600</v>
      </c>
      <c r="R2158" s="119"/>
      <c r="S2158" s="118">
        <v>14850</v>
      </c>
      <c r="T2158" s="119"/>
      <c r="U2158" s="118">
        <f t="shared" ref="U2158" si="355">SUM(K2158:T2159)</f>
        <v>2043250</v>
      </c>
      <c r="V2158" s="122"/>
      <c r="W2158" s="124"/>
      <c r="X2158" s="126" t="s">
        <v>7318</v>
      </c>
      <c r="Y2158" s="127"/>
      <c r="Z2158" s="127"/>
      <c r="AA2158" s="127"/>
      <c r="AB2158" s="128"/>
      <c r="AC2158" s="15" t="s">
        <v>20</v>
      </c>
      <c r="AD2158" s="129" t="s">
        <v>1670</v>
      </c>
      <c r="AE2158" s="130"/>
      <c r="AF2158" s="130"/>
      <c r="AG2158" s="130"/>
      <c r="AH2158" s="130"/>
      <c r="AI2158" s="131"/>
      <c r="AJ2158" s="132"/>
      <c r="AK2158" s="127"/>
      <c r="AL2158" s="128"/>
      <c r="AM2158" s="21"/>
      <c r="AN2158" s="133">
        <v>45941</v>
      </c>
      <c r="AO2158" s="134"/>
      <c r="AP2158" s="135">
        <v>1271</v>
      </c>
      <c r="AQ2158" s="136"/>
      <c r="AR2158" s="118">
        <v>2410000</v>
      </c>
      <c r="AS2158" s="119"/>
      <c r="AT2158" s="118">
        <v>241000</v>
      </c>
      <c r="AU2158" s="119"/>
      <c r="AV2158" s="118">
        <v>17600</v>
      </c>
      <c r="AW2158" s="119"/>
      <c r="AX2158" s="118">
        <f t="shared" ref="AX2158" si="356">SUM(AR2158:AW2158)</f>
        <v>2668600</v>
      </c>
      <c r="AY2158" s="119"/>
      <c r="AZ2158" s="137">
        <v>45944</v>
      </c>
    </row>
    <row r="2159" spans="1:52" ht="17.100000000000001" customHeight="1" thickBot="1">
      <c r="A2159" s="110"/>
      <c r="B2159" s="27" t="s">
        <v>2774</v>
      </c>
      <c r="C2159" s="27">
        <v>80399</v>
      </c>
      <c r="D2159" s="14" t="s">
        <v>904</v>
      </c>
      <c r="E2159" s="112"/>
      <c r="F2159" s="139" t="s">
        <v>7985</v>
      </c>
      <c r="G2159" s="140"/>
      <c r="H2159" s="141"/>
      <c r="I2159" s="26">
        <v>24535</v>
      </c>
      <c r="J2159" s="117"/>
      <c r="K2159" s="120"/>
      <c r="L2159" s="121"/>
      <c r="M2159" s="120"/>
      <c r="N2159" s="121"/>
      <c r="O2159" s="120"/>
      <c r="P2159" s="121"/>
      <c r="Q2159" s="120"/>
      <c r="R2159" s="121"/>
      <c r="S2159" s="120"/>
      <c r="T2159" s="121"/>
      <c r="U2159" s="120"/>
      <c r="V2159" s="123"/>
      <c r="W2159" s="125"/>
      <c r="X2159" s="142" t="s">
        <v>3300</v>
      </c>
      <c r="Y2159" s="143"/>
      <c r="Z2159" s="143"/>
      <c r="AA2159" s="143"/>
      <c r="AB2159" s="144"/>
      <c r="AC2159" s="16" t="s">
        <v>21</v>
      </c>
      <c r="AD2159" s="17" t="s">
        <v>3289</v>
      </c>
      <c r="AE2159" s="145" t="s">
        <v>3415</v>
      </c>
      <c r="AF2159" s="146"/>
      <c r="AG2159" s="146"/>
      <c r="AH2159" s="146"/>
      <c r="AI2159" s="147"/>
      <c r="AJ2159" s="148"/>
      <c r="AK2159" s="143"/>
      <c r="AL2159" s="144"/>
      <c r="AM2159" s="22"/>
      <c r="AN2159" s="149" t="s">
        <v>2511</v>
      </c>
      <c r="AO2159" s="144"/>
      <c r="AP2159" s="148">
        <v>80089</v>
      </c>
      <c r="AQ2159" s="144"/>
      <c r="AR2159" s="120"/>
      <c r="AS2159" s="121"/>
      <c r="AT2159" s="120"/>
      <c r="AU2159" s="121"/>
      <c r="AV2159" s="120"/>
      <c r="AW2159" s="121"/>
      <c r="AX2159" s="120"/>
      <c r="AY2159" s="121"/>
      <c r="AZ2159" s="138"/>
    </row>
    <row r="2160" spans="1:52" ht="17.100000000000001" customHeight="1" thickTop="1">
      <c r="A2160" s="109" t="s">
        <v>7307</v>
      </c>
      <c r="B2160" s="28">
        <v>45936</v>
      </c>
      <c r="C2160" s="25"/>
      <c r="D2160" s="13" t="s">
        <v>1725</v>
      </c>
      <c r="E2160" s="111"/>
      <c r="F2160" s="113" t="s">
        <v>7319</v>
      </c>
      <c r="G2160" s="114"/>
      <c r="H2160" s="115"/>
      <c r="I2160" s="24"/>
      <c r="J2160" s="116">
        <v>4</v>
      </c>
      <c r="K2160" s="118">
        <v>1087000</v>
      </c>
      <c r="L2160" s="119"/>
      <c r="M2160" s="118">
        <f t="shared" ref="M2160" si="357">K2160*0.1</f>
        <v>108700</v>
      </c>
      <c r="N2160" s="119"/>
      <c r="O2160" s="118">
        <v>0</v>
      </c>
      <c r="P2160" s="119"/>
      <c r="Q2160" s="118">
        <v>16930</v>
      </c>
      <c r="R2160" s="119"/>
      <c r="S2160" s="118">
        <v>14850</v>
      </c>
      <c r="T2160" s="119"/>
      <c r="U2160" s="118">
        <f t="shared" ref="U2160" si="358">SUM(K2160:T2161)</f>
        <v>1227480</v>
      </c>
      <c r="V2160" s="122"/>
      <c r="W2160" s="124"/>
      <c r="X2160" s="126" t="s">
        <v>7992</v>
      </c>
      <c r="Y2160" s="127"/>
      <c r="Z2160" s="127"/>
      <c r="AA2160" s="127"/>
      <c r="AB2160" s="128"/>
      <c r="AC2160" s="15" t="s">
        <v>20</v>
      </c>
      <c r="AD2160" s="129"/>
      <c r="AE2160" s="130"/>
      <c r="AF2160" s="130"/>
      <c r="AG2160" s="130"/>
      <c r="AH2160" s="130"/>
      <c r="AI2160" s="131"/>
      <c r="AJ2160" s="132"/>
      <c r="AK2160" s="127"/>
      <c r="AL2160" s="128"/>
      <c r="AM2160" s="21"/>
      <c r="AN2160" s="133">
        <v>45941</v>
      </c>
      <c r="AO2160" s="134"/>
      <c r="AP2160" s="135">
        <v>1271</v>
      </c>
      <c r="AQ2160" s="136"/>
      <c r="AR2160" s="118">
        <v>1295000</v>
      </c>
      <c r="AS2160" s="119"/>
      <c r="AT2160" s="118">
        <v>129500</v>
      </c>
      <c r="AU2160" s="119"/>
      <c r="AV2160" s="118">
        <v>16930</v>
      </c>
      <c r="AW2160" s="119"/>
      <c r="AX2160" s="118">
        <f t="shared" ref="AX2160" si="359">SUM(AR2160:AW2160)</f>
        <v>1441430</v>
      </c>
      <c r="AY2160" s="119"/>
      <c r="AZ2160" s="137">
        <v>45944</v>
      </c>
    </row>
    <row r="2161" spans="1:52" ht="17.100000000000001" customHeight="1" thickBot="1">
      <c r="A2161" s="110"/>
      <c r="B2161" s="27" t="s">
        <v>2774</v>
      </c>
      <c r="C2161" s="27">
        <v>80406</v>
      </c>
      <c r="D2161" s="14" t="s">
        <v>275</v>
      </c>
      <c r="E2161" s="112"/>
      <c r="F2161" s="139" t="s">
        <v>7991</v>
      </c>
      <c r="G2161" s="140"/>
      <c r="H2161" s="141"/>
      <c r="I2161" s="26">
        <v>44205</v>
      </c>
      <c r="J2161" s="117"/>
      <c r="K2161" s="120"/>
      <c r="L2161" s="121"/>
      <c r="M2161" s="120"/>
      <c r="N2161" s="121"/>
      <c r="O2161" s="120"/>
      <c r="P2161" s="121"/>
      <c r="Q2161" s="120"/>
      <c r="R2161" s="121"/>
      <c r="S2161" s="120"/>
      <c r="T2161" s="121"/>
      <c r="U2161" s="120"/>
      <c r="V2161" s="123"/>
      <c r="W2161" s="125"/>
      <c r="X2161" s="142" t="s">
        <v>3300</v>
      </c>
      <c r="Y2161" s="143"/>
      <c r="Z2161" s="143"/>
      <c r="AA2161" s="143"/>
      <c r="AB2161" s="144"/>
      <c r="AC2161" s="16" t="s">
        <v>21</v>
      </c>
      <c r="AD2161" s="17" t="s">
        <v>3289</v>
      </c>
      <c r="AE2161" s="145" t="s">
        <v>7844</v>
      </c>
      <c r="AF2161" s="146"/>
      <c r="AG2161" s="146"/>
      <c r="AH2161" s="146"/>
      <c r="AI2161" s="147"/>
      <c r="AJ2161" s="148"/>
      <c r="AK2161" s="143"/>
      <c r="AL2161" s="144"/>
      <c r="AM2161" s="22"/>
      <c r="AN2161" s="149" t="s">
        <v>2511</v>
      </c>
      <c r="AO2161" s="144"/>
      <c r="AP2161" s="148">
        <v>80087</v>
      </c>
      <c r="AQ2161" s="144"/>
      <c r="AR2161" s="120"/>
      <c r="AS2161" s="121"/>
      <c r="AT2161" s="120"/>
      <c r="AU2161" s="121"/>
      <c r="AV2161" s="120"/>
      <c r="AW2161" s="121"/>
      <c r="AX2161" s="120"/>
      <c r="AY2161" s="121"/>
      <c r="AZ2161" s="138"/>
    </row>
    <row r="2162" spans="1:52" ht="17.100000000000001" customHeight="1" thickTop="1">
      <c r="A2162" s="109" t="s">
        <v>7308</v>
      </c>
      <c r="B2162" s="28">
        <v>45936</v>
      </c>
      <c r="C2162" s="25">
        <v>1181</v>
      </c>
      <c r="D2162" s="13" t="s">
        <v>5614</v>
      </c>
      <c r="E2162" s="111"/>
      <c r="F2162" s="113" t="s">
        <v>6965</v>
      </c>
      <c r="G2162" s="114"/>
      <c r="H2162" s="115"/>
      <c r="I2162" s="24" t="s">
        <v>2943</v>
      </c>
      <c r="J2162" s="116">
        <v>3.5</v>
      </c>
      <c r="K2162" s="118">
        <v>201000</v>
      </c>
      <c r="L2162" s="119"/>
      <c r="M2162" s="118">
        <f t="shared" ref="M2162" si="360">K2162*0.1</f>
        <v>20100</v>
      </c>
      <c r="N2162" s="119"/>
      <c r="O2162" s="118">
        <v>0</v>
      </c>
      <c r="P2162" s="119"/>
      <c r="Q2162" s="118">
        <v>8490</v>
      </c>
      <c r="R2162" s="119"/>
      <c r="S2162" s="118">
        <v>15950</v>
      </c>
      <c r="T2162" s="119"/>
      <c r="U2162" s="118">
        <f t="shared" ref="U2162" si="361">SUM(K2162:T2163)</f>
        <v>245540</v>
      </c>
      <c r="V2162" s="122"/>
      <c r="W2162" s="124"/>
      <c r="X2162" s="126" t="s">
        <v>7321</v>
      </c>
      <c r="Y2162" s="127"/>
      <c r="Z2162" s="127"/>
      <c r="AA2162" s="127"/>
      <c r="AB2162" s="128"/>
      <c r="AC2162" s="15" t="s">
        <v>20</v>
      </c>
      <c r="AD2162" s="129"/>
      <c r="AE2162" s="130"/>
      <c r="AF2162" s="130"/>
      <c r="AG2162" s="130"/>
      <c r="AH2162" s="130"/>
      <c r="AI2162" s="131"/>
      <c r="AJ2162" s="132"/>
      <c r="AK2162" s="127"/>
      <c r="AL2162" s="128"/>
      <c r="AM2162" s="21" t="s">
        <v>10046</v>
      </c>
      <c r="AN2162" s="133">
        <v>45962</v>
      </c>
      <c r="AO2162" s="134"/>
      <c r="AP2162" s="135">
        <v>1274</v>
      </c>
      <c r="AQ2162" s="136"/>
      <c r="AR2162" s="118">
        <v>232000</v>
      </c>
      <c r="AS2162" s="119"/>
      <c r="AT2162" s="118">
        <f t="shared" ref="AT2162" si="362">AR2162*0.1</f>
        <v>23200</v>
      </c>
      <c r="AU2162" s="119"/>
      <c r="AV2162" s="118">
        <v>8490</v>
      </c>
      <c r="AW2162" s="119"/>
      <c r="AX2162" s="118">
        <f t="shared" ref="AX2162" si="363">SUM(AR2162:AW2162)</f>
        <v>263690</v>
      </c>
      <c r="AY2162" s="119"/>
      <c r="AZ2162" s="137">
        <v>45967</v>
      </c>
    </row>
    <row r="2163" spans="1:52" ht="17.100000000000001" customHeight="1" thickBot="1">
      <c r="A2163" s="110"/>
      <c r="B2163" s="27" t="s">
        <v>3724</v>
      </c>
      <c r="C2163" s="27">
        <v>55297</v>
      </c>
      <c r="D2163" s="14" t="s">
        <v>1576</v>
      </c>
      <c r="E2163" s="112"/>
      <c r="F2163" s="139" t="s">
        <v>7320</v>
      </c>
      <c r="G2163" s="140"/>
      <c r="H2163" s="141"/>
      <c r="I2163" s="26">
        <v>44810</v>
      </c>
      <c r="J2163" s="117"/>
      <c r="K2163" s="120"/>
      <c r="L2163" s="121"/>
      <c r="M2163" s="120"/>
      <c r="N2163" s="121"/>
      <c r="O2163" s="120"/>
      <c r="P2163" s="121"/>
      <c r="Q2163" s="120"/>
      <c r="R2163" s="121"/>
      <c r="S2163" s="120"/>
      <c r="T2163" s="121"/>
      <c r="U2163" s="120"/>
      <c r="V2163" s="123"/>
      <c r="W2163" s="125"/>
      <c r="X2163" s="142" t="s">
        <v>4167</v>
      </c>
      <c r="Y2163" s="143"/>
      <c r="Z2163" s="143"/>
      <c r="AA2163" s="143"/>
      <c r="AB2163" s="144"/>
      <c r="AC2163" s="16" t="s">
        <v>21</v>
      </c>
      <c r="AD2163" s="17" t="s">
        <v>1622</v>
      </c>
      <c r="AE2163" s="145"/>
      <c r="AF2163" s="146"/>
      <c r="AG2163" s="146"/>
      <c r="AH2163" s="146"/>
      <c r="AI2163" s="147"/>
      <c r="AJ2163" s="148"/>
      <c r="AK2163" s="143"/>
      <c r="AL2163" s="144"/>
      <c r="AM2163" s="22"/>
      <c r="AN2163" s="149" t="s">
        <v>7284</v>
      </c>
      <c r="AO2163" s="144"/>
      <c r="AP2163" s="148">
        <v>63022</v>
      </c>
      <c r="AQ2163" s="144"/>
      <c r="AR2163" s="120"/>
      <c r="AS2163" s="121"/>
      <c r="AT2163" s="120"/>
      <c r="AU2163" s="121"/>
      <c r="AV2163" s="120"/>
      <c r="AW2163" s="121"/>
      <c r="AX2163" s="120"/>
      <c r="AY2163" s="121"/>
      <c r="AZ2163" s="138"/>
    </row>
    <row r="2164" spans="1:52" ht="17.100000000000001" customHeight="1" thickTop="1">
      <c r="A2164" s="109" t="s">
        <v>7309</v>
      </c>
      <c r="B2164" s="28">
        <v>45936</v>
      </c>
      <c r="C2164" s="25">
        <v>2063</v>
      </c>
      <c r="D2164" s="13" t="s">
        <v>1845</v>
      </c>
      <c r="E2164" s="111"/>
      <c r="F2164" s="113" t="s">
        <v>7322</v>
      </c>
      <c r="G2164" s="114"/>
      <c r="H2164" s="115"/>
      <c r="I2164" s="24" t="s">
        <v>4390</v>
      </c>
      <c r="J2164" s="116">
        <v>3.5</v>
      </c>
      <c r="K2164" s="118">
        <v>804000</v>
      </c>
      <c r="L2164" s="119"/>
      <c r="M2164" s="118">
        <f t="shared" ref="M2164" si="364">K2164*0.1</f>
        <v>80400</v>
      </c>
      <c r="N2164" s="119"/>
      <c r="O2164" s="118">
        <v>0</v>
      </c>
      <c r="P2164" s="119"/>
      <c r="Q2164" s="118">
        <v>8390</v>
      </c>
      <c r="R2164" s="119"/>
      <c r="S2164" s="118">
        <v>8800</v>
      </c>
      <c r="T2164" s="119"/>
      <c r="U2164" s="118">
        <f t="shared" ref="U2164" si="365">SUM(K2164:T2165)</f>
        <v>901590</v>
      </c>
      <c r="V2164" s="122"/>
      <c r="W2164" s="124"/>
      <c r="X2164" s="126" t="s">
        <v>7324</v>
      </c>
      <c r="Y2164" s="127"/>
      <c r="Z2164" s="127"/>
      <c r="AA2164" s="127"/>
      <c r="AB2164" s="128"/>
      <c r="AC2164" s="15" t="s">
        <v>20</v>
      </c>
      <c r="AD2164" s="129" t="s">
        <v>171</v>
      </c>
      <c r="AE2164" s="130"/>
      <c r="AF2164" s="130"/>
      <c r="AG2164" s="130"/>
      <c r="AH2164" s="130"/>
      <c r="AI2164" s="131"/>
      <c r="AJ2164" s="132"/>
      <c r="AK2164" s="127"/>
      <c r="AL2164" s="128"/>
      <c r="AM2164" s="21" t="s">
        <v>10406</v>
      </c>
      <c r="AN2164" s="133">
        <v>45969</v>
      </c>
      <c r="AO2164" s="134"/>
      <c r="AP2164" s="135">
        <v>1275</v>
      </c>
      <c r="AQ2164" s="136"/>
      <c r="AR2164" s="118">
        <v>995000</v>
      </c>
      <c r="AS2164" s="119"/>
      <c r="AT2164" s="118">
        <f t="shared" ref="AT2164" si="366">AR2164*0.1</f>
        <v>99500</v>
      </c>
      <c r="AU2164" s="119"/>
      <c r="AV2164" s="118">
        <v>8390</v>
      </c>
      <c r="AW2164" s="119"/>
      <c r="AX2164" s="118">
        <f t="shared" ref="AX2164" si="367">SUM(AR2164:AW2164)</f>
        <v>1102890</v>
      </c>
      <c r="AY2164" s="119"/>
      <c r="AZ2164" s="137">
        <v>45974</v>
      </c>
    </row>
    <row r="2165" spans="1:52" ht="17.100000000000001" customHeight="1" thickBot="1">
      <c r="A2165" s="110"/>
      <c r="B2165" s="27" t="s">
        <v>83</v>
      </c>
      <c r="C2165" s="27">
        <v>11009</v>
      </c>
      <c r="D2165" s="14" t="s">
        <v>275</v>
      </c>
      <c r="E2165" s="112"/>
      <c r="F2165" s="139" t="s">
        <v>7323</v>
      </c>
      <c r="G2165" s="140"/>
      <c r="H2165" s="141"/>
      <c r="I2165" s="26">
        <v>62531</v>
      </c>
      <c r="J2165" s="117"/>
      <c r="K2165" s="120"/>
      <c r="L2165" s="121"/>
      <c r="M2165" s="120"/>
      <c r="N2165" s="121"/>
      <c r="O2165" s="120"/>
      <c r="P2165" s="121"/>
      <c r="Q2165" s="120"/>
      <c r="R2165" s="121"/>
      <c r="S2165" s="120"/>
      <c r="T2165" s="121"/>
      <c r="U2165" s="120"/>
      <c r="V2165" s="123"/>
      <c r="W2165" s="125"/>
      <c r="X2165" s="142" t="s">
        <v>2321</v>
      </c>
      <c r="Y2165" s="143"/>
      <c r="Z2165" s="143"/>
      <c r="AA2165" s="143"/>
      <c r="AB2165" s="144"/>
      <c r="AC2165" s="16" t="s">
        <v>21</v>
      </c>
      <c r="AD2165" s="17" t="s">
        <v>1613</v>
      </c>
      <c r="AE2165" s="145" t="s">
        <v>3624</v>
      </c>
      <c r="AF2165" s="146"/>
      <c r="AG2165" s="146"/>
      <c r="AH2165" s="146"/>
      <c r="AI2165" s="147"/>
      <c r="AJ2165" s="148"/>
      <c r="AK2165" s="143"/>
      <c r="AL2165" s="144"/>
      <c r="AM2165" s="22"/>
      <c r="AN2165" s="149" t="s">
        <v>7284</v>
      </c>
      <c r="AO2165" s="144"/>
      <c r="AP2165" s="148">
        <v>60267</v>
      </c>
      <c r="AQ2165" s="144"/>
      <c r="AR2165" s="120"/>
      <c r="AS2165" s="121"/>
      <c r="AT2165" s="120"/>
      <c r="AU2165" s="121"/>
      <c r="AV2165" s="120"/>
      <c r="AW2165" s="121"/>
      <c r="AX2165" s="120"/>
      <c r="AY2165" s="121"/>
      <c r="AZ2165" s="138"/>
    </row>
    <row r="2166" spans="1:52" ht="17.100000000000001" customHeight="1" thickTop="1">
      <c r="A2166" s="109" t="s">
        <v>7310</v>
      </c>
      <c r="B2166" s="28">
        <v>45936</v>
      </c>
      <c r="C2166" s="25">
        <v>2063</v>
      </c>
      <c r="D2166" s="13" t="s">
        <v>2759</v>
      </c>
      <c r="E2166" s="111"/>
      <c r="F2166" s="113" t="s">
        <v>5196</v>
      </c>
      <c r="G2166" s="114"/>
      <c r="H2166" s="115"/>
      <c r="I2166" s="24"/>
      <c r="J2166" s="116">
        <v>4</v>
      </c>
      <c r="K2166" s="118">
        <v>324000</v>
      </c>
      <c r="L2166" s="119"/>
      <c r="M2166" s="118">
        <f t="shared" ref="M2166" si="368">K2166*0.1</f>
        <v>32400</v>
      </c>
      <c r="N2166" s="119"/>
      <c r="O2166" s="118">
        <v>0</v>
      </c>
      <c r="P2166" s="119"/>
      <c r="Q2166" s="118">
        <v>7140</v>
      </c>
      <c r="R2166" s="119"/>
      <c r="S2166" s="118">
        <v>20900</v>
      </c>
      <c r="T2166" s="119"/>
      <c r="U2166" s="118">
        <f t="shared" ref="U2166" si="369">SUM(K2166:T2167)</f>
        <v>384440</v>
      </c>
      <c r="V2166" s="122"/>
      <c r="W2166" s="124"/>
      <c r="X2166" s="126" t="s">
        <v>8042</v>
      </c>
      <c r="Y2166" s="127"/>
      <c r="Z2166" s="127"/>
      <c r="AA2166" s="127"/>
      <c r="AB2166" s="128"/>
      <c r="AC2166" s="15" t="s">
        <v>20</v>
      </c>
      <c r="AD2166" s="129"/>
      <c r="AE2166" s="130"/>
      <c r="AF2166" s="130"/>
      <c r="AG2166" s="130"/>
      <c r="AH2166" s="130"/>
      <c r="AI2166" s="131"/>
      <c r="AJ2166" s="132"/>
      <c r="AK2166" s="127"/>
      <c r="AL2166" s="128"/>
      <c r="AM2166" s="21"/>
      <c r="AN2166" s="133">
        <v>45948</v>
      </c>
      <c r="AO2166" s="134"/>
      <c r="AP2166" s="135">
        <v>1272</v>
      </c>
      <c r="AQ2166" s="136"/>
      <c r="AR2166" s="118">
        <v>430000</v>
      </c>
      <c r="AS2166" s="119"/>
      <c r="AT2166" s="118">
        <f t="shared" ref="AT2166" si="370">AR2166*0.1</f>
        <v>43000</v>
      </c>
      <c r="AU2166" s="119"/>
      <c r="AV2166" s="118">
        <v>7140</v>
      </c>
      <c r="AW2166" s="119"/>
      <c r="AX2166" s="118">
        <f t="shared" ref="AX2166" si="371">SUM(AR2166:AW2166)</f>
        <v>480140</v>
      </c>
      <c r="AY2166" s="119"/>
      <c r="AZ2166" s="137">
        <v>45952</v>
      </c>
    </row>
    <row r="2167" spans="1:52" ht="17.100000000000001" customHeight="1" thickBot="1">
      <c r="A2167" s="110"/>
      <c r="B2167" s="27" t="s">
        <v>83</v>
      </c>
      <c r="C2167" s="27">
        <v>25139</v>
      </c>
      <c r="D2167" s="14" t="s">
        <v>1720</v>
      </c>
      <c r="E2167" s="112"/>
      <c r="F2167" s="139" t="s">
        <v>7325</v>
      </c>
      <c r="G2167" s="140"/>
      <c r="H2167" s="141"/>
      <c r="I2167" s="26">
        <v>45504</v>
      </c>
      <c r="J2167" s="117"/>
      <c r="K2167" s="120"/>
      <c r="L2167" s="121"/>
      <c r="M2167" s="120"/>
      <c r="N2167" s="121"/>
      <c r="O2167" s="120"/>
      <c r="P2167" s="121"/>
      <c r="Q2167" s="120"/>
      <c r="R2167" s="121"/>
      <c r="S2167" s="120"/>
      <c r="T2167" s="121"/>
      <c r="U2167" s="120"/>
      <c r="V2167" s="123"/>
      <c r="W2167" s="125"/>
      <c r="X2167" s="142" t="s">
        <v>2482</v>
      </c>
      <c r="Y2167" s="143"/>
      <c r="Z2167" s="143"/>
      <c r="AA2167" s="143"/>
      <c r="AB2167" s="144"/>
      <c r="AC2167" s="16" t="s">
        <v>21</v>
      </c>
      <c r="AD2167" s="17" t="s">
        <v>3289</v>
      </c>
      <c r="AE2167" s="145"/>
      <c r="AF2167" s="146"/>
      <c r="AG2167" s="146"/>
      <c r="AH2167" s="146"/>
      <c r="AI2167" s="147"/>
      <c r="AJ2167" s="148"/>
      <c r="AK2167" s="143"/>
      <c r="AL2167" s="144"/>
      <c r="AM2167" s="22"/>
      <c r="AN2167" s="149" t="s">
        <v>2511</v>
      </c>
      <c r="AO2167" s="144"/>
      <c r="AP2167" s="148">
        <v>60353</v>
      </c>
      <c r="AQ2167" s="144"/>
      <c r="AR2167" s="120"/>
      <c r="AS2167" s="121"/>
      <c r="AT2167" s="120"/>
      <c r="AU2167" s="121"/>
      <c r="AV2167" s="120"/>
      <c r="AW2167" s="121"/>
      <c r="AX2167" s="120"/>
      <c r="AY2167" s="121"/>
      <c r="AZ2167" s="138"/>
    </row>
    <row r="2168" spans="1:52" ht="17.100000000000001" customHeight="1" thickTop="1">
      <c r="A2168" s="109" t="s">
        <v>7311</v>
      </c>
      <c r="B2168" s="28">
        <v>45936</v>
      </c>
      <c r="C2168" s="25">
        <v>2063</v>
      </c>
      <c r="D2168" s="13" t="s">
        <v>2859</v>
      </c>
      <c r="E2168" s="111"/>
      <c r="F2168" s="113" t="s">
        <v>1777</v>
      </c>
      <c r="G2168" s="114"/>
      <c r="H2168" s="115"/>
      <c r="I2168" s="24"/>
      <c r="J2168" s="116">
        <v>4</v>
      </c>
      <c r="K2168" s="118">
        <v>485000</v>
      </c>
      <c r="L2168" s="119"/>
      <c r="M2168" s="118">
        <f t="shared" ref="M2168" si="372">K2168*0.1</f>
        <v>48500</v>
      </c>
      <c r="N2168" s="119"/>
      <c r="O2168" s="118">
        <v>0</v>
      </c>
      <c r="P2168" s="119"/>
      <c r="Q2168" s="118">
        <v>17600</v>
      </c>
      <c r="R2168" s="119"/>
      <c r="S2168" s="118">
        <v>11000</v>
      </c>
      <c r="T2168" s="119"/>
      <c r="U2168" s="118">
        <f t="shared" ref="U2168" si="373">SUM(K2168:T2169)</f>
        <v>562100</v>
      </c>
      <c r="V2168" s="122"/>
      <c r="W2168" s="124"/>
      <c r="X2168" s="126" t="s">
        <v>8043</v>
      </c>
      <c r="Y2168" s="127"/>
      <c r="Z2168" s="127"/>
      <c r="AA2168" s="127"/>
      <c r="AB2168" s="128"/>
      <c r="AC2168" s="15" t="s">
        <v>20</v>
      </c>
      <c r="AD2168" s="129" t="s">
        <v>7327</v>
      </c>
      <c r="AE2168" s="130"/>
      <c r="AF2168" s="130"/>
      <c r="AG2168" s="130"/>
      <c r="AH2168" s="130"/>
      <c r="AI2168" s="131"/>
      <c r="AJ2168" s="132"/>
      <c r="AK2168" s="127"/>
      <c r="AL2168" s="128"/>
      <c r="AM2168" s="21"/>
      <c r="AN2168" s="133">
        <v>45941</v>
      </c>
      <c r="AO2168" s="134"/>
      <c r="AP2168" s="135">
        <v>1271</v>
      </c>
      <c r="AQ2168" s="136"/>
      <c r="AR2168" s="118">
        <v>625000</v>
      </c>
      <c r="AS2168" s="119"/>
      <c r="AT2168" s="118">
        <v>62500</v>
      </c>
      <c r="AU2168" s="119"/>
      <c r="AV2168" s="118">
        <v>17600</v>
      </c>
      <c r="AW2168" s="119"/>
      <c r="AX2168" s="118">
        <f t="shared" ref="AX2168" si="374">SUM(AR2168:AW2168)</f>
        <v>705100</v>
      </c>
      <c r="AY2168" s="119"/>
      <c r="AZ2168" s="137">
        <v>45944</v>
      </c>
    </row>
    <row r="2169" spans="1:52" ht="17.100000000000001" customHeight="1" thickBot="1">
      <c r="A2169" s="110"/>
      <c r="B2169" s="27" t="s">
        <v>83</v>
      </c>
      <c r="C2169" s="27">
        <v>34513</v>
      </c>
      <c r="D2169" s="14" t="s">
        <v>1592</v>
      </c>
      <c r="E2169" s="112"/>
      <c r="F2169" s="139" t="s">
        <v>7326</v>
      </c>
      <c r="G2169" s="140"/>
      <c r="H2169" s="141"/>
      <c r="I2169" s="26">
        <v>121472</v>
      </c>
      <c r="J2169" s="117"/>
      <c r="K2169" s="120"/>
      <c r="L2169" s="121"/>
      <c r="M2169" s="120"/>
      <c r="N2169" s="121"/>
      <c r="O2169" s="120"/>
      <c r="P2169" s="121"/>
      <c r="Q2169" s="120"/>
      <c r="R2169" s="121"/>
      <c r="S2169" s="120"/>
      <c r="T2169" s="121"/>
      <c r="U2169" s="120"/>
      <c r="V2169" s="123"/>
      <c r="W2169" s="125"/>
      <c r="X2169" s="142" t="s">
        <v>8044</v>
      </c>
      <c r="Y2169" s="143"/>
      <c r="Z2169" s="143"/>
      <c r="AA2169" s="143"/>
      <c r="AB2169" s="144"/>
      <c r="AC2169" s="16" t="s">
        <v>21</v>
      </c>
      <c r="AD2169" s="17" t="s">
        <v>3289</v>
      </c>
      <c r="AE2169" s="145" t="s">
        <v>1742</v>
      </c>
      <c r="AF2169" s="146"/>
      <c r="AG2169" s="146"/>
      <c r="AH2169" s="146"/>
      <c r="AI2169" s="147"/>
      <c r="AJ2169" s="148"/>
      <c r="AK2169" s="143"/>
      <c r="AL2169" s="144"/>
      <c r="AM2169" s="22"/>
      <c r="AN2169" s="149" t="s">
        <v>2511</v>
      </c>
      <c r="AO2169" s="144"/>
      <c r="AP2169" s="148">
        <v>80322</v>
      </c>
      <c r="AQ2169" s="144"/>
      <c r="AR2169" s="120"/>
      <c r="AS2169" s="121"/>
      <c r="AT2169" s="120"/>
      <c r="AU2169" s="121"/>
      <c r="AV2169" s="120"/>
      <c r="AW2169" s="121"/>
      <c r="AX2169" s="120"/>
      <c r="AY2169" s="121"/>
      <c r="AZ2169" s="138"/>
    </row>
    <row r="2170" spans="1:52" ht="17.100000000000001" customHeight="1" thickTop="1">
      <c r="A2170" s="109" t="s">
        <v>7411</v>
      </c>
      <c r="B2170" s="28">
        <v>45926</v>
      </c>
      <c r="C2170" s="25"/>
      <c r="D2170" s="13" t="s">
        <v>7408</v>
      </c>
      <c r="E2170" s="111"/>
      <c r="F2170" s="113" t="s">
        <v>7409</v>
      </c>
      <c r="G2170" s="114"/>
      <c r="H2170" s="115"/>
      <c r="I2170" s="24" t="s">
        <v>2826</v>
      </c>
      <c r="J2170" s="116">
        <v>4.5</v>
      </c>
      <c r="K2170" s="118">
        <f>940500/1.1</f>
        <v>854999.99999999988</v>
      </c>
      <c r="L2170" s="119"/>
      <c r="M2170" s="118">
        <f t="shared" ref="M2170" si="375">K2170*0.1</f>
        <v>85500</v>
      </c>
      <c r="N2170" s="119"/>
      <c r="O2170" s="118">
        <v>0</v>
      </c>
      <c r="P2170" s="119"/>
      <c r="Q2170" s="118">
        <v>8400</v>
      </c>
      <c r="R2170" s="119"/>
      <c r="S2170" s="118">
        <v>75554</v>
      </c>
      <c r="T2170" s="119"/>
      <c r="U2170" s="118">
        <f t="shared" ref="U2170" si="376">SUM(K2170:T2171)</f>
        <v>1024453.9999999999</v>
      </c>
      <c r="V2170" s="122"/>
      <c r="W2170" s="124"/>
      <c r="X2170" s="126" t="s">
        <v>9458</v>
      </c>
      <c r="Y2170" s="127"/>
      <c r="Z2170" s="127"/>
      <c r="AA2170" s="127"/>
      <c r="AB2170" s="128"/>
      <c r="AC2170" s="15" t="s">
        <v>20</v>
      </c>
      <c r="AD2170" s="129" t="s">
        <v>1945</v>
      </c>
      <c r="AE2170" s="130"/>
      <c r="AF2170" s="130"/>
      <c r="AG2170" s="130"/>
      <c r="AH2170" s="130"/>
      <c r="AI2170" s="131"/>
      <c r="AJ2170" s="132"/>
      <c r="AK2170" s="127"/>
      <c r="AL2170" s="128"/>
      <c r="AM2170" s="21"/>
      <c r="AN2170" s="133">
        <v>45972</v>
      </c>
      <c r="AO2170" s="134"/>
      <c r="AP2170" s="135">
        <v>1917</v>
      </c>
      <c r="AQ2170" s="136"/>
      <c r="AR2170" s="118">
        <v>957000</v>
      </c>
      <c r="AS2170" s="119"/>
      <c r="AT2170" s="118">
        <f t="shared" ref="AT2170" si="377">AR2170*0.1</f>
        <v>95700</v>
      </c>
      <c r="AU2170" s="119"/>
      <c r="AV2170" s="118">
        <v>8400</v>
      </c>
      <c r="AW2170" s="119"/>
      <c r="AX2170" s="118">
        <f t="shared" ref="AX2170" si="378">SUM(AR2170:AW2170)</f>
        <v>1061100</v>
      </c>
      <c r="AY2170" s="119"/>
      <c r="AZ2170" s="137"/>
    </row>
    <row r="2171" spans="1:52" ht="17.100000000000001" customHeight="1" thickBot="1">
      <c r="A2171" s="110"/>
      <c r="B2171" s="27" t="s">
        <v>1718</v>
      </c>
      <c r="C2171" s="27" t="s">
        <v>7407</v>
      </c>
      <c r="D2171" s="14" t="s">
        <v>1812</v>
      </c>
      <c r="E2171" s="112"/>
      <c r="F2171" s="139" t="s">
        <v>7410</v>
      </c>
      <c r="G2171" s="140"/>
      <c r="H2171" s="141"/>
      <c r="I2171" s="26">
        <v>39368</v>
      </c>
      <c r="J2171" s="117"/>
      <c r="K2171" s="120"/>
      <c r="L2171" s="121"/>
      <c r="M2171" s="120"/>
      <c r="N2171" s="121"/>
      <c r="O2171" s="120"/>
      <c r="P2171" s="121"/>
      <c r="Q2171" s="120"/>
      <c r="R2171" s="121"/>
      <c r="S2171" s="120"/>
      <c r="T2171" s="121"/>
      <c r="U2171" s="120"/>
      <c r="V2171" s="123"/>
      <c r="W2171" s="125"/>
      <c r="X2171" s="142" t="s">
        <v>9459</v>
      </c>
      <c r="Y2171" s="143"/>
      <c r="Z2171" s="143"/>
      <c r="AA2171" s="143"/>
      <c r="AB2171" s="144"/>
      <c r="AC2171" s="16" t="s">
        <v>21</v>
      </c>
      <c r="AD2171" s="17" t="s">
        <v>9460</v>
      </c>
      <c r="AE2171" s="145" t="s">
        <v>9565</v>
      </c>
      <c r="AF2171" s="146"/>
      <c r="AG2171" s="146"/>
      <c r="AH2171" s="146"/>
      <c r="AI2171" s="147"/>
      <c r="AJ2171" s="148"/>
      <c r="AK2171" s="143"/>
      <c r="AL2171" s="144"/>
      <c r="AM2171" s="22"/>
      <c r="AN2171" s="149" t="s">
        <v>2131</v>
      </c>
      <c r="AO2171" s="144"/>
      <c r="AP2171" s="148">
        <v>3119</v>
      </c>
      <c r="AQ2171" s="144"/>
      <c r="AR2171" s="120"/>
      <c r="AS2171" s="121"/>
      <c r="AT2171" s="120"/>
      <c r="AU2171" s="121"/>
      <c r="AV2171" s="120"/>
      <c r="AW2171" s="121"/>
      <c r="AX2171" s="120"/>
      <c r="AY2171" s="121"/>
      <c r="AZ2171" s="138"/>
    </row>
    <row r="2172" spans="1:52" ht="17.100000000000001" customHeight="1" thickTop="1">
      <c r="A2172" s="109" t="s">
        <v>7415</v>
      </c>
      <c r="B2172" s="28">
        <v>45934</v>
      </c>
      <c r="C2172" s="25"/>
      <c r="D2172" s="13" t="s">
        <v>1971</v>
      </c>
      <c r="E2172" s="111"/>
      <c r="F2172" s="113" t="s">
        <v>4363</v>
      </c>
      <c r="G2172" s="114"/>
      <c r="H2172" s="115"/>
      <c r="I2172" s="24" t="s">
        <v>7414</v>
      </c>
      <c r="J2172" s="116">
        <v>4.5</v>
      </c>
      <c r="K2172" s="118">
        <f>3905000/1.1</f>
        <v>3549999.9999999995</v>
      </c>
      <c r="L2172" s="119"/>
      <c r="M2172" s="118">
        <f t="shared" ref="M2172" si="379">K2172*0.1</f>
        <v>355000</v>
      </c>
      <c r="N2172" s="119"/>
      <c r="O2172" s="118">
        <v>0</v>
      </c>
      <c r="P2172" s="119"/>
      <c r="Q2172" s="118">
        <v>11570</v>
      </c>
      <c r="R2172" s="119"/>
      <c r="S2172" s="118">
        <v>152625</v>
      </c>
      <c r="T2172" s="119"/>
      <c r="U2172" s="118">
        <f t="shared" ref="U2172" si="380">SUM(K2172:T2173)</f>
        <v>4069194.9999999995</v>
      </c>
      <c r="V2172" s="122"/>
      <c r="W2172" s="124"/>
      <c r="X2172" s="126" t="s">
        <v>8373</v>
      </c>
      <c r="Y2172" s="127"/>
      <c r="Z2172" s="127"/>
      <c r="AA2172" s="127"/>
      <c r="AB2172" s="128"/>
      <c r="AC2172" s="15" t="s">
        <v>20</v>
      </c>
      <c r="AD2172" s="129" t="s">
        <v>171</v>
      </c>
      <c r="AE2172" s="130"/>
      <c r="AF2172" s="130"/>
      <c r="AG2172" s="130"/>
      <c r="AH2172" s="130"/>
      <c r="AI2172" s="131"/>
      <c r="AJ2172" s="132"/>
      <c r="AK2172" s="127"/>
      <c r="AL2172" s="128"/>
      <c r="AM2172" s="21" t="s">
        <v>12136</v>
      </c>
      <c r="AN2172" s="133"/>
      <c r="AO2172" s="134"/>
      <c r="AP2172" s="135"/>
      <c r="AQ2172" s="136"/>
      <c r="AR2172" s="118"/>
      <c r="AS2172" s="119"/>
      <c r="AT2172" s="118">
        <f t="shared" ref="AT2172" si="381">AR2172*0.1</f>
        <v>0</v>
      </c>
      <c r="AU2172" s="119"/>
      <c r="AV2172" s="118"/>
      <c r="AW2172" s="119"/>
      <c r="AX2172" s="118">
        <f t="shared" ref="AX2172" si="382">SUM(AR2172:AW2172)</f>
        <v>0</v>
      </c>
      <c r="AY2172" s="119"/>
      <c r="AZ2172" s="137"/>
    </row>
    <row r="2173" spans="1:52" ht="17.100000000000001" customHeight="1" thickBot="1">
      <c r="A2173" s="110"/>
      <c r="B2173" s="27" t="s">
        <v>1718</v>
      </c>
      <c r="C2173" s="27" t="s">
        <v>7412</v>
      </c>
      <c r="D2173" s="14" t="s">
        <v>2601</v>
      </c>
      <c r="E2173" s="112"/>
      <c r="F2173" s="139" t="s">
        <v>7413</v>
      </c>
      <c r="G2173" s="140"/>
      <c r="H2173" s="141"/>
      <c r="I2173" s="26">
        <v>24221</v>
      </c>
      <c r="J2173" s="117"/>
      <c r="K2173" s="120"/>
      <c r="L2173" s="121"/>
      <c r="M2173" s="120"/>
      <c r="N2173" s="121"/>
      <c r="O2173" s="120"/>
      <c r="P2173" s="121"/>
      <c r="Q2173" s="120"/>
      <c r="R2173" s="121"/>
      <c r="S2173" s="120"/>
      <c r="T2173" s="121"/>
      <c r="U2173" s="120"/>
      <c r="V2173" s="123"/>
      <c r="W2173" s="125"/>
      <c r="X2173" s="142" t="s">
        <v>8374</v>
      </c>
      <c r="Y2173" s="143"/>
      <c r="Z2173" s="143"/>
      <c r="AA2173" s="143"/>
      <c r="AB2173" s="144"/>
      <c r="AC2173" s="16" t="s">
        <v>21</v>
      </c>
      <c r="AD2173" s="17" t="s">
        <v>3308</v>
      </c>
      <c r="AE2173" s="158" t="s">
        <v>171</v>
      </c>
      <c r="AF2173" s="146"/>
      <c r="AG2173" s="146"/>
      <c r="AH2173" s="146"/>
      <c r="AI2173" s="147"/>
      <c r="AJ2173" s="148"/>
      <c r="AK2173" s="143"/>
      <c r="AL2173" s="144"/>
      <c r="AM2173" s="22"/>
      <c r="AN2173" s="149"/>
      <c r="AO2173" s="144"/>
      <c r="AP2173" s="148"/>
      <c r="AQ2173" s="144"/>
      <c r="AR2173" s="120"/>
      <c r="AS2173" s="121"/>
      <c r="AT2173" s="120"/>
      <c r="AU2173" s="121"/>
      <c r="AV2173" s="120"/>
      <c r="AW2173" s="121"/>
      <c r="AX2173" s="120"/>
      <c r="AY2173" s="121"/>
      <c r="AZ2173" s="138"/>
    </row>
    <row r="2174" spans="1:52" ht="17.100000000000001" customHeight="1" thickTop="1">
      <c r="A2174" s="109" t="s">
        <v>7455</v>
      </c>
      <c r="B2174" s="28">
        <v>45937</v>
      </c>
      <c r="C2174" s="25">
        <v>1912</v>
      </c>
      <c r="D2174" s="13" t="s">
        <v>7328</v>
      </c>
      <c r="E2174" s="111"/>
      <c r="F2174" s="113" t="s">
        <v>7329</v>
      </c>
      <c r="G2174" s="114"/>
      <c r="H2174" s="115"/>
      <c r="I2174" s="24"/>
      <c r="J2174" s="116">
        <v>3</v>
      </c>
      <c r="K2174" s="118">
        <v>165000</v>
      </c>
      <c r="L2174" s="119"/>
      <c r="M2174" s="118">
        <f t="shared" ref="M2174" si="383">K2174*0.1</f>
        <v>16500</v>
      </c>
      <c r="N2174" s="119"/>
      <c r="O2174" s="118">
        <v>0</v>
      </c>
      <c r="P2174" s="119"/>
      <c r="Q2174" s="118">
        <v>5340</v>
      </c>
      <c r="R2174" s="119"/>
      <c r="S2174" s="118">
        <v>15950</v>
      </c>
      <c r="T2174" s="119"/>
      <c r="U2174" s="118">
        <f t="shared" ref="U2174" si="384">SUM(K2174:T2175)</f>
        <v>202790</v>
      </c>
      <c r="V2174" s="122"/>
      <c r="W2174" s="124"/>
      <c r="X2174" s="126" t="s">
        <v>8258</v>
      </c>
      <c r="Y2174" s="127"/>
      <c r="Z2174" s="127"/>
      <c r="AA2174" s="127"/>
      <c r="AB2174" s="128"/>
      <c r="AC2174" s="15" t="s">
        <v>20</v>
      </c>
      <c r="AD2174" s="129"/>
      <c r="AE2174" s="130"/>
      <c r="AF2174" s="130"/>
      <c r="AG2174" s="130"/>
      <c r="AH2174" s="130"/>
      <c r="AI2174" s="131"/>
      <c r="AJ2174" s="132"/>
      <c r="AK2174" s="127"/>
      <c r="AL2174" s="128"/>
      <c r="AM2174" s="21"/>
      <c r="AN2174" s="133">
        <v>45969</v>
      </c>
      <c r="AO2174" s="134"/>
      <c r="AP2174" s="135">
        <v>1275</v>
      </c>
      <c r="AQ2174" s="136"/>
      <c r="AR2174" s="118">
        <v>160000</v>
      </c>
      <c r="AS2174" s="119"/>
      <c r="AT2174" s="118">
        <f t="shared" ref="AT2174" si="385">AR2174*0.1</f>
        <v>16000</v>
      </c>
      <c r="AU2174" s="119"/>
      <c r="AV2174" s="118">
        <v>5340</v>
      </c>
      <c r="AW2174" s="119"/>
      <c r="AX2174" s="118">
        <f t="shared" ref="AX2174" si="386">SUM(AR2174:AW2174)</f>
        <v>181340</v>
      </c>
      <c r="AY2174" s="119"/>
      <c r="AZ2174" s="137">
        <v>45972</v>
      </c>
    </row>
    <row r="2175" spans="1:52" ht="17.100000000000001" customHeight="1" thickBot="1">
      <c r="A2175" s="110"/>
      <c r="B2175" s="27" t="s">
        <v>2131</v>
      </c>
      <c r="C2175" s="27">
        <v>3031</v>
      </c>
      <c r="D2175" s="14" t="s">
        <v>1592</v>
      </c>
      <c r="E2175" s="112"/>
      <c r="F2175" s="139" t="s">
        <v>7330</v>
      </c>
      <c r="G2175" s="140"/>
      <c r="H2175" s="141"/>
      <c r="I2175" s="26">
        <v>31993</v>
      </c>
      <c r="J2175" s="117"/>
      <c r="K2175" s="120"/>
      <c r="L2175" s="121"/>
      <c r="M2175" s="120"/>
      <c r="N2175" s="121"/>
      <c r="O2175" s="120"/>
      <c r="P2175" s="121"/>
      <c r="Q2175" s="120"/>
      <c r="R2175" s="121"/>
      <c r="S2175" s="120"/>
      <c r="T2175" s="121"/>
      <c r="U2175" s="120"/>
      <c r="V2175" s="123"/>
      <c r="W2175" s="125"/>
      <c r="X2175" s="142" t="s">
        <v>8259</v>
      </c>
      <c r="Y2175" s="143"/>
      <c r="Z2175" s="143"/>
      <c r="AA2175" s="143"/>
      <c r="AB2175" s="144"/>
      <c r="AC2175" s="16" t="s">
        <v>21</v>
      </c>
      <c r="AD2175" s="17" t="s">
        <v>1622</v>
      </c>
      <c r="AE2175" s="145" t="s">
        <v>7856</v>
      </c>
      <c r="AF2175" s="146"/>
      <c r="AG2175" s="146"/>
      <c r="AH2175" s="146"/>
      <c r="AI2175" s="147"/>
      <c r="AJ2175" s="148"/>
      <c r="AK2175" s="143"/>
      <c r="AL2175" s="144"/>
      <c r="AM2175" s="22"/>
      <c r="AN2175" s="149" t="s">
        <v>7284</v>
      </c>
      <c r="AO2175" s="144"/>
      <c r="AP2175" s="148">
        <v>63132</v>
      </c>
      <c r="AQ2175" s="144"/>
      <c r="AR2175" s="120"/>
      <c r="AS2175" s="121"/>
      <c r="AT2175" s="120"/>
      <c r="AU2175" s="121"/>
      <c r="AV2175" s="120"/>
      <c r="AW2175" s="121"/>
      <c r="AX2175" s="120"/>
      <c r="AY2175" s="121"/>
      <c r="AZ2175" s="138"/>
    </row>
    <row r="2176" spans="1:52" ht="17.100000000000001" customHeight="1" thickTop="1">
      <c r="A2176" s="109" t="s">
        <v>7456</v>
      </c>
      <c r="B2176" s="28">
        <v>45937</v>
      </c>
      <c r="C2176" s="25">
        <v>1912</v>
      </c>
      <c r="D2176" s="13" t="s">
        <v>4287</v>
      </c>
      <c r="E2176" s="111"/>
      <c r="F2176" s="113" t="s">
        <v>7331</v>
      </c>
      <c r="G2176" s="114"/>
      <c r="H2176" s="115"/>
      <c r="I2176" s="24"/>
      <c r="J2176" s="116">
        <v>4</v>
      </c>
      <c r="K2176" s="118">
        <v>956000</v>
      </c>
      <c r="L2176" s="119"/>
      <c r="M2176" s="118">
        <f t="shared" ref="M2176" si="387">K2176*0.1</f>
        <v>95600</v>
      </c>
      <c r="N2176" s="119"/>
      <c r="O2176" s="118">
        <v>0</v>
      </c>
      <c r="P2176" s="119"/>
      <c r="Q2176" s="118">
        <v>8010</v>
      </c>
      <c r="R2176" s="119"/>
      <c r="S2176" s="118">
        <v>15950</v>
      </c>
      <c r="T2176" s="119"/>
      <c r="U2176" s="118">
        <f t="shared" ref="U2176" si="388">SUM(K2176:T2177)</f>
        <v>1075560</v>
      </c>
      <c r="V2176" s="122"/>
      <c r="W2176" s="124"/>
      <c r="X2176" s="126" t="s">
        <v>8066</v>
      </c>
      <c r="Y2176" s="127"/>
      <c r="Z2176" s="127"/>
      <c r="AA2176" s="127"/>
      <c r="AB2176" s="128"/>
      <c r="AC2176" s="15" t="s">
        <v>20</v>
      </c>
      <c r="AD2176" s="129" t="s">
        <v>2930</v>
      </c>
      <c r="AE2176" s="130"/>
      <c r="AF2176" s="130"/>
      <c r="AG2176" s="130"/>
      <c r="AH2176" s="130"/>
      <c r="AI2176" s="131"/>
      <c r="AJ2176" s="132"/>
      <c r="AK2176" s="127"/>
      <c r="AL2176" s="128"/>
      <c r="AM2176" s="21"/>
      <c r="AN2176" s="133">
        <v>45969</v>
      </c>
      <c r="AO2176" s="134"/>
      <c r="AP2176" s="135">
        <v>1275</v>
      </c>
      <c r="AQ2176" s="136"/>
      <c r="AR2176" s="118">
        <v>995000</v>
      </c>
      <c r="AS2176" s="119"/>
      <c r="AT2176" s="118">
        <f t="shared" ref="AT2176" si="389">AR2176*0.1</f>
        <v>99500</v>
      </c>
      <c r="AU2176" s="119"/>
      <c r="AV2176" s="118">
        <v>8010</v>
      </c>
      <c r="AW2176" s="119"/>
      <c r="AX2176" s="118">
        <f t="shared" ref="AX2176" si="390">SUM(AR2176:AW2176)</f>
        <v>1102510</v>
      </c>
      <c r="AY2176" s="119"/>
      <c r="AZ2176" s="137">
        <v>45972</v>
      </c>
    </row>
    <row r="2177" spans="1:52" ht="17.100000000000001" customHeight="1" thickBot="1">
      <c r="A2177" s="110"/>
      <c r="B2177" s="27" t="s">
        <v>2131</v>
      </c>
      <c r="C2177" s="27">
        <v>3037</v>
      </c>
      <c r="D2177" s="14" t="s">
        <v>1720</v>
      </c>
      <c r="E2177" s="112"/>
      <c r="F2177" s="139" t="s">
        <v>7332</v>
      </c>
      <c r="G2177" s="140"/>
      <c r="H2177" s="141"/>
      <c r="I2177" s="26">
        <v>34500</v>
      </c>
      <c r="J2177" s="117"/>
      <c r="K2177" s="120"/>
      <c r="L2177" s="121"/>
      <c r="M2177" s="120"/>
      <c r="N2177" s="121"/>
      <c r="O2177" s="120"/>
      <c r="P2177" s="121"/>
      <c r="Q2177" s="120"/>
      <c r="R2177" s="121"/>
      <c r="S2177" s="120"/>
      <c r="T2177" s="121"/>
      <c r="U2177" s="120"/>
      <c r="V2177" s="123"/>
      <c r="W2177" s="125"/>
      <c r="X2177" s="142" t="s">
        <v>8067</v>
      </c>
      <c r="Y2177" s="143"/>
      <c r="Z2177" s="143"/>
      <c r="AA2177" s="143"/>
      <c r="AB2177" s="144"/>
      <c r="AC2177" s="16" t="s">
        <v>21</v>
      </c>
      <c r="AD2177" s="17" t="s">
        <v>8050</v>
      </c>
      <c r="AE2177" s="145" t="s">
        <v>3925</v>
      </c>
      <c r="AF2177" s="146"/>
      <c r="AG2177" s="146"/>
      <c r="AH2177" s="146"/>
      <c r="AI2177" s="147"/>
      <c r="AJ2177" s="148"/>
      <c r="AK2177" s="143"/>
      <c r="AL2177" s="144"/>
      <c r="AM2177" s="22"/>
      <c r="AN2177" s="149" t="s">
        <v>7284</v>
      </c>
      <c r="AO2177" s="144"/>
      <c r="AP2177" s="148">
        <v>60200</v>
      </c>
      <c r="AQ2177" s="144"/>
      <c r="AR2177" s="120"/>
      <c r="AS2177" s="121"/>
      <c r="AT2177" s="120"/>
      <c r="AU2177" s="121"/>
      <c r="AV2177" s="120"/>
      <c r="AW2177" s="121"/>
      <c r="AX2177" s="120"/>
      <c r="AY2177" s="121"/>
      <c r="AZ2177" s="138"/>
    </row>
    <row r="2178" spans="1:52" ht="17.100000000000001" customHeight="1" thickTop="1">
      <c r="A2178" s="109" t="s">
        <v>7457</v>
      </c>
      <c r="B2178" s="28">
        <v>45937</v>
      </c>
      <c r="C2178" s="25">
        <v>1912</v>
      </c>
      <c r="D2178" s="13" t="s">
        <v>1825</v>
      </c>
      <c r="E2178" s="111"/>
      <c r="F2178" s="113" t="s">
        <v>7333</v>
      </c>
      <c r="G2178" s="114"/>
      <c r="H2178" s="115"/>
      <c r="I2178" s="24"/>
      <c r="J2178" s="116">
        <v>4</v>
      </c>
      <c r="K2178" s="118">
        <v>644000</v>
      </c>
      <c r="L2178" s="119"/>
      <c r="M2178" s="118">
        <f t="shared" ref="M2178" si="391">K2178*0.1</f>
        <v>64400</v>
      </c>
      <c r="N2178" s="119"/>
      <c r="O2178" s="118">
        <v>0</v>
      </c>
      <c r="P2178" s="119"/>
      <c r="Q2178" s="118">
        <v>6610</v>
      </c>
      <c r="R2178" s="119"/>
      <c r="S2178" s="118">
        <v>15950</v>
      </c>
      <c r="T2178" s="119"/>
      <c r="U2178" s="118">
        <f t="shared" ref="U2178" si="392">SUM(K2178:T2179)</f>
        <v>730960</v>
      </c>
      <c r="V2178" s="122"/>
      <c r="W2178" s="124"/>
      <c r="X2178" s="126" t="s">
        <v>8253</v>
      </c>
      <c r="Y2178" s="127"/>
      <c r="Z2178" s="127"/>
      <c r="AA2178" s="127"/>
      <c r="AB2178" s="128"/>
      <c r="AC2178" s="15" t="s">
        <v>20</v>
      </c>
      <c r="AD2178" s="129" t="s">
        <v>7064</v>
      </c>
      <c r="AE2178" s="130"/>
      <c r="AF2178" s="130"/>
      <c r="AG2178" s="130"/>
      <c r="AH2178" s="130"/>
      <c r="AI2178" s="131"/>
      <c r="AJ2178" s="132"/>
      <c r="AK2178" s="127"/>
      <c r="AL2178" s="128"/>
      <c r="AM2178" s="21"/>
      <c r="AN2178" s="133">
        <v>45948</v>
      </c>
      <c r="AO2178" s="134"/>
      <c r="AP2178" s="135">
        <v>1272</v>
      </c>
      <c r="AQ2178" s="136"/>
      <c r="AR2178" s="118">
        <v>670000</v>
      </c>
      <c r="AS2178" s="119"/>
      <c r="AT2178" s="118">
        <f t="shared" ref="AT2178" si="393">AR2178*0.1</f>
        <v>67000</v>
      </c>
      <c r="AU2178" s="119"/>
      <c r="AV2178" s="118">
        <v>6610</v>
      </c>
      <c r="AW2178" s="119"/>
      <c r="AX2178" s="118">
        <f t="shared" ref="AX2178" si="394">SUM(AR2178:AW2178)</f>
        <v>743610</v>
      </c>
      <c r="AY2178" s="119"/>
      <c r="AZ2178" s="137">
        <v>45952</v>
      </c>
    </row>
    <row r="2179" spans="1:52" ht="17.100000000000001" customHeight="1" thickBot="1">
      <c r="A2179" s="110"/>
      <c r="B2179" s="27" t="s">
        <v>2131</v>
      </c>
      <c r="C2179" s="27">
        <v>3038</v>
      </c>
      <c r="D2179" s="14" t="s">
        <v>1720</v>
      </c>
      <c r="E2179" s="112"/>
      <c r="F2179" s="139" t="s">
        <v>7334</v>
      </c>
      <c r="G2179" s="140"/>
      <c r="H2179" s="141"/>
      <c r="I2179" s="26">
        <v>19708</v>
      </c>
      <c r="J2179" s="117"/>
      <c r="K2179" s="120"/>
      <c r="L2179" s="121"/>
      <c r="M2179" s="120"/>
      <c r="N2179" s="121"/>
      <c r="O2179" s="120"/>
      <c r="P2179" s="121"/>
      <c r="Q2179" s="120"/>
      <c r="R2179" s="121"/>
      <c r="S2179" s="120"/>
      <c r="T2179" s="121"/>
      <c r="U2179" s="120"/>
      <c r="V2179" s="123"/>
      <c r="W2179" s="125"/>
      <c r="X2179" s="142" t="s">
        <v>8254</v>
      </c>
      <c r="Y2179" s="143"/>
      <c r="Z2179" s="143"/>
      <c r="AA2179" s="143"/>
      <c r="AB2179" s="144"/>
      <c r="AC2179" s="16" t="s">
        <v>21</v>
      </c>
      <c r="AD2179" s="17" t="s">
        <v>1622</v>
      </c>
      <c r="AE2179" s="145" t="s">
        <v>8255</v>
      </c>
      <c r="AF2179" s="146"/>
      <c r="AG2179" s="146"/>
      <c r="AH2179" s="146"/>
      <c r="AI2179" s="147"/>
      <c r="AJ2179" s="148"/>
      <c r="AK2179" s="143"/>
      <c r="AL2179" s="144"/>
      <c r="AM2179" s="22"/>
      <c r="AN2179" s="149" t="s">
        <v>2511</v>
      </c>
      <c r="AO2179" s="144"/>
      <c r="AP2179" s="148">
        <v>60423</v>
      </c>
      <c r="AQ2179" s="144"/>
      <c r="AR2179" s="120"/>
      <c r="AS2179" s="121"/>
      <c r="AT2179" s="120"/>
      <c r="AU2179" s="121"/>
      <c r="AV2179" s="120"/>
      <c r="AW2179" s="121"/>
      <c r="AX2179" s="120"/>
      <c r="AY2179" s="121"/>
      <c r="AZ2179" s="138"/>
    </row>
    <row r="2180" spans="1:52" ht="17.100000000000001" customHeight="1" thickTop="1">
      <c r="A2180" s="109" t="s">
        <v>7458</v>
      </c>
      <c r="B2180" s="28">
        <v>45937</v>
      </c>
      <c r="C2180" s="25">
        <v>1912</v>
      </c>
      <c r="D2180" s="13" t="s">
        <v>2464</v>
      </c>
      <c r="E2180" s="111"/>
      <c r="F2180" s="113" t="s">
        <v>4202</v>
      </c>
      <c r="G2180" s="114"/>
      <c r="H2180" s="115"/>
      <c r="I2180" s="24" t="s">
        <v>2156</v>
      </c>
      <c r="J2180" s="150" t="s">
        <v>4203</v>
      </c>
      <c r="K2180" s="118">
        <v>1101000</v>
      </c>
      <c r="L2180" s="119"/>
      <c r="M2180" s="118">
        <f t="shared" ref="M2180" si="395">K2180*0.1</f>
        <v>110100</v>
      </c>
      <c r="N2180" s="119"/>
      <c r="O2180" s="118">
        <v>0</v>
      </c>
      <c r="P2180" s="119"/>
      <c r="Q2180" s="118">
        <v>7200</v>
      </c>
      <c r="R2180" s="119"/>
      <c r="S2180" s="118">
        <v>15950</v>
      </c>
      <c r="T2180" s="119"/>
      <c r="U2180" s="118">
        <f t="shared" ref="U2180" si="396">SUM(K2180:T2181)</f>
        <v>1234250</v>
      </c>
      <c r="V2180" s="122"/>
      <c r="W2180" s="124"/>
      <c r="X2180" s="126" t="s">
        <v>7336</v>
      </c>
      <c r="Y2180" s="127"/>
      <c r="Z2180" s="127"/>
      <c r="AA2180" s="127"/>
      <c r="AB2180" s="128"/>
      <c r="AC2180" s="15" t="s">
        <v>20</v>
      </c>
      <c r="AD2180" s="129" t="s">
        <v>171</v>
      </c>
      <c r="AE2180" s="130"/>
      <c r="AF2180" s="130"/>
      <c r="AG2180" s="130"/>
      <c r="AH2180" s="130"/>
      <c r="AI2180" s="131"/>
      <c r="AJ2180" s="132"/>
      <c r="AK2180" s="127"/>
      <c r="AL2180" s="128"/>
      <c r="AM2180" s="21" t="s">
        <v>10408</v>
      </c>
      <c r="AN2180" s="133">
        <v>45969</v>
      </c>
      <c r="AO2180" s="134"/>
      <c r="AP2180" s="135">
        <v>1275</v>
      </c>
      <c r="AQ2180" s="136"/>
      <c r="AR2180" s="118">
        <v>1285000</v>
      </c>
      <c r="AS2180" s="119"/>
      <c r="AT2180" s="118">
        <f t="shared" ref="AT2180" si="397">AR2180*0.1</f>
        <v>128500</v>
      </c>
      <c r="AU2180" s="119"/>
      <c r="AV2180" s="118">
        <v>7200</v>
      </c>
      <c r="AW2180" s="119"/>
      <c r="AX2180" s="118">
        <f t="shared" ref="AX2180" si="398">SUM(AR2180:AW2180)</f>
        <v>1420700</v>
      </c>
      <c r="AY2180" s="119"/>
      <c r="AZ2180" s="137">
        <v>45974</v>
      </c>
    </row>
    <row r="2181" spans="1:52" ht="17.100000000000001" customHeight="1" thickBot="1">
      <c r="A2181" s="110"/>
      <c r="B2181" s="27" t="s">
        <v>2131</v>
      </c>
      <c r="C2181" s="27">
        <v>3091</v>
      </c>
      <c r="D2181" s="14" t="s">
        <v>1720</v>
      </c>
      <c r="E2181" s="112"/>
      <c r="F2181" s="139" t="s">
        <v>7335</v>
      </c>
      <c r="G2181" s="140"/>
      <c r="H2181" s="141"/>
      <c r="I2181" s="26">
        <v>2341</v>
      </c>
      <c r="J2181" s="117"/>
      <c r="K2181" s="120"/>
      <c r="L2181" s="121"/>
      <c r="M2181" s="120"/>
      <c r="N2181" s="121"/>
      <c r="O2181" s="120"/>
      <c r="P2181" s="121"/>
      <c r="Q2181" s="120"/>
      <c r="R2181" s="121"/>
      <c r="S2181" s="120"/>
      <c r="T2181" s="121"/>
      <c r="U2181" s="120"/>
      <c r="V2181" s="123"/>
      <c r="W2181" s="125"/>
      <c r="X2181" s="142" t="s">
        <v>8065</v>
      </c>
      <c r="Y2181" s="143"/>
      <c r="Z2181" s="143"/>
      <c r="AA2181" s="143"/>
      <c r="AB2181" s="144"/>
      <c r="AC2181" s="16" t="s">
        <v>21</v>
      </c>
      <c r="AD2181" s="17" t="s">
        <v>8050</v>
      </c>
      <c r="AE2181" s="145" t="s">
        <v>8574</v>
      </c>
      <c r="AF2181" s="146"/>
      <c r="AG2181" s="146"/>
      <c r="AH2181" s="146"/>
      <c r="AI2181" s="147"/>
      <c r="AJ2181" s="148"/>
      <c r="AK2181" s="143"/>
      <c r="AL2181" s="144"/>
      <c r="AM2181" s="22"/>
      <c r="AN2181" s="149" t="s">
        <v>7284</v>
      </c>
      <c r="AO2181" s="144"/>
      <c r="AP2181" s="148">
        <v>60118</v>
      </c>
      <c r="AQ2181" s="144"/>
      <c r="AR2181" s="120"/>
      <c r="AS2181" s="121"/>
      <c r="AT2181" s="120"/>
      <c r="AU2181" s="121"/>
      <c r="AV2181" s="120"/>
      <c r="AW2181" s="121"/>
      <c r="AX2181" s="120"/>
      <c r="AY2181" s="121"/>
      <c r="AZ2181" s="138"/>
    </row>
    <row r="2182" spans="1:52" ht="17.100000000000001" customHeight="1" thickTop="1">
      <c r="A2182" s="109" t="s">
        <v>7459</v>
      </c>
      <c r="B2182" s="28">
        <v>45937</v>
      </c>
      <c r="C2182" s="25">
        <v>1912</v>
      </c>
      <c r="D2182" s="13" t="s">
        <v>2001</v>
      </c>
      <c r="E2182" s="111"/>
      <c r="F2182" s="113" t="s">
        <v>5196</v>
      </c>
      <c r="G2182" s="114"/>
      <c r="H2182" s="115"/>
      <c r="I2182" s="24"/>
      <c r="J2182" s="116">
        <v>4.5</v>
      </c>
      <c r="K2182" s="118">
        <v>700000</v>
      </c>
      <c r="L2182" s="119"/>
      <c r="M2182" s="118">
        <f t="shared" ref="M2182" si="399">K2182*0.1</f>
        <v>70000</v>
      </c>
      <c r="N2182" s="119"/>
      <c r="O2182" s="118">
        <v>0</v>
      </c>
      <c r="P2182" s="119"/>
      <c r="Q2182" s="118">
        <v>6550</v>
      </c>
      <c r="R2182" s="119"/>
      <c r="S2182" s="118">
        <v>15950</v>
      </c>
      <c r="T2182" s="119"/>
      <c r="U2182" s="118">
        <f t="shared" ref="U2182" si="400">SUM(K2182:T2183)</f>
        <v>792500</v>
      </c>
      <c r="V2182" s="122"/>
      <c r="W2182" s="124"/>
      <c r="X2182" s="126" t="s">
        <v>8256</v>
      </c>
      <c r="Y2182" s="127"/>
      <c r="Z2182" s="127"/>
      <c r="AA2182" s="127"/>
      <c r="AB2182" s="128"/>
      <c r="AC2182" s="15" t="s">
        <v>20</v>
      </c>
      <c r="AD2182" s="129"/>
      <c r="AE2182" s="130"/>
      <c r="AF2182" s="130"/>
      <c r="AG2182" s="130"/>
      <c r="AH2182" s="130"/>
      <c r="AI2182" s="131"/>
      <c r="AJ2182" s="132"/>
      <c r="AK2182" s="127"/>
      <c r="AL2182" s="128"/>
      <c r="AM2182" s="21"/>
      <c r="AN2182" s="133">
        <v>45955</v>
      </c>
      <c r="AO2182" s="134"/>
      <c r="AP2182" s="135">
        <v>1273</v>
      </c>
      <c r="AQ2182" s="136"/>
      <c r="AR2182" s="118">
        <v>770000</v>
      </c>
      <c r="AS2182" s="119"/>
      <c r="AT2182" s="118">
        <f t="shared" ref="AT2182" si="401">AR2182*0.1</f>
        <v>77000</v>
      </c>
      <c r="AU2182" s="119"/>
      <c r="AV2182" s="118">
        <v>6550</v>
      </c>
      <c r="AW2182" s="119"/>
      <c r="AX2182" s="118">
        <f t="shared" ref="AX2182" si="402">SUM(AR2182:AW2182)</f>
        <v>853550</v>
      </c>
      <c r="AY2182" s="119"/>
      <c r="AZ2182" s="137">
        <v>45960</v>
      </c>
    </row>
    <row r="2183" spans="1:52" ht="17.100000000000001" customHeight="1" thickBot="1">
      <c r="A2183" s="110"/>
      <c r="B2183" s="27" t="s">
        <v>2131</v>
      </c>
      <c r="C2183" s="27">
        <v>3269</v>
      </c>
      <c r="D2183" s="14" t="s">
        <v>275</v>
      </c>
      <c r="E2183" s="112"/>
      <c r="F2183" s="139" t="s">
        <v>7337</v>
      </c>
      <c r="G2183" s="140"/>
      <c r="H2183" s="141"/>
      <c r="I2183" s="26">
        <v>51449</v>
      </c>
      <c r="J2183" s="117"/>
      <c r="K2183" s="120"/>
      <c r="L2183" s="121"/>
      <c r="M2183" s="120"/>
      <c r="N2183" s="121"/>
      <c r="O2183" s="120"/>
      <c r="P2183" s="121"/>
      <c r="Q2183" s="120"/>
      <c r="R2183" s="121"/>
      <c r="S2183" s="120"/>
      <c r="T2183" s="121"/>
      <c r="U2183" s="120"/>
      <c r="V2183" s="123"/>
      <c r="W2183" s="125"/>
      <c r="X2183" s="142" t="s">
        <v>8257</v>
      </c>
      <c r="Y2183" s="143"/>
      <c r="Z2183" s="143"/>
      <c r="AA2183" s="143"/>
      <c r="AB2183" s="144"/>
      <c r="AC2183" s="16" t="s">
        <v>21</v>
      </c>
      <c r="AD2183" s="17" t="s">
        <v>1622</v>
      </c>
      <c r="AE2183" s="145" t="s">
        <v>1670</v>
      </c>
      <c r="AF2183" s="146"/>
      <c r="AG2183" s="146"/>
      <c r="AH2183" s="146"/>
      <c r="AI2183" s="147"/>
      <c r="AJ2183" s="148"/>
      <c r="AK2183" s="143"/>
      <c r="AL2183" s="144"/>
      <c r="AM2183" s="22"/>
      <c r="AN2183" s="149" t="s">
        <v>2511</v>
      </c>
      <c r="AO2183" s="144"/>
      <c r="AP2183" s="148">
        <v>60307</v>
      </c>
      <c r="AQ2183" s="144"/>
      <c r="AR2183" s="120"/>
      <c r="AS2183" s="121"/>
      <c r="AT2183" s="120"/>
      <c r="AU2183" s="121"/>
      <c r="AV2183" s="120"/>
      <c r="AW2183" s="121"/>
      <c r="AX2183" s="120"/>
      <c r="AY2183" s="121"/>
      <c r="AZ2183" s="138"/>
    </row>
    <row r="2184" spans="1:52" ht="17.100000000000001" customHeight="1" thickTop="1">
      <c r="A2184" s="109" t="s">
        <v>7460</v>
      </c>
      <c r="B2184" s="28">
        <v>45937</v>
      </c>
      <c r="C2184" s="25">
        <v>1912</v>
      </c>
      <c r="D2184" s="13" t="s">
        <v>1988</v>
      </c>
      <c r="E2184" s="111"/>
      <c r="F2184" s="113" t="s">
        <v>4813</v>
      </c>
      <c r="G2184" s="114"/>
      <c r="H2184" s="115"/>
      <c r="I2184" s="24" t="s">
        <v>2112</v>
      </c>
      <c r="J2184" s="116">
        <v>4</v>
      </c>
      <c r="K2184" s="118">
        <v>1357000</v>
      </c>
      <c r="L2184" s="119"/>
      <c r="M2184" s="118">
        <f t="shared" ref="M2184" si="403">K2184*0.1</f>
        <v>135700</v>
      </c>
      <c r="N2184" s="119"/>
      <c r="O2184" s="118">
        <v>0</v>
      </c>
      <c r="P2184" s="119"/>
      <c r="Q2184" s="118">
        <v>7150</v>
      </c>
      <c r="R2184" s="119"/>
      <c r="S2184" s="118">
        <v>15950</v>
      </c>
      <c r="T2184" s="119"/>
      <c r="U2184" s="118">
        <f t="shared" ref="U2184" si="404">SUM(K2184:T2185)</f>
        <v>1515800</v>
      </c>
      <c r="V2184" s="122"/>
      <c r="W2184" s="124"/>
      <c r="X2184" s="126" t="s">
        <v>7339</v>
      </c>
      <c r="Y2184" s="127"/>
      <c r="Z2184" s="127"/>
      <c r="AA2184" s="127"/>
      <c r="AB2184" s="128"/>
      <c r="AC2184" s="15" t="s">
        <v>20</v>
      </c>
      <c r="AD2184" s="129" t="s">
        <v>171</v>
      </c>
      <c r="AE2184" s="130"/>
      <c r="AF2184" s="130"/>
      <c r="AG2184" s="130"/>
      <c r="AH2184" s="130"/>
      <c r="AI2184" s="131"/>
      <c r="AJ2184" s="132" t="s">
        <v>9582</v>
      </c>
      <c r="AK2184" s="127"/>
      <c r="AL2184" s="128"/>
      <c r="AM2184" s="21" t="s">
        <v>11062</v>
      </c>
      <c r="AN2184" s="133">
        <v>46043</v>
      </c>
      <c r="AO2184" s="134"/>
      <c r="AP2184" s="135">
        <v>1001</v>
      </c>
      <c r="AQ2184" s="136"/>
      <c r="AR2184" s="118">
        <v>1360000</v>
      </c>
      <c r="AS2184" s="119"/>
      <c r="AT2184" s="118">
        <f t="shared" ref="AT2184" si="405">AR2184*0.1</f>
        <v>136000</v>
      </c>
      <c r="AU2184" s="119"/>
      <c r="AV2184" s="118">
        <v>7150</v>
      </c>
      <c r="AW2184" s="119"/>
      <c r="AX2184" s="118">
        <f t="shared" ref="AX2184" si="406">SUM(AR2184:AW2184)</f>
        <v>1503150</v>
      </c>
      <c r="AY2184" s="119"/>
      <c r="AZ2184" s="137">
        <v>46048</v>
      </c>
    </row>
    <row r="2185" spans="1:52" ht="17.100000000000001" customHeight="1" thickBot="1">
      <c r="A2185" s="110"/>
      <c r="B2185" s="27" t="s">
        <v>2131</v>
      </c>
      <c r="C2185" s="27">
        <v>3281</v>
      </c>
      <c r="D2185" s="14" t="s">
        <v>1720</v>
      </c>
      <c r="E2185" s="112"/>
      <c r="F2185" s="139" t="s">
        <v>7338</v>
      </c>
      <c r="G2185" s="140"/>
      <c r="H2185" s="141"/>
      <c r="I2185" s="26">
        <v>40260</v>
      </c>
      <c r="J2185" s="117"/>
      <c r="K2185" s="120"/>
      <c r="L2185" s="121"/>
      <c r="M2185" s="120"/>
      <c r="N2185" s="121"/>
      <c r="O2185" s="120"/>
      <c r="P2185" s="121"/>
      <c r="Q2185" s="120"/>
      <c r="R2185" s="121"/>
      <c r="S2185" s="120"/>
      <c r="T2185" s="121"/>
      <c r="U2185" s="120"/>
      <c r="V2185" s="123"/>
      <c r="W2185" s="125"/>
      <c r="X2185" s="142" t="s">
        <v>7918</v>
      </c>
      <c r="Y2185" s="143"/>
      <c r="Z2185" s="143"/>
      <c r="AA2185" s="143"/>
      <c r="AB2185" s="144"/>
      <c r="AC2185" s="16" t="s">
        <v>21</v>
      </c>
      <c r="AD2185" s="17" t="s">
        <v>8050</v>
      </c>
      <c r="AE2185" s="145" t="s">
        <v>4435</v>
      </c>
      <c r="AF2185" s="146"/>
      <c r="AG2185" s="146"/>
      <c r="AH2185" s="146"/>
      <c r="AI2185" s="147"/>
      <c r="AJ2185" s="148"/>
      <c r="AK2185" s="143"/>
      <c r="AL2185" s="144"/>
      <c r="AM2185" s="22"/>
      <c r="AN2185" s="149" t="s">
        <v>2794</v>
      </c>
      <c r="AO2185" s="144"/>
      <c r="AP2185" s="148">
        <v>2035</v>
      </c>
      <c r="AQ2185" s="144"/>
      <c r="AR2185" s="120"/>
      <c r="AS2185" s="121"/>
      <c r="AT2185" s="120"/>
      <c r="AU2185" s="121"/>
      <c r="AV2185" s="120"/>
      <c r="AW2185" s="121"/>
      <c r="AX2185" s="120"/>
      <c r="AY2185" s="121"/>
      <c r="AZ2185" s="138"/>
    </row>
    <row r="2186" spans="1:52" ht="17.100000000000001" customHeight="1" thickTop="1">
      <c r="A2186" s="109" t="s">
        <v>7461</v>
      </c>
      <c r="B2186" s="28">
        <v>45937</v>
      </c>
      <c r="C2186" s="25">
        <v>1912</v>
      </c>
      <c r="D2186" s="13" t="s">
        <v>1986</v>
      </c>
      <c r="E2186" s="111"/>
      <c r="F2186" s="113" t="s">
        <v>7384</v>
      </c>
      <c r="G2186" s="114"/>
      <c r="H2186" s="115"/>
      <c r="I2186" s="24"/>
      <c r="J2186" s="116">
        <v>4.5</v>
      </c>
      <c r="K2186" s="118">
        <v>1565000</v>
      </c>
      <c r="L2186" s="119"/>
      <c r="M2186" s="118">
        <f t="shared" ref="M2186" si="407">K2186*0.1</f>
        <v>156500</v>
      </c>
      <c r="N2186" s="119"/>
      <c r="O2186" s="118">
        <v>0</v>
      </c>
      <c r="P2186" s="119"/>
      <c r="Q2186" s="118">
        <v>19090</v>
      </c>
      <c r="R2186" s="119"/>
      <c r="S2186" s="118">
        <v>15950</v>
      </c>
      <c r="T2186" s="119"/>
      <c r="U2186" s="118">
        <f t="shared" ref="U2186" si="408">SUM(K2186:T2187)</f>
        <v>1756540</v>
      </c>
      <c r="V2186" s="122"/>
      <c r="W2186" s="124"/>
      <c r="X2186" s="126" t="s">
        <v>8056</v>
      </c>
      <c r="Y2186" s="127"/>
      <c r="Z2186" s="127"/>
      <c r="AA2186" s="127"/>
      <c r="AB2186" s="128"/>
      <c r="AC2186" s="15" t="s">
        <v>20</v>
      </c>
      <c r="AD2186" s="129" t="s">
        <v>1670</v>
      </c>
      <c r="AE2186" s="130"/>
      <c r="AF2186" s="130"/>
      <c r="AG2186" s="130"/>
      <c r="AH2186" s="130"/>
      <c r="AI2186" s="131"/>
      <c r="AJ2186" s="132"/>
      <c r="AK2186" s="127"/>
      <c r="AL2186" s="128"/>
      <c r="AM2186" s="21"/>
      <c r="AN2186" s="133">
        <v>45941</v>
      </c>
      <c r="AO2186" s="134"/>
      <c r="AP2186" s="135">
        <v>1271</v>
      </c>
      <c r="AQ2186" s="136"/>
      <c r="AR2186" s="118">
        <v>1700000</v>
      </c>
      <c r="AS2186" s="119"/>
      <c r="AT2186" s="118">
        <v>170000</v>
      </c>
      <c r="AU2186" s="119"/>
      <c r="AV2186" s="118">
        <v>19090</v>
      </c>
      <c r="AW2186" s="119"/>
      <c r="AX2186" s="118">
        <f t="shared" ref="AX2186" si="409">SUM(AR2186:AW2186)</f>
        <v>1889090</v>
      </c>
      <c r="AY2186" s="119"/>
      <c r="AZ2186" s="137">
        <v>45945</v>
      </c>
    </row>
    <row r="2187" spans="1:52" ht="17.100000000000001" customHeight="1" thickBot="1">
      <c r="A2187" s="110"/>
      <c r="B2187" s="27" t="s">
        <v>2131</v>
      </c>
      <c r="C2187" s="27">
        <v>5030</v>
      </c>
      <c r="D2187" s="14" t="s">
        <v>2800</v>
      </c>
      <c r="E2187" s="112"/>
      <c r="F2187" s="139" t="s">
        <v>7385</v>
      </c>
      <c r="G2187" s="140"/>
      <c r="H2187" s="141"/>
      <c r="I2187" s="26">
        <v>54891</v>
      </c>
      <c r="J2187" s="117"/>
      <c r="K2187" s="120"/>
      <c r="L2187" s="121"/>
      <c r="M2187" s="120"/>
      <c r="N2187" s="121"/>
      <c r="O2187" s="120"/>
      <c r="P2187" s="121"/>
      <c r="Q2187" s="120"/>
      <c r="R2187" s="121"/>
      <c r="S2187" s="120"/>
      <c r="T2187" s="121"/>
      <c r="U2187" s="120"/>
      <c r="V2187" s="123"/>
      <c r="W2187" s="125"/>
      <c r="X2187" s="142" t="s">
        <v>3363</v>
      </c>
      <c r="Y2187" s="143"/>
      <c r="Z2187" s="143"/>
      <c r="AA2187" s="143"/>
      <c r="AB2187" s="144"/>
      <c r="AC2187" s="16" t="s">
        <v>21</v>
      </c>
      <c r="AD2187" s="17" t="s">
        <v>8050</v>
      </c>
      <c r="AE2187" s="145" t="s">
        <v>8057</v>
      </c>
      <c r="AF2187" s="146"/>
      <c r="AG2187" s="146"/>
      <c r="AH2187" s="146"/>
      <c r="AI2187" s="147"/>
      <c r="AJ2187" s="148"/>
      <c r="AK2187" s="143"/>
      <c r="AL2187" s="144"/>
      <c r="AM2187" s="22"/>
      <c r="AN2187" s="149" t="s">
        <v>2511</v>
      </c>
      <c r="AO2187" s="144"/>
      <c r="AP2187" s="148">
        <v>80325</v>
      </c>
      <c r="AQ2187" s="144"/>
      <c r="AR2187" s="120"/>
      <c r="AS2187" s="121"/>
      <c r="AT2187" s="120"/>
      <c r="AU2187" s="121"/>
      <c r="AV2187" s="120"/>
      <c r="AW2187" s="121"/>
      <c r="AX2187" s="120"/>
      <c r="AY2187" s="121"/>
      <c r="AZ2187" s="138"/>
    </row>
    <row r="2188" spans="1:52" ht="17.100000000000001" customHeight="1" thickTop="1">
      <c r="A2188" s="109" t="s">
        <v>7462</v>
      </c>
      <c r="B2188" s="28">
        <v>45937</v>
      </c>
      <c r="C2188" s="25">
        <v>1912</v>
      </c>
      <c r="D2188" s="13" t="s">
        <v>2681</v>
      </c>
      <c r="E2188" s="111"/>
      <c r="F2188" s="113" t="s">
        <v>7386</v>
      </c>
      <c r="G2188" s="114"/>
      <c r="H2188" s="115"/>
      <c r="I2188" s="24"/>
      <c r="J2188" s="116">
        <v>4</v>
      </c>
      <c r="K2188" s="118">
        <v>2277000</v>
      </c>
      <c r="L2188" s="119"/>
      <c r="M2188" s="118">
        <f t="shared" ref="M2188" si="410">K2188*0.1</f>
        <v>227700</v>
      </c>
      <c r="N2188" s="119"/>
      <c r="O2188" s="118">
        <v>0</v>
      </c>
      <c r="P2188" s="119"/>
      <c r="Q2188" s="118">
        <v>24080</v>
      </c>
      <c r="R2188" s="119"/>
      <c r="S2188" s="118">
        <v>15950</v>
      </c>
      <c r="T2188" s="119"/>
      <c r="U2188" s="118">
        <f t="shared" ref="U2188" si="411">SUM(K2188:T2189)</f>
        <v>2544730</v>
      </c>
      <c r="V2188" s="122"/>
      <c r="W2188" s="124"/>
      <c r="X2188" s="126" t="s">
        <v>8084</v>
      </c>
      <c r="Y2188" s="127"/>
      <c r="Z2188" s="127"/>
      <c r="AA2188" s="127"/>
      <c r="AB2188" s="128"/>
      <c r="AC2188" s="15" t="s">
        <v>20</v>
      </c>
      <c r="AD2188" s="129" t="s">
        <v>1670</v>
      </c>
      <c r="AE2188" s="130"/>
      <c r="AF2188" s="130"/>
      <c r="AG2188" s="130"/>
      <c r="AH2188" s="130"/>
      <c r="AI2188" s="131"/>
      <c r="AJ2188" s="132"/>
      <c r="AK2188" s="127"/>
      <c r="AL2188" s="128"/>
      <c r="AM2188" s="21"/>
      <c r="AN2188" s="133">
        <v>45948</v>
      </c>
      <c r="AO2188" s="134"/>
      <c r="AP2188" s="135">
        <v>1272</v>
      </c>
      <c r="AQ2188" s="136"/>
      <c r="AR2188" s="118">
        <v>2565000</v>
      </c>
      <c r="AS2188" s="119"/>
      <c r="AT2188" s="118">
        <f t="shared" ref="AT2188" si="412">AR2188*0.1</f>
        <v>256500</v>
      </c>
      <c r="AU2188" s="119"/>
      <c r="AV2188" s="118">
        <v>24080</v>
      </c>
      <c r="AW2188" s="119"/>
      <c r="AX2188" s="118">
        <f t="shared" ref="AX2188" si="413">SUM(AR2188:AW2188)</f>
        <v>2845580</v>
      </c>
      <c r="AY2188" s="119"/>
      <c r="AZ2188" s="137">
        <v>45951</v>
      </c>
    </row>
    <row r="2189" spans="1:52" ht="17.100000000000001" customHeight="1" thickBot="1">
      <c r="A2189" s="110"/>
      <c r="B2189" s="27" t="s">
        <v>2131</v>
      </c>
      <c r="C2189" s="27">
        <v>32054</v>
      </c>
      <c r="D2189" s="14" t="s">
        <v>275</v>
      </c>
      <c r="E2189" s="112"/>
      <c r="F2189" s="139" t="s">
        <v>7387</v>
      </c>
      <c r="G2189" s="140"/>
      <c r="H2189" s="141"/>
      <c r="I2189" s="26">
        <v>27785</v>
      </c>
      <c r="J2189" s="117"/>
      <c r="K2189" s="120"/>
      <c r="L2189" s="121"/>
      <c r="M2189" s="120"/>
      <c r="N2189" s="121"/>
      <c r="O2189" s="120"/>
      <c r="P2189" s="121"/>
      <c r="Q2189" s="120"/>
      <c r="R2189" s="121"/>
      <c r="S2189" s="120"/>
      <c r="T2189" s="121"/>
      <c r="U2189" s="120"/>
      <c r="V2189" s="123"/>
      <c r="W2189" s="125"/>
      <c r="X2189" s="142" t="s">
        <v>8085</v>
      </c>
      <c r="Y2189" s="143"/>
      <c r="Z2189" s="143"/>
      <c r="AA2189" s="143"/>
      <c r="AB2189" s="144"/>
      <c r="AC2189" s="16" t="s">
        <v>21</v>
      </c>
      <c r="AD2189" s="17" t="s">
        <v>8050</v>
      </c>
      <c r="AE2189" s="145" t="s">
        <v>8083</v>
      </c>
      <c r="AF2189" s="146"/>
      <c r="AG2189" s="146"/>
      <c r="AH2189" s="146"/>
      <c r="AI2189" s="147"/>
      <c r="AJ2189" s="148"/>
      <c r="AK2189" s="143"/>
      <c r="AL2189" s="144"/>
      <c r="AM2189" s="22"/>
      <c r="AN2189" s="149" t="s">
        <v>2511</v>
      </c>
      <c r="AO2189" s="144"/>
      <c r="AP2189" s="148">
        <v>80013</v>
      </c>
      <c r="AQ2189" s="144"/>
      <c r="AR2189" s="120"/>
      <c r="AS2189" s="121"/>
      <c r="AT2189" s="120"/>
      <c r="AU2189" s="121"/>
      <c r="AV2189" s="120"/>
      <c r="AW2189" s="121"/>
      <c r="AX2189" s="120"/>
      <c r="AY2189" s="121"/>
      <c r="AZ2189" s="138"/>
    </row>
    <row r="2190" spans="1:52" ht="17.100000000000001" customHeight="1" thickTop="1">
      <c r="A2190" s="109" t="s">
        <v>7463</v>
      </c>
      <c r="B2190" s="28">
        <v>45937</v>
      </c>
      <c r="C2190" s="25">
        <v>1912</v>
      </c>
      <c r="D2190" s="13" t="s">
        <v>4382</v>
      </c>
      <c r="E2190" s="111"/>
      <c r="F2190" s="113" t="s">
        <v>7405</v>
      </c>
      <c r="G2190" s="114"/>
      <c r="H2190" s="115"/>
      <c r="I2190" s="24"/>
      <c r="J2190" s="116">
        <v>3.5</v>
      </c>
      <c r="K2190" s="118">
        <v>115000</v>
      </c>
      <c r="L2190" s="119"/>
      <c r="M2190" s="118">
        <f t="shared" ref="M2190" si="414">K2190*0.1</f>
        <v>11500</v>
      </c>
      <c r="N2190" s="119"/>
      <c r="O2190" s="118">
        <v>0</v>
      </c>
      <c r="P2190" s="119"/>
      <c r="Q2190" s="118">
        <v>10170</v>
      </c>
      <c r="R2190" s="119"/>
      <c r="S2190" s="118">
        <v>15950</v>
      </c>
      <c r="T2190" s="119"/>
      <c r="U2190" s="118">
        <f t="shared" ref="U2190" si="415">SUM(K2190:T2191)</f>
        <v>152620</v>
      </c>
      <c r="V2190" s="122"/>
      <c r="W2190" s="124"/>
      <c r="X2190" s="126" t="s">
        <v>8244</v>
      </c>
      <c r="Y2190" s="127"/>
      <c r="Z2190" s="127"/>
      <c r="AA2190" s="127"/>
      <c r="AB2190" s="128"/>
      <c r="AC2190" s="15" t="s">
        <v>20</v>
      </c>
      <c r="AD2190" s="129"/>
      <c r="AE2190" s="130"/>
      <c r="AF2190" s="130"/>
      <c r="AG2190" s="130"/>
      <c r="AH2190" s="130"/>
      <c r="AI2190" s="131"/>
      <c r="AJ2190" s="132"/>
      <c r="AK2190" s="127"/>
      <c r="AL2190" s="128"/>
      <c r="AM2190" s="21"/>
      <c r="AN2190" s="133">
        <v>45941</v>
      </c>
      <c r="AO2190" s="134"/>
      <c r="AP2190" s="135">
        <v>1271</v>
      </c>
      <c r="AQ2190" s="136"/>
      <c r="AR2190" s="118">
        <v>170000</v>
      </c>
      <c r="AS2190" s="119"/>
      <c r="AT2190" s="118">
        <v>17000</v>
      </c>
      <c r="AU2190" s="119"/>
      <c r="AV2190" s="118">
        <v>10170</v>
      </c>
      <c r="AW2190" s="119"/>
      <c r="AX2190" s="118">
        <f t="shared" ref="AX2190" si="416">SUM(AR2190:AW2190)</f>
        <v>197170</v>
      </c>
      <c r="AY2190" s="119"/>
      <c r="AZ2190" s="137">
        <v>45950</v>
      </c>
    </row>
    <row r="2191" spans="1:52" ht="17.100000000000001" customHeight="1" thickBot="1">
      <c r="A2191" s="110"/>
      <c r="B2191" s="27" t="s">
        <v>2131</v>
      </c>
      <c r="C2191" s="27">
        <v>77005</v>
      </c>
      <c r="D2191" s="14" t="s">
        <v>1720</v>
      </c>
      <c r="E2191" s="112"/>
      <c r="F2191" s="139" t="s">
        <v>7406</v>
      </c>
      <c r="G2191" s="140"/>
      <c r="H2191" s="141"/>
      <c r="I2191" s="26">
        <v>56668</v>
      </c>
      <c r="J2191" s="117"/>
      <c r="K2191" s="120"/>
      <c r="L2191" s="121"/>
      <c r="M2191" s="120"/>
      <c r="N2191" s="121"/>
      <c r="O2191" s="120"/>
      <c r="P2191" s="121"/>
      <c r="Q2191" s="120"/>
      <c r="R2191" s="121"/>
      <c r="S2191" s="120"/>
      <c r="T2191" s="121"/>
      <c r="U2191" s="120"/>
      <c r="V2191" s="123"/>
      <c r="W2191" s="125"/>
      <c r="X2191" s="142" t="s">
        <v>8245</v>
      </c>
      <c r="Y2191" s="143"/>
      <c r="Z2191" s="143"/>
      <c r="AA2191" s="143"/>
      <c r="AB2191" s="144"/>
      <c r="AC2191" s="16" t="s">
        <v>21</v>
      </c>
      <c r="AD2191" s="17" t="s">
        <v>1622</v>
      </c>
      <c r="AE2191" s="145" t="s">
        <v>7858</v>
      </c>
      <c r="AF2191" s="146"/>
      <c r="AG2191" s="146"/>
      <c r="AH2191" s="146"/>
      <c r="AI2191" s="147"/>
      <c r="AJ2191" s="148"/>
      <c r="AK2191" s="143"/>
      <c r="AL2191" s="144"/>
      <c r="AM2191" s="22"/>
      <c r="AN2191" s="149" t="s">
        <v>2511</v>
      </c>
      <c r="AO2191" s="144"/>
      <c r="AP2191" s="148">
        <v>60486</v>
      </c>
      <c r="AQ2191" s="144"/>
      <c r="AR2191" s="120"/>
      <c r="AS2191" s="121"/>
      <c r="AT2191" s="120"/>
      <c r="AU2191" s="121"/>
      <c r="AV2191" s="120"/>
      <c r="AW2191" s="121"/>
      <c r="AX2191" s="120"/>
      <c r="AY2191" s="121"/>
      <c r="AZ2191" s="138"/>
    </row>
    <row r="2192" spans="1:52" ht="17.100000000000001" customHeight="1" thickTop="1">
      <c r="A2192" s="109" t="s">
        <v>7464</v>
      </c>
      <c r="B2192" s="28">
        <v>45937</v>
      </c>
      <c r="C2192" s="25">
        <v>790</v>
      </c>
      <c r="D2192" s="13" t="s">
        <v>1920</v>
      </c>
      <c r="E2192" s="111"/>
      <c r="F2192" s="113" t="s">
        <v>7340</v>
      </c>
      <c r="G2192" s="114"/>
      <c r="H2192" s="115"/>
      <c r="I2192" s="24"/>
      <c r="J2192" s="116">
        <v>4</v>
      </c>
      <c r="K2192" s="118">
        <v>524000</v>
      </c>
      <c r="L2192" s="119"/>
      <c r="M2192" s="118">
        <f t="shared" ref="M2192" si="417">K2192*0.1</f>
        <v>52400</v>
      </c>
      <c r="N2192" s="119"/>
      <c r="O2192" s="118">
        <v>0</v>
      </c>
      <c r="P2192" s="119"/>
      <c r="Q2192" s="118">
        <v>8400</v>
      </c>
      <c r="R2192" s="119"/>
      <c r="S2192" s="118">
        <v>15950</v>
      </c>
      <c r="T2192" s="119"/>
      <c r="U2192" s="118">
        <f t="shared" ref="U2192" si="418">SUM(K2192:T2193)</f>
        <v>600750</v>
      </c>
      <c r="V2192" s="122"/>
      <c r="W2192" s="124"/>
      <c r="X2192" s="126" t="s">
        <v>8063</v>
      </c>
      <c r="Y2192" s="127"/>
      <c r="Z2192" s="127"/>
      <c r="AA2192" s="127"/>
      <c r="AB2192" s="128"/>
      <c r="AC2192" s="15" t="s">
        <v>20</v>
      </c>
      <c r="AD2192" s="129"/>
      <c r="AE2192" s="130"/>
      <c r="AF2192" s="130"/>
      <c r="AG2192" s="130"/>
      <c r="AH2192" s="130"/>
      <c r="AI2192" s="131"/>
      <c r="AJ2192" s="132"/>
      <c r="AK2192" s="127"/>
      <c r="AL2192" s="128"/>
      <c r="AM2192" s="21"/>
      <c r="AN2192" s="133">
        <v>45969</v>
      </c>
      <c r="AO2192" s="134"/>
      <c r="AP2192" s="135">
        <v>1275</v>
      </c>
      <c r="AQ2192" s="136"/>
      <c r="AR2192" s="118">
        <v>610000</v>
      </c>
      <c r="AS2192" s="119"/>
      <c r="AT2192" s="118">
        <f t="shared" ref="AT2192" si="419">AR2192*0.1</f>
        <v>61000</v>
      </c>
      <c r="AU2192" s="119"/>
      <c r="AV2192" s="118">
        <v>8400</v>
      </c>
      <c r="AW2192" s="119"/>
      <c r="AX2192" s="118">
        <f t="shared" ref="AX2192" si="420">SUM(AR2192:AW2192)</f>
        <v>679400</v>
      </c>
      <c r="AY2192" s="119"/>
      <c r="AZ2192" s="137">
        <v>45972</v>
      </c>
    </row>
    <row r="2193" spans="1:52" ht="17.100000000000001" customHeight="1" thickBot="1">
      <c r="A2193" s="110"/>
      <c r="B2193" s="27" t="s">
        <v>3367</v>
      </c>
      <c r="C2193" s="27">
        <v>3062</v>
      </c>
      <c r="D2193" s="14" t="s">
        <v>3855</v>
      </c>
      <c r="E2193" s="112"/>
      <c r="F2193" s="139" t="s">
        <v>7341</v>
      </c>
      <c r="G2193" s="140"/>
      <c r="H2193" s="141"/>
      <c r="I2193" s="26">
        <v>27090</v>
      </c>
      <c r="J2193" s="117"/>
      <c r="K2193" s="120"/>
      <c r="L2193" s="121"/>
      <c r="M2193" s="120"/>
      <c r="N2193" s="121"/>
      <c r="O2193" s="120"/>
      <c r="P2193" s="121"/>
      <c r="Q2193" s="120"/>
      <c r="R2193" s="121"/>
      <c r="S2193" s="120"/>
      <c r="T2193" s="121"/>
      <c r="U2193" s="120"/>
      <c r="V2193" s="123"/>
      <c r="W2193" s="125"/>
      <c r="X2193" s="142" t="s">
        <v>3986</v>
      </c>
      <c r="Y2193" s="143"/>
      <c r="Z2193" s="143"/>
      <c r="AA2193" s="143"/>
      <c r="AB2193" s="144"/>
      <c r="AC2193" s="16" t="s">
        <v>21</v>
      </c>
      <c r="AD2193" s="17" t="s">
        <v>8050</v>
      </c>
      <c r="AE2193" s="145" t="s">
        <v>7860</v>
      </c>
      <c r="AF2193" s="146"/>
      <c r="AG2193" s="146"/>
      <c r="AH2193" s="146"/>
      <c r="AI2193" s="147"/>
      <c r="AJ2193" s="148"/>
      <c r="AK2193" s="143"/>
      <c r="AL2193" s="144"/>
      <c r="AM2193" s="22"/>
      <c r="AN2193" s="149" t="s">
        <v>7284</v>
      </c>
      <c r="AO2193" s="144"/>
      <c r="AP2193" s="148">
        <v>60300</v>
      </c>
      <c r="AQ2193" s="144"/>
      <c r="AR2193" s="120"/>
      <c r="AS2193" s="121"/>
      <c r="AT2193" s="120"/>
      <c r="AU2193" s="121"/>
      <c r="AV2193" s="120"/>
      <c r="AW2193" s="121"/>
      <c r="AX2193" s="120"/>
      <c r="AY2193" s="121"/>
      <c r="AZ2193" s="138"/>
    </row>
    <row r="2194" spans="1:52" ht="17.100000000000001" customHeight="1" thickTop="1">
      <c r="A2194" s="109" t="s">
        <v>7465</v>
      </c>
      <c r="B2194" s="28">
        <v>45937</v>
      </c>
      <c r="C2194" s="25">
        <v>790</v>
      </c>
      <c r="D2194" s="13" t="s">
        <v>2689</v>
      </c>
      <c r="E2194" s="111"/>
      <c r="F2194" s="113" t="s">
        <v>5196</v>
      </c>
      <c r="G2194" s="114"/>
      <c r="H2194" s="115"/>
      <c r="I2194" s="24" t="s">
        <v>2533</v>
      </c>
      <c r="J2194" s="150" t="s">
        <v>1715</v>
      </c>
      <c r="K2194" s="118">
        <v>379000</v>
      </c>
      <c r="L2194" s="119"/>
      <c r="M2194" s="118">
        <f t="shared" ref="M2194" si="421">K2194*0.1</f>
        <v>37900</v>
      </c>
      <c r="N2194" s="119"/>
      <c r="O2194" s="118">
        <v>0</v>
      </c>
      <c r="P2194" s="119"/>
      <c r="Q2194" s="118">
        <v>7140</v>
      </c>
      <c r="R2194" s="119"/>
      <c r="S2194" s="118">
        <v>15950</v>
      </c>
      <c r="T2194" s="119"/>
      <c r="U2194" s="118">
        <f t="shared" ref="U2194" si="422">SUM(K2194:T2195)</f>
        <v>439990</v>
      </c>
      <c r="V2194" s="122"/>
      <c r="W2194" s="124"/>
      <c r="X2194" s="126" t="s">
        <v>7343</v>
      </c>
      <c r="Y2194" s="127"/>
      <c r="Z2194" s="127"/>
      <c r="AA2194" s="127"/>
      <c r="AB2194" s="128"/>
      <c r="AC2194" s="15" t="s">
        <v>20</v>
      </c>
      <c r="AD2194" s="129" t="s">
        <v>171</v>
      </c>
      <c r="AE2194" s="130"/>
      <c r="AF2194" s="130"/>
      <c r="AG2194" s="130"/>
      <c r="AH2194" s="130"/>
      <c r="AI2194" s="131"/>
      <c r="AJ2194" s="132"/>
      <c r="AK2194" s="127"/>
      <c r="AL2194" s="128"/>
      <c r="AM2194" s="21"/>
      <c r="AN2194" s="133">
        <v>45941</v>
      </c>
      <c r="AO2194" s="134"/>
      <c r="AP2194" s="135">
        <v>1271</v>
      </c>
      <c r="AQ2194" s="136"/>
      <c r="AR2194" s="118">
        <v>570000</v>
      </c>
      <c r="AS2194" s="119"/>
      <c r="AT2194" s="118">
        <v>57000</v>
      </c>
      <c r="AU2194" s="119"/>
      <c r="AV2194" s="118">
        <v>7140</v>
      </c>
      <c r="AW2194" s="119"/>
      <c r="AX2194" s="118">
        <f t="shared" ref="AX2194" si="423">SUM(AR2194:AW2194)</f>
        <v>634140</v>
      </c>
      <c r="AY2194" s="119"/>
      <c r="AZ2194" s="137">
        <v>45950</v>
      </c>
    </row>
    <row r="2195" spans="1:52" ht="17.100000000000001" customHeight="1" thickBot="1">
      <c r="A2195" s="110"/>
      <c r="B2195" s="27" t="s">
        <v>3367</v>
      </c>
      <c r="C2195" s="27">
        <v>3100</v>
      </c>
      <c r="D2195" s="14" t="s">
        <v>275</v>
      </c>
      <c r="E2195" s="112"/>
      <c r="F2195" s="139" t="s">
        <v>7342</v>
      </c>
      <c r="G2195" s="140"/>
      <c r="H2195" s="141"/>
      <c r="I2195" s="26">
        <v>32435</v>
      </c>
      <c r="J2195" s="117"/>
      <c r="K2195" s="120"/>
      <c r="L2195" s="121"/>
      <c r="M2195" s="120"/>
      <c r="N2195" s="121"/>
      <c r="O2195" s="120"/>
      <c r="P2195" s="121"/>
      <c r="Q2195" s="120"/>
      <c r="R2195" s="121"/>
      <c r="S2195" s="120"/>
      <c r="T2195" s="121"/>
      <c r="U2195" s="120"/>
      <c r="V2195" s="123"/>
      <c r="W2195" s="125"/>
      <c r="X2195" s="142" t="s">
        <v>8247</v>
      </c>
      <c r="Y2195" s="143"/>
      <c r="Z2195" s="143"/>
      <c r="AA2195" s="143"/>
      <c r="AB2195" s="144"/>
      <c r="AC2195" s="16" t="s">
        <v>21</v>
      </c>
      <c r="AD2195" s="17" t="s">
        <v>1622</v>
      </c>
      <c r="AE2195" s="145" t="s">
        <v>171</v>
      </c>
      <c r="AF2195" s="146"/>
      <c r="AG2195" s="146"/>
      <c r="AH2195" s="146"/>
      <c r="AI2195" s="147"/>
      <c r="AJ2195" s="148"/>
      <c r="AK2195" s="143"/>
      <c r="AL2195" s="144"/>
      <c r="AM2195" s="22"/>
      <c r="AN2195" s="149" t="s">
        <v>2511</v>
      </c>
      <c r="AO2195" s="144"/>
      <c r="AP2195" s="148">
        <v>60461</v>
      </c>
      <c r="AQ2195" s="144"/>
      <c r="AR2195" s="120"/>
      <c r="AS2195" s="121"/>
      <c r="AT2195" s="120"/>
      <c r="AU2195" s="121"/>
      <c r="AV2195" s="120"/>
      <c r="AW2195" s="121"/>
      <c r="AX2195" s="120"/>
      <c r="AY2195" s="121"/>
      <c r="AZ2195" s="138"/>
    </row>
    <row r="2196" spans="1:52" ht="17.100000000000001" customHeight="1" thickTop="1">
      <c r="A2196" s="109" t="s">
        <v>7466</v>
      </c>
      <c r="B2196" s="28">
        <v>45937</v>
      </c>
      <c r="C2196" s="25">
        <v>910</v>
      </c>
      <c r="D2196" s="13" t="s">
        <v>1537</v>
      </c>
      <c r="E2196" s="111"/>
      <c r="F2196" s="113" t="s">
        <v>7403</v>
      </c>
      <c r="G2196" s="114"/>
      <c r="H2196" s="115"/>
      <c r="I2196" s="24"/>
      <c r="J2196" s="116">
        <v>3.5</v>
      </c>
      <c r="K2196" s="118">
        <v>1099000</v>
      </c>
      <c r="L2196" s="119"/>
      <c r="M2196" s="118">
        <f t="shared" ref="M2196" si="424">K2196*0.1</f>
        <v>109900</v>
      </c>
      <c r="N2196" s="119"/>
      <c r="O2196" s="118">
        <v>0</v>
      </c>
      <c r="P2196" s="119"/>
      <c r="Q2196" s="118">
        <v>9810</v>
      </c>
      <c r="R2196" s="119"/>
      <c r="S2196" s="118">
        <v>17050</v>
      </c>
      <c r="T2196" s="119"/>
      <c r="U2196" s="118">
        <f t="shared" ref="U2196" si="425">SUM(K2196:T2197)</f>
        <v>1235760</v>
      </c>
      <c r="V2196" s="122"/>
      <c r="W2196" s="124"/>
      <c r="X2196" s="126" t="s">
        <v>8246</v>
      </c>
      <c r="Y2196" s="127"/>
      <c r="Z2196" s="127"/>
      <c r="AA2196" s="127"/>
      <c r="AB2196" s="128"/>
      <c r="AC2196" s="15" t="s">
        <v>20</v>
      </c>
      <c r="AD2196" s="129"/>
      <c r="AE2196" s="130"/>
      <c r="AF2196" s="130"/>
      <c r="AG2196" s="130"/>
      <c r="AH2196" s="130"/>
      <c r="AI2196" s="131"/>
      <c r="AJ2196" s="132"/>
      <c r="AK2196" s="127"/>
      <c r="AL2196" s="128"/>
      <c r="AM2196" s="21"/>
      <c r="AN2196" s="133">
        <v>45959</v>
      </c>
      <c r="AO2196" s="134"/>
      <c r="AP2196" s="135">
        <v>990</v>
      </c>
      <c r="AQ2196" s="136"/>
      <c r="AR2196" s="118">
        <v>1150000</v>
      </c>
      <c r="AS2196" s="119"/>
      <c r="AT2196" s="118">
        <f t="shared" ref="AT2196" si="426">AR2196*0.1</f>
        <v>115000</v>
      </c>
      <c r="AU2196" s="119"/>
      <c r="AV2196" s="118">
        <v>9810</v>
      </c>
      <c r="AW2196" s="119"/>
      <c r="AX2196" s="118">
        <f t="shared" ref="AX2196" si="427">SUM(AR2196:AW2196)</f>
        <v>1274810</v>
      </c>
      <c r="AY2196" s="119"/>
      <c r="AZ2196" s="137">
        <v>45965</v>
      </c>
    </row>
    <row r="2197" spans="1:52" ht="17.100000000000001" customHeight="1" thickBot="1">
      <c r="A2197" s="110"/>
      <c r="B2197" s="27" t="s">
        <v>2699</v>
      </c>
      <c r="C2197" s="27">
        <v>2232</v>
      </c>
      <c r="D2197" s="14" t="s">
        <v>275</v>
      </c>
      <c r="E2197" s="112"/>
      <c r="F2197" s="139" t="s">
        <v>7404</v>
      </c>
      <c r="G2197" s="140"/>
      <c r="H2197" s="141"/>
      <c r="I2197" s="26">
        <v>56014</v>
      </c>
      <c r="J2197" s="117"/>
      <c r="K2197" s="120"/>
      <c r="L2197" s="121"/>
      <c r="M2197" s="120"/>
      <c r="N2197" s="121"/>
      <c r="O2197" s="120"/>
      <c r="P2197" s="121"/>
      <c r="Q2197" s="120"/>
      <c r="R2197" s="121"/>
      <c r="S2197" s="120"/>
      <c r="T2197" s="121"/>
      <c r="U2197" s="120"/>
      <c r="V2197" s="123"/>
      <c r="W2197" s="125"/>
      <c r="X2197" s="142" t="s">
        <v>4633</v>
      </c>
      <c r="Y2197" s="143"/>
      <c r="Z2197" s="143"/>
      <c r="AA2197" s="143"/>
      <c r="AB2197" s="144"/>
      <c r="AC2197" s="16" t="s">
        <v>21</v>
      </c>
      <c r="AD2197" s="17" t="s">
        <v>8050</v>
      </c>
      <c r="AE2197" s="145"/>
      <c r="AF2197" s="146"/>
      <c r="AG2197" s="146"/>
      <c r="AH2197" s="146"/>
      <c r="AI2197" s="147"/>
      <c r="AJ2197" s="148"/>
      <c r="AK2197" s="143"/>
      <c r="AL2197" s="144"/>
      <c r="AM2197" s="22"/>
      <c r="AN2197" s="149" t="s">
        <v>7285</v>
      </c>
      <c r="AO2197" s="144"/>
      <c r="AP2197" s="148">
        <v>6096</v>
      </c>
      <c r="AQ2197" s="144"/>
      <c r="AR2197" s="120"/>
      <c r="AS2197" s="121"/>
      <c r="AT2197" s="120"/>
      <c r="AU2197" s="121"/>
      <c r="AV2197" s="120"/>
      <c r="AW2197" s="121"/>
      <c r="AX2197" s="120"/>
      <c r="AY2197" s="121"/>
      <c r="AZ2197" s="138"/>
    </row>
    <row r="2198" spans="1:52" ht="17.100000000000001" customHeight="1" thickTop="1">
      <c r="A2198" s="109" t="s">
        <v>7467</v>
      </c>
      <c r="B2198" s="28">
        <v>45937</v>
      </c>
      <c r="C2198" s="25">
        <v>910</v>
      </c>
      <c r="D2198" s="13" t="s">
        <v>3921</v>
      </c>
      <c r="E2198" s="111"/>
      <c r="F2198" s="113" t="s">
        <v>7356</v>
      </c>
      <c r="G2198" s="114"/>
      <c r="H2198" s="115"/>
      <c r="I2198" s="24" t="s">
        <v>2533</v>
      </c>
      <c r="J2198" s="116">
        <v>4.5</v>
      </c>
      <c r="K2198" s="118">
        <v>900000</v>
      </c>
      <c r="L2198" s="119"/>
      <c r="M2198" s="118">
        <f t="shared" ref="M2198" si="428">K2198*0.1</f>
        <v>90000</v>
      </c>
      <c r="N2198" s="119"/>
      <c r="O2198" s="118">
        <v>0</v>
      </c>
      <c r="P2198" s="119"/>
      <c r="Q2198" s="118">
        <v>8400</v>
      </c>
      <c r="R2198" s="119"/>
      <c r="S2198" s="118">
        <v>15950</v>
      </c>
      <c r="T2198" s="119"/>
      <c r="U2198" s="118">
        <f t="shared" ref="U2198" si="429">SUM(K2198:T2199)</f>
        <v>1014350</v>
      </c>
      <c r="V2198" s="122"/>
      <c r="W2198" s="124"/>
      <c r="X2198" s="126" t="s">
        <v>7358</v>
      </c>
      <c r="Y2198" s="127"/>
      <c r="Z2198" s="127"/>
      <c r="AA2198" s="127"/>
      <c r="AB2198" s="128"/>
      <c r="AC2198" s="15" t="s">
        <v>20</v>
      </c>
      <c r="AD2198" s="129" t="s">
        <v>171</v>
      </c>
      <c r="AE2198" s="130"/>
      <c r="AF2198" s="130"/>
      <c r="AG2198" s="130"/>
      <c r="AH2198" s="130"/>
      <c r="AI2198" s="131"/>
      <c r="AJ2198" s="132"/>
      <c r="AK2198" s="127"/>
      <c r="AL2198" s="128"/>
      <c r="AM2198" s="21"/>
      <c r="AN2198" s="133">
        <v>45948</v>
      </c>
      <c r="AO2198" s="134"/>
      <c r="AP2198" s="135">
        <v>1272</v>
      </c>
      <c r="AQ2198" s="136"/>
      <c r="AR2198" s="118">
        <v>1005000</v>
      </c>
      <c r="AS2198" s="119"/>
      <c r="AT2198" s="118">
        <f t="shared" ref="AT2198" si="430">AR2198*0.1</f>
        <v>100500</v>
      </c>
      <c r="AU2198" s="119"/>
      <c r="AV2198" s="118">
        <v>8400</v>
      </c>
      <c r="AW2198" s="119"/>
      <c r="AX2198" s="118">
        <f t="shared" ref="AX2198" si="431">SUM(AR2198:AW2198)</f>
        <v>1113900</v>
      </c>
      <c r="AY2198" s="119"/>
      <c r="AZ2198" s="137">
        <v>45952</v>
      </c>
    </row>
    <row r="2199" spans="1:52" ht="17.100000000000001" customHeight="1" thickBot="1">
      <c r="A2199" s="110"/>
      <c r="B2199" s="27" t="s">
        <v>2699</v>
      </c>
      <c r="C2199" s="27">
        <v>3008</v>
      </c>
      <c r="D2199" s="14" t="s">
        <v>2800</v>
      </c>
      <c r="E2199" s="112"/>
      <c r="F2199" s="139" t="s">
        <v>7357</v>
      </c>
      <c r="G2199" s="140"/>
      <c r="H2199" s="141"/>
      <c r="I2199" s="26">
        <v>54126</v>
      </c>
      <c r="J2199" s="117"/>
      <c r="K2199" s="120"/>
      <c r="L2199" s="121"/>
      <c r="M2199" s="120"/>
      <c r="N2199" s="121"/>
      <c r="O2199" s="120"/>
      <c r="P2199" s="121"/>
      <c r="Q2199" s="120"/>
      <c r="R2199" s="121"/>
      <c r="S2199" s="120"/>
      <c r="T2199" s="121"/>
      <c r="U2199" s="120"/>
      <c r="V2199" s="123"/>
      <c r="W2199" s="125"/>
      <c r="X2199" s="142" t="s">
        <v>8073</v>
      </c>
      <c r="Y2199" s="143"/>
      <c r="Z2199" s="143"/>
      <c r="AA2199" s="143"/>
      <c r="AB2199" s="144"/>
      <c r="AC2199" s="16" t="s">
        <v>21</v>
      </c>
      <c r="AD2199" s="17" t="s">
        <v>8050</v>
      </c>
      <c r="AE2199" s="145" t="s">
        <v>7845</v>
      </c>
      <c r="AF2199" s="146"/>
      <c r="AG2199" s="146"/>
      <c r="AH2199" s="146"/>
      <c r="AI2199" s="147"/>
      <c r="AJ2199" s="148"/>
      <c r="AK2199" s="143"/>
      <c r="AL2199" s="144"/>
      <c r="AM2199" s="22"/>
      <c r="AN2199" s="149" t="s">
        <v>2511</v>
      </c>
      <c r="AO2199" s="144"/>
      <c r="AP2199" s="148">
        <v>60204</v>
      </c>
      <c r="AQ2199" s="144"/>
      <c r="AR2199" s="120"/>
      <c r="AS2199" s="121"/>
      <c r="AT2199" s="120"/>
      <c r="AU2199" s="121"/>
      <c r="AV2199" s="120"/>
      <c r="AW2199" s="121"/>
      <c r="AX2199" s="120"/>
      <c r="AY2199" s="121"/>
      <c r="AZ2199" s="138"/>
    </row>
    <row r="2200" spans="1:52" ht="17.100000000000001" customHeight="1" thickTop="1">
      <c r="A2200" s="109" t="s">
        <v>7468</v>
      </c>
      <c r="B2200" s="28">
        <v>45937</v>
      </c>
      <c r="C2200" s="25">
        <v>910</v>
      </c>
      <c r="D2200" s="13" t="s">
        <v>1786</v>
      </c>
      <c r="E2200" s="111"/>
      <c r="F2200" s="113" t="s">
        <v>6826</v>
      </c>
      <c r="G2200" s="114"/>
      <c r="H2200" s="115"/>
      <c r="I2200" s="24" t="s">
        <v>4109</v>
      </c>
      <c r="J2200" s="116">
        <v>4.5</v>
      </c>
      <c r="K2200" s="118">
        <v>1291000</v>
      </c>
      <c r="L2200" s="119"/>
      <c r="M2200" s="118">
        <f t="shared" ref="M2200" si="432">K2200*0.1</f>
        <v>129100</v>
      </c>
      <c r="N2200" s="119"/>
      <c r="O2200" s="118">
        <v>0</v>
      </c>
      <c r="P2200" s="119"/>
      <c r="Q2200" s="118">
        <v>9710</v>
      </c>
      <c r="R2200" s="119"/>
      <c r="S2200" s="118">
        <v>15950</v>
      </c>
      <c r="T2200" s="119"/>
      <c r="U2200" s="118">
        <f t="shared" ref="U2200" si="433">SUM(K2200:T2201)</f>
        <v>1445760</v>
      </c>
      <c r="V2200" s="122"/>
      <c r="W2200" s="124"/>
      <c r="X2200" s="126" t="s">
        <v>7360</v>
      </c>
      <c r="Y2200" s="127"/>
      <c r="Z2200" s="127"/>
      <c r="AA2200" s="127"/>
      <c r="AB2200" s="128"/>
      <c r="AC2200" s="15" t="s">
        <v>20</v>
      </c>
      <c r="AD2200" s="129" t="s">
        <v>7361</v>
      </c>
      <c r="AE2200" s="130"/>
      <c r="AF2200" s="130"/>
      <c r="AG2200" s="130"/>
      <c r="AH2200" s="130"/>
      <c r="AI2200" s="131"/>
      <c r="AJ2200" s="132"/>
      <c r="AK2200" s="127"/>
      <c r="AL2200" s="128"/>
      <c r="AM2200" s="21"/>
      <c r="AN2200" s="133">
        <v>45955</v>
      </c>
      <c r="AO2200" s="134"/>
      <c r="AP2200" s="135">
        <v>1273</v>
      </c>
      <c r="AQ2200" s="136"/>
      <c r="AR2200" s="118">
        <v>1295000</v>
      </c>
      <c r="AS2200" s="119"/>
      <c r="AT2200" s="118">
        <f t="shared" ref="AT2200" si="434">AR2200*0.1</f>
        <v>129500</v>
      </c>
      <c r="AU2200" s="119"/>
      <c r="AV2200" s="118">
        <v>9710</v>
      </c>
      <c r="AW2200" s="119"/>
      <c r="AX2200" s="118">
        <f t="shared" ref="AX2200" si="435">SUM(AR2200:AW2200)</f>
        <v>1434210</v>
      </c>
      <c r="AY2200" s="119"/>
      <c r="AZ2200" s="137">
        <v>45958</v>
      </c>
    </row>
    <row r="2201" spans="1:52" ht="17.100000000000001" customHeight="1" thickBot="1">
      <c r="A2201" s="110"/>
      <c r="B2201" s="27" t="s">
        <v>2699</v>
      </c>
      <c r="C2201" s="27">
        <v>3015</v>
      </c>
      <c r="D2201" s="14" t="s">
        <v>2601</v>
      </c>
      <c r="E2201" s="112"/>
      <c r="F2201" s="139" t="s">
        <v>7359</v>
      </c>
      <c r="G2201" s="140"/>
      <c r="H2201" s="141"/>
      <c r="I2201" s="26">
        <v>43682</v>
      </c>
      <c r="J2201" s="117"/>
      <c r="K2201" s="120"/>
      <c r="L2201" s="121"/>
      <c r="M2201" s="120"/>
      <c r="N2201" s="121"/>
      <c r="O2201" s="120"/>
      <c r="P2201" s="121"/>
      <c r="Q2201" s="120"/>
      <c r="R2201" s="121"/>
      <c r="S2201" s="120"/>
      <c r="T2201" s="121"/>
      <c r="U2201" s="120"/>
      <c r="V2201" s="123"/>
      <c r="W2201" s="125"/>
      <c r="X2201" s="142" t="s">
        <v>8072</v>
      </c>
      <c r="Y2201" s="143"/>
      <c r="Z2201" s="143"/>
      <c r="AA2201" s="143"/>
      <c r="AB2201" s="144"/>
      <c r="AC2201" s="16" t="s">
        <v>21</v>
      </c>
      <c r="AD2201" s="17" t="s">
        <v>8050</v>
      </c>
      <c r="AE2201" s="145" t="s">
        <v>3828</v>
      </c>
      <c r="AF2201" s="146"/>
      <c r="AG2201" s="146"/>
      <c r="AH2201" s="146"/>
      <c r="AI2201" s="147"/>
      <c r="AJ2201" s="148"/>
      <c r="AK2201" s="143"/>
      <c r="AL2201" s="144"/>
      <c r="AM2201" s="22"/>
      <c r="AN2201" s="149" t="s">
        <v>7284</v>
      </c>
      <c r="AO2201" s="144"/>
      <c r="AP2201" s="148">
        <v>60213</v>
      </c>
      <c r="AQ2201" s="144"/>
      <c r="AR2201" s="120"/>
      <c r="AS2201" s="121"/>
      <c r="AT2201" s="120"/>
      <c r="AU2201" s="121"/>
      <c r="AV2201" s="120"/>
      <c r="AW2201" s="121"/>
      <c r="AX2201" s="120"/>
      <c r="AY2201" s="121"/>
      <c r="AZ2201" s="138"/>
    </row>
    <row r="2202" spans="1:52" ht="17.100000000000001" customHeight="1" thickTop="1">
      <c r="A2202" s="109" t="s">
        <v>7469</v>
      </c>
      <c r="B2202" s="28">
        <v>45937</v>
      </c>
      <c r="C2202" s="25">
        <v>910</v>
      </c>
      <c r="D2202" s="13" t="s">
        <v>3832</v>
      </c>
      <c r="E2202" s="111"/>
      <c r="F2202" s="113" t="s">
        <v>7397</v>
      </c>
      <c r="G2202" s="114"/>
      <c r="H2202" s="115"/>
      <c r="I2202" s="24"/>
      <c r="J2202" s="116">
        <v>4</v>
      </c>
      <c r="K2202" s="118">
        <v>1180000</v>
      </c>
      <c r="L2202" s="119"/>
      <c r="M2202" s="118">
        <f t="shared" ref="M2202" si="436">K2202*0.1</f>
        <v>118000</v>
      </c>
      <c r="N2202" s="119"/>
      <c r="O2202" s="118">
        <v>0</v>
      </c>
      <c r="P2202" s="119"/>
      <c r="Q2202" s="118">
        <v>9140</v>
      </c>
      <c r="R2202" s="119"/>
      <c r="S2202" s="118">
        <v>20900</v>
      </c>
      <c r="T2202" s="119"/>
      <c r="U2202" s="118">
        <f t="shared" ref="U2202" si="437">SUM(K2202:T2203)</f>
        <v>1328040</v>
      </c>
      <c r="V2202" s="122"/>
      <c r="W2202" s="124"/>
      <c r="X2202" s="126" t="s">
        <v>8071</v>
      </c>
      <c r="Y2202" s="127"/>
      <c r="Z2202" s="127"/>
      <c r="AA2202" s="127"/>
      <c r="AB2202" s="128"/>
      <c r="AC2202" s="15" t="s">
        <v>20</v>
      </c>
      <c r="AD2202" s="129" t="s">
        <v>1670</v>
      </c>
      <c r="AE2202" s="130"/>
      <c r="AF2202" s="130"/>
      <c r="AG2202" s="130"/>
      <c r="AH2202" s="130"/>
      <c r="AI2202" s="131"/>
      <c r="AJ2202" s="132"/>
      <c r="AK2202" s="127"/>
      <c r="AL2202" s="128"/>
      <c r="AM2202" s="21"/>
      <c r="AN2202" s="133">
        <v>45948</v>
      </c>
      <c r="AO2202" s="134"/>
      <c r="AP2202" s="135">
        <v>1272</v>
      </c>
      <c r="AQ2202" s="136"/>
      <c r="AR2202" s="118">
        <v>1290000</v>
      </c>
      <c r="AS2202" s="119"/>
      <c r="AT2202" s="118">
        <f t="shared" ref="AT2202" si="438">AR2202*0.1</f>
        <v>129000</v>
      </c>
      <c r="AU2202" s="119"/>
      <c r="AV2202" s="118">
        <v>9140</v>
      </c>
      <c r="AW2202" s="119"/>
      <c r="AX2202" s="118">
        <f t="shared" ref="AX2202" si="439">SUM(AR2202:AW2202)</f>
        <v>1428140</v>
      </c>
      <c r="AY2202" s="119"/>
      <c r="AZ2202" s="137">
        <v>45952</v>
      </c>
    </row>
    <row r="2203" spans="1:52" ht="17.100000000000001" customHeight="1" thickBot="1">
      <c r="A2203" s="110"/>
      <c r="B2203" s="27" t="s">
        <v>2699</v>
      </c>
      <c r="C2203" s="27">
        <v>3101</v>
      </c>
      <c r="D2203" s="14" t="s">
        <v>275</v>
      </c>
      <c r="E2203" s="112"/>
      <c r="F2203" s="139" t="s">
        <v>7398</v>
      </c>
      <c r="G2203" s="140"/>
      <c r="H2203" s="141"/>
      <c r="I2203" s="26">
        <v>34695</v>
      </c>
      <c r="J2203" s="117"/>
      <c r="K2203" s="120"/>
      <c r="L2203" s="121"/>
      <c r="M2203" s="120"/>
      <c r="N2203" s="121"/>
      <c r="O2203" s="120"/>
      <c r="P2203" s="121"/>
      <c r="Q2203" s="120"/>
      <c r="R2203" s="121"/>
      <c r="S2203" s="120"/>
      <c r="T2203" s="121"/>
      <c r="U2203" s="120"/>
      <c r="V2203" s="123"/>
      <c r="W2203" s="125"/>
      <c r="X2203" s="142" t="s">
        <v>3334</v>
      </c>
      <c r="Y2203" s="143"/>
      <c r="Z2203" s="143"/>
      <c r="AA2203" s="143"/>
      <c r="AB2203" s="144"/>
      <c r="AC2203" s="16" t="s">
        <v>21</v>
      </c>
      <c r="AD2203" s="17" t="s">
        <v>8050</v>
      </c>
      <c r="AE2203" s="145" t="s">
        <v>1670</v>
      </c>
      <c r="AF2203" s="146"/>
      <c r="AG2203" s="146"/>
      <c r="AH2203" s="146"/>
      <c r="AI2203" s="147"/>
      <c r="AJ2203" s="148"/>
      <c r="AK2203" s="143"/>
      <c r="AL2203" s="144"/>
      <c r="AM2203" s="22"/>
      <c r="AN2203" s="149" t="s">
        <v>2511</v>
      </c>
      <c r="AO2203" s="144"/>
      <c r="AP2203" s="148">
        <v>60243</v>
      </c>
      <c r="AQ2203" s="144"/>
      <c r="AR2203" s="120"/>
      <c r="AS2203" s="121"/>
      <c r="AT2203" s="120"/>
      <c r="AU2203" s="121"/>
      <c r="AV2203" s="120"/>
      <c r="AW2203" s="121"/>
      <c r="AX2203" s="120"/>
      <c r="AY2203" s="121"/>
      <c r="AZ2203" s="138"/>
    </row>
    <row r="2204" spans="1:52" ht="17.100000000000001" customHeight="1" thickTop="1">
      <c r="A2204" s="109" t="s">
        <v>7470</v>
      </c>
      <c r="B2204" s="28">
        <v>45937</v>
      </c>
      <c r="C2204" s="25">
        <v>910</v>
      </c>
      <c r="D2204" s="13" t="s">
        <v>2009</v>
      </c>
      <c r="E2204" s="111"/>
      <c r="F2204" s="113" t="s">
        <v>7389</v>
      </c>
      <c r="G2204" s="114"/>
      <c r="H2204" s="115"/>
      <c r="I2204" s="24"/>
      <c r="J2204" s="116">
        <v>4</v>
      </c>
      <c r="K2204" s="118">
        <v>858000</v>
      </c>
      <c r="L2204" s="119"/>
      <c r="M2204" s="118">
        <f t="shared" ref="M2204" si="440">K2204*0.1</f>
        <v>85800</v>
      </c>
      <c r="N2204" s="119"/>
      <c r="O2204" s="118">
        <v>0</v>
      </c>
      <c r="P2204" s="119"/>
      <c r="Q2204" s="118">
        <v>5670</v>
      </c>
      <c r="R2204" s="119"/>
      <c r="S2204" s="118">
        <v>15950</v>
      </c>
      <c r="T2204" s="119"/>
      <c r="U2204" s="118">
        <f t="shared" ref="U2204" si="441">SUM(K2204:T2205)</f>
        <v>965420</v>
      </c>
      <c r="V2204" s="122"/>
      <c r="W2204" s="124"/>
      <c r="X2204" s="126" t="s">
        <v>8054</v>
      </c>
      <c r="Y2204" s="127"/>
      <c r="Z2204" s="127"/>
      <c r="AA2204" s="127"/>
      <c r="AB2204" s="128"/>
      <c r="AC2204" s="15" t="s">
        <v>20</v>
      </c>
      <c r="AD2204" s="129"/>
      <c r="AE2204" s="130"/>
      <c r="AF2204" s="130"/>
      <c r="AG2204" s="130"/>
      <c r="AH2204" s="130"/>
      <c r="AI2204" s="131"/>
      <c r="AJ2204" s="132"/>
      <c r="AK2204" s="127"/>
      <c r="AL2204" s="128"/>
      <c r="AM2204" s="21"/>
      <c r="AN2204" s="133">
        <v>45941</v>
      </c>
      <c r="AO2204" s="134"/>
      <c r="AP2204" s="135">
        <v>1271</v>
      </c>
      <c r="AQ2204" s="136"/>
      <c r="AR2204" s="118">
        <v>1065000</v>
      </c>
      <c r="AS2204" s="119"/>
      <c r="AT2204" s="118">
        <v>106500</v>
      </c>
      <c r="AU2204" s="119"/>
      <c r="AV2204" s="118">
        <v>5670</v>
      </c>
      <c r="AW2204" s="119"/>
      <c r="AX2204" s="118">
        <f t="shared" ref="AX2204" si="442">SUM(AR2204:AW2204)</f>
        <v>1177170</v>
      </c>
      <c r="AY2204" s="119"/>
      <c r="AZ2204" s="137">
        <v>45945</v>
      </c>
    </row>
    <row r="2205" spans="1:52" ht="17.100000000000001" customHeight="1" thickBot="1">
      <c r="A2205" s="110"/>
      <c r="B2205" s="27" t="s">
        <v>2699</v>
      </c>
      <c r="C2205" s="27">
        <v>3123</v>
      </c>
      <c r="D2205" s="14" t="s">
        <v>3855</v>
      </c>
      <c r="E2205" s="112"/>
      <c r="F2205" s="139" t="s">
        <v>7390</v>
      </c>
      <c r="G2205" s="140"/>
      <c r="H2205" s="141"/>
      <c r="I2205" s="26">
        <v>7465</v>
      </c>
      <c r="J2205" s="117"/>
      <c r="K2205" s="120"/>
      <c r="L2205" s="121"/>
      <c r="M2205" s="120"/>
      <c r="N2205" s="121"/>
      <c r="O2205" s="120"/>
      <c r="P2205" s="121"/>
      <c r="Q2205" s="120"/>
      <c r="R2205" s="121"/>
      <c r="S2205" s="120"/>
      <c r="T2205" s="121"/>
      <c r="U2205" s="120"/>
      <c r="V2205" s="123"/>
      <c r="W2205" s="125"/>
      <c r="X2205" s="142" t="s">
        <v>8055</v>
      </c>
      <c r="Y2205" s="143"/>
      <c r="Z2205" s="143"/>
      <c r="AA2205" s="143"/>
      <c r="AB2205" s="144"/>
      <c r="AC2205" s="16" t="s">
        <v>21</v>
      </c>
      <c r="AD2205" s="17" t="s">
        <v>8050</v>
      </c>
      <c r="AE2205" s="145"/>
      <c r="AF2205" s="146"/>
      <c r="AG2205" s="146"/>
      <c r="AH2205" s="146"/>
      <c r="AI2205" s="147"/>
      <c r="AJ2205" s="148"/>
      <c r="AK2205" s="143"/>
      <c r="AL2205" s="144"/>
      <c r="AM2205" s="22"/>
      <c r="AN2205" s="149" t="s">
        <v>2511</v>
      </c>
      <c r="AO2205" s="144"/>
      <c r="AP2205" s="148">
        <v>60400</v>
      </c>
      <c r="AQ2205" s="144"/>
      <c r="AR2205" s="120"/>
      <c r="AS2205" s="121"/>
      <c r="AT2205" s="120"/>
      <c r="AU2205" s="121"/>
      <c r="AV2205" s="120"/>
      <c r="AW2205" s="121"/>
      <c r="AX2205" s="120"/>
      <c r="AY2205" s="121"/>
      <c r="AZ2205" s="138"/>
    </row>
    <row r="2206" spans="1:52" ht="17.100000000000001" customHeight="1" thickTop="1">
      <c r="A2206" s="109" t="s">
        <v>7471</v>
      </c>
      <c r="B2206" s="28">
        <v>45937</v>
      </c>
      <c r="C2206" s="25">
        <v>910</v>
      </c>
      <c r="D2206" s="13" t="s">
        <v>2759</v>
      </c>
      <c r="E2206" s="111"/>
      <c r="F2206" s="113" t="s">
        <v>7391</v>
      </c>
      <c r="G2206" s="114"/>
      <c r="H2206" s="115"/>
      <c r="I2206" s="24"/>
      <c r="J2206" s="116">
        <v>4</v>
      </c>
      <c r="K2206" s="118">
        <v>350000</v>
      </c>
      <c r="L2206" s="119"/>
      <c r="M2206" s="118">
        <f t="shared" ref="M2206" si="443">K2206*0.1</f>
        <v>35000</v>
      </c>
      <c r="N2206" s="119"/>
      <c r="O2206" s="118">
        <v>0</v>
      </c>
      <c r="P2206" s="119"/>
      <c r="Q2206" s="118">
        <v>7140</v>
      </c>
      <c r="R2206" s="119"/>
      <c r="S2206" s="118">
        <v>15950</v>
      </c>
      <c r="T2206" s="119"/>
      <c r="U2206" s="118">
        <f t="shared" ref="U2206" si="444">SUM(K2206:T2207)</f>
        <v>408090</v>
      </c>
      <c r="V2206" s="122"/>
      <c r="W2206" s="124"/>
      <c r="X2206" s="126" t="s">
        <v>8068</v>
      </c>
      <c r="Y2206" s="127"/>
      <c r="Z2206" s="127"/>
      <c r="AA2206" s="127"/>
      <c r="AB2206" s="128"/>
      <c r="AC2206" s="15" t="s">
        <v>20</v>
      </c>
      <c r="AD2206" s="129"/>
      <c r="AE2206" s="130"/>
      <c r="AF2206" s="130"/>
      <c r="AG2206" s="130"/>
      <c r="AH2206" s="130"/>
      <c r="AI2206" s="131"/>
      <c r="AJ2206" s="132"/>
      <c r="AK2206" s="127"/>
      <c r="AL2206" s="128"/>
      <c r="AM2206" s="21"/>
      <c r="AN2206" s="133">
        <v>46018</v>
      </c>
      <c r="AO2206" s="134"/>
      <c r="AP2206" s="135">
        <v>1282</v>
      </c>
      <c r="AQ2206" s="136"/>
      <c r="AR2206" s="118">
        <v>375000</v>
      </c>
      <c r="AS2206" s="119"/>
      <c r="AT2206" s="118">
        <f t="shared" ref="AT2206" si="445">AR2206*0.1</f>
        <v>37500</v>
      </c>
      <c r="AU2206" s="119"/>
      <c r="AV2206" s="118">
        <v>7140</v>
      </c>
      <c r="AW2206" s="119"/>
      <c r="AX2206" s="118">
        <f t="shared" ref="AX2206" si="446">SUM(AR2206:AW2206)</f>
        <v>419640</v>
      </c>
      <c r="AY2206" s="119"/>
      <c r="AZ2206" s="137">
        <v>46028</v>
      </c>
    </row>
    <row r="2207" spans="1:52" ht="17.100000000000001" customHeight="1" thickBot="1">
      <c r="A2207" s="110"/>
      <c r="B2207" s="27" t="s">
        <v>2699</v>
      </c>
      <c r="C2207" s="27">
        <v>3150</v>
      </c>
      <c r="D2207" s="14" t="s">
        <v>1720</v>
      </c>
      <c r="E2207" s="112"/>
      <c r="F2207" s="139" t="s">
        <v>7392</v>
      </c>
      <c r="G2207" s="140"/>
      <c r="H2207" s="141"/>
      <c r="I2207" s="26">
        <v>29861</v>
      </c>
      <c r="J2207" s="117"/>
      <c r="K2207" s="120"/>
      <c r="L2207" s="121"/>
      <c r="M2207" s="120"/>
      <c r="N2207" s="121"/>
      <c r="O2207" s="120"/>
      <c r="P2207" s="121"/>
      <c r="Q2207" s="120"/>
      <c r="R2207" s="121"/>
      <c r="S2207" s="120"/>
      <c r="T2207" s="121"/>
      <c r="U2207" s="120"/>
      <c r="V2207" s="123"/>
      <c r="W2207" s="125"/>
      <c r="X2207" s="142" t="s">
        <v>3986</v>
      </c>
      <c r="Y2207" s="143"/>
      <c r="Z2207" s="143"/>
      <c r="AA2207" s="143"/>
      <c r="AB2207" s="144"/>
      <c r="AC2207" s="16" t="s">
        <v>21</v>
      </c>
      <c r="AD2207" s="17" t="s">
        <v>8050</v>
      </c>
      <c r="AE2207" s="145"/>
      <c r="AF2207" s="146"/>
      <c r="AG2207" s="146"/>
      <c r="AH2207" s="146"/>
      <c r="AI2207" s="147"/>
      <c r="AJ2207" s="148"/>
      <c r="AK2207" s="143"/>
      <c r="AL2207" s="144"/>
      <c r="AM2207" s="22"/>
      <c r="AN2207" s="149" t="s">
        <v>2511</v>
      </c>
      <c r="AO2207" s="144"/>
      <c r="AP2207" s="148">
        <v>60054</v>
      </c>
      <c r="AQ2207" s="144"/>
      <c r="AR2207" s="120"/>
      <c r="AS2207" s="121"/>
      <c r="AT2207" s="120"/>
      <c r="AU2207" s="121"/>
      <c r="AV2207" s="120"/>
      <c r="AW2207" s="121"/>
      <c r="AX2207" s="120"/>
      <c r="AY2207" s="121"/>
      <c r="AZ2207" s="138"/>
    </row>
    <row r="2208" spans="1:52" ht="17.100000000000001" customHeight="1" thickTop="1">
      <c r="A2208" s="109" t="s">
        <v>7472</v>
      </c>
      <c r="B2208" s="28">
        <v>45937</v>
      </c>
      <c r="C2208" s="25">
        <v>910</v>
      </c>
      <c r="D2208" s="13" t="s">
        <v>1758</v>
      </c>
      <c r="E2208" s="111"/>
      <c r="F2208" s="113" t="s">
        <v>5448</v>
      </c>
      <c r="G2208" s="114"/>
      <c r="H2208" s="115"/>
      <c r="I2208" s="24" t="s">
        <v>2533</v>
      </c>
      <c r="J2208" s="116">
        <v>4</v>
      </c>
      <c r="K2208" s="118">
        <v>582000</v>
      </c>
      <c r="L2208" s="119"/>
      <c r="M2208" s="118">
        <f t="shared" ref="M2208" si="447">K2208*0.1</f>
        <v>58200</v>
      </c>
      <c r="N2208" s="119"/>
      <c r="O2208" s="118">
        <v>0</v>
      </c>
      <c r="P2208" s="119"/>
      <c r="Q2208" s="118">
        <v>8400</v>
      </c>
      <c r="R2208" s="119"/>
      <c r="S2208" s="118">
        <v>15950</v>
      </c>
      <c r="T2208" s="119"/>
      <c r="U2208" s="118">
        <f t="shared" ref="U2208" si="448">SUM(K2208:T2209)</f>
        <v>664550</v>
      </c>
      <c r="V2208" s="122"/>
      <c r="W2208" s="124"/>
      <c r="X2208" s="126" t="s">
        <v>7394</v>
      </c>
      <c r="Y2208" s="127"/>
      <c r="Z2208" s="127"/>
      <c r="AA2208" s="127"/>
      <c r="AB2208" s="128"/>
      <c r="AC2208" s="15" t="s">
        <v>20</v>
      </c>
      <c r="AD2208" s="129"/>
      <c r="AE2208" s="130"/>
      <c r="AF2208" s="130"/>
      <c r="AG2208" s="130"/>
      <c r="AH2208" s="130"/>
      <c r="AI2208" s="131"/>
      <c r="AJ2208" s="132"/>
      <c r="AK2208" s="127"/>
      <c r="AL2208" s="128"/>
      <c r="AM2208" s="21"/>
      <c r="AN2208" s="133">
        <v>45955</v>
      </c>
      <c r="AO2208" s="134"/>
      <c r="AP2208" s="135">
        <v>1273</v>
      </c>
      <c r="AQ2208" s="136"/>
      <c r="AR2208" s="118">
        <v>630000</v>
      </c>
      <c r="AS2208" s="119"/>
      <c r="AT2208" s="118">
        <f t="shared" ref="AT2208" si="449">AR2208*0.1</f>
        <v>63000</v>
      </c>
      <c r="AU2208" s="119"/>
      <c r="AV2208" s="118">
        <v>8400</v>
      </c>
      <c r="AW2208" s="119"/>
      <c r="AX2208" s="118">
        <f t="shared" ref="AX2208" si="450">SUM(AR2208:AW2208)</f>
        <v>701400</v>
      </c>
      <c r="AY2208" s="119"/>
      <c r="AZ2208" s="137">
        <v>45958</v>
      </c>
    </row>
    <row r="2209" spans="1:52" ht="17.100000000000001" customHeight="1" thickBot="1">
      <c r="A2209" s="110"/>
      <c r="B2209" s="27" t="s">
        <v>2699</v>
      </c>
      <c r="C2209" s="27">
        <v>3161</v>
      </c>
      <c r="D2209" s="14" t="s">
        <v>904</v>
      </c>
      <c r="E2209" s="112"/>
      <c r="F2209" s="139" t="s">
        <v>7393</v>
      </c>
      <c r="G2209" s="140"/>
      <c r="H2209" s="141"/>
      <c r="I2209" s="26">
        <v>51382</v>
      </c>
      <c r="J2209" s="117"/>
      <c r="K2209" s="120"/>
      <c r="L2209" s="121"/>
      <c r="M2209" s="120"/>
      <c r="N2209" s="121"/>
      <c r="O2209" s="120"/>
      <c r="P2209" s="121"/>
      <c r="Q2209" s="120"/>
      <c r="R2209" s="121"/>
      <c r="S2209" s="120"/>
      <c r="T2209" s="121"/>
      <c r="U2209" s="120"/>
      <c r="V2209" s="123"/>
      <c r="W2209" s="125"/>
      <c r="X2209" s="142" t="s">
        <v>3007</v>
      </c>
      <c r="Y2209" s="143"/>
      <c r="Z2209" s="143"/>
      <c r="AA2209" s="143"/>
      <c r="AB2209" s="144"/>
      <c r="AC2209" s="16" t="s">
        <v>21</v>
      </c>
      <c r="AD2209" s="17" t="s">
        <v>8050</v>
      </c>
      <c r="AE2209" s="145"/>
      <c r="AF2209" s="146"/>
      <c r="AG2209" s="146"/>
      <c r="AH2209" s="146"/>
      <c r="AI2209" s="147"/>
      <c r="AJ2209" s="148"/>
      <c r="AK2209" s="143"/>
      <c r="AL2209" s="144"/>
      <c r="AM2209" s="22"/>
      <c r="AN2209" s="149" t="s">
        <v>2511</v>
      </c>
      <c r="AO2209" s="144"/>
      <c r="AP2209" s="148">
        <v>60149</v>
      </c>
      <c r="AQ2209" s="144"/>
      <c r="AR2209" s="120"/>
      <c r="AS2209" s="121"/>
      <c r="AT2209" s="120"/>
      <c r="AU2209" s="121"/>
      <c r="AV2209" s="120"/>
      <c r="AW2209" s="121"/>
      <c r="AX2209" s="120"/>
      <c r="AY2209" s="121"/>
      <c r="AZ2209" s="138"/>
    </row>
    <row r="2210" spans="1:52" ht="17.100000000000001" customHeight="1" thickTop="1">
      <c r="A2210" s="109" t="s">
        <v>7473</v>
      </c>
      <c r="B2210" s="28">
        <v>45937</v>
      </c>
      <c r="C2210" s="25">
        <v>910</v>
      </c>
      <c r="D2210" s="13" t="s">
        <v>1937</v>
      </c>
      <c r="E2210" s="111"/>
      <c r="F2210" s="113" t="s">
        <v>7395</v>
      </c>
      <c r="G2210" s="114"/>
      <c r="H2210" s="115"/>
      <c r="I2210" s="24"/>
      <c r="J2210" s="116">
        <v>4</v>
      </c>
      <c r="K2210" s="118">
        <v>354000</v>
      </c>
      <c r="L2210" s="119"/>
      <c r="M2210" s="118">
        <f t="shared" ref="M2210" si="451">K2210*0.1</f>
        <v>35400</v>
      </c>
      <c r="N2210" s="119"/>
      <c r="O2210" s="118">
        <v>0</v>
      </c>
      <c r="P2210" s="119"/>
      <c r="Q2210" s="118">
        <v>8280</v>
      </c>
      <c r="R2210" s="119"/>
      <c r="S2210" s="118">
        <v>15950</v>
      </c>
      <c r="T2210" s="119"/>
      <c r="U2210" s="118">
        <f t="shared" ref="U2210" si="452">SUM(K2210:T2211)</f>
        <v>413630</v>
      </c>
      <c r="V2210" s="122"/>
      <c r="W2210" s="124"/>
      <c r="X2210" s="126" t="s">
        <v>8069</v>
      </c>
      <c r="Y2210" s="127"/>
      <c r="Z2210" s="127"/>
      <c r="AA2210" s="127"/>
      <c r="AB2210" s="128"/>
      <c r="AC2210" s="15" t="s">
        <v>20</v>
      </c>
      <c r="AD2210" s="129"/>
      <c r="AE2210" s="130"/>
      <c r="AF2210" s="130"/>
      <c r="AG2210" s="130"/>
      <c r="AH2210" s="130"/>
      <c r="AI2210" s="131"/>
      <c r="AJ2210" s="132"/>
      <c r="AK2210" s="127"/>
      <c r="AL2210" s="128"/>
      <c r="AM2210" s="21"/>
      <c r="AN2210" s="133">
        <v>45945</v>
      </c>
      <c r="AO2210" s="134"/>
      <c r="AP2210" s="135">
        <v>988</v>
      </c>
      <c r="AQ2210" s="136"/>
      <c r="AR2210" s="118">
        <v>410000</v>
      </c>
      <c r="AS2210" s="119"/>
      <c r="AT2210" s="118">
        <f t="shared" ref="AT2210" si="453">AR2210*0.1</f>
        <v>41000</v>
      </c>
      <c r="AU2210" s="119"/>
      <c r="AV2210" s="118">
        <v>8280</v>
      </c>
      <c r="AW2210" s="119"/>
      <c r="AX2210" s="118">
        <f t="shared" ref="AX2210" si="454">SUM(AR2210:AW2210)</f>
        <v>459280</v>
      </c>
      <c r="AY2210" s="119"/>
      <c r="AZ2210" s="137">
        <v>45952</v>
      </c>
    </row>
    <row r="2211" spans="1:52" ht="17.100000000000001" customHeight="1" thickBot="1">
      <c r="A2211" s="110"/>
      <c r="B2211" s="27" t="s">
        <v>2699</v>
      </c>
      <c r="C2211" s="27">
        <v>3173</v>
      </c>
      <c r="D2211" s="14" t="s">
        <v>3327</v>
      </c>
      <c r="E2211" s="112"/>
      <c r="F2211" s="139" t="s">
        <v>7396</v>
      </c>
      <c r="G2211" s="140"/>
      <c r="H2211" s="141"/>
      <c r="I2211" s="26">
        <v>30327</v>
      </c>
      <c r="J2211" s="117"/>
      <c r="K2211" s="120"/>
      <c r="L2211" s="121"/>
      <c r="M2211" s="120"/>
      <c r="N2211" s="121"/>
      <c r="O2211" s="120"/>
      <c r="P2211" s="121"/>
      <c r="Q2211" s="120"/>
      <c r="R2211" s="121"/>
      <c r="S2211" s="120"/>
      <c r="T2211" s="121"/>
      <c r="U2211" s="120"/>
      <c r="V2211" s="123"/>
      <c r="W2211" s="125"/>
      <c r="X2211" s="142" t="s">
        <v>8070</v>
      </c>
      <c r="Y2211" s="143"/>
      <c r="Z2211" s="143"/>
      <c r="AA2211" s="143"/>
      <c r="AB2211" s="144"/>
      <c r="AC2211" s="16" t="s">
        <v>21</v>
      </c>
      <c r="AD2211" s="17" t="s">
        <v>8050</v>
      </c>
      <c r="AE2211" s="145"/>
      <c r="AF2211" s="146"/>
      <c r="AG2211" s="146"/>
      <c r="AH2211" s="146"/>
      <c r="AI2211" s="147"/>
      <c r="AJ2211" s="148"/>
      <c r="AK2211" s="143"/>
      <c r="AL2211" s="144"/>
      <c r="AM2211" s="22"/>
      <c r="AN2211" s="149" t="s">
        <v>8809</v>
      </c>
      <c r="AO2211" s="144"/>
      <c r="AP2211" s="148">
        <v>2069</v>
      </c>
      <c r="AQ2211" s="144"/>
      <c r="AR2211" s="120"/>
      <c r="AS2211" s="121"/>
      <c r="AT2211" s="120"/>
      <c r="AU2211" s="121"/>
      <c r="AV2211" s="120"/>
      <c r="AW2211" s="121"/>
      <c r="AX2211" s="120"/>
      <c r="AY2211" s="121"/>
      <c r="AZ2211" s="138"/>
    </row>
    <row r="2212" spans="1:52" ht="17.100000000000001" customHeight="1" thickTop="1">
      <c r="A2212" s="109" t="s">
        <v>7474</v>
      </c>
      <c r="B2212" s="28">
        <v>45937</v>
      </c>
      <c r="C2212" s="25">
        <v>910</v>
      </c>
      <c r="D2212" s="13" t="s">
        <v>1615</v>
      </c>
      <c r="E2212" s="111"/>
      <c r="F2212" s="113" t="s">
        <v>7180</v>
      </c>
      <c r="G2212" s="114"/>
      <c r="H2212" s="115"/>
      <c r="I2212" s="24"/>
      <c r="J2212" s="116">
        <v>4</v>
      </c>
      <c r="K2212" s="118">
        <v>812000</v>
      </c>
      <c r="L2212" s="119"/>
      <c r="M2212" s="118">
        <f t="shared" ref="M2212" si="455">K2212*0.1</f>
        <v>81200</v>
      </c>
      <c r="N2212" s="119"/>
      <c r="O2212" s="118">
        <v>0</v>
      </c>
      <c r="P2212" s="119"/>
      <c r="Q2212" s="118">
        <v>19440</v>
      </c>
      <c r="R2212" s="119"/>
      <c r="S2212" s="118">
        <v>15950</v>
      </c>
      <c r="T2212" s="119"/>
      <c r="U2212" s="118">
        <f t="shared" ref="U2212" si="456">SUM(K2212:T2213)</f>
        <v>928590</v>
      </c>
      <c r="V2212" s="122"/>
      <c r="W2212" s="124"/>
      <c r="X2212" s="126" t="s">
        <v>8052</v>
      </c>
      <c r="Y2212" s="127"/>
      <c r="Z2212" s="127"/>
      <c r="AA2212" s="127"/>
      <c r="AB2212" s="128"/>
      <c r="AC2212" s="15" t="s">
        <v>20</v>
      </c>
      <c r="AD2212" s="129"/>
      <c r="AE2212" s="130"/>
      <c r="AF2212" s="130"/>
      <c r="AG2212" s="130"/>
      <c r="AH2212" s="130"/>
      <c r="AI2212" s="131"/>
      <c r="AJ2212" s="132"/>
      <c r="AK2212" s="127"/>
      <c r="AL2212" s="128"/>
      <c r="AM2212" s="21"/>
      <c r="AN2212" s="133">
        <v>45941</v>
      </c>
      <c r="AO2212" s="134"/>
      <c r="AP2212" s="135">
        <v>1271</v>
      </c>
      <c r="AQ2212" s="136"/>
      <c r="AR2212" s="118">
        <v>1005000</v>
      </c>
      <c r="AS2212" s="119"/>
      <c r="AT2212" s="118">
        <v>100500</v>
      </c>
      <c r="AU2212" s="119"/>
      <c r="AV2212" s="118">
        <v>19440</v>
      </c>
      <c r="AW2212" s="119"/>
      <c r="AX2212" s="118">
        <f t="shared" ref="AX2212" si="457">SUM(AR2212:AW2212)</f>
        <v>1124940</v>
      </c>
      <c r="AY2212" s="119"/>
      <c r="AZ2212" s="137">
        <v>45945</v>
      </c>
    </row>
    <row r="2213" spans="1:52" ht="17.100000000000001" customHeight="1" thickBot="1">
      <c r="A2213" s="110"/>
      <c r="B2213" s="27" t="s">
        <v>2699</v>
      </c>
      <c r="C2213" s="27">
        <v>5005</v>
      </c>
      <c r="D2213" s="14" t="s">
        <v>133</v>
      </c>
      <c r="E2213" s="112"/>
      <c r="F2213" s="139" t="s">
        <v>7424</v>
      </c>
      <c r="G2213" s="140"/>
      <c r="H2213" s="141"/>
      <c r="I2213" s="26">
        <v>68089</v>
      </c>
      <c r="J2213" s="117"/>
      <c r="K2213" s="120"/>
      <c r="L2213" s="121"/>
      <c r="M2213" s="120"/>
      <c r="N2213" s="121"/>
      <c r="O2213" s="120"/>
      <c r="P2213" s="121"/>
      <c r="Q2213" s="120"/>
      <c r="R2213" s="121"/>
      <c r="S2213" s="120"/>
      <c r="T2213" s="121"/>
      <c r="U2213" s="120"/>
      <c r="V2213" s="123"/>
      <c r="W2213" s="125"/>
      <c r="X2213" s="142" t="s">
        <v>3562</v>
      </c>
      <c r="Y2213" s="143"/>
      <c r="Z2213" s="143"/>
      <c r="AA2213" s="143"/>
      <c r="AB2213" s="144"/>
      <c r="AC2213" s="16" t="s">
        <v>21</v>
      </c>
      <c r="AD2213" s="17" t="s">
        <v>8050</v>
      </c>
      <c r="AE2213" s="145" t="s">
        <v>5319</v>
      </c>
      <c r="AF2213" s="146"/>
      <c r="AG2213" s="146"/>
      <c r="AH2213" s="146"/>
      <c r="AI2213" s="147"/>
      <c r="AJ2213" s="148"/>
      <c r="AK2213" s="143"/>
      <c r="AL2213" s="144"/>
      <c r="AM2213" s="22"/>
      <c r="AN2213" s="149" t="s">
        <v>2511</v>
      </c>
      <c r="AO2213" s="144"/>
      <c r="AP2213" s="148">
        <v>80324</v>
      </c>
      <c r="AQ2213" s="144"/>
      <c r="AR2213" s="120"/>
      <c r="AS2213" s="121"/>
      <c r="AT2213" s="120"/>
      <c r="AU2213" s="121"/>
      <c r="AV2213" s="120"/>
      <c r="AW2213" s="121"/>
      <c r="AX2213" s="120"/>
      <c r="AY2213" s="121"/>
      <c r="AZ2213" s="138"/>
    </row>
    <row r="2214" spans="1:52" ht="17.100000000000001" customHeight="1" thickTop="1">
      <c r="A2214" s="109" t="s">
        <v>7475</v>
      </c>
      <c r="B2214" s="28">
        <v>45937</v>
      </c>
      <c r="C2214" s="25">
        <v>910</v>
      </c>
      <c r="D2214" s="13" t="s">
        <v>2329</v>
      </c>
      <c r="E2214" s="111"/>
      <c r="F2214" s="113" t="s">
        <v>7425</v>
      </c>
      <c r="G2214" s="114"/>
      <c r="H2214" s="115"/>
      <c r="I2214" s="24"/>
      <c r="J2214" s="116">
        <v>4</v>
      </c>
      <c r="K2214" s="118">
        <v>2077000</v>
      </c>
      <c r="L2214" s="119"/>
      <c r="M2214" s="118">
        <f t="shared" ref="M2214" si="458">K2214*0.1</f>
        <v>207700</v>
      </c>
      <c r="N2214" s="119"/>
      <c r="O2214" s="118">
        <v>0</v>
      </c>
      <c r="P2214" s="119"/>
      <c r="Q2214" s="118">
        <v>19560</v>
      </c>
      <c r="R2214" s="119"/>
      <c r="S2214" s="118">
        <v>15950</v>
      </c>
      <c r="T2214" s="119"/>
      <c r="U2214" s="118">
        <f t="shared" ref="U2214" si="459">SUM(K2214:T2215)</f>
        <v>2320210</v>
      </c>
      <c r="V2214" s="122"/>
      <c r="W2214" s="124"/>
      <c r="X2214" s="126" t="s">
        <v>8053</v>
      </c>
      <c r="Y2214" s="127"/>
      <c r="Z2214" s="127"/>
      <c r="AA2214" s="127"/>
      <c r="AB2214" s="128"/>
      <c r="AC2214" s="15" t="s">
        <v>20</v>
      </c>
      <c r="AD2214" s="129"/>
      <c r="AE2214" s="130"/>
      <c r="AF2214" s="130"/>
      <c r="AG2214" s="130"/>
      <c r="AH2214" s="130"/>
      <c r="AI2214" s="131"/>
      <c r="AJ2214" s="132"/>
      <c r="AK2214" s="127"/>
      <c r="AL2214" s="128"/>
      <c r="AM2214" s="21"/>
      <c r="AN2214" s="133">
        <v>45941</v>
      </c>
      <c r="AO2214" s="134"/>
      <c r="AP2214" s="135">
        <v>1271</v>
      </c>
      <c r="AQ2214" s="136"/>
      <c r="AR2214" s="118">
        <v>2505000</v>
      </c>
      <c r="AS2214" s="119"/>
      <c r="AT2214" s="118">
        <v>250500</v>
      </c>
      <c r="AU2214" s="119"/>
      <c r="AV2214" s="118">
        <v>19560</v>
      </c>
      <c r="AW2214" s="119"/>
      <c r="AX2214" s="118">
        <f t="shared" ref="AX2214" si="460">SUM(AR2214:AW2214)</f>
        <v>2775060</v>
      </c>
      <c r="AY2214" s="119"/>
      <c r="AZ2214" s="137">
        <v>45945</v>
      </c>
    </row>
    <row r="2215" spans="1:52" ht="17.100000000000001" customHeight="1" thickBot="1">
      <c r="A2215" s="110"/>
      <c r="B2215" s="27" t="s">
        <v>2699</v>
      </c>
      <c r="C2215" s="27">
        <v>5010</v>
      </c>
      <c r="D2215" s="14" t="s">
        <v>133</v>
      </c>
      <c r="E2215" s="112"/>
      <c r="F2215" s="139" t="s">
        <v>7426</v>
      </c>
      <c r="G2215" s="140"/>
      <c r="H2215" s="141"/>
      <c r="I2215" s="26">
        <v>69545</v>
      </c>
      <c r="J2215" s="117"/>
      <c r="K2215" s="120"/>
      <c r="L2215" s="121"/>
      <c r="M2215" s="120"/>
      <c r="N2215" s="121"/>
      <c r="O2215" s="120"/>
      <c r="P2215" s="121"/>
      <c r="Q2215" s="120"/>
      <c r="R2215" s="121"/>
      <c r="S2215" s="120"/>
      <c r="T2215" s="121"/>
      <c r="U2215" s="120"/>
      <c r="V2215" s="123"/>
      <c r="W2215" s="125"/>
      <c r="X2215" s="142" t="s">
        <v>3562</v>
      </c>
      <c r="Y2215" s="143"/>
      <c r="Z2215" s="143"/>
      <c r="AA2215" s="143"/>
      <c r="AB2215" s="144"/>
      <c r="AC2215" s="16" t="s">
        <v>21</v>
      </c>
      <c r="AD2215" s="17" t="s">
        <v>8050</v>
      </c>
      <c r="AE2215" s="145" t="s">
        <v>7857</v>
      </c>
      <c r="AF2215" s="146"/>
      <c r="AG2215" s="146"/>
      <c r="AH2215" s="146"/>
      <c r="AI2215" s="147"/>
      <c r="AJ2215" s="148"/>
      <c r="AK2215" s="143"/>
      <c r="AL2215" s="144"/>
      <c r="AM2215" s="22"/>
      <c r="AN2215" s="149" t="s">
        <v>2511</v>
      </c>
      <c r="AO2215" s="144"/>
      <c r="AP2215" s="148">
        <v>80323</v>
      </c>
      <c r="AQ2215" s="144"/>
      <c r="AR2215" s="120"/>
      <c r="AS2215" s="121"/>
      <c r="AT2215" s="120"/>
      <c r="AU2215" s="121"/>
      <c r="AV2215" s="120"/>
      <c r="AW2215" s="121"/>
      <c r="AX2215" s="120"/>
      <c r="AY2215" s="121"/>
      <c r="AZ2215" s="138"/>
    </row>
    <row r="2216" spans="1:52" ht="17.100000000000001" customHeight="1" thickTop="1">
      <c r="A2216" s="109" t="s">
        <v>7476</v>
      </c>
      <c r="B2216" s="28">
        <v>45937</v>
      </c>
      <c r="C2216" s="25">
        <v>910</v>
      </c>
      <c r="D2216" s="13" t="s">
        <v>3749</v>
      </c>
      <c r="E2216" s="111"/>
      <c r="F2216" s="113" t="s">
        <v>2598</v>
      </c>
      <c r="G2216" s="114"/>
      <c r="H2216" s="115"/>
      <c r="I2216" s="24"/>
      <c r="J2216" s="116">
        <v>3.5</v>
      </c>
      <c r="K2216" s="118">
        <v>513000</v>
      </c>
      <c r="L2216" s="119"/>
      <c r="M2216" s="118">
        <f t="shared" ref="M2216" si="461">K2216*0.1</f>
        <v>51300</v>
      </c>
      <c r="N2216" s="119"/>
      <c r="O2216" s="118">
        <v>0</v>
      </c>
      <c r="P2216" s="119"/>
      <c r="Q2216" s="118">
        <v>9910</v>
      </c>
      <c r="R2216" s="119"/>
      <c r="S2216" s="118">
        <v>15950</v>
      </c>
      <c r="T2216" s="119"/>
      <c r="U2216" s="118">
        <f t="shared" ref="U2216" si="462">SUM(K2216:T2217)</f>
        <v>590160</v>
      </c>
      <c r="V2216" s="122"/>
      <c r="W2216" s="124"/>
      <c r="X2216" s="126" t="s">
        <v>8074</v>
      </c>
      <c r="Y2216" s="127"/>
      <c r="Z2216" s="127"/>
      <c r="AA2216" s="127"/>
      <c r="AB2216" s="128"/>
      <c r="AC2216" s="15" t="s">
        <v>20</v>
      </c>
      <c r="AD2216" s="129"/>
      <c r="AE2216" s="130"/>
      <c r="AF2216" s="130"/>
      <c r="AG2216" s="130"/>
      <c r="AH2216" s="130"/>
      <c r="AI2216" s="131"/>
      <c r="AJ2216" s="132"/>
      <c r="AK2216" s="127"/>
      <c r="AL2216" s="128"/>
      <c r="AM2216" s="21"/>
      <c r="AN2216" s="133">
        <v>46004</v>
      </c>
      <c r="AO2216" s="134"/>
      <c r="AP2216" s="135">
        <v>1280</v>
      </c>
      <c r="AQ2216" s="136"/>
      <c r="AR2216" s="118">
        <v>600000</v>
      </c>
      <c r="AS2216" s="119"/>
      <c r="AT2216" s="118">
        <f t="shared" ref="AT2216" si="463">AR2216*0.1</f>
        <v>60000</v>
      </c>
      <c r="AU2216" s="119"/>
      <c r="AV2216" s="118">
        <v>9910</v>
      </c>
      <c r="AW2216" s="119"/>
      <c r="AX2216" s="118">
        <f t="shared" ref="AX2216" si="464">SUM(AR2216:AW2216)</f>
        <v>669910</v>
      </c>
      <c r="AY2216" s="119"/>
      <c r="AZ2216" s="137">
        <v>46008</v>
      </c>
    </row>
    <row r="2217" spans="1:52" ht="17.100000000000001" customHeight="1" thickBot="1">
      <c r="A2217" s="110"/>
      <c r="B2217" s="27" t="s">
        <v>2699</v>
      </c>
      <c r="C2217" s="27">
        <v>7157</v>
      </c>
      <c r="D2217" s="14" t="s">
        <v>275</v>
      </c>
      <c r="E2217" s="112"/>
      <c r="F2217" s="139" t="s">
        <v>7344</v>
      </c>
      <c r="G2217" s="140"/>
      <c r="H2217" s="141"/>
      <c r="I2217" s="26">
        <v>77408</v>
      </c>
      <c r="J2217" s="117"/>
      <c r="K2217" s="120"/>
      <c r="L2217" s="121"/>
      <c r="M2217" s="120"/>
      <c r="N2217" s="121"/>
      <c r="O2217" s="120"/>
      <c r="P2217" s="121"/>
      <c r="Q2217" s="120"/>
      <c r="R2217" s="121"/>
      <c r="S2217" s="120"/>
      <c r="T2217" s="121"/>
      <c r="U2217" s="120"/>
      <c r="V2217" s="123"/>
      <c r="W2217" s="125"/>
      <c r="X2217" s="142" t="s">
        <v>8075</v>
      </c>
      <c r="Y2217" s="143"/>
      <c r="Z2217" s="143"/>
      <c r="AA2217" s="143"/>
      <c r="AB2217" s="144"/>
      <c r="AC2217" s="16" t="s">
        <v>21</v>
      </c>
      <c r="AD2217" s="17" t="s">
        <v>8050</v>
      </c>
      <c r="AE2217" s="145" t="s">
        <v>4435</v>
      </c>
      <c r="AF2217" s="146"/>
      <c r="AG2217" s="146"/>
      <c r="AH2217" s="146"/>
      <c r="AI2217" s="147"/>
      <c r="AJ2217" s="148"/>
      <c r="AK2217" s="143"/>
      <c r="AL2217" s="144"/>
      <c r="AM2217" s="22"/>
      <c r="AN2217" s="149" t="s">
        <v>2511</v>
      </c>
      <c r="AO2217" s="144"/>
      <c r="AP2217" s="148">
        <v>60170</v>
      </c>
      <c r="AQ2217" s="144"/>
      <c r="AR2217" s="120"/>
      <c r="AS2217" s="121"/>
      <c r="AT2217" s="120"/>
      <c r="AU2217" s="121"/>
      <c r="AV2217" s="120"/>
      <c r="AW2217" s="121"/>
      <c r="AX2217" s="120"/>
      <c r="AY2217" s="121"/>
      <c r="AZ2217" s="138"/>
    </row>
    <row r="2218" spans="1:52" ht="17.100000000000001" customHeight="1" thickTop="1">
      <c r="A2218" s="109" t="s">
        <v>7477</v>
      </c>
      <c r="B2218" s="28">
        <v>45937</v>
      </c>
      <c r="C2218" s="25">
        <v>1211</v>
      </c>
      <c r="D2218" s="13" t="s">
        <v>4824</v>
      </c>
      <c r="E2218" s="111"/>
      <c r="F2218" s="113" t="s">
        <v>1871</v>
      </c>
      <c r="G2218" s="114"/>
      <c r="H2218" s="115"/>
      <c r="I2218" s="24"/>
      <c r="J2218" s="116">
        <v>4</v>
      </c>
      <c r="K2218" s="118">
        <v>602000</v>
      </c>
      <c r="L2218" s="119"/>
      <c r="M2218" s="118">
        <f t="shared" ref="M2218" si="465">K2218*0.1</f>
        <v>60200</v>
      </c>
      <c r="N2218" s="119"/>
      <c r="O2218" s="118">
        <v>0</v>
      </c>
      <c r="P2218" s="119"/>
      <c r="Q2218" s="118">
        <v>18960</v>
      </c>
      <c r="R2218" s="119"/>
      <c r="S2218" s="118">
        <v>15950</v>
      </c>
      <c r="T2218" s="119"/>
      <c r="U2218" s="118">
        <f t="shared" ref="U2218" si="466">SUM(K2218:T2219)</f>
        <v>697110</v>
      </c>
      <c r="V2218" s="122"/>
      <c r="W2218" s="124"/>
      <c r="X2218" s="126" t="s">
        <v>8251</v>
      </c>
      <c r="Y2218" s="127"/>
      <c r="Z2218" s="127"/>
      <c r="AA2218" s="127"/>
      <c r="AB2218" s="128"/>
      <c r="AC2218" s="15" t="s">
        <v>20</v>
      </c>
      <c r="AD2218" s="129"/>
      <c r="AE2218" s="130"/>
      <c r="AF2218" s="130"/>
      <c r="AG2218" s="130"/>
      <c r="AH2218" s="130"/>
      <c r="AI2218" s="131"/>
      <c r="AJ2218" s="132"/>
      <c r="AK2218" s="127"/>
      <c r="AL2218" s="128"/>
      <c r="AM2218" s="21"/>
      <c r="AN2218" s="133">
        <v>45948</v>
      </c>
      <c r="AO2218" s="134"/>
      <c r="AP2218" s="135">
        <v>1272</v>
      </c>
      <c r="AQ2218" s="136"/>
      <c r="AR2218" s="118">
        <v>720000</v>
      </c>
      <c r="AS2218" s="119"/>
      <c r="AT2218" s="118">
        <f t="shared" ref="AT2218" si="467">AR2218*0.1</f>
        <v>72000</v>
      </c>
      <c r="AU2218" s="119"/>
      <c r="AV2218" s="118">
        <v>18960</v>
      </c>
      <c r="AW2218" s="119"/>
      <c r="AX2218" s="118">
        <f t="shared" ref="AX2218" si="468">SUM(AR2218:AW2218)</f>
        <v>810960</v>
      </c>
      <c r="AY2218" s="119"/>
      <c r="AZ2218" s="137">
        <v>45951</v>
      </c>
    </row>
    <row r="2219" spans="1:52" ht="17.100000000000001" customHeight="1" thickBot="1">
      <c r="A2219" s="110"/>
      <c r="B2219" s="27" t="s">
        <v>2379</v>
      </c>
      <c r="C2219" s="27">
        <v>5004</v>
      </c>
      <c r="D2219" s="14" t="s">
        <v>133</v>
      </c>
      <c r="E2219" s="112"/>
      <c r="F2219" s="139" t="s">
        <v>7388</v>
      </c>
      <c r="G2219" s="140"/>
      <c r="H2219" s="141"/>
      <c r="I2219" s="26">
        <v>61151</v>
      </c>
      <c r="J2219" s="117"/>
      <c r="K2219" s="120"/>
      <c r="L2219" s="121"/>
      <c r="M2219" s="120"/>
      <c r="N2219" s="121"/>
      <c r="O2219" s="120"/>
      <c r="P2219" s="121"/>
      <c r="Q2219" s="120"/>
      <c r="R2219" s="121"/>
      <c r="S2219" s="120"/>
      <c r="T2219" s="121"/>
      <c r="U2219" s="120"/>
      <c r="V2219" s="123"/>
      <c r="W2219" s="125"/>
      <c r="X2219" s="142" t="s">
        <v>8252</v>
      </c>
      <c r="Y2219" s="143"/>
      <c r="Z2219" s="143"/>
      <c r="AA2219" s="143"/>
      <c r="AB2219" s="144"/>
      <c r="AC2219" s="16" t="s">
        <v>21</v>
      </c>
      <c r="AD2219" s="17" t="s">
        <v>1622</v>
      </c>
      <c r="AE2219" s="145" t="s">
        <v>7855</v>
      </c>
      <c r="AF2219" s="146"/>
      <c r="AG2219" s="146"/>
      <c r="AH2219" s="146"/>
      <c r="AI2219" s="147"/>
      <c r="AJ2219" s="148"/>
      <c r="AK2219" s="143"/>
      <c r="AL2219" s="144"/>
      <c r="AM2219" s="22"/>
      <c r="AN2219" s="149" t="s">
        <v>2511</v>
      </c>
      <c r="AO2219" s="144"/>
      <c r="AP2219" s="148">
        <v>80018</v>
      </c>
      <c r="AQ2219" s="144"/>
      <c r="AR2219" s="120"/>
      <c r="AS2219" s="121"/>
      <c r="AT2219" s="120"/>
      <c r="AU2219" s="121"/>
      <c r="AV2219" s="120"/>
      <c r="AW2219" s="121"/>
      <c r="AX2219" s="120"/>
      <c r="AY2219" s="121"/>
      <c r="AZ2219" s="138"/>
    </row>
    <row r="2220" spans="1:52" ht="17.100000000000001" customHeight="1" thickTop="1">
      <c r="A2220" s="109" t="s">
        <v>7480</v>
      </c>
      <c r="B2220" s="28">
        <v>45937</v>
      </c>
      <c r="C2220" s="25">
        <v>1259</v>
      </c>
      <c r="D2220" s="13" t="s">
        <v>1586</v>
      </c>
      <c r="E2220" s="111"/>
      <c r="F2220" s="113" t="s">
        <v>1938</v>
      </c>
      <c r="G2220" s="114"/>
      <c r="H2220" s="115"/>
      <c r="I2220" s="24" t="s">
        <v>2526</v>
      </c>
      <c r="J2220" s="116">
        <v>4</v>
      </c>
      <c r="K2220" s="118">
        <v>826000</v>
      </c>
      <c r="L2220" s="119"/>
      <c r="M2220" s="118">
        <f t="shared" ref="M2220" si="469">K2220*0.1</f>
        <v>82600</v>
      </c>
      <c r="N2220" s="119"/>
      <c r="O2220" s="118">
        <f>14300+1430</f>
        <v>15730</v>
      </c>
      <c r="P2220" s="119"/>
      <c r="Q2220" s="118">
        <v>17600</v>
      </c>
      <c r="R2220" s="119"/>
      <c r="S2220" s="118">
        <v>18150</v>
      </c>
      <c r="T2220" s="119"/>
      <c r="U2220" s="118">
        <f t="shared" ref="U2220" si="470">SUM(K2220:T2221)</f>
        <v>960080</v>
      </c>
      <c r="V2220" s="122"/>
      <c r="W2220" s="124"/>
      <c r="X2220" s="126" t="s">
        <v>7994</v>
      </c>
      <c r="Y2220" s="127"/>
      <c r="Z2220" s="127"/>
      <c r="AA2220" s="127"/>
      <c r="AB2220" s="128"/>
      <c r="AC2220" s="15" t="s">
        <v>20</v>
      </c>
      <c r="AD2220" s="129"/>
      <c r="AE2220" s="130"/>
      <c r="AF2220" s="130"/>
      <c r="AG2220" s="130"/>
      <c r="AH2220" s="130"/>
      <c r="AI2220" s="131"/>
      <c r="AJ2220" s="132"/>
      <c r="AK2220" s="127"/>
      <c r="AL2220" s="128"/>
      <c r="AM2220" s="21"/>
      <c r="AN2220" s="133">
        <v>45941</v>
      </c>
      <c r="AO2220" s="134"/>
      <c r="AP2220" s="135">
        <v>1271</v>
      </c>
      <c r="AQ2220" s="136"/>
      <c r="AR2220" s="118">
        <v>1035000</v>
      </c>
      <c r="AS2220" s="119"/>
      <c r="AT2220" s="118">
        <v>103500</v>
      </c>
      <c r="AU2220" s="119"/>
      <c r="AV2220" s="118">
        <v>17600</v>
      </c>
      <c r="AW2220" s="119"/>
      <c r="AX2220" s="118">
        <f t="shared" ref="AX2220" si="471">SUM(AR2220:AW2220)</f>
        <v>1156100</v>
      </c>
      <c r="AY2220" s="119"/>
      <c r="AZ2220" s="137">
        <v>45944</v>
      </c>
    </row>
    <row r="2221" spans="1:52" ht="17.100000000000001" customHeight="1" thickBot="1">
      <c r="A2221" s="110"/>
      <c r="B2221" s="27" t="s">
        <v>7478</v>
      </c>
      <c r="C2221" s="27">
        <v>38127</v>
      </c>
      <c r="D2221" s="14" t="s">
        <v>133</v>
      </c>
      <c r="E2221" s="112"/>
      <c r="F2221" s="139" t="s">
        <v>7479</v>
      </c>
      <c r="G2221" s="140"/>
      <c r="H2221" s="141"/>
      <c r="I2221" s="26">
        <v>64957</v>
      </c>
      <c r="J2221" s="117"/>
      <c r="K2221" s="120"/>
      <c r="L2221" s="121"/>
      <c r="M2221" s="120"/>
      <c r="N2221" s="121"/>
      <c r="O2221" s="120"/>
      <c r="P2221" s="121"/>
      <c r="Q2221" s="120"/>
      <c r="R2221" s="121"/>
      <c r="S2221" s="120"/>
      <c r="T2221" s="121"/>
      <c r="U2221" s="120"/>
      <c r="V2221" s="123"/>
      <c r="W2221" s="125"/>
      <c r="X2221" s="142" t="s">
        <v>7995</v>
      </c>
      <c r="Y2221" s="143"/>
      <c r="Z2221" s="143"/>
      <c r="AA2221" s="143"/>
      <c r="AB2221" s="144"/>
      <c r="AC2221" s="16" t="s">
        <v>21</v>
      </c>
      <c r="AD2221" s="17" t="s">
        <v>3289</v>
      </c>
      <c r="AE2221" s="145" t="s">
        <v>4077</v>
      </c>
      <c r="AF2221" s="146"/>
      <c r="AG2221" s="146"/>
      <c r="AH2221" s="146"/>
      <c r="AI2221" s="147"/>
      <c r="AJ2221" s="148"/>
      <c r="AK2221" s="143"/>
      <c r="AL2221" s="144"/>
      <c r="AM2221" s="22"/>
      <c r="AN2221" s="149" t="s">
        <v>2511</v>
      </c>
      <c r="AO2221" s="144"/>
      <c r="AP2221" s="148">
        <v>80284</v>
      </c>
      <c r="AQ2221" s="144"/>
      <c r="AR2221" s="120"/>
      <c r="AS2221" s="121"/>
      <c r="AT2221" s="120"/>
      <c r="AU2221" s="121"/>
      <c r="AV2221" s="120"/>
      <c r="AW2221" s="121"/>
      <c r="AX2221" s="120"/>
      <c r="AY2221" s="121"/>
      <c r="AZ2221" s="138"/>
    </row>
    <row r="2222" spans="1:52" ht="17.100000000000001" customHeight="1" thickTop="1">
      <c r="A2222" s="109" t="s">
        <v>7481</v>
      </c>
      <c r="B2222" s="28">
        <v>45937</v>
      </c>
      <c r="C2222" s="25">
        <v>960</v>
      </c>
      <c r="D2222" s="13" t="s">
        <v>1642</v>
      </c>
      <c r="E2222" s="111"/>
      <c r="F2222" s="113" t="s">
        <v>7076</v>
      </c>
      <c r="G2222" s="114"/>
      <c r="H2222" s="115"/>
      <c r="I2222" s="24"/>
      <c r="J2222" s="116">
        <v>3.5</v>
      </c>
      <c r="K2222" s="118">
        <v>949000</v>
      </c>
      <c r="L2222" s="119"/>
      <c r="M2222" s="118">
        <f t="shared" ref="M2222" si="472">K2222*0.1</f>
        <v>94900</v>
      </c>
      <c r="N2222" s="119"/>
      <c r="O2222" s="118">
        <v>0</v>
      </c>
      <c r="P2222" s="119"/>
      <c r="Q2222" s="118">
        <v>8550</v>
      </c>
      <c r="R2222" s="119"/>
      <c r="S2222" s="118">
        <v>22000</v>
      </c>
      <c r="T2222" s="119"/>
      <c r="U2222" s="118">
        <f t="shared" ref="U2222" si="473">SUM(K2222:T2223)</f>
        <v>1074450</v>
      </c>
      <c r="V2222" s="122"/>
      <c r="W2222" s="124"/>
      <c r="X2222" s="126" t="s">
        <v>8431</v>
      </c>
      <c r="Y2222" s="127"/>
      <c r="Z2222" s="127"/>
      <c r="AA2222" s="127"/>
      <c r="AB2222" s="128"/>
      <c r="AC2222" s="15" t="s">
        <v>20</v>
      </c>
      <c r="AD2222" s="129" t="s">
        <v>1670</v>
      </c>
      <c r="AE2222" s="130"/>
      <c r="AF2222" s="130"/>
      <c r="AG2222" s="130"/>
      <c r="AH2222" s="130"/>
      <c r="AI2222" s="131"/>
      <c r="AJ2222" s="132"/>
      <c r="AK2222" s="127"/>
      <c r="AL2222" s="128"/>
      <c r="AM2222" s="21"/>
      <c r="AN2222" s="133">
        <v>45951</v>
      </c>
      <c r="AO2222" s="134"/>
      <c r="AP2222" s="135">
        <v>1914</v>
      </c>
      <c r="AQ2222" s="136"/>
      <c r="AR2222" s="118">
        <v>1086000</v>
      </c>
      <c r="AS2222" s="119"/>
      <c r="AT2222" s="118">
        <f t="shared" ref="AT2222" si="474">AR2222*0.1</f>
        <v>108600</v>
      </c>
      <c r="AU2222" s="119"/>
      <c r="AV2222" s="118">
        <v>8550</v>
      </c>
      <c r="AW2222" s="119"/>
      <c r="AX2222" s="118">
        <f t="shared" ref="AX2222" si="475">SUM(AR2222:AW2222)</f>
        <v>1203150</v>
      </c>
      <c r="AY2222" s="119"/>
      <c r="AZ2222" s="137">
        <v>45957</v>
      </c>
    </row>
    <row r="2223" spans="1:52" ht="17.100000000000001" customHeight="1" thickBot="1">
      <c r="A2223" s="110"/>
      <c r="B2223" s="27" t="s">
        <v>2055</v>
      </c>
      <c r="C2223" s="27">
        <v>124</v>
      </c>
      <c r="D2223" s="14" t="s">
        <v>275</v>
      </c>
      <c r="E2223" s="112"/>
      <c r="F2223" s="139" t="s">
        <v>7484</v>
      </c>
      <c r="G2223" s="140"/>
      <c r="H2223" s="141"/>
      <c r="I2223" s="26">
        <v>58804</v>
      </c>
      <c r="J2223" s="117"/>
      <c r="K2223" s="120"/>
      <c r="L2223" s="121"/>
      <c r="M2223" s="120"/>
      <c r="N2223" s="121"/>
      <c r="O2223" s="120"/>
      <c r="P2223" s="121"/>
      <c r="Q2223" s="120"/>
      <c r="R2223" s="121"/>
      <c r="S2223" s="120"/>
      <c r="T2223" s="121"/>
      <c r="U2223" s="120"/>
      <c r="V2223" s="123"/>
      <c r="W2223" s="125"/>
      <c r="X2223" s="142" t="s">
        <v>2482</v>
      </c>
      <c r="Y2223" s="143"/>
      <c r="Z2223" s="143"/>
      <c r="AA2223" s="143"/>
      <c r="AB2223" s="144"/>
      <c r="AC2223" s="16" t="s">
        <v>21</v>
      </c>
      <c r="AD2223" s="17" t="s">
        <v>1638</v>
      </c>
      <c r="AE2223" s="145" t="s">
        <v>8469</v>
      </c>
      <c r="AF2223" s="146"/>
      <c r="AG2223" s="146"/>
      <c r="AH2223" s="146"/>
      <c r="AI2223" s="147"/>
      <c r="AJ2223" s="148"/>
      <c r="AK2223" s="143"/>
      <c r="AL2223" s="144"/>
      <c r="AM2223" s="22"/>
      <c r="AN2223" s="149" t="s">
        <v>2131</v>
      </c>
      <c r="AO2223" s="144"/>
      <c r="AP2223" s="148">
        <v>3261</v>
      </c>
      <c r="AQ2223" s="144"/>
      <c r="AR2223" s="120"/>
      <c r="AS2223" s="121"/>
      <c r="AT2223" s="120"/>
      <c r="AU2223" s="121"/>
      <c r="AV2223" s="120"/>
      <c r="AW2223" s="121"/>
      <c r="AX2223" s="120"/>
      <c r="AY2223" s="121"/>
      <c r="AZ2223" s="138"/>
    </row>
    <row r="2224" spans="1:52" ht="17.100000000000001" customHeight="1" thickTop="1">
      <c r="A2224" s="109" t="s">
        <v>7482</v>
      </c>
      <c r="B2224" s="28">
        <v>45937</v>
      </c>
      <c r="C2224" s="25">
        <v>960</v>
      </c>
      <c r="D2224" s="13" t="s">
        <v>1597</v>
      </c>
      <c r="E2224" s="111"/>
      <c r="F2224" s="113" t="s">
        <v>7522</v>
      </c>
      <c r="G2224" s="114"/>
      <c r="H2224" s="115"/>
      <c r="I2224" s="24"/>
      <c r="J2224" s="116">
        <v>4.5</v>
      </c>
      <c r="K2224" s="118">
        <v>899000</v>
      </c>
      <c r="L2224" s="119"/>
      <c r="M2224" s="118">
        <f t="shared" ref="M2224" si="476">K2224*0.1</f>
        <v>89900</v>
      </c>
      <c r="N2224" s="119"/>
      <c r="O2224" s="118">
        <v>0</v>
      </c>
      <c r="P2224" s="119"/>
      <c r="Q2224" s="118">
        <v>8110</v>
      </c>
      <c r="R2224" s="119"/>
      <c r="S2224" s="118">
        <v>22000</v>
      </c>
      <c r="T2224" s="119"/>
      <c r="U2224" s="118">
        <f t="shared" ref="U2224" si="477">SUM(K2224:T2225)</f>
        <v>1019010</v>
      </c>
      <c r="V2224" s="122"/>
      <c r="W2224" s="124"/>
      <c r="X2224" s="126" t="s">
        <v>8430</v>
      </c>
      <c r="Y2224" s="127"/>
      <c r="Z2224" s="127"/>
      <c r="AA2224" s="127"/>
      <c r="AB2224" s="128"/>
      <c r="AC2224" s="15" t="s">
        <v>20</v>
      </c>
      <c r="AD2224" s="129" t="s">
        <v>2054</v>
      </c>
      <c r="AE2224" s="130"/>
      <c r="AF2224" s="130"/>
      <c r="AG2224" s="130"/>
      <c r="AH2224" s="130"/>
      <c r="AI2224" s="131"/>
      <c r="AJ2224" s="132"/>
      <c r="AK2224" s="127"/>
      <c r="AL2224" s="128"/>
      <c r="AM2224" s="21"/>
      <c r="AN2224" s="133">
        <v>45951</v>
      </c>
      <c r="AO2224" s="134"/>
      <c r="AP2224" s="135">
        <v>1914</v>
      </c>
      <c r="AQ2224" s="136"/>
      <c r="AR2224" s="118">
        <v>945000</v>
      </c>
      <c r="AS2224" s="119"/>
      <c r="AT2224" s="118">
        <f t="shared" ref="AT2224" si="478">AR2224*0.1</f>
        <v>94500</v>
      </c>
      <c r="AU2224" s="119"/>
      <c r="AV2224" s="118">
        <v>8110</v>
      </c>
      <c r="AW2224" s="119"/>
      <c r="AX2224" s="118">
        <f t="shared" ref="AX2224" si="479">SUM(AR2224:AW2224)</f>
        <v>1047610</v>
      </c>
      <c r="AY2224" s="119"/>
      <c r="AZ2224" s="137">
        <v>45957</v>
      </c>
    </row>
    <row r="2225" spans="1:52" ht="17.100000000000001" customHeight="1" thickBot="1">
      <c r="A2225" s="110"/>
      <c r="B2225" s="27" t="s">
        <v>2055</v>
      </c>
      <c r="C2225" s="27">
        <v>138</v>
      </c>
      <c r="D2225" s="14" t="s">
        <v>3327</v>
      </c>
      <c r="E2225" s="112"/>
      <c r="F2225" s="139" t="s">
        <v>7485</v>
      </c>
      <c r="G2225" s="140"/>
      <c r="H2225" s="141"/>
      <c r="I2225" s="26">
        <v>18139</v>
      </c>
      <c r="J2225" s="117"/>
      <c r="K2225" s="120"/>
      <c r="L2225" s="121"/>
      <c r="M2225" s="120"/>
      <c r="N2225" s="121"/>
      <c r="O2225" s="120"/>
      <c r="P2225" s="121"/>
      <c r="Q2225" s="120"/>
      <c r="R2225" s="121"/>
      <c r="S2225" s="120"/>
      <c r="T2225" s="121"/>
      <c r="U2225" s="120"/>
      <c r="V2225" s="123"/>
      <c r="W2225" s="125"/>
      <c r="X2225" s="142" t="s">
        <v>2482</v>
      </c>
      <c r="Y2225" s="143"/>
      <c r="Z2225" s="143"/>
      <c r="AA2225" s="143"/>
      <c r="AB2225" s="144"/>
      <c r="AC2225" s="16" t="s">
        <v>21</v>
      </c>
      <c r="AD2225" s="17" t="s">
        <v>1638</v>
      </c>
      <c r="AE2225" s="145" t="s">
        <v>1670</v>
      </c>
      <c r="AF2225" s="146"/>
      <c r="AG2225" s="146"/>
      <c r="AH2225" s="146"/>
      <c r="AI2225" s="147"/>
      <c r="AJ2225" s="148"/>
      <c r="AK2225" s="143"/>
      <c r="AL2225" s="144"/>
      <c r="AM2225" s="22"/>
      <c r="AN2225" s="149" t="s">
        <v>2131</v>
      </c>
      <c r="AO2225" s="144"/>
      <c r="AP2225" s="148">
        <v>3053</v>
      </c>
      <c r="AQ2225" s="144"/>
      <c r="AR2225" s="120"/>
      <c r="AS2225" s="121"/>
      <c r="AT2225" s="120"/>
      <c r="AU2225" s="121"/>
      <c r="AV2225" s="120"/>
      <c r="AW2225" s="121"/>
      <c r="AX2225" s="120"/>
      <c r="AY2225" s="121"/>
      <c r="AZ2225" s="138"/>
    </row>
    <row r="2226" spans="1:52" ht="17.100000000000001" customHeight="1" thickTop="1">
      <c r="A2226" s="109" t="s">
        <v>7483</v>
      </c>
      <c r="B2226" s="28">
        <v>45937</v>
      </c>
      <c r="C2226" s="25">
        <v>960</v>
      </c>
      <c r="D2226" s="13" t="s">
        <v>4121</v>
      </c>
      <c r="E2226" s="111"/>
      <c r="F2226" s="113" t="s">
        <v>7523</v>
      </c>
      <c r="G2226" s="114"/>
      <c r="H2226" s="115"/>
      <c r="I2226" s="24"/>
      <c r="J2226" s="116">
        <v>4</v>
      </c>
      <c r="K2226" s="118">
        <v>1058000</v>
      </c>
      <c r="L2226" s="119"/>
      <c r="M2226" s="118">
        <f t="shared" ref="M2226" si="480">K2226*0.1</f>
        <v>105800</v>
      </c>
      <c r="N2226" s="119"/>
      <c r="O2226" s="118">
        <v>0</v>
      </c>
      <c r="P2226" s="119"/>
      <c r="Q2226" s="118">
        <v>8790</v>
      </c>
      <c r="R2226" s="119"/>
      <c r="S2226" s="118">
        <v>22000</v>
      </c>
      <c r="T2226" s="119"/>
      <c r="U2226" s="118">
        <f t="shared" ref="U2226" si="481">SUM(K2226:T2227)</f>
        <v>1194590</v>
      </c>
      <c r="V2226" s="122"/>
      <c r="W2226" s="124"/>
      <c r="X2226" s="126" t="s">
        <v>8429</v>
      </c>
      <c r="Y2226" s="127"/>
      <c r="Z2226" s="127"/>
      <c r="AA2226" s="127"/>
      <c r="AB2226" s="128"/>
      <c r="AC2226" s="15" t="s">
        <v>20</v>
      </c>
      <c r="AD2226" s="129" t="s">
        <v>6730</v>
      </c>
      <c r="AE2226" s="130"/>
      <c r="AF2226" s="130"/>
      <c r="AG2226" s="130"/>
      <c r="AH2226" s="130"/>
      <c r="AI2226" s="131"/>
      <c r="AJ2226" s="132"/>
      <c r="AK2226" s="127"/>
      <c r="AL2226" s="128"/>
      <c r="AM2226" s="21"/>
      <c r="AN2226" s="133">
        <v>45958</v>
      </c>
      <c r="AO2226" s="134"/>
      <c r="AP2226" s="135">
        <v>1915</v>
      </c>
      <c r="AQ2226" s="136"/>
      <c r="AR2226" s="118">
        <v>1092000</v>
      </c>
      <c r="AS2226" s="119"/>
      <c r="AT2226" s="118">
        <f t="shared" ref="AT2226" si="482">AR2226*0.1</f>
        <v>109200</v>
      </c>
      <c r="AU2226" s="119"/>
      <c r="AV2226" s="118">
        <v>8790</v>
      </c>
      <c r="AW2226" s="119"/>
      <c r="AX2226" s="118">
        <f t="shared" ref="AX2226" si="483">SUM(AR2226:AW2226)</f>
        <v>1209990</v>
      </c>
      <c r="AY2226" s="119"/>
      <c r="AZ2226" s="137">
        <v>45965</v>
      </c>
    </row>
    <row r="2227" spans="1:52" ht="17.100000000000001" customHeight="1" thickBot="1">
      <c r="A2227" s="110"/>
      <c r="B2227" s="27" t="s">
        <v>2055</v>
      </c>
      <c r="C2227" s="27">
        <v>1029</v>
      </c>
      <c r="D2227" s="14" t="s">
        <v>2601</v>
      </c>
      <c r="E2227" s="112"/>
      <c r="F2227" s="139" t="s">
        <v>7486</v>
      </c>
      <c r="G2227" s="140"/>
      <c r="H2227" s="141"/>
      <c r="I2227" s="26">
        <v>52516</v>
      </c>
      <c r="J2227" s="117"/>
      <c r="K2227" s="120"/>
      <c r="L2227" s="121"/>
      <c r="M2227" s="120"/>
      <c r="N2227" s="121"/>
      <c r="O2227" s="120"/>
      <c r="P2227" s="121"/>
      <c r="Q2227" s="120"/>
      <c r="R2227" s="121"/>
      <c r="S2227" s="120"/>
      <c r="T2227" s="121"/>
      <c r="U2227" s="120"/>
      <c r="V2227" s="123"/>
      <c r="W2227" s="125"/>
      <c r="X2227" s="142" t="s">
        <v>5035</v>
      </c>
      <c r="Y2227" s="143"/>
      <c r="Z2227" s="143"/>
      <c r="AA2227" s="143"/>
      <c r="AB2227" s="144"/>
      <c r="AC2227" s="16" t="s">
        <v>21</v>
      </c>
      <c r="AD2227" s="17" t="s">
        <v>1638</v>
      </c>
      <c r="AE2227" s="145" t="s">
        <v>7698</v>
      </c>
      <c r="AF2227" s="146"/>
      <c r="AG2227" s="146"/>
      <c r="AH2227" s="146"/>
      <c r="AI2227" s="147"/>
      <c r="AJ2227" s="148"/>
      <c r="AK2227" s="143"/>
      <c r="AL2227" s="144"/>
      <c r="AM2227" s="22"/>
      <c r="AN2227" s="149" t="s">
        <v>2131</v>
      </c>
      <c r="AO2227" s="144"/>
      <c r="AP2227" s="148">
        <v>3095</v>
      </c>
      <c r="AQ2227" s="144"/>
      <c r="AR2227" s="120"/>
      <c r="AS2227" s="121"/>
      <c r="AT2227" s="120"/>
      <c r="AU2227" s="121"/>
      <c r="AV2227" s="120"/>
      <c r="AW2227" s="121"/>
      <c r="AX2227" s="120"/>
      <c r="AY2227" s="121"/>
      <c r="AZ2227" s="138"/>
    </row>
    <row r="2228" spans="1:52" ht="17.100000000000001" customHeight="1" thickTop="1">
      <c r="A2228" s="109" t="s">
        <v>7487</v>
      </c>
      <c r="B2228" s="28">
        <v>45937</v>
      </c>
      <c r="C2228" s="25">
        <v>1064</v>
      </c>
      <c r="D2228" s="13" t="s">
        <v>1902</v>
      </c>
      <c r="E2228" s="111"/>
      <c r="F2228" s="113" t="s">
        <v>7524</v>
      </c>
      <c r="G2228" s="114"/>
      <c r="H2228" s="115"/>
      <c r="I2228" s="24" t="s">
        <v>2861</v>
      </c>
      <c r="J2228" s="116">
        <v>4.5</v>
      </c>
      <c r="K2228" s="118">
        <v>2215000</v>
      </c>
      <c r="L2228" s="119"/>
      <c r="M2228" s="118">
        <f t="shared" ref="M2228" si="484">K2228*0.1</f>
        <v>221500</v>
      </c>
      <c r="N2228" s="119"/>
      <c r="O2228" s="118">
        <f>15000+1500</f>
        <v>16500</v>
      </c>
      <c r="P2228" s="119"/>
      <c r="Q2228" s="118">
        <v>22000</v>
      </c>
      <c r="R2228" s="119"/>
      <c r="S2228" s="118">
        <v>16500</v>
      </c>
      <c r="T2228" s="119"/>
      <c r="U2228" s="118">
        <f t="shared" ref="U2228" si="485">SUM(K2228:T2229)</f>
        <v>2491500</v>
      </c>
      <c r="V2228" s="122"/>
      <c r="W2228" s="124"/>
      <c r="X2228" s="126" t="s">
        <v>7526</v>
      </c>
      <c r="Y2228" s="127"/>
      <c r="Z2228" s="127"/>
      <c r="AA2228" s="127"/>
      <c r="AB2228" s="128"/>
      <c r="AC2228" s="15" t="s">
        <v>20</v>
      </c>
      <c r="AD2228" s="129" t="s">
        <v>186</v>
      </c>
      <c r="AE2228" s="130"/>
      <c r="AF2228" s="130"/>
      <c r="AG2228" s="130"/>
      <c r="AH2228" s="130"/>
      <c r="AI2228" s="131"/>
      <c r="AJ2228" s="132"/>
      <c r="AK2228" s="127"/>
      <c r="AL2228" s="128"/>
      <c r="AM2228" s="21"/>
      <c r="AN2228" s="133">
        <v>45948</v>
      </c>
      <c r="AO2228" s="134"/>
      <c r="AP2228" s="135">
        <v>1272</v>
      </c>
      <c r="AQ2228" s="136"/>
      <c r="AR2228" s="118">
        <v>2505000</v>
      </c>
      <c r="AS2228" s="119"/>
      <c r="AT2228" s="118">
        <f t="shared" ref="AT2228" si="486">AR2228*0.1</f>
        <v>250500</v>
      </c>
      <c r="AU2228" s="119"/>
      <c r="AV2228" s="118">
        <v>22000</v>
      </c>
      <c r="AW2228" s="119"/>
      <c r="AX2228" s="118">
        <f t="shared" ref="AX2228" si="487">SUM(AR2228:AW2228)</f>
        <v>2777500</v>
      </c>
      <c r="AY2228" s="119"/>
      <c r="AZ2228" s="137">
        <v>45951</v>
      </c>
    </row>
    <row r="2229" spans="1:52" ht="17.100000000000001" customHeight="1" thickBot="1">
      <c r="A2229" s="110"/>
      <c r="B2229" s="27" t="s">
        <v>1591</v>
      </c>
      <c r="C2229" s="27">
        <v>82068</v>
      </c>
      <c r="D2229" s="14" t="s">
        <v>275</v>
      </c>
      <c r="E2229" s="112"/>
      <c r="F2229" s="139" t="s">
        <v>7525</v>
      </c>
      <c r="G2229" s="140"/>
      <c r="H2229" s="141"/>
      <c r="I2229" s="26">
        <v>29453</v>
      </c>
      <c r="J2229" s="117"/>
      <c r="K2229" s="120"/>
      <c r="L2229" s="121"/>
      <c r="M2229" s="120"/>
      <c r="N2229" s="121"/>
      <c r="O2229" s="120"/>
      <c r="P2229" s="121"/>
      <c r="Q2229" s="120"/>
      <c r="R2229" s="121"/>
      <c r="S2229" s="120"/>
      <c r="T2229" s="121"/>
      <c r="U2229" s="120"/>
      <c r="V2229" s="123"/>
      <c r="W2229" s="125"/>
      <c r="X2229" s="142" t="s">
        <v>3513</v>
      </c>
      <c r="Y2229" s="143"/>
      <c r="Z2229" s="143"/>
      <c r="AA2229" s="143"/>
      <c r="AB2229" s="144"/>
      <c r="AC2229" s="16" t="s">
        <v>21</v>
      </c>
      <c r="AD2229" s="17" t="s">
        <v>2164</v>
      </c>
      <c r="AE2229" s="145" t="s">
        <v>7231</v>
      </c>
      <c r="AF2229" s="146"/>
      <c r="AG2229" s="146"/>
      <c r="AH2229" s="146"/>
      <c r="AI2229" s="147"/>
      <c r="AJ2229" s="148"/>
      <c r="AK2229" s="143"/>
      <c r="AL2229" s="144"/>
      <c r="AM2229" s="22"/>
      <c r="AN2229" s="149" t="s">
        <v>2511</v>
      </c>
      <c r="AO2229" s="144"/>
      <c r="AP2229" s="148">
        <v>80047</v>
      </c>
      <c r="AQ2229" s="144"/>
      <c r="AR2229" s="120"/>
      <c r="AS2229" s="121"/>
      <c r="AT2229" s="120"/>
      <c r="AU2229" s="121"/>
      <c r="AV2229" s="120"/>
      <c r="AW2229" s="121"/>
      <c r="AX2229" s="120"/>
      <c r="AY2229" s="121"/>
      <c r="AZ2229" s="138"/>
    </row>
    <row r="2230" spans="1:52" ht="17.100000000000001" customHeight="1" thickTop="1">
      <c r="A2230" s="109" t="s">
        <v>7488</v>
      </c>
      <c r="B2230" s="28">
        <v>45938</v>
      </c>
      <c r="C2230" s="25">
        <v>2325</v>
      </c>
      <c r="D2230" s="13" t="s">
        <v>1823</v>
      </c>
      <c r="E2230" s="111"/>
      <c r="F2230" s="113" t="s">
        <v>7493</v>
      </c>
      <c r="G2230" s="114"/>
      <c r="H2230" s="115"/>
      <c r="I2230" s="24" t="s">
        <v>4547</v>
      </c>
      <c r="J2230" s="116">
        <v>4</v>
      </c>
      <c r="K2230" s="118">
        <v>315000</v>
      </c>
      <c r="L2230" s="119"/>
      <c r="M2230" s="118">
        <f t="shared" ref="M2230" si="488">K2230*0.1</f>
        <v>31500</v>
      </c>
      <c r="N2230" s="119"/>
      <c r="O2230" s="118">
        <v>15000</v>
      </c>
      <c r="P2230" s="119"/>
      <c r="Q2230" s="118">
        <v>9070</v>
      </c>
      <c r="R2230" s="119"/>
      <c r="S2230" s="118">
        <v>16500</v>
      </c>
      <c r="T2230" s="119"/>
      <c r="U2230" s="118">
        <f t="shared" ref="U2230" si="489">SUM(K2230:T2231)</f>
        <v>387070</v>
      </c>
      <c r="V2230" s="122"/>
      <c r="W2230" s="124"/>
      <c r="X2230" s="126" t="s">
        <v>7978</v>
      </c>
      <c r="Y2230" s="127"/>
      <c r="Z2230" s="127"/>
      <c r="AA2230" s="127"/>
      <c r="AB2230" s="128"/>
      <c r="AC2230" s="15" t="s">
        <v>20</v>
      </c>
      <c r="AD2230" s="129" t="s">
        <v>5459</v>
      </c>
      <c r="AE2230" s="130"/>
      <c r="AF2230" s="130"/>
      <c r="AG2230" s="130"/>
      <c r="AH2230" s="130"/>
      <c r="AI2230" s="131"/>
      <c r="AJ2230" s="132"/>
      <c r="AK2230" s="127"/>
      <c r="AL2230" s="128"/>
      <c r="AM2230" s="21" t="s">
        <v>11041</v>
      </c>
      <c r="AN2230" s="133">
        <v>46057</v>
      </c>
      <c r="AO2230" s="134"/>
      <c r="AP2230" s="135">
        <v>1003</v>
      </c>
      <c r="AQ2230" s="136"/>
      <c r="AR2230" s="118">
        <v>380000</v>
      </c>
      <c r="AS2230" s="119"/>
      <c r="AT2230" s="118">
        <f t="shared" ref="AT2230" si="490">AR2230*0.1</f>
        <v>38000</v>
      </c>
      <c r="AU2230" s="119"/>
      <c r="AV2230" s="118">
        <v>9070</v>
      </c>
      <c r="AW2230" s="119"/>
      <c r="AX2230" s="118">
        <f t="shared" ref="AX2230" si="491">SUM(AR2230:AW2230)</f>
        <v>427070</v>
      </c>
      <c r="AY2230" s="119"/>
      <c r="AZ2230" s="137">
        <v>46062</v>
      </c>
    </row>
    <row r="2231" spans="1:52" ht="17.100000000000001" customHeight="1" thickBot="1">
      <c r="A2231" s="110"/>
      <c r="B2231" s="27" t="s">
        <v>3422</v>
      </c>
      <c r="C2231" s="27">
        <v>20088</v>
      </c>
      <c r="D2231" s="14" t="s">
        <v>1576</v>
      </c>
      <c r="E2231" s="112"/>
      <c r="F2231" s="139" t="s">
        <v>7494</v>
      </c>
      <c r="G2231" s="140"/>
      <c r="H2231" s="141"/>
      <c r="I2231" s="26">
        <v>63736</v>
      </c>
      <c r="J2231" s="117"/>
      <c r="K2231" s="120"/>
      <c r="L2231" s="121"/>
      <c r="M2231" s="120"/>
      <c r="N2231" s="121"/>
      <c r="O2231" s="120"/>
      <c r="P2231" s="121"/>
      <c r="Q2231" s="120"/>
      <c r="R2231" s="121"/>
      <c r="S2231" s="120"/>
      <c r="T2231" s="121"/>
      <c r="U2231" s="120"/>
      <c r="V2231" s="123"/>
      <c r="W2231" s="125"/>
      <c r="X2231" s="142" t="s">
        <v>7979</v>
      </c>
      <c r="Y2231" s="143"/>
      <c r="Z2231" s="143"/>
      <c r="AA2231" s="143"/>
      <c r="AB2231" s="144"/>
      <c r="AC2231" s="16" t="s">
        <v>21</v>
      </c>
      <c r="AD2231" s="17" t="s">
        <v>3289</v>
      </c>
      <c r="AE2231" s="145" t="s">
        <v>1742</v>
      </c>
      <c r="AF2231" s="146"/>
      <c r="AG2231" s="146"/>
      <c r="AH2231" s="146"/>
      <c r="AI2231" s="147"/>
      <c r="AJ2231" s="148"/>
      <c r="AK2231" s="143"/>
      <c r="AL2231" s="144"/>
      <c r="AM2231" s="22"/>
      <c r="AN2231" s="149" t="s">
        <v>2794</v>
      </c>
      <c r="AO2231" s="144"/>
      <c r="AP2231" s="148">
        <v>2047</v>
      </c>
      <c r="AQ2231" s="144"/>
      <c r="AR2231" s="120"/>
      <c r="AS2231" s="121"/>
      <c r="AT2231" s="120"/>
      <c r="AU2231" s="121"/>
      <c r="AV2231" s="120"/>
      <c r="AW2231" s="121"/>
      <c r="AX2231" s="120"/>
      <c r="AY2231" s="121"/>
      <c r="AZ2231" s="138"/>
    </row>
    <row r="2232" spans="1:52" ht="17.100000000000001" customHeight="1" thickTop="1">
      <c r="A2232" s="109" t="s">
        <v>7489</v>
      </c>
      <c r="B2232" s="28">
        <v>45938</v>
      </c>
      <c r="C2232" s="25">
        <v>2325</v>
      </c>
      <c r="D2232" s="13" t="s">
        <v>7495</v>
      </c>
      <c r="E2232" s="111"/>
      <c r="F2232" s="113" t="s">
        <v>6816</v>
      </c>
      <c r="G2232" s="114"/>
      <c r="H2232" s="115"/>
      <c r="I2232" s="24" t="s">
        <v>3931</v>
      </c>
      <c r="J2232" s="116">
        <v>4.5</v>
      </c>
      <c r="K2232" s="118">
        <v>345000</v>
      </c>
      <c r="L2232" s="119"/>
      <c r="M2232" s="118">
        <f t="shared" ref="M2232" si="492">K2232*0.1</f>
        <v>34500</v>
      </c>
      <c r="N2232" s="119"/>
      <c r="O2232" s="118">
        <v>15000</v>
      </c>
      <c r="P2232" s="119"/>
      <c r="Q2232" s="118">
        <v>9070</v>
      </c>
      <c r="R2232" s="119"/>
      <c r="S2232" s="118">
        <v>16500</v>
      </c>
      <c r="T2232" s="119"/>
      <c r="U2232" s="118">
        <f t="shared" ref="U2232" si="493">SUM(K2232:T2233)</f>
        <v>420070</v>
      </c>
      <c r="V2232" s="122"/>
      <c r="W2232" s="124"/>
      <c r="X2232" s="126" t="s">
        <v>7976</v>
      </c>
      <c r="Y2232" s="127"/>
      <c r="Z2232" s="127"/>
      <c r="AA2232" s="127"/>
      <c r="AB2232" s="128"/>
      <c r="AC2232" s="15" t="s">
        <v>20</v>
      </c>
      <c r="AD2232" s="129"/>
      <c r="AE2232" s="130"/>
      <c r="AF2232" s="130"/>
      <c r="AG2232" s="130"/>
      <c r="AH2232" s="130"/>
      <c r="AI2232" s="131"/>
      <c r="AJ2232" s="132"/>
      <c r="AK2232" s="127"/>
      <c r="AL2232" s="128"/>
      <c r="AM2232" s="21" t="s">
        <v>11034</v>
      </c>
      <c r="AN2232" s="133">
        <v>46043</v>
      </c>
      <c r="AO2232" s="134"/>
      <c r="AP2232" s="135">
        <v>1001</v>
      </c>
      <c r="AQ2232" s="136"/>
      <c r="AR2232" s="118">
        <v>370000</v>
      </c>
      <c r="AS2232" s="119"/>
      <c r="AT2232" s="118">
        <f t="shared" ref="AT2232" si="494">AR2232*0.1</f>
        <v>37000</v>
      </c>
      <c r="AU2232" s="119"/>
      <c r="AV2232" s="118">
        <v>9070</v>
      </c>
      <c r="AW2232" s="119"/>
      <c r="AX2232" s="118">
        <f t="shared" ref="AX2232" si="495">SUM(AR2232:AW2232)</f>
        <v>416070</v>
      </c>
      <c r="AY2232" s="119"/>
      <c r="AZ2232" s="137">
        <v>46048</v>
      </c>
    </row>
    <row r="2233" spans="1:52" ht="17.100000000000001" customHeight="1" thickBot="1">
      <c r="A2233" s="110"/>
      <c r="B2233" s="27" t="s">
        <v>3422</v>
      </c>
      <c r="C2233" s="27">
        <v>20101</v>
      </c>
      <c r="D2233" s="14" t="s">
        <v>1812</v>
      </c>
      <c r="E2233" s="112"/>
      <c r="F2233" s="139" t="s">
        <v>7496</v>
      </c>
      <c r="G2233" s="140"/>
      <c r="H2233" s="141"/>
      <c r="I2233" s="26">
        <v>55539</v>
      </c>
      <c r="J2233" s="117"/>
      <c r="K2233" s="120"/>
      <c r="L2233" s="121"/>
      <c r="M2233" s="120"/>
      <c r="N2233" s="121"/>
      <c r="O2233" s="120"/>
      <c r="P2233" s="121"/>
      <c r="Q2233" s="120"/>
      <c r="R2233" s="121"/>
      <c r="S2233" s="120"/>
      <c r="T2233" s="121"/>
      <c r="U2233" s="120"/>
      <c r="V2233" s="123"/>
      <c r="W2233" s="125"/>
      <c r="X2233" s="142" t="s">
        <v>7977</v>
      </c>
      <c r="Y2233" s="143"/>
      <c r="Z2233" s="143"/>
      <c r="AA2233" s="143"/>
      <c r="AB2233" s="144"/>
      <c r="AC2233" s="16" t="s">
        <v>21</v>
      </c>
      <c r="AD2233" s="17" t="s">
        <v>3289</v>
      </c>
      <c r="AE2233" s="145" t="s">
        <v>1742</v>
      </c>
      <c r="AF2233" s="146"/>
      <c r="AG2233" s="146"/>
      <c r="AH2233" s="146"/>
      <c r="AI2233" s="147"/>
      <c r="AJ2233" s="148"/>
      <c r="AK2233" s="143"/>
      <c r="AL2233" s="144"/>
      <c r="AM2233" s="22"/>
      <c r="AN2233" s="149" t="s">
        <v>2794</v>
      </c>
      <c r="AO2233" s="144"/>
      <c r="AP2233" s="148">
        <v>2028</v>
      </c>
      <c r="AQ2233" s="144"/>
      <c r="AR2233" s="120"/>
      <c r="AS2233" s="121"/>
      <c r="AT2233" s="120"/>
      <c r="AU2233" s="121"/>
      <c r="AV2233" s="120"/>
      <c r="AW2233" s="121"/>
      <c r="AX2233" s="120"/>
      <c r="AY2233" s="121"/>
      <c r="AZ2233" s="138"/>
    </row>
    <row r="2234" spans="1:52" ht="17.100000000000001" customHeight="1" thickTop="1">
      <c r="A2234" s="109" t="s">
        <v>7490</v>
      </c>
      <c r="B2234" s="28">
        <v>45938</v>
      </c>
      <c r="C2234" s="25">
        <v>2325</v>
      </c>
      <c r="D2234" s="13" t="s">
        <v>2322</v>
      </c>
      <c r="E2234" s="111"/>
      <c r="F2234" s="113" t="s">
        <v>2598</v>
      </c>
      <c r="G2234" s="114"/>
      <c r="H2234" s="115"/>
      <c r="I2234" s="24" t="s">
        <v>7528</v>
      </c>
      <c r="J2234" s="116">
        <v>4.5</v>
      </c>
      <c r="K2234" s="118">
        <v>955000</v>
      </c>
      <c r="L2234" s="119"/>
      <c r="M2234" s="118">
        <f t="shared" ref="M2234" si="496">K2234*0.1</f>
        <v>95500</v>
      </c>
      <c r="N2234" s="119"/>
      <c r="O2234" s="118">
        <v>15000</v>
      </c>
      <c r="P2234" s="119"/>
      <c r="Q2234" s="118">
        <v>9080</v>
      </c>
      <c r="R2234" s="119"/>
      <c r="S2234" s="118">
        <v>16500</v>
      </c>
      <c r="T2234" s="119"/>
      <c r="U2234" s="118">
        <f t="shared" ref="U2234" si="497">SUM(K2234:T2235)</f>
        <v>1091080</v>
      </c>
      <c r="V2234" s="122"/>
      <c r="W2234" s="124"/>
      <c r="X2234" s="126" t="s">
        <v>7970</v>
      </c>
      <c r="Y2234" s="127"/>
      <c r="Z2234" s="127"/>
      <c r="AA2234" s="127"/>
      <c r="AB2234" s="128"/>
      <c r="AC2234" s="15" t="s">
        <v>20</v>
      </c>
      <c r="AD2234" s="129"/>
      <c r="AE2234" s="130"/>
      <c r="AF2234" s="130"/>
      <c r="AG2234" s="130"/>
      <c r="AH2234" s="130"/>
      <c r="AI2234" s="131"/>
      <c r="AJ2234" s="132"/>
      <c r="AK2234" s="127"/>
      <c r="AL2234" s="128"/>
      <c r="AM2234" s="21" t="s">
        <v>10713</v>
      </c>
      <c r="AN2234" s="133">
        <v>45973</v>
      </c>
      <c r="AO2234" s="134"/>
      <c r="AP2234" s="135">
        <v>992</v>
      </c>
      <c r="AQ2234" s="136"/>
      <c r="AR2234" s="118">
        <v>1035000</v>
      </c>
      <c r="AS2234" s="119"/>
      <c r="AT2234" s="118">
        <f t="shared" ref="AT2234" si="498">AR2234*0.1</f>
        <v>103500</v>
      </c>
      <c r="AU2234" s="119"/>
      <c r="AV2234" s="118">
        <v>9080</v>
      </c>
      <c r="AW2234" s="119"/>
      <c r="AX2234" s="118">
        <f t="shared" ref="AX2234" si="499">SUM(AR2234:AW2234)</f>
        <v>1147580</v>
      </c>
      <c r="AY2234" s="119"/>
      <c r="AZ2234" s="137">
        <v>45978</v>
      </c>
    </row>
    <row r="2235" spans="1:52" ht="17.100000000000001" customHeight="1" thickBot="1">
      <c r="A2235" s="110"/>
      <c r="B2235" s="27" t="s">
        <v>3422</v>
      </c>
      <c r="C2235" s="27">
        <v>20185</v>
      </c>
      <c r="D2235" s="14" t="s">
        <v>2040</v>
      </c>
      <c r="E2235" s="112"/>
      <c r="F2235" s="139" t="s">
        <v>7527</v>
      </c>
      <c r="G2235" s="140"/>
      <c r="H2235" s="141"/>
      <c r="I2235" s="26">
        <v>40183</v>
      </c>
      <c r="J2235" s="117"/>
      <c r="K2235" s="120"/>
      <c r="L2235" s="121"/>
      <c r="M2235" s="120"/>
      <c r="N2235" s="121"/>
      <c r="O2235" s="120"/>
      <c r="P2235" s="121"/>
      <c r="Q2235" s="120"/>
      <c r="R2235" s="121"/>
      <c r="S2235" s="120"/>
      <c r="T2235" s="121"/>
      <c r="U2235" s="120"/>
      <c r="V2235" s="123"/>
      <c r="W2235" s="125"/>
      <c r="X2235" s="142" t="s">
        <v>7971</v>
      </c>
      <c r="Y2235" s="143"/>
      <c r="Z2235" s="143"/>
      <c r="AA2235" s="143"/>
      <c r="AB2235" s="144"/>
      <c r="AC2235" s="16" t="s">
        <v>21</v>
      </c>
      <c r="AD2235" s="17" t="s">
        <v>2604</v>
      </c>
      <c r="AE2235" s="145" t="s">
        <v>171</v>
      </c>
      <c r="AF2235" s="146"/>
      <c r="AG2235" s="146"/>
      <c r="AH2235" s="146"/>
      <c r="AI2235" s="147"/>
      <c r="AJ2235" s="148"/>
      <c r="AK2235" s="143"/>
      <c r="AL2235" s="144"/>
      <c r="AM2235" s="22"/>
      <c r="AN2235" s="149" t="s">
        <v>2794</v>
      </c>
      <c r="AO2235" s="144"/>
      <c r="AP2235" s="148">
        <v>2041</v>
      </c>
      <c r="AQ2235" s="144"/>
      <c r="AR2235" s="120"/>
      <c r="AS2235" s="121"/>
      <c r="AT2235" s="120"/>
      <c r="AU2235" s="121"/>
      <c r="AV2235" s="120"/>
      <c r="AW2235" s="121"/>
      <c r="AX2235" s="120"/>
      <c r="AY2235" s="121"/>
      <c r="AZ2235" s="138"/>
    </row>
    <row r="2236" spans="1:52" ht="17.100000000000001" customHeight="1" thickTop="1">
      <c r="A2236" s="109" t="s">
        <v>7491</v>
      </c>
      <c r="B2236" s="28">
        <v>45938</v>
      </c>
      <c r="C2236" s="25">
        <v>2325</v>
      </c>
      <c r="D2236" s="13" t="s">
        <v>2022</v>
      </c>
      <c r="E2236" s="111"/>
      <c r="F2236" s="113" t="s">
        <v>7497</v>
      </c>
      <c r="G2236" s="114"/>
      <c r="H2236" s="115"/>
      <c r="I2236" s="24" t="s">
        <v>7529</v>
      </c>
      <c r="J2236" s="116">
        <v>4.5</v>
      </c>
      <c r="K2236" s="118">
        <v>765000</v>
      </c>
      <c r="L2236" s="119"/>
      <c r="M2236" s="118">
        <f t="shared" ref="M2236" si="500">K2236*0.1</f>
        <v>76500</v>
      </c>
      <c r="N2236" s="119"/>
      <c r="O2236" s="118">
        <f>12200+1220</f>
        <v>13420</v>
      </c>
      <c r="P2236" s="119"/>
      <c r="Q2236" s="118">
        <v>12470</v>
      </c>
      <c r="R2236" s="119"/>
      <c r="S2236" s="118">
        <v>16500</v>
      </c>
      <c r="T2236" s="119"/>
      <c r="U2236" s="118">
        <f t="shared" ref="U2236" si="501">SUM(K2236:T2237)</f>
        <v>883890</v>
      </c>
      <c r="V2236" s="122"/>
      <c r="W2236" s="124"/>
      <c r="X2236" s="126" t="s">
        <v>7993</v>
      </c>
      <c r="Y2236" s="127"/>
      <c r="Z2236" s="127"/>
      <c r="AA2236" s="127"/>
      <c r="AB2236" s="128"/>
      <c r="AC2236" s="15" t="s">
        <v>20</v>
      </c>
      <c r="AD2236" s="129"/>
      <c r="AE2236" s="130"/>
      <c r="AF2236" s="130"/>
      <c r="AG2236" s="130"/>
      <c r="AH2236" s="130"/>
      <c r="AI2236" s="131"/>
      <c r="AJ2236" s="132"/>
      <c r="AK2236" s="127"/>
      <c r="AL2236" s="128"/>
      <c r="AM2236" s="21" t="s">
        <v>10393</v>
      </c>
      <c r="AN2236" s="133">
        <v>45990</v>
      </c>
      <c r="AO2236" s="134"/>
      <c r="AP2236" s="135">
        <v>1278</v>
      </c>
      <c r="AQ2236" s="136"/>
      <c r="AR2236" s="118">
        <v>810000</v>
      </c>
      <c r="AS2236" s="119"/>
      <c r="AT2236" s="118">
        <f t="shared" ref="AT2236" si="502">AR2236*0.1</f>
        <v>81000</v>
      </c>
      <c r="AU2236" s="119"/>
      <c r="AV2236" s="118">
        <v>12470</v>
      </c>
      <c r="AW2236" s="119"/>
      <c r="AX2236" s="118">
        <f t="shared" ref="AX2236" si="503">SUM(AR2236:AW2236)</f>
        <v>903470</v>
      </c>
      <c r="AY2236" s="119"/>
      <c r="AZ2236" s="137">
        <v>45994</v>
      </c>
    </row>
    <row r="2237" spans="1:52" ht="17.100000000000001" customHeight="1" thickBot="1">
      <c r="A2237" s="110"/>
      <c r="B2237" s="27" t="s">
        <v>3422</v>
      </c>
      <c r="C2237" s="27">
        <v>60129</v>
      </c>
      <c r="D2237" s="14" t="s">
        <v>1556</v>
      </c>
      <c r="E2237" s="112"/>
      <c r="F2237" s="139" t="s">
        <v>7498</v>
      </c>
      <c r="G2237" s="140"/>
      <c r="H2237" s="141"/>
      <c r="I2237" s="26">
        <v>58045</v>
      </c>
      <c r="J2237" s="117"/>
      <c r="K2237" s="120"/>
      <c r="L2237" s="121"/>
      <c r="M2237" s="120"/>
      <c r="N2237" s="121"/>
      <c r="O2237" s="120"/>
      <c r="P2237" s="121"/>
      <c r="Q2237" s="120"/>
      <c r="R2237" s="121"/>
      <c r="S2237" s="120"/>
      <c r="T2237" s="121"/>
      <c r="U2237" s="120"/>
      <c r="V2237" s="123"/>
      <c r="W2237" s="125"/>
      <c r="X2237" s="142" t="s">
        <v>7958</v>
      </c>
      <c r="Y2237" s="143"/>
      <c r="Z2237" s="143"/>
      <c r="AA2237" s="143"/>
      <c r="AB2237" s="144"/>
      <c r="AC2237" s="16" t="s">
        <v>21</v>
      </c>
      <c r="AD2237" s="17" t="s">
        <v>3289</v>
      </c>
      <c r="AE2237" s="145" t="s">
        <v>7859</v>
      </c>
      <c r="AF2237" s="146"/>
      <c r="AG2237" s="146"/>
      <c r="AH2237" s="146"/>
      <c r="AI2237" s="147"/>
      <c r="AJ2237" s="148"/>
      <c r="AK2237" s="143"/>
      <c r="AL2237" s="144"/>
      <c r="AM2237" s="22"/>
      <c r="AN2237" s="149" t="s">
        <v>7284</v>
      </c>
      <c r="AO2237" s="144"/>
      <c r="AP2237" s="148">
        <v>80161</v>
      </c>
      <c r="AQ2237" s="144"/>
      <c r="AR2237" s="120"/>
      <c r="AS2237" s="121"/>
      <c r="AT2237" s="120"/>
      <c r="AU2237" s="121"/>
      <c r="AV2237" s="120"/>
      <c r="AW2237" s="121"/>
      <c r="AX2237" s="120"/>
      <c r="AY2237" s="121"/>
      <c r="AZ2237" s="138"/>
    </row>
    <row r="2238" spans="1:52" ht="17.100000000000001" customHeight="1" thickTop="1">
      <c r="A2238" s="109" t="s">
        <v>7492</v>
      </c>
      <c r="B2238" s="28">
        <v>45938</v>
      </c>
      <c r="C2238" s="25">
        <v>2325</v>
      </c>
      <c r="D2238" s="13" t="s">
        <v>2428</v>
      </c>
      <c r="E2238" s="111"/>
      <c r="F2238" s="113" t="s">
        <v>7530</v>
      </c>
      <c r="G2238" s="114"/>
      <c r="H2238" s="115"/>
      <c r="I2238" s="24" t="s">
        <v>7531</v>
      </c>
      <c r="J2238" s="116">
        <v>5</v>
      </c>
      <c r="K2238" s="118">
        <v>1685000</v>
      </c>
      <c r="L2238" s="119"/>
      <c r="M2238" s="118">
        <f t="shared" ref="M2238" si="504">K2238*0.1</f>
        <v>168500</v>
      </c>
      <c r="N2238" s="119"/>
      <c r="O2238" s="118">
        <f>10400+1040</f>
        <v>11440</v>
      </c>
      <c r="P2238" s="119"/>
      <c r="Q2238" s="118">
        <v>7450</v>
      </c>
      <c r="R2238" s="119"/>
      <c r="S2238" s="118">
        <v>16500</v>
      </c>
      <c r="T2238" s="119"/>
      <c r="U2238" s="118">
        <f t="shared" ref="U2238" si="505">SUM(K2238:T2239)</f>
        <v>1888890</v>
      </c>
      <c r="V2238" s="122"/>
      <c r="W2238" s="124"/>
      <c r="X2238" s="126" t="s">
        <v>7972</v>
      </c>
      <c r="Y2238" s="127"/>
      <c r="Z2238" s="127"/>
      <c r="AA2238" s="127"/>
      <c r="AB2238" s="128"/>
      <c r="AC2238" s="15" t="s">
        <v>20</v>
      </c>
      <c r="AD2238" s="129" t="s">
        <v>171</v>
      </c>
      <c r="AE2238" s="130"/>
      <c r="AF2238" s="130"/>
      <c r="AG2238" s="130"/>
      <c r="AH2238" s="130"/>
      <c r="AI2238" s="131"/>
      <c r="AJ2238" s="132"/>
      <c r="AK2238" s="127"/>
      <c r="AL2238" s="128"/>
      <c r="AM2238" s="21"/>
      <c r="AN2238" s="133">
        <v>45945</v>
      </c>
      <c r="AO2238" s="134"/>
      <c r="AP2238" s="135">
        <v>988</v>
      </c>
      <c r="AQ2238" s="136"/>
      <c r="AR2238" s="118">
        <v>1785000</v>
      </c>
      <c r="AS2238" s="119"/>
      <c r="AT2238" s="118">
        <f t="shared" ref="AT2238" si="506">AR2238*0.1</f>
        <v>178500</v>
      </c>
      <c r="AU2238" s="119"/>
      <c r="AV2238" s="118">
        <v>7450</v>
      </c>
      <c r="AW2238" s="119"/>
      <c r="AX2238" s="118">
        <f t="shared" ref="AX2238" si="507">SUM(AR2238:AW2238)</f>
        <v>1970950</v>
      </c>
      <c r="AY2238" s="119"/>
      <c r="AZ2238" s="137">
        <v>45952</v>
      </c>
    </row>
    <row r="2239" spans="1:52" ht="17.100000000000001" customHeight="1" thickBot="1">
      <c r="A2239" s="110"/>
      <c r="B2239" s="27" t="s">
        <v>3422</v>
      </c>
      <c r="C2239" s="27">
        <v>60221</v>
      </c>
      <c r="D2239" s="14" t="s">
        <v>904</v>
      </c>
      <c r="E2239" s="112"/>
      <c r="F2239" s="139" t="s">
        <v>7499</v>
      </c>
      <c r="G2239" s="140"/>
      <c r="H2239" s="141"/>
      <c r="I2239" s="26">
        <v>30414</v>
      </c>
      <c r="J2239" s="117"/>
      <c r="K2239" s="120"/>
      <c r="L2239" s="121"/>
      <c r="M2239" s="120"/>
      <c r="N2239" s="121"/>
      <c r="O2239" s="120"/>
      <c r="P2239" s="121"/>
      <c r="Q2239" s="120"/>
      <c r="R2239" s="121"/>
      <c r="S2239" s="120"/>
      <c r="T2239" s="121"/>
      <c r="U2239" s="120"/>
      <c r="V2239" s="123"/>
      <c r="W2239" s="125"/>
      <c r="X2239" s="142" t="s">
        <v>7973</v>
      </c>
      <c r="Y2239" s="143"/>
      <c r="Z2239" s="143"/>
      <c r="AA2239" s="143"/>
      <c r="AB2239" s="144"/>
      <c r="AC2239" s="16" t="s">
        <v>21</v>
      </c>
      <c r="AD2239" s="17" t="s">
        <v>2604</v>
      </c>
      <c r="AE2239" s="145" t="s">
        <v>1945</v>
      </c>
      <c r="AF2239" s="146"/>
      <c r="AG2239" s="146"/>
      <c r="AH2239" s="146"/>
      <c r="AI2239" s="147"/>
      <c r="AJ2239" s="148"/>
      <c r="AK2239" s="143"/>
      <c r="AL2239" s="144"/>
      <c r="AM2239" s="22"/>
      <c r="AN2239" s="149" t="s">
        <v>7285</v>
      </c>
      <c r="AO2239" s="144"/>
      <c r="AP2239" s="148">
        <v>5052</v>
      </c>
      <c r="AQ2239" s="144"/>
      <c r="AR2239" s="120"/>
      <c r="AS2239" s="121"/>
      <c r="AT2239" s="120"/>
      <c r="AU2239" s="121"/>
      <c r="AV2239" s="120"/>
      <c r="AW2239" s="121"/>
      <c r="AX2239" s="120"/>
      <c r="AY2239" s="121"/>
      <c r="AZ2239" s="138"/>
    </row>
    <row r="2240" spans="1:52" ht="17.100000000000001" customHeight="1" thickTop="1">
      <c r="A2240" s="109" t="s">
        <v>7500</v>
      </c>
      <c r="B2240" s="28">
        <v>45938</v>
      </c>
      <c r="C2240" s="25">
        <v>1808</v>
      </c>
      <c r="D2240" s="13" t="s">
        <v>1902</v>
      </c>
      <c r="E2240" s="111"/>
      <c r="F2240" s="113" t="s">
        <v>7505</v>
      </c>
      <c r="G2240" s="114"/>
      <c r="H2240" s="115"/>
      <c r="I2240" s="24" t="s">
        <v>2861</v>
      </c>
      <c r="J2240" s="116">
        <v>4.5</v>
      </c>
      <c r="K2240" s="118">
        <v>1261000</v>
      </c>
      <c r="L2240" s="119"/>
      <c r="M2240" s="118">
        <f t="shared" ref="M2240" si="508">K2240*0.1</f>
        <v>126100</v>
      </c>
      <c r="N2240" s="119"/>
      <c r="O2240" s="118">
        <v>0</v>
      </c>
      <c r="P2240" s="119"/>
      <c r="Q2240" s="118">
        <v>8390</v>
      </c>
      <c r="R2240" s="119"/>
      <c r="S2240" s="118">
        <v>18150</v>
      </c>
      <c r="T2240" s="119"/>
      <c r="U2240" s="118">
        <f t="shared" ref="U2240" si="509">SUM(K2240:T2241)</f>
        <v>1413640</v>
      </c>
      <c r="V2240" s="122"/>
      <c r="W2240" s="124"/>
      <c r="X2240" s="126" t="s">
        <v>7507</v>
      </c>
      <c r="Y2240" s="127"/>
      <c r="Z2240" s="127"/>
      <c r="AA2240" s="127"/>
      <c r="AB2240" s="128"/>
      <c r="AC2240" s="15" t="s">
        <v>20</v>
      </c>
      <c r="AD2240" s="129"/>
      <c r="AE2240" s="130"/>
      <c r="AF2240" s="130"/>
      <c r="AG2240" s="130"/>
      <c r="AH2240" s="130"/>
      <c r="AI2240" s="131"/>
      <c r="AJ2240" s="132"/>
      <c r="AK2240" s="127"/>
      <c r="AL2240" s="128"/>
      <c r="AM2240" s="21"/>
      <c r="AN2240" s="133">
        <v>45952</v>
      </c>
      <c r="AO2240" s="134"/>
      <c r="AP2240" s="135">
        <v>989</v>
      </c>
      <c r="AQ2240" s="136"/>
      <c r="AR2240" s="118">
        <v>1315000</v>
      </c>
      <c r="AS2240" s="119"/>
      <c r="AT2240" s="118">
        <f t="shared" ref="AT2240" si="510">AR2240*0.1</f>
        <v>131500</v>
      </c>
      <c r="AU2240" s="119"/>
      <c r="AV2240" s="118">
        <v>8390</v>
      </c>
      <c r="AW2240" s="119"/>
      <c r="AX2240" s="118">
        <f t="shared" ref="AX2240" si="511">SUM(AR2240:AW2240)</f>
        <v>1454890</v>
      </c>
      <c r="AY2240" s="119"/>
      <c r="AZ2240" s="137">
        <v>45957</v>
      </c>
    </row>
    <row r="2241" spans="1:52" ht="17.100000000000001" customHeight="1" thickBot="1">
      <c r="A2241" s="110"/>
      <c r="B2241" s="27" t="s">
        <v>2559</v>
      </c>
      <c r="C2241" s="27">
        <v>3115</v>
      </c>
      <c r="D2241" s="14" t="s">
        <v>2601</v>
      </c>
      <c r="E2241" s="112"/>
      <c r="F2241" s="139" t="s">
        <v>7506</v>
      </c>
      <c r="G2241" s="140"/>
      <c r="H2241" s="141"/>
      <c r="I2241" s="26">
        <v>41591</v>
      </c>
      <c r="J2241" s="117"/>
      <c r="K2241" s="120"/>
      <c r="L2241" s="121"/>
      <c r="M2241" s="120"/>
      <c r="N2241" s="121"/>
      <c r="O2241" s="120"/>
      <c r="P2241" s="121"/>
      <c r="Q2241" s="120"/>
      <c r="R2241" s="121"/>
      <c r="S2241" s="120"/>
      <c r="T2241" s="121"/>
      <c r="U2241" s="120"/>
      <c r="V2241" s="123"/>
      <c r="W2241" s="125"/>
      <c r="X2241" s="142" t="s">
        <v>7980</v>
      </c>
      <c r="Y2241" s="143"/>
      <c r="Z2241" s="143"/>
      <c r="AA2241" s="143"/>
      <c r="AB2241" s="144"/>
      <c r="AC2241" s="16" t="s">
        <v>21</v>
      </c>
      <c r="AD2241" s="17" t="s">
        <v>3289</v>
      </c>
      <c r="AE2241" s="145" t="s">
        <v>1742</v>
      </c>
      <c r="AF2241" s="146"/>
      <c r="AG2241" s="146"/>
      <c r="AH2241" s="146"/>
      <c r="AI2241" s="147"/>
      <c r="AJ2241" s="148"/>
      <c r="AK2241" s="143"/>
      <c r="AL2241" s="144"/>
      <c r="AM2241" s="22"/>
      <c r="AN2241" s="149" t="s">
        <v>2794</v>
      </c>
      <c r="AO2241" s="144"/>
      <c r="AP2241" s="148">
        <v>2045</v>
      </c>
      <c r="AQ2241" s="144"/>
      <c r="AR2241" s="120"/>
      <c r="AS2241" s="121"/>
      <c r="AT2241" s="120"/>
      <c r="AU2241" s="121"/>
      <c r="AV2241" s="120"/>
      <c r="AW2241" s="121"/>
      <c r="AX2241" s="120"/>
      <c r="AY2241" s="121"/>
      <c r="AZ2241" s="138"/>
    </row>
    <row r="2242" spans="1:52" ht="17.100000000000001" customHeight="1" thickTop="1">
      <c r="A2242" s="109" t="s">
        <v>7501</v>
      </c>
      <c r="B2242" s="28">
        <v>45938</v>
      </c>
      <c r="C2242" s="25">
        <v>1808</v>
      </c>
      <c r="D2242" s="13" t="s">
        <v>1537</v>
      </c>
      <c r="E2242" s="111"/>
      <c r="F2242" s="113" t="s">
        <v>5375</v>
      </c>
      <c r="G2242" s="114"/>
      <c r="H2242" s="115"/>
      <c r="I2242" s="24" t="s">
        <v>2064</v>
      </c>
      <c r="J2242" s="116">
        <v>4</v>
      </c>
      <c r="K2242" s="118">
        <v>506000</v>
      </c>
      <c r="L2242" s="119"/>
      <c r="M2242" s="118">
        <f t="shared" ref="M2242" si="512">K2242*0.1</f>
        <v>50600</v>
      </c>
      <c r="N2242" s="119"/>
      <c r="O2242" s="118">
        <v>0</v>
      </c>
      <c r="P2242" s="119"/>
      <c r="Q2242" s="118">
        <v>9290</v>
      </c>
      <c r="R2242" s="119"/>
      <c r="S2242" s="118">
        <v>18150</v>
      </c>
      <c r="T2242" s="119"/>
      <c r="U2242" s="118">
        <f t="shared" ref="U2242" si="513">SUM(K2242:T2243)</f>
        <v>584040</v>
      </c>
      <c r="V2242" s="122"/>
      <c r="W2242" s="124"/>
      <c r="X2242" s="126" t="s">
        <v>8087</v>
      </c>
      <c r="Y2242" s="127"/>
      <c r="Z2242" s="127"/>
      <c r="AA2242" s="127"/>
      <c r="AB2242" s="128"/>
      <c r="AC2242" s="15" t="s">
        <v>20</v>
      </c>
      <c r="AD2242" s="129" t="s">
        <v>4617</v>
      </c>
      <c r="AE2242" s="130"/>
      <c r="AF2242" s="130"/>
      <c r="AG2242" s="130"/>
      <c r="AH2242" s="130"/>
      <c r="AI2242" s="131"/>
      <c r="AJ2242" s="132"/>
      <c r="AK2242" s="127"/>
      <c r="AL2242" s="128"/>
      <c r="AM2242" s="21"/>
      <c r="AN2242" s="133">
        <v>45941</v>
      </c>
      <c r="AO2242" s="134"/>
      <c r="AP2242" s="135">
        <v>1271</v>
      </c>
      <c r="AQ2242" s="136"/>
      <c r="AR2242" s="118">
        <v>585000</v>
      </c>
      <c r="AS2242" s="119"/>
      <c r="AT2242" s="118">
        <v>58500</v>
      </c>
      <c r="AU2242" s="119"/>
      <c r="AV2242" s="118">
        <v>9290</v>
      </c>
      <c r="AW2242" s="119"/>
      <c r="AX2242" s="118">
        <f t="shared" ref="AX2242" si="514">SUM(AR2242:AW2242)</f>
        <v>652790</v>
      </c>
      <c r="AY2242" s="119"/>
      <c r="AZ2242" s="137">
        <v>45950</v>
      </c>
    </row>
    <row r="2243" spans="1:52" ht="17.100000000000001" customHeight="1" thickBot="1">
      <c r="A2243" s="110"/>
      <c r="B2243" s="27" t="s">
        <v>2559</v>
      </c>
      <c r="C2243" s="27">
        <v>3124</v>
      </c>
      <c r="D2243" s="14" t="s">
        <v>1720</v>
      </c>
      <c r="E2243" s="112"/>
      <c r="F2243" s="139" t="s">
        <v>7508</v>
      </c>
      <c r="G2243" s="140"/>
      <c r="H2243" s="141"/>
      <c r="I2243" s="26">
        <v>39877</v>
      </c>
      <c r="J2243" s="117"/>
      <c r="K2243" s="120"/>
      <c r="L2243" s="121"/>
      <c r="M2243" s="120"/>
      <c r="N2243" s="121"/>
      <c r="O2243" s="120"/>
      <c r="P2243" s="121"/>
      <c r="Q2243" s="120"/>
      <c r="R2243" s="121"/>
      <c r="S2243" s="120"/>
      <c r="T2243" s="121"/>
      <c r="U2243" s="120"/>
      <c r="V2243" s="123"/>
      <c r="W2243" s="125"/>
      <c r="X2243" s="142" t="s">
        <v>8088</v>
      </c>
      <c r="Y2243" s="143"/>
      <c r="Z2243" s="143"/>
      <c r="AA2243" s="143"/>
      <c r="AB2243" s="144"/>
      <c r="AC2243" s="16" t="s">
        <v>21</v>
      </c>
      <c r="AD2243" s="17" t="s">
        <v>8050</v>
      </c>
      <c r="AE2243" s="145" t="s">
        <v>7861</v>
      </c>
      <c r="AF2243" s="146"/>
      <c r="AG2243" s="146"/>
      <c r="AH2243" s="146"/>
      <c r="AI2243" s="147"/>
      <c r="AJ2243" s="148"/>
      <c r="AK2243" s="143"/>
      <c r="AL2243" s="144"/>
      <c r="AM2243" s="22"/>
      <c r="AN2243" s="149" t="s">
        <v>2511</v>
      </c>
      <c r="AO2243" s="144"/>
      <c r="AP2243" s="148">
        <v>60438</v>
      </c>
      <c r="AQ2243" s="144"/>
      <c r="AR2243" s="120"/>
      <c r="AS2243" s="121"/>
      <c r="AT2243" s="120"/>
      <c r="AU2243" s="121"/>
      <c r="AV2243" s="120"/>
      <c r="AW2243" s="121"/>
      <c r="AX2243" s="120"/>
      <c r="AY2243" s="121"/>
      <c r="AZ2243" s="138"/>
    </row>
    <row r="2244" spans="1:52" ht="17.100000000000001" customHeight="1" thickTop="1">
      <c r="A2244" s="109" t="s">
        <v>7502</v>
      </c>
      <c r="B2244" s="28">
        <v>45938</v>
      </c>
      <c r="C2244" s="25">
        <v>1808</v>
      </c>
      <c r="D2244" s="13" t="s">
        <v>3921</v>
      </c>
      <c r="E2244" s="111"/>
      <c r="F2244" s="113" t="s">
        <v>7509</v>
      </c>
      <c r="G2244" s="114"/>
      <c r="H2244" s="115"/>
      <c r="I2244" s="24" t="s">
        <v>2533</v>
      </c>
      <c r="J2244" s="116">
        <v>4</v>
      </c>
      <c r="K2244" s="118">
        <v>1735000</v>
      </c>
      <c r="L2244" s="119"/>
      <c r="M2244" s="118">
        <f t="shared" ref="M2244" si="515">K2244*0.1</f>
        <v>173500</v>
      </c>
      <c r="N2244" s="119"/>
      <c r="O2244" s="118">
        <f>16400+1640</f>
        <v>18040</v>
      </c>
      <c r="P2244" s="119"/>
      <c r="Q2244" s="118">
        <v>21500</v>
      </c>
      <c r="R2244" s="119"/>
      <c r="S2244" s="118">
        <v>18150</v>
      </c>
      <c r="T2244" s="119"/>
      <c r="U2244" s="118">
        <f t="shared" ref="U2244" si="516">SUM(K2244:T2245)</f>
        <v>1966190</v>
      </c>
      <c r="V2244" s="122"/>
      <c r="W2244" s="124"/>
      <c r="X2244" s="126" t="s">
        <v>7511</v>
      </c>
      <c r="Y2244" s="127"/>
      <c r="Z2244" s="127"/>
      <c r="AA2244" s="127"/>
      <c r="AB2244" s="128"/>
      <c r="AC2244" s="15" t="s">
        <v>20</v>
      </c>
      <c r="AD2244" s="129" t="s">
        <v>7512</v>
      </c>
      <c r="AE2244" s="130"/>
      <c r="AF2244" s="130"/>
      <c r="AG2244" s="130"/>
      <c r="AH2244" s="130"/>
      <c r="AI2244" s="131"/>
      <c r="AJ2244" s="132"/>
      <c r="AK2244" s="127"/>
      <c r="AL2244" s="128"/>
      <c r="AM2244" s="21"/>
      <c r="AN2244" s="133">
        <v>45948</v>
      </c>
      <c r="AO2244" s="134"/>
      <c r="AP2244" s="135">
        <v>1272</v>
      </c>
      <c r="AQ2244" s="136"/>
      <c r="AR2244" s="118">
        <v>1950000</v>
      </c>
      <c r="AS2244" s="119"/>
      <c r="AT2244" s="118">
        <f t="shared" ref="AT2244" si="517">AR2244*0.1</f>
        <v>195000</v>
      </c>
      <c r="AU2244" s="119"/>
      <c r="AV2244" s="118">
        <v>21500</v>
      </c>
      <c r="AW2244" s="119"/>
      <c r="AX2244" s="118">
        <f t="shared" ref="AX2244" si="518">SUM(AR2244:AW2244)</f>
        <v>2166500</v>
      </c>
      <c r="AY2244" s="119"/>
      <c r="AZ2244" s="137">
        <v>45951</v>
      </c>
    </row>
    <row r="2245" spans="1:52" ht="17.100000000000001" customHeight="1" thickBot="1">
      <c r="A2245" s="110"/>
      <c r="B2245" s="27" t="s">
        <v>2559</v>
      </c>
      <c r="C2245" s="27">
        <v>38064</v>
      </c>
      <c r="D2245" s="14" t="s">
        <v>275</v>
      </c>
      <c r="E2245" s="112"/>
      <c r="F2245" s="139" t="s">
        <v>7510</v>
      </c>
      <c r="G2245" s="140"/>
      <c r="H2245" s="141"/>
      <c r="I2245" s="26">
        <v>57098</v>
      </c>
      <c r="J2245" s="117"/>
      <c r="K2245" s="120"/>
      <c r="L2245" s="121"/>
      <c r="M2245" s="120"/>
      <c r="N2245" s="121"/>
      <c r="O2245" s="120"/>
      <c r="P2245" s="121"/>
      <c r="Q2245" s="120"/>
      <c r="R2245" s="121"/>
      <c r="S2245" s="120"/>
      <c r="T2245" s="121"/>
      <c r="U2245" s="120"/>
      <c r="V2245" s="123"/>
      <c r="W2245" s="125"/>
      <c r="X2245" s="142" t="s">
        <v>7996</v>
      </c>
      <c r="Y2245" s="143"/>
      <c r="Z2245" s="143"/>
      <c r="AA2245" s="143"/>
      <c r="AB2245" s="144"/>
      <c r="AC2245" s="16" t="s">
        <v>21</v>
      </c>
      <c r="AD2245" s="17" t="s">
        <v>3289</v>
      </c>
      <c r="AE2245" s="145" t="s">
        <v>8468</v>
      </c>
      <c r="AF2245" s="146"/>
      <c r="AG2245" s="146"/>
      <c r="AH2245" s="146"/>
      <c r="AI2245" s="147"/>
      <c r="AJ2245" s="148"/>
      <c r="AK2245" s="143"/>
      <c r="AL2245" s="144"/>
      <c r="AM2245" s="22"/>
      <c r="AN2245" s="149" t="s">
        <v>2511</v>
      </c>
      <c r="AO2245" s="144"/>
      <c r="AP2245" s="148">
        <v>80019</v>
      </c>
      <c r="AQ2245" s="144"/>
      <c r="AR2245" s="120"/>
      <c r="AS2245" s="121"/>
      <c r="AT2245" s="120"/>
      <c r="AU2245" s="121"/>
      <c r="AV2245" s="120"/>
      <c r="AW2245" s="121"/>
      <c r="AX2245" s="120"/>
      <c r="AY2245" s="121"/>
      <c r="AZ2245" s="138"/>
    </row>
    <row r="2246" spans="1:52" ht="17.100000000000001" customHeight="1" thickTop="1">
      <c r="A2246" s="109" t="s">
        <v>7503</v>
      </c>
      <c r="B2246" s="28">
        <v>45938</v>
      </c>
      <c r="C2246" s="25">
        <v>1808</v>
      </c>
      <c r="D2246" s="13" t="s">
        <v>2135</v>
      </c>
      <c r="E2246" s="111"/>
      <c r="F2246" s="113" t="s">
        <v>7513</v>
      </c>
      <c r="G2246" s="114"/>
      <c r="H2246" s="115"/>
      <c r="I2246" s="24" t="s">
        <v>4193</v>
      </c>
      <c r="J2246" s="116">
        <v>4.5</v>
      </c>
      <c r="K2246" s="118">
        <v>500000</v>
      </c>
      <c r="L2246" s="119"/>
      <c r="M2246" s="118">
        <f t="shared" ref="M2246" si="519">K2246*0.1</f>
        <v>50000</v>
      </c>
      <c r="N2246" s="119"/>
      <c r="O2246" s="118">
        <f>14300+1430</f>
        <v>15730</v>
      </c>
      <c r="P2246" s="119"/>
      <c r="Q2246" s="118">
        <v>17700</v>
      </c>
      <c r="R2246" s="119"/>
      <c r="S2246" s="118">
        <v>18150</v>
      </c>
      <c r="T2246" s="119"/>
      <c r="U2246" s="118">
        <f t="shared" ref="U2246" si="520">SUM(K2246:T2247)</f>
        <v>601580</v>
      </c>
      <c r="V2246" s="122"/>
      <c r="W2246" s="124"/>
      <c r="X2246" s="126" t="s">
        <v>7515</v>
      </c>
      <c r="Y2246" s="127"/>
      <c r="Z2246" s="127"/>
      <c r="AA2246" s="127"/>
      <c r="AB2246" s="128"/>
      <c r="AC2246" s="15" t="s">
        <v>20</v>
      </c>
      <c r="AD2246" s="129" t="s">
        <v>7516</v>
      </c>
      <c r="AE2246" s="130"/>
      <c r="AF2246" s="130"/>
      <c r="AG2246" s="130"/>
      <c r="AH2246" s="130"/>
      <c r="AI2246" s="131"/>
      <c r="AJ2246" s="132"/>
      <c r="AK2246" s="127"/>
      <c r="AL2246" s="128"/>
      <c r="AM2246" s="21"/>
      <c r="AN2246" s="133">
        <v>45941</v>
      </c>
      <c r="AO2246" s="134"/>
      <c r="AP2246" s="135">
        <v>1271</v>
      </c>
      <c r="AQ2246" s="136"/>
      <c r="AR2246" s="118">
        <v>620000</v>
      </c>
      <c r="AS2246" s="119"/>
      <c r="AT2246" s="118">
        <v>62000</v>
      </c>
      <c r="AU2246" s="119"/>
      <c r="AV2246" s="118">
        <v>17700</v>
      </c>
      <c r="AW2246" s="119"/>
      <c r="AX2246" s="118">
        <f t="shared" ref="AX2246" si="521">SUM(AR2246:AW2246)</f>
        <v>699700</v>
      </c>
      <c r="AY2246" s="119"/>
      <c r="AZ2246" s="137">
        <v>45951</v>
      </c>
    </row>
    <row r="2247" spans="1:52" ht="17.100000000000001" customHeight="1" thickBot="1">
      <c r="A2247" s="110"/>
      <c r="B2247" s="27" t="s">
        <v>2559</v>
      </c>
      <c r="C2247" s="27">
        <v>38073</v>
      </c>
      <c r="D2247" s="14" t="s">
        <v>275</v>
      </c>
      <c r="E2247" s="112"/>
      <c r="F2247" s="139" t="s">
        <v>7514</v>
      </c>
      <c r="G2247" s="140"/>
      <c r="H2247" s="141"/>
      <c r="I2247" s="26">
        <v>38054</v>
      </c>
      <c r="J2247" s="117"/>
      <c r="K2247" s="120"/>
      <c r="L2247" s="121"/>
      <c r="M2247" s="120"/>
      <c r="N2247" s="121"/>
      <c r="O2247" s="120"/>
      <c r="P2247" s="121"/>
      <c r="Q2247" s="120"/>
      <c r="R2247" s="121"/>
      <c r="S2247" s="120"/>
      <c r="T2247" s="121"/>
      <c r="U2247" s="120"/>
      <c r="V2247" s="123"/>
      <c r="W2247" s="125"/>
      <c r="X2247" s="142" t="s">
        <v>8546</v>
      </c>
      <c r="Y2247" s="143"/>
      <c r="Z2247" s="143"/>
      <c r="AA2247" s="143"/>
      <c r="AB2247" s="144"/>
      <c r="AC2247" s="16" t="s">
        <v>21</v>
      </c>
      <c r="AD2247" s="17" t="s">
        <v>8050</v>
      </c>
      <c r="AE2247" s="145" t="s">
        <v>1742</v>
      </c>
      <c r="AF2247" s="146"/>
      <c r="AG2247" s="146"/>
      <c r="AH2247" s="146"/>
      <c r="AI2247" s="147"/>
      <c r="AJ2247" s="148"/>
      <c r="AK2247" s="143"/>
      <c r="AL2247" s="144"/>
      <c r="AM2247" s="22"/>
      <c r="AN2247" s="149" t="s">
        <v>6748</v>
      </c>
      <c r="AO2247" s="144"/>
      <c r="AP2247" s="148">
        <v>80296</v>
      </c>
      <c r="AQ2247" s="144"/>
      <c r="AR2247" s="120"/>
      <c r="AS2247" s="121"/>
      <c r="AT2247" s="120"/>
      <c r="AU2247" s="121"/>
      <c r="AV2247" s="120"/>
      <c r="AW2247" s="121"/>
      <c r="AX2247" s="120"/>
      <c r="AY2247" s="121"/>
      <c r="AZ2247" s="138"/>
    </row>
    <row r="2248" spans="1:52" ht="17.100000000000001" customHeight="1" thickTop="1">
      <c r="A2248" s="109" t="s">
        <v>7504</v>
      </c>
      <c r="B2248" s="28">
        <v>45938</v>
      </c>
      <c r="C2248" s="25">
        <v>1808</v>
      </c>
      <c r="D2248" s="13" t="s">
        <v>1776</v>
      </c>
      <c r="E2248" s="111"/>
      <c r="F2248" s="113" t="s">
        <v>3221</v>
      </c>
      <c r="G2248" s="114"/>
      <c r="H2248" s="115"/>
      <c r="I2248" s="24"/>
      <c r="J2248" s="116">
        <v>4.5</v>
      </c>
      <c r="K2248" s="118">
        <v>605000</v>
      </c>
      <c r="L2248" s="119"/>
      <c r="M2248" s="118">
        <f t="shared" ref="M2248" si="522">K2248*0.1</f>
        <v>60500</v>
      </c>
      <c r="N2248" s="119"/>
      <c r="O2248" s="118">
        <v>0</v>
      </c>
      <c r="P2248" s="119"/>
      <c r="Q2248" s="118">
        <v>17490</v>
      </c>
      <c r="R2248" s="119"/>
      <c r="S2248" s="118">
        <v>18150</v>
      </c>
      <c r="T2248" s="119"/>
      <c r="U2248" s="118">
        <f t="shared" ref="U2248" si="523">SUM(K2248:T2249)</f>
        <v>701140</v>
      </c>
      <c r="V2248" s="122"/>
      <c r="W2248" s="124"/>
      <c r="X2248" s="126" t="s">
        <v>8062</v>
      </c>
      <c r="Y2248" s="127"/>
      <c r="Z2248" s="127"/>
      <c r="AA2248" s="127"/>
      <c r="AB2248" s="128"/>
      <c r="AC2248" s="15" t="s">
        <v>20</v>
      </c>
      <c r="AD2248" s="129"/>
      <c r="AE2248" s="130"/>
      <c r="AF2248" s="130"/>
      <c r="AG2248" s="130"/>
      <c r="AH2248" s="130"/>
      <c r="AI2248" s="131"/>
      <c r="AJ2248" s="132"/>
      <c r="AK2248" s="127"/>
      <c r="AL2248" s="128"/>
      <c r="AM2248" s="21"/>
      <c r="AN2248" s="133">
        <v>45941</v>
      </c>
      <c r="AO2248" s="134"/>
      <c r="AP2248" s="135">
        <v>1271</v>
      </c>
      <c r="AQ2248" s="136"/>
      <c r="AR2248" s="118">
        <v>710000</v>
      </c>
      <c r="AS2248" s="119"/>
      <c r="AT2248" s="118">
        <v>71000</v>
      </c>
      <c r="AU2248" s="119"/>
      <c r="AV2248" s="118">
        <v>17490</v>
      </c>
      <c r="AW2248" s="119"/>
      <c r="AX2248" s="118">
        <f t="shared" ref="AX2248" si="524">SUM(AR2248:AW2248)</f>
        <v>798490</v>
      </c>
      <c r="AY2248" s="119"/>
      <c r="AZ2248" s="137">
        <v>45945</v>
      </c>
    </row>
    <row r="2249" spans="1:52" ht="17.100000000000001" customHeight="1" thickBot="1">
      <c r="A2249" s="110"/>
      <c r="B2249" s="27" t="s">
        <v>2559</v>
      </c>
      <c r="C2249" s="27">
        <v>38109</v>
      </c>
      <c r="D2249" s="14" t="s">
        <v>1812</v>
      </c>
      <c r="E2249" s="112"/>
      <c r="F2249" s="139" t="s">
        <v>7517</v>
      </c>
      <c r="G2249" s="140"/>
      <c r="H2249" s="141"/>
      <c r="I2249" s="26">
        <v>59175</v>
      </c>
      <c r="J2249" s="117"/>
      <c r="K2249" s="120"/>
      <c r="L2249" s="121"/>
      <c r="M2249" s="120"/>
      <c r="N2249" s="121"/>
      <c r="O2249" s="120"/>
      <c r="P2249" s="121"/>
      <c r="Q2249" s="120"/>
      <c r="R2249" s="121"/>
      <c r="S2249" s="120"/>
      <c r="T2249" s="121"/>
      <c r="U2249" s="120"/>
      <c r="V2249" s="123"/>
      <c r="W2249" s="125"/>
      <c r="X2249" s="142" t="s">
        <v>2918</v>
      </c>
      <c r="Y2249" s="143"/>
      <c r="Z2249" s="143"/>
      <c r="AA2249" s="143"/>
      <c r="AB2249" s="144"/>
      <c r="AC2249" s="16" t="s">
        <v>21</v>
      </c>
      <c r="AD2249" s="17" t="s">
        <v>8050</v>
      </c>
      <c r="AE2249" s="145" t="s">
        <v>7855</v>
      </c>
      <c r="AF2249" s="146"/>
      <c r="AG2249" s="146"/>
      <c r="AH2249" s="146"/>
      <c r="AI2249" s="147"/>
      <c r="AJ2249" s="148"/>
      <c r="AK2249" s="143"/>
      <c r="AL2249" s="144"/>
      <c r="AM2249" s="22"/>
      <c r="AN2249" s="149" t="s">
        <v>2511</v>
      </c>
      <c r="AO2249" s="144"/>
      <c r="AP2249" s="148">
        <v>80298</v>
      </c>
      <c r="AQ2249" s="144"/>
      <c r="AR2249" s="120"/>
      <c r="AS2249" s="121"/>
      <c r="AT2249" s="120"/>
      <c r="AU2249" s="121"/>
      <c r="AV2249" s="120"/>
      <c r="AW2249" s="121"/>
      <c r="AX2249" s="120"/>
      <c r="AY2249" s="121"/>
      <c r="AZ2249" s="138"/>
    </row>
    <row r="2250" spans="1:52" ht="17.100000000000001" customHeight="1" thickTop="1">
      <c r="A2250" s="109" t="s">
        <v>7518</v>
      </c>
      <c r="B2250" s="28">
        <v>45938</v>
      </c>
      <c r="C2250" s="25">
        <v>1808</v>
      </c>
      <c r="D2250" s="13" t="s">
        <v>1958</v>
      </c>
      <c r="E2250" s="111"/>
      <c r="F2250" s="113" t="s">
        <v>7519</v>
      </c>
      <c r="G2250" s="114"/>
      <c r="H2250" s="115"/>
      <c r="I2250" s="24" t="s">
        <v>2919</v>
      </c>
      <c r="J2250" s="116">
        <v>4.5</v>
      </c>
      <c r="K2250" s="118">
        <v>1630000</v>
      </c>
      <c r="L2250" s="119"/>
      <c r="M2250" s="118">
        <f t="shared" ref="M2250" si="525">K2250*0.1</f>
        <v>163000</v>
      </c>
      <c r="N2250" s="119"/>
      <c r="O2250" s="118">
        <f>16400+1640</f>
        <v>18040</v>
      </c>
      <c r="P2250" s="119"/>
      <c r="Q2250" s="118">
        <v>15790</v>
      </c>
      <c r="R2250" s="119"/>
      <c r="S2250" s="118">
        <v>18150</v>
      </c>
      <c r="T2250" s="119"/>
      <c r="U2250" s="118">
        <f t="shared" ref="U2250" si="526">SUM(K2250:T2251)</f>
        <v>1844980</v>
      </c>
      <c r="V2250" s="122"/>
      <c r="W2250" s="124"/>
      <c r="X2250" s="126" t="s">
        <v>7521</v>
      </c>
      <c r="Y2250" s="127"/>
      <c r="Z2250" s="127"/>
      <c r="AA2250" s="127"/>
      <c r="AB2250" s="128"/>
      <c r="AC2250" s="15" t="s">
        <v>20</v>
      </c>
      <c r="AD2250" s="129" t="s">
        <v>2930</v>
      </c>
      <c r="AE2250" s="130"/>
      <c r="AF2250" s="130"/>
      <c r="AG2250" s="130"/>
      <c r="AH2250" s="130"/>
      <c r="AI2250" s="131"/>
      <c r="AJ2250" s="132"/>
      <c r="AK2250" s="127"/>
      <c r="AL2250" s="128"/>
      <c r="AM2250" s="21"/>
      <c r="AN2250" s="133">
        <v>45941</v>
      </c>
      <c r="AO2250" s="134"/>
      <c r="AP2250" s="135">
        <v>1271</v>
      </c>
      <c r="AQ2250" s="136"/>
      <c r="AR2250" s="118">
        <v>1785000</v>
      </c>
      <c r="AS2250" s="119"/>
      <c r="AT2250" s="118">
        <v>178500</v>
      </c>
      <c r="AU2250" s="119"/>
      <c r="AV2250" s="118">
        <v>15790</v>
      </c>
      <c r="AW2250" s="119"/>
      <c r="AX2250" s="118">
        <f t="shared" ref="AX2250" si="527">SUM(AR2250:AW2250)</f>
        <v>1979290</v>
      </c>
      <c r="AY2250" s="119"/>
      <c r="AZ2250" s="137">
        <v>45944</v>
      </c>
    </row>
    <row r="2251" spans="1:52" ht="17.100000000000001" customHeight="1" thickBot="1">
      <c r="A2251" s="110"/>
      <c r="B2251" s="27" t="s">
        <v>2559</v>
      </c>
      <c r="C2251" s="27">
        <v>38171</v>
      </c>
      <c r="D2251" s="14" t="s">
        <v>2601</v>
      </c>
      <c r="E2251" s="112"/>
      <c r="F2251" s="139" t="s">
        <v>7520</v>
      </c>
      <c r="G2251" s="140"/>
      <c r="H2251" s="141"/>
      <c r="I2251" s="26">
        <v>59249</v>
      </c>
      <c r="J2251" s="117"/>
      <c r="K2251" s="120"/>
      <c r="L2251" s="121"/>
      <c r="M2251" s="120"/>
      <c r="N2251" s="121"/>
      <c r="O2251" s="120"/>
      <c r="P2251" s="121"/>
      <c r="Q2251" s="120"/>
      <c r="R2251" s="121"/>
      <c r="S2251" s="120"/>
      <c r="T2251" s="121"/>
      <c r="U2251" s="120"/>
      <c r="V2251" s="123"/>
      <c r="W2251" s="125"/>
      <c r="X2251" s="142" t="s">
        <v>2321</v>
      </c>
      <c r="Y2251" s="143"/>
      <c r="Z2251" s="143"/>
      <c r="AA2251" s="143"/>
      <c r="AB2251" s="144"/>
      <c r="AC2251" s="16" t="s">
        <v>21</v>
      </c>
      <c r="AD2251" s="17" t="s">
        <v>3289</v>
      </c>
      <c r="AE2251" s="145" t="s">
        <v>1742</v>
      </c>
      <c r="AF2251" s="146"/>
      <c r="AG2251" s="146"/>
      <c r="AH2251" s="146"/>
      <c r="AI2251" s="147"/>
      <c r="AJ2251" s="148"/>
      <c r="AK2251" s="143"/>
      <c r="AL2251" s="144"/>
      <c r="AM2251" s="22"/>
      <c r="AN2251" s="149" t="s">
        <v>2511</v>
      </c>
      <c r="AO2251" s="144"/>
      <c r="AP2251" s="148">
        <v>80294</v>
      </c>
      <c r="AQ2251" s="144"/>
      <c r="AR2251" s="120"/>
      <c r="AS2251" s="121"/>
      <c r="AT2251" s="120"/>
      <c r="AU2251" s="121"/>
      <c r="AV2251" s="120"/>
      <c r="AW2251" s="121"/>
      <c r="AX2251" s="120"/>
      <c r="AY2251" s="121"/>
      <c r="AZ2251" s="138"/>
    </row>
    <row r="2252" spans="1:52" ht="17.100000000000001" customHeight="1" thickTop="1">
      <c r="A2252" s="109" t="s">
        <v>7645</v>
      </c>
      <c r="B2252" s="28">
        <v>45939</v>
      </c>
      <c r="C2252" s="25">
        <v>1536</v>
      </c>
      <c r="D2252" s="13" t="s">
        <v>1597</v>
      </c>
      <c r="E2252" s="111"/>
      <c r="F2252" s="113" t="s">
        <v>2732</v>
      </c>
      <c r="G2252" s="114"/>
      <c r="H2252" s="115"/>
      <c r="I2252" s="24"/>
      <c r="J2252" s="116">
        <v>4.5</v>
      </c>
      <c r="K2252" s="118">
        <v>990000</v>
      </c>
      <c r="L2252" s="119"/>
      <c r="M2252" s="118">
        <f t="shared" ref="M2252" si="528">K2252*0.1</f>
        <v>99000</v>
      </c>
      <c r="N2252" s="119"/>
      <c r="O2252" s="118">
        <v>0</v>
      </c>
      <c r="P2252" s="119"/>
      <c r="Q2252" s="118">
        <v>19090</v>
      </c>
      <c r="R2252" s="119"/>
      <c r="S2252" s="118">
        <v>16500</v>
      </c>
      <c r="T2252" s="119"/>
      <c r="U2252" s="118">
        <f t="shared" ref="U2252" si="529">SUM(K2252:T2253)</f>
        <v>1124590</v>
      </c>
      <c r="V2252" s="122"/>
      <c r="W2252" s="124"/>
      <c r="X2252" s="126" t="s">
        <v>8461</v>
      </c>
      <c r="Y2252" s="127"/>
      <c r="Z2252" s="127"/>
      <c r="AA2252" s="127"/>
      <c r="AB2252" s="128"/>
      <c r="AC2252" s="15" t="s">
        <v>20</v>
      </c>
      <c r="AD2252" s="129" t="s">
        <v>8464</v>
      </c>
      <c r="AE2252" s="130"/>
      <c r="AF2252" s="130"/>
      <c r="AG2252" s="130"/>
      <c r="AH2252" s="130"/>
      <c r="AI2252" s="131"/>
      <c r="AJ2252" s="132"/>
      <c r="AK2252" s="127"/>
      <c r="AL2252" s="128"/>
      <c r="AM2252" s="21"/>
      <c r="AN2252" s="133">
        <v>46053</v>
      </c>
      <c r="AO2252" s="134"/>
      <c r="AP2252" s="135">
        <v>1286</v>
      </c>
      <c r="AQ2252" s="136"/>
      <c r="AR2252" s="118">
        <v>1060000</v>
      </c>
      <c r="AS2252" s="119"/>
      <c r="AT2252" s="118">
        <f t="shared" ref="AT2252" si="530">AR2252*0.1</f>
        <v>106000</v>
      </c>
      <c r="AU2252" s="119"/>
      <c r="AV2252" s="118">
        <v>19090</v>
      </c>
      <c r="AW2252" s="119"/>
      <c r="AX2252" s="118">
        <f t="shared" ref="AX2252" si="531">SUM(AR2252:AW2252)</f>
        <v>1185090</v>
      </c>
      <c r="AY2252" s="119"/>
      <c r="AZ2252" s="137">
        <v>46056</v>
      </c>
    </row>
    <row r="2253" spans="1:52" ht="17.100000000000001" customHeight="1" thickBot="1">
      <c r="A2253" s="110"/>
      <c r="B2253" s="27" t="s">
        <v>1600</v>
      </c>
      <c r="C2253" s="27">
        <v>76104</v>
      </c>
      <c r="D2253" s="14" t="s">
        <v>1812</v>
      </c>
      <c r="E2253" s="112"/>
      <c r="F2253" s="139" t="s">
        <v>7647</v>
      </c>
      <c r="G2253" s="140"/>
      <c r="H2253" s="141"/>
      <c r="I2253" s="26">
        <v>71029</v>
      </c>
      <c r="J2253" s="117"/>
      <c r="K2253" s="120"/>
      <c r="L2253" s="121"/>
      <c r="M2253" s="120"/>
      <c r="N2253" s="121"/>
      <c r="O2253" s="120"/>
      <c r="P2253" s="121"/>
      <c r="Q2253" s="120"/>
      <c r="R2253" s="121"/>
      <c r="S2253" s="120"/>
      <c r="T2253" s="121"/>
      <c r="U2253" s="120"/>
      <c r="V2253" s="123"/>
      <c r="W2253" s="125"/>
      <c r="X2253" s="142" t="s">
        <v>8462</v>
      </c>
      <c r="Y2253" s="143"/>
      <c r="Z2253" s="143"/>
      <c r="AA2253" s="143"/>
      <c r="AB2253" s="144"/>
      <c r="AC2253" s="16" t="s">
        <v>21</v>
      </c>
      <c r="AD2253" s="17" t="s">
        <v>1638</v>
      </c>
      <c r="AE2253" s="145" t="s">
        <v>8463</v>
      </c>
      <c r="AF2253" s="146"/>
      <c r="AG2253" s="146"/>
      <c r="AH2253" s="146"/>
      <c r="AI2253" s="147"/>
      <c r="AJ2253" s="148"/>
      <c r="AK2253" s="143"/>
      <c r="AL2253" s="144"/>
      <c r="AM2253" s="22"/>
      <c r="AN2253" s="149" t="s">
        <v>7284</v>
      </c>
      <c r="AO2253" s="144"/>
      <c r="AP2253" s="148">
        <v>80102</v>
      </c>
      <c r="AQ2253" s="144"/>
      <c r="AR2253" s="120"/>
      <c r="AS2253" s="121"/>
      <c r="AT2253" s="120"/>
      <c r="AU2253" s="121"/>
      <c r="AV2253" s="120"/>
      <c r="AW2253" s="121"/>
      <c r="AX2253" s="120"/>
      <c r="AY2253" s="121"/>
      <c r="AZ2253" s="138"/>
    </row>
    <row r="2254" spans="1:52" ht="17.100000000000001" customHeight="1" thickTop="1">
      <c r="A2254" s="109" t="s">
        <v>7646</v>
      </c>
      <c r="B2254" s="28">
        <v>45939</v>
      </c>
      <c r="C2254" s="25">
        <v>1536</v>
      </c>
      <c r="D2254" s="13" t="s">
        <v>2298</v>
      </c>
      <c r="E2254" s="111"/>
      <c r="F2254" s="113" t="s">
        <v>3780</v>
      </c>
      <c r="G2254" s="114"/>
      <c r="H2254" s="115"/>
      <c r="I2254" s="24" t="s">
        <v>2858</v>
      </c>
      <c r="J2254" s="116">
        <v>4.5</v>
      </c>
      <c r="K2254" s="118">
        <v>2000000</v>
      </c>
      <c r="L2254" s="119"/>
      <c r="M2254" s="118">
        <f t="shared" ref="M2254" si="532">K2254*0.1</f>
        <v>200000</v>
      </c>
      <c r="N2254" s="119"/>
      <c r="O2254" s="118">
        <f>12700+1270</f>
        <v>13970</v>
      </c>
      <c r="P2254" s="119"/>
      <c r="Q2254" s="118">
        <v>11740</v>
      </c>
      <c r="R2254" s="119"/>
      <c r="S2254" s="118">
        <v>27500</v>
      </c>
      <c r="T2254" s="119"/>
      <c r="U2254" s="118">
        <f t="shared" ref="U2254" si="533">SUM(K2254:T2255)</f>
        <v>2253210</v>
      </c>
      <c r="V2254" s="122"/>
      <c r="W2254" s="124"/>
      <c r="X2254" s="126" t="s">
        <v>7533</v>
      </c>
      <c r="Y2254" s="127"/>
      <c r="Z2254" s="127"/>
      <c r="AA2254" s="127"/>
      <c r="AB2254" s="128"/>
      <c r="AC2254" s="15" t="s">
        <v>20</v>
      </c>
      <c r="AD2254" s="129" t="s">
        <v>7534</v>
      </c>
      <c r="AE2254" s="130"/>
      <c r="AF2254" s="130"/>
      <c r="AG2254" s="130"/>
      <c r="AH2254" s="130"/>
      <c r="AI2254" s="131"/>
      <c r="AJ2254" s="132"/>
      <c r="AK2254" s="127"/>
      <c r="AL2254" s="128"/>
      <c r="AM2254" s="21"/>
      <c r="AN2254" s="133"/>
      <c r="AO2254" s="134"/>
      <c r="AP2254" s="135"/>
      <c r="AQ2254" s="136"/>
      <c r="AR2254" s="118"/>
      <c r="AS2254" s="119"/>
      <c r="AT2254" s="118">
        <f t="shared" ref="AT2254" si="534">AR2254*0.1</f>
        <v>0</v>
      </c>
      <c r="AU2254" s="119"/>
      <c r="AV2254" s="118"/>
      <c r="AW2254" s="119"/>
      <c r="AX2254" s="118">
        <f t="shared" ref="AX2254" si="535">SUM(AR2254:AW2254)</f>
        <v>0</v>
      </c>
      <c r="AY2254" s="119"/>
      <c r="AZ2254" s="137"/>
    </row>
    <row r="2255" spans="1:52" ht="17.100000000000001" customHeight="1" thickBot="1">
      <c r="A2255" s="110"/>
      <c r="B2255" s="27" t="s">
        <v>1600</v>
      </c>
      <c r="C2255" s="27">
        <v>79058</v>
      </c>
      <c r="D2255" s="14" t="s">
        <v>133</v>
      </c>
      <c r="E2255" s="112"/>
      <c r="F2255" s="139" t="s">
        <v>7532</v>
      </c>
      <c r="G2255" s="140"/>
      <c r="H2255" s="141"/>
      <c r="I2255" s="26">
        <v>34928</v>
      </c>
      <c r="J2255" s="117"/>
      <c r="K2255" s="120"/>
      <c r="L2255" s="121"/>
      <c r="M2255" s="120"/>
      <c r="N2255" s="121"/>
      <c r="O2255" s="120"/>
      <c r="P2255" s="121"/>
      <c r="Q2255" s="120"/>
      <c r="R2255" s="121"/>
      <c r="S2255" s="120"/>
      <c r="T2255" s="121"/>
      <c r="U2255" s="120"/>
      <c r="V2255" s="123"/>
      <c r="W2255" s="125"/>
      <c r="X2255" s="142" t="s">
        <v>8082</v>
      </c>
      <c r="Y2255" s="143"/>
      <c r="Z2255" s="143"/>
      <c r="AA2255" s="143"/>
      <c r="AB2255" s="144"/>
      <c r="AC2255" s="16" t="s">
        <v>21</v>
      </c>
      <c r="AD2255" s="17" t="s">
        <v>2164</v>
      </c>
      <c r="AE2255" s="145" t="s">
        <v>3925</v>
      </c>
      <c r="AF2255" s="146"/>
      <c r="AG2255" s="146"/>
      <c r="AH2255" s="146"/>
      <c r="AI2255" s="147"/>
      <c r="AJ2255" s="148"/>
      <c r="AK2255" s="143"/>
      <c r="AL2255" s="144"/>
      <c r="AM2255" s="22" t="s">
        <v>3483</v>
      </c>
      <c r="AN2255" s="149"/>
      <c r="AO2255" s="144"/>
      <c r="AP2255" s="148"/>
      <c r="AQ2255" s="144"/>
      <c r="AR2255" s="120"/>
      <c r="AS2255" s="121"/>
      <c r="AT2255" s="120"/>
      <c r="AU2255" s="121"/>
      <c r="AV2255" s="120"/>
      <c r="AW2255" s="121"/>
      <c r="AX2255" s="120"/>
      <c r="AY2255" s="121"/>
      <c r="AZ2255" s="138"/>
    </row>
    <row r="2256" spans="1:52" ht="17.100000000000001" customHeight="1" thickTop="1">
      <c r="A2256" s="109" t="s">
        <v>7648</v>
      </c>
      <c r="B2256" s="28">
        <v>45939</v>
      </c>
      <c r="C2256" s="25">
        <v>1997</v>
      </c>
      <c r="D2256" s="13" t="s">
        <v>1752</v>
      </c>
      <c r="E2256" s="111"/>
      <c r="F2256" s="113" t="s">
        <v>7653</v>
      </c>
      <c r="G2256" s="114"/>
      <c r="H2256" s="115"/>
      <c r="I2256" s="24"/>
      <c r="J2256" s="116">
        <v>4</v>
      </c>
      <c r="K2256" s="118">
        <v>1099000</v>
      </c>
      <c r="L2256" s="119"/>
      <c r="M2256" s="118">
        <f t="shared" ref="M2256" si="536">K2256*0.1</f>
        <v>109900</v>
      </c>
      <c r="N2256" s="119"/>
      <c r="O2256" s="118">
        <v>0</v>
      </c>
      <c r="P2256" s="119"/>
      <c r="Q2256" s="118">
        <v>14930</v>
      </c>
      <c r="R2256" s="119"/>
      <c r="S2256" s="118">
        <v>22000</v>
      </c>
      <c r="T2256" s="119"/>
      <c r="U2256" s="118">
        <f t="shared" ref="U2256" si="537">SUM(K2256:T2257)</f>
        <v>1245830</v>
      </c>
      <c r="V2256" s="122"/>
      <c r="W2256" s="124"/>
      <c r="X2256" s="126" t="s">
        <v>8438</v>
      </c>
      <c r="Y2256" s="127"/>
      <c r="Z2256" s="127"/>
      <c r="AA2256" s="127"/>
      <c r="AB2256" s="128"/>
      <c r="AC2256" s="15" t="s">
        <v>20</v>
      </c>
      <c r="AD2256" s="129" t="s">
        <v>8440</v>
      </c>
      <c r="AE2256" s="130"/>
      <c r="AF2256" s="130"/>
      <c r="AG2256" s="130"/>
      <c r="AH2256" s="130"/>
      <c r="AI2256" s="131"/>
      <c r="AJ2256" s="132"/>
      <c r="AK2256" s="127"/>
      <c r="AL2256" s="128"/>
      <c r="AM2256" s="21"/>
      <c r="AN2256" s="133">
        <v>45966</v>
      </c>
      <c r="AO2256" s="134"/>
      <c r="AP2256" s="135">
        <v>991</v>
      </c>
      <c r="AQ2256" s="136"/>
      <c r="AR2256" s="118">
        <v>1130000</v>
      </c>
      <c r="AS2256" s="119"/>
      <c r="AT2256" s="118">
        <f t="shared" ref="AT2256" si="538">AR2256*0.1</f>
        <v>113000</v>
      </c>
      <c r="AU2256" s="119"/>
      <c r="AV2256" s="118">
        <v>14930</v>
      </c>
      <c r="AW2256" s="119"/>
      <c r="AX2256" s="118">
        <f t="shared" ref="AX2256" si="539">SUM(AR2256:AW2256)</f>
        <v>1257930</v>
      </c>
      <c r="AY2256" s="119"/>
      <c r="AZ2256" s="137">
        <v>45971</v>
      </c>
    </row>
    <row r="2257" spans="1:52" ht="17.100000000000001" customHeight="1" thickBot="1">
      <c r="A2257" s="110"/>
      <c r="B2257" s="27" t="s">
        <v>2200</v>
      </c>
      <c r="C2257" s="27">
        <v>30087</v>
      </c>
      <c r="D2257" s="14" t="s">
        <v>2601</v>
      </c>
      <c r="E2257" s="112"/>
      <c r="F2257" s="139" t="s">
        <v>7652</v>
      </c>
      <c r="G2257" s="140"/>
      <c r="H2257" s="141"/>
      <c r="I2257" s="26">
        <v>87291</v>
      </c>
      <c r="J2257" s="117"/>
      <c r="K2257" s="120"/>
      <c r="L2257" s="121"/>
      <c r="M2257" s="120"/>
      <c r="N2257" s="121"/>
      <c r="O2257" s="120"/>
      <c r="P2257" s="121"/>
      <c r="Q2257" s="120"/>
      <c r="R2257" s="121"/>
      <c r="S2257" s="120"/>
      <c r="T2257" s="121"/>
      <c r="U2257" s="120"/>
      <c r="V2257" s="123"/>
      <c r="W2257" s="125"/>
      <c r="X2257" s="142" t="s">
        <v>8439</v>
      </c>
      <c r="Y2257" s="143"/>
      <c r="Z2257" s="143"/>
      <c r="AA2257" s="143"/>
      <c r="AB2257" s="144"/>
      <c r="AC2257" s="16" t="s">
        <v>21</v>
      </c>
      <c r="AD2257" s="17" t="s">
        <v>1638</v>
      </c>
      <c r="AE2257" s="145" t="s">
        <v>3604</v>
      </c>
      <c r="AF2257" s="146"/>
      <c r="AG2257" s="146"/>
      <c r="AH2257" s="146"/>
      <c r="AI2257" s="147"/>
      <c r="AJ2257" s="148"/>
      <c r="AK2257" s="143"/>
      <c r="AL2257" s="144"/>
      <c r="AM2257" s="22"/>
      <c r="AN2257" s="149" t="s">
        <v>2794</v>
      </c>
      <c r="AO2257" s="144"/>
      <c r="AP2257" s="148">
        <v>6031</v>
      </c>
      <c r="AQ2257" s="144"/>
      <c r="AR2257" s="120"/>
      <c r="AS2257" s="121"/>
      <c r="AT2257" s="120"/>
      <c r="AU2257" s="121"/>
      <c r="AV2257" s="120"/>
      <c r="AW2257" s="121"/>
      <c r="AX2257" s="120"/>
      <c r="AY2257" s="121"/>
      <c r="AZ2257" s="138"/>
    </row>
    <row r="2258" spans="1:52" ht="17.100000000000001" customHeight="1" thickTop="1">
      <c r="A2258" s="109" t="s">
        <v>7649</v>
      </c>
      <c r="B2258" s="28">
        <v>45939</v>
      </c>
      <c r="C2258" s="25">
        <v>1997</v>
      </c>
      <c r="D2258" s="13" t="s">
        <v>2122</v>
      </c>
      <c r="E2258" s="111"/>
      <c r="F2258" s="113" t="s">
        <v>4683</v>
      </c>
      <c r="G2258" s="114"/>
      <c r="H2258" s="115"/>
      <c r="I2258" s="24" t="s">
        <v>4390</v>
      </c>
      <c r="J2258" s="116">
        <v>4.5</v>
      </c>
      <c r="K2258" s="118">
        <v>1551000</v>
      </c>
      <c r="L2258" s="119"/>
      <c r="M2258" s="118">
        <f t="shared" ref="M2258" si="540">K2258*0.1</f>
        <v>155100</v>
      </c>
      <c r="N2258" s="119"/>
      <c r="O2258" s="118">
        <v>0</v>
      </c>
      <c r="P2258" s="119"/>
      <c r="Q2258" s="118">
        <v>8630</v>
      </c>
      <c r="R2258" s="119"/>
      <c r="S2258" s="118">
        <v>22000</v>
      </c>
      <c r="T2258" s="119"/>
      <c r="U2258" s="118">
        <f t="shared" ref="U2258" si="541">SUM(K2258:T2259)</f>
        <v>1736730</v>
      </c>
      <c r="V2258" s="122"/>
      <c r="W2258" s="124"/>
      <c r="X2258" s="126" t="s">
        <v>7536</v>
      </c>
      <c r="Y2258" s="127"/>
      <c r="Z2258" s="127"/>
      <c r="AA2258" s="127"/>
      <c r="AB2258" s="128"/>
      <c r="AC2258" s="15" t="s">
        <v>20</v>
      </c>
      <c r="AD2258" s="129" t="s">
        <v>171</v>
      </c>
      <c r="AE2258" s="130"/>
      <c r="AF2258" s="130"/>
      <c r="AG2258" s="130"/>
      <c r="AH2258" s="130"/>
      <c r="AI2258" s="131"/>
      <c r="AJ2258" s="132"/>
      <c r="AK2258" s="127"/>
      <c r="AL2258" s="128"/>
      <c r="AM2258" s="21"/>
      <c r="AN2258" s="133">
        <v>45948</v>
      </c>
      <c r="AO2258" s="134"/>
      <c r="AP2258" s="135">
        <v>1272</v>
      </c>
      <c r="AQ2258" s="136"/>
      <c r="AR2258" s="118">
        <v>1625000</v>
      </c>
      <c r="AS2258" s="119"/>
      <c r="AT2258" s="118">
        <f t="shared" ref="AT2258" si="542">AR2258*0.1</f>
        <v>162500</v>
      </c>
      <c r="AU2258" s="119"/>
      <c r="AV2258" s="118">
        <v>8630</v>
      </c>
      <c r="AW2258" s="119"/>
      <c r="AX2258" s="118">
        <f t="shared" ref="AX2258" si="543">SUM(AR2258:AW2258)</f>
        <v>1796130</v>
      </c>
      <c r="AY2258" s="119"/>
      <c r="AZ2258" s="137">
        <v>45951</v>
      </c>
    </row>
    <row r="2259" spans="1:52" ht="17.100000000000001" customHeight="1" thickBot="1">
      <c r="A2259" s="110"/>
      <c r="B2259" s="27" t="s">
        <v>2200</v>
      </c>
      <c r="C2259" s="27">
        <v>50053</v>
      </c>
      <c r="D2259" s="14" t="s">
        <v>2601</v>
      </c>
      <c r="E2259" s="112"/>
      <c r="F2259" s="139" t="s">
        <v>7535</v>
      </c>
      <c r="G2259" s="140"/>
      <c r="H2259" s="141"/>
      <c r="I2259" s="26">
        <v>281</v>
      </c>
      <c r="J2259" s="117"/>
      <c r="K2259" s="120"/>
      <c r="L2259" s="121"/>
      <c r="M2259" s="120"/>
      <c r="N2259" s="121"/>
      <c r="O2259" s="120"/>
      <c r="P2259" s="121"/>
      <c r="Q2259" s="120"/>
      <c r="R2259" s="121"/>
      <c r="S2259" s="120"/>
      <c r="T2259" s="121"/>
      <c r="U2259" s="120"/>
      <c r="V2259" s="123"/>
      <c r="W2259" s="125"/>
      <c r="X2259" s="142" t="s">
        <v>2321</v>
      </c>
      <c r="Y2259" s="143"/>
      <c r="Z2259" s="143"/>
      <c r="AA2259" s="143"/>
      <c r="AB2259" s="144"/>
      <c r="AC2259" s="16" t="s">
        <v>21</v>
      </c>
      <c r="AD2259" s="17" t="s">
        <v>1638</v>
      </c>
      <c r="AE2259" s="145" t="s">
        <v>1742</v>
      </c>
      <c r="AF2259" s="146"/>
      <c r="AG2259" s="146"/>
      <c r="AH2259" s="146"/>
      <c r="AI2259" s="147"/>
      <c r="AJ2259" s="148"/>
      <c r="AK2259" s="143"/>
      <c r="AL2259" s="144"/>
      <c r="AM2259" s="22"/>
      <c r="AN2259" s="149" t="s">
        <v>2511</v>
      </c>
      <c r="AO2259" s="144"/>
      <c r="AP2259" s="148">
        <v>60007</v>
      </c>
      <c r="AQ2259" s="144"/>
      <c r="AR2259" s="120"/>
      <c r="AS2259" s="121"/>
      <c r="AT2259" s="120"/>
      <c r="AU2259" s="121"/>
      <c r="AV2259" s="120"/>
      <c r="AW2259" s="121"/>
      <c r="AX2259" s="120"/>
      <c r="AY2259" s="121"/>
      <c r="AZ2259" s="138"/>
    </row>
    <row r="2260" spans="1:52" ht="17.100000000000001" customHeight="1" thickTop="1">
      <c r="A2260" s="109" t="s">
        <v>7650</v>
      </c>
      <c r="B2260" s="28">
        <v>45939</v>
      </c>
      <c r="C2260" s="25">
        <v>1997</v>
      </c>
      <c r="D2260" s="13" t="s">
        <v>3836</v>
      </c>
      <c r="E2260" s="111"/>
      <c r="F2260" s="113" t="s">
        <v>7537</v>
      </c>
      <c r="G2260" s="114"/>
      <c r="H2260" s="115"/>
      <c r="I2260" s="24"/>
      <c r="J2260" s="116">
        <v>4</v>
      </c>
      <c r="K2260" s="118">
        <v>274000</v>
      </c>
      <c r="L2260" s="119"/>
      <c r="M2260" s="118">
        <f t="shared" ref="M2260" si="544">K2260*0.1</f>
        <v>27400</v>
      </c>
      <c r="N2260" s="119"/>
      <c r="O2260" s="118">
        <v>0</v>
      </c>
      <c r="P2260" s="119"/>
      <c r="Q2260" s="118">
        <v>10020</v>
      </c>
      <c r="R2260" s="119"/>
      <c r="S2260" s="118">
        <v>22000</v>
      </c>
      <c r="T2260" s="119"/>
      <c r="U2260" s="118">
        <f t="shared" ref="U2260" si="545">SUM(K2260:T2261)</f>
        <v>333420</v>
      </c>
      <c r="V2260" s="122"/>
      <c r="W2260" s="124"/>
      <c r="X2260" s="126" t="s">
        <v>8791</v>
      </c>
      <c r="Y2260" s="127"/>
      <c r="Z2260" s="127"/>
      <c r="AA2260" s="127"/>
      <c r="AB2260" s="128"/>
      <c r="AC2260" s="15" t="s">
        <v>20</v>
      </c>
      <c r="AD2260" s="129" t="s">
        <v>2745</v>
      </c>
      <c r="AE2260" s="130"/>
      <c r="AF2260" s="130"/>
      <c r="AG2260" s="130"/>
      <c r="AH2260" s="130"/>
      <c r="AI2260" s="131"/>
      <c r="AJ2260" s="132"/>
      <c r="AK2260" s="127"/>
      <c r="AL2260" s="128"/>
      <c r="AM2260" s="21"/>
      <c r="AN2260" s="133">
        <v>45955</v>
      </c>
      <c r="AO2260" s="134"/>
      <c r="AP2260" s="135">
        <v>1273</v>
      </c>
      <c r="AQ2260" s="136"/>
      <c r="AR2260" s="118">
        <v>265000</v>
      </c>
      <c r="AS2260" s="119"/>
      <c r="AT2260" s="118">
        <f t="shared" ref="AT2260" si="546">AR2260*0.1</f>
        <v>26500</v>
      </c>
      <c r="AU2260" s="119"/>
      <c r="AV2260" s="118">
        <v>10020</v>
      </c>
      <c r="AW2260" s="119"/>
      <c r="AX2260" s="118">
        <f t="shared" ref="AX2260" si="547">SUM(AR2260:AW2260)</f>
        <v>301520</v>
      </c>
      <c r="AY2260" s="119"/>
      <c r="AZ2260" s="137">
        <v>45958</v>
      </c>
    </row>
    <row r="2261" spans="1:52" ht="17.100000000000001" customHeight="1" thickBot="1">
      <c r="A2261" s="110"/>
      <c r="B2261" s="27" t="s">
        <v>2200</v>
      </c>
      <c r="C2261" s="27">
        <v>50100</v>
      </c>
      <c r="D2261" s="14" t="s">
        <v>2601</v>
      </c>
      <c r="E2261" s="112"/>
      <c r="F2261" s="139" t="s">
        <v>7538</v>
      </c>
      <c r="G2261" s="140"/>
      <c r="H2261" s="141"/>
      <c r="I2261" s="26">
        <v>52353</v>
      </c>
      <c r="J2261" s="117"/>
      <c r="K2261" s="120"/>
      <c r="L2261" s="121"/>
      <c r="M2261" s="120"/>
      <c r="N2261" s="121"/>
      <c r="O2261" s="120"/>
      <c r="P2261" s="121"/>
      <c r="Q2261" s="120"/>
      <c r="R2261" s="121"/>
      <c r="S2261" s="120"/>
      <c r="T2261" s="121"/>
      <c r="U2261" s="120"/>
      <c r="V2261" s="123"/>
      <c r="W2261" s="125"/>
      <c r="X2261" s="142" t="s">
        <v>8792</v>
      </c>
      <c r="Y2261" s="143"/>
      <c r="Z2261" s="143"/>
      <c r="AA2261" s="143"/>
      <c r="AB2261" s="144"/>
      <c r="AC2261" s="16" t="s">
        <v>21</v>
      </c>
      <c r="AD2261" s="17" t="s">
        <v>8763</v>
      </c>
      <c r="AE2261" s="145" t="s">
        <v>1742</v>
      </c>
      <c r="AF2261" s="146"/>
      <c r="AG2261" s="146"/>
      <c r="AH2261" s="146"/>
      <c r="AI2261" s="147"/>
      <c r="AJ2261" s="148"/>
      <c r="AK2261" s="143"/>
      <c r="AL2261" s="144"/>
      <c r="AM2261" s="22"/>
      <c r="AN2261" s="149" t="s">
        <v>2511</v>
      </c>
      <c r="AO2261" s="144"/>
      <c r="AP2261" s="148">
        <v>60073</v>
      </c>
      <c r="AQ2261" s="144"/>
      <c r="AR2261" s="120"/>
      <c r="AS2261" s="121"/>
      <c r="AT2261" s="120"/>
      <c r="AU2261" s="121"/>
      <c r="AV2261" s="120"/>
      <c r="AW2261" s="121"/>
      <c r="AX2261" s="120"/>
      <c r="AY2261" s="121"/>
      <c r="AZ2261" s="138"/>
    </row>
    <row r="2262" spans="1:52" ht="17.100000000000001" customHeight="1" thickTop="1">
      <c r="A2262" s="109" t="s">
        <v>7651</v>
      </c>
      <c r="B2262" s="28">
        <v>45939</v>
      </c>
      <c r="C2262" s="25">
        <v>1997</v>
      </c>
      <c r="D2262" s="13" t="s">
        <v>1623</v>
      </c>
      <c r="E2262" s="111"/>
      <c r="F2262" s="113" t="s">
        <v>4218</v>
      </c>
      <c r="G2262" s="114"/>
      <c r="H2262" s="115"/>
      <c r="I2262" s="24"/>
      <c r="J2262" s="116">
        <v>3.5</v>
      </c>
      <c r="K2262" s="118">
        <v>102000</v>
      </c>
      <c r="L2262" s="119"/>
      <c r="M2262" s="118">
        <f t="shared" ref="M2262" si="548">K2262*0.1</f>
        <v>10200</v>
      </c>
      <c r="N2262" s="119"/>
      <c r="O2262" s="118">
        <v>0</v>
      </c>
      <c r="P2262" s="119"/>
      <c r="Q2262" s="118">
        <v>8930</v>
      </c>
      <c r="R2262" s="119"/>
      <c r="S2262" s="118">
        <v>22000</v>
      </c>
      <c r="T2262" s="119"/>
      <c r="U2262" s="118">
        <f t="shared" ref="U2262" si="549">SUM(K2262:T2263)</f>
        <v>143130</v>
      </c>
      <c r="V2262" s="122"/>
      <c r="W2262" s="124"/>
      <c r="X2262" s="126" t="s">
        <v>8436</v>
      </c>
      <c r="Y2262" s="127"/>
      <c r="Z2262" s="127"/>
      <c r="AA2262" s="127"/>
      <c r="AB2262" s="128"/>
      <c r="AC2262" s="15" t="s">
        <v>20</v>
      </c>
      <c r="AD2262" s="129"/>
      <c r="AE2262" s="130"/>
      <c r="AF2262" s="130"/>
      <c r="AG2262" s="130"/>
      <c r="AH2262" s="130"/>
      <c r="AI2262" s="131"/>
      <c r="AJ2262" s="132"/>
      <c r="AK2262" s="127"/>
      <c r="AL2262" s="128"/>
      <c r="AM2262" s="21"/>
      <c r="AN2262" s="133">
        <v>45955</v>
      </c>
      <c r="AO2262" s="134"/>
      <c r="AP2262" s="135">
        <v>1273</v>
      </c>
      <c r="AQ2262" s="136"/>
      <c r="AR2262" s="118">
        <v>180000</v>
      </c>
      <c r="AS2262" s="119"/>
      <c r="AT2262" s="118">
        <f t="shared" ref="AT2262" si="550">AR2262*0.1</f>
        <v>18000</v>
      </c>
      <c r="AU2262" s="119"/>
      <c r="AV2262" s="118">
        <v>8930</v>
      </c>
      <c r="AW2262" s="119"/>
      <c r="AX2262" s="118">
        <f t="shared" ref="AX2262" si="551">SUM(AR2262:AW2262)</f>
        <v>206930</v>
      </c>
      <c r="AY2262" s="119"/>
      <c r="AZ2262" s="137">
        <v>45960</v>
      </c>
    </row>
    <row r="2263" spans="1:52" ht="17.100000000000001" customHeight="1" thickBot="1">
      <c r="A2263" s="110"/>
      <c r="B2263" s="27" t="s">
        <v>2200</v>
      </c>
      <c r="C2263" s="27">
        <v>90347</v>
      </c>
      <c r="D2263" s="14" t="s">
        <v>2601</v>
      </c>
      <c r="E2263" s="112"/>
      <c r="F2263" s="139" t="s">
        <v>7539</v>
      </c>
      <c r="G2263" s="140"/>
      <c r="H2263" s="141"/>
      <c r="I2263" s="26">
        <v>69898</v>
      </c>
      <c r="J2263" s="117"/>
      <c r="K2263" s="120"/>
      <c r="L2263" s="121"/>
      <c r="M2263" s="120"/>
      <c r="N2263" s="121"/>
      <c r="O2263" s="120"/>
      <c r="P2263" s="121"/>
      <c r="Q2263" s="120"/>
      <c r="R2263" s="121"/>
      <c r="S2263" s="120"/>
      <c r="T2263" s="121"/>
      <c r="U2263" s="120"/>
      <c r="V2263" s="123"/>
      <c r="W2263" s="125"/>
      <c r="X2263" s="142" t="s">
        <v>8437</v>
      </c>
      <c r="Y2263" s="143"/>
      <c r="Z2263" s="143"/>
      <c r="AA2263" s="143"/>
      <c r="AB2263" s="144"/>
      <c r="AC2263" s="16" t="s">
        <v>21</v>
      </c>
      <c r="AD2263" s="17" t="s">
        <v>1638</v>
      </c>
      <c r="AE2263" s="145"/>
      <c r="AF2263" s="146"/>
      <c r="AG2263" s="146"/>
      <c r="AH2263" s="146"/>
      <c r="AI2263" s="147"/>
      <c r="AJ2263" s="148"/>
      <c r="AK2263" s="143"/>
      <c r="AL2263" s="144"/>
      <c r="AM2263" s="22"/>
      <c r="AN2263" s="149" t="s">
        <v>2511</v>
      </c>
      <c r="AO2263" s="144"/>
      <c r="AP2263" s="148">
        <v>60064</v>
      </c>
      <c r="AQ2263" s="144"/>
      <c r="AR2263" s="120"/>
      <c r="AS2263" s="121"/>
      <c r="AT2263" s="120"/>
      <c r="AU2263" s="121"/>
      <c r="AV2263" s="120"/>
      <c r="AW2263" s="121"/>
      <c r="AX2263" s="120"/>
      <c r="AY2263" s="121"/>
      <c r="AZ2263" s="138"/>
    </row>
    <row r="2264" spans="1:52" ht="17.100000000000001" customHeight="1" thickTop="1">
      <c r="A2264" s="109" t="s">
        <v>7654</v>
      </c>
      <c r="B2264" s="28">
        <v>45939</v>
      </c>
      <c r="C2264" s="25">
        <v>1953</v>
      </c>
      <c r="D2264" s="13" t="s">
        <v>7557</v>
      </c>
      <c r="E2264" s="111"/>
      <c r="F2264" s="113" t="s">
        <v>7559</v>
      </c>
      <c r="G2264" s="114"/>
      <c r="H2264" s="115"/>
      <c r="I2264" s="24"/>
      <c r="J2264" s="116">
        <v>4.5</v>
      </c>
      <c r="K2264" s="118">
        <v>654000</v>
      </c>
      <c r="L2264" s="119"/>
      <c r="M2264" s="118">
        <f t="shared" ref="M2264" si="552">K2264*0.1</f>
        <v>65400</v>
      </c>
      <c r="N2264" s="119"/>
      <c r="O2264" s="118">
        <v>0</v>
      </c>
      <c r="P2264" s="119"/>
      <c r="Q2264" s="118">
        <v>7860</v>
      </c>
      <c r="R2264" s="119"/>
      <c r="S2264" s="118">
        <v>17050</v>
      </c>
      <c r="T2264" s="119"/>
      <c r="U2264" s="118">
        <f t="shared" ref="U2264" si="553">SUM(K2264:T2265)</f>
        <v>744310</v>
      </c>
      <c r="V2264" s="122"/>
      <c r="W2264" s="124"/>
      <c r="X2264" s="126" t="s">
        <v>8059</v>
      </c>
      <c r="Y2264" s="127"/>
      <c r="Z2264" s="127"/>
      <c r="AA2264" s="127"/>
      <c r="AB2264" s="128"/>
      <c r="AC2264" s="15" t="s">
        <v>20</v>
      </c>
      <c r="AD2264" s="129" t="s">
        <v>7561</v>
      </c>
      <c r="AE2264" s="130"/>
      <c r="AF2264" s="130"/>
      <c r="AG2264" s="130"/>
      <c r="AH2264" s="130"/>
      <c r="AI2264" s="131"/>
      <c r="AJ2264" s="132"/>
      <c r="AK2264" s="127"/>
      <c r="AL2264" s="128"/>
      <c r="AM2264" s="21"/>
      <c r="AN2264" s="133">
        <v>45948</v>
      </c>
      <c r="AO2264" s="134"/>
      <c r="AP2264" s="135">
        <v>1272</v>
      </c>
      <c r="AQ2264" s="136"/>
      <c r="AR2264" s="118">
        <v>750000</v>
      </c>
      <c r="AS2264" s="119"/>
      <c r="AT2264" s="118">
        <f t="shared" ref="AT2264" si="554">AR2264*0.1</f>
        <v>75000</v>
      </c>
      <c r="AU2264" s="119"/>
      <c r="AV2264" s="118">
        <v>7860</v>
      </c>
      <c r="AW2264" s="119"/>
      <c r="AX2264" s="118">
        <f t="shared" ref="AX2264" si="555">SUM(AR2264:AW2264)</f>
        <v>832860</v>
      </c>
      <c r="AY2264" s="119"/>
      <c r="AZ2264" s="137">
        <v>45951</v>
      </c>
    </row>
    <row r="2265" spans="1:52" ht="17.100000000000001" customHeight="1" thickBot="1">
      <c r="A2265" s="110"/>
      <c r="B2265" s="27" t="s">
        <v>7556</v>
      </c>
      <c r="C2265" s="27">
        <v>3048</v>
      </c>
      <c r="D2265" s="14" t="s">
        <v>7558</v>
      </c>
      <c r="E2265" s="112"/>
      <c r="F2265" s="139" t="s">
        <v>7560</v>
      </c>
      <c r="G2265" s="140"/>
      <c r="H2265" s="141"/>
      <c r="I2265" s="26">
        <v>52600</v>
      </c>
      <c r="J2265" s="117"/>
      <c r="K2265" s="120"/>
      <c r="L2265" s="121"/>
      <c r="M2265" s="120"/>
      <c r="N2265" s="121"/>
      <c r="O2265" s="120"/>
      <c r="P2265" s="121"/>
      <c r="Q2265" s="120"/>
      <c r="R2265" s="121"/>
      <c r="S2265" s="120"/>
      <c r="T2265" s="121"/>
      <c r="U2265" s="120"/>
      <c r="V2265" s="123"/>
      <c r="W2265" s="125"/>
      <c r="X2265" s="142" t="s">
        <v>8060</v>
      </c>
      <c r="Y2265" s="143"/>
      <c r="Z2265" s="143"/>
      <c r="AA2265" s="143"/>
      <c r="AB2265" s="144"/>
      <c r="AC2265" s="16" t="s">
        <v>21</v>
      </c>
      <c r="AD2265" s="17" t="s">
        <v>8050</v>
      </c>
      <c r="AE2265" s="145" t="s">
        <v>8470</v>
      </c>
      <c r="AF2265" s="146"/>
      <c r="AG2265" s="146"/>
      <c r="AH2265" s="146"/>
      <c r="AI2265" s="147"/>
      <c r="AJ2265" s="148"/>
      <c r="AK2265" s="143"/>
      <c r="AL2265" s="144"/>
      <c r="AM2265" s="22"/>
      <c r="AN2265" s="149" t="s">
        <v>2511</v>
      </c>
      <c r="AO2265" s="144"/>
      <c r="AP2265" s="148">
        <v>60067</v>
      </c>
      <c r="AQ2265" s="144"/>
      <c r="AR2265" s="120"/>
      <c r="AS2265" s="121"/>
      <c r="AT2265" s="120"/>
      <c r="AU2265" s="121"/>
      <c r="AV2265" s="120"/>
      <c r="AW2265" s="121"/>
      <c r="AX2265" s="120"/>
      <c r="AY2265" s="121"/>
      <c r="AZ2265" s="138"/>
    </row>
    <row r="2266" spans="1:52" ht="17.100000000000001" customHeight="1" thickTop="1">
      <c r="A2266" s="109" t="s">
        <v>7655</v>
      </c>
      <c r="B2266" s="28">
        <v>45939</v>
      </c>
      <c r="C2266" s="25">
        <v>1953</v>
      </c>
      <c r="D2266" s="13" t="s">
        <v>7562</v>
      </c>
      <c r="E2266" s="111"/>
      <c r="F2266" s="113" t="s">
        <v>7564</v>
      </c>
      <c r="G2266" s="114"/>
      <c r="H2266" s="115"/>
      <c r="I2266" s="24" t="s">
        <v>7566</v>
      </c>
      <c r="J2266" s="116">
        <v>4.5</v>
      </c>
      <c r="K2266" s="118">
        <v>803000</v>
      </c>
      <c r="L2266" s="119"/>
      <c r="M2266" s="118">
        <f t="shared" ref="M2266" si="556">K2266*0.1</f>
        <v>80300</v>
      </c>
      <c r="N2266" s="119"/>
      <c r="O2266" s="118">
        <v>0</v>
      </c>
      <c r="P2266" s="119"/>
      <c r="Q2266" s="118">
        <v>8400</v>
      </c>
      <c r="R2266" s="119"/>
      <c r="S2266" s="118">
        <v>15950</v>
      </c>
      <c r="T2266" s="119"/>
      <c r="U2266" s="118">
        <f t="shared" ref="U2266" si="557">SUM(K2266:T2267)</f>
        <v>907650</v>
      </c>
      <c r="V2266" s="122"/>
      <c r="W2266" s="124"/>
      <c r="X2266" s="126" t="s">
        <v>7567</v>
      </c>
      <c r="Y2266" s="127"/>
      <c r="Z2266" s="127"/>
      <c r="AA2266" s="127"/>
      <c r="AB2266" s="128"/>
      <c r="AC2266" s="15" t="s">
        <v>20</v>
      </c>
      <c r="AD2266" s="129"/>
      <c r="AE2266" s="130"/>
      <c r="AF2266" s="130"/>
      <c r="AG2266" s="130"/>
      <c r="AH2266" s="130"/>
      <c r="AI2266" s="131"/>
      <c r="AJ2266" s="132"/>
      <c r="AK2266" s="127"/>
      <c r="AL2266" s="128"/>
      <c r="AM2266" s="21"/>
      <c r="AN2266" s="133">
        <v>45948</v>
      </c>
      <c r="AO2266" s="134"/>
      <c r="AP2266" s="135">
        <v>1272</v>
      </c>
      <c r="AQ2266" s="136"/>
      <c r="AR2266" s="118">
        <v>930000</v>
      </c>
      <c r="AS2266" s="119"/>
      <c r="AT2266" s="118">
        <f t="shared" ref="AT2266" si="558">AR2266*0.1</f>
        <v>93000</v>
      </c>
      <c r="AU2266" s="119"/>
      <c r="AV2266" s="118">
        <v>8400</v>
      </c>
      <c r="AW2266" s="119"/>
      <c r="AX2266" s="118">
        <f t="shared" ref="AX2266" si="559">SUM(AR2266:AW2266)</f>
        <v>1031400</v>
      </c>
      <c r="AY2266" s="119"/>
      <c r="AZ2266" s="137">
        <v>45952</v>
      </c>
    </row>
    <row r="2267" spans="1:52" ht="17.100000000000001" customHeight="1" thickBot="1">
      <c r="A2267" s="110"/>
      <c r="B2267" s="27" t="s">
        <v>7556</v>
      </c>
      <c r="C2267" s="27">
        <v>5402</v>
      </c>
      <c r="D2267" s="14" t="s">
        <v>7563</v>
      </c>
      <c r="E2267" s="112"/>
      <c r="F2267" s="139" t="s">
        <v>7565</v>
      </c>
      <c r="G2267" s="140"/>
      <c r="H2267" s="141"/>
      <c r="I2267" s="26">
        <v>68259</v>
      </c>
      <c r="J2267" s="117"/>
      <c r="K2267" s="120"/>
      <c r="L2267" s="121"/>
      <c r="M2267" s="120"/>
      <c r="N2267" s="121"/>
      <c r="O2267" s="120"/>
      <c r="P2267" s="121"/>
      <c r="Q2267" s="120"/>
      <c r="R2267" s="121"/>
      <c r="S2267" s="120"/>
      <c r="T2267" s="121"/>
      <c r="U2267" s="120"/>
      <c r="V2267" s="123"/>
      <c r="W2267" s="125"/>
      <c r="X2267" s="142" t="s">
        <v>8260</v>
      </c>
      <c r="Y2267" s="143"/>
      <c r="Z2267" s="143"/>
      <c r="AA2267" s="143"/>
      <c r="AB2267" s="144"/>
      <c r="AC2267" s="16" t="s">
        <v>21</v>
      </c>
      <c r="AD2267" s="17" t="s">
        <v>1622</v>
      </c>
      <c r="AE2267" s="145" t="s">
        <v>3624</v>
      </c>
      <c r="AF2267" s="146"/>
      <c r="AG2267" s="146"/>
      <c r="AH2267" s="146"/>
      <c r="AI2267" s="147"/>
      <c r="AJ2267" s="148"/>
      <c r="AK2267" s="143"/>
      <c r="AL2267" s="144"/>
      <c r="AM2267" s="22"/>
      <c r="AN2267" s="149" t="s">
        <v>2511</v>
      </c>
      <c r="AO2267" s="144"/>
      <c r="AP2267" s="148">
        <v>60063</v>
      </c>
      <c r="AQ2267" s="144"/>
      <c r="AR2267" s="120"/>
      <c r="AS2267" s="121"/>
      <c r="AT2267" s="120"/>
      <c r="AU2267" s="121"/>
      <c r="AV2267" s="120"/>
      <c r="AW2267" s="121"/>
      <c r="AX2267" s="120"/>
      <c r="AY2267" s="121"/>
      <c r="AZ2267" s="138"/>
    </row>
    <row r="2268" spans="1:52" ht="17.100000000000001" customHeight="1" thickTop="1">
      <c r="A2268" s="109" t="s">
        <v>7656</v>
      </c>
      <c r="B2268" s="28">
        <v>45939</v>
      </c>
      <c r="C2268" s="25">
        <v>1236</v>
      </c>
      <c r="D2268" s="13" t="s">
        <v>7569</v>
      </c>
      <c r="E2268" s="111"/>
      <c r="F2268" s="113" t="s">
        <v>7570</v>
      </c>
      <c r="G2268" s="114"/>
      <c r="H2268" s="115"/>
      <c r="I2268" s="24"/>
      <c r="J2268" s="116">
        <v>4</v>
      </c>
      <c r="K2268" s="118">
        <v>878000</v>
      </c>
      <c r="L2268" s="119"/>
      <c r="M2268" s="118">
        <f t="shared" ref="M2268" si="560">K2268*0.1</f>
        <v>87800</v>
      </c>
      <c r="N2268" s="119"/>
      <c r="O2268" s="118">
        <v>0</v>
      </c>
      <c r="P2268" s="119"/>
      <c r="Q2268" s="118">
        <v>16240</v>
      </c>
      <c r="R2268" s="119"/>
      <c r="S2268" s="118">
        <v>15950</v>
      </c>
      <c r="T2268" s="119"/>
      <c r="U2268" s="118">
        <f t="shared" ref="U2268" si="561">SUM(K2268:T2269)</f>
        <v>997990</v>
      </c>
      <c r="V2268" s="122"/>
      <c r="W2268" s="124"/>
      <c r="X2268" s="126" t="s">
        <v>8333</v>
      </c>
      <c r="Y2268" s="127"/>
      <c r="Z2268" s="127"/>
      <c r="AA2268" s="127"/>
      <c r="AB2268" s="128"/>
      <c r="AC2268" s="15" t="s">
        <v>20</v>
      </c>
      <c r="AD2268" s="129"/>
      <c r="AE2268" s="130"/>
      <c r="AF2268" s="130"/>
      <c r="AG2268" s="130"/>
      <c r="AH2268" s="130"/>
      <c r="AI2268" s="131"/>
      <c r="AJ2268" s="132"/>
      <c r="AK2268" s="127"/>
      <c r="AL2268" s="128"/>
      <c r="AM2268" s="21"/>
      <c r="AN2268" s="133">
        <v>45948</v>
      </c>
      <c r="AO2268" s="134"/>
      <c r="AP2268" s="135">
        <v>1694</v>
      </c>
      <c r="AQ2268" s="136"/>
      <c r="AR2268" s="118">
        <v>1290000</v>
      </c>
      <c r="AS2268" s="119"/>
      <c r="AT2268" s="118">
        <f t="shared" ref="AT2268" si="562">AR2268*0.1</f>
        <v>129000</v>
      </c>
      <c r="AU2268" s="119"/>
      <c r="AV2268" s="118">
        <v>16240</v>
      </c>
      <c r="AW2268" s="119"/>
      <c r="AX2268" s="118">
        <f t="shared" ref="AX2268" si="563">SUM(AR2268:AW2268)</f>
        <v>1435240</v>
      </c>
      <c r="AY2268" s="119"/>
      <c r="AZ2268" s="137">
        <v>45949</v>
      </c>
    </row>
    <row r="2269" spans="1:52" ht="17.100000000000001" customHeight="1" thickBot="1">
      <c r="A2269" s="110"/>
      <c r="B2269" s="27" t="s">
        <v>7568</v>
      </c>
      <c r="C2269" s="27">
        <v>78005</v>
      </c>
      <c r="D2269" s="14" t="s">
        <v>7558</v>
      </c>
      <c r="E2269" s="112"/>
      <c r="F2269" s="139" t="s">
        <v>7571</v>
      </c>
      <c r="G2269" s="140"/>
      <c r="H2269" s="141"/>
      <c r="I2269" s="26">
        <v>10477</v>
      </c>
      <c r="J2269" s="117"/>
      <c r="K2269" s="120"/>
      <c r="L2269" s="121"/>
      <c r="M2269" s="120"/>
      <c r="N2269" s="121"/>
      <c r="O2269" s="120"/>
      <c r="P2269" s="121"/>
      <c r="Q2269" s="120"/>
      <c r="R2269" s="121"/>
      <c r="S2269" s="120"/>
      <c r="T2269" s="121"/>
      <c r="U2269" s="120"/>
      <c r="V2269" s="123"/>
      <c r="W2269" s="125"/>
      <c r="X2269" s="142" t="s">
        <v>8334</v>
      </c>
      <c r="Y2269" s="143"/>
      <c r="Z2269" s="143"/>
      <c r="AA2269" s="143"/>
      <c r="AB2269" s="144"/>
      <c r="AC2269" s="16" t="s">
        <v>21</v>
      </c>
      <c r="AD2269" s="17" t="s">
        <v>1622</v>
      </c>
      <c r="AE2269" s="145"/>
      <c r="AF2269" s="146"/>
      <c r="AG2269" s="146"/>
      <c r="AH2269" s="146"/>
      <c r="AI2269" s="147"/>
      <c r="AJ2269" s="148"/>
      <c r="AK2269" s="143"/>
      <c r="AL2269" s="144"/>
      <c r="AM2269" s="22"/>
      <c r="AN2269" s="149" t="s">
        <v>1859</v>
      </c>
      <c r="AO2269" s="144"/>
      <c r="AP2269" s="148">
        <v>491</v>
      </c>
      <c r="AQ2269" s="144"/>
      <c r="AR2269" s="120"/>
      <c r="AS2269" s="121"/>
      <c r="AT2269" s="120"/>
      <c r="AU2269" s="121"/>
      <c r="AV2269" s="120"/>
      <c r="AW2269" s="121"/>
      <c r="AX2269" s="120"/>
      <c r="AY2269" s="121"/>
      <c r="AZ2269" s="138"/>
    </row>
    <row r="2270" spans="1:52" ht="17.100000000000001" customHeight="1" thickTop="1">
      <c r="A2270" s="109" t="s">
        <v>7657</v>
      </c>
      <c r="B2270" s="28">
        <v>45939</v>
      </c>
      <c r="C2270" s="25">
        <v>1301</v>
      </c>
      <c r="D2270" s="13" t="s">
        <v>7573</v>
      </c>
      <c r="E2270" s="111"/>
      <c r="F2270" s="113" t="s">
        <v>7574</v>
      </c>
      <c r="G2270" s="114"/>
      <c r="H2270" s="115"/>
      <c r="I2270" s="24" t="s">
        <v>7576</v>
      </c>
      <c r="J2270" s="116">
        <v>4.5</v>
      </c>
      <c r="K2270" s="118">
        <v>6000000</v>
      </c>
      <c r="L2270" s="119"/>
      <c r="M2270" s="118">
        <f t="shared" ref="M2270" si="564">K2270*0.1</f>
        <v>600000</v>
      </c>
      <c r="N2270" s="119"/>
      <c r="O2270" s="118">
        <v>23320</v>
      </c>
      <c r="P2270" s="119"/>
      <c r="Q2270" s="118">
        <v>19780</v>
      </c>
      <c r="R2270" s="119"/>
      <c r="S2270" s="118">
        <v>14300</v>
      </c>
      <c r="T2270" s="119"/>
      <c r="U2270" s="118">
        <f t="shared" ref="U2270" si="565">SUM(K2270:T2271)</f>
        <v>6657400</v>
      </c>
      <c r="V2270" s="122"/>
      <c r="W2270" s="124"/>
      <c r="X2270" s="126" t="s">
        <v>7577</v>
      </c>
      <c r="Y2270" s="127"/>
      <c r="Z2270" s="127"/>
      <c r="AA2270" s="127"/>
      <c r="AB2270" s="128"/>
      <c r="AC2270" s="15" t="s">
        <v>20</v>
      </c>
      <c r="AD2270" s="129" t="s">
        <v>7578</v>
      </c>
      <c r="AE2270" s="130"/>
      <c r="AF2270" s="130"/>
      <c r="AG2270" s="130"/>
      <c r="AH2270" s="130"/>
      <c r="AI2270" s="131"/>
      <c r="AJ2270" s="132"/>
      <c r="AK2270" s="127"/>
      <c r="AL2270" s="128"/>
      <c r="AM2270" s="21"/>
      <c r="AN2270" s="133">
        <v>45952</v>
      </c>
      <c r="AO2270" s="134"/>
      <c r="AP2270" s="135">
        <v>989</v>
      </c>
      <c r="AQ2270" s="136"/>
      <c r="AR2270" s="118">
        <v>6250000</v>
      </c>
      <c r="AS2270" s="119"/>
      <c r="AT2270" s="118">
        <f t="shared" ref="AT2270" si="566">AR2270*0.1</f>
        <v>625000</v>
      </c>
      <c r="AU2270" s="119"/>
      <c r="AV2270" s="118">
        <v>19780</v>
      </c>
      <c r="AW2270" s="119"/>
      <c r="AX2270" s="118">
        <f t="shared" ref="AX2270" si="567">SUM(AR2270:AW2270)</f>
        <v>6894780</v>
      </c>
      <c r="AY2270" s="119"/>
      <c r="AZ2270" s="137">
        <v>45957</v>
      </c>
    </row>
    <row r="2271" spans="1:52" ht="17.100000000000001" customHeight="1" thickBot="1">
      <c r="A2271" s="110"/>
      <c r="B2271" s="27" t="s">
        <v>7572</v>
      </c>
      <c r="C2271" s="27">
        <v>136</v>
      </c>
      <c r="D2271" s="14" t="s">
        <v>7558</v>
      </c>
      <c r="E2271" s="112"/>
      <c r="F2271" s="139" t="s">
        <v>7575</v>
      </c>
      <c r="G2271" s="140"/>
      <c r="H2271" s="141"/>
      <c r="I2271" s="26">
        <v>65942</v>
      </c>
      <c r="J2271" s="117"/>
      <c r="K2271" s="120"/>
      <c r="L2271" s="121"/>
      <c r="M2271" s="120"/>
      <c r="N2271" s="121"/>
      <c r="O2271" s="120"/>
      <c r="P2271" s="121"/>
      <c r="Q2271" s="120"/>
      <c r="R2271" s="121"/>
      <c r="S2271" s="120"/>
      <c r="T2271" s="121"/>
      <c r="U2271" s="120"/>
      <c r="V2271" s="123"/>
      <c r="W2271" s="125"/>
      <c r="X2271" s="142" t="s">
        <v>8545</v>
      </c>
      <c r="Y2271" s="143"/>
      <c r="Z2271" s="143"/>
      <c r="AA2271" s="143"/>
      <c r="AB2271" s="144"/>
      <c r="AC2271" s="16" t="s">
        <v>21</v>
      </c>
      <c r="AD2271" s="17" t="s">
        <v>8050</v>
      </c>
      <c r="AE2271" s="145" t="s">
        <v>1742</v>
      </c>
      <c r="AF2271" s="146"/>
      <c r="AG2271" s="146"/>
      <c r="AH2271" s="146"/>
      <c r="AI2271" s="147"/>
      <c r="AJ2271" s="148"/>
      <c r="AK2271" s="143"/>
      <c r="AL2271" s="144"/>
      <c r="AM2271" s="22"/>
      <c r="AN2271" s="149" t="s">
        <v>9053</v>
      </c>
      <c r="AO2271" s="144"/>
      <c r="AP2271" s="148">
        <v>5291</v>
      </c>
      <c r="AQ2271" s="144"/>
      <c r="AR2271" s="120"/>
      <c r="AS2271" s="121"/>
      <c r="AT2271" s="120"/>
      <c r="AU2271" s="121"/>
      <c r="AV2271" s="120"/>
      <c r="AW2271" s="121"/>
      <c r="AX2271" s="120"/>
      <c r="AY2271" s="121"/>
      <c r="AZ2271" s="138"/>
    </row>
    <row r="2272" spans="1:52" ht="17.100000000000001" customHeight="1" thickTop="1">
      <c r="A2272" s="109" t="s">
        <v>7658</v>
      </c>
      <c r="B2272" s="28">
        <v>45939</v>
      </c>
      <c r="C2272" s="25">
        <v>2129</v>
      </c>
      <c r="D2272" s="13" t="s">
        <v>7580</v>
      </c>
      <c r="E2272" s="111"/>
      <c r="F2272" s="113" t="s">
        <v>7582</v>
      </c>
      <c r="G2272" s="114"/>
      <c r="H2272" s="115"/>
      <c r="I2272" s="24"/>
      <c r="J2272" s="116">
        <v>3.5</v>
      </c>
      <c r="K2272" s="118">
        <v>279000</v>
      </c>
      <c r="L2272" s="119"/>
      <c r="M2272" s="118">
        <f t="shared" ref="M2272" si="568">K2272*0.1</f>
        <v>27900</v>
      </c>
      <c r="N2272" s="119"/>
      <c r="O2272" s="118">
        <v>0</v>
      </c>
      <c r="P2272" s="119"/>
      <c r="Q2272" s="118">
        <v>8460</v>
      </c>
      <c r="R2272" s="119"/>
      <c r="S2272" s="118">
        <v>13750</v>
      </c>
      <c r="T2272" s="119"/>
      <c r="U2272" s="118">
        <f t="shared" ref="U2272" si="569">SUM(K2272:T2273)</f>
        <v>329110</v>
      </c>
      <c r="V2272" s="122"/>
      <c r="W2272" s="124"/>
      <c r="X2272" s="126" t="s">
        <v>8414</v>
      </c>
      <c r="Y2272" s="127"/>
      <c r="Z2272" s="127"/>
      <c r="AA2272" s="127"/>
      <c r="AB2272" s="128"/>
      <c r="AC2272" s="15" t="s">
        <v>20</v>
      </c>
      <c r="AD2272" s="129"/>
      <c r="AE2272" s="130"/>
      <c r="AF2272" s="130"/>
      <c r="AG2272" s="130"/>
      <c r="AH2272" s="130"/>
      <c r="AI2272" s="131"/>
      <c r="AJ2272" s="132"/>
      <c r="AK2272" s="127"/>
      <c r="AL2272" s="128"/>
      <c r="AM2272" s="21"/>
      <c r="AN2272" s="133">
        <v>45969</v>
      </c>
      <c r="AO2272" s="134"/>
      <c r="AP2272" s="135">
        <v>1275</v>
      </c>
      <c r="AQ2272" s="136"/>
      <c r="AR2272" s="118">
        <v>330000</v>
      </c>
      <c r="AS2272" s="119"/>
      <c r="AT2272" s="118">
        <f t="shared" ref="AT2272" si="570">AR2272*0.1</f>
        <v>33000</v>
      </c>
      <c r="AU2272" s="119"/>
      <c r="AV2272" s="118">
        <v>8460</v>
      </c>
      <c r="AW2272" s="119"/>
      <c r="AX2272" s="118">
        <f t="shared" ref="AX2272" si="571">SUM(AR2272:AW2272)</f>
        <v>371460</v>
      </c>
      <c r="AY2272" s="119"/>
      <c r="AZ2272" s="137">
        <v>45972</v>
      </c>
    </row>
    <row r="2273" spans="1:52" ht="17.100000000000001" customHeight="1" thickBot="1">
      <c r="A2273" s="110"/>
      <c r="B2273" s="27" t="s">
        <v>3281</v>
      </c>
      <c r="C2273" s="27">
        <v>129</v>
      </c>
      <c r="D2273" s="14" t="s">
        <v>7581</v>
      </c>
      <c r="E2273" s="112"/>
      <c r="F2273" s="139" t="s">
        <v>7583</v>
      </c>
      <c r="G2273" s="140"/>
      <c r="H2273" s="141"/>
      <c r="I2273" s="26">
        <v>37180</v>
      </c>
      <c r="J2273" s="117"/>
      <c r="K2273" s="120"/>
      <c r="L2273" s="121"/>
      <c r="M2273" s="120"/>
      <c r="N2273" s="121"/>
      <c r="O2273" s="120"/>
      <c r="P2273" s="121"/>
      <c r="Q2273" s="120"/>
      <c r="R2273" s="121"/>
      <c r="S2273" s="120"/>
      <c r="T2273" s="121"/>
      <c r="U2273" s="120"/>
      <c r="V2273" s="123"/>
      <c r="W2273" s="125"/>
      <c r="X2273" s="142" t="s">
        <v>3410</v>
      </c>
      <c r="Y2273" s="143"/>
      <c r="Z2273" s="143"/>
      <c r="AA2273" s="143"/>
      <c r="AB2273" s="144"/>
      <c r="AC2273" s="16" t="s">
        <v>21</v>
      </c>
      <c r="AD2273" s="17" t="s">
        <v>1638</v>
      </c>
      <c r="AE2273" s="145" t="s">
        <v>171</v>
      </c>
      <c r="AF2273" s="146"/>
      <c r="AG2273" s="146"/>
      <c r="AH2273" s="146"/>
      <c r="AI2273" s="147"/>
      <c r="AJ2273" s="148"/>
      <c r="AK2273" s="143"/>
      <c r="AL2273" s="144"/>
      <c r="AM2273" s="22"/>
      <c r="AN2273" s="149" t="s">
        <v>2511</v>
      </c>
      <c r="AO2273" s="144"/>
      <c r="AP2273" s="148">
        <v>60186</v>
      </c>
      <c r="AQ2273" s="144"/>
      <c r="AR2273" s="120"/>
      <c r="AS2273" s="121"/>
      <c r="AT2273" s="120"/>
      <c r="AU2273" s="121"/>
      <c r="AV2273" s="120"/>
      <c r="AW2273" s="121"/>
      <c r="AX2273" s="120"/>
      <c r="AY2273" s="121"/>
      <c r="AZ2273" s="138"/>
    </row>
    <row r="2274" spans="1:52" ht="17.100000000000001" customHeight="1" thickTop="1">
      <c r="A2274" s="109" t="s">
        <v>7659</v>
      </c>
      <c r="B2274" s="28">
        <v>45939</v>
      </c>
      <c r="C2274" s="25">
        <v>2129</v>
      </c>
      <c r="D2274" s="13" t="s">
        <v>7584</v>
      </c>
      <c r="E2274" s="111"/>
      <c r="F2274" s="113" t="s">
        <v>7586</v>
      </c>
      <c r="G2274" s="114"/>
      <c r="H2274" s="115"/>
      <c r="I2274" s="24" t="s">
        <v>7588</v>
      </c>
      <c r="J2274" s="116">
        <v>3.5</v>
      </c>
      <c r="K2274" s="118">
        <v>284000</v>
      </c>
      <c r="L2274" s="119"/>
      <c r="M2274" s="118">
        <f t="shared" ref="M2274" si="572">K2274*0.1</f>
        <v>28400</v>
      </c>
      <c r="N2274" s="119"/>
      <c r="O2274" s="118">
        <v>0</v>
      </c>
      <c r="P2274" s="119"/>
      <c r="Q2274" s="118">
        <v>9770</v>
      </c>
      <c r="R2274" s="119"/>
      <c r="S2274" s="118">
        <v>13750</v>
      </c>
      <c r="T2274" s="119"/>
      <c r="U2274" s="118">
        <f t="shared" ref="U2274" si="573">SUM(K2274:T2275)</f>
        <v>335920</v>
      </c>
      <c r="V2274" s="122"/>
      <c r="W2274" s="124"/>
      <c r="X2274" s="126" t="s">
        <v>7640</v>
      </c>
      <c r="Y2274" s="127"/>
      <c r="Z2274" s="127"/>
      <c r="AA2274" s="127"/>
      <c r="AB2274" s="128"/>
      <c r="AC2274" s="15" t="s">
        <v>20</v>
      </c>
      <c r="AD2274" s="129" t="s">
        <v>7589</v>
      </c>
      <c r="AE2274" s="130"/>
      <c r="AF2274" s="130"/>
      <c r="AG2274" s="130"/>
      <c r="AH2274" s="130"/>
      <c r="AI2274" s="131"/>
      <c r="AJ2274" s="132"/>
      <c r="AK2274" s="127"/>
      <c r="AL2274" s="128"/>
      <c r="AM2274" s="21"/>
      <c r="AN2274" s="133">
        <v>45948</v>
      </c>
      <c r="AO2274" s="134"/>
      <c r="AP2274" s="135">
        <v>1272</v>
      </c>
      <c r="AQ2274" s="136"/>
      <c r="AR2274" s="118">
        <v>535000</v>
      </c>
      <c r="AS2274" s="119"/>
      <c r="AT2274" s="118">
        <f t="shared" ref="AT2274" si="574">AR2274*0.1</f>
        <v>53500</v>
      </c>
      <c r="AU2274" s="119"/>
      <c r="AV2274" s="118">
        <v>9770</v>
      </c>
      <c r="AW2274" s="119"/>
      <c r="AX2274" s="118">
        <f t="shared" ref="AX2274" si="575">SUM(AR2274:AW2274)</f>
        <v>598270</v>
      </c>
      <c r="AY2274" s="119"/>
      <c r="AZ2274" s="137">
        <v>45951</v>
      </c>
    </row>
    <row r="2275" spans="1:52" ht="17.100000000000001" customHeight="1" thickBot="1">
      <c r="A2275" s="110"/>
      <c r="B2275" s="27" t="s">
        <v>3281</v>
      </c>
      <c r="C2275" s="27">
        <v>144</v>
      </c>
      <c r="D2275" s="14" t="s">
        <v>7585</v>
      </c>
      <c r="E2275" s="112"/>
      <c r="F2275" s="139" t="s">
        <v>7587</v>
      </c>
      <c r="G2275" s="140"/>
      <c r="H2275" s="141"/>
      <c r="I2275" s="26">
        <v>69969</v>
      </c>
      <c r="J2275" s="117"/>
      <c r="K2275" s="120"/>
      <c r="L2275" s="121"/>
      <c r="M2275" s="120"/>
      <c r="N2275" s="121"/>
      <c r="O2275" s="120"/>
      <c r="P2275" s="121"/>
      <c r="Q2275" s="120"/>
      <c r="R2275" s="121"/>
      <c r="S2275" s="120"/>
      <c r="T2275" s="121"/>
      <c r="U2275" s="120"/>
      <c r="V2275" s="123"/>
      <c r="W2275" s="125"/>
      <c r="X2275" s="142" t="s">
        <v>8413</v>
      </c>
      <c r="Y2275" s="143"/>
      <c r="Z2275" s="143"/>
      <c r="AA2275" s="143"/>
      <c r="AB2275" s="144"/>
      <c r="AC2275" s="16" t="s">
        <v>21</v>
      </c>
      <c r="AD2275" s="17" t="s">
        <v>1638</v>
      </c>
      <c r="AE2275" s="145" t="s">
        <v>171</v>
      </c>
      <c r="AF2275" s="146"/>
      <c r="AG2275" s="146"/>
      <c r="AH2275" s="146"/>
      <c r="AI2275" s="147"/>
      <c r="AJ2275" s="148"/>
      <c r="AK2275" s="143"/>
      <c r="AL2275" s="144"/>
      <c r="AM2275" s="22"/>
      <c r="AN2275" s="149" t="s">
        <v>2511</v>
      </c>
      <c r="AO2275" s="144"/>
      <c r="AP2275" s="148">
        <v>60009</v>
      </c>
      <c r="AQ2275" s="144"/>
      <c r="AR2275" s="120"/>
      <c r="AS2275" s="121"/>
      <c r="AT2275" s="120"/>
      <c r="AU2275" s="121"/>
      <c r="AV2275" s="120"/>
      <c r="AW2275" s="121"/>
      <c r="AX2275" s="120"/>
      <c r="AY2275" s="121"/>
      <c r="AZ2275" s="138"/>
    </row>
    <row r="2276" spans="1:52" ht="17.100000000000001" customHeight="1" thickTop="1">
      <c r="A2276" s="109" t="s">
        <v>7660</v>
      </c>
      <c r="B2276" s="28">
        <v>45939</v>
      </c>
      <c r="C2276" s="25">
        <v>2129</v>
      </c>
      <c r="D2276" s="13" t="s">
        <v>7590</v>
      </c>
      <c r="E2276" s="111"/>
      <c r="F2276" s="113" t="s">
        <v>7592</v>
      </c>
      <c r="G2276" s="114"/>
      <c r="H2276" s="115"/>
      <c r="I2276" s="24"/>
      <c r="J2276" s="116">
        <v>4.5</v>
      </c>
      <c r="K2276" s="118">
        <v>812000</v>
      </c>
      <c r="L2276" s="119"/>
      <c r="M2276" s="118">
        <f t="shared" ref="M2276" si="576">K2276*0.1</f>
        <v>81200</v>
      </c>
      <c r="N2276" s="119"/>
      <c r="O2276" s="118">
        <v>0</v>
      </c>
      <c r="P2276" s="119"/>
      <c r="Q2276" s="118">
        <v>8740</v>
      </c>
      <c r="R2276" s="119"/>
      <c r="S2276" s="118">
        <v>13750</v>
      </c>
      <c r="T2276" s="119"/>
      <c r="U2276" s="118">
        <f t="shared" ref="U2276" si="577">SUM(K2276:T2277)</f>
        <v>915690</v>
      </c>
      <c r="V2276" s="122"/>
      <c r="W2276" s="124"/>
      <c r="X2276" s="126" t="s">
        <v>8696</v>
      </c>
      <c r="Y2276" s="127"/>
      <c r="Z2276" s="127"/>
      <c r="AA2276" s="127"/>
      <c r="AB2276" s="128"/>
      <c r="AC2276" s="15" t="s">
        <v>20</v>
      </c>
      <c r="AD2276" s="129" t="s">
        <v>7594</v>
      </c>
      <c r="AE2276" s="130"/>
      <c r="AF2276" s="130"/>
      <c r="AG2276" s="130"/>
      <c r="AH2276" s="130"/>
      <c r="AI2276" s="131"/>
      <c r="AJ2276" s="132"/>
      <c r="AK2276" s="127"/>
      <c r="AL2276" s="128"/>
      <c r="AM2276" s="21"/>
      <c r="AN2276" s="133">
        <v>45962</v>
      </c>
      <c r="AO2276" s="134"/>
      <c r="AP2276" s="135">
        <v>1274</v>
      </c>
      <c r="AQ2276" s="136"/>
      <c r="AR2276" s="118">
        <v>865000</v>
      </c>
      <c r="AS2276" s="119"/>
      <c r="AT2276" s="118">
        <f t="shared" ref="AT2276" si="578">AR2276*0.1</f>
        <v>86500</v>
      </c>
      <c r="AU2276" s="119"/>
      <c r="AV2276" s="118">
        <v>8740</v>
      </c>
      <c r="AW2276" s="119"/>
      <c r="AX2276" s="118">
        <f t="shared" ref="AX2276" si="579">SUM(AR2276:AW2276)</f>
        <v>960240</v>
      </c>
      <c r="AY2276" s="119"/>
      <c r="AZ2276" s="137">
        <v>45965</v>
      </c>
    </row>
    <row r="2277" spans="1:52" ht="17.100000000000001" customHeight="1" thickBot="1">
      <c r="A2277" s="110"/>
      <c r="B2277" s="27" t="s">
        <v>3281</v>
      </c>
      <c r="C2277" s="27">
        <v>2001</v>
      </c>
      <c r="D2277" s="14" t="s">
        <v>7591</v>
      </c>
      <c r="E2277" s="112"/>
      <c r="F2277" s="139" t="s">
        <v>7593</v>
      </c>
      <c r="G2277" s="140"/>
      <c r="H2277" s="141"/>
      <c r="I2277" s="26">
        <v>55050</v>
      </c>
      <c r="J2277" s="117"/>
      <c r="K2277" s="120"/>
      <c r="L2277" s="121"/>
      <c r="M2277" s="120"/>
      <c r="N2277" s="121"/>
      <c r="O2277" s="120"/>
      <c r="P2277" s="121"/>
      <c r="Q2277" s="120"/>
      <c r="R2277" s="121"/>
      <c r="S2277" s="120"/>
      <c r="T2277" s="121"/>
      <c r="U2277" s="120"/>
      <c r="V2277" s="123"/>
      <c r="W2277" s="125"/>
      <c r="X2277" s="142" t="s">
        <v>2482</v>
      </c>
      <c r="Y2277" s="143"/>
      <c r="Z2277" s="143"/>
      <c r="AA2277" s="143"/>
      <c r="AB2277" s="144"/>
      <c r="AC2277" s="16" t="s">
        <v>21</v>
      </c>
      <c r="AD2277" s="17" t="s">
        <v>2171</v>
      </c>
      <c r="AE2277" s="145" t="s">
        <v>8697</v>
      </c>
      <c r="AF2277" s="146"/>
      <c r="AG2277" s="146"/>
      <c r="AH2277" s="146"/>
      <c r="AI2277" s="147"/>
      <c r="AJ2277" s="148"/>
      <c r="AK2277" s="143"/>
      <c r="AL2277" s="144"/>
      <c r="AM2277" s="22"/>
      <c r="AN2277" s="149" t="s">
        <v>2511</v>
      </c>
      <c r="AO2277" s="144"/>
      <c r="AP2277" s="148">
        <v>60188</v>
      </c>
      <c r="AQ2277" s="144"/>
      <c r="AR2277" s="120"/>
      <c r="AS2277" s="121"/>
      <c r="AT2277" s="120"/>
      <c r="AU2277" s="121"/>
      <c r="AV2277" s="120"/>
      <c r="AW2277" s="121"/>
      <c r="AX2277" s="120"/>
      <c r="AY2277" s="121"/>
      <c r="AZ2277" s="138"/>
    </row>
    <row r="2278" spans="1:52" ht="17.100000000000001" customHeight="1" thickTop="1">
      <c r="A2278" s="109" t="s">
        <v>7661</v>
      </c>
      <c r="B2278" s="28">
        <v>45939</v>
      </c>
      <c r="C2278" s="25">
        <v>2129</v>
      </c>
      <c r="D2278" s="13" t="s">
        <v>7595</v>
      </c>
      <c r="E2278" s="111"/>
      <c r="F2278" s="113" t="s">
        <v>7596</v>
      </c>
      <c r="G2278" s="114"/>
      <c r="H2278" s="115"/>
      <c r="I2278" s="24"/>
      <c r="J2278" s="116">
        <v>4.5</v>
      </c>
      <c r="K2278" s="118">
        <v>618000</v>
      </c>
      <c r="L2278" s="119"/>
      <c r="M2278" s="118">
        <f t="shared" ref="M2278" si="580">K2278*0.1</f>
        <v>61800</v>
      </c>
      <c r="N2278" s="119"/>
      <c r="O2278" s="118">
        <v>0</v>
      </c>
      <c r="P2278" s="119"/>
      <c r="Q2278" s="118">
        <v>8400</v>
      </c>
      <c r="R2278" s="119"/>
      <c r="S2278" s="118">
        <v>13750</v>
      </c>
      <c r="T2278" s="119"/>
      <c r="U2278" s="118">
        <f t="shared" ref="U2278" si="581">SUM(K2278:T2279)</f>
        <v>701950</v>
      </c>
      <c r="V2278" s="122"/>
      <c r="W2278" s="124"/>
      <c r="X2278" s="126" t="s">
        <v>8411</v>
      </c>
      <c r="Y2278" s="127"/>
      <c r="Z2278" s="127"/>
      <c r="AA2278" s="127"/>
      <c r="AB2278" s="128"/>
      <c r="AC2278" s="15" t="s">
        <v>20</v>
      </c>
      <c r="AD2278" s="129" t="s">
        <v>7598</v>
      </c>
      <c r="AE2278" s="130"/>
      <c r="AF2278" s="130"/>
      <c r="AG2278" s="130"/>
      <c r="AH2278" s="130"/>
      <c r="AI2278" s="131"/>
      <c r="AJ2278" s="132"/>
      <c r="AK2278" s="127"/>
      <c r="AL2278" s="128"/>
      <c r="AM2278" s="21"/>
      <c r="AN2278" s="133">
        <v>45944</v>
      </c>
      <c r="AO2278" s="134"/>
      <c r="AP2278" s="135">
        <v>1913</v>
      </c>
      <c r="AQ2278" s="136"/>
      <c r="AR2278" s="118">
        <v>695000</v>
      </c>
      <c r="AS2278" s="119"/>
      <c r="AT2278" s="118">
        <f t="shared" ref="AT2278" si="582">AR2278*0.1</f>
        <v>69500</v>
      </c>
      <c r="AU2278" s="119"/>
      <c r="AV2278" s="118">
        <v>8400</v>
      </c>
      <c r="AW2278" s="119"/>
      <c r="AX2278" s="118">
        <f t="shared" ref="AX2278" si="583">SUM(AR2278:AW2278)</f>
        <v>772900</v>
      </c>
      <c r="AY2278" s="119"/>
      <c r="AZ2278" s="137">
        <v>45951</v>
      </c>
    </row>
    <row r="2279" spans="1:52" ht="16.5" customHeight="1" thickBot="1">
      <c r="A2279" s="110"/>
      <c r="B2279" s="27" t="s">
        <v>3281</v>
      </c>
      <c r="C2279" s="27">
        <v>2007</v>
      </c>
      <c r="D2279" s="14" t="s">
        <v>7581</v>
      </c>
      <c r="E2279" s="112"/>
      <c r="F2279" s="139" t="s">
        <v>7597</v>
      </c>
      <c r="G2279" s="140"/>
      <c r="H2279" s="141"/>
      <c r="I2279" s="26">
        <v>36441</v>
      </c>
      <c r="J2279" s="117"/>
      <c r="K2279" s="120"/>
      <c r="L2279" s="121"/>
      <c r="M2279" s="120"/>
      <c r="N2279" s="121"/>
      <c r="O2279" s="120"/>
      <c r="P2279" s="121"/>
      <c r="Q2279" s="120"/>
      <c r="R2279" s="121"/>
      <c r="S2279" s="120"/>
      <c r="T2279" s="121"/>
      <c r="U2279" s="120"/>
      <c r="V2279" s="123"/>
      <c r="W2279" s="125"/>
      <c r="X2279" s="142" t="s">
        <v>8412</v>
      </c>
      <c r="Y2279" s="143"/>
      <c r="Z2279" s="143"/>
      <c r="AA2279" s="143"/>
      <c r="AB2279" s="144"/>
      <c r="AC2279" s="16" t="s">
        <v>21</v>
      </c>
      <c r="AD2279" s="17" t="s">
        <v>1638</v>
      </c>
      <c r="AE2279" s="145" t="s">
        <v>171</v>
      </c>
      <c r="AF2279" s="146"/>
      <c r="AG2279" s="146"/>
      <c r="AH2279" s="146"/>
      <c r="AI2279" s="147"/>
      <c r="AJ2279" s="148"/>
      <c r="AK2279" s="143"/>
      <c r="AL2279" s="144"/>
      <c r="AM2279" s="22"/>
      <c r="AN2279" s="149" t="s">
        <v>7644</v>
      </c>
      <c r="AO2279" s="144"/>
      <c r="AP2279" s="148">
        <v>3511</v>
      </c>
      <c r="AQ2279" s="144"/>
      <c r="AR2279" s="120"/>
      <c r="AS2279" s="121"/>
      <c r="AT2279" s="120"/>
      <c r="AU2279" s="121"/>
      <c r="AV2279" s="120"/>
      <c r="AW2279" s="121"/>
      <c r="AX2279" s="120"/>
      <c r="AY2279" s="121"/>
      <c r="AZ2279" s="138"/>
    </row>
    <row r="2280" spans="1:52" ht="17.100000000000001" customHeight="1" thickTop="1">
      <c r="A2280" s="109" t="s">
        <v>7662</v>
      </c>
      <c r="B2280" s="28">
        <v>45939</v>
      </c>
      <c r="C2280" s="25">
        <v>2129</v>
      </c>
      <c r="D2280" s="13" t="s">
        <v>7599</v>
      </c>
      <c r="E2280" s="111"/>
      <c r="F2280" s="113" t="s">
        <v>7600</v>
      </c>
      <c r="G2280" s="114"/>
      <c r="H2280" s="115"/>
      <c r="I2280" s="24" t="s">
        <v>7602</v>
      </c>
      <c r="J2280" s="150" t="s">
        <v>7603</v>
      </c>
      <c r="K2280" s="118">
        <v>596000</v>
      </c>
      <c r="L2280" s="119"/>
      <c r="M2280" s="118">
        <f t="shared" ref="M2280" si="584">K2280*0.1</f>
        <v>59600</v>
      </c>
      <c r="N2280" s="119"/>
      <c r="O2280" s="118">
        <v>0</v>
      </c>
      <c r="P2280" s="119"/>
      <c r="Q2280" s="118">
        <v>8860</v>
      </c>
      <c r="R2280" s="119"/>
      <c r="S2280" s="118">
        <v>13750</v>
      </c>
      <c r="T2280" s="119"/>
      <c r="U2280" s="118">
        <f t="shared" ref="U2280" si="585">SUM(K2280:T2281)</f>
        <v>678210</v>
      </c>
      <c r="V2280" s="122"/>
      <c r="W2280" s="124"/>
      <c r="X2280" s="126" t="s">
        <v>7641</v>
      </c>
      <c r="Y2280" s="127"/>
      <c r="Z2280" s="127"/>
      <c r="AA2280" s="127"/>
      <c r="AB2280" s="128"/>
      <c r="AC2280" s="15" t="s">
        <v>20</v>
      </c>
      <c r="AD2280" s="129"/>
      <c r="AE2280" s="130"/>
      <c r="AF2280" s="130"/>
      <c r="AG2280" s="130"/>
      <c r="AH2280" s="130"/>
      <c r="AI2280" s="131"/>
      <c r="AJ2280" s="132"/>
      <c r="AK2280" s="127"/>
      <c r="AL2280" s="128"/>
      <c r="AM2280" s="21" t="s">
        <v>11061</v>
      </c>
      <c r="AN2280" s="133">
        <v>45976</v>
      </c>
      <c r="AO2280" s="134"/>
      <c r="AP2280" s="135">
        <v>1276</v>
      </c>
      <c r="AQ2280" s="136"/>
      <c r="AR2280" s="118">
        <v>660000</v>
      </c>
      <c r="AS2280" s="119"/>
      <c r="AT2280" s="118">
        <f t="shared" ref="AT2280" si="586">AR2280*0.1</f>
        <v>66000</v>
      </c>
      <c r="AU2280" s="119"/>
      <c r="AV2280" s="118">
        <v>8860</v>
      </c>
      <c r="AW2280" s="119"/>
      <c r="AX2280" s="118">
        <f t="shared" ref="AX2280" si="587">SUM(AR2280:AW2280)</f>
        <v>734860</v>
      </c>
      <c r="AY2280" s="119"/>
      <c r="AZ2280" s="137">
        <v>45981</v>
      </c>
    </row>
    <row r="2281" spans="1:52" ht="17.100000000000001" customHeight="1" thickBot="1">
      <c r="A2281" s="110"/>
      <c r="B2281" s="27" t="s">
        <v>3281</v>
      </c>
      <c r="C2281" s="27">
        <v>2093</v>
      </c>
      <c r="D2281" s="14" t="s">
        <v>7581</v>
      </c>
      <c r="E2281" s="112"/>
      <c r="F2281" s="139" t="s">
        <v>7601</v>
      </c>
      <c r="G2281" s="140"/>
      <c r="H2281" s="141"/>
      <c r="I2281" s="26">
        <v>76921</v>
      </c>
      <c r="J2281" s="117"/>
      <c r="K2281" s="120"/>
      <c r="L2281" s="121"/>
      <c r="M2281" s="120"/>
      <c r="N2281" s="121"/>
      <c r="O2281" s="120"/>
      <c r="P2281" s="121"/>
      <c r="Q2281" s="120"/>
      <c r="R2281" s="121"/>
      <c r="S2281" s="120"/>
      <c r="T2281" s="121"/>
      <c r="U2281" s="120"/>
      <c r="V2281" s="123"/>
      <c r="W2281" s="125"/>
      <c r="X2281" s="142" t="s">
        <v>8703</v>
      </c>
      <c r="Y2281" s="143"/>
      <c r="Z2281" s="143"/>
      <c r="AA2281" s="143"/>
      <c r="AB2281" s="144"/>
      <c r="AC2281" s="16" t="s">
        <v>21</v>
      </c>
      <c r="AD2281" s="17" t="s">
        <v>2171</v>
      </c>
      <c r="AE2281" s="145"/>
      <c r="AF2281" s="146"/>
      <c r="AG2281" s="146"/>
      <c r="AH2281" s="146"/>
      <c r="AI2281" s="147"/>
      <c r="AJ2281" s="148"/>
      <c r="AK2281" s="143"/>
      <c r="AL2281" s="144"/>
      <c r="AM2281" s="22"/>
      <c r="AN2281" s="149" t="s">
        <v>10999</v>
      </c>
      <c r="AO2281" s="144"/>
      <c r="AP2281" s="148">
        <v>60240</v>
      </c>
      <c r="AQ2281" s="144"/>
      <c r="AR2281" s="120"/>
      <c r="AS2281" s="121"/>
      <c r="AT2281" s="120"/>
      <c r="AU2281" s="121"/>
      <c r="AV2281" s="120"/>
      <c r="AW2281" s="121"/>
      <c r="AX2281" s="120"/>
      <c r="AY2281" s="121"/>
      <c r="AZ2281" s="138"/>
    </row>
    <row r="2282" spans="1:52" ht="17.100000000000001" customHeight="1" thickTop="1">
      <c r="A2282" s="109" t="s">
        <v>7663</v>
      </c>
      <c r="B2282" s="28">
        <v>45939</v>
      </c>
      <c r="C2282" s="25">
        <v>2129</v>
      </c>
      <c r="D2282" s="13" t="s">
        <v>7604</v>
      </c>
      <c r="E2282" s="111"/>
      <c r="F2282" s="113" t="s">
        <v>7606</v>
      </c>
      <c r="G2282" s="114"/>
      <c r="H2282" s="115"/>
      <c r="I2282" s="24" t="s">
        <v>7608</v>
      </c>
      <c r="J2282" s="116">
        <v>4</v>
      </c>
      <c r="K2282" s="118">
        <v>536000</v>
      </c>
      <c r="L2282" s="119"/>
      <c r="M2282" s="118">
        <f t="shared" ref="M2282" si="588">K2282*0.1</f>
        <v>53600</v>
      </c>
      <c r="N2282" s="119"/>
      <c r="O2282" s="118">
        <v>0</v>
      </c>
      <c r="P2282" s="119"/>
      <c r="Q2282" s="118">
        <v>8430</v>
      </c>
      <c r="R2282" s="119"/>
      <c r="S2282" s="118">
        <v>13750</v>
      </c>
      <c r="T2282" s="119"/>
      <c r="U2282" s="118">
        <f t="shared" ref="U2282" si="589">SUM(K2282:T2283)</f>
        <v>611780</v>
      </c>
      <c r="V2282" s="122"/>
      <c r="W2282" s="124"/>
      <c r="X2282" s="126" t="s">
        <v>7610</v>
      </c>
      <c r="Y2282" s="127"/>
      <c r="Z2282" s="127"/>
      <c r="AA2282" s="127"/>
      <c r="AB2282" s="128"/>
      <c r="AC2282" s="15" t="s">
        <v>20</v>
      </c>
      <c r="AD2282" s="129" t="s">
        <v>7609</v>
      </c>
      <c r="AE2282" s="130"/>
      <c r="AF2282" s="130"/>
      <c r="AG2282" s="130"/>
      <c r="AH2282" s="130"/>
      <c r="AI2282" s="131"/>
      <c r="AJ2282" s="132"/>
      <c r="AK2282" s="127"/>
      <c r="AL2282" s="128"/>
      <c r="AM2282" s="21"/>
      <c r="AN2282" s="133">
        <v>45948</v>
      </c>
      <c r="AO2282" s="134"/>
      <c r="AP2282" s="135">
        <v>1272</v>
      </c>
      <c r="AQ2282" s="136"/>
      <c r="AR2282" s="118">
        <v>680000</v>
      </c>
      <c r="AS2282" s="119"/>
      <c r="AT2282" s="118">
        <f t="shared" ref="AT2282" si="590">AR2282*0.1</f>
        <v>68000</v>
      </c>
      <c r="AU2282" s="119"/>
      <c r="AV2282" s="118">
        <v>8430</v>
      </c>
      <c r="AW2282" s="119"/>
      <c r="AX2282" s="118">
        <f t="shared" ref="AX2282" si="591">SUM(AR2282:AW2282)</f>
        <v>756430</v>
      </c>
      <c r="AY2282" s="119"/>
      <c r="AZ2282" s="137">
        <v>45952</v>
      </c>
    </row>
    <row r="2283" spans="1:52" ht="17.100000000000001" customHeight="1" thickBot="1">
      <c r="A2283" s="110"/>
      <c r="B2283" s="27" t="s">
        <v>3281</v>
      </c>
      <c r="C2283" s="27">
        <v>2202</v>
      </c>
      <c r="D2283" s="14" t="s">
        <v>7605</v>
      </c>
      <c r="E2283" s="112"/>
      <c r="F2283" s="139" t="s">
        <v>7607</v>
      </c>
      <c r="G2283" s="140"/>
      <c r="H2283" s="141"/>
      <c r="I2283" s="26">
        <v>23875</v>
      </c>
      <c r="J2283" s="117"/>
      <c r="K2283" s="120"/>
      <c r="L2283" s="121"/>
      <c r="M2283" s="120"/>
      <c r="N2283" s="121"/>
      <c r="O2283" s="120"/>
      <c r="P2283" s="121"/>
      <c r="Q2283" s="120"/>
      <c r="R2283" s="121"/>
      <c r="S2283" s="120"/>
      <c r="T2283" s="121"/>
      <c r="U2283" s="120"/>
      <c r="V2283" s="123"/>
      <c r="W2283" s="125"/>
      <c r="X2283" s="142" t="s">
        <v>8410</v>
      </c>
      <c r="Y2283" s="143"/>
      <c r="Z2283" s="143"/>
      <c r="AA2283" s="143"/>
      <c r="AB2283" s="144"/>
      <c r="AC2283" s="16" t="s">
        <v>21</v>
      </c>
      <c r="AD2283" s="17" t="s">
        <v>1638</v>
      </c>
      <c r="AE2283" s="145" t="s">
        <v>5140</v>
      </c>
      <c r="AF2283" s="146"/>
      <c r="AG2283" s="146"/>
      <c r="AH2283" s="146"/>
      <c r="AI2283" s="147"/>
      <c r="AJ2283" s="148" t="s">
        <v>7854</v>
      </c>
      <c r="AK2283" s="143"/>
      <c r="AL2283" s="144"/>
      <c r="AM2283" s="22"/>
      <c r="AN2283" s="149" t="s">
        <v>6748</v>
      </c>
      <c r="AO2283" s="144"/>
      <c r="AP2283" s="148">
        <v>60003</v>
      </c>
      <c r="AQ2283" s="144"/>
      <c r="AR2283" s="120"/>
      <c r="AS2283" s="121"/>
      <c r="AT2283" s="120"/>
      <c r="AU2283" s="121"/>
      <c r="AV2283" s="120"/>
      <c r="AW2283" s="121"/>
      <c r="AX2283" s="120"/>
      <c r="AY2283" s="121"/>
      <c r="AZ2283" s="138"/>
    </row>
    <row r="2284" spans="1:52" ht="17.100000000000001" customHeight="1" thickTop="1">
      <c r="A2284" s="109" t="s">
        <v>7664</v>
      </c>
      <c r="B2284" s="28">
        <v>45939</v>
      </c>
      <c r="C2284" s="25">
        <v>2129</v>
      </c>
      <c r="D2284" s="13" t="s">
        <v>7611</v>
      </c>
      <c r="E2284" s="111"/>
      <c r="F2284" s="113" t="s">
        <v>7612</v>
      </c>
      <c r="G2284" s="114"/>
      <c r="H2284" s="115"/>
      <c r="I2284" s="24" t="s">
        <v>7614</v>
      </c>
      <c r="J2284" s="116">
        <v>4</v>
      </c>
      <c r="K2284" s="118">
        <v>654000</v>
      </c>
      <c r="L2284" s="119"/>
      <c r="M2284" s="118">
        <f t="shared" ref="M2284" si="592">K2284*0.1</f>
        <v>65400</v>
      </c>
      <c r="N2284" s="119"/>
      <c r="O2284" s="118">
        <v>0</v>
      </c>
      <c r="P2284" s="119"/>
      <c r="Q2284" s="118">
        <v>8230</v>
      </c>
      <c r="R2284" s="119"/>
      <c r="S2284" s="118">
        <v>13750</v>
      </c>
      <c r="T2284" s="119"/>
      <c r="U2284" s="118">
        <f t="shared" ref="U2284" si="593">SUM(K2284:T2285)</f>
        <v>741380</v>
      </c>
      <c r="V2284" s="122"/>
      <c r="W2284" s="124"/>
      <c r="X2284" s="126" t="s">
        <v>7615</v>
      </c>
      <c r="Y2284" s="127"/>
      <c r="Z2284" s="127"/>
      <c r="AA2284" s="127"/>
      <c r="AB2284" s="128"/>
      <c r="AC2284" s="15" t="s">
        <v>20</v>
      </c>
      <c r="AD2284" s="129"/>
      <c r="AE2284" s="130"/>
      <c r="AF2284" s="130"/>
      <c r="AG2284" s="130"/>
      <c r="AH2284" s="130"/>
      <c r="AI2284" s="131"/>
      <c r="AJ2284" s="132"/>
      <c r="AK2284" s="127"/>
      <c r="AL2284" s="128"/>
      <c r="AM2284" s="21" t="s">
        <v>11011</v>
      </c>
      <c r="AN2284" s="133">
        <v>45980</v>
      </c>
      <c r="AO2284" s="134"/>
      <c r="AP2284" s="135">
        <v>993</v>
      </c>
      <c r="AQ2284" s="136"/>
      <c r="AR2284" s="118">
        <v>700000</v>
      </c>
      <c r="AS2284" s="119"/>
      <c r="AT2284" s="118">
        <f t="shared" ref="AT2284" si="594">AR2284*0.1</f>
        <v>70000</v>
      </c>
      <c r="AU2284" s="119"/>
      <c r="AV2284" s="118">
        <v>8230</v>
      </c>
      <c r="AW2284" s="119"/>
      <c r="AX2284" s="118">
        <f t="shared" ref="AX2284" si="595">SUM(AR2284:AW2284)</f>
        <v>778230</v>
      </c>
      <c r="AY2284" s="119"/>
      <c r="AZ2284" s="137">
        <v>45986</v>
      </c>
    </row>
    <row r="2285" spans="1:52" ht="17.100000000000001" customHeight="1" thickBot="1">
      <c r="A2285" s="110"/>
      <c r="B2285" s="27" t="s">
        <v>3281</v>
      </c>
      <c r="C2285" s="27">
        <v>2525</v>
      </c>
      <c r="D2285" s="14" t="s">
        <v>7563</v>
      </c>
      <c r="E2285" s="112"/>
      <c r="F2285" s="139" t="s">
        <v>7613</v>
      </c>
      <c r="G2285" s="140"/>
      <c r="H2285" s="141"/>
      <c r="I2285" s="26">
        <v>50856</v>
      </c>
      <c r="J2285" s="117"/>
      <c r="K2285" s="120"/>
      <c r="L2285" s="121"/>
      <c r="M2285" s="120"/>
      <c r="N2285" s="121"/>
      <c r="O2285" s="120"/>
      <c r="P2285" s="121"/>
      <c r="Q2285" s="120"/>
      <c r="R2285" s="121"/>
      <c r="S2285" s="120"/>
      <c r="T2285" s="121"/>
      <c r="U2285" s="120"/>
      <c r="V2285" s="123"/>
      <c r="W2285" s="125"/>
      <c r="X2285" s="142" t="s">
        <v>8408</v>
      </c>
      <c r="Y2285" s="143"/>
      <c r="Z2285" s="143"/>
      <c r="AA2285" s="143"/>
      <c r="AB2285" s="144"/>
      <c r="AC2285" s="16" t="s">
        <v>21</v>
      </c>
      <c r="AD2285" s="17" t="s">
        <v>1638</v>
      </c>
      <c r="AE2285" s="145" t="s">
        <v>8409</v>
      </c>
      <c r="AF2285" s="146"/>
      <c r="AG2285" s="146"/>
      <c r="AH2285" s="146"/>
      <c r="AI2285" s="147"/>
      <c r="AJ2285" s="148"/>
      <c r="AK2285" s="143"/>
      <c r="AL2285" s="144"/>
      <c r="AM2285" s="22"/>
      <c r="AN2285" s="149" t="s">
        <v>9053</v>
      </c>
      <c r="AO2285" s="144"/>
      <c r="AP2285" s="148">
        <v>2053</v>
      </c>
      <c r="AQ2285" s="144"/>
      <c r="AR2285" s="120"/>
      <c r="AS2285" s="121"/>
      <c r="AT2285" s="120"/>
      <c r="AU2285" s="121"/>
      <c r="AV2285" s="120"/>
      <c r="AW2285" s="121"/>
      <c r="AX2285" s="120"/>
      <c r="AY2285" s="121"/>
      <c r="AZ2285" s="138"/>
    </row>
    <row r="2286" spans="1:52" ht="17.100000000000001" customHeight="1" thickTop="1">
      <c r="A2286" s="109" t="s">
        <v>7665</v>
      </c>
      <c r="B2286" s="28">
        <v>45939</v>
      </c>
      <c r="C2286" s="25">
        <v>2129</v>
      </c>
      <c r="D2286" s="13" t="s">
        <v>7616</v>
      </c>
      <c r="E2286" s="111"/>
      <c r="F2286" s="113" t="s">
        <v>7617</v>
      </c>
      <c r="G2286" s="114"/>
      <c r="H2286" s="115"/>
      <c r="I2286" s="24"/>
      <c r="J2286" s="116">
        <v>4.5</v>
      </c>
      <c r="K2286" s="118">
        <v>1155000</v>
      </c>
      <c r="L2286" s="119"/>
      <c r="M2286" s="118">
        <f t="shared" ref="M2286" si="596">K2286*0.1</f>
        <v>115500</v>
      </c>
      <c r="N2286" s="119"/>
      <c r="O2286" s="118">
        <v>0</v>
      </c>
      <c r="P2286" s="119"/>
      <c r="Q2286" s="118">
        <v>8130</v>
      </c>
      <c r="R2286" s="119"/>
      <c r="S2286" s="118">
        <v>13750</v>
      </c>
      <c r="T2286" s="119"/>
      <c r="U2286" s="118">
        <f t="shared" ref="U2286" si="597">SUM(K2286:T2287)</f>
        <v>1292380</v>
      </c>
      <c r="V2286" s="122"/>
      <c r="W2286" s="124"/>
      <c r="X2286" s="126" t="s">
        <v>8698</v>
      </c>
      <c r="Y2286" s="127"/>
      <c r="Z2286" s="127"/>
      <c r="AA2286" s="127"/>
      <c r="AB2286" s="128"/>
      <c r="AC2286" s="15" t="s">
        <v>20</v>
      </c>
      <c r="AD2286" s="129"/>
      <c r="AE2286" s="130"/>
      <c r="AF2286" s="130"/>
      <c r="AG2286" s="130"/>
      <c r="AH2286" s="130"/>
      <c r="AI2286" s="131"/>
      <c r="AJ2286" s="132"/>
      <c r="AK2286" s="127"/>
      <c r="AL2286" s="128"/>
      <c r="AM2286" s="21"/>
      <c r="AN2286" s="133">
        <v>45951</v>
      </c>
      <c r="AO2286" s="134"/>
      <c r="AP2286" s="135">
        <v>1914</v>
      </c>
      <c r="AQ2286" s="136"/>
      <c r="AR2286" s="118">
        <v>1189000</v>
      </c>
      <c r="AS2286" s="119"/>
      <c r="AT2286" s="118">
        <f t="shared" ref="AT2286" si="598">AR2286*0.1</f>
        <v>118900</v>
      </c>
      <c r="AU2286" s="119"/>
      <c r="AV2286" s="118">
        <v>8130</v>
      </c>
      <c r="AW2286" s="119"/>
      <c r="AX2286" s="118">
        <f t="shared" ref="AX2286" si="599">SUM(AR2286:AW2286)</f>
        <v>1316030</v>
      </c>
      <c r="AY2286" s="119"/>
      <c r="AZ2286" s="137">
        <v>45957</v>
      </c>
    </row>
    <row r="2287" spans="1:52" ht="17.100000000000001" customHeight="1" thickBot="1">
      <c r="A2287" s="110"/>
      <c r="B2287" s="27" t="s">
        <v>3281</v>
      </c>
      <c r="C2287" s="27">
        <v>2544</v>
      </c>
      <c r="D2287" s="14" t="s">
        <v>7581</v>
      </c>
      <c r="E2287" s="112"/>
      <c r="F2287" s="139" t="s">
        <v>7618</v>
      </c>
      <c r="G2287" s="140"/>
      <c r="H2287" s="141"/>
      <c r="I2287" s="26">
        <v>30335</v>
      </c>
      <c r="J2287" s="117"/>
      <c r="K2287" s="120"/>
      <c r="L2287" s="121"/>
      <c r="M2287" s="120"/>
      <c r="N2287" s="121"/>
      <c r="O2287" s="120"/>
      <c r="P2287" s="121"/>
      <c r="Q2287" s="120"/>
      <c r="R2287" s="121"/>
      <c r="S2287" s="120"/>
      <c r="T2287" s="121"/>
      <c r="U2287" s="120"/>
      <c r="V2287" s="123"/>
      <c r="W2287" s="125"/>
      <c r="X2287" s="142" t="s">
        <v>8699</v>
      </c>
      <c r="Y2287" s="143"/>
      <c r="Z2287" s="143"/>
      <c r="AA2287" s="143"/>
      <c r="AB2287" s="144"/>
      <c r="AC2287" s="16" t="s">
        <v>21</v>
      </c>
      <c r="AD2287" s="17" t="s">
        <v>2171</v>
      </c>
      <c r="AE2287" s="145" t="s">
        <v>2832</v>
      </c>
      <c r="AF2287" s="146"/>
      <c r="AG2287" s="146"/>
      <c r="AH2287" s="146"/>
      <c r="AI2287" s="147"/>
      <c r="AJ2287" s="148"/>
      <c r="AK2287" s="143"/>
      <c r="AL2287" s="144"/>
      <c r="AM2287" s="22"/>
      <c r="AN2287" s="149" t="s">
        <v>2131</v>
      </c>
      <c r="AO2287" s="144"/>
      <c r="AP2287" s="148">
        <v>3049</v>
      </c>
      <c r="AQ2287" s="144"/>
      <c r="AR2287" s="120"/>
      <c r="AS2287" s="121"/>
      <c r="AT2287" s="120"/>
      <c r="AU2287" s="121"/>
      <c r="AV2287" s="120"/>
      <c r="AW2287" s="121"/>
      <c r="AX2287" s="120"/>
      <c r="AY2287" s="121"/>
      <c r="AZ2287" s="138"/>
    </row>
    <row r="2288" spans="1:52" ht="17.100000000000001" customHeight="1" thickTop="1">
      <c r="A2288" s="109" t="s">
        <v>7666</v>
      </c>
      <c r="B2288" s="28">
        <v>45939</v>
      </c>
      <c r="C2288" s="25">
        <v>2129</v>
      </c>
      <c r="D2288" s="13" t="s">
        <v>7619</v>
      </c>
      <c r="E2288" s="111"/>
      <c r="F2288" s="113" t="s">
        <v>7620</v>
      </c>
      <c r="G2288" s="114"/>
      <c r="H2288" s="115"/>
      <c r="I2288" s="24"/>
      <c r="J2288" s="116">
        <v>4</v>
      </c>
      <c r="K2288" s="118">
        <v>282000</v>
      </c>
      <c r="L2288" s="119"/>
      <c r="M2288" s="118">
        <f t="shared" ref="M2288" si="600">K2288*0.1</f>
        <v>28200</v>
      </c>
      <c r="N2288" s="119"/>
      <c r="O2288" s="118">
        <v>0</v>
      </c>
      <c r="P2288" s="119"/>
      <c r="Q2288" s="118">
        <v>9070</v>
      </c>
      <c r="R2288" s="119"/>
      <c r="S2288" s="118">
        <v>13750</v>
      </c>
      <c r="T2288" s="119"/>
      <c r="U2288" s="118">
        <f t="shared" ref="U2288" si="601">SUM(K2288:T2289)</f>
        <v>333020</v>
      </c>
      <c r="V2288" s="122"/>
      <c r="W2288" s="124"/>
      <c r="X2288" s="126" t="s">
        <v>8700</v>
      </c>
      <c r="Y2288" s="127"/>
      <c r="Z2288" s="127"/>
      <c r="AA2288" s="127"/>
      <c r="AB2288" s="128"/>
      <c r="AC2288" s="15" t="s">
        <v>20</v>
      </c>
      <c r="AD2288" s="129" t="s">
        <v>7204</v>
      </c>
      <c r="AE2288" s="130"/>
      <c r="AF2288" s="130"/>
      <c r="AG2288" s="130"/>
      <c r="AH2288" s="130"/>
      <c r="AI2288" s="131"/>
      <c r="AJ2288" s="132"/>
      <c r="AK2288" s="127"/>
      <c r="AL2288" s="128"/>
      <c r="AM2288" s="21"/>
      <c r="AN2288" s="133">
        <v>46046</v>
      </c>
      <c r="AO2288" s="134"/>
      <c r="AP2288" s="135">
        <v>1285</v>
      </c>
      <c r="AQ2288" s="136"/>
      <c r="AR2288" s="118">
        <v>280000</v>
      </c>
      <c r="AS2288" s="119"/>
      <c r="AT2288" s="118">
        <f t="shared" ref="AT2288" si="602">AR2288*0.1</f>
        <v>28000</v>
      </c>
      <c r="AU2288" s="119"/>
      <c r="AV2288" s="118">
        <v>9070</v>
      </c>
      <c r="AW2288" s="119"/>
      <c r="AX2288" s="118">
        <f t="shared" ref="AX2288" si="603">SUM(AR2288:AW2288)</f>
        <v>317070</v>
      </c>
      <c r="AY2288" s="119"/>
      <c r="AZ2288" s="137">
        <v>46049</v>
      </c>
    </row>
    <row r="2289" spans="1:52" ht="17.100000000000001" customHeight="1" thickBot="1">
      <c r="A2289" s="110"/>
      <c r="B2289" s="27" t="s">
        <v>3281</v>
      </c>
      <c r="C2289" s="27">
        <v>2564</v>
      </c>
      <c r="D2289" s="14" t="s">
        <v>7563</v>
      </c>
      <c r="E2289" s="112"/>
      <c r="F2289" s="139" t="s">
        <v>7621</v>
      </c>
      <c r="G2289" s="140"/>
      <c r="H2289" s="141"/>
      <c r="I2289" s="26">
        <v>44137</v>
      </c>
      <c r="J2289" s="117"/>
      <c r="K2289" s="120"/>
      <c r="L2289" s="121"/>
      <c r="M2289" s="120"/>
      <c r="N2289" s="121"/>
      <c r="O2289" s="120"/>
      <c r="P2289" s="121"/>
      <c r="Q2289" s="120"/>
      <c r="R2289" s="121"/>
      <c r="S2289" s="120"/>
      <c r="T2289" s="121"/>
      <c r="U2289" s="120"/>
      <c r="V2289" s="123"/>
      <c r="W2289" s="125"/>
      <c r="X2289" s="142" t="s">
        <v>8701</v>
      </c>
      <c r="Y2289" s="143"/>
      <c r="Z2289" s="143"/>
      <c r="AA2289" s="143"/>
      <c r="AB2289" s="144"/>
      <c r="AC2289" s="16" t="s">
        <v>21</v>
      </c>
      <c r="AD2289" s="17" t="s">
        <v>2171</v>
      </c>
      <c r="AE2289" s="145" t="s">
        <v>171</v>
      </c>
      <c r="AF2289" s="146"/>
      <c r="AG2289" s="146"/>
      <c r="AH2289" s="146"/>
      <c r="AI2289" s="147"/>
      <c r="AJ2289" s="148"/>
      <c r="AK2289" s="143"/>
      <c r="AL2289" s="144"/>
      <c r="AM2289" s="22"/>
      <c r="AN2289" s="149" t="s">
        <v>7284</v>
      </c>
      <c r="AO2289" s="144"/>
      <c r="AP2289" s="148">
        <v>60401</v>
      </c>
      <c r="AQ2289" s="144"/>
      <c r="AR2289" s="120"/>
      <c r="AS2289" s="121"/>
      <c r="AT2289" s="120"/>
      <c r="AU2289" s="121"/>
      <c r="AV2289" s="120"/>
      <c r="AW2289" s="121"/>
      <c r="AX2289" s="120"/>
      <c r="AY2289" s="121"/>
      <c r="AZ2289" s="138"/>
    </row>
    <row r="2290" spans="1:52" ht="17.100000000000001" customHeight="1" thickTop="1">
      <c r="A2290" s="109" t="s">
        <v>7667</v>
      </c>
      <c r="B2290" s="28">
        <v>45939</v>
      </c>
      <c r="C2290" s="25">
        <v>2129</v>
      </c>
      <c r="D2290" s="13" t="s">
        <v>7622</v>
      </c>
      <c r="E2290" s="111"/>
      <c r="F2290" s="113" t="s">
        <v>7624</v>
      </c>
      <c r="G2290" s="114"/>
      <c r="H2290" s="115"/>
      <c r="I2290" s="24" t="s">
        <v>7626</v>
      </c>
      <c r="J2290" s="116">
        <v>4.5</v>
      </c>
      <c r="K2290" s="118">
        <v>1654000</v>
      </c>
      <c r="L2290" s="119"/>
      <c r="M2290" s="118">
        <f t="shared" ref="M2290" si="604">K2290*0.1</f>
        <v>165400</v>
      </c>
      <c r="N2290" s="119"/>
      <c r="O2290" s="118">
        <v>0</v>
      </c>
      <c r="P2290" s="119"/>
      <c r="Q2290" s="118">
        <v>7230</v>
      </c>
      <c r="R2290" s="119"/>
      <c r="S2290" s="118">
        <v>13750</v>
      </c>
      <c r="T2290" s="119"/>
      <c r="U2290" s="118">
        <f t="shared" ref="U2290" si="605">SUM(K2290:T2291)</f>
        <v>1840380</v>
      </c>
      <c r="V2290" s="122"/>
      <c r="W2290" s="124"/>
      <c r="X2290" s="126" t="s">
        <v>8405</v>
      </c>
      <c r="Y2290" s="127"/>
      <c r="Z2290" s="127"/>
      <c r="AA2290" s="127"/>
      <c r="AB2290" s="128"/>
      <c r="AC2290" s="15" t="s">
        <v>20</v>
      </c>
      <c r="AD2290" s="129" t="s">
        <v>7627</v>
      </c>
      <c r="AE2290" s="130"/>
      <c r="AF2290" s="130"/>
      <c r="AG2290" s="130"/>
      <c r="AH2290" s="130"/>
      <c r="AI2290" s="131"/>
      <c r="AJ2290" s="132"/>
      <c r="AK2290" s="127"/>
      <c r="AL2290" s="128"/>
      <c r="AM2290" s="21" t="s">
        <v>11040</v>
      </c>
      <c r="AN2290" s="133">
        <v>45980</v>
      </c>
      <c r="AO2290" s="134"/>
      <c r="AP2290" s="135">
        <v>993</v>
      </c>
      <c r="AQ2290" s="136"/>
      <c r="AR2290" s="118">
        <v>1700000</v>
      </c>
      <c r="AS2290" s="119"/>
      <c r="AT2290" s="118">
        <f t="shared" ref="AT2290" si="606">AR2290*0.1</f>
        <v>170000</v>
      </c>
      <c r="AU2290" s="119"/>
      <c r="AV2290" s="118">
        <v>7230</v>
      </c>
      <c r="AW2290" s="119"/>
      <c r="AX2290" s="118">
        <f t="shared" ref="AX2290" si="607">SUM(AR2290:AW2290)</f>
        <v>1877230</v>
      </c>
      <c r="AY2290" s="119"/>
      <c r="AZ2290" s="137">
        <v>45986</v>
      </c>
    </row>
    <row r="2291" spans="1:52" ht="17.100000000000001" customHeight="1" thickBot="1">
      <c r="A2291" s="110"/>
      <c r="B2291" s="27" t="s">
        <v>3281</v>
      </c>
      <c r="C2291" s="27">
        <v>2608</v>
      </c>
      <c r="D2291" s="14" t="s">
        <v>7623</v>
      </c>
      <c r="E2291" s="112"/>
      <c r="F2291" s="139" t="s">
        <v>7625</v>
      </c>
      <c r="G2291" s="140"/>
      <c r="H2291" s="141"/>
      <c r="I2291" s="26">
        <v>8695</v>
      </c>
      <c r="J2291" s="117"/>
      <c r="K2291" s="120"/>
      <c r="L2291" s="121"/>
      <c r="M2291" s="120"/>
      <c r="N2291" s="121"/>
      <c r="O2291" s="120"/>
      <c r="P2291" s="121"/>
      <c r="Q2291" s="120"/>
      <c r="R2291" s="121"/>
      <c r="S2291" s="120"/>
      <c r="T2291" s="121"/>
      <c r="U2291" s="120"/>
      <c r="V2291" s="123"/>
      <c r="W2291" s="125"/>
      <c r="X2291" s="142" t="s">
        <v>2440</v>
      </c>
      <c r="Y2291" s="143"/>
      <c r="Z2291" s="143"/>
      <c r="AA2291" s="143"/>
      <c r="AB2291" s="144"/>
      <c r="AC2291" s="16" t="s">
        <v>21</v>
      </c>
      <c r="AD2291" s="17" t="s">
        <v>1638</v>
      </c>
      <c r="AE2291" s="145" t="s">
        <v>5325</v>
      </c>
      <c r="AF2291" s="146"/>
      <c r="AG2291" s="146"/>
      <c r="AH2291" s="146"/>
      <c r="AI2291" s="147"/>
      <c r="AJ2291" s="148"/>
      <c r="AK2291" s="143"/>
      <c r="AL2291" s="144"/>
      <c r="AM2291" s="22"/>
      <c r="AN2291" s="149" t="s">
        <v>2794</v>
      </c>
      <c r="AO2291" s="144"/>
      <c r="AP2291" s="148">
        <v>2069</v>
      </c>
      <c r="AQ2291" s="144"/>
      <c r="AR2291" s="120"/>
      <c r="AS2291" s="121"/>
      <c r="AT2291" s="120"/>
      <c r="AU2291" s="121"/>
      <c r="AV2291" s="120"/>
      <c r="AW2291" s="121"/>
      <c r="AX2291" s="120"/>
      <c r="AY2291" s="121"/>
      <c r="AZ2291" s="138"/>
    </row>
    <row r="2292" spans="1:52" ht="17.100000000000001" customHeight="1" thickTop="1">
      <c r="A2292" s="109" t="s">
        <v>7668</v>
      </c>
      <c r="B2292" s="28">
        <v>45939</v>
      </c>
      <c r="C2292" s="25">
        <v>2129</v>
      </c>
      <c r="D2292" s="13" t="s">
        <v>7628</v>
      </c>
      <c r="E2292" s="111"/>
      <c r="F2292" s="113" t="s">
        <v>7629</v>
      </c>
      <c r="G2292" s="114"/>
      <c r="H2292" s="115"/>
      <c r="I2292" s="24"/>
      <c r="J2292" s="116">
        <v>4</v>
      </c>
      <c r="K2292" s="118">
        <v>1080000</v>
      </c>
      <c r="L2292" s="119"/>
      <c r="M2292" s="118">
        <f t="shared" ref="M2292" si="608">K2292*0.1</f>
        <v>108000</v>
      </c>
      <c r="N2292" s="119"/>
      <c r="O2292" s="118">
        <v>0</v>
      </c>
      <c r="P2292" s="119"/>
      <c r="Q2292" s="118">
        <v>7150</v>
      </c>
      <c r="R2292" s="119"/>
      <c r="S2292" s="118">
        <v>13750</v>
      </c>
      <c r="T2292" s="119"/>
      <c r="U2292" s="118">
        <f t="shared" ref="U2292" si="609">SUM(K2292:T2293)</f>
        <v>1208900</v>
      </c>
      <c r="V2292" s="122"/>
      <c r="W2292" s="124"/>
      <c r="X2292" s="126" t="s">
        <v>8407</v>
      </c>
      <c r="Y2292" s="127"/>
      <c r="Z2292" s="127"/>
      <c r="AA2292" s="127"/>
      <c r="AB2292" s="128"/>
      <c r="AC2292" s="15" t="s">
        <v>20</v>
      </c>
      <c r="AD2292" s="129"/>
      <c r="AE2292" s="130"/>
      <c r="AF2292" s="130"/>
      <c r="AG2292" s="130"/>
      <c r="AH2292" s="130"/>
      <c r="AI2292" s="131"/>
      <c r="AJ2292" s="132"/>
      <c r="AK2292" s="127"/>
      <c r="AL2292" s="128"/>
      <c r="AM2292" s="21"/>
      <c r="AN2292" s="133"/>
      <c r="AO2292" s="134"/>
      <c r="AP2292" s="135"/>
      <c r="AQ2292" s="136"/>
      <c r="AR2292" s="118"/>
      <c r="AS2292" s="119"/>
      <c r="AT2292" s="118">
        <f t="shared" ref="AT2292" si="610">AR2292*0.1</f>
        <v>0</v>
      </c>
      <c r="AU2292" s="119"/>
      <c r="AV2292" s="118"/>
      <c r="AW2292" s="119"/>
      <c r="AX2292" s="118">
        <f t="shared" ref="AX2292" si="611">SUM(AR2292:AW2292)</f>
        <v>0</v>
      </c>
      <c r="AY2292" s="119"/>
      <c r="AZ2292" s="137"/>
    </row>
    <row r="2293" spans="1:52" ht="17.100000000000001" customHeight="1" thickBot="1">
      <c r="A2293" s="110"/>
      <c r="B2293" s="27" t="s">
        <v>3281</v>
      </c>
      <c r="C2293" s="27">
        <v>2665</v>
      </c>
      <c r="D2293" s="14" t="s">
        <v>7623</v>
      </c>
      <c r="E2293" s="112"/>
      <c r="F2293" s="139" t="s">
        <v>7630</v>
      </c>
      <c r="G2293" s="140"/>
      <c r="H2293" s="141"/>
      <c r="I2293" s="26">
        <v>30538</v>
      </c>
      <c r="J2293" s="117"/>
      <c r="K2293" s="120"/>
      <c r="L2293" s="121"/>
      <c r="M2293" s="120"/>
      <c r="N2293" s="121"/>
      <c r="O2293" s="120"/>
      <c r="P2293" s="121"/>
      <c r="Q2293" s="120"/>
      <c r="R2293" s="121"/>
      <c r="S2293" s="120"/>
      <c r="T2293" s="121"/>
      <c r="U2293" s="120"/>
      <c r="V2293" s="123"/>
      <c r="W2293" s="125"/>
      <c r="X2293" s="142" t="s">
        <v>2440</v>
      </c>
      <c r="Y2293" s="143"/>
      <c r="Z2293" s="143"/>
      <c r="AA2293" s="143"/>
      <c r="AB2293" s="144"/>
      <c r="AC2293" s="16" t="s">
        <v>21</v>
      </c>
      <c r="AD2293" s="17" t="s">
        <v>1638</v>
      </c>
      <c r="AE2293" s="145"/>
      <c r="AF2293" s="146"/>
      <c r="AG2293" s="146"/>
      <c r="AH2293" s="146"/>
      <c r="AI2293" s="147"/>
      <c r="AJ2293" s="148"/>
      <c r="AK2293" s="143"/>
      <c r="AL2293" s="144"/>
      <c r="AM2293" s="22"/>
      <c r="AN2293" s="149"/>
      <c r="AO2293" s="144"/>
      <c r="AP2293" s="148"/>
      <c r="AQ2293" s="144"/>
      <c r="AR2293" s="120"/>
      <c r="AS2293" s="121"/>
      <c r="AT2293" s="120"/>
      <c r="AU2293" s="121"/>
      <c r="AV2293" s="120"/>
      <c r="AW2293" s="121"/>
      <c r="AX2293" s="120"/>
      <c r="AY2293" s="121"/>
      <c r="AZ2293" s="138"/>
    </row>
    <row r="2294" spans="1:52" ht="17.100000000000001" customHeight="1" thickTop="1">
      <c r="A2294" s="109" t="s">
        <v>7669</v>
      </c>
      <c r="B2294" s="28">
        <v>45939</v>
      </c>
      <c r="C2294" s="25">
        <v>2129</v>
      </c>
      <c r="D2294" s="13" t="s">
        <v>7557</v>
      </c>
      <c r="E2294" s="111"/>
      <c r="F2294" s="113" t="s">
        <v>7632</v>
      </c>
      <c r="G2294" s="114"/>
      <c r="H2294" s="115"/>
      <c r="I2294" s="24"/>
      <c r="J2294" s="116">
        <v>4</v>
      </c>
      <c r="K2294" s="118">
        <v>891000</v>
      </c>
      <c r="L2294" s="119"/>
      <c r="M2294" s="118">
        <f t="shared" ref="M2294" si="612">K2294*0.1</f>
        <v>89100</v>
      </c>
      <c r="N2294" s="119"/>
      <c r="O2294" s="118">
        <v>0</v>
      </c>
      <c r="P2294" s="119"/>
      <c r="Q2294" s="118">
        <v>5340</v>
      </c>
      <c r="R2294" s="119"/>
      <c r="S2294" s="118">
        <v>13750</v>
      </c>
      <c r="T2294" s="119"/>
      <c r="U2294" s="118">
        <f t="shared" ref="U2294" si="613">SUM(K2294:T2295)</f>
        <v>999190</v>
      </c>
      <c r="V2294" s="122"/>
      <c r="W2294" s="124"/>
      <c r="X2294" s="126" t="s">
        <v>8406</v>
      </c>
      <c r="Y2294" s="127"/>
      <c r="Z2294" s="127"/>
      <c r="AA2294" s="127"/>
      <c r="AB2294" s="128"/>
      <c r="AC2294" s="15" t="s">
        <v>20</v>
      </c>
      <c r="AD2294" s="129"/>
      <c r="AE2294" s="130"/>
      <c r="AF2294" s="130"/>
      <c r="AG2294" s="130"/>
      <c r="AH2294" s="130"/>
      <c r="AI2294" s="131"/>
      <c r="AJ2294" s="132"/>
      <c r="AK2294" s="127"/>
      <c r="AL2294" s="128"/>
      <c r="AM2294" s="21"/>
      <c r="AN2294" s="133">
        <v>45948</v>
      </c>
      <c r="AO2294" s="134"/>
      <c r="AP2294" s="135">
        <v>1272</v>
      </c>
      <c r="AQ2294" s="136"/>
      <c r="AR2294" s="118">
        <v>1015000</v>
      </c>
      <c r="AS2294" s="119"/>
      <c r="AT2294" s="118">
        <f t="shared" ref="AT2294" si="614">AR2294*0.1</f>
        <v>101500</v>
      </c>
      <c r="AU2294" s="119"/>
      <c r="AV2294" s="118">
        <v>5340</v>
      </c>
      <c r="AW2294" s="119"/>
      <c r="AX2294" s="118">
        <f t="shared" ref="AX2294" si="615">SUM(AR2294:AW2294)</f>
        <v>1121840</v>
      </c>
      <c r="AY2294" s="119"/>
      <c r="AZ2294" s="137">
        <v>45951</v>
      </c>
    </row>
    <row r="2295" spans="1:52" ht="17.100000000000001" customHeight="1" thickBot="1">
      <c r="A2295" s="110"/>
      <c r="B2295" s="27" t="s">
        <v>3281</v>
      </c>
      <c r="C2295" s="27">
        <v>2666</v>
      </c>
      <c r="D2295" s="14" t="s">
        <v>7631</v>
      </c>
      <c r="E2295" s="112"/>
      <c r="F2295" s="139" t="s">
        <v>7633</v>
      </c>
      <c r="G2295" s="140"/>
      <c r="H2295" s="141"/>
      <c r="I2295" s="26">
        <v>53488</v>
      </c>
      <c r="J2295" s="117"/>
      <c r="K2295" s="120"/>
      <c r="L2295" s="121"/>
      <c r="M2295" s="120"/>
      <c r="N2295" s="121"/>
      <c r="O2295" s="120"/>
      <c r="P2295" s="121"/>
      <c r="Q2295" s="120"/>
      <c r="R2295" s="121"/>
      <c r="S2295" s="120"/>
      <c r="T2295" s="121"/>
      <c r="U2295" s="120"/>
      <c r="V2295" s="123"/>
      <c r="W2295" s="125"/>
      <c r="X2295" s="142" t="s">
        <v>2440</v>
      </c>
      <c r="Y2295" s="143"/>
      <c r="Z2295" s="143"/>
      <c r="AA2295" s="143"/>
      <c r="AB2295" s="144"/>
      <c r="AC2295" s="16" t="s">
        <v>21</v>
      </c>
      <c r="AD2295" s="17" t="s">
        <v>1638</v>
      </c>
      <c r="AE2295" s="145"/>
      <c r="AF2295" s="146"/>
      <c r="AG2295" s="146"/>
      <c r="AH2295" s="146"/>
      <c r="AI2295" s="147"/>
      <c r="AJ2295" s="148"/>
      <c r="AK2295" s="143"/>
      <c r="AL2295" s="144"/>
      <c r="AM2295" s="22"/>
      <c r="AN2295" s="149" t="s">
        <v>2511</v>
      </c>
      <c r="AO2295" s="144"/>
      <c r="AP2295" s="148">
        <v>60015</v>
      </c>
      <c r="AQ2295" s="144"/>
      <c r="AR2295" s="120"/>
      <c r="AS2295" s="121"/>
      <c r="AT2295" s="120"/>
      <c r="AU2295" s="121"/>
      <c r="AV2295" s="120"/>
      <c r="AW2295" s="121"/>
      <c r="AX2295" s="120"/>
      <c r="AY2295" s="121"/>
      <c r="AZ2295" s="138"/>
    </row>
    <row r="2296" spans="1:52" ht="17.100000000000001" customHeight="1" thickTop="1">
      <c r="A2296" s="109" t="s">
        <v>7670</v>
      </c>
      <c r="B2296" s="28">
        <v>45939</v>
      </c>
      <c r="C2296" s="25">
        <v>2129</v>
      </c>
      <c r="D2296" s="13" t="s">
        <v>7634</v>
      </c>
      <c r="E2296" s="111"/>
      <c r="F2296" s="113" t="s">
        <v>7635</v>
      </c>
      <c r="G2296" s="114"/>
      <c r="H2296" s="115"/>
      <c r="I2296" s="24"/>
      <c r="J2296" s="116">
        <v>4</v>
      </c>
      <c r="K2296" s="118">
        <v>493000</v>
      </c>
      <c r="L2296" s="119"/>
      <c r="M2296" s="118">
        <f t="shared" ref="M2296" si="616">K2296*0.1</f>
        <v>49300</v>
      </c>
      <c r="N2296" s="119"/>
      <c r="O2296" s="118">
        <v>0</v>
      </c>
      <c r="P2296" s="119"/>
      <c r="Q2296" s="118">
        <v>9910</v>
      </c>
      <c r="R2296" s="119"/>
      <c r="S2296" s="118">
        <v>13750</v>
      </c>
      <c r="T2296" s="119"/>
      <c r="U2296" s="118">
        <f t="shared" ref="U2296" si="617">SUM(K2296:T2297)</f>
        <v>565960</v>
      </c>
      <c r="V2296" s="122"/>
      <c r="W2296" s="124"/>
      <c r="X2296" s="126" t="s">
        <v>8702</v>
      </c>
      <c r="Y2296" s="127"/>
      <c r="Z2296" s="127"/>
      <c r="AA2296" s="127"/>
      <c r="AB2296" s="128"/>
      <c r="AC2296" s="15" t="s">
        <v>20</v>
      </c>
      <c r="AD2296" s="129"/>
      <c r="AE2296" s="130"/>
      <c r="AF2296" s="130"/>
      <c r="AG2296" s="130"/>
      <c r="AH2296" s="130"/>
      <c r="AI2296" s="131"/>
      <c r="AJ2296" s="132"/>
      <c r="AK2296" s="127"/>
      <c r="AL2296" s="128"/>
      <c r="AM2296" s="21"/>
      <c r="AN2296" s="133">
        <v>45948</v>
      </c>
      <c r="AO2296" s="134"/>
      <c r="AP2296" s="135">
        <v>1272</v>
      </c>
      <c r="AQ2296" s="136"/>
      <c r="AR2296" s="118">
        <v>600000</v>
      </c>
      <c r="AS2296" s="119"/>
      <c r="AT2296" s="118">
        <f t="shared" ref="AT2296" si="618">AR2296*0.1</f>
        <v>60000</v>
      </c>
      <c r="AU2296" s="119"/>
      <c r="AV2296" s="118">
        <v>9910</v>
      </c>
      <c r="AW2296" s="119"/>
      <c r="AX2296" s="118">
        <f t="shared" ref="AX2296" si="619">SUM(AR2296:AW2296)</f>
        <v>669910</v>
      </c>
      <c r="AY2296" s="119"/>
      <c r="AZ2296" s="137">
        <v>45958</v>
      </c>
    </row>
    <row r="2297" spans="1:52" ht="17.100000000000001" customHeight="1" thickBot="1">
      <c r="A2297" s="110"/>
      <c r="B2297" s="27" t="s">
        <v>3281</v>
      </c>
      <c r="C2297" s="27">
        <v>2694</v>
      </c>
      <c r="D2297" s="14" t="s">
        <v>7585</v>
      </c>
      <c r="E2297" s="112"/>
      <c r="F2297" s="139" t="s">
        <v>7636</v>
      </c>
      <c r="G2297" s="140"/>
      <c r="H2297" s="141"/>
      <c r="I2297" s="26">
        <v>67670</v>
      </c>
      <c r="J2297" s="117"/>
      <c r="K2297" s="120"/>
      <c r="L2297" s="121"/>
      <c r="M2297" s="120"/>
      <c r="N2297" s="121"/>
      <c r="O2297" s="120"/>
      <c r="P2297" s="121"/>
      <c r="Q2297" s="120"/>
      <c r="R2297" s="121"/>
      <c r="S2297" s="120"/>
      <c r="T2297" s="121"/>
      <c r="U2297" s="120"/>
      <c r="V2297" s="123"/>
      <c r="W2297" s="125"/>
      <c r="X2297" s="142" t="s">
        <v>2659</v>
      </c>
      <c r="Y2297" s="143"/>
      <c r="Z2297" s="143"/>
      <c r="AA2297" s="143"/>
      <c r="AB2297" s="144"/>
      <c r="AC2297" s="16" t="s">
        <v>21</v>
      </c>
      <c r="AD2297" s="17" t="s">
        <v>2171</v>
      </c>
      <c r="AE2297" s="145"/>
      <c r="AF2297" s="146"/>
      <c r="AG2297" s="146"/>
      <c r="AH2297" s="146"/>
      <c r="AI2297" s="147"/>
      <c r="AJ2297" s="148"/>
      <c r="AK2297" s="143"/>
      <c r="AL2297" s="144"/>
      <c r="AM2297" s="22"/>
      <c r="AN2297" s="149" t="s">
        <v>6748</v>
      </c>
      <c r="AO2297" s="144"/>
      <c r="AP2297" s="148">
        <v>60049</v>
      </c>
      <c r="AQ2297" s="144"/>
      <c r="AR2297" s="120"/>
      <c r="AS2297" s="121"/>
      <c r="AT2297" s="120"/>
      <c r="AU2297" s="121"/>
      <c r="AV2297" s="120"/>
      <c r="AW2297" s="121"/>
      <c r="AX2297" s="120"/>
      <c r="AY2297" s="121"/>
      <c r="AZ2297" s="138"/>
    </row>
    <row r="2298" spans="1:52" ht="17.100000000000001" customHeight="1" thickTop="1">
      <c r="A2298" s="109" t="s">
        <v>7671</v>
      </c>
      <c r="B2298" s="28">
        <v>45939</v>
      </c>
      <c r="C2298" s="25">
        <v>2129</v>
      </c>
      <c r="D2298" s="13" t="s">
        <v>7637</v>
      </c>
      <c r="E2298" s="111"/>
      <c r="F2298" s="113" t="s">
        <v>7582</v>
      </c>
      <c r="G2298" s="114"/>
      <c r="H2298" s="115"/>
      <c r="I2298" s="24" t="s">
        <v>3003</v>
      </c>
      <c r="J2298" s="116">
        <v>3.5</v>
      </c>
      <c r="K2298" s="118">
        <v>413000</v>
      </c>
      <c r="L2298" s="119"/>
      <c r="M2298" s="118">
        <f t="shared" ref="M2298" si="620">K2298*0.1</f>
        <v>41300</v>
      </c>
      <c r="N2298" s="119"/>
      <c r="O2298" s="118">
        <v>0</v>
      </c>
      <c r="P2298" s="119"/>
      <c r="Q2298" s="118">
        <v>8460</v>
      </c>
      <c r="R2298" s="119"/>
      <c r="S2298" s="118">
        <v>13750</v>
      </c>
      <c r="T2298" s="119"/>
      <c r="U2298" s="118">
        <f t="shared" ref="U2298" si="621">SUM(K2298:T2299)</f>
        <v>476510</v>
      </c>
      <c r="V2298" s="122"/>
      <c r="W2298" s="124"/>
      <c r="X2298" s="126" t="s">
        <v>7639</v>
      </c>
      <c r="Y2298" s="127"/>
      <c r="Z2298" s="127"/>
      <c r="AA2298" s="127"/>
      <c r="AB2298" s="128"/>
      <c r="AC2298" s="15" t="s">
        <v>20</v>
      </c>
      <c r="AD2298" s="129" t="s">
        <v>7589</v>
      </c>
      <c r="AE2298" s="130"/>
      <c r="AF2298" s="130"/>
      <c r="AG2298" s="130"/>
      <c r="AH2298" s="130"/>
      <c r="AI2298" s="131"/>
      <c r="AJ2298" s="132"/>
      <c r="AK2298" s="127"/>
      <c r="AL2298" s="128"/>
      <c r="AM2298" s="21"/>
      <c r="AN2298" s="133">
        <v>45976</v>
      </c>
      <c r="AO2298" s="134"/>
      <c r="AP2298" s="135">
        <v>1276</v>
      </c>
      <c r="AQ2298" s="136"/>
      <c r="AR2298" s="118">
        <v>480000</v>
      </c>
      <c r="AS2298" s="119"/>
      <c r="AT2298" s="118">
        <f t="shared" ref="AT2298" si="622">AR2298*0.1</f>
        <v>48000</v>
      </c>
      <c r="AU2298" s="119"/>
      <c r="AV2298" s="118">
        <v>8460</v>
      </c>
      <c r="AW2298" s="119"/>
      <c r="AX2298" s="118">
        <f t="shared" ref="AX2298" si="623">SUM(AR2298:AW2298)</f>
        <v>536460</v>
      </c>
      <c r="AY2298" s="119"/>
      <c r="AZ2298" s="137">
        <v>45981</v>
      </c>
    </row>
    <row r="2299" spans="1:52" ht="17.100000000000001" customHeight="1" thickBot="1">
      <c r="A2299" s="110"/>
      <c r="B2299" s="27" t="s">
        <v>3281</v>
      </c>
      <c r="C2299" s="27">
        <v>35390</v>
      </c>
      <c r="D2299" s="14" t="s">
        <v>7563</v>
      </c>
      <c r="E2299" s="112"/>
      <c r="F2299" s="139" t="s">
        <v>7638</v>
      </c>
      <c r="G2299" s="140"/>
      <c r="H2299" s="141"/>
      <c r="I2299" s="26">
        <v>44722</v>
      </c>
      <c r="J2299" s="117"/>
      <c r="K2299" s="120"/>
      <c r="L2299" s="121"/>
      <c r="M2299" s="120"/>
      <c r="N2299" s="121"/>
      <c r="O2299" s="120"/>
      <c r="P2299" s="121"/>
      <c r="Q2299" s="120"/>
      <c r="R2299" s="121"/>
      <c r="S2299" s="120"/>
      <c r="T2299" s="121"/>
      <c r="U2299" s="120"/>
      <c r="V2299" s="123"/>
      <c r="W2299" s="125"/>
      <c r="X2299" s="142" t="s">
        <v>8404</v>
      </c>
      <c r="Y2299" s="143"/>
      <c r="Z2299" s="143"/>
      <c r="AA2299" s="143"/>
      <c r="AB2299" s="144"/>
      <c r="AC2299" s="16" t="s">
        <v>21</v>
      </c>
      <c r="AD2299" s="17" t="s">
        <v>1638</v>
      </c>
      <c r="AE2299" s="145" t="s">
        <v>186</v>
      </c>
      <c r="AF2299" s="146"/>
      <c r="AG2299" s="146"/>
      <c r="AH2299" s="146"/>
      <c r="AI2299" s="147"/>
      <c r="AJ2299" s="148"/>
      <c r="AK2299" s="143"/>
      <c r="AL2299" s="144"/>
      <c r="AM2299" s="22"/>
      <c r="AN2299" s="149" t="s">
        <v>10999</v>
      </c>
      <c r="AO2299" s="144"/>
      <c r="AP2299" s="148">
        <v>60051</v>
      </c>
      <c r="AQ2299" s="144"/>
      <c r="AR2299" s="120"/>
      <c r="AS2299" s="121"/>
      <c r="AT2299" s="120"/>
      <c r="AU2299" s="121"/>
      <c r="AV2299" s="120"/>
      <c r="AW2299" s="121"/>
      <c r="AX2299" s="120"/>
      <c r="AY2299" s="121"/>
      <c r="AZ2299" s="138"/>
    </row>
    <row r="2300" spans="1:52" ht="17.100000000000001" customHeight="1" thickTop="1">
      <c r="A2300" s="109" t="s">
        <v>7672</v>
      </c>
      <c r="B2300" s="28">
        <v>45940</v>
      </c>
      <c r="C2300" s="25">
        <v>58</v>
      </c>
      <c r="D2300" s="13" t="s">
        <v>2616</v>
      </c>
      <c r="E2300" s="111"/>
      <c r="F2300" s="113" t="s">
        <v>2993</v>
      </c>
      <c r="G2300" s="114"/>
      <c r="H2300" s="115"/>
      <c r="I2300" s="24" t="s">
        <v>3509</v>
      </c>
      <c r="J2300" s="116">
        <v>4.5</v>
      </c>
      <c r="K2300" s="118">
        <v>640000</v>
      </c>
      <c r="L2300" s="119"/>
      <c r="M2300" s="118">
        <f t="shared" ref="M2300" si="624">K2300*0.1</f>
        <v>64000</v>
      </c>
      <c r="N2300" s="119"/>
      <c r="O2300" s="118">
        <v>0</v>
      </c>
      <c r="P2300" s="119"/>
      <c r="Q2300" s="118">
        <v>8400</v>
      </c>
      <c r="R2300" s="119"/>
      <c r="S2300" s="118">
        <v>33000</v>
      </c>
      <c r="T2300" s="119"/>
      <c r="U2300" s="118">
        <f t="shared" ref="U2300" si="625">SUM(K2300:T2301)</f>
        <v>745400</v>
      </c>
      <c r="V2300" s="122"/>
      <c r="W2300" s="124"/>
      <c r="X2300" s="126" t="s">
        <v>10594</v>
      </c>
      <c r="Y2300" s="127"/>
      <c r="Z2300" s="127"/>
      <c r="AA2300" s="127"/>
      <c r="AB2300" s="128"/>
      <c r="AC2300" s="15" t="s">
        <v>20</v>
      </c>
      <c r="AD2300" s="129" t="s">
        <v>7745</v>
      </c>
      <c r="AE2300" s="130"/>
      <c r="AF2300" s="130"/>
      <c r="AG2300" s="130"/>
      <c r="AH2300" s="130"/>
      <c r="AI2300" s="131"/>
      <c r="AJ2300" s="132"/>
      <c r="AK2300" s="127"/>
      <c r="AL2300" s="128"/>
      <c r="AM2300" s="21" t="s">
        <v>10715</v>
      </c>
      <c r="AN2300" s="133">
        <v>45965</v>
      </c>
      <c r="AO2300" s="134"/>
      <c r="AP2300" s="135">
        <v>1916</v>
      </c>
      <c r="AQ2300" s="136"/>
      <c r="AR2300" s="118">
        <v>770000</v>
      </c>
      <c r="AS2300" s="119"/>
      <c r="AT2300" s="118">
        <f t="shared" ref="AT2300" si="626">AR2300*0.1</f>
        <v>77000</v>
      </c>
      <c r="AU2300" s="119"/>
      <c r="AV2300" s="118">
        <v>8400</v>
      </c>
      <c r="AW2300" s="119"/>
      <c r="AX2300" s="118">
        <f t="shared" ref="AX2300" si="627">SUM(AR2300:AW2300)</f>
        <v>855400</v>
      </c>
      <c r="AY2300" s="119"/>
      <c r="AZ2300" s="137"/>
    </row>
    <row r="2301" spans="1:52" ht="17.100000000000001" customHeight="1" thickBot="1">
      <c r="A2301" s="110"/>
      <c r="B2301" s="27" t="s">
        <v>4544</v>
      </c>
      <c r="C2301" s="27">
        <v>1115</v>
      </c>
      <c r="D2301" s="14" t="s">
        <v>275</v>
      </c>
      <c r="E2301" s="112"/>
      <c r="F2301" s="139" t="s">
        <v>7744</v>
      </c>
      <c r="G2301" s="140"/>
      <c r="H2301" s="141"/>
      <c r="I2301" s="26">
        <v>59487</v>
      </c>
      <c r="J2301" s="117"/>
      <c r="K2301" s="120"/>
      <c r="L2301" s="121"/>
      <c r="M2301" s="120"/>
      <c r="N2301" s="121"/>
      <c r="O2301" s="120"/>
      <c r="P2301" s="121"/>
      <c r="Q2301" s="120"/>
      <c r="R2301" s="121"/>
      <c r="S2301" s="120"/>
      <c r="T2301" s="121"/>
      <c r="U2301" s="120"/>
      <c r="V2301" s="123"/>
      <c r="W2301" s="125"/>
      <c r="X2301" s="142" t="s">
        <v>10595</v>
      </c>
      <c r="Y2301" s="143"/>
      <c r="Z2301" s="143"/>
      <c r="AA2301" s="143"/>
      <c r="AB2301" s="144"/>
      <c r="AC2301" s="16" t="s">
        <v>21</v>
      </c>
      <c r="AD2301" s="17" t="s">
        <v>10596</v>
      </c>
      <c r="AE2301" s="145" t="s">
        <v>7849</v>
      </c>
      <c r="AF2301" s="146"/>
      <c r="AG2301" s="146"/>
      <c r="AH2301" s="146"/>
      <c r="AI2301" s="147"/>
      <c r="AJ2301" s="148"/>
      <c r="AK2301" s="143"/>
      <c r="AL2301" s="144"/>
      <c r="AM2301" s="22"/>
      <c r="AN2301" s="149" t="s">
        <v>2131</v>
      </c>
      <c r="AO2301" s="144"/>
      <c r="AP2301" s="148">
        <v>3141</v>
      </c>
      <c r="AQ2301" s="144"/>
      <c r="AR2301" s="120"/>
      <c r="AS2301" s="121"/>
      <c r="AT2301" s="120"/>
      <c r="AU2301" s="121"/>
      <c r="AV2301" s="120"/>
      <c r="AW2301" s="121"/>
      <c r="AX2301" s="120"/>
      <c r="AY2301" s="121"/>
      <c r="AZ2301" s="138"/>
    </row>
    <row r="2302" spans="1:52" ht="17.100000000000001" customHeight="1" thickTop="1">
      <c r="A2302" s="109" t="s">
        <v>7754</v>
      </c>
      <c r="B2302" s="28">
        <v>45940</v>
      </c>
      <c r="C2302" s="25">
        <v>1389</v>
      </c>
      <c r="D2302" s="13" t="s">
        <v>7770</v>
      </c>
      <c r="E2302" s="111"/>
      <c r="F2302" s="113" t="s">
        <v>7772</v>
      </c>
      <c r="G2302" s="114"/>
      <c r="H2302" s="115"/>
      <c r="I2302" s="24"/>
      <c r="J2302" s="116">
        <v>3.5</v>
      </c>
      <c r="K2302" s="118">
        <v>369000</v>
      </c>
      <c r="L2302" s="119"/>
      <c r="M2302" s="118">
        <f t="shared" ref="M2302" si="628">K2302*0.1</f>
        <v>36900</v>
      </c>
      <c r="N2302" s="119"/>
      <c r="O2302" s="118">
        <v>0</v>
      </c>
      <c r="P2302" s="119"/>
      <c r="Q2302" s="118">
        <v>8400</v>
      </c>
      <c r="R2302" s="119"/>
      <c r="S2302" s="118">
        <v>13200</v>
      </c>
      <c r="T2302" s="119"/>
      <c r="U2302" s="118">
        <f t="shared" ref="U2302" si="629">SUM(K2302:T2303)</f>
        <v>427500</v>
      </c>
      <c r="V2302" s="122"/>
      <c r="W2302" s="124"/>
      <c r="X2302" s="126" t="s">
        <v>8403</v>
      </c>
      <c r="Y2302" s="127"/>
      <c r="Z2302" s="127"/>
      <c r="AA2302" s="127"/>
      <c r="AB2302" s="128"/>
      <c r="AC2302" s="15" t="s">
        <v>20</v>
      </c>
      <c r="AD2302" s="129"/>
      <c r="AE2302" s="130"/>
      <c r="AF2302" s="130"/>
      <c r="AG2302" s="130"/>
      <c r="AH2302" s="130"/>
      <c r="AI2302" s="131"/>
      <c r="AJ2302" s="132"/>
      <c r="AK2302" s="127"/>
      <c r="AL2302" s="128"/>
      <c r="AM2302" s="21"/>
      <c r="AN2302" s="133">
        <v>45948</v>
      </c>
      <c r="AO2302" s="134"/>
      <c r="AP2302" s="135">
        <v>1272</v>
      </c>
      <c r="AQ2302" s="136"/>
      <c r="AR2302" s="118">
        <v>450000</v>
      </c>
      <c r="AS2302" s="119"/>
      <c r="AT2302" s="118">
        <f t="shared" ref="AT2302" si="630">AR2302*0.1</f>
        <v>45000</v>
      </c>
      <c r="AU2302" s="119"/>
      <c r="AV2302" s="118">
        <v>8400</v>
      </c>
      <c r="AW2302" s="119"/>
      <c r="AX2302" s="118">
        <f t="shared" ref="AX2302" si="631">SUM(AR2302:AW2302)</f>
        <v>503400</v>
      </c>
      <c r="AY2302" s="119"/>
      <c r="AZ2302" s="137">
        <v>45951</v>
      </c>
    </row>
    <row r="2303" spans="1:52" ht="17.100000000000001" customHeight="1" thickBot="1">
      <c r="A2303" s="110"/>
      <c r="B2303" s="27" t="s">
        <v>7753</v>
      </c>
      <c r="C2303" s="27">
        <v>2171</v>
      </c>
      <c r="D2303" s="14" t="s">
        <v>7771</v>
      </c>
      <c r="E2303" s="112"/>
      <c r="F2303" s="139" t="s">
        <v>7773</v>
      </c>
      <c r="G2303" s="140"/>
      <c r="H2303" s="141"/>
      <c r="I2303" s="26">
        <v>19120</v>
      </c>
      <c r="J2303" s="117"/>
      <c r="K2303" s="120"/>
      <c r="L2303" s="121"/>
      <c r="M2303" s="120"/>
      <c r="N2303" s="121"/>
      <c r="O2303" s="120"/>
      <c r="P2303" s="121"/>
      <c r="Q2303" s="120"/>
      <c r="R2303" s="121"/>
      <c r="S2303" s="120"/>
      <c r="T2303" s="121"/>
      <c r="U2303" s="120"/>
      <c r="V2303" s="123"/>
      <c r="W2303" s="125"/>
      <c r="X2303" s="142" t="s">
        <v>1997</v>
      </c>
      <c r="Y2303" s="143"/>
      <c r="Z2303" s="143"/>
      <c r="AA2303" s="143"/>
      <c r="AB2303" s="144"/>
      <c r="AC2303" s="16" t="s">
        <v>21</v>
      </c>
      <c r="AD2303" s="17" t="s">
        <v>1638</v>
      </c>
      <c r="AE2303" s="145"/>
      <c r="AF2303" s="146"/>
      <c r="AG2303" s="146"/>
      <c r="AH2303" s="146"/>
      <c r="AI2303" s="147"/>
      <c r="AJ2303" s="148"/>
      <c r="AK2303" s="143"/>
      <c r="AL2303" s="144"/>
      <c r="AM2303" s="22"/>
      <c r="AN2303" s="149" t="s">
        <v>2511</v>
      </c>
      <c r="AO2303" s="144"/>
      <c r="AP2303" s="148">
        <v>60053</v>
      </c>
      <c r="AQ2303" s="144"/>
      <c r="AR2303" s="120"/>
      <c r="AS2303" s="121"/>
      <c r="AT2303" s="120"/>
      <c r="AU2303" s="121"/>
      <c r="AV2303" s="120"/>
      <c r="AW2303" s="121"/>
      <c r="AX2303" s="120"/>
      <c r="AY2303" s="121"/>
      <c r="AZ2303" s="138"/>
    </row>
    <row r="2304" spans="1:52" ht="17.100000000000001" customHeight="1" thickTop="1">
      <c r="A2304" s="109" t="s">
        <v>7755</v>
      </c>
      <c r="B2304" s="28">
        <v>45940</v>
      </c>
      <c r="C2304" s="25">
        <v>1389</v>
      </c>
      <c r="D2304" s="13" t="s">
        <v>7774</v>
      </c>
      <c r="E2304" s="111"/>
      <c r="F2304" s="113" t="s">
        <v>7775</v>
      </c>
      <c r="G2304" s="114"/>
      <c r="H2304" s="115"/>
      <c r="I2304" s="24" t="s">
        <v>7777</v>
      </c>
      <c r="J2304" s="116">
        <v>4</v>
      </c>
      <c r="K2304" s="118">
        <v>288000</v>
      </c>
      <c r="L2304" s="119"/>
      <c r="M2304" s="118">
        <f t="shared" ref="M2304" si="632">K2304*0.1</f>
        <v>28800</v>
      </c>
      <c r="N2304" s="119"/>
      <c r="O2304" s="118">
        <v>0</v>
      </c>
      <c r="P2304" s="119"/>
      <c r="Q2304" s="118">
        <v>7500</v>
      </c>
      <c r="R2304" s="119"/>
      <c r="S2304" s="118">
        <v>13200</v>
      </c>
      <c r="T2304" s="119"/>
      <c r="U2304" s="118">
        <f t="shared" ref="U2304" si="633">SUM(K2304:T2305)</f>
        <v>337500</v>
      </c>
      <c r="V2304" s="122"/>
      <c r="W2304" s="124"/>
      <c r="X2304" s="126" t="s">
        <v>8538</v>
      </c>
      <c r="Y2304" s="127"/>
      <c r="Z2304" s="127"/>
      <c r="AA2304" s="127"/>
      <c r="AB2304" s="128"/>
      <c r="AC2304" s="15" t="s">
        <v>20</v>
      </c>
      <c r="AD2304" s="129"/>
      <c r="AE2304" s="130"/>
      <c r="AF2304" s="130"/>
      <c r="AG2304" s="130"/>
      <c r="AH2304" s="130"/>
      <c r="AI2304" s="131"/>
      <c r="AJ2304" s="132"/>
      <c r="AK2304" s="127"/>
      <c r="AL2304" s="128"/>
      <c r="AM2304" s="21"/>
      <c r="AN2304" s="133">
        <v>45948</v>
      </c>
      <c r="AO2304" s="134"/>
      <c r="AP2304" s="135">
        <v>1272</v>
      </c>
      <c r="AQ2304" s="136"/>
      <c r="AR2304" s="118">
        <v>465000</v>
      </c>
      <c r="AS2304" s="119"/>
      <c r="AT2304" s="118">
        <f t="shared" ref="AT2304" si="634">AR2304*0.1</f>
        <v>46500</v>
      </c>
      <c r="AU2304" s="119"/>
      <c r="AV2304" s="118">
        <v>7500</v>
      </c>
      <c r="AW2304" s="119"/>
      <c r="AX2304" s="118">
        <f t="shared" ref="AX2304" si="635">SUM(AR2304:AW2304)</f>
        <v>519000</v>
      </c>
      <c r="AY2304" s="119"/>
      <c r="AZ2304" s="137">
        <v>45951</v>
      </c>
    </row>
    <row r="2305" spans="1:52" ht="17.100000000000001" customHeight="1" thickBot="1">
      <c r="A2305" s="110"/>
      <c r="B2305" s="27" t="s">
        <v>7753</v>
      </c>
      <c r="C2305" s="27">
        <v>2175</v>
      </c>
      <c r="D2305" s="14" t="s">
        <v>7771</v>
      </c>
      <c r="E2305" s="112"/>
      <c r="F2305" s="139" t="s">
        <v>7776</v>
      </c>
      <c r="G2305" s="140"/>
      <c r="H2305" s="141"/>
      <c r="I2305" s="26">
        <v>46746</v>
      </c>
      <c r="J2305" s="117"/>
      <c r="K2305" s="120"/>
      <c r="L2305" s="121"/>
      <c r="M2305" s="120"/>
      <c r="N2305" s="121"/>
      <c r="O2305" s="120"/>
      <c r="P2305" s="121"/>
      <c r="Q2305" s="120"/>
      <c r="R2305" s="121"/>
      <c r="S2305" s="120"/>
      <c r="T2305" s="121"/>
      <c r="U2305" s="120"/>
      <c r="V2305" s="123"/>
      <c r="W2305" s="125"/>
      <c r="X2305" s="142" t="s">
        <v>8539</v>
      </c>
      <c r="Y2305" s="143"/>
      <c r="Z2305" s="143"/>
      <c r="AA2305" s="143"/>
      <c r="AB2305" s="144"/>
      <c r="AC2305" s="16" t="s">
        <v>21</v>
      </c>
      <c r="AD2305" s="17" t="s">
        <v>1648</v>
      </c>
      <c r="AE2305" s="145" t="s">
        <v>8250</v>
      </c>
      <c r="AF2305" s="146"/>
      <c r="AG2305" s="146"/>
      <c r="AH2305" s="146"/>
      <c r="AI2305" s="147"/>
      <c r="AJ2305" s="148"/>
      <c r="AK2305" s="143"/>
      <c r="AL2305" s="144"/>
      <c r="AM2305" s="22"/>
      <c r="AN2305" s="149" t="s">
        <v>2511</v>
      </c>
      <c r="AO2305" s="144"/>
      <c r="AP2305" s="148">
        <v>60051</v>
      </c>
      <c r="AQ2305" s="144"/>
      <c r="AR2305" s="120"/>
      <c r="AS2305" s="121"/>
      <c r="AT2305" s="120"/>
      <c r="AU2305" s="121"/>
      <c r="AV2305" s="120"/>
      <c r="AW2305" s="121"/>
      <c r="AX2305" s="120"/>
      <c r="AY2305" s="121"/>
      <c r="AZ2305" s="138"/>
    </row>
    <row r="2306" spans="1:52" ht="17.100000000000001" customHeight="1" thickTop="1">
      <c r="A2306" s="109" t="s">
        <v>7756</v>
      </c>
      <c r="B2306" s="28">
        <v>45940</v>
      </c>
      <c r="C2306" s="25">
        <v>1389</v>
      </c>
      <c r="D2306" s="13" t="s">
        <v>7778</v>
      </c>
      <c r="E2306" s="111"/>
      <c r="F2306" s="113" t="s">
        <v>7780</v>
      </c>
      <c r="G2306" s="114"/>
      <c r="H2306" s="115"/>
      <c r="I2306" s="24" t="s">
        <v>7782</v>
      </c>
      <c r="J2306" s="116">
        <v>4</v>
      </c>
      <c r="K2306" s="118">
        <v>282000</v>
      </c>
      <c r="L2306" s="119"/>
      <c r="M2306" s="118">
        <f t="shared" ref="M2306" si="636">K2306*0.1</f>
        <v>28200</v>
      </c>
      <c r="N2306" s="119"/>
      <c r="O2306" s="118">
        <v>0</v>
      </c>
      <c r="P2306" s="119"/>
      <c r="Q2306" s="118">
        <v>9790</v>
      </c>
      <c r="R2306" s="119"/>
      <c r="S2306" s="118">
        <v>13200</v>
      </c>
      <c r="T2306" s="119"/>
      <c r="U2306" s="118">
        <f t="shared" ref="U2306" si="637">SUM(K2306:T2307)</f>
        <v>333190</v>
      </c>
      <c r="V2306" s="122"/>
      <c r="W2306" s="124"/>
      <c r="X2306" s="126" t="s">
        <v>8898</v>
      </c>
      <c r="Y2306" s="127"/>
      <c r="Z2306" s="127"/>
      <c r="AA2306" s="127"/>
      <c r="AB2306" s="128"/>
      <c r="AC2306" s="15" t="s">
        <v>20</v>
      </c>
      <c r="AD2306" s="129"/>
      <c r="AE2306" s="130"/>
      <c r="AF2306" s="130"/>
      <c r="AG2306" s="130"/>
      <c r="AH2306" s="130"/>
      <c r="AI2306" s="131"/>
      <c r="AJ2306" s="132"/>
      <c r="AK2306" s="127"/>
      <c r="AL2306" s="128"/>
      <c r="AM2306" s="21"/>
      <c r="AN2306" s="133">
        <v>45948</v>
      </c>
      <c r="AO2306" s="134"/>
      <c r="AP2306" s="135">
        <v>1272</v>
      </c>
      <c r="AQ2306" s="136"/>
      <c r="AR2306" s="118">
        <v>270000</v>
      </c>
      <c r="AS2306" s="119"/>
      <c r="AT2306" s="118">
        <f t="shared" ref="AT2306" si="638">AR2306*0.1</f>
        <v>27000</v>
      </c>
      <c r="AU2306" s="119"/>
      <c r="AV2306" s="118">
        <v>9790</v>
      </c>
      <c r="AW2306" s="119"/>
      <c r="AX2306" s="118">
        <f t="shared" ref="AX2306" si="639">SUM(AR2306:AW2306)</f>
        <v>306790</v>
      </c>
      <c r="AY2306" s="119"/>
      <c r="AZ2306" s="137">
        <v>45953</v>
      </c>
    </row>
    <row r="2307" spans="1:52" ht="17.100000000000001" customHeight="1" thickBot="1">
      <c r="A2307" s="110"/>
      <c r="B2307" s="27" t="s">
        <v>7753</v>
      </c>
      <c r="C2307" s="27">
        <v>2195</v>
      </c>
      <c r="D2307" s="14" t="s">
        <v>7779</v>
      </c>
      <c r="E2307" s="112"/>
      <c r="F2307" s="139" t="s">
        <v>7781</v>
      </c>
      <c r="G2307" s="140"/>
      <c r="H2307" s="141"/>
      <c r="I2307" s="26">
        <v>147335</v>
      </c>
      <c r="J2307" s="117"/>
      <c r="K2307" s="120"/>
      <c r="L2307" s="121"/>
      <c r="M2307" s="120"/>
      <c r="N2307" s="121"/>
      <c r="O2307" s="120"/>
      <c r="P2307" s="121"/>
      <c r="Q2307" s="120"/>
      <c r="R2307" s="121"/>
      <c r="S2307" s="120"/>
      <c r="T2307" s="121"/>
      <c r="U2307" s="120"/>
      <c r="V2307" s="123"/>
      <c r="W2307" s="125"/>
      <c r="X2307" s="142" t="s">
        <v>8899</v>
      </c>
      <c r="Y2307" s="143"/>
      <c r="Z2307" s="143"/>
      <c r="AA2307" s="143"/>
      <c r="AB2307" s="144"/>
      <c r="AC2307" s="16" t="s">
        <v>21</v>
      </c>
      <c r="AD2307" s="17" t="s">
        <v>1665</v>
      </c>
      <c r="AE2307" s="145"/>
      <c r="AF2307" s="146"/>
      <c r="AG2307" s="146"/>
      <c r="AH2307" s="146"/>
      <c r="AI2307" s="147"/>
      <c r="AJ2307" s="148"/>
      <c r="AK2307" s="143"/>
      <c r="AL2307" s="144"/>
      <c r="AM2307" s="22"/>
      <c r="AN2307" s="149" t="s">
        <v>2511</v>
      </c>
      <c r="AO2307" s="144"/>
      <c r="AP2307" s="148">
        <v>60323</v>
      </c>
      <c r="AQ2307" s="144"/>
      <c r="AR2307" s="120"/>
      <c r="AS2307" s="121"/>
      <c r="AT2307" s="120"/>
      <c r="AU2307" s="121"/>
      <c r="AV2307" s="120"/>
      <c r="AW2307" s="121"/>
      <c r="AX2307" s="120"/>
      <c r="AY2307" s="121"/>
      <c r="AZ2307" s="138"/>
    </row>
    <row r="2308" spans="1:52" ht="17.100000000000001" customHeight="1" thickTop="1">
      <c r="A2308" s="109" t="s">
        <v>7757</v>
      </c>
      <c r="B2308" s="28">
        <v>45940</v>
      </c>
      <c r="C2308" s="25">
        <v>1389</v>
      </c>
      <c r="D2308" s="13" t="s">
        <v>7783</v>
      </c>
      <c r="E2308" s="111"/>
      <c r="F2308" s="113" t="s">
        <v>7785</v>
      </c>
      <c r="G2308" s="114"/>
      <c r="H2308" s="115"/>
      <c r="I2308" s="24" t="s">
        <v>7787</v>
      </c>
      <c r="J2308" s="116">
        <v>3.5</v>
      </c>
      <c r="K2308" s="118">
        <v>426000</v>
      </c>
      <c r="L2308" s="119"/>
      <c r="M2308" s="118">
        <f t="shared" ref="M2308" si="640">K2308*0.1</f>
        <v>42600</v>
      </c>
      <c r="N2308" s="119"/>
      <c r="O2308" s="118">
        <v>0</v>
      </c>
      <c r="P2308" s="119"/>
      <c r="Q2308" s="118">
        <v>9790</v>
      </c>
      <c r="R2308" s="119"/>
      <c r="S2308" s="118">
        <v>13200</v>
      </c>
      <c r="T2308" s="119"/>
      <c r="U2308" s="118">
        <f t="shared" ref="U2308" si="641">SUM(K2308:T2309)</f>
        <v>491590</v>
      </c>
      <c r="V2308" s="122"/>
      <c r="W2308" s="124"/>
      <c r="X2308" s="126" t="s">
        <v>8402</v>
      </c>
      <c r="Y2308" s="127"/>
      <c r="Z2308" s="127"/>
      <c r="AA2308" s="127"/>
      <c r="AB2308" s="128"/>
      <c r="AC2308" s="15" t="s">
        <v>20</v>
      </c>
      <c r="AD2308" s="129"/>
      <c r="AE2308" s="130"/>
      <c r="AF2308" s="130"/>
      <c r="AG2308" s="130"/>
      <c r="AH2308" s="130"/>
      <c r="AI2308" s="131"/>
      <c r="AJ2308" s="132"/>
      <c r="AK2308" s="127"/>
      <c r="AL2308" s="128"/>
      <c r="AM2308" s="21"/>
      <c r="AN2308" s="133">
        <v>45948</v>
      </c>
      <c r="AO2308" s="134"/>
      <c r="AP2308" s="135">
        <v>1272</v>
      </c>
      <c r="AQ2308" s="136"/>
      <c r="AR2308" s="118">
        <v>460000</v>
      </c>
      <c r="AS2308" s="119"/>
      <c r="AT2308" s="118">
        <f t="shared" ref="AT2308" si="642">AR2308*0.1</f>
        <v>46000</v>
      </c>
      <c r="AU2308" s="119"/>
      <c r="AV2308" s="118">
        <v>9790</v>
      </c>
      <c r="AW2308" s="119"/>
      <c r="AX2308" s="118">
        <f t="shared" ref="AX2308" si="643">SUM(AR2308:AW2308)</f>
        <v>515790</v>
      </c>
      <c r="AY2308" s="119"/>
      <c r="AZ2308" s="137">
        <v>45951</v>
      </c>
    </row>
    <row r="2309" spans="1:52" ht="17.100000000000001" customHeight="1" thickBot="1">
      <c r="A2309" s="110"/>
      <c r="B2309" s="27" t="s">
        <v>7753</v>
      </c>
      <c r="C2309" s="27">
        <v>2199</v>
      </c>
      <c r="D2309" s="14" t="s">
        <v>7784</v>
      </c>
      <c r="E2309" s="112"/>
      <c r="F2309" s="139" t="s">
        <v>7786</v>
      </c>
      <c r="G2309" s="140"/>
      <c r="H2309" s="141"/>
      <c r="I2309" s="26">
        <v>84971</v>
      </c>
      <c r="J2309" s="117"/>
      <c r="K2309" s="120"/>
      <c r="L2309" s="121"/>
      <c r="M2309" s="120"/>
      <c r="N2309" s="121"/>
      <c r="O2309" s="120"/>
      <c r="P2309" s="121"/>
      <c r="Q2309" s="120"/>
      <c r="R2309" s="121"/>
      <c r="S2309" s="120"/>
      <c r="T2309" s="121"/>
      <c r="U2309" s="120"/>
      <c r="V2309" s="123"/>
      <c r="W2309" s="125"/>
      <c r="X2309" s="142" t="s">
        <v>1997</v>
      </c>
      <c r="Y2309" s="143"/>
      <c r="Z2309" s="143"/>
      <c r="AA2309" s="143"/>
      <c r="AB2309" s="144"/>
      <c r="AC2309" s="16" t="s">
        <v>21</v>
      </c>
      <c r="AD2309" s="17" t="s">
        <v>1638</v>
      </c>
      <c r="AE2309" s="145"/>
      <c r="AF2309" s="146"/>
      <c r="AG2309" s="146"/>
      <c r="AH2309" s="146"/>
      <c r="AI2309" s="147"/>
      <c r="AJ2309" s="148"/>
      <c r="AK2309" s="143"/>
      <c r="AL2309" s="144"/>
      <c r="AM2309" s="22"/>
      <c r="AN2309" s="149" t="s">
        <v>2511</v>
      </c>
      <c r="AO2309" s="144"/>
      <c r="AP2309" s="148">
        <v>60040</v>
      </c>
      <c r="AQ2309" s="144"/>
      <c r="AR2309" s="120"/>
      <c r="AS2309" s="121"/>
      <c r="AT2309" s="120"/>
      <c r="AU2309" s="121"/>
      <c r="AV2309" s="120"/>
      <c r="AW2309" s="121"/>
      <c r="AX2309" s="120"/>
      <c r="AY2309" s="121"/>
      <c r="AZ2309" s="138"/>
    </row>
    <row r="2310" spans="1:52" ht="17.100000000000001" customHeight="1" thickTop="1">
      <c r="A2310" s="109" t="s">
        <v>7758</v>
      </c>
      <c r="B2310" s="28">
        <v>45940</v>
      </c>
      <c r="C2310" s="25">
        <v>1389</v>
      </c>
      <c r="D2310" s="13" t="s">
        <v>7788</v>
      </c>
      <c r="E2310" s="111"/>
      <c r="F2310" s="113" t="s">
        <v>7790</v>
      </c>
      <c r="G2310" s="114"/>
      <c r="H2310" s="115"/>
      <c r="I2310" s="24"/>
      <c r="J2310" s="116">
        <v>4</v>
      </c>
      <c r="K2310" s="118">
        <v>1254000</v>
      </c>
      <c r="L2310" s="119"/>
      <c r="M2310" s="118">
        <f t="shared" ref="M2310" si="644">K2310*0.1</f>
        <v>125400</v>
      </c>
      <c r="N2310" s="119"/>
      <c r="O2310" s="118">
        <v>0</v>
      </c>
      <c r="P2310" s="119"/>
      <c r="Q2310" s="118">
        <v>7530</v>
      </c>
      <c r="R2310" s="119"/>
      <c r="S2310" s="118">
        <v>13200</v>
      </c>
      <c r="T2310" s="119"/>
      <c r="U2310" s="118">
        <f t="shared" ref="U2310" si="645">SUM(K2310:T2311)</f>
        <v>1400130</v>
      </c>
      <c r="V2310" s="122"/>
      <c r="W2310" s="124"/>
      <c r="X2310" s="126" t="s">
        <v>8903</v>
      </c>
      <c r="Y2310" s="127"/>
      <c r="Z2310" s="127"/>
      <c r="AA2310" s="127"/>
      <c r="AB2310" s="128"/>
      <c r="AC2310" s="15" t="s">
        <v>20</v>
      </c>
      <c r="AD2310" s="129"/>
      <c r="AE2310" s="130"/>
      <c r="AF2310" s="130"/>
      <c r="AG2310" s="130"/>
      <c r="AH2310" s="130"/>
      <c r="AI2310" s="131"/>
      <c r="AJ2310" s="132"/>
      <c r="AK2310" s="127"/>
      <c r="AL2310" s="128"/>
      <c r="AM2310" s="21"/>
      <c r="AN2310" s="133">
        <v>45955</v>
      </c>
      <c r="AO2310" s="134"/>
      <c r="AP2310" s="135">
        <v>1273</v>
      </c>
      <c r="AQ2310" s="136"/>
      <c r="AR2310" s="118">
        <v>1360000</v>
      </c>
      <c r="AS2310" s="119"/>
      <c r="AT2310" s="118">
        <f t="shared" ref="AT2310" si="646">AR2310*0.1</f>
        <v>136000</v>
      </c>
      <c r="AU2310" s="119"/>
      <c r="AV2310" s="118">
        <v>7530</v>
      </c>
      <c r="AW2310" s="119"/>
      <c r="AX2310" s="118">
        <f t="shared" ref="AX2310" si="647">SUM(AR2310:AW2310)</f>
        <v>1503530</v>
      </c>
      <c r="AY2310" s="119"/>
      <c r="AZ2310" s="137">
        <v>45960</v>
      </c>
    </row>
    <row r="2311" spans="1:52" ht="17.100000000000001" customHeight="1" thickBot="1">
      <c r="A2311" s="110"/>
      <c r="B2311" s="27" t="s">
        <v>7753</v>
      </c>
      <c r="C2311" s="27">
        <v>7003</v>
      </c>
      <c r="D2311" s="14" t="s">
        <v>7789</v>
      </c>
      <c r="E2311" s="112"/>
      <c r="F2311" s="139" t="s">
        <v>7791</v>
      </c>
      <c r="G2311" s="140"/>
      <c r="H2311" s="141"/>
      <c r="I2311" s="26">
        <v>29783</v>
      </c>
      <c r="J2311" s="117"/>
      <c r="K2311" s="120"/>
      <c r="L2311" s="121"/>
      <c r="M2311" s="120"/>
      <c r="N2311" s="121"/>
      <c r="O2311" s="120"/>
      <c r="P2311" s="121"/>
      <c r="Q2311" s="120"/>
      <c r="R2311" s="121"/>
      <c r="S2311" s="120"/>
      <c r="T2311" s="121"/>
      <c r="U2311" s="120"/>
      <c r="V2311" s="123"/>
      <c r="W2311" s="125"/>
      <c r="X2311" s="142" t="s">
        <v>8904</v>
      </c>
      <c r="Y2311" s="143"/>
      <c r="Z2311" s="143"/>
      <c r="AA2311" s="143"/>
      <c r="AB2311" s="144"/>
      <c r="AC2311" s="16" t="s">
        <v>21</v>
      </c>
      <c r="AD2311" s="17" t="s">
        <v>1665</v>
      </c>
      <c r="AE2311" s="145"/>
      <c r="AF2311" s="146"/>
      <c r="AG2311" s="146"/>
      <c r="AH2311" s="146"/>
      <c r="AI2311" s="147"/>
      <c r="AJ2311" s="148"/>
      <c r="AK2311" s="143"/>
      <c r="AL2311" s="144"/>
      <c r="AM2311" s="22"/>
      <c r="AN2311" s="149" t="s">
        <v>2511</v>
      </c>
      <c r="AO2311" s="144"/>
      <c r="AP2311" s="148">
        <v>60277</v>
      </c>
      <c r="AQ2311" s="144"/>
      <c r="AR2311" s="120"/>
      <c r="AS2311" s="121"/>
      <c r="AT2311" s="120"/>
      <c r="AU2311" s="121"/>
      <c r="AV2311" s="120"/>
      <c r="AW2311" s="121"/>
      <c r="AX2311" s="120"/>
      <c r="AY2311" s="121"/>
      <c r="AZ2311" s="138"/>
    </row>
    <row r="2312" spans="1:52" ht="17.100000000000001" customHeight="1" thickTop="1">
      <c r="A2312" s="109" t="s">
        <v>7759</v>
      </c>
      <c r="B2312" s="28">
        <v>45940</v>
      </c>
      <c r="C2312" s="25">
        <v>1389</v>
      </c>
      <c r="D2312" s="13" t="s">
        <v>7792</v>
      </c>
      <c r="E2312" s="111"/>
      <c r="F2312" s="113" t="s">
        <v>7794</v>
      </c>
      <c r="G2312" s="114"/>
      <c r="H2312" s="115"/>
      <c r="I2312" s="24" t="s">
        <v>7796</v>
      </c>
      <c r="J2312" s="116">
        <v>4</v>
      </c>
      <c r="K2312" s="118">
        <v>1077000</v>
      </c>
      <c r="L2312" s="119"/>
      <c r="M2312" s="118">
        <f t="shared" ref="M2312" si="648">K2312*0.1</f>
        <v>107700</v>
      </c>
      <c r="N2312" s="119"/>
      <c r="O2312" s="118">
        <v>0</v>
      </c>
      <c r="P2312" s="119"/>
      <c r="Q2312" s="118">
        <v>8200</v>
      </c>
      <c r="R2312" s="119"/>
      <c r="S2312" s="118">
        <v>13200</v>
      </c>
      <c r="T2312" s="119"/>
      <c r="U2312" s="118">
        <f t="shared" ref="U2312" si="649">SUM(K2312:T2313)</f>
        <v>1206100</v>
      </c>
      <c r="V2312" s="122"/>
      <c r="W2312" s="124"/>
      <c r="X2312" s="126" t="s">
        <v>8530</v>
      </c>
      <c r="Y2312" s="127"/>
      <c r="Z2312" s="127"/>
      <c r="AA2312" s="127"/>
      <c r="AB2312" s="128"/>
      <c r="AC2312" s="15" t="s">
        <v>20</v>
      </c>
      <c r="AD2312" s="129" t="s">
        <v>4435</v>
      </c>
      <c r="AE2312" s="130"/>
      <c r="AF2312" s="130"/>
      <c r="AG2312" s="130"/>
      <c r="AH2312" s="130"/>
      <c r="AI2312" s="131"/>
      <c r="AJ2312" s="167" t="s">
        <v>8633</v>
      </c>
      <c r="AK2312" s="127"/>
      <c r="AL2312" s="128"/>
      <c r="AM2312" s="21"/>
      <c r="AN2312" s="133">
        <v>45948</v>
      </c>
      <c r="AO2312" s="134"/>
      <c r="AP2312" s="135">
        <v>1272</v>
      </c>
      <c r="AQ2312" s="136"/>
      <c r="AR2312" s="118">
        <v>1130000</v>
      </c>
      <c r="AS2312" s="119"/>
      <c r="AT2312" s="118">
        <f t="shared" ref="AT2312" si="650">AR2312*0.1</f>
        <v>113000</v>
      </c>
      <c r="AU2312" s="119"/>
      <c r="AV2312" s="118">
        <v>8390</v>
      </c>
      <c r="AW2312" s="119"/>
      <c r="AX2312" s="118">
        <f t="shared" ref="AX2312" si="651">SUM(AR2312:AW2312)</f>
        <v>1251390</v>
      </c>
      <c r="AY2312" s="119"/>
      <c r="AZ2312" s="137">
        <v>45951</v>
      </c>
    </row>
    <row r="2313" spans="1:52" ht="17.100000000000001" customHeight="1" thickBot="1">
      <c r="A2313" s="110"/>
      <c r="B2313" s="27" t="s">
        <v>7753</v>
      </c>
      <c r="C2313" s="27">
        <v>7517</v>
      </c>
      <c r="D2313" s="14" t="s">
        <v>7793</v>
      </c>
      <c r="E2313" s="112"/>
      <c r="F2313" s="139" t="s">
        <v>7795</v>
      </c>
      <c r="G2313" s="140"/>
      <c r="H2313" s="141"/>
      <c r="I2313" s="26">
        <v>1726</v>
      </c>
      <c r="J2313" s="117"/>
      <c r="K2313" s="120"/>
      <c r="L2313" s="121"/>
      <c r="M2313" s="120"/>
      <c r="N2313" s="121"/>
      <c r="O2313" s="120"/>
      <c r="P2313" s="121"/>
      <c r="Q2313" s="120"/>
      <c r="R2313" s="121"/>
      <c r="S2313" s="120"/>
      <c r="T2313" s="121"/>
      <c r="U2313" s="120"/>
      <c r="V2313" s="123"/>
      <c r="W2313" s="125"/>
      <c r="X2313" s="142" t="s">
        <v>8531</v>
      </c>
      <c r="Y2313" s="143"/>
      <c r="Z2313" s="143"/>
      <c r="AA2313" s="143"/>
      <c r="AB2313" s="144"/>
      <c r="AC2313" s="16" t="s">
        <v>21</v>
      </c>
      <c r="AD2313" s="17" t="s">
        <v>1648</v>
      </c>
      <c r="AE2313" s="145" t="s">
        <v>171</v>
      </c>
      <c r="AF2313" s="146"/>
      <c r="AG2313" s="146"/>
      <c r="AH2313" s="146"/>
      <c r="AI2313" s="147"/>
      <c r="AJ2313" s="148"/>
      <c r="AK2313" s="143"/>
      <c r="AL2313" s="144"/>
      <c r="AM2313" s="22"/>
      <c r="AN2313" s="149" t="s">
        <v>2511</v>
      </c>
      <c r="AO2313" s="144"/>
      <c r="AP2313" s="148">
        <v>60045</v>
      </c>
      <c r="AQ2313" s="144"/>
      <c r="AR2313" s="120"/>
      <c r="AS2313" s="121"/>
      <c r="AT2313" s="120"/>
      <c r="AU2313" s="121"/>
      <c r="AV2313" s="120"/>
      <c r="AW2313" s="121"/>
      <c r="AX2313" s="120"/>
      <c r="AY2313" s="121"/>
      <c r="AZ2313" s="138"/>
    </row>
    <row r="2314" spans="1:52" ht="17.100000000000001" customHeight="1" thickTop="1">
      <c r="A2314" s="109" t="s">
        <v>7760</v>
      </c>
      <c r="B2314" s="28">
        <v>45940</v>
      </c>
      <c r="C2314" s="25">
        <v>1389</v>
      </c>
      <c r="D2314" s="13" t="s">
        <v>1651</v>
      </c>
      <c r="E2314" s="111"/>
      <c r="F2314" s="113" t="s">
        <v>7799</v>
      </c>
      <c r="G2314" s="114"/>
      <c r="H2314" s="115"/>
      <c r="I2314" s="24"/>
      <c r="J2314" s="116">
        <v>4.5</v>
      </c>
      <c r="K2314" s="118">
        <v>862000</v>
      </c>
      <c r="L2314" s="119"/>
      <c r="M2314" s="118">
        <f t="shared" ref="M2314" si="652">K2314*0.1</f>
        <v>86200</v>
      </c>
      <c r="N2314" s="119"/>
      <c r="O2314" s="118">
        <v>0</v>
      </c>
      <c r="P2314" s="119"/>
      <c r="Q2314" s="118">
        <v>8010</v>
      </c>
      <c r="R2314" s="119"/>
      <c r="S2314" s="118">
        <v>13200</v>
      </c>
      <c r="T2314" s="119"/>
      <c r="U2314" s="118">
        <f t="shared" ref="U2314" si="653">SUM(K2314:T2315)</f>
        <v>969410</v>
      </c>
      <c r="V2314" s="122"/>
      <c r="W2314" s="124"/>
      <c r="X2314" s="126" t="s">
        <v>8901</v>
      </c>
      <c r="Y2314" s="127"/>
      <c r="Z2314" s="127"/>
      <c r="AA2314" s="127"/>
      <c r="AB2314" s="128"/>
      <c r="AC2314" s="15" t="s">
        <v>20</v>
      </c>
      <c r="AD2314" s="129" t="s">
        <v>8532</v>
      </c>
      <c r="AE2314" s="130"/>
      <c r="AF2314" s="130"/>
      <c r="AG2314" s="130"/>
      <c r="AH2314" s="130"/>
      <c r="AI2314" s="131"/>
      <c r="AJ2314" s="132"/>
      <c r="AK2314" s="127"/>
      <c r="AL2314" s="128"/>
      <c r="AM2314" s="21"/>
      <c r="AN2314" s="133">
        <v>45966</v>
      </c>
      <c r="AO2314" s="134"/>
      <c r="AP2314" s="135">
        <v>991</v>
      </c>
      <c r="AQ2314" s="136"/>
      <c r="AR2314" s="118">
        <v>950000</v>
      </c>
      <c r="AS2314" s="119"/>
      <c r="AT2314" s="118">
        <f t="shared" ref="AT2314" si="654">AR2314*0.1</f>
        <v>95000</v>
      </c>
      <c r="AU2314" s="119"/>
      <c r="AV2314" s="118">
        <v>8010</v>
      </c>
      <c r="AW2314" s="119"/>
      <c r="AX2314" s="118">
        <f t="shared" ref="AX2314" si="655">SUM(AR2314:AW2314)</f>
        <v>1053010</v>
      </c>
      <c r="AY2314" s="119"/>
      <c r="AZ2314" s="137">
        <v>45971</v>
      </c>
    </row>
    <row r="2315" spans="1:52" ht="17.100000000000001" customHeight="1" thickBot="1">
      <c r="A2315" s="110"/>
      <c r="B2315" s="27" t="s">
        <v>7753</v>
      </c>
      <c r="C2315" s="27">
        <v>7519</v>
      </c>
      <c r="D2315" s="14" t="s">
        <v>7798</v>
      </c>
      <c r="E2315" s="112"/>
      <c r="F2315" s="139" t="s">
        <v>7800</v>
      </c>
      <c r="G2315" s="140"/>
      <c r="H2315" s="141"/>
      <c r="I2315" s="26">
        <v>45025</v>
      </c>
      <c r="J2315" s="117"/>
      <c r="K2315" s="120"/>
      <c r="L2315" s="121"/>
      <c r="M2315" s="120"/>
      <c r="N2315" s="121"/>
      <c r="O2315" s="120"/>
      <c r="P2315" s="121"/>
      <c r="Q2315" s="120"/>
      <c r="R2315" s="121"/>
      <c r="S2315" s="120"/>
      <c r="T2315" s="121"/>
      <c r="U2315" s="120"/>
      <c r="V2315" s="123"/>
      <c r="W2315" s="125"/>
      <c r="X2315" s="142" t="s">
        <v>3672</v>
      </c>
      <c r="Y2315" s="143"/>
      <c r="Z2315" s="143"/>
      <c r="AA2315" s="143"/>
      <c r="AB2315" s="144"/>
      <c r="AC2315" s="16" t="s">
        <v>21</v>
      </c>
      <c r="AD2315" s="17" t="s">
        <v>1665</v>
      </c>
      <c r="AE2315" s="145" t="s">
        <v>171</v>
      </c>
      <c r="AF2315" s="146"/>
      <c r="AG2315" s="146"/>
      <c r="AH2315" s="146"/>
      <c r="AI2315" s="147"/>
      <c r="AJ2315" s="148"/>
      <c r="AK2315" s="143"/>
      <c r="AL2315" s="144"/>
      <c r="AM2315" s="22"/>
      <c r="AN2315" s="149" t="s">
        <v>9053</v>
      </c>
      <c r="AO2315" s="144"/>
      <c r="AP2315" s="148">
        <v>2070</v>
      </c>
      <c r="AQ2315" s="144"/>
      <c r="AR2315" s="120"/>
      <c r="AS2315" s="121"/>
      <c r="AT2315" s="120"/>
      <c r="AU2315" s="121"/>
      <c r="AV2315" s="120"/>
      <c r="AW2315" s="121"/>
      <c r="AX2315" s="120"/>
      <c r="AY2315" s="121"/>
      <c r="AZ2315" s="138"/>
    </row>
    <row r="2316" spans="1:52" ht="17.100000000000001" customHeight="1" thickTop="1">
      <c r="A2316" s="109" t="s">
        <v>7761</v>
      </c>
      <c r="B2316" s="28">
        <v>45940</v>
      </c>
      <c r="C2316" s="25">
        <v>1389</v>
      </c>
      <c r="D2316" s="13" t="s">
        <v>7792</v>
      </c>
      <c r="E2316" s="111"/>
      <c r="F2316" s="113" t="s">
        <v>7801</v>
      </c>
      <c r="G2316" s="114"/>
      <c r="H2316" s="115"/>
      <c r="I2316" s="24" t="s">
        <v>7803</v>
      </c>
      <c r="J2316" s="116">
        <v>4</v>
      </c>
      <c r="K2316" s="118">
        <v>855000</v>
      </c>
      <c r="L2316" s="119"/>
      <c r="M2316" s="118">
        <f t="shared" ref="M2316" si="656">K2316*0.1</f>
        <v>85500</v>
      </c>
      <c r="N2316" s="119"/>
      <c r="O2316" s="118">
        <v>0</v>
      </c>
      <c r="P2316" s="119"/>
      <c r="Q2316" s="118">
        <v>8200</v>
      </c>
      <c r="R2316" s="119"/>
      <c r="S2316" s="118">
        <v>13200</v>
      </c>
      <c r="T2316" s="119"/>
      <c r="U2316" s="118">
        <f t="shared" ref="U2316" si="657">SUM(K2316:T2317)</f>
        <v>961900</v>
      </c>
      <c r="V2316" s="122"/>
      <c r="W2316" s="124"/>
      <c r="X2316" s="126" t="s">
        <v>8902</v>
      </c>
      <c r="Y2316" s="127"/>
      <c r="Z2316" s="127"/>
      <c r="AA2316" s="127"/>
      <c r="AB2316" s="128"/>
      <c r="AC2316" s="15" t="s">
        <v>20</v>
      </c>
      <c r="AD2316" s="129" t="s">
        <v>7797</v>
      </c>
      <c r="AE2316" s="130"/>
      <c r="AF2316" s="130"/>
      <c r="AG2316" s="130"/>
      <c r="AH2316" s="130"/>
      <c r="AI2316" s="131"/>
      <c r="AJ2316" s="132"/>
      <c r="AK2316" s="127"/>
      <c r="AL2316" s="128"/>
      <c r="AM2316" s="21" t="s">
        <v>11033</v>
      </c>
      <c r="AN2316" s="133">
        <v>45983</v>
      </c>
      <c r="AO2316" s="134"/>
      <c r="AP2316" s="135">
        <v>1277</v>
      </c>
      <c r="AQ2316" s="136"/>
      <c r="AR2316" s="118">
        <v>870000</v>
      </c>
      <c r="AS2316" s="119"/>
      <c r="AT2316" s="118">
        <f t="shared" ref="AT2316" si="658">AR2316*0.1</f>
        <v>87000</v>
      </c>
      <c r="AU2316" s="119"/>
      <c r="AV2316" s="118">
        <v>8200</v>
      </c>
      <c r="AW2316" s="119"/>
      <c r="AX2316" s="118">
        <f t="shared" ref="AX2316" si="659">SUM(AR2316:AW2316)</f>
        <v>965200</v>
      </c>
      <c r="AY2316" s="119"/>
      <c r="AZ2316" s="137">
        <v>45987</v>
      </c>
    </row>
    <row r="2317" spans="1:52" ht="17.100000000000001" customHeight="1" thickBot="1">
      <c r="A2317" s="110"/>
      <c r="B2317" s="27" t="s">
        <v>7753</v>
      </c>
      <c r="C2317" s="27">
        <v>7526</v>
      </c>
      <c r="D2317" s="14" t="s">
        <v>7793</v>
      </c>
      <c r="E2317" s="112"/>
      <c r="F2317" s="139" t="s">
        <v>7802</v>
      </c>
      <c r="G2317" s="140"/>
      <c r="H2317" s="141"/>
      <c r="I2317" s="26">
        <v>5004</v>
      </c>
      <c r="J2317" s="117"/>
      <c r="K2317" s="120"/>
      <c r="L2317" s="121"/>
      <c r="M2317" s="120"/>
      <c r="N2317" s="121"/>
      <c r="O2317" s="120"/>
      <c r="P2317" s="121"/>
      <c r="Q2317" s="120"/>
      <c r="R2317" s="121"/>
      <c r="S2317" s="120"/>
      <c r="T2317" s="121"/>
      <c r="U2317" s="120"/>
      <c r="V2317" s="123"/>
      <c r="W2317" s="125"/>
      <c r="X2317" s="142" t="s">
        <v>4619</v>
      </c>
      <c r="Y2317" s="143"/>
      <c r="Z2317" s="143"/>
      <c r="AA2317" s="143"/>
      <c r="AB2317" s="144"/>
      <c r="AC2317" s="16" t="s">
        <v>21</v>
      </c>
      <c r="AD2317" s="17" t="s">
        <v>1665</v>
      </c>
      <c r="AE2317" s="145" t="s">
        <v>171</v>
      </c>
      <c r="AF2317" s="146"/>
      <c r="AG2317" s="146"/>
      <c r="AH2317" s="146"/>
      <c r="AI2317" s="147"/>
      <c r="AJ2317" s="148"/>
      <c r="AK2317" s="143"/>
      <c r="AL2317" s="144"/>
      <c r="AM2317" s="22"/>
      <c r="AN2317" s="149" t="s">
        <v>2511</v>
      </c>
      <c r="AO2317" s="144"/>
      <c r="AP2317" s="148">
        <v>60159</v>
      </c>
      <c r="AQ2317" s="144"/>
      <c r="AR2317" s="120"/>
      <c r="AS2317" s="121"/>
      <c r="AT2317" s="120"/>
      <c r="AU2317" s="121"/>
      <c r="AV2317" s="120"/>
      <c r="AW2317" s="121"/>
      <c r="AX2317" s="120"/>
      <c r="AY2317" s="121"/>
      <c r="AZ2317" s="138"/>
    </row>
    <row r="2318" spans="1:52" ht="17.100000000000001" customHeight="1" thickTop="1">
      <c r="A2318" s="109" t="s">
        <v>7762</v>
      </c>
      <c r="B2318" s="28">
        <v>45940</v>
      </c>
      <c r="C2318" s="25">
        <v>1389</v>
      </c>
      <c r="D2318" s="13" t="s">
        <v>7804</v>
      </c>
      <c r="E2318" s="111"/>
      <c r="F2318" s="113" t="s">
        <v>7775</v>
      </c>
      <c r="G2318" s="114"/>
      <c r="H2318" s="115"/>
      <c r="I2318" s="24"/>
      <c r="J2318" s="116">
        <v>4</v>
      </c>
      <c r="K2318" s="118">
        <v>689000</v>
      </c>
      <c r="L2318" s="119"/>
      <c r="M2318" s="118">
        <f t="shared" ref="M2318" si="660">K2318*0.1</f>
        <v>68900</v>
      </c>
      <c r="N2318" s="119"/>
      <c r="O2318" s="118">
        <v>0</v>
      </c>
      <c r="P2318" s="119"/>
      <c r="Q2318" s="118">
        <v>5690</v>
      </c>
      <c r="R2318" s="119"/>
      <c r="S2318" s="118">
        <v>13200</v>
      </c>
      <c r="T2318" s="119"/>
      <c r="U2318" s="118">
        <f t="shared" ref="U2318" si="661">SUM(K2318:T2319)</f>
        <v>776790</v>
      </c>
      <c r="V2318" s="122"/>
      <c r="W2318" s="124"/>
      <c r="X2318" s="126" t="s">
        <v>8528</v>
      </c>
      <c r="Y2318" s="127"/>
      <c r="Z2318" s="127"/>
      <c r="AA2318" s="127"/>
      <c r="AB2318" s="128"/>
      <c r="AC2318" s="15" t="s">
        <v>20</v>
      </c>
      <c r="AD2318" s="129" t="s">
        <v>7797</v>
      </c>
      <c r="AE2318" s="130"/>
      <c r="AF2318" s="130"/>
      <c r="AG2318" s="130"/>
      <c r="AH2318" s="130"/>
      <c r="AI2318" s="131"/>
      <c r="AJ2318" s="132"/>
      <c r="AK2318" s="127"/>
      <c r="AL2318" s="128"/>
      <c r="AM2318" s="21"/>
      <c r="AN2318" s="133">
        <v>45948</v>
      </c>
      <c r="AO2318" s="134"/>
      <c r="AP2318" s="135">
        <v>1272</v>
      </c>
      <c r="AQ2318" s="136"/>
      <c r="AR2318" s="118">
        <v>735000</v>
      </c>
      <c r="AS2318" s="119"/>
      <c r="AT2318" s="118">
        <f t="shared" ref="AT2318" si="662">AR2318*0.1</f>
        <v>73500</v>
      </c>
      <c r="AU2318" s="119"/>
      <c r="AV2318" s="118">
        <v>5690</v>
      </c>
      <c r="AW2318" s="119"/>
      <c r="AX2318" s="118">
        <f t="shared" ref="AX2318" si="663">SUM(AR2318:AW2318)</f>
        <v>814190</v>
      </c>
      <c r="AY2318" s="119"/>
      <c r="AZ2318" s="137">
        <v>45951</v>
      </c>
    </row>
    <row r="2319" spans="1:52" ht="17.100000000000001" customHeight="1" thickBot="1">
      <c r="A2319" s="110"/>
      <c r="B2319" s="27" t="s">
        <v>7753</v>
      </c>
      <c r="C2319" s="27">
        <v>7548</v>
      </c>
      <c r="D2319" s="14" t="s">
        <v>7793</v>
      </c>
      <c r="E2319" s="112"/>
      <c r="F2319" s="139" t="s">
        <v>7805</v>
      </c>
      <c r="G2319" s="140"/>
      <c r="H2319" s="141"/>
      <c r="I2319" s="26">
        <v>21109</v>
      </c>
      <c r="J2319" s="117"/>
      <c r="K2319" s="120"/>
      <c r="L2319" s="121"/>
      <c r="M2319" s="120"/>
      <c r="N2319" s="121"/>
      <c r="O2319" s="120"/>
      <c r="P2319" s="121"/>
      <c r="Q2319" s="120"/>
      <c r="R2319" s="121"/>
      <c r="S2319" s="120"/>
      <c r="T2319" s="121"/>
      <c r="U2319" s="120"/>
      <c r="V2319" s="123"/>
      <c r="W2319" s="125"/>
      <c r="X2319" s="142" t="s">
        <v>8529</v>
      </c>
      <c r="Y2319" s="143"/>
      <c r="Z2319" s="143"/>
      <c r="AA2319" s="143"/>
      <c r="AB2319" s="144"/>
      <c r="AC2319" s="16" t="s">
        <v>21</v>
      </c>
      <c r="AD2319" s="17" t="s">
        <v>1648</v>
      </c>
      <c r="AE2319" s="145" t="s">
        <v>171</v>
      </c>
      <c r="AF2319" s="146"/>
      <c r="AG2319" s="146"/>
      <c r="AH2319" s="146"/>
      <c r="AI2319" s="147"/>
      <c r="AJ2319" s="148"/>
      <c r="AK2319" s="143"/>
      <c r="AL2319" s="144"/>
      <c r="AM2319" s="22"/>
      <c r="AN2319" s="149" t="s">
        <v>2511</v>
      </c>
      <c r="AO2319" s="144"/>
      <c r="AP2319" s="148">
        <v>60025</v>
      </c>
      <c r="AQ2319" s="144"/>
      <c r="AR2319" s="120"/>
      <c r="AS2319" s="121"/>
      <c r="AT2319" s="120"/>
      <c r="AU2319" s="121"/>
      <c r="AV2319" s="120"/>
      <c r="AW2319" s="121"/>
      <c r="AX2319" s="120"/>
      <c r="AY2319" s="121"/>
      <c r="AZ2319" s="138"/>
    </row>
    <row r="2320" spans="1:52" ht="17.100000000000001" customHeight="1" thickTop="1">
      <c r="A2320" s="109" t="s">
        <v>7763</v>
      </c>
      <c r="B2320" s="28">
        <v>45940</v>
      </c>
      <c r="C2320" s="25">
        <v>1389</v>
      </c>
      <c r="D2320" s="13" t="s">
        <v>7806</v>
      </c>
      <c r="E2320" s="111"/>
      <c r="F2320" s="113" t="s">
        <v>7807</v>
      </c>
      <c r="G2320" s="114"/>
      <c r="H2320" s="115"/>
      <c r="I2320" s="24" t="s">
        <v>7809</v>
      </c>
      <c r="J2320" s="116">
        <v>5</v>
      </c>
      <c r="K2320" s="118">
        <v>1153000</v>
      </c>
      <c r="L2320" s="119"/>
      <c r="M2320" s="118">
        <f t="shared" ref="M2320" si="664">K2320*0.1</f>
        <v>115300</v>
      </c>
      <c r="N2320" s="119"/>
      <c r="O2320" s="118">
        <v>0</v>
      </c>
      <c r="P2320" s="119"/>
      <c r="Q2320" s="118">
        <v>8200</v>
      </c>
      <c r="R2320" s="119"/>
      <c r="S2320" s="118">
        <v>13200</v>
      </c>
      <c r="T2320" s="119"/>
      <c r="U2320" s="118">
        <f t="shared" ref="U2320" si="665">SUM(K2320:T2321)</f>
        <v>1289700</v>
      </c>
      <c r="V2320" s="122"/>
      <c r="W2320" s="124"/>
      <c r="X2320" s="126" t="s">
        <v>8536</v>
      </c>
      <c r="Y2320" s="127"/>
      <c r="Z2320" s="127"/>
      <c r="AA2320" s="127"/>
      <c r="AB2320" s="128"/>
      <c r="AC2320" s="15" t="s">
        <v>20</v>
      </c>
      <c r="AD2320" s="129" t="s">
        <v>7797</v>
      </c>
      <c r="AE2320" s="130"/>
      <c r="AF2320" s="130"/>
      <c r="AG2320" s="130"/>
      <c r="AH2320" s="130"/>
      <c r="AI2320" s="131"/>
      <c r="AJ2320" s="132"/>
      <c r="AK2320" s="127"/>
      <c r="AL2320" s="128"/>
      <c r="AM2320" s="21"/>
      <c r="AN2320" s="133">
        <v>45951</v>
      </c>
      <c r="AO2320" s="134"/>
      <c r="AP2320" s="135">
        <v>1914</v>
      </c>
      <c r="AQ2320" s="136"/>
      <c r="AR2320" s="118">
        <v>1270000</v>
      </c>
      <c r="AS2320" s="119"/>
      <c r="AT2320" s="118">
        <f t="shared" ref="AT2320" si="666">AR2320*0.1</f>
        <v>127000</v>
      </c>
      <c r="AU2320" s="119"/>
      <c r="AV2320" s="118">
        <v>8200</v>
      </c>
      <c r="AW2320" s="119"/>
      <c r="AX2320" s="118">
        <f t="shared" ref="AX2320" si="667">SUM(AR2320:AW2320)</f>
        <v>1405200</v>
      </c>
      <c r="AY2320" s="119"/>
      <c r="AZ2320" s="137">
        <v>45957</v>
      </c>
    </row>
    <row r="2321" spans="1:52" ht="17.100000000000001" customHeight="1" thickBot="1">
      <c r="A2321" s="110"/>
      <c r="B2321" s="27" t="s">
        <v>7753</v>
      </c>
      <c r="C2321" s="27">
        <v>7549</v>
      </c>
      <c r="D2321" s="14" t="s">
        <v>7793</v>
      </c>
      <c r="E2321" s="112"/>
      <c r="F2321" s="139" t="s">
        <v>7808</v>
      </c>
      <c r="G2321" s="140"/>
      <c r="H2321" s="141"/>
      <c r="I2321" s="26">
        <v>3702</v>
      </c>
      <c r="J2321" s="117"/>
      <c r="K2321" s="120"/>
      <c r="L2321" s="121"/>
      <c r="M2321" s="120"/>
      <c r="N2321" s="121"/>
      <c r="O2321" s="120"/>
      <c r="P2321" s="121"/>
      <c r="Q2321" s="120"/>
      <c r="R2321" s="121"/>
      <c r="S2321" s="120"/>
      <c r="T2321" s="121"/>
      <c r="U2321" s="120"/>
      <c r="V2321" s="123"/>
      <c r="W2321" s="125"/>
      <c r="X2321" s="142" t="s">
        <v>8537</v>
      </c>
      <c r="Y2321" s="143"/>
      <c r="Z2321" s="143"/>
      <c r="AA2321" s="143"/>
      <c r="AB2321" s="144"/>
      <c r="AC2321" s="16" t="s">
        <v>21</v>
      </c>
      <c r="AD2321" s="17" t="s">
        <v>1648</v>
      </c>
      <c r="AE2321" s="145" t="s">
        <v>171</v>
      </c>
      <c r="AF2321" s="146"/>
      <c r="AG2321" s="146"/>
      <c r="AH2321" s="146"/>
      <c r="AI2321" s="147"/>
      <c r="AJ2321" s="148"/>
      <c r="AK2321" s="143"/>
      <c r="AL2321" s="144"/>
      <c r="AM2321" s="22"/>
      <c r="AN2321" s="149" t="s">
        <v>2131</v>
      </c>
      <c r="AO2321" s="144"/>
      <c r="AP2321" s="148">
        <v>3171</v>
      </c>
      <c r="AQ2321" s="144"/>
      <c r="AR2321" s="120"/>
      <c r="AS2321" s="121"/>
      <c r="AT2321" s="120"/>
      <c r="AU2321" s="121"/>
      <c r="AV2321" s="120"/>
      <c r="AW2321" s="121"/>
      <c r="AX2321" s="120"/>
      <c r="AY2321" s="121"/>
      <c r="AZ2321" s="138"/>
    </row>
    <row r="2322" spans="1:52" ht="17.100000000000001" customHeight="1" thickTop="1">
      <c r="A2322" s="109" t="s">
        <v>7764</v>
      </c>
      <c r="B2322" s="28">
        <v>45940</v>
      </c>
      <c r="C2322" s="25">
        <v>1389</v>
      </c>
      <c r="D2322" s="13" t="s">
        <v>7810</v>
      </c>
      <c r="E2322" s="111"/>
      <c r="F2322" s="113" t="s">
        <v>7811</v>
      </c>
      <c r="G2322" s="114"/>
      <c r="H2322" s="115"/>
      <c r="I2322" s="24" t="s">
        <v>7813</v>
      </c>
      <c r="J2322" s="150">
        <v>4.5</v>
      </c>
      <c r="K2322" s="118">
        <v>640000</v>
      </c>
      <c r="L2322" s="119"/>
      <c r="M2322" s="118">
        <f t="shared" ref="M2322" si="668">K2322*0.1</f>
        <v>64000</v>
      </c>
      <c r="N2322" s="119"/>
      <c r="O2322" s="118">
        <v>0</v>
      </c>
      <c r="P2322" s="119"/>
      <c r="Q2322" s="118">
        <v>5690</v>
      </c>
      <c r="R2322" s="119"/>
      <c r="S2322" s="118">
        <v>13200</v>
      </c>
      <c r="T2322" s="119"/>
      <c r="U2322" s="118">
        <f t="shared" ref="U2322" si="669">SUM(K2322:T2323)</f>
        <v>722890</v>
      </c>
      <c r="V2322" s="122"/>
      <c r="W2322" s="124"/>
      <c r="X2322" s="126" t="s">
        <v>8534</v>
      </c>
      <c r="Y2322" s="127"/>
      <c r="Z2322" s="127"/>
      <c r="AA2322" s="127"/>
      <c r="AB2322" s="128"/>
      <c r="AC2322" s="15" t="s">
        <v>20</v>
      </c>
      <c r="AD2322" s="129" t="s">
        <v>7797</v>
      </c>
      <c r="AE2322" s="130"/>
      <c r="AF2322" s="130"/>
      <c r="AG2322" s="130"/>
      <c r="AH2322" s="130"/>
      <c r="AI2322" s="131"/>
      <c r="AJ2322" s="132"/>
      <c r="AK2322" s="127"/>
      <c r="AL2322" s="128"/>
      <c r="AM2322" s="21" t="s">
        <v>11039</v>
      </c>
      <c r="AN2322" s="133">
        <v>45980</v>
      </c>
      <c r="AO2322" s="134"/>
      <c r="AP2322" s="135">
        <v>993</v>
      </c>
      <c r="AQ2322" s="136"/>
      <c r="AR2322" s="118">
        <v>695000</v>
      </c>
      <c r="AS2322" s="119"/>
      <c r="AT2322" s="118">
        <f t="shared" ref="AT2322" si="670">AR2322*0.1</f>
        <v>69500</v>
      </c>
      <c r="AU2322" s="119"/>
      <c r="AV2322" s="118">
        <v>5690</v>
      </c>
      <c r="AW2322" s="119"/>
      <c r="AX2322" s="118">
        <f t="shared" ref="AX2322" si="671">SUM(AR2322:AW2322)</f>
        <v>770190</v>
      </c>
      <c r="AY2322" s="119"/>
      <c r="AZ2322" s="137">
        <v>45986</v>
      </c>
    </row>
    <row r="2323" spans="1:52" ht="17.100000000000001" customHeight="1" thickBot="1">
      <c r="A2323" s="110"/>
      <c r="B2323" s="27" t="s">
        <v>7753</v>
      </c>
      <c r="C2323" s="27">
        <v>7552</v>
      </c>
      <c r="D2323" s="14" t="s">
        <v>7771</v>
      </c>
      <c r="E2323" s="112"/>
      <c r="F2323" s="139" t="s">
        <v>7812</v>
      </c>
      <c r="G2323" s="140"/>
      <c r="H2323" s="141"/>
      <c r="I2323" s="26">
        <v>40582</v>
      </c>
      <c r="J2323" s="117"/>
      <c r="K2323" s="120"/>
      <c r="L2323" s="121"/>
      <c r="M2323" s="120"/>
      <c r="N2323" s="121"/>
      <c r="O2323" s="120"/>
      <c r="P2323" s="121"/>
      <c r="Q2323" s="120"/>
      <c r="R2323" s="121"/>
      <c r="S2323" s="120"/>
      <c r="T2323" s="121"/>
      <c r="U2323" s="120"/>
      <c r="V2323" s="123"/>
      <c r="W2323" s="125"/>
      <c r="X2323" s="142" t="s">
        <v>8535</v>
      </c>
      <c r="Y2323" s="143"/>
      <c r="Z2323" s="143"/>
      <c r="AA2323" s="143"/>
      <c r="AB2323" s="144"/>
      <c r="AC2323" s="16" t="s">
        <v>21</v>
      </c>
      <c r="AD2323" s="17" t="s">
        <v>1648</v>
      </c>
      <c r="AE2323" s="145" t="s">
        <v>171</v>
      </c>
      <c r="AF2323" s="146"/>
      <c r="AG2323" s="146"/>
      <c r="AH2323" s="146"/>
      <c r="AI2323" s="147"/>
      <c r="AJ2323" s="148"/>
      <c r="AK2323" s="143"/>
      <c r="AL2323" s="144"/>
      <c r="AM2323" s="22"/>
      <c r="AN2323" s="149" t="s">
        <v>9053</v>
      </c>
      <c r="AO2323" s="144"/>
      <c r="AP2323" s="148">
        <v>2014</v>
      </c>
      <c r="AQ2323" s="144"/>
      <c r="AR2323" s="120"/>
      <c r="AS2323" s="121"/>
      <c r="AT2323" s="120"/>
      <c r="AU2323" s="121"/>
      <c r="AV2323" s="120"/>
      <c r="AW2323" s="121"/>
      <c r="AX2323" s="120"/>
      <c r="AY2323" s="121"/>
      <c r="AZ2323" s="138"/>
    </row>
    <row r="2324" spans="1:52" ht="17.100000000000001" customHeight="1" thickTop="1">
      <c r="A2324" s="109" t="s">
        <v>7765</v>
      </c>
      <c r="B2324" s="28">
        <v>45940</v>
      </c>
      <c r="C2324" s="25">
        <v>1389</v>
      </c>
      <c r="D2324" s="13" t="s">
        <v>7814</v>
      </c>
      <c r="E2324" s="111"/>
      <c r="F2324" s="113" t="s">
        <v>7816</v>
      </c>
      <c r="G2324" s="114"/>
      <c r="H2324" s="115"/>
      <c r="I2324" s="24"/>
      <c r="J2324" s="116">
        <v>4.5</v>
      </c>
      <c r="K2324" s="118">
        <v>784000</v>
      </c>
      <c r="L2324" s="119"/>
      <c r="M2324" s="118">
        <f t="shared" ref="M2324" si="672">K2324*0.1</f>
        <v>78400</v>
      </c>
      <c r="N2324" s="119"/>
      <c r="O2324" s="118">
        <v>0</v>
      </c>
      <c r="P2324" s="119"/>
      <c r="Q2324" s="118">
        <v>7950</v>
      </c>
      <c r="R2324" s="119"/>
      <c r="S2324" s="118">
        <v>13200</v>
      </c>
      <c r="T2324" s="119"/>
      <c r="U2324" s="118">
        <f t="shared" ref="U2324" si="673">SUM(K2324:T2325)</f>
        <v>883550</v>
      </c>
      <c r="V2324" s="122"/>
      <c r="W2324" s="124"/>
      <c r="X2324" s="126" t="s">
        <v>8398</v>
      </c>
      <c r="Y2324" s="127"/>
      <c r="Z2324" s="127"/>
      <c r="AA2324" s="127"/>
      <c r="AB2324" s="128"/>
      <c r="AC2324" s="15" t="s">
        <v>20</v>
      </c>
      <c r="AD2324" s="129" t="s">
        <v>7818</v>
      </c>
      <c r="AE2324" s="130"/>
      <c r="AF2324" s="130"/>
      <c r="AG2324" s="130"/>
      <c r="AH2324" s="130"/>
      <c r="AI2324" s="131"/>
      <c r="AJ2324" s="132"/>
      <c r="AK2324" s="127"/>
      <c r="AL2324" s="128"/>
      <c r="AM2324" s="21"/>
      <c r="AN2324" s="133">
        <v>45966</v>
      </c>
      <c r="AO2324" s="134"/>
      <c r="AP2324" s="135">
        <v>991</v>
      </c>
      <c r="AQ2324" s="136"/>
      <c r="AR2324" s="118">
        <v>840000</v>
      </c>
      <c r="AS2324" s="119"/>
      <c r="AT2324" s="118">
        <f t="shared" ref="AT2324" si="674">AR2324*0.1</f>
        <v>84000</v>
      </c>
      <c r="AU2324" s="119"/>
      <c r="AV2324" s="118">
        <v>7950</v>
      </c>
      <c r="AW2324" s="119"/>
      <c r="AX2324" s="118">
        <f t="shared" ref="AX2324" si="675">SUM(AR2324:AW2324)</f>
        <v>931950</v>
      </c>
      <c r="AY2324" s="119"/>
      <c r="AZ2324" s="137">
        <v>45971</v>
      </c>
    </row>
    <row r="2325" spans="1:52" ht="17.100000000000001" customHeight="1" thickBot="1">
      <c r="A2325" s="110"/>
      <c r="B2325" s="27" t="s">
        <v>7753</v>
      </c>
      <c r="C2325" s="27">
        <v>7554</v>
      </c>
      <c r="D2325" s="14" t="s">
        <v>7815</v>
      </c>
      <c r="E2325" s="112"/>
      <c r="F2325" s="139" t="s">
        <v>7817</v>
      </c>
      <c r="G2325" s="140"/>
      <c r="H2325" s="141"/>
      <c r="I2325" s="26">
        <v>29584</v>
      </c>
      <c r="J2325" s="117"/>
      <c r="K2325" s="120"/>
      <c r="L2325" s="121"/>
      <c r="M2325" s="120"/>
      <c r="N2325" s="121"/>
      <c r="O2325" s="120"/>
      <c r="P2325" s="121"/>
      <c r="Q2325" s="120"/>
      <c r="R2325" s="121"/>
      <c r="S2325" s="120"/>
      <c r="T2325" s="121"/>
      <c r="U2325" s="120"/>
      <c r="V2325" s="123"/>
      <c r="W2325" s="125"/>
      <c r="X2325" s="142" t="s">
        <v>8399</v>
      </c>
      <c r="Y2325" s="143"/>
      <c r="Z2325" s="143"/>
      <c r="AA2325" s="143"/>
      <c r="AB2325" s="144"/>
      <c r="AC2325" s="16" t="s">
        <v>21</v>
      </c>
      <c r="AD2325" s="17" t="s">
        <v>1638</v>
      </c>
      <c r="AE2325" s="145" t="s">
        <v>9804</v>
      </c>
      <c r="AF2325" s="146"/>
      <c r="AG2325" s="146"/>
      <c r="AH2325" s="146"/>
      <c r="AI2325" s="147"/>
      <c r="AJ2325" s="148"/>
      <c r="AK2325" s="143"/>
      <c r="AL2325" s="144"/>
      <c r="AM2325" s="22"/>
      <c r="AN2325" s="149" t="s">
        <v>2794</v>
      </c>
      <c r="AO2325" s="144"/>
      <c r="AP2325" s="148">
        <v>2069</v>
      </c>
      <c r="AQ2325" s="144"/>
      <c r="AR2325" s="120"/>
      <c r="AS2325" s="121"/>
      <c r="AT2325" s="120"/>
      <c r="AU2325" s="121"/>
      <c r="AV2325" s="120"/>
      <c r="AW2325" s="121"/>
      <c r="AX2325" s="120"/>
      <c r="AY2325" s="121"/>
      <c r="AZ2325" s="138"/>
    </row>
    <row r="2326" spans="1:52" ht="17.100000000000001" customHeight="1" thickTop="1">
      <c r="A2326" s="109" t="s">
        <v>7766</v>
      </c>
      <c r="B2326" s="28">
        <v>45940</v>
      </c>
      <c r="C2326" s="25">
        <v>1389</v>
      </c>
      <c r="D2326" s="13" t="s">
        <v>7819</v>
      </c>
      <c r="E2326" s="111"/>
      <c r="F2326" s="113" t="s">
        <v>7820</v>
      </c>
      <c r="G2326" s="114"/>
      <c r="H2326" s="115"/>
      <c r="I2326" s="24" t="s">
        <v>7822</v>
      </c>
      <c r="J2326" s="116">
        <v>5</v>
      </c>
      <c r="K2326" s="118">
        <v>982000</v>
      </c>
      <c r="L2326" s="119"/>
      <c r="M2326" s="118">
        <f t="shared" ref="M2326" si="676">K2326*0.1</f>
        <v>98200</v>
      </c>
      <c r="N2326" s="119"/>
      <c r="O2326" s="118">
        <v>0</v>
      </c>
      <c r="P2326" s="119"/>
      <c r="Q2326" s="118">
        <v>8200</v>
      </c>
      <c r="R2326" s="119"/>
      <c r="S2326" s="118">
        <v>13200</v>
      </c>
      <c r="T2326" s="119"/>
      <c r="U2326" s="118">
        <f t="shared" ref="U2326" si="677">SUM(K2326:T2327)</f>
        <v>1101600</v>
      </c>
      <c r="V2326" s="122"/>
      <c r="W2326" s="124"/>
      <c r="X2326" s="126" t="s">
        <v>8533</v>
      </c>
      <c r="Y2326" s="127"/>
      <c r="Z2326" s="127"/>
      <c r="AA2326" s="127"/>
      <c r="AB2326" s="128"/>
      <c r="AC2326" s="15" t="s">
        <v>20</v>
      </c>
      <c r="AD2326" s="129" t="s">
        <v>7797</v>
      </c>
      <c r="AE2326" s="130"/>
      <c r="AF2326" s="130"/>
      <c r="AG2326" s="130"/>
      <c r="AH2326" s="130"/>
      <c r="AI2326" s="131"/>
      <c r="AJ2326" s="132"/>
      <c r="AK2326" s="127"/>
      <c r="AL2326" s="128"/>
      <c r="AM2326" s="21" t="s">
        <v>11032</v>
      </c>
      <c r="AN2326" s="133">
        <v>45987</v>
      </c>
      <c r="AO2326" s="134"/>
      <c r="AP2326" s="135">
        <v>994</v>
      </c>
      <c r="AQ2326" s="136"/>
      <c r="AR2326" s="118">
        <v>1020000</v>
      </c>
      <c r="AS2326" s="119"/>
      <c r="AT2326" s="118">
        <f t="shared" ref="AT2326" si="678">AR2326*0.1</f>
        <v>102000</v>
      </c>
      <c r="AU2326" s="119"/>
      <c r="AV2326" s="118">
        <v>8200</v>
      </c>
      <c r="AW2326" s="119"/>
      <c r="AX2326" s="118">
        <f t="shared" ref="AX2326" si="679">SUM(AR2326:AW2326)</f>
        <v>1130200</v>
      </c>
      <c r="AY2326" s="119"/>
      <c r="AZ2326" s="137">
        <v>45995</v>
      </c>
    </row>
    <row r="2327" spans="1:52" ht="17.100000000000001" customHeight="1" thickBot="1">
      <c r="A2327" s="110"/>
      <c r="B2327" s="27" t="s">
        <v>7753</v>
      </c>
      <c r="C2327" s="27">
        <v>7563</v>
      </c>
      <c r="D2327" s="14" t="s">
        <v>7793</v>
      </c>
      <c r="E2327" s="112"/>
      <c r="F2327" s="139" t="s">
        <v>7821</v>
      </c>
      <c r="G2327" s="140"/>
      <c r="H2327" s="141"/>
      <c r="I2327" s="26">
        <v>1455</v>
      </c>
      <c r="J2327" s="117"/>
      <c r="K2327" s="120"/>
      <c r="L2327" s="121"/>
      <c r="M2327" s="120"/>
      <c r="N2327" s="121"/>
      <c r="O2327" s="120"/>
      <c r="P2327" s="121"/>
      <c r="Q2327" s="120"/>
      <c r="R2327" s="121"/>
      <c r="S2327" s="120"/>
      <c r="T2327" s="121"/>
      <c r="U2327" s="120"/>
      <c r="V2327" s="123"/>
      <c r="W2327" s="125"/>
      <c r="X2327" s="142" t="s">
        <v>8531</v>
      </c>
      <c r="Y2327" s="143"/>
      <c r="Z2327" s="143"/>
      <c r="AA2327" s="143"/>
      <c r="AB2327" s="144"/>
      <c r="AC2327" s="16" t="s">
        <v>21</v>
      </c>
      <c r="AD2327" s="17" t="s">
        <v>1648</v>
      </c>
      <c r="AE2327" s="145" t="s">
        <v>171</v>
      </c>
      <c r="AF2327" s="146"/>
      <c r="AG2327" s="146"/>
      <c r="AH2327" s="146"/>
      <c r="AI2327" s="147"/>
      <c r="AJ2327" s="148"/>
      <c r="AK2327" s="143"/>
      <c r="AL2327" s="144"/>
      <c r="AM2327" s="22"/>
      <c r="AN2327" s="149" t="s">
        <v>7285</v>
      </c>
      <c r="AO2327" s="144"/>
      <c r="AP2327" s="148">
        <v>2050</v>
      </c>
      <c r="AQ2327" s="144"/>
      <c r="AR2327" s="120"/>
      <c r="AS2327" s="121"/>
      <c r="AT2327" s="120"/>
      <c r="AU2327" s="121"/>
      <c r="AV2327" s="120"/>
      <c r="AW2327" s="121"/>
      <c r="AX2327" s="120"/>
      <c r="AY2327" s="121"/>
      <c r="AZ2327" s="138"/>
    </row>
    <row r="2328" spans="1:52" ht="17.100000000000001" customHeight="1" thickTop="1">
      <c r="A2328" s="109" t="s">
        <v>7767</v>
      </c>
      <c r="B2328" s="28">
        <v>45940</v>
      </c>
      <c r="C2328" s="25">
        <v>1389</v>
      </c>
      <c r="D2328" s="13" t="s">
        <v>7823</v>
      </c>
      <c r="E2328" s="111"/>
      <c r="F2328" s="113" t="s">
        <v>7824</v>
      </c>
      <c r="G2328" s="114"/>
      <c r="H2328" s="115"/>
      <c r="I2328" s="24"/>
      <c r="J2328" s="116">
        <v>3.5</v>
      </c>
      <c r="K2328" s="118">
        <v>172000</v>
      </c>
      <c r="L2328" s="119"/>
      <c r="M2328" s="118">
        <f t="shared" ref="M2328" si="680">K2328*0.1</f>
        <v>17200</v>
      </c>
      <c r="N2328" s="119"/>
      <c r="O2328" s="118">
        <v>0</v>
      </c>
      <c r="P2328" s="119"/>
      <c r="Q2328" s="118">
        <v>8930</v>
      </c>
      <c r="R2328" s="119"/>
      <c r="S2328" s="118">
        <v>13200</v>
      </c>
      <c r="T2328" s="119"/>
      <c r="U2328" s="118">
        <f t="shared" ref="U2328" si="681">SUM(K2328:T2329)</f>
        <v>211330</v>
      </c>
      <c r="V2328" s="122"/>
      <c r="W2328" s="124"/>
      <c r="X2328" s="126" t="s">
        <v>8401</v>
      </c>
      <c r="Y2328" s="127"/>
      <c r="Z2328" s="127"/>
      <c r="AA2328" s="127"/>
      <c r="AB2328" s="128"/>
      <c r="AC2328" s="15" t="s">
        <v>20</v>
      </c>
      <c r="AD2328" s="129"/>
      <c r="AE2328" s="130"/>
      <c r="AF2328" s="130"/>
      <c r="AG2328" s="130"/>
      <c r="AH2328" s="130"/>
      <c r="AI2328" s="131"/>
      <c r="AJ2328" s="132"/>
      <c r="AK2328" s="127"/>
      <c r="AL2328" s="128"/>
      <c r="AM2328" s="21"/>
      <c r="AN2328" s="133">
        <v>45976</v>
      </c>
      <c r="AO2328" s="134"/>
      <c r="AP2328" s="135">
        <v>1276</v>
      </c>
      <c r="AQ2328" s="136"/>
      <c r="AR2328" s="118">
        <v>202000</v>
      </c>
      <c r="AS2328" s="119"/>
      <c r="AT2328" s="118">
        <f t="shared" ref="AT2328" si="682">AR2328*0.1</f>
        <v>20200</v>
      </c>
      <c r="AU2328" s="119"/>
      <c r="AV2328" s="118">
        <v>8930</v>
      </c>
      <c r="AW2328" s="119"/>
      <c r="AX2328" s="118">
        <f t="shared" ref="AX2328" si="683">SUM(AR2328:AW2328)</f>
        <v>231130</v>
      </c>
      <c r="AY2328" s="119"/>
      <c r="AZ2328" s="137">
        <v>45979</v>
      </c>
    </row>
    <row r="2329" spans="1:52" ht="17.100000000000001" customHeight="1" thickBot="1">
      <c r="A2329" s="110"/>
      <c r="B2329" s="27" t="s">
        <v>7753</v>
      </c>
      <c r="C2329" s="27">
        <v>9058</v>
      </c>
      <c r="D2329" s="14" t="s">
        <v>7793</v>
      </c>
      <c r="E2329" s="112"/>
      <c r="F2329" s="139" t="s">
        <v>7825</v>
      </c>
      <c r="G2329" s="140"/>
      <c r="H2329" s="141"/>
      <c r="I2329" s="26">
        <v>53923</v>
      </c>
      <c r="J2329" s="117"/>
      <c r="K2329" s="120"/>
      <c r="L2329" s="121"/>
      <c r="M2329" s="120"/>
      <c r="N2329" s="121"/>
      <c r="O2329" s="120"/>
      <c r="P2329" s="121"/>
      <c r="Q2329" s="120"/>
      <c r="R2329" s="121"/>
      <c r="S2329" s="120"/>
      <c r="T2329" s="121"/>
      <c r="U2329" s="120"/>
      <c r="V2329" s="123"/>
      <c r="W2329" s="125"/>
      <c r="X2329" s="142" t="s">
        <v>1997</v>
      </c>
      <c r="Y2329" s="143"/>
      <c r="Z2329" s="143"/>
      <c r="AA2329" s="143"/>
      <c r="AB2329" s="144"/>
      <c r="AC2329" s="16" t="s">
        <v>21</v>
      </c>
      <c r="AD2329" s="17" t="s">
        <v>1638</v>
      </c>
      <c r="AE2329" s="145" t="s">
        <v>3859</v>
      </c>
      <c r="AF2329" s="146"/>
      <c r="AG2329" s="146"/>
      <c r="AH2329" s="146"/>
      <c r="AI2329" s="147"/>
      <c r="AJ2329" s="148"/>
      <c r="AK2329" s="143"/>
      <c r="AL2329" s="144"/>
      <c r="AM2329" s="22"/>
      <c r="AN2329" s="149" t="s">
        <v>10999</v>
      </c>
      <c r="AO2329" s="144"/>
      <c r="AP2329" s="148">
        <v>63108</v>
      </c>
      <c r="AQ2329" s="144"/>
      <c r="AR2329" s="120"/>
      <c r="AS2329" s="121"/>
      <c r="AT2329" s="120"/>
      <c r="AU2329" s="121"/>
      <c r="AV2329" s="120"/>
      <c r="AW2329" s="121"/>
      <c r="AX2329" s="120"/>
      <c r="AY2329" s="121"/>
      <c r="AZ2329" s="138"/>
    </row>
    <row r="2330" spans="1:52" ht="17.100000000000001" customHeight="1" thickTop="1">
      <c r="A2330" s="109" t="s">
        <v>7768</v>
      </c>
      <c r="B2330" s="28">
        <v>45940</v>
      </c>
      <c r="C2330" s="25">
        <v>1389</v>
      </c>
      <c r="D2330" s="13" t="s">
        <v>7826</v>
      </c>
      <c r="E2330" s="111"/>
      <c r="F2330" s="113" t="s">
        <v>4473</v>
      </c>
      <c r="G2330" s="114"/>
      <c r="H2330" s="115"/>
      <c r="I2330" s="24" t="s">
        <v>7828</v>
      </c>
      <c r="J2330" s="150" t="s">
        <v>1715</v>
      </c>
      <c r="K2330" s="118">
        <v>139000</v>
      </c>
      <c r="L2330" s="119"/>
      <c r="M2330" s="118">
        <v>13900</v>
      </c>
      <c r="N2330" s="119"/>
      <c r="O2330" s="118">
        <v>0</v>
      </c>
      <c r="P2330" s="119"/>
      <c r="Q2330" s="118">
        <v>9790</v>
      </c>
      <c r="R2330" s="119"/>
      <c r="S2330" s="118">
        <v>13200</v>
      </c>
      <c r="T2330" s="119"/>
      <c r="U2330" s="118">
        <f t="shared" ref="U2330" si="684">SUM(K2330:T2331)</f>
        <v>175890</v>
      </c>
      <c r="V2330" s="122"/>
      <c r="W2330" s="124"/>
      <c r="X2330" s="126" t="s">
        <v>8395</v>
      </c>
      <c r="Y2330" s="127"/>
      <c r="Z2330" s="127"/>
      <c r="AA2330" s="127"/>
      <c r="AB2330" s="128"/>
      <c r="AC2330" s="15" t="s">
        <v>20</v>
      </c>
      <c r="AD2330" s="129"/>
      <c r="AE2330" s="130"/>
      <c r="AF2330" s="130"/>
      <c r="AG2330" s="130"/>
      <c r="AH2330" s="130"/>
      <c r="AI2330" s="131"/>
      <c r="AJ2330" s="132"/>
      <c r="AK2330" s="127"/>
      <c r="AL2330" s="128"/>
      <c r="AM2330" s="21" t="s">
        <v>10400</v>
      </c>
      <c r="AN2330" s="133">
        <v>45969</v>
      </c>
      <c r="AO2330" s="134"/>
      <c r="AP2330" s="135">
        <v>1275</v>
      </c>
      <c r="AQ2330" s="136"/>
      <c r="AR2330" s="118">
        <v>124000</v>
      </c>
      <c r="AS2330" s="119"/>
      <c r="AT2330" s="118">
        <f t="shared" ref="AT2330" si="685">AR2330*0.1</f>
        <v>12400</v>
      </c>
      <c r="AU2330" s="119"/>
      <c r="AV2330" s="118">
        <v>9790</v>
      </c>
      <c r="AW2330" s="119"/>
      <c r="AX2330" s="118">
        <f t="shared" ref="AX2330" si="686">SUM(AR2330:AW2330)</f>
        <v>146190</v>
      </c>
      <c r="AY2330" s="119"/>
      <c r="AZ2330" s="137">
        <v>45974</v>
      </c>
    </row>
    <row r="2331" spans="1:52" ht="17.100000000000001" customHeight="1" thickBot="1">
      <c r="A2331" s="110"/>
      <c r="B2331" s="27" t="s">
        <v>7753</v>
      </c>
      <c r="C2331" s="27">
        <v>9076</v>
      </c>
      <c r="D2331" s="14" t="s">
        <v>7827</v>
      </c>
      <c r="E2331" s="112"/>
      <c r="F2331" s="139" t="s">
        <v>7864</v>
      </c>
      <c r="G2331" s="140"/>
      <c r="H2331" s="141"/>
      <c r="I2331" s="26">
        <v>159285</v>
      </c>
      <c r="J2331" s="117"/>
      <c r="K2331" s="120"/>
      <c r="L2331" s="121"/>
      <c r="M2331" s="120"/>
      <c r="N2331" s="121"/>
      <c r="O2331" s="120"/>
      <c r="P2331" s="121"/>
      <c r="Q2331" s="120"/>
      <c r="R2331" s="121"/>
      <c r="S2331" s="120"/>
      <c r="T2331" s="121"/>
      <c r="U2331" s="120"/>
      <c r="V2331" s="123"/>
      <c r="W2331" s="125"/>
      <c r="X2331" s="142" t="s">
        <v>8396</v>
      </c>
      <c r="Y2331" s="143"/>
      <c r="Z2331" s="143"/>
      <c r="AA2331" s="143"/>
      <c r="AB2331" s="144"/>
      <c r="AC2331" s="16" t="s">
        <v>21</v>
      </c>
      <c r="AD2331" s="17" t="s">
        <v>1638</v>
      </c>
      <c r="AE2331" s="145" t="s">
        <v>8397</v>
      </c>
      <c r="AF2331" s="146"/>
      <c r="AG2331" s="146"/>
      <c r="AH2331" s="146"/>
      <c r="AI2331" s="147"/>
      <c r="AJ2331" s="148"/>
      <c r="AK2331" s="143"/>
      <c r="AL2331" s="144"/>
      <c r="AM2331" s="22"/>
      <c r="AN2331" s="149" t="s">
        <v>2511</v>
      </c>
      <c r="AO2331" s="144"/>
      <c r="AP2331" s="148">
        <v>63174</v>
      </c>
      <c r="AQ2331" s="144"/>
      <c r="AR2331" s="120"/>
      <c r="AS2331" s="121"/>
      <c r="AT2331" s="120"/>
      <c r="AU2331" s="121"/>
      <c r="AV2331" s="120"/>
      <c r="AW2331" s="121"/>
      <c r="AX2331" s="120"/>
      <c r="AY2331" s="121"/>
      <c r="AZ2331" s="138"/>
    </row>
    <row r="2332" spans="1:52" ht="17.100000000000001" customHeight="1" thickTop="1">
      <c r="A2332" s="109" t="s">
        <v>7769</v>
      </c>
      <c r="B2332" s="28">
        <v>45940</v>
      </c>
      <c r="C2332" s="25">
        <v>1389</v>
      </c>
      <c r="D2332" s="13" t="s">
        <v>7829</v>
      </c>
      <c r="E2332" s="111"/>
      <c r="F2332" s="113" t="s">
        <v>4473</v>
      </c>
      <c r="G2332" s="114"/>
      <c r="H2332" s="115"/>
      <c r="I2332" s="24"/>
      <c r="J2332" s="116">
        <v>3.5</v>
      </c>
      <c r="K2332" s="118">
        <v>70000</v>
      </c>
      <c r="L2332" s="119"/>
      <c r="M2332" s="118">
        <f t="shared" ref="M2332" si="687">K2332*0.1</f>
        <v>7000</v>
      </c>
      <c r="N2332" s="119"/>
      <c r="O2332" s="118">
        <v>0</v>
      </c>
      <c r="P2332" s="119"/>
      <c r="Q2332" s="118">
        <v>9790</v>
      </c>
      <c r="R2332" s="119"/>
      <c r="S2332" s="118">
        <v>13200</v>
      </c>
      <c r="T2332" s="119"/>
      <c r="U2332" s="118">
        <f t="shared" ref="U2332" si="688">SUM(K2332:T2333)</f>
        <v>99990</v>
      </c>
      <c r="V2332" s="122"/>
      <c r="W2332" s="124"/>
      <c r="X2332" s="126" t="s">
        <v>8400</v>
      </c>
      <c r="Y2332" s="127"/>
      <c r="Z2332" s="127"/>
      <c r="AA2332" s="127"/>
      <c r="AB2332" s="128"/>
      <c r="AC2332" s="15" t="s">
        <v>20</v>
      </c>
      <c r="AD2332" s="129"/>
      <c r="AE2332" s="130"/>
      <c r="AF2332" s="130"/>
      <c r="AG2332" s="130"/>
      <c r="AH2332" s="130"/>
      <c r="AI2332" s="131"/>
      <c r="AJ2332" s="132"/>
      <c r="AK2332" s="127"/>
      <c r="AL2332" s="128"/>
      <c r="AM2332" s="21"/>
      <c r="AN2332" s="133">
        <v>45948</v>
      </c>
      <c r="AO2332" s="134"/>
      <c r="AP2332" s="135">
        <v>1272</v>
      </c>
      <c r="AQ2332" s="136"/>
      <c r="AR2332" s="118">
        <v>69000</v>
      </c>
      <c r="AS2332" s="119"/>
      <c r="AT2332" s="118">
        <f t="shared" ref="AT2332" si="689">AR2332*0.1</f>
        <v>6900</v>
      </c>
      <c r="AU2332" s="119"/>
      <c r="AV2332" s="118">
        <v>9790</v>
      </c>
      <c r="AW2332" s="119"/>
      <c r="AX2332" s="118">
        <f t="shared" ref="AX2332" si="690">SUM(AR2332:AW2332)</f>
        <v>85690</v>
      </c>
      <c r="AY2332" s="119"/>
      <c r="AZ2332" s="137">
        <v>45951</v>
      </c>
    </row>
    <row r="2333" spans="1:52" ht="17.100000000000001" customHeight="1" thickBot="1">
      <c r="A2333" s="110"/>
      <c r="B2333" s="27" t="s">
        <v>7753</v>
      </c>
      <c r="C2333" s="27">
        <v>9207</v>
      </c>
      <c r="D2333" s="14" t="s">
        <v>7784</v>
      </c>
      <c r="E2333" s="112"/>
      <c r="F2333" s="139" t="s">
        <v>7830</v>
      </c>
      <c r="G2333" s="140"/>
      <c r="H2333" s="141"/>
      <c r="I2333" s="26">
        <v>170935</v>
      </c>
      <c r="J2333" s="117"/>
      <c r="K2333" s="120"/>
      <c r="L2333" s="121"/>
      <c r="M2333" s="120"/>
      <c r="N2333" s="121"/>
      <c r="O2333" s="120"/>
      <c r="P2333" s="121"/>
      <c r="Q2333" s="120"/>
      <c r="R2333" s="121"/>
      <c r="S2333" s="120"/>
      <c r="T2333" s="121"/>
      <c r="U2333" s="120"/>
      <c r="V2333" s="123"/>
      <c r="W2333" s="125"/>
      <c r="X2333" s="142" t="s">
        <v>1997</v>
      </c>
      <c r="Y2333" s="143"/>
      <c r="Z2333" s="143"/>
      <c r="AA2333" s="143"/>
      <c r="AB2333" s="144"/>
      <c r="AC2333" s="16" t="s">
        <v>21</v>
      </c>
      <c r="AD2333" s="17" t="s">
        <v>1638</v>
      </c>
      <c r="AE2333" s="145"/>
      <c r="AF2333" s="146"/>
      <c r="AG2333" s="146"/>
      <c r="AH2333" s="146"/>
      <c r="AI2333" s="147"/>
      <c r="AJ2333" s="148"/>
      <c r="AK2333" s="143"/>
      <c r="AL2333" s="144"/>
      <c r="AM2333" s="22"/>
      <c r="AN2333" s="149" t="s">
        <v>2511</v>
      </c>
      <c r="AO2333" s="144"/>
      <c r="AP2333" s="148">
        <v>90264</v>
      </c>
      <c r="AQ2333" s="144"/>
      <c r="AR2333" s="120"/>
      <c r="AS2333" s="121"/>
      <c r="AT2333" s="120"/>
      <c r="AU2333" s="121"/>
      <c r="AV2333" s="120"/>
      <c r="AW2333" s="121"/>
      <c r="AX2333" s="120"/>
      <c r="AY2333" s="121"/>
      <c r="AZ2333" s="138"/>
    </row>
    <row r="2334" spans="1:52" ht="17.100000000000001" customHeight="1" thickTop="1">
      <c r="A2334" s="109" t="s">
        <v>7862</v>
      </c>
      <c r="B2334" s="28">
        <v>45940</v>
      </c>
      <c r="C2334" s="25">
        <v>261</v>
      </c>
      <c r="D2334" s="13" t="s">
        <v>3322</v>
      </c>
      <c r="E2334" s="111"/>
      <c r="F2334" s="113" t="s">
        <v>7673</v>
      </c>
      <c r="G2334" s="114"/>
      <c r="H2334" s="115"/>
      <c r="I2334" s="24"/>
      <c r="J2334" s="116">
        <v>4</v>
      </c>
      <c r="K2334" s="118">
        <v>922000</v>
      </c>
      <c r="L2334" s="119"/>
      <c r="M2334" s="118">
        <f t="shared" ref="M2334" si="691">K2334*0.1</f>
        <v>92200</v>
      </c>
      <c r="N2334" s="119"/>
      <c r="O2334" s="118">
        <v>0</v>
      </c>
      <c r="P2334" s="119"/>
      <c r="Q2334" s="118">
        <v>7150</v>
      </c>
      <c r="R2334" s="119"/>
      <c r="S2334" s="118">
        <v>22000</v>
      </c>
      <c r="T2334" s="119"/>
      <c r="U2334" s="118">
        <f t="shared" ref="U2334" si="692">SUM(K2334:T2335)</f>
        <v>1043350</v>
      </c>
      <c r="V2334" s="122"/>
      <c r="W2334" s="124"/>
      <c r="X2334" s="126" t="s">
        <v>8434</v>
      </c>
      <c r="Y2334" s="127"/>
      <c r="Z2334" s="127"/>
      <c r="AA2334" s="127"/>
      <c r="AB2334" s="128"/>
      <c r="AC2334" s="15" t="s">
        <v>20</v>
      </c>
      <c r="AD2334" s="129" t="s">
        <v>8332</v>
      </c>
      <c r="AE2334" s="130"/>
      <c r="AF2334" s="130"/>
      <c r="AG2334" s="130"/>
      <c r="AH2334" s="130"/>
      <c r="AI2334" s="131"/>
      <c r="AJ2334" s="132"/>
      <c r="AK2334" s="127"/>
      <c r="AL2334" s="128"/>
      <c r="AM2334" s="21"/>
      <c r="AN2334" s="133">
        <v>46053</v>
      </c>
      <c r="AO2334" s="134"/>
      <c r="AP2334" s="135">
        <v>1286</v>
      </c>
      <c r="AQ2334" s="136"/>
      <c r="AR2334" s="118">
        <v>940000</v>
      </c>
      <c r="AS2334" s="119"/>
      <c r="AT2334" s="118">
        <f t="shared" ref="AT2334" si="693">AR2334*0.1</f>
        <v>94000</v>
      </c>
      <c r="AU2334" s="119"/>
      <c r="AV2334" s="118">
        <v>7150</v>
      </c>
      <c r="AW2334" s="119"/>
      <c r="AX2334" s="118">
        <f t="shared" ref="AX2334" si="694">SUM(AR2334:AW2334)</f>
        <v>1041150</v>
      </c>
      <c r="AY2334" s="119"/>
      <c r="AZ2334" s="137">
        <v>46056</v>
      </c>
    </row>
    <row r="2335" spans="1:52" ht="17.100000000000001" customHeight="1" thickBot="1">
      <c r="A2335" s="110"/>
      <c r="B2335" s="27" t="s">
        <v>3957</v>
      </c>
      <c r="C2335" s="27">
        <v>15</v>
      </c>
      <c r="D2335" s="14" t="s">
        <v>2836</v>
      </c>
      <c r="E2335" s="112"/>
      <c r="F2335" s="139" t="s">
        <v>7674</v>
      </c>
      <c r="G2335" s="140"/>
      <c r="H2335" s="141"/>
      <c r="I2335" s="26">
        <v>20987</v>
      </c>
      <c r="J2335" s="117"/>
      <c r="K2335" s="120"/>
      <c r="L2335" s="121"/>
      <c r="M2335" s="120"/>
      <c r="N2335" s="121"/>
      <c r="O2335" s="120"/>
      <c r="P2335" s="121"/>
      <c r="Q2335" s="120"/>
      <c r="R2335" s="121"/>
      <c r="S2335" s="120"/>
      <c r="T2335" s="121"/>
      <c r="U2335" s="120"/>
      <c r="V2335" s="123"/>
      <c r="W2335" s="125"/>
      <c r="X2335" s="142" t="s">
        <v>3986</v>
      </c>
      <c r="Y2335" s="143"/>
      <c r="Z2335" s="143"/>
      <c r="AA2335" s="143"/>
      <c r="AB2335" s="144"/>
      <c r="AC2335" s="16" t="s">
        <v>21</v>
      </c>
      <c r="AD2335" s="17" t="s">
        <v>1638</v>
      </c>
      <c r="AE2335" s="145" t="s">
        <v>8435</v>
      </c>
      <c r="AF2335" s="146"/>
      <c r="AG2335" s="146"/>
      <c r="AH2335" s="146"/>
      <c r="AI2335" s="147"/>
      <c r="AJ2335" s="148"/>
      <c r="AK2335" s="143"/>
      <c r="AL2335" s="144"/>
      <c r="AM2335" s="22"/>
      <c r="AN2335" s="149" t="s">
        <v>7284</v>
      </c>
      <c r="AO2335" s="144"/>
      <c r="AP2335" s="148">
        <v>60141</v>
      </c>
      <c r="AQ2335" s="144"/>
      <c r="AR2335" s="120"/>
      <c r="AS2335" s="121"/>
      <c r="AT2335" s="120"/>
      <c r="AU2335" s="121"/>
      <c r="AV2335" s="120"/>
      <c r="AW2335" s="121"/>
      <c r="AX2335" s="120"/>
      <c r="AY2335" s="121"/>
      <c r="AZ2335" s="138"/>
    </row>
    <row r="2336" spans="1:52" ht="17.100000000000001" customHeight="1" thickTop="1">
      <c r="A2336" s="109" t="s">
        <v>7863</v>
      </c>
      <c r="B2336" s="28">
        <v>45940</v>
      </c>
      <c r="C2336" s="25">
        <v>261</v>
      </c>
      <c r="D2336" s="13" t="s">
        <v>1831</v>
      </c>
      <c r="E2336" s="111"/>
      <c r="F2336" s="113" t="s">
        <v>4473</v>
      </c>
      <c r="G2336" s="114"/>
      <c r="H2336" s="115"/>
      <c r="I2336" s="24" t="s">
        <v>2861</v>
      </c>
      <c r="J2336" s="116">
        <v>4.5</v>
      </c>
      <c r="K2336" s="118">
        <v>596000</v>
      </c>
      <c r="L2336" s="119"/>
      <c r="M2336" s="118">
        <f t="shared" ref="M2336" si="695">K2336*0.1</f>
        <v>59600</v>
      </c>
      <c r="N2336" s="119"/>
      <c r="O2336" s="118">
        <v>0</v>
      </c>
      <c r="P2336" s="119"/>
      <c r="Q2336" s="118">
        <v>9790</v>
      </c>
      <c r="R2336" s="119"/>
      <c r="S2336" s="118">
        <v>22000</v>
      </c>
      <c r="T2336" s="119"/>
      <c r="U2336" s="118">
        <f t="shared" ref="U2336" si="696">SUM(K2336:T2337)</f>
        <v>687390</v>
      </c>
      <c r="V2336" s="122"/>
      <c r="W2336" s="124"/>
      <c r="X2336" s="126" t="s">
        <v>8527</v>
      </c>
      <c r="Y2336" s="127"/>
      <c r="Z2336" s="127"/>
      <c r="AA2336" s="127"/>
      <c r="AB2336" s="128"/>
      <c r="AC2336" s="15" t="s">
        <v>20</v>
      </c>
      <c r="AD2336" s="129" t="s">
        <v>3896</v>
      </c>
      <c r="AE2336" s="130"/>
      <c r="AF2336" s="130"/>
      <c r="AG2336" s="130"/>
      <c r="AH2336" s="130"/>
      <c r="AI2336" s="131"/>
      <c r="AJ2336" s="132"/>
      <c r="AK2336" s="127"/>
      <c r="AL2336" s="128"/>
      <c r="AM2336" s="21"/>
      <c r="AN2336" s="133">
        <v>45955</v>
      </c>
      <c r="AO2336" s="134"/>
      <c r="AP2336" s="135">
        <v>1273</v>
      </c>
      <c r="AQ2336" s="136"/>
      <c r="AR2336" s="118">
        <v>585000</v>
      </c>
      <c r="AS2336" s="119"/>
      <c r="AT2336" s="118">
        <f t="shared" ref="AT2336" si="697">AR2336*0.1</f>
        <v>58500</v>
      </c>
      <c r="AU2336" s="119"/>
      <c r="AV2336" s="118">
        <v>9790</v>
      </c>
      <c r="AW2336" s="119"/>
      <c r="AX2336" s="118">
        <f t="shared" ref="AX2336" si="698">SUM(AR2336:AW2336)</f>
        <v>653290</v>
      </c>
      <c r="AY2336" s="119"/>
      <c r="AZ2336" s="137">
        <v>45958</v>
      </c>
    </row>
    <row r="2337" spans="1:52" ht="17.100000000000001" customHeight="1" thickBot="1">
      <c r="A2337" s="110"/>
      <c r="B2337" s="27" t="s">
        <v>3957</v>
      </c>
      <c r="C2337" s="27">
        <v>99</v>
      </c>
      <c r="D2337" s="14" t="s">
        <v>1576</v>
      </c>
      <c r="E2337" s="112"/>
      <c r="F2337" s="139" t="s">
        <v>7675</v>
      </c>
      <c r="G2337" s="140"/>
      <c r="H2337" s="141"/>
      <c r="I2337" s="26">
        <v>51591</v>
      </c>
      <c r="J2337" s="117"/>
      <c r="K2337" s="120"/>
      <c r="L2337" s="121"/>
      <c r="M2337" s="120"/>
      <c r="N2337" s="121"/>
      <c r="O2337" s="120"/>
      <c r="P2337" s="121"/>
      <c r="Q2337" s="120"/>
      <c r="R2337" s="121"/>
      <c r="S2337" s="120"/>
      <c r="T2337" s="121"/>
      <c r="U2337" s="120"/>
      <c r="V2337" s="123"/>
      <c r="W2337" s="125"/>
      <c r="X2337" s="142" t="s">
        <v>2659</v>
      </c>
      <c r="Y2337" s="143"/>
      <c r="Z2337" s="143"/>
      <c r="AA2337" s="143"/>
      <c r="AB2337" s="144"/>
      <c r="AC2337" s="16" t="s">
        <v>21</v>
      </c>
      <c r="AD2337" s="17" t="s">
        <v>1648</v>
      </c>
      <c r="AE2337" s="145" t="s">
        <v>3896</v>
      </c>
      <c r="AF2337" s="146"/>
      <c r="AG2337" s="146"/>
      <c r="AH2337" s="146"/>
      <c r="AI2337" s="147"/>
      <c r="AJ2337" s="148"/>
      <c r="AK2337" s="143"/>
      <c r="AL2337" s="144"/>
      <c r="AM2337" s="22"/>
      <c r="AN2337" s="149" t="s">
        <v>2511</v>
      </c>
      <c r="AO2337" s="144"/>
      <c r="AP2337" s="148">
        <v>60217</v>
      </c>
      <c r="AQ2337" s="144"/>
      <c r="AR2337" s="120"/>
      <c r="AS2337" s="121"/>
      <c r="AT2337" s="120"/>
      <c r="AU2337" s="121"/>
      <c r="AV2337" s="120"/>
      <c r="AW2337" s="121"/>
      <c r="AX2337" s="120"/>
      <c r="AY2337" s="121"/>
      <c r="AZ2337" s="138"/>
    </row>
    <row r="2338" spans="1:52" ht="17.100000000000001" customHeight="1" thickTop="1">
      <c r="A2338" s="109" t="s">
        <v>7865</v>
      </c>
      <c r="B2338" s="28">
        <v>45940</v>
      </c>
      <c r="C2338" s="25">
        <v>2105</v>
      </c>
      <c r="D2338" s="13" t="s">
        <v>1688</v>
      </c>
      <c r="E2338" s="111"/>
      <c r="F2338" s="113" t="s">
        <v>4026</v>
      </c>
      <c r="G2338" s="114"/>
      <c r="H2338" s="115"/>
      <c r="I2338" s="24" t="s">
        <v>4408</v>
      </c>
      <c r="J2338" s="116">
        <v>4.5</v>
      </c>
      <c r="K2338" s="118">
        <v>1040000</v>
      </c>
      <c r="L2338" s="119"/>
      <c r="M2338" s="118">
        <f t="shared" ref="M2338" si="699">K2338*0.1</f>
        <v>104000</v>
      </c>
      <c r="N2338" s="119"/>
      <c r="O2338" s="118">
        <v>0</v>
      </c>
      <c r="P2338" s="119"/>
      <c r="Q2338" s="118">
        <v>6850</v>
      </c>
      <c r="R2338" s="119"/>
      <c r="S2338" s="118">
        <v>16500</v>
      </c>
      <c r="T2338" s="119"/>
      <c r="U2338" s="118">
        <f t="shared" ref="U2338" si="700">SUM(K2338:T2339)</f>
        <v>1167350</v>
      </c>
      <c r="V2338" s="122"/>
      <c r="W2338" s="124"/>
      <c r="X2338" s="126" t="s">
        <v>7677</v>
      </c>
      <c r="Y2338" s="127"/>
      <c r="Z2338" s="127"/>
      <c r="AA2338" s="127"/>
      <c r="AB2338" s="128"/>
      <c r="AC2338" s="15" t="s">
        <v>20</v>
      </c>
      <c r="AD2338" s="129" t="s">
        <v>1670</v>
      </c>
      <c r="AE2338" s="130"/>
      <c r="AF2338" s="130"/>
      <c r="AG2338" s="130"/>
      <c r="AH2338" s="130"/>
      <c r="AI2338" s="131"/>
      <c r="AJ2338" s="132"/>
      <c r="AK2338" s="127"/>
      <c r="AL2338" s="128"/>
      <c r="AM2338" s="21" t="s">
        <v>11202</v>
      </c>
      <c r="AN2338" s="133">
        <v>45980</v>
      </c>
      <c r="AO2338" s="134"/>
      <c r="AP2338" s="135">
        <v>993</v>
      </c>
      <c r="AQ2338" s="136"/>
      <c r="AR2338" s="118">
        <v>1090000</v>
      </c>
      <c r="AS2338" s="119"/>
      <c r="AT2338" s="118">
        <f t="shared" ref="AT2338" si="701">AR2338*0.1</f>
        <v>109000</v>
      </c>
      <c r="AU2338" s="119"/>
      <c r="AV2338" s="118">
        <v>6850</v>
      </c>
      <c r="AW2338" s="119"/>
      <c r="AX2338" s="118">
        <f t="shared" ref="AX2338" si="702">SUM(AR2338:AW2338)</f>
        <v>1205850</v>
      </c>
      <c r="AY2338" s="119"/>
      <c r="AZ2338" s="137">
        <v>45986</v>
      </c>
    </row>
    <row r="2339" spans="1:52" ht="17.100000000000001" customHeight="1" thickBot="1">
      <c r="A2339" s="110"/>
      <c r="B2339" s="27" t="s">
        <v>1543</v>
      </c>
      <c r="C2339" s="27">
        <v>55215</v>
      </c>
      <c r="D2339" s="14" t="s">
        <v>1812</v>
      </c>
      <c r="E2339" s="112"/>
      <c r="F2339" s="139" t="s">
        <v>7676</v>
      </c>
      <c r="G2339" s="140"/>
      <c r="H2339" s="141"/>
      <c r="I2339" s="26">
        <v>45957</v>
      </c>
      <c r="J2339" s="117"/>
      <c r="K2339" s="120"/>
      <c r="L2339" s="121"/>
      <c r="M2339" s="120"/>
      <c r="N2339" s="121"/>
      <c r="O2339" s="120"/>
      <c r="P2339" s="121"/>
      <c r="Q2339" s="120"/>
      <c r="R2339" s="121"/>
      <c r="S2339" s="120"/>
      <c r="T2339" s="121"/>
      <c r="U2339" s="120"/>
      <c r="V2339" s="123"/>
      <c r="W2339" s="125"/>
      <c r="X2339" s="142" t="s">
        <v>8695</v>
      </c>
      <c r="Y2339" s="143"/>
      <c r="Z2339" s="143"/>
      <c r="AA2339" s="143"/>
      <c r="AB2339" s="144"/>
      <c r="AC2339" s="16" t="s">
        <v>21</v>
      </c>
      <c r="AD2339" s="17" t="s">
        <v>2171</v>
      </c>
      <c r="AE2339" s="145" t="s">
        <v>171</v>
      </c>
      <c r="AF2339" s="146"/>
      <c r="AG2339" s="146"/>
      <c r="AH2339" s="146"/>
      <c r="AI2339" s="147"/>
      <c r="AJ2339" s="148"/>
      <c r="AK2339" s="143"/>
      <c r="AL2339" s="144"/>
      <c r="AM2339" s="22"/>
      <c r="AN2339" s="149" t="s">
        <v>9053</v>
      </c>
      <c r="AO2339" s="144"/>
      <c r="AP2339" s="148">
        <v>2027</v>
      </c>
      <c r="AQ2339" s="144"/>
      <c r="AR2339" s="120"/>
      <c r="AS2339" s="121"/>
      <c r="AT2339" s="120"/>
      <c r="AU2339" s="121"/>
      <c r="AV2339" s="120"/>
      <c r="AW2339" s="121"/>
      <c r="AX2339" s="120"/>
      <c r="AY2339" s="121"/>
      <c r="AZ2339" s="138"/>
    </row>
    <row r="2340" spans="1:52" ht="17.100000000000001" customHeight="1" thickTop="1">
      <c r="A2340" s="109" t="s">
        <v>7866</v>
      </c>
      <c r="B2340" s="28">
        <v>45940</v>
      </c>
      <c r="C2340" s="25">
        <v>2105</v>
      </c>
      <c r="D2340" s="13" t="s">
        <v>2234</v>
      </c>
      <c r="E2340" s="111"/>
      <c r="F2340" s="113" t="s">
        <v>2993</v>
      </c>
      <c r="G2340" s="114"/>
      <c r="H2340" s="115"/>
      <c r="I2340" s="24" t="s">
        <v>1559</v>
      </c>
      <c r="J2340" s="116">
        <v>4</v>
      </c>
      <c r="K2340" s="118">
        <v>610000</v>
      </c>
      <c r="L2340" s="119"/>
      <c r="M2340" s="118">
        <f t="shared" ref="M2340" si="703">K2340*0.1</f>
        <v>61000</v>
      </c>
      <c r="N2340" s="119"/>
      <c r="O2340" s="118">
        <v>0</v>
      </c>
      <c r="P2340" s="119"/>
      <c r="Q2340" s="118">
        <v>8400</v>
      </c>
      <c r="R2340" s="119"/>
      <c r="S2340" s="118">
        <v>16500</v>
      </c>
      <c r="T2340" s="119"/>
      <c r="U2340" s="118">
        <f t="shared" ref="U2340" si="704">SUM(K2340:T2341)</f>
        <v>695900</v>
      </c>
      <c r="V2340" s="122"/>
      <c r="W2340" s="124"/>
      <c r="X2340" s="126" t="s">
        <v>7679</v>
      </c>
      <c r="Y2340" s="127"/>
      <c r="Z2340" s="127"/>
      <c r="AA2340" s="127"/>
      <c r="AB2340" s="128"/>
      <c r="AC2340" s="15" t="s">
        <v>20</v>
      </c>
      <c r="AD2340" s="129" t="s">
        <v>2385</v>
      </c>
      <c r="AE2340" s="130"/>
      <c r="AF2340" s="130"/>
      <c r="AG2340" s="130"/>
      <c r="AH2340" s="130"/>
      <c r="AI2340" s="131"/>
      <c r="AJ2340" s="132"/>
      <c r="AK2340" s="127"/>
      <c r="AL2340" s="128"/>
      <c r="AM2340" s="21" t="s">
        <v>10047</v>
      </c>
      <c r="AN2340" s="133">
        <v>45962</v>
      </c>
      <c r="AO2340" s="134"/>
      <c r="AP2340" s="135">
        <v>1274</v>
      </c>
      <c r="AQ2340" s="136"/>
      <c r="AR2340" s="118">
        <v>645000</v>
      </c>
      <c r="AS2340" s="119"/>
      <c r="AT2340" s="118">
        <f t="shared" ref="AT2340" si="705">AR2340*0.1</f>
        <v>64500</v>
      </c>
      <c r="AU2340" s="119"/>
      <c r="AV2340" s="118">
        <v>8400</v>
      </c>
      <c r="AW2340" s="119"/>
      <c r="AX2340" s="118">
        <f t="shared" ref="AX2340" si="706">SUM(AR2340:AW2340)</f>
        <v>717900</v>
      </c>
      <c r="AY2340" s="119"/>
      <c r="AZ2340" s="137">
        <v>45967</v>
      </c>
    </row>
    <row r="2341" spans="1:52" ht="17.100000000000001" customHeight="1" thickBot="1">
      <c r="A2341" s="110"/>
      <c r="B2341" s="27" t="s">
        <v>1543</v>
      </c>
      <c r="C2341" s="27">
        <v>55317</v>
      </c>
      <c r="D2341" s="14" t="s">
        <v>3855</v>
      </c>
      <c r="E2341" s="112"/>
      <c r="F2341" s="139" t="s">
        <v>7678</v>
      </c>
      <c r="G2341" s="140"/>
      <c r="H2341" s="141"/>
      <c r="I2341" s="26">
        <v>78407</v>
      </c>
      <c r="J2341" s="117"/>
      <c r="K2341" s="120"/>
      <c r="L2341" s="121"/>
      <c r="M2341" s="120"/>
      <c r="N2341" s="121"/>
      <c r="O2341" s="120"/>
      <c r="P2341" s="121"/>
      <c r="Q2341" s="120"/>
      <c r="R2341" s="121"/>
      <c r="S2341" s="120"/>
      <c r="T2341" s="121"/>
      <c r="U2341" s="120"/>
      <c r="V2341" s="123"/>
      <c r="W2341" s="125"/>
      <c r="X2341" s="142" t="s">
        <v>4723</v>
      </c>
      <c r="Y2341" s="143"/>
      <c r="Z2341" s="143"/>
      <c r="AA2341" s="143"/>
      <c r="AB2341" s="144"/>
      <c r="AC2341" s="16" t="s">
        <v>21</v>
      </c>
      <c r="AD2341" s="17" t="s">
        <v>1638</v>
      </c>
      <c r="AE2341" s="145" t="s">
        <v>1609</v>
      </c>
      <c r="AF2341" s="146"/>
      <c r="AG2341" s="146"/>
      <c r="AH2341" s="146"/>
      <c r="AI2341" s="147"/>
      <c r="AJ2341" s="148"/>
      <c r="AK2341" s="143"/>
      <c r="AL2341" s="144"/>
      <c r="AM2341" s="22"/>
      <c r="AN2341" s="149" t="s">
        <v>2511</v>
      </c>
      <c r="AO2341" s="144"/>
      <c r="AP2341" s="148">
        <v>60223</v>
      </c>
      <c r="AQ2341" s="144"/>
      <c r="AR2341" s="120"/>
      <c r="AS2341" s="121"/>
      <c r="AT2341" s="120"/>
      <c r="AU2341" s="121"/>
      <c r="AV2341" s="120"/>
      <c r="AW2341" s="121"/>
      <c r="AX2341" s="120"/>
      <c r="AY2341" s="121"/>
      <c r="AZ2341" s="138"/>
    </row>
    <row r="2342" spans="1:52" ht="17.100000000000001" customHeight="1" thickTop="1">
      <c r="A2342" s="109" t="s">
        <v>7867</v>
      </c>
      <c r="B2342" s="28">
        <v>45940</v>
      </c>
      <c r="C2342" s="25">
        <v>2105</v>
      </c>
      <c r="D2342" s="13" t="s">
        <v>2697</v>
      </c>
      <c r="E2342" s="111"/>
      <c r="F2342" s="113" t="s">
        <v>2598</v>
      </c>
      <c r="G2342" s="114"/>
      <c r="H2342" s="115"/>
      <c r="I2342" s="24" t="s">
        <v>4487</v>
      </c>
      <c r="J2342" s="116">
        <v>4.5</v>
      </c>
      <c r="K2342" s="118">
        <v>1605000</v>
      </c>
      <c r="L2342" s="119"/>
      <c r="M2342" s="118">
        <f t="shared" ref="M2342" si="707">K2342*0.1</f>
        <v>160500</v>
      </c>
      <c r="N2342" s="119"/>
      <c r="O2342" s="118">
        <v>0</v>
      </c>
      <c r="P2342" s="119"/>
      <c r="Q2342" s="118">
        <v>7150</v>
      </c>
      <c r="R2342" s="119"/>
      <c r="S2342" s="118">
        <v>16500</v>
      </c>
      <c r="T2342" s="119"/>
      <c r="U2342" s="118">
        <f t="shared" ref="U2342" si="708">SUM(K2342:T2343)</f>
        <v>1789150</v>
      </c>
      <c r="V2342" s="122"/>
      <c r="W2342" s="124"/>
      <c r="X2342" s="126" t="s">
        <v>7681</v>
      </c>
      <c r="Y2342" s="127"/>
      <c r="Z2342" s="127"/>
      <c r="AA2342" s="127"/>
      <c r="AB2342" s="128"/>
      <c r="AC2342" s="15" t="s">
        <v>20</v>
      </c>
      <c r="AD2342" s="129" t="s">
        <v>1732</v>
      </c>
      <c r="AE2342" s="130"/>
      <c r="AF2342" s="130"/>
      <c r="AG2342" s="130"/>
      <c r="AH2342" s="130"/>
      <c r="AI2342" s="131"/>
      <c r="AJ2342" s="132"/>
      <c r="AK2342" s="127"/>
      <c r="AL2342" s="128"/>
      <c r="AM2342" s="21" t="s">
        <v>11038</v>
      </c>
      <c r="AN2342" s="133">
        <v>46046</v>
      </c>
      <c r="AO2342" s="134"/>
      <c r="AP2342" s="135">
        <v>1285</v>
      </c>
      <c r="AQ2342" s="136"/>
      <c r="AR2342" s="118">
        <v>1610000</v>
      </c>
      <c r="AS2342" s="119"/>
      <c r="AT2342" s="118">
        <f t="shared" ref="AT2342" si="709">AR2342*0.1</f>
        <v>161000</v>
      </c>
      <c r="AU2342" s="119"/>
      <c r="AV2342" s="118">
        <v>7150</v>
      </c>
      <c r="AW2342" s="119"/>
      <c r="AX2342" s="118">
        <f t="shared" ref="AX2342" si="710">SUM(AR2342:AW2342)</f>
        <v>1778150</v>
      </c>
      <c r="AY2342" s="119"/>
      <c r="AZ2342" s="137">
        <v>46049</v>
      </c>
    </row>
    <row r="2343" spans="1:52" ht="17.100000000000001" customHeight="1" thickBot="1">
      <c r="A2343" s="110"/>
      <c r="B2343" s="27" t="s">
        <v>1543</v>
      </c>
      <c r="C2343" s="27">
        <v>55406</v>
      </c>
      <c r="D2343" s="14" t="s">
        <v>275</v>
      </c>
      <c r="E2343" s="112"/>
      <c r="F2343" s="139" t="s">
        <v>7680</v>
      </c>
      <c r="G2343" s="140"/>
      <c r="H2343" s="141"/>
      <c r="I2343" s="26">
        <v>5583</v>
      </c>
      <c r="J2343" s="117"/>
      <c r="K2343" s="120"/>
      <c r="L2343" s="121"/>
      <c r="M2343" s="120"/>
      <c r="N2343" s="121"/>
      <c r="O2343" s="120"/>
      <c r="P2343" s="121"/>
      <c r="Q2343" s="120"/>
      <c r="R2343" s="121"/>
      <c r="S2343" s="120"/>
      <c r="T2343" s="121"/>
      <c r="U2343" s="120"/>
      <c r="V2343" s="123"/>
      <c r="W2343" s="125"/>
      <c r="X2343" s="142" t="s">
        <v>8415</v>
      </c>
      <c r="Y2343" s="143"/>
      <c r="Z2343" s="143"/>
      <c r="AA2343" s="143"/>
      <c r="AB2343" s="144"/>
      <c r="AC2343" s="16" t="s">
        <v>21</v>
      </c>
      <c r="AD2343" s="17" t="s">
        <v>1638</v>
      </c>
      <c r="AE2343" s="145" t="s">
        <v>8416</v>
      </c>
      <c r="AF2343" s="146"/>
      <c r="AG2343" s="146"/>
      <c r="AH2343" s="146"/>
      <c r="AI2343" s="147"/>
      <c r="AJ2343" s="148"/>
      <c r="AK2343" s="143"/>
      <c r="AL2343" s="144"/>
      <c r="AM2343" s="22"/>
      <c r="AN2343" s="149" t="s">
        <v>2511</v>
      </c>
      <c r="AO2343" s="144"/>
      <c r="AP2343" s="148">
        <v>60051</v>
      </c>
      <c r="AQ2343" s="144"/>
      <c r="AR2343" s="120"/>
      <c r="AS2343" s="121"/>
      <c r="AT2343" s="120"/>
      <c r="AU2343" s="121"/>
      <c r="AV2343" s="120"/>
      <c r="AW2343" s="121"/>
      <c r="AX2343" s="120"/>
      <c r="AY2343" s="121"/>
      <c r="AZ2343" s="138"/>
    </row>
    <row r="2344" spans="1:52" ht="17.100000000000001" customHeight="1" thickTop="1">
      <c r="A2344" s="151" t="s">
        <v>7868</v>
      </c>
      <c r="B2344" s="28">
        <v>45940</v>
      </c>
      <c r="C2344" s="25">
        <v>2105</v>
      </c>
      <c r="D2344" s="13" t="s">
        <v>1845</v>
      </c>
      <c r="E2344" s="111"/>
      <c r="F2344" s="113" t="s">
        <v>4026</v>
      </c>
      <c r="G2344" s="114"/>
      <c r="H2344" s="115"/>
      <c r="I2344" s="24"/>
      <c r="J2344" s="116">
        <v>4.5</v>
      </c>
      <c r="K2344" s="118">
        <v>1035000</v>
      </c>
      <c r="L2344" s="119"/>
      <c r="M2344" s="118">
        <f t="shared" ref="M2344" si="711">K2344*0.1</f>
        <v>103500</v>
      </c>
      <c r="N2344" s="119"/>
      <c r="O2344" s="118">
        <v>0</v>
      </c>
      <c r="P2344" s="119"/>
      <c r="Q2344" s="118">
        <v>6830</v>
      </c>
      <c r="R2344" s="119"/>
      <c r="S2344" s="118">
        <v>16500</v>
      </c>
      <c r="T2344" s="119"/>
      <c r="U2344" s="118">
        <f t="shared" ref="U2344" si="712">SUM(K2344:T2345)</f>
        <v>1161830</v>
      </c>
      <c r="V2344" s="122"/>
      <c r="W2344" s="124"/>
      <c r="X2344" s="126" t="s">
        <v>8420</v>
      </c>
      <c r="Y2344" s="127"/>
      <c r="Z2344" s="127"/>
      <c r="AA2344" s="127"/>
      <c r="AB2344" s="128"/>
      <c r="AC2344" s="15" t="s">
        <v>20</v>
      </c>
      <c r="AD2344" s="129" t="s">
        <v>1565</v>
      </c>
      <c r="AE2344" s="130"/>
      <c r="AF2344" s="130"/>
      <c r="AG2344" s="130"/>
      <c r="AH2344" s="130"/>
      <c r="AI2344" s="131"/>
      <c r="AJ2344" s="132" t="s">
        <v>9476</v>
      </c>
      <c r="AK2344" s="127"/>
      <c r="AL2344" s="128"/>
      <c r="AM2344" s="21"/>
      <c r="AN2344" s="133"/>
      <c r="AO2344" s="134"/>
      <c r="AP2344" s="135"/>
      <c r="AQ2344" s="136"/>
      <c r="AR2344" s="118"/>
      <c r="AS2344" s="119"/>
      <c r="AT2344" s="118">
        <f t="shared" ref="AT2344" si="713">AR2344*0.1</f>
        <v>0</v>
      </c>
      <c r="AU2344" s="119"/>
      <c r="AV2344" s="118"/>
      <c r="AW2344" s="119"/>
      <c r="AX2344" s="118">
        <f t="shared" ref="AX2344" si="714">SUM(AR2344:AW2344)</f>
        <v>0</v>
      </c>
      <c r="AY2344" s="119"/>
      <c r="AZ2344" s="137"/>
    </row>
    <row r="2345" spans="1:52" ht="17.100000000000001" customHeight="1" thickBot="1">
      <c r="A2345" s="152"/>
      <c r="B2345" s="27" t="s">
        <v>1543</v>
      </c>
      <c r="C2345" s="27">
        <v>55451</v>
      </c>
      <c r="D2345" s="14" t="s">
        <v>2836</v>
      </c>
      <c r="E2345" s="112"/>
      <c r="F2345" s="139" t="s">
        <v>7682</v>
      </c>
      <c r="G2345" s="140"/>
      <c r="H2345" s="141"/>
      <c r="I2345" s="26">
        <v>28779</v>
      </c>
      <c r="J2345" s="117"/>
      <c r="K2345" s="120"/>
      <c r="L2345" s="121"/>
      <c r="M2345" s="120"/>
      <c r="N2345" s="121"/>
      <c r="O2345" s="120"/>
      <c r="P2345" s="121"/>
      <c r="Q2345" s="120"/>
      <c r="R2345" s="121"/>
      <c r="S2345" s="120"/>
      <c r="T2345" s="121"/>
      <c r="U2345" s="120"/>
      <c r="V2345" s="123"/>
      <c r="W2345" s="125"/>
      <c r="X2345" s="142" t="s">
        <v>8421</v>
      </c>
      <c r="Y2345" s="143"/>
      <c r="Z2345" s="143"/>
      <c r="AA2345" s="143"/>
      <c r="AB2345" s="144"/>
      <c r="AC2345" s="16" t="s">
        <v>21</v>
      </c>
      <c r="AD2345" s="17" t="s">
        <v>1638</v>
      </c>
      <c r="AE2345" s="145" t="s">
        <v>1609</v>
      </c>
      <c r="AF2345" s="146"/>
      <c r="AG2345" s="146"/>
      <c r="AH2345" s="146"/>
      <c r="AI2345" s="147"/>
      <c r="AJ2345" s="148"/>
      <c r="AK2345" s="143"/>
      <c r="AL2345" s="144"/>
      <c r="AM2345" s="22"/>
      <c r="AN2345" s="149"/>
      <c r="AO2345" s="144"/>
      <c r="AP2345" s="148"/>
      <c r="AQ2345" s="144"/>
      <c r="AR2345" s="120"/>
      <c r="AS2345" s="121"/>
      <c r="AT2345" s="120"/>
      <c r="AU2345" s="121"/>
      <c r="AV2345" s="120"/>
      <c r="AW2345" s="121"/>
      <c r="AX2345" s="120"/>
      <c r="AY2345" s="121"/>
      <c r="AZ2345" s="138"/>
    </row>
    <row r="2346" spans="1:52" ht="17.100000000000001" customHeight="1" thickTop="1">
      <c r="A2346" s="109" t="s">
        <v>7869</v>
      </c>
      <c r="B2346" s="28">
        <v>45940</v>
      </c>
      <c r="C2346" s="25">
        <v>2105</v>
      </c>
      <c r="D2346" s="13" t="s">
        <v>2329</v>
      </c>
      <c r="E2346" s="111"/>
      <c r="F2346" s="113" t="s">
        <v>7683</v>
      </c>
      <c r="G2346" s="114"/>
      <c r="H2346" s="115"/>
      <c r="I2346" s="24" t="s">
        <v>1547</v>
      </c>
      <c r="J2346" s="116">
        <v>4.5</v>
      </c>
      <c r="K2346" s="118">
        <v>1145000</v>
      </c>
      <c r="L2346" s="119"/>
      <c r="M2346" s="118">
        <f t="shared" ref="M2346" si="715">K2346*0.1</f>
        <v>114500</v>
      </c>
      <c r="N2346" s="119"/>
      <c r="O2346" s="118">
        <v>0</v>
      </c>
      <c r="P2346" s="119"/>
      <c r="Q2346" s="118">
        <v>9310</v>
      </c>
      <c r="R2346" s="119"/>
      <c r="S2346" s="118">
        <v>16500</v>
      </c>
      <c r="T2346" s="119"/>
      <c r="U2346" s="118">
        <f t="shared" ref="U2346" si="716">SUM(K2346:T2347)</f>
        <v>1285310</v>
      </c>
      <c r="V2346" s="122"/>
      <c r="W2346" s="124"/>
      <c r="X2346" s="126" t="s">
        <v>8382</v>
      </c>
      <c r="Y2346" s="127"/>
      <c r="Z2346" s="127"/>
      <c r="AA2346" s="127"/>
      <c r="AB2346" s="128"/>
      <c r="AC2346" s="15" t="s">
        <v>20</v>
      </c>
      <c r="AD2346" s="129" t="s">
        <v>8422</v>
      </c>
      <c r="AE2346" s="130"/>
      <c r="AF2346" s="130"/>
      <c r="AG2346" s="130"/>
      <c r="AH2346" s="130"/>
      <c r="AI2346" s="131"/>
      <c r="AJ2346" s="132"/>
      <c r="AK2346" s="127"/>
      <c r="AL2346" s="128"/>
      <c r="AM2346" s="21"/>
      <c r="AN2346" s="133">
        <v>45944</v>
      </c>
      <c r="AO2346" s="134"/>
      <c r="AP2346" s="135">
        <v>1913</v>
      </c>
      <c r="AQ2346" s="136"/>
      <c r="AR2346" s="118">
        <v>1183000</v>
      </c>
      <c r="AS2346" s="119"/>
      <c r="AT2346" s="118">
        <v>118300</v>
      </c>
      <c r="AU2346" s="119"/>
      <c r="AV2346" s="118">
        <v>9310</v>
      </c>
      <c r="AW2346" s="119"/>
      <c r="AX2346" s="118">
        <f t="shared" ref="AX2346" si="717">SUM(AR2346:AW2346)</f>
        <v>1310610</v>
      </c>
      <c r="AY2346" s="119"/>
      <c r="AZ2346" s="137">
        <v>45950</v>
      </c>
    </row>
    <row r="2347" spans="1:52" ht="17.100000000000001" customHeight="1" thickBot="1">
      <c r="A2347" s="110"/>
      <c r="B2347" s="27" t="s">
        <v>1543</v>
      </c>
      <c r="C2347" s="27">
        <v>55461</v>
      </c>
      <c r="D2347" s="14" t="s">
        <v>2040</v>
      </c>
      <c r="E2347" s="112"/>
      <c r="F2347" s="139" t="s">
        <v>7684</v>
      </c>
      <c r="G2347" s="140"/>
      <c r="H2347" s="141"/>
      <c r="I2347" s="26">
        <v>38542</v>
      </c>
      <c r="J2347" s="117"/>
      <c r="K2347" s="120"/>
      <c r="L2347" s="121"/>
      <c r="M2347" s="120"/>
      <c r="N2347" s="121"/>
      <c r="O2347" s="120"/>
      <c r="P2347" s="121"/>
      <c r="Q2347" s="120"/>
      <c r="R2347" s="121"/>
      <c r="S2347" s="120"/>
      <c r="T2347" s="121"/>
      <c r="U2347" s="120"/>
      <c r="V2347" s="123"/>
      <c r="W2347" s="125"/>
      <c r="X2347" s="142" t="s">
        <v>8383</v>
      </c>
      <c r="Y2347" s="143"/>
      <c r="Z2347" s="143"/>
      <c r="AA2347" s="143"/>
      <c r="AB2347" s="144"/>
      <c r="AC2347" s="16" t="s">
        <v>21</v>
      </c>
      <c r="AD2347" s="17" t="s">
        <v>1638</v>
      </c>
      <c r="AE2347" s="145" t="s">
        <v>8384</v>
      </c>
      <c r="AF2347" s="146"/>
      <c r="AG2347" s="146"/>
      <c r="AH2347" s="146"/>
      <c r="AI2347" s="147"/>
      <c r="AJ2347" s="148"/>
      <c r="AK2347" s="143"/>
      <c r="AL2347" s="144"/>
      <c r="AM2347" s="22"/>
      <c r="AN2347" s="149" t="s">
        <v>2131</v>
      </c>
      <c r="AO2347" s="144"/>
      <c r="AP2347" s="148">
        <v>3537</v>
      </c>
      <c r="AQ2347" s="144"/>
      <c r="AR2347" s="120"/>
      <c r="AS2347" s="121"/>
      <c r="AT2347" s="120"/>
      <c r="AU2347" s="121"/>
      <c r="AV2347" s="120"/>
      <c r="AW2347" s="121"/>
      <c r="AX2347" s="120"/>
      <c r="AY2347" s="121"/>
      <c r="AZ2347" s="138"/>
    </row>
    <row r="2348" spans="1:52" ht="17.100000000000001" customHeight="1" thickTop="1">
      <c r="A2348" s="109" t="s">
        <v>7870</v>
      </c>
      <c r="B2348" s="28">
        <v>45940</v>
      </c>
      <c r="C2348" s="25">
        <v>2105</v>
      </c>
      <c r="D2348" s="13" t="s">
        <v>3440</v>
      </c>
      <c r="E2348" s="111"/>
      <c r="F2348" s="113" t="s">
        <v>2598</v>
      </c>
      <c r="G2348" s="114"/>
      <c r="H2348" s="115"/>
      <c r="I2348" s="24" t="s">
        <v>7686</v>
      </c>
      <c r="J2348" s="116">
        <v>4</v>
      </c>
      <c r="K2348" s="118">
        <v>425000</v>
      </c>
      <c r="L2348" s="119"/>
      <c r="M2348" s="118">
        <f t="shared" ref="M2348" si="718">K2348*0.1</f>
        <v>42500</v>
      </c>
      <c r="N2348" s="119"/>
      <c r="O2348" s="118">
        <v>0</v>
      </c>
      <c r="P2348" s="119"/>
      <c r="Q2348" s="118">
        <v>10010</v>
      </c>
      <c r="R2348" s="119"/>
      <c r="S2348" s="118">
        <v>16500</v>
      </c>
      <c r="T2348" s="119"/>
      <c r="U2348" s="118">
        <f t="shared" ref="U2348" si="719">SUM(K2348:T2349)</f>
        <v>494010</v>
      </c>
      <c r="V2348" s="122"/>
      <c r="W2348" s="124"/>
      <c r="X2348" s="126" t="s">
        <v>7687</v>
      </c>
      <c r="Y2348" s="127"/>
      <c r="Z2348" s="127"/>
      <c r="AA2348" s="127"/>
      <c r="AB2348" s="128"/>
      <c r="AC2348" s="15" t="s">
        <v>20</v>
      </c>
      <c r="AD2348" s="129"/>
      <c r="AE2348" s="130"/>
      <c r="AF2348" s="130"/>
      <c r="AG2348" s="130"/>
      <c r="AH2348" s="130"/>
      <c r="AI2348" s="131"/>
      <c r="AJ2348" s="132"/>
      <c r="AK2348" s="127"/>
      <c r="AL2348" s="128"/>
      <c r="AM2348" s="21"/>
      <c r="AN2348" s="133">
        <v>46078</v>
      </c>
      <c r="AO2348" s="134"/>
      <c r="AP2348" s="135">
        <v>1006</v>
      </c>
      <c r="AQ2348" s="136"/>
      <c r="AR2348" s="118">
        <v>440000</v>
      </c>
      <c r="AS2348" s="119"/>
      <c r="AT2348" s="118">
        <f t="shared" ref="AT2348" si="720">AR2348*0.1</f>
        <v>44000</v>
      </c>
      <c r="AU2348" s="119"/>
      <c r="AV2348" s="118">
        <v>10010</v>
      </c>
      <c r="AW2348" s="119"/>
      <c r="AX2348" s="118">
        <f t="shared" ref="AX2348" si="721">SUM(AR2348:AW2348)</f>
        <v>494010</v>
      </c>
      <c r="AY2348" s="119"/>
      <c r="AZ2348" s="137">
        <v>46083</v>
      </c>
    </row>
    <row r="2349" spans="1:52" ht="17.100000000000001" customHeight="1" thickBot="1">
      <c r="A2349" s="110"/>
      <c r="B2349" s="27" t="s">
        <v>1543</v>
      </c>
      <c r="C2349" s="27">
        <v>55571</v>
      </c>
      <c r="D2349" s="14" t="s">
        <v>1720</v>
      </c>
      <c r="E2349" s="112"/>
      <c r="F2349" s="139" t="s">
        <v>7685</v>
      </c>
      <c r="G2349" s="140"/>
      <c r="H2349" s="141"/>
      <c r="I2349" s="26">
        <v>59838</v>
      </c>
      <c r="J2349" s="117"/>
      <c r="K2349" s="120"/>
      <c r="L2349" s="121"/>
      <c r="M2349" s="120"/>
      <c r="N2349" s="121"/>
      <c r="O2349" s="120"/>
      <c r="P2349" s="121"/>
      <c r="Q2349" s="120"/>
      <c r="R2349" s="121"/>
      <c r="S2349" s="120"/>
      <c r="T2349" s="121"/>
      <c r="U2349" s="120"/>
      <c r="V2349" s="123"/>
      <c r="W2349" s="125"/>
      <c r="X2349" s="142" t="s">
        <v>8423</v>
      </c>
      <c r="Y2349" s="143"/>
      <c r="Z2349" s="143"/>
      <c r="AA2349" s="143"/>
      <c r="AB2349" s="144"/>
      <c r="AC2349" s="16" t="s">
        <v>21</v>
      </c>
      <c r="AD2349" s="17" t="s">
        <v>1638</v>
      </c>
      <c r="AE2349" s="145" t="s">
        <v>7860</v>
      </c>
      <c r="AF2349" s="146"/>
      <c r="AG2349" s="146"/>
      <c r="AH2349" s="146"/>
      <c r="AI2349" s="147"/>
      <c r="AJ2349" s="148"/>
      <c r="AK2349" s="143"/>
      <c r="AL2349" s="144"/>
      <c r="AM2349" s="22"/>
      <c r="AN2349" s="149" t="s">
        <v>9053</v>
      </c>
      <c r="AO2349" s="144"/>
      <c r="AP2349" s="148">
        <v>2033</v>
      </c>
      <c r="AQ2349" s="144"/>
      <c r="AR2349" s="120"/>
      <c r="AS2349" s="121"/>
      <c r="AT2349" s="120"/>
      <c r="AU2349" s="121"/>
      <c r="AV2349" s="120"/>
      <c r="AW2349" s="121"/>
      <c r="AX2349" s="120"/>
      <c r="AY2349" s="121"/>
      <c r="AZ2349" s="138"/>
    </row>
    <row r="2350" spans="1:52" ht="17.100000000000001" customHeight="1" thickTop="1">
      <c r="A2350" s="109" t="s">
        <v>7871</v>
      </c>
      <c r="B2350" s="28">
        <v>45940</v>
      </c>
      <c r="C2350" s="25">
        <v>2105</v>
      </c>
      <c r="D2350" s="13" t="s">
        <v>2226</v>
      </c>
      <c r="E2350" s="111"/>
      <c r="F2350" s="113" t="s">
        <v>7688</v>
      </c>
      <c r="G2350" s="114"/>
      <c r="H2350" s="115"/>
      <c r="I2350" s="24" t="s">
        <v>2919</v>
      </c>
      <c r="J2350" s="116">
        <v>6</v>
      </c>
      <c r="K2350" s="118">
        <v>1255000</v>
      </c>
      <c r="L2350" s="119"/>
      <c r="M2350" s="118">
        <f t="shared" ref="M2350" si="722">K2350*0.1</f>
        <v>125500</v>
      </c>
      <c r="N2350" s="119"/>
      <c r="O2350" s="118">
        <v>0</v>
      </c>
      <c r="P2350" s="119"/>
      <c r="Q2350" s="118">
        <v>8200</v>
      </c>
      <c r="R2350" s="119"/>
      <c r="S2350" s="118">
        <v>16500</v>
      </c>
      <c r="T2350" s="119"/>
      <c r="U2350" s="118">
        <f t="shared" ref="U2350" si="723">SUM(K2350:T2351)</f>
        <v>1405200</v>
      </c>
      <c r="V2350" s="122"/>
      <c r="W2350" s="124"/>
      <c r="X2350" s="126" t="s">
        <v>7690</v>
      </c>
      <c r="Y2350" s="127"/>
      <c r="Z2350" s="127"/>
      <c r="AA2350" s="127"/>
      <c r="AB2350" s="128"/>
      <c r="AC2350" s="15" t="s">
        <v>20</v>
      </c>
      <c r="AD2350" s="129" t="s">
        <v>1670</v>
      </c>
      <c r="AE2350" s="130"/>
      <c r="AF2350" s="130"/>
      <c r="AG2350" s="130"/>
      <c r="AH2350" s="130"/>
      <c r="AI2350" s="131"/>
      <c r="AJ2350" s="132"/>
      <c r="AK2350" s="127"/>
      <c r="AL2350" s="128"/>
      <c r="AM2350" s="21"/>
      <c r="AN2350" s="133">
        <v>45951</v>
      </c>
      <c r="AO2350" s="134"/>
      <c r="AP2350" s="135">
        <v>1914</v>
      </c>
      <c r="AQ2350" s="136"/>
      <c r="AR2350" s="118">
        <v>1279000</v>
      </c>
      <c r="AS2350" s="119"/>
      <c r="AT2350" s="118">
        <f t="shared" ref="AT2350" si="724">AR2350*0.1</f>
        <v>127900</v>
      </c>
      <c r="AU2350" s="119"/>
      <c r="AV2350" s="118">
        <v>8200</v>
      </c>
      <c r="AW2350" s="119"/>
      <c r="AX2350" s="118">
        <f t="shared" ref="AX2350" si="725">SUM(AR2350:AW2350)</f>
        <v>1415100</v>
      </c>
      <c r="AY2350" s="119"/>
      <c r="AZ2350" s="137">
        <v>45957</v>
      </c>
    </row>
    <row r="2351" spans="1:52" ht="17.100000000000001" customHeight="1" thickBot="1">
      <c r="A2351" s="110"/>
      <c r="B2351" s="27" t="s">
        <v>1543</v>
      </c>
      <c r="C2351" s="27">
        <v>55574</v>
      </c>
      <c r="D2351" s="14" t="s">
        <v>2601</v>
      </c>
      <c r="E2351" s="112"/>
      <c r="F2351" s="139" t="s">
        <v>7689</v>
      </c>
      <c r="G2351" s="140"/>
      <c r="H2351" s="141"/>
      <c r="I2351" s="26">
        <v>5</v>
      </c>
      <c r="J2351" s="117"/>
      <c r="K2351" s="120"/>
      <c r="L2351" s="121"/>
      <c r="M2351" s="120"/>
      <c r="N2351" s="121"/>
      <c r="O2351" s="120"/>
      <c r="P2351" s="121"/>
      <c r="Q2351" s="120"/>
      <c r="R2351" s="121"/>
      <c r="S2351" s="120"/>
      <c r="T2351" s="121"/>
      <c r="U2351" s="120"/>
      <c r="V2351" s="123"/>
      <c r="W2351" s="125"/>
      <c r="X2351" s="142" t="s">
        <v>8694</v>
      </c>
      <c r="Y2351" s="143"/>
      <c r="Z2351" s="143"/>
      <c r="AA2351" s="143"/>
      <c r="AB2351" s="144"/>
      <c r="AC2351" s="16" t="s">
        <v>21</v>
      </c>
      <c r="AD2351" s="17" t="s">
        <v>2171</v>
      </c>
      <c r="AE2351" s="145" t="s">
        <v>171</v>
      </c>
      <c r="AF2351" s="146"/>
      <c r="AG2351" s="146"/>
      <c r="AH2351" s="146"/>
      <c r="AI2351" s="147"/>
      <c r="AJ2351" s="148"/>
      <c r="AK2351" s="143"/>
      <c r="AL2351" s="144"/>
      <c r="AM2351" s="22"/>
      <c r="AN2351" s="149" t="s">
        <v>2131</v>
      </c>
      <c r="AO2351" s="144"/>
      <c r="AP2351" s="148">
        <v>3109</v>
      </c>
      <c r="AQ2351" s="144"/>
      <c r="AR2351" s="120"/>
      <c r="AS2351" s="121"/>
      <c r="AT2351" s="120"/>
      <c r="AU2351" s="121"/>
      <c r="AV2351" s="120"/>
      <c r="AW2351" s="121"/>
      <c r="AX2351" s="120"/>
      <c r="AY2351" s="121"/>
      <c r="AZ2351" s="138"/>
    </row>
    <row r="2352" spans="1:52" ht="17.100000000000001" customHeight="1" thickTop="1">
      <c r="A2352" s="109" t="s">
        <v>7872</v>
      </c>
      <c r="B2352" s="28">
        <v>45940</v>
      </c>
      <c r="C2352" s="25">
        <v>2105</v>
      </c>
      <c r="D2352" s="13" t="s">
        <v>1986</v>
      </c>
      <c r="E2352" s="111"/>
      <c r="F2352" s="113" t="s">
        <v>4414</v>
      </c>
      <c r="G2352" s="114"/>
      <c r="H2352" s="115"/>
      <c r="I2352" s="24" t="s">
        <v>4684</v>
      </c>
      <c r="J2352" s="116">
        <v>4.5</v>
      </c>
      <c r="K2352" s="118">
        <v>1170000</v>
      </c>
      <c r="L2352" s="119"/>
      <c r="M2352" s="118">
        <f t="shared" ref="M2352" si="726">K2352*0.1</f>
        <v>117000</v>
      </c>
      <c r="N2352" s="119"/>
      <c r="O2352" s="118">
        <v>0</v>
      </c>
      <c r="P2352" s="119"/>
      <c r="Q2352" s="118">
        <v>6830</v>
      </c>
      <c r="R2352" s="119"/>
      <c r="S2352" s="118">
        <v>16500</v>
      </c>
      <c r="T2352" s="119"/>
      <c r="U2352" s="118">
        <f t="shared" ref="U2352" si="727">SUM(K2352:T2353)</f>
        <v>1310330</v>
      </c>
      <c r="V2352" s="122"/>
      <c r="W2352" s="124"/>
      <c r="X2352" s="126" t="s">
        <v>7692</v>
      </c>
      <c r="Y2352" s="127"/>
      <c r="Z2352" s="127"/>
      <c r="AA2352" s="127"/>
      <c r="AB2352" s="128"/>
      <c r="AC2352" s="15" t="s">
        <v>20</v>
      </c>
      <c r="AD2352" s="129" t="s">
        <v>1732</v>
      </c>
      <c r="AE2352" s="130"/>
      <c r="AF2352" s="130"/>
      <c r="AG2352" s="130"/>
      <c r="AH2352" s="130"/>
      <c r="AI2352" s="131"/>
      <c r="AJ2352" s="132"/>
      <c r="AK2352" s="127"/>
      <c r="AL2352" s="128"/>
      <c r="AM2352" s="21"/>
      <c r="AN2352" s="133">
        <v>45944</v>
      </c>
      <c r="AO2352" s="134"/>
      <c r="AP2352" s="135">
        <v>1913</v>
      </c>
      <c r="AQ2352" s="136"/>
      <c r="AR2352" s="118">
        <v>1262000</v>
      </c>
      <c r="AS2352" s="119"/>
      <c r="AT2352" s="118">
        <v>126200</v>
      </c>
      <c r="AU2352" s="119"/>
      <c r="AV2352" s="118">
        <v>6830</v>
      </c>
      <c r="AW2352" s="119"/>
      <c r="AX2352" s="118">
        <f t="shared" ref="AX2352" si="728">SUM(AR2352:AW2352)</f>
        <v>1395030</v>
      </c>
      <c r="AY2352" s="119"/>
      <c r="AZ2352" s="137">
        <v>45950</v>
      </c>
    </row>
    <row r="2353" spans="1:52" ht="17.100000000000001" customHeight="1" thickBot="1">
      <c r="A2353" s="110"/>
      <c r="B2353" s="27" t="s">
        <v>1543</v>
      </c>
      <c r="C2353" s="27">
        <v>55580</v>
      </c>
      <c r="D2353" s="14" t="s">
        <v>3793</v>
      </c>
      <c r="E2353" s="112"/>
      <c r="F2353" s="139" t="s">
        <v>7691</v>
      </c>
      <c r="G2353" s="140"/>
      <c r="H2353" s="141"/>
      <c r="I2353" s="26">
        <v>35406</v>
      </c>
      <c r="J2353" s="117"/>
      <c r="K2353" s="120"/>
      <c r="L2353" s="121"/>
      <c r="M2353" s="120"/>
      <c r="N2353" s="121"/>
      <c r="O2353" s="120"/>
      <c r="P2353" s="121"/>
      <c r="Q2353" s="120"/>
      <c r="R2353" s="121"/>
      <c r="S2353" s="120"/>
      <c r="T2353" s="121"/>
      <c r="U2353" s="120"/>
      <c r="V2353" s="123"/>
      <c r="W2353" s="125"/>
      <c r="X2353" s="142" t="s">
        <v>8385</v>
      </c>
      <c r="Y2353" s="143"/>
      <c r="Z2353" s="143"/>
      <c r="AA2353" s="143"/>
      <c r="AB2353" s="144"/>
      <c r="AC2353" s="16" t="s">
        <v>21</v>
      </c>
      <c r="AD2353" s="17" t="s">
        <v>1638</v>
      </c>
      <c r="AE2353" s="145" t="s">
        <v>8386</v>
      </c>
      <c r="AF2353" s="146"/>
      <c r="AG2353" s="146"/>
      <c r="AH2353" s="146"/>
      <c r="AI2353" s="147"/>
      <c r="AJ2353" s="148"/>
      <c r="AK2353" s="143"/>
      <c r="AL2353" s="144"/>
      <c r="AM2353" s="22"/>
      <c r="AN2353" s="149" t="s">
        <v>2131</v>
      </c>
      <c r="AO2353" s="144"/>
      <c r="AP2353" s="148">
        <v>3541</v>
      </c>
      <c r="AQ2353" s="144"/>
      <c r="AR2353" s="120"/>
      <c r="AS2353" s="121"/>
      <c r="AT2353" s="120"/>
      <c r="AU2353" s="121"/>
      <c r="AV2353" s="120"/>
      <c r="AW2353" s="121"/>
      <c r="AX2353" s="120"/>
      <c r="AY2353" s="121"/>
      <c r="AZ2353" s="138"/>
    </row>
    <row r="2354" spans="1:52" ht="17.100000000000001" customHeight="1" thickTop="1">
      <c r="A2354" s="109" t="s">
        <v>7873</v>
      </c>
      <c r="B2354" s="28">
        <v>45940</v>
      </c>
      <c r="C2354" s="25">
        <v>2105</v>
      </c>
      <c r="D2354" s="13" t="s">
        <v>1695</v>
      </c>
      <c r="E2354" s="111"/>
      <c r="F2354" s="113" t="s">
        <v>1938</v>
      </c>
      <c r="G2354" s="114"/>
      <c r="H2354" s="115"/>
      <c r="I2354" s="24" t="s">
        <v>7694</v>
      </c>
      <c r="J2354" s="116">
        <v>4.5</v>
      </c>
      <c r="K2354" s="118">
        <v>510000</v>
      </c>
      <c r="L2354" s="119"/>
      <c r="M2354" s="118">
        <f t="shared" ref="M2354" si="729">K2354*0.1</f>
        <v>51000</v>
      </c>
      <c r="N2354" s="119"/>
      <c r="O2354" s="118">
        <f>14300+1430</f>
        <v>15730</v>
      </c>
      <c r="P2354" s="119"/>
      <c r="Q2354" s="118">
        <v>17700</v>
      </c>
      <c r="R2354" s="119"/>
      <c r="S2354" s="118">
        <v>16500</v>
      </c>
      <c r="T2354" s="119"/>
      <c r="U2354" s="118">
        <f t="shared" ref="U2354" si="730">SUM(K2354:T2355)</f>
        <v>610930</v>
      </c>
      <c r="V2354" s="122"/>
      <c r="W2354" s="124"/>
      <c r="X2354" s="126" t="s">
        <v>7695</v>
      </c>
      <c r="Y2354" s="127"/>
      <c r="Z2354" s="127"/>
      <c r="AA2354" s="127"/>
      <c r="AB2354" s="128"/>
      <c r="AC2354" s="15" t="s">
        <v>20</v>
      </c>
      <c r="AD2354" s="129" t="s">
        <v>3178</v>
      </c>
      <c r="AE2354" s="130"/>
      <c r="AF2354" s="130"/>
      <c r="AG2354" s="130"/>
      <c r="AH2354" s="130"/>
      <c r="AI2354" s="131"/>
      <c r="AJ2354" s="132"/>
      <c r="AK2354" s="127"/>
      <c r="AL2354" s="128"/>
      <c r="AM2354" s="21"/>
      <c r="AN2354" s="133">
        <v>45946</v>
      </c>
      <c r="AO2354" s="134"/>
      <c r="AP2354" s="135">
        <v>1302</v>
      </c>
      <c r="AQ2354" s="136"/>
      <c r="AR2354" s="118">
        <v>660000</v>
      </c>
      <c r="AS2354" s="119"/>
      <c r="AT2354" s="118">
        <v>66000</v>
      </c>
      <c r="AU2354" s="119"/>
      <c r="AV2354" s="118">
        <v>17700</v>
      </c>
      <c r="AW2354" s="119"/>
      <c r="AX2354" s="118">
        <f t="shared" ref="AX2354" si="731">SUM(AR2354:AW2354)</f>
        <v>743700</v>
      </c>
      <c r="AY2354" s="119"/>
      <c r="AZ2354" s="137">
        <v>45947</v>
      </c>
    </row>
    <row r="2355" spans="1:52" ht="17.100000000000001" customHeight="1" thickBot="1">
      <c r="A2355" s="110"/>
      <c r="B2355" s="27" t="s">
        <v>1543</v>
      </c>
      <c r="C2355" s="27">
        <v>58020</v>
      </c>
      <c r="D2355" s="14" t="s">
        <v>2836</v>
      </c>
      <c r="E2355" s="112"/>
      <c r="F2355" s="139" t="s">
        <v>7693</v>
      </c>
      <c r="G2355" s="140"/>
      <c r="H2355" s="141"/>
      <c r="I2355" s="26">
        <v>48327</v>
      </c>
      <c r="J2355" s="117"/>
      <c r="K2355" s="120"/>
      <c r="L2355" s="121"/>
      <c r="M2355" s="120"/>
      <c r="N2355" s="121"/>
      <c r="O2355" s="120"/>
      <c r="P2355" s="121"/>
      <c r="Q2355" s="120"/>
      <c r="R2355" s="121"/>
      <c r="S2355" s="120"/>
      <c r="T2355" s="121"/>
      <c r="U2355" s="120"/>
      <c r="V2355" s="123"/>
      <c r="W2355" s="125"/>
      <c r="X2355" s="142" t="s">
        <v>7906</v>
      </c>
      <c r="Y2355" s="143"/>
      <c r="Z2355" s="143"/>
      <c r="AA2355" s="143"/>
      <c r="AB2355" s="144"/>
      <c r="AC2355" s="16" t="s">
        <v>21</v>
      </c>
      <c r="AD2355" s="17" t="s">
        <v>1638</v>
      </c>
      <c r="AE2355" s="145" t="s">
        <v>1742</v>
      </c>
      <c r="AF2355" s="146"/>
      <c r="AG2355" s="146"/>
      <c r="AH2355" s="146"/>
      <c r="AI2355" s="147"/>
      <c r="AJ2355" s="148"/>
      <c r="AK2355" s="143"/>
      <c r="AL2355" s="144"/>
      <c r="AM2355" s="22"/>
      <c r="AN2355" s="149" t="s">
        <v>1747</v>
      </c>
      <c r="AO2355" s="144"/>
      <c r="AP2355" s="148">
        <v>569</v>
      </c>
      <c r="AQ2355" s="144"/>
      <c r="AR2355" s="120"/>
      <c r="AS2355" s="121"/>
      <c r="AT2355" s="120"/>
      <c r="AU2355" s="121"/>
      <c r="AV2355" s="120"/>
      <c r="AW2355" s="121"/>
      <c r="AX2355" s="120"/>
      <c r="AY2355" s="121"/>
      <c r="AZ2355" s="138"/>
    </row>
    <row r="2356" spans="1:52" ht="17.100000000000001" customHeight="1" thickTop="1">
      <c r="A2356" s="109" t="s">
        <v>7874</v>
      </c>
      <c r="B2356" s="28">
        <v>45940</v>
      </c>
      <c r="C2356" s="25">
        <v>2105</v>
      </c>
      <c r="D2356" s="13" t="s">
        <v>1845</v>
      </c>
      <c r="E2356" s="111"/>
      <c r="F2356" s="113" t="s">
        <v>7878</v>
      </c>
      <c r="G2356" s="114"/>
      <c r="H2356" s="115"/>
      <c r="I2356" s="24" t="s">
        <v>4390</v>
      </c>
      <c r="J2356" s="116">
        <v>4.5</v>
      </c>
      <c r="K2356" s="118">
        <v>2080000</v>
      </c>
      <c r="L2356" s="119"/>
      <c r="M2356" s="118">
        <f t="shared" ref="M2356" si="732">K2356*0.1</f>
        <v>208000</v>
      </c>
      <c r="N2356" s="119"/>
      <c r="O2356" s="118">
        <f>15000+1500</f>
        <v>16500</v>
      </c>
      <c r="P2356" s="119"/>
      <c r="Q2356" s="118">
        <v>20440</v>
      </c>
      <c r="R2356" s="119"/>
      <c r="S2356" s="118">
        <v>16500</v>
      </c>
      <c r="T2356" s="119"/>
      <c r="U2356" s="118">
        <f t="shared" ref="U2356" si="733">SUM(K2356:T2357)</f>
        <v>2341440</v>
      </c>
      <c r="V2356" s="122"/>
      <c r="W2356" s="124"/>
      <c r="X2356" s="126" t="s">
        <v>7880</v>
      </c>
      <c r="Y2356" s="127"/>
      <c r="Z2356" s="127"/>
      <c r="AA2356" s="127"/>
      <c r="AB2356" s="128"/>
      <c r="AC2356" s="15" t="s">
        <v>20</v>
      </c>
      <c r="AD2356" s="129" t="s">
        <v>8388</v>
      </c>
      <c r="AE2356" s="130"/>
      <c r="AF2356" s="130"/>
      <c r="AG2356" s="130"/>
      <c r="AH2356" s="130"/>
      <c r="AI2356" s="131"/>
      <c r="AJ2356" s="132"/>
      <c r="AK2356" s="127"/>
      <c r="AL2356" s="128"/>
      <c r="AM2356" s="21"/>
      <c r="AN2356" s="133">
        <v>45962</v>
      </c>
      <c r="AO2356" s="134"/>
      <c r="AP2356" s="135">
        <v>1274</v>
      </c>
      <c r="AQ2356" s="136"/>
      <c r="AR2356" s="118">
        <v>2400000</v>
      </c>
      <c r="AS2356" s="119"/>
      <c r="AT2356" s="118">
        <f t="shared" ref="AT2356" si="734">AR2356*0.1</f>
        <v>240000</v>
      </c>
      <c r="AU2356" s="119"/>
      <c r="AV2356" s="118">
        <v>20440</v>
      </c>
      <c r="AW2356" s="119"/>
      <c r="AX2356" s="118">
        <f t="shared" ref="AX2356" si="735">SUM(AR2356:AW2356)</f>
        <v>2660440</v>
      </c>
      <c r="AY2356" s="119"/>
      <c r="AZ2356" s="137">
        <v>45971</v>
      </c>
    </row>
    <row r="2357" spans="1:52" ht="17.100000000000001" customHeight="1" thickBot="1">
      <c r="A2357" s="110"/>
      <c r="B2357" s="27" t="s">
        <v>1543</v>
      </c>
      <c r="C2357" s="27">
        <v>58605</v>
      </c>
      <c r="D2357" s="14" t="s">
        <v>1720</v>
      </c>
      <c r="E2357" s="112"/>
      <c r="F2357" s="139" t="s">
        <v>7879</v>
      </c>
      <c r="G2357" s="140"/>
      <c r="H2357" s="141"/>
      <c r="I2357" s="26">
        <v>47725</v>
      </c>
      <c r="J2357" s="117"/>
      <c r="K2357" s="120"/>
      <c r="L2357" s="121"/>
      <c r="M2357" s="120"/>
      <c r="N2357" s="121"/>
      <c r="O2357" s="120"/>
      <c r="P2357" s="121"/>
      <c r="Q2357" s="120"/>
      <c r="R2357" s="121"/>
      <c r="S2357" s="120"/>
      <c r="T2357" s="121"/>
      <c r="U2357" s="120"/>
      <c r="V2357" s="123"/>
      <c r="W2357" s="125"/>
      <c r="X2357" s="142" t="s">
        <v>8392</v>
      </c>
      <c r="Y2357" s="143"/>
      <c r="Z2357" s="143"/>
      <c r="AA2357" s="143"/>
      <c r="AB2357" s="144"/>
      <c r="AC2357" s="16" t="s">
        <v>21</v>
      </c>
      <c r="AD2357" s="17" t="s">
        <v>1638</v>
      </c>
      <c r="AE2357" s="145" t="s">
        <v>7432</v>
      </c>
      <c r="AF2357" s="146"/>
      <c r="AG2357" s="146"/>
      <c r="AH2357" s="146"/>
      <c r="AI2357" s="147"/>
      <c r="AJ2357" s="148"/>
      <c r="AK2357" s="143"/>
      <c r="AL2357" s="144"/>
      <c r="AM2357" s="22"/>
      <c r="AN2357" s="149" t="s">
        <v>6748</v>
      </c>
      <c r="AO2357" s="144"/>
      <c r="AP2357" s="148">
        <v>80017</v>
      </c>
      <c r="AQ2357" s="144"/>
      <c r="AR2357" s="120"/>
      <c r="AS2357" s="121"/>
      <c r="AT2357" s="120"/>
      <c r="AU2357" s="121"/>
      <c r="AV2357" s="120"/>
      <c r="AW2357" s="121"/>
      <c r="AX2357" s="120"/>
      <c r="AY2357" s="121"/>
      <c r="AZ2357" s="138"/>
    </row>
    <row r="2358" spans="1:52" ht="17.100000000000001" customHeight="1" thickTop="1">
      <c r="A2358" s="109" t="s">
        <v>7875</v>
      </c>
      <c r="B2358" s="28">
        <v>45940</v>
      </c>
      <c r="C2358" s="25">
        <v>2105</v>
      </c>
      <c r="D2358" s="13" t="s">
        <v>2196</v>
      </c>
      <c r="E2358" s="111"/>
      <c r="F2358" s="113" t="s">
        <v>7696</v>
      </c>
      <c r="G2358" s="114"/>
      <c r="H2358" s="115"/>
      <c r="I2358" s="24"/>
      <c r="J2358" s="116">
        <v>4</v>
      </c>
      <c r="K2358" s="118">
        <v>475000</v>
      </c>
      <c r="L2358" s="119"/>
      <c r="M2358" s="118">
        <f t="shared" ref="M2358" si="736">K2358*0.1</f>
        <v>47500</v>
      </c>
      <c r="N2358" s="119"/>
      <c r="O2358" s="118">
        <v>0</v>
      </c>
      <c r="P2358" s="119"/>
      <c r="Q2358" s="118">
        <v>8680</v>
      </c>
      <c r="R2358" s="119"/>
      <c r="S2358" s="118">
        <v>16500</v>
      </c>
      <c r="T2358" s="119"/>
      <c r="U2358" s="118">
        <f t="shared" ref="U2358" si="737">SUM(K2358:T2359)</f>
        <v>547680</v>
      </c>
      <c r="V2358" s="122"/>
      <c r="W2358" s="124"/>
      <c r="X2358" s="126" t="s">
        <v>8419</v>
      </c>
      <c r="Y2358" s="127"/>
      <c r="Z2358" s="127"/>
      <c r="AA2358" s="127"/>
      <c r="AB2358" s="128"/>
      <c r="AC2358" s="15" t="s">
        <v>20</v>
      </c>
      <c r="AD2358" s="129" t="s">
        <v>1797</v>
      </c>
      <c r="AE2358" s="130"/>
      <c r="AF2358" s="130"/>
      <c r="AG2358" s="130"/>
      <c r="AH2358" s="130"/>
      <c r="AI2358" s="131"/>
      <c r="AJ2358" s="132"/>
      <c r="AK2358" s="127"/>
      <c r="AL2358" s="128"/>
      <c r="AM2358" s="21"/>
      <c r="AN2358" s="133">
        <v>45955</v>
      </c>
      <c r="AO2358" s="134"/>
      <c r="AP2358" s="135">
        <v>1273</v>
      </c>
      <c r="AQ2358" s="136"/>
      <c r="AR2358" s="118">
        <v>500000</v>
      </c>
      <c r="AS2358" s="119"/>
      <c r="AT2358" s="118">
        <f t="shared" ref="AT2358" si="738">AR2358*0.1</f>
        <v>50000</v>
      </c>
      <c r="AU2358" s="119"/>
      <c r="AV2358" s="118">
        <v>8680</v>
      </c>
      <c r="AW2358" s="119"/>
      <c r="AX2358" s="118">
        <f t="shared" ref="AX2358" si="739">SUM(AR2358:AW2358)</f>
        <v>558680</v>
      </c>
      <c r="AY2358" s="119"/>
      <c r="AZ2358" s="137">
        <v>45958</v>
      </c>
    </row>
    <row r="2359" spans="1:52" ht="17.100000000000001" customHeight="1" thickBot="1">
      <c r="A2359" s="110"/>
      <c r="B2359" s="27" t="s">
        <v>1543</v>
      </c>
      <c r="C2359" s="27">
        <v>85009</v>
      </c>
      <c r="D2359" s="14" t="s">
        <v>2601</v>
      </c>
      <c r="E2359" s="112"/>
      <c r="F2359" s="139" t="s">
        <v>7697</v>
      </c>
      <c r="G2359" s="140"/>
      <c r="H2359" s="141"/>
      <c r="I2359" s="26">
        <v>54750</v>
      </c>
      <c r="J2359" s="117"/>
      <c r="K2359" s="120"/>
      <c r="L2359" s="121"/>
      <c r="M2359" s="120"/>
      <c r="N2359" s="121"/>
      <c r="O2359" s="120"/>
      <c r="P2359" s="121"/>
      <c r="Q2359" s="120"/>
      <c r="R2359" s="121"/>
      <c r="S2359" s="120"/>
      <c r="T2359" s="121"/>
      <c r="U2359" s="120"/>
      <c r="V2359" s="123"/>
      <c r="W2359" s="125"/>
      <c r="X2359" s="142" t="s">
        <v>4628</v>
      </c>
      <c r="Y2359" s="143"/>
      <c r="Z2359" s="143"/>
      <c r="AA2359" s="143"/>
      <c r="AB2359" s="144"/>
      <c r="AC2359" s="16" t="s">
        <v>21</v>
      </c>
      <c r="AD2359" s="17" t="s">
        <v>1638</v>
      </c>
      <c r="AE2359" s="145" t="s">
        <v>171</v>
      </c>
      <c r="AF2359" s="146"/>
      <c r="AG2359" s="146"/>
      <c r="AH2359" s="146"/>
      <c r="AI2359" s="147"/>
      <c r="AJ2359" s="148"/>
      <c r="AK2359" s="143"/>
      <c r="AL2359" s="144"/>
      <c r="AM2359" s="22"/>
      <c r="AN2359" s="149" t="s">
        <v>2511</v>
      </c>
      <c r="AO2359" s="144"/>
      <c r="AP2359" s="148">
        <v>60083</v>
      </c>
      <c r="AQ2359" s="144"/>
      <c r="AR2359" s="120"/>
      <c r="AS2359" s="121"/>
      <c r="AT2359" s="120"/>
      <c r="AU2359" s="121"/>
      <c r="AV2359" s="120"/>
      <c r="AW2359" s="121"/>
      <c r="AX2359" s="120"/>
      <c r="AY2359" s="121"/>
      <c r="AZ2359" s="138"/>
    </row>
    <row r="2360" spans="1:52" ht="17.100000000000001" customHeight="1" thickTop="1">
      <c r="A2360" s="109" t="s">
        <v>7876</v>
      </c>
      <c r="B2360" s="28">
        <v>45940</v>
      </c>
      <c r="C2360" s="25">
        <v>2105</v>
      </c>
      <c r="D2360" s="13" t="s">
        <v>2528</v>
      </c>
      <c r="E2360" s="111"/>
      <c r="F2360" s="113" t="s">
        <v>2598</v>
      </c>
      <c r="G2360" s="114"/>
      <c r="H2360" s="115"/>
      <c r="I2360" s="24"/>
      <c r="J2360" s="116">
        <v>3</v>
      </c>
      <c r="K2360" s="118">
        <v>330000</v>
      </c>
      <c r="L2360" s="119"/>
      <c r="M2360" s="118">
        <f t="shared" ref="M2360" si="740">K2360*0.1</f>
        <v>33000</v>
      </c>
      <c r="N2360" s="119"/>
      <c r="O2360" s="118">
        <v>0</v>
      </c>
      <c r="P2360" s="119"/>
      <c r="Q2360" s="118">
        <v>9910</v>
      </c>
      <c r="R2360" s="119"/>
      <c r="S2360" s="118">
        <v>16500</v>
      </c>
      <c r="T2360" s="119"/>
      <c r="U2360" s="118">
        <f t="shared" ref="U2360" si="741">SUM(K2360:T2361)</f>
        <v>389410</v>
      </c>
      <c r="V2360" s="122"/>
      <c r="W2360" s="124"/>
      <c r="X2360" s="126" t="s">
        <v>8426</v>
      </c>
      <c r="Y2360" s="127"/>
      <c r="Z2360" s="127"/>
      <c r="AA2360" s="127"/>
      <c r="AB2360" s="128"/>
      <c r="AC2360" s="15" t="s">
        <v>20</v>
      </c>
      <c r="AD2360" s="129"/>
      <c r="AE2360" s="130"/>
      <c r="AF2360" s="130"/>
      <c r="AG2360" s="130"/>
      <c r="AH2360" s="130"/>
      <c r="AI2360" s="131"/>
      <c r="AJ2360" s="132"/>
      <c r="AK2360" s="127"/>
      <c r="AL2360" s="128"/>
      <c r="AM2360" s="21"/>
      <c r="AN2360" s="133">
        <v>45983</v>
      </c>
      <c r="AO2360" s="134"/>
      <c r="AP2360" s="135">
        <v>1277</v>
      </c>
      <c r="AQ2360" s="136"/>
      <c r="AR2360" s="118">
        <v>535000</v>
      </c>
      <c r="AS2360" s="119"/>
      <c r="AT2360" s="118">
        <f t="shared" ref="AT2360" si="742">AR2360*0.1</f>
        <v>53500</v>
      </c>
      <c r="AU2360" s="119"/>
      <c r="AV2360" s="118">
        <v>9910</v>
      </c>
      <c r="AW2360" s="119"/>
      <c r="AX2360" s="118">
        <f t="shared" ref="AX2360" si="743">SUM(AR2360:AW2360)</f>
        <v>598410</v>
      </c>
      <c r="AY2360" s="119"/>
      <c r="AZ2360" s="137">
        <v>45987</v>
      </c>
    </row>
    <row r="2361" spans="1:52" ht="17.100000000000001" customHeight="1" thickBot="1">
      <c r="A2361" s="110"/>
      <c r="B2361" s="27" t="s">
        <v>1543</v>
      </c>
      <c r="C2361" s="27">
        <v>85092</v>
      </c>
      <c r="D2361" s="14" t="s">
        <v>2040</v>
      </c>
      <c r="E2361" s="112"/>
      <c r="F2361" s="139" t="s">
        <v>7699</v>
      </c>
      <c r="G2361" s="140"/>
      <c r="H2361" s="141"/>
      <c r="I2361" s="26">
        <v>54935</v>
      </c>
      <c r="J2361" s="117"/>
      <c r="K2361" s="120"/>
      <c r="L2361" s="121"/>
      <c r="M2361" s="120"/>
      <c r="N2361" s="121"/>
      <c r="O2361" s="120"/>
      <c r="P2361" s="121"/>
      <c r="Q2361" s="120"/>
      <c r="R2361" s="121"/>
      <c r="S2361" s="120"/>
      <c r="T2361" s="121"/>
      <c r="U2361" s="120"/>
      <c r="V2361" s="123"/>
      <c r="W2361" s="125"/>
      <c r="X2361" s="142" t="s">
        <v>8427</v>
      </c>
      <c r="Y2361" s="143"/>
      <c r="Z2361" s="143"/>
      <c r="AA2361" s="143"/>
      <c r="AB2361" s="144"/>
      <c r="AC2361" s="16" t="s">
        <v>21</v>
      </c>
      <c r="AD2361" s="17" t="s">
        <v>1638</v>
      </c>
      <c r="AE2361" s="145" t="s">
        <v>8249</v>
      </c>
      <c r="AF2361" s="146"/>
      <c r="AG2361" s="146"/>
      <c r="AH2361" s="146"/>
      <c r="AI2361" s="147"/>
      <c r="AJ2361" s="148"/>
      <c r="AK2361" s="143"/>
      <c r="AL2361" s="144"/>
      <c r="AM2361" s="22"/>
      <c r="AN2361" s="149" t="s">
        <v>2511</v>
      </c>
      <c r="AO2361" s="144"/>
      <c r="AP2361" s="148">
        <v>60172</v>
      </c>
      <c r="AQ2361" s="144"/>
      <c r="AR2361" s="120"/>
      <c r="AS2361" s="121"/>
      <c r="AT2361" s="120"/>
      <c r="AU2361" s="121"/>
      <c r="AV2361" s="120"/>
      <c r="AW2361" s="121"/>
      <c r="AX2361" s="120"/>
      <c r="AY2361" s="121"/>
      <c r="AZ2361" s="138"/>
    </row>
    <row r="2362" spans="1:52" ht="17.100000000000001" customHeight="1" thickTop="1">
      <c r="A2362" s="109" t="s">
        <v>7877</v>
      </c>
      <c r="B2362" s="28">
        <v>45940</v>
      </c>
      <c r="C2362" s="25">
        <v>2105</v>
      </c>
      <c r="D2362" s="13" t="s">
        <v>7155</v>
      </c>
      <c r="E2362" s="111"/>
      <c r="F2362" s="113" t="s">
        <v>5375</v>
      </c>
      <c r="G2362" s="114"/>
      <c r="H2362" s="115"/>
      <c r="I2362" s="24"/>
      <c r="J2362" s="116">
        <v>4</v>
      </c>
      <c r="K2362" s="118">
        <v>300000</v>
      </c>
      <c r="L2362" s="119"/>
      <c r="M2362" s="118">
        <f t="shared" ref="M2362" si="744">K2362*0.1</f>
        <v>30000</v>
      </c>
      <c r="N2362" s="119"/>
      <c r="O2362" s="118">
        <v>0</v>
      </c>
      <c r="P2362" s="119"/>
      <c r="Q2362" s="118">
        <v>9770</v>
      </c>
      <c r="R2362" s="119"/>
      <c r="S2362" s="118">
        <v>16500</v>
      </c>
      <c r="T2362" s="119"/>
      <c r="U2362" s="118">
        <f t="shared" ref="U2362" si="745">SUM(K2362:T2363)</f>
        <v>356270</v>
      </c>
      <c r="V2362" s="122"/>
      <c r="W2362" s="124"/>
      <c r="X2362" s="126" t="s">
        <v>8417</v>
      </c>
      <c r="Y2362" s="127"/>
      <c r="Z2362" s="127"/>
      <c r="AA2362" s="127"/>
      <c r="AB2362" s="128"/>
      <c r="AC2362" s="15" t="s">
        <v>20</v>
      </c>
      <c r="AD2362" s="129"/>
      <c r="AE2362" s="130"/>
      <c r="AF2362" s="130"/>
      <c r="AG2362" s="130"/>
      <c r="AH2362" s="130"/>
      <c r="AI2362" s="131"/>
      <c r="AJ2362" s="132"/>
      <c r="AK2362" s="127"/>
      <c r="AL2362" s="128"/>
      <c r="AM2362" s="21"/>
      <c r="AN2362" s="133">
        <v>45948</v>
      </c>
      <c r="AO2362" s="134"/>
      <c r="AP2362" s="135">
        <v>1272</v>
      </c>
      <c r="AQ2362" s="136"/>
      <c r="AR2362" s="118">
        <v>370000</v>
      </c>
      <c r="AS2362" s="119"/>
      <c r="AT2362" s="118">
        <f t="shared" ref="AT2362" si="746">AR2362*0.1</f>
        <v>37000</v>
      </c>
      <c r="AU2362" s="119"/>
      <c r="AV2362" s="118">
        <v>9770</v>
      </c>
      <c r="AW2362" s="119"/>
      <c r="AX2362" s="118">
        <f t="shared" ref="AX2362" si="747">SUM(AR2362:AW2362)</f>
        <v>416770</v>
      </c>
      <c r="AY2362" s="119"/>
      <c r="AZ2362" s="137">
        <v>45951</v>
      </c>
    </row>
    <row r="2363" spans="1:52" ht="17.100000000000001" customHeight="1" thickBot="1">
      <c r="A2363" s="110"/>
      <c r="B2363" s="27" t="s">
        <v>1543</v>
      </c>
      <c r="C2363" s="27">
        <v>85214</v>
      </c>
      <c r="D2363" s="14" t="s">
        <v>1556</v>
      </c>
      <c r="E2363" s="112"/>
      <c r="F2363" s="139" t="s">
        <v>7700</v>
      </c>
      <c r="G2363" s="140"/>
      <c r="H2363" s="141"/>
      <c r="I2363" s="26">
        <v>44840</v>
      </c>
      <c r="J2363" s="117"/>
      <c r="K2363" s="120"/>
      <c r="L2363" s="121"/>
      <c r="M2363" s="120"/>
      <c r="N2363" s="121"/>
      <c r="O2363" s="120"/>
      <c r="P2363" s="121"/>
      <c r="Q2363" s="120"/>
      <c r="R2363" s="121"/>
      <c r="S2363" s="120"/>
      <c r="T2363" s="121"/>
      <c r="U2363" s="120"/>
      <c r="V2363" s="123"/>
      <c r="W2363" s="125"/>
      <c r="X2363" s="142" t="s">
        <v>8418</v>
      </c>
      <c r="Y2363" s="143"/>
      <c r="Z2363" s="143"/>
      <c r="AA2363" s="143"/>
      <c r="AB2363" s="144"/>
      <c r="AC2363" s="16" t="s">
        <v>21</v>
      </c>
      <c r="AD2363" s="17" t="s">
        <v>1638</v>
      </c>
      <c r="AE2363" s="145" t="s">
        <v>171</v>
      </c>
      <c r="AF2363" s="146"/>
      <c r="AG2363" s="146"/>
      <c r="AH2363" s="146"/>
      <c r="AI2363" s="147"/>
      <c r="AJ2363" s="148"/>
      <c r="AK2363" s="143"/>
      <c r="AL2363" s="144"/>
      <c r="AM2363" s="22"/>
      <c r="AN2363" s="149" t="s">
        <v>2511</v>
      </c>
      <c r="AO2363" s="144"/>
      <c r="AP2363" s="148">
        <v>60033</v>
      </c>
      <c r="AQ2363" s="144"/>
      <c r="AR2363" s="120"/>
      <c r="AS2363" s="121"/>
      <c r="AT2363" s="120"/>
      <c r="AU2363" s="121"/>
      <c r="AV2363" s="120"/>
      <c r="AW2363" s="121"/>
      <c r="AX2363" s="120"/>
      <c r="AY2363" s="121"/>
      <c r="AZ2363" s="138"/>
    </row>
    <row r="2364" spans="1:52" ht="17.100000000000001" customHeight="1" thickTop="1">
      <c r="A2364" s="109" t="s">
        <v>7881</v>
      </c>
      <c r="B2364" s="28">
        <v>45940</v>
      </c>
      <c r="C2364" s="25"/>
      <c r="D2364" s="13" t="s">
        <v>1651</v>
      </c>
      <c r="E2364" s="111"/>
      <c r="F2364" s="113" t="s">
        <v>7887</v>
      </c>
      <c r="G2364" s="114"/>
      <c r="H2364" s="115"/>
      <c r="I2364" s="24" t="s">
        <v>4340</v>
      </c>
      <c r="J2364" s="116">
        <v>4</v>
      </c>
      <c r="K2364" s="118">
        <f>1083500/1.1</f>
        <v>984999.99999999988</v>
      </c>
      <c r="L2364" s="119"/>
      <c r="M2364" s="118">
        <f t="shared" ref="M2364" si="748">K2364*0.1</f>
        <v>98500</v>
      </c>
      <c r="N2364" s="119"/>
      <c r="O2364" s="118">
        <v>0</v>
      </c>
      <c r="P2364" s="119"/>
      <c r="Q2364" s="118">
        <v>7040</v>
      </c>
      <c r="R2364" s="119"/>
      <c r="S2364" s="118">
        <v>82088</v>
      </c>
      <c r="T2364" s="119"/>
      <c r="U2364" s="118">
        <f t="shared" ref="U2364" si="749">SUM(K2364:T2365)</f>
        <v>1172628</v>
      </c>
      <c r="V2364" s="122"/>
      <c r="W2364" s="124"/>
      <c r="X2364" s="126" t="s">
        <v>9931</v>
      </c>
      <c r="Y2364" s="127"/>
      <c r="Z2364" s="127"/>
      <c r="AA2364" s="127"/>
      <c r="AB2364" s="128"/>
      <c r="AC2364" s="15" t="s">
        <v>20</v>
      </c>
      <c r="AD2364" s="129" t="s">
        <v>1732</v>
      </c>
      <c r="AE2364" s="130"/>
      <c r="AF2364" s="130"/>
      <c r="AG2364" s="130"/>
      <c r="AH2364" s="130"/>
      <c r="AI2364" s="131"/>
      <c r="AJ2364" s="132"/>
      <c r="AK2364" s="127"/>
      <c r="AL2364" s="128"/>
      <c r="AM2364" s="21"/>
      <c r="AN2364" s="133">
        <v>45965</v>
      </c>
      <c r="AO2364" s="134"/>
      <c r="AP2364" s="135">
        <v>1916</v>
      </c>
      <c r="AQ2364" s="136"/>
      <c r="AR2364" s="118">
        <v>1103000</v>
      </c>
      <c r="AS2364" s="119"/>
      <c r="AT2364" s="118">
        <f t="shared" ref="AT2364" si="750">AR2364*0.1</f>
        <v>110300</v>
      </c>
      <c r="AU2364" s="119"/>
      <c r="AV2364" s="118">
        <v>7040</v>
      </c>
      <c r="AW2364" s="119"/>
      <c r="AX2364" s="118">
        <f t="shared" ref="AX2364" si="751">SUM(AR2364:AW2364)</f>
        <v>1220340</v>
      </c>
      <c r="AY2364" s="119"/>
      <c r="AZ2364" s="137">
        <v>45971</v>
      </c>
    </row>
    <row r="2365" spans="1:52" ht="17.100000000000001" customHeight="1" thickBot="1">
      <c r="A2365" s="110"/>
      <c r="B2365" s="27" t="s">
        <v>1718</v>
      </c>
      <c r="C2365" s="27" t="s">
        <v>7886</v>
      </c>
      <c r="D2365" s="14" t="s">
        <v>275</v>
      </c>
      <c r="E2365" s="112"/>
      <c r="F2365" s="139" t="s">
        <v>7888</v>
      </c>
      <c r="G2365" s="140"/>
      <c r="H2365" s="141"/>
      <c r="I2365" s="26">
        <v>30679</v>
      </c>
      <c r="J2365" s="117"/>
      <c r="K2365" s="120"/>
      <c r="L2365" s="121"/>
      <c r="M2365" s="120"/>
      <c r="N2365" s="121"/>
      <c r="O2365" s="120"/>
      <c r="P2365" s="121"/>
      <c r="Q2365" s="120"/>
      <c r="R2365" s="121"/>
      <c r="S2365" s="120"/>
      <c r="T2365" s="121"/>
      <c r="U2365" s="120"/>
      <c r="V2365" s="123"/>
      <c r="W2365" s="125"/>
      <c r="X2365" s="142" t="s">
        <v>1558</v>
      </c>
      <c r="Y2365" s="143"/>
      <c r="Z2365" s="143"/>
      <c r="AA2365" s="143"/>
      <c r="AB2365" s="144"/>
      <c r="AC2365" s="16" t="s">
        <v>21</v>
      </c>
      <c r="AD2365" s="17" t="s">
        <v>9858</v>
      </c>
      <c r="AE2365" s="145" t="s">
        <v>10069</v>
      </c>
      <c r="AF2365" s="146"/>
      <c r="AG2365" s="146"/>
      <c r="AH2365" s="146"/>
      <c r="AI2365" s="147"/>
      <c r="AJ2365" s="148"/>
      <c r="AK2365" s="143"/>
      <c r="AL2365" s="144"/>
      <c r="AM2365" s="22"/>
      <c r="AN2365" s="149" t="s">
        <v>2131</v>
      </c>
      <c r="AO2365" s="144"/>
      <c r="AP2365" s="148">
        <v>3145</v>
      </c>
      <c r="AQ2365" s="144"/>
      <c r="AR2365" s="120"/>
      <c r="AS2365" s="121"/>
      <c r="AT2365" s="120"/>
      <c r="AU2365" s="121"/>
      <c r="AV2365" s="120"/>
      <c r="AW2365" s="121"/>
      <c r="AX2365" s="120"/>
      <c r="AY2365" s="121"/>
      <c r="AZ2365" s="138"/>
    </row>
    <row r="2366" spans="1:52" ht="17.100000000000001" customHeight="1" thickTop="1">
      <c r="A2366" s="109" t="s">
        <v>7882</v>
      </c>
      <c r="B2366" s="28">
        <v>45940</v>
      </c>
      <c r="C2366" s="25"/>
      <c r="D2366" s="13" t="s">
        <v>1597</v>
      </c>
      <c r="E2366" s="111"/>
      <c r="F2366" s="113" t="s">
        <v>7890</v>
      </c>
      <c r="G2366" s="114"/>
      <c r="H2366" s="115"/>
      <c r="I2366" s="24" t="s">
        <v>5124</v>
      </c>
      <c r="J2366" s="116">
        <v>3.5</v>
      </c>
      <c r="K2366" s="118">
        <f>555500/1.1</f>
        <v>504999.99999999994</v>
      </c>
      <c r="L2366" s="119"/>
      <c r="M2366" s="118">
        <f t="shared" ref="M2366" si="752">K2366*0.1</f>
        <v>50500</v>
      </c>
      <c r="N2366" s="119"/>
      <c r="O2366" s="118">
        <v>0</v>
      </c>
      <c r="P2366" s="119"/>
      <c r="Q2366" s="118">
        <v>8230</v>
      </c>
      <c r="R2366" s="119"/>
      <c r="S2366" s="118">
        <v>55291</v>
      </c>
      <c r="T2366" s="119"/>
      <c r="U2366" s="118">
        <f t="shared" ref="U2366" si="753">SUM(K2366:T2367)</f>
        <v>619021</v>
      </c>
      <c r="V2366" s="122"/>
      <c r="W2366" s="124"/>
      <c r="X2366" s="126" t="s">
        <v>9401</v>
      </c>
      <c r="Y2366" s="127"/>
      <c r="Z2366" s="127"/>
      <c r="AA2366" s="127"/>
      <c r="AB2366" s="128"/>
      <c r="AC2366" s="15" t="s">
        <v>20</v>
      </c>
      <c r="AD2366" s="129" t="s">
        <v>5120</v>
      </c>
      <c r="AE2366" s="130"/>
      <c r="AF2366" s="130"/>
      <c r="AG2366" s="130"/>
      <c r="AH2366" s="130"/>
      <c r="AI2366" s="131"/>
      <c r="AJ2366" s="132"/>
      <c r="AK2366" s="127"/>
      <c r="AL2366" s="128"/>
      <c r="AM2366" s="21"/>
      <c r="AN2366" s="133">
        <v>45976</v>
      </c>
      <c r="AO2366" s="134"/>
      <c r="AP2366" s="135">
        <v>1276</v>
      </c>
      <c r="AQ2366" s="136"/>
      <c r="AR2366" s="118">
        <v>600000</v>
      </c>
      <c r="AS2366" s="119"/>
      <c r="AT2366" s="118">
        <f t="shared" ref="AT2366" si="754">AR2366*0.1</f>
        <v>60000</v>
      </c>
      <c r="AU2366" s="119"/>
      <c r="AV2366" s="118">
        <v>8230</v>
      </c>
      <c r="AW2366" s="119"/>
      <c r="AX2366" s="118">
        <f t="shared" ref="AX2366" si="755">SUM(AR2366:AW2366)</f>
        <v>668230</v>
      </c>
      <c r="AY2366" s="119"/>
      <c r="AZ2366" s="137">
        <v>45979</v>
      </c>
    </row>
    <row r="2367" spans="1:52" ht="17.100000000000001" customHeight="1" thickBot="1">
      <c r="A2367" s="110"/>
      <c r="B2367" s="27" t="s">
        <v>1718</v>
      </c>
      <c r="C2367" s="27" t="s">
        <v>7889</v>
      </c>
      <c r="D2367" s="14" t="s">
        <v>133</v>
      </c>
      <c r="E2367" s="112"/>
      <c r="F2367" s="139" t="s">
        <v>7891</v>
      </c>
      <c r="G2367" s="140"/>
      <c r="H2367" s="141"/>
      <c r="I2367" s="26">
        <v>60166</v>
      </c>
      <c r="J2367" s="117"/>
      <c r="K2367" s="120"/>
      <c r="L2367" s="121"/>
      <c r="M2367" s="120"/>
      <c r="N2367" s="121"/>
      <c r="O2367" s="120"/>
      <c r="P2367" s="121"/>
      <c r="Q2367" s="120"/>
      <c r="R2367" s="121"/>
      <c r="S2367" s="120"/>
      <c r="T2367" s="121"/>
      <c r="U2367" s="120"/>
      <c r="V2367" s="123"/>
      <c r="W2367" s="125"/>
      <c r="X2367" s="142" t="s">
        <v>9402</v>
      </c>
      <c r="Y2367" s="143"/>
      <c r="Z2367" s="143"/>
      <c r="AA2367" s="143"/>
      <c r="AB2367" s="144"/>
      <c r="AC2367" s="16" t="s">
        <v>21</v>
      </c>
      <c r="AD2367" s="17" t="s">
        <v>9274</v>
      </c>
      <c r="AE2367" s="145" t="s">
        <v>10324</v>
      </c>
      <c r="AF2367" s="146"/>
      <c r="AG2367" s="146"/>
      <c r="AH2367" s="146"/>
      <c r="AI2367" s="147"/>
      <c r="AJ2367" s="148"/>
      <c r="AK2367" s="143"/>
      <c r="AL2367" s="144"/>
      <c r="AM2367" s="22"/>
      <c r="AN2367" s="149" t="s">
        <v>10999</v>
      </c>
      <c r="AO2367" s="144"/>
      <c r="AP2367" s="148">
        <v>65194</v>
      </c>
      <c r="AQ2367" s="144"/>
      <c r="AR2367" s="120"/>
      <c r="AS2367" s="121"/>
      <c r="AT2367" s="120"/>
      <c r="AU2367" s="121"/>
      <c r="AV2367" s="120"/>
      <c r="AW2367" s="121"/>
      <c r="AX2367" s="120"/>
      <c r="AY2367" s="121"/>
      <c r="AZ2367" s="138"/>
    </row>
    <row r="2368" spans="1:52" ht="17.100000000000001" customHeight="1" thickTop="1">
      <c r="A2368" s="109" t="s">
        <v>7883</v>
      </c>
      <c r="B2368" s="28">
        <v>45940</v>
      </c>
      <c r="C2368" s="25"/>
      <c r="D2368" s="13" t="s">
        <v>2179</v>
      </c>
      <c r="E2368" s="111"/>
      <c r="F2368" s="113" t="s">
        <v>4683</v>
      </c>
      <c r="G2368" s="114"/>
      <c r="H2368" s="115"/>
      <c r="I2368" s="24" t="s">
        <v>7894</v>
      </c>
      <c r="J2368" s="116">
        <v>4</v>
      </c>
      <c r="K2368" s="118">
        <f>676500/1.1</f>
        <v>615000</v>
      </c>
      <c r="L2368" s="119"/>
      <c r="M2368" s="118">
        <f t="shared" ref="M2368" si="756">K2368*0.1</f>
        <v>61500</v>
      </c>
      <c r="N2368" s="119"/>
      <c r="O2368" s="118">
        <v>0</v>
      </c>
      <c r="P2368" s="119"/>
      <c r="Q2368" s="118">
        <v>9200</v>
      </c>
      <c r="R2368" s="119"/>
      <c r="S2368" s="118">
        <v>61659</v>
      </c>
      <c r="T2368" s="119"/>
      <c r="U2368" s="118">
        <f t="shared" ref="U2368" si="757">SUM(K2368:T2369)</f>
        <v>747359</v>
      </c>
      <c r="V2368" s="122"/>
      <c r="W2368" s="124"/>
      <c r="X2368" s="126" t="s">
        <v>8445</v>
      </c>
      <c r="Y2368" s="127"/>
      <c r="Z2368" s="127"/>
      <c r="AA2368" s="127"/>
      <c r="AB2368" s="128"/>
      <c r="AC2368" s="15" t="s">
        <v>20</v>
      </c>
      <c r="AD2368" s="129" t="s">
        <v>1945</v>
      </c>
      <c r="AE2368" s="130"/>
      <c r="AF2368" s="130"/>
      <c r="AG2368" s="130"/>
      <c r="AH2368" s="130"/>
      <c r="AI2368" s="131"/>
      <c r="AJ2368" s="132"/>
      <c r="AK2368" s="127"/>
      <c r="AL2368" s="128"/>
      <c r="AM2368" s="21"/>
      <c r="AN2368" s="133">
        <v>45976</v>
      </c>
      <c r="AO2368" s="134"/>
      <c r="AP2368" s="135">
        <v>1276</v>
      </c>
      <c r="AQ2368" s="136"/>
      <c r="AR2368" s="118">
        <v>655000</v>
      </c>
      <c r="AS2368" s="119"/>
      <c r="AT2368" s="118">
        <f t="shared" ref="AT2368" si="758">AR2368*0.1</f>
        <v>65500</v>
      </c>
      <c r="AU2368" s="119"/>
      <c r="AV2368" s="118">
        <v>9200</v>
      </c>
      <c r="AW2368" s="119"/>
      <c r="AX2368" s="118">
        <f t="shared" ref="AX2368" si="759">SUM(AR2368:AW2368)</f>
        <v>729700</v>
      </c>
      <c r="AY2368" s="119"/>
      <c r="AZ2368" s="137">
        <v>45979</v>
      </c>
    </row>
    <row r="2369" spans="1:52" ht="17.100000000000001" customHeight="1" thickBot="1">
      <c r="A2369" s="110"/>
      <c r="B2369" s="27" t="s">
        <v>1718</v>
      </c>
      <c r="C2369" s="27" t="s">
        <v>7892</v>
      </c>
      <c r="D2369" s="14" t="s">
        <v>1592</v>
      </c>
      <c r="E2369" s="112"/>
      <c r="F2369" s="139" t="s">
        <v>7893</v>
      </c>
      <c r="G2369" s="140"/>
      <c r="H2369" s="141"/>
      <c r="I2369" s="26">
        <v>57990</v>
      </c>
      <c r="J2369" s="117"/>
      <c r="K2369" s="120"/>
      <c r="L2369" s="121"/>
      <c r="M2369" s="120"/>
      <c r="N2369" s="121"/>
      <c r="O2369" s="120"/>
      <c r="P2369" s="121"/>
      <c r="Q2369" s="120"/>
      <c r="R2369" s="121"/>
      <c r="S2369" s="120"/>
      <c r="T2369" s="121"/>
      <c r="U2369" s="120"/>
      <c r="V2369" s="123"/>
      <c r="W2369" s="125"/>
      <c r="X2369" s="142" t="s">
        <v>8446</v>
      </c>
      <c r="Y2369" s="143"/>
      <c r="Z2369" s="143"/>
      <c r="AA2369" s="143"/>
      <c r="AB2369" s="144"/>
      <c r="AC2369" s="16" t="s">
        <v>21</v>
      </c>
      <c r="AD2369" s="17" t="s">
        <v>1638</v>
      </c>
      <c r="AE2369" s="145" t="s">
        <v>1614</v>
      </c>
      <c r="AF2369" s="146"/>
      <c r="AG2369" s="146"/>
      <c r="AH2369" s="146"/>
      <c r="AI2369" s="147"/>
      <c r="AJ2369" s="148"/>
      <c r="AK2369" s="143"/>
      <c r="AL2369" s="144"/>
      <c r="AM2369" s="22"/>
      <c r="AN2369" s="149" t="s">
        <v>10999</v>
      </c>
      <c r="AO2369" s="144"/>
      <c r="AP2369" s="148">
        <v>65198</v>
      </c>
      <c r="AQ2369" s="144"/>
      <c r="AR2369" s="120"/>
      <c r="AS2369" s="121"/>
      <c r="AT2369" s="120"/>
      <c r="AU2369" s="121"/>
      <c r="AV2369" s="120"/>
      <c r="AW2369" s="121"/>
      <c r="AX2369" s="120"/>
      <c r="AY2369" s="121"/>
      <c r="AZ2369" s="138"/>
    </row>
    <row r="2370" spans="1:52" ht="17.100000000000001" customHeight="1" thickTop="1">
      <c r="A2370" s="151" t="s">
        <v>7884</v>
      </c>
      <c r="B2370" s="28">
        <v>45940</v>
      </c>
      <c r="C2370" s="25"/>
      <c r="D2370" s="13" t="s">
        <v>2442</v>
      </c>
      <c r="E2370" s="111"/>
      <c r="F2370" s="113" t="s">
        <v>7896</v>
      </c>
      <c r="G2370" s="114"/>
      <c r="H2370" s="115"/>
      <c r="I2370" s="24" t="s">
        <v>5214</v>
      </c>
      <c r="J2370" s="116">
        <v>3.5</v>
      </c>
      <c r="K2370" s="118">
        <f>456500/1.1</f>
        <v>414999.99999999994</v>
      </c>
      <c r="L2370" s="119"/>
      <c r="M2370" s="118">
        <f t="shared" ref="M2370" si="760">K2370*0.1</f>
        <v>41500</v>
      </c>
      <c r="N2370" s="119"/>
      <c r="O2370" s="118">
        <v>0</v>
      </c>
      <c r="P2370" s="119"/>
      <c r="Q2370" s="118">
        <v>7860</v>
      </c>
      <c r="R2370" s="119"/>
      <c r="S2370" s="118">
        <v>50080</v>
      </c>
      <c r="T2370" s="119"/>
      <c r="U2370" s="118">
        <f t="shared" ref="U2370" si="761">SUM(K2370:T2371)</f>
        <v>514439.99999999994</v>
      </c>
      <c r="V2370" s="122"/>
      <c r="W2370" s="124"/>
      <c r="X2370" s="126"/>
      <c r="Y2370" s="127"/>
      <c r="Z2370" s="127"/>
      <c r="AA2370" s="127"/>
      <c r="AB2370" s="128"/>
      <c r="AC2370" s="15" t="s">
        <v>20</v>
      </c>
      <c r="AD2370" s="129" t="s">
        <v>1945</v>
      </c>
      <c r="AE2370" s="130"/>
      <c r="AF2370" s="130"/>
      <c r="AG2370" s="130"/>
      <c r="AH2370" s="130"/>
      <c r="AI2370" s="131"/>
      <c r="AJ2370" s="132" t="s">
        <v>8040</v>
      </c>
      <c r="AK2370" s="127"/>
      <c r="AL2370" s="128"/>
      <c r="AM2370" s="21"/>
      <c r="AN2370" s="133"/>
      <c r="AO2370" s="134"/>
      <c r="AP2370" s="135"/>
      <c r="AQ2370" s="136"/>
      <c r="AR2370" s="118"/>
      <c r="AS2370" s="119"/>
      <c r="AT2370" s="118">
        <f t="shared" ref="AT2370" si="762">AR2370*0.1</f>
        <v>0</v>
      </c>
      <c r="AU2370" s="119"/>
      <c r="AV2370" s="118"/>
      <c r="AW2370" s="119"/>
      <c r="AX2370" s="118">
        <f t="shared" ref="AX2370" si="763">SUM(AR2370:AW2370)</f>
        <v>0</v>
      </c>
      <c r="AY2370" s="119"/>
      <c r="AZ2370" s="137"/>
    </row>
    <row r="2371" spans="1:52" ht="17.100000000000001" customHeight="1" thickBot="1">
      <c r="A2371" s="152"/>
      <c r="B2371" s="27" t="s">
        <v>1718</v>
      </c>
      <c r="C2371" s="27" t="s">
        <v>7895</v>
      </c>
      <c r="D2371" s="14" t="s">
        <v>1592</v>
      </c>
      <c r="E2371" s="112"/>
      <c r="F2371" s="139" t="s">
        <v>7897</v>
      </c>
      <c r="G2371" s="140"/>
      <c r="H2371" s="141"/>
      <c r="I2371" s="26">
        <v>55425</v>
      </c>
      <c r="J2371" s="117"/>
      <c r="K2371" s="120"/>
      <c r="L2371" s="121"/>
      <c r="M2371" s="120"/>
      <c r="N2371" s="121"/>
      <c r="O2371" s="120"/>
      <c r="P2371" s="121"/>
      <c r="Q2371" s="120"/>
      <c r="R2371" s="121"/>
      <c r="S2371" s="120"/>
      <c r="T2371" s="121"/>
      <c r="U2371" s="120"/>
      <c r="V2371" s="123"/>
      <c r="W2371" s="125"/>
      <c r="X2371" s="142"/>
      <c r="Y2371" s="143"/>
      <c r="Z2371" s="143"/>
      <c r="AA2371" s="143"/>
      <c r="AB2371" s="144"/>
      <c r="AC2371" s="16" t="s">
        <v>21</v>
      </c>
      <c r="AD2371" s="17" t="s">
        <v>10540</v>
      </c>
      <c r="AE2371" s="145"/>
      <c r="AF2371" s="146"/>
      <c r="AG2371" s="146"/>
      <c r="AH2371" s="146"/>
      <c r="AI2371" s="147"/>
      <c r="AJ2371" s="148"/>
      <c r="AK2371" s="143"/>
      <c r="AL2371" s="144"/>
      <c r="AM2371" s="22"/>
      <c r="AN2371" s="149"/>
      <c r="AO2371" s="144"/>
      <c r="AP2371" s="148"/>
      <c r="AQ2371" s="144"/>
      <c r="AR2371" s="120"/>
      <c r="AS2371" s="121"/>
      <c r="AT2371" s="120"/>
      <c r="AU2371" s="121"/>
      <c r="AV2371" s="120"/>
      <c r="AW2371" s="121"/>
      <c r="AX2371" s="120"/>
      <c r="AY2371" s="121"/>
      <c r="AZ2371" s="138"/>
    </row>
    <row r="2372" spans="1:52" ht="17.100000000000001" customHeight="1" thickTop="1">
      <c r="A2372" s="109" t="s">
        <v>7885</v>
      </c>
      <c r="B2372" s="28">
        <v>45940</v>
      </c>
      <c r="C2372" s="25"/>
      <c r="D2372" s="13" t="s">
        <v>2135</v>
      </c>
      <c r="E2372" s="111"/>
      <c r="F2372" s="113" t="s">
        <v>7899</v>
      </c>
      <c r="G2372" s="114"/>
      <c r="H2372" s="115"/>
      <c r="I2372" s="24" t="s">
        <v>5401</v>
      </c>
      <c r="J2372" s="116">
        <v>4</v>
      </c>
      <c r="K2372" s="118">
        <f>836000/1.1</f>
        <v>759999.99999999988</v>
      </c>
      <c r="L2372" s="119"/>
      <c r="M2372" s="118">
        <f t="shared" ref="M2372" si="764">K2372*0.1</f>
        <v>75999.999999999985</v>
      </c>
      <c r="N2372" s="119"/>
      <c r="O2372" s="118">
        <v>0</v>
      </c>
      <c r="P2372" s="119"/>
      <c r="Q2372" s="118">
        <v>9790</v>
      </c>
      <c r="R2372" s="119"/>
      <c r="S2372" s="118">
        <v>70054</v>
      </c>
      <c r="T2372" s="119"/>
      <c r="U2372" s="118">
        <f t="shared" ref="U2372" si="765">SUM(K2372:T2373)</f>
        <v>915843.99999999988</v>
      </c>
      <c r="V2372" s="122"/>
      <c r="W2372" s="124"/>
      <c r="X2372" s="126" t="s">
        <v>9781</v>
      </c>
      <c r="Y2372" s="127"/>
      <c r="Z2372" s="127"/>
      <c r="AA2372" s="127"/>
      <c r="AB2372" s="128"/>
      <c r="AC2372" s="15" t="s">
        <v>20</v>
      </c>
      <c r="AD2372" s="129" t="s">
        <v>4883</v>
      </c>
      <c r="AE2372" s="130"/>
      <c r="AF2372" s="130"/>
      <c r="AG2372" s="130"/>
      <c r="AH2372" s="130"/>
      <c r="AI2372" s="131"/>
      <c r="AJ2372" s="132"/>
      <c r="AK2372" s="127"/>
      <c r="AL2372" s="128"/>
      <c r="AM2372" s="21"/>
      <c r="AN2372" s="133">
        <v>45962</v>
      </c>
      <c r="AO2372" s="134"/>
      <c r="AP2372" s="135">
        <v>1274</v>
      </c>
      <c r="AQ2372" s="136"/>
      <c r="AR2372" s="118">
        <v>870000</v>
      </c>
      <c r="AS2372" s="119"/>
      <c r="AT2372" s="118">
        <f t="shared" ref="AT2372" si="766">AR2372*0.1</f>
        <v>87000</v>
      </c>
      <c r="AU2372" s="119"/>
      <c r="AV2372" s="118">
        <v>9790</v>
      </c>
      <c r="AW2372" s="119"/>
      <c r="AX2372" s="118">
        <f t="shared" ref="AX2372" si="767">SUM(AR2372:AW2372)</f>
        <v>966790</v>
      </c>
      <c r="AY2372" s="119"/>
      <c r="AZ2372" s="137">
        <v>45967</v>
      </c>
    </row>
    <row r="2373" spans="1:52" ht="17.100000000000001" customHeight="1" thickBot="1">
      <c r="A2373" s="110"/>
      <c r="B2373" s="27" t="s">
        <v>1718</v>
      </c>
      <c r="C2373" s="27" t="s">
        <v>7898</v>
      </c>
      <c r="D2373" s="14" t="s">
        <v>2601</v>
      </c>
      <c r="E2373" s="112"/>
      <c r="F2373" s="139" t="s">
        <v>7900</v>
      </c>
      <c r="G2373" s="140"/>
      <c r="H2373" s="141"/>
      <c r="I2373" s="26">
        <v>30503</v>
      </c>
      <c r="J2373" s="117"/>
      <c r="K2373" s="120"/>
      <c r="L2373" s="121"/>
      <c r="M2373" s="120"/>
      <c r="N2373" s="121"/>
      <c r="O2373" s="120"/>
      <c r="P2373" s="121"/>
      <c r="Q2373" s="120"/>
      <c r="R2373" s="121"/>
      <c r="S2373" s="120"/>
      <c r="T2373" s="121"/>
      <c r="U2373" s="120"/>
      <c r="V2373" s="123"/>
      <c r="W2373" s="125"/>
      <c r="X2373" s="142" t="s">
        <v>2321</v>
      </c>
      <c r="Y2373" s="143"/>
      <c r="Z2373" s="143"/>
      <c r="AA2373" s="143"/>
      <c r="AB2373" s="144"/>
      <c r="AC2373" s="16" t="s">
        <v>21</v>
      </c>
      <c r="AD2373" s="17" t="s">
        <v>3335</v>
      </c>
      <c r="AE2373" s="145" t="s">
        <v>1742</v>
      </c>
      <c r="AF2373" s="146"/>
      <c r="AG2373" s="146"/>
      <c r="AH2373" s="146"/>
      <c r="AI2373" s="147"/>
      <c r="AJ2373" s="148"/>
      <c r="AK2373" s="143"/>
      <c r="AL2373" s="144"/>
      <c r="AM2373" s="22"/>
      <c r="AN2373" s="149" t="s">
        <v>2511</v>
      </c>
      <c r="AO2373" s="144"/>
      <c r="AP2373" s="148">
        <v>65201</v>
      </c>
      <c r="AQ2373" s="144"/>
      <c r="AR2373" s="120"/>
      <c r="AS2373" s="121"/>
      <c r="AT2373" s="120"/>
      <c r="AU2373" s="121"/>
      <c r="AV2373" s="120"/>
      <c r="AW2373" s="121"/>
      <c r="AX2373" s="120"/>
      <c r="AY2373" s="121"/>
      <c r="AZ2373" s="138"/>
    </row>
    <row r="2374" spans="1:52" ht="17.100000000000001" customHeight="1" thickTop="1">
      <c r="A2374" s="109" t="s">
        <v>8102</v>
      </c>
      <c r="B2374" s="28">
        <v>45941</v>
      </c>
      <c r="C2374" s="25">
        <v>282</v>
      </c>
      <c r="D2374" s="13" t="s">
        <v>1744</v>
      </c>
      <c r="E2374" s="111"/>
      <c r="F2374" s="113" t="s">
        <v>2993</v>
      </c>
      <c r="G2374" s="114"/>
      <c r="H2374" s="115"/>
      <c r="I2374" s="24"/>
      <c r="J2374" s="116">
        <v>4.5</v>
      </c>
      <c r="K2374" s="118">
        <v>650000</v>
      </c>
      <c r="L2374" s="119"/>
      <c r="M2374" s="118">
        <f t="shared" ref="M2374" si="768">K2374*0.1</f>
        <v>65000</v>
      </c>
      <c r="N2374" s="119"/>
      <c r="O2374" s="118">
        <v>0</v>
      </c>
      <c r="P2374" s="119"/>
      <c r="Q2374" s="118">
        <v>8400</v>
      </c>
      <c r="R2374" s="119"/>
      <c r="S2374" s="118">
        <v>20900</v>
      </c>
      <c r="T2374" s="119"/>
      <c r="U2374" s="118">
        <f t="shared" ref="U2374" si="769">SUM(K2374:T2375)</f>
        <v>744300</v>
      </c>
      <c r="V2374" s="122"/>
      <c r="W2374" s="124"/>
      <c r="X2374" s="126" t="s">
        <v>8424</v>
      </c>
      <c r="Y2374" s="127"/>
      <c r="Z2374" s="127"/>
      <c r="AA2374" s="127"/>
      <c r="AB2374" s="128"/>
      <c r="AC2374" s="15" t="s">
        <v>20</v>
      </c>
      <c r="AD2374" s="129"/>
      <c r="AE2374" s="130"/>
      <c r="AF2374" s="130"/>
      <c r="AG2374" s="130"/>
      <c r="AH2374" s="130"/>
      <c r="AI2374" s="131"/>
      <c r="AJ2374" s="132"/>
      <c r="AK2374" s="127"/>
      <c r="AL2374" s="128"/>
      <c r="AM2374" s="21"/>
      <c r="AN2374" s="133">
        <v>45955</v>
      </c>
      <c r="AO2374" s="134"/>
      <c r="AP2374" s="135">
        <v>1273</v>
      </c>
      <c r="AQ2374" s="136"/>
      <c r="AR2374" s="118">
        <v>710000</v>
      </c>
      <c r="AS2374" s="119"/>
      <c r="AT2374" s="118">
        <f t="shared" ref="AT2374" si="770">AR2374*0.1</f>
        <v>71000</v>
      </c>
      <c r="AU2374" s="119"/>
      <c r="AV2374" s="118">
        <v>8400</v>
      </c>
      <c r="AW2374" s="119"/>
      <c r="AX2374" s="118">
        <f t="shared" ref="AX2374" si="771">SUM(AR2374:AW2374)</f>
        <v>789400</v>
      </c>
      <c r="AY2374" s="119"/>
      <c r="AZ2374" s="137">
        <v>45960</v>
      </c>
    </row>
    <row r="2375" spans="1:52" ht="17.100000000000001" customHeight="1" thickBot="1">
      <c r="A2375" s="110"/>
      <c r="B2375" s="27" t="s">
        <v>3574</v>
      </c>
      <c r="C2375" s="27">
        <v>3060</v>
      </c>
      <c r="D2375" s="14" t="s">
        <v>1556</v>
      </c>
      <c r="E2375" s="112"/>
      <c r="F2375" s="139" t="s">
        <v>7997</v>
      </c>
      <c r="G2375" s="140"/>
      <c r="H2375" s="141"/>
      <c r="I2375" s="26">
        <v>39158</v>
      </c>
      <c r="J2375" s="117"/>
      <c r="K2375" s="120"/>
      <c r="L2375" s="121"/>
      <c r="M2375" s="120"/>
      <c r="N2375" s="121"/>
      <c r="O2375" s="120"/>
      <c r="P2375" s="121"/>
      <c r="Q2375" s="120"/>
      <c r="R2375" s="121"/>
      <c r="S2375" s="120"/>
      <c r="T2375" s="121"/>
      <c r="U2375" s="120"/>
      <c r="V2375" s="123"/>
      <c r="W2375" s="125"/>
      <c r="X2375" s="142" t="s">
        <v>8425</v>
      </c>
      <c r="Y2375" s="143"/>
      <c r="Z2375" s="143"/>
      <c r="AA2375" s="143"/>
      <c r="AB2375" s="144"/>
      <c r="AC2375" s="16" t="s">
        <v>21</v>
      </c>
      <c r="AD2375" s="17" t="s">
        <v>1638</v>
      </c>
      <c r="AE2375" s="145"/>
      <c r="AF2375" s="146"/>
      <c r="AG2375" s="146"/>
      <c r="AH2375" s="146"/>
      <c r="AI2375" s="147"/>
      <c r="AJ2375" s="148"/>
      <c r="AK2375" s="143"/>
      <c r="AL2375" s="144"/>
      <c r="AM2375" s="22"/>
      <c r="AN2375" s="149" t="s">
        <v>2511</v>
      </c>
      <c r="AO2375" s="144"/>
      <c r="AP2375" s="148">
        <v>60300</v>
      </c>
      <c r="AQ2375" s="144"/>
      <c r="AR2375" s="120"/>
      <c r="AS2375" s="121"/>
      <c r="AT2375" s="120"/>
      <c r="AU2375" s="121"/>
      <c r="AV2375" s="120"/>
      <c r="AW2375" s="121"/>
      <c r="AX2375" s="120"/>
      <c r="AY2375" s="121"/>
      <c r="AZ2375" s="138"/>
    </row>
    <row r="2376" spans="1:52" ht="17.100000000000001" customHeight="1" thickTop="1">
      <c r="A2376" s="109" t="s">
        <v>8103</v>
      </c>
      <c r="B2376" s="28">
        <v>45941</v>
      </c>
      <c r="C2376" s="25">
        <v>282</v>
      </c>
      <c r="D2376" s="13" t="s">
        <v>1977</v>
      </c>
      <c r="E2376" s="111"/>
      <c r="F2376" s="113" t="s">
        <v>4483</v>
      </c>
      <c r="G2376" s="114"/>
      <c r="H2376" s="115"/>
      <c r="I2376" s="24"/>
      <c r="J2376" s="116">
        <v>4</v>
      </c>
      <c r="K2376" s="118">
        <v>871000</v>
      </c>
      <c r="L2376" s="119"/>
      <c r="M2376" s="118">
        <f t="shared" ref="M2376" si="772">K2376*0.1</f>
        <v>87100</v>
      </c>
      <c r="N2376" s="119"/>
      <c r="O2376" s="118">
        <v>0</v>
      </c>
      <c r="P2376" s="119"/>
      <c r="Q2376" s="118">
        <v>8400</v>
      </c>
      <c r="R2376" s="119"/>
      <c r="S2376" s="118">
        <v>15950</v>
      </c>
      <c r="T2376" s="119"/>
      <c r="U2376" s="118">
        <f t="shared" ref="U2376" si="773">SUM(K2376:T2377)</f>
        <v>982450</v>
      </c>
      <c r="V2376" s="122"/>
      <c r="W2376" s="124"/>
      <c r="X2376" s="126" t="s">
        <v>8525</v>
      </c>
      <c r="Y2376" s="127"/>
      <c r="Z2376" s="127"/>
      <c r="AA2376" s="127"/>
      <c r="AB2376" s="128"/>
      <c r="AC2376" s="15" t="s">
        <v>20</v>
      </c>
      <c r="AD2376" s="129"/>
      <c r="AE2376" s="130"/>
      <c r="AF2376" s="130"/>
      <c r="AG2376" s="130"/>
      <c r="AH2376" s="130"/>
      <c r="AI2376" s="131"/>
      <c r="AJ2376" s="132"/>
      <c r="AK2376" s="127"/>
      <c r="AL2376" s="128"/>
      <c r="AM2376" s="21"/>
      <c r="AN2376" s="133">
        <v>45997</v>
      </c>
      <c r="AO2376" s="134"/>
      <c r="AP2376" s="135">
        <v>1279</v>
      </c>
      <c r="AQ2376" s="136"/>
      <c r="AR2376" s="118">
        <v>880000</v>
      </c>
      <c r="AS2376" s="119"/>
      <c r="AT2376" s="118">
        <f t="shared" ref="AT2376" si="774">AR2376*0.1</f>
        <v>88000</v>
      </c>
      <c r="AU2376" s="119"/>
      <c r="AV2376" s="118">
        <v>8400</v>
      </c>
      <c r="AW2376" s="119"/>
      <c r="AX2376" s="118">
        <f t="shared" ref="AX2376" si="775">SUM(AR2376:AW2376)</f>
        <v>976400</v>
      </c>
      <c r="AY2376" s="119"/>
      <c r="AZ2376" s="137">
        <v>46000</v>
      </c>
    </row>
    <row r="2377" spans="1:52" ht="17.100000000000001" customHeight="1" thickBot="1">
      <c r="A2377" s="110"/>
      <c r="B2377" s="27" t="s">
        <v>3574</v>
      </c>
      <c r="C2377" s="27">
        <v>80011</v>
      </c>
      <c r="D2377" s="14" t="s">
        <v>2836</v>
      </c>
      <c r="E2377" s="112"/>
      <c r="F2377" s="139" t="s">
        <v>7998</v>
      </c>
      <c r="G2377" s="140"/>
      <c r="H2377" s="141"/>
      <c r="I2377" s="26">
        <v>40145</v>
      </c>
      <c r="J2377" s="117"/>
      <c r="K2377" s="120"/>
      <c r="L2377" s="121"/>
      <c r="M2377" s="120"/>
      <c r="N2377" s="121"/>
      <c r="O2377" s="120"/>
      <c r="P2377" s="121"/>
      <c r="Q2377" s="120"/>
      <c r="R2377" s="121"/>
      <c r="S2377" s="120"/>
      <c r="T2377" s="121"/>
      <c r="U2377" s="120"/>
      <c r="V2377" s="123"/>
      <c r="W2377" s="125"/>
      <c r="X2377" s="142" t="s">
        <v>8526</v>
      </c>
      <c r="Y2377" s="143"/>
      <c r="Z2377" s="143"/>
      <c r="AA2377" s="143"/>
      <c r="AB2377" s="144"/>
      <c r="AC2377" s="16" t="s">
        <v>21</v>
      </c>
      <c r="AD2377" s="17" t="s">
        <v>1648</v>
      </c>
      <c r="AE2377" s="145" t="s">
        <v>7860</v>
      </c>
      <c r="AF2377" s="146"/>
      <c r="AG2377" s="146"/>
      <c r="AH2377" s="146"/>
      <c r="AI2377" s="147"/>
      <c r="AJ2377" s="148" t="s">
        <v>8242</v>
      </c>
      <c r="AK2377" s="143"/>
      <c r="AL2377" s="144"/>
      <c r="AM2377" s="22"/>
      <c r="AN2377" s="149" t="s">
        <v>2511</v>
      </c>
      <c r="AO2377" s="144"/>
      <c r="AP2377" s="148">
        <v>60086</v>
      </c>
      <c r="AQ2377" s="144"/>
      <c r="AR2377" s="120"/>
      <c r="AS2377" s="121"/>
      <c r="AT2377" s="120"/>
      <c r="AU2377" s="121"/>
      <c r="AV2377" s="120"/>
      <c r="AW2377" s="121"/>
      <c r="AX2377" s="120"/>
      <c r="AY2377" s="121"/>
      <c r="AZ2377" s="138"/>
    </row>
    <row r="2378" spans="1:52" ht="17.100000000000001" customHeight="1" thickTop="1">
      <c r="A2378" s="109" t="s">
        <v>8104</v>
      </c>
      <c r="B2378" s="28">
        <v>45941</v>
      </c>
      <c r="C2378" s="25">
        <v>282</v>
      </c>
      <c r="D2378" s="13" t="s">
        <v>1902</v>
      </c>
      <c r="E2378" s="111"/>
      <c r="F2378" s="113" t="s">
        <v>7999</v>
      </c>
      <c r="G2378" s="114"/>
      <c r="H2378" s="115"/>
      <c r="I2378" s="24"/>
      <c r="J2378" s="116">
        <v>4</v>
      </c>
      <c r="K2378" s="118">
        <v>731000</v>
      </c>
      <c r="L2378" s="119"/>
      <c r="M2378" s="118">
        <f t="shared" ref="M2378" si="776">K2378*0.1</f>
        <v>73100</v>
      </c>
      <c r="N2378" s="119"/>
      <c r="O2378" s="118">
        <v>0</v>
      </c>
      <c r="P2378" s="119"/>
      <c r="Q2378" s="118">
        <v>6470</v>
      </c>
      <c r="R2378" s="119"/>
      <c r="S2378" s="118">
        <v>15950</v>
      </c>
      <c r="T2378" s="119"/>
      <c r="U2378" s="118">
        <f t="shared" ref="U2378" si="777">SUM(K2378:T2379)</f>
        <v>826520</v>
      </c>
      <c r="V2378" s="122"/>
      <c r="W2378" s="124"/>
      <c r="X2378" s="126" t="s">
        <v>8522</v>
      </c>
      <c r="Y2378" s="127"/>
      <c r="Z2378" s="127"/>
      <c r="AA2378" s="127"/>
      <c r="AB2378" s="128"/>
      <c r="AC2378" s="15" t="s">
        <v>20</v>
      </c>
      <c r="AD2378" s="129" t="s">
        <v>1670</v>
      </c>
      <c r="AE2378" s="130"/>
      <c r="AF2378" s="130"/>
      <c r="AG2378" s="130"/>
      <c r="AH2378" s="130"/>
      <c r="AI2378" s="131"/>
      <c r="AJ2378" s="132"/>
      <c r="AK2378" s="127"/>
      <c r="AL2378" s="128"/>
      <c r="AM2378" s="21"/>
      <c r="AN2378" s="133">
        <v>45948</v>
      </c>
      <c r="AO2378" s="134"/>
      <c r="AP2378" s="135">
        <v>1272</v>
      </c>
      <c r="AQ2378" s="136"/>
      <c r="AR2378" s="118">
        <v>800000</v>
      </c>
      <c r="AS2378" s="119"/>
      <c r="AT2378" s="118">
        <f t="shared" ref="AT2378" si="778">AR2378*0.1</f>
        <v>80000</v>
      </c>
      <c r="AU2378" s="119"/>
      <c r="AV2378" s="118">
        <v>6470</v>
      </c>
      <c r="AW2378" s="119"/>
      <c r="AX2378" s="118">
        <f t="shared" ref="AX2378" si="779">SUM(AR2378:AW2378)</f>
        <v>886470</v>
      </c>
      <c r="AY2378" s="119"/>
      <c r="AZ2378" s="137">
        <v>45951</v>
      </c>
    </row>
    <row r="2379" spans="1:52" ht="17.100000000000001" customHeight="1" thickBot="1">
      <c r="A2379" s="110"/>
      <c r="B2379" s="27" t="s">
        <v>3574</v>
      </c>
      <c r="C2379" s="27">
        <v>80017</v>
      </c>
      <c r="D2379" s="14" t="s">
        <v>275</v>
      </c>
      <c r="E2379" s="112"/>
      <c r="F2379" s="139" t="s">
        <v>8000</v>
      </c>
      <c r="G2379" s="140"/>
      <c r="H2379" s="141"/>
      <c r="I2379" s="26">
        <v>54309</v>
      </c>
      <c r="J2379" s="117"/>
      <c r="K2379" s="120"/>
      <c r="L2379" s="121"/>
      <c r="M2379" s="120"/>
      <c r="N2379" s="121"/>
      <c r="O2379" s="120"/>
      <c r="P2379" s="121"/>
      <c r="Q2379" s="120"/>
      <c r="R2379" s="121"/>
      <c r="S2379" s="120"/>
      <c r="T2379" s="121"/>
      <c r="U2379" s="120"/>
      <c r="V2379" s="123"/>
      <c r="W2379" s="125"/>
      <c r="X2379" s="142" t="s">
        <v>8523</v>
      </c>
      <c r="Y2379" s="143"/>
      <c r="Z2379" s="143"/>
      <c r="AA2379" s="143"/>
      <c r="AB2379" s="144"/>
      <c r="AC2379" s="16" t="s">
        <v>21</v>
      </c>
      <c r="AD2379" s="17" t="s">
        <v>1638</v>
      </c>
      <c r="AE2379" s="145" t="s">
        <v>8524</v>
      </c>
      <c r="AF2379" s="146"/>
      <c r="AG2379" s="146"/>
      <c r="AH2379" s="146"/>
      <c r="AI2379" s="147"/>
      <c r="AJ2379" s="148"/>
      <c r="AK2379" s="143"/>
      <c r="AL2379" s="144"/>
      <c r="AM2379" s="22"/>
      <c r="AN2379" s="149" t="s">
        <v>2511</v>
      </c>
      <c r="AO2379" s="144"/>
      <c r="AP2379" s="148">
        <v>60066</v>
      </c>
      <c r="AQ2379" s="144"/>
      <c r="AR2379" s="120"/>
      <c r="AS2379" s="121"/>
      <c r="AT2379" s="120"/>
      <c r="AU2379" s="121"/>
      <c r="AV2379" s="120"/>
      <c r="AW2379" s="121"/>
      <c r="AX2379" s="120"/>
      <c r="AY2379" s="121"/>
      <c r="AZ2379" s="138"/>
    </row>
    <row r="2380" spans="1:52" ht="17.100000000000001" customHeight="1" thickTop="1">
      <c r="A2380" s="109" t="s">
        <v>8105</v>
      </c>
      <c r="B2380" s="28">
        <v>45941</v>
      </c>
      <c r="C2380" s="25">
        <v>993</v>
      </c>
      <c r="D2380" s="13" t="s">
        <v>1803</v>
      </c>
      <c r="E2380" s="111"/>
      <c r="F2380" s="113" t="s">
        <v>4520</v>
      </c>
      <c r="G2380" s="114"/>
      <c r="H2380" s="115"/>
      <c r="I2380" s="24" t="s">
        <v>2064</v>
      </c>
      <c r="J2380" s="116">
        <v>4</v>
      </c>
      <c r="K2380" s="118">
        <v>1973000</v>
      </c>
      <c r="L2380" s="119"/>
      <c r="M2380" s="118">
        <f t="shared" ref="M2380" si="780">K2380*0.1</f>
        <v>197300</v>
      </c>
      <c r="N2380" s="119"/>
      <c r="O2380" s="118">
        <v>18040</v>
      </c>
      <c r="P2380" s="119"/>
      <c r="Q2380" s="118">
        <v>15570</v>
      </c>
      <c r="R2380" s="119"/>
      <c r="S2380" s="118">
        <v>15950</v>
      </c>
      <c r="T2380" s="119"/>
      <c r="U2380" s="118">
        <f t="shared" ref="U2380" si="781">SUM(K2380:T2381)</f>
        <v>2219860</v>
      </c>
      <c r="V2380" s="122"/>
      <c r="W2380" s="124"/>
      <c r="X2380" s="126" t="s">
        <v>8002</v>
      </c>
      <c r="Y2380" s="127"/>
      <c r="Z2380" s="127"/>
      <c r="AA2380" s="127"/>
      <c r="AB2380" s="128"/>
      <c r="AC2380" s="15" t="s">
        <v>20</v>
      </c>
      <c r="AD2380" s="129" t="s">
        <v>8003</v>
      </c>
      <c r="AE2380" s="130"/>
      <c r="AF2380" s="130"/>
      <c r="AG2380" s="130"/>
      <c r="AH2380" s="130"/>
      <c r="AI2380" s="131"/>
      <c r="AJ2380" s="132"/>
      <c r="AK2380" s="127"/>
      <c r="AL2380" s="128"/>
      <c r="AM2380" s="21"/>
      <c r="AN2380" s="133">
        <v>45962</v>
      </c>
      <c r="AO2380" s="134"/>
      <c r="AP2380" s="135">
        <v>1274</v>
      </c>
      <c r="AQ2380" s="136"/>
      <c r="AR2380" s="118">
        <v>1975000</v>
      </c>
      <c r="AS2380" s="119"/>
      <c r="AT2380" s="118">
        <f t="shared" ref="AT2380" si="782">AR2380*0.1</f>
        <v>197500</v>
      </c>
      <c r="AU2380" s="119"/>
      <c r="AV2380" s="118">
        <v>15570</v>
      </c>
      <c r="AW2380" s="119"/>
      <c r="AX2380" s="118">
        <f t="shared" ref="AX2380" si="783">SUM(AR2380:AW2380)</f>
        <v>2188070</v>
      </c>
      <c r="AY2380" s="119"/>
      <c r="AZ2380" s="137">
        <v>45965</v>
      </c>
    </row>
    <row r="2381" spans="1:52" ht="17.100000000000001" customHeight="1" thickBot="1">
      <c r="A2381" s="110"/>
      <c r="B2381" s="27" t="s">
        <v>1707</v>
      </c>
      <c r="C2381" s="27">
        <v>5108</v>
      </c>
      <c r="D2381" s="14" t="s">
        <v>1576</v>
      </c>
      <c r="E2381" s="112"/>
      <c r="F2381" s="139" t="s">
        <v>8001</v>
      </c>
      <c r="G2381" s="140"/>
      <c r="H2381" s="141"/>
      <c r="I2381" s="26">
        <v>37004</v>
      </c>
      <c r="J2381" s="117"/>
      <c r="K2381" s="120"/>
      <c r="L2381" s="121"/>
      <c r="M2381" s="120"/>
      <c r="N2381" s="121"/>
      <c r="O2381" s="120"/>
      <c r="P2381" s="121"/>
      <c r="Q2381" s="120"/>
      <c r="R2381" s="121"/>
      <c r="S2381" s="120"/>
      <c r="T2381" s="121"/>
      <c r="U2381" s="120"/>
      <c r="V2381" s="123"/>
      <c r="W2381" s="125"/>
      <c r="X2381" s="142" t="s">
        <v>1656</v>
      </c>
      <c r="Y2381" s="143"/>
      <c r="Z2381" s="143"/>
      <c r="AA2381" s="143"/>
      <c r="AB2381" s="144"/>
      <c r="AC2381" s="16" t="s">
        <v>21</v>
      </c>
      <c r="AD2381" s="17" t="s">
        <v>8763</v>
      </c>
      <c r="AE2381" s="145" t="s">
        <v>8804</v>
      </c>
      <c r="AF2381" s="146"/>
      <c r="AG2381" s="146"/>
      <c r="AH2381" s="146"/>
      <c r="AI2381" s="147"/>
      <c r="AJ2381" s="148"/>
      <c r="AK2381" s="143"/>
      <c r="AL2381" s="144"/>
      <c r="AM2381" s="22"/>
      <c r="AN2381" s="149" t="s">
        <v>2511</v>
      </c>
      <c r="AO2381" s="144"/>
      <c r="AP2381" s="148">
        <v>80087</v>
      </c>
      <c r="AQ2381" s="144"/>
      <c r="AR2381" s="120"/>
      <c r="AS2381" s="121"/>
      <c r="AT2381" s="120"/>
      <c r="AU2381" s="121"/>
      <c r="AV2381" s="120"/>
      <c r="AW2381" s="121"/>
      <c r="AX2381" s="120"/>
      <c r="AY2381" s="121"/>
      <c r="AZ2381" s="138"/>
    </row>
    <row r="2382" spans="1:52" ht="17.100000000000001" customHeight="1" thickTop="1">
      <c r="A2382" s="109" t="s">
        <v>8106</v>
      </c>
      <c r="B2382" s="28">
        <v>45941</v>
      </c>
      <c r="C2382" s="25">
        <v>1514</v>
      </c>
      <c r="D2382" s="13" t="s">
        <v>1597</v>
      </c>
      <c r="E2382" s="111"/>
      <c r="F2382" s="113" t="s">
        <v>8004</v>
      </c>
      <c r="G2382" s="114"/>
      <c r="H2382" s="115"/>
      <c r="I2382" s="24"/>
      <c r="J2382" s="116">
        <v>4.5</v>
      </c>
      <c r="K2382" s="118">
        <v>1940000</v>
      </c>
      <c r="L2382" s="119"/>
      <c r="M2382" s="118">
        <f t="shared" ref="M2382" si="784">K2382*0.1</f>
        <v>194000</v>
      </c>
      <c r="N2382" s="119"/>
      <c r="O2382" s="118">
        <v>0</v>
      </c>
      <c r="P2382" s="119"/>
      <c r="Q2382" s="118">
        <v>21720</v>
      </c>
      <c r="R2382" s="119"/>
      <c r="S2382" s="118">
        <v>16500</v>
      </c>
      <c r="T2382" s="119"/>
      <c r="U2382" s="118">
        <f t="shared" ref="U2382" si="785">SUM(K2382:T2383)</f>
        <v>2172220</v>
      </c>
      <c r="V2382" s="122"/>
      <c r="W2382" s="124"/>
      <c r="X2382" s="126" t="s">
        <v>8517</v>
      </c>
      <c r="Y2382" s="127"/>
      <c r="Z2382" s="127"/>
      <c r="AA2382" s="127"/>
      <c r="AB2382" s="128"/>
      <c r="AC2382" s="15" t="s">
        <v>20</v>
      </c>
      <c r="AD2382" s="129" t="s">
        <v>8107</v>
      </c>
      <c r="AE2382" s="130"/>
      <c r="AF2382" s="130"/>
      <c r="AG2382" s="130"/>
      <c r="AH2382" s="130"/>
      <c r="AI2382" s="131"/>
      <c r="AJ2382" s="132"/>
      <c r="AK2382" s="127"/>
      <c r="AL2382" s="128"/>
      <c r="AM2382" s="21"/>
      <c r="AN2382" s="133">
        <v>45953</v>
      </c>
      <c r="AO2382" s="134"/>
      <c r="AP2382" s="135">
        <v>1303</v>
      </c>
      <c r="AQ2382" s="136"/>
      <c r="AR2382" s="118">
        <v>2090000</v>
      </c>
      <c r="AS2382" s="119"/>
      <c r="AT2382" s="118">
        <f t="shared" ref="AT2382" si="786">AR2382*0.1</f>
        <v>209000</v>
      </c>
      <c r="AU2382" s="119"/>
      <c r="AV2382" s="118">
        <v>21720</v>
      </c>
      <c r="AW2382" s="119"/>
      <c r="AX2382" s="118">
        <f t="shared" ref="AX2382" si="787">SUM(AR2382:AW2382)</f>
        <v>2320720</v>
      </c>
      <c r="AY2382" s="119"/>
      <c r="AZ2382" s="137">
        <v>45954</v>
      </c>
    </row>
    <row r="2383" spans="1:52" ht="17.100000000000001" customHeight="1" thickBot="1">
      <c r="A2383" s="110"/>
      <c r="B2383" s="27" t="s">
        <v>1555</v>
      </c>
      <c r="C2383" s="27">
        <v>83107</v>
      </c>
      <c r="D2383" s="14" t="s">
        <v>1592</v>
      </c>
      <c r="E2383" s="112"/>
      <c r="F2383" s="139" t="s">
        <v>8005</v>
      </c>
      <c r="G2383" s="140"/>
      <c r="H2383" s="141"/>
      <c r="I2383" s="26">
        <v>45870</v>
      </c>
      <c r="J2383" s="117"/>
      <c r="K2383" s="120"/>
      <c r="L2383" s="121"/>
      <c r="M2383" s="120"/>
      <c r="N2383" s="121"/>
      <c r="O2383" s="120"/>
      <c r="P2383" s="121"/>
      <c r="Q2383" s="120"/>
      <c r="R2383" s="121"/>
      <c r="S2383" s="120"/>
      <c r="T2383" s="121"/>
      <c r="U2383" s="120"/>
      <c r="V2383" s="123"/>
      <c r="W2383" s="125"/>
      <c r="X2383" s="142" t="s">
        <v>2830</v>
      </c>
      <c r="Y2383" s="143"/>
      <c r="Z2383" s="143"/>
      <c r="AA2383" s="143"/>
      <c r="AB2383" s="144"/>
      <c r="AC2383" s="16" t="s">
        <v>21</v>
      </c>
      <c r="AD2383" s="17" t="s">
        <v>1648</v>
      </c>
      <c r="AE2383" s="145" t="s">
        <v>3123</v>
      </c>
      <c r="AF2383" s="146"/>
      <c r="AG2383" s="146"/>
      <c r="AH2383" s="146"/>
      <c r="AI2383" s="147"/>
      <c r="AJ2383" s="148"/>
      <c r="AK2383" s="143"/>
      <c r="AL2383" s="144"/>
      <c r="AM2383" s="22"/>
      <c r="AN2383" s="149" t="s">
        <v>1747</v>
      </c>
      <c r="AO2383" s="144"/>
      <c r="AP2383" s="148">
        <v>88</v>
      </c>
      <c r="AQ2383" s="144"/>
      <c r="AR2383" s="120"/>
      <c r="AS2383" s="121"/>
      <c r="AT2383" s="120"/>
      <c r="AU2383" s="121"/>
      <c r="AV2383" s="120"/>
      <c r="AW2383" s="121"/>
      <c r="AX2383" s="120"/>
      <c r="AY2383" s="121"/>
      <c r="AZ2383" s="138"/>
    </row>
    <row r="2384" spans="1:52" ht="17.100000000000001" customHeight="1" thickTop="1">
      <c r="A2384" s="109" t="s">
        <v>8108</v>
      </c>
      <c r="B2384" s="28">
        <v>45941</v>
      </c>
      <c r="C2384" s="25">
        <v>1436</v>
      </c>
      <c r="D2384" s="13" t="s">
        <v>2941</v>
      </c>
      <c r="E2384" s="111"/>
      <c r="F2384" s="113" t="s">
        <v>8045</v>
      </c>
      <c r="G2384" s="114"/>
      <c r="H2384" s="115"/>
      <c r="I2384" s="24" t="s">
        <v>8047</v>
      </c>
      <c r="J2384" s="116">
        <v>4</v>
      </c>
      <c r="K2384" s="118">
        <v>910000</v>
      </c>
      <c r="L2384" s="119"/>
      <c r="M2384" s="118">
        <f t="shared" ref="M2384" si="788">K2384*0.1</f>
        <v>91000</v>
      </c>
      <c r="N2384" s="119"/>
      <c r="O2384" s="118">
        <v>0</v>
      </c>
      <c r="P2384" s="119"/>
      <c r="Q2384" s="118">
        <v>8790</v>
      </c>
      <c r="R2384" s="119"/>
      <c r="S2384" s="118">
        <v>16500</v>
      </c>
      <c r="T2384" s="119"/>
      <c r="U2384" s="118">
        <f t="shared" ref="U2384" si="789">SUM(K2384:T2385)</f>
        <v>1026290</v>
      </c>
      <c r="V2384" s="122"/>
      <c r="W2384" s="124"/>
      <c r="X2384" s="126" t="s">
        <v>8048</v>
      </c>
      <c r="Y2384" s="127"/>
      <c r="Z2384" s="127"/>
      <c r="AA2384" s="127"/>
      <c r="AB2384" s="128"/>
      <c r="AC2384" s="15" t="s">
        <v>20</v>
      </c>
      <c r="AD2384" s="129" t="s">
        <v>1575</v>
      </c>
      <c r="AE2384" s="130"/>
      <c r="AF2384" s="130"/>
      <c r="AG2384" s="130"/>
      <c r="AH2384" s="130"/>
      <c r="AI2384" s="131"/>
      <c r="AJ2384" s="132"/>
      <c r="AK2384" s="127"/>
      <c r="AL2384" s="128"/>
      <c r="AM2384" s="21"/>
      <c r="AN2384" s="133">
        <v>45955</v>
      </c>
      <c r="AO2384" s="134"/>
      <c r="AP2384" s="135">
        <v>1273</v>
      </c>
      <c r="AQ2384" s="136"/>
      <c r="AR2384" s="118">
        <v>1005000</v>
      </c>
      <c r="AS2384" s="119"/>
      <c r="AT2384" s="118">
        <f t="shared" ref="AT2384" si="790">AR2384*0.1</f>
        <v>100500</v>
      </c>
      <c r="AU2384" s="119"/>
      <c r="AV2384" s="118">
        <v>8790</v>
      </c>
      <c r="AW2384" s="119"/>
      <c r="AX2384" s="118">
        <f t="shared" ref="AX2384" si="791">SUM(AR2384:AW2384)</f>
        <v>1114290</v>
      </c>
      <c r="AY2384" s="119"/>
      <c r="AZ2384" s="137">
        <v>45958</v>
      </c>
    </row>
    <row r="2385" spans="1:52" ht="17.100000000000001" customHeight="1" thickBot="1">
      <c r="A2385" s="110"/>
      <c r="B2385" s="27" t="s">
        <v>1779</v>
      </c>
      <c r="C2385" s="27">
        <v>7299</v>
      </c>
      <c r="D2385" s="14" t="s">
        <v>1812</v>
      </c>
      <c r="E2385" s="112"/>
      <c r="F2385" s="139" t="s">
        <v>8046</v>
      </c>
      <c r="G2385" s="140"/>
      <c r="H2385" s="141"/>
      <c r="I2385" s="26">
        <v>31693</v>
      </c>
      <c r="J2385" s="117"/>
      <c r="K2385" s="120"/>
      <c r="L2385" s="121"/>
      <c r="M2385" s="120"/>
      <c r="N2385" s="121"/>
      <c r="O2385" s="120"/>
      <c r="P2385" s="121"/>
      <c r="Q2385" s="120"/>
      <c r="R2385" s="121"/>
      <c r="S2385" s="120"/>
      <c r="T2385" s="121"/>
      <c r="U2385" s="120"/>
      <c r="V2385" s="123"/>
      <c r="W2385" s="125"/>
      <c r="X2385" s="142" t="s">
        <v>8428</v>
      </c>
      <c r="Y2385" s="143"/>
      <c r="Z2385" s="143"/>
      <c r="AA2385" s="143"/>
      <c r="AB2385" s="144"/>
      <c r="AC2385" s="16" t="s">
        <v>21</v>
      </c>
      <c r="AD2385" s="17" t="s">
        <v>1638</v>
      </c>
      <c r="AE2385" s="145" t="s">
        <v>171</v>
      </c>
      <c r="AF2385" s="146"/>
      <c r="AG2385" s="146"/>
      <c r="AH2385" s="146"/>
      <c r="AI2385" s="147"/>
      <c r="AJ2385" s="148"/>
      <c r="AK2385" s="143"/>
      <c r="AL2385" s="144"/>
      <c r="AM2385" s="22"/>
      <c r="AN2385" s="149" t="s">
        <v>2511</v>
      </c>
      <c r="AO2385" s="144"/>
      <c r="AP2385" s="148">
        <v>60243</v>
      </c>
      <c r="AQ2385" s="144"/>
      <c r="AR2385" s="120"/>
      <c r="AS2385" s="121"/>
      <c r="AT2385" s="120"/>
      <c r="AU2385" s="121"/>
      <c r="AV2385" s="120"/>
      <c r="AW2385" s="121"/>
      <c r="AX2385" s="120"/>
      <c r="AY2385" s="121"/>
      <c r="AZ2385" s="138"/>
    </row>
    <row r="2386" spans="1:52" ht="17.100000000000001" customHeight="1" thickTop="1">
      <c r="A2386" s="109" t="s">
        <v>8109</v>
      </c>
      <c r="B2386" s="28">
        <v>45941</v>
      </c>
      <c r="C2386" s="25">
        <v>1271</v>
      </c>
      <c r="D2386" s="13" t="s">
        <v>1631</v>
      </c>
      <c r="E2386" s="111"/>
      <c r="F2386" s="113" t="s">
        <v>7076</v>
      </c>
      <c r="G2386" s="114"/>
      <c r="H2386" s="115"/>
      <c r="I2386" s="24" t="s">
        <v>8007</v>
      </c>
      <c r="J2386" s="116">
        <v>4.5</v>
      </c>
      <c r="K2386" s="118">
        <v>1295000</v>
      </c>
      <c r="L2386" s="119"/>
      <c r="M2386" s="118">
        <f t="shared" ref="M2386" si="792">K2386*0.1</f>
        <v>129500</v>
      </c>
      <c r="N2386" s="119"/>
      <c r="O2386" s="118">
        <v>0</v>
      </c>
      <c r="P2386" s="119"/>
      <c r="Q2386" s="118">
        <v>8390</v>
      </c>
      <c r="R2386" s="119"/>
      <c r="S2386" s="118">
        <v>12100</v>
      </c>
      <c r="T2386" s="119"/>
      <c r="U2386" s="118">
        <f t="shared" ref="U2386" si="793">SUM(K2386:T2387)</f>
        <v>1444990</v>
      </c>
      <c r="V2386" s="122"/>
      <c r="W2386" s="124"/>
      <c r="X2386" s="126" t="s">
        <v>8008</v>
      </c>
      <c r="Y2386" s="127"/>
      <c r="Z2386" s="127"/>
      <c r="AA2386" s="127"/>
      <c r="AB2386" s="128"/>
      <c r="AC2386" s="15" t="s">
        <v>20</v>
      </c>
      <c r="AD2386" s="129"/>
      <c r="AE2386" s="130"/>
      <c r="AF2386" s="130"/>
      <c r="AG2386" s="130"/>
      <c r="AH2386" s="130"/>
      <c r="AI2386" s="131"/>
      <c r="AJ2386" s="132"/>
      <c r="AK2386" s="127"/>
      <c r="AL2386" s="128"/>
      <c r="AM2386" s="21" t="s">
        <v>11031</v>
      </c>
      <c r="AN2386" s="133">
        <v>46092</v>
      </c>
      <c r="AO2386" s="134"/>
      <c r="AP2386" s="135">
        <v>1008</v>
      </c>
      <c r="AQ2386" s="136"/>
      <c r="AR2386" s="118">
        <v>1300000</v>
      </c>
      <c r="AS2386" s="119"/>
      <c r="AT2386" s="118">
        <f t="shared" ref="AT2386" si="794">AR2386*0.1</f>
        <v>130000</v>
      </c>
      <c r="AU2386" s="119"/>
      <c r="AV2386" s="118">
        <v>8390</v>
      </c>
      <c r="AW2386" s="119"/>
      <c r="AX2386" s="118">
        <f t="shared" ref="AX2386" si="795">SUM(AR2386:AW2386)</f>
        <v>1438390</v>
      </c>
      <c r="AY2386" s="119"/>
      <c r="AZ2386" s="137">
        <v>46100</v>
      </c>
    </row>
    <row r="2387" spans="1:52" ht="17.100000000000001" customHeight="1" thickBot="1">
      <c r="A2387" s="110"/>
      <c r="B2387" s="27" t="s">
        <v>2511</v>
      </c>
      <c r="C2387" s="27">
        <v>31072</v>
      </c>
      <c r="D2387" s="14" t="s">
        <v>1812</v>
      </c>
      <c r="E2387" s="112"/>
      <c r="F2387" s="139" t="s">
        <v>8006</v>
      </c>
      <c r="G2387" s="140"/>
      <c r="H2387" s="141"/>
      <c r="I2387" s="26">
        <v>17760</v>
      </c>
      <c r="J2387" s="117"/>
      <c r="K2387" s="120"/>
      <c r="L2387" s="121"/>
      <c r="M2387" s="120"/>
      <c r="N2387" s="121"/>
      <c r="O2387" s="120"/>
      <c r="P2387" s="121"/>
      <c r="Q2387" s="120"/>
      <c r="R2387" s="121"/>
      <c r="S2387" s="120"/>
      <c r="T2387" s="121"/>
      <c r="U2387" s="120"/>
      <c r="V2387" s="123"/>
      <c r="W2387" s="125"/>
      <c r="X2387" s="142" t="s">
        <v>2918</v>
      </c>
      <c r="Y2387" s="143"/>
      <c r="Z2387" s="143"/>
      <c r="AA2387" s="143"/>
      <c r="AB2387" s="144"/>
      <c r="AC2387" s="16" t="s">
        <v>21</v>
      </c>
      <c r="AD2387" s="17" t="s">
        <v>3348</v>
      </c>
      <c r="AE2387" s="145" t="s">
        <v>6835</v>
      </c>
      <c r="AF2387" s="146"/>
      <c r="AG2387" s="146"/>
      <c r="AH2387" s="146"/>
      <c r="AI2387" s="147"/>
      <c r="AJ2387" s="148"/>
      <c r="AK2387" s="143"/>
      <c r="AL2387" s="144"/>
      <c r="AM2387" s="22"/>
      <c r="AN2387" s="149" t="s">
        <v>8809</v>
      </c>
      <c r="AO2387" s="144"/>
      <c r="AP2387" s="148">
        <v>2042</v>
      </c>
      <c r="AQ2387" s="144"/>
      <c r="AR2387" s="120"/>
      <c r="AS2387" s="121"/>
      <c r="AT2387" s="120"/>
      <c r="AU2387" s="121"/>
      <c r="AV2387" s="120"/>
      <c r="AW2387" s="121"/>
      <c r="AX2387" s="120"/>
      <c r="AY2387" s="121"/>
      <c r="AZ2387" s="138"/>
    </row>
    <row r="2388" spans="1:52" ht="17.100000000000001" customHeight="1" thickTop="1">
      <c r="A2388" s="109" t="s">
        <v>8112</v>
      </c>
      <c r="B2388" s="28">
        <v>45941</v>
      </c>
      <c r="C2388" s="25">
        <v>1271</v>
      </c>
      <c r="D2388" s="13" t="s">
        <v>2654</v>
      </c>
      <c r="E2388" s="111"/>
      <c r="F2388" s="113" t="s">
        <v>8009</v>
      </c>
      <c r="G2388" s="114"/>
      <c r="H2388" s="115"/>
      <c r="I2388" s="24" t="s">
        <v>5147</v>
      </c>
      <c r="J2388" s="116">
        <v>4</v>
      </c>
      <c r="K2388" s="118">
        <v>1025000</v>
      </c>
      <c r="L2388" s="119"/>
      <c r="M2388" s="118">
        <f t="shared" ref="M2388" si="796">K2388*0.1</f>
        <v>102500</v>
      </c>
      <c r="N2388" s="119"/>
      <c r="O2388" s="118">
        <v>0</v>
      </c>
      <c r="P2388" s="119"/>
      <c r="Q2388" s="118">
        <v>9310</v>
      </c>
      <c r="R2388" s="119"/>
      <c r="S2388" s="118">
        <v>12100</v>
      </c>
      <c r="T2388" s="119"/>
      <c r="U2388" s="118">
        <f t="shared" ref="U2388" si="797">SUM(K2388:T2389)</f>
        <v>1148910</v>
      </c>
      <c r="V2388" s="122"/>
      <c r="W2388" s="124"/>
      <c r="X2388" s="126" t="s">
        <v>8011</v>
      </c>
      <c r="Y2388" s="127"/>
      <c r="Z2388" s="127"/>
      <c r="AA2388" s="127"/>
      <c r="AB2388" s="128"/>
      <c r="AC2388" s="15" t="s">
        <v>20</v>
      </c>
      <c r="AD2388" s="129" t="s">
        <v>1732</v>
      </c>
      <c r="AE2388" s="130"/>
      <c r="AF2388" s="130"/>
      <c r="AG2388" s="130"/>
      <c r="AH2388" s="130"/>
      <c r="AI2388" s="131"/>
      <c r="AJ2388" s="132"/>
      <c r="AK2388" s="127"/>
      <c r="AL2388" s="128"/>
      <c r="AM2388" s="21" t="s">
        <v>11037</v>
      </c>
      <c r="AN2388" s="133">
        <v>45990</v>
      </c>
      <c r="AO2388" s="134"/>
      <c r="AP2388" s="135">
        <v>1278</v>
      </c>
      <c r="AQ2388" s="136"/>
      <c r="AR2388" s="118">
        <v>1160000</v>
      </c>
      <c r="AS2388" s="119"/>
      <c r="AT2388" s="118">
        <f t="shared" ref="AT2388" si="798">AR2388*0.1</f>
        <v>116000</v>
      </c>
      <c r="AU2388" s="119"/>
      <c r="AV2388" s="118">
        <v>9310</v>
      </c>
      <c r="AW2388" s="119"/>
      <c r="AX2388" s="118">
        <f t="shared" ref="AX2388" si="799">SUM(AR2388:AW2388)</f>
        <v>1285310</v>
      </c>
      <c r="AY2388" s="119"/>
      <c r="AZ2388" s="137">
        <v>45994</v>
      </c>
    </row>
    <row r="2389" spans="1:52" ht="17.100000000000001" customHeight="1" thickBot="1">
      <c r="A2389" s="110"/>
      <c r="B2389" s="27" t="s">
        <v>2511</v>
      </c>
      <c r="C2389" s="27">
        <v>31089</v>
      </c>
      <c r="D2389" s="14" t="s">
        <v>2836</v>
      </c>
      <c r="E2389" s="112"/>
      <c r="F2389" s="139" t="s">
        <v>8010</v>
      </c>
      <c r="G2389" s="140"/>
      <c r="H2389" s="141"/>
      <c r="I2389" s="26">
        <v>39570</v>
      </c>
      <c r="J2389" s="117"/>
      <c r="K2389" s="120"/>
      <c r="L2389" s="121"/>
      <c r="M2389" s="120"/>
      <c r="N2389" s="121"/>
      <c r="O2389" s="120"/>
      <c r="P2389" s="121"/>
      <c r="Q2389" s="120"/>
      <c r="R2389" s="121"/>
      <c r="S2389" s="120"/>
      <c r="T2389" s="121"/>
      <c r="U2389" s="120"/>
      <c r="V2389" s="123"/>
      <c r="W2389" s="125"/>
      <c r="X2389" s="142" t="s">
        <v>8814</v>
      </c>
      <c r="Y2389" s="143"/>
      <c r="Z2389" s="143"/>
      <c r="AA2389" s="143"/>
      <c r="AB2389" s="144"/>
      <c r="AC2389" s="16" t="s">
        <v>21</v>
      </c>
      <c r="AD2389" s="17" t="s">
        <v>3348</v>
      </c>
      <c r="AE2389" s="145" t="s">
        <v>2198</v>
      </c>
      <c r="AF2389" s="146"/>
      <c r="AG2389" s="146"/>
      <c r="AH2389" s="146"/>
      <c r="AI2389" s="147"/>
      <c r="AJ2389" s="148"/>
      <c r="AK2389" s="143"/>
      <c r="AL2389" s="144"/>
      <c r="AM2389" s="22"/>
      <c r="AN2389" s="149" t="s">
        <v>2511</v>
      </c>
      <c r="AO2389" s="144"/>
      <c r="AP2389" s="148">
        <v>60442</v>
      </c>
      <c r="AQ2389" s="144"/>
      <c r="AR2389" s="120"/>
      <c r="AS2389" s="121"/>
      <c r="AT2389" s="120"/>
      <c r="AU2389" s="121"/>
      <c r="AV2389" s="120"/>
      <c r="AW2389" s="121"/>
      <c r="AX2389" s="120"/>
      <c r="AY2389" s="121"/>
      <c r="AZ2389" s="138"/>
    </row>
    <row r="2390" spans="1:52" ht="17.100000000000001" customHeight="1" thickTop="1">
      <c r="A2390" s="109" t="s">
        <v>8113</v>
      </c>
      <c r="B2390" s="28">
        <v>45941</v>
      </c>
      <c r="C2390" s="25">
        <v>1271</v>
      </c>
      <c r="D2390" s="13" t="s">
        <v>4670</v>
      </c>
      <c r="E2390" s="111"/>
      <c r="F2390" s="113" t="s">
        <v>8012</v>
      </c>
      <c r="G2390" s="114"/>
      <c r="H2390" s="115"/>
      <c r="I2390" s="24" t="s">
        <v>5405</v>
      </c>
      <c r="J2390" s="116">
        <v>4</v>
      </c>
      <c r="K2390" s="118">
        <v>895000</v>
      </c>
      <c r="L2390" s="119"/>
      <c r="M2390" s="118">
        <f t="shared" ref="M2390" si="800">K2390*0.1</f>
        <v>89500</v>
      </c>
      <c r="N2390" s="119"/>
      <c r="O2390" s="118">
        <f>18700+1870</f>
        <v>20570</v>
      </c>
      <c r="P2390" s="119"/>
      <c r="Q2390" s="118">
        <v>16260</v>
      </c>
      <c r="R2390" s="119"/>
      <c r="S2390" s="118">
        <v>12100</v>
      </c>
      <c r="T2390" s="119"/>
      <c r="U2390" s="118">
        <f t="shared" ref="U2390" si="801">SUM(K2390:T2391)</f>
        <v>1033430</v>
      </c>
      <c r="V2390" s="122"/>
      <c r="W2390" s="124"/>
      <c r="X2390" s="126" t="s">
        <v>8014</v>
      </c>
      <c r="Y2390" s="127"/>
      <c r="Z2390" s="127"/>
      <c r="AA2390" s="127"/>
      <c r="AB2390" s="128"/>
      <c r="AC2390" s="15" t="s">
        <v>20</v>
      </c>
      <c r="AD2390" s="129"/>
      <c r="AE2390" s="130"/>
      <c r="AF2390" s="130"/>
      <c r="AG2390" s="130"/>
      <c r="AH2390" s="130"/>
      <c r="AI2390" s="131"/>
      <c r="AJ2390" s="132"/>
      <c r="AK2390" s="127"/>
      <c r="AL2390" s="128"/>
      <c r="AM2390" s="21" t="s">
        <v>10800</v>
      </c>
      <c r="AN2390" s="133">
        <v>45987</v>
      </c>
      <c r="AO2390" s="134"/>
      <c r="AP2390" s="135">
        <v>994</v>
      </c>
      <c r="AQ2390" s="136"/>
      <c r="AR2390" s="118">
        <v>915000</v>
      </c>
      <c r="AS2390" s="119"/>
      <c r="AT2390" s="118">
        <f t="shared" ref="AT2390" si="802">AR2390*0.1</f>
        <v>91500</v>
      </c>
      <c r="AU2390" s="119"/>
      <c r="AV2390" s="118">
        <v>16260</v>
      </c>
      <c r="AW2390" s="119"/>
      <c r="AX2390" s="118">
        <f t="shared" ref="AX2390" si="803">SUM(AR2390:AW2390)</f>
        <v>1022760</v>
      </c>
      <c r="AY2390" s="119"/>
      <c r="AZ2390" s="137">
        <v>45992</v>
      </c>
    </row>
    <row r="2391" spans="1:52" ht="17.100000000000001" customHeight="1" thickBot="1">
      <c r="A2391" s="110"/>
      <c r="B2391" s="27" t="s">
        <v>2511</v>
      </c>
      <c r="C2391" s="27">
        <v>35254</v>
      </c>
      <c r="D2391" s="14" t="s">
        <v>275</v>
      </c>
      <c r="E2391" s="112"/>
      <c r="F2391" s="139" t="s">
        <v>8013</v>
      </c>
      <c r="G2391" s="140"/>
      <c r="H2391" s="141"/>
      <c r="I2391" s="26">
        <v>63549</v>
      </c>
      <c r="J2391" s="117"/>
      <c r="K2391" s="120"/>
      <c r="L2391" s="121"/>
      <c r="M2391" s="120"/>
      <c r="N2391" s="121"/>
      <c r="O2391" s="120"/>
      <c r="P2391" s="121"/>
      <c r="Q2391" s="120"/>
      <c r="R2391" s="121"/>
      <c r="S2391" s="120"/>
      <c r="T2391" s="121"/>
      <c r="U2391" s="120"/>
      <c r="V2391" s="123"/>
      <c r="W2391" s="125"/>
      <c r="X2391" s="142" t="s">
        <v>8787</v>
      </c>
      <c r="Y2391" s="143"/>
      <c r="Z2391" s="143"/>
      <c r="AA2391" s="143"/>
      <c r="AB2391" s="144"/>
      <c r="AC2391" s="16" t="s">
        <v>21</v>
      </c>
      <c r="AD2391" s="17" t="s">
        <v>8763</v>
      </c>
      <c r="AE2391" s="145" t="s">
        <v>8788</v>
      </c>
      <c r="AF2391" s="146"/>
      <c r="AG2391" s="146"/>
      <c r="AH2391" s="146"/>
      <c r="AI2391" s="147"/>
      <c r="AJ2391" s="148"/>
      <c r="AK2391" s="143"/>
      <c r="AL2391" s="144"/>
      <c r="AM2391" s="22"/>
      <c r="AN2391" s="149" t="s">
        <v>9053</v>
      </c>
      <c r="AO2391" s="144"/>
      <c r="AP2391" s="148">
        <v>6007</v>
      </c>
      <c r="AQ2391" s="144"/>
      <c r="AR2391" s="120"/>
      <c r="AS2391" s="121"/>
      <c r="AT2391" s="120"/>
      <c r="AU2391" s="121"/>
      <c r="AV2391" s="120"/>
      <c r="AW2391" s="121"/>
      <c r="AX2391" s="120"/>
      <c r="AY2391" s="121"/>
      <c r="AZ2391" s="138"/>
    </row>
    <row r="2392" spans="1:52" ht="17.100000000000001" customHeight="1" thickTop="1">
      <c r="A2392" s="109" t="s">
        <v>8114</v>
      </c>
      <c r="B2392" s="28">
        <v>45941</v>
      </c>
      <c r="C2392" s="25">
        <v>1271</v>
      </c>
      <c r="D2392" s="13" t="s">
        <v>1855</v>
      </c>
      <c r="E2392" s="111"/>
      <c r="F2392" s="113" t="s">
        <v>7085</v>
      </c>
      <c r="G2392" s="114"/>
      <c r="H2392" s="115"/>
      <c r="I2392" s="24" t="s">
        <v>4193</v>
      </c>
      <c r="J2392" s="116">
        <v>4</v>
      </c>
      <c r="K2392" s="118">
        <v>830000</v>
      </c>
      <c r="L2392" s="119"/>
      <c r="M2392" s="118">
        <f t="shared" ref="M2392" si="804">K2392*0.1</f>
        <v>83000</v>
      </c>
      <c r="N2392" s="119"/>
      <c r="O2392" s="118">
        <v>0</v>
      </c>
      <c r="P2392" s="119"/>
      <c r="Q2392" s="118">
        <v>9010</v>
      </c>
      <c r="R2392" s="119"/>
      <c r="S2392" s="118">
        <v>12100</v>
      </c>
      <c r="T2392" s="119"/>
      <c r="U2392" s="118">
        <f t="shared" ref="U2392" si="805">SUM(K2392:T2393)</f>
        <v>934110</v>
      </c>
      <c r="V2392" s="122"/>
      <c r="W2392" s="124"/>
      <c r="X2392" s="126" t="s">
        <v>8016</v>
      </c>
      <c r="Y2392" s="127"/>
      <c r="Z2392" s="127"/>
      <c r="AA2392" s="127"/>
      <c r="AB2392" s="128"/>
      <c r="AC2392" s="15" t="s">
        <v>20</v>
      </c>
      <c r="AD2392" s="129" t="s">
        <v>1797</v>
      </c>
      <c r="AE2392" s="130"/>
      <c r="AF2392" s="130"/>
      <c r="AG2392" s="130"/>
      <c r="AH2392" s="130"/>
      <c r="AI2392" s="131"/>
      <c r="AJ2392" s="132"/>
      <c r="AK2392" s="127"/>
      <c r="AL2392" s="128"/>
      <c r="AM2392" s="21"/>
      <c r="AN2392" s="133">
        <v>45959</v>
      </c>
      <c r="AO2392" s="134"/>
      <c r="AP2392" s="135">
        <v>990</v>
      </c>
      <c r="AQ2392" s="136"/>
      <c r="AR2392" s="118">
        <v>970000</v>
      </c>
      <c r="AS2392" s="119"/>
      <c r="AT2392" s="118">
        <f t="shared" ref="AT2392" si="806">AR2392*0.1</f>
        <v>97000</v>
      </c>
      <c r="AU2392" s="119"/>
      <c r="AV2392" s="118">
        <v>9010</v>
      </c>
      <c r="AW2392" s="119"/>
      <c r="AX2392" s="118">
        <f t="shared" ref="AX2392" si="807">SUM(AR2392:AW2392)</f>
        <v>1076010</v>
      </c>
      <c r="AY2392" s="119"/>
      <c r="AZ2392" s="137">
        <v>45965</v>
      </c>
    </row>
    <row r="2393" spans="1:52" ht="17.100000000000001" customHeight="1" thickBot="1">
      <c r="A2393" s="110"/>
      <c r="B2393" s="27" t="s">
        <v>2511</v>
      </c>
      <c r="C2393" s="27">
        <v>65130</v>
      </c>
      <c r="D2393" s="14" t="s">
        <v>1635</v>
      </c>
      <c r="E2393" s="112"/>
      <c r="F2393" s="139" t="s">
        <v>8015</v>
      </c>
      <c r="G2393" s="140"/>
      <c r="H2393" s="141"/>
      <c r="I2393" s="26">
        <v>44386</v>
      </c>
      <c r="J2393" s="117"/>
      <c r="K2393" s="120"/>
      <c r="L2393" s="121"/>
      <c r="M2393" s="120"/>
      <c r="N2393" s="121"/>
      <c r="O2393" s="120"/>
      <c r="P2393" s="121"/>
      <c r="Q2393" s="120"/>
      <c r="R2393" s="121"/>
      <c r="S2393" s="120"/>
      <c r="T2393" s="121"/>
      <c r="U2393" s="120"/>
      <c r="V2393" s="123"/>
      <c r="W2393" s="125"/>
      <c r="X2393" s="142" t="s">
        <v>8815</v>
      </c>
      <c r="Y2393" s="143"/>
      <c r="Z2393" s="143"/>
      <c r="AA2393" s="143"/>
      <c r="AB2393" s="144"/>
      <c r="AC2393" s="16" t="s">
        <v>21</v>
      </c>
      <c r="AD2393" s="17" t="s">
        <v>3348</v>
      </c>
      <c r="AE2393" s="145" t="s">
        <v>171</v>
      </c>
      <c r="AF2393" s="146"/>
      <c r="AG2393" s="146"/>
      <c r="AH2393" s="146"/>
      <c r="AI2393" s="147"/>
      <c r="AJ2393" s="148"/>
      <c r="AK2393" s="143"/>
      <c r="AL2393" s="144"/>
      <c r="AM2393" s="22"/>
      <c r="AN2393" s="149" t="s">
        <v>2794</v>
      </c>
      <c r="AO2393" s="144"/>
      <c r="AP2393" s="148">
        <v>2058</v>
      </c>
      <c r="AQ2393" s="144"/>
      <c r="AR2393" s="120"/>
      <c r="AS2393" s="121"/>
      <c r="AT2393" s="120"/>
      <c r="AU2393" s="121"/>
      <c r="AV2393" s="120"/>
      <c r="AW2393" s="121"/>
      <c r="AX2393" s="120"/>
      <c r="AY2393" s="121"/>
      <c r="AZ2393" s="138"/>
    </row>
    <row r="2394" spans="1:52" ht="17.100000000000001" customHeight="1" thickTop="1">
      <c r="A2394" s="109" t="s">
        <v>8115</v>
      </c>
      <c r="B2394" s="28">
        <v>45941</v>
      </c>
      <c r="C2394" s="25">
        <v>1271</v>
      </c>
      <c r="D2394" s="13" t="s">
        <v>3322</v>
      </c>
      <c r="E2394" s="111"/>
      <c r="F2394" s="113" t="s">
        <v>2598</v>
      </c>
      <c r="G2394" s="114"/>
      <c r="H2394" s="115"/>
      <c r="I2394" s="24" t="s">
        <v>8018</v>
      </c>
      <c r="J2394" s="116">
        <v>4</v>
      </c>
      <c r="K2394" s="118">
        <v>1020000</v>
      </c>
      <c r="L2394" s="119"/>
      <c r="M2394" s="118">
        <f t="shared" ref="M2394" si="808">K2394*0.1</f>
        <v>102000</v>
      </c>
      <c r="N2394" s="119"/>
      <c r="O2394" s="118">
        <v>0</v>
      </c>
      <c r="P2394" s="119"/>
      <c r="Q2394" s="118">
        <v>8390</v>
      </c>
      <c r="R2394" s="119"/>
      <c r="S2394" s="118">
        <v>12100</v>
      </c>
      <c r="T2394" s="119"/>
      <c r="U2394" s="118">
        <f t="shared" ref="U2394" si="809">SUM(K2394:T2395)</f>
        <v>1142490</v>
      </c>
      <c r="V2394" s="122"/>
      <c r="W2394" s="124"/>
      <c r="X2394" s="126" t="s">
        <v>8019</v>
      </c>
      <c r="Y2394" s="127"/>
      <c r="Z2394" s="127"/>
      <c r="AA2394" s="127"/>
      <c r="AB2394" s="128"/>
      <c r="AC2394" s="15" t="s">
        <v>20</v>
      </c>
      <c r="AD2394" s="129"/>
      <c r="AE2394" s="130"/>
      <c r="AF2394" s="130"/>
      <c r="AG2394" s="130"/>
      <c r="AH2394" s="130"/>
      <c r="AI2394" s="131"/>
      <c r="AJ2394" s="132"/>
      <c r="AK2394" s="127"/>
      <c r="AL2394" s="128"/>
      <c r="AM2394" s="21"/>
      <c r="AN2394" s="133">
        <v>45948</v>
      </c>
      <c r="AO2394" s="134"/>
      <c r="AP2394" s="135">
        <v>1272</v>
      </c>
      <c r="AQ2394" s="136"/>
      <c r="AR2394" s="118">
        <v>1215000</v>
      </c>
      <c r="AS2394" s="119"/>
      <c r="AT2394" s="118">
        <f t="shared" ref="AT2394" si="810">AR2394*0.1</f>
        <v>121500</v>
      </c>
      <c r="AU2394" s="119"/>
      <c r="AV2394" s="118">
        <v>8390</v>
      </c>
      <c r="AW2394" s="119"/>
      <c r="AX2394" s="118">
        <f t="shared" ref="AX2394" si="811">SUM(AR2394:AW2394)</f>
        <v>1344890</v>
      </c>
      <c r="AY2394" s="119"/>
      <c r="AZ2394" s="137">
        <v>45951</v>
      </c>
    </row>
    <row r="2395" spans="1:52" ht="17.100000000000001" customHeight="1" thickBot="1">
      <c r="A2395" s="110"/>
      <c r="B2395" s="27" t="s">
        <v>2511</v>
      </c>
      <c r="C2395" s="27">
        <v>65279</v>
      </c>
      <c r="D2395" s="14" t="s">
        <v>2601</v>
      </c>
      <c r="E2395" s="112"/>
      <c r="F2395" s="139" t="s">
        <v>8017</v>
      </c>
      <c r="G2395" s="140"/>
      <c r="H2395" s="141"/>
      <c r="I2395" s="26">
        <v>55793</v>
      </c>
      <c r="J2395" s="117"/>
      <c r="K2395" s="120"/>
      <c r="L2395" s="121"/>
      <c r="M2395" s="120"/>
      <c r="N2395" s="121"/>
      <c r="O2395" s="120"/>
      <c r="P2395" s="121"/>
      <c r="Q2395" s="120"/>
      <c r="R2395" s="121"/>
      <c r="S2395" s="120"/>
      <c r="T2395" s="121"/>
      <c r="U2395" s="120"/>
      <c r="V2395" s="123"/>
      <c r="W2395" s="125"/>
      <c r="X2395" s="142" t="s">
        <v>8767</v>
      </c>
      <c r="Y2395" s="143"/>
      <c r="Z2395" s="143"/>
      <c r="AA2395" s="143"/>
      <c r="AB2395" s="144"/>
      <c r="AC2395" s="16" t="s">
        <v>21</v>
      </c>
      <c r="AD2395" s="17" t="s">
        <v>8763</v>
      </c>
      <c r="AE2395" s="145" t="s">
        <v>8768</v>
      </c>
      <c r="AF2395" s="146"/>
      <c r="AG2395" s="146"/>
      <c r="AH2395" s="146"/>
      <c r="AI2395" s="147"/>
      <c r="AJ2395" s="148"/>
      <c r="AK2395" s="143"/>
      <c r="AL2395" s="144"/>
      <c r="AM2395" s="22"/>
      <c r="AN2395" s="149" t="s">
        <v>2511</v>
      </c>
      <c r="AO2395" s="144"/>
      <c r="AP2395" s="148">
        <v>60481</v>
      </c>
      <c r="AQ2395" s="144"/>
      <c r="AR2395" s="120"/>
      <c r="AS2395" s="121"/>
      <c r="AT2395" s="120"/>
      <c r="AU2395" s="121"/>
      <c r="AV2395" s="120"/>
      <c r="AW2395" s="121"/>
      <c r="AX2395" s="120"/>
      <c r="AY2395" s="121"/>
      <c r="AZ2395" s="138"/>
    </row>
    <row r="2396" spans="1:52" ht="17.100000000000001" customHeight="1" thickTop="1">
      <c r="A2396" s="109" t="s">
        <v>8116</v>
      </c>
      <c r="B2396" s="28">
        <v>45941</v>
      </c>
      <c r="C2396" s="25">
        <v>1271</v>
      </c>
      <c r="D2396" s="13" t="s">
        <v>1937</v>
      </c>
      <c r="E2396" s="111"/>
      <c r="F2396" s="113" t="s">
        <v>7085</v>
      </c>
      <c r="G2396" s="114"/>
      <c r="H2396" s="115"/>
      <c r="I2396" s="24"/>
      <c r="J2396" s="116">
        <v>4.5</v>
      </c>
      <c r="K2396" s="118">
        <v>920000</v>
      </c>
      <c r="L2396" s="119"/>
      <c r="M2396" s="118">
        <f t="shared" ref="M2396" si="812">K2396*0.1</f>
        <v>92000</v>
      </c>
      <c r="N2396" s="119"/>
      <c r="O2396" s="118">
        <v>0</v>
      </c>
      <c r="P2396" s="119"/>
      <c r="Q2396" s="118">
        <v>9010</v>
      </c>
      <c r="R2396" s="119"/>
      <c r="S2396" s="118">
        <v>13200</v>
      </c>
      <c r="T2396" s="119"/>
      <c r="U2396" s="118">
        <f t="shared" ref="U2396" si="813">SUM(K2396:T2397)</f>
        <v>1034210</v>
      </c>
      <c r="V2396" s="122"/>
      <c r="W2396" s="124"/>
      <c r="X2396" s="126" t="s">
        <v>8761</v>
      </c>
      <c r="Y2396" s="127"/>
      <c r="Z2396" s="127"/>
      <c r="AA2396" s="127"/>
      <c r="AB2396" s="128"/>
      <c r="AC2396" s="15" t="s">
        <v>20</v>
      </c>
      <c r="AD2396" s="129" t="s">
        <v>1945</v>
      </c>
      <c r="AE2396" s="130"/>
      <c r="AF2396" s="130"/>
      <c r="AG2396" s="130"/>
      <c r="AH2396" s="130"/>
      <c r="AI2396" s="131"/>
      <c r="AJ2396" s="132"/>
      <c r="AK2396" s="127"/>
      <c r="AL2396" s="128"/>
      <c r="AM2396" s="21"/>
      <c r="AN2396" s="133">
        <v>45945</v>
      </c>
      <c r="AO2396" s="134"/>
      <c r="AP2396" s="135">
        <v>988</v>
      </c>
      <c r="AQ2396" s="136"/>
      <c r="AR2396" s="118">
        <v>1005000</v>
      </c>
      <c r="AS2396" s="119"/>
      <c r="AT2396" s="118">
        <v>100500</v>
      </c>
      <c r="AU2396" s="119"/>
      <c r="AV2396" s="118">
        <v>9010</v>
      </c>
      <c r="AW2396" s="119"/>
      <c r="AX2396" s="118">
        <f t="shared" ref="AX2396" si="814">SUM(AR2396:AW2396)</f>
        <v>1114510</v>
      </c>
      <c r="AY2396" s="119"/>
      <c r="AZ2396" s="137">
        <v>45951</v>
      </c>
    </row>
    <row r="2397" spans="1:52" ht="17.100000000000001" customHeight="1" thickBot="1">
      <c r="A2397" s="110"/>
      <c r="B2397" s="27" t="s">
        <v>2511</v>
      </c>
      <c r="C2397" s="27">
        <v>65387</v>
      </c>
      <c r="D2397" s="14" t="s">
        <v>1720</v>
      </c>
      <c r="E2397" s="112"/>
      <c r="F2397" s="139" t="s">
        <v>8020</v>
      </c>
      <c r="G2397" s="140"/>
      <c r="H2397" s="141"/>
      <c r="I2397" s="26">
        <v>33020</v>
      </c>
      <c r="J2397" s="117"/>
      <c r="K2397" s="120"/>
      <c r="L2397" s="121"/>
      <c r="M2397" s="120"/>
      <c r="N2397" s="121"/>
      <c r="O2397" s="120"/>
      <c r="P2397" s="121"/>
      <c r="Q2397" s="120"/>
      <c r="R2397" s="121"/>
      <c r="S2397" s="120"/>
      <c r="T2397" s="121"/>
      <c r="U2397" s="120"/>
      <c r="V2397" s="123"/>
      <c r="W2397" s="125"/>
      <c r="X2397" s="142" t="s">
        <v>8762</v>
      </c>
      <c r="Y2397" s="143"/>
      <c r="Z2397" s="143"/>
      <c r="AA2397" s="143"/>
      <c r="AB2397" s="144"/>
      <c r="AC2397" s="16" t="s">
        <v>21</v>
      </c>
      <c r="AD2397" s="17" t="s">
        <v>8763</v>
      </c>
      <c r="AE2397" s="145" t="s">
        <v>171</v>
      </c>
      <c r="AF2397" s="146"/>
      <c r="AG2397" s="146"/>
      <c r="AH2397" s="146"/>
      <c r="AI2397" s="147"/>
      <c r="AJ2397" s="148"/>
      <c r="AK2397" s="143"/>
      <c r="AL2397" s="144"/>
      <c r="AM2397" s="22"/>
      <c r="AN2397" s="149" t="s">
        <v>2794</v>
      </c>
      <c r="AO2397" s="144"/>
      <c r="AP2397" s="148">
        <v>2072</v>
      </c>
      <c r="AQ2397" s="144"/>
      <c r="AR2397" s="120"/>
      <c r="AS2397" s="121"/>
      <c r="AT2397" s="120"/>
      <c r="AU2397" s="121"/>
      <c r="AV2397" s="120"/>
      <c r="AW2397" s="121"/>
      <c r="AX2397" s="120"/>
      <c r="AY2397" s="121"/>
      <c r="AZ2397" s="138"/>
    </row>
    <row r="2398" spans="1:52" ht="17.100000000000001" customHeight="1" thickTop="1">
      <c r="A2398" s="109" t="s">
        <v>8117</v>
      </c>
      <c r="B2398" s="28">
        <v>45941</v>
      </c>
      <c r="C2398" s="25">
        <v>1271</v>
      </c>
      <c r="D2398" s="13" t="s">
        <v>1786</v>
      </c>
      <c r="E2398" s="111"/>
      <c r="F2398" s="113" t="s">
        <v>8021</v>
      </c>
      <c r="G2398" s="114"/>
      <c r="H2398" s="115"/>
      <c r="I2398" s="24" t="s">
        <v>4109</v>
      </c>
      <c r="J2398" s="116">
        <v>4</v>
      </c>
      <c r="K2398" s="118">
        <v>485000</v>
      </c>
      <c r="L2398" s="119"/>
      <c r="M2398" s="118">
        <f t="shared" ref="M2398" si="815">K2398*0.1</f>
        <v>48500</v>
      </c>
      <c r="N2398" s="119"/>
      <c r="O2398" s="118">
        <v>0</v>
      </c>
      <c r="P2398" s="119"/>
      <c r="Q2398" s="118">
        <v>8010</v>
      </c>
      <c r="R2398" s="119"/>
      <c r="S2398" s="118">
        <v>13200</v>
      </c>
      <c r="T2398" s="119"/>
      <c r="U2398" s="118">
        <f t="shared" ref="U2398" si="816">SUM(K2398:T2399)</f>
        <v>554710</v>
      </c>
      <c r="V2398" s="122"/>
      <c r="W2398" s="124"/>
      <c r="X2398" s="126" t="s">
        <v>8023</v>
      </c>
      <c r="Y2398" s="127"/>
      <c r="Z2398" s="127"/>
      <c r="AA2398" s="127"/>
      <c r="AB2398" s="128"/>
      <c r="AC2398" s="15" t="s">
        <v>20</v>
      </c>
      <c r="AD2398" s="129" t="s">
        <v>1945</v>
      </c>
      <c r="AE2398" s="130"/>
      <c r="AF2398" s="130"/>
      <c r="AG2398" s="130"/>
      <c r="AH2398" s="130"/>
      <c r="AI2398" s="131"/>
      <c r="AJ2398" s="132"/>
      <c r="AK2398" s="127"/>
      <c r="AL2398" s="128"/>
      <c r="AM2398" s="85" t="s">
        <v>8023</v>
      </c>
      <c r="AN2398" s="133">
        <v>45973</v>
      </c>
      <c r="AO2398" s="134"/>
      <c r="AP2398" s="135">
        <v>992</v>
      </c>
      <c r="AQ2398" s="136"/>
      <c r="AR2398" s="118">
        <v>578000</v>
      </c>
      <c r="AS2398" s="119"/>
      <c r="AT2398" s="118">
        <f t="shared" ref="AT2398" si="817">AR2398*0.1</f>
        <v>57800</v>
      </c>
      <c r="AU2398" s="119"/>
      <c r="AV2398" s="118">
        <v>8010</v>
      </c>
      <c r="AW2398" s="119"/>
      <c r="AX2398" s="118">
        <f t="shared" ref="AX2398" si="818">SUM(AR2398:AW2398)</f>
        <v>643810</v>
      </c>
      <c r="AY2398" s="119"/>
      <c r="AZ2398" s="137">
        <v>45978</v>
      </c>
    </row>
    <row r="2399" spans="1:52" ht="17.100000000000001" customHeight="1" thickBot="1">
      <c r="A2399" s="110"/>
      <c r="B2399" s="27" t="s">
        <v>2511</v>
      </c>
      <c r="C2399" s="27">
        <v>65484</v>
      </c>
      <c r="D2399" s="14" t="s">
        <v>1592</v>
      </c>
      <c r="E2399" s="112"/>
      <c r="F2399" s="139" t="s">
        <v>8022</v>
      </c>
      <c r="G2399" s="140"/>
      <c r="H2399" s="141"/>
      <c r="I2399" s="26">
        <v>50472</v>
      </c>
      <c r="J2399" s="117"/>
      <c r="K2399" s="120"/>
      <c r="L2399" s="121"/>
      <c r="M2399" s="120"/>
      <c r="N2399" s="121"/>
      <c r="O2399" s="120"/>
      <c r="P2399" s="121"/>
      <c r="Q2399" s="120"/>
      <c r="R2399" s="121"/>
      <c r="S2399" s="120"/>
      <c r="T2399" s="121"/>
      <c r="U2399" s="120"/>
      <c r="V2399" s="123"/>
      <c r="W2399" s="125"/>
      <c r="X2399" s="142" t="s">
        <v>8816</v>
      </c>
      <c r="Y2399" s="143"/>
      <c r="Z2399" s="143"/>
      <c r="AA2399" s="143"/>
      <c r="AB2399" s="144"/>
      <c r="AC2399" s="16" t="s">
        <v>21</v>
      </c>
      <c r="AD2399" s="17" t="s">
        <v>3348</v>
      </c>
      <c r="AE2399" s="145" t="s">
        <v>1732</v>
      </c>
      <c r="AF2399" s="146"/>
      <c r="AG2399" s="146"/>
      <c r="AH2399" s="146"/>
      <c r="AI2399" s="147"/>
      <c r="AJ2399" s="148"/>
      <c r="AK2399" s="143"/>
      <c r="AL2399" s="144"/>
      <c r="AM2399" s="22"/>
      <c r="AN2399" s="149" t="s">
        <v>7285</v>
      </c>
      <c r="AO2399" s="144"/>
      <c r="AP2399" s="148">
        <v>2054</v>
      </c>
      <c r="AQ2399" s="144"/>
      <c r="AR2399" s="120"/>
      <c r="AS2399" s="121"/>
      <c r="AT2399" s="120"/>
      <c r="AU2399" s="121"/>
      <c r="AV2399" s="120"/>
      <c r="AW2399" s="121"/>
      <c r="AX2399" s="120"/>
      <c r="AY2399" s="121"/>
      <c r="AZ2399" s="138"/>
    </row>
    <row r="2400" spans="1:52" ht="17.100000000000001" customHeight="1" thickTop="1">
      <c r="A2400" s="109" t="s">
        <v>8118</v>
      </c>
      <c r="B2400" s="28">
        <v>45941</v>
      </c>
      <c r="C2400" s="25">
        <v>1271</v>
      </c>
      <c r="D2400" s="13" t="s">
        <v>1649</v>
      </c>
      <c r="E2400" s="111"/>
      <c r="F2400" s="113" t="s">
        <v>8024</v>
      </c>
      <c r="G2400" s="114"/>
      <c r="H2400" s="115"/>
      <c r="I2400" s="24" t="s">
        <v>2858</v>
      </c>
      <c r="J2400" s="116">
        <v>4.5</v>
      </c>
      <c r="K2400" s="118">
        <v>245000</v>
      </c>
      <c r="L2400" s="119"/>
      <c r="M2400" s="118">
        <f t="shared" ref="M2400" si="819">K2400*0.1</f>
        <v>24500</v>
      </c>
      <c r="N2400" s="119"/>
      <c r="O2400" s="118">
        <f>16400+1640</f>
        <v>18040</v>
      </c>
      <c r="P2400" s="119"/>
      <c r="Q2400" s="118">
        <v>17490</v>
      </c>
      <c r="R2400" s="119"/>
      <c r="S2400" s="118">
        <v>16500</v>
      </c>
      <c r="T2400" s="119"/>
      <c r="U2400" s="118">
        <f t="shared" ref="U2400" si="820">SUM(K2400:T2401)</f>
        <v>321530</v>
      </c>
      <c r="V2400" s="122"/>
      <c r="W2400" s="124"/>
      <c r="X2400" s="126" t="s">
        <v>8026</v>
      </c>
      <c r="Y2400" s="127"/>
      <c r="Z2400" s="127"/>
      <c r="AA2400" s="127"/>
      <c r="AB2400" s="128"/>
      <c r="AC2400" s="15" t="s">
        <v>20</v>
      </c>
      <c r="AD2400" s="129" t="s">
        <v>1633</v>
      </c>
      <c r="AE2400" s="130"/>
      <c r="AF2400" s="130"/>
      <c r="AG2400" s="130"/>
      <c r="AH2400" s="130"/>
      <c r="AI2400" s="131"/>
      <c r="AJ2400" s="132"/>
      <c r="AK2400" s="127"/>
      <c r="AL2400" s="128"/>
      <c r="AM2400" s="21"/>
      <c r="AN2400" s="133">
        <v>45952</v>
      </c>
      <c r="AO2400" s="134"/>
      <c r="AP2400" s="135">
        <v>989</v>
      </c>
      <c r="AQ2400" s="136"/>
      <c r="AR2400" s="118">
        <v>375000</v>
      </c>
      <c r="AS2400" s="119"/>
      <c r="AT2400" s="118">
        <f t="shared" ref="AT2400" si="821">AR2400*0.1</f>
        <v>37500</v>
      </c>
      <c r="AU2400" s="119"/>
      <c r="AV2400" s="118">
        <v>17490</v>
      </c>
      <c r="AW2400" s="119"/>
      <c r="AX2400" s="118">
        <f t="shared" ref="AX2400" si="822">SUM(AR2400:AW2400)</f>
        <v>429990</v>
      </c>
      <c r="AY2400" s="119"/>
      <c r="AZ2400" s="137">
        <v>45957</v>
      </c>
    </row>
    <row r="2401" spans="1:52" ht="17.100000000000001" customHeight="1" thickBot="1">
      <c r="A2401" s="110"/>
      <c r="B2401" s="27" t="s">
        <v>2511</v>
      </c>
      <c r="C2401" s="27">
        <v>72010</v>
      </c>
      <c r="D2401" s="14" t="s">
        <v>2206</v>
      </c>
      <c r="E2401" s="112"/>
      <c r="F2401" s="139" t="s">
        <v>8025</v>
      </c>
      <c r="G2401" s="140"/>
      <c r="H2401" s="141"/>
      <c r="I2401" s="26">
        <v>55726</v>
      </c>
      <c r="J2401" s="117"/>
      <c r="K2401" s="120"/>
      <c r="L2401" s="121"/>
      <c r="M2401" s="120"/>
      <c r="N2401" s="121"/>
      <c r="O2401" s="120"/>
      <c r="P2401" s="121"/>
      <c r="Q2401" s="120"/>
      <c r="R2401" s="121"/>
      <c r="S2401" s="120"/>
      <c r="T2401" s="121"/>
      <c r="U2401" s="120"/>
      <c r="V2401" s="123"/>
      <c r="W2401" s="125"/>
      <c r="X2401" s="142" t="s">
        <v>8808</v>
      </c>
      <c r="Y2401" s="143"/>
      <c r="Z2401" s="143"/>
      <c r="AA2401" s="143"/>
      <c r="AB2401" s="144"/>
      <c r="AC2401" s="16" t="s">
        <v>21</v>
      </c>
      <c r="AD2401" s="17" t="s">
        <v>8763</v>
      </c>
      <c r="AE2401" s="145" t="s">
        <v>1614</v>
      </c>
      <c r="AF2401" s="146"/>
      <c r="AG2401" s="146"/>
      <c r="AH2401" s="146"/>
      <c r="AI2401" s="147"/>
      <c r="AJ2401" s="148"/>
      <c r="AK2401" s="143"/>
      <c r="AL2401" s="144"/>
      <c r="AM2401" s="22"/>
      <c r="AN2401" s="149" t="s">
        <v>2794</v>
      </c>
      <c r="AO2401" s="144"/>
      <c r="AP2401" s="148">
        <v>5270</v>
      </c>
      <c r="AQ2401" s="144"/>
      <c r="AR2401" s="120"/>
      <c r="AS2401" s="121"/>
      <c r="AT2401" s="120"/>
      <c r="AU2401" s="121"/>
      <c r="AV2401" s="120"/>
      <c r="AW2401" s="121"/>
      <c r="AX2401" s="120"/>
      <c r="AY2401" s="121"/>
      <c r="AZ2401" s="138"/>
    </row>
    <row r="2402" spans="1:52" ht="17.100000000000001" customHeight="1" thickTop="1">
      <c r="A2402" s="109" t="s">
        <v>8119</v>
      </c>
      <c r="B2402" s="28">
        <v>45941</v>
      </c>
      <c r="C2402" s="25">
        <v>1271</v>
      </c>
      <c r="D2402" s="13" t="s">
        <v>1888</v>
      </c>
      <c r="E2402" s="111"/>
      <c r="F2402" s="113" t="s">
        <v>8027</v>
      </c>
      <c r="G2402" s="114"/>
      <c r="H2402" s="115"/>
      <c r="I2402" s="24" t="s">
        <v>5449</v>
      </c>
      <c r="J2402" s="116">
        <v>4</v>
      </c>
      <c r="K2402" s="118">
        <v>1770000</v>
      </c>
      <c r="L2402" s="119"/>
      <c r="M2402" s="118">
        <f t="shared" ref="M2402" si="823">K2402*0.1</f>
        <v>177000</v>
      </c>
      <c r="N2402" s="119"/>
      <c r="O2402" s="118">
        <f>21200+2120</f>
        <v>23320</v>
      </c>
      <c r="P2402" s="119"/>
      <c r="Q2402" s="118">
        <v>25460</v>
      </c>
      <c r="R2402" s="119"/>
      <c r="S2402" s="118">
        <v>16500</v>
      </c>
      <c r="T2402" s="119"/>
      <c r="U2402" s="118">
        <f t="shared" ref="U2402" si="824">SUM(K2402:T2403)</f>
        <v>2012280</v>
      </c>
      <c r="V2402" s="122"/>
      <c r="W2402" s="124"/>
      <c r="X2402" s="126" t="s">
        <v>8029</v>
      </c>
      <c r="Y2402" s="127"/>
      <c r="Z2402" s="127"/>
      <c r="AA2402" s="127"/>
      <c r="AB2402" s="128"/>
      <c r="AC2402" s="15" t="s">
        <v>20</v>
      </c>
      <c r="AD2402" s="129"/>
      <c r="AE2402" s="130"/>
      <c r="AF2402" s="130"/>
      <c r="AG2402" s="130"/>
      <c r="AH2402" s="130"/>
      <c r="AI2402" s="131"/>
      <c r="AJ2402" s="132"/>
      <c r="AK2402" s="127"/>
      <c r="AL2402" s="128"/>
      <c r="AM2402" s="21"/>
      <c r="AN2402" s="133">
        <v>45976</v>
      </c>
      <c r="AO2402" s="134"/>
      <c r="AP2402" s="135">
        <v>1276</v>
      </c>
      <c r="AQ2402" s="136"/>
      <c r="AR2402" s="118">
        <v>1960000</v>
      </c>
      <c r="AS2402" s="119"/>
      <c r="AT2402" s="118">
        <f t="shared" ref="AT2402" si="825">AR2402*0.1</f>
        <v>196000</v>
      </c>
      <c r="AU2402" s="119"/>
      <c r="AV2402" s="118">
        <v>25460</v>
      </c>
      <c r="AW2402" s="119"/>
      <c r="AX2402" s="118">
        <f t="shared" ref="AX2402" si="826">SUM(AR2402:AW2402)</f>
        <v>2181460</v>
      </c>
      <c r="AY2402" s="119"/>
      <c r="AZ2402" s="137">
        <v>45979</v>
      </c>
    </row>
    <row r="2403" spans="1:52" ht="17.100000000000001" customHeight="1" thickBot="1">
      <c r="A2403" s="110"/>
      <c r="B2403" s="27" t="s">
        <v>2511</v>
      </c>
      <c r="C2403" s="27">
        <v>82318</v>
      </c>
      <c r="D2403" s="14" t="s">
        <v>3327</v>
      </c>
      <c r="E2403" s="112"/>
      <c r="F2403" s="139" t="s">
        <v>8028</v>
      </c>
      <c r="G2403" s="140"/>
      <c r="H2403" s="141"/>
      <c r="I2403" s="26">
        <v>72130</v>
      </c>
      <c r="J2403" s="117"/>
      <c r="K2403" s="120"/>
      <c r="L2403" s="121"/>
      <c r="M2403" s="120"/>
      <c r="N2403" s="121"/>
      <c r="O2403" s="120"/>
      <c r="P2403" s="121"/>
      <c r="Q2403" s="120"/>
      <c r="R2403" s="121"/>
      <c r="S2403" s="120"/>
      <c r="T2403" s="121"/>
      <c r="U2403" s="120"/>
      <c r="V2403" s="123"/>
      <c r="W2403" s="125"/>
      <c r="X2403" s="142" t="s">
        <v>8807</v>
      </c>
      <c r="Y2403" s="143"/>
      <c r="Z2403" s="143"/>
      <c r="AA2403" s="143"/>
      <c r="AB2403" s="144"/>
      <c r="AC2403" s="16" t="s">
        <v>21</v>
      </c>
      <c r="AD2403" s="17" t="s">
        <v>8763</v>
      </c>
      <c r="AE2403" s="145" t="s">
        <v>4077</v>
      </c>
      <c r="AF2403" s="146"/>
      <c r="AG2403" s="146"/>
      <c r="AH2403" s="146"/>
      <c r="AI2403" s="147"/>
      <c r="AJ2403" s="148"/>
      <c r="AK2403" s="143"/>
      <c r="AL2403" s="144"/>
      <c r="AM2403" s="22" t="s">
        <v>3483</v>
      </c>
      <c r="AN2403" s="149" t="s">
        <v>10999</v>
      </c>
      <c r="AO2403" s="144"/>
      <c r="AP2403" s="148">
        <v>80245</v>
      </c>
      <c r="AQ2403" s="144"/>
      <c r="AR2403" s="120"/>
      <c r="AS2403" s="121"/>
      <c r="AT2403" s="120"/>
      <c r="AU2403" s="121"/>
      <c r="AV2403" s="120"/>
      <c r="AW2403" s="121"/>
      <c r="AX2403" s="120"/>
      <c r="AY2403" s="121"/>
      <c r="AZ2403" s="138"/>
    </row>
    <row r="2404" spans="1:52" ht="17.100000000000001" customHeight="1" thickTop="1">
      <c r="A2404" s="109" t="s">
        <v>8120</v>
      </c>
      <c r="B2404" s="28">
        <v>45941</v>
      </c>
      <c r="C2404" s="25">
        <v>1271</v>
      </c>
      <c r="D2404" s="13" t="s">
        <v>2465</v>
      </c>
      <c r="E2404" s="111"/>
      <c r="F2404" s="113" t="s">
        <v>1938</v>
      </c>
      <c r="G2404" s="114"/>
      <c r="H2404" s="115"/>
      <c r="I2404" s="24" t="s">
        <v>2919</v>
      </c>
      <c r="J2404" s="116">
        <v>4.5</v>
      </c>
      <c r="K2404" s="118">
        <v>620000</v>
      </c>
      <c r="L2404" s="119"/>
      <c r="M2404" s="118">
        <f t="shared" ref="M2404" si="827">K2404*0.1</f>
        <v>62000</v>
      </c>
      <c r="N2404" s="119"/>
      <c r="O2404" s="118">
        <f>14300+1430</f>
        <v>15730</v>
      </c>
      <c r="P2404" s="119"/>
      <c r="Q2404" s="118">
        <v>18960</v>
      </c>
      <c r="R2404" s="119"/>
      <c r="S2404" s="118">
        <v>16500</v>
      </c>
      <c r="T2404" s="119"/>
      <c r="U2404" s="118">
        <f t="shared" ref="U2404" si="828">SUM(K2404:T2405)</f>
        <v>733190</v>
      </c>
      <c r="V2404" s="122"/>
      <c r="W2404" s="124"/>
      <c r="X2404" s="126" t="s">
        <v>8031</v>
      </c>
      <c r="Y2404" s="127"/>
      <c r="Z2404" s="127"/>
      <c r="AA2404" s="127"/>
      <c r="AB2404" s="128"/>
      <c r="AC2404" s="15" t="s">
        <v>20</v>
      </c>
      <c r="AD2404" s="129" t="s">
        <v>4883</v>
      </c>
      <c r="AE2404" s="130"/>
      <c r="AF2404" s="130"/>
      <c r="AG2404" s="130"/>
      <c r="AH2404" s="130"/>
      <c r="AI2404" s="131"/>
      <c r="AJ2404" s="132"/>
      <c r="AK2404" s="127"/>
      <c r="AL2404" s="128"/>
      <c r="AM2404" s="21"/>
      <c r="AN2404" s="133">
        <v>45953</v>
      </c>
      <c r="AO2404" s="134"/>
      <c r="AP2404" s="135">
        <v>1303</v>
      </c>
      <c r="AQ2404" s="136"/>
      <c r="AR2404" s="118">
        <v>770000</v>
      </c>
      <c r="AS2404" s="119"/>
      <c r="AT2404" s="118">
        <f t="shared" ref="AT2404" si="829">AR2404*0.1</f>
        <v>77000</v>
      </c>
      <c r="AU2404" s="119"/>
      <c r="AV2404" s="118">
        <v>18960</v>
      </c>
      <c r="AW2404" s="119"/>
      <c r="AX2404" s="118">
        <f t="shared" ref="AX2404" si="830">SUM(AR2404:AW2404)</f>
        <v>865960</v>
      </c>
      <c r="AY2404" s="119"/>
      <c r="AZ2404" s="137">
        <v>45954</v>
      </c>
    </row>
    <row r="2405" spans="1:52" ht="17.100000000000001" customHeight="1" thickBot="1">
      <c r="A2405" s="110"/>
      <c r="B2405" s="27" t="s">
        <v>2511</v>
      </c>
      <c r="C2405" s="27">
        <v>82430</v>
      </c>
      <c r="D2405" s="14" t="s">
        <v>904</v>
      </c>
      <c r="E2405" s="112"/>
      <c r="F2405" s="139" t="s">
        <v>8030</v>
      </c>
      <c r="G2405" s="140"/>
      <c r="H2405" s="141"/>
      <c r="I2405" s="26">
        <v>37919</v>
      </c>
      <c r="J2405" s="117"/>
      <c r="K2405" s="120"/>
      <c r="L2405" s="121"/>
      <c r="M2405" s="120"/>
      <c r="N2405" s="121"/>
      <c r="O2405" s="120"/>
      <c r="P2405" s="121"/>
      <c r="Q2405" s="120"/>
      <c r="R2405" s="121"/>
      <c r="S2405" s="120"/>
      <c r="T2405" s="121"/>
      <c r="U2405" s="120"/>
      <c r="V2405" s="123"/>
      <c r="W2405" s="125"/>
      <c r="X2405" s="142" t="s">
        <v>3410</v>
      </c>
      <c r="Y2405" s="143"/>
      <c r="Z2405" s="143"/>
      <c r="AA2405" s="143"/>
      <c r="AB2405" s="144"/>
      <c r="AC2405" s="16" t="s">
        <v>21</v>
      </c>
      <c r="AD2405" s="17" t="s">
        <v>8956</v>
      </c>
      <c r="AE2405" s="145" t="s">
        <v>1658</v>
      </c>
      <c r="AF2405" s="146"/>
      <c r="AG2405" s="146"/>
      <c r="AH2405" s="146"/>
      <c r="AI2405" s="147"/>
      <c r="AJ2405" s="148"/>
      <c r="AK2405" s="143"/>
      <c r="AL2405" s="144"/>
      <c r="AM2405" s="22"/>
      <c r="AN2405" s="149" t="s">
        <v>1747</v>
      </c>
      <c r="AO2405" s="144"/>
      <c r="AP2405" s="148">
        <v>144</v>
      </c>
      <c r="AQ2405" s="144"/>
      <c r="AR2405" s="120"/>
      <c r="AS2405" s="121"/>
      <c r="AT2405" s="120"/>
      <c r="AU2405" s="121"/>
      <c r="AV2405" s="120"/>
      <c r="AW2405" s="121"/>
      <c r="AX2405" s="120"/>
      <c r="AY2405" s="121"/>
      <c r="AZ2405" s="138"/>
    </row>
    <row r="2406" spans="1:52" ht="17.100000000000001" customHeight="1" thickTop="1">
      <c r="A2406" s="109" t="s">
        <v>8121</v>
      </c>
      <c r="B2406" s="28">
        <v>45941</v>
      </c>
      <c r="C2406" s="25">
        <v>1271</v>
      </c>
      <c r="D2406" s="13" t="s">
        <v>1853</v>
      </c>
      <c r="E2406" s="111"/>
      <c r="F2406" s="113" t="s">
        <v>8032</v>
      </c>
      <c r="G2406" s="114"/>
      <c r="H2406" s="115"/>
      <c r="I2406" s="24"/>
      <c r="J2406" s="116">
        <v>4.5</v>
      </c>
      <c r="K2406" s="118">
        <v>2210000</v>
      </c>
      <c r="L2406" s="119"/>
      <c r="M2406" s="118">
        <f t="shared" ref="M2406" si="831">K2406*0.1</f>
        <v>221000</v>
      </c>
      <c r="N2406" s="119"/>
      <c r="O2406" s="118">
        <v>0</v>
      </c>
      <c r="P2406" s="119"/>
      <c r="Q2406" s="118">
        <v>19090</v>
      </c>
      <c r="R2406" s="119"/>
      <c r="S2406" s="118">
        <v>16500</v>
      </c>
      <c r="T2406" s="119"/>
      <c r="U2406" s="118">
        <f t="shared" ref="U2406" si="832">SUM(K2406:T2407)</f>
        <v>2466590</v>
      </c>
      <c r="V2406" s="122"/>
      <c r="W2406" s="124"/>
      <c r="X2406" s="126" t="s">
        <v>8805</v>
      </c>
      <c r="Y2406" s="127"/>
      <c r="Z2406" s="127"/>
      <c r="AA2406" s="127"/>
      <c r="AB2406" s="128"/>
      <c r="AC2406" s="15" t="s">
        <v>20</v>
      </c>
      <c r="AD2406" s="129" t="s">
        <v>1633</v>
      </c>
      <c r="AE2406" s="130"/>
      <c r="AF2406" s="130"/>
      <c r="AG2406" s="130"/>
      <c r="AH2406" s="130"/>
      <c r="AI2406" s="131"/>
      <c r="AJ2406" s="132"/>
      <c r="AK2406" s="127"/>
      <c r="AL2406" s="128"/>
      <c r="AM2406" s="21"/>
      <c r="AN2406" s="133">
        <v>45976</v>
      </c>
      <c r="AO2406" s="134"/>
      <c r="AP2406" s="135">
        <v>1276</v>
      </c>
      <c r="AQ2406" s="136"/>
      <c r="AR2406" s="118">
        <v>2350000</v>
      </c>
      <c r="AS2406" s="119"/>
      <c r="AT2406" s="118">
        <f t="shared" ref="AT2406" si="833">AR2406*0.1</f>
        <v>235000</v>
      </c>
      <c r="AU2406" s="119"/>
      <c r="AV2406" s="118">
        <v>19090</v>
      </c>
      <c r="AW2406" s="119"/>
      <c r="AX2406" s="118">
        <f t="shared" ref="AX2406" si="834">SUM(AR2406:AW2406)</f>
        <v>2604090</v>
      </c>
      <c r="AY2406" s="119"/>
      <c r="AZ2406" s="137">
        <v>45979</v>
      </c>
    </row>
    <row r="2407" spans="1:52" ht="17.100000000000001" customHeight="1" thickBot="1">
      <c r="A2407" s="110"/>
      <c r="B2407" s="27" t="s">
        <v>2511</v>
      </c>
      <c r="C2407" s="27">
        <v>82444</v>
      </c>
      <c r="D2407" s="14" t="s">
        <v>1592</v>
      </c>
      <c r="E2407" s="112"/>
      <c r="F2407" s="139" t="s">
        <v>8033</v>
      </c>
      <c r="G2407" s="140"/>
      <c r="H2407" s="141"/>
      <c r="I2407" s="26">
        <v>50254</v>
      </c>
      <c r="J2407" s="117"/>
      <c r="K2407" s="120"/>
      <c r="L2407" s="121"/>
      <c r="M2407" s="120"/>
      <c r="N2407" s="121"/>
      <c r="O2407" s="120"/>
      <c r="P2407" s="121"/>
      <c r="Q2407" s="120"/>
      <c r="R2407" s="121"/>
      <c r="S2407" s="120"/>
      <c r="T2407" s="121"/>
      <c r="U2407" s="120"/>
      <c r="V2407" s="123"/>
      <c r="W2407" s="125"/>
      <c r="X2407" s="142" t="s">
        <v>2887</v>
      </c>
      <c r="Y2407" s="143"/>
      <c r="Z2407" s="143"/>
      <c r="AA2407" s="143"/>
      <c r="AB2407" s="144"/>
      <c r="AC2407" s="16" t="s">
        <v>21</v>
      </c>
      <c r="AD2407" s="17" t="s">
        <v>8763</v>
      </c>
      <c r="AE2407" s="145" t="s">
        <v>2080</v>
      </c>
      <c r="AF2407" s="146"/>
      <c r="AG2407" s="146"/>
      <c r="AH2407" s="146"/>
      <c r="AI2407" s="147"/>
      <c r="AJ2407" s="148"/>
      <c r="AK2407" s="143"/>
      <c r="AL2407" s="144"/>
      <c r="AM2407" s="22"/>
      <c r="AN2407" s="149" t="s">
        <v>10999</v>
      </c>
      <c r="AO2407" s="144"/>
      <c r="AP2407" s="148">
        <v>80033</v>
      </c>
      <c r="AQ2407" s="144"/>
      <c r="AR2407" s="120"/>
      <c r="AS2407" s="121"/>
      <c r="AT2407" s="120"/>
      <c r="AU2407" s="121"/>
      <c r="AV2407" s="120"/>
      <c r="AW2407" s="121"/>
      <c r="AX2407" s="120"/>
      <c r="AY2407" s="121"/>
      <c r="AZ2407" s="138"/>
    </row>
    <row r="2408" spans="1:52" ht="17.100000000000001" customHeight="1" thickTop="1">
      <c r="A2408" s="109" t="s">
        <v>8122</v>
      </c>
      <c r="B2408" s="28">
        <v>45941</v>
      </c>
      <c r="C2408" s="25">
        <v>1271</v>
      </c>
      <c r="D2408" s="13" t="s">
        <v>2759</v>
      </c>
      <c r="E2408" s="111"/>
      <c r="F2408" s="113" t="s">
        <v>1871</v>
      </c>
      <c r="G2408" s="114"/>
      <c r="H2408" s="115"/>
      <c r="I2408" s="24"/>
      <c r="J2408" s="116">
        <v>4.5</v>
      </c>
      <c r="K2408" s="118">
        <v>1650000</v>
      </c>
      <c r="L2408" s="119"/>
      <c r="M2408" s="118">
        <f t="shared" ref="M2408" si="835">K2408*0.1</f>
        <v>165000</v>
      </c>
      <c r="N2408" s="119"/>
      <c r="O2408" s="118">
        <v>0</v>
      </c>
      <c r="P2408" s="119"/>
      <c r="Q2408" s="118">
        <v>17600</v>
      </c>
      <c r="R2408" s="119"/>
      <c r="S2408" s="118">
        <v>23100</v>
      </c>
      <c r="T2408" s="119"/>
      <c r="U2408" s="118">
        <f t="shared" ref="U2408" si="836">SUM(K2408:T2409)</f>
        <v>1855700</v>
      </c>
      <c r="V2408" s="122"/>
      <c r="W2408" s="124"/>
      <c r="X2408" s="126" t="s">
        <v>9551</v>
      </c>
      <c r="Y2408" s="127"/>
      <c r="Z2408" s="127"/>
      <c r="AA2408" s="127"/>
      <c r="AB2408" s="128"/>
      <c r="AC2408" s="15" t="s">
        <v>20</v>
      </c>
      <c r="AD2408" s="129" t="s">
        <v>8111</v>
      </c>
      <c r="AE2408" s="130"/>
      <c r="AF2408" s="130"/>
      <c r="AG2408" s="130"/>
      <c r="AH2408" s="130"/>
      <c r="AI2408" s="131"/>
      <c r="AJ2408" s="132"/>
      <c r="AK2408" s="127"/>
      <c r="AL2408" s="128"/>
      <c r="AM2408" s="21"/>
      <c r="AN2408" s="133">
        <v>45948</v>
      </c>
      <c r="AO2408" s="134"/>
      <c r="AP2408" s="135">
        <v>1272</v>
      </c>
      <c r="AQ2408" s="136"/>
      <c r="AR2408" s="118">
        <v>1800000</v>
      </c>
      <c r="AS2408" s="119"/>
      <c r="AT2408" s="118">
        <f t="shared" ref="AT2408" si="837">AR2408*0.1</f>
        <v>180000</v>
      </c>
      <c r="AU2408" s="119"/>
      <c r="AV2408" s="118">
        <v>17600</v>
      </c>
      <c r="AW2408" s="119"/>
      <c r="AX2408" s="118">
        <f t="shared" ref="AX2408" si="838">SUM(AR2408:AW2408)</f>
        <v>1997600</v>
      </c>
      <c r="AY2408" s="119"/>
      <c r="AZ2408" s="137">
        <v>45952</v>
      </c>
    </row>
    <row r="2409" spans="1:52" ht="17.100000000000001" customHeight="1" thickBot="1">
      <c r="A2409" s="110"/>
      <c r="B2409" s="27" t="s">
        <v>2511</v>
      </c>
      <c r="C2409" s="27">
        <v>82489</v>
      </c>
      <c r="D2409" s="14" t="s">
        <v>904</v>
      </c>
      <c r="E2409" s="112"/>
      <c r="F2409" s="139" t="s">
        <v>8110</v>
      </c>
      <c r="G2409" s="140"/>
      <c r="H2409" s="141"/>
      <c r="I2409" s="26">
        <v>16416</v>
      </c>
      <c r="J2409" s="117"/>
      <c r="K2409" s="120"/>
      <c r="L2409" s="121"/>
      <c r="M2409" s="120"/>
      <c r="N2409" s="121"/>
      <c r="O2409" s="120"/>
      <c r="P2409" s="121"/>
      <c r="Q2409" s="120"/>
      <c r="R2409" s="121"/>
      <c r="S2409" s="120"/>
      <c r="T2409" s="121"/>
      <c r="U2409" s="120"/>
      <c r="V2409" s="123"/>
      <c r="W2409" s="125"/>
      <c r="X2409" s="142" t="s">
        <v>441</v>
      </c>
      <c r="Y2409" s="143"/>
      <c r="Z2409" s="143"/>
      <c r="AA2409" s="143"/>
      <c r="AB2409" s="144"/>
      <c r="AC2409" s="16" t="s">
        <v>21</v>
      </c>
      <c r="AD2409" s="17" t="s">
        <v>8763</v>
      </c>
      <c r="AE2409" s="145" t="s">
        <v>4883</v>
      </c>
      <c r="AF2409" s="146"/>
      <c r="AG2409" s="146"/>
      <c r="AH2409" s="146"/>
      <c r="AI2409" s="147"/>
      <c r="AJ2409" s="148"/>
      <c r="AK2409" s="143"/>
      <c r="AL2409" s="144"/>
      <c r="AM2409" s="22"/>
      <c r="AN2409" s="149" t="s">
        <v>6748</v>
      </c>
      <c r="AO2409" s="144"/>
      <c r="AP2409" s="148">
        <v>80048</v>
      </c>
      <c r="AQ2409" s="144"/>
      <c r="AR2409" s="120"/>
      <c r="AS2409" s="121"/>
      <c r="AT2409" s="120"/>
      <c r="AU2409" s="121"/>
      <c r="AV2409" s="120"/>
      <c r="AW2409" s="121"/>
      <c r="AX2409" s="120"/>
      <c r="AY2409" s="121"/>
      <c r="AZ2409" s="138"/>
    </row>
    <row r="2410" spans="1:52" ht="17.100000000000001" customHeight="1" thickTop="1">
      <c r="A2410" s="109" t="s">
        <v>8123</v>
      </c>
      <c r="B2410" s="28">
        <v>45941</v>
      </c>
      <c r="C2410" s="25">
        <v>1271</v>
      </c>
      <c r="D2410" s="13" t="s">
        <v>1767</v>
      </c>
      <c r="E2410" s="111"/>
      <c r="F2410" s="113" t="s">
        <v>8034</v>
      </c>
      <c r="G2410" s="114"/>
      <c r="H2410" s="115"/>
      <c r="I2410" s="24"/>
      <c r="J2410" s="116">
        <v>4.5</v>
      </c>
      <c r="K2410" s="118">
        <v>710000</v>
      </c>
      <c r="L2410" s="119"/>
      <c r="M2410" s="118">
        <f t="shared" ref="M2410" si="839">K2410*0.1</f>
        <v>71000</v>
      </c>
      <c r="N2410" s="119"/>
      <c r="O2410" s="118">
        <v>0</v>
      </c>
      <c r="P2410" s="119"/>
      <c r="Q2410" s="118">
        <v>17700</v>
      </c>
      <c r="R2410" s="119"/>
      <c r="S2410" s="118">
        <v>16500</v>
      </c>
      <c r="T2410" s="119"/>
      <c r="U2410" s="118">
        <f t="shared" ref="U2410" si="840">SUM(K2410:T2411)</f>
        <v>815200</v>
      </c>
      <c r="V2410" s="122"/>
      <c r="W2410" s="124"/>
      <c r="X2410" s="126" t="s">
        <v>8806</v>
      </c>
      <c r="Y2410" s="127"/>
      <c r="Z2410" s="127"/>
      <c r="AA2410" s="127"/>
      <c r="AB2410" s="128"/>
      <c r="AC2410" s="15" t="s">
        <v>20</v>
      </c>
      <c r="AD2410" s="129" t="s">
        <v>171</v>
      </c>
      <c r="AE2410" s="130"/>
      <c r="AF2410" s="130"/>
      <c r="AG2410" s="130"/>
      <c r="AH2410" s="130"/>
      <c r="AI2410" s="131"/>
      <c r="AJ2410" s="132"/>
      <c r="AK2410" s="127"/>
      <c r="AL2410" s="128"/>
      <c r="AM2410" s="21"/>
      <c r="AN2410" s="133">
        <v>45990</v>
      </c>
      <c r="AO2410" s="134"/>
      <c r="AP2410" s="135">
        <v>1278</v>
      </c>
      <c r="AQ2410" s="136"/>
      <c r="AR2410" s="118">
        <v>850000</v>
      </c>
      <c r="AS2410" s="119"/>
      <c r="AT2410" s="118">
        <f t="shared" ref="AT2410" si="841">AR2410*0.1</f>
        <v>85000</v>
      </c>
      <c r="AU2410" s="119"/>
      <c r="AV2410" s="118">
        <v>17700</v>
      </c>
      <c r="AW2410" s="119"/>
      <c r="AX2410" s="118">
        <f t="shared" ref="AX2410" si="842">SUM(AR2410:AW2410)</f>
        <v>952700</v>
      </c>
      <c r="AY2410" s="119"/>
      <c r="AZ2410" s="137">
        <v>45995</v>
      </c>
    </row>
    <row r="2411" spans="1:52" ht="17.100000000000001" customHeight="1" thickBot="1">
      <c r="A2411" s="110"/>
      <c r="B2411" s="27" t="s">
        <v>2511</v>
      </c>
      <c r="C2411" s="27">
        <v>82493</v>
      </c>
      <c r="D2411" s="14" t="s">
        <v>275</v>
      </c>
      <c r="E2411" s="112"/>
      <c r="F2411" s="139" t="s">
        <v>8035</v>
      </c>
      <c r="G2411" s="140"/>
      <c r="H2411" s="141"/>
      <c r="I2411" s="26">
        <v>59184</v>
      </c>
      <c r="J2411" s="117"/>
      <c r="K2411" s="120"/>
      <c r="L2411" s="121"/>
      <c r="M2411" s="120"/>
      <c r="N2411" s="121"/>
      <c r="O2411" s="120"/>
      <c r="P2411" s="121"/>
      <c r="Q2411" s="120"/>
      <c r="R2411" s="121"/>
      <c r="S2411" s="120"/>
      <c r="T2411" s="121"/>
      <c r="U2411" s="120"/>
      <c r="V2411" s="123"/>
      <c r="W2411" s="125"/>
      <c r="X2411" s="142" t="s">
        <v>3410</v>
      </c>
      <c r="Y2411" s="143"/>
      <c r="Z2411" s="143"/>
      <c r="AA2411" s="143"/>
      <c r="AB2411" s="144"/>
      <c r="AC2411" s="16" t="s">
        <v>21</v>
      </c>
      <c r="AD2411" s="17" t="s">
        <v>8763</v>
      </c>
      <c r="AE2411" s="145" t="s">
        <v>1742</v>
      </c>
      <c r="AF2411" s="146"/>
      <c r="AG2411" s="146"/>
      <c r="AH2411" s="146"/>
      <c r="AI2411" s="147"/>
      <c r="AJ2411" s="148"/>
      <c r="AK2411" s="143"/>
      <c r="AL2411" s="144"/>
      <c r="AM2411" s="22"/>
      <c r="AN2411" s="149" t="s">
        <v>6749</v>
      </c>
      <c r="AO2411" s="144"/>
      <c r="AP2411" s="148">
        <v>80376</v>
      </c>
      <c r="AQ2411" s="144"/>
      <c r="AR2411" s="120"/>
      <c r="AS2411" s="121"/>
      <c r="AT2411" s="120"/>
      <c r="AU2411" s="121"/>
      <c r="AV2411" s="120"/>
      <c r="AW2411" s="121"/>
      <c r="AX2411" s="120"/>
      <c r="AY2411" s="121"/>
      <c r="AZ2411" s="138"/>
    </row>
    <row r="2412" spans="1:52" ht="17.100000000000001" customHeight="1" thickTop="1">
      <c r="A2412" s="109" t="s">
        <v>8124</v>
      </c>
      <c r="B2412" s="28">
        <v>45941</v>
      </c>
      <c r="C2412" s="25">
        <v>1271</v>
      </c>
      <c r="D2412" s="13" t="s">
        <v>1953</v>
      </c>
      <c r="E2412" s="111"/>
      <c r="F2412" s="113" t="s">
        <v>3163</v>
      </c>
      <c r="G2412" s="114"/>
      <c r="H2412" s="115"/>
      <c r="I2412" s="24" t="s">
        <v>3923</v>
      </c>
      <c r="J2412" s="116">
        <v>4.5</v>
      </c>
      <c r="K2412" s="118">
        <v>1550000</v>
      </c>
      <c r="L2412" s="119"/>
      <c r="M2412" s="118">
        <f t="shared" ref="M2412" si="843">K2412*0.1</f>
        <v>155000</v>
      </c>
      <c r="N2412" s="119"/>
      <c r="O2412" s="118">
        <f>16400+1640</f>
        <v>18040</v>
      </c>
      <c r="P2412" s="119"/>
      <c r="Q2412" s="118">
        <v>19440</v>
      </c>
      <c r="R2412" s="119"/>
      <c r="S2412" s="118">
        <v>16500</v>
      </c>
      <c r="T2412" s="119"/>
      <c r="U2412" s="118">
        <f t="shared" ref="U2412" si="844">SUM(K2412:T2413)</f>
        <v>1758980</v>
      </c>
      <c r="V2412" s="122"/>
      <c r="W2412" s="124"/>
      <c r="X2412" s="126" t="s">
        <v>8037</v>
      </c>
      <c r="Y2412" s="127"/>
      <c r="Z2412" s="127"/>
      <c r="AA2412" s="127"/>
      <c r="AB2412" s="128"/>
      <c r="AC2412" s="15" t="s">
        <v>20</v>
      </c>
      <c r="AD2412" s="129" t="s">
        <v>1633</v>
      </c>
      <c r="AE2412" s="130"/>
      <c r="AF2412" s="130"/>
      <c r="AG2412" s="130"/>
      <c r="AH2412" s="130"/>
      <c r="AI2412" s="131"/>
      <c r="AJ2412" s="132"/>
      <c r="AK2412" s="127"/>
      <c r="AL2412" s="128"/>
      <c r="AM2412" s="21"/>
      <c r="AN2412" s="133">
        <v>45948</v>
      </c>
      <c r="AO2412" s="134"/>
      <c r="AP2412" s="135">
        <v>1272</v>
      </c>
      <c r="AQ2412" s="136"/>
      <c r="AR2412" s="118">
        <v>1965000</v>
      </c>
      <c r="AS2412" s="119"/>
      <c r="AT2412" s="118">
        <f t="shared" ref="AT2412" si="845">AR2412*0.1</f>
        <v>196500</v>
      </c>
      <c r="AU2412" s="119"/>
      <c r="AV2412" s="118">
        <v>19440</v>
      </c>
      <c r="AW2412" s="119"/>
      <c r="AX2412" s="118">
        <f t="shared" ref="AX2412" si="846">SUM(AR2412:AW2412)</f>
        <v>2180940</v>
      </c>
      <c r="AY2412" s="119"/>
      <c r="AZ2412" s="137">
        <v>45951</v>
      </c>
    </row>
    <row r="2413" spans="1:52" ht="17.100000000000001" customHeight="1" thickBot="1">
      <c r="A2413" s="110"/>
      <c r="B2413" s="27" t="s">
        <v>2511</v>
      </c>
      <c r="C2413" s="27">
        <v>82502</v>
      </c>
      <c r="D2413" s="14" t="s">
        <v>8036</v>
      </c>
      <c r="E2413" s="112"/>
      <c r="F2413" s="139" t="s">
        <v>8764</v>
      </c>
      <c r="G2413" s="140"/>
      <c r="H2413" s="141"/>
      <c r="I2413" s="26">
        <v>38348</v>
      </c>
      <c r="J2413" s="117"/>
      <c r="K2413" s="120"/>
      <c r="L2413" s="121"/>
      <c r="M2413" s="120"/>
      <c r="N2413" s="121"/>
      <c r="O2413" s="120"/>
      <c r="P2413" s="121"/>
      <c r="Q2413" s="120"/>
      <c r="R2413" s="121"/>
      <c r="S2413" s="120"/>
      <c r="T2413" s="121"/>
      <c r="U2413" s="120"/>
      <c r="V2413" s="123"/>
      <c r="W2413" s="125"/>
      <c r="X2413" s="142" t="s">
        <v>8765</v>
      </c>
      <c r="Y2413" s="143"/>
      <c r="Z2413" s="143"/>
      <c r="AA2413" s="143"/>
      <c r="AB2413" s="144"/>
      <c r="AC2413" s="16" t="s">
        <v>21</v>
      </c>
      <c r="AD2413" s="17" t="s">
        <v>8763</v>
      </c>
      <c r="AE2413" s="145" t="s">
        <v>8766</v>
      </c>
      <c r="AF2413" s="146"/>
      <c r="AG2413" s="146"/>
      <c r="AH2413" s="146"/>
      <c r="AI2413" s="147"/>
      <c r="AJ2413" s="148"/>
      <c r="AK2413" s="143"/>
      <c r="AL2413" s="144"/>
      <c r="AM2413" s="22"/>
      <c r="AN2413" s="149" t="s">
        <v>2511</v>
      </c>
      <c r="AO2413" s="144"/>
      <c r="AP2413" s="148">
        <v>80022</v>
      </c>
      <c r="AQ2413" s="144"/>
      <c r="AR2413" s="120"/>
      <c r="AS2413" s="121"/>
      <c r="AT2413" s="120"/>
      <c r="AU2413" s="121"/>
      <c r="AV2413" s="120"/>
      <c r="AW2413" s="121"/>
      <c r="AX2413" s="120"/>
      <c r="AY2413" s="121"/>
      <c r="AZ2413" s="138"/>
    </row>
    <row r="2414" spans="1:52" ht="17.100000000000001" customHeight="1" thickTop="1">
      <c r="A2414" s="109" t="s">
        <v>8125</v>
      </c>
      <c r="B2414" s="28">
        <v>45941</v>
      </c>
      <c r="C2414" s="25">
        <v>1271</v>
      </c>
      <c r="D2414" s="13" t="s">
        <v>1606</v>
      </c>
      <c r="E2414" s="111"/>
      <c r="F2414" s="113" t="s">
        <v>5043</v>
      </c>
      <c r="G2414" s="114"/>
      <c r="H2414" s="115"/>
      <c r="I2414" s="24"/>
      <c r="J2414" s="150" t="s">
        <v>1715</v>
      </c>
      <c r="K2414" s="118">
        <v>134000</v>
      </c>
      <c r="L2414" s="119"/>
      <c r="M2414" s="118">
        <f t="shared" ref="M2414" si="847">K2414*0.1</f>
        <v>13400</v>
      </c>
      <c r="N2414" s="119"/>
      <c r="O2414" s="118">
        <v>0</v>
      </c>
      <c r="P2414" s="119"/>
      <c r="Q2414" s="118">
        <v>9790</v>
      </c>
      <c r="R2414" s="119"/>
      <c r="S2414" s="118">
        <v>8800</v>
      </c>
      <c r="T2414" s="119"/>
      <c r="U2414" s="118">
        <f t="shared" ref="U2414" si="848">SUM(K2414:T2415)</f>
        <v>165990</v>
      </c>
      <c r="V2414" s="122"/>
      <c r="W2414" s="124"/>
      <c r="X2414" s="126" t="s">
        <v>8817</v>
      </c>
      <c r="Y2414" s="127"/>
      <c r="Z2414" s="127"/>
      <c r="AA2414" s="127"/>
      <c r="AB2414" s="128"/>
      <c r="AC2414" s="15" t="s">
        <v>20</v>
      </c>
      <c r="AD2414" s="129" t="s">
        <v>8126</v>
      </c>
      <c r="AE2414" s="130"/>
      <c r="AF2414" s="130"/>
      <c r="AG2414" s="130"/>
      <c r="AH2414" s="130"/>
      <c r="AI2414" s="131"/>
      <c r="AJ2414" s="132"/>
      <c r="AK2414" s="127"/>
      <c r="AL2414" s="128"/>
      <c r="AM2414" s="21"/>
      <c r="AN2414" s="133">
        <v>45955</v>
      </c>
      <c r="AO2414" s="134"/>
      <c r="AP2414" s="135">
        <v>1273</v>
      </c>
      <c r="AQ2414" s="136"/>
      <c r="AR2414" s="118">
        <v>157000</v>
      </c>
      <c r="AS2414" s="119"/>
      <c r="AT2414" s="118">
        <f t="shared" ref="AT2414" si="849">AR2414*0.1</f>
        <v>15700</v>
      </c>
      <c r="AU2414" s="119"/>
      <c r="AV2414" s="118">
        <v>9790</v>
      </c>
      <c r="AW2414" s="119"/>
      <c r="AX2414" s="118">
        <f t="shared" ref="AX2414" si="850">SUM(AR2414:AW2414)</f>
        <v>182490</v>
      </c>
      <c r="AY2414" s="119"/>
      <c r="AZ2414" s="137">
        <v>45958</v>
      </c>
    </row>
    <row r="2415" spans="1:52" ht="17.100000000000001" customHeight="1" thickBot="1">
      <c r="A2415" s="110"/>
      <c r="B2415" s="27" t="s">
        <v>2511</v>
      </c>
      <c r="C2415" s="27">
        <v>90178</v>
      </c>
      <c r="D2415" s="14" t="s">
        <v>3327</v>
      </c>
      <c r="E2415" s="112"/>
      <c r="F2415" s="139" t="s">
        <v>8038</v>
      </c>
      <c r="G2415" s="140"/>
      <c r="H2415" s="141"/>
      <c r="I2415" s="26">
        <v>118336</v>
      </c>
      <c r="J2415" s="117"/>
      <c r="K2415" s="120"/>
      <c r="L2415" s="121"/>
      <c r="M2415" s="120"/>
      <c r="N2415" s="121"/>
      <c r="O2415" s="120"/>
      <c r="P2415" s="121"/>
      <c r="Q2415" s="120"/>
      <c r="R2415" s="121"/>
      <c r="S2415" s="120"/>
      <c r="T2415" s="121"/>
      <c r="U2415" s="120"/>
      <c r="V2415" s="123"/>
      <c r="W2415" s="125"/>
      <c r="X2415" s="142" t="s">
        <v>1997</v>
      </c>
      <c r="Y2415" s="143"/>
      <c r="Z2415" s="143"/>
      <c r="AA2415" s="143"/>
      <c r="AB2415" s="144"/>
      <c r="AC2415" s="16" t="s">
        <v>21</v>
      </c>
      <c r="AD2415" s="17" t="s">
        <v>3348</v>
      </c>
      <c r="AE2415" s="145" t="s">
        <v>8818</v>
      </c>
      <c r="AF2415" s="146"/>
      <c r="AG2415" s="146"/>
      <c r="AH2415" s="146"/>
      <c r="AI2415" s="147"/>
      <c r="AJ2415" s="148"/>
      <c r="AK2415" s="143"/>
      <c r="AL2415" s="144"/>
      <c r="AM2415" s="22"/>
      <c r="AN2415" s="149" t="s">
        <v>2511</v>
      </c>
      <c r="AO2415" s="144"/>
      <c r="AP2415" s="148">
        <v>63179</v>
      </c>
      <c r="AQ2415" s="144"/>
      <c r="AR2415" s="120"/>
      <c r="AS2415" s="121"/>
      <c r="AT2415" s="120"/>
      <c r="AU2415" s="121"/>
      <c r="AV2415" s="120"/>
      <c r="AW2415" s="121"/>
      <c r="AX2415" s="120"/>
      <c r="AY2415" s="121"/>
      <c r="AZ2415" s="138"/>
    </row>
    <row r="2416" spans="1:52" ht="17.100000000000001" customHeight="1" thickTop="1">
      <c r="A2416" s="109" t="s">
        <v>8127</v>
      </c>
      <c r="B2416" s="28">
        <v>45943</v>
      </c>
      <c r="C2416" s="25"/>
      <c r="D2416" s="13" t="s">
        <v>1623</v>
      </c>
      <c r="E2416" s="111"/>
      <c r="F2416" s="113" t="s">
        <v>7513</v>
      </c>
      <c r="G2416" s="114"/>
      <c r="H2416" s="115"/>
      <c r="I2416" s="24"/>
      <c r="J2416" s="116">
        <v>4</v>
      </c>
      <c r="K2416" s="118">
        <v>330000</v>
      </c>
      <c r="L2416" s="119"/>
      <c r="M2416" s="118">
        <f t="shared" ref="M2416" si="851">K2416*0.1</f>
        <v>33000</v>
      </c>
      <c r="N2416" s="119"/>
      <c r="O2416" s="118">
        <v>0</v>
      </c>
      <c r="P2416" s="119"/>
      <c r="Q2416" s="118">
        <v>17700</v>
      </c>
      <c r="R2416" s="119"/>
      <c r="S2416" s="118">
        <v>14850</v>
      </c>
      <c r="T2416" s="119"/>
      <c r="U2416" s="118">
        <f t="shared" ref="U2416" si="852">SUM(K2416:T2417)</f>
        <v>395550</v>
      </c>
      <c r="V2416" s="122"/>
      <c r="W2416" s="124"/>
      <c r="X2416" s="126" t="s">
        <v>8689</v>
      </c>
      <c r="Y2416" s="127"/>
      <c r="Z2416" s="127"/>
      <c r="AA2416" s="127"/>
      <c r="AB2416" s="128"/>
      <c r="AC2416" s="15" t="s">
        <v>20</v>
      </c>
      <c r="AD2416" s="129"/>
      <c r="AE2416" s="130"/>
      <c r="AF2416" s="130"/>
      <c r="AG2416" s="130"/>
      <c r="AH2416" s="130"/>
      <c r="AI2416" s="131"/>
      <c r="AJ2416" s="132"/>
      <c r="AK2416" s="127"/>
      <c r="AL2416" s="128"/>
      <c r="AM2416" s="21"/>
      <c r="AN2416" s="133">
        <v>45948</v>
      </c>
      <c r="AO2416" s="134"/>
      <c r="AP2416" s="135">
        <v>1272</v>
      </c>
      <c r="AQ2416" s="136"/>
      <c r="AR2416" s="118">
        <v>450000</v>
      </c>
      <c r="AS2416" s="119"/>
      <c r="AT2416" s="118">
        <f t="shared" ref="AT2416" si="853">AR2416*0.1</f>
        <v>45000</v>
      </c>
      <c r="AU2416" s="119"/>
      <c r="AV2416" s="118">
        <v>17700</v>
      </c>
      <c r="AW2416" s="119"/>
      <c r="AX2416" s="118">
        <f t="shared" ref="AX2416" si="854">SUM(AR2416:AW2416)</f>
        <v>512700</v>
      </c>
      <c r="AY2416" s="119"/>
      <c r="AZ2416" s="137">
        <v>45951</v>
      </c>
    </row>
    <row r="2417" spans="1:52" ht="17.100000000000001" customHeight="1" thickBot="1">
      <c r="A2417" s="110"/>
      <c r="B2417" s="27" t="s">
        <v>4862</v>
      </c>
      <c r="C2417" s="27">
        <v>55224</v>
      </c>
      <c r="D2417" s="14" t="s">
        <v>1576</v>
      </c>
      <c r="E2417" s="112"/>
      <c r="F2417" s="139" t="s">
        <v>8687</v>
      </c>
      <c r="G2417" s="140"/>
      <c r="H2417" s="141"/>
      <c r="I2417" s="26">
        <v>43726</v>
      </c>
      <c r="J2417" s="117"/>
      <c r="K2417" s="120"/>
      <c r="L2417" s="121"/>
      <c r="M2417" s="120"/>
      <c r="N2417" s="121"/>
      <c r="O2417" s="120"/>
      <c r="P2417" s="121"/>
      <c r="Q2417" s="120"/>
      <c r="R2417" s="121"/>
      <c r="S2417" s="120"/>
      <c r="T2417" s="121"/>
      <c r="U2417" s="120"/>
      <c r="V2417" s="123"/>
      <c r="W2417" s="125"/>
      <c r="X2417" s="142" t="s">
        <v>4167</v>
      </c>
      <c r="Y2417" s="143"/>
      <c r="Z2417" s="143"/>
      <c r="AA2417" s="143"/>
      <c r="AB2417" s="144"/>
      <c r="AC2417" s="16" t="s">
        <v>21</v>
      </c>
      <c r="AD2417" s="17" t="s">
        <v>2171</v>
      </c>
      <c r="AE2417" s="145" t="s">
        <v>7859</v>
      </c>
      <c r="AF2417" s="146"/>
      <c r="AG2417" s="146"/>
      <c r="AH2417" s="146"/>
      <c r="AI2417" s="147"/>
      <c r="AJ2417" s="148"/>
      <c r="AK2417" s="143"/>
      <c r="AL2417" s="144"/>
      <c r="AM2417" s="22"/>
      <c r="AN2417" s="149" t="s">
        <v>2511</v>
      </c>
      <c r="AO2417" s="144"/>
      <c r="AP2417" s="148">
        <v>80095</v>
      </c>
      <c r="AQ2417" s="144"/>
      <c r="AR2417" s="120"/>
      <c r="AS2417" s="121"/>
      <c r="AT2417" s="120"/>
      <c r="AU2417" s="121"/>
      <c r="AV2417" s="120"/>
      <c r="AW2417" s="121"/>
      <c r="AX2417" s="120"/>
      <c r="AY2417" s="121"/>
      <c r="AZ2417" s="138"/>
    </row>
    <row r="2418" spans="1:52" ht="17.100000000000001" customHeight="1" thickTop="1">
      <c r="A2418" s="109" t="s">
        <v>8128</v>
      </c>
      <c r="B2418" s="28">
        <v>45943</v>
      </c>
      <c r="C2418" s="25"/>
      <c r="D2418" s="13" t="s">
        <v>4121</v>
      </c>
      <c r="E2418" s="111"/>
      <c r="F2418" s="113" t="s">
        <v>8131</v>
      </c>
      <c r="G2418" s="114"/>
      <c r="H2418" s="115"/>
      <c r="I2418" s="24" t="s">
        <v>4193</v>
      </c>
      <c r="J2418" s="116">
        <v>4</v>
      </c>
      <c r="K2418" s="118">
        <v>572000</v>
      </c>
      <c r="L2418" s="119"/>
      <c r="M2418" s="118">
        <f t="shared" ref="M2418" si="855">K2418*0.1</f>
        <v>57200</v>
      </c>
      <c r="N2418" s="119"/>
      <c r="O2418" s="118">
        <f>12200+1220</f>
        <v>13420</v>
      </c>
      <c r="P2418" s="119"/>
      <c r="Q2418" s="118">
        <v>12470</v>
      </c>
      <c r="R2418" s="119"/>
      <c r="S2418" s="118">
        <v>14850</v>
      </c>
      <c r="T2418" s="119"/>
      <c r="U2418" s="118">
        <f t="shared" ref="U2418" si="856">SUM(K2418:T2419)</f>
        <v>669940</v>
      </c>
      <c r="V2418" s="122"/>
      <c r="W2418" s="124"/>
      <c r="X2418" s="126" t="s">
        <v>8132</v>
      </c>
      <c r="Y2418" s="127"/>
      <c r="Z2418" s="127"/>
      <c r="AA2418" s="127"/>
      <c r="AB2418" s="128"/>
      <c r="AC2418" s="15" t="s">
        <v>20</v>
      </c>
      <c r="AD2418" s="129"/>
      <c r="AE2418" s="130"/>
      <c r="AF2418" s="130"/>
      <c r="AG2418" s="130"/>
      <c r="AH2418" s="130"/>
      <c r="AI2418" s="131"/>
      <c r="AJ2418" s="132"/>
      <c r="AK2418" s="127"/>
      <c r="AL2418" s="128"/>
      <c r="AM2418" s="21" t="s">
        <v>10394</v>
      </c>
      <c r="AN2418" s="133">
        <v>45997</v>
      </c>
      <c r="AO2418" s="134"/>
      <c r="AP2418" s="135">
        <v>1279</v>
      </c>
      <c r="AQ2418" s="136"/>
      <c r="AR2418" s="118">
        <v>615000</v>
      </c>
      <c r="AS2418" s="119"/>
      <c r="AT2418" s="118">
        <f t="shared" ref="AT2418" si="857">AR2418*0.1</f>
        <v>61500</v>
      </c>
      <c r="AU2418" s="119"/>
      <c r="AV2418" s="118">
        <v>12470</v>
      </c>
      <c r="AW2418" s="119"/>
      <c r="AX2418" s="118">
        <f t="shared" ref="AX2418" si="858">SUM(AR2418:AW2418)</f>
        <v>688970</v>
      </c>
      <c r="AY2418" s="119"/>
      <c r="AZ2418" s="137">
        <v>46000</v>
      </c>
    </row>
    <row r="2419" spans="1:52" ht="17.100000000000001" customHeight="1" thickBot="1">
      <c r="A2419" s="110"/>
      <c r="B2419" s="27" t="s">
        <v>2774</v>
      </c>
      <c r="C2419" s="27">
        <v>80237</v>
      </c>
      <c r="D2419" s="14" t="s">
        <v>1556</v>
      </c>
      <c r="E2419" s="112"/>
      <c r="F2419" s="139" t="s">
        <v>8688</v>
      </c>
      <c r="G2419" s="140"/>
      <c r="H2419" s="141"/>
      <c r="I2419" s="26">
        <v>34038</v>
      </c>
      <c r="J2419" s="117"/>
      <c r="K2419" s="120"/>
      <c r="L2419" s="121"/>
      <c r="M2419" s="120"/>
      <c r="N2419" s="121"/>
      <c r="O2419" s="120"/>
      <c r="P2419" s="121"/>
      <c r="Q2419" s="120"/>
      <c r="R2419" s="121"/>
      <c r="S2419" s="120"/>
      <c r="T2419" s="121"/>
      <c r="U2419" s="120"/>
      <c r="V2419" s="123"/>
      <c r="W2419" s="125"/>
      <c r="X2419" s="142" t="s">
        <v>4847</v>
      </c>
      <c r="Y2419" s="143"/>
      <c r="Z2419" s="143"/>
      <c r="AA2419" s="143"/>
      <c r="AB2419" s="144"/>
      <c r="AC2419" s="16" t="s">
        <v>21</v>
      </c>
      <c r="AD2419" s="17" t="s">
        <v>2171</v>
      </c>
      <c r="AE2419" s="145" t="s">
        <v>8813</v>
      </c>
      <c r="AF2419" s="146"/>
      <c r="AG2419" s="146"/>
      <c r="AH2419" s="146"/>
      <c r="AI2419" s="147"/>
      <c r="AJ2419" s="148"/>
      <c r="AK2419" s="143"/>
      <c r="AL2419" s="144"/>
      <c r="AM2419" s="22"/>
      <c r="AN2419" s="149" t="s">
        <v>2511</v>
      </c>
      <c r="AO2419" s="144"/>
      <c r="AP2419" s="148">
        <v>80084</v>
      </c>
      <c r="AQ2419" s="144"/>
      <c r="AR2419" s="120"/>
      <c r="AS2419" s="121"/>
      <c r="AT2419" s="120"/>
      <c r="AU2419" s="121"/>
      <c r="AV2419" s="120"/>
      <c r="AW2419" s="121"/>
      <c r="AX2419" s="120"/>
      <c r="AY2419" s="121"/>
      <c r="AZ2419" s="138"/>
    </row>
    <row r="2420" spans="1:52" ht="17.100000000000001" customHeight="1" thickTop="1">
      <c r="A2420" s="109" t="s">
        <v>8129</v>
      </c>
      <c r="B2420" s="28">
        <v>45943</v>
      </c>
      <c r="C2420" s="25"/>
      <c r="D2420" s="13" t="s">
        <v>1623</v>
      </c>
      <c r="E2420" s="111"/>
      <c r="F2420" s="113" t="s">
        <v>8133</v>
      </c>
      <c r="G2420" s="114"/>
      <c r="H2420" s="115"/>
      <c r="I2420" s="24"/>
      <c r="J2420" s="116">
        <v>4</v>
      </c>
      <c r="K2420" s="118">
        <v>276000</v>
      </c>
      <c r="L2420" s="119"/>
      <c r="M2420" s="118">
        <f t="shared" ref="M2420" si="859">K2420*0.1</f>
        <v>27600</v>
      </c>
      <c r="N2420" s="119"/>
      <c r="O2420" s="118">
        <v>0</v>
      </c>
      <c r="P2420" s="119"/>
      <c r="Q2420" s="118">
        <v>19150</v>
      </c>
      <c r="R2420" s="119"/>
      <c r="S2420" s="118">
        <v>14850</v>
      </c>
      <c r="T2420" s="119"/>
      <c r="U2420" s="118">
        <f t="shared" ref="U2420" si="860">SUM(K2420:T2421)</f>
        <v>337600</v>
      </c>
      <c r="V2420" s="122"/>
      <c r="W2420" s="124"/>
      <c r="X2420" s="126" t="s">
        <v>8810</v>
      </c>
      <c r="Y2420" s="127"/>
      <c r="Z2420" s="127"/>
      <c r="AA2420" s="127"/>
      <c r="AB2420" s="128"/>
      <c r="AC2420" s="15" t="s">
        <v>20</v>
      </c>
      <c r="AD2420" s="129"/>
      <c r="AE2420" s="130"/>
      <c r="AF2420" s="130"/>
      <c r="AG2420" s="130"/>
      <c r="AH2420" s="130"/>
      <c r="AI2420" s="131"/>
      <c r="AJ2420" s="132"/>
      <c r="AK2420" s="127"/>
      <c r="AL2420" s="128"/>
      <c r="AM2420" s="21"/>
      <c r="AN2420" s="133">
        <v>45948</v>
      </c>
      <c r="AO2420" s="134"/>
      <c r="AP2420" s="135">
        <v>1272</v>
      </c>
      <c r="AQ2420" s="136"/>
      <c r="AR2420" s="118">
        <v>296000</v>
      </c>
      <c r="AS2420" s="119"/>
      <c r="AT2420" s="118">
        <f t="shared" ref="AT2420" si="861">AR2420*0.1</f>
        <v>29600</v>
      </c>
      <c r="AU2420" s="119"/>
      <c r="AV2420" s="118">
        <v>19150</v>
      </c>
      <c r="AW2420" s="119"/>
      <c r="AX2420" s="118">
        <f t="shared" ref="AX2420" si="862">SUM(AR2420:AW2420)</f>
        <v>344750</v>
      </c>
      <c r="AY2420" s="119"/>
      <c r="AZ2420" s="137">
        <v>45952</v>
      </c>
    </row>
    <row r="2421" spans="1:52" ht="16.5" customHeight="1" thickBot="1">
      <c r="A2421" s="110"/>
      <c r="B2421" s="27" t="s">
        <v>2774</v>
      </c>
      <c r="C2421" s="27">
        <v>80265</v>
      </c>
      <c r="D2421" s="14" t="s">
        <v>1592</v>
      </c>
      <c r="E2421" s="112"/>
      <c r="F2421" s="139" t="s">
        <v>8737</v>
      </c>
      <c r="G2421" s="140"/>
      <c r="H2421" s="141"/>
      <c r="I2421" s="26">
        <v>94115</v>
      </c>
      <c r="J2421" s="117"/>
      <c r="K2421" s="120"/>
      <c r="L2421" s="121"/>
      <c r="M2421" s="120"/>
      <c r="N2421" s="121"/>
      <c r="O2421" s="120"/>
      <c r="P2421" s="121"/>
      <c r="Q2421" s="120"/>
      <c r="R2421" s="121"/>
      <c r="S2421" s="120"/>
      <c r="T2421" s="121"/>
      <c r="U2421" s="120"/>
      <c r="V2421" s="123"/>
      <c r="W2421" s="125"/>
      <c r="X2421" s="142" t="s">
        <v>8811</v>
      </c>
      <c r="Y2421" s="143"/>
      <c r="Z2421" s="143"/>
      <c r="AA2421" s="143"/>
      <c r="AB2421" s="144"/>
      <c r="AC2421" s="16" t="s">
        <v>21</v>
      </c>
      <c r="AD2421" s="17" t="s">
        <v>3348</v>
      </c>
      <c r="AE2421" s="145" t="s">
        <v>8812</v>
      </c>
      <c r="AF2421" s="146"/>
      <c r="AG2421" s="146"/>
      <c r="AH2421" s="146"/>
      <c r="AI2421" s="147"/>
      <c r="AJ2421" s="148"/>
      <c r="AK2421" s="143"/>
      <c r="AL2421" s="144"/>
      <c r="AM2421" s="22"/>
      <c r="AN2421" s="149" t="s">
        <v>2511</v>
      </c>
      <c r="AO2421" s="144"/>
      <c r="AP2421" s="148">
        <v>53128</v>
      </c>
      <c r="AQ2421" s="144"/>
      <c r="AR2421" s="120"/>
      <c r="AS2421" s="121"/>
      <c r="AT2421" s="120"/>
      <c r="AU2421" s="121"/>
      <c r="AV2421" s="120"/>
      <c r="AW2421" s="121"/>
      <c r="AX2421" s="120"/>
      <c r="AY2421" s="121"/>
      <c r="AZ2421" s="138"/>
    </row>
    <row r="2422" spans="1:52" ht="17.100000000000001" customHeight="1" thickTop="1">
      <c r="A2422" s="109" t="s">
        <v>8130</v>
      </c>
      <c r="B2422" s="28">
        <v>45943</v>
      </c>
      <c r="C2422" s="25">
        <v>2064</v>
      </c>
      <c r="D2422" s="13" t="s">
        <v>1853</v>
      </c>
      <c r="E2422" s="111"/>
      <c r="F2422" s="113" t="s">
        <v>8152</v>
      </c>
      <c r="G2422" s="114"/>
      <c r="H2422" s="115"/>
      <c r="I2422" s="24"/>
      <c r="J2422" s="116">
        <v>4</v>
      </c>
      <c r="K2422" s="118">
        <v>1162000</v>
      </c>
      <c r="L2422" s="119"/>
      <c r="M2422" s="118">
        <f t="shared" ref="M2422" si="863">K2422*0.1</f>
        <v>116200</v>
      </c>
      <c r="N2422" s="119"/>
      <c r="O2422" s="118">
        <v>0</v>
      </c>
      <c r="P2422" s="119"/>
      <c r="Q2422" s="118">
        <v>20730</v>
      </c>
      <c r="R2422" s="119"/>
      <c r="S2422" s="118">
        <v>11000</v>
      </c>
      <c r="T2422" s="119"/>
      <c r="U2422" s="118">
        <f t="shared" ref="U2422" si="864">SUM(K2422:T2423)</f>
        <v>1309930</v>
      </c>
      <c r="V2422" s="122"/>
      <c r="W2422" s="124"/>
      <c r="X2422" s="126" t="s">
        <v>8743</v>
      </c>
      <c r="Y2422" s="127"/>
      <c r="Z2422" s="127"/>
      <c r="AA2422" s="127"/>
      <c r="AB2422" s="128"/>
      <c r="AC2422" s="15" t="s">
        <v>20</v>
      </c>
      <c r="AD2422" s="129" t="s">
        <v>3123</v>
      </c>
      <c r="AE2422" s="130"/>
      <c r="AF2422" s="130"/>
      <c r="AG2422" s="130"/>
      <c r="AH2422" s="130"/>
      <c r="AI2422" s="131"/>
      <c r="AJ2422" s="132"/>
      <c r="AK2422" s="127"/>
      <c r="AL2422" s="128"/>
      <c r="AM2422" s="21"/>
      <c r="AN2422" s="133">
        <v>45948</v>
      </c>
      <c r="AO2422" s="134"/>
      <c r="AP2422" s="135">
        <v>1272</v>
      </c>
      <c r="AQ2422" s="136"/>
      <c r="AR2422" s="118">
        <v>1645000</v>
      </c>
      <c r="AS2422" s="119"/>
      <c r="AT2422" s="118">
        <f t="shared" ref="AT2422" si="865">AR2422*0.1</f>
        <v>164500</v>
      </c>
      <c r="AU2422" s="119"/>
      <c r="AV2422" s="118">
        <v>20730</v>
      </c>
      <c r="AW2422" s="119"/>
      <c r="AX2422" s="118">
        <f t="shared" ref="AX2422" si="866">SUM(AR2422:AW2422)</f>
        <v>1830230</v>
      </c>
      <c r="AY2422" s="119"/>
      <c r="AZ2422" s="137">
        <v>45951</v>
      </c>
    </row>
    <row r="2423" spans="1:52" ht="17.100000000000001" customHeight="1" thickBot="1">
      <c r="A2423" s="110"/>
      <c r="B2423" s="27" t="s">
        <v>83</v>
      </c>
      <c r="C2423" s="27">
        <v>11001</v>
      </c>
      <c r="D2423" s="14" t="s">
        <v>1576</v>
      </c>
      <c r="E2423" s="112"/>
      <c r="F2423" s="139" t="s">
        <v>8143</v>
      </c>
      <c r="G2423" s="140"/>
      <c r="H2423" s="141"/>
      <c r="I2423" s="26">
        <v>72944</v>
      </c>
      <c r="J2423" s="117"/>
      <c r="K2423" s="120"/>
      <c r="L2423" s="121"/>
      <c r="M2423" s="120"/>
      <c r="N2423" s="121"/>
      <c r="O2423" s="120"/>
      <c r="P2423" s="121"/>
      <c r="Q2423" s="120"/>
      <c r="R2423" s="121"/>
      <c r="S2423" s="120"/>
      <c r="T2423" s="121"/>
      <c r="U2423" s="120"/>
      <c r="V2423" s="123"/>
      <c r="W2423" s="125"/>
      <c r="X2423" s="142" t="s">
        <v>4464</v>
      </c>
      <c r="Y2423" s="143"/>
      <c r="Z2423" s="143"/>
      <c r="AA2423" s="143"/>
      <c r="AB2423" s="144"/>
      <c r="AC2423" s="16" t="s">
        <v>21</v>
      </c>
      <c r="AD2423" s="17" t="s">
        <v>2171</v>
      </c>
      <c r="AE2423" s="145" t="s">
        <v>3123</v>
      </c>
      <c r="AF2423" s="146"/>
      <c r="AG2423" s="146"/>
      <c r="AH2423" s="146"/>
      <c r="AI2423" s="147"/>
      <c r="AJ2423" s="148"/>
      <c r="AK2423" s="143"/>
      <c r="AL2423" s="144"/>
      <c r="AM2423" s="22"/>
      <c r="AN2423" s="149" t="s">
        <v>2511</v>
      </c>
      <c r="AO2423" s="144"/>
      <c r="AP2423" s="148">
        <v>80097</v>
      </c>
      <c r="AQ2423" s="144"/>
      <c r="AR2423" s="120"/>
      <c r="AS2423" s="121"/>
      <c r="AT2423" s="120"/>
      <c r="AU2423" s="121"/>
      <c r="AV2423" s="120"/>
      <c r="AW2423" s="121"/>
      <c r="AX2423" s="120"/>
      <c r="AY2423" s="121"/>
      <c r="AZ2423" s="138"/>
    </row>
    <row r="2424" spans="1:52" ht="17.100000000000001" customHeight="1" thickTop="1">
      <c r="A2424" s="109" t="s">
        <v>8134</v>
      </c>
      <c r="B2424" s="28">
        <v>45943</v>
      </c>
      <c r="C2424" s="25">
        <v>2064</v>
      </c>
      <c r="D2424" s="13" t="s">
        <v>2759</v>
      </c>
      <c r="E2424" s="111"/>
      <c r="F2424" s="113" t="s">
        <v>8153</v>
      </c>
      <c r="G2424" s="114"/>
      <c r="H2424" s="115"/>
      <c r="I2424" s="24"/>
      <c r="J2424" s="116">
        <v>4</v>
      </c>
      <c r="K2424" s="118">
        <v>710000</v>
      </c>
      <c r="L2424" s="119"/>
      <c r="M2424" s="118">
        <f t="shared" ref="M2424" si="867">K2424*0.1</f>
        <v>71000</v>
      </c>
      <c r="N2424" s="119"/>
      <c r="O2424" s="118">
        <v>0</v>
      </c>
      <c r="P2424" s="119"/>
      <c r="Q2424" s="118">
        <v>6470</v>
      </c>
      <c r="R2424" s="119"/>
      <c r="S2424" s="118">
        <v>20900</v>
      </c>
      <c r="T2424" s="119"/>
      <c r="U2424" s="118">
        <f t="shared" ref="U2424" si="868">SUM(K2424:T2425)</f>
        <v>808370</v>
      </c>
      <c r="V2424" s="122"/>
      <c r="W2424" s="124"/>
      <c r="X2424" s="126" t="s">
        <v>8742</v>
      </c>
      <c r="Y2424" s="127"/>
      <c r="Z2424" s="127"/>
      <c r="AA2424" s="127"/>
      <c r="AB2424" s="128"/>
      <c r="AC2424" s="15" t="s">
        <v>20</v>
      </c>
      <c r="AD2424" s="129"/>
      <c r="AE2424" s="130"/>
      <c r="AF2424" s="130"/>
      <c r="AG2424" s="130"/>
      <c r="AH2424" s="130"/>
      <c r="AI2424" s="131"/>
      <c r="AJ2424" s="132"/>
      <c r="AK2424" s="127"/>
      <c r="AL2424" s="128"/>
      <c r="AM2424" s="21"/>
      <c r="AN2424" s="133">
        <v>45990</v>
      </c>
      <c r="AO2424" s="134"/>
      <c r="AP2424" s="135">
        <v>1278</v>
      </c>
      <c r="AQ2424" s="136"/>
      <c r="AR2424" s="118">
        <v>750000</v>
      </c>
      <c r="AS2424" s="119"/>
      <c r="AT2424" s="118">
        <f t="shared" ref="AT2424" si="869">AR2424*0.1</f>
        <v>75000</v>
      </c>
      <c r="AU2424" s="119"/>
      <c r="AV2424" s="118">
        <v>6470</v>
      </c>
      <c r="AW2424" s="119"/>
      <c r="AX2424" s="118">
        <f t="shared" ref="AX2424" si="870">SUM(AR2424:AW2424)</f>
        <v>831470</v>
      </c>
      <c r="AY2424" s="119"/>
      <c r="AZ2424" s="137">
        <v>45995</v>
      </c>
    </row>
    <row r="2425" spans="1:52" ht="17.100000000000001" customHeight="1" thickBot="1">
      <c r="A2425" s="110"/>
      <c r="B2425" s="27" t="s">
        <v>83</v>
      </c>
      <c r="C2425" s="27">
        <v>25104</v>
      </c>
      <c r="D2425" s="14" t="s">
        <v>1592</v>
      </c>
      <c r="E2425" s="112"/>
      <c r="F2425" s="139" t="s">
        <v>8144</v>
      </c>
      <c r="G2425" s="140"/>
      <c r="H2425" s="141"/>
      <c r="I2425" s="26">
        <v>38624</v>
      </c>
      <c r="J2425" s="117"/>
      <c r="K2425" s="120"/>
      <c r="L2425" s="121"/>
      <c r="M2425" s="120"/>
      <c r="N2425" s="121"/>
      <c r="O2425" s="120"/>
      <c r="P2425" s="121"/>
      <c r="Q2425" s="120"/>
      <c r="R2425" s="121"/>
      <c r="S2425" s="120"/>
      <c r="T2425" s="121"/>
      <c r="U2425" s="120"/>
      <c r="V2425" s="123"/>
      <c r="W2425" s="125"/>
      <c r="X2425" s="142" t="s">
        <v>2482</v>
      </c>
      <c r="Y2425" s="143"/>
      <c r="Z2425" s="143"/>
      <c r="AA2425" s="143"/>
      <c r="AB2425" s="144"/>
      <c r="AC2425" s="16" t="s">
        <v>21</v>
      </c>
      <c r="AD2425" s="17" t="s">
        <v>2171</v>
      </c>
      <c r="AE2425" s="145" t="s">
        <v>7859</v>
      </c>
      <c r="AF2425" s="146"/>
      <c r="AG2425" s="146"/>
      <c r="AH2425" s="146"/>
      <c r="AI2425" s="147"/>
      <c r="AJ2425" s="148"/>
      <c r="AK2425" s="143"/>
      <c r="AL2425" s="144"/>
      <c r="AM2425" s="22"/>
      <c r="AN2425" s="149" t="s">
        <v>6748</v>
      </c>
      <c r="AO2425" s="144"/>
      <c r="AP2425" s="148">
        <v>60122</v>
      </c>
      <c r="AQ2425" s="144"/>
      <c r="AR2425" s="120"/>
      <c r="AS2425" s="121"/>
      <c r="AT2425" s="120"/>
      <c r="AU2425" s="121"/>
      <c r="AV2425" s="120"/>
      <c r="AW2425" s="121"/>
      <c r="AX2425" s="120"/>
      <c r="AY2425" s="121"/>
      <c r="AZ2425" s="138"/>
    </row>
    <row r="2426" spans="1:52" ht="17.100000000000001" customHeight="1" thickTop="1">
      <c r="A2426" s="109" t="s">
        <v>8135</v>
      </c>
      <c r="B2426" s="28">
        <v>45943</v>
      </c>
      <c r="C2426" s="25">
        <v>2064</v>
      </c>
      <c r="D2426" s="13" t="s">
        <v>2141</v>
      </c>
      <c r="E2426" s="111"/>
      <c r="F2426" s="113" t="s">
        <v>8154</v>
      </c>
      <c r="G2426" s="114"/>
      <c r="H2426" s="115"/>
      <c r="I2426" s="24" t="s">
        <v>4096</v>
      </c>
      <c r="J2426" s="116">
        <v>4.5</v>
      </c>
      <c r="K2426" s="118">
        <v>830000</v>
      </c>
      <c r="L2426" s="119"/>
      <c r="M2426" s="118">
        <f t="shared" ref="M2426" si="871">K2426*0.1</f>
        <v>83000</v>
      </c>
      <c r="N2426" s="119"/>
      <c r="O2426" s="118">
        <f>16400+1640</f>
        <v>18040</v>
      </c>
      <c r="P2426" s="119"/>
      <c r="Q2426" s="118">
        <v>15950</v>
      </c>
      <c r="R2426" s="119"/>
      <c r="S2426" s="118">
        <v>17600</v>
      </c>
      <c r="T2426" s="119"/>
      <c r="U2426" s="118">
        <f t="shared" ref="U2426" si="872">SUM(K2426:T2427)</f>
        <v>964590</v>
      </c>
      <c r="V2426" s="122"/>
      <c r="W2426" s="124"/>
      <c r="X2426" s="126" t="s">
        <v>8155</v>
      </c>
      <c r="Y2426" s="127"/>
      <c r="Z2426" s="127"/>
      <c r="AA2426" s="127"/>
      <c r="AB2426" s="128"/>
      <c r="AC2426" s="15" t="s">
        <v>20</v>
      </c>
      <c r="AD2426" s="129" t="s">
        <v>1633</v>
      </c>
      <c r="AE2426" s="130"/>
      <c r="AF2426" s="130"/>
      <c r="AG2426" s="130"/>
      <c r="AH2426" s="130"/>
      <c r="AI2426" s="131"/>
      <c r="AJ2426" s="132"/>
      <c r="AK2426" s="127"/>
      <c r="AL2426" s="128"/>
      <c r="AM2426" s="21"/>
      <c r="AN2426" s="133">
        <v>45962</v>
      </c>
      <c r="AO2426" s="134"/>
      <c r="AP2426" s="135">
        <v>1274</v>
      </c>
      <c r="AQ2426" s="136"/>
      <c r="AR2426" s="118">
        <v>1040000</v>
      </c>
      <c r="AS2426" s="119"/>
      <c r="AT2426" s="118">
        <f t="shared" ref="AT2426" si="873">AR2426*0.1</f>
        <v>104000</v>
      </c>
      <c r="AU2426" s="119"/>
      <c r="AV2426" s="118">
        <v>15920</v>
      </c>
      <c r="AW2426" s="119"/>
      <c r="AX2426" s="118">
        <f t="shared" ref="AX2426" si="874">SUM(AR2426:AW2426)</f>
        <v>1159920</v>
      </c>
      <c r="AY2426" s="119"/>
      <c r="AZ2426" s="137">
        <v>45965</v>
      </c>
    </row>
    <row r="2427" spans="1:52" ht="17.100000000000001" customHeight="1" thickBot="1">
      <c r="A2427" s="110"/>
      <c r="B2427" s="27" t="s">
        <v>83</v>
      </c>
      <c r="C2427" s="27">
        <v>31001</v>
      </c>
      <c r="D2427" s="14" t="s">
        <v>1720</v>
      </c>
      <c r="E2427" s="112"/>
      <c r="F2427" s="139" t="s">
        <v>8145</v>
      </c>
      <c r="G2427" s="140"/>
      <c r="H2427" s="141"/>
      <c r="I2427" s="26">
        <v>40882</v>
      </c>
      <c r="J2427" s="117"/>
      <c r="K2427" s="120"/>
      <c r="L2427" s="121"/>
      <c r="M2427" s="120"/>
      <c r="N2427" s="121"/>
      <c r="O2427" s="120"/>
      <c r="P2427" s="121"/>
      <c r="Q2427" s="120"/>
      <c r="R2427" s="121"/>
      <c r="S2427" s="120"/>
      <c r="T2427" s="121"/>
      <c r="U2427" s="120"/>
      <c r="V2427" s="123"/>
      <c r="W2427" s="125"/>
      <c r="X2427" s="142" t="s">
        <v>8802</v>
      </c>
      <c r="Y2427" s="143"/>
      <c r="Z2427" s="143"/>
      <c r="AA2427" s="143"/>
      <c r="AB2427" s="144"/>
      <c r="AC2427" s="16" t="s">
        <v>21</v>
      </c>
      <c r="AD2427" s="17" t="s">
        <v>8763</v>
      </c>
      <c r="AE2427" s="145" t="s">
        <v>8766</v>
      </c>
      <c r="AF2427" s="146"/>
      <c r="AG2427" s="146"/>
      <c r="AH2427" s="146"/>
      <c r="AI2427" s="147"/>
      <c r="AJ2427" s="148"/>
      <c r="AK2427" s="143"/>
      <c r="AL2427" s="144"/>
      <c r="AM2427" s="22"/>
      <c r="AN2427" s="149" t="s">
        <v>2511</v>
      </c>
      <c r="AO2427" s="144"/>
      <c r="AP2427" s="148">
        <v>80079</v>
      </c>
      <c r="AQ2427" s="144"/>
      <c r="AR2427" s="120"/>
      <c r="AS2427" s="121"/>
      <c r="AT2427" s="120"/>
      <c r="AU2427" s="121"/>
      <c r="AV2427" s="120"/>
      <c r="AW2427" s="121"/>
      <c r="AX2427" s="120"/>
      <c r="AY2427" s="121"/>
      <c r="AZ2427" s="138"/>
    </row>
    <row r="2428" spans="1:52" ht="17.100000000000001" customHeight="1" thickTop="1">
      <c r="A2428" s="109" t="s">
        <v>8136</v>
      </c>
      <c r="B2428" s="28">
        <v>45943</v>
      </c>
      <c r="C2428" s="25">
        <v>2064</v>
      </c>
      <c r="D2428" s="13" t="s">
        <v>1937</v>
      </c>
      <c r="E2428" s="111"/>
      <c r="F2428" s="113" t="s">
        <v>8156</v>
      </c>
      <c r="G2428" s="114"/>
      <c r="H2428" s="115"/>
      <c r="I2428" s="24"/>
      <c r="J2428" s="116">
        <v>4.5</v>
      </c>
      <c r="K2428" s="118">
        <v>748000</v>
      </c>
      <c r="L2428" s="119"/>
      <c r="M2428" s="118">
        <f t="shared" ref="M2428" si="875">K2428*0.1</f>
        <v>74800</v>
      </c>
      <c r="N2428" s="119"/>
      <c r="O2428" s="118">
        <v>0</v>
      </c>
      <c r="P2428" s="119"/>
      <c r="Q2428" s="118">
        <v>11850</v>
      </c>
      <c r="R2428" s="119"/>
      <c r="S2428" s="118">
        <v>11000</v>
      </c>
      <c r="T2428" s="119"/>
      <c r="U2428" s="118">
        <f t="shared" ref="U2428" si="876">SUM(K2428:T2429)</f>
        <v>845650</v>
      </c>
      <c r="V2428" s="122"/>
      <c r="W2428" s="124"/>
      <c r="X2428" s="126" t="s">
        <v>8465</v>
      </c>
      <c r="Y2428" s="127"/>
      <c r="Z2428" s="127"/>
      <c r="AA2428" s="127"/>
      <c r="AB2428" s="128"/>
      <c r="AC2428" s="15" t="s">
        <v>20</v>
      </c>
      <c r="AD2428" s="129" t="s">
        <v>171</v>
      </c>
      <c r="AE2428" s="130"/>
      <c r="AF2428" s="130"/>
      <c r="AG2428" s="130"/>
      <c r="AH2428" s="130"/>
      <c r="AI2428" s="131"/>
      <c r="AJ2428" s="132"/>
      <c r="AK2428" s="127"/>
      <c r="AL2428" s="128"/>
      <c r="AM2428" s="21"/>
      <c r="AN2428" s="133">
        <v>45955</v>
      </c>
      <c r="AO2428" s="134"/>
      <c r="AP2428" s="135">
        <v>1273</v>
      </c>
      <c r="AQ2428" s="136"/>
      <c r="AR2428" s="118">
        <v>830000</v>
      </c>
      <c r="AS2428" s="119"/>
      <c r="AT2428" s="118">
        <f t="shared" ref="AT2428" si="877">AR2428*0.1</f>
        <v>83000</v>
      </c>
      <c r="AU2428" s="119"/>
      <c r="AV2428" s="118">
        <v>11850</v>
      </c>
      <c r="AW2428" s="119"/>
      <c r="AX2428" s="118">
        <f t="shared" ref="AX2428" si="878">SUM(AR2428:AW2428)</f>
        <v>924850</v>
      </c>
      <c r="AY2428" s="119"/>
      <c r="AZ2428" s="137">
        <v>45958</v>
      </c>
    </row>
    <row r="2429" spans="1:52" ht="17.100000000000001" customHeight="1" thickBot="1">
      <c r="A2429" s="110"/>
      <c r="B2429" s="27" t="s">
        <v>83</v>
      </c>
      <c r="C2429" s="27">
        <v>33504</v>
      </c>
      <c r="D2429" s="14" t="s">
        <v>904</v>
      </c>
      <c r="E2429" s="112"/>
      <c r="F2429" s="139" t="s">
        <v>8146</v>
      </c>
      <c r="G2429" s="140"/>
      <c r="H2429" s="141"/>
      <c r="I2429" s="26">
        <v>43184</v>
      </c>
      <c r="J2429" s="117"/>
      <c r="K2429" s="120"/>
      <c r="L2429" s="121"/>
      <c r="M2429" s="120"/>
      <c r="N2429" s="121"/>
      <c r="O2429" s="120"/>
      <c r="P2429" s="121"/>
      <c r="Q2429" s="120"/>
      <c r="R2429" s="121"/>
      <c r="S2429" s="120"/>
      <c r="T2429" s="121"/>
      <c r="U2429" s="120"/>
      <c r="V2429" s="123"/>
      <c r="W2429" s="125"/>
      <c r="X2429" s="142" t="s">
        <v>4820</v>
      </c>
      <c r="Y2429" s="143"/>
      <c r="Z2429" s="143"/>
      <c r="AA2429" s="143"/>
      <c r="AB2429" s="144"/>
      <c r="AC2429" s="16" t="s">
        <v>21</v>
      </c>
      <c r="AD2429" s="17" t="s">
        <v>1638</v>
      </c>
      <c r="AE2429" s="145" t="s">
        <v>5083</v>
      </c>
      <c r="AF2429" s="146"/>
      <c r="AG2429" s="146"/>
      <c r="AH2429" s="146"/>
      <c r="AI2429" s="147"/>
      <c r="AJ2429" s="148"/>
      <c r="AK2429" s="143"/>
      <c r="AL2429" s="144"/>
      <c r="AM2429" s="22"/>
      <c r="AN2429" s="149" t="s">
        <v>2511</v>
      </c>
      <c r="AO2429" s="144"/>
      <c r="AP2429" s="148">
        <v>80019</v>
      </c>
      <c r="AQ2429" s="144"/>
      <c r="AR2429" s="120"/>
      <c r="AS2429" s="121"/>
      <c r="AT2429" s="120"/>
      <c r="AU2429" s="121"/>
      <c r="AV2429" s="120"/>
      <c r="AW2429" s="121"/>
      <c r="AX2429" s="120"/>
      <c r="AY2429" s="121"/>
      <c r="AZ2429" s="138"/>
    </row>
    <row r="2430" spans="1:52" ht="17.100000000000001" customHeight="1" thickTop="1">
      <c r="A2430" s="109" t="s">
        <v>8137</v>
      </c>
      <c r="B2430" s="28">
        <v>45943</v>
      </c>
      <c r="C2430" s="25">
        <v>2064</v>
      </c>
      <c r="D2430" s="13" t="s">
        <v>1537</v>
      </c>
      <c r="E2430" s="111"/>
      <c r="F2430" s="113" t="s">
        <v>8157</v>
      </c>
      <c r="G2430" s="114"/>
      <c r="H2430" s="115"/>
      <c r="I2430" s="24"/>
      <c r="J2430" s="116">
        <v>4.5</v>
      </c>
      <c r="K2430" s="118">
        <v>1445000</v>
      </c>
      <c r="L2430" s="119"/>
      <c r="M2430" s="118">
        <f t="shared" ref="M2430" si="879">K2430*0.1</f>
        <v>144500</v>
      </c>
      <c r="N2430" s="119"/>
      <c r="O2430" s="118">
        <v>0</v>
      </c>
      <c r="P2430" s="119"/>
      <c r="Q2430" s="118">
        <v>16640</v>
      </c>
      <c r="R2430" s="119"/>
      <c r="S2430" s="118">
        <v>11000</v>
      </c>
      <c r="T2430" s="119"/>
      <c r="U2430" s="118">
        <f t="shared" ref="U2430" si="880">SUM(K2430:T2431)</f>
        <v>1617140</v>
      </c>
      <c r="V2430" s="122"/>
      <c r="W2430" s="124"/>
      <c r="X2430" s="126" t="s">
        <v>8540</v>
      </c>
      <c r="Y2430" s="127"/>
      <c r="Z2430" s="127"/>
      <c r="AA2430" s="127"/>
      <c r="AB2430" s="128"/>
      <c r="AC2430" s="15" t="s">
        <v>20</v>
      </c>
      <c r="AD2430" s="129" t="s">
        <v>1633</v>
      </c>
      <c r="AE2430" s="130"/>
      <c r="AF2430" s="130"/>
      <c r="AG2430" s="130"/>
      <c r="AH2430" s="130"/>
      <c r="AI2430" s="131"/>
      <c r="AJ2430" s="132"/>
      <c r="AK2430" s="127"/>
      <c r="AL2430" s="128"/>
      <c r="AM2430" s="21"/>
      <c r="AN2430" s="133">
        <v>45976</v>
      </c>
      <c r="AO2430" s="134"/>
      <c r="AP2430" s="135">
        <v>1276</v>
      </c>
      <c r="AQ2430" s="136"/>
      <c r="AR2430" s="118">
        <v>1575000</v>
      </c>
      <c r="AS2430" s="119"/>
      <c r="AT2430" s="118">
        <f t="shared" ref="AT2430" si="881">AR2430*0.1</f>
        <v>157500</v>
      </c>
      <c r="AU2430" s="119"/>
      <c r="AV2430" s="118">
        <v>16640</v>
      </c>
      <c r="AW2430" s="119"/>
      <c r="AX2430" s="118">
        <f t="shared" ref="AX2430" si="882">SUM(AR2430:AW2430)</f>
        <v>1749140</v>
      </c>
      <c r="AY2430" s="119"/>
      <c r="AZ2430" s="137">
        <v>45979</v>
      </c>
    </row>
    <row r="2431" spans="1:52" ht="17.100000000000001" customHeight="1" thickBot="1">
      <c r="A2431" s="110"/>
      <c r="B2431" s="27" t="s">
        <v>83</v>
      </c>
      <c r="C2431" s="27">
        <v>33517</v>
      </c>
      <c r="D2431" s="14" t="s">
        <v>2601</v>
      </c>
      <c r="E2431" s="112"/>
      <c r="F2431" s="139" t="s">
        <v>8147</v>
      </c>
      <c r="G2431" s="140"/>
      <c r="H2431" s="141"/>
      <c r="I2431" s="26">
        <v>36000</v>
      </c>
      <c r="J2431" s="117"/>
      <c r="K2431" s="120"/>
      <c r="L2431" s="121"/>
      <c r="M2431" s="120"/>
      <c r="N2431" s="121"/>
      <c r="O2431" s="120"/>
      <c r="P2431" s="121"/>
      <c r="Q2431" s="120"/>
      <c r="R2431" s="121"/>
      <c r="S2431" s="120"/>
      <c r="T2431" s="121"/>
      <c r="U2431" s="120"/>
      <c r="V2431" s="123"/>
      <c r="W2431" s="125"/>
      <c r="X2431" s="142" t="s">
        <v>4820</v>
      </c>
      <c r="Y2431" s="143"/>
      <c r="Z2431" s="143"/>
      <c r="AA2431" s="143"/>
      <c r="AB2431" s="144"/>
      <c r="AC2431" s="16" t="s">
        <v>21</v>
      </c>
      <c r="AD2431" s="17" t="s">
        <v>1648</v>
      </c>
      <c r="AE2431" s="158" t="s">
        <v>3748</v>
      </c>
      <c r="AF2431" s="146"/>
      <c r="AG2431" s="146"/>
      <c r="AH2431" s="146"/>
      <c r="AI2431" s="147"/>
      <c r="AJ2431" s="148"/>
      <c r="AK2431" s="143"/>
      <c r="AL2431" s="144"/>
      <c r="AM2431" s="22"/>
      <c r="AN2431" s="149" t="s">
        <v>11000</v>
      </c>
      <c r="AO2431" s="144"/>
      <c r="AP2431" s="148">
        <v>80086</v>
      </c>
      <c r="AQ2431" s="144"/>
      <c r="AR2431" s="120"/>
      <c r="AS2431" s="121"/>
      <c r="AT2431" s="120"/>
      <c r="AU2431" s="121"/>
      <c r="AV2431" s="120"/>
      <c r="AW2431" s="121"/>
      <c r="AX2431" s="120"/>
      <c r="AY2431" s="121"/>
      <c r="AZ2431" s="138"/>
    </row>
    <row r="2432" spans="1:52" ht="17.100000000000001" customHeight="1" thickTop="1">
      <c r="A2432" s="109" t="s">
        <v>8138</v>
      </c>
      <c r="B2432" s="28">
        <v>45943</v>
      </c>
      <c r="C2432" s="25">
        <v>2064</v>
      </c>
      <c r="D2432" s="13" t="s">
        <v>1714</v>
      </c>
      <c r="E2432" s="111"/>
      <c r="F2432" s="113" t="s">
        <v>2732</v>
      </c>
      <c r="G2432" s="114"/>
      <c r="H2432" s="115"/>
      <c r="I2432" s="24" t="s">
        <v>2526</v>
      </c>
      <c r="J2432" s="116">
        <v>4</v>
      </c>
      <c r="K2432" s="118">
        <v>2220000</v>
      </c>
      <c r="L2432" s="119"/>
      <c r="M2432" s="118">
        <f t="shared" ref="M2432" si="883">K2432*0.1</f>
        <v>222000</v>
      </c>
      <c r="N2432" s="119"/>
      <c r="O2432" s="118">
        <f>15000+1500</f>
        <v>16500</v>
      </c>
      <c r="P2432" s="119"/>
      <c r="Q2432" s="118">
        <v>18170</v>
      </c>
      <c r="R2432" s="119"/>
      <c r="S2432" s="118">
        <v>11000</v>
      </c>
      <c r="T2432" s="119"/>
      <c r="U2432" s="118">
        <f t="shared" ref="U2432" si="884">SUM(K2432:T2433)</f>
        <v>2487670</v>
      </c>
      <c r="V2432" s="122"/>
      <c r="W2432" s="124"/>
      <c r="X2432" s="126" t="s">
        <v>8393</v>
      </c>
      <c r="Y2432" s="127"/>
      <c r="Z2432" s="127"/>
      <c r="AA2432" s="127"/>
      <c r="AB2432" s="128"/>
      <c r="AC2432" s="15" t="s">
        <v>20</v>
      </c>
      <c r="AD2432" s="129" t="s">
        <v>1633</v>
      </c>
      <c r="AE2432" s="130"/>
      <c r="AF2432" s="130"/>
      <c r="AG2432" s="130"/>
      <c r="AH2432" s="130"/>
      <c r="AI2432" s="131"/>
      <c r="AJ2432" s="132"/>
      <c r="AK2432" s="127"/>
      <c r="AL2432" s="128"/>
      <c r="AM2432" s="21"/>
      <c r="AN2432" s="133">
        <v>45962</v>
      </c>
      <c r="AO2432" s="134"/>
      <c r="AP2432" s="135">
        <v>1274</v>
      </c>
      <c r="AQ2432" s="136"/>
      <c r="AR2432" s="118">
        <v>2415000</v>
      </c>
      <c r="AS2432" s="119"/>
      <c r="AT2432" s="118">
        <f t="shared" ref="AT2432" si="885">AR2432*0.1</f>
        <v>241500</v>
      </c>
      <c r="AU2432" s="119"/>
      <c r="AV2432" s="118">
        <v>18170</v>
      </c>
      <c r="AW2432" s="119"/>
      <c r="AX2432" s="118">
        <f t="shared" ref="AX2432" si="886">SUM(AR2432:AW2432)</f>
        <v>2674670</v>
      </c>
      <c r="AY2432" s="119"/>
      <c r="AZ2432" s="137">
        <v>45965</v>
      </c>
    </row>
    <row r="2433" spans="1:52" ht="17.100000000000001" customHeight="1" thickBot="1">
      <c r="A2433" s="110"/>
      <c r="B2433" s="27" t="s">
        <v>83</v>
      </c>
      <c r="C2433" s="27">
        <v>34509</v>
      </c>
      <c r="D2433" s="14" t="s">
        <v>1592</v>
      </c>
      <c r="E2433" s="112"/>
      <c r="F2433" s="139" t="s">
        <v>8148</v>
      </c>
      <c r="G2433" s="140"/>
      <c r="H2433" s="141"/>
      <c r="I2433" s="26">
        <v>34518</v>
      </c>
      <c r="J2433" s="117"/>
      <c r="K2433" s="120"/>
      <c r="L2433" s="121"/>
      <c r="M2433" s="120"/>
      <c r="N2433" s="121"/>
      <c r="O2433" s="120"/>
      <c r="P2433" s="121"/>
      <c r="Q2433" s="120"/>
      <c r="R2433" s="121"/>
      <c r="S2433" s="120"/>
      <c r="T2433" s="121"/>
      <c r="U2433" s="120"/>
      <c r="V2433" s="123"/>
      <c r="W2433" s="125"/>
      <c r="X2433" s="142" t="s">
        <v>8394</v>
      </c>
      <c r="Y2433" s="143"/>
      <c r="Z2433" s="143"/>
      <c r="AA2433" s="143"/>
      <c r="AB2433" s="144"/>
      <c r="AC2433" s="16" t="s">
        <v>21</v>
      </c>
      <c r="AD2433" s="17" t="s">
        <v>1638</v>
      </c>
      <c r="AE2433" s="145" t="s">
        <v>9808</v>
      </c>
      <c r="AF2433" s="146"/>
      <c r="AG2433" s="146"/>
      <c r="AH2433" s="146"/>
      <c r="AI2433" s="147"/>
      <c r="AJ2433" s="148"/>
      <c r="AK2433" s="143"/>
      <c r="AL2433" s="144"/>
      <c r="AM2433" s="22"/>
      <c r="AN2433" s="149" t="s">
        <v>2511</v>
      </c>
      <c r="AO2433" s="144"/>
      <c r="AP2433" s="148">
        <v>80344</v>
      </c>
      <c r="AQ2433" s="144"/>
      <c r="AR2433" s="120"/>
      <c r="AS2433" s="121"/>
      <c r="AT2433" s="120"/>
      <c r="AU2433" s="121"/>
      <c r="AV2433" s="120"/>
      <c r="AW2433" s="121"/>
      <c r="AX2433" s="120"/>
      <c r="AY2433" s="121"/>
      <c r="AZ2433" s="138"/>
    </row>
    <row r="2434" spans="1:52" ht="17.100000000000001" customHeight="1" thickTop="1">
      <c r="A2434" s="109" t="s">
        <v>8139</v>
      </c>
      <c r="B2434" s="28">
        <v>45943</v>
      </c>
      <c r="C2434" s="25">
        <v>2064</v>
      </c>
      <c r="D2434" s="13" t="s">
        <v>1937</v>
      </c>
      <c r="E2434" s="111"/>
      <c r="F2434" s="113" t="s">
        <v>8158</v>
      </c>
      <c r="G2434" s="114"/>
      <c r="H2434" s="115"/>
      <c r="I2434" s="24" t="s">
        <v>2956</v>
      </c>
      <c r="J2434" s="116">
        <v>4.5</v>
      </c>
      <c r="K2434" s="118">
        <v>1145000</v>
      </c>
      <c r="L2434" s="119"/>
      <c r="M2434" s="118">
        <f t="shared" ref="M2434" si="887">K2434*0.1</f>
        <v>114500</v>
      </c>
      <c r="N2434" s="119"/>
      <c r="O2434" s="118">
        <f>14300+1430</f>
        <v>15730</v>
      </c>
      <c r="P2434" s="119"/>
      <c r="Q2434" s="118">
        <v>15160</v>
      </c>
      <c r="R2434" s="119"/>
      <c r="S2434" s="118">
        <v>11000</v>
      </c>
      <c r="T2434" s="119"/>
      <c r="U2434" s="118">
        <f t="shared" ref="U2434" si="888">SUM(K2434:T2435)</f>
        <v>1301390</v>
      </c>
      <c r="V2434" s="122"/>
      <c r="W2434" s="124"/>
      <c r="X2434" s="126" t="s">
        <v>8159</v>
      </c>
      <c r="Y2434" s="127"/>
      <c r="Z2434" s="127"/>
      <c r="AA2434" s="127"/>
      <c r="AB2434" s="128"/>
      <c r="AC2434" s="15" t="s">
        <v>20</v>
      </c>
      <c r="AD2434" s="129" t="s">
        <v>2692</v>
      </c>
      <c r="AE2434" s="130"/>
      <c r="AF2434" s="130"/>
      <c r="AG2434" s="130"/>
      <c r="AH2434" s="130"/>
      <c r="AI2434" s="131"/>
      <c r="AJ2434" s="132"/>
      <c r="AK2434" s="127"/>
      <c r="AL2434" s="128"/>
      <c r="AM2434" s="21"/>
      <c r="AN2434" s="133">
        <v>45948</v>
      </c>
      <c r="AO2434" s="134"/>
      <c r="AP2434" s="135">
        <v>1272</v>
      </c>
      <c r="AQ2434" s="136"/>
      <c r="AR2434" s="118">
        <v>1290000</v>
      </c>
      <c r="AS2434" s="119"/>
      <c r="AT2434" s="118">
        <f t="shared" ref="AT2434" si="889">AR2434*0.1</f>
        <v>129000</v>
      </c>
      <c r="AU2434" s="119"/>
      <c r="AV2434" s="118">
        <v>15160</v>
      </c>
      <c r="AW2434" s="119"/>
      <c r="AX2434" s="118">
        <f t="shared" ref="AX2434" si="890">SUM(AR2434:AW2434)</f>
        <v>1434160</v>
      </c>
      <c r="AY2434" s="119"/>
      <c r="AZ2434" s="137">
        <v>45958</v>
      </c>
    </row>
    <row r="2435" spans="1:52" ht="17.100000000000001" customHeight="1" thickBot="1">
      <c r="A2435" s="110"/>
      <c r="B2435" s="27" t="s">
        <v>83</v>
      </c>
      <c r="C2435" s="27">
        <v>36006</v>
      </c>
      <c r="D2435" s="14" t="s">
        <v>275</v>
      </c>
      <c r="E2435" s="112"/>
      <c r="F2435" s="139" t="s">
        <v>8149</v>
      </c>
      <c r="G2435" s="140"/>
      <c r="H2435" s="141"/>
      <c r="I2435" s="26">
        <v>75982</v>
      </c>
      <c r="J2435" s="117"/>
      <c r="K2435" s="120"/>
      <c r="L2435" s="121"/>
      <c r="M2435" s="120"/>
      <c r="N2435" s="121"/>
      <c r="O2435" s="120"/>
      <c r="P2435" s="121"/>
      <c r="Q2435" s="120"/>
      <c r="R2435" s="121"/>
      <c r="S2435" s="120"/>
      <c r="T2435" s="121"/>
      <c r="U2435" s="120"/>
      <c r="V2435" s="123"/>
      <c r="W2435" s="125"/>
      <c r="X2435" s="142" t="s">
        <v>9273</v>
      </c>
      <c r="Y2435" s="143"/>
      <c r="Z2435" s="143"/>
      <c r="AA2435" s="143"/>
      <c r="AB2435" s="144"/>
      <c r="AC2435" s="16" t="s">
        <v>21</v>
      </c>
      <c r="AD2435" s="17" t="s">
        <v>9274</v>
      </c>
      <c r="AE2435" s="145" t="s">
        <v>1633</v>
      </c>
      <c r="AF2435" s="146"/>
      <c r="AG2435" s="146"/>
      <c r="AH2435" s="146"/>
      <c r="AI2435" s="147"/>
      <c r="AJ2435" s="148"/>
      <c r="AK2435" s="143"/>
      <c r="AL2435" s="144"/>
      <c r="AM2435" s="22"/>
      <c r="AN2435" s="149" t="s">
        <v>2511</v>
      </c>
      <c r="AO2435" s="144"/>
      <c r="AP2435" s="148">
        <v>80138</v>
      </c>
      <c r="AQ2435" s="144"/>
      <c r="AR2435" s="120"/>
      <c r="AS2435" s="121"/>
      <c r="AT2435" s="120"/>
      <c r="AU2435" s="121"/>
      <c r="AV2435" s="120"/>
      <c r="AW2435" s="121"/>
      <c r="AX2435" s="120"/>
      <c r="AY2435" s="121"/>
      <c r="AZ2435" s="138"/>
    </row>
    <row r="2436" spans="1:52" ht="17.100000000000001" customHeight="1" thickTop="1">
      <c r="A2436" s="109" t="s">
        <v>8140</v>
      </c>
      <c r="B2436" s="28">
        <v>45943</v>
      </c>
      <c r="C2436" s="25">
        <v>2064</v>
      </c>
      <c r="D2436" s="13" t="s">
        <v>2970</v>
      </c>
      <c r="E2436" s="111"/>
      <c r="F2436" s="113" t="s">
        <v>8150</v>
      </c>
      <c r="G2436" s="114"/>
      <c r="H2436" s="115"/>
      <c r="I2436" s="24" t="s">
        <v>4109</v>
      </c>
      <c r="J2436" s="116">
        <v>4.5</v>
      </c>
      <c r="K2436" s="118">
        <v>3170000</v>
      </c>
      <c r="L2436" s="119"/>
      <c r="M2436" s="118">
        <f t="shared" ref="M2436" si="891">K2436*0.1</f>
        <v>317000</v>
      </c>
      <c r="N2436" s="119"/>
      <c r="O2436" s="118">
        <f>15000+1500</f>
        <v>16500</v>
      </c>
      <c r="P2436" s="119"/>
      <c r="Q2436" s="118">
        <v>14660</v>
      </c>
      <c r="R2436" s="119"/>
      <c r="S2436" s="118">
        <v>12100</v>
      </c>
      <c r="T2436" s="119"/>
      <c r="U2436" s="118">
        <f t="shared" ref="U2436" si="892">SUM(K2436:T2437)</f>
        <v>3530260</v>
      </c>
      <c r="V2436" s="122"/>
      <c r="W2436" s="124"/>
      <c r="X2436" s="126" t="s">
        <v>8160</v>
      </c>
      <c r="Y2436" s="127"/>
      <c r="Z2436" s="127"/>
      <c r="AA2436" s="127"/>
      <c r="AB2436" s="128"/>
      <c r="AC2436" s="15" t="s">
        <v>20</v>
      </c>
      <c r="AD2436" s="129" t="s">
        <v>1609</v>
      </c>
      <c r="AE2436" s="130"/>
      <c r="AF2436" s="130"/>
      <c r="AG2436" s="130"/>
      <c r="AH2436" s="130"/>
      <c r="AI2436" s="131"/>
      <c r="AJ2436" s="132"/>
      <c r="AK2436" s="127"/>
      <c r="AL2436" s="128"/>
      <c r="AM2436" s="21"/>
      <c r="AN2436" s="133">
        <v>45990</v>
      </c>
      <c r="AO2436" s="134"/>
      <c r="AP2436" s="135">
        <v>1278</v>
      </c>
      <c r="AQ2436" s="136"/>
      <c r="AR2436" s="118">
        <v>3225000</v>
      </c>
      <c r="AS2436" s="119"/>
      <c r="AT2436" s="118">
        <f t="shared" ref="AT2436" si="893">AR2436*0.1</f>
        <v>322500</v>
      </c>
      <c r="AU2436" s="119"/>
      <c r="AV2436" s="118">
        <v>14660</v>
      </c>
      <c r="AW2436" s="119"/>
      <c r="AX2436" s="118">
        <f t="shared" ref="AX2436" si="894">SUM(AR2436:AW2436)</f>
        <v>3562160</v>
      </c>
      <c r="AY2436" s="119"/>
      <c r="AZ2436" s="137">
        <v>45994</v>
      </c>
    </row>
    <row r="2437" spans="1:52" ht="16.5" customHeight="1" thickBot="1">
      <c r="A2437" s="110"/>
      <c r="B2437" s="27" t="s">
        <v>83</v>
      </c>
      <c r="C2437" s="27">
        <v>36023</v>
      </c>
      <c r="D2437" s="14" t="s">
        <v>2116</v>
      </c>
      <c r="E2437" s="112"/>
      <c r="F2437" s="139" t="s">
        <v>8151</v>
      </c>
      <c r="G2437" s="140"/>
      <c r="H2437" s="141"/>
      <c r="I2437" s="26">
        <v>41290</v>
      </c>
      <c r="J2437" s="117"/>
      <c r="K2437" s="120"/>
      <c r="L2437" s="121"/>
      <c r="M2437" s="120"/>
      <c r="N2437" s="121"/>
      <c r="O2437" s="120"/>
      <c r="P2437" s="121"/>
      <c r="Q2437" s="120"/>
      <c r="R2437" s="121"/>
      <c r="S2437" s="120"/>
      <c r="T2437" s="121"/>
      <c r="U2437" s="120"/>
      <c r="V2437" s="123"/>
      <c r="W2437" s="125"/>
      <c r="X2437" s="142" t="s">
        <v>1656</v>
      </c>
      <c r="Y2437" s="143"/>
      <c r="Z2437" s="143"/>
      <c r="AA2437" s="143"/>
      <c r="AB2437" s="144"/>
      <c r="AC2437" s="16" t="s">
        <v>21</v>
      </c>
      <c r="AD2437" s="17" t="s">
        <v>8763</v>
      </c>
      <c r="AE2437" s="145" t="s">
        <v>8803</v>
      </c>
      <c r="AF2437" s="146"/>
      <c r="AG2437" s="146"/>
      <c r="AH2437" s="146"/>
      <c r="AI2437" s="147"/>
      <c r="AJ2437" s="148"/>
      <c r="AK2437" s="143"/>
      <c r="AL2437" s="144"/>
      <c r="AM2437" s="22" t="s">
        <v>3483</v>
      </c>
      <c r="AN2437" s="149" t="s">
        <v>2511</v>
      </c>
      <c r="AO2437" s="144"/>
      <c r="AP2437" s="148">
        <v>80211</v>
      </c>
      <c r="AQ2437" s="144"/>
      <c r="AR2437" s="120"/>
      <c r="AS2437" s="121"/>
      <c r="AT2437" s="120"/>
      <c r="AU2437" s="121"/>
      <c r="AV2437" s="120"/>
      <c r="AW2437" s="121"/>
      <c r="AX2437" s="120"/>
      <c r="AY2437" s="121"/>
      <c r="AZ2437" s="138"/>
    </row>
    <row r="2438" spans="1:52" ht="17.100000000000001" customHeight="1" thickTop="1">
      <c r="A2438" s="109" t="s">
        <v>8141</v>
      </c>
      <c r="B2438" s="28">
        <v>45943</v>
      </c>
      <c r="C2438" s="25">
        <v>59</v>
      </c>
      <c r="D2438" s="13" t="s">
        <v>2322</v>
      </c>
      <c r="E2438" s="111"/>
      <c r="F2438" s="113" t="s">
        <v>7158</v>
      </c>
      <c r="G2438" s="114"/>
      <c r="H2438" s="115"/>
      <c r="I2438" s="24" t="s">
        <v>3509</v>
      </c>
      <c r="J2438" s="116">
        <v>4</v>
      </c>
      <c r="K2438" s="118">
        <v>600000</v>
      </c>
      <c r="L2438" s="119"/>
      <c r="M2438" s="118">
        <f t="shared" ref="M2438" si="895">K2438*0.1</f>
        <v>60000</v>
      </c>
      <c r="N2438" s="119"/>
      <c r="O2438" s="118">
        <v>0</v>
      </c>
      <c r="P2438" s="119"/>
      <c r="Q2438" s="118">
        <v>8230</v>
      </c>
      <c r="R2438" s="119"/>
      <c r="S2438" s="118">
        <v>33000</v>
      </c>
      <c r="T2438" s="119"/>
      <c r="U2438" s="118">
        <f t="shared" ref="U2438" si="896">SUM(K2438:T2439)</f>
        <v>701230</v>
      </c>
      <c r="V2438" s="122"/>
      <c r="W2438" s="124"/>
      <c r="X2438" s="126" t="s">
        <v>9677</v>
      </c>
      <c r="Y2438" s="127"/>
      <c r="Z2438" s="127"/>
      <c r="AA2438" s="127"/>
      <c r="AB2438" s="128"/>
      <c r="AC2438" s="15" t="s">
        <v>20</v>
      </c>
      <c r="AD2438" s="129" t="s">
        <v>1797</v>
      </c>
      <c r="AE2438" s="130"/>
      <c r="AF2438" s="130"/>
      <c r="AG2438" s="130"/>
      <c r="AH2438" s="130"/>
      <c r="AI2438" s="131"/>
      <c r="AJ2438" s="132"/>
      <c r="AK2438" s="127"/>
      <c r="AL2438" s="128"/>
      <c r="AM2438" s="21" t="s">
        <v>9803</v>
      </c>
      <c r="AN2438" s="133">
        <v>45972</v>
      </c>
      <c r="AO2438" s="134"/>
      <c r="AP2438" s="135">
        <v>1917</v>
      </c>
      <c r="AQ2438" s="136"/>
      <c r="AR2438" s="118">
        <v>608000</v>
      </c>
      <c r="AS2438" s="119"/>
      <c r="AT2438" s="118">
        <f t="shared" ref="AT2438" si="897">AR2438*0.1</f>
        <v>60800</v>
      </c>
      <c r="AU2438" s="119"/>
      <c r="AV2438" s="118">
        <v>8230</v>
      </c>
      <c r="AW2438" s="119"/>
      <c r="AX2438" s="118">
        <f t="shared" ref="AX2438" si="898">SUM(AR2438:AW2438)</f>
        <v>677030</v>
      </c>
      <c r="AY2438" s="119"/>
      <c r="AZ2438" s="137"/>
    </row>
    <row r="2439" spans="1:52" ht="17.100000000000001" customHeight="1" thickBot="1">
      <c r="A2439" s="110"/>
      <c r="B2439" s="27" t="s">
        <v>4544</v>
      </c>
      <c r="C2439" s="27">
        <v>1014</v>
      </c>
      <c r="D2439" s="14" t="s">
        <v>1720</v>
      </c>
      <c r="E2439" s="112"/>
      <c r="F2439" s="139" t="s">
        <v>8165</v>
      </c>
      <c r="G2439" s="140"/>
      <c r="H2439" s="141"/>
      <c r="I2439" s="26">
        <v>49942</v>
      </c>
      <c r="J2439" s="117"/>
      <c r="K2439" s="120"/>
      <c r="L2439" s="121"/>
      <c r="M2439" s="120"/>
      <c r="N2439" s="121"/>
      <c r="O2439" s="120"/>
      <c r="P2439" s="121"/>
      <c r="Q2439" s="120"/>
      <c r="R2439" s="121"/>
      <c r="S2439" s="120"/>
      <c r="T2439" s="121"/>
      <c r="U2439" s="120"/>
      <c r="V2439" s="123"/>
      <c r="W2439" s="125"/>
      <c r="X2439" s="142" t="s">
        <v>9678</v>
      </c>
      <c r="Y2439" s="143"/>
      <c r="Z2439" s="143"/>
      <c r="AA2439" s="143"/>
      <c r="AB2439" s="144"/>
      <c r="AC2439" s="16" t="s">
        <v>21</v>
      </c>
      <c r="AD2439" s="17" t="s">
        <v>3359</v>
      </c>
      <c r="AE2439" s="145" t="s">
        <v>7849</v>
      </c>
      <c r="AF2439" s="146"/>
      <c r="AG2439" s="146"/>
      <c r="AH2439" s="146"/>
      <c r="AI2439" s="147"/>
      <c r="AJ2439" s="148"/>
      <c r="AK2439" s="143"/>
      <c r="AL2439" s="144"/>
      <c r="AM2439" s="22"/>
      <c r="AN2439" s="149" t="s">
        <v>2131</v>
      </c>
      <c r="AO2439" s="144"/>
      <c r="AP2439" s="148">
        <v>3125</v>
      </c>
      <c r="AQ2439" s="144"/>
      <c r="AR2439" s="120"/>
      <c r="AS2439" s="121"/>
      <c r="AT2439" s="120"/>
      <c r="AU2439" s="121"/>
      <c r="AV2439" s="120"/>
      <c r="AW2439" s="121"/>
      <c r="AX2439" s="120"/>
      <c r="AY2439" s="121"/>
      <c r="AZ2439" s="138"/>
    </row>
    <row r="2440" spans="1:52" ht="17.100000000000001" customHeight="1" thickTop="1">
      <c r="A2440" s="109" t="s">
        <v>8142</v>
      </c>
      <c r="B2440" s="28">
        <v>45943</v>
      </c>
      <c r="C2440" s="25">
        <v>59</v>
      </c>
      <c r="D2440" s="13" t="s">
        <v>1549</v>
      </c>
      <c r="E2440" s="111"/>
      <c r="F2440" s="113" t="s">
        <v>8172</v>
      </c>
      <c r="G2440" s="114"/>
      <c r="H2440" s="115"/>
      <c r="I2440" s="24" t="s">
        <v>2943</v>
      </c>
      <c r="J2440" s="116">
        <v>4</v>
      </c>
      <c r="K2440" s="118">
        <v>455000</v>
      </c>
      <c r="L2440" s="119"/>
      <c r="M2440" s="118">
        <f t="shared" ref="M2440" si="899">K2440*0.1</f>
        <v>45500</v>
      </c>
      <c r="N2440" s="119"/>
      <c r="O2440" s="118">
        <f>18700+1870</f>
        <v>20570</v>
      </c>
      <c r="P2440" s="119"/>
      <c r="Q2440" s="118">
        <v>11330</v>
      </c>
      <c r="R2440" s="119"/>
      <c r="S2440" s="118">
        <v>33000</v>
      </c>
      <c r="T2440" s="119"/>
      <c r="U2440" s="118">
        <f t="shared" ref="U2440" si="900">SUM(K2440:T2441)</f>
        <v>565400</v>
      </c>
      <c r="V2440" s="122"/>
      <c r="W2440" s="124"/>
      <c r="X2440" s="126" t="s">
        <v>9663</v>
      </c>
      <c r="Y2440" s="127"/>
      <c r="Z2440" s="127"/>
      <c r="AA2440" s="127"/>
      <c r="AB2440" s="128"/>
      <c r="AC2440" s="15" t="s">
        <v>20</v>
      </c>
      <c r="AD2440" s="129" t="s">
        <v>171</v>
      </c>
      <c r="AE2440" s="130"/>
      <c r="AF2440" s="130"/>
      <c r="AG2440" s="130"/>
      <c r="AH2440" s="130"/>
      <c r="AI2440" s="131"/>
      <c r="AJ2440" s="132"/>
      <c r="AK2440" s="127"/>
      <c r="AL2440" s="128"/>
      <c r="AM2440" s="21"/>
      <c r="AN2440" s="133">
        <v>45955</v>
      </c>
      <c r="AO2440" s="134"/>
      <c r="AP2440" s="135">
        <v>1273</v>
      </c>
      <c r="AQ2440" s="136"/>
      <c r="AR2440" s="118">
        <v>500000</v>
      </c>
      <c r="AS2440" s="119"/>
      <c r="AT2440" s="118">
        <f t="shared" ref="AT2440" si="901">AR2440*0.1</f>
        <v>50000</v>
      </c>
      <c r="AU2440" s="119"/>
      <c r="AV2440" s="118">
        <v>11330</v>
      </c>
      <c r="AW2440" s="119"/>
      <c r="AX2440" s="118">
        <f t="shared" ref="AX2440" si="902">SUM(AR2440:AW2440)</f>
        <v>561330</v>
      </c>
      <c r="AY2440" s="119"/>
      <c r="AZ2440" s="137">
        <v>45965</v>
      </c>
    </row>
    <row r="2441" spans="1:52" ht="17.100000000000001" customHeight="1" thickBot="1">
      <c r="A2441" s="110"/>
      <c r="B2441" s="27" t="s">
        <v>4544</v>
      </c>
      <c r="C2441" s="27">
        <v>1035</v>
      </c>
      <c r="D2441" s="14" t="s">
        <v>133</v>
      </c>
      <c r="E2441" s="112"/>
      <c r="F2441" s="139" t="s">
        <v>8166</v>
      </c>
      <c r="G2441" s="140"/>
      <c r="H2441" s="141"/>
      <c r="I2441" s="26">
        <v>101848</v>
      </c>
      <c r="J2441" s="117"/>
      <c r="K2441" s="120"/>
      <c r="L2441" s="121"/>
      <c r="M2441" s="120"/>
      <c r="N2441" s="121"/>
      <c r="O2441" s="120"/>
      <c r="P2441" s="121"/>
      <c r="Q2441" s="120"/>
      <c r="R2441" s="121"/>
      <c r="S2441" s="120"/>
      <c r="T2441" s="121"/>
      <c r="U2441" s="120"/>
      <c r="V2441" s="123"/>
      <c r="W2441" s="125"/>
      <c r="X2441" s="142" t="s">
        <v>9664</v>
      </c>
      <c r="Y2441" s="143"/>
      <c r="Z2441" s="143"/>
      <c r="AA2441" s="143"/>
      <c r="AB2441" s="144"/>
      <c r="AC2441" s="16" t="s">
        <v>21</v>
      </c>
      <c r="AD2441" s="17" t="s">
        <v>9662</v>
      </c>
      <c r="AE2441" s="145" t="s">
        <v>4106</v>
      </c>
      <c r="AF2441" s="146"/>
      <c r="AG2441" s="146"/>
      <c r="AH2441" s="146"/>
      <c r="AI2441" s="147"/>
      <c r="AJ2441" s="148"/>
      <c r="AK2441" s="143"/>
      <c r="AL2441" s="144"/>
      <c r="AM2441" s="22"/>
      <c r="AN2441" s="149" t="s">
        <v>2511</v>
      </c>
      <c r="AO2441" s="144"/>
      <c r="AP2441" s="148">
        <v>37855</v>
      </c>
      <c r="AQ2441" s="144"/>
      <c r="AR2441" s="120"/>
      <c r="AS2441" s="121"/>
      <c r="AT2441" s="120"/>
      <c r="AU2441" s="121"/>
      <c r="AV2441" s="120"/>
      <c r="AW2441" s="121"/>
      <c r="AX2441" s="120"/>
      <c r="AY2441" s="121"/>
      <c r="AZ2441" s="138"/>
    </row>
    <row r="2442" spans="1:52" ht="17.100000000000001" customHeight="1" thickTop="1">
      <c r="A2442" s="109" t="s">
        <v>8161</v>
      </c>
      <c r="B2442" s="28">
        <v>45943</v>
      </c>
      <c r="C2442" s="25">
        <v>59</v>
      </c>
      <c r="D2442" s="13" t="s">
        <v>1563</v>
      </c>
      <c r="E2442" s="111"/>
      <c r="F2442" s="113" t="s">
        <v>8173</v>
      </c>
      <c r="G2442" s="114"/>
      <c r="H2442" s="115"/>
      <c r="I2442" s="24" t="s">
        <v>2976</v>
      </c>
      <c r="J2442" s="116">
        <v>5</v>
      </c>
      <c r="K2442" s="118">
        <v>2475000</v>
      </c>
      <c r="L2442" s="119"/>
      <c r="M2442" s="118">
        <f t="shared" ref="M2442" si="903">K2442*0.1</f>
        <v>247500</v>
      </c>
      <c r="N2442" s="119"/>
      <c r="O2442" s="118">
        <f>18100+1810</f>
        <v>19910</v>
      </c>
      <c r="P2442" s="119"/>
      <c r="Q2442" s="118">
        <v>8080</v>
      </c>
      <c r="R2442" s="119"/>
      <c r="S2442" s="118">
        <v>66000</v>
      </c>
      <c r="T2442" s="119"/>
      <c r="U2442" s="118">
        <f t="shared" ref="U2442" si="904">SUM(K2442:T2443)</f>
        <v>2816490</v>
      </c>
      <c r="V2442" s="122"/>
      <c r="W2442" s="124"/>
      <c r="X2442" s="126" t="s">
        <v>9878</v>
      </c>
      <c r="Y2442" s="127"/>
      <c r="Z2442" s="127"/>
      <c r="AA2442" s="127"/>
      <c r="AB2442" s="128"/>
      <c r="AC2442" s="15" t="s">
        <v>20</v>
      </c>
      <c r="AD2442" s="129" t="s">
        <v>1797</v>
      </c>
      <c r="AE2442" s="130"/>
      <c r="AF2442" s="130"/>
      <c r="AG2442" s="130"/>
      <c r="AH2442" s="130"/>
      <c r="AI2442" s="131"/>
      <c r="AJ2442" s="132"/>
      <c r="AK2442" s="127"/>
      <c r="AL2442" s="128"/>
      <c r="AM2442" s="21"/>
      <c r="AN2442" s="133">
        <v>45962</v>
      </c>
      <c r="AO2442" s="134"/>
      <c r="AP2442" s="135">
        <v>1274</v>
      </c>
      <c r="AQ2442" s="136"/>
      <c r="AR2442" s="118">
        <v>2560000</v>
      </c>
      <c r="AS2442" s="119"/>
      <c r="AT2442" s="118">
        <f t="shared" ref="AT2442" si="905">AR2442*0.1</f>
        <v>256000</v>
      </c>
      <c r="AU2442" s="119"/>
      <c r="AV2442" s="118">
        <v>8080</v>
      </c>
      <c r="AW2442" s="119"/>
      <c r="AX2442" s="118">
        <f t="shared" ref="AX2442" si="906">SUM(AR2442:AW2442)</f>
        <v>2824080</v>
      </c>
      <c r="AY2442" s="119"/>
      <c r="AZ2442" s="137">
        <v>45965</v>
      </c>
    </row>
    <row r="2443" spans="1:52" ht="17.100000000000001" customHeight="1" thickBot="1">
      <c r="A2443" s="110"/>
      <c r="B2443" s="27" t="s">
        <v>4544</v>
      </c>
      <c r="C2443" s="27">
        <v>1042</v>
      </c>
      <c r="D2443" s="14" t="s">
        <v>2601</v>
      </c>
      <c r="E2443" s="112"/>
      <c r="F2443" s="139" t="s">
        <v>8167</v>
      </c>
      <c r="G2443" s="140"/>
      <c r="H2443" s="141"/>
      <c r="I2443" s="26">
        <v>14593</v>
      </c>
      <c r="J2443" s="117"/>
      <c r="K2443" s="120"/>
      <c r="L2443" s="121"/>
      <c r="M2443" s="120"/>
      <c r="N2443" s="121"/>
      <c r="O2443" s="120"/>
      <c r="P2443" s="121"/>
      <c r="Q2443" s="120"/>
      <c r="R2443" s="121"/>
      <c r="S2443" s="120"/>
      <c r="T2443" s="121"/>
      <c r="U2443" s="120"/>
      <c r="V2443" s="123"/>
      <c r="W2443" s="125"/>
      <c r="X2443" s="142" t="s">
        <v>9879</v>
      </c>
      <c r="Y2443" s="143"/>
      <c r="Z2443" s="143"/>
      <c r="AA2443" s="143"/>
      <c r="AB2443" s="144"/>
      <c r="AC2443" s="16" t="s">
        <v>21</v>
      </c>
      <c r="AD2443" s="17" t="s">
        <v>9858</v>
      </c>
      <c r="AE2443" s="145" t="s">
        <v>1742</v>
      </c>
      <c r="AF2443" s="146"/>
      <c r="AG2443" s="146"/>
      <c r="AH2443" s="146"/>
      <c r="AI2443" s="147"/>
      <c r="AJ2443" s="148"/>
      <c r="AK2443" s="143"/>
      <c r="AL2443" s="144"/>
      <c r="AM2443" s="22"/>
      <c r="AN2443" s="149" t="s">
        <v>2511</v>
      </c>
      <c r="AO2443" s="144"/>
      <c r="AP2443" s="148">
        <v>37669</v>
      </c>
      <c r="AQ2443" s="144"/>
      <c r="AR2443" s="120"/>
      <c r="AS2443" s="121"/>
      <c r="AT2443" s="120"/>
      <c r="AU2443" s="121"/>
      <c r="AV2443" s="120"/>
      <c r="AW2443" s="121"/>
      <c r="AX2443" s="120"/>
      <c r="AY2443" s="121"/>
      <c r="AZ2443" s="138"/>
    </row>
    <row r="2444" spans="1:52" ht="17.100000000000001" customHeight="1" thickTop="1">
      <c r="A2444" s="109" t="s">
        <v>8162</v>
      </c>
      <c r="B2444" s="28">
        <v>45943</v>
      </c>
      <c r="C2444" s="25">
        <v>59</v>
      </c>
      <c r="D2444" s="13" t="s">
        <v>1631</v>
      </c>
      <c r="E2444" s="111"/>
      <c r="F2444" s="113" t="s">
        <v>8174</v>
      </c>
      <c r="G2444" s="114"/>
      <c r="H2444" s="115"/>
      <c r="I2444" s="24" t="s">
        <v>2919</v>
      </c>
      <c r="J2444" s="116">
        <v>4.5</v>
      </c>
      <c r="K2444" s="118">
        <v>2700000</v>
      </c>
      <c r="L2444" s="119"/>
      <c r="M2444" s="118">
        <f t="shared" ref="M2444" si="907">K2444*0.1</f>
        <v>270000</v>
      </c>
      <c r="N2444" s="119"/>
      <c r="O2444" s="118">
        <f>12000+1200</f>
        <v>13200</v>
      </c>
      <c r="P2444" s="119"/>
      <c r="Q2444" s="118">
        <v>9730</v>
      </c>
      <c r="R2444" s="119"/>
      <c r="S2444" s="118">
        <v>66000</v>
      </c>
      <c r="T2444" s="119"/>
      <c r="U2444" s="118">
        <f t="shared" ref="U2444" si="908">SUM(K2444:T2445)</f>
        <v>3058930</v>
      </c>
      <c r="V2444" s="122"/>
      <c r="W2444" s="124"/>
      <c r="X2444" s="126" t="s">
        <v>11886</v>
      </c>
      <c r="Y2444" s="127"/>
      <c r="Z2444" s="127"/>
      <c r="AA2444" s="127"/>
      <c r="AB2444" s="128"/>
      <c r="AC2444" s="15" t="s">
        <v>20</v>
      </c>
      <c r="AD2444" s="129" t="s">
        <v>1670</v>
      </c>
      <c r="AE2444" s="130"/>
      <c r="AF2444" s="130"/>
      <c r="AG2444" s="130"/>
      <c r="AH2444" s="130"/>
      <c r="AI2444" s="131"/>
      <c r="AJ2444" s="132"/>
      <c r="AK2444" s="127"/>
      <c r="AL2444" s="128"/>
      <c r="AM2444" s="21"/>
      <c r="AN2444" s="133">
        <v>45990</v>
      </c>
      <c r="AO2444" s="134"/>
      <c r="AP2444" s="135">
        <v>1278</v>
      </c>
      <c r="AQ2444" s="136"/>
      <c r="AR2444" s="118">
        <v>2800000</v>
      </c>
      <c r="AS2444" s="119"/>
      <c r="AT2444" s="118">
        <f t="shared" ref="AT2444" si="909">AR2444*0.1</f>
        <v>280000</v>
      </c>
      <c r="AU2444" s="119"/>
      <c r="AV2444" s="118">
        <v>9730</v>
      </c>
      <c r="AW2444" s="119"/>
      <c r="AX2444" s="118">
        <f t="shared" ref="AX2444" si="910">SUM(AR2444:AW2444)</f>
        <v>3089730</v>
      </c>
      <c r="AY2444" s="119"/>
      <c r="AZ2444" s="137">
        <v>45994</v>
      </c>
    </row>
    <row r="2445" spans="1:52" ht="17.100000000000001" customHeight="1" thickBot="1">
      <c r="A2445" s="110"/>
      <c r="B2445" s="27" t="s">
        <v>4544</v>
      </c>
      <c r="C2445" s="27">
        <v>1048</v>
      </c>
      <c r="D2445" s="14" t="s">
        <v>275</v>
      </c>
      <c r="E2445" s="112"/>
      <c r="F2445" s="139" t="s">
        <v>8168</v>
      </c>
      <c r="G2445" s="140"/>
      <c r="H2445" s="141"/>
      <c r="I2445" s="26">
        <v>39702</v>
      </c>
      <c r="J2445" s="117"/>
      <c r="K2445" s="120"/>
      <c r="L2445" s="121"/>
      <c r="M2445" s="120"/>
      <c r="N2445" s="121"/>
      <c r="O2445" s="120"/>
      <c r="P2445" s="121"/>
      <c r="Q2445" s="120"/>
      <c r="R2445" s="121"/>
      <c r="S2445" s="120"/>
      <c r="T2445" s="121"/>
      <c r="U2445" s="120"/>
      <c r="V2445" s="123"/>
      <c r="W2445" s="125"/>
      <c r="X2445" s="142" t="s">
        <v>11887</v>
      </c>
      <c r="Y2445" s="143"/>
      <c r="Z2445" s="143"/>
      <c r="AA2445" s="143"/>
      <c r="AB2445" s="144"/>
      <c r="AC2445" s="16" t="s">
        <v>21</v>
      </c>
      <c r="AD2445" s="17" t="s">
        <v>1723</v>
      </c>
      <c r="AE2445" s="145" t="s">
        <v>1742</v>
      </c>
      <c r="AF2445" s="146"/>
      <c r="AG2445" s="146"/>
      <c r="AH2445" s="146"/>
      <c r="AI2445" s="147"/>
      <c r="AJ2445" s="148"/>
      <c r="AK2445" s="143"/>
      <c r="AL2445" s="144"/>
      <c r="AM2445" s="22"/>
      <c r="AN2445" s="149" t="s">
        <v>2511</v>
      </c>
      <c r="AO2445" s="144"/>
      <c r="AP2445" s="148">
        <v>37100</v>
      </c>
      <c r="AQ2445" s="144"/>
      <c r="AR2445" s="120"/>
      <c r="AS2445" s="121"/>
      <c r="AT2445" s="120"/>
      <c r="AU2445" s="121"/>
      <c r="AV2445" s="120"/>
      <c r="AW2445" s="121"/>
      <c r="AX2445" s="120"/>
      <c r="AY2445" s="121"/>
      <c r="AZ2445" s="138"/>
    </row>
    <row r="2446" spans="1:52" ht="17.100000000000001" customHeight="1" thickTop="1">
      <c r="A2446" s="109" t="s">
        <v>8163</v>
      </c>
      <c r="B2446" s="28">
        <v>45943</v>
      </c>
      <c r="C2446" s="25">
        <v>59</v>
      </c>
      <c r="D2446" s="13" t="s">
        <v>3461</v>
      </c>
      <c r="E2446" s="111"/>
      <c r="F2446" s="113" t="s">
        <v>8169</v>
      </c>
      <c r="G2446" s="114"/>
      <c r="H2446" s="115"/>
      <c r="I2446" s="24" t="s">
        <v>2858</v>
      </c>
      <c r="J2446" s="116">
        <v>4</v>
      </c>
      <c r="K2446" s="118">
        <v>2930000</v>
      </c>
      <c r="L2446" s="119"/>
      <c r="M2446" s="118">
        <f t="shared" ref="M2446" si="911">K2446*0.1</f>
        <v>293000</v>
      </c>
      <c r="N2446" s="119"/>
      <c r="O2446" s="118">
        <f>18100+1810</f>
        <v>19910</v>
      </c>
      <c r="P2446" s="119"/>
      <c r="Q2446" s="118">
        <v>13400</v>
      </c>
      <c r="R2446" s="119"/>
      <c r="S2446" s="118">
        <v>66000</v>
      </c>
      <c r="T2446" s="119"/>
      <c r="U2446" s="118">
        <f t="shared" ref="U2446" si="912">SUM(K2446:T2447)</f>
        <v>3322310</v>
      </c>
      <c r="V2446" s="122"/>
      <c r="W2446" s="124"/>
      <c r="X2446" s="126" t="s">
        <v>10560</v>
      </c>
      <c r="Y2446" s="127"/>
      <c r="Z2446" s="127"/>
      <c r="AA2446" s="127"/>
      <c r="AB2446" s="128"/>
      <c r="AC2446" s="15" t="s">
        <v>20</v>
      </c>
      <c r="AD2446" s="129" t="s">
        <v>1945</v>
      </c>
      <c r="AE2446" s="130"/>
      <c r="AF2446" s="130"/>
      <c r="AG2446" s="130"/>
      <c r="AH2446" s="130"/>
      <c r="AI2446" s="131"/>
      <c r="AJ2446" s="132"/>
      <c r="AK2446" s="127"/>
      <c r="AL2446" s="128"/>
      <c r="AM2446" s="21"/>
      <c r="AN2446" s="133">
        <v>45969</v>
      </c>
      <c r="AO2446" s="134"/>
      <c r="AP2446" s="135">
        <v>1275</v>
      </c>
      <c r="AQ2446" s="136"/>
      <c r="AR2446" s="118">
        <v>3195000</v>
      </c>
      <c r="AS2446" s="119"/>
      <c r="AT2446" s="118">
        <f t="shared" ref="AT2446" si="913">AR2446*0.1</f>
        <v>319500</v>
      </c>
      <c r="AU2446" s="119"/>
      <c r="AV2446" s="118">
        <v>13400</v>
      </c>
      <c r="AW2446" s="119"/>
      <c r="AX2446" s="118">
        <f t="shared" ref="AX2446" si="914">SUM(AR2446:AW2446)</f>
        <v>3527900</v>
      </c>
      <c r="AY2446" s="119"/>
      <c r="AZ2446" s="137">
        <v>45979</v>
      </c>
    </row>
    <row r="2447" spans="1:52" ht="17.100000000000001" customHeight="1" thickBot="1">
      <c r="A2447" s="110"/>
      <c r="B2447" s="27" t="s">
        <v>4544</v>
      </c>
      <c r="C2447" s="27">
        <v>1049</v>
      </c>
      <c r="D2447" s="14" t="s">
        <v>7268</v>
      </c>
      <c r="E2447" s="112"/>
      <c r="F2447" s="139" t="s">
        <v>8170</v>
      </c>
      <c r="G2447" s="140"/>
      <c r="H2447" s="141"/>
      <c r="I2447" s="26">
        <v>30780</v>
      </c>
      <c r="J2447" s="117"/>
      <c r="K2447" s="120"/>
      <c r="L2447" s="121"/>
      <c r="M2447" s="120"/>
      <c r="N2447" s="121"/>
      <c r="O2447" s="120"/>
      <c r="P2447" s="121"/>
      <c r="Q2447" s="120"/>
      <c r="R2447" s="121"/>
      <c r="S2447" s="120"/>
      <c r="T2447" s="121"/>
      <c r="U2447" s="120"/>
      <c r="V2447" s="123"/>
      <c r="W2447" s="125"/>
      <c r="X2447" s="142" t="s">
        <v>10561</v>
      </c>
      <c r="Y2447" s="143"/>
      <c r="Z2447" s="143"/>
      <c r="AA2447" s="143"/>
      <c r="AB2447" s="144"/>
      <c r="AC2447" s="16" t="s">
        <v>21</v>
      </c>
      <c r="AD2447" s="17" t="s">
        <v>10500</v>
      </c>
      <c r="AE2447" s="145" t="s">
        <v>1614</v>
      </c>
      <c r="AF2447" s="146"/>
      <c r="AG2447" s="146"/>
      <c r="AH2447" s="146"/>
      <c r="AI2447" s="147"/>
      <c r="AJ2447" s="148"/>
      <c r="AK2447" s="143"/>
      <c r="AL2447" s="144"/>
      <c r="AM2447" s="22"/>
      <c r="AN2447" s="149" t="s">
        <v>2511</v>
      </c>
      <c r="AO2447" s="144"/>
      <c r="AP2447" s="148">
        <v>37640</v>
      </c>
      <c r="AQ2447" s="144"/>
      <c r="AR2447" s="120"/>
      <c r="AS2447" s="121"/>
      <c r="AT2447" s="120"/>
      <c r="AU2447" s="121"/>
      <c r="AV2447" s="120"/>
      <c r="AW2447" s="121"/>
      <c r="AX2447" s="120"/>
      <c r="AY2447" s="121"/>
      <c r="AZ2447" s="138"/>
    </row>
    <row r="2448" spans="1:52" ht="17.100000000000001" customHeight="1" thickTop="1">
      <c r="A2448" s="159" t="s">
        <v>8164</v>
      </c>
      <c r="B2448" s="28">
        <v>45943</v>
      </c>
      <c r="C2448" s="25">
        <v>59</v>
      </c>
      <c r="D2448" s="13" t="s">
        <v>4193</v>
      </c>
      <c r="E2448" s="111"/>
      <c r="F2448" s="113" t="s">
        <v>8175</v>
      </c>
      <c r="G2448" s="114"/>
      <c r="H2448" s="115"/>
      <c r="I2448" s="24" t="s">
        <v>4193</v>
      </c>
      <c r="J2448" s="116">
        <v>3.5</v>
      </c>
      <c r="K2448" s="118">
        <v>1340000</v>
      </c>
      <c r="L2448" s="119"/>
      <c r="M2448" s="118">
        <f t="shared" ref="M2448" si="915">K2448*0.1</f>
        <v>134000</v>
      </c>
      <c r="N2448" s="119"/>
      <c r="O2448" s="118">
        <f>18700+1870</f>
        <v>20570</v>
      </c>
      <c r="P2448" s="119"/>
      <c r="Q2448" s="118">
        <v>16550</v>
      </c>
      <c r="R2448" s="119"/>
      <c r="S2448" s="118">
        <v>44000</v>
      </c>
      <c r="T2448" s="119"/>
      <c r="U2448" s="118">
        <f t="shared" ref="U2448" si="916">SUM(K2448:T2449)</f>
        <v>1555120</v>
      </c>
      <c r="V2448" s="122"/>
      <c r="W2448" s="124"/>
      <c r="X2448" s="126" t="s">
        <v>10381</v>
      </c>
      <c r="Y2448" s="127"/>
      <c r="Z2448" s="127"/>
      <c r="AA2448" s="127"/>
      <c r="AB2448" s="128"/>
      <c r="AC2448" s="15" t="s">
        <v>20</v>
      </c>
      <c r="AD2448" s="129" t="s">
        <v>10388</v>
      </c>
      <c r="AE2448" s="130"/>
      <c r="AF2448" s="130"/>
      <c r="AG2448" s="130"/>
      <c r="AH2448" s="130"/>
      <c r="AI2448" s="131"/>
      <c r="AJ2448" s="132" t="s">
        <v>10980</v>
      </c>
      <c r="AK2448" s="127"/>
      <c r="AL2448" s="128"/>
      <c r="AM2448" s="21" t="s">
        <v>11634</v>
      </c>
      <c r="AN2448" s="133">
        <v>45990</v>
      </c>
      <c r="AO2448" s="134"/>
      <c r="AP2448" s="135">
        <v>1278</v>
      </c>
      <c r="AQ2448" s="136"/>
      <c r="AR2448" s="118">
        <v>1300000</v>
      </c>
      <c r="AS2448" s="119"/>
      <c r="AT2448" s="118">
        <f t="shared" ref="AT2448" si="917">AR2448*0.1</f>
        <v>130000</v>
      </c>
      <c r="AU2448" s="119"/>
      <c r="AV2448" s="118">
        <v>16550</v>
      </c>
      <c r="AW2448" s="119"/>
      <c r="AX2448" s="118">
        <f t="shared" ref="AX2448" si="918">SUM(AR2448:AW2448)</f>
        <v>1446550</v>
      </c>
      <c r="AY2448" s="119"/>
      <c r="AZ2448" s="137">
        <v>45994</v>
      </c>
    </row>
    <row r="2449" spans="1:52" ht="17.100000000000001" customHeight="1" thickBot="1">
      <c r="A2449" s="160"/>
      <c r="B2449" s="27" t="s">
        <v>4544</v>
      </c>
      <c r="C2449" s="27">
        <v>1074</v>
      </c>
      <c r="D2449" s="14" t="s">
        <v>275</v>
      </c>
      <c r="E2449" s="112"/>
      <c r="F2449" s="139" t="s">
        <v>8171</v>
      </c>
      <c r="G2449" s="140"/>
      <c r="H2449" s="141"/>
      <c r="I2449" s="26">
        <v>76821</v>
      </c>
      <c r="J2449" s="117"/>
      <c r="K2449" s="120"/>
      <c r="L2449" s="121"/>
      <c r="M2449" s="120"/>
      <c r="N2449" s="121"/>
      <c r="O2449" s="120"/>
      <c r="P2449" s="121"/>
      <c r="Q2449" s="120"/>
      <c r="R2449" s="121"/>
      <c r="S2449" s="120"/>
      <c r="T2449" s="121"/>
      <c r="U2449" s="120"/>
      <c r="V2449" s="123"/>
      <c r="W2449" s="125"/>
      <c r="X2449" s="142" t="s">
        <v>10382</v>
      </c>
      <c r="Y2449" s="143"/>
      <c r="Z2449" s="143"/>
      <c r="AA2449" s="143"/>
      <c r="AB2449" s="144"/>
      <c r="AC2449" s="16" t="s">
        <v>21</v>
      </c>
      <c r="AD2449" s="17" t="s">
        <v>1694</v>
      </c>
      <c r="AE2449" s="145" t="s">
        <v>9715</v>
      </c>
      <c r="AF2449" s="146"/>
      <c r="AG2449" s="146"/>
      <c r="AH2449" s="146"/>
      <c r="AI2449" s="147"/>
      <c r="AJ2449" s="148" t="s">
        <v>11326</v>
      </c>
      <c r="AK2449" s="143"/>
      <c r="AL2449" s="144"/>
      <c r="AM2449" s="22"/>
      <c r="AN2449" s="149" t="s">
        <v>2511</v>
      </c>
      <c r="AO2449" s="144"/>
      <c r="AP2449" s="148">
        <v>50254</v>
      </c>
      <c r="AQ2449" s="144"/>
      <c r="AR2449" s="120"/>
      <c r="AS2449" s="121"/>
      <c r="AT2449" s="120"/>
      <c r="AU2449" s="121"/>
      <c r="AV2449" s="120"/>
      <c r="AW2449" s="121"/>
      <c r="AX2449" s="120"/>
      <c r="AY2449" s="121"/>
      <c r="AZ2449" s="138"/>
    </row>
    <row r="2450" spans="1:52" ht="17.100000000000001" customHeight="1" thickTop="1">
      <c r="A2450" s="109" t="s">
        <v>8176</v>
      </c>
      <c r="B2450" s="28">
        <v>45943</v>
      </c>
      <c r="C2450" s="25"/>
      <c r="D2450" s="13" t="s">
        <v>2226</v>
      </c>
      <c r="E2450" s="111"/>
      <c r="F2450" s="113" t="s">
        <v>8215</v>
      </c>
      <c r="G2450" s="114"/>
      <c r="H2450" s="115"/>
      <c r="I2450" s="24" t="s">
        <v>8216</v>
      </c>
      <c r="J2450" s="116">
        <v>5</v>
      </c>
      <c r="K2450" s="118">
        <f>6787000/1.1</f>
        <v>6169999.9999999991</v>
      </c>
      <c r="L2450" s="119"/>
      <c r="M2450" s="118">
        <f t="shared" ref="M2450" si="919">K2450*0.1</f>
        <v>616999.99999999988</v>
      </c>
      <c r="N2450" s="119"/>
      <c r="O2450" s="118">
        <v>0</v>
      </c>
      <c r="P2450" s="119"/>
      <c r="Q2450" s="118">
        <v>14230</v>
      </c>
      <c r="R2450" s="119"/>
      <c r="S2450" s="118">
        <v>224675</v>
      </c>
      <c r="T2450" s="119"/>
      <c r="U2450" s="118">
        <f t="shared" ref="U2450" si="920">SUM(K2450:T2451)</f>
        <v>7025904.9999999991</v>
      </c>
      <c r="V2450" s="122"/>
      <c r="W2450" s="124"/>
      <c r="X2450" s="126" t="s">
        <v>10981</v>
      </c>
      <c r="Y2450" s="127"/>
      <c r="Z2450" s="127"/>
      <c r="AA2450" s="127"/>
      <c r="AB2450" s="128"/>
      <c r="AC2450" s="15" t="s">
        <v>20</v>
      </c>
      <c r="AD2450" s="129" t="s">
        <v>1575</v>
      </c>
      <c r="AE2450" s="130"/>
      <c r="AF2450" s="130"/>
      <c r="AG2450" s="130"/>
      <c r="AH2450" s="130"/>
      <c r="AI2450" s="131"/>
      <c r="AJ2450" s="132"/>
      <c r="AK2450" s="127"/>
      <c r="AL2450" s="128"/>
      <c r="AM2450" s="21"/>
      <c r="AN2450" s="133">
        <v>45976</v>
      </c>
      <c r="AO2450" s="134"/>
      <c r="AP2450" s="135">
        <v>1276</v>
      </c>
      <c r="AQ2450" s="136"/>
      <c r="AR2450" s="118">
        <v>6475000</v>
      </c>
      <c r="AS2450" s="119"/>
      <c r="AT2450" s="118">
        <f t="shared" ref="AT2450" si="921">AR2450*0.1</f>
        <v>647500</v>
      </c>
      <c r="AU2450" s="119"/>
      <c r="AV2450" s="118">
        <v>14230</v>
      </c>
      <c r="AW2450" s="119"/>
      <c r="AX2450" s="118">
        <f t="shared" ref="AX2450" si="922">SUM(AR2450:AW2450)</f>
        <v>7136730</v>
      </c>
      <c r="AY2450" s="119"/>
      <c r="AZ2450" s="137">
        <v>45981</v>
      </c>
    </row>
    <row r="2451" spans="1:52" ht="17.100000000000001" customHeight="1" thickBot="1">
      <c r="A2451" s="110"/>
      <c r="B2451" s="27" t="s">
        <v>1718</v>
      </c>
      <c r="C2451" s="27" t="s">
        <v>8187</v>
      </c>
      <c r="D2451" s="14" t="s">
        <v>2601</v>
      </c>
      <c r="E2451" s="112"/>
      <c r="F2451" s="139" t="s">
        <v>8188</v>
      </c>
      <c r="G2451" s="140"/>
      <c r="H2451" s="141"/>
      <c r="I2451" s="26">
        <v>930</v>
      </c>
      <c r="J2451" s="117"/>
      <c r="K2451" s="120"/>
      <c r="L2451" s="121"/>
      <c r="M2451" s="120"/>
      <c r="N2451" s="121"/>
      <c r="O2451" s="120"/>
      <c r="P2451" s="121"/>
      <c r="Q2451" s="120"/>
      <c r="R2451" s="121"/>
      <c r="S2451" s="120"/>
      <c r="T2451" s="121"/>
      <c r="U2451" s="120"/>
      <c r="V2451" s="123"/>
      <c r="W2451" s="125"/>
      <c r="X2451" s="142" t="s">
        <v>10982</v>
      </c>
      <c r="Y2451" s="143"/>
      <c r="Z2451" s="143"/>
      <c r="AA2451" s="143"/>
      <c r="AB2451" s="144"/>
      <c r="AC2451" s="16" t="s">
        <v>21</v>
      </c>
      <c r="AD2451" s="17" t="s">
        <v>10983</v>
      </c>
      <c r="AE2451" s="145" t="s">
        <v>10984</v>
      </c>
      <c r="AF2451" s="146"/>
      <c r="AG2451" s="146"/>
      <c r="AH2451" s="146"/>
      <c r="AI2451" s="147"/>
      <c r="AJ2451" s="148"/>
      <c r="AK2451" s="143"/>
      <c r="AL2451" s="144"/>
      <c r="AM2451" s="22"/>
      <c r="AN2451" s="149" t="s">
        <v>10999</v>
      </c>
      <c r="AO2451" s="144"/>
      <c r="AP2451" s="148">
        <v>37704</v>
      </c>
      <c r="AQ2451" s="144"/>
      <c r="AR2451" s="120"/>
      <c r="AS2451" s="121"/>
      <c r="AT2451" s="120"/>
      <c r="AU2451" s="121"/>
      <c r="AV2451" s="120"/>
      <c r="AW2451" s="121"/>
      <c r="AX2451" s="120"/>
      <c r="AY2451" s="121"/>
      <c r="AZ2451" s="138"/>
    </row>
    <row r="2452" spans="1:52" ht="17.100000000000001" customHeight="1" thickTop="1">
      <c r="A2452" s="109" t="s">
        <v>8177</v>
      </c>
      <c r="B2452" s="28">
        <v>45943</v>
      </c>
      <c r="C2452" s="25"/>
      <c r="D2452" s="13" t="s">
        <v>1803</v>
      </c>
      <c r="E2452" s="111"/>
      <c r="F2452" s="113" t="s">
        <v>8217</v>
      </c>
      <c r="G2452" s="114"/>
      <c r="H2452" s="115"/>
      <c r="I2452" s="24" t="s">
        <v>7813</v>
      </c>
      <c r="J2452" s="116">
        <v>3.5</v>
      </c>
      <c r="K2452" s="118">
        <f>522500/1.1</f>
        <v>474999.99999999994</v>
      </c>
      <c r="L2452" s="119"/>
      <c r="M2452" s="118">
        <f t="shared" ref="M2452" si="923">K2452*0.1</f>
        <v>47500</v>
      </c>
      <c r="N2452" s="119"/>
      <c r="O2452" s="118">
        <v>0</v>
      </c>
      <c r="P2452" s="119"/>
      <c r="Q2452" s="118">
        <v>8230</v>
      </c>
      <c r="R2452" s="119"/>
      <c r="S2452" s="118">
        <v>53554</v>
      </c>
      <c r="T2452" s="119"/>
      <c r="U2452" s="118">
        <f t="shared" ref="U2452" si="924">SUM(K2452:T2453)</f>
        <v>584284</v>
      </c>
      <c r="V2452" s="122"/>
      <c r="W2452" s="124"/>
      <c r="X2452" s="126" t="s">
        <v>10942</v>
      </c>
      <c r="Y2452" s="127"/>
      <c r="Z2452" s="127"/>
      <c r="AA2452" s="127"/>
      <c r="AB2452" s="128"/>
      <c r="AC2452" s="15" t="s">
        <v>20</v>
      </c>
      <c r="AD2452" s="129" t="s">
        <v>1605</v>
      </c>
      <c r="AE2452" s="130"/>
      <c r="AF2452" s="130"/>
      <c r="AG2452" s="130"/>
      <c r="AH2452" s="130"/>
      <c r="AI2452" s="131"/>
      <c r="AJ2452" s="132"/>
      <c r="AK2452" s="127"/>
      <c r="AL2452" s="128"/>
      <c r="AM2452" s="21"/>
      <c r="AN2452" s="133">
        <v>45997</v>
      </c>
      <c r="AO2452" s="134"/>
      <c r="AP2452" s="135">
        <v>1279</v>
      </c>
      <c r="AQ2452" s="136"/>
      <c r="AR2452" s="118">
        <v>650000</v>
      </c>
      <c r="AS2452" s="119"/>
      <c r="AT2452" s="118">
        <f t="shared" ref="AT2452" si="925">AR2452*0.1</f>
        <v>65000</v>
      </c>
      <c r="AU2452" s="119"/>
      <c r="AV2452" s="118">
        <v>8230</v>
      </c>
      <c r="AW2452" s="119"/>
      <c r="AX2452" s="118">
        <f t="shared" ref="AX2452" si="926">SUM(AR2452:AW2452)</f>
        <v>723230</v>
      </c>
      <c r="AY2452" s="119"/>
      <c r="AZ2452" s="137">
        <v>46000</v>
      </c>
    </row>
    <row r="2453" spans="1:52" ht="17.100000000000001" customHeight="1" thickBot="1">
      <c r="A2453" s="110"/>
      <c r="B2453" s="27" t="s">
        <v>1718</v>
      </c>
      <c r="C2453" s="27" t="s">
        <v>8189</v>
      </c>
      <c r="D2453" s="14" t="s">
        <v>275</v>
      </c>
      <c r="E2453" s="112"/>
      <c r="F2453" s="139" t="s">
        <v>8190</v>
      </c>
      <c r="G2453" s="140"/>
      <c r="H2453" s="141"/>
      <c r="I2453" s="26">
        <v>53519</v>
      </c>
      <c r="J2453" s="117"/>
      <c r="K2453" s="120"/>
      <c r="L2453" s="121"/>
      <c r="M2453" s="120"/>
      <c r="N2453" s="121"/>
      <c r="O2453" s="120"/>
      <c r="P2453" s="121"/>
      <c r="Q2453" s="120"/>
      <c r="R2453" s="121"/>
      <c r="S2453" s="120"/>
      <c r="T2453" s="121"/>
      <c r="U2453" s="120"/>
      <c r="V2453" s="123"/>
      <c r="W2453" s="125"/>
      <c r="X2453" s="142" t="s">
        <v>10943</v>
      </c>
      <c r="Y2453" s="143"/>
      <c r="Z2453" s="143"/>
      <c r="AA2453" s="143"/>
      <c r="AB2453" s="144"/>
      <c r="AC2453" s="16" t="s">
        <v>21</v>
      </c>
      <c r="AD2453" s="17" t="s">
        <v>10911</v>
      </c>
      <c r="AE2453" s="145" t="s">
        <v>11098</v>
      </c>
      <c r="AF2453" s="146"/>
      <c r="AG2453" s="146"/>
      <c r="AH2453" s="146"/>
      <c r="AI2453" s="147"/>
      <c r="AJ2453" s="148"/>
      <c r="AK2453" s="143"/>
      <c r="AL2453" s="144"/>
      <c r="AM2453" s="22"/>
      <c r="AN2453" s="149" t="s">
        <v>7284</v>
      </c>
      <c r="AO2453" s="144"/>
      <c r="AP2453" s="148">
        <v>31007</v>
      </c>
      <c r="AQ2453" s="144"/>
      <c r="AR2453" s="120"/>
      <c r="AS2453" s="121"/>
      <c r="AT2453" s="120"/>
      <c r="AU2453" s="121"/>
      <c r="AV2453" s="120"/>
      <c r="AW2453" s="121"/>
      <c r="AX2453" s="120"/>
      <c r="AY2453" s="121"/>
      <c r="AZ2453" s="138"/>
    </row>
    <row r="2454" spans="1:52" ht="17.100000000000001" customHeight="1" thickTop="1">
      <c r="A2454" s="109" t="s">
        <v>8178</v>
      </c>
      <c r="B2454" s="28">
        <v>45943</v>
      </c>
      <c r="C2454" s="25"/>
      <c r="D2454" s="13" t="s">
        <v>2036</v>
      </c>
      <c r="E2454" s="111"/>
      <c r="F2454" s="113" t="s">
        <v>8218</v>
      </c>
      <c r="G2454" s="114"/>
      <c r="H2454" s="115"/>
      <c r="I2454" s="24" t="s">
        <v>8219</v>
      </c>
      <c r="J2454" s="116">
        <v>5</v>
      </c>
      <c r="K2454" s="118">
        <f>1413500/1.1</f>
        <v>1285000</v>
      </c>
      <c r="L2454" s="119"/>
      <c r="M2454" s="118">
        <f t="shared" ref="M2454" si="927">K2454*0.1</f>
        <v>128500</v>
      </c>
      <c r="N2454" s="119"/>
      <c r="O2454" s="118">
        <v>0</v>
      </c>
      <c r="P2454" s="119"/>
      <c r="Q2454" s="118">
        <v>8630</v>
      </c>
      <c r="R2454" s="119"/>
      <c r="S2454" s="118">
        <v>90338</v>
      </c>
      <c r="T2454" s="119"/>
      <c r="U2454" s="118">
        <f t="shared" ref="U2454" si="928">SUM(K2454:T2455)</f>
        <v>1512468</v>
      </c>
      <c r="V2454" s="122"/>
      <c r="W2454" s="124"/>
      <c r="X2454" s="126" t="s">
        <v>10203</v>
      </c>
      <c r="Y2454" s="127"/>
      <c r="Z2454" s="127"/>
      <c r="AA2454" s="127"/>
      <c r="AB2454" s="128"/>
      <c r="AC2454" s="15" t="s">
        <v>20</v>
      </c>
      <c r="AD2454" s="129" t="s">
        <v>1945</v>
      </c>
      <c r="AE2454" s="130"/>
      <c r="AF2454" s="130"/>
      <c r="AG2454" s="130"/>
      <c r="AH2454" s="130"/>
      <c r="AI2454" s="131"/>
      <c r="AJ2454" s="132"/>
      <c r="AK2454" s="127"/>
      <c r="AL2454" s="128"/>
      <c r="AM2454" s="21"/>
      <c r="AN2454" s="133">
        <v>45979</v>
      </c>
      <c r="AO2454" s="134"/>
      <c r="AP2454" s="135">
        <v>1918</v>
      </c>
      <c r="AQ2454" s="136"/>
      <c r="AR2454" s="118">
        <v>1454000</v>
      </c>
      <c r="AS2454" s="119"/>
      <c r="AT2454" s="118">
        <f t="shared" ref="AT2454" si="929">AR2454*0.1</f>
        <v>145400</v>
      </c>
      <c r="AU2454" s="119"/>
      <c r="AV2454" s="118">
        <v>8630</v>
      </c>
      <c r="AW2454" s="119"/>
      <c r="AX2454" s="118">
        <f t="shared" ref="AX2454" si="930">SUM(AR2454:AW2454)</f>
        <v>1608030</v>
      </c>
      <c r="AY2454" s="119"/>
      <c r="AZ2454" s="137">
        <v>45986</v>
      </c>
    </row>
    <row r="2455" spans="1:52" ht="17.100000000000001" customHeight="1" thickBot="1">
      <c r="A2455" s="110"/>
      <c r="B2455" s="27" t="s">
        <v>1718</v>
      </c>
      <c r="C2455" s="27" t="s">
        <v>8191</v>
      </c>
      <c r="D2455" s="14" t="s">
        <v>1576</v>
      </c>
      <c r="E2455" s="112"/>
      <c r="F2455" s="139" t="s">
        <v>8192</v>
      </c>
      <c r="G2455" s="140"/>
      <c r="H2455" s="141"/>
      <c r="I2455" s="26">
        <v>14814</v>
      </c>
      <c r="J2455" s="117"/>
      <c r="K2455" s="120"/>
      <c r="L2455" s="121"/>
      <c r="M2455" s="120"/>
      <c r="N2455" s="121"/>
      <c r="O2455" s="120"/>
      <c r="P2455" s="121"/>
      <c r="Q2455" s="120"/>
      <c r="R2455" s="121"/>
      <c r="S2455" s="120"/>
      <c r="T2455" s="121"/>
      <c r="U2455" s="120"/>
      <c r="V2455" s="123"/>
      <c r="W2455" s="125"/>
      <c r="X2455" s="142" t="s">
        <v>10204</v>
      </c>
      <c r="Y2455" s="143"/>
      <c r="Z2455" s="143"/>
      <c r="AA2455" s="143"/>
      <c r="AB2455" s="144"/>
      <c r="AC2455" s="16" t="s">
        <v>21</v>
      </c>
      <c r="AD2455" s="17" t="s">
        <v>3397</v>
      </c>
      <c r="AE2455" s="145" t="s">
        <v>7043</v>
      </c>
      <c r="AF2455" s="146"/>
      <c r="AG2455" s="146"/>
      <c r="AH2455" s="146"/>
      <c r="AI2455" s="147"/>
      <c r="AJ2455" s="148"/>
      <c r="AK2455" s="143"/>
      <c r="AL2455" s="144"/>
      <c r="AM2455" s="22"/>
      <c r="AN2455" s="149" t="s">
        <v>2131</v>
      </c>
      <c r="AO2455" s="144"/>
      <c r="AP2455" s="148">
        <v>3131</v>
      </c>
      <c r="AQ2455" s="144"/>
      <c r="AR2455" s="120"/>
      <c r="AS2455" s="121"/>
      <c r="AT2455" s="120"/>
      <c r="AU2455" s="121"/>
      <c r="AV2455" s="120"/>
      <c r="AW2455" s="121"/>
      <c r="AX2455" s="120"/>
      <c r="AY2455" s="121"/>
      <c r="AZ2455" s="138"/>
    </row>
    <row r="2456" spans="1:52" ht="17.100000000000001" customHeight="1" thickTop="1">
      <c r="A2456" s="109" t="s">
        <v>8179</v>
      </c>
      <c r="B2456" s="28">
        <v>45943</v>
      </c>
      <c r="C2456" s="25"/>
      <c r="D2456" s="13" t="s">
        <v>1937</v>
      </c>
      <c r="E2456" s="111"/>
      <c r="F2456" s="113" t="s">
        <v>8220</v>
      </c>
      <c r="G2456" s="114"/>
      <c r="H2456" s="115"/>
      <c r="I2456" s="24" t="s">
        <v>2879</v>
      </c>
      <c r="J2456" s="116">
        <v>4</v>
      </c>
      <c r="K2456" s="118">
        <f>742500/1.1</f>
        <v>675000</v>
      </c>
      <c r="L2456" s="119"/>
      <c r="M2456" s="118">
        <f t="shared" ref="M2456" si="931">K2456*0.1</f>
        <v>67500</v>
      </c>
      <c r="N2456" s="119"/>
      <c r="O2456" s="118">
        <v>0</v>
      </c>
      <c r="P2456" s="119"/>
      <c r="Q2456" s="118">
        <v>9790</v>
      </c>
      <c r="R2456" s="119"/>
      <c r="S2456" s="118">
        <v>65133</v>
      </c>
      <c r="T2456" s="119"/>
      <c r="U2456" s="118">
        <f t="shared" ref="U2456" si="932">SUM(K2456:T2457)</f>
        <v>817423</v>
      </c>
      <c r="V2456" s="122"/>
      <c r="W2456" s="124"/>
      <c r="X2456" s="126" t="s">
        <v>9424</v>
      </c>
      <c r="Y2456" s="127"/>
      <c r="Z2456" s="127"/>
      <c r="AA2456" s="127"/>
      <c r="AB2456" s="128"/>
      <c r="AC2456" s="15" t="s">
        <v>20</v>
      </c>
      <c r="AD2456" s="129" t="s">
        <v>171</v>
      </c>
      <c r="AE2456" s="130"/>
      <c r="AF2456" s="130"/>
      <c r="AG2456" s="130"/>
      <c r="AH2456" s="130"/>
      <c r="AI2456" s="131"/>
      <c r="AJ2456" s="132"/>
      <c r="AK2456" s="127"/>
      <c r="AL2456" s="128"/>
      <c r="AM2456" s="21" t="s">
        <v>8327</v>
      </c>
      <c r="AN2456" s="133">
        <v>45965</v>
      </c>
      <c r="AO2456" s="134"/>
      <c r="AP2456" s="135">
        <v>1916</v>
      </c>
      <c r="AQ2456" s="136"/>
      <c r="AR2456" s="118">
        <v>746000</v>
      </c>
      <c r="AS2456" s="119"/>
      <c r="AT2456" s="118">
        <f t="shared" ref="AT2456" si="933">AR2456*0.1</f>
        <v>74600</v>
      </c>
      <c r="AU2456" s="119"/>
      <c r="AV2456" s="118">
        <v>9790</v>
      </c>
      <c r="AW2456" s="119"/>
      <c r="AX2456" s="118">
        <f t="shared" ref="AX2456" si="934">SUM(AR2456:AW2456)</f>
        <v>830390</v>
      </c>
      <c r="AY2456" s="119"/>
      <c r="AZ2456" s="137">
        <v>45971</v>
      </c>
    </row>
    <row r="2457" spans="1:52" ht="17.100000000000001" customHeight="1" thickBot="1">
      <c r="A2457" s="110"/>
      <c r="B2457" s="27" t="s">
        <v>1718</v>
      </c>
      <c r="C2457" s="27" t="s">
        <v>8193</v>
      </c>
      <c r="D2457" s="14" t="s">
        <v>2040</v>
      </c>
      <c r="E2457" s="112"/>
      <c r="F2457" s="139" t="s">
        <v>8194</v>
      </c>
      <c r="G2457" s="140"/>
      <c r="H2457" s="141"/>
      <c r="I2457" s="26">
        <v>49064</v>
      </c>
      <c r="J2457" s="117"/>
      <c r="K2457" s="120"/>
      <c r="L2457" s="121"/>
      <c r="M2457" s="120"/>
      <c r="N2457" s="121"/>
      <c r="O2457" s="120"/>
      <c r="P2457" s="121"/>
      <c r="Q2457" s="120"/>
      <c r="R2457" s="121"/>
      <c r="S2457" s="120"/>
      <c r="T2457" s="121"/>
      <c r="U2457" s="120"/>
      <c r="V2457" s="123"/>
      <c r="W2457" s="125"/>
      <c r="X2457" s="142" t="s">
        <v>9425</v>
      </c>
      <c r="Y2457" s="143"/>
      <c r="Z2457" s="143"/>
      <c r="AA2457" s="143"/>
      <c r="AB2457" s="144"/>
      <c r="AC2457" s="16" t="s">
        <v>21</v>
      </c>
      <c r="AD2457" s="17" t="s">
        <v>3341</v>
      </c>
      <c r="AE2457" s="145" t="s">
        <v>9805</v>
      </c>
      <c r="AF2457" s="146"/>
      <c r="AG2457" s="146"/>
      <c r="AH2457" s="146"/>
      <c r="AI2457" s="147"/>
      <c r="AJ2457" s="148"/>
      <c r="AK2457" s="143"/>
      <c r="AL2457" s="144"/>
      <c r="AM2457" s="22"/>
      <c r="AN2457" s="149" t="s">
        <v>2131</v>
      </c>
      <c r="AO2457" s="144"/>
      <c r="AP2457" s="148">
        <v>3169</v>
      </c>
      <c r="AQ2457" s="144"/>
      <c r="AR2457" s="120"/>
      <c r="AS2457" s="121"/>
      <c r="AT2457" s="120"/>
      <c r="AU2457" s="121"/>
      <c r="AV2457" s="120"/>
      <c r="AW2457" s="121"/>
      <c r="AX2457" s="120"/>
      <c r="AY2457" s="121"/>
      <c r="AZ2457" s="138"/>
    </row>
    <row r="2458" spans="1:52" ht="17.100000000000001" customHeight="1" thickTop="1">
      <c r="A2458" s="151" t="s">
        <v>8180</v>
      </c>
      <c r="B2458" s="28">
        <v>45943</v>
      </c>
      <c r="C2458" s="25"/>
      <c r="D2458" s="13" t="s">
        <v>1853</v>
      </c>
      <c r="E2458" s="111"/>
      <c r="F2458" s="113" t="s">
        <v>8221</v>
      </c>
      <c r="G2458" s="114"/>
      <c r="H2458" s="115"/>
      <c r="I2458" s="24" t="s">
        <v>4717</v>
      </c>
      <c r="J2458" s="116">
        <v>4</v>
      </c>
      <c r="K2458" s="118">
        <f>3976500/1.1</f>
        <v>3614999.9999999995</v>
      </c>
      <c r="L2458" s="119"/>
      <c r="M2458" s="118">
        <f t="shared" ref="M2458" si="935">K2458*0.1</f>
        <v>361500</v>
      </c>
      <c r="N2458" s="119"/>
      <c r="O2458" s="118">
        <v>14500</v>
      </c>
      <c r="P2458" s="119"/>
      <c r="Q2458" s="118">
        <v>14900</v>
      </c>
      <c r="R2458" s="119"/>
      <c r="S2458" s="118">
        <v>154413</v>
      </c>
      <c r="T2458" s="119"/>
      <c r="U2458" s="118">
        <f t="shared" ref="U2458" si="936">SUM(K2458:T2459)</f>
        <v>4160312.9999999995</v>
      </c>
      <c r="V2458" s="122"/>
      <c r="W2458" s="124"/>
      <c r="X2458" s="126"/>
      <c r="Y2458" s="127"/>
      <c r="Z2458" s="127"/>
      <c r="AA2458" s="127"/>
      <c r="AB2458" s="128"/>
      <c r="AC2458" s="15" t="s">
        <v>20</v>
      </c>
      <c r="AD2458" s="129" t="s">
        <v>1605</v>
      </c>
      <c r="AE2458" s="130"/>
      <c r="AF2458" s="130"/>
      <c r="AG2458" s="130"/>
      <c r="AH2458" s="130"/>
      <c r="AI2458" s="131"/>
      <c r="AJ2458" s="132" t="s">
        <v>10907</v>
      </c>
      <c r="AK2458" s="127"/>
      <c r="AL2458" s="128"/>
      <c r="AM2458" s="21"/>
      <c r="AN2458" s="133"/>
      <c r="AO2458" s="134"/>
      <c r="AP2458" s="135"/>
      <c r="AQ2458" s="136"/>
      <c r="AR2458" s="118"/>
      <c r="AS2458" s="119"/>
      <c r="AT2458" s="118">
        <f t="shared" ref="AT2458" si="937">AR2458*0.1</f>
        <v>0</v>
      </c>
      <c r="AU2458" s="119"/>
      <c r="AV2458" s="118"/>
      <c r="AW2458" s="119"/>
      <c r="AX2458" s="118">
        <f t="shared" ref="AX2458" si="938">SUM(AR2458:AW2458)</f>
        <v>0</v>
      </c>
      <c r="AY2458" s="119"/>
      <c r="AZ2458" s="137"/>
    </row>
    <row r="2459" spans="1:52" ht="17.100000000000001" customHeight="1" thickBot="1">
      <c r="A2459" s="152"/>
      <c r="B2459" s="27" t="s">
        <v>1718</v>
      </c>
      <c r="C2459" s="27" t="s">
        <v>8195</v>
      </c>
      <c r="D2459" s="14" t="s">
        <v>275</v>
      </c>
      <c r="E2459" s="112"/>
      <c r="F2459" s="139" t="s">
        <v>8196</v>
      </c>
      <c r="G2459" s="140"/>
      <c r="H2459" s="141"/>
      <c r="I2459" s="26">
        <v>27423</v>
      </c>
      <c r="J2459" s="117"/>
      <c r="K2459" s="120"/>
      <c r="L2459" s="121"/>
      <c r="M2459" s="120"/>
      <c r="N2459" s="121"/>
      <c r="O2459" s="120"/>
      <c r="P2459" s="121"/>
      <c r="Q2459" s="120"/>
      <c r="R2459" s="121"/>
      <c r="S2459" s="120"/>
      <c r="T2459" s="121"/>
      <c r="U2459" s="120"/>
      <c r="V2459" s="123"/>
      <c r="W2459" s="125"/>
      <c r="X2459" s="142"/>
      <c r="Y2459" s="143"/>
      <c r="Z2459" s="143"/>
      <c r="AA2459" s="143"/>
      <c r="AB2459" s="144"/>
      <c r="AC2459" s="16" t="s">
        <v>21</v>
      </c>
      <c r="AD2459" s="17" t="s">
        <v>10908</v>
      </c>
      <c r="AE2459" s="145"/>
      <c r="AF2459" s="146"/>
      <c r="AG2459" s="146"/>
      <c r="AH2459" s="146"/>
      <c r="AI2459" s="147"/>
      <c r="AJ2459" s="148"/>
      <c r="AK2459" s="143"/>
      <c r="AL2459" s="144"/>
      <c r="AM2459" s="22"/>
      <c r="AN2459" s="149"/>
      <c r="AO2459" s="144"/>
      <c r="AP2459" s="148"/>
      <c r="AQ2459" s="144"/>
      <c r="AR2459" s="120"/>
      <c r="AS2459" s="121"/>
      <c r="AT2459" s="120"/>
      <c r="AU2459" s="121"/>
      <c r="AV2459" s="120"/>
      <c r="AW2459" s="121"/>
      <c r="AX2459" s="120"/>
      <c r="AY2459" s="121"/>
      <c r="AZ2459" s="138"/>
    </row>
    <row r="2460" spans="1:52" ht="17.100000000000001" customHeight="1" thickTop="1">
      <c r="A2460" s="109" t="s">
        <v>8181</v>
      </c>
      <c r="B2460" s="28">
        <v>45943</v>
      </c>
      <c r="C2460" s="25"/>
      <c r="D2460" s="13" t="s">
        <v>1675</v>
      </c>
      <c r="E2460" s="111"/>
      <c r="F2460" s="113" t="s">
        <v>8222</v>
      </c>
      <c r="G2460" s="114"/>
      <c r="H2460" s="115"/>
      <c r="I2460" s="24" t="s">
        <v>7265</v>
      </c>
      <c r="J2460" s="116">
        <v>4</v>
      </c>
      <c r="K2460" s="118">
        <f>214500/1.1</f>
        <v>194999.99999999997</v>
      </c>
      <c r="L2460" s="119"/>
      <c r="M2460" s="118">
        <f t="shared" ref="M2460" si="939">K2460*0.1</f>
        <v>19499.999999999996</v>
      </c>
      <c r="N2460" s="119"/>
      <c r="O2460" s="118">
        <v>0</v>
      </c>
      <c r="P2460" s="119"/>
      <c r="Q2460" s="118">
        <v>8580</v>
      </c>
      <c r="R2460" s="119"/>
      <c r="S2460" s="118">
        <v>37343</v>
      </c>
      <c r="T2460" s="119"/>
      <c r="U2460" s="118">
        <f t="shared" ref="U2460" si="940">SUM(K2460:T2461)</f>
        <v>260422.99999999997</v>
      </c>
      <c r="V2460" s="122"/>
      <c r="W2460" s="124"/>
      <c r="X2460" s="126" t="s">
        <v>10460</v>
      </c>
      <c r="Y2460" s="127"/>
      <c r="Z2460" s="127"/>
      <c r="AA2460" s="127"/>
      <c r="AB2460" s="128"/>
      <c r="AC2460" s="15" t="s">
        <v>20</v>
      </c>
      <c r="AD2460" s="129" t="s">
        <v>171</v>
      </c>
      <c r="AE2460" s="130"/>
      <c r="AF2460" s="130"/>
      <c r="AG2460" s="130"/>
      <c r="AH2460" s="130"/>
      <c r="AI2460" s="131"/>
      <c r="AJ2460" s="132"/>
      <c r="AK2460" s="127"/>
      <c r="AL2460" s="128"/>
      <c r="AM2460" s="21"/>
      <c r="AN2460" s="133">
        <v>45976</v>
      </c>
      <c r="AO2460" s="134"/>
      <c r="AP2460" s="135">
        <v>1276</v>
      </c>
      <c r="AQ2460" s="136"/>
      <c r="AR2460" s="118">
        <v>275000</v>
      </c>
      <c r="AS2460" s="119"/>
      <c r="AT2460" s="118">
        <f t="shared" ref="AT2460" si="941">AR2460*0.1</f>
        <v>27500</v>
      </c>
      <c r="AU2460" s="119"/>
      <c r="AV2460" s="118">
        <v>8580</v>
      </c>
      <c r="AW2460" s="119"/>
      <c r="AX2460" s="118">
        <f t="shared" ref="AX2460" si="942">SUM(AR2460:AW2460)</f>
        <v>311080</v>
      </c>
      <c r="AY2460" s="119"/>
      <c r="AZ2460" s="137">
        <v>45979</v>
      </c>
    </row>
    <row r="2461" spans="1:52" ht="17.100000000000001" customHeight="1" thickBot="1">
      <c r="A2461" s="110"/>
      <c r="B2461" s="27" t="s">
        <v>1718</v>
      </c>
      <c r="C2461" s="27" t="s">
        <v>8197</v>
      </c>
      <c r="D2461" s="14" t="s">
        <v>3327</v>
      </c>
      <c r="E2461" s="112"/>
      <c r="F2461" s="139" t="s">
        <v>8198</v>
      </c>
      <c r="G2461" s="140"/>
      <c r="H2461" s="141"/>
      <c r="I2461" s="26">
        <v>88165</v>
      </c>
      <c r="J2461" s="117"/>
      <c r="K2461" s="120"/>
      <c r="L2461" s="121"/>
      <c r="M2461" s="120"/>
      <c r="N2461" s="121"/>
      <c r="O2461" s="120"/>
      <c r="P2461" s="121"/>
      <c r="Q2461" s="120"/>
      <c r="R2461" s="121"/>
      <c r="S2461" s="120"/>
      <c r="T2461" s="121"/>
      <c r="U2461" s="120"/>
      <c r="V2461" s="123"/>
      <c r="W2461" s="125"/>
      <c r="X2461" s="142" t="s">
        <v>10461</v>
      </c>
      <c r="Y2461" s="143"/>
      <c r="Z2461" s="143"/>
      <c r="AA2461" s="143"/>
      <c r="AB2461" s="144"/>
      <c r="AC2461" s="16" t="s">
        <v>21</v>
      </c>
      <c r="AD2461" s="17" t="s">
        <v>1694</v>
      </c>
      <c r="AE2461" s="145" t="s">
        <v>10729</v>
      </c>
      <c r="AF2461" s="146"/>
      <c r="AG2461" s="146"/>
      <c r="AH2461" s="146"/>
      <c r="AI2461" s="147"/>
      <c r="AJ2461" s="148"/>
      <c r="AK2461" s="143"/>
      <c r="AL2461" s="144"/>
      <c r="AM2461" s="22"/>
      <c r="AN2461" s="149" t="s">
        <v>10999</v>
      </c>
      <c r="AO2461" s="144"/>
      <c r="AP2461" s="148">
        <v>65412</v>
      </c>
      <c r="AQ2461" s="144"/>
      <c r="AR2461" s="120"/>
      <c r="AS2461" s="121"/>
      <c r="AT2461" s="120"/>
      <c r="AU2461" s="121"/>
      <c r="AV2461" s="120"/>
      <c r="AW2461" s="121"/>
      <c r="AX2461" s="120"/>
      <c r="AY2461" s="121"/>
      <c r="AZ2461" s="138"/>
    </row>
    <row r="2462" spans="1:52" ht="17.100000000000001" customHeight="1" thickTop="1">
      <c r="A2462" s="109" t="s">
        <v>8182</v>
      </c>
      <c r="B2462" s="28">
        <v>45943</v>
      </c>
      <c r="C2462" s="25"/>
      <c r="D2462" s="13" t="s">
        <v>1786</v>
      </c>
      <c r="E2462" s="111"/>
      <c r="F2462" s="113" t="s">
        <v>8223</v>
      </c>
      <c r="G2462" s="114"/>
      <c r="H2462" s="115"/>
      <c r="I2462" s="24" t="s">
        <v>8224</v>
      </c>
      <c r="J2462" s="116">
        <v>4.5</v>
      </c>
      <c r="K2462" s="118">
        <f>2205500/1.1</f>
        <v>2004999.9999999998</v>
      </c>
      <c r="L2462" s="119"/>
      <c r="M2462" s="118">
        <f t="shared" ref="M2462" si="943">K2462*0.1</f>
        <v>200500</v>
      </c>
      <c r="N2462" s="119"/>
      <c r="O2462" s="118">
        <v>0</v>
      </c>
      <c r="P2462" s="119"/>
      <c r="Q2462" s="118">
        <v>10470</v>
      </c>
      <c r="R2462" s="119"/>
      <c r="S2462" s="118">
        <v>110138</v>
      </c>
      <c r="T2462" s="119"/>
      <c r="U2462" s="118">
        <f t="shared" ref="U2462" si="944">SUM(K2462:T2463)</f>
        <v>2326108</v>
      </c>
      <c r="V2462" s="122"/>
      <c r="W2462" s="124"/>
      <c r="X2462" s="126" t="s">
        <v>8954</v>
      </c>
      <c r="Y2462" s="127"/>
      <c r="Z2462" s="127"/>
      <c r="AA2462" s="127"/>
      <c r="AB2462" s="128"/>
      <c r="AC2462" s="15" t="s">
        <v>20</v>
      </c>
      <c r="AD2462" s="129" t="s">
        <v>8953</v>
      </c>
      <c r="AE2462" s="130"/>
      <c r="AF2462" s="130"/>
      <c r="AG2462" s="130"/>
      <c r="AH2462" s="130"/>
      <c r="AI2462" s="131"/>
      <c r="AJ2462" s="132"/>
      <c r="AK2462" s="127"/>
      <c r="AL2462" s="128"/>
      <c r="AM2462" s="21" t="s">
        <v>9690</v>
      </c>
      <c r="AN2462" s="133">
        <v>45969</v>
      </c>
      <c r="AO2462" s="134"/>
      <c r="AP2462" s="135">
        <v>1275</v>
      </c>
      <c r="AQ2462" s="136"/>
      <c r="AR2462" s="118">
        <v>2215000</v>
      </c>
      <c r="AS2462" s="119"/>
      <c r="AT2462" s="118">
        <f t="shared" ref="AT2462" si="945">AR2462*0.1</f>
        <v>221500</v>
      </c>
      <c r="AU2462" s="119"/>
      <c r="AV2462" s="118">
        <v>10470</v>
      </c>
      <c r="AW2462" s="119"/>
      <c r="AX2462" s="118">
        <f t="shared" ref="AX2462" si="946">SUM(AR2462:AW2462)</f>
        <v>2446970</v>
      </c>
      <c r="AY2462" s="119"/>
      <c r="AZ2462" s="137">
        <v>45972</v>
      </c>
    </row>
    <row r="2463" spans="1:52" ht="17.100000000000001" customHeight="1" thickBot="1">
      <c r="A2463" s="110"/>
      <c r="B2463" s="27" t="s">
        <v>1718</v>
      </c>
      <c r="C2463" s="27" t="s">
        <v>8199</v>
      </c>
      <c r="D2463" s="14" t="s">
        <v>1576</v>
      </c>
      <c r="E2463" s="112"/>
      <c r="F2463" s="139" t="s">
        <v>8200</v>
      </c>
      <c r="G2463" s="140"/>
      <c r="H2463" s="141"/>
      <c r="I2463" s="26">
        <v>7546</v>
      </c>
      <c r="J2463" s="117"/>
      <c r="K2463" s="120"/>
      <c r="L2463" s="121"/>
      <c r="M2463" s="120"/>
      <c r="N2463" s="121"/>
      <c r="O2463" s="120"/>
      <c r="P2463" s="121"/>
      <c r="Q2463" s="120"/>
      <c r="R2463" s="121"/>
      <c r="S2463" s="120"/>
      <c r="T2463" s="121"/>
      <c r="U2463" s="120"/>
      <c r="V2463" s="123"/>
      <c r="W2463" s="125"/>
      <c r="X2463" s="142" t="s">
        <v>8955</v>
      </c>
      <c r="Y2463" s="143"/>
      <c r="Z2463" s="143"/>
      <c r="AA2463" s="143"/>
      <c r="AB2463" s="144"/>
      <c r="AC2463" s="16" t="s">
        <v>21</v>
      </c>
      <c r="AD2463" s="17" t="s">
        <v>8956</v>
      </c>
      <c r="AE2463" s="145" t="s">
        <v>2692</v>
      </c>
      <c r="AF2463" s="146"/>
      <c r="AG2463" s="146"/>
      <c r="AH2463" s="146"/>
      <c r="AI2463" s="147"/>
      <c r="AJ2463" s="148"/>
      <c r="AK2463" s="143"/>
      <c r="AL2463" s="144"/>
      <c r="AM2463" s="22"/>
      <c r="AN2463" s="149" t="s">
        <v>2511</v>
      </c>
      <c r="AO2463" s="144"/>
      <c r="AP2463" s="148">
        <v>37139</v>
      </c>
      <c r="AQ2463" s="144"/>
      <c r="AR2463" s="120"/>
      <c r="AS2463" s="121"/>
      <c r="AT2463" s="120"/>
      <c r="AU2463" s="121"/>
      <c r="AV2463" s="120"/>
      <c r="AW2463" s="121"/>
      <c r="AX2463" s="120"/>
      <c r="AY2463" s="121"/>
      <c r="AZ2463" s="138"/>
    </row>
    <row r="2464" spans="1:52" ht="17.100000000000001" customHeight="1" thickTop="1">
      <c r="A2464" s="109" t="s">
        <v>8183</v>
      </c>
      <c r="B2464" s="28">
        <v>45943</v>
      </c>
      <c r="C2464" s="25"/>
      <c r="D2464" s="13" t="s">
        <v>2528</v>
      </c>
      <c r="E2464" s="111"/>
      <c r="F2464" s="113" t="s">
        <v>8225</v>
      </c>
      <c r="G2464" s="114"/>
      <c r="H2464" s="115"/>
      <c r="I2464" s="24" t="s">
        <v>8226</v>
      </c>
      <c r="J2464" s="116">
        <v>3.5</v>
      </c>
      <c r="K2464" s="118">
        <f>676500/1.1</f>
        <v>615000</v>
      </c>
      <c r="L2464" s="119"/>
      <c r="M2464" s="118">
        <v>61500</v>
      </c>
      <c r="N2464" s="119"/>
      <c r="O2464" s="118">
        <v>14300</v>
      </c>
      <c r="P2464" s="119"/>
      <c r="Q2464" s="118">
        <v>9130</v>
      </c>
      <c r="R2464" s="119"/>
      <c r="S2464" s="118">
        <v>61659</v>
      </c>
      <c r="T2464" s="119"/>
      <c r="U2464" s="118">
        <f t="shared" ref="U2464" si="947">SUM(K2464:T2465)</f>
        <v>761589</v>
      </c>
      <c r="V2464" s="122"/>
      <c r="W2464" s="124"/>
      <c r="X2464" s="126" t="s">
        <v>9335</v>
      </c>
      <c r="Y2464" s="127"/>
      <c r="Z2464" s="127"/>
      <c r="AA2464" s="127"/>
      <c r="AB2464" s="128"/>
      <c r="AC2464" s="15" t="s">
        <v>20</v>
      </c>
      <c r="AD2464" s="129" t="s">
        <v>171</v>
      </c>
      <c r="AE2464" s="130"/>
      <c r="AF2464" s="130"/>
      <c r="AG2464" s="130"/>
      <c r="AH2464" s="130"/>
      <c r="AI2464" s="131"/>
      <c r="AJ2464" s="132"/>
      <c r="AK2464" s="127"/>
      <c r="AL2464" s="128"/>
      <c r="AM2464" s="21"/>
      <c r="AN2464" s="133">
        <v>45962</v>
      </c>
      <c r="AO2464" s="134"/>
      <c r="AP2464" s="135">
        <v>1274</v>
      </c>
      <c r="AQ2464" s="136"/>
      <c r="AR2464" s="118">
        <v>700000</v>
      </c>
      <c r="AS2464" s="119"/>
      <c r="AT2464" s="118">
        <f t="shared" ref="AT2464" si="948">AR2464*0.1</f>
        <v>70000</v>
      </c>
      <c r="AU2464" s="119"/>
      <c r="AV2464" s="118">
        <v>9130</v>
      </c>
      <c r="AW2464" s="119"/>
      <c r="AX2464" s="118">
        <f t="shared" ref="AX2464" si="949">SUM(AR2464:AW2464)</f>
        <v>779130</v>
      </c>
      <c r="AY2464" s="119"/>
      <c r="AZ2464" s="137">
        <v>45967</v>
      </c>
    </row>
    <row r="2465" spans="1:52" ht="17.100000000000001" customHeight="1" thickBot="1">
      <c r="A2465" s="110"/>
      <c r="B2465" s="27" t="s">
        <v>1718</v>
      </c>
      <c r="C2465" s="27" t="s">
        <v>8203</v>
      </c>
      <c r="D2465" s="14" t="s">
        <v>1720</v>
      </c>
      <c r="E2465" s="112"/>
      <c r="F2465" s="139" t="s">
        <v>8204</v>
      </c>
      <c r="G2465" s="140"/>
      <c r="H2465" s="141"/>
      <c r="I2465" s="26">
        <v>56348</v>
      </c>
      <c r="J2465" s="117"/>
      <c r="K2465" s="120"/>
      <c r="L2465" s="121"/>
      <c r="M2465" s="120"/>
      <c r="N2465" s="121"/>
      <c r="O2465" s="120"/>
      <c r="P2465" s="121"/>
      <c r="Q2465" s="120"/>
      <c r="R2465" s="121"/>
      <c r="S2465" s="120"/>
      <c r="T2465" s="121"/>
      <c r="U2465" s="120"/>
      <c r="V2465" s="123"/>
      <c r="W2465" s="125"/>
      <c r="X2465" s="142" t="s">
        <v>9336</v>
      </c>
      <c r="Y2465" s="143"/>
      <c r="Z2465" s="143"/>
      <c r="AA2465" s="143"/>
      <c r="AB2465" s="144"/>
      <c r="AC2465" s="16" t="s">
        <v>21</v>
      </c>
      <c r="AD2465" s="17" t="s">
        <v>9274</v>
      </c>
      <c r="AE2465" s="145" t="s">
        <v>7849</v>
      </c>
      <c r="AF2465" s="146"/>
      <c r="AG2465" s="146"/>
      <c r="AH2465" s="146"/>
      <c r="AI2465" s="147"/>
      <c r="AJ2465" s="148"/>
      <c r="AK2465" s="143"/>
      <c r="AL2465" s="144"/>
      <c r="AM2465" s="22"/>
      <c r="AN2465" s="149" t="s">
        <v>2511</v>
      </c>
      <c r="AO2465" s="144"/>
      <c r="AP2465" s="148">
        <v>37373</v>
      </c>
      <c r="AQ2465" s="144"/>
      <c r="AR2465" s="120"/>
      <c r="AS2465" s="121"/>
      <c r="AT2465" s="120"/>
      <c r="AU2465" s="121"/>
      <c r="AV2465" s="120"/>
      <c r="AW2465" s="121"/>
      <c r="AX2465" s="120"/>
      <c r="AY2465" s="121"/>
      <c r="AZ2465" s="138"/>
    </row>
    <row r="2466" spans="1:52" ht="17.100000000000001" customHeight="1" thickTop="1">
      <c r="A2466" s="109" t="s">
        <v>8184</v>
      </c>
      <c r="B2466" s="28">
        <v>45943</v>
      </c>
      <c r="C2466" s="25"/>
      <c r="D2466" s="13" t="s">
        <v>7408</v>
      </c>
      <c r="E2466" s="111"/>
      <c r="F2466" s="113" t="s">
        <v>8227</v>
      </c>
      <c r="G2466" s="114"/>
      <c r="H2466" s="115"/>
      <c r="I2466" s="24" t="s">
        <v>8228</v>
      </c>
      <c r="J2466" s="116">
        <v>4</v>
      </c>
      <c r="K2466" s="118">
        <f>462000/1.1</f>
        <v>419999.99999999994</v>
      </c>
      <c r="L2466" s="119"/>
      <c r="M2466" s="118">
        <f t="shared" ref="M2466" si="950">K2466*0.1</f>
        <v>42000</v>
      </c>
      <c r="N2466" s="119"/>
      <c r="O2466" s="118">
        <v>0</v>
      </c>
      <c r="P2466" s="119"/>
      <c r="Q2466" s="118">
        <v>8230</v>
      </c>
      <c r="R2466" s="119"/>
      <c r="S2466" s="118">
        <v>50369</v>
      </c>
      <c r="T2466" s="119"/>
      <c r="U2466" s="118">
        <f t="shared" ref="U2466" si="951">SUM(K2466:T2467)</f>
        <v>520598.99999999994</v>
      </c>
      <c r="V2466" s="122"/>
      <c r="W2466" s="124"/>
      <c r="X2466" s="126" t="s">
        <v>9337</v>
      </c>
      <c r="Y2466" s="127"/>
      <c r="Z2466" s="127"/>
      <c r="AA2466" s="127"/>
      <c r="AB2466" s="128"/>
      <c r="AC2466" s="15" t="s">
        <v>20</v>
      </c>
      <c r="AD2466" s="129" t="s">
        <v>171</v>
      </c>
      <c r="AE2466" s="130"/>
      <c r="AF2466" s="130"/>
      <c r="AG2466" s="130"/>
      <c r="AH2466" s="130"/>
      <c r="AI2466" s="131"/>
      <c r="AJ2466" s="132"/>
      <c r="AK2466" s="127"/>
      <c r="AL2466" s="128"/>
      <c r="AM2466" s="21"/>
      <c r="AN2466" s="133">
        <v>45993</v>
      </c>
      <c r="AO2466" s="134"/>
      <c r="AP2466" s="135">
        <v>1920</v>
      </c>
      <c r="AQ2466" s="136"/>
      <c r="AR2466" s="118">
        <v>532000</v>
      </c>
      <c r="AS2466" s="119"/>
      <c r="AT2466" s="118">
        <f t="shared" ref="AT2466" si="952">AR2466*0.1</f>
        <v>53200</v>
      </c>
      <c r="AU2466" s="119"/>
      <c r="AV2466" s="118">
        <v>8230</v>
      </c>
      <c r="AW2466" s="119"/>
      <c r="AX2466" s="118">
        <f t="shared" ref="AX2466" si="953">SUM(AR2466:AW2466)</f>
        <v>593430</v>
      </c>
      <c r="AY2466" s="119"/>
      <c r="AZ2466" s="137"/>
    </row>
    <row r="2467" spans="1:52" ht="17.100000000000001" customHeight="1" thickBot="1">
      <c r="A2467" s="110"/>
      <c r="B2467" s="27" t="s">
        <v>1718</v>
      </c>
      <c r="C2467" s="27" t="s">
        <v>8205</v>
      </c>
      <c r="D2467" s="14" t="s">
        <v>275</v>
      </c>
      <c r="E2467" s="112"/>
      <c r="F2467" s="139" t="s">
        <v>8206</v>
      </c>
      <c r="G2467" s="140"/>
      <c r="H2467" s="141"/>
      <c r="I2467" s="26">
        <v>23128</v>
      </c>
      <c r="J2467" s="117"/>
      <c r="K2467" s="120"/>
      <c r="L2467" s="121"/>
      <c r="M2467" s="120"/>
      <c r="N2467" s="121"/>
      <c r="O2467" s="120"/>
      <c r="P2467" s="121"/>
      <c r="Q2467" s="120"/>
      <c r="R2467" s="121"/>
      <c r="S2467" s="120"/>
      <c r="T2467" s="121"/>
      <c r="U2467" s="120"/>
      <c r="V2467" s="123"/>
      <c r="W2467" s="125"/>
      <c r="X2467" s="142" t="s">
        <v>9338</v>
      </c>
      <c r="Y2467" s="143"/>
      <c r="Z2467" s="143"/>
      <c r="AA2467" s="143"/>
      <c r="AB2467" s="144"/>
      <c r="AC2467" s="16" t="s">
        <v>21</v>
      </c>
      <c r="AD2467" s="17" t="s">
        <v>9274</v>
      </c>
      <c r="AE2467" s="145" t="s">
        <v>1633</v>
      </c>
      <c r="AF2467" s="146"/>
      <c r="AG2467" s="146"/>
      <c r="AH2467" s="146"/>
      <c r="AI2467" s="147"/>
      <c r="AJ2467" s="148"/>
      <c r="AK2467" s="143"/>
      <c r="AL2467" s="144"/>
      <c r="AM2467" s="22"/>
      <c r="AN2467" s="149" t="s">
        <v>2131</v>
      </c>
      <c r="AO2467" s="144"/>
      <c r="AP2467" s="148">
        <v>3319</v>
      </c>
      <c r="AQ2467" s="144"/>
      <c r="AR2467" s="120"/>
      <c r="AS2467" s="121"/>
      <c r="AT2467" s="120"/>
      <c r="AU2467" s="121"/>
      <c r="AV2467" s="120"/>
      <c r="AW2467" s="121"/>
      <c r="AX2467" s="120"/>
      <c r="AY2467" s="121"/>
      <c r="AZ2467" s="138"/>
    </row>
    <row r="2468" spans="1:52" ht="17.100000000000001" customHeight="1" thickTop="1">
      <c r="A2468" s="109" t="s">
        <v>8185</v>
      </c>
      <c r="B2468" s="28">
        <v>45943</v>
      </c>
      <c r="C2468" s="25"/>
      <c r="D2468" s="13" t="s">
        <v>1697</v>
      </c>
      <c r="E2468" s="111"/>
      <c r="F2468" s="113" t="s">
        <v>8229</v>
      </c>
      <c r="G2468" s="114"/>
      <c r="H2468" s="115"/>
      <c r="I2468" s="24" t="s">
        <v>8230</v>
      </c>
      <c r="J2468" s="116">
        <v>4</v>
      </c>
      <c r="K2468" s="118">
        <f>2574000/1.1</f>
        <v>2340000</v>
      </c>
      <c r="L2468" s="119"/>
      <c r="M2468" s="118">
        <f t="shared" ref="M2468" si="954">K2468*0.1</f>
        <v>234000</v>
      </c>
      <c r="N2468" s="119"/>
      <c r="O2468" s="118">
        <v>14500</v>
      </c>
      <c r="P2468" s="119"/>
      <c r="Q2468" s="118">
        <v>14660</v>
      </c>
      <c r="R2468" s="119"/>
      <c r="S2468" s="118">
        <v>119350</v>
      </c>
      <c r="T2468" s="119"/>
      <c r="U2468" s="118">
        <f t="shared" ref="U2468" si="955">SUM(K2468:T2469)</f>
        <v>2722510</v>
      </c>
      <c r="V2468" s="122"/>
      <c r="W2468" s="124"/>
      <c r="X2468" s="126" t="s">
        <v>10752</v>
      </c>
      <c r="Y2468" s="127"/>
      <c r="Z2468" s="127"/>
      <c r="AA2468" s="127"/>
      <c r="AB2468" s="128"/>
      <c r="AC2468" s="15" t="s">
        <v>20</v>
      </c>
      <c r="AD2468" s="129" t="s">
        <v>1945</v>
      </c>
      <c r="AE2468" s="130"/>
      <c r="AF2468" s="130"/>
      <c r="AG2468" s="130"/>
      <c r="AH2468" s="130"/>
      <c r="AI2468" s="131"/>
      <c r="AJ2468" s="132"/>
      <c r="AK2468" s="127"/>
      <c r="AL2468" s="128"/>
      <c r="AM2468" s="21"/>
      <c r="AN2468" s="133">
        <v>45969</v>
      </c>
      <c r="AO2468" s="134"/>
      <c r="AP2468" s="135">
        <v>1275</v>
      </c>
      <c r="AQ2468" s="136"/>
      <c r="AR2468" s="118">
        <v>2595000</v>
      </c>
      <c r="AS2468" s="119"/>
      <c r="AT2468" s="118">
        <f t="shared" ref="AT2468" si="956">AR2468*0.1</f>
        <v>259500</v>
      </c>
      <c r="AU2468" s="119"/>
      <c r="AV2468" s="118">
        <v>14660</v>
      </c>
      <c r="AW2468" s="119"/>
      <c r="AX2468" s="118">
        <f t="shared" ref="AX2468" si="957">SUM(AR2468:AW2468)</f>
        <v>2869160</v>
      </c>
      <c r="AY2468" s="119"/>
      <c r="AZ2468" s="137">
        <v>45979</v>
      </c>
    </row>
    <row r="2469" spans="1:52" ht="17.100000000000001" customHeight="1" thickBot="1">
      <c r="A2469" s="110"/>
      <c r="B2469" s="27" t="s">
        <v>1718</v>
      </c>
      <c r="C2469" s="27" t="s">
        <v>8207</v>
      </c>
      <c r="D2469" s="14" t="s">
        <v>1720</v>
      </c>
      <c r="E2469" s="112"/>
      <c r="F2469" s="139" t="s">
        <v>8208</v>
      </c>
      <c r="G2469" s="140"/>
      <c r="H2469" s="141"/>
      <c r="I2469" s="26">
        <v>23450</v>
      </c>
      <c r="J2469" s="117"/>
      <c r="K2469" s="120"/>
      <c r="L2469" s="121"/>
      <c r="M2469" s="120"/>
      <c r="N2469" s="121"/>
      <c r="O2469" s="120"/>
      <c r="P2469" s="121"/>
      <c r="Q2469" s="120"/>
      <c r="R2469" s="121"/>
      <c r="S2469" s="120"/>
      <c r="T2469" s="121"/>
      <c r="U2469" s="120"/>
      <c r="V2469" s="123"/>
      <c r="W2469" s="125"/>
      <c r="X2469" s="142" t="s">
        <v>9090</v>
      </c>
      <c r="Y2469" s="143"/>
      <c r="Z2469" s="143"/>
      <c r="AA2469" s="143"/>
      <c r="AB2469" s="144"/>
      <c r="AC2469" s="16" t="s">
        <v>21</v>
      </c>
      <c r="AD2469" s="17" t="s">
        <v>3980</v>
      </c>
      <c r="AE2469" s="145" t="s">
        <v>7842</v>
      </c>
      <c r="AF2469" s="146"/>
      <c r="AG2469" s="146"/>
      <c r="AH2469" s="146"/>
      <c r="AI2469" s="147"/>
      <c r="AJ2469" s="148"/>
      <c r="AK2469" s="143"/>
      <c r="AL2469" s="144"/>
      <c r="AM2469" s="22"/>
      <c r="AN2469" s="149" t="s">
        <v>2511</v>
      </c>
      <c r="AO2469" s="144"/>
      <c r="AP2469" s="148">
        <v>37635</v>
      </c>
      <c r="AQ2469" s="144"/>
      <c r="AR2469" s="120"/>
      <c r="AS2469" s="121"/>
      <c r="AT2469" s="120"/>
      <c r="AU2469" s="121"/>
      <c r="AV2469" s="120"/>
      <c r="AW2469" s="121"/>
      <c r="AX2469" s="120"/>
      <c r="AY2469" s="121"/>
      <c r="AZ2469" s="138"/>
    </row>
    <row r="2470" spans="1:52" ht="17.100000000000001" customHeight="1" thickTop="1">
      <c r="A2470" s="109" t="s">
        <v>8186</v>
      </c>
      <c r="B2470" s="28">
        <v>45943</v>
      </c>
      <c r="C2470" s="25"/>
      <c r="D2470" s="13" t="s">
        <v>2036</v>
      </c>
      <c r="E2470" s="111"/>
      <c r="F2470" s="113" t="s">
        <v>5217</v>
      </c>
      <c r="G2470" s="114"/>
      <c r="H2470" s="115"/>
      <c r="I2470" s="24" t="s">
        <v>8231</v>
      </c>
      <c r="J2470" s="116">
        <v>4.5</v>
      </c>
      <c r="K2470" s="118">
        <f>3135000/1.1</f>
        <v>2850000</v>
      </c>
      <c r="L2470" s="119"/>
      <c r="M2470" s="118">
        <f t="shared" ref="M2470" si="958">K2470*0.1</f>
        <v>285000</v>
      </c>
      <c r="N2470" s="119"/>
      <c r="O2470" s="118">
        <v>12000</v>
      </c>
      <c r="P2470" s="119"/>
      <c r="Q2470" s="118">
        <v>12250</v>
      </c>
      <c r="R2470" s="119"/>
      <c r="S2470" s="118">
        <v>133375</v>
      </c>
      <c r="T2470" s="119"/>
      <c r="U2470" s="118">
        <f t="shared" ref="U2470" si="959">SUM(K2470:T2471)</f>
        <v>3292625</v>
      </c>
      <c r="V2470" s="122"/>
      <c r="W2470" s="124"/>
      <c r="X2470" s="126" t="s">
        <v>9461</v>
      </c>
      <c r="Y2470" s="127"/>
      <c r="Z2470" s="127"/>
      <c r="AA2470" s="127"/>
      <c r="AB2470" s="128"/>
      <c r="AC2470" s="15" t="s">
        <v>20</v>
      </c>
      <c r="AD2470" s="129" t="s">
        <v>1945</v>
      </c>
      <c r="AE2470" s="130"/>
      <c r="AF2470" s="130"/>
      <c r="AG2470" s="130"/>
      <c r="AH2470" s="130"/>
      <c r="AI2470" s="131"/>
      <c r="AJ2470" s="132"/>
      <c r="AK2470" s="127"/>
      <c r="AL2470" s="128"/>
      <c r="AM2470" s="21"/>
      <c r="AN2470" s="133">
        <v>45969</v>
      </c>
      <c r="AO2470" s="134"/>
      <c r="AP2470" s="135">
        <v>1275</v>
      </c>
      <c r="AQ2470" s="136"/>
      <c r="AR2470" s="118">
        <v>2935000</v>
      </c>
      <c r="AS2470" s="119"/>
      <c r="AT2470" s="118">
        <f t="shared" ref="AT2470" si="960">AR2470*0.1</f>
        <v>293500</v>
      </c>
      <c r="AU2470" s="119"/>
      <c r="AV2470" s="118">
        <v>12250</v>
      </c>
      <c r="AW2470" s="119"/>
      <c r="AX2470" s="118">
        <f t="shared" ref="AX2470" si="961">SUM(AR2470:AW2470)</f>
        <v>3240750</v>
      </c>
      <c r="AY2470" s="119"/>
      <c r="AZ2470" s="137">
        <v>45972</v>
      </c>
    </row>
    <row r="2471" spans="1:52" ht="17.100000000000001" customHeight="1" thickBot="1">
      <c r="A2471" s="110"/>
      <c r="B2471" s="27" t="s">
        <v>1718</v>
      </c>
      <c r="C2471" s="27" t="s">
        <v>8209</v>
      </c>
      <c r="D2471" s="14" t="s">
        <v>275</v>
      </c>
      <c r="E2471" s="112"/>
      <c r="F2471" s="139" t="s">
        <v>8210</v>
      </c>
      <c r="G2471" s="140"/>
      <c r="H2471" s="141"/>
      <c r="I2471" s="26">
        <v>29452</v>
      </c>
      <c r="J2471" s="117"/>
      <c r="K2471" s="120"/>
      <c r="L2471" s="121"/>
      <c r="M2471" s="120"/>
      <c r="N2471" s="121"/>
      <c r="O2471" s="120"/>
      <c r="P2471" s="121"/>
      <c r="Q2471" s="120"/>
      <c r="R2471" s="121"/>
      <c r="S2471" s="120"/>
      <c r="T2471" s="121"/>
      <c r="U2471" s="120"/>
      <c r="V2471" s="123"/>
      <c r="W2471" s="125"/>
      <c r="X2471" s="142" t="s">
        <v>9462</v>
      </c>
      <c r="Y2471" s="143"/>
      <c r="Z2471" s="143"/>
      <c r="AA2471" s="143"/>
      <c r="AB2471" s="144"/>
      <c r="AC2471" s="16" t="s">
        <v>21</v>
      </c>
      <c r="AD2471" s="17" t="s">
        <v>9460</v>
      </c>
      <c r="AE2471" s="145" t="s">
        <v>1614</v>
      </c>
      <c r="AF2471" s="146"/>
      <c r="AG2471" s="146"/>
      <c r="AH2471" s="146"/>
      <c r="AI2471" s="147"/>
      <c r="AJ2471" s="148"/>
      <c r="AK2471" s="143"/>
      <c r="AL2471" s="144"/>
      <c r="AM2471" s="22"/>
      <c r="AN2471" s="149" t="s">
        <v>2511</v>
      </c>
      <c r="AO2471" s="144"/>
      <c r="AP2471" s="148">
        <v>31028</v>
      </c>
      <c r="AQ2471" s="144"/>
      <c r="AR2471" s="120"/>
      <c r="AS2471" s="121"/>
      <c r="AT2471" s="120"/>
      <c r="AU2471" s="121"/>
      <c r="AV2471" s="120"/>
      <c r="AW2471" s="121"/>
      <c r="AX2471" s="120"/>
      <c r="AY2471" s="121"/>
      <c r="AZ2471" s="138"/>
    </row>
    <row r="2472" spans="1:52" ht="17.100000000000001" customHeight="1" thickTop="1">
      <c r="A2472" s="109" t="s">
        <v>8201</v>
      </c>
      <c r="B2472" s="28">
        <v>45943</v>
      </c>
      <c r="C2472" s="25"/>
      <c r="D2472" s="13" t="s">
        <v>2442</v>
      </c>
      <c r="E2472" s="111"/>
      <c r="F2472" s="113" t="s">
        <v>8232</v>
      </c>
      <c r="G2472" s="114"/>
      <c r="H2472" s="115"/>
      <c r="I2472" s="24" t="s">
        <v>8233</v>
      </c>
      <c r="J2472" s="116">
        <v>4.5</v>
      </c>
      <c r="K2472" s="118">
        <f>1094500/1.1</f>
        <v>994999.99999999988</v>
      </c>
      <c r="L2472" s="119"/>
      <c r="M2472" s="118">
        <f t="shared" ref="M2472" si="962">K2472*0.1</f>
        <v>99500</v>
      </c>
      <c r="N2472" s="119"/>
      <c r="O2472" s="118">
        <v>11500</v>
      </c>
      <c r="P2472" s="119"/>
      <c r="Q2472" s="118">
        <v>9130</v>
      </c>
      <c r="R2472" s="119"/>
      <c r="S2472" s="118">
        <v>82363</v>
      </c>
      <c r="T2472" s="119"/>
      <c r="U2472" s="118">
        <f t="shared" ref="U2472" si="963">SUM(K2472:T2473)</f>
        <v>1197493</v>
      </c>
      <c r="V2472" s="122"/>
      <c r="W2472" s="124"/>
      <c r="X2472" s="126" t="s">
        <v>11823</v>
      </c>
      <c r="Y2472" s="127"/>
      <c r="Z2472" s="127"/>
      <c r="AA2472" s="127"/>
      <c r="AB2472" s="128"/>
      <c r="AC2472" s="15" t="s">
        <v>20</v>
      </c>
      <c r="AD2472" s="129" t="s">
        <v>171</v>
      </c>
      <c r="AE2472" s="130"/>
      <c r="AF2472" s="130"/>
      <c r="AG2472" s="130"/>
      <c r="AH2472" s="130"/>
      <c r="AI2472" s="131"/>
      <c r="AJ2472" s="132"/>
      <c r="AK2472" s="127"/>
      <c r="AL2472" s="128"/>
      <c r="AM2472" s="21"/>
      <c r="AN2472" s="133">
        <v>45997</v>
      </c>
      <c r="AO2472" s="134"/>
      <c r="AP2472" s="135">
        <v>1279</v>
      </c>
      <c r="AQ2472" s="136"/>
      <c r="AR2472" s="118">
        <v>1110000</v>
      </c>
      <c r="AS2472" s="119"/>
      <c r="AT2472" s="118">
        <f t="shared" ref="AT2472" si="964">AR2472*0.1</f>
        <v>111000</v>
      </c>
      <c r="AU2472" s="119"/>
      <c r="AV2472" s="118">
        <v>9130</v>
      </c>
      <c r="AW2472" s="119"/>
      <c r="AX2472" s="118">
        <f t="shared" ref="AX2472" si="965">SUM(AR2472:AW2472)</f>
        <v>1230130</v>
      </c>
      <c r="AY2472" s="119"/>
      <c r="AZ2472" s="137">
        <v>46000</v>
      </c>
    </row>
    <row r="2473" spans="1:52" ht="17.100000000000001" customHeight="1" thickBot="1">
      <c r="A2473" s="110"/>
      <c r="B2473" s="27" t="s">
        <v>1718</v>
      </c>
      <c r="C2473" s="27" t="s">
        <v>8211</v>
      </c>
      <c r="D2473" s="14" t="s">
        <v>1812</v>
      </c>
      <c r="E2473" s="112"/>
      <c r="F2473" s="139" t="s">
        <v>8212</v>
      </c>
      <c r="G2473" s="140"/>
      <c r="H2473" s="141"/>
      <c r="I2473" s="26">
        <v>55988</v>
      </c>
      <c r="J2473" s="117"/>
      <c r="K2473" s="120"/>
      <c r="L2473" s="121"/>
      <c r="M2473" s="120"/>
      <c r="N2473" s="121"/>
      <c r="O2473" s="120"/>
      <c r="P2473" s="121"/>
      <c r="Q2473" s="120"/>
      <c r="R2473" s="121"/>
      <c r="S2473" s="120"/>
      <c r="T2473" s="121"/>
      <c r="U2473" s="120"/>
      <c r="V2473" s="123"/>
      <c r="W2473" s="125"/>
      <c r="X2473" s="142" t="s">
        <v>11824</v>
      </c>
      <c r="Y2473" s="143"/>
      <c r="Z2473" s="143"/>
      <c r="AA2473" s="143"/>
      <c r="AB2473" s="144"/>
      <c r="AC2473" s="16" t="s">
        <v>21</v>
      </c>
      <c r="AD2473" s="17" t="s">
        <v>1723</v>
      </c>
      <c r="AE2473" s="145" t="s">
        <v>10729</v>
      </c>
      <c r="AF2473" s="146"/>
      <c r="AG2473" s="146"/>
      <c r="AH2473" s="146"/>
      <c r="AI2473" s="147"/>
      <c r="AJ2473" s="148"/>
      <c r="AK2473" s="143"/>
      <c r="AL2473" s="144"/>
      <c r="AM2473" s="22"/>
      <c r="AN2473" s="149" t="s">
        <v>7284</v>
      </c>
      <c r="AO2473" s="144"/>
      <c r="AP2473" s="148">
        <v>37785</v>
      </c>
      <c r="AQ2473" s="144"/>
      <c r="AR2473" s="120"/>
      <c r="AS2473" s="121"/>
      <c r="AT2473" s="120"/>
      <c r="AU2473" s="121"/>
      <c r="AV2473" s="120"/>
      <c r="AW2473" s="121"/>
      <c r="AX2473" s="120"/>
      <c r="AY2473" s="121"/>
      <c r="AZ2473" s="138"/>
    </row>
    <row r="2474" spans="1:52" ht="17.100000000000001" customHeight="1" thickTop="1">
      <c r="A2474" s="109" t="s">
        <v>8202</v>
      </c>
      <c r="B2474" s="28">
        <v>45943</v>
      </c>
      <c r="C2474" s="25"/>
      <c r="D2474" s="13" t="s">
        <v>1855</v>
      </c>
      <c r="E2474" s="111"/>
      <c r="F2474" s="113" t="s">
        <v>8234</v>
      </c>
      <c r="G2474" s="114"/>
      <c r="H2474" s="115"/>
      <c r="I2474" s="24" t="s">
        <v>8235</v>
      </c>
      <c r="J2474" s="116">
        <v>3.5</v>
      </c>
      <c r="K2474" s="118">
        <f>2321000/1.1</f>
        <v>2110000</v>
      </c>
      <c r="L2474" s="119"/>
      <c r="M2474" s="118">
        <f t="shared" ref="M2474" si="966">K2474*0.1</f>
        <v>211000</v>
      </c>
      <c r="N2474" s="119"/>
      <c r="O2474" s="118">
        <v>6600</v>
      </c>
      <c r="P2474" s="119"/>
      <c r="Q2474" s="118">
        <v>9550</v>
      </c>
      <c r="R2474" s="119"/>
      <c r="S2474" s="118">
        <v>113025</v>
      </c>
      <c r="T2474" s="119"/>
      <c r="U2474" s="118">
        <f t="shared" ref="U2474" si="967">SUM(K2474:T2475)</f>
        <v>2450175</v>
      </c>
      <c r="V2474" s="122"/>
      <c r="W2474" s="124"/>
      <c r="X2474" s="126" t="s">
        <v>9241</v>
      </c>
      <c r="Y2474" s="127"/>
      <c r="Z2474" s="127"/>
      <c r="AA2474" s="127"/>
      <c r="AB2474" s="128"/>
      <c r="AC2474" s="15" t="s">
        <v>20</v>
      </c>
      <c r="AD2474" s="129" t="s">
        <v>171</v>
      </c>
      <c r="AE2474" s="130"/>
      <c r="AF2474" s="130"/>
      <c r="AG2474" s="130"/>
      <c r="AH2474" s="130"/>
      <c r="AI2474" s="131"/>
      <c r="AJ2474" s="132"/>
      <c r="AK2474" s="127"/>
      <c r="AL2474" s="128"/>
      <c r="AM2474" s="21"/>
      <c r="AN2474" s="133">
        <v>45969</v>
      </c>
      <c r="AO2474" s="134"/>
      <c r="AP2474" s="135">
        <v>1275</v>
      </c>
      <c r="AQ2474" s="136"/>
      <c r="AR2474" s="118">
        <v>2445000</v>
      </c>
      <c r="AS2474" s="119"/>
      <c r="AT2474" s="118">
        <f t="shared" ref="AT2474" si="968">AR2474*0.1</f>
        <v>244500</v>
      </c>
      <c r="AU2474" s="119"/>
      <c r="AV2474" s="118">
        <v>9550</v>
      </c>
      <c r="AW2474" s="119"/>
      <c r="AX2474" s="118">
        <f t="shared" ref="AX2474" si="969">SUM(AR2474:AW2474)</f>
        <v>2699050</v>
      </c>
      <c r="AY2474" s="119"/>
      <c r="AZ2474" s="137">
        <v>45972</v>
      </c>
    </row>
    <row r="2475" spans="1:52" ht="17.100000000000001" customHeight="1" thickBot="1">
      <c r="A2475" s="110"/>
      <c r="B2475" s="27" t="s">
        <v>1718</v>
      </c>
      <c r="C2475" s="27" t="s">
        <v>8213</v>
      </c>
      <c r="D2475" s="14" t="s">
        <v>2601</v>
      </c>
      <c r="E2475" s="112"/>
      <c r="F2475" s="139" t="s">
        <v>8214</v>
      </c>
      <c r="G2475" s="140"/>
      <c r="H2475" s="141"/>
      <c r="I2475" s="26">
        <v>75803</v>
      </c>
      <c r="J2475" s="117"/>
      <c r="K2475" s="120"/>
      <c r="L2475" s="121"/>
      <c r="M2475" s="120"/>
      <c r="N2475" s="121"/>
      <c r="O2475" s="120"/>
      <c r="P2475" s="121"/>
      <c r="Q2475" s="120"/>
      <c r="R2475" s="121"/>
      <c r="S2475" s="120"/>
      <c r="T2475" s="121"/>
      <c r="U2475" s="120"/>
      <c r="V2475" s="123"/>
      <c r="W2475" s="125"/>
      <c r="X2475" s="142" t="s">
        <v>9242</v>
      </c>
      <c r="Y2475" s="143"/>
      <c r="Z2475" s="143"/>
      <c r="AA2475" s="143"/>
      <c r="AB2475" s="144"/>
      <c r="AC2475" s="16" t="s">
        <v>21</v>
      </c>
      <c r="AD2475" s="17" t="s">
        <v>9131</v>
      </c>
      <c r="AE2475" s="145" t="s">
        <v>2750</v>
      </c>
      <c r="AF2475" s="146"/>
      <c r="AG2475" s="146"/>
      <c r="AH2475" s="146"/>
      <c r="AI2475" s="147"/>
      <c r="AJ2475" s="148"/>
      <c r="AK2475" s="143"/>
      <c r="AL2475" s="144"/>
      <c r="AM2475" s="22"/>
      <c r="AN2475" s="149" t="s">
        <v>2511</v>
      </c>
      <c r="AO2475" s="144"/>
      <c r="AP2475" s="148">
        <v>40044</v>
      </c>
      <c r="AQ2475" s="144"/>
      <c r="AR2475" s="120"/>
      <c r="AS2475" s="121"/>
      <c r="AT2475" s="120"/>
      <c r="AU2475" s="121"/>
      <c r="AV2475" s="120"/>
      <c r="AW2475" s="121"/>
      <c r="AX2475" s="120"/>
      <c r="AY2475" s="121"/>
      <c r="AZ2475" s="138"/>
    </row>
    <row r="2476" spans="1:52" ht="17.100000000000001" customHeight="1" thickTop="1">
      <c r="A2476" s="109" t="s">
        <v>8236</v>
      </c>
      <c r="B2476" s="28">
        <v>45943</v>
      </c>
      <c r="C2476" s="25"/>
      <c r="D2476" s="13" t="s">
        <v>3440</v>
      </c>
      <c r="E2476" s="111"/>
      <c r="F2476" s="113" t="s">
        <v>8238</v>
      </c>
      <c r="G2476" s="114"/>
      <c r="H2476" s="115"/>
      <c r="I2476" s="24" t="s">
        <v>2858</v>
      </c>
      <c r="J2476" s="116"/>
      <c r="K2476" s="118">
        <v>50000</v>
      </c>
      <c r="L2476" s="119"/>
      <c r="M2476" s="118">
        <v>0</v>
      </c>
      <c r="N2476" s="119"/>
      <c r="O2476" s="118">
        <v>0</v>
      </c>
      <c r="P2476" s="119"/>
      <c r="Q2476" s="118">
        <v>0</v>
      </c>
      <c r="R2476" s="119"/>
      <c r="S2476" s="118">
        <v>0</v>
      </c>
      <c r="T2476" s="119"/>
      <c r="U2476" s="118">
        <f t="shared" ref="U2476" si="970">SUM(K2476:T2477)</f>
        <v>50000</v>
      </c>
      <c r="V2476" s="122"/>
      <c r="W2476" s="124"/>
      <c r="X2476" s="126" t="s">
        <v>8240</v>
      </c>
      <c r="Y2476" s="127"/>
      <c r="Z2476" s="127"/>
      <c r="AA2476" s="127"/>
      <c r="AB2476" s="128"/>
      <c r="AC2476" s="15" t="s">
        <v>20</v>
      </c>
      <c r="AD2476" s="129"/>
      <c r="AE2476" s="130"/>
      <c r="AF2476" s="130"/>
      <c r="AG2476" s="130"/>
      <c r="AH2476" s="130"/>
      <c r="AI2476" s="131"/>
      <c r="AJ2476" s="132"/>
      <c r="AK2476" s="127"/>
      <c r="AL2476" s="128"/>
      <c r="AM2476" s="21"/>
      <c r="AN2476" s="133">
        <v>45980</v>
      </c>
      <c r="AO2476" s="134"/>
      <c r="AP2476" s="135">
        <v>993</v>
      </c>
      <c r="AQ2476" s="136"/>
      <c r="AR2476" s="118">
        <v>48000</v>
      </c>
      <c r="AS2476" s="119"/>
      <c r="AT2476" s="118">
        <f t="shared" ref="AT2476" si="971">AR2476*0.1</f>
        <v>4800</v>
      </c>
      <c r="AU2476" s="119"/>
      <c r="AV2476" s="118">
        <v>8730</v>
      </c>
      <c r="AW2476" s="119"/>
      <c r="AX2476" s="118">
        <f t="shared" ref="AX2476" si="972">SUM(AR2476:AW2476)</f>
        <v>61530</v>
      </c>
      <c r="AY2476" s="119"/>
      <c r="AZ2476" s="137">
        <v>45986</v>
      </c>
    </row>
    <row r="2477" spans="1:52" ht="17.100000000000001" customHeight="1" thickBot="1">
      <c r="A2477" s="110"/>
      <c r="B2477" s="27" t="s">
        <v>8237</v>
      </c>
      <c r="C2477" s="27"/>
      <c r="D2477" s="14" t="s">
        <v>2800</v>
      </c>
      <c r="E2477" s="112"/>
      <c r="F2477" s="139" t="s">
        <v>8239</v>
      </c>
      <c r="G2477" s="140"/>
      <c r="H2477" s="141"/>
      <c r="I2477" s="26">
        <v>208681</v>
      </c>
      <c r="J2477" s="117"/>
      <c r="K2477" s="120"/>
      <c r="L2477" s="121"/>
      <c r="M2477" s="120"/>
      <c r="N2477" s="121"/>
      <c r="O2477" s="120"/>
      <c r="P2477" s="121"/>
      <c r="Q2477" s="120"/>
      <c r="R2477" s="121"/>
      <c r="S2477" s="120"/>
      <c r="T2477" s="121"/>
      <c r="U2477" s="120"/>
      <c r="V2477" s="123"/>
      <c r="W2477" s="125"/>
      <c r="X2477" s="142" t="s">
        <v>8241</v>
      </c>
      <c r="Y2477" s="143"/>
      <c r="Z2477" s="143"/>
      <c r="AA2477" s="143"/>
      <c r="AB2477" s="144"/>
      <c r="AC2477" s="16" t="s">
        <v>21</v>
      </c>
      <c r="AD2477" s="17" t="s">
        <v>1622</v>
      </c>
      <c r="AE2477" s="145" t="s">
        <v>171</v>
      </c>
      <c r="AF2477" s="146"/>
      <c r="AG2477" s="146"/>
      <c r="AH2477" s="146"/>
      <c r="AI2477" s="147"/>
      <c r="AJ2477" s="148"/>
      <c r="AK2477" s="143"/>
      <c r="AL2477" s="144"/>
      <c r="AM2477" s="22"/>
      <c r="AN2477" s="149" t="s">
        <v>2794</v>
      </c>
      <c r="AO2477" s="144"/>
      <c r="AP2477" s="148">
        <v>9065</v>
      </c>
      <c r="AQ2477" s="144"/>
      <c r="AR2477" s="120"/>
      <c r="AS2477" s="121"/>
      <c r="AT2477" s="120"/>
      <c r="AU2477" s="121"/>
      <c r="AV2477" s="120"/>
      <c r="AW2477" s="121"/>
      <c r="AX2477" s="120"/>
      <c r="AY2477" s="121"/>
      <c r="AZ2477" s="138"/>
    </row>
    <row r="2478" spans="1:52" ht="17.100000000000001" customHeight="1" thickTop="1">
      <c r="A2478" s="109" t="s">
        <v>8265</v>
      </c>
      <c r="B2478" s="28">
        <v>45943</v>
      </c>
      <c r="C2478" s="25">
        <v>59</v>
      </c>
      <c r="D2478" s="13" t="s">
        <v>2066</v>
      </c>
      <c r="E2478" s="111"/>
      <c r="F2478" s="113" t="s">
        <v>8263</v>
      </c>
      <c r="G2478" s="114"/>
      <c r="H2478" s="115"/>
      <c r="I2478" s="24" t="s">
        <v>2533</v>
      </c>
      <c r="J2478" s="116">
        <v>4</v>
      </c>
      <c r="K2478" s="118">
        <v>3245000</v>
      </c>
      <c r="L2478" s="119"/>
      <c r="M2478" s="118">
        <f t="shared" ref="M2478" si="973">K2478*0.1</f>
        <v>324500</v>
      </c>
      <c r="N2478" s="119"/>
      <c r="O2478" s="118">
        <f>6600+660</f>
        <v>7260</v>
      </c>
      <c r="P2478" s="119"/>
      <c r="Q2478" s="118">
        <v>11570</v>
      </c>
      <c r="R2478" s="119"/>
      <c r="S2478" s="118">
        <v>88000</v>
      </c>
      <c r="T2478" s="119"/>
      <c r="U2478" s="118">
        <f t="shared" ref="U2478" si="974">SUM(K2478:T2479)</f>
        <v>3676330</v>
      </c>
      <c r="V2478" s="122"/>
      <c r="W2478" s="124"/>
      <c r="X2478" s="126" t="s">
        <v>9886</v>
      </c>
      <c r="Y2478" s="127"/>
      <c r="Z2478" s="127"/>
      <c r="AA2478" s="127"/>
      <c r="AB2478" s="128"/>
      <c r="AC2478" s="15" t="s">
        <v>20</v>
      </c>
      <c r="AD2478" s="129" t="s">
        <v>1670</v>
      </c>
      <c r="AE2478" s="130"/>
      <c r="AF2478" s="130"/>
      <c r="AG2478" s="130"/>
      <c r="AH2478" s="130"/>
      <c r="AI2478" s="131"/>
      <c r="AJ2478" s="132"/>
      <c r="AK2478" s="127"/>
      <c r="AL2478" s="128"/>
      <c r="AM2478" s="21"/>
      <c r="AN2478" s="133">
        <v>45962</v>
      </c>
      <c r="AO2478" s="134"/>
      <c r="AP2478" s="135">
        <v>1274</v>
      </c>
      <c r="AQ2478" s="136"/>
      <c r="AR2478" s="118">
        <v>3495000</v>
      </c>
      <c r="AS2478" s="119"/>
      <c r="AT2478" s="118">
        <f t="shared" ref="AT2478" si="975">AR2478*0.1</f>
        <v>349500</v>
      </c>
      <c r="AU2478" s="119"/>
      <c r="AV2478" s="118">
        <v>11570</v>
      </c>
      <c r="AW2478" s="119"/>
      <c r="AX2478" s="118">
        <f t="shared" ref="AX2478" si="976">SUM(AR2478:AW2478)</f>
        <v>3856070</v>
      </c>
      <c r="AY2478" s="119"/>
      <c r="AZ2478" s="137">
        <v>45965</v>
      </c>
    </row>
    <row r="2479" spans="1:52" ht="17.100000000000001" customHeight="1" thickBot="1">
      <c r="A2479" s="110"/>
      <c r="B2479" s="27" t="s">
        <v>4544</v>
      </c>
      <c r="C2479" s="27">
        <v>1067</v>
      </c>
      <c r="D2479" s="14" t="s">
        <v>2601</v>
      </c>
      <c r="E2479" s="112"/>
      <c r="F2479" s="139" t="s">
        <v>8264</v>
      </c>
      <c r="G2479" s="140"/>
      <c r="H2479" s="141"/>
      <c r="I2479" s="26">
        <v>39954</v>
      </c>
      <c r="J2479" s="117"/>
      <c r="K2479" s="120"/>
      <c r="L2479" s="121"/>
      <c r="M2479" s="120"/>
      <c r="N2479" s="121"/>
      <c r="O2479" s="120"/>
      <c r="P2479" s="121"/>
      <c r="Q2479" s="120"/>
      <c r="R2479" s="121"/>
      <c r="S2479" s="120"/>
      <c r="T2479" s="121"/>
      <c r="U2479" s="120"/>
      <c r="V2479" s="123"/>
      <c r="W2479" s="125"/>
      <c r="X2479" s="142" t="s">
        <v>9887</v>
      </c>
      <c r="Y2479" s="143"/>
      <c r="Z2479" s="143"/>
      <c r="AA2479" s="143"/>
      <c r="AB2479" s="144"/>
      <c r="AC2479" s="16" t="s">
        <v>21</v>
      </c>
      <c r="AD2479" s="17" t="s">
        <v>9858</v>
      </c>
      <c r="AE2479" s="145" t="s">
        <v>1742</v>
      </c>
      <c r="AF2479" s="146"/>
      <c r="AG2479" s="146"/>
      <c r="AH2479" s="146"/>
      <c r="AI2479" s="147"/>
      <c r="AJ2479" s="148"/>
      <c r="AK2479" s="143"/>
      <c r="AL2479" s="144"/>
      <c r="AM2479" s="22"/>
      <c r="AN2479" s="149" t="s">
        <v>2511</v>
      </c>
      <c r="AO2479" s="144"/>
      <c r="AP2479" s="148">
        <v>40010</v>
      </c>
      <c r="AQ2479" s="144"/>
      <c r="AR2479" s="120"/>
      <c r="AS2479" s="121"/>
      <c r="AT2479" s="120"/>
      <c r="AU2479" s="121"/>
      <c r="AV2479" s="120"/>
      <c r="AW2479" s="121"/>
      <c r="AX2479" s="120"/>
      <c r="AY2479" s="121"/>
      <c r="AZ2479" s="138"/>
    </row>
    <row r="2480" spans="1:52" ht="17.100000000000001" customHeight="1" thickTop="1">
      <c r="A2480" s="109" t="s">
        <v>8340</v>
      </c>
      <c r="B2480" s="28">
        <v>45944</v>
      </c>
      <c r="C2480" s="25">
        <v>1913</v>
      </c>
      <c r="D2480" s="13" t="s">
        <v>2606</v>
      </c>
      <c r="E2480" s="111"/>
      <c r="F2480" s="113" t="s">
        <v>2598</v>
      </c>
      <c r="G2480" s="114"/>
      <c r="H2480" s="115"/>
      <c r="I2480" s="24" t="s">
        <v>4096</v>
      </c>
      <c r="J2480" s="116">
        <v>4.5</v>
      </c>
      <c r="K2480" s="118">
        <v>1086000</v>
      </c>
      <c r="L2480" s="119"/>
      <c r="M2480" s="118">
        <f t="shared" ref="M2480" si="977">K2480*0.1</f>
        <v>108600</v>
      </c>
      <c r="N2480" s="119"/>
      <c r="O2480" s="118">
        <v>0</v>
      </c>
      <c r="P2480" s="119"/>
      <c r="Q2480" s="118">
        <v>9080</v>
      </c>
      <c r="R2480" s="119"/>
      <c r="S2480" s="118">
        <v>15950</v>
      </c>
      <c r="T2480" s="119"/>
      <c r="U2480" s="118">
        <f t="shared" ref="U2480" si="978">SUM(K2480:T2481)</f>
        <v>1219630</v>
      </c>
      <c r="V2480" s="122"/>
      <c r="W2480" s="124"/>
      <c r="X2480" s="126" t="s">
        <v>8268</v>
      </c>
      <c r="Y2480" s="127"/>
      <c r="Z2480" s="127"/>
      <c r="AA2480" s="127"/>
      <c r="AB2480" s="128"/>
      <c r="AC2480" s="15" t="s">
        <v>20</v>
      </c>
      <c r="AD2480" s="129" t="s">
        <v>8269</v>
      </c>
      <c r="AE2480" s="130"/>
      <c r="AF2480" s="130"/>
      <c r="AG2480" s="130"/>
      <c r="AH2480" s="130"/>
      <c r="AI2480" s="131"/>
      <c r="AJ2480" s="132"/>
      <c r="AK2480" s="127"/>
      <c r="AL2480" s="128"/>
      <c r="AM2480" s="21"/>
      <c r="AN2480" s="133">
        <v>45955</v>
      </c>
      <c r="AO2480" s="134"/>
      <c r="AP2480" s="135">
        <v>1273</v>
      </c>
      <c r="AQ2480" s="136"/>
      <c r="AR2480" s="118">
        <v>1230000</v>
      </c>
      <c r="AS2480" s="119"/>
      <c r="AT2480" s="118">
        <f t="shared" ref="AT2480" si="979">AR2480*0.1</f>
        <v>123000</v>
      </c>
      <c r="AU2480" s="119"/>
      <c r="AV2480" s="118">
        <v>9080</v>
      </c>
      <c r="AW2480" s="119"/>
      <c r="AX2480" s="118">
        <f t="shared" ref="AX2480" si="980">SUM(AR2480:AW2480)</f>
        <v>1362080</v>
      </c>
      <c r="AY2480" s="119"/>
      <c r="AZ2480" s="137">
        <v>45958</v>
      </c>
    </row>
    <row r="2481" spans="1:52" ht="17.100000000000001" customHeight="1" thickBot="1">
      <c r="A2481" s="110"/>
      <c r="B2481" s="27" t="s">
        <v>2131</v>
      </c>
      <c r="C2481" s="27">
        <v>3200</v>
      </c>
      <c r="D2481" s="14" t="s">
        <v>275</v>
      </c>
      <c r="E2481" s="112"/>
      <c r="F2481" s="139" t="s">
        <v>8267</v>
      </c>
      <c r="G2481" s="140"/>
      <c r="H2481" s="141"/>
      <c r="I2481" s="26">
        <v>26961</v>
      </c>
      <c r="J2481" s="117"/>
      <c r="K2481" s="120"/>
      <c r="L2481" s="121"/>
      <c r="M2481" s="120"/>
      <c r="N2481" s="121"/>
      <c r="O2481" s="120"/>
      <c r="P2481" s="121"/>
      <c r="Q2481" s="120"/>
      <c r="R2481" s="121"/>
      <c r="S2481" s="120"/>
      <c r="T2481" s="121"/>
      <c r="U2481" s="120"/>
      <c r="V2481" s="123"/>
      <c r="W2481" s="125"/>
      <c r="X2481" s="142" t="s">
        <v>8796</v>
      </c>
      <c r="Y2481" s="143"/>
      <c r="Z2481" s="143"/>
      <c r="AA2481" s="143"/>
      <c r="AB2481" s="144"/>
      <c r="AC2481" s="16" t="s">
        <v>21</v>
      </c>
      <c r="AD2481" s="17" t="s">
        <v>8763</v>
      </c>
      <c r="AE2481" s="145" t="s">
        <v>171</v>
      </c>
      <c r="AF2481" s="146"/>
      <c r="AG2481" s="146"/>
      <c r="AH2481" s="146"/>
      <c r="AI2481" s="147"/>
      <c r="AJ2481" s="148"/>
      <c r="AK2481" s="143"/>
      <c r="AL2481" s="144"/>
      <c r="AM2481" s="22"/>
      <c r="AN2481" s="149" t="s">
        <v>2511</v>
      </c>
      <c r="AO2481" s="144"/>
      <c r="AP2481" s="148">
        <v>60125</v>
      </c>
      <c r="AQ2481" s="144"/>
      <c r="AR2481" s="120"/>
      <c r="AS2481" s="121"/>
      <c r="AT2481" s="120"/>
      <c r="AU2481" s="121"/>
      <c r="AV2481" s="120"/>
      <c r="AW2481" s="121"/>
      <c r="AX2481" s="120"/>
      <c r="AY2481" s="121"/>
      <c r="AZ2481" s="138"/>
    </row>
    <row r="2482" spans="1:52" ht="17.100000000000001" customHeight="1" thickTop="1">
      <c r="A2482" s="109" t="s">
        <v>8341</v>
      </c>
      <c r="B2482" s="28">
        <v>45944</v>
      </c>
      <c r="C2482" s="25">
        <v>1913</v>
      </c>
      <c r="D2482" s="13" t="s">
        <v>2084</v>
      </c>
      <c r="E2482" s="111"/>
      <c r="F2482" s="113" t="s">
        <v>8270</v>
      </c>
      <c r="G2482" s="114"/>
      <c r="H2482" s="115"/>
      <c r="I2482" s="24" t="s">
        <v>2064</v>
      </c>
      <c r="J2482" s="116">
        <v>4</v>
      </c>
      <c r="K2482" s="118">
        <v>968000</v>
      </c>
      <c r="L2482" s="119"/>
      <c r="M2482" s="118">
        <f t="shared" ref="M2482" si="981">K2482*0.1</f>
        <v>96800</v>
      </c>
      <c r="N2482" s="119"/>
      <c r="O2482" s="118">
        <v>0</v>
      </c>
      <c r="P2482" s="119"/>
      <c r="Q2482" s="118">
        <v>7960</v>
      </c>
      <c r="R2482" s="119"/>
      <c r="S2482" s="118">
        <v>15950</v>
      </c>
      <c r="T2482" s="119"/>
      <c r="U2482" s="118">
        <f t="shared" ref="U2482" si="982">SUM(K2482:T2483)</f>
        <v>1088710</v>
      </c>
      <c r="V2482" s="122"/>
      <c r="W2482" s="124"/>
      <c r="X2482" s="126" t="s">
        <v>8272</v>
      </c>
      <c r="Y2482" s="127"/>
      <c r="Z2482" s="127"/>
      <c r="AA2482" s="127"/>
      <c r="AB2482" s="128"/>
      <c r="AC2482" s="15" t="s">
        <v>20</v>
      </c>
      <c r="AD2482" s="129" t="s">
        <v>1670</v>
      </c>
      <c r="AE2482" s="130"/>
      <c r="AF2482" s="130"/>
      <c r="AG2482" s="130"/>
      <c r="AH2482" s="130"/>
      <c r="AI2482" s="131"/>
      <c r="AJ2482" s="153" t="s">
        <v>8949</v>
      </c>
      <c r="AK2482" s="127"/>
      <c r="AL2482" s="128"/>
      <c r="AM2482" s="21"/>
      <c r="AN2482" s="133">
        <v>45948</v>
      </c>
      <c r="AO2482" s="134"/>
      <c r="AP2482" s="135">
        <v>1272</v>
      </c>
      <c r="AQ2482" s="136"/>
      <c r="AR2482" s="118">
        <v>1090000</v>
      </c>
      <c r="AS2482" s="119"/>
      <c r="AT2482" s="118">
        <f t="shared" ref="AT2482" si="983">AR2482*0.1</f>
        <v>109000</v>
      </c>
      <c r="AU2482" s="119"/>
      <c r="AV2482" s="118">
        <v>7960</v>
      </c>
      <c r="AW2482" s="119"/>
      <c r="AX2482" s="118">
        <f t="shared" ref="AX2482" si="984">SUM(AR2482:AW2482)</f>
        <v>1206960</v>
      </c>
      <c r="AY2482" s="119"/>
      <c r="AZ2482" s="137">
        <v>45958</v>
      </c>
    </row>
    <row r="2483" spans="1:52" ht="17.100000000000001" customHeight="1" thickBot="1">
      <c r="A2483" s="110"/>
      <c r="B2483" s="27" t="s">
        <v>2131</v>
      </c>
      <c r="C2483" s="27">
        <v>3289</v>
      </c>
      <c r="D2483" s="14" t="s">
        <v>2601</v>
      </c>
      <c r="E2483" s="112"/>
      <c r="F2483" s="139" t="s">
        <v>8271</v>
      </c>
      <c r="G2483" s="140"/>
      <c r="H2483" s="141"/>
      <c r="I2483" s="26">
        <v>15591</v>
      </c>
      <c r="J2483" s="117"/>
      <c r="K2483" s="120"/>
      <c r="L2483" s="121"/>
      <c r="M2483" s="120"/>
      <c r="N2483" s="121"/>
      <c r="O2483" s="120"/>
      <c r="P2483" s="121"/>
      <c r="Q2483" s="120"/>
      <c r="R2483" s="121"/>
      <c r="S2483" s="120"/>
      <c r="T2483" s="121"/>
      <c r="U2483" s="120"/>
      <c r="V2483" s="123"/>
      <c r="W2483" s="125"/>
      <c r="X2483" s="142" t="s">
        <v>5254</v>
      </c>
      <c r="Y2483" s="143"/>
      <c r="Z2483" s="143"/>
      <c r="AA2483" s="143"/>
      <c r="AB2483" s="144"/>
      <c r="AC2483" s="16" t="s">
        <v>21</v>
      </c>
      <c r="AD2483" s="17" t="s">
        <v>1665</v>
      </c>
      <c r="AE2483" s="145" t="s">
        <v>8950</v>
      </c>
      <c r="AF2483" s="146"/>
      <c r="AG2483" s="146"/>
      <c r="AH2483" s="146"/>
      <c r="AI2483" s="147"/>
      <c r="AJ2483" s="148"/>
      <c r="AK2483" s="143"/>
      <c r="AL2483" s="144"/>
      <c r="AM2483" s="22"/>
      <c r="AN2483" s="149" t="s">
        <v>2511</v>
      </c>
      <c r="AO2483" s="144"/>
      <c r="AP2483" s="148">
        <v>60456</v>
      </c>
      <c r="AQ2483" s="144"/>
      <c r="AR2483" s="120"/>
      <c r="AS2483" s="121"/>
      <c r="AT2483" s="120"/>
      <c r="AU2483" s="121"/>
      <c r="AV2483" s="120"/>
      <c r="AW2483" s="121"/>
      <c r="AX2483" s="120"/>
      <c r="AY2483" s="121"/>
      <c r="AZ2483" s="138"/>
    </row>
    <row r="2484" spans="1:52" ht="17.100000000000001" customHeight="1" thickTop="1">
      <c r="A2484" s="109" t="s">
        <v>8342</v>
      </c>
      <c r="B2484" s="28">
        <v>45944</v>
      </c>
      <c r="C2484" s="25">
        <v>1913</v>
      </c>
      <c r="D2484" s="13" t="s">
        <v>2187</v>
      </c>
      <c r="E2484" s="111"/>
      <c r="F2484" s="113" t="s">
        <v>5196</v>
      </c>
      <c r="G2484" s="114"/>
      <c r="H2484" s="115"/>
      <c r="I2484" s="24"/>
      <c r="J2484" s="116">
        <v>4</v>
      </c>
      <c r="K2484" s="118">
        <v>307000</v>
      </c>
      <c r="L2484" s="119"/>
      <c r="M2484" s="118">
        <f t="shared" ref="M2484" si="985">K2484*0.1</f>
        <v>30700</v>
      </c>
      <c r="N2484" s="119"/>
      <c r="O2484" s="118">
        <v>0</v>
      </c>
      <c r="P2484" s="119"/>
      <c r="Q2484" s="118">
        <v>7140</v>
      </c>
      <c r="R2484" s="119"/>
      <c r="S2484" s="118">
        <v>15950</v>
      </c>
      <c r="T2484" s="119"/>
      <c r="U2484" s="118">
        <f t="shared" ref="U2484" si="986">SUM(K2484:T2485)</f>
        <v>360790</v>
      </c>
      <c r="V2484" s="122"/>
      <c r="W2484" s="124"/>
      <c r="X2484" s="126" t="s">
        <v>8704</v>
      </c>
      <c r="Y2484" s="127"/>
      <c r="Z2484" s="127"/>
      <c r="AA2484" s="127"/>
      <c r="AB2484" s="128"/>
      <c r="AC2484" s="15" t="s">
        <v>20</v>
      </c>
      <c r="AD2484" s="129"/>
      <c r="AE2484" s="130"/>
      <c r="AF2484" s="130"/>
      <c r="AG2484" s="130"/>
      <c r="AH2484" s="130"/>
      <c r="AI2484" s="131"/>
      <c r="AJ2484" s="132"/>
      <c r="AK2484" s="127"/>
      <c r="AL2484" s="128"/>
      <c r="AM2484" s="21"/>
      <c r="AN2484" s="133">
        <v>45976</v>
      </c>
      <c r="AO2484" s="134"/>
      <c r="AP2484" s="135">
        <v>1276</v>
      </c>
      <c r="AQ2484" s="136"/>
      <c r="AR2484" s="118">
        <v>365000</v>
      </c>
      <c r="AS2484" s="119"/>
      <c r="AT2484" s="118">
        <f t="shared" ref="AT2484" si="987">AR2484*0.1</f>
        <v>36500</v>
      </c>
      <c r="AU2484" s="119"/>
      <c r="AV2484" s="118">
        <v>7140</v>
      </c>
      <c r="AW2484" s="119"/>
      <c r="AX2484" s="118">
        <f t="shared" ref="AX2484" si="988">SUM(AR2484:AW2484)</f>
        <v>408640</v>
      </c>
      <c r="AY2484" s="119"/>
      <c r="AZ2484" s="137">
        <v>45979</v>
      </c>
    </row>
    <row r="2485" spans="1:52" ht="17.100000000000001" customHeight="1" thickBot="1">
      <c r="A2485" s="110"/>
      <c r="B2485" s="27" t="s">
        <v>2131</v>
      </c>
      <c r="C2485" s="27">
        <v>3442</v>
      </c>
      <c r="D2485" s="14" t="s">
        <v>1592</v>
      </c>
      <c r="E2485" s="112"/>
      <c r="F2485" s="139" t="s">
        <v>8273</v>
      </c>
      <c r="G2485" s="140"/>
      <c r="H2485" s="141"/>
      <c r="I2485" s="26">
        <v>58144</v>
      </c>
      <c r="J2485" s="117"/>
      <c r="K2485" s="120"/>
      <c r="L2485" s="121"/>
      <c r="M2485" s="120"/>
      <c r="N2485" s="121"/>
      <c r="O2485" s="120"/>
      <c r="P2485" s="121"/>
      <c r="Q2485" s="120"/>
      <c r="R2485" s="121"/>
      <c r="S2485" s="120"/>
      <c r="T2485" s="121"/>
      <c r="U2485" s="120"/>
      <c r="V2485" s="123"/>
      <c r="W2485" s="125"/>
      <c r="X2485" s="142" t="s">
        <v>8705</v>
      </c>
      <c r="Y2485" s="143"/>
      <c r="Z2485" s="143"/>
      <c r="AA2485" s="143"/>
      <c r="AB2485" s="144"/>
      <c r="AC2485" s="16" t="s">
        <v>21</v>
      </c>
      <c r="AD2485" s="17" t="s">
        <v>2171</v>
      </c>
      <c r="AE2485" s="145" t="s">
        <v>3624</v>
      </c>
      <c r="AF2485" s="146"/>
      <c r="AG2485" s="146"/>
      <c r="AH2485" s="146"/>
      <c r="AI2485" s="147"/>
      <c r="AJ2485" s="148"/>
      <c r="AK2485" s="143"/>
      <c r="AL2485" s="144"/>
      <c r="AM2485" s="22"/>
      <c r="AN2485" s="149" t="s">
        <v>10999</v>
      </c>
      <c r="AO2485" s="144"/>
      <c r="AP2485" s="148">
        <v>60273</v>
      </c>
      <c r="AQ2485" s="144"/>
      <c r="AR2485" s="120"/>
      <c r="AS2485" s="121"/>
      <c r="AT2485" s="120"/>
      <c r="AU2485" s="121"/>
      <c r="AV2485" s="120"/>
      <c r="AW2485" s="121"/>
      <c r="AX2485" s="120"/>
      <c r="AY2485" s="121"/>
      <c r="AZ2485" s="138"/>
    </row>
    <row r="2486" spans="1:52" ht="17.100000000000001" customHeight="1" thickTop="1">
      <c r="A2486" s="109" t="s">
        <v>8343</v>
      </c>
      <c r="B2486" s="28">
        <v>45944</v>
      </c>
      <c r="C2486" s="25">
        <v>1913</v>
      </c>
      <c r="D2486" s="13" t="s">
        <v>2458</v>
      </c>
      <c r="E2486" s="111"/>
      <c r="F2486" s="113" t="s">
        <v>8274</v>
      </c>
      <c r="G2486" s="114"/>
      <c r="H2486" s="115"/>
      <c r="I2486" s="24"/>
      <c r="J2486" s="116">
        <v>5</v>
      </c>
      <c r="K2486" s="118">
        <v>1749000</v>
      </c>
      <c r="L2486" s="119"/>
      <c r="M2486" s="118">
        <f t="shared" ref="M2486" si="989">K2486*0.1</f>
        <v>174900</v>
      </c>
      <c r="N2486" s="119"/>
      <c r="O2486" s="118">
        <v>0</v>
      </c>
      <c r="P2486" s="119"/>
      <c r="Q2486" s="118">
        <v>15180</v>
      </c>
      <c r="R2486" s="119"/>
      <c r="S2486" s="118">
        <v>15950</v>
      </c>
      <c r="T2486" s="119"/>
      <c r="U2486" s="118">
        <f t="shared" ref="U2486" si="990">SUM(K2486:T2487)</f>
        <v>1955030</v>
      </c>
      <c r="V2486" s="122"/>
      <c r="W2486" s="124"/>
      <c r="X2486" s="126" t="s">
        <v>9552</v>
      </c>
      <c r="Y2486" s="127"/>
      <c r="Z2486" s="127"/>
      <c r="AA2486" s="127"/>
      <c r="AB2486" s="128"/>
      <c r="AC2486" s="15" t="s">
        <v>20</v>
      </c>
      <c r="AD2486" s="129" t="s">
        <v>1670</v>
      </c>
      <c r="AE2486" s="130"/>
      <c r="AF2486" s="130"/>
      <c r="AG2486" s="130"/>
      <c r="AH2486" s="130"/>
      <c r="AI2486" s="131"/>
      <c r="AJ2486" s="132"/>
      <c r="AK2486" s="127"/>
      <c r="AL2486" s="128"/>
      <c r="AM2486" s="21"/>
      <c r="AN2486" s="133">
        <v>45955</v>
      </c>
      <c r="AO2486" s="134"/>
      <c r="AP2486" s="135">
        <v>1273</v>
      </c>
      <c r="AQ2486" s="136"/>
      <c r="AR2486" s="118">
        <v>1960000</v>
      </c>
      <c r="AS2486" s="119"/>
      <c r="AT2486" s="118">
        <f t="shared" ref="AT2486" si="991">AR2486*0.1</f>
        <v>196000</v>
      </c>
      <c r="AU2486" s="119"/>
      <c r="AV2486" s="118">
        <v>15180</v>
      </c>
      <c r="AW2486" s="119"/>
      <c r="AX2486" s="118">
        <f t="shared" ref="AX2486" si="992">SUM(AR2486:AW2486)</f>
        <v>2171180</v>
      </c>
      <c r="AY2486" s="119"/>
      <c r="AZ2486" s="137">
        <v>45960</v>
      </c>
    </row>
    <row r="2487" spans="1:52" ht="17.100000000000001" customHeight="1" thickBot="1">
      <c r="A2487" s="110"/>
      <c r="B2487" s="27" t="s">
        <v>2131</v>
      </c>
      <c r="C2487" s="27">
        <v>5013</v>
      </c>
      <c r="D2487" s="14" t="s">
        <v>1592</v>
      </c>
      <c r="E2487" s="112"/>
      <c r="F2487" s="139" t="s">
        <v>8275</v>
      </c>
      <c r="G2487" s="140"/>
      <c r="H2487" s="141"/>
      <c r="I2487" s="26">
        <v>40885</v>
      </c>
      <c r="J2487" s="117"/>
      <c r="K2487" s="120"/>
      <c r="L2487" s="121"/>
      <c r="M2487" s="120"/>
      <c r="N2487" s="121"/>
      <c r="O2487" s="120"/>
      <c r="P2487" s="121"/>
      <c r="Q2487" s="120"/>
      <c r="R2487" s="121"/>
      <c r="S2487" s="120"/>
      <c r="T2487" s="121"/>
      <c r="U2487" s="120"/>
      <c r="V2487" s="123"/>
      <c r="W2487" s="125"/>
      <c r="X2487" s="142" t="s">
        <v>9553</v>
      </c>
      <c r="Y2487" s="143"/>
      <c r="Z2487" s="143"/>
      <c r="AA2487" s="143"/>
      <c r="AB2487" s="144"/>
      <c r="AC2487" s="16" t="s">
        <v>21</v>
      </c>
      <c r="AD2487" s="17" t="s">
        <v>2171</v>
      </c>
      <c r="AE2487" s="145" t="s">
        <v>9056</v>
      </c>
      <c r="AF2487" s="146"/>
      <c r="AG2487" s="146"/>
      <c r="AH2487" s="146"/>
      <c r="AI2487" s="147"/>
      <c r="AJ2487" s="148"/>
      <c r="AK2487" s="143"/>
      <c r="AL2487" s="144"/>
      <c r="AM2487" s="22"/>
      <c r="AN2487" s="149" t="s">
        <v>2511</v>
      </c>
      <c r="AO2487" s="144"/>
      <c r="AP2487" s="148">
        <v>80015</v>
      </c>
      <c r="AQ2487" s="144"/>
      <c r="AR2487" s="120"/>
      <c r="AS2487" s="121"/>
      <c r="AT2487" s="120"/>
      <c r="AU2487" s="121"/>
      <c r="AV2487" s="120"/>
      <c r="AW2487" s="121"/>
      <c r="AX2487" s="120"/>
      <c r="AY2487" s="121"/>
      <c r="AZ2487" s="138"/>
    </row>
    <row r="2488" spans="1:52" ht="17.100000000000001" customHeight="1" thickTop="1">
      <c r="A2488" s="109" t="s">
        <v>8344</v>
      </c>
      <c r="B2488" s="28">
        <v>45944</v>
      </c>
      <c r="C2488" s="25">
        <v>1913</v>
      </c>
      <c r="D2488" s="13" t="s">
        <v>2187</v>
      </c>
      <c r="E2488" s="111"/>
      <c r="F2488" s="113" t="s">
        <v>4980</v>
      </c>
      <c r="G2488" s="114"/>
      <c r="H2488" s="115"/>
      <c r="I2488" s="24"/>
      <c r="J2488" s="116">
        <v>4</v>
      </c>
      <c r="K2488" s="118">
        <v>1059000</v>
      </c>
      <c r="L2488" s="119"/>
      <c r="M2488" s="118">
        <f t="shared" ref="M2488" si="993">K2488*0.1</f>
        <v>105900</v>
      </c>
      <c r="N2488" s="119"/>
      <c r="O2488" s="118">
        <v>0</v>
      </c>
      <c r="P2488" s="119"/>
      <c r="Q2488" s="118">
        <v>7440</v>
      </c>
      <c r="R2488" s="119"/>
      <c r="S2488" s="118">
        <v>15950</v>
      </c>
      <c r="T2488" s="119"/>
      <c r="U2488" s="118">
        <f t="shared" ref="U2488" si="994">SUM(K2488:T2489)</f>
        <v>1188290</v>
      </c>
      <c r="V2488" s="122"/>
      <c r="W2488" s="124"/>
      <c r="X2488" s="126" t="s">
        <v>9554</v>
      </c>
      <c r="Y2488" s="127"/>
      <c r="Z2488" s="127"/>
      <c r="AA2488" s="127"/>
      <c r="AB2488" s="128"/>
      <c r="AC2488" s="15" t="s">
        <v>20</v>
      </c>
      <c r="AD2488" s="129"/>
      <c r="AE2488" s="130"/>
      <c r="AF2488" s="130"/>
      <c r="AG2488" s="130"/>
      <c r="AH2488" s="130"/>
      <c r="AI2488" s="131"/>
      <c r="AJ2488" s="132"/>
      <c r="AK2488" s="127"/>
      <c r="AL2488" s="128"/>
      <c r="AM2488" s="21"/>
      <c r="AN2488" s="133">
        <v>46057</v>
      </c>
      <c r="AO2488" s="134"/>
      <c r="AP2488" s="135">
        <v>1003</v>
      </c>
      <c r="AQ2488" s="136"/>
      <c r="AR2488" s="118">
        <v>1050000</v>
      </c>
      <c r="AS2488" s="119"/>
      <c r="AT2488" s="118">
        <f t="shared" ref="AT2488" si="995">AR2488*0.1</f>
        <v>105000</v>
      </c>
      <c r="AU2488" s="119"/>
      <c r="AV2488" s="118">
        <v>7440</v>
      </c>
      <c r="AW2488" s="119"/>
      <c r="AX2488" s="118">
        <f t="shared" ref="AX2488" si="996">SUM(AR2488:AW2488)</f>
        <v>1162440</v>
      </c>
      <c r="AY2488" s="119"/>
      <c r="AZ2488" s="137">
        <v>46062</v>
      </c>
    </row>
    <row r="2489" spans="1:52" ht="17.100000000000001" customHeight="1" thickBot="1">
      <c r="A2489" s="110"/>
      <c r="B2489" s="27" t="s">
        <v>2131</v>
      </c>
      <c r="C2489" s="27">
        <v>62133</v>
      </c>
      <c r="D2489" s="14" t="s">
        <v>1592</v>
      </c>
      <c r="E2489" s="112"/>
      <c r="F2489" s="139" t="s">
        <v>8337</v>
      </c>
      <c r="G2489" s="140"/>
      <c r="H2489" s="141"/>
      <c r="I2489" s="26">
        <v>19950</v>
      </c>
      <c r="J2489" s="117"/>
      <c r="K2489" s="120"/>
      <c r="L2489" s="121"/>
      <c r="M2489" s="120"/>
      <c r="N2489" s="121"/>
      <c r="O2489" s="120"/>
      <c r="P2489" s="121"/>
      <c r="Q2489" s="120"/>
      <c r="R2489" s="121"/>
      <c r="S2489" s="120"/>
      <c r="T2489" s="121"/>
      <c r="U2489" s="120"/>
      <c r="V2489" s="123"/>
      <c r="W2489" s="125"/>
      <c r="X2489" s="142" t="s">
        <v>7450</v>
      </c>
      <c r="Y2489" s="143"/>
      <c r="Z2489" s="143"/>
      <c r="AA2489" s="143"/>
      <c r="AB2489" s="144"/>
      <c r="AC2489" s="16" t="s">
        <v>21</v>
      </c>
      <c r="AD2489" s="17" t="s">
        <v>2171</v>
      </c>
      <c r="AE2489" s="145"/>
      <c r="AF2489" s="146"/>
      <c r="AG2489" s="146"/>
      <c r="AH2489" s="146"/>
      <c r="AI2489" s="147"/>
      <c r="AJ2489" s="148"/>
      <c r="AK2489" s="143"/>
      <c r="AL2489" s="144"/>
      <c r="AM2489" s="22"/>
      <c r="AN2489" s="149" t="s">
        <v>2794</v>
      </c>
      <c r="AO2489" s="144"/>
      <c r="AP2489" s="148">
        <v>6049</v>
      </c>
      <c r="AQ2489" s="144"/>
      <c r="AR2489" s="120"/>
      <c r="AS2489" s="121"/>
      <c r="AT2489" s="120"/>
      <c r="AU2489" s="121"/>
      <c r="AV2489" s="120"/>
      <c r="AW2489" s="121"/>
      <c r="AX2489" s="120"/>
      <c r="AY2489" s="121"/>
      <c r="AZ2489" s="138"/>
    </row>
    <row r="2490" spans="1:52" ht="17.100000000000001" customHeight="1" thickTop="1">
      <c r="A2490" s="109" t="s">
        <v>8345</v>
      </c>
      <c r="B2490" s="28">
        <v>45944</v>
      </c>
      <c r="C2490" s="25">
        <v>1913</v>
      </c>
      <c r="D2490" s="13" t="s">
        <v>1902</v>
      </c>
      <c r="E2490" s="111"/>
      <c r="F2490" s="113" t="s">
        <v>4930</v>
      </c>
      <c r="G2490" s="114"/>
      <c r="H2490" s="115"/>
      <c r="I2490" s="24" t="s">
        <v>2861</v>
      </c>
      <c r="J2490" s="116">
        <v>4.5</v>
      </c>
      <c r="K2490" s="118">
        <v>490000</v>
      </c>
      <c r="L2490" s="119"/>
      <c r="M2490" s="118">
        <f t="shared" ref="M2490" si="997">K2490*0.1</f>
        <v>49000</v>
      </c>
      <c r="N2490" s="119"/>
      <c r="O2490" s="118">
        <v>0</v>
      </c>
      <c r="P2490" s="119"/>
      <c r="Q2490" s="118">
        <v>7140</v>
      </c>
      <c r="R2490" s="119"/>
      <c r="S2490" s="118">
        <v>15950</v>
      </c>
      <c r="T2490" s="119"/>
      <c r="U2490" s="118">
        <f t="shared" ref="U2490" si="998">SUM(K2490:T2491)</f>
        <v>562090</v>
      </c>
      <c r="V2490" s="122"/>
      <c r="W2490" s="124"/>
      <c r="X2490" s="126" t="s">
        <v>8339</v>
      </c>
      <c r="Y2490" s="127"/>
      <c r="Z2490" s="127"/>
      <c r="AA2490" s="127"/>
      <c r="AB2490" s="128"/>
      <c r="AC2490" s="15" t="s">
        <v>20</v>
      </c>
      <c r="AD2490" s="129"/>
      <c r="AE2490" s="130"/>
      <c r="AF2490" s="130"/>
      <c r="AG2490" s="130"/>
      <c r="AH2490" s="130"/>
      <c r="AI2490" s="131"/>
      <c r="AJ2490" s="132"/>
      <c r="AK2490" s="127"/>
      <c r="AL2490" s="128"/>
      <c r="AM2490" s="21" t="s">
        <v>10404</v>
      </c>
      <c r="AN2490" s="133">
        <v>45969</v>
      </c>
      <c r="AO2490" s="134"/>
      <c r="AP2490" s="135">
        <v>1275</v>
      </c>
      <c r="AQ2490" s="136"/>
      <c r="AR2490" s="118">
        <v>555000</v>
      </c>
      <c r="AS2490" s="119"/>
      <c r="AT2490" s="118">
        <f t="shared" ref="AT2490" si="999">AR2490*0.1</f>
        <v>55500</v>
      </c>
      <c r="AU2490" s="119"/>
      <c r="AV2490" s="118">
        <v>7140</v>
      </c>
      <c r="AW2490" s="119"/>
      <c r="AX2490" s="118">
        <f t="shared" ref="AX2490" si="1000">SUM(AR2490:AW2490)</f>
        <v>617640</v>
      </c>
      <c r="AY2490" s="119"/>
      <c r="AZ2490" s="137">
        <v>45974</v>
      </c>
    </row>
    <row r="2491" spans="1:52" ht="17.100000000000001" customHeight="1" thickBot="1">
      <c r="A2491" s="110"/>
      <c r="B2491" s="27" t="s">
        <v>2131</v>
      </c>
      <c r="C2491" s="27">
        <v>76029</v>
      </c>
      <c r="D2491" s="14" t="s">
        <v>1720</v>
      </c>
      <c r="E2491" s="112"/>
      <c r="F2491" s="139" t="s">
        <v>8338</v>
      </c>
      <c r="G2491" s="140"/>
      <c r="H2491" s="141"/>
      <c r="I2491" s="26">
        <v>52181</v>
      </c>
      <c r="J2491" s="117"/>
      <c r="K2491" s="120"/>
      <c r="L2491" s="121"/>
      <c r="M2491" s="120"/>
      <c r="N2491" s="121"/>
      <c r="O2491" s="120"/>
      <c r="P2491" s="121"/>
      <c r="Q2491" s="120"/>
      <c r="R2491" s="121"/>
      <c r="S2491" s="120"/>
      <c r="T2491" s="121"/>
      <c r="U2491" s="120"/>
      <c r="V2491" s="123"/>
      <c r="W2491" s="125"/>
      <c r="X2491" s="142" t="s">
        <v>7450</v>
      </c>
      <c r="Y2491" s="143"/>
      <c r="Z2491" s="143"/>
      <c r="AA2491" s="143"/>
      <c r="AB2491" s="144"/>
      <c r="AC2491" s="16" t="s">
        <v>21</v>
      </c>
      <c r="AD2491" s="17" t="s">
        <v>2171</v>
      </c>
      <c r="AE2491" s="145"/>
      <c r="AF2491" s="146"/>
      <c r="AG2491" s="146"/>
      <c r="AH2491" s="146"/>
      <c r="AI2491" s="147"/>
      <c r="AJ2491" s="148"/>
      <c r="AK2491" s="143"/>
      <c r="AL2491" s="144"/>
      <c r="AM2491" s="22"/>
      <c r="AN2491" s="149" t="s">
        <v>2511</v>
      </c>
      <c r="AO2491" s="144"/>
      <c r="AP2491" s="148">
        <v>60081</v>
      </c>
      <c r="AQ2491" s="144"/>
      <c r="AR2491" s="120"/>
      <c r="AS2491" s="121"/>
      <c r="AT2491" s="120"/>
      <c r="AU2491" s="121"/>
      <c r="AV2491" s="120"/>
      <c r="AW2491" s="121"/>
      <c r="AX2491" s="120"/>
      <c r="AY2491" s="121"/>
      <c r="AZ2491" s="138"/>
    </row>
    <row r="2492" spans="1:52" ht="17.100000000000001" customHeight="1" thickTop="1">
      <c r="A2492" s="109" t="s">
        <v>8346</v>
      </c>
      <c r="B2492" s="28">
        <v>45944</v>
      </c>
      <c r="C2492" s="25">
        <v>791</v>
      </c>
      <c r="D2492" s="13" t="s">
        <v>1937</v>
      </c>
      <c r="E2492" s="111"/>
      <c r="F2492" s="113" t="s">
        <v>8276</v>
      </c>
      <c r="G2492" s="114"/>
      <c r="H2492" s="115"/>
      <c r="I2492" s="24"/>
      <c r="J2492" s="116">
        <v>4</v>
      </c>
      <c r="K2492" s="118">
        <v>681000</v>
      </c>
      <c r="L2492" s="119"/>
      <c r="M2492" s="118">
        <f t="shared" ref="M2492" si="1001">K2492*0.1</f>
        <v>68100</v>
      </c>
      <c r="N2492" s="119"/>
      <c r="O2492" s="118">
        <v>0</v>
      </c>
      <c r="P2492" s="119"/>
      <c r="Q2492" s="118">
        <v>18570</v>
      </c>
      <c r="R2492" s="119"/>
      <c r="S2492" s="118">
        <v>15950</v>
      </c>
      <c r="T2492" s="119"/>
      <c r="U2492" s="118">
        <f t="shared" ref="U2492" si="1002">SUM(K2492:T2493)</f>
        <v>783620</v>
      </c>
      <c r="V2492" s="122"/>
      <c r="W2492" s="124"/>
      <c r="X2492" s="126" t="s">
        <v>8692</v>
      </c>
      <c r="Y2492" s="127"/>
      <c r="Z2492" s="127"/>
      <c r="AA2492" s="127"/>
      <c r="AB2492" s="128"/>
      <c r="AC2492" s="15" t="s">
        <v>20</v>
      </c>
      <c r="AD2492" s="129"/>
      <c r="AE2492" s="130"/>
      <c r="AF2492" s="130"/>
      <c r="AG2492" s="130"/>
      <c r="AH2492" s="130"/>
      <c r="AI2492" s="131"/>
      <c r="AJ2492" s="132"/>
      <c r="AK2492" s="127"/>
      <c r="AL2492" s="128"/>
      <c r="AM2492" s="21"/>
      <c r="AN2492" s="133">
        <v>45955</v>
      </c>
      <c r="AO2492" s="134"/>
      <c r="AP2492" s="135">
        <v>1273</v>
      </c>
      <c r="AQ2492" s="136"/>
      <c r="AR2492" s="118">
        <v>750000</v>
      </c>
      <c r="AS2492" s="119"/>
      <c r="AT2492" s="118">
        <f t="shared" ref="AT2492" si="1003">AR2492*0.1</f>
        <v>75000</v>
      </c>
      <c r="AU2492" s="119"/>
      <c r="AV2492" s="118">
        <v>18570</v>
      </c>
      <c r="AW2492" s="119"/>
      <c r="AX2492" s="118">
        <f t="shared" ref="AX2492" si="1004">SUM(AR2492:AW2492)</f>
        <v>843570</v>
      </c>
      <c r="AY2492" s="119"/>
      <c r="AZ2492" s="137">
        <v>45958</v>
      </c>
    </row>
    <row r="2493" spans="1:52" ht="17.100000000000001" customHeight="1" thickBot="1">
      <c r="A2493" s="110"/>
      <c r="B2493" s="27" t="s">
        <v>3367</v>
      </c>
      <c r="C2493" s="27">
        <v>71108</v>
      </c>
      <c r="D2493" s="14" t="s">
        <v>133</v>
      </c>
      <c r="E2493" s="112"/>
      <c r="F2493" s="139" t="s">
        <v>8277</v>
      </c>
      <c r="G2493" s="140"/>
      <c r="H2493" s="141"/>
      <c r="I2493" s="26">
        <v>59913</v>
      </c>
      <c r="J2493" s="117"/>
      <c r="K2493" s="120"/>
      <c r="L2493" s="121"/>
      <c r="M2493" s="120"/>
      <c r="N2493" s="121"/>
      <c r="O2493" s="120"/>
      <c r="P2493" s="121"/>
      <c r="Q2493" s="120"/>
      <c r="R2493" s="121"/>
      <c r="S2493" s="120"/>
      <c r="T2493" s="121"/>
      <c r="U2493" s="120"/>
      <c r="V2493" s="123"/>
      <c r="W2493" s="125"/>
      <c r="X2493" s="142" t="s">
        <v>8693</v>
      </c>
      <c r="Y2493" s="143"/>
      <c r="Z2493" s="143"/>
      <c r="AA2493" s="143"/>
      <c r="AB2493" s="144"/>
      <c r="AC2493" s="16" t="s">
        <v>21</v>
      </c>
      <c r="AD2493" s="17" t="s">
        <v>2171</v>
      </c>
      <c r="AE2493" s="145" t="s">
        <v>2195</v>
      </c>
      <c r="AF2493" s="146"/>
      <c r="AG2493" s="146"/>
      <c r="AH2493" s="146"/>
      <c r="AI2493" s="147"/>
      <c r="AJ2493" s="148"/>
      <c r="AK2493" s="143"/>
      <c r="AL2493" s="144"/>
      <c r="AM2493" s="22"/>
      <c r="AN2493" s="149" t="s">
        <v>2511</v>
      </c>
      <c r="AO2493" s="144"/>
      <c r="AP2493" s="148">
        <v>80011</v>
      </c>
      <c r="AQ2493" s="144"/>
      <c r="AR2493" s="120"/>
      <c r="AS2493" s="121"/>
      <c r="AT2493" s="120"/>
      <c r="AU2493" s="121"/>
      <c r="AV2493" s="120"/>
      <c r="AW2493" s="121"/>
      <c r="AX2493" s="120"/>
      <c r="AY2493" s="121"/>
      <c r="AZ2493" s="138"/>
    </row>
    <row r="2494" spans="1:52" ht="17.100000000000001" customHeight="1" thickTop="1">
      <c r="A2494" s="109" t="s">
        <v>8347</v>
      </c>
      <c r="B2494" s="28">
        <v>45944</v>
      </c>
      <c r="C2494" s="25">
        <v>911</v>
      </c>
      <c r="D2494" s="13" t="s">
        <v>2941</v>
      </c>
      <c r="E2494" s="111"/>
      <c r="F2494" s="113" t="s">
        <v>8278</v>
      </c>
      <c r="G2494" s="114"/>
      <c r="H2494" s="115"/>
      <c r="I2494" s="24"/>
      <c r="J2494" s="116">
        <v>4</v>
      </c>
      <c r="K2494" s="118">
        <v>970000</v>
      </c>
      <c r="L2494" s="119"/>
      <c r="M2494" s="118">
        <f t="shared" ref="M2494" si="1005">K2494*0.1</f>
        <v>97000</v>
      </c>
      <c r="N2494" s="119"/>
      <c r="O2494" s="118">
        <v>0</v>
      </c>
      <c r="P2494" s="119"/>
      <c r="Q2494" s="118">
        <v>9200</v>
      </c>
      <c r="R2494" s="119"/>
      <c r="S2494" s="118">
        <v>15950</v>
      </c>
      <c r="T2494" s="119"/>
      <c r="U2494" s="118">
        <f t="shared" ref="U2494" si="1006">SUM(K2494:T2495)</f>
        <v>1092150</v>
      </c>
      <c r="V2494" s="122"/>
      <c r="W2494" s="124"/>
      <c r="X2494" s="126" t="s">
        <v>8709</v>
      </c>
      <c r="Y2494" s="127"/>
      <c r="Z2494" s="127"/>
      <c r="AA2494" s="127"/>
      <c r="AB2494" s="128"/>
      <c r="AC2494" s="15" t="s">
        <v>20</v>
      </c>
      <c r="AD2494" s="129"/>
      <c r="AE2494" s="130"/>
      <c r="AF2494" s="130"/>
      <c r="AG2494" s="130"/>
      <c r="AH2494" s="130"/>
      <c r="AI2494" s="131"/>
      <c r="AJ2494" s="132"/>
      <c r="AK2494" s="127"/>
      <c r="AL2494" s="128"/>
      <c r="AM2494" s="21"/>
      <c r="AN2494" s="133">
        <v>45969</v>
      </c>
      <c r="AO2494" s="134"/>
      <c r="AP2494" s="135">
        <v>1275</v>
      </c>
      <c r="AQ2494" s="136"/>
      <c r="AR2494" s="118">
        <v>1045000</v>
      </c>
      <c r="AS2494" s="119"/>
      <c r="AT2494" s="118">
        <f t="shared" ref="AT2494" si="1007">AR2494*0.1</f>
        <v>104500</v>
      </c>
      <c r="AU2494" s="119"/>
      <c r="AV2494" s="118">
        <v>9200</v>
      </c>
      <c r="AW2494" s="119"/>
      <c r="AX2494" s="118">
        <f t="shared" ref="AX2494" si="1008">SUM(AR2494:AW2494)</f>
        <v>1158700</v>
      </c>
      <c r="AY2494" s="119"/>
      <c r="AZ2494" s="137">
        <v>45972</v>
      </c>
    </row>
    <row r="2495" spans="1:52" ht="17.100000000000001" customHeight="1" thickBot="1">
      <c r="A2495" s="110"/>
      <c r="B2495" s="27" t="s">
        <v>2699</v>
      </c>
      <c r="C2495" s="27">
        <v>3152</v>
      </c>
      <c r="D2495" s="14" t="s">
        <v>275</v>
      </c>
      <c r="E2495" s="112"/>
      <c r="F2495" s="139" t="s">
        <v>8279</v>
      </c>
      <c r="G2495" s="140"/>
      <c r="H2495" s="141"/>
      <c r="I2495" s="26">
        <v>58129</v>
      </c>
      <c r="J2495" s="117"/>
      <c r="K2495" s="120"/>
      <c r="L2495" s="121"/>
      <c r="M2495" s="120"/>
      <c r="N2495" s="121"/>
      <c r="O2495" s="120"/>
      <c r="P2495" s="121"/>
      <c r="Q2495" s="120"/>
      <c r="R2495" s="121"/>
      <c r="S2495" s="120"/>
      <c r="T2495" s="121"/>
      <c r="U2495" s="120"/>
      <c r="V2495" s="123"/>
      <c r="W2495" s="125"/>
      <c r="X2495" s="142" t="s">
        <v>8710</v>
      </c>
      <c r="Y2495" s="143"/>
      <c r="Z2495" s="143"/>
      <c r="AA2495" s="143"/>
      <c r="AB2495" s="144"/>
      <c r="AC2495" s="16" t="s">
        <v>21</v>
      </c>
      <c r="AD2495" s="17" t="s">
        <v>2171</v>
      </c>
      <c r="AE2495" s="145"/>
      <c r="AF2495" s="146"/>
      <c r="AG2495" s="146"/>
      <c r="AH2495" s="146"/>
      <c r="AI2495" s="147"/>
      <c r="AJ2495" s="148"/>
      <c r="AK2495" s="143"/>
      <c r="AL2495" s="144"/>
      <c r="AM2495" s="22"/>
      <c r="AN2495" s="149" t="s">
        <v>2511</v>
      </c>
      <c r="AO2495" s="144"/>
      <c r="AP2495" s="148">
        <v>60045</v>
      </c>
      <c r="AQ2495" s="144"/>
      <c r="AR2495" s="120"/>
      <c r="AS2495" s="121"/>
      <c r="AT2495" s="120"/>
      <c r="AU2495" s="121"/>
      <c r="AV2495" s="120"/>
      <c r="AW2495" s="121"/>
      <c r="AX2495" s="120"/>
      <c r="AY2495" s="121"/>
      <c r="AZ2495" s="138"/>
    </row>
    <row r="2496" spans="1:52" ht="17.100000000000001" customHeight="1" thickTop="1">
      <c r="A2496" s="109" t="s">
        <v>8348</v>
      </c>
      <c r="B2496" s="28">
        <v>45944</v>
      </c>
      <c r="C2496" s="25">
        <v>911</v>
      </c>
      <c r="D2496" s="13" t="s">
        <v>1937</v>
      </c>
      <c r="E2496" s="111"/>
      <c r="F2496" s="113" t="s">
        <v>4218</v>
      </c>
      <c r="G2496" s="114"/>
      <c r="H2496" s="115"/>
      <c r="I2496" s="24"/>
      <c r="J2496" s="116">
        <v>4</v>
      </c>
      <c r="K2496" s="118">
        <v>448000</v>
      </c>
      <c r="L2496" s="119"/>
      <c r="M2496" s="118">
        <f t="shared" ref="M2496" si="1009">K2496*0.1</f>
        <v>44800</v>
      </c>
      <c r="N2496" s="119"/>
      <c r="O2496" s="118">
        <v>0</v>
      </c>
      <c r="P2496" s="119"/>
      <c r="Q2496" s="118">
        <v>8460</v>
      </c>
      <c r="R2496" s="119"/>
      <c r="S2496" s="118">
        <v>15950</v>
      </c>
      <c r="T2496" s="119"/>
      <c r="U2496" s="118">
        <f t="shared" ref="U2496" si="1010">SUM(K2496:T2497)</f>
        <v>517210</v>
      </c>
      <c r="V2496" s="122"/>
      <c r="W2496" s="124"/>
      <c r="X2496" s="126" t="s">
        <v>8707</v>
      </c>
      <c r="Y2496" s="127"/>
      <c r="Z2496" s="127"/>
      <c r="AA2496" s="127"/>
      <c r="AB2496" s="128"/>
      <c r="AC2496" s="15" t="s">
        <v>20</v>
      </c>
      <c r="AD2496" s="129"/>
      <c r="AE2496" s="130"/>
      <c r="AF2496" s="130"/>
      <c r="AG2496" s="130"/>
      <c r="AH2496" s="130"/>
      <c r="AI2496" s="131"/>
      <c r="AJ2496" s="132"/>
      <c r="AK2496" s="127"/>
      <c r="AL2496" s="128"/>
      <c r="AM2496" s="21"/>
      <c r="AN2496" s="133">
        <v>45969</v>
      </c>
      <c r="AO2496" s="134"/>
      <c r="AP2496" s="135">
        <v>1275</v>
      </c>
      <c r="AQ2496" s="136"/>
      <c r="AR2496" s="118">
        <v>475000</v>
      </c>
      <c r="AS2496" s="119"/>
      <c r="AT2496" s="118">
        <f t="shared" ref="AT2496" si="1011">AR2496*0.1</f>
        <v>47500</v>
      </c>
      <c r="AU2496" s="119"/>
      <c r="AV2496" s="118">
        <v>8460</v>
      </c>
      <c r="AW2496" s="119"/>
      <c r="AX2496" s="118">
        <f t="shared" ref="AX2496" si="1012">SUM(AR2496:AW2496)</f>
        <v>530960</v>
      </c>
      <c r="AY2496" s="119"/>
      <c r="AZ2496" s="137">
        <v>45972</v>
      </c>
    </row>
    <row r="2497" spans="1:52" ht="17.100000000000001" customHeight="1" thickBot="1">
      <c r="A2497" s="110"/>
      <c r="B2497" s="27" t="s">
        <v>2699</v>
      </c>
      <c r="C2497" s="27">
        <v>3164</v>
      </c>
      <c r="D2497" s="14" t="s">
        <v>1720</v>
      </c>
      <c r="E2497" s="112"/>
      <c r="F2497" s="139" t="s">
        <v>8280</v>
      </c>
      <c r="G2497" s="140"/>
      <c r="H2497" s="141"/>
      <c r="I2497" s="26">
        <v>29941</v>
      </c>
      <c r="J2497" s="117"/>
      <c r="K2497" s="120"/>
      <c r="L2497" s="121"/>
      <c r="M2497" s="120"/>
      <c r="N2497" s="121"/>
      <c r="O2497" s="120"/>
      <c r="P2497" s="121"/>
      <c r="Q2497" s="120"/>
      <c r="R2497" s="121"/>
      <c r="S2497" s="120"/>
      <c r="T2497" s="121"/>
      <c r="U2497" s="120"/>
      <c r="V2497" s="123"/>
      <c r="W2497" s="125"/>
      <c r="X2497" s="142" t="s">
        <v>8708</v>
      </c>
      <c r="Y2497" s="143"/>
      <c r="Z2497" s="143"/>
      <c r="AA2497" s="143"/>
      <c r="AB2497" s="144"/>
      <c r="AC2497" s="16" t="s">
        <v>21</v>
      </c>
      <c r="AD2497" s="17" t="s">
        <v>2171</v>
      </c>
      <c r="AE2497" s="145" t="s">
        <v>4938</v>
      </c>
      <c r="AF2497" s="146"/>
      <c r="AG2497" s="146"/>
      <c r="AH2497" s="146"/>
      <c r="AI2497" s="147"/>
      <c r="AJ2497" s="148"/>
      <c r="AK2497" s="143"/>
      <c r="AL2497" s="144"/>
      <c r="AM2497" s="22"/>
      <c r="AN2497" s="149" t="s">
        <v>2511</v>
      </c>
      <c r="AO2497" s="144"/>
      <c r="AP2497" s="148">
        <v>60155</v>
      </c>
      <c r="AQ2497" s="144"/>
      <c r="AR2497" s="120"/>
      <c r="AS2497" s="121"/>
      <c r="AT2497" s="120"/>
      <c r="AU2497" s="121"/>
      <c r="AV2497" s="120"/>
      <c r="AW2497" s="121"/>
      <c r="AX2497" s="120"/>
      <c r="AY2497" s="121"/>
      <c r="AZ2497" s="138"/>
    </row>
    <row r="2498" spans="1:52" ht="17.100000000000001" customHeight="1" thickTop="1">
      <c r="A2498" s="109" t="s">
        <v>8349</v>
      </c>
      <c r="B2498" s="28">
        <v>45944</v>
      </c>
      <c r="C2498" s="25">
        <v>911</v>
      </c>
      <c r="D2498" s="13" t="s">
        <v>1879</v>
      </c>
      <c r="E2498" s="111"/>
      <c r="F2498" s="113" t="s">
        <v>5435</v>
      </c>
      <c r="G2498" s="114"/>
      <c r="H2498" s="115"/>
      <c r="I2498" s="24" t="s">
        <v>2526</v>
      </c>
      <c r="J2498" s="116">
        <v>4</v>
      </c>
      <c r="K2498" s="118">
        <v>222000</v>
      </c>
      <c r="L2498" s="119"/>
      <c r="M2498" s="118">
        <f t="shared" ref="M2498" si="1013">K2498*0.1</f>
        <v>22200</v>
      </c>
      <c r="N2498" s="119"/>
      <c r="O2498" s="118">
        <v>0</v>
      </c>
      <c r="P2498" s="119"/>
      <c r="Q2498" s="118">
        <v>9170</v>
      </c>
      <c r="R2498" s="119"/>
      <c r="S2498" s="118">
        <v>15950</v>
      </c>
      <c r="T2498" s="119"/>
      <c r="U2498" s="118">
        <f t="shared" ref="U2498" si="1014">SUM(K2498:T2499)</f>
        <v>269320</v>
      </c>
      <c r="V2498" s="122"/>
      <c r="W2498" s="124"/>
      <c r="X2498" s="126" t="s">
        <v>8282</v>
      </c>
      <c r="Y2498" s="127"/>
      <c r="Z2498" s="127"/>
      <c r="AA2498" s="127"/>
      <c r="AB2498" s="128"/>
      <c r="AC2498" s="15" t="s">
        <v>20</v>
      </c>
      <c r="AD2498" s="129"/>
      <c r="AE2498" s="130"/>
      <c r="AF2498" s="130"/>
      <c r="AG2498" s="130"/>
      <c r="AH2498" s="130"/>
      <c r="AI2498" s="131"/>
      <c r="AJ2498" s="132"/>
      <c r="AK2498" s="127"/>
      <c r="AL2498" s="128"/>
      <c r="AM2498" s="21" t="s">
        <v>10401</v>
      </c>
      <c r="AN2498" s="133">
        <v>45969</v>
      </c>
      <c r="AO2498" s="134"/>
      <c r="AP2498" s="135">
        <v>1275</v>
      </c>
      <c r="AQ2498" s="136"/>
      <c r="AR2498" s="118">
        <v>295000</v>
      </c>
      <c r="AS2498" s="119"/>
      <c r="AT2498" s="118">
        <f t="shared" ref="AT2498" si="1015">AR2498*0.1</f>
        <v>29500</v>
      </c>
      <c r="AU2498" s="119"/>
      <c r="AV2498" s="118">
        <v>9170</v>
      </c>
      <c r="AW2498" s="119"/>
      <c r="AX2498" s="118">
        <f t="shared" ref="AX2498" si="1016">SUM(AR2498:AW2498)</f>
        <v>333670</v>
      </c>
      <c r="AY2498" s="119"/>
      <c r="AZ2498" s="137">
        <v>45974</v>
      </c>
    </row>
    <row r="2499" spans="1:52" ht="17.100000000000001" customHeight="1" thickBot="1">
      <c r="A2499" s="110"/>
      <c r="B2499" s="27" t="s">
        <v>2699</v>
      </c>
      <c r="C2499" s="27">
        <v>4031</v>
      </c>
      <c r="D2499" s="14" t="s">
        <v>1576</v>
      </c>
      <c r="E2499" s="112"/>
      <c r="F2499" s="139" t="s">
        <v>8281</v>
      </c>
      <c r="G2499" s="140"/>
      <c r="H2499" s="141"/>
      <c r="I2499" s="26">
        <v>39504</v>
      </c>
      <c r="J2499" s="117"/>
      <c r="K2499" s="120"/>
      <c r="L2499" s="121"/>
      <c r="M2499" s="120"/>
      <c r="N2499" s="121"/>
      <c r="O2499" s="120"/>
      <c r="P2499" s="121"/>
      <c r="Q2499" s="120"/>
      <c r="R2499" s="121"/>
      <c r="S2499" s="120"/>
      <c r="T2499" s="121"/>
      <c r="U2499" s="120"/>
      <c r="V2499" s="123"/>
      <c r="W2499" s="125"/>
      <c r="X2499" s="142" t="s">
        <v>8706</v>
      </c>
      <c r="Y2499" s="143"/>
      <c r="Z2499" s="143"/>
      <c r="AA2499" s="143"/>
      <c r="AB2499" s="144"/>
      <c r="AC2499" s="16" t="s">
        <v>21</v>
      </c>
      <c r="AD2499" s="17" t="s">
        <v>2171</v>
      </c>
      <c r="AE2499" s="145"/>
      <c r="AF2499" s="146"/>
      <c r="AG2499" s="146"/>
      <c r="AH2499" s="146"/>
      <c r="AI2499" s="147"/>
      <c r="AJ2499" s="148"/>
      <c r="AK2499" s="143"/>
      <c r="AL2499" s="144"/>
      <c r="AM2499" s="22"/>
      <c r="AN2499" s="149" t="s">
        <v>2511</v>
      </c>
      <c r="AO2499" s="144"/>
      <c r="AP2499" s="148">
        <v>60073</v>
      </c>
      <c r="AQ2499" s="144"/>
      <c r="AR2499" s="120"/>
      <c r="AS2499" s="121"/>
      <c r="AT2499" s="120"/>
      <c r="AU2499" s="121"/>
      <c r="AV2499" s="120"/>
      <c r="AW2499" s="121"/>
      <c r="AX2499" s="120"/>
      <c r="AY2499" s="121"/>
      <c r="AZ2499" s="138"/>
    </row>
    <row r="2500" spans="1:52" ht="17.100000000000001" customHeight="1" thickTop="1">
      <c r="A2500" s="109" t="s">
        <v>8350</v>
      </c>
      <c r="B2500" s="28">
        <v>45944</v>
      </c>
      <c r="C2500" s="25">
        <v>911</v>
      </c>
      <c r="D2500" s="13" t="s">
        <v>1758</v>
      </c>
      <c r="E2500" s="111"/>
      <c r="F2500" s="113" t="s">
        <v>8283</v>
      </c>
      <c r="G2500" s="114"/>
      <c r="H2500" s="115"/>
      <c r="I2500" s="24" t="s">
        <v>2533</v>
      </c>
      <c r="J2500" s="116">
        <v>4</v>
      </c>
      <c r="K2500" s="118">
        <v>1801000</v>
      </c>
      <c r="L2500" s="119"/>
      <c r="M2500" s="118">
        <f t="shared" ref="M2500" si="1017">K2500*0.1</f>
        <v>180100</v>
      </c>
      <c r="N2500" s="119"/>
      <c r="O2500" s="118">
        <v>23320</v>
      </c>
      <c r="P2500" s="119"/>
      <c r="Q2500" s="118">
        <v>25460</v>
      </c>
      <c r="R2500" s="119"/>
      <c r="S2500" s="118">
        <v>15950</v>
      </c>
      <c r="T2500" s="119"/>
      <c r="U2500" s="118">
        <f t="shared" ref="U2500" si="1018">SUM(K2500:T2501)</f>
        <v>2045830</v>
      </c>
      <c r="V2500" s="122"/>
      <c r="W2500" s="124"/>
      <c r="X2500" s="126" t="s">
        <v>8285</v>
      </c>
      <c r="Y2500" s="127"/>
      <c r="Z2500" s="127"/>
      <c r="AA2500" s="127"/>
      <c r="AB2500" s="128"/>
      <c r="AC2500" s="15" t="s">
        <v>20</v>
      </c>
      <c r="AD2500" s="129"/>
      <c r="AE2500" s="130"/>
      <c r="AF2500" s="130"/>
      <c r="AG2500" s="130"/>
      <c r="AH2500" s="130"/>
      <c r="AI2500" s="131"/>
      <c r="AJ2500" s="132"/>
      <c r="AK2500" s="127"/>
      <c r="AL2500" s="128"/>
      <c r="AM2500" s="21"/>
      <c r="AN2500" s="133">
        <v>45969</v>
      </c>
      <c r="AO2500" s="134"/>
      <c r="AP2500" s="135">
        <v>1275</v>
      </c>
      <c r="AQ2500" s="136"/>
      <c r="AR2500" s="118">
        <v>1895000</v>
      </c>
      <c r="AS2500" s="119"/>
      <c r="AT2500" s="118">
        <f t="shared" ref="AT2500" si="1019">AR2500*0.1</f>
        <v>189500</v>
      </c>
      <c r="AU2500" s="119"/>
      <c r="AV2500" s="118">
        <v>25460</v>
      </c>
      <c r="AW2500" s="119"/>
      <c r="AX2500" s="118">
        <f t="shared" ref="AX2500" si="1020">SUM(AR2500:AW2500)</f>
        <v>2109960</v>
      </c>
      <c r="AY2500" s="119"/>
      <c r="AZ2500" s="137">
        <v>45972</v>
      </c>
    </row>
    <row r="2501" spans="1:52" ht="17.100000000000001" customHeight="1" thickBot="1">
      <c r="A2501" s="110"/>
      <c r="B2501" s="27" t="s">
        <v>2699</v>
      </c>
      <c r="C2501" s="27">
        <v>5001</v>
      </c>
      <c r="D2501" s="14" t="s">
        <v>275</v>
      </c>
      <c r="E2501" s="112"/>
      <c r="F2501" s="139" t="s">
        <v>8284</v>
      </c>
      <c r="G2501" s="140"/>
      <c r="H2501" s="141"/>
      <c r="I2501" s="26">
        <v>20816</v>
      </c>
      <c r="J2501" s="117"/>
      <c r="K2501" s="120"/>
      <c r="L2501" s="121"/>
      <c r="M2501" s="120"/>
      <c r="N2501" s="121"/>
      <c r="O2501" s="120"/>
      <c r="P2501" s="121"/>
      <c r="Q2501" s="120"/>
      <c r="R2501" s="121"/>
      <c r="S2501" s="120"/>
      <c r="T2501" s="121"/>
      <c r="U2501" s="120"/>
      <c r="V2501" s="123"/>
      <c r="W2501" s="125"/>
      <c r="X2501" s="142" t="s">
        <v>3007</v>
      </c>
      <c r="Y2501" s="143"/>
      <c r="Z2501" s="143"/>
      <c r="AA2501" s="143"/>
      <c r="AB2501" s="144"/>
      <c r="AC2501" s="16" t="s">
        <v>21</v>
      </c>
      <c r="AD2501" s="17" t="s">
        <v>2171</v>
      </c>
      <c r="AE2501" s="145" t="s">
        <v>7859</v>
      </c>
      <c r="AF2501" s="146"/>
      <c r="AG2501" s="146"/>
      <c r="AH2501" s="146"/>
      <c r="AI2501" s="147"/>
      <c r="AJ2501" s="148"/>
      <c r="AK2501" s="143"/>
      <c r="AL2501" s="144"/>
      <c r="AM2501" s="22"/>
      <c r="AN2501" s="149" t="s">
        <v>2511</v>
      </c>
      <c r="AO2501" s="144"/>
      <c r="AP2501" s="148">
        <v>80052</v>
      </c>
      <c r="AQ2501" s="144"/>
      <c r="AR2501" s="120"/>
      <c r="AS2501" s="121"/>
      <c r="AT2501" s="120"/>
      <c r="AU2501" s="121"/>
      <c r="AV2501" s="120"/>
      <c r="AW2501" s="121"/>
      <c r="AX2501" s="120"/>
      <c r="AY2501" s="121"/>
      <c r="AZ2501" s="138"/>
    </row>
    <row r="2502" spans="1:52" ht="17.100000000000001" customHeight="1" thickTop="1">
      <c r="A2502" s="109" t="s">
        <v>8351</v>
      </c>
      <c r="B2502" s="28">
        <v>45944</v>
      </c>
      <c r="C2502" s="25">
        <v>911</v>
      </c>
      <c r="D2502" s="13" t="s">
        <v>1958</v>
      </c>
      <c r="E2502" s="111"/>
      <c r="F2502" s="113" t="s">
        <v>2724</v>
      </c>
      <c r="G2502" s="114"/>
      <c r="H2502" s="115"/>
      <c r="I2502" s="24"/>
      <c r="J2502" s="116">
        <v>4.5</v>
      </c>
      <c r="K2502" s="118">
        <v>1323000</v>
      </c>
      <c r="L2502" s="119"/>
      <c r="M2502" s="118">
        <f t="shared" ref="M2502" si="1021">K2502*0.1</f>
        <v>132300</v>
      </c>
      <c r="N2502" s="119"/>
      <c r="O2502" s="118">
        <v>0</v>
      </c>
      <c r="P2502" s="119"/>
      <c r="Q2502" s="118">
        <v>17700</v>
      </c>
      <c r="R2502" s="119"/>
      <c r="S2502" s="118">
        <v>15950</v>
      </c>
      <c r="T2502" s="119"/>
      <c r="U2502" s="118">
        <f t="shared" ref="U2502" si="1022">SUM(K2502:T2503)</f>
        <v>1488950</v>
      </c>
      <c r="V2502" s="122"/>
      <c r="W2502" s="124"/>
      <c r="X2502" s="126" t="s">
        <v>8691</v>
      </c>
      <c r="Y2502" s="127"/>
      <c r="Z2502" s="127"/>
      <c r="AA2502" s="127"/>
      <c r="AB2502" s="128"/>
      <c r="AC2502" s="15" t="s">
        <v>20</v>
      </c>
      <c r="AD2502" s="129"/>
      <c r="AE2502" s="130"/>
      <c r="AF2502" s="130"/>
      <c r="AG2502" s="130"/>
      <c r="AH2502" s="130"/>
      <c r="AI2502" s="131"/>
      <c r="AJ2502" s="132"/>
      <c r="AK2502" s="127"/>
      <c r="AL2502" s="128"/>
      <c r="AM2502" s="21"/>
      <c r="AN2502" s="133">
        <v>45962</v>
      </c>
      <c r="AO2502" s="134"/>
      <c r="AP2502" s="135">
        <v>1274</v>
      </c>
      <c r="AQ2502" s="136"/>
      <c r="AR2502" s="118">
        <v>1450000</v>
      </c>
      <c r="AS2502" s="119"/>
      <c r="AT2502" s="118">
        <f t="shared" ref="AT2502" si="1023">AR2502*0.1</f>
        <v>145000</v>
      </c>
      <c r="AU2502" s="119"/>
      <c r="AV2502" s="118">
        <v>17700</v>
      </c>
      <c r="AW2502" s="119"/>
      <c r="AX2502" s="118">
        <f t="shared" ref="AX2502" si="1024">SUM(AR2502:AW2502)</f>
        <v>1612700</v>
      </c>
      <c r="AY2502" s="119"/>
      <c r="AZ2502" s="137">
        <v>45965</v>
      </c>
    </row>
    <row r="2503" spans="1:52" ht="17.100000000000001" customHeight="1" thickBot="1">
      <c r="A2503" s="110"/>
      <c r="B2503" s="27" t="s">
        <v>2699</v>
      </c>
      <c r="C2503" s="27">
        <v>5013</v>
      </c>
      <c r="D2503" s="14" t="s">
        <v>133</v>
      </c>
      <c r="E2503" s="112"/>
      <c r="F2503" s="139" t="s">
        <v>8286</v>
      </c>
      <c r="G2503" s="140"/>
      <c r="H2503" s="141"/>
      <c r="I2503" s="26">
        <v>52799</v>
      </c>
      <c r="J2503" s="117"/>
      <c r="K2503" s="120"/>
      <c r="L2503" s="121"/>
      <c r="M2503" s="120"/>
      <c r="N2503" s="121"/>
      <c r="O2503" s="120"/>
      <c r="P2503" s="121"/>
      <c r="Q2503" s="120"/>
      <c r="R2503" s="121"/>
      <c r="S2503" s="120"/>
      <c r="T2503" s="121"/>
      <c r="U2503" s="120"/>
      <c r="V2503" s="123"/>
      <c r="W2503" s="125"/>
      <c r="X2503" s="142" t="s">
        <v>8690</v>
      </c>
      <c r="Y2503" s="143"/>
      <c r="Z2503" s="143"/>
      <c r="AA2503" s="143"/>
      <c r="AB2503" s="144"/>
      <c r="AC2503" s="16" t="s">
        <v>21</v>
      </c>
      <c r="AD2503" s="17" t="s">
        <v>2171</v>
      </c>
      <c r="AE2503" s="145" t="s">
        <v>7861</v>
      </c>
      <c r="AF2503" s="146"/>
      <c r="AG2503" s="146"/>
      <c r="AH2503" s="146"/>
      <c r="AI2503" s="147"/>
      <c r="AJ2503" s="148"/>
      <c r="AK2503" s="143"/>
      <c r="AL2503" s="144"/>
      <c r="AM2503" s="22"/>
      <c r="AN2503" s="149" t="s">
        <v>2511</v>
      </c>
      <c r="AO2503" s="144"/>
      <c r="AP2503" s="148">
        <v>80090</v>
      </c>
      <c r="AQ2503" s="144"/>
      <c r="AR2503" s="120"/>
      <c r="AS2503" s="121"/>
      <c r="AT2503" s="120"/>
      <c r="AU2503" s="121"/>
      <c r="AV2503" s="120"/>
      <c r="AW2503" s="121"/>
      <c r="AX2503" s="120"/>
      <c r="AY2503" s="121"/>
      <c r="AZ2503" s="138"/>
    </row>
    <row r="2504" spans="1:52" ht="17.100000000000001" customHeight="1" thickTop="1">
      <c r="A2504" s="109" t="s">
        <v>8352</v>
      </c>
      <c r="B2504" s="28">
        <v>45944</v>
      </c>
      <c r="C2504" s="25">
        <v>911</v>
      </c>
      <c r="D2504" s="13" t="s">
        <v>2187</v>
      </c>
      <c r="E2504" s="111"/>
      <c r="F2504" s="113" t="s">
        <v>8287</v>
      </c>
      <c r="G2504" s="114"/>
      <c r="H2504" s="115"/>
      <c r="I2504" s="24"/>
      <c r="J2504" s="116">
        <v>4</v>
      </c>
      <c r="K2504" s="118">
        <v>1086000</v>
      </c>
      <c r="L2504" s="119"/>
      <c r="M2504" s="118">
        <v>0</v>
      </c>
      <c r="N2504" s="119"/>
      <c r="O2504" s="118">
        <v>0</v>
      </c>
      <c r="P2504" s="119"/>
      <c r="Q2504" s="118">
        <v>9120</v>
      </c>
      <c r="R2504" s="119"/>
      <c r="S2504" s="118">
        <v>15950</v>
      </c>
      <c r="T2504" s="119"/>
      <c r="U2504" s="118">
        <f t="shared" ref="U2504" si="1025">SUM(K2504:T2505)</f>
        <v>1111070</v>
      </c>
      <c r="V2504" s="122"/>
      <c r="W2504" s="124"/>
      <c r="X2504" s="126" t="s">
        <v>8711</v>
      </c>
      <c r="Y2504" s="127"/>
      <c r="Z2504" s="127"/>
      <c r="AA2504" s="127"/>
      <c r="AB2504" s="128"/>
      <c r="AC2504" s="15" t="s">
        <v>20</v>
      </c>
      <c r="AD2504" s="129"/>
      <c r="AE2504" s="130"/>
      <c r="AF2504" s="130"/>
      <c r="AG2504" s="130"/>
      <c r="AH2504" s="130"/>
      <c r="AI2504" s="131"/>
      <c r="AJ2504" s="132"/>
      <c r="AK2504" s="127"/>
      <c r="AL2504" s="128"/>
      <c r="AM2504" s="21"/>
      <c r="AN2504" s="133">
        <v>45948</v>
      </c>
      <c r="AO2504" s="134"/>
      <c r="AP2504" s="135">
        <v>1272</v>
      </c>
      <c r="AQ2504" s="136"/>
      <c r="AR2504" s="118">
        <v>1105000</v>
      </c>
      <c r="AS2504" s="119"/>
      <c r="AT2504" s="118">
        <f t="shared" ref="AT2504" si="1026">AR2504*0.1</f>
        <v>110500</v>
      </c>
      <c r="AU2504" s="119"/>
      <c r="AV2504" s="118">
        <v>9120</v>
      </c>
      <c r="AW2504" s="119"/>
      <c r="AX2504" s="118">
        <f t="shared" ref="AX2504" si="1027">SUM(AR2504:AW2504)</f>
        <v>1224620</v>
      </c>
      <c r="AY2504" s="119"/>
      <c r="AZ2504" s="137">
        <v>45951</v>
      </c>
    </row>
    <row r="2505" spans="1:52" ht="17.100000000000001" customHeight="1" thickBot="1">
      <c r="A2505" s="110"/>
      <c r="B2505" s="27" t="s">
        <v>2699</v>
      </c>
      <c r="C2505" s="27">
        <v>6904</v>
      </c>
      <c r="D2505" s="14" t="s">
        <v>1720</v>
      </c>
      <c r="E2505" s="112"/>
      <c r="F2505" s="139" t="s">
        <v>8288</v>
      </c>
      <c r="G2505" s="140"/>
      <c r="H2505" s="141"/>
      <c r="I2505" s="26">
        <v>10253</v>
      </c>
      <c r="J2505" s="117"/>
      <c r="K2505" s="120"/>
      <c r="L2505" s="121"/>
      <c r="M2505" s="120"/>
      <c r="N2505" s="121"/>
      <c r="O2505" s="120"/>
      <c r="P2505" s="121"/>
      <c r="Q2505" s="120"/>
      <c r="R2505" s="121"/>
      <c r="S2505" s="120"/>
      <c r="T2505" s="121"/>
      <c r="U2505" s="120"/>
      <c r="V2505" s="123"/>
      <c r="W2505" s="125"/>
      <c r="X2505" s="142" t="s">
        <v>8712</v>
      </c>
      <c r="Y2505" s="143"/>
      <c r="Z2505" s="143"/>
      <c r="AA2505" s="143"/>
      <c r="AB2505" s="144"/>
      <c r="AC2505" s="16" t="s">
        <v>21</v>
      </c>
      <c r="AD2505" s="17" t="s">
        <v>2171</v>
      </c>
      <c r="AE2505" s="145" t="s">
        <v>3385</v>
      </c>
      <c r="AF2505" s="146"/>
      <c r="AG2505" s="146"/>
      <c r="AH2505" s="146"/>
      <c r="AI2505" s="147"/>
      <c r="AJ2505" s="148"/>
      <c r="AK2505" s="143"/>
      <c r="AL2505" s="144"/>
      <c r="AM2505" s="22"/>
      <c r="AN2505" s="149" t="s">
        <v>2511</v>
      </c>
      <c r="AO2505" s="144"/>
      <c r="AP2505" s="148">
        <v>60475</v>
      </c>
      <c r="AQ2505" s="144"/>
      <c r="AR2505" s="120"/>
      <c r="AS2505" s="121"/>
      <c r="AT2505" s="120"/>
      <c r="AU2505" s="121"/>
      <c r="AV2505" s="120"/>
      <c r="AW2505" s="121"/>
      <c r="AX2505" s="120"/>
      <c r="AY2505" s="121"/>
      <c r="AZ2505" s="138"/>
    </row>
    <row r="2506" spans="1:52" ht="17.100000000000001" customHeight="1" thickTop="1">
      <c r="A2506" s="109" t="s">
        <v>8356</v>
      </c>
      <c r="B2506" s="28">
        <v>45944</v>
      </c>
      <c r="C2506" s="25">
        <v>961</v>
      </c>
      <c r="D2506" s="13" t="s">
        <v>2759</v>
      </c>
      <c r="E2506" s="111"/>
      <c r="F2506" s="113" t="s">
        <v>5196</v>
      </c>
      <c r="G2506" s="114"/>
      <c r="H2506" s="115"/>
      <c r="I2506" s="24"/>
      <c r="J2506" s="116">
        <v>3.5</v>
      </c>
      <c r="K2506" s="118">
        <v>358000</v>
      </c>
      <c r="L2506" s="119"/>
      <c r="M2506" s="118">
        <f t="shared" ref="M2506" si="1028">K2506*0.1</f>
        <v>35800</v>
      </c>
      <c r="N2506" s="119"/>
      <c r="O2506" s="118">
        <v>0</v>
      </c>
      <c r="P2506" s="119"/>
      <c r="Q2506" s="118">
        <v>7140</v>
      </c>
      <c r="R2506" s="119"/>
      <c r="S2506" s="118">
        <v>22000</v>
      </c>
      <c r="T2506" s="119"/>
      <c r="U2506" s="118">
        <f t="shared" ref="U2506" si="1029">SUM(K2506:T2507)</f>
        <v>422940</v>
      </c>
      <c r="V2506" s="122"/>
      <c r="W2506" s="124"/>
      <c r="X2506" s="126" t="s">
        <v>9099</v>
      </c>
      <c r="Y2506" s="127"/>
      <c r="Z2506" s="127"/>
      <c r="AA2506" s="127"/>
      <c r="AB2506" s="128"/>
      <c r="AC2506" s="15" t="s">
        <v>20</v>
      </c>
      <c r="AD2506" s="129" t="s">
        <v>2054</v>
      </c>
      <c r="AE2506" s="130"/>
      <c r="AF2506" s="130"/>
      <c r="AG2506" s="130"/>
      <c r="AH2506" s="130"/>
      <c r="AI2506" s="131"/>
      <c r="AJ2506" s="132"/>
      <c r="AK2506" s="127"/>
      <c r="AL2506" s="128"/>
      <c r="AM2506" s="21"/>
      <c r="AN2506" s="133">
        <v>45976</v>
      </c>
      <c r="AO2506" s="134"/>
      <c r="AP2506" s="135">
        <v>1276</v>
      </c>
      <c r="AQ2506" s="136"/>
      <c r="AR2506" s="118">
        <v>370000</v>
      </c>
      <c r="AS2506" s="119"/>
      <c r="AT2506" s="118">
        <f t="shared" ref="AT2506" si="1030">AR2506*0.1</f>
        <v>37000</v>
      </c>
      <c r="AU2506" s="119"/>
      <c r="AV2506" s="118">
        <v>7170</v>
      </c>
      <c r="AW2506" s="119"/>
      <c r="AX2506" s="118">
        <f t="shared" ref="AX2506" si="1031">SUM(AR2506:AW2506)</f>
        <v>414170</v>
      </c>
      <c r="AY2506" s="119"/>
      <c r="AZ2506" s="137">
        <v>45979</v>
      </c>
    </row>
    <row r="2507" spans="1:52" ht="17.100000000000001" customHeight="1" thickBot="1">
      <c r="A2507" s="110"/>
      <c r="B2507" s="27" t="s">
        <v>2055</v>
      </c>
      <c r="C2507" s="27">
        <v>247</v>
      </c>
      <c r="D2507" s="14" t="s">
        <v>1592</v>
      </c>
      <c r="E2507" s="112"/>
      <c r="F2507" s="139" t="s">
        <v>8353</v>
      </c>
      <c r="G2507" s="140"/>
      <c r="H2507" s="141"/>
      <c r="I2507" s="26">
        <v>36007</v>
      </c>
      <c r="J2507" s="117"/>
      <c r="K2507" s="120"/>
      <c r="L2507" s="121"/>
      <c r="M2507" s="120"/>
      <c r="N2507" s="121"/>
      <c r="O2507" s="120"/>
      <c r="P2507" s="121"/>
      <c r="Q2507" s="120"/>
      <c r="R2507" s="121"/>
      <c r="S2507" s="120"/>
      <c r="T2507" s="121"/>
      <c r="U2507" s="120"/>
      <c r="V2507" s="123"/>
      <c r="W2507" s="125"/>
      <c r="X2507" s="142" t="s">
        <v>2482</v>
      </c>
      <c r="Y2507" s="143"/>
      <c r="Z2507" s="143"/>
      <c r="AA2507" s="143"/>
      <c r="AB2507" s="144"/>
      <c r="AC2507" s="16" t="s">
        <v>21</v>
      </c>
      <c r="AD2507" s="17" t="s">
        <v>8956</v>
      </c>
      <c r="AE2507" s="145" t="s">
        <v>1670</v>
      </c>
      <c r="AF2507" s="146"/>
      <c r="AG2507" s="146"/>
      <c r="AH2507" s="146"/>
      <c r="AI2507" s="147"/>
      <c r="AJ2507" s="148"/>
      <c r="AK2507" s="143"/>
      <c r="AL2507" s="144"/>
      <c r="AM2507" s="22"/>
      <c r="AN2507" s="149" t="s">
        <v>10999</v>
      </c>
      <c r="AO2507" s="144"/>
      <c r="AP2507" s="148">
        <v>60321</v>
      </c>
      <c r="AQ2507" s="144"/>
      <c r="AR2507" s="120"/>
      <c r="AS2507" s="121"/>
      <c r="AT2507" s="120"/>
      <c r="AU2507" s="121"/>
      <c r="AV2507" s="120"/>
      <c r="AW2507" s="121"/>
      <c r="AX2507" s="120"/>
      <c r="AY2507" s="121"/>
      <c r="AZ2507" s="138"/>
    </row>
    <row r="2508" spans="1:52" ht="17.100000000000001" customHeight="1" thickTop="1">
      <c r="A2508" s="151" t="s">
        <v>8357</v>
      </c>
      <c r="B2508" s="28">
        <v>45944</v>
      </c>
      <c r="C2508" s="25">
        <v>779</v>
      </c>
      <c r="D2508" s="13" t="s">
        <v>1642</v>
      </c>
      <c r="E2508" s="111"/>
      <c r="F2508" s="113" t="s">
        <v>8354</v>
      </c>
      <c r="G2508" s="114"/>
      <c r="H2508" s="115"/>
      <c r="I2508" s="24"/>
      <c r="J2508" s="116">
        <v>4</v>
      </c>
      <c r="K2508" s="118">
        <v>1098000</v>
      </c>
      <c r="L2508" s="119"/>
      <c r="M2508" s="118">
        <f t="shared" ref="M2508" si="1032">K2508*0.1</f>
        <v>109800</v>
      </c>
      <c r="N2508" s="119"/>
      <c r="O2508" s="118">
        <v>0</v>
      </c>
      <c r="P2508" s="119"/>
      <c r="Q2508" s="118">
        <v>6860</v>
      </c>
      <c r="R2508" s="119"/>
      <c r="S2508" s="118">
        <v>22000</v>
      </c>
      <c r="T2508" s="119"/>
      <c r="U2508" s="118">
        <f t="shared" ref="U2508" si="1033">SUM(K2508:T2509)</f>
        <v>1236660</v>
      </c>
      <c r="V2508" s="122"/>
      <c r="W2508" s="124"/>
      <c r="X2508" s="126" t="s">
        <v>8793</v>
      </c>
      <c r="Y2508" s="127"/>
      <c r="Z2508" s="127"/>
      <c r="AA2508" s="127"/>
      <c r="AB2508" s="128"/>
      <c r="AC2508" s="15" t="s">
        <v>20</v>
      </c>
      <c r="AD2508" s="129" t="s">
        <v>8061</v>
      </c>
      <c r="AE2508" s="130"/>
      <c r="AF2508" s="130"/>
      <c r="AG2508" s="130"/>
      <c r="AH2508" s="130"/>
      <c r="AI2508" s="131"/>
      <c r="AJ2508" s="132"/>
      <c r="AK2508" s="127"/>
      <c r="AL2508" s="128"/>
      <c r="AM2508" s="21"/>
      <c r="AN2508" s="133">
        <v>46038</v>
      </c>
      <c r="AO2508" s="134"/>
      <c r="AP2508" s="135"/>
      <c r="AQ2508" s="136"/>
      <c r="AR2508" s="118">
        <v>1190000</v>
      </c>
      <c r="AS2508" s="119"/>
      <c r="AT2508" s="118">
        <f t="shared" ref="AT2508" si="1034">AR2508*0.1</f>
        <v>119000</v>
      </c>
      <c r="AU2508" s="119"/>
      <c r="AV2508" s="118">
        <v>6860</v>
      </c>
      <c r="AW2508" s="119"/>
      <c r="AX2508" s="118">
        <f t="shared" ref="AX2508" si="1035">SUM(AR2508:AW2508)</f>
        <v>1315860</v>
      </c>
      <c r="AY2508" s="119"/>
      <c r="AZ2508" s="137"/>
    </row>
    <row r="2509" spans="1:52" ht="17.100000000000001" customHeight="1" thickBot="1">
      <c r="A2509" s="152"/>
      <c r="B2509" s="27" t="s">
        <v>4491</v>
      </c>
      <c r="C2509" s="27">
        <v>168</v>
      </c>
      <c r="D2509" s="14" t="s">
        <v>1720</v>
      </c>
      <c r="E2509" s="112"/>
      <c r="F2509" s="139" t="s">
        <v>8355</v>
      </c>
      <c r="G2509" s="140"/>
      <c r="H2509" s="141"/>
      <c r="I2509" s="26">
        <v>46770</v>
      </c>
      <c r="J2509" s="117"/>
      <c r="K2509" s="120"/>
      <c r="L2509" s="121"/>
      <c r="M2509" s="120"/>
      <c r="N2509" s="121"/>
      <c r="O2509" s="120"/>
      <c r="P2509" s="121"/>
      <c r="Q2509" s="120"/>
      <c r="R2509" s="121"/>
      <c r="S2509" s="120"/>
      <c r="T2509" s="121"/>
      <c r="U2509" s="120"/>
      <c r="V2509" s="123"/>
      <c r="W2509" s="125"/>
      <c r="X2509" s="142" t="s">
        <v>2482</v>
      </c>
      <c r="Y2509" s="143"/>
      <c r="Z2509" s="143"/>
      <c r="AA2509" s="143"/>
      <c r="AB2509" s="144"/>
      <c r="AC2509" s="16" t="s">
        <v>21</v>
      </c>
      <c r="AD2509" s="17" t="s">
        <v>8763</v>
      </c>
      <c r="AE2509" s="145" t="s">
        <v>1670</v>
      </c>
      <c r="AF2509" s="146"/>
      <c r="AG2509" s="146"/>
      <c r="AH2509" s="146"/>
      <c r="AI2509" s="147"/>
      <c r="AJ2509" s="148"/>
      <c r="AK2509" s="143"/>
      <c r="AL2509" s="144"/>
      <c r="AM2509" s="22"/>
      <c r="AN2509" s="149" t="s">
        <v>6789</v>
      </c>
      <c r="AO2509" s="144"/>
      <c r="AP2509" s="148">
        <v>52793</v>
      </c>
      <c r="AQ2509" s="144"/>
      <c r="AR2509" s="120"/>
      <c r="AS2509" s="121"/>
      <c r="AT2509" s="120"/>
      <c r="AU2509" s="121"/>
      <c r="AV2509" s="120"/>
      <c r="AW2509" s="121"/>
      <c r="AX2509" s="120"/>
      <c r="AY2509" s="121"/>
      <c r="AZ2509" s="138"/>
    </row>
    <row r="2510" spans="1:52" ht="17.100000000000001" customHeight="1" thickTop="1">
      <c r="A2510" s="109" t="s">
        <v>8358</v>
      </c>
      <c r="B2510" s="28">
        <v>45945</v>
      </c>
      <c r="C2510" s="25">
        <v>2326</v>
      </c>
      <c r="D2510" s="13" t="s">
        <v>2141</v>
      </c>
      <c r="E2510" s="111"/>
      <c r="F2510" s="113" t="s">
        <v>4506</v>
      </c>
      <c r="G2510" s="114"/>
      <c r="H2510" s="115"/>
      <c r="I2510" s="24" t="s">
        <v>8362</v>
      </c>
      <c r="J2510" s="116">
        <v>4.5</v>
      </c>
      <c r="K2510" s="118">
        <v>560000</v>
      </c>
      <c r="L2510" s="119"/>
      <c r="M2510" s="118">
        <f t="shared" ref="M2510" si="1036">K2510*0.1</f>
        <v>56000</v>
      </c>
      <c r="N2510" s="119"/>
      <c r="O2510" s="118">
        <v>15000</v>
      </c>
      <c r="P2510" s="119"/>
      <c r="Q2510" s="118">
        <v>8140</v>
      </c>
      <c r="R2510" s="119"/>
      <c r="S2510" s="118">
        <v>16500</v>
      </c>
      <c r="T2510" s="119"/>
      <c r="U2510" s="118">
        <f t="shared" ref="U2510" si="1037">SUM(K2510:T2511)</f>
        <v>655640</v>
      </c>
      <c r="V2510" s="122"/>
      <c r="W2510" s="124"/>
      <c r="X2510" s="126" t="s">
        <v>8794</v>
      </c>
      <c r="Y2510" s="127"/>
      <c r="Z2510" s="127"/>
      <c r="AA2510" s="127"/>
      <c r="AB2510" s="128"/>
      <c r="AC2510" s="15" t="s">
        <v>20</v>
      </c>
      <c r="AD2510" s="129"/>
      <c r="AE2510" s="130"/>
      <c r="AF2510" s="130"/>
      <c r="AG2510" s="130"/>
      <c r="AH2510" s="130"/>
      <c r="AI2510" s="131"/>
      <c r="AJ2510" s="132"/>
      <c r="AK2510" s="127"/>
      <c r="AL2510" s="128"/>
      <c r="AM2510" s="21" t="s">
        <v>11018</v>
      </c>
      <c r="AN2510" s="133">
        <v>45987</v>
      </c>
      <c r="AO2510" s="134"/>
      <c r="AP2510" s="135">
        <v>994</v>
      </c>
      <c r="AQ2510" s="136"/>
      <c r="AR2510" s="118">
        <v>610000</v>
      </c>
      <c r="AS2510" s="119"/>
      <c r="AT2510" s="118">
        <f t="shared" ref="AT2510" si="1038">AR2510*0.1</f>
        <v>61000</v>
      </c>
      <c r="AU2510" s="119"/>
      <c r="AV2510" s="118">
        <v>8140</v>
      </c>
      <c r="AW2510" s="119"/>
      <c r="AX2510" s="118">
        <f t="shared" ref="AX2510" si="1039">SUM(AR2510:AW2510)</f>
        <v>679140</v>
      </c>
      <c r="AY2510" s="119"/>
      <c r="AZ2510" s="137">
        <v>45992</v>
      </c>
    </row>
    <row r="2511" spans="1:52" ht="17.100000000000001" customHeight="1" thickBot="1">
      <c r="A2511" s="110"/>
      <c r="B2511" s="27" t="s">
        <v>3422</v>
      </c>
      <c r="C2511" s="27">
        <v>20029</v>
      </c>
      <c r="D2511" s="14" t="s">
        <v>3855</v>
      </c>
      <c r="E2511" s="112"/>
      <c r="F2511" s="139" t="s">
        <v>8361</v>
      </c>
      <c r="G2511" s="140"/>
      <c r="H2511" s="141"/>
      <c r="I2511" s="26">
        <v>14884</v>
      </c>
      <c r="J2511" s="117"/>
      <c r="K2511" s="120"/>
      <c r="L2511" s="121"/>
      <c r="M2511" s="120"/>
      <c r="N2511" s="121"/>
      <c r="O2511" s="120"/>
      <c r="P2511" s="121"/>
      <c r="Q2511" s="120"/>
      <c r="R2511" s="121"/>
      <c r="S2511" s="120"/>
      <c r="T2511" s="121"/>
      <c r="U2511" s="120"/>
      <c r="V2511" s="123"/>
      <c r="W2511" s="125"/>
      <c r="X2511" s="142" t="s">
        <v>8795</v>
      </c>
      <c r="Y2511" s="143"/>
      <c r="Z2511" s="143"/>
      <c r="AA2511" s="143"/>
      <c r="AB2511" s="144"/>
      <c r="AC2511" s="16" t="s">
        <v>21</v>
      </c>
      <c r="AD2511" s="17" t="s">
        <v>8763</v>
      </c>
      <c r="AE2511" s="145" t="s">
        <v>1945</v>
      </c>
      <c r="AF2511" s="146"/>
      <c r="AG2511" s="146"/>
      <c r="AH2511" s="146"/>
      <c r="AI2511" s="147"/>
      <c r="AJ2511" s="148"/>
      <c r="AK2511" s="143"/>
      <c r="AL2511" s="144"/>
      <c r="AM2511" s="22"/>
      <c r="AN2511" s="149" t="s">
        <v>11801</v>
      </c>
      <c r="AO2511" s="144"/>
      <c r="AP2511" s="148">
        <v>2048</v>
      </c>
      <c r="AQ2511" s="144"/>
      <c r="AR2511" s="120"/>
      <c r="AS2511" s="121"/>
      <c r="AT2511" s="120"/>
      <c r="AU2511" s="121"/>
      <c r="AV2511" s="120"/>
      <c r="AW2511" s="121"/>
      <c r="AX2511" s="120"/>
      <c r="AY2511" s="121"/>
      <c r="AZ2511" s="138"/>
    </row>
    <row r="2512" spans="1:52" ht="17.100000000000001" customHeight="1" thickTop="1">
      <c r="A2512" s="109" t="s">
        <v>8359</v>
      </c>
      <c r="B2512" s="28">
        <v>45945</v>
      </c>
      <c r="C2512" s="25">
        <v>2326</v>
      </c>
      <c r="D2512" s="13" t="s">
        <v>1606</v>
      </c>
      <c r="E2512" s="111"/>
      <c r="F2512" s="113" t="s">
        <v>8220</v>
      </c>
      <c r="G2512" s="114"/>
      <c r="H2512" s="115"/>
      <c r="I2512" s="24"/>
      <c r="J2512" s="116">
        <v>4.5</v>
      </c>
      <c r="K2512" s="118">
        <v>595000</v>
      </c>
      <c r="L2512" s="119"/>
      <c r="M2512" s="118">
        <f t="shared" ref="M2512" si="1040">K2512*0.1</f>
        <v>59500</v>
      </c>
      <c r="N2512" s="119"/>
      <c r="O2512" s="118">
        <v>0</v>
      </c>
      <c r="P2512" s="119"/>
      <c r="Q2512" s="118">
        <v>9790</v>
      </c>
      <c r="R2512" s="119"/>
      <c r="S2512" s="118">
        <v>16500</v>
      </c>
      <c r="T2512" s="119"/>
      <c r="U2512" s="118">
        <f t="shared" ref="U2512" si="1041">SUM(K2512:T2513)</f>
        <v>680790</v>
      </c>
      <c r="V2512" s="122"/>
      <c r="W2512" s="124"/>
      <c r="X2512" s="126" t="s">
        <v>8713</v>
      </c>
      <c r="Y2512" s="127"/>
      <c r="Z2512" s="127"/>
      <c r="AA2512" s="127"/>
      <c r="AB2512" s="128"/>
      <c r="AC2512" s="15" t="s">
        <v>20</v>
      </c>
      <c r="AD2512" s="129" t="s">
        <v>5500</v>
      </c>
      <c r="AE2512" s="130"/>
      <c r="AF2512" s="130"/>
      <c r="AG2512" s="130"/>
      <c r="AH2512" s="130"/>
      <c r="AI2512" s="131"/>
      <c r="AJ2512" s="132"/>
      <c r="AK2512" s="127"/>
      <c r="AL2512" s="128"/>
      <c r="AM2512" s="21"/>
      <c r="AN2512" s="133">
        <v>45973</v>
      </c>
      <c r="AO2512" s="134"/>
      <c r="AP2512" s="135">
        <v>992</v>
      </c>
      <c r="AQ2512" s="136"/>
      <c r="AR2512" s="118">
        <v>655000</v>
      </c>
      <c r="AS2512" s="119"/>
      <c r="AT2512" s="118">
        <f t="shared" ref="AT2512" si="1042">AR2512*0.1</f>
        <v>65500</v>
      </c>
      <c r="AU2512" s="119"/>
      <c r="AV2512" s="118">
        <v>9790</v>
      </c>
      <c r="AW2512" s="119"/>
      <c r="AX2512" s="118">
        <f t="shared" ref="AX2512" si="1043">SUM(AR2512:AW2512)</f>
        <v>730290</v>
      </c>
      <c r="AY2512" s="119"/>
      <c r="AZ2512" s="137">
        <v>45978</v>
      </c>
    </row>
    <row r="2513" spans="1:52" ht="17.100000000000001" customHeight="1" thickBot="1">
      <c r="A2513" s="110"/>
      <c r="B2513" s="27" t="s">
        <v>3422</v>
      </c>
      <c r="C2513" s="27">
        <v>20350</v>
      </c>
      <c r="D2513" s="14" t="s">
        <v>275</v>
      </c>
      <c r="E2513" s="112"/>
      <c r="F2513" s="139" t="s">
        <v>8363</v>
      </c>
      <c r="G2513" s="140"/>
      <c r="H2513" s="141"/>
      <c r="I2513" s="26">
        <v>76115</v>
      </c>
      <c r="J2513" s="117"/>
      <c r="K2513" s="120"/>
      <c r="L2513" s="121"/>
      <c r="M2513" s="120"/>
      <c r="N2513" s="121"/>
      <c r="O2513" s="120"/>
      <c r="P2513" s="121"/>
      <c r="Q2513" s="120"/>
      <c r="R2513" s="121"/>
      <c r="S2513" s="120"/>
      <c r="T2513" s="121"/>
      <c r="U2513" s="120"/>
      <c r="V2513" s="123"/>
      <c r="W2513" s="125"/>
      <c r="X2513" s="142" t="s">
        <v>8714</v>
      </c>
      <c r="Y2513" s="143"/>
      <c r="Z2513" s="143"/>
      <c r="AA2513" s="143"/>
      <c r="AB2513" s="144"/>
      <c r="AC2513" s="16" t="s">
        <v>21</v>
      </c>
      <c r="AD2513" s="17" t="s">
        <v>2171</v>
      </c>
      <c r="AE2513" s="145" t="s">
        <v>8715</v>
      </c>
      <c r="AF2513" s="146"/>
      <c r="AG2513" s="146"/>
      <c r="AH2513" s="146"/>
      <c r="AI2513" s="147"/>
      <c r="AJ2513" s="148"/>
      <c r="AK2513" s="143"/>
      <c r="AL2513" s="144"/>
      <c r="AM2513" s="22"/>
      <c r="AN2513" s="149" t="s">
        <v>2794</v>
      </c>
      <c r="AO2513" s="144"/>
      <c r="AP2513" s="148">
        <v>2055</v>
      </c>
      <c r="AQ2513" s="144"/>
      <c r="AR2513" s="120"/>
      <c r="AS2513" s="121"/>
      <c r="AT2513" s="120"/>
      <c r="AU2513" s="121"/>
      <c r="AV2513" s="120"/>
      <c r="AW2513" s="121"/>
      <c r="AX2513" s="120"/>
      <c r="AY2513" s="121"/>
      <c r="AZ2513" s="138"/>
    </row>
    <row r="2514" spans="1:52" ht="17.100000000000001" customHeight="1" thickTop="1">
      <c r="A2514" s="109" t="s">
        <v>8360</v>
      </c>
      <c r="B2514" s="28">
        <v>45945</v>
      </c>
      <c r="C2514" s="25">
        <v>2326</v>
      </c>
      <c r="D2514" s="13" t="s">
        <v>1839</v>
      </c>
      <c r="E2514" s="111"/>
      <c r="F2514" s="113" t="s">
        <v>4383</v>
      </c>
      <c r="G2514" s="114"/>
      <c r="H2514" s="115"/>
      <c r="I2514" s="24"/>
      <c r="J2514" s="116">
        <v>4.5</v>
      </c>
      <c r="K2514" s="118">
        <v>355000</v>
      </c>
      <c r="L2514" s="119"/>
      <c r="M2514" s="118">
        <f t="shared" ref="M2514" si="1044">K2514*0.1</f>
        <v>35500</v>
      </c>
      <c r="N2514" s="119"/>
      <c r="O2514" s="118">
        <v>15000</v>
      </c>
      <c r="P2514" s="119"/>
      <c r="Q2514" s="118">
        <v>9070</v>
      </c>
      <c r="R2514" s="119"/>
      <c r="S2514" s="118">
        <v>16500</v>
      </c>
      <c r="T2514" s="119"/>
      <c r="U2514" s="118">
        <f t="shared" ref="U2514" si="1045">SUM(K2514:T2515)</f>
        <v>431070</v>
      </c>
      <c r="V2514" s="122"/>
      <c r="W2514" s="124"/>
      <c r="X2514" s="126" t="s">
        <v>9096</v>
      </c>
      <c r="Y2514" s="127"/>
      <c r="Z2514" s="127"/>
      <c r="AA2514" s="127"/>
      <c r="AB2514" s="128"/>
      <c r="AC2514" s="15" t="s">
        <v>20</v>
      </c>
      <c r="AD2514" s="129"/>
      <c r="AE2514" s="130"/>
      <c r="AF2514" s="130"/>
      <c r="AG2514" s="130"/>
      <c r="AH2514" s="130"/>
      <c r="AI2514" s="131"/>
      <c r="AJ2514" s="132"/>
      <c r="AK2514" s="127"/>
      <c r="AL2514" s="128"/>
      <c r="AM2514" s="21"/>
      <c r="AN2514" s="133">
        <v>45994</v>
      </c>
      <c r="AO2514" s="134"/>
      <c r="AP2514" s="135">
        <v>995</v>
      </c>
      <c r="AQ2514" s="136"/>
      <c r="AR2514" s="118">
        <v>380000</v>
      </c>
      <c r="AS2514" s="119"/>
      <c r="AT2514" s="118">
        <f t="shared" ref="AT2514" si="1046">AR2514*0.1</f>
        <v>38000</v>
      </c>
      <c r="AU2514" s="119"/>
      <c r="AV2514" s="118">
        <v>9070</v>
      </c>
      <c r="AW2514" s="119"/>
      <c r="AX2514" s="118">
        <f t="shared" ref="AX2514" si="1047">SUM(AR2514:AW2514)</f>
        <v>427070</v>
      </c>
      <c r="AY2514" s="119"/>
      <c r="AZ2514" s="137">
        <v>45999</v>
      </c>
    </row>
    <row r="2515" spans="1:52" ht="17.100000000000001" customHeight="1" thickBot="1">
      <c r="A2515" s="110"/>
      <c r="B2515" s="27" t="s">
        <v>3422</v>
      </c>
      <c r="C2515" s="27">
        <v>20368</v>
      </c>
      <c r="D2515" s="14" t="s">
        <v>2601</v>
      </c>
      <c r="E2515" s="112"/>
      <c r="F2515" s="139" t="s">
        <v>8364</v>
      </c>
      <c r="G2515" s="140"/>
      <c r="H2515" s="141"/>
      <c r="I2515" s="26">
        <v>47330</v>
      </c>
      <c r="J2515" s="117"/>
      <c r="K2515" s="120"/>
      <c r="L2515" s="121"/>
      <c r="M2515" s="120"/>
      <c r="N2515" s="121"/>
      <c r="O2515" s="120"/>
      <c r="P2515" s="121"/>
      <c r="Q2515" s="120"/>
      <c r="R2515" s="121"/>
      <c r="S2515" s="120"/>
      <c r="T2515" s="121"/>
      <c r="U2515" s="120"/>
      <c r="V2515" s="123"/>
      <c r="W2515" s="125"/>
      <c r="X2515" s="142" t="s">
        <v>9097</v>
      </c>
      <c r="Y2515" s="143"/>
      <c r="Z2515" s="143"/>
      <c r="AA2515" s="143"/>
      <c r="AB2515" s="144"/>
      <c r="AC2515" s="16" t="s">
        <v>21</v>
      </c>
      <c r="AD2515" s="17" t="s">
        <v>8956</v>
      </c>
      <c r="AE2515" s="145" t="s">
        <v>9098</v>
      </c>
      <c r="AF2515" s="146"/>
      <c r="AG2515" s="146"/>
      <c r="AH2515" s="146"/>
      <c r="AI2515" s="147"/>
      <c r="AJ2515" s="148"/>
      <c r="AK2515" s="143"/>
      <c r="AL2515" s="144"/>
      <c r="AM2515" s="22"/>
      <c r="AN2515" s="149" t="s">
        <v>2794</v>
      </c>
      <c r="AO2515" s="144"/>
      <c r="AP2515" s="148">
        <v>2042</v>
      </c>
      <c r="AQ2515" s="144"/>
      <c r="AR2515" s="120"/>
      <c r="AS2515" s="121"/>
      <c r="AT2515" s="120"/>
      <c r="AU2515" s="121"/>
      <c r="AV2515" s="120"/>
      <c r="AW2515" s="121"/>
      <c r="AX2515" s="120"/>
      <c r="AY2515" s="121"/>
      <c r="AZ2515" s="138"/>
    </row>
    <row r="2516" spans="1:52" ht="17.100000000000001" customHeight="1" thickTop="1">
      <c r="A2516" s="109" t="s">
        <v>8365</v>
      </c>
      <c r="B2516" s="28">
        <v>45945</v>
      </c>
      <c r="C2516" s="25">
        <v>1809</v>
      </c>
      <c r="D2516" s="13" t="s">
        <v>1623</v>
      </c>
      <c r="E2516" s="111"/>
      <c r="F2516" s="113" t="s">
        <v>8367</v>
      </c>
      <c r="G2516" s="114"/>
      <c r="H2516" s="115"/>
      <c r="I2516" s="24"/>
      <c r="J2516" s="116">
        <v>4.5</v>
      </c>
      <c r="K2516" s="118">
        <v>525000</v>
      </c>
      <c r="L2516" s="119"/>
      <c r="M2516" s="118">
        <f t="shared" ref="M2516" si="1048">K2516*0.1</f>
        <v>52500</v>
      </c>
      <c r="N2516" s="119"/>
      <c r="O2516" s="118">
        <v>0</v>
      </c>
      <c r="P2516" s="119"/>
      <c r="Q2516" s="118">
        <v>8140</v>
      </c>
      <c r="R2516" s="119"/>
      <c r="S2516" s="118">
        <v>18150</v>
      </c>
      <c r="T2516" s="119"/>
      <c r="U2516" s="118">
        <f t="shared" ref="U2516" si="1049">SUM(K2516:T2517)</f>
        <v>603790</v>
      </c>
      <c r="V2516" s="122"/>
      <c r="W2516" s="124"/>
      <c r="X2516" s="126" t="s">
        <v>9115</v>
      </c>
      <c r="Y2516" s="127"/>
      <c r="Z2516" s="127"/>
      <c r="AA2516" s="127"/>
      <c r="AB2516" s="128"/>
      <c r="AC2516" s="15" t="s">
        <v>20</v>
      </c>
      <c r="AD2516" s="129" t="s">
        <v>8369</v>
      </c>
      <c r="AE2516" s="130"/>
      <c r="AF2516" s="130"/>
      <c r="AG2516" s="130"/>
      <c r="AH2516" s="130"/>
      <c r="AI2516" s="131"/>
      <c r="AJ2516" s="132"/>
      <c r="AK2516" s="127"/>
      <c r="AL2516" s="128"/>
      <c r="AM2516" s="21"/>
      <c r="AN2516" s="133">
        <v>45962</v>
      </c>
      <c r="AO2516" s="134"/>
      <c r="AP2516" s="135">
        <v>1274</v>
      </c>
      <c r="AQ2516" s="136"/>
      <c r="AR2516" s="118">
        <v>605000</v>
      </c>
      <c r="AS2516" s="119"/>
      <c r="AT2516" s="118">
        <v>60500</v>
      </c>
      <c r="AU2516" s="119"/>
      <c r="AV2516" s="118">
        <v>8140</v>
      </c>
      <c r="AW2516" s="119"/>
      <c r="AX2516" s="118">
        <f t="shared" ref="AX2516" si="1050">SUM(AR2516:AW2516)</f>
        <v>673640</v>
      </c>
      <c r="AY2516" s="119"/>
      <c r="AZ2516" s="137">
        <v>45965</v>
      </c>
    </row>
    <row r="2517" spans="1:52" ht="17.100000000000001" customHeight="1" thickBot="1">
      <c r="A2517" s="110"/>
      <c r="B2517" s="27" t="s">
        <v>2559</v>
      </c>
      <c r="C2517" s="27">
        <v>9167</v>
      </c>
      <c r="D2517" s="14" t="s">
        <v>4023</v>
      </c>
      <c r="E2517" s="112"/>
      <c r="F2517" s="139" t="s">
        <v>8368</v>
      </c>
      <c r="G2517" s="140"/>
      <c r="H2517" s="141"/>
      <c r="I2517" s="26">
        <v>43078</v>
      </c>
      <c r="J2517" s="117"/>
      <c r="K2517" s="120"/>
      <c r="L2517" s="121"/>
      <c r="M2517" s="120"/>
      <c r="N2517" s="121"/>
      <c r="O2517" s="120"/>
      <c r="P2517" s="121"/>
      <c r="Q2517" s="120"/>
      <c r="R2517" s="121"/>
      <c r="S2517" s="120"/>
      <c r="T2517" s="121"/>
      <c r="U2517" s="120"/>
      <c r="V2517" s="123"/>
      <c r="W2517" s="125"/>
      <c r="X2517" s="142" t="s">
        <v>9116</v>
      </c>
      <c r="Y2517" s="143"/>
      <c r="Z2517" s="143"/>
      <c r="AA2517" s="143"/>
      <c r="AB2517" s="144"/>
      <c r="AC2517" s="16" t="s">
        <v>21</v>
      </c>
      <c r="AD2517" s="17" t="s">
        <v>8956</v>
      </c>
      <c r="AE2517" s="145" t="s">
        <v>9121</v>
      </c>
      <c r="AF2517" s="146"/>
      <c r="AG2517" s="146"/>
      <c r="AH2517" s="146"/>
      <c r="AI2517" s="147"/>
      <c r="AJ2517" s="148"/>
      <c r="AK2517" s="143"/>
      <c r="AL2517" s="144"/>
      <c r="AM2517" s="22"/>
      <c r="AN2517" s="149" t="s">
        <v>2511</v>
      </c>
      <c r="AO2517" s="144"/>
      <c r="AP2517" s="148">
        <v>60073</v>
      </c>
      <c r="AQ2517" s="144"/>
      <c r="AR2517" s="120"/>
      <c r="AS2517" s="121"/>
      <c r="AT2517" s="120"/>
      <c r="AU2517" s="121"/>
      <c r="AV2517" s="120"/>
      <c r="AW2517" s="121"/>
      <c r="AX2517" s="120"/>
      <c r="AY2517" s="121"/>
      <c r="AZ2517" s="138"/>
    </row>
    <row r="2518" spans="1:52" ht="17.100000000000001" customHeight="1" thickTop="1">
      <c r="A2518" s="109" t="s">
        <v>8366</v>
      </c>
      <c r="B2518" s="28">
        <v>45945</v>
      </c>
      <c r="C2518" s="25">
        <v>1809</v>
      </c>
      <c r="D2518" s="13" t="s">
        <v>3386</v>
      </c>
      <c r="E2518" s="111"/>
      <c r="F2518" s="113" t="s">
        <v>8370</v>
      </c>
      <c r="G2518" s="114"/>
      <c r="H2518" s="115"/>
      <c r="I2518" s="24" t="s">
        <v>4096</v>
      </c>
      <c r="J2518" s="116">
        <v>4.5</v>
      </c>
      <c r="K2518" s="118">
        <v>2040000</v>
      </c>
      <c r="L2518" s="119"/>
      <c r="M2518" s="118">
        <f t="shared" ref="M2518" si="1051">K2518*0.1</f>
        <v>204000</v>
      </c>
      <c r="N2518" s="119"/>
      <c r="O2518" s="118">
        <f>12700+1270</f>
        <v>13970</v>
      </c>
      <c r="P2518" s="119"/>
      <c r="Q2518" s="118">
        <v>15220</v>
      </c>
      <c r="R2518" s="119"/>
      <c r="S2518" s="118">
        <v>18150</v>
      </c>
      <c r="T2518" s="119"/>
      <c r="U2518" s="118">
        <f t="shared" ref="U2518" si="1052">SUM(K2518:T2519)</f>
        <v>2291340</v>
      </c>
      <c r="V2518" s="122"/>
      <c r="W2518" s="124"/>
      <c r="X2518" s="126" t="s">
        <v>8372</v>
      </c>
      <c r="Y2518" s="127"/>
      <c r="Z2518" s="127"/>
      <c r="AA2518" s="127"/>
      <c r="AB2518" s="128"/>
      <c r="AC2518" s="15" t="s">
        <v>20</v>
      </c>
      <c r="AD2518" s="129" t="s">
        <v>1670</v>
      </c>
      <c r="AE2518" s="130"/>
      <c r="AF2518" s="130"/>
      <c r="AG2518" s="130"/>
      <c r="AH2518" s="130"/>
      <c r="AI2518" s="131"/>
      <c r="AJ2518" s="132"/>
      <c r="AK2518" s="127"/>
      <c r="AL2518" s="128"/>
      <c r="AM2518" s="21"/>
      <c r="AN2518" s="133">
        <v>45955</v>
      </c>
      <c r="AO2518" s="134"/>
      <c r="AP2518" s="135">
        <v>1273</v>
      </c>
      <c r="AQ2518" s="136"/>
      <c r="AR2518" s="118">
        <v>2245000</v>
      </c>
      <c r="AS2518" s="119"/>
      <c r="AT2518" s="118">
        <f t="shared" ref="AT2518" si="1053">AR2518*0.1</f>
        <v>224500</v>
      </c>
      <c r="AU2518" s="119"/>
      <c r="AV2518" s="118">
        <v>15220</v>
      </c>
      <c r="AW2518" s="119"/>
      <c r="AX2518" s="118">
        <f t="shared" ref="AX2518" si="1054">SUM(AR2518:AW2518)</f>
        <v>2484720</v>
      </c>
      <c r="AY2518" s="119"/>
      <c r="AZ2518" s="137">
        <v>45958</v>
      </c>
    </row>
    <row r="2519" spans="1:52" ht="17.100000000000001" customHeight="1" thickBot="1">
      <c r="A2519" s="110"/>
      <c r="B2519" s="27" t="s">
        <v>2559</v>
      </c>
      <c r="C2519" s="27">
        <v>38115</v>
      </c>
      <c r="D2519" s="14" t="s">
        <v>1576</v>
      </c>
      <c r="E2519" s="112"/>
      <c r="F2519" s="139" t="s">
        <v>8371</v>
      </c>
      <c r="G2519" s="140"/>
      <c r="H2519" s="141"/>
      <c r="I2519" s="26">
        <v>41456</v>
      </c>
      <c r="J2519" s="117"/>
      <c r="K2519" s="120"/>
      <c r="L2519" s="121"/>
      <c r="M2519" s="120"/>
      <c r="N2519" s="121"/>
      <c r="O2519" s="120"/>
      <c r="P2519" s="121"/>
      <c r="Q2519" s="120"/>
      <c r="R2519" s="121"/>
      <c r="S2519" s="120"/>
      <c r="T2519" s="121"/>
      <c r="U2519" s="120"/>
      <c r="V2519" s="123"/>
      <c r="W2519" s="125"/>
      <c r="X2519" s="142" t="s">
        <v>3455</v>
      </c>
      <c r="Y2519" s="143"/>
      <c r="Z2519" s="143"/>
      <c r="AA2519" s="143"/>
      <c r="AB2519" s="144"/>
      <c r="AC2519" s="16" t="s">
        <v>21</v>
      </c>
      <c r="AD2519" s="17" t="s">
        <v>8956</v>
      </c>
      <c r="AE2519" s="145" t="s">
        <v>9056</v>
      </c>
      <c r="AF2519" s="146"/>
      <c r="AG2519" s="146"/>
      <c r="AH2519" s="146"/>
      <c r="AI2519" s="147"/>
      <c r="AJ2519" s="148"/>
      <c r="AK2519" s="143"/>
      <c r="AL2519" s="144"/>
      <c r="AM2519" s="22"/>
      <c r="AN2519" s="149" t="s">
        <v>2511</v>
      </c>
      <c r="AO2519" s="144"/>
      <c r="AP2519" s="148">
        <v>80058</v>
      </c>
      <c r="AQ2519" s="144"/>
      <c r="AR2519" s="120"/>
      <c r="AS2519" s="121"/>
      <c r="AT2519" s="120"/>
      <c r="AU2519" s="121"/>
      <c r="AV2519" s="120"/>
      <c r="AW2519" s="121"/>
      <c r="AX2519" s="120"/>
      <c r="AY2519" s="121"/>
      <c r="AZ2519" s="138"/>
    </row>
    <row r="2520" spans="1:52" ht="17.100000000000001" customHeight="1" thickTop="1">
      <c r="A2520" s="109" t="s">
        <v>8453</v>
      </c>
      <c r="B2520" s="28">
        <v>45946</v>
      </c>
      <c r="C2520" s="25"/>
      <c r="D2520" s="13" t="s">
        <v>2564</v>
      </c>
      <c r="E2520" s="111"/>
      <c r="F2520" s="113" t="s">
        <v>8455</v>
      </c>
      <c r="G2520" s="114"/>
      <c r="H2520" s="115"/>
      <c r="I2520" s="24" t="s">
        <v>7414</v>
      </c>
      <c r="J2520" s="116"/>
      <c r="K2520" s="118">
        <v>1500000</v>
      </c>
      <c r="L2520" s="119"/>
      <c r="M2520" s="118">
        <v>0</v>
      </c>
      <c r="N2520" s="119"/>
      <c r="O2520" s="118">
        <v>0</v>
      </c>
      <c r="P2520" s="119"/>
      <c r="Q2520" s="118">
        <v>0</v>
      </c>
      <c r="R2520" s="119"/>
      <c r="S2520" s="118">
        <v>0</v>
      </c>
      <c r="T2520" s="119"/>
      <c r="U2520" s="118">
        <f t="shared" ref="U2520" si="1055">SUM(K2520:T2521)</f>
        <v>1500000</v>
      </c>
      <c r="V2520" s="122"/>
      <c r="W2520" s="124"/>
      <c r="X2520" s="126" t="s">
        <v>8457</v>
      </c>
      <c r="Y2520" s="127"/>
      <c r="Z2520" s="127"/>
      <c r="AA2520" s="127"/>
      <c r="AB2520" s="128"/>
      <c r="AC2520" s="15" t="s">
        <v>20</v>
      </c>
      <c r="AD2520" s="129"/>
      <c r="AE2520" s="130"/>
      <c r="AF2520" s="130"/>
      <c r="AG2520" s="130"/>
      <c r="AH2520" s="130"/>
      <c r="AI2520" s="131"/>
      <c r="AJ2520" s="132"/>
      <c r="AK2520" s="127"/>
      <c r="AL2520" s="128"/>
      <c r="AM2520" s="21"/>
      <c r="AN2520" s="133">
        <v>45955</v>
      </c>
      <c r="AO2520" s="134"/>
      <c r="AP2520" s="135">
        <v>1273</v>
      </c>
      <c r="AQ2520" s="136"/>
      <c r="AR2520" s="118">
        <v>1485000</v>
      </c>
      <c r="AS2520" s="119"/>
      <c r="AT2520" s="118">
        <f t="shared" ref="AT2520" si="1056">AR2520*0.1</f>
        <v>148500</v>
      </c>
      <c r="AU2520" s="119"/>
      <c r="AV2520" s="118">
        <v>17880</v>
      </c>
      <c r="AW2520" s="119"/>
      <c r="AX2520" s="118">
        <f t="shared" ref="AX2520" si="1057">SUM(AR2520:AW2520)</f>
        <v>1651380</v>
      </c>
      <c r="AY2520" s="119"/>
      <c r="AZ2520" s="137">
        <v>45958</v>
      </c>
    </row>
    <row r="2521" spans="1:52" ht="17.100000000000001" customHeight="1" thickBot="1">
      <c r="A2521" s="110"/>
      <c r="B2521" s="27" t="s">
        <v>8454</v>
      </c>
      <c r="C2521" s="27"/>
      <c r="D2521" s="14"/>
      <c r="E2521" s="112"/>
      <c r="F2521" s="139" t="s">
        <v>8456</v>
      </c>
      <c r="G2521" s="140"/>
      <c r="H2521" s="141"/>
      <c r="I2521" s="26">
        <v>51209</v>
      </c>
      <c r="J2521" s="117"/>
      <c r="K2521" s="120"/>
      <c r="L2521" s="121"/>
      <c r="M2521" s="120"/>
      <c r="N2521" s="121"/>
      <c r="O2521" s="120"/>
      <c r="P2521" s="121"/>
      <c r="Q2521" s="120"/>
      <c r="R2521" s="121"/>
      <c r="S2521" s="120"/>
      <c r="T2521" s="121"/>
      <c r="U2521" s="120"/>
      <c r="V2521" s="123"/>
      <c r="W2521" s="125"/>
      <c r="X2521" s="142" t="s">
        <v>8458</v>
      </c>
      <c r="Y2521" s="143"/>
      <c r="Z2521" s="143"/>
      <c r="AA2521" s="143"/>
      <c r="AB2521" s="144"/>
      <c r="AC2521" s="16" t="s">
        <v>21</v>
      </c>
      <c r="AD2521" s="17" t="s">
        <v>1638</v>
      </c>
      <c r="AE2521" s="145" t="s">
        <v>1742</v>
      </c>
      <c r="AF2521" s="146"/>
      <c r="AG2521" s="146"/>
      <c r="AH2521" s="146"/>
      <c r="AI2521" s="147"/>
      <c r="AJ2521" s="148"/>
      <c r="AK2521" s="143"/>
      <c r="AL2521" s="144"/>
      <c r="AM2521" s="22"/>
      <c r="AN2521" s="149" t="s">
        <v>2511</v>
      </c>
      <c r="AO2521" s="144"/>
      <c r="AP2521" s="148">
        <v>82080</v>
      </c>
      <c r="AQ2521" s="144"/>
      <c r="AR2521" s="120"/>
      <c r="AS2521" s="121"/>
      <c r="AT2521" s="120"/>
      <c r="AU2521" s="121"/>
      <c r="AV2521" s="120"/>
      <c r="AW2521" s="121"/>
      <c r="AX2521" s="120"/>
      <c r="AY2521" s="121"/>
      <c r="AZ2521" s="138"/>
    </row>
    <row r="2522" spans="1:52" ht="17.100000000000001" customHeight="1" thickTop="1">
      <c r="A2522" s="109" t="s">
        <v>8471</v>
      </c>
      <c r="B2522" s="28">
        <v>45946</v>
      </c>
      <c r="C2522" s="25">
        <v>1954</v>
      </c>
      <c r="D2522" s="13" t="s">
        <v>2759</v>
      </c>
      <c r="E2522" s="111"/>
      <c r="F2522" s="113" t="s">
        <v>5438</v>
      </c>
      <c r="G2522" s="114"/>
      <c r="H2522" s="115"/>
      <c r="I2522" s="24"/>
      <c r="J2522" s="116">
        <v>4</v>
      </c>
      <c r="K2522" s="118">
        <v>685000</v>
      </c>
      <c r="L2522" s="119"/>
      <c r="M2522" s="118">
        <f t="shared" ref="M2522" si="1058">K2522*0.1</f>
        <v>68500</v>
      </c>
      <c r="N2522" s="119"/>
      <c r="O2522" s="118">
        <v>0</v>
      </c>
      <c r="P2522" s="119"/>
      <c r="Q2522" s="118">
        <v>7140</v>
      </c>
      <c r="R2522" s="119"/>
      <c r="S2522" s="118">
        <v>17050</v>
      </c>
      <c r="T2522" s="119"/>
      <c r="U2522" s="118">
        <f t="shared" ref="U2522" si="1059">SUM(K2522:T2523)</f>
        <v>777690</v>
      </c>
      <c r="V2522" s="122"/>
      <c r="W2522" s="124"/>
      <c r="X2522" s="126" t="s">
        <v>8799</v>
      </c>
      <c r="Y2522" s="127"/>
      <c r="Z2522" s="127"/>
      <c r="AA2522" s="127"/>
      <c r="AB2522" s="128"/>
      <c r="AC2522" s="15" t="s">
        <v>20</v>
      </c>
      <c r="AD2522" s="129"/>
      <c r="AE2522" s="130"/>
      <c r="AF2522" s="130"/>
      <c r="AG2522" s="130"/>
      <c r="AH2522" s="130"/>
      <c r="AI2522" s="131"/>
      <c r="AJ2522" s="132"/>
      <c r="AK2522" s="127"/>
      <c r="AL2522" s="128"/>
      <c r="AM2522" s="21"/>
      <c r="AN2522" s="133">
        <v>45955</v>
      </c>
      <c r="AO2522" s="134"/>
      <c r="AP2522" s="135">
        <v>1273</v>
      </c>
      <c r="AQ2522" s="136"/>
      <c r="AR2522" s="118">
        <v>765000</v>
      </c>
      <c r="AS2522" s="119"/>
      <c r="AT2522" s="118">
        <f t="shared" ref="AT2522" si="1060">AR2522*0.1</f>
        <v>76500</v>
      </c>
      <c r="AU2522" s="119"/>
      <c r="AV2522" s="118">
        <v>7140</v>
      </c>
      <c r="AW2522" s="119"/>
      <c r="AX2522" s="118">
        <f t="shared" ref="AX2522" si="1061">SUM(AR2522:AW2522)</f>
        <v>848640</v>
      </c>
      <c r="AY2522" s="119"/>
      <c r="AZ2522" s="137">
        <v>45958</v>
      </c>
    </row>
    <row r="2523" spans="1:52" ht="17.100000000000001" customHeight="1" thickBot="1">
      <c r="A2523" s="110"/>
      <c r="B2523" s="27" t="s">
        <v>3792</v>
      </c>
      <c r="C2523" s="27">
        <v>3038</v>
      </c>
      <c r="D2523" s="14" t="s">
        <v>3327</v>
      </c>
      <c r="E2523" s="112"/>
      <c r="F2523" s="139" t="s">
        <v>8389</v>
      </c>
      <c r="G2523" s="140"/>
      <c r="H2523" s="141"/>
      <c r="I2523" s="26">
        <v>48725</v>
      </c>
      <c r="J2523" s="117"/>
      <c r="K2523" s="120"/>
      <c r="L2523" s="121"/>
      <c r="M2523" s="120"/>
      <c r="N2523" s="121"/>
      <c r="O2523" s="120"/>
      <c r="P2523" s="121"/>
      <c r="Q2523" s="120"/>
      <c r="R2523" s="121"/>
      <c r="S2523" s="120"/>
      <c r="T2523" s="121"/>
      <c r="U2523" s="120"/>
      <c r="V2523" s="123"/>
      <c r="W2523" s="125"/>
      <c r="X2523" s="142" t="s">
        <v>8800</v>
      </c>
      <c r="Y2523" s="143"/>
      <c r="Z2523" s="143"/>
      <c r="AA2523" s="143"/>
      <c r="AB2523" s="144"/>
      <c r="AC2523" s="16" t="s">
        <v>21</v>
      </c>
      <c r="AD2523" s="17" t="s">
        <v>8763</v>
      </c>
      <c r="AE2523" s="145"/>
      <c r="AF2523" s="146"/>
      <c r="AG2523" s="146"/>
      <c r="AH2523" s="146"/>
      <c r="AI2523" s="147"/>
      <c r="AJ2523" s="148"/>
      <c r="AK2523" s="143"/>
      <c r="AL2523" s="144"/>
      <c r="AM2523" s="22"/>
      <c r="AN2523" s="149" t="s">
        <v>2511</v>
      </c>
      <c r="AO2523" s="144"/>
      <c r="AP2523" s="148">
        <v>60037</v>
      </c>
      <c r="AQ2523" s="144"/>
      <c r="AR2523" s="120"/>
      <c r="AS2523" s="121"/>
      <c r="AT2523" s="120"/>
      <c r="AU2523" s="121"/>
      <c r="AV2523" s="120"/>
      <c r="AW2523" s="121"/>
      <c r="AX2523" s="120"/>
      <c r="AY2523" s="121"/>
      <c r="AZ2523" s="138"/>
    </row>
    <row r="2524" spans="1:52" ht="17.100000000000001" customHeight="1" thickTop="1">
      <c r="A2524" s="109" t="s">
        <v>9117</v>
      </c>
      <c r="B2524" s="28">
        <v>45946</v>
      </c>
      <c r="C2524" s="25">
        <v>1954</v>
      </c>
      <c r="D2524" s="13" t="s">
        <v>3530</v>
      </c>
      <c r="E2524" s="111"/>
      <c r="F2524" s="113" t="s">
        <v>4980</v>
      </c>
      <c r="G2524" s="114"/>
      <c r="H2524" s="115"/>
      <c r="I2524" s="24" t="s">
        <v>2943</v>
      </c>
      <c r="J2524" s="116">
        <v>4.5</v>
      </c>
      <c r="K2524" s="118">
        <v>950000</v>
      </c>
      <c r="L2524" s="119"/>
      <c r="M2524" s="118">
        <f t="shared" ref="M2524" si="1062">K2524*0.1</f>
        <v>95000</v>
      </c>
      <c r="N2524" s="119"/>
      <c r="O2524" s="118">
        <v>6490</v>
      </c>
      <c r="P2524" s="119"/>
      <c r="Q2524" s="118">
        <v>7440</v>
      </c>
      <c r="R2524" s="119"/>
      <c r="S2524" s="118">
        <v>15950</v>
      </c>
      <c r="T2524" s="119"/>
      <c r="U2524" s="118">
        <f t="shared" ref="U2524" si="1063">SUM(K2524:T2525)</f>
        <v>1074880</v>
      </c>
      <c r="V2524" s="122"/>
      <c r="W2524" s="124"/>
      <c r="X2524" s="126" t="s">
        <v>8391</v>
      </c>
      <c r="Y2524" s="127"/>
      <c r="Z2524" s="127"/>
      <c r="AA2524" s="127"/>
      <c r="AB2524" s="128"/>
      <c r="AC2524" s="15" t="s">
        <v>20</v>
      </c>
      <c r="AD2524" s="129"/>
      <c r="AE2524" s="130"/>
      <c r="AF2524" s="130"/>
      <c r="AG2524" s="130"/>
      <c r="AH2524" s="130"/>
      <c r="AI2524" s="131"/>
      <c r="AJ2524" s="132"/>
      <c r="AK2524" s="127"/>
      <c r="AL2524" s="128"/>
      <c r="AM2524" s="21"/>
      <c r="AN2524" s="133">
        <v>45962</v>
      </c>
      <c r="AO2524" s="134"/>
      <c r="AP2524" s="135">
        <v>1274</v>
      </c>
      <c r="AQ2524" s="136"/>
      <c r="AR2524" s="118">
        <v>1075000</v>
      </c>
      <c r="AS2524" s="119"/>
      <c r="AT2524" s="118">
        <f t="shared" ref="AT2524" si="1064">AR2524*0.1</f>
        <v>107500</v>
      </c>
      <c r="AU2524" s="119"/>
      <c r="AV2524" s="118">
        <v>7440</v>
      </c>
      <c r="AW2524" s="119"/>
      <c r="AX2524" s="118">
        <f t="shared" ref="AX2524" si="1065">SUM(AR2524:AW2524)</f>
        <v>1189940</v>
      </c>
      <c r="AY2524" s="119"/>
      <c r="AZ2524" s="137">
        <v>45965</v>
      </c>
    </row>
    <row r="2525" spans="1:52" ht="17.100000000000001" customHeight="1" thickBot="1">
      <c r="A2525" s="110"/>
      <c r="B2525" s="27" t="s">
        <v>3792</v>
      </c>
      <c r="C2525" s="27">
        <v>62003</v>
      </c>
      <c r="D2525" s="14" t="s">
        <v>1592</v>
      </c>
      <c r="E2525" s="112"/>
      <c r="F2525" s="139" t="s">
        <v>8390</v>
      </c>
      <c r="G2525" s="140"/>
      <c r="H2525" s="141"/>
      <c r="I2525" s="26">
        <v>30979</v>
      </c>
      <c r="J2525" s="117"/>
      <c r="K2525" s="120"/>
      <c r="L2525" s="121"/>
      <c r="M2525" s="120"/>
      <c r="N2525" s="121"/>
      <c r="O2525" s="120"/>
      <c r="P2525" s="121"/>
      <c r="Q2525" s="120"/>
      <c r="R2525" s="121"/>
      <c r="S2525" s="120"/>
      <c r="T2525" s="121"/>
      <c r="U2525" s="120"/>
      <c r="V2525" s="123"/>
      <c r="W2525" s="125"/>
      <c r="X2525" s="142" t="s">
        <v>7450</v>
      </c>
      <c r="Y2525" s="143"/>
      <c r="Z2525" s="143"/>
      <c r="AA2525" s="143"/>
      <c r="AB2525" s="144"/>
      <c r="AC2525" s="16" t="s">
        <v>21</v>
      </c>
      <c r="AD2525" s="17" t="s">
        <v>8956</v>
      </c>
      <c r="AE2525" s="145" t="s">
        <v>7842</v>
      </c>
      <c r="AF2525" s="146"/>
      <c r="AG2525" s="146"/>
      <c r="AH2525" s="146"/>
      <c r="AI2525" s="147"/>
      <c r="AJ2525" s="148"/>
      <c r="AK2525" s="143"/>
      <c r="AL2525" s="144"/>
      <c r="AM2525" s="22"/>
      <c r="AN2525" s="149" t="s">
        <v>2511</v>
      </c>
      <c r="AO2525" s="144"/>
      <c r="AP2525" s="148">
        <v>41032</v>
      </c>
      <c r="AQ2525" s="144"/>
      <c r="AR2525" s="120"/>
      <c r="AS2525" s="121"/>
      <c r="AT2525" s="120"/>
      <c r="AU2525" s="121"/>
      <c r="AV2525" s="120"/>
      <c r="AW2525" s="121"/>
      <c r="AX2525" s="120"/>
      <c r="AY2525" s="121"/>
      <c r="AZ2525" s="138"/>
    </row>
    <row r="2526" spans="1:52" ht="17.100000000000001" customHeight="1" thickTop="1">
      <c r="A2526" s="109" t="s">
        <v>8472</v>
      </c>
      <c r="B2526" s="28">
        <v>45946</v>
      </c>
      <c r="C2526" s="25">
        <v>1302</v>
      </c>
      <c r="D2526" s="13" t="s">
        <v>4860</v>
      </c>
      <c r="E2526" s="111"/>
      <c r="F2526" s="113" t="s">
        <v>8483</v>
      </c>
      <c r="G2526" s="114"/>
      <c r="H2526" s="115"/>
      <c r="I2526" s="24" t="s">
        <v>2919</v>
      </c>
      <c r="J2526" s="116">
        <v>4</v>
      </c>
      <c r="K2526" s="118">
        <v>785000</v>
      </c>
      <c r="L2526" s="119"/>
      <c r="M2526" s="118">
        <f t="shared" ref="M2526" si="1066">K2526*0.1</f>
        <v>78500</v>
      </c>
      <c r="N2526" s="119"/>
      <c r="O2526" s="118">
        <f>16400+1640</f>
        <v>18040</v>
      </c>
      <c r="P2526" s="119"/>
      <c r="Q2526" s="118">
        <v>18960</v>
      </c>
      <c r="R2526" s="119"/>
      <c r="S2526" s="118">
        <v>16500</v>
      </c>
      <c r="T2526" s="119"/>
      <c r="U2526" s="118">
        <f t="shared" ref="U2526" si="1067">SUM(K2526:T2527)</f>
        <v>917000</v>
      </c>
      <c r="V2526" s="122"/>
      <c r="W2526" s="124"/>
      <c r="X2526" s="126" t="s">
        <v>8485</v>
      </c>
      <c r="Y2526" s="127"/>
      <c r="Z2526" s="127"/>
      <c r="AA2526" s="127"/>
      <c r="AB2526" s="128"/>
      <c r="AC2526" s="15" t="s">
        <v>20</v>
      </c>
      <c r="AD2526" s="129" t="s">
        <v>8486</v>
      </c>
      <c r="AE2526" s="130"/>
      <c r="AF2526" s="130"/>
      <c r="AG2526" s="130"/>
      <c r="AH2526" s="130"/>
      <c r="AI2526" s="131"/>
      <c r="AJ2526" s="132"/>
      <c r="AK2526" s="127"/>
      <c r="AL2526" s="128"/>
      <c r="AM2526" s="21"/>
      <c r="AN2526" s="133">
        <v>45955</v>
      </c>
      <c r="AO2526" s="134"/>
      <c r="AP2526" s="135">
        <v>1273</v>
      </c>
      <c r="AQ2526" s="136"/>
      <c r="AR2526" s="118">
        <v>950000</v>
      </c>
      <c r="AS2526" s="119"/>
      <c r="AT2526" s="118">
        <f t="shared" ref="AT2526" si="1068">AR2526*0.1</f>
        <v>95000</v>
      </c>
      <c r="AU2526" s="119"/>
      <c r="AV2526" s="118">
        <v>18960</v>
      </c>
      <c r="AW2526" s="119"/>
      <c r="AX2526" s="118">
        <f t="shared" ref="AX2526" si="1069">SUM(AR2526:AW2526)</f>
        <v>1063960</v>
      </c>
      <c r="AY2526" s="119"/>
      <c r="AZ2526" s="137">
        <v>45958</v>
      </c>
    </row>
    <row r="2527" spans="1:52" ht="17.100000000000001" customHeight="1" thickBot="1">
      <c r="A2527" s="110"/>
      <c r="B2527" s="27" t="s">
        <v>1747</v>
      </c>
      <c r="C2527" s="27">
        <v>611</v>
      </c>
      <c r="D2527" s="14" t="s">
        <v>1576</v>
      </c>
      <c r="E2527" s="112"/>
      <c r="F2527" s="139" t="s">
        <v>8484</v>
      </c>
      <c r="G2527" s="140"/>
      <c r="H2527" s="141"/>
      <c r="I2527" s="26">
        <v>41829</v>
      </c>
      <c r="J2527" s="117"/>
      <c r="K2527" s="120"/>
      <c r="L2527" s="121"/>
      <c r="M2527" s="120"/>
      <c r="N2527" s="121"/>
      <c r="O2527" s="120"/>
      <c r="P2527" s="121"/>
      <c r="Q2527" s="120"/>
      <c r="R2527" s="121"/>
      <c r="S2527" s="120"/>
      <c r="T2527" s="121"/>
      <c r="U2527" s="120"/>
      <c r="V2527" s="123"/>
      <c r="W2527" s="125"/>
      <c r="X2527" s="142" t="s">
        <v>4663</v>
      </c>
      <c r="Y2527" s="143"/>
      <c r="Z2527" s="143"/>
      <c r="AA2527" s="143"/>
      <c r="AB2527" s="144"/>
      <c r="AC2527" s="16" t="s">
        <v>21</v>
      </c>
      <c r="AD2527" s="17" t="s">
        <v>1665</v>
      </c>
      <c r="AE2527" s="145" t="s">
        <v>1658</v>
      </c>
      <c r="AF2527" s="146"/>
      <c r="AG2527" s="146"/>
      <c r="AH2527" s="146"/>
      <c r="AI2527" s="147"/>
      <c r="AJ2527" s="148"/>
      <c r="AK2527" s="143"/>
      <c r="AL2527" s="144"/>
      <c r="AM2527" s="22"/>
      <c r="AN2527" s="149" t="s">
        <v>2511</v>
      </c>
      <c r="AO2527" s="144"/>
      <c r="AP2527" s="148">
        <v>80010</v>
      </c>
      <c r="AQ2527" s="144"/>
      <c r="AR2527" s="120"/>
      <c r="AS2527" s="121"/>
      <c r="AT2527" s="120"/>
      <c r="AU2527" s="121"/>
      <c r="AV2527" s="120"/>
      <c r="AW2527" s="121"/>
      <c r="AX2527" s="120"/>
      <c r="AY2527" s="121"/>
      <c r="AZ2527" s="138"/>
    </row>
    <row r="2528" spans="1:52" ht="17.100000000000001" customHeight="1" thickTop="1">
      <c r="A2528" s="109" t="s">
        <v>8473</v>
      </c>
      <c r="B2528" s="28">
        <v>45946</v>
      </c>
      <c r="C2528" s="25">
        <v>2130</v>
      </c>
      <c r="D2528" s="13" t="s">
        <v>1896</v>
      </c>
      <c r="E2528" s="111"/>
      <c r="F2528" s="113" t="s">
        <v>5090</v>
      </c>
      <c r="G2528" s="114"/>
      <c r="H2528" s="115"/>
      <c r="I2528" s="24"/>
      <c r="J2528" s="116">
        <v>3.5</v>
      </c>
      <c r="K2528" s="118">
        <v>531000</v>
      </c>
      <c r="L2528" s="119"/>
      <c r="M2528" s="118">
        <f t="shared" ref="M2528" si="1070">K2528*0.1</f>
        <v>53100</v>
      </c>
      <c r="N2528" s="119"/>
      <c r="O2528" s="118">
        <v>0</v>
      </c>
      <c r="P2528" s="119"/>
      <c r="Q2528" s="118">
        <v>10070</v>
      </c>
      <c r="R2528" s="119"/>
      <c r="S2528" s="118">
        <v>13750</v>
      </c>
      <c r="T2528" s="119"/>
      <c r="U2528" s="118">
        <f t="shared" ref="U2528" si="1071">SUM(K2528:T2529)</f>
        <v>607920</v>
      </c>
      <c r="V2528" s="122"/>
      <c r="W2528" s="124"/>
      <c r="X2528" s="126" t="s">
        <v>9110</v>
      </c>
      <c r="Y2528" s="127"/>
      <c r="Z2528" s="127"/>
      <c r="AA2528" s="127"/>
      <c r="AB2528" s="128"/>
      <c r="AC2528" s="15" t="s">
        <v>20</v>
      </c>
      <c r="AD2528" s="129" t="s">
        <v>2781</v>
      </c>
      <c r="AE2528" s="130"/>
      <c r="AF2528" s="130"/>
      <c r="AG2528" s="130"/>
      <c r="AH2528" s="130"/>
      <c r="AI2528" s="131"/>
      <c r="AJ2528" s="132"/>
      <c r="AK2528" s="127"/>
      <c r="AL2528" s="128"/>
      <c r="AM2528" s="21"/>
      <c r="AN2528" s="133">
        <v>45962</v>
      </c>
      <c r="AO2528" s="134"/>
      <c r="AP2528" s="135">
        <v>1274</v>
      </c>
      <c r="AQ2528" s="136"/>
      <c r="AR2528" s="118">
        <v>585000</v>
      </c>
      <c r="AS2528" s="119"/>
      <c r="AT2528" s="118">
        <f t="shared" ref="AT2528" si="1072">AR2528*0.1</f>
        <v>58500</v>
      </c>
      <c r="AU2528" s="119"/>
      <c r="AV2528" s="118">
        <v>10070</v>
      </c>
      <c r="AW2528" s="119"/>
      <c r="AX2528" s="118">
        <f t="shared" ref="AX2528" si="1073">SUM(AR2528:AW2528)</f>
        <v>653570</v>
      </c>
      <c r="AY2528" s="119"/>
      <c r="AZ2528" s="137">
        <v>45965</v>
      </c>
    </row>
    <row r="2529" spans="1:52" ht="17.100000000000001" customHeight="1" thickBot="1">
      <c r="A2529" s="110"/>
      <c r="B2529" s="27" t="s">
        <v>3281</v>
      </c>
      <c r="C2529" s="27">
        <v>146</v>
      </c>
      <c r="D2529" s="14" t="s">
        <v>1635</v>
      </c>
      <c r="E2529" s="112"/>
      <c r="F2529" s="139" t="s">
        <v>8489</v>
      </c>
      <c r="G2529" s="140"/>
      <c r="H2529" s="141"/>
      <c r="I2529" s="26">
        <v>52521</v>
      </c>
      <c r="J2529" s="117"/>
      <c r="K2529" s="120"/>
      <c r="L2529" s="121"/>
      <c r="M2529" s="120"/>
      <c r="N2529" s="121"/>
      <c r="O2529" s="120"/>
      <c r="P2529" s="121"/>
      <c r="Q2529" s="120"/>
      <c r="R2529" s="121"/>
      <c r="S2529" s="120"/>
      <c r="T2529" s="121"/>
      <c r="U2529" s="120"/>
      <c r="V2529" s="123"/>
      <c r="W2529" s="125"/>
      <c r="X2529" s="142" t="s">
        <v>9111</v>
      </c>
      <c r="Y2529" s="143"/>
      <c r="Z2529" s="143"/>
      <c r="AA2529" s="143"/>
      <c r="AB2529" s="144"/>
      <c r="AC2529" s="16" t="s">
        <v>21</v>
      </c>
      <c r="AD2529" s="17" t="s">
        <v>8956</v>
      </c>
      <c r="AE2529" s="145" t="s">
        <v>9112</v>
      </c>
      <c r="AF2529" s="146"/>
      <c r="AG2529" s="146"/>
      <c r="AH2529" s="146"/>
      <c r="AI2529" s="147"/>
      <c r="AJ2529" s="148"/>
      <c r="AK2529" s="143"/>
      <c r="AL2529" s="144"/>
      <c r="AM2529" s="22"/>
      <c r="AN2529" s="149" t="s">
        <v>2511</v>
      </c>
      <c r="AO2529" s="144"/>
      <c r="AP2529" s="148">
        <v>60053</v>
      </c>
      <c r="AQ2529" s="144"/>
      <c r="AR2529" s="120"/>
      <c r="AS2529" s="121"/>
      <c r="AT2529" s="120"/>
      <c r="AU2529" s="121"/>
      <c r="AV2529" s="120"/>
      <c r="AW2529" s="121"/>
      <c r="AX2529" s="120"/>
      <c r="AY2529" s="121"/>
      <c r="AZ2529" s="138"/>
    </row>
    <row r="2530" spans="1:52" ht="17.100000000000001" customHeight="1" thickTop="1">
      <c r="A2530" s="109" t="s">
        <v>8474</v>
      </c>
      <c r="B2530" s="28">
        <v>45946</v>
      </c>
      <c r="C2530" s="25">
        <v>2130</v>
      </c>
      <c r="D2530" s="13" t="s">
        <v>3832</v>
      </c>
      <c r="E2530" s="111"/>
      <c r="F2530" s="113" t="s">
        <v>4720</v>
      </c>
      <c r="G2530" s="114"/>
      <c r="H2530" s="115"/>
      <c r="I2530" s="24" t="s">
        <v>8500</v>
      </c>
      <c r="J2530" s="116">
        <v>4</v>
      </c>
      <c r="K2530" s="118">
        <v>1180000</v>
      </c>
      <c r="L2530" s="119"/>
      <c r="M2530" s="118">
        <f t="shared" ref="M2530" si="1074">K2530*0.1</f>
        <v>118000</v>
      </c>
      <c r="N2530" s="119"/>
      <c r="O2530" s="118">
        <v>0</v>
      </c>
      <c r="P2530" s="119"/>
      <c r="Q2530" s="118">
        <v>6830</v>
      </c>
      <c r="R2530" s="119"/>
      <c r="S2530" s="118">
        <v>13750</v>
      </c>
      <c r="T2530" s="119"/>
      <c r="U2530" s="118">
        <f t="shared" ref="U2530" si="1075">SUM(K2530:T2531)</f>
        <v>1318580</v>
      </c>
      <c r="V2530" s="122"/>
      <c r="W2530" s="124"/>
      <c r="X2530" s="126" t="s">
        <v>9348</v>
      </c>
      <c r="Y2530" s="127"/>
      <c r="Z2530" s="127"/>
      <c r="AA2530" s="127"/>
      <c r="AB2530" s="128"/>
      <c r="AC2530" s="15" t="s">
        <v>20</v>
      </c>
      <c r="AD2530" s="129" t="s">
        <v>2385</v>
      </c>
      <c r="AE2530" s="130"/>
      <c r="AF2530" s="130"/>
      <c r="AG2530" s="130"/>
      <c r="AH2530" s="130"/>
      <c r="AI2530" s="131"/>
      <c r="AJ2530" s="132"/>
      <c r="AK2530" s="127"/>
      <c r="AL2530" s="128"/>
      <c r="AM2530" s="21" t="s">
        <v>10402</v>
      </c>
      <c r="AN2530" s="133">
        <v>45969</v>
      </c>
      <c r="AO2530" s="134"/>
      <c r="AP2530" s="135">
        <v>1275</v>
      </c>
      <c r="AQ2530" s="136"/>
      <c r="AR2530" s="118">
        <v>1240000</v>
      </c>
      <c r="AS2530" s="119"/>
      <c r="AT2530" s="118">
        <f t="shared" ref="AT2530" si="1076">AR2530*0.1</f>
        <v>124000</v>
      </c>
      <c r="AU2530" s="119"/>
      <c r="AV2530" s="118">
        <v>6830</v>
      </c>
      <c r="AW2530" s="119"/>
      <c r="AX2530" s="118">
        <f t="shared" ref="AX2530" si="1077">SUM(AR2530:AW2530)</f>
        <v>1370830</v>
      </c>
      <c r="AY2530" s="119"/>
      <c r="AZ2530" s="137">
        <v>45974</v>
      </c>
    </row>
    <row r="2531" spans="1:52" ht="17.100000000000001" customHeight="1" thickBot="1">
      <c r="A2531" s="110"/>
      <c r="B2531" s="27" t="s">
        <v>3281</v>
      </c>
      <c r="C2531" s="27">
        <v>2141</v>
      </c>
      <c r="D2531" s="14" t="s">
        <v>1812</v>
      </c>
      <c r="E2531" s="112"/>
      <c r="F2531" s="139" t="s">
        <v>8490</v>
      </c>
      <c r="G2531" s="140"/>
      <c r="H2531" s="141"/>
      <c r="I2531" s="26">
        <v>45086</v>
      </c>
      <c r="J2531" s="117"/>
      <c r="K2531" s="120"/>
      <c r="L2531" s="121"/>
      <c r="M2531" s="120"/>
      <c r="N2531" s="121"/>
      <c r="O2531" s="120"/>
      <c r="P2531" s="121"/>
      <c r="Q2531" s="120"/>
      <c r="R2531" s="121"/>
      <c r="S2531" s="120"/>
      <c r="T2531" s="121"/>
      <c r="U2531" s="120"/>
      <c r="V2531" s="123"/>
      <c r="W2531" s="125"/>
      <c r="X2531" s="142" t="s">
        <v>9347</v>
      </c>
      <c r="Y2531" s="143"/>
      <c r="Z2531" s="143"/>
      <c r="AA2531" s="143"/>
      <c r="AB2531" s="144"/>
      <c r="AC2531" s="16" t="s">
        <v>21</v>
      </c>
      <c r="AD2531" s="17" t="s">
        <v>9274</v>
      </c>
      <c r="AE2531" s="145" t="s">
        <v>4106</v>
      </c>
      <c r="AF2531" s="146"/>
      <c r="AG2531" s="146"/>
      <c r="AH2531" s="146"/>
      <c r="AI2531" s="147"/>
      <c r="AJ2531" s="148"/>
      <c r="AK2531" s="143"/>
      <c r="AL2531" s="144"/>
      <c r="AM2531" s="22"/>
      <c r="AN2531" s="149" t="s">
        <v>2511</v>
      </c>
      <c r="AO2531" s="144"/>
      <c r="AP2531" s="148">
        <v>60089</v>
      </c>
      <c r="AQ2531" s="144"/>
      <c r="AR2531" s="120"/>
      <c r="AS2531" s="121"/>
      <c r="AT2531" s="120"/>
      <c r="AU2531" s="121"/>
      <c r="AV2531" s="120"/>
      <c r="AW2531" s="121"/>
      <c r="AX2531" s="120"/>
      <c r="AY2531" s="121"/>
      <c r="AZ2531" s="138"/>
    </row>
    <row r="2532" spans="1:52" ht="17.100000000000001" customHeight="1" thickTop="1">
      <c r="A2532" s="109" t="s">
        <v>8475</v>
      </c>
      <c r="B2532" s="28">
        <v>45946</v>
      </c>
      <c r="C2532" s="25">
        <v>2130</v>
      </c>
      <c r="D2532" s="13" t="s">
        <v>1537</v>
      </c>
      <c r="E2532" s="111"/>
      <c r="F2532" s="113" t="s">
        <v>8501</v>
      </c>
      <c r="G2532" s="114"/>
      <c r="H2532" s="115"/>
      <c r="I2532" s="24" t="s">
        <v>4889</v>
      </c>
      <c r="J2532" s="116">
        <v>4.5</v>
      </c>
      <c r="K2532" s="118">
        <v>883000</v>
      </c>
      <c r="L2532" s="119"/>
      <c r="M2532" s="118">
        <f t="shared" ref="M2532" si="1078">K2532*0.1</f>
        <v>88300</v>
      </c>
      <c r="N2532" s="119"/>
      <c r="O2532" s="118">
        <v>0</v>
      </c>
      <c r="P2532" s="119"/>
      <c r="Q2532" s="118">
        <v>8400</v>
      </c>
      <c r="R2532" s="119"/>
      <c r="S2532" s="118">
        <v>13750</v>
      </c>
      <c r="T2532" s="119"/>
      <c r="U2532" s="118">
        <f t="shared" ref="U2532" si="1079">SUM(K2532:T2533)</f>
        <v>993450</v>
      </c>
      <c r="V2532" s="122"/>
      <c r="W2532" s="124"/>
      <c r="X2532" s="126" t="s">
        <v>9048</v>
      </c>
      <c r="Y2532" s="127"/>
      <c r="Z2532" s="127"/>
      <c r="AA2532" s="127"/>
      <c r="AB2532" s="128"/>
      <c r="AC2532" s="15" t="s">
        <v>20</v>
      </c>
      <c r="AD2532" s="129"/>
      <c r="AE2532" s="130"/>
      <c r="AF2532" s="130"/>
      <c r="AG2532" s="130"/>
      <c r="AH2532" s="130"/>
      <c r="AI2532" s="131"/>
      <c r="AJ2532" s="132"/>
      <c r="AK2532" s="127"/>
      <c r="AL2532" s="128"/>
      <c r="AM2532" s="21"/>
      <c r="AN2532" s="133">
        <v>45951</v>
      </c>
      <c r="AO2532" s="134"/>
      <c r="AP2532" s="135">
        <v>1914</v>
      </c>
      <c r="AQ2532" s="136"/>
      <c r="AR2532" s="118">
        <v>955000</v>
      </c>
      <c r="AS2532" s="119"/>
      <c r="AT2532" s="118">
        <f t="shared" ref="AT2532" si="1080">AR2532*0.1</f>
        <v>95500</v>
      </c>
      <c r="AU2532" s="119"/>
      <c r="AV2532" s="118">
        <v>8400</v>
      </c>
      <c r="AW2532" s="119"/>
      <c r="AX2532" s="118">
        <f t="shared" ref="AX2532" si="1081">SUM(AR2532:AW2532)</f>
        <v>1058900</v>
      </c>
      <c r="AY2532" s="119"/>
      <c r="AZ2532" s="137">
        <v>45957</v>
      </c>
    </row>
    <row r="2533" spans="1:52" ht="17.100000000000001" customHeight="1" thickBot="1">
      <c r="A2533" s="110"/>
      <c r="B2533" s="27" t="s">
        <v>3281</v>
      </c>
      <c r="C2533" s="27">
        <v>2142</v>
      </c>
      <c r="D2533" s="14" t="s">
        <v>2836</v>
      </c>
      <c r="E2533" s="112"/>
      <c r="F2533" s="139" t="s">
        <v>8491</v>
      </c>
      <c r="G2533" s="140"/>
      <c r="H2533" s="141"/>
      <c r="I2533" s="26">
        <v>12900</v>
      </c>
      <c r="J2533" s="117"/>
      <c r="K2533" s="120"/>
      <c r="L2533" s="121"/>
      <c r="M2533" s="120"/>
      <c r="N2533" s="121"/>
      <c r="O2533" s="120"/>
      <c r="P2533" s="121"/>
      <c r="Q2533" s="120"/>
      <c r="R2533" s="121"/>
      <c r="S2533" s="120"/>
      <c r="T2533" s="121"/>
      <c r="U2533" s="120"/>
      <c r="V2533" s="123"/>
      <c r="W2533" s="125"/>
      <c r="X2533" s="142" t="s">
        <v>9049</v>
      </c>
      <c r="Y2533" s="143"/>
      <c r="Z2533" s="143"/>
      <c r="AA2533" s="143"/>
      <c r="AB2533" s="144"/>
      <c r="AC2533" s="16" t="s">
        <v>21</v>
      </c>
      <c r="AD2533" s="17" t="s">
        <v>8956</v>
      </c>
      <c r="AE2533" s="145"/>
      <c r="AF2533" s="146"/>
      <c r="AG2533" s="146"/>
      <c r="AH2533" s="146"/>
      <c r="AI2533" s="147"/>
      <c r="AJ2533" s="148"/>
      <c r="AK2533" s="143"/>
      <c r="AL2533" s="144"/>
      <c r="AM2533" s="22"/>
      <c r="AN2533" s="149" t="s">
        <v>2131</v>
      </c>
      <c r="AO2533" s="144"/>
      <c r="AP2533" s="148">
        <v>3369</v>
      </c>
      <c r="AQ2533" s="144"/>
      <c r="AR2533" s="120"/>
      <c r="AS2533" s="121"/>
      <c r="AT2533" s="120"/>
      <c r="AU2533" s="121"/>
      <c r="AV2533" s="120"/>
      <c r="AW2533" s="121"/>
      <c r="AX2533" s="120"/>
      <c r="AY2533" s="121"/>
      <c r="AZ2533" s="138"/>
    </row>
    <row r="2534" spans="1:52" ht="17.100000000000001" customHeight="1" thickTop="1">
      <c r="A2534" s="109" t="s">
        <v>8476</v>
      </c>
      <c r="B2534" s="28">
        <v>45946</v>
      </c>
      <c r="C2534" s="25">
        <v>2130</v>
      </c>
      <c r="D2534" s="13" t="s">
        <v>5627</v>
      </c>
      <c r="E2534" s="111"/>
      <c r="F2534" s="113" t="s">
        <v>8502</v>
      </c>
      <c r="G2534" s="114"/>
      <c r="H2534" s="115"/>
      <c r="I2534" s="24" t="s">
        <v>8503</v>
      </c>
      <c r="J2534" s="116">
        <v>4.5</v>
      </c>
      <c r="K2534" s="118">
        <v>561000</v>
      </c>
      <c r="L2534" s="119"/>
      <c r="M2534" s="118">
        <f t="shared" ref="M2534" si="1082">K2534*0.1</f>
        <v>56100</v>
      </c>
      <c r="N2534" s="119"/>
      <c r="O2534" s="118">
        <v>0</v>
      </c>
      <c r="P2534" s="119"/>
      <c r="Q2534" s="118">
        <v>9670</v>
      </c>
      <c r="R2534" s="119"/>
      <c r="S2534" s="118">
        <v>13750</v>
      </c>
      <c r="T2534" s="119"/>
      <c r="U2534" s="118">
        <f t="shared" ref="U2534" si="1083">SUM(K2534:T2535)</f>
        <v>640520</v>
      </c>
      <c r="V2534" s="122"/>
      <c r="W2534" s="124"/>
      <c r="X2534" s="126" t="s">
        <v>9107</v>
      </c>
      <c r="Y2534" s="127"/>
      <c r="Z2534" s="127"/>
      <c r="AA2534" s="127"/>
      <c r="AB2534" s="128"/>
      <c r="AC2534" s="15" t="s">
        <v>20</v>
      </c>
      <c r="AD2534" s="129" t="s">
        <v>9109</v>
      </c>
      <c r="AE2534" s="130"/>
      <c r="AF2534" s="130"/>
      <c r="AG2534" s="130"/>
      <c r="AH2534" s="130"/>
      <c r="AI2534" s="131"/>
      <c r="AJ2534" s="132"/>
      <c r="AK2534" s="127"/>
      <c r="AL2534" s="128"/>
      <c r="AM2534" s="21"/>
      <c r="AN2534" s="133">
        <v>45955</v>
      </c>
      <c r="AO2534" s="134"/>
      <c r="AP2534" s="135">
        <v>1273</v>
      </c>
      <c r="AQ2534" s="136"/>
      <c r="AR2534" s="118">
        <v>615000</v>
      </c>
      <c r="AS2534" s="119"/>
      <c r="AT2534" s="118">
        <f t="shared" ref="AT2534" si="1084">AR2534*0.1</f>
        <v>61500</v>
      </c>
      <c r="AU2534" s="119"/>
      <c r="AV2534" s="118">
        <v>9670</v>
      </c>
      <c r="AW2534" s="119"/>
      <c r="AX2534" s="118">
        <f t="shared" ref="AX2534" si="1085">SUM(AR2534:AW2534)</f>
        <v>686170</v>
      </c>
      <c r="AY2534" s="119"/>
      <c r="AZ2534" s="137">
        <v>45958</v>
      </c>
    </row>
    <row r="2535" spans="1:52" ht="17.100000000000001" customHeight="1" thickBot="1">
      <c r="A2535" s="110"/>
      <c r="B2535" s="27" t="s">
        <v>3281</v>
      </c>
      <c r="C2535" s="27">
        <v>2549</v>
      </c>
      <c r="D2535" s="14" t="s">
        <v>133</v>
      </c>
      <c r="E2535" s="112"/>
      <c r="F2535" s="139" t="s">
        <v>8492</v>
      </c>
      <c r="G2535" s="140"/>
      <c r="H2535" s="141"/>
      <c r="I2535" s="26">
        <v>19600</v>
      </c>
      <c r="J2535" s="117"/>
      <c r="K2535" s="120"/>
      <c r="L2535" s="121"/>
      <c r="M2535" s="120"/>
      <c r="N2535" s="121"/>
      <c r="O2535" s="120"/>
      <c r="P2535" s="121"/>
      <c r="Q2535" s="120"/>
      <c r="R2535" s="121"/>
      <c r="S2535" s="120"/>
      <c r="T2535" s="121"/>
      <c r="U2535" s="120"/>
      <c r="V2535" s="123"/>
      <c r="W2535" s="125"/>
      <c r="X2535" s="142" t="s">
        <v>9108</v>
      </c>
      <c r="Y2535" s="143"/>
      <c r="Z2535" s="143"/>
      <c r="AA2535" s="143"/>
      <c r="AB2535" s="144"/>
      <c r="AC2535" s="16" t="s">
        <v>21</v>
      </c>
      <c r="AD2535" s="17" t="s">
        <v>8956</v>
      </c>
      <c r="AE2535" s="145" t="s">
        <v>1609</v>
      </c>
      <c r="AF2535" s="146"/>
      <c r="AG2535" s="146"/>
      <c r="AH2535" s="146"/>
      <c r="AI2535" s="147"/>
      <c r="AJ2535" s="148"/>
      <c r="AK2535" s="143"/>
      <c r="AL2535" s="144"/>
      <c r="AM2535" s="22"/>
      <c r="AN2535" s="149" t="s">
        <v>2511</v>
      </c>
      <c r="AO2535" s="144"/>
      <c r="AP2535" s="148">
        <v>60005</v>
      </c>
      <c r="AQ2535" s="144"/>
      <c r="AR2535" s="120"/>
      <c r="AS2535" s="121"/>
      <c r="AT2535" s="120"/>
      <c r="AU2535" s="121"/>
      <c r="AV2535" s="120"/>
      <c r="AW2535" s="121"/>
      <c r="AX2535" s="120"/>
      <c r="AY2535" s="121"/>
      <c r="AZ2535" s="138"/>
    </row>
    <row r="2536" spans="1:52" ht="17.100000000000001" customHeight="1" thickTop="1">
      <c r="A2536" s="109" t="s">
        <v>8477</v>
      </c>
      <c r="B2536" s="28">
        <v>45946</v>
      </c>
      <c r="C2536" s="25">
        <v>2130</v>
      </c>
      <c r="D2536" s="13" t="s">
        <v>1597</v>
      </c>
      <c r="E2536" s="111"/>
      <c r="F2536" s="113" t="s">
        <v>8504</v>
      </c>
      <c r="G2536" s="114"/>
      <c r="H2536" s="115"/>
      <c r="I2536" s="24"/>
      <c r="J2536" s="116">
        <v>4</v>
      </c>
      <c r="K2536" s="118">
        <v>452000</v>
      </c>
      <c r="L2536" s="119"/>
      <c r="M2536" s="118">
        <f t="shared" ref="M2536" si="1086">K2536*0.1</f>
        <v>45200</v>
      </c>
      <c r="N2536" s="119"/>
      <c r="O2536" s="118">
        <v>0</v>
      </c>
      <c r="P2536" s="119"/>
      <c r="Q2536" s="118">
        <v>7140</v>
      </c>
      <c r="R2536" s="119"/>
      <c r="S2536" s="118">
        <v>13750</v>
      </c>
      <c r="T2536" s="119"/>
      <c r="U2536" s="118">
        <f t="shared" ref="U2536" si="1087">SUM(K2536:T2537)</f>
        <v>518090</v>
      </c>
      <c r="V2536" s="122"/>
      <c r="W2536" s="124"/>
      <c r="X2536" s="126" t="s">
        <v>9103</v>
      </c>
      <c r="Y2536" s="127"/>
      <c r="Z2536" s="127"/>
      <c r="AA2536" s="127"/>
      <c r="AB2536" s="128"/>
      <c r="AC2536" s="15" t="s">
        <v>20</v>
      </c>
      <c r="AD2536" s="129" t="s">
        <v>8573</v>
      </c>
      <c r="AE2536" s="130"/>
      <c r="AF2536" s="130"/>
      <c r="AG2536" s="130"/>
      <c r="AH2536" s="130"/>
      <c r="AI2536" s="131"/>
      <c r="AJ2536" s="132"/>
      <c r="AK2536" s="127"/>
      <c r="AL2536" s="128"/>
      <c r="AM2536" s="21"/>
      <c r="AN2536" s="133">
        <v>45955</v>
      </c>
      <c r="AO2536" s="134"/>
      <c r="AP2536" s="135">
        <v>1273</v>
      </c>
      <c r="AQ2536" s="136"/>
      <c r="AR2536" s="118">
        <v>495000</v>
      </c>
      <c r="AS2536" s="119"/>
      <c r="AT2536" s="118">
        <f t="shared" ref="AT2536" si="1088">AR2536*0.1</f>
        <v>49500</v>
      </c>
      <c r="AU2536" s="119"/>
      <c r="AV2536" s="118">
        <v>7140</v>
      </c>
      <c r="AW2536" s="119"/>
      <c r="AX2536" s="118">
        <f t="shared" ref="AX2536" si="1089">SUM(AR2536:AW2536)</f>
        <v>551640</v>
      </c>
      <c r="AY2536" s="119"/>
      <c r="AZ2536" s="137">
        <v>45958</v>
      </c>
    </row>
    <row r="2537" spans="1:52" ht="17.100000000000001" customHeight="1" thickBot="1">
      <c r="A2537" s="110"/>
      <c r="B2537" s="27" t="s">
        <v>3281</v>
      </c>
      <c r="C2537" s="27">
        <v>2568</v>
      </c>
      <c r="D2537" s="14" t="s">
        <v>3793</v>
      </c>
      <c r="E2537" s="112"/>
      <c r="F2537" s="139" t="s">
        <v>8493</v>
      </c>
      <c r="G2537" s="140"/>
      <c r="H2537" s="141"/>
      <c r="I2537" s="26">
        <v>38300</v>
      </c>
      <c r="J2537" s="117"/>
      <c r="K2537" s="120"/>
      <c r="L2537" s="121"/>
      <c r="M2537" s="120"/>
      <c r="N2537" s="121"/>
      <c r="O2537" s="120"/>
      <c r="P2537" s="121"/>
      <c r="Q2537" s="120"/>
      <c r="R2537" s="121"/>
      <c r="S2537" s="120"/>
      <c r="T2537" s="121"/>
      <c r="U2537" s="120"/>
      <c r="V2537" s="123"/>
      <c r="W2537" s="125"/>
      <c r="X2537" s="142" t="s">
        <v>9105</v>
      </c>
      <c r="Y2537" s="143"/>
      <c r="Z2537" s="143"/>
      <c r="AA2537" s="143"/>
      <c r="AB2537" s="144"/>
      <c r="AC2537" s="16" t="s">
        <v>21</v>
      </c>
      <c r="AD2537" s="17" t="s">
        <v>8956</v>
      </c>
      <c r="AE2537" s="145" t="s">
        <v>9106</v>
      </c>
      <c r="AF2537" s="146"/>
      <c r="AG2537" s="146"/>
      <c r="AH2537" s="146"/>
      <c r="AI2537" s="147"/>
      <c r="AJ2537" s="148"/>
      <c r="AK2537" s="143"/>
      <c r="AL2537" s="144"/>
      <c r="AM2537" s="22"/>
      <c r="AN2537" s="149" t="s">
        <v>2511</v>
      </c>
      <c r="AO2537" s="144"/>
      <c r="AP2537" s="148">
        <v>60001</v>
      </c>
      <c r="AQ2537" s="144"/>
      <c r="AR2537" s="120"/>
      <c r="AS2537" s="121"/>
      <c r="AT2537" s="120"/>
      <c r="AU2537" s="121"/>
      <c r="AV2537" s="120"/>
      <c r="AW2537" s="121"/>
      <c r="AX2537" s="120"/>
      <c r="AY2537" s="121"/>
      <c r="AZ2537" s="138"/>
    </row>
    <row r="2538" spans="1:52" ht="17.100000000000001" customHeight="1" thickTop="1">
      <c r="A2538" s="109" t="s">
        <v>8478</v>
      </c>
      <c r="B2538" s="28">
        <v>45946</v>
      </c>
      <c r="C2538" s="25">
        <v>2130</v>
      </c>
      <c r="D2538" s="13" t="s">
        <v>2859</v>
      </c>
      <c r="E2538" s="111"/>
      <c r="F2538" s="113" t="s">
        <v>8505</v>
      </c>
      <c r="G2538" s="114"/>
      <c r="H2538" s="115"/>
      <c r="I2538" s="24" t="s">
        <v>8506</v>
      </c>
      <c r="J2538" s="116">
        <v>4</v>
      </c>
      <c r="K2538" s="118">
        <v>797000</v>
      </c>
      <c r="L2538" s="119"/>
      <c r="M2538" s="118">
        <f t="shared" ref="M2538" si="1090">K2538*0.1</f>
        <v>79700</v>
      </c>
      <c r="N2538" s="119"/>
      <c r="O2538" s="118">
        <v>0</v>
      </c>
      <c r="P2538" s="119"/>
      <c r="Q2538" s="118">
        <v>9200</v>
      </c>
      <c r="R2538" s="119"/>
      <c r="S2538" s="118">
        <v>13750</v>
      </c>
      <c r="T2538" s="119"/>
      <c r="U2538" s="118">
        <f t="shared" ref="U2538" si="1091">SUM(K2538:T2539)</f>
        <v>899650</v>
      </c>
      <c r="V2538" s="122"/>
      <c r="W2538" s="124"/>
      <c r="X2538" s="126" t="s">
        <v>9104</v>
      </c>
      <c r="Y2538" s="127"/>
      <c r="Z2538" s="127"/>
      <c r="AA2538" s="127"/>
      <c r="AB2538" s="128"/>
      <c r="AC2538" s="15" t="s">
        <v>20</v>
      </c>
      <c r="AD2538" s="129"/>
      <c r="AE2538" s="130"/>
      <c r="AF2538" s="130"/>
      <c r="AG2538" s="130"/>
      <c r="AH2538" s="130"/>
      <c r="AI2538" s="131"/>
      <c r="AJ2538" s="132"/>
      <c r="AK2538" s="127"/>
      <c r="AL2538" s="128"/>
      <c r="AM2538" s="21"/>
      <c r="AN2538" s="133">
        <v>45990</v>
      </c>
      <c r="AO2538" s="134"/>
      <c r="AP2538" s="135">
        <v>1278</v>
      </c>
      <c r="AQ2538" s="136"/>
      <c r="AR2538" s="118">
        <v>750000</v>
      </c>
      <c r="AS2538" s="119"/>
      <c r="AT2538" s="118">
        <f t="shared" ref="AT2538" si="1092">AR2538*0.1</f>
        <v>75000</v>
      </c>
      <c r="AU2538" s="119"/>
      <c r="AV2538" s="118">
        <v>9200</v>
      </c>
      <c r="AW2538" s="119"/>
      <c r="AX2538" s="118">
        <f t="shared" ref="AX2538" si="1093">SUM(AR2538:AW2538)</f>
        <v>834200</v>
      </c>
      <c r="AY2538" s="119"/>
      <c r="AZ2538" s="137">
        <v>45994</v>
      </c>
    </row>
    <row r="2539" spans="1:52" ht="17.100000000000001" customHeight="1" thickBot="1">
      <c r="A2539" s="110"/>
      <c r="B2539" s="27" t="s">
        <v>3281</v>
      </c>
      <c r="C2539" s="27">
        <v>2577</v>
      </c>
      <c r="D2539" s="14" t="s">
        <v>275</v>
      </c>
      <c r="E2539" s="112"/>
      <c r="F2539" s="139" t="s">
        <v>8494</v>
      </c>
      <c r="G2539" s="140"/>
      <c r="H2539" s="141"/>
      <c r="I2539" s="26">
        <v>65331</v>
      </c>
      <c r="J2539" s="117"/>
      <c r="K2539" s="120"/>
      <c r="L2539" s="121"/>
      <c r="M2539" s="120"/>
      <c r="N2539" s="121"/>
      <c r="O2539" s="120"/>
      <c r="P2539" s="121"/>
      <c r="Q2539" s="120"/>
      <c r="R2539" s="121"/>
      <c r="S2539" s="120"/>
      <c r="T2539" s="121"/>
      <c r="U2539" s="120"/>
      <c r="V2539" s="123"/>
      <c r="W2539" s="125"/>
      <c r="X2539" s="142" t="s">
        <v>9102</v>
      </c>
      <c r="Y2539" s="143"/>
      <c r="Z2539" s="143"/>
      <c r="AA2539" s="143"/>
      <c r="AB2539" s="144"/>
      <c r="AC2539" s="16" t="s">
        <v>21</v>
      </c>
      <c r="AD2539" s="17" t="s">
        <v>8956</v>
      </c>
      <c r="AE2539" s="145" t="s">
        <v>7860</v>
      </c>
      <c r="AF2539" s="146"/>
      <c r="AG2539" s="146"/>
      <c r="AH2539" s="146"/>
      <c r="AI2539" s="147"/>
      <c r="AJ2539" s="148"/>
      <c r="AK2539" s="143"/>
      <c r="AL2539" s="144"/>
      <c r="AM2539" s="22"/>
      <c r="AN2539" s="149" t="s">
        <v>2511</v>
      </c>
      <c r="AO2539" s="144"/>
      <c r="AP2539" s="148">
        <v>60194</v>
      </c>
      <c r="AQ2539" s="144"/>
      <c r="AR2539" s="120"/>
      <c r="AS2539" s="121"/>
      <c r="AT2539" s="120"/>
      <c r="AU2539" s="121"/>
      <c r="AV2539" s="120"/>
      <c r="AW2539" s="121"/>
      <c r="AX2539" s="120"/>
      <c r="AY2539" s="121"/>
      <c r="AZ2539" s="138"/>
    </row>
    <row r="2540" spans="1:52" ht="17.100000000000001" customHeight="1" thickTop="1">
      <c r="A2540" s="109" t="s">
        <v>8479</v>
      </c>
      <c r="B2540" s="28">
        <v>45946</v>
      </c>
      <c r="C2540" s="25">
        <v>2130</v>
      </c>
      <c r="D2540" s="13" t="s">
        <v>4860</v>
      </c>
      <c r="E2540" s="111"/>
      <c r="F2540" s="113" t="s">
        <v>2993</v>
      </c>
      <c r="G2540" s="114"/>
      <c r="H2540" s="115"/>
      <c r="I2540" s="24" t="s">
        <v>8507</v>
      </c>
      <c r="J2540" s="116">
        <v>4.5</v>
      </c>
      <c r="K2540" s="118">
        <v>581000</v>
      </c>
      <c r="L2540" s="119"/>
      <c r="M2540" s="118">
        <f t="shared" ref="M2540" si="1094">K2540*0.1</f>
        <v>58100</v>
      </c>
      <c r="N2540" s="119"/>
      <c r="O2540" s="118">
        <v>0</v>
      </c>
      <c r="P2540" s="119"/>
      <c r="Q2540" s="118">
        <v>8400</v>
      </c>
      <c r="R2540" s="119"/>
      <c r="S2540" s="118">
        <v>13750</v>
      </c>
      <c r="T2540" s="119"/>
      <c r="U2540" s="118">
        <f t="shared" ref="U2540" si="1095">SUM(K2540:T2541)</f>
        <v>661250</v>
      </c>
      <c r="V2540" s="122"/>
      <c r="W2540" s="124"/>
      <c r="X2540" s="126" t="s">
        <v>9231</v>
      </c>
      <c r="Y2540" s="127"/>
      <c r="Z2540" s="127"/>
      <c r="AA2540" s="127"/>
      <c r="AB2540" s="128"/>
      <c r="AC2540" s="15" t="s">
        <v>20</v>
      </c>
      <c r="AD2540" s="129" t="s">
        <v>8508</v>
      </c>
      <c r="AE2540" s="130"/>
      <c r="AF2540" s="130"/>
      <c r="AG2540" s="130"/>
      <c r="AH2540" s="130"/>
      <c r="AI2540" s="131"/>
      <c r="AJ2540" s="132"/>
      <c r="AK2540" s="127"/>
      <c r="AL2540" s="128"/>
      <c r="AM2540" s="21"/>
      <c r="AN2540" s="133">
        <v>45965</v>
      </c>
      <c r="AO2540" s="134"/>
      <c r="AP2540" s="135">
        <v>1916</v>
      </c>
      <c r="AQ2540" s="136"/>
      <c r="AR2540" s="118">
        <v>596000</v>
      </c>
      <c r="AS2540" s="119"/>
      <c r="AT2540" s="118">
        <f t="shared" ref="AT2540" si="1096">AR2540*0.1</f>
        <v>59600</v>
      </c>
      <c r="AU2540" s="119"/>
      <c r="AV2540" s="118">
        <v>8400</v>
      </c>
      <c r="AW2540" s="119"/>
      <c r="AX2540" s="118">
        <f t="shared" ref="AX2540" si="1097">SUM(AR2540:AW2540)</f>
        <v>664000</v>
      </c>
      <c r="AY2540" s="119"/>
      <c r="AZ2540" s="137">
        <v>45971</v>
      </c>
    </row>
    <row r="2541" spans="1:52" ht="17.100000000000001" customHeight="1" thickBot="1">
      <c r="A2541" s="110"/>
      <c r="B2541" s="27" t="s">
        <v>3281</v>
      </c>
      <c r="C2541" s="27">
        <v>2603</v>
      </c>
      <c r="D2541" s="14" t="s">
        <v>3855</v>
      </c>
      <c r="E2541" s="112"/>
      <c r="F2541" s="139" t="s">
        <v>8495</v>
      </c>
      <c r="G2541" s="140"/>
      <c r="H2541" s="141"/>
      <c r="I2541" s="26">
        <v>53514</v>
      </c>
      <c r="J2541" s="117"/>
      <c r="K2541" s="120"/>
      <c r="L2541" s="121"/>
      <c r="M2541" s="120"/>
      <c r="N2541" s="121"/>
      <c r="O2541" s="120"/>
      <c r="P2541" s="121"/>
      <c r="Q2541" s="120"/>
      <c r="R2541" s="121"/>
      <c r="S2541" s="120"/>
      <c r="T2541" s="121"/>
      <c r="U2541" s="120"/>
      <c r="V2541" s="123"/>
      <c r="W2541" s="125"/>
      <c r="X2541" s="142" t="s">
        <v>9232</v>
      </c>
      <c r="Y2541" s="143"/>
      <c r="Z2541" s="143"/>
      <c r="AA2541" s="143"/>
      <c r="AB2541" s="144"/>
      <c r="AC2541" s="16" t="s">
        <v>21</v>
      </c>
      <c r="AD2541" s="17" t="s">
        <v>9131</v>
      </c>
      <c r="AE2541" s="145" t="s">
        <v>9233</v>
      </c>
      <c r="AF2541" s="146"/>
      <c r="AG2541" s="146"/>
      <c r="AH2541" s="146"/>
      <c r="AI2541" s="147"/>
      <c r="AJ2541" s="148"/>
      <c r="AK2541" s="143"/>
      <c r="AL2541" s="144"/>
      <c r="AM2541" s="22"/>
      <c r="AN2541" s="149" t="s">
        <v>2131</v>
      </c>
      <c r="AO2541" s="144"/>
      <c r="AP2541" s="148">
        <v>3113</v>
      </c>
      <c r="AQ2541" s="144"/>
      <c r="AR2541" s="120"/>
      <c r="AS2541" s="121"/>
      <c r="AT2541" s="120"/>
      <c r="AU2541" s="121"/>
      <c r="AV2541" s="120"/>
      <c r="AW2541" s="121"/>
      <c r="AX2541" s="120"/>
      <c r="AY2541" s="121"/>
      <c r="AZ2541" s="138"/>
    </row>
    <row r="2542" spans="1:52" ht="17.100000000000001" customHeight="1" thickTop="1">
      <c r="A2542" s="109" t="s">
        <v>8480</v>
      </c>
      <c r="B2542" s="28">
        <v>45946</v>
      </c>
      <c r="C2542" s="25">
        <v>2130</v>
      </c>
      <c r="D2542" s="13" t="s">
        <v>1920</v>
      </c>
      <c r="E2542" s="111"/>
      <c r="F2542" s="113" t="s">
        <v>8509</v>
      </c>
      <c r="G2542" s="114"/>
      <c r="H2542" s="115"/>
      <c r="I2542" s="24" t="s">
        <v>8510</v>
      </c>
      <c r="J2542" s="116">
        <v>4</v>
      </c>
      <c r="K2542" s="118">
        <v>749000</v>
      </c>
      <c r="L2542" s="119"/>
      <c r="M2542" s="118">
        <f t="shared" ref="M2542" si="1098">K2542*0.1</f>
        <v>74900</v>
      </c>
      <c r="N2542" s="119"/>
      <c r="O2542" s="118">
        <v>0</v>
      </c>
      <c r="P2542" s="119"/>
      <c r="Q2542" s="118">
        <v>6220</v>
      </c>
      <c r="R2542" s="119"/>
      <c r="S2542" s="118">
        <v>13750</v>
      </c>
      <c r="T2542" s="119"/>
      <c r="U2542" s="118">
        <f t="shared" ref="U2542" si="1099">SUM(K2542:T2543)</f>
        <v>843870</v>
      </c>
      <c r="V2542" s="122"/>
      <c r="W2542" s="124"/>
      <c r="X2542" s="126" t="s">
        <v>9346</v>
      </c>
      <c r="Y2542" s="127"/>
      <c r="Z2542" s="127"/>
      <c r="AA2542" s="127"/>
      <c r="AB2542" s="128"/>
      <c r="AC2542" s="15" t="s">
        <v>20</v>
      </c>
      <c r="AD2542" s="129" t="s">
        <v>1945</v>
      </c>
      <c r="AE2542" s="130"/>
      <c r="AF2542" s="130"/>
      <c r="AG2542" s="130"/>
      <c r="AH2542" s="130"/>
      <c r="AI2542" s="131"/>
      <c r="AJ2542" s="132"/>
      <c r="AK2542" s="127"/>
      <c r="AL2542" s="128"/>
      <c r="AM2542" s="21" t="s">
        <v>10410</v>
      </c>
      <c r="AN2542" s="133">
        <v>45969</v>
      </c>
      <c r="AO2542" s="134"/>
      <c r="AP2542" s="135">
        <v>1275</v>
      </c>
      <c r="AQ2542" s="136"/>
      <c r="AR2542" s="118">
        <v>790000</v>
      </c>
      <c r="AS2542" s="119"/>
      <c r="AT2542" s="118">
        <f t="shared" ref="AT2542" si="1100">AR2542*0.1</f>
        <v>79000</v>
      </c>
      <c r="AU2542" s="119"/>
      <c r="AV2542" s="118">
        <v>6220</v>
      </c>
      <c r="AW2542" s="119"/>
      <c r="AX2542" s="118">
        <f t="shared" ref="AX2542" si="1101">SUM(AR2542:AW2542)</f>
        <v>875220</v>
      </c>
      <c r="AY2542" s="119"/>
      <c r="AZ2542" s="137">
        <v>45974</v>
      </c>
    </row>
    <row r="2543" spans="1:52" ht="17.100000000000001" customHeight="1" thickBot="1">
      <c r="A2543" s="110"/>
      <c r="B2543" s="27" t="s">
        <v>3281</v>
      </c>
      <c r="C2543" s="27">
        <v>2607</v>
      </c>
      <c r="D2543" s="14" t="s">
        <v>275</v>
      </c>
      <c r="E2543" s="112"/>
      <c r="F2543" s="139" t="s">
        <v>8496</v>
      </c>
      <c r="G2543" s="140"/>
      <c r="H2543" s="141"/>
      <c r="I2543" s="26">
        <v>67988</v>
      </c>
      <c r="J2543" s="117"/>
      <c r="K2543" s="120"/>
      <c r="L2543" s="121"/>
      <c r="M2543" s="120"/>
      <c r="N2543" s="121"/>
      <c r="O2543" s="120"/>
      <c r="P2543" s="121"/>
      <c r="Q2543" s="120"/>
      <c r="R2543" s="121"/>
      <c r="S2543" s="120"/>
      <c r="T2543" s="121"/>
      <c r="U2543" s="120"/>
      <c r="V2543" s="123"/>
      <c r="W2543" s="125"/>
      <c r="X2543" s="142" t="s">
        <v>9347</v>
      </c>
      <c r="Y2543" s="143"/>
      <c r="Z2543" s="143"/>
      <c r="AA2543" s="143"/>
      <c r="AB2543" s="144"/>
      <c r="AC2543" s="16" t="s">
        <v>21</v>
      </c>
      <c r="AD2543" s="17" t="s">
        <v>9274</v>
      </c>
      <c r="AE2543" s="145" t="s">
        <v>1945</v>
      </c>
      <c r="AF2543" s="146"/>
      <c r="AG2543" s="146"/>
      <c r="AH2543" s="146"/>
      <c r="AI2543" s="147"/>
      <c r="AJ2543" s="148"/>
      <c r="AK2543" s="143"/>
      <c r="AL2543" s="144"/>
      <c r="AM2543" s="22"/>
      <c r="AN2543" s="149" t="s">
        <v>2511</v>
      </c>
      <c r="AO2543" s="144"/>
      <c r="AP2543" s="148">
        <v>60047</v>
      </c>
      <c r="AQ2543" s="144"/>
      <c r="AR2543" s="120"/>
      <c r="AS2543" s="121"/>
      <c r="AT2543" s="120"/>
      <c r="AU2543" s="121"/>
      <c r="AV2543" s="120"/>
      <c r="AW2543" s="121"/>
      <c r="AX2543" s="120"/>
      <c r="AY2543" s="121"/>
      <c r="AZ2543" s="138"/>
    </row>
    <row r="2544" spans="1:52" ht="17.100000000000001" customHeight="1" thickTop="1">
      <c r="A2544" s="109" t="s">
        <v>8481</v>
      </c>
      <c r="B2544" s="28">
        <v>45946</v>
      </c>
      <c r="C2544" s="25">
        <v>2130</v>
      </c>
      <c r="D2544" s="13" t="s">
        <v>4792</v>
      </c>
      <c r="E2544" s="111"/>
      <c r="F2544" s="113" t="s">
        <v>8511</v>
      </c>
      <c r="G2544" s="114"/>
      <c r="H2544" s="115"/>
      <c r="I2544" s="24"/>
      <c r="J2544" s="116">
        <v>4</v>
      </c>
      <c r="K2544" s="118">
        <v>325000</v>
      </c>
      <c r="L2544" s="119"/>
      <c r="M2544" s="118">
        <f t="shared" ref="M2544" si="1102">K2544*0.1</f>
        <v>32500</v>
      </c>
      <c r="N2544" s="119"/>
      <c r="O2544" s="118">
        <v>0</v>
      </c>
      <c r="P2544" s="119"/>
      <c r="Q2544" s="118">
        <v>10010</v>
      </c>
      <c r="R2544" s="119"/>
      <c r="S2544" s="118">
        <v>13750</v>
      </c>
      <c r="T2544" s="119"/>
      <c r="U2544" s="118">
        <f t="shared" ref="U2544" si="1103">SUM(K2544:T2545)</f>
        <v>381260</v>
      </c>
      <c r="V2544" s="122"/>
      <c r="W2544" s="124"/>
      <c r="X2544" s="126" t="s">
        <v>9344</v>
      </c>
      <c r="Y2544" s="127"/>
      <c r="Z2544" s="127"/>
      <c r="AA2544" s="127"/>
      <c r="AB2544" s="128"/>
      <c r="AC2544" s="15" t="s">
        <v>20</v>
      </c>
      <c r="AD2544" s="129"/>
      <c r="AE2544" s="130"/>
      <c r="AF2544" s="130"/>
      <c r="AG2544" s="130"/>
      <c r="AH2544" s="130"/>
      <c r="AI2544" s="131"/>
      <c r="AJ2544" s="132"/>
      <c r="AK2544" s="127"/>
      <c r="AL2544" s="128"/>
      <c r="AM2544" s="21"/>
      <c r="AN2544" s="133">
        <v>45955</v>
      </c>
      <c r="AO2544" s="134"/>
      <c r="AP2544" s="135">
        <v>1273</v>
      </c>
      <c r="AQ2544" s="136"/>
      <c r="AR2544" s="118">
        <v>420000</v>
      </c>
      <c r="AS2544" s="119"/>
      <c r="AT2544" s="118">
        <f t="shared" ref="AT2544" si="1104">AR2544*0.1</f>
        <v>42000</v>
      </c>
      <c r="AU2544" s="119"/>
      <c r="AV2544" s="118">
        <v>10010</v>
      </c>
      <c r="AW2544" s="119"/>
      <c r="AX2544" s="118">
        <f t="shared" ref="AX2544" si="1105">SUM(AR2544:AW2544)</f>
        <v>472010</v>
      </c>
      <c r="AY2544" s="119"/>
      <c r="AZ2544" s="137">
        <v>45958</v>
      </c>
    </row>
    <row r="2545" spans="1:52" ht="17.100000000000001" customHeight="1" thickBot="1">
      <c r="A2545" s="110"/>
      <c r="B2545" s="27" t="s">
        <v>3281</v>
      </c>
      <c r="C2545" s="27">
        <v>2609</v>
      </c>
      <c r="D2545" s="14" t="s">
        <v>275</v>
      </c>
      <c r="E2545" s="112"/>
      <c r="F2545" s="139" t="s">
        <v>8497</v>
      </c>
      <c r="G2545" s="140"/>
      <c r="H2545" s="141"/>
      <c r="I2545" s="26">
        <v>59267</v>
      </c>
      <c r="J2545" s="117"/>
      <c r="K2545" s="120"/>
      <c r="L2545" s="121"/>
      <c r="M2545" s="120"/>
      <c r="N2545" s="121"/>
      <c r="O2545" s="120"/>
      <c r="P2545" s="121"/>
      <c r="Q2545" s="120"/>
      <c r="R2545" s="121"/>
      <c r="S2545" s="120"/>
      <c r="T2545" s="121"/>
      <c r="U2545" s="120"/>
      <c r="V2545" s="123"/>
      <c r="W2545" s="125"/>
      <c r="X2545" s="142" t="s">
        <v>9345</v>
      </c>
      <c r="Y2545" s="143"/>
      <c r="Z2545" s="143"/>
      <c r="AA2545" s="143"/>
      <c r="AB2545" s="144"/>
      <c r="AC2545" s="16" t="s">
        <v>21</v>
      </c>
      <c r="AD2545" s="17" t="s">
        <v>9274</v>
      </c>
      <c r="AE2545" s="145" t="s">
        <v>2195</v>
      </c>
      <c r="AF2545" s="146"/>
      <c r="AG2545" s="146"/>
      <c r="AH2545" s="146"/>
      <c r="AI2545" s="147"/>
      <c r="AJ2545" s="148"/>
      <c r="AK2545" s="143"/>
      <c r="AL2545" s="144"/>
      <c r="AM2545" s="22"/>
      <c r="AN2545" s="149" t="s">
        <v>2511</v>
      </c>
      <c r="AO2545" s="144"/>
      <c r="AP2545" s="148">
        <v>60003</v>
      </c>
      <c r="AQ2545" s="144"/>
      <c r="AR2545" s="120"/>
      <c r="AS2545" s="121"/>
      <c r="AT2545" s="120"/>
      <c r="AU2545" s="121"/>
      <c r="AV2545" s="120"/>
      <c r="AW2545" s="121"/>
      <c r="AX2545" s="120"/>
      <c r="AY2545" s="121"/>
      <c r="AZ2545" s="138"/>
    </row>
    <row r="2546" spans="1:52" ht="17.100000000000001" customHeight="1" thickTop="1">
      <c r="A2546" s="109" t="s">
        <v>8482</v>
      </c>
      <c r="B2546" s="28">
        <v>45946</v>
      </c>
      <c r="C2546" s="25">
        <v>2130</v>
      </c>
      <c r="D2546" s="13" t="s">
        <v>1845</v>
      </c>
      <c r="E2546" s="111"/>
      <c r="F2546" s="113" t="s">
        <v>7391</v>
      </c>
      <c r="G2546" s="114"/>
      <c r="H2546" s="115"/>
      <c r="I2546" s="24"/>
      <c r="J2546" s="116">
        <v>4</v>
      </c>
      <c r="K2546" s="118">
        <v>369000</v>
      </c>
      <c r="L2546" s="119"/>
      <c r="M2546" s="118">
        <f t="shared" ref="M2546" si="1106">K2546*0.1</f>
        <v>36900</v>
      </c>
      <c r="N2546" s="119"/>
      <c r="O2546" s="118">
        <v>0</v>
      </c>
      <c r="P2546" s="119"/>
      <c r="Q2546" s="118">
        <v>7140</v>
      </c>
      <c r="R2546" s="119"/>
      <c r="S2546" s="118">
        <v>13750</v>
      </c>
      <c r="T2546" s="119"/>
      <c r="U2546" s="118">
        <f t="shared" ref="U2546" si="1107">SUM(K2546:T2547)</f>
        <v>426790</v>
      </c>
      <c r="V2546" s="122"/>
      <c r="W2546" s="124"/>
      <c r="X2546" s="126" t="s">
        <v>9100</v>
      </c>
      <c r="Y2546" s="127"/>
      <c r="Z2546" s="127"/>
      <c r="AA2546" s="127"/>
      <c r="AB2546" s="128"/>
      <c r="AC2546" s="15" t="s">
        <v>20</v>
      </c>
      <c r="AD2546" s="129"/>
      <c r="AE2546" s="130"/>
      <c r="AF2546" s="130"/>
      <c r="AG2546" s="130"/>
      <c r="AH2546" s="130"/>
      <c r="AI2546" s="131"/>
      <c r="AJ2546" s="132"/>
      <c r="AK2546" s="127"/>
      <c r="AL2546" s="128"/>
      <c r="AM2546" s="21"/>
      <c r="AN2546" s="133">
        <v>45955</v>
      </c>
      <c r="AO2546" s="134"/>
      <c r="AP2546" s="135">
        <v>1273</v>
      </c>
      <c r="AQ2546" s="136"/>
      <c r="AR2546" s="118">
        <v>465000</v>
      </c>
      <c r="AS2546" s="119"/>
      <c r="AT2546" s="118">
        <f t="shared" ref="AT2546" si="1108">AR2546*0.1</f>
        <v>46500</v>
      </c>
      <c r="AU2546" s="119"/>
      <c r="AV2546" s="118">
        <v>7140</v>
      </c>
      <c r="AW2546" s="119"/>
      <c r="AX2546" s="118">
        <f t="shared" ref="AX2546" si="1109">SUM(AR2546:AW2546)</f>
        <v>518640</v>
      </c>
      <c r="AY2546" s="119"/>
      <c r="AZ2546" s="137">
        <v>45958</v>
      </c>
    </row>
    <row r="2547" spans="1:52" ht="17.100000000000001" customHeight="1" thickBot="1">
      <c r="A2547" s="110"/>
      <c r="B2547" s="27" t="s">
        <v>3281</v>
      </c>
      <c r="C2547" s="27">
        <v>35292</v>
      </c>
      <c r="D2547" s="14" t="s">
        <v>904</v>
      </c>
      <c r="E2547" s="112"/>
      <c r="F2547" s="139" t="s">
        <v>8498</v>
      </c>
      <c r="G2547" s="140"/>
      <c r="H2547" s="141"/>
      <c r="I2547" s="26">
        <v>28815</v>
      </c>
      <c r="J2547" s="117"/>
      <c r="K2547" s="120"/>
      <c r="L2547" s="121"/>
      <c r="M2547" s="120"/>
      <c r="N2547" s="121"/>
      <c r="O2547" s="120"/>
      <c r="P2547" s="121"/>
      <c r="Q2547" s="120"/>
      <c r="R2547" s="121"/>
      <c r="S2547" s="120"/>
      <c r="T2547" s="121"/>
      <c r="U2547" s="120"/>
      <c r="V2547" s="123"/>
      <c r="W2547" s="125"/>
      <c r="X2547" s="142" t="s">
        <v>9101</v>
      </c>
      <c r="Y2547" s="143"/>
      <c r="Z2547" s="143"/>
      <c r="AA2547" s="143"/>
      <c r="AB2547" s="144"/>
      <c r="AC2547" s="16" t="s">
        <v>21</v>
      </c>
      <c r="AD2547" s="17" t="s">
        <v>8956</v>
      </c>
      <c r="AE2547" s="145"/>
      <c r="AF2547" s="146"/>
      <c r="AG2547" s="146"/>
      <c r="AH2547" s="146"/>
      <c r="AI2547" s="147"/>
      <c r="AJ2547" s="148"/>
      <c r="AK2547" s="143"/>
      <c r="AL2547" s="144"/>
      <c r="AM2547" s="22"/>
      <c r="AN2547" s="149" t="s">
        <v>2511</v>
      </c>
      <c r="AO2547" s="144"/>
      <c r="AP2547" s="148">
        <v>60013</v>
      </c>
      <c r="AQ2547" s="144"/>
      <c r="AR2547" s="120"/>
      <c r="AS2547" s="121"/>
      <c r="AT2547" s="120"/>
      <c r="AU2547" s="121"/>
      <c r="AV2547" s="120"/>
      <c r="AW2547" s="121"/>
      <c r="AX2547" s="120"/>
      <c r="AY2547" s="121"/>
      <c r="AZ2547" s="138"/>
    </row>
    <row r="2548" spans="1:52" ht="17.100000000000001" customHeight="1" thickTop="1">
      <c r="A2548" s="109" t="s">
        <v>8487</v>
      </c>
      <c r="B2548" s="28">
        <v>45946</v>
      </c>
      <c r="C2548" s="25">
        <v>2143</v>
      </c>
      <c r="D2548" s="13" t="s">
        <v>3322</v>
      </c>
      <c r="E2548" s="111"/>
      <c r="F2548" s="113" t="s">
        <v>8512</v>
      </c>
      <c r="G2548" s="114"/>
      <c r="H2548" s="115"/>
      <c r="I2548" s="24"/>
      <c r="J2548" s="116">
        <v>4.5</v>
      </c>
      <c r="K2548" s="118">
        <v>1299000</v>
      </c>
      <c r="L2548" s="119"/>
      <c r="M2548" s="118">
        <f t="shared" ref="M2548" si="1110">K2548*0.1</f>
        <v>129900</v>
      </c>
      <c r="N2548" s="119"/>
      <c r="O2548" s="118">
        <v>0</v>
      </c>
      <c r="P2548" s="119"/>
      <c r="Q2548" s="118">
        <v>19090</v>
      </c>
      <c r="R2548" s="119"/>
      <c r="S2548" s="118">
        <v>13750</v>
      </c>
      <c r="T2548" s="119"/>
      <c r="U2548" s="118">
        <f t="shared" ref="U2548" si="1111">SUM(K2548:T2549)</f>
        <v>1461740</v>
      </c>
      <c r="V2548" s="122"/>
      <c r="W2548" s="124"/>
      <c r="X2548" s="126" t="s">
        <v>9054</v>
      </c>
      <c r="Y2548" s="127"/>
      <c r="Z2548" s="127"/>
      <c r="AA2548" s="127"/>
      <c r="AB2548" s="128"/>
      <c r="AC2548" s="15" t="s">
        <v>20</v>
      </c>
      <c r="AD2548" s="129" t="s">
        <v>1945</v>
      </c>
      <c r="AE2548" s="130"/>
      <c r="AF2548" s="130"/>
      <c r="AG2548" s="130"/>
      <c r="AH2548" s="130"/>
      <c r="AI2548" s="131"/>
      <c r="AJ2548" s="132"/>
      <c r="AK2548" s="127"/>
      <c r="AL2548" s="128"/>
      <c r="AM2548" s="21"/>
      <c r="AN2548" s="133">
        <v>45969</v>
      </c>
      <c r="AO2548" s="134"/>
      <c r="AP2548" s="135">
        <v>1275</v>
      </c>
      <c r="AQ2548" s="136"/>
      <c r="AR2548" s="118">
        <v>1625000</v>
      </c>
      <c r="AS2548" s="119"/>
      <c r="AT2548" s="118">
        <f t="shared" ref="AT2548" si="1112">AR2548*0.1</f>
        <v>162500</v>
      </c>
      <c r="AU2548" s="119"/>
      <c r="AV2548" s="118">
        <v>19090</v>
      </c>
      <c r="AW2548" s="119"/>
      <c r="AX2548" s="118">
        <f t="shared" ref="AX2548" si="1113">SUM(AR2548:AW2548)</f>
        <v>1806590</v>
      </c>
      <c r="AY2548" s="119"/>
      <c r="AZ2548" s="137">
        <v>45972</v>
      </c>
    </row>
    <row r="2549" spans="1:52" ht="17.100000000000001" customHeight="1" thickBot="1">
      <c r="A2549" s="110"/>
      <c r="B2549" s="27" t="s">
        <v>8488</v>
      </c>
      <c r="C2549" s="27">
        <v>6542</v>
      </c>
      <c r="D2549" s="14" t="s">
        <v>3327</v>
      </c>
      <c r="E2549" s="112"/>
      <c r="F2549" s="139" t="s">
        <v>8499</v>
      </c>
      <c r="G2549" s="140"/>
      <c r="H2549" s="141"/>
      <c r="I2549" s="26">
        <v>50347</v>
      </c>
      <c r="J2549" s="117"/>
      <c r="K2549" s="120"/>
      <c r="L2549" s="121"/>
      <c r="M2549" s="120"/>
      <c r="N2549" s="121"/>
      <c r="O2549" s="120"/>
      <c r="P2549" s="121"/>
      <c r="Q2549" s="120"/>
      <c r="R2549" s="121"/>
      <c r="S2549" s="120"/>
      <c r="T2549" s="121"/>
      <c r="U2549" s="120"/>
      <c r="V2549" s="123"/>
      <c r="W2549" s="125"/>
      <c r="X2549" s="142" t="s">
        <v>9055</v>
      </c>
      <c r="Y2549" s="143"/>
      <c r="Z2549" s="143"/>
      <c r="AA2549" s="143"/>
      <c r="AB2549" s="144"/>
      <c r="AC2549" s="16" t="s">
        <v>21</v>
      </c>
      <c r="AD2549" s="17" t="s">
        <v>8956</v>
      </c>
      <c r="AE2549" s="145" t="s">
        <v>1614</v>
      </c>
      <c r="AF2549" s="146"/>
      <c r="AG2549" s="146"/>
      <c r="AH2549" s="146"/>
      <c r="AI2549" s="147"/>
      <c r="AJ2549" s="148"/>
      <c r="AK2549" s="143"/>
      <c r="AL2549" s="144"/>
      <c r="AM2549" s="22"/>
      <c r="AN2549" s="149" t="s">
        <v>2511</v>
      </c>
      <c r="AO2549" s="144"/>
      <c r="AP2549" s="148">
        <v>80292</v>
      </c>
      <c r="AQ2549" s="144"/>
      <c r="AR2549" s="120"/>
      <c r="AS2549" s="121"/>
      <c r="AT2549" s="120"/>
      <c r="AU2549" s="121"/>
      <c r="AV2549" s="120"/>
      <c r="AW2549" s="121"/>
      <c r="AX2549" s="120"/>
      <c r="AY2549" s="121"/>
      <c r="AZ2549" s="138"/>
    </row>
    <row r="2550" spans="1:52" ht="17.100000000000001" customHeight="1" thickTop="1">
      <c r="A2550" s="109" t="s">
        <v>8547</v>
      </c>
      <c r="B2550" s="28">
        <v>45947</v>
      </c>
      <c r="C2550" s="25">
        <v>60</v>
      </c>
      <c r="D2550" s="13" t="s">
        <v>2428</v>
      </c>
      <c r="E2550" s="111"/>
      <c r="F2550" s="113" t="s">
        <v>8552</v>
      </c>
      <c r="G2550" s="114"/>
      <c r="H2550" s="115"/>
      <c r="I2550" s="24" t="s">
        <v>4314</v>
      </c>
      <c r="J2550" s="116">
        <v>5</v>
      </c>
      <c r="K2550" s="118">
        <v>1390000</v>
      </c>
      <c r="L2550" s="119"/>
      <c r="M2550" s="118">
        <f t="shared" ref="M2550" si="1114">K2550*0.1</f>
        <v>139000</v>
      </c>
      <c r="N2550" s="119"/>
      <c r="O2550" s="118">
        <v>0</v>
      </c>
      <c r="P2550" s="119"/>
      <c r="Q2550" s="118">
        <v>6880</v>
      </c>
      <c r="R2550" s="119"/>
      <c r="S2550" s="118">
        <v>44000</v>
      </c>
      <c r="T2550" s="119"/>
      <c r="U2550" s="118">
        <f t="shared" ref="U2550" si="1115">SUM(K2550:T2551)</f>
        <v>1579880</v>
      </c>
      <c r="V2550" s="122"/>
      <c r="W2550" s="124"/>
      <c r="X2550" s="126" t="s">
        <v>9882</v>
      </c>
      <c r="Y2550" s="127"/>
      <c r="Z2550" s="127"/>
      <c r="AA2550" s="127"/>
      <c r="AB2550" s="128"/>
      <c r="AC2550" s="15" t="s">
        <v>20</v>
      </c>
      <c r="AD2550" s="129" t="s">
        <v>8556</v>
      </c>
      <c r="AE2550" s="130"/>
      <c r="AF2550" s="130"/>
      <c r="AG2550" s="130"/>
      <c r="AH2550" s="130"/>
      <c r="AI2550" s="131"/>
      <c r="AJ2550" s="132"/>
      <c r="AK2550" s="127"/>
      <c r="AL2550" s="128"/>
      <c r="AM2550" s="21" t="s">
        <v>10172</v>
      </c>
      <c r="AN2550" s="133">
        <v>45965</v>
      </c>
      <c r="AO2550" s="134"/>
      <c r="AP2550" s="135">
        <v>1916</v>
      </c>
      <c r="AQ2550" s="136"/>
      <c r="AR2550" s="118">
        <v>1607000</v>
      </c>
      <c r="AS2550" s="119"/>
      <c r="AT2550" s="118">
        <f t="shared" ref="AT2550" si="1116">AR2550*0.1</f>
        <v>160700</v>
      </c>
      <c r="AU2550" s="119"/>
      <c r="AV2550" s="118">
        <v>6880</v>
      </c>
      <c r="AW2550" s="119"/>
      <c r="AX2550" s="118">
        <f t="shared" ref="AX2550" si="1117">SUM(AR2550:AW2550)</f>
        <v>1774580</v>
      </c>
      <c r="AY2550" s="119"/>
      <c r="AZ2550" s="137">
        <v>45971</v>
      </c>
    </row>
    <row r="2551" spans="1:52" ht="17.100000000000001" customHeight="1" thickBot="1">
      <c r="A2551" s="110"/>
      <c r="B2551" s="27" t="s">
        <v>4544</v>
      </c>
      <c r="C2551" s="27">
        <v>1018</v>
      </c>
      <c r="D2551" s="14" t="s">
        <v>2601</v>
      </c>
      <c r="E2551" s="112"/>
      <c r="F2551" s="139" t="s">
        <v>8553</v>
      </c>
      <c r="G2551" s="140"/>
      <c r="H2551" s="141"/>
      <c r="I2551" s="26">
        <v>8496</v>
      </c>
      <c r="J2551" s="117"/>
      <c r="K2551" s="120"/>
      <c r="L2551" s="121"/>
      <c r="M2551" s="120"/>
      <c r="N2551" s="121"/>
      <c r="O2551" s="120"/>
      <c r="P2551" s="121"/>
      <c r="Q2551" s="120"/>
      <c r="R2551" s="121"/>
      <c r="S2551" s="120"/>
      <c r="T2551" s="121"/>
      <c r="U2551" s="120"/>
      <c r="V2551" s="123"/>
      <c r="W2551" s="125"/>
      <c r="X2551" s="142" t="s">
        <v>9883</v>
      </c>
      <c r="Y2551" s="143"/>
      <c r="Z2551" s="143"/>
      <c r="AA2551" s="143"/>
      <c r="AB2551" s="144"/>
      <c r="AC2551" s="16" t="s">
        <v>21</v>
      </c>
      <c r="AD2551" s="17" t="s">
        <v>9858</v>
      </c>
      <c r="AE2551" s="145" t="s">
        <v>1633</v>
      </c>
      <c r="AF2551" s="146"/>
      <c r="AG2551" s="146"/>
      <c r="AH2551" s="146"/>
      <c r="AI2551" s="147"/>
      <c r="AJ2551" s="148"/>
      <c r="AK2551" s="143"/>
      <c r="AL2551" s="144"/>
      <c r="AM2551" s="22"/>
      <c r="AN2551" s="149" t="s">
        <v>2131</v>
      </c>
      <c r="AO2551" s="144"/>
      <c r="AP2551" s="148">
        <v>3243</v>
      </c>
      <c r="AQ2551" s="144"/>
      <c r="AR2551" s="120"/>
      <c r="AS2551" s="121"/>
      <c r="AT2551" s="120"/>
      <c r="AU2551" s="121"/>
      <c r="AV2551" s="120"/>
      <c r="AW2551" s="121"/>
      <c r="AX2551" s="120"/>
      <c r="AY2551" s="121"/>
      <c r="AZ2551" s="138"/>
    </row>
    <row r="2552" spans="1:52" ht="17.100000000000001" customHeight="1" thickTop="1">
      <c r="A2552" s="109" t="s">
        <v>8548</v>
      </c>
      <c r="B2552" s="28">
        <v>45947</v>
      </c>
      <c r="C2552" s="25">
        <v>60</v>
      </c>
      <c r="D2552" s="13" t="s">
        <v>2442</v>
      </c>
      <c r="E2552" s="111"/>
      <c r="F2552" s="113" t="s">
        <v>8554</v>
      </c>
      <c r="G2552" s="114"/>
      <c r="H2552" s="115"/>
      <c r="I2552" s="24" t="s">
        <v>2858</v>
      </c>
      <c r="J2552" s="116">
        <v>4</v>
      </c>
      <c r="K2552" s="118">
        <v>2000000</v>
      </c>
      <c r="L2552" s="119"/>
      <c r="M2552" s="118">
        <f t="shared" ref="M2552" si="1118">K2552*0.1</f>
        <v>200000</v>
      </c>
      <c r="N2552" s="119"/>
      <c r="O2552" s="118">
        <f>15000+1500</f>
        <v>16500</v>
      </c>
      <c r="P2552" s="119"/>
      <c r="Q2552" s="118">
        <v>16550</v>
      </c>
      <c r="R2552" s="119"/>
      <c r="S2552" s="118">
        <v>66000</v>
      </c>
      <c r="T2552" s="119"/>
      <c r="U2552" s="118">
        <f t="shared" ref="U2552" si="1119">SUM(K2552:T2553)</f>
        <v>2299050</v>
      </c>
      <c r="V2552" s="122"/>
      <c r="W2552" s="124"/>
      <c r="X2552" s="126" t="s">
        <v>11496</v>
      </c>
      <c r="Y2552" s="127"/>
      <c r="Z2552" s="127"/>
      <c r="AA2552" s="127"/>
      <c r="AB2552" s="128"/>
      <c r="AC2552" s="15" t="s">
        <v>20</v>
      </c>
      <c r="AD2552" s="129" t="s">
        <v>8557</v>
      </c>
      <c r="AE2552" s="130"/>
      <c r="AF2552" s="130"/>
      <c r="AG2552" s="130"/>
      <c r="AH2552" s="130"/>
      <c r="AI2552" s="131"/>
      <c r="AJ2552" s="132"/>
      <c r="AK2552" s="127"/>
      <c r="AL2552" s="128"/>
      <c r="AM2552" s="21"/>
      <c r="AN2552" s="133">
        <v>45990</v>
      </c>
      <c r="AO2552" s="134"/>
      <c r="AP2552" s="135">
        <v>1278</v>
      </c>
      <c r="AQ2552" s="136"/>
      <c r="AR2552" s="118">
        <v>1895000</v>
      </c>
      <c r="AS2552" s="119"/>
      <c r="AT2552" s="118">
        <f t="shared" ref="AT2552" si="1120">AR2552*0.1</f>
        <v>189500</v>
      </c>
      <c r="AU2552" s="119"/>
      <c r="AV2552" s="118">
        <v>16550</v>
      </c>
      <c r="AW2552" s="119"/>
      <c r="AX2552" s="118">
        <f t="shared" ref="AX2552" si="1121">SUM(AR2552:AW2552)</f>
        <v>2101050</v>
      </c>
      <c r="AY2552" s="119"/>
      <c r="AZ2552" s="137">
        <v>45995</v>
      </c>
    </row>
    <row r="2553" spans="1:52" ht="17.100000000000001" customHeight="1" thickBot="1">
      <c r="A2553" s="110"/>
      <c r="B2553" s="27" t="s">
        <v>4544</v>
      </c>
      <c r="C2553" s="27">
        <v>1026</v>
      </c>
      <c r="D2553" s="14" t="s">
        <v>2601</v>
      </c>
      <c r="E2553" s="112"/>
      <c r="F2553" s="139" t="s">
        <v>8555</v>
      </c>
      <c r="G2553" s="140"/>
      <c r="H2553" s="141"/>
      <c r="I2553" s="26">
        <v>112607</v>
      </c>
      <c r="J2553" s="117"/>
      <c r="K2553" s="120"/>
      <c r="L2553" s="121"/>
      <c r="M2553" s="120"/>
      <c r="N2553" s="121"/>
      <c r="O2553" s="120"/>
      <c r="P2553" s="121"/>
      <c r="Q2553" s="120"/>
      <c r="R2553" s="121"/>
      <c r="S2553" s="120"/>
      <c r="T2553" s="121"/>
      <c r="U2553" s="120"/>
      <c r="V2553" s="123"/>
      <c r="W2553" s="125"/>
      <c r="X2553" s="142" t="s">
        <v>11497</v>
      </c>
      <c r="Y2553" s="143"/>
      <c r="Z2553" s="143"/>
      <c r="AA2553" s="143"/>
      <c r="AB2553" s="144"/>
      <c r="AC2553" s="16" t="s">
        <v>21</v>
      </c>
      <c r="AD2553" s="17" t="s">
        <v>2203</v>
      </c>
      <c r="AE2553" s="145" t="s">
        <v>2347</v>
      </c>
      <c r="AF2553" s="146"/>
      <c r="AG2553" s="146"/>
      <c r="AH2553" s="146"/>
      <c r="AI2553" s="147"/>
      <c r="AJ2553" s="148"/>
      <c r="AK2553" s="143"/>
      <c r="AL2553" s="144"/>
      <c r="AM2553" s="22"/>
      <c r="AN2553" s="149" t="s">
        <v>2511</v>
      </c>
      <c r="AO2553" s="144"/>
      <c r="AP2553" s="148">
        <v>31085</v>
      </c>
      <c r="AQ2553" s="144"/>
      <c r="AR2553" s="120"/>
      <c r="AS2553" s="121"/>
      <c r="AT2553" s="120"/>
      <c r="AU2553" s="121"/>
      <c r="AV2553" s="120"/>
      <c r="AW2553" s="121"/>
      <c r="AX2553" s="120"/>
      <c r="AY2553" s="121"/>
      <c r="AZ2553" s="138"/>
    </row>
    <row r="2554" spans="1:52" ht="17.100000000000001" customHeight="1" thickTop="1">
      <c r="A2554" s="109" t="s">
        <v>8549</v>
      </c>
      <c r="B2554" s="28">
        <v>45947</v>
      </c>
      <c r="C2554" s="25">
        <v>60</v>
      </c>
      <c r="D2554" s="13" t="s">
        <v>2187</v>
      </c>
      <c r="E2554" s="111"/>
      <c r="F2554" s="113" t="s">
        <v>8558</v>
      </c>
      <c r="G2554" s="114"/>
      <c r="H2554" s="115"/>
      <c r="I2554" s="24" t="s">
        <v>3003</v>
      </c>
      <c r="J2554" s="116">
        <v>4</v>
      </c>
      <c r="K2554" s="118">
        <v>1145000</v>
      </c>
      <c r="L2554" s="119"/>
      <c r="M2554" s="118">
        <f t="shared" ref="M2554" si="1122">K2554*0.1</f>
        <v>114500</v>
      </c>
      <c r="N2554" s="119"/>
      <c r="O2554" s="118">
        <v>0</v>
      </c>
      <c r="P2554" s="119"/>
      <c r="Q2554" s="118">
        <v>9830</v>
      </c>
      <c r="R2554" s="119"/>
      <c r="S2554" s="118">
        <v>44000</v>
      </c>
      <c r="T2554" s="119"/>
      <c r="U2554" s="118">
        <f t="shared" ref="U2554" si="1123">SUM(K2554:T2555)</f>
        <v>1313330</v>
      </c>
      <c r="V2554" s="122"/>
      <c r="W2554" s="124"/>
      <c r="X2554" s="126" t="s">
        <v>10597</v>
      </c>
      <c r="Y2554" s="127"/>
      <c r="Z2554" s="127"/>
      <c r="AA2554" s="127"/>
      <c r="AB2554" s="128"/>
      <c r="AC2554" s="15" t="s">
        <v>20</v>
      </c>
      <c r="AD2554" s="129" t="s">
        <v>8560</v>
      </c>
      <c r="AE2554" s="130"/>
      <c r="AF2554" s="130"/>
      <c r="AG2554" s="130"/>
      <c r="AH2554" s="130"/>
      <c r="AI2554" s="131"/>
      <c r="AJ2554" s="132"/>
      <c r="AK2554" s="127"/>
      <c r="AL2554" s="128"/>
      <c r="AM2554" s="21"/>
      <c r="AN2554" s="133">
        <v>45969</v>
      </c>
      <c r="AO2554" s="134"/>
      <c r="AP2554" s="135">
        <v>1275</v>
      </c>
      <c r="AQ2554" s="136"/>
      <c r="AR2554" s="118">
        <v>1280000</v>
      </c>
      <c r="AS2554" s="119"/>
      <c r="AT2554" s="118">
        <f t="shared" ref="AT2554" si="1124">AR2554*0.1</f>
        <v>128000</v>
      </c>
      <c r="AU2554" s="119"/>
      <c r="AV2554" s="118">
        <v>9830</v>
      </c>
      <c r="AW2554" s="119"/>
      <c r="AX2554" s="118">
        <f t="shared" ref="AX2554" si="1125">SUM(AR2554:AW2554)</f>
        <v>1417830</v>
      </c>
      <c r="AY2554" s="119"/>
      <c r="AZ2554" s="137">
        <v>45979</v>
      </c>
    </row>
    <row r="2555" spans="1:52" ht="17.100000000000001" customHeight="1" thickBot="1">
      <c r="A2555" s="110"/>
      <c r="B2555" s="27" t="s">
        <v>4544</v>
      </c>
      <c r="C2555" s="27">
        <v>1049</v>
      </c>
      <c r="D2555" s="14" t="s">
        <v>904</v>
      </c>
      <c r="E2555" s="112"/>
      <c r="F2555" s="139" t="s">
        <v>8559</v>
      </c>
      <c r="G2555" s="140"/>
      <c r="H2555" s="141"/>
      <c r="I2555" s="26">
        <v>53987</v>
      </c>
      <c r="J2555" s="117"/>
      <c r="K2555" s="120"/>
      <c r="L2555" s="121"/>
      <c r="M2555" s="120"/>
      <c r="N2555" s="121"/>
      <c r="O2555" s="120"/>
      <c r="P2555" s="121"/>
      <c r="Q2555" s="120"/>
      <c r="R2555" s="121"/>
      <c r="S2555" s="120"/>
      <c r="T2555" s="121"/>
      <c r="U2555" s="120"/>
      <c r="V2555" s="123"/>
      <c r="W2555" s="125"/>
      <c r="X2555" s="142" t="s">
        <v>10598</v>
      </c>
      <c r="Y2555" s="143"/>
      <c r="Z2555" s="143"/>
      <c r="AA2555" s="143"/>
      <c r="AB2555" s="144"/>
      <c r="AC2555" s="16" t="s">
        <v>21</v>
      </c>
      <c r="AD2555" s="17" t="s">
        <v>10596</v>
      </c>
      <c r="AE2555" s="145" t="s">
        <v>2051</v>
      </c>
      <c r="AF2555" s="146"/>
      <c r="AG2555" s="146"/>
      <c r="AH2555" s="146"/>
      <c r="AI2555" s="147"/>
      <c r="AJ2555" s="148"/>
      <c r="AK2555" s="143"/>
      <c r="AL2555" s="144"/>
      <c r="AM2555" s="22"/>
      <c r="AN2555" s="149" t="s">
        <v>2511</v>
      </c>
      <c r="AO2555" s="144"/>
      <c r="AP2555" s="148">
        <v>37110</v>
      </c>
      <c r="AQ2555" s="144"/>
      <c r="AR2555" s="120"/>
      <c r="AS2555" s="121"/>
      <c r="AT2555" s="120"/>
      <c r="AU2555" s="121"/>
      <c r="AV2555" s="120"/>
      <c r="AW2555" s="121"/>
      <c r="AX2555" s="120"/>
      <c r="AY2555" s="121"/>
      <c r="AZ2555" s="138"/>
    </row>
    <row r="2556" spans="1:52" ht="17.100000000000001" customHeight="1" thickTop="1">
      <c r="A2556" s="109" t="s">
        <v>8550</v>
      </c>
      <c r="B2556" s="28">
        <v>45947</v>
      </c>
      <c r="C2556" s="25">
        <v>60</v>
      </c>
      <c r="D2556" s="13" t="s">
        <v>1675</v>
      </c>
      <c r="E2556" s="111"/>
      <c r="F2556" s="113" t="s">
        <v>8561</v>
      </c>
      <c r="G2556" s="114"/>
      <c r="H2556" s="115"/>
      <c r="I2556" s="24" t="s">
        <v>3399</v>
      </c>
      <c r="J2556" s="116">
        <v>4</v>
      </c>
      <c r="K2556" s="118">
        <v>495000</v>
      </c>
      <c r="L2556" s="119"/>
      <c r="M2556" s="118">
        <f t="shared" ref="M2556" si="1126">K2556*0.1</f>
        <v>49500</v>
      </c>
      <c r="N2556" s="119"/>
      <c r="O2556" s="118">
        <f>13100+1310</f>
        <v>14410</v>
      </c>
      <c r="P2556" s="119"/>
      <c r="Q2556" s="118">
        <v>11810</v>
      </c>
      <c r="R2556" s="119"/>
      <c r="S2556" s="118">
        <v>33000</v>
      </c>
      <c r="T2556" s="119"/>
      <c r="U2556" s="118">
        <f t="shared" ref="U2556" si="1127">SUM(K2556:T2557)</f>
        <v>603720</v>
      </c>
      <c r="V2556" s="122"/>
      <c r="W2556" s="124"/>
      <c r="X2556" s="126" t="s">
        <v>12057</v>
      </c>
      <c r="Y2556" s="127"/>
      <c r="Z2556" s="127"/>
      <c r="AA2556" s="127"/>
      <c r="AB2556" s="128"/>
      <c r="AC2556" s="15" t="s">
        <v>20</v>
      </c>
      <c r="AD2556" s="129" t="s">
        <v>8563</v>
      </c>
      <c r="AE2556" s="130"/>
      <c r="AF2556" s="130"/>
      <c r="AG2556" s="130"/>
      <c r="AH2556" s="130"/>
      <c r="AI2556" s="131"/>
      <c r="AJ2556" s="132"/>
      <c r="AK2556" s="127"/>
      <c r="AL2556" s="128"/>
      <c r="AM2556" s="21"/>
      <c r="AN2556" s="133">
        <v>45990</v>
      </c>
      <c r="AO2556" s="134"/>
      <c r="AP2556" s="135">
        <v>1278</v>
      </c>
      <c r="AQ2556" s="136"/>
      <c r="AR2556" s="118">
        <v>685000</v>
      </c>
      <c r="AS2556" s="119"/>
      <c r="AT2556" s="118">
        <f t="shared" ref="AT2556" si="1128">AR2556*0.1</f>
        <v>68500</v>
      </c>
      <c r="AU2556" s="119"/>
      <c r="AV2556" s="118">
        <v>11810</v>
      </c>
      <c r="AW2556" s="119"/>
      <c r="AX2556" s="118">
        <f t="shared" ref="AX2556" si="1129">SUM(AR2556:AW2556)</f>
        <v>765310</v>
      </c>
      <c r="AY2556" s="119"/>
      <c r="AZ2556" s="137">
        <v>45994</v>
      </c>
    </row>
    <row r="2557" spans="1:52" ht="17.100000000000001" customHeight="1" thickBot="1">
      <c r="A2557" s="110"/>
      <c r="B2557" s="27" t="s">
        <v>4544</v>
      </c>
      <c r="C2557" s="27">
        <v>2001</v>
      </c>
      <c r="D2557" s="14" t="s">
        <v>275</v>
      </c>
      <c r="E2557" s="112"/>
      <c r="F2557" s="139" t="s">
        <v>8562</v>
      </c>
      <c r="G2557" s="140"/>
      <c r="H2557" s="141"/>
      <c r="I2557" s="26">
        <v>78066</v>
      </c>
      <c r="J2557" s="117"/>
      <c r="K2557" s="120"/>
      <c r="L2557" s="121"/>
      <c r="M2557" s="120"/>
      <c r="N2557" s="121"/>
      <c r="O2557" s="120"/>
      <c r="P2557" s="121"/>
      <c r="Q2557" s="120"/>
      <c r="R2557" s="121"/>
      <c r="S2557" s="120"/>
      <c r="T2557" s="121"/>
      <c r="U2557" s="120"/>
      <c r="V2557" s="123"/>
      <c r="W2557" s="125"/>
      <c r="X2557" s="142" t="s">
        <v>12058</v>
      </c>
      <c r="Y2557" s="143"/>
      <c r="Z2557" s="143"/>
      <c r="AA2557" s="143"/>
      <c r="AB2557" s="144"/>
      <c r="AC2557" s="16" t="s">
        <v>21</v>
      </c>
      <c r="AD2557" s="17" t="s">
        <v>12054</v>
      </c>
      <c r="AE2557" s="145" t="s">
        <v>12123</v>
      </c>
      <c r="AF2557" s="146"/>
      <c r="AG2557" s="146"/>
      <c r="AH2557" s="146"/>
      <c r="AI2557" s="147"/>
      <c r="AJ2557" s="148"/>
      <c r="AK2557" s="143"/>
      <c r="AL2557" s="144"/>
      <c r="AM2557" s="22"/>
      <c r="AN2557" s="149" t="s">
        <v>2511</v>
      </c>
      <c r="AO2557" s="144"/>
      <c r="AP2557" s="148">
        <v>37817</v>
      </c>
      <c r="AQ2557" s="144"/>
      <c r="AR2557" s="120"/>
      <c r="AS2557" s="121"/>
      <c r="AT2557" s="120"/>
      <c r="AU2557" s="121"/>
      <c r="AV2557" s="120"/>
      <c r="AW2557" s="121"/>
      <c r="AX2557" s="120"/>
      <c r="AY2557" s="121"/>
      <c r="AZ2557" s="138"/>
    </row>
    <row r="2558" spans="1:52" ht="17.100000000000001" customHeight="1" thickTop="1">
      <c r="A2558" s="109" t="s">
        <v>8551</v>
      </c>
      <c r="B2558" s="28">
        <v>45947</v>
      </c>
      <c r="C2558" s="25">
        <v>60</v>
      </c>
      <c r="D2558" s="13" t="s">
        <v>2100</v>
      </c>
      <c r="E2558" s="111"/>
      <c r="F2558" s="113" t="s">
        <v>8564</v>
      </c>
      <c r="G2558" s="114"/>
      <c r="H2558" s="115"/>
      <c r="I2558" s="24" t="s">
        <v>4314</v>
      </c>
      <c r="J2558" s="116">
        <v>4.5</v>
      </c>
      <c r="K2558" s="118">
        <v>2010000</v>
      </c>
      <c r="L2558" s="119"/>
      <c r="M2558" s="118">
        <f t="shared" ref="M2558" si="1130">K2558*0.1</f>
        <v>201000</v>
      </c>
      <c r="N2558" s="119"/>
      <c r="O2558" s="118">
        <f>13100+1310</f>
        <v>14410</v>
      </c>
      <c r="P2558" s="119"/>
      <c r="Q2558" s="118">
        <v>12470</v>
      </c>
      <c r="R2558" s="119"/>
      <c r="S2558" s="118">
        <v>66000</v>
      </c>
      <c r="T2558" s="119"/>
      <c r="U2558" s="118">
        <f t="shared" ref="U2558" si="1131">SUM(K2558:T2559)</f>
        <v>2303880</v>
      </c>
      <c r="V2558" s="122"/>
      <c r="W2558" s="124"/>
      <c r="X2558" s="126" t="s">
        <v>12334</v>
      </c>
      <c r="Y2558" s="127"/>
      <c r="Z2558" s="127"/>
      <c r="AA2558" s="127"/>
      <c r="AB2558" s="128"/>
      <c r="AC2558" s="15" t="s">
        <v>20</v>
      </c>
      <c r="AD2558" s="129" t="s">
        <v>8563</v>
      </c>
      <c r="AE2558" s="130"/>
      <c r="AF2558" s="130"/>
      <c r="AG2558" s="130"/>
      <c r="AH2558" s="130"/>
      <c r="AI2558" s="131"/>
      <c r="AJ2558" s="132"/>
      <c r="AK2558" s="127"/>
      <c r="AL2558" s="128"/>
      <c r="AM2558" s="21"/>
      <c r="AN2558" s="133">
        <v>45994</v>
      </c>
      <c r="AO2558" s="134"/>
      <c r="AP2558" s="135">
        <v>995</v>
      </c>
      <c r="AQ2558" s="136"/>
      <c r="AR2558" s="118">
        <v>2220000</v>
      </c>
      <c r="AS2558" s="119"/>
      <c r="AT2558" s="118">
        <f t="shared" ref="AT2558" si="1132">AR2558*0.1</f>
        <v>222000</v>
      </c>
      <c r="AU2558" s="119"/>
      <c r="AV2558" s="118">
        <v>12470</v>
      </c>
      <c r="AW2558" s="119"/>
      <c r="AX2558" s="118">
        <f t="shared" ref="AX2558" si="1133">SUM(AR2558:AW2558)</f>
        <v>2454470</v>
      </c>
      <c r="AY2558" s="119"/>
      <c r="AZ2558" s="137">
        <v>45999</v>
      </c>
    </row>
    <row r="2559" spans="1:52" ht="17.100000000000001" customHeight="1" thickBot="1">
      <c r="A2559" s="110"/>
      <c r="B2559" s="27" t="s">
        <v>4544</v>
      </c>
      <c r="C2559" s="27">
        <v>2012</v>
      </c>
      <c r="D2559" s="14" t="s">
        <v>2601</v>
      </c>
      <c r="E2559" s="112"/>
      <c r="F2559" s="139" t="s">
        <v>8565</v>
      </c>
      <c r="G2559" s="140"/>
      <c r="H2559" s="141"/>
      <c r="I2559" s="26">
        <v>34683</v>
      </c>
      <c r="J2559" s="117"/>
      <c r="K2559" s="120"/>
      <c r="L2559" s="121"/>
      <c r="M2559" s="120"/>
      <c r="N2559" s="121"/>
      <c r="O2559" s="120"/>
      <c r="P2559" s="121"/>
      <c r="Q2559" s="120"/>
      <c r="R2559" s="121"/>
      <c r="S2559" s="120"/>
      <c r="T2559" s="121"/>
      <c r="U2559" s="120"/>
      <c r="V2559" s="123"/>
      <c r="W2559" s="125"/>
      <c r="X2559" s="142" t="s">
        <v>12335</v>
      </c>
      <c r="Y2559" s="143"/>
      <c r="Z2559" s="143"/>
      <c r="AA2559" s="143"/>
      <c r="AB2559" s="144"/>
      <c r="AC2559" s="16" t="s">
        <v>21</v>
      </c>
      <c r="AD2559" s="17" t="s">
        <v>2248</v>
      </c>
      <c r="AE2559" s="145" t="s">
        <v>12336</v>
      </c>
      <c r="AF2559" s="146"/>
      <c r="AG2559" s="146"/>
      <c r="AH2559" s="146"/>
      <c r="AI2559" s="147"/>
      <c r="AJ2559" s="148"/>
      <c r="AK2559" s="143"/>
      <c r="AL2559" s="144"/>
      <c r="AM2559" s="22"/>
      <c r="AN2559" s="149" t="s">
        <v>2794</v>
      </c>
      <c r="AO2559" s="144"/>
      <c r="AP2559" s="148">
        <v>1080</v>
      </c>
      <c r="AQ2559" s="144"/>
      <c r="AR2559" s="120"/>
      <c r="AS2559" s="121"/>
      <c r="AT2559" s="120"/>
      <c r="AU2559" s="121"/>
      <c r="AV2559" s="120"/>
      <c r="AW2559" s="121"/>
      <c r="AX2559" s="120"/>
      <c r="AY2559" s="121"/>
      <c r="AZ2559" s="138"/>
    </row>
    <row r="2560" spans="1:52" ht="17.100000000000001" customHeight="1" thickTop="1">
      <c r="A2560" s="109" t="s">
        <v>8575</v>
      </c>
      <c r="B2560" s="28">
        <v>45947</v>
      </c>
      <c r="C2560" s="25">
        <v>262</v>
      </c>
      <c r="D2560" s="13" t="s">
        <v>4840</v>
      </c>
      <c r="E2560" s="111"/>
      <c r="F2560" s="113" t="s">
        <v>8566</v>
      </c>
      <c r="G2560" s="114"/>
      <c r="H2560" s="115"/>
      <c r="I2560" s="24"/>
      <c r="J2560" s="116">
        <v>4</v>
      </c>
      <c r="K2560" s="118">
        <v>192000</v>
      </c>
      <c r="L2560" s="119"/>
      <c r="M2560" s="118">
        <f t="shared" ref="M2560" si="1134">K2560*0.1</f>
        <v>19200</v>
      </c>
      <c r="N2560" s="119"/>
      <c r="O2560" s="118">
        <v>0</v>
      </c>
      <c r="P2560" s="119"/>
      <c r="Q2560" s="118">
        <v>8930</v>
      </c>
      <c r="R2560" s="119"/>
      <c r="S2560" s="118">
        <v>22000</v>
      </c>
      <c r="T2560" s="119"/>
      <c r="U2560" s="118">
        <f t="shared" ref="U2560" si="1135">SUM(K2560:T2561)</f>
        <v>242130</v>
      </c>
      <c r="V2560" s="122"/>
      <c r="W2560" s="124"/>
      <c r="X2560" s="126" t="s">
        <v>8900</v>
      </c>
      <c r="Y2560" s="127"/>
      <c r="Z2560" s="127"/>
      <c r="AA2560" s="127"/>
      <c r="AB2560" s="128"/>
      <c r="AC2560" s="15" t="s">
        <v>20</v>
      </c>
      <c r="AD2560" s="129"/>
      <c r="AE2560" s="130"/>
      <c r="AF2560" s="130"/>
      <c r="AG2560" s="130"/>
      <c r="AH2560" s="130"/>
      <c r="AI2560" s="131"/>
      <c r="AJ2560" s="132"/>
      <c r="AK2560" s="127"/>
      <c r="AL2560" s="128"/>
      <c r="AM2560" s="21"/>
      <c r="AN2560" s="133">
        <v>45955</v>
      </c>
      <c r="AO2560" s="134"/>
      <c r="AP2560" s="135">
        <v>1273</v>
      </c>
      <c r="AQ2560" s="136"/>
      <c r="AR2560" s="118">
        <v>270000</v>
      </c>
      <c r="AS2560" s="119"/>
      <c r="AT2560" s="118">
        <f t="shared" ref="AT2560" si="1136">AR2560*0.1</f>
        <v>27000</v>
      </c>
      <c r="AU2560" s="119"/>
      <c r="AV2560" s="118">
        <v>8930</v>
      </c>
      <c r="AW2560" s="119"/>
      <c r="AX2560" s="118">
        <f t="shared" ref="AX2560" si="1137">SUM(AR2560:AW2560)</f>
        <v>305930</v>
      </c>
      <c r="AY2560" s="119"/>
      <c r="AZ2560" s="137">
        <v>45958</v>
      </c>
    </row>
    <row r="2561" spans="1:52" ht="17.100000000000001" customHeight="1" thickBot="1">
      <c r="A2561" s="110"/>
      <c r="B2561" s="27" t="s">
        <v>3957</v>
      </c>
      <c r="C2561" s="27">
        <v>1</v>
      </c>
      <c r="D2561" s="14" t="s">
        <v>3327</v>
      </c>
      <c r="E2561" s="112"/>
      <c r="F2561" s="139" t="s">
        <v>8567</v>
      </c>
      <c r="G2561" s="140"/>
      <c r="H2561" s="141"/>
      <c r="I2561" s="26">
        <v>38806</v>
      </c>
      <c r="J2561" s="117"/>
      <c r="K2561" s="120"/>
      <c r="L2561" s="121"/>
      <c r="M2561" s="120"/>
      <c r="N2561" s="121"/>
      <c r="O2561" s="120"/>
      <c r="P2561" s="121"/>
      <c r="Q2561" s="120"/>
      <c r="R2561" s="121"/>
      <c r="S2561" s="120"/>
      <c r="T2561" s="121"/>
      <c r="U2561" s="120"/>
      <c r="V2561" s="123"/>
      <c r="W2561" s="125"/>
      <c r="X2561" s="142" t="s">
        <v>4500</v>
      </c>
      <c r="Y2561" s="143"/>
      <c r="Z2561" s="143"/>
      <c r="AA2561" s="143"/>
      <c r="AB2561" s="144"/>
      <c r="AC2561" s="16" t="s">
        <v>21</v>
      </c>
      <c r="AD2561" s="17" t="s">
        <v>1665</v>
      </c>
      <c r="AE2561" s="145" t="s">
        <v>2395</v>
      </c>
      <c r="AF2561" s="146"/>
      <c r="AG2561" s="146"/>
      <c r="AH2561" s="146"/>
      <c r="AI2561" s="147"/>
      <c r="AJ2561" s="148"/>
      <c r="AK2561" s="143"/>
      <c r="AL2561" s="144"/>
      <c r="AM2561" s="22"/>
      <c r="AN2561" s="149" t="s">
        <v>2511</v>
      </c>
      <c r="AO2561" s="144"/>
      <c r="AP2561" s="148">
        <v>60023</v>
      </c>
      <c r="AQ2561" s="144"/>
      <c r="AR2561" s="120"/>
      <c r="AS2561" s="121"/>
      <c r="AT2561" s="120"/>
      <c r="AU2561" s="121"/>
      <c r="AV2561" s="120"/>
      <c r="AW2561" s="121"/>
      <c r="AX2561" s="120"/>
      <c r="AY2561" s="121"/>
      <c r="AZ2561" s="138"/>
    </row>
    <row r="2562" spans="1:52" ht="17.100000000000001" customHeight="1" thickTop="1">
      <c r="A2562" s="109" t="s">
        <v>8576</v>
      </c>
      <c r="B2562" s="28">
        <v>45947</v>
      </c>
      <c r="C2562" s="25">
        <v>262</v>
      </c>
      <c r="D2562" s="13" t="s">
        <v>1758</v>
      </c>
      <c r="E2562" s="111"/>
      <c r="F2562" s="113" t="s">
        <v>3908</v>
      </c>
      <c r="G2562" s="114"/>
      <c r="H2562" s="115"/>
      <c r="I2562" s="24" t="s">
        <v>1547</v>
      </c>
      <c r="J2562" s="116">
        <v>4.5</v>
      </c>
      <c r="K2562" s="118">
        <v>462000</v>
      </c>
      <c r="L2562" s="119"/>
      <c r="M2562" s="118">
        <f t="shared" ref="M2562" si="1138">K2562*0.1</f>
        <v>46200</v>
      </c>
      <c r="N2562" s="119"/>
      <c r="O2562" s="118">
        <v>0</v>
      </c>
      <c r="P2562" s="119"/>
      <c r="Q2562" s="118">
        <v>7950</v>
      </c>
      <c r="R2562" s="119"/>
      <c r="S2562" s="118">
        <v>22000</v>
      </c>
      <c r="T2562" s="119"/>
      <c r="U2562" s="118">
        <f t="shared" ref="U2562" si="1139">SUM(K2562:T2563)</f>
        <v>538150</v>
      </c>
      <c r="V2562" s="122"/>
      <c r="W2562" s="124"/>
      <c r="X2562" s="126" t="s">
        <v>8569</v>
      </c>
      <c r="Y2562" s="127"/>
      <c r="Z2562" s="127"/>
      <c r="AA2562" s="127"/>
      <c r="AB2562" s="128"/>
      <c r="AC2562" s="15" t="s">
        <v>20</v>
      </c>
      <c r="AD2562" s="129" t="s">
        <v>1797</v>
      </c>
      <c r="AE2562" s="130"/>
      <c r="AF2562" s="130"/>
      <c r="AG2562" s="130"/>
      <c r="AH2562" s="130"/>
      <c r="AI2562" s="131"/>
      <c r="AJ2562" s="132"/>
      <c r="AK2562" s="127"/>
      <c r="AL2562" s="128"/>
      <c r="AM2562" s="21"/>
      <c r="AN2562" s="133">
        <v>45958</v>
      </c>
      <c r="AO2562" s="134"/>
      <c r="AP2562" s="135">
        <v>1915</v>
      </c>
      <c r="AQ2562" s="136"/>
      <c r="AR2562" s="118">
        <v>505000</v>
      </c>
      <c r="AS2562" s="119"/>
      <c r="AT2562" s="118">
        <f t="shared" ref="AT2562" si="1140">AR2562*0.1</f>
        <v>50500</v>
      </c>
      <c r="AU2562" s="119"/>
      <c r="AV2562" s="118">
        <v>7950</v>
      </c>
      <c r="AW2562" s="119"/>
      <c r="AX2562" s="118">
        <f t="shared" ref="AX2562" si="1141">SUM(AR2562:AW2562)</f>
        <v>563450</v>
      </c>
      <c r="AY2562" s="119"/>
      <c r="AZ2562" s="137">
        <v>45965</v>
      </c>
    </row>
    <row r="2563" spans="1:52" ht="17.100000000000001" customHeight="1" thickBot="1">
      <c r="A2563" s="110"/>
      <c r="B2563" s="27" t="s">
        <v>3957</v>
      </c>
      <c r="C2563" s="27">
        <v>82</v>
      </c>
      <c r="D2563" s="14" t="s">
        <v>3327</v>
      </c>
      <c r="E2563" s="112"/>
      <c r="F2563" s="139" t="s">
        <v>8568</v>
      </c>
      <c r="G2563" s="140"/>
      <c r="H2563" s="141"/>
      <c r="I2563" s="26">
        <v>50322</v>
      </c>
      <c r="J2563" s="117"/>
      <c r="K2563" s="120"/>
      <c r="L2563" s="121"/>
      <c r="M2563" s="120"/>
      <c r="N2563" s="121"/>
      <c r="O2563" s="120"/>
      <c r="P2563" s="121"/>
      <c r="Q2563" s="120"/>
      <c r="R2563" s="121"/>
      <c r="S2563" s="120"/>
      <c r="T2563" s="121"/>
      <c r="U2563" s="120"/>
      <c r="V2563" s="123"/>
      <c r="W2563" s="125"/>
      <c r="X2563" s="142" t="s">
        <v>9228</v>
      </c>
      <c r="Y2563" s="143"/>
      <c r="Z2563" s="143"/>
      <c r="AA2563" s="143"/>
      <c r="AB2563" s="144"/>
      <c r="AC2563" s="16" t="s">
        <v>21</v>
      </c>
      <c r="AD2563" s="17" t="s">
        <v>9131</v>
      </c>
      <c r="AE2563" s="145" t="s">
        <v>171</v>
      </c>
      <c r="AF2563" s="146"/>
      <c r="AG2563" s="146"/>
      <c r="AH2563" s="146"/>
      <c r="AI2563" s="147"/>
      <c r="AJ2563" s="148"/>
      <c r="AK2563" s="143"/>
      <c r="AL2563" s="144"/>
      <c r="AM2563" s="22"/>
      <c r="AN2563" s="149" t="s">
        <v>2131</v>
      </c>
      <c r="AO2563" s="144"/>
      <c r="AP2563" s="148">
        <v>3049</v>
      </c>
      <c r="AQ2563" s="144"/>
      <c r="AR2563" s="120"/>
      <c r="AS2563" s="121"/>
      <c r="AT2563" s="120"/>
      <c r="AU2563" s="121"/>
      <c r="AV2563" s="120"/>
      <c r="AW2563" s="121"/>
      <c r="AX2563" s="120"/>
      <c r="AY2563" s="121"/>
      <c r="AZ2563" s="138"/>
    </row>
    <row r="2564" spans="1:52" ht="17.100000000000001" customHeight="1" thickTop="1">
      <c r="A2564" s="109" t="s">
        <v>8577</v>
      </c>
      <c r="B2564" s="28">
        <v>45947</v>
      </c>
      <c r="C2564" s="25">
        <v>262</v>
      </c>
      <c r="D2564" s="13" t="s">
        <v>818</v>
      </c>
      <c r="E2564" s="111"/>
      <c r="F2564" s="113" t="s">
        <v>8570</v>
      </c>
      <c r="G2564" s="114"/>
      <c r="H2564" s="115"/>
      <c r="I2564" s="24" t="s">
        <v>3399</v>
      </c>
      <c r="J2564" s="116">
        <v>4.5</v>
      </c>
      <c r="K2564" s="118">
        <v>706000</v>
      </c>
      <c r="L2564" s="119"/>
      <c r="M2564" s="118">
        <f t="shared" ref="M2564" si="1142">K2564*0.1</f>
        <v>70600</v>
      </c>
      <c r="N2564" s="119"/>
      <c r="O2564" s="118">
        <v>0</v>
      </c>
      <c r="P2564" s="119"/>
      <c r="Q2564" s="118">
        <v>8400</v>
      </c>
      <c r="R2564" s="119"/>
      <c r="S2564" s="118">
        <v>22000</v>
      </c>
      <c r="T2564" s="119"/>
      <c r="U2564" s="118">
        <f t="shared" ref="U2564" si="1143">SUM(K2564:T2565)</f>
        <v>807000</v>
      </c>
      <c r="V2564" s="122"/>
      <c r="W2564" s="124"/>
      <c r="X2564" s="126" t="s">
        <v>8572</v>
      </c>
      <c r="Y2564" s="127"/>
      <c r="Z2564" s="127"/>
      <c r="AA2564" s="127"/>
      <c r="AB2564" s="128"/>
      <c r="AC2564" s="15" t="s">
        <v>20</v>
      </c>
      <c r="AD2564" s="129" t="s">
        <v>1670</v>
      </c>
      <c r="AE2564" s="130"/>
      <c r="AF2564" s="130"/>
      <c r="AG2564" s="130"/>
      <c r="AH2564" s="130"/>
      <c r="AI2564" s="131"/>
      <c r="AJ2564" s="132"/>
      <c r="AK2564" s="127"/>
      <c r="AL2564" s="128"/>
      <c r="AM2564" s="21"/>
      <c r="AN2564" s="133">
        <v>45951</v>
      </c>
      <c r="AO2564" s="134"/>
      <c r="AP2564" s="135">
        <v>1914</v>
      </c>
      <c r="AQ2564" s="136"/>
      <c r="AR2564" s="118">
        <v>797000</v>
      </c>
      <c r="AS2564" s="119"/>
      <c r="AT2564" s="118">
        <f t="shared" ref="AT2564" si="1144">AR2564*0.1</f>
        <v>79700</v>
      </c>
      <c r="AU2564" s="119"/>
      <c r="AV2564" s="118">
        <v>8400</v>
      </c>
      <c r="AW2564" s="119"/>
      <c r="AX2564" s="118">
        <f t="shared" ref="AX2564" si="1145">SUM(AR2564:AW2564)</f>
        <v>885100</v>
      </c>
      <c r="AY2564" s="119"/>
      <c r="AZ2564" s="137">
        <v>45957</v>
      </c>
    </row>
    <row r="2565" spans="1:52" ht="17.100000000000001" customHeight="1" thickBot="1">
      <c r="A2565" s="110"/>
      <c r="B2565" s="27" t="s">
        <v>3957</v>
      </c>
      <c r="C2565" s="27">
        <v>87</v>
      </c>
      <c r="D2565" s="14" t="s">
        <v>1720</v>
      </c>
      <c r="E2565" s="112"/>
      <c r="F2565" s="139" t="s">
        <v>8571</v>
      </c>
      <c r="G2565" s="140"/>
      <c r="H2565" s="141"/>
      <c r="I2565" s="26">
        <v>27146</v>
      </c>
      <c r="J2565" s="117"/>
      <c r="K2565" s="120"/>
      <c r="L2565" s="121"/>
      <c r="M2565" s="120"/>
      <c r="N2565" s="121"/>
      <c r="O2565" s="120"/>
      <c r="P2565" s="121"/>
      <c r="Q2565" s="120"/>
      <c r="R2565" s="121"/>
      <c r="S2565" s="120"/>
      <c r="T2565" s="121"/>
      <c r="U2565" s="120"/>
      <c r="V2565" s="123"/>
      <c r="W2565" s="125"/>
      <c r="X2565" s="142" t="s">
        <v>3795</v>
      </c>
      <c r="Y2565" s="143"/>
      <c r="Z2565" s="143"/>
      <c r="AA2565" s="143"/>
      <c r="AB2565" s="144"/>
      <c r="AC2565" s="16" t="s">
        <v>21</v>
      </c>
      <c r="AD2565" s="17" t="s">
        <v>1665</v>
      </c>
      <c r="AE2565" s="145" t="s">
        <v>8255</v>
      </c>
      <c r="AF2565" s="146"/>
      <c r="AG2565" s="146"/>
      <c r="AH2565" s="146"/>
      <c r="AI2565" s="147"/>
      <c r="AJ2565" s="148"/>
      <c r="AK2565" s="143"/>
      <c r="AL2565" s="144"/>
      <c r="AM2565" s="22"/>
      <c r="AN2565" s="149" t="s">
        <v>2131</v>
      </c>
      <c r="AO2565" s="144"/>
      <c r="AP2565" s="148">
        <v>3227</v>
      </c>
      <c r="AQ2565" s="144"/>
      <c r="AR2565" s="120"/>
      <c r="AS2565" s="121"/>
      <c r="AT2565" s="120"/>
      <c r="AU2565" s="121"/>
      <c r="AV2565" s="120"/>
      <c r="AW2565" s="121"/>
      <c r="AX2565" s="120"/>
      <c r="AY2565" s="121"/>
      <c r="AZ2565" s="138"/>
    </row>
    <row r="2566" spans="1:52" ht="17.100000000000001" customHeight="1" thickTop="1">
      <c r="A2566" s="109" t="s">
        <v>8578</v>
      </c>
      <c r="B2566" s="28">
        <v>45947</v>
      </c>
      <c r="C2566" s="25">
        <v>2106</v>
      </c>
      <c r="D2566" s="13" t="s">
        <v>1712</v>
      </c>
      <c r="E2566" s="111"/>
      <c r="F2566" s="113" t="s">
        <v>8586</v>
      </c>
      <c r="G2566" s="114"/>
      <c r="H2566" s="115"/>
      <c r="I2566" s="24" t="s">
        <v>2526</v>
      </c>
      <c r="J2566" s="116">
        <v>4.5</v>
      </c>
      <c r="K2566" s="118">
        <v>810000</v>
      </c>
      <c r="L2566" s="119"/>
      <c r="M2566" s="118">
        <f>K2566*0.1</f>
        <v>81000</v>
      </c>
      <c r="N2566" s="119"/>
      <c r="O2566" s="118">
        <f>16400+1640</f>
        <v>18040</v>
      </c>
      <c r="P2566" s="119"/>
      <c r="Q2566" s="118">
        <v>19440</v>
      </c>
      <c r="R2566" s="119"/>
      <c r="S2566" s="118">
        <v>16500</v>
      </c>
      <c r="T2566" s="119"/>
      <c r="U2566" s="118">
        <f>SUM(K2566:T2567)</f>
        <v>944980</v>
      </c>
      <c r="V2566" s="122"/>
      <c r="W2566" s="124"/>
      <c r="X2566" s="126" t="s">
        <v>8635</v>
      </c>
      <c r="Y2566" s="127"/>
      <c r="Z2566" s="127"/>
      <c r="AA2566" s="127"/>
      <c r="AB2566" s="128"/>
      <c r="AC2566" s="15" t="s">
        <v>20</v>
      </c>
      <c r="AD2566" s="129"/>
      <c r="AE2566" s="130"/>
      <c r="AF2566" s="130"/>
      <c r="AG2566" s="130"/>
      <c r="AH2566" s="130"/>
      <c r="AI2566" s="131"/>
      <c r="AJ2566" s="132"/>
      <c r="AK2566" s="127"/>
      <c r="AL2566" s="128"/>
      <c r="AM2566" s="21"/>
      <c r="AN2566" s="133">
        <v>45953</v>
      </c>
      <c r="AO2566" s="134"/>
      <c r="AP2566" s="135">
        <v>1303</v>
      </c>
      <c r="AQ2566" s="136"/>
      <c r="AR2566" s="118">
        <v>955000</v>
      </c>
      <c r="AS2566" s="119"/>
      <c r="AT2566" s="118">
        <f>AR2566*0.1</f>
        <v>95500</v>
      </c>
      <c r="AU2566" s="119"/>
      <c r="AV2566" s="118">
        <v>19440</v>
      </c>
      <c r="AW2566" s="119"/>
      <c r="AX2566" s="118">
        <f>SUM(AR2566:AW2566)</f>
        <v>1069940</v>
      </c>
      <c r="AY2566" s="119"/>
      <c r="AZ2566" s="137">
        <v>45954</v>
      </c>
    </row>
    <row r="2567" spans="1:52" ht="17.100000000000001" customHeight="1" thickBot="1">
      <c r="A2567" s="110"/>
      <c r="B2567" s="27" t="s">
        <v>1543</v>
      </c>
      <c r="C2567" s="27">
        <v>13067</v>
      </c>
      <c r="D2567" s="14" t="s">
        <v>1635</v>
      </c>
      <c r="E2567" s="112"/>
      <c r="F2567" s="139" t="s">
        <v>8634</v>
      </c>
      <c r="G2567" s="140"/>
      <c r="H2567" s="141"/>
      <c r="I2567" s="26">
        <v>75127</v>
      </c>
      <c r="J2567" s="117"/>
      <c r="K2567" s="120"/>
      <c r="L2567" s="121"/>
      <c r="M2567" s="120"/>
      <c r="N2567" s="121"/>
      <c r="O2567" s="120"/>
      <c r="P2567" s="121"/>
      <c r="Q2567" s="120"/>
      <c r="R2567" s="121"/>
      <c r="S2567" s="120"/>
      <c r="T2567" s="121"/>
      <c r="U2567" s="120"/>
      <c r="V2567" s="123"/>
      <c r="W2567" s="125"/>
      <c r="X2567" s="142" t="s">
        <v>9064</v>
      </c>
      <c r="Y2567" s="143"/>
      <c r="Z2567" s="143"/>
      <c r="AA2567" s="143"/>
      <c r="AB2567" s="144"/>
      <c r="AC2567" s="16" t="s">
        <v>21</v>
      </c>
      <c r="AD2567" s="17" t="s">
        <v>8956</v>
      </c>
      <c r="AE2567" s="145" t="s">
        <v>171</v>
      </c>
      <c r="AF2567" s="146"/>
      <c r="AG2567" s="146"/>
      <c r="AH2567" s="146"/>
      <c r="AI2567" s="147"/>
      <c r="AJ2567" s="148"/>
      <c r="AK2567" s="143"/>
      <c r="AL2567" s="144"/>
      <c r="AM2567" s="22"/>
      <c r="AN2567" s="149" t="s">
        <v>1747</v>
      </c>
      <c r="AO2567" s="144"/>
      <c r="AP2567" s="148">
        <v>50</v>
      </c>
      <c r="AQ2567" s="144"/>
      <c r="AR2567" s="120"/>
      <c r="AS2567" s="121"/>
      <c r="AT2567" s="120"/>
      <c r="AU2567" s="121"/>
      <c r="AV2567" s="120"/>
      <c r="AW2567" s="121"/>
      <c r="AX2567" s="120"/>
      <c r="AY2567" s="121"/>
      <c r="AZ2567" s="138"/>
    </row>
    <row r="2568" spans="1:52" ht="17.100000000000001" customHeight="1" thickTop="1">
      <c r="A2568" s="109" t="s">
        <v>8579</v>
      </c>
      <c r="B2568" s="28">
        <v>45947</v>
      </c>
      <c r="C2568" s="25">
        <v>2106</v>
      </c>
      <c r="D2568" s="13" t="s">
        <v>2359</v>
      </c>
      <c r="E2568" s="111"/>
      <c r="F2568" s="113" t="s">
        <v>8587</v>
      </c>
      <c r="G2568" s="114"/>
      <c r="H2568" s="115"/>
      <c r="I2568" s="24"/>
      <c r="J2568" s="116">
        <v>4</v>
      </c>
      <c r="K2568" s="118">
        <v>800000</v>
      </c>
      <c r="L2568" s="119"/>
      <c r="M2568" s="118">
        <f t="shared" ref="M2568" si="1146">K2568*0.1</f>
        <v>80000</v>
      </c>
      <c r="N2568" s="119"/>
      <c r="O2568" s="118">
        <v>0</v>
      </c>
      <c r="P2568" s="119"/>
      <c r="Q2568" s="118">
        <v>8550</v>
      </c>
      <c r="R2568" s="119"/>
      <c r="S2568" s="118">
        <v>16500</v>
      </c>
      <c r="T2568" s="119"/>
      <c r="U2568" s="118">
        <f t="shared" ref="U2568" si="1147">SUM(K2568:T2569)</f>
        <v>905050</v>
      </c>
      <c r="V2568" s="122"/>
      <c r="W2568" s="124"/>
      <c r="X2568" s="126" t="s">
        <v>9094</v>
      </c>
      <c r="Y2568" s="127"/>
      <c r="Z2568" s="127"/>
      <c r="AA2568" s="127"/>
      <c r="AB2568" s="128"/>
      <c r="AC2568" s="15" t="s">
        <v>20</v>
      </c>
      <c r="AD2568" s="129" t="s">
        <v>9065</v>
      </c>
      <c r="AE2568" s="130"/>
      <c r="AF2568" s="130"/>
      <c r="AG2568" s="130"/>
      <c r="AH2568" s="130"/>
      <c r="AI2568" s="131"/>
      <c r="AJ2568" s="132"/>
      <c r="AK2568" s="127"/>
      <c r="AL2568" s="128"/>
      <c r="AM2568" s="21"/>
      <c r="AN2568" s="133">
        <v>45955</v>
      </c>
      <c r="AO2568" s="134"/>
      <c r="AP2568" s="135">
        <v>1273</v>
      </c>
      <c r="AQ2568" s="136"/>
      <c r="AR2568" s="118">
        <v>910000</v>
      </c>
      <c r="AS2568" s="119"/>
      <c r="AT2568" s="118">
        <f t="shared" ref="AT2568" si="1148">AR2568*0.1</f>
        <v>91000</v>
      </c>
      <c r="AU2568" s="119"/>
      <c r="AV2568" s="118">
        <v>8550</v>
      </c>
      <c r="AW2568" s="119"/>
      <c r="AX2568" s="118">
        <f t="shared" ref="AX2568" si="1149">SUM(AR2568:AW2568)</f>
        <v>1009550</v>
      </c>
      <c r="AY2568" s="119"/>
      <c r="AZ2568" s="137">
        <v>45958</v>
      </c>
    </row>
    <row r="2569" spans="1:52" ht="17.100000000000001" customHeight="1" thickBot="1">
      <c r="A2569" s="110"/>
      <c r="B2569" s="27" t="s">
        <v>1543</v>
      </c>
      <c r="C2569" s="27">
        <v>55248</v>
      </c>
      <c r="D2569" s="14" t="s">
        <v>55</v>
      </c>
      <c r="E2569" s="112"/>
      <c r="F2569" s="139" t="s">
        <v>8588</v>
      </c>
      <c r="G2569" s="140"/>
      <c r="H2569" s="141"/>
      <c r="I2569" s="26">
        <v>43007</v>
      </c>
      <c r="J2569" s="117"/>
      <c r="K2569" s="120"/>
      <c r="L2569" s="121"/>
      <c r="M2569" s="120"/>
      <c r="N2569" s="121"/>
      <c r="O2569" s="120"/>
      <c r="P2569" s="121"/>
      <c r="Q2569" s="120"/>
      <c r="R2569" s="121"/>
      <c r="S2569" s="120"/>
      <c r="T2569" s="121"/>
      <c r="U2569" s="120"/>
      <c r="V2569" s="123"/>
      <c r="W2569" s="125"/>
      <c r="X2569" s="142" t="s">
        <v>9095</v>
      </c>
      <c r="Y2569" s="143"/>
      <c r="Z2569" s="143"/>
      <c r="AA2569" s="143"/>
      <c r="AB2569" s="144"/>
      <c r="AC2569" s="16" t="s">
        <v>21</v>
      </c>
      <c r="AD2569" s="17" t="s">
        <v>8956</v>
      </c>
      <c r="AE2569" s="145" t="s">
        <v>9502</v>
      </c>
      <c r="AF2569" s="146"/>
      <c r="AG2569" s="146"/>
      <c r="AH2569" s="146"/>
      <c r="AI2569" s="147"/>
      <c r="AJ2569" s="148"/>
      <c r="AK2569" s="143"/>
      <c r="AL2569" s="144"/>
      <c r="AM2569" s="22"/>
      <c r="AN2569" s="149" t="s">
        <v>2511</v>
      </c>
      <c r="AO2569" s="144"/>
      <c r="AP2569" s="148">
        <v>60025</v>
      </c>
      <c r="AQ2569" s="144"/>
      <c r="AR2569" s="120"/>
      <c r="AS2569" s="121"/>
      <c r="AT2569" s="120"/>
      <c r="AU2569" s="121"/>
      <c r="AV2569" s="120"/>
      <c r="AW2569" s="121"/>
      <c r="AX2569" s="120"/>
      <c r="AY2569" s="121"/>
      <c r="AZ2569" s="138"/>
    </row>
    <row r="2570" spans="1:52" ht="17.100000000000001" customHeight="1" thickTop="1">
      <c r="A2570" s="109" t="s">
        <v>8580</v>
      </c>
      <c r="B2570" s="28">
        <v>45947</v>
      </c>
      <c r="C2570" s="25">
        <v>2106</v>
      </c>
      <c r="D2570" s="13" t="s">
        <v>2036</v>
      </c>
      <c r="E2570" s="111"/>
      <c r="F2570" s="113" t="s">
        <v>8589</v>
      </c>
      <c r="G2570" s="114"/>
      <c r="H2570" s="115"/>
      <c r="I2570" s="24" t="s">
        <v>3399</v>
      </c>
      <c r="J2570" s="116">
        <v>4.5</v>
      </c>
      <c r="K2570" s="118">
        <v>1045000</v>
      </c>
      <c r="L2570" s="119"/>
      <c r="M2570" s="118">
        <f t="shared" ref="M2570" si="1150">K2570*0.1</f>
        <v>104500</v>
      </c>
      <c r="N2570" s="119"/>
      <c r="O2570" s="118">
        <v>0</v>
      </c>
      <c r="P2570" s="119"/>
      <c r="Q2570" s="118">
        <v>8130</v>
      </c>
      <c r="R2570" s="119"/>
      <c r="S2570" s="118">
        <v>16500</v>
      </c>
      <c r="T2570" s="119"/>
      <c r="U2570" s="118">
        <f t="shared" ref="U2570" si="1151">SUM(K2570:T2571)</f>
        <v>1174130</v>
      </c>
      <c r="V2570" s="122"/>
      <c r="W2570" s="124"/>
      <c r="X2570" s="126" t="s">
        <v>8637</v>
      </c>
      <c r="Y2570" s="127"/>
      <c r="Z2570" s="127"/>
      <c r="AA2570" s="127"/>
      <c r="AB2570" s="128"/>
      <c r="AC2570" s="15" t="s">
        <v>20</v>
      </c>
      <c r="AD2570" s="129" t="s">
        <v>2198</v>
      </c>
      <c r="AE2570" s="130"/>
      <c r="AF2570" s="130"/>
      <c r="AG2570" s="130"/>
      <c r="AH2570" s="130"/>
      <c r="AI2570" s="131"/>
      <c r="AJ2570" s="132"/>
      <c r="AK2570" s="127"/>
      <c r="AL2570" s="128"/>
      <c r="AM2570" s="21"/>
      <c r="AN2570" s="133">
        <v>45951</v>
      </c>
      <c r="AO2570" s="134"/>
      <c r="AP2570" s="135">
        <v>1914</v>
      </c>
      <c r="AQ2570" s="136"/>
      <c r="AR2570" s="118">
        <v>1122000</v>
      </c>
      <c r="AS2570" s="119"/>
      <c r="AT2570" s="118">
        <f t="shared" ref="AT2570" si="1152">AR2570*0.1</f>
        <v>112200</v>
      </c>
      <c r="AU2570" s="119"/>
      <c r="AV2570" s="118">
        <v>8130</v>
      </c>
      <c r="AW2570" s="119"/>
      <c r="AX2570" s="118">
        <f t="shared" ref="AX2570" si="1153">SUM(AR2570:AW2570)</f>
        <v>1242330</v>
      </c>
      <c r="AY2570" s="119"/>
      <c r="AZ2570" s="137">
        <v>45957</v>
      </c>
    </row>
    <row r="2571" spans="1:52" ht="16.5" customHeight="1" thickBot="1">
      <c r="A2571" s="110"/>
      <c r="B2571" s="27" t="s">
        <v>1543</v>
      </c>
      <c r="C2571" s="27">
        <v>55463</v>
      </c>
      <c r="D2571" s="14" t="s">
        <v>8636</v>
      </c>
      <c r="E2571" s="112"/>
      <c r="F2571" s="139" t="s">
        <v>8590</v>
      </c>
      <c r="G2571" s="140"/>
      <c r="H2571" s="141"/>
      <c r="I2571" s="26">
        <v>53300</v>
      </c>
      <c r="J2571" s="117"/>
      <c r="K2571" s="120"/>
      <c r="L2571" s="121"/>
      <c r="M2571" s="120"/>
      <c r="N2571" s="121"/>
      <c r="O2571" s="120"/>
      <c r="P2571" s="121"/>
      <c r="Q2571" s="120"/>
      <c r="R2571" s="121"/>
      <c r="S2571" s="120"/>
      <c r="T2571" s="121"/>
      <c r="U2571" s="120"/>
      <c r="V2571" s="123"/>
      <c r="W2571" s="125"/>
      <c r="X2571" s="142" t="s">
        <v>9050</v>
      </c>
      <c r="Y2571" s="143"/>
      <c r="Z2571" s="143"/>
      <c r="AA2571" s="143"/>
      <c r="AB2571" s="144"/>
      <c r="AC2571" s="16" t="s">
        <v>21</v>
      </c>
      <c r="AD2571" s="17" t="s">
        <v>8956</v>
      </c>
      <c r="AE2571" s="145" t="s">
        <v>7043</v>
      </c>
      <c r="AF2571" s="146"/>
      <c r="AG2571" s="146"/>
      <c r="AH2571" s="146"/>
      <c r="AI2571" s="147"/>
      <c r="AJ2571" s="148"/>
      <c r="AK2571" s="143"/>
      <c r="AL2571" s="144"/>
      <c r="AM2571" s="22"/>
      <c r="AN2571" s="149" t="s">
        <v>2131</v>
      </c>
      <c r="AO2571" s="144"/>
      <c r="AP2571" s="148">
        <v>3385</v>
      </c>
      <c r="AQ2571" s="144"/>
      <c r="AR2571" s="120"/>
      <c r="AS2571" s="121"/>
      <c r="AT2571" s="120"/>
      <c r="AU2571" s="121"/>
      <c r="AV2571" s="120"/>
      <c r="AW2571" s="121"/>
      <c r="AX2571" s="120"/>
      <c r="AY2571" s="121"/>
      <c r="AZ2571" s="138"/>
    </row>
    <row r="2572" spans="1:52" ht="17.100000000000001" customHeight="1" thickTop="1">
      <c r="A2572" s="109" t="s">
        <v>8581</v>
      </c>
      <c r="B2572" s="28">
        <v>45947</v>
      </c>
      <c r="C2572" s="25">
        <v>2106</v>
      </c>
      <c r="D2572" s="13" t="s">
        <v>1902</v>
      </c>
      <c r="E2572" s="111"/>
      <c r="F2572" s="113" t="s">
        <v>2188</v>
      </c>
      <c r="G2572" s="114"/>
      <c r="H2572" s="115"/>
      <c r="I2572" s="24" t="s">
        <v>8639</v>
      </c>
      <c r="J2572" s="116">
        <v>4.5</v>
      </c>
      <c r="K2572" s="118">
        <v>1480000</v>
      </c>
      <c r="L2572" s="119"/>
      <c r="M2572" s="118">
        <f t="shared" ref="M2572" si="1154">K2572*0.1</f>
        <v>148000</v>
      </c>
      <c r="N2572" s="119"/>
      <c r="O2572" s="118">
        <f>12700+1270</f>
        <v>13970</v>
      </c>
      <c r="P2572" s="119"/>
      <c r="Q2572" s="118">
        <v>16250</v>
      </c>
      <c r="R2572" s="119"/>
      <c r="S2572" s="118">
        <v>16500</v>
      </c>
      <c r="T2572" s="119"/>
      <c r="U2572" s="118">
        <f t="shared" ref="U2572" si="1155">SUM(K2572:T2573)</f>
        <v>1674720</v>
      </c>
      <c r="V2572" s="122"/>
      <c r="W2572" s="124"/>
      <c r="X2572" s="126" t="s">
        <v>8640</v>
      </c>
      <c r="Y2572" s="127"/>
      <c r="Z2572" s="127"/>
      <c r="AA2572" s="127"/>
      <c r="AB2572" s="128"/>
      <c r="AC2572" s="15" t="s">
        <v>20</v>
      </c>
      <c r="AD2572" s="129" t="s">
        <v>1633</v>
      </c>
      <c r="AE2572" s="130"/>
      <c r="AF2572" s="130"/>
      <c r="AG2572" s="130"/>
      <c r="AH2572" s="130"/>
      <c r="AI2572" s="131"/>
      <c r="AJ2572" s="132"/>
      <c r="AK2572" s="127"/>
      <c r="AL2572" s="128"/>
      <c r="AM2572" s="21"/>
      <c r="AN2572" s="133">
        <v>45980</v>
      </c>
      <c r="AO2572" s="134"/>
      <c r="AP2572" s="135">
        <v>993</v>
      </c>
      <c r="AQ2572" s="136"/>
      <c r="AR2572" s="118">
        <v>1550000</v>
      </c>
      <c r="AS2572" s="119"/>
      <c r="AT2572" s="118">
        <f t="shared" ref="AT2572" si="1156">AR2572*0.1</f>
        <v>155000</v>
      </c>
      <c r="AU2572" s="119"/>
      <c r="AV2572" s="118">
        <v>16250</v>
      </c>
      <c r="AW2572" s="119"/>
      <c r="AX2572" s="118">
        <v>1721250</v>
      </c>
      <c r="AY2572" s="119"/>
      <c r="AZ2572" s="137">
        <v>45986</v>
      </c>
    </row>
    <row r="2573" spans="1:52" ht="17.100000000000001" customHeight="1" thickBot="1">
      <c r="A2573" s="110"/>
      <c r="B2573" s="27" t="s">
        <v>1543</v>
      </c>
      <c r="C2573" s="27">
        <v>58499</v>
      </c>
      <c r="D2573" s="14" t="s">
        <v>2836</v>
      </c>
      <c r="E2573" s="112"/>
      <c r="F2573" s="139" t="s">
        <v>8638</v>
      </c>
      <c r="G2573" s="140"/>
      <c r="H2573" s="141"/>
      <c r="I2573" s="26">
        <v>16616</v>
      </c>
      <c r="J2573" s="117"/>
      <c r="K2573" s="120"/>
      <c r="L2573" s="121"/>
      <c r="M2573" s="120"/>
      <c r="N2573" s="121"/>
      <c r="O2573" s="120"/>
      <c r="P2573" s="121"/>
      <c r="Q2573" s="120"/>
      <c r="R2573" s="121"/>
      <c r="S2573" s="120"/>
      <c r="T2573" s="121"/>
      <c r="U2573" s="120"/>
      <c r="V2573" s="123"/>
      <c r="W2573" s="125"/>
      <c r="X2573" s="142" t="s">
        <v>9063</v>
      </c>
      <c r="Y2573" s="143"/>
      <c r="Z2573" s="143"/>
      <c r="AA2573" s="143"/>
      <c r="AB2573" s="144"/>
      <c r="AC2573" s="16" t="s">
        <v>21</v>
      </c>
      <c r="AD2573" s="17" t="s">
        <v>8956</v>
      </c>
      <c r="AE2573" s="145" t="s">
        <v>1614</v>
      </c>
      <c r="AF2573" s="146"/>
      <c r="AG2573" s="146"/>
      <c r="AH2573" s="146"/>
      <c r="AI2573" s="147"/>
      <c r="AJ2573" s="148"/>
      <c r="AK2573" s="143"/>
      <c r="AL2573" s="144"/>
      <c r="AM2573" s="22"/>
      <c r="AN2573" s="149" t="s">
        <v>2794</v>
      </c>
      <c r="AO2573" s="144"/>
      <c r="AP2573" s="148">
        <v>6095</v>
      </c>
      <c r="AQ2573" s="144"/>
      <c r="AR2573" s="120"/>
      <c r="AS2573" s="121"/>
      <c r="AT2573" s="120"/>
      <c r="AU2573" s="121"/>
      <c r="AV2573" s="120"/>
      <c r="AW2573" s="121"/>
      <c r="AX2573" s="120"/>
      <c r="AY2573" s="121"/>
      <c r="AZ2573" s="138"/>
    </row>
    <row r="2574" spans="1:52" ht="17.100000000000001" customHeight="1" thickTop="1">
      <c r="A2574" s="109" t="s">
        <v>8582</v>
      </c>
      <c r="B2574" s="28">
        <v>45947</v>
      </c>
      <c r="C2574" s="25">
        <v>2106</v>
      </c>
      <c r="D2574" s="13" t="s">
        <v>1977</v>
      </c>
      <c r="E2574" s="111"/>
      <c r="F2574" s="113" t="s">
        <v>8591</v>
      </c>
      <c r="G2574" s="114"/>
      <c r="H2574" s="115"/>
      <c r="I2574" s="24" t="s">
        <v>4955</v>
      </c>
      <c r="J2574" s="116">
        <v>4.5</v>
      </c>
      <c r="K2574" s="118">
        <v>860000</v>
      </c>
      <c r="L2574" s="119"/>
      <c r="M2574" s="118">
        <f t="shared" ref="M2574" si="1157">K2574*0.1</f>
        <v>86000</v>
      </c>
      <c r="N2574" s="119"/>
      <c r="O2574" s="118">
        <f>14300+1430</f>
        <v>15730</v>
      </c>
      <c r="P2574" s="119"/>
      <c r="Q2574" s="118">
        <v>12370</v>
      </c>
      <c r="R2574" s="119"/>
      <c r="S2574" s="118">
        <v>16500</v>
      </c>
      <c r="T2574" s="119"/>
      <c r="U2574" s="118">
        <f t="shared" ref="U2574" si="1158">SUM(K2574:T2575)</f>
        <v>990600</v>
      </c>
      <c r="V2574" s="122"/>
      <c r="W2574" s="124"/>
      <c r="X2574" s="126" t="s">
        <v>9062</v>
      </c>
      <c r="Y2574" s="127"/>
      <c r="Z2574" s="127"/>
      <c r="AA2574" s="127"/>
      <c r="AB2574" s="128"/>
      <c r="AC2574" s="15" t="s">
        <v>20</v>
      </c>
      <c r="AD2574" s="129"/>
      <c r="AE2574" s="130"/>
      <c r="AF2574" s="130"/>
      <c r="AG2574" s="130"/>
      <c r="AH2574" s="130"/>
      <c r="AI2574" s="131"/>
      <c r="AJ2574" s="132"/>
      <c r="AK2574" s="127"/>
      <c r="AL2574" s="128"/>
      <c r="AM2574" s="21"/>
      <c r="AN2574" s="133">
        <v>45953</v>
      </c>
      <c r="AO2574" s="134"/>
      <c r="AP2574" s="135">
        <v>1303</v>
      </c>
      <c r="AQ2574" s="136"/>
      <c r="AR2574" s="118">
        <v>1075000</v>
      </c>
      <c r="AS2574" s="119"/>
      <c r="AT2574" s="118">
        <f t="shared" ref="AT2574" si="1159">AR2574*0.1</f>
        <v>107500</v>
      </c>
      <c r="AU2574" s="119"/>
      <c r="AV2574" s="118">
        <v>12370</v>
      </c>
      <c r="AW2574" s="119"/>
      <c r="AX2574" s="118">
        <f t="shared" ref="AX2574" si="1160">SUM(AR2574:AW2574)</f>
        <v>1194870</v>
      </c>
      <c r="AY2574" s="119"/>
      <c r="AZ2574" s="137">
        <v>45954</v>
      </c>
    </row>
    <row r="2575" spans="1:52" ht="17.100000000000001" customHeight="1" thickBot="1">
      <c r="A2575" s="110"/>
      <c r="B2575" s="27" t="s">
        <v>1543</v>
      </c>
      <c r="C2575" s="27">
        <v>58612</v>
      </c>
      <c r="D2575" s="14" t="s">
        <v>1592</v>
      </c>
      <c r="E2575" s="112"/>
      <c r="F2575" s="139" t="s">
        <v>8641</v>
      </c>
      <c r="G2575" s="140"/>
      <c r="H2575" s="141"/>
      <c r="I2575" s="26">
        <v>21061</v>
      </c>
      <c r="J2575" s="117"/>
      <c r="K2575" s="120"/>
      <c r="L2575" s="121"/>
      <c r="M2575" s="120"/>
      <c r="N2575" s="121"/>
      <c r="O2575" s="120"/>
      <c r="P2575" s="121"/>
      <c r="Q2575" s="120"/>
      <c r="R2575" s="121"/>
      <c r="S2575" s="120"/>
      <c r="T2575" s="121"/>
      <c r="U2575" s="120"/>
      <c r="V2575" s="123"/>
      <c r="W2575" s="125"/>
      <c r="X2575" s="142" t="s">
        <v>9066</v>
      </c>
      <c r="Y2575" s="143"/>
      <c r="Z2575" s="143"/>
      <c r="AA2575" s="143"/>
      <c r="AB2575" s="144"/>
      <c r="AC2575" s="16" t="s">
        <v>21</v>
      </c>
      <c r="AD2575" s="17" t="s">
        <v>8956</v>
      </c>
      <c r="AE2575" s="145" t="s">
        <v>1633</v>
      </c>
      <c r="AF2575" s="146"/>
      <c r="AG2575" s="146"/>
      <c r="AH2575" s="146"/>
      <c r="AI2575" s="147"/>
      <c r="AJ2575" s="148"/>
      <c r="AK2575" s="143"/>
      <c r="AL2575" s="144"/>
      <c r="AM2575" s="22"/>
      <c r="AN2575" s="149" t="s">
        <v>1747</v>
      </c>
      <c r="AO2575" s="144"/>
      <c r="AP2575" s="148">
        <v>19</v>
      </c>
      <c r="AQ2575" s="144"/>
      <c r="AR2575" s="120"/>
      <c r="AS2575" s="121"/>
      <c r="AT2575" s="120"/>
      <c r="AU2575" s="121"/>
      <c r="AV2575" s="120"/>
      <c r="AW2575" s="121"/>
      <c r="AX2575" s="120"/>
      <c r="AY2575" s="121"/>
      <c r="AZ2575" s="138"/>
    </row>
    <row r="2576" spans="1:52" ht="17.100000000000001" customHeight="1" thickTop="1">
      <c r="A2576" s="109" t="s">
        <v>8583</v>
      </c>
      <c r="B2576" s="28">
        <v>45947</v>
      </c>
      <c r="C2576" s="25">
        <v>2106</v>
      </c>
      <c r="D2576" s="13" t="s">
        <v>1825</v>
      </c>
      <c r="E2576" s="111"/>
      <c r="F2576" s="113" t="s">
        <v>8642</v>
      </c>
      <c r="G2576" s="114"/>
      <c r="H2576" s="115"/>
      <c r="I2576" s="24"/>
      <c r="J2576" s="116">
        <v>4.5</v>
      </c>
      <c r="K2576" s="118">
        <v>1150000</v>
      </c>
      <c r="L2576" s="119"/>
      <c r="M2576" s="118">
        <f t="shared" ref="M2576" si="1161">K2576*0.1</f>
        <v>115000</v>
      </c>
      <c r="N2576" s="119"/>
      <c r="O2576" s="118">
        <v>0</v>
      </c>
      <c r="P2576" s="119"/>
      <c r="Q2576" s="118">
        <v>12470</v>
      </c>
      <c r="R2576" s="119"/>
      <c r="S2576" s="118">
        <v>27500</v>
      </c>
      <c r="T2576" s="119"/>
      <c r="U2576" s="118">
        <f t="shared" ref="U2576" si="1162">SUM(K2576:T2577)</f>
        <v>1304970</v>
      </c>
      <c r="V2576" s="122"/>
      <c r="W2576" s="124"/>
      <c r="X2576" s="126" t="s">
        <v>9061</v>
      </c>
      <c r="Y2576" s="127"/>
      <c r="Z2576" s="127"/>
      <c r="AA2576" s="127"/>
      <c r="AB2576" s="128"/>
      <c r="AC2576" s="15" t="s">
        <v>20</v>
      </c>
      <c r="AD2576" s="129" t="s">
        <v>1670</v>
      </c>
      <c r="AE2576" s="130"/>
      <c r="AF2576" s="130"/>
      <c r="AG2576" s="130"/>
      <c r="AH2576" s="130"/>
      <c r="AI2576" s="131"/>
      <c r="AJ2576" s="132"/>
      <c r="AK2576" s="127"/>
      <c r="AL2576" s="128"/>
      <c r="AM2576" s="21"/>
      <c r="AN2576" s="133">
        <v>45953</v>
      </c>
      <c r="AO2576" s="134"/>
      <c r="AP2576" s="135">
        <v>1303</v>
      </c>
      <c r="AQ2576" s="136"/>
      <c r="AR2576" s="118">
        <v>1295000</v>
      </c>
      <c r="AS2576" s="119"/>
      <c r="AT2576" s="118">
        <f t="shared" ref="AT2576" si="1163">AR2576*0.1</f>
        <v>129500</v>
      </c>
      <c r="AU2576" s="119"/>
      <c r="AV2576" s="118">
        <v>12470</v>
      </c>
      <c r="AW2576" s="119"/>
      <c r="AX2576" s="118">
        <f t="shared" ref="AX2576" si="1164">SUM(AR2576:AW2576)</f>
        <v>1436970</v>
      </c>
      <c r="AY2576" s="119"/>
      <c r="AZ2576" s="137">
        <v>45954</v>
      </c>
    </row>
    <row r="2577" spans="1:52" ht="17.100000000000001" customHeight="1" thickBot="1">
      <c r="A2577" s="110"/>
      <c r="B2577" s="27" t="s">
        <v>1543</v>
      </c>
      <c r="C2577" s="27">
        <v>58648</v>
      </c>
      <c r="D2577" s="14" t="s">
        <v>904</v>
      </c>
      <c r="E2577" s="112"/>
      <c r="F2577" s="139" t="s">
        <v>8643</v>
      </c>
      <c r="G2577" s="140"/>
      <c r="H2577" s="141"/>
      <c r="I2577" s="26">
        <v>29456</v>
      </c>
      <c r="J2577" s="117"/>
      <c r="K2577" s="120"/>
      <c r="L2577" s="121"/>
      <c r="M2577" s="120"/>
      <c r="N2577" s="121"/>
      <c r="O2577" s="120"/>
      <c r="P2577" s="121"/>
      <c r="Q2577" s="120"/>
      <c r="R2577" s="121"/>
      <c r="S2577" s="120"/>
      <c r="T2577" s="121"/>
      <c r="U2577" s="120"/>
      <c r="V2577" s="123"/>
      <c r="W2577" s="125"/>
      <c r="X2577" s="142" t="s">
        <v>1997</v>
      </c>
      <c r="Y2577" s="143"/>
      <c r="Z2577" s="143"/>
      <c r="AA2577" s="143"/>
      <c r="AB2577" s="144"/>
      <c r="AC2577" s="16" t="s">
        <v>21</v>
      </c>
      <c r="AD2577" s="17" t="s">
        <v>8956</v>
      </c>
      <c r="AE2577" s="145" t="s">
        <v>171</v>
      </c>
      <c r="AF2577" s="146"/>
      <c r="AG2577" s="146"/>
      <c r="AH2577" s="146"/>
      <c r="AI2577" s="147"/>
      <c r="AJ2577" s="148"/>
      <c r="AK2577" s="143"/>
      <c r="AL2577" s="144"/>
      <c r="AM2577" s="22"/>
      <c r="AN2577" s="149" t="s">
        <v>1747</v>
      </c>
      <c r="AO2577" s="144"/>
      <c r="AP2577" s="148">
        <v>30</v>
      </c>
      <c r="AQ2577" s="144"/>
      <c r="AR2577" s="120"/>
      <c r="AS2577" s="121"/>
      <c r="AT2577" s="120"/>
      <c r="AU2577" s="121"/>
      <c r="AV2577" s="120"/>
      <c r="AW2577" s="121"/>
      <c r="AX2577" s="120"/>
      <c r="AY2577" s="121"/>
      <c r="AZ2577" s="138"/>
    </row>
    <row r="2578" spans="1:52" ht="17.100000000000001" customHeight="1" thickTop="1">
      <c r="A2578" s="109" t="s">
        <v>8584</v>
      </c>
      <c r="B2578" s="28">
        <v>45947</v>
      </c>
      <c r="C2578" s="25">
        <v>2106</v>
      </c>
      <c r="D2578" s="13" t="s">
        <v>1752</v>
      </c>
      <c r="E2578" s="111"/>
      <c r="F2578" s="113" t="s">
        <v>8220</v>
      </c>
      <c r="G2578" s="114"/>
      <c r="H2578" s="115"/>
      <c r="I2578" s="24" t="s">
        <v>8644</v>
      </c>
      <c r="J2578" s="116">
        <v>3.5</v>
      </c>
      <c r="K2578" s="118">
        <v>295000</v>
      </c>
      <c r="L2578" s="119"/>
      <c r="M2578" s="118">
        <f t="shared" ref="M2578" si="1165">K2578*0.1</f>
        <v>29500</v>
      </c>
      <c r="N2578" s="119"/>
      <c r="O2578" s="118">
        <v>0</v>
      </c>
      <c r="P2578" s="119"/>
      <c r="Q2578" s="118">
        <v>9790</v>
      </c>
      <c r="R2578" s="119"/>
      <c r="S2578" s="118">
        <v>16500</v>
      </c>
      <c r="T2578" s="119"/>
      <c r="U2578" s="118">
        <f t="shared" ref="U2578" si="1166">SUM(K2578:T2579)</f>
        <v>350790</v>
      </c>
      <c r="V2578" s="122"/>
      <c r="W2578" s="124"/>
      <c r="X2578" s="126" t="s">
        <v>8645</v>
      </c>
      <c r="Y2578" s="127"/>
      <c r="Z2578" s="127"/>
      <c r="AA2578" s="127"/>
      <c r="AB2578" s="128"/>
      <c r="AC2578" s="15" t="s">
        <v>20</v>
      </c>
      <c r="AD2578" s="129"/>
      <c r="AE2578" s="130"/>
      <c r="AF2578" s="130"/>
      <c r="AG2578" s="130"/>
      <c r="AH2578" s="130"/>
      <c r="AI2578" s="131"/>
      <c r="AJ2578" s="132"/>
      <c r="AK2578" s="127"/>
      <c r="AL2578" s="128"/>
      <c r="AM2578" s="21"/>
      <c r="AN2578" s="133">
        <v>45955</v>
      </c>
      <c r="AO2578" s="134"/>
      <c r="AP2578" s="135">
        <v>1273</v>
      </c>
      <c r="AQ2578" s="136"/>
      <c r="AR2578" s="118">
        <v>455000</v>
      </c>
      <c r="AS2578" s="119"/>
      <c r="AT2578" s="118">
        <f t="shared" ref="AT2578" si="1167">AR2578*0.1</f>
        <v>45500</v>
      </c>
      <c r="AU2578" s="119"/>
      <c r="AV2578" s="118">
        <v>9790</v>
      </c>
      <c r="AW2578" s="119"/>
      <c r="AX2578" s="118">
        <f t="shared" ref="AX2578" si="1168">SUM(AR2578:AW2578)</f>
        <v>510290</v>
      </c>
      <c r="AY2578" s="119"/>
      <c r="AZ2578" s="137">
        <v>45958</v>
      </c>
    </row>
    <row r="2579" spans="1:52" ht="17.100000000000001" customHeight="1" thickBot="1">
      <c r="A2579" s="110"/>
      <c r="B2579" s="27" t="s">
        <v>1543</v>
      </c>
      <c r="C2579" s="27">
        <v>85007</v>
      </c>
      <c r="D2579" s="14" t="s">
        <v>3327</v>
      </c>
      <c r="E2579" s="112"/>
      <c r="F2579" s="139" t="s">
        <v>8592</v>
      </c>
      <c r="G2579" s="140"/>
      <c r="H2579" s="141"/>
      <c r="I2579" s="26">
        <v>48225</v>
      </c>
      <c r="J2579" s="117"/>
      <c r="K2579" s="120"/>
      <c r="L2579" s="121"/>
      <c r="M2579" s="120"/>
      <c r="N2579" s="121"/>
      <c r="O2579" s="120"/>
      <c r="P2579" s="121"/>
      <c r="Q2579" s="120"/>
      <c r="R2579" s="121"/>
      <c r="S2579" s="120"/>
      <c r="T2579" s="121"/>
      <c r="U2579" s="120"/>
      <c r="V2579" s="123"/>
      <c r="W2579" s="125"/>
      <c r="X2579" s="142" t="s">
        <v>9093</v>
      </c>
      <c r="Y2579" s="143"/>
      <c r="Z2579" s="143"/>
      <c r="AA2579" s="143"/>
      <c r="AB2579" s="144"/>
      <c r="AC2579" s="16" t="s">
        <v>21</v>
      </c>
      <c r="AD2579" s="17" t="s">
        <v>8956</v>
      </c>
      <c r="AE2579" s="145" t="s">
        <v>1609</v>
      </c>
      <c r="AF2579" s="146"/>
      <c r="AG2579" s="146"/>
      <c r="AH2579" s="146"/>
      <c r="AI2579" s="147"/>
      <c r="AJ2579" s="148"/>
      <c r="AK2579" s="143"/>
      <c r="AL2579" s="144"/>
      <c r="AM2579" s="22"/>
      <c r="AN2579" s="149" t="s">
        <v>2511</v>
      </c>
      <c r="AO2579" s="144"/>
      <c r="AP2579" s="148">
        <v>60029</v>
      </c>
      <c r="AQ2579" s="144"/>
      <c r="AR2579" s="120"/>
      <c r="AS2579" s="121"/>
      <c r="AT2579" s="120"/>
      <c r="AU2579" s="121"/>
      <c r="AV2579" s="120"/>
      <c r="AW2579" s="121"/>
      <c r="AX2579" s="120"/>
      <c r="AY2579" s="121"/>
      <c r="AZ2579" s="138"/>
    </row>
    <row r="2580" spans="1:52" ht="17.100000000000001" customHeight="1" thickTop="1">
      <c r="A2580" s="151" t="s">
        <v>8585</v>
      </c>
      <c r="B2580" s="28">
        <v>45947</v>
      </c>
      <c r="C2580" s="25">
        <v>2106</v>
      </c>
      <c r="D2580" s="13" t="s">
        <v>1752</v>
      </c>
      <c r="E2580" s="111"/>
      <c r="F2580" s="113" t="s">
        <v>5448</v>
      </c>
      <c r="G2580" s="114"/>
      <c r="H2580" s="115"/>
      <c r="I2580" s="24" t="s">
        <v>2571</v>
      </c>
      <c r="J2580" s="116">
        <v>4</v>
      </c>
      <c r="K2580" s="118">
        <v>375000</v>
      </c>
      <c r="L2580" s="119"/>
      <c r="M2580" s="118">
        <f t="shared" ref="M2580" si="1169">K2580*0.1</f>
        <v>37500</v>
      </c>
      <c r="N2580" s="119"/>
      <c r="O2580" s="118">
        <v>0</v>
      </c>
      <c r="P2580" s="119"/>
      <c r="Q2580" s="118">
        <v>8860</v>
      </c>
      <c r="R2580" s="119"/>
      <c r="S2580" s="118">
        <v>16500</v>
      </c>
      <c r="T2580" s="119"/>
      <c r="U2580" s="118">
        <f t="shared" ref="U2580" si="1170">SUM(K2580:T2581)</f>
        <v>437860</v>
      </c>
      <c r="V2580" s="122"/>
      <c r="W2580" s="124"/>
      <c r="X2580" s="126" t="s">
        <v>8646</v>
      </c>
      <c r="Y2580" s="127"/>
      <c r="Z2580" s="127"/>
      <c r="AA2580" s="127"/>
      <c r="AB2580" s="128"/>
      <c r="AC2580" s="15" t="s">
        <v>20</v>
      </c>
      <c r="AD2580" s="129"/>
      <c r="AE2580" s="130"/>
      <c r="AF2580" s="130"/>
      <c r="AG2580" s="130"/>
      <c r="AH2580" s="130"/>
      <c r="AI2580" s="131"/>
      <c r="AJ2580" s="132" t="s">
        <v>8040</v>
      </c>
      <c r="AK2580" s="127"/>
      <c r="AL2580" s="128"/>
      <c r="AM2580" s="21"/>
      <c r="AN2580" s="133"/>
      <c r="AO2580" s="134"/>
      <c r="AP2580" s="135"/>
      <c r="AQ2580" s="136"/>
      <c r="AR2580" s="118"/>
      <c r="AS2580" s="119"/>
      <c r="AT2580" s="118">
        <f t="shared" ref="AT2580" si="1171">AR2580*0.1</f>
        <v>0</v>
      </c>
      <c r="AU2580" s="119"/>
      <c r="AV2580" s="118"/>
      <c r="AW2580" s="119"/>
      <c r="AX2580" s="118">
        <f t="shared" ref="AX2580" si="1172">SUM(AR2580:AW2580)</f>
        <v>0</v>
      </c>
      <c r="AY2580" s="119"/>
      <c r="AZ2580" s="137"/>
    </row>
    <row r="2581" spans="1:52" ht="17.100000000000001" customHeight="1" thickBot="1">
      <c r="A2581" s="152"/>
      <c r="B2581" s="27" t="s">
        <v>1543</v>
      </c>
      <c r="C2581" s="27">
        <v>85265</v>
      </c>
      <c r="D2581" s="14" t="s">
        <v>1556</v>
      </c>
      <c r="E2581" s="112"/>
      <c r="F2581" s="139" t="s">
        <v>8593</v>
      </c>
      <c r="G2581" s="140"/>
      <c r="H2581" s="141"/>
      <c r="I2581" s="26">
        <v>59018</v>
      </c>
      <c r="J2581" s="117"/>
      <c r="K2581" s="120"/>
      <c r="L2581" s="121"/>
      <c r="M2581" s="120"/>
      <c r="N2581" s="121"/>
      <c r="O2581" s="120"/>
      <c r="P2581" s="121"/>
      <c r="Q2581" s="120"/>
      <c r="R2581" s="121"/>
      <c r="S2581" s="120"/>
      <c r="T2581" s="121"/>
      <c r="U2581" s="120"/>
      <c r="V2581" s="123"/>
      <c r="W2581" s="125"/>
      <c r="X2581" s="142" t="s">
        <v>8801</v>
      </c>
      <c r="Y2581" s="143"/>
      <c r="Z2581" s="143"/>
      <c r="AA2581" s="143"/>
      <c r="AB2581" s="144"/>
      <c r="AC2581" s="16" t="s">
        <v>21</v>
      </c>
      <c r="AD2581" s="17" t="s">
        <v>8763</v>
      </c>
      <c r="AE2581" s="145"/>
      <c r="AF2581" s="146"/>
      <c r="AG2581" s="146"/>
      <c r="AH2581" s="146"/>
      <c r="AI2581" s="147"/>
      <c r="AJ2581" s="148" t="s">
        <v>9509</v>
      </c>
      <c r="AK2581" s="143"/>
      <c r="AL2581" s="144"/>
      <c r="AM2581" s="22"/>
      <c r="AN2581" s="149"/>
      <c r="AO2581" s="144"/>
      <c r="AP2581" s="148"/>
      <c r="AQ2581" s="144"/>
      <c r="AR2581" s="120"/>
      <c r="AS2581" s="121"/>
      <c r="AT2581" s="120"/>
      <c r="AU2581" s="121"/>
      <c r="AV2581" s="120"/>
      <c r="AW2581" s="121"/>
      <c r="AX2581" s="120"/>
      <c r="AY2581" s="121"/>
      <c r="AZ2581" s="138"/>
    </row>
    <row r="2582" spans="1:52" ht="17.100000000000001" customHeight="1" thickTop="1">
      <c r="A2582" s="109" t="s">
        <v>8594</v>
      </c>
      <c r="B2582" s="28">
        <v>45947</v>
      </c>
      <c r="C2582" s="25">
        <v>1390</v>
      </c>
      <c r="D2582" s="13" t="s">
        <v>2914</v>
      </c>
      <c r="E2582" s="111"/>
      <c r="F2582" s="113" t="s">
        <v>8609</v>
      </c>
      <c r="G2582" s="114"/>
      <c r="H2582" s="115"/>
      <c r="I2582" s="24" t="s">
        <v>8647</v>
      </c>
      <c r="J2582" s="116">
        <v>4</v>
      </c>
      <c r="K2582" s="118">
        <v>399000</v>
      </c>
      <c r="L2582" s="119"/>
      <c r="M2582" s="118">
        <f t="shared" ref="M2582" si="1173">K2582*0.1</f>
        <v>39900</v>
      </c>
      <c r="N2582" s="119"/>
      <c r="O2582" s="118">
        <v>0</v>
      </c>
      <c r="P2582" s="119"/>
      <c r="Q2582" s="118">
        <v>7500</v>
      </c>
      <c r="R2582" s="119"/>
      <c r="S2582" s="118">
        <v>13200</v>
      </c>
      <c r="T2582" s="119"/>
      <c r="U2582" s="118">
        <f t="shared" ref="U2582" si="1174">SUM(K2582:T2583)</f>
        <v>459600</v>
      </c>
      <c r="V2582" s="122"/>
      <c r="W2582" s="124"/>
      <c r="X2582" s="126" t="s">
        <v>9084</v>
      </c>
      <c r="Y2582" s="127"/>
      <c r="Z2582" s="127"/>
      <c r="AA2582" s="127"/>
      <c r="AB2582" s="128"/>
      <c r="AC2582" s="15" t="s">
        <v>20</v>
      </c>
      <c r="AD2582" s="129"/>
      <c r="AE2582" s="130"/>
      <c r="AF2582" s="130"/>
      <c r="AG2582" s="130"/>
      <c r="AH2582" s="130"/>
      <c r="AI2582" s="131"/>
      <c r="AJ2582" s="132"/>
      <c r="AK2582" s="127"/>
      <c r="AL2582" s="128"/>
      <c r="AM2582" s="21" t="s">
        <v>11030</v>
      </c>
      <c r="AN2582" s="133">
        <v>45990</v>
      </c>
      <c r="AO2582" s="134"/>
      <c r="AP2582" s="135">
        <v>1278</v>
      </c>
      <c r="AQ2582" s="136"/>
      <c r="AR2582" s="118">
        <v>370000</v>
      </c>
      <c r="AS2582" s="119"/>
      <c r="AT2582" s="118">
        <f t="shared" ref="AT2582" si="1175">AR2582*0.1</f>
        <v>37000</v>
      </c>
      <c r="AU2582" s="119"/>
      <c r="AV2582" s="118">
        <v>7500</v>
      </c>
      <c r="AW2582" s="119"/>
      <c r="AX2582" s="118">
        <f t="shared" ref="AX2582" si="1176">SUM(AR2582:AW2582)</f>
        <v>414500</v>
      </c>
      <c r="AY2582" s="119"/>
      <c r="AZ2582" s="137">
        <v>45994</v>
      </c>
    </row>
    <row r="2583" spans="1:52" ht="17.100000000000001" customHeight="1" thickBot="1">
      <c r="A2583" s="110"/>
      <c r="B2583" s="27" t="s">
        <v>2641</v>
      </c>
      <c r="C2583" s="27">
        <v>2171</v>
      </c>
      <c r="D2583" s="14" t="s">
        <v>2601</v>
      </c>
      <c r="E2583" s="112"/>
      <c r="F2583" s="139" t="s">
        <v>8610</v>
      </c>
      <c r="G2583" s="140"/>
      <c r="H2583" s="141"/>
      <c r="I2583" s="26">
        <v>25625</v>
      </c>
      <c r="J2583" s="117"/>
      <c r="K2583" s="120"/>
      <c r="L2583" s="121"/>
      <c r="M2583" s="120"/>
      <c r="N2583" s="121"/>
      <c r="O2583" s="120"/>
      <c r="P2583" s="121"/>
      <c r="Q2583" s="120"/>
      <c r="R2583" s="121"/>
      <c r="S2583" s="120"/>
      <c r="T2583" s="121"/>
      <c r="U2583" s="120"/>
      <c r="V2583" s="123"/>
      <c r="W2583" s="125"/>
      <c r="X2583" s="142" t="s">
        <v>9085</v>
      </c>
      <c r="Y2583" s="143"/>
      <c r="Z2583" s="143"/>
      <c r="AA2583" s="143"/>
      <c r="AB2583" s="144"/>
      <c r="AC2583" s="16" t="s">
        <v>21</v>
      </c>
      <c r="AD2583" s="17" t="s">
        <v>8956</v>
      </c>
      <c r="AE2583" s="145" t="s">
        <v>1670</v>
      </c>
      <c r="AF2583" s="146"/>
      <c r="AG2583" s="146"/>
      <c r="AH2583" s="146"/>
      <c r="AI2583" s="147"/>
      <c r="AJ2583" s="148"/>
      <c r="AK2583" s="143"/>
      <c r="AL2583" s="144"/>
      <c r="AM2583" s="22"/>
      <c r="AN2583" s="149" t="s">
        <v>2511</v>
      </c>
      <c r="AO2583" s="144"/>
      <c r="AP2583" s="148">
        <v>60293</v>
      </c>
      <c r="AQ2583" s="144"/>
      <c r="AR2583" s="120"/>
      <c r="AS2583" s="121"/>
      <c r="AT2583" s="120"/>
      <c r="AU2583" s="121"/>
      <c r="AV2583" s="120"/>
      <c r="AW2583" s="121"/>
      <c r="AX2583" s="120"/>
      <c r="AY2583" s="121"/>
      <c r="AZ2583" s="138"/>
    </row>
    <row r="2584" spans="1:52" ht="17.100000000000001" customHeight="1" thickTop="1">
      <c r="A2584" s="109" t="s">
        <v>8595</v>
      </c>
      <c r="B2584" s="28">
        <v>45947</v>
      </c>
      <c r="C2584" s="25">
        <v>1390</v>
      </c>
      <c r="D2584" s="13" t="s">
        <v>5037</v>
      </c>
      <c r="E2584" s="111"/>
      <c r="F2584" s="113" t="s">
        <v>5494</v>
      </c>
      <c r="G2584" s="114"/>
      <c r="H2584" s="115"/>
      <c r="I2584" s="24"/>
      <c r="J2584" s="116">
        <v>3.5</v>
      </c>
      <c r="K2584" s="118">
        <v>309000</v>
      </c>
      <c r="L2584" s="119"/>
      <c r="M2584" s="118">
        <f t="shared" ref="M2584" si="1177">K2584*0.1</f>
        <v>30900</v>
      </c>
      <c r="N2584" s="119"/>
      <c r="O2584" s="118">
        <v>0</v>
      </c>
      <c r="P2584" s="119"/>
      <c r="Q2584" s="118">
        <v>9310</v>
      </c>
      <c r="R2584" s="119"/>
      <c r="S2584" s="118">
        <v>13200</v>
      </c>
      <c r="T2584" s="119"/>
      <c r="U2584" s="118">
        <f t="shared" ref="U2584" si="1178">SUM(K2584:T2585)</f>
        <v>362410</v>
      </c>
      <c r="V2584" s="122"/>
      <c r="W2584" s="124"/>
      <c r="X2584" s="126" t="s">
        <v>9091</v>
      </c>
      <c r="Y2584" s="127"/>
      <c r="Z2584" s="127"/>
      <c r="AA2584" s="127"/>
      <c r="AB2584" s="128"/>
      <c r="AC2584" s="15" t="s">
        <v>20</v>
      </c>
      <c r="AD2584" s="129"/>
      <c r="AE2584" s="130"/>
      <c r="AF2584" s="130"/>
      <c r="AG2584" s="130"/>
      <c r="AH2584" s="130"/>
      <c r="AI2584" s="131"/>
      <c r="AJ2584" s="132"/>
      <c r="AK2584" s="127"/>
      <c r="AL2584" s="128"/>
      <c r="AM2584" s="21"/>
      <c r="AN2584" s="133">
        <v>45955</v>
      </c>
      <c r="AO2584" s="134"/>
      <c r="AP2584" s="135">
        <v>1273</v>
      </c>
      <c r="AQ2584" s="136"/>
      <c r="AR2584" s="118">
        <v>365000</v>
      </c>
      <c r="AS2584" s="119"/>
      <c r="AT2584" s="118">
        <f t="shared" ref="AT2584" si="1179">AR2584*0.1</f>
        <v>36500</v>
      </c>
      <c r="AU2584" s="119"/>
      <c r="AV2584" s="118">
        <v>9310</v>
      </c>
      <c r="AW2584" s="119"/>
      <c r="AX2584" s="118">
        <f t="shared" ref="AX2584" si="1180">SUM(AR2584:AW2584)</f>
        <v>410810</v>
      </c>
      <c r="AY2584" s="119"/>
      <c r="AZ2584" s="137">
        <v>45960</v>
      </c>
    </row>
    <row r="2585" spans="1:52" ht="17.100000000000001" customHeight="1" thickBot="1">
      <c r="A2585" s="110"/>
      <c r="B2585" s="27" t="s">
        <v>2641</v>
      </c>
      <c r="C2585" s="27">
        <v>2189</v>
      </c>
      <c r="D2585" s="14" t="s">
        <v>1576</v>
      </c>
      <c r="E2585" s="112"/>
      <c r="F2585" s="139" t="s">
        <v>8611</v>
      </c>
      <c r="G2585" s="140"/>
      <c r="H2585" s="141"/>
      <c r="I2585" s="26">
        <v>20283</v>
      </c>
      <c r="J2585" s="117"/>
      <c r="K2585" s="120"/>
      <c r="L2585" s="121"/>
      <c r="M2585" s="120"/>
      <c r="N2585" s="121"/>
      <c r="O2585" s="120"/>
      <c r="P2585" s="121"/>
      <c r="Q2585" s="120"/>
      <c r="R2585" s="121"/>
      <c r="S2585" s="120"/>
      <c r="T2585" s="121"/>
      <c r="U2585" s="120"/>
      <c r="V2585" s="123"/>
      <c r="W2585" s="125"/>
      <c r="X2585" s="142" t="s">
        <v>9092</v>
      </c>
      <c r="Y2585" s="143"/>
      <c r="Z2585" s="143"/>
      <c r="AA2585" s="143"/>
      <c r="AB2585" s="144"/>
      <c r="AC2585" s="16" t="s">
        <v>21</v>
      </c>
      <c r="AD2585" s="17" t="s">
        <v>8956</v>
      </c>
      <c r="AE2585" s="145"/>
      <c r="AF2585" s="146"/>
      <c r="AG2585" s="146"/>
      <c r="AH2585" s="146"/>
      <c r="AI2585" s="147"/>
      <c r="AJ2585" s="148"/>
      <c r="AK2585" s="143"/>
      <c r="AL2585" s="144"/>
      <c r="AM2585" s="22"/>
      <c r="AN2585" s="149" t="s">
        <v>2511</v>
      </c>
      <c r="AO2585" s="144"/>
      <c r="AP2585" s="148">
        <v>60386</v>
      </c>
      <c r="AQ2585" s="144"/>
      <c r="AR2585" s="120"/>
      <c r="AS2585" s="121"/>
      <c r="AT2585" s="120"/>
      <c r="AU2585" s="121"/>
      <c r="AV2585" s="120"/>
      <c r="AW2585" s="121"/>
      <c r="AX2585" s="120"/>
      <c r="AY2585" s="121"/>
      <c r="AZ2585" s="138"/>
    </row>
    <row r="2586" spans="1:52" ht="17.100000000000001" customHeight="1" thickTop="1">
      <c r="A2586" s="151" t="s">
        <v>8596</v>
      </c>
      <c r="B2586" s="28">
        <v>45947</v>
      </c>
      <c r="C2586" s="25">
        <v>1390</v>
      </c>
      <c r="D2586" s="13" t="s">
        <v>2508</v>
      </c>
      <c r="E2586" s="111"/>
      <c r="F2586" s="113" t="s">
        <v>8612</v>
      </c>
      <c r="G2586" s="114"/>
      <c r="H2586" s="115"/>
      <c r="I2586" s="24" t="s">
        <v>8648</v>
      </c>
      <c r="J2586" s="116">
        <v>4.5</v>
      </c>
      <c r="K2586" s="118">
        <v>1926000</v>
      </c>
      <c r="L2586" s="119"/>
      <c r="M2586" s="118">
        <f t="shared" ref="M2586" si="1181">K2586*0.1</f>
        <v>192600</v>
      </c>
      <c r="N2586" s="119"/>
      <c r="O2586" s="118">
        <f>12700+1270</f>
        <v>13970</v>
      </c>
      <c r="P2586" s="119"/>
      <c r="Q2586" s="118">
        <v>14730</v>
      </c>
      <c r="R2586" s="119"/>
      <c r="S2586" s="118">
        <v>13200</v>
      </c>
      <c r="T2586" s="119"/>
      <c r="U2586" s="118">
        <f t="shared" ref="U2586" si="1182">SUM(K2586:T2587)</f>
        <v>2160500</v>
      </c>
      <c r="V2586" s="122"/>
      <c r="W2586" s="124"/>
      <c r="X2586" s="126" t="s">
        <v>9086</v>
      </c>
      <c r="Y2586" s="127"/>
      <c r="Z2586" s="127"/>
      <c r="AA2586" s="127"/>
      <c r="AB2586" s="128"/>
      <c r="AC2586" s="15" t="s">
        <v>20</v>
      </c>
      <c r="AD2586" s="129"/>
      <c r="AE2586" s="130"/>
      <c r="AF2586" s="130"/>
      <c r="AG2586" s="130"/>
      <c r="AH2586" s="130"/>
      <c r="AI2586" s="131"/>
      <c r="AJ2586" s="132" t="s">
        <v>9571</v>
      </c>
      <c r="AK2586" s="127"/>
      <c r="AL2586" s="128"/>
      <c r="AM2586" s="21"/>
      <c r="AN2586" s="133"/>
      <c r="AO2586" s="134"/>
      <c r="AP2586" s="135"/>
      <c r="AQ2586" s="136"/>
      <c r="AR2586" s="118"/>
      <c r="AS2586" s="119"/>
      <c r="AT2586" s="118">
        <f t="shared" ref="AT2586" si="1183">AR2586*0.1</f>
        <v>0</v>
      </c>
      <c r="AU2586" s="119"/>
      <c r="AV2586" s="118"/>
      <c r="AW2586" s="119"/>
      <c r="AX2586" s="118">
        <f t="shared" ref="AX2586" si="1184">SUM(AR2586:AW2586)</f>
        <v>0</v>
      </c>
      <c r="AY2586" s="119"/>
      <c r="AZ2586" s="137"/>
    </row>
    <row r="2587" spans="1:52" ht="17.100000000000001" customHeight="1" thickBot="1">
      <c r="A2587" s="152"/>
      <c r="B2587" s="27" t="s">
        <v>2641</v>
      </c>
      <c r="C2587" s="27">
        <v>3039</v>
      </c>
      <c r="D2587" s="14" t="s">
        <v>2601</v>
      </c>
      <c r="E2587" s="112"/>
      <c r="F2587" s="139" t="s">
        <v>8613</v>
      </c>
      <c r="G2587" s="140"/>
      <c r="H2587" s="141"/>
      <c r="I2587" s="26">
        <v>88</v>
      </c>
      <c r="J2587" s="117"/>
      <c r="K2587" s="120"/>
      <c r="L2587" s="121"/>
      <c r="M2587" s="120"/>
      <c r="N2587" s="121"/>
      <c r="O2587" s="120"/>
      <c r="P2587" s="121"/>
      <c r="Q2587" s="120"/>
      <c r="R2587" s="121"/>
      <c r="S2587" s="120"/>
      <c r="T2587" s="121"/>
      <c r="U2587" s="120"/>
      <c r="V2587" s="123"/>
      <c r="W2587" s="125"/>
      <c r="X2587" s="142" t="s">
        <v>4234</v>
      </c>
      <c r="Y2587" s="143"/>
      <c r="Z2587" s="143"/>
      <c r="AA2587" s="143"/>
      <c r="AB2587" s="144"/>
      <c r="AC2587" s="16" t="s">
        <v>21</v>
      </c>
      <c r="AD2587" s="17" t="s">
        <v>8956</v>
      </c>
      <c r="AE2587" s="145" t="s">
        <v>1670</v>
      </c>
      <c r="AF2587" s="146"/>
      <c r="AG2587" s="146"/>
      <c r="AH2587" s="146"/>
      <c r="AI2587" s="147"/>
      <c r="AJ2587" s="148"/>
      <c r="AK2587" s="143"/>
      <c r="AL2587" s="144"/>
      <c r="AM2587" s="22"/>
      <c r="AN2587" s="149"/>
      <c r="AO2587" s="144"/>
      <c r="AP2587" s="148"/>
      <c r="AQ2587" s="144"/>
      <c r="AR2587" s="120"/>
      <c r="AS2587" s="121"/>
      <c r="AT2587" s="120"/>
      <c r="AU2587" s="121"/>
      <c r="AV2587" s="120"/>
      <c r="AW2587" s="121"/>
      <c r="AX2587" s="120"/>
      <c r="AY2587" s="121"/>
      <c r="AZ2587" s="138"/>
    </row>
    <row r="2588" spans="1:52" ht="17.100000000000001" customHeight="1" thickTop="1">
      <c r="A2588" s="109" t="s">
        <v>8597</v>
      </c>
      <c r="B2588" s="28">
        <v>45947</v>
      </c>
      <c r="C2588" s="25">
        <v>1390</v>
      </c>
      <c r="D2588" s="13" t="s">
        <v>2759</v>
      </c>
      <c r="E2588" s="111"/>
      <c r="F2588" s="113" t="s">
        <v>8614</v>
      </c>
      <c r="G2588" s="114"/>
      <c r="H2588" s="115"/>
      <c r="I2588" s="24"/>
      <c r="J2588" s="116">
        <v>4</v>
      </c>
      <c r="K2588" s="118">
        <v>1892000</v>
      </c>
      <c r="L2588" s="119"/>
      <c r="M2588" s="118">
        <f t="shared" ref="M2588" si="1185">K2588*0.1</f>
        <v>189200</v>
      </c>
      <c r="N2588" s="119"/>
      <c r="O2588" s="118">
        <v>0</v>
      </c>
      <c r="P2588" s="119"/>
      <c r="Q2588" s="118">
        <v>14240</v>
      </c>
      <c r="R2588" s="119"/>
      <c r="S2588" s="118">
        <v>13200</v>
      </c>
      <c r="T2588" s="119"/>
      <c r="U2588" s="118">
        <f t="shared" ref="U2588" si="1186">SUM(K2588:T2589)</f>
        <v>2108640</v>
      </c>
      <c r="V2588" s="122"/>
      <c r="W2588" s="124"/>
      <c r="X2588" s="126" t="s">
        <v>9089</v>
      </c>
      <c r="Y2588" s="127"/>
      <c r="Z2588" s="127"/>
      <c r="AA2588" s="127"/>
      <c r="AB2588" s="128"/>
      <c r="AC2588" s="15" t="s">
        <v>20</v>
      </c>
      <c r="AD2588" s="129"/>
      <c r="AE2588" s="130"/>
      <c r="AF2588" s="130"/>
      <c r="AG2588" s="130"/>
      <c r="AH2588" s="130"/>
      <c r="AI2588" s="131"/>
      <c r="AJ2588" s="132"/>
      <c r="AK2588" s="127"/>
      <c r="AL2588" s="128"/>
      <c r="AM2588" s="21"/>
      <c r="AN2588" s="133">
        <v>45962</v>
      </c>
      <c r="AO2588" s="134"/>
      <c r="AP2588" s="135">
        <v>1274</v>
      </c>
      <c r="AQ2588" s="136"/>
      <c r="AR2588" s="118">
        <v>2015000</v>
      </c>
      <c r="AS2588" s="119"/>
      <c r="AT2588" s="118">
        <f t="shared" ref="AT2588" si="1187">AR2588*0.1</f>
        <v>201500</v>
      </c>
      <c r="AU2588" s="119"/>
      <c r="AV2588" s="118">
        <v>14240</v>
      </c>
      <c r="AW2588" s="119"/>
      <c r="AX2588" s="118">
        <f t="shared" ref="AX2588" si="1188">SUM(AR2588:AW2588)</f>
        <v>2230740</v>
      </c>
      <c r="AY2588" s="119"/>
      <c r="AZ2588" s="137">
        <v>45965</v>
      </c>
    </row>
    <row r="2589" spans="1:52" ht="17.100000000000001" customHeight="1" thickBot="1">
      <c r="A2589" s="110"/>
      <c r="B2589" s="27" t="s">
        <v>2641</v>
      </c>
      <c r="C2589" s="27">
        <v>3067</v>
      </c>
      <c r="D2589" s="14" t="s">
        <v>2601</v>
      </c>
      <c r="E2589" s="112"/>
      <c r="F2589" s="139" t="s">
        <v>8615</v>
      </c>
      <c r="G2589" s="140"/>
      <c r="H2589" s="141"/>
      <c r="I2589" s="26">
        <v>20306</v>
      </c>
      <c r="J2589" s="117"/>
      <c r="K2589" s="120"/>
      <c r="L2589" s="121"/>
      <c r="M2589" s="120"/>
      <c r="N2589" s="121"/>
      <c r="O2589" s="120"/>
      <c r="P2589" s="121"/>
      <c r="Q2589" s="120"/>
      <c r="R2589" s="121"/>
      <c r="S2589" s="120"/>
      <c r="T2589" s="121"/>
      <c r="U2589" s="120"/>
      <c r="V2589" s="123"/>
      <c r="W2589" s="125"/>
      <c r="X2589" s="142" t="s">
        <v>9090</v>
      </c>
      <c r="Y2589" s="143"/>
      <c r="Z2589" s="143"/>
      <c r="AA2589" s="143"/>
      <c r="AB2589" s="144"/>
      <c r="AC2589" s="16" t="s">
        <v>21</v>
      </c>
      <c r="AD2589" s="17" t="s">
        <v>8956</v>
      </c>
      <c r="AE2589" s="145" t="s">
        <v>7842</v>
      </c>
      <c r="AF2589" s="146"/>
      <c r="AG2589" s="146"/>
      <c r="AH2589" s="146"/>
      <c r="AI2589" s="147"/>
      <c r="AJ2589" s="148"/>
      <c r="AK2589" s="143"/>
      <c r="AL2589" s="144"/>
      <c r="AM2589" s="22"/>
      <c r="AN2589" s="149" t="s">
        <v>2511</v>
      </c>
      <c r="AO2589" s="144"/>
      <c r="AP2589" s="148">
        <v>13185</v>
      </c>
      <c r="AQ2589" s="144"/>
      <c r="AR2589" s="120"/>
      <c r="AS2589" s="121"/>
      <c r="AT2589" s="120"/>
      <c r="AU2589" s="121"/>
      <c r="AV2589" s="120"/>
      <c r="AW2589" s="121"/>
      <c r="AX2589" s="120"/>
      <c r="AY2589" s="121"/>
      <c r="AZ2589" s="138"/>
    </row>
    <row r="2590" spans="1:52" ht="17.100000000000001" customHeight="1" thickTop="1">
      <c r="A2590" s="109" t="s">
        <v>8598</v>
      </c>
      <c r="B2590" s="28">
        <v>45947</v>
      </c>
      <c r="C2590" s="25">
        <v>1390</v>
      </c>
      <c r="D2590" s="13" t="s">
        <v>1640</v>
      </c>
      <c r="E2590" s="111"/>
      <c r="F2590" s="113" t="s">
        <v>8616</v>
      </c>
      <c r="G2590" s="114"/>
      <c r="H2590" s="115"/>
      <c r="I2590" s="24" t="s">
        <v>8231</v>
      </c>
      <c r="J2590" s="116">
        <v>3.5</v>
      </c>
      <c r="K2590" s="118">
        <v>476000</v>
      </c>
      <c r="L2590" s="119"/>
      <c r="M2590" s="118">
        <f t="shared" ref="M2590" si="1189">K2590*0.1</f>
        <v>47600</v>
      </c>
      <c r="N2590" s="119"/>
      <c r="O2590" s="118">
        <f>14300+1430</f>
        <v>15730</v>
      </c>
      <c r="P2590" s="119"/>
      <c r="Q2590" s="118">
        <v>9380</v>
      </c>
      <c r="R2590" s="119"/>
      <c r="S2590" s="118">
        <v>13200</v>
      </c>
      <c r="T2590" s="119"/>
      <c r="U2590" s="118">
        <f t="shared" ref="U2590" si="1190">SUM(K2590:T2591)</f>
        <v>561910</v>
      </c>
      <c r="V2590" s="122"/>
      <c r="W2590" s="124"/>
      <c r="X2590" s="126" t="s">
        <v>9078</v>
      </c>
      <c r="Y2590" s="127"/>
      <c r="Z2590" s="127"/>
      <c r="AA2590" s="127"/>
      <c r="AB2590" s="128"/>
      <c r="AC2590" s="15" t="s">
        <v>20</v>
      </c>
      <c r="AD2590" s="129" t="s">
        <v>1581</v>
      </c>
      <c r="AE2590" s="130"/>
      <c r="AF2590" s="130"/>
      <c r="AG2590" s="130"/>
      <c r="AH2590" s="130"/>
      <c r="AI2590" s="131"/>
      <c r="AJ2590" s="132"/>
      <c r="AK2590" s="127"/>
      <c r="AL2590" s="128"/>
      <c r="AM2590" s="21"/>
      <c r="AN2590" s="133">
        <v>45987</v>
      </c>
      <c r="AO2590" s="134"/>
      <c r="AP2590" s="135">
        <v>994</v>
      </c>
      <c r="AQ2590" s="136"/>
      <c r="AR2590" s="118">
        <v>580000</v>
      </c>
      <c r="AS2590" s="119"/>
      <c r="AT2590" s="118">
        <f t="shared" ref="AT2590" si="1191">AR2590*0.1</f>
        <v>58000</v>
      </c>
      <c r="AU2590" s="119"/>
      <c r="AV2590" s="118">
        <v>9380</v>
      </c>
      <c r="AW2590" s="119"/>
      <c r="AX2590" s="118">
        <f t="shared" ref="AX2590" si="1192">SUM(AR2590:AW2590)</f>
        <v>647380</v>
      </c>
      <c r="AY2590" s="119"/>
      <c r="AZ2590" s="137">
        <v>45992</v>
      </c>
    </row>
    <row r="2591" spans="1:52" ht="17.100000000000001" customHeight="1" thickBot="1">
      <c r="A2591" s="110"/>
      <c r="B2591" s="27" t="s">
        <v>2641</v>
      </c>
      <c r="C2591" s="27">
        <v>3129</v>
      </c>
      <c r="D2591" s="14" t="s">
        <v>275</v>
      </c>
      <c r="E2591" s="112"/>
      <c r="F2591" s="139" t="s">
        <v>8617</v>
      </c>
      <c r="G2591" s="140"/>
      <c r="H2591" s="141"/>
      <c r="I2591" s="26">
        <v>50700</v>
      </c>
      <c r="J2591" s="117"/>
      <c r="K2591" s="120"/>
      <c r="L2591" s="121"/>
      <c r="M2591" s="120"/>
      <c r="N2591" s="121"/>
      <c r="O2591" s="120"/>
      <c r="P2591" s="121"/>
      <c r="Q2591" s="120"/>
      <c r="R2591" s="121"/>
      <c r="S2591" s="120"/>
      <c r="T2591" s="121"/>
      <c r="U2591" s="120"/>
      <c r="V2591" s="123"/>
      <c r="W2591" s="125"/>
      <c r="X2591" s="142" t="s">
        <v>9079</v>
      </c>
      <c r="Y2591" s="143"/>
      <c r="Z2591" s="143"/>
      <c r="AA2591" s="143"/>
      <c r="AB2591" s="144"/>
      <c r="AC2591" s="16" t="s">
        <v>21</v>
      </c>
      <c r="AD2591" s="17" t="s">
        <v>8956</v>
      </c>
      <c r="AE2591" s="145" t="s">
        <v>9503</v>
      </c>
      <c r="AF2591" s="146"/>
      <c r="AG2591" s="146"/>
      <c r="AH2591" s="146"/>
      <c r="AI2591" s="147"/>
      <c r="AJ2591" s="148" t="s">
        <v>8819</v>
      </c>
      <c r="AK2591" s="143"/>
      <c r="AL2591" s="144"/>
      <c r="AM2591" s="22"/>
      <c r="AN2591" s="149" t="s">
        <v>11801</v>
      </c>
      <c r="AO2591" s="144"/>
      <c r="AP2591" s="148">
        <v>5169</v>
      </c>
      <c r="AQ2591" s="144"/>
      <c r="AR2591" s="120"/>
      <c r="AS2591" s="121"/>
      <c r="AT2591" s="120"/>
      <c r="AU2591" s="121"/>
      <c r="AV2591" s="120"/>
      <c r="AW2591" s="121"/>
      <c r="AX2591" s="120"/>
      <c r="AY2591" s="121"/>
      <c r="AZ2591" s="138"/>
    </row>
    <row r="2592" spans="1:52" ht="17.100000000000001" customHeight="1" thickTop="1">
      <c r="A2592" s="109" t="s">
        <v>8599</v>
      </c>
      <c r="B2592" s="28">
        <v>45947</v>
      </c>
      <c r="C2592" s="25">
        <v>1390</v>
      </c>
      <c r="D2592" s="13" t="s">
        <v>2359</v>
      </c>
      <c r="E2592" s="111"/>
      <c r="F2592" s="113" t="s">
        <v>4603</v>
      </c>
      <c r="G2592" s="114"/>
      <c r="H2592" s="115"/>
      <c r="I2592" s="24" t="s">
        <v>7080</v>
      </c>
      <c r="J2592" s="116">
        <v>4</v>
      </c>
      <c r="K2592" s="118">
        <v>1001000</v>
      </c>
      <c r="L2592" s="119"/>
      <c r="M2592" s="118">
        <f t="shared" ref="M2592" si="1193">K2592*0.1</f>
        <v>100100</v>
      </c>
      <c r="N2592" s="119"/>
      <c r="O2592" s="118">
        <v>0</v>
      </c>
      <c r="P2592" s="119"/>
      <c r="Q2592" s="118">
        <v>8640</v>
      </c>
      <c r="R2592" s="119"/>
      <c r="S2592" s="118">
        <v>13200</v>
      </c>
      <c r="T2592" s="119"/>
      <c r="U2592" s="118">
        <f t="shared" ref="U2592" si="1194">SUM(K2592:T2593)</f>
        <v>1122940</v>
      </c>
      <c r="V2592" s="122"/>
      <c r="W2592" s="124"/>
      <c r="X2592" s="126" t="s">
        <v>9088</v>
      </c>
      <c r="Y2592" s="127"/>
      <c r="Z2592" s="127"/>
      <c r="AA2592" s="127"/>
      <c r="AB2592" s="128"/>
      <c r="AC2592" s="15" t="s">
        <v>20</v>
      </c>
      <c r="AD2592" s="129"/>
      <c r="AE2592" s="130"/>
      <c r="AF2592" s="130"/>
      <c r="AG2592" s="130"/>
      <c r="AH2592" s="130"/>
      <c r="AI2592" s="131"/>
      <c r="AJ2592" s="132"/>
      <c r="AK2592" s="127"/>
      <c r="AL2592" s="128"/>
      <c r="AM2592" s="21" t="s">
        <v>11042</v>
      </c>
      <c r="AN2592" s="133">
        <v>45976</v>
      </c>
      <c r="AO2592" s="134"/>
      <c r="AP2592" s="135">
        <v>1276</v>
      </c>
      <c r="AQ2592" s="136"/>
      <c r="AR2592" s="118">
        <v>1020000</v>
      </c>
      <c r="AS2592" s="119"/>
      <c r="AT2592" s="118">
        <f t="shared" ref="AT2592" si="1195">AR2592*0.1</f>
        <v>102000</v>
      </c>
      <c r="AU2592" s="119"/>
      <c r="AV2592" s="118">
        <v>8640</v>
      </c>
      <c r="AW2592" s="119"/>
      <c r="AX2592" s="118">
        <f t="shared" ref="AX2592" si="1196">SUM(AR2592:AW2592)</f>
        <v>1130640</v>
      </c>
      <c r="AY2592" s="119"/>
      <c r="AZ2592" s="137">
        <v>45981</v>
      </c>
    </row>
    <row r="2593" spans="1:52" ht="17.100000000000001" customHeight="1" thickBot="1">
      <c r="A2593" s="110"/>
      <c r="B2593" s="27" t="s">
        <v>2641</v>
      </c>
      <c r="C2593" s="27">
        <v>3142</v>
      </c>
      <c r="D2593" s="14" t="s">
        <v>2800</v>
      </c>
      <c r="E2593" s="112"/>
      <c r="F2593" s="139" t="s">
        <v>8618</v>
      </c>
      <c r="G2593" s="140"/>
      <c r="H2593" s="141"/>
      <c r="I2593" s="26">
        <v>50579</v>
      </c>
      <c r="J2593" s="117"/>
      <c r="K2593" s="120"/>
      <c r="L2593" s="121"/>
      <c r="M2593" s="120"/>
      <c r="N2593" s="121"/>
      <c r="O2593" s="120"/>
      <c r="P2593" s="121"/>
      <c r="Q2593" s="120"/>
      <c r="R2593" s="121"/>
      <c r="S2593" s="120"/>
      <c r="T2593" s="121"/>
      <c r="U2593" s="120"/>
      <c r="V2593" s="123"/>
      <c r="W2593" s="125"/>
      <c r="X2593" s="142" t="s">
        <v>2796</v>
      </c>
      <c r="Y2593" s="143"/>
      <c r="Z2593" s="143"/>
      <c r="AA2593" s="143"/>
      <c r="AB2593" s="144"/>
      <c r="AC2593" s="16" t="s">
        <v>21</v>
      </c>
      <c r="AD2593" s="17" t="s">
        <v>8956</v>
      </c>
      <c r="AE2593" s="145" t="s">
        <v>3624</v>
      </c>
      <c r="AF2593" s="146"/>
      <c r="AG2593" s="146"/>
      <c r="AH2593" s="146"/>
      <c r="AI2593" s="147"/>
      <c r="AJ2593" s="148"/>
      <c r="AK2593" s="143"/>
      <c r="AL2593" s="144"/>
      <c r="AM2593" s="22"/>
      <c r="AN2593" s="149" t="s">
        <v>10999</v>
      </c>
      <c r="AO2593" s="144"/>
      <c r="AP2593" s="148">
        <v>60112</v>
      </c>
      <c r="AQ2593" s="144"/>
      <c r="AR2593" s="120"/>
      <c r="AS2593" s="121"/>
      <c r="AT2593" s="120"/>
      <c r="AU2593" s="121"/>
      <c r="AV2593" s="120"/>
      <c r="AW2593" s="121"/>
      <c r="AX2593" s="120"/>
      <c r="AY2593" s="121"/>
      <c r="AZ2593" s="138"/>
    </row>
    <row r="2594" spans="1:52" ht="17.100000000000001" customHeight="1" thickTop="1">
      <c r="A2594" s="109" t="s">
        <v>8600</v>
      </c>
      <c r="B2594" s="28">
        <v>45947</v>
      </c>
      <c r="C2594" s="25">
        <v>1390</v>
      </c>
      <c r="D2594" s="13" t="s">
        <v>1902</v>
      </c>
      <c r="E2594" s="111"/>
      <c r="F2594" s="113" t="s">
        <v>8619</v>
      </c>
      <c r="G2594" s="114"/>
      <c r="H2594" s="115"/>
      <c r="I2594" s="24" t="s">
        <v>8649</v>
      </c>
      <c r="J2594" s="116">
        <v>4</v>
      </c>
      <c r="K2594" s="118">
        <v>1157000</v>
      </c>
      <c r="L2594" s="119"/>
      <c r="M2594" s="118">
        <f t="shared" ref="M2594" si="1197">K2594*0.1</f>
        <v>115700</v>
      </c>
      <c r="N2594" s="119"/>
      <c r="O2594" s="118">
        <v>0</v>
      </c>
      <c r="P2594" s="119"/>
      <c r="Q2594" s="118">
        <v>8550</v>
      </c>
      <c r="R2594" s="119"/>
      <c r="S2594" s="118">
        <v>13200</v>
      </c>
      <c r="T2594" s="119"/>
      <c r="U2594" s="118">
        <f t="shared" ref="U2594" si="1198">SUM(K2594:T2595)</f>
        <v>1294450</v>
      </c>
      <c r="V2594" s="122"/>
      <c r="W2594" s="124"/>
      <c r="X2594" s="126" t="s">
        <v>9080</v>
      </c>
      <c r="Y2594" s="127"/>
      <c r="Z2594" s="127"/>
      <c r="AA2594" s="127"/>
      <c r="AB2594" s="128"/>
      <c r="AC2594" s="15" t="s">
        <v>20</v>
      </c>
      <c r="AD2594" s="129" t="s">
        <v>1581</v>
      </c>
      <c r="AE2594" s="130"/>
      <c r="AF2594" s="130"/>
      <c r="AG2594" s="130"/>
      <c r="AH2594" s="130"/>
      <c r="AI2594" s="131"/>
      <c r="AJ2594" s="132"/>
      <c r="AK2594" s="127"/>
      <c r="AL2594" s="128"/>
      <c r="AM2594" s="21"/>
      <c r="AN2594" s="133">
        <v>45955</v>
      </c>
      <c r="AO2594" s="134"/>
      <c r="AP2594" s="135">
        <v>1273</v>
      </c>
      <c r="AQ2594" s="136"/>
      <c r="AR2594" s="118">
        <v>1230000</v>
      </c>
      <c r="AS2594" s="119"/>
      <c r="AT2594" s="118">
        <f t="shared" ref="AT2594" si="1199">AR2594*0.1</f>
        <v>123000</v>
      </c>
      <c r="AU2594" s="119"/>
      <c r="AV2594" s="118">
        <v>8550</v>
      </c>
      <c r="AW2594" s="119"/>
      <c r="AX2594" s="118">
        <f t="shared" ref="AX2594" si="1200">SUM(AR2594:AW2594)</f>
        <v>1361550</v>
      </c>
      <c r="AY2594" s="119"/>
      <c r="AZ2594" s="137">
        <v>45958</v>
      </c>
    </row>
    <row r="2595" spans="1:52" ht="17.100000000000001" customHeight="1" thickBot="1">
      <c r="A2595" s="110"/>
      <c r="B2595" s="27" t="s">
        <v>2641</v>
      </c>
      <c r="C2595" s="27">
        <v>3216</v>
      </c>
      <c r="D2595" s="14" t="s">
        <v>3327</v>
      </c>
      <c r="E2595" s="112"/>
      <c r="F2595" s="139" t="s">
        <v>8620</v>
      </c>
      <c r="G2595" s="140"/>
      <c r="H2595" s="141"/>
      <c r="I2595" s="26">
        <v>42648</v>
      </c>
      <c r="J2595" s="117"/>
      <c r="K2595" s="120"/>
      <c r="L2595" s="121"/>
      <c r="M2595" s="120"/>
      <c r="N2595" s="121"/>
      <c r="O2595" s="120"/>
      <c r="P2595" s="121"/>
      <c r="Q2595" s="120"/>
      <c r="R2595" s="121"/>
      <c r="S2595" s="120"/>
      <c r="T2595" s="121"/>
      <c r="U2595" s="120"/>
      <c r="V2595" s="123"/>
      <c r="W2595" s="125"/>
      <c r="X2595" s="142" t="s">
        <v>9081</v>
      </c>
      <c r="Y2595" s="143"/>
      <c r="Z2595" s="143"/>
      <c r="AA2595" s="143"/>
      <c r="AB2595" s="144"/>
      <c r="AC2595" s="16" t="s">
        <v>21</v>
      </c>
      <c r="AD2595" s="17" t="s">
        <v>8956</v>
      </c>
      <c r="AE2595" s="145" t="s">
        <v>9082</v>
      </c>
      <c r="AF2595" s="146"/>
      <c r="AG2595" s="146"/>
      <c r="AH2595" s="146"/>
      <c r="AI2595" s="147"/>
      <c r="AJ2595" s="148"/>
      <c r="AK2595" s="143"/>
      <c r="AL2595" s="144"/>
      <c r="AM2595" s="22"/>
      <c r="AN2595" s="149" t="s">
        <v>2511</v>
      </c>
      <c r="AO2595" s="144"/>
      <c r="AP2595" s="148">
        <v>60021</v>
      </c>
      <c r="AQ2595" s="144"/>
      <c r="AR2595" s="120"/>
      <c r="AS2595" s="121"/>
      <c r="AT2595" s="120"/>
      <c r="AU2595" s="121"/>
      <c r="AV2595" s="120"/>
      <c r="AW2595" s="121"/>
      <c r="AX2595" s="120"/>
      <c r="AY2595" s="121"/>
      <c r="AZ2595" s="138"/>
    </row>
    <row r="2596" spans="1:52" ht="17.100000000000001" customHeight="1" thickTop="1">
      <c r="A2596" s="109" t="s">
        <v>8601</v>
      </c>
      <c r="B2596" s="28">
        <v>45947</v>
      </c>
      <c r="C2596" s="25">
        <v>1390</v>
      </c>
      <c r="D2596" s="13" t="s">
        <v>8650</v>
      </c>
      <c r="E2596" s="111"/>
      <c r="F2596" s="113" t="s">
        <v>8621</v>
      </c>
      <c r="G2596" s="114"/>
      <c r="H2596" s="115"/>
      <c r="I2596" s="24" t="s">
        <v>8651</v>
      </c>
      <c r="J2596" s="116">
        <v>4</v>
      </c>
      <c r="K2596" s="118">
        <v>764000</v>
      </c>
      <c r="L2596" s="119"/>
      <c r="M2596" s="118">
        <f t="shared" ref="M2596" si="1201">K2596*0.1</f>
        <v>76400</v>
      </c>
      <c r="N2596" s="119"/>
      <c r="O2596" s="118">
        <v>0</v>
      </c>
      <c r="P2596" s="119"/>
      <c r="Q2596" s="118">
        <v>8790</v>
      </c>
      <c r="R2596" s="119"/>
      <c r="S2596" s="118">
        <v>13200</v>
      </c>
      <c r="T2596" s="119"/>
      <c r="U2596" s="118">
        <f t="shared" ref="U2596" si="1202">SUM(K2596:T2597)</f>
        <v>862390</v>
      </c>
      <c r="V2596" s="122"/>
      <c r="W2596" s="124"/>
      <c r="X2596" s="126" t="s">
        <v>9073</v>
      </c>
      <c r="Y2596" s="127"/>
      <c r="Z2596" s="127"/>
      <c r="AA2596" s="127"/>
      <c r="AB2596" s="128"/>
      <c r="AC2596" s="15" t="s">
        <v>20</v>
      </c>
      <c r="AD2596" s="129" t="s">
        <v>8652</v>
      </c>
      <c r="AE2596" s="130"/>
      <c r="AF2596" s="130"/>
      <c r="AG2596" s="130"/>
      <c r="AH2596" s="130"/>
      <c r="AI2596" s="131"/>
      <c r="AJ2596" s="132"/>
      <c r="AK2596" s="127"/>
      <c r="AL2596" s="128"/>
      <c r="AM2596" s="21"/>
      <c r="AN2596" s="133">
        <v>45955</v>
      </c>
      <c r="AO2596" s="134"/>
      <c r="AP2596" s="135">
        <v>1273</v>
      </c>
      <c r="AQ2596" s="136"/>
      <c r="AR2596" s="118">
        <v>840000</v>
      </c>
      <c r="AS2596" s="119"/>
      <c r="AT2596" s="118">
        <f t="shared" ref="AT2596" si="1203">AR2596*0.1</f>
        <v>84000</v>
      </c>
      <c r="AU2596" s="119"/>
      <c r="AV2596" s="118">
        <v>8790</v>
      </c>
      <c r="AW2596" s="119"/>
      <c r="AX2596" s="118">
        <f t="shared" ref="AX2596" si="1204">SUM(AR2596:AW2596)</f>
        <v>932790</v>
      </c>
      <c r="AY2596" s="119"/>
      <c r="AZ2596" s="137">
        <v>45958</v>
      </c>
    </row>
    <row r="2597" spans="1:52" ht="17.100000000000001" customHeight="1" thickBot="1">
      <c r="A2597" s="110"/>
      <c r="B2597" s="27" t="s">
        <v>2641</v>
      </c>
      <c r="C2597" s="27">
        <v>3265</v>
      </c>
      <c r="D2597" s="14" t="s">
        <v>5505</v>
      </c>
      <c r="E2597" s="112"/>
      <c r="F2597" s="139" t="s">
        <v>8622</v>
      </c>
      <c r="G2597" s="140"/>
      <c r="H2597" s="141"/>
      <c r="I2597" s="26">
        <v>50545</v>
      </c>
      <c r="J2597" s="117"/>
      <c r="K2597" s="120"/>
      <c r="L2597" s="121"/>
      <c r="M2597" s="120"/>
      <c r="N2597" s="121"/>
      <c r="O2597" s="120"/>
      <c r="P2597" s="121"/>
      <c r="Q2597" s="120"/>
      <c r="R2597" s="121"/>
      <c r="S2597" s="120"/>
      <c r="T2597" s="121"/>
      <c r="U2597" s="120"/>
      <c r="V2597" s="123"/>
      <c r="W2597" s="125"/>
      <c r="X2597" s="142" t="s">
        <v>9075</v>
      </c>
      <c r="Y2597" s="143"/>
      <c r="Z2597" s="143"/>
      <c r="AA2597" s="143"/>
      <c r="AB2597" s="144"/>
      <c r="AC2597" s="16" t="s">
        <v>21</v>
      </c>
      <c r="AD2597" s="17" t="s">
        <v>8956</v>
      </c>
      <c r="AE2597" s="145" t="s">
        <v>10541</v>
      </c>
      <c r="AF2597" s="146"/>
      <c r="AG2597" s="146"/>
      <c r="AH2597" s="146"/>
      <c r="AI2597" s="147"/>
      <c r="AJ2597" s="148" t="s">
        <v>8789</v>
      </c>
      <c r="AK2597" s="143"/>
      <c r="AL2597" s="144"/>
      <c r="AM2597" s="22"/>
      <c r="AN2597" s="149" t="s">
        <v>2511</v>
      </c>
      <c r="AO2597" s="144"/>
      <c r="AP2597" s="148">
        <v>60019</v>
      </c>
      <c r="AQ2597" s="144"/>
      <c r="AR2597" s="120"/>
      <c r="AS2597" s="121"/>
      <c r="AT2597" s="120"/>
      <c r="AU2597" s="121"/>
      <c r="AV2597" s="120"/>
      <c r="AW2597" s="121"/>
      <c r="AX2597" s="120"/>
      <c r="AY2597" s="121"/>
      <c r="AZ2597" s="138"/>
    </row>
    <row r="2598" spans="1:52" ht="17.100000000000001" customHeight="1" thickTop="1">
      <c r="A2598" s="109" t="s">
        <v>8602</v>
      </c>
      <c r="B2598" s="28">
        <v>45947</v>
      </c>
      <c r="C2598" s="25">
        <v>1390</v>
      </c>
      <c r="D2598" s="13" t="s">
        <v>3429</v>
      </c>
      <c r="E2598" s="111"/>
      <c r="F2598" s="113" t="s">
        <v>8653</v>
      </c>
      <c r="G2598" s="114"/>
      <c r="H2598" s="115"/>
      <c r="I2598" s="24" t="s">
        <v>8216</v>
      </c>
      <c r="J2598" s="150" t="s">
        <v>1715</v>
      </c>
      <c r="K2598" s="118">
        <v>302000</v>
      </c>
      <c r="L2598" s="119"/>
      <c r="M2598" s="118">
        <f t="shared" ref="M2598" si="1205">K2598*0.1</f>
        <v>30200</v>
      </c>
      <c r="N2598" s="119"/>
      <c r="O2598" s="118">
        <f>21500+2150</f>
        <v>23650</v>
      </c>
      <c r="P2598" s="119"/>
      <c r="Q2598" s="118">
        <v>13360</v>
      </c>
      <c r="R2598" s="119"/>
      <c r="S2598" s="118">
        <v>13200</v>
      </c>
      <c r="T2598" s="119"/>
      <c r="U2598" s="118">
        <f t="shared" ref="U2598" si="1206">SUM(K2598:T2599)</f>
        <v>382410</v>
      </c>
      <c r="V2598" s="122"/>
      <c r="W2598" s="124"/>
      <c r="X2598" s="126" t="s">
        <v>9071</v>
      </c>
      <c r="Y2598" s="127"/>
      <c r="Z2598" s="127"/>
      <c r="AA2598" s="127"/>
      <c r="AB2598" s="128"/>
      <c r="AC2598" s="15" t="s">
        <v>20</v>
      </c>
      <c r="AD2598" s="129" t="s">
        <v>8654</v>
      </c>
      <c r="AE2598" s="130"/>
      <c r="AF2598" s="130"/>
      <c r="AG2598" s="130"/>
      <c r="AH2598" s="130"/>
      <c r="AI2598" s="131"/>
      <c r="AJ2598" s="132"/>
      <c r="AK2598" s="127"/>
      <c r="AL2598" s="128"/>
      <c r="AM2598" s="21" t="s">
        <v>11053</v>
      </c>
      <c r="AN2598" s="133">
        <v>45997</v>
      </c>
      <c r="AO2598" s="134"/>
      <c r="AP2598" s="135">
        <v>1279</v>
      </c>
      <c r="AQ2598" s="136"/>
      <c r="AR2598" s="118">
        <v>305000</v>
      </c>
      <c r="AS2598" s="119"/>
      <c r="AT2598" s="118">
        <f t="shared" ref="AT2598" si="1207">AR2598*0.1</f>
        <v>30500</v>
      </c>
      <c r="AU2598" s="119"/>
      <c r="AV2598" s="118">
        <v>13360</v>
      </c>
      <c r="AW2598" s="119"/>
      <c r="AX2598" s="118">
        <f t="shared" ref="AX2598" si="1208">SUM(AR2598:AW2598)</f>
        <v>348860</v>
      </c>
      <c r="AY2598" s="119"/>
      <c r="AZ2598" s="137">
        <v>46000</v>
      </c>
    </row>
    <row r="2599" spans="1:52" ht="17.100000000000001" customHeight="1" thickBot="1">
      <c r="A2599" s="110"/>
      <c r="B2599" s="27" t="s">
        <v>2641</v>
      </c>
      <c r="C2599" s="27">
        <v>3286</v>
      </c>
      <c r="D2599" s="14" t="s">
        <v>1720</v>
      </c>
      <c r="E2599" s="112"/>
      <c r="F2599" s="139" t="s">
        <v>8623</v>
      </c>
      <c r="G2599" s="140"/>
      <c r="H2599" s="141"/>
      <c r="I2599" s="26">
        <v>143809</v>
      </c>
      <c r="J2599" s="117"/>
      <c r="K2599" s="120"/>
      <c r="L2599" s="121"/>
      <c r="M2599" s="120"/>
      <c r="N2599" s="121"/>
      <c r="O2599" s="120"/>
      <c r="P2599" s="121"/>
      <c r="Q2599" s="120"/>
      <c r="R2599" s="121"/>
      <c r="S2599" s="120"/>
      <c r="T2599" s="121"/>
      <c r="U2599" s="120"/>
      <c r="V2599" s="123"/>
      <c r="W2599" s="125"/>
      <c r="X2599" s="142" t="s">
        <v>9072</v>
      </c>
      <c r="Y2599" s="143"/>
      <c r="Z2599" s="143"/>
      <c r="AA2599" s="143"/>
      <c r="AB2599" s="144"/>
      <c r="AC2599" s="16" t="s">
        <v>21</v>
      </c>
      <c r="AD2599" s="17" t="s">
        <v>8956</v>
      </c>
      <c r="AE2599" s="145" t="s">
        <v>8654</v>
      </c>
      <c r="AF2599" s="146"/>
      <c r="AG2599" s="146"/>
      <c r="AH2599" s="146"/>
      <c r="AI2599" s="147"/>
      <c r="AJ2599" s="148"/>
      <c r="AK2599" s="143"/>
      <c r="AL2599" s="144"/>
      <c r="AM2599" s="22"/>
      <c r="AN2599" s="149" t="s">
        <v>2511</v>
      </c>
      <c r="AO2599" s="144"/>
      <c r="AP2599" s="148">
        <v>50123</v>
      </c>
      <c r="AQ2599" s="144"/>
      <c r="AR2599" s="120"/>
      <c r="AS2599" s="121"/>
      <c r="AT2599" s="120"/>
      <c r="AU2599" s="121"/>
      <c r="AV2599" s="120"/>
      <c r="AW2599" s="121"/>
      <c r="AX2599" s="120"/>
      <c r="AY2599" s="121"/>
      <c r="AZ2599" s="138"/>
    </row>
    <row r="2600" spans="1:52" ht="17.100000000000001" customHeight="1" thickTop="1">
      <c r="A2600" s="151" t="s">
        <v>8603</v>
      </c>
      <c r="B2600" s="28">
        <v>45947</v>
      </c>
      <c r="C2600" s="25">
        <v>1390</v>
      </c>
      <c r="D2600" s="13" t="s">
        <v>859</v>
      </c>
      <c r="E2600" s="111"/>
      <c r="F2600" s="113" t="s">
        <v>8624</v>
      </c>
      <c r="G2600" s="114"/>
      <c r="H2600" s="115"/>
      <c r="I2600" s="24" t="s">
        <v>4415</v>
      </c>
      <c r="J2600" s="116">
        <v>4</v>
      </c>
      <c r="K2600" s="118">
        <v>1202000</v>
      </c>
      <c r="L2600" s="119"/>
      <c r="M2600" s="118">
        <f t="shared" ref="M2600" si="1209">K2600*0.1</f>
        <v>120200</v>
      </c>
      <c r="N2600" s="119"/>
      <c r="O2600" s="118">
        <v>0</v>
      </c>
      <c r="P2600" s="119"/>
      <c r="Q2600" s="118">
        <v>8740</v>
      </c>
      <c r="R2600" s="119"/>
      <c r="S2600" s="118">
        <v>13200</v>
      </c>
      <c r="T2600" s="119"/>
      <c r="U2600" s="118">
        <f t="shared" ref="U2600" si="1210">SUM(K2600:T2601)</f>
        <v>1344140</v>
      </c>
      <c r="V2600" s="122"/>
      <c r="W2600" s="124"/>
      <c r="X2600" s="126" t="s">
        <v>9083</v>
      </c>
      <c r="Y2600" s="127"/>
      <c r="Z2600" s="127"/>
      <c r="AA2600" s="127"/>
      <c r="AB2600" s="128"/>
      <c r="AC2600" s="15" t="s">
        <v>20</v>
      </c>
      <c r="AD2600" s="129" t="s">
        <v>1690</v>
      </c>
      <c r="AE2600" s="130"/>
      <c r="AF2600" s="130"/>
      <c r="AG2600" s="130"/>
      <c r="AH2600" s="130"/>
      <c r="AI2600" s="131"/>
      <c r="AJ2600" s="132" t="s">
        <v>9571</v>
      </c>
      <c r="AK2600" s="127"/>
      <c r="AL2600" s="128"/>
      <c r="AM2600" s="21"/>
      <c r="AN2600" s="133"/>
      <c r="AO2600" s="134"/>
      <c r="AP2600" s="135"/>
      <c r="AQ2600" s="136"/>
      <c r="AR2600" s="118"/>
      <c r="AS2600" s="119"/>
      <c r="AT2600" s="118">
        <f t="shared" ref="AT2600" si="1211">AR2600*0.1</f>
        <v>0</v>
      </c>
      <c r="AU2600" s="119"/>
      <c r="AV2600" s="118"/>
      <c r="AW2600" s="119"/>
      <c r="AX2600" s="118">
        <f t="shared" ref="AX2600" si="1212">SUM(AR2600:AW2600)</f>
        <v>0</v>
      </c>
      <c r="AY2600" s="119"/>
      <c r="AZ2600" s="137"/>
    </row>
    <row r="2601" spans="1:52" ht="17.100000000000001" customHeight="1" thickBot="1">
      <c r="A2601" s="152"/>
      <c r="B2601" s="27" t="s">
        <v>2641</v>
      </c>
      <c r="C2601" s="27">
        <v>7002</v>
      </c>
      <c r="D2601" s="14" t="s">
        <v>275</v>
      </c>
      <c r="E2601" s="112"/>
      <c r="F2601" s="139" t="s">
        <v>8625</v>
      </c>
      <c r="G2601" s="140"/>
      <c r="H2601" s="141"/>
      <c r="I2601" s="26">
        <v>18594</v>
      </c>
      <c r="J2601" s="117"/>
      <c r="K2601" s="120"/>
      <c r="L2601" s="121"/>
      <c r="M2601" s="120"/>
      <c r="N2601" s="121"/>
      <c r="O2601" s="120"/>
      <c r="P2601" s="121"/>
      <c r="Q2601" s="120"/>
      <c r="R2601" s="121"/>
      <c r="S2601" s="120"/>
      <c r="T2601" s="121"/>
      <c r="U2601" s="120"/>
      <c r="V2601" s="123"/>
      <c r="W2601" s="125"/>
      <c r="X2601" s="142" t="s">
        <v>6882</v>
      </c>
      <c r="Y2601" s="143"/>
      <c r="Z2601" s="143"/>
      <c r="AA2601" s="143"/>
      <c r="AB2601" s="144"/>
      <c r="AC2601" s="16" t="s">
        <v>21</v>
      </c>
      <c r="AD2601" s="17" t="s">
        <v>8956</v>
      </c>
      <c r="AE2601" s="145" t="s">
        <v>1609</v>
      </c>
      <c r="AF2601" s="146"/>
      <c r="AG2601" s="146"/>
      <c r="AH2601" s="146"/>
      <c r="AI2601" s="147"/>
      <c r="AJ2601" s="148"/>
      <c r="AK2601" s="143"/>
      <c r="AL2601" s="144"/>
      <c r="AM2601" s="22"/>
      <c r="AN2601" s="149"/>
      <c r="AO2601" s="144"/>
      <c r="AP2601" s="148"/>
      <c r="AQ2601" s="144"/>
      <c r="AR2601" s="120"/>
      <c r="AS2601" s="121"/>
      <c r="AT2601" s="120"/>
      <c r="AU2601" s="121"/>
      <c r="AV2601" s="120"/>
      <c r="AW2601" s="121"/>
      <c r="AX2601" s="120"/>
      <c r="AY2601" s="121"/>
      <c r="AZ2601" s="138"/>
    </row>
    <row r="2602" spans="1:52" ht="17.100000000000001" customHeight="1" thickTop="1">
      <c r="A2602" s="109" t="s">
        <v>8604</v>
      </c>
      <c r="B2602" s="28">
        <v>45947</v>
      </c>
      <c r="C2602" s="25">
        <v>1390</v>
      </c>
      <c r="D2602" s="13" t="s">
        <v>1831</v>
      </c>
      <c r="E2602" s="111"/>
      <c r="F2602" s="113" t="s">
        <v>8655</v>
      </c>
      <c r="G2602" s="114"/>
      <c r="H2602" s="115"/>
      <c r="I2602" s="24"/>
      <c r="J2602" s="116">
        <v>4.5</v>
      </c>
      <c r="K2602" s="118">
        <v>387000</v>
      </c>
      <c r="L2602" s="119"/>
      <c r="M2602" s="118">
        <f t="shared" ref="M2602" si="1213">K2602*0.1</f>
        <v>38700</v>
      </c>
      <c r="N2602" s="119"/>
      <c r="O2602" s="118">
        <v>0</v>
      </c>
      <c r="P2602" s="119"/>
      <c r="Q2602" s="118">
        <v>8040</v>
      </c>
      <c r="R2602" s="119"/>
      <c r="S2602" s="118">
        <v>13200</v>
      </c>
      <c r="T2602" s="119"/>
      <c r="U2602" s="118">
        <f t="shared" ref="U2602" si="1214">SUM(K2602:T2603)</f>
        <v>446940</v>
      </c>
      <c r="V2602" s="122"/>
      <c r="W2602" s="124"/>
      <c r="X2602" s="126" t="s">
        <v>9076</v>
      </c>
      <c r="Y2602" s="127"/>
      <c r="Z2602" s="127"/>
      <c r="AA2602" s="127"/>
      <c r="AB2602" s="128"/>
      <c r="AC2602" s="15" t="s">
        <v>20</v>
      </c>
      <c r="AD2602" s="129"/>
      <c r="AE2602" s="130"/>
      <c r="AF2602" s="130"/>
      <c r="AG2602" s="130"/>
      <c r="AH2602" s="130"/>
      <c r="AI2602" s="131"/>
      <c r="AJ2602" s="132"/>
      <c r="AK2602" s="127"/>
      <c r="AL2602" s="128"/>
      <c r="AM2602" s="21"/>
      <c r="AN2602" s="133">
        <v>45969</v>
      </c>
      <c r="AO2602" s="134"/>
      <c r="AP2602" s="135">
        <v>1275</v>
      </c>
      <c r="AQ2602" s="136"/>
      <c r="AR2602" s="118">
        <v>470000</v>
      </c>
      <c r="AS2602" s="119"/>
      <c r="AT2602" s="118">
        <f t="shared" ref="AT2602" si="1215">AR2602*0.1</f>
        <v>47000</v>
      </c>
      <c r="AU2602" s="119"/>
      <c r="AV2602" s="118">
        <v>8040</v>
      </c>
      <c r="AW2602" s="119"/>
      <c r="AX2602" s="118">
        <f t="shared" ref="AX2602" si="1216">SUM(AR2602:AW2602)</f>
        <v>525040</v>
      </c>
      <c r="AY2602" s="119"/>
      <c r="AZ2602" s="137">
        <v>45972</v>
      </c>
    </row>
    <row r="2603" spans="1:52" ht="17.100000000000001" customHeight="1" thickBot="1">
      <c r="A2603" s="110"/>
      <c r="B2603" s="27" t="s">
        <v>2641</v>
      </c>
      <c r="C2603" s="27">
        <v>7015</v>
      </c>
      <c r="D2603" s="14" t="s">
        <v>3855</v>
      </c>
      <c r="E2603" s="112"/>
      <c r="F2603" s="139" t="s">
        <v>8626</v>
      </c>
      <c r="G2603" s="140"/>
      <c r="H2603" s="141"/>
      <c r="I2603" s="26">
        <v>22162</v>
      </c>
      <c r="J2603" s="117"/>
      <c r="K2603" s="120"/>
      <c r="L2603" s="121"/>
      <c r="M2603" s="120"/>
      <c r="N2603" s="121"/>
      <c r="O2603" s="120"/>
      <c r="P2603" s="121"/>
      <c r="Q2603" s="120"/>
      <c r="R2603" s="121"/>
      <c r="S2603" s="120"/>
      <c r="T2603" s="121"/>
      <c r="U2603" s="120"/>
      <c r="V2603" s="123"/>
      <c r="W2603" s="125"/>
      <c r="X2603" s="142" t="s">
        <v>9077</v>
      </c>
      <c r="Y2603" s="143"/>
      <c r="Z2603" s="143"/>
      <c r="AA2603" s="143"/>
      <c r="AB2603" s="144"/>
      <c r="AC2603" s="16" t="s">
        <v>21</v>
      </c>
      <c r="AD2603" s="17" t="s">
        <v>8956</v>
      </c>
      <c r="AE2603" s="145" t="s">
        <v>171</v>
      </c>
      <c r="AF2603" s="146"/>
      <c r="AG2603" s="146"/>
      <c r="AH2603" s="146"/>
      <c r="AI2603" s="147"/>
      <c r="AJ2603" s="148"/>
      <c r="AK2603" s="143"/>
      <c r="AL2603" s="144"/>
      <c r="AM2603" s="22"/>
      <c r="AN2603" s="149" t="s">
        <v>2511</v>
      </c>
      <c r="AO2603" s="144"/>
      <c r="AP2603" s="148">
        <v>55041</v>
      </c>
      <c r="AQ2603" s="144"/>
      <c r="AR2603" s="120"/>
      <c r="AS2603" s="121"/>
      <c r="AT2603" s="120"/>
      <c r="AU2603" s="121"/>
      <c r="AV2603" s="120"/>
      <c r="AW2603" s="121"/>
      <c r="AX2603" s="120"/>
      <c r="AY2603" s="121"/>
      <c r="AZ2603" s="138"/>
    </row>
    <row r="2604" spans="1:52" ht="17.100000000000001" customHeight="1" thickTop="1">
      <c r="A2604" s="109" t="s">
        <v>8605</v>
      </c>
      <c r="B2604" s="28">
        <v>45947</v>
      </c>
      <c r="C2604" s="25">
        <v>1390</v>
      </c>
      <c r="D2604" s="13" t="s">
        <v>2689</v>
      </c>
      <c r="E2604" s="111"/>
      <c r="F2604" s="113" t="s">
        <v>8627</v>
      </c>
      <c r="G2604" s="114"/>
      <c r="H2604" s="115"/>
      <c r="I2604" s="24"/>
      <c r="J2604" s="116">
        <v>4</v>
      </c>
      <c r="K2604" s="118">
        <v>2274000</v>
      </c>
      <c r="L2604" s="119"/>
      <c r="M2604" s="118">
        <f t="shared" ref="M2604" si="1217">K2604*0.1</f>
        <v>227400</v>
      </c>
      <c r="N2604" s="119"/>
      <c r="O2604" s="118">
        <v>0</v>
      </c>
      <c r="P2604" s="119"/>
      <c r="Q2604" s="118">
        <v>11740</v>
      </c>
      <c r="R2604" s="119"/>
      <c r="S2604" s="118">
        <v>13200</v>
      </c>
      <c r="T2604" s="119"/>
      <c r="U2604" s="118">
        <f t="shared" ref="U2604" si="1218">SUM(K2604:T2605)</f>
        <v>2526340</v>
      </c>
      <c r="V2604" s="122"/>
      <c r="W2604" s="124"/>
      <c r="X2604" s="126" t="s">
        <v>9087</v>
      </c>
      <c r="Y2604" s="127"/>
      <c r="Z2604" s="127"/>
      <c r="AA2604" s="127"/>
      <c r="AB2604" s="128"/>
      <c r="AC2604" s="15" t="s">
        <v>20</v>
      </c>
      <c r="AD2604" s="129"/>
      <c r="AE2604" s="130"/>
      <c r="AF2604" s="130"/>
      <c r="AG2604" s="130"/>
      <c r="AH2604" s="130"/>
      <c r="AI2604" s="131"/>
      <c r="AJ2604" s="132"/>
      <c r="AK2604" s="127"/>
      <c r="AL2604" s="128"/>
      <c r="AM2604" s="21"/>
      <c r="AN2604" s="133">
        <v>45955</v>
      </c>
      <c r="AO2604" s="134"/>
      <c r="AP2604" s="135">
        <v>1273</v>
      </c>
      <c r="AQ2604" s="136"/>
      <c r="AR2604" s="118">
        <v>2380000</v>
      </c>
      <c r="AS2604" s="119"/>
      <c r="AT2604" s="118">
        <f t="shared" ref="AT2604" si="1219">AR2604*0.1</f>
        <v>238000</v>
      </c>
      <c r="AU2604" s="119"/>
      <c r="AV2604" s="118">
        <v>11740</v>
      </c>
      <c r="AW2604" s="119"/>
      <c r="AX2604" s="118">
        <f t="shared" ref="AX2604" si="1220">SUM(AR2604:AW2604)</f>
        <v>2629740</v>
      </c>
      <c r="AY2604" s="119"/>
      <c r="AZ2604" s="137">
        <v>45958</v>
      </c>
    </row>
    <row r="2605" spans="1:52" ht="17.100000000000001" customHeight="1" thickBot="1">
      <c r="A2605" s="110"/>
      <c r="B2605" s="27" t="s">
        <v>2641</v>
      </c>
      <c r="C2605" s="27">
        <v>7016</v>
      </c>
      <c r="D2605" s="14" t="s">
        <v>275</v>
      </c>
      <c r="E2605" s="112"/>
      <c r="F2605" s="139" t="s">
        <v>8628</v>
      </c>
      <c r="G2605" s="140"/>
      <c r="H2605" s="141"/>
      <c r="I2605" s="26">
        <v>40014</v>
      </c>
      <c r="J2605" s="117"/>
      <c r="K2605" s="120"/>
      <c r="L2605" s="121"/>
      <c r="M2605" s="120"/>
      <c r="N2605" s="121"/>
      <c r="O2605" s="120"/>
      <c r="P2605" s="121"/>
      <c r="Q2605" s="120"/>
      <c r="R2605" s="121"/>
      <c r="S2605" s="120"/>
      <c r="T2605" s="121"/>
      <c r="U2605" s="120"/>
      <c r="V2605" s="123"/>
      <c r="W2605" s="125"/>
      <c r="X2605" s="142" t="s">
        <v>2776</v>
      </c>
      <c r="Y2605" s="143"/>
      <c r="Z2605" s="143"/>
      <c r="AA2605" s="143"/>
      <c r="AB2605" s="144"/>
      <c r="AC2605" s="16" t="s">
        <v>21</v>
      </c>
      <c r="AD2605" s="17" t="s">
        <v>8956</v>
      </c>
      <c r="AE2605" s="145" t="s">
        <v>1670</v>
      </c>
      <c r="AF2605" s="146"/>
      <c r="AG2605" s="146"/>
      <c r="AH2605" s="146"/>
      <c r="AI2605" s="147"/>
      <c r="AJ2605" s="148"/>
      <c r="AK2605" s="143"/>
      <c r="AL2605" s="144"/>
      <c r="AM2605" s="22"/>
      <c r="AN2605" s="149" t="s">
        <v>2511</v>
      </c>
      <c r="AO2605" s="144"/>
      <c r="AP2605" s="148">
        <v>15</v>
      </c>
      <c r="AQ2605" s="144"/>
      <c r="AR2605" s="120"/>
      <c r="AS2605" s="121"/>
      <c r="AT2605" s="120"/>
      <c r="AU2605" s="121"/>
      <c r="AV2605" s="120"/>
      <c r="AW2605" s="121"/>
      <c r="AX2605" s="120"/>
      <c r="AY2605" s="121"/>
      <c r="AZ2605" s="138"/>
    </row>
    <row r="2606" spans="1:52" ht="17.100000000000001" customHeight="1" thickTop="1">
      <c r="A2606" s="109" t="s">
        <v>8606</v>
      </c>
      <c r="B2606" s="28">
        <v>45947</v>
      </c>
      <c r="C2606" s="25">
        <v>1390</v>
      </c>
      <c r="D2606" s="13" t="s">
        <v>1825</v>
      </c>
      <c r="E2606" s="111"/>
      <c r="F2606" s="113" t="s">
        <v>8656</v>
      </c>
      <c r="G2606" s="114"/>
      <c r="H2606" s="115"/>
      <c r="I2606" s="24"/>
      <c r="J2606" s="116">
        <v>4</v>
      </c>
      <c r="K2606" s="118">
        <v>802000</v>
      </c>
      <c r="L2606" s="119"/>
      <c r="M2606" s="118">
        <f t="shared" ref="M2606" si="1221">K2606*0.1</f>
        <v>80200</v>
      </c>
      <c r="N2606" s="119"/>
      <c r="O2606" s="118">
        <v>0</v>
      </c>
      <c r="P2606" s="119"/>
      <c r="Q2606" s="118">
        <v>7060</v>
      </c>
      <c r="R2606" s="119"/>
      <c r="S2606" s="118">
        <v>13200</v>
      </c>
      <c r="T2606" s="119"/>
      <c r="U2606" s="118">
        <f t="shared" ref="U2606" si="1222">SUM(K2606:T2607)</f>
        <v>902460</v>
      </c>
      <c r="V2606" s="122"/>
      <c r="W2606" s="124"/>
      <c r="X2606" s="126" t="s">
        <v>9549</v>
      </c>
      <c r="Y2606" s="127"/>
      <c r="Z2606" s="127"/>
      <c r="AA2606" s="127"/>
      <c r="AB2606" s="128"/>
      <c r="AC2606" s="15" t="s">
        <v>20</v>
      </c>
      <c r="AD2606" s="129"/>
      <c r="AE2606" s="130"/>
      <c r="AF2606" s="130"/>
      <c r="AG2606" s="130"/>
      <c r="AH2606" s="130"/>
      <c r="AI2606" s="131"/>
      <c r="AJ2606" s="132"/>
      <c r="AK2606" s="127"/>
      <c r="AL2606" s="128"/>
      <c r="AM2606" s="21"/>
      <c r="AN2606" s="133">
        <v>46057</v>
      </c>
      <c r="AO2606" s="134"/>
      <c r="AP2606" s="135">
        <v>1003</v>
      </c>
      <c r="AQ2606" s="136"/>
      <c r="AR2606" s="118">
        <v>705000</v>
      </c>
      <c r="AS2606" s="119"/>
      <c r="AT2606" s="118">
        <f t="shared" ref="AT2606" si="1223">AR2606*0.1</f>
        <v>70500</v>
      </c>
      <c r="AU2606" s="119"/>
      <c r="AV2606" s="118">
        <v>7060</v>
      </c>
      <c r="AW2606" s="119"/>
      <c r="AX2606" s="118">
        <f t="shared" ref="AX2606" si="1224">SUM(AR2606:AW2606)</f>
        <v>782560</v>
      </c>
      <c r="AY2606" s="119"/>
      <c r="AZ2606" s="137">
        <v>46062</v>
      </c>
    </row>
    <row r="2607" spans="1:52" ht="17.100000000000001" customHeight="1" thickBot="1">
      <c r="A2607" s="110"/>
      <c r="B2607" s="27" t="s">
        <v>2641</v>
      </c>
      <c r="C2607" s="27">
        <v>7020</v>
      </c>
      <c r="D2607" s="14" t="s">
        <v>904</v>
      </c>
      <c r="E2607" s="112"/>
      <c r="F2607" s="139" t="s">
        <v>8629</v>
      </c>
      <c r="G2607" s="140"/>
      <c r="H2607" s="141"/>
      <c r="I2607" s="26">
        <v>36156</v>
      </c>
      <c r="J2607" s="117"/>
      <c r="K2607" s="120"/>
      <c r="L2607" s="121"/>
      <c r="M2607" s="120"/>
      <c r="N2607" s="121"/>
      <c r="O2607" s="120"/>
      <c r="P2607" s="121"/>
      <c r="Q2607" s="120"/>
      <c r="R2607" s="121"/>
      <c r="S2607" s="120"/>
      <c r="T2607" s="121"/>
      <c r="U2607" s="120"/>
      <c r="V2607" s="123"/>
      <c r="W2607" s="125"/>
      <c r="X2607" s="142" t="s">
        <v>4690</v>
      </c>
      <c r="Y2607" s="143"/>
      <c r="Z2607" s="143"/>
      <c r="AA2607" s="143"/>
      <c r="AB2607" s="144"/>
      <c r="AC2607" s="16" t="s">
        <v>21</v>
      </c>
      <c r="AD2607" s="17" t="s">
        <v>1674</v>
      </c>
      <c r="AE2607" s="145" t="s">
        <v>9495</v>
      </c>
      <c r="AF2607" s="146"/>
      <c r="AG2607" s="146"/>
      <c r="AH2607" s="146"/>
      <c r="AI2607" s="147"/>
      <c r="AJ2607" s="148" t="s">
        <v>8820</v>
      </c>
      <c r="AK2607" s="143"/>
      <c r="AL2607" s="144"/>
      <c r="AM2607" s="22"/>
      <c r="AN2607" s="149" t="s">
        <v>2794</v>
      </c>
      <c r="AO2607" s="144"/>
      <c r="AP2607" s="148">
        <v>2037</v>
      </c>
      <c r="AQ2607" s="144"/>
      <c r="AR2607" s="120"/>
      <c r="AS2607" s="121"/>
      <c r="AT2607" s="120"/>
      <c r="AU2607" s="121"/>
      <c r="AV2607" s="120"/>
      <c r="AW2607" s="121"/>
      <c r="AX2607" s="120"/>
      <c r="AY2607" s="121"/>
      <c r="AZ2607" s="138"/>
    </row>
    <row r="2608" spans="1:52" ht="17.100000000000001" customHeight="1" thickTop="1">
      <c r="A2608" s="109" t="s">
        <v>8607</v>
      </c>
      <c r="B2608" s="28">
        <v>45947</v>
      </c>
      <c r="C2608" s="25">
        <v>1390</v>
      </c>
      <c r="D2608" s="13" t="s">
        <v>5332</v>
      </c>
      <c r="E2608" s="111"/>
      <c r="F2608" s="113" t="s">
        <v>8630</v>
      </c>
      <c r="G2608" s="114"/>
      <c r="H2608" s="115"/>
      <c r="I2608" s="24" t="s">
        <v>4521</v>
      </c>
      <c r="J2608" s="116">
        <v>3.5</v>
      </c>
      <c r="K2608" s="118">
        <v>153000</v>
      </c>
      <c r="L2608" s="119"/>
      <c r="M2608" s="118">
        <f t="shared" ref="M2608" si="1225">K2608*0.1</f>
        <v>15300</v>
      </c>
      <c r="N2608" s="119"/>
      <c r="O2608" s="118">
        <v>0</v>
      </c>
      <c r="P2608" s="119"/>
      <c r="Q2608" s="118">
        <v>9790</v>
      </c>
      <c r="R2608" s="119"/>
      <c r="S2608" s="118">
        <v>13200</v>
      </c>
      <c r="T2608" s="119"/>
      <c r="U2608" s="118">
        <f t="shared" ref="U2608" si="1226">SUM(K2608:T2609)</f>
        <v>191290</v>
      </c>
      <c r="V2608" s="122"/>
      <c r="W2608" s="124"/>
      <c r="X2608" s="126" t="s">
        <v>9229</v>
      </c>
      <c r="Y2608" s="127"/>
      <c r="Z2608" s="127"/>
      <c r="AA2608" s="127"/>
      <c r="AB2608" s="128"/>
      <c r="AC2608" s="15" t="s">
        <v>20</v>
      </c>
      <c r="AD2608" s="129" t="s">
        <v>171</v>
      </c>
      <c r="AE2608" s="130"/>
      <c r="AF2608" s="130"/>
      <c r="AG2608" s="130"/>
      <c r="AH2608" s="130"/>
      <c r="AI2608" s="131"/>
      <c r="AJ2608" s="132"/>
      <c r="AK2608" s="127"/>
      <c r="AL2608" s="128"/>
      <c r="AM2608" s="21" t="s">
        <v>11016</v>
      </c>
      <c r="AN2608" s="133">
        <v>45990</v>
      </c>
      <c r="AO2608" s="134"/>
      <c r="AP2608" s="135">
        <v>1278</v>
      </c>
      <c r="AQ2608" s="136"/>
      <c r="AR2608" s="118">
        <v>220000</v>
      </c>
      <c r="AS2608" s="119"/>
      <c r="AT2608" s="118">
        <f t="shared" ref="AT2608" si="1227">AR2608*0.1</f>
        <v>22000</v>
      </c>
      <c r="AU2608" s="119"/>
      <c r="AV2608" s="118">
        <v>9790</v>
      </c>
      <c r="AW2608" s="119"/>
      <c r="AX2608" s="118">
        <f t="shared" ref="AX2608" si="1228">SUM(AR2608:AW2608)</f>
        <v>251790</v>
      </c>
      <c r="AY2608" s="119"/>
      <c r="AZ2608" s="137">
        <v>46000</v>
      </c>
    </row>
    <row r="2609" spans="1:52" ht="17.100000000000001" customHeight="1" thickBot="1">
      <c r="A2609" s="110"/>
      <c r="B2609" s="27" t="s">
        <v>2641</v>
      </c>
      <c r="C2609" s="27">
        <v>8383</v>
      </c>
      <c r="D2609" s="14" t="s">
        <v>275</v>
      </c>
      <c r="E2609" s="112"/>
      <c r="F2609" s="139" t="s">
        <v>8631</v>
      </c>
      <c r="G2609" s="140"/>
      <c r="H2609" s="141"/>
      <c r="I2609" s="26">
        <v>79701</v>
      </c>
      <c r="J2609" s="117"/>
      <c r="K2609" s="120"/>
      <c r="L2609" s="121"/>
      <c r="M2609" s="120"/>
      <c r="N2609" s="121"/>
      <c r="O2609" s="120"/>
      <c r="P2609" s="121"/>
      <c r="Q2609" s="120"/>
      <c r="R2609" s="121"/>
      <c r="S2609" s="120"/>
      <c r="T2609" s="121"/>
      <c r="U2609" s="120"/>
      <c r="V2609" s="123"/>
      <c r="W2609" s="125"/>
      <c r="X2609" s="142" t="s">
        <v>9230</v>
      </c>
      <c r="Y2609" s="143"/>
      <c r="Z2609" s="143"/>
      <c r="AA2609" s="143"/>
      <c r="AB2609" s="144"/>
      <c r="AC2609" s="16" t="s">
        <v>21</v>
      </c>
      <c r="AD2609" s="17" t="s">
        <v>9131</v>
      </c>
      <c r="AE2609" s="145" t="s">
        <v>171</v>
      </c>
      <c r="AF2609" s="146"/>
      <c r="AG2609" s="146"/>
      <c r="AH2609" s="146"/>
      <c r="AI2609" s="147"/>
      <c r="AJ2609" s="148"/>
      <c r="AK2609" s="143"/>
      <c r="AL2609" s="144"/>
      <c r="AM2609" s="22"/>
      <c r="AN2609" s="149" t="s">
        <v>6748</v>
      </c>
      <c r="AO2609" s="144"/>
      <c r="AP2609" s="148">
        <v>63197</v>
      </c>
      <c r="AQ2609" s="144"/>
      <c r="AR2609" s="120"/>
      <c r="AS2609" s="121"/>
      <c r="AT2609" s="120"/>
      <c r="AU2609" s="121"/>
      <c r="AV2609" s="120"/>
      <c r="AW2609" s="121"/>
      <c r="AX2609" s="120"/>
      <c r="AY2609" s="121"/>
      <c r="AZ2609" s="138"/>
    </row>
    <row r="2610" spans="1:52" ht="17.100000000000001" customHeight="1" thickTop="1">
      <c r="A2610" s="109" t="s">
        <v>8608</v>
      </c>
      <c r="B2610" s="28">
        <v>45947</v>
      </c>
      <c r="C2610" s="25">
        <v>1390</v>
      </c>
      <c r="D2610" s="13" t="s">
        <v>1845</v>
      </c>
      <c r="E2610" s="111"/>
      <c r="F2610" s="113" t="s">
        <v>8657</v>
      </c>
      <c r="G2610" s="114"/>
      <c r="H2610" s="115"/>
      <c r="I2610" s="24" t="s">
        <v>8658</v>
      </c>
      <c r="J2610" s="116">
        <v>4.5</v>
      </c>
      <c r="K2610" s="118">
        <v>699000</v>
      </c>
      <c r="L2610" s="119"/>
      <c r="M2610" s="118">
        <f t="shared" ref="M2610" si="1229">K2610*0.1</f>
        <v>69900</v>
      </c>
      <c r="N2610" s="119"/>
      <c r="O2610" s="118">
        <v>0</v>
      </c>
      <c r="P2610" s="119"/>
      <c r="Q2610" s="118">
        <v>5870</v>
      </c>
      <c r="R2610" s="119"/>
      <c r="S2610" s="118">
        <v>13200</v>
      </c>
      <c r="T2610" s="119"/>
      <c r="U2610" s="118">
        <f t="shared" ref="U2610" si="1230">SUM(K2610:T2611)</f>
        <v>787970</v>
      </c>
      <c r="V2610" s="122"/>
      <c r="W2610" s="124"/>
      <c r="X2610" s="126" t="s">
        <v>9051</v>
      </c>
      <c r="Y2610" s="127"/>
      <c r="Z2610" s="127"/>
      <c r="AA2610" s="127"/>
      <c r="AB2610" s="128"/>
      <c r="AC2610" s="15" t="s">
        <v>20</v>
      </c>
      <c r="AD2610" s="129" t="s">
        <v>1945</v>
      </c>
      <c r="AE2610" s="130"/>
      <c r="AF2610" s="130"/>
      <c r="AG2610" s="130"/>
      <c r="AH2610" s="130"/>
      <c r="AI2610" s="131"/>
      <c r="AJ2610" s="132"/>
      <c r="AK2610" s="127"/>
      <c r="AL2610" s="128"/>
      <c r="AM2610" s="21" t="s">
        <v>10037</v>
      </c>
      <c r="AN2610" s="133">
        <v>45962</v>
      </c>
      <c r="AO2610" s="134"/>
      <c r="AP2610" s="135">
        <v>1274</v>
      </c>
      <c r="AQ2610" s="136"/>
      <c r="AR2610" s="118">
        <v>740000</v>
      </c>
      <c r="AS2610" s="119"/>
      <c r="AT2610" s="118">
        <f t="shared" ref="AT2610" si="1231">AR2610*0.1</f>
        <v>74000</v>
      </c>
      <c r="AU2610" s="119"/>
      <c r="AV2610" s="118">
        <v>5870</v>
      </c>
      <c r="AW2610" s="119"/>
      <c r="AX2610" s="118">
        <f t="shared" ref="AX2610" si="1232">SUM(AR2610:AW2610)</f>
        <v>819870</v>
      </c>
      <c r="AY2610" s="119"/>
      <c r="AZ2610" s="137">
        <v>45971</v>
      </c>
    </row>
    <row r="2611" spans="1:52" ht="17.100000000000001" customHeight="1" thickBot="1">
      <c r="A2611" s="110"/>
      <c r="B2611" s="27" t="s">
        <v>2641</v>
      </c>
      <c r="C2611" s="27">
        <v>8411</v>
      </c>
      <c r="D2611" s="14" t="s">
        <v>1556</v>
      </c>
      <c r="E2611" s="112"/>
      <c r="F2611" s="139" t="s">
        <v>8632</v>
      </c>
      <c r="G2611" s="140"/>
      <c r="H2611" s="141"/>
      <c r="I2611" s="26">
        <v>66733</v>
      </c>
      <c r="J2611" s="117"/>
      <c r="K2611" s="120"/>
      <c r="L2611" s="121"/>
      <c r="M2611" s="120"/>
      <c r="N2611" s="121"/>
      <c r="O2611" s="120"/>
      <c r="P2611" s="121"/>
      <c r="Q2611" s="120"/>
      <c r="R2611" s="121"/>
      <c r="S2611" s="120"/>
      <c r="T2611" s="121"/>
      <c r="U2611" s="120"/>
      <c r="V2611" s="123"/>
      <c r="W2611" s="125"/>
      <c r="X2611" s="142" t="s">
        <v>9052</v>
      </c>
      <c r="Y2611" s="143"/>
      <c r="Z2611" s="143"/>
      <c r="AA2611" s="143"/>
      <c r="AB2611" s="144"/>
      <c r="AC2611" s="16" t="s">
        <v>21</v>
      </c>
      <c r="AD2611" s="17" t="s">
        <v>8956</v>
      </c>
      <c r="AE2611" s="145" t="s">
        <v>171</v>
      </c>
      <c r="AF2611" s="146"/>
      <c r="AG2611" s="146"/>
      <c r="AH2611" s="146"/>
      <c r="AI2611" s="147"/>
      <c r="AJ2611" s="148"/>
      <c r="AK2611" s="143"/>
      <c r="AL2611" s="144"/>
      <c r="AM2611" s="22"/>
      <c r="AN2611" s="149" t="s">
        <v>2511</v>
      </c>
      <c r="AO2611" s="144"/>
      <c r="AP2611" s="148">
        <v>60267</v>
      </c>
      <c r="AQ2611" s="144"/>
      <c r="AR2611" s="120"/>
      <c r="AS2611" s="121"/>
      <c r="AT2611" s="120"/>
      <c r="AU2611" s="121"/>
      <c r="AV2611" s="120"/>
      <c r="AW2611" s="121"/>
      <c r="AX2611" s="120"/>
      <c r="AY2611" s="121"/>
      <c r="AZ2611" s="138"/>
    </row>
    <row r="2612" spans="1:52" ht="17.100000000000001" customHeight="1" thickTop="1">
      <c r="A2612" s="151" t="s">
        <v>8659</v>
      </c>
      <c r="B2612" s="28">
        <v>45947</v>
      </c>
      <c r="C2612" s="25"/>
      <c r="D2612" s="13" t="s">
        <v>1906</v>
      </c>
      <c r="E2612" s="111"/>
      <c r="F2612" s="113" t="s">
        <v>4266</v>
      </c>
      <c r="G2612" s="114"/>
      <c r="H2612" s="115"/>
      <c r="I2612" s="24" t="s">
        <v>3585</v>
      </c>
      <c r="J2612" s="116">
        <v>4</v>
      </c>
      <c r="K2612" s="118">
        <f>2434300/1.1</f>
        <v>2213000</v>
      </c>
      <c r="L2612" s="119"/>
      <c r="M2612" s="118">
        <f t="shared" ref="M2612" si="1233">K2612*0.1</f>
        <v>221300</v>
      </c>
      <c r="N2612" s="119"/>
      <c r="O2612" s="118">
        <v>10100</v>
      </c>
      <c r="P2612" s="119"/>
      <c r="Q2612" s="118">
        <v>11740</v>
      </c>
      <c r="R2612" s="119"/>
      <c r="S2612" s="118">
        <v>0</v>
      </c>
      <c r="T2612" s="119"/>
      <c r="U2612" s="118">
        <f t="shared" ref="U2612" si="1234">SUM(K2612:T2613)</f>
        <v>2456140</v>
      </c>
      <c r="V2612" s="122"/>
      <c r="W2612" s="124"/>
      <c r="X2612" s="126" t="s">
        <v>11469</v>
      </c>
      <c r="Y2612" s="127"/>
      <c r="Z2612" s="127"/>
      <c r="AA2612" s="127"/>
      <c r="AB2612" s="128"/>
      <c r="AC2612" s="15" t="s">
        <v>20</v>
      </c>
      <c r="AD2612" s="129" t="s">
        <v>8668</v>
      </c>
      <c r="AE2612" s="130"/>
      <c r="AF2612" s="130"/>
      <c r="AG2612" s="130"/>
      <c r="AH2612" s="130"/>
      <c r="AI2612" s="131"/>
      <c r="AJ2612" s="132" t="s">
        <v>12252</v>
      </c>
      <c r="AK2612" s="127"/>
      <c r="AL2612" s="128"/>
      <c r="AM2612" s="21"/>
      <c r="AN2612" s="133"/>
      <c r="AO2612" s="134"/>
      <c r="AP2612" s="135"/>
      <c r="AQ2612" s="136"/>
      <c r="AR2612" s="118"/>
      <c r="AS2612" s="119"/>
      <c r="AT2612" s="118">
        <f t="shared" ref="AT2612" si="1235">AR2612*0.1</f>
        <v>0</v>
      </c>
      <c r="AU2612" s="119"/>
      <c r="AV2612" s="118"/>
      <c r="AW2612" s="119"/>
      <c r="AX2612" s="118">
        <f t="shared" ref="AX2612" si="1236">SUM(AR2612:AW2612)</f>
        <v>0</v>
      </c>
      <c r="AY2612" s="119"/>
      <c r="AZ2612" s="137"/>
    </row>
    <row r="2613" spans="1:52" ht="17.100000000000001" customHeight="1" thickBot="1">
      <c r="A2613" s="152"/>
      <c r="B2613" s="27" t="s">
        <v>1718</v>
      </c>
      <c r="C2613" s="27" t="s">
        <v>8666</v>
      </c>
      <c r="D2613" s="14" t="s">
        <v>275</v>
      </c>
      <c r="E2613" s="112"/>
      <c r="F2613" s="139" t="s">
        <v>8667</v>
      </c>
      <c r="G2613" s="140"/>
      <c r="H2613" s="141"/>
      <c r="I2613" s="26">
        <v>19409</v>
      </c>
      <c r="J2613" s="117"/>
      <c r="K2613" s="120"/>
      <c r="L2613" s="121"/>
      <c r="M2613" s="120"/>
      <c r="N2613" s="121"/>
      <c r="O2613" s="120"/>
      <c r="P2613" s="121"/>
      <c r="Q2613" s="120"/>
      <c r="R2613" s="121"/>
      <c r="S2613" s="120"/>
      <c r="T2613" s="121"/>
      <c r="U2613" s="120"/>
      <c r="V2613" s="123"/>
      <c r="W2613" s="125"/>
      <c r="X2613" s="142" t="s">
        <v>11470</v>
      </c>
      <c r="Y2613" s="143"/>
      <c r="Z2613" s="143"/>
      <c r="AA2613" s="143"/>
      <c r="AB2613" s="144"/>
      <c r="AC2613" s="16" t="s">
        <v>21</v>
      </c>
      <c r="AD2613" s="17" t="s">
        <v>2218</v>
      </c>
      <c r="AE2613" s="145" t="s">
        <v>1614</v>
      </c>
      <c r="AF2613" s="146"/>
      <c r="AG2613" s="146"/>
      <c r="AH2613" s="146"/>
      <c r="AI2613" s="147"/>
      <c r="AJ2613" s="148"/>
      <c r="AK2613" s="143"/>
      <c r="AL2613" s="144"/>
      <c r="AM2613" s="22"/>
      <c r="AN2613" s="149"/>
      <c r="AO2613" s="144"/>
      <c r="AP2613" s="148"/>
      <c r="AQ2613" s="144"/>
      <c r="AR2613" s="120"/>
      <c r="AS2613" s="121"/>
      <c r="AT2613" s="120"/>
      <c r="AU2613" s="121"/>
      <c r="AV2613" s="120"/>
      <c r="AW2613" s="121"/>
      <c r="AX2613" s="120"/>
      <c r="AY2613" s="121"/>
      <c r="AZ2613" s="138"/>
    </row>
    <row r="2614" spans="1:52" ht="17.100000000000001" customHeight="1" thickTop="1">
      <c r="A2614" s="109" t="s">
        <v>8660</v>
      </c>
      <c r="B2614" s="28">
        <v>45947</v>
      </c>
      <c r="C2614" s="25"/>
      <c r="D2614" s="13" t="s">
        <v>2530</v>
      </c>
      <c r="E2614" s="111"/>
      <c r="F2614" s="113" t="s">
        <v>8263</v>
      </c>
      <c r="G2614" s="114"/>
      <c r="H2614" s="115"/>
      <c r="I2614" s="24" t="s">
        <v>8671</v>
      </c>
      <c r="J2614" s="116">
        <v>5</v>
      </c>
      <c r="K2614" s="118">
        <f>4842200/1.1</f>
        <v>4402000</v>
      </c>
      <c r="L2614" s="119"/>
      <c r="M2614" s="118">
        <f t="shared" ref="M2614" si="1237">K2614*0.1</f>
        <v>440200</v>
      </c>
      <c r="N2614" s="119"/>
      <c r="O2614" s="118">
        <v>0</v>
      </c>
      <c r="P2614" s="119"/>
      <c r="Q2614" s="118">
        <v>11570</v>
      </c>
      <c r="R2614" s="119"/>
      <c r="S2614" s="118">
        <v>0</v>
      </c>
      <c r="T2614" s="119"/>
      <c r="U2614" s="118">
        <f t="shared" ref="U2614" si="1238">SUM(K2614:T2615)</f>
        <v>4853770</v>
      </c>
      <c r="V2614" s="122"/>
      <c r="W2614" s="124"/>
      <c r="X2614" s="126" t="s">
        <v>11096</v>
      </c>
      <c r="Y2614" s="127"/>
      <c r="Z2614" s="127"/>
      <c r="AA2614" s="127"/>
      <c r="AB2614" s="128"/>
      <c r="AC2614" s="15" t="s">
        <v>20</v>
      </c>
      <c r="AD2614" s="129" t="s">
        <v>1945</v>
      </c>
      <c r="AE2614" s="130"/>
      <c r="AF2614" s="130"/>
      <c r="AG2614" s="130"/>
      <c r="AH2614" s="130"/>
      <c r="AI2614" s="131"/>
      <c r="AJ2614" s="132"/>
      <c r="AK2614" s="127"/>
      <c r="AL2614" s="128"/>
      <c r="AM2614" s="21"/>
      <c r="AN2614" s="133">
        <v>46001</v>
      </c>
      <c r="AO2614" s="134"/>
      <c r="AP2614" s="135">
        <v>996</v>
      </c>
      <c r="AQ2614" s="136"/>
      <c r="AR2614" s="118">
        <v>4465000</v>
      </c>
      <c r="AS2614" s="119"/>
      <c r="AT2614" s="118">
        <f t="shared" ref="AT2614" si="1239">AR2614*0.1</f>
        <v>446500</v>
      </c>
      <c r="AU2614" s="119"/>
      <c r="AV2614" s="118">
        <v>11570</v>
      </c>
      <c r="AW2614" s="119"/>
      <c r="AX2614" s="118">
        <f t="shared" ref="AX2614" si="1240">SUM(AR2614:AW2614)</f>
        <v>4923070</v>
      </c>
      <c r="AY2614" s="119"/>
      <c r="AZ2614" s="137">
        <v>46006</v>
      </c>
    </row>
    <row r="2615" spans="1:52" ht="17.100000000000001" customHeight="1" thickBot="1">
      <c r="A2615" s="110"/>
      <c r="B2615" s="27" t="s">
        <v>1718</v>
      </c>
      <c r="C2615" s="27" t="s">
        <v>8669</v>
      </c>
      <c r="D2615" s="14" t="s">
        <v>1592</v>
      </c>
      <c r="E2615" s="112"/>
      <c r="F2615" s="139" t="s">
        <v>8670</v>
      </c>
      <c r="G2615" s="140"/>
      <c r="H2615" s="141"/>
      <c r="I2615" s="26">
        <v>9935</v>
      </c>
      <c r="J2615" s="117"/>
      <c r="K2615" s="120"/>
      <c r="L2615" s="121"/>
      <c r="M2615" s="120"/>
      <c r="N2615" s="121"/>
      <c r="O2615" s="120"/>
      <c r="P2615" s="121"/>
      <c r="Q2615" s="120"/>
      <c r="R2615" s="121"/>
      <c r="S2615" s="120"/>
      <c r="T2615" s="121"/>
      <c r="U2615" s="120"/>
      <c r="V2615" s="123"/>
      <c r="W2615" s="125"/>
      <c r="X2615" s="142" t="s">
        <v>11097</v>
      </c>
      <c r="Y2615" s="143"/>
      <c r="Z2615" s="143"/>
      <c r="AA2615" s="143"/>
      <c r="AB2615" s="144"/>
      <c r="AC2615" s="16" t="s">
        <v>21</v>
      </c>
      <c r="AD2615" s="17" t="s">
        <v>11075</v>
      </c>
      <c r="AE2615" s="145" t="s">
        <v>1614</v>
      </c>
      <c r="AF2615" s="146"/>
      <c r="AG2615" s="146"/>
      <c r="AH2615" s="146"/>
      <c r="AI2615" s="147"/>
      <c r="AJ2615" s="148"/>
      <c r="AK2615" s="143"/>
      <c r="AL2615" s="144"/>
      <c r="AM2615" s="22"/>
      <c r="AN2615" s="149" t="s">
        <v>2794</v>
      </c>
      <c r="AO2615" s="144"/>
      <c r="AP2615" s="148">
        <v>5066</v>
      </c>
      <c r="AQ2615" s="144"/>
      <c r="AR2615" s="120"/>
      <c r="AS2615" s="121"/>
      <c r="AT2615" s="120"/>
      <c r="AU2615" s="121"/>
      <c r="AV2615" s="120"/>
      <c r="AW2615" s="121"/>
      <c r="AX2615" s="120"/>
      <c r="AY2615" s="121"/>
      <c r="AZ2615" s="138"/>
    </row>
    <row r="2616" spans="1:52" ht="17.100000000000001" customHeight="1" thickTop="1">
      <c r="A2616" s="109" t="s">
        <v>8661</v>
      </c>
      <c r="B2616" s="28">
        <v>45947</v>
      </c>
      <c r="C2616" s="25"/>
      <c r="D2616" s="13" t="s">
        <v>2949</v>
      </c>
      <c r="E2616" s="111"/>
      <c r="F2616" s="113" t="s">
        <v>4288</v>
      </c>
      <c r="G2616" s="114"/>
      <c r="H2616" s="115"/>
      <c r="I2616" s="24" t="s">
        <v>3668</v>
      </c>
      <c r="J2616" s="116">
        <v>4.5</v>
      </c>
      <c r="K2616" s="118">
        <f>1232000/1.1</f>
        <v>1120000</v>
      </c>
      <c r="L2616" s="119"/>
      <c r="M2616" s="118">
        <f t="shared" ref="M2616" si="1241">K2616*0.1</f>
        <v>112000</v>
      </c>
      <c r="N2616" s="119"/>
      <c r="O2616" s="118">
        <v>0</v>
      </c>
      <c r="P2616" s="119"/>
      <c r="Q2616" s="118">
        <v>7150</v>
      </c>
      <c r="R2616" s="119"/>
      <c r="S2616" s="118">
        <v>0</v>
      </c>
      <c r="T2616" s="119"/>
      <c r="U2616" s="118">
        <f t="shared" ref="U2616" si="1242">SUM(K2616:T2617)</f>
        <v>1239150</v>
      </c>
      <c r="V2616" s="122"/>
      <c r="W2616" s="124"/>
      <c r="X2616" s="126" t="s">
        <v>9782</v>
      </c>
      <c r="Y2616" s="127"/>
      <c r="Z2616" s="127"/>
      <c r="AA2616" s="127"/>
      <c r="AB2616" s="128"/>
      <c r="AC2616" s="15" t="s">
        <v>20</v>
      </c>
      <c r="AD2616" s="129" t="s">
        <v>1732</v>
      </c>
      <c r="AE2616" s="130"/>
      <c r="AF2616" s="130"/>
      <c r="AG2616" s="130"/>
      <c r="AH2616" s="130"/>
      <c r="AI2616" s="131"/>
      <c r="AJ2616" s="132"/>
      <c r="AK2616" s="127"/>
      <c r="AL2616" s="128"/>
      <c r="AM2616" s="21"/>
      <c r="AN2616" s="133">
        <v>45972</v>
      </c>
      <c r="AO2616" s="134"/>
      <c r="AP2616" s="135">
        <v>1917</v>
      </c>
      <c r="AQ2616" s="136"/>
      <c r="AR2616" s="118">
        <v>1171000</v>
      </c>
      <c r="AS2616" s="119"/>
      <c r="AT2616" s="118">
        <f t="shared" ref="AT2616" si="1243">AR2616*0.1</f>
        <v>117100</v>
      </c>
      <c r="AU2616" s="119"/>
      <c r="AV2616" s="118">
        <v>7150</v>
      </c>
      <c r="AW2616" s="119"/>
      <c r="AX2616" s="118">
        <f t="shared" ref="AX2616" si="1244">SUM(AR2616:AW2616)</f>
        <v>1295250</v>
      </c>
      <c r="AY2616" s="119"/>
      <c r="AZ2616" s="137"/>
    </row>
    <row r="2617" spans="1:52" ht="17.100000000000001" customHeight="1" thickBot="1">
      <c r="A2617" s="110"/>
      <c r="B2617" s="27" t="s">
        <v>1718</v>
      </c>
      <c r="C2617" s="27" t="s">
        <v>8672</v>
      </c>
      <c r="D2617" s="14" t="s">
        <v>275</v>
      </c>
      <c r="E2617" s="112"/>
      <c r="F2617" s="139" t="s">
        <v>8673</v>
      </c>
      <c r="G2617" s="140"/>
      <c r="H2617" s="141"/>
      <c r="I2617" s="26">
        <v>49251</v>
      </c>
      <c r="J2617" s="117"/>
      <c r="K2617" s="120"/>
      <c r="L2617" s="121"/>
      <c r="M2617" s="120"/>
      <c r="N2617" s="121"/>
      <c r="O2617" s="120"/>
      <c r="P2617" s="121"/>
      <c r="Q2617" s="120"/>
      <c r="R2617" s="121"/>
      <c r="S2617" s="120"/>
      <c r="T2617" s="121"/>
      <c r="U2617" s="120"/>
      <c r="V2617" s="123"/>
      <c r="W2617" s="125"/>
      <c r="X2617" s="142" t="s">
        <v>9783</v>
      </c>
      <c r="Y2617" s="143"/>
      <c r="Z2617" s="143"/>
      <c r="AA2617" s="143"/>
      <c r="AB2617" s="144"/>
      <c r="AC2617" s="16" t="s">
        <v>21</v>
      </c>
      <c r="AD2617" s="17" t="s">
        <v>3335</v>
      </c>
      <c r="AE2617" s="145" t="s">
        <v>1614</v>
      </c>
      <c r="AF2617" s="146"/>
      <c r="AG2617" s="146"/>
      <c r="AH2617" s="146"/>
      <c r="AI2617" s="147"/>
      <c r="AJ2617" s="148"/>
      <c r="AK2617" s="143"/>
      <c r="AL2617" s="144"/>
      <c r="AM2617" s="22"/>
      <c r="AN2617" s="149" t="s">
        <v>2131</v>
      </c>
      <c r="AO2617" s="144"/>
      <c r="AP2617" s="148">
        <v>3245</v>
      </c>
      <c r="AQ2617" s="144"/>
      <c r="AR2617" s="120"/>
      <c r="AS2617" s="121"/>
      <c r="AT2617" s="120"/>
      <c r="AU2617" s="121"/>
      <c r="AV2617" s="120"/>
      <c r="AW2617" s="121"/>
      <c r="AX2617" s="120"/>
      <c r="AY2617" s="121"/>
      <c r="AZ2617" s="138"/>
    </row>
    <row r="2618" spans="1:52" ht="17.100000000000001" customHeight="1" thickTop="1">
      <c r="A2618" s="109" t="s">
        <v>8662</v>
      </c>
      <c r="B2618" s="28">
        <v>45947</v>
      </c>
      <c r="C2618" s="25"/>
      <c r="D2618" s="13" t="s">
        <v>1059</v>
      </c>
      <c r="E2618" s="111"/>
      <c r="F2618" s="113" t="s">
        <v>4363</v>
      </c>
      <c r="G2618" s="114"/>
      <c r="H2618" s="115"/>
      <c r="I2618" s="24" t="s">
        <v>8676</v>
      </c>
      <c r="J2618" s="116">
        <v>4.5</v>
      </c>
      <c r="K2618" s="118">
        <f>3198800/1.1</f>
        <v>2907999.9999999995</v>
      </c>
      <c r="L2618" s="119"/>
      <c r="M2618" s="118">
        <f t="shared" ref="M2618" si="1245">K2618*0.1</f>
        <v>290799.99999999994</v>
      </c>
      <c r="N2618" s="119"/>
      <c r="O2618" s="118">
        <v>3300</v>
      </c>
      <c r="P2618" s="119"/>
      <c r="Q2618" s="118">
        <v>9550</v>
      </c>
      <c r="R2618" s="119"/>
      <c r="S2618" s="118">
        <v>0</v>
      </c>
      <c r="T2618" s="119"/>
      <c r="U2618" s="118">
        <f t="shared" ref="U2618" si="1246">SUM(K2618:T2619)</f>
        <v>3211649.9999999995</v>
      </c>
      <c r="V2618" s="122"/>
      <c r="W2618" s="124"/>
      <c r="X2618" s="126" t="s">
        <v>10679</v>
      </c>
      <c r="Y2618" s="127"/>
      <c r="Z2618" s="127"/>
      <c r="AA2618" s="127"/>
      <c r="AB2618" s="128"/>
      <c r="AC2618" s="15" t="s">
        <v>20</v>
      </c>
      <c r="AD2618" s="129" t="s">
        <v>1945</v>
      </c>
      <c r="AE2618" s="130"/>
      <c r="AF2618" s="130"/>
      <c r="AG2618" s="130"/>
      <c r="AH2618" s="130"/>
      <c r="AI2618" s="131"/>
      <c r="AJ2618" s="132"/>
      <c r="AK2618" s="127"/>
      <c r="AL2618" s="128"/>
      <c r="AM2618" s="21"/>
      <c r="AN2618" s="133">
        <v>45976</v>
      </c>
      <c r="AO2618" s="134"/>
      <c r="AP2618" s="135">
        <v>1276</v>
      </c>
      <c r="AQ2618" s="136"/>
      <c r="AR2618" s="118">
        <v>2875000</v>
      </c>
      <c r="AS2618" s="119"/>
      <c r="AT2618" s="118">
        <f t="shared" ref="AT2618" si="1247">AR2618*0.1</f>
        <v>287500</v>
      </c>
      <c r="AU2618" s="119"/>
      <c r="AV2618" s="118">
        <v>9550</v>
      </c>
      <c r="AW2618" s="119"/>
      <c r="AX2618" s="118">
        <f t="shared" ref="AX2618" si="1248">SUM(AR2618:AW2618)</f>
        <v>3172050</v>
      </c>
      <c r="AY2618" s="119"/>
      <c r="AZ2618" s="137">
        <v>45979</v>
      </c>
    </row>
    <row r="2619" spans="1:52" ht="17.100000000000001" customHeight="1" thickBot="1">
      <c r="A2619" s="110"/>
      <c r="B2619" s="27" t="s">
        <v>1718</v>
      </c>
      <c r="C2619" s="27" t="s">
        <v>8674</v>
      </c>
      <c r="D2619" s="14" t="s">
        <v>2601</v>
      </c>
      <c r="E2619" s="112"/>
      <c r="F2619" s="139" t="s">
        <v>8675</v>
      </c>
      <c r="G2619" s="140"/>
      <c r="H2619" s="141"/>
      <c r="I2619" s="26">
        <v>76174</v>
      </c>
      <c r="J2619" s="117"/>
      <c r="K2619" s="120"/>
      <c r="L2619" s="121"/>
      <c r="M2619" s="120"/>
      <c r="N2619" s="121"/>
      <c r="O2619" s="120"/>
      <c r="P2619" s="121"/>
      <c r="Q2619" s="120"/>
      <c r="R2619" s="121"/>
      <c r="S2619" s="120"/>
      <c r="T2619" s="121"/>
      <c r="U2619" s="120"/>
      <c r="V2619" s="123"/>
      <c r="W2619" s="125"/>
      <c r="X2619" s="142" t="s">
        <v>10680</v>
      </c>
      <c r="Y2619" s="143"/>
      <c r="Z2619" s="143"/>
      <c r="AA2619" s="143"/>
      <c r="AB2619" s="144"/>
      <c r="AC2619" s="16" t="s">
        <v>21</v>
      </c>
      <c r="AD2619" s="17" t="s">
        <v>10596</v>
      </c>
      <c r="AE2619" s="145" t="s">
        <v>9503</v>
      </c>
      <c r="AF2619" s="146"/>
      <c r="AG2619" s="146"/>
      <c r="AH2619" s="146"/>
      <c r="AI2619" s="147"/>
      <c r="AJ2619" s="148"/>
      <c r="AK2619" s="143"/>
      <c r="AL2619" s="144"/>
      <c r="AM2619" s="22"/>
      <c r="AN2619" s="149" t="s">
        <v>10999</v>
      </c>
      <c r="AO2619" s="144"/>
      <c r="AP2619" s="148">
        <v>40106</v>
      </c>
      <c r="AQ2619" s="144"/>
      <c r="AR2619" s="120"/>
      <c r="AS2619" s="121"/>
      <c r="AT2619" s="120"/>
      <c r="AU2619" s="121"/>
      <c r="AV2619" s="120"/>
      <c r="AW2619" s="121"/>
      <c r="AX2619" s="120"/>
      <c r="AY2619" s="121"/>
      <c r="AZ2619" s="138"/>
    </row>
    <row r="2620" spans="1:52" ht="17.100000000000001" customHeight="1" thickTop="1">
      <c r="A2620" s="109" t="s">
        <v>8663</v>
      </c>
      <c r="B2620" s="28">
        <v>45947</v>
      </c>
      <c r="C2620" s="25"/>
      <c r="D2620" s="13" t="s">
        <v>2838</v>
      </c>
      <c r="E2620" s="111"/>
      <c r="F2620" s="113" t="s">
        <v>8678</v>
      </c>
      <c r="G2620" s="114"/>
      <c r="H2620" s="115"/>
      <c r="I2620" s="24" t="s">
        <v>8680</v>
      </c>
      <c r="J2620" s="116">
        <v>5</v>
      </c>
      <c r="K2620" s="118">
        <f>3696000/1.1</f>
        <v>3359999.9999999995</v>
      </c>
      <c r="L2620" s="119"/>
      <c r="M2620" s="118">
        <f t="shared" ref="M2620" si="1249">K2620*0.1</f>
        <v>336000</v>
      </c>
      <c r="N2620" s="119"/>
      <c r="O2620" s="118">
        <v>15000</v>
      </c>
      <c r="P2620" s="119"/>
      <c r="Q2620" s="118">
        <v>13400</v>
      </c>
      <c r="R2620" s="119"/>
      <c r="S2620" s="118">
        <v>0</v>
      </c>
      <c r="T2620" s="119"/>
      <c r="U2620" s="118">
        <f t="shared" ref="U2620" si="1250">SUM(K2620:T2621)</f>
        <v>3724399.9999999995</v>
      </c>
      <c r="V2620" s="122"/>
      <c r="W2620" s="124"/>
      <c r="X2620" s="126" t="s">
        <v>10391</v>
      </c>
      <c r="Y2620" s="127"/>
      <c r="Z2620" s="127"/>
      <c r="AA2620" s="127"/>
      <c r="AB2620" s="128"/>
      <c r="AC2620" s="15" t="s">
        <v>20</v>
      </c>
      <c r="AD2620" s="129" t="s">
        <v>1732</v>
      </c>
      <c r="AE2620" s="130"/>
      <c r="AF2620" s="130"/>
      <c r="AG2620" s="130"/>
      <c r="AH2620" s="130"/>
      <c r="AI2620" s="131"/>
      <c r="AJ2620" s="132"/>
      <c r="AK2620" s="127"/>
      <c r="AL2620" s="128"/>
      <c r="AM2620" s="21"/>
      <c r="AN2620" s="133">
        <v>45969</v>
      </c>
      <c r="AO2620" s="134"/>
      <c r="AP2620" s="135">
        <v>1275</v>
      </c>
      <c r="AQ2620" s="136"/>
      <c r="AR2620" s="118">
        <v>3545000</v>
      </c>
      <c r="AS2620" s="119"/>
      <c r="AT2620" s="118">
        <f t="shared" ref="AT2620" si="1251">AR2620*0.1</f>
        <v>354500</v>
      </c>
      <c r="AU2620" s="119"/>
      <c r="AV2620" s="118">
        <v>13400</v>
      </c>
      <c r="AW2620" s="119"/>
      <c r="AX2620" s="118">
        <f t="shared" ref="AX2620" si="1252">SUM(AR2620:AW2620)</f>
        <v>3912900</v>
      </c>
      <c r="AY2620" s="119"/>
      <c r="AZ2620" s="137">
        <v>45974</v>
      </c>
    </row>
    <row r="2621" spans="1:52" ht="17.100000000000001" customHeight="1" thickBot="1">
      <c r="A2621" s="110"/>
      <c r="B2621" s="27" t="s">
        <v>1718</v>
      </c>
      <c r="C2621" s="27" t="s">
        <v>8677</v>
      </c>
      <c r="D2621" s="14" t="s">
        <v>275</v>
      </c>
      <c r="E2621" s="112"/>
      <c r="F2621" s="139" t="s">
        <v>8679</v>
      </c>
      <c r="G2621" s="140"/>
      <c r="H2621" s="141"/>
      <c r="I2621" s="26">
        <v>4422</v>
      </c>
      <c r="J2621" s="117"/>
      <c r="K2621" s="120"/>
      <c r="L2621" s="121"/>
      <c r="M2621" s="120"/>
      <c r="N2621" s="121"/>
      <c r="O2621" s="120"/>
      <c r="P2621" s="121"/>
      <c r="Q2621" s="120"/>
      <c r="R2621" s="121"/>
      <c r="S2621" s="120"/>
      <c r="T2621" s="121"/>
      <c r="U2621" s="120"/>
      <c r="V2621" s="123"/>
      <c r="W2621" s="125"/>
      <c r="X2621" s="142" t="s">
        <v>10392</v>
      </c>
      <c r="Y2621" s="143"/>
      <c r="Z2621" s="143"/>
      <c r="AA2621" s="143"/>
      <c r="AB2621" s="144"/>
      <c r="AC2621" s="16" t="s">
        <v>21</v>
      </c>
      <c r="AD2621" s="17" t="s">
        <v>2194</v>
      </c>
      <c r="AE2621" s="145" t="s">
        <v>1614</v>
      </c>
      <c r="AF2621" s="146"/>
      <c r="AG2621" s="146"/>
      <c r="AH2621" s="146"/>
      <c r="AI2621" s="147"/>
      <c r="AJ2621" s="148"/>
      <c r="AK2621" s="143"/>
      <c r="AL2621" s="144"/>
      <c r="AM2621" s="22"/>
      <c r="AN2621" s="149" t="s">
        <v>2511</v>
      </c>
      <c r="AO2621" s="144"/>
      <c r="AP2621" s="148">
        <v>37119</v>
      </c>
      <c r="AQ2621" s="144"/>
      <c r="AR2621" s="120"/>
      <c r="AS2621" s="121"/>
      <c r="AT2621" s="120"/>
      <c r="AU2621" s="121"/>
      <c r="AV2621" s="120"/>
      <c r="AW2621" s="121"/>
      <c r="AX2621" s="120"/>
      <c r="AY2621" s="121"/>
      <c r="AZ2621" s="138"/>
    </row>
    <row r="2622" spans="1:52" ht="17.100000000000001" customHeight="1" thickTop="1">
      <c r="A2622" s="109" t="s">
        <v>8664</v>
      </c>
      <c r="B2622" s="28">
        <v>45947</v>
      </c>
      <c r="C2622" s="25"/>
      <c r="D2622" s="13" t="s">
        <v>2135</v>
      </c>
      <c r="E2622" s="111"/>
      <c r="F2622" s="113" t="s">
        <v>8682</v>
      </c>
      <c r="G2622" s="114"/>
      <c r="H2622" s="115"/>
      <c r="I2622" s="24" t="s">
        <v>8684</v>
      </c>
      <c r="J2622" s="116">
        <v>4</v>
      </c>
      <c r="K2622" s="118">
        <f>609400/1.1</f>
        <v>554000</v>
      </c>
      <c r="L2622" s="119"/>
      <c r="M2622" s="118">
        <f t="shared" ref="M2622" si="1253">K2622*0.1</f>
        <v>55400</v>
      </c>
      <c r="N2622" s="119"/>
      <c r="O2622" s="118">
        <v>0</v>
      </c>
      <c r="P2622" s="119"/>
      <c r="Q2622" s="118">
        <v>9200</v>
      </c>
      <c r="R2622" s="119"/>
      <c r="S2622" s="118">
        <v>0</v>
      </c>
      <c r="T2622" s="119"/>
      <c r="U2622" s="118">
        <f t="shared" ref="U2622" si="1254">SUM(K2622:T2623)</f>
        <v>618600</v>
      </c>
      <c r="V2622" s="122"/>
      <c r="W2622" s="124"/>
      <c r="X2622" s="126" t="s">
        <v>9239</v>
      </c>
      <c r="Y2622" s="127"/>
      <c r="Z2622" s="127"/>
      <c r="AA2622" s="127"/>
      <c r="AB2622" s="128"/>
      <c r="AC2622" s="15" t="s">
        <v>20</v>
      </c>
      <c r="AD2622" s="129" t="s">
        <v>1945</v>
      </c>
      <c r="AE2622" s="130"/>
      <c r="AF2622" s="130"/>
      <c r="AG2622" s="130"/>
      <c r="AH2622" s="130"/>
      <c r="AI2622" s="131"/>
      <c r="AJ2622" s="132"/>
      <c r="AK2622" s="127"/>
      <c r="AL2622" s="128"/>
      <c r="AM2622" s="21"/>
      <c r="AN2622" s="133">
        <v>45983</v>
      </c>
      <c r="AO2622" s="134"/>
      <c r="AP2622" s="135">
        <v>1277</v>
      </c>
      <c r="AQ2622" s="136"/>
      <c r="AR2622" s="118">
        <v>625000</v>
      </c>
      <c r="AS2622" s="119"/>
      <c r="AT2622" s="118">
        <f t="shared" ref="AT2622" si="1255">AR2622*0.1</f>
        <v>62500</v>
      </c>
      <c r="AU2622" s="119"/>
      <c r="AV2622" s="118">
        <v>9200</v>
      </c>
      <c r="AW2622" s="119"/>
      <c r="AX2622" s="118">
        <f t="shared" ref="AX2622" si="1256">SUM(AR2622:AW2622)</f>
        <v>696700</v>
      </c>
      <c r="AY2622" s="119"/>
      <c r="AZ2622" s="137">
        <v>45987</v>
      </c>
    </row>
    <row r="2623" spans="1:52" ht="17.100000000000001" customHeight="1" thickBot="1">
      <c r="A2623" s="110"/>
      <c r="B2623" s="27" t="s">
        <v>1718</v>
      </c>
      <c r="C2623" s="27" t="s">
        <v>8681</v>
      </c>
      <c r="D2623" s="14" t="s">
        <v>2601</v>
      </c>
      <c r="E2623" s="112"/>
      <c r="F2623" s="139" t="s">
        <v>8683</v>
      </c>
      <c r="G2623" s="140"/>
      <c r="H2623" s="141"/>
      <c r="I2623" s="26">
        <v>80391</v>
      </c>
      <c r="J2623" s="117"/>
      <c r="K2623" s="120"/>
      <c r="L2623" s="121"/>
      <c r="M2623" s="120"/>
      <c r="N2623" s="121"/>
      <c r="O2623" s="120"/>
      <c r="P2623" s="121"/>
      <c r="Q2623" s="120"/>
      <c r="R2623" s="121"/>
      <c r="S2623" s="120"/>
      <c r="T2623" s="121"/>
      <c r="U2623" s="120"/>
      <c r="V2623" s="123"/>
      <c r="W2623" s="125"/>
      <c r="X2623" s="142" t="s">
        <v>9240</v>
      </c>
      <c r="Y2623" s="143"/>
      <c r="Z2623" s="143"/>
      <c r="AA2623" s="143"/>
      <c r="AB2623" s="144"/>
      <c r="AC2623" s="16" t="s">
        <v>21</v>
      </c>
      <c r="AD2623" s="17" t="s">
        <v>9131</v>
      </c>
      <c r="AE2623" s="145" t="s">
        <v>1732</v>
      </c>
      <c r="AF2623" s="146"/>
      <c r="AG2623" s="146"/>
      <c r="AH2623" s="146"/>
      <c r="AI2623" s="147"/>
      <c r="AJ2623" s="148"/>
      <c r="AK2623" s="143"/>
      <c r="AL2623" s="144"/>
      <c r="AM2623" s="22"/>
      <c r="AN2623" s="149" t="s">
        <v>2511</v>
      </c>
      <c r="AO2623" s="144"/>
      <c r="AP2623" s="148">
        <v>65098</v>
      </c>
      <c r="AQ2623" s="144"/>
      <c r="AR2623" s="120"/>
      <c r="AS2623" s="121"/>
      <c r="AT2623" s="120"/>
      <c r="AU2623" s="121"/>
      <c r="AV2623" s="120"/>
      <c r="AW2623" s="121"/>
      <c r="AX2623" s="120"/>
      <c r="AY2623" s="121"/>
      <c r="AZ2623" s="138"/>
    </row>
    <row r="2624" spans="1:52" ht="17.100000000000001" customHeight="1" thickTop="1">
      <c r="A2624" s="109" t="s">
        <v>8665</v>
      </c>
      <c r="B2624" s="28">
        <v>45947</v>
      </c>
      <c r="C2624" s="25"/>
      <c r="D2624" s="13" t="s">
        <v>1712</v>
      </c>
      <c r="E2624" s="111"/>
      <c r="F2624" s="113" t="s">
        <v>7158</v>
      </c>
      <c r="G2624" s="114"/>
      <c r="H2624" s="115"/>
      <c r="I2624" s="24" t="s">
        <v>3538</v>
      </c>
      <c r="J2624" s="116">
        <v>3.5</v>
      </c>
      <c r="K2624" s="118">
        <f>517000/1.1</f>
        <v>469999.99999999994</v>
      </c>
      <c r="L2624" s="119"/>
      <c r="M2624" s="118">
        <f t="shared" ref="M2624" si="1257">K2624*0.1</f>
        <v>47000</v>
      </c>
      <c r="N2624" s="119"/>
      <c r="O2624" s="118">
        <v>0</v>
      </c>
      <c r="P2624" s="119"/>
      <c r="Q2624" s="118">
        <v>8230</v>
      </c>
      <c r="R2624" s="119"/>
      <c r="S2624" s="118">
        <v>0</v>
      </c>
      <c r="T2624" s="119"/>
      <c r="U2624" s="118">
        <f t="shared" ref="U2624" si="1258">SUM(K2624:T2625)</f>
        <v>525230</v>
      </c>
      <c r="V2624" s="122"/>
      <c r="W2624" s="124"/>
      <c r="X2624" s="126" t="s">
        <v>10552</v>
      </c>
      <c r="Y2624" s="127"/>
      <c r="Z2624" s="127"/>
      <c r="AA2624" s="127"/>
      <c r="AB2624" s="128"/>
      <c r="AC2624" s="15" t="s">
        <v>20</v>
      </c>
      <c r="AD2624" s="129" t="s">
        <v>171</v>
      </c>
      <c r="AE2624" s="130"/>
      <c r="AF2624" s="130"/>
      <c r="AG2624" s="130"/>
      <c r="AH2624" s="130"/>
      <c r="AI2624" s="131"/>
      <c r="AJ2624" s="132"/>
      <c r="AK2624" s="127"/>
      <c r="AL2624" s="128"/>
      <c r="AM2624" s="21"/>
      <c r="AN2624" s="133">
        <v>45976</v>
      </c>
      <c r="AO2624" s="134"/>
      <c r="AP2624" s="135">
        <v>1276</v>
      </c>
      <c r="AQ2624" s="136"/>
      <c r="AR2624" s="118">
        <v>710000</v>
      </c>
      <c r="AS2624" s="119"/>
      <c r="AT2624" s="118">
        <f t="shared" ref="AT2624" si="1259">AR2624*0.1</f>
        <v>71000</v>
      </c>
      <c r="AU2624" s="119"/>
      <c r="AV2624" s="118">
        <v>8230</v>
      </c>
      <c r="AW2624" s="119"/>
      <c r="AX2624" s="118">
        <f t="shared" ref="AX2624" si="1260">SUM(AR2624:AW2624)</f>
        <v>789230</v>
      </c>
      <c r="AY2624" s="119"/>
      <c r="AZ2624" s="137">
        <v>45979</v>
      </c>
    </row>
    <row r="2625" spans="1:52" ht="17.100000000000001" customHeight="1" thickBot="1">
      <c r="A2625" s="110"/>
      <c r="B2625" s="27" t="s">
        <v>1718</v>
      </c>
      <c r="C2625" s="27" t="s">
        <v>8685</v>
      </c>
      <c r="D2625" s="14" t="s">
        <v>1592</v>
      </c>
      <c r="E2625" s="112"/>
      <c r="F2625" s="139" t="s">
        <v>8686</v>
      </c>
      <c r="G2625" s="140"/>
      <c r="H2625" s="141"/>
      <c r="I2625" s="26">
        <v>51171</v>
      </c>
      <c r="J2625" s="117"/>
      <c r="K2625" s="120"/>
      <c r="L2625" s="121"/>
      <c r="M2625" s="120"/>
      <c r="N2625" s="121"/>
      <c r="O2625" s="120"/>
      <c r="P2625" s="121"/>
      <c r="Q2625" s="120"/>
      <c r="R2625" s="121"/>
      <c r="S2625" s="120"/>
      <c r="T2625" s="121"/>
      <c r="U2625" s="120"/>
      <c r="V2625" s="123"/>
      <c r="W2625" s="125"/>
      <c r="X2625" s="142" t="s">
        <v>10553</v>
      </c>
      <c r="Y2625" s="143"/>
      <c r="Z2625" s="143"/>
      <c r="AA2625" s="143"/>
      <c r="AB2625" s="144"/>
      <c r="AC2625" s="16" t="s">
        <v>21</v>
      </c>
      <c r="AD2625" s="17" t="s">
        <v>10500</v>
      </c>
      <c r="AE2625" s="145" t="s">
        <v>1742</v>
      </c>
      <c r="AF2625" s="146"/>
      <c r="AG2625" s="146"/>
      <c r="AH2625" s="146"/>
      <c r="AI2625" s="147"/>
      <c r="AJ2625" s="148"/>
      <c r="AK2625" s="143"/>
      <c r="AL2625" s="144"/>
      <c r="AM2625" s="22"/>
      <c r="AN2625" s="149" t="s">
        <v>10999</v>
      </c>
      <c r="AO2625" s="144"/>
      <c r="AP2625" s="148">
        <v>65533</v>
      </c>
      <c r="AQ2625" s="144"/>
      <c r="AR2625" s="120"/>
      <c r="AS2625" s="121"/>
      <c r="AT2625" s="120"/>
      <c r="AU2625" s="121"/>
      <c r="AV2625" s="120"/>
      <c r="AW2625" s="121"/>
      <c r="AX2625" s="120"/>
      <c r="AY2625" s="121"/>
      <c r="AZ2625" s="138"/>
    </row>
    <row r="2626" spans="1:52" ht="17.100000000000001" customHeight="1" thickTop="1">
      <c r="A2626" s="109" t="s">
        <v>8769</v>
      </c>
      <c r="B2626" s="28">
        <v>45948</v>
      </c>
      <c r="C2626" s="25">
        <v>1437</v>
      </c>
      <c r="D2626" s="13" t="s">
        <v>1977</v>
      </c>
      <c r="E2626" s="111"/>
      <c r="F2626" s="113" t="s">
        <v>1147</v>
      </c>
      <c r="G2626" s="114"/>
      <c r="H2626" s="115"/>
      <c r="I2626" s="24" t="s">
        <v>2064</v>
      </c>
      <c r="J2626" s="116">
        <v>4.5</v>
      </c>
      <c r="K2626" s="118">
        <v>910000</v>
      </c>
      <c r="L2626" s="119"/>
      <c r="M2626" s="118">
        <f t="shared" ref="M2626" si="1261">K2626*0.1</f>
        <v>91000</v>
      </c>
      <c r="N2626" s="119"/>
      <c r="O2626" s="118">
        <f>16400+1640</f>
        <v>18040</v>
      </c>
      <c r="P2626" s="119"/>
      <c r="Q2626" s="118">
        <v>17600</v>
      </c>
      <c r="R2626" s="119"/>
      <c r="S2626" s="118">
        <v>16500</v>
      </c>
      <c r="T2626" s="119"/>
      <c r="U2626" s="118">
        <f t="shared" ref="U2626" si="1262">SUM(K2626:T2627)</f>
        <v>1053140</v>
      </c>
      <c r="V2626" s="122"/>
      <c r="W2626" s="124"/>
      <c r="X2626" s="126" t="s">
        <v>8721</v>
      </c>
      <c r="Y2626" s="127"/>
      <c r="Z2626" s="127"/>
      <c r="AA2626" s="127"/>
      <c r="AB2626" s="128"/>
      <c r="AC2626" s="15" t="s">
        <v>20</v>
      </c>
      <c r="AD2626" s="129"/>
      <c r="AE2626" s="130"/>
      <c r="AF2626" s="130"/>
      <c r="AG2626" s="130"/>
      <c r="AH2626" s="130"/>
      <c r="AI2626" s="131"/>
      <c r="AJ2626" s="132"/>
      <c r="AK2626" s="127"/>
      <c r="AL2626" s="128"/>
      <c r="AM2626" s="21"/>
      <c r="AN2626" s="133">
        <v>45960</v>
      </c>
      <c r="AO2626" s="134"/>
      <c r="AP2626" s="135">
        <v>1304</v>
      </c>
      <c r="AQ2626" s="136"/>
      <c r="AR2626" s="118">
        <v>1100000</v>
      </c>
      <c r="AS2626" s="119"/>
      <c r="AT2626" s="118">
        <f t="shared" ref="AT2626" si="1263">AR2626*0.1</f>
        <v>110000</v>
      </c>
      <c r="AU2626" s="119"/>
      <c r="AV2626" s="118">
        <v>17600</v>
      </c>
      <c r="AW2626" s="119"/>
      <c r="AX2626" s="118">
        <f t="shared" ref="AX2626" si="1264">SUM(AR2626:AW2626)</f>
        <v>1227600</v>
      </c>
      <c r="AY2626" s="119"/>
      <c r="AZ2626" s="137">
        <v>45961</v>
      </c>
    </row>
    <row r="2627" spans="1:52" ht="17.100000000000001" customHeight="1" thickBot="1">
      <c r="A2627" s="110"/>
      <c r="B2627" s="27" t="s">
        <v>1779</v>
      </c>
      <c r="C2627" s="27">
        <v>7056</v>
      </c>
      <c r="D2627" s="14" t="s">
        <v>1592</v>
      </c>
      <c r="E2627" s="112"/>
      <c r="F2627" s="139" t="s">
        <v>8720</v>
      </c>
      <c r="G2627" s="140"/>
      <c r="H2627" s="141"/>
      <c r="I2627" s="26">
        <v>71817</v>
      </c>
      <c r="J2627" s="117"/>
      <c r="K2627" s="120"/>
      <c r="L2627" s="121"/>
      <c r="M2627" s="120"/>
      <c r="N2627" s="121"/>
      <c r="O2627" s="120"/>
      <c r="P2627" s="121"/>
      <c r="Q2627" s="120"/>
      <c r="R2627" s="121"/>
      <c r="S2627" s="120"/>
      <c r="T2627" s="121"/>
      <c r="U2627" s="120"/>
      <c r="V2627" s="123"/>
      <c r="W2627" s="125"/>
      <c r="X2627" s="142" t="s">
        <v>1656</v>
      </c>
      <c r="Y2627" s="143"/>
      <c r="Z2627" s="143"/>
      <c r="AA2627" s="143"/>
      <c r="AB2627" s="144"/>
      <c r="AC2627" s="16" t="s">
        <v>21</v>
      </c>
      <c r="AD2627" s="17" t="s">
        <v>8956</v>
      </c>
      <c r="AE2627" s="145" t="s">
        <v>1742</v>
      </c>
      <c r="AF2627" s="146"/>
      <c r="AG2627" s="146"/>
      <c r="AH2627" s="146"/>
      <c r="AI2627" s="147"/>
      <c r="AJ2627" s="148"/>
      <c r="AK2627" s="143"/>
      <c r="AL2627" s="144"/>
      <c r="AM2627" s="22"/>
      <c r="AN2627" s="149" t="s">
        <v>1747</v>
      </c>
      <c r="AO2627" s="144"/>
      <c r="AP2627" s="148">
        <v>975</v>
      </c>
      <c r="AQ2627" s="144"/>
      <c r="AR2627" s="120"/>
      <c r="AS2627" s="121"/>
      <c r="AT2627" s="120"/>
      <c r="AU2627" s="121"/>
      <c r="AV2627" s="120"/>
      <c r="AW2627" s="121"/>
      <c r="AX2627" s="120"/>
      <c r="AY2627" s="121"/>
      <c r="AZ2627" s="138"/>
    </row>
    <row r="2628" spans="1:52" ht="17.100000000000001" customHeight="1" thickTop="1">
      <c r="A2628" s="109" t="s">
        <v>8770</v>
      </c>
      <c r="B2628" s="28">
        <v>45948</v>
      </c>
      <c r="C2628" s="25">
        <v>1515</v>
      </c>
      <c r="D2628" s="13" t="s">
        <v>2458</v>
      </c>
      <c r="E2628" s="111"/>
      <c r="F2628" s="113" t="s">
        <v>1938</v>
      </c>
      <c r="G2628" s="114"/>
      <c r="H2628" s="115"/>
      <c r="I2628" s="24" t="s">
        <v>4096</v>
      </c>
      <c r="J2628" s="116">
        <v>4</v>
      </c>
      <c r="K2628" s="118">
        <v>575000</v>
      </c>
      <c r="L2628" s="119"/>
      <c r="M2628" s="118">
        <f t="shared" ref="M2628" si="1265">K2628*0.1</f>
        <v>57500</v>
      </c>
      <c r="N2628" s="119"/>
      <c r="O2628" s="118">
        <f>14300+1430</f>
        <v>15730</v>
      </c>
      <c r="P2628" s="119"/>
      <c r="Q2628" s="118">
        <v>18960</v>
      </c>
      <c r="R2628" s="119"/>
      <c r="S2628" s="118">
        <v>16500</v>
      </c>
      <c r="T2628" s="119"/>
      <c r="U2628" s="118">
        <f t="shared" ref="U2628" si="1266">SUM(K2628:T2629)</f>
        <v>683690</v>
      </c>
      <c r="V2628" s="122"/>
      <c r="W2628" s="124"/>
      <c r="X2628" s="126" t="s">
        <v>8754</v>
      </c>
      <c r="Y2628" s="127"/>
      <c r="Z2628" s="127"/>
      <c r="AA2628" s="127"/>
      <c r="AB2628" s="128"/>
      <c r="AC2628" s="15" t="s">
        <v>20</v>
      </c>
      <c r="AD2628" s="129" t="s">
        <v>1633</v>
      </c>
      <c r="AE2628" s="130"/>
      <c r="AF2628" s="130"/>
      <c r="AG2628" s="130"/>
      <c r="AH2628" s="130"/>
      <c r="AI2628" s="131"/>
      <c r="AJ2628" s="132"/>
      <c r="AK2628" s="127"/>
      <c r="AL2628" s="128"/>
      <c r="AM2628" s="21"/>
      <c r="AN2628" s="133">
        <v>45955</v>
      </c>
      <c r="AO2628" s="134"/>
      <c r="AP2628" s="135">
        <v>1273</v>
      </c>
      <c r="AQ2628" s="136"/>
      <c r="AR2628" s="118">
        <v>705000</v>
      </c>
      <c r="AS2628" s="119"/>
      <c r="AT2628" s="118">
        <f t="shared" ref="AT2628" si="1267">AR2628*0.1</f>
        <v>70500</v>
      </c>
      <c r="AU2628" s="119"/>
      <c r="AV2628" s="118">
        <v>18960</v>
      </c>
      <c r="AW2628" s="119"/>
      <c r="AX2628" s="118">
        <f t="shared" ref="AX2628" si="1268">SUM(AR2628:AW2628)</f>
        <v>794460</v>
      </c>
      <c r="AY2628" s="119"/>
      <c r="AZ2628" s="137">
        <v>45958</v>
      </c>
    </row>
    <row r="2629" spans="1:52" ht="17.100000000000001" customHeight="1" thickBot="1">
      <c r="A2629" s="110"/>
      <c r="B2629" s="27" t="s">
        <v>1555</v>
      </c>
      <c r="C2629" s="27">
        <v>83193</v>
      </c>
      <c r="D2629" s="14" t="s">
        <v>1592</v>
      </c>
      <c r="E2629" s="112"/>
      <c r="F2629" s="139" t="s">
        <v>8753</v>
      </c>
      <c r="G2629" s="140"/>
      <c r="H2629" s="141"/>
      <c r="I2629" s="26">
        <v>51526</v>
      </c>
      <c r="J2629" s="117"/>
      <c r="K2629" s="120"/>
      <c r="L2629" s="121"/>
      <c r="M2629" s="120"/>
      <c r="N2629" s="121"/>
      <c r="O2629" s="120"/>
      <c r="P2629" s="121"/>
      <c r="Q2629" s="120"/>
      <c r="R2629" s="121"/>
      <c r="S2629" s="120"/>
      <c r="T2629" s="121"/>
      <c r="U2629" s="120"/>
      <c r="V2629" s="123"/>
      <c r="W2629" s="125"/>
      <c r="X2629" s="142" t="s">
        <v>9057</v>
      </c>
      <c r="Y2629" s="143"/>
      <c r="Z2629" s="143"/>
      <c r="AA2629" s="143"/>
      <c r="AB2629" s="144"/>
      <c r="AC2629" s="16" t="s">
        <v>21</v>
      </c>
      <c r="AD2629" s="17" t="s">
        <v>8956</v>
      </c>
      <c r="AE2629" s="145" t="s">
        <v>1742</v>
      </c>
      <c r="AF2629" s="146"/>
      <c r="AG2629" s="146"/>
      <c r="AH2629" s="146"/>
      <c r="AI2629" s="147"/>
      <c r="AJ2629" s="148"/>
      <c r="AK2629" s="143"/>
      <c r="AL2629" s="144"/>
      <c r="AM2629" s="22"/>
      <c r="AN2629" s="149" t="s">
        <v>2511</v>
      </c>
      <c r="AO2629" s="144"/>
      <c r="AP2629" s="148">
        <v>80266</v>
      </c>
      <c r="AQ2629" s="144"/>
      <c r="AR2629" s="120"/>
      <c r="AS2629" s="121"/>
      <c r="AT2629" s="120"/>
      <c r="AU2629" s="121"/>
      <c r="AV2629" s="120"/>
      <c r="AW2629" s="121"/>
      <c r="AX2629" s="120"/>
      <c r="AY2629" s="121"/>
      <c r="AZ2629" s="138"/>
    </row>
    <row r="2630" spans="1:52" ht="17.100000000000001" customHeight="1" thickTop="1">
      <c r="A2630" s="151" t="s">
        <v>8771</v>
      </c>
      <c r="B2630" s="28">
        <v>45948</v>
      </c>
      <c r="C2630" s="25">
        <v>1515</v>
      </c>
      <c r="D2630" s="13" t="s">
        <v>1937</v>
      </c>
      <c r="E2630" s="111"/>
      <c r="F2630" s="113" t="s">
        <v>8755</v>
      </c>
      <c r="G2630" s="114"/>
      <c r="H2630" s="115"/>
      <c r="I2630" s="24" t="s">
        <v>5124</v>
      </c>
      <c r="J2630" s="116">
        <v>4.5</v>
      </c>
      <c r="K2630" s="118">
        <v>1170000</v>
      </c>
      <c r="L2630" s="119"/>
      <c r="M2630" s="118">
        <f t="shared" ref="M2630" si="1269">K2630*0.1</f>
        <v>117000</v>
      </c>
      <c r="N2630" s="119"/>
      <c r="O2630" s="118">
        <f>16400+1640</f>
        <v>18040</v>
      </c>
      <c r="P2630" s="119"/>
      <c r="Q2630" s="118">
        <v>22590</v>
      </c>
      <c r="R2630" s="119"/>
      <c r="S2630" s="118">
        <v>16500</v>
      </c>
      <c r="T2630" s="119"/>
      <c r="U2630" s="118">
        <f t="shared" ref="U2630" si="1270">SUM(K2630:T2631)</f>
        <v>1344130</v>
      </c>
      <c r="V2630" s="122"/>
      <c r="W2630" s="124"/>
      <c r="X2630" s="126" t="s">
        <v>8757</v>
      </c>
      <c r="Y2630" s="127"/>
      <c r="Z2630" s="127"/>
      <c r="AA2630" s="127"/>
      <c r="AB2630" s="128"/>
      <c r="AC2630" s="15" t="s">
        <v>20</v>
      </c>
      <c r="AD2630" s="129" t="s">
        <v>1565</v>
      </c>
      <c r="AE2630" s="130"/>
      <c r="AF2630" s="130"/>
      <c r="AG2630" s="130"/>
      <c r="AH2630" s="130"/>
      <c r="AI2630" s="131"/>
      <c r="AJ2630" s="132" t="s">
        <v>8040</v>
      </c>
      <c r="AK2630" s="127"/>
      <c r="AL2630" s="128"/>
      <c r="AM2630" s="21"/>
      <c r="AN2630" s="133"/>
      <c r="AO2630" s="134"/>
      <c r="AP2630" s="135"/>
      <c r="AQ2630" s="136"/>
      <c r="AR2630" s="118"/>
      <c r="AS2630" s="119"/>
      <c r="AT2630" s="118">
        <f t="shared" ref="AT2630" si="1271">AR2630*0.1</f>
        <v>0</v>
      </c>
      <c r="AU2630" s="119"/>
      <c r="AV2630" s="118"/>
      <c r="AW2630" s="119"/>
      <c r="AX2630" s="118">
        <f t="shared" ref="AX2630" si="1272">SUM(AR2630:AW2630)</f>
        <v>0</v>
      </c>
      <c r="AY2630" s="119"/>
      <c r="AZ2630" s="137"/>
    </row>
    <row r="2631" spans="1:52" ht="17.100000000000001" customHeight="1" thickBot="1">
      <c r="A2631" s="152"/>
      <c r="B2631" s="27" t="s">
        <v>1555</v>
      </c>
      <c r="C2631" s="27">
        <v>83199</v>
      </c>
      <c r="D2631" s="14" t="s">
        <v>275</v>
      </c>
      <c r="E2631" s="112"/>
      <c r="F2631" s="139" t="s">
        <v>8756</v>
      </c>
      <c r="G2631" s="140"/>
      <c r="H2631" s="141"/>
      <c r="I2631" s="26">
        <v>56780</v>
      </c>
      <c r="J2631" s="117"/>
      <c r="K2631" s="120"/>
      <c r="L2631" s="121"/>
      <c r="M2631" s="120"/>
      <c r="N2631" s="121"/>
      <c r="O2631" s="120"/>
      <c r="P2631" s="121"/>
      <c r="Q2631" s="120"/>
      <c r="R2631" s="121"/>
      <c r="S2631" s="120"/>
      <c r="T2631" s="121"/>
      <c r="U2631" s="120"/>
      <c r="V2631" s="123"/>
      <c r="W2631" s="125"/>
      <c r="X2631" s="142" t="s">
        <v>9060</v>
      </c>
      <c r="Y2631" s="143"/>
      <c r="Z2631" s="143"/>
      <c r="AA2631" s="143"/>
      <c r="AB2631" s="144"/>
      <c r="AC2631" s="16" t="s">
        <v>21</v>
      </c>
      <c r="AD2631" s="17" t="s">
        <v>8956</v>
      </c>
      <c r="AE2631" s="145" t="s">
        <v>4102</v>
      </c>
      <c r="AF2631" s="146"/>
      <c r="AG2631" s="146"/>
      <c r="AH2631" s="146"/>
      <c r="AI2631" s="147"/>
      <c r="AJ2631" s="148" t="s">
        <v>9494</v>
      </c>
      <c r="AK2631" s="143"/>
      <c r="AL2631" s="144"/>
      <c r="AM2631" s="22"/>
      <c r="AN2631" s="149"/>
      <c r="AO2631" s="144"/>
      <c r="AP2631" s="148"/>
      <c r="AQ2631" s="144"/>
      <c r="AR2631" s="120"/>
      <c r="AS2631" s="121"/>
      <c r="AT2631" s="120"/>
      <c r="AU2631" s="121"/>
      <c r="AV2631" s="120"/>
      <c r="AW2631" s="121"/>
      <c r="AX2631" s="120"/>
      <c r="AY2631" s="121"/>
      <c r="AZ2631" s="138"/>
    </row>
    <row r="2632" spans="1:52" ht="17.100000000000001" customHeight="1" thickTop="1">
      <c r="A2632" s="109" t="s">
        <v>8772</v>
      </c>
      <c r="B2632" s="28">
        <v>45948</v>
      </c>
      <c r="C2632" s="25">
        <v>1515</v>
      </c>
      <c r="D2632" s="13" t="s">
        <v>1786</v>
      </c>
      <c r="E2632" s="111"/>
      <c r="F2632" s="113" t="s">
        <v>5507</v>
      </c>
      <c r="G2632" s="114"/>
      <c r="H2632" s="115"/>
      <c r="I2632" s="24" t="s">
        <v>8759</v>
      </c>
      <c r="J2632" s="116">
        <v>4.5</v>
      </c>
      <c r="K2632" s="118">
        <v>2620000</v>
      </c>
      <c r="L2632" s="119"/>
      <c r="M2632" s="118">
        <f t="shared" ref="M2632" si="1273">K2632*0.1</f>
        <v>262000</v>
      </c>
      <c r="N2632" s="119"/>
      <c r="O2632" s="118">
        <f>15000+1500</f>
        <v>16500</v>
      </c>
      <c r="P2632" s="119"/>
      <c r="Q2632" s="118">
        <v>16360</v>
      </c>
      <c r="R2632" s="119"/>
      <c r="S2632" s="118">
        <v>16500</v>
      </c>
      <c r="T2632" s="119"/>
      <c r="U2632" s="118">
        <f t="shared" ref="U2632" si="1274">SUM(K2632:T2633)</f>
        <v>2931360</v>
      </c>
      <c r="V2632" s="122"/>
      <c r="W2632" s="124"/>
      <c r="X2632" s="126" t="s">
        <v>8760</v>
      </c>
      <c r="Y2632" s="127"/>
      <c r="Z2632" s="127"/>
      <c r="AA2632" s="127"/>
      <c r="AB2632" s="128"/>
      <c r="AC2632" s="15" t="s">
        <v>20</v>
      </c>
      <c r="AD2632" s="129" t="s">
        <v>171</v>
      </c>
      <c r="AE2632" s="130"/>
      <c r="AF2632" s="130"/>
      <c r="AG2632" s="130"/>
      <c r="AH2632" s="130"/>
      <c r="AI2632" s="131"/>
      <c r="AJ2632" s="132"/>
      <c r="AK2632" s="127"/>
      <c r="AL2632" s="128"/>
      <c r="AM2632" s="21" t="s">
        <v>11201</v>
      </c>
      <c r="AN2632" s="133">
        <v>46011</v>
      </c>
      <c r="AO2632" s="134"/>
      <c r="AP2632" s="135">
        <v>1281</v>
      </c>
      <c r="AQ2632" s="136"/>
      <c r="AR2632" s="118">
        <v>2750000</v>
      </c>
      <c r="AS2632" s="119"/>
      <c r="AT2632" s="118">
        <f t="shared" ref="AT2632" si="1275">AR2632*0.1</f>
        <v>275000</v>
      </c>
      <c r="AU2632" s="119"/>
      <c r="AV2632" s="118">
        <v>16360</v>
      </c>
      <c r="AW2632" s="119"/>
      <c r="AX2632" s="118">
        <f t="shared" ref="AX2632" si="1276">SUM(AR2632:AW2632)</f>
        <v>3041360</v>
      </c>
      <c r="AY2632" s="119"/>
      <c r="AZ2632" s="137">
        <v>46014</v>
      </c>
    </row>
    <row r="2633" spans="1:52" ht="17.100000000000001" customHeight="1" thickBot="1">
      <c r="A2633" s="110"/>
      <c r="B2633" s="27" t="s">
        <v>1555</v>
      </c>
      <c r="C2633" s="27">
        <v>83240</v>
      </c>
      <c r="D2633" s="14" t="s">
        <v>1576</v>
      </c>
      <c r="E2633" s="112"/>
      <c r="F2633" s="139" t="s">
        <v>8758</v>
      </c>
      <c r="G2633" s="140"/>
      <c r="H2633" s="141"/>
      <c r="I2633" s="26">
        <v>29671</v>
      </c>
      <c r="J2633" s="117"/>
      <c r="K2633" s="120"/>
      <c r="L2633" s="121"/>
      <c r="M2633" s="120"/>
      <c r="N2633" s="121"/>
      <c r="O2633" s="120"/>
      <c r="P2633" s="121"/>
      <c r="Q2633" s="120"/>
      <c r="R2633" s="121"/>
      <c r="S2633" s="120"/>
      <c r="T2633" s="121"/>
      <c r="U2633" s="120"/>
      <c r="V2633" s="123"/>
      <c r="W2633" s="125"/>
      <c r="X2633" s="142" t="s">
        <v>2918</v>
      </c>
      <c r="Y2633" s="143"/>
      <c r="Z2633" s="143"/>
      <c r="AA2633" s="143"/>
      <c r="AB2633" s="144"/>
      <c r="AC2633" s="16" t="s">
        <v>21</v>
      </c>
      <c r="AD2633" s="17" t="s">
        <v>9131</v>
      </c>
      <c r="AE2633" s="145" t="s">
        <v>2892</v>
      </c>
      <c r="AF2633" s="146"/>
      <c r="AG2633" s="146"/>
      <c r="AH2633" s="146"/>
      <c r="AI2633" s="147"/>
      <c r="AJ2633" s="148"/>
      <c r="AK2633" s="143"/>
      <c r="AL2633" s="144"/>
      <c r="AM2633" s="22"/>
      <c r="AN2633" s="149" t="s">
        <v>2511</v>
      </c>
      <c r="AO2633" s="144"/>
      <c r="AP2633" s="148">
        <v>80133</v>
      </c>
      <c r="AQ2633" s="144"/>
      <c r="AR2633" s="120"/>
      <c r="AS2633" s="121"/>
      <c r="AT2633" s="120"/>
      <c r="AU2633" s="121"/>
      <c r="AV2633" s="120"/>
      <c r="AW2633" s="121"/>
      <c r="AX2633" s="120"/>
      <c r="AY2633" s="121"/>
      <c r="AZ2633" s="138"/>
    </row>
    <row r="2634" spans="1:52" ht="17.100000000000001" customHeight="1" thickTop="1">
      <c r="A2634" s="109" t="s">
        <v>8773</v>
      </c>
      <c r="B2634" s="28">
        <v>45948</v>
      </c>
      <c r="C2634" s="25">
        <v>1694</v>
      </c>
      <c r="D2634" s="13" t="s">
        <v>2759</v>
      </c>
      <c r="E2634" s="111"/>
      <c r="F2634" s="113" t="s">
        <v>8774</v>
      </c>
      <c r="G2634" s="114"/>
      <c r="H2634" s="115"/>
      <c r="I2634" s="24"/>
      <c r="J2634" s="116">
        <v>4.5</v>
      </c>
      <c r="K2634" s="118">
        <v>1895000</v>
      </c>
      <c r="L2634" s="119"/>
      <c r="M2634" s="118">
        <f t="shared" ref="M2634" si="1277">K2634*0.1</f>
        <v>189500</v>
      </c>
      <c r="N2634" s="119"/>
      <c r="O2634" s="118">
        <v>0</v>
      </c>
      <c r="P2634" s="119"/>
      <c r="Q2634" s="118">
        <v>19040</v>
      </c>
      <c r="R2634" s="119"/>
      <c r="S2634" s="118">
        <v>14300</v>
      </c>
      <c r="T2634" s="119"/>
      <c r="U2634" s="118">
        <f t="shared" ref="U2634" si="1278">SUM(K2634:T2635)</f>
        <v>2117840</v>
      </c>
      <c r="V2634" s="122"/>
      <c r="W2634" s="124"/>
      <c r="X2634" s="126" t="s">
        <v>9058</v>
      </c>
      <c r="Y2634" s="127"/>
      <c r="Z2634" s="127"/>
      <c r="AA2634" s="127"/>
      <c r="AB2634" s="128"/>
      <c r="AC2634" s="15" t="s">
        <v>20</v>
      </c>
      <c r="AD2634" s="129" t="s">
        <v>1732</v>
      </c>
      <c r="AE2634" s="130"/>
      <c r="AF2634" s="130"/>
      <c r="AG2634" s="130"/>
      <c r="AH2634" s="130"/>
      <c r="AI2634" s="131"/>
      <c r="AJ2634" s="132"/>
      <c r="AK2634" s="127"/>
      <c r="AL2634" s="128"/>
      <c r="AM2634" s="21"/>
      <c r="AN2634" s="133">
        <v>45955</v>
      </c>
      <c r="AO2634" s="134"/>
      <c r="AP2634" s="135">
        <v>1273</v>
      </c>
      <c r="AQ2634" s="136"/>
      <c r="AR2634" s="118">
        <v>2300000</v>
      </c>
      <c r="AS2634" s="119"/>
      <c r="AT2634" s="118">
        <f t="shared" ref="AT2634" si="1279">AR2634*0.1</f>
        <v>230000</v>
      </c>
      <c r="AU2634" s="119"/>
      <c r="AV2634" s="118">
        <v>19040</v>
      </c>
      <c r="AW2634" s="119"/>
      <c r="AX2634" s="118">
        <f t="shared" ref="AX2634" si="1280">SUM(AR2634:AW2634)</f>
        <v>2549040</v>
      </c>
      <c r="AY2634" s="119"/>
      <c r="AZ2634" s="137">
        <v>45958</v>
      </c>
    </row>
    <row r="2635" spans="1:52" ht="17.100000000000001" customHeight="1" thickBot="1">
      <c r="A2635" s="110"/>
      <c r="B2635" s="27" t="s">
        <v>1859</v>
      </c>
      <c r="C2635" s="27">
        <v>188</v>
      </c>
      <c r="D2635" s="14" t="s">
        <v>904</v>
      </c>
      <c r="E2635" s="112"/>
      <c r="F2635" s="139" t="s">
        <v>8775</v>
      </c>
      <c r="G2635" s="140"/>
      <c r="H2635" s="141"/>
      <c r="I2635" s="26">
        <v>10956</v>
      </c>
      <c r="J2635" s="117"/>
      <c r="K2635" s="120"/>
      <c r="L2635" s="121"/>
      <c r="M2635" s="120"/>
      <c r="N2635" s="121"/>
      <c r="O2635" s="120"/>
      <c r="P2635" s="121"/>
      <c r="Q2635" s="120"/>
      <c r="R2635" s="121"/>
      <c r="S2635" s="120"/>
      <c r="T2635" s="121"/>
      <c r="U2635" s="120"/>
      <c r="V2635" s="123"/>
      <c r="W2635" s="125"/>
      <c r="X2635" s="142" t="s">
        <v>9059</v>
      </c>
      <c r="Y2635" s="143"/>
      <c r="Z2635" s="143"/>
      <c r="AA2635" s="143"/>
      <c r="AB2635" s="144"/>
      <c r="AC2635" s="16" t="s">
        <v>21</v>
      </c>
      <c r="AD2635" s="17" t="s">
        <v>8956</v>
      </c>
      <c r="AE2635" s="145" t="s">
        <v>1614</v>
      </c>
      <c r="AF2635" s="146"/>
      <c r="AG2635" s="146"/>
      <c r="AH2635" s="146"/>
      <c r="AI2635" s="147"/>
      <c r="AJ2635" s="148"/>
      <c r="AK2635" s="143"/>
      <c r="AL2635" s="144"/>
      <c r="AM2635" s="22"/>
      <c r="AN2635" s="149" t="s">
        <v>2511</v>
      </c>
      <c r="AO2635" s="144"/>
      <c r="AP2635" s="148">
        <v>80221</v>
      </c>
      <c r="AQ2635" s="144"/>
      <c r="AR2635" s="120"/>
      <c r="AS2635" s="121"/>
      <c r="AT2635" s="120"/>
      <c r="AU2635" s="121"/>
      <c r="AV2635" s="120"/>
      <c r="AW2635" s="121"/>
      <c r="AX2635" s="120"/>
      <c r="AY2635" s="121"/>
      <c r="AZ2635" s="138"/>
    </row>
    <row r="2636" spans="1:52" ht="17.100000000000001" customHeight="1" thickTop="1">
      <c r="A2636" s="109" t="s">
        <v>8776</v>
      </c>
      <c r="B2636" s="28">
        <v>45948</v>
      </c>
      <c r="C2636" s="25">
        <v>1272</v>
      </c>
      <c r="D2636" s="13" t="s">
        <v>4824</v>
      </c>
      <c r="E2636" s="111"/>
      <c r="F2636" s="113" t="s">
        <v>8722</v>
      </c>
      <c r="G2636" s="114"/>
      <c r="H2636" s="115"/>
      <c r="I2636" s="24"/>
      <c r="J2636" s="116">
        <v>4.5</v>
      </c>
      <c r="K2636" s="118">
        <v>860000</v>
      </c>
      <c r="L2636" s="119"/>
      <c r="M2636" s="118">
        <f t="shared" ref="M2636" si="1281">K2636*0.1</f>
        <v>86000</v>
      </c>
      <c r="N2636" s="119"/>
      <c r="O2636" s="118">
        <v>0</v>
      </c>
      <c r="P2636" s="119"/>
      <c r="Q2636" s="118">
        <v>10780</v>
      </c>
      <c r="R2636" s="119"/>
      <c r="S2636" s="118">
        <v>12100</v>
      </c>
      <c r="T2636" s="119"/>
      <c r="U2636" s="118">
        <f t="shared" ref="U2636" si="1282">SUM(K2636:T2637)</f>
        <v>968880</v>
      </c>
      <c r="V2636" s="122"/>
      <c r="W2636" s="124"/>
      <c r="X2636" s="126" t="s">
        <v>9452</v>
      </c>
      <c r="Y2636" s="127"/>
      <c r="Z2636" s="127"/>
      <c r="AA2636" s="127"/>
      <c r="AB2636" s="128"/>
      <c r="AC2636" s="15" t="s">
        <v>20</v>
      </c>
      <c r="AD2636" s="129"/>
      <c r="AE2636" s="130"/>
      <c r="AF2636" s="130"/>
      <c r="AG2636" s="130"/>
      <c r="AH2636" s="130"/>
      <c r="AI2636" s="131"/>
      <c r="AJ2636" s="132"/>
      <c r="AK2636" s="127"/>
      <c r="AL2636" s="128"/>
      <c r="AM2636" s="21"/>
      <c r="AN2636" s="133">
        <v>45959</v>
      </c>
      <c r="AO2636" s="134"/>
      <c r="AP2636" s="135">
        <v>990</v>
      </c>
      <c r="AQ2636" s="136"/>
      <c r="AR2636" s="118">
        <v>940000</v>
      </c>
      <c r="AS2636" s="119"/>
      <c r="AT2636" s="118">
        <f t="shared" ref="AT2636" si="1283">AR2636*0.1</f>
        <v>94000</v>
      </c>
      <c r="AU2636" s="119"/>
      <c r="AV2636" s="118">
        <v>10780</v>
      </c>
      <c r="AW2636" s="119"/>
      <c r="AX2636" s="118">
        <f t="shared" ref="AX2636" si="1284">SUM(AR2636:AW2636)</f>
        <v>1044780</v>
      </c>
      <c r="AY2636" s="119"/>
      <c r="AZ2636" s="137">
        <v>45965</v>
      </c>
    </row>
    <row r="2637" spans="1:52" ht="17.100000000000001" customHeight="1" thickBot="1">
      <c r="A2637" s="110"/>
      <c r="B2637" s="27" t="s">
        <v>2511</v>
      </c>
      <c r="C2637" s="27">
        <v>30082</v>
      </c>
      <c r="D2637" s="14" t="s">
        <v>2601</v>
      </c>
      <c r="E2637" s="112"/>
      <c r="F2637" s="139" t="s">
        <v>8723</v>
      </c>
      <c r="G2637" s="140"/>
      <c r="H2637" s="141"/>
      <c r="I2637" s="26">
        <v>57261</v>
      </c>
      <c r="J2637" s="117"/>
      <c r="K2637" s="120"/>
      <c r="L2637" s="121"/>
      <c r="M2637" s="120"/>
      <c r="N2637" s="121"/>
      <c r="O2637" s="120"/>
      <c r="P2637" s="121"/>
      <c r="Q2637" s="120"/>
      <c r="R2637" s="121"/>
      <c r="S2637" s="120"/>
      <c r="T2637" s="121"/>
      <c r="U2637" s="120"/>
      <c r="V2637" s="123"/>
      <c r="W2637" s="125"/>
      <c r="X2637" s="142" t="s">
        <v>9453</v>
      </c>
      <c r="Y2637" s="143"/>
      <c r="Z2637" s="143"/>
      <c r="AA2637" s="143"/>
      <c r="AB2637" s="144"/>
      <c r="AC2637" s="16" t="s">
        <v>21</v>
      </c>
      <c r="AD2637" s="17" t="s">
        <v>3341</v>
      </c>
      <c r="AE2637" s="145" t="s">
        <v>7847</v>
      </c>
      <c r="AF2637" s="146"/>
      <c r="AG2637" s="146"/>
      <c r="AH2637" s="146"/>
      <c r="AI2637" s="147"/>
      <c r="AJ2637" s="148"/>
      <c r="AK2637" s="143"/>
      <c r="AL2637" s="144"/>
      <c r="AM2637" s="22"/>
      <c r="AN2637" s="149" t="s">
        <v>2794</v>
      </c>
      <c r="AO2637" s="144"/>
      <c r="AP2637" s="148">
        <v>6081</v>
      </c>
      <c r="AQ2637" s="144"/>
      <c r="AR2637" s="120"/>
      <c r="AS2637" s="121"/>
      <c r="AT2637" s="120"/>
      <c r="AU2637" s="121"/>
      <c r="AV2637" s="120"/>
      <c r="AW2637" s="121"/>
      <c r="AX2637" s="120"/>
      <c r="AY2637" s="121"/>
      <c r="AZ2637" s="138"/>
    </row>
    <row r="2638" spans="1:52" ht="17.100000000000001" customHeight="1" thickTop="1">
      <c r="A2638" s="109" t="s">
        <v>8777</v>
      </c>
      <c r="B2638" s="28">
        <v>45948</v>
      </c>
      <c r="C2638" s="25">
        <v>1272</v>
      </c>
      <c r="D2638" s="13" t="s">
        <v>3530</v>
      </c>
      <c r="E2638" s="111"/>
      <c r="F2638" s="113" t="s">
        <v>8724</v>
      </c>
      <c r="G2638" s="114"/>
      <c r="H2638" s="115"/>
      <c r="I2638" s="24"/>
      <c r="J2638" s="116">
        <v>4</v>
      </c>
      <c r="K2638" s="118">
        <v>1075000</v>
      </c>
      <c r="L2638" s="119"/>
      <c r="M2638" s="118">
        <f t="shared" ref="M2638" si="1285">K2638*0.1</f>
        <v>107500</v>
      </c>
      <c r="N2638" s="119"/>
      <c r="O2638" s="118">
        <v>0</v>
      </c>
      <c r="P2638" s="119"/>
      <c r="Q2638" s="118">
        <v>8790</v>
      </c>
      <c r="R2638" s="119"/>
      <c r="S2638" s="118">
        <v>12100</v>
      </c>
      <c r="T2638" s="119"/>
      <c r="U2638" s="118">
        <f t="shared" ref="U2638" si="1286">SUM(K2638:T2639)</f>
        <v>1203390</v>
      </c>
      <c r="V2638" s="122"/>
      <c r="W2638" s="124"/>
      <c r="X2638" s="126" t="s">
        <v>9456</v>
      </c>
      <c r="Y2638" s="127"/>
      <c r="Z2638" s="127"/>
      <c r="AA2638" s="127"/>
      <c r="AB2638" s="128"/>
      <c r="AC2638" s="15" t="s">
        <v>20</v>
      </c>
      <c r="AD2638" s="129"/>
      <c r="AE2638" s="130"/>
      <c r="AF2638" s="130"/>
      <c r="AG2638" s="130"/>
      <c r="AH2638" s="130"/>
      <c r="AI2638" s="131"/>
      <c r="AJ2638" s="132"/>
      <c r="AK2638" s="127"/>
      <c r="AL2638" s="128"/>
      <c r="AM2638" s="21"/>
      <c r="AN2638" s="133">
        <v>45952</v>
      </c>
      <c r="AO2638" s="134"/>
      <c r="AP2638" s="135">
        <v>989</v>
      </c>
      <c r="AQ2638" s="136"/>
      <c r="AR2638" s="118">
        <v>1170000</v>
      </c>
      <c r="AS2638" s="119"/>
      <c r="AT2638" s="118">
        <f t="shared" ref="AT2638" si="1287">AR2638*0.1</f>
        <v>117000</v>
      </c>
      <c r="AU2638" s="119"/>
      <c r="AV2638" s="118">
        <v>8790</v>
      </c>
      <c r="AW2638" s="119"/>
      <c r="AX2638" s="118">
        <f t="shared" ref="AX2638" si="1288">SUM(AR2638:AW2638)</f>
        <v>1295790</v>
      </c>
      <c r="AY2638" s="119"/>
      <c r="AZ2638" s="137">
        <v>45958</v>
      </c>
    </row>
    <row r="2639" spans="1:52" ht="17.100000000000001" customHeight="1" thickBot="1">
      <c r="A2639" s="110"/>
      <c r="B2639" s="27" t="s">
        <v>2511</v>
      </c>
      <c r="C2639" s="27">
        <v>31091</v>
      </c>
      <c r="D2639" s="14" t="s">
        <v>3327</v>
      </c>
      <c r="E2639" s="112"/>
      <c r="F2639" s="139" t="s">
        <v>8725</v>
      </c>
      <c r="G2639" s="140"/>
      <c r="H2639" s="141"/>
      <c r="I2639" s="26">
        <v>29774</v>
      </c>
      <c r="J2639" s="117"/>
      <c r="K2639" s="120"/>
      <c r="L2639" s="121"/>
      <c r="M2639" s="120"/>
      <c r="N2639" s="121"/>
      <c r="O2639" s="120"/>
      <c r="P2639" s="121"/>
      <c r="Q2639" s="120"/>
      <c r="R2639" s="121"/>
      <c r="S2639" s="120"/>
      <c r="T2639" s="121"/>
      <c r="U2639" s="120"/>
      <c r="V2639" s="123"/>
      <c r="W2639" s="125"/>
      <c r="X2639" s="142" t="s">
        <v>9457</v>
      </c>
      <c r="Y2639" s="143"/>
      <c r="Z2639" s="143"/>
      <c r="AA2639" s="143"/>
      <c r="AB2639" s="144"/>
      <c r="AC2639" s="16" t="s">
        <v>21</v>
      </c>
      <c r="AD2639" s="17" t="s">
        <v>3980</v>
      </c>
      <c r="AE2639" s="145"/>
      <c r="AF2639" s="146"/>
      <c r="AG2639" s="146"/>
      <c r="AH2639" s="146"/>
      <c r="AI2639" s="147"/>
      <c r="AJ2639" s="148"/>
      <c r="AK2639" s="143"/>
      <c r="AL2639" s="144"/>
      <c r="AM2639" s="22"/>
      <c r="AN2639" s="149" t="s">
        <v>2794</v>
      </c>
      <c r="AO2639" s="144"/>
      <c r="AP2639" s="148">
        <v>2120</v>
      </c>
      <c r="AQ2639" s="144"/>
      <c r="AR2639" s="120"/>
      <c r="AS2639" s="121"/>
      <c r="AT2639" s="120"/>
      <c r="AU2639" s="121"/>
      <c r="AV2639" s="120"/>
      <c r="AW2639" s="121"/>
      <c r="AX2639" s="120"/>
      <c r="AY2639" s="121"/>
      <c r="AZ2639" s="138"/>
    </row>
    <row r="2640" spans="1:52" ht="17.100000000000001" customHeight="1" thickTop="1">
      <c r="A2640" s="109" t="s">
        <v>8778</v>
      </c>
      <c r="B2640" s="28">
        <v>45948</v>
      </c>
      <c r="C2640" s="25">
        <v>1272</v>
      </c>
      <c r="D2640" s="13" t="s">
        <v>2477</v>
      </c>
      <c r="E2640" s="111"/>
      <c r="F2640" s="113" t="s">
        <v>2598</v>
      </c>
      <c r="G2640" s="114"/>
      <c r="H2640" s="115"/>
      <c r="I2640" s="24" t="s">
        <v>8745</v>
      </c>
      <c r="J2640" s="150" t="s">
        <v>4203</v>
      </c>
      <c r="K2640" s="118">
        <v>1560000</v>
      </c>
      <c r="L2640" s="119"/>
      <c r="M2640" s="118">
        <f t="shared" ref="M2640" si="1289">K2640*0.1</f>
        <v>156000</v>
      </c>
      <c r="N2640" s="119"/>
      <c r="O2640" s="118">
        <v>0</v>
      </c>
      <c r="P2640" s="119"/>
      <c r="Q2640" s="118">
        <v>7150</v>
      </c>
      <c r="R2640" s="119"/>
      <c r="S2640" s="118">
        <v>9900</v>
      </c>
      <c r="T2640" s="119"/>
      <c r="U2640" s="118">
        <f t="shared" ref="U2640" si="1290">SUM(K2640:T2641)</f>
        <v>1733050</v>
      </c>
      <c r="V2640" s="122"/>
      <c r="W2640" s="124"/>
      <c r="X2640" s="126" t="s">
        <v>8746</v>
      </c>
      <c r="Y2640" s="127"/>
      <c r="Z2640" s="127"/>
      <c r="AA2640" s="127"/>
      <c r="AB2640" s="128"/>
      <c r="AC2640" s="15" t="s">
        <v>20</v>
      </c>
      <c r="AD2640" s="129" t="s">
        <v>1633</v>
      </c>
      <c r="AE2640" s="130"/>
      <c r="AF2640" s="130"/>
      <c r="AG2640" s="130"/>
      <c r="AH2640" s="130"/>
      <c r="AI2640" s="131"/>
      <c r="AJ2640" s="132"/>
      <c r="AK2640" s="127"/>
      <c r="AL2640" s="128"/>
      <c r="AM2640" s="21"/>
      <c r="AN2640" s="133">
        <v>45958</v>
      </c>
      <c r="AO2640" s="134"/>
      <c r="AP2640" s="135">
        <v>1915</v>
      </c>
      <c r="AQ2640" s="136"/>
      <c r="AR2640" s="118">
        <v>1635000</v>
      </c>
      <c r="AS2640" s="119"/>
      <c r="AT2640" s="118">
        <f t="shared" ref="AT2640" si="1291">AR2640*0.1</f>
        <v>163500</v>
      </c>
      <c r="AU2640" s="119"/>
      <c r="AV2640" s="118">
        <v>7150</v>
      </c>
      <c r="AW2640" s="119"/>
      <c r="AX2640" s="118">
        <f t="shared" ref="AX2640" si="1292">SUM(AR2640:AW2640)</f>
        <v>1805650</v>
      </c>
      <c r="AY2640" s="119"/>
      <c r="AZ2640" s="137">
        <v>45971</v>
      </c>
    </row>
    <row r="2641" spans="1:52" ht="17.100000000000001" customHeight="1" thickBot="1">
      <c r="A2641" s="110"/>
      <c r="B2641" s="27" t="s">
        <v>2511</v>
      </c>
      <c r="C2641" s="27">
        <v>60397</v>
      </c>
      <c r="D2641" s="14" t="s">
        <v>2601</v>
      </c>
      <c r="E2641" s="112"/>
      <c r="F2641" s="139" t="s">
        <v>8744</v>
      </c>
      <c r="G2641" s="140"/>
      <c r="H2641" s="141"/>
      <c r="I2641" s="26">
        <v>3093</v>
      </c>
      <c r="J2641" s="117"/>
      <c r="K2641" s="120"/>
      <c r="L2641" s="121"/>
      <c r="M2641" s="120"/>
      <c r="N2641" s="121"/>
      <c r="O2641" s="120"/>
      <c r="P2641" s="121"/>
      <c r="Q2641" s="120"/>
      <c r="R2641" s="121"/>
      <c r="S2641" s="120"/>
      <c r="T2641" s="121"/>
      <c r="U2641" s="120"/>
      <c r="V2641" s="123"/>
      <c r="W2641" s="125"/>
      <c r="X2641" s="142" t="s">
        <v>9420</v>
      </c>
      <c r="Y2641" s="143"/>
      <c r="Z2641" s="143"/>
      <c r="AA2641" s="143"/>
      <c r="AB2641" s="144"/>
      <c r="AC2641" s="16" t="s">
        <v>21</v>
      </c>
      <c r="AD2641" s="17" t="s">
        <v>3341</v>
      </c>
      <c r="AE2641" s="145" t="s">
        <v>3925</v>
      </c>
      <c r="AF2641" s="146"/>
      <c r="AG2641" s="146"/>
      <c r="AH2641" s="146"/>
      <c r="AI2641" s="147"/>
      <c r="AJ2641" s="148"/>
      <c r="AK2641" s="143"/>
      <c r="AL2641" s="144"/>
      <c r="AM2641" s="22"/>
      <c r="AN2641" s="149" t="s">
        <v>7644</v>
      </c>
      <c r="AO2641" s="144"/>
      <c r="AP2641" s="148">
        <v>3051</v>
      </c>
      <c r="AQ2641" s="144"/>
      <c r="AR2641" s="120"/>
      <c r="AS2641" s="121"/>
      <c r="AT2641" s="120"/>
      <c r="AU2641" s="121"/>
      <c r="AV2641" s="120"/>
      <c r="AW2641" s="121"/>
      <c r="AX2641" s="120"/>
      <c r="AY2641" s="121"/>
      <c r="AZ2641" s="138"/>
    </row>
    <row r="2642" spans="1:52" ht="17.100000000000001" customHeight="1" thickTop="1">
      <c r="A2642" s="109" t="s">
        <v>8779</v>
      </c>
      <c r="B2642" s="28">
        <v>45948</v>
      </c>
      <c r="C2642" s="25">
        <v>1272</v>
      </c>
      <c r="D2642" s="13" t="s">
        <v>1839</v>
      </c>
      <c r="E2642" s="111"/>
      <c r="F2642" s="113" t="s">
        <v>2993</v>
      </c>
      <c r="G2642" s="114"/>
      <c r="H2642" s="115"/>
      <c r="I2642" s="24" t="s">
        <v>8748</v>
      </c>
      <c r="J2642" s="116">
        <v>3.5</v>
      </c>
      <c r="K2642" s="118">
        <v>93000</v>
      </c>
      <c r="L2642" s="119"/>
      <c r="M2642" s="118">
        <f t="shared" ref="M2642" si="1293">K2642*0.1</f>
        <v>9300</v>
      </c>
      <c r="N2642" s="119"/>
      <c r="O2642" s="118">
        <v>0</v>
      </c>
      <c r="P2642" s="119"/>
      <c r="Q2642" s="118">
        <v>8860</v>
      </c>
      <c r="R2642" s="119"/>
      <c r="S2642" s="118">
        <v>9900</v>
      </c>
      <c r="T2642" s="119"/>
      <c r="U2642" s="118">
        <f t="shared" ref="U2642" si="1294">SUM(K2642:T2643)</f>
        <v>121060</v>
      </c>
      <c r="V2642" s="122"/>
      <c r="W2642" s="124"/>
      <c r="X2642" s="126" t="s">
        <v>8749</v>
      </c>
      <c r="Y2642" s="127"/>
      <c r="Z2642" s="127"/>
      <c r="AA2642" s="127"/>
      <c r="AB2642" s="128"/>
      <c r="AC2642" s="15" t="s">
        <v>20</v>
      </c>
      <c r="AD2642" s="129" t="s">
        <v>1670</v>
      </c>
      <c r="AE2642" s="130"/>
      <c r="AF2642" s="130"/>
      <c r="AG2642" s="130"/>
      <c r="AH2642" s="130"/>
      <c r="AI2642" s="131"/>
      <c r="AJ2642" s="132"/>
      <c r="AK2642" s="127"/>
      <c r="AL2642" s="128"/>
      <c r="AM2642" s="21"/>
      <c r="AN2642" s="133">
        <v>45955</v>
      </c>
      <c r="AO2642" s="134"/>
      <c r="AP2642" s="135">
        <v>1273</v>
      </c>
      <c r="AQ2642" s="136"/>
      <c r="AR2642" s="118">
        <v>144000</v>
      </c>
      <c r="AS2642" s="119"/>
      <c r="AT2642" s="118">
        <f t="shared" ref="AT2642" si="1295">AR2642*0.1</f>
        <v>14400</v>
      </c>
      <c r="AU2642" s="119"/>
      <c r="AV2642" s="118">
        <v>8860</v>
      </c>
      <c r="AW2642" s="119"/>
      <c r="AX2642" s="118">
        <f t="shared" ref="AX2642" si="1296">SUM(AR2642:AW2642)</f>
        <v>167260</v>
      </c>
      <c r="AY2642" s="119"/>
      <c r="AZ2642" s="137">
        <v>45958</v>
      </c>
    </row>
    <row r="2643" spans="1:52" ht="17.100000000000001" customHeight="1" thickBot="1">
      <c r="A2643" s="110"/>
      <c r="B2643" s="27" t="s">
        <v>2511</v>
      </c>
      <c r="C2643" s="27">
        <v>63202</v>
      </c>
      <c r="D2643" s="14" t="s">
        <v>1576</v>
      </c>
      <c r="E2643" s="112"/>
      <c r="F2643" s="139" t="s">
        <v>8747</v>
      </c>
      <c r="G2643" s="140"/>
      <c r="H2643" s="141"/>
      <c r="I2643" s="26">
        <v>160148</v>
      </c>
      <c r="J2643" s="117"/>
      <c r="K2643" s="120"/>
      <c r="L2643" s="121"/>
      <c r="M2643" s="120"/>
      <c r="N2643" s="121"/>
      <c r="O2643" s="120"/>
      <c r="P2643" s="121"/>
      <c r="Q2643" s="120"/>
      <c r="R2643" s="121"/>
      <c r="S2643" s="120"/>
      <c r="T2643" s="121"/>
      <c r="U2643" s="120"/>
      <c r="V2643" s="123"/>
      <c r="W2643" s="125"/>
      <c r="X2643" s="142" t="s">
        <v>9418</v>
      </c>
      <c r="Y2643" s="143"/>
      <c r="Z2643" s="143"/>
      <c r="AA2643" s="143"/>
      <c r="AB2643" s="144"/>
      <c r="AC2643" s="16" t="s">
        <v>21</v>
      </c>
      <c r="AD2643" s="17" t="s">
        <v>3341</v>
      </c>
      <c r="AE2643" s="145" t="s">
        <v>8092</v>
      </c>
      <c r="AF2643" s="146"/>
      <c r="AG2643" s="146"/>
      <c r="AH2643" s="146"/>
      <c r="AI2643" s="147"/>
      <c r="AJ2643" s="148"/>
      <c r="AK2643" s="143"/>
      <c r="AL2643" s="144"/>
      <c r="AM2643" s="22"/>
      <c r="AN2643" s="149" t="s">
        <v>2511</v>
      </c>
      <c r="AO2643" s="144"/>
      <c r="AP2643" s="148">
        <v>90254</v>
      </c>
      <c r="AQ2643" s="144"/>
      <c r="AR2643" s="120"/>
      <c r="AS2643" s="121"/>
      <c r="AT2643" s="120"/>
      <c r="AU2643" s="121"/>
      <c r="AV2643" s="120"/>
      <c r="AW2643" s="121"/>
      <c r="AX2643" s="120"/>
      <c r="AY2643" s="121"/>
      <c r="AZ2643" s="138"/>
    </row>
    <row r="2644" spans="1:52" ht="17.100000000000001" customHeight="1" thickTop="1">
      <c r="A2644" s="109" t="s">
        <v>8780</v>
      </c>
      <c r="B2644" s="28">
        <v>45948</v>
      </c>
      <c r="C2644" s="25">
        <v>1272</v>
      </c>
      <c r="D2644" s="13" t="s">
        <v>2022</v>
      </c>
      <c r="E2644" s="111"/>
      <c r="F2644" s="113" t="s">
        <v>8726</v>
      </c>
      <c r="G2644" s="114"/>
      <c r="H2644" s="115"/>
      <c r="I2644" s="24"/>
      <c r="J2644" s="116">
        <v>4</v>
      </c>
      <c r="K2644" s="118">
        <v>585000</v>
      </c>
      <c r="L2644" s="119"/>
      <c r="M2644" s="118">
        <f t="shared" ref="M2644" si="1297">K2644*0.1</f>
        <v>58500</v>
      </c>
      <c r="N2644" s="119"/>
      <c r="O2644" s="118">
        <v>0</v>
      </c>
      <c r="P2644" s="119"/>
      <c r="Q2644" s="118">
        <v>8230</v>
      </c>
      <c r="R2644" s="119"/>
      <c r="S2644" s="118">
        <v>13200</v>
      </c>
      <c r="T2644" s="119"/>
      <c r="U2644" s="118">
        <f t="shared" ref="U2644" si="1298">SUM(K2644:T2645)</f>
        <v>664930</v>
      </c>
      <c r="V2644" s="122"/>
      <c r="W2644" s="124"/>
      <c r="X2644" s="126" t="s">
        <v>9416</v>
      </c>
      <c r="Y2644" s="127"/>
      <c r="Z2644" s="127"/>
      <c r="AA2644" s="127"/>
      <c r="AB2644" s="128"/>
      <c r="AC2644" s="15" t="s">
        <v>20</v>
      </c>
      <c r="AD2644" s="129" t="s">
        <v>8728</v>
      </c>
      <c r="AE2644" s="130"/>
      <c r="AF2644" s="130"/>
      <c r="AG2644" s="130"/>
      <c r="AH2644" s="130"/>
      <c r="AI2644" s="131"/>
      <c r="AJ2644" s="132"/>
      <c r="AK2644" s="127"/>
      <c r="AL2644" s="128"/>
      <c r="AM2644" s="21"/>
      <c r="AN2644" s="133">
        <v>45966</v>
      </c>
      <c r="AO2644" s="134"/>
      <c r="AP2644" s="135">
        <v>991</v>
      </c>
      <c r="AQ2644" s="136"/>
      <c r="AR2644" s="118">
        <v>655000</v>
      </c>
      <c r="AS2644" s="119"/>
      <c r="AT2644" s="118">
        <f t="shared" ref="AT2644" si="1299">AR2644*0.1</f>
        <v>65500</v>
      </c>
      <c r="AU2644" s="119"/>
      <c r="AV2644" s="118">
        <v>8230</v>
      </c>
      <c r="AW2644" s="119"/>
      <c r="AX2644" s="118">
        <f t="shared" ref="AX2644" si="1300">SUM(AR2644:AW2644)</f>
        <v>728730</v>
      </c>
      <c r="AY2644" s="119"/>
      <c r="AZ2644" s="137">
        <v>45971</v>
      </c>
    </row>
    <row r="2645" spans="1:52" ht="17.100000000000001" customHeight="1" thickBot="1">
      <c r="A2645" s="110"/>
      <c r="B2645" s="27" t="s">
        <v>2511</v>
      </c>
      <c r="C2645" s="27">
        <v>65193</v>
      </c>
      <c r="D2645" s="14" t="s">
        <v>275</v>
      </c>
      <c r="E2645" s="112"/>
      <c r="F2645" s="139" t="s">
        <v>8727</v>
      </c>
      <c r="G2645" s="140"/>
      <c r="H2645" s="141"/>
      <c r="I2645" s="26">
        <v>76076</v>
      </c>
      <c r="J2645" s="117"/>
      <c r="K2645" s="120"/>
      <c r="L2645" s="121"/>
      <c r="M2645" s="120"/>
      <c r="N2645" s="121"/>
      <c r="O2645" s="120"/>
      <c r="P2645" s="121"/>
      <c r="Q2645" s="120"/>
      <c r="R2645" s="121"/>
      <c r="S2645" s="120"/>
      <c r="T2645" s="121"/>
      <c r="U2645" s="120"/>
      <c r="V2645" s="123"/>
      <c r="W2645" s="125"/>
      <c r="X2645" s="142" t="s">
        <v>2918</v>
      </c>
      <c r="Y2645" s="143"/>
      <c r="Z2645" s="143"/>
      <c r="AA2645" s="143"/>
      <c r="AB2645" s="144"/>
      <c r="AC2645" s="16" t="s">
        <v>21</v>
      </c>
      <c r="AD2645" s="17" t="s">
        <v>3341</v>
      </c>
      <c r="AE2645" s="145" t="s">
        <v>9417</v>
      </c>
      <c r="AF2645" s="146"/>
      <c r="AG2645" s="146"/>
      <c r="AH2645" s="146"/>
      <c r="AI2645" s="147"/>
      <c r="AJ2645" s="148"/>
      <c r="AK2645" s="143"/>
      <c r="AL2645" s="144"/>
      <c r="AM2645" s="22"/>
      <c r="AN2645" s="149" t="s">
        <v>2794</v>
      </c>
      <c r="AO2645" s="144"/>
      <c r="AP2645" s="148">
        <v>2025</v>
      </c>
      <c r="AQ2645" s="144"/>
      <c r="AR2645" s="120"/>
      <c r="AS2645" s="121"/>
      <c r="AT2645" s="120"/>
      <c r="AU2645" s="121"/>
      <c r="AV2645" s="120"/>
      <c r="AW2645" s="121"/>
      <c r="AX2645" s="120"/>
      <c r="AY2645" s="121"/>
      <c r="AZ2645" s="138"/>
    </row>
    <row r="2646" spans="1:52" ht="17.100000000000001" customHeight="1" thickTop="1">
      <c r="A2646" s="109" t="s">
        <v>8781</v>
      </c>
      <c r="B2646" s="28">
        <v>45948</v>
      </c>
      <c r="C2646" s="25">
        <v>1272</v>
      </c>
      <c r="D2646" s="13" t="s">
        <v>2465</v>
      </c>
      <c r="E2646" s="111"/>
      <c r="F2646" s="113" t="s">
        <v>8729</v>
      </c>
      <c r="G2646" s="114"/>
      <c r="H2646" s="115"/>
      <c r="I2646" s="24" t="s">
        <v>8731</v>
      </c>
      <c r="J2646" s="116">
        <v>4</v>
      </c>
      <c r="K2646" s="118">
        <v>515000</v>
      </c>
      <c r="L2646" s="119"/>
      <c r="M2646" s="118">
        <f t="shared" ref="M2646" si="1301">K2646*0.1</f>
        <v>51500</v>
      </c>
      <c r="N2646" s="119"/>
      <c r="O2646" s="118">
        <v>0</v>
      </c>
      <c r="P2646" s="119"/>
      <c r="Q2646" s="118">
        <v>9290</v>
      </c>
      <c r="R2646" s="119"/>
      <c r="S2646" s="118">
        <v>12100</v>
      </c>
      <c r="T2646" s="119"/>
      <c r="U2646" s="118">
        <f t="shared" ref="U2646" si="1302">SUM(K2646:T2647)</f>
        <v>587890</v>
      </c>
      <c r="V2646" s="122"/>
      <c r="W2646" s="124"/>
      <c r="X2646" s="126" t="s">
        <v>8732</v>
      </c>
      <c r="Y2646" s="127"/>
      <c r="Z2646" s="127"/>
      <c r="AA2646" s="127"/>
      <c r="AB2646" s="128"/>
      <c r="AC2646" s="15" t="s">
        <v>20</v>
      </c>
      <c r="AD2646" s="129"/>
      <c r="AE2646" s="130"/>
      <c r="AF2646" s="130"/>
      <c r="AG2646" s="130"/>
      <c r="AH2646" s="130"/>
      <c r="AI2646" s="131"/>
      <c r="AJ2646" s="132"/>
      <c r="AK2646" s="127"/>
      <c r="AL2646" s="128"/>
      <c r="AM2646" s="21" t="s">
        <v>11036</v>
      </c>
      <c r="AN2646" s="133">
        <v>45980</v>
      </c>
      <c r="AO2646" s="134"/>
      <c r="AP2646" s="135">
        <v>993</v>
      </c>
      <c r="AQ2646" s="136"/>
      <c r="AR2646" s="118">
        <v>580000</v>
      </c>
      <c r="AS2646" s="119"/>
      <c r="AT2646" s="118">
        <f t="shared" ref="AT2646" si="1303">AR2646*0.1</f>
        <v>58000</v>
      </c>
      <c r="AU2646" s="119"/>
      <c r="AV2646" s="118">
        <v>9290</v>
      </c>
      <c r="AW2646" s="119"/>
      <c r="AX2646" s="118">
        <f t="shared" ref="AX2646" si="1304">SUM(AR2646:AW2646)</f>
        <v>647290</v>
      </c>
      <c r="AY2646" s="119"/>
      <c r="AZ2646" s="137">
        <v>45986</v>
      </c>
    </row>
    <row r="2647" spans="1:52" ht="17.100000000000001" customHeight="1" thickBot="1">
      <c r="A2647" s="110"/>
      <c r="B2647" s="27" t="s">
        <v>2511</v>
      </c>
      <c r="C2647" s="27">
        <v>65278</v>
      </c>
      <c r="D2647" s="14" t="s">
        <v>275</v>
      </c>
      <c r="E2647" s="112"/>
      <c r="F2647" s="139" t="s">
        <v>8730</v>
      </c>
      <c r="G2647" s="140"/>
      <c r="H2647" s="141"/>
      <c r="I2647" s="26">
        <v>74057</v>
      </c>
      <c r="J2647" s="117"/>
      <c r="K2647" s="120"/>
      <c r="L2647" s="121"/>
      <c r="M2647" s="120"/>
      <c r="N2647" s="121"/>
      <c r="O2647" s="120"/>
      <c r="P2647" s="121"/>
      <c r="Q2647" s="120"/>
      <c r="R2647" s="121"/>
      <c r="S2647" s="120"/>
      <c r="T2647" s="121"/>
      <c r="U2647" s="120"/>
      <c r="V2647" s="123"/>
      <c r="W2647" s="125"/>
      <c r="X2647" s="142" t="s">
        <v>9421</v>
      </c>
      <c r="Y2647" s="143"/>
      <c r="Z2647" s="143"/>
      <c r="AA2647" s="143"/>
      <c r="AB2647" s="144"/>
      <c r="AC2647" s="16" t="s">
        <v>21</v>
      </c>
      <c r="AD2647" s="17" t="s">
        <v>3341</v>
      </c>
      <c r="AE2647" s="145" t="s">
        <v>3925</v>
      </c>
      <c r="AF2647" s="146"/>
      <c r="AG2647" s="146"/>
      <c r="AH2647" s="146"/>
      <c r="AI2647" s="147"/>
      <c r="AJ2647" s="148"/>
      <c r="AK2647" s="143"/>
      <c r="AL2647" s="144"/>
      <c r="AM2647" s="22"/>
      <c r="AN2647" s="149" t="s">
        <v>2794</v>
      </c>
      <c r="AO2647" s="144"/>
      <c r="AP2647" s="148">
        <v>2090</v>
      </c>
      <c r="AQ2647" s="144"/>
      <c r="AR2647" s="120"/>
      <c r="AS2647" s="121"/>
      <c r="AT2647" s="120"/>
      <c r="AU2647" s="121"/>
      <c r="AV2647" s="120"/>
      <c r="AW2647" s="121"/>
      <c r="AX2647" s="120"/>
      <c r="AY2647" s="121"/>
      <c r="AZ2647" s="138"/>
    </row>
    <row r="2648" spans="1:52" ht="17.100000000000001" customHeight="1" thickTop="1">
      <c r="A2648" s="109" t="s">
        <v>8782</v>
      </c>
      <c r="B2648" s="28">
        <v>45948</v>
      </c>
      <c r="C2648" s="25">
        <v>1272</v>
      </c>
      <c r="D2648" s="13" t="s">
        <v>2941</v>
      </c>
      <c r="E2648" s="111"/>
      <c r="F2648" s="113" t="s">
        <v>2993</v>
      </c>
      <c r="G2648" s="114"/>
      <c r="H2648" s="115"/>
      <c r="I2648" s="24"/>
      <c r="J2648" s="116">
        <v>4.5</v>
      </c>
      <c r="K2648" s="118">
        <v>520000</v>
      </c>
      <c r="L2648" s="119"/>
      <c r="M2648" s="118">
        <f t="shared" ref="M2648" si="1305">K2648*0.1</f>
        <v>52000</v>
      </c>
      <c r="N2648" s="119"/>
      <c r="O2648" s="118">
        <v>0</v>
      </c>
      <c r="P2648" s="119"/>
      <c r="Q2648" s="118">
        <v>8400</v>
      </c>
      <c r="R2648" s="119"/>
      <c r="S2648" s="118">
        <v>12100</v>
      </c>
      <c r="T2648" s="119"/>
      <c r="U2648" s="118">
        <f t="shared" ref="U2648" si="1306">SUM(K2648:T2649)</f>
        <v>592500</v>
      </c>
      <c r="V2648" s="122"/>
      <c r="W2648" s="124"/>
      <c r="X2648" s="126" t="s">
        <v>9422</v>
      </c>
      <c r="Y2648" s="127"/>
      <c r="Z2648" s="127"/>
      <c r="AA2648" s="127"/>
      <c r="AB2648" s="128"/>
      <c r="AC2648" s="15" t="s">
        <v>20</v>
      </c>
      <c r="AD2648" s="129" t="s">
        <v>1732</v>
      </c>
      <c r="AE2648" s="130"/>
      <c r="AF2648" s="130"/>
      <c r="AG2648" s="130"/>
      <c r="AH2648" s="130"/>
      <c r="AI2648" s="131"/>
      <c r="AJ2648" s="132"/>
      <c r="AK2648" s="127"/>
      <c r="AL2648" s="128"/>
      <c r="AM2648" s="21"/>
      <c r="AN2648" s="133">
        <v>45966</v>
      </c>
      <c r="AO2648" s="134"/>
      <c r="AP2648" s="135">
        <v>991</v>
      </c>
      <c r="AQ2648" s="136"/>
      <c r="AR2648" s="118">
        <v>595000</v>
      </c>
      <c r="AS2648" s="119"/>
      <c r="AT2648" s="118">
        <f t="shared" ref="AT2648" si="1307">AR2648*0.1</f>
        <v>59500</v>
      </c>
      <c r="AU2648" s="119"/>
      <c r="AV2648" s="118">
        <v>8400</v>
      </c>
      <c r="AW2648" s="119"/>
      <c r="AX2648" s="118">
        <f t="shared" ref="AX2648" si="1308">SUM(AR2648:AW2648)</f>
        <v>662900</v>
      </c>
      <c r="AY2648" s="119"/>
      <c r="AZ2648" s="137">
        <v>45971</v>
      </c>
    </row>
    <row r="2649" spans="1:52" ht="17.100000000000001" customHeight="1" thickBot="1">
      <c r="A2649" s="110"/>
      <c r="B2649" s="27" t="s">
        <v>2511</v>
      </c>
      <c r="C2649" s="27">
        <v>65461</v>
      </c>
      <c r="D2649" s="14" t="s">
        <v>2836</v>
      </c>
      <c r="E2649" s="112"/>
      <c r="F2649" s="139" t="s">
        <v>8733</v>
      </c>
      <c r="G2649" s="140"/>
      <c r="H2649" s="141"/>
      <c r="I2649" s="26">
        <v>75714</v>
      </c>
      <c r="J2649" s="117"/>
      <c r="K2649" s="120"/>
      <c r="L2649" s="121"/>
      <c r="M2649" s="120"/>
      <c r="N2649" s="121"/>
      <c r="O2649" s="120"/>
      <c r="P2649" s="121"/>
      <c r="Q2649" s="120"/>
      <c r="R2649" s="121"/>
      <c r="S2649" s="120"/>
      <c r="T2649" s="121"/>
      <c r="U2649" s="120"/>
      <c r="V2649" s="123"/>
      <c r="W2649" s="125"/>
      <c r="X2649" s="142" t="s">
        <v>9423</v>
      </c>
      <c r="Y2649" s="143"/>
      <c r="Z2649" s="143"/>
      <c r="AA2649" s="143"/>
      <c r="AB2649" s="144"/>
      <c r="AC2649" s="16" t="s">
        <v>21</v>
      </c>
      <c r="AD2649" s="17" t="s">
        <v>3341</v>
      </c>
      <c r="AE2649" s="145" t="s">
        <v>3828</v>
      </c>
      <c r="AF2649" s="146"/>
      <c r="AG2649" s="146"/>
      <c r="AH2649" s="146"/>
      <c r="AI2649" s="147"/>
      <c r="AJ2649" s="148"/>
      <c r="AK2649" s="143"/>
      <c r="AL2649" s="144"/>
      <c r="AM2649" s="22"/>
      <c r="AN2649" s="149" t="s">
        <v>2794</v>
      </c>
      <c r="AO2649" s="144"/>
      <c r="AP2649" s="148">
        <v>2016</v>
      </c>
      <c r="AQ2649" s="144"/>
      <c r="AR2649" s="120"/>
      <c r="AS2649" s="121"/>
      <c r="AT2649" s="120"/>
      <c r="AU2649" s="121"/>
      <c r="AV2649" s="120"/>
      <c r="AW2649" s="121"/>
      <c r="AX2649" s="120"/>
      <c r="AY2649" s="121"/>
      <c r="AZ2649" s="138"/>
    </row>
    <row r="2650" spans="1:52" ht="17.100000000000001" customHeight="1" thickTop="1">
      <c r="A2650" s="109" t="s">
        <v>8783</v>
      </c>
      <c r="B2650" s="28">
        <v>45948</v>
      </c>
      <c r="C2650" s="25">
        <v>1272</v>
      </c>
      <c r="D2650" s="13" t="s">
        <v>1586</v>
      </c>
      <c r="E2650" s="111"/>
      <c r="F2650" s="113" t="s">
        <v>8734</v>
      </c>
      <c r="G2650" s="114"/>
      <c r="H2650" s="115"/>
      <c r="I2650" s="24" t="s">
        <v>6785</v>
      </c>
      <c r="J2650" s="116">
        <v>4.5</v>
      </c>
      <c r="K2650" s="118">
        <v>2280000</v>
      </c>
      <c r="L2650" s="119"/>
      <c r="M2650" s="118">
        <f t="shared" ref="M2650" si="1309">K2650*0.1</f>
        <v>228000</v>
      </c>
      <c r="N2650" s="119"/>
      <c r="O2650" s="118">
        <f>16400+1640</f>
        <v>18040</v>
      </c>
      <c r="P2650" s="119"/>
      <c r="Q2650" s="118">
        <v>21480</v>
      </c>
      <c r="R2650" s="119"/>
      <c r="S2650" s="118">
        <v>16500</v>
      </c>
      <c r="T2650" s="119"/>
      <c r="U2650" s="118">
        <f t="shared" ref="U2650" si="1310">SUM(K2650:T2651)</f>
        <v>2564020</v>
      </c>
      <c r="V2650" s="122"/>
      <c r="W2650" s="124"/>
      <c r="X2650" s="126" t="s">
        <v>8736</v>
      </c>
      <c r="Y2650" s="127"/>
      <c r="Z2650" s="127"/>
      <c r="AA2650" s="127"/>
      <c r="AB2650" s="128"/>
      <c r="AC2650" s="15" t="s">
        <v>20</v>
      </c>
      <c r="AD2650" s="129" t="s">
        <v>3517</v>
      </c>
      <c r="AE2650" s="130"/>
      <c r="AF2650" s="130"/>
      <c r="AG2650" s="130"/>
      <c r="AH2650" s="130"/>
      <c r="AI2650" s="131"/>
      <c r="AJ2650" s="132"/>
      <c r="AK2650" s="127"/>
      <c r="AL2650" s="128"/>
      <c r="AM2650" s="21"/>
      <c r="AN2650" s="133">
        <v>45995</v>
      </c>
      <c r="AO2650" s="134"/>
      <c r="AP2650" s="135">
        <v>1309</v>
      </c>
      <c r="AQ2650" s="136"/>
      <c r="AR2650" s="118">
        <v>2495000</v>
      </c>
      <c r="AS2650" s="119"/>
      <c r="AT2650" s="118">
        <f t="shared" ref="AT2650" si="1311">AR2650*0.1</f>
        <v>249500</v>
      </c>
      <c r="AU2650" s="119"/>
      <c r="AV2650" s="118">
        <v>21480</v>
      </c>
      <c r="AW2650" s="119"/>
      <c r="AX2650" s="118">
        <f t="shared" ref="AX2650" si="1312">SUM(AR2650:AW2650)</f>
        <v>2765980</v>
      </c>
      <c r="AY2650" s="119"/>
      <c r="AZ2650" s="137">
        <v>45996</v>
      </c>
    </row>
    <row r="2651" spans="1:52" ht="17.100000000000001" customHeight="1" thickBot="1">
      <c r="A2651" s="110"/>
      <c r="B2651" s="27" t="s">
        <v>2511</v>
      </c>
      <c r="C2651" s="27">
        <v>82008</v>
      </c>
      <c r="D2651" s="14" t="s">
        <v>55</v>
      </c>
      <c r="E2651" s="112"/>
      <c r="F2651" s="139" t="s">
        <v>8735</v>
      </c>
      <c r="G2651" s="140"/>
      <c r="H2651" s="141"/>
      <c r="I2651" s="26">
        <v>47080</v>
      </c>
      <c r="J2651" s="117"/>
      <c r="K2651" s="120"/>
      <c r="L2651" s="121"/>
      <c r="M2651" s="120"/>
      <c r="N2651" s="121"/>
      <c r="O2651" s="120"/>
      <c r="P2651" s="121"/>
      <c r="Q2651" s="120"/>
      <c r="R2651" s="121"/>
      <c r="S2651" s="120"/>
      <c r="T2651" s="121"/>
      <c r="U2651" s="120"/>
      <c r="V2651" s="123"/>
      <c r="W2651" s="125"/>
      <c r="X2651" s="142" t="s">
        <v>9448</v>
      </c>
      <c r="Y2651" s="143"/>
      <c r="Z2651" s="143"/>
      <c r="AA2651" s="143"/>
      <c r="AB2651" s="144"/>
      <c r="AC2651" s="16" t="s">
        <v>21</v>
      </c>
      <c r="AD2651" s="17" t="s">
        <v>3341</v>
      </c>
      <c r="AE2651" s="145" t="s">
        <v>9449</v>
      </c>
      <c r="AF2651" s="146"/>
      <c r="AG2651" s="146"/>
      <c r="AH2651" s="146"/>
      <c r="AI2651" s="147"/>
      <c r="AJ2651" s="148"/>
      <c r="AK2651" s="143"/>
      <c r="AL2651" s="144"/>
      <c r="AM2651" s="22" t="s">
        <v>3483</v>
      </c>
      <c r="AN2651" s="149" t="s">
        <v>1747</v>
      </c>
      <c r="AO2651" s="144"/>
      <c r="AP2651" s="148">
        <v>24</v>
      </c>
      <c r="AQ2651" s="144"/>
      <c r="AR2651" s="120"/>
      <c r="AS2651" s="121"/>
      <c r="AT2651" s="120"/>
      <c r="AU2651" s="121"/>
      <c r="AV2651" s="120"/>
      <c r="AW2651" s="121"/>
      <c r="AX2651" s="120"/>
      <c r="AY2651" s="121"/>
      <c r="AZ2651" s="138"/>
    </row>
    <row r="2652" spans="1:52" ht="17.100000000000001" customHeight="1" thickTop="1">
      <c r="A2652" s="109" t="s">
        <v>8784</v>
      </c>
      <c r="B2652" s="28">
        <v>45948</v>
      </c>
      <c r="C2652" s="25">
        <v>1272</v>
      </c>
      <c r="D2652" s="13" t="s">
        <v>2859</v>
      </c>
      <c r="E2652" s="111"/>
      <c r="F2652" s="113" t="s">
        <v>8738</v>
      </c>
      <c r="G2652" s="114"/>
      <c r="H2652" s="115"/>
      <c r="I2652" s="24"/>
      <c r="J2652" s="116">
        <v>4</v>
      </c>
      <c r="K2652" s="118">
        <v>750000</v>
      </c>
      <c r="L2652" s="119"/>
      <c r="M2652" s="118">
        <f t="shared" ref="M2652" si="1313">K2652*0.1</f>
        <v>75000</v>
      </c>
      <c r="N2652" s="119"/>
      <c r="O2652" s="118">
        <v>0</v>
      </c>
      <c r="P2652" s="119"/>
      <c r="Q2652" s="118">
        <v>20170</v>
      </c>
      <c r="R2652" s="119"/>
      <c r="S2652" s="118">
        <v>16500</v>
      </c>
      <c r="T2652" s="119"/>
      <c r="U2652" s="118">
        <f t="shared" ref="U2652" si="1314">SUM(K2652:T2653)</f>
        <v>861670</v>
      </c>
      <c r="V2652" s="122"/>
      <c r="W2652" s="124"/>
      <c r="X2652" s="126" t="s">
        <v>9414</v>
      </c>
      <c r="Y2652" s="127"/>
      <c r="Z2652" s="127"/>
      <c r="AA2652" s="127"/>
      <c r="AB2652" s="128"/>
      <c r="AC2652" s="15" t="s">
        <v>20</v>
      </c>
      <c r="AD2652" s="129" t="s">
        <v>1633</v>
      </c>
      <c r="AE2652" s="130"/>
      <c r="AF2652" s="130"/>
      <c r="AG2652" s="130"/>
      <c r="AH2652" s="130"/>
      <c r="AI2652" s="131"/>
      <c r="AJ2652" s="132"/>
      <c r="AK2652" s="127"/>
      <c r="AL2652" s="128"/>
      <c r="AM2652" s="21"/>
      <c r="AN2652" s="133">
        <v>45955</v>
      </c>
      <c r="AO2652" s="134"/>
      <c r="AP2652" s="135">
        <v>1273</v>
      </c>
      <c r="AQ2652" s="136"/>
      <c r="AR2652" s="118">
        <v>860000</v>
      </c>
      <c r="AS2652" s="119"/>
      <c r="AT2652" s="118">
        <f t="shared" ref="AT2652" si="1315">AR2652*0.1</f>
        <v>86000</v>
      </c>
      <c r="AU2652" s="119"/>
      <c r="AV2652" s="118">
        <v>20170</v>
      </c>
      <c r="AW2652" s="119"/>
      <c r="AX2652" s="118">
        <f t="shared" ref="AX2652" si="1316">SUM(AR2652:AW2652)</f>
        <v>966170</v>
      </c>
      <c r="AY2652" s="119"/>
      <c r="AZ2652" s="137">
        <v>45958</v>
      </c>
    </row>
    <row r="2653" spans="1:52" ht="17.100000000000001" customHeight="1" thickBot="1">
      <c r="A2653" s="110"/>
      <c r="B2653" s="27" t="s">
        <v>2511</v>
      </c>
      <c r="C2653" s="27">
        <v>82148</v>
      </c>
      <c r="D2653" s="14" t="s">
        <v>1576</v>
      </c>
      <c r="E2653" s="112"/>
      <c r="F2653" s="139" t="s">
        <v>8739</v>
      </c>
      <c r="G2653" s="140"/>
      <c r="H2653" s="141"/>
      <c r="I2653" s="26">
        <v>59468</v>
      </c>
      <c r="J2653" s="117"/>
      <c r="K2653" s="120"/>
      <c r="L2653" s="121"/>
      <c r="M2653" s="120"/>
      <c r="N2653" s="121"/>
      <c r="O2653" s="120"/>
      <c r="P2653" s="121"/>
      <c r="Q2653" s="120"/>
      <c r="R2653" s="121"/>
      <c r="S2653" s="120"/>
      <c r="T2653" s="121"/>
      <c r="U2653" s="120"/>
      <c r="V2653" s="123"/>
      <c r="W2653" s="125"/>
      <c r="X2653" s="142" t="s">
        <v>9415</v>
      </c>
      <c r="Y2653" s="143"/>
      <c r="Z2653" s="143"/>
      <c r="AA2653" s="143"/>
      <c r="AB2653" s="144"/>
      <c r="AC2653" s="16" t="s">
        <v>21</v>
      </c>
      <c r="AD2653" s="17" t="s">
        <v>3341</v>
      </c>
      <c r="AE2653" s="145" t="s">
        <v>3925</v>
      </c>
      <c r="AF2653" s="146"/>
      <c r="AG2653" s="146"/>
      <c r="AH2653" s="146"/>
      <c r="AI2653" s="147"/>
      <c r="AJ2653" s="148"/>
      <c r="AK2653" s="143"/>
      <c r="AL2653" s="144"/>
      <c r="AM2653" s="22"/>
      <c r="AN2653" s="149" t="s">
        <v>2511</v>
      </c>
      <c r="AO2653" s="144"/>
      <c r="AP2653" s="148">
        <v>80076</v>
      </c>
      <c r="AQ2653" s="144"/>
      <c r="AR2653" s="120"/>
      <c r="AS2653" s="121"/>
      <c r="AT2653" s="120"/>
      <c r="AU2653" s="121"/>
      <c r="AV2653" s="120"/>
      <c r="AW2653" s="121"/>
      <c r="AX2653" s="120"/>
      <c r="AY2653" s="121"/>
      <c r="AZ2653" s="138"/>
    </row>
    <row r="2654" spans="1:52" ht="17.100000000000001" customHeight="1" thickTop="1">
      <c r="A2654" s="109" t="s">
        <v>8785</v>
      </c>
      <c r="B2654" s="28">
        <v>45948</v>
      </c>
      <c r="C2654" s="25">
        <v>1272</v>
      </c>
      <c r="D2654" s="13" t="s">
        <v>3322</v>
      </c>
      <c r="E2654" s="111"/>
      <c r="F2654" s="113" t="s">
        <v>5536</v>
      </c>
      <c r="G2654" s="114"/>
      <c r="H2654" s="115"/>
      <c r="I2654" s="24" t="s">
        <v>2571</v>
      </c>
      <c r="J2654" s="116">
        <v>4.5</v>
      </c>
      <c r="K2654" s="118">
        <v>915000</v>
      </c>
      <c r="L2654" s="119"/>
      <c r="M2654" s="118">
        <f t="shared" ref="M2654" si="1317">K2654*0.1</f>
        <v>91500</v>
      </c>
      <c r="N2654" s="119"/>
      <c r="O2654" s="118">
        <f>12700+1270</f>
        <v>13970</v>
      </c>
      <c r="P2654" s="119"/>
      <c r="Q2654" s="118">
        <v>16240</v>
      </c>
      <c r="R2654" s="119"/>
      <c r="S2654" s="118">
        <v>16500</v>
      </c>
      <c r="T2654" s="119"/>
      <c r="U2654" s="118">
        <f t="shared" ref="U2654" si="1318">SUM(K2654:T2655)</f>
        <v>1053210</v>
      </c>
      <c r="V2654" s="122"/>
      <c r="W2654" s="124"/>
      <c r="X2654" s="126" t="s">
        <v>8741</v>
      </c>
      <c r="Y2654" s="127"/>
      <c r="Z2654" s="127"/>
      <c r="AA2654" s="127"/>
      <c r="AB2654" s="128"/>
      <c r="AC2654" s="15" t="s">
        <v>20</v>
      </c>
      <c r="AD2654" s="129" t="s">
        <v>1732</v>
      </c>
      <c r="AE2654" s="130"/>
      <c r="AF2654" s="130"/>
      <c r="AG2654" s="130"/>
      <c r="AH2654" s="130"/>
      <c r="AI2654" s="131"/>
      <c r="AJ2654" s="132"/>
      <c r="AK2654" s="127"/>
      <c r="AL2654" s="128"/>
      <c r="AM2654" s="21" t="s">
        <v>10396</v>
      </c>
      <c r="AN2654" s="133">
        <v>45997</v>
      </c>
      <c r="AO2654" s="134"/>
      <c r="AP2654" s="135">
        <v>1279</v>
      </c>
      <c r="AQ2654" s="136"/>
      <c r="AR2654" s="118">
        <v>1020000</v>
      </c>
      <c r="AS2654" s="119"/>
      <c r="AT2654" s="118">
        <f t="shared" ref="AT2654" si="1319">AR2654*0.1</f>
        <v>102000</v>
      </c>
      <c r="AU2654" s="119"/>
      <c r="AV2654" s="118">
        <v>16240</v>
      </c>
      <c r="AW2654" s="119"/>
      <c r="AX2654" s="118">
        <f t="shared" ref="AX2654" si="1320">SUM(AR2654:AW2654)</f>
        <v>1138240</v>
      </c>
      <c r="AY2654" s="119"/>
      <c r="AZ2654" s="137">
        <v>46000</v>
      </c>
    </row>
    <row r="2655" spans="1:52" ht="17.100000000000001" customHeight="1" thickBot="1">
      <c r="A2655" s="110"/>
      <c r="B2655" s="27" t="s">
        <v>2511</v>
      </c>
      <c r="C2655" s="27">
        <v>82172</v>
      </c>
      <c r="D2655" s="14" t="s">
        <v>904</v>
      </c>
      <c r="E2655" s="112"/>
      <c r="F2655" s="139" t="s">
        <v>8740</v>
      </c>
      <c r="G2655" s="140"/>
      <c r="H2655" s="141"/>
      <c r="I2655" s="26">
        <v>49323</v>
      </c>
      <c r="J2655" s="117"/>
      <c r="K2655" s="120"/>
      <c r="L2655" s="121"/>
      <c r="M2655" s="120"/>
      <c r="N2655" s="121"/>
      <c r="O2655" s="120"/>
      <c r="P2655" s="121"/>
      <c r="Q2655" s="120"/>
      <c r="R2655" s="121"/>
      <c r="S2655" s="120"/>
      <c r="T2655" s="121"/>
      <c r="U2655" s="120"/>
      <c r="V2655" s="123"/>
      <c r="W2655" s="125"/>
      <c r="X2655" s="142" t="s">
        <v>1594</v>
      </c>
      <c r="Y2655" s="143"/>
      <c r="Z2655" s="143"/>
      <c r="AA2655" s="143"/>
      <c r="AB2655" s="144"/>
      <c r="AC2655" s="16" t="s">
        <v>21</v>
      </c>
      <c r="AD2655" s="17" t="s">
        <v>3341</v>
      </c>
      <c r="AE2655" s="145" t="s">
        <v>1614</v>
      </c>
      <c r="AF2655" s="146"/>
      <c r="AG2655" s="146"/>
      <c r="AH2655" s="146"/>
      <c r="AI2655" s="147"/>
      <c r="AJ2655" s="148"/>
      <c r="AK2655" s="143"/>
      <c r="AL2655" s="144"/>
      <c r="AM2655" s="22"/>
      <c r="AN2655" s="149" t="s">
        <v>2511</v>
      </c>
      <c r="AO2655" s="144"/>
      <c r="AP2655" s="148">
        <v>80086</v>
      </c>
      <c r="AQ2655" s="144"/>
      <c r="AR2655" s="120"/>
      <c r="AS2655" s="121"/>
      <c r="AT2655" s="120"/>
      <c r="AU2655" s="121"/>
      <c r="AV2655" s="120"/>
      <c r="AW2655" s="121"/>
      <c r="AX2655" s="120"/>
      <c r="AY2655" s="121"/>
      <c r="AZ2655" s="138"/>
    </row>
    <row r="2656" spans="1:52" ht="17.100000000000001" customHeight="1" thickTop="1">
      <c r="A2656" s="109" t="s">
        <v>8786</v>
      </c>
      <c r="B2656" s="28">
        <v>45948</v>
      </c>
      <c r="C2656" s="25">
        <v>1272</v>
      </c>
      <c r="D2656" s="13" t="s">
        <v>1803</v>
      </c>
      <c r="E2656" s="111"/>
      <c r="F2656" s="113" t="s">
        <v>8750</v>
      </c>
      <c r="G2656" s="114"/>
      <c r="H2656" s="115"/>
      <c r="I2656" s="24" t="s">
        <v>4955</v>
      </c>
      <c r="J2656" s="116">
        <v>4.5</v>
      </c>
      <c r="K2656" s="118">
        <v>1810000</v>
      </c>
      <c r="L2656" s="119"/>
      <c r="M2656" s="118">
        <f t="shared" ref="M2656" si="1321">K2656*0.1</f>
        <v>181000</v>
      </c>
      <c r="N2656" s="119"/>
      <c r="O2656" s="118">
        <f>21200+2120</f>
        <v>23320</v>
      </c>
      <c r="P2656" s="119"/>
      <c r="Q2656" s="118">
        <v>27730</v>
      </c>
      <c r="R2656" s="119"/>
      <c r="S2656" s="118">
        <v>16500</v>
      </c>
      <c r="T2656" s="119"/>
      <c r="U2656" s="118">
        <f t="shared" ref="U2656" si="1322">SUM(K2656:T2657)</f>
        <v>2058550</v>
      </c>
      <c r="V2656" s="122"/>
      <c r="W2656" s="124"/>
      <c r="X2656" s="126" t="s">
        <v>8752</v>
      </c>
      <c r="Y2656" s="127"/>
      <c r="Z2656" s="127"/>
      <c r="AA2656" s="127"/>
      <c r="AB2656" s="128"/>
      <c r="AC2656" s="15" t="s">
        <v>20</v>
      </c>
      <c r="AD2656" s="129"/>
      <c r="AE2656" s="130"/>
      <c r="AF2656" s="130"/>
      <c r="AG2656" s="130"/>
      <c r="AH2656" s="130"/>
      <c r="AI2656" s="131"/>
      <c r="AJ2656" s="132"/>
      <c r="AK2656" s="127"/>
      <c r="AL2656" s="128"/>
      <c r="AM2656" s="21"/>
      <c r="AN2656" s="133">
        <v>46065</v>
      </c>
      <c r="AO2656" s="134"/>
      <c r="AP2656" s="135">
        <v>1318</v>
      </c>
      <c r="AQ2656" s="136"/>
      <c r="AR2656" s="118">
        <v>1920000</v>
      </c>
      <c r="AS2656" s="119"/>
      <c r="AT2656" s="118">
        <f t="shared" ref="AT2656" si="1323">AR2656*0.1</f>
        <v>192000</v>
      </c>
      <c r="AU2656" s="119"/>
      <c r="AV2656" s="118">
        <v>27730</v>
      </c>
      <c r="AW2656" s="119"/>
      <c r="AX2656" s="118">
        <f t="shared" ref="AX2656" si="1324">SUM(AR2656:AW2656)</f>
        <v>2139730</v>
      </c>
      <c r="AY2656" s="119"/>
      <c r="AZ2656" s="137">
        <v>46066</v>
      </c>
    </row>
    <row r="2657" spans="1:52" ht="17.100000000000001" customHeight="1" thickBot="1">
      <c r="A2657" s="110"/>
      <c r="B2657" s="27" t="s">
        <v>2511</v>
      </c>
      <c r="C2657" s="27">
        <v>82447</v>
      </c>
      <c r="D2657" s="14" t="s">
        <v>275</v>
      </c>
      <c r="E2657" s="112"/>
      <c r="F2657" s="139" t="s">
        <v>8751</v>
      </c>
      <c r="G2657" s="140"/>
      <c r="H2657" s="141"/>
      <c r="I2657" s="26">
        <v>78110</v>
      </c>
      <c r="J2657" s="117"/>
      <c r="K2657" s="120"/>
      <c r="L2657" s="121"/>
      <c r="M2657" s="120"/>
      <c r="N2657" s="121"/>
      <c r="O2657" s="120"/>
      <c r="P2657" s="121"/>
      <c r="Q2657" s="120"/>
      <c r="R2657" s="121"/>
      <c r="S2657" s="120"/>
      <c r="T2657" s="121"/>
      <c r="U2657" s="120"/>
      <c r="V2657" s="123"/>
      <c r="W2657" s="125"/>
      <c r="X2657" s="142" t="s">
        <v>5250</v>
      </c>
      <c r="Y2657" s="143"/>
      <c r="Z2657" s="143"/>
      <c r="AA2657" s="143"/>
      <c r="AB2657" s="144"/>
      <c r="AC2657" s="16" t="s">
        <v>21</v>
      </c>
      <c r="AD2657" s="17" t="s">
        <v>3341</v>
      </c>
      <c r="AE2657" s="145" t="s">
        <v>1658</v>
      </c>
      <c r="AF2657" s="146"/>
      <c r="AG2657" s="146"/>
      <c r="AH2657" s="146"/>
      <c r="AI2657" s="147"/>
      <c r="AJ2657" s="148"/>
      <c r="AK2657" s="143"/>
      <c r="AL2657" s="144"/>
      <c r="AM2657" s="22"/>
      <c r="AN2657" s="149" t="s">
        <v>1747</v>
      </c>
      <c r="AO2657" s="144"/>
      <c r="AP2657" s="148">
        <v>13</v>
      </c>
      <c r="AQ2657" s="144"/>
      <c r="AR2657" s="120"/>
      <c r="AS2657" s="121"/>
      <c r="AT2657" s="120"/>
      <c r="AU2657" s="121"/>
      <c r="AV2657" s="120"/>
      <c r="AW2657" s="121"/>
      <c r="AX2657" s="120"/>
      <c r="AY2657" s="121"/>
      <c r="AZ2657" s="138"/>
    </row>
    <row r="2658" spans="1:52" ht="17.100000000000001" customHeight="1" thickTop="1">
      <c r="A2658" s="151" t="s">
        <v>8821</v>
      </c>
      <c r="B2658" s="28">
        <v>45950</v>
      </c>
      <c r="C2658" s="25">
        <v>61</v>
      </c>
      <c r="D2658" s="13" t="s">
        <v>1988</v>
      </c>
      <c r="E2658" s="111"/>
      <c r="F2658" s="113" t="s">
        <v>5058</v>
      </c>
      <c r="G2658" s="114"/>
      <c r="H2658" s="115"/>
      <c r="I2658" s="24" t="s">
        <v>2112</v>
      </c>
      <c r="J2658" s="116">
        <v>5</v>
      </c>
      <c r="K2658" s="118">
        <v>1795000</v>
      </c>
      <c r="L2658" s="119"/>
      <c r="M2658" s="118">
        <f t="shared" ref="M2658" si="1325">K2658*0.1</f>
        <v>179500</v>
      </c>
      <c r="N2658" s="119"/>
      <c r="O2658" s="118">
        <v>0</v>
      </c>
      <c r="P2658" s="119"/>
      <c r="Q2658" s="118">
        <v>7340</v>
      </c>
      <c r="R2658" s="119"/>
      <c r="S2658" s="118">
        <v>44000</v>
      </c>
      <c r="T2658" s="119"/>
      <c r="U2658" s="118">
        <f t="shared" ref="U2658" si="1326">SUM(K2658:T2659)</f>
        <v>2025840</v>
      </c>
      <c r="V2658" s="122"/>
      <c r="W2658" s="124"/>
      <c r="X2658" s="126"/>
      <c r="Y2658" s="127"/>
      <c r="Z2658" s="127"/>
      <c r="AA2658" s="127"/>
      <c r="AB2658" s="128"/>
      <c r="AC2658" s="15" t="s">
        <v>20</v>
      </c>
      <c r="AD2658" s="129" t="s">
        <v>8840</v>
      </c>
      <c r="AE2658" s="130"/>
      <c r="AF2658" s="130"/>
      <c r="AG2658" s="130"/>
      <c r="AH2658" s="130"/>
      <c r="AI2658" s="131"/>
      <c r="AJ2658" s="132" t="s">
        <v>8040</v>
      </c>
      <c r="AK2658" s="127"/>
      <c r="AL2658" s="128"/>
      <c r="AM2658" s="21"/>
      <c r="AN2658" s="133"/>
      <c r="AO2658" s="134"/>
      <c r="AP2658" s="135"/>
      <c r="AQ2658" s="136"/>
      <c r="AR2658" s="118"/>
      <c r="AS2658" s="119"/>
      <c r="AT2658" s="118">
        <f t="shared" ref="AT2658" si="1327">AR2658*0.1</f>
        <v>0</v>
      </c>
      <c r="AU2658" s="119"/>
      <c r="AV2658" s="118"/>
      <c r="AW2658" s="119"/>
      <c r="AX2658" s="118">
        <f t="shared" ref="AX2658" si="1328">SUM(AR2658:AW2658)</f>
        <v>0</v>
      </c>
      <c r="AY2658" s="119"/>
      <c r="AZ2658" s="137"/>
    </row>
    <row r="2659" spans="1:52" ht="17.100000000000001" customHeight="1" thickBot="1">
      <c r="A2659" s="152"/>
      <c r="B2659" s="27" t="s">
        <v>4544</v>
      </c>
      <c r="C2659" s="27">
        <v>1007</v>
      </c>
      <c r="D2659" s="14" t="s">
        <v>2601</v>
      </c>
      <c r="E2659" s="112"/>
      <c r="F2659" s="139" t="s">
        <v>8830</v>
      </c>
      <c r="G2659" s="140"/>
      <c r="H2659" s="141"/>
      <c r="I2659" s="26">
        <v>8847</v>
      </c>
      <c r="J2659" s="117"/>
      <c r="K2659" s="120"/>
      <c r="L2659" s="121"/>
      <c r="M2659" s="120"/>
      <c r="N2659" s="121"/>
      <c r="O2659" s="120"/>
      <c r="P2659" s="121"/>
      <c r="Q2659" s="120"/>
      <c r="R2659" s="121"/>
      <c r="S2659" s="120"/>
      <c r="T2659" s="121"/>
      <c r="U2659" s="120"/>
      <c r="V2659" s="123"/>
      <c r="W2659" s="125"/>
      <c r="X2659" s="142"/>
      <c r="Y2659" s="143"/>
      <c r="Z2659" s="143"/>
      <c r="AA2659" s="143"/>
      <c r="AB2659" s="144"/>
      <c r="AC2659" s="16" t="s">
        <v>21</v>
      </c>
      <c r="AD2659" s="17" t="s">
        <v>10540</v>
      </c>
      <c r="AE2659" s="145"/>
      <c r="AF2659" s="146"/>
      <c r="AG2659" s="146"/>
      <c r="AH2659" s="146"/>
      <c r="AI2659" s="147"/>
      <c r="AJ2659" s="148"/>
      <c r="AK2659" s="143"/>
      <c r="AL2659" s="144"/>
      <c r="AM2659" s="22"/>
      <c r="AN2659" s="149"/>
      <c r="AO2659" s="144"/>
      <c r="AP2659" s="148"/>
      <c r="AQ2659" s="144"/>
      <c r="AR2659" s="120"/>
      <c r="AS2659" s="121"/>
      <c r="AT2659" s="120"/>
      <c r="AU2659" s="121"/>
      <c r="AV2659" s="120"/>
      <c r="AW2659" s="121"/>
      <c r="AX2659" s="120"/>
      <c r="AY2659" s="121"/>
      <c r="AZ2659" s="138"/>
    </row>
    <row r="2660" spans="1:52" ht="17.100000000000001" customHeight="1" thickTop="1">
      <c r="A2660" s="109" t="s">
        <v>8822</v>
      </c>
      <c r="B2660" s="28">
        <v>45950</v>
      </c>
      <c r="C2660" s="25">
        <v>61</v>
      </c>
      <c r="D2660" s="13" t="s">
        <v>2528</v>
      </c>
      <c r="E2660" s="111"/>
      <c r="F2660" s="113" t="s">
        <v>8839</v>
      </c>
      <c r="G2660" s="114"/>
      <c r="H2660" s="115"/>
      <c r="I2660" s="24" t="s">
        <v>4037</v>
      </c>
      <c r="J2660" s="116">
        <v>3.5</v>
      </c>
      <c r="K2660" s="118">
        <v>450000</v>
      </c>
      <c r="L2660" s="119"/>
      <c r="M2660" s="118">
        <f t="shared" ref="M2660" si="1329">K2660*0.1</f>
        <v>45000</v>
      </c>
      <c r="N2660" s="119"/>
      <c r="O2660" s="118">
        <f>13100+1310</f>
        <v>14410</v>
      </c>
      <c r="P2660" s="119"/>
      <c r="Q2660" s="118">
        <v>11810</v>
      </c>
      <c r="R2660" s="119"/>
      <c r="S2660" s="118">
        <v>33000</v>
      </c>
      <c r="T2660" s="119"/>
      <c r="U2660" s="118">
        <f t="shared" ref="U2660" si="1330">SUM(K2660:T2661)</f>
        <v>554220</v>
      </c>
      <c r="V2660" s="122"/>
      <c r="W2660" s="124"/>
      <c r="X2660" s="126" t="s">
        <v>14248</v>
      </c>
      <c r="Y2660" s="127"/>
      <c r="Z2660" s="127"/>
      <c r="AA2660" s="127"/>
      <c r="AB2660" s="128"/>
      <c r="AC2660" s="15" t="s">
        <v>20</v>
      </c>
      <c r="AD2660" s="129" t="s">
        <v>8841</v>
      </c>
      <c r="AE2660" s="130"/>
      <c r="AF2660" s="130"/>
      <c r="AG2660" s="130"/>
      <c r="AH2660" s="130"/>
      <c r="AI2660" s="131"/>
      <c r="AJ2660" s="132"/>
      <c r="AK2660" s="127"/>
      <c r="AL2660" s="128"/>
      <c r="AM2660" s="21"/>
      <c r="AN2660" s="133">
        <v>46015</v>
      </c>
      <c r="AO2660" s="134"/>
      <c r="AP2660" s="135">
        <v>998</v>
      </c>
      <c r="AQ2660" s="136"/>
      <c r="AR2660" s="118">
        <v>545000</v>
      </c>
      <c r="AS2660" s="119"/>
      <c r="AT2660" s="118">
        <f t="shared" ref="AT2660" si="1331">AR2660*0.1</f>
        <v>54500</v>
      </c>
      <c r="AU2660" s="119"/>
      <c r="AV2660" s="118">
        <v>11810</v>
      </c>
      <c r="AW2660" s="119"/>
      <c r="AX2660" s="118">
        <f t="shared" ref="AX2660" si="1332">SUM(AR2660:AW2660)</f>
        <v>611310</v>
      </c>
      <c r="AY2660" s="119"/>
      <c r="AZ2660" s="137">
        <v>46028</v>
      </c>
    </row>
    <row r="2661" spans="1:52" ht="17.100000000000001" customHeight="1" thickBot="1">
      <c r="A2661" s="110"/>
      <c r="B2661" s="27" t="s">
        <v>4544</v>
      </c>
      <c r="C2661" s="27">
        <v>1026</v>
      </c>
      <c r="D2661" s="14" t="s">
        <v>275</v>
      </c>
      <c r="E2661" s="112"/>
      <c r="F2661" s="139" t="s">
        <v>8831</v>
      </c>
      <c r="G2661" s="140"/>
      <c r="H2661" s="141"/>
      <c r="I2661" s="26">
        <v>77792</v>
      </c>
      <c r="J2661" s="117"/>
      <c r="K2661" s="120"/>
      <c r="L2661" s="121"/>
      <c r="M2661" s="120"/>
      <c r="N2661" s="121"/>
      <c r="O2661" s="120"/>
      <c r="P2661" s="121"/>
      <c r="Q2661" s="120"/>
      <c r="R2661" s="121"/>
      <c r="S2661" s="120"/>
      <c r="T2661" s="121"/>
      <c r="U2661" s="120"/>
      <c r="V2661" s="123"/>
      <c r="W2661" s="125"/>
      <c r="X2661" s="142" t="s">
        <v>14249</v>
      </c>
      <c r="Y2661" s="143"/>
      <c r="Z2661" s="143"/>
      <c r="AA2661" s="143"/>
      <c r="AB2661" s="144"/>
      <c r="AC2661" s="16" t="s">
        <v>21</v>
      </c>
      <c r="AD2661" s="17" t="s">
        <v>3488</v>
      </c>
      <c r="AE2661" s="145" t="s">
        <v>14250</v>
      </c>
      <c r="AF2661" s="146"/>
      <c r="AG2661" s="146"/>
      <c r="AH2661" s="146"/>
      <c r="AI2661" s="147"/>
      <c r="AJ2661" s="148"/>
      <c r="AK2661" s="143"/>
      <c r="AL2661" s="144"/>
      <c r="AM2661" s="22"/>
      <c r="AN2661" s="149" t="s">
        <v>2794</v>
      </c>
      <c r="AO2661" s="144"/>
      <c r="AP2661" s="148">
        <v>1069</v>
      </c>
      <c r="AQ2661" s="144"/>
      <c r="AR2661" s="120"/>
      <c r="AS2661" s="121"/>
      <c r="AT2661" s="120"/>
      <c r="AU2661" s="121"/>
      <c r="AV2661" s="120"/>
      <c r="AW2661" s="121"/>
      <c r="AX2661" s="120"/>
      <c r="AY2661" s="121"/>
      <c r="AZ2661" s="138"/>
    </row>
    <row r="2662" spans="1:52" ht="17.100000000000001" customHeight="1" thickTop="1">
      <c r="A2662" s="109" t="s">
        <v>8823</v>
      </c>
      <c r="B2662" s="28">
        <v>45950</v>
      </c>
      <c r="C2662" s="25">
        <v>61</v>
      </c>
      <c r="D2662" s="13" t="s">
        <v>1712</v>
      </c>
      <c r="E2662" s="111"/>
      <c r="F2662" s="113" t="s">
        <v>5555</v>
      </c>
      <c r="G2662" s="114"/>
      <c r="H2662" s="115"/>
      <c r="I2662" s="24" t="s">
        <v>2861</v>
      </c>
      <c r="J2662" s="116">
        <v>4</v>
      </c>
      <c r="K2662" s="118">
        <v>1595000</v>
      </c>
      <c r="L2662" s="119"/>
      <c r="M2662" s="118">
        <f t="shared" ref="M2662" si="1333">K2662*0.1</f>
        <v>159500</v>
      </c>
      <c r="N2662" s="119"/>
      <c r="O2662" s="118">
        <f>14300+1430</f>
        <v>15730</v>
      </c>
      <c r="P2662" s="119"/>
      <c r="Q2662" s="118">
        <v>10230</v>
      </c>
      <c r="R2662" s="119"/>
      <c r="S2662" s="118">
        <v>44000</v>
      </c>
      <c r="T2662" s="119"/>
      <c r="U2662" s="118">
        <f t="shared" ref="U2662" si="1334">SUM(K2662:T2663)</f>
        <v>1824460</v>
      </c>
      <c r="V2662" s="122"/>
      <c r="W2662" s="124"/>
      <c r="X2662" s="126" t="s">
        <v>9884</v>
      </c>
      <c r="Y2662" s="127"/>
      <c r="Z2662" s="127"/>
      <c r="AA2662" s="127"/>
      <c r="AB2662" s="128"/>
      <c r="AC2662" s="15" t="s">
        <v>20</v>
      </c>
      <c r="AD2662" s="129" t="s">
        <v>8842</v>
      </c>
      <c r="AE2662" s="130"/>
      <c r="AF2662" s="130"/>
      <c r="AG2662" s="130"/>
      <c r="AH2662" s="130"/>
      <c r="AI2662" s="131"/>
      <c r="AJ2662" s="132"/>
      <c r="AK2662" s="127"/>
      <c r="AL2662" s="128"/>
      <c r="AM2662" s="21"/>
      <c r="AN2662" s="133">
        <v>45976</v>
      </c>
      <c r="AO2662" s="134"/>
      <c r="AP2662" s="135">
        <v>1276</v>
      </c>
      <c r="AQ2662" s="136"/>
      <c r="AR2662" s="118">
        <v>1680000</v>
      </c>
      <c r="AS2662" s="119"/>
      <c r="AT2662" s="118">
        <f t="shared" ref="AT2662" si="1335">AR2662*0.1</f>
        <v>168000</v>
      </c>
      <c r="AU2662" s="119"/>
      <c r="AV2662" s="118">
        <v>10290</v>
      </c>
      <c r="AW2662" s="119"/>
      <c r="AX2662" s="118">
        <f t="shared" ref="AX2662" si="1336">SUM(AR2662:AW2662)</f>
        <v>1858290</v>
      </c>
      <c r="AY2662" s="119"/>
      <c r="AZ2662" s="137">
        <v>45981</v>
      </c>
    </row>
    <row r="2663" spans="1:52" ht="17.100000000000001" customHeight="1" thickBot="1">
      <c r="A2663" s="110"/>
      <c r="B2663" s="27" t="s">
        <v>4544</v>
      </c>
      <c r="C2663" s="27">
        <v>1027</v>
      </c>
      <c r="D2663" s="14" t="s">
        <v>4023</v>
      </c>
      <c r="E2663" s="112"/>
      <c r="F2663" s="139" t="s">
        <v>8832</v>
      </c>
      <c r="G2663" s="140"/>
      <c r="H2663" s="141"/>
      <c r="I2663" s="26">
        <v>46947</v>
      </c>
      <c r="J2663" s="117"/>
      <c r="K2663" s="120"/>
      <c r="L2663" s="121"/>
      <c r="M2663" s="120"/>
      <c r="N2663" s="121"/>
      <c r="O2663" s="120"/>
      <c r="P2663" s="121"/>
      <c r="Q2663" s="120"/>
      <c r="R2663" s="121"/>
      <c r="S2663" s="120"/>
      <c r="T2663" s="121"/>
      <c r="U2663" s="120"/>
      <c r="V2663" s="123"/>
      <c r="W2663" s="125"/>
      <c r="X2663" s="142" t="s">
        <v>9885</v>
      </c>
      <c r="Y2663" s="143"/>
      <c r="Z2663" s="143"/>
      <c r="AA2663" s="143"/>
      <c r="AB2663" s="144"/>
      <c r="AC2663" s="16" t="s">
        <v>21</v>
      </c>
      <c r="AD2663" s="17" t="s">
        <v>9858</v>
      </c>
      <c r="AE2663" s="145" t="s">
        <v>10730</v>
      </c>
      <c r="AF2663" s="146"/>
      <c r="AG2663" s="146"/>
      <c r="AH2663" s="146"/>
      <c r="AI2663" s="147"/>
      <c r="AJ2663" s="148"/>
      <c r="AK2663" s="143"/>
      <c r="AL2663" s="144"/>
      <c r="AM2663" s="22"/>
      <c r="AN2663" s="149" t="s">
        <v>2511</v>
      </c>
      <c r="AO2663" s="144"/>
      <c r="AP2663" s="148">
        <v>37499</v>
      </c>
      <c r="AQ2663" s="144"/>
      <c r="AR2663" s="120"/>
      <c r="AS2663" s="121"/>
      <c r="AT2663" s="120"/>
      <c r="AU2663" s="121"/>
      <c r="AV2663" s="120"/>
      <c r="AW2663" s="121"/>
      <c r="AX2663" s="120"/>
      <c r="AY2663" s="121"/>
      <c r="AZ2663" s="138"/>
    </row>
    <row r="2664" spans="1:52" ht="17.100000000000001" customHeight="1" thickTop="1">
      <c r="A2664" s="109" t="s">
        <v>8824</v>
      </c>
      <c r="B2664" s="28">
        <v>45950</v>
      </c>
      <c r="C2664" s="25">
        <v>61</v>
      </c>
      <c r="D2664" s="13" t="s">
        <v>1902</v>
      </c>
      <c r="E2664" s="111"/>
      <c r="F2664" s="113" t="s">
        <v>8843</v>
      </c>
      <c r="G2664" s="114"/>
      <c r="H2664" s="115"/>
      <c r="I2664" s="24" t="s">
        <v>2861</v>
      </c>
      <c r="J2664" s="116">
        <v>4.5</v>
      </c>
      <c r="K2664" s="118">
        <v>1285000</v>
      </c>
      <c r="L2664" s="119"/>
      <c r="M2664" s="118">
        <f t="shared" ref="M2664" si="1337">K2664*0.1</f>
        <v>128500</v>
      </c>
      <c r="N2664" s="119"/>
      <c r="O2664" s="118">
        <v>0</v>
      </c>
      <c r="P2664" s="119"/>
      <c r="Q2664" s="118">
        <v>6830</v>
      </c>
      <c r="R2664" s="119"/>
      <c r="S2664" s="118">
        <v>44000</v>
      </c>
      <c r="T2664" s="119"/>
      <c r="U2664" s="118">
        <f t="shared" ref="U2664" si="1338">SUM(K2664:T2665)</f>
        <v>1464330</v>
      </c>
      <c r="V2664" s="122"/>
      <c r="W2664" s="124"/>
      <c r="X2664" s="126" t="s">
        <v>9880</v>
      </c>
      <c r="Y2664" s="127"/>
      <c r="Z2664" s="127"/>
      <c r="AA2664" s="127"/>
      <c r="AB2664" s="128"/>
      <c r="AC2664" s="15" t="s">
        <v>20</v>
      </c>
      <c r="AD2664" s="129" t="s">
        <v>8840</v>
      </c>
      <c r="AE2664" s="130"/>
      <c r="AF2664" s="130"/>
      <c r="AG2664" s="130"/>
      <c r="AH2664" s="130"/>
      <c r="AI2664" s="131"/>
      <c r="AJ2664" s="132"/>
      <c r="AK2664" s="127"/>
      <c r="AL2664" s="128"/>
      <c r="AM2664" s="85" t="s">
        <v>9880</v>
      </c>
      <c r="AN2664" s="133">
        <v>45972</v>
      </c>
      <c r="AO2664" s="134"/>
      <c r="AP2664" s="135">
        <v>1917</v>
      </c>
      <c r="AQ2664" s="136"/>
      <c r="AR2664" s="118">
        <v>1293000</v>
      </c>
      <c r="AS2664" s="119"/>
      <c r="AT2664" s="118">
        <f t="shared" ref="AT2664" si="1339">AR2664*0.1</f>
        <v>129300</v>
      </c>
      <c r="AU2664" s="119"/>
      <c r="AV2664" s="118">
        <v>6830</v>
      </c>
      <c r="AW2664" s="119"/>
      <c r="AX2664" s="118">
        <f t="shared" ref="AX2664" si="1340">SUM(AR2664:AW2664)</f>
        <v>1429130</v>
      </c>
      <c r="AY2664" s="119"/>
      <c r="AZ2664" s="137"/>
    </row>
    <row r="2665" spans="1:52" ht="17.100000000000001" customHeight="1" thickBot="1">
      <c r="A2665" s="110"/>
      <c r="B2665" s="27" t="s">
        <v>4544</v>
      </c>
      <c r="C2665" s="27">
        <v>1029</v>
      </c>
      <c r="D2665" s="14" t="s">
        <v>1576</v>
      </c>
      <c r="E2665" s="112"/>
      <c r="F2665" s="139" t="s">
        <v>8833</v>
      </c>
      <c r="G2665" s="140"/>
      <c r="H2665" s="141"/>
      <c r="I2665" s="26">
        <v>31746</v>
      </c>
      <c r="J2665" s="117"/>
      <c r="K2665" s="120"/>
      <c r="L2665" s="121"/>
      <c r="M2665" s="120"/>
      <c r="N2665" s="121"/>
      <c r="O2665" s="120"/>
      <c r="P2665" s="121"/>
      <c r="Q2665" s="120"/>
      <c r="R2665" s="121"/>
      <c r="S2665" s="120"/>
      <c r="T2665" s="121"/>
      <c r="U2665" s="120"/>
      <c r="V2665" s="123"/>
      <c r="W2665" s="125"/>
      <c r="X2665" s="142" t="s">
        <v>9881</v>
      </c>
      <c r="Y2665" s="143"/>
      <c r="Z2665" s="143"/>
      <c r="AA2665" s="143"/>
      <c r="AB2665" s="144"/>
      <c r="AC2665" s="16" t="s">
        <v>21</v>
      </c>
      <c r="AD2665" s="17" t="s">
        <v>9858</v>
      </c>
      <c r="AE2665" s="145" t="s">
        <v>1742</v>
      </c>
      <c r="AF2665" s="146"/>
      <c r="AG2665" s="146"/>
      <c r="AH2665" s="146"/>
      <c r="AI2665" s="147"/>
      <c r="AJ2665" s="148"/>
      <c r="AK2665" s="143"/>
      <c r="AL2665" s="144"/>
      <c r="AM2665" s="22"/>
      <c r="AN2665" s="149" t="s">
        <v>2131</v>
      </c>
      <c r="AO2665" s="144"/>
      <c r="AP2665" s="148">
        <v>3177</v>
      </c>
      <c r="AQ2665" s="144"/>
      <c r="AR2665" s="120"/>
      <c r="AS2665" s="121"/>
      <c r="AT2665" s="120"/>
      <c r="AU2665" s="121"/>
      <c r="AV2665" s="120"/>
      <c r="AW2665" s="121"/>
      <c r="AX2665" s="120"/>
      <c r="AY2665" s="121"/>
      <c r="AZ2665" s="138"/>
    </row>
    <row r="2666" spans="1:52" ht="17.100000000000001" customHeight="1" thickTop="1">
      <c r="A2666" s="109" t="s">
        <v>8825</v>
      </c>
      <c r="B2666" s="28">
        <v>45950</v>
      </c>
      <c r="C2666" s="25">
        <v>61</v>
      </c>
      <c r="D2666" s="13" t="s">
        <v>1902</v>
      </c>
      <c r="E2666" s="111"/>
      <c r="F2666" s="113" t="s">
        <v>8844</v>
      </c>
      <c r="G2666" s="114"/>
      <c r="H2666" s="115"/>
      <c r="I2666" s="24" t="s">
        <v>2861</v>
      </c>
      <c r="J2666" s="116">
        <v>4.5</v>
      </c>
      <c r="K2666" s="118">
        <v>2030000</v>
      </c>
      <c r="L2666" s="119"/>
      <c r="M2666" s="118">
        <f t="shared" ref="M2666" si="1341">K2666*0.1</f>
        <v>203000</v>
      </c>
      <c r="N2666" s="119"/>
      <c r="O2666" s="118">
        <f>10100+1010</f>
        <v>11110</v>
      </c>
      <c r="P2666" s="119"/>
      <c r="Q2666" s="118">
        <v>8340</v>
      </c>
      <c r="R2666" s="119"/>
      <c r="S2666" s="118">
        <v>66000</v>
      </c>
      <c r="T2666" s="119"/>
      <c r="U2666" s="118">
        <f t="shared" ref="U2666" si="1342">SUM(K2666:T2667)</f>
        <v>2318450</v>
      </c>
      <c r="V2666" s="122"/>
      <c r="W2666" s="124"/>
      <c r="X2666" s="126" t="s">
        <v>11457</v>
      </c>
      <c r="Y2666" s="127"/>
      <c r="Z2666" s="127"/>
      <c r="AA2666" s="127"/>
      <c r="AB2666" s="128"/>
      <c r="AC2666" s="15" t="s">
        <v>20</v>
      </c>
      <c r="AD2666" s="129" t="s">
        <v>8840</v>
      </c>
      <c r="AE2666" s="130"/>
      <c r="AF2666" s="130"/>
      <c r="AG2666" s="130"/>
      <c r="AH2666" s="130"/>
      <c r="AI2666" s="131"/>
      <c r="AJ2666" s="132"/>
      <c r="AK2666" s="127"/>
      <c r="AL2666" s="128"/>
      <c r="AM2666" s="21"/>
      <c r="AN2666" s="133">
        <v>45976</v>
      </c>
      <c r="AO2666" s="134"/>
      <c r="AP2666" s="135">
        <v>1276</v>
      </c>
      <c r="AQ2666" s="136"/>
      <c r="AR2666" s="118">
        <v>2055000</v>
      </c>
      <c r="AS2666" s="119"/>
      <c r="AT2666" s="118">
        <f t="shared" ref="AT2666" si="1343">AR2666*0.1</f>
        <v>205500</v>
      </c>
      <c r="AU2666" s="119"/>
      <c r="AV2666" s="118">
        <v>8340</v>
      </c>
      <c r="AW2666" s="119"/>
      <c r="AX2666" s="118">
        <f t="shared" ref="AX2666" si="1344">SUM(AR2666:AW2666)</f>
        <v>2268840</v>
      </c>
      <c r="AY2666" s="119"/>
      <c r="AZ2666" s="137">
        <v>45986</v>
      </c>
    </row>
    <row r="2667" spans="1:52" ht="17.100000000000001" customHeight="1" thickBot="1">
      <c r="A2667" s="110"/>
      <c r="B2667" s="27" t="s">
        <v>4544</v>
      </c>
      <c r="C2667" s="27">
        <v>1045</v>
      </c>
      <c r="D2667" s="14" t="s">
        <v>2601</v>
      </c>
      <c r="E2667" s="112"/>
      <c r="F2667" s="139" t="s">
        <v>8834</v>
      </c>
      <c r="G2667" s="140"/>
      <c r="H2667" s="141"/>
      <c r="I2667" s="26">
        <v>45074</v>
      </c>
      <c r="J2667" s="117"/>
      <c r="K2667" s="120"/>
      <c r="L2667" s="121"/>
      <c r="M2667" s="120"/>
      <c r="N2667" s="121"/>
      <c r="O2667" s="120"/>
      <c r="P2667" s="121"/>
      <c r="Q2667" s="120"/>
      <c r="R2667" s="121"/>
      <c r="S2667" s="120"/>
      <c r="T2667" s="121"/>
      <c r="U2667" s="120"/>
      <c r="V2667" s="123"/>
      <c r="W2667" s="125"/>
      <c r="X2667" s="142" t="s">
        <v>9692</v>
      </c>
      <c r="Y2667" s="143"/>
      <c r="Z2667" s="143"/>
      <c r="AA2667" s="143"/>
      <c r="AB2667" s="144"/>
      <c r="AC2667" s="16" t="s">
        <v>21</v>
      </c>
      <c r="AD2667" s="17" t="s">
        <v>2218</v>
      </c>
      <c r="AE2667" s="145" t="s">
        <v>1742</v>
      </c>
      <c r="AF2667" s="146"/>
      <c r="AG2667" s="146"/>
      <c r="AH2667" s="146"/>
      <c r="AI2667" s="147"/>
      <c r="AJ2667" s="148"/>
      <c r="AK2667" s="143"/>
      <c r="AL2667" s="144"/>
      <c r="AM2667" s="22"/>
      <c r="AN2667" s="149" t="s">
        <v>10999</v>
      </c>
      <c r="AO2667" s="144"/>
      <c r="AP2667" s="148">
        <v>37754</v>
      </c>
      <c r="AQ2667" s="144"/>
      <c r="AR2667" s="120"/>
      <c r="AS2667" s="121"/>
      <c r="AT2667" s="120"/>
      <c r="AU2667" s="121"/>
      <c r="AV2667" s="120"/>
      <c r="AW2667" s="121"/>
      <c r="AX2667" s="120"/>
      <c r="AY2667" s="121"/>
      <c r="AZ2667" s="138"/>
    </row>
    <row r="2668" spans="1:52" ht="17.100000000000001" customHeight="1" thickTop="1">
      <c r="A2668" s="109" t="s">
        <v>8826</v>
      </c>
      <c r="B2668" s="28">
        <v>45950</v>
      </c>
      <c r="C2668" s="25">
        <v>61</v>
      </c>
      <c r="D2668" s="13" t="s">
        <v>2941</v>
      </c>
      <c r="E2668" s="111"/>
      <c r="F2668" s="113" t="s">
        <v>8845</v>
      </c>
      <c r="G2668" s="114"/>
      <c r="H2668" s="115"/>
      <c r="I2668" s="24" t="s">
        <v>2943</v>
      </c>
      <c r="J2668" s="116">
        <v>4.5</v>
      </c>
      <c r="K2668" s="118">
        <v>705000</v>
      </c>
      <c r="L2668" s="119"/>
      <c r="M2668" s="118">
        <f t="shared" ref="M2668" si="1345">K2668*0.1</f>
        <v>70500</v>
      </c>
      <c r="N2668" s="119"/>
      <c r="O2668" s="118">
        <v>0</v>
      </c>
      <c r="P2668" s="119"/>
      <c r="Q2668" s="118">
        <v>8550</v>
      </c>
      <c r="R2668" s="119"/>
      <c r="S2668" s="118">
        <v>33000</v>
      </c>
      <c r="T2668" s="119"/>
      <c r="U2668" s="118">
        <f t="shared" ref="U2668" si="1346">SUM(K2668:T2669)</f>
        <v>817050</v>
      </c>
      <c r="V2668" s="122"/>
      <c r="W2668" s="124"/>
      <c r="X2668" s="126" t="s">
        <v>10672</v>
      </c>
      <c r="Y2668" s="127"/>
      <c r="Z2668" s="127"/>
      <c r="AA2668" s="127"/>
      <c r="AB2668" s="128"/>
      <c r="AC2668" s="15" t="s">
        <v>20</v>
      </c>
      <c r="AD2668" s="129" t="s">
        <v>8846</v>
      </c>
      <c r="AE2668" s="130"/>
      <c r="AF2668" s="130"/>
      <c r="AG2668" s="130"/>
      <c r="AH2668" s="130"/>
      <c r="AI2668" s="131"/>
      <c r="AJ2668" s="132"/>
      <c r="AK2668" s="127"/>
      <c r="AL2668" s="128"/>
      <c r="AM2668" s="21" t="s">
        <v>11802</v>
      </c>
      <c r="AN2668" s="133">
        <v>45997</v>
      </c>
      <c r="AO2668" s="134"/>
      <c r="AP2668" s="135">
        <v>1279</v>
      </c>
      <c r="AQ2668" s="136"/>
      <c r="AR2668" s="118">
        <v>820000</v>
      </c>
      <c r="AS2668" s="119"/>
      <c r="AT2668" s="118">
        <f t="shared" ref="AT2668" si="1347">AR2668*0.1</f>
        <v>82000</v>
      </c>
      <c r="AU2668" s="119"/>
      <c r="AV2668" s="118">
        <v>8550</v>
      </c>
      <c r="AW2668" s="119"/>
      <c r="AX2668" s="118">
        <f t="shared" ref="AX2668" si="1348">SUM(AR2668:AW2668)</f>
        <v>910550</v>
      </c>
      <c r="AY2668" s="119"/>
      <c r="AZ2668" s="137">
        <v>46000</v>
      </c>
    </row>
    <row r="2669" spans="1:52" ht="17.100000000000001" customHeight="1" thickBot="1">
      <c r="A2669" s="110"/>
      <c r="B2669" s="27" t="s">
        <v>4544</v>
      </c>
      <c r="C2669" s="27">
        <v>1062</v>
      </c>
      <c r="D2669" s="14" t="s">
        <v>904</v>
      </c>
      <c r="E2669" s="112"/>
      <c r="F2669" s="139" t="s">
        <v>8835</v>
      </c>
      <c r="G2669" s="140"/>
      <c r="H2669" s="141"/>
      <c r="I2669" s="26">
        <v>41970</v>
      </c>
      <c r="J2669" s="117"/>
      <c r="K2669" s="120"/>
      <c r="L2669" s="121"/>
      <c r="M2669" s="120"/>
      <c r="N2669" s="121"/>
      <c r="O2669" s="120"/>
      <c r="P2669" s="121"/>
      <c r="Q2669" s="120"/>
      <c r="R2669" s="121"/>
      <c r="S2669" s="120"/>
      <c r="T2669" s="121"/>
      <c r="U2669" s="120"/>
      <c r="V2669" s="123"/>
      <c r="W2669" s="125"/>
      <c r="X2669" s="142" t="s">
        <v>3404</v>
      </c>
      <c r="Y2669" s="143"/>
      <c r="Z2669" s="143"/>
      <c r="AA2669" s="143"/>
      <c r="AB2669" s="144"/>
      <c r="AC2669" s="16" t="s">
        <v>21</v>
      </c>
      <c r="AD2669" s="17" t="s">
        <v>10596</v>
      </c>
      <c r="AE2669" s="145" t="s">
        <v>10673</v>
      </c>
      <c r="AF2669" s="146"/>
      <c r="AG2669" s="146"/>
      <c r="AH2669" s="146"/>
      <c r="AI2669" s="147"/>
      <c r="AJ2669" s="148"/>
      <c r="AK2669" s="143"/>
      <c r="AL2669" s="144"/>
      <c r="AM2669" s="22"/>
      <c r="AN2669" s="149" t="s">
        <v>2511</v>
      </c>
      <c r="AO2669" s="144"/>
      <c r="AP2669" s="148">
        <v>60061</v>
      </c>
      <c r="AQ2669" s="144"/>
      <c r="AR2669" s="120"/>
      <c r="AS2669" s="121"/>
      <c r="AT2669" s="120"/>
      <c r="AU2669" s="121"/>
      <c r="AV2669" s="120"/>
      <c r="AW2669" s="121"/>
      <c r="AX2669" s="120"/>
      <c r="AY2669" s="121"/>
      <c r="AZ2669" s="138"/>
    </row>
    <row r="2670" spans="1:52" ht="17.100000000000001" customHeight="1" thickTop="1">
      <c r="A2670" s="109" t="s">
        <v>8827</v>
      </c>
      <c r="B2670" s="28">
        <v>45950</v>
      </c>
      <c r="C2670" s="25">
        <v>61</v>
      </c>
      <c r="D2670" s="13" t="s">
        <v>2009</v>
      </c>
      <c r="E2670" s="111"/>
      <c r="F2670" s="113" t="s">
        <v>8847</v>
      </c>
      <c r="G2670" s="114"/>
      <c r="H2670" s="115"/>
      <c r="I2670" s="24" t="s">
        <v>2064</v>
      </c>
      <c r="J2670" s="116">
        <v>4.5</v>
      </c>
      <c r="K2670" s="118">
        <v>2365000</v>
      </c>
      <c r="L2670" s="119"/>
      <c r="M2670" s="118">
        <f t="shared" ref="M2670" si="1349">K2670*0.1</f>
        <v>236500</v>
      </c>
      <c r="N2670" s="119"/>
      <c r="O2670" s="118">
        <f>12700+1270</f>
        <v>13970</v>
      </c>
      <c r="P2670" s="119"/>
      <c r="Q2670" s="118">
        <v>11650</v>
      </c>
      <c r="R2670" s="119"/>
      <c r="S2670" s="118">
        <v>66000</v>
      </c>
      <c r="T2670" s="119"/>
      <c r="U2670" s="118">
        <f t="shared" ref="U2670" si="1350">SUM(K2670:T2671)</f>
        <v>2693120</v>
      </c>
      <c r="V2670" s="122"/>
      <c r="W2670" s="124"/>
      <c r="X2670" s="126" t="s">
        <v>10674</v>
      </c>
      <c r="Y2670" s="127"/>
      <c r="Z2670" s="127"/>
      <c r="AA2670" s="127"/>
      <c r="AB2670" s="128"/>
      <c r="AC2670" s="15" t="s">
        <v>20</v>
      </c>
      <c r="AD2670" s="129" t="s">
        <v>8842</v>
      </c>
      <c r="AE2670" s="130"/>
      <c r="AF2670" s="130"/>
      <c r="AG2670" s="130"/>
      <c r="AH2670" s="130"/>
      <c r="AI2670" s="131"/>
      <c r="AJ2670" s="132"/>
      <c r="AK2670" s="127"/>
      <c r="AL2670" s="128"/>
      <c r="AM2670" s="21"/>
      <c r="AN2670" s="133">
        <v>45976</v>
      </c>
      <c r="AO2670" s="134"/>
      <c r="AP2670" s="135">
        <v>1276</v>
      </c>
      <c r="AQ2670" s="136"/>
      <c r="AR2670" s="118">
        <v>2460000</v>
      </c>
      <c r="AS2670" s="119"/>
      <c r="AT2670" s="118">
        <f t="shared" ref="AT2670" si="1351">AR2670*0.1</f>
        <v>246000</v>
      </c>
      <c r="AU2670" s="119"/>
      <c r="AV2670" s="118">
        <v>11650</v>
      </c>
      <c r="AW2670" s="119"/>
      <c r="AX2670" s="118">
        <f t="shared" ref="AX2670" si="1352">SUM(AR2670:AW2670)</f>
        <v>2717650</v>
      </c>
      <c r="AY2670" s="119"/>
      <c r="AZ2670" s="137">
        <v>45981</v>
      </c>
    </row>
    <row r="2671" spans="1:52" ht="17.100000000000001" customHeight="1" thickBot="1">
      <c r="A2671" s="110"/>
      <c r="B2671" s="27" t="s">
        <v>4544</v>
      </c>
      <c r="C2671" s="27">
        <v>1080</v>
      </c>
      <c r="D2671" s="14" t="s">
        <v>133</v>
      </c>
      <c r="E2671" s="112"/>
      <c r="F2671" s="139" t="s">
        <v>8836</v>
      </c>
      <c r="G2671" s="140"/>
      <c r="H2671" s="141"/>
      <c r="I2671" s="26">
        <v>23770</v>
      </c>
      <c r="J2671" s="117"/>
      <c r="K2671" s="120"/>
      <c r="L2671" s="121"/>
      <c r="M2671" s="120"/>
      <c r="N2671" s="121"/>
      <c r="O2671" s="120"/>
      <c r="P2671" s="121"/>
      <c r="Q2671" s="120"/>
      <c r="R2671" s="121"/>
      <c r="S2671" s="120"/>
      <c r="T2671" s="121"/>
      <c r="U2671" s="120"/>
      <c r="V2671" s="123"/>
      <c r="W2671" s="125"/>
      <c r="X2671" s="142" t="s">
        <v>10675</v>
      </c>
      <c r="Y2671" s="143"/>
      <c r="Z2671" s="143"/>
      <c r="AA2671" s="143"/>
      <c r="AB2671" s="144"/>
      <c r="AC2671" s="16" t="s">
        <v>21</v>
      </c>
      <c r="AD2671" s="17" t="s">
        <v>10596</v>
      </c>
      <c r="AE2671" s="145" t="s">
        <v>10673</v>
      </c>
      <c r="AF2671" s="146"/>
      <c r="AG2671" s="146"/>
      <c r="AH2671" s="146"/>
      <c r="AI2671" s="147"/>
      <c r="AJ2671" s="148"/>
      <c r="AK2671" s="143"/>
      <c r="AL2671" s="144"/>
      <c r="AM2671" s="22"/>
      <c r="AN2671" s="149" t="s">
        <v>10999</v>
      </c>
      <c r="AO2671" s="144"/>
      <c r="AP2671" s="148">
        <v>37276</v>
      </c>
      <c r="AQ2671" s="144"/>
      <c r="AR2671" s="120"/>
      <c r="AS2671" s="121"/>
      <c r="AT2671" s="120"/>
      <c r="AU2671" s="121"/>
      <c r="AV2671" s="120"/>
      <c r="AW2671" s="121"/>
      <c r="AX2671" s="120"/>
      <c r="AY2671" s="121"/>
      <c r="AZ2671" s="138"/>
    </row>
    <row r="2672" spans="1:52" ht="17.100000000000001" customHeight="1" thickTop="1">
      <c r="A2672" s="109" t="s">
        <v>8828</v>
      </c>
      <c r="B2672" s="28">
        <v>45950</v>
      </c>
      <c r="C2672" s="25">
        <v>61</v>
      </c>
      <c r="D2672" s="13" t="s">
        <v>2681</v>
      </c>
      <c r="E2672" s="111"/>
      <c r="F2672" s="113" t="s">
        <v>8009</v>
      </c>
      <c r="G2672" s="114"/>
      <c r="H2672" s="115"/>
      <c r="I2672" s="24" t="s">
        <v>2064</v>
      </c>
      <c r="J2672" s="116">
        <v>5</v>
      </c>
      <c r="K2672" s="118">
        <v>1330000</v>
      </c>
      <c r="L2672" s="119"/>
      <c r="M2672" s="118">
        <f t="shared" ref="M2672" si="1353">K2672*0.1</f>
        <v>133000</v>
      </c>
      <c r="N2672" s="119"/>
      <c r="O2672" s="118">
        <v>0</v>
      </c>
      <c r="P2672" s="119"/>
      <c r="Q2672" s="118">
        <v>8740</v>
      </c>
      <c r="R2672" s="119"/>
      <c r="S2672" s="118">
        <v>44000</v>
      </c>
      <c r="T2672" s="119"/>
      <c r="U2672" s="118">
        <f t="shared" ref="U2672" si="1354">SUM(K2672:T2673)</f>
        <v>1515740</v>
      </c>
      <c r="V2672" s="122"/>
      <c r="W2672" s="124"/>
      <c r="X2672" s="126" t="s">
        <v>11999</v>
      </c>
      <c r="Y2672" s="127"/>
      <c r="Z2672" s="127"/>
      <c r="AA2672" s="127"/>
      <c r="AB2672" s="128"/>
      <c r="AC2672" s="15" t="s">
        <v>20</v>
      </c>
      <c r="AD2672" s="129" t="s">
        <v>8840</v>
      </c>
      <c r="AE2672" s="130"/>
      <c r="AF2672" s="130"/>
      <c r="AG2672" s="130"/>
      <c r="AH2672" s="130"/>
      <c r="AI2672" s="131"/>
      <c r="AJ2672" s="132"/>
      <c r="AK2672" s="127"/>
      <c r="AL2672" s="128"/>
      <c r="AM2672" s="85" t="s">
        <v>11999</v>
      </c>
      <c r="AN2672" s="133">
        <v>45993</v>
      </c>
      <c r="AO2672" s="134"/>
      <c r="AP2672" s="135">
        <v>1920</v>
      </c>
      <c r="AQ2672" s="136"/>
      <c r="AR2672" s="118">
        <v>1472000</v>
      </c>
      <c r="AS2672" s="119"/>
      <c r="AT2672" s="118">
        <f t="shared" ref="AT2672" si="1355">AR2672*0.1</f>
        <v>147200</v>
      </c>
      <c r="AU2672" s="119"/>
      <c r="AV2672" s="118">
        <v>8740</v>
      </c>
      <c r="AW2672" s="119"/>
      <c r="AX2672" s="118">
        <f t="shared" ref="AX2672" si="1356">SUM(AR2672:AW2672)</f>
        <v>1627940</v>
      </c>
      <c r="AY2672" s="119"/>
      <c r="AZ2672" s="137"/>
    </row>
    <row r="2673" spans="1:52" ht="17.100000000000001" customHeight="1" thickBot="1">
      <c r="A2673" s="110"/>
      <c r="B2673" s="27" t="s">
        <v>4544</v>
      </c>
      <c r="C2673" s="27">
        <v>2017</v>
      </c>
      <c r="D2673" s="14" t="s">
        <v>2601</v>
      </c>
      <c r="E2673" s="112"/>
      <c r="F2673" s="139" t="s">
        <v>8837</v>
      </c>
      <c r="G2673" s="140"/>
      <c r="H2673" s="141"/>
      <c r="I2673" s="26">
        <v>17585</v>
      </c>
      <c r="J2673" s="117"/>
      <c r="K2673" s="120"/>
      <c r="L2673" s="121"/>
      <c r="M2673" s="120"/>
      <c r="N2673" s="121"/>
      <c r="O2673" s="120"/>
      <c r="P2673" s="121"/>
      <c r="Q2673" s="120"/>
      <c r="R2673" s="121"/>
      <c r="S2673" s="120"/>
      <c r="T2673" s="121"/>
      <c r="U2673" s="120"/>
      <c r="V2673" s="123"/>
      <c r="W2673" s="125"/>
      <c r="X2673" s="142" t="s">
        <v>12000</v>
      </c>
      <c r="Y2673" s="143"/>
      <c r="Z2673" s="143"/>
      <c r="AA2673" s="143"/>
      <c r="AB2673" s="144"/>
      <c r="AC2673" s="16" t="s">
        <v>21</v>
      </c>
      <c r="AD2673" s="17" t="s">
        <v>12001</v>
      </c>
      <c r="AE2673" s="145" t="s">
        <v>1742</v>
      </c>
      <c r="AF2673" s="146"/>
      <c r="AG2673" s="146"/>
      <c r="AH2673" s="146"/>
      <c r="AI2673" s="147"/>
      <c r="AJ2673" s="148"/>
      <c r="AK2673" s="143"/>
      <c r="AL2673" s="144"/>
      <c r="AM2673" s="22"/>
      <c r="AN2673" s="149" t="s">
        <v>2131</v>
      </c>
      <c r="AO2673" s="144"/>
      <c r="AP2673" s="148">
        <v>3199</v>
      </c>
      <c r="AQ2673" s="144"/>
      <c r="AR2673" s="120"/>
      <c r="AS2673" s="121"/>
      <c r="AT2673" s="120"/>
      <c r="AU2673" s="121"/>
      <c r="AV2673" s="120"/>
      <c r="AW2673" s="121"/>
      <c r="AX2673" s="120"/>
      <c r="AY2673" s="121"/>
      <c r="AZ2673" s="138"/>
    </row>
    <row r="2674" spans="1:52" ht="17.100000000000001" customHeight="1" thickTop="1">
      <c r="A2674" s="151" t="s">
        <v>8829</v>
      </c>
      <c r="B2674" s="28">
        <v>45950</v>
      </c>
      <c r="C2674" s="25">
        <v>61</v>
      </c>
      <c r="D2674" s="13" t="s">
        <v>1839</v>
      </c>
      <c r="E2674" s="111"/>
      <c r="F2674" s="113" t="s">
        <v>8848</v>
      </c>
      <c r="G2674" s="114"/>
      <c r="H2674" s="115"/>
      <c r="I2674" s="24" t="s">
        <v>2112</v>
      </c>
      <c r="J2674" s="116">
        <v>4</v>
      </c>
      <c r="K2674" s="118">
        <v>1285000</v>
      </c>
      <c r="L2674" s="119"/>
      <c r="M2674" s="118">
        <f t="shared" ref="M2674" si="1357">K2674*0.1</f>
        <v>128500</v>
      </c>
      <c r="N2674" s="119"/>
      <c r="O2674" s="118">
        <f>9800+980</f>
        <v>10780</v>
      </c>
      <c r="P2674" s="119"/>
      <c r="Q2674" s="118">
        <v>13600</v>
      </c>
      <c r="R2674" s="119"/>
      <c r="S2674" s="118">
        <v>44000</v>
      </c>
      <c r="T2674" s="119"/>
      <c r="U2674" s="118">
        <f t="shared" ref="U2674" si="1358">SUM(K2674:T2675)</f>
        <v>1481880</v>
      </c>
      <c r="V2674" s="122"/>
      <c r="W2674" s="124"/>
      <c r="X2674" s="126" t="s">
        <v>14420</v>
      </c>
      <c r="Y2674" s="127"/>
      <c r="Z2674" s="127"/>
      <c r="AA2674" s="127"/>
      <c r="AB2674" s="128"/>
      <c r="AC2674" s="15" t="s">
        <v>20</v>
      </c>
      <c r="AD2674" s="129" t="s">
        <v>8849</v>
      </c>
      <c r="AE2674" s="130"/>
      <c r="AF2674" s="130"/>
      <c r="AG2674" s="130"/>
      <c r="AH2674" s="130"/>
      <c r="AI2674" s="131"/>
      <c r="AJ2674" s="132"/>
      <c r="AK2674" s="127"/>
      <c r="AL2674" s="128"/>
      <c r="AM2674" s="21"/>
      <c r="AN2674" s="133">
        <v>46032</v>
      </c>
      <c r="AO2674" s="134"/>
      <c r="AP2674" s="135">
        <v>1283</v>
      </c>
      <c r="AQ2674" s="136"/>
      <c r="AR2674" s="118">
        <v>1405000</v>
      </c>
      <c r="AS2674" s="119"/>
      <c r="AT2674" s="118">
        <f t="shared" ref="AT2674" si="1359">AR2674*0.1</f>
        <v>140500</v>
      </c>
      <c r="AU2674" s="119"/>
      <c r="AV2674" s="118">
        <v>13600</v>
      </c>
      <c r="AW2674" s="119"/>
      <c r="AX2674" s="118">
        <f t="shared" ref="AX2674" si="1360">SUM(AR2674:AW2674)</f>
        <v>1559100</v>
      </c>
      <c r="AY2674" s="119"/>
      <c r="AZ2674" s="137">
        <v>46036</v>
      </c>
    </row>
    <row r="2675" spans="1:52" ht="17.100000000000001" customHeight="1" thickBot="1">
      <c r="A2675" s="152"/>
      <c r="B2675" s="27" t="s">
        <v>4544</v>
      </c>
      <c r="C2675" s="27">
        <v>2022</v>
      </c>
      <c r="D2675" s="14" t="s">
        <v>2601</v>
      </c>
      <c r="E2675" s="112"/>
      <c r="F2675" s="139" t="s">
        <v>8838</v>
      </c>
      <c r="G2675" s="140"/>
      <c r="H2675" s="141"/>
      <c r="I2675" s="26">
        <v>59177</v>
      </c>
      <c r="J2675" s="117"/>
      <c r="K2675" s="120"/>
      <c r="L2675" s="121"/>
      <c r="M2675" s="120"/>
      <c r="N2675" s="121"/>
      <c r="O2675" s="120"/>
      <c r="P2675" s="121"/>
      <c r="Q2675" s="120"/>
      <c r="R2675" s="121"/>
      <c r="S2675" s="120"/>
      <c r="T2675" s="121"/>
      <c r="U2675" s="120"/>
      <c r="V2675" s="123"/>
      <c r="W2675" s="125"/>
      <c r="X2675" s="142" t="s">
        <v>14421</v>
      </c>
      <c r="Y2675" s="143"/>
      <c r="Z2675" s="143"/>
      <c r="AA2675" s="143"/>
      <c r="AB2675" s="144"/>
      <c r="AC2675" s="16" t="s">
        <v>21</v>
      </c>
      <c r="AD2675" s="17" t="s">
        <v>14399</v>
      </c>
      <c r="AE2675" s="145" t="s">
        <v>14422</v>
      </c>
      <c r="AF2675" s="146"/>
      <c r="AG2675" s="146"/>
      <c r="AH2675" s="146"/>
      <c r="AI2675" s="147"/>
      <c r="AJ2675" s="148"/>
      <c r="AK2675" s="143"/>
      <c r="AL2675" s="144"/>
      <c r="AM2675" s="22"/>
      <c r="AN2675" s="149" t="s">
        <v>2511</v>
      </c>
      <c r="AO2675" s="144"/>
      <c r="AP2675" s="148">
        <v>37652</v>
      </c>
      <c r="AQ2675" s="144"/>
      <c r="AR2675" s="120"/>
      <c r="AS2675" s="121"/>
      <c r="AT2675" s="120"/>
      <c r="AU2675" s="121"/>
      <c r="AV2675" s="120"/>
      <c r="AW2675" s="121"/>
      <c r="AX2675" s="120"/>
      <c r="AY2675" s="121"/>
      <c r="AZ2675" s="138"/>
    </row>
    <row r="2676" spans="1:52" ht="17.100000000000001" customHeight="1" thickTop="1">
      <c r="A2676" s="109" t="s">
        <v>8881</v>
      </c>
      <c r="B2676" s="28">
        <v>45950</v>
      </c>
      <c r="C2676" s="25">
        <v>2065</v>
      </c>
      <c r="D2676" s="13" t="s">
        <v>2059</v>
      </c>
      <c r="E2676" s="111"/>
      <c r="F2676" s="113" t="s">
        <v>8878</v>
      </c>
      <c r="G2676" s="114"/>
      <c r="H2676" s="115"/>
      <c r="I2676" s="24" t="s">
        <v>2976</v>
      </c>
      <c r="J2676" s="116">
        <v>4</v>
      </c>
      <c r="K2676" s="118">
        <v>935000</v>
      </c>
      <c r="L2676" s="119"/>
      <c r="M2676" s="118">
        <f t="shared" ref="M2676" si="1361">K2676*0.1</f>
        <v>93500</v>
      </c>
      <c r="N2676" s="119"/>
      <c r="O2676" s="118">
        <f>16400+1640</f>
        <v>18040</v>
      </c>
      <c r="P2676" s="119"/>
      <c r="Q2676" s="118">
        <v>23940</v>
      </c>
      <c r="R2676" s="119"/>
      <c r="S2676" s="118">
        <v>11000</v>
      </c>
      <c r="T2676" s="119"/>
      <c r="U2676" s="118">
        <f t="shared" ref="U2676" si="1362">SUM(K2676:T2677)</f>
        <v>1081480</v>
      </c>
      <c r="V2676" s="122"/>
      <c r="W2676" s="124"/>
      <c r="X2676" s="126" t="s">
        <v>8880</v>
      </c>
      <c r="Y2676" s="127"/>
      <c r="Z2676" s="127"/>
      <c r="AA2676" s="127"/>
      <c r="AB2676" s="128"/>
      <c r="AC2676" s="15" t="s">
        <v>20</v>
      </c>
      <c r="AD2676" s="129" t="s">
        <v>1633</v>
      </c>
      <c r="AE2676" s="130"/>
      <c r="AF2676" s="130"/>
      <c r="AG2676" s="130"/>
      <c r="AH2676" s="130"/>
      <c r="AI2676" s="131"/>
      <c r="AJ2676" s="132"/>
      <c r="AK2676" s="127"/>
      <c r="AL2676" s="128"/>
      <c r="AM2676" s="21" t="s">
        <v>10397</v>
      </c>
      <c r="AN2676" s="133">
        <v>45983</v>
      </c>
      <c r="AO2676" s="134"/>
      <c r="AP2676" s="135">
        <v>1277</v>
      </c>
      <c r="AQ2676" s="136"/>
      <c r="AR2676" s="118">
        <v>1060000</v>
      </c>
      <c r="AS2676" s="119"/>
      <c r="AT2676" s="118">
        <f t="shared" ref="AT2676" si="1363">AR2676*0.1</f>
        <v>106000</v>
      </c>
      <c r="AU2676" s="119"/>
      <c r="AV2676" s="118">
        <v>23940</v>
      </c>
      <c r="AW2676" s="119"/>
      <c r="AX2676" s="118">
        <f t="shared" ref="AX2676" si="1364">SUM(AR2676:AW2676)</f>
        <v>1189940</v>
      </c>
      <c r="AY2676" s="119"/>
      <c r="AZ2676" s="137">
        <v>45987</v>
      </c>
    </row>
    <row r="2677" spans="1:52" ht="17.100000000000001" customHeight="1" thickBot="1">
      <c r="A2677" s="110"/>
      <c r="B2677" s="27" t="s">
        <v>83</v>
      </c>
      <c r="C2677" s="27">
        <v>32025</v>
      </c>
      <c r="D2677" s="14" t="s">
        <v>275</v>
      </c>
      <c r="E2677" s="112"/>
      <c r="F2677" s="139" t="s">
        <v>8879</v>
      </c>
      <c r="G2677" s="140"/>
      <c r="H2677" s="141"/>
      <c r="I2677" s="26">
        <v>64342</v>
      </c>
      <c r="J2677" s="117"/>
      <c r="K2677" s="120"/>
      <c r="L2677" s="121"/>
      <c r="M2677" s="120"/>
      <c r="N2677" s="121"/>
      <c r="O2677" s="120"/>
      <c r="P2677" s="121"/>
      <c r="Q2677" s="120"/>
      <c r="R2677" s="121"/>
      <c r="S2677" s="120"/>
      <c r="T2677" s="121"/>
      <c r="U2677" s="120"/>
      <c r="V2677" s="123"/>
      <c r="W2677" s="125"/>
      <c r="X2677" s="142" t="s">
        <v>9127</v>
      </c>
      <c r="Y2677" s="143"/>
      <c r="Z2677" s="143"/>
      <c r="AA2677" s="143"/>
      <c r="AB2677" s="144"/>
      <c r="AC2677" s="16" t="s">
        <v>21</v>
      </c>
      <c r="AD2677" s="17" t="s">
        <v>8956</v>
      </c>
      <c r="AE2677" s="145" t="s">
        <v>1742</v>
      </c>
      <c r="AF2677" s="146"/>
      <c r="AG2677" s="146"/>
      <c r="AH2677" s="146"/>
      <c r="AI2677" s="147"/>
      <c r="AJ2677" s="148"/>
      <c r="AK2677" s="143"/>
      <c r="AL2677" s="144"/>
      <c r="AM2677" s="22"/>
      <c r="AN2677" s="149" t="s">
        <v>2511</v>
      </c>
      <c r="AO2677" s="144"/>
      <c r="AP2677" s="148">
        <v>80247</v>
      </c>
      <c r="AQ2677" s="144"/>
      <c r="AR2677" s="120"/>
      <c r="AS2677" s="121"/>
      <c r="AT2677" s="120"/>
      <c r="AU2677" s="121"/>
      <c r="AV2677" s="120"/>
      <c r="AW2677" s="121"/>
      <c r="AX2677" s="120"/>
      <c r="AY2677" s="121"/>
      <c r="AZ2677" s="138"/>
    </row>
    <row r="2678" spans="1:52" ht="17.100000000000001" customHeight="1" thickTop="1">
      <c r="A2678" s="109" t="s">
        <v>8882</v>
      </c>
      <c r="B2678" s="28">
        <v>45950</v>
      </c>
      <c r="C2678" s="25">
        <v>2065</v>
      </c>
      <c r="D2678" s="13" t="s">
        <v>1597</v>
      </c>
      <c r="E2678" s="111"/>
      <c r="F2678" s="113" t="s">
        <v>8850</v>
      </c>
      <c r="G2678" s="114"/>
      <c r="H2678" s="115"/>
      <c r="I2678" s="24"/>
      <c r="J2678" s="116">
        <v>4</v>
      </c>
      <c r="K2678" s="118">
        <v>940000</v>
      </c>
      <c r="L2678" s="119"/>
      <c r="M2678" s="118">
        <f t="shared" ref="M2678" si="1365">K2678*0.1</f>
        <v>94000</v>
      </c>
      <c r="N2678" s="119"/>
      <c r="O2678" s="118">
        <v>0</v>
      </c>
      <c r="P2678" s="119"/>
      <c r="Q2678" s="118">
        <v>16580</v>
      </c>
      <c r="R2678" s="119"/>
      <c r="S2678" s="118">
        <v>11000</v>
      </c>
      <c r="T2678" s="119"/>
      <c r="U2678" s="118">
        <f t="shared" ref="U2678" si="1366">SUM(K2678:T2679)</f>
        <v>1061580</v>
      </c>
      <c r="V2678" s="122"/>
      <c r="W2678" s="124"/>
      <c r="X2678" s="126" t="s">
        <v>9566</v>
      </c>
      <c r="Y2678" s="127"/>
      <c r="Z2678" s="127"/>
      <c r="AA2678" s="127"/>
      <c r="AB2678" s="128"/>
      <c r="AC2678" s="15" t="s">
        <v>20</v>
      </c>
      <c r="AD2678" s="129" t="s">
        <v>3888</v>
      </c>
      <c r="AE2678" s="130"/>
      <c r="AF2678" s="130"/>
      <c r="AG2678" s="130"/>
      <c r="AH2678" s="130"/>
      <c r="AI2678" s="131"/>
      <c r="AJ2678" s="132"/>
      <c r="AK2678" s="127"/>
      <c r="AL2678" s="128"/>
      <c r="AM2678" s="21"/>
      <c r="AN2678" s="133">
        <v>45976</v>
      </c>
      <c r="AO2678" s="134"/>
      <c r="AP2678" s="135">
        <v>1276</v>
      </c>
      <c r="AQ2678" s="136"/>
      <c r="AR2678" s="118">
        <v>1050000</v>
      </c>
      <c r="AS2678" s="119"/>
      <c r="AT2678" s="118">
        <f t="shared" ref="AT2678" si="1367">AR2678*0.1</f>
        <v>105000</v>
      </c>
      <c r="AU2678" s="119"/>
      <c r="AV2678" s="118">
        <v>16580</v>
      </c>
      <c r="AW2678" s="119"/>
      <c r="AX2678" s="118">
        <f t="shared" ref="AX2678" si="1368">SUM(AR2678:AW2678)</f>
        <v>1171580</v>
      </c>
      <c r="AY2678" s="119"/>
      <c r="AZ2678" s="137">
        <v>45979</v>
      </c>
    </row>
    <row r="2679" spans="1:52" ht="17.100000000000001" customHeight="1" thickBot="1">
      <c r="A2679" s="110"/>
      <c r="B2679" s="27" t="s">
        <v>83</v>
      </c>
      <c r="C2679" s="27">
        <v>34567</v>
      </c>
      <c r="D2679" s="14" t="s">
        <v>133</v>
      </c>
      <c r="E2679" s="112"/>
      <c r="F2679" s="139" t="s">
        <v>8851</v>
      </c>
      <c r="G2679" s="140"/>
      <c r="H2679" s="141"/>
      <c r="I2679" s="26">
        <v>30882</v>
      </c>
      <c r="J2679" s="117"/>
      <c r="K2679" s="120"/>
      <c r="L2679" s="121"/>
      <c r="M2679" s="120"/>
      <c r="N2679" s="121"/>
      <c r="O2679" s="120"/>
      <c r="P2679" s="121"/>
      <c r="Q2679" s="120"/>
      <c r="R2679" s="121"/>
      <c r="S2679" s="120"/>
      <c r="T2679" s="121"/>
      <c r="U2679" s="120"/>
      <c r="V2679" s="123"/>
      <c r="W2679" s="125"/>
      <c r="X2679" s="142" t="s">
        <v>4058</v>
      </c>
      <c r="Y2679" s="143"/>
      <c r="Z2679" s="143"/>
      <c r="AA2679" s="143"/>
      <c r="AB2679" s="144"/>
      <c r="AC2679" s="16" t="s">
        <v>21</v>
      </c>
      <c r="AD2679" s="17" t="s">
        <v>1674</v>
      </c>
      <c r="AE2679" s="145" t="s">
        <v>2920</v>
      </c>
      <c r="AF2679" s="146"/>
      <c r="AG2679" s="146"/>
      <c r="AH2679" s="146"/>
      <c r="AI2679" s="147"/>
      <c r="AJ2679" s="148"/>
      <c r="AK2679" s="143"/>
      <c r="AL2679" s="144"/>
      <c r="AM2679" s="22"/>
      <c r="AN2679" s="149" t="s">
        <v>10999</v>
      </c>
      <c r="AO2679" s="144"/>
      <c r="AP2679" s="148">
        <v>80216</v>
      </c>
      <c r="AQ2679" s="144"/>
      <c r="AR2679" s="120"/>
      <c r="AS2679" s="121"/>
      <c r="AT2679" s="120"/>
      <c r="AU2679" s="121"/>
      <c r="AV2679" s="120"/>
      <c r="AW2679" s="121"/>
      <c r="AX2679" s="120"/>
      <c r="AY2679" s="121"/>
      <c r="AZ2679" s="138"/>
    </row>
    <row r="2680" spans="1:52" ht="17.100000000000001" customHeight="1" thickTop="1">
      <c r="A2680" s="109" t="s">
        <v>8883</v>
      </c>
      <c r="B2680" s="28">
        <v>45950</v>
      </c>
      <c r="C2680" s="25">
        <v>2065</v>
      </c>
      <c r="D2680" s="13" t="s">
        <v>4121</v>
      </c>
      <c r="E2680" s="111"/>
      <c r="F2680" s="113" t="s">
        <v>8852</v>
      </c>
      <c r="G2680" s="114"/>
      <c r="H2680" s="115"/>
      <c r="I2680" s="24"/>
      <c r="J2680" s="116">
        <v>4</v>
      </c>
      <c r="K2680" s="118">
        <v>1530000</v>
      </c>
      <c r="L2680" s="119"/>
      <c r="M2680" s="118">
        <f t="shared" ref="M2680" si="1369">K2680*0.1</f>
        <v>153000</v>
      </c>
      <c r="N2680" s="119"/>
      <c r="O2680" s="118">
        <v>0</v>
      </c>
      <c r="P2680" s="119"/>
      <c r="Q2680" s="118">
        <v>18130</v>
      </c>
      <c r="R2680" s="119"/>
      <c r="S2680" s="118">
        <v>11000</v>
      </c>
      <c r="T2680" s="119"/>
      <c r="U2680" s="118">
        <f t="shared" ref="U2680" si="1370">SUM(K2680:T2681)</f>
        <v>1712130</v>
      </c>
      <c r="V2680" s="122"/>
      <c r="W2680" s="124"/>
      <c r="X2680" s="126" t="s">
        <v>9128</v>
      </c>
      <c r="Y2680" s="127"/>
      <c r="Z2680" s="127"/>
      <c r="AA2680" s="127"/>
      <c r="AB2680" s="128"/>
      <c r="AC2680" s="15" t="s">
        <v>20</v>
      </c>
      <c r="AD2680" s="129" t="s">
        <v>8854</v>
      </c>
      <c r="AE2680" s="130"/>
      <c r="AF2680" s="130"/>
      <c r="AG2680" s="130"/>
      <c r="AH2680" s="130"/>
      <c r="AI2680" s="131"/>
      <c r="AJ2680" s="132"/>
      <c r="AK2680" s="127"/>
      <c r="AL2680" s="128"/>
      <c r="AM2680" s="21"/>
      <c r="AN2680" s="133">
        <v>46053</v>
      </c>
      <c r="AO2680" s="134"/>
      <c r="AP2680" s="135">
        <v>1286</v>
      </c>
      <c r="AQ2680" s="136"/>
      <c r="AR2680" s="118">
        <v>1600000</v>
      </c>
      <c r="AS2680" s="119"/>
      <c r="AT2680" s="118">
        <f t="shared" ref="AT2680" si="1371">AR2680*0.1</f>
        <v>160000</v>
      </c>
      <c r="AU2680" s="119"/>
      <c r="AV2680" s="118">
        <v>18130</v>
      </c>
      <c r="AW2680" s="119"/>
      <c r="AX2680" s="118">
        <f t="shared" ref="AX2680" si="1372">SUM(AR2680:AW2680)</f>
        <v>1778130</v>
      </c>
      <c r="AY2680" s="119"/>
      <c r="AZ2680" s="137">
        <v>46058</v>
      </c>
    </row>
    <row r="2681" spans="1:52" ht="17.100000000000001" customHeight="1" thickBot="1">
      <c r="A2681" s="110"/>
      <c r="B2681" s="27" t="s">
        <v>83</v>
      </c>
      <c r="C2681" s="27">
        <v>36023</v>
      </c>
      <c r="D2681" s="14" t="s">
        <v>133</v>
      </c>
      <c r="E2681" s="112"/>
      <c r="F2681" s="139" t="s">
        <v>8853</v>
      </c>
      <c r="G2681" s="140"/>
      <c r="H2681" s="141"/>
      <c r="I2681" s="26">
        <v>51381</v>
      </c>
      <c r="J2681" s="117"/>
      <c r="K2681" s="120"/>
      <c r="L2681" s="121"/>
      <c r="M2681" s="120"/>
      <c r="N2681" s="121"/>
      <c r="O2681" s="120"/>
      <c r="P2681" s="121"/>
      <c r="Q2681" s="120"/>
      <c r="R2681" s="121"/>
      <c r="S2681" s="120"/>
      <c r="T2681" s="121"/>
      <c r="U2681" s="120"/>
      <c r="V2681" s="123"/>
      <c r="W2681" s="125"/>
      <c r="X2681" s="142" t="s">
        <v>9129</v>
      </c>
      <c r="Y2681" s="143"/>
      <c r="Z2681" s="143"/>
      <c r="AA2681" s="143"/>
      <c r="AB2681" s="144"/>
      <c r="AC2681" s="16" t="s">
        <v>21</v>
      </c>
      <c r="AD2681" s="17" t="s">
        <v>8956</v>
      </c>
      <c r="AE2681" s="145" t="s">
        <v>9272</v>
      </c>
      <c r="AF2681" s="146"/>
      <c r="AG2681" s="146"/>
      <c r="AH2681" s="146"/>
      <c r="AI2681" s="147"/>
      <c r="AJ2681" s="148"/>
      <c r="AK2681" s="143"/>
      <c r="AL2681" s="144"/>
      <c r="AM2681" s="22"/>
      <c r="AN2681" s="149" t="s">
        <v>6748</v>
      </c>
      <c r="AO2681" s="144"/>
      <c r="AP2681" s="148">
        <v>80112</v>
      </c>
      <c r="AQ2681" s="144"/>
      <c r="AR2681" s="120"/>
      <c r="AS2681" s="121"/>
      <c r="AT2681" s="120"/>
      <c r="AU2681" s="121"/>
      <c r="AV2681" s="120"/>
      <c r="AW2681" s="121"/>
      <c r="AX2681" s="120"/>
      <c r="AY2681" s="121"/>
      <c r="AZ2681" s="138"/>
    </row>
    <row r="2682" spans="1:52" ht="17.100000000000001" customHeight="1" thickTop="1">
      <c r="A2682" s="109" t="s">
        <v>8884</v>
      </c>
      <c r="B2682" s="28">
        <v>45950</v>
      </c>
      <c r="C2682" s="25"/>
      <c r="D2682" s="13" t="s">
        <v>1863</v>
      </c>
      <c r="E2682" s="111"/>
      <c r="F2682" s="113" t="s">
        <v>4727</v>
      </c>
      <c r="G2682" s="114"/>
      <c r="H2682" s="115"/>
      <c r="I2682" s="24" t="s">
        <v>2943</v>
      </c>
      <c r="J2682" s="116">
        <v>3.5</v>
      </c>
      <c r="K2682" s="118">
        <v>792000</v>
      </c>
      <c r="L2682" s="119"/>
      <c r="M2682" s="118">
        <f t="shared" ref="M2682" si="1373">K2682*0.1</f>
        <v>79200</v>
      </c>
      <c r="N2682" s="119"/>
      <c r="O2682" s="118">
        <f>14300+1430</f>
        <v>15730</v>
      </c>
      <c r="P2682" s="119"/>
      <c r="Q2682" s="118">
        <v>19090</v>
      </c>
      <c r="R2682" s="119"/>
      <c r="S2682" s="118">
        <v>14850</v>
      </c>
      <c r="T2682" s="119"/>
      <c r="U2682" s="118">
        <f t="shared" ref="U2682" si="1374">SUM(K2682:T2683)</f>
        <v>920870</v>
      </c>
      <c r="V2682" s="122"/>
      <c r="W2682" s="124"/>
      <c r="X2682" s="126" t="s">
        <v>8855</v>
      </c>
      <c r="Y2682" s="127"/>
      <c r="Z2682" s="127"/>
      <c r="AA2682" s="127"/>
      <c r="AB2682" s="128"/>
      <c r="AC2682" s="15" t="s">
        <v>20</v>
      </c>
      <c r="AD2682" s="129"/>
      <c r="AE2682" s="130"/>
      <c r="AF2682" s="130"/>
      <c r="AG2682" s="130"/>
      <c r="AH2682" s="130"/>
      <c r="AI2682" s="131"/>
      <c r="AJ2682" s="132"/>
      <c r="AK2682" s="127"/>
      <c r="AL2682" s="128"/>
      <c r="AM2682" s="21"/>
      <c r="AN2682" s="133">
        <v>45962</v>
      </c>
      <c r="AO2682" s="134"/>
      <c r="AP2682" s="135">
        <v>1274</v>
      </c>
      <c r="AQ2682" s="136"/>
      <c r="AR2682" s="118">
        <v>940000</v>
      </c>
      <c r="AS2682" s="119"/>
      <c r="AT2682" s="118">
        <f t="shared" ref="AT2682" si="1375">AR2682*0.1</f>
        <v>94000</v>
      </c>
      <c r="AU2682" s="119"/>
      <c r="AV2682" s="118">
        <v>19090</v>
      </c>
      <c r="AW2682" s="119"/>
      <c r="AX2682" s="118">
        <f t="shared" ref="AX2682" si="1376">SUM(AR2682:AW2682)</f>
        <v>1053090</v>
      </c>
      <c r="AY2682" s="119"/>
      <c r="AZ2682" s="137">
        <v>45965</v>
      </c>
    </row>
    <row r="2683" spans="1:52" ht="17.100000000000001" customHeight="1" thickBot="1">
      <c r="A2683" s="110"/>
      <c r="B2683" s="27" t="s">
        <v>2774</v>
      </c>
      <c r="C2683" s="27">
        <v>80030</v>
      </c>
      <c r="D2683" s="14" t="s">
        <v>3327</v>
      </c>
      <c r="E2683" s="112"/>
      <c r="F2683" s="139" t="s">
        <v>9331</v>
      </c>
      <c r="G2683" s="140"/>
      <c r="H2683" s="141"/>
      <c r="I2683" s="26">
        <v>58524</v>
      </c>
      <c r="J2683" s="117"/>
      <c r="K2683" s="120"/>
      <c r="L2683" s="121"/>
      <c r="M2683" s="120"/>
      <c r="N2683" s="121"/>
      <c r="O2683" s="120"/>
      <c r="P2683" s="121"/>
      <c r="Q2683" s="120"/>
      <c r="R2683" s="121"/>
      <c r="S2683" s="120"/>
      <c r="T2683" s="121"/>
      <c r="U2683" s="120"/>
      <c r="V2683" s="123"/>
      <c r="W2683" s="125"/>
      <c r="X2683" s="142" t="s">
        <v>9332</v>
      </c>
      <c r="Y2683" s="143"/>
      <c r="Z2683" s="143"/>
      <c r="AA2683" s="143"/>
      <c r="AB2683" s="144"/>
      <c r="AC2683" s="16" t="s">
        <v>21</v>
      </c>
      <c r="AD2683" s="17" t="s">
        <v>9274</v>
      </c>
      <c r="AE2683" s="145" t="s">
        <v>9493</v>
      </c>
      <c r="AF2683" s="146"/>
      <c r="AG2683" s="146"/>
      <c r="AH2683" s="146"/>
      <c r="AI2683" s="147"/>
      <c r="AJ2683" s="148"/>
      <c r="AK2683" s="143"/>
      <c r="AL2683" s="144"/>
      <c r="AM2683" s="22"/>
      <c r="AN2683" s="149" t="s">
        <v>2511</v>
      </c>
      <c r="AO2683" s="144"/>
      <c r="AP2683" s="148">
        <v>80089</v>
      </c>
      <c r="AQ2683" s="144"/>
      <c r="AR2683" s="120"/>
      <c r="AS2683" s="121"/>
      <c r="AT2683" s="120"/>
      <c r="AU2683" s="121"/>
      <c r="AV2683" s="120"/>
      <c r="AW2683" s="121"/>
      <c r="AX2683" s="120"/>
      <c r="AY2683" s="121"/>
      <c r="AZ2683" s="138"/>
    </row>
    <row r="2684" spans="1:52" ht="17.100000000000001" customHeight="1" thickTop="1">
      <c r="A2684" s="109" t="s">
        <v>8885</v>
      </c>
      <c r="B2684" s="28">
        <v>45950</v>
      </c>
      <c r="C2684" s="25"/>
      <c r="D2684" s="13" t="s">
        <v>3921</v>
      </c>
      <c r="E2684" s="111"/>
      <c r="F2684" s="113" t="s">
        <v>8856</v>
      </c>
      <c r="G2684" s="114"/>
      <c r="H2684" s="115"/>
      <c r="I2684" s="24" t="s">
        <v>2533</v>
      </c>
      <c r="J2684" s="116">
        <v>4</v>
      </c>
      <c r="K2684" s="118">
        <v>751000</v>
      </c>
      <c r="L2684" s="119"/>
      <c r="M2684" s="118">
        <f t="shared" ref="M2684" si="1377">K2684*0.1</f>
        <v>75100</v>
      </c>
      <c r="N2684" s="119"/>
      <c r="O2684" s="118">
        <f>14300+1430</f>
        <v>15730</v>
      </c>
      <c r="P2684" s="119"/>
      <c r="Q2684" s="118">
        <v>18390</v>
      </c>
      <c r="R2684" s="119"/>
      <c r="S2684" s="118">
        <v>14850</v>
      </c>
      <c r="T2684" s="119"/>
      <c r="U2684" s="118">
        <f t="shared" ref="U2684" si="1378">SUM(K2684:T2685)</f>
        <v>875070</v>
      </c>
      <c r="V2684" s="122"/>
      <c r="W2684" s="124"/>
      <c r="X2684" s="126" t="s">
        <v>8857</v>
      </c>
      <c r="Y2684" s="127"/>
      <c r="Z2684" s="127"/>
      <c r="AA2684" s="127"/>
      <c r="AB2684" s="128"/>
      <c r="AC2684" s="15" t="s">
        <v>20</v>
      </c>
      <c r="AD2684" s="129"/>
      <c r="AE2684" s="130"/>
      <c r="AF2684" s="130"/>
      <c r="AG2684" s="130"/>
      <c r="AH2684" s="130"/>
      <c r="AI2684" s="131"/>
      <c r="AJ2684" s="132"/>
      <c r="AK2684" s="127"/>
      <c r="AL2684" s="128"/>
      <c r="AM2684" s="21"/>
      <c r="AN2684" s="133">
        <v>45955</v>
      </c>
      <c r="AO2684" s="134"/>
      <c r="AP2684" s="135">
        <v>1273</v>
      </c>
      <c r="AQ2684" s="136"/>
      <c r="AR2684" s="118">
        <v>840000</v>
      </c>
      <c r="AS2684" s="119"/>
      <c r="AT2684" s="118">
        <f t="shared" ref="AT2684" si="1379">AR2684*0.1</f>
        <v>84000</v>
      </c>
      <c r="AU2684" s="119"/>
      <c r="AV2684" s="118">
        <v>18390</v>
      </c>
      <c r="AW2684" s="119"/>
      <c r="AX2684" s="118">
        <f t="shared" ref="AX2684" si="1380">SUM(AR2684:AW2684)</f>
        <v>942390</v>
      </c>
      <c r="AY2684" s="119"/>
      <c r="AZ2684" s="137">
        <v>45960</v>
      </c>
    </row>
    <row r="2685" spans="1:52" ht="17.100000000000001" customHeight="1" thickBot="1">
      <c r="A2685" s="110"/>
      <c r="B2685" s="27" t="s">
        <v>2774</v>
      </c>
      <c r="C2685" s="27">
        <v>80237</v>
      </c>
      <c r="D2685" s="14" t="s">
        <v>1720</v>
      </c>
      <c r="E2685" s="112"/>
      <c r="F2685" s="139" t="s">
        <v>9454</v>
      </c>
      <c r="G2685" s="140"/>
      <c r="H2685" s="141"/>
      <c r="I2685" s="26">
        <v>31068</v>
      </c>
      <c r="J2685" s="117"/>
      <c r="K2685" s="120"/>
      <c r="L2685" s="121"/>
      <c r="M2685" s="120"/>
      <c r="N2685" s="121"/>
      <c r="O2685" s="120"/>
      <c r="P2685" s="121"/>
      <c r="Q2685" s="120"/>
      <c r="R2685" s="121"/>
      <c r="S2685" s="120"/>
      <c r="T2685" s="121"/>
      <c r="U2685" s="120"/>
      <c r="V2685" s="123"/>
      <c r="W2685" s="125"/>
      <c r="X2685" s="142" t="s">
        <v>9455</v>
      </c>
      <c r="Y2685" s="143"/>
      <c r="Z2685" s="143"/>
      <c r="AA2685" s="143"/>
      <c r="AB2685" s="144"/>
      <c r="AC2685" s="16" t="s">
        <v>21</v>
      </c>
      <c r="AD2685" s="17" t="s">
        <v>3341</v>
      </c>
      <c r="AE2685" s="145" t="s">
        <v>1690</v>
      </c>
      <c r="AF2685" s="146"/>
      <c r="AG2685" s="146"/>
      <c r="AH2685" s="146"/>
      <c r="AI2685" s="147"/>
      <c r="AJ2685" s="148"/>
      <c r="AK2685" s="143"/>
      <c r="AL2685" s="144"/>
      <c r="AM2685" s="22"/>
      <c r="AN2685" s="149" t="s">
        <v>2511</v>
      </c>
      <c r="AO2685" s="144"/>
      <c r="AP2685" s="148">
        <v>80081</v>
      </c>
      <c r="AQ2685" s="144"/>
      <c r="AR2685" s="120"/>
      <c r="AS2685" s="121"/>
      <c r="AT2685" s="120"/>
      <c r="AU2685" s="121"/>
      <c r="AV2685" s="120"/>
      <c r="AW2685" s="121"/>
      <c r="AX2685" s="120"/>
      <c r="AY2685" s="121"/>
      <c r="AZ2685" s="138"/>
    </row>
    <row r="2686" spans="1:52" ht="17.100000000000001" customHeight="1" thickTop="1">
      <c r="A2686" s="109" t="s">
        <v>8886</v>
      </c>
      <c r="B2686" s="28">
        <v>45950</v>
      </c>
      <c r="C2686" s="25"/>
      <c r="D2686" s="13" t="s">
        <v>1631</v>
      </c>
      <c r="E2686" s="111"/>
      <c r="F2686" s="113" t="s">
        <v>8859</v>
      </c>
      <c r="G2686" s="114"/>
      <c r="H2686" s="115"/>
      <c r="I2686" s="24" t="s">
        <v>2919</v>
      </c>
      <c r="J2686" s="116">
        <v>4</v>
      </c>
      <c r="K2686" s="118">
        <v>1823000</v>
      </c>
      <c r="L2686" s="119"/>
      <c r="M2686" s="118">
        <f t="shared" ref="M2686" si="1381">K2686*0.1</f>
        <v>182300</v>
      </c>
      <c r="N2686" s="119"/>
      <c r="O2686" s="118">
        <f>12700+1270</f>
        <v>13970</v>
      </c>
      <c r="P2686" s="119"/>
      <c r="Q2686" s="118">
        <v>15180</v>
      </c>
      <c r="R2686" s="119"/>
      <c r="S2686" s="118">
        <v>14850</v>
      </c>
      <c r="T2686" s="119"/>
      <c r="U2686" s="118">
        <f t="shared" ref="U2686" si="1382">SUM(K2686:T2687)</f>
        <v>2049300</v>
      </c>
      <c r="V2686" s="122"/>
      <c r="W2686" s="124"/>
      <c r="X2686" s="126" t="s">
        <v>8861</v>
      </c>
      <c r="Y2686" s="127"/>
      <c r="Z2686" s="127"/>
      <c r="AA2686" s="127"/>
      <c r="AB2686" s="128"/>
      <c r="AC2686" s="15" t="s">
        <v>20</v>
      </c>
      <c r="AD2686" s="129"/>
      <c r="AE2686" s="130"/>
      <c r="AF2686" s="130"/>
      <c r="AG2686" s="130"/>
      <c r="AH2686" s="130"/>
      <c r="AI2686" s="131"/>
      <c r="AJ2686" s="132"/>
      <c r="AK2686" s="127"/>
      <c r="AL2686" s="128"/>
      <c r="AM2686" s="21"/>
      <c r="AN2686" s="133">
        <v>45969</v>
      </c>
      <c r="AO2686" s="134"/>
      <c r="AP2686" s="135">
        <v>1275</v>
      </c>
      <c r="AQ2686" s="136"/>
      <c r="AR2686" s="118">
        <v>2095000</v>
      </c>
      <c r="AS2686" s="119"/>
      <c r="AT2686" s="118">
        <f t="shared" ref="AT2686" si="1383">AR2686*0.1</f>
        <v>209500</v>
      </c>
      <c r="AU2686" s="119"/>
      <c r="AV2686" s="118">
        <v>15180</v>
      </c>
      <c r="AW2686" s="119"/>
      <c r="AX2686" s="118">
        <f t="shared" ref="AX2686" si="1384">SUM(AR2686:AW2686)</f>
        <v>2319680</v>
      </c>
      <c r="AY2686" s="119"/>
      <c r="AZ2686" s="137">
        <v>45972</v>
      </c>
    </row>
    <row r="2687" spans="1:52" ht="17.100000000000001" customHeight="1" thickBot="1">
      <c r="A2687" s="110"/>
      <c r="B2687" s="27" t="s">
        <v>8858</v>
      </c>
      <c r="C2687" s="27">
        <v>60141</v>
      </c>
      <c r="D2687" s="14" t="s">
        <v>133</v>
      </c>
      <c r="E2687" s="112"/>
      <c r="F2687" s="139" t="s">
        <v>8860</v>
      </c>
      <c r="G2687" s="140"/>
      <c r="H2687" s="141"/>
      <c r="I2687" s="26">
        <v>29652</v>
      </c>
      <c r="J2687" s="117"/>
      <c r="K2687" s="120"/>
      <c r="L2687" s="121"/>
      <c r="M2687" s="120"/>
      <c r="N2687" s="121"/>
      <c r="O2687" s="120"/>
      <c r="P2687" s="121"/>
      <c r="Q2687" s="120"/>
      <c r="R2687" s="121"/>
      <c r="S2687" s="120"/>
      <c r="T2687" s="121"/>
      <c r="U2687" s="120"/>
      <c r="V2687" s="123"/>
      <c r="W2687" s="125"/>
      <c r="X2687" s="142" t="s">
        <v>2947</v>
      </c>
      <c r="Y2687" s="143"/>
      <c r="Z2687" s="143"/>
      <c r="AA2687" s="143"/>
      <c r="AB2687" s="144"/>
      <c r="AC2687" s="16" t="s">
        <v>21</v>
      </c>
      <c r="AD2687" s="17" t="s">
        <v>3341</v>
      </c>
      <c r="AE2687" s="145" t="s">
        <v>9450</v>
      </c>
      <c r="AF2687" s="146"/>
      <c r="AG2687" s="146"/>
      <c r="AH2687" s="146"/>
      <c r="AI2687" s="147"/>
      <c r="AJ2687" s="148"/>
      <c r="AK2687" s="143"/>
      <c r="AL2687" s="144"/>
      <c r="AM2687" s="22"/>
      <c r="AN2687" s="149" t="s">
        <v>2511</v>
      </c>
      <c r="AO2687" s="144"/>
      <c r="AP2687" s="148">
        <v>80040</v>
      </c>
      <c r="AQ2687" s="144"/>
      <c r="AR2687" s="120"/>
      <c r="AS2687" s="121"/>
      <c r="AT2687" s="120"/>
      <c r="AU2687" s="121"/>
      <c r="AV2687" s="120"/>
      <c r="AW2687" s="121"/>
      <c r="AX2687" s="120"/>
      <c r="AY2687" s="121"/>
      <c r="AZ2687" s="138"/>
    </row>
    <row r="2688" spans="1:52" ht="17.100000000000001" customHeight="1" thickTop="1">
      <c r="A2688" s="109" t="s">
        <v>8887</v>
      </c>
      <c r="B2688" s="28">
        <v>45950</v>
      </c>
      <c r="C2688" s="25"/>
      <c r="D2688" s="13" t="s">
        <v>1667</v>
      </c>
      <c r="E2688" s="111"/>
      <c r="F2688" s="113" t="s">
        <v>8872</v>
      </c>
      <c r="G2688" s="114"/>
      <c r="H2688" s="115"/>
      <c r="I2688" s="24" t="s">
        <v>8873</v>
      </c>
      <c r="J2688" s="116">
        <v>4</v>
      </c>
      <c r="K2688" s="118">
        <f>1375000/1.1</f>
        <v>1250000</v>
      </c>
      <c r="L2688" s="119"/>
      <c r="M2688" s="118">
        <f t="shared" ref="M2688" si="1385">K2688*0.1</f>
        <v>125000</v>
      </c>
      <c r="N2688" s="119"/>
      <c r="O2688" s="118">
        <v>15000</v>
      </c>
      <c r="P2688" s="119"/>
      <c r="Q2688" s="118">
        <v>16550</v>
      </c>
      <c r="R2688" s="119"/>
      <c r="S2688" s="118">
        <v>0</v>
      </c>
      <c r="T2688" s="119"/>
      <c r="U2688" s="118">
        <f t="shared" ref="U2688" si="1386">SUM(K2688:T2689)</f>
        <v>1406550</v>
      </c>
      <c r="V2688" s="122"/>
      <c r="W2688" s="124"/>
      <c r="X2688" s="126" t="s">
        <v>11632</v>
      </c>
      <c r="Y2688" s="127"/>
      <c r="Z2688" s="127"/>
      <c r="AA2688" s="127"/>
      <c r="AB2688" s="128"/>
      <c r="AC2688" s="15" t="s">
        <v>20</v>
      </c>
      <c r="AD2688" s="129" t="s">
        <v>1945</v>
      </c>
      <c r="AE2688" s="130"/>
      <c r="AF2688" s="130"/>
      <c r="AG2688" s="130"/>
      <c r="AH2688" s="130"/>
      <c r="AI2688" s="131"/>
      <c r="AJ2688" s="132"/>
      <c r="AK2688" s="127"/>
      <c r="AL2688" s="128"/>
      <c r="AM2688" s="21"/>
      <c r="AN2688" s="133">
        <v>45997</v>
      </c>
      <c r="AO2688" s="134"/>
      <c r="AP2688" s="135">
        <v>1279</v>
      </c>
      <c r="AQ2688" s="136"/>
      <c r="AR2688" s="118">
        <v>1295000</v>
      </c>
      <c r="AS2688" s="119"/>
      <c r="AT2688" s="118">
        <f t="shared" ref="AT2688" si="1387">AR2688*0.1</f>
        <v>129500</v>
      </c>
      <c r="AU2688" s="119"/>
      <c r="AV2688" s="118">
        <v>16550</v>
      </c>
      <c r="AW2688" s="119"/>
      <c r="AX2688" s="118">
        <f t="shared" ref="AX2688" si="1388">SUM(AR2688:AW2688)</f>
        <v>1441050</v>
      </c>
      <c r="AY2688" s="119"/>
      <c r="AZ2688" s="137">
        <v>46000</v>
      </c>
    </row>
    <row r="2689" spans="1:52" ht="17.100000000000001" customHeight="1" thickBot="1">
      <c r="A2689" s="110"/>
      <c r="B2689" s="27" t="s">
        <v>1718</v>
      </c>
      <c r="C2689" s="27" t="s">
        <v>8862</v>
      </c>
      <c r="D2689" s="14" t="s">
        <v>2040</v>
      </c>
      <c r="E2689" s="112"/>
      <c r="F2689" s="139" t="s">
        <v>8863</v>
      </c>
      <c r="G2689" s="140"/>
      <c r="H2689" s="141"/>
      <c r="I2689" s="26">
        <v>116998</v>
      </c>
      <c r="J2689" s="117"/>
      <c r="K2689" s="120"/>
      <c r="L2689" s="121"/>
      <c r="M2689" s="120"/>
      <c r="N2689" s="121"/>
      <c r="O2689" s="120"/>
      <c r="P2689" s="121"/>
      <c r="Q2689" s="120"/>
      <c r="R2689" s="121"/>
      <c r="S2689" s="120"/>
      <c r="T2689" s="121"/>
      <c r="U2689" s="120"/>
      <c r="V2689" s="123"/>
      <c r="W2689" s="125"/>
      <c r="X2689" s="142" t="s">
        <v>11633</v>
      </c>
      <c r="Y2689" s="143"/>
      <c r="Z2689" s="143"/>
      <c r="AA2689" s="143"/>
      <c r="AB2689" s="144"/>
      <c r="AC2689" s="16" t="s">
        <v>21</v>
      </c>
      <c r="AD2689" s="17" t="s">
        <v>2224</v>
      </c>
      <c r="AE2689" s="145" t="s">
        <v>1614</v>
      </c>
      <c r="AF2689" s="146"/>
      <c r="AG2689" s="146"/>
      <c r="AH2689" s="146"/>
      <c r="AI2689" s="147"/>
      <c r="AJ2689" s="148"/>
      <c r="AK2689" s="143"/>
      <c r="AL2689" s="144"/>
      <c r="AM2689" s="22"/>
      <c r="AN2689" s="149" t="s">
        <v>2511</v>
      </c>
      <c r="AO2689" s="144"/>
      <c r="AP2689" s="148">
        <v>37500</v>
      </c>
      <c r="AQ2689" s="144"/>
      <c r="AR2689" s="120"/>
      <c r="AS2689" s="121"/>
      <c r="AT2689" s="120"/>
      <c r="AU2689" s="121"/>
      <c r="AV2689" s="120"/>
      <c r="AW2689" s="121"/>
      <c r="AX2689" s="120"/>
      <c r="AY2689" s="121"/>
      <c r="AZ2689" s="138"/>
    </row>
    <row r="2690" spans="1:52" ht="17.100000000000001" customHeight="1" thickTop="1">
      <c r="A2690" s="109" t="s">
        <v>8888</v>
      </c>
      <c r="B2690" s="28">
        <v>45950</v>
      </c>
      <c r="C2690" s="25"/>
      <c r="D2690" s="13" t="s">
        <v>2689</v>
      </c>
      <c r="E2690" s="111"/>
      <c r="F2690" s="113" t="s">
        <v>8844</v>
      </c>
      <c r="G2690" s="114"/>
      <c r="H2690" s="115"/>
      <c r="I2690" s="24" t="s">
        <v>8874</v>
      </c>
      <c r="J2690" s="116">
        <v>4.5</v>
      </c>
      <c r="K2690" s="118">
        <f>2348500/1.1</f>
        <v>2135000</v>
      </c>
      <c r="L2690" s="119"/>
      <c r="M2690" s="118">
        <f t="shared" ref="M2690" si="1389">K2690*0.1</f>
        <v>213500</v>
      </c>
      <c r="N2690" s="119"/>
      <c r="O2690" s="118">
        <v>10100</v>
      </c>
      <c r="P2690" s="119"/>
      <c r="Q2690" s="118">
        <v>8340</v>
      </c>
      <c r="R2690" s="119"/>
      <c r="S2690" s="118">
        <v>0</v>
      </c>
      <c r="T2690" s="119"/>
      <c r="U2690" s="118">
        <f t="shared" ref="U2690" si="1390">SUM(K2690:T2691)</f>
        <v>2366940</v>
      </c>
      <c r="V2690" s="122"/>
      <c r="W2690" s="124"/>
      <c r="X2690" s="126" t="s">
        <v>9930</v>
      </c>
      <c r="Y2690" s="127"/>
      <c r="Z2690" s="127"/>
      <c r="AA2690" s="127"/>
      <c r="AB2690" s="128"/>
      <c r="AC2690" s="15" t="s">
        <v>20</v>
      </c>
      <c r="AD2690" s="129" t="s">
        <v>1732</v>
      </c>
      <c r="AE2690" s="130"/>
      <c r="AF2690" s="130"/>
      <c r="AG2690" s="130"/>
      <c r="AH2690" s="130"/>
      <c r="AI2690" s="131"/>
      <c r="AJ2690" s="132" t="s">
        <v>11312</v>
      </c>
      <c r="AK2690" s="127"/>
      <c r="AL2690" s="128"/>
      <c r="AM2690" s="21"/>
      <c r="AN2690" s="133">
        <v>45969</v>
      </c>
      <c r="AO2690" s="134"/>
      <c r="AP2690" s="135">
        <v>1275</v>
      </c>
      <c r="AQ2690" s="136"/>
      <c r="AR2690" s="118">
        <v>2300000</v>
      </c>
      <c r="AS2690" s="119"/>
      <c r="AT2690" s="118">
        <f t="shared" ref="AT2690" si="1391">AR2690*0.1</f>
        <v>230000</v>
      </c>
      <c r="AU2690" s="119"/>
      <c r="AV2690" s="118">
        <v>8340</v>
      </c>
      <c r="AW2690" s="119"/>
      <c r="AX2690" s="118">
        <f t="shared" ref="AX2690" si="1392">SUM(AR2690:AW2690)</f>
        <v>2538340</v>
      </c>
      <c r="AY2690" s="119"/>
      <c r="AZ2690" s="137">
        <v>45972</v>
      </c>
    </row>
    <row r="2691" spans="1:52" ht="17.100000000000001" customHeight="1" thickBot="1">
      <c r="A2691" s="110"/>
      <c r="B2691" s="27" t="s">
        <v>1718</v>
      </c>
      <c r="C2691" s="27" t="s">
        <v>8864</v>
      </c>
      <c r="D2691" s="14" t="s">
        <v>1592</v>
      </c>
      <c r="E2691" s="112"/>
      <c r="F2691" s="139" t="s">
        <v>8865</v>
      </c>
      <c r="G2691" s="140"/>
      <c r="H2691" s="141"/>
      <c r="I2691" s="26">
        <v>27078</v>
      </c>
      <c r="J2691" s="117"/>
      <c r="K2691" s="120"/>
      <c r="L2691" s="121"/>
      <c r="M2691" s="120"/>
      <c r="N2691" s="121"/>
      <c r="O2691" s="120"/>
      <c r="P2691" s="121"/>
      <c r="Q2691" s="120"/>
      <c r="R2691" s="121"/>
      <c r="S2691" s="120"/>
      <c r="T2691" s="121"/>
      <c r="U2691" s="120"/>
      <c r="V2691" s="123"/>
      <c r="W2691" s="125"/>
      <c r="X2691" s="142" t="s">
        <v>8706</v>
      </c>
      <c r="Y2691" s="143"/>
      <c r="Z2691" s="143"/>
      <c r="AA2691" s="143"/>
      <c r="AB2691" s="144"/>
      <c r="AC2691" s="16" t="s">
        <v>21</v>
      </c>
      <c r="AD2691" s="17" t="s">
        <v>9858</v>
      </c>
      <c r="AE2691" s="145" t="s">
        <v>3925</v>
      </c>
      <c r="AF2691" s="146"/>
      <c r="AG2691" s="146"/>
      <c r="AH2691" s="146"/>
      <c r="AI2691" s="147"/>
      <c r="AJ2691" s="148" t="s">
        <v>11170</v>
      </c>
      <c r="AK2691" s="143"/>
      <c r="AL2691" s="144"/>
      <c r="AM2691" s="22"/>
      <c r="AN2691" s="149" t="s">
        <v>2511</v>
      </c>
      <c r="AO2691" s="144"/>
      <c r="AP2691" s="148">
        <v>37121</v>
      </c>
      <c r="AQ2691" s="144"/>
      <c r="AR2691" s="120"/>
      <c r="AS2691" s="121"/>
      <c r="AT2691" s="120"/>
      <c r="AU2691" s="121"/>
      <c r="AV2691" s="120"/>
      <c r="AW2691" s="121"/>
      <c r="AX2691" s="120"/>
      <c r="AY2691" s="121"/>
      <c r="AZ2691" s="138"/>
    </row>
    <row r="2692" spans="1:52" ht="17.100000000000001" customHeight="1" thickTop="1">
      <c r="A2692" s="109" t="s">
        <v>8889</v>
      </c>
      <c r="B2692" s="28">
        <v>45950</v>
      </c>
      <c r="C2692" s="25"/>
      <c r="D2692" s="13" t="s">
        <v>4121</v>
      </c>
      <c r="E2692" s="111"/>
      <c r="F2692" s="113" t="s">
        <v>8009</v>
      </c>
      <c r="G2692" s="114"/>
      <c r="H2692" s="115"/>
      <c r="I2692" s="24" t="s">
        <v>4455</v>
      </c>
      <c r="J2692" s="116">
        <v>4</v>
      </c>
      <c r="K2692" s="118">
        <f>1056000/1.1</f>
        <v>959999.99999999988</v>
      </c>
      <c r="L2692" s="119"/>
      <c r="M2692" s="118">
        <f t="shared" ref="M2692" si="1393">K2692*0.1</f>
        <v>96000</v>
      </c>
      <c r="N2692" s="119"/>
      <c r="O2692" s="118">
        <v>0</v>
      </c>
      <c r="P2692" s="119"/>
      <c r="Q2692" s="118">
        <v>9310</v>
      </c>
      <c r="R2692" s="119"/>
      <c r="S2692" s="118">
        <v>0</v>
      </c>
      <c r="T2692" s="119"/>
      <c r="U2692" s="118">
        <f t="shared" ref="U2692" si="1394">SUM(K2692:T2693)</f>
        <v>1065310</v>
      </c>
      <c r="V2692" s="122"/>
      <c r="W2692" s="124"/>
      <c r="X2692" s="126" t="s">
        <v>10599</v>
      </c>
      <c r="Y2692" s="127"/>
      <c r="Z2692" s="127"/>
      <c r="AA2692" s="127"/>
      <c r="AB2692" s="128"/>
      <c r="AC2692" s="15" t="s">
        <v>20</v>
      </c>
      <c r="AD2692" s="129" t="s">
        <v>1945</v>
      </c>
      <c r="AE2692" s="130"/>
      <c r="AF2692" s="130"/>
      <c r="AG2692" s="130"/>
      <c r="AH2692" s="130"/>
      <c r="AI2692" s="131"/>
      <c r="AJ2692" s="132"/>
      <c r="AK2692" s="127"/>
      <c r="AL2692" s="128"/>
      <c r="AM2692" s="21"/>
      <c r="AN2692" s="133">
        <v>45972</v>
      </c>
      <c r="AO2692" s="134"/>
      <c r="AP2692" s="135">
        <v>1917</v>
      </c>
      <c r="AQ2692" s="136"/>
      <c r="AR2692" s="118">
        <v>1004000</v>
      </c>
      <c r="AS2692" s="119"/>
      <c r="AT2692" s="118">
        <f t="shared" ref="AT2692" si="1395">AR2692*0.1</f>
        <v>100400</v>
      </c>
      <c r="AU2692" s="119"/>
      <c r="AV2692" s="118">
        <v>9310</v>
      </c>
      <c r="AW2692" s="119"/>
      <c r="AX2692" s="118">
        <f t="shared" ref="AX2692" si="1396">SUM(AR2692:AW2692)</f>
        <v>1113710</v>
      </c>
      <c r="AY2692" s="119"/>
      <c r="AZ2692" s="137"/>
    </row>
    <row r="2693" spans="1:52" ht="17.100000000000001" customHeight="1" thickBot="1">
      <c r="A2693" s="110"/>
      <c r="B2693" s="27" t="s">
        <v>1718</v>
      </c>
      <c r="C2693" s="27" t="s">
        <v>8866</v>
      </c>
      <c r="D2693" s="14" t="s">
        <v>2601</v>
      </c>
      <c r="E2693" s="112"/>
      <c r="F2693" s="139" t="s">
        <v>8867</v>
      </c>
      <c r="G2693" s="140"/>
      <c r="H2693" s="141"/>
      <c r="I2693" s="26">
        <v>53969</v>
      </c>
      <c r="J2693" s="117"/>
      <c r="K2693" s="120"/>
      <c r="L2693" s="121"/>
      <c r="M2693" s="120"/>
      <c r="N2693" s="121"/>
      <c r="O2693" s="120"/>
      <c r="P2693" s="121"/>
      <c r="Q2693" s="120"/>
      <c r="R2693" s="121"/>
      <c r="S2693" s="120"/>
      <c r="T2693" s="121"/>
      <c r="U2693" s="120"/>
      <c r="V2693" s="123"/>
      <c r="W2693" s="125"/>
      <c r="X2693" s="142" t="s">
        <v>10595</v>
      </c>
      <c r="Y2693" s="143"/>
      <c r="Z2693" s="143"/>
      <c r="AA2693" s="143"/>
      <c r="AB2693" s="144"/>
      <c r="AC2693" s="16" t="s">
        <v>21</v>
      </c>
      <c r="AD2693" s="17" t="s">
        <v>10596</v>
      </c>
      <c r="AE2693" s="145" t="s">
        <v>1614</v>
      </c>
      <c r="AF2693" s="146"/>
      <c r="AG2693" s="146"/>
      <c r="AH2693" s="146"/>
      <c r="AI2693" s="147"/>
      <c r="AJ2693" s="148"/>
      <c r="AK2693" s="143"/>
      <c r="AL2693" s="144"/>
      <c r="AM2693" s="22"/>
      <c r="AN2693" s="149" t="s">
        <v>2131</v>
      </c>
      <c r="AO2693" s="144"/>
      <c r="AP2693" s="148">
        <v>3247</v>
      </c>
      <c r="AQ2693" s="144"/>
      <c r="AR2693" s="120"/>
      <c r="AS2693" s="121"/>
      <c r="AT2693" s="120"/>
      <c r="AU2693" s="121"/>
      <c r="AV2693" s="120"/>
      <c r="AW2693" s="121"/>
      <c r="AX2693" s="120"/>
      <c r="AY2693" s="121"/>
      <c r="AZ2693" s="138"/>
    </row>
    <row r="2694" spans="1:52" ht="17.100000000000001" customHeight="1" thickTop="1">
      <c r="A2694" s="151" t="s">
        <v>8890</v>
      </c>
      <c r="B2694" s="28">
        <v>45950</v>
      </c>
      <c r="C2694" s="25"/>
      <c r="D2694" s="13" t="s">
        <v>1675</v>
      </c>
      <c r="E2694" s="111"/>
      <c r="F2694" s="113" t="s">
        <v>8875</v>
      </c>
      <c r="G2694" s="114"/>
      <c r="H2694" s="115"/>
      <c r="I2694" s="24" t="s">
        <v>8876</v>
      </c>
      <c r="J2694" s="116">
        <v>4</v>
      </c>
      <c r="K2694" s="118">
        <f>1980000/1.1</f>
        <v>1799999.9999999998</v>
      </c>
      <c r="L2694" s="119"/>
      <c r="M2694" s="118">
        <f t="shared" ref="M2694" si="1397">K2694*0.1</f>
        <v>180000</v>
      </c>
      <c r="N2694" s="119"/>
      <c r="O2694" s="118">
        <v>11200</v>
      </c>
      <c r="P2694" s="119"/>
      <c r="Q2694" s="118">
        <v>12710</v>
      </c>
      <c r="R2694" s="119"/>
      <c r="S2694" s="118">
        <v>0</v>
      </c>
      <c r="T2694" s="119"/>
      <c r="U2694" s="118">
        <f t="shared" ref="U2694" si="1398">SUM(K2694:T2695)</f>
        <v>2003909.9999999998</v>
      </c>
      <c r="V2694" s="122"/>
      <c r="W2694" s="124"/>
      <c r="X2694" s="126" t="s">
        <v>11437</v>
      </c>
      <c r="Y2694" s="127"/>
      <c r="Z2694" s="127"/>
      <c r="AA2694" s="127"/>
      <c r="AB2694" s="128"/>
      <c r="AC2694" s="15" t="s">
        <v>20</v>
      </c>
      <c r="AD2694" s="129" t="s">
        <v>1605</v>
      </c>
      <c r="AE2694" s="130"/>
      <c r="AF2694" s="130"/>
      <c r="AG2694" s="130"/>
      <c r="AH2694" s="130"/>
      <c r="AI2694" s="131"/>
      <c r="AJ2694" s="132" t="s">
        <v>8040</v>
      </c>
      <c r="AK2694" s="127"/>
      <c r="AL2694" s="128"/>
      <c r="AM2694" s="21"/>
      <c r="AN2694" s="133"/>
      <c r="AO2694" s="134"/>
      <c r="AP2694" s="135"/>
      <c r="AQ2694" s="136"/>
      <c r="AR2694" s="118"/>
      <c r="AS2694" s="119"/>
      <c r="AT2694" s="118">
        <f t="shared" ref="AT2694" si="1399">AR2694*0.1</f>
        <v>0</v>
      </c>
      <c r="AU2694" s="119"/>
      <c r="AV2694" s="118"/>
      <c r="AW2694" s="119"/>
      <c r="AX2694" s="118">
        <f t="shared" ref="AX2694" si="1400">SUM(AR2694:AW2694)</f>
        <v>0</v>
      </c>
      <c r="AY2694" s="119"/>
      <c r="AZ2694" s="137"/>
    </row>
    <row r="2695" spans="1:52" ht="17.100000000000001" customHeight="1" thickBot="1">
      <c r="A2695" s="152"/>
      <c r="B2695" s="27" t="s">
        <v>1718</v>
      </c>
      <c r="C2695" s="27" t="s">
        <v>8868</v>
      </c>
      <c r="D2695" s="14" t="s">
        <v>1592</v>
      </c>
      <c r="E2695" s="112"/>
      <c r="F2695" s="139" t="s">
        <v>8869</v>
      </c>
      <c r="G2695" s="140"/>
      <c r="H2695" s="141"/>
      <c r="I2695" s="26">
        <v>59966</v>
      </c>
      <c r="J2695" s="117"/>
      <c r="K2695" s="120"/>
      <c r="L2695" s="121"/>
      <c r="M2695" s="120"/>
      <c r="N2695" s="121"/>
      <c r="O2695" s="120"/>
      <c r="P2695" s="121"/>
      <c r="Q2695" s="120"/>
      <c r="R2695" s="121"/>
      <c r="S2695" s="120"/>
      <c r="T2695" s="121"/>
      <c r="U2695" s="120"/>
      <c r="V2695" s="123"/>
      <c r="W2695" s="125"/>
      <c r="X2695" s="142" t="s">
        <v>5278</v>
      </c>
      <c r="Y2695" s="143"/>
      <c r="Z2695" s="143"/>
      <c r="AA2695" s="143"/>
      <c r="AB2695" s="144"/>
      <c r="AC2695" s="16" t="s">
        <v>21</v>
      </c>
      <c r="AD2695" s="17" t="s">
        <v>2218</v>
      </c>
      <c r="AE2695" s="145" t="s">
        <v>11438</v>
      </c>
      <c r="AF2695" s="146"/>
      <c r="AG2695" s="146"/>
      <c r="AH2695" s="146"/>
      <c r="AI2695" s="147"/>
      <c r="AJ2695" s="148" t="s">
        <v>12644</v>
      </c>
      <c r="AK2695" s="143"/>
      <c r="AL2695" s="144"/>
      <c r="AM2695" s="22"/>
      <c r="AN2695" s="149"/>
      <c r="AO2695" s="144"/>
      <c r="AP2695" s="148"/>
      <c r="AQ2695" s="144"/>
      <c r="AR2695" s="120"/>
      <c r="AS2695" s="121"/>
      <c r="AT2695" s="120"/>
      <c r="AU2695" s="121"/>
      <c r="AV2695" s="120"/>
      <c r="AW2695" s="121"/>
      <c r="AX2695" s="120"/>
      <c r="AY2695" s="121"/>
      <c r="AZ2695" s="138"/>
    </row>
    <row r="2696" spans="1:52" ht="17.100000000000001" customHeight="1" thickTop="1">
      <c r="A2696" s="109" t="s">
        <v>8891</v>
      </c>
      <c r="B2696" s="28">
        <v>45950</v>
      </c>
      <c r="C2696" s="25"/>
      <c r="D2696" s="13" t="s">
        <v>1059</v>
      </c>
      <c r="E2696" s="111"/>
      <c r="F2696" s="113" t="s">
        <v>8877</v>
      </c>
      <c r="G2696" s="114"/>
      <c r="H2696" s="115"/>
      <c r="I2696" s="24" t="s">
        <v>5147</v>
      </c>
      <c r="J2696" s="116">
        <v>4</v>
      </c>
      <c r="K2696" s="118">
        <f>2354000/1.1</f>
        <v>2140000</v>
      </c>
      <c r="L2696" s="119"/>
      <c r="M2696" s="118">
        <f t="shared" ref="M2696" si="1401">K2696*0.1</f>
        <v>214000</v>
      </c>
      <c r="N2696" s="119"/>
      <c r="O2696" s="118">
        <v>12000</v>
      </c>
      <c r="P2696" s="119"/>
      <c r="Q2696" s="118">
        <v>11160</v>
      </c>
      <c r="R2696" s="119"/>
      <c r="S2696" s="118">
        <v>0</v>
      </c>
      <c r="T2696" s="119"/>
      <c r="U2696" s="118">
        <f t="shared" ref="U2696" si="1402">SUM(K2696:T2697)</f>
        <v>2377160</v>
      </c>
      <c r="V2696" s="122"/>
      <c r="W2696" s="124"/>
      <c r="X2696" s="126" t="s">
        <v>10938</v>
      </c>
      <c r="Y2696" s="127"/>
      <c r="Z2696" s="127"/>
      <c r="AA2696" s="127"/>
      <c r="AB2696" s="128"/>
      <c r="AC2696" s="15" t="s">
        <v>20</v>
      </c>
      <c r="AD2696" s="129" t="s">
        <v>1732</v>
      </c>
      <c r="AE2696" s="130"/>
      <c r="AF2696" s="130"/>
      <c r="AG2696" s="130"/>
      <c r="AH2696" s="130"/>
      <c r="AI2696" s="131"/>
      <c r="AJ2696" s="132"/>
      <c r="AK2696" s="127"/>
      <c r="AL2696" s="128"/>
      <c r="AM2696" s="21"/>
      <c r="AN2696" s="133">
        <v>45983</v>
      </c>
      <c r="AO2696" s="134"/>
      <c r="AP2696" s="135">
        <v>1277</v>
      </c>
      <c r="AQ2696" s="136"/>
      <c r="AR2696" s="118">
        <v>2325000</v>
      </c>
      <c r="AS2696" s="119"/>
      <c r="AT2696" s="118">
        <f t="shared" ref="AT2696" si="1403">AR2696*0.1</f>
        <v>232500</v>
      </c>
      <c r="AU2696" s="119"/>
      <c r="AV2696" s="118">
        <v>11160</v>
      </c>
      <c r="AW2696" s="119"/>
      <c r="AX2696" s="118">
        <f t="shared" ref="AX2696" si="1404">SUM(AR2696:AW2696)</f>
        <v>2568660</v>
      </c>
      <c r="AY2696" s="119"/>
      <c r="AZ2696" s="137">
        <v>45987</v>
      </c>
    </row>
    <row r="2697" spans="1:52" ht="17.100000000000001" customHeight="1" thickBot="1">
      <c r="A2697" s="110"/>
      <c r="B2697" s="27" t="s">
        <v>1718</v>
      </c>
      <c r="C2697" s="27" t="s">
        <v>8870</v>
      </c>
      <c r="D2697" s="14" t="s">
        <v>1592</v>
      </c>
      <c r="E2697" s="112"/>
      <c r="F2697" s="139" t="s">
        <v>8871</v>
      </c>
      <c r="G2697" s="140"/>
      <c r="H2697" s="141"/>
      <c r="I2697" s="26">
        <v>143221</v>
      </c>
      <c r="J2697" s="117"/>
      <c r="K2697" s="120"/>
      <c r="L2697" s="121"/>
      <c r="M2697" s="120"/>
      <c r="N2697" s="121"/>
      <c r="O2697" s="120"/>
      <c r="P2697" s="121"/>
      <c r="Q2697" s="120"/>
      <c r="R2697" s="121"/>
      <c r="S2697" s="120"/>
      <c r="T2697" s="121"/>
      <c r="U2697" s="120"/>
      <c r="V2697" s="123"/>
      <c r="W2697" s="125"/>
      <c r="X2697" s="142" t="s">
        <v>10939</v>
      </c>
      <c r="Y2697" s="143"/>
      <c r="Z2697" s="143"/>
      <c r="AA2697" s="143"/>
      <c r="AB2697" s="144"/>
      <c r="AC2697" s="16" t="s">
        <v>21</v>
      </c>
      <c r="AD2697" s="17" t="s">
        <v>10911</v>
      </c>
      <c r="AE2697" s="145" t="s">
        <v>10922</v>
      </c>
      <c r="AF2697" s="146"/>
      <c r="AG2697" s="146"/>
      <c r="AH2697" s="146"/>
      <c r="AI2697" s="147"/>
      <c r="AJ2697" s="148"/>
      <c r="AK2697" s="143"/>
      <c r="AL2697" s="144"/>
      <c r="AM2697" s="22"/>
      <c r="AN2697" s="149" t="s">
        <v>2511</v>
      </c>
      <c r="AO2697" s="144"/>
      <c r="AP2697" s="148">
        <v>31115</v>
      </c>
      <c r="AQ2697" s="144"/>
      <c r="AR2697" s="120"/>
      <c r="AS2697" s="121"/>
      <c r="AT2697" s="120"/>
      <c r="AU2697" s="121"/>
      <c r="AV2697" s="120"/>
      <c r="AW2697" s="121"/>
      <c r="AX2697" s="120"/>
      <c r="AY2697" s="121"/>
      <c r="AZ2697" s="138"/>
    </row>
    <row r="2698" spans="1:52" ht="17.100000000000001" customHeight="1" thickTop="1">
      <c r="A2698" s="151" t="s">
        <v>8939</v>
      </c>
      <c r="B2698" s="28">
        <v>45950</v>
      </c>
      <c r="C2698" s="25">
        <v>61</v>
      </c>
      <c r="D2698" s="13" t="s">
        <v>1586</v>
      </c>
      <c r="E2698" s="111"/>
      <c r="F2698" s="113" t="s">
        <v>8892</v>
      </c>
      <c r="G2698" s="114"/>
      <c r="H2698" s="115"/>
      <c r="I2698" s="24" t="s">
        <v>2526</v>
      </c>
      <c r="J2698" s="116">
        <v>4.5</v>
      </c>
      <c r="K2698" s="118">
        <v>1325000</v>
      </c>
      <c r="L2698" s="119"/>
      <c r="M2698" s="118">
        <f t="shared" ref="M2698" si="1405">K2698*0.1</f>
        <v>132500</v>
      </c>
      <c r="N2698" s="119"/>
      <c r="O2698" s="118">
        <f>15000+1500</f>
        <v>16500</v>
      </c>
      <c r="P2698" s="119"/>
      <c r="Q2698" s="118">
        <v>12340</v>
      </c>
      <c r="R2698" s="119"/>
      <c r="S2698" s="118">
        <v>44000</v>
      </c>
      <c r="T2698" s="119"/>
      <c r="U2698" s="118">
        <f t="shared" ref="U2698" si="1406">SUM(K2698:T2699)</f>
        <v>1530340</v>
      </c>
      <c r="V2698" s="122"/>
      <c r="W2698" s="124"/>
      <c r="X2698" s="126" t="s">
        <v>11483</v>
      </c>
      <c r="Y2698" s="127"/>
      <c r="Z2698" s="127"/>
      <c r="AA2698" s="127"/>
      <c r="AB2698" s="128"/>
      <c r="AC2698" s="15" t="s">
        <v>20</v>
      </c>
      <c r="AD2698" s="129" t="s">
        <v>8894</v>
      </c>
      <c r="AE2698" s="130"/>
      <c r="AF2698" s="130"/>
      <c r="AG2698" s="130"/>
      <c r="AH2698" s="130"/>
      <c r="AI2698" s="131"/>
      <c r="AJ2698" s="132" t="s">
        <v>8040</v>
      </c>
      <c r="AK2698" s="127"/>
      <c r="AL2698" s="128"/>
      <c r="AM2698" s="21"/>
      <c r="AN2698" s="133"/>
      <c r="AO2698" s="134"/>
      <c r="AP2698" s="135"/>
      <c r="AQ2698" s="136"/>
      <c r="AR2698" s="118"/>
      <c r="AS2698" s="119"/>
      <c r="AT2698" s="118">
        <f t="shared" ref="AT2698" si="1407">AR2698*0.1</f>
        <v>0</v>
      </c>
      <c r="AU2698" s="119"/>
      <c r="AV2698" s="118"/>
      <c r="AW2698" s="119"/>
      <c r="AX2698" s="118">
        <f t="shared" ref="AX2698" si="1408">SUM(AR2698:AW2698)</f>
        <v>0</v>
      </c>
      <c r="AY2698" s="119"/>
      <c r="AZ2698" s="137"/>
    </row>
    <row r="2699" spans="1:52" ht="17.100000000000001" customHeight="1" thickBot="1">
      <c r="A2699" s="152"/>
      <c r="B2699" s="27" t="s">
        <v>4544</v>
      </c>
      <c r="C2699" s="27">
        <v>1032</v>
      </c>
      <c r="D2699" s="14" t="s">
        <v>133</v>
      </c>
      <c r="E2699" s="112"/>
      <c r="F2699" s="139" t="s">
        <v>8942</v>
      </c>
      <c r="G2699" s="140"/>
      <c r="H2699" s="141"/>
      <c r="I2699" s="26">
        <v>84988</v>
      </c>
      <c r="J2699" s="117"/>
      <c r="K2699" s="120"/>
      <c r="L2699" s="121"/>
      <c r="M2699" s="120"/>
      <c r="N2699" s="121"/>
      <c r="O2699" s="120"/>
      <c r="P2699" s="121"/>
      <c r="Q2699" s="120"/>
      <c r="R2699" s="121"/>
      <c r="S2699" s="120"/>
      <c r="T2699" s="121"/>
      <c r="U2699" s="120"/>
      <c r="V2699" s="123"/>
      <c r="W2699" s="125"/>
      <c r="X2699" s="142" t="s">
        <v>11484</v>
      </c>
      <c r="Y2699" s="143"/>
      <c r="Z2699" s="143"/>
      <c r="AA2699" s="143"/>
      <c r="AB2699" s="144"/>
      <c r="AC2699" s="16" t="s">
        <v>21</v>
      </c>
      <c r="AD2699" s="17" t="s">
        <v>2203</v>
      </c>
      <c r="AE2699" s="145" t="s">
        <v>4453</v>
      </c>
      <c r="AF2699" s="146"/>
      <c r="AG2699" s="146"/>
      <c r="AH2699" s="146"/>
      <c r="AI2699" s="147"/>
      <c r="AJ2699" s="148" t="s">
        <v>11626</v>
      </c>
      <c r="AK2699" s="143"/>
      <c r="AL2699" s="144"/>
      <c r="AM2699" s="22"/>
      <c r="AN2699" s="149"/>
      <c r="AO2699" s="144"/>
      <c r="AP2699" s="148"/>
      <c r="AQ2699" s="144"/>
      <c r="AR2699" s="120"/>
      <c r="AS2699" s="121"/>
      <c r="AT2699" s="120"/>
      <c r="AU2699" s="121"/>
      <c r="AV2699" s="120"/>
      <c r="AW2699" s="121"/>
      <c r="AX2699" s="120"/>
      <c r="AY2699" s="121"/>
      <c r="AZ2699" s="138"/>
    </row>
    <row r="2700" spans="1:52" ht="17.100000000000001" customHeight="1" thickTop="1">
      <c r="A2700" s="109" t="s">
        <v>8940</v>
      </c>
      <c r="B2700" s="28">
        <v>45950</v>
      </c>
      <c r="C2700" s="25">
        <v>61</v>
      </c>
      <c r="D2700" s="13" t="s">
        <v>2022</v>
      </c>
      <c r="E2700" s="111"/>
      <c r="F2700" s="113" t="s">
        <v>8893</v>
      </c>
      <c r="G2700" s="114"/>
      <c r="H2700" s="115"/>
      <c r="I2700" s="24" t="s">
        <v>2112</v>
      </c>
      <c r="J2700" s="116">
        <v>4</v>
      </c>
      <c r="K2700" s="118">
        <v>2800000</v>
      </c>
      <c r="L2700" s="119"/>
      <c r="M2700" s="118">
        <f t="shared" ref="M2700" si="1409">K2700*0.1</f>
        <v>280000</v>
      </c>
      <c r="N2700" s="119"/>
      <c r="O2700" s="118">
        <v>0</v>
      </c>
      <c r="P2700" s="119"/>
      <c r="Q2700" s="118">
        <v>16550</v>
      </c>
      <c r="R2700" s="119"/>
      <c r="S2700" s="118">
        <v>66000</v>
      </c>
      <c r="T2700" s="119"/>
      <c r="U2700" s="118">
        <f t="shared" ref="U2700" si="1410">SUM(K2700:T2701)</f>
        <v>3162550</v>
      </c>
      <c r="V2700" s="122"/>
      <c r="W2700" s="124"/>
      <c r="X2700" s="126" t="s">
        <v>12055</v>
      </c>
      <c r="Y2700" s="127"/>
      <c r="Z2700" s="127"/>
      <c r="AA2700" s="127"/>
      <c r="AB2700" s="128"/>
      <c r="AC2700" s="15" t="s">
        <v>20</v>
      </c>
      <c r="AD2700" s="129" t="s">
        <v>8894</v>
      </c>
      <c r="AE2700" s="130"/>
      <c r="AF2700" s="130"/>
      <c r="AG2700" s="130"/>
      <c r="AH2700" s="130"/>
      <c r="AI2700" s="131"/>
      <c r="AJ2700" s="132"/>
      <c r="AK2700" s="127"/>
      <c r="AL2700" s="128"/>
      <c r="AM2700" s="21"/>
      <c r="AN2700" s="133">
        <v>45990</v>
      </c>
      <c r="AO2700" s="134"/>
      <c r="AP2700" s="135">
        <v>1278</v>
      </c>
      <c r="AQ2700" s="136"/>
      <c r="AR2700" s="118">
        <v>2830000</v>
      </c>
      <c r="AS2700" s="119"/>
      <c r="AT2700" s="118">
        <f t="shared" ref="AT2700" si="1411">AR2700*0.1</f>
        <v>283000</v>
      </c>
      <c r="AU2700" s="119"/>
      <c r="AV2700" s="118">
        <v>16550</v>
      </c>
      <c r="AW2700" s="119"/>
      <c r="AX2700" s="118">
        <f t="shared" ref="AX2700" si="1412">SUM(AR2700:AW2700)</f>
        <v>3129550</v>
      </c>
      <c r="AY2700" s="119"/>
      <c r="AZ2700" s="137">
        <v>45994</v>
      </c>
    </row>
    <row r="2701" spans="1:52" ht="17.100000000000001" customHeight="1" thickBot="1">
      <c r="A2701" s="110"/>
      <c r="B2701" s="27" t="s">
        <v>4544</v>
      </c>
      <c r="C2701" s="27">
        <v>1070</v>
      </c>
      <c r="D2701" s="14" t="s">
        <v>275</v>
      </c>
      <c r="E2701" s="112"/>
      <c r="F2701" s="139" t="s">
        <v>8943</v>
      </c>
      <c r="G2701" s="140"/>
      <c r="H2701" s="141"/>
      <c r="I2701" s="26">
        <v>32908</v>
      </c>
      <c r="J2701" s="117"/>
      <c r="K2701" s="120"/>
      <c r="L2701" s="121"/>
      <c r="M2701" s="120"/>
      <c r="N2701" s="121"/>
      <c r="O2701" s="120"/>
      <c r="P2701" s="121"/>
      <c r="Q2701" s="120"/>
      <c r="R2701" s="121"/>
      <c r="S2701" s="120"/>
      <c r="T2701" s="121"/>
      <c r="U2701" s="120"/>
      <c r="V2701" s="123"/>
      <c r="W2701" s="125"/>
      <c r="X2701" s="142" t="s">
        <v>12056</v>
      </c>
      <c r="Y2701" s="143"/>
      <c r="Z2701" s="143"/>
      <c r="AA2701" s="143"/>
      <c r="AB2701" s="144"/>
      <c r="AC2701" s="16" t="s">
        <v>21</v>
      </c>
      <c r="AD2701" s="17" t="s">
        <v>12054</v>
      </c>
      <c r="AE2701" s="145" t="s">
        <v>5075</v>
      </c>
      <c r="AF2701" s="146"/>
      <c r="AG2701" s="146"/>
      <c r="AH2701" s="146"/>
      <c r="AI2701" s="147"/>
      <c r="AJ2701" s="148"/>
      <c r="AK2701" s="143"/>
      <c r="AL2701" s="144"/>
      <c r="AM2701" s="22"/>
      <c r="AN2701" s="149" t="s">
        <v>2511</v>
      </c>
      <c r="AO2701" s="144"/>
      <c r="AP2701" s="148">
        <v>37098</v>
      </c>
      <c r="AQ2701" s="144"/>
      <c r="AR2701" s="120"/>
      <c r="AS2701" s="121"/>
      <c r="AT2701" s="120"/>
      <c r="AU2701" s="121"/>
      <c r="AV2701" s="120"/>
      <c r="AW2701" s="121"/>
      <c r="AX2701" s="120"/>
      <c r="AY2701" s="121"/>
      <c r="AZ2701" s="138"/>
    </row>
    <row r="2702" spans="1:52" ht="17.100000000000001" customHeight="1" thickTop="1">
      <c r="A2702" s="109" t="s">
        <v>8941</v>
      </c>
      <c r="B2702" s="28">
        <v>45950</v>
      </c>
      <c r="C2702" s="25">
        <v>61</v>
      </c>
      <c r="D2702" s="13" t="s">
        <v>2009</v>
      </c>
      <c r="E2702" s="111"/>
      <c r="F2702" s="113" t="s">
        <v>8895</v>
      </c>
      <c r="G2702" s="114"/>
      <c r="H2702" s="115"/>
      <c r="I2702" s="24" t="s">
        <v>2064</v>
      </c>
      <c r="J2702" s="116">
        <v>4.5</v>
      </c>
      <c r="K2702" s="118">
        <v>2310000</v>
      </c>
      <c r="L2702" s="119"/>
      <c r="M2702" s="118">
        <f t="shared" ref="M2702" si="1413">K2702*0.1</f>
        <v>231000</v>
      </c>
      <c r="N2702" s="119"/>
      <c r="O2702" s="118">
        <v>9900</v>
      </c>
      <c r="P2702" s="119"/>
      <c r="Q2702" s="118">
        <v>12250</v>
      </c>
      <c r="R2702" s="119"/>
      <c r="S2702" s="118">
        <v>66000</v>
      </c>
      <c r="T2702" s="119"/>
      <c r="U2702" s="118">
        <f t="shared" ref="U2702" si="1414">SUM(K2702:T2703)</f>
        <v>2629150</v>
      </c>
      <c r="V2702" s="122"/>
      <c r="W2702" s="124"/>
      <c r="X2702" s="126" t="s">
        <v>12882</v>
      </c>
      <c r="Y2702" s="127"/>
      <c r="Z2702" s="127"/>
      <c r="AA2702" s="127"/>
      <c r="AB2702" s="128"/>
      <c r="AC2702" s="15" t="s">
        <v>20</v>
      </c>
      <c r="AD2702" s="129" t="s">
        <v>8896</v>
      </c>
      <c r="AE2702" s="130"/>
      <c r="AF2702" s="130"/>
      <c r="AG2702" s="130"/>
      <c r="AH2702" s="130"/>
      <c r="AI2702" s="131"/>
      <c r="AJ2702" s="132"/>
      <c r="AK2702" s="127"/>
      <c r="AL2702" s="128"/>
      <c r="AM2702" s="21"/>
      <c r="AN2702" s="133">
        <v>46008</v>
      </c>
      <c r="AO2702" s="134"/>
      <c r="AP2702" s="135">
        <v>997</v>
      </c>
      <c r="AQ2702" s="136"/>
      <c r="AR2702" s="118">
        <v>2365000</v>
      </c>
      <c r="AS2702" s="119"/>
      <c r="AT2702" s="118">
        <f t="shared" ref="AT2702" si="1415">AR2702*0.1</f>
        <v>236500</v>
      </c>
      <c r="AU2702" s="119"/>
      <c r="AV2702" s="118">
        <v>12250</v>
      </c>
      <c r="AW2702" s="119"/>
      <c r="AX2702" s="118">
        <f t="shared" ref="AX2702" si="1416">SUM(AR2702:AW2702)</f>
        <v>2613750</v>
      </c>
      <c r="AY2702" s="119"/>
      <c r="AZ2702" s="137">
        <v>46015</v>
      </c>
    </row>
    <row r="2703" spans="1:52" ht="17.100000000000001" customHeight="1" thickBot="1">
      <c r="A2703" s="110"/>
      <c r="B2703" s="27" t="s">
        <v>4544</v>
      </c>
      <c r="C2703" s="27">
        <v>2009</v>
      </c>
      <c r="D2703" s="14" t="s">
        <v>1720</v>
      </c>
      <c r="E2703" s="112"/>
      <c r="F2703" s="139" t="s">
        <v>8944</v>
      </c>
      <c r="G2703" s="140"/>
      <c r="H2703" s="141"/>
      <c r="I2703" s="26">
        <v>8118</v>
      </c>
      <c r="J2703" s="117"/>
      <c r="K2703" s="120"/>
      <c r="L2703" s="121"/>
      <c r="M2703" s="120"/>
      <c r="N2703" s="121"/>
      <c r="O2703" s="120"/>
      <c r="P2703" s="121"/>
      <c r="Q2703" s="120"/>
      <c r="R2703" s="121"/>
      <c r="S2703" s="120"/>
      <c r="T2703" s="121"/>
      <c r="U2703" s="120"/>
      <c r="V2703" s="123"/>
      <c r="W2703" s="125"/>
      <c r="X2703" s="142" t="s">
        <v>12883</v>
      </c>
      <c r="Y2703" s="143"/>
      <c r="Z2703" s="143"/>
      <c r="AA2703" s="143"/>
      <c r="AB2703" s="144"/>
      <c r="AC2703" s="16" t="s">
        <v>21</v>
      </c>
      <c r="AD2703" s="17" t="s">
        <v>12856</v>
      </c>
      <c r="AE2703" s="145" t="s">
        <v>1614</v>
      </c>
      <c r="AF2703" s="146"/>
      <c r="AG2703" s="146"/>
      <c r="AH2703" s="146"/>
      <c r="AI2703" s="147"/>
      <c r="AJ2703" s="148"/>
      <c r="AK2703" s="143"/>
      <c r="AL2703" s="144"/>
      <c r="AM2703" s="22"/>
      <c r="AN2703" s="149" t="s">
        <v>9053</v>
      </c>
      <c r="AO2703" s="144"/>
      <c r="AP2703" s="148">
        <v>4001</v>
      </c>
      <c r="AQ2703" s="144"/>
      <c r="AR2703" s="120"/>
      <c r="AS2703" s="121"/>
      <c r="AT2703" s="120"/>
      <c r="AU2703" s="121"/>
      <c r="AV2703" s="120"/>
      <c r="AW2703" s="121"/>
      <c r="AX2703" s="120"/>
      <c r="AY2703" s="121"/>
      <c r="AZ2703" s="138"/>
    </row>
    <row r="2704" spans="1:52" ht="17.100000000000001" customHeight="1" thickTop="1">
      <c r="A2704" s="109" t="s">
        <v>8957</v>
      </c>
      <c r="B2704" s="28">
        <v>45951</v>
      </c>
      <c r="C2704" s="25">
        <v>1914</v>
      </c>
      <c r="D2704" s="13" t="s">
        <v>2196</v>
      </c>
      <c r="E2704" s="111"/>
      <c r="F2704" s="113" t="s">
        <v>4894</v>
      </c>
      <c r="G2704" s="114"/>
      <c r="H2704" s="115"/>
      <c r="I2704" s="24"/>
      <c r="J2704" s="116">
        <v>4</v>
      </c>
      <c r="K2704" s="118">
        <v>727000</v>
      </c>
      <c r="L2704" s="119"/>
      <c r="M2704" s="118">
        <f t="shared" ref="M2704" si="1417">K2704*0.1</f>
        <v>72700</v>
      </c>
      <c r="N2704" s="119"/>
      <c r="O2704" s="118">
        <v>0</v>
      </c>
      <c r="P2704" s="119"/>
      <c r="Q2704" s="118">
        <v>9200</v>
      </c>
      <c r="R2704" s="119"/>
      <c r="S2704" s="118">
        <v>15950</v>
      </c>
      <c r="T2704" s="119"/>
      <c r="U2704" s="118">
        <f t="shared" ref="U2704" si="1418">SUM(K2704:T2705)</f>
        <v>824850</v>
      </c>
      <c r="V2704" s="122"/>
      <c r="W2704" s="124"/>
      <c r="X2704" s="126" t="s">
        <v>9363</v>
      </c>
      <c r="Y2704" s="127"/>
      <c r="Z2704" s="127"/>
      <c r="AA2704" s="127"/>
      <c r="AB2704" s="128"/>
      <c r="AC2704" s="15" t="s">
        <v>20</v>
      </c>
      <c r="AD2704" s="129" t="s">
        <v>8910</v>
      </c>
      <c r="AE2704" s="130"/>
      <c r="AF2704" s="130"/>
      <c r="AG2704" s="130"/>
      <c r="AH2704" s="130"/>
      <c r="AI2704" s="131"/>
      <c r="AJ2704" s="132"/>
      <c r="AK2704" s="127"/>
      <c r="AL2704" s="128"/>
      <c r="AM2704" s="21"/>
      <c r="AN2704" s="133">
        <v>45962</v>
      </c>
      <c r="AO2704" s="134"/>
      <c r="AP2704" s="135">
        <v>1274</v>
      </c>
      <c r="AQ2704" s="136"/>
      <c r="AR2704" s="118">
        <v>820000</v>
      </c>
      <c r="AS2704" s="119"/>
      <c r="AT2704" s="118">
        <f t="shared" ref="AT2704" si="1419">AR2704*0.1</f>
        <v>82000</v>
      </c>
      <c r="AU2704" s="119"/>
      <c r="AV2704" s="118">
        <v>9200</v>
      </c>
      <c r="AW2704" s="119"/>
      <c r="AX2704" s="118">
        <f t="shared" ref="AX2704" si="1420">SUM(AR2704:AW2704)</f>
        <v>911200</v>
      </c>
      <c r="AY2704" s="119"/>
      <c r="AZ2704" s="137">
        <v>45965</v>
      </c>
    </row>
    <row r="2705" spans="1:52" ht="17.100000000000001" customHeight="1" thickBot="1">
      <c r="A2705" s="110"/>
      <c r="B2705" s="27" t="s">
        <v>2131</v>
      </c>
      <c r="C2705" s="27">
        <v>3023</v>
      </c>
      <c r="D2705" s="14" t="s">
        <v>275</v>
      </c>
      <c r="E2705" s="112"/>
      <c r="F2705" s="139" t="s">
        <v>8909</v>
      </c>
      <c r="G2705" s="140"/>
      <c r="H2705" s="141"/>
      <c r="I2705" s="26">
        <v>63985</v>
      </c>
      <c r="J2705" s="117"/>
      <c r="K2705" s="120"/>
      <c r="L2705" s="121"/>
      <c r="M2705" s="120"/>
      <c r="N2705" s="121"/>
      <c r="O2705" s="120"/>
      <c r="P2705" s="121"/>
      <c r="Q2705" s="120"/>
      <c r="R2705" s="121"/>
      <c r="S2705" s="120"/>
      <c r="T2705" s="121"/>
      <c r="U2705" s="120"/>
      <c r="V2705" s="123"/>
      <c r="W2705" s="125"/>
      <c r="X2705" s="142" t="s">
        <v>9364</v>
      </c>
      <c r="Y2705" s="143"/>
      <c r="Z2705" s="143"/>
      <c r="AA2705" s="143"/>
      <c r="AB2705" s="144"/>
      <c r="AC2705" s="16" t="s">
        <v>21</v>
      </c>
      <c r="AD2705" s="17" t="s">
        <v>9274</v>
      </c>
      <c r="AE2705" s="145" t="s">
        <v>2385</v>
      </c>
      <c r="AF2705" s="146"/>
      <c r="AG2705" s="146"/>
      <c r="AH2705" s="146"/>
      <c r="AI2705" s="147"/>
      <c r="AJ2705" s="148"/>
      <c r="AK2705" s="143"/>
      <c r="AL2705" s="144"/>
      <c r="AM2705" s="22"/>
      <c r="AN2705" s="149" t="s">
        <v>2511</v>
      </c>
      <c r="AO2705" s="144"/>
      <c r="AP2705" s="148">
        <v>60003</v>
      </c>
      <c r="AQ2705" s="144"/>
      <c r="AR2705" s="120"/>
      <c r="AS2705" s="121"/>
      <c r="AT2705" s="120"/>
      <c r="AU2705" s="121"/>
      <c r="AV2705" s="120"/>
      <c r="AW2705" s="121"/>
      <c r="AX2705" s="120"/>
      <c r="AY2705" s="121"/>
      <c r="AZ2705" s="138"/>
    </row>
    <row r="2706" spans="1:52" ht="17.100000000000001" customHeight="1" thickTop="1">
      <c r="A2706" s="109" t="s">
        <v>8958</v>
      </c>
      <c r="B2706" s="28">
        <v>45951</v>
      </c>
      <c r="C2706" s="25">
        <v>1914</v>
      </c>
      <c r="D2706" s="13" t="s">
        <v>2092</v>
      </c>
      <c r="E2706" s="111"/>
      <c r="F2706" s="113" t="s">
        <v>4813</v>
      </c>
      <c r="G2706" s="114"/>
      <c r="H2706" s="115"/>
      <c r="I2706" s="24"/>
      <c r="J2706" s="116">
        <v>4.5</v>
      </c>
      <c r="K2706" s="118">
        <v>1418000</v>
      </c>
      <c r="L2706" s="119"/>
      <c r="M2706" s="118">
        <f t="shared" ref="M2706" si="1421">K2706*0.1</f>
        <v>141800</v>
      </c>
      <c r="N2706" s="119"/>
      <c r="O2706" s="118">
        <v>0</v>
      </c>
      <c r="P2706" s="119"/>
      <c r="Q2706" s="118">
        <v>6850</v>
      </c>
      <c r="R2706" s="119"/>
      <c r="S2706" s="118">
        <v>15950</v>
      </c>
      <c r="T2706" s="119"/>
      <c r="U2706" s="118">
        <f t="shared" ref="U2706" si="1422">SUM(K2706:T2707)</f>
        <v>1582600</v>
      </c>
      <c r="V2706" s="122"/>
      <c r="W2706" s="124"/>
      <c r="X2706" s="126" t="s">
        <v>9361</v>
      </c>
      <c r="Y2706" s="127"/>
      <c r="Z2706" s="127"/>
      <c r="AA2706" s="127"/>
      <c r="AB2706" s="128"/>
      <c r="AC2706" s="15" t="s">
        <v>20</v>
      </c>
      <c r="AD2706" s="129" t="s">
        <v>171</v>
      </c>
      <c r="AE2706" s="130"/>
      <c r="AF2706" s="130"/>
      <c r="AG2706" s="130"/>
      <c r="AH2706" s="130"/>
      <c r="AI2706" s="131"/>
      <c r="AJ2706" s="132"/>
      <c r="AK2706" s="127"/>
      <c r="AL2706" s="128"/>
      <c r="AM2706" s="21"/>
      <c r="AN2706" s="133">
        <v>45997</v>
      </c>
      <c r="AO2706" s="134"/>
      <c r="AP2706" s="135">
        <v>1279</v>
      </c>
      <c r="AQ2706" s="136"/>
      <c r="AR2706" s="118">
        <v>1460000</v>
      </c>
      <c r="AS2706" s="119"/>
      <c r="AT2706" s="118">
        <f t="shared" ref="AT2706" si="1423">AR2706*0.1</f>
        <v>146000</v>
      </c>
      <c r="AU2706" s="119"/>
      <c r="AV2706" s="118">
        <v>6850</v>
      </c>
      <c r="AW2706" s="119"/>
      <c r="AX2706" s="118">
        <f t="shared" ref="AX2706" si="1424">SUM(AR2706:AW2706)</f>
        <v>1612850</v>
      </c>
      <c r="AY2706" s="119"/>
      <c r="AZ2706" s="137">
        <v>46000</v>
      </c>
    </row>
    <row r="2707" spans="1:52" ht="17.100000000000001" customHeight="1" thickBot="1">
      <c r="A2707" s="110"/>
      <c r="B2707" s="27" t="s">
        <v>2131</v>
      </c>
      <c r="C2707" s="27">
        <v>3143</v>
      </c>
      <c r="D2707" s="14" t="s">
        <v>2601</v>
      </c>
      <c r="E2707" s="112"/>
      <c r="F2707" s="139" t="s">
        <v>8911</v>
      </c>
      <c r="G2707" s="140"/>
      <c r="H2707" s="141"/>
      <c r="I2707" s="26">
        <v>22349</v>
      </c>
      <c r="J2707" s="117"/>
      <c r="K2707" s="120"/>
      <c r="L2707" s="121"/>
      <c r="M2707" s="120"/>
      <c r="N2707" s="121"/>
      <c r="O2707" s="120"/>
      <c r="P2707" s="121"/>
      <c r="Q2707" s="120"/>
      <c r="R2707" s="121"/>
      <c r="S2707" s="120"/>
      <c r="T2707" s="121"/>
      <c r="U2707" s="120"/>
      <c r="V2707" s="123"/>
      <c r="W2707" s="125"/>
      <c r="X2707" s="142" t="s">
        <v>9362</v>
      </c>
      <c r="Y2707" s="143"/>
      <c r="Z2707" s="143"/>
      <c r="AA2707" s="143"/>
      <c r="AB2707" s="144"/>
      <c r="AC2707" s="16" t="s">
        <v>21</v>
      </c>
      <c r="AD2707" s="17" t="s">
        <v>9274</v>
      </c>
      <c r="AE2707" s="145" t="s">
        <v>171</v>
      </c>
      <c r="AF2707" s="146"/>
      <c r="AG2707" s="146"/>
      <c r="AH2707" s="146"/>
      <c r="AI2707" s="147"/>
      <c r="AJ2707" s="148"/>
      <c r="AK2707" s="143"/>
      <c r="AL2707" s="144"/>
      <c r="AM2707" s="22"/>
      <c r="AN2707" s="149" t="s">
        <v>2511</v>
      </c>
      <c r="AO2707" s="144"/>
      <c r="AP2707" s="148">
        <v>60163</v>
      </c>
      <c r="AQ2707" s="144"/>
      <c r="AR2707" s="120"/>
      <c r="AS2707" s="121"/>
      <c r="AT2707" s="120"/>
      <c r="AU2707" s="121"/>
      <c r="AV2707" s="120"/>
      <c r="AW2707" s="121"/>
      <c r="AX2707" s="120"/>
      <c r="AY2707" s="121"/>
      <c r="AZ2707" s="138"/>
    </row>
    <row r="2708" spans="1:52" ht="17.100000000000001" customHeight="1" thickTop="1">
      <c r="A2708" s="109" t="s">
        <v>8959</v>
      </c>
      <c r="B2708" s="28">
        <v>45951</v>
      </c>
      <c r="C2708" s="25">
        <v>1914</v>
      </c>
      <c r="D2708" s="13" t="s">
        <v>2949</v>
      </c>
      <c r="E2708" s="111"/>
      <c r="F2708" s="113" t="s">
        <v>8912</v>
      </c>
      <c r="G2708" s="114"/>
      <c r="H2708" s="115"/>
      <c r="I2708" s="24"/>
      <c r="J2708" s="116">
        <v>4.5</v>
      </c>
      <c r="K2708" s="118">
        <v>726000</v>
      </c>
      <c r="L2708" s="119"/>
      <c r="M2708" s="118">
        <f t="shared" ref="M2708" si="1425">K2708*0.1</f>
        <v>72600</v>
      </c>
      <c r="N2708" s="119"/>
      <c r="O2708" s="118">
        <v>0</v>
      </c>
      <c r="P2708" s="119"/>
      <c r="Q2708" s="118">
        <v>7950</v>
      </c>
      <c r="R2708" s="119"/>
      <c r="S2708" s="118">
        <v>15950</v>
      </c>
      <c r="T2708" s="119"/>
      <c r="U2708" s="118">
        <f t="shared" ref="U2708" si="1426">SUM(K2708:T2709)</f>
        <v>822500</v>
      </c>
      <c r="V2708" s="122"/>
      <c r="W2708" s="124"/>
      <c r="X2708" s="126" t="s">
        <v>9359</v>
      </c>
      <c r="Y2708" s="127"/>
      <c r="Z2708" s="127"/>
      <c r="AA2708" s="127"/>
      <c r="AB2708" s="128"/>
      <c r="AC2708" s="15" t="s">
        <v>20</v>
      </c>
      <c r="AD2708" s="129" t="s">
        <v>3485</v>
      </c>
      <c r="AE2708" s="130"/>
      <c r="AF2708" s="130"/>
      <c r="AG2708" s="130"/>
      <c r="AH2708" s="130"/>
      <c r="AI2708" s="131"/>
      <c r="AJ2708" s="132"/>
      <c r="AK2708" s="127"/>
      <c r="AL2708" s="128"/>
      <c r="AM2708" s="21"/>
      <c r="AN2708" s="133">
        <v>45994</v>
      </c>
      <c r="AO2708" s="134"/>
      <c r="AP2708" s="135">
        <v>995</v>
      </c>
      <c r="AQ2708" s="136"/>
      <c r="AR2708" s="118">
        <v>835000</v>
      </c>
      <c r="AS2708" s="119"/>
      <c r="AT2708" s="118">
        <f t="shared" ref="AT2708" si="1427">AR2708*0.1</f>
        <v>83500</v>
      </c>
      <c r="AU2708" s="119"/>
      <c r="AV2708" s="118">
        <v>7950</v>
      </c>
      <c r="AW2708" s="119"/>
      <c r="AX2708" s="118">
        <f t="shared" ref="AX2708" si="1428">SUM(AR2708:AW2708)</f>
        <v>926450</v>
      </c>
      <c r="AY2708" s="119"/>
      <c r="AZ2708" s="137">
        <v>46001</v>
      </c>
    </row>
    <row r="2709" spans="1:52" ht="17.100000000000001" customHeight="1" thickBot="1">
      <c r="A2709" s="110"/>
      <c r="B2709" s="27" t="s">
        <v>2131</v>
      </c>
      <c r="C2709" s="27">
        <v>3241</v>
      </c>
      <c r="D2709" s="14" t="s">
        <v>2601</v>
      </c>
      <c r="E2709" s="112"/>
      <c r="F2709" s="139" t="s">
        <v>8913</v>
      </c>
      <c r="G2709" s="140"/>
      <c r="H2709" s="141"/>
      <c r="I2709" s="26">
        <v>42177</v>
      </c>
      <c r="J2709" s="117"/>
      <c r="K2709" s="120"/>
      <c r="L2709" s="121"/>
      <c r="M2709" s="120"/>
      <c r="N2709" s="121"/>
      <c r="O2709" s="120"/>
      <c r="P2709" s="121"/>
      <c r="Q2709" s="120"/>
      <c r="R2709" s="121"/>
      <c r="S2709" s="120"/>
      <c r="T2709" s="121"/>
      <c r="U2709" s="120"/>
      <c r="V2709" s="123"/>
      <c r="W2709" s="125"/>
      <c r="X2709" s="142" t="s">
        <v>9360</v>
      </c>
      <c r="Y2709" s="143"/>
      <c r="Z2709" s="143"/>
      <c r="AA2709" s="143"/>
      <c r="AB2709" s="144"/>
      <c r="AC2709" s="16" t="s">
        <v>21</v>
      </c>
      <c r="AD2709" s="17" t="s">
        <v>9274</v>
      </c>
      <c r="AE2709" s="145" t="s">
        <v>3485</v>
      </c>
      <c r="AF2709" s="146"/>
      <c r="AG2709" s="146"/>
      <c r="AH2709" s="146"/>
      <c r="AI2709" s="147"/>
      <c r="AJ2709" s="148"/>
      <c r="AK2709" s="143"/>
      <c r="AL2709" s="144"/>
      <c r="AM2709" s="22"/>
      <c r="AN2709" s="148" t="s">
        <v>8809</v>
      </c>
      <c r="AO2709" s="144"/>
      <c r="AP2709" s="148">
        <v>2044</v>
      </c>
      <c r="AQ2709" s="144"/>
      <c r="AR2709" s="120"/>
      <c r="AS2709" s="121"/>
      <c r="AT2709" s="120"/>
      <c r="AU2709" s="121"/>
      <c r="AV2709" s="120"/>
      <c r="AW2709" s="121"/>
      <c r="AX2709" s="120"/>
      <c r="AY2709" s="121"/>
      <c r="AZ2709" s="138"/>
    </row>
    <row r="2710" spans="1:52" ht="17.100000000000001" customHeight="1" thickTop="1">
      <c r="A2710" s="109" t="s">
        <v>8960</v>
      </c>
      <c r="B2710" s="28">
        <v>45951</v>
      </c>
      <c r="C2710" s="25">
        <v>1914</v>
      </c>
      <c r="D2710" s="13" t="s">
        <v>1803</v>
      </c>
      <c r="E2710" s="111"/>
      <c r="F2710" s="113" t="s">
        <v>5448</v>
      </c>
      <c r="G2710" s="114"/>
      <c r="H2710" s="115"/>
      <c r="I2710" s="24" t="s">
        <v>4109</v>
      </c>
      <c r="J2710" s="116">
        <v>4</v>
      </c>
      <c r="K2710" s="118">
        <v>705000</v>
      </c>
      <c r="L2710" s="119"/>
      <c r="M2710" s="118">
        <f t="shared" ref="M2710" si="1429">K2710*0.1</f>
        <v>70500</v>
      </c>
      <c r="N2710" s="119"/>
      <c r="O2710" s="118">
        <v>0</v>
      </c>
      <c r="P2710" s="119"/>
      <c r="Q2710" s="118">
        <v>8400</v>
      </c>
      <c r="R2710" s="119"/>
      <c r="S2710" s="118">
        <v>15950</v>
      </c>
      <c r="T2710" s="119"/>
      <c r="U2710" s="118">
        <f t="shared" ref="U2710" si="1430">SUM(K2710:T2711)</f>
        <v>799850</v>
      </c>
      <c r="V2710" s="122"/>
      <c r="W2710" s="124"/>
      <c r="X2710" s="126" t="s">
        <v>9358</v>
      </c>
      <c r="Y2710" s="127"/>
      <c r="Z2710" s="127"/>
      <c r="AA2710" s="127"/>
      <c r="AB2710" s="128"/>
      <c r="AC2710" s="15" t="s">
        <v>20</v>
      </c>
      <c r="AD2710" s="129" t="s">
        <v>3896</v>
      </c>
      <c r="AE2710" s="130"/>
      <c r="AF2710" s="130"/>
      <c r="AG2710" s="130"/>
      <c r="AH2710" s="130"/>
      <c r="AI2710" s="131"/>
      <c r="AJ2710" s="132"/>
      <c r="AK2710" s="127"/>
      <c r="AL2710" s="128"/>
      <c r="AM2710" s="21" t="s">
        <v>10041</v>
      </c>
      <c r="AN2710" s="133">
        <v>45962</v>
      </c>
      <c r="AO2710" s="134"/>
      <c r="AP2710" s="135">
        <v>1274</v>
      </c>
      <c r="AQ2710" s="136"/>
      <c r="AR2710" s="118">
        <v>780000</v>
      </c>
      <c r="AS2710" s="119"/>
      <c r="AT2710" s="118">
        <v>78000</v>
      </c>
      <c r="AU2710" s="119"/>
      <c r="AV2710" s="118">
        <v>8400</v>
      </c>
      <c r="AW2710" s="119"/>
      <c r="AX2710" s="118">
        <f t="shared" ref="AX2710" si="1431">SUM(AR2710:AW2710)</f>
        <v>866400</v>
      </c>
      <c r="AY2710" s="119"/>
      <c r="AZ2710" s="137">
        <v>45971</v>
      </c>
    </row>
    <row r="2711" spans="1:52" ht="17.100000000000001" customHeight="1" thickBot="1">
      <c r="A2711" s="110"/>
      <c r="B2711" s="27" t="s">
        <v>2131</v>
      </c>
      <c r="C2711" s="27">
        <v>5402</v>
      </c>
      <c r="D2711" s="14" t="s">
        <v>275</v>
      </c>
      <c r="E2711" s="112"/>
      <c r="F2711" s="139" t="s">
        <v>8914</v>
      </c>
      <c r="G2711" s="140"/>
      <c r="H2711" s="141"/>
      <c r="I2711" s="26">
        <v>19213</v>
      </c>
      <c r="J2711" s="117"/>
      <c r="K2711" s="120"/>
      <c r="L2711" s="121"/>
      <c r="M2711" s="120"/>
      <c r="N2711" s="121"/>
      <c r="O2711" s="120"/>
      <c r="P2711" s="121"/>
      <c r="Q2711" s="120"/>
      <c r="R2711" s="121"/>
      <c r="S2711" s="120"/>
      <c r="T2711" s="121"/>
      <c r="U2711" s="120"/>
      <c r="V2711" s="123"/>
      <c r="W2711" s="125"/>
      <c r="X2711" s="142" t="s">
        <v>9350</v>
      </c>
      <c r="Y2711" s="143"/>
      <c r="Z2711" s="143"/>
      <c r="AA2711" s="143"/>
      <c r="AB2711" s="144"/>
      <c r="AC2711" s="16" t="s">
        <v>21</v>
      </c>
      <c r="AD2711" s="17" t="s">
        <v>9274</v>
      </c>
      <c r="AE2711" s="145" t="s">
        <v>9497</v>
      </c>
      <c r="AF2711" s="146"/>
      <c r="AG2711" s="146"/>
      <c r="AH2711" s="146"/>
      <c r="AI2711" s="147"/>
      <c r="AJ2711" s="148"/>
      <c r="AK2711" s="143"/>
      <c r="AL2711" s="144"/>
      <c r="AM2711" s="22"/>
      <c r="AN2711" s="149" t="s">
        <v>2511</v>
      </c>
      <c r="AO2711" s="144"/>
      <c r="AP2711" s="148">
        <v>60079</v>
      </c>
      <c r="AQ2711" s="144"/>
      <c r="AR2711" s="120"/>
      <c r="AS2711" s="121"/>
      <c r="AT2711" s="120"/>
      <c r="AU2711" s="121"/>
      <c r="AV2711" s="120"/>
      <c r="AW2711" s="121"/>
      <c r="AX2711" s="120"/>
      <c r="AY2711" s="121"/>
      <c r="AZ2711" s="138"/>
    </row>
    <row r="2712" spans="1:52" ht="17.100000000000001" customHeight="1" thickTop="1">
      <c r="A2712" s="109" t="s">
        <v>8961</v>
      </c>
      <c r="B2712" s="28">
        <v>45951</v>
      </c>
      <c r="C2712" s="25">
        <v>1914</v>
      </c>
      <c r="D2712" s="13" t="s">
        <v>2066</v>
      </c>
      <c r="E2712" s="111"/>
      <c r="F2712" s="113" t="s">
        <v>5494</v>
      </c>
      <c r="G2712" s="114"/>
      <c r="H2712" s="115"/>
      <c r="I2712" s="24" t="s">
        <v>4390</v>
      </c>
      <c r="J2712" s="116">
        <v>5</v>
      </c>
      <c r="K2712" s="118">
        <v>1053000</v>
      </c>
      <c r="L2712" s="119"/>
      <c r="M2712" s="118">
        <f t="shared" ref="M2712" si="1432">K2712*0.1</f>
        <v>105300</v>
      </c>
      <c r="N2712" s="119"/>
      <c r="O2712" s="118">
        <v>0</v>
      </c>
      <c r="P2712" s="119"/>
      <c r="Q2712" s="118">
        <v>8010</v>
      </c>
      <c r="R2712" s="119"/>
      <c r="S2712" s="118">
        <v>15950</v>
      </c>
      <c r="T2712" s="119"/>
      <c r="U2712" s="118">
        <f t="shared" ref="U2712" si="1433">SUM(K2712:T2713)</f>
        <v>1182260</v>
      </c>
      <c r="V2712" s="122"/>
      <c r="W2712" s="124"/>
      <c r="X2712" s="126" t="s">
        <v>9349</v>
      </c>
      <c r="Y2712" s="127"/>
      <c r="Z2712" s="127"/>
      <c r="AA2712" s="127"/>
      <c r="AB2712" s="128"/>
      <c r="AC2712" s="15" t="s">
        <v>20</v>
      </c>
      <c r="AD2712" s="129" t="s">
        <v>8916</v>
      </c>
      <c r="AE2712" s="130"/>
      <c r="AF2712" s="130"/>
      <c r="AG2712" s="130"/>
      <c r="AH2712" s="130"/>
      <c r="AI2712" s="131"/>
      <c r="AJ2712" s="132"/>
      <c r="AK2712" s="127"/>
      <c r="AL2712" s="128"/>
      <c r="AM2712" s="21" t="s">
        <v>11028</v>
      </c>
      <c r="AN2712" s="133">
        <v>45983</v>
      </c>
      <c r="AO2712" s="134"/>
      <c r="AP2712" s="135">
        <v>1277</v>
      </c>
      <c r="AQ2712" s="136"/>
      <c r="AR2712" s="118">
        <v>1125000</v>
      </c>
      <c r="AS2712" s="119"/>
      <c r="AT2712" s="118">
        <f t="shared" ref="AT2712" si="1434">AR2712*0.1</f>
        <v>112500</v>
      </c>
      <c r="AU2712" s="119"/>
      <c r="AV2712" s="118">
        <v>8010</v>
      </c>
      <c r="AW2712" s="119"/>
      <c r="AX2712" s="118">
        <f t="shared" ref="AX2712" si="1435">SUM(AR2712:AW2712)</f>
        <v>1245510</v>
      </c>
      <c r="AY2712" s="119"/>
      <c r="AZ2712" s="137">
        <v>45987</v>
      </c>
    </row>
    <row r="2713" spans="1:52" ht="17.100000000000001" customHeight="1" thickBot="1">
      <c r="A2713" s="110"/>
      <c r="B2713" s="27" t="s">
        <v>2131</v>
      </c>
      <c r="C2713" s="27">
        <v>5416</v>
      </c>
      <c r="D2713" s="14" t="s">
        <v>1720</v>
      </c>
      <c r="E2713" s="112"/>
      <c r="F2713" s="139" t="s">
        <v>8915</v>
      </c>
      <c r="G2713" s="140"/>
      <c r="H2713" s="141"/>
      <c r="I2713" s="26">
        <v>17083</v>
      </c>
      <c r="J2713" s="117"/>
      <c r="K2713" s="120"/>
      <c r="L2713" s="121"/>
      <c r="M2713" s="120"/>
      <c r="N2713" s="121"/>
      <c r="O2713" s="120"/>
      <c r="P2713" s="121"/>
      <c r="Q2713" s="120"/>
      <c r="R2713" s="121"/>
      <c r="S2713" s="120"/>
      <c r="T2713" s="121"/>
      <c r="U2713" s="120"/>
      <c r="V2713" s="123"/>
      <c r="W2713" s="125"/>
      <c r="X2713" s="142" t="s">
        <v>9350</v>
      </c>
      <c r="Y2713" s="143"/>
      <c r="Z2713" s="143"/>
      <c r="AA2713" s="143"/>
      <c r="AB2713" s="144"/>
      <c r="AC2713" s="16" t="s">
        <v>21</v>
      </c>
      <c r="AD2713" s="17" t="s">
        <v>9274</v>
      </c>
      <c r="AE2713" s="145" t="s">
        <v>8916</v>
      </c>
      <c r="AF2713" s="146"/>
      <c r="AG2713" s="146"/>
      <c r="AH2713" s="146"/>
      <c r="AI2713" s="147"/>
      <c r="AJ2713" s="148"/>
      <c r="AK2713" s="143"/>
      <c r="AL2713" s="144"/>
      <c r="AM2713" s="22"/>
      <c r="AN2713" s="149" t="s">
        <v>2511</v>
      </c>
      <c r="AO2713" s="144"/>
      <c r="AP2713" s="148">
        <v>60195</v>
      </c>
      <c r="AQ2713" s="144"/>
      <c r="AR2713" s="120"/>
      <c r="AS2713" s="121"/>
      <c r="AT2713" s="120"/>
      <c r="AU2713" s="121"/>
      <c r="AV2713" s="120"/>
      <c r="AW2713" s="121"/>
      <c r="AX2713" s="120"/>
      <c r="AY2713" s="121"/>
      <c r="AZ2713" s="138"/>
    </row>
    <row r="2714" spans="1:52" ht="17.100000000000001" customHeight="1" thickTop="1">
      <c r="A2714" s="109" t="s">
        <v>8962</v>
      </c>
      <c r="B2714" s="28">
        <v>45951</v>
      </c>
      <c r="C2714" s="25">
        <v>1914</v>
      </c>
      <c r="D2714" s="13" t="s">
        <v>1688</v>
      </c>
      <c r="E2714" s="111"/>
      <c r="F2714" s="113" t="s">
        <v>8552</v>
      </c>
      <c r="G2714" s="114"/>
      <c r="H2714" s="115"/>
      <c r="I2714" s="24"/>
      <c r="J2714" s="116">
        <v>4.5</v>
      </c>
      <c r="K2714" s="118">
        <v>1104000</v>
      </c>
      <c r="L2714" s="119"/>
      <c r="M2714" s="118">
        <f t="shared" ref="M2714" si="1436">K2714*0.1</f>
        <v>110400</v>
      </c>
      <c r="N2714" s="119"/>
      <c r="O2714" s="118">
        <v>0</v>
      </c>
      <c r="P2714" s="119"/>
      <c r="Q2714" s="118">
        <v>6880</v>
      </c>
      <c r="R2714" s="119"/>
      <c r="S2714" s="118">
        <v>15950</v>
      </c>
      <c r="T2714" s="119"/>
      <c r="U2714" s="118">
        <f t="shared" ref="U2714" si="1437">SUM(K2714:T2715)</f>
        <v>1237230</v>
      </c>
      <c r="V2714" s="122"/>
      <c r="W2714" s="124"/>
      <c r="X2714" s="126" t="s">
        <v>9357</v>
      </c>
      <c r="Y2714" s="127"/>
      <c r="Z2714" s="127"/>
      <c r="AA2714" s="127"/>
      <c r="AB2714" s="128"/>
      <c r="AC2714" s="15" t="s">
        <v>20</v>
      </c>
      <c r="AD2714" s="129" t="s">
        <v>1670</v>
      </c>
      <c r="AE2714" s="130"/>
      <c r="AF2714" s="130"/>
      <c r="AG2714" s="130"/>
      <c r="AH2714" s="130"/>
      <c r="AI2714" s="131"/>
      <c r="AJ2714" s="132"/>
      <c r="AK2714" s="127"/>
      <c r="AL2714" s="128"/>
      <c r="AM2714" s="21"/>
      <c r="AN2714" s="133">
        <v>45962</v>
      </c>
      <c r="AO2714" s="134"/>
      <c r="AP2714" s="135">
        <v>1274</v>
      </c>
      <c r="AQ2714" s="136"/>
      <c r="AR2714" s="118">
        <v>1185000</v>
      </c>
      <c r="AS2714" s="119"/>
      <c r="AT2714" s="118">
        <f t="shared" ref="AT2714" si="1438">AR2714*0.1</f>
        <v>118500</v>
      </c>
      <c r="AU2714" s="119"/>
      <c r="AV2714" s="118">
        <v>6880</v>
      </c>
      <c r="AW2714" s="119"/>
      <c r="AX2714" s="118">
        <f t="shared" ref="AX2714" si="1439">SUM(AR2714:AW2714)</f>
        <v>1310380</v>
      </c>
      <c r="AY2714" s="119"/>
      <c r="AZ2714" s="137">
        <v>45965</v>
      </c>
    </row>
    <row r="2715" spans="1:52" ht="17.100000000000001" customHeight="1" thickBot="1">
      <c r="A2715" s="110"/>
      <c r="B2715" s="27" t="s">
        <v>2131</v>
      </c>
      <c r="C2715" s="27">
        <v>5418</v>
      </c>
      <c r="D2715" s="14" t="s">
        <v>1556</v>
      </c>
      <c r="E2715" s="112"/>
      <c r="F2715" s="139" t="s">
        <v>8917</v>
      </c>
      <c r="G2715" s="140"/>
      <c r="H2715" s="141"/>
      <c r="I2715" s="26">
        <v>29507</v>
      </c>
      <c r="J2715" s="117"/>
      <c r="K2715" s="120"/>
      <c r="L2715" s="121"/>
      <c r="M2715" s="120"/>
      <c r="N2715" s="121"/>
      <c r="O2715" s="120"/>
      <c r="P2715" s="121"/>
      <c r="Q2715" s="120"/>
      <c r="R2715" s="121"/>
      <c r="S2715" s="120"/>
      <c r="T2715" s="121"/>
      <c r="U2715" s="120"/>
      <c r="V2715" s="123"/>
      <c r="W2715" s="125"/>
      <c r="X2715" s="142" t="s">
        <v>9350</v>
      </c>
      <c r="Y2715" s="143"/>
      <c r="Z2715" s="143"/>
      <c r="AA2715" s="143"/>
      <c r="AB2715" s="144"/>
      <c r="AC2715" s="16" t="s">
        <v>21</v>
      </c>
      <c r="AD2715" s="17" t="s">
        <v>9274</v>
      </c>
      <c r="AE2715" s="145" t="s">
        <v>1670</v>
      </c>
      <c r="AF2715" s="146"/>
      <c r="AG2715" s="146"/>
      <c r="AH2715" s="146"/>
      <c r="AI2715" s="147"/>
      <c r="AJ2715" s="148"/>
      <c r="AK2715" s="143"/>
      <c r="AL2715" s="144"/>
      <c r="AM2715" s="22"/>
      <c r="AN2715" s="149" t="s">
        <v>2511</v>
      </c>
      <c r="AO2715" s="144"/>
      <c r="AP2715" s="148">
        <v>60315</v>
      </c>
      <c r="AQ2715" s="144"/>
      <c r="AR2715" s="120"/>
      <c r="AS2715" s="121"/>
      <c r="AT2715" s="120"/>
      <c r="AU2715" s="121"/>
      <c r="AV2715" s="120"/>
      <c r="AW2715" s="121"/>
      <c r="AX2715" s="120"/>
      <c r="AY2715" s="121"/>
      <c r="AZ2715" s="138"/>
    </row>
    <row r="2716" spans="1:52" ht="17.100000000000001" customHeight="1" thickTop="1">
      <c r="A2716" s="109" t="s">
        <v>8963</v>
      </c>
      <c r="B2716" s="28">
        <v>45951</v>
      </c>
      <c r="C2716" s="25">
        <v>1914</v>
      </c>
      <c r="D2716" s="13" t="s">
        <v>2329</v>
      </c>
      <c r="E2716" s="111"/>
      <c r="F2716" s="113" t="s">
        <v>3667</v>
      </c>
      <c r="G2716" s="114"/>
      <c r="H2716" s="115"/>
      <c r="I2716" s="24" t="s">
        <v>1547</v>
      </c>
      <c r="J2716" s="116">
        <v>4.5</v>
      </c>
      <c r="K2716" s="118">
        <v>1194000</v>
      </c>
      <c r="L2716" s="119"/>
      <c r="M2716" s="118">
        <f t="shared" ref="M2716" si="1440">K2716*0.1</f>
        <v>119400</v>
      </c>
      <c r="N2716" s="119"/>
      <c r="O2716" s="118">
        <v>11440</v>
      </c>
      <c r="P2716" s="119"/>
      <c r="Q2716" s="118">
        <v>9750</v>
      </c>
      <c r="R2716" s="119"/>
      <c r="S2716" s="118">
        <v>15950</v>
      </c>
      <c r="T2716" s="119"/>
      <c r="U2716" s="118">
        <f t="shared" ref="U2716" si="1441">SUM(K2716:T2717)</f>
        <v>1350540</v>
      </c>
      <c r="V2716" s="122"/>
      <c r="W2716" s="124"/>
      <c r="X2716" s="126" t="s">
        <v>8919</v>
      </c>
      <c r="Y2716" s="127"/>
      <c r="Z2716" s="127"/>
      <c r="AA2716" s="127"/>
      <c r="AB2716" s="128"/>
      <c r="AC2716" s="15" t="s">
        <v>20</v>
      </c>
      <c r="AD2716" s="129"/>
      <c r="AE2716" s="130"/>
      <c r="AF2716" s="130"/>
      <c r="AG2716" s="130"/>
      <c r="AH2716" s="130"/>
      <c r="AI2716" s="131"/>
      <c r="AJ2716" s="132"/>
      <c r="AK2716" s="127"/>
      <c r="AL2716" s="128"/>
      <c r="AM2716" s="21" t="s">
        <v>10798</v>
      </c>
      <c r="AN2716" s="133">
        <v>45987</v>
      </c>
      <c r="AO2716" s="134"/>
      <c r="AP2716" s="135">
        <v>994</v>
      </c>
      <c r="AQ2716" s="136"/>
      <c r="AR2716" s="118">
        <v>1290000</v>
      </c>
      <c r="AS2716" s="119"/>
      <c r="AT2716" s="118">
        <f t="shared" ref="AT2716" si="1442">AR2716*0.1</f>
        <v>129000</v>
      </c>
      <c r="AU2716" s="119"/>
      <c r="AV2716" s="118">
        <v>9750</v>
      </c>
      <c r="AW2716" s="119"/>
      <c r="AX2716" s="118">
        <f t="shared" ref="AX2716" si="1443">SUM(AR2716:AW2716)</f>
        <v>1428750</v>
      </c>
      <c r="AY2716" s="119"/>
      <c r="AZ2716" s="137">
        <v>45992</v>
      </c>
    </row>
    <row r="2717" spans="1:52" ht="17.100000000000001" customHeight="1" thickBot="1">
      <c r="A2717" s="110"/>
      <c r="B2717" s="27" t="s">
        <v>2131</v>
      </c>
      <c r="C2717" s="27">
        <v>5432</v>
      </c>
      <c r="D2717" s="14" t="s">
        <v>1576</v>
      </c>
      <c r="E2717" s="112"/>
      <c r="F2717" s="139" t="s">
        <v>8918</v>
      </c>
      <c r="G2717" s="140"/>
      <c r="H2717" s="141"/>
      <c r="I2717" s="26">
        <v>56636</v>
      </c>
      <c r="J2717" s="117"/>
      <c r="K2717" s="120"/>
      <c r="L2717" s="121"/>
      <c r="M2717" s="120"/>
      <c r="N2717" s="121"/>
      <c r="O2717" s="120"/>
      <c r="P2717" s="121"/>
      <c r="Q2717" s="120"/>
      <c r="R2717" s="121"/>
      <c r="S2717" s="120"/>
      <c r="T2717" s="121"/>
      <c r="U2717" s="120"/>
      <c r="V2717" s="123"/>
      <c r="W2717" s="125"/>
      <c r="X2717" s="142" t="s">
        <v>9350</v>
      </c>
      <c r="Y2717" s="143"/>
      <c r="Z2717" s="143"/>
      <c r="AA2717" s="143"/>
      <c r="AB2717" s="144"/>
      <c r="AC2717" s="16" t="s">
        <v>21</v>
      </c>
      <c r="AD2717" s="17" t="s">
        <v>9274</v>
      </c>
      <c r="AE2717" s="145" t="s">
        <v>2269</v>
      </c>
      <c r="AF2717" s="146"/>
      <c r="AG2717" s="146"/>
      <c r="AH2717" s="146"/>
      <c r="AI2717" s="147"/>
      <c r="AJ2717" s="148"/>
      <c r="AK2717" s="143"/>
      <c r="AL2717" s="144"/>
      <c r="AM2717" s="22"/>
      <c r="AN2717" s="149" t="s">
        <v>11801</v>
      </c>
      <c r="AO2717" s="144"/>
      <c r="AP2717" s="148">
        <v>6029</v>
      </c>
      <c r="AQ2717" s="144"/>
      <c r="AR2717" s="120"/>
      <c r="AS2717" s="121"/>
      <c r="AT2717" s="120"/>
      <c r="AU2717" s="121"/>
      <c r="AV2717" s="120"/>
      <c r="AW2717" s="121"/>
      <c r="AX2717" s="120"/>
      <c r="AY2717" s="121"/>
      <c r="AZ2717" s="138"/>
    </row>
    <row r="2718" spans="1:52" ht="17.100000000000001" customHeight="1" thickTop="1">
      <c r="A2718" s="109" t="s">
        <v>8964</v>
      </c>
      <c r="B2718" s="28">
        <v>45951</v>
      </c>
      <c r="C2718" s="25">
        <v>1914</v>
      </c>
      <c r="D2718" s="13" t="s">
        <v>2371</v>
      </c>
      <c r="E2718" s="111"/>
      <c r="F2718" s="113" t="s">
        <v>5048</v>
      </c>
      <c r="G2718" s="114"/>
      <c r="H2718" s="115"/>
      <c r="I2718" s="24"/>
      <c r="J2718" s="116">
        <v>3.5</v>
      </c>
      <c r="K2718" s="118">
        <v>112000</v>
      </c>
      <c r="L2718" s="119"/>
      <c r="M2718" s="118">
        <f t="shared" ref="M2718" si="1444">K2718*0.1</f>
        <v>11200</v>
      </c>
      <c r="N2718" s="119"/>
      <c r="O2718" s="118">
        <v>0</v>
      </c>
      <c r="P2718" s="119"/>
      <c r="Q2718" s="118">
        <v>9880</v>
      </c>
      <c r="R2718" s="119"/>
      <c r="S2718" s="118">
        <v>15950</v>
      </c>
      <c r="T2718" s="119"/>
      <c r="U2718" s="118">
        <f t="shared" ref="U2718" si="1445">SUM(K2718:T2719)</f>
        <v>149030</v>
      </c>
      <c r="V2718" s="122"/>
      <c r="W2718" s="124"/>
      <c r="X2718" s="126" t="s">
        <v>9355</v>
      </c>
      <c r="Y2718" s="127"/>
      <c r="Z2718" s="127"/>
      <c r="AA2718" s="127"/>
      <c r="AB2718" s="128"/>
      <c r="AC2718" s="15" t="s">
        <v>20</v>
      </c>
      <c r="AD2718" s="129"/>
      <c r="AE2718" s="130"/>
      <c r="AF2718" s="130"/>
      <c r="AG2718" s="130"/>
      <c r="AH2718" s="130"/>
      <c r="AI2718" s="131"/>
      <c r="AJ2718" s="132"/>
      <c r="AK2718" s="127"/>
      <c r="AL2718" s="128"/>
      <c r="AM2718" s="21"/>
      <c r="AN2718" s="133">
        <v>45962</v>
      </c>
      <c r="AO2718" s="134"/>
      <c r="AP2718" s="135">
        <v>1274</v>
      </c>
      <c r="AQ2718" s="136"/>
      <c r="AR2718" s="118">
        <v>219000</v>
      </c>
      <c r="AS2718" s="119"/>
      <c r="AT2718" s="118">
        <f t="shared" ref="AT2718" si="1446">AR2718*0.1</f>
        <v>21900</v>
      </c>
      <c r="AU2718" s="119"/>
      <c r="AV2718" s="118">
        <v>9880</v>
      </c>
      <c r="AW2718" s="119"/>
      <c r="AX2718" s="118">
        <f t="shared" ref="AX2718" si="1447">SUM(AR2718:AW2718)</f>
        <v>250780</v>
      </c>
      <c r="AY2718" s="119"/>
      <c r="AZ2718" s="137">
        <v>45965</v>
      </c>
    </row>
    <row r="2719" spans="1:52" ht="17.100000000000001" customHeight="1" thickBot="1">
      <c r="A2719" s="110"/>
      <c r="B2719" s="27" t="s">
        <v>2131</v>
      </c>
      <c r="C2719" s="27">
        <v>7210</v>
      </c>
      <c r="D2719" s="14" t="s">
        <v>1720</v>
      </c>
      <c r="E2719" s="112"/>
      <c r="F2719" s="139" t="s">
        <v>8945</v>
      </c>
      <c r="G2719" s="140"/>
      <c r="H2719" s="141"/>
      <c r="I2719" s="26">
        <v>38349</v>
      </c>
      <c r="J2719" s="117"/>
      <c r="K2719" s="120"/>
      <c r="L2719" s="121"/>
      <c r="M2719" s="120"/>
      <c r="N2719" s="121"/>
      <c r="O2719" s="120"/>
      <c r="P2719" s="121"/>
      <c r="Q2719" s="120"/>
      <c r="R2719" s="121"/>
      <c r="S2719" s="120"/>
      <c r="T2719" s="121"/>
      <c r="U2719" s="120"/>
      <c r="V2719" s="123"/>
      <c r="W2719" s="125"/>
      <c r="X2719" s="142" t="s">
        <v>9356</v>
      </c>
      <c r="Y2719" s="143"/>
      <c r="Z2719" s="143"/>
      <c r="AA2719" s="143"/>
      <c r="AB2719" s="144"/>
      <c r="AC2719" s="16" t="s">
        <v>21</v>
      </c>
      <c r="AD2719" s="17" t="s">
        <v>9274</v>
      </c>
      <c r="AE2719" s="145"/>
      <c r="AF2719" s="146"/>
      <c r="AG2719" s="146"/>
      <c r="AH2719" s="146"/>
      <c r="AI2719" s="147"/>
      <c r="AJ2719" s="148"/>
      <c r="AK2719" s="143"/>
      <c r="AL2719" s="144"/>
      <c r="AM2719" s="22"/>
      <c r="AN2719" s="149" t="s">
        <v>2511</v>
      </c>
      <c r="AO2719" s="144"/>
      <c r="AP2719" s="148">
        <v>63080</v>
      </c>
      <c r="AQ2719" s="144"/>
      <c r="AR2719" s="120"/>
      <c r="AS2719" s="121"/>
      <c r="AT2719" s="120"/>
      <c r="AU2719" s="121"/>
      <c r="AV2719" s="120"/>
      <c r="AW2719" s="121"/>
      <c r="AX2719" s="120"/>
      <c r="AY2719" s="121"/>
      <c r="AZ2719" s="138"/>
    </row>
    <row r="2720" spans="1:52" ht="17.100000000000001" customHeight="1" thickTop="1">
      <c r="A2720" s="109" t="s">
        <v>8965</v>
      </c>
      <c r="B2720" s="28">
        <v>45951</v>
      </c>
      <c r="C2720" s="25">
        <v>1914</v>
      </c>
      <c r="D2720" s="13" t="s">
        <v>3386</v>
      </c>
      <c r="E2720" s="111"/>
      <c r="F2720" s="113" t="s">
        <v>10048</v>
      </c>
      <c r="G2720" s="114"/>
      <c r="H2720" s="115"/>
      <c r="I2720" s="24"/>
      <c r="J2720" s="116">
        <v>4</v>
      </c>
      <c r="K2720" s="118">
        <v>1493000</v>
      </c>
      <c r="L2720" s="119"/>
      <c r="M2720" s="118">
        <f t="shared" ref="M2720" si="1448">K2720*0.1</f>
        <v>149300</v>
      </c>
      <c r="N2720" s="119"/>
      <c r="O2720" s="118">
        <v>0</v>
      </c>
      <c r="P2720" s="119"/>
      <c r="Q2720" s="118">
        <v>15100</v>
      </c>
      <c r="R2720" s="119"/>
      <c r="S2720" s="118">
        <v>15950</v>
      </c>
      <c r="T2720" s="119"/>
      <c r="U2720" s="118">
        <f t="shared" ref="U2720" si="1449">SUM(K2720:T2721)</f>
        <v>1673350</v>
      </c>
      <c r="V2720" s="122"/>
      <c r="W2720" s="124"/>
      <c r="X2720" s="126" t="s">
        <v>9451</v>
      </c>
      <c r="Y2720" s="127"/>
      <c r="Z2720" s="127"/>
      <c r="AA2720" s="127"/>
      <c r="AB2720" s="128"/>
      <c r="AC2720" s="15" t="s">
        <v>20</v>
      </c>
      <c r="AD2720" s="129"/>
      <c r="AE2720" s="130"/>
      <c r="AF2720" s="130"/>
      <c r="AG2720" s="130"/>
      <c r="AH2720" s="130"/>
      <c r="AI2720" s="131"/>
      <c r="AJ2720" s="132"/>
      <c r="AK2720" s="127"/>
      <c r="AL2720" s="128"/>
      <c r="AM2720" s="21"/>
      <c r="AN2720" s="133">
        <v>45962</v>
      </c>
      <c r="AO2720" s="134"/>
      <c r="AP2720" s="135">
        <v>1274</v>
      </c>
      <c r="AQ2720" s="136"/>
      <c r="AR2720" s="118">
        <v>1630000</v>
      </c>
      <c r="AS2720" s="119"/>
      <c r="AT2720" s="118">
        <f t="shared" ref="AT2720" si="1450">AR2720*0.1</f>
        <v>163000</v>
      </c>
      <c r="AU2720" s="119"/>
      <c r="AV2720" s="118">
        <v>15100</v>
      </c>
      <c r="AW2720" s="119"/>
      <c r="AX2720" s="118">
        <f t="shared" ref="AX2720" si="1451">SUM(AR2720:AW2720)</f>
        <v>1808100</v>
      </c>
      <c r="AY2720" s="119"/>
      <c r="AZ2720" s="137">
        <v>45965</v>
      </c>
    </row>
    <row r="2721" spans="1:52" ht="17.100000000000001" customHeight="1" thickBot="1">
      <c r="A2721" s="110"/>
      <c r="B2721" s="27" t="s">
        <v>2131</v>
      </c>
      <c r="C2721" s="27">
        <v>32042</v>
      </c>
      <c r="D2721" s="14" t="s">
        <v>2800</v>
      </c>
      <c r="E2721" s="112"/>
      <c r="F2721" s="139" t="s">
        <v>8920</v>
      </c>
      <c r="G2721" s="140"/>
      <c r="H2721" s="141"/>
      <c r="I2721" s="26">
        <v>20894</v>
      </c>
      <c r="J2721" s="117"/>
      <c r="K2721" s="120"/>
      <c r="L2721" s="121"/>
      <c r="M2721" s="120"/>
      <c r="N2721" s="121"/>
      <c r="O2721" s="120"/>
      <c r="P2721" s="121"/>
      <c r="Q2721" s="120"/>
      <c r="R2721" s="121"/>
      <c r="S2721" s="120"/>
      <c r="T2721" s="121"/>
      <c r="U2721" s="120"/>
      <c r="V2721" s="123"/>
      <c r="W2721" s="125"/>
      <c r="X2721" s="142" t="s">
        <v>3390</v>
      </c>
      <c r="Y2721" s="143"/>
      <c r="Z2721" s="143"/>
      <c r="AA2721" s="143"/>
      <c r="AB2721" s="144"/>
      <c r="AC2721" s="16" t="s">
        <v>21</v>
      </c>
      <c r="AD2721" s="17" t="s">
        <v>3341</v>
      </c>
      <c r="AE2721" s="145" t="s">
        <v>9450</v>
      </c>
      <c r="AF2721" s="146"/>
      <c r="AG2721" s="146"/>
      <c r="AH2721" s="146"/>
      <c r="AI2721" s="147"/>
      <c r="AJ2721" s="148"/>
      <c r="AK2721" s="143"/>
      <c r="AL2721" s="144"/>
      <c r="AM2721" s="22"/>
      <c r="AN2721" s="149" t="s">
        <v>2511</v>
      </c>
      <c r="AO2721" s="144"/>
      <c r="AP2721" s="148">
        <v>80011</v>
      </c>
      <c r="AQ2721" s="144"/>
      <c r="AR2721" s="120"/>
      <c r="AS2721" s="121"/>
      <c r="AT2721" s="120"/>
      <c r="AU2721" s="121"/>
      <c r="AV2721" s="120"/>
      <c r="AW2721" s="121"/>
      <c r="AX2721" s="120"/>
      <c r="AY2721" s="121"/>
      <c r="AZ2721" s="138"/>
    </row>
    <row r="2722" spans="1:52" ht="17.100000000000001" customHeight="1" thickTop="1">
      <c r="A2722" s="109" t="s">
        <v>8966</v>
      </c>
      <c r="B2722" s="28">
        <v>45951</v>
      </c>
      <c r="C2722" s="25">
        <v>1914</v>
      </c>
      <c r="D2722" s="13" t="s">
        <v>1929</v>
      </c>
      <c r="E2722" s="111"/>
      <c r="F2722" s="113" t="s">
        <v>8921</v>
      </c>
      <c r="G2722" s="114"/>
      <c r="H2722" s="115"/>
      <c r="I2722" s="24"/>
      <c r="J2722" s="116">
        <v>3.5</v>
      </c>
      <c r="K2722" s="118">
        <v>439000</v>
      </c>
      <c r="L2722" s="119"/>
      <c r="M2722" s="118">
        <f t="shared" ref="M2722" si="1452">K2722*0.1</f>
        <v>43900</v>
      </c>
      <c r="N2722" s="119"/>
      <c r="O2722" s="118">
        <v>0</v>
      </c>
      <c r="P2722" s="119"/>
      <c r="Q2722" s="118">
        <v>8860</v>
      </c>
      <c r="R2722" s="119"/>
      <c r="S2722" s="118">
        <v>15950</v>
      </c>
      <c r="T2722" s="119"/>
      <c r="U2722" s="118">
        <f t="shared" ref="U2722" si="1453">SUM(K2722:T2723)</f>
        <v>507710</v>
      </c>
      <c r="V2722" s="122"/>
      <c r="W2722" s="124"/>
      <c r="X2722" s="126" t="s">
        <v>9353</v>
      </c>
      <c r="Y2722" s="127"/>
      <c r="Z2722" s="127"/>
      <c r="AA2722" s="127"/>
      <c r="AB2722" s="128"/>
      <c r="AC2722" s="15" t="s">
        <v>20</v>
      </c>
      <c r="AD2722" s="129"/>
      <c r="AE2722" s="130"/>
      <c r="AF2722" s="130"/>
      <c r="AG2722" s="130"/>
      <c r="AH2722" s="130"/>
      <c r="AI2722" s="131"/>
      <c r="AJ2722" s="132"/>
      <c r="AK2722" s="127"/>
      <c r="AL2722" s="128"/>
      <c r="AM2722" s="21"/>
      <c r="AN2722" s="133">
        <v>45955</v>
      </c>
      <c r="AO2722" s="134"/>
      <c r="AP2722" s="135">
        <v>1273</v>
      </c>
      <c r="AQ2722" s="136"/>
      <c r="AR2722" s="118">
        <v>530000</v>
      </c>
      <c r="AS2722" s="119"/>
      <c r="AT2722" s="118">
        <f t="shared" ref="AT2722" si="1454">AR2722*0.1</f>
        <v>53000</v>
      </c>
      <c r="AU2722" s="119"/>
      <c r="AV2722" s="118">
        <v>8860</v>
      </c>
      <c r="AW2722" s="119"/>
      <c r="AX2722" s="118">
        <f t="shared" ref="AX2722" si="1455">SUM(AR2722:AW2722)</f>
        <v>591860</v>
      </c>
      <c r="AY2722" s="119"/>
      <c r="AZ2722" s="137">
        <v>45965</v>
      </c>
    </row>
    <row r="2723" spans="1:52" ht="17.100000000000001" customHeight="1" thickBot="1">
      <c r="A2723" s="110"/>
      <c r="B2723" s="27" t="s">
        <v>2131</v>
      </c>
      <c r="C2723" s="27">
        <v>32104</v>
      </c>
      <c r="D2723" s="14" t="s">
        <v>1556</v>
      </c>
      <c r="E2723" s="112"/>
      <c r="F2723" s="139" t="s">
        <v>8922</v>
      </c>
      <c r="G2723" s="140"/>
      <c r="H2723" s="141"/>
      <c r="I2723" s="26">
        <v>46454</v>
      </c>
      <c r="J2723" s="117"/>
      <c r="K2723" s="120"/>
      <c r="L2723" s="121"/>
      <c r="M2723" s="120"/>
      <c r="N2723" s="121"/>
      <c r="O2723" s="120"/>
      <c r="P2723" s="121"/>
      <c r="Q2723" s="120"/>
      <c r="R2723" s="121"/>
      <c r="S2723" s="120"/>
      <c r="T2723" s="121"/>
      <c r="U2723" s="120"/>
      <c r="V2723" s="123"/>
      <c r="W2723" s="125"/>
      <c r="X2723" s="142" t="s">
        <v>9354</v>
      </c>
      <c r="Y2723" s="143"/>
      <c r="Z2723" s="143"/>
      <c r="AA2723" s="143"/>
      <c r="AB2723" s="144"/>
      <c r="AC2723" s="16" t="s">
        <v>21</v>
      </c>
      <c r="AD2723" s="17" t="s">
        <v>9274</v>
      </c>
      <c r="AE2723" s="145"/>
      <c r="AF2723" s="146"/>
      <c r="AG2723" s="146"/>
      <c r="AH2723" s="146"/>
      <c r="AI2723" s="147"/>
      <c r="AJ2723" s="148"/>
      <c r="AK2723" s="143"/>
      <c r="AL2723" s="144"/>
      <c r="AM2723" s="22"/>
      <c r="AN2723" s="149" t="s">
        <v>6748</v>
      </c>
      <c r="AO2723" s="144"/>
      <c r="AP2723" s="148">
        <v>60471</v>
      </c>
      <c r="AQ2723" s="144"/>
      <c r="AR2723" s="120"/>
      <c r="AS2723" s="121"/>
      <c r="AT2723" s="120"/>
      <c r="AU2723" s="121"/>
      <c r="AV2723" s="120"/>
      <c r="AW2723" s="121"/>
      <c r="AX2723" s="120"/>
      <c r="AY2723" s="121"/>
      <c r="AZ2723" s="138"/>
    </row>
    <row r="2724" spans="1:52" ht="17.100000000000001" customHeight="1" thickTop="1">
      <c r="A2724" s="109" t="s">
        <v>8967</v>
      </c>
      <c r="B2724" s="28">
        <v>45951</v>
      </c>
      <c r="C2724" s="25">
        <v>792</v>
      </c>
      <c r="D2724" s="13" t="s">
        <v>8926</v>
      </c>
      <c r="E2724" s="111"/>
      <c r="F2724" s="113" t="s">
        <v>8927</v>
      </c>
      <c r="G2724" s="114"/>
      <c r="H2724" s="115"/>
      <c r="I2724" s="24"/>
      <c r="J2724" s="116">
        <v>4</v>
      </c>
      <c r="K2724" s="118">
        <v>533000</v>
      </c>
      <c r="L2724" s="119"/>
      <c r="M2724" s="118">
        <f t="shared" ref="M2724" si="1456">K2724*0.1</f>
        <v>53300</v>
      </c>
      <c r="N2724" s="119"/>
      <c r="O2724" s="118">
        <v>0</v>
      </c>
      <c r="P2724" s="119"/>
      <c r="Q2724" s="118">
        <v>8540</v>
      </c>
      <c r="R2724" s="119"/>
      <c r="S2724" s="118">
        <v>15950</v>
      </c>
      <c r="T2724" s="119"/>
      <c r="U2724" s="118">
        <f t="shared" ref="U2724" si="1457">SUM(K2724:T2725)</f>
        <v>610790</v>
      </c>
      <c r="V2724" s="122"/>
      <c r="W2724" s="124"/>
      <c r="X2724" s="126" t="s">
        <v>9340</v>
      </c>
      <c r="Y2724" s="127"/>
      <c r="Z2724" s="127"/>
      <c r="AA2724" s="127"/>
      <c r="AB2724" s="128"/>
      <c r="AC2724" s="15" t="s">
        <v>20</v>
      </c>
      <c r="AD2724" s="129"/>
      <c r="AE2724" s="130"/>
      <c r="AF2724" s="130"/>
      <c r="AG2724" s="130"/>
      <c r="AH2724" s="130"/>
      <c r="AI2724" s="131"/>
      <c r="AJ2724" s="132"/>
      <c r="AK2724" s="127"/>
      <c r="AL2724" s="128"/>
      <c r="AM2724" s="21"/>
      <c r="AN2724" s="133">
        <v>45969</v>
      </c>
      <c r="AO2724" s="134"/>
      <c r="AP2724" s="135">
        <v>1275</v>
      </c>
      <c r="AQ2724" s="136"/>
      <c r="AR2724" s="118">
        <v>660000</v>
      </c>
      <c r="AS2724" s="119"/>
      <c r="AT2724" s="118">
        <f t="shared" ref="AT2724" si="1458">AR2724*0.1</f>
        <v>66000</v>
      </c>
      <c r="AU2724" s="119"/>
      <c r="AV2724" s="118">
        <v>8540</v>
      </c>
      <c r="AW2724" s="119"/>
      <c r="AX2724" s="118">
        <f t="shared" ref="AX2724" si="1459">SUM(AR2724:AW2724)</f>
        <v>734540</v>
      </c>
      <c r="AY2724" s="119"/>
      <c r="AZ2724" s="137">
        <v>45972</v>
      </c>
    </row>
    <row r="2725" spans="1:52" ht="17.100000000000001" customHeight="1" thickBot="1">
      <c r="A2725" s="110"/>
      <c r="B2725" s="27" t="s">
        <v>3367</v>
      </c>
      <c r="C2725" s="27">
        <v>3008</v>
      </c>
      <c r="D2725" s="14" t="s">
        <v>904</v>
      </c>
      <c r="E2725" s="112"/>
      <c r="F2725" s="139" t="s">
        <v>8928</v>
      </c>
      <c r="G2725" s="140"/>
      <c r="H2725" s="141"/>
      <c r="I2725" s="26">
        <v>63460</v>
      </c>
      <c r="J2725" s="117"/>
      <c r="K2725" s="120"/>
      <c r="L2725" s="121"/>
      <c r="M2725" s="120"/>
      <c r="N2725" s="121"/>
      <c r="O2725" s="120"/>
      <c r="P2725" s="121"/>
      <c r="Q2725" s="120"/>
      <c r="R2725" s="121"/>
      <c r="S2725" s="120"/>
      <c r="T2725" s="121"/>
      <c r="U2725" s="120"/>
      <c r="V2725" s="123"/>
      <c r="W2725" s="125"/>
      <c r="X2725" s="142" t="s">
        <v>2057</v>
      </c>
      <c r="Y2725" s="143"/>
      <c r="Z2725" s="143"/>
      <c r="AA2725" s="143"/>
      <c r="AB2725" s="144"/>
      <c r="AC2725" s="16" t="s">
        <v>21</v>
      </c>
      <c r="AD2725" s="17" t="s">
        <v>9274</v>
      </c>
      <c r="AE2725" s="145"/>
      <c r="AF2725" s="146"/>
      <c r="AG2725" s="146"/>
      <c r="AH2725" s="146"/>
      <c r="AI2725" s="147"/>
      <c r="AJ2725" s="148"/>
      <c r="AK2725" s="143"/>
      <c r="AL2725" s="144"/>
      <c r="AM2725" s="22"/>
      <c r="AN2725" s="149" t="s">
        <v>2511</v>
      </c>
      <c r="AO2725" s="144"/>
      <c r="AP2725" s="148">
        <v>60233</v>
      </c>
      <c r="AQ2725" s="144"/>
      <c r="AR2725" s="120"/>
      <c r="AS2725" s="121"/>
      <c r="AT2725" s="120"/>
      <c r="AU2725" s="121"/>
      <c r="AV2725" s="120"/>
      <c r="AW2725" s="121"/>
      <c r="AX2725" s="120"/>
      <c r="AY2725" s="121"/>
      <c r="AZ2725" s="138"/>
    </row>
    <row r="2726" spans="1:52" ht="17.100000000000001" customHeight="1" thickTop="1">
      <c r="A2726" s="109" t="s">
        <v>8968</v>
      </c>
      <c r="B2726" s="28">
        <v>45951</v>
      </c>
      <c r="C2726" s="25">
        <v>792</v>
      </c>
      <c r="D2726" s="13" t="s">
        <v>1971</v>
      </c>
      <c r="E2726" s="111"/>
      <c r="F2726" s="113" t="s">
        <v>8009</v>
      </c>
      <c r="G2726" s="114"/>
      <c r="H2726" s="115"/>
      <c r="I2726" s="24" t="s">
        <v>2577</v>
      </c>
      <c r="J2726" s="116">
        <v>4.5</v>
      </c>
      <c r="K2726" s="118">
        <v>1576000</v>
      </c>
      <c r="L2726" s="119"/>
      <c r="M2726" s="118">
        <f t="shared" ref="M2726" si="1460">K2726*0.1</f>
        <v>157600</v>
      </c>
      <c r="N2726" s="119"/>
      <c r="O2726" s="118">
        <v>0</v>
      </c>
      <c r="P2726" s="119"/>
      <c r="Q2726" s="118">
        <v>7040</v>
      </c>
      <c r="R2726" s="119"/>
      <c r="S2726" s="118">
        <v>15950</v>
      </c>
      <c r="T2726" s="119"/>
      <c r="U2726" s="118">
        <f t="shared" ref="U2726" si="1461">SUM(K2726:T2727)</f>
        <v>1756590</v>
      </c>
      <c r="V2726" s="122"/>
      <c r="W2726" s="124"/>
      <c r="X2726" s="126" t="s">
        <v>8924</v>
      </c>
      <c r="Y2726" s="127"/>
      <c r="Z2726" s="127"/>
      <c r="AA2726" s="127"/>
      <c r="AB2726" s="128"/>
      <c r="AC2726" s="15" t="s">
        <v>20</v>
      </c>
      <c r="AD2726" s="129" t="s">
        <v>8925</v>
      </c>
      <c r="AE2726" s="130"/>
      <c r="AF2726" s="130"/>
      <c r="AG2726" s="130"/>
      <c r="AH2726" s="130"/>
      <c r="AI2726" s="131"/>
      <c r="AJ2726" s="132"/>
      <c r="AK2726" s="127"/>
      <c r="AL2726" s="128"/>
      <c r="AM2726" s="21" t="s">
        <v>10044</v>
      </c>
      <c r="AN2726" s="133">
        <v>45962</v>
      </c>
      <c r="AO2726" s="134"/>
      <c r="AP2726" s="135">
        <v>1274</v>
      </c>
      <c r="AQ2726" s="136"/>
      <c r="AR2726" s="118">
        <v>1575000</v>
      </c>
      <c r="AS2726" s="119"/>
      <c r="AT2726" s="118">
        <f t="shared" ref="AT2726" si="1462">AR2726*0.1</f>
        <v>157500</v>
      </c>
      <c r="AU2726" s="119"/>
      <c r="AV2726" s="118">
        <v>7040</v>
      </c>
      <c r="AW2726" s="119"/>
      <c r="AX2726" s="118">
        <f t="shared" ref="AX2726" si="1463">SUM(AR2726:AW2726)</f>
        <v>1739540</v>
      </c>
      <c r="AY2726" s="119"/>
      <c r="AZ2726" s="137">
        <v>45967</v>
      </c>
    </row>
    <row r="2727" spans="1:52" ht="17.100000000000001" customHeight="1" thickBot="1">
      <c r="A2727" s="110"/>
      <c r="B2727" s="27" t="s">
        <v>3367</v>
      </c>
      <c r="C2727" s="27">
        <v>3036</v>
      </c>
      <c r="D2727" s="14" t="s">
        <v>2601</v>
      </c>
      <c r="E2727" s="112"/>
      <c r="F2727" s="139" t="s">
        <v>8923</v>
      </c>
      <c r="G2727" s="140"/>
      <c r="H2727" s="141"/>
      <c r="I2727" s="26">
        <v>17020</v>
      </c>
      <c r="J2727" s="117"/>
      <c r="K2727" s="120"/>
      <c r="L2727" s="121"/>
      <c r="M2727" s="120"/>
      <c r="N2727" s="121"/>
      <c r="O2727" s="120"/>
      <c r="P2727" s="121"/>
      <c r="Q2727" s="120"/>
      <c r="R2727" s="121"/>
      <c r="S2727" s="120"/>
      <c r="T2727" s="121"/>
      <c r="U2727" s="120"/>
      <c r="V2727" s="123"/>
      <c r="W2727" s="125"/>
      <c r="X2727" s="142" t="s">
        <v>9406</v>
      </c>
      <c r="Y2727" s="143"/>
      <c r="Z2727" s="143"/>
      <c r="AA2727" s="143"/>
      <c r="AB2727" s="144"/>
      <c r="AC2727" s="16" t="s">
        <v>21</v>
      </c>
      <c r="AD2727" s="17" t="s">
        <v>3341</v>
      </c>
      <c r="AE2727" s="145" t="s">
        <v>3925</v>
      </c>
      <c r="AF2727" s="146"/>
      <c r="AG2727" s="146"/>
      <c r="AH2727" s="146"/>
      <c r="AI2727" s="147"/>
      <c r="AJ2727" s="148"/>
      <c r="AK2727" s="143"/>
      <c r="AL2727" s="144"/>
      <c r="AM2727" s="22"/>
      <c r="AN2727" s="149" t="s">
        <v>2511</v>
      </c>
      <c r="AO2727" s="144"/>
      <c r="AP2727" s="148">
        <v>60056</v>
      </c>
      <c r="AQ2727" s="144"/>
      <c r="AR2727" s="120"/>
      <c r="AS2727" s="121"/>
      <c r="AT2727" s="120"/>
      <c r="AU2727" s="121"/>
      <c r="AV2727" s="120"/>
      <c r="AW2727" s="121"/>
      <c r="AX2727" s="120"/>
      <c r="AY2727" s="121"/>
      <c r="AZ2727" s="138"/>
    </row>
    <row r="2728" spans="1:52" ht="17.100000000000001" customHeight="1" thickTop="1">
      <c r="A2728" s="109" t="s">
        <v>8969</v>
      </c>
      <c r="B2728" s="28">
        <v>45951</v>
      </c>
      <c r="C2728" s="25">
        <v>792</v>
      </c>
      <c r="D2728" s="13" t="s">
        <v>2963</v>
      </c>
      <c r="E2728" s="111"/>
      <c r="F2728" s="113" t="s">
        <v>6994</v>
      </c>
      <c r="G2728" s="114"/>
      <c r="H2728" s="115"/>
      <c r="I2728" s="24" t="s">
        <v>1547</v>
      </c>
      <c r="J2728" s="116">
        <v>4</v>
      </c>
      <c r="K2728" s="118">
        <v>1179000</v>
      </c>
      <c r="L2728" s="119"/>
      <c r="M2728" s="118">
        <f t="shared" ref="M2728" si="1464">K2728*0.1</f>
        <v>117900</v>
      </c>
      <c r="N2728" s="119"/>
      <c r="O2728" s="118">
        <v>0</v>
      </c>
      <c r="P2728" s="119"/>
      <c r="Q2728" s="118">
        <v>8640</v>
      </c>
      <c r="R2728" s="119"/>
      <c r="S2728" s="118">
        <v>15950</v>
      </c>
      <c r="T2728" s="119"/>
      <c r="U2728" s="118">
        <f t="shared" ref="U2728" si="1465">SUM(K2728:T2729)</f>
        <v>1321490</v>
      </c>
      <c r="V2728" s="122"/>
      <c r="W2728" s="124"/>
      <c r="X2728" s="126" t="s">
        <v>8930</v>
      </c>
      <c r="Y2728" s="127"/>
      <c r="Z2728" s="127"/>
      <c r="AA2728" s="127"/>
      <c r="AB2728" s="128"/>
      <c r="AC2728" s="15" t="s">
        <v>20</v>
      </c>
      <c r="AD2728" s="129" t="s">
        <v>2930</v>
      </c>
      <c r="AE2728" s="130"/>
      <c r="AF2728" s="130"/>
      <c r="AG2728" s="130"/>
      <c r="AH2728" s="130"/>
      <c r="AI2728" s="131"/>
      <c r="AJ2728" s="132"/>
      <c r="AK2728" s="127"/>
      <c r="AL2728" s="128"/>
      <c r="AM2728" s="21" t="s">
        <v>10250</v>
      </c>
      <c r="AN2728" s="133">
        <v>45966</v>
      </c>
      <c r="AO2728" s="134"/>
      <c r="AP2728" s="135">
        <v>991</v>
      </c>
      <c r="AQ2728" s="136"/>
      <c r="AR2728" s="118">
        <v>1250000</v>
      </c>
      <c r="AS2728" s="119"/>
      <c r="AT2728" s="118">
        <f t="shared" ref="AT2728" si="1466">AR2728*0.1</f>
        <v>125000</v>
      </c>
      <c r="AU2728" s="119"/>
      <c r="AV2728" s="118">
        <v>8640</v>
      </c>
      <c r="AW2728" s="119"/>
      <c r="AX2728" s="118">
        <f t="shared" ref="AX2728" si="1467">SUM(AR2728:AW2728)</f>
        <v>1383640</v>
      </c>
      <c r="AY2728" s="119"/>
      <c r="AZ2728" s="137">
        <v>45971</v>
      </c>
    </row>
    <row r="2729" spans="1:52" ht="17.100000000000001" customHeight="1" thickBot="1">
      <c r="A2729" s="110"/>
      <c r="B2729" s="27" t="s">
        <v>3367</v>
      </c>
      <c r="C2729" s="27">
        <v>3110</v>
      </c>
      <c r="D2729" s="14" t="s">
        <v>2800</v>
      </c>
      <c r="E2729" s="112"/>
      <c r="F2729" s="139" t="s">
        <v>8929</v>
      </c>
      <c r="G2729" s="140"/>
      <c r="H2729" s="141"/>
      <c r="I2729" s="26">
        <v>28409</v>
      </c>
      <c r="J2729" s="117"/>
      <c r="K2729" s="120"/>
      <c r="L2729" s="121"/>
      <c r="M2729" s="120"/>
      <c r="N2729" s="121"/>
      <c r="O2729" s="120"/>
      <c r="P2729" s="121"/>
      <c r="Q2729" s="120"/>
      <c r="R2729" s="121"/>
      <c r="S2729" s="120"/>
      <c r="T2729" s="121"/>
      <c r="U2729" s="120"/>
      <c r="V2729" s="123"/>
      <c r="W2729" s="125"/>
      <c r="X2729" s="142" t="s">
        <v>9339</v>
      </c>
      <c r="Y2729" s="143"/>
      <c r="Z2729" s="143"/>
      <c r="AA2729" s="143"/>
      <c r="AB2729" s="144"/>
      <c r="AC2729" s="16" t="s">
        <v>21</v>
      </c>
      <c r="AD2729" s="17" t="s">
        <v>9274</v>
      </c>
      <c r="AE2729" s="145" t="s">
        <v>2051</v>
      </c>
      <c r="AF2729" s="146"/>
      <c r="AG2729" s="146"/>
      <c r="AH2729" s="146"/>
      <c r="AI2729" s="147"/>
      <c r="AJ2729" s="148"/>
      <c r="AK2729" s="143"/>
      <c r="AL2729" s="144"/>
      <c r="AM2729" s="22"/>
      <c r="AN2729" s="149" t="s">
        <v>7285</v>
      </c>
      <c r="AO2729" s="144"/>
      <c r="AP2729" s="148">
        <v>2014</v>
      </c>
      <c r="AQ2729" s="144"/>
      <c r="AR2729" s="120"/>
      <c r="AS2729" s="121"/>
      <c r="AT2729" s="120"/>
      <c r="AU2729" s="121"/>
      <c r="AV2729" s="120"/>
      <c r="AW2729" s="121"/>
      <c r="AX2729" s="120"/>
      <c r="AY2729" s="121"/>
      <c r="AZ2729" s="138"/>
    </row>
    <row r="2730" spans="1:52" ht="17.100000000000001" customHeight="1" thickTop="1">
      <c r="A2730" s="109" t="s">
        <v>8970</v>
      </c>
      <c r="B2730" s="28">
        <v>45951</v>
      </c>
      <c r="C2730" s="25">
        <v>792</v>
      </c>
      <c r="D2730" s="13" t="s">
        <v>818</v>
      </c>
      <c r="E2730" s="111"/>
      <c r="F2730" s="113" t="s">
        <v>8931</v>
      </c>
      <c r="G2730" s="114"/>
      <c r="H2730" s="115"/>
      <c r="I2730" s="24" t="s">
        <v>1559</v>
      </c>
      <c r="J2730" s="116">
        <v>4</v>
      </c>
      <c r="K2730" s="118">
        <v>1356000</v>
      </c>
      <c r="L2730" s="119"/>
      <c r="M2730" s="118">
        <f t="shared" ref="M2730" si="1468">K2730*0.1</f>
        <v>135600</v>
      </c>
      <c r="N2730" s="119"/>
      <c r="O2730" s="118">
        <v>11440</v>
      </c>
      <c r="P2730" s="119"/>
      <c r="Q2730" s="118">
        <v>15250</v>
      </c>
      <c r="R2730" s="119"/>
      <c r="S2730" s="118">
        <v>19250</v>
      </c>
      <c r="T2730" s="119"/>
      <c r="U2730" s="118">
        <f t="shared" ref="U2730" si="1469">SUM(K2730:T2731)</f>
        <v>1537540</v>
      </c>
      <c r="V2730" s="122"/>
      <c r="W2730" s="124"/>
      <c r="X2730" s="126" t="s">
        <v>8933</v>
      </c>
      <c r="Y2730" s="127"/>
      <c r="Z2730" s="127"/>
      <c r="AA2730" s="127"/>
      <c r="AB2730" s="128"/>
      <c r="AC2730" s="15" t="s">
        <v>20</v>
      </c>
      <c r="AD2730" s="129" t="s">
        <v>3123</v>
      </c>
      <c r="AE2730" s="130"/>
      <c r="AF2730" s="130"/>
      <c r="AG2730" s="130"/>
      <c r="AH2730" s="130"/>
      <c r="AI2730" s="131"/>
      <c r="AJ2730" s="132"/>
      <c r="AK2730" s="127"/>
      <c r="AL2730" s="128"/>
      <c r="AM2730" s="21"/>
      <c r="AN2730" s="133">
        <v>45962</v>
      </c>
      <c r="AO2730" s="134"/>
      <c r="AP2730" s="135">
        <v>1274</v>
      </c>
      <c r="AQ2730" s="136"/>
      <c r="AR2730" s="118">
        <v>1535000</v>
      </c>
      <c r="AS2730" s="119"/>
      <c r="AT2730" s="118">
        <f t="shared" ref="AT2730" si="1470">AR2730*0.1</f>
        <v>153500</v>
      </c>
      <c r="AU2730" s="119"/>
      <c r="AV2730" s="118">
        <v>15250</v>
      </c>
      <c r="AW2730" s="119"/>
      <c r="AX2730" s="118">
        <f t="shared" ref="AX2730" si="1471">SUM(AR2730:AW2730)</f>
        <v>1703750</v>
      </c>
      <c r="AY2730" s="119"/>
      <c r="AZ2730" s="137">
        <v>45965</v>
      </c>
    </row>
    <row r="2731" spans="1:52" ht="17.100000000000001" customHeight="1" thickBot="1">
      <c r="A2731" s="110"/>
      <c r="B2731" s="27" t="s">
        <v>3367</v>
      </c>
      <c r="C2731" s="27">
        <v>5011</v>
      </c>
      <c r="D2731" s="14" t="s">
        <v>1592</v>
      </c>
      <c r="E2731" s="112"/>
      <c r="F2731" s="139" t="s">
        <v>8932</v>
      </c>
      <c r="G2731" s="140"/>
      <c r="H2731" s="141"/>
      <c r="I2731" s="26">
        <v>49649</v>
      </c>
      <c r="J2731" s="117"/>
      <c r="K2731" s="120"/>
      <c r="L2731" s="121"/>
      <c r="M2731" s="120"/>
      <c r="N2731" s="121"/>
      <c r="O2731" s="120"/>
      <c r="P2731" s="121"/>
      <c r="Q2731" s="120"/>
      <c r="R2731" s="121"/>
      <c r="S2731" s="120"/>
      <c r="T2731" s="121"/>
      <c r="U2731" s="120"/>
      <c r="V2731" s="123"/>
      <c r="W2731" s="125"/>
      <c r="X2731" s="142" t="s">
        <v>9686</v>
      </c>
      <c r="Y2731" s="143"/>
      <c r="Z2731" s="143"/>
      <c r="AA2731" s="143"/>
      <c r="AB2731" s="144"/>
      <c r="AC2731" s="16" t="s">
        <v>21</v>
      </c>
      <c r="AD2731" s="17" t="s">
        <v>9662</v>
      </c>
      <c r="AE2731" s="145" t="s">
        <v>7432</v>
      </c>
      <c r="AF2731" s="146"/>
      <c r="AG2731" s="146"/>
      <c r="AH2731" s="146"/>
      <c r="AI2731" s="147"/>
      <c r="AJ2731" s="148"/>
      <c r="AK2731" s="143"/>
      <c r="AL2731" s="144"/>
      <c r="AM2731" s="22"/>
      <c r="AN2731" s="149" t="s">
        <v>2511</v>
      </c>
      <c r="AO2731" s="144"/>
      <c r="AP2731" s="148">
        <v>80013</v>
      </c>
      <c r="AQ2731" s="144"/>
      <c r="AR2731" s="120"/>
      <c r="AS2731" s="121"/>
      <c r="AT2731" s="120"/>
      <c r="AU2731" s="121"/>
      <c r="AV2731" s="120"/>
      <c r="AW2731" s="121"/>
      <c r="AX2731" s="120"/>
      <c r="AY2731" s="121"/>
      <c r="AZ2731" s="138"/>
    </row>
    <row r="2732" spans="1:52" ht="17.100000000000001" customHeight="1" thickTop="1">
      <c r="A2732" s="109" t="s">
        <v>8971</v>
      </c>
      <c r="B2732" s="28">
        <v>45951</v>
      </c>
      <c r="C2732" s="25">
        <v>912</v>
      </c>
      <c r="D2732" s="13" t="s">
        <v>2001</v>
      </c>
      <c r="E2732" s="111"/>
      <c r="F2732" s="113" t="s">
        <v>8934</v>
      </c>
      <c r="G2732" s="114"/>
      <c r="H2732" s="115"/>
      <c r="I2732" s="24" t="s">
        <v>4314</v>
      </c>
      <c r="J2732" s="116">
        <v>4.5</v>
      </c>
      <c r="K2732" s="118">
        <v>915000</v>
      </c>
      <c r="L2732" s="119"/>
      <c r="M2732" s="118">
        <f t="shared" ref="M2732" si="1472">K2732*0.1</f>
        <v>91500</v>
      </c>
      <c r="N2732" s="119"/>
      <c r="O2732" s="118">
        <v>0</v>
      </c>
      <c r="P2732" s="119"/>
      <c r="Q2732" s="118">
        <v>8010</v>
      </c>
      <c r="R2732" s="119"/>
      <c r="S2732" s="118">
        <v>15950</v>
      </c>
      <c r="T2732" s="119"/>
      <c r="U2732" s="118">
        <f t="shared" ref="U2732" si="1473">SUM(K2732:T2733)</f>
        <v>1030460</v>
      </c>
      <c r="V2732" s="122"/>
      <c r="W2732" s="124"/>
      <c r="X2732" s="126" t="s">
        <v>9342</v>
      </c>
      <c r="Y2732" s="127"/>
      <c r="Z2732" s="127"/>
      <c r="AA2732" s="127"/>
      <c r="AB2732" s="128"/>
      <c r="AC2732" s="15" t="s">
        <v>20</v>
      </c>
      <c r="AD2732" s="129" t="s">
        <v>8936</v>
      </c>
      <c r="AE2732" s="130"/>
      <c r="AF2732" s="130"/>
      <c r="AG2732" s="130"/>
      <c r="AH2732" s="130"/>
      <c r="AI2732" s="131"/>
      <c r="AJ2732" s="132"/>
      <c r="AK2732" s="127"/>
      <c r="AL2732" s="128"/>
      <c r="AM2732" s="21" t="s">
        <v>10036</v>
      </c>
      <c r="AN2732" s="133">
        <v>45962</v>
      </c>
      <c r="AO2732" s="134"/>
      <c r="AP2732" s="135">
        <v>1274</v>
      </c>
      <c r="AQ2732" s="136"/>
      <c r="AR2732" s="118">
        <v>910000</v>
      </c>
      <c r="AS2732" s="119"/>
      <c r="AT2732" s="118">
        <f t="shared" ref="AT2732" si="1474">AR2732*0.1</f>
        <v>91000</v>
      </c>
      <c r="AU2732" s="119"/>
      <c r="AV2732" s="118">
        <v>8010</v>
      </c>
      <c r="AW2732" s="119"/>
      <c r="AX2732" s="118">
        <f t="shared" ref="AX2732" si="1475">SUM(AR2732:AW2732)</f>
        <v>1009010</v>
      </c>
      <c r="AY2732" s="119"/>
      <c r="AZ2732" s="137">
        <v>45967</v>
      </c>
    </row>
    <row r="2733" spans="1:52" ht="17.100000000000001" customHeight="1" thickBot="1">
      <c r="A2733" s="110"/>
      <c r="B2733" s="27" t="s">
        <v>2699</v>
      </c>
      <c r="C2733" s="27">
        <v>3145</v>
      </c>
      <c r="D2733" s="14" t="s">
        <v>1720</v>
      </c>
      <c r="E2733" s="112"/>
      <c r="F2733" s="139" t="s">
        <v>8935</v>
      </c>
      <c r="G2733" s="140"/>
      <c r="H2733" s="141"/>
      <c r="I2733" s="26">
        <v>23572</v>
      </c>
      <c r="J2733" s="117"/>
      <c r="K2733" s="120"/>
      <c r="L2733" s="121"/>
      <c r="M2733" s="120"/>
      <c r="N2733" s="121"/>
      <c r="O2733" s="120"/>
      <c r="P2733" s="121"/>
      <c r="Q2733" s="120"/>
      <c r="R2733" s="121"/>
      <c r="S2733" s="120"/>
      <c r="T2733" s="121"/>
      <c r="U2733" s="120"/>
      <c r="V2733" s="123"/>
      <c r="W2733" s="125"/>
      <c r="X2733" s="142" t="s">
        <v>9343</v>
      </c>
      <c r="Y2733" s="143"/>
      <c r="Z2733" s="143"/>
      <c r="AA2733" s="143"/>
      <c r="AB2733" s="144"/>
      <c r="AC2733" s="16" t="s">
        <v>21</v>
      </c>
      <c r="AD2733" s="17" t="s">
        <v>9274</v>
      </c>
      <c r="AE2733" s="145" t="s">
        <v>5325</v>
      </c>
      <c r="AF2733" s="146"/>
      <c r="AG2733" s="146"/>
      <c r="AH2733" s="146"/>
      <c r="AI2733" s="147"/>
      <c r="AJ2733" s="148"/>
      <c r="AK2733" s="143"/>
      <c r="AL2733" s="144"/>
      <c r="AM2733" s="22"/>
      <c r="AN2733" s="149" t="s">
        <v>2511</v>
      </c>
      <c r="AO2733" s="144"/>
      <c r="AP2733" s="148">
        <v>60052</v>
      </c>
      <c r="AQ2733" s="144"/>
      <c r="AR2733" s="120"/>
      <c r="AS2733" s="121"/>
      <c r="AT2733" s="120"/>
      <c r="AU2733" s="121"/>
      <c r="AV2733" s="120"/>
      <c r="AW2733" s="121"/>
      <c r="AX2733" s="120"/>
      <c r="AY2733" s="121"/>
      <c r="AZ2733" s="138"/>
    </row>
    <row r="2734" spans="1:52" ht="17.100000000000001" customHeight="1" thickTop="1">
      <c r="A2734" s="109" t="s">
        <v>8972</v>
      </c>
      <c r="B2734" s="28">
        <v>45951</v>
      </c>
      <c r="C2734" s="25">
        <v>912</v>
      </c>
      <c r="D2734" s="13" t="s">
        <v>3749</v>
      </c>
      <c r="E2734" s="111"/>
      <c r="F2734" s="113" t="s">
        <v>4251</v>
      </c>
      <c r="G2734" s="114"/>
      <c r="H2734" s="115"/>
      <c r="I2734" s="24"/>
      <c r="J2734" s="116">
        <v>3.5</v>
      </c>
      <c r="K2734" s="118">
        <v>436000</v>
      </c>
      <c r="L2734" s="119"/>
      <c r="M2734" s="118">
        <f t="shared" ref="M2734" si="1476">K2734*0.1</f>
        <v>43600</v>
      </c>
      <c r="N2734" s="119"/>
      <c r="O2734" s="118">
        <v>0</v>
      </c>
      <c r="P2734" s="119"/>
      <c r="Q2734" s="118">
        <v>9790</v>
      </c>
      <c r="R2734" s="119"/>
      <c r="S2734" s="118">
        <v>15950</v>
      </c>
      <c r="T2734" s="119"/>
      <c r="U2734" s="118">
        <f t="shared" ref="U2734" si="1477">SUM(K2734:T2735)</f>
        <v>505340</v>
      </c>
      <c r="V2734" s="122"/>
      <c r="W2734" s="124"/>
      <c r="X2734" s="126" t="s">
        <v>9341</v>
      </c>
      <c r="Y2734" s="127"/>
      <c r="Z2734" s="127"/>
      <c r="AA2734" s="127"/>
      <c r="AB2734" s="128"/>
      <c r="AC2734" s="15" t="s">
        <v>20</v>
      </c>
      <c r="AD2734" s="129"/>
      <c r="AE2734" s="130"/>
      <c r="AF2734" s="130"/>
      <c r="AG2734" s="130"/>
      <c r="AH2734" s="130"/>
      <c r="AI2734" s="131"/>
      <c r="AJ2734" s="132"/>
      <c r="AK2734" s="127"/>
      <c r="AL2734" s="128"/>
      <c r="AM2734" s="21"/>
      <c r="AN2734" s="133">
        <v>45955</v>
      </c>
      <c r="AO2734" s="134"/>
      <c r="AP2734" s="135">
        <v>1273</v>
      </c>
      <c r="AQ2734" s="136"/>
      <c r="AR2734" s="118">
        <v>495000</v>
      </c>
      <c r="AS2734" s="119"/>
      <c r="AT2734" s="118">
        <f t="shared" ref="AT2734" si="1478">AR2734*0.1</f>
        <v>49500</v>
      </c>
      <c r="AU2734" s="119"/>
      <c r="AV2734" s="118">
        <v>9790</v>
      </c>
      <c r="AW2734" s="119"/>
      <c r="AX2734" s="118">
        <f t="shared" ref="AX2734" si="1479">SUM(AR2734:AW2734)</f>
        <v>554290</v>
      </c>
      <c r="AY2734" s="119"/>
      <c r="AZ2734" s="137">
        <v>45960</v>
      </c>
    </row>
    <row r="2735" spans="1:52" ht="17.100000000000001" customHeight="1" thickBot="1">
      <c r="A2735" s="110"/>
      <c r="B2735" s="27" t="s">
        <v>2699</v>
      </c>
      <c r="C2735" s="27">
        <v>7168</v>
      </c>
      <c r="D2735" s="14" t="s">
        <v>2601</v>
      </c>
      <c r="E2735" s="112"/>
      <c r="F2735" s="139" t="s">
        <v>8937</v>
      </c>
      <c r="G2735" s="140"/>
      <c r="H2735" s="141"/>
      <c r="I2735" s="26">
        <v>53256</v>
      </c>
      <c r="J2735" s="117"/>
      <c r="K2735" s="120"/>
      <c r="L2735" s="121"/>
      <c r="M2735" s="120"/>
      <c r="N2735" s="121"/>
      <c r="O2735" s="120"/>
      <c r="P2735" s="121"/>
      <c r="Q2735" s="120"/>
      <c r="R2735" s="121"/>
      <c r="S2735" s="120"/>
      <c r="T2735" s="121"/>
      <c r="U2735" s="120"/>
      <c r="V2735" s="123"/>
      <c r="W2735" s="125"/>
      <c r="X2735" s="142" t="s">
        <v>8690</v>
      </c>
      <c r="Y2735" s="143"/>
      <c r="Z2735" s="143"/>
      <c r="AA2735" s="143"/>
      <c r="AB2735" s="144"/>
      <c r="AC2735" s="16" t="s">
        <v>21</v>
      </c>
      <c r="AD2735" s="17" t="s">
        <v>9274</v>
      </c>
      <c r="AE2735" s="145"/>
      <c r="AF2735" s="146"/>
      <c r="AG2735" s="146"/>
      <c r="AH2735" s="146"/>
      <c r="AI2735" s="147"/>
      <c r="AJ2735" s="148"/>
      <c r="AK2735" s="143"/>
      <c r="AL2735" s="144"/>
      <c r="AM2735" s="22"/>
      <c r="AN2735" s="149" t="s">
        <v>2511</v>
      </c>
      <c r="AO2735" s="144"/>
      <c r="AP2735" s="148">
        <v>60504</v>
      </c>
      <c r="AQ2735" s="144"/>
      <c r="AR2735" s="120"/>
      <c r="AS2735" s="121"/>
      <c r="AT2735" s="120"/>
      <c r="AU2735" s="121"/>
      <c r="AV2735" s="120"/>
      <c r="AW2735" s="121"/>
      <c r="AX2735" s="120"/>
      <c r="AY2735" s="121"/>
      <c r="AZ2735" s="138"/>
    </row>
    <row r="2736" spans="1:52" ht="17.100000000000001" customHeight="1" thickTop="1">
      <c r="A2736" s="109" t="s">
        <v>8973</v>
      </c>
      <c r="B2736" s="28">
        <v>45951</v>
      </c>
      <c r="C2736" s="25">
        <v>1213</v>
      </c>
      <c r="D2736" s="13" t="s">
        <v>2970</v>
      </c>
      <c r="E2736" s="111"/>
      <c r="F2736" s="113" t="s">
        <v>8946</v>
      </c>
      <c r="G2736" s="114"/>
      <c r="H2736" s="115"/>
      <c r="I2736" s="24" t="s">
        <v>4109</v>
      </c>
      <c r="J2736" s="116">
        <v>4</v>
      </c>
      <c r="K2736" s="118">
        <v>1725000</v>
      </c>
      <c r="L2736" s="119"/>
      <c r="M2736" s="118">
        <f t="shared" ref="M2736" si="1480">K2736*0.1</f>
        <v>172500</v>
      </c>
      <c r="N2736" s="119"/>
      <c r="O2736" s="118">
        <v>16500</v>
      </c>
      <c r="P2736" s="119"/>
      <c r="Q2736" s="118">
        <v>13450</v>
      </c>
      <c r="R2736" s="119"/>
      <c r="S2736" s="118">
        <v>15950</v>
      </c>
      <c r="T2736" s="119"/>
      <c r="U2736" s="118">
        <f t="shared" ref="U2736" si="1481">SUM(K2736:T2737)</f>
        <v>1943400</v>
      </c>
      <c r="V2736" s="122"/>
      <c r="W2736" s="124"/>
      <c r="X2736" s="126" t="s">
        <v>8948</v>
      </c>
      <c r="Y2736" s="127"/>
      <c r="Z2736" s="127"/>
      <c r="AA2736" s="127"/>
      <c r="AB2736" s="128"/>
      <c r="AC2736" s="15" t="s">
        <v>20</v>
      </c>
      <c r="AD2736" s="129" t="s">
        <v>1670</v>
      </c>
      <c r="AE2736" s="130"/>
      <c r="AF2736" s="130"/>
      <c r="AG2736" s="130"/>
      <c r="AH2736" s="130"/>
      <c r="AI2736" s="131"/>
      <c r="AJ2736" s="132"/>
      <c r="AK2736" s="127"/>
      <c r="AL2736" s="128"/>
      <c r="AM2736" s="21"/>
      <c r="AN2736" s="133">
        <v>45962</v>
      </c>
      <c r="AO2736" s="134"/>
      <c r="AP2736" s="135">
        <v>1274</v>
      </c>
      <c r="AQ2736" s="136"/>
      <c r="AR2736" s="118">
        <v>1835000</v>
      </c>
      <c r="AS2736" s="119"/>
      <c r="AT2736" s="118">
        <f t="shared" ref="AT2736" si="1482">AR2736*0.1</f>
        <v>183500</v>
      </c>
      <c r="AU2736" s="119"/>
      <c r="AV2736" s="118">
        <v>13450</v>
      </c>
      <c r="AW2736" s="119"/>
      <c r="AX2736" s="118">
        <f t="shared" ref="AX2736" si="1483">SUM(AR2736:AW2736)</f>
        <v>2031950</v>
      </c>
      <c r="AY2736" s="119"/>
      <c r="AZ2736" s="137">
        <v>45965</v>
      </c>
    </row>
    <row r="2737" spans="1:52" ht="17.100000000000001" customHeight="1" thickBot="1">
      <c r="A2737" s="110"/>
      <c r="B2737" s="27" t="s">
        <v>2379</v>
      </c>
      <c r="C2737" s="27">
        <v>5030</v>
      </c>
      <c r="D2737" s="14" t="s">
        <v>904</v>
      </c>
      <c r="E2737" s="112"/>
      <c r="F2737" s="139" t="s">
        <v>8947</v>
      </c>
      <c r="G2737" s="140"/>
      <c r="H2737" s="141"/>
      <c r="I2737" s="26">
        <v>52332</v>
      </c>
      <c r="J2737" s="117"/>
      <c r="K2737" s="120"/>
      <c r="L2737" s="121"/>
      <c r="M2737" s="120"/>
      <c r="N2737" s="121"/>
      <c r="O2737" s="120"/>
      <c r="P2737" s="121"/>
      <c r="Q2737" s="120"/>
      <c r="R2737" s="121"/>
      <c r="S2737" s="120"/>
      <c r="T2737" s="121"/>
      <c r="U2737" s="120"/>
      <c r="V2737" s="123"/>
      <c r="W2737" s="125"/>
      <c r="X2737" s="142" t="s">
        <v>4641</v>
      </c>
      <c r="Y2737" s="143"/>
      <c r="Z2737" s="143"/>
      <c r="AA2737" s="143"/>
      <c r="AB2737" s="144"/>
      <c r="AC2737" s="16" t="s">
        <v>21</v>
      </c>
      <c r="AD2737" s="17" t="s">
        <v>9662</v>
      </c>
      <c r="AE2737" s="145" t="s">
        <v>1742</v>
      </c>
      <c r="AF2737" s="146"/>
      <c r="AG2737" s="146"/>
      <c r="AH2737" s="146"/>
      <c r="AI2737" s="147"/>
      <c r="AJ2737" s="148"/>
      <c r="AK2737" s="143"/>
      <c r="AL2737" s="144"/>
      <c r="AM2737" s="22"/>
      <c r="AN2737" s="149" t="s">
        <v>2511</v>
      </c>
      <c r="AO2737" s="144"/>
      <c r="AP2737" s="148">
        <v>80009</v>
      </c>
      <c r="AQ2737" s="144"/>
      <c r="AR2737" s="120"/>
      <c r="AS2737" s="121"/>
      <c r="AT2737" s="120"/>
      <c r="AU2737" s="121"/>
      <c r="AV2737" s="120"/>
      <c r="AW2737" s="121"/>
      <c r="AX2737" s="120"/>
      <c r="AY2737" s="121"/>
      <c r="AZ2737" s="138"/>
    </row>
    <row r="2738" spans="1:52" ht="17.100000000000001" customHeight="1" thickTop="1">
      <c r="A2738" s="109" t="s">
        <v>8975</v>
      </c>
      <c r="B2738" s="28">
        <v>45951</v>
      </c>
      <c r="C2738" s="25">
        <v>1049</v>
      </c>
      <c r="D2738" s="13" t="s">
        <v>1623</v>
      </c>
      <c r="E2738" s="111"/>
      <c r="F2738" s="113" t="s">
        <v>8979</v>
      </c>
      <c r="G2738" s="114"/>
      <c r="H2738" s="115"/>
      <c r="I2738" s="24"/>
      <c r="J2738" s="116">
        <v>4</v>
      </c>
      <c r="K2738" s="118">
        <v>216000</v>
      </c>
      <c r="L2738" s="119"/>
      <c r="M2738" s="118">
        <f t="shared" ref="M2738" si="1484">K2738*0.1</f>
        <v>21600</v>
      </c>
      <c r="N2738" s="119"/>
      <c r="O2738" s="118">
        <v>0</v>
      </c>
      <c r="P2738" s="119"/>
      <c r="Q2738" s="118">
        <v>8490</v>
      </c>
      <c r="R2738" s="119"/>
      <c r="S2738" s="118">
        <v>16500</v>
      </c>
      <c r="T2738" s="119"/>
      <c r="U2738" s="118">
        <f t="shared" ref="U2738" si="1485">SUM(K2738:T2739)</f>
        <v>262590</v>
      </c>
      <c r="V2738" s="122"/>
      <c r="W2738" s="124"/>
      <c r="X2738" s="126" t="s">
        <v>9522</v>
      </c>
      <c r="Y2738" s="127"/>
      <c r="Z2738" s="127"/>
      <c r="AA2738" s="127"/>
      <c r="AB2738" s="128"/>
      <c r="AC2738" s="15" t="s">
        <v>20</v>
      </c>
      <c r="AD2738" s="129"/>
      <c r="AE2738" s="130"/>
      <c r="AF2738" s="130"/>
      <c r="AG2738" s="130"/>
      <c r="AH2738" s="130"/>
      <c r="AI2738" s="131"/>
      <c r="AJ2738" s="132"/>
      <c r="AK2738" s="127"/>
      <c r="AL2738" s="128"/>
      <c r="AM2738" s="21"/>
      <c r="AN2738" s="133">
        <v>45955</v>
      </c>
      <c r="AO2738" s="134"/>
      <c r="AP2738" s="135">
        <v>1273</v>
      </c>
      <c r="AQ2738" s="136"/>
      <c r="AR2738" s="118">
        <v>276000</v>
      </c>
      <c r="AS2738" s="119"/>
      <c r="AT2738" s="118">
        <f t="shared" ref="AT2738" si="1486">AR2738*0.1</f>
        <v>27600</v>
      </c>
      <c r="AU2738" s="119"/>
      <c r="AV2738" s="118">
        <v>8490</v>
      </c>
      <c r="AW2738" s="119"/>
      <c r="AX2738" s="118">
        <f t="shared" ref="AX2738" si="1487">SUM(AR2738:AW2738)</f>
        <v>312090</v>
      </c>
      <c r="AY2738" s="119"/>
      <c r="AZ2738" s="137">
        <v>45960</v>
      </c>
    </row>
    <row r="2739" spans="1:52" ht="17.100000000000001" customHeight="1" thickBot="1">
      <c r="A2739" s="110"/>
      <c r="B2739" s="27" t="s">
        <v>8974</v>
      </c>
      <c r="C2739" s="27">
        <v>92</v>
      </c>
      <c r="D2739" s="14" t="s">
        <v>1576</v>
      </c>
      <c r="E2739" s="112"/>
      <c r="F2739" s="139" t="s">
        <v>8980</v>
      </c>
      <c r="G2739" s="140"/>
      <c r="H2739" s="141"/>
      <c r="I2739" s="26">
        <v>19455</v>
      </c>
      <c r="J2739" s="117"/>
      <c r="K2739" s="120"/>
      <c r="L2739" s="121"/>
      <c r="M2739" s="120"/>
      <c r="N2739" s="121"/>
      <c r="O2739" s="120"/>
      <c r="P2739" s="121"/>
      <c r="Q2739" s="120"/>
      <c r="R2739" s="121"/>
      <c r="S2739" s="120"/>
      <c r="T2739" s="121"/>
      <c r="U2739" s="120"/>
      <c r="V2739" s="123"/>
      <c r="W2739" s="125"/>
      <c r="X2739" s="142" t="s">
        <v>9523</v>
      </c>
      <c r="Y2739" s="143"/>
      <c r="Z2739" s="143"/>
      <c r="AA2739" s="143"/>
      <c r="AB2739" s="144"/>
      <c r="AC2739" s="16" t="s">
        <v>21</v>
      </c>
      <c r="AD2739" s="17" t="s">
        <v>1674</v>
      </c>
      <c r="AE2739" s="145"/>
      <c r="AF2739" s="146"/>
      <c r="AG2739" s="146"/>
      <c r="AH2739" s="146"/>
      <c r="AI2739" s="147"/>
      <c r="AJ2739" s="148"/>
      <c r="AK2739" s="143"/>
      <c r="AL2739" s="144"/>
      <c r="AM2739" s="22"/>
      <c r="AN2739" s="149" t="s">
        <v>2511</v>
      </c>
      <c r="AO2739" s="144"/>
      <c r="AP2739" s="148">
        <v>63203</v>
      </c>
      <c r="AQ2739" s="144"/>
      <c r="AR2739" s="120"/>
      <c r="AS2739" s="121"/>
      <c r="AT2739" s="120"/>
      <c r="AU2739" s="121"/>
      <c r="AV2739" s="120"/>
      <c r="AW2739" s="121"/>
      <c r="AX2739" s="120"/>
      <c r="AY2739" s="121"/>
      <c r="AZ2739" s="138"/>
    </row>
    <row r="2740" spans="1:52" ht="17.100000000000001" customHeight="1" thickTop="1">
      <c r="A2740" s="109" t="s">
        <v>8976</v>
      </c>
      <c r="B2740" s="28">
        <v>45951</v>
      </c>
      <c r="C2740" s="25">
        <v>1049</v>
      </c>
      <c r="D2740" s="13" t="s">
        <v>2477</v>
      </c>
      <c r="E2740" s="111"/>
      <c r="F2740" s="113" t="s">
        <v>8981</v>
      </c>
      <c r="G2740" s="114"/>
      <c r="H2740" s="115"/>
      <c r="I2740" s="24" t="s">
        <v>2152</v>
      </c>
      <c r="J2740" s="116">
        <v>5</v>
      </c>
      <c r="K2740" s="118">
        <v>1356000</v>
      </c>
      <c r="L2740" s="119"/>
      <c r="M2740" s="118">
        <f t="shared" ref="M2740" si="1488">K2740*0.1</f>
        <v>135600</v>
      </c>
      <c r="N2740" s="119"/>
      <c r="O2740" s="118">
        <v>0</v>
      </c>
      <c r="P2740" s="119"/>
      <c r="Q2740" s="118">
        <v>6470</v>
      </c>
      <c r="R2740" s="119"/>
      <c r="S2740" s="118">
        <v>16500</v>
      </c>
      <c r="T2740" s="119"/>
      <c r="U2740" s="118">
        <f t="shared" ref="U2740" si="1489">SUM(K2740:T2741)</f>
        <v>1514570</v>
      </c>
      <c r="V2740" s="122"/>
      <c r="W2740" s="124"/>
      <c r="X2740" s="126" t="s">
        <v>9544</v>
      </c>
      <c r="Y2740" s="127"/>
      <c r="Z2740" s="127"/>
      <c r="AA2740" s="127"/>
      <c r="AB2740" s="128"/>
      <c r="AC2740" s="15" t="s">
        <v>20</v>
      </c>
      <c r="AD2740" s="129" t="s">
        <v>5325</v>
      </c>
      <c r="AE2740" s="130"/>
      <c r="AF2740" s="130"/>
      <c r="AG2740" s="130"/>
      <c r="AH2740" s="130"/>
      <c r="AI2740" s="131"/>
      <c r="AJ2740" s="132"/>
      <c r="AK2740" s="127"/>
      <c r="AL2740" s="128"/>
      <c r="AM2740" s="21"/>
      <c r="AN2740" s="133">
        <v>45958</v>
      </c>
      <c r="AO2740" s="134"/>
      <c r="AP2740" s="135">
        <v>1915</v>
      </c>
      <c r="AQ2740" s="136"/>
      <c r="AR2740" s="118">
        <v>1376000</v>
      </c>
      <c r="AS2740" s="119"/>
      <c r="AT2740" s="118">
        <f t="shared" ref="AT2740" si="1490">AR2740*0.1</f>
        <v>137600</v>
      </c>
      <c r="AU2740" s="119"/>
      <c r="AV2740" s="118">
        <v>6470</v>
      </c>
      <c r="AW2740" s="119"/>
      <c r="AX2740" s="118">
        <f t="shared" ref="AX2740" si="1491">SUM(AR2740:AW2740)</f>
        <v>1520070</v>
      </c>
      <c r="AY2740" s="119"/>
      <c r="AZ2740" s="137">
        <v>45965</v>
      </c>
    </row>
    <row r="2741" spans="1:52" ht="17.100000000000001" customHeight="1" thickBot="1">
      <c r="A2741" s="110"/>
      <c r="B2741" s="27" t="s">
        <v>8974</v>
      </c>
      <c r="C2741" s="27">
        <v>112</v>
      </c>
      <c r="D2741" s="14" t="s">
        <v>2601</v>
      </c>
      <c r="E2741" s="112"/>
      <c r="F2741" s="139" t="s">
        <v>8982</v>
      </c>
      <c r="G2741" s="140"/>
      <c r="H2741" s="141"/>
      <c r="I2741" s="26">
        <v>1369</v>
      </c>
      <c r="J2741" s="117"/>
      <c r="K2741" s="120"/>
      <c r="L2741" s="121"/>
      <c r="M2741" s="120"/>
      <c r="N2741" s="121"/>
      <c r="O2741" s="120"/>
      <c r="P2741" s="121"/>
      <c r="Q2741" s="120"/>
      <c r="R2741" s="121"/>
      <c r="S2741" s="120"/>
      <c r="T2741" s="121"/>
      <c r="U2741" s="120"/>
      <c r="V2741" s="123"/>
      <c r="W2741" s="125"/>
      <c r="X2741" s="142" t="s">
        <v>9545</v>
      </c>
      <c r="Y2741" s="143"/>
      <c r="Z2741" s="143"/>
      <c r="AA2741" s="143"/>
      <c r="AB2741" s="144"/>
      <c r="AC2741" s="16" t="s">
        <v>21</v>
      </c>
      <c r="AD2741" s="17" t="s">
        <v>1674</v>
      </c>
      <c r="AE2741" s="145" t="s">
        <v>9546</v>
      </c>
      <c r="AF2741" s="146"/>
      <c r="AG2741" s="146"/>
      <c r="AH2741" s="146"/>
      <c r="AI2741" s="147"/>
      <c r="AJ2741" s="148"/>
      <c r="AK2741" s="143"/>
      <c r="AL2741" s="144"/>
      <c r="AM2741" s="22"/>
      <c r="AN2741" s="149" t="s">
        <v>2131</v>
      </c>
      <c r="AO2741" s="144"/>
      <c r="AP2741" s="148">
        <v>3251</v>
      </c>
      <c r="AQ2741" s="144"/>
      <c r="AR2741" s="120"/>
      <c r="AS2741" s="121"/>
      <c r="AT2741" s="120"/>
      <c r="AU2741" s="121"/>
      <c r="AV2741" s="120"/>
      <c r="AW2741" s="121"/>
      <c r="AX2741" s="120"/>
      <c r="AY2741" s="121"/>
      <c r="AZ2741" s="138"/>
    </row>
    <row r="2742" spans="1:52" ht="17.100000000000001" customHeight="1" thickTop="1">
      <c r="A2742" s="109" t="s">
        <v>8977</v>
      </c>
      <c r="B2742" s="28">
        <v>45951</v>
      </c>
      <c r="C2742" s="25">
        <v>1049</v>
      </c>
      <c r="D2742" s="13" t="s">
        <v>5520</v>
      </c>
      <c r="E2742" s="111"/>
      <c r="F2742" s="113" t="s">
        <v>8983</v>
      </c>
      <c r="G2742" s="114"/>
      <c r="H2742" s="115"/>
      <c r="I2742" s="24" t="s">
        <v>9029</v>
      </c>
      <c r="J2742" s="116">
        <v>4</v>
      </c>
      <c r="K2742" s="118">
        <v>300000</v>
      </c>
      <c r="L2742" s="119"/>
      <c r="M2742" s="118">
        <f t="shared" ref="M2742" si="1492">K2742*0.1</f>
        <v>30000</v>
      </c>
      <c r="N2742" s="119"/>
      <c r="O2742" s="118">
        <v>0</v>
      </c>
      <c r="P2742" s="119"/>
      <c r="Q2742" s="118">
        <v>9170</v>
      </c>
      <c r="R2742" s="119"/>
      <c r="S2742" s="118">
        <v>16500</v>
      </c>
      <c r="T2742" s="119"/>
      <c r="U2742" s="118">
        <f t="shared" ref="U2742" si="1493">SUM(K2742:T2743)</f>
        <v>355670</v>
      </c>
      <c r="V2742" s="122"/>
      <c r="W2742" s="124"/>
      <c r="X2742" s="126" t="s">
        <v>9030</v>
      </c>
      <c r="Y2742" s="127"/>
      <c r="Z2742" s="127"/>
      <c r="AA2742" s="127"/>
      <c r="AB2742" s="128"/>
      <c r="AC2742" s="15" t="s">
        <v>20</v>
      </c>
      <c r="AD2742" s="129" t="s">
        <v>1690</v>
      </c>
      <c r="AE2742" s="130"/>
      <c r="AF2742" s="130"/>
      <c r="AG2742" s="130"/>
      <c r="AH2742" s="130"/>
      <c r="AI2742" s="131"/>
      <c r="AJ2742" s="132"/>
      <c r="AK2742" s="127"/>
      <c r="AL2742" s="128"/>
      <c r="AM2742" s="21"/>
      <c r="AN2742" s="133">
        <v>46046</v>
      </c>
      <c r="AO2742" s="134"/>
      <c r="AP2742" s="135">
        <v>1285</v>
      </c>
      <c r="AQ2742" s="136"/>
      <c r="AR2742" s="118">
        <v>265000</v>
      </c>
      <c r="AS2742" s="119"/>
      <c r="AT2742" s="118">
        <f t="shared" ref="AT2742" si="1494">AR2742*0.1</f>
        <v>26500</v>
      </c>
      <c r="AU2742" s="119"/>
      <c r="AV2742" s="118">
        <v>9170</v>
      </c>
      <c r="AW2742" s="119"/>
      <c r="AX2742" s="118">
        <f t="shared" ref="AX2742" si="1495">SUM(AR2742:AW2742)</f>
        <v>300670</v>
      </c>
      <c r="AY2742" s="119"/>
      <c r="AZ2742" s="137">
        <v>46049</v>
      </c>
    </row>
    <row r="2743" spans="1:52" ht="17.100000000000001" customHeight="1" thickBot="1">
      <c r="A2743" s="110"/>
      <c r="B2743" s="27" t="s">
        <v>8974</v>
      </c>
      <c r="C2743" s="27">
        <v>127</v>
      </c>
      <c r="D2743" s="14" t="s">
        <v>1576</v>
      </c>
      <c r="E2743" s="112"/>
      <c r="F2743" s="139" t="s">
        <v>8984</v>
      </c>
      <c r="G2743" s="140"/>
      <c r="H2743" s="141"/>
      <c r="I2743" s="26">
        <v>51655</v>
      </c>
      <c r="J2743" s="117"/>
      <c r="K2743" s="120"/>
      <c r="L2743" s="121"/>
      <c r="M2743" s="120"/>
      <c r="N2743" s="121"/>
      <c r="O2743" s="120"/>
      <c r="P2743" s="121"/>
      <c r="Q2743" s="120"/>
      <c r="R2743" s="121"/>
      <c r="S2743" s="120"/>
      <c r="T2743" s="121"/>
      <c r="U2743" s="120"/>
      <c r="V2743" s="123"/>
      <c r="W2743" s="125"/>
      <c r="X2743" s="142" t="s">
        <v>9408</v>
      </c>
      <c r="Y2743" s="143"/>
      <c r="Z2743" s="143"/>
      <c r="AA2743" s="143"/>
      <c r="AB2743" s="144"/>
      <c r="AC2743" s="16" t="s">
        <v>21</v>
      </c>
      <c r="AD2743" s="17" t="s">
        <v>3341</v>
      </c>
      <c r="AE2743" s="145" t="s">
        <v>9409</v>
      </c>
      <c r="AF2743" s="146"/>
      <c r="AG2743" s="146"/>
      <c r="AH2743" s="146"/>
      <c r="AI2743" s="147"/>
      <c r="AJ2743" s="148"/>
      <c r="AK2743" s="143"/>
      <c r="AL2743" s="144"/>
      <c r="AM2743" s="22"/>
      <c r="AN2743" s="149" t="s">
        <v>2511</v>
      </c>
      <c r="AO2743" s="144"/>
      <c r="AP2743" s="148">
        <v>60147</v>
      </c>
      <c r="AQ2743" s="144"/>
      <c r="AR2743" s="120"/>
      <c r="AS2743" s="121"/>
      <c r="AT2743" s="120"/>
      <c r="AU2743" s="121"/>
      <c r="AV2743" s="120"/>
      <c r="AW2743" s="121"/>
      <c r="AX2743" s="120"/>
      <c r="AY2743" s="121"/>
      <c r="AZ2743" s="138"/>
    </row>
    <row r="2744" spans="1:52" ht="17.100000000000001" customHeight="1" thickTop="1">
      <c r="A2744" s="151" t="s">
        <v>8978</v>
      </c>
      <c r="B2744" s="28">
        <v>45951</v>
      </c>
      <c r="C2744" s="25">
        <v>1049</v>
      </c>
      <c r="D2744" s="13" t="s">
        <v>1712</v>
      </c>
      <c r="E2744" s="111"/>
      <c r="F2744" s="113" t="s">
        <v>3908</v>
      </c>
      <c r="G2744" s="114"/>
      <c r="H2744" s="115"/>
      <c r="I2744" s="24"/>
      <c r="J2744" s="116">
        <v>4.5</v>
      </c>
      <c r="K2744" s="118">
        <v>546000</v>
      </c>
      <c r="L2744" s="119"/>
      <c r="M2744" s="118">
        <f t="shared" ref="M2744" si="1496">K2744*0.1</f>
        <v>54600</v>
      </c>
      <c r="N2744" s="119"/>
      <c r="O2744" s="118">
        <v>0</v>
      </c>
      <c r="P2744" s="119"/>
      <c r="Q2744" s="118">
        <v>7950</v>
      </c>
      <c r="R2744" s="119"/>
      <c r="S2744" s="118">
        <v>16500</v>
      </c>
      <c r="T2744" s="119"/>
      <c r="U2744" s="118">
        <f t="shared" ref="U2744" si="1497">SUM(K2744:T2745)</f>
        <v>625050</v>
      </c>
      <c r="V2744" s="122"/>
      <c r="W2744" s="124"/>
      <c r="X2744" s="126" t="s">
        <v>9365</v>
      </c>
      <c r="Y2744" s="127"/>
      <c r="Z2744" s="127"/>
      <c r="AA2744" s="127"/>
      <c r="AB2744" s="128"/>
      <c r="AC2744" s="15" t="s">
        <v>20</v>
      </c>
      <c r="AD2744" s="129"/>
      <c r="AE2744" s="130"/>
      <c r="AF2744" s="130"/>
      <c r="AG2744" s="130"/>
      <c r="AH2744" s="130"/>
      <c r="AI2744" s="131"/>
      <c r="AJ2744" s="132" t="s">
        <v>8040</v>
      </c>
      <c r="AK2744" s="127"/>
      <c r="AL2744" s="128"/>
      <c r="AM2744" s="21"/>
      <c r="AN2744" s="133"/>
      <c r="AO2744" s="134"/>
      <c r="AP2744" s="135"/>
      <c r="AQ2744" s="136"/>
      <c r="AR2744" s="118"/>
      <c r="AS2744" s="119"/>
      <c r="AT2744" s="118">
        <f t="shared" ref="AT2744" si="1498">AR2744*0.1</f>
        <v>0</v>
      </c>
      <c r="AU2744" s="119"/>
      <c r="AV2744" s="118"/>
      <c r="AW2744" s="119"/>
      <c r="AX2744" s="118">
        <f t="shared" ref="AX2744" si="1499">SUM(AR2744:AW2744)</f>
        <v>0</v>
      </c>
      <c r="AY2744" s="119"/>
      <c r="AZ2744" s="137"/>
    </row>
    <row r="2745" spans="1:52" ht="17.100000000000001" customHeight="1" thickBot="1">
      <c r="A2745" s="152"/>
      <c r="B2745" s="27" t="s">
        <v>8974</v>
      </c>
      <c r="C2745" s="27">
        <v>30065</v>
      </c>
      <c r="D2745" s="14" t="s">
        <v>2800</v>
      </c>
      <c r="E2745" s="112"/>
      <c r="F2745" s="139" t="s">
        <v>8985</v>
      </c>
      <c r="G2745" s="140"/>
      <c r="H2745" s="141"/>
      <c r="I2745" s="26">
        <v>35837</v>
      </c>
      <c r="J2745" s="117"/>
      <c r="K2745" s="120"/>
      <c r="L2745" s="121"/>
      <c r="M2745" s="120"/>
      <c r="N2745" s="121"/>
      <c r="O2745" s="120"/>
      <c r="P2745" s="121"/>
      <c r="Q2745" s="120"/>
      <c r="R2745" s="121"/>
      <c r="S2745" s="120"/>
      <c r="T2745" s="121"/>
      <c r="U2745" s="120"/>
      <c r="V2745" s="123"/>
      <c r="W2745" s="125"/>
      <c r="X2745" s="142" t="s">
        <v>3884</v>
      </c>
      <c r="Y2745" s="143"/>
      <c r="Z2745" s="143"/>
      <c r="AA2745" s="143"/>
      <c r="AB2745" s="144"/>
      <c r="AC2745" s="16" t="s">
        <v>21</v>
      </c>
      <c r="AD2745" s="17" t="s">
        <v>9274</v>
      </c>
      <c r="AE2745" s="145"/>
      <c r="AF2745" s="146"/>
      <c r="AG2745" s="146"/>
      <c r="AH2745" s="146"/>
      <c r="AI2745" s="147"/>
      <c r="AJ2745" s="148" t="s">
        <v>9510</v>
      </c>
      <c r="AK2745" s="143"/>
      <c r="AL2745" s="144"/>
      <c r="AM2745" s="22"/>
      <c r="AN2745" s="149"/>
      <c r="AO2745" s="144"/>
      <c r="AP2745" s="148"/>
      <c r="AQ2745" s="144"/>
      <c r="AR2745" s="120"/>
      <c r="AS2745" s="121"/>
      <c r="AT2745" s="120"/>
      <c r="AU2745" s="121"/>
      <c r="AV2745" s="120"/>
      <c r="AW2745" s="121"/>
      <c r="AX2745" s="120"/>
      <c r="AY2745" s="121"/>
      <c r="AZ2745" s="138"/>
    </row>
    <row r="2746" spans="1:52" ht="17.100000000000001" customHeight="1" thickTop="1">
      <c r="A2746" s="109" t="s">
        <v>8986</v>
      </c>
      <c r="B2746" s="28">
        <v>45951</v>
      </c>
      <c r="C2746" s="25">
        <v>359</v>
      </c>
      <c r="D2746" s="13" t="s">
        <v>2340</v>
      </c>
      <c r="E2746" s="111"/>
      <c r="F2746" s="113" t="s">
        <v>8566</v>
      </c>
      <c r="G2746" s="114"/>
      <c r="H2746" s="115"/>
      <c r="I2746" s="24"/>
      <c r="J2746" s="116">
        <v>4</v>
      </c>
      <c r="K2746" s="118">
        <v>189000</v>
      </c>
      <c r="L2746" s="119"/>
      <c r="M2746" s="118">
        <f t="shared" ref="M2746" si="1500">K2746*0.1</f>
        <v>18900</v>
      </c>
      <c r="N2746" s="119"/>
      <c r="O2746" s="118">
        <v>0</v>
      </c>
      <c r="P2746" s="119"/>
      <c r="Q2746" s="118">
        <v>9030</v>
      </c>
      <c r="R2746" s="119"/>
      <c r="S2746" s="118">
        <v>22000</v>
      </c>
      <c r="T2746" s="119"/>
      <c r="U2746" s="118">
        <f t="shared" ref="U2746" si="1501">SUM(K2746:T2747)</f>
        <v>238930</v>
      </c>
      <c r="V2746" s="122"/>
      <c r="W2746" s="124"/>
      <c r="X2746" s="126" t="s">
        <v>9351</v>
      </c>
      <c r="Y2746" s="127"/>
      <c r="Z2746" s="127"/>
      <c r="AA2746" s="127"/>
      <c r="AB2746" s="128"/>
      <c r="AC2746" s="15" t="s">
        <v>20</v>
      </c>
      <c r="AD2746" s="129" t="s">
        <v>1633</v>
      </c>
      <c r="AE2746" s="130"/>
      <c r="AF2746" s="130"/>
      <c r="AG2746" s="130"/>
      <c r="AH2746" s="130"/>
      <c r="AI2746" s="131"/>
      <c r="AJ2746" s="132"/>
      <c r="AK2746" s="127"/>
      <c r="AL2746" s="128"/>
      <c r="AM2746" s="21"/>
      <c r="AN2746" s="133">
        <v>45969</v>
      </c>
      <c r="AO2746" s="134"/>
      <c r="AP2746" s="135">
        <v>1275</v>
      </c>
      <c r="AQ2746" s="136"/>
      <c r="AR2746" s="118">
        <v>213000</v>
      </c>
      <c r="AS2746" s="119"/>
      <c r="AT2746" s="118">
        <f t="shared" ref="AT2746" si="1502">AR2746*0.1</f>
        <v>21300</v>
      </c>
      <c r="AU2746" s="119"/>
      <c r="AV2746" s="118">
        <v>9030</v>
      </c>
      <c r="AW2746" s="119"/>
      <c r="AX2746" s="118">
        <f t="shared" ref="AX2746" si="1503">SUM(AR2746:AW2746)</f>
        <v>243330</v>
      </c>
      <c r="AY2746" s="119"/>
      <c r="AZ2746" s="137">
        <v>45972</v>
      </c>
    </row>
    <row r="2747" spans="1:52" ht="17.100000000000001" customHeight="1" thickBot="1">
      <c r="A2747" s="110"/>
      <c r="B2747" s="27" t="s">
        <v>8990</v>
      </c>
      <c r="C2747" s="27">
        <v>1124</v>
      </c>
      <c r="D2747" s="14" t="s">
        <v>2601</v>
      </c>
      <c r="E2747" s="112"/>
      <c r="F2747" s="139" t="s">
        <v>8991</v>
      </c>
      <c r="G2747" s="140"/>
      <c r="H2747" s="141"/>
      <c r="I2747" s="26">
        <v>38110</v>
      </c>
      <c r="J2747" s="117"/>
      <c r="K2747" s="120"/>
      <c r="L2747" s="121"/>
      <c r="M2747" s="120"/>
      <c r="N2747" s="121"/>
      <c r="O2747" s="120"/>
      <c r="P2747" s="121"/>
      <c r="Q2747" s="120"/>
      <c r="R2747" s="121"/>
      <c r="S2747" s="120"/>
      <c r="T2747" s="121"/>
      <c r="U2747" s="120"/>
      <c r="V2747" s="123"/>
      <c r="W2747" s="125"/>
      <c r="X2747" s="142" t="s">
        <v>9352</v>
      </c>
      <c r="Y2747" s="143"/>
      <c r="Z2747" s="143"/>
      <c r="AA2747" s="143"/>
      <c r="AB2747" s="144"/>
      <c r="AC2747" s="16" t="s">
        <v>21</v>
      </c>
      <c r="AD2747" s="17" t="s">
        <v>9274</v>
      </c>
      <c r="AE2747" s="158" t="s">
        <v>3624</v>
      </c>
      <c r="AF2747" s="146"/>
      <c r="AG2747" s="146"/>
      <c r="AH2747" s="146"/>
      <c r="AI2747" s="147"/>
      <c r="AJ2747" s="148"/>
      <c r="AK2747" s="143"/>
      <c r="AL2747" s="144"/>
      <c r="AM2747" s="22"/>
      <c r="AN2747" s="149" t="s">
        <v>2511</v>
      </c>
      <c r="AO2747" s="144"/>
      <c r="AP2747" s="148">
        <v>63188</v>
      </c>
      <c r="AQ2747" s="144"/>
      <c r="AR2747" s="120"/>
      <c r="AS2747" s="121"/>
      <c r="AT2747" s="120"/>
      <c r="AU2747" s="121"/>
      <c r="AV2747" s="120"/>
      <c r="AW2747" s="121"/>
      <c r="AX2747" s="120"/>
      <c r="AY2747" s="121"/>
      <c r="AZ2747" s="138"/>
    </row>
    <row r="2748" spans="1:52" ht="17.100000000000001" customHeight="1" thickTop="1">
      <c r="A2748" s="109" t="s">
        <v>8987</v>
      </c>
      <c r="B2748" s="28">
        <v>45951</v>
      </c>
      <c r="C2748" s="25">
        <v>962</v>
      </c>
      <c r="D2748" s="13" t="s">
        <v>2759</v>
      </c>
      <c r="E2748" s="111"/>
      <c r="F2748" s="113" t="s">
        <v>9020</v>
      </c>
      <c r="G2748" s="114"/>
      <c r="H2748" s="115"/>
      <c r="I2748" s="24"/>
      <c r="J2748" s="116">
        <v>3.5</v>
      </c>
      <c r="K2748" s="118">
        <v>1219000</v>
      </c>
      <c r="L2748" s="119"/>
      <c r="M2748" s="118">
        <f t="shared" ref="M2748" si="1504">K2748*0.1</f>
        <v>121900</v>
      </c>
      <c r="N2748" s="119"/>
      <c r="O2748" s="118">
        <v>0</v>
      </c>
      <c r="P2748" s="119"/>
      <c r="Q2748" s="118">
        <v>7440</v>
      </c>
      <c r="R2748" s="119"/>
      <c r="S2748" s="118">
        <v>22000</v>
      </c>
      <c r="T2748" s="119"/>
      <c r="U2748" s="118">
        <f t="shared" ref="U2748" si="1505">SUM(K2748:T2749)</f>
        <v>1370340</v>
      </c>
      <c r="V2748" s="122"/>
      <c r="W2748" s="124"/>
      <c r="X2748" s="126" t="s">
        <v>9694</v>
      </c>
      <c r="Y2748" s="127"/>
      <c r="Z2748" s="127"/>
      <c r="AA2748" s="127"/>
      <c r="AB2748" s="128"/>
      <c r="AC2748" s="15" t="s">
        <v>20</v>
      </c>
      <c r="AD2748" s="129" t="s">
        <v>2054</v>
      </c>
      <c r="AE2748" s="130"/>
      <c r="AF2748" s="130"/>
      <c r="AG2748" s="130"/>
      <c r="AH2748" s="130"/>
      <c r="AI2748" s="131"/>
      <c r="AJ2748" s="132"/>
      <c r="AK2748" s="127"/>
      <c r="AL2748" s="128"/>
      <c r="AM2748" s="21"/>
      <c r="AN2748" s="133">
        <v>45962</v>
      </c>
      <c r="AO2748" s="134"/>
      <c r="AP2748" s="135">
        <v>1274</v>
      </c>
      <c r="AQ2748" s="136"/>
      <c r="AR2748" s="118">
        <v>1305000</v>
      </c>
      <c r="AS2748" s="119"/>
      <c r="AT2748" s="118">
        <f t="shared" ref="AT2748" si="1506">AR2748*0.1</f>
        <v>130500</v>
      </c>
      <c r="AU2748" s="119"/>
      <c r="AV2748" s="118">
        <v>7440</v>
      </c>
      <c r="AW2748" s="119"/>
      <c r="AX2748" s="118">
        <f t="shared" ref="AX2748" si="1507">SUM(AR2748:AW2748)</f>
        <v>1442940</v>
      </c>
      <c r="AY2748" s="119"/>
      <c r="AZ2748" s="137">
        <v>45965</v>
      </c>
    </row>
    <row r="2749" spans="1:52" ht="17.100000000000001" customHeight="1" thickBot="1">
      <c r="A2749" s="110"/>
      <c r="B2749" s="27" t="s">
        <v>2055</v>
      </c>
      <c r="C2749" s="27">
        <v>18</v>
      </c>
      <c r="D2749" s="14" t="s">
        <v>1720</v>
      </c>
      <c r="E2749" s="112"/>
      <c r="F2749" s="139" t="s">
        <v>8996</v>
      </c>
      <c r="G2749" s="140"/>
      <c r="H2749" s="141"/>
      <c r="I2749" s="26">
        <v>34954</v>
      </c>
      <c r="J2749" s="117"/>
      <c r="K2749" s="120"/>
      <c r="L2749" s="121"/>
      <c r="M2749" s="120"/>
      <c r="N2749" s="121"/>
      <c r="O2749" s="120"/>
      <c r="P2749" s="121"/>
      <c r="Q2749" s="120"/>
      <c r="R2749" s="121"/>
      <c r="S2749" s="120"/>
      <c r="T2749" s="121"/>
      <c r="U2749" s="120"/>
      <c r="V2749" s="123"/>
      <c r="W2749" s="125"/>
      <c r="X2749" s="142" t="s">
        <v>2057</v>
      </c>
      <c r="Y2749" s="143"/>
      <c r="Z2749" s="143"/>
      <c r="AA2749" s="143"/>
      <c r="AB2749" s="144"/>
      <c r="AC2749" s="16" t="s">
        <v>21</v>
      </c>
      <c r="AD2749" s="17" t="s">
        <v>9662</v>
      </c>
      <c r="AE2749" s="145" t="s">
        <v>9490</v>
      </c>
      <c r="AF2749" s="146"/>
      <c r="AG2749" s="146"/>
      <c r="AH2749" s="146"/>
      <c r="AI2749" s="147"/>
      <c r="AJ2749" s="148"/>
      <c r="AK2749" s="143"/>
      <c r="AL2749" s="144"/>
      <c r="AM2749" s="22"/>
      <c r="AN2749" s="149" t="s">
        <v>2511</v>
      </c>
      <c r="AO2749" s="144"/>
      <c r="AP2749" s="148">
        <v>40060</v>
      </c>
      <c r="AQ2749" s="144"/>
      <c r="AR2749" s="120"/>
      <c r="AS2749" s="121"/>
      <c r="AT2749" s="120"/>
      <c r="AU2749" s="121"/>
      <c r="AV2749" s="120"/>
      <c r="AW2749" s="121"/>
      <c r="AX2749" s="120"/>
      <c r="AY2749" s="121"/>
      <c r="AZ2749" s="138"/>
    </row>
    <row r="2750" spans="1:52" ht="17.100000000000001" customHeight="1" thickTop="1">
      <c r="A2750" s="109" t="s">
        <v>8988</v>
      </c>
      <c r="B2750" s="28">
        <v>45951</v>
      </c>
      <c r="C2750" s="25">
        <v>962</v>
      </c>
      <c r="D2750" s="13" t="s">
        <v>2759</v>
      </c>
      <c r="E2750" s="111"/>
      <c r="F2750" s="113" t="s">
        <v>9021</v>
      </c>
      <c r="G2750" s="114"/>
      <c r="H2750" s="115"/>
      <c r="I2750" s="24"/>
      <c r="J2750" s="116">
        <v>4</v>
      </c>
      <c r="K2750" s="118">
        <v>439000</v>
      </c>
      <c r="L2750" s="119"/>
      <c r="M2750" s="118">
        <f t="shared" ref="M2750" si="1508">K2750*0.1</f>
        <v>43900</v>
      </c>
      <c r="N2750" s="119"/>
      <c r="O2750" s="118">
        <v>0</v>
      </c>
      <c r="P2750" s="119"/>
      <c r="Q2750" s="118">
        <v>7140</v>
      </c>
      <c r="R2750" s="119"/>
      <c r="S2750" s="118">
        <v>22000</v>
      </c>
      <c r="T2750" s="119"/>
      <c r="U2750" s="118">
        <f t="shared" ref="U2750" si="1509">SUM(K2750:T2751)</f>
        <v>512040</v>
      </c>
      <c r="V2750" s="122"/>
      <c r="W2750" s="124"/>
      <c r="X2750" s="126" t="s">
        <v>9709</v>
      </c>
      <c r="Y2750" s="127"/>
      <c r="Z2750" s="127"/>
      <c r="AA2750" s="127"/>
      <c r="AB2750" s="128"/>
      <c r="AC2750" s="15" t="s">
        <v>20</v>
      </c>
      <c r="AD2750" s="129" t="s">
        <v>2054</v>
      </c>
      <c r="AE2750" s="130"/>
      <c r="AF2750" s="130"/>
      <c r="AG2750" s="130"/>
      <c r="AH2750" s="130"/>
      <c r="AI2750" s="131"/>
      <c r="AJ2750" s="132"/>
      <c r="AK2750" s="127"/>
      <c r="AL2750" s="128"/>
      <c r="AM2750" s="21"/>
      <c r="AN2750" s="133">
        <v>45980</v>
      </c>
      <c r="AO2750" s="134"/>
      <c r="AP2750" s="135">
        <v>993</v>
      </c>
      <c r="AQ2750" s="136"/>
      <c r="AR2750" s="118">
        <v>565000</v>
      </c>
      <c r="AS2750" s="119"/>
      <c r="AT2750" s="118">
        <f t="shared" ref="AT2750" si="1510">AR2750*0.1</f>
        <v>56500</v>
      </c>
      <c r="AU2750" s="119"/>
      <c r="AV2750" s="118">
        <v>7140</v>
      </c>
      <c r="AW2750" s="119"/>
      <c r="AX2750" s="118">
        <f t="shared" ref="AX2750" si="1511">SUM(AR2750:AW2750)</f>
        <v>628640</v>
      </c>
      <c r="AY2750" s="119"/>
      <c r="AZ2750" s="137">
        <v>45986</v>
      </c>
    </row>
    <row r="2751" spans="1:52" ht="17.100000000000001" customHeight="1" thickBot="1">
      <c r="A2751" s="110"/>
      <c r="B2751" s="27" t="s">
        <v>2055</v>
      </c>
      <c r="C2751" s="27">
        <v>71</v>
      </c>
      <c r="D2751" s="14" t="s">
        <v>275</v>
      </c>
      <c r="E2751" s="112"/>
      <c r="F2751" s="139" t="s">
        <v>8997</v>
      </c>
      <c r="G2751" s="140"/>
      <c r="H2751" s="141"/>
      <c r="I2751" s="26">
        <v>27978</v>
      </c>
      <c r="J2751" s="117"/>
      <c r="K2751" s="120"/>
      <c r="L2751" s="121"/>
      <c r="M2751" s="120"/>
      <c r="N2751" s="121"/>
      <c r="O2751" s="120"/>
      <c r="P2751" s="121"/>
      <c r="Q2751" s="120"/>
      <c r="R2751" s="121"/>
      <c r="S2751" s="120"/>
      <c r="T2751" s="121"/>
      <c r="U2751" s="120"/>
      <c r="V2751" s="123"/>
      <c r="W2751" s="125"/>
      <c r="X2751" s="142" t="s">
        <v>2057</v>
      </c>
      <c r="Y2751" s="143"/>
      <c r="Z2751" s="143"/>
      <c r="AA2751" s="143"/>
      <c r="AB2751" s="144"/>
      <c r="AC2751" s="16" t="s">
        <v>21</v>
      </c>
      <c r="AD2751" s="17" t="s">
        <v>9662</v>
      </c>
      <c r="AE2751" s="145" t="s">
        <v>9491</v>
      </c>
      <c r="AF2751" s="146"/>
      <c r="AG2751" s="146"/>
      <c r="AH2751" s="146"/>
      <c r="AI2751" s="147"/>
      <c r="AJ2751" s="148"/>
      <c r="AK2751" s="143"/>
      <c r="AL2751" s="144"/>
      <c r="AM2751" s="22"/>
      <c r="AN2751" s="149" t="s">
        <v>2794</v>
      </c>
      <c r="AO2751" s="144"/>
      <c r="AP2751" s="148">
        <v>2044</v>
      </c>
      <c r="AQ2751" s="144"/>
      <c r="AR2751" s="120"/>
      <c r="AS2751" s="121"/>
      <c r="AT2751" s="120"/>
      <c r="AU2751" s="121"/>
      <c r="AV2751" s="120"/>
      <c r="AW2751" s="121"/>
      <c r="AX2751" s="120"/>
      <c r="AY2751" s="121"/>
      <c r="AZ2751" s="138"/>
    </row>
    <row r="2752" spans="1:52" ht="17.100000000000001" customHeight="1" thickTop="1">
      <c r="A2752" s="109" t="s">
        <v>8989</v>
      </c>
      <c r="B2752" s="28">
        <v>45951</v>
      </c>
      <c r="C2752" s="25">
        <v>962</v>
      </c>
      <c r="D2752" s="13" t="s">
        <v>2363</v>
      </c>
      <c r="E2752" s="111"/>
      <c r="F2752" s="113" t="s">
        <v>9022</v>
      </c>
      <c r="G2752" s="114"/>
      <c r="H2752" s="115"/>
      <c r="I2752" s="24"/>
      <c r="J2752" s="116">
        <v>4</v>
      </c>
      <c r="K2752" s="118">
        <v>1618000</v>
      </c>
      <c r="L2752" s="119"/>
      <c r="M2752" s="118">
        <f t="shared" ref="M2752" si="1512">K2752*0.1</f>
        <v>161800</v>
      </c>
      <c r="N2752" s="119"/>
      <c r="O2752" s="118">
        <v>0</v>
      </c>
      <c r="P2752" s="119"/>
      <c r="Q2752" s="118">
        <v>14200</v>
      </c>
      <c r="R2752" s="119"/>
      <c r="S2752" s="118">
        <v>22000</v>
      </c>
      <c r="T2752" s="119"/>
      <c r="U2752" s="118">
        <f t="shared" ref="U2752" si="1513">SUM(K2752:T2753)</f>
        <v>1816000</v>
      </c>
      <c r="V2752" s="122"/>
      <c r="W2752" s="124"/>
      <c r="X2752" s="126" t="s">
        <v>9708</v>
      </c>
      <c r="Y2752" s="127"/>
      <c r="Z2752" s="127"/>
      <c r="AA2752" s="127"/>
      <c r="AB2752" s="128"/>
      <c r="AC2752" s="15" t="s">
        <v>20</v>
      </c>
      <c r="AD2752" s="129" t="s">
        <v>1670</v>
      </c>
      <c r="AE2752" s="130"/>
      <c r="AF2752" s="130"/>
      <c r="AG2752" s="130"/>
      <c r="AH2752" s="130"/>
      <c r="AI2752" s="131"/>
      <c r="AJ2752" s="132"/>
      <c r="AK2752" s="127"/>
      <c r="AL2752" s="128"/>
      <c r="AM2752" s="21"/>
      <c r="AN2752" s="133">
        <v>45973</v>
      </c>
      <c r="AO2752" s="134"/>
      <c r="AP2752" s="135">
        <v>992</v>
      </c>
      <c r="AQ2752" s="136"/>
      <c r="AR2752" s="118">
        <v>1670000</v>
      </c>
      <c r="AS2752" s="119"/>
      <c r="AT2752" s="118">
        <f t="shared" ref="AT2752" si="1514">AR2752*0.1</f>
        <v>167000</v>
      </c>
      <c r="AU2752" s="119"/>
      <c r="AV2752" s="118">
        <v>14200</v>
      </c>
      <c r="AW2752" s="119"/>
      <c r="AX2752" s="118">
        <f t="shared" ref="AX2752" si="1515">SUM(AR2752:AW2752)</f>
        <v>1851200</v>
      </c>
      <c r="AY2752" s="119"/>
      <c r="AZ2752" s="137">
        <v>45978</v>
      </c>
    </row>
    <row r="2753" spans="1:52" ht="17.100000000000001" customHeight="1" thickBot="1">
      <c r="A2753" s="110"/>
      <c r="B2753" s="27" t="s">
        <v>2055</v>
      </c>
      <c r="C2753" s="27">
        <v>190</v>
      </c>
      <c r="D2753" s="14" t="s">
        <v>133</v>
      </c>
      <c r="E2753" s="112"/>
      <c r="F2753" s="139" t="s">
        <v>8998</v>
      </c>
      <c r="G2753" s="140"/>
      <c r="H2753" s="141"/>
      <c r="I2753" s="26">
        <v>11765</v>
      </c>
      <c r="J2753" s="117"/>
      <c r="K2753" s="120"/>
      <c r="L2753" s="121"/>
      <c r="M2753" s="120"/>
      <c r="N2753" s="121"/>
      <c r="O2753" s="120"/>
      <c r="P2753" s="121"/>
      <c r="Q2753" s="120"/>
      <c r="R2753" s="121"/>
      <c r="S2753" s="120"/>
      <c r="T2753" s="121"/>
      <c r="U2753" s="120"/>
      <c r="V2753" s="123"/>
      <c r="W2753" s="125"/>
      <c r="X2753" s="142" t="s">
        <v>2057</v>
      </c>
      <c r="Y2753" s="143"/>
      <c r="Z2753" s="143"/>
      <c r="AA2753" s="143"/>
      <c r="AB2753" s="144"/>
      <c r="AC2753" s="16" t="s">
        <v>21</v>
      </c>
      <c r="AD2753" s="17" t="s">
        <v>9662</v>
      </c>
      <c r="AE2753" s="145" t="s">
        <v>9056</v>
      </c>
      <c r="AF2753" s="146"/>
      <c r="AG2753" s="146"/>
      <c r="AH2753" s="146"/>
      <c r="AI2753" s="147"/>
      <c r="AJ2753" s="148"/>
      <c r="AK2753" s="143"/>
      <c r="AL2753" s="144"/>
      <c r="AM2753" s="22"/>
      <c r="AN2753" s="149" t="s">
        <v>2794</v>
      </c>
      <c r="AO2753" s="144"/>
      <c r="AP2753" s="148">
        <v>2003</v>
      </c>
      <c r="AQ2753" s="144"/>
      <c r="AR2753" s="120"/>
      <c r="AS2753" s="121"/>
      <c r="AT2753" s="120"/>
      <c r="AU2753" s="121"/>
      <c r="AV2753" s="120"/>
      <c r="AW2753" s="121"/>
      <c r="AX2753" s="120"/>
      <c r="AY2753" s="121"/>
      <c r="AZ2753" s="138"/>
    </row>
    <row r="2754" spans="1:52" ht="17.100000000000001" customHeight="1" thickTop="1">
      <c r="A2754" s="109" t="s">
        <v>8992</v>
      </c>
      <c r="B2754" s="28">
        <v>45951</v>
      </c>
      <c r="C2754" s="25">
        <v>962</v>
      </c>
      <c r="D2754" s="13" t="s">
        <v>2697</v>
      </c>
      <c r="E2754" s="111"/>
      <c r="F2754" s="113" t="s">
        <v>5228</v>
      </c>
      <c r="G2754" s="114"/>
      <c r="H2754" s="115"/>
      <c r="I2754" s="24"/>
      <c r="J2754" s="116">
        <v>4.5</v>
      </c>
      <c r="K2754" s="118">
        <v>1189000</v>
      </c>
      <c r="L2754" s="119"/>
      <c r="M2754" s="118">
        <f t="shared" ref="M2754" si="1516">K2754*0.1</f>
        <v>118900</v>
      </c>
      <c r="N2754" s="119"/>
      <c r="O2754" s="118">
        <v>0</v>
      </c>
      <c r="P2754" s="119"/>
      <c r="Q2754" s="118">
        <v>14200</v>
      </c>
      <c r="R2754" s="119"/>
      <c r="S2754" s="118">
        <v>22000</v>
      </c>
      <c r="T2754" s="119"/>
      <c r="U2754" s="118">
        <f t="shared" ref="U2754" si="1517">SUM(K2754:T2755)</f>
        <v>1344100</v>
      </c>
      <c r="V2754" s="122"/>
      <c r="W2754" s="124"/>
      <c r="X2754" s="126" t="s">
        <v>9707</v>
      </c>
      <c r="Y2754" s="127"/>
      <c r="Z2754" s="127"/>
      <c r="AA2754" s="127"/>
      <c r="AB2754" s="128"/>
      <c r="AC2754" s="15" t="s">
        <v>20</v>
      </c>
      <c r="AD2754" s="129" t="s">
        <v>1670</v>
      </c>
      <c r="AE2754" s="130"/>
      <c r="AF2754" s="130"/>
      <c r="AG2754" s="130"/>
      <c r="AH2754" s="130"/>
      <c r="AI2754" s="131"/>
      <c r="AJ2754" s="132"/>
      <c r="AK2754" s="127"/>
      <c r="AL2754" s="128"/>
      <c r="AM2754" s="21"/>
      <c r="AN2754" s="133">
        <v>45965</v>
      </c>
      <c r="AO2754" s="134"/>
      <c r="AP2754" s="135">
        <v>1916</v>
      </c>
      <c r="AQ2754" s="136"/>
      <c r="AR2754" s="118">
        <v>1255000</v>
      </c>
      <c r="AS2754" s="119"/>
      <c r="AT2754" s="118">
        <f t="shared" ref="AT2754" si="1518">AR2754*0.1</f>
        <v>125500</v>
      </c>
      <c r="AU2754" s="119"/>
      <c r="AV2754" s="118">
        <v>14200</v>
      </c>
      <c r="AW2754" s="119"/>
      <c r="AX2754" s="118">
        <f t="shared" ref="AX2754" si="1519">SUM(AR2754:AW2754)</f>
        <v>1394700</v>
      </c>
      <c r="AY2754" s="119"/>
      <c r="AZ2754" s="137">
        <v>45971</v>
      </c>
    </row>
    <row r="2755" spans="1:52" ht="17.100000000000001" customHeight="1" thickBot="1">
      <c r="A2755" s="110"/>
      <c r="B2755" s="27" t="s">
        <v>2055</v>
      </c>
      <c r="C2755" s="27">
        <v>1016</v>
      </c>
      <c r="D2755" s="14" t="s">
        <v>1720</v>
      </c>
      <c r="E2755" s="112"/>
      <c r="F2755" s="139" t="s">
        <v>8999</v>
      </c>
      <c r="G2755" s="140"/>
      <c r="H2755" s="141"/>
      <c r="I2755" s="26">
        <v>18479</v>
      </c>
      <c r="J2755" s="117"/>
      <c r="K2755" s="120"/>
      <c r="L2755" s="121"/>
      <c r="M2755" s="120"/>
      <c r="N2755" s="121"/>
      <c r="O2755" s="120"/>
      <c r="P2755" s="121"/>
      <c r="Q2755" s="120"/>
      <c r="R2755" s="121"/>
      <c r="S2755" s="120"/>
      <c r="T2755" s="121"/>
      <c r="U2755" s="120"/>
      <c r="V2755" s="123"/>
      <c r="W2755" s="125"/>
      <c r="X2755" s="142" t="s">
        <v>2057</v>
      </c>
      <c r="Y2755" s="143"/>
      <c r="Z2755" s="143"/>
      <c r="AA2755" s="143"/>
      <c r="AB2755" s="144"/>
      <c r="AC2755" s="16" t="s">
        <v>21</v>
      </c>
      <c r="AD2755" s="17" t="s">
        <v>9662</v>
      </c>
      <c r="AE2755" s="145" t="s">
        <v>9463</v>
      </c>
      <c r="AF2755" s="146"/>
      <c r="AG2755" s="146"/>
      <c r="AH2755" s="146"/>
      <c r="AI2755" s="147"/>
      <c r="AJ2755" s="148"/>
      <c r="AK2755" s="143"/>
      <c r="AL2755" s="144"/>
      <c r="AM2755" s="22"/>
      <c r="AN2755" s="149" t="s">
        <v>2131</v>
      </c>
      <c r="AO2755" s="144"/>
      <c r="AP2755" s="148">
        <v>3149</v>
      </c>
      <c r="AQ2755" s="144"/>
      <c r="AR2755" s="120"/>
      <c r="AS2755" s="121"/>
      <c r="AT2755" s="120"/>
      <c r="AU2755" s="121"/>
      <c r="AV2755" s="120"/>
      <c r="AW2755" s="121"/>
      <c r="AX2755" s="120"/>
      <c r="AY2755" s="121"/>
      <c r="AZ2755" s="138"/>
    </row>
    <row r="2756" spans="1:52" ht="17.100000000000001" customHeight="1" thickTop="1">
      <c r="A2756" s="109" t="s">
        <v>8993</v>
      </c>
      <c r="B2756" s="28">
        <v>45951</v>
      </c>
      <c r="C2756" s="25">
        <v>962</v>
      </c>
      <c r="D2756" s="13" t="s">
        <v>1572</v>
      </c>
      <c r="E2756" s="111"/>
      <c r="F2756" s="113" t="s">
        <v>9023</v>
      </c>
      <c r="G2756" s="114"/>
      <c r="H2756" s="115"/>
      <c r="I2756" s="24"/>
      <c r="J2756" s="116">
        <v>4</v>
      </c>
      <c r="K2756" s="118">
        <v>398000</v>
      </c>
      <c r="L2756" s="119"/>
      <c r="M2756" s="118">
        <f t="shared" ref="M2756" si="1520">K2756*0.1</f>
        <v>39800</v>
      </c>
      <c r="N2756" s="119"/>
      <c r="O2756" s="118">
        <v>0</v>
      </c>
      <c r="P2756" s="119"/>
      <c r="Q2756" s="118">
        <v>8060</v>
      </c>
      <c r="R2756" s="119"/>
      <c r="S2756" s="118">
        <v>22000</v>
      </c>
      <c r="T2756" s="119"/>
      <c r="U2756" s="118">
        <f t="shared" ref="U2756" si="1521">SUM(K2756:T2757)</f>
        <v>467860</v>
      </c>
      <c r="V2756" s="122"/>
      <c r="W2756" s="124"/>
      <c r="X2756" s="126" t="s">
        <v>9706</v>
      </c>
      <c r="Y2756" s="127"/>
      <c r="Z2756" s="127"/>
      <c r="AA2756" s="127"/>
      <c r="AB2756" s="128"/>
      <c r="AC2756" s="15" t="s">
        <v>20</v>
      </c>
      <c r="AD2756" s="129" t="s">
        <v>2054</v>
      </c>
      <c r="AE2756" s="130"/>
      <c r="AF2756" s="130"/>
      <c r="AG2756" s="130"/>
      <c r="AH2756" s="130"/>
      <c r="AI2756" s="131"/>
      <c r="AJ2756" s="132"/>
      <c r="AK2756" s="127"/>
      <c r="AL2756" s="128"/>
      <c r="AM2756" s="21"/>
      <c r="AN2756" s="133">
        <v>46004</v>
      </c>
      <c r="AO2756" s="134"/>
      <c r="AP2756" s="135">
        <v>1280</v>
      </c>
      <c r="AQ2756" s="136"/>
      <c r="AR2756" s="118">
        <v>435000</v>
      </c>
      <c r="AS2756" s="119"/>
      <c r="AT2756" s="118">
        <f t="shared" ref="AT2756" si="1522">AR2756*0.1</f>
        <v>43500</v>
      </c>
      <c r="AU2756" s="119"/>
      <c r="AV2756" s="118">
        <v>8060</v>
      </c>
      <c r="AW2756" s="119"/>
      <c r="AX2756" s="118">
        <f t="shared" ref="AX2756" si="1523">SUM(AR2756:AW2756)</f>
        <v>486560</v>
      </c>
      <c r="AY2756" s="119"/>
      <c r="AZ2756" s="137">
        <v>46008</v>
      </c>
    </row>
    <row r="2757" spans="1:52" ht="17.100000000000001" customHeight="1" thickBot="1">
      <c r="A2757" s="110"/>
      <c r="B2757" s="27" t="s">
        <v>2055</v>
      </c>
      <c r="C2757" s="27">
        <v>1017</v>
      </c>
      <c r="D2757" s="14" t="s">
        <v>4023</v>
      </c>
      <c r="E2757" s="112"/>
      <c r="F2757" s="139" t="s">
        <v>9000</v>
      </c>
      <c r="G2757" s="140"/>
      <c r="H2757" s="141"/>
      <c r="I2757" s="26">
        <v>36326</v>
      </c>
      <c r="J2757" s="117"/>
      <c r="K2757" s="120"/>
      <c r="L2757" s="121"/>
      <c r="M2757" s="120"/>
      <c r="N2757" s="121"/>
      <c r="O2757" s="120"/>
      <c r="P2757" s="121"/>
      <c r="Q2757" s="120"/>
      <c r="R2757" s="121"/>
      <c r="S2757" s="120"/>
      <c r="T2757" s="121"/>
      <c r="U2757" s="120"/>
      <c r="V2757" s="123"/>
      <c r="W2757" s="125"/>
      <c r="X2757" s="142" t="s">
        <v>2057</v>
      </c>
      <c r="Y2757" s="143"/>
      <c r="Z2757" s="143"/>
      <c r="AA2757" s="143"/>
      <c r="AB2757" s="144"/>
      <c r="AC2757" s="16" t="s">
        <v>21</v>
      </c>
      <c r="AD2757" s="17" t="s">
        <v>9662</v>
      </c>
      <c r="AE2757" s="145" t="s">
        <v>9496</v>
      </c>
      <c r="AF2757" s="146"/>
      <c r="AG2757" s="146"/>
      <c r="AH2757" s="146"/>
      <c r="AI2757" s="147"/>
      <c r="AJ2757" s="148"/>
      <c r="AK2757" s="143"/>
      <c r="AL2757" s="144"/>
      <c r="AM2757" s="22"/>
      <c r="AN2757" s="149" t="s">
        <v>2511</v>
      </c>
      <c r="AO2757" s="144"/>
      <c r="AP2757" s="148">
        <v>60104</v>
      </c>
      <c r="AQ2757" s="144"/>
      <c r="AR2757" s="120"/>
      <c r="AS2757" s="121"/>
      <c r="AT2757" s="120"/>
      <c r="AU2757" s="121"/>
      <c r="AV2757" s="120"/>
      <c r="AW2757" s="121"/>
      <c r="AX2757" s="120"/>
      <c r="AY2757" s="121"/>
      <c r="AZ2757" s="138"/>
    </row>
    <row r="2758" spans="1:52" ht="17.100000000000001" customHeight="1" thickTop="1">
      <c r="A2758" s="109" t="s">
        <v>8994</v>
      </c>
      <c r="B2758" s="28">
        <v>45951</v>
      </c>
      <c r="C2758" s="25">
        <v>780</v>
      </c>
      <c r="D2758" s="13" t="s">
        <v>1930</v>
      </c>
      <c r="E2758" s="111"/>
      <c r="F2758" s="113" t="s">
        <v>5228</v>
      </c>
      <c r="G2758" s="114"/>
      <c r="H2758" s="115"/>
      <c r="I2758" s="24" t="s">
        <v>2526</v>
      </c>
      <c r="J2758" s="116">
        <v>4.5</v>
      </c>
      <c r="K2758" s="118">
        <v>1298000</v>
      </c>
      <c r="L2758" s="119"/>
      <c r="M2758" s="118">
        <f t="shared" ref="M2758" si="1524">K2758*0.1</f>
        <v>129800</v>
      </c>
      <c r="N2758" s="119"/>
      <c r="O2758" s="118">
        <v>0</v>
      </c>
      <c r="P2758" s="119"/>
      <c r="Q2758" s="118">
        <v>11100</v>
      </c>
      <c r="R2758" s="119"/>
      <c r="S2758" s="118">
        <v>22000</v>
      </c>
      <c r="T2758" s="119"/>
      <c r="U2758" s="118">
        <f t="shared" ref="U2758" si="1525">SUM(K2758:T2759)</f>
        <v>1460900</v>
      </c>
      <c r="V2758" s="122"/>
      <c r="W2758" s="124"/>
      <c r="X2758" s="126" t="s">
        <v>9024</v>
      </c>
      <c r="Y2758" s="127"/>
      <c r="Z2758" s="127"/>
      <c r="AA2758" s="127"/>
      <c r="AB2758" s="128"/>
      <c r="AC2758" s="15" t="s">
        <v>20</v>
      </c>
      <c r="AD2758" s="129" t="s">
        <v>4982</v>
      </c>
      <c r="AE2758" s="130"/>
      <c r="AF2758" s="130"/>
      <c r="AG2758" s="130"/>
      <c r="AH2758" s="130"/>
      <c r="AI2758" s="131"/>
      <c r="AJ2758" s="132"/>
      <c r="AK2758" s="127"/>
      <c r="AL2758" s="128"/>
      <c r="AM2758" s="21" t="s">
        <v>10169</v>
      </c>
      <c r="AN2758" s="133">
        <v>45965</v>
      </c>
      <c r="AO2758" s="134"/>
      <c r="AP2758" s="135">
        <v>1916</v>
      </c>
      <c r="AQ2758" s="136"/>
      <c r="AR2758" s="118">
        <v>1325000</v>
      </c>
      <c r="AS2758" s="119"/>
      <c r="AT2758" s="118">
        <f t="shared" ref="AT2758" si="1526">AR2758*0.1</f>
        <v>132500</v>
      </c>
      <c r="AU2758" s="119"/>
      <c r="AV2758" s="118">
        <v>11100</v>
      </c>
      <c r="AW2758" s="119"/>
      <c r="AX2758" s="118">
        <f t="shared" ref="AX2758" si="1527">SUM(AR2758:AW2758)</f>
        <v>1468600</v>
      </c>
      <c r="AY2758" s="119"/>
      <c r="AZ2758" s="137">
        <v>45971</v>
      </c>
    </row>
    <row r="2759" spans="1:52" ht="17.100000000000001" customHeight="1" thickBot="1">
      <c r="A2759" s="110"/>
      <c r="B2759" s="27" t="s">
        <v>4491</v>
      </c>
      <c r="C2759" s="27">
        <v>81</v>
      </c>
      <c r="D2759" s="14" t="s">
        <v>275</v>
      </c>
      <c r="E2759" s="112"/>
      <c r="F2759" s="139" t="s">
        <v>9001</v>
      </c>
      <c r="G2759" s="140"/>
      <c r="H2759" s="141"/>
      <c r="I2759" s="26">
        <v>7195</v>
      </c>
      <c r="J2759" s="117"/>
      <c r="K2759" s="120"/>
      <c r="L2759" s="121"/>
      <c r="M2759" s="120"/>
      <c r="N2759" s="121"/>
      <c r="O2759" s="120"/>
      <c r="P2759" s="121"/>
      <c r="Q2759" s="120"/>
      <c r="R2759" s="121"/>
      <c r="S2759" s="120"/>
      <c r="T2759" s="121"/>
      <c r="U2759" s="120"/>
      <c r="V2759" s="123"/>
      <c r="W2759" s="125"/>
      <c r="X2759" s="142" t="s">
        <v>2057</v>
      </c>
      <c r="Y2759" s="143"/>
      <c r="Z2759" s="143"/>
      <c r="AA2759" s="143"/>
      <c r="AB2759" s="144"/>
      <c r="AC2759" s="16" t="s">
        <v>21</v>
      </c>
      <c r="AD2759" s="17" t="s">
        <v>9662</v>
      </c>
      <c r="AE2759" s="145" t="s">
        <v>9807</v>
      </c>
      <c r="AF2759" s="146"/>
      <c r="AG2759" s="146"/>
      <c r="AH2759" s="146"/>
      <c r="AI2759" s="147"/>
      <c r="AJ2759" s="148"/>
      <c r="AK2759" s="143"/>
      <c r="AL2759" s="144"/>
      <c r="AM2759" s="22"/>
      <c r="AN2759" s="149" t="s">
        <v>2131</v>
      </c>
      <c r="AO2759" s="144"/>
      <c r="AP2759" s="148">
        <v>3255</v>
      </c>
      <c r="AQ2759" s="144"/>
      <c r="AR2759" s="120"/>
      <c r="AS2759" s="121"/>
      <c r="AT2759" s="120"/>
      <c r="AU2759" s="121"/>
      <c r="AV2759" s="120"/>
      <c r="AW2759" s="121"/>
      <c r="AX2759" s="120"/>
      <c r="AY2759" s="121"/>
      <c r="AZ2759" s="138"/>
    </row>
    <row r="2760" spans="1:52" ht="17.100000000000001" customHeight="1" thickTop="1">
      <c r="A2760" s="109" t="s">
        <v>8995</v>
      </c>
      <c r="B2760" s="28">
        <v>45951</v>
      </c>
      <c r="C2760" s="25">
        <v>780</v>
      </c>
      <c r="D2760" s="13" t="s">
        <v>1930</v>
      </c>
      <c r="E2760" s="111"/>
      <c r="F2760" s="113" t="s">
        <v>2719</v>
      </c>
      <c r="G2760" s="114"/>
      <c r="H2760" s="115"/>
      <c r="I2760" s="24" t="s">
        <v>2526</v>
      </c>
      <c r="J2760" s="116">
        <v>4.5</v>
      </c>
      <c r="K2760" s="118">
        <v>1298000</v>
      </c>
      <c r="L2760" s="119"/>
      <c r="M2760" s="118">
        <f t="shared" ref="M2760" si="1528">K2760*0.1</f>
        <v>129800</v>
      </c>
      <c r="N2760" s="119"/>
      <c r="O2760" s="118">
        <v>0</v>
      </c>
      <c r="P2760" s="119"/>
      <c r="Q2760" s="118">
        <v>11100</v>
      </c>
      <c r="R2760" s="119"/>
      <c r="S2760" s="118">
        <v>22000</v>
      </c>
      <c r="T2760" s="119"/>
      <c r="U2760" s="118">
        <f t="shared" ref="U2760" si="1529">SUM(K2760:T2761)</f>
        <v>1460900</v>
      </c>
      <c r="V2760" s="122"/>
      <c r="W2760" s="124"/>
      <c r="X2760" s="126" t="s">
        <v>9025</v>
      </c>
      <c r="Y2760" s="127"/>
      <c r="Z2760" s="127"/>
      <c r="AA2760" s="127"/>
      <c r="AB2760" s="128"/>
      <c r="AC2760" s="15" t="s">
        <v>20</v>
      </c>
      <c r="AD2760" s="129" t="s">
        <v>4982</v>
      </c>
      <c r="AE2760" s="130"/>
      <c r="AF2760" s="130"/>
      <c r="AG2760" s="130"/>
      <c r="AH2760" s="130"/>
      <c r="AI2760" s="131"/>
      <c r="AJ2760" s="132"/>
      <c r="AK2760" s="127"/>
      <c r="AL2760" s="128"/>
      <c r="AM2760" s="21" t="s">
        <v>10714</v>
      </c>
      <c r="AN2760" s="133">
        <v>45972</v>
      </c>
      <c r="AO2760" s="134"/>
      <c r="AP2760" s="135">
        <v>1917</v>
      </c>
      <c r="AQ2760" s="136"/>
      <c r="AR2760" s="118">
        <v>1364000</v>
      </c>
      <c r="AS2760" s="119"/>
      <c r="AT2760" s="118">
        <f t="shared" ref="AT2760" si="1530">AR2760*0.1</f>
        <v>136400</v>
      </c>
      <c r="AU2760" s="119"/>
      <c r="AV2760" s="118">
        <v>11100</v>
      </c>
      <c r="AW2760" s="119"/>
      <c r="AX2760" s="118">
        <f t="shared" ref="AX2760" si="1531">SUM(AR2760:AW2760)</f>
        <v>1511500</v>
      </c>
      <c r="AY2760" s="119"/>
      <c r="AZ2760" s="137"/>
    </row>
    <row r="2761" spans="1:52" ht="17.100000000000001" customHeight="1" thickBot="1">
      <c r="A2761" s="110"/>
      <c r="B2761" s="27" t="s">
        <v>4491</v>
      </c>
      <c r="C2761" s="27">
        <v>83</v>
      </c>
      <c r="D2761" s="14" t="s">
        <v>2601</v>
      </c>
      <c r="E2761" s="112"/>
      <c r="F2761" s="139" t="s">
        <v>9002</v>
      </c>
      <c r="G2761" s="140"/>
      <c r="H2761" s="141"/>
      <c r="I2761" s="26">
        <v>4029</v>
      </c>
      <c r="J2761" s="117"/>
      <c r="K2761" s="120"/>
      <c r="L2761" s="121"/>
      <c r="M2761" s="120"/>
      <c r="N2761" s="121"/>
      <c r="O2761" s="120"/>
      <c r="P2761" s="121"/>
      <c r="Q2761" s="120"/>
      <c r="R2761" s="121"/>
      <c r="S2761" s="120"/>
      <c r="T2761" s="121"/>
      <c r="U2761" s="120"/>
      <c r="V2761" s="123"/>
      <c r="W2761" s="125"/>
      <c r="X2761" s="142" t="s">
        <v>2057</v>
      </c>
      <c r="Y2761" s="143"/>
      <c r="Z2761" s="143"/>
      <c r="AA2761" s="143"/>
      <c r="AB2761" s="144"/>
      <c r="AC2761" s="16" t="s">
        <v>21</v>
      </c>
      <c r="AD2761" s="17" t="s">
        <v>9662</v>
      </c>
      <c r="AE2761" s="145" t="s">
        <v>9807</v>
      </c>
      <c r="AF2761" s="146"/>
      <c r="AG2761" s="146"/>
      <c r="AH2761" s="146"/>
      <c r="AI2761" s="147"/>
      <c r="AJ2761" s="148"/>
      <c r="AK2761" s="143"/>
      <c r="AL2761" s="144"/>
      <c r="AM2761" s="22"/>
      <c r="AN2761" s="149" t="s">
        <v>2131</v>
      </c>
      <c r="AO2761" s="144"/>
      <c r="AP2761" s="148">
        <v>3153</v>
      </c>
      <c r="AQ2761" s="144"/>
      <c r="AR2761" s="120"/>
      <c r="AS2761" s="121"/>
      <c r="AT2761" s="120"/>
      <c r="AU2761" s="121"/>
      <c r="AV2761" s="120"/>
      <c r="AW2761" s="121"/>
      <c r="AX2761" s="120"/>
      <c r="AY2761" s="121"/>
      <c r="AZ2761" s="138"/>
    </row>
    <row r="2762" spans="1:52" ht="17.100000000000001" customHeight="1" thickTop="1">
      <c r="A2762" s="109" t="s">
        <v>9003</v>
      </c>
      <c r="B2762" s="28">
        <v>45951</v>
      </c>
      <c r="C2762" s="25">
        <v>1066</v>
      </c>
      <c r="D2762" s="13" t="s">
        <v>1597</v>
      </c>
      <c r="E2762" s="111"/>
      <c r="F2762" s="113" t="s">
        <v>9026</v>
      </c>
      <c r="G2762" s="114"/>
      <c r="H2762" s="115"/>
      <c r="I2762" s="24"/>
      <c r="J2762" s="116">
        <v>4.5</v>
      </c>
      <c r="K2762" s="118">
        <v>905000</v>
      </c>
      <c r="L2762" s="119"/>
      <c r="M2762" s="118">
        <f t="shared" ref="M2762" si="1532">K2762*0.1</f>
        <v>90500</v>
      </c>
      <c r="N2762" s="119"/>
      <c r="O2762" s="118">
        <v>0</v>
      </c>
      <c r="P2762" s="119"/>
      <c r="Q2762" s="118">
        <v>19880</v>
      </c>
      <c r="R2762" s="119"/>
      <c r="S2762" s="118">
        <v>16500</v>
      </c>
      <c r="T2762" s="119"/>
      <c r="U2762" s="118">
        <f t="shared" ref="U2762" si="1533">SUM(K2762:T2763)</f>
        <v>1031880</v>
      </c>
      <c r="V2762" s="122"/>
      <c r="W2762" s="124"/>
      <c r="X2762" s="126" t="s">
        <v>9687</v>
      </c>
      <c r="Y2762" s="127"/>
      <c r="Z2762" s="127"/>
      <c r="AA2762" s="127"/>
      <c r="AB2762" s="128"/>
      <c r="AC2762" s="15" t="s">
        <v>20</v>
      </c>
      <c r="AD2762" s="129" t="s">
        <v>1945</v>
      </c>
      <c r="AE2762" s="130"/>
      <c r="AF2762" s="130"/>
      <c r="AG2762" s="130"/>
      <c r="AH2762" s="130"/>
      <c r="AI2762" s="131"/>
      <c r="AJ2762" s="132"/>
      <c r="AK2762" s="127"/>
      <c r="AL2762" s="128"/>
      <c r="AM2762" s="21"/>
      <c r="AN2762" s="133">
        <v>45990</v>
      </c>
      <c r="AO2762" s="134"/>
      <c r="AP2762" s="135">
        <v>1278</v>
      </c>
      <c r="AQ2762" s="136"/>
      <c r="AR2762" s="118">
        <v>1015000</v>
      </c>
      <c r="AS2762" s="119"/>
      <c r="AT2762" s="118">
        <f t="shared" ref="AT2762" si="1534">AR2762*0.1</f>
        <v>101500</v>
      </c>
      <c r="AU2762" s="119"/>
      <c r="AV2762" s="118">
        <v>19880</v>
      </c>
      <c r="AW2762" s="119"/>
      <c r="AX2762" s="118">
        <f t="shared" ref="AX2762" si="1535">SUM(AR2762:AW2762)</f>
        <v>1136380</v>
      </c>
      <c r="AY2762" s="119"/>
      <c r="AZ2762" s="137">
        <v>45994</v>
      </c>
    </row>
    <row r="2763" spans="1:52" ht="17.100000000000001" customHeight="1" thickBot="1">
      <c r="A2763" s="110"/>
      <c r="B2763" s="27" t="s">
        <v>1591</v>
      </c>
      <c r="C2763" s="27">
        <v>84277</v>
      </c>
      <c r="D2763" s="14" t="s">
        <v>2800</v>
      </c>
      <c r="E2763" s="112"/>
      <c r="F2763" s="139" t="s">
        <v>9027</v>
      </c>
      <c r="G2763" s="140"/>
      <c r="H2763" s="141"/>
      <c r="I2763" s="26">
        <v>47026</v>
      </c>
      <c r="J2763" s="117"/>
      <c r="K2763" s="120"/>
      <c r="L2763" s="121"/>
      <c r="M2763" s="120"/>
      <c r="N2763" s="121"/>
      <c r="O2763" s="120"/>
      <c r="P2763" s="121"/>
      <c r="Q2763" s="120"/>
      <c r="R2763" s="121"/>
      <c r="S2763" s="120"/>
      <c r="T2763" s="121"/>
      <c r="U2763" s="120"/>
      <c r="V2763" s="123"/>
      <c r="W2763" s="125"/>
      <c r="X2763" s="142" t="s">
        <v>9688</v>
      </c>
      <c r="Y2763" s="143"/>
      <c r="Z2763" s="143"/>
      <c r="AA2763" s="143"/>
      <c r="AB2763" s="144"/>
      <c r="AC2763" s="16" t="s">
        <v>21</v>
      </c>
      <c r="AD2763" s="17" t="s">
        <v>9662</v>
      </c>
      <c r="AE2763" s="145" t="s">
        <v>1945</v>
      </c>
      <c r="AF2763" s="146"/>
      <c r="AG2763" s="146"/>
      <c r="AH2763" s="146"/>
      <c r="AI2763" s="147"/>
      <c r="AJ2763" s="148"/>
      <c r="AK2763" s="143"/>
      <c r="AL2763" s="144"/>
      <c r="AM2763" s="22"/>
      <c r="AN2763" s="149" t="s">
        <v>2511</v>
      </c>
      <c r="AO2763" s="144"/>
      <c r="AP2763" s="148">
        <v>80224</v>
      </c>
      <c r="AQ2763" s="144"/>
      <c r="AR2763" s="120"/>
      <c r="AS2763" s="121"/>
      <c r="AT2763" s="120"/>
      <c r="AU2763" s="121"/>
      <c r="AV2763" s="120"/>
      <c r="AW2763" s="121"/>
      <c r="AX2763" s="120"/>
      <c r="AY2763" s="121"/>
      <c r="AZ2763" s="138"/>
    </row>
    <row r="2764" spans="1:52" ht="17.100000000000001" customHeight="1" thickTop="1">
      <c r="A2764" s="109" t="s">
        <v>9006</v>
      </c>
      <c r="B2764" s="28">
        <v>45952</v>
      </c>
      <c r="C2764" s="25">
        <v>2327</v>
      </c>
      <c r="D2764" s="13" t="s">
        <v>2355</v>
      </c>
      <c r="E2764" s="111"/>
      <c r="F2764" s="113" t="s">
        <v>9004</v>
      </c>
      <c r="G2764" s="114"/>
      <c r="H2764" s="115"/>
      <c r="I2764" s="24" t="s">
        <v>9028</v>
      </c>
      <c r="J2764" s="116">
        <v>4.5</v>
      </c>
      <c r="K2764" s="118">
        <v>1030000</v>
      </c>
      <c r="L2764" s="119"/>
      <c r="M2764" s="118">
        <f t="shared" ref="M2764" si="1536">K2764*0.1</f>
        <v>103000</v>
      </c>
      <c r="N2764" s="119"/>
      <c r="O2764" s="118">
        <v>15000</v>
      </c>
      <c r="P2764" s="119"/>
      <c r="Q2764" s="118">
        <v>6550</v>
      </c>
      <c r="R2764" s="119"/>
      <c r="S2764" s="118">
        <v>16500</v>
      </c>
      <c r="T2764" s="119"/>
      <c r="U2764" s="118">
        <f t="shared" ref="U2764" si="1537">SUM(K2764:T2765)</f>
        <v>1171050</v>
      </c>
      <c r="V2764" s="122"/>
      <c r="W2764" s="124"/>
      <c r="X2764" s="126" t="s">
        <v>9410</v>
      </c>
      <c r="Y2764" s="127"/>
      <c r="Z2764" s="127"/>
      <c r="AA2764" s="127"/>
      <c r="AB2764" s="128"/>
      <c r="AC2764" s="15" t="s">
        <v>20</v>
      </c>
      <c r="AD2764" s="129"/>
      <c r="AE2764" s="130"/>
      <c r="AF2764" s="130"/>
      <c r="AG2764" s="130"/>
      <c r="AH2764" s="130"/>
      <c r="AI2764" s="131"/>
      <c r="AJ2764" s="132"/>
      <c r="AK2764" s="127"/>
      <c r="AL2764" s="128"/>
      <c r="AM2764" s="21" t="s">
        <v>10711</v>
      </c>
      <c r="AN2764" s="133">
        <v>45969</v>
      </c>
      <c r="AO2764" s="134"/>
      <c r="AP2764" s="135">
        <v>1275</v>
      </c>
      <c r="AQ2764" s="136"/>
      <c r="AR2764" s="118">
        <v>1100000</v>
      </c>
      <c r="AS2764" s="119"/>
      <c r="AT2764" s="118">
        <f t="shared" ref="AT2764" si="1538">AR2764*0.1</f>
        <v>110000</v>
      </c>
      <c r="AU2764" s="119"/>
      <c r="AV2764" s="118">
        <v>6550</v>
      </c>
      <c r="AW2764" s="119"/>
      <c r="AX2764" s="118">
        <f t="shared" ref="AX2764" si="1539">SUM(AR2764:AW2764)</f>
        <v>1216550</v>
      </c>
      <c r="AY2764" s="119"/>
      <c r="AZ2764" s="137">
        <v>45979</v>
      </c>
    </row>
    <row r="2765" spans="1:52" ht="17.100000000000001" customHeight="1" thickBot="1">
      <c r="A2765" s="110"/>
      <c r="B2765" s="27" t="s">
        <v>3422</v>
      </c>
      <c r="C2765" s="27">
        <v>20038</v>
      </c>
      <c r="D2765" s="14" t="s">
        <v>1720</v>
      </c>
      <c r="E2765" s="112"/>
      <c r="F2765" s="139" t="s">
        <v>9005</v>
      </c>
      <c r="G2765" s="140"/>
      <c r="H2765" s="141"/>
      <c r="I2765" s="26">
        <v>6744</v>
      </c>
      <c r="J2765" s="117"/>
      <c r="K2765" s="120"/>
      <c r="L2765" s="121"/>
      <c r="M2765" s="120"/>
      <c r="N2765" s="121"/>
      <c r="O2765" s="120"/>
      <c r="P2765" s="121"/>
      <c r="Q2765" s="120"/>
      <c r="R2765" s="121"/>
      <c r="S2765" s="120"/>
      <c r="T2765" s="121"/>
      <c r="U2765" s="120"/>
      <c r="V2765" s="123"/>
      <c r="W2765" s="125"/>
      <c r="X2765" s="142" t="s">
        <v>9411</v>
      </c>
      <c r="Y2765" s="143"/>
      <c r="Z2765" s="143"/>
      <c r="AA2765" s="143"/>
      <c r="AB2765" s="144"/>
      <c r="AC2765" s="16" t="s">
        <v>21</v>
      </c>
      <c r="AD2765" s="17" t="s">
        <v>3341</v>
      </c>
      <c r="AE2765" s="145" t="s">
        <v>9412</v>
      </c>
      <c r="AF2765" s="146"/>
      <c r="AG2765" s="146"/>
      <c r="AH2765" s="146"/>
      <c r="AI2765" s="147"/>
      <c r="AJ2765" s="148"/>
      <c r="AK2765" s="143"/>
      <c r="AL2765" s="144"/>
      <c r="AM2765" s="22"/>
      <c r="AN2765" s="149" t="s">
        <v>6748</v>
      </c>
      <c r="AO2765" s="144"/>
      <c r="AP2765" s="148">
        <v>60031</v>
      </c>
      <c r="AQ2765" s="144"/>
      <c r="AR2765" s="120"/>
      <c r="AS2765" s="121"/>
      <c r="AT2765" s="120"/>
      <c r="AU2765" s="121"/>
      <c r="AV2765" s="120"/>
      <c r="AW2765" s="121"/>
      <c r="AX2765" s="120"/>
      <c r="AY2765" s="121"/>
      <c r="AZ2765" s="138"/>
    </row>
    <row r="2766" spans="1:52" ht="17.100000000000001" customHeight="1" thickTop="1">
      <c r="A2766" s="109" t="s">
        <v>9007</v>
      </c>
      <c r="B2766" s="28">
        <v>45952</v>
      </c>
      <c r="C2766" s="25">
        <v>1810</v>
      </c>
      <c r="D2766" s="13" t="s">
        <v>3440</v>
      </c>
      <c r="E2766" s="111"/>
      <c r="F2766" s="113" t="s">
        <v>4914</v>
      </c>
      <c r="G2766" s="114"/>
      <c r="H2766" s="115"/>
      <c r="I2766" s="24" t="s">
        <v>2858</v>
      </c>
      <c r="J2766" s="116">
        <v>4</v>
      </c>
      <c r="K2766" s="118">
        <v>228000</v>
      </c>
      <c r="L2766" s="119"/>
      <c r="M2766" s="118">
        <f t="shared" ref="M2766" si="1540">K2766*0.1</f>
        <v>22800</v>
      </c>
      <c r="N2766" s="119"/>
      <c r="O2766" s="118">
        <v>0</v>
      </c>
      <c r="P2766" s="119"/>
      <c r="Q2766" s="118">
        <v>9170</v>
      </c>
      <c r="R2766" s="119"/>
      <c r="S2766" s="118">
        <v>18150</v>
      </c>
      <c r="T2766" s="119"/>
      <c r="U2766" s="118">
        <f t="shared" ref="U2766" si="1541">SUM(K2766:T2767)</f>
        <v>278120</v>
      </c>
      <c r="V2766" s="122"/>
      <c r="W2766" s="124"/>
      <c r="X2766" s="126" t="s">
        <v>9015</v>
      </c>
      <c r="Y2766" s="127"/>
      <c r="Z2766" s="127"/>
      <c r="AA2766" s="127"/>
      <c r="AB2766" s="128"/>
      <c r="AC2766" s="15" t="s">
        <v>20</v>
      </c>
      <c r="AD2766" s="129" t="s">
        <v>1742</v>
      </c>
      <c r="AE2766" s="130"/>
      <c r="AF2766" s="130"/>
      <c r="AG2766" s="130"/>
      <c r="AH2766" s="130"/>
      <c r="AI2766" s="131"/>
      <c r="AJ2766" s="132"/>
      <c r="AK2766" s="127"/>
      <c r="AL2766" s="128"/>
      <c r="AM2766" s="21"/>
      <c r="AN2766" s="133">
        <v>45955</v>
      </c>
      <c r="AO2766" s="134"/>
      <c r="AP2766" s="135">
        <v>1273</v>
      </c>
      <c r="AQ2766" s="136"/>
      <c r="AR2766" s="118">
        <v>300000</v>
      </c>
      <c r="AS2766" s="119"/>
      <c r="AT2766" s="118">
        <f t="shared" ref="AT2766" si="1542">AR2766*0.1</f>
        <v>30000</v>
      </c>
      <c r="AU2766" s="119"/>
      <c r="AV2766" s="118">
        <v>9170</v>
      </c>
      <c r="AW2766" s="119"/>
      <c r="AX2766" s="118">
        <f t="shared" ref="AX2766" si="1543">SUM(AR2766:AW2766)</f>
        <v>339170</v>
      </c>
      <c r="AY2766" s="119"/>
      <c r="AZ2766" s="137">
        <v>45958</v>
      </c>
    </row>
    <row r="2767" spans="1:52" ht="17.100000000000001" customHeight="1" thickBot="1">
      <c r="A2767" s="110"/>
      <c r="B2767" s="27" t="s">
        <v>2559</v>
      </c>
      <c r="C2767" s="27">
        <v>3012</v>
      </c>
      <c r="D2767" s="14" t="s">
        <v>1576</v>
      </c>
      <c r="E2767" s="112"/>
      <c r="F2767" s="139" t="s">
        <v>9011</v>
      </c>
      <c r="G2767" s="140"/>
      <c r="H2767" s="141"/>
      <c r="I2767" s="26">
        <v>60433</v>
      </c>
      <c r="J2767" s="117"/>
      <c r="K2767" s="120"/>
      <c r="L2767" s="121"/>
      <c r="M2767" s="120"/>
      <c r="N2767" s="121"/>
      <c r="O2767" s="120"/>
      <c r="P2767" s="121"/>
      <c r="Q2767" s="120"/>
      <c r="R2767" s="121"/>
      <c r="S2767" s="120"/>
      <c r="T2767" s="121"/>
      <c r="U2767" s="120"/>
      <c r="V2767" s="123"/>
      <c r="W2767" s="125"/>
      <c r="X2767" s="142" t="s">
        <v>9419</v>
      </c>
      <c r="Y2767" s="143"/>
      <c r="Z2767" s="143"/>
      <c r="AA2767" s="143"/>
      <c r="AB2767" s="144"/>
      <c r="AC2767" s="16" t="s">
        <v>21</v>
      </c>
      <c r="AD2767" s="17" t="s">
        <v>3341</v>
      </c>
      <c r="AE2767" s="145" t="s">
        <v>3925</v>
      </c>
      <c r="AF2767" s="146"/>
      <c r="AG2767" s="146"/>
      <c r="AH2767" s="146"/>
      <c r="AI2767" s="147"/>
      <c r="AJ2767" s="148"/>
      <c r="AK2767" s="143"/>
      <c r="AL2767" s="144"/>
      <c r="AM2767" s="22"/>
      <c r="AN2767" s="149" t="s">
        <v>2511</v>
      </c>
      <c r="AO2767" s="144"/>
      <c r="AP2767" s="148">
        <v>60499</v>
      </c>
      <c r="AQ2767" s="144"/>
      <c r="AR2767" s="120"/>
      <c r="AS2767" s="121"/>
      <c r="AT2767" s="120"/>
      <c r="AU2767" s="121"/>
      <c r="AV2767" s="120"/>
      <c r="AW2767" s="121"/>
      <c r="AX2767" s="120"/>
      <c r="AY2767" s="121"/>
      <c r="AZ2767" s="138"/>
    </row>
    <row r="2768" spans="1:52" ht="17.100000000000001" customHeight="1" thickTop="1">
      <c r="A2768" s="109" t="s">
        <v>9008</v>
      </c>
      <c r="B2768" s="28">
        <v>45952</v>
      </c>
      <c r="C2768" s="25">
        <v>1810</v>
      </c>
      <c r="D2768" s="13" t="s">
        <v>3381</v>
      </c>
      <c r="E2768" s="111"/>
      <c r="F2768" s="113" t="s">
        <v>9016</v>
      </c>
      <c r="G2768" s="114"/>
      <c r="H2768" s="115"/>
      <c r="I2768" s="24"/>
      <c r="J2768" s="116">
        <v>4.5</v>
      </c>
      <c r="K2768" s="118">
        <v>879000</v>
      </c>
      <c r="L2768" s="119"/>
      <c r="M2768" s="118">
        <f t="shared" ref="M2768" si="1544">K2768*0.1</f>
        <v>87900</v>
      </c>
      <c r="N2768" s="119"/>
      <c r="O2768" s="118">
        <v>0</v>
      </c>
      <c r="P2768" s="119"/>
      <c r="Q2768" s="118">
        <v>9140</v>
      </c>
      <c r="R2768" s="119"/>
      <c r="S2768" s="118">
        <v>18150</v>
      </c>
      <c r="T2768" s="119"/>
      <c r="U2768" s="118">
        <f t="shared" ref="U2768" si="1545">SUM(K2768:T2769)</f>
        <v>994190</v>
      </c>
      <c r="V2768" s="122"/>
      <c r="W2768" s="124"/>
      <c r="X2768" s="126" t="s">
        <v>9778</v>
      </c>
      <c r="Y2768" s="127"/>
      <c r="Z2768" s="127"/>
      <c r="AA2768" s="127"/>
      <c r="AB2768" s="128"/>
      <c r="AC2768" s="15" t="s">
        <v>20</v>
      </c>
      <c r="AD2768" s="129"/>
      <c r="AE2768" s="130"/>
      <c r="AF2768" s="130"/>
      <c r="AG2768" s="130"/>
      <c r="AH2768" s="130"/>
      <c r="AI2768" s="131"/>
      <c r="AJ2768" s="132"/>
      <c r="AK2768" s="127"/>
      <c r="AL2768" s="128"/>
      <c r="AM2768" s="21"/>
      <c r="AN2768" s="133">
        <v>45969</v>
      </c>
      <c r="AO2768" s="134"/>
      <c r="AP2768" s="135">
        <v>1275</v>
      </c>
      <c r="AQ2768" s="136"/>
      <c r="AR2768" s="118">
        <v>950000</v>
      </c>
      <c r="AS2768" s="119"/>
      <c r="AT2768" s="118">
        <f t="shared" ref="AT2768" si="1546">AR2768*0.1</f>
        <v>95000</v>
      </c>
      <c r="AU2768" s="119"/>
      <c r="AV2768" s="118">
        <v>9140</v>
      </c>
      <c r="AW2768" s="119"/>
      <c r="AX2768" s="118">
        <f t="shared" ref="AX2768" si="1547">SUM(AR2768:AW2768)</f>
        <v>1054140</v>
      </c>
      <c r="AY2768" s="119"/>
      <c r="AZ2768" s="137">
        <v>45972</v>
      </c>
    </row>
    <row r="2769" spans="1:52" ht="17.100000000000001" customHeight="1" thickBot="1">
      <c r="A2769" s="110"/>
      <c r="B2769" s="27" t="s">
        <v>2559</v>
      </c>
      <c r="C2769" s="27">
        <v>3310</v>
      </c>
      <c r="D2769" s="14" t="s">
        <v>275</v>
      </c>
      <c r="E2769" s="112"/>
      <c r="F2769" s="139" t="s">
        <v>9012</v>
      </c>
      <c r="G2769" s="140"/>
      <c r="H2769" s="141"/>
      <c r="I2769" s="26">
        <v>54026</v>
      </c>
      <c r="J2769" s="117"/>
      <c r="K2769" s="120"/>
      <c r="L2769" s="121"/>
      <c r="M2769" s="120"/>
      <c r="N2769" s="121"/>
      <c r="O2769" s="120"/>
      <c r="P2769" s="121"/>
      <c r="Q2769" s="120"/>
      <c r="R2769" s="121"/>
      <c r="S2769" s="120"/>
      <c r="T2769" s="121"/>
      <c r="U2769" s="120"/>
      <c r="V2769" s="123"/>
      <c r="W2769" s="125"/>
      <c r="X2769" s="142" t="s">
        <v>4423</v>
      </c>
      <c r="Y2769" s="143"/>
      <c r="Z2769" s="143"/>
      <c r="AA2769" s="143"/>
      <c r="AB2769" s="144"/>
      <c r="AC2769" s="16" t="s">
        <v>21</v>
      </c>
      <c r="AD2769" s="17" t="s">
        <v>3335</v>
      </c>
      <c r="AE2769" s="145" t="s">
        <v>9498</v>
      </c>
      <c r="AF2769" s="146"/>
      <c r="AG2769" s="146"/>
      <c r="AH2769" s="146"/>
      <c r="AI2769" s="147"/>
      <c r="AJ2769" s="148"/>
      <c r="AK2769" s="143"/>
      <c r="AL2769" s="144"/>
      <c r="AM2769" s="22"/>
      <c r="AN2769" s="149" t="s">
        <v>2511</v>
      </c>
      <c r="AO2769" s="144"/>
      <c r="AP2769" s="148">
        <v>60243</v>
      </c>
      <c r="AQ2769" s="144"/>
      <c r="AR2769" s="120"/>
      <c r="AS2769" s="121"/>
      <c r="AT2769" s="120"/>
      <c r="AU2769" s="121"/>
      <c r="AV2769" s="120"/>
      <c r="AW2769" s="121"/>
      <c r="AX2769" s="120"/>
      <c r="AY2769" s="121"/>
      <c r="AZ2769" s="138"/>
    </row>
    <row r="2770" spans="1:52" ht="17.100000000000001" customHeight="1" thickTop="1">
      <c r="A2770" s="109" t="s">
        <v>9009</v>
      </c>
      <c r="B2770" s="28">
        <v>45952</v>
      </c>
      <c r="C2770" s="25">
        <v>1810</v>
      </c>
      <c r="D2770" s="13" t="s">
        <v>1667</v>
      </c>
      <c r="E2770" s="111"/>
      <c r="F2770" s="113" t="s">
        <v>1607</v>
      </c>
      <c r="G2770" s="114"/>
      <c r="H2770" s="115"/>
      <c r="I2770" s="24" t="s">
        <v>2571</v>
      </c>
      <c r="J2770" s="116">
        <v>4</v>
      </c>
      <c r="K2770" s="118">
        <v>350000</v>
      </c>
      <c r="L2770" s="119"/>
      <c r="M2770" s="118">
        <f t="shared" ref="M2770" si="1548">K2770*0.1</f>
        <v>35000</v>
      </c>
      <c r="N2770" s="119"/>
      <c r="O2770" s="118">
        <f>14300+1430</f>
        <v>15730</v>
      </c>
      <c r="P2770" s="119"/>
      <c r="Q2770" s="118">
        <v>18960</v>
      </c>
      <c r="R2770" s="119"/>
      <c r="S2770" s="118">
        <v>18150</v>
      </c>
      <c r="T2770" s="119"/>
      <c r="U2770" s="118">
        <f t="shared" ref="U2770" si="1549">SUM(K2770:T2771)</f>
        <v>437840</v>
      </c>
      <c r="V2770" s="122"/>
      <c r="W2770" s="124"/>
      <c r="X2770" s="126" t="s">
        <v>9017</v>
      </c>
      <c r="Y2770" s="127"/>
      <c r="Z2770" s="127"/>
      <c r="AA2770" s="127"/>
      <c r="AB2770" s="128"/>
      <c r="AC2770" s="15" t="s">
        <v>20</v>
      </c>
      <c r="AD2770" s="129" t="s">
        <v>9018</v>
      </c>
      <c r="AE2770" s="130"/>
      <c r="AF2770" s="130"/>
      <c r="AG2770" s="130"/>
      <c r="AH2770" s="130"/>
      <c r="AI2770" s="131"/>
      <c r="AJ2770" s="132"/>
      <c r="AK2770" s="127"/>
      <c r="AL2770" s="128"/>
      <c r="AM2770" s="21"/>
      <c r="AN2770" s="133">
        <v>45955</v>
      </c>
      <c r="AO2770" s="134"/>
      <c r="AP2770" s="135">
        <v>1273</v>
      </c>
      <c r="AQ2770" s="136"/>
      <c r="AR2770" s="118">
        <v>470000</v>
      </c>
      <c r="AS2770" s="119"/>
      <c r="AT2770" s="118">
        <f t="shared" ref="AT2770" si="1550">AR2770*0.1</f>
        <v>47000</v>
      </c>
      <c r="AU2770" s="119"/>
      <c r="AV2770" s="118">
        <v>18960</v>
      </c>
      <c r="AW2770" s="119"/>
      <c r="AX2770" s="118">
        <f t="shared" ref="AX2770" si="1551">SUM(AR2770:AW2770)</f>
        <v>535960</v>
      </c>
      <c r="AY2770" s="119"/>
      <c r="AZ2770" s="137">
        <v>45960</v>
      </c>
    </row>
    <row r="2771" spans="1:52" ht="17.100000000000001" customHeight="1" thickBot="1">
      <c r="A2771" s="110"/>
      <c r="B2771" s="27" t="s">
        <v>2559</v>
      </c>
      <c r="C2771" s="27">
        <v>38068</v>
      </c>
      <c r="D2771" s="14" t="s">
        <v>2800</v>
      </c>
      <c r="E2771" s="112"/>
      <c r="F2771" s="139" t="s">
        <v>9013</v>
      </c>
      <c r="G2771" s="140"/>
      <c r="H2771" s="141"/>
      <c r="I2771" s="26">
        <v>58962</v>
      </c>
      <c r="J2771" s="117"/>
      <c r="K2771" s="120"/>
      <c r="L2771" s="121"/>
      <c r="M2771" s="120"/>
      <c r="N2771" s="121"/>
      <c r="O2771" s="120"/>
      <c r="P2771" s="121"/>
      <c r="Q2771" s="120"/>
      <c r="R2771" s="121"/>
      <c r="S2771" s="120"/>
      <c r="T2771" s="121"/>
      <c r="U2771" s="120"/>
      <c r="V2771" s="123"/>
      <c r="W2771" s="125"/>
      <c r="X2771" s="142" t="s">
        <v>9520</v>
      </c>
      <c r="Y2771" s="143"/>
      <c r="Z2771" s="143"/>
      <c r="AA2771" s="143"/>
      <c r="AB2771" s="144"/>
      <c r="AC2771" s="16" t="s">
        <v>21</v>
      </c>
      <c r="AD2771" s="17" t="s">
        <v>1674</v>
      </c>
      <c r="AE2771" s="145" t="s">
        <v>9521</v>
      </c>
      <c r="AF2771" s="146"/>
      <c r="AG2771" s="146"/>
      <c r="AH2771" s="146"/>
      <c r="AI2771" s="147"/>
      <c r="AJ2771" s="148"/>
      <c r="AK2771" s="143"/>
      <c r="AL2771" s="144"/>
      <c r="AM2771" s="22"/>
      <c r="AN2771" s="149" t="s">
        <v>2511</v>
      </c>
      <c r="AO2771" s="144"/>
      <c r="AP2771" s="148">
        <v>80292</v>
      </c>
      <c r="AQ2771" s="144"/>
      <c r="AR2771" s="120"/>
      <c r="AS2771" s="121"/>
      <c r="AT2771" s="120"/>
      <c r="AU2771" s="121"/>
      <c r="AV2771" s="120"/>
      <c r="AW2771" s="121"/>
      <c r="AX2771" s="120"/>
      <c r="AY2771" s="121"/>
      <c r="AZ2771" s="138"/>
    </row>
    <row r="2772" spans="1:52" ht="17.100000000000001" customHeight="1" thickTop="1">
      <c r="A2772" s="109" t="s">
        <v>9010</v>
      </c>
      <c r="B2772" s="28">
        <v>45952</v>
      </c>
      <c r="C2772" s="25">
        <v>1810</v>
      </c>
      <c r="D2772" s="13" t="s">
        <v>1597</v>
      </c>
      <c r="E2772" s="111"/>
      <c r="F2772" s="113" t="s">
        <v>1938</v>
      </c>
      <c r="G2772" s="114"/>
      <c r="H2772" s="115"/>
      <c r="I2772" s="24" t="s">
        <v>4193</v>
      </c>
      <c r="J2772" s="116">
        <v>4.5</v>
      </c>
      <c r="K2772" s="118">
        <v>595000</v>
      </c>
      <c r="L2772" s="119"/>
      <c r="M2772" s="118">
        <f t="shared" ref="M2772" si="1552">K2772*0.1</f>
        <v>59500</v>
      </c>
      <c r="N2772" s="119"/>
      <c r="O2772" s="118">
        <f>14300+1430</f>
        <v>15730</v>
      </c>
      <c r="P2772" s="119"/>
      <c r="Q2772" s="118">
        <v>17600</v>
      </c>
      <c r="R2772" s="119"/>
      <c r="S2772" s="118">
        <v>18150</v>
      </c>
      <c r="T2772" s="119"/>
      <c r="U2772" s="118">
        <f t="shared" ref="U2772" si="1553">SUM(K2772:T2773)</f>
        <v>705980</v>
      </c>
      <c r="V2772" s="122"/>
      <c r="W2772" s="124"/>
      <c r="X2772" s="126" t="s">
        <v>9019</v>
      </c>
      <c r="Y2772" s="127"/>
      <c r="Z2772" s="127"/>
      <c r="AA2772" s="127"/>
      <c r="AB2772" s="128"/>
      <c r="AC2772" s="15" t="s">
        <v>20</v>
      </c>
      <c r="AD2772" s="129"/>
      <c r="AE2772" s="130"/>
      <c r="AF2772" s="130"/>
      <c r="AG2772" s="130"/>
      <c r="AH2772" s="130"/>
      <c r="AI2772" s="131"/>
      <c r="AJ2772" s="132"/>
      <c r="AK2772" s="127"/>
      <c r="AL2772" s="128"/>
      <c r="AM2772" s="21"/>
      <c r="AN2772" s="133">
        <v>45962</v>
      </c>
      <c r="AO2772" s="134"/>
      <c r="AP2772" s="135">
        <v>1274</v>
      </c>
      <c r="AQ2772" s="136"/>
      <c r="AR2772" s="118">
        <v>715000</v>
      </c>
      <c r="AS2772" s="119"/>
      <c r="AT2772" s="118">
        <f t="shared" ref="AT2772" si="1554">AR2772*0.1</f>
        <v>71500</v>
      </c>
      <c r="AU2772" s="119"/>
      <c r="AV2772" s="118">
        <v>17600</v>
      </c>
      <c r="AW2772" s="119"/>
      <c r="AX2772" s="118">
        <f t="shared" ref="AX2772" si="1555">SUM(AR2772:AW2772)</f>
        <v>804100</v>
      </c>
      <c r="AY2772" s="119"/>
      <c r="AZ2772" s="137">
        <v>45965</v>
      </c>
    </row>
    <row r="2773" spans="1:52" ht="17.100000000000001" customHeight="1" thickBot="1">
      <c r="A2773" s="110"/>
      <c r="B2773" s="27" t="s">
        <v>2559</v>
      </c>
      <c r="C2773" s="27">
        <v>38084</v>
      </c>
      <c r="D2773" s="14" t="s">
        <v>1576</v>
      </c>
      <c r="E2773" s="112"/>
      <c r="F2773" s="139" t="s">
        <v>9014</v>
      </c>
      <c r="G2773" s="140"/>
      <c r="H2773" s="141"/>
      <c r="I2773" s="26">
        <v>71484</v>
      </c>
      <c r="J2773" s="117"/>
      <c r="K2773" s="120"/>
      <c r="L2773" s="121"/>
      <c r="M2773" s="120"/>
      <c r="N2773" s="121"/>
      <c r="O2773" s="120"/>
      <c r="P2773" s="121"/>
      <c r="Q2773" s="120"/>
      <c r="R2773" s="121"/>
      <c r="S2773" s="120"/>
      <c r="T2773" s="121"/>
      <c r="U2773" s="120"/>
      <c r="V2773" s="123"/>
      <c r="W2773" s="125"/>
      <c r="X2773" s="142" t="s">
        <v>9334</v>
      </c>
      <c r="Y2773" s="143"/>
      <c r="Z2773" s="143"/>
      <c r="AA2773" s="143"/>
      <c r="AB2773" s="144"/>
      <c r="AC2773" s="16" t="s">
        <v>21</v>
      </c>
      <c r="AD2773" s="17" t="s">
        <v>9274</v>
      </c>
      <c r="AE2773" s="145" t="s">
        <v>9492</v>
      </c>
      <c r="AF2773" s="146"/>
      <c r="AG2773" s="146"/>
      <c r="AH2773" s="146"/>
      <c r="AI2773" s="147"/>
      <c r="AJ2773" s="148"/>
      <c r="AK2773" s="143"/>
      <c r="AL2773" s="144"/>
      <c r="AM2773" s="22"/>
      <c r="AN2773" s="149" t="s">
        <v>2511</v>
      </c>
      <c r="AO2773" s="144"/>
      <c r="AP2773" s="148">
        <v>80016</v>
      </c>
      <c r="AQ2773" s="144"/>
      <c r="AR2773" s="120"/>
      <c r="AS2773" s="121"/>
      <c r="AT2773" s="120"/>
      <c r="AU2773" s="121"/>
      <c r="AV2773" s="120"/>
      <c r="AW2773" s="121"/>
      <c r="AX2773" s="120"/>
      <c r="AY2773" s="121"/>
      <c r="AZ2773" s="138"/>
    </row>
    <row r="2774" spans="1:52" ht="17.100000000000001" customHeight="1" thickTop="1">
      <c r="A2774" s="109" t="s">
        <v>9031</v>
      </c>
      <c r="B2774" s="28">
        <v>45952</v>
      </c>
      <c r="C2774" s="25">
        <v>989</v>
      </c>
      <c r="D2774" s="13" t="s">
        <v>1572</v>
      </c>
      <c r="E2774" s="111"/>
      <c r="F2774" s="113" t="s">
        <v>9035</v>
      </c>
      <c r="G2774" s="114"/>
      <c r="H2774" s="115"/>
      <c r="I2774" s="24"/>
      <c r="J2774" s="116">
        <v>4.5</v>
      </c>
      <c r="K2774" s="118">
        <v>1200000</v>
      </c>
      <c r="L2774" s="119"/>
      <c r="M2774" s="118">
        <f t="shared" ref="M2774" si="1556">K2774*0.1</f>
        <v>120000</v>
      </c>
      <c r="N2774" s="119"/>
      <c r="O2774" s="118">
        <v>0</v>
      </c>
      <c r="P2774" s="119"/>
      <c r="Q2774" s="118">
        <v>9010</v>
      </c>
      <c r="R2774" s="119"/>
      <c r="S2774" s="118">
        <v>12100</v>
      </c>
      <c r="T2774" s="119"/>
      <c r="U2774" s="118">
        <f t="shared" ref="U2774" si="1557">SUM(K2774:T2775)</f>
        <v>1341110</v>
      </c>
      <c r="V2774" s="122"/>
      <c r="W2774" s="124"/>
      <c r="X2774" s="126" t="s">
        <v>9721</v>
      </c>
      <c r="Y2774" s="127"/>
      <c r="Z2774" s="127"/>
      <c r="AA2774" s="127"/>
      <c r="AB2774" s="128"/>
      <c r="AC2774" s="15" t="s">
        <v>20</v>
      </c>
      <c r="AD2774" s="129" t="s">
        <v>9037</v>
      </c>
      <c r="AE2774" s="130"/>
      <c r="AF2774" s="130"/>
      <c r="AG2774" s="130"/>
      <c r="AH2774" s="130"/>
      <c r="AI2774" s="131"/>
      <c r="AJ2774" s="132"/>
      <c r="AK2774" s="127"/>
      <c r="AL2774" s="128"/>
      <c r="AM2774" s="21"/>
      <c r="AN2774" s="133">
        <v>45969</v>
      </c>
      <c r="AO2774" s="134"/>
      <c r="AP2774" s="135">
        <v>1275</v>
      </c>
      <c r="AQ2774" s="136"/>
      <c r="AR2774" s="118">
        <v>1295000</v>
      </c>
      <c r="AS2774" s="119"/>
      <c r="AT2774" s="118">
        <f t="shared" ref="AT2774" si="1558">AR2774*0.1</f>
        <v>129500</v>
      </c>
      <c r="AU2774" s="119"/>
      <c r="AV2774" s="118">
        <v>9010</v>
      </c>
      <c r="AW2774" s="119"/>
      <c r="AX2774" s="118">
        <f t="shared" ref="AX2774" si="1559">SUM(AR2774:AW2774)</f>
        <v>1433510</v>
      </c>
      <c r="AY2774" s="119"/>
      <c r="AZ2774" s="137">
        <v>45972</v>
      </c>
    </row>
    <row r="2775" spans="1:52" ht="17.100000000000001" customHeight="1" thickBot="1">
      <c r="A2775" s="110"/>
      <c r="B2775" s="27" t="s">
        <v>2794</v>
      </c>
      <c r="C2775" s="27">
        <v>1176</v>
      </c>
      <c r="D2775" s="14" t="s">
        <v>1720</v>
      </c>
      <c r="E2775" s="112"/>
      <c r="F2775" s="139" t="s">
        <v>9036</v>
      </c>
      <c r="G2775" s="140"/>
      <c r="H2775" s="141"/>
      <c r="I2775" s="26">
        <v>32495</v>
      </c>
      <c r="J2775" s="117"/>
      <c r="K2775" s="120"/>
      <c r="L2775" s="121"/>
      <c r="M2775" s="120"/>
      <c r="N2775" s="121"/>
      <c r="O2775" s="120"/>
      <c r="P2775" s="121"/>
      <c r="Q2775" s="120"/>
      <c r="R2775" s="121"/>
      <c r="S2775" s="120"/>
      <c r="T2775" s="121"/>
      <c r="U2775" s="120"/>
      <c r="V2775" s="123"/>
      <c r="W2775" s="125"/>
      <c r="X2775" s="142" t="s">
        <v>9722</v>
      </c>
      <c r="Y2775" s="143"/>
      <c r="Z2775" s="143"/>
      <c r="AA2775" s="143"/>
      <c r="AB2775" s="144"/>
      <c r="AC2775" s="16" t="s">
        <v>21</v>
      </c>
      <c r="AD2775" s="17" t="s">
        <v>9662</v>
      </c>
      <c r="AE2775" s="145" t="s">
        <v>1633</v>
      </c>
      <c r="AF2775" s="146"/>
      <c r="AG2775" s="146"/>
      <c r="AH2775" s="146"/>
      <c r="AI2775" s="147"/>
      <c r="AJ2775" s="148"/>
      <c r="AK2775" s="143"/>
      <c r="AL2775" s="144"/>
      <c r="AM2775" s="22"/>
      <c r="AN2775" s="149" t="s">
        <v>2511</v>
      </c>
      <c r="AO2775" s="144"/>
      <c r="AP2775" s="148">
        <v>60246</v>
      </c>
      <c r="AQ2775" s="144"/>
      <c r="AR2775" s="120"/>
      <c r="AS2775" s="121"/>
      <c r="AT2775" s="120"/>
      <c r="AU2775" s="121"/>
      <c r="AV2775" s="120"/>
      <c r="AW2775" s="121"/>
      <c r="AX2775" s="120"/>
      <c r="AY2775" s="121"/>
      <c r="AZ2775" s="138"/>
    </row>
    <row r="2776" spans="1:52" ht="17.100000000000001" customHeight="1" thickTop="1">
      <c r="A2776" s="109" t="s">
        <v>9032</v>
      </c>
      <c r="B2776" s="28">
        <v>45952</v>
      </c>
      <c r="C2776" s="25">
        <v>989</v>
      </c>
      <c r="D2776" s="13" t="s">
        <v>2464</v>
      </c>
      <c r="E2776" s="111"/>
      <c r="F2776" s="113" t="s">
        <v>9038</v>
      </c>
      <c r="G2776" s="114"/>
      <c r="H2776" s="115"/>
      <c r="I2776" s="24" t="s">
        <v>9040</v>
      </c>
      <c r="J2776" s="116">
        <v>4</v>
      </c>
      <c r="K2776" s="118">
        <v>1305000</v>
      </c>
      <c r="L2776" s="119"/>
      <c r="M2776" s="118">
        <f t="shared" ref="M2776" si="1560">K2776*0.1</f>
        <v>130500</v>
      </c>
      <c r="N2776" s="119"/>
      <c r="O2776" s="118">
        <v>0</v>
      </c>
      <c r="P2776" s="119"/>
      <c r="Q2776" s="118">
        <v>8350</v>
      </c>
      <c r="R2776" s="119"/>
      <c r="S2776" s="118">
        <v>12100</v>
      </c>
      <c r="T2776" s="119"/>
      <c r="U2776" s="118">
        <f t="shared" ref="U2776" si="1561">SUM(K2776:T2777)</f>
        <v>1455950</v>
      </c>
      <c r="V2776" s="122"/>
      <c r="W2776" s="124"/>
      <c r="X2776" s="126" t="s">
        <v>9539</v>
      </c>
      <c r="Y2776" s="127"/>
      <c r="Z2776" s="127"/>
      <c r="AA2776" s="127"/>
      <c r="AB2776" s="128"/>
      <c r="AC2776" s="15" t="s">
        <v>20</v>
      </c>
      <c r="AD2776" s="129" t="s">
        <v>2395</v>
      </c>
      <c r="AE2776" s="130"/>
      <c r="AF2776" s="130"/>
      <c r="AG2776" s="130"/>
      <c r="AH2776" s="130"/>
      <c r="AI2776" s="131"/>
      <c r="AJ2776" s="132"/>
      <c r="AK2776" s="127"/>
      <c r="AL2776" s="128"/>
      <c r="AM2776" s="21" t="s">
        <v>10554</v>
      </c>
      <c r="AN2776" s="133">
        <v>45969</v>
      </c>
      <c r="AO2776" s="134"/>
      <c r="AP2776" s="135">
        <v>1275</v>
      </c>
      <c r="AQ2776" s="136"/>
      <c r="AR2776" s="118">
        <v>1450000</v>
      </c>
      <c r="AS2776" s="119"/>
      <c r="AT2776" s="118">
        <f t="shared" ref="AT2776" si="1562">AR2776*0.1</f>
        <v>145000</v>
      </c>
      <c r="AU2776" s="119"/>
      <c r="AV2776" s="118">
        <v>8350</v>
      </c>
      <c r="AW2776" s="119"/>
      <c r="AX2776" s="118">
        <f t="shared" ref="AX2776" si="1563">SUM(AR2776:AW2776)</f>
        <v>1603350</v>
      </c>
      <c r="AY2776" s="119"/>
      <c r="AZ2776" s="137">
        <v>45974</v>
      </c>
    </row>
    <row r="2777" spans="1:52" ht="17.100000000000001" customHeight="1" thickBot="1">
      <c r="A2777" s="110"/>
      <c r="B2777" s="27" t="s">
        <v>2794</v>
      </c>
      <c r="C2777" s="27">
        <v>1493</v>
      </c>
      <c r="D2777" s="14" t="s">
        <v>275</v>
      </c>
      <c r="E2777" s="112"/>
      <c r="F2777" s="139" t="s">
        <v>9039</v>
      </c>
      <c r="G2777" s="140"/>
      <c r="H2777" s="141"/>
      <c r="I2777" s="26">
        <v>5337</v>
      </c>
      <c r="J2777" s="117"/>
      <c r="K2777" s="120"/>
      <c r="L2777" s="121"/>
      <c r="M2777" s="120"/>
      <c r="N2777" s="121"/>
      <c r="O2777" s="120"/>
      <c r="P2777" s="121"/>
      <c r="Q2777" s="120"/>
      <c r="R2777" s="121"/>
      <c r="S2777" s="120"/>
      <c r="T2777" s="121"/>
      <c r="U2777" s="120"/>
      <c r="V2777" s="123"/>
      <c r="W2777" s="125"/>
      <c r="X2777" s="142" t="s">
        <v>2918</v>
      </c>
      <c r="Y2777" s="143"/>
      <c r="Z2777" s="143"/>
      <c r="AA2777" s="143"/>
      <c r="AB2777" s="144"/>
      <c r="AC2777" s="16" t="s">
        <v>21</v>
      </c>
      <c r="AD2777" s="17" t="s">
        <v>1674</v>
      </c>
      <c r="AE2777" s="145" t="s">
        <v>2395</v>
      </c>
      <c r="AF2777" s="146"/>
      <c r="AG2777" s="146"/>
      <c r="AH2777" s="146"/>
      <c r="AI2777" s="147"/>
      <c r="AJ2777" s="148"/>
      <c r="AK2777" s="143"/>
      <c r="AL2777" s="144"/>
      <c r="AM2777" s="22"/>
      <c r="AN2777" s="149" t="s">
        <v>6748</v>
      </c>
      <c r="AO2777" s="144"/>
      <c r="AP2777" s="148">
        <v>60009</v>
      </c>
      <c r="AQ2777" s="144"/>
      <c r="AR2777" s="120"/>
      <c r="AS2777" s="121"/>
      <c r="AT2777" s="120"/>
      <c r="AU2777" s="121"/>
      <c r="AV2777" s="120"/>
      <c r="AW2777" s="121"/>
      <c r="AX2777" s="120"/>
      <c r="AY2777" s="121"/>
      <c r="AZ2777" s="138"/>
    </row>
    <row r="2778" spans="1:52" ht="17.100000000000001" customHeight="1" thickTop="1">
      <c r="A2778" s="109" t="s">
        <v>9033</v>
      </c>
      <c r="B2778" s="28">
        <v>45952</v>
      </c>
      <c r="C2778" s="25">
        <v>989</v>
      </c>
      <c r="D2778" s="13" t="s">
        <v>4121</v>
      </c>
      <c r="E2778" s="111"/>
      <c r="F2778" s="113" t="s">
        <v>9041</v>
      </c>
      <c r="G2778" s="114"/>
      <c r="H2778" s="115"/>
      <c r="I2778" s="24" t="s">
        <v>4193</v>
      </c>
      <c r="J2778" s="116">
        <v>4.5</v>
      </c>
      <c r="K2778" s="118">
        <v>1020000</v>
      </c>
      <c r="L2778" s="119"/>
      <c r="M2778" s="118">
        <f t="shared" ref="M2778" si="1564">K2778*0.1</f>
        <v>102000</v>
      </c>
      <c r="N2778" s="119"/>
      <c r="O2778" s="118">
        <v>0</v>
      </c>
      <c r="P2778" s="119"/>
      <c r="Q2778" s="118">
        <v>9080</v>
      </c>
      <c r="R2778" s="119"/>
      <c r="S2778" s="118">
        <v>12100</v>
      </c>
      <c r="T2778" s="119"/>
      <c r="U2778" s="118">
        <f t="shared" ref="U2778" si="1565">SUM(K2778:T2779)</f>
        <v>1143180</v>
      </c>
      <c r="V2778" s="122"/>
      <c r="W2778" s="124"/>
      <c r="X2778" s="126" t="s">
        <v>9043</v>
      </c>
      <c r="Y2778" s="127"/>
      <c r="Z2778" s="127"/>
      <c r="AA2778" s="127"/>
      <c r="AB2778" s="128"/>
      <c r="AC2778" s="15" t="s">
        <v>20</v>
      </c>
      <c r="AD2778" s="129" t="s">
        <v>9044</v>
      </c>
      <c r="AE2778" s="130"/>
      <c r="AF2778" s="130"/>
      <c r="AG2778" s="130"/>
      <c r="AH2778" s="130"/>
      <c r="AI2778" s="131"/>
      <c r="AJ2778" s="132"/>
      <c r="AK2778" s="127"/>
      <c r="AL2778" s="128"/>
      <c r="AM2778" s="85" t="s">
        <v>9043</v>
      </c>
      <c r="AN2778" s="133">
        <v>45976</v>
      </c>
      <c r="AO2778" s="134"/>
      <c r="AP2778" s="135">
        <v>1276</v>
      </c>
      <c r="AQ2778" s="136"/>
      <c r="AR2778" s="118">
        <v>1175000</v>
      </c>
      <c r="AS2778" s="119"/>
      <c r="AT2778" s="118">
        <f t="shared" ref="AT2778" si="1566">AR2778*0.1</f>
        <v>117500</v>
      </c>
      <c r="AU2778" s="119"/>
      <c r="AV2778" s="118">
        <v>9080</v>
      </c>
      <c r="AW2778" s="119"/>
      <c r="AX2778" s="118">
        <f t="shared" ref="AX2778" si="1567">SUM(AR2778:AW2778)</f>
        <v>1301580</v>
      </c>
      <c r="AY2778" s="119"/>
      <c r="AZ2778" s="137">
        <v>45979</v>
      </c>
    </row>
    <row r="2779" spans="1:52" ht="17.100000000000001" customHeight="1" thickBot="1">
      <c r="A2779" s="110"/>
      <c r="B2779" s="27" t="s">
        <v>2794</v>
      </c>
      <c r="C2779" s="27">
        <v>4012</v>
      </c>
      <c r="D2779" s="14" t="s">
        <v>275</v>
      </c>
      <c r="E2779" s="112"/>
      <c r="F2779" s="139" t="s">
        <v>9042</v>
      </c>
      <c r="G2779" s="140"/>
      <c r="H2779" s="141"/>
      <c r="I2779" s="26">
        <v>47335</v>
      </c>
      <c r="J2779" s="117"/>
      <c r="K2779" s="120"/>
      <c r="L2779" s="121"/>
      <c r="M2779" s="120"/>
      <c r="N2779" s="121"/>
      <c r="O2779" s="120"/>
      <c r="P2779" s="121"/>
      <c r="Q2779" s="120"/>
      <c r="R2779" s="121"/>
      <c r="S2779" s="120"/>
      <c r="T2779" s="121"/>
      <c r="U2779" s="120"/>
      <c r="V2779" s="123"/>
      <c r="W2779" s="125"/>
      <c r="X2779" s="142" t="s">
        <v>9540</v>
      </c>
      <c r="Y2779" s="143"/>
      <c r="Z2779" s="143"/>
      <c r="AA2779" s="143"/>
      <c r="AB2779" s="144"/>
      <c r="AC2779" s="16" t="s">
        <v>21</v>
      </c>
      <c r="AD2779" s="17" t="s">
        <v>1674</v>
      </c>
      <c r="AE2779" s="145" t="s">
        <v>9541</v>
      </c>
      <c r="AF2779" s="146"/>
      <c r="AG2779" s="146"/>
      <c r="AH2779" s="146"/>
      <c r="AI2779" s="147"/>
      <c r="AJ2779" s="148"/>
      <c r="AK2779" s="143"/>
      <c r="AL2779" s="144"/>
      <c r="AM2779" s="22"/>
      <c r="AN2779" s="149" t="s">
        <v>10999</v>
      </c>
      <c r="AO2779" s="144"/>
      <c r="AP2779" s="148">
        <v>60184</v>
      </c>
      <c r="AQ2779" s="144"/>
      <c r="AR2779" s="120"/>
      <c r="AS2779" s="121"/>
      <c r="AT2779" s="120"/>
      <c r="AU2779" s="121"/>
      <c r="AV2779" s="120"/>
      <c r="AW2779" s="121"/>
      <c r="AX2779" s="120"/>
      <c r="AY2779" s="121"/>
      <c r="AZ2779" s="138"/>
    </row>
    <row r="2780" spans="1:52" ht="17.100000000000001" customHeight="1" thickTop="1">
      <c r="A2780" s="109" t="s">
        <v>9034</v>
      </c>
      <c r="B2780" s="28">
        <v>45952</v>
      </c>
      <c r="C2780" s="25">
        <v>989</v>
      </c>
      <c r="D2780" s="13" t="s">
        <v>1686</v>
      </c>
      <c r="E2780" s="111"/>
      <c r="F2780" s="113" t="s">
        <v>9045</v>
      </c>
      <c r="G2780" s="114"/>
      <c r="H2780" s="115"/>
      <c r="I2780" s="24"/>
      <c r="J2780" s="116">
        <v>4.5</v>
      </c>
      <c r="K2780" s="118">
        <v>475000</v>
      </c>
      <c r="L2780" s="119"/>
      <c r="M2780" s="118">
        <f t="shared" ref="M2780" si="1568">K2780*0.1</f>
        <v>47500</v>
      </c>
      <c r="N2780" s="119"/>
      <c r="O2780" s="118">
        <v>0</v>
      </c>
      <c r="P2780" s="119"/>
      <c r="Q2780" s="118">
        <v>6540</v>
      </c>
      <c r="R2780" s="119"/>
      <c r="S2780" s="118">
        <v>12100</v>
      </c>
      <c r="T2780" s="119"/>
      <c r="U2780" s="118">
        <f t="shared" ref="U2780" si="1569">SUM(K2780:T2781)</f>
        <v>541140</v>
      </c>
      <c r="V2780" s="122"/>
      <c r="W2780" s="124"/>
      <c r="X2780" s="126" t="s">
        <v>9542</v>
      </c>
      <c r="Y2780" s="127"/>
      <c r="Z2780" s="127"/>
      <c r="AA2780" s="127"/>
      <c r="AB2780" s="128"/>
      <c r="AC2780" s="15" t="s">
        <v>20</v>
      </c>
      <c r="AD2780" s="129"/>
      <c r="AE2780" s="130"/>
      <c r="AF2780" s="130"/>
      <c r="AG2780" s="130"/>
      <c r="AH2780" s="130"/>
      <c r="AI2780" s="131"/>
      <c r="AJ2780" s="132"/>
      <c r="AK2780" s="127"/>
      <c r="AL2780" s="128"/>
      <c r="AM2780" s="21"/>
      <c r="AN2780" s="133">
        <v>45983</v>
      </c>
      <c r="AO2780" s="134"/>
      <c r="AP2780" s="135">
        <v>1277</v>
      </c>
      <c r="AQ2780" s="136"/>
      <c r="AR2780" s="118">
        <v>500000</v>
      </c>
      <c r="AS2780" s="119"/>
      <c r="AT2780" s="118">
        <f t="shared" ref="AT2780" si="1570">AR2780*0.1</f>
        <v>50000</v>
      </c>
      <c r="AU2780" s="119"/>
      <c r="AV2780" s="118">
        <v>6540</v>
      </c>
      <c r="AW2780" s="119"/>
      <c r="AX2780" s="118">
        <f t="shared" ref="AX2780" si="1571">SUM(AR2780:AW2780)</f>
        <v>556540</v>
      </c>
      <c r="AY2780" s="119"/>
      <c r="AZ2780" s="137">
        <v>45987</v>
      </c>
    </row>
    <row r="2781" spans="1:52" ht="17.100000000000001" customHeight="1" thickBot="1">
      <c r="A2781" s="110"/>
      <c r="B2781" s="27" t="s">
        <v>2794</v>
      </c>
      <c r="C2781" s="27">
        <v>8026</v>
      </c>
      <c r="D2781" s="14" t="s">
        <v>1592</v>
      </c>
      <c r="E2781" s="112"/>
      <c r="F2781" s="139" t="s">
        <v>9046</v>
      </c>
      <c r="G2781" s="140"/>
      <c r="H2781" s="141"/>
      <c r="I2781" s="26">
        <v>16405</v>
      </c>
      <c r="J2781" s="117"/>
      <c r="K2781" s="120"/>
      <c r="L2781" s="121"/>
      <c r="M2781" s="120"/>
      <c r="N2781" s="121"/>
      <c r="O2781" s="120"/>
      <c r="P2781" s="121"/>
      <c r="Q2781" s="120"/>
      <c r="R2781" s="121"/>
      <c r="S2781" s="120"/>
      <c r="T2781" s="121"/>
      <c r="U2781" s="120"/>
      <c r="V2781" s="123"/>
      <c r="W2781" s="125"/>
      <c r="X2781" s="142" t="s">
        <v>9543</v>
      </c>
      <c r="Y2781" s="143"/>
      <c r="Z2781" s="143"/>
      <c r="AA2781" s="143"/>
      <c r="AB2781" s="144"/>
      <c r="AC2781" s="16" t="s">
        <v>21</v>
      </c>
      <c r="AD2781" s="17" t="s">
        <v>1674</v>
      </c>
      <c r="AE2781" s="145" t="s">
        <v>3624</v>
      </c>
      <c r="AF2781" s="146"/>
      <c r="AG2781" s="146"/>
      <c r="AH2781" s="146"/>
      <c r="AI2781" s="147"/>
      <c r="AJ2781" s="148"/>
      <c r="AK2781" s="143"/>
      <c r="AL2781" s="144"/>
      <c r="AM2781" s="22"/>
      <c r="AN2781" s="149" t="s">
        <v>2511</v>
      </c>
      <c r="AO2781" s="144"/>
      <c r="AP2781" s="148">
        <v>60249</v>
      </c>
      <c r="AQ2781" s="144"/>
      <c r="AR2781" s="120"/>
      <c r="AS2781" s="121"/>
      <c r="AT2781" s="120"/>
      <c r="AU2781" s="121"/>
      <c r="AV2781" s="120"/>
      <c r="AW2781" s="121"/>
      <c r="AX2781" s="120"/>
      <c r="AY2781" s="121"/>
      <c r="AZ2781" s="138"/>
    </row>
    <row r="2782" spans="1:52" ht="17.100000000000001" customHeight="1" thickTop="1">
      <c r="A2782" s="109" t="s">
        <v>9134</v>
      </c>
      <c r="B2782" s="28">
        <v>45953</v>
      </c>
      <c r="C2782" s="25">
        <v>1999</v>
      </c>
      <c r="D2782" s="13" t="s">
        <v>1902</v>
      </c>
      <c r="E2782" s="111"/>
      <c r="F2782" s="113" t="s">
        <v>4720</v>
      </c>
      <c r="G2782" s="114"/>
      <c r="H2782" s="115"/>
      <c r="I2782" s="24" t="s">
        <v>2861</v>
      </c>
      <c r="J2782" s="116">
        <v>4</v>
      </c>
      <c r="K2782" s="118">
        <v>1231000</v>
      </c>
      <c r="L2782" s="119"/>
      <c r="M2782" s="118">
        <f t="shared" ref="M2782" si="1572">K2782*0.1</f>
        <v>123100</v>
      </c>
      <c r="N2782" s="119"/>
      <c r="O2782" s="118">
        <v>0</v>
      </c>
      <c r="P2782" s="119"/>
      <c r="Q2782" s="118">
        <v>6830</v>
      </c>
      <c r="R2782" s="119"/>
      <c r="S2782" s="118">
        <v>22000</v>
      </c>
      <c r="T2782" s="119"/>
      <c r="U2782" s="118">
        <f t="shared" ref="U2782" si="1573">SUM(K2782:T2783)</f>
        <v>1382930</v>
      </c>
      <c r="V2782" s="122"/>
      <c r="W2782" s="124"/>
      <c r="X2782" s="126" t="s">
        <v>9068</v>
      </c>
      <c r="Y2782" s="127"/>
      <c r="Z2782" s="127"/>
      <c r="AA2782" s="127"/>
      <c r="AB2782" s="128"/>
      <c r="AC2782" s="15" t="s">
        <v>20</v>
      </c>
      <c r="AD2782" s="129" t="s">
        <v>5075</v>
      </c>
      <c r="AE2782" s="130"/>
      <c r="AF2782" s="130"/>
      <c r="AG2782" s="130"/>
      <c r="AH2782" s="130"/>
      <c r="AI2782" s="131"/>
      <c r="AJ2782" s="132"/>
      <c r="AK2782" s="127"/>
      <c r="AL2782" s="128"/>
      <c r="AM2782" s="21" t="s">
        <v>10042</v>
      </c>
      <c r="AN2782" s="133">
        <v>45962</v>
      </c>
      <c r="AO2782" s="134"/>
      <c r="AP2782" s="135">
        <v>1274</v>
      </c>
      <c r="AQ2782" s="136"/>
      <c r="AR2782" s="118">
        <v>1310000</v>
      </c>
      <c r="AS2782" s="119"/>
      <c r="AT2782" s="118">
        <f t="shared" ref="AT2782" si="1574">AR2782*0.1</f>
        <v>131000</v>
      </c>
      <c r="AU2782" s="119"/>
      <c r="AV2782" s="118">
        <v>6830</v>
      </c>
      <c r="AW2782" s="119"/>
      <c r="AX2782" s="118">
        <f t="shared" ref="AX2782" si="1575">SUM(AR2782:AW2782)</f>
        <v>1447830</v>
      </c>
      <c r="AY2782" s="119"/>
      <c r="AZ2782" s="137">
        <v>45967</v>
      </c>
    </row>
    <row r="2783" spans="1:52" ht="17.100000000000001" customHeight="1" thickBot="1">
      <c r="A2783" s="110"/>
      <c r="B2783" s="27" t="s">
        <v>2200</v>
      </c>
      <c r="C2783" s="27">
        <v>50002</v>
      </c>
      <c r="D2783" s="14" t="s">
        <v>55</v>
      </c>
      <c r="E2783" s="112"/>
      <c r="F2783" s="139" t="s">
        <v>9067</v>
      </c>
      <c r="G2783" s="140"/>
      <c r="H2783" s="141"/>
      <c r="I2783" s="26">
        <v>36900</v>
      </c>
      <c r="J2783" s="117"/>
      <c r="K2783" s="120"/>
      <c r="L2783" s="121"/>
      <c r="M2783" s="120"/>
      <c r="N2783" s="121"/>
      <c r="O2783" s="120"/>
      <c r="P2783" s="121"/>
      <c r="Q2783" s="120"/>
      <c r="R2783" s="121"/>
      <c r="S2783" s="120"/>
      <c r="T2783" s="121"/>
      <c r="U2783" s="120"/>
      <c r="V2783" s="123"/>
      <c r="W2783" s="125"/>
      <c r="X2783" s="142" t="s">
        <v>9710</v>
      </c>
      <c r="Y2783" s="143"/>
      <c r="Z2783" s="143"/>
      <c r="AA2783" s="143"/>
      <c r="AB2783" s="144"/>
      <c r="AC2783" s="16" t="s">
        <v>21</v>
      </c>
      <c r="AD2783" s="17" t="s">
        <v>1674</v>
      </c>
      <c r="AE2783" s="145" t="s">
        <v>5075</v>
      </c>
      <c r="AF2783" s="146"/>
      <c r="AG2783" s="146"/>
      <c r="AH2783" s="146"/>
      <c r="AI2783" s="147"/>
      <c r="AJ2783" s="148"/>
      <c r="AK2783" s="143"/>
      <c r="AL2783" s="144"/>
      <c r="AM2783" s="22"/>
      <c r="AN2783" s="149" t="s">
        <v>2511</v>
      </c>
      <c r="AO2783" s="144"/>
      <c r="AP2783" s="148">
        <v>60001</v>
      </c>
      <c r="AQ2783" s="144"/>
      <c r="AR2783" s="120"/>
      <c r="AS2783" s="121"/>
      <c r="AT2783" s="120"/>
      <c r="AU2783" s="121"/>
      <c r="AV2783" s="120"/>
      <c r="AW2783" s="121"/>
      <c r="AX2783" s="120"/>
      <c r="AY2783" s="121"/>
      <c r="AZ2783" s="138"/>
    </row>
    <row r="2784" spans="1:52" ht="17.100000000000001" customHeight="1" thickTop="1">
      <c r="A2784" s="109" t="s">
        <v>9135</v>
      </c>
      <c r="B2784" s="28">
        <v>45953</v>
      </c>
      <c r="C2784" s="25">
        <v>1999</v>
      </c>
      <c r="D2784" s="13" t="s">
        <v>3322</v>
      </c>
      <c r="E2784" s="111"/>
      <c r="F2784" s="113" t="s">
        <v>9069</v>
      </c>
      <c r="G2784" s="114"/>
      <c r="H2784" s="115"/>
      <c r="I2784" s="24"/>
      <c r="J2784" s="116">
        <v>4</v>
      </c>
      <c r="K2784" s="118">
        <v>405000</v>
      </c>
      <c r="L2784" s="119"/>
      <c r="M2784" s="118">
        <f t="shared" ref="M2784" si="1576">K2784*0.1</f>
        <v>40500</v>
      </c>
      <c r="N2784" s="119"/>
      <c r="O2784" s="118">
        <v>0</v>
      </c>
      <c r="P2784" s="119"/>
      <c r="Q2784" s="118">
        <v>7500</v>
      </c>
      <c r="R2784" s="119"/>
      <c r="S2784" s="118">
        <v>22000</v>
      </c>
      <c r="T2784" s="119"/>
      <c r="U2784" s="118">
        <f t="shared" ref="U2784" si="1577">SUM(K2784:T2785)</f>
        <v>475000</v>
      </c>
      <c r="V2784" s="122"/>
      <c r="W2784" s="124"/>
      <c r="X2784" s="126" t="s">
        <v>9711</v>
      </c>
      <c r="Y2784" s="127"/>
      <c r="Z2784" s="127"/>
      <c r="AA2784" s="127"/>
      <c r="AB2784" s="128"/>
      <c r="AC2784" s="15" t="s">
        <v>20</v>
      </c>
      <c r="AD2784" s="129" t="s">
        <v>1797</v>
      </c>
      <c r="AE2784" s="130"/>
      <c r="AF2784" s="130"/>
      <c r="AG2784" s="130"/>
      <c r="AH2784" s="130"/>
      <c r="AI2784" s="131"/>
      <c r="AJ2784" s="132"/>
      <c r="AK2784" s="127"/>
      <c r="AL2784" s="128"/>
      <c r="AM2784" s="21"/>
      <c r="AN2784" s="133">
        <v>45962</v>
      </c>
      <c r="AO2784" s="134"/>
      <c r="AP2784" s="135">
        <v>1274</v>
      </c>
      <c r="AQ2784" s="136"/>
      <c r="AR2784" s="118">
        <v>500000</v>
      </c>
      <c r="AS2784" s="119"/>
      <c r="AT2784" s="118">
        <f t="shared" ref="AT2784" si="1578">AR2784*0.1</f>
        <v>50000</v>
      </c>
      <c r="AU2784" s="119"/>
      <c r="AV2784" s="118">
        <v>7500</v>
      </c>
      <c r="AW2784" s="119"/>
      <c r="AX2784" s="118">
        <f t="shared" ref="AX2784" si="1579">SUM(AR2784:AW2784)</f>
        <v>557500</v>
      </c>
      <c r="AY2784" s="119"/>
      <c r="AZ2784" s="137">
        <v>45965</v>
      </c>
    </row>
    <row r="2785" spans="1:52" ht="17.100000000000001" customHeight="1" thickBot="1">
      <c r="A2785" s="110"/>
      <c r="B2785" s="27" t="s">
        <v>2200</v>
      </c>
      <c r="C2785" s="27">
        <v>50176</v>
      </c>
      <c r="D2785" s="14" t="s">
        <v>1592</v>
      </c>
      <c r="E2785" s="112"/>
      <c r="F2785" s="139" t="s">
        <v>9070</v>
      </c>
      <c r="G2785" s="140"/>
      <c r="H2785" s="141"/>
      <c r="I2785" s="26">
        <v>9117</v>
      </c>
      <c r="J2785" s="117"/>
      <c r="K2785" s="120"/>
      <c r="L2785" s="121"/>
      <c r="M2785" s="120"/>
      <c r="N2785" s="121"/>
      <c r="O2785" s="120"/>
      <c r="P2785" s="121"/>
      <c r="Q2785" s="120"/>
      <c r="R2785" s="121"/>
      <c r="S2785" s="120"/>
      <c r="T2785" s="121"/>
      <c r="U2785" s="120"/>
      <c r="V2785" s="123"/>
      <c r="W2785" s="125"/>
      <c r="X2785" s="142" t="s">
        <v>3986</v>
      </c>
      <c r="Y2785" s="143"/>
      <c r="Z2785" s="143"/>
      <c r="AA2785" s="143"/>
      <c r="AB2785" s="144"/>
      <c r="AC2785" s="16" t="s">
        <v>21</v>
      </c>
      <c r="AD2785" s="17" t="s">
        <v>9662</v>
      </c>
      <c r="AE2785" s="145" t="s">
        <v>1670</v>
      </c>
      <c r="AF2785" s="146"/>
      <c r="AG2785" s="146"/>
      <c r="AH2785" s="146"/>
      <c r="AI2785" s="147"/>
      <c r="AJ2785" s="148"/>
      <c r="AK2785" s="143"/>
      <c r="AL2785" s="144"/>
      <c r="AM2785" s="22"/>
      <c r="AN2785" s="149" t="s">
        <v>2511</v>
      </c>
      <c r="AO2785" s="144"/>
      <c r="AP2785" s="148">
        <v>60011</v>
      </c>
      <c r="AQ2785" s="144"/>
      <c r="AR2785" s="120"/>
      <c r="AS2785" s="121"/>
      <c r="AT2785" s="120"/>
      <c r="AU2785" s="121"/>
      <c r="AV2785" s="120"/>
      <c r="AW2785" s="121"/>
      <c r="AX2785" s="120"/>
      <c r="AY2785" s="121"/>
      <c r="AZ2785" s="138"/>
    </row>
    <row r="2786" spans="1:52" ht="17.100000000000001" customHeight="1" thickTop="1">
      <c r="A2786" s="151" t="s">
        <v>9136</v>
      </c>
      <c r="B2786" s="28">
        <v>45953</v>
      </c>
      <c r="C2786" s="25">
        <v>1955</v>
      </c>
      <c r="D2786" s="13" t="s">
        <v>1825</v>
      </c>
      <c r="E2786" s="111"/>
      <c r="F2786" s="113" t="s">
        <v>5433</v>
      </c>
      <c r="G2786" s="114"/>
      <c r="H2786" s="115"/>
      <c r="I2786" s="24"/>
      <c r="J2786" s="116">
        <v>4.5</v>
      </c>
      <c r="K2786" s="118">
        <v>1173000</v>
      </c>
      <c r="L2786" s="119"/>
      <c r="M2786" s="118">
        <f t="shared" ref="M2786" si="1580">K2786*0.1</f>
        <v>117300</v>
      </c>
      <c r="N2786" s="119"/>
      <c r="O2786" s="118">
        <v>0</v>
      </c>
      <c r="P2786" s="119"/>
      <c r="Q2786" s="118">
        <v>8990</v>
      </c>
      <c r="R2786" s="119"/>
      <c r="S2786" s="118">
        <v>15950</v>
      </c>
      <c r="T2786" s="119"/>
      <c r="U2786" s="118">
        <f t="shared" ref="U2786" si="1581">SUM(K2786:T2787)</f>
        <v>1315240</v>
      </c>
      <c r="V2786" s="122"/>
      <c r="W2786" s="124"/>
      <c r="X2786" s="126" t="s">
        <v>9407</v>
      </c>
      <c r="Y2786" s="127"/>
      <c r="Z2786" s="127"/>
      <c r="AA2786" s="127"/>
      <c r="AB2786" s="128"/>
      <c r="AC2786" s="15" t="s">
        <v>20</v>
      </c>
      <c r="AD2786" s="129" t="s">
        <v>1670</v>
      </c>
      <c r="AE2786" s="130"/>
      <c r="AF2786" s="130"/>
      <c r="AG2786" s="130"/>
      <c r="AH2786" s="130"/>
      <c r="AI2786" s="131"/>
      <c r="AJ2786" s="132"/>
      <c r="AK2786" s="127"/>
      <c r="AL2786" s="128"/>
      <c r="AM2786" s="21"/>
      <c r="AN2786" s="133">
        <v>46039</v>
      </c>
      <c r="AO2786" s="134"/>
      <c r="AP2786" s="135">
        <v>1284</v>
      </c>
      <c r="AQ2786" s="136"/>
      <c r="AR2786" s="118">
        <v>1240000</v>
      </c>
      <c r="AS2786" s="119"/>
      <c r="AT2786" s="118">
        <f t="shared" ref="AT2786" si="1582">AR2786*0.1</f>
        <v>124000</v>
      </c>
      <c r="AU2786" s="119"/>
      <c r="AV2786" s="118">
        <v>8990</v>
      </c>
      <c r="AW2786" s="119"/>
      <c r="AX2786" s="118">
        <f t="shared" ref="AX2786" si="1583">SUM(AR2786:AW2786)</f>
        <v>1372990</v>
      </c>
      <c r="AY2786" s="119"/>
      <c r="AZ2786" s="137">
        <v>46042</v>
      </c>
    </row>
    <row r="2787" spans="1:52" ht="17.100000000000001" customHeight="1" thickBot="1">
      <c r="A2787" s="152"/>
      <c r="B2787" s="27" t="s">
        <v>3792</v>
      </c>
      <c r="C2787" s="27">
        <v>62021</v>
      </c>
      <c r="D2787" s="14" t="s">
        <v>1592</v>
      </c>
      <c r="E2787" s="112"/>
      <c r="F2787" s="139" t="s">
        <v>9122</v>
      </c>
      <c r="G2787" s="140"/>
      <c r="H2787" s="141"/>
      <c r="I2787" s="26">
        <v>49330</v>
      </c>
      <c r="J2787" s="117"/>
      <c r="K2787" s="120"/>
      <c r="L2787" s="121"/>
      <c r="M2787" s="120"/>
      <c r="N2787" s="121"/>
      <c r="O2787" s="120"/>
      <c r="P2787" s="121"/>
      <c r="Q2787" s="120"/>
      <c r="R2787" s="121"/>
      <c r="S2787" s="120"/>
      <c r="T2787" s="121"/>
      <c r="U2787" s="120"/>
      <c r="V2787" s="123"/>
      <c r="W2787" s="125"/>
      <c r="X2787" s="142" t="s">
        <v>3795</v>
      </c>
      <c r="Y2787" s="143"/>
      <c r="Z2787" s="143"/>
      <c r="AA2787" s="143"/>
      <c r="AB2787" s="144"/>
      <c r="AC2787" s="16" t="s">
        <v>21</v>
      </c>
      <c r="AD2787" s="17" t="s">
        <v>3341</v>
      </c>
      <c r="AE2787" s="145" t="s">
        <v>1670</v>
      </c>
      <c r="AF2787" s="146"/>
      <c r="AG2787" s="146"/>
      <c r="AH2787" s="146"/>
      <c r="AI2787" s="147"/>
      <c r="AJ2787" s="148"/>
      <c r="AK2787" s="143"/>
      <c r="AL2787" s="144"/>
      <c r="AM2787" s="22"/>
      <c r="AN2787" s="149" t="s">
        <v>2511</v>
      </c>
      <c r="AO2787" s="144"/>
      <c r="AP2787" s="148">
        <v>41053</v>
      </c>
      <c r="AQ2787" s="144"/>
      <c r="AR2787" s="120"/>
      <c r="AS2787" s="121"/>
      <c r="AT2787" s="120"/>
      <c r="AU2787" s="121"/>
      <c r="AV2787" s="120"/>
      <c r="AW2787" s="121"/>
      <c r="AX2787" s="120"/>
      <c r="AY2787" s="121"/>
      <c r="AZ2787" s="138"/>
    </row>
    <row r="2788" spans="1:52" ht="17.100000000000001" customHeight="1" thickTop="1">
      <c r="A2788" s="109" t="s">
        <v>9137</v>
      </c>
      <c r="B2788" s="28">
        <v>45953</v>
      </c>
      <c r="C2788" s="25">
        <v>1238</v>
      </c>
      <c r="D2788" s="13" t="s">
        <v>2606</v>
      </c>
      <c r="E2788" s="111"/>
      <c r="F2788" s="113" t="s">
        <v>9123</v>
      </c>
      <c r="G2788" s="114"/>
      <c r="H2788" s="115"/>
      <c r="I2788" s="24" t="s">
        <v>4096</v>
      </c>
      <c r="J2788" s="116">
        <v>4</v>
      </c>
      <c r="K2788" s="118">
        <v>2000000</v>
      </c>
      <c r="L2788" s="119"/>
      <c r="M2788" s="118">
        <f t="shared" ref="M2788" si="1584">K2788*0.1</f>
        <v>200000</v>
      </c>
      <c r="N2788" s="119"/>
      <c r="O2788" s="118">
        <v>16500</v>
      </c>
      <c r="P2788" s="119"/>
      <c r="Q2788" s="118">
        <v>19090</v>
      </c>
      <c r="R2788" s="119"/>
      <c r="S2788" s="118">
        <v>15950</v>
      </c>
      <c r="T2788" s="119"/>
      <c r="U2788" s="118">
        <f t="shared" ref="U2788" si="1585">SUM(K2788:T2789)</f>
        <v>2251540</v>
      </c>
      <c r="V2788" s="122"/>
      <c r="W2788" s="124"/>
      <c r="X2788" s="126" t="s">
        <v>9125</v>
      </c>
      <c r="Y2788" s="127"/>
      <c r="Z2788" s="127"/>
      <c r="AA2788" s="127"/>
      <c r="AB2788" s="128"/>
      <c r="AC2788" s="15" t="s">
        <v>20</v>
      </c>
      <c r="AD2788" s="129"/>
      <c r="AE2788" s="130"/>
      <c r="AF2788" s="130"/>
      <c r="AG2788" s="130"/>
      <c r="AH2788" s="130"/>
      <c r="AI2788" s="131"/>
      <c r="AJ2788" s="132"/>
      <c r="AK2788" s="127"/>
      <c r="AL2788" s="128"/>
      <c r="AM2788" s="21" t="s">
        <v>11635</v>
      </c>
      <c r="AN2788" s="133">
        <v>46037</v>
      </c>
      <c r="AO2788" s="134"/>
      <c r="AP2788" s="135"/>
      <c r="AQ2788" s="136"/>
      <c r="AR2788" s="118">
        <v>3180000</v>
      </c>
      <c r="AS2788" s="119"/>
      <c r="AT2788" s="118">
        <v>0</v>
      </c>
      <c r="AU2788" s="119"/>
      <c r="AV2788" s="118">
        <v>0</v>
      </c>
      <c r="AW2788" s="119"/>
      <c r="AX2788" s="118">
        <f t="shared" ref="AX2788" si="1586">SUM(AR2788:AW2788)</f>
        <v>3180000</v>
      </c>
      <c r="AY2788" s="119"/>
      <c r="AZ2788" s="137">
        <v>46075</v>
      </c>
    </row>
    <row r="2789" spans="1:52" ht="17.100000000000001" customHeight="1" thickBot="1">
      <c r="A2789" s="110"/>
      <c r="B2789" s="27" t="s">
        <v>7568</v>
      </c>
      <c r="C2789" s="27">
        <v>78063</v>
      </c>
      <c r="D2789" s="14" t="s">
        <v>1635</v>
      </c>
      <c r="E2789" s="112"/>
      <c r="F2789" s="139" t="s">
        <v>9124</v>
      </c>
      <c r="G2789" s="140"/>
      <c r="H2789" s="141"/>
      <c r="I2789" s="26">
        <v>41584</v>
      </c>
      <c r="J2789" s="117"/>
      <c r="K2789" s="120"/>
      <c r="L2789" s="121"/>
      <c r="M2789" s="120"/>
      <c r="N2789" s="121"/>
      <c r="O2789" s="120"/>
      <c r="P2789" s="121"/>
      <c r="Q2789" s="120"/>
      <c r="R2789" s="121"/>
      <c r="S2789" s="120"/>
      <c r="T2789" s="121"/>
      <c r="U2789" s="120"/>
      <c r="V2789" s="123"/>
      <c r="W2789" s="125"/>
      <c r="X2789" s="142" t="s">
        <v>8334</v>
      </c>
      <c r="Y2789" s="143"/>
      <c r="Z2789" s="143"/>
      <c r="AA2789" s="143"/>
      <c r="AB2789" s="144"/>
      <c r="AC2789" s="16" t="s">
        <v>21</v>
      </c>
      <c r="AD2789" s="17" t="s">
        <v>9662</v>
      </c>
      <c r="AE2789" s="145" t="s">
        <v>10053</v>
      </c>
      <c r="AF2789" s="146"/>
      <c r="AG2789" s="146"/>
      <c r="AH2789" s="146"/>
      <c r="AI2789" s="147"/>
      <c r="AJ2789" s="148"/>
      <c r="AK2789" s="143"/>
      <c r="AL2789" s="144"/>
      <c r="AM2789" s="22"/>
      <c r="AN2789" s="149" t="s">
        <v>21631</v>
      </c>
      <c r="AO2789" s="144"/>
      <c r="AP2789" s="148"/>
      <c r="AQ2789" s="144"/>
      <c r="AR2789" s="120"/>
      <c r="AS2789" s="121"/>
      <c r="AT2789" s="120"/>
      <c r="AU2789" s="121"/>
      <c r="AV2789" s="120"/>
      <c r="AW2789" s="121"/>
      <c r="AX2789" s="120"/>
      <c r="AY2789" s="121"/>
      <c r="AZ2789" s="138"/>
    </row>
    <row r="2790" spans="1:52" ht="17.100000000000001" customHeight="1" thickTop="1">
      <c r="A2790" s="109" t="s">
        <v>9138</v>
      </c>
      <c r="B2790" s="28">
        <v>45953</v>
      </c>
      <c r="C2790" s="25">
        <v>1303</v>
      </c>
      <c r="D2790" s="13" t="s">
        <v>3478</v>
      </c>
      <c r="E2790" s="111"/>
      <c r="F2790" s="113" t="s">
        <v>9150</v>
      </c>
      <c r="G2790" s="114"/>
      <c r="H2790" s="115"/>
      <c r="I2790" s="24"/>
      <c r="J2790" s="116">
        <v>4.5</v>
      </c>
      <c r="K2790" s="118">
        <v>1640000</v>
      </c>
      <c r="L2790" s="119"/>
      <c r="M2790" s="118">
        <f t="shared" ref="M2790" si="1587">K2790*0.1</f>
        <v>164000</v>
      </c>
      <c r="N2790" s="119"/>
      <c r="O2790" s="118">
        <v>0</v>
      </c>
      <c r="P2790" s="119"/>
      <c r="Q2790" s="118">
        <v>21500</v>
      </c>
      <c r="R2790" s="119"/>
      <c r="S2790" s="118">
        <v>16500</v>
      </c>
      <c r="T2790" s="119"/>
      <c r="U2790" s="118">
        <f t="shared" ref="U2790" si="1588">SUM(K2790:T2791)</f>
        <v>1842000</v>
      </c>
      <c r="V2790" s="122"/>
      <c r="W2790" s="124"/>
      <c r="X2790" s="126" t="s">
        <v>9775</v>
      </c>
      <c r="Y2790" s="127"/>
      <c r="Z2790" s="127"/>
      <c r="AA2790" s="127"/>
      <c r="AB2790" s="128"/>
      <c r="AC2790" s="15" t="s">
        <v>20</v>
      </c>
      <c r="AD2790" s="129" t="s">
        <v>2259</v>
      </c>
      <c r="AE2790" s="130"/>
      <c r="AF2790" s="130"/>
      <c r="AG2790" s="130"/>
      <c r="AH2790" s="130"/>
      <c r="AI2790" s="131"/>
      <c r="AJ2790" s="132"/>
      <c r="AK2790" s="127"/>
      <c r="AL2790" s="128"/>
      <c r="AM2790" s="21"/>
      <c r="AN2790" s="133">
        <v>45983</v>
      </c>
      <c r="AO2790" s="134"/>
      <c r="AP2790" s="135">
        <v>1277</v>
      </c>
      <c r="AQ2790" s="136"/>
      <c r="AR2790" s="118">
        <v>1760000</v>
      </c>
      <c r="AS2790" s="119"/>
      <c r="AT2790" s="118">
        <f t="shared" ref="AT2790" si="1589">AR2790*0.1</f>
        <v>176000</v>
      </c>
      <c r="AU2790" s="119"/>
      <c r="AV2790" s="118">
        <v>21500</v>
      </c>
      <c r="AW2790" s="119"/>
      <c r="AX2790" s="118">
        <f t="shared" ref="AX2790" si="1590">SUM(AR2790:AW2790)</f>
        <v>1957500</v>
      </c>
      <c r="AY2790" s="119"/>
      <c r="AZ2790" s="137">
        <v>45987</v>
      </c>
    </row>
    <row r="2791" spans="1:52" ht="17.100000000000001" customHeight="1" thickBot="1">
      <c r="A2791" s="110"/>
      <c r="B2791" s="27" t="s">
        <v>1747</v>
      </c>
      <c r="C2791" s="27">
        <v>38</v>
      </c>
      <c r="D2791" s="14" t="s">
        <v>2800</v>
      </c>
      <c r="E2791" s="112"/>
      <c r="F2791" s="139" t="s">
        <v>9151</v>
      </c>
      <c r="G2791" s="140"/>
      <c r="H2791" s="141"/>
      <c r="I2791" s="26">
        <v>58613</v>
      </c>
      <c r="J2791" s="117"/>
      <c r="K2791" s="120"/>
      <c r="L2791" s="121"/>
      <c r="M2791" s="120"/>
      <c r="N2791" s="121"/>
      <c r="O2791" s="120"/>
      <c r="P2791" s="121"/>
      <c r="Q2791" s="120"/>
      <c r="R2791" s="121"/>
      <c r="S2791" s="120"/>
      <c r="T2791" s="121"/>
      <c r="U2791" s="120"/>
      <c r="V2791" s="123"/>
      <c r="W2791" s="125"/>
      <c r="X2791" s="142" t="s">
        <v>2883</v>
      </c>
      <c r="Y2791" s="143"/>
      <c r="Z2791" s="143"/>
      <c r="AA2791" s="143"/>
      <c r="AB2791" s="144"/>
      <c r="AC2791" s="16" t="s">
        <v>21</v>
      </c>
      <c r="AD2791" s="17" t="s">
        <v>3335</v>
      </c>
      <c r="AE2791" s="145" t="s">
        <v>1742</v>
      </c>
      <c r="AF2791" s="146"/>
      <c r="AG2791" s="146"/>
      <c r="AH2791" s="146"/>
      <c r="AI2791" s="147"/>
      <c r="AJ2791" s="148"/>
      <c r="AK2791" s="143"/>
      <c r="AL2791" s="144"/>
      <c r="AM2791" s="22"/>
      <c r="AN2791" s="149" t="s">
        <v>2511</v>
      </c>
      <c r="AO2791" s="144"/>
      <c r="AP2791" s="148">
        <v>80138</v>
      </c>
      <c r="AQ2791" s="144"/>
      <c r="AR2791" s="120"/>
      <c r="AS2791" s="121"/>
      <c r="AT2791" s="120"/>
      <c r="AU2791" s="121"/>
      <c r="AV2791" s="120"/>
      <c r="AW2791" s="121"/>
      <c r="AX2791" s="120"/>
      <c r="AY2791" s="121"/>
      <c r="AZ2791" s="138"/>
    </row>
    <row r="2792" spans="1:52" ht="17.100000000000001" customHeight="1" thickTop="1">
      <c r="A2792" s="109" t="s">
        <v>9139</v>
      </c>
      <c r="B2792" s="28">
        <v>45953</v>
      </c>
      <c r="C2792" s="25">
        <v>1303</v>
      </c>
      <c r="D2792" s="13" t="s">
        <v>1744</v>
      </c>
      <c r="E2792" s="111"/>
      <c r="F2792" s="113" t="s">
        <v>9178</v>
      </c>
      <c r="G2792" s="114"/>
      <c r="H2792" s="115"/>
      <c r="I2792" s="24"/>
      <c r="J2792" s="116">
        <v>4.5</v>
      </c>
      <c r="K2792" s="118">
        <v>3180000</v>
      </c>
      <c r="L2792" s="119"/>
      <c r="M2792" s="118">
        <f t="shared" ref="M2792" si="1591">K2792*0.1</f>
        <v>318000</v>
      </c>
      <c r="N2792" s="119"/>
      <c r="O2792" s="118">
        <v>0</v>
      </c>
      <c r="P2792" s="119"/>
      <c r="Q2792" s="118">
        <v>21420</v>
      </c>
      <c r="R2792" s="119"/>
      <c r="S2792" s="118">
        <v>16500</v>
      </c>
      <c r="T2792" s="119"/>
      <c r="U2792" s="118">
        <f t="shared" ref="U2792" si="1592">SUM(K2792:T2793)</f>
        <v>3535920</v>
      </c>
      <c r="V2792" s="122"/>
      <c r="W2792" s="124"/>
      <c r="X2792" s="126" t="s">
        <v>9679</v>
      </c>
      <c r="Y2792" s="127"/>
      <c r="Z2792" s="127"/>
      <c r="AA2792" s="127"/>
      <c r="AB2792" s="128"/>
      <c r="AC2792" s="15" t="s">
        <v>20</v>
      </c>
      <c r="AD2792" s="129" t="s">
        <v>1565</v>
      </c>
      <c r="AE2792" s="130"/>
      <c r="AF2792" s="130"/>
      <c r="AG2792" s="130"/>
      <c r="AH2792" s="130"/>
      <c r="AI2792" s="131"/>
      <c r="AJ2792" s="132"/>
      <c r="AK2792" s="127"/>
      <c r="AL2792" s="128"/>
      <c r="AM2792" s="21"/>
      <c r="AN2792" s="133">
        <v>45962</v>
      </c>
      <c r="AO2792" s="134"/>
      <c r="AP2792" s="135">
        <v>1274</v>
      </c>
      <c r="AQ2792" s="136"/>
      <c r="AR2792" s="118">
        <v>3205000</v>
      </c>
      <c r="AS2792" s="119"/>
      <c r="AT2792" s="118">
        <f t="shared" ref="AT2792" si="1593">AR2792*0.1</f>
        <v>320500</v>
      </c>
      <c r="AU2792" s="119"/>
      <c r="AV2792" s="118">
        <v>21420</v>
      </c>
      <c r="AW2792" s="119"/>
      <c r="AX2792" s="118">
        <f t="shared" ref="AX2792" si="1594">SUM(AR2792:AW2792)</f>
        <v>3546920</v>
      </c>
      <c r="AY2792" s="119"/>
      <c r="AZ2792" s="137">
        <v>45965</v>
      </c>
    </row>
    <row r="2793" spans="1:52" ht="17.100000000000001" customHeight="1" thickBot="1">
      <c r="A2793" s="110"/>
      <c r="B2793" s="27" t="s">
        <v>1747</v>
      </c>
      <c r="C2793" s="27">
        <v>210</v>
      </c>
      <c r="D2793" s="14" t="s">
        <v>275</v>
      </c>
      <c r="E2793" s="112"/>
      <c r="F2793" s="139" t="s">
        <v>9152</v>
      </c>
      <c r="G2793" s="140"/>
      <c r="H2793" s="141"/>
      <c r="I2793" s="26">
        <v>14335</v>
      </c>
      <c r="J2793" s="117"/>
      <c r="K2793" s="120"/>
      <c r="L2793" s="121"/>
      <c r="M2793" s="120"/>
      <c r="N2793" s="121"/>
      <c r="O2793" s="120"/>
      <c r="P2793" s="121"/>
      <c r="Q2793" s="120"/>
      <c r="R2793" s="121"/>
      <c r="S2793" s="120"/>
      <c r="T2793" s="121"/>
      <c r="U2793" s="120"/>
      <c r="V2793" s="123"/>
      <c r="W2793" s="125"/>
      <c r="X2793" s="142" t="s">
        <v>9680</v>
      </c>
      <c r="Y2793" s="143"/>
      <c r="Z2793" s="143"/>
      <c r="AA2793" s="143"/>
      <c r="AB2793" s="144"/>
      <c r="AC2793" s="16" t="s">
        <v>21</v>
      </c>
      <c r="AD2793" s="17" t="s">
        <v>9662</v>
      </c>
      <c r="AE2793" s="145" t="s">
        <v>1614</v>
      </c>
      <c r="AF2793" s="146"/>
      <c r="AG2793" s="146"/>
      <c r="AH2793" s="146"/>
      <c r="AI2793" s="147"/>
      <c r="AJ2793" s="148"/>
      <c r="AK2793" s="143"/>
      <c r="AL2793" s="144"/>
      <c r="AM2793" s="22"/>
      <c r="AN2793" s="149" t="s">
        <v>2511</v>
      </c>
      <c r="AO2793" s="144"/>
      <c r="AP2793" s="148">
        <v>80056</v>
      </c>
      <c r="AQ2793" s="144"/>
      <c r="AR2793" s="120"/>
      <c r="AS2793" s="121"/>
      <c r="AT2793" s="120"/>
      <c r="AU2793" s="121"/>
      <c r="AV2793" s="120"/>
      <c r="AW2793" s="121"/>
      <c r="AX2793" s="120"/>
      <c r="AY2793" s="121"/>
      <c r="AZ2793" s="138"/>
    </row>
    <row r="2794" spans="1:52" ht="17.100000000000001" customHeight="1" thickTop="1">
      <c r="A2794" s="109" t="s">
        <v>9140</v>
      </c>
      <c r="B2794" s="28">
        <v>45953</v>
      </c>
      <c r="C2794" s="25">
        <v>1303</v>
      </c>
      <c r="D2794" s="13" t="s">
        <v>1714</v>
      </c>
      <c r="E2794" s="111"/>
      <c r="F2794" s="113" t="s">
        <v>9153</v>
      </c>
      <c r="G2794" s="114"/>
      <c r="H2794" s="115"/>
      <c r="I2794" s="24"/>
      <c r="J2794" s="116">
        <v>4.5</v>
      </c>
      <c r="K2794" s="118">
        <v>1950000</v>
      </c>
      <c r="L2794" s="119"/>
      <c r="M2794" s="118">
        <v>195000</v>
      </c>
      <c r="N2794" s="119"/>
      <c r="O2794" s="118">
        <v>0</v>
      </c>
      <c r="P2794" s="119"/>
      <c r="Q2794" s="118">
        <v>19880</v>
      </c>
      <c r="R2794" s="119"/>
      <c r="S2794" s="118">
        <v>16500</v>
      </c>
      <c r="T2794" s="119"/>
      <c r="U2794" s="118">
        <f t="shared" ref="U2794" si="1595">SUM(K2794:T2795)</f>
        <v>2181380</v>
      </c>
      <c r="V2794" s="122"/>
      <c r="W2794" s="124"/>
      <c r="X2794" s="126" t="s">
        <v>9333</v>
      </c>
      <c r="Y2794" s="127"/>
      <c r="Z2794" s="127"/>
      <c r="AA2794" s="127"/>
      <c r="AB2794" s="128"/>
      <c r="AC2794" s="15" t="s">
        <v>20</v>
      </c>
      <c r="AD2794" s="129" t="s">
        <v>3412</v>
      </c>
      <c r="AE2794" s="130"/>
      <c r="AF2794" s="130"/>
      <c r="AG2794" s="130"/>
      <c r="AH2794" s="130"/>
      <c r="AI2794" s="131"/>
      <c r="AJ2794" s="132"/>
      <c r="AK2794" s="127"/>
      <c r="AL2794" s="128"/>
      <c r="AM2794" s="21"/>
      <c r="AN2794" s="133">
        <v>45955</v>
      </c>
      <c r="AO2794" s="134"/>
      <c r="AP2794" s="135">
        <v>1273</v>
      </c>
      <c r="AQ2794" s="136"/>
      <c r="AR2794" s="118">
        <v>2125000</v>
      </c>
      <c r="AS2794" s="119"/>
      <c r="AT2794" s="118">
        <f t="shared" ref="AT2794" si="1596">AR2794*0.1</f>
        <v>212500</v>
      </c>
      <c r="AU2794" s="119"/>
      <c r="AV2794" s="118">
        <v>19880</v>
      </c>
      <c r="AW2794" s="119"/>
      <c r="AX2794" s="118">
        <f t="shared" ref="AX2794" si="1597">SUM(AR2794:AW2794)</f>
        <v>2357380</v>
      </c>
      <c r="AY2794" s="119"/>
      <c r="AZ2794" s="137">
        <v>45958</v>
      </c>
    </row>
    <row r="2795" spans="1:52" ht="17.100000000000001" customHeight="1" thickBot="1">
      <c r="A2795" s="110"/>
      <c r="B2795" s="27" t="s">
        <v>1747</v>
      </c>
      <c r="C2795" s="27">
        <v>304</v>
      </c>
      <c r="D2795" s="14" t="s">
        <v>2601</v>
      </c>
      <c r="E2795" s="112"/>
      <c r="F2795" s="139" t="s">
        <v>9154</v>
      </c>
      <c r="G2795" s="140"/>
      <c r="H2795" s="141"/>
      <c r="I2795" s="26">
        <v>25603</v>
      </c>
      <c r="J2795" s="117"/>
      <c r="K2795" s="120"/>
      <c r="L2795" s="121"/>
      <c r="M2795" s="120"/>
      <c r="N2795" s="121"/>
      <c r="O2795" s="120"/>
      <c r="P2795" s="121"/>
      <c r="Q2795" s="120"/>
      <c r="R2795" s="121"/>
      <c r="S2795" s="120"/>
      <c r="T2795" s="121"/>
      <c r="U2795" s="120"/>
      <c r="V2795" s="123"/>
      <c r="W2795" s="125"/>
      <c r="X2795" s="142" t="s">
        <v>6942</v>
      </c>
      <c r="Y2795" s="143"/>
      <c r="Z2795" s="143"/>
      <c r="AA2795" s="143"/>
      <c r="AB2795" s="144"/>
      <c r="AC2795" s="16" t="s">
        <v>21</v>
      </c>
      <c r="AD2795" s="17" t="s">
        <v>9274</v>
      </c>
      <c r="AE2795" s="145" t="s">
        <v>1614</v>
      </c>
      <c r="AF2795" s="146"/>
      <c r="AG2795" s="146"/>
      <c r="AH2795" s="146"/>
      <c r="AI2795" s="147"/>
      <c r="AJ2795" s="148"/>
      <c r="AK2795" s="143"/>
      <c r="AL2795" s="144"/>
      <c r="AM2795" s="22"/>
      <c r="AN2795" s="149" t="s">
        <v>2511</v>
      </c>
      <c r="AO2795" s="144"/>
      <c r="AP2795" s="148">
        <v>80319</v>
      </c>
      <c r="AQ2795" s="144"/>
      <c r="AR2795" s="120"/>
      <c r="AS2795" s="121"/>
      <c r="AT2795" s="120"/>
      <c r="AU2795" s="121"/>
      <c r="AV2795" s="120"/>
      <c r="AW2795" s="121"/>
      <c r="AX2795" s="120"/>
      <c r="AY2795" s="121"/>
      <c r="AZ2795" s="138"/>
    </row>
    <row r="2796" spans="1:52" ht="17.100000000000001" customHeight="1" thickTop="1">
      <c r="A2796" s="109" t="s">
        <v>9141</v>
      </c>
      <c r="B2796" s="28">
        <v>45953</v>
      </c>
      <c r="C2796" s="25">
        <v>1303</v>
      </c>
      <c r="D2796" s="13" t="s">
        <v>3921</v>
      </c>
      <c r="E2796" s="111"/>
      <c r="F2796" s="113" t="s">
        <v>9155</v>
      </c>
      <c r="G2796" s="114"/>
      <c r="H2796" s="115"/>
      <c r="I2796" s="24" t="s">
        <v>2533</v>
      </c>
      <c r="J2796" s="116">
        <v>4</v>
      </c>
      <c r="K2796" s="118">
        <v>2520000</v>
      </c>
      <c r="L2796" s="119"/>
      <c r="M2796" s="118">
        <f t="shared" ref="M2796" si="1598">K2796*0.1</f>
        <v>252000</v>
      </c>
      <c r="N2796" s="119"/>
      <c r="O2796" s="118">
        <f>18700+1870</f>
        <v>20570</v>
      </c>
      <c r="P2796" s="119"/>
      <c r="Q2796" s="118">
        <v>17820</v>
      </c>
      <c r="R2796" s="119"/>
      <c r="S2796" s="118">
        <v>16500</v>
      </c>
      <c r="T2796" s="119"/>
      <c r="U2796" s="118">
        <f t="shared" ref="U2796" si="1599">SUM(K2796:T2797)</f>
        <v>2826890</v>
      </c>
      <c r="V2796" s="122"/>
      <c r="W2796" s="124"/>
      <c r="X2796" s="126" t="s">
        <v>9179</v>
      </c>
      <c r="Y2796" s="127"/>
      <c r="Z2796" s="127"/>
      <c r="AA2796" s="127"/>
      <c r="AB2796" s="128"/>
      <c r="AC2796" s="15" t="s">
        <v>20</v>
      </c>
      <c r="AD2796" s="129" t="s">
        <v>1732</v>
      </c>
      <c r="AE2796" s="130"/>
      <c r="AF2796" s="130"/>
      <c r="AG2796" s="130"/>
      <c r="AH2796" s="130"/>
      <c r="AI2796" s="131"/>
      <c r="AJ2796" s="132"/>
      <c r="AK2796" s="127"/>
      <c r="AL2796" s="128"/>
      <c r="AM2796" s="21"/>
      <c r="AN2796" s="133">
        <v>45955</v>
      </c>
      <c r="AO2796" s="134"/>
      <c r="AP2796" s="135">
        <v>1273</v>
      </c>
      <c r="AQ2796" s="136"/>
      <c r="AR2796" s="118">
        <v>2710000</v>
      </c>
      <c r="AS2796" s="119"/>
      <c r="AT2796" s="118">
        <f t="shared" ref="AT2796" si="1600">AR2796*0.1</f>
        <v>271000</v>
      </c>
      <c r="AU2796" s="119"/>
      <c r="AV2796" s="118">
        <v>17820</v>
      </c>
      <c r="AW2796" s="119"/>
      <c r="AX2796" s="118">
        <f t="shared" ref="AX2796" si="1601">SUM(AR2796:AW2796)</f>
        <v>2998820</v>
      </c>
      <c r="AY2796" s="119"/>
      <c r="AZ2796" s="137">
        <v>45960</v>
      </c>
    </row>
    <row r="2797" spans="1:52" ht="17.100000000000001" customHeight="1" thickBot="1">
      <c r="A2797" s="110"/>
      <c r="B2797" s="27" t="s">
        <v>1747</v>
      </c>
      <c r="C2797" s="27">
        <v>525</v>
      </c>
      <c r="D2797" s="14" t="s">
        <v>2601</v>
      </c>
      <c r="E2797" s="112"/>
      <c r="F2797" s="139" t="s">
        <v>9156</v>
      </c>
      <c r="G2797" s="140"/>
      <c r="H2797" s="141"/>
      <c r="I2797" s="26">
        <v>46769</v>
      </c>
      <c r="J2797" s="117"/>
      <c r="K2797" s="120"/>
      <c r="L2797" s="121"/>
      <c r="M2797" s="120"/>
      <c r="N2797" s="121"/>
      <c r="O2797" s="120"/>
      <c r="P2797" s="121"/>
      <c r="Q2797" s="120"/>
      <c r="R2797" s="121"/>
      <c r="S2797" s="120"/>
      <c r="T2797" s="121"/>
      <c r="U2797" s="120"/>
      <c r="V2797" s="123"/>
      <c r="W2797" s="125"/>
      <c r="X2797" s="142" t="s">
        <v>9519</v>
      </c>
      <c r="Y2797" s="143"/>
      <c r="Z2797" s="143"/>
      <c r="AA2797" s="143"/>
      <c r="AB2797" s="144"/>
      <c r="AC2797" s="16" t="s">
        <v>21</v>
      </c>
      <c r="AD2797" s="17" t="s">
        <v>1674</v>
      </c>
      <c r="AE2797" s="145" t="s">
        <v>4883</v>
      </c>
      <c r="AF2797" s="146"/>
      <c r="AG2797" s="146"/>
      <c r="AH2797" s="146"/>
      <c r="AI2797" s="147"/>
      <c r="AJ2797" s="148"/>
      <c r="AK2797" s="143"/>
      <c r="AL2797" s="144"/>
      <c r="AM2797" s="22"/>
      <c r="AN2797" s="149" t="s">
        <v>2511</v>
      </c>
      <c r="AO2797" s="144"/>
      <c r="AP2797" s="148">
        <v>80318</v>
      </c>
      <c r="AQ2797" s="144"/>
      <c r="AR2797" s="120"/>
      <c r="AS2797" s="121"/>
      <c r="AT2797" s="120"/>
      <c r="AU2797" s="121"/>
      <c r="AV2797" s="120"/>
      <c r="AW2797" s="121"/>
      <c r="AX2797" s="120"/>
      <c r="AY2797" s="121"/>
      <c r="AZ2797" s="138"/>
    </row>
    <row r="2798" spans="1:52" ht="17.100000000000001" customHeight="1" thickTop="1">
      <c r="A2798" s="109" t="s">
        <v>9142</v>
      </c>
      <c r="B2798" s="28">
        <v>45953</v>
      </c>
      <c r="C2798" s="25">
        <v>1303</v>
      </c>
      <c r="D2798" s="13" t="s">
        <v>2442</v>
      </c>
      <c r="E2798" s="111"/>
      <c r="F2798" s="113" t="s">
        <v>9157</v>
      </c>
      <c r="G2798" s="114"/>
      <c r="H2798" s="115"/>
      <c r="I2798" s="24"/>
      <c r="J2798" s="116">
        <v>4.5</v>
      </c>
      <c r="K2798" s="118">
        <v>2000000</v>
      </c>
      <c r="L2798" s="119"/>
      <c r="M2798" s="118">
        <v>200000</v>
      </c>
      <c r="N2798" s="119"/>
      <c r="O2798" s="118">
        <v>0</v>
      </c>
      <c r="P2798" s="119"/>
      <c r="Q2798" s="118">
        <v>16710</v>
      </c>
      <c r="R2798" s="119"/>
      <c r="S2798" s="118">
        <v>16500</v>
      </c>
      <c r="T2798" s="119"/>
      <c r="U2798" s="118">
        <f t="shared" ref="U2798" si="1602">SUM(K2798:T2799)</f>
        <v>2233210</v>
      </c>
      <c r="V2798" s="122"/>
      <c r="W2798" s="124"/>
      <c r="X2798" s="126" t="s">
        <v>9661</v>
      </c>
      <c r="Y2798" s="127"/>
      <c r="Z2798" s="127"/>
      <c r="AA2798" s="127"/>
      <c r="AB2798" s="128"/>
      <c r="AC2798" s="15" t="s">
        <v>20</v>
      </c>
      <c r="AD2798" s="129" t="s">
        <v>1633</v>
      </c>
      <c r="AE2798" s="130"/>
      <c r="AF2798" s="130"/>
      <c r="AG2798" s="130"/>
      <c r="AH2798" s="130"/>
      <c r="AI2798" s="131"/>
      <c r="AJ2798" s="132"/>
      <c r="AK2798" s="127"/>
      <c r="AL2798" s="128"/>
      <c r="AM2798" s="21"/>
      <c r="AN2798" s="133">
        <v>45955</v>
      </c>
      <c r="AO2798" s="134"/>
      <c r="AP2798" s="135">
        <v>1273</v>
      </c>
      <c r="AQ2798" s="136"/>
      <c r="AR2798" s="118">
        <v>2370000</v>
      </c>
      <c r="AS2798" s="119"/>
      <c r="AT2798" s="118">
        <f t="shared" ref="AT2798" si="1603">AR2798*0.1</f>
        <v>237000</v>
      </c>
      <c r="AU2798" s="119"/>
      <c r="AV2798" s="118">
        <v>16710</v>
      </c>
      <c r="AW2798" s="119"/>
      <c r="AX2798" s="118">
        <f t="shared" ref="AX2798" si="1604">SUM(AR2798:AW2798)</f>
        <v>2623710</v>
      </c>
      <c r="AY2798" s="119"/>
      <c r="AZ2798" s="137">
        <v>45965</v>
      </c>
    </row>
    <row r="2799" spans="1:52" ht="17.100000000000001" customHeight="1" thickBot="1">
      <c r="A2799" s="110"/>
      <c r="B2799" s="27" t="s">
        <v>1747</v>
      </c>
      <c r="C2799" s="27">
        <v>651</v>
      </c>
      <c r="D2799" s="14" t="s">
        <v>275</v>
      </c>
      <c r="E2799" s="112"/>
      <c r="F2799" s="139" t="s">
        <v>9158</v>
      </c>
      <c r="G2799" s="140"/>
      <c r="H2799" s="141"/>
      <c r="I2799" s="26">
        <v>22427</v>
      </c>
      <c r="J2799" s="117"/>
      <c r="K2799" s="120"/>
      <c r="L2799" s="121"/>
      <c r="M2799" s="120"/>
      <c r="N2799" s="121"/>
      <c r="O2799" s="120"/>
      <c r="P2799" s="121"/>
      <c r="Q2799" s="120"/>
      <c r="R2799" s="121"/>
      <c r="S2799" s="120"/>
      <c r="T2799" s="121"/>
      <c r="U2799" s="120"/>
      <c r="V2799" s="123"/>
      <c r="W2799" s="125"/>
      <c r="X2799" s="142" t="s">
        <v>1861</v>
      </c>
      <c r="Y2799" s="143"/>
      <c r="Z2799" s="143"/>
      <c r="AA2799" s="143"/>
      <c r="AB2799" s="144"/>
      <c r="AC2799" s="16" t="s">
        <v>21</v>
      </c>
      <c r="AD2799" s="17" t="s">
        <v>9662</v>
      </c>
      <c r="AE2799" s="145" t="s">
        <v>1633</v>
      </c>
      <c r="AF2799" s="146"/>
      <c r="AG2799" s="146"/>
      <c r="AH2799" s="146"/>
      <c r="AI2799" s="147"/>
      <c r="AJ2799" s="148"/>
      <c r="AK2799" s="143"/>
      <c r="AL2799" s="144"/>
      <c r="AM2799" s="22"/>
      <c r="AN2799" s="149" t="s">
        <v>2511</v>
      </c>
      <c r="AO2799" s="144"/>
      <c r="AP2799" s="148">
        <v>80323</v>
      </c>
      <c r="AQ2799" s="144"/>
      <c r="AR2799" s="120"/>
      <c r="AS2799" s="121"/>
      <c r="AT2799" s="120"/>
      <c r="AU2799" s="121"/>
      <c r="AV2799" s="120"/>
      <c r="AW2799" s="121"/>
      <c r="AX2799" s="120"/>
      <c r="AY2799" s="121"/>
      <c r="AZ2799" s="138"/>
    </row>
    <row r="2800" spans="1:52" ht="17.100000000000001" customHeight="1" thickTop="1">
      <c r="A2800" s="109" t="s">
        <v>9143</v>
      </c>
      <c r="B2800" s="28">
        <v>45953</v>
      </c>
      <c r="C2800" s="25">
        <v>1303</v>
      </c>
      <c r="D2800" s="13" t="s">
        <v>2442</v>
      </c>
      <c r="E2800" s="111"/>
      <c r="F2800" s="113" t="s">
        <v>9159</v>
      </c>
      <c r="G2800" s="114"/>
      <c r="H2800" s="115"/>
      <c r="I2800" s="24" t="s">
        <v>2858</v>
      </c>
      <c r="J2800" s="116">
        <v>4.5</v>
      </c>
      <c r="K2800" s="118">
        <v>955000</v>
      </c>
      <c r="L2800" s="119"/>
      <c r="M2800" s="118">
        <f t="shared" ref="M2800" si="1605">K2800*0.1</f>
        <v>95500</v>
      </c>
      <c r="N2800" s="119"/>
      <c r="O2800" s="118">
        <f>14300+1430</f>
        <v>15730</v>
      </c>
      <c r="P2800" s="119"/>
      <c r="Q2800" s="118">
        <v>11810</v>
      </c>
      <c r="R2800" s="119"/>
      <c r="S2800" s="118">
        <v>16500</v>
      </c>
      <c r="T2800" s="119"/>
      <c r="U2800" s="118">
        <f t="shared" ref="U2800" si="1606">SUM(K2800:T2801)</f>
        <v>1094540</v>
      </c>
      <c r="V2800" s="122"/>
      <c r="W2800" s="124"/>
      <c r="X2800" s="126" t="s">
        <v>9180</v>
      </c>
      <c r="Y2800" s="127"/>
      <c r="Z2800" s="127"/>
      <c r="AA2800" s="127"/>
      <c r="AB2800" s="128"/>
      <c r="AC2800" s="15" t="s">
        <v>20</v>
      </c>
      <c r="AD2800" s="129" t="s">
        <v>1633</v>
      </c>
      <c r="AE2800" s="130"/>
      <c r="AF2800" s="130"/>
      <c r="AG2800" s="130"/>
      <c r="AH2800" s="130"/>
      <c r="AI2800" s="131"/>
      <c r="AJ2800" s="132"/>
      <c r="AK2800" s="127"/>
      <c r="AL2800" s="128"/>
      <c r="AM2800" s="21"/>
      <c r="AN2800" s="133">
        <v>45969</v>
      </c>
      <c r="AO2800" s="134"/>
      <c r="AP2800" s="135">
        <v>1275</v>
      </c>
      <c r="AQ2800" s="136"/>
      <c r="AR2800" s="118">
        <v>1100000</v>
      </c>
      <c r="AS2800" s="119"/>
      <c r="AT2800" s="118">
        <f t="shared" ref="AT2800" si="1607">AR2800*0.1</f>
        <v>110000</v>
      </c>
      <c r="AU2800" s="119"/>
      <c r="AV2800" s="118">
        <v>11810</v>
      </c>
      <c r="AW2800" s="119"/>
      <c r="AX2800" s="118">
        <f t="shared" ref="AX2800" si="1608">SUM(AR2800:AW2800)</f>
        <v>1221810</v>
      </c>
      <c r="AY2800" s="119"/>
      <c r="AZ2800" s="137">
        <v>45972</v>
      </c>
    </row>
    <row r="2801" spans="1:52" ht="17.100000000000001" customHeight="1" thickBot="1">
      <c r="A2801" s="110"/>
      <c r="B2801" s="27" t="s">
        <v>1747</v>
      </c>
      <c r="C2801" s="27">
        <v>660</v>
      </c>
      <c r="D2801" s="14" t="s">
        <v>904</v>
      </c>
      <c r="E2801" s="112"/>
      <c r="F2801" s="139" t="s">
        <v>9160</v>
      </c>
      <c r="G2801" s="140"/>
      <c r="H2801" s="141"/>
      <c r="I2801" s="26">
        <v>28124</v>
      </c>
      <c r="J2801" s="117"/>
      <c r="K2801" s="120"/>
      <c r="L2801" s="121"/>
      <c r="M2801" s="120"/>
      <c r="N2801" s="121"/>
      <c r="O2801" s="120"/>
      <c r="P2801" s="121"/>
      <c r="Q2801" s="120"/>
      <c r="R2801" s="121"/>
      <c r="S2801" s="120"/>
      <c r="T2801" s="121"/>
      <c r="U2801" s="120"/>
      <c r="V2801" s="123"/>
      <c r="W2801" s="125"/>
      <c r="X2801" s="142" t="s">
        <v>1861</v>
      </c>
      <c r="Y2801" s="143"/>
      <c r="Z2801" s="143"/>
      <c r="AA2801" s="143"/>
      <c r="AB2801" s="144"/>
      <c r="AC2801" s="16" t="s">
        <v>21</v>
      </c>
      <c r="AD2801" s="17" t="s">
        <v>9662</v>
      </c>
      <c r="AE2801" s="145" t="s">
        <v>1633</v>
      </c>
      <c r="AF2801" s="146"/>
      <c r="AG2801" s="146"/>
      <c r="AH2801" s="146"/>
      <c r="AI2801" s="147"/>
      <c r="AJ2801" s="148"/>
      <c r="AK2801" s="143"/>
      <c r="AL2801" s="144"/>
      <c r="AM2801" s="22"/>
      <c r="AN2801" s="149" t="s">
        <v>2511</v>
      </c>
      <c r="AO2801" s="144"/>
      <c r="AP2801" s="148">
        <v>80022</v>
      </c>
      <c r="AQ2801" s="144"/>
      <c r="AR2801" s="120"/>
      <c r="AS2801" s="121"/>
      <c r="AT2801" s="120"/>
      <c r="AU2801" s="121"/>
      <c r="AV2801" s="120"/>
      <c r="AW2801" s="121"/>
      <c r="AX2801" s="120"/>
      <c r="AY2801" s="121"/>
      <c r="AZ2801" s="138"/>
    </row>
    <row r="2802" spans="1:52" ht="17.100000000000001" customHeight="1" thickTop="1">
      <c r="A2802" s="109" t="s">
        <v>9144</v>
      </c>
      <c r="B2802" s="28">
        <v>45953</v>
      </c>
      <c r="C2802" s="25">
        <v>1303</v>
      </c>
      <c r="D2802" s="13" t="s">
        <v>2187</v>
      </c>
      <c r="E2802" s="111"/>
      <c r="F2802" s="113" t="s">
        <v>9161</v>
      </c>
      <c r="G2802" s="114"/>
      <c r="H2802" s="115"/>
      <c r="I2802" s="24"/>
      <c r="J2802" s="116">
        <v>4.5</v>
      </c>
      <c r="K2802" s="118">
        <v>1680000</v>
      </c>
      <c r="L2802" s="119"/>
      <c r="M2802" s="118">
        <f t="shared" ref="M2802" si="1609">K2802*0.1</f>
        <v>168000</v>
      </c>
      <c r="N2802" s="119"/>
      <c r="O2802" s="118">
        <v>0</v>
      </c>
      <c r="P2802" s="119"/>
      <c r="Q2802" s="118">
        <v>21650</v>
      </c>
      <c r="R2802" s="119"/>
      <c r="S2802" s="118">
        <v>16500</v>
      </c>
      <c r="T2802" s="119"/>
      <c r="U2802" s="118">
        <f t="shared" ref="U2802" si="1610">SUM(K2802:T2803)</f>
        <v>1886150</v>
      </c>
      <c r="V2802" s="122"/>
      <c r="W2802" s="124"/>
      <c r="X2802" s="126" t="s">
        <v>9683</v>
      </c>
      <c r="Y2802" s="127"/>
      <c r="Z2802" s="127"/>
      <c r="AA2802" s="127"/>
      <c r="AB2802" s="128"/>
      <c r="AC2802" s="15" t="s">
        <v>20</v>
      </c>
      <c r="AD2802" s="129" t="s">
        <v>1633</v>
      </c>
      <c r="AE2802" s="130"/>
      <c r="AF2802" s="130"/>
      <c r="AG2802" s="130"/>
      <c r="AH2802" s="130"/>
      <c r="AI2802" s="131"/>
      <c r="AJ2802" s="132"/>
      <c r="AK2802" s="127"/>
      <c r="AL2802" s="128"/>
      <c r="AM2802" s="21"/>
      <c r="AN2802" s="133">
        <v>45969</v>
      </c>
      <c r="AO2802" s="134"/>
      <c r="AP2802" s="135">
        <v>1275</v>
      </c>
      <c r="AQ2802" s="136"/>
      <c r="AR2802" s="118">
        <v>1850000</v>
      </c>
      <c r="AS2802" s="119"/>
      <c r="AT2802" s="118">
        <f t="shared" ref="AT2802" si="1611">AR2802*0.1</f>
        <v>185000</v>
      </c>
      <c r="AU2802" s="119"/>
      <c r="AV2802" s="118">
        <v>21650</v>
      </c>
      <c r="AW2802" s="119"/>
      <c r="AX2802" s="118">
        <f t="shared" ref="AX2802" si="1612">SUM(AR2802:AW2802)</f>
        <v>2056650</v>
      </c>
      <c r="AY2802" s="119"/>
      <c r="AZ2802" s="137">
        <v>45972</v>
      </c>
    </row>
    <row r="2803" spans="1:52" ht="17.100000000000001" customHeight="1" thickBot="1">
      <c r="A2803" s="110"/>
      <c r="B2803" s="27" t="s">
        <v>1747</v>
      </c>
      <c r="C2803" s="27">
        <v>673</v>
      </c>
      <c r="D2803" s="14" t="s">
        <v>1592</v>
      </c>
      <c r="E2803" s="112"/>
      <c r="F2803" s="139" t="s">
        <v>9162</v>
      </c>
      <c r="G2803" s="140"/>
      <c r="H2803" s="141"/>
      <c r="I2803" s="26">
        <v>67945</v>
      </c>
      <c r="J2803" s="117"/>
      <c r="K2803" s="120"/>
      <c r="L2803" s="121"/>
      <c r="M2803" s="120"/>
      <c r="N2803" s="121"/>
      <c r="O2803" s="120"/>
      <c r="P2803" s="121"/>
      <c r="Q2803" s="120"/>
      <c r="R2803" s="121"/>
      <c r="S2803" s="120"/>
      <c r="T2803" s="121"/>
      <c r="U2803" s="120"/>
      <c r="V2803" s="123"/>
      <c r="W2803" s="125"/>
      <c r="X2803" s="142" t="s">
        <v>1861</v>
      </c>
      <c r="Y2803" s="143"/>
      <c r="Z2803" s="143"/>
      <c r="AA2803" s="143"/>
      <c r="AB2803" s="144"/>
      <c r="AC2803" s="16" t="s">
        <v>21</v>
      </c>
      <c r="AD2803" s="17" t="s">
        <v>9662</v>
      </c>
      <c r="AE2803" s="145" t="s">
        <v>1742</v>
      </c>
      <c r="AF2803" s="146"/>
      <c r="AG2803" s="146"/>
      <c r="AH2803" s="146"/>
      <c r="AI2803" s="147"/>
      <c r="AJ2803" s="148"/>
      <c r="AK2803" s="143"/>
      <c r="AL2803" s="144"/>
      <c r="AM2803" s="22"/>
      <c r="AN2803" s="149" t="s">
        <v>2511</v>
      </c>
      <c r="AO2803" s="144"/>
      <c r="AP2803" s="148">
        <v>80071</v>
      </c>
      <c r="AQ2803" s="144"/>
      <c r="AR2803" s="120"/>
      <c r="AS2803" s="121"/>
      <c r="AT2803" s="120"/>
      <c r="AU2803" s="121"/>
      <c r="AV2803" s="120"/>
      <c r="AW2803" s="121"/>
      <c r="AX2803" s="120"/>
      <c r="AY2803" s="121"/>
      <c r="AZ2803" s="138"/>
    </row>
    <row r="2804" spans="1:52" ht="17.100000000000001" customHeight="1" thickTop="1">
      <c r="A2804" s="109" t="s">
        <v>9145</v>
      </c>
      <c r="B2804" s="28">
        <v>45953</v>
      </c>
      <c r="C2804" s="25">
        <v>1303</v>
      </c>
      <c r="D2804" s="13" t="s">
        <v>2234</v>
      </c>
      <c r="E2804" s="111"/>
      <c r="F2804" s="113" t="s">
        <v>4559</v>
      </c>
      <c r="G2804" s="114"/>
      <c r="H2804" s="115"/>
      <c r="I2804" s="24" t="s">
        <v>1559</v>
      </c>
      <c r="J2804" s="116">
        <v>4</v>
      </c>
      <c r="K2804" s="118">
        <v>375000</v>
      </c>
      <c r="L2804" s="119"/>
      <c r="M2804" s="118">
        <f t="shared" ref="M2804" si="1613">K2804*0.1</f>
        <v>37500</v>
      </c>
      <c r="N2804" s="119"/>
      <c r="O2804" s="118">
        <f>14300+1430</f>
        <v>15730</v>
      </c>
      <c r="P2804" s="119"/>
      <c r="Q2804" s="118">
        <v>18960</v>
      </c>
      <c r="R2804" s="119"/>
      <c r="S2804" s="118">
        <v>16500</v>
      </c>
      <c r="T2804" s="119"/>
      <c r="U2804" s="118">
        <f t="shared" ref="U2804" si="1614">SUM(K2804:T2805)</f>
        <v>463690</v>
      </c>
      <c r="V2804" s="122"/>
      <c r="W2804" s="124"/>
      <c r="X2804" s="126" t="s">
        <v>9181</v>
      </c>
      <c r="Y2804" s="127"/>
      <c r="Z2804" s="127"/>
      <c r="AA2804" s="127"/>
      <c r="AB2804" s="128"/>
      <c r="AC2804" s="15" t="s">
        <v>20</v>
      </c>
      <c r="AD2804" s="129" t="s">
        <v>1565</v>
      </c>
      <c r="AE2804" s="130"/>
      <c r="AF2804" s="130"/>
      <c r="AG2804" s="130"/>
      <c r="AH2804" s="130"/>
      <c r="AI2804" s="131"/>
      <c r="AJ2804" s="132"/>
      <c r="AK2804" s="127"/>
      <c r="AL2804" s="128"/>
      <c r="AM2804" s="21"/>
      <c r="AN2804" s="133">
        <v>45955</v>
      </c>
      <c r="AO2804" s="134"/>
      <c r="AP2804" s="135">
        <v>1273</v>
      </c>
      <c r="AQ2804" s="136"/>
      <c r="AR2804" s="118">
        <v>480000</v>
      </c>
      <c r="AS2804" s="119"/>
      <c r="AT2804" s="118">
        <f t="shared" ref="AT2804" si="1615">AR2804*0.1</f>
        <v>48000</v>
      </c>
      <c r="AU2804" s="119"/>
      <c r="AV2804" s="118">
        <v>18960</v>
      </c>
      <c r="AW2804" s="119"/>
      <c r="AX2804" s="118">
        <f t="shared" ref="AX2804" si="1616">SUM(AR2804:AW2804)</f>
        <v>546960</v>
      </c>
      <c r="AY2804" s="119"/>
      <c r="AZ2804" s="137">
        <v>45958</v>
      </c>
    </row>
    <row r="2805" spans="1:52" ht="17.100000000000001" customHeight="1" thickBot="1">
      <c r="A2805" s="110"/>
      <c r="B2805" s="27" t="s">
        <v>1747</v>
      </c>
      <c r="C2805" s="27">
        <v>866</v>
      </c>
      <c r="D2805" s="14" t="s">
        <v>275</v>
      </c>
      <c r="E2805" s="112"/>
      <c r="F2805" s="139" t="s">
        <v>9163</v>
      </c>
      <c r="G2805" s="140"/>
      <c r="H2805" s="141"/>
      <c r="I2805" s="26">
        <v>88039</v>
      </c>
      <c r="J2805" s="117"/>
      <c r="K2805" s="120"/>
      <c r="L2805" s="121"/>
      <c r="M2805" s="120"/>
      <c r="N2805" s="121"/>
      <c r="O2805" s="120"/>
      <c r="P2805" s="121"/>
      <c r="Q2805" s="120"/>
      <c r="R2805" s="121"/>
      <c r="S2805" s="120"/>
      <c r="T2805" s="121"/>
      <c r="U2805" s="120"/>
      <c r="V2805" s="123"/>
      <c r="W2805" s="125"/>
      <c r="X2805" s="142" t="s">
        <v>9413</v>
      </c>
      <c r="Y2805" s="143"/>
      <c r="Z2805" s="143"/>
      <c r="AA2805" s="143"/>
      <c r="AB2805" s="144"/>
      <c r="AC2805" s="16" t="s">
        <v>21</v>
      </c>
      <c r="AD2805" s="17" t="s">
        <v>3341</v>
      </c>
      <c r="AE2805" s="145" t="s">
        <v>3925</v>
      </c>
      <c r="AF2805" s="146"/>
      <c r="AG2805" s="146"/>
      <c r="AH2805" s="146"/>
      <c r="AI2805" s="147"/>
      <c r="AJ2805" s="148"/>
      <c r="AK2805" s="143"/>
      <c r="AL2805" s="144"/>
      <c r="AM2805" s="22"/>
      <c r="AN2805" s="149" t="s">
        <v>2511</v>
      </c>
      <c r="AO2805" s="144"/>
      <c r="AP2805" s="148">
        <v>80320</v>
      </c>
      <c r="AQ2805" s="144"/>
      <c r="AR2805" s="120"/>
      <c r="AS2805" s="121"/>
      <c r="AT2805" s="120"/>
      <c r="AU2805" s="121"/>
      <c r="AV2805" s="120"/>
      <c r="AW2805" s="121"/>
      <c r="AX2805" s="120"/>
      <c r="AY2805" s="121"/>
      <c r="AZ2805" s="138"/>
    </row>
    <row r="2806" spans="1:52" ht="17.100000000000001" customHeight="1" thickTop="1">
      <c r="A2806" s="109" t="s">
        <v>9146</v>
      </c>
      <c r="B2806" s="28">
        <v>45953</v>
      </c>
      <c r="C2806" s="25">
        <v>2131</v>
      </c>
      <c r="D2806" s="13" t="s">
        <v>2022</v>
      </c>
      <c r="E2806" s="111"/>
      <c r="F2806" s="113" t="s">
        <v>9223</v>
      </c>
      <c r="G2806" s="114"/>
      <c r="H2806" s="115"/>
      <c r="I2806" s="24"/>
      <c r="J2806" s="116">
        <v>4.5</v>
      </c>
      <c r="K2806" s="118">
        <v>938000</v>
      </c>
      <c r="L2806" s="119"/>
      <c r="M2806" s="118">
        <f t="shared" ref="M2806" si="1617">K2806*0.1</f>
        <v>93800</v>
      </c>
      <c r="N2806" s="119"/>
      <c r="O2806" s="118">
        <v>0</v>
      </c>
      <c r="P2806" s="119"/>
      <c r="Q2806" s="118">
        <v>9310</v>
      </c>
      <c r="R2806" s="119"/>
      <c r="S2806" s="118">
        <v>13750</v>
      </c>
      <c r="T2806" s="119"/>
      <c r="U2806" s="118">
        <f t="shared" ref="U2806" si="1618">SUM(K2806:T2807)</f>
        <v>1054860</v>
      </c>
      <c r="V2806" s="122"/>
      <c r="W2806" s="124"/>
      <c r="X2806" s="126" t="s">
        <v>9705</v>
      </c>
      <c r="Y2806" s="127"/>
      <c r="Z2806" s="127"/>
      <c r="AA2806" s="127"/>
      <c r="AB2806" s="128"/>
      <c r="AC2806" s="15" t="s">
        <v>20</v>
      </c>
      <c r="AD2806" s="129"/>
      <c r="AE2806" s="130"/>
      <c r="AF2806" s="130"/>
      <c r="AG2806" s="130"/>
      <c r="AH2806" s="130"/>
      <c r="AI2806" s="131"/>
      <c r="AJ2806" s="132"/>
      <c r="AK2806" s="127"/>
      <c r="AL2806" s="128"/>
      <c r="AM2806" s="21"/>
      <c r="AN2806" s="133">
        <v>45966</v>
      </c>
      <c r="AO2806" s="134"/>
      <c r="AP2806" s="135">
        <v>991</v>
      </c>
      <c r="AQ2806" s="136"/>
      <c r="AR2806" s="118">
        <v>1005000</v>
      </c>
      <c r="AS2806" s="119"/>
      <c r="AT2806" s="118">
        <f t="shared" ref="AT2806" si="1619">AR2806*0.1</f>
        <v>100500</v>
      </c>
      <c r="AU2806" s="119"/>
      <c r="AV2806" s="118">
        <v>9310</v>
      </c>
      <c r="AW2806" s="119"/>
      <c r="AX2806" s="118">
        <f t="shared" ref="AX2806" si="1620">SUM(AR2806:AW2806)</f>
        <v>1114810</v>
      </c>
      <c r="AY2806" s="119"/>
      <c r="AZ2806" s="137">
        <v>45971</v>
      </c>
    </row>
    <row r="2807" spans="1:52" ht="17.100000000000001" customHeight="1" thickBot="1">
      <c r="A2807" s="110"/>
      <c r="B2807" s="27" t="s">
        <v>3281</v>
      </c>
      <c r="C2807" s="27">
        <v>2103</v>
      </c>
      <c r="D2807" s="14" t="s">
        <v>1576</v>
      </c>
      <c r="E2807" s="112"/>
      <c r="F2807" s="139" t="s">
        <v>9169</v>
      </c>
      <c r="G2807" s="140"/>
      <c r="H2807" s="141"/>
      <c r="I2807" s="26">
        <v>38823</v>
      </c>
      <c r="J2807" s="117"/>
      <c r="K2807" s="120"/>
      <c r="L2807" s="121"/>
      <c r="M2807" s="120"/>
      <c r="N2807" s="121"/>
      <c r="O2807" s="120"/>
      <c r="P2807" s="121"/>
      <c r="Q2807" s="120"/>
      <c r="R2807" s="121"/>
      <c r="S2807" s="120"/>
      <c r="T2807" s="121"/>
      <c r="U2807" s="120"/>
      <c r="V2807" s="123"/>
      <c r="W2807" s="125"/>
      <c r="X2807" s="142" t="s">
        <v>2659</v>
      </c>
      <c r="Y2807" s="143"/>
      <c r="Z2807" s="143"/>
      <c r="AA2807" s="143"/>
      <c r="AB2807" s="144"/>
      <c r="AC2807" s="16" t="s">
        <v>21</v>
      </c>
      <c r="AD2807" s="17" t="s">
        <v>9662</v>
      </c>
      <c r="AE2807" s="145" t="s">
        <v>5302</v>
      </c>
      <c r="AF2807" s="146"/>
      <c r="AG2807" s="146"/>
      <c r="AH2807" s="146"/>
      <c r="AI2807" s="147"/>
      <c r="AJ2807" s="148"/>
      <c r="AK2807" s="143"/>
      <c r="AL2807" s="144"/>
      <c r="AM2807" s="22"/>
      <c r="AN2807" s="149" t="s">
        <v>2794</v>
      </c>
      <c r="AO2807" s="144"/>
      <c r="AP2807" s="148">
        <v>2071</v>
      </c>
      <c r="AQ2807" s="144"/>
      <c r="AR2807" s="120"/>
      <c r="AS2807" s="121"/>
      <c r="AT2807" s="120"/>
      <c r="AU2807" s="121"/>
      <c r="AV2807" s="120"/>
      <c r="AW2807" s="121"/>
      <c r="AX2807" s="120"/>
      <c r="AY2807" s="121"/>
      <c r="AZ2807" s="138"/>
    </row>
    <row r="2808" spans="1:52" ht="17.100000000000001" customHeight="1" thickTop="1">
      <c r="A2808" s="109" t="s">
        <v>9147</v>
      </c>
      <c r="B2808" s="28">
        <v>45953</v>
      </c>
      <c r="C2808" s="25">
        <v>2131</v>
      </c>
      <c r="D2808" s="13" t="s">
        <v>2066</v>
      </c>
      <c r="E2808" s="111"/>
      <c r="F2808" s="113" t="s">
        <v>4683</v>
      </c>
      <c r="G2808" s="114"/>
      <c r="H2808" s="115"/>
      <c r="I2808" s="24"/>
      <c r="J2808" s="116">
        <v>4</v>
      </c>
      <c r="K2808" s="118">
        <v>1010000</v>
      </c>
      <c r="L2808" s="119"/>
      <c r="M2808" s="118">
        <f t="shared" ref="M2808" si="1621">K2808*0.1</f>
        <v>101000</v>
      </c>
      <c r="N2808" s="119"/>
      <c r="O2808" s="118">
        <v>0</v>
      </c>
      <c r="P2808" s="119"/>
      <c r="Q2808" s="118">
        <v>8630</v>
      </c>
      <c r="R2808" s="119"/>
      <c r="S2808" s="118">
        <v>13750</v>
      </c>
      <c r="T2808" s="119"/>
      <c r="U2808" s="118">
        <f t="shared" ref="U2808" si="1622">SUM(K2808:T2809)</f>
        <v>1133380</v>
      </c>
      <c r="V2808" s="122"/>
      <c r="W2808" s="124"/>
      <c r="X2808" s="126" t="s">
        <v>9699</v>
      </c>
      <c r="Y2808" s="127"/>
      <c r="Z2808" s="127"/>
      <c r="AA2808" s="127"/>
      <c r="AB2808" s="128"/>
      <c r="AC2808" s="15" t="s">
        <v>20</v>
      </c>
      <c r="AD2808" s="129" t="s">
        <v>1732</v>
      </c>
      <c r="AE2808" s="130"/>
      <c r="AF2808" s="130"/>
      <c r="AG2808" s="130"/>
      <c r="AH2808" s="130"/>
      <c r="AI2808" s="131"/>
      <c r="AJ2808" s="132"/>
      <c r="AK2808" s="127"/>
      <c r="AL2808" s="128"/>
      <c r="AM2808" s="21"/>
      <c r="AN2808" s="133">
        <v>45976</v>
      </c>
      <c r="AO2808" s="134"/>
      <c r="AP2808" s="135">
        <v>1276</v>
      </c>
      <c r="AQ2808" s="136"/>
      <c r="AR2808" s="118">
        <v>1265000</v>
      </c>
      <c r="AS2808" s="119"/>
      <c r="AT2808" s="118">
        <f t="shared" ref="AT2808" si="1623">AR2808*0.1</f>
        <v>126500</v>
      </c>
      <c r="AU2808" s="119"/>
      <c r="AV2808" s="118">
        <v>8670</v>
      </c>
      <c r="AW2808" s="119"/>
      <c r="AX2808" s="118">
        <f t="shared" ref="AX2808" si="1624">SUM(AR2808:AW2808)</f>
        <v>1400170</v>
      </c>
      <c r="AY2808" s="119"/>
      <c r="AZ2808" s="137">
        <v>45979</v>
      </c>
    </row>
    <row r="2809" spans="1:52" ht="17.100000000000001" customHeight="1" thickBot="1">
      <c r="A2809" s="110"/>
      <c r="B2809" s="27" t="s">
        <v>3281</v>
      </c>
      <c r="C2809" s="27">
        <v>2513</v>
      </c>
      <c r="D2809" s="14" t="s">
        <v>2040</v>
      </c>
      <c r="E2809" s="112"/>
      <c r="F2809" s="139" t="s">
        <v>9170</v>
      </c>
      <c r="G2809" s="140"/>
      <c r="H2809" s="141"/>
      <c r="I2809" s="26">
        <v>47185</v>
      </c>
      <c r="J2809" s="117"/>
      <c r="K2809" s="120"/>
      <c r="L2809" s="121"/>
      <c r="M2809" s="120"/>
      <c r="N2809" s="121"/>
      <c r="O2809" s="120"/>
      <c r="P2809" s="121"/>
      <c r="Q2809" s="120"/>
      <c r="R2809" s="121"/>
      <c r="S2809" s="120"/>
      <c r="T2809" s="121"/>
      <c r="U2809" s="120"/>
      <c r="V2809" s="123"/>
      <c r="W2809" s="125"/>
      <c r="X2809" s="142" t="s">
        <v>2440</v>
      </c>
      <c r="Y2809" s="143"/>
      <c r="Z2809" s="143"/>
      <c r="AA2809" s="143"/>
      <c r="AB2809" s="144"/>
      <c r="AC2809" s="16" t="s">
        <v>21</v>
      </c>
      <c r="AD2809" s="17" t="s">
        <v>9662</v>
      </c>
      <c r="AE2809" s="145" t="s">
        <v>1614</v>
      </c>
      <c r="AF2809" s="146"/>
      <c r="AG2809" s="146"/>
      <c r="AH2809" s="146"/>
      <c r="AI2809" s="147"/>
      <c r="AJ2809" s="148"/>
      <c r="AK2809" s="143"/>
      <c r="AL2809" s="144"/>
      <c r="AM2809" s="22"/>
      <c r="AN2809" s="149" t="s">
        <v>10999</v>
      </c>
      <c r="AO2809" s="144"/>
      <c r="AP2809" s="148">
        <v>60245</v>
      </c>
      <c r="AQ2809" s="144"/>
      <c r="AR2809" s="120"/>
      <c r="AS2809" s="121"/>
      <c r="AT2809" s="120"/>
      <c r="AU2809" s="121"/>
      <c r="AV2809" s="120"/>
      <c r="AW2809" s="121"/>
      <c r="AX2809" s="120"/>
      <c r="AY2809" s="121"/>
      <c r="AZ2809" s="138"/>
    </row>
    <row r="2810" spans="1:52" ht="17.100000000000001" customHeight="1" thickTop="1">
      <c r="A2810" s="109" t="s">
        <v>9148</v>
      </c>
      <c r="B2810" s="28">
        <v>45953</v>
      </c>
      <c r="C2810" s="25">
        <v>2131</v>
      </c>
      <c r="D2810" s="13" t="s">
        <v>859</v>
      </c>
      <c r="E2810" s="111"/>
      <c r="F2810" s="113" t="s">
        <v>4720</v>
      </c>
      <c r="G2810" s="114"/>
      <c r="H2810" s="115"/>
      <c r="I2810" s="24" t="s">
        <v>9224</v>
      </c>
      <c r="J2810" s="116">
        <v>4.5</v>
      </c>
      <c r="K2810" s="118">
        <v>1238000</v>
      </c>
      <c r="L2810" s="119"/>
      <c r="M2810" s="118">
        <f t="shared" ref="M2810" si="1625">K2810*0.1</f>
        <v>123800</v>
      </c>
      <c r="N2810" s="119"/>
      <c r="O2810" s="118">
        <v>0</v>
      </c>
      <c r="P2810" s="119"/>
      <c r="Q2810" s="118">
        <v>6830</v>
      </c>
      <c r="R2810" s="119"/>
      <c r="S2810" s="118">
        <v>13750</v>
      </c>
      <c r="T2810" s="119"/>
      <c r="U2810" s="118">
        <f t="shared" ref="U2810" si="1626">SUM(K2810:T2811)</f>
        <v>1382380</v>
      </c>
      <c r="V2810" s="122"/>
      <c r="W2810" s="124"/>
      <c r="X2810" s="126" t="s">
        <v>9779</v>
      </c>
      <c r="Y2810" s="127"/>
      <c r="Z2810" s="127"/>
      <c r="AA2810" s="127"/>
      <c r="AB2810" s="128"/>
      <c r="AC2810" s="15" t="s">
        <v>20</v>
      </c>
      <c r="AD2810" s="129"/>
      <c r="AE2810" s="130"/>
      <c r="AF2810" s="130"/>
      <c r="AG2810" s="130"/>
      <c r="AH2810" s="130"/>
      <c r="AI2810" s="131"/>
      <c r="AJ2810" s="132"/>
      <c r="AK2810" s="127"/>
      <c r="AL2810" s="128"/>
      <c r="AM2810" s="21" t="s">
        <v>11029</v>
      </c>
      <c r="AN2810" s="133">
        <v>45987</v>
      </c>
      <c r="AO2810" s="134"/>
      <c r="AP2810" s="135">
        <v>994</v>
      </c>
      <c r="AQ2810" s="136"/>
      <c r="AR2810" s="118">
        <v>1260000</v>
      </c>
      <c r="AS2810" s="119"/>
      <c r="AT2810" s="118">
        <f t="shared" ref="AT2810" si="1627">AR2810*0.1</f>
        <v>126000</v>
      </c>
      <c r="AU2810" s="119"/>
      <c r="AV2810" s="118">
        <v>6830</v>
      </c>
      <c r="AW2810" s="119"/>
      <c r="AX2810" s="118">
        <f t="shared" ref="AX2810" si="1628">SUM(AR2810:AW2810)</f>
        <v>1392830</v>
      </c>
      <c r="AY2810" s="119"/>
      <c r="AZ2810" s="137">
        <v>45992</v>
      </c>
    </row>
    <row r="2811" spans="1:52" ht="17.100000000000001" customHeight="1" thickBot="1">
      <c r="A2811" s="110"/>
      <c r="B2811" s="27" t="s">
        <v>3281</v>
      </c>
      <c r="C2811" s="27">
        <v>2515</v>
      </c>
      <c r="D2811" s="14" t="s">
        <v>904</v>
      </c>
      <c r="E2811" s="112"/>
      <c r="F2811" s="139" t="s">
        <v>9171</v>
      </c>
      <c r="G2811" s="140"/>
      <c r="H2811" s="141"/>
      <c r="I2811" s="26">
        <v>44102</v>
      </c>
      <c r="J2811" s="117"/>
      <c r="K2811" s="120"/>
      <c r="L2811" s="121"/>
      <c r="M2811" s="120"/>
      <c r="N2811" s="121"/>
      <c r="O2811" s="120"/>
      <c r="P2811" s="121"/>
      <c r="Q2811" s="120"/>
      <c r="R2811" s="121"/>
      <c r="S2811" s="120"/>
      <c r="T2811" s="121"/>
      <c r="U2811" s="120"/>
      <c r="V2811" s="123"/>
      <c r="W2811" s="125"/>
      <c r="X2811" s="142" t="s">
        <v>1656</v>
      </c>
      <c r="Y2811" s="143"/>
      <c r="Z2811" s="143"/>
      <c r="AA2811" s="143"/>
      <c r="AB2811" s="144"/>
      <c r="AC2811" s="16" t="s">
        <v>21</v>
      </c>
      <c r="AD2811" s="17" t="s">
        <v>3335</v>
      </c>
      <c r="AE2811" s="145" t="s">
        <v>2401</v>
      </c>
      <c r="AF2811" s="146"/>
      <c r="AG2811" s="146"/>
      <c r="AH2811" s="146"/>
      <c r="AI2811" s="147"/>
      <c r="AJ2811" s="148" t="s">
        <v>11641</v>
      </c>
      <c r="AK2811" s="143"/>
      <c r="AL2811" s="144"/>
      <c r="AM2811" s="22"/>
      <c r="AN2811" s="149" t="s">
        <v>2794</v>
      </c>
      <c r="AO2811" s="144"/>
      <c r="AP2811" s="148">
        <v>2019</v>
      </c>
      <c r="AQ2811" s="144"/>
      <c r="AR2811" s="120"/>
      <c r="AS2811" s="121"/>
      <c r="AT2811" s="120"/>
      <c r="AU2811" s="121"/>
      <c r="AV2811" s="120"/>
      <c r="AW2811" s="121"/>
      <c r="AX2811" s="120"/>
      <c r="AY2811" s="121"/>
      <c r="AZ2811" s="138"/>
    </row>
    <row r="2812" spans="1:52" ht="17.100000000000001" customHeight="1" thickTop="1" thickBot="1">
      <c r="A2812" s="109" t="s">
        <v>9149</v>
      </c>
      <c r="B2812" s="28">
        <v>45953</v>
      </c>
      <c r="C2812" s="25">
        <v>2131</v>
      </c>
      <c r="D2812" s="13" t="s">
        <v>1688</v>
      </c>
      <c r="E2812" s="111"/>
      <c r="F2812" s="113" t="s">
        <v>8009</v>
      </c>
      <c r="G2812" s="114"/>
      <c r="H2812" s="115"/>
      <c r="I2812" s="24"/>
      <c r="J2812" s="116">
        <v>4</v>
      </c>
      <c r="K2812" s="118">
        <v>1469000</v>
      </c>
      <c r="L2812" s="119"/>
      <c r="M2812" s="118">
        <f t="shared" ref="M2812" si="1629">K2812*0.1</f>
        <v>146900</v>
      </c>
      <c r="N2812" s="119"/>
      <c r="O2812" s="118">
        <v>0</v>
      </c>
      <c r="P2812" s="119"/>
      <c r="Q2812" s="118">
        <v>7040</v>
      </c>
      <c r="R2812" s="119"/>
      <c r="S2812" s="118">
        <v>13750</v>
      </c>
      <c r="T2812" s="119"/>
      <c r="U2812" s="118">
        <f t="shared" ref="U2812" si="1630">SUM(K2812:T2813)</f>
        <v>1636690</v>
      </c>
      <c r="V2812" s="122"/>
      <c r="W2812" s="124"/>
      <c r="X2812" s="126" t="s">
        <v>9700</v>
      </c>
      <c r="Y2812" s="127"/>
      <c r="Z2812" s="127"/>
      <c r="AA2812" s="127"/>
      <c r="AB2812" s="128"/>
      <c r="AC2812" s="15" t="s">
        <v>20</v>
      </c>
      <c r="AD2812" s="129" t="s">
        <v>1633</v>
      </c>
      <c r="AE2812" s="130"/>
      <c r="AF2812" s="130"/>
      <c r="AG2812" s="130"/>
      <c r="AH2812" s="130"/>
      <c r="AI2812" s="131"/>
      <c r="AJ2812" s="148"/>
      <c r="AK2812" s="143"/>
      <c r="AL2812" s="144"/>
      <c r="AM2812" s="21"/>
      <c r="AN2812" s="133">
        <v>45969</v>
      </c>
      <c r="AO2812" s="134"/>
      <c r="AP2812" s="135">
        <v>1275</v>
      </c>
      <c r="AQ2812" s="136"/>
      <c r="AR2812" s="118">
        <v>1480000</v>
      </c>
      <c r="AS2812" s="119"/>
      <c r="AT2812" s="118">
        <f t="shared" ref="AT2812" si="1631">AR2812*0.1</f>
        <v>148000</v>
      </c>
      <c r="AU2812" s="119"/>
      <c r="AV2812" s="118">
        <v>7040</v>
      </c>
      <c r="AW2812" s="119"/>
      <c r="AX2812" s="118">
        <f t="shared" ref="AX2812" si="1632">SUM(AR2812:AW2812)</f>
        <v>1635040</v>
      </c>
      <c r="AY2812" s="119"/>
      <c r="AZ2812" s="137">
        <v>45972</v>
      </c>
    </row>
    <row r="2813" spans="1:52" ht="17.100000000000001" customHeight="1" thickBot="1">
      <c r="A2813" s="110"/>
      <c r="B2813" s="27" t="s">
        <v>3281</v>
      </c>
      <c r="C2813" s="27">
        <v>2520</v>
      </c>
      <c r="D2813" s="14" t="s">
        <v>275</v>
      </c>
      <c r="E2813" s="112"/>
      <c r="F2813" s="139" t="s">
        <v>9172</v>
      </c>
      <c r="G2813" s="140"/>
      <c r="H2813" s="141"/>
      <c r="I2813" s="26">
        <v>27839</v>
      </c>
      <c r="J2813" s="117"/>
      <c r="K2813" s="120"/>
      <c r="L2813" s="121"/>
      <c r="M2813" s="120"/>
      <c r="N2813" s="121"/>
      <c r="O2813" s="120"/>
      <c r="P2813" s="121"/>
      <c r="Q2813" s="120"/>
      <c r="R2813" s="121"/>
      <c r="S2813" s="120"/>
      <c r="T2813" s="121"/>
      <c r="U2813" s="120"/>
      <c r="V2813" s="123"/>
      <c r="W2813" s="125"/>
      <c r="X2813" s="142" t="s">
        <v>2440</v>
      </c>
      <c r="Y2813" s="143"/>
      <c r="Z2813" s="143"/>
      <c r="AA2813" s="143"/>
      <c r="AB2813" s="144"/>
      <c r="AC2813" s="16" t="s">
        <v>21</v>
      </c>
      <c r="AD2813" s="17" t="s">
        <v>9662</v>
      </c>
      <c r="AE2813" s="145" t="s">
        <v>4106</v>
      </c>
      <c r="AF2813" s="146"/>
      <c r="AG2813" s="146"/>
      <c r="AH2813" s="146"/>
      <c r="AI2813" s="147"/>
      <c r="AJ2813" s="148"/>
      <c r="AK2813" s="143"/>
      <c r="AL2813" s="144"/>
      <c r="AM2813" s="22"/>
      <c r="AN2813" s="149" t="s">
        <v>2511</v>
      </c>
      <c r="AO2813" s="144"/>
      <c r="AP2813" s="148">
        <v>60286</v>
      </c>
      <c r="AQ2813" s="144"/>
      <c r="AR2813" s="120"/>
      <c r="AS2813" s="121"/>
      <c r="AT2813" s="120"/>
      <c r="AU2813" s="121"/>
      <c r="AV2813" s="120"/>
      <c r="AW2813" s="121"/>
      <c r="AX2813" s="120"/>
      <c r="AY2813" s="121"/>
      <c r="AZ2813" s="138"/>
    </row>
    <row r="2814" spans="1:52" ht="17.100000000000001" customHeight="1" thickTop="1">
      <c r="A2814" s="109" t="s">
        <v>9164</v>
      </c>
      <c r="B2814" s="28">
        <v>45953</v>
      </c>
      <c r="C2814" s="25">
        <v>2131</v>
      </c>
      <c r="D2814" s="13" t="s">
        <v>1744</v>
      </c>
      <c r="E2814" s="111"/>
      <c r="F2814" s="113" t="s">
        <v>9225</v>
      </c>
      <c r="G2814" s="114"/>
      <c r="H2814" s="115"/>
      <c r="I2814" s="24"/>
      <c r="J2814" s="116">
        <v>4</v>
      </c>
      <c r="K2814" s="118">
        <v>682000</v>
      </c>
      <c r="L2814" s="119"/>
      <c r="M2814" s="118">
        <f t="shared" ref="M2814" si="1633">K2814*0.1</f>
        <v>68200</v>
      </c>
      <c r="N2814" s="119"/>
      <c r="O2814" s="118">
        <v>0</v>
      </c>
      <c r="P2814" s="119"/>
      <c r="Q2814" s="118">
        <v>8400</v>
      </c>
      <c r="R2814" s="119"/>
      <c r="S2814" s="118">
        <v>13750</v>
      </c>
      <c r="T2814" s="119"/>
      <c r="U2814" s="118">
        <f t="shared" ref="U2814" si="1634">SUM(K2814:T2815)</f>
        <v>772350</v>
      </c>
      <c r="V2814" s="122"/>
      <c r="W2814" s="124"/>
      <c r="X2814" s="126" t="s">
        <v>9703</v>
      </c>
      <c r="Y2814" s="127"/>
      <c r="Z2814" s="127"/>
      <c r="AA2814" s="127"/>
      <c r="AB2814" s="128"/>
      <c r="AC2814" s="15" t="s">
        <v>20</v>
      </c>
      <c r="AD2814" s="129"/>
      <c r="AE2814" s="130"/>
      <c r="AF2814" s="130"/>
      <c r="AG2814" s="130"/>
      <c r="AH2814" s="130"/>
      <c r="AI2814" s="131"/>
      <c r="AJ2814" s="132"/>
      <c r="AK2814" s="127"/>
      <c r="AL2814" s="128"/>
      <c r="AM2814" s="21"/>
      <c r="AN2814" s="133">
        <v>45976</v>
      </c>
      <c r="AO2814" s="134"/>
      <c r="AP2814" s="135">
        <v>1276</v>
      </c>
      <c r="AQ2814" s="136"/>
      <c r="AR2814" s="118">
        <v>735000</v>
      </c>
      <c r="AS2814" s="119"/>
      <c r="AT2814" s="118">
        <f t="shared" ref="AT2814" si="1635">AR2814*0.1</f>
        <v>73500</v>
      </c>
      <c r="AU2814" s="119"/>
      <c r="AV2814" s="118">
        <v>8400</v>
      </c>
      <c r="AW2814" s="119"/>
      <c r="AX2814" s="118">
        <f t="shared" ref="AX2814" si="1636">SUM(AR2814:AW2814)</f>
        <v>816900</v>
      </c>
      <c r="AY2814" s="119"/>
      <c r="AZ2814" s="137">
        <v>45979</v>
      </c>
    </row>
    <row r="2815" spans="1:52" ht="17.100000000000001" customHeight="1" thickBot="1">
      <c r="A2815" s="110"/>
      <c r="B2815" s="27" t="s">
        <v>3281</v>
      </c>
      <c r="C2815" s="27">
        <v>2525</v>
      </c>
      <c r="D2815" s="14" t="s">
        <v>2206</v>
      </c>
      <c r="E2815" s="112"/>
      <c r="F2815" s="139" t="s">
        <v>9173</v>
      </c>
      <c r="G2815" s="140"/>
      <c r="H2815" s="141"/>
      <c r="I2815" s="26">
        <v>31983</v>
      </c>
      <c r="J2815" s="117"/>
      <c r="K2815" s="120"/>
      <c r="L2815" s="121"/>
      <c r="M2815" s="120"/>
      <c r="N2815" s="121"/>
      <c r="O2815" s="120"/>
      <c r="P2815" s="121"/>
      <c r="Q2815" s="120"/>
      <c r="R2815" s="121"/>
      <c r="S2815" s="120"/>
      <c r="T2815" s="121"/>
      <c r="U2815" s="120"/>
      <c r="V2815" s="123"/>
      <c r="W2815" s="125"/>
      <c r="X2815" s="142" t="s">
        <v>9704</v>
      </c>
      <c r="Y2815" s="143"/>
      <c r="Z2815" s="143"/>
      <c r="AA2815" s="143"/>
      <c r="AB2815" s="144"/>
      <c r="AC2815" s="16" t="s">
        <v>21</v>
      </c>
      <c r="AD2815" s="17" t="s">
        <v>9662</v>
      </c>
      <c r="AE2815" s="145"/>
      <c r="AF2815" s="146"/>
      <c r="AG2815" s="146"/>
      <c r="AH2815" s="146"/>
      <c r="AI2815" s="147"/>
      <c r="AJ2815" s="148"/>
      <c r="AK2815" s="143"/>
      <c r="AL2815" s="144"/>
      <c r="AM2815" s="22"/>
      <c r="AN2815" s="149" t="s">
        <v>10999</v>
      </c>
      <c r="AO2815" s="144"/>
      <c r="AP2815" s="148">
        <v>60223</v>
      </c>
      <c r="AQ2815" s="144"/>
      <c r="AR2815" s="120"/>
      <c r="AS2815" s="121"/>
      <c r="AT2815" s="120"/>
      <c r="AU2815" s="121"/>
      <c r="AV2815" s="120"/>
      <c r="AW2815" s="121"/>
      <c r="AX2815" s="120"/>
      <c r="AY2815" s="121"/>
      <c r="AZ2815" s="138"/>
    </row>
    <row r="2816" spans="1:52" ht="17.100000000000001" customHeight="1" thickTop="1">
      <c r="A2816" s="109" t="s">
        <v>9165</v>
      </c>
      <c r="B2816" s="28">
        <v>45953</v>
      </c>
      <c r="C2816" s="25">
        <v>2131</v>
      </c>
      <c r="D2816" s="13" t="s">
        <v>1642</v>
      </c>
      <c r="E2816" s="111"/>
      <c r="F2816" s="113" t="s">
        <v>4720</v>
      </c>
      <c r="G2816" s="114"/>
      <c r="H2816" s="115"/>
      <c r="I2816" s="24" t="s">
        <v>2577</v>
      </c>
      <c r="J2816" s="116">
        <v>4.5</v>
      </c>
      <c r="K2816" s="118">
        <v>1386000</v>
      </c>
      <c r="L2816" s="119"/>
      <c r="M2816" s="118">
        <f t="shared" ref="M2816" si="1637">K2816*0.1</f>
        <v>138600</v>
      </c>
      <c r="N2816" s="119"/>
      <c r="O2816" s="118">
        <v>0</v>
      </c>
      <c r="P2816" s="119"/>
      <c r="Q2816" s="118">
        <v>6830</v>
      </c>
      <c r="R2816" s="119"/>
      <c r="S2816" s="118">
        <v>13750</v>
      </c>
      <c r="T2816" s="119"/>
      <c r="U2816" s="118">
        <f t="shared" ref="U2816" si="1638">SUM(K2816:T2817)</f>
        <v>1545180</v>
      </c>
      <c r="V2816" s="122"/>
      <c r="W2816" s="124"/>
      <c r="X2816" s="126" t="s">
        <v>9665</v>
      </c>
      <c r="Y2816" s="127"/>
      <c r="Z2816" s="127"/>
      <c r="AA2816" s="127"/>
      <c r="AB2816" s="128"/>
      <c r="AC2816" s="15" t="s">
        <v>20</v>
      </c>
      <c r="AD2816" s="129" t="s">
        <v>1670</v>
      </c>
      <c r="AE2816" s="130"/>
      <c r="AF2816" s="130"/>
      <c r="AG2816" s="130"/>
      <c r="AH2816" s="130"/>
      <c r="AI2816" s="131"/>
      <c r="AJ2816" s="132"/>
      <c r="AK2816" s="127"/>
      <c r="AL2816" s="128"/>
      <c r="AM2816" s="21"/>
      <c r="AN2816" s="133">
        <v>45958</v>
      </c>
      <c r="AO2816" s="134"/>
      <c r="AP2816" s="135">
        <v>1915</v>
      </c>
      <c r="AQ2816" s="136"/>
      <c r="AR2816" s="118">
        <v>1425000</v>
      </c>
      <c r="AS2816" s="119"/>
      <c r="AT2816" s="118">
        <f t="shared" ref="AT2816" si="1639">AR2816*0.1</f>
        <v>142500</v>
      </c>
      <c r="AU2816" s="119"/>
      <c r="AV2816" s="118">
        <v>6830</v>
      </c>
      <c r="AW2816" s="119"/>
      <c r="AX2816" s="118">
        <f t="shared" ref="AX2816" si="1640">SUM(AR2816:AW2816)</f>
        <v>1574330</v>
      </c>
      <c r="AY2816" s="119"/>
      <c r="AZ2816" s="137">
        <v>45965</v>
      </c>
    </row>
    <row r="2817" spans="1:52" ht="17.100000000000001" customHeight="1" thickBot="1">
      <c r="A2817" s="110"/>
      <c r="B2817" s="27" t="s">
        <v>3281</v>
      </c>
      <c r="C2817" s="27">
        <v>2555</v>
      </c>
      <c r="D2817" s="14" t="s">
        <v>2601</v>
      </c>
      <c r="E2817" s="112"/>
      <c r="F2817" s="139" t="s">
        <v>9174</v>
      </c>
      <c r="G2817" s="140"/>
      <c r="H2817" s="141"/>
      <c r="I2817" s="26">
        <v>43538</v>
      </c>
      <c r="J2817" s="117"/>
      <c r="K2817" s="120"/>
      <c r="L2817" s="121"/>
      <c r="M2817" s="120"/>
      <c r="N2817" s="121"/>
      <c r="O2817" s="120"/>
      <c r="P2817" s="121"/>
      <c r="Q2817" s="120"/>
      <c r="R2817" s="121"/>
      <c r="S2817" s="120"/>
      <c r="T2817" s="121"/>
      <c r="U2817" s="120"/>
      <c r="V2817" s="123"/>
      <c r="W2817" s="125"/>
      <c r="X2817" s="142" t="s">
        <v>9666</v>
      </c>
      <c r="Y2817" s="143"/>
      <c r="Z2817" s="143"/>
      <c r="AA2817" s="143"/>
      <c r="AB2817" s="144"/>
      <c r="AC2817" s="16" t="s">
        <v>21</v>
      </c>
      <c r="AD2817" s="17" t="s">
        <v>9662</v>
      </c>
      <c r="AE2817" s="145" t="s">
        <v>7745</v>
      </c>
      <c r="AF2817" s="146"/>
      <c r="AG2817" s="146"/>
      <c r="AH2817" s="146"/>
      <c r="AI2817" s="147"/>
      <c r="AJ2817" s="148"/>
      <c r="AK2817" s="143"/>
      <c r="AL2817" s="144"/>
      <c r="AM2817" s="22"/>
      <c r="AN2817" s="149" t="s">
        <v>2131</v>
      </c>
      <c r="AO2817" s="144"/>
      <c r="AP2817" s="148">
        <v>3255</v>
      </c>
      <c r="AQ2817" s="144"/>
      <c r="AR2817" s="120"/>
      <c r="AS2817" s="121"/>
      <c r="AT2817" s="120"/>
      <c r="AU2817" s="121"/>
      <c r="AV2817" s="120"/>
      <c r="AW2817" s="121"/>
      <c r="AX2817" s="120"/>
      <c r="AY2817" s="121"/>
      <c r="AZ2817" s="138"/>
    </row>
    <row r="2818" spans="1:52" ht="17.100000000000001" customHeight="1" thickTop="1">
      <c r="A2818" s="109" t="s">
        <v>9166</v>
      </c>
      <c r="B2818" s="28">
        <v>45953</v>
      </c>
      <c r="C2818" s="25">
        <v>2131</v>
      </c>
      <c r="D2818" s="13" t="s">
        <v>2759</v>
      </c>
      <c r="E2818" s="111"/>
      <c r="F2818" s="113" t="s">
        <v>9226</v>
      </c>
      <c r="G2818" s="114"/>
      <c r="H2818" s="115"/>
      <c r="I2818" s="24"/>
      <c r="J2818" s="116">
        <v>4.5</v>
      </c>
      <c r="K2818" s="118">
        <v>1000000</v>
      </c>
      <c r="L2818" s="119"/>
      <c r="M2818" s="118">
        <f t="shared" ref="M2818" si="1641">K2818*0.1</f>
        <v>100000</v>
      </c>
      <c r="N2818" s="119"/>
      <c r="O2818" s="118">
        <v>0</v>
      </c>
      <c r="P2818" s="119"/>
      <c r="Q2818" s="118">
        <v>8740</v>
      </c>
      <c r="R2818" s="119"/>
      <c r="S2818" s="118">
        <v>13750</v>
      </c>
      <c r="T2818" s="119"/>
      <c r="U2818" s="118">
        <f t="shared" ref="U2818" si="1642">SUM(K2818:T2819)</f>
        <v>1122490</v>
      </c>
      <c r="V2818" s="122"/>
      <c r="W2818" s="124"/>
      <c r="X2818" s="126" t="s">
        <v>9668</v>
      </c>
      <c r="Y2818" s="127"/>
      <c r="Z2818" s="127"/>
      <c r="AA2818" s="127"/>
      <c r="AB2818" s="128"/>
      <c r="AC2818" s="15" t="s">
        <v>20</v>
      </c>
      <c r="AD2818" s="129"/>
      <c r="AE2818" s="130"/>
      <c r="AF2818" s="130"/>
      <c r="AG2818" s="130"/>
      <c r="AH2818" s="130"/>
      <c r="AI2818" s="131"/>
      <c r="AJ2818" s="132"/>
      <c r="AK2818" s="127"/>
      <c r="AL2818" s="128"/>
      <c r="AM2818" s="21"/>
      <c r="AN2818" s="133">
        <v>45958</v>
      </c>
      <c r="AO2818" s="134"/>
      <c r="AP2818" s="135">
        <v>1915</v>
      </c>
      <c r="AQ2818" s="136"/>
      <c r="AR2818" s="118">
        <v>1121000</v>
      </c>
      <c r="AS2818" s="119"/>
      <c r="AT2818" s="118">
        <f t="shared" ref="AT2818" si="1643">AR2818*0.1</f>
        <v>112100</v>
      </c>
      <c r="AU2818" s="119"/>
      <c r="AV2818" s="118">
        <v>8740</v>
      </c>
      <c r="AW2818" s="119"/>
      <c r="AX2818" s="118">
        <f t="shared" ref="AX2818" si="1644">SUM(AR2818:AW2818)</f>
        <v>1241840</v>
      </c>
      <c r="AY2818" s="119"/>
      <c r="AZ2818" s="137">
        <v>45965</v>
      </c>
    </row>
    <row r="2819" spans="1:52" ht="17.100000000000001" customHeight="1" thickBot="1">
      <c r="A2819" s="110"/>
      <c r="B2819" s="27" t="s">
        <v>3281</v>
      </c>
      <c r="C2819" s="27">
        <v>2594</v>
      </c>
      <c r="D2819" s="14" t="s">
        <v>2206</v>
      </c>
      <c r="E2819" s="112"/>
      <c r="F2819" s="139" t="s">
        <v>9175</v>
      </c>
      <c r="G2819" s="140"/>
      <c r="H2819" s="141"/>
      <c r="I2819" s="26">
        <v>35638</v>
      </c>
      <c r="J2819" s="117"/>
      <c r="K2819" s="120"/>
      <c r="L2819" s="121"/>
      <c r="M2819" s="120"/>
      <c r="N2819" s="121"/>
      <c r="O2819" s="120"/>
      <c r="P2819" s="121"/>
      <c r="Q2819" s="120"/>
      <c r="R2819" s="121"/>
      <c r="S2819" s="120"/>
      <c r="T2819" s="121"/>
      <c r="U2819" s="120"/>
      <c r="V2819" s="123"/>
      <c r="W2819" s="125"/>
      <c r="X2819" s="142" t="s">
        <v>2440</v>
      </c>
      <c r="Y2819" s="143"/>
      <c r="Z2819" s="143"/>
      <c r="AA2819" s="143"/>
      <c r="AB2819" s="144"/>
      <c r="AC2819" s="16" t="s">
        <v>21</v>
      </c>
      <c r="AD2819" s="17" t="s">
        <v>9662</v>
      </c>
      <c r="AE2819" s="145"/>
      <c r="AF2819" s="146"/>
      <c r="AG2819" s="146"/>
      <c r="AH2819" s="146"/>
      <c r="AI2819" s="147"/>
      <c r="AJ2819" s="148"/>
      <c r="AK2819" s="143"/>
      <c r="AL2819" s="144"/>
      <c r="AM2819" s="22"/>
      <c r="AN2819" s="149" t="s">
        <v>2131</v>
      </c>
      <c r="AO2819" s="144"/>
      <c r="AP2819" s="148">
        <v>3247</v>
      </c>
      <c r="AQ2819" s="144"/>
      <c r="AR2819" s="120"/>
      <c r="AS2819" s="121"/>
      <c r="AT2819" s="120"/>
      <c r="AU2819" s="121"/>
      <c r="AV2819" s="120"/>
      <c r="AW2819" s="121"/>
      <c r="AX2819" s="120"/>
      <c r="AY2819" s="121"/>
      <c r="AZ2819" s="138"/>
    </row>
    <row r="2820" spans="1:52" ht="17.100000000000001" customHeight="1" thickTop="1">
      <c r="A2820" s="109" t="s">
        <v>9167</v>
      </c>
      <c r="B2820" s="28">
        <v>45953</v>
      </c>
      <c r="C2820" s="25">
        <v>2131</v>
      </c>
      <c r="D2820" s="13" t="s">
        <v>2226</v>
      </c>
      <c r="E2820" s="111"/>
      <c r="F2820" s="113" t="s">
        <v>8009</v>
      </c>
      <c r="G2820" s="114"/>
      <c r="H2820" s="115"/>
      <c r="I2820" s="24" t="s">
        <v>8216</v>
      </c>
      <c r="J2820" s="116">
        <v>5</v>
      </c>
      <c r="K2820" s="118">
        <v>1678000</v>
      </c>
      <c r="L2820" s="119"/>
      <c r="M2820" s="118">
        <f t="shared" ref="M2820" si="1645">K2820*0.1</f>
        <v>167800</v>
      </c>
      <c r="N2820" s="119"/>
      <c r="O2820" s="118">
        <v>0</v>
      </c>
      <c r="P2820" s="119"/>
      <c r="Q2820" s="118">
        <v>7230</v>
      </c>
      <c r="R2820" s="119"/>
      <c r="S2820" s="118">
        <v>13750</v>
      </c>
      <c r="T2820" s="119"/>
      <c r="U2820" s="118">
        <f t="shared" ref="U2820" si="1646">SUM(K2820:T2821)</f>
        <v>1866780</v>
      </c>
      <c r="V2820" s="122"/>
      <c r="W2820" s="124"/>
      <c r="X2820" s="126" t="s">
        <v>9780</v>
      </c>
      <c r="Y2820" s="127"/>
      <c r="Z2820" s="127"/>
      <c r="AA2820" s="127"/>
      <c r="AB2820" s="128"/>
      <c r="AC2820" s="15" t="s">
        <v>20</v>
      </c>
      <c r="AD2820" s="129" t="s">
        <v>1732</v>
      </c>
      <c r="AE2820" s="130"/>
      <c r="AF2820" s="130"/>
      <c r="AG2820" s="130"/>
      <c r="AH2820" s="130"/>
      <c r="AI2820" s="131"/>
      <c r="AJ2820" s="132"/>
      <c r="AK2820" s="127"/>
      <c r="AL2820" s="128"/>
      <c r="AM2820" s="21"/>
      <c r="AN2820" s="133">
        <v>45958</v>
      </c>
      <c r="AO2820" s="134"/>
      <c r="AP2820" s="135">
        <v>1915</v>
      </c>
      <c r="AQ2820" s="136"/>
      <c r="AR2820" s="118">
        <v>1752000</v>
      </c>
      <c r="AS2820" s="119"/>
      <c r="AT2820" s="118">
        <f t="shared" ref="AT2820" si="1647">AR2820*0.1</f>
        <v>175200</v>
      </c>
      <c r="AU2820" s="119"/>
      <c r="AV2820" s="118">
        <v>7230</v>
      </c>
      <c r="AW2820" s="119"/>
      <c r="AX2820" s="118">
        <f t="shared" ref="AX2820" si="1648">SUM(AR2820:AW2820)</f>
        <v>1934430</v>
      </c>
      <c r="AY2820" s="119"/>
      <c r="AZ2820" s="137">
        <v>45965</v>
      </c>
    </row>
    <row r="2821" spans="1:52" ht="17.100000000000001" customHeight="1" thickBot="1">
      <c r="A2821" s="110"/>
      <c r="B2821" s="27" t="s">
        <v>3281</v>
      </c>
      <c r="C2821" s="27">
        <v>2595</v>
      </c>
      <c r="D2821" s="14" t="s">
        <v>133</v>
      </c>
      <c r="E2821" s="112"/>
      <c r="F2821" s="139" t="s">
        <v>9176</v>
      </c>
      <c r="G2821" s="140"/>
      <c r="H2821" s="141"/>
      <c r="I2821" s="26">
        <v>2610</v>
      </c>
      <c r="J2821" s="117"/>
      <c r="K2821" s="120"/>
      <c r="L2821" s="121"/>
      <c r="M2821" s="120"/>
      <c r="N2821" s="121"/>
      <c r="O2821" s="120"/>
      <c r="P2821" s="121"/>
      <c r="Q2821" s="120"/>
      <c r="R2821" s="121"/>
      <c r="S2821" s="120"/>
      <c r="T2821" s="121"/>
      <c r="U2821" s="120"/>
      <c r="V2821" s="123"/>
      <c r="W2821" s="125"/>
      <c r="X2821" s="142" t="s">
        <v>4681</v>
      </c>
      <c r="Y2821" s="143"/>
      <c r="Z2821" s="143"/>
      <c r="AA2821" s="143"/>
      <c r="AB2821" s="144"/>
      <c r="AC2821" s="16" t="s">
        <v>21</v>
      </c>
      <c r="AD2821" s="17" t="s">
        <v>3335</v>
      </c>
      <c r="AE2821" s="145" t="s">
        <v>1614</v>
      </c>
      <c r="AF2821" s="146"/>
      <c r="AG2821" s="146"/>
      <c r="AH2821" s="146"/>
      <c r="AI2821" s="147"/>
      <c r="AJ2821" s="148"/>
      <c r="AK2821" s="143"/>
      <c r="AL2821" s="144"/>
      <c r="AM2821" s="22"/>
      <c r="AN2821" s="149" t="s">
        <v>2131</v>
      </c>
      <c r="AO2821" s="144"/>
      <c r="AP2821" s="148">
        <v>3269</v>
      </c>
      <c r="AQ2821" s="144"/>
      <c r="AR2821" s="120"/>
      <c r="AS2821" s="121"/>
      <c r="AT2821" s="120"/>
      <c r="AU2821" s="121"/>
      <c r="AV2821" s="120"/>
      <c r="AW2821" s="121"/>
      <c r="AX2821" s="120"/>
      <c r="AY2821" s="121"/>
      <c r="AZ2821" s="138"/>
    </row>
    <row r="2822" spans="1:52" ht="17.100000000000001" customHeight="1" thickTop="1">
      <c r="A2822" s="109" t="s">
        <v>9168</v>
      </c>
      <c r="B2822" s="28">
        <v>45953</v>
      </c>
      <c r="C2822" s="25">
        <v>2131</v>
      </c>
      <c r="D2822" s="13" t="s">
        <v>4840</v>
      </c>
      <c r="E2822" s="111"/>
      <c r="F2822" s="113" t="s">
        <v>9227</v>
      </c>
      <c r="G2822" s="114"/>
      <c r="H2822" s="115"/>
      <c r="I2822" s="24"/>
      <c r="J2822" s="116">
        <v>4</v>
      </c>
      <c r="K2822" s="118">
        <v>115000</v>
      </c>
      <c r="L2822" s="119"/>
      <c r="M2822" s="118">
        <f t="shared" ref="M2822" si="1649">K2822*0.1</f>
        <v>11500</v>
      </c>
      <c r="N2822" s="119"/>
      <c r="O2822" s="118">
        <v>0</v>
      </c>
      <c r="P2822" s="119"/>
      <c r="Q2822" s="118">
        <v>9460</v>
      </c>
      <c r="R2822" s="119"/>
      <c r="S2822" s="118">
        <v>13750</v>
      </c>
      <c r="T2822" s="119"/>
      <c r="U2822" s="118">
        <f t="shared" ref="U2822" si="1650">SUM(K2822:T2823)</f>
        <v>149710</v>
      </c>
      <c r="V2822" s="122"/>
      <c r="W2822" s="124"/>
      <c r="X2822" s="126" t="s">
        <v>9701</v>
      </c>
      <c r="Y2822" s="127"/>
      <c r="Z2822" s="127"/>
      <c r="AA2822" s="127"/>
      <c r="AB2822" s="128"/>
      <c r="AC2822" s="15" t="s">
        <v>20</v>
      </c>
      <c r="AD2822" s="129"/>
      <c r="AE2822" s="130"/>
      <c r="AF2822" s="130"/>
      <c r="AG2822" s="130"/>
      <c r="AH2822" s="130"/>
      <c r="AI2822" s="131"/>
      <c r="AJ2822" s="132"/>
      <c r="AK2822" s="127"/>
      <c r="AL2822" s="128"/>
      <c r="AM2822" s="21"/>
      <c r="AN2822" s="133">
        <v>45962</v>
      </c>
      <c r="AO2822" s="134"/>
      <c r="AP2822" s="135">
        <v>1274</v>
      </c>
      <c r="AQ2822" s="136"/>
      <c r="AR2822" s="118">
        <v>200000</v>
      </c>
      <c r="AS2822" s="119"/>
      <c r="AT2822" s="118">
        <f t="shared" ref="AT2822" si="1651">AR2822*0.1</f>
        <v>20000</v>
      </c>
      <c r="AU2822" s="119"/>
      <c r="AV2822" s="118">
        <v>9460</v>
      </c>
      <c r="AW2822" s="119"/>
      <c r="AX2822" s="118">
        <f t="shared" ref="AX2822" si="1652">SUM(AR2822:AW2822)</f>
        <v>229460</v>
      </c>
      <c r="AY2822" s="119"/>
      <c r="AZ2822" s="137">
        <v>45965</v>
      </c>
    </row>
    <row r="2823" spans="1:52" ht="17.100000000000001" customHeight="1" thickBot="1">
      <c r="A2823" s="110"/>
      <c r="B2823" s="27" t="s">
        <v>3281</v>
      </c>
      <c r="C2823" s="27">
        <v>35312</v>
      </c>
      <c r="D2823" s="14" t="s">
        <v>3855</v>
      </c>
      <c r="E2823" s="112"/>
      <c r="F2823" s="139" t="s">
        <v>9177</v>
      </c>
      <c r="G2823" s="140"/>
      <c r="H2823" s="141"/>
      <c r="I2823" s="26">
        <v>54801</v>
      </c>
      <c r="J2823" s="117"/>
      <c r="K2823" s="120"/>
      <c r="L2823" s="121"/>
      <c r="M2823" s="120"/>
      <c r="N2823" s="121"/>
      <c r="O2823" s="120"/>
      <c r="P2823" s="121"/>
      <c r="Q2823" s="120"/>
      <c r="R2823" s="121"/>
      <c r="S2823" s="120"/>
      <c r="T2823" s="121"/>
      <c r="U2823" s="120"/>
      <c r="V2823" s="123"/>
      <c r="W2823" s="125"/>
      <c r="X2823" s="142" t="s">
        <v>9702</v>
      </c>
      <c r="Y2823" s="143"/>
      <c r="Z2823" s="143"/>
      <c r="AA2823" s="143"/>
      <c r="AB2823" s="144"/>
      <c r="AC2823" s="16" t="s">
        <v>21</v>
      </c>
      <c r="AD2823" s="17" t="s">
        <v>9662</v>
      </c>
      <c r="AE2823" s="145" t="s">
        <v>3624</v>
      </c>
      <c r="AF2823" s="146"/>
      <c r="AG2823" s="146"/>
      <c r="AH2823" s="146"/>
      <c r="AI2823" s="147"/>
      <c r="AJ2823" s="148"/>
      <c r="AK2823" s="143"/>
      <c r="AL2823" s="144"/>
      <c r="AM2823" s="22"/>
      <c r="AN2823" s="149" t="s">
        <v>2511</v>
      </c>
      <c r="AO2823" s="144"/>
      <c r="AP2823" s="148">
        <v>60043</v>
      </c>
      <c r="AQ2823" s="144"/>
      <c r="AR2823" s="120"/>
      <c r="AS2823" s="121"/>
      <c r="AT2823" s="120"/>
      <c r="AU2823" s="121"/>
      <c r="AV2823" s="120"/>
      <c r="AW2823" s="121"/>
      <c r="AX2823" s="120"/>
      <c r="AY2823" s="121"/>
      <c r="AZ2823" s="138"/>
    </row>
    <row r="2824" spans="1:52" ht="17.100000000000001" customHeight="1" thickTop="1">
      <c r="A2824" s="109" t="s">
        <v>9234</v>
      </c>
      <c r="B2824" s="28">
        <v>45953</v>
      </c>
      <c r="C2824" s="25"/>
      <c r="D2824" s="13" t="s">
        <v>1853</v>
      </c>
      <c r="E2824" s="111"/>
      <c r="F2824" s="113" t="s">
        <v>9236</v>
      </c>
      <c r="G2824" s="114"/>
      <c r="H2824" s="115"/>
      <c r="I2824" s="24" t="s">
        <v>3003</v>
      </c>
      <c r="J2824" s="116"/>
      <c r="K2824" s="118">
        <v>2400000</v>
      </c>
      <c r="L2824" s="119"/>
      <c r="M2824" s="118">
        <v>0</v>
      </c>
      <c r="N2824" s="119"/>
      <c r="O2824" s="118">
        <v>0</v>
      </c>
      <c r="P2824" s="119"/>
      <c r="Q2824" s="118">
        <v>0</v>
      </c>
      <c r="R2824" s="119"/>
      <c r="S2824" s="118">
        <v>0</v>
      </c>
      <c r="T2824" s="119"/>
      <c r="U2824" s="118">
        <f t="shared" ref="U2824" si="1653">SUM(K2824:T2825)</f>
        <v>2400000</v>
      </c>
      <c r="V2824" s="122"/>
      <c r="W2824" s="124"/>
      <c r="X2824" s="126" t="s">
        <v>9238</v>
      </c>
      <c r="Y2824" s="127"/>
      <c r="Z2824" s="127"/>
      <c r="AA2824" s="127"/>
      <c r="AB2824" s="128"/>
      <c r="AC2824" s="15" t="s">
        <v>20</v>
      </c>
      <c r="AD2824" s="129"/>
      <c r="AE2824" s="130"/>
      <c r="AF2824" s="130"/>
      <c r="AG2824" s="130"/>
      <c r="AH2824" s="130"/>
      <c r="AI2824" s="131"/>
      <c r="AJ2824" s="132"/>
      <c r="AK2824" s="127"/>
      <c r="AL2824" s="128"/>
      <c r="AM2824" s="21"/>
      <c r="AN2824" s="133">
        <v>46067</v>
      </c>
      <c r="AO2824" s="134"/>
      <c r="AP2824" s="135"/>
      <c r="AQ2824" s="136"/>
      <c r="AR2824" s="118">
        <v>3450000</v>
      </c>
      <c r="AS2824" s="119"/>
      <c r="AT2824" s="118">
        <v>0</v>
      </c>
      <c r="AU2824" s="119"/>
      <c r="AV2824" s="118">
        <v>0</v>
      </c>
      <c r="AW2824" s="119"/>
      <c r="AX2824" s="118">
        <f t="shared" ref="AX2824" si="1654">SUM(AR2824:AW2824)</f>
        <v>3450000</v>
      </c>
      <c r="AY2824" s="119"/>
      <c r="AZ2824" s="137">
        <v>46096</v>
      </c>
    </row>
    <row r="2825" spans="1:52" ht="17.100000000000001" customHeight="1" thickBot="1">
      <c r="A2825" s="110"/>
      <c r="B2825" s="27" t="s">
        <v>9235</v>
      </c>
      <c r="C2825" s="27"/>
      <c r="D2825" s="14" t="s">
        <v>1592</v>
      </c>
      <c r="E2825" s="112"/>
      <c r="F2825" s="139" t="s">
        <v>9237</v>
      </c>
      <c r="G2825" s="140"/>
      <c r="H2825" s="141"/>
      <c r="I2825" s="26"/>
      <c r="J2825" s="117"/>
      <c r="K2825" s="120"/>
      <c r="L2825" s="121"/>
      <c r="M2825" s="120"/>
      <c r="N2825" s="121"/>
      <c r="O2825" s="120"/>
      <c r="P2825" s="121"/>
      <c r="Q2825" s="120"/>
      <c r="R2825" s="121"/>
      <c r="S2825" s="120"/>
      <c r="T2825" s="121"/>
      <c r="U2825" s="120"/>
      <c r="V2825" s="123"/>
      <c r="W2825" s="125"/>
      <c r="X2825" s="142" t="s">
        <v>2762</v>
      </c>
      <c r="Y2825" s="143"/>
      <c r="Z2825" s="143"/>
      <c r="AA2825" s="143"/>
      <c r="AB2825" s="144"/>
      <c r="AC2825" s="16" t="s">
        <v>21</v>
      </c>
      <c r="AD2825" s="17" t="s">
        <v>9131</v>
      </c>
      <c r="AE2825" s="145" t="s">
        <v>1742</v>
      </c>
      <c r="AF2825" s="146"/>
      <c r="AG2825" s="146"/>
      <c r="AH2825" s="146"/>
      <c r="AI2825" s="147"/>
      <c r="AJ2825" s="148"/>
      <c r="AK2825" s="143"/>
      <c r="AL2825" s="144"/>
      <c r="AM2825" s="22" t="s">
        <v>3483</v>
      </c>
      <c r="AN2825" s="149" t="s">
        <v>20307</v>
      </c>
      <c r="AO2825" s="144"/>
      <c r="AP2825" s="148"/>
      <c r="AQ2825" s="144"/>
      <c r="AR2825" s="120"/>
      <c r="AS2825" s="121"/>
      <c r="AT2825" s="120"/>
      <c r="AU2825" s="121"/>
      <c r="AV2825" s="120"/>
      <c r="AW2825" s="121"/>
      <c r="AX2825" s="120"/>
      <c r="AY2825" s="121"/>
      <c r="AZ2825" s="138"/>
    </row>
    <row r="2826" spans="1:52" ht="17.100000000000001" customHeight="1" thickTop="1">
      <c r="A2826" s="109" t="s">
        <v>9243</v>
      </c>
      <c r="B2826" s="28">
        <v>45954</v>
      </c>
      <c r="C2826" s="25">
        <v>62</v>
      </c>
      <c r="D2826" s="13" t="s">
        <v>2428</v>
      </c>
      <c r="E2826" s="111"/>
      <c r="F2826" s="113" t="s">
        <v>9253</v>
      </c>
      <c r="G2826" s="114"/>
      <c r="H2826" s="115"/>
      <c r="I2826" s="24" t="s">
        <v>4314</v>
      </c>
      <c r="J2826" s="116">
        <v>5</v>
      </c>
      <c r="K2826" s="118">
        <v>2790000</v>
      </c>
      <c r="L2826" s="119"/>
      <c r="M2826" s="118">
        <f t="shared" ref="M2826" si="1655">K2826*0.1</f>
        <v>279000</v>
      </c>
      <c r="N2826" s="119"/>
      <c r="O2826" s="118">
        <f>14500+1450</f>
        <v>15950</v>
      </c>
      <c r="P2826" s="119"/>
      <c r="Q2826" s="118">
        <v>10660</v>
      </c>
      <c r="R2826" s="119"/>
      <c r="S2826" s="118">
        <v>66000</v>
      </c>
      <c r="T2826" s="119"/>
      <c r="U2826" s="118">
        <f t="shared" ref="U2826" si="1656">SUM(K2826:T2827)</f>
        <v>3161610</v>
      </c>
      <c r="V2826" s="122"/>
      <c r="W2826" s="124"/>
      <c r="X2826" s="126" t="s">
        <v>12052</v>
      </c>
      <c r="Y2826" s="127"/>
      <c r="Z2826" s="127"/>
      <c r="AA2826" s="127"/>
      <c r="AB2826" s="128"/>
      <c r="AC2826" s="15" t="s">
        <v>20</v>
      </c>
      <c r="AD2826" s="129" t="s">
        <v>8840</v>
      </c>
      <c r="AE2826" s="130"/>
      <c r="AF2826" s="130"/>
      <c r="AG2826" s="130"/>
      <c r="AH2826" s="130"/>
      <c r="AI2826" s="131"/>
      <c r="AJ2826" s="132"/>
      <c r="AK2826" s="127"/>
      <c r="AL2826" s="128"/>
      <c r="AM2826" s="21"/>
      <c r="AN2826" s="133">
        <v>45990</v>
      </c>
      <c r="AO2826" s="134"/>
      <c r="AP2826" s="135">
        <v>1278</v>
      </c>
      <c r="AQ2826" s="136"/>
      <c r="AR2826" s="118">
        <v>2960000</v>
      </c>
      <c r="AS2826" s="119"/>
      <c r="AT2826" s="118">
        <f t="shared" ref="AT2826" si="1657">AR2826*0.1</f>
        <v>296000</v>
      </c>
      <c r="AU2826" s="119"/>
      <c r="AV2826" s="118">
        <v>10660</v>
      </c>
      <c r="AW2826" s="119"/>
      <c r="AX2826" s="118">
        <f t="shared" ref="AX2826" si="1658">SUM(AR2826:AW2826)</f>
        <v>3266660</v>
      </c>
      <c r="AY2826" s="119"/>
      <c r="AZ2826" s="137">
        <v>45994</v>
      </c>
    </row>
    <row r="2827" spans="1:52" ht="17.100000000000001" customHeight="1" thickBot="1">
      <c r="A2827" s="110"/>
      <c r="B2827" s="27" t="s">
        <v>4544</v>
      </c>
      <c r="C2827" s="27">
        <v>1004</v>
      </c>
      <c r="D2827" s="14" t="s">
        <v>275</v>
      </c>
      <c r="E2827" s="112"/>
      <c r="F2827" s="139" t="s">
        <v>9248</v>
      </c>
      <c r="G2827" s="140"/>
      <c r="H2827" s="141"/>
      <c r="I2827" s="26">
        <v>10409</v>
      </c>
      <c r="J2827" s="117"/>
      <c r="K2827" s="120"/>
      <c r="L2827" s="121"/>
      <c r="M2827" s="120"/>
      <c r="N2827" s="121"/>
      <c r="O2827" s="120"/>
      <c r="P2827" s="121"/>
      <c r="Q2827" s="120"/>
      <c r="R2827" s="121"/>
      <c r="S2827" s="120"/>
      <c r="T2827" s="121"/>
      <c r="U2827" s="120"/>
      <c r="V2827" s="123"/>
      <c r="W2827" s="125"/>
      <c r="X2827" s="142" t="s">
        <v>12053</v>
      </c>
      <c r="Y2827" s="143"/>
      <c r="Z2827" s="143"/>
      <c r="AA2827" s="143"/>
      <c r="AB2827" s="144"/>
      <c r="AC2827" s="16" t="s">
        <v>21</v>
      </c>
      <c r="AD2827" s="17" t="s">
        <v>12054</v>
      </c>
      <c r="AE2827" s="145" t="s">
        <v>1633</v>
      </c>
      <c r="AF2827" s="146"/>
      <c r="AG2827" s="146"/>
      <c r="AH2827" s="146"/>
      <c r="AI2827" s="147"/>
      <c r="AJ2827" s="148"/>
      <c r="AK2827" s="143"/>
      <c r="AL2827" s="144"/>
      <c r="AM2827" s="22"/>
      <c r="AN2827" s="149" t="s">
        <v>2511</v>
      </c>
      <c r="AO2827" s="144"/>
      <c r="AP2827" s="148">
        <v>37822</v>
      </c>
      <c r="AQ2827" s="144"/>
      <c r="AR2827" s="120"/>
      <c r="AS2827" s="121"/>
      <c r="AT2827" s="120"/>
      <c r="AU2827" s="121"/>
      <c r="AV2827" s="120"/>
      <c r="AW2827" s="121"/>
      <c r="AX2827" s="120"/>
      <c r="AY2827" s="121"/>
      <c r="AZ2827" s="138"/>
    </row>
    <row r="2828" spans="1:52" ht="17.100000000000001" customHeight="1" thickTop="1">
      <c r="A2828" s="109" t="s">
        <v>9244</v>
      </c>
      <c r="B2828" s="28">
        <v>45954</v>
      </c>
      <c r="C2828" s="25">
        <v>62</v>
      </c>
      <c r="D2828" s="13" t="s">
        <v>1998</v>
      </c>
      <c r="E2828" s="111"/>
      <c r="F2828" s="113" t="s">
        <v>9254</v>
      </c>
      <c r="G2828" s="114"/>
      <c r="H2828" s="115"/>
      <c r="I2828" s="24" t="s">
        <v>1559</v>
      </c>
      <c r="J2828" s="116">
        <v>4.5</v>
      </c>
      <c r="K2828" s="118">
        <v>3790000</v>
      </c>
      <c r="L2828" s="119"/>
      <c r="M2828" s="118">
        <v>379000</v>
      </c>
      <c r="N2828" s="119"/>
      <c r="O2828" s="118">
        <f>12700+1270</f>
        <v>13970</v>
      </c>
      <c r="P2828" s="119"/>
      <c r="Q2828" s="118">
        <v>11970</v>
      </c>
      <c r="R2828" s="119"/>
      <c r="S2828" s="118">
        <v>88000</v>
      </c>
      <c r="T2828" s="119"/>
      <c r="U2828" s="118">
        <f t="shared" ref="U2828" si="1659">SUM(K2828:T2829)</f>
        <v>4282940</v>
      </c>
      <c r="V2828" s="122"/>
      <c r="W2828" s="124"/>
      <c r="X2828" s="126" t="s">
        <v>11104</v>
      </c>
      <c r="Y2828" s="127"/>
      <c r="Z2828" s="127"/>
      <c r="AA2828" s="127"/>
      <c r="AB2828" s="128"/>
      <c r="AC2828" s="15" t="s">
        <v>20</v>
      </c>
      <c r="AD2828" s="129" t="s">
        <v>9255</v>
      </c>
      <c r="AE2828" s="130"/>
      <c r="AF2828" s="130"/>
      <c r="AG2828" s="130"/>
      <c r="AH2828" s="130"/>
      <c r="AI2828" s="131"/>
      <c r="AJ2828" s="132"/>
      <c r="AK2828" s="127"/>
      <c r="AL2828" s="128"/>
      <c r="AM2828" s="21"/>
      <c r="AN2828" s="133">
        <v>45976</v>
      </c>
      <c r="AO2828" s="134"/>
      <c r="AP2828" s="135">
        <v>1276</v>
      </c>
      <c r="AQ2828" s="136"/>
      <c r="AR2828" s="118">
        <v>4215000</v>
      </c>
      <c r="AS2828" s="119"/>
      <c r="AT2828" s="118">
        <f t="shared" ref="AT2828" si="1660">AR2828*0.1</f>
        <v>421500</v>
      </c>
      <c r="AU2828" s="119"/>
      <c r="AV2828" s="118">
        <v>11970</v>
      </c>
      <c r="AW2828" s="119"/>
      <c r="AX2828" s="118">
        <f t="shared" ref="AX2828" si="1661">SUM(AR2828:AW2828)</f>
        <v>4648470</v>
      </c>
      <c r="AY2828" s="119"/>
      <c r="AZ2828" s="137">
        <v>45986</v>
      </c>
    </row>
    <row r="2829" spans="1:52" ht="17.100000000000001" customHeight="1" thickBot="1">
      <c r="A2829" s="110"/>
      <c r="B2829" s="27" t="s">
        <v>4544</v>
      </c>
      <c r="C2829" s="27">
        <v>1025</v>
      </c>
      <c r="D2829" s="14" t="s">
        <v>2601</v>
      </c>
      <c r="E2829" s="112"/>
      <c r="F2829" s="139" t="s">
        <v>9249</v>
      </c>
      <c r="G2829" s="140"/>
      <c r="H2829" s="141"/>
      <c r="I2829" s="26">
        <v>8145</v>
      </c>
      <c r="J2829" s="117"/>
      <c r="K2829" s="120"/>
      <c r="L2829" s="121"/>
      <c r="M2829" s="120"/>
      <c r="N2829" s="121"/>
      <c r="O2829" s="120"/>
      <c r="P2829" s="121"/>
      <c r="Q2829" s="120"/>
      <c r="R2829" s="121"/>
      <c r="S2829" s="120"/>
      <c r="T2829" s="121"/>
      <c r="U2829" s="120"/>
      <c r="V2829" s="123"/>
      <c r="W2829" s="125"/>
      <c r="X2829" s="142" t="s">
        <v>4356</v>
      </c>
      <c r="Y2829" s="143"/>
      <c r="Z2829" s="143"/>
      <c r="AA2829" s="143"/>
      <c r="AB2829" s="144"/>
      <c r="AC2829" s="16" t="s">
        <v>21</v>
      </c>
      <c r="AD2829" s="17" t="s">
        <v>11105</v>
      </c>
      <c r="AE2829" s="145" t="s">
        <v>11106</v>
      </c>
      <c r="AF2829" s="146"/>
      <c r="AG2829" s="146"/>
      <c r="AH2829" s="146"/>
      <c r="AI2829" s="147"/>
      <c r="AJ2829" s="148"/>
      <c r="AK2829" s="143"/>
      <c r="AL2829" s="144"/>
      <c r="AM2829" s="22"/>
      <c r="AN2829" s="149" t="s">
        <v>10999</v>
      </c>
      <c r="AO2829" s="144"/>
      <c r="AP2829" s="148">
        <v>37075</v>
      </c>
      <c r="AQ2829" s="144"/>
      <c r="AR2829" s="120"/>
      <c r="AS2829" s="121"/>
      <c r="AT2829" s="120"/>
      <c r="AU2829" s="121"/>
      <c r="AV2829" s="120"/>
      <c r="AW2829" s="121"/>
      <c r="AX2829" s="120"/>
      <c r="AY2829" s="121"/>
      <c r="AZ2829" s="138"/>
    </row>
    <row r="2830" spans="1:52" ht="17.100000000000001" customHeight="1" thickTop="1">
      <c r="A2830" s="109" t="s">
        <v>9245</v>
      </c>
      <c r="B2830" s="28">
        <v>45954</v>
      </c>
      <c r="C2830" s="25">
        <v>62</v>
      </c>
      <c r="D2830" s="13" t="s">
        <v>2211</v>
      </c>
      <c r="E2830" s="111"/>
      <c r="F2830" s="113" t="s">
        <v>9256</v>
      </c>
      <c r="G2830" s="114"/>
      <c r="H2830" s="115"/>
      <c r="I2830" s="24" t="s">
        <v>2064</v>
      </c>
      <c r="J2830" s="116">
        <v>4</v>
      </c>
      <c r="K2830" s="118">
        <v>3785000</v>
      </c>
      <c r="L2830" s="119"/>
      <c r="M2830" s="118">
        <f t="shared" ref="M2830" si="1662">K2830*0.1</f>
        <v>378500</v>
      </c>
      <c r="N2830" s="119"/>
      <c r="O2830" s="118">
        <f>6600+660</f>
        <v>7260</v>
      </c>
      <c r="P2830" s="119"/>
      <c r="Q2830" s="118">
        <v>11570</v>
      </c>
      <c r="R2830" s="119"/>
      <c r="S2830" s="118">
        <v>88000</v>
      </c>
      <c r="T2830" s="119"/>
      <c r="U2830" s="118">
        <f t="shared" ref="U2830" si="1663">SUM(K2830:T2831)</f>
        <v>4270330</v>
      </c>
      <c r="V2830" s="122"/>
      <c r="W2830" s="124"/>
      <c r="X2830" s="126" t="s">
        <v>12245</v>
      </c>
      <c r="Y2830" s="127"/>
      <c r="Z2830" s="127"/>
      <c r="AA2830" s="127"/>
      <c r="AB2830" s="128"/>
      <c r="AC2830" s="15" t="s">
        <v>20</v>
      </c>
      <c r="AD2830" s="129" t="s">
        <v>9257</v>
      </c>
      <c r="AE2830" s="130"/>
      <c r="AF2830" s="130"/>
      <c r="AG2830" s="130"/>
      <c r="AH2830" s="130"/>
      <c r="AI2830" s="131"/>
      <c r="AJ2830" s="132"/>
      <c r="AK2830" s="127"/>
      <c r="AL2830" s="128"/>
      <c r="AM2830" s="21"/>
      <c r="AN2830" s="133">
        <v>45976</v>
      </c>
      <c r="AO2830" s="134"/>
      <c r="AP2830" s="135">
        <v>1276</v>
      </c>
      <c r="AQ2830" s="136"/>
      <c r="AR2830" s="118">
        <v>3970000</v>
      </c>
      <c r="AS2830" s="119"/>
      <c r="AT2830" s="118">
        <f t="shared" ref="AT2830" si="1664">AR2830*0.1</f>
        <v>397000</v>
      </c>
      <c r="AU2830" s="119"/>
      <c r="AV2830" s="118">
        <v>11570</v>
      </c>
      <c r="AW2830" s="119"/>
      <c r="AX2830" s="118">
        <f t="shared" ref="AX2830" si="1665">SUM(AR2830:AW2830)</f>
        <v>4378570</v>
      </c>
      <c r="AY2830" s="119"/>
      <c r="AZ2830" s="137">
        <v>45987</v>
      </c>
    </row>
    <row r="2831" spans="1:52" ht="17.100000000000001" customHeight="1" thickBot="1">
      <c r="A2831" s="110"/>
      <c r="B2831" s="27" t="s">
        <v>4544</v>
      </c>
      <c r="C2831" s="27">
        <v>1069</v>
      </c>
      <c r="D2831" s="14" t="s">
        <v>2601</v>
      </c>
      <c r="E2831" s="112"/>
      <c r="F2831" s="139" t="s">
        <v>9250</v>
      </c>
      <c r="G2831" s="140"/>
      <c r="H2831" s="141"/>
      <c r="I2831" s="26">
        <v>16539</v>
      </c>
      <c r="J2831" s="117"/>
      <c r="K2831" s="120"/>
      <c r="L2831" s="121"/>
      <c r="M2831" s="120"/>
      <c r="N2831" s="121"/>
      <c r="O2831" s="120"/>
      <c r="P2831" s="121"/>
      <c r="Q2831" s="120"/>
      <c r="R2831" s="121"/>
      <c r="S2831" s="120"/>
      <c r="T2831" s="121"/>
      <c r="U2831" s="120"/>
      <c r="V2831" s="123"/>
      <c r="W2831" s="125"/>
      <c r="X2831" s="142" t="s">
        <v>12246</v>
      </c>
      <c r="Y2831" s="143"/>
      <c r="Z2831" s="143"/>
      <c r="AA2831" s="143"/>
      <c r="AB2831" s="144"/>
      <c r="AC2831" s="16" t="s">
        <v>21</v>
      </c>
      <c r="AD2831" s="17" t="s">
        <v>2203</v>
      </c>
      <c r="AE2831" s="145" t="s">
        <v>7847</v>
      </c>
      <c r="AF2831" s="146"/>
      <c r="AG2831" s="146"/>
      <c r="AH2831" s="146"/>
      <c r="AI2831" s="147"/>
      <c r="AJ2831" s="148"/>
      <c r="AK2831" s="143"/>
      <c r="AL2831" s="144"/>
      <c r="AM2831" s="22"/>
      <c r="AN2831" s="149" t="s">
        <v>10999</v>
      </c>
      <c r="AO2831" s="144"/>
      <c r="AP2831" s="148">
        <v>40006</v>
      </c>
      <c r="AQ2831" s="144"/>
      <c r="AR2831" s="120"/>
      <c r="AS2831" s="121"/>
      <c r="AT2831" s="120"/>
      <c r="AU2831" s="121"/>
      <c r="AV2831" s="120"/>
      <c r="AW2831" s="121"/>
      <c r="AX2831" s="120"/>
      <c r="AY2831" s="121"/>
      <c r="AZ2831" s="138"/>
    </row>
    <row r="2832" spans="1:52" ht="17.100000000000001" customHeight="1" thickTop="1">
      <c r="A2832" s="109" t="s">
        <v>9246</v>
      </c>
      <c r="B2832" s="28">
        <v>45954</v>
      </c>
      <c r="C2832" s="25">
        <v>62</v>
      </c>
      <c r="D2832" s="13" t="s">
        <v>2759</v>
      </c>
      <c r="E2832" s="111"/>
      <c r="F2832" s="113" t="s">
        <v>9258</v>
      </c>
      <c r="G2832" s="114"/>
      <c r="H2832" s="115"/>
      <c r="I2832" s="24" t="s">
        <v>2043</v>
      </c>
      <c r="J2832" s="116">
        <v>4.5</v>
      </c>
      <c r="K2832" s="118">
        <v>930000</v>
      </c>
      <c r="L2832" s="119"/>
      <c r="M2832" s="118">
        <f t="shared" ref="M2832" si="1666">K2832*0.1</f>
        <v>93000</v>
      </c>
      <c r="N2832" s="119"/>
      <c r="O2832" s="118">
        <v>0</v>
      </c>
      <c r="P2832" s="119"/>
      <c r="Q2832" s="118">
        <v>8430</v>
      </c>
      <c r="R2832" s="119"/>
      <c r="S2832" s="118">
        <v>33000</v>
      </c>
      <c r="T2832" s="119"/>
      <c r="U2832" s="118">
        <f t="shared" ref="U2832" si="1667">SUM(K2832:T2833)</f>
        <v>1064430</v>
      </c>
      <c r="V2832" s="122"/>
      <c r="W2832" s="124"/>
      <c r="X2832" s="126" t="s">
        <v>10932</v>
      </c>
      <c r="Y2832" s="127"/>
      <c r="Z2832" s="127"/>
      <c r="AA2832" s="127"/>
      <c r="AB2832" s="128"/>
      <c r="AC2832" s="15" t="s">
        <v>20</v>
      </c>
      <c r="AD2832" s="129" t="s">
        <v>9259</v>
      </c>
      <c r="AE2832" s="130"/>
      <c r="AF2832" s="130"/>
      <c r="AG2832" s="130"/>
      <c r="AH2832" s="130"/>
      <c r="AI2832" s="131"/>
      <c r="AJ2832" s="132"/>
      <c r="AK2832" s="127"/>
      <c r="AL2832" s="128"/>
      <c r="AM2832" s="21"/>
      <c r="AN2832" s="133">
        <v>45979</v>
      </c>
      <c r="AO2832" s="134"/>
      <c r="AP2832" s="135">
        <v>1918</v>
      </c>
      <c r="AQ2832" s="136"/>
      <c r="AR2832" s="118">
        <v>1037000</v>
      </c>
      <c r="AS2832" s="119"/>
      <c r="AT2832" s="118">
        <f t="shared" ref="AT2832" si="1668">AR2832*0.1</f>
        <v>103700</v>
      </c>
      <c r="AU2832" s="119"/>
      <c r="AV2832" s="118">
        <v>8430</v>
      </c>
      <c r="AW2832" s="119"/>
      <c r="AX2832" s="118">
        <f t="shared" ref="AX2832" si="1669">SUM(AR2832:AW2832)</f>
        <v>1149130</v>
      </c>
      <c r="AY2832" s="119"/>
      <c r="AZ2832" s="137">
        <v>45986</v>
      </c>
    </row>
    <row r="2833" spans="1:52" ht="17.100000000000001" customHeight="1" thickBot="1">
      <c r="A2833" s="110"/>
      <c r="B2833" s="27" t="s">
        <v>4544</v>
      </c>
      <c r="C2833" s="27">
        <v>1098</v>
      </c>
      <c r="D2833" s="14" t="s">
        <v>2601</v>
      </c>
      <c r="E2833" s="112"/>
      <c r="F2833" s="139" t="s">
        <v>9251</v>
      </c>
      <c r="G2833" s="140"/>
      <c r="H2833" s="141"/>
      <c r="I2833" s="26">
        <v>29648</v>
      </c>
      <c r="J2833" s="117"/>
      <c r="K2833" s="120"/>
      <c r="L2833" s="121"/>
      <c r="M2833" s="120"/>
      <c r="N2833" s="121"/>
      <c r="O2833" s="120"/>
      <c r="P2833" s="121"/>
      <c r="Q2833" s="120"/>
      <c r="R2833" s="121"/>
      <c r="S2833" s="120"/>
      <c r="T2833" s="121"/>
      <c r="U2833" s="120"/>
      <c r="V2833" s="123"/>
      <c r="W2833" s="125"/>
      <c r="X2833" s="142" t="s">
        <v>10933</v>
      </c>
      <c r="Y2833" s="143"/>
      <c r="Z2833" s="143"/>
      <c r="AA2833" s="143"/>
      <c r="AB2833" s="144"/>
      <c r="AC2833" s="16" t="s">
        <v>21</v>
      </c>
      <c r="AD2833" s="17" t="s">
        <v>10911</v>
      </c>
      <c r="AE2833" s="145" t="s">
        <v>10934</v>
      </c>
      <c r="AF2833" s="146"/>
      <c r="AG2833" s="146"/>
      <c r="AH2833" s="146"/>
      <c r="AI2833" s="147"/>
      <c r="AJ2833" s="148"/>
      <c r="AK2833" s="143"/>
      <c r="AL2833" s="144"/>
      <c r="AM2833" s="22"/>
      <c r="AN2833" s="149" t="s">
        <v>2131</v>
      </c>
      <c r="AO2833" s="144"/>
      <c r="AP2833" s="148">
        <v>3091</v>
      </c>
      <c r="AQ2833" s="144"/>
      <c r="AR2833" s="120"/>
      <c r="AS2833" s="121"/>
      <c r="AT2833" s="120"/>
      <c r="AU2833" s="121"/>
      <c r="AV2833" s="120"/>
      <c r="AW2833" s="121"/>
      <c r="AX2833" s="120"/>
      <c r="AY2833" s="121"/>
      <c r="AZ2833" s="138"/>
    </row>
    <row r="2834" spans="1:52" ht="17.100000000000001" customHeight="1" thickTop="1">
      <c r="A2834" s="109" t="s">
        <v>9247</v>
      </c>
      <c r="B2834" s="28">
        <v>45954</v>
      </c>
      <c r="C2834" s="25">
        <v>62</v>
      </c>
      <c r="D2834" s="13" t="s">
        <v>2970</v>
      </c>
      <c r="E2834" s="111"/>
      <c r="F2834" s="113" t="s">
        <v>9260</v>
      </c>
      <c r="G2834" s="114"/>
      <c r="H2834" s="115"/>
      <c r="I2834" s="24" t="s">
        <v>4109</v>
      </c>
      <c r="J2834" s="116">
        <v>4</v>
      </c>
      <c r="K2834" s="118">
        <v>1935000</v>
      </c>
      <c r="L2834" s="119"/>
      <c r="M2834" s="118">
        <f t="shared" ref="M2834" si="1670">K2834*0.1</f>
        <v>193500</v>
      </c>
      <c r="N2834" s="119"/>
      <c r="O2834" s="118">
        <f>10100+1010</f>
        <v>11110</v>
      </c>
      <c r="P2834" s="119"/>
      <c r="Q2834" s="118">
        <v>8340</v>
      </c>
      <c r="R2834" s="119"/>
      <c r="S2834" s="118">
        <v>44000</v>
      </c>
      <c r="T2834" s="119"/>
      <c r="U2834" s="118">
        <f t="shared" ref="U2834" si="1671">SUM(K2834:T2835)</f>
        <v>2191950</v>
      </c>
      <c r="V2834" s="122"/>
      <c r="W2834" s="124"/>
      <c r="X2834" s="126" t="s">
        <v>11327</v>
      </c>
      <c r="Y2834" s="127"/>
      <c r="Z2834" s="127"/>
      <c r="AA2834" s="127"/>
      <c r="AB2834" s="128"/>
      <c r="AC2834" s="15" t="s">
        <v>20</v>
      </c>
      <c r="AD2834" s="129" t="s">
        <v>9259</v>
      </c>
      <c r="AE2834" s="130"/>
      <c r="AF2834" s="130"/>
      <c r="AG2834" s="130"/>
      <c r="AH2834" s="130"/>
      <c r="AI2834" s="131"/>
      <c r="AJ2834" s="132"/>
      <c r="AK2834" s="127"/>
      <c r="AL2834" s="128"/>
      <c r="AM2834" s="21"/>
      <c r="AN2834" s="133">
        <v>45983</v>
      </c>
      <c r="AO2834" s="134"/>
      <c r="AP2834" s="135">
        <v>1277</v>
      </c>
      <c r="AQ2834" s="136"/>
      <c r="AR2834" s="118">
        <v>2100000</v>
      </c>
      <c r="AS2834" s="119"/>
      <c r="AT2834" s="118">
        <f t="shared" ref="AT2834" si="1672">AR2834*0.1</f>
        <v>210000</v>
      </c>
      <c r="AU2834" s="119"/>
      <c r="AV2834" s="118">
        <v>8340</v>
      </c>
      <c r="AW2834" s="119"/>
      <c r="AX2834" s="118">
        <f t="shared" ref="AX2834" si="1673">SUM(AR2834:AW2834)</f>
        <v>2318340</v>
      </c>
      <c r="AY2834" s="119"/>
      <c r="AZ2834" s="137">
        <v>45987</v>
      </c>
    </row>
    <row r="2835" spans="1:52" ht="17.100000000000001" customHeight="1" thickBot="1">
      <c r="A2835" s="110"/>
      <c r="B2835" s="27" t="s">
        <v>4544</v>
      </c>
      <c r="C2835" s="27">
        <v>1125</v>
      </c>
      <c r="D2835" s="14" t="s">
        <v>275</v>
      </c>
      <c r="E2835" s="112"/>
      <c r="F2835" s="139" t="s">
        <v>9252</v>
      </c>
      <c r="G2835" s="140"/>
      <c r="H2835" s="141"/>
      <c r="I2835" s="26">
        <v>34273</v>
      </c>
      <c r="J2835" s="117"/>
      <c r="K2835" s="120"/>
      <c r="L2835" s="121"/>
      <c r="M2835" s="120"/>
      <c r="N2835" s="121"/>
      <c r="O2835" s="120"/>
      <c r="P2835" s="121"/>
      <c r="Q2835" s="120"/>
      <c r="R2835" s="121"/>
      <c r="S2835" s="120"/>
      <c r="T2835" s="121"/>
      <c r="U2835" s="120"/>
      <c r="V2835" s="123"/>
      <c r="W2835" s="125"/>
      <c r="X2835" s="142" t="s">
        <v>11328</v>
      </c>
      <c r="Y2835" s="143"/>
      <c r="Z2835" s="143"/>
      <c r="AA2835" s="143"/>
      <c r="AB2835" s="144"/>
      <c r="AC2835" s="16" t="s">
        <v>21</v>
      </c>
      <c r="AD2835" s="17" t="s">
        <v>2630</v>
      </c>
      <c r="AE2835" s="145" t="s">
        <v>4106</v>
      </c>
      <c r="AF2835" s="146"/>
      <c r="AG2835" s="146"/>
      <c r="AH2835" s="146"/>
      <c r="AI2835" s="147"/>
      <c r="AJ2835" s="148"/>
      <c r="AK2835" s="143"/>
      <c r="AL2835" s="144"/>
      <c r="AM2835" s="22"/>
      <c r="AN2835" s="149" t="s">
        <v>2511</v>
      </c>
      <c r="AO2835" s="144"/>
      <c r="AP2835" s="148">
        <v>37706</v>
      </c>
      <c r="AQ2835" s="144"/>
      <c r="AR2835" s="120"/>
      <c r="AS2835" s="121"/>
      <c r="AT2835" s="120"/>
      <c r="AU2835" s="121"/>
      <c r="AV2835" s="120"/>
      <c r="AW2835" s="121"/>
      <c r="AX2835" s="120"/>
      <c r="AY2835" s="121"/>
      <c r="AZ2835" s="138"/>
    </row>
    <row r="2836" spans="1:52" ht="17.100000000000001" customHeight="1" thickTop="1">
      <c r="A2836" s="109" t="s">
        <v>9277</v>
      </c>
      <c r="B2836" s="28">
        <v>45954</v>
      </c>
      <c r="C2836" s="25">
        <v>62</v>
      </c>
      <c r="D2836" s="13" t="s">
        <v>1922</v>
      </c>
      <c r="E2836" s="111"/>
      <c r="F2836" s="113" t="s">
        <v>9275</v>
      </c>
      <c r="G2836" s="114"/>
      <c r="H2836" s="115"/>
      <c r="I2836" s="24" t="s">
        <v>3931</v>
      </c>
      <c r="J2836" s="116">
        <v>5</v>
      </c>
      <c r="K2836" s="118">
        <v>3775000</v>
      </c>
      <c r="L2836" s="119"/>
      <c r="M2836" s="118">
        <f t="shared" ref="M2836" si="1674">K2836*0.1</f>
        <v>377500</v>
      </c>
      <c r="N2836" s="119"/>
      <c r="O2836" s="118">
        <f>14500+1450</f>
        <v>15950</v>
      </c>
      <c r="P2836" s="119"/>
      <c r="Q2836" s="118">
        <v>18470</v>
      </c>
      <c r="R2836" s="119"/>
      <c r="S2836" s="118">
        <v>88000</v>
      </c>
      <c r="T2836" s="119"/>
      <c r="U2836" s="118">
        <f t="shared" ref="U2836" si="1675">SUM(K2836:T2837)</f>
        <v>4274920</v>
      </c>
      <c r="V2836" s="122"/>
      <c r="W2836" s="124"/>
      <c r="X2836" s="126" t="s">
        <v>11890</v>
      </c>
      <c r="Y2836" s="127"/>
      <c r="Z2836" s="127"/>
      <c r="AA2836" s="127"/>
      <c r="AB2836" s="128"/>
      <c r="AC2836" s="15" t="s">
        <v>20</v>
      </c>
      <c r="AD2836" s="129" t="s">
        <v>9276</v>
      </c>
      <c r="AE2836" s="130"/>
      <c r="AF2836" s="130"/>
      <c r="AG2836" s="130"/>
      <c r="AH2836" s="130"/>
      <c r="AI2836" s="131"/>
      <c r="AJ2836" s="132"/>
      <c r="AK2836" s="127"/>
      <c r="AL2836" s="128"/>
      <c r="AM2836" s="21"/>
      <c r="AN2836" s="133">
        <v>45990</v>
      </c>
      <c r="AO2836" s="134"/>
      <c r="AP2836" s="135">
        <v>1278</v>
      </c>
      <c r="AQ2836" s="136"/>
      <c r="AR2836" s="118">
        <v>4220000</v>
      </c>
      <c r="AS2836" s="119"/>
      <c r="AT2836" s="118">
        <f t="shared" ref="AT2836" si="1676">AR2836*0.1</f>
        <v>422000</v>
      </c>
      <c r="AU2836" s="119"/>
      <c r="AV2836" s="118">
        <v>18470</v>
      </c>
      <c r="AW2836" s="119"/>
      <c r="AX2836" s="118">
        <f t="shared" ref="AX2836" si="1677">SUM(AR2836:AW2836)</f>
        <v>4660470</v>
      </c>
      <c r="AY2836" s="119"/>
      <c r="AZ2836" s="137">
        <v>45994</v>
      </c>
    </row>
    <row r="2837" spans="1:52" ht="17.100000000000001" customHeight="1" thickBot="1">
      <c r="A2837" s="110"/>
      <c r="B2837" s="27" t="s">
        <v>4544</v>
      </c>
      <c r="C2837" s="27">
        <v>1049</v>
      </c>
      <c r="D2837" s="14" t="s">
        <v>2601</v>
      </c>
      <c r="E2837" s="112"/>
      <c r="F2837" s="139" t="s">
        <v>9366</v>
      </c>
      <c r="G2837" s="140"/>
      <c r="H2837" s="141"/>
      <c r="I2837" s="26">
        <v>15955</v>
      </c>
      <c r="J2837" s="117"/>
      <c r="K2837" s="120"/>
      <c r="L2837" s="121"/>
      <c r="M2837" s="120"/>
      <c r="N2837" s="121"/>
      <c r="O2837" s="120"/>
      <c r="P2837" s="121"/>
      <c r="Q2837" s="120"/>
      <c r="R2837" s="121"/>
      <c r="S2837" s="120"/>
      <c r="T2837" s="121"/>
      <c r="U2837" s="120"/>
      <c r="V2837" s="123"/>
      <c r="W2837" s="125"/>
      <c r="X2837" s="142" t="s">
        <v>11891</v>
      </c>
      <c r="Y2837" s="143"/>
      <c r="Z2837" s="143"/>
      <c r="AA2837" s="143"/>
      <c r="AB2837" s="144"/>
      <c r="AC2837" s="16" t="s">
        <v>21</v>
      </c>
      <c r="AD2837" s="17" t="s">
        <v>1723</v>
      </c>
      <c r="AE2837" s="145" t="s">
        <v>1742</v>
      </c>
      <c r="AF2837" s="146"/>
      <c r="AG2837" s="146"/>
      <c r="AH2837" s="146"/>
      <c r="AI2837" s="147"/>
      <c r="AJ2837" s="148"/>
      <c r="AK2837" s="143"/>
      <c r="AL2837" s="144"/>
      <c r="AM2837" s="22"/>
      <c r="AN2837" s="149" t="s">
        <v>2511</v>
      </c>
      <c r="AO2837" s="144"/>
      <c r="AP2837" s="148">
        <v>37314</v>
      </c>
      <c r="AQ2837" s="144"/>
      <c r="AR2837" s="120"/>
      <c r="AS2837" s="121"/>
      <c r="AT2837" s="120"/>
      <c r="AU2837" s="121"/>
      <c r="AV2837" s="120"/>
      <c r="AW2837" s="121"/>
      <c r="AX2837" s="120"/>
      <c r="AY2837" s="121"/>
      <c r="AZ2837" s="138"/>
    </row>
    <row r="2838" spans="1:52" ht="17.100000000000001" customHeight="1" thickTop="1">
      <c r="A2838" s="109" t="s">
        <v>9278</v>
      </c>
      <c r="B2838" s="28">
        <v>45954</v>
      </c>
      <c r="C2838" s="25">
        <v>263</v>
      </c>
      <c r="D2838" s="13" t="s">
        <v>7495</v>
      </c>
      <c r="E2838" s="111"/>
      <c r="F2838" s="113" t="s">
        <v>9182</v>
      </c>
      <c r="G2838" s="114"/>
      <c r="H2838" s="115"/>
      <c r="I2838" s="24"/>
      <c r="J2838" s="116">
        <v>4</v>
      </c>
      <c r="K2838" s="118">
        <v>78000</v>
      </c>
      <c r="L2838" s="119"/>
      <c r="M2838" s="118">
        <v>7800</v>
      </c>
      <c r="N2838" s="119"/>
      <c r="O2838" s="118">
        <v>0</v>
      </c>
      <c r="P2838" s="119"/>
      <c r="Q2838" s="118">
        <v>10020</v>
      </c>
      <c r="R2838" s="119"/>
      <c r="S2838" s="118">
        <v>22000</v>
      </c>
      <c r="T2838" s="119"/>
      <c r="U2838" s="118">
        <f t="shared" ref="U2838" si="1678">SUM(K2838:T2839)</f>
        <v>117820</v>
      </c>
      <c r="V2838" s="122"/>
      <c r="W2838" s="124"/>
      <c r="X2838" s="126" t="s">
        <v>9567</v>
      </c>
      <c r="Y2838" s="127"/>
      <c r="Z2838" s="127"/>
      <c r="AA2838" s="127"/>
      <c r="AB2838" s="128"/>
      <c r="AC2838" s="15" t="s">
        <v>20</v>
      </c>
      <c r="AD2838" s="129"/>
      <c r="AE2838" s="130"/>
      <c r="AF2838" s="130"/>
      <c r="AG2838" s="130"/>
      <c r="AH2838" s="130"/>
      <c r="AI2838" s="131"/>
      <c r="AJ2838" s="132"/>
      <c r="AK2838" s="127"/>
      <c r="AL2838" s="128"/>
      <c r="AM2838" s="21"/>
      <c r="AN2838" s="133">
        <v>45969</v>
      </c>
      <c r="AO2838" s="134"/>
      <c r="AP2838" s="135">
        <v>1275</v>
      </c>
      <c r="AQ2838" s="136"/>
      <c r="AR2838" s="118">
        <v>150000</v>
      </c>
      <c r="AS2838" s="119"/>
      <c r="AT2838" s="118">
        <f t="shared" ref="AT2838" si="1679">AR2838*0.1</f>
        <v>15000</v>
      </c>
      <c r="AU2838" s="119"/>
      <c r="AV2838" s="118">
        <v>10020</v>
      </c>
      <c r="AW2838" s="119"/>
      <c r="AX2838" s="118">
        <f t="shared" ref="AX2838" si="1680">SUM(AR2838:AW2838)</f>
        <v>175020</v>
      </c>
      <c r="AY2838" s="119"/>
      <c r="AZ2838" s="137">
        <v>45972</v>
      </c>
    </row>
    <row r="2839" spans="1:52" ht="17.100000000000001" customHeight="1" thickBot="1">
      <c r="A2839" s="110"/>
      <c r="B2839" s="27" t="s">
        <v>5050</v>
      </c>
      <c r="C2839" s="27">
        <v>9</v>
      </c>
      <c r="D2839" s="14" t="s">
        <v>1576</v>
      </c>
      <c r="E2839" s="112"/>
      <c r="F2839" s="139" t="s">
        <v>9183</v>
      </c>
      <c r="G2839" s="140"/>
      <c r="H2839" s="141"/>
      <c r="I2839" s="26">
        <v>47817</v>
      </c>
      <c r="J2839" s="117"/>
      <c r="K2839" s="120"/>
      <c r="L2839" s="121"/>
      <c r="M2839" s="120"/>
      <c r="N2839" s="121"/>
      <c r="O2839" s="120"/>
      <c r="P2839" s="121"/>
      <c r="Q2839" s="120"/>
      <c r="R2839" s="121"/>
      <c r="S2839" s="120"/>
      <c r="T2839" s="121"/>
      <c r="U2839" s="120"/>
      <c r="V2839" s="123"/>
      <c r="W2839" s="125"/>
      <c r="X2839" s="142" t="s">
        <v>9568</v>
      </c>
      <c r="Y2839" s="143"/>
      <c r="Z2839" s="143"/>
      <c r="AA2839" s="143"/>
      <c r="AB2839" s="144"/>
      <c r="AC2839" s="16" t="s">
        <v>21</v>
      </c>
      <c r="AD2839" s="17" t="s">
        <v>1674</v>
      </c>
      <c r="AE2839" s="145" t="s">
        <v>171</v>
      </c>
      <c r="AF2839" s="146"/>
      <c r="AG2839" s="146"/>
      <c r="AH2839" s="146"/>
      <c r="AI2839" s="147"/>
      <c r="AJ2839" s="148"/>
      <c r="AK2839" s="143"/>
      <c r="AL2839" s="144"/>
      <c r="AM2839" s="22"/>
      <c r="AN2839" s="149" t="s">
        <v>2511</v>
      </c>
      <c r="AO2839" s="144"/>
      <c r="AP2839" s="148">
        <v>60260</v>
      </c>
      <c r="AQ2839" s="144"/>
      <c r="AR2839" s="120"/>
      <c r="AS2839" s="121"/>
      <c r="AT2839" s="120"/>
      <c r="AU2839" s="121"/>
      <c r="AV2839" s="120"/>
      <c r="AW2839" s="121"/>
      <c r="AX2839" s="120"/>
      <c r="AY2839" s="121"/>
      <c r="AZ2839" s="138"/>
    </row>
    <row r="2840" spans="1:52" ht="17.100000000000001" customHeight="1" thickTop="1">
      <c r="A2840" s="109" t="s">
        <v>9279</v>
      </c>
      <c r="B2840" s="28">
        <v>45954</v>
      </c>
      <c r="C2840" s="25">
        <v>263</v>
      </c>
      <c r="D2840" s="13" t="s">
        <v>1688</v>
      </c>
      <c r="E2840" s="111"/>
      <c r="F2840" s="113" t="s">
        <v>5209</v>
      </c>
      <c r="G2840" s="114"/>
      <c r="H2840" s="115"/>
      <c r="I2840" s="24" t="s">
        <v>2577</v>
      </c>
      <c r="J2840" s="116">
        <v>4.5</v>
      </c>
      <c r="K2840" s="118">
        <v>1530000</v>
      </c>
      <c r="L2840" s="119"/>
      <c r="M2840" s="118">
        <f t="shared" ref="M2840" si="1681">K2840*0.1</f>
        <v>153000</v>
      </c>
      <c r="N2840" s="119"/>
      <c r="O2840" s="118">
        <v>0</v>
      </c>
      <c r="P2840" s="119"/>
      <c r="Q2840" s="118">
        <v>7040</v>
      </c>
      <c r="R2840" s="119"/>
      <c r="S2840" s="118">
        <v>22000</v>
      </c>
      <c r="T2840" s="119"/>
      <c r="U2840" s="118">
        <f t="shared" ref="U2840" si="1682">SUM(K2840:T2841)</f>
        <v>1712040</v>
      </c>
      <c r="V2840" s="122"/>
      <c r="W2840" s="124"/>
      <c r="X2840" s="126" t="s">
        <v>9185</v>
      </c>
      <c r="Y2840" s="127"/>
      <c r="Z2840" s="127"/>
      <c r="AA2840" s="127"/>
      <c r="AB2840" s="128"/>
      <c r="AC2840" s="15" t="s">
        <v>20</v>
      </c>
      <c r="AD2840" s="129" t="s">
        <v>9186</v>
      </c>
      <c r="AE2840" s="130"/>
      <c r="AF2840" s="130"/>
      <c r="AG2840" s="130"/>
      <c r="AH2840" s="130"/>
      <c r="AI2840" s="131"/>
      <c r="AJ2840" s="132" t="s">
        <v>10319</v>
      </c>
      <c r="AK2840" s="127"/>
      <c r="AL2840" s="128"/>
      <c r="AM2840" s="21" t="s">
        <v>10173</v>
      </c>
      <c r="AN2840" s="133">
        <v>45965</v>
      </c>
      <c r="AO2840" s="134"/>
      <c r="AP2840" s="135">
        <v>1916</v>
      </c>
      <c r="AQ2840" s="136"/>
      <c r="AR2840" s="118">
        <v>1570000</v>
      </c>
      <c r="AS2840" s="119"/>
      <c r="AT2840" s="118">
        <f t="shared" ref="AT2840" si="1683">AR2840*0.1</f>
        <v>157000</v>
      </c>
      <c r="AU2840" s="119"/>
      <c r="AV2840" s="118">
        <v>7040</v>
      </c>
      <c r="AW2840" s="119"/>
      <c r="AX2840" s="118">
        <f t="shared" ref="AX2840" si="1684">SUM(AR2840:AW2840)</f>
        <v>1734040</v>
      </c>
      <c r="AY2840" s="119"/>
      <c r="AZ2840" s="137"/>
    </row>
    <row r="2841" spans="1:52" ht="17.100000000000001" customHeight="1" thickBot="1">
      <c r="A2841" s="110"/>
      <c r="B2841" s="27" t="s">
        <v>5050</v>
      </c>
      <c r="C2841" s="27">
        <v>95</v>
      </c>
      <c r="D2841" s="14" t="s">
        <v>3327</v>
      </c>
      <c r="E2841" s="112"/>
      <c r="F2841" s="139" t="s">
        <v>9184</v>
      </c>
      <c r="G2841" s="140"/>
      <c r="H2841" s="141"/>
      <c r="I2841" s="26">
        <v>23811</v>
      </c>
      <c r="J2841" s="117"/>
      <c r="K2841" s="120"/>
      <c r="L2841" s="121"/>
      <c r="M2841" s="120"/>
      <c r="N2841" s="121"/>
      <c r="O2841" s="120"/>
      <c r="P2841" s="121"/>
      <c r="Q2841" s="120"/>
      <c r="R2841" s="121"/>
      <c r="S2841" s="120"/>
      <c r="T2841" s="121"/>
      <c r="U2841" s="120"/>
      <c r="V2841" s="123"/>
      <c r="W2841" s="125"/>
      <c r="X2841" s="142" t="s">
        <v>9569</v>
      </c>
      <c r="Y2841" s="143"/>
      <c r="Z2841" s="143"/>
      <c r="AA2841" s="143"/>
      <c r="AB2841" s="144"/>
      <c r="AC2841" s="16" t="s">
        <v>21</v>
      </c>
      <c r="AD2841" s="17" t="s">
        <v>1674</v>
      </c>
      <c r="AE2841" s="145" t="s">
        <v>9186</v>
      </c>
      <c r="AF2841" s="146"/>
      <c r="AG2841" s="146"/>
      <c r="AH2841" s="146"/>
      <c r="AI2841" s="147"/>
      <c r="AJ2841" s="148" t="s">
        <v>10320</v>
      </c>
      <c r="AK2841" s="143"/>
      <c r="AL2841" s="144"/>
      <c r="AM2841" s="22"/>
      <c r="AN2841" s="149" t="s">
        <v>2131</v>
      </c>
      <c r="AO2841" s="144"/>
      <c r="AP2841" s="148">
        <v>3227</v>
      </c>
      <c r="AQ2841" s="144"/>
      <c r="AR2841" s="120"/>
      <c r="AS2841" s="121"/>
      <c r="AT2841" s="120"/>
      <c r="AU2841" s="121"/>
      <c r="AV2841" s="120"/>
      <c r="AW2841" s="121"/>
      <c r="AX2841" s="120"/>
      <c r="AY2841" s="121"/>
      <c r="AZ2841" s="138"/>
    </row>
    <row r="2842" spans="1:52" ht="17.100000000000001" customHeight="1" thickTop="1">
      <c r="A2842" s="109" t="s">
        <v>9280</v>
      </c>
      <c r="B2842" s="28">
        <v>45954</v>
      </c>
      <c r="C2842" s="25">
        <v>263</v>
      </c>
      <c r="D2842" s="13" t="s">
        <v>2477</v>
      </c>
      <c r="E2842" s="111"/>
      <c r="F2842" s="113" t="s">
        <v>9187</v>
      </c>
      <c r="G2842" s="114"/>
      <c r="H2842" s="115"/>
      <c r="I2842" s="24" t="s">
        <v>2577</v>
      </c>
      <c r="J2842" s="116">
        <v>5</v>
      </c>
      <c r="K2842" s="118">
        <v>1193000</v>
      </c>
      <c r="L2842" s="119"/>
      <c r="M2842" s="118">
        <f t="shared" ref="M2842" si="1685">K2842*0.1</f>
        <v>119300</v>
      </c>
      <c r="N2842" s="119"/>
      <c r="O2842" s="118">
        <v>0</v>
      </c>
      <c r="P2842" s="119"/>
      <c r="Q2842" s="118">
        <v>7230</v>
      </c>
      <c r="R2842" s="119"/>
      <c r="S2842" s="118">
        <v>22000</v>
      </c>
      <c r="T2842" s="119"/>
      <c r="U2842" s="118">
        <f t="shared" ref="U2842" si="1686">SUM(K2842:T2843)</f>
        <v>1341530</v>
      </c>
      <c r="V2842" s="122"/>
      <c r="W2842" s="124"/>
      <c r="X2842" s="126" t="s">
        <v>9189</v>
      </c>
      <c r="Y2842" s="127"/>
      <c r="Z2842" s="127"/>
      <c r="AA2842" s="127"/>
      <c r="AB2842" s="128"/>
      <c r="AC2842" s="15" t="s">
        <v>20</v>
      </c>
      <c r="AD2842" s="129"/>
      <c r="AE2842" s="130"/>
      <c r="AF2842" s="130"/>
      <c r="AG2842" s="130"/>
      <c r="AH2842" s="130"/>
      <c r="AI2842" s="131"/>
      <c r="AJ2842" s="132"/>
      <c r="AK2842" s="127"/>
      <c r="AL2842" s="128"/>
      <c r="AM2842" s="21" t="s">
        <v>10171</v>
      </c>
      <c r="AN2842" s="133">
        <v>45965</v>
      </c>
      <c r="AO2842" s="134"/>
      <c r="AP2842" s="135">
        <v>1916</v>
      </c>
      <c r="AQ2842" s="136"/>
      <c r="AR2842" s="118">
        <v>1210000</v>
      </c>
      <c r="AS2842" s="119"/>
      <c r="AT2842" s="118">
        <f t="shared" ref="AT2842" si="1687">AR2842*0.1</f>
        <v>121000</v>
      </c>
      <c r="AU2842" s="119"/>
      <c r="AV2842" s="118">
        <v>7230</v>
      </c>
      <c r="AW2842" s="119"/>
      <c r="AX2842" s="118">
        <f t="shared" ref="AX2842" si="1688">SUM(AR2842:AW2842)</f>
        <v>1338230</v>
      </c>
      <c r="AY2842" s="119"/>
      <c r="AZ2842" s="137">
        <v>45971</v>
      </c>
    </row>
    <row r="2843" spans="1:52" ht="17.100000000000001" customHeight="1" thickBot="1">
      <c r="A2843" s="110"/>
      <c r="B2843" s="27" t="s">
        <v>5050</v>
      </c>
      <c r="C2843" s="27">
        <v>116</v>
      </c>
      <c r="D2843" s="14" t="s">
        <v>133</v>
      </c>
      <c r="E2843" s="112"/>
      <c r="F2843" s="139" t="s">
        <v>9188</v>
      </c>
      <c r="G2843" s="140"/>
      <c r="H2843" s="141"/>
      <c r="I2843" s="26">
        <v>2260</v>
      </c>
      <c r="J2843" s="117"/>
      <c r="K2843" s="120"/>
      <c r="L2843" s="121"/>
      <c r="M2843" s="120"/>
      <c r="N2843" s="121"/>
      <c r="O2843" s="120"/>
      <c r="P2843" s="121"/>
      <c r="Q2843" s="120"/>
      <c r="R2843" s="121"/>
      <c r="S2843" s="120"/>
      <c r="T2843" s="121"/>
      <c r="U2843" s="120"/>
      <c r="V2843" s="123"/>
      <c r="W2843" s="125"/>
      <c r="X2843" s="142" t="s">
        <v>9570</v>
      </c>
      <c r="Y2843" s="143"/>
      <c r="Z2843" s="143"/>
      <c r="AA2843" s="143"/>
      <c r="AB2843" s="144"/>
      <c r="AC2843" s="16" t="s">
        <v>21</v>
      </c>
      <c r="AD2843" s="17" t="s">
        <v>1674</v>
      </c>
      <c r="AE2843" s="145"/>
      <c r="AF2843" s="146"/>
      <c r="AG2843" s="146"/>
      <c r="AH2843" s="146"/>
      <c r="AI2843" s="147"/>
      <c r="AJ2843" s="148"/>
      <c r="AK2843" s="143"/>
      <c r="AL2843" s="144"/>
      <c r="AM2843" s="22"/>
      <c r="AN2843" s="149" t="s">
        <v>2131</v>
      </c>
      <c r="AO2843" s="144"/>
      <c r="AP2843" s="148">
        <v>3071</v>
      </c>
      <c r="AQ2843" s="144"/>
      <c r="AR2843" s="120"/>
      <c r="AS2843" s="121"/>
      <c r="AT2843" s="120"/>
      <c r="AU2843" s="121"/>
      <c r="AV2843" s="120"/>
      <c r="AW2843" s="121"/>
      <c r="AX2843" s="120"/>
      <c r="AY2843" s="121"/>
      <c r="AZ2843" s="138"/>
    </row>
    <row r="2844" spans="1:52" ht="17.100000000000001" customHeight="1" thickTop="1">
      <c r="A2844" s="109" t="s">
        <v>9281</v>
      </c>
      <c r="B2844" s="28">
        <v>45954</v>
      </c>
      <c r="C2844" s="25">
        <v>2107</v>
      </c>
      <c r="D2844" s="13" t="s">
        <v>1572</v>
      </c>
      <c r="E2844" s="111"/>
      <c r="F2844" s="113" t="s">
        <v>9190</v>
      </c>
      <c r="G2844" s="114"/>
      <c r="H2844" s="115"/>
      <c r="I2844" s="24" t="s">
        <v>9192</v>
      </c>
      <c r="J2844" s="116">
        <v>4</v>
      </c>
      <c r="K2844" s="118">
        <v>1290000</v>
      </c>
      <c r="L2844" s="119"/>
      <c r="M2844" s="118">
        <f t="shared" ref="M2844" si="1689">K2844*0.1</f>
        <v>129000</v>
      </c>
      <c r="N2844" s="119"/>
      <c r="O2844" s="118">
        <f>16400+1640</f>
        <v>18040</v>
      </c>
      <c r="P2844" s="119"/>
      <c r="Q2844" s="118">
        <v>14760</v>
      </c>
      <c r="R2844" s="119"/>
      <c r="S2844" s="118">
        <v>16500</v>
      </c>
      <c r="T2844" s="119"/>
      <c r="U2844" s="118">
        <f t="shared" ref="U2844" si="1690">SUM(K2844:T2845)</f>
        <v>1468300</v>
      </c>
      <c r="V2844" s="122"/>
      <c r="W2844" s="124"/>
      <c r="X2844" s="126" t="s">
        <v>9193</v>
      </c>
      <c r="Y2844" s="127"/>
      <c r="Z2844" s="127"/>
      <c r="AA2844" s="127"/>
      <c r="AB2844" s="128"/>
      <c r="AC2844" s="15" t="s">
        <v>20</v>
      </c>
      <c r="AD2844" s="129"/>
      <c r="AE2844" s="130"/>
      <c r="AF2844" s="130"/>
      <c r="AG2844" s="130"/>
      <c r="AH2844" s="130"/>
      <c r="AI2844" s="131"/>
      <c r="AJ2844" s="132"/>
      <c r="AK2844" s="127"/>
      <c r="AL2844" s="128"/>
      <c r="AM2844" s="21"/>
      <c r="AN2844" s="133">
        <v>45960</v>
      </c>
      <c r="AO2844" s="134"/>
      <c r="AP2844" s="135">
        <v>1304</v>
      </c>
      <c r="AQ2844" s="136"/>
      <c r="AR2844" s="118">
        <v>1805000</v>
      </c>
      <c r="AS2844" s="119"/>
      <c r="AT2844" s="118">
        <f t="shared" ref="AT2844" si="1691">AR2844*0.1</f>
        <v>180500</v>
      </c>
      <c r="AU2844" s="119"/>
      <c r="AV2844" s="118">
        <v>14760</v>
      </c>
      <c r="AW2844" s="119"/>
      <c r="AX2844" s="118">
        <f t="shared" ref="AX2844" si="1692">SUM(AR2844:AW2844)</f>
        <v>2000260</v>
      </c>
      <c r="AY2844" s="119"/>
      <c r="AZ2844" s="137">
        <v>45961</v>
      </c>
    </row>
    <row r="2845" spans="1:52" ht="17.100000000000001" customHeight="1" thickBot="1">
      <c r="A2845" s="110"/>
      <c r="B2845" s="27" t="s">
        <v>1543</v>
      </c>
      <c r="C2845" s="27">
        <v>13133</v>
      </c>
      <c r="D2845" s="14" t="s">
        <v>2601</v>
      </c>
      <c r="E2845" s="112"/>
      <c r="F2845" s="139" t="s">
        <v>9191</v>
      </c>
      <c r="G2845" s="140"/>
      <c r="H2845" s="141"/>
      <c r="I2845" s="26">
        <v>53499</v>
      </c>
      <c r="J2845" s="117"/>
      <c r="K2845" s="120"/>
      <c r="L2845" s="121"/>
      <c r="M2845" s="120"/>
      <c r="N2845" s="121"/>
      <c r="O2845" s="120"/>
      <c r="P2845" s="121"/>
      <c r="Q2845" s="120"/>
      <c r="R2845" s="121"/>
      <c r="S2845" s="120"/>
      <c r="T2845" s="121"/>
      <c r="U2845" s="120"/>
      <c r="V2845" s="123"/>
      <c r="W2845" s="125"/>
      <c r="X2845" s="142" t="s">
        <v>9692</v>
      </c>
      <c r="Y2845" s="143"/>
      <c r="Z2845" s="143"/>
      <c r="AA2845" s="143"/>
      <c r="AB2845" s="144"/>
      <c r="AC2845" s="16" t="s">
        <v>21</v>
      </c>
      <c r="AD2845" s="17" t="s">
        <v>9662</v>
      </c>
      <c r="AE2845" s="145" t="s">
        <v>9693</v>
      </c>
      <c r="AF2845" s="146"/>
      <c r="AG2845" s="146"/>
      <c r="AH2845" s="146"/>
      <c r="AI2845" s="147"/>
      <c r="AJ2845" s="148"/>
      <c r="AK2845" s="143"/>
      <c r="AL2845" s="144"/>
      <c r="AM2845" s="22"/>
      <c r="AN2845" s="149" t="s">
        <v>1747</v>
      </c>
      <c r="AO2845" s="144"/>
      <c r="AP2845" s="148">
        <v>27</v>
      </c>
      <c r="AQ2845" s="144"/>
      <c r="AR2845" s="120"/>
      <c r="AS2845" s="121"/>
      <c r="AT2845" s="120"/>
      <c r="AU2845" s="121"/>
      <c r="AV2845" s="120"/>
      <c r="AW2845" s="121"/>
      <c r="AX2845" s="120"/>
      <c r="AY2845" s="121"/>
      <c r="AZ2845" s="138"/>
    </row>
    <row r="2846" spans="1:52" ht="17.100000000000001" customHeight="1" thickTop="1">
      <c r="A2846" s="151" t="s">
        <v>9282</v>
      </c>
      <c r="B2846" s="28">
        <v>45954</v>
      </c>
      <c r="C2846" s="25">
        <v>2107</v>
      </c>
      <c r="D2846" s="13" t="s">
        <v>2187</v>
      </c>
      <c r="E2846" s="111"/>
      <c r="F2846" s="113" t="s">
        <v>4078</v>
      </c>
      <c r="G2846" s="114"/>
      <c r="H2846" s="115"/>
      <c r="I2846" s="24"/>
      <c r="J2846" s="116">
        <v>4</v>
      </c>
      <c r="K2846" s="118">
        <v>1155000</v>
      </c>
      <c r="L2846" s="119"/>
      <c r="M2846" s="118">
        <f t="shared" ref="M2846" si="1693">K2846*0.1</f>
        <v>115500</v>
      </c>
      <c r="N2846" s="119"/>
      <c r="O2846" s="118">
        <v>0</v>
      </c>
      <c r="P2846" s="119"/>
      <c r="Q2846" s="118">
        <v>16850</v>
      </c>
      <c r="R2846" s="119"/>
      <c r="S2846" s="118">
        <v>16500</v>
      </c>
      <c r="T2846" s="119"/>
      <c r="U2846" s="118">
        <f t="shared" ref="U2846" si="1694">SUM(K2846:T2847)</f>
        <v>1303850</v>
      </c>
      <c r="V2846" s="122"/>
      <c r="W2846" s="124"/>
      <c r="X2846" s="126"/>
      <c r="Y2846" s="127"/>
      <c r="Z2846" s="127"/>
      <c r="AA2846" s="127"/>
      <c r="AB2846" s="128"/>
      <c r="AC2846" s="15" t="s">
        <v>20</v>
      </c>
      <c r="AD2846" s="129" t="s">
        <v>9037</v>
      </c>
      <c r="AE2846" s="130"/>
      <c r="AF2846" s="130"/>
      <c r="AG2846" s="130"/>
      <c r="AH2846" s="130"/>
      <c r="AI2846" s="131"/>
      <c r="AJ2846" s="132" t="s">
        <v>8040</v>
      </c>
      <c r="AK2846" s="127"/>
      <c r="AL2846" s="128"/>
      <c r="AM2846" s="21"/>
      <c r="AN2846" s="133"/>
      <c r="AO2846" s="134"/>
      <c r="AP2846" s="135"/>
      <c r="AQ2846" s="136"/>
      <c r="AR2846" s="118"/>
      <c r="AS2846" s="119"/>
      <c r="AT2846" s="118">
        <f t="shared" ref="AT2846" si="1695">AR2846*0.1</f>
        <v>0</v>
      </c>
      <c r="AU2846" s="119"/>
      <c r="AV2846" s="118"/>
      <c r="AW2846" s="119"/>
      <c r="AX2846" s="118">
        <f t="shared" ref="AX2846" si="1696">SUM(AR2846:AW2846)</f>
        <v>0</v>
      </c>
      <c r="AY2846" s="119"/>
      <c r="AZ2846" s="137"/>
    </row>
    <row r="2847" spans="1:52" ht="17.100000000000001" customHeight="1" thickBot="1">
      <c r="A2847" s="152"/>
      <c r="B2847" s="27" t="s">
        <v>1543</v>
      </c>
      <c r="C2847" s="27">
        <v>35019</v>
      </c>
      <c r="D2847" s="14" t="s">
        <v>1592</v>
      </c>
      <c r="E2847" s="112"/>
      <c r="F2847" s="139" t="s">
        <v>9194</v>
      </c>
      <c r="G2847" s="140"/>
      <c r="H2847" s="141"/>
      <c r="I2847" s="26">
        <v>38103</v>
      </c>
      <c r="J2847" s="117"/>
      <c r="K2847" s="120"/>
      <c r="L2847" s="121"/>
      <c r="M2847" s="120"/>
      <c r="N2847" s="121"/>
      <c r="O2847" s="120"/>
      <c r="P2847" s="121"/>
      <c r="Q2847" s="120"/>
      <c r="R2847" s="121"/>
      <c r="S2847" s="120"/>
      <c r="T2847" s="121"/>
      <c r="U2847" s="120"/>
      <c r="V2847" s="123"/>
      <c r="W2847" s="125"/>
      <c r="X2847" s="142"/>
      <c r="Y2847" s="143"/>
      <c r="Z2847" s="143"/>
      <c r="AA2847" s="143"/>
      <c r="AB2847" s="144"/>
      <c r="AC2847" s="16" t="s">
        <v>21</v>
      </c>
      <c r="AD2847" s="17" t="s">
        <v>10540</v>
      </c>
      <c r="AE2847" s="145"/>
      <c r="AF2847" s="146"/>
      <c r="AG2847" s="146"/>
      <c r="AH2847" s="146"/>
      <c r="AI2847" s="147"/>
      <c r="AJ2847" s="148"/>
      <c r="AK2847" s="143"/>
      <c r="AL2847" s="144"/>
      <c r="AM2847" s="22"/>
      <c r="AN2847" s="149"/>
      <c r="AO2847" s="144"/>
      <c r="AP2847" s="148"/>
      <c r="AQ2847" s="144"/>
      <c r="AR2847" s="120"/>
      <c r="AS2847" s="121"/>
      <c r="AT2847" s="120"/>
      <c r="AU2847" s="121"/>
      <c r="AV2847" s="120"/>
      <c r="AW2847" s="121"/>
      <c r="AX2847" s="120"/>
      <c r="AY2847" s="121"/>
      <c r="AZ2847" s="138"/>
    </row>
    <row r="2848" spans="1:52" ht="17.100000000000001" customHeight="1" thickTop="1">
      <c r="A2848" s="151" t="s">
        <v>9283</v>
      </c>
      <c r="B2848" s="28">
        <v>45954</v>
      </c>
      <c r="C2848" s="25">
        <v>2107</v>
      </c>
      <c r="D2848" s="13" t="s">
        <v>2179</v>
      </c>
      <c r="E2848" s="111"/>
      <c r="F2848" s="113" t="s">
        <v>9195</v>
      </c>
      <c r="G2848" s="114"/>
      <c r="H2848" s="115"/>
      <c r="I2848" s="24" t="s">
        <v>5634</v>
      </c>
      <c r="J2848" s="116">
        <v>4</v>
      </c>
      <c r="K2848" s="118">
        <v>1465000</v>
      </c>
      <c r="L2848" s="119"/>
      <c r="M2848" s="118">
        <v>146500</v>
      </c>
      <c r="N2848" s="119"/>
      <c r="O2848" s="118">
        <f>16400+1640</f>
        <v>18040</v>
      </c>
      <c r="P2848" s="119"/>
      <c r="Q2848" s="118">
        <v>13210</v>
      </c>
      <c r="R2848" s="119"/>
      <c r="S2848" s="118">
        <v>16500</v>
      </c>
      <c r="T2848" s="119"/>
      <c r="U2848" s="118">
        <f t="shared" ref="U2848" si="1697">SUM(K2848:T2849)</f>
        <v>1659250</v>
      </c>
      <c r="V2848" s="122"/>
      <c r="W2848" s="124"/>
      <c r="X2848" s="126" t="s">
        <v>9197</v>
      </c>
      <c r="Y2848" s="127"/>
      <c r="Z2848" s="127"/>
      <c r="AA2848" s="127"/>
      <c r="AB2848" s="128"/>
      <c r="AC2848" s="15" t="s">
        <v>20</v>
      </c>
      <c r="AD2848" s="129" t="s">
        <v>8061</v>
      </c>
      <c r="AE2848" s="130"/>
      <c r="AF2848" s="130"/>
      <c r="AG2848" s="130"/>
      <c r="AH2848" s="130"/>
      <c r="AI2848" s="131"/>
      <c r="AJ2848" s="132" t="s">
        <v>9784</v>
      </c>
      <c r="AK2848" s="127"/>
      <c r="AL2848" s="128"/>
      <c r="AM2848" s="21"/>
      <c r="AN2848" s="133"/>
      <c r="AO2848" s="134"/>
      <c r="AP2848" s="135"/>
      <c r="AQ2848" s="136"/>
      <c r="AR2848" s="118"/>
      <c r="AS2848" s="119"/>
      <c r="AT2848" s="118">
        <f t="shared" ref="AT2848" si="1698">AR2848*0.1</f>
        <v>0</v>
      </c>
      <c r="AU2848" s="119"/>
      <c r="AV2848" s="118"/>
      <c r="AW2848" s="119"/>
      <c r="AX2848" s="118">
        <f t="shared" ref="AX2848" si="1699">SUM(AR2848:AW2848)</f>
        <v>0</v>
      </c>
      <c r="AY2848" s="119"/>
      <c r="AZ2848" s="137"/>
    </row>
    <row r="2849" spans="1:52" ht="17.100000000000001" customHeight="1" thickBot="1">
      <c r="A2849" s="152"/>
      <c r="B2849" s="27" t="s">
        <v>1543</v>
      </c>
      <c r="C2849" s="27">
        <v>35109</v>
      </c>
      <c r="D2849" s="14" t="s">
        <v>1576</v>
      </c>
      <c r="E2849" s="112"/>
      <c r="F2849" s="139" t="s">
        <v>9196</v>
      </c>
      <c r="G2849" s="140"/>
      <c r="H2849" s="141"/>
      <c r="I2849" s="26">
        <v>58826</v>
      </c>
      <c r="J2849" s="117"/>
      <c r="K2849" s="120"/>
      <c r="L2849" s="121"/>
      <c r="M2849" s="120"/>
      <c r="N2849" s="121"/>
      <c r="O2849" s="120"/>
      <c r="P2849" s="121"/>
      <c r="Q2849" s="120"/>
      <c r="R2849" s="121"/>
      <c r="S2849" s="120"/>
      <c r="T2849" s="121"/>
      <c r="U2849" s="120"/>
      <c r="V2849" s="123"/>
      <c r="W2849" s="125"/>
      <c r="X2849" s="142" t="s">
        <v>3410</v>
      </c>
      <c r="Y2849" s="143"/>
      <c r="Z2849" s="143"/>
      <c r="AA2849" s="143"/>
      <c r="AB2849" s="144"/>
      <c r="AC2849" s="16" t="s">
        <v>21</v>
      </c>
      <c r="AD2849" s="17" t="s">
        <v>9662</v>
      </c>
      <c r="AE2849" s="145" t="s">
        <v>1614</v>
      </c>
      <c r="AF2849" s="146"/>
      <c r="AG2849" s="146"/>
      <c r="AH2849" s="146"/>
      <c r="AI2849" s="147"/>
      <c r="AJ2849" s="148"/>
      <c r="AK2849" s="143"/>
      <c r="AL2849" s="144"/>
      <c r="AM2849" s="22"/>
      <c r="AN2849" s="149"/>
      <c r="AO2849" s="144"/>
      <c r="AP2849" s="148"/>
      <c r="AQ2849" s="144"/>
      <c r="AR2849" s="120"/>
      <c r="AS2849" s="121"/>
      <c r="AT2849" s="120"/>
      <c r="AU2849" s="121"/>
      <c r="AV2849" s="120"/>
      <c r="AW2849" s="121"/>
      <c r="AX2849" s="120"/>
      <c r="AY2849" s="121"/>
      <c r="AZ2849" s="138"/>
    </row>
    <row r="2850" spans="1:52" ht="17.100000000000001" customHeight="1" thickTop="1">
      <c r="A2850" s="109" t="s">
        <v>9284</v>
      </c>
      <c r="B2850" s="28">
        <v>45954</v>
      </c>
      <c r="C2850" s="25">
        <v>2107</v>
      </c>
      <c r="D2850" s="13" t="s">
        <v>1640</v>
      </c>
      <c r="E2850" s="111"/>
      <c r="F2850" s="113" t="s">
        <v>8843</v>
      </c>
      <c r="G2850" s="114"/>
      <c r="H2850" s="115"/>
      <c r="I2850" s="24"/>
      <c r="J2850" s="116">
        <v>4.5</v>
      </c>
      <c r="K2850" s="118">
        <v>695000</v>
      </c>
      <c r="L2850" s="119"/>
      <c r="M2850" s="118">
        <f t="shared" ref="M2850" si="1700">K2850*0.1</f>
        <v>69500</v>
      </c>
      <c r="N2850" s="119"/>
      <c r="O2850" s="118">
        <v>0</v>
      </c>
      <c r="P2850" s="119"/>
      <c r="Q2850" s="118">
        <v>8400</v>
      </c>
      <c r="R2850" s="119"/>
      <c r="S2850" s="118">
        <v>16500</v>
      </c>
      <c r="T2850" s="119"/>
      <c r="U2850" s="118">
        <f t="shared" ref="U2850" si="1701">SUM(K2850:T2851)</f>
        <v>789400</v>
      </c>
      <c r="V2850" s="122"/>
      <c r="W2850" s="124"/>
      <c r="X2850" s="126" t="s">
        <v>9726</v>
      </c>
      <c r="Y2850" s="127"/>
      <c r="Z2850" s="127"/>
      <c r="AA2850" s="127"/>
      <c r="AB2850" s="128"/>
      <c r="AC2850" s="15" t="s">
        <v>20</v>
      </c>
      <c r="AD2850" s="129" t="s">
        <v>1670</v>
      </c>
      <c r="AE2850" s="130"/>
      <c r="AF2850" s="130"/>
      <c r="AG2850" s="130"/>
      <c r="AH2850" s="130"/>
      <c r="AI2850" s="131"/>
      <c r="AJ2850" s="132"/>
      <c r="AK2850" s="127"/>
      <c r="AL2850" s="128"/>
      <c r="AM2850" s="21"/>
      <c r="AN2850" s="133">
        <v>45997</v>
      </c>
      <c r="AO2850" s="134"/>
      <c r="AP2850" s="135">
        <v>1279</v>
      </c>
      <c r="AQ2850" s="136"/>
      <c r="AR2850" s="118">
        <v>775000</v>
      </c>
      <c r="AS2850" s="119"/>
      <c r="AT2850" s="118">
        <f t="shared" ref="AT2850" si="1702">AR2850*0.1</f>
        <v>77500</v>
      </c>
      <c r="AU2850" s="119"/>
      <c r="AV2850" s="118">
        <v>8400</v>
      </c>
      <c r="AW2850" s="119"/>
      <c r="AX2850" s="118">
        <f t="shared" ref="AX2850" si="1703">SUM(AR2850:AW2850)</f>
        <v>860900</v>
      </c>
      <c r="AY2850" s="119"/>
      <c r="AZ2850" s="137">
        <v>46000</v>
      </c>
    </row>
    <row r="2851" spans="1:52" ht="17.100000000000001" customHeight="1" thickBot="1">
      <c r="A2851" s="110"/>
      <c r="B2851" s="27" t="s">
        <v>1543</v>
      </c>
      <c r="C2851" s="27">
        <v>55184</v>
      </c>
      <c r="D2851" s="14" t="s">
        <v>904</v>
      </c>
      <c r="E2851" s="112"/>
      <c r="F2851" s="139" t="s">
        <v>9198</v>
      </c>
      <c r="G2851" s="140"/>
      <c r="H2851" s="141"/>
      <c r="I2851" s="26">
        <v>53560</v>
      </c>
      <c r="J2851" s="117"/>
      <c r="K2851" s="120"/>
      <c r="L2851" s="121"/>
      <c r="M2851" s="120"/>
      <c r="N2851" s="121"/>
      <c r="O2851" s="120"/>
      <c r="P2851" s="121"/>
      <c r="Q2851" s="120"/>
      <c r="R2851" s="121"/>
      <c r="S2851" s="120"/>
      <c r="T2851" s="121"/>
      <c r="U2851" s="120"/>
      <c r="V2851" s="123"/>
      <c r="W2851" s="125"/>
      <c r="X2851" s="142" t="s">
        <v>9727</v>
      </c>
      <c r="Y2851" s="143"/>
      <c r="Z2851" s="143"/>
      <c r="AA2851" s="143"/>
      <c r="AB2851" s="144"/>
      <c r="AC2851" s="16" t="s">
        <v>21</v>
      </c>
      <c r="AD2851" s="17" t="s">
        <v>9662</v>
      </c>
      <c r="AE2851" s="145" t="s">
        <v>171</v>
      </c>
      <c r="AF2851" s="146"/>
      <c r="AG2851" s="146"/>
      <c r="AH2851" s="146"/>
      <c r="AI2851" s="147"/>
      <c r="AJ2851" s="148"/>
      <c r="AK2851" s="143"/>
      <c r="AL2851" s="144"/>
      <c r="AM2851" s="22"/>
      <c r="AN2851" s="149" t="s">
        <v>7284</v>
      </c>
      <c r="AO2851" s="144"/>
      <c r="AP2851" s="148">
        <v>60098</v>
      </c>
      <c r="AQ2851" s="144"/>
      <c r="AR2851" s="120"/>
      <c r="AS2851" s="121"/>
      <c r="AT2851" s="120"/>
      <c r="AU2851" s="121"/>
      <c r="AV2851" s="120"/>
      <c r="AW2851" s="121"/>
      <c r="AX2851" s="120"/>
      <c r="AY2851" s="121"/>
      <c r="AZ2851" s="138"/>
    </row>
    <row r="2852" spans="1:52" ht="17.100000000000001" customHeight="1" thickTop="1">
      <c r="A2852" s="109" t="s">
        <v>9285</v>
      </c>
      <c r="B2852" s="28">
        <v>45954</v>
      </c>
      <c r="C2852" s="25">
        <v>2107</v>
      </c>
      <c r="D2852" s="13" t="s">
        <v>1752</v>
      </c>
      <c r="E2852" s="111"/>
      <c r="F2852" s="113" t="s">
        <v>4848</v>
      </c>
      <c r="G2852" s="114"/>
      <c r="H2852" s="115"/>
      <c r="I2852" s="24" t="s">
        <v>2571</v>
      </c>
      <c r="J2852" s="116">
        <v>4.5</v>
      </c>
      <c r="K2852" s="118">
        <v>430000</v>
      </c>
      <c r="L2852" s="119"/>
      <c r="M2852" s="118">
        <f t="shared" ref="M2852" si="1704">K2852*0.1</f>
        <v>43000</v>
      </c>
      <c r="N2852" s="119"/>
      <c r="O2852" s="118">
        <v>0</v>
      </c>
      <c r="P2852" s="119"/>
      <c r="Q2852" s="118">
        <v>9790</v>
      </c>
      <c r="R2852" s="119"/>
      <c r="S2852" s="118">
        <v>16500</v>
      </c>
      <c r="T2852" s="119"/>
      <c r="U2852" s="118">
        <f t="shared" ref="U2852" si="1705">SUM(K2852:T2853)</f>
        <v>499290</v>
      </c>
      <c r="V2852" s="122"/>
      <c r="W2852" s="124"/>
      <c r="X2852" s="126" t="s">
        <v>9200</v>
      </c>
      <c r="Y2852" s="127"/>
      <c r="Z2852" s="127"/>
      <c r="AA2852" s="127"/>
      <c r="AB2852" s="128"/>
      <c r="AC2852" s="15" t="s">
        <v>20</v>
      </c>
      <c r="AD2852" s="129"/>
      <c r="AE2852" s="130"/>
      <c r="AF2852" s="130"/>
      <c r="AG2852" s="130"/>
      <c r="AH2852" s="130"/>
      <c r="AI2852" s="131"/>
      <c r="AJ2852" s="132"/>
      <c r="AK2852" s="127"/>
      <c r="AL2852" s="128"/>
      <c r="AM2852" s="21"/>
      <c r="AN2852" s="133">
        <v>45958</v>
      </c>
      <c r="AO2852" s="134"/>
      <c r="AP2852" s="135">
        <v>1915</v>
      </c>
      <c r="AQ2852" s="136"/>
      <c r="AR2852" s="118">
        <v>510000</v>
      </c>
      <c r="AS2852" s="119"/>
      <c r="AT2852" s="118">
        <f t="shared" ref="AT2852" si="1706">AR2852*0.1</f>
        <v>51000</v>
      </c>
      <c r="AU2852" s="119"/>
      <c r="AV2852" s="118">
        <v>9790</v>
      </c>
      <c r="AW2852" s="119"/>
      <c r="AX2852" s="118">
        <f t="shared" ref="AX2852" si="1707">SUM(AR2852:AW2852)</f>
        <v>570790</v>
      </c>
      <c r="AY2852" s="119"/>
      <c r="AZ2852" s="137">
        <v>45965</v>
      </c>
    </row>
    <row r="2853" spans="1:52" ht="17.100000000000001" customHeight="1" thickBot="1">
      <c r="A2853" s="110"/>
      <c r="B2853" s="27" t="s">
        <v>1543</v>
      </c>
      <c r="C2853" s="27">
        <v>55359</v>
      </c>
      <c r="D2853" s="14" t="s">
        <v>1720</v>
      </c>
      <c r="E2853" s="112"/>
      <c r="F2853" s="139" t="s">
        <v>9199</v>
      </c>
      <c r="G2853" s="140"/>
      <c r="H2853" s="141"/>
      <c r="I2853" s="26">
        <v>51667</v>
      </c>
      <c r="J2853" s="117"/>
      <c r="K2853" s="120"/>
      <c r="L2853" s="121"/>
      <c r="M2853" s="120"/>
      <c r="N2853" s="121"/>
      <c r="O2853" s="120"/>
      <c r="P2853" s="121"/>
      <c r="Q2853" s="120"/>
      <c r="R2853" s="121"/>
      <c r="S2853" s="120"/>
      <c r="T2853" s="121"/>
      <c r="U2853" s="120"/>
      <c r="V2853" s="123"/>
      <c r="W2853" s="125"/>
      <c r="X2853" s="142" t="s">
        <v>7932</v>
      </c>
      <c r="Y2853" s="143"/>
      <c r="Z2853" s="143"/>
      <c r="AA2853" s="143"/>
      <c r="AB2853" s="144"/>
      <c r="AC2853" s="16" t="s">
        <v>21</v>
      </c>
      <c r="AD2853" s="17" t="s">
        <v>9662</v>
      </c>
      <c r="AE2853" s="145"/>
      <c r="AF2853" s="146"/>
      <c r="AG2853" s="146"/>
      <c r="AH2853" s="146"/>
      <c r="AI2853" s="147"/>
      <c r="AJ2853" s="148"/>
      <c r="AK2853" s="143"/>
      <c r="AL2853" s="144"/>
      <c r="AM2853" s="22"/>
      <c r="AN2853" s="149" t="s">
        <v>2131</v>
      </c>
      <c r="AO2853" s="144"/>
      <c r="AP2853" s="148">
        <v>3355</v>
      </c>
      <c r="AQ2853" s="144"/>
      <c r="AR2853" s="120"/>
      <c r="AS2853" s="121"/>
      <c r="AT2853" s="120"/>
      <c r="AU2853" s="121"/>
      <c r="AV2853" s="120"/>
      <c r="AW2853" s="121"/>
      <c r="AX2853" s="120"/>
      <c r="AY2853" s="121"/>
      <c r="AZ2853" s="138"/>
    </row>
    <row r="2854" spans="1:52" ht="17.100000000000001" customHeight="1" thickTop="1">
      <c r="A2854" s="109" t="s">
        <v>9286</v>
      </c>
      <c r="B2854" s="28">
        <v>45954</v>
      </c>
      <c r="C2854" s="25">
        <v>2107</v>
      </c>
      <c r="D2854" s="13" t="s">
        <v>1953</v>
      </c>
      <c r="E2854" s="111"/>
      <c r="F2854" s="113" t="s">
        <v>9201</v>
      </c>
      <c r="G2854" s="114"/>
      <c r="H2854" s="115"/>
      <c r="I2854" s="24" t="s">
        <v>3923</v>
      </c>
      <c r="J2854" s="116">
        <v>4.5</v>
      </c>
      <c r="K2854" s="118">
        <v>815000</v>
      </c>
      <c r="L2854" s="119"/>
      <c r="M2854" s="118">
        <f t="shared" ref="M2854" si="1708">K2854*0.1</f>
        <v>81500</v>
      </c>
      <c r="N2854" s="119"/>
      <c r="O2854" s="118">
        <v>0</v>
      </c>
      <c r="P2854" s="119"/>
      <c r="Q2854" s="118">
        <v>8400</v>
      </c>
      <c r="R2854" s="119"/>
      <c r="S2854" s="118">
        <v>16500</v>
      </c>
      <c r="T2854" s="119"/>
      <c r="U2854" s="118">
        <f t="shared" ref="U2854" si="1709">SUM(K2854:T2855)</f>
        <v>921400</v>
      </c>
      <c r="V2854" s="122"/>
      <c r="W2854" s="124"/>
      <c r="X2854" s="126" t="s">
        <v>9203</v>
      </c>
      <c r="Y2854" s="127"/>
      <c r="Z2854" s="127"/>
      <c r="AA2854" s="127"/>
      <c r="AB2854" s="128"/>
      <c r="AC2854" s="15" t="s">
        <v>20</v>
      </c>
      <c r="AD2854" s="129" t="s">
        <v>1732</v>
      </c>
      <c r="AE2854" s="130"/>
      <c r="AF2854" s="130"/>
      <c r="AG2854" s="130"/>
      <c r="AH2854" s="130"/>
      <c r="AI2854" s="131"/>
      <c r="AJ2854" s="132"/>
      <c r="AK2854" s="127"/>
      <c r="AL2854" s="128"/>
      <c r="AM2854" s="21" t="s">
        <v>10170</v>
      </c>
      <c r="AN2854" s="133">
        <v>45965</v>
      </c>
      <c r="AO2854" s="134"/>
      <c r="AP2854" s="135">
        <v>1916</v>
      </c>
      <c r="AQ2854" s="136"/>
      <c r="AR2854" s="118">
        <v>864000</v>
      </c>
      <c r="AS2854" s="119"/>
      <c r="AT2854" s="118">
        <f t="shared" ref="AT2854" si="1710">AR2854*0.1</f>
        <v>86400</v>
      </c>
      <c r="AU2854" s="119"/>
      <c r="AV2854" s="118">
        <v>8400</v>
      </c>
      <c r="AW2854" s="119"/>
      <c r="AX2854" s="118">
        <f t="shared" ref="AX2854" si="1711">SUM(AR2854:AW2854)</f>
        <v>958800</v>
      </c>
      <c r="AY2854" s="119"/>
      <c r="AZ2854" s="137">
        <v>45971</v>
      </c>
    </row>
    <row r="2855" spans="1:52" ht="17.100000000000001" customHeight="1" thickBot="1">
      <c r="A2855" s="110"/>
      <c r="B2855" s="27" t="s">
        <v>1543</v>
      </c>
      <c r="C2855" s="27">
        <v>55375</v>
      </c>
      <c r="D2855" s="14" t="s">
        <v>275</v>
      </c>
      <c r="E2855" s="112"/>
      <c r="F2855" s="139" t="s">
        <v>9202</v>
      </c>
      <c r="G2855" s="140"/>
      <c r="H2855" s="141"/>
      <c r="I2855" s="26">
        <v>41758</v>
      </c>
      <c r="J2855" s="117"/>
      <c r="K2855" s="120"/>
      <c r="L2855" s="121"/>
      <c r="M2855" s="120"/>
      <c r="N2855" s="121"/>
      <c r="O2855" s="120"/>
      <c r="P2855" s="121"/>
      <c r="Q2855" s="120"/>
      <c r="R2855" s="121"/>
      <c r="S2855" s="120"/>
      <c r="T2855" s="121"/>
      <c r="U2855" s="120"/>
      <c r="V2855" s="123"/>
      <c r="W2855" s="125"/>
      <c r="X2855" s="142" t="s">
        <v>9735</v>
      </c>
      <c r="Y2855" s="143"/>
      <c r="Z2855" s="143"/>
      <c r="AA2855" s="143"/>
      <c r="AB2855" s="144"/>
      <c r="AC2855" s="16" t="s">
        <v>21</v>
      </c>
      <c r="AD2855" s="17" t="s">
        <v>9662</v>
      </c>
      <c r="AE2855" s="145" t="s">
        <v>1732</v>
      </c>
      <c r="AF2855" s="146"/>
      <c r="AG2855" s="146"/>
      <c r="AH2855" s="146"/>
      <c r="AI2855" s="147"/>
      <c r="AJ2855" s="148"/>
      <c r="AK2855" s="143"/>
      <c r="AL2855" s="144"/>
      <c r="AM2855" s="22"/>
      <c r="AN2855" s="149" t="s">
        <v>2131</v>
      </c>
      <c r="AO2855" s="144"/>
      <c r="AP2855" s="148">
        <v>3105</v>
      </c>
      <c r="AQ2855" s="144"/>
      <c r="AR2855" s="120"/>
      <c r="AS2855" s="121"/>
      <c r="AT2855" s="120"/>
      <c r="AU2855" s="121"/>
      <c r="AV2855" s="120"/>
      <c r="AW2855" s="121"/>
      <c r="AX2855" s="120"/>
      <c r="AY2855" s="121"/>
      <c r="AZ2855" s="138"/>
    </row>
    <row r="2856" spans="1:52" ht="17.100000000000001" customHeight="1" thickTop="1">
      <c r="A2856" s="109" t="s">
        <v>9287</v>
      </c>
      <c r="B2856" s="28">
        <v>45954</v>
      </c>
      <c r="C2856" s="25">
        <v>2107</v>
      </c>
      <c r="D2856" s="13" t="s">
        <v>2963</v>
      </c>
      <c r="E2856" s="111"/>
      <c r="F2856" s="113" t="s">
        <v>8009</v>
      </c>
      <c r="G2856" s="114"/>
      <c r="H2856" s="115"/>
      <c r="I2856" s="24"/>
      <c r="J2856" s="116">
        <v>4.5</v>
      </c>
      <c r="K2856" s="118">
        <v>1385000</v>
      </c>
      <c r="L2856" s="119"/>
      <c r="M2856" s="118">
        <f t="shared" ref="M2856" si="1712">K2856*0.1</f>
        <v>138500</v>
      </c>
      <c r="N2856" s="119"/>
      <c r="O2856" s="118">
        <v>0</v>
      </c>
      <c r="P2856" s="119"/>
      <c r="Q2856" s="118">
        <v>7040</v>
      </c>
      <c r="R2856" s="119"/>
      <c r="S2856" s="118">
        <v>16500</v>
      </c>
      <c r="T2856" s="119"/>
      <c r="U2856" s="118">
        <f t="shared" ref="U2856" si="1713">SUM(K2856:T2857)</f>
        <v>1547040</v>
      </c>
      <c r="V2856" s="122"/>
      <c r="W2856" s="124"/>
      <c r="X2856" s="126" t="s">
        <v>9730</v>
      </c>
      <c r="Y2856" s="127"/>
      <c r="Z2856" s="127"/>
      <c r="AA2856" s="127"/>
      <c r="AB2856" s="128"/>
      <c r="AC2856" s="15" t="s">
        <v>20</v>
      </c>
      <c r="AD2856" s="129" t="s">
        <v>5075</v>
      </c>
      <c r="AE2856" s="130"/>
      <c r="AF2856" s="130"/>
      <c r="AG2856" s="130"/>
      <c r="AH2856" s="130"/>
      <c r="AI2856" s="131"/>
      <c r="AJ2856" s="132"/>
      <c r="AK2856" s="127"/>
      <c r="AL2856" s="128"/>
      <c r="AM2856" s="21"/>
      <c r="AN2856" s="133">
        <v>45986</v>
      </c>
      <c r="AO2856" s="134"/>
      <c r="AP2856" s="135">
        <v>1919</v>
      </c>
      <c r="AQ2856" s="136"/>
      <c r="AR2856" s="118">
        <v>1386000</v>
      </c>
      <c r="AS2856" s="119"/>
      <c r="AT2856" s="118">
        <f t="shared" ref="AT2856" si="1714">AR2856*0.1</f>
        <v>138600</v>
      </c>
      <c r="AU2856" s="119"/>
      <c r="AV2856" s="118">
        <v>7040</v>
      </c>
      <c r="AW2856" s="119"/>
      <c r="AX2856" s="118">
        <f t="shared" ref="AX2856" si="1715">SUM(AR2856:AW2856)</f>
        <v>1531640</v>
      </c>
      <c r="AY2856" s="119"/>
      <c r="AZ2856" s="137"/>
    </row>
    <row r="2857" spans="1:52" ht="17.100000000000001" customHeight="1" thickBot="1">
      <c r="A2857" s="110"/>
      <c r="B2857" s="27" t="s">
        <v>1543</v>
      </c>
      <c r="C2857" s="27">
        <v>55432</v>
      </c>
      <c r="D2857" s="14" t="s">
        <v>2601</v>
      </c>
      <c r="E2857" s="112"/>
      <c r="F2857" s="139" t="s">
        <v>9204</v>
      </c>
      <c r="G2857" s="140"/>
      <c r="H2857" s="141"/>
      <c r="I2857" s="26">
        <v>52160</v>
      </c>
      <c r="J2857" s="117"/>
      <c r="K2857" s="120"/>
      <c r="L2857" s="121"/>
      <c r="M2857" s="120"/>
      <c r="N2857" s="121"/>
      <c r="O2857" s="120"/>
      <c r="P2857" s="121"/>
      <c r="Q2857" s="120"/>
      <c r="R2857" s="121"/>
      <c r="S2857" s="120"/>
      <c r="T2857" s="121"/>
      <c r="U2857" s="120"/>
      <c r="V2857" s="123"/>
      <c r="W2857" s="125"/>
      <c r="X2857" s="142" t="s">
        <v>9731</v>
      </c>
      <c r="Y2857" s="143"/>
      <c r="Z2857" s="143"/>
      <c r="AA2857" s="143"/>
      <c r="AB2857" s="144"/>
      <c r="AC2857" s="16" t="s">
        <v>21</v>
      </c>
      <c r="AD2857" s="17" t="s">
        <v>9662</v>
      </c>
      <c r="AE2857" s="145" t="s">
        <v>9732</v>
      </c>
      <c r="AF2857" s="146"/>
      <c r="AG2857" s="146"/>
      <c r="AH2857" s="146"/>
      <c r="AI2857" s="147"/>
      <c r="AJ2857" s="148"/>
      <c r="AK2857" s="143"/>
      <c r="AL2857" s="144"/>
      <c r="AM2857" s="22"/>
      <c r="AN2857" s="149" t="s">
        <v>2131</v>
      </c>
      <c r="AO2857" s="144"/>
      <c r="AP2857" s="148">
        <v>3113</v>
      </c>
      <c r="AQ2857" s="144"/>
      <c r="AR2857" s="120"/>
      <c r="AS2857" s="121"/>
      <c r="AT2857" s="120"/>
      <c r="AU2857" s="121"/>
      <c r="AV2857" s="120"/>
      <c r="AW2857" s="121"/>
      <c r="AX2857" s="120"/>
      <c r="AY2857" s="121"/>
      <c r="AZ2857" s="138"/>
    </row>
    <row r="2858" spans="1:52" ht="17.100000000000001" customHeight="1" thickTop="1">
      <c r="A2858" s="109" t="s">
        <v>9288</v>
      </c>
      <c r="B2858" s="28">
        <v>45954</v>
      </c>
      <c r="C2858" s="25">
        <v>2107</v>
      </c>
      <c r="D2858" s="13" t="s">
        <v>1686</v>
      </c>
      <c r="E2858" s="111"/>
      <c r="F2858" s="113" t="s">
        <v>8222</v>
      </c>
      <c r="G2858" s="114"/>
      <c r="H2858" s="115"/>
      <c r="I2858" s="24" t="s">
        <v>1559</v>
      </c>
      <c r="J2858" s="116">
        <v>4</v>
      </c>
      <c r="K2858" s="118">
        <v>495000</v>
      </c>
      <c r="L2858" s="119"/>
      <c r="M2858" s="118">
        <f t="shared" ref="M2858" si="1716">K2858*0.1</f>
        <v>49500</v>
      </c>
      <c r="N2858" s="119"/>
      <c r="O2858" s="118">
        <v>0</v>
      </c>
      <c r="P2858" s="119"/>
      <c r="Q2858" s="118">
        <v>8580</v>
      </c>
      <c r="R2858" s="119"/>
      <c r="S2858" s="118">
        <v>16500</v>
      </c>
      <c r="T2858" s="119"/>
      <c r="U2858" s="118">
        <f t="shared" ref="U2858" si="1717">SUM(K2858:T2859)</f>
        <v>569580</v>
      </c>
      <c r="V2858" s="122"/>
      <c r="W2858" s="124"/>
      <c r="X2858" s="126" t="s">
        <v>9206</v>
      </c>
      <c r="Y2858" s="127"/>
      <c r="Z2858" s="127"/>
      <c r="AA2858" s="127"/>
      <c r="AB2858" s="128"/>
      <c r="AC2858" s="15" t="s">
        <v>20</v>
      </c>
      <c r="AD2858" s="129" t="s">
        <v>9207</v>
      </c>
      <c r="AE2858" s="130"/>
      <c r="AF2858" s="130"/>
      <c r="AG2858" s="130"/>
      <c r="AH2858" s="130"/>
      <c r="AI2858" s="131"/>
      <c r="AJ2858" s="132"/>
      <c r="AK2858" s="127"/>
      <c r="AL2858" s="128"/>
      <c r="AM2858" s="21" t="s">
        <v>11012</v>
      </c>
      <c r="AN2858" s="133">
        <v>46004</v>
      </c>
      <c r="AO2858" s="134"/>
      <c r="AP2858" s="135">
        <v>1280</v>
      </c>
      <c r="AQ2858" s="136"/>
      <c r="AR2858" s="118">
        <v>510000</v>
      </c>
      <c r="AS2858" s="119"/>
      <c r="AT2858" s="118">
        <f t="shared" ref="AT2858" si="1718">AR2858*0.1</f>
        <v>51000</v>
      </c>
      <c r="AU2858" s="119"/>
      <c r="AV2858" s="118">
        <v>8580</v>
      </c>
      <c r="AW2858" s="119"/>
      <c r="AX2858" s="118">
        <f t="shared" ref="AX2858" si="1719">SUM(AR2858:AW2858)</f>
        <v>569580</v>
      </c>
      <c r="AY2858" s="119"/>
      <c r="AZ2858" s="137">
        <v>46008</v>
      </c>
    </row>
    <row r="2859" spans="1:52" ht="17.100000000000001" customHeight="1" thickBot="1">
      <c r="A2859" s="110"/>
      <c r="B2859" s="27" t="s">
        <v>1543</v>
      </c>
      <c r="C2859" s="27">
        <v>55462</v>
      </c>
      <c r="D2859" s="14" t="s">
        <v>3327</v>
      </c>
      <c r="E2859" s="112"/>
      <c r="F2859" s="139" t="s">
        <v>9205</v>
      </c>
      <c r="G2859" s="140"/>
      <c r="H2859" s="141"/>
      <c r="I2859" s="26">
        <v>35660</v>
      </c>
      <c r="J2859" s="117"/>
      <c r="K2859" s="120"/>
      <c r="L2859" s="121"/>
      <c r="M2859" s="120"/>
      <c r="N2859" s="121"/>
      <c r="O2859" s="120"/>
      <c r="P2859" s="121"/>
      <c r="Q2859" s="120"/>
      <c r="R2859" s="121"/>
      <c r="S2859" s="120"/>
      <c r="T2859" s="121"/>
      <c r="U2859" s="120"/>
      <c r="V2859" s="123"/>
      <c r="W2859" s="125"/>
      <c r="X2859" s="142" t="s">
        <v>9723</v>
      </c>
      <c r="Y2859" s="143"/>
      <c r="Z2859" s="143"/>
      <c r="AA2859" s="143"/>
      <c r="AB2859" s="144"/>
      <c r="AC2859" s="16" t="s">
        <v>21</v>
      </c>
      <c r="AD2859" s="17" t="s">
        <v>9662</v>
      </c>
      <c r="AE2859" s="145" t="s">
        <v>9207</v>
      </c>
      <c r="AF2859" s="146"/>
      <c r="AG2859" s="146"/>
      <c r="AH2859" s="146"/>
      <c r="AI2859" s="147"/>
      <c r="AJ2859" s="148"/>
      <c r="AK2859" s="143"/>
      <c r="AL2859" s="144"/>
      <c r="AM2859" s="22"/>
      <c r="AN2859" s="149" t="s">
        <v>2511</v>
      </c>
      <c r="AO2859" s="144"/>
      <c r="AP2859" s="148">
        <v>60135</v>
      </c>
      <c r="AQ2859" s="144"/>
      <c r="AR2859" s="120"/>
      <c r="AS2859" s="121"/>
      <c r="AT2859" s="120"/>
      <c r="AU2859" s="121"/>
      <c r="AV2859" s="120"/>
      <c r="AW2859" s="121"/>
      <c r="AX2859" s="120"/>
      <c r="AY2859" s="121"/>
      <c r="AZ2859" s="138"/>
    </row>
    <row r="2860" spans="1:52" ht="17.100000000000001" customHeight="1" thickTop="1">
      <c r="A2860" s="109" t="s">
        <v>9289</v>
      </c>
      <c r="B2860" s="28">
        <v>45954</v>
      </c>
      <c r="C2860" s="25">
        <v>2107</v>
      </c>
      <c r="D2860" s="13" t="s">
        <v>1712</v>
      </c>
      <c r="E2860" s="111"/>
      <c r="F2860" s="113" t="s">
        <v>9208</v>
      </c>
      <c r="G2860" s="114"/>
      <c r="H2860" s="115"/>
      <c r="I2860" s="24" t="s">
        <v>2526</v>
      </c>
      <c r="J2860" s="116">
        <v>4</v>
      </c>
      <c r="K2860" s="118">
        <v>815000</v>
      </c>
      <c r="L2860" s="119"/>
      <c r="M2860" s="118">
        <f t="shared" ref="M2860" si="1720">K2860*0.1</f>
        <v>81500</v>
      </c>
      <c r="N2860" s="119"/>
      <c r="O2860" s="118">
        <v>0</v>
      </c>
      <c r="P2860" s="119"/>
      <c r="Q2860" s="118">
        <v>9790</v>
      </c>
      <c r="R2860" s="119"/>
      <c r="S2860" s="118">
        <v>16500</v>
      </c>
      <c r="T2860" s="119"/>
      <c r="U2860" s="118">
        <f t="shared" ref="U2860" si="1721">SUM(K2860:T2861)</f>
        <v>922790</v>
      </c>
      <c r="V2860" s="122"/>
      <c r="W2860" s="124"/>
      <c r="X2860" s="126" t="s">
        <v>9210</v>
      </c>
      <c r="Y2860" s="127"/>
      <c r="Z2860" s="127"/>
      <c r="AA2860" s="127"/>
      <c r="AB2860" s="128"/>
      <c r="AC2860" s="15" t="s">
        <v>20</v>
      </c>
      <c r="AD2860" s="129" t="s">
        <v>7698</v>
      </c>
      <c r="AE2860" s="130"/>
      <c r="AF2860" s="130"/>
      <c r="AG2860" s="130"/>
      <c r="AH2860" s="130"/>
      <c r="AI2860" s="131"/>
      <c r="AJ2860" s="132"/>
      <c r="AK2860" s="127"/>
      <c r="AL2860" s="128"/>
      <c r="AM2860" s="21" t="s">
        <v>10040</v>
      </c>
      <c r="AN2860" s="133">
        <v>45962</v>
      </c>
      <c r="AO2860" s="134"/>
      <c r="AP2860" s="135">
        <v>1274</v>
      </c>
      <c r="AQ2860" s="136"/>
      <c r="AR2860" s="118">
        <v>900000</v>
      </c>
      <c r="AS2860" s="119"/>
      <c r="AT2860" s="118">
        <f t="shared" ref="AT2860" si="1722">AR2860*0.1</f>
        <v>90000</v>
      </c>
      <c r="AU2860" s="119"/>
      <c r="AV2860" s="118">
        <v>9790</v>
      </c>
      <c r="AW2860" s="119"/>
      <c r="AX2860" s="118">
        <f t="shared" ref="AX2860" si="1723">SUM(AR2860:AW2860)</f>
        <v>999790</v>
      </c>
      <c r="AY2860" s="119"/>
      <c r="AZ2860" s="137">
        <v>45967</v>
      </c>
    </row>
    <row r="2861" spans="1:52" ht="17.100000000000001" customHeight="1" thickBot="1">
      <c r="A2861" s="110"/>
      <c r="B2861" s="27" t="s">
        <v>1543</v>
      </c>
      <c r="C2861" s="27">
        <v>55469</v>
      </c>
      <c r="D2861" s="14" t="s">
        <v>133</v>
      </c>
      <c r="E2861" s="112"/>
      <c r="F2861" s="139" t="s">
        <v>9209</v>
      </c>
      <c r="G2861" s="140"/>
      <c r="H2861" s="141"/>
      <c r="I2861" s="26">
        <v>41179</v>
      </c>
      <c r="J2861" s="117"/>
      <c r="K2861" s="120"/>
      <c r="L2861" s="121"/>
      <c r="M2861" s="120"/>
      <c r="N2861" s="121"/>
      <c r="O2861" s="120"/>
      <c r="P2861" s="121"/>
      <c r="Q2861" s="120"/>
      <c r="R2861" s="121"/>
      <c r="S2861" s="120"/>
      <c r="T2861" s="121"/>
      <c r="U2861" s="120"/>
      <c r="V2861" s="123"/>
      <c r="W2861" s="125"/>
      <c r="X2861" s="142" t="s">
        <v>9733</v>
      </c>
      <c r="Y2861" s="143"/>
      <c r="Z2861" s="143"/>
      <c r="AA2861" s="143"/>
      <c r="AB2861" s="144"/>
      <c r="AC2861" s="16" t="s">
        <v>21</v>
      </c>
      <c r="AD2861" s="17" t="s">
        <v>9662</v>
      </c>
      <c r="AE2861" s="145" t="s">
        <v>9734</v>
      </c>
      <c r="AF2861" s="146"/>
      <c r="AG2861" s="146"/>
      <c r="AH2861" s="146"/>
      <c r="AI2861" s="147"/>
      <c r="AJ2861" s="148"/>
      <c r="AK2861" s="143"/>
      <c r="AL2861" s="144"/>
      <c r="AM2861" s="22"/>
      <c r="AN2861" s="149" t="s">
        <v>2511</v>
      </c>
      <c r="AO2861" s="144"/>
      <c r="AP2861" s="148">
        <v>60025</v>
      </c>
      <c r="AQ2861" s="144"/>
      <c r="AR2861" s="120"/>
      <c r="AS2861" s="121"/>
      <c r="AT2861" s="120"/>
      <c r="AU2861" s="121"/>
      <c r="AV2861" s="120"/>
      <c r="AW2861" s="121"/>
      <c r="AX2861" s="120"/>
      <c r="AY2861" s="121"/>
      <c r="AZ2861" s="138"/>
    </row>
    <row r="2862" spans="1:52" ht="17.100000000000001" customHeight="1" thickTop="1">
      <c r="A2862" s="109" t="s">
        <v>9290</v>
      </c>
      <c r="B2862" s="28">
        <v>45954</v>
      </c>
      <c r="C2862" s="25">
        <v>2107</v>
      </c>
      <c r="D2862" s="13" t="s">
        <v>165</v>
      </c>
      <c r="E2862" s="111"/>
      <c r="F2862" s="113" t="s">
        <v>9211</v>
      </c>
      <c r="G2862" s="114"/>
      <c r="H2862" s="115"/>
      <c r="I2862" s="24"/>
      <c r="J2862" s="116">
        <v>4.5</v>
      </c>
      <c r="K2862" s="118">
        <v>590000</v>
      </c>
      <c r="L2862" s="119"/>
      <c r="M2862" s="118">
        <f t="shared" ref="M2862" si="1724">K2862*0.1</f>
        <v>59000</v>
      </c>
      <c r="N2862" s="119"/>
      <c r="O2862" s="118">
        <v>0</v>
      </c>
      <c r="P2862" s="119"/>
      <c r="Q2862" s="118">
        <v>8540</v>
      </c>
      <c r="R2862" s="119"/>
      <c r="S2862" s="118">
        <v>16500</v>
      </c>
      <c r="T2862" s="119"/>
      <c r="U2862" s="118">
        <f t="shared" ref="U2862" si="1725">SUM(K2862:T2863)</f>
        <v>674040</v>
      </c>
      <c r="V2862" s="122"/>
      <c r="W2862" s="124"/>
      <c r="X2862" s="126" t="s">
        <v>9667</v>
      </c>
      <c r="Y2862" s="127"/>
      <c r="Z2862" s="127"/>
      <c r="AA2862" s="127"/>
      <c r="AB2862" s="128"/>
      <c r="AC2862" s="15" t="s">
        <v>20</v>
      </c>
      <c r="AD2862" s="129" t="s">
        <v>1633</v>
      </c>
      <c r="AE2862" s="130"/>
      <c r="AF2862" s="130"/>
      <c r="AG2862" s="130"/>
      <c r="AH2862" s="130"/>
      <c r="AI2862" s="131"/>
      <c r="AJ2862" s="132"/>
      <c r="AK2862" s="127"/>
      <c r="AL2862" s="128"/>
      <c r="AM2862" s="21"/>
      <c r="AN2862" s="133">
        <v>45958</v>
      </c>
      <c r="AO2862" s="134"/>
      <c r="AP2862" s="135">
        <v>1915</v>
      </c>
      <c r="AQ2862" s="136"/>
      <c r="AR2862" s="118">
        <v>694000</v>
      </c>
      <c r="AS2862" s="119"/>
      <c r="AT2862" s="118">
        <f t="shared" ref="AT2862" si="1726">AR2862*0.1</f>
        <v>69400</v>
      </c>
      <c r="AU2862" s="119"/>
      <c r="AV2862" s="118">
        <v>8540</v>
      </c>
      <c r="AW2862" s="119"/>
      <c r="AX2862" s="118">
        <f t="shared" ref="AX2862" si="1727">SUM(AR2862:AW2862)</f>
        <v>771940</v>
      </c>
      <c r="AY2862" s="119"/>
      <c r="AZ2862" s="137">
        <v>45965</v>
      </c>
    </row>
    <row r="2863" spans="1:52" ht="17.100000000000001" customHeight="1" thickBot="1">
      <c r="A2863" s="110"/>
      <c r="B2863" s="27" t="s">
        <v>1543</v>
      </c>
      <c r="C2863" s="27">
        <v>55473</v>
      </c>
      <c r="D2863" s="14" t="s">
        <v>133</v>
      </c>
      <c r="E2863" s="112"/>
      <c r="F2863" s="139" t="s">
        <v>9212</v>
      </c>
      <c r="G2863" s="140"/>
      <c r="H2863" s="141"/>
      <c r="I2863" s="26">
        <v>57948</v>
      </c>
      <c r="J2863" s="117"/>
      <c r="K2863" s="120"/>
      <c r="L2863" s="121"/>
      <c r="M2863" s="120"/>
      <c r="N2863" s="121"/>
      <c r="O2863" s="120"/>
      <c r="P2863" s="121"/>
      <c r="Q2863" s="120"/>
      <c r="R2863" s="121"/>
      <c r="S2863" s="120"/>
      <c r="T2863" s="121"/>
      <c r="U2863" s="120"/>
      <c r="V2863" s="123"/>
      <c r="W2863" s="125"/>
      <c r="X2863" s="142" t="s">
        <v>8418</v>
      </c>
      <c r="Y2863" s="143"/>
      <c r="Z2863" s="143"/>
      <c r="AA2863" s="143"/>
      <c r="AB2863" s="144"/>
      <c r="AC2863" s="16" t="s">
        <v>21</v>
      </c>
      <c r="AD2863" s="17" t="s">
        <v>9662</v>
      </c>
      <c r="AE2863" s="145" t="s">
        <v>1633</v>
      </c>
      <c r="AF2863" s="146"/>
      <c r="AG2863" s="146"/>
      <c r="AH2863" s="146"/>
      <c r="AI2863" s="147"/>
      <c r="AJ2863" s="148"/>
      <c r="AK2863" s="143"/>
      <c r="AL2863" s="144"/>
      <c r="AM2863" s="22"/>
      <c r="AN2863" s="149" t="s">
        <v>2131</v>
      </c>
      <c r="AO2863" s="144"/>
      <c r="AP2863" s="148">
        <v>3359</v>
      </c>
      <c r="AQ2863" s="144"/>
      <c r="AR2863" s="120"/>
      <c r="AS2863" s="121"/>
      <c r="AT2863" s="120"/>
      <c r="AU2863" s="121"/>
      <c r="AV2863" s="120"/>
      <c r="AW2863" s="121"/>
      <c r="AX2863" s="120"/>
      <c r="AY2863" s="121"/>
      <c r="AZ2863" s="138"/>
    </row>
    <row r="2864" spans="1:52" ht="17.100000000000001" customHeight="1" thickTop="1">
      <c r="A2864" s="109" t="s">
        <v>9291</v>
      </c>
      <c r="B2864" s="28">
        <v>45954</v>
      </c>
      <c r="C2864" s="25">
        <v>2107</v>
      </c>
      <c r="D2864" s="13" t="s">
        <v>1697</v>
      </c>
      <c r="E2864" s="111"/>
      <c r="F2864" s="113" t="s">
        <v>8009</v>
      </c>
      <c r="G2864" s="114"/>
      <c r="H2864" s="115"/>
      <c r="I2864" s="24" t="s">
        <v>2577</v>
      </c>
      <c r="J2864" s="116">
        <v>4</v>
      </c>
      <c r="K2864" s="118">
        <v>1245000</v>
      </c>
      <c r="L2864" s="119"/>
      <c r="M2864" s="118">
        <f t="shared" ref="M2864" si="1728">K2864*0.1</f>
        <v>124500</v>
      </c>
      <c r="N2864" s="119"/>
      <c r="O2864" s="118">
        <v>0</v>
      </c>
      <c r="P2864" s="119"/>
      <c r="Q2864" s="118">
        <v>7040</v>
      </c>
      <c r="R2864" s="119"/>
      <c r="S2864" s="118">
        <v>16500</v>
      </c>
      <c r="T2864" s="119"/>
      <c r="U2864" s="118">
        <f t="shared" ref="U2864" si="1729">SUM(K2864:T2865)</f>
        <v>1393040</v>
      </c>
      <c r="V2864" s="122"/>
      <c r="W2864" s="124"/>
      <c r="X2864" s="126" t="s">
        <v>9214</v>
      </c>
      <c r="Y2864" s="127"/>
      <c r="Z2864" s="127"/>
      <c r="AA2864" s="127"/>
      <c r="AB2864" s="128"/>
      <c r="AC2864" s="15" t="s">
        <v>20</v>
      </c>
      <c r="AD2864" s="129" t="s">
        <v>1797</v>
      </c>
      <c r="AE2864" s="130"/>
      <c r="AF2864" s="130"/>
      <c r="AG2864" s="130"/>
      <c r="AH2864" s="130"/>
      <c r="AI2864" s="131"/>
      <c r="AJ2864" s="132" t="s">
        <v>9741</v>
      </c>
      <c r="AK2864" s="127"/>
      <c r="AL2864" s="128"/>
      <c r="AM2864" s="21" t="s">
        <v>10282</v>
      </c>
      <c r="AN2864" s="133">
        <v>45962</v>
      </c>
      <c r="AO2864" s="134"/>
      <c r="AP2864" s="135">
        <v>1274</v>
      </c>
      <c r="AQ2864" s="136"/>
      <c r="AR2864" s="118">
        <v>1320000</v>
      </c>
      <c r="AS2864" s="119"/>
      <c r="AT2864" s="118">
        <f t="shared" ref="AT2864" si="1730">AR2864*0.1</f>
        <v>132000</v>
      </c>
      <c r="AU2864" s="119"/>
      <c r="AV2864" s="118">
        <v>7040</v>
      </c>
      <c r="AW2864" s="119"/>
      <c r="AX2864" s="118">
        <f t="shared" ref="AX2864" si="1731">SUM(AR2864:AW2864)</f>
        <v>1459040</v>
      </c>
      <c r="AY2864" s="119"/>
      <c r="AZ2864" s="137">
        <v>45971</v>
      </c>
    </row>
    <row r="2865" spans="1:52" ht="17.100000000000001" customHeight="1" thickBot="1">
      <c r="A2865" s="110"/>
      <c r="B2865" s="27" t="s">
        <v>1543</v>
      </c>
      <c r="C2865" s="27">
        <v>55490</v>
      </c>
      <c r="D2865" s="14" t="s">
        <v>2601</v>
      </c>
      <c r="E2865" s="112"/>
      <c r="F2865" s="139" t="s">
        <v>9213</v>
      </c>
      <c r="G2865" s="140"/>
      <c r="H2865" s="141"/>
      <c r="I2865" s="26">
        <v>25864</v>
      </c>
      <c r="J2865" s="117"/>
      <c r="K2865" s="120"/>
      <c r="L2865" s="121"/>
      <c r="M2865" s="120"/>
      <c r="N2865" s="121"/>
      <c r="O2865" s="120"/>
      <c r="P2865" s="121"/>
      <c r="Q2865" s="120"/>
      <c r="R2865" s="121"/>
      <c r="S2865" s="120"/>
      <c r="T2865" s="121"/>
      <c r="U2865" s="120"/>
      <c r="V2865" s="123"/>
      <c r="W2865" s="125"/>
      <c r="X2865" s="142" t="s">
        <v>9740</v>
      </c>
      <c r="Y2865" s="143"/>
      <c r="Z2865" s="143"/>
      <c r="AA2865" s="143"/>
      <c r="AB2865" s="144"/>
      <c r="AC2865" s="16" t="s">
        <v>21</v>
      </c>
      <c r="AD2865" s="17" t="s">
        <v>9662</v>
      </c>
      <c r="AE2865" s="145" t="s">
        <v>2395</v>
      </c>
      <c r="AF2865" s="146"/>
      <c r="AG2865" s="146"/>
      <c r="AH2865" s="146"/>
      <c r="AI2865" s="147"/>
      <c r="AJ2865" s="148"/>
      <c r="AK2865" s="143"/>
      <c r="AL2865" s="144"/>
      <c r="AM2865" s="22"/>
      <c r="AN2865" s="149" t="s">
        <v>6748</v>
      </c>
      <c r="AO2865" s="144"/>
      <c r="AP2865" s="148">
        <v>60013</v>
      </c>
      <c r="AQ2865" s="144"/>
      <c r="AR2865" s="120"/>
      <c r="AS2865" s="121"/>
      <c r="AT2865" s="120"/>
      <c r="AU2865" s="121"/>
      <c r="AV2865" s="120"/>
      <c r="AW2865" s="121"/>
      <c r="AX2865" s="120"/>
      <c r="AY2865" s="121"/>
      <c r="AZ2865" s="138"/>
    </row>
    <row r="2866" spans="1:52" ht="17.100000000000001" customHeight="1" thickTop="1">
      <c r="A2866" s="109" t="s">
        <v>9292</v>
      </c>
      <c r="B2866" s="28">
        <v>45954</v>
      </c>
      <c r="C2866" s="25">
        <v>2107</v>
      </c>
      <c r="D2866" s="13" t="s">
        <v>1561</v>
      </c>
      <c r="E2866" s="111"/>
      <c r="F2866" s="113" t="s">
        <v>3853</v>
      </c>
      <c r="G2866" s="114"/>
      <c r="H2866" s="115"/>
      <c r="I2866" s="24"/>
      <c r="J2866" s="116">
        <v>4</v>
      </c>
      <c r="K2866" s="118">
        <v>475000</v>
      </c>
      <c r="L2866" s="119"/>
      <c r="M2866" s="118">
        <f t="shared" ref="M2866" si="1732">K2866*0.1</f>
        <v>47500</v>
      </c>
      <c r="N2866" s="119"/>
      <c r="O2866" s="118">
        <v>0</v>
      </c>
      <c r="P2866" s="119"/>
      <c r="Q2866" s="118">
        <v>9070</v>
      </c>
      <c r="R2866" s="119"/>
      <c r="S2866" s="118">
        <v>16500</v>
      </c>
      <c r="T2866" s="119"/>
      <c r="U2866" s="118">
        <f t="shared" ref="U2866" si="1733">SUM(K2866:T2867)</f>
        <v>548070</v>
      </c>
      <c r="V2866" s="122"/>
      <c r="W2866" s="124"/>
      <c r="X2866" s="126" t="s">
        <v>9876</v>
      </c>
      <c r="Y2866" s="127"/>
      <c r="Z2866" s="127"/>
      <c r="AA2866" s="127"/>
      <c r="AB2866" s="128"/>
      <c r="AC2866" s="15" t="s">
        <v>20</v>
      </c>
      <c r="AD2866" s="129" t="s">
        <v>8654</v>
      </c>
      <c r="AE2866" s="130"/>
      <c r="AF2866" s="130"/>
      <c r="AG2866" s="130"/>
      <c r="AH2866" s="130"/>
      <c r="AI2866" s="131"/>
      <c r="AJ2866" s="132"/>
      <c r="AK2866" s="127"/>
      <c r="AL2866" s="128"/>
      <c r="AM2866" s="21"/>
      <c r="AN2866" s="133">
        <v>45987</v>
      </c>
      <c r="AO2866" s="134"/>
      <c r="AP2866" s="135">
        <v>994</v>
      </c>
      <c r="AQ2866" s="136"/>
      <c r="AR2866" s="118">
        <v>470000</v>
      </c>
      <c r="AS2866" s="119"/>
      <c r="AT2866" s="118">
        <f t="shared" ref="AT2866" si="1734">AR2866*0.1</f>
        <v>47000</v>
      </c>
      <c r="AU2866" s="119"/>
      <c r="AV2866" s="118">
        <v>9070</v>
      </c>
      <c r="AW2866" s="119"/>
      <c r="AX2866" s="118">
        <f t="shared" ref="AX2866" si="1735">SUM(AR2866:AW2866)</f>
        <v>526070</v>
      </c>
      <c r="AY2866" s="119"/>
      <c r="AZ2866" s="137">
        <v>45992</v>
      </c>
    </row>
    <row r="2867" spans="1:52" ht="17.100000000000001" customHeight="1" thickBot="1">
      <c r="A2867" s="110"/>
      <c r="B2867" s="27" t="s">
        <v>1543</v>
      </c>
      <c r="C2867" s="27">
        <v>55498</v>
      </c>
      <c r="D2867" s="14" t="s">
        <v>2601</v>
      </c>
      <c r="E2867" s="112"/>
      <c r="F2867" s="139" t="s">
        <v>9215</v>
      </c>
      <c r="G2867" s="140"/>
      <c r="H2867" s="141"/>
      <c r="I2867" s="26">
        <v>48447</v>
      </c>
      <c r="J2867" s="117"/>
      <c r="K2867" s="120"/>
      <c r="L2867" s="121"/>
      <c r="M2867" s="120"/>
      <c r="N2867" s="121"/>
      <c r="O2867" s="120"/>
      <c r="P2867" s="121"/>
      <c r="Q2867" s="120"/>
      <c r="R2867" s="121"/>
      <c r="S2867" s="120"/>
      <c r="T2867" s="121"/>
      <c r="U2867" s="120"/>
      <c r="V2867" s="123"/>
      <c r="W2867" s="125"/>
      <c r="X2867" s="142" t="s">
        <v>2918</v>
      </c>
      <c r="Y2867" s="143"/>
      <c r="Z2867" s="143"/>
      <c r="AA2867" s="143"/>
      <c r="AB2867" s="144"/>
      <c r="AC2867" s="16" t="s">
        <v>21</v>
      </c>
      <c r="AD2867" s="17" t="s">
        <v>9858</v>
      </c>
      <c r="AE2867" s="145" t="s">
        <v>9877</v>
      </c>
      <c r="AF2867" s="146"/>
      <c r="AG2867" s="146"/>
      <c r="AH2867" s="146"/>
      <c r="AI2867" s="147"/>
      <c r="AJ2867" s="148"/>
      <c r="AK2867" s="143"/>
      <c r="AL2867" s="144"/>
      <c r="AM2867" s="22"/>
      <c r="AN2867" s="149" t="s">
        <v>11801</v>
      </c>
      <c r="AO2867" s="144"/>
      <c r="AP2867" s="148">
        <v>2102</v>
      </c>
      <c r="AQ2867" s="144"/>
      <c r="AR2867" s="120"/>
      <c r="AS2867" s="121"/>
      <c r="AT2867" s="120"/>
      <c r="AU2867" s="121"/>
      <c r="AV2867" s="120"/>
      <c r="AW2867" s="121"/>
      <c r="AX2867" s="120"/>
      <c r="AY2867" s="121"/>
      <c r="AZ2867" s="138"/>
    </row>
    <row r="2868" spans="1:52" ht="17.100000000000001" customHeight="1" thickTop="1">
      <c r="A2868" s="109" t="s">
        <v>9293</v>
      </c>
      <c r="B2868" s="28">
        <v>45954</v>
      </c>
      <c r="C2868" s="25">
        <v>2107</v>
      </c>
      <c r="D2868" s="13" t="s">
        <v>2211</v>
      </c>
      <c r="E2868" s="111"/>
      <c r="F2868" s="113" t="s">
        <v>2598</v>
      </c>
      <c r="G2868" s="114"/>
      <c r="H2868" s="115"/>
      <c r="I2868" s="24"/>
      <c r="J2868" s="116">
        <v>4</v>
      </c>
      <c r="K2868" s="118">
        <v>1435000</v>
      </c>
      <c r="L2868" s="119"/>
      <c r="M2868" s="118">
        <f t="shared" ref="M2868" si="1736">K2868*0.1</f>
        <v>143500</v>
      </c>
      <c r="N2868" s="119"/>
      <c r="O2868" s="118">
        <v>0</v>
      </c>
      <c r="P2868" s="119"/>
      <c r="Q2868" s="118">
        <v>7150</v>
      </c>
      <c r="R2868" s="119"/>
      <c r="S2868" s="118">
        <v>16500</v>
      </c>
      <c r="T2868" s="119"/>
      <c r="U2868" s="118">
        <f t="shared" ref="U2868" si="1737">SUM(K2868:T2869)</f>
        <v>1602150</v>
      </c>
      <c r="V2868" s="122"/>
      <c r="W2868" s="124"/>
      <c r="X2868" s="126" t="s">
        <v>9739</v>
      </c>
      <c r="Y2868" s="127"/>
      <c r="Z2868" s="127"/>
      <c r="AA2868" s="127"/>
      <c r="AB2868" s="128"/>
      <c r="AC2868" s="15" t="s">
        <v>20</v>
      </c>
      <c r="AD2868" s="129"/>
      <c r="AE2868" s="130"/>
      <c r="AF2868" s="130"/>
      <c r="AG2868" s="130"/>
      <c r="AH2868" s="130"/>
      <c r="AI2868" s="131"/>
      <c r="AJ2868" s="132"/>
      <c r="AK2868" s="127"/>
      <c r="AL2868" s="128"/>
      <c r="AM2868" s="21"/>
      <c r="AN2868" s="133">
        <v>45969</v>
      </c>
      <c r="AO2868" s="134"/>
      <c r="AP2868" s="135">
        <v>1275</v>
      </c>
      <c r="AQ2868" s="136"/>
      <c r="AR2868" s="118">
        <v>1510000</v>
      </c>
      <c r="AS2868" s="119"/>
      <c r="AT2868" s="118">
        <f t="shared" ref="AT2868" si="1738">AR2868*0.1</f>
        <v>151000</v>
      </c>
      <c r="AU2868" s="119"/>
      <c r="AV2868" s="118">
        <v>7150</v>
      </c>
      <c r="AW2868" s="119"/>
      <c r="AX2868" s="118">
        <f t="shared" ref="AX2868" si="1739">SUM(AR2868:AW2868)</f>
        <v>1668150</v>
      </c>
      <c r="AY2868" s="119"/>
      <c r="AZ2868" s="137">
        <v>45972</v>
      </c>
    </row>
    <row r="2869" spans="1:52" ht="17.100000000000001" customHeight="1" thickBot="1">
      <c r="A2869" s="110"/>
      <c r="B2869" s="27" t="s">
        <v>1543</v>
      </c>
      <c r="C2869" s="27">
        <v>55541</v>
      </c>
      <c r="D2869" s="14" t="s">
        <v>2601</v>
      </c>
      <c r="E2869" s="112"/>
      <c r="F2869" s="139" t="s">
        <v>9216</v>
      </c>
      <c r="G2869" s="140"/>
      <c r="H2869" s="141"/>
      <c r="I2869" s="26">
        <v>7306</v>
      </c>
      <c r="J2869" s="117"/>
      <c r="K2869" s="120"/>
      <c r="L2869" s="121"/>
      <c r="M2869" s="120"/>
      <c r="N2869" s="121"/>
      <c r="O2869" s="120"/>
      <c r="P2869" s="121"/>
      <c r="Q2869" s="120"/>
      <c r="R2869" s="121"/>
      <c r="S2869" s="120"/>
      <c r="T2869" s="121"/>
      <c r="U2869" s="120"/>
      <c r="V2869" s="123"/>
      <c r="W2869" s="125"/>
      <c r="X2869" s="142" t="s">
        <v>1997</v>
      </c>
      <c r="Y2869" s="143"/>
      <c r="Z2869" s="143"/>
      <c r="AA2869" s="143"/>
      <c r="AB2869" s="144"/>
      <c r="AC2869" s="16" t="s">
        <v>21</v>
      </c>
      <c r="AD2869" s="17" t="s">
        <v>9662</v>
      </c>
      <c r="AE2869" s="145" t="s">
        <v>2385</v>
      </c>
      <c r="AF2869" s="146"/>
      <c r="AG2869" s="146"/>
      <c r="AH2869" s="146"/>
      <c r="AI2869" s="147"/>
      <c r="AJ2869" s="148"/>
      <c r="AK2869" s="143"/>
      <c r="AL2869" s="144"/>
      <c r="AM2869" s="22"/>
      <c r="AN2869" s="149" t="s">
        <v>2511</v>
      </c>
      <c r="AO2869" s="144"/>
      <c r="AP2869" s="148">
        <v>60257</v>
      </c>
      <c r="AQ2869" s="144"/>
      <c r="AR2869" s="120"/>
      <c r="AS2869" s="121"/>
      <c r="AT2869" s="120"/>
      <c r="AU2869" s="121"/>
      <c r="AV2869" s="120"/>
      <c r="AW2869" s="121"/>
      <c r="AX2869" s="120"/>
      <c r="AY2869" s="121"/>
      <c r="AZ2869" s="138"/>
    </row>
    <row r="2870" spans="1:52" ht="17.100000000000001" customHeight="1" thickTop="1">
      <c r="A2870" s="109" t="s">
        <v>9294</v>
      </c>
      <c r="B2870" s="28">
        <v>45954</v>
      </c>
      <c r="C2870" s="25">
        <v>2107</v>
      </c>
      <c r="D2870" s="13" t="s">
        <v>2301</v>
      </c>
      <c r="E2870" s="111"/>
      <c r="F2870" s="113" t="s">
        <v>9217</v>
      </c>
      <c r="G2870" s="114"/>
      <c r="H2870" s="115"/>
      <c r="I2870" s="24"/>
      <c r="J2870" s="116">
        <v>4.5</v>
      </c>
      <c r="K2870" s="118">
        <v>785000</v>
      </c>
      <c r="L2870" s="119"/>
      <c r="M2870" s="118">
        <f t="shared" ref="M2870" si="1740">K2870*0.1</f>
        <v>78500</v>
      </c>
      <c r="N2870" s="119"/>
      <c r="O2870" s="118">
        <v>0</v>
      </c>
      <c r="P2870" s="119"/>
      <c r="Q2870" s="118">
        <v>8230</v>
      </c>
      <c r="R2870" s="119"/>
      <c r="S2870" s="118">
        <v>16500</v>
      </c>
      <c r="T2870" s="119"/>
      <c r="U2870" s="118">
        <f t="shared" ref="U2870" si="1741">SUM(K2870:T2871)</f>
        <v>888230</v>
      </c>
      <c r="V2870" s="122"/>
      <c r="W2870" s="124"/>
      <c r="X2870" s="126" t="s">
        <v>9728</v>
      </c>
      <c r="Y2870" s="127"/>
      <c r="Z2870" s="127"/>
      <c r="AA2870" s="127"/>
      <c r="AB2870" s="128"/>
      <c r="AC2870" s="15" t="s">
        <v>20</v>
      </c>
      <c r="AD2870" s="129"/>
      <c r="AE2870" s="130"/>
      <c r="AF2870" s="130"/>
      <c r="AG2870" s="130"/>
      <c r="AH2870" s="130"/>
      <c r="AI2870" s="131"/>
      <c r="AJ2870" s="132"/>
      <c r="AK2870" s="127"/>
      <c r="AL2870" s="128"/>
      <c r="AM2870" s="21"/>
      <c r="AN2870" s="133">
        <v>45976</v>
      </c>
      <c r="AO2870" s="134"/>
      <c r="AP2870" s="135">
        <v>1276</v>
      </c>
      <c r="AQ2870" s="136"/>
      <c r="AR2870" s="118">
        <v>975000</v>
      </c>
      <c r="AS2870" s="119"/>
      <c r="AT2870" s="118">
        <f t="shared" ref="AT2870" si="1742">AR2870*0.1</f>
        <v>97500</v>
      </c>
      <c r="AU2870" s="119"/>
      <c r="AV2870" s="118">
        <v>8230</v>
      </c>
      <c r="AW2870" s="119"/>
      <c r="AX2870" s="118">
        <f t="shared" ref="AX2870" si="1743">SUM(AR2870:AW2870)</f>
        <v>1080730</v>
      </c>
      <c r="AY2870" s="119"/>
      <c r="AZ2870" s="137">
        <v>45979</v>
      </c>
    </row>
    <row r="2871" spans="1:52" ht="17.100000000000001" customHeight="1" thickBot="1">
      <c r="A2871" s="110"/>
      <c r="B2871" s="27" t="s">
        <v>1543</v>
      </c>
      <c r="C2871" s="27">
        <v>55580</v>
      </c>
      <c r="D2871" s="14" t="s">
        <v>275</v>
      </c>
      <c r="E2871" s="112"/>
      <c r="F2871" s="139" t="s">
        <v>9218</v>
      </c>
      <c r="G2871" s="140"/>
      <c r="H2871" s="141"/>
      <c r="I2871" s="26">
        <v>48813</v>
      </c>
      <c r="J2871" s="117"/>
      <c r="K2871" s="120"/>
      <c r="L2871" s="121"/>
      <c r="M2871" s="120"/>
      <c r="N2871" s="121"/>
      <c r="O2871" s="120"/>
      <c r="P2871" s="121"/>
      <c r="Q2871" s="120"/>
      <c r="R2871" s="121"/>
      <c r="S2871" s="120"/>
      <c r="T2871" s="121"/>
      <c r="U2871" s="120"/>
      <c r="V2871" s="123"/>
      <c r="W2871" s="125"/>
      <c r="X2871" s="142" t="s">
        <v>9723</v>
      </c>
      <c r="Y2871" s="143"/>
      <c r="Z2871" s="143"/>
      <c r="AA2871" s="143"/>
      <c r="AB2871" s="144"/>
      <c r="AC2871" s="16" t="s">
        <v>21</v>
      </c>
      <c r="AD2871" s="17" t="s">
        <v>9662</v>
      </c>
      <c r="AE2871" s="145" t="s">
        <v>9729</v>
      </c>
      <c r="AF2871" s="146"/>
      <c r="AG2871" s="146"/>
      <c r="AH2871" s="146"/>
      <c r="AI2871" s="147"/>
      <c r="AJ2871" s="148"/>
      <c r="AK2871" s="143"/>
      <c r="AL2871" s="144"/>
      <c r="AM2871" s="22"/>
      <c r="AN2871" s="149" t="s">
        <v>10999</v>
      </c>
      <c r="AO2871" s="144"/>
      <c r="AP2871" s="148">
        <v>60224</v>
      </c>
      <c r="AQ2871" s="144"/>
      <c r="AR2871" s="120"/>
      <c r="AS2871" s="121"/>
      <c r="AT2871" s="120"/>
      <c r="AU2871" s="121"/>
      <c r="AV2871" s="120"/>
      <c r="AW2871" s="121"/>
      <c r="AX2871" s="120"/>
      <c r="AY2871" s="121"/>
      <c r="AZ2871" s="138"/>
    </row>
    <row r="2872" spans="1:52" ht="17.100000000000001" customHeight="1" thickTop="1">
      <c r="A2872" s="109" t="s">
        <v>9295</v>
      </c>
      <c r="B2872" s="28">
        <v>45954</v>
      </c>
      <c r="C2872" s="25">
        <v>2107</v>
      </c>
      <c r="D2872" s="13" t="s">
        <v>2442</v>
      </c>
      <c r="E2872" s="111"/>
      <c r="F2872" s="113" t="s">
        <v>4502</v>
      </c>
      <c r="G2872" s="114"/>
      <c r="H2872" s="115"/>
      <c r="I2872" s="24"/>
      <c r="J2872" s="116">
        <v>4</v>
      </c>
      <c r="K2872" s="118">
        <v>1490000</v>
      </c>
      <c r="L2872" s="119"/>
      <c r="M2872" s="118">
        <f t="shared" ref="M2872" si="1744">K2872*0.1</f>
        <v>149000</v>
      </c>
      <c r="N2872" s="119"/>
      <c r="O2872" s="118">
        <v>0</v>
      </c>
      <c r="P2872" s="119"/>
      <c r="Q2872" s="118">
        <v>19040</v>
      </c>
      <c r="R2872" s="119"/>
      <c r="S2872" s="118">
        <v>16500</v>
      </c>
      <c r="T2872" s="119"/>
      <c r="U2872" s="118">
        <f t="shared" ref="U2872" si="1745">SUM(K2872:T2873)</f>
        <v>1674540</v>
      </c>
      <c r="V2872" s="122"/>
      <c r="W2872" s="124"/>
      <c r="X2872" s="126" t="s">
        <v>9903</v>
      </c>
      <c r="Y2872" s="127"/>
      <c r="Z2872" s="127"/>
      <c r="AA2872" s="127"/>
      <c r="AB2872" s="128"/>
      <c r="AC2872" s="15" t="s">
        <v>20</v>
      </c>
      <c r="AD2872" s="129" t="s">
        <v>1670</v>
      </c>
      <c r="AE2872" s="130"/>
      <c r="AF2872" s="130"/>
      <c r="AG2872" s="130"/>
      <c r="AH2872" s="130"/>
      <c r="AI2872" s="131"/>
      <c r="AJ2872" s="132"/>
      <c r="AK2872" s="127"/>
      <c r="AL2872" s="128"/>
      <c r="AM2872" s="21"/>
      <c r="AN2872" s="133">
        <v>45997</v>
      </c>
      <c r="AO2872" s="134"/>
      <c r="AP2872" s="135">
        <v>1279</v>
      </c>
      <c r="AQ2872" s="136"/>
      <c r="AR2872" s="118">
        <v>1710000</v>
      </c>
      <c r="AS2872" s="119"/>
      <c r="AT2872" s="118">
        <f t="shared" ref="AT2872" si="1746">AR2872*0.1</f>
        <v>171000</v>
      </c>
      <c r="AU2872" s="119"/>
      <c r="AV2872" s="118">
        <v>19040</v>
      </c>
      <c r="AW2872" s="119"/>
      <c r="AX2872" s="118">
        <f t="shared" ref="AX2872" si="1747">SUM(AR2872:AW2872)</f>
        <v>1900040</v>
      </c>
      <c r="AY2872" s="119"/>
      <c r="AZ2872" s="137">
        <v>46000</v>
      </c>
    </row>
    <row r="2873" spans="1:52" ht="17.100000000000001" customHeight="1" thickBot="1">
      <c r="A2873" s="110"/>
      <c r="B2873" s="27" t="s">
        <v>1543</v>
      </c>
      <c r="C2873" s="27">
        <v>58861</v>
      </c>
      <c r="D2873" s="14" t="s">
        <v>133</v>
      </c>
      <c r="E2873" s="112"/>
      <c r="F2873" s="139" t="s">
        <v>9261</v>
      </c>
      <c r="G2873" s="140"/>
      <c r="H2873" s="141"/>
      <c r="I2873" s="26">
        <v>67608</v>
      </c>
      <c r="J2873" s="117"/>
      <c r="K2873" s="120"/>
      <c r="L2873" s="121"/>
      <c r="M2873" s="120"/>
      <c r="N2873" s="121"/>
      <c r="O2873" s="120"/>
      <c r="P2873" s="121"/>
      <c r="Q2873" s="120"/>
      <c r="R2873" s="121"/>
      <c r="S2873" s="120"/>
      <c r="T2873" s="121"/>
      <c r="U2873" s="120"/>
      <c r="V2873" s="123"/>
      <c r="W2873" s="125"/>
      <c r="X2873" s="142" t="s">
        <v>1997</v>
      </c>
      <c r="Y2873" s="143"/>
      <c r="Z2873" s="143"/>
      <c r="AA2873" s="143"/>
      <c r="AB2873" s="144"/>
      <c r="AC2873" s="16" t="s">
        <v>21</v>
      </c>
      <c r="AD2873" s="17" t="s">
        <v>9858</v>
      </c>
      <c r="AE2873" s="145" t="s">
        <v>1945</v>
      </c>
      <c r="AF2873" s="146"/>
      <c r="AG2873" s="146"/>
      <c r="AH2873" s="146"/>
      <c r="AI2873" s="147"/>
      <c r="AJ2873" s="148"/>
      <c r="AK2873" s="143"/>
      <c r="AL2873" s="144"/>
      <c r="AM2873" s="22"/>
      <c r="AN2873" s="149" t="s">
        <v>2511</v>
      </c>
      <c r="AO2873" s="144"/>
      <c r="AP2873" s="148">
        <v>80071</v>
      </c>
      <c r="AQ2873" s="144"/>
      <c r="AR2873" s="120"/>
      <c r="AS2873" s="121"/>
      <c r="AT2873" s="120"/>
      <c r="AU2873" s="121"/>
      <c r="AV2873" s="120"/>
      <c r="AW2873" s="121"/>
      <c r="AX2873" s="120"/>
      <c r="AY2873" s="121"/>
      <c r="AZ2873" s="138"/>
    </row>
    <row r="2874" spans="1:52" ht="17.100000000000001" customHeight="1" thickTop="1">
      <c r="A2874" s="109" t="s">
        <v>9296</v>
      </c>
      <c r="B2874" s="28">
        <v>45954</v>
      </c>
      <c r="C2874" s="25">
        <v>2107</v>
      </c>
      <c r="D2874" s="13" t="s">
        <v>4840</v>
      </c>
      <c r="E2874" s="111"/>
      <c r="F2874" s="113" t="s">
        <v>9219</v>
      </c>
      <c r="G2874" s="114"/>
      <c r="H2874" s="115"/>
      <c r="I2874" s="24"/>
      <c r="J2874" s="116">
        <v>4</v>
      </c>
      <c r="K2874" s="118">
        <v>165000</v>
      </c>
      <c r="L2874" s="119"/>
      <c r="M2874" s="118">
        <f t="shared" ref="M2874" si="1748">K2874*0.1</f>
        <v>16500</v>
      </c>
      <c r="N2874" s="119"/>
      <c r="O2874" s="118">
        <v>0</v>
      </c>
      <c r="P2874" s="119"/>
      <c r="Q2874" s="118">
        <v>10170</v>
      </c>
      <c r="R2874" s="119"/>
      <c r="S2874" s="118">
        <v>16500</v>
      </c>
      <c r="T2874" s="119"/>
      <c r="U2874" s="118">
        <f t="shared" ref="U2874" si="1749">SUM(K2874:T2875)</f>
        <v>208170</v>
      </c>
      <c r="V2874" s="122"/>
      <c r="W2874" s="124"/>
      <c r="X2874" s="126" t="s">
        <v>9736</v>
      </c>
      <c r="Y2874" s="127"/>
      <c r="Z2874" s="127"/>
      <c r="AA2874" s="127"/>
      <c r="AB2874" s="128"/>
      <c r="AC2874" s="15" t="s">
        <v>20</v>
      </c>
      <c r="AD2874" s="129" t="s">
        <v>171</v>
      </c>
      <c r="AE2874" s="130"/>
      <c r="AF2874" s="130"/>
      <c r="AG2874" s="130"/>
      <c r="AH2874" s="130"/>
      <c r="AI2874" s="131"/>
      <c r="AJ2874" s="132"/>
      <c r="AK2874" s="127"/>
      <c r="AL2874" s="128"/>
      <c r="AM2874" s="21"/>
      <c r="AN2874" s="133">
        <v>45990</v>
      </c>
      <c r="AO2874" s="134"/>
      <c r="AP2874" s="135">
        <v>1278</v>
      </c>
      <c r="AQ2874" s="136"/>
      <c r="AR2874" s="118">
        <v>250000</v>
      </c>
      <c r="AS2874" s="119"/>
      <c r="AT2874" s="118">
        <f t="shared" ref="AT2874" si="1750">AR2874*0.1</f>
        <v>25000</v>
      </c>
      <c r="AU2874" s="119"/>
      <c r="AV2874" s="118">
        <v>10170</v>
      </c>
      <c r="AW2874" s="119"/>
      <c r="AX2874" s="118">
        <f t="shared" ref="AX2874" si="1751">SUM(AR2874:AW2874)</f>
        <v>285170</v>
      </c>
      <c r="AY2874" s="119"/>
      <c r="AZ2874" s="137">
        <v>45995</v>
      </c>
    </row>
    <row r="2875" spans="1:52" ht="17.100000000000001" customHeight="1" thickBot="1">
      <c r="A2875" s="110"/>
      <c r="B2875" s="27" t="s">
        <v>1543</v>
      </c>
      <c r="C2875" s="27">
        <v>85111</v>
      </c>
      <c r="D2875" s="14" t="s">
        <v>275</v>
      </c>
      <c r="E2875" s="112"/>
      <c r="F2875" s="139" t="s">
        <v>9220</v>
      </c>
      <c r="G2875" s="140"/>
      <c r="H2875" s="141"/>
      <c r="I2875" s="26">
        <v>59186</v>
      </c>
      <c r="J2875" s="117"/>
      <c r="K2875" s="120"/>
      <c r="L2875" s="121"/>
      <c r="M2875" s="120"/>
      <c r="N2875" s="121"/>
      <c r="O2875" s="120"/>
      <c r="P2875" s="121"/>
      <c r="Q2875" s="120"/>
      <c r="R2875" s="121"/>
      <c r="S2875" s="120"/>
      <c r="T2875" s="121"/>
      <c r="U2875" s="120"/>
      <c r="V2875" s="123"/>
      <c r="W2875" s="125"/>
      <c r="X2875" s="142" t="s">
        <v>9737</v>
      </c>
      <c r="Y2875" s="143"/>
      <c r="Z2875" s="143"/>
      <c r="AA2875" s="143"/>
      <c r="AB2875" s="144"/>
      <c r="AC2875" s="16" t="s">
        <v>21</v>
      </c>
      <c r="AD2875" s="17" t="s">
        <v>9662</v>
      </c>
      <c r="AE2875" s="145" t="s">
        <v>9738</v>
      </c>
      <c r="AF2875" s="146"/>
      <c r="AG2875" s="146"/>
      <c r="AH2875" s="146"/>
      <c r="AI2875" s="147"/>
      <c r="AJ2875" s="148"/>
      <c r="AK2875" s="143"/>
      <c r="AL2875" s="144"/>
      <c r="AM2875" s="22"/>
      <c r="AN2875" s="149" t="s">
        <v>6749</v>
      </c>
      <c r="AO2875" s="144"/>
      <c r="AP2875" s="148">
        <v>63051</v>
      </c>
      <c r="AQ2875" s="144"/>
      <c r="AR2875" s="120"/>
      <c r="AS2875" s="121"/>
      <c r="AT2875" s="120"/>
      <c r="AU2875" s="121"/>
      <c r="AV2875" s="120"/>
      <c r="AW2875" s="121"/>
      <c r="AX2875" s="120"/>
      <c r="AY2875" s="121"/>
      <c r="AZ2875" s="138"/>
    </row>
    <row r="2876" spans="1:52" ht="17.100000000000001" customHeight="1" thickTop="1">
      <c r="A2876" s="109" t="s">
        <v>9297</v>
      </c>
      <c r="B2876" s="28">
        <v>45954</v>
      </c>
      <c r="C2876" s="25">
        <v>2107</v>
      </c>
      <c r="D2876" s="13" t="s">
        <v>2458</v>
      </c>
      <c r="E2876" s="111"/>
      <c r="F2876" s="113" t="s">
        <v>9221</v>
      </c>
      <c r="G2876" s="114"/>
      <c r="H2876" s="115"/>
      <c r="I2876" s="24" t="s">
        <v>4096</v>
      </c>
      <c r="J2876" s="150" t="s">
        <v>1715</v>
      </c>
      <c r="K2876" s="118">
        <v>305000</v>
      </c>
      <c r="L2876" s="119"/>
      <c r="M2876" s="118">
        <f t="shared" ref="M2876" si="1752">K2876*0.1</f>
        <v>30500</v>
      </c>
      <c r="N2876" s="119"/>
      <c r="O2876" s="118">
        <v>0</v>
      </c>
      <c r="P2876" s="119"/>
      <c r="Q2876" s="118">
        <v>7950</v>
      </c>
      <c r="R2876" s="119"/>
      <c r="S2876" s="118">
        <v>16500</v>
      </c>
      <c r="T2876" s="119"/>
      <c r="U2876" s="118">
        <f t="shared" ref="U2876" si="1753">SUM(K2876:T2877)</f>
        <v>359950</v>
      </c>
      <c r="V2876" s="122"/>
      <c r="W2876" s="124"/>
      <c r="X2876" s="126" t="s">
        <v>9724</v>
      </c>
      <c r="Y2876" s="127"/>
      <c r="Z2876" s="127"/>
      <c r="AA2876" s="127"/>
      <c r="AB2876" s="128"/>
      <c r="AC2876" s="15" t="s">
        <v>20</v>
      </c>
      <c r="AD2876" s="129" t="s">
        <v>3896</v>
      </c>
      <c r="AE2876" s="130"/>
      <c r="AF2876" s="130"/>
      <c r="AG2876" s="130"/>
      <c r="AH2876" s="130"/>
      <c r="AI2876" s="131"/>
      <c r="AJ2876" s="132"/>
      <c r="AK2876" s="127"/>
      <c r="AL2876" s="128"/>
      <c r="AM2876" s="21" t="s">
        <v>10043</v>
      </c>
      <c r="AN2876" s="133">
        <v>45962</v>
      </c>
      <c r="AO2876" s="134"/>
      <c r="AP2876" s="135">
        <v>1274</v>
      </c>
      <c r="AQ2876" s="136"/>
      <c r="AR2876" s="118">
        <v>305000</v>
      </c>
      <c r="AS2876" s="119"/>
      <c r="AT2876" s="118">
        <f t="shared" ref="AT2876" si="1754">AR2876*0.1</f>
        <v>30500</v>
      </c>
      <c r="AU2876" s="119"/>
      <c r="AV2876" s="118">
        <v>7950</v>
      </c>
      <c r="AW2876" s="119"/>
      <c r="AX2876" s="118">
        <f t="shared" ref="AX2876" si="1755">SUM(AR2876:AW2876)</f>
        <v>343450</v>
      </c>
      <c r="AY2876" s="119"/>
      <c r="AZ2876" s="137">
        <v>45967</v>
      </c>
    </row>
    <row r="2877" spans="1:52" ht="17.100000000000001" customHeight="1" thickBot="1">
      <c r="A2877" s="110"/>
      <c r="B2877" s="27" t="s">
        <v>1543</v>
      </c>
      <c r="C2877" s="27">
        <v>85202</v>
      </c>
      <c r="D2877" s="14" t="s">
        <v>3809</v>
      </c>
      <c r="E2877" s="112"/>
      <c r="F2877" s="139" t="s">
        <v>9222</v>
      </c>
      <c r="G2877" s="140"/>
      <c r="H2877" s="141"/>
      <c r="I2877" s="26">
        <v>32300</v>
      </c>
      <c r="J2877" s="117"/>
      <c r="K2877" s="120"/>
      <c r="L2877" s="121"/>
      <c r="M2877" s="120"/>
      <c r="N2877" s="121"/>
      <c r="O2877" s="120"/>
      <c r="P2877" s="121"/>
      <c r="Q2877" s="120"/>
      <c r="R2877" s="121"/>
      <c r="S2877" s="120"/>
      <c r="T2877" s="121"/>
      <c r="U2877" s="120"/>
      <c r="V2877" s="123"/>
      <c r="W2877" s="125"/>
      <c r="X2877" s="142" t="s">
        <v>9725</v>
      </c>
      <c r="Y2877" s="143"/>
      <c r="Z2877" s="143"/>
      <c r="AA2877" s="143"/>
      <c r="AB2877" s="144"/>
      <c r="AC2877" s="16" t="s">
        <v>21</v>
      </c>
      <c r="AD2877" s="17" t="s">
        <v>9662</v>
      </c>
      <c r="AE2877" s="145" t="s">
        <v>3896</v>
      </c>
      <c r="AF2877" s="146"/>
      <c r="AG2877" s="146"/>
      <c r="AH2877" s="146"/>
      <c r="AI2877" s="147"/>
      <c r="AJ2877" s="148"/>
      <c r="AK2877" s="143"/>
      <c r="AL2877" s="144"/>
      <c r="AM2877" s="22"/>
      <c r="AN2877" s="149" t="s">
        <v>2511</v>
      </c>
      <c r="AO2877" s="144"/>
      <c r="AP2877" s="148">
        <v>60023</v>
      </c>
      <c r="AQ2877" s="144"/>
      <c r="AR2877" s="120"/>
      <c r="AS2877" s="121"/>
      <c r="AT2877" s="120"/>
      <c r="AU2877" s="121"/>
      <c r="AV2877" s="120"/>
      <c r="AW2877" s="121"/>
      <c r="AX2877" s="120"/>
      <c r="AY2877" s="121"/>
      <c r="AZ2877" s="138"/>
    </row>
    <row r="2878" spans="1:52" ht="17.100000000000001" customHeight="1" thickTop="1">
      <c r="A2878" s="109" t="s">
        <v>9298</v>
      </c>
      <c r="B2878" s="28">
        <v>45954</v>
      </c>
      <c r="C2878" s="25"/>
      <c r="D2878" s="13" t="s">
        <v>1786</v>
      </c>
      <c r="E2878" s="111"/>
      <c r="F2878" s="113" t="s">
        <v>9263</v>
      </c>
      <c r="G2878" s="114"/>
      <c r="H2878" s="115"/>
      <c r="I2878" s="24" t="s">
        <v>3490</v>
      </c>
      <c r="J2878" s="116">
        <v>4.5</v>
      </c>
      <c r="K2878" s="118">
        <f>3641000/1.1</f>
        <v>3309999.9999999995</v>
      </c>
      <c r="L2878" s="119"/>
      <c r="M2878" s="118">
        <f t="shared" ref="M2878" si="1756">K2878*0.1</f>
        <v>331000</v>
      </c>
      <c r="N2878" s="119"/>
      <c r="O2878" s="118">
        <v>5300</v>
      </c>
      <c r="P2878" s="119"/>
      <c r="Q2878" s="118">
        <v>11570</v>
      </c>
      <c r="R2878" s="119"/>
      <c r="S2878" s="118">
        <v>0</v>
      </c>
      <c r="T2878" s="119"/>
      <c r="U2878" s="118">
        <f t="shared" ref="U2878" si="1757">SUM(K2878:T2879)</f>
        <v>3657869.9999999995</v>
      </c>
      <c r="V2878" s="122"/>
      <c r="W2878" s="124"/>
      <c r="X2878" s="126" t="s">
        <v>11301</v>
      </c>
      <c r="Y2878" s="127"/>
      <c r="Z2878" s="127"/>
      <c r="AA2878" s="127"/>
      <c r="AB2878" s="128"/>
      <c r="AC2878" s="15" t="s">
        <v>20</v>
      </c>
      <c r="AD2878" s="129" t="s">
        <v>1945</v>
      </c>
      <c r="AE2878" s="130"/>
      <c r="AF2878" s="130"/>
      <c r="AG2878" s="130"/>
      <c r="AH2878" s="130"/>
      <c r="AI2878" s="131"/>
      <c r="AJ2878" s="132"/>
      <c r="AK2878" s="127"/>
      <c r="AL2878" s="128"/>
      <c r="AM2878" s="21"/>
      <c r="AN2878" s="133">
        <v>45976</v>
      </c>
      <c r="AO2878" s="134"/>
      <c r="AP2878" s="135">
        <v>1276</v>
      </c>
      <c r="AQ2878" s="136"/>
      <c r="AR2878" s="118">
        <v>3445000</v>
      </c>
      <c r="AS2878" s="119"/>
      <c r="AT2878" s="118">
        <f t="shared" ref="AT2878" si="1758">AR2878*0.1</f>
        <v>344500</v>
      </c>
      <c r="AU2878" s="119"/>
      <c r="AV2878" s="118">
        <v>11570</v>
      </c>
      <c r="AW2878" s="119"/>
      <c r="AX2878" s="118">
        <f t="shared" ref="AX2878" si="1759">SUM(AR2878:AW2878)</f>
        <v>3801070</v>
      </c>
      <c r="AY2878" s="119"/>
      <c r="AZ2878" s="137">
        <v>45986</v>
      </c>
    </row>
    <row r="2879" spans="1:52" ht="17.100000000000001" customHeight="1" thickBot="1">
      <c r="A2879" s="110"/>
      <c r="B2879" s="27" t="s">
        <v>1718</v>
      </c>
      <c r="C2879" s="27" t="s">
        <v>9262</v>
      </c>
      <c r="D2879" s="14" t="s">
        <v>1592</v>
      </c>
      <c r="E2879" s="112"/>
      <c r="F2879" s="139" t="s">
        <v>9264</v>
      </c>
      <c r="G2879" s="140"/>
      <c r="H2879" s="141"/>
      <c r="I2879" s="26">
        <v>14791</v>
      </c>
      <c r="J2879" s="117"/>
      <c r="K2879" s="120"/>
      <c r="L2879" s="121"/>
      <c r="M2879" s="120"/>
      <c r="N2879" s="121"/>
      <c r="O2879" s="120"/>
      <c r="P2879" s="121"/>
      <c r="Q2879" s="120"/>
      <c r="R2879" s="121"/>
      <c r="S2879" s="120"/>
      <c r="T2879" s="121"/>
      <c r="U2879" s="120"/>
      <c r="V2879" s="123"/>
      <c r="W2879" s="125"/>
      <c r="X2879" s="142" t="s">
        <v>11302</v>
      </c>
      <c r="Y2879" s="143"/>
      <c r="Z2879" s="143"/>
      <c r="AA2879" s="143"/>
      <c r="AB2879" s="144"/>
      <c r="AC2879" s="16" t="s">
        <v>21</v>
      </c>
      <c r="AD2879" s="17" t="s">
        <v>3980</v>
      </c>
      <c r="AE2879" s="145" t="s">
        <v>2198</v>
      </c>
      <c r="AF2879" s="146"/>
      <c r="AG2879" s="146"/>
      <c r="AH2879" s="146"/>
      <c r="AI2879" s="147"/>
      <c r="AJ2879" s="148"/>
      <c r="AK2879" s="143"/>
      <c r="AL2879" s="144"/>
      <c r="AM2879" s="22"/>
      <c r="AN2879" s="149" t="s">
        <v>10999</v>
      </c>
      <c r="AO2879" s="144"/>
      <c r="AP2879" s="148">
        <v>40110</v>
      </c>
      <c r="AQ2879" s="144"/>
      <c r="AR2879" s="120"/>
      <c r="AS2879" s="121"/>
      <c r="AT2879" s="120"/>
      <c r="AU2879" s="121"/>
      <c r="AV2879" s="120"/>
      <c r="AW2879" s="121"/>
      <c r="AX2879" s="120"/>
      <c r="AY2879" s="121"/>
      <c r="AZ2879" s="138"/>
    </row>
    <row r="2880" spans="1:52" ht="17.100000000000001" customHeight="1" thickTop="1">
      <c r="A2880" s="109" t="s">
        <v>9299</v>
      </c>
      <c r="B2880" s="28">
        <v>45954</v>
      </c>
      <c r="C2880" s="25"/>
      <c r="D2880" s="13" t="s">
        <v>9266</v>
      </c>
      <c r="E2880" s="111"/>
      <c r="F2880" s="113" t="s">
        <v>4894</v>
      </c>
      <c r="G2880" s="114"/>
      <c r="H2880" s="115"/>
      <c r="I2880" s="24" t="s">
        <v>3819</v>
      </c>
      <c r="J2880" s="116">
        <v>4</v>
      </c>
      <c r="K2880" s="118">
        <f>946000/1.1</f>
        <v>859999.99999999988</v>
      </c>
      <c r="L2880" s="119"/>
      <c r="M2880" s="118">
        <f t="shared" ref="M2880" si="1760">K2880*0.1</f>
        <v>86000</v>
      </c>
      <c r="N2880" s="119"/>
      <c r="O2880" s="118">
        <v>0</v>
      </c>
      <c r="P2880" s="119"/>
      <c r="Q2880" s="118">
        <v>9200</v>
      </c>
      <c r="R2880" s="119"/>
      <c r="S2880" s="118">
        <v>0</v>
      </c>
      <c r="T2880" s="119"/>
      <c r="U2880" s="118">
        <f t="shared" ref="U2880" si="1761">SUM(K2880:T2881)</f>
        <v>955199.99999999988</v>
      </c>
      <c r="V2880" s="122"/>
      <c r="W2880" s="124"/>
      <c r="X2880" s="126" t="s">
        <v>12386</v>
      </c>
      <c r="Y2880" s="127"/>
      <c r="Z2880" s="127"/>
      <c r="AA2880" s="127"/>
      <c r="AB2880" s="128"/>
      <c r="AC2880" s="15" t="s">
        <v>20</v>
      </c>
      <c r="AD2880" s="129" t="s">
        <v>1945</v>
      </c>
      <c r="AE2880" s="130"/>
      <c r="AF2880" s="130"/>
      <c r="AG2880" s="130"/>
      <c r="AH2880" s="130"/>
      <c r="AI2880" s="131"/>
      <c r="AJ2880" s="132" t="s">
        <v>13185</v>
      </c>
      <c r="AK2880" s="127"/>
      <c r="AL2880" s="128"/>
      <c r="AM2880" s="21"/>
      <c r="AN2880" s="133">
        <v>46000</v>
      </c>
      <c r="AO2880" s="134"/>
      <c r="AP2880" s="135">
        <v>1921</v>
      </c>
      <c r="AQ2880" s="136"/>
      <c r="AR2880" s="118">
        <v>902000</v>
      </c>
      <c r="AS2880" s="119"/>
      <c r="AT2880" s="118">
        <f t="shared" ref="AT2880" si="1762">AR2880*0.1</f>
        <v>90200</v>
      </c>
      <c r="AU2880" s="119"/>
      <c r="AV2880" s="118">
        <v>9200</v>
      </c>
      <c r="AW2880" s="119"/>
      <c r="AX2880" s="118">
        <f t="shared" ref="AX2880" si="1763">SUM(AR2880:AW2880)</f>
        <v>1001400</v>
      </c>
      <c r="AY2880" s="119"/>
      <c r="AZ2880" s="137"/>
    </row>
    <row r="2881" spans="1:52" ht="17.100000000000001" customHeight="1" thickBot="1">
      <c r="A2881" s="110"/>
      <c r="B2881" s="27" t="s">
        <v>1718</v>
      </c>
      <c r="C2881" s="27" t="s">
        <v>9265</v>
      </c>
      <c r="D2881" s="14" t="s">
        <v>1576</v>
      </c>
      <c r="E2881" s="112"/>
      <c r="F2881" s="139" t="s">
        <v>9267</v>
      </c>
      <c r="G2881" s="140"/>
      <c r="H2881" s="141"/>
      <c r="I2881" s="26">
        <v>53551</v>
      </c>
      <c r="J2881" s="117"/>
      <c r="K2881" s="120"/>
      <c r="L2881" s="121"/>
      <c r="M2881" s="120"/>
      <c r="N2881" s="121"/>
      <c r="O2881" s="120"/>
      <c r="P2881" s="121"/>
      <c r="Q2881" s="120"/>
      <c r="R2881" s="121"/>
      <c r="S2881" s="120"/>
      <c r="T2881" s="121"/>
      <c r="U2881" s="120"/>
      <c r="V2881" s="123"/>
      <c r="W2881" s="125"/>
      <c r="X2881" s="142" t="s">
        <v>12387</v>
      </c>
      <c r="Y2881" s="143"/>
      <c r="Z2881" s="143"/>
      <c r="AA2881" s="143"/>
      <c r="AB2881" s="144"/>
      <c r="AC2881" s="16" t="s">
        <v>21</v>
      </c>
      <c r="AD2881" s="17" t="s">
        <v>2248</v>
      </c>
      <c r="AE2881" s="145" t="s">
        <v>12754</v>
      </c>
      <c r="AF2881" s="146"/>
      <c r="AG2881" s="146"/>
      <c r="AH2881" s="146"/>
      <c r="AI2881" s="147"/>
      <c r="AJ2881" s="148"/>
      <c r="AK2881" s="143"/>
      <c r="AL2881" s="144"/>
      <c r="AM2881" s="22"/>
      <c r="AN2881" s="149" t="s">
        <v>2131</v>
      </c>
      <c r="AO2881" s="144"/>
      <c r="AP2881" s="148">
        <v>3447</v>
      </c>
      <c r="AQ2881" s="144"/>
      <c r="AR2881" s="120"/>
      <c r="AS2881" s="121"/>
      <c r="AT2881" s="120"/>
      <c r="AU2881" s="121"/>
      <c r="AV2881" s="120"/>
      <c r="AW2881" s="121"/>
      <c r="AX2881" s="120"/>
      <c r="AY2881" s="121"/>
      <c r="AZ2881" s="138"/>
    </row>
    <row r="2882" spans="1:52" ht="17.100000000000001" customHeight="1" thickTop="1">
      <c r="A2882" s="109" t="s">
        <v>9300</v>
      </c>
      <c r="B2882" s="28">
        <v>45954</v>
      </c>
      <c r="C2882" s="25"/>
      <c r="D2882" s="13" t="s">
        <v>2616</v>
      </c>
      <c r="E2882" s="111"/>
      <c r="F2882" s="113" t="s">
        <v>9269</v>
      </c>
      <c r="G2882" s="114"/>
      <c r="H2882" s="115"/>
      <c r="I2882" s="24" t="s">
        <v>9271</v>
      </c>
      <c r="J2882" s="116">
        <v>4</v>
      </c>
      <c r="K2882" s="118">
        <f>1903000/1.1</f>
        <v>1729999.9999999998</v>
      </c>
      <c r="L2882" s="119"/>
      <c r="M2882" s="118">
        <f t="shared" ref="M2882" si="1764">K2882*0.1</f>
        <v>173000</v>
      </c>
      <c r="N2882" s="119"/>
      <c r="O2882" s="118">
        <v>0</v>
      </c>
      <c r="P2882" s="119"/>
      <c r="Q2882" s="118">
        <v>9620</v>
      </c>
      <c r="R2882" s="119"/>
      <c r="S2882" s="118">
        <v>0</v>
      </c>
      <c r="T2882" s="119"/>
      <c r="U2882" s="118">
        <f t="shared" ref="U2882" si="1765">SUM(K2882:T2883)</f>
        <v>1912619.9999999998</v>
      </c>
      <c r="V2882" s="122"/>
      <c r="W2882" s="124"/>
      <c r="X2882" s="126" t="s">
        <v>10909</v>
      </c>
      <c r="Y2882" s="127"/>
      <c r="Z2882" s="127"/>
      <c r="AA2882" s="127"/>
      <c r="AB2882" s="128"/>
      <c r="AC2882" s="15" t="s">
        <v>20</v>
      </c>
      <c r="AD2882" s="129" t="s">
        <v>1945</v>
      </c>
      <c r="AE2882" s="130"/>
      <c r="AF2882" s="130"/>
      <c r="AG2882" s="130"/>
      <c r="AH2882" s="130"/>
      <c r="AI2882" s="131"/>
      <c r="AJ2882" s="132"/>
      <c r="AK2882" s="127"/>
      <c r="AL2882" s="128"/>
      <c r="AM2882" s="21"/>
      <c r="AN2882" s="133">
        <v>45976</v>
      </c>
      <c r="AO2882" s="134"/>
      <c r="AP2882" s="135">
        <v>1276</v>
      </c>
      <c r="AQ2882" s="136"/>
      <c r="AR2882" s="118">
        <v>1885000</v>
      </c>
      <c r="AS2882" s="119"/>
      <c r="AT2882" s="118">
        <f t="shared" ref="AT2882" si="1766">AR2882*0.1</f>
        <v>188500</v>
      </c>
      <c r="AU2882" s="119"/>
      <c r="AV2882" s="118">
        <v>9620</v>
      </c>
      <c r="AW2882" s="119"/>
      <c r="AX2882" s="118">
        <f t="shared" ref="AX2882" si="1767">SUM(AR2882:AW2882)</f>
        <v>2083120</v>
      </c>
      <c r="AY2882" s="119"/>
      <c r="AZ2882" s="137">
        <v>45981</v>
      </c>
    </row>
    <row r="2883" spans="1:52" ht="17.100000000000001" customHeight="1" thickBot="1">
      <c r="A2883" s="110"/>
      <c r="B2883" s="27" t="s">
        <v>1718</v>
      </c>
      <c r="C2883" s="27" t="s">
        <v>9268</v>
      </c>
      <c r="D2883" s="14" t="s">
        <v>275</v>
      </c>
      <c r="E2883" s="112"/>
      <c r="F2883" s="139" t="s">
        <v>9270</v>
      </c>
      <c r="G2883" s="140"/>
      <c r="H2883" s="141"/>
      <c r="I2883" s="26">
        <v>49702</v>
      </c>
      <c r="J2883" s="117"/>
      <c r="K2883" s="120"/>
      <c r="L2883" s="121"/>
      <c r="M2883" s="120"/>
      <c r="N2883" s="121"/>
      <c r="O2883" s="120"/>
      <c r="P2883" s="121"/>
      <c r="Q2883" s="120"/>
      <c r="R2883" s="121"/>
      <c r="S2883" s="120"/>
      <c r="T2883" s="121"/>
      <c r="U2883" s="120"/>
      <c r="V2883" s="123"/>
      <c r="W2883" s="125"/>
      <c r="X2883" s="142" t="s">
        <v>10910</v>
      </c>
      <c r="Y2883" s="143"/>
      <c r="Z2883" s="143"/>
      <c r="AA2883" s="143"/>
      <c r="AB2883" s="144"/>
      <c r="AC2883" s="16" t="s">
        <v>21</v>
      </c>
      <c r="AD2883" s="17" t="s">
        <v>10911</v>
      </c>
      <c r="AE2883" s="145" t="s">
        <v>10912</v>
      </c>
      <c r="AF2883" s="146"/>
      <c r="AG2883" s="146"/>
      <c r="AH2883" s="146"/>
      <c r="AI2883" s="147"/>
      <c r="AJ2883" s="148"/>
      <c r="AK2883" s="143"/>
      <c r="AL2883" s="144"/>
      <c r="AM2883" s="22"/>
      <c r="AN2883" s="149" t="s">
        <v>10999</v>
      </c>
      <c r="AO2883" s="144"/>
      <c r="AP2883" s="148">
        <v>37687</v>
      </c>
      <c r="AQ2883" s="144"/>
      <c r="AR2883" s="120"/>
      <c r="AS2883" s="121"/>
      <c r="AT2883" s="120"/>
      <c r="AU2883" s="121"/>
      <c r="AV2883" s="120"/>
      <c r="AW2883" s="121"/>
      <c r="AX2883" s="120"/>
      <c r="AY2883" s="121"/>
      <c r="AZ2883" s="138"/>
    </row>
    <row r="2884" spans="1:52" ht="17.100000000000001" customHeight="1" thickTop="1">
      <c r="A2884" s="109" t="s">
        <v>9301</v>
      </c>
      <c r="B2884" s="28">
        <v>45954</v>
      </c>
      <c r="C2884" s="25">
        <v>1391</v>
      </c>
      <c r="D2884" s="13" t="s">
        <v>1640</v>
      </c>
      <c r="E2884" s="111"/>
      <c r="F2884" s="113" t="s">
        <v>9317</v>
      </c>
      <c r="G2884" s="114"/>
      <c r="H2884" s="115"/>
      <c r="I2884" s="24" t="s">
        <v>9318</v>
      </c>
      <c r="J2884" s="116">
        <v>3.5</v>
      </c>
      <c r="K2884" s="118">
        <v>279000</v>
      </c>
      <c r="L2884" s="119"/>
      <c r="M2884" s="118">
        <f t="shared" ref="M2884" si="1768">K2884*0.1</f>
        <v>27900</v>
      </c>
      <c r="N2884" s="119"/>
      <c r="O2884" s="118">
        <v>0</v>
      </c>
      <c r="P2884" s="119"/>
      <c r="Q2884" s="118">
        <v>8040</v>
      </c>
      <c r="R2884" s="119"/>
      <c r="S2884" s="118">
        <v>13200</v>
      </c>
      <c r="T2884" s="119"/>
      <c r="U2884" s="118">
        <f t="shared" ref="U2884" si="1769">SUM(K2884:T2885)</f>
        <v>328140</v>
      </c>
      <c r="V2884" s="122"/>
      <c r="W2884" s="124"/>
      <c r="X2884" s="126" t="s">
        <v>9716</v>
      </c>
      <c r="Y2884" s="127"/>
      <c r="Z2884" s="127"/>
      <c r="AA2884" s="127"/>
      <c r="AB2884" s="128"/>
      <c r="AC2884" s="15" t="s">
        <v>20</v>
      </c>
      <c r="AD2884" s="129"/>
      <c r="AE2884" s="130"/>
      <c r="AF2884" s="130"/>
      <c r="AG2884" s="130"/>
      <c r="AH2884" s="130"/>
      <c r="AI2884" s="131"/>
      <c r="AJ2884" s="132"/>
      <c r="AK2884" s="127"/>
      <c r="AL2884" s="128"/>
      <c r="AM2884" s="21"/>
      <c r="AN2884" s="133">
        <v>46067</v>
      </c>
      <c r="AO2884" s="134"/>
      <c r="AP2884" s="135">
        <v>1288</v>
      </c>
      <c r="AQ2884" s="136"/>
      <c r="AR2884" s="118">
        <v>405000</v>
      </c>
      <c r="AS2884" s="119"/>
      <c r="AT2884" s="118">
        <f t="shared" ref="AT2884" si="1770">AR2884*0.1</f>
        <v>40500</v>
      </c>
      <c r="AU2884" s="119"/>
      <c r="AV2884" s="118">
        <v>8040</v>
      </c>
      <c r="AW2884" s="119"/>
      <c r="AX2884" s="118">
        <f t="shared" ref="AX2884" si="1771">SUM(AR2884:AW2884)</f>
        <v>453540</v>
      </c>
      <c r="AY2884" s="119"/>
      <c r="AZ2884" s="137">
        <v>46070</v>
      </c>
    </row>
    <row r="2885" spans="1:52" ht="17.100000000000001" customHeight="1" thickBot="1">
      <c r="A2885" s="110"/>
      <c r="B2885" s="27" t="s">
        <v>2641</v>
      </c>
      <c r="C2885" s="27">
        <v>2001</v>
      </c>
      <c r="D2885" s="14" t="s">
        <v>904</v>
      </c>
      <c r="E2885" s="112"/>
      <c r="F2885" s="139" t="s">
        <v>9309</v>
      </c>
      <c r="G2885" s="140"/>
      <c r="H2885" s="141"/>
      <c r="I2885" s="26">
        <v>59132</v>
      </c>
      <c r="J2885" s="117"/>
      <c r="K2885" s="120"/>
      <c r="L2885" s="121"/>
      <c r="M2885" s="120"/>
      <c r="N2885" s="121"/>
      <c r="O2885" s="120"/>
      <c r="P2885" s="121"/>
      <c r="Q2885" s="120"/>
      <c r="R2885" s="121"/>
      <c r="S2885" s="120"/>
      <c r="T2885" s="121"/>
      <c r="U2885" s="120"/>
      <c r="V2885" s="123"/>
      <c r="W2885" s="125"/>
      <c r="X2885" s="142" t="s">
        <v>9717</v>
      </c>
      <c r="Y2885" s="143"/>
      <c r="Z2885" s="143"/>
      <c r="AA2885" s="143"/>
      <c r="AB2885" s="144"/>
      <c r="AC2885" s="16" t="s">
        <v>21</v>
      </c>
      <c r="AD2885" s="17" t="s">
        <v>9662</v>
      </c>
      <c r="AE2885" s="145" t="s">
        <v>7842</v>
      </c>
      <c r="AF2885" s="146"/>
      <c r="AG2885" s="146"/>
      <c r="AH2885" s="146"/>
      <c r="AI2885" s="147"/>
      <c r="AJ2885" s="148"/>
      <c r="AK2885" s="143"/>
      <c r="AL2885" s="144"/>
      <c r="AM2885" s="22"/>
      <c r="AN2885" s="149" t="s">
        <v>2511</v>
      </c>
      <c r="AO2885" s="144"/>
      <c r="AP2885" s="148">
        <v>62058</v>
      </c>
      <c r="AQ2885" s="144"/>
      <c r="AR2885" s="120"/>
      <c r="AS2885" s="121"/>
      <c r="AT2885" s="120"/>
      <c r="AU2885" s="121"/>
      <c r="AV2885" s="120"/>
      <c r="AW2885" s="121"/>
      <c r="AX2885" s="120"/>
      <c r="AY2885" s="121"/>
      <c r="AZ2885" s="138"/>
    </row>
    <row r="2886" spans="1:52" ht="17.100000000000001" customHeight="1" thickTop="1">
      <c r="A2886" s="109" t="s">
        <v>9302</v>
      </c>
      <c r="B2886" s="28">
        <v>45954</v>
      </c>
      <c r="C2886" s="25">
        <v>1391</v>
      </c>
      <c r="D2886" s="13" t="s">
        <v>1623</v>
      </c>
      <c r="E2886" s="111"/>
      <c r="F2886" s="113" t="s">
        <v>5375</v>
      </c>
      <c r="G2886" s="114"/>
      <c r="H2886" s="115"/>
      <c r="I2886" s="24"/>
      <c r="J2886" s="116">
        <v>3.5</v>
      </c>
      <c r="K2886" s="118">
        <v>255000</v>
      </c>
      <c r="L2886" s="119"/>
      <c r="M2886" s="118">
        <f t="shared" ref="M2886" si="1772">K2886*0.1</f>
        <v>25500</v>
      </c>
      <c r="N2886" s="119"/>
      <c r="O2886" s="118">
        <v>0</v>
      </c>
      <c r="P2886" s="119"/>
      <c r="Q2886" s="118">
        <v>9770</v>
      </c>
      <c r="R2886" s="119"/>
      <c r="S2886" s="118">
        <v>13200</v>
      </c>
      <c r="T2886" s="119"/>
      <c r="U2886" s="118">
        <f t="shared" ref="U2886" si="1773">SUM(K2886:T2887)</f>
        <v>303470</v>
      </c>
      <c r="V2886" s="122"/>
      <c r="W2886" s="124"/>
      <c r="X2886" s="126" t="s">
        <v>9874</v>
      </c>
      <c r="Y2886" s="127"/>
      <c r="Z2886" s="127"/>
      <c r="AA2886" s="127"/>
      <c r="AB2886" s="128"/>
      <c r="AC2886" s="15" t="s">
        <v>20</v>
      </c>
      <c r="AD2886" s="129"/>
      <c r="AE2886" s="130"/>
      <c r="AF2886" s="130"/>
      <c r="AG2886" s="130"/>
      <c r="AH2886" s="130"/>
      <c r="AI2886" s="131"/>
      <c r="AJ2886" s="132"/>
      <c r="AK2886" s="127"/>
      <c r="AL2886" s="128"/>
      <c r="AM2886" s="21"/>
      <c r="AN2886" s="133">
        <v>45962</v>
      </c>
      <c r="AO2886" s="134"/>
      <c r="AP2886" s="135">
        <v>1274</v>
      </c>
      <c r="AQ2886" s="136"/>
      <c r="AR2886" s="118">
        <v>410000</v>
      </c>
      <c r="AS2886" s="119"/>
      <c r="AT2886" s="118">
        <f t="shared" ref="AT2886" si="1774">AR2886*0.1</f>
        <v>41000</v>
      </c>
      <c r="AU2886" s="119"/>
      <c r="AV2886" s="118">
        <v>9770</v>
      </c>
      <c r="AW2886" s="119"/>
      <c r="AX2886" s="118">
        <f t="shared" ref="AX2886" si="1775">SUM(AR2886:AW2886)</f>
        <v>460770</v>
      </c>
      <c r="AY2886" s="119"/>
      <c r="AZ2886" s="137">
        <v>45971</v>
      </c>
    </row>
    <row r="2887" spans="1:52" ht="17.100000000000001" customHeight="1" thickBot="1">
      <c r="A2887" s="110"/>
      <c r="B2887" s="27" t="s">
        <v>2641</v>
      </c>
      <c r="C2887" s="27">
        <v>2079</v>
      </c>
      <c r="D2887" s="14" t="s">
        <v>1576</v>
      </c>
      <c r="E2887" s="112"/>
      <c r="F2887" s="139" t="s">
        <v>9310</v>
      </c>
      <c r="G2887" s="140"/>
      <c r="H2887" s="141"/>
      <c r="I2887" s="26">
        <v>56341</v>
      </c>
      <c r="J2887" s="117"/>
      <c r="K2887" s="120"/>
      <c r="L2887" s="121"/>
      <c r="M2887" s="120"/>
      <c r="N2887" s="121"/>
      <c r="O2887" s="120"/>
      <c r="P2887" s="121"/>
      <c r="Q2887" s="120"/>
      <c r="R2887" s="121"/>
      <c r="S2887" s="120"/>
      <c r="T2887" s="121"/>
      <c r="U2887" s="120"/>
      <c r="V2887" s="123"/>
      <c r="W2887" s="125"/>
      <c r="X2887" s="142" t="s">
        <v>9875</v>
      </c>
      <c r="Y2887" s="143"/>
      <c r="Z2887" s="143"/>
      <c r="AA2887" s="143"/>
      <c r="AB2887" s="144"/>
      <c r="AC2887" s="16" t="s">
        <v>21</v>
      </c>
      <c r="AD2887" s="17" t="s">
        <v>9858</v>
      </c>
      <c r="AE2887" s="145"/>
      <c r="AF2887" s="146"/>
      <c r="AG2887" s="146"/>
      <c r="AH2887" s="146"/>
      <c r="AI2887" s="147"/>
      <c r="AJ2887" s="148"/>
      <c r="AK2887" s="143"/>
      <c r="AL2887" s="144"/>
      <c r="AM2887" s="22"/>
      <c r="AN2887" s="149" t="s">
        <v>6748</v>
      </c>
      <c r="AO2887" s="144"/>
      <c r="AP2887" s="148">
        <v>60321</v>
      </c>
      <c r="AQ2887" s="144"/>
      <c r="AR2887" s="120"/>
      <c r="AS2887" s="121"/>
      <c r="AT2887" s="120"/>
      <c r="AU2887" s="121"/>
      <c r="AV2887" s="120"/>
      <c r="AW2887" s="121"/>
      <c r="AX2887" s="120"/>
      <c r="AY2887" s="121"/>
      <c r="AZ2887" s="138"/>
    </row>
    <row r="2888" spans="1:52" ht="17.100000000000001" customHeight="1" thickTop="1">
      <c r="A2888" s="109" t="s">
        <v>9303</v>
      </c>
      <c r="B2888" s="28">
        <v>45954</v>
      </c>
      <c r="C2888" s="25">
        <v>1391</v>
      </c>
      <c r="D2888" s="13" t="s">
        <v>1922</v>
      </c>
      <c r="E2888" s="111"/>
      <c r="F2888" s="113" t="s">
        <v>5494</v>
      </c>
      <c r="G2888" s="114"/>
      <c r="H2888" s="115"/>
      <c r="I2888" s="24" t="s">
        <v>9319</v>
      </c>
      <c r="J2888" s="116">
        <v>4</v>
      </c>
      <c r="K2888" s="118">
        <v>756000</v>
      </c>
      <c r="L2888" s="119"/>
      <c r="M2888" s="118">
        <f t="shared" ref="M2888" si="1776">K2888*0.1</f>
        <v>75600</v>
      </c>
      <c r="N2888" s="119"/>
      <c r="O2888" s="118">
        <v>0</v>
      </c>
      <c r="P2888" s="119"/>
      <c r="Q2888" s="118">
        <v>8010</v>
      </c>
      <c r="R2888" s="119"/>
      <c r="S2888" s="118">
        <v>13200</v>
      </c>
      <c r="T2888" s="119"/>
      <c r="U2888" s="118">
        <f t="shared" ref="U2888" si="1777">SUM(K2888:T2889)</f>
        <v>852810</v>
      </c>
      <c r="V2888" s="122"/>
      <c r="W2888" s="124"/>
      <c r="X2888" s="126" t="s">
        <v>9718</v>
      </c>
      <c r="Y2888" s="127"/>
      <c r="Z2888" s="127"/>
      <c r="AA2888" s="127"/>
      <c r="AB2888" s="128"/>
      <c r="AC2888" s="15" t="s">
        <v>20</v>
      </c>
      <c r="AD2888" s="129"/>
      <c r="AE2888" s="130"/>
      <c r="AF2888" s="130"/>
      <c r="AG2888" s="130"/>
      <c r="AH2888" s="130"/>
      <c r="AI2888" s="131"/>
      <c r="AJ2888" s="132"/>
      <c r="AK2888" s="127"/>
      <c r="AL2888" s="128"/>
      <c r="AM2888" s="21" t="s">
        <v>11060</v>
      </c>
      <c r="AN2888" s="133">
        <v>45976</v>
      </c>
      <c r="AO2888" s="134"/>
      <c r="AP2888" s="135">
        <v>1276</v>
      </c>
      <c r="AQ2888" s="136"/>
      <c r="AR2888" s="118">
        <v>845000</v>
      </c>
      <c r="AS2888" s="119"/>
      <c r="AT2888" s="118">
        <f t="shared" ref="AT2888" si="1778">AR2888*0.1</f>
        <v>84500</v>
      </c>
      <c r="AU2888" s="119"/>
      <c r="AV2888" s="118">
        <v>8010</v>
      </c>
      <c r="AW2888" s="119"/>
      <c r="AX2888" s="118">
        <f t="shared" ref="AX2888" si="1779">SUM(AR2888:AW2888)</f>
        <v>937510</v>
      </c>
      <c r="AY2888" s="119"/>
      <c r="AZ2888" s="137">
        <v>45981</v>
      </c>
    </row>
    <row r="2889" spans="1:52" ht="17.100000000000001" customHeight="1" thickBot="1">
      <c r="A2889" s="110"/>
      <c r="B2889" s="27" t="s">
        <v>2641</v>
      </c>
      <c r="C2889" s="27">
        <v>3006</v>
      </c>
      <c r="D2889" s="14" t="s">
        <v>1812</v>
      </c>
      <c r="E2889" s="112"/>
      <c r="F2889" s="139" t="s">
        <v>9311</v>
      </c>
      <c r="G2889" s="140"/>
      <c r="H2889" s="141"/>
      <c r="I2889" s="26">
        <v>62738</v>
      </c>
      <c r="J2889" s="117"/>
      <c r="K2889" s="120"/>
      <c r="L2889" s="121"/>
      <c r="M2889" s="120"/>
      <c r="N2889" s="121"/>
      <c r="O2889" s="120"/>
      <c r="P2889" s="121"/>
      <c r="Q2889" s="120"/>
      <c r="R2889" s="121"/>
      <c r="S2889" s="120"/>
      <c r="T2889" s="121"/>
      <c r="U2889" s="120"/>
      <c r="V2889" s="123"/>
      <c r="W2889" s="125"/>
      <c r="X2889" s="142" t="s">
        <v>9719</v>
      </c>
      <c r="Y2889" s="143"/>
      <c r="Z2889" s="143"/>
      <c r="AA2889" s="143"/>
      <c r="AB2889" s="144"/>
      <c r="AC2889" s="16" t="s">
        <v>21</v>
      </c>
      <c r="AD2889" s="17" t="s">
        <v>9662</v>
      </c>
      <c r="AE2889" s="145" t="s">
        <v>9720</v>
      </c>
      <c r="AF2889" s="146"/>
      <c r="AG2889" s="146"/>
      <c r="AH2889" s="146"/>
      <c r="AI2889" s="147"/>
      <c r="AJ2889" s="148"/>
      <c r="AK2889" s="143"/>
      <c r="AL2889" s="144"/>
      <c r="AM2889" s="22"/>
      <c r="AN2889" s="149" t="s">
        <v>10999</v>
      </c>
      <c r="AO2889" s="144"/>
      <c r="AP2889" s="148">
        <v>60234</v>
      </c>
      <c r="AQ2889" s="144"/>
      <c r="AR2889" s="120"/>
      <c r="AS2889" s="121"/>
      <c r="AT2889" s="120"/>
      <c r="AU2889" s="121"/>
      <c r="AV2889" s="120"/>
      <c r="AW2889" s="121"/>
      <c r="AX2889" s="120"/>
      <c r="AY2889" s="121"/>
      <c r="AZ2889" s="138"/>
    </row>
    <row r="2890" spans="1:52" ht="17.100000000000001" customHeight="1" thickTop="1">
      <c r="A2890" s="109" t="s">
        <v>9304</v>
      </c>
      <c r="B2890" s="28">
        <v>45954</v>
      </c>
      <c r="C2890" s="25">
        <v>1391</v>
      </c>
      <c r="D2890" s="13" t="s">
        <v>1971</v>
      </c>
      <c r="E2890" s="111"/>
      <c r="F2890" s="113" t="s">
        <v>9320</v>
      </c>
      <c r="G2890" s="114"/>
      <c r="H2890" s="115"/>
      <c r="I2890" s="24" t="s">
        <v>5482</v>
      </c>
      <c r="J2890" s="116">
        <v>4.5</v>
      </c>
      <c r="K2890" s="118">
        <v>1396000</v>
      </c>
      <c r="L2890" s="119"/>
      <c r="M2890" s="118">
        <f t="shared" ref="M2890" si="1780">K2890*0.1</f>
        <v>139600</v>
      </c>
      <c r="N2890" s="119"/>
      <c r="O2890" s="118">
        <v>0</v>
      </c>
      <c r="P2890" s="119"/>
      <c r="Q2890" s="118">
        <v>8630</v>
      </c>
      <c r="R2890" s="119"/>
      <c r="S2890" s="118">
        <v>13200</v>
      </c>
      <c r="T2890" s="119"/>
      <c r="U2890" s="118">
        <f t="shared" ref="U2890" si="1781">SUM(K2890:T2891)</f>
        <v>1557430</v>
      </c>
      <c r="V2890" s="122"/>
      <c r="W2890" s="124"/>
      <c r="X2890" s="126" t="s">
        <v>9872</v>
      </c>
      <c r="Y2890" s="127"/>
      <c r="Z2890" s="127"/>
      <c r="AA2890" s="127"/>
      <c r="AB2890" s="128"/>
      <c r="AC2890" s="15" t="s">
        <v>20</v>
      </c>
      <c r="AD2890" s="129"/>
      <c r="AE2890" s="130"/>
      <c r="AF2890" s="130"/>
      <c r="AG2890" s="130"/>
      <c r="AH2890" s="130"/>
      <c r="AI2890" s="131"/>
      <c r="AJ2890" s="132"/>
      <c r="AK2890" s="127"/>
      <c r="AL2890" s="128"/>
      <c r="AM2890" s="21" t="s">
        <v>10039</v>
      </c>
      <c r="AN2890" s="133">
        <v>45962</v>
      </c>
      <c r="AO2890" s="134"/>
      <c r="AP2890" s="135">
        <v>1274</v>
      </c>
      <c r="AQ2890" s="136"/>
      <c r="AR2890" s="118">
        <v>1685000</v>
      </c>
      <c r="AS2890" s="119"/>
      <c r="AT2890" s="118">
        <f t="shared" ref="AT2890" si="1782">AR2890*0.1</f>
        <v>168500</v>
      </c>
      <c r="AU2890" s="119"/>
      <c r="AV2890" s="118">
        <v>8630</v>
      </c>
      <c r="AW2890" s="119"/>
      <c r="AX2890" s="118">
        <f t="shared" ref="AX2890" si="1783">SUM(AR2890:AW2890)</f>
        <v>1862130</v>
      </c>
      <c r="AY2890" s="119"/>
      <c r="AZ2890" s="137">
        <v>45967</v>
      </c>
    </row>
    <row r="2891" spans="1:52" ht="17.100000000000001" customHeight="1" thickBot="1">
      <c r="A2891" s="110"/>
      <c r="B2891" s="27" t="s">
        <v>2641</v>
      </c>
      <c r="C2891" s="27">
        <v>3010</v>
      </c>
      <c r="D2891" s="14" t="s">
        <v>2601</v>
      </c>
      <c r="E2891" s="112"/>
      <c r="F2891" s="139" t="s">
        <v>9312</v>
      </c>
      <c r="G2891" s="140"/>
      <c r="H2891" s="141"/>
      <c r="I2891" s="26">
        <v>34574</v>
      </c>
      <c r="J2891" s="117"/>
      <c r="K2891" s="120"/>
      <c r="L2891" s="121"/>
      <c r="M2891" s="120"/>
      <c r="N2891" s="121"/>
      <c r="O2891" s="120"/>
      <c r="P2891" s="121"/>
      <c r="Q2891" s="120"/>
      <c r="R2891" s="121"/>
      <c r="S2891" s="120"/>
      <c r="T2891" s="121"/>
      <c r="U2891" s="120"/>
      <c r="V2891" s="123"/>
      <c r="W2891" s="125"/>
      <c r="X2891" s="142" t="s">
        <v>3334</v>
      </c>
      <c r="Y2891" s="143"/>
      <c r="Z2891" s="143"/>
      <c r="AA2891" s="143"/>
      <c r="AB2891" s="144"/>
      <c r="AC2891" s="16" t="s">
        <v>21</v>
      </c>
      <c r="AD2891" s="17" t="s">
        <v>9858</v>
      </c>
      <c r="AE2891" s="145" t="s">
        <v>9873</v>
      </c>
      <c r="AF2891" s="146"/>
      <c r="AG2891" s="146"/>
      <c r="AH2891" s="146"/>
      <c r="AI2891" s="147"/>
      <c r="AJ2891" s="148"/>
      <c r="AK2891" s="143"/>
      <c r="AL2891" s="144"/>
      <c r="AM2891" s="22"/>
      <c r="AN2891" s="149" t="s">
        <v>2511</v>
      </c>
      <c r="AO2891" s="144"/>
      <c r="AP2891" s="148">
        <v>60021</v>
      </c>
      <c r="AQ2891" s="144"/>
      <c r="AR2891" s="120"/>
      <c r="AS2891" s="121"/>
      <c r="AT2891" s="120"/>
      <c r="AU2891" s="121"/>
      <c r="AV2891" s="120"/>
      <c r="AW2891" s="121"/>
      <c r="AX2891" s="120"/>
      <c r="AY2891" s="121"/>
      <c r="AZ2891" s="138"/>
    </row>
    <row r="2892" spans="1:52" ht="17.100000000000001" customHeight="1" thickTop="1">
      <c r="A2892" s="109" t="s">
        <v>9305</v>
      </c>
      <c r="B2892" s="28">
        <v>45954</v>
      </c>
      <c r="C2892" s="25">
        <v>1391</v>
      </c>
      <c r="D2892" s="13" t="s">
        <v>1863</v>
      </c>
      <c r="E2892" s="111"/>
      <c r="F2892" s="113" t="s">
        <v>9321</v>
      </c>
      <c r="G2892" s="114"/>
      <c r="H2892" s="115"/>
      <c r="I2892" s="24" t="s">
        <v>8228</v>
      </c>
      <c r="J2892" s="116">
        <v>4</v>
      </c>
      <c r="K2892" s="118">
        <v>1002000</v>
      </c>
      <c r="L2892" s="119"/>
      <c r="M2892" s="118">
        <f t="shared" ref="M2892" si="1784">K2892*0.1</f>
        <v>100200</v>
      </c>
      <c r="N2892" s="119"/>
      <c r="O2892" s="118">
        <f>16400+1640</f>
        <v>18040</v>
      </c>
      <c r="P2892" s="119"/>
      <c r="Q2892" s="118">
        <v>11480</v>
      </c>
      <c r="R2892" s="119"/>
      <c r="S2892" s="118">
        <v>13200</v>
      </c>
      <c r="T2892" s="119"/>
      <c r="U2892" s="118">
        <f t="shared" ref="U2892" si="1785">SUM(K2892:T2893)</f>
        <v>1144920</v>
      </c>
      <c r="V2892" s="122"/>
      <c r="W2892" s="124"/>
      <c r="X2892" s="126" t="s">
        <v>9777</v>
      </c>
      <c r="Y2892" s="127"/>
      <c r="Z2892" s="127"/>
      <c r="AA2892" s="127"/>
      <c r="AB2892" s="128"/>
      <c r="AC2892" s="15" t="s">
        <v>20</v>
      </c>
      <c r="AD2892" s="129" t="s">
        <v>9322</v>
      </c>
      <c r="AE2892" s="130"/>
      <c r="AF2892" s="130"/>
      <c r="AG2892" s="130"/>
      <c r="AH2892" s="130"/>
      <c r="AI2892" s="131"/>
      <c r="AJ2892" s="132"/>
      <c r="AK2892" s="127"/>
      <c r="AL2892" s="128"/>
      <c r="AM2892" s="21"/>
      <c r="AN2892" s="133">
        <v>45962</v>
      </c>
      <c r="AO2892" s="134"/>
      <c r="AP2892" s="135">
        <v>1274</v>
      </c>
      <c r="AQ2892" s="136"/>
      <c r="AR2892" s="118">
        <v>1100000</v>
      </c>
      <c r="AS2892" s="119"/>
      <c r="AT2892" s="118">
        <f t="shared" ref="AT2892" si="1786">AR2892*0.1</f>
        <v>110000</v>
      </c>
      <c r="AU2892" s="119"/>
      <c r="AV2892" s="118">
        <v>11480</v>
      </c>
      <c r="AW2892" s="119"/>
      <c r="AX2892" s="118">
        <f t="shared" ref="AX2892" si="1787">SUM(AR2892:AW2892)</f>
        <v>1221480</v>
      </c>
      <c r="AY2892" s="119"/>
      <c r="AZ2892" s="137">
        <v>45965</v>
      </c>
    </row>
    <row r="2893" spans="1:52" ht="17.100000000000001" customHeight="1" thickBot="1">
      <c r="A2893" s="110"/>
      <c r="B2893" s="27" t="s">
        <v>2641</v>
      </c>
      <c r="C2893" s="27">
        <v>3038</v>
      </c>
      <c r="D2893" s="14" t="s">
        <v>2601</v>
      </c>
      <c r="E2893" s="112"/>
      <c r="F2893" s="139" t="s">
        <v>9313</v>
      </c>
      <c r="G2893" s="140"/>
      <c r="H2893" s="141"/>
      <c r="I2893" s="26">
        <v>126225</v>
      </c>
      <c r="J2893" s="117"/>
      <c r="K2893" s="120"/>
      <c r="L2893" s="121"/>
      <c r="M2893" s="120"/>
      <c r="N2893" s="121"/>
      <c r="O2893" s="120"/>
      <c r="P2893" s="121"/>
      <c r="Q2893" s="120"/>
      <c r="R2893" s="121"/>
      <c r="S2893" s="120"/>
      <c r="T2893" s="121"/>
      <c r="U2893" s="120"/>
      <c r="V2893" s="123"/>
      <c r="W2893" s="125"/>
      <c r="X2893" s="142" t="s">
        <v>3334</v>
      </c>
      <c r="Y2893" s="143"/>
      <c r="Z2893" s="143"/>
      <c r="AA2893" s="143"/>
      <c r="AB2893" s="144"/>
      <c r="AC2893" s="16" t="s">
        <v>21</v>
      </c>
      <c r="AD2893" s="17" t="s">
        <v>3335</v>
      </c>
      <c r="AE2893" s="145" t="s">
        <v>10502</v>
      </c>
      <c r="AF2893" s="146"/>
      <c r="AG2893" s="146"/>
      <c r="AH2893" s="146"/>
      <c r="AI2893" s="147"/>
      <c r="AJ2893" s="148"/>
      <c r="AK2893" s="143"/>
      <c r="AL2893" s="144"/>
      <c r="AM2893" s="22"/>
      <c r="AN2893" s="149" t="s">
        <v>2511</v>
      </c>
      <c r="AO2893" s="144"/>
      <c r="AP2893" s="148">
        <v>3</v>
      </c>
      <c r="AQ2893" s="144"/>
      <c r="AR2893" s="120"/>
      <c r="AS2893" s="121"/>
      <c r="AT2893" s="120"/>
      <c r="AU2893" s="121"/>
      <c r="AV2893" s="120"/>
      <c r="AW2893" s="121"/>
      <c r="AX2893" s="120"/>
      <c r="AY2893" s="121"/>
      <c r="AZ2893" s="138"/>
    </row>
    <row r="2894" spans="1:52" ht="17.100000000000001" customHeight="1" thickTop="1">
      <c r="A2894" s="109" t="s">
        <v>9306</v>
      </c>
      <c r="B2894" s="28">
        <v>45954</v>
      </c>
      <c r="C2894" s="25">
        <v>1391</v>
      </c>
      <c r="D2894" s="13" t="s">
        <v>1825</v>
      </c>
      <c r="E2894" s="111"/>
      <c r="F2894" s="113" t="s">
        <v>8174</v>
      </c>
      <c r="G2894" s="114"/>
      <c r="H2894" s="115"/>
      <c r="I2894" s="24"/>
      <c r="J2894" s="116">
        <v>4.5</v>
      </c>
      <c r="K2894" s="118">
        <v>2812000</v>
      </c>
      <c r="L2894" s="119"/>
      <c r="M2894" s="118">
        <f t="shared" ref="M2894" si="1788">K2894*0.1</f>
        <v>281200</v>
      </c>
      <c r="N2894" s="119"/>
      <c r="O2894" s="118">
        <v>0</v>
      </c>
      <c r="P2894" s="119"/>
      <c r="Q2894" s="118">
        <v>12160</v>
      </c>
      <c r="R2894" s="119"/>
      <c r="S2894" s="118">
        <v>13200</v>
      </c>
      <c r="T2894" s="119"/>
      <c r="U2894" s="118">
        <f t="shared" ref="U2894" si="1789">SUM(K2894:T2895)</f>
        <v>3118560</v>
      </c>
      <c r="V2894" s="122"/>
      <c r="W2894" s="124"/>
      <c r="X2894" s="126" t="s">
        <v>9698</v>
      </c>
      <c r="Y2894" s="127"/>
      <c r="Z2894" s="127"/>
      <c r="AA2894" s="127"/>
      <c r="AB2894" s="128"/>
      <c r="AC2894" s="15" t="s">
        <v>20</v>
      </c>
      <c r="AD2894" s="129" t="s">
        <v>171</v>
      </c>
      <c r="AE2894" s="130"/>
      <c r="AF2894" s="130"/>
      <c r="AG2894" s="130"/>
      <c r="AH2894" s="130"/>
      <c r="AI2894" s="131"/>
      <c r="AJ2894" s="132"/>
      <c r="AK2894" s="127"/>
      <c r="AL2894" s="128"/>
      <c r="AM2894" s="21"/>
      <c r="AN2894" s="133">
        <v>45976</v>
      </c>
      <c r="AO2894" s="134"/>
      <c r="AP2894" s="135">
        <v>1276</v>
      </c>
      <c r="AQ2894" s="136"/>
      <c r="AR2894" s="118">
        <v>2895000</v>
      </c>
      <c r="AS2894" s="119"/>
      <c r="AT2894" s="118">
        <f t="shared" ref="AT2894" si="1790">AR2894*0.1</f>
        <v>289500</v>
      </c>
      <c r="AU2894" s="119"/>
      <c r="AV2894" s="118">
        <v>12160</v>
      </c>
      <c r="AW2894" s="119"/>
      <c r="AX2894" s="118">
        <f t="shared" ref="AX2894" si="1791">SUM(AR2894:AW2894)</f>
        <v>3196660</v>
      </c>
      <c r="AY2894" s="119"/>
      <c r="AZ2894" s="137">
        <v>45979</v>
      </c>
    </row>
    <row r="2895" spans="1:52" ht="17.100000000000001" customHeight="1" thickBot="1">
      <c r="A2895" s="110"/>
      <c r="B2895" s="27" t="s">
        <v>2641</v>
      </c>
      <c r="C2895" s="27">
        <v>3050</v>
      </c>
      <c r="D2895" s="14" t="s">
        <v>275</v>
      </c>
      <c r="E2895" s="112"/>
      <c r="F2895" s="139" t="s">
        <v>9314</v>
      </c>
      <c r="G2895" s="140"/>
      <c r="H2895" s="141"/>
      <c r="I2895" s="26">
        <v>29478</v>
      </c>
      <c r="J2895" s="117"/>
      <c r="K2895" s="120"/>
      <c r="L2895" s="121"/>
      <c r="M2895" s="120"/>
      <c r="N2895" s="121"/>
      <c r="O2895" s="120"/>
      <c r="P2895" s="121"/>
      <c r="Q2895" s="120"/>
      <c r="R2895" s="121"/>
      <c r="S2895" s="120"/>
      <c r="T2895" s="121"/>
      <c r="U2895" s="120"/>
      <c r="V2895" s="123"/>
      <c r="W2895" s="125"/>
      <c r="X2895" s="142" t="s">
        <v>2394</v>
      </c>
      <c r="Y2895" s="143"/>
      <c r="Z2895" s="143"/>
      <c r="AA2895" s="143"/>
      <c r="AB2895" s="144"/>
      <c r="AC2895" s="16" t="s">
        <v>21</v>
      </c>
      <c r="AD2895" s="17" t="s">
        <v>9662</v>
      </c>
      <c r="AE2895" s="145" t="s">
        <v>2395</v>
      </c>
      <c r="AF2895" s="146"/>
      <c r="AG2895" s="146"/>
      <c r="AH2895" s="146"/>
      <c r="AI2895" s="147"/>
      <c r="AJ2895" s="148"/>
      <c r="AK2895" s="143"/>
      <c r="AL2895" s="144"/>
      <c r="AM2895" s="22"/>
      <c r="AN2895" s="149" t="s">
        <v>10999</v>
      </c>
      <c r="AO2895" s="144"/>
      <c r="AP2895" s="148">
        <v>13116</v>
      </c>
      <c r="AQ2895" s="144"/>
      <c r="AR2895" s="120"/>
      <c r="AS2895" s="121"/>
      <c r="AT2895" s="120"/>
      <c r="AU2895" s="121"/>
      <c r="AV2895" s="120"/>
      <c r="AW2895" s="121"/>
      <c r="AX2895" s="120"/>
      <c r="AY2895" s="121"/>
      <c r="AZ2895" s="138"/>
    </row>
    <row r="2896" spans="1:52" ht="17.100000000000001" customHeight="1" thickTop="1">
      <c r="A2896" s="109" t="s">
        <v>9307</v>
      </c>
      <c r="B2896" s="28">
        <v>45954</v>
      </c>
      <c r="C2896" s="25">
        <v>1391</v>
      </c>
      <c r="D2896" s="13" t="s">
        <v>2442</v>
      </c>
      <c r="E2896" s="111"/>
      <c r="F2896" s="113" t="s">
        <v>2598</v>
      </c>
      <c r="G2896" s="114"/>
      <c r="H2896" s="115"/>
      <c r="I2896" s="24"/>
      <c r="J2896" s="116">
        <v>4</v>
      </c>
      <c r="K2896" s="118">
        <v>916000</v>
      </c>
      <c r="L2896" s="119"/>
      <c r="M2896" s="118">
        <f t="shared" ref="M2896" si="1792">K2896*0.1</f>
        <v>91600</v>
      </c>
      <c r="N2896" s="119"/>
      <c r="O2896" s="118">
        <v>0</v>
      </c>
      <c r="P2896" s="119"/>
      <c r="Q2896" s="118">
        <v>9080</v>
      </c>
      <c r="R2896" s="119"/>
      <c r="S2896" s="118">
        <v>13200</v>
      </c>
      <c r="T2896" s="119"/>
      <c r="U2896" s="118">
        <f t="shared" ref="U2896" si="1793">SUM(K2896:T2897)</f>
        <v>1029880</v>
      </c>
      <c r="V2896" s="122"/>
      <c r="W2896" s="124"/>
      <c r="X2896" s="126" t="s">
        <v>9712</v>
      </c>
      <c r="Y2896" s="127"/>
      <c r="Z2896" s="127"/>
      <c r="AA2896" s="127"/>
      <c r="AB2896" s="128"/>
      <c r="AC2896" s="15" t="s">
        <v>20</v>
      </c>
      <c r="AD2896" s="129"/>
      <c r="AE2896" s="130"/>
      <c r="AF2896" s="130"/>
      <c r="AG2896" s="130"/>
      <c r="AH2896" s="130"/>
      <c r="AI2896" s="131"/>
      <c r="AJ2896" s="132"/>
      <c r="AK2896" s="127"/>
      <c r="AL2896" s="128"/>
      <c r="AM2896" s="21"/>
      <c r="AN2896" s="133">
        <v>45969</v>
      </c>
      <c r="AO2896" s="134"/>
      <c r="AP2896" s="135">
        <v>1275</v>
      </c>
      <c r="AQ2896" s="136"/>
      <c r="AR2896" s="118">
        <v>1000000</v>
      </c>
      <c r="AS2896" s="119"/>
      <c r="AT2896" s="118">
        <f t="shared" ref="AT2896" si="1794">AR2896*0.1</f>
        <v>100000</v>
      </c>
      <c r="AU2896" s="119"/>
      <c r="AV2896" s="118">
        <v>9080</v>
      </c>
      <c r="AW2896" s="119"/>
      <c r="AX2896" s="118">
        <f t="shared" ref="AX2896" si="1795">SUM(AR2896:AW2896)</f>
        <v>1109080</v>
      </c>
      <c r="AY2896" s="119"/>
      <c r="AZ2896" s="137">
        <v>45972</v>
      </c>
    </row>
    <row r="2897" spans="1:52" ht="17.100000000000001" customHeight="1" thickBot="1">
      <c r="A2897" s="110"/>
      <c r="B2897" s="27" t="s">
        <v>2641</v>
      </c>
      <c r="C2897" s="27">
        <v>3152</v>
      </c>
      <c r="D2897" s="14" t="s">
        <v>2601</v>
      </c>
      <c r="E2897" s="112"/>
      <c r="F2897" s="139" t="s">
        <v>9315</v>
      </c>
      <c r="G2897" s="140"/>
      <c r="H2897" s="141"/>
      <c r="I2897" s="26">
        <v>51884</v>
      </c>
      <c r="J2897" s="117"/>
      <c r="K2897" s="120"/>
      <c r="L2897" s="121"/>
      <c r="M2897" s="120"/>
      <c r="N2897" s="121"/>
      <c r="O2897" s="120"/>
      <c r="P2897" s="121"/>
      <c r="Q2897" s="120"/>
      <c r="R2897" s="121"/>
      <c r="S2897" s="120"/>
      <c r="T2897" s="121"/>
      <c r="U2897" s="120"/>
      <c r="V2897" s="123"/>
      <c r="W2897" s="125"/>
      <c r="X2897" s="142" t="s">
        <v>1997</v>
      </c>
      <c r="Y2897" s="143"/>
      <c r="Z2897" s="143"/>
      <c r="AA2897" s="143"/>
      <c r="AB2897" s="144"/>
      <c r="AC2897" s="16" t="s">
        <v>21</v>
      </c>
      <c r="AD2897" s="17" t="s">
        <v>9662</v>
      </c>
      <c r="AE2897" s="145" t="s">
        <v>2441</v>
      </c>
      <c r="AF2897" s="146"/>
      <c r="AG2897" s="146"/>
      <c r="AH2897" s="146"/>
      <c r="AI2897" s="147"/>
      <c r="AJ2897" s="148"/>
      <c r="AK2897" s="143"/>
      <c r="AL2897" s="144"/>
      <c r="AM2897" s="22"/>
      <c r="AN2897" s="149" t="s">
        <v>2511</v>
      </c>
      <c r="AO2897" s="144"/>
      <c r="AP2897" s="148">
        <v>60195</v>
      </c>
      <c r="AQ2897" s="144"/>
      <c r="AR2897" s="120"/>
      <c r="AS2897" s="121"/>
      <c r="AT2897" s="120"/>
      <c r="AU2897" s="121"/>
      <c r="AV2897" s="120"/>
      <c r="AW2897" s="121"/>
      <c r="AX2897" s="120"/>
      <c r="AY2897" s="121"/>
      <c r="AZ2897" s="138"/>
    </row>
    <row r="2898" spans="1:52" ht="17.100000000000001" customHeight="1" thickTop="1">
      <c r="A2898" s="109" t="s">
        <v>9308</v>
      </c>
      <c r="B2898" s="28">
        <v>45954</v>
      </c>
      <c r="C2898" s="25">
        <v>1391</v>
      </c>
      <c r="D2898" s="13" t="s">
        <v>1649</v>
      </c>
      <c r="E2898" s="111"/>
      <c r="F2898" s="113" t="s">
        <v>9323</v>
      </c>
      <c r="G2898" s="114"/>
      <c r="H2898" s="115"/>
      <c r="I2898" s="24"/>
      <c r="J2898" s="116">
        <v>4</v>
      </c>
      <c r="K2898" s="118">
        <v>317000</v>
      </c>
      <c r="L2898" s="119"/>
      <c r="M2898" s="118">
        <v>0</v>
      </c>
      <c r="N2898" s="119"/>
      <c r="O2898" s="118">
        <v>0</v>
      </c>
      <c r="P2898" s="119"/>
      <c r="Q2898" s="118">
        <v>9790</v>
      </c>
      <c r="R2898" s="119"/>
      <c r="S2898" s="118">
        <v>13200</v>
      </c>
      <c r="T2898" s="119"/>
      <c r="U2898" s="118">
        <f t="shared" ref="U2898" si="1796">SUM(K2898:T2899)</f>
        <v>339990</v>
      </c>
      <c r="V2898" s="122"/>
      <c r="W2898" s="124"/>
      <c r="X2898" s="126" t="s">
        <v>9713</v>
      </c>
      <c r="Y2898" s="127"/>
      <c r="Z2898" s="127"/>
      <c r="AA2898" s="127"/>
      <c r="AB2898" s="128"/>
      <c r="AC2898" s="15" t="s">
        <v>20</v>
      </c>
      <c r="AD2898" s="129" t="s">
        <v>9841</v>
      </c>
      <c r="AE2898" s="130"/>
      <c r="AF2898" s="130"/>
      <c r="AG2898" s="130"/>
      <c r="AH2898" s="130"/>
      <c r="AI2898" s="131"/>
      <c r="AJ2898" s="132"/>
      <c r="AK2898" s="127"/>
      <c r="AL2898" s="128"/>
      <c r="AM2898" s="21"/>
      <c r="AN2898" s="133">
        <v>45962</v>
      </c>
      <c r="AO2898" s="134"/>
      <c r="AP2898" s="135">
        <v>1274</v>
      </c>
      <c r="AQ2898" s="136"/>
      <c r="AR2898" s="118">
        <v>420000</v>
      </c>
      <c r="AS2898" s="119"/>
      <c r="AT2898" s="118">
        <v>0</v>
      </c>
      <c r="AU2898" s="119"/>
      <c r="AV2898" s="118">
        <v>9790</v>
      </c>
      <c r="AW2898" s="119"/>
      <c r="AX2898" s="118">
        <f t="shared" ref="AX2898" si="1797">SUM(AR2898:AW2898)</f>
        <v>429790</v>
      </c>
      <c r="AY2898" s="119"/>
      <c r="AZ2898" s="137">
        <v>45971</v>
      </c>
    </row>
    <row r="2899" spans="1:52" ht="17.100000000000001" customHeight="1" thickBot="1">
      <c r="A2899" s="110"/>
      <c r="B2899" s="27" t="s">
        <v>2641</v>
      </c>
      <c r="C2899" s="27">
        <v>7142</v>
      </c>
      <c r="D2899" s="14" t="s">
        <v>3793</v>
      </c>
      <c r="E2899" s="112"/>
      <c r="F2899" s="139" t="s">
        <v>9316</v>
      </c>
      <c r="G2899" s="140"/>
      <c r="H2899" s="141"/>
      <c r="I2899" s="26">
        <v>49522</v>
      </c>
      <c r="J2899" s="117"/>
      <c r="K2899" s="120"/>
      <c r="L2899" s="121"/>
      <c r="M2899" s="120"/>
      <c r="N2899" s="121"/>
      <c r="O2899" s="120"/>
      <c r="P2899" s="121"/>
      <c r="Q2899" s="120"/>
      <c r="R2899" s="121"/>
      <c r="S2899" s="120"/>
      <c r="T2899" s="121"/>
      <c r="U2899" s="120"/>
      <c r="V2899" s="123"/>
      <c r="W2899" s="125"/>
      <c r="X2899" s="142" t="s">
        <v>9714</v>
      </c>
      <c r="Y2899" s="143"/>
      <c r="Z2899" s="143"/>
      <c r="AA2899" s="143"/>
      <c r="AB2899" s="144"/>
      <c r="AC2899" s="16" t="s">
        <v>21</v>
      </c>
      <c r="AD2899" s="17" t="s">
        <v>9662</v>
      </c>
      <c r="AE2899" s="145" t="s">
        <v>9715</v>
      </c>
      <c r="AF2899" s="146"/>
      <c r="AG2899" s="146"/>
      <c r="AH2899" s="146"/>
      <c r="AI2899" s="147"/>
      <c r="AJ2899" s="148"/>
      <c r="AK2899" s="143"/>
      <c r="AL2899" s="144"/>
      <c r="AM2899" s="22"/>
      <c r="AN2899" s="149" t="s">
        <v>6748</v>
      </c>
      <c r="AO2899" s="144"/>
      <c r="AP2899" s="148">
        <v>60317</v>
      </c>
      <c r="AQ2899" s="144"/>
      <c r="AR2899" s="120"/>
      <c r="AS2899" s="121"/>
      <c r="AT2899" s="120"/>
      <c r="AU2899" s="121"/>
      <c r="AV2899" s="120"/>
      <c r="AW2899" s="121"/>
      <c r="AX2899" s="120"/>
      <c r="AY2899" s="121"/>
      <c r="AZ2899" s="138"/>
    </row>
    <row r="2900" spans="1:52" ht="17.100000000000001" customHeight="1" thickTop="1">
      <c r="A2900" s="109" t="s">
        <v>9429</v>
      </c>
      <c r="B2900" s="28">
        <v>45955</v>
      </c>
      <c r="C2900" s="25">
        <v>284</v>
      </c>
      <c r="D2900" s="13" t="s">
        <v>1795</v>
      </c>
      <c r="E2900" s="111"/>
      <c r="F2900" s="113" t="s">
        <v>9326</v>
      </c>
      <c r="G2900" s="114"/>
      <c r="H2900" s="115"/>
      <c r="I2900" s="24" t="s">
        <v>2919</v>
      </c>
      <c r="J2900" s="116">
        <v>4.5</v>
      </c>
      <c r="K2900" s="118">
        <v>992000</v>
      </c>
      <c r="L2900" s="119"/>
      <c r="M2900" s="118">
        <f t="shared" ref="M2900" si="1798">K2900*0.1</f>
        <v>99200</v>
      </c>
      <c r="N2900" s="119"/>
      <c r="O2900" s="118">
        <v>0</v>
      </c>
      <c r="P2900" s="119"/>
      <c r="Q2900" s="118">
        <v>6860</v>
      </c>
      <c r="R2900" s="119"/>
      <c r="S2900" s="118">
        <v>15950</v>
      </c>
      <c r="T2900" s="119"/>
      <c r="U2900" s="118">
        <f t="shared" ref="U2900" si="1799">SUM(K2900:T2901)</f>
        <v>1114010</v>
      </c>
      <c r="V2900" s="122"/>
      <c r="W2900" s="124"/>
      <c r="X2900" s="126" t="s">
        <v>9328</v>
      </c>
      <c r="Y2900" s="127"/>
      <c r="Z2900" s="127"/>
      <c r="AA2900" s="127"/>
      <c r="AB2900" s="128"/>
      <c r="AC2900" s="15" t="s">
        <v>20</v>
      </c>
      <c r="AD2900" s="129" t="s">
        <v>171</v>
      </c>
      <c r="AE2900" s="130"/>
      <c r="AF2900" s="130"/>
      <c r="AG2900" s="130"/>
      <c r="AH2900" s="130"/>
      <c r="AI2900" s="131"/>
      <c r="AJ2900" s="132"/>
      <c r="AK2900" s="127"/>
      <c r="AL2900" s="128"/>
      <c r="AM2900" s="21" t="s">
        <v>11015</v>
      </c>
      <c r="AN2900" s="133">
        <v>46053</v>
      </c>
      <c r="AO2900" s="134"/>
      <c r="AP2900" s="135">
        <v>1286</v>
      </c>
      <c r="AQ2900" s="136"/>
      <c r="AR2900" s="118">
        <v>1060000</v>
      </c>
      <c r="AS2900" s="119"/>
      <c r="AT2900" s="118">
        <f t="shared" ref="AT2900" si="1800">AR2900*0.1</f>
        <v>106000</v>
      </c>
      <c r="AU2900" s="119"/>
      <c r="AV2900" s="118">
        <v>6860</v>
      </c>
      <c r="AW2900" s="119"/>
      <c r="AX2900" s="118">
        <f t="shared" ref="AX2900" si="1801">SUM(AR2900:AW2900)</f>
        <v>1172860</v>
      </c>
      <c r="AY2900" s="119"/>
      <c r="AZ2900" s="137">
        <v>46056</v>
      </c>
    </row>
    <row r="2901" spans="1:52" ht="17.100000000000001" customHeight="1" thickBot="1">
      <c r="A2901" s="110"/>
      <c r="B2901" s="27" t="s">
        <v>3574</v>
      </c>
      <c r="C2901" s="27">
        <v>3138</v>
      </c>
      <c r="D2901" s="14" t="s">
        <v>1592</v>
      </c>
      <c r="E2901" s="112"/>
      <c r="F2901" s="139" t="s">
        <v>9327</v>
      </c>
      <c r="G2901" s="140"/>
      <c r="H2901" s="141"/>
      <c r="I2901" s="26">
        <v>6507</v>
      </c>
      <c r="J2901" s="117"/>
      <c r="K2901" s="120"/>
      <c r="L2901" s="121"/>
      <c r="M2901" s="120"/>
      <c r="N2901" s="121"/>
      <c r="O2901" s="120"/>
      <c r="P2901" s="121"/>
      <c r="Q2901" s="120"/>
      <c r="R2901" s="121"/>
      <c r="S2901" s="120"/>
      <c r="T2901" s="121"/>
      <c r="U2901" s="120"/>
      <c r="V2901" s="123"/>
      <c r="W2901" s="125"/>
      <c r="X2901" s="142" t="s">
        <v>6932</v>
      </c>
      <c r="Y2901" s="143"/>
      <c r="Z2901" s="143"/>
      <c r="AA2901" s="143"/>
      <c r="AB2901" s="144"/>
      <c r="AC2901" s="16" t="s">
        <v>21</v>
      </c>
      <c r="AD2901" s="17" t="s">
        <v>3335</v>
      </c>
      <c r="AE2901" s="145" t="s">
        <v>171</v>
      </c>
      <c r="AF2901" s="146"/>
      <c r="AG2901" s="146"/>
      <c r="AH2901" s="146"/>
      <c r="AI2901" s="147"/>
      <c r="AJ2901" s="148"/>
      <c r="AK2901" s="143"/>
      <c r="AL2901" s="144"/>
      <c r="AM2901" s="22"/>
      <c r="AN2901" s="149" t="s">
        <v>2511</v>
      </c>
      <c r="AO2901" s="144"/>
      <c r="AP2901" s="148">
        <v>60254</v>
      </c>
      <c r="AQ2901" s="144"/>
      <c r="AR2901" s="120"/>
      <c r="AS2901" s="121"/>
      <c r="AT2901" s="120"/>
      <c r="AU2901" s="121"/>
      <c r="AV2901" s="120"/>
      <c r="AW2901" s="121"/>
      <c r="AX2901" s="120"/>
      <c r="AY2901" s="121"/>
      <c r="AZ2901" s="138"/>
    </row>
    <row r="2902" spans="1:52" ht="17.100000000000001" customHeight="1" thickTop="1">
      <c r="A2902" s="109" t="s">
        <v>9430</v>
      </c>
      <c r="B2902" s="28">
        <v>45955</v>
      </c>
      <c r="C2902" s="25">
        <v>284</v>
      </c>
      <c r="D2902" s="13" t="s">
        <v>2187</v>
      </c>
      <c r="E2902" s="111"/>
      <c r="F2902" s="113" t="s">
        <v>9329</v>
      </c>
      <c r="G2902" s="114"/>
      <c r="H2902" s="115"/>
      <c r="I2902" s="24"/>
      <c r="J2902" s="116">
        <v>4</v>
      </c>
      <c r="K2902" s="118">
        <v>1153000</v>
      </c>
      <c r="L2902" s="119"/>
      <c r="M2902" s="118">
        <f t="shared" ref="M2902" si="1802">K2902*0.1</f>
        <v>115300</v>
      </c>
      <c r="N2902" s="119"/>
      <c r="O2902" s="118">
        <v>0</v>
      </c>
      <c r="P2902" s="119"/>
      <c r="Q2902" s="118">
        <v>7440</v>
      </c>
      <c r="R2902" s="119"/>
      <c r="S2902" s="118">
        <v>15950</v>
      </c>
      <c r="T2902" s="119"/>
      <c r="U2902" s="118">
        <f t="shared" ref="U2902" si="1803">SUM(K2902:T2903)</f>
        <v>1291690</v>
      </c>
      <c r="V2902" s="122"/>
      <c r="W2902" s="124"/>
      <c r="X2902" s="126" t="s">
        <v>9776</v>
      </c>
      <c r="Y2902" s="127"/>
      <c r="Z2902" s="127"/>
      <c r="AA2902" s="127"/>
      <c r="AB2902" s="128"/>
      <c r="AC2902" s="15" t="s">
        <v>20</v>
      </c>
      <c r="AD2902" s="129"/>
      <c r="AE2902" s="130"/>
      <c r="AF2902" s="130"/>
      <c r="AG2902" s="130"/>
      <c r="AH2902" s="130"/>
      <c r="AI2902" s="131"/>
      <c r="AJ2902" s="132"/>
      <c r="AK2902" s="127"/>
      <c r="AL2902" s="128"/>
      <c r="AM2902" s="21"/>
      <c r="AN2902" s="133">
        <v>45962</v>
      </c>
      <c r="AO2902" s="134"/>
      <c r="AP2902" s="135">
        <v>1274</v>
      </c>
      <c r="AQ2902" s="136"/>
      <c r="AR2902" s="118">
        <v>1285000</v>
      </c>
      <c r="AS2902" s="119"/>
      <c r="AT2902" s="118">
        <f t="shared" ref="AT2902" si="1804">AR2902*0.1</f>
        <v>128500</v>
      </c>
      <c r="AU2902" s="119"/>
      <c r="AV2902" s="118">
        <v>7440</v>
      </c>
      <c r="AW2902" s="119"/>
      <c r="AX2902" s="118">
        <f t="shared" ref="AX2902" si="1805">SUM(AR2902:AW2902)</f>
        <v>1420940</v>
      </c>
      <c r="AY2902" s="119"/>
      <c r="AZ2902" s="137">
        <v>45965</v>
      </c>
    </row>
    <row r="2903" spans="1:52" ht="17.100000000000001" customHeight="1" thickBot="1">
      <c r="A2903" s="110"/>
      <c r="B2903" s="27" t="s">
        <v>3574</v>
      </c>
      <c r="C2903" s="27">
        <v>62014</v>
      </c>
      <c r="D2903" s="14" t="s">
        <v>1592</v>
      </c>
      <c r="E2903" s="112"/>
      <c r="F2903" s="139" t="s">
        <v>9330</v>
      </c>
      <c r="G2903" s="140"/>
      <c r="H2903" s="141"/>
      <c r="I2903" s="26">
        <v>45613</v>
      </c>
      <c r="J2903" s="117"/>
      <c r="K2903" s="120"/>
      <c r="L2903" s="121"/>
      <c r="M2903" s="120"/>
      <c r="N2903" s="121"/>
      <c r="O2903" s="120"/>
      <c r="P2903" s="121"/>
      <c r="Q2903" s="120"/>
      <c r="R2903" s="121"/>
      <c r="S2903" s="120"/>
      <c r="T2903" s="121"/>
      <c r="U2903" s="120"/>
      <c r="V2903" s="123"/>
      <c r="W2903" s="125"/>
      <c r="X2903" s="142" t="s">
        <v>7450</v>
      </c>
      <c r="Y2903" s="143"/>
      <c r="Z2903" s="143"/>
      <c r="AA2903" s="143"/>
      <c r="AB2903" s="144"/>
      <c r="AC2903" s="16" t="s">
        <v>21</v>
      </c>
      <c r="AD2903" s="17" t="s">
        <v>3335</v>
      </c>
      <c r="AE2903" s="145"/>
      <c r="AF2903" s="146"/>
      <c r="AG2903" s="146"/>
      <c r="AH2903" s="146"/>
      <c r="AI2903" s="147"/>
      <c r="AJ2903" s="148"/>
      <c r="AK2903" s="143"/>
      <c r="AL2903" s="144"/>
      <c r="AM2903" s="22"/>
      <c r="AN2903" s="149" t="s">
        <v>2511</v>
      </c>
      <c r="AO2903" s="144"/>
      <c r="AP2903" s="148">
        <v>41020</v>
      </c>
      <c r="AQ2903" s="144"/>
      <c r="AR2903" s="120"/>
      <c r="AS2903" s="121"/>
      <c r="AT2903" s="120"/>
      <c r="AU2903" s="121"/>
      <c r="AV2903" s="120"/>
      <c r="AW2903" s="121"/>
      <c r="AX2903" s="120"/>
      <c r="AY2903" s="121"/>
      <c r="AZ2903" s="138"/>
    </row>
    <row r="2904" spans="1:52" ht="17.100000000000001" customHeight="1" thickTop="1">
      <c r="A2904" s="109" t="s">
        <v>9431</v>
      </c>
      <c r="B2904" s="28">
        <v>45955</v>
      </c>
      <c r="C2904" s="25">
        <v>995</v>
      </c>
      <c r="D2904" s="13" t="s">
        <v>1631</v>
      </c>
      <c r="E2904" s="111"/>
      <c r="F2904" s="113" t="s">
        <v>9324</v>
      </c>
      <c r="G2904" s="114"/>
      <c r="H2904" s="115"/>
      <c r="I2904" s="24"/>
      <c r="J2904" s="116">
        <v>4.5</v>
      </c>
      <c r="K2904" s="118">
        <v>1402000</v>
      </c>
      <c r="L2904" s="119"/>
      <c r="M2904" s="118">
        <f t="shared" ref="M2904" si="1806">K2904*0.1</f>
        <v>140200</v>
      </c>
      <c r="N2904" s="119"/>
      <c r="O2904" s="118">
        <v>0</v>
      </c>
      <c r="P2904" s="119"/>
      <c r="Q2904" s="118">
        <v>17600</v>
      </c>
      <c r="R2904" s="119"/>
      <c r="S2904" s="118">
        <v>15950</v>
      </c>
      <c r="T2904" s="119"/>
      <c r="U2904" s="118">
        <f t="shared" ref="U2904" si="1807">SUM(K2904:T2905)</f>
        <v>1575750</v>
      </c>
      <c r="V2904" s="122"/>
      <c r="W2904" s="124"/>
      <c r="X2904" s="126" t="s">
        <v>9905</v>
      </c>
      <c r="Y2904" s="127"/>
      <c r="Z2904" s="127"/>
      <c r="AA2904" s="127"/>
      <c r="AB2904" s="128"/>
      <c r="AC2904" s="15" t="s">
        <v>20</v>
      </c>
      <c r="AD2904" s="129"/>
      <c r="AE2904" s="130"/>
      <c r="AF2904" s="130"/>
      <c r="AG2904" s="130"/>
      <c r="AH2904" s="130"/>
      <c r="AI2904" s="131"/>
      <c r="AJ2904" s="132"/>
      <c r="AK2904" s="127"/>
      <c r="AL2904" s="128"/>
      <c r="AM2904" s="21"/>
      <c r="AN2904" s="133">
        <v>45962</v>
      </c>
      <c r="AO2904" s="134"/>
      <c r="AP2904" s="135">
        <v>1274</v>
      </c>
      <c r="AQ2904" s="136"/>
      <c r="AR2904" s="118">
        <v>1565000</v>
      </c>
      <c r="AS2904" s="119"/>
      <c r="AT2904" s="118">
        <f t="shared" ref="AT2904" si="1808">AR2904*0.1</f>
        <v>156500</v>
      </c>
      <c r="AU2904" s="119"/>
      <c r="AV2904" s="118">
        <v>17600</v>
      </c>
      <c r="AW2904" s="119"/>
      <c r="AX2904" s="118">
        <f t="shared" ref="AX2904" si="1809">SUM(AR2904:AW2904)</f>
        <v>1739100</v>
      </c>
      <c r="AY2904" s="119"/>
      <c r="AZ2904" s="137">
        <v>45965</v>
      </c>
    </row>
    <row r="2905" spans="1:52" ht="17.100000000000001" customHeight="1" thickBot="1">
      <c r="A2905" s="110"/>
      <c r="B2905" s="27" t="s">
        <v>1707</v>
      </c>
      <c r="C2905" s="27">
        <v>5084</v>
      </c>
      <c r="D2905" s="14" t="s">
        <v>2800</v>
      </c>
      <c r="E2905" s="112"/>
      <c r="F2905" s="139" t="s">
        <v>9325</v>
      </c>
      <c r="G2905" s="140"/>
      <c r="H2905" s="141"/>
      <c r="I2905" s="26">
        <v>59477</v>
      </c>
      <c r="J2905" s="117"/>
      <c r="K2905" s="120"/>
      <c r="L2905" s="121"/>
      <c r="M2905" s="120"/>
      <c r="N2905" s="121"/>
      <c r="O2905" s="120"/>
      <c r="P2905" s="121"/>
      <c r="Q2905" s="120"/>
      <c r="R2905" s="121"/>
      <c r="S2905" s="120"/>
      <c r="T2905" s="121"/>
      <c r="U2905" s="120"/>
      <c r="V2905" s="123"/>
      <c r="W2905" s="125"/>
      <c r="X2905" s="142" t="s">
        <v>9906</v>
      </c>
      <c r="Y2905" s="143"/>
      <c r="Z2905" s="143"/>
      <c r="AA2905" s="143"/>
      <c r="AB2905" s="144"/>
      <c r="AC2905" s="16" t="s">
        <v>21</v>
      </c>
      <c r="AD2905" s="17" t="s">
        <v>9858</v>
      </c>
      <c r="AE2905" s="145" t="s">
        <v>4077</v>
      </c>
      <c r="AF2905" s="146"/>
      <c r="AG2905" s="146"/>
      <c r="AH2905" s="146"/>
      <c r="AI2905" s="147"/>
      <c r="AJ2905" s="148"/>
      <c r="AK2905" s="143"/>
      <c r="AL2905" s="144"/>
      <c r="AM2905" s="22"/>
      <c r="AN2905" s="149" t="s">
        <v>2511</v>
      </c>
      <c r="AO2905" s="144"/>
      <c r="AP2905" s="148">
        <v>80234</v>
      </c>
      <c r="AQ2905" s="144"/>
      <c r="AR2905" s="120"/>
      <c r="AS2905" s="121"/>
      <c r="AT2905" s="120"/>
      <c r="AU2905" s="121"/>
      <c r="AV2905" s="120"/>
      <c r="AW2905" s="121"/>
      <c r="AX2905" s="120"/>
      <c r="AY2905" s="121"/>
      <c r="AZ2905" s="138"/>
    </row>
    <row r="2906" spans="1:52" ht="17.100000000000001" customHeight="1" thickTop="1">
      <c r="A2906" s="109" t="s">
        <v>9432</v>
      </c>
      <c r="B2906" s="28">
        <v>45955</v>
      </c>
      <c r="C2906" s="25">
        <v>1516</v>
      </c>
      <c r="D2906" s="13" t="s">
        <v>2689</v>
      </c>
      <c r="E2906" s="111"/>
      <c r="F2906" s="113" t="s">
        <v>9367</v>
      </c>
      <c r="G2906" s="114"/>
      <c r="H2906" s="115"/>
      <c r="I2906" s="24" t="s">
        <v>2533</v>
      </c>
      <c r="J2906" s="116">
        <v>4.5</v>
      </c>
      <c r="K2906" s="118">
        <v>1055000</v>
      </c>
      <c r="L2906" s="119"/>
      <c r="M2906" s="118">
        <f t="shared" ref="M2906" si="1810">K2906*0.1</f>
        <v>105500</v>
      </c>
      <c r="N2906" s="119"/>
      <c r="O2906" s="118">
        <f>12700+1270</f>
        <v>13970</v>
      </c>
      <c r="P2906" s="119"/>
      <c r="Q2906" s="118">
        <v>12270</v>
      </c>
      <c r="R2906" s="119"/>
      <c r="S2906" s="118">
        <v>16500</v>
      </c>
      <c r="T2906" s="119"/>
      <c r="U2906" s="118">
        <f t="shared" ref="U2906" si="1811">SUM(K2906:T2907)</f>
        <v>1203240</v>
      </c>
      <c r="V2906" s="122"/>
      <c r="W2906" s="124"/>
      <c r="X2906" s="126" t="s">
        <v>9369</v>
      </c>
      <c r="Y2906" s="127"/>
      <c r="Z2906" s="127"/>
      <c r="AA2906" s="127"/>
      <c r="AB2906" s="128"/>
      <c r="AC2906" s="15" t="s">
        <v>20</v>
      </c>
      <c r="AD2906" s="129" t="s">
        <v>1732</v>
      </c>
      <c r="AE2906" s="130"/>
      <c r="AF2906" s="130"/>
      <c r="AG2906" s="130"/>
      <c r="AH2906" s="130"/>
      <c r="AI2906" s="131"/>
      <c r="AJ2906" s="132"/>
      <c r="AK2906" s="127"/>
      <c r="AL2906" s="128"/>
      <c r="AM2906" s="21"/>
      <c r="AN2906" s="133">
        <v>45974</v>
      </c>
      <c r="AO2906" s="134"/>
      <c r="AP2906" s="135">
        <v>1306</v>
      </c>
      <c r="AQ2906" s="136"/>
      <c r="AR2906" s="118">
        <v>1230000</v>
      </c>
      <c r="AS2906" s="119"/>
      <c r="AT2906" s="118">
        <f t="shared" ref="AT2906" si="1812">AR2906*0.1</f>
        <v>123000</v>
      </c>
      <c r="AU2906" s="119"/>
      <c r="AV2906" s="118">
        <v>12270</v>
      </c>
      <c r="AW2906" s="119"/>
      <c r="AX2906" s="118">
        <f t="shared" ref="AX2906" si="1813">SUM(AR2906:AW2906)</f>
        <v>1365270</v>
      </c>
      <c r="AY2906" s="119"/>
      <c r="AZ2906" s="137">
        <v>45975</v>
      </c>
    </row>
    <row r="2907" spans="1:52" ht="17.100000000000001" customHeight="1" thickBot="1">
      <c r="A2907" s="110"/>
      <c r="B2907" s="27" t="s">
        <v>1555</v>
      </c>
      <c r="C2907" s="27">
        <v>50019</v>
      </c>
      <c r="D2907" s="14" t="s">
        <v>904</v>
      </c>
      <c r="E2907" s="112"/>
      <c r="F2907" s="139" t="s">
        <v>9368</v>
      </c>
      <c r="G2907" s="140"/>
      <c r="H2907" s="141"/>
      <c r="I2907" s="26">
        <v>11916</v>
      </c>
      <c r="J2907" s="117"/>
      <c r="K2907" s="120"/>
      <c r="L2907" s="121"/>
      <c r="M2907" s="120"/>
      <c r="N2907" s="121"/>
      <c r="O2907" s="120"/>
      <c r="P2907" s="121"/>
      <c r="Q2907" s="120"/>
      <c r="R2907" s="121"/>
      <c r="S2907" s="120"/>
      <c r="T2907" s="121"/>
      <c r="U2907" s="120"/>
      <c r="V2907" s="123"/>
      <c r="W2907" s="125"/>
      <c r="X2907" s="142" t="s">
        <v>9774</v>
      </c>
      <c r="Y2907" s="143"/>
      <c r="Z2907" s="143"/>
      <c r="AA2907" s="143"/>
      <c r="AB2907" s="144"/>
      <c r="AC2907" s="16" t="s">
        <v>21</v>
      </c>
      <c r="AD2907" s="17" t="s">
        <v>3335</v>
      </c>
      <c r="AE2907" s="145" t="s">
        <v>1614</v>
      </c>
      <c r="AF2907" s="146"/>
      <c r="AG2907" s="146"/>
      <c r="AH2907" s="146"/>
      <c r="AI2907" s="147"/>
      <c r="AJ2907" s="148"/>
      <c r="AK2907" s="143"/>
      <c r="AL2907" s="144"/>
      <c r="AM2907" s="22"/>
      <c r="AN2907" s="149" t="s">
        <v>1747</v>
      </c>
      <c r="AO2907" s="144"/>
      <c r="AP2907" s="148">
        <v>972</v>
      </c>
      <c r="AQ2907" s="144"/>
      <c r="AR2907" s="120"/>
      <c r="AS2907" s="121"/>
      <c r="AT2907" s="120"/>
      <c r="AU2907" s="121"/>
      <c r="AV2907" s="120"/>
      <c r="AW2907" s="121"/>
      <c r="AX2907" s="120"/>
      <c r="AY2907" s="121"/>
      <c r="AZ2907" s="138"/>
    </row>
    <row r="2908" spans="1:52" ht="17.100000000000001" customHeight="1" thickTop="1">
      <c r="A2908" s="109" t="s">
        <v>9434</v>
      </c>
      <c r="B2908" s="28">
        <v>45955</v>
      </c>
      <c r="C2908" s="25">
        <v>1273</v>
      </c>
      <c r="D2908" s="13" t="s">
        <v>1712</v>
      </c>
      <c r="E2908" s="111"/>
      <c r="F2908" s="113" t="s">
        <v>5435</v>
      </c>
      <c r="G2908" s="114"/>
      <c r="H2908" s="115"/>
      <c r="I2908" s="24" t="s">
        <v>5112</v>
      </c>
      <c r="J2908" s="150" t="s">
        <v>1715</v>
      </c>
      <c r="K2908" s="118">
        <v>285000</v>
      </c>
      <c r="L2908" s="119"/>
      <c r="M2908" s="118">
        <f t="shared" ref="M2908" si="1814">K2908*0.1</f>
        <v>28500</v>
      </c>
      <c r="N2908" s="119"/>
      <c r="O2908" s="118">
        <v>0</v>
      </c>
      <c r="P2908" s="119"/>
      <c r="Q2908" s="118">
        <v>7950</v>
      </c>
      <c r="R2908" s="119"/>
      <c r="S2908" s="118">
        <v>9900</v>
      </c>
      <c r="T2908" s="119"/>
      <c r="U2908" s="118">
        <f t="shared" ref="U2908" si="1815">SUM(K2908:T2909)</f>
        <v>331350</v>
      </c>
      <c r="V2908" s="122"/>
      <c r="W2908" s="124"/>
      <c r="X2908" s="126" t="s">
        <v>9405</v>
      </c>
      <c r="Y2908" s="127"/>
      <c r="Z2908" s="127"/>
      <c r="AA2908" s="127"/>
      <c r="AB2908" s="128"/>
      <c r="AC2908" s="15" t="s">
        <v>20</v>
      </c>
      <c r="AD2908" s="129"/>
      <c r="AE2908" s="130"/>
      <c r="AF2908" s="130"/>
      <c r="AG2908" s="130"/>
      <c r="AH2908" s="130"/>
      <c r="AI2908" s="131"/>
      <c r="AJ2908" s="132"/>
      <c r="AK2908" s="127"/>
      <c r="AL2908" s="128"/>
      <c r="AM2908" s="21"/>
      <c r="AN2908" s="133">
        <v>46102</v>
      </c>
      <c r="AO2908" s="134"/>
      <c r="AP2908" s="135">
        <v>1293</v>
      </c>
      <c r="AQ2908" s="136"/>
      <c r="AR2908" s="118">
        <v>245000</v>
      </c>
      <c r="AS2908" s="119"/>
      <c r="AT2908" s="118">
        <f t="shared" ref="AT2908" si="1816">AR2908*0.1</f>
        <v>24500</v>
      </c>
      <c r="AU2908" s="119"/>
      <c r="AV2908" s="118">
        <v>7950</v>
      </c>
      <c r="AW2908" s="119"/>
      <c r="AX2908" s="118">
        <f t="shared" ref="AX2908" si="1817">SUM(AR2908:AW2908)</f>
        <v>277450</v>
      </c>
      <c r="AY2908" s="119"/>
      <c r="AZ2908" s="137">
        <v>46105</v>
      </c>
    </row>
    <row r="2909" spans="1:52" ht="17.100000000000001" customHeight="1" thickBot="1">
      <c r="A2909" s="110"/>
      <c r="B2909" s="27" t="s">
        <v>2511</v>
      </c>
      <c r="C2909" s="27">
        <v>60403</v>
      </c>
      <c r="D2909" s="14" t="s">
        <v>3327</v>
      </c>
      <c r="E2909" s="112"/>
      <c r="F2909" s="139" t="s">
        <v>9404</v>
      </c>
      <c r="G2909" s="140"/>
      <c r="H2909" s="141"/>
      <c r="I2909" s="26">
        <v>99425</v>
      </c>
      <c r="J2909" s="117"/>
      <c r="K2909" s="120"/>
      <c r="L2909" s="121"/>
      <c r="M2909" s="120"/>
      <c r="N2909" s="121"/>
      <c r="O2909" s="120"/>
      <c r="P2909" s="121"/>
      <c r="Q2909" s="120"/>
      <c r="R2909" s="121"/>
      <c r="S2909" s="120"/>
      <c r="T2909" s="121"/>
      <c r="U2909" s="120"/>
      <c r="V2909" s="123"/>
      <c r="W2909" s="125"/>
      <c r="X2909" s="142" t="s">
        <v>9888</v>
      </c>
      <c r="Y2909" s="143"/>
      <c r="Z2909" s="143"/>
      <c r="AA2909" s="143"/>
      <c r="AB2909" s="144"/>
      <c r="AC2909" s="16" t="s">
        <v>21</v>
      </c>
      <c r="AD2909" s="17" t="s">
        <v>9858</v>
      </c>
      <c r="AE2909" s="145" t="s">
        <v>171</v>
      </c>
      <c r="AF2909" s="146"/>
      <c r="AG2909" s="146"/>
      <c r="AH2909" s="146"/>
      <c r="AI2909" s="147"/>
      <c r="AJ2909" s="148"/>
      <c r="AK2909" s="143"/>
      <c r="AL2909" s="144"/>
      <c r="AM2909" s="22"/>
      <c r="AN2909" s="149" t="s">
        <v>2511</v>
      </c>
      <c r="AO2909" s="144"/>
      <c r="AP2909" s="148">
        <v>60275</v>
      </c>
      <c r="AQ2909" s="144"/>
      <c r="AR2909" s="120"/>
      <c r="AS2909" s="121"/>
      <c r="AT2909" s="120"/>
      <c r="AU2909" s="121"/>
      <c r="AV2909" s="120"/>
      <c r="AW2909" s="121"/>
      <c r="AX2909" s="120"/>
      <c r="AY2909" s="121"/>
      <c r="AZ2909" s="138"/>
    </row>
    <row r="2910" spans="1:52" ht="17.100000000000001" customHeight="1" thickTop="1">
      <c r="A2910" s="109" t="s">
        <v>9435</v>
      </c>
      <c r="B2910" s="28">
        <v>45955</v>
      </c>
      <c r="C2910" s="25">
        <v>1273</v>
      </c>
      <c r="D2910" s="13" t="s">
        <v>1606</v>
      </c>
      <c r="E2910" s="111"/>
      <c r="F2910" s="113" t="s">
        <v>2993</v>
      </c>
      <c r="G2910" s="114"/>
      <c r="H2910" s="115"/>
      <c r="I2910" s="24"/>
      <c r="J2910" s="116">
        <v>3.5</v>
      </c>
      <c r="K2910" s="118">
        <v>142000</v>
      </c>
      <c r="L2910" s="119"/>
      <c r="M2910" s="118">
        <f t="shared" ref="M2910" si="1818">K2910*0.1</f>
        <v>14200</v>
      </c>
      <c r="N2910" s="119"/>
      <c r="O2910" s="118">
        <v>0</v>
      </c>
      <c r="P2910" s="119"/>
      <c r="Q2910" s="118">
        <v>8400</v>
      </c>
      <c r="R2910" s="119"/>
      <c r="S2910" s="118">
        <v>9900</v>
      </c>
      <c r="T2910" s="119"/>
      <c r="U2910" s="118">
        <f t="shared" ref="U2910" si="1819">SUM(K2910:T2911)</f>
        <v>174500</v>
      </c>
      <c r="V2910" s="122"/>
      <c r="W2910" s="124"/>
      <c r="X2910" s="126" t="s">
        <v>10160</v>
      </c>
      <c r="Y2910" s="127"/>
      <c r="Z2910" s="127"/>
      <c r="AA2910" s="127"/>
      <c r="AB2910" s="128"/>
      <c r="AC2910" s="15" t="s">
        <v>20</v>
      </c>
      <c r="AD2910" s="129" t="s">
        <v>1670</v>
      </c>
      <c r="AE2910" s="130"/>
      <c r="AF2910" s="130"/>
      <c r="AG2910" s="130"/>
      <c r="AH2910" s="130"/>
      <c r="AI2910" s="131"/>
      <c r="AJ2910" s="132"/>
      <c r="AK2910" s="127"/>
      <c r="AL2910" s="128"/>
      <c r="AM2910" s="21"/>
      <c r="AN2910" s="133">
        <v>45983</v>
      </c>
      <c r="AO2910" s="134"/>
      <c r="AP2910" s="135">
        <v>1277</v>
      </c>
      <c r="AQ2910" s="136"/>
      <c r="AR2910" s="118">
        <v>135000</v>
      </c>
      <c r="AS2910" s="119"/>
      <c r="AT2910" s="118">
        <f t="shared" ref="AT2910" si="1820">AR2910*0.1</f>
        <v>13500</v>
      </c>
      <c r="AU2910" s="119"/>
      <c r="AV2910" s="118">
        <v>8400</v>
      </c>
      <c r="AW2910" s="119"/>
      <c r="AX2910" s="118">
        <f t="shared" ref="AX2910" si="1821">SUM(AR2910:AW2910)</f>
        <v>156900</v>
      </c>
      <c r="AY2910" s="119"/>
      <c r="AZ2910" s="137">
        <v>45987</v>
      </c>
    </row>
    <row r="2911" spans="1:52" ht="17.100000000000001" customHeight="1" thickBot="1">
      <c r="A2911" s="110"/>
      <c r="B2911" s="27" t="s">
        <v>2511</v>
      </c>
      <c r="C2911" s="27">
        <v>63172</v>
      </c>
      <c r="D2911" s="14" t="s">
        <v>1576</v>
      </c>
      <c r="E2911" s="112"/>
      <c r="F2911" s="139" t="s">
        <v>9370</v>
      </c>
      <c r="G2911" s="140"/>
      <c r="H2911" s="141"/>
      <c r="I2911" s="26">
        <v>171230</v>
      </c>
      <c r="J2911" s="117"/>
      <c r="K2911" s="120"/>
      <c r="L2911" s="121"/>
      <c r="M2911" s="120"/>
      <c r="N2911" s="121"/>
      <c r="O2911" s="120"/>
      <c r="P2911" s="121"/>
      <c r="Q2911" s="120"/>
      <c r="R2911" s="121"/>
      <c r="S2911" s="120"/>
      <c r="T2911" s="121"/>
      <c r="U2911" s="120"/>
      <c r="V2911" s="123"/>
      <c r="W2911" s="125"/>
      <c r="X2911" s="142" t="s">
        <v>10161</v>
      </c>
      <c r="Y2911" s="143"/>
      <c r="Z2911" s="143"/>
      <c r="AA2911" s="143"/>
      <c r="AB2911" s="144"/>
      <c r="AC2911" s="16" t="s">
        <v>21</v>
      </c>
      <c r="AD2911" s="17" t="s">
        <v>10146</v>
      </c>
      <c r="AE2911" s="145" t="s">
        <v>1670</v>
      </c>
      <c r="AF2911" s="146"/>
      <c r="AG2911" s="146"/>
      <c r="AH2911" s="146"/>
      <c r="AI2911" s="147"/>
      <c r="AJ2911" s="148"/>
      <c r="AK2911" s="143"/>
      <c r="AL2911" s="144"/>
      <c r="AM2911" s="22"/>
      <c r="AN2911" s="149" t="s">
        <v>2511</v>
      </c>
      <c r="AO2911" s="144"/>
      <c r="AP2911" s="148">
        <v>90131</v>
      </c>
      <c r="AQ2911" s="144"/>
      <c r="AR2911" s="120"/>
      <c r="AS2911" s="121"/>
      <c r="AT2911" s="120"/>
      <c r="AU2911" s="121"/>
      <c r="AV2911" s="120"/>
      <c r="AW2911" s="121"/>
      <c r="AX2911" s="120"/>
      <c r="AY2911" s="121"/>
      <c r="AZ2911" s="138"/>
    </row>
    <row r="2912" spans="1:52" ht="17.100000000000001" customHeight="1" thickTop="1">
      <c r="A2912" s="109" t="s">
        <v>9436</v>
      </c>
      <c r="B2912" s="28">
        <v>45955</v>
      </c>
      <c r="C2912" s="25">
        <v>1273</v>
      </c>
      <c r="D2912" s="13" t="s">
        <v>2407</v>
      </c>
      <c r="E2912" s="111"/>
      <c r="F2912" s="113" t="s">
        <v>9371</v>
      </c>
      <c r="G2912" s="114"/>
      <c r="H2912" s="115"/>
      <c r="I2912" s="24"/>
      <c r="J2912" s="116">
        <v>4</v>
      </c>
      <c r="K2912" s="118">
        <v>156000</v>
      </c>
      <c r="L2912" s="119"/>
      <c r="M2912" s="118">
        <f t="shared" ref="M2912" si="1822">K2912*0.1</f>
        <v>15600</v>
      </c>
      <c r="N2912" s="119"/>
      <c r="O2912" s="118">
        <v>0</v>
      </c>
      <c r="P2912" s="119"/>
      <c r="Q2912" s="118">
        <v>9790</v>
      </c>
      <c r="R2912" s="119"/>
      <c r="S2912" s="118">
        <v>9900</v>
      </c>
      <c r="T2912" s="119"/>
      <c r="U2912" s="118">
        <f t="shared" ref="U2912" si="1823">SUM(K2912:T2913)</f>
        <v>191290</v>
      </c>
      <c r="V2912" s="122"/>
      <c r="W2912" s="124"/>
      <c r="X2912" s="126" t="s">
        <v>9894</v>
      </c>
      <c r="Y2912" s="127"/>
      <c r="Z2912" s="127"/>
      <c r="AA2912" s="127"/>
      <c r="AB2912" s="128"/>
      <c r="AC2912" s="15" t="s">
        <v>20</v>
      </c>
      <c r="AD2912" s="129"/>
      <c r="AE2912" s="130"/>
      <c r="AF2912" s="130"/>
      <c r="AG2912" s="130"/>
      <c r="AH2912" s="130"/>
      <c r="AI2912" s="131"/>
      <c r="AJ2912" s="132"/>
      <c r="AK2912" s="127"/>
      <c r="AL2912" s="128"/>
      <c r="AM2912" s="21"/>
      <c r="AN2912" s="133">
        <v>45969</v>
      </c>
      <c r="AO2912" s="134"/>
      <c r="AP2912" s="135">
        <v>1275</v>
      </c>
      <c r="AQ2912" s="136"/>
      <c r="AR2912" s="118">
        <v>139000</v>
      </c>
      <c r="AS2912" s="119"/>
      <c r="AT2912" s="118">
        <v>13900</v>
      </c>
      <c r="AU2912" s="119"/>
      <c r="AV2912" s="118">
        <v>9790</v>
      </c>
      <c r="AW2912" s="119"/>
      <c r="AX2912" s="118">
        <f t="shared" ref="AX2912" si="1824">SUM(AR2912:AW2912)</f>
        <v>162690</v>
      </c>
      <c r="AY2912" s="119"/>
      <c r="AZ2912" s="137">
        <v>45972</v>
      </c>
    </row>
    <row r="2913" spans="1:52" ht="17.100000000000001" customHeight="1" thickBot="1">
      <c r="A2913" s="110"/>
      <c r="B2913" s="27" t="s">
        <v>2511</v>
      </c>
      <c r="C2913" s="27">
        <v>63201</v>
      </c>
      <c r="D2913" s="14" t="s">
        <v>133</v>
      </c>
      <c r="E2913" s="112"/>
      <c r="F2913" s="139" t="s">
        <v>9372</v>
      </c>
      <c r="G2913" s="140"/>
      <c r="H2913" s="141"/>
      <c r="I2913" s="26">
        <v>149631</v>
      </c>
      <c r="J2913" s="117"/>
      <c r="K2913" s="120"/>
      <c r="L2913" s="121"/>
      <c r="M2913" s="120"/>
      <c r="N2913" s="121"/>
      <c r="O2913" s="120"/>
      <c r="P2913" s="121"/>
      <c r="Q2913" s="120"/>
      <c r="R2913" s="121"/>
      <c r="S2913" s="120"/>
      <c r="T2913" s="121"/>
      <c r="U2913" s="120"/>
      <c r="V2913" s="123"/>
      <c r="W2913" s="125"/>
      <c r="X2913" s="142" t="s">
        <v>6837</v>
      </c>
      <c r="Y2913" s="143"/>
      <c r="Z2913" s="143"/>
      <c r="AA2913" s="143"/>
      <c r="AB2913" s="144"/>
      <c r="AC2913" s="16" t="s">
        <v>21</v>
      </c>
      <c r="AD2913" s="17" t="s">
        <v>9858</v>
      </c>
      <c r="AE2913" s="145"/>
      <c r="AF2913" s="146"/>
      <c r="AG2913" s="146"/>
      <c r="AH2913" s="146"/>
      <c r="AI2913" s="147"/>
      <c r="AJ2913" s="148"/>
      <c r="AK2913" s="143"/>
      <c r="AL2913" s="144"/>
      <c r="AM2913" s="22"/>
      <c r="AN2913" s="149" t="s">
        <v>2511</v>
      </c>
      <c r="AO2913" s="144"/>
      <c r="AP2913" s="148">
        <v>63145</v>
      </c>
      <c r="AQ2913" s="144"/>
      <c r="AR2913" s="120"/>
      <c r="AS2913" s="121"/>
      <c r="AT2913" s="120"/>
      <c r="AU2913" s="121"/>
      <c r="AV2913" s="120"/>
      <c r="AW2913" s="121"/>
      <c r="AX2913" s="120"/>
      <c r="AY2913" s="121"/>
      <c r="AZ2913" s="138"/>
    </row>
    <row r="2914" spans="1:52" ht="17.100000000000001" customHeight="1" thickTop="1">
      <c r="A2914" s="109" t="s">
        <v>9437</v>
      </c>
      <c r="B2914" s="28">
        <v>45955</v>
      </c>
      <c r="C2914" s="25">
        <v>1273</v>
      </c>
      <c r="D2914" s="13" t="s">
        <v>1642</v>
      </c>
      <c r="E2914" s="111"/>
      <c r="F2914" s="113" t="s">
        <v>2598</v>
      </c>
      <c r="G2914" s="114"/>
      <c r="H2914" s="115"/>
      <c r="I2914" s="24" t="s">
        <v>1559</v>
      </c>
      <c r="J2914" s="116">
        <v>4.5</v>
      </c>
      <c r="K2914" s="118">
        <v>1230000</v>
      </c>
      <c r="L2914" s="119"/>
      <c r="M2914" s="118">
        <f t="shared" ref="M2914" si="1825">K2914*0.1</f>
        <v>123000</v>
      </c>
      <c r="N2914" s="119"/>
      <c r="O2914" s="118">
        <v>0</v>
      </c>
      <c r="P2914" s="119"/>
      <c r="Q2914" s="118">
        <v>8550</v>
      </c>
      <c r="R2914" s="119"/>
      <c r="S2914" s="118">
        <v>13200</v>
      </c>
      <c r="T2914" s="119"/>
      <c r="U2914" s="118">
        <f t="shared" ref="U2914" si="1826">SUM(K2914:T2915)</f>
        <v>1374750</v>
      </c>
      <c r="V2914" s="122"/>
      <c r="W2914" s="124"/>
      <c r="X2914" s="126" t="s">
        <v>9374</v>
      </c>
      <c r="Y2914" s="127"/>
      <c r="Z2914" s="127"/>
      <c r="AA2914" s="127"/>
      <c r="AB2914" s="128"/>
      <c r="AC2914" s="15" t="s">
        <v>20</v>
      </c>
      <c r="AD2914" s="129" t="s">
        <v>9375</v>
      </c>
      <c r="AE2914" s="130"/>
      <c r="AF2914" s="130"/>
      <c r="AG2914" s="130"/>
      <c r="AH2914" s="130"/>
      <c r="AI2914" s="131"/>
      <c r="AJ2914" s="132"/>
      <c r="AK2914" s="127"/>
      <c r="AL2914" s="128"/>
      <c r="AM2914" s="21" t="s">
        <v>11035</v>
      </c>
      <c r="AN2914" s="133">
        <v>45983</v>
      </c>
      <c r="AO2914" s="134"/>
      <c r="AP2914" s="135">
        <v>1277</v>
      </c>
      <c r="AQ2914" s="136"/>
      <c r="AR2914" s="118">
        <v>1350000</v>
      </c>
      <c r="AS2914" s="119"/>
      <c r="AT2914" s="118">
        <f t="shared" ref="AT2914" si="1827">AR2914*0.1</f>
        <v>135000</v>
      </c>
      <c r="AU2914" s="119"/>
      <c r="AV2914" s="118">
        <v>8550</v>
      </c>
      <c r="AW2914" s="119"/>
      <c r="AX2914" s="118">
        <f t="shared" ref="AX2914" si="1828">SUM(AR2914:AW2914)</f>
        <v>1493550</v>
      </c>
      <c r="AY2914" s="119"/>
      <c r="AZ2914" s="137">
        <v>45992</v>
      </c>
    </row>
    <row r="2915" spans="1:52" ht="17.100000000000001" customHeight="1" thickBot="1">
      <c r="A2915" s="110"/>
      <c r="B2915" s="27" t="s">
        <v>2511</v>
      </c>
      <c r="C2915" s="27">
        <v>65070</v>
      </c>
      <c r="D2915" s="14" t="s">
        <v>2601</v>
      </c>
      <c r="E2915" s="112"/>
      <c r="F2915" s="139" t="s">
        <v>9373</v>
      </c>
      <c r="G2915" s="140"/>
      <c r="H2915" s="141"/>
      <c r="I2915" s="26">
        <v>52239</v>
      </c>
      <c r="J2915" s="117"/>
      <c r="K2915" s="120"/>
      <c r="L2915" s="121"/>
      <c r="M2915" s="120"/>
      <c r="N2915" s="121"/>
      <c r="O2915" s="120"/>
      <c r="P2915" s="121"/>
      <c r="Q2915" s="120"/>
      <c r="R2915" s="121"/>
      <c r="S2915" s="120"/>
      <c r="T2915" s="121"/>
      <c r="U2915" s="120"/>
      <c r="V2915" s="123"/>
      <c r="W2915" s="125"/>
      <c r="X2915" s="142" t="s">
        <v>9892</v>
      </c>
      <c r="Y2915" s="143"/>
      <c r="Z2915" s="143"/>
      <c r="AA2915" s="143"/>
      <c r="AB2915" s="144"/>
      <c r="AC2915" s="16" t="s">
        <v>21</v>
      </c>
      <c r="AD2915" s="17" t="s">
        <v>9858</v>
      </c>
      <c r="AE2915" s="145" t="s">
        <v>9893</v>
      </c>
      <c r="AF2915" s="146"/>
      <c r="AG2915" s="146"/>
      <c r="AH2915" s="146"/>
      <c r="AI2915" s="147"/>
      <c r="AJ2915" s="148"/>
      <c r="AK2915" s="143"/>
      <c r="AL2915" s="144"/>
      <c r="AM2915" s="22"/>
      <c r="AN2915" s="149" t="s">
        <v>11772</v>
      </c>
      <c r="AO2915" s="144"/>
      <c r="AP2915" s="148">
        <v>60487</v>
      </c>
      <c r="AQ2915" s="144"/>
      <c r="AR2915" s="120"/>
      <c r="AS2915" s="121"/>
      <c r="AT2915" s="120"/>
      <c r="AU2915" s="121"/>
      <c r="AV2915" s="120"/>
      <c r="AW2915" s="121"/>
      <c r="AX2915" s="120"/>
      <c r="AY2915" s="121"/>
      <c r="AZ2915" s="138"/>
    </row>
    <row r="2916" spans="1:52" ht="17.100000000000001" customHeight="1" thickTop="1">
      <c r="A2916" s="109" t="s">
        <v>9438</v>
      </c>
      <c r="B2916" s="28">
        <v>45955</v>
      </c>
      <c r="C2916" s="25">
        <v>1273</v>
      </c>
      <c r="D2916" s="13" t="s">
        <v>3322</v>
      </c>
      <c r="E2916" s="111"/>
      <c r="F2916" s="113" t="s">
        <v>9376</v>
      </c>
      <c r="G2916" s="114"/>
      <c r="H2916" s="115"/>
      <c r="I2916" s="24"/>
      <c r="J2916" s="116">
        <v>4.5</v>
      </c>
      <c r="K2916" s="118">
        <v>630000</v>
      </c>
      <c r="L2916" s="119"/>
      <c r="M2916" s="118">
        <f t="shared" ref="M2916" si="1829">K2916*0.1</f>
        <v>63000</v>
      </c>
      <c r="N2916" s="119"/>
      <c r="O2916" s="118">
        <v>0</v>
      </c>
      <c r="P2916" s="119"/>
      <c r="Q2916" s="118">
        <v>5870</v>
      </c>
      <c r="R2916" s="119"/>
      <c r="S2916" s="118">
        <v>12100</v>
      </c>
      <c r="T2916" s="119"/>
      <c r="U2916" s="118">
        <f t="shared" ref="U2916" si="1830">SUM(K2916:T2917)</f>
        <v>710970</v>
      </c>
      <c r="V2916" s="122"/>
      <c r="W2916" s="124"/>
      <c r="X2916" s="126" t="s">
        <v>9889</v>
      </c>
      <c r="Y2916" s="127"/>
      <c r="Z2916" s="127"/>
      <c r="AA2916" s="127"/>
      <c r="AB2916" s="128"/>
      <c r="AC2916" s="15" t="s">
        <v>20</v>
      </c>
      <c r="AD2916" s="129"/>
      <c r="AE2916" s="130"/>
      <c r="AF2916" s="130"/>
      <c r="AG2916" s="130"/>
      <c r="AH2916" s="130"/>
      <c r="AI2916" s="131"/>
      <c r="AJ2916" s="132"/>
      <c r="AK2916" s="127"/>
      <c r="AL2916" s="128"/>
      <c r="AM2916" s="21"/>
      <c r="AN2916" s="133">
        <v>45966</v>
      </c>
      <c r="AO2916" s="134"/>
      <c r="AP2916" s="135">
        <v>991</v>
      </c>
      <c r="AQ2916" s="136"/>
      <c r="AR2916" s="118">
        <v>670000</v>
      </c>
      <c r="AS2916" s="119"/>
      <c r="AT2916" s="118">
        <f t="shared" ref="AT2916" si="1831">AR2916*0.1</f>
        <v>67000</v>
      </c>
      <c r="AU2916" s="119"/>
      <c r="AV2916" s="118">
        <v>5870</v>
      </c>
      <c r="AW2916" s="119"/>
      <c r="AX2916" s="118">
        <f t="shared" ref="AX2916" si="1832">SUM(AR2916:AW2916)</f>
        <v>742870</v>
      </c>
      <c r="AY2916" s="119"/>
      <c r="AZ2916" s="137">
        <v>45971</v>
      </c>
    </row>
    <row r="2917" spans="1:52" ht="17.100000000000001" customHeight="1" thickBot="1">
      <c r="A2917" s="110"/>
      <c r="B2917" s="27" t="s">
        <v>2511</v>
      </c>
      <c r="C2917" s="27">
        <v>65267</v>
      </c>
      <c r="D2917" s="14" t="s">
        <v>275</v>
      </c>
      <c r="E2917" s="112"/>
      <c r="F2917" s="139" t="s">
        <v>9377</v>
      </c>
      <c r="G2917" s="140"/>
      <c r="H2917" s="141"/>
      <c r="I2917" s="26">
        <v>13937</v>
      </c>
      <c r="J2917" s="117"/>
      <c r="K2917" s="120"/>
      <c r="L2917" s="121"/>
      <c r="M2917" s="120"/>
      <c r="N2917" s="121"/>
      <c r="O2917" s="120"/>
      <c r="P2917" s="121"/>
      <c r="Q2917" s="120"/>
      <c r="R2917" s="121"/>
      <c r="S2917" s="120"/>
      <c r="T2917" s="121"/>
      <c r="U2917" s="120"/>
      <c r="V2917" s="123"/>
      <c r="W2917" s="125"/>
      <c r="X2917" s="142" t="s">
        <v>2918</v>
      </c>
      <c r="Y2917" s="143"/>
      <c r="Z2917" s="143"/>
      <c r="AA2917" s="143"/>
      <c r="AB2917" s="144"/>
      <c r="AC2917" s="16" t="s">
        <v>21</v>
      </c>
      <c r="AD2917" s="17" t="s">
        <v>9858</v>
      </c>
      <c r="AE2917" s="145" t="s">
        <v>1633</v>
      </c>
      <c r="AF2917" s="146"/>
      <c r="AG2917" s="146"/>
      <c r="AH2917" s="146"/>
      <c r="AI2917" s="147"/>
      <c r="AJ2917" s="148"/>
      <c r="AK2917" s="143"/>
      <c r="AL2917" s="144"/>
      <c r="AM2917" s="22"/>
      <c r="AN2917" s="149" t="s">
        <v>2794</v>
      </c>
      <c r="AO2917" s="144"/>
      <c r="AP2917" s="148">
        <v>2033</v>
      </c>
      <c r="AQ2917" s="144"/>
      <c r="AR2917" s="120"/>
      <c r="AS2917" s="121"/>
      <c r="AT2917" s="120"/>
      <c r="AU2917" s="121"/>
      <c r="AV2917" s="120"/>
      <c r="AW2917" s="121"/>
      <c r="AX2917" s="120"/>
      <c r="AY2917" s="121"/>
      <c r="AZ2917" s="138"/>
    </row>
    <row r="2918" spans="1:52" ht="17.100000000000001" customHeight="1" thickTop="1">
      <c r="A2918" s="109" t="s">
        <v>9439</v>
      </c>
      <c r="B2918" s="28">
        <v>45955</v>
      </c>
      <c r="C2918" s="25">
        <v>1273</v>
      </c>
      <c r="D2918" s="13" t="s">
        <v>2340</v>
      </c>
      <c r="E2918" s="111"/>
      <c r="F2918" s="113" t="s">
        <v>2598</v>
      </c>
      <c r="G2918" s="114"/>
      <c r="H2918" s="115"/>
      <c r="I2918" s="24" t="s">
        <v>9379</v>
      </c>
      <c r="J2918" s="116">
        <v>4</v>
      </c>
      <c r="K2918" s="118">
        <v>455000</v>
      </c>
      <c r="L2918" s="119"/>
      <c r="M2918" s="118">
        <f t="shared" ref="M2918" si="1833">K2918*0.1</f>
        <v>45500</v>
      </c>
      <c r="N2918" s="119"/>
      <c r="O2918" s="118">
        <v>0</v>
      </c>
      <c r="P2918" s="119"/>
      <c r="Q2918" s="118">
        <v>10010</v>
      </c>
      <c r="R2918" s="119"/>
      <c r="S2918" s="118">
        <v>13200</v>
      </c>
      <c r="T2918" s="119"/>
      <c r="U2918" s="118">
        <f t="shared" ref="U2918" si="1834">SUM(K2918:T2919)</f>
        <v>523710</v>
      </c>
      <c r="V2918" s="122"/>
      <c r="W2918" s="124"/>
      <c r="X2918" s="126" t="s">
        <v>9380</v>
      </c>
      <c r="Y2918" s="127"/>
      <c r="Z2918" s="127"/>
      <c r="AA2918" s="127"/>
      <c r="AB2918" s="128"/>
      <c r="AC2918" s="15" t="s">
        <v>20</v>
      </c>
      <c r="AD2918" s="129" t="s">
        <v>1670</v>
      </c>
      <c r="AE2918" s="130"/>
      <c r="AF2918" s="130"/>
      <c r="AG2918" s="130"/>
      <c r="AH2918" s="130"/>
      <c r="AI2918" s="131"/>
      <c r="AJ2918" s="132"/>
      <c r="AK2918" s="127"/>
      <c r="AL2918" s="128"/>
      <c r="AM2918" s="21" t="s">
        <v>10399</v>
      </c>
      <c r="AN2918" s="133">
        <v>45969</v>
      </c>
      <c r="AO2918" s="134"/>
      <c r="AP2918" s="135">
        <v>1275</v>
      </c>
      <c r="AQ2918" s="136"/>
      <c r="AR2918" s="118">
        <v>550000</v>
      </c>
      <c r="AS2918" s="119"/>
      <c r="AT2918" s="118">
        <f t="shared" ref="AT2918" si="1835">AR2918*0.1</f>
        <v>55000</v>
      </c>
      <c r="AU2918" s="119"/>
      <c r="AV2918" s="118">
        <v>10010</v>
      </c>
      <c r="AW2918" s="119"/>
      <c r="AX2918" s="118">
        <f t="shared" ref="AX2918" si="1836">SUM(AR2918:AW2918)</f>
        <v>615010</v>
      </c>
      <c r="AY2918" s="119"/>
      <c r="AZ2918" s="137">
        <v>45974</v>
      </c>
    </row>
    <row r="2919" spans="1:52" ht="17.100000000000001" customHeight="1" thickBot="1">
      <c r="A2919" s="110"/>
      <c r="B2919" s="27" t="s">
        <v>2511</v>
      </c>
      <c r="C2919" s="27">
        <v>65305</v>
      </c>
      <c r="D2919" s="14" t="s">
        <v>275</v>
      </c>
      <c r="E2919" s="112"/>
      <c r="F2919" s="139" t="s">
        <v>9378</v>
      </c>
      <c r="G2919" s="140"/>
      <c r="H2919" s="141"/>
      <c r="I2919" s="26">
        <v>75522</v>
      </c>
      <c r="J2919" s="117"/>
      <c r="K2919" s="120"/>
      <c r="L2919" s="121"/>
      <c r="M2919" s="120"/>
      <c r="N2919" s="121"/>
      <c r="O2919" s="120"/>
      <c r="P2919" s="121"/>
      <c r="Q2919" s="120"/>
      <c r="R2919" s="121"/>
      <c r="S2919" s="120"/>
      <c r="T2919" s="121"/>
      <c r="U2919" s="120"/>
      <c r="V2919" s="123"/>
      <c r="W2919" s="125"/>
      <c r="X2919" s="142" t="s">
        <v>9890</v>
      </c>
      <c r="Y2919" s="143"/>
      <c r="Z2919" s="143"/>
      <c r="AA2919" s="143"/>
      <c r="AB2919" s="144"/>
      <c r="AC2919" s="16" t="s">
        <v>21</v>
      </c>
      <c r="AD2919" s="17" t="s">
        <v>9858</v>
      </c>
      <c r="AE2919" s="145" t="s">
        <v>9891</v>
      </c>
      <c r="AF2919" s="146"/>
      <c r="AG2919" s="146"/>
      <c r="AH2919" s="146"/>
      <c r="AI2919" s="147"/>
      <c r="AJ2919" s="148"/>
      <c r="AK2919" s="143"/>
      <c r="AL2919" s="144"/>
      <c r="AM2919" s="22"/>
      <c r="AN2919" s="149" t="s">
        <v>2511</v>
      </c>
      <c r="AO2919" s="144"/>
      <c r="AP2919" s="148">
        <v>60190</v>
      </c>
      <c r="AQ2919" s="144"/>
      <c r="AR2919" s="120"/>
      <c r="AS2919" s="121"/>
      <c r="AT2919" s="120"/>
      <c r="AU2919" s="121"/>
      <c r="AV2919" s="120"/>
      <c r="AW2919" s="121"/>
      <c r="AX2919" s="120"/>
      <c r="AY2919" s="121"/>
      <c r="AZ2919" s="138"/>
    </row>
    <row r="2920" spans="1:52" ht="17.100000000000001" customHeight="1" thickTop="1">
      <c r="A2920" s="109" t="s">
        <v>9440</v>
      </c>
      <c r="B2920" s="28">
        <v>45955</v>
      </c>
      <c r="C2920" s="25">
        <v>1273</v>
      </c>
      <c r="D2920" s="13" t="s">
        <v>2014</v>
      </c>
      <c r="E2920" s="111"/>
      <c r="F2920" s="113" t="s">
        <v>9395</v>
      </c>
      <c r="G2920" s="114"/>
      <c r="H2920" s="115"/>
      <c r="I2920" s="24" t="s">
        <v>4193</v>
      </c>
      <c r="J2920" s="116">
        <v>6</v>
      </c>
      <c r="K2920" s="118">
        <v>1230000</v>
      </c>
      <c r="L2920" s="119"/>
      <c r="M2920" s="118">
        <f t="shared" ref="M2920" si="1837">K2920*0.1</f>
        <v>123000</v>
      </c>
      <c r="N2920" s="119"/>
      <c r="O2920" s="118">
        <v>0</v>
      </c>
      <c r="P2920" s="119"/>
      <c r="Q2920" s="118">
        <v>8200</v>
      </c>
      <c r="R2920" s="119"/>
      <c r="S2920" s="118">
        <v>12100</v>
      </c>
      <c r="T2920" s="119"/>
      <c r="U2920" s="118">
        <f t="shared" ref="U2920" si="1838">SUM(K2920:T2921)</f>
        <v>1373300</v>
      </c>
      <c r="V2920" s="122"/>
      <c r="W2920" s="124"/>
      <c r="X2920" s="126" t="s">
        <v>9397</v>
      </c>
      <c r="Y2920" s="127"/>
      <c r="Z2920" s="127"/>
      <c r="AA2920" s="127"/>
      <c r="AB2920" s="128"/>
      <c r="AC2920" s="15" t="s">
        <v>20</v>
      </c>
      <c r="AD2920" s="129" t="s">
        <v>171</v>
      </c>
      <c r="AE2920" s="130"/>
      <c r="AF2920" s="130"/>
      <c r="AG2920" s="130"/>
      <c r="AH2920" s="130"/>
      <c r="AI2920" s="131"/>
      <c r="AJ2920" s="132"/>
      <c r="AK2920" s="127"/>
      <c r="AL2920" s="128"/>
      <c r="AM2920" s="21"/>
      <c r="AN2920" s="133">
        <v>45958</v>
      </c>
      <c r="AO2920" s="134"/>
      <c r="AP2920" s="135">
        <v>1915</v>
      </c>
      <c r="AQ2920" s="136"/>
      <c r="AR2920" s="118">
        <v>1380000</v>
      </c>
      <c r="AS2920" s="119"/>
      <c r="AT2920" s="118">
        <f t="shared" ref="AT2920" si="1839">AR2920*0.1</f>
        <v>138000</v>
      </c>
      <c r="AU2920" s="119"/>
      <c r="AV2920" s="118">
        <v>8200</v>
      </c>
      <c r="AW2920" s="119"/>
      <c r="AX2920" s="118">
        <f t="shared" ref="AX2920" si="1840">SUM(AR2920:AW2920)</f>
        <v>1526200</v>
      </c>
      <c r="AY2920" s="119"/>
      <c r="AZ2920" s="137">
        <v>45965</v>
      </c>
    </row>
    <row r="2921" spans="1:52" ht="17.100000000000001" customHeight="1" thickBot="1">
      <c r="A2921" s="110"/>
      <c r="B2921" s="27" t="s">
        <v>2511</v>
      </c>
      <c r="C2921" s="27">
        <v>65372</v>
      </c>
      <c r="D2921" s="14" t="s">
        <v>1720</v>
      </c>
      <c r="E2921" s="112"/>
      <c r="F2921" s="139" t="s">
        <v>9396</v>
      </c>
      <c r="G2921" s="140"/>
      <c r="H2921" s="141"/>
      <c r="I2921" s="26">
        <v>2910</v>
      </c>
      <c r="J2921" s="117"/>
      <c r="K2921" s="120"/>
      <c r="L2921" s="121"/>
      <c r="M2921" s="120"/>
      <c r="N2921" s="121"/>
      <c r="O2921" s="120"/>
      <c r="P2921" s="121"/>
      <c r="Q2921" s="120"/>
      <c r="R2921" s="121"/>
      <c r="S2921" s="120"/>
      <c r="T2921" s="121"/>
      <c r="U2921" s="120"/>
      <c r="V2921" s="123"/>
      <c r="W2921" s="125"/>
      <c r="X2921" s="142" t="s">
        <v>5258</v>
      </c>
      <c r="Y2921" s="143"/>
      <c r="Z2921" s="143"/>
      <c r="AA2921" s="143"/>
      <c r="AB2921" s="144"/>
      <c r="AC2921" s="16" t="s">
        <v>21</v>
      </c>
      <c r="AD2921" s="17" t="s">
        <v>9858</v>
      </c>
      <c r="AE2921" s="145" t="s">
        <v>171</v>
      </c>
      <c r="AF2921" s="146"/>
      <c r="AG2921" s="146"/>
      <c r="AH2921" s="146"/>
      <c r="AI2921" s="147"/>
      <c r="AJ2921" s="148"/>
      <c r="AK2921" s="143"/>
      <c r="AL2921" s="144"/>
      <c r="AM2921" s="22"/>
      <c r="AN2921" s="149" t="s">
        <v>2131</v>
      </c>
      <c r="AO2921" s="144"/>
      <c r="AP2921" s="148">
        <v>3356</v>
      </c>
      <c r="AQ2921" s="144"/>
      <c r="AR2921" s="120"/>
      <c r="AS2921" s="121"/>
      <c r="AT2921" s="120"/>
      <c r="AU2921" s="121"/>
      <c r="AV2921" s="120"/>
      <c r="AW2921" s="121"/>
      <c r="AX2921" s="120"/>
      <c r="AY2921" s="121"/>
      <c r="AZ2921" s="138"/>
    </row>
    <row r="2922" spans="1:52" ht="17.100000000000001" customHeight="1" thickTop="1">
      <c r="A2922" s="109" t="s">
        <v>9441</v>
      </c>
      <c r="B2922" s="28">
        <v>45955</v>
      </c>
      <c r="C2922" s="25">
        <v>1273</v>
      </c>
      <c r="D2922" s="13" t="s">
        <v>2234</v>
      </c>
      <c r="E2922" s="111"/>
      <c r="F2922" s="113" t="s">
        <v>9381</v>
      </c>
      <c r="G2922" s="114"/>
      <c r="H2922" s="115"/>
      <c r="I2922" s="24" t="s">
        <v>9383</v>
      </c>
      <c r="J2922" s="116">
        <v>4.5</v>
      </c>
      <c r="K2922" s="118">
        <v>590000</v>
      </c>
      <c r="L2922" s="119"/>
      <c r="M2922" s="118">
        <f t="shared" ref="M2922" si="1841">K2922*0.1</f>
        <v>59000</v>
      </c>
      <c r="N2922" s="119"/>
      <c r="O2922" s="118">
        <v>0</v>
      </c>
      <c r="P2922" s="119"/>
      <c r="Q2922" s="118">
        <v>7950</v>
      </c>
      <c r="R2922" s="119"/>
      <c r="S2922" s="118">
        <v>13200</v>
      </c>
      <c r="T2922" s="119"/>
      <c r="U2922" s="118">
        <f t="shared" ref="U2922" si="1842">SUM(K2922:T2923)</f>
        <v>670150</v>
      </c>
      <c r="V2922" s="122"/>
      <c r="W2922" s="124"/>
      <c r="X2922" s="126" t="s">
        <v>9384</v>
      </c>
      <c r="Y2922" s="127"/>
      <c r="Z2922" s="127"/>
      <c r="AA2922" s="127"/>
      <c r="AB2922" s="128"/>
      <c r="AC2922" s="15" t="s">
        <v>20</v>
      </c>
      <c r="AD2922" s="129"/>
      <c r="AE2922" s="130"/>
      <c r="AF2922" s="130"/>
      <c r="AG2922" s="130"/>
      <c r="AH2922" s="130"/>
      <c r="AI2922" s="131"/>
      <c r="AJ2922" s="132"/>
      <c r="AK2922" s="127"/>
      <c r="AL2922" s="128"/>
      <c r="AM2922" s="21"/>
      <c r="AN2922" s="133">
        <v>45959</v>
      </c>
      <c r="AO2922" s="134"/>
      <c r="AP2922" s="135">
        <v>990</v>
      </c>
      <c r="AQ2922" s="136"/>
      <c r="AR2922" s="118">
        <v>680000</v>
      </c>
      <c r="AS2922" s="119"/>
      <c r="AT2922" s="118">
        <f t="shared" ref="AT2922" si="1843">AR2922*0.1</f>
        <v>68000</v>
      </c>
      <c r="AU2922" s="119"/>
      <c r="AV2922" s="118">
        <v>7950</v>
      </c>
      <c r="AW2922" s="119"/>
      <c r="AX2922" s="118">
        <f t="shared" ref="AX2922" si="1844">SUM(AR2922:AW2922)</f>
        <v>755950</v>
      </c>
      <c r="AY2922" s="119"/>
      <c r="AZ2922" s="137">
        <v>45965</v>
      </c>
    </row>
    <row r="2923" spans="1:52" ht="17.100000000000001" customHeight="1" thickBot="1">
      <c r="A2923" s="110"/>
      <c r="B2923" s="27" t="s">
        <v>2511</v>
      </c>
      <c r="C2923" s="27">
        <v>65521</v>
      </c>
      <c r="D2923" s="14" t="s">
        <v>1635</v>
      </c>
      <c r="E2923" s="112"/>
      <c r="F2923" s="139" t="s">
        <v>9382</v>
      </c>
      <c r="G2923" s="140"/>
      <c r="H2923" s="141"/>
      <c r="I2923" s="26">
        <v>70259</v>
      </c>
      <c r="J2923" s="117"/>
      <c r="K2923" s="120"/>
      <c r="L2923" s="121"/>
      <c r="M2923" s="120"/>
      <c r="N2923" s="121"/>
      <c r="O2923" s="120"/>
      <c r="P2923" s="121"/>
      <c r="Q2923" s="120"/>
      <c r="R2923" s="121"/>
      <c r="S2923" s="120"/>
      <c r="T2923" s="121"/>
      <c r="U2923" s="120"/>
      <c r="V2923" s="123"/>
      <c r="W2923" s="125"/>
      <c r="X2923" s="142" t="s">
        <v>6837</v>
      </c>
      <c r="Y2923" s="143"/>
      <c r="Z2923" s="143"/>
      <c r="AA2923" s="143"/>
      <c r="AB2923" s="144"/>
      <c r="AC2923" s="16" t="s">
        <v>21</v>
      </c>
      <c r="AD2923" s="17" t="s">
        <v>9858</v>
      </c>
      <c r="AE2923" s="145" t="s">
        <v>3123</v>
      </c>
      <c r="AF2923" s="146"/>
      <c r="AG2923" s="146"/>
      <c r="AH2923" s="146"/>
      <c r="AI2923" s="147"/>
      <c r="AJ2923" s="148"/>
      <c r="AK2923" s="143"/>
      <c r="AL2923" s="144"/>
      <c r="AM2923" s="22"/>
      <c r="AN2923" s="149" t="s">
        <v>2794</v>
      </c>
      <c r="AO2923" s="144"/>
      <c r="AP2923" s="148">
        <v>2115</v>
      </c>
      <c r="AQ2923" s="144"/>
      <c r="AR2923" s="120"/>
      <c r="AS2923" s="121"/>
      <c r="AT2923" s="120"/>
      <c r="AU2923" s="121"/>
      <c r="AV2923" s="120"/>
      <c r="AW2923" s="121"/>
      <c r="AX2923" s="120"/>
      <c r="AY2923" s="121"/>
      <c r="AZ2923" s="138"/>
    </row>
    <row r="2924" spans="1:52" ht="17.100000000000001" customHeight="1" thickTop="1">
      <c r="A2924" s="109" t="s">
        <v>9442</v>
      </c>
      <c r="B2924" s="28">
        <v>45955</v>
      </c>
      <c r="C2924" s="25">
        <v>1273</v>
      </c>
      <c r="D2924" s="13" t="s">
        <v>3322</v>
      </c>
      <c r="E2924" s="111"/>
      <c r="F2924" s="113" t="s">
        <v>1777</v>
      </c>
      <c r="G2924" s="114"/>
      <c r="H2924" s="115"/>
      <c r="I2924" s="24"/>
      <c r="J2924" s="116">
        <v>4.5</v>
      </c>
      <c r="K2924" s="118">
        <v>1290000</v>
      </c>
      <c r="L2924" s="119"/>
      <c r="M2924" s="118">
        <f t="shared" ref="M2924" si="1845">K2924*0.1</f>
        <v>129000</v>
      </c>
      <c r="N2924" s="119"/>
      <c r="O2924" s="118">
        <v>0</v>
      </c>
      <c r="P2924" s="119"/>
      <c r="Q2924" s="118">
        <v>16240</v>
      </c>
      <c r="R2924" s="119"/>
      <c r="S2924" s="118">
        <v>16500</v>
      </c>
      <c r="T2924" s="119"/>
      <c r="U2924" s="118">
        <f t="shared" ref="U2924" si="1846">SUM(K2924:T2925)</f>
        <v>1451740</v>
      </c>
      <c r="V2924" s="122"/>
      <c r="W2924" s="124"/>
      <c r="X2924" s="126" t="s">
        <v>9898</v>
      </c>
      <c r="Y2924" s="127"/>
      <c r="Z2924" s="127"/>
      <c r="AA2924" s="127"/>
      <c r="AB2924" s="128"/>
      <c r="AC2924" s="15" t="s">
        <v>20</v>
      </c>
      <c r="AD2924" s="129" t="s">
        <v>1633</v>
      </c>
      <c r="AE2924" s="130"/>
      <c r="AF2924" s="130"/>
      <c r="AG2924" s="130"/>
      <c r="AH2924" s="130"/>
      <c r="AI2924" s="131"/>
      <c r="AJ2924" s="132"/>
      <c r="AK2924" s="127"/>
      <c r="AL2924" s="128"/>
      <c r="AM2924" s="21"/>
      <c r="AN2924" s="133">
        <v>46004</v>
      </c>
      <c r="AO2924" s="134"/>
      <c r="AP2924" s="135">
        <v>1280</v>
      </c>
      <c r="AQ2924" s="136"/>
      <c r="AR2924" s="118">
        <v>1410000</v>
      </c>
      <c r="AS2924" s="119"/>
      <c r="AT2924" s="118">
        <f t="shared" ref="AT2924" si="1847">AR2924*0.1</f>
        <v>141000</v>
      </c>
      <c r="AU2924" s="119"/>
      <c r="AV2924" s="118">
        <v>16240</v>
      </c>
      <c r="AW2924" s="119"/>
      <c r="AX2924" s="118">
        <f t="shared" ref="AX2924" si="1848">SUM(AR2924:AW2924)</f>
        <v>1567240</v>
      </c>
      <c r="AY2924" s="119"/>
      <c r="AZ2924" s="137">
        <v>46007</v>
      </c>
    </row>
    <row r="2925" spans="1:52" ht="17.100000000000001" customHeight="1" thickBot="1">
      <c r="A2925" s="110"/>
      <c r="B2925" s="27" t="s">
        <v>2511</v>
      </c>
      <c r="C2925" s="27">
        <v>81088</v>
      </c>
      <c r="D2925" s="14" t="s">
        <v>904</v>
      </c>
      <c r="E2925" s="112"/>
      <c r="F2925" s="139" t="s">
        <v>9385</v>
      </c>
      <c r="G2925" s="140"/>
      <c r="H2925" s="141"/>
      <c r="I2925" s="26">
        <v>39682</v>
      </c>
      <c r="J2925" s="117"/>
      <c r="K2925" s="120"/>
      <c r="L2925" s="121"/>
      <c r="M2925" s="120"/>
      <c r="N2925" s="121"/>
      <c r="O2925" s="120"/>
      <c r="P2925" s="121"/>
      <c r="Q2925" s="120"/>
      <c r="R2925" s="121"/>
      <c r="S2925" s="120"/>
      <c r="T2925" s="121"/>
      <c r="U2925" s="120"/>
      <c r="V2925" s="123"/>
      <c r="W2925" s="125"/>
      <c r="X2925" s="142" t="s">
        <v>1578</v>
      </c>
      <c r="Y2925" s="143"/>
      <c r="Z2925" s="143"/>
      <c r="AA2925" s="143"/>
      <c r="AB2925" s="144"/>
      <c r="AC2925" s="16" t="s">
        <v>21</v>
      </c>
      <c r="AD2925" s="17" t="s">
        <v>9858</v>
      </c>
      <c r="AE2925" s="145" t="s">
        <v>1742</v>
      </c>
      <c r="AF2925" s="146"/>
      <c r="AG2925" s="146"/>
      <c r="AH2925" s="146"/>
      <c r="AI2925" s="147"/>
      <c r="AJ2925" s="148"/>
      <c r="AK2925" s="143"/>
      <c r="AL2925" s="144"/>
      <c r="AM2925" s="22"/>
      <c r="AN2925" s="149" t="s">
        <v>2511</v>
      </c>
      <c r="AO2925" s="144"/>
      <c r="AP2925" s="148">
        <v>80145</v>
      </c>
      <c r="AQ2925" s="144"/>
      <c r="AR2925" s="120"/>
      <c r="AS2925" s="121"/>
      <c r="AT2925" s="120"/>
      <c r="AU2925" s="121"/>
      <c r="AV2925" s="120"/>
      <c r="AW2925" s="121"/>
      <c r="AX2925" s="120"/>
      <c r="AY2925" s="121"/>
      <c r="AZ2925" s="138"/>
    </row>
    <row r="2926" spans="1:52" ht="17.100000000000001" customHeight="1" thickTop="1">
      <c r="A2926" s="109" t="s">
        <v>9443</v>
      </c>
      <c r="B2926" s="28">
        <v>45955</v>
      </c>
      <c r="C2926" s="25">
        <v>1273</v>
      </c>
      <c r="D2926" s="13" t="s">
        <v>2359</v>
      </c>
      <c r="E2926" s="111"/>
      <c r="F2926" s="113" t="s">
        <v>9386</v>
      </c>
      <c r="G2926" s="114"/>
      <c r="H2926" s="115"/>
      <c r="I2926" s="24"/>
      <c r="J2926" s="116">
        <v>4</v>
      </c>
      <c r="K2926" s="118">
        <v>1085000</v>
      </c>
      <c r="L2926" s="119"/>
      <c r="M2926" s="118">
        <f t="shared" ref="M2926" si="1849">K2926*0.1</f>
        <v>108500</v>
      </c>
      <c r="N2926" s="119"/>
      <c r="O2926" s="118">
        <v>0</v>
      </c>
      <c r="P2926" s="119"/>
      <c r="Q2926" s="118">
        <v>17250</v>
      </c>
      <c r="R2926" s="119"/>
      <c r="S2926" s="118">
        <v>16500</v>
      </c>
      <c r="T2926" s="119"/>
      <c r="U2926" s="118">
        <f t="shared" ref="U2926" si="1850">SUM(K2926:T2927)</f>
        <v>1227250</v>
      </c>
      <c r="V2926" s="122"/>
      <c r="W2926" s="124"/>
      <c r="X2926" s="126" t="s">
        <v>9909</v>
      </c>
      <c r="Y2926" s="127"/>
      <c r="Z2926" s="127"/>
      <c r="AA2926" s="127"/>
      <c r="AB2926" s="128"/>
      <c r="AC2926" s="15" t="s">
        <v>20</v>
      </c>
      <c r="AD2926" s="129"/>
      <c r="AE2926" s="130"/>
      <c r="AF2926" s="130"/>
      <c r="AG2926" s="130"/>
      <c r="AH2926" s="130"/>
      <c r="AI2926" s="131"/>
      <c r="AJ2926" s="132"/>
      <c r="AK2926" s="127"/>
      <c r="AL2926" s="128"/>
      <c r="AM2926" s="21"/>
      <c r="AN2926" s="133">
        <v>45967</v>
      </c>
      <c r="AO2926" s="134"/>
      <c r="AP2926" s="135">
        <v>1305</v>
      </c>
      <c r="AQ2926" s="136"/>
      <c r="AR2926" s="118">
        <v>1350000</v>
      </c>
      <c r="AS2926" s="119"/>
      <c r="AT2926" s="118">
        <f t="shared" ref="AT2926" si="1851">AR2926*0.1</f>
        <v>135000</v>
      </c>
      <c r="AU2926" s="119"/>
      <c r="AV2926" s="118">
        <v>17250</v>
      </c>
      <c r="AW2926" s="119"/>
      <c r="AX2926" s="118">
        <f t="shared" ref="AX2926" si="1852">SUM(AR2926:AW2926)</f>
        <v>1502250</v>
      </c>
      <c r="AY2926" s="119"/>
      <c r="AZ2926" s="137">
        <v>45968</v>
      </c>
    </row>
    <row r="2927" spans="1:52" ht="17.100000000000001" customHeight="1" thickBot="1">
      <c r="A2927" s="110"/>
      <c r="B2927" s="27" t="s">
        <v>2511</v>
      </c>
      <c r="C2927" s="27">
        <v>82057</v>
      </c>
      <c r="D2927" s="14" t="s">
        <v>2800</v>
      </c>
      <c r="E2927" s="112"/>
      <c r="F2927" s="139" t="s">
        <v>9387</v>
      </c>
      <c r="G2927" s="140"/>
      <c r="H2927" s="141"/>
      <c r="I2927" s="26">
        <v>25655</v>
      </c>
      <c r="J2927" s="117"/>
      <c r="K2927" s="120"/>
      <c r="L2927" s="121"/>
      <c r="M2927" s="120"/>
      <c r="N2927" s="121"/>
      <c r="O2927" s="120"/>
      <c r="P2927" s="121"/>
      <c r="Q2927" s="120"/>
      <c r="R2927" s="121"/>
      <c r="S2927" s="120"/>
      <c r="T2927" s="121"/>
      <c r="U2927" s="120"/>
      <c r="V2927" s="123"/>
      <c r="W2927" s="125"/>
      <c r="X2927" s="142" t="s">
        <v>2694</v>
      </c>
      <c r="Y2927" s="143"/>
      <c r="Z2927" s="143"/>
      <c r="AA2927" s="143"/>
      <c r="AB2927" s="144"/>
      <c r="AC2927" s="16" t="s">
        <v>21</v>
      </c>
      <c r="AD2927" s="17" t="s">
        <v>9858</v>
      </c>
      <c r="AE2927" s="145" t="s">
        <v>9450</v>
      </c>
      <c r="AF2927" s="146"/>
      <c r="AG2927" s="146"/>
      <c r="AH2927" s="146"/>
      <c r="AI2927" s="147"/>
      <c r="AJ2927" s="148"/>
      <c r="AK2927" s="143"/>
      <c r="AL2927" s="144"/>
      <c r="AM2927" s="22"/>
      <c r="AN2927" s="149" t="s">
        <v>1747</v>
      </c>
      <c r="AO2927" s="144"/>
      <c r="AP2927" s="148">
        <v>57</v>
      </c>
      <c r="AQ2927" s="144"/>
      <c r="AR2927" s="120"/>
      <c r="AS2927" s="121"/>
      <c r="AT2927" s="120"/>
      <c r="AU2927" s="121"/>
      <c r="AV2927" s="120"/>
      <c r="AW2927" s="121"/>
      <c r="AX2927" s="120"/>
      <c r="AY2927" s="121"/>
      <c r="AZ2927" s="138"/>
    </row>
    <row r="2928" spans="1:52" ht="17.100000000000001" customHeight="1" thickTop="1">
      <c r="A2928" s="109" t="s">
        <v>9444</v>
      </c>
      <c r="B2928" s="28">
        <v>45955</v>
      </c>
      <c r="C2928" s="25">
        <v>1273</v>
      </c>
      <c r="D2928" s="13" t="s">
        <v>2914</v>
      </c>
      <c r="E2928" s="111"/>
      <c r="F2928" s="113" t="s">
        <v>9388</v>
      </c>
      <c r="G2928" s="114"/>
      <c r="H2928" s="115"/>
      <c r="I2928" s="24" t="s">
        <v>2064</v>
      </c>
      <c r="J2928" s="116">
        <v>4.5</v>
      </c>
      <c r="K2928" s="118">
        <v>1900000</v>
      </c>
      <c r="L2928" s="119"/>
      <c r="M2928" s="118">
        <f t="shared" ref="M2928" si="1853">K2928*0.1</f>
        <v>190000</v>
      </c>
      <c r="N2928" s="119"/>
      <c r="O2928" s="118">
        <f>21200+2120</f>
        <v>23320</v>
      </c>
      <c r="P2928" s="119"/>
      <c r="Q2928" s="118">
        <v>26010</v>
      </c>
      <c r="R2928" s="119"/>
      <c r="S2928" s="118">
        <v>16500</v>
      </c>
      <c r="T2928" s="119"/>
      <c r="U2928" s="118">
        <f t="shared" ref="U2928" si="1854">SUM(K2928:T2929)</f>
        <v>2155830</v>
      </c>
      <c r="V2928" s="122"/>
      <c r="W2928" s="124"/>
      <c r="X2928" s="126" t="s">
        <v>9390</v>
      </c>
      <c r="Y2928" s="127"/>
      <c r="Z2928" s="127"/>
      <c r="AA2928" s="127"/>
      <c r="AB2928" s="128"/>
      <c r="AC2928" s="15" t="s">
        <v>20</v>
      </c>
      <c r="AD2928" s="129" t="s">
        <v>1732</v>
      </c>
      <c r="AE2928" s="130"/>
      <c r="AF2928" s="130"/>
      <c r="AG2928" s="130"/>
      <c r="AH2928" s="130"/>
      <c r="AI2928" s="131"/>
      <c r="AJ2928" s="132"/>
      <c r="AK2928" s="127"/>
      <c r="AL2928" s="128"/>
      <c r="AM2928" s="21"/>
      <c r="AN2928" s="133">
        <v>45960</v>
      </c>
      <c r="AO2928" s="134"/>
      <c r="AP2928" s="135">
        <v>1304</v>
      </c>
      <c r="AQ2928" s="136"/>
      <c r="AR2928" s="118">
        <v>2100000</v>
      </c>
      <c r="AS2928" s="119"/>
      <c r="AT2928" s="118">
        <f t="shared" ref="AT2928" si="1855">AR2928*0.1</f>
        <v>210000</v>
      </c>
      <c r="AU2928" s="119"/>
      <c r="AV2928" s="118">
        <v>26010</v>
      </c>
      <c r="AW2928" s="119"/>
      <c r="AX2928" s="118">
        <f t="shared" ref="AX2928" si="1856">SUM(AR2928:AW2928)</f>
        <v>2336010</v>
      </c>
      <c r="AY2928" s="119"/>
      <c r="AZ2928" s="137">
        <v>45961</v>
      </c>
    </row>
    <row r="2929" spans="1:52" ht="17.100000000000001" customHeight="1" thickBot="1">
      <c r="A2929" s="110"/>
      <c r="B2929" s="27" t="s">
        <v>2511</v>
      </c>
      <c r="C2929" s="27">
        <v>82190</v>
      </c>
      <c r="D2929" s="14" t="s">
        <v>133</v>
      </c>
      <c r="E2929" s="112"/>
      <c r="F2929" s="139" t="s">
        <v>9389</v>
      </c>
      <c r="G2929" s="140"/>
      <c r="H2929" s="141"/>
      <c r="I2929" s="26">
        <v>55248</v>
      </c>
      <c r="J2929" s="117"/>
      <c r="K2929" s="120"/>
      <c r="L2929" s="121"/>
      <c r="M2929" s="120"/>
      <c r="N2929" s="121"/>
      <c r="O2929" s="120"/>
      <c r="P2929" s="121"/>
      <c r="Q2929" s="120"/>
      <c r="R2929" s="121"/>
      <c r="S2929" s="120"/>
      <c r="T2929" s="121"/>
      <c r="U2929" s="120"/>
      <c r="V2929" s="123"/>
      <c r="W2929" s="125"/>
      <c r="X2929" s="142" t="s">
        <v>9859</v>
      </c>
      <c r="Y2929" s="143"/>
      <c r="Z2929" s="143"/>
      <c r="AA2929" s="143"/>
      <c r="AB2929" s="144"/>
      <c r="AC2929" s="16" t="s">
        <v>21</v>
      </c>
      <c r="AD2929" s="17" t="s">
        <v>9858</v>
      </c>
      <c r="AE2929" s="145" t="s">
        <v>9860</v>
      </c>
      <c r="AF2929" s="146"/>
      <c r="AG2929" s="146"/>
      <c r="AH2929" s="146"/>
      <c r="AI2929" s="147"/>
      <c r="AJ2929" s="148"/>
      <c r="AK2929" s="143"/>
      <c r="AL2929" s="144"/>
      <c r="AM2929" s="22"/>
      <c r="AN2929" s="149" t="s">
        <v>1747</v>
      </c>
      <c r="AO2929" s="144"/>
      <c r="AP2929" s="148">
        <v>336</v>
      </c>
      <c r="AQ2929" s="144"/>
      <c r="AR2929" s="120"/>
      <c r="AS2929" s="121"/>
      <c r="AT2929" s="120"/>
      <c r="AU2929" s="121"/>
      <c r="AV2929" s="120"/>
      <c r="AW2929" s="121"/>
      <c r="AX2929" s="120"/>
      <c r="AY2929" s="121"/>
      <c r="AZ2929" s="138"/>
    </row>
    <row r="2930" spans="1:52" ht="17.100000000000001" customHeight="1" thickTop="1">
      <c r="A2930" s="109" t="s">
        <v>9445</v>
      </c>
      <c r="B2930" s="28">
        <v>45955</v>
      </c>
      <c r="C2930" s="25">
        <v>1273</v>
      </c>
      <c r="D2930" s="13" t="s">
        <v>4121</v>
      </c>
      <c r="E2930" s="111"/>
      <c r="F2930" s="113" t="s">
        <v>9392</v>
      </c>
      <c r="G2930" s="114"/>
      <c r="H2930" s="115"/>
      <c r="I2930" s="24" t="s">
        <v>4193</v>
      </c>
      <c r="J2930" s="116">
        <v>4.5</v>
      </c>
      <c r="K2930" s="118">
        <v>2700000</v>
      </c>
      <c r="L2930" s="119"/>
      <c r="M2930" s="118">
        <f t="shared" ref="M2930" si="1857">K2930*0.1</f>
        <v>270000</v>
      </c>
      <c r="N2930" s="119"/>
      <c r="O2930" s="118">
        <f>16400+1640</f>
        <v>18040</v>
      </c>
      <c r="P2930" s="119"/>
      <c r="Q2930" s="118">
        <v>17600</v>
      </c>
      <c r="R2930" s="119"/>
      <c r="S2930" s="118">
        <v>23100</v>
      </c>
      <c r="T2930" s="119"/>
      <c r="U2930" s="118">
        <f t="shared" ref="U2930" si="1858">SUM(K2930:T2931)</f>
        <v>3028740</v>
      </c>
      <c r="V2930" s="122"/>
      <c r="W2930" s="124"/>
      <c r="X2930" s="126" t="s">
        <v>9394</v>
      </c>
      <c r="Y2930" s="127"/>
      <c r="Z2930" s="127"/>
      <c r="AA2930" s="127"/>
      <c r="AB2930" s="128"/>
      <c r="AC2930" s="15" t="s">
        <v>20</v>
      </c>
      <c r="AD2930" s="129" t="s">
        <v>1732</v>
      </c>
      <c r="AE2930" s="130"/>
      <c r="AF2930" s="130"/>
      <c r="AG2930" s="130"/>
      <c r="AH2930" s="130"/>
      <c r="AI2930" s="131"/>
      <c r="AJ2930" s="132"/>
      <c r="AK2930" s="127"/>
      <c r="AL2930" s="128"/>
      <c r="AM2930" s="21"/>
      <c r="AN2930" s="133">
        <v>45967</v>
      </c>
      <c r="AO2930" s="134"/>
      <c r="AP2930" s="135">
        <v>1305</v>
      </c>
      <c r="AQ2930" s="136"/>
      <c r="AR2930" s="118">
        <v>2930000</v>
      </c>
      <c r="AS2930" s="119"/>
      <c r="AT2930" s="118">
        <f t="shared" ref="AT2930" si="1859">AR2930*0.1</f>
        <v>293000</v>
      </c>
      <c r="AU2930" s="119"/>
      <c r="AV2930" s="118">
        <v>17600</v>
      </c>
      <c r="AW2930" s="119"/>
      <c r="AX2930" s="118">
        <f t="shared" ref="AX2930" si="1860">SUM(AR2930:AW2930)</f>
        <v>3240600</v>
      </c>
      <c r="AY2930" s="119"/>
      <c r="AZ2930" s="137">
        <v>45968</v>
      </c>
    </row>
    <row r="2931" spans="1:52" ht="17.100000000000001" customHeight="1" thickBot="1">
      <c r="A2931" s="110"/>
      <c r="B2931" s="27" t="s">
        <v>2511</v>
      </c>
      <c r="C2931" s="27">
        <v>82202</v>
      </c>
      <c r="D2931" s="14" t="s">
        <v>9391</v>
      </c>
      <c r="E2931" s="112"/>
      <c r="F2931" s="139" t="s">
        <v>9393</v>
      </c>
      <c r="G2931" s="140"/>
      <c r="H2931" s="141"/>
      <c r="I2931" s="26">
        <v>14499</v>
      </c>
      <c r="J2931" s="117"/>
      <c r="K2931" s="120"/>
      <c r="L2931" s="121"/>
      <c r="M2931" s="120"/>
      <c r="N2931" s="121"/>
      <c r="O2931" s="120"/>
      <c r="P2931" s="121"/>
      <c r="Q2931" s="120"/>
      <c r="R2931" s="121"/>
      <c r="S2931" s="120"/>
      <c r="T2931" s="121"/>
      <c r="U2931" s="120"/>
      <c r="V2931" s="123"/>
      <c r="W2931" s="125"/>
      <c r="X2931" s="142" t="s">
        <v>9897</v>
      </c>
      <c r="Y2931" s="143"/>
      <c r="Z2931" s="143"/>
      <c r="AA2931" s="143"/>
      <c r="AB2931" s="144"/>
      <c r="AC2931" s="16" t="s">
        <v>21</v>
      </c>
      <c r="AD2931" s="17" t="s">
        <v>9858</v>
      </c>
      <c r="AE2931" s="145" t="s">
        <v>1614</v>
      </c>
      <c r="AF2931" s="146"/>
      <c r="AG2931" s="146"/>
      <c r="AH2931" s="146"/>
      <c r="AI2931" s="147"/>
      <c r="AJ2931" s="148"/>
      <c r="AK2931" s="143"/>
      <c r="AL2931" s="144"/>
      <c r="AM2931" s="22"/>
      <c r="AN2931" s="149" t="s">
        <v>9132</v>
      </c>
      <c r="AO2931" s="144"/>
      <c r="AP2931" s="148">
        <v>971</v>
      </c>
      <c r="AQ2931" s="144"/>
      <c r="AR2931" s="120"/>
      <c r="AS2931" s="121"/>
      <c r="AT2931" s="120"/>
      <c r="AU2931" s="121"/>
      <c r="AV2931" s="120"/>
      <c r="AW2931" s="121"/>
      <c r="AX2931" s="120"/>
      <c r="AY2931" s="121"/>
      <c r="AZ2931" s="138"/>
    </row>
    <row r="2932" spans="1:52" ht="17.100000000000001" customHeight="1" thickTop="1">
      <c r="A2932" s="109" t="s">
        <v>9446</v>
      </c>
      <c r="B2932" s="28">
        <v>45955</v>
      </c>
      <c r="C2932" s="25">
        <v>1273</v>
      </c>
      <c r="D2932" s="13" t="s">
        <v>1776</v>
      </c>
      <c r="E2932" s="111"/>
      <c r="F2932" s="113" t="s">
        <v>9399</v>
      </c>
      <c r="G2932" s="114"/>
      <c r="H2932" s="115"/>
      <c r="I2932" s="24"/>
      <c r="J2932" s="116">
        <v>4.5</v>
      </c>
      <c r="K2932" s="118">
        <v>855000</v>
      </c>
      <c r="L2932" s="119"/>
      <c r="M2932" s="118">
        <f t="shared" ref="M2932" si="1861">K2932*0.1</f>
        <v>85500</v>
      </c>
      <c r="N2932" s="119"/>
      <c r="O2932" s="118">
        <v>0</v>
      </c>
      <c r="P2932" s="119"/>
      <c r="Q2932" s="118">
        <v>17700</v>
      </c>
      <c r="R2932" s="119"/>
      <c r="S2932" s="118">
        <v>16500</v>
      </c>
      <c r="T2932" s="119"/>
      <c r="U2932" s="118">
        <f t="shared" ref="U2932" si="1862">SUM(K2932:T2933)</f>
        <v>974700</v>
      </c>
      <c r="V2932" s="122"/>
      <c r="W2932" s="124"/>
      <c r="X2932" s="126" t="s">
        <v>9895</v>
      </c>
      <c r="Y2932" s="127"/>
      <c r="Z2932" s="127"/>
      <c r="AA2932" s="127"/>
      <c r="AB2932" s="128"/>
      <c r="AC2932" s="15" t="s">
        <v>20</v>
      </c>
      <c r="AD2932" s="129" t="s">
        <v>3412</v>
      </c>
      <c r="AE2932" s="130"/>
      <c r="AF2932" s="130"/>
      <c r="AG2932" s="130"/>
      <c r="AH2932" s="130"/>
      <c r="AI2932" s="131"/>
      <c r="AJ2932" s="132" t="s">
        <v>10629</v>
      </c>
      <c r="AK2932" s="127"/>
      <c r="AL2932" s="128"/>
      <c r="AM2932" s="21"/>
      <c r="AN2932" s="133">
        <v>45967</v>
      </c>
      <c r="AO2932" s="134"/>
      <c r="AP2932" s="135">
        <v>1305</v>
      </c>
      <c r="AQ2932" s="136"/>
      <c r="AR2932" s="118">
        <v>1010000</v>
      </c>
      <c r="AS2932" s="119"/>
      <c r="AT2932" s="118">
        <f t="shared" ref="AT2932" si="1863">AR2932*0.1</f>
        <v>101000</v>
      </c>
      <c r="AU2932" s="119"/>
      <c r="AV2932" s="118">
        <v>17700</v>
      </c>
      <c r="AW2932" s="119"/>
      <c r="AX2932" s="118">
        <f t="shared" ref="AX2932" si="1864">SUM(AR2932:AW2932)</f>
        <v>1128700</v>
      </c>
      <c r="AY2932" s="119"/>
      <c r="AZ2932" s="137">
        <v>45968</v>
      </c>
    </row>
    <row r="2933" spans="1:52" ht="17.100000000000001" customHeight="1" thickBot="1">
      <c r="A2933" s="110"/>
      <c r="B2933" s="27" t="s">
        <v>2511</v>
      </c>
      <c r="C2933" s="27">
        <v>82544</v>
      </c>
      <c r="D2933" s="14" t="s">
        <v>1592</v>
      </c>
      <c r="E2933" s="112"/>
      <c r="F2933" s="139" t="s">
        <v>9400</v>
      </c>
      <c r="G2933" s="140"/>
      <c r="H2933" s="141"/>
      <c r="I2933" s="26">
        <v>8635</v>
      </c>
      <c r="J2933" s="117"/>
      <c r="K2933" s="120"/>
      <c r="L2933" s="121"/>
      <c r="M2933" s="120"/>
      <c r="N2933" s="121"/>
      <c r="O2933" s="120"/>
      <c r="P2933" s="121"/>
      <c r="Q2933" s="120"/>
      <c r="R2933" s="121"/>
      <c r="S2933" s="120"/>
      <c r="T2933" s="121"/>
      <c r="U2933" s="120"/>
      <c r="V2933" s="123"/>
      <c r="W2933" s="125"/>
      <c r="X2933" s="142" t="s">
        <v>9896</v>
      </c>
      <c r="Y2933" s="143"/>
      <c r="Z2933" s="143"/>
      <c r="AA2933" s="143"/>
      <c r="AB2933" s="144"/>
      <c r="AC2933" s="16" t="s">
        <v>21</v>
      </c>
      <c r="AD2933" s="17" t="s">
        <v>9858</v>
      </c>
      <c r="AE2933" s="145" t="s">
        <v>7432</v>
      </c>
      <c r="AF2933" s="146"/>
      <c r="AG2933" s="146"/>
      <c r="AH2933" s="146"/>
      <c r="AI2933" s="147"/>
      <c r="AJ2933" s="148" t="s">
        <v>10632</v>
      </c>
      <c r="AK2933" s="143"/>
      <c r="AL2933" s="144"/>
      <c r="AM2933" s="22"/>
      <c r="AN2933" s="149" t="s">
        <v>1747</v>
      </c>
      <c r="AO2933" s="144"/>
      <c r="AP2933" s="148">
        <v>323</v>
      </c>
      <c r="AQ2933" s="144"/>
      <c r="AR2933" s="120"/>
      <c r="AS2933" s="121"/>
      <c r="AT2933" s="120"/>
      <c r="AU2933" s="121"/>
      <c r="AV2933" s="120"/>
      <c r="AW2933" s="121"/>
      <c r="AX2933" s="120"/>
      <c r="AY2933" s="121"/>
      <c r="AZ2933" s="138"/>
    </row>
    <row r="2934" spans="1:52" ht="17.100000000000001" customHeight="1" thickTop="1">
      <c r="A2934" s="109" t="s">
        <v>9447</v>
      </c>
      <c r="B2934" s="28">
        <v>45955</v>
      </c>
      <c r="C2934" s="25">
        <v>1695</v>
      </c>
      <c r="D2934" s="13" t="s">
        <v>2187</v>
      </c>
      <c r="E2934" s="111"/>
      <c r="F2934" s="113" t="s">
        <v>2732</v>
      </c>
      <c r="G2934" s="114"/>
      <c r="H2934" s="115"/>
      <c r="I2934" s="24"/>
      <c r="J2934" s="116">
        <v>4</v>
      </c>
      <c r="K2934" s="118">
        <v>1730000</v>
      </c>
      <c r="L2934" s="119"/>
      <c r="M2934" s="118">
        <f t="shared" ref="M2934" si="1865">K2934*0.1</f>
        <v>173000</v>
      </c>
      <c r="N2934" s="119"/>
      <c r="O2934" s="118">
        <v>0</v>
      </c>
      <c r="P2934" s="119"/>
      <c r="Q2934" s="118">
        <v>18170</v>
      </c>
      <c r="R2934" s="119"/>
      <c r="S2934" s="118">
        <v>14300</v>
      </c>
      <c r="T2934" s="119"/>
      <c r="U2934" s="118">
        <f t="shared" ref="U2934" si="1866">SUM(K2934:T2935)</f>
        <v>1935470</v>
      </c>
      <c r="V2934" s="122"/>
      <c r="W2934" s="124"/>
      <c r="X2934" s="126" t="s">
        <v>9681</v>
      </c>
      <c r="Y2934" s="127"/>
      <c r="Z2934" s="127"/>
      <c r="AA2934" s="127"/>
      <c r="AB2934" s="128"/>
      <c r="AC2934" s="15" t="s">
        <v>20</v>
      </c>
      <c r="AD2934" s="129" t="s">
        <v>171</v>
      </c>
      <c r="AE2934" s="130"/>
      <c r="AF2934" s="130"/>
      <c r="AG2934" s="130"/>
      <c r="AH2934" s="130"/>
      <c r="AI2934" s="131"/>
      <c r="AJ2934" s="132"/>
      <c r="AK2934" s="127"/>
      <c r="AL2934" s="128"/>
      <c r="AM2934" s="21"/>
      <c r="AN2934" s="133">
        <v>45969</v>
      </c>
      <c r="AO2934" s="134"/>
      <c r="AP2934" s="135">
        <v>1275</v>
      </c>
      <c r="AQ2934" s="136"/>
      <c r="AR2934" s="118">
        <v>2150000</v>
      </c>
      <c r="AS2934" s="119"/>
      <c r="AT2934" s="118">
        <f t="shared" ref="AT2934" si="1867">AR2934*0.1</f>
        <v>215000</v>
      </c>
      <c r="AU2934" s="119"/>
      <c r="AV2934" s="118">
        <v>18170</v>
      </c>
      <c r="AW2934" s="119"/>
      <c r="AX2934" s="118">
        <f t="shared" ref="AX2934" si="1868">SUM(AR2934:AW2934)</f>
        <v>2383170</v>
      </c>
      <c r="AY2934" s="119"/>
      <c r="AZ2934" s="137">
        <v>45972</v>
      </c>
    </row>
    <row r="2935" spans="1:52" ht="17.100000000000001" customHeight="1" thickBot="1">
      <c r="A2935" s="110"/>
      <c r="B2935" s="27" t="s">
        <v>1859</v>
      </c>
      <c r="C2935" s="27">
        <v>190</v>
      </c>
      <c r="D2935" s="14" t="s">
        <v>1812</v>
      </c>
      <c r="E2935" s="112"/>
      <c r="F2935" s="139" t="s">
        <v>9433</v>
      </c>
      <c r="G2935" s="140"/>
      <c r="H2935" s="141"/>
      <c r="I2935" s="26">
        <v>39961</v>
      </c>
      <c r="J2935" s="117"/>
      <c r="K2935" s="120"/>
      <c r="L2935" s="121"/>
      <c r="M2935" s="120"/>
      <c r="N2935" s="121"/>
      <c r="O2935" s="120"/>
      <c r="P2935" s="121"/>
      <c r="Q2935" s="120"/>
      <c r="R2935" s="121"/>
      <c r="S2935" s="120"/>
      <c r="T2935" s="121"/>
      <c r="U2935" s="120"/>
      <c r="V2935" s="123"/>
      <c r="W2935" s="125"/>
      <c r="X2935" s="142" t="s">
        <v>9682</v>
      </c>
      <c r="Y2935" s="143"/>
      <c r="Z2935" s="143"/>
      <c r="AA2935" s="143"/>
      <c r="AB2935" s="144"/>
      <c r="AC2935" s="16" t="s">
        <v>21</v>
      </c>
      <c r="AD2935" s="17" t="s">
        <v>9662</v>
      </c>
      <c r="AE2935" s="145" t="s">
        <v>171</v>
      </c>
      <c r="AF2935" s="146"/>
      <c r="AG2935" s="146"/>
      <c r="AH2935" s="146"/>
      <c r="AI2935" s="147"/>
      <c r="AJ2935" s="148"/>
      <c r="AK2935" s="143"/>
      <c r="AL2935" s="144"/>
      <c r="AM2935" s="22"/>
      <c r="AN2935" s="149" t="s">
        <v>2511</v>
      </c>
      <c r="AO2935" s="144"/>
      <c r="AP2935" s="148">
        <v>80019</v>
      </c>
      <c r="AQ2935" s="144"/>
      <c r="AR2935" s="120"/>
      <c r="AS2935" s="121"/>
      <c r="AT2935" s="120"/>
      <c r="AU2935" s="121"/>
      <c r="AV2935" s="120"/>
      <c r="AW2935" s="121"/>
      <c r="AX2935" s="120"/>
      <c r="AY2935" s="121"/>
      <c r="AZ2935" s="138"/>
    </row>
    <row r="2936" spans="1:52" ht="17.100000000000001" customHeight="1" thickTop="1">
      <c r="A2936" s="109" t="s">
        <v>9467</v>
      </c>
      <c r="B2936" s="28">
        <v>45955</v>
      </c>
      <c r="C2936" s="25"/>
      <c r="D2936" s="13" t="s">
        <v>4287</v>
      </c>
      <c r="E2936" s="111"/>
      <c r="F2936" s="113" t="s">
        <v>9465</v>
      </c>
      <c r="G2936" s="114"/>
      <c r="H2936" s="115"/>
      <c r="I2936" s="24" t="s">
        <v>4535</v>
      </c>
      <c r="J2936" s="116">
        <v>5</v>
      </c>
      <c r="K2936" s="118">
        <f>2750000/1.1</f>
        <v>2500000</v>
      </c>
      <c r="L2936" s="119"/>
      <c r="M2936" s="118">
        <f t="shared" ref="M2936" si="1869">K2936*0.1</f>
        <v>250000</v>
      </c>
      <c r="N2936" s="119"/>
      <c r="O2936" s="118">
        <v>14500</v>
      </c>
      <c r="P2936" s="119"/>
      <c r="Q2936" s="118">
        <v>11710</v>
      </c>
      <c r="R2936" s="119"/>
      <c r="S2936" s="118">
        <v>0</v>
      </c>
      <c r="T2936" s="119"/>
      <c r="U2936" s="118">
        <f t="shared" ref="U2936" si="1870">SUM(K2936:T2937)</f>
        <v>2776210</v>
      </c>
      <c r="V2936" s="122"/>
      <c r="W2936" s="124"/>
      <c r="X2936" s="126" t="s">
        <v>12062</v>
      </c>
      <c r="Y2936" s="127"/>
      <c r="Z2936" s="127"/>
      <c r="AA2936" s="127"/>
      <c r="AB2936" s="128"/>
      <c r="AC2936" s="15" t="s">
        <v>20</v>
      </c>
      <c r="AD2936" s="129" t="s">
        <v>186</v>
      </c>
      <c r="AE2936" s="130"/>
      <c r="AF2936" s="130"/>
      <c r="AG2936" s="130"/>
      <c r="AH2936" s="130"/>
      <c r="AI2936" s="131"/>
      <c r="AJ2936" s="132"/>
      <c r="AK2936" s="127"/>
      <c r="AL2936" s="128"/>
      <c r="AM2936" s="21"/>
      <c r="AN2936" s="133">
        <v>45997</v>
      </c>
      <c r="AO2936" s="134"/>
      <c r="AP2936" s="135">
        <v>1279</v>
      </c>
      <c r="AQ2936" s="136"/>
      <c r="AR2936" s="118">
        <v>2550000</v>
      </c>
      <c r="AS2936" s="119"/>
      <c r="AT2936" s="118">
        <f t="shared" ref="AT2936" si="1871">AR2936*0.1</f>
        <v>255000</v>
      </c>
      <c r="AU2936" s="119"/>
      <c r="AV2936" s="118">
        <v>11710</v>
      </c>
      <c r="AW2936" s="119"/>
      <c r="AX2936" s="118">
        <f t="shared" ref="AX2936" si="1872">SUM(AR2936:AW2936)</f>
        <v>2816710</v>
      </c>
      <c r="AY2936" s="119"/>
      <c r="AZ2936" s="137">
        <v>46001</v>
      </c>
    </row>
    <row r="2937" spans="1:52" ht="17.100000000000001" customHeight="1" thickBot="1">
      <c r="A2937" s="110"/>
      <c r="B2937" s="27" t="s">
        <v>1718</v>
      </c>
      <c r="C2937" s="27" t="s">
        <v>9464</v>
      </c>
      <c r="D2937" s="14" t="s">
        <v>904</v>
      </c>
      <c r="E2937" s="112"/>
      <c r="F2937" s="139" t="s">
        <v>9466</v>
      </c>
      <c r="G2937" s="140"/>
      <c r="H2937" s="141"/>
      <c r="I2937" s="26">
        <v>6287</v>
      </c>
      <c r="J2937" s="117"/>
      <c r="K2937" s="120"/>
      <c r="L2937" s="121"/>
      <c r="M2937" s="120"/>
      <c r="N2937" s="121"/>
      <c r="O2937" s="120"/>
      <c r="P2937" s="121"/>
      <c r="Q2937" s="120"/>
      <c r="R2937" s="121"/>
      <c r="S2937" s="120"/>
      <c r="T2937" s="121"/>
      <c r="U2937" s="120"/>
      <c r="V2937" s="123"/>
      <c r="W2937" s="125"/>
      <c r="X2937" s="142" t="s">
        <v>12063</v>
      </c>
      <c r="Y2937" s="143"/>
      <c r="Z2937" s="143"/>
      <c r="AA2937" s="143"/>
      <c r="AB2937" s="144"/>
      <c r="AC2937" s="16" t="s">
        <v>21</v>
      </c>
      <c r="AD2937" s="17" t="s">
        <v>12054</v>
      </c>
      <c r="AE2937" s="145" t="s">
        <v>12543</v>
      </c>
      <c r="AF2937" s="146"/>
      <c r="AG2937" s="146"/>
      <c r="AH2937" s="146"/>
      <c r="AI2937" s="147"/>
      <c r="AJ2937" s="148"/>
      <c r="AK2937" s="143"/>
      <c r="AL2937" s="144"/>
      <c r="AM2937" s="22"/>
      <c r="AN2937" s="149" t="s">
        <v>2511</v>
      </c>
      <c r="AO2937" s="144"/>
      <c r="AP2937" s="148">
        <v>37485</v>
      </c>
      <c r="AQ2937" s="144"/>
      <c r="AR2937" s="120"/>
      <c r="AS2937" s="121"/>
      <c r="AT2937" s="120"/>
      <c r="AU2937" s="121"/>
      <c r="AV2937" s="120"/>
      <c r="AW2937" s="121"/>
      <c r="AX2937" s="120"/>
      <c r="AY2937" s="121"/>
      <c r="AZ2937" s="138"/>
    </row>
    <row r="2938" spans="1:52" ht="17.100000000000001" customHeight="1" thickTop="1">
      <c r="A2938" s="109" t="s">
        <v>9468</v>
      </c>
      <c r="B2938" s="28">
        <v>45957</v>
      </c>
      <c r="C2938" s="25">
        <v>63</v>
      </c>
      <c r="D2938" s="13" t="s">
        <v>2100</v>
      </c>
      <c r="E2938" s="111"/>
      <c r="F2938" s="113" t="s">
        <v>9473</v>
      </c>
      <c r="G2938" s="114"/>
      <c r="H2938" s="115"/>
      <c r="I2938" s="24" t="s">
        <v>4314</v>
      </c>
      <c r="J2938" s="116">
        <v>4</v>
      </c>
      <c r="K2938" s="118">
        <v>885000</v>
      </c>
      <c r="L2938" s="119"/>
      <c r="M2938" s="118">
        <f t="shared" ref="M2938" si="1873">K2938*0.1</f>
        <v>88500</v>
      </c>
      <c r="N2938" s="119"/>
      <c r="O2938" s="118">
        <v>0</v>
      </c>
      <c r="P2938" s="119"/>
      <c r="Q2938" s="118">
        <v>9010</v>
      </c>
      <c r="R2938" s="119"/>
      <c r="S2938" s="118">
        <v>33000</v>
      </c>
      <c r="T2938" s="119"/>
      <c r="U2938" s="118">
        <f t="shared" ref="U2938" si="1874">SUM(K2938:T2939)</f>
        <v>1015510</v>
      </c>
      <c r="V2938" s="122"/>
      <c r="W2938" s="124"/>
      <c r="X2938" s="126" t="s">
        <v>10793</v>
      </c>
      <c r="Y2938" s="127"/>
      <c r="Z2938" s="127"/>
      <c r="AA2938" s="127"/>
      <c r="AB2938" s="128"/>
      <c r="AC2938" s="15" t="s">
        <v>20</v>
      </c>
      <c r="AD2938" s="129" t="s">
        <v>9259</v>
      </c>
      <c r="AE2938" s="130"/>
      <c r="AF2938" s="130"/>
      <c r="AG2938" s="130"/>
      <c r="AH2938" s="130"/>
      <c r="AI2938" s="131"/>
      <c r="AJ2938" s="132"/>
      <c r="AK2938" s="127"/>
      <c r="AL2938" s="128"/>
      <c r="AM2938" s="21"/>
      <c r="AN2938" s="133">
        <v>45976</v>
      </c>
      <c r="AO2938" s="134"/>
      <c r="AP2938" s="135">
        <v>1276</v>
      </c>
      <c r="AQ2938" s="136"/>
      <c r="AR2938" s="118">
        <v>1050000</v>
      </c>
      <c r="AS2938" s="119"/>
      <c r="AT2938" s="118">
        <f t="shared" ref="AT2938" si="1875">AR2938*0.1</f>
        <v>105000</v>
      </c>
      <c r="AU2938" s="119"/>
      <c r="AV2938" s="118">
        <v>9010</v>
      </c>
      <c r="AW2938" s="119"/>
      <c r="AX2938" s="118">
        <f t="shared" ref="AX2938" si="1876">SUM(AR2938:AW2938)</f>
        <v>1164010</v>
      </c>
      <c r="AY2938" s="119"/>
      <c r="AZ2938" s="137">
        <v>45979</v>
      </c>
    </row>
    <row r="2939" spans="1:52" ht="17.100000000000001" customHeight="1" thickBot="1">
      <c r="A2939" s="110"/>
      <c r="B2939" s="27" t="s">
        <v>4544</v>
      </c>
      <c r="C2939" s="27">
        <v>1058</v>
      </c>
      <c r="D2939" s="14" t="s">
        <v>1812</v>
      </c>
      <c r="E2939" s="112"/>
      <c r="F2939" s="139" t="s">
        <v>9470</v>
      </c>
      <c r="G2939" s="140"/>
      <c r="H2939" s="141"/>
      <c r="I2939" s="26">
        <v>72242</v>
      </c>
      <c r="J2939" s="117"/>
      <c r="K2939" s="120"/>
      <c r="L2939" s="121"/>
      <c r="M2939" s="120"/>
      <c r="N2939" s="121"/>
      <c r="O2939" s="120"/>
      <c r="P2939" s="121"/>
      <c r="Q2939" s="120"/>
      <c r="R2939" s="121"/>
      <c r="S2939" s="120"/>
      <c r="T2939" s="121"/>
      <c r="U2939" s="120"/>
      <c r="V2939" s="123"/>
      <c r="W2939" s="125"/>
      <c r="X2939" s="142" t="s">
        <v>10794</v>
      </c>
      <c r="Y2939" s="143"/>
      <c r="Z2939" s="143"/>
      <c r="AA2939" s="143"/>
      <c r="AB2939" s="144"/>
      <c r="AC2939" s="16" t="s">
        <v>21</v>
      </c>
      <c r="AD2939" s="17" t="s">
        <v>10733</v>
      </c>
      <c r="AE2939" s="145" t="s">
        <v>4883</v>
      </c>
      <c r="AF2939" s="146"/>
      <c r="AG2939" s="146"/>
      <c r="AH2939" s="146"/>
      <c r="AI2939" s="147"/>
      <c r="AJ2939" s="148"/>
      <c r="AK2939" s="143"/>
      <c r="AL2939" s="144"/>
      <c r="AM2939" s="22"/>
      <c r="AN2939" s="149" t="s">
        <v>10999</v>
      </c>
      <c r="AO2939" s="144"/>
      <c r="AP2939" s="148">
        <v>65404</v>
      </c>
      <c r="AQ2939" s="144"/>
      <c r="AR2939" s="120"/>
      <c r="AS2939" s="121"/>
      <c r="AT2939" s="120"/>
      <c r="AU2939" s="121"/>
      <c r="AV2939" s="120"/>
      <c r="AW2939" s="121"/>
      <c r="AX2939" s="120"/>
      <c r="AY2939" s="121"/>
      <c r="AZ2939" s="138"/>
    </row>
    <row r="2940" spans="1:52" ht="17.100000000000001" customHeight="1" thickTop="1">
      <c r="A2940" s="109" t="s">
        <v>12780</v>
      </c>
      <c r="B2940" s="28">
        <v>45957</v>
      </c>
      <c r="C2940" s="25">
        <v>63</v>
      </c>
      <c r="D2940" s="13" t="s">
        <v>3836</v>
      </c>
      <c r="E2940" s="111"/>
      <c r="F2940" s="113" t="s">
        <v>4736</v>
      </c>
      <c r="G2940" s="114"/>
      <c r="H2940" s="115"/>
      <c r="I2940" s="24" t="s">
        <v>2861</v>
      </c>
      <c r="J2940" s="116">
        <v>4</v>
      </c>
      <c r="K2940" s="118">
        <v>290000</v>
      </c>
      <c r="L2940" s="119"/>
      <c r="M2940" s="118">
        <f t="shared" ref="M2940" si="1877">K2940*0.1</f>
        <v>29000</v>
      </c>
      <c r="N2940" s="119"/>
      <c r="O2940" s="118">
        <v>0</v>
      </c>
      <c r="P2940" s="119"/>
      <c r="Q2940" s="118">
        <v>9460</v>
      </c>
      <c r="R2940" s="119"/>
      <c r="S2940" s="118">
        <v>33000</v>
      </c>
      <c r="T2940" s="119"/>
      <c r="U2940" s="118">
        <f t="shared" ref="U2940" si="1878">SUM(K2940:T2941)</f>
        <v>361460</v>
      </c>
      <c r="V2940" s="122"/>
      <c r="W2940" s="124"/>
      <c r="X2940" s="126" t="s">
        <v>12757</v>
      </c>
      <c r="Y2940" s="127"/>
      <c r="Z2940" s="127"/>
      <c r="AA2940" s="127"/>
      <c r="AB2940" s="128"/>
      <c r="AC2940" s="15" t="s">
        <v>20</v>
      </c>
      <c r="AD2940" s="129" t="s">
        <v>9276</v>
      </c>
      <c r="AE2940" s="130"/>
      <c r="AF2940" s="130"/>
      <c r="AG2940" s="130"/>
      <c r="AH2940" s="130"/>
      <c r="AI2940" s="131"/>
      <c r="AJ2940" s="132"/>
      <c r="AK2940" s="127"/>
      <c r="AL2940" s="128"/>
      <c r="AM2940" s="21"/>
      <c r="AN2940" s="133">
        <v>45997</v>
      </c>
      <c r="AO2940" s="134"/>
      <c r="AP2940" s="135">
        <v>1279</v>
      </c>
      <c r="AQ2940" s="136"/>
      <c r="AR2940" s="118">
        <v>410000</v>
      </c>
      <c r="AS2940" s="119"/>
      <c r="AT2940" s="118">
        <f t="shared" ref="AT2940" si="1879">AR2940*0.1</f>
        <v>41000</v>
      </c>
      <c r="AU2940" s="119"/>
      <c r="AV2940" s="118">
        <v>9460</v>
      </c>
      <c r="AW2940" s="119"/>
      <c r="AX2940" s="118">
        <f t="shared" ref="AX2940" si="1880">SUM(AR2940:AW2940)</f>
        <v>460460</v>
      </c>
      <c r="AY2940" s="119"/>
      <c r="AZ2940" s="137">
        <v>46002</v>
      </c>
    </row>
    <row r="2941" spans="1:52" ht="17.100000000000001" customHeight="1" thickBot="1">
      <c r="A2941" s="110"/>
      <c r="B2941" s="27" t="s">
        <v>4544</v>
      </c>
      <c r="C2941" s="27">
        <v>1063</v>
      </c>
      <c r="D2941" s="14" t="s">
        <v>2040</v>
      </c>
      <c r="E2941" s="112"/>
      <c r="F2941" s="139" t="s">
        <v>9471</v>
      </c>
      <c r="G2941" s="140"/>
      <c r="H2941" s="141"/>
      <c r="I2941" s="26">
        <v>55459</v>
      </c>
      <c r="J2941" s="117"/>
      <c r="K2941" s="120"/>
      <c r="L2941" s="121"/>
      <c r="M2941" s="120"/>
      <c r="N2941" s="121"/>
      <c r="O2941" s="120"/>
      <c r="P2941" s="121"/>
      <c r="Q2941" s="120"/>
      <c r="R2941" s="121"/>
      <c r="S2941" s="120"/>
      <c r="T2941" s="121"/>
      <c r="U2941" s="120"/>
      <c r="V2941" s="123"/>
      <c r="W2941" s="125"/>
      <c r="X2941" s="142" t="s">
        <v>12758</v>
      </c>
      <c r="Y2941" s="143"/>
      <c r="Z2941" s="143"/>
      <c r="AA2941" s="143"/>
      <c r="AB2941" s="144"/>
      <c r="AC2941" s="16" t="s">
        <v>21</v>
      </c>
      <c r="AD2941" s="17" t="s">
        <v>1765</v>
      </c>
      <c r="AE2941" s="145" t="s">
        <v>12760</v>
      </c>
      <c r="AF2941" s="146"/>
      <c r="AG2941" s="146"/>
      <c r="AH2941" s="146"/>
      <c r="AI2941" s="147"/>
      <c r="AJ2941" s="148"/>
      <c r="AK2941" s="143"/>
      <c r="AL2941" s="144"/>
      <c r="AM2941" s="22"/>
      <c r="AN2941" s="149" t="s">
        <v>2511</v>
      </c>
      <c r="AO2941" s="144"/>
      <c r="AP2941" s="148">
        <v>65453</v>
      </c>
      <c r="AQ2941" s="144"/>
      <c r="AR2941" s="120"/>
      <c r="AS2941" s="121"/>
      <c r="AT2941" s="120"/>
      <c r="AU2941" s="121"/>
      <c r="AV2941" s="120"/>
      <c r="AW2941" s="121"/>
      <c r="AX2941" s="120"/>
      <c r="AY2941" s="121"/>
      <c r="AZ2941" s="138"/>
    </row>
    <row r="2942" spans="1:52" ht="17.100000000000001" customHeight="1" thickTop="1">
      <c r="A2942" s="109" t="s">
        <v>9469</v>
      </c>
      <c r="B2942" s="28">
        <v>45957</v>
      </c>
      <c r="C2942" s="25">
        <v>63</v>
      </c>
      <c r="D2942" s="13" t="s">
        <v>1902</v>
      </c>
      <c r="E2942" s="111"/>
      <c r="F2942" s="113" t="s">
        <v>9474</v>
      </c>
      <c r="G2942" s="114"/>
      <c r="H2942" s="115"/>
      <c r="I2942" s="24" t="s">
        <v>2861</v>
      </c>
      <c r="J2942" s="116">
        <v>4.5</v>
      </c>
      <c r="K2942" s="118">
        <v>1095000</v>
      </c>
      <c r="L2942" s="119"/>
      <c r="M2942" s="118">
        <f t="shared" ref="M2942" si="1881">K2942*0.1</f>
        <v>109500</v>
      </c>
      <c r="N2942" s="119"/>
      <c r="O2942" s="118">
        <v>0</v>
      </c>
      <c r="P2942" s="119"/>
      <c r="Q2942" s="118">
        <v>6830</v>
      </c>
      <c r="R2942" s="119"/>
      <c r="S2942" s="118">
        <v>44000</v>
      </c>
      <c r="T2942" s="119"/>
      <c r="U2942" s="118">
        <f t="shared" ref="U2942" si="1882">SUM(K2942:T2943)</f>
        <v>1255330</v>
      </c>
      <c r="V2942" s="122"/>
      <c r="W2942" s="124"/>
      <c r="X2942" s="126" t="s">
        <v>12212</v>
      </c>
      <c r="Y2942" s="127"/>
      <c r="Z2942" s="127"/>
      <c r="AA2942" s="127"/>
      <c r="AB2942" s="128"/>
      <c r="AC2942" s="15" t="s">
        <v>20</v>
      </c>
      <c r="AD2942" s="129" t="s">
        <v>12759</v>
      </c>
      <c r="AE2942" s="130"/>
      <c r="AF2942" s="130"/>
      <c r="AG2942" s="130"/>
      <c r="AH2942" s="130"/>
      <c r="AI2942" s="131"/>
      <c r="AJ2942" s="132"/>
      <c r="AK2942" s="127"/>
      <c r="AL2942" s="128"/>
      <c r="AM2942" s="21"/>
      <c r="AN2942" s="133">
        <v>45993</v>
      </c>
      <c r="AO2942" s="134"/>
      <c r="AP2942" s="135">
        <v>1920</v>
      </c>
      <c r="AQ2942" s="136"/>
      <c r="AR2942" s="118">
        <v>1228000</v>
      </c>
      <c r="AS2942" s="119"/>
      <c r="AT2942" s="118">
        <f t="shared" ref="AT2942" si="1883">AR2942*0.1</f>
        <v>122800</v>
      </c>
      <c r="AU2942" s="119"/>
      <c r="AV2942" s="118">
        <v>6830</v>
      </c>
      <c r="AW2942" s="119"/>
      <c r="AX2942" s="118">
        <f t="shared" ref="AX2942" si="1884">SUM(AR2942:AW2942)</f>
        <v>1357630</v>
      </c>
      <c r="AY2942" s="119"/>
      <c r="AZ2942" s="137"/>
    </row>
    <row r="2943" spans="1:52" ht="17.100000000000001" customHeight="1" thickBot="1">
      <c r="A2943" s="110"/>
      <c r="B2943" s="27" t="s">
        <v>4544</v>
      </c>
      <c r="C2943" s="27">
        <v>1077</v>
      </c>
      <c r="D2943" s="14" t="s">
        <v>2116</v>
      </c>
      <c r="E2943" s="112"/>
      <c r="F2943" s="139" t="s">
        <v>9472</v>
      </c>
      <c r="G2943" s="140"/>
      <c r="H2943" s="141"/>
      <c r="I2943" s="26">
        <v>15967</v>
      </c>
      <c r="J2943" s="117"/>
      <c r="K2943" s="120"/>
      <c r="L2943" s="121"/>
      <c r="M2943" s="120"/>
      <c r="N2943" s="121"/>
      <c r="O2943" s="120"/>
      <c r="P2943" s="121"/>
      <c r="Q2943" s="120"/>
      <c r="R2943" s="121"/>
      <c r="S2943" s="120"/>
      <c r="T2943" s="121"/>
      <c r="U2943" s="120"/>
      <c r="V2943" s="123"/>
      <c r="W2943" s="125"/>
      <c r="X2943" s="142" t="s">
        <v>12213</v>
      </c>
      <c r="Y2943" s="143"/>
      <c r="Z2943" s="143"/>
      <c r="AA2943" s="143"/>
      <c r="AB2943" s="144"/>
      <c r="AC2943" s="16" t="s">
        <v>21</v>
      </c>
      <c r="AD2943" s="17" t="s">
        <v>1741</v>
      </c>
      <c r="AE2943" s="145" t="s">
        <v>10730</v>
      </c>
      <c r="AF2943" s="146"/>
      <c r="AG2943" s="146"/>
      <c r="AH2943" s="146"/>
      <c r="AI2943" s="147"/>
      <c r="AJ2943" s="148"/>
      <c r="AK2943" s="143"/>
      <c r="AL2943" s="144"/>
      <c r="AM2943" s="22"/>
      <c r="AN2943" s="149" t="s">
        <v>2131</v>
      </c>
      <c r="AO2943" s="144"/>
      <c r="AP2943" s="148">
        <v>3305</v>
      </c>
      <c r="AQ2943" s="144"/>
      <c r="AR2943" s="120"/>
      <c r="AS2943" s="121"/>
      <c r="AT2943" s="120"/>
      <c r="AU2943" s="121"/>
      <c r="AV2943" s="120"/>
      <c r="AW2943" s="121"/>
      <c r="AX2943" s="120"/>
      <c r="AY2943" s="121"/>
      <c r="AZ2943" s="138"/>
    </row>
    <row r="2944" spans="1:52" ht="17.100000000000001" customHeight="1" thickTop="1">
      <c r="A2944" s="109" t="s">
        <v>9511</v>
      </c>
      <c r="B2944" s="28">
        <v>45957</v>
      </c>
      <c r="C2944" s="25">
        <v>63</v>
      </c>
      <c r="D2944" s="13" t="s">
        <v>2187</v>
      </c>
      <c r="E2944" s="111"/>
      <c r="F2944" s="113" t="s">
        <v>7999</v>
      </c>
      <c r="G2944" s="114"/>
      <c r="H2944" s="115"/>
      <c r="I2944" s="24" t="s">
        <v>2533</v>
      </c>
      <c r="J2944" s="116">
        <v>4.5</v>
      </c>
      <c r="K2944" s="118">
        <v>695000</v>
      </c>
      <c r="L2944" s="119"/>
      <c r="M2944" s="118">
        <f t="shared" ref="M2944" si="1885">K2944*0.1</f>
        <v>69500</v>
      </c>
      <c r="N2944" s="119"/>
      <c r="O2944" s="118">
        <v>0</v>
      </c>
      <c r="P2944" s="119"/>
      <c r="Q2944" s="118">
        <v>6470</v>
      </c>
      <c r="R2944" s="119"/>
      <c r="S2944" s="118">
        <v>33000</v>
      </c>
      <c r="T2944" s="119"/>
      <c r="U2944" s="118">
        <f t="shared" ref="U2944" si="1886">SUM(K2944:T2945)</f>
        <v>803970</v>
      </c>
      <c r="V2944" s="122"/>
      <c r="W2944" s="124"/>
      <c r="X2944" s="126" t="s">
        <v>11612</v>
      </c>
      <c r="Y2944" s="127"/>
      <c r="Z2944" s="127"/>
      <c r="AA2944" s="127"/>
      <c r="AB2944" s="128"/>
      <c r="AC2944" s="15" t="s">
        <v>20</v>
      </c>
      <c r="AD2944" s="129" t="s">
        <v>9477</v>
      </c>
      <c r="AE2944" s="130"/>
      <c r="AF2944" s="130"/>
      <c r="AG2944" s="130"/>
      <c r="AH2944" s="130"/>
      <c r="AI2944" s="131"/>
      <c r="AJ2944" s="132"/>
      <c r="AK2944" s="127"/>
      <c r="AL2944" s="128"/>
      <c r="AM2944" s="21"/>
      <c r="AN2944" s="133">
        <v>45986</v>
      </c>
      <c r="AO2944" s="134"/>
      <c r="AP2944" s="135">
        <v>1919</v>
      </c>
      <c r="AQ2944" s="136"/>
      <c r="AR2944" s="118">
        <v>928000</v>
      </c>
      <c r="AS2944" s="119"/>
      <c r="AT2944" s="118">
        <f t="shared" ref="AT2944" si="1887">AR2944*0.1</f>
        <v>92800</v>
      </c>
      <c r="AU2944" s="119"/>
      <c r="AV2944" s="118">
        <v>6470</v>
      </c>
      <c r="AW2944" s="119"/>
      <c r="AX2944" s="118">
        <f t="shared" ref="AX2944" si="1888">SUM(AR2944:AW2944)</f>
        <v>1027270</v>
      </c>
      <c r="AY2944" s="119"/>
      <c r="AZ2944" s="137"/>
    </row>
    <row r="2945" spans="1:52" ht="17.100000000000001" customHeight="1" thickBot="1">
      <c r="A2945" s="110"/>
      <c r="B2945" s="27" t="s">
        <v>4544</v>
      </c>
      <c r="C2945" s="27">
        <v>1093</v>
      </c>
      <c r="D2945" s="14" t="s">
        <v>275</v>
      </c>
      <c r="E2945" s="112"/>
      <c r="F2945" s="139" t="s">
        <v>9563</v>
      </c>
      <c r="G2945" s="140"/>
      <c r="H2945" s="141"/>
      <c r="I2945" s="26">
        <v>40131</v>
      </c>
      <c r="J2945" s="117"/>
      <c r="K2945" s="120"/>
      <c r="L2945" s="121"/>
      <c r="M2945" s="120"/>
      <c r="N2945" s="121"/>
      <c r="O2945" s="120"/>
      <c r="P2945" s="121"/>
      <c r="Q2945" s="120"/>
      <c r="R2945" s="121"/>
      <c r="S2945" s="120"/>
      <c r="T2945" s="121"/>
      <c r="U2945" s="120"/>
      <c r="V2945" s="123"/>
      <c r="W2945" s="125"/>
      <c r="X2945" s="142" t="s">
        <v>11613</v>
      </c>
      <c r="Y2945" s="143"/>
      <c r="Z2945" s="143"/>
      <c r="AA2945" s="143"/>
      <c r="AB2945" s="144"/>
      <c r="AC2945" s="16" t="s">
        <v>21</v>
      </c>
      <c r="AD2945" s="17" t="s">
        <v>2224</v>
      </c>
      <c r="AE2945" s="145" t="s">
        <v>11614</v>
      </c>
      <c r="AF2945" s="146"/>
      <c r="AG2945" s="146"/>
      <c r="AH2945" s="146"/>
      <c r="AI2945" s="147"/>
      <c r="AJ2945" s="148"/>
      <c r="AK2945" s="143"/>
      <c r="AL2945" s="144"/>
      <c r="AM2945" s="22"/>
      <c r="AN2945" s="149" t="s">
        <v>11650</v>
      </c>
      <c r="AO2945" s="144"/>
      <c r="AP2945" s="148">
        <v>3259</v>
      </c>
      <c r="AQ2945" s="144"/>
      <c r="AR2945" s="120"/>
      <c r="AS2945" s="121"/>
      <c r="AT2945" s="120"/>
      <c r="AU2945" s="121"/>
      <c r="AV2945" s="120"/>
      <c r="AW2945" s="121"/>
      <c r="AX2945" s="120"/>
      <c r="AY2945" s="121"/>
      <c r="AZ2945" s="138"/>
    </row>
    <row r="2946" spans="1:52" ht="17.100000000000001" customHeight="1" thickTop="1">
      <c r="A2946" s="109" t="s">
        <v>9512</v>
      </c>
      <c r="B2946" s="28">
        <v>45957</v>
      </c>
      <c r="C2946" s="25"/>
      <c r="D2946" s="13" t="s">
        <v>1767</v>
      </c>
      <c r="E2946" s="111"/>
      <c r="F2946" s="113" t="s">
        <v>9475</v>
      </c>
      <c r="G2946" s="114"/>
      <c r="H2946" s="115"/>
      <c r="I2946" s="24"/>
      <c r="J2946" s="116">
        <v>4</v>
      </c>
      <c r="K2946" s="118">
        <v>596000</v>
      </c>
      <c r="L2946" s="119"/>
      <c r="M2946" s="118">
        <f t="shared" ref="M2946" si="1889">K2946*0.1</f>
        <v>59600</v>
      </c>
      <c r="N2946" s="119"/>
      <c r="O2946" s="118">
        <v>0</v>
      </c>
      <c r="P2946" s="119"/>
      <c r="Q2946" s="118">
        <v>17490</v>
      </c>
      <c r="R2946" s="119"/>
      <c r="S2946" s="118">
        <v>14850</v>
      </c>
      <c r="T2946" s="119"/>
      <c r="U2946" s="118">
        <f t="shared" ref="U2946" si="1890">SUM(K2946:T2947)</f>
        <v>687940</v>
      </c>
      <c r="V2946" s="122"/>
      <c r="W2946" s="124"/>
      <c r="X2946" s="126" t="s">
        <v>9946</v>
      </c>
      <c r="Y2946" s="127"/>
      <c r="Z2946" s="127"/>
      <c r="AA2946" s="127"/>
      <c r="AB2946" s="128"/>
      <c r="AC2946" s="15" t="s">
        <v>20</v>
      </c>
      <c r="AD2946" s="129" t="s">
        <v>1670</v>
      </c>
      <c r="AE2946" s="130"/>
      <c r="AF2946" s="130"/>
      <c r="AG2946" s="130"/>
      <c r="AH2946" s="130"/>
      <c r="AI2946" s="131"/>
      <c r="AJ2946" s="132"/>
      <c r="AK2946" s="127"/>
      <c r="AL2946" s="128"/>
      <c r="AM2946" s="21"/>
      <c r="AN2946" s="133">
        <v>46001</v>
      </c>
      <c r="AO2946" s="134"/>
      <c r="AP2946" s="135">
        <v>996</v>
      </c>
      <c r="AQ2946" s="136"/>
      <c r="AR2946" s="118">
        <v>710000</v>
      </c>
      <c r="AS2946" s="119"/>
      <c r="AT2946" s="118">
        <f t="shared" ref="AT2946" si="1891">AR2946*0.1</f>
        <v>71000</v>
      </c>
      <c r="AU2946" s="119"/>
      <c r="AV2946" s="118">
        <v>17490</v>
      </c>
      <c r="AW2946" s="119"/>
      <c r="AX2946" s="118">
        <f t="shared" ref="AX2946" si="1892">SUM(AR2946:AW2946)</f>
        <v>798490</v>
      </c>
      <c r="AY2946" s="119"/>
      <c r="AZ2946" s="137">
        <v>46006</v>
      </c>
    </row>
    <row r="2947" spans="1:52" ht="17.100000000000001" customHeight="1" thickBot="1">
      <c r="A2947" s="110"/>
      <c r="B2947" s="27" t="s">
        <v>4862</v>
      </c>
      <c r="C2947" s="27">
        <v>55311</v>
      </c>
      <c r="D2947" s="14" t="s">
        <v>1720</v>
      </c>
      <c r="E2947" s="112"/>
      <c r="F2947" s="139" t="s">
        <v>9945</v>
      </c>
      <c r="G2947" s="140"/>
      <c r="H2947" s="141"/>
      <c r="I2947" s="26">
        <v>46835</v>
      </c>
      <c r="J2947" s="117"/>
      <c r="K2947" s="120"/>
      <c r="L2947" s="121"/>
      <c r="M2947" s="120"/>
      <c r="N2947" s="121"/>
      <c r="O2947" s="120"/>
      <c r="P2947" s="121"/>
      <c r="Q2947" s="120"/>
      <c r="R2947" s="121"/>
      <c r="S2947" s="120"/>
      <c r="T2947" s="121"/>
      <c r="U2947" s="120"/>
      <c r="V2947" s="123"/>
      <c r="W2947" s="125"/>
      <c r="X2947" s="142" t="s">
        <v>4167</v>
      </c>
      <c r="Y2947" s="143"/>
      <c r="Z2947" s="143"/>
      <c r="AA2947" s="143"/>
      <c r="AB2947" s="144"/>
      <c r="AC2947" s="16" t="s">
        <v>21</v>
      </c>
      <c r="AD2947" s="17" t="s">
        <v>3391</v>
      </c>
      <c r="AE2947" s="145" t="s">
        <v>9947</v>
      </c>
      <c r="AF2947" s="146"/>
      <c r="AG2947" s="146"/>
      <c r="AH2947" s="146"/>
      <c r="AI2947" s="147"/>
      <c r="AJ2947" s="148"/>
      <c r="AK2947" s="143"/>
      <c r="AL2947" s="144"/>
      <c r="AM2947" s="22"/>
      <c r="AN2947" s="149" t="s">
        <v>2794</v>
      </c>
      <c r="AO2947" s="144"/>
      <c r="AP2947" s="148">
        <v>6029</v>
      </c>
      <c r="AQ2947" s="144"/>
      <c r="AR2947" s="120"/>
      <c r="AS2947" s="121"/>
      <c r="AT2947" s="120"/>
      <c r="AU2947" s="121"/>
      <c r="AV2947" s="120"/>
      <c r="AW2947" s="121"/>
      <c r="AX2947" s="120"/>
      <c r="AY2947" s="121"/>
      <c r="AZ2947" s="138"/>
    </row>
    <row r="2948" spans="1:52" ht="17.100000000000001" customHeight="1" thickTop="1">
      <c r="A2948" s="109" t="s">
        <v>9513</v>
      </c>
      <c r="B2948" s="28">
        <v>45957</v>
      </c>
      <c r="C2948" s="25"/>
      <c r="D2948" s="13" t="s">
        <v>1744</v>
      </c>
      <c r="E2948" s="111"/>
      <c r="F2948" s="113" t="s">
        <v>9478</v>
      </c>
      <c r="G2948" s="114"/>
      <c r="H2948" s="115"/>
      <c r="I2948" s="24"/>
      <c r="J2948" s="116">
        <v>4.5</v>
      </c>
      <c r="K2948" s="118">
        <v>699000</v>
      </c>
      <c r="L2948" s="119"/>
      <c r="M2948" s="118">
        <f t="shared" ref="M2948" si="1893">K2948*0.1</f>
        <v>69900</v>
      </c>
      <c r="N2948" s="119"/>
      <c r="O2948" s="118">
        <v>0</v>
      </c>
      <c r="P2948" s="119"/>
      <c r="Q2948" s="118">
        <v>20170</v>
      </c>
      <c r="R2948" s="119"/>
      <c r="S2948" s="118">
        <v>14850</v>
      </c>
      <c r="T2948" s="119"/>
      <c r="U2948" s="118">
        <f t="shared" ref="U2948" si="1894">SUM(K2948:T2949)</f>
        <v>803920</v>
      </c>
      <c r="V2948" s="122"/>
      <c r="W2948" s="124"/>
      <c r="X2948" s="126" t="s">
        <v>9907</v>
      </c>
      <c r="Y2948" s="127"/>
      <c r="Z2948" s="127"/>
      <c r="AA2948" s="127"/>
      <c r="AB2948" s="128"/>
      <c r="AC2948" s="15" t="s">
        <v>20</v>
      </c>
      <c r="AD2948" s="129"/>
      <c r="AE2948" s="130"/>
      <c r="AF2948" s="130"/>
      <c r="AG2948" s="130"/>
      <c r="AH2948" s="130"/>
      <c r="AI2948" s="131"/>
      <c r="AJ2948" s="132"/>
      <c r="AK2948" s="127"/>
      <c r="AL2948" s="128"/>
      <c r="AM2948" s="21"/>
      <c r="AN2948" s="133">
        <v>45969</v>
      </c>
      <c r="AO2948" s="134"/>
      <c r="AP2948" s="135">
        <v>1275</v>
      </c>
      <c r="AQ2948" s="136"/>
      <c r="AR2948" s="118">
        <v>1005000</v>
      </c>
      <c r="AS2948" s="119"/>
      <c r="AT2948" s="118">
        <f t="shared" ref="AT2948" si="1895">AR2948*0.1</f>
        <v>100500</v>
      </c>
      <c r="AU2948" s="119"/>
      <c r="AV2948" s="118">
        <v>20170</v>
      </c>
      <c r="AW2948" s="119"/>
      <c r="AX2948" s="118">
        <f t="shared" ref="AX2948" si="1896">SUM(AR2948:AW2948)</f>
        <v>1125670</v>
      </c>
      <c r="AY2948" s="119"/>
      <c r="AZ2948" s="137">
        <v>45972</v>
      </c>
    </row>
    <row r="2949" spans="1:52" ht="17.100000000000001" customHeight="1" thickBot="1">
      <c r="A2949" s="110"/>
      <c r="B2949" s="27" t="s">
        <v>2774</v>
      </c>
      <c r="C2949" s="27">
        <v>80281</v>
      </c>
      <c r="D2949" s="14" t="s">
        <v>1576</v>
      </c>
      <c r="E2949" s="112"/>
      <c r="F2949" s="139" t="s">
        <v>9863</v>
      </c>
      <c r="G2949" s="140"/>
      <c r="H2949" s="141"/>
      <c r="I2949" s="26">
        <v>21317</v>
      </c>
      <c r="J2949" s="117"/>
      <c r="K2949" s="120"/>
      <c r="L2949" s="121"/>
      <c r="M2949" s="120"/>
      <c r="N2949" s="121"/>
      <c r="O2949" s="120"/>
      <c r="P2949" s="121"/>
      <c r="Q2949" s="120"/>
      <c r="R2949" s="121"/>
      <c r="S2949" s="120"/>
      <c r="T2949" s="121"/>
      <c r="U2949" s="120"/>
      <c r="V2949" s="123"/>
      <c r="W2949" s="125"/>
      <c r="X2949" s="142" t="s">
        <v>9908</v>
      </c>
      <c r="Y2949" s="143"/>
      <c r="Z2949" s="143"/>
      <c r="AA2949" s="143"/>
      <c r="AB2949" s="144"/>
      <c r="AC2949" s="16" t="s">
        <v>21</v>
      </c>
      <c r="AD2949" s="17" t="s">
        <v>9858</v>
      </c>
      <c r="AE2949" s="145" t="s">
        <v>9564</v>
      </c>
      <c r="AF2949" s="146"/>
      <c r="AG2949" s="146"/>
      <c r="AH2949" s="146"/>
      <c r="AI2949" s="147"/>
      <c r="AJ2949" s="148"/>
      <c r="AK2949" s="143"/>
      <c r="AL2949" s="144"/>
      <c r="AM2949" s="22"/>
      <c r="AN2949" s="149" t="s">
        <v>2511</v>
      </c>
      <c r="AO2949" s="144"/>
      <c r="AP2949" s="148">
        <v>80056</v>
      </c>
      <c r="AQ2949" s="144"/>
      <c r="AR2949" s="120"/>
      <c r="AS2949" s="121"/>
      <c r="AT2949" s="120"/>
      <c r="AU2949" s="121"/>
      <c r="AV2949" s="120"/>
      <c r="AW2949" s="121"/>
      <c r="AX2949" s="120"/>
      <c r="AY2949" s="121"/>
      <c r="AZ2949" s="138"/>
    </row>
    <row r="2950" spans="1:52" ht="17.100000000000001" customHeight="1" thickTop="1">
      <c r="A2950" s="109" t="s">
        <v>9514</v>
      </c>
      <c r="B2950" s="28">
        <v>45957</v>
      </c>
      <c r="C2950" s="25">
        <v>2066</v>
      </c>
      <c r="D2950" s="13" t="s">
        <v>1929</v>
      </c>
      <c r="E2950" s="111"/>
      <c r="F2950" s="113" t="s">
        <v>9479</v>
      </c>
      <c r="G2950" s="114"/>
      <c r="H2950" s="115"/>
      <c r="I2950" s="24"/>
      <c r="J2950" s="116">
        <v>4</v>
      </c>
      <c r="K2950" s="118">
        <v>261000</v>
      </c>
      <c r="L2950" s="119"/>
      <c r="M2950" s="118">
        <f t="shared" ref="M2950" si="1897">K2950*0.1</f>
        <v>26100</v>
      </c>
      <c r="N2950" s="119"/>
      <c r="O2950" s="118">
        <v>0</v>
      </c>
      <c r="P2950" s="119"/>
      <c r="Q2950" s="118">
        <v>19790</v>
      </c>
      <c r="R2950" s="119"/>
      <c r="S2950" s="118">
        <v>11000</v>
      </c>
      <c r="T2950" s="119"/>
      <c r="U2950" s="118">
        <f t="shared" ref="U2950" si="1898">SUM(K2950:T2951)</f>
        <v>317890</v>
      </c>
      <c r="V2950" s="122"/>
      <c r="W2950" s="124"/>
      <c r="X2950" s="126" t="s">
        <v>9684</v>
      </c>
      <c r="Y2950" s="127"/>
      <c r="Z2950" s="127"/>
      <c r="AA2950" s="127"/>
      <c r="AB2950" s="128"/>
      <c r="AC2950" s="15" t="s">
        <v>20</v>
      </c>
      <c r="AD2950" s="129" t="s">
        <v>7024</v>
      </c>
      <c r="AE2950" s="130"/>
      <c r="AF2950" s="130"/>
      <c r="AG2950" s="130"/>
      <c r="AH2950" s="130"/>
      <c r="AI2950" s="131"/>
      <c r="AJ2950" s="132"/>
      <c r="AK2950" s="127"/>
      <c r="AL2950" s="128"/>
      <c r="AM2950" s="21"/>
      <c r="AN2950" s="133">
        <v>45969</v>
      </c>
      <c r="AO2950" s="134"/>
      <c r="AP2950" s="135">
        <v>1275</v>
      </c>
      <c r="AQ2950" s="136"/>
      <c r="AR2950" s="118">
        <v>370000</v>
      </c>
      <c r="AS2950" s="119"/>
      <c r="AT2950" s="118">
        <f t="shared" ref="AT2950" si="1899">AR2950*0.1</f>
        <v>37000</v>
      </c>
      <c r="AU2950" s="119"/>
      <c r="AV2950" s="118">
        <v>19790</v>
      </c>
      <c r="AW2950" s="119"/>
      <c r="AX2950" s="118">
        <f t="shared" ref="AX2950" si="1900">SUM(AR2950:AW2950)</f>
        <v>426790</v>
      </c>
      <c r="AY2950" s="119"/>
      <c r="AZ2950" s="137">
        <v>45972</v>
      </c>
    </row>
    <row r="2951" spans="1:52" ht="17.100000000000001" customHeight="1" thickBot="1">
      <c r="A2951" s="110"/>
      <c r="B2951" s="27" t="s">
        <v>83</v>
      </c>
      <c r="C2951" s="27">
        <v>31009</v>
      </c>
      <c r="D2951" s="14" t="s">
        <v>1635</v>
      </c>
      <c r="E2951" s="112"/>
      <c r="F2951" s="139" t="s">
        <v>9480</v>
      </c>
      <c r="G2951" s="140"/>
      <c r="H2951" s="141"/>
      <c r="I2951" s="26">
        <v>20015</v>
      </c>
      <c r="J2951" s="117"/>
      <c r="K2951" s="120"/>
      <c r="L2951" s="121"/>
      <c r="M2951" s="120"/>
      <c r="N2951" s="121"/>
      <c r="O2951" s="120"/>
      <c r="P2951" s="121"/>
      <c r="Q2951" s="120"/>
      <c r="R2951" s="121"/>
      <c r="S2951" s="120"/>
      <c r="T2951" s="121"/>
      <c r="U2951" s="120"/>
      <c r="V2951" s="123"/>
      <c r="W2951" s="125"/>
      <c r="X2951" s="142" t="s">
        <v>9685</v>
      </c>
      <c r="Y2951" s="143"/>
      <c r="Z2951" s="143"/>
      <c r="AA2951" s="143"/>
      <c r="AB2951" s="144"/>
      <c r="AC2951" s="16" t="s">
        <v>21</v>
      </c>
      <c r="AD2951" s="17" t="s">
        <v>9662</v>
      </c>
      <c r="AE2951" s="145" t="s">
        <v>2441</v>
      </c>
      <c r="AF2951" s="146"/>
      <c r="AG2951" s="146"/>
      <c r="AH2951" s="146"/>
      <c r="AI2951" s="147"/>
      <c r="AJ2951" s="148"/>
      <c r="AK2951" s="143"/>
      <c r="AL2951" s="144"/>
      <c r="AM2951" s="22"/>
      <c r="AN2951" s="149" t="s">
        <v>2511</v>
      </c>
      <c r="AO2951" s="144"/>
      <c r="AP2951" s="148">
        <v>80092</v>
      </c>
      <c r="AQ2951" s="144"/>
      <c r="AR2951" s="120"/>
      <c r="AS2951" s="121"/>
      <c r="AT2951" s="120"/>
      <c r="AU2951" s="121"/>
      <c r="AV2951" s="120"/>
      <c r="AW2951" s="121"/>
      <c r="AX2951" s="120"/>
      <c r="AY2951" s="121"/>
      <c r="AZ2951" s="138"/>
    </row>
    <row r="2952" spans="1:52" ht="17.100000000000001" customHeight="1" thickTop="1">
      <c r="A2952" s="109" t="s">
        <v>9515</v>
      </c>
      <c r="B2952" s="28">
        <v>45957</v>
      </c>
      <c r="C2952" s="25">
        <v>2066</v>
      </c>
      <c r="D2952" s="13" t="s">
        <v>1714</v>
      </c>
      <c r="E2952" s="111"/>
      <c r="F2952" s="113" t="s">
        <v>2732</v>
      </c>
      <c r="G2952" s="114"/>
      <c r="H2952" s="115"/>
      <c r="I2952" s="24"/>
      <c r="J2952" s="116">
        <v>4</v>
      </c>
      <c r="K2952" s="118">
        <v>1155000</v>
      </c>
      <c r="L2952" s="119"/>
      <c r="M2952" s="118">
        <f t="shared" ref="M2952" si="1901">K2952*0.1</f>
        <v>115500</v>
      </c>
      <c r="N2952" s="119"/>
      <c r="O2952" s="118">
        <v>0</v>
      </c>
      <c r="P2952" s="119"/>
      <c r="Q2952" s="118">
        <v>18170</v>
      </c>
      <c r="R2952" s="119"/>
      <c r="S2952" s="118">
        <v>11000</v>
      </c>
      <c r="T2952" s="119"/>
      <c r="U2952" s="118">
        <f t="shared" ref="U2952" si="1902">SUM(K2952:T2953)</f>
        <v>1299670</v>
      </c>
      <c r="V2952" s="122"/>
      <c r="W2952" s="124"/>
      <c r="X2952" s="126" t="s">
        <v>9942</v>
      </c>
      <c r="Y2952" s="127"/>
      <c r="Z2952" s="127"/>
      <c r="AA2952" s="127"/>
      <c r="AB2952" s="128"/>
      <c r="AC2952" s="15" t="s">
        <v>20</v>
      </c>
      <c r="AD2952" s="129"/>
      <c r="AE2952" s="130"/>
      <c r="AF2952" s="130"/>
      <c r="AG2952" s="130"/>
      <c r="AH2952" s="130"/>
      <c r="AI2952" s="131"/>
      <c r="AJ2952" s="132"/>
      <c r="AK2952" s="127"/>
      <c r="AL2952" s="128"/>
      <c r="AM2952" s="21"/>
      <c r="AN2952" s="133">
        <v>45969</v>
      </c>
      <c r="AO2952" s="134"/>
      <c r="AP2952" s="135">
        <v>1275</v>
      </c>
      <c r="AQ2952" s="136"/>
      <c r="AR2952" s="118">
        <v>1445000</v>
      </c>
      <c r="AS2952" s="119"/>
      <c r="AT2952" s="118">
        <f t="shared" ref="AT2952" si="1903">AR2952*0.1</f>
        <v>144500</v>
      </c>
      <c r="AU2952" s="119"/>
      <c r="AV2952" s="118">
        <v>18170</v>
      </c>
      <c r="AW2952" s="119"/>
      <c r="AX2952" s="118">
        <f t="shared" ref="AX2952" si="1904">SUM(AR2952:AW2952)</f>
        <v>1607670</v>
      </c>
      <c r="AY2952" s="119"/>
      <c r="AZ2952" s="137">
        <v>45972</v>
      </c>
    </row>
    <row r="2953" spans="1:52" ht="17.100000000000001" customHeight="1" thickBot="1">
      <c r="A2953" s="110"/>
      <c r="B2953" s="27" t="s">
        <v>83</v>
      </c>
      <c r="C2953" s="27">
        <v>35450</v>
      </c>
      <c r="D2953" s="14" t="s">
        <v>1635</v>
      </c>
      <c r="E2953" s="112"/>
      <c r="F2953" s="139" t="s">
        <v>9481</v>
      </c>
      <c r="G2953" s="140"/>
      <c r="H2953" s="141"/>
      <c r="I2953" s="26">
        <v>75598</v>
      </c>
      <c r="J2953" s="117"/>
      <c r="K2953" s="120"/>
      <c r="L2953" s="121"/>
      <c r="M2953" s="120"/>
      <c r="N2953" s="121"/>
      <c r="O2953" s="120"/>
      <c r="P2953" s="121"/>
      <c r="Q2953" s="120"/>
      <c r="R2953" s="121"/>
      <c r="S2953" s="120"/>
      <c r="T2953" s="121"/>
      <c r="U2953" s="120"/>
      <c r="V2953" s="123"/>
      <c r="W2953" s="125"/>
      <c r="X2953" s="142" t="s">
        <v>9943</v>
      </c>
      <c r="Y2953" s="143"/>
      <c r="Z2953" s="143"/>
      <c r="AA2953" s="143"/>
      <c r="AB2953" s="144"/>
      <c r="AC2953" s="16" t="s">
        <v>21</v>
      </c>
      <c r="AD2953" s="17" t="s">
        <v>9939</v>
      </c>
      <c r="AE2953" s="145" t="s">
        <v>1742</v>
      </c>
      <c r="AF2953" s="146"/>
      <c r="AG2953" s="146"/>
      <c r="AH2953" s="146"/>
      <c r="AI2953" s="147"/>
      <c r="AJ2953" s="148"/>
      <c r="AK2953" s="143"/>
      <c r="AL2953" s="144"/>
      <c r="AM2953" s="22"/>
      <c r="AN2953" s="149" t="s">
        <v>2511</v>
      </c>
      <c r="AO2953" s="144"/>
      <c r="AP2953" s="148">
        <v>80097</v>
      </c>
      <c r="AQ2953" s="144"/>
      <c r="AR2953" s="120"/>
      <c r="AS2953" s="121"/>
      <c r="AT2953" s="120"/>
      <c r="AU2953" s="121"/>
      <c r="AV2953" s="120"/>
      <c r="AW2953" s="121"/>
      <c r="AX2953" s="120"/>
      <c r="AY2953" s="121"/>
      <c r="AZ2953" s="138"/>
    </row>
    <row r="2954" spans="1:52" ht="17.100000000000001" customHeight="1" thickTop="1">
      <c r="A2954" s="109" t="s">
        <v>9516</v>
      </c>
      <c r="B2954" s="28">
        <v>45957</v>
      </c>
      <c r="C2954" s="25">
        <v>2066</v>
      </c>
      <c r="D2954" s="13" t="s">
        <v>2298</v>
      </c>
      <c r="E2954" s="111"/>
      <c r="F2954" s="113" t="s">
        <v>9482</v>
      </c>
      <c r="G2954" s="114"/>
      <c r="H2954" s="115"/>
      <c r="I2954" s="24"/>
      <c r="J2954" s="116">
        <v>4</v>
      </c>
      <c r="K2954" s="118">
        <v>1425000</v>
      </c>
      <c r="L2954" s="119"/>
      <c r="M2954" s="118">
        <f t="shared" ref="M2954" si="1905">K2954*0.1</f>
        <v>142500</v>
      </c>
      <c r="N2954" s="119"/>
      <c r="O2954" s="118">
        <v>0</v>
      </c>
      <c r="P2954" s="119"/>
      <c r="Q2954" s="118">
        <v>14070</v>
      </c>
      <c r="R2954" s="119"/>
      <c r="S2954" s="118">
        <v>11000</v>
      </c>
      <c r="T2954" s="119"/>
      <c r="U2954" s="118">
        <f t="shared" ref="U2954" si="1906">SUM(K2954:T2955)</f>
        <v>1592570</v>
      </c>
      <c r="V2954" s="122"/>
      <c r="W2954" s="124"/>
      <c r="X2954" s="126" t="s">
        <v>9936</v>
      </c>
      <c r="Y2954" s="127"/>
      <c r="Z2954" s="127"/>
      <c r="AA2954" s="127"/>
      <c r="AB2954" s="128"/>
      <c r="AC2954" s="15" t="s">
        <v>20</v>
      </c>
      <c r="AD2954" s="129" t="s">
        <v>9484</v>
      </c>
      <c r="AE2954" s="130"/>
      <c r="AF2954" s="130"/>
      <c r="AG2954" s="130"/>
      <c r="AH2954" s="130"/>
      <c r="AI2954" s="131"/>
      <c r="AJ2954" s="132"/>
      <c r="AK2954" s="127"/>
      <c r="AL2954" s="128"/>
      <c r="AM2954" s="21"/>
      <c r="AN2954" s="133">
        <v>45962</v>
      </c>
      <c r="AO2954" s="134"/>
      <c r="AP2954" s="135">
        <v>1274</v>
      </c>
      <c r="AQ2954" s="136"/>
      <c r="AR2954" s="118">
        <v>1625000</v>
      </c>
      <c r="AS2954" s="119"/>
      <c r="AT2954" s="118">
        <f t="shared" ref="AT2954" si="1907">AR2954*0.1</f>
        <v>162500</v>
      </c>
      <c r="AU2954" s="119"/>
      <c r="AV2954" s="118">
        <v>14070</v>
      </c>
      <c r="AW2954" s="119"/>
      <c r="AX2954" s="118">
        <f t="shared" ref="AX2954" si="1908">SUM(AR2954:AW2954)</f>
        <v>1801570</v>
      </c>
      <c r="AY2954" s="119"/>
      <c r="AZ2954" s="137">
        <v>45965</v>
      </c>
    </row>
    <row r="2955" spans="1:52" ht="17.100000000000001" customHeight="1" thickBot="1">
      <c r="A2955" s="110"/>
      <c r="B2955" s="27" t="s">
        <v>83</v>
      </c>
      <c r="C2955" s="27">
        <v>36015</v>
      </c>
      <c r="D2955" s="14" t="s">
        <v>2601</v>
      </c>
      <c r="E2955" s="112"/>
      <c r="F2955" s="139" t="s">
        <v>9483</v>
      </c>
      <c r="G2955" s="140"/>
      <c r="H2955" s="141"/>
      <c r="I2955" s="26">
        <v>60974</v>
      </c>
      <c r="J2955" s="117"/>
      <c r="K2955" s="120"/>
      <c r="L2955" s="121"/>
      <c r="M2955" s="120"/>
      <c r="N2955" s="121"/>
      <c r="O2955" s="120"/>
      <c r="P2955" s="121"/>
      <c r="Q2955" s="120"/>
      <c r="R2955" s="121"/>
      <c r="S2955" s="120"/>
      <c r="T2955" s="121"/>
      <c r="U2955" s="120"/>
      <c r="V2955" s="123"/>
      <c r="W2955" s="125"/>
      <c r="X2955" s="142" t="s">
        <v>9937</v>
      </c>
      <c r="Y2955" s="143"/>
      <c r="Z2955" s="143"/>
      <c r="AA2955" s="143"/>
      <c r="AB2955" s="144"/>
      <c r="AC2955" s="16" t="s">
        <v>21</v>
      </c>
      <c r="AD2955" s="17" t="s">
        <v>9858</v>
      </c>
      <c r="AE2955" s="145" t="s">
        <v>3925</v>
      </c>
      <c r="AF2955" s="146"/>
      <c r="AG2955" s="146"/>
      <c r="AH2955" s="146"/>
      <c r="AI2955" s="147"/>
      <c r="AJ2955" s="148"/>
      <c r="AK2955" s="143"/>
      <c r="AL2955" s="144"/>
      <c r="AM2955" s="22"/>
      <c r="AN2955" s="149" t="s">
        <v>2511</v>
      </c>
      <c r="AO2955" s="144"/>
      <c r="AP2955" s="148">
        <v>80233</v>
      </c>
      <c r="AQ2955" s="144"/>
      <c r="AR2955" s="120"/>
      <c r="AS2955" s="121"/>
      <c r="AT2955" s="120"/>
      <c r="AU2955" s="121"/>
      <c r="AV2955" s="120"/>
      <c r="AW2955" s="121"/>
      <c r="AX2955" s="120"/>
      <c r="AY2955" s="121"/>
      <c r="AZ2955" s="138"/>
    </row>
    <row r="2956" spans="1:52" ht="17.100000000000001" customHeight="1" thickTop="1">
      <c r="A2956" s="109" t="s">
        <v>9517</v>
      </c>
      <c r="B2956" s="28">
        <v>45957</v>
      </c>
      <c r="C2956" s="25"/>
      <c r="D2956" s="13" t="s">
        <v>2458</v>
      </c>
      <c r="E2956" s="111"/>
      <c r="F2956" s="113" t="s">
        <v>5544</v>
      </c>
      <c r="G2956" s="114"/>
      <c r="H2956" s="115"/>
      <c r="I2956" s="24" t="s">
        <v>5677</v>
      </c>
      <c r="J2956" s="116">
        <v>4</v>
      </c>
      <c r="K2956" s="118">
        <f>1881000/1.1</f>
        <v>1709999.9999999998</v>
      </c>
      <c r="L2956" s="119"/>
      <c r="M2956" s="118">
        <f t="shared" ref="M2956" si="1909">K2956*0.1</f>
        <v>171000</v>
      </c>
      <c r="N2956" s="119"/>
      <c r="O2956" s="118">
        <v>15000</v>
      </c>
      <c r="P2956" s="119"/>
      <c r="Q2956" s="118">
        <v>16550</v>
      </c>
      <c r="R2956" s="119"/>
      <c r="S2956" s="118">
        <v>0</v>
      </c>
      <c r="T2956" s="119"/>
      <c r="U2956" s="118">
        <f t="shared" ref="U2956" si="1910">SUM(K2956:T2957)</f>
        <v>1912549.9999999998</v>
      </c>
      <c r="V2956" s="122"/>
      <c r="W2956" s="124"/>
      <c r="X2956" s="126" t="s">
        <v>11324</v>
      </c>
      <c r="Y2956" s="127"/>
      <c r="Z2956" s="127"/>
      <c r="AA2956" s="127"/>
      <c r="AB2956" s="128"/>
      <c r="AC2956" s="15" t="s">
        <v>20</v>
      </c>
      <c r="AD2956" s="129" t="s">
        <v>1945</v>
      </c>
      <c r="AE2956" s="130"/>
      <c r="AF2956" s="130"/>
      <c r="AG2956" s="130"/>
      <c r="AH2956" s="130"/>
      <c r="AI2956" s="131"/>
      <c r="AJ2956" s="132"/>
      <c r="AK2956" s="127"/>
      <c r="AL2956" s="128"/>
      <c r="AM2956" s="21"/>
      <c r="AN2956" s="133">
        <v>45983</v>
      </c>
      <c r="AO2956" s="134"/>
      <c r="AP2956" s="135">
        <v>1277</v>
      </c>
      <c r="AQ2956" s="136"/>
      <c r="AR2956" s="118">
        <v>1900000</v>
      </c>
      <c r="AS2956" s="119"/>
      <c r="AT2956" s="118">
        <f t="shared" ref="AT2956" si="1911">AR2956*0.1</f>
        <v>190000</v>
      </c>
      <c r="AU2956" s="119"/>
      <c r="AV2956" s="118">
        <v>16550</v>
      </c>
      <c r="AW2956" s="119"/>
      <c r="AX2956" s="118">
        <f t="shared" ref="AX2956" si="1912">SUM(AR2956:AW2956)</f>
        <v>2106550</v>
      </c>
      <c r="AY2956" s="119"/>
      <c r="AZ2956" s="137">
        <v>45987</v>
      </c>
    </row>
    <row r="2957" spans="1:52" ht="17.100000000000001" customHeight="1" thickBot="1">
      <c r="A2957" s="110"/>
      <c r="B2957" s="27" t="s">
        <v>1718</v>
      </c>
      <c r="C2957" s="27" t="s">
        <v>9485</v>
      </c>
      <c r="D2957" s="14" t="s">
        <v>133</v>
      </c>
      <c r="E2957" s="112"/>
      <c r="F2957" s="139" t="s">
        <v>9486</v>
      </c>
      <c r="G2957" s="140"/>
      <c r="H2957" s="141"/>
      <c r="I2957" s="26">
        <v>80659</v>
      </c>
      <c r="J2957" s="117"/>
      <c r="K2957" s="120"/>
      <c r="L2957" s="121"/>
      <c r="M2957" s="120"/>
      <c r="N2957" s="121"/>
      <c r="O2957" s="120"/>
      <c r="P2957" s="121"/>
      <c r="Q2957" s="120"/>
      <c r="R2957" s="121"/>
      <c r="S2957" s="120"/>
      <c r="T2957" s="121"/>
      <c r="U2957" s="120"/>
      <c r="V2957" s="123"/>
      <c r="W2957" s="125"/>
      <c r="X2957" s="142" t="s">
        <v>11325</v>
      </c>
      <c r="Y2957" s="143"/>
      <c r="Z2957" s="143"/>
      <c r="AA2957" s="143"/>
      <c r="AB2957" s="144"/>
      <c r="AC2957" s="16" t="s">
        <v>21</v>
      </c>
      <c r="AD2957" s="17" t="s">
        <v>2630</v>
      </c>
      <c r="AE2957" s="145" t="s">
        <v>1945</v>
      </c>
      <c r="AF2957" s="146"/>
      <c r="AG2957" s="146"/>
      <c r="AH2957" s="146"/>
      <c r="AI2957" s="147"/>
      <c r="AJ2957" s="148"/>
      <c r="AK2957" s="143"/>
      <c r="AL2957" s="144"/>
      <c r="AM2957" s="22"/>
      <c r="AN2957" s="149" t="s">
        <v>2511</v>
      </c>
      <c r="AO2957" s="144"/>
      <c r="AP2957" s="148">
        <v>37427</v>
      </c>
      <c r="AQ2957" s="144"/>
      <c r="AR2957" s="120"/>
      <c r="AS2957" s="121"/>
      <c r="AT2957" s="120"/>
      <c r="AU2957" s="121"/>
      <c r="AV2957" s="120"/>
      <c r="AW2957" s="121"/>
      <c r="AX2957" s="120"/>
      <c r="AY2957" s="121"/>
      <c r="AZ2957" s="138"/>
    </row>
    <row r="2958" spans="1:52" ht="17.100000000000001" customHeight="1" thickTop="1">
      <c r="A2958" s="109" t="s">
        <v>9518</v>
      </c>
      <c r="B2958" s="28">
        <v>45957</v>
      </c>
      <c r="C2958" s="25"/>
      <c r="D2958" s="13" t="s">
        <v>3386</v>
      </c>
      <c r="E2958" s="111"/>
      <c r="F2958" s="113" t="s">
        <v>9488</v>
      </c>
      <c r="G2958" s="114"/>
      <c r="H2958" s="115"/>
      <c r="I2958" s="24" t="s">
        <v>4951</v>
      </c>
      <c r="J2958" s="116">
        <v>4.5</v>
      </c>
      <c r="K2958" s="118">
        <f>1688500/1.1</f>
        <v>1534999.9999999998</v>
      </c>
      <c r="L2958" s="119"/>
      <c r="M2958" s="118">
        <f t="shared" ref="M2958" si="1913">K2958*0.1</f>
        <v>153499.99999999997</v>
      </c>
      <c r="N2958" s="119"/>
      <c r="O2958" s="118">
        <v>10100</v>
      </c>
      <c r="P2958" s="119"/>
      <c r="Q2958" s="118">
        <v>7470</v>
      </c>
      <c r="R2958" s="119"/>
      <c r="S2958" s="118">
        <v>0</v>
      </c>
      <c r="T2958" s="119"/>
      <c r="U2958" s="118">
        <f t="shared" ref="U2958" si="1914">SUM(K2958:T2959)</f>
        <v>1706069.9999999998</v>
      </c>
      <c r="V2958" s="122"/>
      <c r="W2958" s="124"/>
      <c r="X2958" s="126" t="s">
        <v>10345</v>
      </c>
      <c r="Y2958" s="127"/>
      <c r="Z2958" s="127"/>
      <c r="AA2958" s="127"/>
      <c r="AB2958" s="128"/>
      <c r="AC2958" s="15" t="s">
        <v>20</v>
      </c>
      <c r="AD2958" s="129" t="s">
        <v>1732</v>
      </c>
      <c r="AE2958" s="130"/>
      <c r="AF2958" s="130"/>
      <c r="AG2958" s="130"/>
      <c r="AH2958" s="130"/>
      <c r="AI2958" s="131"/>
      <c r="AJ2958" s="132"/>
      <c r="AK2958" s="127"/>
      <c r="AL2958" s="128"/>
      <c r="AM2958" s="21"/>
      <c r="AN2958" s="133">
        <v>45976</v>
      </c>
      <c r="AO2958" s="134"/>
      <c r="AP2958" s="135">
        <v>1276</v>
      </c>
      <c r="AQ2958" s="136"/>
      <c r="AR2958" s="118">
        <v>1725000</v>
      </c>
      <c r="AS2958" s="119"/>
      <c r="AT2958" s="118">
        <f t="shared" ref="AT2958" si="1915">AR2958*0.1</f>
        <v>172500</v>
      </c>
      <c r="AU2958" s="119"/>
      <c r="AV2958" s="118">
        <v>7470</v>
      </c>
      <c r="AW2958" s="119"/>
      <c r="AX2958" s="118">
        <f t="shared" ref="AX2958" si="1916">SUM(AR2958:AW2958)</f>
        <v>1904970</v>
      </c>
      <c r="AY2958" s="119"/>
      <c r="AZ2958" s="137">
        <v>45979</v>
      </c>
    </row>
    <row r="2959" spans="1:52" ht="17.100000000000001" customHeight="1" thickBot="1">
      <c r="A2959" s="110"/>
      <c r="B2959" s="27" t="s">
        <v>1718</v>
      </c>
      <c r="C2959" s="27" t="s">
        <v>9487</v>
      </c>
      <c r="D2959" s="14" t="s">
        <v>275</v>
      </c>
      <c r="E2959" s="112"/>
      <c r="F2959" s="139" t="s">
        <v>9489</v>
      </c>
      <c r="G2959" s="140"/>
      <c r="H2959" s="141"/>
      <c r="I2959" s="26">
        <v>21454</v>
      </c>
      <c r="J2959" s="117"/>
      <c r="K2959" s="120"/>
      <c r="L2959" s="121"/>
      <c r="M2959" s="120"/>
      <c r="N2959" s="121"/>
      <c r="O2959" s="120"/>
      <c r="P2959" s="121"/>
      <c r="Q2959" s="120"/>
      <c r="R2959" s="121"/>
      <c r="S2959" s="120"/>
      <c r="T2959" s="121"/>
      <c r="U2959" s="120"/>
      <c r="V2959" s="123"/>
      <c r="W2959" s="125"/>
      <c r="X2959" s="142" t="s">
        <v>10346</v>
      </c>
      <c r="Y2959" s="143"/>
      <c r="Z2959" s="143"/>
      <c r="AA2959" s="143"/>
      <c r="AB2959" s="144"/>
      <c r="AC2959" s="16" t="s">
        <v>21</v>
      </c>
      <c r="AD2959" s="17" t="s">
        <v>3379</v>
      </c>
      <c r="AE2959" s="145" t="s">
        <v>10347</v>
      </c>
      <c r="AF2959" s="146"/>
      <c r="AG2959" s="146"/>
      <c r="AH2959" s="146"/>
      <c r="AI2959" s="147"/>
      <c r="AJ2959" s="148"/>
      <c r="AK2959" s="143"/>
      <c r="AL2959" s="144"/>
      <c r="AM2959" s="22"/>
      <c r="AN2959" s="149" t="s">
        <v>10999</v>
      </c>
      <c r="AO2959" s="144"/>
      <c r="AP2959" s="148">
        <v>37746</v>
      </c>
      <c r="AQ2959" s="144"/>
      <c r="AR2959" s="120"/>
      <c r="AS2959" s="121"/>
      <c r="AT2959" s="120"/>
      <c r="AU2959" s="121"/>
      <c r="AV2959" s="120"/>
      <c r="AW2959" s="121"/>
      <c r="AX2959" s="120"/>
      <c r="AY2959" s="121"/>
      <c r="AZ2959" s="138"/>
    </row>
    <row r="2960" spans="1:52" ht="17.100000000000001" customHeight="1" thickTop="1">
      <c r="A2960" s="109" t="s">
        <v>9572</v>
      </c>
      <c r="B2960" s="28">
        <v>45958</v>
      </c>
      <c r="C2960" s="25">
        <v>1915</v>
      </c>
      <c r="D2960" s="13" t="s">
        <v>4287</v>
      </c>
      <c r="E2960" s="111"/>
      <c r="F2960" s="113" t="s">
        <v>9226</v>
      </c>
      <c r="G2960" s="114"/>
      <c r="H2960" s="115"/>
      <c r="I2960" s="24" t="s">
        <v>4193</v>
      </c>
      <c r="J2960" s="116">
        <v>4</v>
      </c>
      <c r="K2960" s="118">
        <v>1116000</v>
      </c>
      <c r="L2960" s="119"/>
      <c r="M2960" s="118">
        <f t="shared" ref="M2960" si="1917">K2960*0.1</f>
        <v>111600</v>
      </c>
      <c r="N2960" s="119"/>
      <c r="O2960" s="118">
        <v>0</v>
      </c>
      <c r="P2960" s="119"/>
      <c r="Q2960" s="118">
        <v>7040</v>
      </c>
      <c r="R2960" s="119"/>
      <c r="S2960" s="118">
        <v>15950</v>
      </c>
      <c r="T2960" s="119"/>
      <c r="U2960" s="118">
        <f t="shared" ref="U2960" si="1918">SUM(K2960:T2961)</f>
        <v>1250590</v>
      </c>
      <c r="V2960" s="122"/>
      <c r="W2960" s="124"/>
      <c r="X2960" s="126" t="s">
        <v>9525</v>
      </c>
      <c r="Y2960" s="127"/>
      <c r="Z2960" s="127"/>
      <c r="AA2960" s="127"/>
      <c r="AB2960" s="128"/>
      <c r="AC2960" s="15" t="s">
        <v>20</v>
      </c>
      <c r="AD2960" s="129"/>
      <c r="AE2960" s="130"/>
      <c r="AF2960" s="130"/>
      <c r="AG2960" s="130"/>
      <c r="AH2960" s="130"/>
      <c r="AI2960" s="131"/>
      <c r="AJ2960" s="132"/>
      <c r="AK2960" s="127"/>
      <c r="AL2960" s="128"/>
      <c r="AM2960" s="21" t="s">
        <v>10398</v>
      </c>
      <c r="AN2960" s="133">
        <v>45969</v>
      </c>
      <c r="AO2960" s="134"/>
      <c r="AP2960" s="135">
        <v>1275</v>
      </c>
      <c r="AQ2960" s="136"/>
      <c r="AR2960" s="118">
        <v>1165000</v>
      </c>
      <c r="AS2960" s="119"/>
      <c r="AT2960" s="118">
        <f t="shared" ref="AT2960" si="1919">AR2960*0.1</f>
        <v>116500</v>
      </c>
      <c r="AU2960" s="119"/>
      <c r="AV2960" s="118">
        <v>7040</v>
      </c>
      <c r="AW2960" s="119"/>
      <c r="AX2960" s="118">
        <f t="shared" ref="AX2960" si="1920">SUM(AR2960:AW2960)</f>
        <v>1288540</v>
      </c>
      <c r="AY2960" s="119"/>
      <c r="AZ2960" s="137">
        <v>45974</v>
      </c>
    </row>
    <row r="2961" spans="1:52" ht="17.100000000000001" customHeight="1" thickBot="1">
      <c r="A2961" s="110"/>
      <c r="B2961" s="27" t="s">
        <v>2131</v>
      </c>
      <c r="C2961" s="27">
        <v>3207</v>
      </c>
      <c r="D2961" s="14" t="s">
        <v>275</v>
      </c>
      <c r="E2961" s="112"/>
      <c r="F2961" s="139" t="s">
        <v>9524</v>
      </c>
      <c r="G2961" s="140"/>
      <c r="H2961" s="141"/>
      <c r="I2961" s="26">
        <v>26218</v>
      </c>
      <c r="J2961" s="117"/>
      <c r="K2961" s="120"/>
      <c r="L2961" s="121"/>
      <c r="M2961" s="120"/>
      <c r="N2961" s="121"/>
      <c r="O2961" s="120"/>
      <c r="P2961" s="121"/>
      <c r="Q2961" s="120"/>
      <c r="R2961" s="121"/>
      <c r="S2961" s="120"/>
      <c r="T2961" s="121"/>
      <c r="U2961" s="120"/>
      <c r="V2961" s="123"/>
      <c r="W2961" s="125"/>
      <c r="X2961" s="142" t="s">
        <v>4962</v>
      </c>
      <c r="Y2961" s="143"/>
      <c r="Z2961" s="143"/>
      <c r="AA2961" s="143"/>
      <c r="AB2961" s="144"/>
      <c r="AC2961" s="16" t="s">
        <v>21</v>
      </c>
      <c r="AD2961" s="17" t="s">
        <v>9858</v>
      </c>
      <c r="AE2961" s="145"/>
      <c r="AF2961" s="146"/>
      <c r="AG2961" s="146"/>
      <c r="AH2961" s="146"/>
      <c r="AI2961" s="147"/>
      <c r="AJ2961" s="148"/>
      <c r="AK2961" s="143"/>
      <c r="AL2961" s="144"/>
      <c r="AM2961" s="22" t="s">
        <v>3178</v>
      </c>
      <c r="AN2961" s="149" t="s">
        <v>2511</v>
      </c>
      <c r="AO2961" s="144"/>
      <c r="AP2961" s="148">
        <v>60176</v>
      </c>
      <c r="AQ2961" s="144"/>
      <c r="AR2961" s="120"/>
      <c r="AS2961" s="121"/>
      <c r="AT2961" s="120"/>
      <c r="AU2961" s="121"/>
      <c r="AV2961" s="120"/>
      <c r="AW2961" s="121"/>
      <c r="AX2961" s="120"/>
      <c r="AY2961" s="121"/>
      <c r="AZ2961" s="138"/>
    </row>
    <row r="2962" spans="1:52" ht="17.100000000000001" customHeight="1" thickTop="1">
      <c r="A2962" s="109" t="s">
        <v>9573</v>
      </c>
      <c r="B2962" s="28">
        <v>45958</v>
      </c>
      <c r="C2962" s="25">
        <v>1915</v>
      </c>
      <c r="D2962" s="13" t="s">
        <v>2298</v>
      </c>
      <c r="E2962" s="111"/>
      <c r="F2962" s="113" t="s">
        <v>9557</v>
      </c>
      <c r="G2962" s="114"/>
      <c r="H2962" s="115"/>
      <c r="I2962" s="24"/>
      <c r="J2962" s="116">
        <v>4.5</v>
      </c>
      <c r="K2962" s="118">
        <v>1800000</v>
      </c>
      <c r="L2962" s="119"/>
      <c r="M2962" s="118">
        <f t="shared" ref="M2962" si="1921">K2962*0.1</f>
        <v>180000</v>
      </c>
      <c r="N2962" s="119"/>
      <c r="O2962" s="118">
        <v>0</v>
      </c>
      <c r="P2962" s="119"/>
      <c r="Q2962" s="118">
        <v>15780</v>
      </c>
      <c r="R2962" s="119"/>
      <c r="S2962" s="118">
        <v>20900</v>
      </c>
      <c r="T2962" s="119"/>
      <c r="U2962" s="118">
        <f t="shared" ref="U2962" si="1922">SUM(K2962:T2963)</f>
        <v>2016680</v>
      </c>
      <c r="V2962" s="122"/>
      <c r="W2962" s="124"/>
      <c r="X2962" s="126" t="s">
        <v>9932</v>
      </c>
      <c r="Y2962" s="127"/>
      <c r="Z2962" s="127"/>
      <c r="AA2962" s="127"/>
      <c r="AB2962" s="128"/>
      <c r="AC2962" s="15" t="s">
        <v>20</v>
      </c>
      <c r="AD2962" s="129"/>
      <c r="AE2962" s="130"/>
      <c r="AF2962" s="130"/>
      <c r="AG2962" s="130"/>
      <c r="AH2962" s="130"/>
      <c r="AI2962" s="131"/>
      <c r="AJ2962" s="132"/>
      <c r="AK2962" s="127"/>
      <c r="AL2962" s="128"/>
      <c r="AM2962" s="21"/>
      <c r="AN2962" s="133">
        <v>45962</v>
      </c>
      <c r="AO2962" s="134"/>
      <c r="AP2962" s="135">
        <v>1274</v>
      </c>
      <c r="AQ2962" s="136"/>
      <c r="AR2962" s="118">
        <v>2020000</v>
      </c>
      <c r="AS2962" s="119"/>
      <c r="AT2962" s="118">
        <f t="shared" ref="AT2962" si="1923">AR2962*0.1</f>
        <v>202000</v>
      </c>
      <c r="AU2962" s="119"/>
      <c r="AV2962" s="118">
        <v>15780</v>
      </c>
      <c r="AW2962" s="119"/>
      <c r="AX2962" s="118">
        <f t="shared" ref="AX2962" si="1924">SUM(AR2962:AW2962)</f>
        <v>2237780</v>
      </c>
      <c r="AY2962" s="119"/>
      <c r="AZ2962" s="137">
        <v>45965</v>
      </c>
    </row>
    <row r="2963" spans="1:52" ht="17.100000000000001" customHeight="1" thickBot="1">
      <c r="A2963" s="110"/>
      <c r="B2963" s="27" t="s">
        <v>2131</v>
      </c>
      <c r="C2963" s="27">
        <v>5006</v>
      </c>
      <c r="D2963" s="14" t="s">
        <v>133</v>
      </c>
      <c r="E2963" s="112"/>
      <c r="F2963" s="139" t="s">
        <v>9558</v>
      </c>
      <c r="G2963" s="140"/>
      <c r="H2963" s="141"/>
      <c r="I2963" s="26">
        <v>58814</v>
      </c>
      <c r="J2963" s="117"/>
      <c r="K2963" s="120"/>
      <c r="L2963" s="121"/>
      <c r="M2963" s="120"/>
      <c r="N2963" s="121"/>
      <c r="O2963" s="120"/>
      <c r="P2963" s="121"/>
      <c r="Q2963" s="120"/>
      <c r="R2963" s="121"/>
      <c r="S2963" s="120"/>
      <c r="T2963" s="121"/>
      <c r="U2963" s="120"/>
      <c r="V2963" s="123"/>
      <c r="W2963" s="125"/>
      <c r="X2963" s="142" t="s">
        <v>9933</v>
      </c>
      <c r="Y2963" s="143"/>
      <c r="Z2963" s="143"/>
      <c r="AA2963" s="143"/>
      <c r="AB2963" s="144"/>
      <c r="AC2963" s="16" t="s">
        <v>21</v>
      </c>
      <c r="AD2963" s="17" t="s">
        <v>9858</v>
      </c>
      <c r="AE2963" s="145" t="s">
        <v>7859</v>
      </c>
      <c r="AF2963" s="146"/>
      <c r="AG2963" s="146"/>
      <c r="AH2963" s="146"/>
      <c r="AI2963" s="147"/>
      <c r="AJ2963" s="148"/>
      <c r="AK2963" s="143"/>
      <c r="AL2963" s="144"/>
      <c r="AM2963" s="22"/>
      <c r="AN2963" s="149" t="s">
        <v>2511</v>
      </c>
      <c r="AO2963" s="144"/>
      <c r="AP2963" s="148">
        <v>80315</v>
      </c>
      <c r="AQ2963" s="144"/>
      <c r="AR2963" s="120"/>
      <c r="AS2963" s="121"/>
      <c r="AT2963" s="120"/>
      <c r="AU2963" s="121"/>
      <c r="AV2963" s="120"/>
      <c r="AW2963" s="121"/>
      <c r="AX2963" s="120"/>
      <c r="AY2963" s="121"/>
      <c r="AZ2963" s="138"/>
    </row>
    <row r="2964" spans="1:52" ht="17.100000000000001" customHeight="1" thickTop="1">
      <c r="A2964" s="109" t="s">
        <v>9574</v>
      </c>
      <c r="B2964" s="28">
        <v>45958</v>
      </c>
      <c r="C2964" s="25">
        <v>1915</v>
      </c>
      <c r="D2964" s="13" t="s">
        <v>1640</v>
      </c>
      <c r="E2964" s="111"/>
      <c r="F2964" s="113" t="s">
        <v>1871</v>
      </c>
      <c r="G2964" s="114"/>
      <c r="H2964" s="115"/>
      <c r="I2964" s="24"/>
      <c r="J2964" s="116">
        <v>4.5</v>
      </c>
      <c r="K2964" s="118">
        <v>447000</v>
      </c>
      <c r="L2964" s="119"/>
      <c r="M2964" s="118">
        <f t="shared" ref="M2964" si="1925">K2964*0.1</f>
        <v>44700</v>
      </c>
      <c r="N2964" s="119"/>
      <c r="O2964" s="118">
        <v>0</v>
      </c>
      <c r="P2964" s="119"/>
      <c r="Q2964" s="118">
        <v>18960</v>
      </c>
      <c r="R2964" s="119"/>
      <c r="S2964" s="118">
        <v>15950</v>
      </c>
      <c r="T2964" s="119"/>
      <c r="U2964" s="118">
        <f t="shared" ref="U2964" si="1926">SUM(K2964:T2965)</f>
        <v>526610</v>
      </c>
      <c r="V2964" s="122"/>
      <c r="W2964" s="124"/>
      <c r="X2964" s="126" t="s">
        <v>10153</v>
      </c>
      <c r="Y2964" s="127"/>
      <c r="Z2964" s="127"/>
      <c r="AA2964" s="127"/>
      <c r="AB2964" s="128"/>
      <c r="AC2964" s="15" t="s">
        <v>20</v>
      </c>
      <c r="AD2964" s="129"/>
      <c r="AE2964" s="130"/>
      <c r="AF2964" s="130"/>
      <c r="AG2964" s="130"/>
      <c r="AH2964" s="130"/>
      <c r="AI2964" s="131"/>
      <c r="AJ2964" s="132"/>
      <c r="AK2964" s="127"/>
      <c r="AL2964" s="128"/>
      <c r="AM2964" s="21"/>
      <c r="AN2964" s="133">
        <v>45969</v>
      </c>
      <c r="AO2964" s="134"/>
      <c r="AP2964" s="135">
        <v>1275</v>
      </c>
      <c r="AQ2964" s="136"/>
      <c r="AR2964" s="118">
        <v>575000</v>
      </c>
      <c r="AS2964" s="119"/>
      <c r="AT2964" s="118">
        <f t="shared" ref="AT2964" si="1927">AR2964*0.1</f>
        <v>57500</v>
      </c>
      <c r="AU2964" s="119"/>
      <c r="AV2964" s="118">
        <v>18960</v>
      </c>
      <c r="AW2964" s="119"/>
      <c r="AX2964" s="118">
        <f t="shared" ref="AX2964" si="1928">SUM(AR2964:AW2964)</f>
        <v>651460</v>
      </c>
      <c r="AY2964" s="119"/>
      <c r="AZ2964" s="137">
        <v>45972</v>
      </c>
    </row>
    <row r="2965" spans="1:52" ht="17.100000000000001" customHeight="1" thickBot="1">
      <c r="A2965" s="110"/>
      <c r="B2965" s="27" t="s">
        <v>2131</v>
      </c>
      <c r="C2965" s="27">
        <v>5010</v>
      </c>
      <c r="D2965" s="14" t="s">
        <v>133</v>
      </c>
      <c r="E2965" s="112"/>
      <c r="F2965" s="139" t="s">
        <v>9550</v>
      </c>
      <c r="G2965" s="140"/>
      <c r="H2965" s="141"/>
      <c r="I2965" s="26">
        <v>95143</v>
      </c>
      <c r="J2965" s="117"/>
      <c r="K2965" s="120"/>
      <c r="L2965" s="121"/>
      <c r="M2965" s="120"/>
      <c r="N2965" s="121"/>
      <c r="O2965" s="120"/>
      <c r="P2965" s="121"/>
      <c r="Q2965" s="120"/>
      <c r="R2965" s="121"/>
      <c r="S2965" s="120"/>
      <c r="T2965" s="121"/>
      <c r="U2965" s="120"/>
      <c r="V2965" s="123"/>
      <c r="W2965" s="125"/>
      <c r="X2965" s="142" t="s">
        <v>10154</v>
      </c>
      <c r="Y2965" s="143"/>
      <c r="Z2965" s="143"/>
      <c r="AA2965" s="143"/>
      <c r="AB2965" s="144"/>
      <c r="AC2965" s="16" t="s">
        <v>21</v>
      </c>
      <c r="AD2965" s="17" t="s">
        <v>10146</v>
      </c>
      <c r="AE2965" s="145" t="s">
        <v>2195</v>
      </c>
      <c r="AF2965" s="146"/>
      <c r="AG2965" s="146"/>
      <c r="AH2965" s="146"/>
      <c r="AI2965" s="147"/>
      <c r="AJ2965" s="148"/>
      <c r="AK2965" s="143"/>
      <c r="AL2965" s="144"/>
      <c r="AM2965" s="22"/>
      <c r="AN2965" s="149" t="s">
        <v>2511</v>
      </c>
      <c r="AO2965" s="144"/>
      <c r="AP2965" s="148">
        <v>80241</v>
      </c>
      <c r="AQ2965" s="144"/>
      <c r="AR2965" s="120"/>
      <c r="AS2965" s="121"/>
      <c r="AT2965" s="120"/>
      <c r="AU2965" s="121"/>
      <c r="AV2965" s="120"/>
      <c r="AW2965" s="121"/>
      <c r="AX2965" s="120"/>
      <c r="AY2965" s="121"/>
      <c r="AZ2965" s="138"/>
    </row>
    <row r="2966" spans="1:52" ht="17.100000000000001" customHeight="1" thickTop="1">
      <c r="A2966" s="109" t="s">
        <v>9575</v>
      </c>
      <c r="B2966" s="28">
        <v>45958</v>
      </c>
      <c r="C2966" s="25">
        <v>1915</v>
      </c>
      <c r="D2966" s="13" t="s">
        <v>8926</v>
      </c>
      <c r="E2966" s="111"/>
      <c r="F2966" s="113" t="s">
        <v>5435</v>
      </c>
      <c r="G2966" s="114"/>
      <c r="H2966" s="115"/>
      <c r="I2966" s="24"/>
      <c r="J2966" s="116">
        <v>3.5</v>
      </c>
      <c r="K2966" s="118">
        <v>151000</v>
      </c>
      <c r="L2966" s="119"/>
      <c r="M2966" s="118">
        <f t="shared" ref="M2966" si="1929">K2966*0.1</f>
        <v>15100</v>
      </c>
      <c r="N2966" s="119"/>
      <c r="O2966" s="118">
        <v>0</v>
      </c>
      <c r="P2966" s="119"/>
      <c r="Q2966" s="118">
        <v>9170</v>
      </c>
      <c r="R2966" s="119"/>
      <c r="S2966" s="118">
        <v>15950</v>
      </c>
      <c r="T2966" s="119"/>
      <c r="U2966" s="118">
        <f t="shared" ref="U2966" si="1930">SUM(K2966:T2967)</f>
        <v>191220</v>
      </c>
      <c r="V2966" s="122"/>
      <c r="W2966" s="124"/>
      <c r="X2966" s="126" t="s">
        <v>9869</v>
      </c>
      <c r="Y2966" s="127"/>
      <c r="Z2966" s="127"/>
      <c r="AA2966" s="127"/>
      <c r="AB2966" s="128"/>
      <c r="AC2966" s="15" t="s">
        <v>20</v>
      </c>
      <c r="AD2966" s="129"/>
      <c r="AE2966" s="130"/>
      <c r="AF2966" s="130"/>
      <c r="AG2966" s="130"/>
      <c r="AH2966" s="130"/>
      <c r="AI2966" s="131"/>
      <c r="AJ2966" s="132"/>
      <c r="AK2966" s="127"/>
      <c r="AL2966" s="128"/>
      <c r="AM2966" s="21"/>
      <c r="AN2966" s="133">
        <v>45983</v>
      </c>
      <c r="AO2966" s="134"/>
      <c r="AP2966" s="135">
        <v>1277</v>
      </c>
      <c r="AQ2966" s="136"/>
      <c r="AR2966" s="118">
        <v>183000</v>
      </c>
      <c r="AS2966" s="119"/>
      <c r="AT2966" s="118">
        <f t="shared" ref="AT2966" si="1931">AR2966*0.1</f>
        <v>18300</v>
      </c>
      <c r="AU2966" s="119"/>
      <c r="AV2966" s="118">
        <v>9170</v>
      </c>
      <c r="AW2966" s="119"/>
      <c r="AX2966" s="118">
        <f t="shared" ref="AX2966" si="1932">SUM(AR2966:AW2966)</f>
        <v>210470</v>
      </c>
      <c r="AY2966" s="119"/>
      <c r="AZ2966" s="137">
        <v>45987</v>
      </c>
    </row>
    <row r="2967" spans="1:52" ht="17.100000000000001" customHeight="1" thickBot="1">
      <c r="A2967" s="110"/>
      <c r="B2967" s="27" t="s">
        <v>2131</v>
      </c>
      <c r="C2967" s="27">
        <v>77036</v>
      </c>
      <c r="D2967" s="14" t="s">
        <v>3855</v>
      </c>
      <c r="E2967" s="112"/>
      <c r="F2967" s="139" t="s">
        <v>9555</v>
      </c>
      <c r="G2967" s="140"/>
      <c r="H2967" s="141"/>
      <c r="I2967" s="26">
        <v>50793</v>
      </c>
      <c r="J2967" s="117"/>
      <c r="K2967" s="120"/>
      <c r="L2967" s="121"/>
      <c r="M2967" s="120"/>
      <c r="N2967" s="121"/>
      <c r="O2967" s="120"/>
      <c r="P2967" s="121"/>
      <c r="Q2967" s="120"/>
      <c r="R2967" s="121"/>
      <c r="S2967" s="120"/>
      <c r="T2967" s="121"/>
      <c r="U2967" s="120"/>
      <c r="V2967" s="123"/>
      <c r="W2967" s="125"/>
      <c r="X2967" s="142" t="s">
        <v>9870</v>
      </c>
      <c r="Y2967" s="143"/>
      <c r="Z2967" s="143"/>
      <c r="AA2967" s="143"/>
      <c r="AB2967" s="144"/>
      <c r="AC2967" s="16" t="s">
        <v>21</v>
      </c>
      <c r="AD2967" s="17" t="s">
        <v>9858</v>
      </c>
      <c r="AE2967" s="145" t="s">
        <v>2269</v>
      </c>
      <c r="AF2967" s="146"/>
      <c r="AG2967" s="146"/>
      <c r="AH2967" s="146"/>
      <c r="AI2967" s="147"/>
      <c r="AJ2967" s="148"/>
      <c r="AK2967" s="143"/>
      <c r="AL2967" s="144"/>
      <c r="AM2967" s="22"/>
      <c r="AN2967" s="149" t="s">
        <v>2511</v>
      </c>
      <c r="AO2967" s="144"/>
      <c r="AP2967" s="148">
        <v>63094</v>
      </c>
      <c r="AQ2967" s="144"/>
      <c r="AR2967" s="120"/>
      <c r="AS2967" s="121"/>
      <c r="AT2967" s="120"/>
      <c r="AU2967" s="121"/>
      <c r="AV2967" s="120"/>
      <c r="AW2967" s="121"/>
      <c r="AX2967" s="120"/>
      <c r="AY2967" s="121"/>
      <c r="AZ2967" s="138"/>
    </row>
    <row r="2968" spans="1:52" ht="17.100000000000001" customHeight="1" thickTop="1">
      <c r="A2968" s="109" t="s">
        <v>9576</v>
      </c>
      <c r="B2968" s="28">
        <v>45958</v>
      </c>
      <c r="C2968" s="25">
        <v>793</v>
      </c>
      <c r="D2968" s="13" t="s">
        <v>1640</v>
      </c>
      <c r="E2968" s="111"/>
      <c r="F2968" s="113" t="s">
        <v>9526</v>
      </c>
      <c r="G2968" s="114"/>
      <c r="H2968" s="115"/>
      <c r="I2968" s="24"/>
      <c r="J2968" s="116">
        <v>4.5</v>
      </c>
      <c r="K2968" s="118">
        <v>645000</v>
      </c>
      <c r="L2968" s="119"/>
      <c r="M2968" s="118">
        <f t="shared" ref="M2968" si="1933">K2968*0.1</f>
        <v>64500</v>
      </c>
      <c r="N2968" s="119"/>
      <c r="O2968" s="118">
        <v>0</v>
      </c>
      <c r="P2968" s="119"/>
      <c r="Q2968" s="118">
        <v>8850</v>
      </c>
      <c r="R2968" s="119"/>
      <c r="S2968" s="118">
        <v>15950</v>
      </c>
      <c r="T2968" s="119"/>
      <c r="U2968" s="118">
        <f t="shared" ref="U2968" si="1934">SUM(K2968:T2969)</f>
        <v>734300</v>
      </c>
      <c r="V2968" s="122"/>
      <c r="W2968" s="124"/>
      <c r="X2968" s="126" t="s">
        <v>9871</v>
      </c>
      <c r="Y2968" s="127"/>
      <c r="Z2968" s="127"/>
      <c r="AA2968" s="127"/>
      <c r="AB2968" s="128"/>
      <c r="AC2968" s="15" t="s">
        <v>20</v>
      </c>
      <c r="AD2968" s="129"/>
      <c r="AE2968" s="130"/>
      <c r="AF2968" s="130"/>
      <c r="AG2968" s="130"/>
      <c r="AH2968" s="130"/>
      <c r="AI2968" s="131"/>
      <c r="AJ2968" s="132"/>
      <c r="AK2968" s="127"/>
      <c r="AL2968" s="128"/>
      <c r="AM2968" s="21"/>
      <c r="AN2968" s="133">
        <v>45983</v>
      </c>
      <c r="AO2968" s="134"/>
      <c r="AP2968" s="135">
        <v>1277</v>
      </c>
      <c r="AQ2968" s="136"/>
      <c r="AR2968" s="118">
        <v>720000</v>
      </c>
      <c r="AS2968" s="119"/>
      <c r="AT2968" s="118">
        <f t="shared" ref="AT2968" si="1935">AR2968*0.1</f>
        <v>72000</v>
      </c>
      <c r="AU2968" s="119"/>
      <c r="AV2968" s="118">
        <v>8850</v>
      </c>
      <c r="AW2968" s="119"/>
      <c r="AX2968" s="118">
        <f t="shared" ref="AX2968" si="1936">SUM(AR2968:AW2968)</f>
        <v>800850</v>
      </c>
      <c r="AY2968" s="119"/>
      <c r="AZ2968" s="137">
        <v>45987</v>
      </c>
    </row>
    <row r="2969" spans="1:52" ht="17.100000000000001" customHeight="1" thickBot="1">
      <c r="A2969" s="110"/>
      <c r="B2969" s="27" t="s">
        <v>3367</v>
      </c>
      <c r="C2969" s="27">
        <v>3020</v>
      </c>
      <c r="D2969" s="14" t="s">
        <v>3327</v>
      </c>
      <c r="E2969" s="112"/>
      <c r="F2969" s="139" t="s">
        <v>9527</v>
      </c>
      <c r="G2969" s="140"/>
      <c r="H2969" s="141"/>
      <c r="I2969" s="26">
        <v>37811</v>
      </c>
      <c r="J2969" s="117"/>
      <c r="K2969" s="120"/>
      <c r="L2969" s="121"/>
      <c r="M2969" s="120"/>
      <c r="N2969" s="121"/>
      <c r="O2969" s="120"/>
      <c r="P2969" s="121"/>
      <c r="Q2969" s="120"/>
      <c r="R2969" s="121"/>
      <c r="S2969" s="120"/>
      <c r="T2969" s="121"/>
      <c r="U2969" s="120"/>
      <c r="V2969" s="123"/>
      <c r="W2969" s="125"/>
      <c r="X2969" s="142" t="s">
        <v>4563</v>
      </c>
      <c r="Y2969" s="143"/>
      <c r="Z2969" s="143"/>
      <c r="AA2969" s="143"/>
      <c r="AB2969" s="144"/>
      <c r="AC2969" s="16" t="s">
        <v>21</v>
      </c>
      <c r="AD2969" s="17" t="s">
        <v>9858</v>
      </c>
      <c r="AE2969" s="145" t="s">
        <v>2195</v>
      </c>
      <c r="AF2969" s="146"/>
      <c r="AG2969" s="146"/>
      <c r="AH2969" s="146"/>
      <c r="AI2969" s="147"/>
      <c r="AJ2969" s="148"/>
      <c r="AK2969" s="143"/>
      <c r="AL2969" s="144"/>
      <c r="AM2969" s="22"/>
      <c r="AN2969" s="149" t="s">
        <v>2511</v>
      </c>
      <c r="AO2969" s="144"/>
      <c r="AP2969" s="148">
        <v>60078</v>
      </c>
      <c r="AQ2969" s="144"/>
      <c r="AR2969" s="120"/>
      <c r="AS2969" s="121"/>
      <c r="AT2969" s="120"/>
      <c r="AU2969" s="121"/>
      <c r="AV2969" s="120"/>
      <c r="AW2969" s="121"/>
      <c r="AX2969" s="120"/>
      <c r="AY2969" s="121"/>
      <c r="AZ2969" s="138"/>
    </row>
    <row r="2970" spans="1:52" ht="17.100000000000001" customHeight="1" thickTop="1">
      <c r="A2970" s="109" t="s">
        <v>9577</v>
      </c>
      <c r="B2970" s="28">
        <v>45958</v>
      </c>
      <c r="C2970" s="25">
        <v>793</v>
      </c>
      <c r="D2970" s="13" t="s">
        <v>2681</v>
      </c>
      <c r="E2970" s="111"/>
      <c r="F2970" s="113" t="s">
        <v>9928</v>
      </c>
      <c r="G2970" s="114"/>
      <c r="H2970" s="115"/>
      <c r="I2970" s="24" t="s">
        <v>2064</v>
      </c>
      <c r="J2970" s="116">
        <v>4.5</v>
      </c>
      <c r="K2970" s="118">
        <v>1402000</v>
      </c>
      <c r="L2970" s="119"/>
      <c r="M2970" s="118">
        <f t="shared" ref="M2970" si="1937">K2970*0.1</f>
        <v>140200</v>
      </c>
      <c r="N2970" s="119"/>
      <c r="O2970" s="118">
        <v>0</v>
      </c>
      <c r="P2970" s="119"/>
      <c r="Q2970" s="118">
        <v>8120</v>
      </c>
      <c r="R2970" s="119"/>
      <c r="S2970" s="118">
        <v>15950</v>
      </c>
      <c r="T2970" s="119"/>
      <c r="U2970" s="118">
        <f t="shared" ref="U2970" si="1938">SUM(K2970:T2971)</f>
        <v>1566270</v>
      </c>
      <c r="V2970" s="122"/>
      <c r="W2970" s="124"/>
      <c r="X2970" s="126" t="s">
        <v>9529</v>
      </c>
      <c r="Y2970" s="127"/>
      <c r="Z2970" s="127"/>
      <c r="AA2970" s="127"/>
      <c r="AB2970" s="128"/>
      <c r="AC2970" s="15" t="s">
        <v>20</v>
      </c>
      <c r="AD2970" s="129" t="s">
        <v>171</v>
      </c>
      <c r="AE2970" s="130"/>
      <c r="AF2970" s="130"/>
      <c r="AG2970" s="130"/>
      <c r="AH2970" s="130"/>
      <c r="AI2970" s="131"/>
      <c r="AJ2970" s="132"/>
      <c r="AK2970" s="127"/>
      <c r="AL2970" s="128"/>
      <c r="AM2970" s="21" t="s">
        <v>10407</v>
      </c>
      <c r="AN2970" s="133">
        <v>45969</v>
      </c>
      <c r="AO2970" s="134"/>
      <c r="AP2970" s="135">
        <v>1275</v>
      </c>
      <c r="AQ2970" s="136"/>
      <c r="AR2970" s="118">
        <v>1480000</v>
      </c>
      <c r="AS2970" s="119"/>
      <c r="AT2970" s="118">
        <f t="shared" ref="AT2970" si="1939">AR2970*0.1</f>
        <v>148000</v>
      </c>
      <c r="AU2970" s="119"/>
      <c r="AV2970" s="118">
        <v>8120</v>
      </c>
      <c r="AW2970" s="119"/>
      <c r="AX2970" s="118">
        <f t="shared" ref="AX2970" si="1940">SUM(AR2970:AW2970)</f>
        <v>1636120</v>
      </c>
      <c r="AY2970" s="119"/>
      <c r="AZ2970" s="137">
        <v>45974</v>
      </c>
    </row>
    <row r="2971" spans="1:52" ht="17.100000000000001" customHeight="1" thickBot="1">
      <c r="A2971" s="110"/>
      <c r="B2971" s="27" t="s">
        <v>3367</v>
      </c>
      <c r="C2971" s="27">
        <v>3047</v>
      </c>
      <c r="D2971" s="14" t="s">
        <v>2836</v>
      </c>
      <c r="E2971" s="112"/>
      <c r="F2971" s="139" t="s">
        <v>9528</v>
      </c>
      <c r="G2971" s="140"/>
      <c r="H2971" s="141"/>
      <c r="I2971" s="26">
        <v>59541</v>
      </c>
      <c r="J2971" s="117"/>
      <c r="K2971" s="120"/>
      <c r="L2971" s="121"/>
      <c r="M2971" s="120"/>
      <c r="N2971" s="121"/>
      <c r="O2971" s="120"/>
      <c r="P2971" s="121"/>
      <c r="Q2971" s="120"/>
      <c r="R2971" s="121"/>
      <c r="S2971" s="120"/>
      <c r="T2971" s="121"/>
      <c r="U2971" s="120"/>
      <c r="V2971" s="123"/>
      <c r="W2971" s="125"/>
      <c r="X2971" s="142" t="s">
        <v>3369</v>
      </c>
      <c r="Y2971" s="143"/>
      <c r="Z2971" s="143"/>
      <c r="AA2971" s="143"/>
      <c r="AB2971" s="144"/>
      <c r="AC2971" s="16" t="s">
        <v>21</v>
      </c>
      <c r="AD2971" s="17" t="s">
        <v>9858</v>
      </c>
      <c r="AE2971" s="145" t="s">
        <v>171</v>
      </c>
      <c r="AF2971" s="146"/>
      <c r="AG2971" s="146"/>
      <c r="AH2971" s="146"/>
      <c r="AI2971" s="147"/>
      <c r="AJ2971" s="148"/>
      <c r="AK2971" s="143"/>
      <c r="AL2971" s="144"/>
      <c r="AM2971" s="22"/>
      <c r="AN2971" s="149" t="s">
        <v>2511</v>
      </c>
      <c r="AO2971" s="144"/>
      <c r="AP2971" s="148">
        <v>60181</v>
      </c>
      <c r="AQ2971" s="144"/>
      <c r="AR2971" s="120"/>
      <c r="AS2971" s="121"/>
      <c r="AT2971" s="120"/>
      <c r="AU2971" s="121"/>
      <c r="AV2971" s="120"/>
      <c r="AW2971" s="121"/>
      <c r="AX2971" s="120"/>
      <c r="AY2971" s="121"/>
      <c r="AZ2971" s="138"/>
    </row>
    <row r="2972" spans="1:52" ht="17.100000000000001" customHeight="1" thickTop="1">
      <c r="A2972" s="109" t="s">
        <v>9578</v>
      </c>
      <c r="B2972" s="28">
        <v>45958</v>
      </c>
      <c r="C2972" s="25">
        <v>913</v>
      </c>
      <c r="D2972" s="13" t="s">
        <v>2564</v>
      </c>
      <c r="E2972" s="111"/>
      <c r="F2972" s="113" t="s">
        <v>9530</v>
      </c>
      <c r="G2972" s="114"/>
      <c r="H2972" s="115"/>
      <c r="I2972" s="24" t="s">
        <v>4109</v>
      </c>
      <c r="J2972" s="116">
        <v>4</v>
      </c>
      <c r="K2972" s="118">
        <v>460000</v>
      </c>
      <c r="L2972" s="119"/>
      <c r="M2972" s="118">
        <f t="shared" ref="M2972" si="1941">K2972*0.1</f>
        <v>46000</v>
      </c>
      <c r="N2972" s="119"/>
      <c r="O2972" s="118">
        <v>0</v>
      </c>
      <c r="P2972" s="119"/>
      <c r="Q2972" s="118">
        <v>9200</v>
      </c>
      <c r="R2972" s="119"/>
      <c r="S2972" s="118">
        <v>15950</v>
      </c>
      <c r="T2972" s="119"/>
      <c r="U2972" s="118">
        <f t="shared" ref="U2972" si="1942">SUM(K2972:T2973)</f>
        <v>531150</v>
      </c>
      <c r="V2972" s="122"/>
      <c r="W2972" s="124"/>
      <c r="X2972" s="126" t="s">
        <v>9532</v>
      </c>
      <c r="Y2972" s="127"/>
      <c r="Z2972" s="127"/>
      <c r="AA2972" s="127"/>
      <c r="AB2972" s="128"/>
      <c r="AC2972" s="15" t="s">
        <v>20</v>
      </c>
      <c r="AD2972" s="129" t="s">
        <v>2401</v>
      </c>
      <c r="AE2972" s="130"/>
      <c r="AF2972" s="130"/>
      <c r="AG2972" s="130"/>
      <c r="AH2972" s="130"/>
      <c r="AI2972" s="131"/>
      <c r="AJ2972" s="132"/>
      <c r="AK2972" s="127"/>
      <c r="AL2972" s="128"/>
      <c r="AM2972" s="21" t="s">
        <v>10252</v>
      </c>
      <c r="AN2972" s="133">
        <v>45962</v>
      </c>
      <c r="AO2972" s="134"/>
      <c r="AP2972" s="135">
        <v>1274</v>
      </c>
      <c r="AQ2972" s="136"/>
      <c r="AR2972" s="118">
        <v>550000</v>
      </c>
      <c r="AS2972" s="119"/>
      <c r="AT2972" s="118">
        <f t="shared" ref="AT2972" si="1943">AR2972*0.1</f>
        <v>55000</v>
      </c>
      <c r="AU2972" s="119"/>
      <c r="AV2972" s="118">
        <v>9200</v>
      </c>
      <c r="AW2972" s="119"/>
      <c r="AX2972" s="118">
        <f t="shared" ref="AX2972" si="1944">SUM(AR2972:AW2972)</f>
        <v>614200</v>
      </c>
      <c r="AY2972" s="119"/>
      <c r="AZ2972" s="137">
        <v>45971</v>
      </c>
    </row>
    <row r="2973" spans="1:52" ht="17.100000000000001" customHeight="1" thickBot="1">
      <c r="A2973" s="110"/>
      <c r="B2973" s="27" t="s">
        <v>2699</v>
      </c>
      <c r="C2973" s="27">
        <v>3078</v>
      </c>
      <c r="D2973" s="14" t="s">
        <v>1720</v>
      </c>
      <c r="E2973" s="112"/>
      <c r="F2973" s="139" t="s">
        <v>9531</v>
      </c>
      <c r="G2973" s="140"/>
      <c r="H2973" s="141"/>
      <c r="I2973" s="26">
        <v>45351</v>
      </c>
      <c r="J2973" s="117"/>
      <c r="K2973" s="120"/>
      <c r="L2973" s="121"/>
      <c r="M2973" s="120"/>
      <c r="N2973" s="121"/>
      <c r="O2973" s="120"/>
      <c r="P2973" s="121"/>
      <c r="Q2973" s="120"/>
      <c r="R2973" s="121"/>
      <c r="S2973" s="120"/>
      <c r="T2973" s="121"/>
      <c r="U2973" s="120"/>
      <c r="V2973" s="123"/>
      <c r="W2973" s="125"/>
      <c r="X2973" s="142" t="s">
        <v>9866</v>
      </c>
      <c r="Y2973" s="143"/>
      <c r="Z2973" s="143"/>
      <c r="AA2973" s="143"/>
      <c r="AB2973" s="144"/>
      <c r="AC2973" s="16" t="s">
        <v>21</v>
      </c>
      <c r="AD2973" s="17" t="s">
        <v>9858</v>
      </c>
      <c r="AE2973" s="145" t="s">
        <v>9867</v>
      </c>
      <c r="AF2973" s="146"/>
      <c r="AG2973" s="146"/>
      <c r="AH2973" s="146"/>
      <c r="AI2973" s="147"/>
      <c r="AJ2973" s="148"/>
      <c r="AK2973" s="143"/>
      <c r="AL2973" s="144"/>
      <c r="AM2973" s="22"/>
      <c r="AN2973" s="149" t="s">
        <v>6748</v>
      </c>
      <c r="AO2973" s="144"/>
      <c r="AP2973" s="148">
        <v>60482</v>
      </c>
      <c r="AQ2973" s="144"/>
      <c r="AR2973" s="120"/>
      <c r="AS2973" s="121"/>
      <c r="AT2973" s="120"/>
      <c r="AU2973" s="121"/>
      <c r="AV2973" s="120"/>
      <c r="AW2973" s="121"/>
      <c r="AX2973" s="120"/>
      <c r="AY2973" s="121"/>
      <c r="AZ2973" s="138"/>
    </row>
    <row r="2974" spans="1:52" ht="17.100000000000001" customHeight="1" thickTop="1">
      <c r="A2974" s="109" t="s">
        <v>9579</v>
      </c>
      <c r="B2974" s="28">
        <v>45958</v>
      </c>
      <c r="C2974" s="25">
        <v>913</v>
      </c>
      <c r="D2974" s="13" t="s">
        <v>1853</v>
      </c>
      <c r="E2974" s="111"/>
      <c r="F2974" s="113" t="s">
        <v>9533</v>
      </c>
      <c r="G2974" s="114"/>
      <c r="H2974" s="115"/>
      <c r="I2974" s="24" t="s">
        <v>4487</v>
      </c>
      <c r="J2974" s="116">
        <v>4.5</v>
      </c>
      <c r="K2974" s="118">
        <v>1028000</v>
      </c>
      <c r="L2974" s="119"/>
      <c r="M2974" s="118">
        <f t="shared" ref="M2974" si="1945">K2974*0.1</f>
        <v>102800</v>
      </c>
      <c r="N2974" s="119"/>
      <c r="O2974" s="118">
        <v>0</v>
      </c>
      <c r="P2974" s="119"/>
      <c r="Q2974" s="118">
        <v>9140</v>
      </c>
      <c r="R2974" s="119"/>
      <c r="S2974" s="118">
        <v>15950</v>
      </c>
      <c r="T2974" s="119"/>
      <c r="U2974" s="118">
        <f t="shared" ref="U2974" si="1946">SUM(K2974:T2975)</f>
        <v>1155890</v>
      </c>
      <c r="V2974" s="122"/>
      <c r="W2974" s="124"/>
      <c r="X2974" s="126" t="s">
        <v>9535</v>
      </c>
      <c r="Y2974" s="127"/>
      <c r="Z2974" s="127"/>
      <c r="AA2974" s="127"/>
      <c r="AB2974" s="128"/>
      <c r="AC2974" s="15" t="s">
        <v>20</v>
      </c>
      <c r="AD2974" s="129" t="s">
        <v>1742</v>
      </c>
      <c r="AE2974" s="130"/>
      <c r="AF2974" s="130"/>
      <c r="AG2974" s="130"/>
      <c r="AH2974" s="130"/>
      <c r="AI2974" s="131"/>
      <c r="AJ2974" s="132"/>
      <c r="AK2974" s="127"/>
      <c r="AL2974" s="128"/>
      <c r="AM2974" s="21" t="s">
        <v>11014</v>
      </c>
      <c r="AN2974" s="133">
        <v>45983</v>
      </c>
      <c r="AO2974" s="134"/>
      <c r="AP2974" s="135">
        <v>1277</v>
      </c>
      <c r="AQ2974" s="136"/>
      <c r="AR2974" s="118">
        <v>1185000</v>
      </c>
      <c r="AS2974" s="119"/>
      <c r="AT2974" s="118">
        <f t="shared" ref="AT2974" si="1947">AR2974*0.1</f>
        <v>118500</v>
      </c>
      <c r="AU2974" s="119"/>
      <c r="AV2974" s="118">
        <v>9140</v>
      </c>
      <c r="AW2974" s="119"/>
      <c r="AX2974" s="118">
        <f t="shared" ref="AX2974" si="1948">SUM(AR2974:AW2974)</f>
        <v>1312640</v>
      </c>
      <c r="AY2974" s="119"/>
      <c r="AZ2974" s="137">
        <v>45992</v>
      </c>
    </row>
    <row r="2975" spans="1:52" ht="17.100000000000001" customHeight="1" thickBot="1">
      <c r="A2975" s="110"/>
      <c r="B2975" s="27" t="s">
        <v>2699</v>
      </c>
      <c r="C2975" s="27">
        <v>3142</v>
      </c>
      <c r="D2975" s="14" t="s">
        <v>3327</v>
      </c>
      <c r="E2975" s="112"/>
      <c r="F2975" s="139" t="s">
        <v>9534</v>
      </c>
      <c r="G2975" s="140"/>
      <c r="H2975" s="141"/>
      <c r="I2975" s="26">
        <v>58125</v>
      </c>
      <c r="J2975" s="117"/>
      <c r="K2975" s="120"/>
      <c r="L2975" s="121"/>
      <c r="M2975" s="120"/>
      <c r="N2975" s="121"/>
      <c r="O2975" s="120"/>
      <c r="P2975" s="121"/>
      <c r="Q2975" s="120"/>
      <c r="R2975" s="121"/>
      <c r="S2975" s="120"/>
      <c r="T2975" s="121"/>
      <c r="U2975" s="120"/>
      <c r="V2975" s="123"/>
      <c r="W2975" s="125"/>
      <c r="X2975" s="142" t="s">
        <v>1673</v>
      </c>
      <c r="Y2975" s="143"/>
      <c r="Z2975" s="143"/>
      <c r="AA2975" s="143"/>
      <c r="AB2975" s="144"/>
      <c r="AC2975" s="16" t="s">
        <v>21</v>
      </c>
      <c r="AD2975" s="17" t="s">
        <v>9858</v>
      </c>
      <c r="AE2975" s="145" t="s">
        <v>9868</v>
      </c>
      <c r="AF2975" s="146"/>
      <c r="AG2975" s="146"/>
      <c r="AH2975" s="146"/>
      <c r="AI2975" s="147"/>
      <c r="AJ2975" s="148"/>
      <c r="AK2975" s="143"/>
      <c r="AL2975" s="144"/>
      <c r="AM2975" s="22"/>
      <c r="AN2975" s="149" t="s">
        <v>2511</v>
      </c>
      <c r="AO2975" s="144"/>
      <c r="AP2975" s="148">
        <v>60161</v>
      </c>
      <c r="AQ2975" s="144"/>
      <c r="AR2975" s="120"/>
      <c r="AS2975" s="121"/>
      <c r="AT2975" s="120"/>
      <c r="AU2975" s="121"/>
      <c r="AV2975" s="120"/>
      <c r="AW2975" s="121"/>
      <c r="AX2975" s="120"/>
      <c r="AY2975" s="121"/>
      <c r="AZ2975" s="138"/>
    </row>
    <row r="2976" spans="1:52" ht="17.100000000000001" customHeight="1" thickTop="1">
      <c r="A2976" s="109" t="s">
        <v>9580</v>
      </c>
      <c r="B2976" s="28">
        <v>45958</v>
      </c>
      <c r="C2976" s="25">
        <v>1214</v>
      </c>
      <c r="D2976" s="13" t="s">
        <v>2359</v>
      </c>
      <c r="E2976" s="111"/>
      <c r="F2976" s="113" t="s">
        <v>2724</v>
      </c>
      <c r="G2976" s="114"/>
      <c r="H2976" s="115"/>
      <c r="I2976" s="24"/>
      <c r="J2976" s="116">
        <v>4</v>
      </c>
      <c r="K2976" s="118">
        <v>1444000</v>
      </c>
      <c r="L2976" s="119"/>
      <c r="M2976" s="118">
        <f t="shared" ref="M2976" si="1949">K2976*0.1</f>
        <v>144400</v>
      </c>
      <c r="N2976" s="119"/>
      <c r="O2976" s="118">
        <v>0</v>
      </c>
      <c r="P2976" s="119"/>
      <c r="Q2976" s="118">
        <v>17600</v>
      </c>
      <c r="R2976" s="119"/>
      <c r="S2976" s="118">
        <v>20900</v>
      </c>
      <c r="T2976" s="119"/>
      <c r="U2976" s="118">
        <f t="shared" ref="U2976" si="1950">SUM(K2976:T2977)</f>
        <v>1626900</v>
      </c>
      <c r="V2976" s="122"/>
      <c r="W2976" s="124"/>
      <c r="X2976" s="126" t="s">
        <v>9904</v>
      </c>
      <c r="Y2976" s="127"/>
      <c r="Z2976" s="127"/>
      <c r="AA2976" s="127"/>
      <c r="AB2976" s="128"/>
      <c r="AC2976" s="15" t="s">
        <v>20</v>
      </c>
      <c r="AD2976" s="129"/>
      <c r="AE2976" s="130"/>
      <c r="AF2976" s="130"/>
      <c r="AG2976" s="130"/>
      <c r="AH2976" s="130"/>
      <c r="AI2976" s="131"/>
      <c r="AJ2976" s="132"/>
      <c r="AK2976" s="127"/>
      <c r="AL2976" s="128"/>
      <c r="AM2976" s="21"/>
      <c r="AN2976" s="133">
        <v>45962</v>
      </c>
      <c r="AO2976" s="134"/>
      <c r="AP2976" s="135">
        <v>1274</v>
      </c>
      <c r="AQ2976" s="136"/>
      <c r="AR2976" s="118">
        <v>1615000</v>
      </c>
      <c r="AS2976" s="119"/>
      <c r="AT2976" s="118">
        <f t="shared" ref="AT2976" si="1951">AR2976*0.1</f>
        <v>161500</v>
      </c>
      <c r="AU2976" s="119"/>
      <c r="AV2976" s="118">
        <v>17600</v>
      </c>
      <c r="AW2976" s="119"/>
      <c r="AX2976" s="118">
        <f t="shared" ref="AX2976" si="1952">SUM(AR2976:AW2976)</f>
        <v>1794100</v>
      </c>
      <c r="AY2976" s="119"/>
      <c r="AZ2976" s="137">
        <v>45965</v>
      </c>
    </row>
    <row r="2977" spans="1:52" ht="17.100000000000001" customHeight="1" thickBot="1">
      <c r="A2977" s="110"/>
      <c r="B2977" s="27" t="s">
        <v>2379</v>
      </c>
      <c r="C2977" s="27">
        <v>5028</v>
      </c>
      <c r="D2977" s="14" t="s">
        <v>1592</v>
      </c>
      <c r="E2977" s="112"/>
      <c r="F2977" s="139" t="s">
        <v>9556</v>
      </c>
      <c r="G2977" s="140"/>
      <c r="H2977" s="141"/>
      <c r="I2977" s="26">
        <v>40932</v>
      </c>
      <c r="J2977" s="117"/>
      <c r="K2977" s="120"/>
      <c r="L2977" s="121"/>
      <c r="M2977" s="120"/>
      <c r="N2977" s="121"/>
      <c r="O2977" s="120"/>
      <c r="P2977" s="121"/>
      <c r="Q2977" s="120"/>
      <c r="R2977" s="121"/>
      <c r="S2977" s="120"/>
      <c r="T2977" s="121"/>
      <c r="U2977" s="120"/>
      <c r="V2977" s="123"/>
      <c r="W2977" s="125"/>
      <c r="X2977" s="142" t="s">
        <v>5278</v>
      </c>
      <c r="Y2977" s="143"/>
      <c r="Z2977" s="143"/>
      <c r="AA2977" s="143"/>
      <c r="AB2977" s="144"/>
      <c r="AC2977" s="16" t="s">
        <v>21</v>
      </c>
      <c r="AD2977" s="17" t="s">
        <v>9858</v>
      </c>
      <c r="AE2977" s="145" t="s">
        <v>9806</v>
      </c>
      <c r="AF2977" s="146"/>
      <c r="AG2977" s="146"/>
      <c r="AH2977" s="146"/>
      <c r="AI2977" s="147"/>
      <c r="AJ2977" s="148"/>
      <c r="AK2977" s="143"/>
      <c r="AL2977" s="144"/>
      <c r="AM2977" s="22"/>
      <c r="AN2977" s="149" t="s">
        <v>2511</v>
      </c>
      <c r="AO2977" s="144"/>
      <c r="AP2977" s="148">
        <v>80324</v>
      </c>
      <c r="AQ2977" s="144"/>
      <c r="AR2977" s="120"/>
      <c r="AS2977" s="121"/>
      <c r="AT2977" s="120"/>
      <c r="AU2977" s="121"/>
      <c r="AV2977" s="120"/>
      <c r="AW2977" s="121"/>
      <c r="AX2977" s="120"/>
      <c r="AY2977" s="121"/>
      <c r="AZ2977" s="138"/>
    </row>
    <row r="2978" spans="1:52" ht="17.100000000000001" customHeight="1" thickTop="1">
      <c r="A2978" s="109" t="s">
        <v>9581</v>
      </c>
      <c r="B2978" s="28">
        <v>45958</v>
      </c>
      <c r="C2978" s="25">
        <v>1214</v>
      </c>
      <c r="D2978" s="13" t="s">
        <v>3921</v>
      </c>
      <c r="E2978" s="111"/>
      <c r="F2978" s="113" t="s">
        <v>9536</v>
      </c>
      <c r="G2978" s="114"/>
      <c r="H2978" s="115"/>
      <c r="I2978" s="24"/>
      <c r="J2978" s="116">
        <v>4</v>
      </c>
      <c r="K2978" s="118">
        <v>695000</v>
      </c>
      <c r="L2978" s="119"/>
      <c r="M2978" s="118">
        <f t="shared" ref="M2978" si="1953">K2978*0.1</f>
        <v>69500</v>
      </c>
      <c r="N2978" s="119"/>
      <c r="O2978" s="118">
        <v>0</v>
      </c>
      <c r="P2978" s="119"/>
      <c r="Q2978" s="118">
        <v>17250</v>
      </c>
      <c r="R2978" s="119"/>
      <c r="S2978" s="118">
        <v>15950</v>
      </c>
      <c r="T2978" s="119"/>
      <c r="U2978" s="118">
        <f t="shared" ref="U2978" si="1954">SUM(K2978:T2979)</f>
        <v>797700</v>
      </c>
      <c r="V2978" s="122"/>
      <c r="W2978" s="124"/>
      <c r="X2978" s="126" t="s">
        <v>9934</v>
      </c>
      <c r="Y2978" s="127"/>
      <c r="Z2978" s="127"/>
      <c r="AA2978" s="127"/>
      <c r="AB2978" s="128"/>
      <c r="AC2978" s="15" t="s">
        <v>20</v>
      </c>
      <c r="AD2978" s="129"/>
      <c r="AE2978" s="130"/>
      <c r="AF2978" s="130"/>
      <c r="AG2978" s="130"/>
      <c r="AH2978" s="130"/>
      <c r="AI2978" s="131"/>
      <c r="AJ2978" s="132"/>
      <c r="AK2978" s="127"/>
      <c r="AL2978" s="128"/>
      <c r="AM2978" s="21"/>
      <c r="AN2978" s="133">
        <v>45962</v>
      </c>
      <c r="AO2978" s="134"/>
      <c r="AP2978" s="135">
        <v>1274</v>
      </c>
      <c r="AQ2978" s="136"/>
      <c r="AR2978" s="118">
        <v>870000</v>
      </c>
      <c r="AS2978" s="119"/>
      <c r="AT2978" s="118">
        <f t="shared" ref="AT2978" si="1955">AR2978*0.1</f>
        <v>87000</v>
      </c>
      <c r="AU2978" s="119"/>
      <c r="AV2978" s="118">
        <v>17250</v>
      </c>
      <c r="AW2978" s="119"/>
      <c r="AX2978" s="118">
        <f t="shared" ref="AX2978" si="1956">SUM(AR2978:AW2978)</f>
        <v>974250</v>
      </c>
      <c r="AY2978" s="119"/>
      <c r="AZ2978" s="137">
        <v>45965</v>
      </c>
    </row>
    <row r="2979" spans="1:52" ht="17.100000000000001" customHeight="1" thickBot="1">
      <c r="A2979" s="110"/>
      <c r="B2979" s="27" t="s">
        <v>2379</v>
      </c>
      <c r="C2979" s="27">
        <v>32016</v>
      </c>
      <c r="D2979" s="14" t="s">
        <v>1592</v>
      </c>
      <c r="E2979" s="112"/>
      <c r="F2979" s="139" t="s">
        <v>9537</v>
      </c>
      <c r="G2979" s="140"/>
      <c r="H2979" s="141"/>
      <c r="I2979" s="26">
        <v>35463</v>
      </c>
      <c r="J2979" s="117"/>
      <c r="K2979" s="120"/>
      <c r="L2979" s="121"/>
      <c r="M2979" s="120"/>
      <c r="N2979" s="121"/>
      <c r="O2979" s="120"/>
      <c r="P2979" s="121"/>
      <c r="Q2979" s="120"/>
      <c r="R2979" s="121"/>
      <c r="S2979" s="120"/>
      <c r="T2979" s="121"/>
      <c r="U2979" s="120"/>
      <c r="V2979" s="123"/>
      <c r="W2979" s="125"/>
      <c r="X2979" s="142" t="s">
        <v>9935</v>
      </c>
      <c r="Y2979" s="143"/>
      <c r="Z2979" s="143"/>
      <c r="AA2979" s="143"/>
      <c r="AB2979" s="144"/>
      <c r="AC2979" s="16" t="s">
        <v>21</v>
      </c>
      <c r="AD2979" s="17" t="s">
        <v>9858</v>
      </c>
      <c r="AE2979" s="145" t="s">
        <v>7861</v>
      </c>
      <c r="AF2979" s="146"/>
      <c r="AG2979" s="146"/>
      <c r="AH2979" s="146"/>
      <c r="AI2979" s="147"/>
      <c r="AJ2979" s="148"/>
      <c r="AK2979" s="143"/>
      <c r="AL2979" s="144"/>
      <c r="AM2979" s="22"/>
      <c r="AN2979" s="149" t="s">
        <v>2511</v>
      </c>
      <c r="AO2979" s="144"/>
      <c r="AP2979" s="148">
        <v>80312</v>
      </c>
      <c r="AQ2979" s="144"/>
      <c r="AR2979" s="120"/>
      <c r="AS2979" s="121"/>
      <c r="AT2979" s="120"/>
      <c r="AU2979" s="121"/>
      <c r="AV2979" s="120"/>
      <c r="AW2979" s="121"/>
      <c r="AX2979" s="120"/>
      <c r="AY2979" s="121"/>
      <c r="AZ2979" s="138"/>
    </row>
    <row r="2980" spans="1:52" ht="17.100000000000001" customHeight="1" thickTop="1">
      <c r="A2980" s="109" t="s">
        <v>9583</v>
      </c>
      <c r="B2980" s="28">
        <v>45958</v>
      </c>
      <c r="C2980" s="25">
        <v>963</v>
      </c>
      <c r="D2980" s="13" t="s">
        <v>2187</v>
      </c>
      <c r="E2980" s="111"/>
      <c r="F2980" s="113" t="s">
        <v>9655</v>
      </c>
      <c r="G2980" s="114"/>
      <c r="H2980" s="115"/>
      <c r="I2980" s="24"/>
      <c r="J2980" s="116">
        <v>3.5</v>
      </c>
      <c r="K2980" s="118">
        <v>258000</v>
      </c>
      <c r="L2980" s="119"/>
      <c r="M2980" s="118">
        <f t="shared" ref="M2980" si="1957">K2980*0.1</f>
        <v>25800</v>
      </c>
      <c r="N2980" s="119"/>
      <c r="O2980" s="118">
        <v>0</v>
      </c>
      <c r="P2980" s="119"/>
      <c r="Q2980" s="118">
        <v>7500</v>
      </c>
      <c r="R2980" s="119"/>
      <c r="S2980" s="118">
        <v>22000</v>
      </c>
      <c r="T2980" s="119"/>
      <c r="U2980" s="118">
        <f t="shared" ref="U2980" si="1958">SUM(K2980:T2981)</f>
        <v>313300</v>
      </c>
      <c r="V2980" s="122"/>
      <c r="W2980" s="124"/>
      <c r="X2980" s="126" t="s">
        <v>10229</v>
      </c>
      <c r="Y2980" s="127"/>
      <c r="Z2980" s="127"/>
      <c r="AA2980" s="127"/>
      <c r="AB2980" s="128"/>
      <c r="AC2980" s="15" t="s">
        <v>20</v>
      </c>
      <c r="AD2980" s="129" t="s">
        <v>2054</v>
      </c>
      <c r="AE2980" s="130"/>
      <c r="AF2980" s="130"/>
      <c r="AG2980" s="130"/>
      <c r="AH2980" s="130"/>
      <c r="AI2980" s="131"/>
      <c r="AJ2980" s="132"/>
      <c r="AK2980" s="127"/>
      <c r="AL2980" s="128"/>
      <c r="AM2980" s="21"/>
      <c r="AN2980" s="133">
        <v>45983</v>
      </c>
      <c r="AO2980" s="134"/>
      <c r="AP2980" s="135">
        <v>1277</v>
      </c>
      <c r="AQ2980" s="136"/>
      <c r="AR2980" s="118">
        <v>340000</v>
      </c>
      <c r="AS2980" s="119"/>
      <c r="AT2980" s="118">
        <f t="shared" ref="AT2980" si="1959">AR2980*0.1</f>
        <v>34000</v>
      </c>
      <c r="AU2980" s="119"/>
      <c r="AV2980" s="118">
        <v>7500</v>
      </c>
      <c r="AW2980" s="119"/>
      <c r="AX2980" s="118">
        <f t="shared" ref="AX2980" si="1960">SUM(AR2980:AW2980)</f>
        <v>381500</v>
      </c>
      <c r="AY2980" s="119"/>
      <c r="AZ2980" s="137">
        <v>45987</v>
      </c>
    </row>
    <row r="2981" spans="1:52" ht="17.100000000000001" customHeight="1" thickBot="1">
      <c r="A2981" s="110"/>
      <c r="B2981" s="27" t="s">
        <v>2055</v>
      </c>
      <c r="C2981" s="27">
        <v>8</v>
      </c>
      <c r="D2981" s="14" t="s">
        <v>1592</v>
      </c>
      <c r="E2981" s="112"/>
      <c r="F2981" s="139" t="s">
        <v>9615</v>
      </c>
      <c r="G2981" s="140"/>
      <c r="H2981" s="141"/>
      <c r="I2981" s="26">
        <v>58924</v>
      </c>
      <c r="J2981" s="117"/>
      <c r="K2981" s="120"/>
      <c r="L2981" s="121"/>
      <c r="M2981" s="120"/>
      <c r="N2981" s="121"/>
      <c r="O2981" s="120"/>
      <c r="P2981" s="121"/>
      <c r="Q2981" s="120"/>
      <c r="R2981" s="121"/>
      <c r="S2981" s="120"/>
      <c r="T2981" s="121"/>
      <c r="U2981" s="120"/>
      <c r="V2981" s="123"/>
      <c r="W2981" s="125"/>
      <c r="X2981" s="142" t="s">
        <v>2057</v>
      </c>
      <c r="Y2981" s="143"/>
      <c r="Z2981" s="143"/>
      <c r="AA2981" s="143"/>
      <c r="AB2981" s="144"/>
      <c r="AC2981" s="16" t="s">
        <v>21</v>
      </c>
      <c r="AD2981" s="17" t="s">
        <v>3397</v>
      </c>
      <c r="AE2981" s="145" t="s">
        <v>1670</v>
      </c>
      <c r="AF2981" s="146"/>
      <c r="AG2981" s="146"/>
      <c r="AH2981" s="146"/>
      <c r="AI2981" s="147"/>
      <c r="AJ2981" s="148"/>
      <c r="AK2981" s="143"/>
      <c r="AL2981" s="144"/>
      <c r="AM2981" s="22"/>
      <c r="AN2981" s="149" t="s">
        <v>2511</v>
      </c>
      <c r="AO2981" s="144"/>
      <c r="AP2981" s="148">
        <v>60400</v>
      </c>
      <c r="AQ2981" s="144"/>
      <c r="AR2981" s="120"/>
      <c r="AS2981" s="121"/>
      <c r="AT2981" s="120"/>
      <c r="AU2981" s="121"/>
      <c r="AV2981" s="120"/>
      <c r="AW2981" s="121"/>
      <c r="AX2981" s="120"/>
      <c r="AY2981" s="121"/>
      <c r="AZ2981" s="138"/>
    </row>
    <row r="2982" spans="1:52" ht="17.100000000000001" customHeight="1" thickTop="1">
      <c r="A2982" s="109" t="s">
        <v>9584</v>
      </c>
      <c r="B2982" s="28">
        <v>45958</v>
      </c>
      <c r="C2982" s="25">
        <v>963</v>
      </c>
      <c r="D2982" s="13" t="s">
        <v>1744</v>
      </c>
      <c r="E2982" s="111"/>
      <c r="F2982" s="113" t="s">
        <v>4630</v>
      </c>
      <c r="G2982" s="114"/>
      <c r="H2982" s="115"/>
      <c r="I2982" s="24"/>
      <c r="J2982" s="116">
        <v>4</v>
      </c>
      <c r="K2982" s="118">
        <v>268000</v>
      </c>
      <c r="L2982" s="119"/>
      <c r="M2982" s="118">
        <f t="shared" ref="M2982" si="1961">K2982*0.1</f>
        <v>26800</v>
      </c>
      <c r="N2982" s="119"/>
      <c r="O2982" s="118">
        <v>0</v>
      </c>
      <c r="P2982" s="119"/>
      <c r="Q2982" s="118">
        <v>7140</v>
      </c>
      <c r="R2982" s="119"/>
      <c r="S2982" s="118">
        <v>22000</v>
      </c>
      <c r="T2982" s="119"/>
      <c r="U2982" s="118">
        <f t="shared" ref="U2982" si="1962">SUM(K2982:T2983)</f>
        <v>323940</v>
      </c>
      <c r="V2982" s="122"/>
      <c r="W2982" s="124"/>
      <c r="X2982" s="126" t="s">
        <v>10230</v>
      </c>
      <c r="Y2982" s="127"/>
      <c r="Z2982" s="127"/>
      <c r="AA2982" s="127"/>
      <c r="AB2982" s="128"/>
      <c r="AC2982" s="15" t="s">
        <v>20</v>
      </c>
      <c r="AD2982" s="129" t="s">
        <v>2054</v>
      </c>
      <c r="AE2982" s="130"/>
      <c r="AF2982" s="130"/>
      <c r="AG2982" s="130"/>
      <c r="AH2982" s="130"/>
      <c r="AI2982" s="131"/>
      <c r="AJ2982" s="132"/>
      <c r="AK2982" s="127"/>
      <c r="AL2982" s="128"/>
      <c r="AM2982" s="21"/>
      <c r="AN2982" s="133">
        <v>45969</v>
      </c>
      <c r="AO2982" s="134"/>
      <c r="AP2982" s="135">
        <v>1275</v>
      </c>
      <c r="AQ2982" s="136"/>
      <c r="AR2982" s="118">
        <v>390000</v>
      </c>
      <c r="AS2982" s="119"/>
      <c r="AT2982" s="118">
        <f t="shared" ref="AT2982" si="1963">AR2982*0.1</f>
        <v>39000</v>
      </c>
      <c r="AU2982" s="119"/>
      <c r="AV2982" s="118">
        <v>7140</v>
      </c>
      <c r="AW2982" s="119"/>
      <c r="AX2982" s="118">
        <f t="shared" ref="AX2982" si="1964">SUM(AR2982:AW2982)</f>
        <v>436140</v>
      </c>
      <c r="AY2982" s="119"/>
      <c r="AZ2982" s="137">
        <v>45972</v>
      </c>
    </row>
    <row r="2983" spans="1:52" ht="17.100000000000001" customHeight="1" thickBot="1">
      <c r="A2983" s="110"/>
      <c r="B2983" s="27" t="s">
        <v>2055</v>
      </c>
      <c r="C2983" s="27">
        <v>14</v>
      </c>
      <c r="D2983" s="14" t="s">
        <v>1592</v>
      </c>
      <c r="E2983" s="112"/>
      <c r="F2983" s="139" t="s">
        <v>9616</v>
      </c>
      <c r="G2983" s="140"/>
      <c r="H2983" s="141"/>
      <c r="I2983" s="26">
        <v>59079</v>
      </c>
      <c r="J2983" s="117"/>
      <c r="K2983" s="120"/>
      <c r="L2983" s="121"/>
      <c r="M2983" s="120"/>
      <c r="N2983" s="121"/>
      <c r="O2983" s="120"/>
      <c r="P2983" s="121"/>
      <c r="Q2983" s="120"/>
      <c r="R2983" s="121"/>
      <c r="S2983" s="120"/>
      <c r="T2983" s="121"/>
      <c r="U2983" s="120"/>
      <c r="V2983" s="123"/>
      <c r="W2983" s="125"/>
      <c r="X2983" s="142" t="s">
        <v>2057</v>
      </c>
      <c r="Y2983" s="143"/>
      <c r="Z2983" s="143"/>
      <c r="AA2983" s="143"/>
      <c r="AB2983" s="144"/>
      <c r="AC2983" s="16" t="s">
        <v>21</v>
      </c>
      <c r="AD2983" s="17" t="s">
        <v>3397</v>
      </c>
      <c r="AE2983" s="145" t="s">
        <v>1670</v>
      </c>
      <c r="AF2983" s="146"/>
      <c r="AG2983" s="146"/>
      <c r="AH2983" s="146"/>
      <c r="AI2983" s="147"/>
      <c r="AJ2983" s="148"/>
      <c r="AK2983" s="143"/>
      <c r="AL2983" s="144"/>
      <c r="AM2983" s="22"/>
      <c r="AN2983" s="149" t="s">
        <v>2511</v>
      </c>
      <c r="AO2983" s="144"/>
      <c r="AP2983" s="148">
        <v>62051</v>
      </c>
      <c r="AQ2983" s="144"/>
      <c r="AR2983" s="120"/>
      <c r="AS2983" s="121"/>
      <c r="AT2983" s="120"/>
      <c r="AU2983" s="121"/>
      <c r="AV2983" s="120"/>
      <c r="AW2983" s="121"/>
      <c r="AX2983" s="120"/>
      <c r="AY2983" s="121"/>
      <c r="AZ2983" s="138"/>
    </row>
    <row r="2984" spans="1:52" ht="17.100000000000001" customHeight="1" thickTop="1">
      <c r="A2984" s="109" t="s">
        <v>9585</v>
      </c>
      <c r="B2984" s="28">
        <v>45958</v>
      </c>
      <c r="C2984" s="25">
        <v>963</v>
      </c>
      <c r="D2984" s="13" t="s">
        <v>2187</v>
      </c>
      <c r="E2984" s="111"/>
      <c r="F2984" s="113" t="s">
        <v>10231</v>
      </c>
      <c r="G2984" s="114"/>
      <c r="H2984" s="115"/>
      <c r="I2984" s="24"/>
      <c r="J2984" s="116">
        <v>3.5</v>
      </c>
      <c r="K2984" s="118">
        <v>258000</v>
      </c>
      <c r="L2984" s="119"/>
      <c r="M2984" s="118">
        <f t="shared" ref="M2984" si="1965">K2984*0.1</f>
        <v>25800</v>
      </c>
      <c r="N2984" s="119"/>
      <c r="O2984" s="118">
        <v>0</v>
      </c>
      <c r="P2984" s="119"/>
      <c r="Q2984" s="118">
        <v>7500</v>
      </c>
      <c r="R2984" s="119"/>
      <c r="S2984" s="118">
        <v>22000</v>
      </c>
      <c r="T2984" s="119"/>
      <c r="U2984" s="118">
        <f t="shared" ref="U2984" si="1966">SUM(K2984:T2985)</f>
        <v>313300</v>
      </c>
      <c r="V2984" s="122"/>
      <c r="W2984" s="124"/>
      <c r="X2984" s="126" t="s">
        <v>10232</v>
      </c>
      <c r="Y2984" s="127"/>
      <c r="Z2984" s="127"/>
      <c r="AA2984" s="127"/>
      <c r="AB2984" s="128"/>
      <c r="AC2984" s="15" t="s">
        <v>20</v>
      </c>
      <c r="AD2984" s="129" t="s">
        <v>2054</v>
      </c>
      <c r="AE2984" s="130"/>
      <c r="AF2984" s="130"/>
      <c r="AG2984" s="130"/>
      <c r="AH2984" s="130"/>
      <c r="AI2984" s="131"/>
      <c r="AJ2984" s="132"/>
      <c r="AK2984" s="127"/>
      <c r="AL2984" s="128"/>
      <c r="AM2984" s="21"/>
      <c r="AN2984" s="133">
        <v>45969</v>
      </c>
      <c r="AO2984" s="134"/>
      <c r="AP2984" s="135">
        <v>1275</v>
      </c>
      <c r="AQ2984" s="136"/>
      <c r="AR2984" s="118">
        <v>280000</v>
      </c>
      <c r="AS2984" s="119"/>
      <c r="AT2984" s="118">
        <f t="shared" ref="AT2984" si="1967">AR2984*0.1</f>
        <v>28000</v>
      </c>
      <c r="AU2984" s="119"/>
      <c r="AV2984" s="118">
        <v>7500</v>
      </c>
      <c r="AW2984" s="119"/>
      <c r="AX2984" s="118">
        <f t="shared" ref="AX2984" si="1968">SUM(AR2984:AW2984)</f>
        <v>315500</v>
      </c>
      <c r="AY2984" s="119"/>
      <c r="AZ2984" s="137">
        <v>45972</v>
      </c>
    </row>
    <row r="2985" spans="1:52" ht="17.100000000000001" customHeight="1" thickBot="1">
      <c r="A2985" s="110"/>
      <c r="B2985" s="27" t="s">
        <v>2055</v>
      </c>
      <c r="C2985" s="27">
        <v>29</v>
      </c>
      <c r="D2985" s="14" t="s">
        <v>1592</v>
      </c>
      <c r="E2985" s="112"/>
      <c r="F2985" s="139" t="s">
        <v>9617</v>
      </c>
      <c r="G2985" s="140"/>
      <c r="H2985" s="141"/>
      <c r="I2985" s="26">
        <v>55952</v>
      </c>
      <c r="J2985" s="117"/>
      <c r="K2985" s="120"/>
      <c r="L2985" s="121"/>
      <c r="M2985" s="120"/>
      <c r="N2985" s="121"/>
      <c r="O2985" s="120"/>
      <c r="P2985" s="121"/>
      <c r="Q2985" s="120"/>
      <c r="R2985" s="121"/>
      <c r="S2985" s="120"/>
      <c r="T2985" s="121"/>
      <c r="U2985" s="120"/>
      <c r="V2985" s="123"/>
      <c r="W2985" s="125"/>
      <c r="X2985" s="142" t="s">
        <v>2057</v>
      </c>
      <c r="Y2985" s="143"/>
      <c r="Z2985" s="143"/>
      <c r="AA2985" s="143"/>
      <c r="AB2985" s="144"/>
      <c r="AC2985" s="16" t="s">
        <v>21</v>
      </c>
      <c r="AD2985" s="17" t="s">
        <v>3397</v>
      </c>
      <c r="AE2985" s="145" t="s">
        <v>1670</v>
      </c>
      <c r="AF2985" s="146"/>
      <c r="AG2985" s="146"/>
      <c r="AH2985" s="146"/>
      <c r="AI2985" s="147"/>
      <c r="AJ2985" s="148"/>
      <c r="AK2985" s="143"/>
      <c r="AL2985" s="144"/>
      <c r="AM2985" s="22"/>
      <c r="AN2985" s="149" t="s">
        <v>2511</v>
      </c>
      <c r="AO2985" s="144"/>
      <c r="AP2985" s="148">
        <v>62028</v>
      </c>
      <c r="AQ2985" s="144"/>
      <c r="AR2985" s="120"/>
      <c r="AS2985" s="121"/>
      <c r="AT2985" s="120"/>
      <c r="AU2985" s="121"/>
      <c r="AV2985" s="120"/>
      <c r="AW2985" s="121"/>
      <c r="AX2985" s="120"/>
      <c r="AY2985" s="121"/>
      <c r="AZ2985" s="138"/>
    </row>
    <row r="2986" spans="1:52" ht="17.100000000000001" customHeight="1" thickTop="1">
      <c r="A2986" s="109" t="s">
        <v>9592</v>
      </c>
      <c r="B2986" s="28">
        <v>45958</v>
      </c>
      <c r="C2986" s="25">
        <v>963</v>
      </c>
      <c r="D2986" s="13" t="s">
        <v>2187</v>
      </c>
      <c r="E2986" s="111"/>
      <c r="F2986" s="113" t="s">
        <v>4630</v>
      </c>
      <c r="G2986" s="114"/>
      <c r="H2986" s="115"/>
      <c r="I2986" s="24"/>
      <c r="J2986" s="116">
        <v>4</v>
      </c>
      <c r="K2986" s="118">
        <v>398000</v>
      </c>
      <c r="L2986" s="119"/>
      <c r="M2986" s="118">
        <f t="shared" ref="M2986" si="1969">K2986*0.1</f>
        <v>39800</v>
      </c>
      <c r="N2986" s="119"/>
      <c r="O2986" s="118">
        <v>0</v>
      </c>
      <c r="P2986" s="119"/>
      <c r="Q2986" s="118">
        <v>7140</v>
      </c>
      <c r="R2986" s="119"/>
      <c r="S2986" s="118">
        <v>22000</v>
      </c>
      <c r="T2986" s="119"/>
      <c r="U2986" s="118">
        <f t="shared" ref="U2986" si="1970">SUM(K2986:T2987)</f>
        <v>466940</v>
      </c>
      <c r="V2986" s="122"/>
      <c r="W2986" s="124"/>
      <c r="X2986" s="126" t="s">
        <v>10233</v>
      </c>
      <c r="Y2986" s="127"/>
      <c r="Z2986" s="127"/>
      <c r="AA2986" s="127"/>
      <c r="AB2986" s="128"/>
      <c r="AC2986" s="15" t="s">
        <v>20</v>
      </c>
      <c r="AD2986" s="129" t="s">
        <v>2054</v>
      </c>
      <c r="AE2986" s="130"/>
      <c r="AF2986" s="130"/>
      <c r="AG2986" s="130"/>
      <c r="AH2986" s="130"/>
      <c r="AI2986" s="131"/>
      <c r="AJ2986" s="132"/>
      <c r="AK2986" s="127"/>
      <c r="AL2986" s="128"/>
      <c r="AM2986" s="21"/>
      <c r="AN2986" s="133">
        <v>45972</v>
      </c>
      <c r="AO2986" s="134"/>
      <c r="AP2986" s="135">
        <v>1917</v>
      </c>
      <c r="AQ2986" s="136"/>
      <c r="AR2986" s="118">
        <v>465000</v>
      </c>
      <c r="AS2986" s="119"/>
      <c r="AT2986" s="118">
        <f t="shared" ref="AT2986" si="1971">AR2986*0.1</f>
        <v>46500</v>
      </c>
      <c r="AU2986" s="119"/>
      <c r="AV2986" s="118">
        <v>7140</v>
      </c>
      <c r="AW2986" s="119"/>
      <c r="AX2986" s="118">
        <f t="shared" ref="AX2986" si="1972">SUM(AR2986:AW2986)</f>
        <v>518640</v>
      </c>
      <c r="AY2986" s="119"/>
      <c r="AZ2986" s="137">
        <v>45979</v>
      </c>
    </row>
    <row r="2987" spans="1:52" ht="17.100000000000001" customHeight="1" thickBot="1">
      <c r="A2987" s="110"/>
      <c r="B2987" s="27" t="s">
        <v>2055</v>
      </c>
      <c r="C2987" s="27">
        <v>53</v>
      </c>
      <c r="D2987" s="14" t="s">
        <v>1592</v>
      </c>
      <c r="E2987" s="112"/>
      <c r="F2987" s="139" t="s">
        <v>9618</v>
      </c>
      <c r="G2987" s="140"/>
      <c r="H2987" s="141"/>
      <c r="I2987" s="26">
        <v>13058</v>
      </c>
      <c r="J2987" s="117"/>
      <c r="K2987" s="120"/>
      <c r="L2987" s="121"/>
      <c r="M2987" s="120"/>
      <c r="N2987" s="121"/>
      <c r="O2987" s="120"/>
      <c r="P2987" s="121"/>
      <c r="Q2987" s="120"/>
      <c r="R2987" s="121"/>
      <c r="S2987" s="120"/>
      <c r="T2987" s="121"/>
      <c r="U2987" s="120"/>
      <c r="V2987" s="123"/>
      <c r="W2987" s="125"/>
      <c r="X2987" s="142" t="s">
        <v>2057</v>
      </c>
      <c r="Y2987" s="143"/>
      <c r="Z2987" s="143"/>
      <c r="AA2987" s="143"/>
      <c r="AB2987" s="144"/>
      <c r="AC2987" s="16" t="s">
        <v>21</v>
      </c>
      <c r="AD2987" s="17" t="s">
        <v>3397</v>
      </c>
      <c r="AE2987" s="145" t="s">
        <v>8524</v>
      </c>
      <c r="AF2987" s="146"/>
      <c r="AG2987" s="146"/>
      <c r="AH2987" s="146"/>
      <c r="AI2987" s="147"/>
      <c r="AJ2987" s="148"/>
      <c r="AK2987" s="143"/>
      <c r="AL2987" s="144"/>
      <c r="AM2987" s="22"/>
      <c r="AN2987" s="149" t="s">
        <v>7644</v>
      </c>
      <c r="AO2987" s="144"/>
      <c r="AP2987" s="148">
        <v>3175</v>
      </c>
      <c r="AQ2987" s="144"/>
      <c r="AR2987" s="120"/>
      <c r="AS2987" s="121"/>
      <c r="AT2987" s="120"/>
      <c r="AU2987" s="121"/>
      <c r="AV2987" s="120"/>
      <c r="AW2987" s="121"/>
      <c r="AX2987" s="120"/>
      <c r="AY2987" s="121"/>
      <c r="AZ2987" s="138"/>
    </row>
    <row r="2988" spans="1:52" ht="17.100000000000001" customHeight="1" thickTop="1">
      <c r="A2988" s="109" t="s">
        <v>9593</v>
      </c>
      <c r="B2988" s="28">
        <v>45958</v>
      </c>
      <c r="C2988" s="25">
        <v>963</v>
      </c>
      <c r="D2988" s="13" t="s">
        <v>2187</v>
      </c>
      <c r="E2988" s="111"/>
      <c r="F2988" s="113" t="s">
        <v>9655</v>
      </c>
      <c r="G2988" s="114"/>
      <c r="H2988" s="115"/>
      <c r="I2988" s="24"/>
      <c r="J2988" s="116">
        <v>3.5</v>
      </c>
      <c r="K2988" s="118">
        <v>338000</v>
      </c>
      <c r="L2988" s="119"/>
      <c r="M2988" s="118">
        <f t="shared" ref="M2988" si="1973">K2988*0.1</f>
        <v>33800</v>
      </c>
      <c r="N2988" s="119"/>
      <c r="O2988" s="118">
        <v>0</v>
      </c>
      <c r="P2988" s="119"/>
      <c r="Q2988" s="118">
        <v>7500</v>
      </c>
      <c r="R2988" s="119"/>
      <c r="S2988" s="118">
        <v>22000</v>
      </c>
      <c r="T2988" s="119"/>
      <c r="U2988" s="118">
        <f t="shared" ref="U2988" si="1974">SUM(K2988:T2989)</f>
        <v>401300</v>
      </c>
      <c r="V2988" s="122"/>
      <c r="W2988" s="124"/>
      <c r="X2988" s="126" t="s">
        <v>10234</v>
      </c>
      <c r="Y2988" s="127"/>
      <c r="Z2988" s="127"/>
      <c r="AA2988" s="127"/>
      <c r="AB2988" s="128"/>
      <c r="AC2988" s="15" t="s">
        <v>20</v>
      </c>
      <c r="AD2988" s="129" t="s">
        <v>2054</v>
      </c>
      <c r="AE2988" s="130"/>
      <c r="AF2988" s="130"/>
      <c r="AG2988" s="130"/>
      <c r="AH2988" s="130"/>
      <c r="AI2988" s="131"/>
      <c r="AJ2988" s="132"/>
      <c r="AK2988" s="127"/>
      <c r="AL2988" s="128"/>
      <c r="AM2988" s="21"/>
      <c r="AN2988" s="133">
        <v>45997</v>
      </c>
      <c r="AO2988" s="134"/>
      <c r="AP2988" s="135">
        <v>1279</v>
      </c>
      <c r="AQ2988" s="136"/>
      <c r="AR2988" s="118">
        <v>350000</v>
      </c>
      <c r="AS2988" s="119"/>
      <c r="AT2988" s="118">
        <f t="shared" ref="AT2988" si="1975">AR2988*0.1</f>
        <v>35000</v>
      </c>
      <c r="AU2988" s="119"/>
      <c r="AV2988" s="118">
        <v>7500</v>
      </c>
      <c r="AW2988" s="119"/>
      <c r="AX2988" s="118">
        <f t="shared" ref="AX2988" si="1976">SUM(AR2988:AW2988)</f>
        <v>392500</v>
      </c>
      <c r="AY2988" s="119"/>
      <c r="AZ2988" s="137">
        <v>46000</v>
      </c>
    </row>
    <row r="2989" spans="1:52" ht="17.100000000000001" customHeight="1" thickBot="1">
      <c r="A2989" s="110"/>
      <c r="B2989" s="27" t="s">
        <v>2055</v>
      </c>
      <c r="C2989" s="27">
        <v>59</v>
      </c>
      <c r="D2989" s="14" t="s">
        <v>1592</v>
      </c>
      <c r="E2989" s="112"/>
      <c r="F2989" s="139" t="s">
        <v>9619</v>
      </c>
      <c r="G2989" s="140"/>
      <c r="H2989" s="141"/>
      <c r="I2989" s="26">
        <v>46985</v>
      </c>
      <c r="J2989" s="117"/>
      <c r="K2989" s="120"/>
      <c r="L2989" s="121"/>
      <c r="M2989" s="120"/>
      <c r="N2989" s="121"/>
      <c r="O2989" s="120"/>
      <c r="P2989" s="121"/>
      <c r="Q2989" s="120"/>
      <c r="R2989" s="121"/>
      <c r="S2989" s="120"/>
      <c r="T2989" s="121"/>
      <c r="U2989" s="120"/>
      <c r="V2989" s="123"/>
      <c r="W2989" s="125"/>
      <c r="X2989" s="142" t="s">
        <v>2057</v>
      </c>
      <c r="Y2989" s="143"/>
      <c r="Z2989" s="143"/>
      <c r="AA2989" s="143"/>
      <c r="AB2989" s="144"/>
      <c r="AC2989" s="16" t="s">
        <v>21</v>
      </c>
      <c r="AD2989" s="17" t="s">
        <v>3397</v>
      </c>
      <c r="AE2989" s="145" t="s">
        <v>1670</v>
      </c>
      <c r="AF2989" s="146"/>
      <c r="AG2989" s="146"/>
      <c r="AH2989" s="146"/>
      <c r="AI2989" s="147"/>
      <c r="AJ2989" s="148"/>
      <c r="AK2989" s="143"/>
      <c r="AL2989" s="144"/>
      <c r="AM2989" s="22"/>
      <c r="AN2989" s="149" t="s">
        <v>2511</v>
      </c>
      <c r="AO2989" s="144"/>
      <c r="AP2989" s="148">
        <v>60094</v>
      </c>
      <c r="AQ2989" s="144"/>
      <c r="AR2989" s="120"/>
      <c r="AS2989" s="121"/>
      <c r="AT2989" s="120"/>
      <c r="AU2989" s="121"/>
      <c r="AV2989" s="120"/>
      <c r="AW2989" s="121"/>
      <c r="AX2989" s="120"/>
      <c r="AY2989" s="121"/>
      <c r="AZ2989" s="138"/>
    </row>
    <row r="2990" spans="1:52" ht="17.100000000000001" customHeight="1" thickTop="1">
      <c r="A2990" s="109" t="s">
        <v>9594</v>
      </c>
      <c r="B2990" s="28">
        <v>45958</v>
      </c>
      <c r="C2990" s="25">
        <v>963</v>
      </c>
      <c r="D2990" s="13" t="s">
        <v>2187</v>
      </c>
      <c r="E2990" s="111"/>
      <c r="F2990" s="113" t="s">
        <v>9655</v>
      </c>
      <c r="G2990" s="114"/>
      <c r="H2990" s="115"/>
      <c r="I2990" s="24"/>
      <c r="J2990" s="116">
        <v>3.5</v>
      </c>
      <c r="K2990" s="118">
        <v>338000</v>
      </c>
      <c r="L2990" s="119"/>
      <c r="M2990" s="118">
        <f t="shared" ref="M2990" si="1977">K2990*0.1</f>
        <v>33800</v>
      </c>
      <c r="N2990" s="119"/>
      <c r="O2990" s="118">
        <v>0</v>
      </c>
      <c r="P2990" s="119"/>
      <c r="Q2990" s="118">
        <v>7500</v>
      </c>
      <c r="R2990" s="119"/>
      <c r="S2990" s="118">
        <v>22000</v>
      </c>
      <c r="T2990" s="119"/>
      <c r="U2990" s="118">
        <f t="shared" ref="U2990" si="1978">SUM(K2990:T2991)</f>
        <v>401300</v>
      </c>
      <c r="V2990" s="122"/>
      <c r="W2990" s="124"/>
      <c r="X2990" s="126" t="s">
        <v>10219</v>
      </c>
      <c r="Y2990" s="127"/>
      <c r="Z2990" s="127"/>
      <c r="AA2990" s="127"/>
      <c r="AB2990" s="128"/>
      <c r="AC2990" s="15" t="s">
        <v>20</v>
      </c>
      <c r="AD2990" s="129" t="s">
        <v>2054</v>
      </c>
      <c r="AE2990" s="130"/>
      <c r="AF2990" s="130"/>
      <c r="AG2990" s="130"/>
      <c r="AH2990" s="130"/>
      <c r="AI2990" s="131"/>
      <c r="AJ2990" s="132"/>
      <c r="AK2990" s="127"/>
      <c r="AL2990" s="128"/>
      <c r="AM2990" s="21"/>
      <c r="AN2990" s="133">
        <v>45965</v>
      </c>
      <c r="AO2990" s="134"/>
      <c r="AP2990" s="135">
        <v>1916</v>
      </c>
      <c r="AQ2990" s="136"/>
      <c r="AR2990" s="118">
        <v>379000</v>
      </c>
      <c r="AS2990" s="119"/>
      <c r="AT2990" s="118">
        <f t="shared" ref="AT2990" si="1979">AR2990*0.1</f>
        <v>37900</v>
      </c>
      <c r="AU2990" s="119"/>
      <c r="AV2990" s="118">
        <v>7500</v>
      </c>
      <c r="AW2990" s="119"/>
      <c r="AX2990" s="118">
        <f t="shared" ref="AX2990" si="1980">SUM(AR2990:AW2990)</f>
        <v>424400</v>
      </c>
      <c r="AY2990" s="119"/>
      <c r="AZ2990" s="137">
        <v>45971</v>
      </c>
    </row>
    <row r="2991" spans="1:52" ht="17.100000000000001" customHeight="1" thickBot="1">
      <c r="A2991" s="110"/>
      <c r="B2991" s="27" t="s">
        <v>2055</v>
      </c>
      <c r="C2991" s="27">
        <v>60</v>
      </c>
      <c r="D2991" s="14" t="s">
        <v>1592</v>
      </c>
      <c r="E2991" s="112"/>
      <c r="F2991" s="139" t="s">
        <v>9620</v>
      </c>
      <c r="G2991" s="140"/>
      <c r="H2991" s="141"/>
      <c r="I2991" s="26">
        <v>45507</v>
      </c>
      <c r="J2991" s="117"/>
      <c r="K2991" s="120"/>
      <c r="L2991" s="121"/>
      <c r="M2991" s="120"/>
      <c r="N2991" s="121"/>
      <c r="O2991" s="120"/>
      <c r="P2991" s="121"/>
      <c r="Q2991" s="120"/>
      <c r="R2991" s="121"/>
      <c r="S2991" s="120"/>
      <c r="T2991" s="121"/>
      <c r="U2991" s="120"/>
      <c r="V2991" s="123"/>
      <c r="W2991" s="125"/>
      <c r="X2991" s="142" t="s">
        <v>2057</v>
      </c>
      <c r="Y2991" s="143"/>
      <c r="Z2991" s="143"/>
      <c r="AA2991" s="143"/>
      <c r="AB2991" s="144"/>
      <c r="AC2991" s="16" t="s">
        <v>21</v>
      </c>
      <c r="AD2991" s="17" t="s">
        <v>3397</v>
      </c>
      <c r="AE2991" s="145" t="s">
        <v>8524</v>
      </c>
      <c r="AF2991" s="146"/>
      <c r="AG2991" s="146"/>
      <c r="AH2991" s="146"/>
      <c r="AI2991" s="147"/>
      <c r="AJ2991" s="148"/>
      <c r="AK2991" s="143"/>
      <c r="AL2991" s="144"/>
      <c r="AM2991" s="22"/>
      <c r="AN2991" s="149" t="s">
        <v>2131</v>
      </c>
      <c r="AO2991" s="144"/>
      <c r="AP2991" s="148">
        <v>3381</v>
      </c>
      <c r="AQ2991" s="144"/>
      <c r="AR2991" s="120"/>
      <c r="AS2991" s="121"/>
      <c r="AT2991" s="120"/>
      <c r="AU2991" s="121"/>
      <c r="AV2991" s="120"/>
      <c r="AW2991" s="121"/>
      <c r="AX2991" s="120"/>
      <c r="AY2991" s="121"/>
      <c r="AZ2991" s="138"/>
    </row>
    <row r="2992" spans="1:52" ht="17.100000000000001" customHeight="1" thickTop="1">
      <c r="A2992" s="109" t="s">
        <v>9595</v>
      </c>
      <c r="B2992" s="28">
        <v>45958</v>
      </c>
      <c r="C2992" s="25">
        <v>963</v>
      </c>
      <c r="D2992" s="13" t="s">
        <v>2187</v>
      </c>
      <c r="E2992" s="111"/>
      <c r="F2992" s="113" t="s">
        <v>9655</v>
      </c>
      <c r="G2992" s="114"/>
      <c r="H2992" s="115"/>
      <c r="I2992" s="24"/>
      <c r="J2992" s="116">
        <v>3.5</v>
      </c>
      <c r="K2992" s="118">
        <v>338000</v>
      </c>
      <c r="L2992" s="119"/>
      <c r="M2992" s="118">
        <f t="shared" ref="M2992" si="1981">K2992*0.1</f>
        <v>33800</v>
      </c>
      <c r="N2992" s="119"/>
      <c r="O2992" s="118">
        <v>0</v>
      </c>
      <c r="P2992" s="119"/>
      <c r="Q2992" s="118">
        <v>7500</v>
      </c>
      <c r="R2992" s="119"/>
      <c r="S2992" s="118">
        <v>22000</v>
      </c>
      <c r="T2992" s="119"/>
      <c r="U2992" s="118">
        <f t="shared" ref="U2992" si="1982">SUM(K2992:T2993)</f>
        <v>401300</v>
      </c>
      <c r="V2992" s="122"/>
      <c r="W2992" s="124"/>
      <c r="X2992" s="126" t="s">
        <v>10235</v>
      </c>
      <c r="Y2992" s="127"/>
      <c r="Z2992" s="127"/>
      <c r="AA2992" s="127"/>
      <c r="AB2992" s="128"/>
      <c r="AC2992" s="15" t="s">
        <v>20</v>
      </c>
      <c r="AD2992" s="129" t="s">
        <v>2054</v>
      </c>
      <c r="AE2992" s="130"/>
      <c r="AF2992" s="130"/>
      <c r="AG2992" s="130"/>
      <c r="AH2992" s="130"/>
      <c r="AI2992" s="131"/>
      <c r="AJ2992" s="132"/>
      <c r="AK2992" s="127"/>
      <c r="AL2992" s="128"/>
      <c r="AM2992" s="21"/>
      <c r="AN2992" s="133">
        <v>46004</v>
      </c>
      <c r="AO2992" s="134"/>
      <c r="AP2992" s="135">
        <v>1280</v>
      </c>
      <c r="AQ2992" s="136"/>
      <c r="AR2992" s="118">
        <v>350000</v>
      </c>
      <c r="AS2992" s="119"/>
      <c r="AT2992" s="118">
        <f t="shared" ref="AT2992" si="1983">AR2992*0.1</f>
        <v>35000</v>
      </c>
      <c r="AU2992" s="119"/>
      <c r="AV2992" s="118">
        <v>7500</v>
      </c>
      <c r="AW2992" s="119"/>
      <c r="AX2992" s="118">
        <f t="shared" ref="AX2992" si="1984">SUM(AR2992:AW2992)</f>
        <v>392500</v>
      </c>
      <c r="AY2992" s="119"/>
      <c r="AZ2992" s="137">
        <v>46008</v>
      </c>
    </row>
    <row r="2993" spans="1:52" ht="17.100000000000001" customHeight="1" thickBot="1">
      <c r="A2993" s="110"/>
      <c r="B2993" s="27" t="s">
        <v>2055</v>
      </c>
      <c r="C2993" s="27">
        <v>92</v>
      </c>
      <c r="D2993" s="14" t="s">
        <v>1592</v>
      </c>
      <c r="E2993" s="112"/>
      <c r="F2993" s="139" t="s">
        <v>9621</v>
      </c>
      <c r="G2993" s="140"/>
      <c r="H2993" s="141"/>
      <c r="I2993" s="26">
        <v>47045</v>
      </c>
      <c r="J2993" s="117"/>
      <c r="K2993" s="120"/>
      <c r="L2993" s="121"/>
      <c r="M2993" s="120"/>
      <c r="N2993" s="121"/>
      <c r="O2993" s="120"/>
      <c r="P2993" s="121"/>
      <c r="Q2993" s="120"/>
      <c r="R2993" s="121"/>
      <c r="S2993" s="120"/>
      <c r="T2993" s="121"/>
      <c r="U2993" s="120"/>
      <c r="V2993" s="123"/>
      <c r="W2993" s="125"/>
      <c r="X2993" s="142" t="s">
        <v>2057</v>
      </c>
      <c r="Y2993" s="143"/>
      <c r="Z2993" s="143"/>
      <c r="AA2993" s="143"/>
      <c r="AB2993" s="144"/>
      <c r="AC2993" s="16" t="s">
        <v>21</v>
      </c>
      <c r="AD2993" s="17" t="s">
        <v>3397</v>
      </c>
      <c r="AE2993" s="145" t="s">
        <v>1670</v>
      </c>
      <c r="AF2993" s="146"/>
      <c r="AG2993" s="146"/>
      <c r="AH2993" s="146"/>
      <c r="AI2993" s="147"/>
      <c r="AJ2993" s="148"/>
      <c r="AK2993" s="143"/>
      <c r="AL2993" s="144"/>
      <c r="AM2993" s="22"/>
      <c r="AN2993" s="149" t="s">
        <v>2511</v>
      </c>
      <c r="AO2993" s="144"/>
      <c r="AP2993" s="148">
        <v>60088</v>
      </c>
      <c r="AQ2993" s="144"/>
      <c r="AR2993" s="120"/>
      <c r="AS2993" s="121"/>
      <c r="AT2993" s="120"/>
      <c r="AU2993" s="121"/>
      <c r="AV2993" s="120"/>
      <c r="AW2993" s="121"/>
      <c r="AX2993" s="120"/>
      <c r="AY2993" s="121"/>
      <c r="AZ2993" s="138"/>
    </row>
    <row r="2994" spans="1:52" ht="17.100000000000001" customHeight="1" thickTop="1">
      <c r="A2994" s="109" t="s">
        <v>9596</v>
      </c>
      <c r="B2994" s="28">
        <v>45958</v>
      </c>
      <c r="C2994" s="25">
        <v>963</v>
      </c>
      <c r="D2994" s="13" t="s">
        <v>2187</v>
      </c>
      <c r="E2994" s="111"/>
      <c r="F2994" s="113" t="s">
        <v>9655</v>
      </c>
      <c r="G2994" s="114"/>
      <c r="H2994" s="115"/>
      <c r="I2994" s="24"/>
      <c r="J2994" s="116">
        <v>3.5</v>
      </c>
      <c r="K2994" s="118">
        <v>338000</v>
      </c>
      <c r="L2994" s="119"/>
      <c r="M2994" s="118">
        <f t="shared" ref="M2994" si="1985">K2994*0.1</f>
        <v>33800</v>
      </c>
      <c r="N2994" s="119"/>
      <c r="O2994" s="118">
        <v>0</v>
      </c>
      <c r="P2994" s="119"/>
      <c r="Q2994" s="118">
        <v>7500</v>
      </c>
      <c r="R2994" s="119"/>
      <c r="S2994" s="118">
        <v>22000</v>
      </c>
      <c r="T2994" s="119"/>
      <c r="U2994" s="118">
        <f t="shared" ref="U2994" si="1986">SUM(K2994:T2995)</f>
        <v>401300</v>
      </c>
      <c r="V2994" s="122"/>
      <c r="W2994" s="124"/>
      <c r="X2994" s="126" t="s">
        <v>10218</v>
      </c>
      <c r="Y2994" s="127"/>
      <c r="Z2994" s="127"/>
      <c r="AA2994" s="127"/>
      <c r="AB2994" s="128"/>
      <c r="AC2994" s="15" t="s">
        <v>20</v>
      </c>
      <c r="AD2994" s="129" t="s">
        <v>2054</v>
      </c>
      <c r="AE2994" s="130"/>
      <c r="AF2994" s="130"/>
      <c r="AG2994" s="130"/>
      <c r="AH2994" s="130"/>
      <c r="AI2994" s="131"/>
      <c r="AJ2994" s="132"/>
      <c r="AK2994" s="127"/>
      <c r="AL2994" s="128"/>
      <c r="AM2994" s="21"/>
      <c r="AN2994" s="133">
        <v>45965</v>
      </c>
      <c r="AO2994" s="134"/>
      <c r="AP2994" s="135">
        <v>1916</v>
      </c>
      <c r="AQ2994" s="136"/>
      <c r="AR2994" s="118">
        <v>343000</v>
      </c>
      <c r="AS2994" s="119"/>
      <c r="AT2994" s="118">
        <f t="shared" ref="AT2994" si="1987">AR2994*0.1</f>
        <v>34300</v>
      </c>
      <c r="AU2994" s="119"/>
      <c r="AV2994" s="118">
        <v>7500</v>
      </c>
      <c r="AW2994" s="119"/>
      <c r="AX2994" s="118">
        <f t="shared" ref="AX2994" si="1988">SUM(AR2994:AW2994)</f>
        <v>384800</v>
      </c>
      <c r="AY2994" s="119"/>
      <c r="AZ2994" s="137">
        <v>45971</v>
      </c>
    </row>
    <row r="2995" spans="1:52" ht="17.100000000000001" customHeight="1" thickBot="1">
      <c r="A2995" s="110"/>
      <c r="B2995" s="27" t="s">
        <v>2055</v>
      </c>
      <c r="C2995" s="27">
        <v>103</v>
      </c>
      <c r="D2995" s="14" t="s">
        <v>1592</v>
      </c>
      <c r="E2995" s="112"/>
      <c r="F2995" s="139" t="s">
        <v>9622</v>
      </c>
      <c r="G2995" s="140"/>
      <c r="H2995" s="141"/>
      <c r="I2995" s="26">
        <v>45813</v>
      </c>
      <c r="J2995" s="117"/>
      <c r="K2995" s="120"/>
      <c r="L2995" s="121"/>
      <c r="M2995" s="120"/>
      <c r="N2995" s="121"/>
      <c r="O2995" s="120"/>
      <c r="P2995" s="121"/>
      <c r="Q2995" s="120"/>
      <c r="R2995" s="121"/>
      <c r="S2995" s="120"/>
      <c r="T2995" s="121"/>
      <c r="U2995" s="120"/>
      <c r="V2995" s="123"/>
      <c r="W2995" s="125"/>
      <c r="X2995" s="142" t="s">
        <v>2057</v>
      </c>
      <c r="Y2995" s="143"/>
      <c r="Z2995" s="143"/>
      <c r="AA2995" s="143"/>
      <c r="AB2995" s="144"/>
      <c r="AC2995" s="16" t="s">
        <v>21</v>
      </c>
      <c r="AD2995" s="17" t="s">
        <v>3397</v>
      </c>
      <c r="AE2995" s="145" t="s">
        <v>1670</v>
      </c>
      <c r="AF2995" s="146"/>
      <c r="AG2995" s="146"/>
      <c r="AH2995" s="146"/>
      <c r="AI2995" s="147"/>
      <c r="AJ2995" s="148"/>
      <c r="AK2995" s="143"/>
      <c r="AL2995" s="144"/>
      <c r="AM2995" s="22"/>
      <c r="AN2995" s="149" t="s">
        <v>2131</v>
      </c>
      <c r="AO2995" s="144"/>
      <c r="AP2995" s="148">
        <v>3259</v>
      </c>
      <c r="AQ2995" s="144"/>
      <c r="AR2995" s="120"/>
      <c r="AS2995" s="121"/>
      <c r="AT2995" s="120"/>
      <c r="AU2995" s="121"/>
      <c r="AV2995" s="120"/>
      <c r="AW2995" s="121"/>
      <c r="AX2995" s="120"/>
      <c r="AY2995" s="121"/>
      <c r="AZ2995" s="138"/>
    </row>
    <row r="2996" spans="1:52" ht="17.100000000000001" customHeight="1" thickTop="1">
      <c r="A2996" s="109" t="s">
        <v>9597</v>
      </c>
      <c r="B2996" s="28">
        <v>45958</v>
      </c>
      <c r="C2996" s="25">
        <v>963</v>
      </c>
      <c r="D2996" s="13" t="s">
        <v>2187</v>
      </c>
      <c r="E2996" s="111"/>
      <c r="F2996" s="113" t="s">
        <v>9655</v>
      </c>
      <c r="G2996" s="114"/>
      <c r="H2996" s="115"/>
      <c r="I2996" s="24"/>
      <c r="J2996" s="116">
        <v>3.5</v>
      </c>
      <c r="K2996" s="118">
        <v>298000</v>
      </c>
      <c r="L2996" s="119"/>
      <c r="M2996" s="118">
        <f t="shared" ref="M2996" si="1989">K2996*0.1</f>
        <v>29800</v>
      </c>
      <c r="N2996" s="119"/>
      <c r="O2996" s="118">
        <v>0</v>
      </c>
      <c r="P2996" s="119"/>
      <c r="Q2996" s="118">
        <v>7500</v>
      </c>
      <c r="R2996" s="119"/>
      <c r="S2996" s="118">
        <v>22000</v>
      </c>
      <c r="T2996" s="119"/>
      <c r="U2996" s="118">
        <f t="shared" ref="U2996" si="1990">SUM(K2996:T2997)</f>
        <v>357300</v>
      </c>
      <c r="V2996" s="122"/>
      <c r="W2996" s="124"/>
      <c r="X2996" s="126" t="s">
        <v>10221</v>
      </c>
      <c r="Y2996" s="127"/>
      <c r="Z2996" s="127"/>
      <c r="AA2996" s="127"/>
      <c r="AB2996" s="128"/>
      <c r="AC2996" s="15" t="s">
        <v>20</v>
      </c>
      <c r="AD2996" s="129" t="s">
        <v>2054</v>
      </c>
      <c r="AE2996" s="130"/>
      <c r="AF2996" s="130"/>
      <c r="AG2996" s="130"/>
      <c r="AH2996" s="130"/>
      <c r="AI2996" s="131"/>
      <c r="AJ2996" s="132"/>
      <c r="AK2996" s="127"/>
      <c r="AL2996" s="128"/>
      <c r="AM2996" s="21"/>
      <c r="AN2996" s="133">
        <v>45965</v>
      </c>
      <c r="AO2996" s="134"/>
      <c r="AP2996" s="135">
        <v>1916</v>
      </c>
      <c r="AQ2996" s="136"/>
      <c r="AR2996" s="118">
        <v>358000</v>
      </c>
      <c r="AS2996" s="119"/>
      <c r="AT2996" s="118">
        <f t="shared" ref="AT2996" si="1991">AR2996*0.1</f>
        <v>35800</v>
      </c>
      <c r="AU2996" s="119"/>
      <c r="AV2996" s="118">
        <v>7500</v>
      </c>
      <c r="AW2996" s="119"/>
      <c r="AX2996" s="118">
        <f t="shared" ref="AX2996" si="1992">SUM(AR2996:AW2996)</f>
        <v>401300</v>
      </c>
      <c r="AY2996" s="119"/>
      <c r="AZ2996" s="137">
        <v>45971</v>
      </c>
    </row>
    <row r="2997" spans="1:52" ht="17.100000000000001" customHeight="1" thickBot="1">
      <c r="A2997" s="110"/>
      <c r="B2997" s="27" t="s">
        <v>2055</v>
      </c>
      <c r="C2997" s="27">
        <v>104</v>
      </c>
      <c r="D2997" s="14" t="s">
        <v>1592</v>
      </c>
      <c r="E2997" s="112"/>
      <c r="F2997" s="139" t="s">
        <v>9623</v>
      </c>
      <c r="G2997" s="140"/>
      <c r="H2997" s="141"/>
      <c r="I2997" s="26">
        <v>41121</v>
      </c>
      <c r="J2997" s="117"/>
      <c r="K2997" s="120"/>
      <c r="L2997" s="121"/>
      <c r="M2997" s="120"/>
      <c r="N2997" s="121"/>
      <c r="O2997" s="120"/>
      <c r="P2997" s="121"/>
      <c r="Q2997" s="120"/>
      <c r="R2997" s="121"/>
      <c r="S2997" s="120"/>
      <c r="T2997" s="121"/>
      <c r="U2997" s="120"/>
      <c r="V2997" s="123"/>
      <c r="W2997" s="125"/>
      <c r="X2997" s="142" t="s">
        <v>2057</v>
      </c>
      <c r="Y2997" s="143"/>
      <c r="Z2997" s="143"/>
      <c r="AA2997" s="143"/>
      <c r="AB2997" s="144"/>
      <c r="AC2997" s="16" t="s">
        <v>21</v>
      </c>
      <c r="AD2997" s="17" t="s">
        <v>3397</v>
      </c>
      <c r="AE2997" s="145" t="s">
        <v>1670</v>
      </c>
      <c r="AF2997" s="146"/>
      <c r="AG2997" s="146"/>
      <c r="AH2997" s="146"/>
      <c r="AI2997" s="147"/>
      <c r="AJ2997" s="148"/>
      <c r="AK2997" s="143"/>
      <c r="AL2997" s="144"/>
      <c r="AM2997" s="22"/>
      <c r="AN2997" s="149" t="s">
        <v>2131</v>
      </c>
      <c r="AO2997" s="144"/>
      <c r="AP2997" s="148">
        <v>3307</v>
      </c>
      <c r="AQ2997" s="144"/>
      <c r="AR2997" s="120"/>
      <c r="AS2997" s="121"/>
      <c r="AT2997" s="120"/>
      <c r="AU2997" s="121"/>
      <c r="AV2997" s="120"/>
      <c r="AW2997" s="121"/>
      <c r="AX2997" s="120"/>
      <c r="AY2997" s="121"/>
      <c r="AZ2997" s="138"/>
    </row>
    <row r="2998" spans="1:52" ht="17.100000000000001" customHeight="1" thickTop="1">
      <c r="A2998" s="109" t="s">
        <v>9598</v>
      </c>
      <c r="B2998" s="28">
        <v>45958</v>
      </c>
      <c r="C2998" s="25">
        <v>963</v>
      </c>
      <c r="D2998" s="13" t="s">
        <v>2187</v>
      </c>
      <c r="E2998" s="111"/>
      <c r="F2998" s="113" t="s">
        <v>9655</v>
      </c>
      <c r="G2998" s="114"/>
      <c r="H2998" s="115"/>
      <c r="I2998" s="24"/>
      <c r="J2998" s="116">
        <v>3.5</v>
      </c>
      <c r="K2998" s="118">
        <v>389000</v>
      </c>
      <c r="L2998" s="119"/>
      <c r="M2998" s="118">
        <f t="shared" ref="M2998" si="1993">K2998*0.1</f>
        <v>38900</v>
      </c>
      <c r="N2998" s="119"/>
      <c r="O2998" s="118">
        <v>0</v>
      </c>
      <c r="P2998" s="119"/>
      <c r="Q2998" s="118">
        <v>7500</v>
      </c>
      <c r="R2998" s="119"/>
      <c r="S2998" s="118">
        <v>22000</v>
      </c>
      <c r="T2998" s="119"/>
      <c r="U2998" s="118">
        <f t="shared" ref="U2998" si="1994">SUM(K2998:T2999)</f>
        <v>457400</v>
      </c>
      <c r="V2998" s="122"/>
      <c r="W2998" s="124"/>
      <c r="X2998" s="126" t="s">
        <v>10236</v>
      </c>
      <c r="Y2998" s="127"/>
      <c r="Z2998" s="127"/>
      <c r="AA2998" s="127"/>
      <c r="AB2998" s="128"/>
      <c r="AC2998" s="15" t="s">
        <v>20</v>
      </c>
      <c r="AD2998" s="129" t="s">
        <v>2054</v>
      </c>
      <c r="AE2998" s="130"/>
      <c r="AF2998" s="130"/>
      <c r="AG2998" s="130"/>
      <c r="AH2998" s="130"/>
      <c r="AI2998" s="131"/>
      <c r="AJ2998" s="132"/>
      <c r="AK2998" s="127"/>
      <c r="AL2998" s="128"/>
      <c r="AM2998" s="21"/>
      <c r="AN2998" s="133">
        <v>46004</v>
      </c>
      <c r="AO2998" s="134"/>
      <c r="AP2998" s="135">
        <v>1280</v>
      </c>
      <c r="AQ2998" s="136"/>
      <c r="AR2998" s="118">
        <v>415000</v>
      </c>
      <c r="AS2998" s="119"/>
      <c r="AT2998" s="118">
        <f t="shared" ref="AT2998" si="1995">AR2998*0.1</f>
        <v>41500</v>
      </c>
      <c r="AU2998" s="119"/>
      <c r="AV2998" s="118">
        <v>7500</v>
      </c>
      <c r="AW2998" s="119"/>
      <c r="AX2998" s="118">
        <f t="shared" ref="AX2998" si="1996">SUM(AR2998:AW2998)</f>
        <v>464000</v>
      </c>
      <c r="AY2998" s="119"/>
      <c r="AZ2998" s="137">
        <v>46008</v>
      </c>
    </row>
    <row r="2999" spans="1:52" ht="17.100000000000001" customHeight="1" thickBot="1">
      <c r="A2999" s="110"/>
      <c r="B2999" s="27" t="s">
        <v>2055</v>
      </c>
      <c r="C2999" s="27">
        <v>115</v>
      </c>
      <c r="D2999" s="14" t="s">
        <v>1592</v>
      </c>
      <c r="E2999" s="112"/>
      <c r="F2999" s="139" t="s">
        <v>9624</v>
      </c>
      <c r="G2999" s="140"/>
      <c r="H2999" s="141"/>
      <c r="I2999" s="26">
        <v>58152</v>
      </c>
      <c r="J2999" s="117"/>
      <c r="K2999" s="120"/>
      <c r="L2999" s="121"/>
      <c r="M2999" s="120"/>
      <c r="N2999" s="121"/>
      <c r="O2999" s="120"/>
      <c r="P2999" s="121"/>
      <c r="Q2999" s="120"/>
      <c r="R2999" s="121"/>
      <c r="S2999" s="120"/>
      <c r="T2999" s="121"/>
      <c r="U2999" s="120"/>
      <c r="V2999" s="123"/>
      <c r="W2999" s="125"/>
      <c r="X2999" s="142" t="s">
        <v>2057</v>
      </c>
      <c r="Y2999" s="143"/>
      <c r="Z2999" s="143"/>
      <c r="AA2999" s="143"/>
      <c r="AB2999" s="144"/>
      <c r="AC2999" s="16" t="s">
        <v>21</v>
      </c>
      <c r="AD2999" s="17" t="s">
        <v>3397</v>
      </c>
      <c r="AE2999" s="145" t="s">
        <v>1670</v>
      </c>
      <c r="AF2999" s="146"/>
      <c r="AG2999" s="146"/>
      <c r="AH2999" s="146"/>
      <c r="AI2999" s="147"/>
      <c r="AJ2999" s="148"/>
      <c r="AK2999" s="143"/>
      <c r="AL2999" s="144"/>
      <c r="AM2999" s="22"/>
      <c r="AN2999" s="149" t="s">
        <v>7284</v>
      </c>
      <c r="AO2999" s="144"/>
      <c r="AP2999" s="148">
        <v>60160</v>
      </c>
      <c r="AQ2999" s="144"/>
      <c r="AR2999" s="120"/>
      <c r="AS2999" s="121"/>
      <c r="AT2999" s="120"/>
      <c r="AU2999" s="121"/>
      <c r="AV2999" s="120"/>
      <c r="AW2999" s="121"/>
      <c r="AX2999" s="120"/>
      <c r="AY2999" s="121"/>
      <c r="AZ2999" s="138"/>
    </row>
    <row r="3000" spans="1:52" ht="17.100000000000001" customHeight="1" thickTop="1">
      <c r="A3000" s="109" t="s">
        <v>9599</v>
      </c>
      <c r="B3000" s="28">
        <v>45958</v>
      </c>
      <c r="C3000" s="25">
        <v>963</v>
      </c>
      <c r="D3000" s="13" t="s">
        <v>2187</v>
      </c>
      <c r="E3000" s="111"/>
      <c r="F3000" s="113" t="s">
        <v>9655</v>
      </c>
      <c r="G3000" s="114"/>
      <c r="H3000" s="115"/>
      <c r="I3000" s="24"/>
      <c r="J3000" s="116">
        <v>3.5</v>
      </c>
      <c r="K3000" s="118">
        <v>338000</v>
      </c>
      <c r="L3000" s="119"/>
      <c r="M3000" s="118">
        <f t="shared" ref="M3000" si="1997">K3000*0.1</f>
        <v>33800</v>
      </c>
      <c r="N3000" s="119"/>
      <c r="O3000" s="118">
        <v>0</v>
      </c>
      <c r="P3000" s="119"/>
      <c r="Q3000" s="118">
        <v>7500</v>
      </c>
      <c r="R3000" s="119"/>
      <c r="S3000" s="118">
        <v>22000</v>
      </c>
      <c r="T3000" s="119"/>
      <c r="U3000" s="118">
        <f t="shared" ref="U3000" si="1998">SUM(K3000:T3001)</f>
        <v>401300</v>
      </c>
      <c r="V3000" s="122"/>
      <c r="W3000" s="124"/>
      <c r="X3000" s="126" t="s">
        <v>10220</v>
      </c>
      <c r="Y3000" s="127"/>
      <c r="Z3000" s="127"/>
      <c r="AA3000" s="127"/>
      <c r="AB3000" s="128"/>
      <c r="AC3000" s="15" t="s">
        <v>20</v>
      </c>
      <c r="AD3000" s="129" t="s">
        <v>2054</v>
      </c>
      <c r="AE3000" s="130"/>
      <c r="AF3000" s="130"/>
      <c r="AG3000" s="130"/>
      <c r="AH3000" s="130"/>
      <c r="AI3000" s="131"/>
      <c r="AJ3000" s="132"/>
      <c r="AK3000" s="127"/>
      <c r="AL3000" s="128"/>
      <c r="AM3000" s="21"/>
      <c r="AN3000" s="133">
        <v>45965</v>
      </c>
      <c r="AO3000" s="134"/>
      <c r="AP3000" s="135">
        <v>1916</v>
      </c>
      <c r="AQ3000" s="136"/>
      <c r="AR3000" s="118">
        <v>379000</v>
      </c>
      <c r="AS3000" s="119"/>
      <c r="AT3000" s="118">
        <f t="shared" ref="AT3000" si="1999">AR3000*0.1</f>
        <v>37900</v>
      </c>
      <c r="AU3000" s="119"/>
      <c r="AV3000" s="118">
        <v>7500</v>
      </c>
      <c r="AW3000" s="119"/>
      <c r="AX3000" s="118">
        <f t="shared" ref="AX3000" si="2000">SUM(AR3000:AW3000)</f>
        <v>424400</v>
      </c>
      <c r="AY3000" s="119"/>
      <c r="AZ3000" s="137">
        <v>45971</v>
      </c>
    </row>
    <row r="3001" spans="1:52" ht="17.100000000000001" customHeight="1" thickBot="1">
      <c r="A3001" s="110"/>
      <c r="B3001" s="27" t="s">
        <v>2055</v>
      </c>
      <c r="C3001" s="27">
        <v>116</v>
      </c>
      <c r="D3001" s="14" t="s">
        <v>1592</v>
      </c>
      <c r="E3001" s="112"/>
      <c r="F3001" s="139" t="s">
        <v>9625</v>
      </c>
      <c r="G3001" s="140"/>
      <c r="H3001" s="141"/>
      <c r="I3001" s="26">
        <v>45282</v>
      </c>
      <c r="J3001" s="117"/>
      <c r="K3001" s="120"/>
      <c r="L3001" s="121"/>
      <c r="M3001" s="120"/>
      <c r="N3001" s="121"/>
      <c r="O3001" s="120"/>
      <c r="P3001" s="121"/>
      <c r="Q3001" s="120"/>
      <c r="R3001" s="121"/>
      <c r="S3001" s="120"/>
      <c r="T3001" s="121"/>
      <c r="U3001" s="120"/>
      <c r="V3001" s="123"/>
      <c r="W3001" s="125"/>
      <c r="X3001" s="142" t="s">
        <v>2057</v>
      </c>
      <c r="Y3001" s="143"/>
      <c r="Z3001" s="143"/>
      <c r="AA3001" s="143"/>
      <c r="AB3001" s="144"/>
      <c r="AC3001" s="16" t="s">
        <v>21</v>
      </c>
      <c r="AD3001" s="17" t="s">
        <v>3397</v>
      </c>
      <c r="AE3001" s="145" t="s">
        <v>1670</v>
      </c>
      <c r="AF3001" s="146"/>
      <c r="AG3001" s="146"/>
      <c r="AH3001" s="146"/>
      <c r="AI3001" s="147"/>
      <c r="AJ3001" s="148"/>
      <c r="AK3001" s="143"/>
      <c r="AL3001" s="144"/>
      <c r="AM3001" s="22"/>
      <c r="AN3001" s="149" t="s">
        <v>2131</v>
      </c>
      <c r="AO3001" s="144"/>
      <c r="AP3001" s="148">
        <v>3380</v>
      </c>
      <c r="AQ3001" s="144"/>
      <c r="AR3001" s="120"/>
      <c r="AS3001" s="121"/>
      <c r="AT3001" s="120"/>
      <c r="AU3001" s="121"/>
      <c r="AV3001" s="120"/>
      <c r="AW3001" s="121"/>
      <c r="AX3001" s="120"/>
      <c r="AY3001" s="121"/>
      <c r="AZ3001" s="138"/>
    </row>
    <row r="3002" spans="1:52" ht="17.100000000000001" customHeight="1" thickTop="1">
      <c r="A3002" s="109" t="s">
        <v>9600</v>
      </c>
      <c r="B3002" s="28">
        <v>45958</v>
      </c>
      <c r="C3002" s="25">
        <v>963</v>
      </c>
      <c r="D3002" s="13" t="s">
        <v>2949</v>
      </c>
      <c r="E3002" s="111"/>
      <c r="F3002" s="113" t="s">
        <v>9655</v>
      </c>
      <c r="G3002" s="114"/>
      <c r="H3002" s="115"/>
      <c r="I3002" s="24"/>
      <c r="J3002" s="116">
        <v>3.5</v>
      </c>
      <c r="K3002" s="118">
        <v>318000</v>
      </c>
      <c r="L3002" s="119"/>
      <c r="M3002" s="118">
        <f t="shared" ref="M3002" si="2001">K3002*0.1</f>
        <v>31800</v>
      </c>
      <c r="N3002" s="119"/>
      <c r="O3002" s="118">
        <v>0</v>
      </c>
      <c r="P3002" s="119"/>
      <c r="Q3002" s="118">
        <v>7500</v>
      </c>
      <c r="R3002" s="119"/>
      <c r="S3002" s="118">
        <v>22000</v>
      </c>
      <c r="T3002" s="119"/>
      <c r="U3002" s="118">
        <f t="shared" ref="U3002" si="2002">SUM(K3002:T3003)</f>
        <v>379300</v>
      </c>
      <c r="V3002" s="122"/>
      <c r="W3002" s="124"/>
      <c r="X3002" s="126" t="s">
        <v>10237</v>
      </c>
      <c r="Y3002" s="127"/>
      <c r="Z3002" s="127"/>
      <c r="AA3002" s="127"/>
      <c r="AB3002" s="128"/>
      <c r="AC3002" s="15" t="s">
        <v>20</v>
      </c>
      <c r="AD3002" s="129" t="s">
        <v>2054</v>
      </c>
      <c r="AE3002" s="130"/>
      <c r="AF3002" s="130"/>
      <c r="AG3002" s="130"/>
      <c r="AH3002" s="130"/>
      <c r="AI3002" s="131"/>
      <c r="AJ3002" s="132"/>
      <c r="AK3002" s="127"/>
      <c r="AL3002" s="128"/>
      <c r="AM3002" s="21"/>
      <c r="AN3002" s="133">
        <v>46011</v>
      </c>
      <c r="AO3002" s="134"/>
      <c r="AP3002" s="135">
        <v>1281</v>
      </c>
      <c r="AQ3002" s="136"/>
      <c r="AR3002" s="118">
        <v>400000</v>
      </c>
      <c r="AS3002" s="119"/>
      <c r="AT3002" s="118">
        <f t="shared" ref="AT3002" si="2003">AR3002*0.1</f>
        <v>40000</v>
      </c>
      <c r="AU3002" s="119"/>
      <c r="AV3002" s="118">
        <v>7500</v>
      </c>
      <c r="AW3002" s="119"/>
      <c r="AX3002" s="118">
        <f t="shared" ref="AX3002" si="2004">SUM(AR3002:AW3002)</f>
        <v>447500</v>
      </c>
      <c r="AY3002" s="119"/>
      <c r="AZ3002" s="137">
        <v>46016</v>
      </c>
    </row>
    <row r="3003" spans="1:52" ht="17.100000000000001" customHeight="1" thickBot="1">
      <c r="A3003" s="110"/>
      <c r="B3003" s="27" t="s">
        <v>2055</v>
      </c>
      <c r="C3003" s="27">
        <v>117</v>
      </c>
      <c r="D3003" s="14" t="s">
        <v>1592</v>
      </c>
      <c r="E3003" s="112"/>
      <c r="F3003" s="139" t="s">
        <v>9626</v>
      </c>
      <c r="G3003" s="140"/>
      <c r="H3003" s="141"/>
      <c r="I3003" s="26">
        <v>35792</v>
      </c>
      <c r="J3003" s="117"/>
      <c r="K3003" s="120"/>
      <c r="L3003" s="121"/>
      <c r="M3003" s="120"/>
      <c r="N3003" s="121"/>
      <c r="O3003" s="120"/>
      <c r="P3003" s="121"/>
      <c r="Q3003" s="120"/>
      <c r="R3003" s="121"/>
      <c r="S3003" s="120"/>
      <c r="T3003" s="121"/>
      <c r="U3003" s="120"/>
      <c r="V3003" s="123"/>
      <c r="W3003" s="125"/>
      <c r="X3003" s="142" t="s">
        <v>2057</v>
      </c>
      <c r="Y3003" s="143"/>
      <c r="Z3003" s="143"/>
      <c r="AA3003" s="143"/>
      <c r="AB3003" s="144"/>
      <c r="AC3003" s="16" t="s">
        <v>21</v>
      </c>
      <c r="AD3003" s="17" t="s">
        <v>3397</v>
      </c>
      <c r="AE3003" s="145" t="s">
        <v>1670</v>
      </c>
      <c r="AF3003" s="146"/>
      <c r="AG3003" s="146"/>
      <c r="AH3003" s="146"/>
      <c r="AI3003" s="147"/>
      <c r="AJ3003" s="148"/>
      <c r="AK3003" s="143"/>
      <c r="AL3003" s="144"/>
      <c r="AM3003" s="22"/>
      <c r="AN3003" s="149" t="s">
        <v>6748</v>
      </c>
      <c r="AO3003" s="144"/>
      <c r="AP3003" s="148">
        <v>60170</v>
      </c>
      <c r="AQ3003" s="144"/>
      <c r="AR3003" s="120"/>
      <c r="AS3003" s="121"/>
      <c r="AT3003" s="120"/>
      <c r="AU3003" s="121"/>
      <c r="AV3003" s="120"/>
      <c r="AW3003" s="121"/>
      <c r="AX3003" s="120"/>
      <c r="AY3003" s="121"/>
      <c r="AZ3003" s="138"/>
    </row>
    <row r="3004" spans="1:52" ht="17.100000000000001" customHeight="1" thickTop="1">
      <c r="A3004" s="109" t="s">
        <v>9601</v>
      </c>
      <c r="B3004" s="28">
        <v>45958</v>
      </c>
      <c r="C3004" s="25">
        <v>963</v>
      </c>
      <c r="D3004" s="13" t="s">
        <v>2187</v>
      </c>
      <c r="E3004" s="111"/>
      <c r="F3004" s="113" t="s">
        <v>9655</v>
      </c>
      <c r="G3004" s="114"/>
      <c r="H3004" s="115"/>
      <c r="I3004" s="24"/>
      <c r="J3004" s="116">
        <v>3.5</v>
      </c>
      <c r="K3004" s="118">
        <v>338000</v>
      </c>
      <c r="L3004" s="119"/>
      <c r="M3004" s="118">
        <f t="shared" ref="M3004" si="2005">K3004*0.1</f>
        <v>33800</v>
      </c>
      <c r="N3004" s="119"/>
      <c r="O3004" s="118">
        <v>0</v>
      </c>
      <c r="P3004" s="119"/>
      <c r="Q3004" s="118">
        <v>7500</v>
      </c>
      <c r="R3004" s="119"/>
      <c r="S3004" s="118">
        <v>22000</v>
      </c>
      <c r="T3004" s="119"/>
      <c r="U3004" s="118">
        <f t="shared" ref="U3004" si="2006">SUM(K3004:T3005)</f>
        <v>401300</v>
      </c>
      <c r="V3004" s="122"/>
      <c r="W3004" s="124"/>
      <c r="X3004" s="126" t="s">
        <v>10222</v>
      </c>
      <c r="Y3004" s="127"/>
      <c r="Z3004" s="127"/>
      <c r="AA3004" s="127"/>
      <c r="AB3004" s="128"/>
      <c r="AC3004" s="15" t="s">
        <v>20</v>
      </c>
      <c r="AD3004" s="129" t="s">
        <v>2054</v>
      </c>
      <c r="AE3004" s="130"/>
      <c r="AF3004" s="130"/>
      <c r="AG3004" s="130"/>
      <c r="AH3004" s="130"/>
      <c r="AI3004" s="131"/>
      <c r="AJ3004" s="132"/>
      <c r="AK3004" s="127"/>
      <c r="AL3004" s="128"/>
      <c r="AM3004" s="21"/>
      <c r="AN3004" s="133">
        <v>45965</v>
      </c>
      <c r="AO3004" s="134"/>
      <c r="AP3004" s="135">
        <v>1916</v>
      </c>
      <c r="AQ3004" s="136"/>
      <c r="AR3004" s="118">
        <v>367000</v>
      </c>
      <c r="AS3004" s="119"/>
      <c r="AT3004" s="118">
        <f t="shared" ref="AT3004" si="2007">AR3004*0.1</f>
        <v>36700</v>
      </c>
      <c r="AU3004" s="119"/>
      <c r="AV3004" s="118">
        <v>7500</v>
      </c>
      <c r="AW3004" s="119"/>
      <c r="AX3004" s="118">
        <f t="shared" ref="AX3004" si="2008">SUM(AR3004:AW3004)</f>
        <v>411200</v>
      </c>
      <c r="AY3004" s="119"/>
      <c r="AZ3004" s="137">
        <v>45971</v>
      </c>
    </row>
    <row r="3005" spans="1:52" ht="17.100000000000001" customHeight="1" thickBot="1">
      <c r="A3005" s="110"/>
      <c r="B3005" s="27" t="s">
        <v>2055</v>
      </c>
      <c r="C3005" s="27">
        <v>127</v>
      </c>
      <c r="D3005" s="14" t="s">
        <v>1592</v>
      </c>
      <c r="E3005" s="112"/>
      <c r="F3005" s="139" t="s">
        <v>9627</v>
      </c>
      <c r="G3005" s="140"/>
      <c r="H3005" s="141"/>
      <c r="I3005" s="26">
        <v>44128</v>
      </c>
      <c r="J3005" s="117"/>
      <c r="K3005" s="120"/>
      <c r="L3005" s="121"/>
      <c r="M3005" s="120"/>
      <c r="N3005" s="121"/>
      <c r="O3005" s="120"/>
      <c r="P3005" s="121"/>
      <c r="Q3005" s="120"/>
      <c r="R3005" s="121"/>
      <c r="S3005" s="120"/>
      <c r="T3005" s="121"/>
      <c r="U3005" s="120"/>
      <c r="V3005" s="123"/>
      <c r="W3005" s="125"/>
      <c r="X3005" s="142" t="s">
        <v>2057</v>
      </c>
      <c r="Y3005" s="143"/>
      <c r="Z3005" s="143"/>
      <c r="AA3005" s="143"/>
      <c r="AB3005" s="144"/>
      <c r="AC3005" s="16" t="s">
        <v>21</v>
      </c>
      <c r="AD3005" s="17" t="s">
        <v>3397</v>
      </c>
      <c r="AE3005" s="145" t="s">
        <v>1670</v>
      </c>
      <c r="AF3005" s="146"/>
      <c r="AG3005" s="146"/>
      <c r="AH3005" s="146"/>
      <c r="AI3005" s="147"/>
      <c r="AJ3005" s="148"/>
      <c r="AK3005" s="143"/>
      <c r="AL3005" s="144"/>
      <c r="AM3005" s="22"/>
      <c r="AN3005" s="149" t="s">
        <v>2131</v>
      </c>
      <c r="AO3005" s="144"/>
      <c r="AP3005" s="148">
        <v>3379</v>
      </c>
      <c r="AQ3005" s="144"/>
      <c r="AR3005" s="120"/>
      <c r="AS3005" s="121"/>
      <c r="AT3005" s="120"/>
      <c r="AU3005" s="121"/>
      <c r="AV3005" s="120"/>
      <c r="AW3005" s="121"/>
      <c r="AX3005" s="120"/>
      <c r="AY3005" s="121"/>
      <c r="AZ3005" s="138"/>
    </row>
    <row r="3006" spans="1:52" ht="17.100000000000001" customHeight="1" thickTop="1">
      <c r="A3006" s="109" t="s">
        <v>9602</v>
      </c>
      <c r="B3006" s="28">
        <v>45958</v>
      </c>
      <c r="C3006" s="25">
        <v>963</v>
      </c>
      <c r="D3006" s="13" t="s">
        <v>3530</v>
      </c>
      <c r="E3006" s="111"/>
      <c r="F3006" s="113" t="s">
        <v>9655</v>
      </c>
      <c r="G3006" s="114"/>
      <c r="H3006" s="115"/>
      <c r="I3006" s="24"/>
      <c r="J3006" s="116">
        <v>3.5</v>
      </c>
      <c r="K3006" s="118">
        <v>338000</v>
      </c>
      <c r="L3006" s="119"/>
      <c r="M3006" s="118">
        <f t="shared" ref="M3006" si="2009">K3006*0.1</f>
        <v>33800</v>
      </c>
      <c r="N3006" s="119"/>
      <c r="O3006" s="118">
        <v>0</v>
      </c>
      <c r="P3006" s="119"/>
      <c r="Q3006" s="118">
        <v>7500</v>
      </c>
      <c r="R3006" s="119"/>
      <c r="S3006" s="118">
        <v>22000</v>
      </c>
      <c r="T3006" s="119"/>
      <c r="U3006" s="118">
        <f t="shared" ref="U3006" si="2010">SUM(K3006:T3007)</f>
        <v>401300</v>
      </c>
      <c r="V3006" s="122"/>
      <c r="W3006" s="124"/>
      <c r="X3006" s="126" t="s">
        <v>10238</v>
      </c>
      <c r="Y3006" s="127"/>
      <c r="Z3006" s="127"/>
      <c r="AA3006" s="127"/>
      <c r="AB3006" s="128"/>
      <c r="AC3006" s="15" t="s">
        <v>20</v>
      </c>
      <c r="AD3006" s="129" t="s">
        <v>2054</v>
      </c>
      <c r="AE3006" s="130"/>
      <c r="AF3006" s="130"/>
      <c r="AG3006" s="130"/>
      <c r="AH3006" s="130"/>
      <c r="AI3006" s="131"/>
      <c r="AJ3006" s="132"/>
      <c r="AK3006" s="127"/>
      <c r="AL3006" s="128"/>
      <c r="AM3006" s="21"/>
      <c r="AN3006" s="133">
        <v>45979</v>
      </c>
      <c r="AO3006" s="134"/>
      <c r="AP3006" s="135">
        <v>1918</v>
      </c>
      <c r="AQ3006" s="136"/>
      <c r="AR3006" s="118">
        <v>421000</v>
      </c>
      <c r="AS3006" s="119"/>
      <c r="AT3006" s="118">
        <f t="shared" ref="AT3006" si="2011">AR3006*0.1</f>
        <v>42100</v>
      </c>
      <c r="AU3006" s="119"/>
      <c r="AV3006" s="118">
        <v>7500</v>
      </c>
      <c r="AW3006" s="119"/>
      <c r="AX3006" s="118">
        <f t="shared" ref="AX3006" si="2012">SUM(AR3006:AW3006)</f>
        <v>470600</v>
      </c>
      <c r="AY3006" s="119"/>
      <c r="AZ3006" s="137">
        <v>45986</v>
      </c>
    </row>
    <row r="3007" spans="1:52" ht="17.100000000000001" customHeight="1" thickBot="1">
      <c r="A3007" s="110"/>
      <c r="B3007" s="27" t="s">
        <v>2055</v>
      </c>
      <c r="C3007" s="27">
        <v>128</v>
      </c>
      <c r="D3007" s="14" t="s">
        <v>1592</v>
      </c>
      <c r="E3007" s="112"/>
      <c r="F3007" s="139" t="s">
        <v>9628</v>
      </c>
      <c r="G3007" s="140"/>
      <c r="H3007" s="141"/>
      <c r="I3007" s="26">
        <v>41270</v>
      </c>
      <c r="J3007" s="117"/>
      <c r="K3007" s="120"/>
      <c r="L3007" s="121"/>
      <c r="M3007" s="120"/>
      <c r="N3007" s="121"/>
      <c r="O3007" s="120"/>
      <c r="P3007" s="121"/>
      <c r="Q3007" s="120"/>
      <c r="R3007" s="121"/>
      <c r="S3007" s="120"/>
      <c r="T3007" s="121"/>
      <c r="U3007" s="120"/>
      <c r="V3007" s="123"/>
      <c r="W3007" s="125"/>
      <c r="X3007" s="142" t="s">
        <v>2057</v>
      </c>
      <c r="Y3007" s="143"/>
      <c r="Z3007" s="143"/>
      <c r="AA3007" s="143"/>
      <c r="AB3007" s="144"/>
      <c r="AC3007" s="16" t="s">
        <v>21</v>
      </c>
      <c r="AD3007" s="17" t="s">
        <v>3397</v>
      </c>
      <c r="AE3007" s="145" t="s">
        <v>1670</v>
      </c>
      <c r="AF3007" s="146"/>
      <c r="AG3007" s="146"/>
      <c r="AH3007" s="146"/>
      <c r="AI3007" s="147"/>
      <c r="AJ3007" s="148"/>
      <c r="AK3007" s="143"/>
      <c r="AL3007" s="144"/>
      <c r="AM3007" s="22"/>
      <c r="AN3007" s="149" t="s">
        <v>2131</v>
      </c>
      <c r="AO3007" s="144"/>
      <c r="AP3007" s="148">
        <v>3051</v>
      </c>
      <c r="AQ3007" s="144"/>
      <c r="AR3007" s="120"/>
      <c r="AS3007" s="121"/>
      <c r="AT3007" s="120"/>
      <c r="AU3007" s="121"/>
      <c r="AV3007" s="120"/>
      <c r="AW3007" s="121"/>
      <c r="AX3007" s="120"/>
      <c r="AY3007" s="121"/>
      <c r="AZ3007" s="138"/>
    </row>
    <row r="3008" spans="1:52" ht="17.100000000000001" customHeight="1" thickTop="1">
      <c r="A3008" s="109" t="s">
        <v>9603</v>
      </c>
      <c r="B3008" s="28">
        <v>45958</v>
      </c>
      <c r="C3008" s="25">
        <v>963</v>
      </c>
      <c r="D3008" s="13" t="s">
        <v>2187</v>
      </c>
      <c r="E3008" s="111"/>
      <c r="F3008" s="113" t="s">
        <v>9655</v>
      </c>
      <c r="G3008" s="114"/>
      <c r="H3008" s="115"/>
      <c r="I3008" s="24"/>
      <c r="J3008" s="116">
        <v>3.5</v>
      </c>
      <c r="K3008" s="118">
        <v>268000</v>
      </c>
      <c r="L3008" s="119"/>
      <c r="M3008" s="118">
        <f t="shared" ref="M3008" si="2013">K3008*0.1</f>
        <v>26800</v>
      </c>
      <c r="N3008" s="119"/>
      <c r="O3008" s="118">
        <v>0</v>
      </c>
      <c r="P3008" s="119"/>
      <c r="Q3008" s="118">
        <v>7500</v>
      </c>
      <c r="R3008" s="119"/>
      <c r="S3008" s="118">
        <v>22000</v>
      </c>
      <c r="T3008" s="119"/>
      <c r="U3008" s="118">
        <f t="shared" ref="U3008" si="2014">SUM(K3008:T3009)</f>
        <v>324300</v>
      </c>
      <c r="V3008" s="122"/>
      <c r="W3008" s="124"/>
      <c r="X3008" s="126" t="s">
        <v>10226</v>
      </c>
      <c r="Y3008" s="127"/>
      <c r="Z3008" s="127"/>
      <c r="AA3008" s="127"/>
      <c r="AB3008" s="128"/>
      <c r="AC3008" s="15" t="s">
        <v>20</v>
      </c>
      <c r="AD3008" s="129" t="s">
        <v>2054</v>
      </c>
      <c r="AE3008" s="130"/>
      <c r="AF3008" s="130"/>
      <c r="AG3008" s="130"/>
      <c r="AH3008" s="130"/>
      <c r="AI3008" s="131"/>
      <c r="AJ3008" s="132"/>
      <c r="AK3008" s="127"/>
      <c r="AL3008" s="128"/>
      <c r="AM3008" s="21"/>
      <c r="AN3008" s="133">
        <v>45965</v>
      </c>
      <c r="AO3008" s="134"/>
      <c r="AP3008" s="135">
        <v>1916</v>
      </c>
      <c r="AQ3008" s="136"/>
      <c r="AR3008" s="118">
        <v>367000</v>
      </c>
      <c r="AS3008" s="119"/>
      <c r="AT3008" s="118">
        <f t="shared" ref="AT3008" si="2015">AR3008*0.1</f>
        <v>36700</v>
      </c>
      <c r="AU3008" s="119"/>
      <c r="AV3008" s="118">
        <v>7500</v>
      </c>
      <c r="AW3008" s="119"/>
      <c r="AX3008" s="118">
        <f t="shared" ref="AX3008" si="2016">SUM(AR3008:AW3008)</f>
        <v>411200</v>
      </c>
      <c r="AY3008" s="119"/>
      <c r="AZ3008" s="137">
        <v>45971</v>
      </c>
    </row>
    <row r="3009" spans="1:52" ht="17.100000000000001" customHeight="1" thickBot="1">
      <c r="A3009" s="110"/>
      <c r="B3009" s="27" t="s">
        <v>2055</v>
      </c>
      <c r="C3009" s="27">
        <v>154</v>
      </c>
      <c r="D3009" s="14" t="s">
        <v>1592</v>
      </c>
      <c r="E3009" s="112"/>
      <c r="F3009" s="139" t="s">
        <v>9629</v>
      </c>
      <c r="G3009" s="140"/>
      <c r="H3009" s="141"/>
      <c r="I3009" s="26">
        <v>59274</v>
      </c>
      <c r="J3009" s="117"/>
      <c r="K3009" s="120"/>
      <c r="L3009" s="121"/>
      <c r="M3009" s="120"/>
      <c r="N3009" s="121"/>
      <c r="O3009" s="120"/>
      <c r="P3009" s="121"/>
      <c r="Q3009" s="120"/>
      <c r="R3009" s="121"/>
      <c r="S3009" s="120"/>
      <c r="T3009" s="121"/>
      <c r="U3009" s="120"/>
      <c r="V3009" s="123"/>
      <c r="W3009" s="125"/>
      <c r="X3009" s="142" t="s">
        <v>2057</v>
      </c>
      <c r="Y3009" s="143"/>
      <c r="Z3009" s="143"/>
      <c r="AA3009" s="143"/>
      <c r="AB3009" s="144"/>
      <c r="AC3009" s="16" t="s">
        <v>21</v>
      </c>
      <c r="AD3009" s="17" t="s">
        <v>3397</v>
      </c>
      <c r="AE3009" s="145" t="s">
        <v>1670</v>
      </c>
      <c r="AF3009" s="146"/>
      <c r="AG3009" s="146"/>
      <c r="AH3009" s="146"/>
      <c r="AI3009" s="147"/>
      <c r="AJ3009" s="148"/>
      <c r="AK3009" s="143"/>
      <c r="AL3009" s="144"/>
      <c r="AM3009" s="22"/>
      <c r="AN3009" s="149" t="s">
        <v>2131</v>
      </c>
      <c r="AO3009" s="144"/>
      <c r="AP3009" s="148">
        <v>3267</v>
      </c>
      <c r="AQ3009" s="144"/>
      <c r="AR3009" s="120"/>
      <c r="AS3009" s="121"/>
      <c r="AT3009" s="120"/>
      <c r="AU3009" s="121"/>
      <c r="AV3009" s="120"/>
      <c r="AW3009" s="121"/>
      <c r="AX3009" s="120"/>
      <c r="AY3009" s="121"/>
      <c r="AZ3009" s="138"/>
    </row>
    <row r="3010" spans="1:52" ht="17.100000000000001" customHeight="1" thickTop="1">
      <c r="A3010" s="109" t="s">
        <v>9604</v>
      </c>
      <c r="B3010" s="28">
        <v>45958</v>
      </c>
      <c r="C3010" s="25">
        <v>963</v>
      </c>
      <c r="D3010" s="13" t="s">
        <v>1667</v>
      </c>
      <c r="E3010" s="111"/>
      <c r="F3010" s="113" t="s">
        <v>9656</v>
      </c>
      <c r="G3010" s="114"/>
      <c r="H3010" s="115"/>
      <c r="I3010" s="24"/>
      <c r="J3010" s="116">
        <v>4</v>
      </c>
      <c r="K3010" s="118">
        <v>319000</v>
      </c>
      <c r="L3010" s="119"/>
      <c r="M3010" s="118">
        <f t="shared" ref="M3010" si="2017">K3010*0.1</f>
        <v>31900</v>
      </c>
      <c r="N3010" s="119"/>
      <c r="O3010" s="118">
        <v>0</v>
      </c>
      <c r="P3010" s="119"/>
      <c r="Q3010" s="118">
        <v>9290</v>
      </c>
      <c r="R3010" s="119"/>
      <c r="S3010" s="118">
        <v>22000</v>
      </c>
      <c r="T3010" s="119"/>
      <c r="U3010" s="118">
        <f t="shared" ref="U3010" si="2018">SUM(K3010:T3011)</f>
        <v>382190</v>
      </c>
      <c r="V3010" s="122"/>
      <c r="W3010" s="124"/>
      <c r="X3010" s="126" t="s">
        <v>10217</v>
      </c>
      <c r="Y3010" s="127"/>
      <c r="Z3010" s="127"/>
      <c r="AA3010" s="127"/>
      <c r="AB3010" s="128"/>
      <c r="AC3010" s="15" t="s">
        <v>20</v>
      </c>
      <c r="AD3010" s="129" t="s">
        <v>2054</v>
      </c>
      <c r="AE3010" s="130"/>
      <c r="AF3010" s="130"/>
      <c r="AG3010" s="130"/>
      <c r="AH3010" s="130"/>
      <c r="AI3010" s="131"/>
      <c r="AJ3010" s="132"/>
      <c r="AK3010" s="127"/>
      <c r="AL3010" s="128"/>
      <c r="AM3010" s="21"/>
      <c r="AN3010" s="133">
        <v>45962</v>
      </c>
      <c r="AO3010" s="134"/>
      <c r="AP3010" s="135">
        <v>1274</v>
      </c>
      <c r="AQ3010" s="136"/>
      <c r="AR3010" s="118">
        <v>425000</v>
      </c>
      <c r="AS3010" s="119"/>
      <c r="AT3010" s="118">
        <f t="shared" ref="AT3010" si="2019">AR3010*0.1</f>
        <v>42500</v>
      </c>
      <c r="AU3010" s="119"/>
      <c r="AV3010" s="118">
        <v>9290</v>
      </c>
      <c r="AW3010" s="119"/>
      <c r="AX3010" s="118">
        <f t="shared" ref="AX3010" si="2020">SUM(AR3010:AW3010)</f>
        <v>476790</v>
      </c>
      <c r="AY3010" s="119"/>
      <c r="AZ3010" s="137">
        <v>45971</v>
      </c>
    </row>
    <row r="3011" spans="1:52" ht="17.100000000000001" customHeight="1" thickBot="1">
      <c r="A3011" s="110"/>
      <c r="B3011" s="27" t="s">
        <v>2055</v>
      </c>
      <c r="C3011" s="27">
        <v>162</v>
      </c>
      <c r="D3011" s="14" t="s">
        <v>2206</v>
      </c>
      <c r="E3011" s="112"/>
      <c r="F3011" s="139" t="s">
        <v>9630</v>
      </c>
      <c r="G3011" s="140"/>
      <c r="H3011" s="141"/>
      <c r="I3011" s="26">
        <v>56756</v>
      </c>
      <c r="J3011" s="117"/>
      <c r="K3011" s="120"/>
      <c r="L3011" s="121"/>
      <c r="M3011" s="120"/>
      <c r="N3011" s="121"/>
      <c r="O3011" s="120"/>
      <c r="P3011" s="121"/>
      <c r="Q3011" s="120"/>
      <c r="R3011" s="121"/>
      <c r="S3011" s="120"/>
      <c r="T3011" s="121"/>
      <c r="U3011" s="120"/>
      <c r="V3011" s="123"/>
      <c r="W3011" s="125"/>
      <c r="X3011" s="142" t="s">
        <v>2057</v>
      </c>
      <c r="Y3011" s="143"/>
      <c r="Z3011" s="143"/>
      <c r="AA3011" s="143"/>
      <c r="AB3011" s="144"/>
      <c r="AC3011" s="16" t="s">
        <v>21</v>
      </c>
      <c r="AD3011" s="17" t="s">
        <v>3397</v>
      </c>
      <c r="AE3011" s="145" t="s">
        <v>1670</v>
      </c>
      <c r="AF3011" s="146"/>
      <c r="AG3011" s="146"/>
      <c r="AH3011" s="146"/>
      <c r="AI3011" s="147"/>
      <c r="AJ3011" s="148"/>
      <c r="AK3011" s="143"/>
      <c r="AL3011" s="144"/>
      <c r="AM3011" s="22"/>
      <c r="AN3011" s="149" t="s">
        <v>2511</v>
      </c>
      <c r="AO3011" s="144"/>
      <c r="AP3011" s="148">
        <v>62062</v>
      </c>
      <c r="AQ3011" s="144"/>
      <c r="AR3011" s="120"/>
      <c r="AS3011" s="121"/>
      <c r="AT3011" s="120"/>
      <c r="AU3011" s="121"/>
      <c r="AV3011" s="120"/>
      <c r="AW3011" s="121"/>
      <c r="AX3011" s="120"/>
      <c r="AY3011" s="121"/>
      <c r="AZ3011" s="138"/>
    </row>
    <row r="3012" spans="1:52" ht="17.100000000000001" customHeight="1" thickTop="1">
      <c r="A3012" s="109" t="s">
        <v>9605</v>
      </c>
      <c r="B3012" s="28">
        <v>45958</v>
      </c>
      <c r="C3012" s="25">
        <v>963</v>
      </c>
      <c r="D3012" s="13" t="s">
        <v>2187</v>
      </c>
      <c r="E3012" s="111"/>
      <c r="F3012" s="113" t="s">
        <v>9655</v>
      </c>
      <c r="G3012" s="114"/>
      <c r="H3012" s="115"/>
      <c r="I3012" s="24"/>
      <c r="J3012" s="116">
        <v>3.5</v>
      </c>
      <c r="K3012" s="118">
        <v>398000</v>
      </c>
      <c r="L3012" s="119"/>
      <c r="M3012" s="118">
        <f t="shared" ref="M3012" si="2021">K3012*0.1</f>
        <v>39800</v>
      </c>
      <c r="N3012" s="119"/>
      <c r="O3012" s="118">
        <v>0</v>
      </c>
      <c r="P3012" s="119"/>
      <c r="Q3012" s="118">
        <v>7500</v>
      </c>
      <c r="R3012" s="119"/>
      <c r="S3012" s="118">
        <v>22000</v>
      </c>
      <c r="T3012" s="119"/>
      <c r="U3012" s="118">
        <f t="shared" ref="U3012" si="2022">SUM(K3012:T3013)</f>
        <v>467300</v>
      </c>
      <c r="V3012" s="122"/>
      <c r="W3012" s="124"/>
      <c r="X3012" s="126" t="s">
        <v>10225</v>
      </c>
      <c r="Y3012" s="127"/>
      <c r="Z3012" s="127"/>
      <c r="AA3012" s="127"/>
      <c r="AB3012" s="128"/>
      <c r="AC3012" s="15" t="s">
        <v>20</v>
      </c>
      <c r="AD3012" s="129" t="s">
        <v>2054</v>
      </c>
      <c r="AE3012" s="130"/>
      <c r="AF3012" s="130"/>
      <c r="AG3012" s="130"/>
      <c r="AH3012" s="130"/>
      <c r="AI3012" s="131"/>
      <c r="AJ3012" s="132"/>
      <c r="AK3012" s="127"/>
      <c r="AL3012" s="128"/>
      <c r="AM3012" s="21"/>
      <c r="AN3012" s="133">
        <v>45965</v>
      </c>
      <c r="AO3012" s="134"/>
      <c r="AP3012" s="135">
        <v>1916</v>
      </c>
      <c r="AQ3012" s="136"/>
      <c r="AR3012" s="118">
        <v>439000</v>
      </c>
      <c r="AS3012" s="119"/>
      <c r="AT3012" s="118">
        <f t="shared" ref="AT3012" si="2023">AR3012*0.1</f>
        <v>43900</v>
      </c>
      <c r="AU3012" s="119"/>
      <c r="AV3012" s="118">
        <v>7500</v>
      </c>
      <c r="AW3012" s="119"/>
      <c r="AX3012" s="118">
        <f t="shared" ref="AX3012" si="2024">SUM(AR3012:AW3012)</f>
        <v>490400</v>
      </c>
      <c r="AY3012" s="119"/>
      <c r="AZ3012" s="137">
        <v>45971</v>
      </c>
    </row>
    <row r="3013" spans="1:52" ht="17.100000000000001" customHeight="1" thickBot="1">
      <c r="A3013" s="110"/>
      <c r="B3013" s="27" t="s">
        <v>2055</v>
      </c>
      <c r="C3013" s="27">
        <v>163</v>
      </c>
      <c r="D3013" s="14" t="s">
        <v>1592</v>
      </c>
      <c r="E3013" s="112"/>
      <c r="F3013" s="139" t="s">
        <v>9631</v>
      </c>
      <c r="G3013" s="140"/>
      <c r="H3013" s="141"/>
      <c r="I3013" s="26">
        <v>22567</v>
      </c>
      <c r="J3013" s="117"/>
      <c r="K3013" s="120"/>
      <c r="L3013" s="121"/>
      <c r="M3013" s="120"/>
      <c r="N3013" s="121"/>
      <c r="O3013" s="120"/>
      <c r="P3013" s="121"/>
      <c r="Q3013" s="120"/>
      <c r="R3013" s="121"/>
      <c r="S3013" s="120"/>
      <c r="T3013" s="121"/>
      <c r="U3013" s="120"/>
      <c r="V3013" s="123"/>
      <c r="W3013" s="125"/>
      <c r="X3013" s="142" t="s">
        <v>2057</v>
      </c>
      <c r="Y3013" s="143"/>
      <c r="Z3013" s="143"/>
      <c r="AA3013" s="143"/>
      <c r="AB3013" s="144"/>
      <c r="AC3013" s="16" t="s">
        <v>21</v>
      </c>
      <c r="AD3013" s="17" t="s">
        <v>3397</v>
      </c>
      <c r="AE3013" s="145" t="s">
        <v>1670</v>
      </c>
      <c r="AF3013" s="146"/>
      <c r="AG3013" s="146"/>
      <c r="AH3013" s="146"/>
      <c r="AI3013" s="147"/>
      <c r="AJ3013" s="148"/>
      <c r="AK3013" s="143"/>
      <c r="AL3013" s="144"/>
      <c r="AM3013" s="22"/>
      <c r="AN3013" s="149" t="s">
        <v>2131</v>
      </c>
      <c r="AO3013" s="144"/>
      <c r="AP3013" s="148">
        <v>3167</v>
      </c>
      <c r="AQ3013" s="144"/>
      <c r="AR3013" s="120"/>
      <c r="AS3013" s="121"/>
      <c r="AT3013" s="120"/>
      <c r="AU3013" s="121"/>
      <c r="AV3013" s="120"/>
      <c r="AW3013" s="121"/>
      <c r="AX3013" s="120"/>
      <c r="AY3013" s="121"/>
      <c r="AZ3013" s="138"/>
    </row>
    <row r="3014" spans="1:52" ht="17.100000000000001" customHeight="1" thickTop="1">
      <c r="A3014" s="109" t="s">
        <v>9606</v>
      </c>
      <c r="B3014" s="28">
        <v>45958</v>
      </c>
      <c r="C3014" s="25">
        <v>963</v>
      </c>
      <c r="D3014" s="13" t="s">
        <v>2187</v>
      </c>
      <c r="E3014" s="111"/>
      <c r="F3014" s="113" t="s">
        <v>9655</v>
      </c>
      <c r="G3014" s="114"/>
      <c r="H3014" s="115"/>
      <c r="I3014" s="24"/>
      <c r="J3014" s="116">
        <v>3.5</v>
      </c>
      <c r="K3014" s="118">
        <v>358000</v>
      </c>
      <c r="L3014" s="119"/>
      <c r="M3014" s="118">
        <f t="shared" ref="M3014" si="2025">K3014*0.1</f>
        <v>35800</v>
      </c>
      <c r="N3014" s="119"/>
      <c r="O3014" s="118">
        <v>0</v>
      </c>
      <c r="P3014" s="119"/>
      <c r="Q3014" s="118">
        <v>7500</v>
      </c>
      <c r="R3014" s="119"/>
      <c r="S3014" s="118">
        <v>22000</v>
      </c>
      <c r="T3014" s="119"/>
      <c r="U3014" s="118">
        <f t="shared" ref="U3014" si="2026">SUM(K3014:T3015)</f>
        <v>423300</v>
      </c>
      <c r="V3014" s="122"/>
      <c r="W3014" s="124"/>
      <c r="X3014" s="126" t="s">
        <v>10239</v>
      </c>
      <c r="Y3014" s="127"/>
      <c r="Z3014" s="127"/>
      <c r="AA3014" s="127"/>
      <c r="AB3014" s="128"/>
      <c r="AC3014" s="15" t="s">
        <v>20</v>
      </c>
      <c r="AD3014" s="129" t="s">
        <v>2054</v>
      </c>
      <c r="AE3014" s="130"/>
      <c r="AF3014" s="130"/>
      <c r="AG3014" s="130"/>
      <c r="AH3014" s="130"/>
      <c r="AI3014" s="131"/>
      <c r="AJ3014" s="132"/>
      <c r="AK3014" s="127"/>
      <c r="AL3014" s="128"/>
      <c r="AM3014" s="21"/>
      <c r="AN3014" s="133">
        <v>45972</v>
      </c>
      <c r="AO3014" s="134"/>
      <c r="AP3014" s="135">
        <v>1917</v>
      </c>
      <c r="AQ3014" s="136"/>
      <c r="AR3014" s="118">
        <v>406000</v>
      </c>
      <c r="AS3014" s="119"/>
      <c r="AT3014" s="118">
        <f t="shared" ref="AT3014" si="2027">AR3014*0.1</f>
        <v>40600</v>
      </c>
      <c r="AU3014" s="119"/>
      <c r="AV3014" s="118">
        <v>7500</v>
      </c>
      <c r="AW3014" s="119"/>
      <c r="AX3014" s="118">
        <f t="shared" ref="AX3014" si="2028">SUM(AR3014:AW3014)</f>
        <v>454100</v>
      </c>
      <c r="AY3014" s="119"/>
      <c r="AZ3014" s="137"/>
    </row>
    <row r="3015" spans="1:52" ht="17.100000000000001" customHeight="1" thickBot="1">
      <c r="A3015" s="110"/>
      <c r="B3015" s="27" t="s">
        <v>2055</v>
      </c>
      <c r="C3015" s="27">
        <v>171</v>
      </c>
      <c r="D3015" s="14" t="s">
        <v>1592</v>
      </c>
      <c r="E3015" s="112"/>
      <c r="F3015" s="139" t="s">
        <v>9632</v>
      </c>
      <c r="G3015" s="140"/>
      <c r="H3015" s="141"/>
      <c r="I3015" s="26">
        <v>39007</v>
      </c>
      <c r="J3015" s="117"/>
      <c r="K3015" s="120"/>
      <c r="L3015" s="121"/>
      <c r="M3015" s="120"/>
      <c r="N3015" s="121"/>
      <c r="O3015" s="120"/>
      <c r="P3015" s="121"/>
      <c r="Q3015" s="120"/>
      <c r="R3015" s="121"/>
      <c r="S3015" s="120"/>
      <c r="T3015" s="121"/>
      <c r="U3015" s="120"/>
      <c r="V3015" s="123"/>
      <c r="W3015" s="125"/>
      <c r="X3015" s="142" t="s">
        <v>2057</v>
      </c>
      <c r="Y3015" s="143"/>
      <c r="Z3015" s="143"/>
      <c r="AA3015" s="143"/>
      <c r="AB3015" s="144"/>
      <c r="AC3015" s="16" t="s">
        <v>21</v>
      </c>
      <c r="AD3015" s="17" t="s">
        <v>3397</v>
      </c>
      <c r="AE3015" s="145" t="s">
        <v>1670</v>
      </c>
      <c r="AF3015" s="146"/>
      <c r="AG3015" s="146"/>
      <c r="AH3015" s="146"/>
      <c r="AI3015" s="147"/>
      <c r="AJ3015" s="148"/>
      <c r="AK3015" s="143"/>
      <c r="AL3015" s="144"/>
      <c r="AM3015" s="22"/>
      <c r="AN3015" s="149" t="s">
        <v>2131</v>
      </c>
      <c r="AO3015" s="144"/>
      <c r="AP3015" s="148">
        <v>3135</v>
      </c>
      <c r="AQ3015" s="144"/>
      <c r="AR3015" s="120"/>
      <c r="AS3015" s="121"/>
      <c r="AT3015" s="120"/>
      <c r="AU3015" s="121"/>
      <c r="AV3015" s="120"/>
      <c r="AW3015" s="121"/>
      <c r="AX3015" s="120"/>
      <c r="AY3015" s="121"/>
      <c r="AZ3015" s="138"/>
    </row>
    <row r="3016" spans="1:52" ht="17.100000000000001" customHeight="1" thickTop="1">
      <c r="A3016" s="109" t="s">
        <v>9607</v>
      </c>
      <c r="B3016" s="28">
        <v>45958</v>
      </c>
      <c r="C3016" s="25">
        <v>963</v>
      </c>
      <c r="D3016" s="13" t="s">
        <v>2187</v>
      </c>
      <c r="E3016" s="111"/>
      <c r="F3016" s="113" t="s">
        <v>9657</v>
      </c>
      <c r="G3016" s="114"/>
      <c r="H3016" s="115"/>
      <c r="I3016" s="24"/>
      <c r="J3016" s="116">
        <v>3.5</v>
      </c>
      <c r="K3016" s="118">
        <v>258000</v>
      </c>
      <c r="L3016" s="119"/>
      <c r="M3016" s="118">
        <f t="shared" ref="M3016" si="2029">K3016*0.1</f>
        <v>25800</v>
      </c>
      <c r="N3016" s="119"/>
      <c r="O3016" s="118">
        <v>0</v>
      </c>
      <c r="P3016" s="119"/>
      <c r="Q3016" s="118">
        <v>7140</v>
      </c>
      <c r="R3016" s="119"/>
      <c r="S3016" s="118">
        <v>22000</v>
      </c>
      <c r="T3016" s="119"/>
      <c r="U3016" s="118">
        <f t="shared" ref="U3016" si="2030">SUM(K3016:T3017)</f>
        <v>312940</v>
      </c>
      <c r="V3016" s="122"/>
      <c r="W3016" s="124"/>
      <c r="X3016" s="126" t="s">
        <v>10240</v>
      </c>
      <c r="Y3016" s="127"/>
      <c r="Z3016" s="127"/>
      <c r="AA3016" s="127"/>
      <c r="AB3016" s="128"/>
      <c r="AC3016" s="15" t="s">
        <v>20</v>
      </c>
      <c r="AD3016" s="129" t="s">
        <v>2054</v>
      </c>
      <c r="AE3016" s="130"/>
      <c r="AF3016" s="130"/>
      <c r="AG3016" s="130"/>
      <c r="AH3016" s="130"/>
      <c r="AI3016" s="131"/>
      <c r="AJ3016" s="132"/>
      <c r="AK3016" s="127"/>
      <c r="AL3016" s="128"/>
      <c r="AM3016" s="21"/>
      <c r="AN3016" s="133">
        <v>45969</v>
      </c>
      <c r="AO3016" s="134"/>
      <c r="AP3016" s="135">
        <v>1275</v>
      </c>
      <c r="AQ3016" s="136"/>
      <c r="AR3016" s="118">
        <v>303000</v>
      </c>
      <c r="AS3016" s="119"/>
      <c r="AT3016" s="118">
        <f t="shared" ref="AT3016" si="2031">AR3016*0.1</f>
        <v>30300</v>
      </c>
      <c r="AU3016" s="119"/>
      <c r="AV3016" s="118">
        <v>7140</v>
      </c>
      <c r="AW3016" s="119"/>
      <c r="AX3016" s="118">
        <f t="shared" ref="AX3016" si="2032">SUM(AR3016:AW3016)</f>
        <v>340440</v>
      </c>
      <c r="AY3016" s="119"/>
      <c r="AZ3016" s="137">
        <v>45972</v>
      </c>
    </row>
    <row r="3017" spans="1:52" ht="17.100000000000001" customHeight="1" thickBot="1">
      <c r="A3017" s="110"/>
      <c r="B3017" s="27" t="s">
        <v>2055</v>
      </c>
      <c r="C3017" s="27">
        <v>193</v>
      </c>
      <c r="D3017" s="14" t="s">
        <v>1592</v>
      </c>
      <c r="E3017" s="112"/>
      <c r="F3017" s="139" t="s">
        <v>9633</v>
      </c>
      <c r="G3017" s="140"/>
      <c r="H3017" s="141"/>
      <c r="I3017" s="26">
        <v>56625</v>
      </c>
      <c r="J3017" s="117"/>
      <c r="K3017" s="120"/>
      <c r="L3017" s="121"/>
      <c r="M3017" s="120"/>
      <c r="N3017" s="121"/>
      <c r="O3017" s="120"/>
      <c r="P3017" s="121"/>
      <c r="Q3017" s="120"/>
      <c r="R3017" s="121"/>
      <c r="S3017" s="120"/>
      <c r="T3017" s="121"/>
      <c r="U3017" s="120"/>
      <c r="V3017" s="123"/>
      <c r="W3017" s="125"/>
      <c r="X3017" s="142" t="s">
        <v>2057</v>
      </c>
      <c r="Y3017" s="143"/>
      <c r="Z3017" s="143"/>
      <c r="AA3017" s="143"/>
      <c r="AB3017" s="144"/>
      <c r="AC3017" s="16" t="s">
        <v>21</v>
      </c>
      <c r="AD3017" s="17" t="s">
        <v>3397</v>
      </c>
      <c r="AE3017" s="145" t="s">
        <v>1670</v>
      </c>
      <c r="AF3017" s="146"/>
      <c r="AG3017" s="146"/>
      <c r="AH3017" s="146"/>
      <c r="AI3017" s="147"/>
      <c r="AJ3017" s="148"/>
      <c r="AK3017" s="143"/>
      <c r="AL3017" s="144"/>
      <c r="AM3017" s="22"/>
      <c r="AN3017" s="149" t="s">
        <v>2511</v>
      </c>
      <c r="AO3017" s="144"/>
      <c r="AP3017" s="148">
        <v>63200</v>
      </c>
      <c r="AQ3017" s="144"/>
      <c r="AR3017" s="120"/>
      <c r="AS3017" s="121"/>
      <c r="AT3017" s="120"/>
      <c r="AU3017" s="121"/>
      <c r="AV3017" s="120"/>
      <c r="AW3017" s="121"/>
      <c r="AX3017" s="120"/>
      <c r="AY3017" s="121"/>
      <c r="AZ3017" s="138"/>
    </row>
    <row r="3018" spans="1:52" ht="17.100000000000001" customHeight="1" thickTop="1">
      <c r="A3018" s="109" t="s">
        <v>9608</v>
      </c>
      <c r="B3018" s="28">
        <v>45958</v>
      </c>
      <c r="C3018" s="25">
        <v>963</v>
      </c>
      <c r="D3018" s="13" t="s">
        <v>2187</v>
      </c>
      <c r="E3018" s="111"/>
      <c r="F3018" s="113" t="s">
        <v>9655</v>
      </c>
      <c r="G3018" s="114"/>
      <c r="H3018" s="115"/>
      <c r="I3018" s="24"/>
      <c r="J3018" s="116">
        <v>3.5</v>
      </c>
      <c r="K3018" s="118">
        <v>358000</v>
      </c>
      <c r="L3018" s="119"/>
      <c r="M3018" s="118">
        <f t="shared" ref="M3018" si="2033">K3018*0.1</f>
        <v>35800</v>
      </c>
      <c r="N3018" s="119"/>
      <c r="O3018" s="118">
        <v>0</v>
      </c>
      <c r="P3018" s="119"/>
      <c r="Q3018" s="118">
        <v>7500</v>
      </c>
      <c r="R3018" s="119"/>
      <c r="S3018" s="118">
        <v>22000</v>
      </c>
      <c r="T3018" s="119"/>
      <c r="U3018" s="118">
        <f t="shared" ref="U3018" si="2034">SUM(K3018:T3019)</f>
        <v>423300</v>
      </c>
      <c r="V3018" s="122"/>
      <c r="W3018" s="124"/>
      <c r="X3018" s="126" t="s">
        <v>10241</v>
      </c>
      <c r="Y3018" s="127"/>
      <c r="Z3018" s="127"/>
      <c r="AA3018" s="127"/>
      <c r="AB3018" s="128"/>
      <c r="AC3018" s="15" t="s">
        <v>20</v>
      </c>
      <c r="AD3018" s="129" t="s">
        <v>2054</v>
      </c>
      <c r="AE3018" s="130"/>
      <c r="AF3018" s="130"/>
      <c r="AG3018" s="130"/>
      <c r="AH3018" s="130"/>
      <c r="AI3018" s="131"/>
      <c r="AJ3018" s="132"/>
      <c r="AK3018" s="127"/>
      <c r="AL3018" s="128"/>
      <c r="AM3018" s="21"/>
      <c r="AN3018" s="133">
        <v>45972</v>
      </c>
      <c r="AO3018" s="134"/>
      <c r="AP3018" s="135">
        <v>1917</v>
      </c>
      <c r="AQ3018" s="136"/>
      <c r="AR3018" s="118">
        <v>397000</v>
      </c>
      <c r="AS3018" s="119"/>
      <c r="AT3018" s="118">
        <f t="shared" ref="AT3018" si="2035">AR3018*0.1</f>
        <v>39700</v>
      </c>
      <c r="AU3018" s="119"/>
      <c r="AV3018" s="118">
        <v>7500</v>
      </c>
      <c r="AW3018" s="119"/>
      <c r="AX3018" s="118">
        <f t="shared" ref="AX3018" si="2036">SUM(AR3018:AW3018)</f>
        <v>444200</v>
      </c>
      <c r="AY3018" s="119"/>
      <c r="AZ3018" s="137"/>
    </row>
    <row r="3019" spans="1:52" ht="17.100000000000001" customHeight="1" thickBot="1">
      <c r="A3019" s="110"/>
      <c r="B3019" s="27" t="s">
        <v>2055</v>
      </c>
      <c r="C3019" s="27">
        <v>200</v>
      </c>
      <c r="D3019" s="14" t="s">
        <v>1592</v>
      </c>
      <c r="E3019" s="112"/>
      <c r="F3019" s="139" t="s">
        <v>9634</v>
      </c>
      <c r="G3019" s="140"/>
      <c r="H3019" s="141"/>
      <c r="I3019" s="26">
        <v>30712</v>
      </c>
      <c r="J3019" s="117"/>
      <c r="K3019" s="120"/>
      <c r="L3019" s="121"/>
      <c r="M3019" s="120"/>
      <c r="N3019" s="121"/>
      <c r="O3019" s="120"/>
      <c r="P3019" s="121"/>
      <c r="Q3019" s="120"/>
      <c r="R3019" s="121"/>
      <c r="S3019" s="120"/>
      <c r="T3019" s="121"/>
      <c r="U3019" s="120"/>
      <c r="V3019" s="123"/>
      <c r="W3019" s="125"/>
      <c r="X3019" s="142" t="s">
        <v>2057</v>
      </c>
      <c r="Y3019" s="143"/>
      <c r="Z3019" s="143"/>
      <c r="AA3019" s="143"/>
      <c r="AB3019" s="144"/>
      <c r="AC3019" s="16" t="s">
        <v>21</v>
      </c>
      <c r="AD3019" s="17" t="s">
        <v>3397</v>
      </c>
      <c r="AE3019" s="145" t="s">
        <v>1670</v>
      </c>
      <c r="AF3019" s="146"/>
      <c r="AG3019" s="146"/>
      <c r="AH3019" s="146"/>
      <c r="AI3019" s="147"/>
      <c r="AJ3019" s="148"/>
      <c r="AK3019" s="143"/>
      <c r="AL3019" s="144"/>
      <c r="AM3019" s="22"/>
      <c r="AN3019" s="149" t="s">
        <v>2131</v>
      </c>
      <c r="AO3019" s="144"/>
      <c r="AP3019" s="148">
        <v>3149</v>
      </c>
      <c r="AQ3019" s="144"/>
      <c r="AR3019" s="120"/>
      <c r="AS3019" s="121"/>
      <c r="AT3019" s="120"/>
      <c r="AU3019" s="121"/>
      <c r="AV3019" s="120"/>
      <c r="AW3019" s="121"/>
      <c r="AX3019" s="120"/>
      <c r="AY3019" s="121"/>
      <c r="AZ3019" s="138"/>
    </row>
    <row r="3020" spans="1:52" ht="17.100000000000001" customHeight="1" thickTop="1">
      <c r="A3020" s="109" t="s">
        <v>9609</v>
      </c>
      <c r="B3020" s="28">
        <v>45958</v>
      </c>
      <c r="C3020" s="25">
        <v>963</v>
      </c>
      <c r="D3020" s="13" t="s">
        <v>1027</v>
      </c>
      <c r="E3020" s="111"/>
      <c r="F3020" s="113" t="s">
        <v>9658</v>
      </c>
      <c r="G3020" s="114"/>
      <c r="H3020" s="115"/>
      <c r="I3020" s="24"/>
      <c r="J3020" s="116">
        <v>4</v>
      </c>
      <c r="K3020" s="118">
        <v>258000</v>
      </c>
      <c r="L3020" s="119"/>
      <c r="M3020" s="118">
        <f t="shared" ref="M3020" si="2037">K3020*0.1</f>
        <v>25800</v>
      </c>
      <c r="N3020" s="119"/>
      <c r="O3020" s="118">
        <v>0</v>
      </c>
      <c r="P3020" s="119"/>
      <c r="Q3020" s="118">
        <v>8460</v>
      </c>
      <c r="R3020" s="119"/>
      <c r="S3020" s="118">
        <v>22000</v>
      </c>
      <c r="T3020" s="119"/>
      <c r="U3020" s="118">
        <f t="shared" ref="U3020" si="2038">SUM(K3020:T3021)</f>
        <v>314260</v>
      </c>
      <c r="V3020" s="122"/>
      <c r="W3020" s="124"/>
      <c r="X3020" s="126" t="s">
        <v>10223</v>
      </c>
      <c r="Y3020" s="127"/>
      <c r="Z3020" s="127"/>
      <c r="AA3020" s="127"/>
      <c r="AB3020" s="128"/>
      <c r="AC3020" s="15" t="s">
        <v>20</v>
      </c>
      <c r="AD3020" s="129" t="s">
        <v>2054</v>
      </c>
      <c r="AE3020" s="130"/>
      <c r="AF3020" s="130"/>
      <c r="AG3020" s="130"/>
      <c r="AH3020" s="130"/>
      <c r="AI3020" s="131"/>
      <c r="AJ3020" s="132"/>
      <c r="AK3020" s="127"/>
      <c r="AL3020" s="128"/>
      <c r="AM3020" s="21"/>
      <c r="AN3020" s="133">
        <v>45965</v>
      </c>
      <c r="AO3020" s="134"/>
      <c r="AP3020" s="135">
        <v>1916</v>
      </c>
      <c r="AQ3020" s="136"/>
      <c r="AR3020" s="118">
        <v>331000</v>
      </c>
      <c r="AS3020" s="119"/>
      <c r="AT3020" s="118">
        <f t="shared" ref="AT3020" si="2039">AR3020*0.1</f>
        <v>33100</v>
      </c>
      <c r="AU3020" s="119"/>
      <c r="AV3020" s="118">
        <v>8460</v>
      </c>
      <c r="AW3020" s="119"/>
      <c r="AX3020" s="118">
        <f t="shared" ref="AX3020" si="2040">SUM(AR3020:AW3020)</f>
        <v>372560</v>
      </c>
      <c r="AY3020" s="119"/>
      <c r="AZ3020" s="137">
        <v>45971</v>
      </c>
    </row>
    <row r="3021" spans="1:52" ht="17.100000000000001" customHeight="1" thickBot="1">
      <c r="A3021" s="110"/>
      <c r="B3021" s="27" t="s">
        <v>2055</v>
      </c>
      <c r="C3021" s="27">
        <v>1042</v>
      </c>
      <c r="D3021" s="14" t="s">
        <v>275</v>
      </c>
      <c r="E3021" s="112"/>
      <c r="F3021" s="139" t="s">
        <v>9635</v>
      </c>
      <c r="G3021" s="140"/>
      <c r="H3021" s="141"/>
      <c r="I3021" s="26">
        <v>59714</v>
      </c>
      <c r="J3021" s="117"/>
      <c r="K3021" s="120"/>
      <c r="L3021" s="121"/>
      <c r="M3021" s="120"/>
      <c r="N3021" s="121"/>
      <c r="O3021" s="120"/>
      <c r="P3021" s="121"/>
      <c r="Q3021" s="120"/>
      <c r="R3021" s="121"/>
      <c r="S3021" s="120"/>
      <c r="T3021" s="121"/>
      <c r="U3021" s="120"/>
      <c r="V3021" s="123"/>
      <c r="W3021" s="125"/>
      <c r="X3021" s="142" t="s">
        <v>10224</v>
      </c>
      <c r="Y3021" s="143"/>
      <c r="Z3021" s="143"/>
      <c r="AA3021" s="143"/>
      <c r="AB3021" s="144"/>
      <c r="AC3021" s="16" t="s">
        <v>21</v>
      </c>
      <c r="AD3021" s="17" t="s">
        <v>3397</v>
      </c>
      <c r="AE3021" s="145" t="s">
        <v>1797</v>
      </c>
      <c r="AF3021" s="146"/>
      <c r="AG3021" s="146"/>
      <c r="AH3021" s="146"/>
      <c r="AI3021" s="147"/>
      <c r="AJ3021" s="148"/>
      <c r="AK3021" s="143"/>
      <c r="AL3021" s="144"/>
      <c r="AM3021" s="22"/>
      <c r="AN3021" s="149" t="s">
        <v>2131</v>
      </c>
      <c r="AO3021" s="144"/>
      <c r="AP3021" s="148">
        <v>3249</v>
      </c>
      <c r="AQ3021" s="144"/>
      <c r="AR3021" s="120"/>
      <c r="AS3021" s="121"/>
      <c r="AT3021" s="120"/>
      <c r="AU3021" s="121"/>
      <c r="AV3021" s="120"/>
      <c r="AW3021" s="121"/>
      <c r="AX3021" s="120"/>
      <c r="AY3021" s="121"/>
      <c r="AZ3021" s="138"/>
    </row>
    <row r="3022" spans="1:52" ht="17.100000000000001" customHeight="1" thickTop="1">
      <c r="A3022" s="109" t="s">
        <v>9610</v>
      </c>
      <c r="B3022" s="28">
        <v>45958</v>
      </c>
      <c r="C3022" s="25">
        <v>963</v>
      </c>
      <c r="D3022" s="13" t="s">
        <v>2949</v>
      </c>
      <c r="E3022" s="111"/>
      <c r="F3022" s="113" t="s">
        <v>3323</v>
      </c>
      <c r="G3022" s="114"/>
      <c r="H3022" s="115"/>
      <c r="I3022" s="24"/>
      <c r="J3022" s="116">
        <v>4</v>
      </c>
      <c r="K3022" s="118">
        <v>1048000</v>
      </c>
      <c r="L3022" s="119"/>
      <c r="M3022" s="118">
        <f t="shared" ref="M3022" si="2041">K3022*0.1</f>
        <v>104800</v>
      </c>
      <c r="N3022" s="119"/>
      <c r="O3022" s="118">
        <v>0</v>
      </c>
      <c r="P3022" s="119"/>
      <c r="Q3022" s="118">
        <v>8110</v>
      </c>
      <c r="R3022" s="119"/>
      <c r="S3022" s="118">
        <v>22000</v>
      </c>
      <c r="T3022" s="119"/>
      <c r="U3022" s="118">
        <f t="shared" ref="U3022" si="2042">SUM(K3022:T3023)</f>
        <v>1182910</v>
      </c>
      <c r="V3022" s="122"/>
      <c r="W3022" s="124"/>
      <c r="X3022" s="126" t="s">
        <v>10242</v>
      </c>
      <c r="Y3022" s="127"/>
      <c r="Z3022" s="127"/>
      <c r="AA3022" s="127"/>
      <c r="AB3022" s="128"/>
      <c r="AC3022" s="15" t="s">
        <v>20</v>
      </c>
      <c r="AD3022" s="129" t="s">
        <v>6730</v>
      </c>
      <c r="AE3022" s="130"/>
      <c r="AF3022" s="130"/>
      <c r="AG3022" s="130"/>
      <c r="AH3022" s="130"/>
      <c r="AI3022" s="131"/>
      <c r="AJ3022" s="132"/>
      <c r="AK3022" s="127"/>
      <c r="AL3022" s="128"/>
      <c r="AM3022" s="21"/>
      <c r="AN3022" s="133">
        <v>45972</v>
      </c>
      <c r="AO3022" s="134"/>
      <c r="AP3022" s="135">
        <v>1917</v>
      </c>
      <c r="AQ3022" s="136"/>
      <c r="AR3022" s="118">
        <v>1068000</v>
      </c>
      <c r="AS3022" s="119"/>
      <c r="AT3022" s="118">
        <f t="shared" ref="AT3022" si="2043">AR3022*0.1</f>
        <v>106800</v>
      </c>
      <c r="AU3022" s="119"/>
      <c r="AV3022" s="118">
        <v>8110</v>
      </c>
      <c r="AW3022" s="119"/>
      <c r="AX3022" s="118">
        <f t="shared" ref="AX3022" si="2044">SUM(AR3022:AW3022)</f>
        <v>1182910</v>
      </c>
      <c r="AY3022" s="119"/>
      <c r="AZ3022" s="137"/>
    </row>
    <row r="3023" spans="1:52" ht="17.100000000000001" customHeight="1" thickBot="1">
      <c r="A3023" s="110"/>
      <c r="B3023" s="27" t="s">
        <v>2055</v>
      </c>
      <c r="C3023" s="27">
        <v>1047</v>
      </c>
      <c r="D3023" s="14" t="s">
        <v>1720</v>
      </c>
      <c r="E3023" s="112"/>
      <c r="F3023" s="139" t="s">
        <v>9636</v>
      </c>
      <c r="G3023" s="140"/>
      <c r="H3023" s="141"/>
      <c r="I3023" s="26">
        <v>55366</v>
      </c>
      <c r="J3023" s="117"/>
      <c r="K3023" s="120"/>
      <c r="L3023" s="121"/>
      <c r="M3023" s="120"/>
      <c r="N3023" s="121"/>
      <c r="O3023" s="120"/>
      <c r="P3023" s="121"/>
      <c r="Q3023" s="120"/>
      <c r="R3023" s="121"/>
      <c r="S3023" s="120"/>
      <c r="T3023" s="121"/>
      <c r="U3023" s="120"/>
      <c r="V3023" s="123"/>
      <c r="W3023" s="125"/>
      <c r="X3023" s="142" t="s">
        <v>5035</v>
      </c>
      <c r="Y3023" s="143"/>
      <c r="Z3023" s="143"/>
      <c r="AA3023" s="143"/>
      <c r="AB3023" s="144"/>
      <c r="AC3023" s="16" t="s">
        <v>21</v>
      </c>
      <c r="AD3023" s="17" t="s">
        <v>3397</v>
      </c>
      <c r="AE3023" s="145" t="s">
        <v>9773</v>
      </c>
      <c r="AF3023" s="146"/>
      <c r="AG3023" s="146"/>
      <c r="AH3023" s="146"/>
      <c r="AI3023" s="147"/>
      <c r="AJ3023" s="148"/>
      <c r="AK3023" s="143"/>
      <c r="AL3023" s="144"/>
      <c r="AM3023" s="22"/>
      <c r="AN3023" s="149" t="s">
        <v>2131</v>
      </c>
      <c r="AO3023" s="144"/>
      <c r="AP3023" s="148">
        <v>3139</v>
      </c>
      <c r="AQ3023" s="144"/>
      <c r="AR3023" s="120"/>
      <c r="AS3023" s="121"/>
      <c r="AT3023" s="120"/>
      <c r="AU3023" s="121"/>
      <c r="AV3023" s="120"/>
      <c r="AW3023" s="121"/>
      <c r="AX3023" s="120"/>
      <c r="AY3023" s="121"/>
      <c r="AZ3023" s="138"/>
    </row>
    <row r="3024" spans="1:52" ht="17.100000000000001" customHeight="1" thickTop="1">
      <c r="A3024" s="109" t="s">
        <v>9611</v>
      </c>
      <c r="B3024" s="28">
        <v>45958</v>
      </c>
      <c r="C3024" s="25">
        <v>963</v>
      </c>
      <c r="D3024" s="13" t="s">
        <v>2949</v>
      </c>
      <c r="E3024" s="111"/>
      <c r="F3024" s="113" t="s">
        <v>3323</v>
      </c>
      <c r="G3024" s="114"/>
      <c r="H3024" s="115"/>
      <c r="I3024" s="24"/>
      <c r="J3024" s="116">
        <v>4</v>
      </c>
      <c r="K3024" s="118">
        <v>1048000</v>
      </c>
      <c r="L3024" s="119"/>
      <c r="M3024" s="118">
        <f t="shared" ref="M3024" si="2045">K3024*0.1</f>
        <v>104800</v>
      </c>
      <c r="N3024" s="119"/>
      <c r="O3024" s="118">
        <v>0</v>
      </c>
      <c r="P3024" s="119"/>
      <c r="Q3024" s="118">
        <v>8110</v>
      </c>
      <c r="R3024" s="119"/>
      <c r="S3024" s="118">
        <v>22000</v>
      </c>
      <c r="T3024" s="119"/>
      <c r="U3024" s="118">
        <f t="shared" ref="U3024" si="2046">SUM(K3024:T3025)</f>
        <v>1182910</v>
      </c>
      <c r="V3024" s="122"/>
      <c r="W3024" s="124"/>
      <c r="X3024" s="126" t="s">
        <v>10227</v>
      </c>
      <c r="Y3024" s="127"/>
      <c r="Z3024" s="127"/>
      <c r="AA3024" s="127"/>
      <c r="AB3024" s="128"/>
      <c r="AC3024" s="15" t="s">
        <v>20</v>
      </c>
      <c r="AD3024" s="129" t="s">
        <v>6730</v>
      </c>
      <c r="AE3024" s="130"/>
      <c r="AF3024" s="130"/>
      <c r="AG3024" s="130"/>
      <c r="AH3024" s="130"/>
      <c r="AI3024" s="131"/>
      <c r="AJ3024" s="132"/>
      <c r="AK3024" s="127"/>
      <c r="AL3024" s="128"/>
      <c r="AM3024" s="21"/>
      <c r="AN3024" s="133">
        <v>45965</v>
      </c>
      <c r="AO3024" s="134"/>
      <c r="AP3024" s="135">
        <v>1916</v>
      </c>
      <c r="AQ3024" s="136"/>
      <c r="AR3024" s="118">
        <v>1113000</v>
      </c>
      <c r="AS3024" s="119"/>
      <c r="AT3024" s="118">
        <f t="shared" ref="AT3024" si="2047">AR3024*0.1</f>
        <v>111300</v>
      </c>
      <c r="AU3024" s="119"/>
      <c r="AV3024" s="118">
        <v>8110</v>
      </c>
      <c r="AW3024" s="119"/>
      <c r="AX3024" s="118">
        <f t="shared" ref="AX3024" si="2048">SUM(AR3024:AW3024)</f>
        <v>1232410</v>
      </c>
      <c r="AY3024" s="119"/>
      <c r="AZ3024" s="137">
        <v>45971</v>
      </c>
    </row>
    <row r="3025" spans="1:52" ht="17.100000000000001" customHeight="1" thickBot="1">
      <c r="A3025" s="110"/>
      <c r="B3025" s="27" t="s">
        <v>2055</v>
      </c>
      <c r="C3025" s="27">
        <v>1049</v>
      </c>
      <c r="D3025" s="14" t="s">
        <v>133</v>
      </c>
      <c r="E3025" s="112"/>
      <c r="F3025" s="139" t="s">
        <v>9637</v>
      </c>
      <c r="G3025" s="140"/>
      <c r="H3025" s="141"/>
      <c r="I3025" s="26">
        <v>56255</v>
      </c>
      <c r="J3025" s="117"/>
      <c r="K3025" s="120"/>
      <c r="L3025" s="121"/>
      <c r="M3025" s="120"/>
      <c r="N3025" s="121"/>
      <c r="O3025" s="120"/>
      <c r="P3025" s="121"/>
      <c r="Q3025" s="120"/>
      <c r="R3025" s="121"/>
      <c r="S3025" s="120"/>
      <c r="T3025" s="121"/>
      <c r="U3025" s="120"/>
      <c r="V3025" s="123"/>
      <c r="W3025" s="125"/>
      <c r="X3025" s="142" t="s">
        <v>5035</v>
      </c>
      <c r="Y3025" s="143"/>
      <c r="Z3025" s="143"/>
      <c r="AA3025" s="143"/>
      <c r="AB3025" s="144"/>
      <c r="AC3025" s="16" t="s">
        <v>21</v>
      </c>
      <c r="AD3025" s="17" t="s">
        <v>3397</v>
      </c>
      <c r="AE3025" s="145" t="s">
        <v>9773</v>
      </c>
      <c r="AF3025" s="146"/>
      <c r="AG3025" s="146"/>
      <c r="AH3025" s="146"/>
      <c r="AI3025" s="147"/>
      <c r="AJ3025" s="148"/>
      <c r="AK3025" s="143"/>
      <c r="AL3025" s="144"/>
      <c r="AM3025" s="22"/>
      <c r="AN3025" s="149" t="s">
        <v>2131</v>
      </c>
      <c r="AO3025" s="144"/>
      <c r="AP3025" s="148">
        <v>3253</v>
      </c>
      <c r="AQ3025" s="144"/>
      <c r="AR3025" s="120"/>
      <c r="AS3025" s="121"/>
      <c r="AT3025" s="120"/>
      <c r="AU3025" s="121"/>
      <c r="AV3025" s="120"/>
      <c r="AW3025" s="121"/>
      <c r="AX3025" s="120"/>
      <c r="AY3025" s="121"/>
      <c r="AZ3025" s="138"/>
    </row>
    <row r="3026" spans="1:52" ht="17.100000000000001" customHeight="1" thickTop="1">
      <c r="A3026" s="109" t="s">
        <v>9612</v>
      </c>
      <c r="B3026" s="28">
        <v>45959</v>
      </c>
      <c r="C3026" s="25">
        <v>2328</v>
      </c>
      <c r="D3026" s="13" t="s">
        <v>2022</v>
      </c>
      <c r="E3026" s="111"/>
      <c r="F3026" s="113" t="s">
        <v>9586</v>
      </c>
      <c r="G3026" s="114"/>
      <c r="H3026" s="115"/>
      <c r="I3026" s="24" t="s">
        <v>5028</v>
      </c>
      <c r="J3026" s="116">
        <v>4.5</v>
      </c>
      <c r="K3026" s="118">
        <v>1315000</v>
      </c>
      <c r="L3026" s="119"/>
      <c r="M3026" s="118">
        <f t="shared" ref="M3026" si="2049">K3026*0.1</f>
        <v>131500</v>
      </c>
      <c r="N3026" s="119"/>
      <c r="O3026" s="118">
        <f>14300+1430</f>
        <v>15730</v>
      </c>
      <c r="P3026" s="119"/>
      <c r="Q3026" s="118">
        <v>12450</v>
      </c>
      <c r="R3026" s="119"/>
      <c r="S3026" s="118">
        <v>16500</v>
      </c>
      <c r="T3026" s="119"/>
      <c r="U3026" s="118">
        <f t="shared" ref="U3026" si="2050">SUM(K3026:T3027)</f>
        <v>1491180</v>
      </c>
      <c r="V3026" s="122"/>
      <c r="W3026" s="124"/>
      <c r="X3026" s="126" t="s">
        <v>9899</v>
      </c>
      <c r="Y3026" s="127"/>
      <c r="Z3026" s="127"/>
      <c r="AA3026" s="127"/>
      <c r="AB3026" s="128"/>
      <c r="AC3026" s="15" t="s">
        <v>20</v>
      </c>
      <c r="AD3026" s="129" t="s">
        <v>2781</v>
      </c>
      <c r="AE3026" s="130"/>
      <c r="AF3026" s="130"/>
      <c r="AG3026" s="130"/>
      <c r="AH3026" s="130"/>
      <c r="AI3026" s="131"/>
      <c r="AJ3026" s="132"/>
      <c r="AK3026" s="127"/>
      <c r="AL3026" s="128"/>
      <c r="AM3026" s="21" t="s">
        <v>10395</v>
      </c>
      <c r="AN3026" s="133">
        <v>45983</v>
      </c>
      <c r="AO3026" s="134"/>
      <c r="AP3026" s="135">
        <v>1277</v>
      </c>
      <c r="AQ3026" s="136"/>
      <c r="AR3026" s="118">
        <v>1465000</v>
      </c>
      <c r="AS3026" s="119"/>
      <c r="AT3026" s="118">
        <f t="shared" ref="AT3026" si="2051">AR3026*0.1</f>
        <v>146500</v>
      </c>
      <c r="AU3026" s="119"/>
      <c r="AV3026" s="118">
        <v>12450</v>
      </c>
      <c r="AW3026" s="119"/>
      <c r="AX3026" s="118">
        <f t="shared" ref="AX3026" si="2052">SUM(AR3026:AW3026)</f>
        <v>1623950</v>
      </c>
      <c r="AY3026" s="119"/>
      <c r="AZ3026" s="137">
        <v>45987</v>
      </c>
    </row>
    <row r="3027" spans="1:52" ht="17.100000000000001" customHeight="1" thickBot="1">
      <c r="A3027" s="110"/>
      <c r="B3027" s="27" t="s">
        <v>3422</v>
      </c>
      <c r="C3027" s="27">
        <v>60060</v>
      </c>
      <c r="D3027" s="14" t="s">
        <v>904</v>
      </c>
      <c r="E3027" s="112"/>
      <c r="F3027" s="139" t="s">
        <v>9587</v>
      </c>
      <c r="G3027" s="140"/>
      <c r="H3027" s="141"/>
      <c r="I3027" s="26">
        <v>33073</v>
      </c>
      <c r="J3027" s="117"/>
      <c r="K3027" s="120"/>
      <c r="L3027" s="121"/>
      <c r="M3027" s="120"/>
      <c r="N3027" s="121"/>
      <c r="O3027" s="120"/>
      <c r="P3027" s="121"/>
      <c r="Q3027" s="120"/>
      <c r="R3027" s="121"/>
      <c r="S3027" s="120"/>
      <c r="T3027" s="121"/>
      <c r="U3027" s="120"/>
      <c r="V3027" s="123"/>
      <c r="W3027" s="125"/>
      <c r="X3027" s="142" t="s">
        <v>2321</v>
      </c>
      <c r="Y3027" s="143"/>
      <c r="Z3027" s="143"/>
      <c r="AA3027" s="143"/>
      <c r="AB3027" s="144"/>
      <c r="AC3027" s="16" t="s">
        <v>21</v>
      </c>
      <c r="AD3027" s="17" t="s">
        <v>9858</v>
      </c>
      <c r="AE3027" s="145" t="s">
        <v>9900</v>
      </c>
      <c r="AF3027" s="146"/>
      <c r="AG3027" s="146"/>
      <c r="AH3027" s="146"/>
      <c r="AI3027" s="147"/>
      <c r="AJ3027" s="148"/>
      <c r="AK3027" s="143"/>
      <c r="AL3027" s="144"/>
      <c r="AM3027" s="22"/>
      <c r="AN3027" s="149" t="s">
        <v>2511</v>
      </c>
      <c r="AO3027" s="144"/>
      <c r="AP3027" s="148">
        <v>80156</v>
      </c>
      <c r="AQ3027" s="144"/>
      <c r="AR3027" s="120"/>
      <c r="AS3027" s="121"/>
      <c r="AT3027" s="120"/>
      <c r="AU3027" s="121"/>
      <c r="AV3027" s="120"/>
      <c r="AW3027" s="121"/>
      <c r="AX3027" s="120"/>
      <c r="AY3027" s="121"/>
      <c r="AZ3027" s="138"/>
    </row>
    <row r="3028" spans="1:52" ht="17.100000000000001" customHeight="1" thickTop="1">
      <c r="A3028" s="109" t="s">
        <v>9613</v>
      </c>
      <c r="B3028" s="28">
        <v>45959</v>
      </c>
      <c r="C3028" s="25">
        <v>2328</v>
      </c>
      <c r="D3028" s="13" t="s">
        <v>1937</v>
      </c>
      <c r="E3028" s="111"/>
      <c r="F3028" s="113" t="s">
        <v>9588</v>
      </c>
      <c r="G3028" s="114"/>
      <c r="H3028" s="115"/>
      <c r="I3028" s="24"/>
      <c r="J3028" s="116">
        <v>4.5</v>
      </c>
      <c r="K3028" s="118">
        <v>675000</v>
      </c>
      <c r="L3028" s="119"/>
      <c r="M3028" s="118">
        <f t="shared" ref="M3028" si="2053">K3028*0.1</f>
        <v>67500</v>
      </c>
      <c r="N3028" s="119"/>
      <c r="O3028" s="118">
        <v>0</v>
      </c>
      <c r="P3028" s="119"/>
      <c r="Q3028" s="118">
        <v>19440</v>
      </c>
      <c r="R3028" s="119"/>
      <c r="S3028" s="118">
        <v>16500</v>
      </c>
      <c r="T3028" s="119"/>
      <c r="U3028" s="118">
        <f t="shared" ref="U3028" si="2054">SUM(K3028:T3029)</f>
        <v>778440</v>
      </c>
      <c r="V3028" s="122"/>
      <c r="W3028" s="124"/>
      <c r="X3028" s="126" t="s">
        <v>9940</v>
      </c>
      <c r="Y3028" s="127"/>
      <c r="Z3028" s="127"/>
      <c r="AA3028" s="127"/>
      <c r="AB3028" s="128"/>
      <c r="AC3028" s="15" t="s">
        <v>20</v>
      </c>
      <c r="AD3028" s="129" t="s">
        <v>2781</v>
      </c>
      <c r="AE3028" s="130"/>
      <c r="AF3028" s="130"/>
      <c r="AG3028" s="130"/>
      <c r="AH3028" s="130"/>
      <c r="AI3028" s="131"/>
      <c r="AJ3028" s="132"/>
      <c r="AK3028" s="127"/>
      <c r="AL3028" s="128"/>
      <c r="AM3028" s="21"/>
      <c r="AN3028" s="133">
        <v>46018</v>
      </c>
      <c r="AO3028" s="134"/>
      <c r="AP3028" s="135">
        <v>1282</v>
      </c>
      <c r="AQ3028" s="136"/>
      <c r="AR3028" s="118">
        <v>730000</v>
      </c>
      <c r="AS3028" s="119"/>
      <c r="AT3028" s="118">
        <f t="shared" ref="AT3028" si="2055">AR3028*0.1</f>
        <v>73000</v>
      </c>
      <c r="AU3028" s="119"/>
      <c r="AV3028" s="118">
        <v>19440</v>
      </c>
      <c r="AW3028" s="119"/>
      <c r="AX3028" s="118">
        <f t="shared" ref="AX3028" si="2056">SUM(AR3028:AW3028)</f>
        <v>822440</v>
      </c>
      <c r="AY3028" s="119"/>
      <c r="AZ3028" s="137">
        <v>46028</v>
      </c>
    </row>
    <row r="3029" spans="1:52" ht="17.100000000000001" customHeight="1" thickBot="1">
      <c r="A3029" s="110"/>
      <c r="B3029" s="27" t="s">
        <v>3422</v>
      </c>
      <c r="C3029" s="27">
        <v>60085</v>
      </c>
      <c r="D3029" s="14" t="s">
        <v>275</v>
      </c>
      <c r="E3029" s="112"/>
      <c r="F3029" s="139" t="s">
        <v>9589</v>
      </c>
      <c r="G3029" s="140"/>
      <c r="H3029" s="141"/>
      <c r="I3029" s="26">
        <v>81854</v>
      </c>
      <c r="J3029" s="117"/>
      <c r="K3029" s="120"/>
      <c r="L3029" s="121"/>
      <c r="M3029" s="120"/>
      <c r="N3029" s="121"/>
      <c r="O3029" s="120"/>
      <c r="P3029" s="121"/>
      <c r="Q3029" s="120"/>
      <c r="R3029" s="121"/>
      <c r="S3029" s="120"/>
      <c r="T3029" s="121"/>
      <c r="U3029" s="120"/>
      <c r="V3029" s="123"/>
      <c r="W3029" s="125"/>
      <c r="X3029" s="142" t="s">
        <v>4796</v>
      </c>
      <c r="Y3029" s="143"/>
      <c r="Z3029" s="143"/>
      <c r="AA3029" s="143"/>
      <c r="AB3029" s="144"/>
      <c r="AC3029" s="16" t="s">
        <v>21</v>
      </c>
      <c r="AD3029" s="17" t="s">
        <v>9939</v>
      </c>
      <c r="AE3029" s="158" t="s">
        <v>2832</v>
      </c>
      <c r="AF3029" s="146"/>
      <c r="AG3029" s="146"/>
      <c r="AH3029" s="146"/>
      <c r="AI3029" s="147"/>
      <c r="AJ3029" s="148"/>
      <c r="AK3029" s="143"/>
      <c r="AL3029" s="144"/>
      <c r="AM3029" s="22"/>
      <c r="AN3029" s="149" t="s">
        <v>7284</v>
      </c>
      <c r="AO3029" s="144"/>
      <c r="AP3029" s="148">
        <v>80135</v>
      </c>
      <c r="AQ3029" s="144"/>
      <c r="AR3029" s="120"/>
      <c r="AS3029" s="121"/>
      <c r="AT3029" s="120"/>
      <c r="AU3029" s="121"/>
      <c r="AV3029" s="120"/>
      <c r="AW3029" s="121"/>
      <c r="AX3029" s="120"/>
      <c r="AY3029" s="121"/>
      <c r="AZ3029" s="138"/>
    </row>
    <row r="3030" spans="1:52" ht="17.100000000000001" customHeight="1" thickTop="1">
      <c r="A3030" s="109" t="s">
        <v>9614</v>
      </c>
      <c r="B3030" s="28">
        <v>45959</v>
      </c>
      <c r="C3030" s="25">
        <v>2328</v>
      </c>
      <c r="D3030" s="13" t="s">
        <v>1888</v>
      </c>
      <c r="E3030" s="111"/>
      <c r="F3030" s="113" t="s">
        <v>9590</v>
      </c>
      <c r="G3030" s="114"/>
      <c r="H3030" s="115"/>
      <c r="I3030" s="24"/>
      <c r="J3030" s="116">
        <v>4</v>
      </c>
      <c r="K3030" s="118">
        <v>930000</v>
      </c>
      <c r="L3030" s="119"/>
      <c r="M3030" s="118">
        <f t="shared" ref="M3030" si="2057">K3030*0.1</f>
        <v>93000</v>
      </c>
      <c r="N3030" s="119"/>
      <c r="O3030" s="118">
        <v>0</v>
      </c>
      <c r="P3030" s="119"/>
      <c r="Q3030" s="118">
        <v>12370</v>
      </c>
      <c r="R3030" s="119"/>
      <c r="S3030" s="118">
        <v>16500</v>
      </c>
      <c r="T3030" s="119"/>
      <c r="U3030" s="118">
        <f t="shared" ref="U3030" si="2058">SUM(K3030:T3031)</f>
        <v>1051870</v>
      </c>
      <c r="V3030" s="122"/>
      <c r="W3030" s="124"/>
      <c r="X3030" s="126" t="s">
        <v>9901</v>
      </c>
      <c r="Y3030" s="127"/>
      <c r="Z3030" s="127"/>
      <c r="AA3030" s="127"/>
      <c r="AB3030" s="128"/>
      <c r="AC3030" s="15" t="s">
        <v>20</v>
      </c>
      <c r="AD3030" s="129"/>
      <c r="AE3030" s="130"/>
      <c r="AF3030" s="130"/>
      <c r="AG3030" s="130"/>
      <c r="AH3030" s="130"/>
      <c r="AI3030" s="131"/>
      <c r="AJ3030" s="132"/>
      <c r="AK3030" s="127"/>
      <c r="AL3030" s="128"/>
      <c r="AM3030" s="21"/>
      <c r="AN3030" s="133"/>
      <c r="AO3030" s="134"/>
      <c r="AP3030" s="135"/>
      <c r="AQ3030" s="136"/>
      <c r="AR3030" s="118"/>
      <c r="AS3030" s="119"/>
      <c r="AT3030" s="118">
        <f t="shared" ref="AT3030" si="2059">AR3030*0.1</f>
        <v>0</v>
      </c>
      <c r="AU3030" s="119"/>
      <c r="AV3030" s="118"/>
      <c r="AW3030" s="119"/>
      <c r="AX3030" s="118">
        <f t="shared" ref="AX3030" si="2060">SUM(AR3030:AW3030)</f>
        <v>0</v>
      </c>
      <c r="AY3030" s="119"/>
      <c r="AZ3030" s="137"/>
    </row>
    <row r="3031" spans="1:52" ht="17.100000000000001" customHeight="1" thickBot="1">
      <c r="A3031" s="110"/>
      <c r="B3031" s="27" t="s">
        <v>3422</v>
      </c>
      <c r="C3031" s="27">
        <v>60109</v>
      </c>
      <c r="D3031" s="14" t="s">
        <v>1592</v>
      </c>
      <c r="E3031" s="112"/>
      <c r="F3031" s="139" t="s">
        <v>9591</v>
      </c>
      <c r="G3031" s="140"/>
      <c r="H3031" s="141"/>
      <c r="I3031" s="26">
        <v>47393</v>
      </c>
      <c r="J3031" s="117"/>
      <c r="K3031" s="120"/>
      <c r="L3031" s="121"/>
      <c r="M3031" s="120"/>
      <c r="N3031" s="121"/>
      <c r="O3031" s="120"/>
      <c r="P3031" s="121"/>
      <c r="Q3031" s="120"/>
      <c r="R3031" s="121"/>
      <c r="S3031" s="120"/>
      <c r="T3031" s="121"/>
      <c r="U3031" s="120"/>
      <c r="V3031" s="123"/>
      <c r="W3031" s="125"/>
      <c r="X3031" s="142" t="s">
        <v>9902</v>
      </c>
      <c r="Y3031" s="143"/>
      <c r="Z3031" s="143"/>
      <c r="AA3031" s="143"/>
      <c r="AB3031" s="144"/>
      <c r="AC3031" s="16" t="s">
        <v>21</v>
      </c>
      <c r="AD3031" s="17" t="s">
        <v>9858</v>
      </c>
      <c r="AE3031" s="145" t="s">
        <v>10029</v>
      </c>
      <c r="AF3031" s="146"/>
      <c r="AG3031" s="146"/>
      <c r="AH3031" s="146"/>
      <c r="AI3031" s="147"/>
      <c r="AJ3031" s="148"/>
      <c r="AK3031" s="143"/>
      <c r="AL3031" s="144"/>
      <c r="AM3031" s="22"/>
      <c r="AN3031" s="149"/>
      <c r="AO3031" s="144"/>
      <c r="AP3031" s="148"/>
      <c r="AQ3031" s="144"/>
      <c r="AR3031" s="120"/>
      <c r="AS3031" s="121"/>
      <c r="AT3031" s="120"/>
      <c r="AU3031" s="121"/>
      <c r="AV3031" s="120"/>
      <c r="AW3031" s="121"/>
      <c r="AX3031" s="120"/>
      <c r="AY3031" s="121"/>
      <c r="AZ3031" s="138"/>
    </row>
    <row r="3032" spans="1:52" ht="17.100000000000001" customHeight="1" thickTop="1">
      <c r="A3032" s="109" t="s">
        <v>9669</v>
      </c>
      <c r="B3032" s="28">
        <v>45959</v>
      </c>
      <c r="C3032" s="25">
        <v>990</v>
      </c>
      <c r="D3032" s="13" t="s">
        <v>1855</v>
      </c>
      <c r="E3032" s="111"/>
      <c r="F3032" s="113" t="s">
        <v>5435</v>
      </c>
      <c r="G3032" s="114"/>
      <c r="H3032" s="115"/>
      <c r="I3032" s="24" t="s">
        <v>3642</v>
      </c>
      <c r="J3032" s="116">
        <v>4</v>
      </c>
      <c r="K3032" s="118">
        <v>238000</v>
      </c>
      <c r="L3032" s="119"/>
      <c r="M3032" s="118">
        <f t="shared" ref="M3032" si="2061">K3032*0.1</f>
        <v>23800</v>
      </c>
      <c r="N3032" s="119"/>
      <c r="O3032" s="118">
        <v>0</v>
      </c>
      <c r="P3032" s="119"/>
      <c r="Q3032" s="118">
        <v>7950</v>
      </c>
      <c r="R3032" s="119"/>
      <c r="S3032" s="118">
        <v>9900</v>
      </c>
      <c r="T3032" s="119"/>
      <c r="U3032" s="118">
        <f t="shared" ref="U3032" si="2062">SUM(K3032:T3033)</f>
        <v>279650</v>
      </c>
      <c r="V3032" s="122"/>
      <c r="W3032" s="124"/>
      <c r="X3032" s="126" t="s">
        <v>9672</v>
      </c>
      <c r="Y3032" s="127"/>
      <c r="Z3032" s="127"/>
      <c r="AA3032" s="127"/>
      <c r="AB3032" s="128"/>
      <c r="AC3032" s="15" t="s">
        <v>20</v>
      </c>
      <c r="AD3032" s="129"/>
      <c r="AE3032" s="130"/>
      <c r="AF3032" s="130"/>
      <c r="AG3032" s="130"/>
      <c r="AH3032" s="130"/>
      <c r="AI3032" s="131"/>
      <c r="AJ3032" s="132"/>
      <c r="AK3032" s="127"/>
      <c r="AL3032" s="128"/>
      <c r="AM3032" s="85" t="s">
        <v>9672</v>
      </c>
      <c r="AN3032" s="133">
        <v>45976</v>
      </c>
      <c r="AO3032" s="134"/>
      <c r="AP3032" s="135">
        <v>1276</v>
      </c>
      <c r="AQ3032" s="136"/>
      <c r="AR3032" s="118">
        <v>280000</v>
      </c>
      <c r="AS3032" s="119"/>
      <c r="AT3032" s="118">
        <f t="shared" ref="AT3032" si="2063">AR3032*0.1</f>
        <v>28000</v>
      </c>
      <c r="AU3032" s="119"/>
      <c r="AV3032" s="118">
        <v>7950</v>
      </c>
      <c r="AW3032" s="119"/>
      <c r="AX3032" s="118">
        <f t="shared" ref="AX3032" si="2064">SUM(AR3032:AW3032)</f>
        <v>315950</v>
      </c>
      <c r="AY3032" s="119"/>
      <c r="AZ3032" s="137">
        <v>45986</v>
      </c>
    </row>
    <row r="3033" spans="1:52" ht="17.100000000000001" customHeight="1" thickBot="1">
      <c r="A3033" s="110"/>
      <c r="B3033" s="27" t="s">
        <v>2794</v>
      </c>
      <c r="C3033" s="27">
        <v>10164</v>
      </c>
      <c r="D3033" s="14" t="s">
        <v>3855</v>
      </c>
      <c r="E3033" s="112"/>
      <c r="F3033" s="139" t="s">
        <v>9671</v>
      </c>
      <c r="G3033" s="140"/>
      <c r="H3033" s="141"/>
      <c r="I3033" s="26">
        <v>134908</v>
      </c>
      <c r="J3033" s="117"/>
      <c r="K3033" s="120"/>
      <c r="L3033" s="121"/>
      <c r="M3033" s="120"/>
      <c r="N3033" s="121"/>
      <c r="O3033" s="120"/>
      <c r="P3033" s="121"/>
      <c r="Q3033" s="120"/>
      <c r="R3033" s="121"/>
      <c r="S3033" s="120"/>
      <c r="T3033" s="121"/>
      <c r="U3033" s="120"/>
      <c r="V3033" s="123"/>
      <c r="W3033" s="125"/>
      <c r="X3033" s="142" t="s">
        <v>10163</v>
      </c>
      <c r="Y3033" s="143"/>
      <c r="Z3033" s="143"/>
      <c r="AA3033" s="143"/>
      <c r="AB3033" s="144"/>
      <c r="AC3033" s="16" t="s">
        <v>21</v>
      </c>
      <c r="AD3033" s="17" t="s">
        <v>10146</v>
      </c>
      <c r="AE3033" s="145" t="s">
        <v>171</v>
      </c>
      <c r="AF3033" s="146"/>
      <c r="AG3033" s="146"/>
      <c r="AH3033" s="146"/>
      <c r="AI3033" s="147"/>
      <c r="AJ3033" s="148"/>
      <c r="AK3033" s="143"/>
      <c r="AL3033" s="144"/>
      <c r="AM3033" s="22"/>
      <c r="AN3033" s="149" t="s">
        <v>6748</v>
      </c>
      <c r="AO3033" s="144"/>
      <c r="AP3033" s="148">
        <v>63080</v>
      </c>
      <c r="AQ3033" s="144"/>
      <c r="AR3033" s="120"/>
      <c r="AS3033" s="121"/>
      <c r="AT3033" s="120"/>
      <c r="AU3033" s="121"/>
      <c r="AV3033" s="120"/>
      <c r="AW3033" s="121"/>
      <c r="AX3033" s="120"/>
      <c r="AY3033" s="121"/>
      <c r="AZ3033" s="138"/>
    </row>
    <row r="3034" spans="1:52" ht="17.100000000000001" customHeight="1" thickTop="1">
      <c r="A3034" s="109" t="s">
        <v>9670</v>
      </c>
      <c r="B3034" s="28">
        <v>45959</v>
      </c>
      <c r="C3034" s="25">
        <v>990</v>
      </c>
      <c r="D3034" s="13" t="s">
        <v>1831</v>
      </c>
      <c r="E3034" s="111"/>
      <c r="F3034" s="113" t="s">
        <v>9673</v>
      </c>
      <c r="G3034" s="114"/>
      <c r="H3034" s="115"/>
      <c r="I3034" s="24" t="s">
        <v>9675</v>
      </c>
      <c r="J3034" s="116">
        <v>4</v>
      </c>
      <c r="K3034" s="118">
        <v>154000</v>
      </c>
      <c r="L3034" s="119"/>
      <c r="M3034" s="118">
        <f t="shared" ref="M3034" si="2065">K3034*0.1</f>
        <v>15400</v>
      </c>
      <c r="N3034" s="119"/>
      <c r="O3034" s="118">
        <v>0</v>
      </c>
      <c r="P3034" s="119"/>
      <c r="Q3034" s="118">
        <v>9790</v>
      </c>
      <c r="R3034" s="119"/>
      <c r="S3034" s="118">
        <v>9900</v>
      </c>
      <c r="T3034" s="119"/>
      <c r="U3034" s="118">
        <f t="shared" ref="U3034" si="2066">SUM(K3034:T3035)</f>
        <v>189090</v>
      </c>
      <c r="V3034" s="122"/>
      <c r="W3034" s="124"/>
      <c r="X3034" s="126" t="s">
        <v>9676</v>
      </c>
      <c r="Y3034" s="127"/>
      <c r="Z3034" s="127"/>
      <c r="AA3034" s="127"/>
      <c r="AB3034" s="128"/>
      <c r="AC3034" s="15" t="s">
        <v>20</v>
      </c>
      <c r="AD3034" s="129" t="s">
        <v>1945</v>
      </c>
      <c r="AE3034" s="130"/>
      <c r="AF3034" s="130"/>
      <c r="AG3034" s="130"/>
      <c r="AH3034" s="130"/>
      <c r="AI3034" s="131"/>
      <c r="AJ3034" s="132"/>
      <c r="AK3034" s="127"/>
      <c r="AL3034" s="128"/>
      <c r="AM3034" s="85" t="s">
        <v>9676</v>
      </c>
      <c r="AN3034" s="133">
        <v>45976</v>
      </c>
      <c r="AO3034" s="134"/>
      <c r="AP3034" s="135">
        <v>1276</v>
      </c>
      <c r="AQ3034" s="136"/>
      <c r="AR3034" s="118">
        <v>262000</v>
      </c>
      <c r="AS3034" s="119"/>
      <c r="AT3034" s="118">
        <f t="shared" ref="AT3034" si="2067">AR3034*0.1</f>
        <v>26200</v>
      </c>
      <c r="AU3034" s="119"/>
      <c r="AV3034" s="118">
        <v>9790</v>
      </c>
      <c r="AW3034" s="119"/>
      <c r="AX3034" s="118">
        <f t="shared" ref="AX3034" si="2068">SUM(AR3034:AW3034)</f>
        <v>297990</v>
      </c>
      <c r="AY3034" s="119"/>
      <c r="AZ3034" s="137">
        <v>45980</v>
      </c>
    </row>
    <row r="3035" spans="1:52" ht="17.100000000000001" customHeight="1" thickBot="1">
      <c r="A3035" s="110"/>
      <c r="B3035" s="27" t="s">
        <v>2794</v>
      </c>
      <c r="C3035" s="27">
        <v>10298</v>
      </c>
      <c r="D3035" s="14" t="s">
        <v>3327</v>
      </c>
      <c r="E3035" s="112"/>
      <c r="F3035" s="139" t="s">
        <v>9674</v>
      </c>
      <c r="G3035" s="140"/>
      <c r="H3035" s="141"/>
      <c r="I3035" s="26">
        <v>109640</v>
      </c>
      <c r="J3035" s="117"/>
      <c r="K3035" s="120"/>
      <c r="L3035" s="121"/>
      <c r="M3035" s="120"/>
      <c r="N3035" s="121"/>
      <c r="O3035" s="120"/>
      <c r="P3035" s="121"/>
      <c r="Q3035" s="120"/>
      <c r="R3035" s="121"/>
      <c r="S3035" s="120"/>
      <c r="T3035" s="121"/>
      <c r="U3035" s="120"/>
      <c r="V3035" s="123"/>
      <c r="W3035" s="125"/>
      <c r="X3035" s="142" t="s">
        <v>10164</v>
      </c>
      <c r="Y3035" s="143"/>
      <c r="Z3035" s="143"/>
      <c r="AA3035" s="143"/>
      <c r="AB3035" s="144"/>
      <c r="AC3035" s="16" t="s">
        <v>21</v>
      </c>
      <c r="AD3035" s="17" t="s">
        <v>10146</v>
      </c>
      <c r="AE3035" s="145" t="s">
        <v>1945</v>
      </c>
      <c r="AF3035" s="146"/>
      <c r="AG3035" s="146"/>
      <c r="AH3035" s="146"/>
      <c r="AI3035" s="147"/>
      <c r="AJ3035" s="148"/>
      <c r="AK3035" s="143"/>
      <c r="AL3035" s="144"/>
      <c r="AM3035" s="22"/>
      <c r="AN3035" s="149" t="s">
        <v>10999</v>
      </c>
      <c r="AO3035" s="144"/>
      <c r="AP3035" s="148">
        <v>90345</v>
      </c>
      <c r="AQ3035" s="144"/>
      <c r="AR3035" s="120"/>
      <c r="AS3035" s="121"/>
      <c r="AT3035" s="120"/>
      <c r="AU3035" s="121"/>
      <c r="AV3035" s="120"/>
      <c r="AW3035" s="121"/>
      <c r="AX3035" s="120"/>
      <c r="AY3035" s="121"/>
      <c r="AZ3035" s="138"/>
    </row>
    <row r="3036" spans="1:52" ht="17.100000000000001" customHeight="1" thickTop="1">
      <c r="A3036" s="109" t="s">
        <v>9695</v>
      </c>
      <c r="B3036" s="28">
        <v>45960</v>
      </c>
      <c r="C3036" s="25">
        <v>1304</v>
      </c>
      <c r="D3036" s="13" t="s">
        <v>2941</v>
      </c>
      <c r="E3036" s="111"/>
      <c r="F3036" s="113" t="s">
        <v>1938</v>
      </c>
      <c r="G3036" s="114"/>
      <c r="H3036" s="115"/>
      <c r="I3036" s="24" t="s">
        <v>2943</v>
      </c>
      <c r="J3036" s="116">
        <v>4.5</v>
      </c>
      <c r="K3036" s="118">
        <v>1250000</v>
      </c>
      <c r="L3036" s="119"/>
      <c r="M3036" s="118">
        <f t="shared" ref="M3036" si="2069">K3036*0.1</f>
        <v>125000</v>
      </c>
      <c r="N3036" s="119"/>
      <c r="O3036" s="118">
        <f>14300+1430</f>
        <v>15730</v>
      </c>
      <c r="P3036" s="119"/>
      <c r="Q3036" s="118">
        <v>17600</v>
      </c>
      <c r="R3036" s="119"/>
      <c r="S3036" s="118">
        <v>14300</v>
      </c>
      <c r="T3036" s="119"/>
      <c r="U3036" s="118">
        <f t="shared" ref="U3036" si="2070">SUM(K3036:T3037)</f>
        <v>1422630</v>
      </c>
      <c r="V3036" s="122"/>
      <c r="W3036" s="124"/>
      <c r="X3036" s="126" t="s">
        <v>9697</v>
      </c>
      <c r="Y3036" s="127"/>
      <c r="Z3036" s="127"/>
      <c r="AA3036" s="127"/>
      <c r="AB3036" s="128"/>
      <c r="AC3036" s="15" t="s">
        <v>20</v>
      </c>
      <c r="AD3036" s="129" t="s">
        <v>3412</v>
      </c>
      <c r="AE3036" s="130"/>
      <c r="AF3036" s="130"/>
      <c r="AG3036" s="130"/>
      <c r="AH3036" s="130"/>
      <c r="AI3036" s="131"/>
      <c r="AJ3036" s="132"/>
      <c r="AK3036" s="127"/>
      <c r="AL3036" s="128"/>
      <c r="AM3036" s="21"/>
      <c r="AN3036" s="133">
        <v>45976</v>
      </c>
      <c r="AO3036" s="134"/>
      <c r="AP3036" s="135">
        <v>1276</v>
      </c>
      <c r="AQ3036" s="136"/>
      <c r="AR3036" s="118">
        <v>1355000</v>
      </c>
      <c r="AS3036" s="119"/>
      <c r="AT3036" s="118">
        <f t="shared" ref="AT3036" si="2071">AR3036*0.1</f>
        <v>135500</v>
      </c>
      <c r="AU3036" s="119"/>
      <c r="AV3036" s="118">
        <v>17600</v>
      </c>
      <c r="AW3036" s="119"/>
      <c r="AX3036" s="118">
        <f t="shared" ref="AX3036" si="2072">SUM(AR3036:AW3036)</f>
        <v>1508100</v>
      </c>
      <c r="AY3036" s="119"/>
      <c r="AZ3036" s="137">
        <v>45979</v>
      </c>
    </row>
    <row r="3037" spans="1:52" ht="17.100000000000001" customHeight="1" thickBot="1">
      <c r="A3037" s="110"/>
      <c r="B3037" s="27" t="s">
        <v>1747</v>
      </c>
      <c r="C3037" s="27">
        <v>342</v>
      </c>
      <c r="D3037" s="14" t="s">
        <v>1576</v>
      </c>
      <c r="E3037" s="112"/>
      <c r="F3037" s="139" t="s">
        <v>9696</v>
      </c>
      <c r="G3037" s="140"/>
      <c r="H3037" s="141"/>
      <c r="I3037" s="26">
        <v>21298</v>
      </c>
      <c r="J3037" s="117"/>
      <c r="K3037" s="120"/>
      <c r="L3037" s="121"/>
      <c r="M3037" s="120"/>
      <c r="N3037" s="121"/>
      <c r="O3037" s="120"/>
      <c r="P3037" s="121"/>
      <c r="Q3037" s="120"/>
      <c r="R3037" s="121"/>
      <c r="S3037" s="120"/>
      <c r="T3037" s="121"/>
      <c r="U3037" s="120"/>
      <c r="V3037" s="123"/>
      <c r="W3037" s="125"/>
      <c r="X3037" s="142" t="s">
        <v>9938</v>
      </c>
      <c r="Y3037" s="143"/>
      <c r="Z3037" s="143"/>
      <c r="AA3037" s="143"/>
      <c r="AB3037" s="144"/>
      <c r="AC3037" s="16" t="s">
        <v>21</v>
      </c>
      <c r="AD3037" s="17" t="s">
        <v>9939</v>
      </c>
      <c r="AE3037" s="145" t="s">
        <v>1614</v>
      </c>
      <c r="AF3037" s="146"/>
      <c r="AG3037" s="146"/>
      <c r="AH3037" s="146"/>
      <c r="AI3037" s="147"/>
      <c r="AJ3037" s="148"/>
      <c r="AK3037" s="143"/>
      <c r="AL3037" s="144"/>
      <c r="AM3037" s="22" t="s">
        <v>3483</v>
      </c>
      <c r="AN3037" s="149" t="s">
        <v>10999</v>
      </c>
      <c r="AO3037" s="144"/>
      <c r="AP3037" s="148">
        <v>80244</v>
      </c>
      <c r="AQ3037" s="144"/>
      <c r="AR3037" s="120"/>
      <c r="AS3037" s="121"/>
      <c r="AT3037" s="120"/>
      <c r="AU3037" s="121"/>
      <c r="AV3037" s="120"/>
      <c r="AW3037" s="121"/>
      <c r="AX3037" s="120"/>
      <c r="AY3037" s="121"/>
      <c r="AZ3037" s="138"/>
    </row>
    <row r="3038" spans="1:52" ht="17.100000000000001" customHeight="1" thickTop="1">
      <c r="A3038" s="151" t="s">
        <v>9742</v>
      </c>
      <c r="B3038" s="28">
        <v>45960</v>
      </c>
      <c r="C3038" s="25"/>
      <c r="D3038" s="13" t="s">
        <v>1929</v>
      </c>
      <c r="E3038" s="111"/>
      <c r="F3038" s="113" t="s">
        <v>9744</v>
      </c>
      <c r="G3038" s="114"/>
      <c r="H3038" s="115"/>
      <c r="I3038" s="24"/>
      <c r="J3038" s="116"/>
      <c r="K3038" s="118">
        <v>700000</v>
      </c>
      <c r="L3038" s="119"/>
      <c r="M3038" s="118">
        <v>0</v>
      </c>
      <c r="N3038" s="119"/>
      <c r="O3038" s="118">
        <v>0</v>
      </c>
      <c r="P3038" s="119"/>
      <c r="Q3038" s="118">
        <v>0</v>
      </c>
      <c r="R3038" s="119"/>
      <c r="S3038" s="118">
        <v>0</v>
      </c>
      <c r="T3038" s="119"/>
      <c r="U3038" s="118">
        <f t="shared" ref="U3038" si="2073">SUM(K3038:T3039)</f>
        <v>700000</v>
      </c>
      <c r="V3038" s="122"/>
      <c r="W3038" s="124"/>
      <c r="X3038" s="126" t="s">
        <v>9746</v>
      </c>
      <c r="Y3038" s="127"/>
      <c r="Z3038" s="127"/>
      <c r="AA3038" s="127"/>
      <c r="AB3038" s="128"/>
      <c r="AC3038" s="15" t="s">
        <v>20</v>
      </c>
      <c r="AD3038" s="129"/>
      <c r="AE3038" s="130"/>
      <c r="AF3038" s="130"/>
      <c r="AG3038" s="130"/>
      <c r="AH3038" s="130"/>
      <c r="AI3038" s="131"/>
      <c r="AJ3038" s="132"/>
      <c r="AK3038" s="127"/>
      <c r="AL3038" s="128"/>
      <c r="AM3038" s="21"/>
      <c r="AN3038" s="133">
        <v>46039</v>
      </c>
      <c r="AO3038" s="134"/>
      <c r="AP3038" s="135">
        <v>1284</v>
      </c>
      <c r="AQ3038" s="136"/>
      <c r="AR3038" s="118">
        <v>965000</v>
      </c>
      <c r="AS3038" s="119"/>
      <c r="AT3038" s="118">
        <f t="shared" ref="AT3038" si="2074">AR3038*0.1</f>
        <v>96500</v>
      </c>
      <c r="AU3038" s="119"/>
      <c r="AV3038" s="118">
        <v>20320</v>
      </c>
      <c r="AW3038" s="119"/>
      <c r="AX3038" s="118">
        <f t="shared" ref="AX3038" si="2075">SUM(AR3038:AW3038)</f>
        <v>1081820</v>
      </c>
      <c r="AY3038" s="119"/>
      <c r="AZ3038" s="137">
        <v>46042</v>
      </c>
    </row>
    <row r="3039" spans="1:52" ht="17.100000000000001" customHeight="1" thickBot="1">
      <c r="A3039" s="152"/>
      <c r="B3039" s="27" t="s">
        <v>9743</v>
      </c>
      <c r="C3039" s="27"/>
      <c r="D3039" s="14"/>
      <c r="E3039" s="112"/>
      <c r="F3039" s="139" t="s">
        <v>9745</v>
      </c>
      <c r="G3039" s="140"/>
      <c r="H3039" s="141"/>
      <c r="I3039" s="26"/>
      <c r="J3039" s="117"/>
      <c r="K3039" s="120"/>
      <c r="L3039" s="121"/>
      <c r="M3039" s="120"/>
      <c r="N3039" s="121"/>
      <c r="O3039" s="120"/>
      <c r="P3039" s="121"/>
      <c r="Q3039" s="120"/>
      <c r="R3039" s="121"/>
      <c r="S3039" s="120"/>
      <c r="T3039" s="121"/>
      <c r="U3039" s="120"/>
      <c r="V3039" s="123"/>
      <c r="W3039" s="125"/>
      <c r="X3039" s="142" t="s">
        <v>9747</v>
      </c>
      <c r="Y3039" s="143"/>
      <c r="Z3039" s="143"/>
      <c r="AA3039" s="143"/>
      <c r="AB3039" s="144"/>
      <c r="AC3039" s="16" t="s">
        <v>21</v>
      </c>
      <c r="AD3039" s="17" t="s">
        <v>9662</v>
      </c>
      <c r="AE3039" s="145" t="s">
        <v>171</v>
      </c>
      <c r="AF3039" s="146"/>
      <c r="AG3039" s="146"/>
      <c r="AH3039" s="146"/>
      <c r="AI3039" s="147"/>
      <c r="AJ3039" s="148"/>
      <c r="AK3039" s="143"/>
      <c r="AL3039" s="144"/>
      <c r="AM3039" s="22" t="s">
        <v>51</v>
      </c>
      <c r="AN3039" s="149" t="s">
        <v>7284</v>
      </c>
      <c r="AO3039" s="144"/>
      <c r="AP3039" s="148">
        <v>81038</v>
      </c>
      <c r="AQ3039" s="144"/>
      <c r="AR3039" s="120"/>
      <c r="AS3039" s="121"/>
      <c r="AT3039" s="120"/>
      <c r="AU3039" s="121"/>
      <c r="AV3039" s="120"/>
      <c r="AW3039" s="121"/>
      <c r="AX3039" s="120"/>
      <c r="AY3039" s="121"/>
      <c r="AZ3039" s="138"/>
    </row>
    <row r="3040" spans="1:52" ht="17.100000000000001" customHeight="1" thickTop="1">
      <c r="A3040" s="109" t="s">
        <v>9748</v>
      </c>
      <c r="B3040" s="28">
        <v>45960</v>
      </c>
      <c r="C3040" s="25">
        <v>2000</v>
      </c>
      <c r="D3040" s="13" t="s">
        <v>3381</v>
      </c>
      <c r="E3040" s="111"/>
      <c r="F3040" s="113" t="s">
        <v>6779</v>
      </c>
      <c r="G3040" s="114"/>
      <c r="H3040" s="115"/>
      <c r="I3040" s="24" t="s">
        <v>3399</v>
      </c>
      <c r="J3040" s="150" t="s">
        <v>1715</v>
      </c>
      <c r="K3040" s="118">
        <v>692000</v>
      </c>
      <c r="L3040" s="119"/>
      <c r="M3040" s="118">
        <f t="shared" ref="M3040" si="2076">K3040*0.1</f>
        <v>69200</v>
      </c>
      <c r="N3040" s="119"/>
      <c r="O3040" s="118">
        <v>0</v>
      </c>
      <c r="P3040" s="119"/>
      <c r="Q3040" s="118">
        <v>9080</v>
      </c>
      <c r="R3040" s="119"/>
      <c r="S3040" s="118">
        <v>22000</v>
      </c>
      <c r="T3040" s="119"/>
      <c r="U3040" s="118">
        <f t="shared" ref="U3040" si="2077">SUM(K3040:T3041)</f>
        <v>792280</v>
      </c>
      <c r="V3040" s="122"/>
      <c r="W3040" s="124"/>
      <c r="X3040" s="126" t="s">
        <v>9639</v>
      </c>
      <c r="Y3040" s="127"/>
      <c r="Z3040" s="127"/>
      <c r="AA3040" s="127"/>
      <c r="AB3040" s="128"/>
      <c r="AC3040" s="15" t="s">
        <v>20</v>
      </c>
      <c r="AD3040" s="129" t="s">
        <v>9640</v>
      </c>
      <c r="AE3040" s="130"/>
      <c r="AF3040" s="130"/>
      <c r="AG3040" s="130"/>
      <c r="AH3040" s="130"/>
      <c r="AI3040" s="131"/>
      <c r="AJ3040" s="132"/>
      <c r="AK3040" s="127"/>
      <c r="AL3040" s="128"/>
      <c r="AM3040" s="21"/>
      <c r="AN3040" s="133">
        <v>46004</v>
      </c>
      <c r="AO3040" s="134"/>
      <c r="AP3040" s="135">
        <v>1280</v>
      </c>
      <c r="AQ3040" s="136"/>
      <c r="AR3040" s="118">
        <v>760000</v>
      </c>
      <c r="AS3040" s="119"/>
      <c r="AT3040" s="118">
        <f t="shared" ref="AT3040" si="2078">AR3040*0.1</f>
        <v>76000</v>
      </c>
      <c r="AU3040" s="119"/>
      <c r="AV3040" s="118">
        <v>9080</v>
      </c>
      <c r="AW3040" s="119"/>
      <c r="AX3040" s="118">
        <f t="shared" ref="AX3040" si="2079">SUM(AR3040:AW3040)</f>
        <v>845080</v>
      </c>
      <c r="AY3040" s="119"/>
      <c r="AZ3040" s="137">
        <v>46008</v>
      </c>
    </row>
    <row r="3041" spans="1:52" ht="17.100000000000001" customHeight="1" thickBot="1">
      <c r="A3041" s="110"/>
      <c r="B3041" s="27" t="s">
        <v>2200</v>
      </c>
      <c r="C3041" s="27">
        <v>50247</v>
      </c>
      <c r="D3041" s="14" t="s">
        <v>2601</v>
      </c>
      <c r="E3041" s="112"/>
      <c r="F3041" s="139" t="s">
        <v>9638</v>
      </c>
      <c r="G3041" s="140"/>
      <c r="H3041" s="141"/>
      <c r="I3041" s="26">
        <v>60407</v>
      </c>
      <c r="J3041" s="117"/>
      <c r="K3041" s="120"/>
      <c r="L3041" s="121"/>
      <c r="M3041" s="120"/>
      <c r="N3041" s="121"/>
      <c r="O3041" s="120"/>
      <c r="P3041" s="121"/>
      <c r="Q3041" s="120"/>
      <c r="R3041" s="121"/>
      <c r="S3041" s="120"/>
      <c r="T3041" s="121"/>
      <c r="U3041" s="120"/>
      <c r="V3041" s="123"/>
      <c r="W3041" s="125"/>
      <c r="X3041" s="142" t="s">
        <v>10243</v>
      </c>
      <c r="Y3041" s="143"/>
      <c r="Z3041" s="143"/>
      <c r="AA3041" s="143"/>
      <c r="AB3041" s="144"/>
      <c r="AC3041" s="16" t="s">
        <v>21</v>
      </c>
      <c r="AD3041" s="17" t="s">
        <v>3397</v>
      </c>
      <c r="AE3041" s="145" t="s">
        <v>10244</v>
      </c>
      <c r="AF3041" s="146"/>
      <c r="AG3041" s="146"/>
      <c r="AH3041" s="146"/>
      <c r="AI3041" s="147"/>
      <c r="AJ3041" s="148" t="s">
        <v>10066</v>
      </c>
      <c r="AK3041" s="143"/>
      <c r="AL3041" s="144"/>
      <c r="AM3041" s="22"/>
      <c r="AN3041" s="149" t="s">
        <v>7284</v>
      </c>
      <c r="AO3041" s="144"/>
      <c r="AP3041" s="148">
        <v>60157</v>
      </c>
      <c r="AQ3041" s="144"/>
      <c r="AR3041" s="120"/>
      <c r="AS3041" s="121"/>
      <c r="AT3041" s="120"/>
      <c r="AU3041" s="121"/>
      <c r="AV3041" s="120"/>
      <c r="AW3041" s="121"/>
      <c r="AX3041" s="120"/>
      <c r="AY3041" s="121"/>
      <c r="AZ3041" s="138"/>
    </row>
    <row r="3042" spans="1:52" ht="16.5" customHeight="1" thickTop="1">
      <c r="A3042" s="109" t="s">
        <v>9749</v>
      </c>
      <c r="B3042" s="28">
        <v>45960</v>
      </c>
      <c r="C3042" s="25">
        <v>2132</v>
      </c>
      <c r="D3042" s="13" t="s">
        <v>1831</v>
      </c>
      <c r="E3042" s="111"/>
      <c r="F3042" s="113" t="s">
        <v>9641</v>
      </c>
      <c r="G3042" s="114"/>
      <c r="H3042" s="115"/>
      <c r="I3042" s="24" t="s">
        <v>7253</v>
      </c>
      <c r="J3042" s="116">
        <v>3.5</v>
      </c>
      <c r="K3042" s="118">
        <v>326000</v>
      </c>
      <c r="L3042" s="119"/>
      <c r="M3042" s="118">
        <f t="shared" ref="M3042" si="2080">K3042*0.1</f>
        <v>32600</v>
      </c>
      <c r="N3042" s="119"/>
      <c r="O3042" s="118">
        <v>0</v>
      </c>
      <c r="P3042" s="119"/>
      <c r="Q3042" s="118">
        <v>8580</v>
      </c>
      <c r="R3042" s="119"/>
      <c r="S3042" s="118">
        <v>13750</v>
      </c>
      <c r="T3042" s="119"/>
      <c r="U3042" s="118">
        <f t="shared" ref="U3042" si="2081">SUM(K3042:T3043)</f>
        <v>380930</v>
      </c>
      <c r="V3042" s="122"/>
      <c r="W3042" s="124"/>
      <c r="X3042" s="126" t="s">
        <v>9643</v>
      </c>
      <c r="Y3042" s="127"/>
      <c r="Z3042" s="127"/>
      <c r="AA3042" s="127"/>
      <c r="AB3042" s="128"/>
      <c r="AC3042" s="15" t="s">
        <v>20</v>
      </c>
      <c r="AD3042" s="129"/>
      <c r="AE3042" s="130"/>
      <c r="AF3042" s="130"/>
      <c r="AG3042" s="130"/>
      <c r="AH3042" s="130"/>
      <c r="AI3042" s="131"/>
      <c r="AJ3042" s="132" t="s">
        <v>12049</v>
      </c>
      <c r="AK3042" s="127"/>
      <c r="AL3042" s="128"/>
      <c r="AM3042" s="21"/>
      <c r="AN3042" s="133">
        <v>45990</v>
      </c>
      <c r="AO3042" s="134"/>
      <c r="AP3042" s="135">
        <v>1278</v>
      </c>
      <c r="AQ3042" s="136"/>
      <c r="AR3042" s="118">
        <v>365000</v>
      </c>
      <c r="AS3042" s="119"/>
      <c r="AT3042" s="118">
        <f t="shared" ref="AT3042" si="2082">AR3042*0.1</f>
        <v>36500</v>
      </c>
      <c r="AU3042" s="119"/>
      <c r="AV3042" s="118">
        <v>8580</v>
      </c>
      <c r="AW3042" s="119"/>
      <c r="AX3042" s="118">
        <f t="shared" ref="AX3042" si="2083">SUM(AR3042:AW3042)</f>
        <v>410080</v>
      </c>
      <c r="AY3042" s="119"/>
      <c r="AZ3042" s="137">
        <v>45994</v>
      </c>
    </row>
    <row r="3043" spans="1:52" ht="17.100000000000001" customHeight="1" thickBot="1">
      <c r="A3043" s="110"/>
      <c r="B3043" s="27" t="s">
        <v>3281</v>
      </c>
      <c r="C3043" s="27">
        <v>62</v>
      </c>
      <c r="D3043" s="14" t="s">
        <v>3327</v>
      </c>
      <c r="E3043" s="112"/>
      <c r="F3043" s="139" t="s">
        <v>9642</v>
      </c>
      <c r="G3043" s="140"/>
      <c r="H3043" s="141"/>
      <c r="I3043" s="26">
        <v>26660</v>
      </c>
      <c r="J3043" s="117"/>
      <c r="K3043" s="120"/>
      <c r="L3043" s="121"/>
      <c r="M3043" s="120"/>
      <c r="N3043" s="121"/>
      <c r="O3043" s="120"/>
      <c r="P3043" s="121"/>
      <c r="Q3043" s="120"/>
      <c r="R3043" s="121"/>
      <c r="S3043" s="120"/>
      <c r="T3043" s="121"/>
      <c r="U3043" s="120"/>
      <c r="V3043" s="123"/>
      <c r="W3043" s="125"/>
      <c r="X3043" s="142" t="s">
        <v>10166</v>
      </c>
      <c r="Y3043" s="143"/>
      <c r="Z3043" s="143"/>
      <c r="AA3043" s="143"/>
      <c r="AB3043" s="144"/>
      <c r="AC3043" s="16" t="s">
        <v>21</v>
      </c>
      <c r="AD3043" s="17" t="s">
        <v>10146</v>
      </c>
      <c r="AE3043" s="145" t="s">
        <v>10312</v>
      </c>
      <c r="AF3043" s="146"/>
      <c r="AG3043" s="146"/>
      <c r="AH3043" s="146"/>
      <c r="AI3043" s="147"/>
      <c r="AJ3043" s="148" t="s">
        <v>12048</v>
      </c>
      <c r="AK3043" s="143"/>
      <c r="AL3043" s="144"/>
      <c r="AM3043" s="22"/>
      <c r="AN3043" s="149" t="s">
        <v>2511</v>
      </c>
      <c r="AO3043" s="144"/>
      <c r="AP3043" s="148">
        <v>60005</v>
      </c>
      <c r="AQ3043" s="144"/>
      <c r="AR3043" s="120"/>
      <c r="AS3043" s="121"/>
      <c r="AT3043" s="120"/>
      <c r="AU3043" s="121"/>
      <c r="AV3043" s="120"/>
      <c r="AW3043" s="121"/>
      <c r="AX3043" s="120"/>
      <c r="AY3043" s="121"/>
      <c r="AZ3043" s="138"/>
    </row>
    <row r="3044" spans="1:52" ht="17.100000000000001" customHeight="1" thickTop="1">
      <c r="A3044" s="109" t="s">
        <v>9750</v>
      </c>
      <c r="B3044" s="28">
        <v>45960</v>
      </c>
      <c r="C3044" s="25">
        <v>2132</v>
      </c>
      <c r="D3044" s="13" t="s">
        <v>1686</v>
      </c>
      <c r="E3044" s="111"/>
      <c r="F3044" s="113" t="s">
        <v>9644</v>
      </c>
      <c r="G3044" s="114"/>
      <c r="H3044" s="115"/>
      <c r="I3044" s="24" t="s">
        <v>1559</v>
      </c>
      <c r="J3044" s="116">
        <v>3.5</v>
      </c>
      <c r="K3044" s="118">
        <v>157000</v>
      </c>
      <c r="L3044" s="119"/>
      <c r="M3044" s="118">
        <f t="shared" ref="M3044" si="2084">K3044*0.1</f>
        <v>15700</v>
      </c>
      <c r="N3044" s="119"/>
      <c r="O3044" s="118">
        <v>0</v>
      </c>
      <c r="P3044" s="119"/>
      <c r="Q3044" s="118">
        <v>7950</v>
      </c>
      <c r="R3044" s="119"/>
      <c r="S3044" s="118">
        <v>13750</v>
      </c>
      <c r="T3044" s="119"/>
      <c r="U3044" s="118">
        <f t="shared" ref="U3044" si="2085">SUM(K3044:T3045)</f>
        <v>194400</v>
      </c>
      <c r="V3044" s="122"/>
      <c r="W3044" s="124"/>
      <c r="X3044" s="126" t="s">
        <v>9646</v>
      </c>
      <c r="Y3044" s="127"/>
      <c r="Z3044" s="127"/>
      <c r="AA3044" s="127"/>
      <c r="AB3044" s="128"/>
      <c r="AC3044" s="15" t="s">
        <v>20</v>
      </c>
      <c r="AD3044" s="129"/>
      <c r="AE3044" s="130"/>
      <c r="AF3044" s="130"/>
      <c r="AG3044" s="130"/>
      <c r="AH3044" s="130"/>
      <c r="AI3044" s="131"/>
      <c r="AJ3044" s="132"/>
      <c r="AK3044" s="127"/>
      <c r="AL3044" s="128"/>
      <c r="AM3044" s="21" t="s">
        <v>11027</v>
      </c>
      <c r="AN3044" s="133">
        <v>46123</v>
      </c>
      <c r="AO3044" s="134"/>
      <c r="AP3044" s="135">
        <v>1296</v>
      </c>
      <c r="AQ3044" s="136"/>
      <c r="AR3044" s="118">
        <v>112000</v>
      </c>
      <c r="AS3044" s="119"/>
      <c r="AT3044" s="118">
        <f t="shared" ref="AT3044" si="2086">AR3044*0.1</f>
        <v>11200</v>
      </c>
      <c r="AU3044" s="119"/>
      <c r="AV3044" s="118">
        <v>7950</v>
      </c>
      <c r="AW3044" s="119"/>
      <c r="AX3044" s="118">
        <f t="shared" ref="AX3044" si="2087">SUM(AR3044:AW3044)</f>
        <v>131150</v>
      </c>
      <c r="AY3044" s="119"/>
      <c r="AZ3044" s="137">
        <v>46126</v>
      </c>
    </row>
    <row r="3045" spans="1:52" ht="17.100000000000001" customHeight="1" thickBot="1">
      <c r="A3045" s="110"/>
      <c r="B3045" s="27" t="s">
        <v>3281</v>
      </c>
      <c r="C3045" s="27">
        <v>247</v>
      </c>
      <c r="D3045" s="14" t="s">
        <v>2206</v>
      </c>
      <c r="E3045" s="112"/>
      <c r="F3045" s="139" t="s">
        <v>9645</v>
      </c>
      <c r="G3045" s="140"/>
      <c r="H3045" s="141"/>
      <c r="I3045" s="26">
        <v>149956</v>
      </c>
      <c r="J3045" s="117"/>
      <c r="K3045" s="120"/>
      <c r="L3045" s="121"/>
      <c r="M3045" s="120"/>
      <c r="N3045" s="121"/>
      <c r="O3045" s="120"/>
      <c r="P3045" s="121"/>
      <c r="Q3045" s="120"/>
      <c r="R3045" s="121"/>
      <c r="S3045" s="120"/>
      <c r="T3045" s="121"/>
      <c r="U3045" s="120"/>
      <c r="V3045" s="123"/>
      <c r="W3045" s="125"/>
      <c r="X3045" s="142" t="s">
        <v>10165</v>
      </c>
      <c r="Y3045" s="143"/>
      <c r="Z3045" s="143"/>
      <c r="AA3045" s="143"/>
      <c r="AB3045" s="144"/>
      <c r="AC3045" s="16" t="s">
        <v>21</v>
      </c>
      <c r="AD3045" s="17" t="s">
        <v>10146</v>
      </c>
      <c r="AE3045" s="145" t="s">
        <v>2360</v>
      </c>
      <c r="AF3045" s="146"/>
      <c r="AG3045" s="146"/>
      <c r="AH3045" s="146"/>
      <c r="AI3045" s="147"/>
      <c r="AJ3045" s="148"/>
      <c r="AK3045" s="143"/>
      <c r="AL3045" s="144"/>
      <c r="AM3045" s="22"/>
      <c r="AN3045" s="149" t="s">
        <v>7284</v>
      </c>
      <c r="AO3045" s="144"/>
      <c r="AP3045" s="148">
        <v>90531</v>
      </c>
      <c r="AQ3045" s="144"/>
      <c r="AR3045" s="120"/>
      <c r="AS3045" s="121"/>
      <c r="AT3045" s="120"/>
      <c r="AU3045" s="121"/>
      <c r="AV3045" s="120"/>
      <c r="AW3045" s="121"/>
      <c r="AX3045" s="120"/>
      <c r="AY3045" s="121"/>
      <c r="AZ3045" s="138"/>
    </row>
    <row r="3046" spans="1:52" ht="17.100000000000001" customHeight="1" thickTop="1">
      <c r="A3046" s="109" t="s">
        <v>9751</v>
      </c>
      <c r="B3046" s="28">
        <v>45960</v>
      </c>
      <c r="C3046" s="25">
        <v>2132</v>
      </c>
      <c r="D3046" s="13" t="s">
        <v>3014</v>
      </c>
      <c r="E3046" s="111"/>
      <c r="F3046" s="113" t="s">
        <v>9647</v>
      </c>
      <c r="G3046" s="114"/>
      <c r="H3046" s="115"/>
      <c r="I3046" s="24" t="s">
        <v>4193</v>
      </c>
      <c r="J3046" s="116">
        <v>4</v>
      </c>
      <c r="K3046" s="118">
        <v>638000</v>
      </c>
      <c r="L3046" s="119"/>
      <c r="M3046" s="118">
        <f t="shared" ref="M3046" si="2088">K3046*0.1</f>
        <v>63800</v>
      </c>
      <c r="N3046" s="119"/>
      <c r="O3046" s="118">
        <v>0</v>
      </c>
      <c r="P3046" s="119"/>
      <c r="Q3046" s="118">
        <v>8040</v>
      </c>
      <c r="R3046" s="119"/>
      <c r="S3046" s="118">
        <v>13750</v>
      </c>
      <c r="T3046" s="119"/>
      <c r="U3046" s="118">
        <f t="shared" ref="U3046" si="2089">SUM(K3046:T3047)</f>
        <v>723590</v>
      </c>
      <c r="V3046" s="122"/>
      <c r="W3046" s="124"/>
      <c r="X3046" s="126" t="s">
        <v>9649</v>
      </c>
      <c r="Y3046" s="127"/>
      <c r="Z3046" s="127"/>
      <c r="AA3046" s="127"/>
      <c r="AB3046" s="128"/>
      <c r="AC3046" s="15" t="s">
        <v>20</v>
      </c>
      <c r="AD3046" s="129" t="s">
        <v>1670</v>
      </c>
      <c r="AE3046" s="130"/>
      <c r="AF3046" s="130"/>
      <c r="AG3046" s="130"/>
      <c r="AH3046" s="130"/>
      <c r="AI3046" s="131"/>
      <c r="AJ3046" s="132"/>
      <c r="AK3046" s="127"/>
      <c r="AL3046" s="128"/>
      <c r="AM3046" s="21" t="s">
        <v>11013</v>
      </c>
      <c r="AN3046" s="133">
        <v>45980</v>
      </c>
      <c r="AO3046" s="134"/>
      <c r="AP3046" s="135">
        <v>993</v>
      </c>
      <c r="AQ3046" s="136"/>
      <c r="AR3046" s="118">
        <v>710000</v>
      </c>
      <c r="AS3046" s="119"/>
      <c r="AT3046" s="118">
        <f t="shared" ref="AT3046" si="2090">AR3046*0.1</f>
        <v>71000</v>
      </c>
      <c r="AU3046" s="119"/>
      <c r="AV3046" s="118">
        <v>8040</v>
      </c>
      <c r="AW3046" s="119"/>
      <c r="AX3046" s="118">
        <f t="shared" ref="AX3046" si="2091">SUM(AR3046:AW3046)</f>
        <v>789040</v>
      </c>
      <c r="AY3046" s="119"/>
      <c r="AZ3046" s="137">
        <v>45986</v>
      </c>
    </row>
    <row r="3047" spans="1:52" ht="17.100000000000001" customHeight="1" thickBot="1">
      <c r="A3047" s="110"/>
      <c r="B3047" s="27" t="s">
        <v>3281</v>
      </c>
      <c r="C3047" s="27">
        <v>2003</v>
      </c>
      <c r="D3047" s="14" t="s">
        <v>3855</v>
      </c>
      <c r="E3047" s="112"/>
      <c r="F3047" s="139" t="s">
        <v>9648</v>
      </c>
      <c r="G3047" s="140"/>
      <c r="H3047" s="141"/>
      <c r="I3047" s="26">
        <v>21302</v>
      </c>
      <c r="J3047" s="117"/>
      <c r="K3047" s="120"/>
      <c r="L3047" s="121"/>
      <c r="M3047" s="120"/>
      <c r="N3047" s="121"/>
      <c r="O3047" s="120"/>
      <c r="P3047" s="121"/>
      <c r="Q3047" s="120"/>
      <c r="R3047" s="121"/>
      <c r="S3047" s="120"/>
      <c r="T3047" s="121"/>
      <c r="U3047" s="120"/>
      <c r="V3047" s="123"/>
      <c r="W3047" s="125"/>
      <c r="X3047" s="142" t="s">
        <v>10167</v>
      </c>
      <c r="Y3047" s="143"/>
      <c r="Z3047" s="143"/>
      <c r="AA3047" s="143"/>
      <c r="AB3047" s="144"/>
      <c r="AC3047" s="16" t="s">
        <v>21</v>
      </c>
      <c r="AD3047" s="17" t="s">
        <v>10146</v>
      </c>
      <c r="AE3047" s="145" t="s">
        <v>10168</v>
      </c>
      <c r="AF3047" s="146"/>
      <c r="AG3047" s="146"/>
      <c r="AH3047" s="146"/>
      <c r="AI3047" s="147"/>
      <c r="AJ3047" s="148"/>
      <c r="AK3047" s="143"/>
      <c r="AL3047" s="144"/>
      <c r="AM3047" s="22"/>
      <c r="AN3047" s="149" t="s">
        <v>2794</v>
      </c>
      <c r="AO3047" s="144"/>
      <c r="AP3047" s="148">
        <v>2064</v>
      </c>
      <c r="AQ3047" s="144"/>
      <c r="AR3047" s="120"/>
      <c r="AS3047" s="121"/>
      <c r="AT3047" s="120"/>
      <c r="AU3047" s="121"/>
      <c r="AV3047" s="120"/>
      <c r="AW3047" s="121"/>
      <c r="AX3047" s="120"/>
      <c r="AY3047" s="121"/>
      <c r="AZ3047" s="138"/>
    </row>
    <row r="3048" spans="1:52" ht="17.100000000000001" customHeight="1" thickTop="1">
      <c r="A3048" s="109" t="s">
        <v>9752</v>
      </c>
      <c r="B3048" s="28">
        <v>45960</v>
      </c>
      <c r="C3048" s="25">
        <v>2132</v>
      </c>
      <c r="D3048" s="13" t="s">
        <v>2428</v>
      </c>
      <c r="E3048" s="111"/>
      <c r="F3048" s="113" t="s">
        <v>9650</v>
      </c>
      <c r="G3048" s="114"/>
      <c r="H3048" s="115"/>
      <c r="I3048" s="24" t="s">
        <v>9652</v>
      </c>
      <c r="J3048" s="116">
        <v>4.5</v>
      </c>
      <c r="K3048" s="118">
        <v>902000</v>
      </c>
      <c r="L3048" s="119"/>
      <c r="M3048" s="118">
        <f t="shared" ref="M3048" si="2092">K3048*0.1</f>
        <v>90200</v>
      </c>
      <c r="N3048" s="119"/>
      <c r="O3048" s="118">
        <v>0</v>
      </c>
      <c r="P3048" s="119"/>
      <c r="Q3048" s="118">
        <v>6550</v>
      </c>
      <c r="R3048" s="119"/>
      <c r="S3048" s="118">
        <v>13750</v>
      </c>
      <c r="T3048" s="119"/>
      <c r="U3048" s="118">
        <f t="shared" ref="U3048" si="2093">SUM(K3048:T3049)</f>
        <v>1012500</v>
      </c>
      <c r="V3048" s="122"/>
      <c r="W3048" s="124"/>
      <c r="X3048" s="126" t="s">
        <v>9653</v>
      </c>
      <c r="Y3048" s="127"/>
      <c r="Z3048" s="127"/>
      <c r="AA3048" s="127"/>
      <c r="AB3048" s="128"/>
      <c r="AC3048" s="15" t="s">
        <v>20</v>
      </c>
      <c r="AD3048" s="129" t="s">
        <v>1797</v>
      </c>
      <c r="AE3048" s="130"/>
      <c r="AF3048" s="130"/>
      <c r="AG3048" s="130"/>
      <c r="AH3048" s="130"/>
      <c r="AI3048" s="131"/>
      <c r="AJ3048" s="132"/>
      <c r="AK3048" s="127"/>
      <c r="AL3048" s="128"/>
      <c r="AM3048" s="21" t="s">
        <v>10253</v>
      </c>
      <c r="AN3048" s="133">
        <v>45965</v>
      </c>
      <c r="AO3048" s="134"/>
      <c r="AP3048" s="135">
        <v>1916</v>
      </c>
      <c r="AQ3048" s="136"/>
      <c r="AR3048" s="118">
        <v>955000</v>
      </c>
      <c r="AS3048" s="119"/>
      <c r="AT3048" s="118">
        <f t="shared" ref="AT3048" si="2094">AR3048*0.1</f>
        <v>95500</v>
      </c>
      <c r="AU3048" s="119"/>
      <c r="AV3048" s="118">
        <v>6550</v>
      </c>
      <c r="AW3048" s="119"/>
      <c r="AX3048" s="118">
        <f t="shared" ref="AX3048" si="2095">SUM(AR3048:AW3048)</f>
        <v>1057050</v>
      </c>
      <c r="AY3048" s="119"/>
      <c r="AZ3048" s="137">
        <v>45971</v>
      </c>
    </row>
    <row r="3049" spans="1:52" ht="17.100000000000001" customHeight="1" thickBot="1">
      <c r="A3049" s="110"/>
      <c r="B3049" s="27" t="s">
        <v>3281</v>
      </c>
      <c r="C3049" s="27">
        <v>2566</v>
      </c>
      <c r="D3049" s="14" t="s">
        <v>1576</v>
      </c>
      <c r="E3049" s="112"/>
      <c r="F3049" s="139" t="s">
        <v>9651</v>
      </c>
      <c r="G3049" s="140"/>
      <c r="H3049" s="141"/>
      <c r="I3049" s="26">
        <v>22946</v>
      </c>
      <c r="J3049" s="117"/>
      <c r="K3049" s="120"/>
      <c r="L3049" s="121"/>
      <c r="M3049" s="120"/>
      <c r="N3049" s="121"/>
      <c r="O3049" s="120"/>
      <c r="P3049" s="121"/>
      <c r="Q3049" s="120"/>
      <c r="R3049" s="121"/>
      <c r="S3049" s="120"/>
      <c r="T3049" s="121"/>
      <c r="U3049" s="120"/>
      <c r="V3049" s="123"/>
      <c r="W3049" s="125"/>
      <c r="X3049" s="142" t="s">
        <v>10249</v>
      </c>
      <c r="Y3049" s="143"/>
      <c r="Z3049" s="143"/>
      <c r="AA3049" s="143"/>
      <c r="AB3049" s="144"/>
      <c r="AC3049" s="16" t="s">
        <v>21</v>
      </c>
      <c r="AD3049" s="17" t="s">
        <v>10146</v>
      </c>
      <c r="AE3049" s="145" t="s">
        <v>171</v>
      </c>
      <c r="AF3049" s="146"/>
      <c r="AG3049" s="146"/>
      <c r="AH3049" s="146"/>
      <c r="AI3049" s="147"/>
      <c r="AJ3049" s="148"/>
      <c r="AK3049" s="143"/>
      <c r="AL3049" s="144"/>
      <c r="AM3049" s="22"/>
      <c r="AN3049" s="149" t="s">
        <v>2131</v>
      </c>
      <c r="AO3049" s="144"/>
      <c r="AP3049" s="148">
        <v>3191</v>
      </c>
      <c r="AQ3049" s="144"/>
      <c r="AR3049" s="120"/>
      <c r="AS3049" s="121"/>
      <c r="AT3049" s="120"/>
      <c r="AU3049" s="121"/>
      <c r="AV3049" s="120"/>
      <c r="AW3049" s="121"/>
      <c r="AX3049" s="120"/>
      <c r="AY3049" s="121"/>
      <c r="AZ3049" s="138"/>
    </row>
    <row r="3050" spans="1:52" ht="17.100000000000001" customHeight="1" thickTop="1">
      <c r="A3050" s="109" t="s">
        <v>9753</v>
      </c>
      <c r="B3050" s="28">
        <v>45960</v>
      </c>
      <c r="C3050" s="25">
        <v>2132</v>
      </c>
      <c r="D3050" s="13" t="s">
        <v>1572</v>
      </c>
      <c r="E3050" s="111"/>
      <c r="F3050" s="113" t="s">
        <v>7085</v>
      </c>
      <c r="G3050" s="114"/>
      <c r="H3050" s="115"/>
      <c r="I3050" s="24"/>
      <c r="J3050" s="116">
        <v>4</v>
      </c>
      <c r="K3050" s="118">
        <v>932000</v>
      </c>
      <c r="L3050" s="119"/>
      <c r="M3050" s="118">
        <f t="shared" ref="M3050" si="2096">K3050*0.1</f>
        <v>93200</v>
      </c>
      <c r="N3050" s="119"/>
      <c r="O3050" s="118">
        <v>0</v>
      </c>
      <c r="P3050" s="119"/>
      <c r="Q3050" s="118">
        <v>9010</v>
      </c>
      <c r="R3050" s="119"/>
      <c r="S3050" s="118">
        <v>13750</v>
      </c>
      <c r="T3050" s="119"/>
      <c r="U3050" s="118">
        <f t="shared" ref="U3050" si="2097">SUM(K3050:T3051)</f>
        <v>1047960</v>
      </c>
      <c r="V3050" s="122"/>
      <c r="W3050" s="124"/>
      <c r="X3050" s="126" t="s">
        <v>10144</v>
      </c>
      <c r="Y3050" s="127"/>
      <c r="Z3050" s="127"/>
      <c r="AA3050" s="127"/>
      <c r="AB3050" s="128"/>
      <c r="AC3050" s="15" t="s">
        <v>20</v>
      </c>
      <c r="AD3050" s="129" t="s">
        <v>1670</v>
      </c>
      <c r="AE3050" s="130"/>
      <c r="AF3050" s="130"/>
      <c r="AG3050" s="130"/>
      <c r="AH3050" s="130"/>
      <c r="AI3050" s="131"/>
      <c r="AJ3050" s="132"/>
      <c r="AK3050" s="127"/>
      <c r="AL3050" s="128"/>
      <c r="AM3050" s="21"/>
      <c r="AN3050" s="133">
        <v>45966</v>
      </c>
      <c r="AO3050" s="134"/>
      <c r="AP3050" s="135">
        <v>991</v>
      </c>
      <c r="AQ3050" s="136"/>
      <c r="AR3050" s="118">
        <v>1080000</v>
      </c>
      <c r="AS3050" s="119"/>
      <c r="AT3050" s="118">
        <f t="shared" ref="AT3050" si="2098">AR3050*0.1</f>
        <v>108000</v>
      </c>
      <c r="AU3050" s="119"/>
      <c r="AV3050" s="118">
        <v>9010</v>
      </c>
      <c r="AW3050" s="119"/>
      <c r="AX3050" s="118">
        <f t="shared" ref="AX3050" si="2099">SUM(AR3050:AW3050)</f>
        <v>1197010</v>
      </c>
      <c r="AY3050" s="119"/>
      <c r="AZ3050" s="137">
        <v>45971</v>
      </c>
    </row>
    <row r="3051" spans="1:52" ht="17.100000000000001" customHeight="1" thickBot="1">
      <c r="A3051" s="110"/>
      <c r="B3051" s="27" t="s">
        <v>3281</v>
      </c>
      <c r="C3051" s="27">
        <v>2572</v>
      </c>
      <c r="D3051" s="14" t="s">
        <v>1592</v>
      </c>
      <c r="E3051" s="112"/>
      <c r="F3051" s="139" t="s">
        <v>9654</v>
      </c>
      <c r="G3051" s="140"/>
      <c r="H3051" s="141"/>
      <c r="I3051" s="26">
        <v>29039</v>
      </c>
      <c r="J3051" s="117"/>
      <c r="K3051" s="120"/>
      <c r="L3051" s="121"/>
      <c r="M3051" s="120"/>
      <c r="N3051" s="121"/>
      <c r="O3051" s="120"/>
      <c r="P3051" s="121"/>
      <c r="Q3051" s="120"/>
      <c r="R3051" s="121"/>
      <c r="S3051" s="120"/>
      <c r="T3051" s="121"/>
      <c r="U3051" s="120"/>
      <c r="V3051" s="123"/>
      <c r="W3051" s="125"/>
      <c r="X3051" s="142" t="s">
        <v>10145</v>
      </c>
      <c r="Y3051" s="143"/>
      <c r="Z3051" s="143"/>
      <c r="AA3051" s="143"/>
      <c r="AB3051" s="144"/>
      <c r="AC3051" s="16" t="s">
        <v>21</v>
      </c>
      <c r="AD3051" s="17" t="s">
        <v>10146</v>
      </c>
      <c r="AE3051" s="145" t="s">
        <v>2395</v>
      </c>
      <c r="AF3051" s="146"/>
      <c r="AG3051" s="146"/>
      <c r="AH3051" s="146"/>
      <c r="AI3051" s="147"/>
      <c r="AJ3051" s="148"/>
      <c r="AK3051" s="143"/>
      <c r="AL3051" s="144"/>
      <c r="AM3051" s="22"/>
      <c r="AN3051" s="149" t="s">
        <v>2794</v>
      </c>
      <c r="AO3051" s="144"/>
      <c r="AP3051" s="148">
        <v>2067</v>
      </c>
      <c r="AQ3051" s="144"/>
      <c r="AR3051" s="120"/>
      <c r="AS3051" s="121"/>
      <c r="AT3051" s="120"/>
      <c r="AU3051" s="121"/>
      <c r="AV3051" s="120"/>
      <c r="AW3051" s="121"/>
      <c r="AX3051" s="120"/>
      <c r="AY3051" s="121"/>
      <c r="AZ3051" s="138"/>
    </row>
    <row r="3052" spans="1:52" ht="17.100000000000001" customHeight="1" thickTop="1">
      <c r="A3052" s="109" t="s">
        <v>9754</v>
      </c>
      <c r="B3052" s="28">
        <v>45960</v>
      </c>
      <c r="C3052" s="25">
        <v>1956</v>
      </c>
      <c r="D3052" s="13" t="s">
        <v>1795</v>
      </c>
      <c r="E3052" s="111"/>
      <c r="F3052" s="113" t="s">
        <v>9659</v>
      </c>
      <c r="G3052" s="114"/>
      <c r="H3052" s="115"/>
      <c r="I3052" s="24"/>
      <c r="J3052" s="116">
        <v>4.5</v>
      </c>
      <c r="K3052" s="118">
        <v>1995000</v>
      </c>
      <c r="L3052" s="119"/>
      <c r="M3052" s="118">
        <f t="shared" ref="M3052" si="2100">K3052*0.1</f>
        <v>199500</v>
      </c>
      <c r="N3052" s="119"/>
      <c r="O3052" s="118">
        <v>0</v>
      </c>
      <c r="P3052" s="119"/>
      <c r="Q3052" s="118">
        <v>11740</v>
      </c>
      <c r="R3052" s="119"/>
      <c r="S3052" s="118">
        <v>15950</v>
      </c>
      <c r="T3052" s="119"/>
      <c r="U3052" s="118">
        <f t="shared" ref="U3052" si="2101">SUM(K3052:T3053)</f>
        <v>2222190</v>
      </c>
      <c r="V3052" s="122"/>
      <c r="W3052" s="124"/>
      <c r="X3052" s="126" t="s">
        <v>9941</v>
      </c>
      <c r="Y3052" s="127"/>
      <c r="Z3052" s="127"/>
      <c r="AA3052" s="127"/>
      <c r="AB3052" s="128"/>
      <c r="AC3052" s="15" t="s">
        <v>20</v>
      </c>
      <c r="AD3052" s="129"/>
      <c r="AE3052" s="130"/>
      <c r="AF3052" s="130"/>
      <c r="AG3052" s="130"/>
      <c r="AH3052" s="130"/>
      <c r="AI3052" s="131"/>
      <c r="AJ3052" s="132"/>
      <c r="AK3052" s="127"/>
      <c r="AL3052" s="128"/>
      <c r="AM3052" s="21"/>
      <c r="AN3052" s="133">
        <v>46018</v>
      </c>
      <c r="AO3052" s="134"/>
      <c r="AP3052" s="135">
        <v>1282</v>
      </c>
      <c r="AQ3052" s="136"/>
      <c r="AR3052" s="118">
        <v>2075000</v>
      </c>
      <c r="AS3052" s="119"/>
      <c r="AT3052" s="118">
        <f t="shared" ref="AT3052" si="2102">AR3052*0.1</f>
        <v>207500</v>
      </c>
      <c r="AU3052" s="119"/>
      <c r="AV3052" s="118">
        <v>11740</v>
      </c>
      <c r="AW3052" s="119"/>
      <c r="AX3052" s="118">
        <f t="shared" ref="AX3052" si="2103">SUM(AR3052:AW3052)</f>
        <v>2294240</v>
      </c>
      <c r="AY3052" s="119"/>
      <c r="AZ3052" s="137">
        <v>46028</v>
      </c>
    </row>
    <row r="3053" spans="1:52" ht="17.100000000000001" customHeight="1" thickBot="1">
      <c r="A3053" s="110"/>
      <c r="B3053" s="27" t="s">
        <v>3792</v>
      </c>
      <c r="C3053" s="27">
        <v>5015</v>
      </c>
      <c r="D3053" s="14" t="s">
        <v>2836</v>
      </c>
      <c r="E3053" s="112"/>
      <c r="F3053" s="139" t="s">
        <v>9660</v>
      </c>
      <c r="G3053" s="140"/>
      <c r="H3053" s="141"/>
      <c r="I3053" s="26">
        <v>45536</v>
      </c>
      <c r="J3053" s="117"/>
      <c r="K3053" s="120"/>
      <c r="L3053" s="121"/>
      <c r="M3053" s="120"/>
      <c r="N3053" s="121"/>
      <c r="O3053" s="120"/>
      <c r="P3053" s="121"/>
      <c r="Q3053" s="120"/>
      <c r="R3053" s="121"/>
      <c r="S3053" s="120"/>
      <c r="T3053" s="121"/>
      <c r="U3053" s="120"/>
      <c r="V3053" s="123"/>
      <c r="W3053" s="125"/>
      <c r="X3053" s="142" t="s">
        <v>7370</v>
      </c>
      <c r="Y3053" s="143"/>
      <c r="Z3053" s="143"/>
      <c r="AA3053" s="143"/>
      <c r="AB3053" s="144"/>
      <c r="AC3053" s="16" t="s">
        <v>21</v>
      </c>
      <c r="AD3053" s="17" t="s">
        <v>9939</v>
      </c>
      <c r="AE3053" s="145" t="s">
        <v>10033</v>
      </c>
      <c r="AF3053" s="146"/>
      <c r="AG3053" s="146"/>
      <c r="AH3053" s="146"/>
      <c r="AI3053" s="147"/>
      <c r="AJ3053" s="148"/>
      <c r="AK3053" s="143"/>
      <c r="AL3053" s="144"/>
      <c r="AM3053" s="22"/>
      <c r="AN3053" s="149" t="s">
        <v>7284</v>
      </c>
      <c r="AO3053" s="144"/>
      <c r="AP3053" s="148">
        <v>80036</v>
      </c>
      <c r="AQ3053" s="144"/>
      <c r="AR3053" s="120"/>
      <c r="AS3053" s="121"/>
      <c r="AT3053" s="120"/>
      <c r="AU3053" s="121"/>
      <c r="AV3053" s="120"/>
      <c r="AW3053" s="121"/>
      <c r="AX3053" s="120"/>
      <c r="AY3053" s="121"/>
      <c r="AZ3053" s="138"/>
    </row>
    <row r="3054" spans="1:52" ht="17.100000000000001" customHeight="1" thickTop="1">
      <c r="A3054" s="109" t="s">
        <v>9755</v>
      </c>
      <c r="B3054" s="28">
        <v>45960</v>
      </c>
      <c r="C3054" s="25">
        <v>1539</v>
      </c>
      <c r="D3054" s="13" t="s">
        <v>9760</v>
      </c>
      <c r="E3054" s="111"/>
      <c r="F3054" s="113" t="s">
        <v>9757</v>
      </c>
      <c r="G3054" s="114"/>
      <c r="H3054" s="115"/>
      <c r="I3054" s="24" t="s">
        <v>4521</v>
      </c>
      <c r="J3054" s="116">
        <v>4.5</v>
      </c>
      <c r="K3054" s="118">
        <v>2110000</v>
      </c>
      <c r="L3054" s="119"/>
      <c r="M3054" s="118">
        <f t="shared" ref="M3054" si="2104">K3054*0.1</f>
        <v>211000</v>
      </c>
      <c r="N3054" s="119"/>
      <c r="O3054" s="118">
        <f>15000+1500</f>
        <v>16500</v>
      </c>
      <c r="P3054" s="119"/>
      <c r="Q3054" s="118">
        <v>14740</v>
      </c>
      <c r="R3054" s="119"/>
      <c r="S3054" s="118">
        <v>16500</v>
      </c>
      <c r="T3054" s="119"/>
      <c r="U3054" s="118">
        <f t="shared" ref="U3054" si="2105">SUM(K3054:T3055)</f>
        <v>2368740</v>
      </c>
      <c r="V3054" s="122"/>
      <c r="W3054" s="124"/>
      <c r="X3054" s="126" t="s">
        <v>9759</v>
      </c>
      <c r="Y3054" s="127"/>
      <c r="Z3054" s="127"/>
      <c r="AA3054" s="127"/>
      <c r="AB3054" s="128"/>
      <c r="AC3054" s="15" t="s">
        <v>20</v>
      </c>
      <c r="AD3054" s="129" t="s">
        <v>1797</v>
      </c>
      <c r="AE3054" s="130"/>
      <c r="AF3054" s="130"/>
      <c r="AG3054" s="130"/>
      <c r="AH3054" s="130"/>
      <c r="AI3054" s="131"/>
      <c r="AJ3054" s="132"/>
      <c r="AK3054" s="127"/>
      <c r="AL3054" s="128"/>
      <c r="AM3054" s="21" t="s">
        <v>11637</v>
      </c>
      <c r="AN3054" s="133"/>
      <c r="AO3054" s="134"/>
      <c r="AP3054" s="135"/>
      <c r="AQ3054" s="136"/>
      <c r="AR3054" s="118"/>
      <c r="AS3054" s="119"/>
      <c r="AT3054" s="118">
        <f t="shared" ref="AT3054" si="2106">AR3054*0.1</f>
        <v>0</v>
      </c>
      <c r="AU3054" s="119"/>
      <c r="AV3054" s="118"/>
      <c r="AW3054" s="119"/>
      <c r="AX3054" s="118">
        <f t="shared" ref="AX3054" si="2107">SUM(AR3054:AW3054)</f>
        <v>0</v>
      </c>
      <c r="AY3054" s="119"/>
      <c r="AZ3054" s="137"/>
    </row>
    <row r="3055" spans="1:52" ht="17.100000000000001" customHeight="1" thickBot="1">
      <c r="A3055" s="110"/>
      <c r="B3055" s="27" t="s">
        <v>1600</v>
      </c>
      <c r="C3055" s="27">
        <v>73627</v>
      </c>
      <c r="D3055" s="14" t="s">
        <v>1592</v>
      </c>
      <c r="E3055" s="112"/>
      <c r="F3055" s="139" t="s">
        <v>9758</v>
      </c>
      <c r="G3055" s="140"/>
      <c r="H3055" s="141"/>
      <c r="I3055" s="26">
        <v>38020</v>
      </c>
      <c r="J3055" s="117"/>
      <c r="K3055" s="120"/>
      <c r="L3055" s="121"/>
      <c r="M3055" s="120"/>
      <c r="N3055" s="121"/>
      <c r="O3055" s="120"/>
      <c r="P3055" s="121"/>
      <c r="Q3055" s="120"/>
      <c r="R3055" s="121"/>
      <c r="S3055" s="120"/>
      <c r="T3055" s="121"/>
      <c r="U3055" s="120"/>
      <c r="V3055" s="123"/>
      <c r="W3055" s="125"/>
      <c r="X3055" s="142" t="s">
        <v>1673</v>
      </c>
      <c r="Y3055" s="143"/>
      <c r="Z3055" s="143"/>
      <c r="AA3055" s="143"/>
      <c r="AB3055" s="144"/>
      <c r="AC3055" s="16" t="s">
        <v>21</v>
      </c>
      <c r="AD3055" s="17" t="s">
        <v>3379</v>
      </c>
      <c r="AE3055" s="145" t="s">
        <v>10332</v>
      </c>
      <c r="AF3055" s="146"/>
      <c r="AG3055" s="146"/>
      <c r="AH3055" s="146"/>
      <c r="AI3055" s="147"/>
      <c r="AJ3055" s="148"/>
      <c r="AK3055" s="143"/>
      <c r="AL3055" s="144"/>
      <c r="AM3055" s="22"/>
      <c r="AN3055" s="149"/>
      <c r="AO3055" s="144"/>
      <c r="AP3055" s="148"/>
      <c r="AQ3055" s="144"/>
      <c r="AR3055" s="120"/>
      <c r="AS3055" s="121"/>
      <c r="AT3055" s="120"/>
      <c r="AU3055" s="121"/>
      <c r="AV3055" s="120"/>
      <c r="AW3055" s="121"/>
      <c r="AX3055" s="120"/>
      <c r="AY3055" s="121"/>
      <c r="AZ3055" s="138"/>
    </row>
    <row r="3056" spans="1:52" ht="17.100000000000001" customHeight="1" thickTop="1">
      <c r="A3056" s="109" t="s">
        <v>9756</v>
      </c>
      <c r="B3056" s="28">
        <v>45960</v>
      </c>
      <c r="C3056" s="25">
        <v>1539</v>
      </c>
      <c r="D3056" s="13" t="s">
        <v>1586</v>
      </c>
      <c r="E3056" s="111"/>
      <c r="F3056" s="113" t="s">
        <v>9761</v>
      </c>
      <c r="G3056" s="114"/>
      <c r="H3056" s="115"/>
      <c r="I3056" s="24" t="s">
        <v>2861</v>
      </c>
      <c r="J3056" s="116">
        <v>4.5</v>
      </c>
      <c r="K3056" s="118">
        <v>2070000</v>
      </c>
      <c r="L3056" s="119"/>
      <c r="M3056" s="118">
        <f t="shared" ref="M3056" si="2108">K3056*0.1</f>
        <v>207000</v>
      </c>
      <c r="N3056" s="119"/>
      <c r="O3056" s="118">
        <f>16400+1640</f>
        <v>18040</v>
      </c>
      <c r="P3056" s="119"/>
      <c r="Q3056" s="118">
        <v>19090</v>
      </c>
      <c r="R3056" s="119"/>
      <c r="S3056" s="118">
        <v>16500</v>
      </c>
      <c r="T3056" s="119"/>
      <c r="U3056" s="118">
        <f t="shared" ref="U3056" si="2109">SUM(K3056:T3057)</f>
        <v>2330630</v>
      </c>
      <c r="V3056" s="122"/>
      <c r="W3056" s="124"/>
      <c r="X3056" s="126" t="s">
        <v>9763</v>
      </c>
      <c r="Y3056" s="127"/>
      <c r="Z3056" s="127"/>
      <c r="AA3056" s="127"/>
      <c r="AB3056" s="128"/>
      <c r="AC3056" s="15" t="s">
        <v>20</v>
      </c>
      <c r="AD3056" s="129" t="s">
        <v>1633</v>
      </c>
      <c r="AE3056" s="130"/>
      <c r="AF3056" s="130"/>
      <c r="AG3056" s="130"/>
      <c r="AH3056" s="130"/>
      <c r="AI3056" s="131"/>
      <c r="AJ3056" s="132"/>
      <c r="AK3056" s="127"/>
      <c r="AL3056" s="128"/>
      <c r="AM3056" s="21"/>
      <c r="AN3056" s="133">
        <v>45967</v>
      </c>
      <c r="AO3056" s="134"/>
      <c r="AP3056" s="135">
        <v>1305</v>
      </c>
      <c r="AQ3056" s="136"/>
      <c r="AR3056" s="118">
        <v>2215000</v>
      </c>
      <c r="AS3056" s="119"/>
      <c r="AT3056" s="118">
        <f t="shared" ref="AT3056" si="2110">AR3056*0.1</f>
        <v>221500</v>
      </c>
      <c r="AU3056" s="119"/>
      <c r="AV3056" s="118">
        <v>19090</v>
      </c>
      <c r="AW3056" s="119"/>
      <c r="AX3056" s="118">
        <f t="shared" ref="AX3056" si="2111">SUM(AR3056:AW3056)</f>
        <v>2455590</v>
      </c>
      <c r="AY3056" s="119"/>
      <c r="AZ3056" s="137">
        <v>45968</v>
      </c>
    </row>
    <row r="3057" spans="1:52" ht="17.100000000000001" customHeight="1" thickBot="1">
      <c r="A3057" s="110"/>
      <c r="B3057" s="27" t="s">
        <v>1600</v>
      </c>
      <c r="C3057" s="27">
        <v>75410</v>
      </c>
      <c r="D3057" s="14" t="s">
        <v>1592</v>
      </c>
      <c r="E3057" s="112"/>
      <c r="F3057" s="139" t="s">
        <v>9762</v>
      </c>
      <c r="G3057" s="140"/>
      <c r="H3057" s="141"/>
      <c r="I3057" s="26">
        <v>53967</v>
      </c>
      <c r="J3057" s="117"/>
      <c r="K3057" s="120"/>
      <c r="L3057" s="121"/>
      <c r="M3057" s="120"/>
      <c r="N3057" s="121"/>
      <c r="O3057" s="120"/>
      <c r="P3057" s="121"/>
      <c r="Q3057" s="120"/>
      <c r="R3057" s="121"/>
      <c r="S3057" s="120"/>
      <c r="T3057" s="121"/>
      <c r="U3057" s="120"/>
      <c r="V3057" s="123"/>
      <c r="W3057" s="125"/>
      <c r="X3057" s="142" t="s">
        <v>9944</v>
      </c>
      <c r="Y3057" s="143"/>
      <c r="Z3057" s="143"/>
      <c r="AA3057" s="143"/>
      <c r="AB3057" s="144"/>
      <c r="AC3057" s="16" t="s">
        <v>21</v>
      </c>
      <c r="AD3057" s="17" t="s">
        <v>3391</v>
      </c>
      <c r="AE3057" s="145" t="s">
        <v>1742</v>
      </c>
      <c r="AF3057" s="146"/>
      <c r="AG3057" s="146"/>
      <c r="AH3057" s="146"/>
      <c r="AI3057" s="147"/>
      <c r="AJ3057" s="148"/>
      <c r="AK3057" s="143"/>
      <c r="AL3057" s="144"/>
      <c r="AM3057" s="22"/>
      <c r="AN3057" s="149" t="s">
        <v>1747</v>
      </c>
      <c r="AO3057" s="144"/>
      <c r="AP3057" s="148">
        <v>95</v>
      </c>
      <c r="AQ3057" s="144"/>
      <c r="AR3057" s="120"/>
      <c r="AS3057" s="121"/>
      <c r="AT3057" s="120"/>
      <c r="AU3057" s="121"/>
      <c r="AV3057" s="120"/>
      <c r="AW3057" s="121"/>
      <c r="AX3057" s="120"/>
      <c r="AY3057" s="121"/>
      <c r="AZ3057" s="138"/>
    </row>
    <row r="3058" spans="1:52" ht="17.100000000000001" customHeight="1" thickTop="1">
      <c r="A3058" s="109" t="s">
        <v>9764</v>
      </c>
      <c r="B3058" s="28">
        <v>45961</v>
      </c>
      <c r="C3058" s="25">
        <v>64</v>
      </c>
      <c r="D3058" s="13" t="s">
        <v>1563</v>
      </c>
      <c r="E3058" s="111"/>
      <c r="F3058" s="113" t="s">
        <v>9785</v>
      </c>
      <c r="G3058" s="114"/>
      <c r="H3058" s="115"/>
      <c r="I3058" s="24" t="s">
        <v>2976</v>
      </c>
      <c r="J3058" s="116">
        <v>4.5</v>
      </c>
      <c r="K3058" s="118">
        <v>1470000</v>
      </c>
      <c r="L3058" s="119"/>
      <c r="M3058" s="118">
        <f t="shared" ref="M3058" si="2112">K3058*0.1</f>
        <v>147000</v>
      </c>
      <c r="N3058" s="119"/>
      <c r="O3058" s="118">
        <f>10100+1010</f>
        <v>11110</v>
      </c>
      <c r="P3058" s="119"/>
      <c r="Q3058" s="118">
        <v>9350</v>
      </c>
      <c r="R3058" s="119"/>
      <c r="S3058" s="118">
        <v>44000</v>
      </c>
      <c r="T3058" s="119"/>
      <c r="U3058" s="118">
        <f t="shared" ref="U3058" si="2113">SUM(K3058:T3059)</f>
        <v>1681460</v>
      </c>
      <c r="V3058" s="122"/>
      <c r="W3058" s="124"/>
      <c r="X3058" s="126" t="s">
        <v>11161</v>
      </c>
      <c r="Y3058" s="127"/>
      <c r="Z3058" s="127"/>
      <c r="AA3058" s="127"/>
      <c r="AB3058" s="128"/>
      <c r="AC3058" s="15" t="s">
        <v>20</v>
      </c>
      <c r="AD3058" s="129" t="s">
        <v>9795</v>
      </c>
      <c r="AE3058" s="130"/>
      <c r="AF3058" s="130"/>
      <c r="AG3058" s="130"/>
      <c r="AH3058" s="130"/>
      <c r="AI3058" s="131"/>
      <c r="AJ3058" s="132"/>
      <c r="AK3058" s="127"/>
      <c r="AL3058" s="128"/>
      <c r="AM3058" s="21"/>
      <c r="AN3058" s="133">
        <v>45976</v>
      </c>
      <c r="AO3058" s="134"/>
      <c r="AP3058" s="135">
        <v>1276</v>
      </c>
      <c r="AQ3058" s="136"/>
      <c r="AR3058" s="118">
        <v>1590000</v>
      </c>
      <c r="AS3058" s="119"/>
      <c r="AT3058" s="118">
        <f t="shared" ref="AT3058" si="2114">AR3058*0.1</f>
        <v>159000</v>
      </c>
      <c r="AU3058" s="119"/>
      <c r="AV3058" s="118">
        <v>9350</v>
      </c>
      <c r="AW3058" s="119"/>
      <c r="AX3058" s="118">
        <f t="shared" ref="AX3058" si="2115">SUM(AR3058:AW3058)</f>
        <v>1758350</v>
      </c>
      <c r="AY3058" s="119"/>
      <c r="AZ3058" s="137">
        <v>45986</v>
      </c>
    </row>
    <row r="3059" spans="1:52" ht="17.100000000000001" customHeight="1" thickBot="1">
      <c r="A3059" s="110"/>
      <c r="B3059" s="27" t="s">
        <v>4544</v>
      </c>
      <c r="C3059" s="27">
        <v>1030</v>
      </c>
      <c r="D3059" s="14" t="s">
        <v>3793</v>
      </c>
      <c r="E3059" s="112"/>
      <c r="F3059" s="139" t="s">
        <v>9786</v>
      </c>
      <c r="G3059" s="140"/>
      <c r="H3059" s="141"/>
      <c r="I3059" s="26">
        <v>37136</v>
      </c>
      <c r="J3059" s="117"/>
      <c r="K3059" s="120"/>
      <c r="L3059" s="121"/>
      <c r="M3059" s="120"/>
      <c r="N3059" s="121"/>
      <c r="O3059" s="120"/>
      <c r="P3059" s="121"/>
      <c r="Q3059" s="120"/>
      <c r="R3059" s="121"/>
      <c r="S3059" s="120"/>
      <c r="T3059" s="121"/>
      <c r="U3059" s="120"/>
      <c r="V3059" s="123"/>
      <c r="W3059" s="125"/>
      <c r="X3059" s="142" t="s">
        <v>4285</v>
      </c>
      <c r="Y3059" s="143"/>
      <c r="Z3059" s="143"/>
      <c r="AA3059" s="143"/>
      <c r="AB3059" s="144"/>
      <c r="AC3059" s="16" t="s">
        <v>21</v>
      </c>
      <c r="AD3059" s="17" t="s">
        <v>11105</v>
      </c>
      <c r="AE3059" s="145" t="s">
        <v>1742</v>
      </c>
      <c r="AF3059" s="146"/>
      <c r="AG3059" s="146"/>
      <c r="AH3059" s="146"/>
      <c r="AI3059" s="147"/>
      <c r="AJ3059" s="148"/>
      <c r="AK3059" s="143"/>
      <c r="AL3059" s="144"/>
      <c r="AM3059" s="22"/>
      <c r="AN3059" s="149" t="s">
        <v>10999</v>
      </c>
      <c r="AO3059" s="144"/>
      <c r="AP3059" s="148">
        <v>37273</v>
      </c>
      <c r="AQ3059" s="144"/>
      <c r="AR3059" s="120"/>
      <c r="AS3059" s="121"/>
      <c r="AT3059" s="120"/>
      <c r="AU3059" s="121"/>
      <c r="AV3059" s="120"/>
      <c r="AW3059" s="121"/>
      <c r="AX3059" s="120"/>
      <c r="AY3059" s="121"/>
      <c r="AZ3059" s="138"/>
    </row>
    <row r="3060" spans="1:52" ht="17.100000000000001" customHeight="1" thickTop="1">
      <c r="A3060" s="109" t="s">
        <v>9765</v>
      </c>
      <c r="B3060" s="28">
        <v>45961</v>
      </c>
      <c r="C3060" s="25">
        <v>64</v>
      </c>
      <c r="D3060" s="13" t="s">
        <v>2322</v>
      </c>
      <c r="E3060" s="111"/>
      <c r="F3060" s="113" t="s">
        <v>9791</v>
      </c>
      <c r="G3060" s="114"/>
      <c r="H3060" s="115"/>
      <c r="I3060" s="24" t="s">
        <v>3509</v>
      </c>
      <c r="J3060" s="116">
        <v>4</v>
      </c>
      <c r="K3060" s="118">
        <v>795000</v>
      </c>
      <c r="L3060" s="119"/>
      <c r="M3060" s="118">
        <f t="shared" ref="M3060" si="2116">K3060*0.1</f>
        <v>79500</v>
      </c>
      <c r="N3060" s="119"/>
      <c r="O3060" s="118">
        <v>0</v>
      </c>
      <c r="P3060" s="119"/>
      <c r="Q3060" s="118">
        <v>8110</v>
      </c>
      <c r="R3060" s="119"/>
      <c r="S3060" s="118">
        <v>33000</v>
      </c>
      <c r="T3060" s="119"/>
      <c r="U3060" s="118">
        <f t="shared" ref="U3060" si="2117">SUM(K3060:T3061)</f>
        <v>915610</v>
      </c>
      <c r="V3060" s="122"/>
      <c r="W3060" s="124"/>
      <c r="X3060" s="126" t="s">
        <v>11485</v>
      </c>
      <c r="Y3060" s="127"/>
      <c r="Z3060" s="127"/>
      <c r="AA3060" s="127"/>
      <c r="AB3060" s="128"/>
      <c r="AC3060" s="15" t="s">
        <v>20</v>
      </c>
      <c r="AD3060" s="129" t="s">
        <v>9796</v>
      </c>
      <c r="AE3060" s="130"/>
      <c r="AF3060" s="130"/>
      <c r="AG3060" s="130"/>
      <c r="AH3060" s="130"/>
      <c r="AI3060" s="131"/>
      <c r="AJ3060" s="132"/>
      <c r="AK3060" s="127"/>
      <c r="AL3060" s="128"/>
      <c r="AM3060" s="21"/>
      <c r="AN3060" s="133">
        <v>45986</v>
      </c>
      <c r="AO3060" s="134"/>
      <c r="AP3060" s="135">
        <v>1919</v>
      </c>
      <c r="AQ3060" s="136"/>
      <c r="AR3060" s="118">
        <v>895000</v>
      </c>
      <c r="AS3060" s="119"/>
      <c r="AT3060" s="118">
        <f t="shared" ref="AT3060" si="2118">AR3060*0.1</f>
        <v>89500</v>
      </c>
      <c r="AU3060" s="119"/>
      <c r="AV3060" s="118">
        <v>8110</v>
      </c>
      <c r="AW3060" s="119"/>
      <c r="AX3060" s="118">
        <f t="shared" ref="AX3060" si="2119">SUM(AR3060:AW3060)</f>
        <v>992610</v>
      </c>
      <c r="AY3060" s="119"/>
      <c r="AZ3060" s="137"/>
    </row>
    <row r="3061" spans="1:52" ht="17.100000000000001" customHeight="1" thickBot="1">
      <c r="A3061" s="110"/>
      <c r="B3061" s="27" t="s">
        <v>4544</v>
      </c>
      <c r="C3061" s="27">
        <v>1081</v>
      </c>
      <c r="D3061" s="14" t="s">
        <v>275</v>
      </c>
      <c r="E3061" s="112"/>
      <c r="F3061" s="139" t="s">
        <v>9792</v>
      </c>
      <c r="G3061" s="140"/>
      <c r="H3061" s="141"/>
      <c r="I3061" s="26">
        <v>41486</v>
      </c>
      <c r="J3061" s="117"/>
      <c r="K3061" s="120"/>
      <c r="L3061" s="121"/>
      <c r="M3061" s="120"/>
      <c r="N3061" s="121"/>
      <c r="O3061" s="120"/>
      <c r="P3061" s="121"/>
      <c r="Q3061" s="120"/>
      <c r="R3061" s="121"/>
      <c r="S3061" s="120"/>
      <c r="T3061" s="121"/>
      <c r="U3061" s="120"/>
      <c r="V3061" s="123"/>
      <c r="W3061" s="125"/>
      <c r="X3061" s="142" t="s">
        <v>11486</v>
      </c>
      <c r="Y3061" s="143"/>
      <c r="Z3061" s="143"/>
      <c r="AA3061" s="143"/>
      <c r="AB3061" s="144"/>
      <c r="AC3061" s="16" t="s">
        <v>21</v>
      </c>
      <c r="AD3061" s="17" t="s">
        <v>2203</v>
      </c>
      <c r="AE3061" s="145" t="s">
        <v>11487</v>
      </c>
      <c r="AF3061" s="146"/>
      <c r="AG3061" s="146"/>
      <c r="AH3061" s="146"/>
      <c r="AI3061" s="147"/>
      <c r="AJ3061" s="148"/>
      <c r="AK3061" s="143"/>
      <c r="AL3061" s="144"/>
      <c r="AM3061" s="22"/>
      <c r="AN3061" s="149" t="s">
        <v>11650</v>
      </c>
      <c r="AO3061" s="144"/>
      <c r="AP3061" s="148">
        <v>3269</v>
      </c>
      <c r="AQ3061" s="144"/>
      <c r="AR3061" s="120"/>
      <c r="AS3061" s="121"/>
      <c r="AT3061" s="120"/>
      <c r="AU3061" s="121"/>
      <c r="AV3061" s="120"/>
      <c r="AW3061" s="121"/>
      <c r="AX3061" s="120"/>
      <c r="AY3061" s="121"/>
      <c r="AZ3061" s="138"/>
    </row>
    <row r="3062" spans="1:52" ht="17.100000000000001" customHeight="1" thickTop="1">
      <c r="A3062" s="151" t="s">
        <v>9787</v>
      </c>
      <c r="B3062" s="28">
        <v>45961</v>
      </c>
      <c r="C3062" s="25">
        <v>64</v>
      </c>
      <c r="D3062" s="13" t="s">
        <v>1695</v>
      </c>
      <c r="E3062" s="111"/>
      <c r="F3062" s="113" t="s">
        <v>9793</v>
      </c>
      <c r="G3062" s="114"/>
      <c r="H3062" s="115"/>
      <c r="I3062" s="24" t="s">
        <v>3931</v>
      </c>
      <c r="J3062" s="116">
        <v>4.5</v>
      </c>
      <c r="K3062" s="118">
        <v>1140000</v>
      </c>
      <c r="L3062" s="119"/>
      <c r="M3062" s="118">
        <f t="shared" ref="M3062" si="2120">K3062*0.1</f>
        <v>114000</v>
      </c>
      <c r="N3062" s="119"/>
      <c r="O3062" s="118">
        <f>11500+1150</f>
        <v>12650</v>
      </c>
      <c r="P3062" s="119"/>
      <c r="Q3062" s="118">
        <v>10780</v>
      </c>
      <c r="R3062" s="119"/>
      <c r="S3062" s="118">
        <v>44000</v>
      </c>
      <c r="T3062" s="119"/>
      <c r="U3062" s="118">
        <f t="shared" ref="U3062" si="2121">SUM(K3062:T3063)</f>
        <v>1321430</v>
      </c>
      <c r="V3062" s="122"/>
      <c r="W3062" s="124"/>
      <c r="X3062" s="126" t="s">
        <v>12857</v>
      </c>
      <c r="Y3062" s="127"/>
      <c r="Z3062" s="127"/>
      <c r="AA3062" s="127"/>
      <c r="AB3062" s="128"/>
      <c r="AC3062" s="15" t="s">
        <v>20</v>
      </c>
      <c r="AD3062" s="129" t="s">
        <v>9795</v>
      </c>
      <c r="AE3062" s="130"/>
      <c r="AF3062" s="130"/>
      <c r="AG3062" s="130"/>
      <c r="AH3062" s="130"/>
      <c r="AI3062" s="131"/>
      <c r="AJ3062" s="132"/>
      <c r="AK3062" s="127"/>
      <c r="AL3062" s="128"/>
      <c r="AM3062" s="21" t="s">
        <v>13952</v>
      </c>
      <c r="AN3062" s="133">
        <v>46032</v>
      </c>
      <c r="AO3062" s="134"/>
      <c r="AP3062" s="135">
        <v>1283</v>
      </c>
      <c r="AQ3062" s="136"/>
      <c r="AR3062" s="118">
        <v>1305000</v>
      </c>
      <c r="AS3062" s="119"/>
      <c r="AT3062" s="118">
        <f t="shared" ref="AT3062" si="2122">AR3062*0.1</f>
        <v>130500</v>
      </c>
      <c r="AU3062" s="119"/>
      <c r="AV3062" s="118">
        <v>10780</v>
      </c>
      <c r="AW3062" s="119"/>
      <c r="AX3062" s="118">
        <f t="shared" ref="AX3062" si="2123">SUM(AR3062:AW3062)</f>
        <v>1446280</v>
      </c>
      <c r="AY3062" s="119"/>
      <c r="AZ3062" s="137">
        <v>46036</v>
      </c>
    </row>
    <row r="3063" spans="1:52" ht="17.100000000000001" customHeight="1" thickBot="1">
      <c r="A3063" s="152"/>
      <c r="B3063" s="27" t="s">
        <v>4544</v>
      </c>
      <c r="C3063" s="27">
        <v>1084</v>
      </c>
      <c r="D3063" s="14" t="s">
        <v>133</v>
      </c>
      <c r="E3063" s="112"/>
      <c r="F3063" s="139" t="s">
        <v>9794</v>
      </c>
      <c r="G3063" s="140"/>
      <c r="H3063" s="141"/>
      <c r="I3063" s="26">
        <v>44957</v>
      </c>
      <c r="J3063" s="117"/>
      <c r="K3063" s="120"/>
      <c r="L3063" s="121"/>
      <c r="M3063" s="120"/>
      <c r="N3063" s="121"/>
      <c r="O3063" s="120"/>
      <c r="P3063" s="121"/>
      <c r="Q3063" s="120"/>
      <c r="R3063" s="121"/>
      <c r="S3063" s="120"/>
      <c r="T3063" s="121"/>
      <c r="U3063" s="120"/>
      <c r="V3063" s="123"/>
      <c r="W3063" s="125"/>
      <c r="X3063" s="142" t="s">
        <v>12858</v>
      </c>
      <c r="Y3063" s="143"/>
      <c r="Z3063" s="143"/>
      <c r="AA3063" s="143"/>
      <c r="AB3063" s="144"/>
      <c r="AC3063" s="16" t="s">
        <v>21</v>
      </c>
      <c r="AD3063" s="17" t="s">
        <v>12856</v>
      </c>
      <c r="AE3063" s="145" t="s">
        <v>13446</v>
      </c>
      <c r="AF3063" s="146"/>
      <c r="AG3063" s="146"/>
      <c r="AH3063" s="146"/>
      <c r="AI3063" s="147"/>
      <c r="AJ3063" s="148"/>
      <c r="AK3063" s="143"/>
      <c r="AL3063" s="144"/>
      <c r="AM3063" s="22"/>
      <c r="AN3063" s="149" t="s">
        <v>2511</v>
      </c>
      <c r="AO3063" s="144"/>
      <c r="AP3063" s="148">
        <v>37106</v>
      </c>
      <c r="AQ3063" s="144"/>
      <c r="AR3063" s="120"/>
      <c r="AS3063" s="121"/>
      <c r="AT3063" s="120"/>
      <c r="AU3063" s="121"/>
      <c r="AV3063" s="120"/>
      <c r="AW3063" s="121"/>
      <c r="AX3063" s="120"/>
      <c r="AY3063" s="121"/>
      <c r="AZ3063" s="138"/>
    </row>
    <row r="3064" spans="1:52" ht="17.100000000000001" customHeight="1" thickTop="1">
      <c r="A3064" s="109" t="s">
        <v>9788</v>
      </c>
      <c r="B3064" s="28">
        <v>45961</v>
      </c>
      <c r="C3064" s="25">
        <v>64</v>
      </c>
      <c r="D3064" s="13" t="s">
        <v>1795</v>
      </c>
      <c r="E3064" s="111"/>
      <c r="F3064" s="113" t="s">
        <v>9797</v>
      </c>
      <c r="G3064" s="114"/>
      <c r="H3064" s="115"/>
      <c r="I3064" s="24" t="s">
        <v>2577</v>
      </c>
      <c r="J3064" s="116">
        <v>4</v>
      </c>
      <c r="K3064" s="118">
        <v>3120000</v>
      </c>
      <c r="L3064" s="119"/>
      <c r="M3064" s="118">
        <f t="shared" ref="M3064" si="2124">K3064*0.1</f>
        <v>312000</v>
      </c>
      <c r="N3064" s="119"/>
      <c r="O3064" s="118">
        <f>12000+1200</f>
        <v>13200</v>
      </c>
      <c r="P3064" s="119"/>
      <c r="Q3064" s="118">
        <v>12310</v>
      </c>
      <c r="R3064" s="119"/>
      <c r="S3064" s="118">
        <v>88000</v>
      </c>
      <c r="T3064" s="119"/>
      <c r="U3064" s="118">
        <f t="shared" ref="U3064" si="2125">SUM(K3064:T3065)</f>
        <v>3545510</v>
      </c>
      <c r="V3064" s="122"/>
      <c r="W3064" s="124"/>
      <c r="X3064" s="126" t="s">
        <v>13069</v>
      </c>
      <c r="Y3064" s="127"/>
      <c r="Z3064" s="127"/>
      <c r="AA3064" s="127"/>
      <c r="AB3064" s="128"/>
      <c r="AC3064" s="15" t="s">
        <v>20</v>
      </c>
      <c r="AD3064" s="129" t="s">
        <v>9477</v>
      </c>
      <c r="AE3064" s="130"/>
      <c r="AF3064" s="130"/>
      <c r="AG3064" s="130"/>
      <c r="AH3064" s="130"/>
      <c r="AI3064" s="131"/>
      <c r="AJ3064" s="132"/>
      <c r="AK3064" s="127"/>
      <c r="AL3064" s="128"/>
      <c r="AM3064" s="21"/>
      <c r="AN3064" s="133">
        <v>46004</v>
      </c>
      <c r="AO3064" s="134"/>
      <c r="AP3064" s="135">
        <v>1280</v>
      </c>
      <c r="AQ3064" s="136"/>
      <c r="AR3064" s="118">
        <v>3270000</v>
      </c>
      <c r="AS3064" s="119"/>
      <c r="AT3064" s="118">
        <f t="shared" ref="AT3064" si="2126">AR3064*0.1</f>
        <v>327000</v>
      </c>
      <c r="AU3064" s="119"/>
      <c r="AV3064" s="118">
        <v>12310</v>
      </c>
      <c r="AW3064" s="119"/>
      <c r="AX3064" s="118">
        <f t="shared" ref="AX3064" si="2127">SUM(AR3064:AW3064)</f>
        <v>3609310</v>
      </c>
      <c r="AY3064" s="119"/>
      <c r="AZ3064" s="137">
        <v>46009</v>
      </c>
    </row>
    <row r="3065" spans="1:52" ht="17.100000000000001" customHeight="1" thickBot="1">
      <c r="A3065" s="110"/>
      <c r="B3065" s="27" t="s">
        <v>4544</v>
      </c>
      <c r="C3065" s="27">
        <v>1089</v>
      </c>
      <c r="D3065" s="14" t="s">
        <v>275</v>
      </c>
      <c r="E3065" s="112"/>
      <c r="F3065" s="139" t="s">
        <v>9798</v>
      </c>
      <c r="G3065" s="140"/>
      <c r="H3065" s="141"/>
      <c r="I3065" s="26">
        <v>39468</v>
      </c>
      <c r="J3065" s="117"/>
      <c r="K3065" s="120"/>
      <c r="L3065" s="121"/>
      <c r="M3065" s="120"/>
      <c r="N3065" s="121"/>
      <c r="O3065" s="120"/>
      <c r="P3065" s="121"/>
      <c r="Q3065" s="120"/>
      <c r="R3065" s="121"/>
      <c r="S3065" s="120"/>
      <c r="T3065" s="121"/>
      <c r="U3065" s="120"/>
      <c r="V3065" s="123"/>
      <c r="W3065" s="125"/>
      <c r="X3065" s="142" t="s">
        <v>4285</v>
      </c>
      <c r="Y3065" s="143"/>
      <c r="Z3065" s="143"/>
      <c r="AA3065" s="143"/>
      <c r="AB3065" s="144"/>
      <c r="AC3065" s="16" t="s">
        <v>21</v>
      </c>
      <c r="AD3065" s="17" t="s">
        <v>12921</v>
      </c>
      <c r="AE3065" s="145" t="s">
        <v>1609</v>
      </c>
      <c r="AF3065" s="146"/>
      <c r="AG3065" s="146"/>
      <c r="AH3065" s="146"/>
      <c r="AI3065" s="147"/>
      <c r="AJ3065" s="148"/>
      <c r="AK3065" s="143"/>
      <c r="AL3065" s="144"/>
      <c r="AM3065" s="22"/>
      <c r="AN3065" s="149" t="s">
        <v>2511</v>
      </c>
      <c r="AO3065" s="144"/>
      <c r="AP3065" s="148">
        <v>31120</v>
      </c>
      <c r="AQ3065" s="144"/>
      <c r="AR3065" s="120"/>
      <c r="AS3065" s="121"/>
      <c r="AT3065" s="120"/>
      <c r="AU3065" s="121"/>
      <c r="AV3065" s="120"/>
      <c r="AW3065" s="121"/>
      <c r="AX3065" s="120"/>
      <c r="AY3065" s="121"/>
      <c r="AZ3065" s="138"/>
    </row>
    <row r="3066" spans="1:52" ht="17.100000000000001" customHeight="1" thickTop="1">
      <c r="A3066" s="151" t="s">
        <v>9789</v>
      </c>
      <c r="B3066" s="28">
        <v>45961</v>
      </c>
      <c r="C3066" s="25">
        <v>64</v>
      </c>
      <c r="D3066" s="13" t="s">
        <v>1714</v>
      </c>
      <c r="E3066" s="111"/>
      <c r="F3066" s="113" t="s">
        <v>9799</v>
      </c>
      <c r="G3066" s="114"/>
      <c r="H3066" s="115"/>
      <c r="I3066" s="24" t="s">
        <v>2526</v>
      </c>
      <c r="J3066" s="150" t="s">
        <v>1715</v>
      </c>
      <c r="K3066" s="118">
        <v>2565000</v>
      </c>
      <c r="L3066" s="119"/>
      <c r="M3066" s="118">
        <f t="shared" ref="M3066" si="2128">K3066*0.1</f>
        <v>256500</v>
      </c>
      <c r="N3066" s="119"/>
      <c r="O3066" s="118">
        <f>14500+1450</f>
        <v>15950</v>
      </c>
      <c r="P3066" s="119"/>
      <c r="Q3066" s="118">
        <v>14900</v>
      </c>
      <c r="R3066" s="119"/>
      <c r="S3066" s="118">
        <v>66000</v>
      </c>
      <c r="T3066" s="119"/>
      <c r="U3066" s="118">
        <f t="shared" ref="U3066" si="2129">SUM(K3066:T3067)</f>
        <v>2918350</v>
      </c>
      <c r="V3066" s="122"/>
      <c r="W3066" s="124"/>
      <c r="X3066" s="126"/>
      <c r="Y3066" s="127"/>
      <c r="Z3066" s="127"/>
      <c r="AA3066" s="127"/>
      <c r="AB3066" s="128"/>
      <c r="AC3066" s="15" t="s">
        <v>20</v>
      </c>
      <c r="AD3066" s="129" t="s">
        <v>9477</v>
      </c>
      <c r="AE3066" s="130"/>
      <c r="AF3066" s="130"/>
      <c r="AG3066" s="130"/>
      <c r="AH3066" s="130"/>
      <c r="AI3066" s="131"/>
      <c r="AJ3066" s="132" t="s">
        <v>8040</v>
      </c>
      <c r="AK3066" s="127"/>
      <c r="AL3066" s="128"/>
      <c r="AM3066" s="21"/>
      <c r="AN3066" s="133"/>
      <c r="AO3066" s="134"/>
      <c r="AP3066" s="135"/>
      <c r="AQ3066" s="136"/>
      <c r="AR3066" s="118"/>
      <c r="AS3066" s="119"/>
      <c r="AT3066" s="118">
        <f t="shared" ref="AT3066" si="2130">AR3066*0.1</f>
        <v>0</v>
      </c>
      <c r="AU3066" s="119"/>
      <c r="AV3066" s="118"/>
      <c r="AW3066" s="119"/>
      <c r="AX3066" s="118">
        <f t="shared" ref="AX3066" si="2131">SUM(AR3066:AW3066)</f>
        <v>0</v>
      </c>
      <c r="AY3066" s="119"/>
      <c r="AZ3066" s="137"/>
    </row>
    <row r="3067" spans="1:52" ht="17.100000000000001" customHeight="1" thickBot="1">
      <c r="A3067" s="152"/>
      <c r="B3067" s="27" t="s">
        <v>4544</v>
      </c>
      <c r="C3067" s="27">
        <v>1091</v>
      </c>
      <c r="D3067" s="14" t="s">
        <v>2601</v>
      </c>
      <c r="E3067" s="112"/>
      <c r="F3067" s="139" t="s">
        <v>9800</v>
      </c>
      <c r="G3067" s="140"/>
      <c r="H3067" s="141"/>
      <c r="I3067" s="26">
        <v>46994</v>
      </c>
      <c r="J3067" s="117"/>
      <c r="K3067" s="120"/>
      <c r="L3067" s="121"/>
      <c r="M3067" s="120"/>
      <c r="N3067" s="121"/>
      <c r="O3067" s="120"/>
      <c r="P3067" s="121"/>
      <c r="Q3067" s="120"/>
      <c r="R3067" s="121"/>
      <c r="S3067" s="120"/>
      <c r="T3067" s="121"/>
      <c r="U3067" s="120"/>
      <c r="V3067" s="123"/>
      <c r="W3067" s="125"/>
      <c r="X3067" s="142"/>
      <c r="Y3067" s="143"/>
      <c r="Z3067" s="143"/>
      <c r="AA3067" s="143"/>
      <c r="AB3067" s="144"/>
      <c r="AC3067" s="16" t="s">
        <v>21</v>
      </c>
      <c r="AD3067" s="17" t="s">
        <v>10908</v>
      </c>
      <c r="AE3067" s="145"/>
      <c r="AF3067" s="146"/>
      <c r="AG3067" s="146"/>
      <c r="AH3067" s="146"/>
      <c r="AI3067" s="147"/>
      <c r="AJ3067" s="148"/>
      <c r="AK3067" s="143"/>
      <c r="AL3067" s="144"/>
      <c r="AM3067" s="22"/>
      <c r="AN3067" s="149"/>
      <c r="AO3067" s="144"/>
      <c r="AP3067" s="148"/>
      <c r="AQ3067" s="144"/>
      <c r="AR3067" s="120"/>
      <c r="AS3067" s="121"/>
      <c r="AT3067" s="120"/>
      <c r="AU3067" s="121"/>
      <c r="AV3067" s="120"/>
      <c r="AW3067" s="121"/>
      <c r="AX3067" s="120"/>
      <c r="AY3067" s="121"/>
      <c r="AZ3067" s="138"/>
    </row>
    <row r="3068" spans="1:52" ht="17.100000000000001" customHeight="1" thickTop="1">
      <c r="A3068" s="109" t="s">
        <v>9790</v>
      </c>
      <c r="B3068" s="28">
        <v>45961</v>
      </c>
      <c r="C3068" s="25">
        <v>64</v>
      </c>
      <c r="D3068" s="13" t="s">
        <v>4609</v>
      </c>
      <c r="E3068" s="111"/>
      <c r="F3068" s="113" t="s">
        <v>5048</v>
      </c>
      <c r="G3068" s="114"/>
      <c r="H3068" s="115"/>
      <c r="I3068" s="24" t="s">
        <v>3399</v>
      </c>
      <c r="J3068" s="116">
        <v>4</v>
      </c>
      <c r="K3068" s="118">
        <v>205000</v>
      </c>
      <c r="L3068" s="119"/>
      <c r="M3068" s="118">
        <f t="shared" ref="M3068" si="2132">K3068*0.1</f>
        <v>20500</v>
      </c>
      <c r="N3068" s="119"/>
      <c r="O3068" s="118">
        <v>0</v>
      </c>
      <c r="P3068" s="119"/>
      <c r="Q3068" s="118">
        <v>8930</v>
      </c>
      <c r="R3068" s="119"/>
      <c r="S3068" s="118">
        <v>33000</v>
      </c>
      <c r="T3068" s="119"/>
      <c r="U3068" s="118">
        <f t="shared" ref="U3068" si="2133">SUM(K3068:T3069)</f>
        <v>267430</v>
      </c>
      <c r="V3068" s="122"/>
      <c r="W3068" s="124"/>
      <c r="X3068" s="126" t="s">
        <v>10795</v>
      </c>
      <c r="Y3068" s="127"/>
      <c r="Z3068" s="127"/>
      <c r="AA3068" s="127"/>
      <c r="AB3068" s="128"/>
      <c r="AC3068" s="15" t="s">
        <v>20</v>
      </c>
      <c r="AD3068" s="129" t="s">
        <v>9802</v>
      </c>
      <c r="AE3068" s="130"/>
      <c r="AF3068" s="130"/>
      <c r="AG3068" s="130"/>
      <c r="AH3068" s="130"/>
      <c r="AI3068" s="131"/>
      <c r="AJ3068" s="132"/>
      <c r="AK3068" s="127"/>
      <c r="AL3068" s="128"/>
      <c r="AM3068" s="21"/>
      <c r="AN3068" s="133">
        <v>45976</v>
      </c>
      <c r="AO3068" s="134"/>
      <c r="AP3068" s="135">
        <v>1276</v>
      </c>
      <c r="AQ3068" s="136"/>
      <c r="AR3068" s="118">
        <v>315000</v>
      </c>
      <c r="AS3068" s="119"/>
      <c r="AT3068" s="118">
        <f t="shared" ref="AT3068" si="2134">AR3068*0.1</f>
        <v>31500</v>
      </c>
      <c r="AU3068" s="119"/>
      <c r="AV3068" s="118">
        <v>8930</v>
      </c>
      <c r="AW3068" s="119"/>
      <c r="AX3068" s="118">
        <f t="shared" ref="AX3068" si="2135">SUM(AR3068:AW3068)</f>
        <v>355430</v>
      </c>
      <c r="AY3068" s="119"/>
      <c r="AZ3068" s="137">
        <v>45979</v>
      </c>
    </row>
    <row r="3069" spans="1:52" ht="17.100000000000001" customHeight="1" thickBot="1">
      <c r="A3069" s="110"/>
      <c r="B3069" s="27" t="s">
        <v>4544</v>
      </c>
      <c r="C3069" s="27">
        <v>1092</v>
      </c>
      <c r="D3069" s="14" t="s">
        <v>1720</v>
      </c>
      <c r="E3069" s="112"/>
      <c r="F3069" s="139" t="s">
        <v>9801</v>
      </c>
      <c r="G3069" s="140"/>
      <c r="H3069" s="141"/>
      <c r="I3069" s="26">
        <v>32938</v>
      </c>
      <c r="J3069" s="117"/>
      <c r="K3069" s="120"/>
      <c r="L3069" s="121"/>
      <c r="M3069" s="120"/>
      <c r="N3069" s="121"/>
      <c r="O3069" s="120"/>
      <c r="P3069" s="121"/>
      <c r="Q3069" s="120"/>
      <c r="R3069" s="121"/>
      <c r="S3069" s="120"/>
      <c r="T3069" s="121"/>
      <c r="U3069" s="120"/>
      <c r="V3069" s="123"/>
      <c r="W3069" s="125"/>
      <c r="X3069" s="142" t="s">
        <v>10796</v>
      </c>
      <c r="Y3069" s="143"/>
      <c r="Z3069" s="143"/>
      <c r="AA3069" s="143"/>
      <c r="AB3069" s="144"/>
      <c r="AC3069" s="16" t="s">
        <v>21</v>
      </c>
      <c r="AD3069" s="17" t="s">
        <v>10733</v>
      </c>
      <c r="AE3069" s="145" t="s">
        <v>10797</v>
      </c>
      <c r="AF3069" s="146"/>
      <c r="AG3069" s="146"/>
      <c r="AH3069" s="146"/>
      <c r="AI3069" s="147"/>
      <c r="AJ3069" s="148"/>
      <c r="AK3069" s="143"/>
      <c r="AL3069" s="144"/>
      <c r="AM3069" s="22"/>
      <c r="AN3069" s="149" t="s">
        <v>10999</v>
      </c>
      <c r="AO3069" s="144"/>
      <c r="AP3069" s="148">
        <v>65409</v>
      </c>
      <c r="AQ3069" s="144"/>
      <c r="AR3069" s="120"/>
      <c r="AS3069" s="121"/>
      <c r="AT3069" s="120"/>
      <c r="AU3069" s="121"/>
      <c r="AV3069" s="120"/>
      <c r="AW3069" s="121"/>
      <c r="AX3069" s="120"/>
      <c r="AY3069" s="121"/>
      <c r="AZ3069" s="138"/>
    </row>
    <row r="3070" spans="1:52" ht="17.100000000000001" customHeight="1" thickTop="1">
      <c r="A3070" s="109" t="s">
        <v>9809</v>
      </c>
      <c r="B3070" s="28">
        <v>45961</v>
      </c>
      <c r="C3070" s="25">
        <v>2108</v>
      </c>
      <c r="D3070" s="13" t="s">
        <v>1725</v>
      </c>
      <c r="E3070" s="111"/>
      <c r="F3070" s="113" t="s">
        <v>9766</v>
      </c>
      <c r="G3070" s="114"/>
      <c r="H3070" s="115"/>
      <c r="I3070" s="24" t="s">
        <v>9768</v>
      </c>
      <c r="J3070" s="116">
        <v>4.5</v>
      </c>
      <c r="K3070" s="118">
        <v>1155000</v>
      </c>
      <c r="L3070" s="119"/>
      <c r="M3070" s="118">
        <f t="shared" ref="M3070" si="2136">K3070*0.1</f>
        <v>115500</v>
      </c>
      <c r="N3070" s="119"/>
      <c r="O3070" s="118">
        <f>12200+1220</f>
        <v>13420</v>
      </c>
      <c r="P3070" s="119"/>
      <c r="Q3070" s="118">
        <v>11930</v>
      </c>
      <c r="R3070" s="119"/>
      <c r="S3070" s="118">
        <v>16500</v>
      </c>
      <c r="T3070" s="119"/>
      <c r="U3070" s="118">
        <f t="shared" ref="U3070" si="2137">SUM(K3070:T3071)</f>
        <v>1312350</v>
      </c>
      <c r="V3070" s="122"/>
      <c r="W3070" s="124"/>
      <c r="X3070" s="126" t="s">
        <v>9769</v>
      </c>
      <c r="Y3070" s="127"/>
      <c r="Z3070" s="127"/>
      <c r="AA3070" s="127"/>
      <c r="AB3070" s="128"/>
      <c r="AC3070" s="15" t="s">
        <v>20</v>
      </c>
      <c r="AD3070" s="129" t="s">
        <v>1605</v>
      </c>
      <c r="AE3070" s="130"/>
      <c r="AF3070" s="130"/>
      <c r="AG3070" s="130"/>
      <c r="AH3070" s="130"/>
      <c r="AI3070" s="131"/>
      <c r="AJ3070" s="132" t="s">
        <v>10499</v>
      </c>
      <c r="AK3070" s="127"/>
      <c r="AL3070" s="128"/>
      <c r="AM3070" s="21"/>
      <c r="AN3070" s="133">
        <v>45980</v>
      </c>
      <c r="AO3070" s="134"/>
      <c r="AP3070" s="135">
        <v>993</v>
      </c>
      <c r="AQ3070" s="136"/>
      <c r="AR3070" s="118">
        <v>1260000</v>
      </c>
      <c r="AS3070" s="119"/>
      <c r="AT3070" s="118">
        <f t="shared" ref="AT3070" si="2138">AR3070*0.1</f>
        <v>126000</v>
      </c>
      <c r="AU3070" s="119"/>
      <c r="AV3070" s="118">
        <v>11930</v>
      </c>
      <c r="AW3070" s="119"/>
      <c r="AX3070" s="118">
        <f t="shared" ref="AX3070" si="2139">SUM(AR3070:AW3070)</f>
        <v>1397930</v>
      </c>
      <c r="AY3070" s="119"/>
      <c r="AZ3070" s="137">
        <v>45986</v>
      </c>
    </row>
    <row r="3071" spans="1:52" ht="17.100000000000001" customHeight="1" thickBot="1">
      <c r="A3071" s="110"/>
      <c r="B3071" s="27" t="s">
        <v>1543</v>
      </c>
      <c r="C3071" s="27">
        <v>13252</v>
      </c>
      <c r="D3071" s="14" t="s">
        <v>904</v>
      </c>
      <c r="E3071" s="112"/>
      <c r="F3071" s="139" t="s">
        <v>9767</v>
      </c>
      <c r="G3071" s="140"/>
      <c r="H3071" s="141"/>
      <c r="I3071" s="26">
        <v>25095</v>
      </c>
      <c r="J3071" s="117"/>
      <c r="K3071" s="120"/>
      <c r="L3071" s="121"/>
      <c r="M3071" s="120"/>
      <c r="N3071" s="121"/>
      <c r="O3071" s="120"/>
      <c r="P3071" s="121"/>
      <c r="Q3071" s="120"/>
      <c r="R3071" s="121"/>
      <c r="S3071" s="120"/>
      <c r="T3071" s="121"/>
      <c r="U3071" s="120"/>
      <c r="V3071" s="123"/>
      <c r="W3071" s="125"/>
      <c r="X3071" s="142" t="s">
        <v>10151</v>
      </c>
      <c r="Y3071" s="143"/>
      <c r="Z3071" s="143"/>
      <c r="AA3071" s="143"/>
      <c r="AB3071" s="144"/>
      <c r="AC3071" s="16" t="s">
        <v>21</v>
      </c>
      <c r="AD3071" s="17" t="s">
        <v>10146</v>
      </c>
      <c r="AE3071" s="145" t="s">
        <v>10152</v>
      </c>
      <c r="AF3071" s="146"/>
      <c r="AG3071" s="146"/>
      <c r="AH3071" s="146"/>
      <c r="AI3071" s="147"/>
      <c r="AJ3071" s="148"/>
      <c r="AK3071" s="143"/>
      <c r="AL3071" s="144"/>
      <c r="AM3071" s="22"/>
      <c r="AN3071" s="149" t="s">
        <v>7285</v>
      </c>
      <c r="AO3071" s="144"/>
      <c r="AP3071" s="148">
        <v>5026</v>
      </c>
      <c r="AQ3071" s="144"/>
      <c r="AR3071" s="120"/>
      <c r="AS3071" s="121"/>
      <c r="AT3071" s="120"/>
      <c r="AU3071" s="121"/>
      <c r="AV3071" s="120"/>
      <c r="AW3071" s="121"/>
      <c r="AX3071" s="120"/>
      <c r="AY3071" s="121"/>
      <c r="AZ3071" s="138"/>
    </row>
    <row r="3072" spans="1:52" ht="17.100000000000001" customHeight="1" thickTop="1">
      <c r="A3072" s="109" t="s">
        <v>9810</v>
      </c>
      <c r="B3072" s="28">
        <v>45961</v>
      </c>
      <c r="C3072" s="25">
        <v>2108</v>
      </c>
      <c r="D3072" s="13" t="s">
        <v>2914</v>
      </c>
      <c r="E3072" s="111"/>
      <c r="F3072" s="113" t="s">
        <v>9770</v>
      </c>
      <c r="G3072" s="114"/>
      <c r="H3072" s="115"/>
      <c r="I3072" s="24" t="s">
        <v>2064</v>
      </c>
      <c r="J3072" s="116">
        <v>4.5</v>
      </c>
      <c r="K3072" s="118">
        <v>2340000</v>
      </c>
      <c r="L3072" s="119"/>
      <c r="M3072" s="118">
        <f t="shared" ref="M3072" si="2140">K3072*0.1</f>
        <v>234000</v>
      </c>
      <c r="N3072" s="119"/>
      <c r="O3072" s="118">
        <f>16400+1640</f>
        <v>18040</v>
      </c>
      <c r="P3072" s="119"/>
      <c r="Q3072" s="118">
        <v>17060</v>
      </c>
      <c r="R3072" s="119"/>
      <c r="S3072" s="118">
        <v>16500</v>
      </c>
      <c r="T3072" s="119"/>
      <c r="U3072" s="118">
        <f t="shared" ref="U3072" si="2141">SUM(K3072:T3073)</f>
        <v>2625600</v>
      </c>
      <c r="V3072" s="122"/>
      <c r="W3072" s="124"/>
      <c r="X3072" s="126" t="s">
        <v>9772</v>
      </c>
      <c r="Y3072" s="127"/>
      <c r="Z3072" s="127"/>
      <c r="AA3072" s="127"/>
      <c r="AB3072" s="128"/>
      <c r="AC3072" s="15" t="s">
        <v>20</v>
      </c>
      <c r="AD3072" s="129" t="s">
        <v>1670</v>
      </c>
      <c r="AE3072" s="130"/>
      <c r="AF3072" s="130"/>
      <c r="AG3072" s="130"/>
      <c r="AH3072" s="130"/>
      <c r="AI3072" s="131"/>
      <c r="AJ3072" s="132" t="s">
        <v>10856</v>
      </c>
      <c r="AK3072" s="127"/>
      <c r="AL3072" s="128"/>
      <c r="AM3072" s="21"/>
      <c r="AN3072" s="133">
        <v>45974</v>
      </c>
      <c r="AO3072" s="134"/>
      <c r="AP3072" s="135">
        <v>1306</v>
      </c>
      <c r="AQ3072" s="136"/>
      <c r="AR3072" s="118">
        <v>2500000</v>
      </c>
      <c r="AS3072" s="119"/>
      <c r="AT3072" s="118">
        <f t="shared" ref="AT3072" si="2142">AR3072*0.1</f>
        <v>250000</v>
      </c>
      <c r="AU3072" s="119"/>
      <c r="AV3072" s="118">
        <v>17060</v>
      </c>
      <c r="AW3072" s="119"/>
      <c r="AX3072" s="118">
        <f t="shared" ref="AX3072" si="2143">SUM(AR3072:AW3072)</f>
        <v>2767060</v>
      </c>
      <c r="AY3072" s="119"/>
      <c r="AZ3072" s="137">
        <v>45975</v>
      </c>
    </row>
    <row r="3073" spans="1:52" ht="17.100000000000001" customHeight="1" thickBot="1">
      <c r="A3073" s="110"/>
      <c r="B3073" s="27" t="s">
        <v>1543</v>
      </c>
      <c r="C3073" s="27">
        <v>13259</v>
      </c>
      <c r="D3073" s="14" t="s">
        <v>1592</v>
      </c>
      <c r="E3073" s="112"/>
      <c r="F3073" s="139" t="s">
        <v>9771</v>
      </c>
      <c r="G3073" s="140"/>
      <c r="H3073" s="141"/>
      <c r="I3073" s="26">
        <v>35400</v>
      </c>
      <c r="J3073" s="117"/>
      <c r="K3073" s="120"/>
      <c r="L3073" s="121"/>
      <c r="M3073" s="120"/>
      <c r="N3073" s="121"/>
      <c r="O3073" s="120"/>
      <c r="P3073" s="121"/>
      <c r="Q3073" s="120"/>
      <c r="R3073" s="121"/>
      <c r="S3073" s="120"/>
      <c r="T3073" s="121"/>
      <c r="U3073" s="120"/>
      <c r="V3073" s="123"/>
      <c r="W3073" s="125"/>
      <c r="X3073" s="142" t="s">
        <v>10420</v>
      </c>
      <c r="Y3073" s="143"/>
      <c r="Z3073" s="143"/>
      <c r="AA3073" s="143"/>
      <c r="AB3073" s="144"/>
      <c r="AC3073" s="16" t="s">
        <v>21</v>
      </c>
      <c r="AD3073" s="17" t="s">
        <v>1694</v>
      </c>
      <c r="AE3073" s="145" t="s">
        <v>10421</v>
      </c>
      <c r="AF3073" s="146"/>
      <c r="AG3073" s="146"/>
      <c r="AH3073" s="146"/>
      <c r="AI3073" s="147"/>
      <c r="AJ3073" s="148"/>
      <c r="AK3073" s="143"/>
      <c r="AL3073" s="144"/>
      <c r="AM3073" s="22"/>
      <c r="AN3073" s="149" t="s">
        <v>1747</v>
      </c>
      <c r="AO3073" s="144"/>
      <c r="AP3073" s="148">
        <v>44</v>
      </c>
      <c r="AQ3073" s="144"/>
      <c r="AR3073" s="120"/>
      <c r="AS3073" s="121"/>
      <c r="AT3073" s="120"/>
      <c r="AU3073" s="121"/>
      <c r="AV3073" s="120"/>
      <c r="AW3073" s="121"/>
      <c r="AX3073" s="120"/>
      <c r="AY3073" s="121"/>
      <c r="AZ3073" s="138"/>
    </row>
    <row r="3074" spans="1:52" ht="17.100000000000001" customHeight="1" thickTop="1">
      <c r="A3074" s="109" t="s">
        <v>9811</v>
      </c>
      <c r="B3074" s="28">
        <v>45961</v>
      </c>
      <c r="C3074" s="25">
        <v>264</v>
      </c>
      <c r="D3074" s="13" t="s">
        <v>2179</v>
      </c>
      <c r="E3074" s="111"/>
      <c r="F3074" s="113" t="s">
        <v>9842</v>
      </c>
      <c r="G3074" s="114"/>
      <c r="H3074" s="115"/>
      <c r="I3074" s="24" t="s">
        <v>1547</v>
      </c>
      <c r="J3074" s="116">
        <v>4</v>
      </c>
      <c r="K3074" s="118">
        <v>512000</v>
      </c>
      <c r="L3074" s="119"/>
      <c r="M3074" s="118">
        <f t="shared" ref="M3074" si="2144">K3074*0.1</f>
        <v>51200</v>
      </c>
      <c r="N3074" s="119"/>
      <c r="O3074" s="118">
        <v>0</v>
      </c>
      <c r="P3074" s="119"/>
      <c r="Q3074" s="118">
        <v>8550</v>
      </c>
      <c r="R3074" s="119"/>
      <c r="S3074" s="118">
        <v>22000</v>
      </c>
      <c r="T3074" s="119"/>
      <c r="U3074" s="118">
        <f t="shared" ref="U3074" si="2145">SUM(K3074:T3075)</f>
        <v>593750</v>
      </c>
      <c r="V3074" s="122"/>
      <c r="W3074" s="124"/>
      <c r="X3074" s="126" t="s">
        <v>9843</v>
      </c>
      <c r="Y3074" s="127"/>
      <c r="Z3074" s="127"/>
      <c r="AA3074" s="127"/>
      <c r="AB3074" s="128"/>
      <c r="AC3074" s="15" t="s">
        <v>20</v>
      </c>
      <c r="AD3074" s="129" t="s">
        <v>1670</v>
      </c>
      <c r="AE3074" s="130"/>
      <c r="AF3074" s="130"/>
      <c r="AG3074" s="130"/>
      <c r="AH3074" s="130"/>
      <c r="AI3074" s="131"/>
      <c r="AJ3074" s="132"/>
      <c r="AK3074" s="127"/>
      <c r="AL3074" s="128"/>
      <c r="AM3074" s="21" t="s">
        <v>11019</v>
      </c>
      <c r="AN3074" s="133">
        <v>45990</v>
      </c>
      <c r="AO3074" s="134"/>
      <c r="AP3074" s="135">
        <v>1278</v>
      </c>
      <c r="AQ3074" s="136"/>
      <c r="AR3074" s="118">
        <v>580000</v>
      </c>
      <c r="AS3074" s="119"/>
      <c r="AT3074" s="118">
        <f t="shared" ref="AT3074" si="2146">AR3074*0.1</f>
        <v>58000</v>
      </c>
      <c r="AU3074" s="119"/>
      <c r="AV3074" s="118">
        <v>8550</v>
      </c>
      <c r="AW3074" s="119"/>
      <c r="AX3074" s="118">
        <f t="shared" ref="AX3074" si="2147">SUM(AR3074:AW3074)</f>
        <v>646550</v>
      </c>
      <c r="AY3074" s="119"/>
      <c r="AZ3074" s="137">
        <v>45994</v>
      </c>
    </row>
    <row r="3075" spans="1:52" ht="17.100000000000001" customHeight="1" thickBot="1">
      <c r="A3075" s="110"/>
      <c r="B3075" s="27" t="s">
        <v>3957</v>
      </c>
      <c r="C3075" s="27">
        <v>10</v>
      </c>
      <c r="D3075" s="14" t="s">
        <v>275</v>
      </c>
      <c r="E3075" s="112"/>
      <c r="F3075" s="139" t="s">
        <v>9820</v>
      </c>
      <c r="G3075" s="140"/>
      <c r="H3075" s="141"/>
      <c r="I3075" s="26">
        <v>53200</v>
      </c>
      <c r="J3075" s="117"/>
      <c r="K3075" s="120"/>
      <c r="L3075" s="121"/>
      <c r="M3075" s="120"/>
      <c r="N3075" s="121"/>
      <c r="O3075" s="120"/>
      <c r="P3075" s="121"/>
      <c r="Q3075" s="120"/>
      <c r="R3075" s="121"/>
      <c r="S3075" s="120"/>
      <c r="T3075" s="121"/>
      <c r="U3075" s="120"/>
      <c r="V3075" s="123"/>
      <c r="W3075" s="125"/>
      <c r="X3075" s="142" t="s">
        <v>10054</v>
      </c>
      <c r="Y3075" s="143"/>
      <c r="Z3075" s="143"/>
      <c r="AA3075" s="143"/>
      <c r="AB3075" s="144"/>
      <c r="AC3075" s="16" t="s">
        <v>21</v>
      </c>
      <c r="AD3075" s="17" t="s">
        <v>1683</v>
      </c>
      <c r="AE3075" s="145" t="s">
        <v>171</v>
      </c>
      <c r="AF3075" s="146"/>
      <c r="AG3075" s="146"/>
      <c r="AH3075" s="146"/>
      <c r="AI3075" s="147"/>
      <c r="AJ3075" s="148"/>
      <c r="AK3075" s="143"/>
      <c r="AL3075" s="144"/>
      <c r="AM3075" s="22"/>
      <c r="AN3075" s="149" t="s">
        <v>2511</v>
      </c>
      <c r="AO3075" s="144"/>
      <c r="AP3075" s="148">
        <v>60292</v>
      </c>
      <c r="AQ3075" s="144"/>
      <c r="AR3075" s="120"/>
      <c r="AS3075" s="121"/>
      <c r="AT3075" s="120"/>
      <c r="AU3075" s="121"/>
      <c r="AV3075" s="120"/>
      <c r="AW3075" s="121"/>
      <c r="AX3075" s="120"/>
      <c r="AY3075" s="121"/>
      <c r="AZ3075" s="138"/>
    </row>
    <row r="3076" spans="1:52" ht="17.100000000000001" customHeight="1" thickTop="1">
      <c r="A3076" s="109" t="s">
        <v>9812</v>
      </c>
      <c r="B3076" s="28">
        <v>45961</v>
      </c>
      <c r="C3076" s="25">
        <v>264</v>
      </c>
      <c r="D3076" s="13" t="s">
        <v>2814</v>
      </c>
      <c r="E3076" s="111"/>
      <c r="F3076" s="113" t="s">
        <v>9844</v>
      </c>
      <c r="G3076" s="114"/>
      <c r="H3076" s="115"/>
      <c r="I3076" s="24" t="s">
        <v>2943</v>
      </c>
      <c r="J3076" s="116">
        <v>3.5</v>
      </c>
      <c r="K3076" s="118">
        <v>444000</v>
      </c>
      <c r="L3076" s="119"/>
      <c r="M3076" s="118">
        <f t="shared" ref="M3076" si="2148">K3076*0.1</f>
        <v>44400</v>
      </c>
      <c r="N3076" s="119"/>
      <c r="O3076" s="118">
        <v>0</v>
      </c>
      <c r="P3076" s="119"/>
      <c r="Q3076" s="118">
        <v>9190</v>
      </c>
      <c r="R3076" s="119"/>
      <c r="S3076" s="118">
        <v>22000</v>
      </c>
      <c r="T3076" s="119"/>
      <c r="U3076" s="118">
        <f t="shared" ref="U3076" si="2149">SUM(K3076:T3077)</f>
        <v>519590</v>
      </c>
      <c r="V3076" s="122"/>
      <c r="W3076" s="124"/>
      <c r="X3076" s="126" t="s">
        <v>9845</v>
      </c>
      <c r="Y3076" s="127"/>
      <c r="Z3076" s="127"/>
      <c r="AA3076" s="127"/>
      <c r="AB3076" s="128"/>
      <c r="AC3076" s="15" t="s">
        <v>20</v>
      </c>
      <c r="AD3076" s="129"/>
      <c r="AE3076" s="130"/>
      <c r="AF3076" s="130"/>
      <c r="AG3076" s="130"/>
      <c r="AH3076" s="130"/>
      <c r="AI3076" s="131"/>
      <c r="AJ3076" s="132"/>
      <c r="AK3076" s="127"/>
      <c r="AL3076" s="128"/>
      <c r="AM3076" s="21" t="s">
        <v>11008</v>
      </c>
      <c r="AN3076" s="133">
        <v>45983</v>
      </c>
      <c r="AO3076" s="134"/>
      <c r="AP3076" s="135">
        <v>1277</v>
      </c>
      <c r="AQ3076" s="136"/>
      <c r="AR3076" s="118">
        <v>520000</v>
      </c>
      <c r="AS3076" s="119"/>
      <c r="AT3076" s="118">
        <f t="shared" ref="AT3076" si="2150">AR3076*0.1</f>
        <v>52000</v>
      </c>
      <c r="AU3076" s="119"/>
      <c r="AV3076" s="118">
        <v>9190</v>
      </c>
      <c r="AW3076" s="119"/>
      <c r="AX3076" s="118">
        <f t="shared" ref="AX3076" si="2151">SUM(AR3076:AW3076)</f>
        <v>581190</v>
      </c>
      <c r="AY3076" s="119"/>
      <c r="AZ3076" s="137">
        <v>45987</v>
      </c>
    </row>
    <row r="3077" spans="1:52" ht="17.100000000000001" customHeight="1" thickBot="1">
      <c r="A3077" s="110"/>
      <c r="B3077" s="27" t="s">
        <v>3957</v>
      </c>
      <c r="C3077" s="27">
        <v>15</v>
      </c>
      <c r="D3077" s="14" t="s">
        <v>2601</v>
      </c>
      <c r="E3077" s="112"/>
      <c r="F3077" s="139" t="s">
        <v>9821</v>
      </c>
      <c r="G3077" s="140"/>
      <c r="H3077" s="141"/>
      <c r="I3077" s="26">
        <v>57260</v>
      </c>
      <c r="J3077" s="117"/>
      <c r="K3077" s="120"/>
      <c r="L3077" s="121"/>
      <c r="M3077" s="120"/>
      <c r="N3077" s="121"/>
      <c r="O3077" s="120"/>
      <c r="P3077" s="121"/>
      <c r="Q3077" s="120"/>
      <c r="R3077" s="121"/>
      <c r="S3077" s="120"/>
      <c r="T3077" s="121"/>
      <c r="U3077" s="120"/>
      <c r="V3077" s="123"/>
      <c r="W3077" s="125"/>
      <c r="X3077" s="142" t="s">
        <v>10162</v>
      </c>
      <c r="Y3077" s="143"/>
      <c r="Z3077" s="143"/>
      <c r="AA3077" s="143"/>
      <c r="AB3077" s="144"/>
      <c r="AC3077" s="16" t="s">
        <v>21</v>
      </c>
      <c r="AD3077" s="17" t="s">
        <v>10146</v>
      </c>
      <c r="AE3077" s="145" t="s">
        <v>2269</v>
      </c>
      <c r="AF3077" s="146"/>
      <c r="AG3077" s="146"/>
      <c r="AH3077" s="146"/>
      <c r="AI3077" s="147"/>
      <c r="AJ3077" s="148"/>
      <c r="AK3077" s="143"/>
      <c r="AL3077" s="144"/>
      <c r="AM3077" s="22"/>
      <c r="AN3077" s="149" t="s">
        <v>2511</v>
      </c>
      <c r="AO3077" s="144"/>
      <c r="AP3077" s="148">
        <v>60080</v>
      </c>
      <c r="AQ3077" s="144"/>
      <c r="AR3077" s="120"/>
      <c r="AS3077" s="121"/>
      <c r="AT3077" s="120"/>
      <c r="AU3077" s="121"/>
      <c r="AV3077" s="120"/>
      <c r="AW3077" s="121"/>
      <c r="AX3077" s="120"/>
      <c r="AY3077" s="121"/>
      <c r="AZ3077" s="138"/>
    </row>
    <row r="3078" spans="1:52" ht="17.100000000000001" customHeight="1" thickTop="1">
      <c r="A3078" s="109" t="s">
        <v>9813</v>
      </c>
      <c r="B3078" s="28">
        <v>45961</v>
      </c>
      <c r="C3078" s="25">
        <v>264</v>
      </c>
      <c r="D3078" s="13" t="s">
        <v>1767</v>
      </c>
      <c r="E3078" s="111"/>
      <c r="F3078" s="113" t="s">
        <v>9658</v>
      </c>
      <c r="G3078" s="114"/>
      <c r="H3078" s="115"/>
      <c r="I3078" s="24"/>
      <c r="J3078" s="116">
        <v>3.5</v>
      </c>
      <c r="K3078" s="118">
        <v>165000</v>
      </c>
      <c r="L3078" s="119"/>
      <c r="M3078" s="118">
        <f t="shared" ref="M3078" si="2152">K3078*0.1</f>
        <v>16500</v>
      </c>
      <c r="N3078" s="119"/>
      <c r="O3078" s="118">
        <v>0</v>
      </c>
      <c r="P3078" s="119"/>
      <c r="Q3078" s="118">
        <v>8460</v>
      </c>
      <c r="R3078" s="119"/>
      <c r="S3078" s="118">
        <v>22000</v>
      </c>
      <c r="T3078" s="119"/>
      <c r="U3078" s="118">
        <f t="shared" ref="U3078" si="2153">SUM(K3078:T3079)</f>
        <v>211960</v>
      </c>
      <c r="V3078" s="122"/>
      <c r="W3078" s="124"/>
      <c r="X3078" s="126" t="s">
        <v>10534</v>
      </c>
      <c r="Y3078" s="127"/>
      <c r="Z3078" s="127"/>
      <c r="AA3078" s="127"/>
      <c r="AB3078" s="128"/>
      <c r="AC3078" s="15" t="s">
        <v>20</v>
      </c>
      <c r="AD3078" s="129"/>
      <c r="AE3078" s="130"/>
      <c r="AF3078" s="130"/>
      <c r="AG3078" s="130"/>
      <c r="AH3078" s="130"/>
      <c r="AI3078" s="131"/>
      <c r="AJ3078" s="132"/>
      <c r="AK3078" s="127"/>
      <c r="AL3078" s="128"/>
      <c r="AM3078" s="21"/>
      <c r="AN3078" s="133">
        <v>45997</v>
      </c>
      <c r="AO3078" s="134"/>
      <c r="AP3078" s="135">
        <v>1279</v>
      </c>
      <c r="AQ3078" s="136"/>
      <c r="AR3078" s="118">
        <v>298000</v>
      </c>
      <c r="AS3078" s="119"/>
      <c r="AT3078" s="118">
        <f t="shared" ref="AT3078" si="2154">AR3078*0.1</f>
        <v>29800</v>
      </c>
      <c r="AU3078" s="119"/>
      <c r="AV3078" s="118">
        <v>8460</v>
      </c>
      <c r="AW3078" s="119"/>
      <c r="AX3078" s="118">
        <f t="shared" ref="AX3078" si="2155">SUM(AR3078:AW3078)</f>
        <v>336260</v>
      </c>
      <c r="AY3078" s="119"/>
      <c r="AZ3078" s="137">
        <v>46000</v>
      </c>
    </row>
    <row r="3079" spans="1:52" ht="17.100000000000001" customHeight="1" thickBot="1">
      <c r="A3079" s="110"/>
      <c r="B3079" s="27" t="s">
        <v>3957</v>
      </c>
      <c r="C3079" s="27">
        <v>20032</v>
      </c>
      <c r="D3079" s="14" t="s">
        <v>1576</v>
      </c>
      <c r="E3079" s="112"/>
      <c r="F3079" s="139" t="s">
        <v>9822</v>
      </c>
      <c r="G3079" s="140"/>
      <c r="H3079" s="141"/>
      <c r="I3079" s="26">
        <v>50500</v>
      </c>
      <c r="J3079" s="117"/>
      <c r="K3079" s="120"/>
      <c r="L3079" s="121"/>
      <c r="M3079" s="120"/>
      <c r="N3079" s="121"/>
      <c r="O3079" s="120"/>
      <c r="P3079" s="121"/>
      <c r="Q3079" s="120"/>
      <c r="R3079" s="121"/>
      <c r="S3079" s="120"/>
      <c r="T3079" s="121"/>
      <c r="U3079" s="120"/>
      <c r="V3079" s="123"/>
      <c r="W3079" s="125"/>
      <c r="X3079" s="142" t="s">
        <v>6913</v>
      </c>
      <c r="Y3079" s="143"/>
      <c r="Z3079" s="143"/>
      <c r="AA3079" s="143"/>
      <c r="AB3079" s="144"/>
      <c r="AC3079" s="16" t="s">
        <v>21</v>
      </c>
      <c r="AD3079" s="17" t="s">
        <v>1694</v>
      </c>
      <c r="AE3079" s="145"/>
      <c r="AF3079" s="146"/>
      <c r="AG3079" s="146"/>
      <c r="AH3079" s="146"/>
      <c r="AI3079" s="147"/>
      <c r="AJ3079" s="148"/>
      <c r="AK3079" s="143"/>
      <c r="AL3079" s="144"/>
      <c r="AM3079" s="22"/>
      <c r="AN3079" s="149" t="s">
        <v>7284</v>
      </c>
      <c r="AO3079" s="144"/>
      <c r="AP3079" s="148">
        <v>63006</v>
      </c>
      <c r="AQ3079" s="144"/>
      <c r="AR3079" s="120"/>
      <c r="AS3079" s="121"/>
      <c r="AT3079" s="120"/>
      <c r="AU3079" s="121"/>
      <c r="AV3079" s="120"/>
      <c r="AW3079" s="121"/>
      <c r="AX3079" s="120"/>
      <c r="AY3079" s="121"/>
      <c r="AZ3079" s="138"/>
    </row>
    <row r="3080" spans="1:52" ht="17.100000000000001" customHeight="1" thickTop="1">
      <c r="A3080" s="109" t="s">
        <v>9814</v>
      </c>
      <c r="B3080" s="28">
        <v>45961</v>
      </c>
      <c r="C3080" s="25">
        <v>264</v>
      </c>
      <c r="D3080" s="13" t="s">
        <v>2036</v>
      </c>
      <c r="E3080" s="111"/>
      <c r="F3080" s="113" t="s">
        <v>4047</v>
      </c>
      <c r="G3080" s="114"/>
      <c r="H3080" s="115"/>
      <c r="I3080" s="24" t="s">
        <v>2526</v>
      </c>
      <c r="J3080" s="116">
        <v>3.5</v>
      </c>
      <c r="K3080" s="118">
        <v>1381000</v>
      </c>
      <c r="L3080" s="119"/>
      <c r="M3080" s="118">
        <f t="shared" ref="M3080" si="2156">K3080*0.1</f>
        <v>138100</v>
      </c>
      <c r="N3080" s="119"/>
      <c r="O3080" s="118">
        <f>12700+1270</f>
        <v>13970</v>
      </c>
      <c r="P3080" s="119"/>
      <c r="Q3080" s="118">
        <v>10720</v>
      </c>
      <c r="R3080" s="119"/>
      <c r="S3080" s="118">
        <v>22000</v>
      </c>
      <c r="T3080" s="119"/>
      <c r="U3080" s="118">
        <f t="shared" ref="U3080" si="2157">SUM(K3080:T3081)</f>
        <v>1565790</v>
      </c>
      <c r="V3080" s="122"/>
      <c r="W3080" s="124"/>
      <c r="X3080" s="126" t="s">
        <v>9846</v>
      </c>
      <c r="Y3080" s="127"/>
      <c r="Z3080" s="127"/>
      <c r="AA3080" s="127"/>
      <c r="AB3080" s="128"/>
      <c r="AC3080" s="15" t="s">
        <v>20</v>
      </c>
      <c r="AD3080" s="129" t="s">
        <v>9847</v>
      </c>
      <c r="AE3080" s="130"/>
      <c r="AF3080" s="130"/>
      <c r="AG3080" s="130"/>
      <c r="AH3080" s="130"/>
      <c r="AI3080" s="131"/>
      <c r="AJ3080" s="132" t="s">
        <v>10411</v>
      </c>
      <c r="AK3080" s="127"/>
      <c r="AL3080" s="128"/>
      <c r="AM3080" s="21"/>
      <c r="AN3080" s="133">
        <v>45969</v>
      </c>
      <c r="AO3080" s="134"/>
      <c r="AP3080" s="135">
        <v>1275</v>
      </c>
      <c r="AQ3080" s="136"/>
      <c r="AR3080" s="118">
        <v>1460000</v>
      </c>
      <c r="AS3080" s="119"/>
      <c r="AT3080" s="118">
        <f t="shared" ref="AT3080" si="2158">AR3080*0.1</f>
        <v>146000</v>
      </c>
      <c r="AU3080" s="119"/>
      <c r="AV3080" s="118">
        <v>10720</v>
      </c>
      <c r="AW3080" s="119"/>
      <c r="AX3080" s="118">
        <f t="shared" ref="AX3080" si="2159">SUM(AR3080:AW3080)</f>
        <v>1616720</v>
      </c>
      <c r="AY3080" s="119"/>
      <c r="AZ3080" s="137">
        <v>45974</v>
      </c>
    </row>
    <row r="3081" spans="1:52" ht="17.100000000000001" customHeight="1" thickBot="1">
      <c r="A3081" s="110"/>
      <c r="B3081" s="27" t="s">
        <v>3957</v>
      </c>
      <c r="C3081" s="27">
        <v>25033</v>
      </c>
      <c r="D3081" s="14" t="s">
        <v>2601</v>
      </c>
      <c r="E3081" s="112"/>
      <c r="F3081" s="139" t="s">
        <v>9823</v>
      </c>
      <c r="G3081" s="140"/>
      <c r="H3081" s="141"/>
      <c r="I3081" s="26">
        <v>59498</v>
      </c>
      <c r="J3081" s="117"/>
      <c r="K3081" s="120"/>
      <c r="L3081" s="121"/>
      <c r="M3081" s="120"/>
      <c r="N3081" s="121"/>
      <c r="O3081" s="120"/>
      <c r="P3081" s="121"/>
      <c r="Q3081" s="120"/>
      <c r="R3081" s="121"/>
      <c r="S3081" s="120"/>
      <c r="T3081" s="121"/>
      <c r="U3081" s="120"/>
      <c r="V3081" s="123"/>
      <c r="W3081" s="125"/>
      <c r="X3081" s="142" t="s">
        <v>4423</v>
      </c>
      <c r="Y3081" s="143"/>
      <c r="Z3081" s="143"/>
      <c r="AA3081" s="143"/>
      <c r="AB3081" s="144"/>
      <c r="AC3081" s="16" t="s">
        <v>21</v>
      </c>
      <c r="AD3081" s="17" t="s">
        <v>3379</v>
      </c>
      <c r="AE3081" s="145" t="s">
        <v>10412</v>
      </c>
      <c r="AF3081" s="146"/>
      <c r="AG3081" s="146"/>
      <c r="AH3081" s="146"/>
      <c r="AI3081" s="147"/>
      <c r="AJ3081" s="148"/>
      <c r="AK3081" s="143"/>
      <c r="AL3081" s="144"/>
      <c r="AM3081" s="22"/>
      <c r="AN3081" s="149" t="s">
        <v>2511</v>
      </c>
      <c r="AO3081" s="144"/>
      <c r="AP3081" s="148">
        <v>4</v>
      </c>
      <c r="AQ3081" s="144"/>
      <c r="AR3081" s="120"/>
      <c r="AS3081" s="121"/>
      <c r="AT3081" s="120"/>
      <c r="AU3081" s="121"/>
      <c r="AV3081" s="120"/>
      <c r="AW3081" s="121"/>
      <c r="AX3081" s="120"/>
      <c r="AY3081" s="121"/>
      <c r="AZ3081" s="138"/>
    </row>
    <row r="3082" spans="1:52" ht="17.100000000000001" customHeight="1" thickTop="1">
      <c r="A3082" s="151" t="s">
        <v>9815</v>
      </c>
      <c r="B3082" s="28">
        <v>45961</v>
      </c>
      <c r="C3082" s="25">
        <v>1392</v>
      </c>
      <c r="D3082" s="13" t="s">
        <v>2363</v>
      </c>
      <c r="E3082" s="111"/>
      <c r="F3082" s="113" t="s">
        <v>9828</v>
      </c>
      <c r="G3082" s="114"/>
      <c r="H3082" s="115"/>
      <c r="I3082" s="24" t="s">
        <v>9848</v>
      </c>
      <c r="J3082" s="116">
        <v>4.5</v>
      </c>
      <c r="K3082" s="118">
        <v>1492000</v>
      </c>
      <c r="L3082" s="119"/>
      <c r="M3082" s="118">
        <f t="shared" ref="M3082" si="2160">K3082*0.1</f>
        <v>149200</v>
      </c>
      <c r="N3082" s="119"/>
      <c r="O3082" s="118">
        <v>0</v>
      </c>
      <c r="P3082" s="119"/>
      <c r="Q3082" s="118">
        <v>14200</v>
      </c>
      <c r="R3082" s="119"/>
      <c r="S3082" s="118">
        <v>13200</v>
      </c>
      <c r="T3082" s="119"/>
      <c r="U3082" s="118">
        <f t="shared" ref="U3082" si="2161">SUM(K3082:T3083)</f>
        <v>1668600</v>
      </c>
      <c r="V3082" s="122"/>
      <c r="W3082" s="124"/>
      <c r="X3082" s="126" t="s">
        <v>10195</v>
      </c>
      <c r="Y3082" s="127"/>
      <c r="Z3082" s="127"/>
      <c r="AA3082" s="127"/>
      <c r="AB3082" s="128"/>
      <c r="AC3082" s="15" t="s">
        <v>20</v>
      </c>
      <c r="AD3082" s="129" t="s">
        <v>3896</v>
      </c>
      <c r="AE3082" s="130"/>
      <c r="AF3082" s="130"/>
      <c r="AG3082" s="130"/>
      <c r="AH3082" s="130"/>
      <c r="AI3082" s="131"/>
      <c r="AJ3082" s="132" t="s">
        <v>8040</v>
      </c>
      <c r="AK3082" s="127"/>
      <c r="AL3082" s="128"/>
      <c r="AM3082" s="21"/>
      <c r="AN3082" s="133"/>
      <c r="AO3082" s="134"/>
      <c r="AP3082" s="135"/>
      <c r="AQ3082" s="136"/>
      <c r="AR3082" s="118"/>
      <c r="AS3082" s="119"/>
      <c r="AT3082" s="118">
        <f t="shared" ref="AT3082" si="2162">AR3082*0.1</f>
        <v>0</v>
      </c>
      <c r="AU3082" s="119"/>
      <c r="AV3082" s="118"/>
      <c r="AW3082" s="119"/>
      <c r="AX3082" s="118">
        <f t="shared" ref="AX3082" si="2163">SUM(AR3082:AW3082)</f>
        <v>0</v>
      </c>
      <c r="AY3082" s="119"/>
      <c r="AZ3082" s="137"/>
    </row>
    <row r="3083" spans="1:52" ht="17.100000000000001" customHeight="1" thickBot="1">
      <c r="A3083" s="152"/>
      <c r="B3083" s="27" t="s">
        <v>2641</v>
      </c>
      <c r="C3083" s="27">
        <v>3005</v>
      </c>
      <c r="D3083" s="14" t="s">
        <v>275</v>
      </c>
      <c r="E3083" s="112"/>
      <c r="F3083" s="139" t="s">
        <v>9829</v>
      </c>
      <c r="G3083" s="140"/>
      <c r="H3083" s="141"/>
      <c r="I3083" s="26">
        <v>859</v>
      </c>
      <c r="J3083" s="117"/>
      <c r="K3083" s="120"/>
      <c r="L3083" s="121"/>
      <c r="M3083" s="120"/>
      <c r="N3083" s="121"/>
      <c r="O3083" s="120"/>
      <c r="P3083" s="121"/>
      <c r="Q3083" s="120"/>
      <c r="R3083" s="121"/>
      <c r="S3083" s="120"/>
      <c r="T3083" s="121"/>
      <c r="U3083" s="120"/>
      <c r="V3083" s="123"/>
      <c r="W3083" s="125"/>
      <c r="X3083" s="142" t="s">
        <v>4234</v>
      </c>
      <c r="Y3083" s="143"/>
      <c r="Z3083" s="143"/>
      <c r="AA3083" s="143"/>
      <c r="AB3083" s="144"/>
      <c r="AC3083" s="16" t="s">
        <v>21</v>
      </c>
      <c r="AD3083" s="17" t="s">
        <v>10146</v>
      </c>
      <c r="AE3083" s="145" t="s">
        <v>5525</v>
      </c>
      <c r="AF3083" s="146"/>
      <c r="AG3083" s="146"/>
      <c r="AH3083" s="146"/>
      <c r="AI3083" s="147"/>
      <c r="AJ3083" s="148" t="s">
        <v>10652</v>
      </c>
      <c r="AK3083" s="143"/>
      <c r="AL3083" s="144"/>
      <c r="AM3083" s="22"/>
      <c r="AN3083" s="149"/>
      <c r="AO3083" s="144"/>
      <c r="AP3083" s="148"/>
      <c r="AQ3083" s="144"/>
      <c r="AR3083" s="120"/>
      <c r="AS3083" s="121"/>
      <c r="AT3083" s="120"/>
      <c r="AU3083" s="121"/>
      <c r="AV3083" s="120"/>
      <c r="AW3083" s="121"/>
      <c r="AX3083" s="120"/>
      <c r="AY3083" s="121"/>
      <c r="AZ3083" s="138"/>
    </row>
    <row r="3084" spans="1:52" ht="17.100000000000001" customHeight="1" thickTop="1">
      <c r="A3084" s="109" t="s">
        <v>9816</v>
      </c>
      <c r="B3084" s="28">
        <v>45961</v>
      </c>
      <c r="C3084" s="25">
        <v>1392</v>
      </c>
      <c r="D3084" s="13" t="s">
        <v>2606</v>
      </c>
      <c r="E3084" s="111"/>
      <c r="F3084" s="113" t="s">
        <v>9849</v>
      </c>
      <c r="G3084" s="114"/>
      <c r="H3084" s="115"/>
      <c r="I3084" s="24" t="s">
        <v>4769</v>
      </c>
      <c r="J3084" s="116">
        <v>4</v>
      </c>
      <c r="K3084" s="118">
        <v>1126000</v>
      </c>
      <c r="L3084" s="119"/>
      <c r="M3084" s="118">
        <f t="shared" ref="M3084" si="2164">K3084*0.1</f>
        <v>112600</v>
      </c>
      <c r="N3084" s="119"/>
      <c r="O3084" s="118">
        <v>0</v>
      </c>
      <c r="P3084" s="119"/>
      <c r="Q3084" s="118">
        <v>9310</v>
      </c>
      <c r="R3084" s="119"/>
      <c r="S3084" s="118">
        <v>13200</v>
      </c>
      <c r="T3084" s="119"/>
      <c r="U3084" s="118">
        <f t="shared" ref="U3084" si="2165">SUM(K3084:T3085)</f>
        <v>1261110</v>
      </c>
      <c r="V3084" s="122"/>
      <c r="W3084" s="124"/>
      <c r="X3084" s="126" t="s">
        <v>10333</v>
      </c>
      <c r="Y3084" s="127"/>
      <c r="Z3084" s="127"/>
      <c r="AA3084" s="127"/>
      <c r="AB3084" s="128"/>
      <c r="AC3084" s="15" t="s">
        <v>20</v>
      </c>
      <c r="AD3084" s="129" t="s">
        <v>171</v>
      </c>
      <c r="AE3084" s="130"/>
      <c r="AF3084" s="130"/>
      <c r="AG3084" s="130"/>
      <c r="AH3084" s="130"/>
      <c r="AI3084" s="131"/>
      <c r="AJ3084" s="132"/>
      <c r="AK3084" s="127"/>
      <c r="AL3084" s="128"/>
      <c r="AM3084" s="21" t="s">
        <v>10403</v>
      </c>
      <c r="AN3084" s="133">
        <v>45969</v>
      </c>
      <c r="AO3084" s="134"/>
      <c r="AP3084" s="135">
        <v>1275</v>
      </c>
      <c r="AQ3084" s="136"/>
      <c r="AR3084" s="118">
        <v>1190000</v>
      </c>
      <c r="AS3084" s="119"/>
      <c r="AT3084" s="118">
        <f t="shared" ref="AT3084" si="2166">AR3084*0.1</f>
        <v>119000</v>
      </c>
      <c r="AU3084" s="119"/>
      <c r="AV3084" s="118">
        <v>9310</v>
      </c>
      <c r="AW3084" s="119"/>
      <c r="AX3084" s="118">
        <f t="shared" ref="AX3084" si="2167">SUM(AR3084:AW3084)</f>
        <v>1318310</v>
      </c>
      <c r="AY3084" s="119"/>
      <c r="AZ3084" s="137">
        <v>45974</v>
      </c>
    </row>
    <row r="3085" spans="1:52" ht="17.100000000000001" customHeight="1" thickBot="1">
      <c r="A3085" s="110"/>
      <c r="B3085" s="27" t="s">
        <v>2641</v>
      </c>
      <c r="C3085" s="27">
        <v>3071</v>
      </c>
      <c r="D3085" s="14" t="s">
        <v>904</v>
      </c>
      <c r="E3085" s="112"/>
      <c r="F3085" s="139" t="s">
        <v>9830</v>
      </c>
      <c r="G3085" s="140"/>
      <c r="H3085" s="141"/>
      <c r="I3085" s="26">
        <v>32710</v>
      </c>
      <c r="J3085" s="117"/>
      <c r="K3085" s="120"/>
      <c r="L3085" s="121"/>
      <c r="M3085" s="120"/>
      <c r="N3085" s="121"/>
      <c r="O3085" s="120"/>
      <c r="P3085" s="121"/>
      <c r="Q3085" s="120"/>
      <c r="R3085" s="121"/>
      <c r="S3085" s="120"/>
      <c r="T3085" s="121"/>
      <c r="U3085" s="120"/>
      <c r="V3085" s="123"/>
      <c r="W3085" s="125"/>
      <c r="X3085" s="142" t="s">
        <v>7096</v>
      </c>
      <c r="Y3085" s="143"/>
      <c r="Z3085" s="143"/>
      <c r="AA3085" s="143"/>
      <c r="AB3085" s="144"/>
      <c r="AC3085" s="16" t="s">
        <v>21</v>
      </c>
      <c r="AD3085" s="17" t="s">
        <v>3379</v>
      </c>
      <c r="AE3085" s="145" t="s">
        <v>2395</v>
      </c>
      <c r="AF3085" s="146"/>
      <c r="AG3085" s="146"/>
      <c r="AH3085" s="146"/>
      <c r="AI3085" s="147"/>
      <c r="AJ3085" s="148"/>
      <c r="AK3085" s="143"/>
      <c r="AL3085" s="144"/>
      <c r="AM3085" s="22"/>
      <c r="AN3085" s="149" t="s">
        <v>2511</v>
      </c>
      <c r="AO3085" s="144"/>
      <c r="AP3085" s="148">
        <v>60005</v>
      </c>
      <c r="AQ3085" s="144"/>
      <c r="AR3085" s="120"/>
      <c r="AS3085" s="121"/>
      <c r="AT3085" s="120"/>
      <c r="AU3085" s="121"/>
      <c r="AV3085" s="120"/>
      <c r="AW3085" s="121"/>
      <c r="AX3085" s="120"/>
      <c r="AY3085" s="121"/>
      <c r="AZ3085" s="138"/>
    </row>
    <row r="3086" spans="1:52" ht="17.100000000000001" customHeight="1" thickTop="1">
      <c r="A3086" s="109" t="s">
        <v>9817</v>
      </c>
      <c r="B3086" s="28">
        <v>45961</v>
      </c>
      <c r="C3086" s="25">
        <v>1392</v>
      </c>
      <c r="D3086" s="13" t="s">
        <v>1744</v>
      </c>
      <c r="E3086" s="111"/>
      <c r="F3086" s="113" t="s">
        <v>9831</v>
      </c>
      <c r="G3086" s="114"/>
      <c r="H3086" s="115"/>
      <c r="I3086" s="24"/>
      <c r="J3086" s="116">
        <v>4</v>
      </c>
      <c r="K3086" s="118">
        <v>900000</v>
      </c>
      <c r="L3086" s="119"/>
      <c r="M3086" s="118">
        <f t="shared" ref="M3086" si="2168">K3086*0.1</f>
        <v>90000</v>
      </c>
      <c r="N3086" s="119"/>
      <c r="O3086" s="118">
        <v>0</v>
      </c>
      <c r="P3086" s="119"/>
      <c r="Q3086" s="118">
        <v>8790</v>
      </c>
      <c r="R3086" s="119"/>
      <c r="S3086" s="118">
        <v>13200</v>
      </c>
      <c r="T3086" s="119"/>
      <c r="U3086" s="118">
        <f t="shared" ref="U3086" si="2169">SUM(K3086:T3087)</f>
        <v>1011990</v>
      </c>
      <c r="V3086" s="122"/>
      <c r="W3086" s="124"/>
      <c r="X3086" s="126" t="s">
        <v>10158</v>
      </c>
      <c r="Y3086" s="127"/>
      <c r="Z3086" s="127"/>
      <c r="AA3086" s="127"/>
      <c r="AB3086" s="128"/>
      <c r="AC3086" s="15" t="s">
        <v>20</v>
      </c>
      <c r="AD3086" s="129"/>
      <c r="AE3086" s="130"/>
      <c r="AF3086" s="130"/>
      <c r="AG3086" s="130"/>
      <c r="AH3086" s="130"/>
      <c r="AI3086" s="131"/>
      <c r="AJ3086" s="132"/>
      <c r="AK3086" s="127"/>
      <c r="AL3086" s="128"/>
      <c r="AM3086" s="21"/>
      <c r="AN3086" s="133">
        <v>45969</v>
      </c>
      <c r="AO3086" s="134"/>
      <c r="AP3086" s="135">
        <v>1275</v>
      </c>
      <c r="AQ3086" s="136"/>
      <c r="AR3086" s="118">
        <v>970000</v>
      </c>
      <c r="AS3086" s="119"/>
      <c r="AT3086" s="118">
        <f t="shared" ref="AT3086" si="2170">AR3086*0.1</f>
        <v>97000</v>
      </c>
      <c r="AU3086" s="119"/>
      <c r="AV3086" s="118">
        <v>8790</v>
      </c>
      <c r="AW3086" s="119"/>
      <c r="AX3086" s="118">
        <f t="shared" ref="AX3086" si="2171">SUM(AR3086:AW3086)</f>
        <v>1075790</v>
      </c>
      <c r="AY3086" s="119"/>
      <c r="AZ3086" s="137">
        <v>45972</v>
      </c>
    </row>
    <row r="3087" spans="1:52" ht="17.100000000000001" customHeight="1" thickBot="1">
      <c r="A3087" s="110"/>
      <c r="B3087" s="27" t="s">
        <v>2641</v>
      </c>
      <c r="C3087" s="27">
        <v>3161</v>
      </c>
      <c r="D3087" s="14" t="s">
        <v>904</v>
      </c>
      <c r="E3087" s="112"/>
      <c r="F3087" s="139" t="s">
        <v>9832</v>
      </c>
      <c r="G3087" s="140"/>
      <c r="H3087" s="141"/>
      <c r="I3087" s="26">
        <v>51631</v>
      </c>
      <c r="J3087" s="117"/>
      <c r="K3087" s="120"/>
      <c r="L3087" s="121"/>
      <c r="M3087" s="120"/>
      <c r="N3087" s="121"/>
      <c r="O3087" s="120"/>
      <c r="P3087" s="121"/>
      <c r="Q3087" s="120"/>
      <c r="R3087" s="121"/>
      <c r="S3087" s="120"/>
      <c r="T3087" s="121"/>
      <c r="U3087" s="120"/>
      <c r="V3087" s="123"/>
      <c r="W3087" s="125"/>
      <c r="X3087" s="142" t="s">
        <v>1997</v>
      </c>
      <c r="Y3087" s="143"/>
      <c r="Z3087" s="143"/>
      <c r="AA3087" s="143"/>
      <c r="AB3087" s="144"/>
      <c r="AC3087" s="16" t="s">
        <v>21</v>
      </c>
      <c r="AD3087" s="17" t="s">
        <v>10146</v>
      </c>
      <c r="AE3087" s="145" t="s">
        <v>10159</v>
      </c>
      <c r="AF3087" s="146"/>
      <c r="AG3087" s="146"/>
      <c r="AH3087" s="146"/>
      <c r="AI3087" s="147"/>
      <c r="AJ3087" s="148"/>
      <c r="AK3087" s="143"/>
      <c r="AL3087" s="144"/>
      <c r="AM3087" s="22"/>
      <c r="AN3087" s="149" t="s">
        <v>2511</v>
      </c>
      <c r="AO3087" s="144"/>
      <c r="AP3087" s="148">
        <v>60003</v>
      </c>
      <c r="AQ3087" s="144"/>
      <c r="AR3087" s="120"/>
      <c r="AS3087" s="121"/>
      <c r="AT3087" s="120"/>
      <c r="AU3087" s="121"/>
      <c r="AV3087" s="120"/>
      <c r="AW3087" s="121"/>
      <c r="AX3087" s="120"/>
      <c r="AY3087" s="121"/>
      <c r="AZ3087" s="138"/>
    </row>
    <row r="3088" spans="1:52" ht="17.100000000000001" customHeight="1" thickTop="1">
      <c r="A3088" s="109" t="s">
        <v>9818</v>
      </c>
      <c r="B3088" s="28">
        <v>45961</v>
      </c>
      <c r="C3088" s="25">
        <v>1392</v>
      </c>
      <c r="D3088" s="13" t="s">
        <v>1725</v>
      </c>
      <c r="E3088" s="111"/>
      <c r="F3088" s="113" t="s">
        <v>9851</v>
      </c>
      <c r="G3088" s="114"/>
      <c r="H3088" s="115"/>
      <c r="I3088" s="24" t="s">
        <v>5136</v>
      </c>
      <c r="J3088" s="116">
        <v>4.5</v>
      </c>
      <c r="K3088" s="118">
        <v>960000</v>
      </c>
      <c r="L3088" s="119"/>
      <c r="M3088" s="118">
        <f t="shared" ref="M3088" si="2172">K3088*0.1</f>
        <v>96000</v>
      </c>
      <c r="N3088" s="119"/>
      <c r="O3088" s="118">
        <v>0</v>
      </c>
      <c r="P3088" s="119"/>
      <c r="Q3088" s="118">
        <v>8790</v>
      </c>
      <c r="R3088" s="119"/>
      <c r="S3088" s="118">
        <v>13200</v>
      </c>
      <c r="T3088" s="119"/>
      <c r="U3088" s="118">
        <f t="shared" ref="U3088" si="2173">SUM(K3088:T3089)</f>
        <v>1077990</v>
      </c>
      <c r="V3088" s="122"/>
      <c r="W3088" s="124"/>
      <c r="X3088" s="126" t="s">
        <v>10245</v>
      </c>
      <c r="Y3088" s="127"/>
      <c r="Z3088" s="127"/>
      <c r="AA3088" s="127"/>
      <c r="AB3088" s="128"/>
      <c r="AC3088" s="15" t="s">
        <v>20</v>
      </c>
      <c r="AD3088" s="129" t="s">
        <v>1945</v>
      </c>
      <c r="AE3088" s="130"/>
      <c r="AF3088" s="130"/>
      <c r="AG3088" s="130"/>
      <c r="AH3088" s="130"/>
      <c r="AI3088" s="131"/>
      <c r="AJ3088" s="132"/>
      <c r="AK3088" s="127"/>
      <c r="AL3088" s="128"/>
      <c r="AM3088" s="21" t="s">
        <v>11203</v>
      </c>
      <c r="AN3088" s="133">
        <v>45981</v>
      </c>
      <c r="AO3088" s="134"/>
      <c r="AP3088" s="135"/>
      <c r="AQ3088" s="136"/>
      <c r="AR3088" s="118">
        <v>1110000</v>
      </c>
      <c r="AS3088" s="119"/>
      <c r="AT3088" s="118">
        <f t="shared" ref="AT3088" si="2174">AR3088*0.1</f>
        <v>111000</v>
      </c>
      <c r="AU3088" s="119"/>
      <c r="AV3088" s="118">
        <v>8790</v>
      </c>
      <c r="AW3088" s="119"/>
      <c r="AX3088" s="118">
        <f t="shared" ref="AX3088" si="2175">SUM(AR3088:AW3088)</f>
        <v>1229790</v>
      </c>
      <c r="AY3088" s="119"/>
      <c r="AZ3088" s="137"/>
    </row>
    <row r="3089" spans="1:52" ht="17.100000000000001" customHeight="1" thickBot="1">
      <c r="A3089" s="110"/>
      <c r="B3089" s="27" t="s">
        <v>2641</v>
      </c>
      <c r="C3089" s="27">
        <v>3181</v>
      </c>
      <c r="D3089" s="14" t="s">
        <v>9850</v>
      </c>
      <c r="E3089" s="112"/>
      <c r="F3089" s="139" t="s">
        <v>9833</v>
      </c>
      <c r="G3089" s="140"/>
      <c r="H3089" s="141"/>
      <c r="I3089" s="26">
        <v>52811</v>
      </c>
      <c r="J3089" s="117"/>
      <c r="K3089" s="120"/>
      <c r="L3089" s="121"/>
      <c r="M3089" s="120"/>
      <c r="N3089" s="121"/>
      <c r="O3089" s="120"/>
      <c r="P3089" s="121"/>
      <c r="Q3089" s="120"/>
      <c r="R3089" s="121"/>
      <c r="S3089" s="120"/>
      <c r="T3089" s="121"/>
      <c r="U3089" s="120"/>
      <c r="V3089" s="123"/>
      <c r="W3089" s="125"/>
      <c r="X3089" s="142" t="s">
        <v>10246</v>
      </c>
      <c r="Y3089" s="143"/>
      <c r="Z3089" s="143"/>
      <c r="AA3089" s="143"/>
      <c r="AB3089" s="144"/>
      <c r="AC3089" s="16" t="s">
        <v>21</v>
      </c>
      <c r="AD3089" s="17" t="s">
        <v>3397</v>
      </c>
      <c r="AE3089" s="145" t="s">
        <v>1614</v>
      </c>
      <c r="AF3089" s="146"/>
      <c r="AG3089" s="146"/>
      <c r="AH3089" s="146"/>
      <c r="AI3089" s="147"/>
      <c r="AJ3089" s="148"/>
      <c r="AK3089" s="143"/>
      <c r="AL3089" s="144"/>
      <c r="AM3089" s="22"/>
      <c r="AN3089" s="149" t="s">
        <v>6789</v>
      </c>
      <c r="AO3089" s="144"/>
      <c r="AP3089" s="148">
        <v>47018</v>
      </c>
      <c r="AQ3089" s="144"/>
      <c r="AR3089" s="120"/>
      <c r="AS3089" s="121"/>
      <c r="AT3089" s="120"/>
      <c r="AU3089" s="121"/>
      <c r="AV3089" s="120"/>
      <c r="AW3089" s="121"/>
      <c r="AX3089" s="120"/>
      <c r="AY3089" s="121"/>
      <c r="AZ3089" s="138"/>
    </row>
    <row r="3090" spans="1:52" ht="17.100000000000001" customHeight="1" thickTop="1">
      <c r="A3090" s="109" t="s">
        <v>9819</v>
      </c>
      <c r="B3090" s="28">
        <v>45961</v>
      </c>
      <c r="C3090" s="25">
        <v>1392</v>
      </c>
      <c r="D3090" s="13" t="s">
        <v>2914</v>
      </c>
      <c r="E3090" s="111"/>
      <c r="F3090" s="113" t="s">
        <v>9852</v>
      </c>
      <c r="G3090" s="114"/>
      <c r="H3090" s="115"/>
      <c r="I3090" s="24"/>
      <c r="J3090" s="116">
        <v>4</v>
      </c>
      <c r="K3090" s="118">
        <v>1012000</v>
      </c>
      <c r="L3090" s="119"/>
      <c r="M3090" s="118">
        <f t="shared" ref="M3090" si="2176">K3090*0.1</f>
        <v>101200</v>
      </c>
      <c r="N3090" s="119"/>
      <c r="O3090" s="118">
        <v>0</v>
      </c>
      <c r="P3090" s="119"/>
      <c r="Q3090" s="118">
        <v>9080</v>
      </c>
      <c r="R3090" s="119"/>
      <c r="S3090" s="118">
        <v>13200</v>
      </c>
      <c r="T3090" s="119"/>
      <c r="U3090" s="118">
        <f t="shared" ref="U3090" si="2177">SUM(K3090:T3091)</f>
        <v>1135480</v>
      </c>
      <c r="V3090" s="122"/>
      <c r="W3090" s="124"/>
      <c r="X3090" s="126" t="s">
        <v>10199</v>
      </c>
      <c r="Y3090" s="127"/>
      <c r="Z3090" s="127"/>
      <c r="AA3090" s="127"/>
      <c r="AB3090" s="128"/>
      <c r="AC3090" s="15" t="s">
        <v>20</v>
      </c>
      <c r="AD3090" s="129" t="s">
        <v>9853</v>
      </c>
      <c r="AE3090" s="130"/>
      <c r="AF3090" s="130"/>
      <c r="AG3090" s="130"/>
      <c r="AH3090" s="130"/>
      <c r="AI3090" s="131"/>
      <c r="AJ3090" s="132"/>
      <c r="AK3090" s="127"/>
      <c r="AL3090" s="128"/>
      <c r="AM3090" s="21"/>
      <c r="AN3090" s="133">
        <v>46109</v>
      </c>
      <c r="AO3090" s="134"/>
      <c r="AP3090" s="135">
        <v>1294</v>
      </c>
      <c r="AQ3090" s="136"/>
      <c r="AR3090" s="118">
        <v>1100000</v>
      </c>
      <c r="AS3090" s="119"/>
      <c r="AT3090" s="118">
        <f t="shared" ref="AT3090" si="2178">AR3090*0.1</f>
        <v>110000</v>
      </c>
      <c r="AU3090" s="119"/>
      <c r="AV3090" s="118">
        <v>9080</v>
      </c>
      <c r="AW3090" s="119"/>
      <c r="AX3090" s="118">
        <f t="shared" ref="AX3090" si="2179">SUM(AR3090:AW3090)</f>
        <v>1219080</v>
      </c>
      <c r="AY3090" s="119"/>
      <c r="AZ3090" s="137">
        <v>46112</v>
      </c>
    </row>
    <row r="3091" spans="1:52" ht="17.100000000000001" customHeight="1" thickBot="1">
      <c r="A3091" s="110"/>
      <c r="B3091" s="27" t="s">
        <v>2641</v>
      </c>
      <c r="C3091" s="27">
        <v>7006</v>
      </c>
      <c r="D3091" s="14" t="s">
        <v>2601</v>
      </c>
      <c r="E3091" s="112"/>
      <c r="F3091" s="139" t="s">
        <v>9834</v>
      </c>
      <c r="G3091" s="140"/>
      <c r="H3091" s="141"/>
      <c r="I3091" s="26">
        <v>57620</v>
      </c>
      <c r="J3091" s="117"/>
      <c r="K3091" s="120"/>
      <c r="L3091" s="121"/>
      <c r="M3091" s="120"/>
      <c r="N3091" s="121"/>
      <c r="O3091" s="120"/>
      <c r="P3091" s="121"/>
      <c r="Q3091" s="120"/>
      <c r="R3091" s="121"/>
      <c r="S3091" s="120"/>
      <c r="T3091" s="121"/>
      <c r="U3091" s="120"/>
      <c r="V3091" s="123"/>
      <c r="W3091" s="125"/>
      <c r="X3091" s="142" t="s">
        <v>9360</v>
      </c>
      <c r="Y3091" s="143"/>
      <c r="Z3091" s="143"/>
      <c r="AA3091" s="143"/>
      <c r="AB3091" s="144"/>
      <c r="AC3091" s="16" t="s">
        <v>21</v>
      </c>
      <c r="AD3091" s="17" t="s">
        <v>10146</v>
      </c>
      <c r="AE3091" s="145" t="s">
        <v>3485</v>
      </c>
      <c r="AF3091" s="146"/>
      <c r="AG3091" s="146"/>
      <c r="AH3091" s="146"/>
      <c r="AI3091" s="147"/>
      <c r="AJ3091" s="148"/>
      <c r="AK3091" s="143"/>
      <c r="AL3091" s="144"/>
      <c r="AM3091" s="22"/>
      <c r="AN3091" s="149" t="s">
        <v>21802</v>
      </c>
      <c r="AO3091" s="144"/>
      <c r="AP3091" s="148">
        <v>62022</v>
      </c>
      <c r="AQ3091" s="144"/>
      <c r="AR3091" s="120"/>
      <c r="AS3091" s="121"/>
      <c r="AT3091" s="120"/>
      <c r="AU3091" s="121"/>
      <c r="AV3091" s="120"/>
      <c r="AW3091" s="121"/>
      <c r="AX3091" s="120"/>
      <c r="AY3091" s="121"/>
      <c r="AZ3091" s="138"/>
    </row>
    <row r="3092" spans="1:52" ht="17.100000000000001" customHeight="1" thickTop="1">
      <c r="A3092" s="109" t="s">
        <v>9824</v>
      </c>
      <c r="B3092" s="28">
        <v>45961</v>
      </c>
      <c r="C3092" s="25">
        <v>1392</v>
      </c>
      <c r="D3092" s="13" t="s">
        <v>1606</v>
      </c>
      <c r="E3092" s="111"/>
      <c r="F3092" s="113" t="s">
        <v>9835</v>
      </c>
      <c r="G3092" s="114"/>
      <c r="H3092" s="115"/>
      <c r="I3092" s="24" t="s">
        <v>9854</v>
      </c>
      <c r="J3092" s="116">
        <v>3.5</v>
      </c>
      <c r="K3092" s="118">
        <v>673000</v>
      </c>
      <c r="L3092" s="119"/>
      <c r="M3092" s="118">
        <f t="shared" ref="M3092" si="2180">K3092*0.1</f>
        <v>67300</v>
      </c>
      <c r="N3092" s="119"/>
      <c r="O3092" s="118">
        <f>14300+1430</f>
        <v>15730</v>
      </c>
      <c r="P3092" s="119"/>
      <c r="Q3092" s="118">
        <v>10360</v>
      </c>
      <c r="R3092" s="119"/>
      <c r="S3092" s="118">
        <v>13200</v>
      </c>
      <c r="T3092" s="119"/>
      <c r="U3092" s="118">
        <f t="shared" ref="U3092" si="2181">SUM(K3092:T3093)</f>
        <v>779590</v>
      </c>
      <c r="V3092" s="122"/>
      <c r="W3092" s="124"/>
      <c r="X3092" s="126" t="s">
        <v>10196</v>
      </c>
      <c r="Y3092" s="127"/>
      <c r="Z3092" s="127"/>
      <c r="AA3092" s="127"/>
      <c r="AB3092" s="128"/>
      <c r="AC3092" s="15" t="s">
        <v>20</v>
      </c>
      <c r="AD3092" s="129"/>
      <c r="AE3092" s="130"/>
      <c r="AF3092" s="130"/>
      <c r="AG3092" s="130"/>
      <c r="AH3092" s="130"/>
      <c r="AI3092" s="131"/>
      <c r="AJ3092" s="132"/>
      <c r="AK3092" s="127"/>
      <c r="AL3092" s="128"/>
      <c r="AM3092" s="21" t="s">
        <v>11054</v>
      </c>
      <c r="AN3092" s="133">
        <v>45997</v>
      </c>
      <c r="AO3092" s="134"/>
      <c r="AP3092" s="135">
        <v>1279</v>
      </c>
      <c r="AQ3092" s="136"/>
      <c r="AR3092" s="118">
        <v>690000</v>
      </c>
      <c r="AS3092" s="119"/>
      <c r="AT3092" s="118">
        <f t="shared" ref="AT3092" si="2182">AR3092*0.1</f>
        <v>69000</v>
      </c>
      <c r="AU3092" s="119"/>
      <c r="AV3092" s="118">
        <v>10360</v>
      </c>
      <c r="AW3092" s="119"/>
      <c r="AX3092" s="118">
        <f t="shared" ref="AX3092" si="2183">SUM(AR3092:AW3092)</f>
        <v>769360</v>
      </c>
      <c r="AY3092" s="119"/>
      <c r="AZ3092" s="137">
        <v>46001</v>
      </c>
    </row>
    <row r="3093" spans="1:52" ht="17.100000000000001" customHeight="1" thickBot="1">
      <c r="A3093" s="110"/>
      <c r="B3093" s="27" t="s">
        <v>2641</v>
      </c>
      <c r="C3093" s="27">
        <v>9009</v>
      </c>
      <c r="D3093" s="14" t="s">
        <v>3327</v>
      </c>
      <c r="E3093" s="112"/>
      <c r="F3093" s="139" t="s">
        <v>9836</v>
      </c>
      <c r="G3093" s="140"/>
      <c r="H3093" s="141"/>
      <c r="I3093" s="26">
        <v>87612</v>
      </c>
      <c r="J3093" s="117"/>
      <c r="K3093" s="120"/>
      <c r="L3093" s="121"/>
      <c r="M3093" s="120"/>
      <c r="N3093" s="121"/>
      <c r="O3093" s="120"/>
      <c r="P3093" s="121"/>
      <c r="Q3093" s="120"/>
      <c r="R3093" s="121"/>
      <c r="S3093" s="120"/>
      <c r="T3093" s="121"/>
      <c r="U3093" s="120"/>
      <c r="V3093" s="123"/>
      <c r="W3093" s="125"/>
      <c r="X3093" s="142" t="s">
        <v>10197</v>
      </c>
      <c r="Y3093" s="143"/>
      <c r="Z3093" s="143"/>
      <c r="AA3093" s="143"/>
      <c r="AB3093" s="144"/>
      <c r="AC3093" s="16" t="s">
        <v>21</v>
      </c>
      <c r="AD3093" s="17" t="s">
        <v>10146</v>
      </c>
      <c r="AE3093" s="145" t="s">
        <v>10198</v>
      </c>
      <c r="AF3093" s="146"/>
      <c r="AG3093" s="146"/>
      <c r="AH3093" s="146"/>
      <c r="AI3093" s="147"/>
      <c r="AJ3093" s="148"/>
      <c r="AK3093" s="143"/>
      <c r="AL3093" s="144"/>
      <c r="AM3093" s="22"/>
      <c r="AN3093" s="149" t="s">
        <v>2511</v>
      </c>
      <c r="AO3093" s="144"/>
      <c r="AP3093" s="148">
        <v>55027</v>
      </c>
      <c r="AQ3093" s="144"/>
      <c r="AR3093" s="120"/>
      <c r="AS3093" s="121"/>
      <c r="AT3093" s="120"/>
      <c r="AU3093" s="121"/>
      <c r="AV3093" s="120"/>
      <c r="AW3093" s="121"/>
      <c r="AX3093" s="120"/>
      <c r="AY3093" s="121"/>
      <c r="AZ3093" s="138"/>
    </row>
    <row r="3094" spans="1:52" ht="17.100000000000001" customHeight="1" thickTop="1">
      <c r="A3094" s="109" t="s">
        <v>9825</v>
      </c>
      <c r="B3094" s="28">
        <v>45961</v>
      </c>
      <c r="C3094" s="25">
        <v>1392</v>
      </c>
      <c r="D3094" s="13" t="s">
        <v>1027</v>
      </c>
      <c r="E3094" s="111"/>
      <c r="F3094" s="113" t="s">
        <v>4251</v>
      </c>
      <c r="G3094" s="114"/>
      <c r="H3094" s="115"/>
      <c r="I3094" s="24"/>
      <c r="J3094" s="116">
        <v>4</v>
      </c>
      <c r="K3094" s="118">
        <v>235000</v>
      </c>
      <c r="L3094" s="119"/>
      <c r="M3094" s="118">
        <f t="shared" ref="M3094" si="2184">K3094*0.1</f>
        <v>23500</v>
      </c>
      <c r="N3094" s="119"/>
      <c r="O3094" s="118">
        <v>0</v>
      </c>
      <c r="P3094" s="119"/>
      <c r="Q3094" s="118">
        <v>9790</v>
      </c>
      <c r="R3094" s="119"/>
      <c r="S3094" s="118">
        <v>13200</v>
      </c>
      <c r="T3094" s="119"/>
      <c r="U3094" s="118">
        <f t="shared" ref="U3094" si="2185">SUM(K3094:T3095)</f>
        <v>281490</v>
      </c>
      <c r="V3094" s="122"/>
      <c r="W3094" s="124"/>
      <c r="X3094" s="126" t="s">
        <v>10155</v>
      </c>
      <c r="Y3094" s="127"/>
      <c r="Z3094" s="127"/>
      <c r="AA3094" s="127"/>
      <c r="AB3094" s="128"/>
      <c r="AC3094" s="15" t="s">
        <v>20</v>
      </c>
      <c r="AD3094" s="129"/>
      <c r="AE3094" s="130"/>
      <c r="AF3094" s="130"/>
      <c r="AG3094" s="130"/>
      <c r="AH3094" s="130"/>
      <c r="AI3094" s="131"/>
      <c r="AJ3094" s="132"/>
      <c r="AK3094" s="127"/>
      <c r="AL3094" s="128"/>
      <c r="AM3094" s="21"/>
      <c r="AN3094" s="133">
        <v>45969</v>
      </c>
      <c r="AO3094" s="134"/>
      <c r="AP3094" s="135">
        <v>1275</v>
      </c>
      <c r="AQ3094" s="136"/>
      <c r="AR3094" s="118">
        <v>292000</v>
      </c>
      <c r="AS3094" s="119"/>
      <c r="AT3094" s="118">
        <f t="shared" ref="AT3094" si="2186">AR3094*0.1</f>
        <v>29200</v>
      </c>
      <c r="AU3094" s="119"/>
      <c r="AV3094" s="118">
        <v>9790</v>
      </c>
      <c r="AW3094" s="119"/>
      <c r="AX3094" s="118">
        <f t="shared" ref="AX3094" si="2187">SUM(AR3094:AW3094)</f>
        <v>330990</v>
      </c>
      <c r="AY3094" s="119"/>
      <c r="AZ3094" s="137">
        <v>45972</v>
      </c>
    </row>
    <row r="3095" spans="1:52" ht="17.100000000000001" customHeight="1" thickBot="1">
      <c r="A3095" s="110"/>
      <c r="B3095" s="27" t="s">
        <v>2641</v>
      </c>
      <c r="C3095" s="27">
        <v>9026</v>
      </c>
      <c r="D3095" s="14" t="s">
        <v>3855</v>
      </c>
      <c r="E3095" s="112"/>
      <c r="F3095" s="139" t="s">
        <v>9837</v>
      </c>
      <c r="G3095" s="140"/>
      <c r="H3095" s="141"/>
      <c r="I3095" s="26">
        <v>96654</v>
      </c>
      <c r="J3095" s="117"/>
      <c r="K3095" s="120"/>
      <c r="L3095" s="121"/>
      <c r="M3095" s="120"/>
      <c r="N3095" s="121"/>
      <c r="O3095" s="120"/>
      <c r="P3095" s="121"/>
      <c r="Q3095" s="120"/>
      <c r="R3095" s="121"/>
      <c r="S3095" s="120"/>
      <c r="T3095" s="121"/>
      <c r="U3095" s="120"/>
      <c r="V3095" s="123"/>
      <c r="W3095" s="125"/>
      <c r="X3095" s="142" t="s">
        <v>1997</v>
      </c>
      <c r="Y3095" s="143"/>
      <c r="Z3095" s="143"/>
      <c r="AA3095" s="143"/>
      <c r="AB3095" s="144"/>
      <c r="AC3095" s="16" t="s">
        <v>21</v>
      </c>
      <c r="AD3095" s="17" t="s">
        <v>10146</v>
      </c>
      <c r="AE3095" s="145" t="s">
        <v>10156</v>
      </c>
      <c r="AF3095" s="146"/>
      <c r="AG3095" s="146"/>
      <c r="AH3095" s="146"/>
      <c r="AI3095" s="147"/>
      <c r="AJ3095" s="148"/>
      <c r="AK3095" s="143"/>
      <c r="AL3095" s="144"/>
      <c r="AM3095" s="22"/>
      <c r="AN3095" s="149" t="s">
        <v>2511</v>
      </c>
      <c r="AO3095" s="144"/>
      <c r="AP3095" s="148">
        <v>63020</v>
      </c>
      <c r="AQ3095" s="144"/>
      <c r="AR3095" s="120"/>
      <c r="AS3095" s="121"/>
      <c r="AT3095" s="120"/>
      <c r="AU3095" s="121"/>
      <c r="AV3095" s="120"/>
      <c r="AW3095" s="121"/>
      <c r="AX3095" s="120"/>
      <c r="AY3095" s="121"/>
      <c r="AZ3095" s="138"/>
    </row>
    <row r="3096" spans="1:52" ht="17.100000000000001" customHeight="1" thickTop="1">
      <c r="A3096" s="109" t="s">
        <v>9826</v>
      </c>
      <c r="B3096" s="28">
        <v>45961</v>
      </c>
      <c r="C3096" s="25">
        <v>1392</v>
      </c>
      <c r="D3096" s="13" t="s">
        <v>1863</v>
      </c>
      <c r="E3096" s="111"/>
      <c r="F3096" s="113" t="s">
        <v>9838</v>
      </c>
      <c r="G3096" s="114"/>
      <c r="H3096" s="115"/>
      <c r="I3096" s="24"/>
      <c r="J3096" s="116">
        <v>4</v>
      </c>
      <c r="K3096" s="118">
        <v>472000</v>
      </c>
      <c r="L3096" s="119"/>
      <c r="M3096" s="118">
        <f t="shared" ref="M3096" si="2188">K3096*0.1</f>
        <v>47200</v>
      </c>
      <c r="N3096" s="119"/>
      <c r="O3096" s="118">
        <v>0</v>
      </c>
      <c r="P3096" s="119"/>
      <c r="Q3096" s="118">
        <v>8790</v>
      </c>
      <c r="R3096" s="119"/>
      <c r="S3096" s="118">
        <v>13200</v>
      </c>
      <c r="T3096" s="119"/>
      <c r="U3096" s="118">
        <f t="shared" ref="U3096" si="2189">SUM(K3096:T3097)</f>
        <v>541190</v>
      </c>
      <c r="V3096" s="122"/>
      <c r="W3096" s="124"/>
      <c r="X3096" s="126" t="s">
        <v>10194</v>
      </c>
      <c r="Y3096" s="127"/>
      <c r="Z3096" s="127"/>
      <c r="AA3096" s="127"/>
      <c r="AB3096" s="128"/>
      <c r="AC3096" s="15" t="s">
        <v>20</v>
      </c>
      <c r="AD3096" s="129"/>
      <c r="AE3096" s="130"/>
      <c r="AF3096" s="130"/>
      <c r="AG3096" s="130"/>
      <c r="AH3096" s="130"/>
      <c r="AI3096" s="131"/>
      <c r="AJ3096" s="132"/>
      <c r="AK3096" s="127"/>
      <c r="AL3096" s="128"/>
      <c r="AM3096" s="21"/>
      <c r="AN3096" s="133">
        <v>45983</v>
      </c>
      <c r="AO3096" s="134"/>
      <c r="AP3096" s="135">
        <v>1277</v>
      </c>
      <c r="AQ3096" s="136"/>
      <c r="AR3096" s="118">
        <v>485000</v>
      </c>
      <c r="AS3096" s="119"/>
      <c r="AT3096" s="118">
        <f t="shared" ref="AT3096" si="2190">AR3096*0.1</f>
        <v>48500</v>
      </c>
      <c r="AU3096" s="119"/>
      <c r="AV3096" s="118">
        <v>8790</v>
      </c>
      <c r="AW3096" s="119"/>
      <c r="AX3096" s="118">
        <f t="shared" ref="AX3096" si="2191">SUM(AR3096:AW3096)</f>
        <v>542290</v>
      </c>
      <c r="AY3096" s="119"/>
      <c r="AZ3096" s="137">
        <v>45987</v>
      </c>
    </row>
    <row r="3097" spans="1:52" ht="17.100000000000001" customHeight="1" thickBot="1">
      <c r="A3097" s="110"/>
      <c r="B3097" s="27" t="s">
        <v>2641</v>
      </c>
      <c r="C3097" s="27">
        <v>9053</v>
      </c>
      <c r="D3097" s="14" t="s">
        <v>1576</v>
      </c>
      <c r="E3097" s="112"/>
      <c r="F3097" s="139" t="s">
        <v>9839</v>
      </c>
      <c r="G3097" s="140"/>
      <c r="H3097" s="141"/>
      <c r="I3097" s="26">
        <v>109165</v>
      </c>
      <c r="J3097" s="117"/>
      <c r="K3097" s="120"/>
      <c r="L3097" s="121"/>
      <c r="M3097" s="120"/>
      <c r="N3097" s="121"/>
      <c r="O3097" s="120"/>
      <c r="P3097" s="121"/>
      <c r="Q3097" s="120"/>
      <c r="R3097" s="121"/>
      <c r="S3097" s="120"/>
      <c r="T3097" s="121"/>
      <c r="U3097" s="120"/>
      <c r="V3097" s="123"/>
      <c r="W3097" s="125"/>
      <c r="X3097" s="142" t="s">
        <v>1997</v>
      </c>
      <c r="Y3097" s="143"/>
      <c r="Z3097" s="143"/>
      <c r="AA3097" s="143"/>
      <c r="AB3097" s="144"/>
      <c r="AC3097" s="16" t="s">
        <v>21</v>
      </c>
      <c r="AD3097" s="17" t="s">
        <v>10146</v>
      </c>
      <c r="AE3097" s="145"/>
      <c r="AF3097" s="146"/>
      <c r="AG3097" s="146"/>
      <c r="AH3097" s="146"/>
      <c r="AI3097" s="147"/>
      <c r="AJ3097" s="148"/>
      <c r="AK3097" s="143"/>
      <c r="AL3097" s="144"/>
      <c r="AM3097" s="22"/>
      <c r="AN3097" s="149" t="s">
        <v>2511</v>
      </c>
      <c r="AO3097" s="144"/>
      <c r="AP3097" s="148">
        <v>60053</v>
      </c>
      <c r="AQ3097" s="144"/>
      <c r="AR3097" s="120"/>
      <c r="AS3097" s="121"/>
      <c r="AT3097" s="120"/>
      <c r="AU3097" s="121"/>
      <c r="AV3097" s="120"/>
      <c r="AW3097" s="121"/>
      <c r="AX3097" s="120"/>
      <c r="AY3097" s="121"/>
      <c r="AZ3097" s="138"/>
    </row>
    <row r="3098" spans="1:52" ht="17.100000000000001" customHeight="1" thickTop="1">
      <c r="A3098" s="109" t="s">
        <v>9827</v>
      </c>
      <c r="B3098" s="28">
        <v>45961</v>
      </c>
      <c r="C3098" s="25">
        <v>1392</v>
      </c>
      <c r="D3098" s="13" t="s">
        <v>5614</v>
      </c>
      <c r="E3098" s="111"/>
      <c r="F3098" s="113" t="s">
        <v>4543</v>
      </c>
      <c r="G3098" s="114"/>
      <c r="H3098" s="115"/>
      <c r="I3098" s="24" t="s">
        <v>9855</v>
      </c>
      <c r="J3098" s="150" t="s">
        <v>1715</v>
      </c>
      <c r="K3098" s="118">
        <v>259000</v>
      </c>
      <c r="L3098" s="119"/>
      <c r="M3098" s="118">
        <f t="shared" ref="M3098" si="2192">K3098*0.1</f>
        <v>25900</v>
      </c>
      <c r="N3098" s="119"/>
      <c r="O3098" s="118">
        <v>0</v>
      </c>
      <c r="P3098" s="119"/>
      <c r="Q3098" s="118">
        <v>8490</v>
      </c>
      <c r="R3098" s="119"/>
      <c r="S3098" s="118">
        <v>13200</v>
      </c>
      <c r="T3098" s="119"/>
      <c r="U3098" s="118">
        <f t="shared" ref="U3098" si="2193">SUM(K3098:T3099)</f>
        <v>306590</v>
      </c>
      <c r="V3098" s="122"/>
      <c r="W3098" s="124"/>
      <c r="X3098" s="126" t="s">
        <v>10157</v>
      </c>
      <c r="Y3098" s="127"/>
      <c r="Z3098" s="127"/>
      <c r="AA3098" s="127"/>
      <c r="AB3098" s="128"/>
      <c r="AC3098" s="15" t="s">
        <v>20</v>
      </c>
      <c r="AD3098" s="129"/>
      <c r="AE3098" s="130"/>
      <c r="AF3098" s="130"/>
      <c r="AG3098" s="130"/>
      <c r="AH3098" s="130"/>
      <c r="AI3098" s="131"/>
      <c r="AJ3098" s="132"/>
      <c r="AK3098" s="127"/>
      <c r="AL3098" s="128"/>
      <c r="AM3098" s="21" t="s">
        <v>10405</v>
      </c>
      <c r="AN3098" s="133">
        <v>45969</v>
      </c>
      <c r="AO3098" s="134"/>
      <c r="AP3098" s="135">
        <v>1275</v>
      </c>
      <c r="AQ3098" s="136"/>
      <c r="AR3098" s="118">
        <v>370000</v>
      </c>
      <c r="AS3098" s="119"/>
      <c r="AT3098" s="118">
        <f t="shared" ref="AT3098" si="2194">AR3098*0.1</f>
        <v>37000</v>
      </c>
      <c r="AU3098" s="119"/>
      <c r="AV3098" s="118">
        <v>8490</v>
      </c>
      <c r="AW3098" s="119"/>
      <c r="AX3098" s="118">
        <f t="shared" ref="AX3098" si="2195">SUM(AR3098:AW3098)</f>
        <v>415490</v>
      </c>
      <c r="AY3098" s="119"/>
      <c r="AZ3098" s="137">
        <v>45974</v>
      </c>
    </row>
    <row r="3099" spans="1:52" ht="17.100000000000001" customHeight="1" thickBot="1">
      <c r="A3099" s="110"/>
      <c r="B3099" s="27" t="s">
        <v>2641</v>
      </c>
      <c r="C3099" s="27">
        <v>9410</v>
      </c>
      <c r="D3099" s="14" t="s">
        <v>275</v>
      </c>
      <c r="E3099" s="112"/>
      <c r="F3099" s="139" t="s">
        <v>9840</v>
      </c>
      <c r="G3099" s="140"/>
      <c r="H3099" s="141"/>
      <c r="I3099" s="26">
        <v>45722</v>
      </c>
      <c r="J3099" s="117"/>
      <c r="K3099" s="120"/>
      <c r="L3099" s="121"/>
      <c r="M3099" s="120"/>
      <c r="N3099" s="121"/>
      <c r="O3099" s="120"/>
      <c r="P3099" s="121"/>
      <c r="Q3099" s="120"/>
      <c r="R3099" s="121"/>
      <c r="S3099" s="120"/>
      <c r="T3099" s="121"/>
      <c r="U3099" s="120"/>
      <c r="V3099" s="123"/>
      <c r="W3099" s="125"/>
      <c r="X3099" s="142" t="s">
        <v>1997</v>
      </c>
      <c r="Y3099" s="143"/>
      <c r="Z3099" s="143"/>
      <c r="AA3099" s="143"/>
      <c r="AB3099" s="144"/>
      <c r="AC3099" s="16" t="s">
        <v>21</v>
      </c>
      <c r="AD3099" s="17" t="s">
        <v>10146</v>
      </c>
      <c r="AE3099" s="145"/>
      <c r="AF3099" s="146"/>
      <c r="AG3099" s="146"/>
      <c r="AH3099" s="146"/>
      <c r="AI3099" s="147"/>
      <c r="AJ3099" s="148"/>
      <c r="AK3099" s="143"/>
      <c r="AL3099" s="144"/>
      <c r="AM3099" s="22"/>
      <c r="AN3099" s="149" t="s">
        <v>2511</v>
      </c>
      <c r="AO3099" s="144"/>
      <c r="AP3099" s="148">
        <v>60011</v>
      </c>
      <c r="AQ3099" s="144"/>
      <c r="AR3099" s="120"/>
      <c r="AS3099" s="121"/>
      <c r="AT3099" s="120"/>
      <c r="AU3099" s="121"/>
      <c r="AV3099" s="120"/>
      <c r="AW3099" s="121"/>
      <c r="AX3099" s="120"/>
      <c r="AY3099" s="121"/>
      <c r="AZ3099" s="138"/>
    </row>
    <row r="3100" spans="1:52" ht="17.100000000000001" customHeight="1" thickTop="1">
      <c r="A3100" s="109" t="s">
        <v>9951</v>
      </c>
      <c r="B3100" s="28">
        <v>45962</v>
      </c>
      <c r="C3100" s="25">
        <v>285</v>
      </c>
      <c r="D3100" s="13" t="s">
        <v>1631</v>
      </c>
      <c r="E3100" s="111"/>
      <c r="F3100" s="113" t="s">
        <v>9856</v>
      </c>
      <c r="G3100" s="114"/>
      <c r="H3100" s="115"/>
      <c r="I3100" s="24"/>
      <c r="J3100" s="116">
        <v>4.5</v>
      </c>
      <c r="K3100" s="118">
        <v>720000</v>
      </c>
      <c r="L3100" s="119"/>
      <c r="M3100" s="118">
        <f t="shared" ref="M3100" si="2196">K3100*0.1</f>
        <v>72000</v>
      </c>
      <c r="N3100" s="119"/>
      <c r="O3100" s="118">
        <v>0</v>
      </c>
      <c r="P3100" s="119"/>
      <c r="Q3100" s="118">
        <v>7510</v>
      </c>
      <c r="R3100" s="119"/>
      <c r="S3100" s="118">
        <v>15950</v>
      </c>
      <c r="T3100" s="119"/>
      <c r="U3100" s="118">
        <f t="shared" ref="U3100" si="2197">SUM(K3100:T3101)</f>
        <v>815460</v>
      </c>
      <c r="V3100" s="122"/>
      <c r="W3100" s="124"/>
      <c r="X3100" s="126" t="s">
        <v>10216</v>
      </c>
      <c r="Y3100" s="127"/>
      <c r="Z3100" s="127"/>
      <c r="AA3100" s="127"/>
      <c r="AB3100" s="128"/>
      <c r="AC3100" s="15" t="s">
        <v>20</v>
      </c>
      <c r="AD3100" s="129" t="s">
        <v>1670</v>
      </c>
      <c r="AE3100" s="130"/>
      <c r="AF3100" s="130"/>
      <c r="AG3100" s="130"/>
      <c r="AH3100" s="130"/>
      <c r="AI3100" s="131"/>
      <c r="AJ3100" s="132"/>
      <c r="AK3100" s="127"/>
      <c r="AL3100" s="128"/>
      <c r="AM3100" s="21"/>
      <c r="AN3100" s="133">
        <v>45969</v>
      </c>
      <c r="AO3100" s="134"/>
      <c r="AP3100" s="135">
        <v>1275</v>
      </c>
      <c r="AQ3100" s="136"/>
      <c r="AR3100" s="118">
        <v>790000</v>
      </c>
      <c r="AS3100" s="119"/>
      <c r="AT3100" s="118">
        <f t="shared" ref="AT3100" si="2198">AR3100*0.1</f>
        <v>79000</v>
      </c>
      <c r="AU3100" s="119"/>
      <c r="AV3100" s="118">
        <v>7510</v>
      </c>
      <c r="AW3100" s="119"/>
      <c r="AX3100" s="118">
        <f t="shared" ref="AX3100" si="2199">SUM(AR3100:AW3100)</f>
        <v>876510</v>
      </c>
      <c r="AY3100" s="119"/>
      <c r="AZ3100" s="137">
        <v>45972</v>
      </c>
    </row>
    <row r="3101" spans="1:52" ht="17.100000000000001" customHeight="1" thickBot="1">
      <c r="A3101" s="110"/>
      <c r="B3101" s="27" t="s">
        <v>3574</v>
      </c>
      <c r="C3101" s="27">
        <v>3115</v>
      </c>
      <c r="D3101" s="14" t="s">
        <v>1720</v>
      </c>
      <c r="E3101" s="112"/>
      <c r="F3101" s="139" t="s">
        <v>9857</v>
      </c>
      <c r="G3101" s="140"/>
      <c r="H3101" s="141"/>
      <c r="I3101" s="26">
        <v>30871</v>
      </c>
      <c r="J3101" s="117"/>
      <c r="K3101" s="120"/>
      <c r="L3101" s="121"/>
      <c r="M3101" s="120"/>
      <c r="N3101" s="121"/>
      <c r="O3101" s="120"/>
      <c r="P3101" s="121"/>
      <c r="Q3101" s="120"/>
      <c r="R3101" s="121"/>
      <c r="S3101" s="120"/>
      <c r="T3101" s="121"/>
      <c r="U3101" s="120"/>
      <c r="V3101" s="123"/>
      <c r="W3101" s="125"/>
      <c r="X3101" s="142" t="s">
        <v>7450</v>
      </c>
      <c r="Y3101" s="143"/>
      <c r="Z3101" s="143"/>
      <c r="AA3101" s="143"/>
      <c r="AB3101" s="144"/>
      <c r="AC3101" s="16" t="s">
        <v>21</v>
      </c>
      <c r="AD3101" s="17" t="s">
        <v>3397</v>
      </c>
      <c r="AE3101" s="145" t="s">
        <v>1670</v>
      </c>
      <c r="AF3101" s="146"/>
      <c r="AG3101" s="146"/>
      <c r="AH3101" s="146"/>
      <c r="AI3101" s="147"/>
      <c r="AJ3101" s="148"/>
      <c r="AK3101" s="143"/>
      <c r="AL3101" s="144"/>
      <c r="AM3101" s="22"/>
      <c r="AN3101" s="149" t="s">
        <v>2511</v>
      </c>
      <c r="AO3101" s="144"/>
      <c r="AP3101" s="148">
        <v>60025</v>
      </c>
      <c r="AQ3101" s="144"/>
      <c r="AR3101" s="120"/>
      <c r="AS3101" s="121"/>
      <c r="AT3101" s="120"/>
      <c r="AU3101" s="121"/>
      <c r="AV3101" s="120"/>
      <c r="AW3101" s="121"/>
      <c r="AX3101" s="120"/>
      <c r="AY3101" s="121"/>
      <c r="AZ3101" s="138"/>
    </row>
    <row r="3102" spans="1:52" ht="17.100000000000001" customHeight="1" thickTop="1">
      <c r="A3102" s="109" t="s">
        <v>9952</v>
      </c>
      <c r="B3102" s="28">
        <v>45962</v>
      </c>
      <c r="C3102" s="25">
        <v>1274</v>
      </c>
      <c r="D3102" s="13" t="s">
        <v>1803</v>
      </c>
      <c r="E3102" s="111"/>
      <c r="F3102" s="113" t="s">
        <v>9835</v>
      </c>
      <c r="G3102" s="114"/>
      <c r="H3102" s="115"/>
      <c r="I3102" s="24" t="s">
        <v>4109</v>
      </c>
      <c r="J3102" s="116">
        <v>4</v>
      </c>
      <c r="K3102" s="118">
        <v>950000</v>
      </c>
      <c r="L3102" s="119"/>
      <c r="M3102" s="118">
        <f t="shared" ref="M3102" si="2200">K3102*0.1</f>
        <v>95000</v>
      </c>
      <c r="N3102" s="119"/>
      <c r="O3102" s="118">
        <f>11500+1150</f>
        <v>12650</v>
      </c>
      <c r="P3102" s="119"/>
      <c r="Q3102" s="118">
        <v>10360</v>
      </c>
      <c r="R3102" s="119"/>
      <c r="S3102" s="118">
        <v>12100</v>
      </c>
      <c r="T3102" s="119"/>
      <c r="U3102" s="118">
        <f t="shared" ref="U3102" si="2201">SUM(K3102:T3103)</f>
        <v>1080110</v>
      </c>
      <c r="V3102" s="122"/>
      <c r="W3102" s="124"/>
      <c r="X3102" s="126" t="s">
        <v>9911</v>
      </c>
      <c r="Y3102" s="127"/>
      <c r="Z3102" s="127"/>
      <c r="AA3102" s="127"/>
      <c r="AB3102" s="128"/>
      <c r="AC3102" s="15" t="s">
        <v>20</v>
      </c>
      <c r="AD3102" s="129"/>
      <c r="AE3102" s="130"/>
      <c r="AF3102" s="130"/>
      <c r="AG3102" s="130"/>
      <c r="AH3102" s="130"/>
      <c r="AI3102" s="131"/>
      <c r="AJ3102" s="132"/>
      <c r="AK3102" s="127"/>
      <c r="AL3102" s="128"/>
      <c r="AM3102" s="21"/>
      <c r="AN3102" s="133">
        <v>45987</v>
      </c>
      <c r="AO3102" s="134"/>
      <c r="AP3102" s="135">
        <v>994</v>
      </c>
      <c r="AQ3102" s="136"/>
      <c r="AR3102" s="118">
        <v>1000000</v>
      </c>
      <c r="AS3102" s="119"/>
      <c r="AT3102" s="118">
        <f t="shared" ref="AT3102" si="2202">AR3102*0.1</f>
        <v>100000</v>
      </c>
      <c r="AU3102" s="119"/>
      <c r="AV3102" s="118">
        <v>10360</v>
      </c>
      <c r="AW3102" s="119"/>
      <c r="AX3102" s="118">
        <f t="shared" ref="AX3102" si="2203">SUM(AR3102:AW3102)</f>
        <v>1110360</v>
      </c>
      <c r="AY3102" s="119"/>
      <c r="AZ3102" s="137">
        <v>45992</v>
      </c>
    </row>
    <row r="3103" spans="1:52" ht="17.100000000000001" customHeight="1" thickBot="1">
      <c r="A3103" s="110"/>
      <c r="B3103" s="27" t="s">
        <v>2511</v>
      </c>
      <c r="C3103" s="27">
        <v>31130</v>
      </c>
      <c r="D3103" s="14" t="s">
        <v>275</v>
      </c>
      <c r="E3103" s="112"/>
      <c r="F3103" s="139" t="s">
        <v>9910</v>
      </c>
      <c r="G3103" s="140"/>
      <c r="H3103" s="141"/>
      <c r="I3103" s="26">
        <v>55173</v>
      </c>
      <c r="J3103" s="117"/>
      <c r="K3103" s="120"/>
      <c r="L3103" s="121"/>
      <c r="M3103" s="120"/>
      <c r="N3103" s="121"/>
      <c r="O3103" s="120"/>
      <c r="P3103" s="121"/>
      <c r="Q3103" s="120"/>
      <c r="R3103" s="121"/>
      <c r="S3103" s="120"/>
      <c r="T3103" s="121"/>
      <c r="U3103" s="120"/>
      <c r="V3103" s="123"/>
      <c r="W3103" s="125"/>
      <c r="X3103" s="142" t="s">
        <v>10470</v>
      </c>
      <c r="Y3103" s="143"/>
      <c r="Z3103" s="143"/>
      <c r="AA3103" s="143"/>
      <c r="AB3103" s="144"/>
      <c r="AC3103" s="16" t="s">
        <v>21</v>
      </c>
      <c r="AD3103" s="17" t="s">
        <v>1694</v>
      </c>
      <c r="AE3103" s="145" t="s">
        <v>10471</v>
      </c>
      <c r="AF3103" s="146"/>
      <c r="AG3103" s="146"/>
      <c r="AH3103" s="146"/>
      <c r="AI3103" s="147"/>
      <c r="AJ3103" s="148" t="s">
        <v>10068</v>
      </c>
      <c r="AK3103" s="143"/>
      <c r="AL3103" s="144"/>
      <c r="AM3103" s="22"/>
      <c r="AN3103" s="149" t="s">
        <v>11801</v>
      </c>
      <c r="AO3103" s="144"/>
      <c r="AP3103" s="148">
        <v>6071</v>
      </c>
      <c r="AQ3103" s="144"/>
      <c r="AR3103" s="120"/>
      <c r="AS3103" s="121"/>
      <c r="AT3103" s="120"/>
      <c r="AU3103" s="121"/>
      <c r="AV3103" s="120"/>
      <c r="AW3103" s="121"/>
      <c r="AX3103" s="120"/>
      <c r="AY3103" s="121"/>
      <c r="AZ3103" s="138"/>
    </row>
    <row r="3104" spans="1:52" ht="17.100000000000001" customHeight="1" thickTop="1">
      <c r="A3104" s="109" t="s">
        <v>9953</v>
      </c>
      <c r="B3104" s="28">
        <v>45962</v>
      </c>
      <c r="C3104" s="25">
        <v>1274</v>
      </c>
      <c r="D3104" s="13" t="s">
        <v>1642</v>
      </c>
      <c r="E3104" s="111"/>
      <c r="F3104" s="113" t="s">
        <v>3590</v>
      </c>
      <c r="G3104" s="114"/>
      <c r="H3104" s="115"/>
      <c r="I3104" s="24" t="s">
        <v>4437</v>
      </c>
      <c r="J3104" s="116">
        <v>4.5</v>
      </c>
      <c r="K3104" s="118">
        <v>1090000</v>
      </c>
      <c r="L3104" s="119"/>
      <c r="M3104" s="118">
        <f t="shared" ref="M3104" si="2204">K3104*0.1</f>
        <v>109000</v>
      </c>
      <c r="N3104" s="119"/>
      <c r="O3104" s="118">
        <v>0</v>
      </c>
      <c r="P3104" s="119"/>
      <c r="Q3104" s="118">
        <v>5340</v>
      </c>
      <c r="R3104" s="119"/>
      <c r="S3104" s="118">
        <v>12100</v>
      </c>
      <c r="T3104" s="119"/>
      <c r="U3104" s="118">
        <f t="shared" ref="U3104" si="2205">SUM(K3104:T3105)</f>
        <v>1216440</v>
      </c>
      <c r="V3104" s="122"/>
      <c r="W3104" s="124"/>
      <c r="X3104" s="126" t="s">
        <v>9913</v>
      </c>
      <c r="Y3104" s="127"/>
      <c r="Z3104" s="127"/>
      <c r="AA3104" s="127"/>
      <c r="AB3104" s="128"/>
      <c r="AC3104" s="15" t="s">
        <v>20</v>
      </c>
      <c r="AD3104" s="129" t="s">
        <v>1670</v>
      </c>
      <c r="AE3104" s="130"/>
      <c r="AF3104" s="130"/>
      <c r="AG3104" s="130"/>
      <c r="AH3104" s="130"/>
      <c r="AI3104" s="131"/>
      <c r="AJ3104" s="132"/>
      <c r="AK3104" s="127"/>
      <c r="AL3104" s="128"/>
      <c r="AM3104" s="21"/>
      <c r="AN3104" s="133">
        <v>45980</v>
      </c>
      <c r="AO3104" s="134"/>
      <c r="AP3104" s="135">
        <v>993</v>
      </c>
      <c r="AQ3104" s="136"/>
      <c r="AR3104" s="118">
        <v>1150000</v>
      </c>
      <c r="AS3104" s="119"/>
      <c r="AT3104" s="118">
        <f t="shared" ref="AT3104" si="2206">AR3104*0.1</f>
        <v>115000</v>
      </c>
      <c r="AU3104" s="119"/>
      <c r="AV3104" s="118">
        <v>5340</v>
      </c>
      <c r="AW3104" s="119"/>
      <c r="AX3104" s="118">
        <f t="shared" ref="AX3104" si="2207">SUM(AR3104:AW3104)</f>
        <v>1270340</v>
      </c>
      <c r="AY3104" s="119"/>
      <c r="AZ3104" s="137">
        <v>45986</v>
      </c>
    </row>
    <row r="3105" spans="1:52" ht="17.100000000000001" customHeight="1" thickBot="1">
      <c r="A3105" s="110"/>
      <c r="B3105" s="27" t="s">
        <v>2511</v>
      </c>
      <c r="C3105" s="27">
        <v>62039</v>
      </c>
      <c r="D3105" s="14" t="s">
        <v>2800</v>
      </c>
      <c r="E3105" s="112"/>
      <c r="F3105" s="139" t="s">
        <v>9912</v>
      </c>
      <c r="G3105" s="140"/>
      <c r="H3105" s="141"/>
      <c r="I3105" s="26">
        <v>17685</v>
      </c>
      <c r="J3105" s="117"/>
      <c r="K3105" s="120"/>
      <c r="L3105" s="121"/>
      <c r="M3105" s="120"/>
      <c r="N3105" s="121"/>
      <c r="O3105" s="120"/>
      <c r="P3105" s="121"/>
      <c r="Q3105" s="120"/>
      <c r="R3105" s="121"/>
      <c r="S3105" s="120"/>
      <c r="T3105" s="121"/>
      <c r="U3105" s="120"/>
      <c r="V3105" s="123"/>
      <c r="W3105" s="125"/>
      <c r="X3105" s="142" t="s">
        <v>2321</v>
      </c>
      <c r="Y3105" s="143"/>
      <c r="Z3105" s="143"/>
      <c r="AA3105" s="143"/>
      <c r="AB3105" s="144"/>
      <c r="AC3105" s="16" t="s">
        <v>21</v>
      </c>
      <c r="AD3105" s="17" t="s">
        <v>1694</v>
      </c>
      <c r="AE3105" s="145" t="s">
        <v>171</v>
      </c>
      <c r="AF3105" s="146"/>
      <c r="AG3105" s="146"/>
      <c r="AH3105" s="146"/>
      <c r="AI3105" s="147"/>
      <c r="AJ3105" s="148"/>
      <c r="AK3105" s="143"/>
      <c r="AL3105" s="144"/>
      <c r="AM3105" s="22"/>
      <c r="AN3105" s="149" t="s">
        <v>2794</v>
      </c>
      <c r="AO3105" s="144"/>
      <c r="AP3105" s="148">
        <v>2018</v>
      </c>
      <c r="AQ3105" s="144"/>
      <c r="AR3105" s="120"/>
      <c r="AS3105" s="121"/>
      <c r="AT3105" s="120"/>
      <c r="AU3105" s="121"/>
      <c r="AV3105" s="120"/>
      <c r="AW3105" s="121"/>
      <c r="AX3105" s="120"/>
      <c r="AY3105" s="121"/>
      <c r="AZ3105" s="138"/>
    </row>
    <row r="3106" spans="1:52" ht="17.100000000000001" customHeight="1" thickTop="1">
      <c r="A3106" s="109" t="s">
        <v>9954</v>
      </c>
      <c r="B3106" s="28">
        <v>45962</v>
      </c>
      <c r="C3106" s="25">
        <v>1274</v>
      </c>
      <c r="D3106" s="13" t="s">
        <v>1686</v>
      </c>
      <c r="E3106" s="111"/>
      <c r="F3106" s="113" t="s">
        <v>5430</v>
      </c>
      <c r="G3106" s="114"/>
      <c r="H3106" s="115"/>
      <c r="I3106" s="24"/>
      <c r="J3106" s="116">
        <v>4</v>
      </c>
      <c r="K3106" s="118">
        <v>595000</v>
      </c>
      <c r="L3106" s="119"/>
      <c r="M3106" s="118">
        <f t="shared" ref="M3106" si="2208">K3106*0.1</f>
        <v>59500</v>
      </c>
      <c r="N3106" s="119"/>
      <c r="O3106" s="118">
        <v>0</v>
      </c>
      <c r="P3106" s="119"/>
      <c r="Q3106" s="118">
        <v>9790</v>
      </c>
      <c r="R3106" s="119"/>
      <c r="S3106" s="118">
        <v>12100</v>
      </c>
      <c r="T3106" s="119"/>
      <c r="U3106" s="118">
        <f t="shared" ref="U3106" si="2209">SUM(K3106:T3107)</f>
        <v>676390</v>
      </c>
      <c r="V3106" s="122"/>
      <c r="W3106" s="124"/>
      <c r="X3106" s="126" t="s">
        <v>10513</v>
      </c>
      <c r="Y3106" s="127"/>
      <c r="Z3106" s="127"/>
      <c r="AA3106" s="127"/>
      <c r="AB3106" s="128"/>
      <c r="AC3106" s="15" t="s">
        <v>20</v>
      </c>
      <c r="AD3106" s="129" t="s">
        <v>9915</v>
      </c>
      <c r="AE3106" s="130"/>
      <c r="AF3106" s="130"/>
      <c r="AG3106" s="130"/>
      <c r="AH3106" s="130"/>
      <c r="AI3106" s="131"/>
      <c r="AJ3106" s="132"/>
      <c r="AK3106" s="127"/>
      <c r="AL3106" s="128"/>
      <c r="AM3106" s="21"/>
      <c r="AN3106" s="133">
        <v>45973</v>
      </c>
      <c r="AO3106" s="134"/>
      <c r="AP3106" s="135">
        <v>992</v>
      </c>
      <c r="AQ3106" s="136"/>
      <c r="AR3106" s="118">
        <v>690000</v>
      </c>
      <c r="AS3106" s="119"/>
      <c r="AT3106" s="118">
        <f t="shared" ref="AT3106" si="2210">AR3106*0.1</f>
        <v>69000</v>
      </c>
      <c r="AU3106" s="119"/>
      <c r="AV3106" s="118">
        <v>9790</v>
      </c>
      <c r="AW3106" s="119"/>
      <c r="AX3106" s="118">
        <f t="shared" ref="AX3106" si="2211">SUM(AR3106:AW3106)</f>
        <v>768790</v>
      </c>
      <c r="AY3106" s="119"/>
      <c r="AZ3106" s="137">
        <v>45978</v>
      </c>
    </row>
    <row r="3107" spans="1:52" ht="17.100000000000001" customHeight="1" thickBot="1">
      <c r="A3107" s="110"/>
      <c r="B3107" s="27" t="s">
        <v>2511</v>
      </c>
      <c r="C3107" s="27">
        <v>65112</v>
      </c>
      <c r="D3107" s="14" t="s">
        <v>275</v>
      </c>
      <c r="E3107" s="112"/>
      <c r="F3107" s="139" t="s">
        <v>9914</v>
      </c>
      <c r="G3107" s="140"/>
      <c r="H3107" s="141"/>
      <c r="I3107" s="26">
        <v>69021</v>
      </c>
      <c r="J3107" s="117"/>
      <c r="K3107" s="120"/>
      <c r="L3107" s="121"/>
      <c r="M3107" s="120"/>
      <c r="N3107" s="121"/>
      <c r="O3107" s="120"/>
      <c r="P3107" s="121"/>
      <c r="Q3107" s="120"/>
      <c r="R3107" s="121"/>
      <c r="S3107" s="120"/>
      <c r="T3107" s="121"/>
      <c r="U3107" s="120"/>
      <c r="V3107" s="123"/>
      <c r="W3107" s="125"/>
      <c r="X3107" s="142" t="s">
        <v>10514</v>
      </c>
      <c r="Y3107" s="143"/>
      <c r="Z3107" s="143"/>
      <c r="AA3107" s="143"/>
      <c r="AB3107" s="144"/>
      <c r="AC3107" s="16" t="s">
        <v>21</v>
      </c>
      <c r="AD3107" s="17" t="s">
        <v>10500</v>
      </c>
      <c r="AE3107" s="145" t="s">
        <v>10515</v>
      </c>
      <c r="AF3107" s="146"/>
      <c r="AG3107" s="146"/>
      <c r="AH3107" s="146"/>
      <c r="AI3107" s="147"/>
      <c r="AJ3107" s="148"/>
      <c r="AK3107" s="143"/>
      <c r="AL3107" s="144"/>
      <c r="AM3107" s="22"/>
      <c r="AN3107" s="149" t="s">
        <v>2794</v>
      </c>
      <c r="AO3107" s="144"/>
      <c r="AP3107" s="148">
        <v>2089</v>
      </c>
      <c r="AQ3107" s="144"/>
      <c r="AR3107" s="120"/>
      <c r="AS3107" s="121"/>
      <c r="AT3107" s="120"/>
      <c r="AU3107" s="121"/>
      <c r="AV3107" s="120"/>
      <c r="AW3107" s="121"/>
      <c r="AX3107" s="120"/>
      <c r="AY3107" s="121"/>
      <c r="AZ3107" s="138"/>
    </row>
    <row r="3108" spans="1:52" ht="17.100000000000001" customHeight="1" thickTop="1">
      <c r="A3108" s="109" t="s">
        <v>9955</v>
      </c>
      <c r="B3108" s="28">
        <v>45962</v>
      </c>
      <c r="C3108" s="25">
        <v>1274</v>
      </c>
      <c r="D3108" s="13" t="s">
        <v>2963</v>
      </c>
      <c r="E3108" s="111"/>
      <c r="F3108" s="113" t="s">
        <v>9395</v>
      </c>
      <c r="G3108" s="114"/>
      <c r="H3108" s="115"/>
      <c r="I3108" s="24" t="s">
        <v>7168</v>
      </c>
      <c r="J3108" s="116">
        <v>4.5</v>
      </c>
      <c r="K3108" s="118">
        <v>885000</v>
      </c>
      <c r="L3108" s="119"/>
      <c r="M3108" s="118">
        <f t="shared" ref="M3108" si="2212">K3108*0.1</f>
        <v>88500</v>
      </c>
      <c r="N3108" s="119"/>
      <c r="O3108" s="118">
        <v>0</v>
      </c>
      <c r="P3108" s="119"/>
      <c r="Q3108" s="118">
        <v>8010</v>
      </c>
      <c r="R3108" s="119"/>
      <c r="S3108" s="118">
        <v>13200</v>
      </c>
      <c r="T3108" s="119"/>
      <c r="U3108" s="118">
        <f t="shared" ref="U3108" si="2213">SUM(K3108:T3109)</f>
        <v>994710</v>
      </c>
      <c r="V3108" s="122"/>
      <c r="W3108" s="124"/>
      <c r="X3108" s="126" t="s">
        <v>9917</v>
      </c>
      <c r="Y3108" s="127"/>
      <c r="Z3108" s="127"/>
      <c r="AA3108" s="127"/>
      <c r="AB3108" s="128"/>
      <c r="AC3108" s="15" t="s">
        <v>20</v>
      </c>
      <c r="AD3108" s="129" t="s">
        <v>9918</v>
      </c>
      <c r="AE3108" s="130"/>
      <c r="AF3108" s="130"/>
      <c r="AG3108" s="130"/>
      <c r="AH3108" s="130"/>
      <c r="AI3108" s="131"/>
      <c r="AJ3108" s="132"/>
      <c r="AK3108" s="127"/>
      <c r="AL3108" s="128"/>
      <c r="AM3108" s="21"/>
      <c r="AN3108" s="133">
        <v>46046</v>
      </c>
      <c r="AO3108" s="134"/>
      <c r="AP3108" s="135">
        <v>1285</v>
      </c>
      <c r="AQ3108" s="136"/>
      <c r="AR3108" s="118">
        <v>950000</v>
      </c>
      <c r="AS3108" s="119"/>
      <c r="AT3108" s="118">
        <f t="shared" ref="AT3108" si="2214">AR3108*0.1</f>
        <v>95000</v>
      </c>
      <c r="AU3108" s="119"/>
      <c r="AV3108" s="118">
        <v>8010</v>
      </c>
      <c r="AW3108" s="119"/>
      <c r="AX3108" s="118">
        <f t="shared" ref="AX3108" si="2215">SUM(AR3108:AW3108)</f>
        <v>1053010</v>
      </c>
      <c r="AY3108" s="119"/>
      <c r="AZ3108" s="137">
        <v>46049</v>
      </c>
    </row>
    <row r="3109" spans="1:52" ht="17.100000000000001" customHeight="1" thickBot="1">
      <c r="A3109" s="110"/>
      <c r="B3109" s="27" t="s">
        <v>2511</v>
      </c>
      <c r="C3109" s="27">
        <v>65184</v>
      </c>
      <c r="D3109" s="14" t="s">
        <v>1720</v>
      </c>
      <c r="E3109" s="112"/>
      <c r="F3109" s="139" t="s">
        <v>9916</v>
      </c>
      <c r="G3109" s="140"/>
      <c r="H3109" s="141"/>
      <c r="I3109" s="26">
        <v>61700</v>
      </c>
      <c r="J3109" s="117"/>
      <c r="K3109" s="120"/>
      <c r="L3109" s="121"/>
      <c r="M3109" s="120"/>
      <c r="N3109" s="121"/>
      <c r="O3109" s="120"/>
      <c r="P3109" s="121"/>
      <c r="Q3109" s="120"/>
      <c r="R3109" s="121"/>
      <c r="S3109" s="120"/>
      <c r="T3109" s="121"/>
      <c r="U3109" s="120"/>
      <c r="V3109" s="123"/>
      <c r="W3109" s="125"/>
      <c r="X3109" s="142" t="s">
        <v>10535</v>
      </c>
      <c r="Y3109" s="143"/>
      <c r="Z3109" s="143"/>
      <c r="AA3109" s="143"/>
      <c r="AB3109" s="144"/>
      <c r="AC3109" s="16" t="s">
        <v>21</v>
      </c>
      <c r="AD3109" s="17" t="s">
        <v>1694</v>
      </c>
      <c r="AE3109" s="145" t="s">
        <v>10537</v>
      </c>
      <c r="AF3109" s="146"/>
      <c r="AG3109" s="146"/>
      <c r="AH3109" s="146"/>
      <c r="AI3109" s="147"/>
      <c r="AJ3109" s="148"/>
      <c r="AK3109" s="143"/>
      <c r="AL3109" s="144"/>
      <c r="AM3109" s="22"/>
      <c r="AN3109" s="149" t="s">
        <v>6748</v>
      </c>
      <c r="AO3109" s="144"/>
      <c r="AP3109" s="148">
        <v>60175</v>
      </c>
      <c r="AQ3109" s="144"/>
      <c r="AR3109" s="120"/>
      <c r="AS3109" s="121"/>
      <c r="AT3109" s="120"/>
      <c r="AU3109" s="121"/>
      <c r="AV3109" s="120"/>
      <c r="AW3109" s="121"/>
      <c r="AX3109" s="120"/>
      <c r="AY3109" s="121"/>
      <c r="AZ3109" s="138"/>
    </row>
    <row r="3110" spans="1:52" ht="17.100000000000001" customHeight="1" thickTop="1">
      <c r="A3110" s="109" t="s">
        <v>9956</v>
      </c>
      <c r="B3110" s="28">
        <v>45962</v>
      </c>
      <c r="C3110" s="25">
        <v>1274</v>
      </c>
      <c r="D3110" s="13" t="s">
        <v>1631</v>
      </c>
      <c r="E3110" s="111"/>
      <c r="F3110" s="113" t="s">
        <v>5194</v>
      </c>
      <c r="G3110" s="114"/>
      <c r="H3110" s="115"/>
      <c r="I3110" s="24" t="s">
        <v>9920</v>
      </c>
      <c r="J3110" s="116">
        <v>4.5</v>
      </c>
      <c r="K3110" s="118">
        <v>1150000</v>
      </c>
      <c r="L3110" s="119"/>
      <c r="M3110" s="118">
        <f t="shared" ref="M3110" si="2216">K3110*0.1</f>
        <v>115000</v>
      </c>
      <c r="N3110" s="119"/>
      <c r="O3110" s="118">
        <v>0</v>
      </c>
      <c r="P3110" s="119"/>
      <c r="Q3110" s="118">
        <v>8640</v>
      </c>
      <c r="R3110" s="119"/>
      <c r="S3110" s="118">
        <v>12100</v>
      </c>
      <c r="T3110" s="119"/>
      <c r="U3110" s="118">
        <f t="shared" ref="U3110" si="2217">SUM(K3110:T3111)</f>
        <v>1285740</v>
      </c>
      <c r="V3110" s="122"/>
      <c r="W3110" s="124"/>
      <c r="X3110" s="126" t="s">
        <v>9921</v>
      </c>
      <c r="Y3110" s="127"/>
      <c r="Z3110" s="127"/>
      <c r="AA3110" s="127"/>
      <c r="AB3110" s="128"/>
      <c r="AC3110" s="15" t="s">
        <v>20</v>
      </c>
      <c r="AD3110" s="129" t="s">
        <v>10536</v>
      </c>
      <c r="AE3110" s="130"/>
      <c r="AF3110" s="130"/>
      <c r="AG3110" s="130"/>
      <c r="AH3110" s="130"/>
      <c r="AI3110" s="131"/>
      <c r="AJ3110" s="132"/>
      <c r="AK3110" s="127"/>
      <c r="AL3110" s="128"/>
      <c r="AM3110" s="21"/>
      <c r="AN3110" s="133">
        <v>45973</v>
      </c>
      <c r="AO3110" s="134"/>
      <c r="AP3110" s="135">
        <v>992</v>
      </c>
      <c r="AQ3110" s="136"/>
      <c r="AR3110" s="118">
        <v>1250000</v>
      </c>
      <c r="AS3110" s="119"/>
      <c r="AT3110" s="118">
        <f t="shared" ref="AT3110" si="2218">AR3110*0.1</f>
        <v>125000</v>
      </c>
      <c r="AU3110" s="119"/>
      <c r="AV3110" s="118">
        <v>8640</v>
      </c>
      <c r="AW3110" s="119"/>
      <c r="AX3110" s="118">
        <f t="shared" ref="AX3110" si="2219">SUM(AR3110:AW3110)</f>
        <v>1383640</v>
      </c>
      <c r="AY3110" s="119"/>
      <c r="AZ3110" s="137">
        <v>45978</v>
      </c>
    </row>
    <row r="3111" spans="1:52" ht="17.100000000000001" customHeight="1" thickBot="1">
      <c r="A3111" s="110"/>
      <c r="B3111" s="27" t="s">
        <v>2511</v>
      </c>
      <c r="C3111" s="27">
        <v>65293</v>
      </c>
      <c r="D3111" s="14" t="s">
        <v>1576</v>
      </c>
      <c r="E3111" s="112"/>
      <c r="F3111" s="139" t="s">
        <v>9919</v>
      </c>
      <c r="G3111" s="140"/>
      <c r="H3111" s="141"/>
      <c r="I3111" s="26">
        <v>38137</v>
      </c>
      <c r="J3111" s="117"/>
      <c r="K3111" s="120"/>
      <c r="L3111" s="121"/>
      <c r="M3111" s="120"/>
      <c r="N3111" s="121"/>
      <c r="O3111" s="120"/>
      <c r="P3111" s="121"/>
      <c r="Q3111" s="120"/>
      <c r="R3111" s="121"/>
      <c r="S3111" s="120"/>
      <c r="T3111" s="121"/>
      <c r="U3111" s="120"/>
      <c r="V3111" s="123"/>
      <c r="W3111" s="125"/>
      <c r="X3111" s="142" t="s">
        <v>10538</v>
      </c>
      <c r="Y3111" s="143"/>
      <c r="Z3111" s="143"/>
      <c r="AA3111" s="143"/>
      <c r="AB3111" s="144"/>
      <c r="AC3111" s="16" t="s">
        <v>21</v>
      </c>
      <c r="AD3111" s="17" t="s">
        <v>1694</v>
      </c>
      <c r="AE3111" s="145" t="s">
        <v>10539</v>
      </c>
      <c r="AF3111" s="146"/>
      <c r="AG3111" s="146"/>
      <c r="AH3111" s="146"/>
      <c r="AI3111" s="147"/>
      <c r="AJ3111" s="148" t="s">
        <v>10067</v>
      </c>
      <c r="AK3111" s="143"/>
      <c r="AL3111" s="144"/>
      <c r="AM3111" s="22"/>
      <c r="AN3111" s="149" t="s">
        <v>2794</v>
      </c>
      <c r="AO3111" s="144"/>
      <c r="AP3111" s="148">
        <v>2012</v>
      </c>
      <c r="AQ3111" s="144"/>
      <c r="AR3111" s="120"/>
      <c r="AS3111" s="121"/>
      <c r="AT3111" s="120"/>
      <c r="AU3111" s="121"/>
      <c r="AV3111" s="120"/>
      <c r="AW3111" s="121"/>
      <c r="AX3111" s="120"/>
      <c r="AY3111" s="121"/>
      <c r="AZ3111" s="138"/>
    </row>
    <row r="3112" spans="1:52" ht="17.100000000000001" customHeight="1" thickTop="1">
      <c r="A3112" s="109" t="s">
        <v>9957</v>
      </c>
      <c r="B3112" s="28">
        <v>45962</v>
      </c>
      <c r="C3112" s="25">
        <v>1274</v>
      </c>
      <c r="D3112" s="13" t="s">
        <v>2442</v>
      </c>
      <c r="E3112" s="111"/>
      <c r="F3112" s="113" t="s">
        <v>9922</v>
      </c>
      <c r="G3112" s="114"/>
      <c r="H3112" s="115"/>
      <c r="I3112" s="24" t="s">
        <v>3399</v>
      </c>
      <c r="J3112" s="116">
        <v>4.5</v>
      </c>
      <c r="K3112" s="118">
        <v>3490000</v>
      </c>
      <c r="L3112" s="119"/>
      <c r="M3112" s="118">
        <f t="shared" ref="M3112" si="2220">K3112*0.1</f>
        <v>349000</v>
      </c>
      <c r="N3112" s="119"/>
      <c r="O3112" s="118">
        <f>17000+1700</f>
        <v>18700</v>
      </c>
      <c r="P3112" s="119"/>
      <c r="Q3112" s="118">
        <v>20790</v>
      </c>
      <c r="R3112" s="119"/>
      <c r="S3112" s="118">
        <v>16500</v>
      </c>
      <c r="T3112" s="119"/>
      <c r="U3112" s="118">
        <f t="shared" ref="U3112" si="2221">SUM(K3112:T3113)</f>
        <v>3894990</v>
      </c>
      <c r="V3112" s="122"/>
      <c r="W3112" s="124"/>
      <c r="X3112" s="126" t="s">
        <v>9924</v>
      </c>
      <c r="Y3112" s="127"/>
      <c r="Z3112" s="127"/>
      <c r="AA3112" s="127"/>
      <c r="AB3112" s="128"/>
      <c r="AC3112" s="15" t="s">
        <v>20</v>
      </c>
      <c r="AD3112" s="129" t="s">
        <v>9925</v>
      </c>
      <c r="AE3112" s="130"/>
      <c r="AF3112" s="130"/>
      <c r="AG3112" s="130"/>
      <c r="AH3112" s="130"/>
      <c r="AI3112" s="131"/>
      <c r="AJ3112" s="132"/>
      <c r="AK3112" s="127"/>
      <c r="AL3112" s="128"/>
      <c r="AM3112" s="21"/>
      <c r="AN3112" s="133">
        <v>45990</v>
      </c>
      <c r="AO3112" s="134"/>
      <c r="AP3112" s="135">
        <v>1278</v>
      </c>
      <c r="AQ3112" s="136"/>
      <c r="AR3112" s="118">
        <v>3710000</v>
      </c>
      <c r="AS3112" s="119"/>
      <c r="AT3112" s="118">
        <f t="shared" ref="AT3112" si="2222">AR3112*0.1</f>
        <v>371000</v>
      </c>
      <c r="AU3112" s="119"/>
      <c r="AV3112" s="118">
        <v>20790</v>
      </c>
      <c r="AW3112" s="119"/>
      <c r="AX3112" s="118">
        <f t="shared" ref="AX3112" si="2223">SUM(AR3112:AW3112)</f>
        <v>4101790</v>
      </c>
      <c r="AY3112" s="119"/>
      <c r="AZ3112" s="137">
        <v>45994</v>
      </c>
    </row>
    <row r="3113" spans="1:52" ht="17.100000000000001" customHeight="1" thickBot="1">
      <c r="A3113" s="110"/>
      <c r="B3113" s="27" t="s">
        <v>2511</v>
      </c>
      <c r="C3113" s="27">
        <v>81058</v>
      </c>
      <c r="D3113" s="14" t="s">
        <v>1592</v>
      </c>
      <c r="E3113" s="112"/>
      <c r="F3113" s="139" t="s">
        <v>9923</v>
      </c>
      <c r="G3113" s="140"/>
      <c r="H3113" s="141"/>
      <c r="I3113" s="26">
        <v>58225</v>
      </c>
      <c r="J3113" s="117"/>
      <c r="K3113" s="120"/>
      <c r="L3113" s="121"/>
      <c r="M3113" s="120"/>
      <c r="N3113" s="121"/>
      <c r="O3113" s="120"/>
      <c r="P3113" s="121"/>
      <c r="Q3113" s="120"/>
      <c r="R3113" s="121"/>
      <c r="S3113" s="120"/>
      <c r="T3113" s="121"/>
      <c r="U3113" s="120"/>
      <c r="V3113" s="123"/>
      <c r="W3113" s="125"/>
      <c r="X3113" s="142" t="s">
        <v>10415</v>
      </c>
      <c r="Y3113" s="143"/>
      <c r="Z3113" s="143"/>
      <c r="AA3113" s="143"/>
      <c r="AB3113" s="144"/>
      <c r="AC3113" s="16" t="s">
        <v>21</v>
      </c>
      <c r="AD3113" s="17" t="s">
        <v>1694</v>
      </c>
      <c r="AE3113" s="145" t="s">
        <v>10416</v>
      </c>
      <c r="AF3113" s="146"/>
      <c r="AG3113" s="146"/>
      <c r="AH3113" s="146"/>
      <c r="AI3113" s="147"/>
      <c r="AJ3113" s="148"/>
      <c r="AK3113" s="143"/>
      <c r="AL3113" s="144"/>
      <c r="AM3113" s="22"/>
      <c r="AN3113" s="149" t="s">
        <v>2511</v>
      </c>
      <c r="AO3113" s="144"/>
      <c r="AP3113" s="148">
        <v>80434</v>
      </c>
      <c r="AQ3113" s="144"/>
      <c r="AR3113" s="120"/>
      <c r="AS3113" s="121"/>
      <c r="AT3113" s="120"/>
      <c r="AU3113" s="121"/>
      <c r="AV3113" s="120"/>
      <c r="AW3113" s="121"/>
      <c r="AX3113" s="120"/>
      <c r="AY3113" s="121"/>
      <c r="AZ3113" s="138"/>
    </row>
    <row r="3114" spans="1:52" ht="17.100000000000001" customHeight="1" thickTop="1">
      <c r="A3114" s="109" t="s">
        <v>9958</v>
      </c>
      <c r="B3114" s="28">
        <v>45962</v>
      </c>
      <c r="C3114" s="25">
        <v>1517</v>
      </c>
      <c r="D3114" s="13" t="s">
        <v>2234</v>
      </c>
      <c r="E3114" s="111"/>
      <c r="F3114" s="113" t="s">
        <v>9926</v>
      </c>
      <c r="G3114" s="114"/>
      <c r="H3114" s="115"/>
      <c r="I3114" s="24"/>
      <c r="J3114" s="116">
        <v>4</v>
      </c>
      <c r="K3114" s="118">
        <v>1205000</v>
      </c>
      <c r="L3114" s="119"/>
      <c r="M3114" s="118">
        <f t="shared" ref="M3114" si="2224">K3114*0.1</f>
        <v>120500</v>
      </c>
      <c r="N3114" s="119"/>
      <c r="O3114" s="118">
        <v>0</v>
      </c>
      <c r="P3114" s="119"/>
      <c r="Q3114" s="118">
        <v>17800</v>
      </c>
      <c r="R3114" s="119"/>
      <c r="S3114" s="118">
        <v>16500</v>
      </c>
      <c r="T3114" s="119"/>
      <c r="U3114" s="118">
        <f t="shared" ref="U3114" si="2225">SUM(K3114:T3115)</f>
        <v>1359800</v>
      </c>
      <c r="V3114" s="122"/>
      <c r="W3114" s="124"/>
      <c r="X3114" s="126" t="s">
        <v>10417</v>
      </c>
      <c r="Y3114" s="127"/>
      <c r="Z3114" s="127"/>
      <c r="AA3114" s="127"/>
      <c r="AB3114" s="128"/>
      <c r="AC3114" s="15" t="s">
        <v>20</v>
      </c>
      <c r="AD3114" s="129"/>
      <c r="AE3114" s="130"/>
      <c r="AF3114" s="130"/>
      <c r="AG3114" s="130"/>
      <c r="AH3114" s="130"/>
      <c r="AI3114" s="131"/>
      <c r="AJ3114" s="132"/>
      <c r="AK3114" s="127"/>
      <c r="AL3114" s="128"/>
      <c r="AM3114" s="21"/>
      <c r="AN3114" s="133">
        <v>45974</v>
      </c>
      <c r="AO3114" s="134"/>
      <c r="AP3114" s="135">
        <v>1306</v>
      </c>
      <c r="AQ3114" s="136"/>
      <c r="AR3114" s="118">
        <v>1440000</v>
      </c>
      <c r="AS3114" s="119"/>
      <c r="AT3114" s="118">
        <f t="shared" ref="AT3114" si="2226">AR3114*0.1</f>
        <v>144000</v>
      </c>
      <c r="AU3114" s="119"/>
      <c r="AV3114" s="118">
        <v>17800</v>
      </c>
      <c r="AW3114" s="119"/>
      <c r="AX3114" s="118">
        <f t="shared" ref="AX3114" si="2227">SUM(AR3114:AW3114)</f>
        <v>1601800</v>
      </c>
      <c r="AY3114" s="119"/>
      <c r="AZ3114" s="137">
        <v>45975</v>
      </c>
    </row>
    <row r="3115" spans="1:52" ht="17.100000000000001" customHeight="1" thickBot="1">
      <c r="A3115" s="110"/>
      <c r="B3115" s="27" t="s">
        <v>1555</v>
      </c>
      <c r="C3115" s="27">
        <v>83081</v>
      </c>
      <c r="D3115" s="14" t="s">
        <v>1635</v>
      </c>
      <c r="E3115" s="112"/>
      <c r="F3115" s="139" t="s">
        <v>9927</v>
      </c>
      <c r="G3115" s="140"/>
      <c r="H3115" s="141"/>
      <c r="I3115" s="26">
        <v>22313</v>
      </c>
      <c r="J3115" s="117"/>
      <c r="K3115" s="120"/>
      <c r="L3115" s="121"/>
      <c r="M3115" s="120"/>
      <c r="N3115" s="121"/>
      <c r="O3115" s="120"/>
      <c r="P3115" s="121"/>
      <c r="Q3115" s="120"/>
      <c r="R3115" s="121"/>
      <c r="S3115" s="120"/>
      <c r="T3115" s="121"/>
      <c r="U3115" s="120"/>
      <c r="V3115" s="123"/>
      <c r="W3115" s="125"/>
      <c r="X3115" s="142" t="s">
        <v>10418</v>
      </c>
      <c r="Y3115" s="143"/>
      <c r="Z3115" s="143"/>
      <c r="AA3115" s="143"/>
      <c r="AB3115" s="144"/>
      <c r="AC3115" s="16" t="s">
        <v>21</v>
      </c>
      <c r="AD3115" s="17" t="s">
        <v>1694</v>
      </c>
      <c r="AE3115" s="145" t="s">
        <v>4077</v>
      </c>
      <c r="AF3115" s="146"/>
      <c r="AG3115" s="146"/>
      <c r="AH3115" s="146"/>
      <c r="AI3115" s="147"/>
      <c r="AJ3115" s="148"/>
      <c r="AK3115" s="143"/>
      <c r="AL3115" s="144"/>
      <c r="AM3115" s="22"/>
      <c r="AN3115" s="149" t="s">
        <v>1747</v>
      </c>
      <c r="AO3115" s="144"/>
      <c r="AP3115" s="148">
        <v>106</v>
      </c>
      <c r="AQ3115" s="144"/>
      <c r="AR3115" s="120"/>
      <c r="AS3115" s="121"/>
      <c r="AT3115" s="120"/>
      <c r="AU3115" s="121"/>
      <c r="AV3115" s="120"/>
      <c r="AW3115" s="121"/>
      <c r="AX3115" s="120"/>
      <c r="AY3115" s="121"/>
      <c r="AZ3115" s="138"/>
    </row>
    <row r="3116" spans="1:52" ht="17.100000000000001" customHeight="1" thickTop="1">
      <c r="A3116" s="109" t="s">
        <v>9961</v>
      </c>
      <c r="B3116" s="28">
        <v>45964</v>
      </c>
      <c r="C3116" s="25"/>
      <c r="D3116" s="13" t="s">
        <v>2859</v>
      </c>
      <c r="E3116" s="111"/>
      <c r="F3116" s="113" t="s">
        <v>1938</v>
      </c>
      <c r="G3116" s="114"/>
      <c r="H3116" s="115"/>
      <c r="I3116" s="24"/>
      <c r="J3116" s="116">
        <v>4.5</v>
      </c>
      <c r="K3116" s="118">
        <v>686000</v>
      </c>
      <c r="L3116" s="119"/>
      <c r="M3116" s="118">
        <f t="shared" ref="M3116" si="2228">K3116*0.1</f>
        <v>68600</v>
      </c>
      <c r="N3116" s="119"/>
      <c r="O3116" s="118">
        <v>0</v>
      </c>
      <c r="P3116" s="119"/>
      <c r="Q3116" s="118">
        <v>17600</v>
      </c>
      <c r="R3116" s="119"/>
      <c r="S3116" s="118">
        <v>14850</v>
      </c>
      <c r="T3116" s="119"/>
      <c r="U3116" s="118">
        <f t="shared" ref="U3116" si="2229">SUM(K3116:T3117)</f>
        <v>787050</v>
      </c>
      <c r="V3116" s="122"/>
      <c r="W3116" s="124"/>
      <c r="X3116" s="126" t="s">
        <v>10422</v>
      </c>
      <c r="Y3116" s="127"/>
      <c r="Z3116" s="127"/>
      <c r="AA3116" s="127"/>
      <c r="AB3116" s="128"/>
      <c r="AC3116" s="15" t="s">
        <v>20</v>
      </c>
      <c r="AD3116" s="129" t="s">
        <v>1670</v>
      </c>
      <c r="AE3116" s="130"/>
      <c r="AF3116" s="130"/>
      <c r="AG3116" s="130"/>
      <c r="AH3116" s="130"/>
      <c r="AI3116" s="131"/>
      <c r="AJ3116" s="132"/>
      <c r="AK3116" s="127"/>
      <c r="AL3116" s="128"/>
      <c r="AM3116" s="21"/>
      <c r="AN3116" s="133">
        <v>45973</v>
      </c>
      <c r="AO3116" s="134"/>
      <c r="AP3116" s="135">
        <v>992</v>
      </c>
      <c r="AQ3116" s="136"/>
      <c r="AR3116" s="118">
        <v>830000</v>
      </c>
      <c r="AS3116" s="119"/>
      <c r="AT3116" s="118">
        <f t="shared" ref="AT3116" si="2230">AR3116*0.1</f>
        <v>83000</v>
      </c>
      <c r="AU3116" s="119"/>
      <c r="AV3116" s="118">
        <v>17600</v>
      </c>
      <c r="AW3116" s="119"/>
      <c r="AX3116" s="118">
        <f t="shared" ref="AX3116" si="2231">SUM(AR3116:AW3116)</f>
        <v>930600</v>
      </c>
      <c r="AY3116" s="119"/>
      <c r="AZ3116" s="137">
        <v>45981</v>
      </c>
    </row>
    <row r="3117" spans="1:52" ht="17.100000000000001" customHeight="1" thickBot="1">
      <c r="A3117" s="110"/>
      <c r="B3117" s="27" t="s">
        <v>9959</v>
      </c>
      <c r="C3117" s="27">
        <v>20196</v>
      </c>
      <c r="D3117" s="14" t="s">
        <v>1592</v>
      </c>
      <c r="E3117" s="112"/>
      <c r="F3117" s="139" t="s">
        <v>9960</v>
      </c>
      <c r="G3117" s="140"/>
      <c r="H3117" s="141"/>
      <c r="I3117" s="26">
        <v>70779</v>
      </c>
      <c r="J3117" s="117"/>
      <c r="K3117" s="120"/>
      <c r="L3117" s="121"/>
      <c r="M3117" s="120"/>
      <c r="N3117" s="121"/>
      <c r="O3117" s="120"/>
      <c r="P3117" s="121"/>
      <c r="Q3117" s="120"/>
      <c r="R3117" s="121"/>
      <c r="S3117" s="120"/>
      <c r="T3117" s="121"/>
      <c r="U3117" s="120"/>
      <c r="V3117" s="123"/>
      <c r="W3117" s="125"/>
      <c r="X3117" s="142" t="s">
        <v>10423</v>
      </c>
      <c r="Y3117" s="143"/>
      <c r="Z3117" s="143"/>
      <c r="AA3117" s="143"/>
      <c r="AB3117" s="144"/>
      <c r="AC3117" s="16" t="s">
        <v>21</v>
      </c>
      <c r="AD3117" s="17" t="s">
        <v>1694</v>
      </c>
      <c r="AE3117" s="145" t="s">
        <v>171</v>
      </c>
      <c r="AF3117" s="146"/>
      <c r="AG3117" s="146"/>
      <c r="AH3117" s="146"/>
      <c r="AI3117" s="147"/>
      <c r="AJ3117" s="148"/>
      <c r="AK3117" s="143"/>
      <c r="AL3117" s="144"/>
      <c r="AM3117" s="22"/>
      <c r="AN3117" s="149" t="s">
        <v>7285</v>
      </c>
      <c r="AO3117" s="144"/>
      <c r="AP3117" s="148">
        <v>5078</v>
      </c>
      <c r="AQ3117" s="144"/>
      <c r="AR3117" s="120"/>
      <c r="AS3117" s="121"/>
      <c r="AT3117" s="120"/>
      <c r="AU3117" s="121"/>
      <c r="AV3117" s="120"/>
      <c r="AW3117" s="121"/>
      <c r="AX3117" s="120"/>
      <c r="AY3117" s="121"/>
      <c r="AZ3117" s="138"/>
    </row>
    <row r="3118" spans="1:52" ht="17.100000000000001" customHeight="1" thickTop="1">
      <c r="A3118" s="109" t="s">
        <v>9962</v>
      </c>
      <c r="B3118" s="28">
        <v>45964</v>
      </c>
      <c r="C3118" s="25"/>
      <c r="D3118" s="13" t="s">
        <v>2914</v>
      </c>
      <c r="E3118" s="111"/>
      <c r="F3118" s="113" t="s">
        <v>9965</v>
      </c>
      <c r="G3118" s="114"/>
      <c r="H3118" s="115"/>
      <c r="I3118" s="24"/>
      <c r="J3118" s="116">
        <v>5</v>
      </c>
      <c r="K3118" s="118">
        <v>1316000</v>
      </c>
      <c r="L3118" s="119"/>
      <c r="M3118" s="118">
        <f t="shared" ref="M3118" si="2232">K3118*0.1</f>
        <v>131600</v>
      </c>
      <c r="N3118" s="119"/>
      <c r="O3118" s="118">
        <v>0</v>
      </c>
      <c r="P3118" s="119"/>
      <c r="Q3118" s="118">
        <v>19440</v>
      </c>
      <c r="R3118" s="119"/>
      <c r="S3118" s="118">
        <v>14850</v>
      </c>
      <c r="T3118" s="119"/>
      <c r="U3118" s="118">
        <f t="shared" ref="U3118" si="2233">SUM(K3118:T3119)</f>
        <v>1481890</v>
      </c>
      <c r="V3118" s="122"/>
      <c r="W3118" s="124"/>
      <c r="X3118" s="126" t="s">
        <v>10348</v>
      </c>
      <c r="Y3118" s="127"/>
      <c r="Z3118" s="127"/>
      <c r="AA3118" s="127"/>
      <c r="AB3118" s="128"/>
      <c r="AC3118" s="15" t="s">
        <v>20</v>
      </c>
      <c r="AD3118" s="129"/>
      <c r="AE3118" s="130"/>
      <c r="AF3118" s="130"/>
      <c r="AG3118" s="130"/>
      <c r="AH3118" s="130"/>
      <c r="AI3118" s="131"/>
      <c r="AJ3118" s="132"/>
      <c r="AK3118" s="127"/>
      <c r="AL3118" s="128"/>
      <c r="AM3118" s="21"/>
      <c r="AN3118" s="133">
        <v>45969</v>
      </c>
      <c r="AO3118" s="134"/>
      <c r="AP3118" s="135">
        <v>1275</v>
      </c>
      <c r="AQ3118" s="136"/>
      <c r="AR3118" s="118">
        <v>1450000</v>
      </c>
      <c r="AS3118" s="119"/>
      <c r="AT3118" s="118">
        <f t="shared" ref="AT3118" si="2234">AR3118*0.1</f>
        <v>145000</v>
      </c>
      <c r="AU3118" s="119"/>
      <c r="AV3118" s="118">
        <v>19440</v>
      </c>
      <c r="AW3118" s="119"/>
      <c r="AX3118" s="118">
        <f t="shared" ref="AX3118" si="2235">SUM(AR3118:AW3118)</f>
        <v>1614440</v>
      </c>
      <c r="AY3118" s="119"/>
      <c r="AZ3118" s="137">
        <v>45972</v>
      </c>
    </row>
    <row r="3119" spans="1:52" ht="17.100000000000001" customHeight="1" thickBot="1">
      <c r="A3119" s="110"/>
      <c r="B3119" s="27" t="s">
        <v>2774</v>
      </c>
      <c r="C3119" s="27">
        <v>80239</v>
      </c>
      <c r="D3119" s="14" t="s">
        <v>1812</v>
      </c>
      <c r="E3119" s="112"/>
      <c r="F3119" s="139" t="s">
        <v>10344</v>
      </c>
      <c r="G3119" s="140"/>
      <c r="H3119" s="141"/>
      <c r="I3119" s="26">
        <v>43647</v>
      </c>
      <c r="J3119" s="117"/>
      <c r="K3119" s="120"/>
      <c r="L3119" s="121"/>
      <c r="M3119" s="120"/>
      <c r="N3119" s="121"/>
      <c r="O3119" s="120"/>
      <c r="P3119" s="121"/>
      <c r="Q3119" s="120"/>
      <c r="R3119" s="121"/>
      <c r="S3119" s="120"/>
      <c r="T3119" s="121"/>
      <c r="U3119" s="120"/>
      <c r="V3119" s="123"/>
      <c r="W3119" s="125"/>
      <c r="X3119" s="142" t="s">
        <v>2776</v>
      </c>
      <c r="Y3119" s="143"/>
      <c r="Z3119" s="143"/>
      <c r="AA3119" s="143"/>
      <c r="AB3119" s="144"/>
      <c r="AC3119" s="16" t="s">
        <v>21</v>
      </c>
      <c r="AD3119" s="17" t="s">
        <v>3379</v>
      </c>
      <c r="AE3119" s="145" t="s">
        <v>7859</v>
      </c>
      <c r="AF3119" s="146"/>
      <c r="AG3119" s="146"/>
      <c r="AH3119" s="146"/>
      <c r="AI3119" s="147"/>
      <c r="AJ3119" s="148"/>
      <c r="AK3119" s="143"/>
      <c r="AL3119" s="144"/>
      <c r="AM3119" s="22"/>
      <c r="AN3119" s="149" t="s">
        <v>2511</v>
      </c>
      <c r="AO3119" s="144"/>
      <c r="AP3119" s="148">
        <v>80095</v>
      </c>
      <c r="AQ3119" s="144"/>
      <c r="AR3119" s="120"/>
      <c r="AS3119" s="121"/>
      <c r="AT3119" s="120"/>
      <c r="AU3119" s="121"/>
      <c r="AV3119" s="120"/>
      <c r="AW3119" s="121"/>
      <c r="AX3119" s="120"/>
      <c r="AY3119" s="121"/>
      <c r="AZ3119" s="138"/>
    </row>
    <row r="3120" spans="1:52" ht="17.100000000000001" customHeight="1" thickTop="1">
      <c r="A3120" s="109" t="s">
        <v>9963</v>
      </c>
      <c r="B3120" s="28">
        <v>45964</v>
      </c>
      <c r="C3120" s="25"/>
      <c r="D3120" s="13" t="s">
        <v>1977</v>
      </c>
      <c r="E3120" s="111"/>
      <c r="F3120" s="113" t="s">
        <v>9966</v>
      </c>
      <c r="G3120" s="114"/>
      <c r="H3120" s="115"/>
      <c r="I3120" s="24" t="s">
        <v>4109</v>
      </c>
      <c r="J3120" s="116">
        <v>3.5</v>
      </c>
      <c r="K3120" s="118">
        <v>1499000</v>
      </c>
      <c r="L3120" s="119"/>
      <c r="M3120" s="118">
        <f t="shared" ref="M3120" si="2236">K3120*0.1</f>
        <v>149900</v>
      </c>
      <c r="N3120" s="119"/>
      <c r="O3120" s="118">
        <f>11500+1150</f>
        <v>12650</v>
      </c>
      <c r="P3120" s="119"/>
      <c r="Q3120" s="118">
        <v>17250</v>
      </c>
      <c r="R3120" s="119"/>
      <c r="S3120" s="118">
        <v>14850</v>
      </c>
      <c r="T3120" s="119"/>
      <c r="U3120" s="118">
        <f t="shared" ref="U3120" si="2237">SUM(K3120:T3121)</f>
        <v>1693650</v>
      </c>
      <c r="V3120" s="122"/>
      <c r="W3120" s="124"/>
      <c r="X3120" s="126" t="s">
        <v>9968</v>
      </c>
      <c r="Y3120" s="127"/>
      <c r="Z3120" s="127"/>
      <c r="AA3120" s="127"/>
      <c r="AB3120" s="128"/>
      <c r="AC3120" s="15" t="s">
        <v>20</v>
      </c>
      <c r="AD3120" s="129"/>
      <c r="AE3120" s="130"/>
      <c r="AF3120" s="130"/>
      <c r="AG3120" s="130"/>
      <c r="AH3120" s="130"/>
      <c r="AI3120" s="131"/>
      <c r="AJ3120" s="132"/>
      <c r="AK3120" s="127"/>
      <c r="AL3120" s="128"/>
      <c r="AM3120" s="21"/>
      <c r="AN3120" s="133">
        <v>45969</v>
      </c>
      <c r="AO3120" s="134"/>
      <c r="AP3120" s="135">
        <v>1275</v>
      </c>
      <c r="AQ3120" s="136"/>
      <c r="AR3120" s="118">
        <v>1665000</v>
      </c>
      <c r="AS3120" s="119"/>
      <c r="AT3120" s="118">
        <f t="shared" ref="AT3120" si="2238">AR3120*0.1</f>
        <v>166500</v>
      </c>
      <c r="AU3120" s="119"/>
      <c r="AV3120" s="118">
        <v>17250</v>
      </c>
      <c r="AW3120" s="119"/>
      <c r="AX3120" s="118">
        <f t="shared" ref="AX3120" si="2239">SUM(AR3120:AW3120)</f>
        <v>1848750</v>
      </c>
      <c r="AY3120" s="119"/>
      <c r="AZ3120" s="137">
        <v>45974</v>
      </c>
    </row>
    <row r="3121" spans="1:52" ht="17.100000000000001" customHeight="1" thickBot="1">
      <c r="A3121" s="110"/>
      <c r="B3121" s="27" t="s">
        <v>8858</v>
      </c>
      <c r="C3121" s="27">
        <v>60030</v>
      </c>
      <c r="D3121" s="14" t="s">
        <v>1592</v>
      </c>
      <c r="E3121" s="112"/>
      <c r="F3121" s="139" t="s">
        <v>9967</v>
      </c>
      <c r="G3121" s="140"/>
      <c r="H3121" s="141"/>
      <c r="I3121" s="26">
        <v>57804</v>
      </c>
      <c r="J3121" s="117"/>
      <c r="K3121" s="120"/>
      <c r="L3121" s="121"/>
      <c r="M3121" s="120"/>
      <c r="N3121" s="121"/>
      <c r="O3121" s="120"/>
      <c r="P3121" s="121"/>
      <c r="Q3121" s="120"/>
      <c r="R3121" s="121"/>
      <c r="S3121" s="120"/>
      <c r="T3121" s="121"/>
      <c r="U3121" s="120"/>
      <c r="V3121" s="123"/>
      <c r="W3121" s="125"/>
      <c r="X3121" s="142" t="s">
        <v>2947</v>
      </c>
      <c r="Y3121" s="143"/>
      <c r="Z3121" s="143"/>
      <c r="AA3121" s="143"/>
      <c r="AB3121" s="144"/>
      <c r="AC3121" s="16" t="s">
        <v>21</v>
      </c>
      <c r="AD3121" s="17" t="s">
        <v>1694</v>
      </c>
      <c r="AE3121" s="145" t="s">
        <v>7857</v>
      </c>
      <c r="AF3121" s="146"/>
      <c r="AG3121" s="146"/>
      <c r="AH3121" s="146"/>
      <c r="AI3121" s="147"/>
      <c r="AJ3121" s="148"/>
      <c r="AK3121" s="143"/>
      <c r="AL3121" s="144"/>
      <c r="AM3121" s="22"/>
      <c r="AN3121" s="149" t="s">
        <v>2511</v>
      </c>
      <c r="AO3121" s="144"/>
      <c r="AP3121" s="148">
        <v>80291</v>
      </c>
      <c r="AQ3121" s="144"/>
      <c r="AR3121" s="120"/>
      <c r="AS3121" s="121"/>
      <c r="AT3121" s="120"/>
      <c r="AU3121" s="121"/>
      <c r="AV3121" s="120"/>
      <c r="AW3121" s="121"/>
      <c r="AX3121" s="120"/>
      <c r="AY3121" s="121"/>
      <c r="AZ3121" s="138"/>
    </row>
    <row r="3122" spans="1:52" ht="17.100000000000001" customHeight="1" thickTop="1">
      <c r="A3122" s="109" t="s">
        <v>9964</v>
      </c>
      <c r="B3122" s="28">
        <v>45964</v>
      </c>
      <c r="C3122" s="25">
        <v>2067</v>
      </c>
      <c r="D3122" s="13" t="s">
        <v>1855</v>
      </c>
      <c r="E3122" s="111"/>
      <c r="F3122" s="113" t="s">
        <v>9979</v>
      </c>
      <c r="G3122" s="114"/>
      <c r="H3122" s="115"/>
      <c r="I3122" s="24"/>
      <c r="J3122" s="116">
        <v>4</v>
      </c>
      <c r="K3122" s="118">
        <v>743000</v>
      </c>
      <c r="L3122" s="119"/>
      <c r="M3122" s="118">
        <f t="shared" ref="M3122" si="2240">K3122*0.1</f>
        <v>74300</v>
      </c>
      <c r="N3122" s="119"/>
      <c r="O3122" s="118">
        <v>0</v>
      </c>
      <c r="P3122" s="119"/>
      <c r="Q3122" s="118">
        <v>18300</v>
      </c>
      <c r="R3122" s="119"/>
      <c r="S3122" s="118">
        <v>11000</v>
      </c>
      <c r="T3122" s="119"/>
      <c r="U3122" s="118">
        <f t="shared" ref="U3122" si="2241">SUM(K3122:T3123)</f>
        <v>846600</v>
      </c>
      <c r="V3122" s="122"/>
      <c r="W3122" s="124"/>
      <c r="X3122" s="126" t="s">
        <v>10283</v>
      </c>
      <c r="Y3122" s="127"/>
      <c r="Z3122" s="127"/>
      <c r="AA3122" s="127"/>
      <c r="AB3122" s="128"/>
      <c r="AC3122" s="15" t="s">
        <v>20</v>
      </c>
      <c r="AD3122" s="129" t="s">
        <v>9978</v>
      </c>
      <c r="AE3122" s="130"/>
      <c r="AF3122" s="130"/>
      <c r="AG3122" s="130"/>
      <c r="AH3122" s="130"/>
      <c r="AI3122" s="131"/>
      <c r="AJ3122" s="132"/>
      <c r="AK3122" s="127"/>
      <c r="AL3122" s="128"/>
      <c r="AM3122" s="21"/>
      <c r="AN3122" s="133">
        <v>45969</v>
      </c>
      <c r="AO3122" s="134"/>
      <c r="AP3122" s="135">
        <v>1275</v>
      </c>
      <c r="AQ3122" s="136"/>
      <c r="AR3122" s="118">
        <v>900000</v>
      </c>
      <c r="AS3122" s="119"/>
      <c r="AT3122" s="118">
        <f t="shared" ref="AT3122" si="2242">AR3122*0.1</f>
        <v>90000</v>
      </c>
      <c r="AU3122" s="119"/>
      <c r="AV3122" s="118">
        <v>18300</v>
      </c>
      <c r="AW3122" s="119"/>
      <c r="AX3122" s="118">
        <f t="shared" ref="AX3122" si="2243">SUM(AR3122:AW3122)</f>
        <v>1008300</v>
      </c>
      <c r="AY3122" s="119"/>
      <c r="AZ3122" s="137">
        <v>45979</v>
      </c>
    </row>
    <row r="3123" spans="1:52" ht="17.100000000000001" customHeight="1" thickBot="1">
      <c r="A3123" s="110"/>
      <c r="B3123" s="27" t="s">
        <v>83</v>
      </c>
      <c r="C3123" s="27">
        <v>11014</v>
      </c>
      <c r="D3123" s="14" t="s">
        <v>2601</v>
      </c>
      <c r="E3123" s="112"/>
      <c r="F3123" s="139" t="s">
        <v>9973</v>
      </c>
      <c r="G3123" s="140"/>
      <c r="H3123" s="141"/>
      <c r="I3123" s="26">
        <v>55665</v>
      </c>
      <c r="J3123" s="117"/>
      <c r="K3123" s="120"/>
      <c r="L3123" s="121"/>
      <c r="M3123" s="120"/>
      <c r="N3123" s="121"/>
      <c r="O3123" s="120"/>
      <c r="P3123" s="121"/>
      <c r="Q3123" s="120"/>
      <c r="R3123" s="121"/>
      <c r="S3123" s="120"/>
      <c r="T3123" s="121"/>
      <c r="U3123" s="120"/>
      <c r="V3123" s="123"/>
      <c r="W3123" s="125"/>
      <c r="X3123" s="142" t="s">
        <v>4464</v>
      </c>
      <c r="Y3123" s="143"/>
      <c r="Z3123" s="143"/>
      <c r="AA3123" s="143"/>
      <c r="AB3123" s="144"/>
      <c r="AC3123" s="16" t="s">
        <v>21</v>
      </c>
      <c r="AD3123" s="17" t="s">
        <v>3397</v>
      </c>
      <c r="AE3123" s="145" t="s">
        <v>2269</v>
      </c>
      <c r="AF3123" s="146"/>
      <c r="AG3123" s="146"/>
      <c r="AH3123" s="146"/>
      <c r="AI3123" s="147"/>
      <c r="AJ3123" s="148"/>
      <c r="AK3123" s="143"/>
      <c r="AL3123" s="144"/>
      <c r="AM3123" s="22"/>
      <c r="AN3123" s="149" t="s">
        <v>6749</v>
      </c>
      <c r="AO3123" s="144"/>
      <c r="AP3123" s="148">
        <v>80249</v>
      </c>
      <c r="AQ3123" s="144"/>
      <c r="AR3123" s="120"/>
      <c r="AS3123" s="121"/>
      <c r="AT3123" s="120"/>
      <c r="AU3123" s="121"/>
      <c r="AV3123" s="120"/>
      <c r="AW3123" s="121"/>
      <c r="AX3123" s="120"/>
      <c r="AY3123" s="121"/>
      <c r="AZ3123" s="138"/>
    </row>
    <row r="3124" spans="1:52" ht="17.100000000000001" customHeight="1" thickTop="1">
      <c r="A3124" s="109" t="s">
        <v>9969</v>
      </c>
      <c r="B3124" s="28">
        <v>45964</v>
      </c>
      <c r="C3124" s="25">
        <v>2067</v>
      </c>
      <c r="D3124" s="13" t="s">
        <v>1853</v>
      </c>
      <c r="E3124" s="111"/>
      <c r="F3124" s="113" t="s">
        <v>9980</v>
      </c>
      <c r="G3124" s="114"/>
      <c r="H3124" s="115"/>
      <c r="I3124" s="24"/>
      <c r="J3124" s="116">
        <v>4.5</v>
      </c>
      <c r="K3124" s="118">
        <v>1925000</v>
      </c>
      <c r="L3124" s="119"/>
      <c r="M3124" s="118">
        <f t="shared" ref="M3124" si="2244">K3124*0.1</f>
        <v>192500</v>
      </c>
      <c r="N3124" s="119"/>
      <c r="O3124" s="118">
        <v>0</v>
      </c>
      <c r="P3124" s="119"/>
      <c r="Q3124" s="118">
        <v>20830</v>
      </c>
      <c r="R3124" s="119"/>
      <c r="S3124" s="118">
        <v>11000</v>
      </c>
      <c r="T3124" s="119"/>
      <c r="U3124" s="118">
        <f t="shared" ref="U3124" si="2245">SUM(K3124:T3125)</f>
        <v>2149330</v>
      </c>
      <c r="V3124" s="122"/>
      <c r="W3124" s="124"/>
      <c r="X3124" s="126" t="s">
        <v>10228</v>
      </c>
      <c r="Y3124" s="127"/>
      <c r="Z3124" s="127"/>
      <c r="AA3124" s="127"/>
      <c r="AB3124" s="128"/>
      <c r="AC3124" s="15" t="s">
        <v>20</v>
      </c>
      <c r="AD3124" s="129" t="s">
        <v>9978</v>
      </c>
      <c r="AE3124" s="130"/>
      <c r="AF3124" s="130"/>
      <c r="AG3124" s="130"/>
      <c r="AH3124" s="130"/>
      <c r="AI3124" s="131"/>
      <c r="AJ3124" s="132"/>
      <c r="AK3124" s="127"/>
      <c r="AL3124" s="128"/>
      <c r="AM3124" s="21"/>
      <c r="AN3124" s="133">
        <v>45976</v>
      </c>
      <c r="AO3124" s="134"/>
      <c r="AP3124" s="135">
        <v>1276</v>
      </c>
      <c r="AQ3124" s="136"/>
      <c r="AR3124" s="118">
        <v>2045000</v>
      </c>
      <c r="AS3124" s="119"/>
      <c r="AT3124" s="118">
        <f t="shared" ref="AT3124" si="2246">AR3124*0.1</f>
        <v>204500</v>
      </c>
      <c r="AU3124" s="119"/>
      <c r="AV3124" s="118">
        <v>20830</v>
      </c>
      <c r="AW3124" s="119"/>
      <c r="AX3124" s="118">
        <f t="shared" ref="AX3124" si="2247">SUM(AR3124:AW3124)</f>
        <v>2270330</v>
      </c>
      <c r="AY3124" s="119"/>
      <c r="AZ3124" s="137">
        <v>45979</v>
      </c>
    </row>
    <row r="3125" spans="1:52" ht="17.100000000000001" customHeight="1" thickBot="1">
      <c r="A3125" s="110"/>
      <c r="B3125" s="27" t="s">
        <v>83</v>
      </c>
      <c r="C3125" s="27">
        <v>31005</v>
      </c>
      <c r="D3125" s="14" t="s">
        <v>2601</v>
      </c>
      <c r="E3125" s="112"/>
      <c r="F3125" s="139" t="s">
        <v>9974</v>
      </c>
      <c r="G3125" s="140"/>
      <c r="H3125" s="141"/>
      <c r="I3125" s="26">
        <v>61260</v>
      </c>
      <c r="J3125" s="117"/>
      <c r="K3125" s="120"/>
      <c r="L3125" s="121"/>
      <c r="M3125" s="120"/>
      <c r="N3125" s="121"/>
      <c r="O3125" s="120"/>
      <c r="P3125" s="121"/>
      <c r="Q3125" s="120"/>
      <c r="R3125" s="121"/>
      <c r="S3125" s="120"/>
      <c r="T3125" s="121"/>
      <c r="U3125" s="120"/>
      <c r="V3125" s="123"/>
      <c r="W3125" s="125"/>
      <c r="X3125" s="142" t="s">
        <v>9685</v>
      </c>
      <c r="Y3125" s="143"/>
      <c r="Z3125" s="143"/>
      <c r="AA3125" s="143"/>
      <c r="AB3125" s="144"/>
      <c r="AC3125" s="16" t="s">
        <v>21</v>
      </c>
      <c r="AD3125" s="17" t="s">
        <v>3397</v>
      </c>
      <c r="AE3125" s="145" t="s">
        <v>1742</v>
      </c>
      <c r="AF3125" s="146"/>
      <c r="AG3125" s="146"/>
      <c r="AH3125" s="146"/>
      <c r="AI3125" s="147"/>
      <c r="AJ3125" s="148"/>
      <c r="AK3125" s="143"/>
      <c r="AL3125" s="144"/>
      <c r="AM3125" s="22"/>
      <c r="AN3125" s="149" t="s">
        <v>10999</v>
      </c>
      <c r="AO3125" s="144"/>
      <c r="AP3125" s="148">
        <v>80104</v>
      </c>
      <c r="AQ3125" s="144"/>
      <c r="AR3125" s="120"/>
      <c r="AS3125" s="121"/>
      <c r="AT3125" s="120"/>
      <c r="AU3125" s="121"/>
      <c r="AV3125" s="120"/>
      <c r="AW3125" s="121"/>
      <c r="AX3125" s="120"/>
      <c r="AY3125" s="121"/>
      <c r="AZ3125" s="138"/>
    </row>
    <row r="3126" spans="1:52" ht="17.100000000000001" customHeight="1" thickTop="1">
      <c r="A3126" s="151" t="s">
        <v>9970</v>
      </c>
      <c r="B3126" s="28">
        <v>45964</v>
      </c>
      <c r="C3126" s="25">
        <v>2067</v>
      </c>
      <c r="D3126" s="13" t="s">
        <v>2606</v>
      </c>
      <c r="E3126" s="111"/>
      <c r="F3126" s="113" t="s">
        <v>9981</v>
      </c>
      <c r="G3126" s="114"/>
      <c r="H3126" s="115"/>
      <c r="I3126" s="24" t="s">
        <v>4096</v>
      </c>
      <c r="J3126" s="116">
        <v>4.5</v>
      </c>
      <c r="K3126" s="118">
        <v>2040000</v>
      </c>
      <c r="L3126" s="119"/>
      <c r="M3126" s="118">
        <f t="shared" ref="M3126" si="2248">K3126*0.1</f>
        <v>204000</v>
      </c>
      <c r="N3126" s="119"/>
      <c r="O3126" s="118">
        <f>12000+1200</f>
        <v>13200</v>
      </c>
      <c r="P3126" s="119"/>
      <c r="Q3126" s="118">
        <v>17060</v>
      </c>
      <c r="R3126" s="119"/>
      <c r="S3126" s="118">
        <v>11000</v>
      </c>
      <c r="T3126" s="119"/>
      <c r="U3126" s="118">
        <f t="shared" ref="U3126" si="2249">SUM(K3126:T3127)</f>
        <v>2285260</v>
      </c>
      <c r="V3126" s="122"/>
      <c r="W3126" s="124"/>
      <c r="X3126" s="126" t="s">
        <v>9982</v>
      </c>
      <c r="Y3126" s="127"/>
      <c r="Z3126" s="127"/>
      <c r="AA3126" s="127"/>
      <c r="AB3126" s="128"/>
      <c r="AC3126" s="15" t="s">
        <v>20</v>
      </c>
      <c r="AD3126" s="129" t="s">
        <v>9983</v>
      </c>
      <c r="AE3126" s="130"/>
      <c r="AF3126" s="130"/>
      <c r="AG3126" s="130"/>
      <c r="AH3126" s="130"/>
      <c r="AI3126" s="131"/>
      <c r="AJ3126" s="132"/>
      <c r="AK3126" s="127"/>
      <c r="AL3126" s="128"/>
      <c r="AM3126" s="21" t="s">
        <v>12771</v>
      </c>
      <c r="AN3126" s="133">
        <v>46039</v>
      </c>
      <c r="AO3126" s="134"/>
      <c r="AP3126" s="135">
        <v>1284</v>
      </c>
      <c r="AQ3126" s="136"/>
      <c r="AR3126" s="118">
        <v>2145000</v>
      </c>
      <c r="AS3126" s="119"/>
      <c r="AT3126" s="118">
        <f t="shared" ref="AT3126" si="2250">AR3126*0.1</f>
        <v>214500</v>
      </c>
      <c r="AU3126" s="119"/>
      <c r="AV3126" s="118">
        <v>17060</v>
      </c>
      <c r="AW3126" s="119"/>
      <c r="AX3126" s="118">
        <f t="shared" ref="AX3126" si="2251">SUM(AR3126:AW3126)</f>
        <v>2376560</v>
      </c>
      <c r="AY3126" s="119"/>
      <c r="AZ3126" s="137">
        <v>46042</v>
      </c>
    </row>
    <row r="3127" spans="1:52" ht="17.100000000000001" customHeight="1" thickBot="1">
      <c r="A3127" s="152"/>
      <c r="B3127" s="27" t="s">
        <v>83</v>
      </c>
      <c r="C3127" s="27">
        <v>33516</v>
      </c>
      <c r="D3127" s="14" t="s">
        <v>275</v>
      </c>
      <c r="E3127" s="112"/>
      <c r="F3127" s="139" t="s">
        <v>9975</v>
      </c>
      <c r="G3127" s="140"/>
      <c r="H3127" s="141"/>
      <c r="I3127" s="26">
        <v>57257</v>
      </c>
      <c r="J3127" s="117"/>
      <c r="K3127" s="120"/>
      <c r="L3127" s="121"/>
      <c r="M3127" s="120"/>
      <c r="N3127" s="121"/>
      <c r="O3127" s="120"/>
      <c r="P3127" s="121"/>
      <c r="Q3127" s="120"/>
      <c r="R3127" s="121"/>
      <c r="S3127" s="120"/>
      <c r="T3127" s="121"/>
      <c r="U3127" s="120"/>
      <c r="V3127" s="123"/>
      <c r="W3127" s="125"/>
      <c r="X3127" s="142" t="s">
        <v>4820</v>
      </c>
      <c r="Y3127" s="143"/>
      <c r="Z3127" s="143"/>
      <c r="AA3127" s="143"/>
      <c r="AB3127" s="144"/>
      <c r="AC3127" s="16" t="s">
        <v>21</v>
      </c>
      <c r="AD3127" s="17" t="s">
        <v>1694</v>
      </c>
      <c r="AE3127" s="145" t="s">
        <v>1742</v>
      </c>
      <c r="AF3127" s="146"/>
      <c r="AG3127" s="146"/>
      <c r="AH3127" s="146"/>
      <c r="AI3127" s="147"/>
      <c r="AJ3127" s="148"/>
      <c r="AK3127" s="143"/>
      <c r="AL3127" s="144"/>
      <c r="AM3127" s="22"/>
      <c r="AN3127" s="149" t="s">
        <v>2511</v>
      </c>
      <c r="AO3127" s="144"/>
      <c r="AP3127" s="148">
        <v>80146</v>
      </c>
      <c r="AQ3127" s="144"/>
      <c r="AR3127" s="120"/>
      <c r="AS3127" s="121"/>
      <c r="AT3127" s="120"/>
      <c r="AU3127" s="121"/>
      <c r="AV3127" s="120"/>
      <c r="AW3127" s="121"/>
      <c r="AX3127" s="120"/>
      <c r="AY3127" s="121"/>
      <c r="AZ3127" s="138"/>
    </row>
    <row r="3128" spans="1:52" ht="17.100000000000001" customHeight="1" thickTop="1">
      <c r="A3128" s="109" t="s">
        <v>9971</v>
      </c>
      <c r="B3128" s="28">
        <v>45964</v>
      </c>
      <c r="C3128" s="25">
        <v>2067</v>
      </c>
      <c r="D3128" s="13" t="s">
        <v>1714</v>
      </c>
      <c r="E3128" s="111"/>
      <c r="F3128" s="113" t="s">
        <v>9984</v>
      </c>
      <c r="G3128" s="114"/>
      <c r="H3128" s="115"/>
      <c r="I3128" s="24" t="s">
        <v>2526</v>
      </c>
      <c r="J3128" s="116">
        <v>4</v>
      </c>
      <c r="K3128" s="118">
        <v>2370000</v>
      </c>
      <c r="L3128" s="119"/>
      <c r="M3128" s="118">
        <f t="shared" ref="M3128" si="2252">K3128*0.1</f>
        <v>237000</v>
      </c>
      <c r="N3128" s="119"/>
      <c r="O3128" s="118">
        <f>10100+1010</f>
        <v>11110</v>
      </c>
      <c r="P3128" s="119"/>
      <c r="Q3128" s="118">
        <v>19180</v>
      </c>
      <c r="R3128" s="119"/>
      <c r="S3128" s="118">
        <v>11000</v>
      </c>
      <c r="T3128" s="119"/>
      <c r="U3128" s="118">
        <f t="shared" ref="U3128" si="2253">SUM(K3128:T3129)</f>
        <v>2648290</v>
      </c>
      <c r="V3128" s="122"/>
      <c r="W3128" s="124"/>
      <c r="X3128" s="126" t="s">
        <v>9985</v>
      </c>
      <c r="Y3128" s="127"/>
      <c r="Z3128" s="127"/>
      <c r="AA3128" s="127"/>
      <c r="AB3128" s="128"/>
      <c r="AC3128" s="15" t="s">
        <v>20</v>
      </c>
      <c r="AD3128" s="129"/>
      <c r="AE3128" s="130"/>
      <c r="AF3128" s="130"/>
      <c r="AG3128" s="130"/>
      <c r="AH3128" s="130"/>
      <c r="AI3128" s="131"/>
      <c r="AJ3128" s="132"/>
      <c r="AK3128" s="127"/>
      <c r="AL3128" s="128"/>
      <c r="AM3128" s="21"/>
      <c r="AN3128" s="133">
        <v>45976</v>
      </c>
      <c r="AO3128" s="134"/>
      <c r="AP3128" s="135">
        <v>1276</v>
      </c>
      <c r="AQ3128" s="136"/>
      <c r="AR3128" s="118">
        <v>2640000</v>
      </c>
      <c r="AS3128" s="119"/>
      <c r="AT3128" s="118">
        <f t="shared" ref="AT3128" si="2254">AR3128*0.1</f>
        <v>264000</v>
      </c>
      <c r="AU3128" s="119"/>
      <c r="AV3128" s="118">
        <v>19180</v>
      </c>
      <c r="AW3128" s="119"/>
      <c r="AX3128" s="118">
        <f t="shared" ref="AX3128" si="2255">SUM(AR3128:AW3128)</f>
        <v>2923180</v>
      </c>
      <c r="AY3128" s="119"/>
      <c r="AZ3128" s="137">
        <v>45979</v>
      </c>
    </row>
    <row r="3129" spans="1:52" ht="17.100000000000001" customHeight="1" thickBot="1">
      <c r="A3129" s="110"/>
      <c r="B3129" s="27" t="s">
        <v>83</v>
      </c>
      <c r="C3129" s="27">
        <v>34504</v>
      </c>
      <c r="D3129" s="14" t="s">
        <v>275</v>
      </c>
      <c r="E3129" s="112"/>
      <c r="F3129" s="139" t="s">
        <v>9976</v>
      </c>
      <c r="G3129" s="140"/>
      <c r="H3129" s="141"/>
      <c r="I3129" s="26">
        <v>40528</v>
      </c>
      <c r="J3129" s="117"/>
      <c r="K3129" s="120"/>
      <c r="L3129" s="121"/>
      <c r="M3129" s="120"/>
      <c r="N3129" s="121"/>
      <c r="O3129" s="120"/>
      <c r="P3129" s="121"/>
      <c r="Q3129" s="120"/>
      <c r="R3129" s="121"/>
      <c r="S3129" s="120"/>
      <c r="T3129" s="121"/>
      <c r="U3129" s="120"/>
      <c r="V3129" s="123"/>
      <c r="W3129" s="125"/>
      <c r="X3129" s="142" t="s">
        <v>9943</v>
      </c>
      <c r="Y3129" s="143"/>
      <c r="Z3129" s="143"/>
      <c r="AA3129" s="143"/>
      <c r="AB3129" s="144"/>
      <c r="AC3129" s="16" t="s">
        <v>21</v>
      </c>
      <c r="AD3129" s="17" t="s">
        <v>10500</v>
      </c>
      <c r="AE3129" s="145" t="s">
        <v>10565</v>
      </c>
      <c r="AF3129" s="146"/>
      <c r="AG3129" s="146"/>
      <c r="AH3129" s="146"/>
      <c r="AI3129" s="147"/>
      <c r="AJ3129" s="148"/>
      <c r="AK3129" s="143"/>
      <c r="AL3129" s="144"/>
      <c r="AM3129" s="22"/>
      <c r="AN3129" s="149" t="s">
        <v>10999</v>
      </c>
      <c r="AO3129" s="144"/>
      <c r="AP3129" s="148">
        <v>80103</v>
      </c>
      <c r="AQ3129" s="144"/>
      <c r="AR3129" s="120"/>
      <c r="AS3129" s="121"/>
      <c r="AT3129" s="120"/>
      <c r="AU3129" s="121"/>
      <c r="AV3129" s="120"/>
      <c r="AW3129" s="121"/>
      <c r="AX3129" s="120"/>
      <c r="AY3129" s="121"/>
      <c r="AZ3129" s="138"/>
    </row>
    <row r="3130" spans="1:52" ht="17.100000000000001" customHeight="1" thickTop="1">
      <c r="A3130" s="109" t="s">
        <v>9972</v>
      </c>
      <c r="B3130" s="28">
        <v>45964</v>
      </c>
      <c r="C3130" s="25">
        <v>2067</v>
      </c>
      <c r="D3130" s="13" t="s">
        <v>1776</v>
      </c>
      <c r="E3130" s="111"/>
      <c r="F3130" s="113" t="s">
        <v>9986</v>
      </c>
      <c r="G3130" s="114"/>
      <c r="H3130" s="115"/>
      <c r="I3130" s="24"/>
      <c r="J3130" s="116">
        <v>3.5</v>
      </c>
      <c r="K3130" s="118">
        <v>570000</v>
      </c>
      <c r="L3130" s="119"/>
      <c r="M3130" s="118">
        <f t="shared" ref="M3130" si="2256">K3130*0.1</f>
        <v>57000</v>
      </c>
      <c r="N3130" s="119"/>
      <c r="O3130" s="118">
        <v>0</v>
      </c>
      <c r="P3130" s="119"/>
      <c r="Q3130" s="118">
        <v>19440</v>
      </c>
      <c r="R3130" s="119"/>
      <c r="S3130" s="118">
        <v>11000</v>
      </c>
      <c r="T3130" s="119"/>
      <c r="U3130" s="118">
        <f t="shared" ref="U3130" si="2257">SUM(K3130:T3131)</f>
        <v>657440</v>
      </c>
      <c r="V3130" s="122"/>
      <c r="W3130" s="124"/>
      <c r="X3130" s="126" t="s">
        <v>10364</v>
      </c>
      <c r="Y3130" s="127"/>
      <c r="Z3130" s="127"/>
      <c r="AA3130" s="127"/>
      <c r="AB3130" s="128"/>
      <c r="AC3130" s="15" t="s">
        <v>20</v>
      </c>
      <c r="AD3130" s="129" t="s">
        <v>1742</v>
      </c>
      <c r="AE3130" s="130"/>
      <c r="AF3130" s="130"/>
      <c r="AG3130" s="130"/>
      <c r="AH3130" s="130"/>
      <c r="AI3130" s="131"/>
      <c r="AJ3130" s="132" t="s">
        <v>10385</v>
      </c>
      <c r="AK3130" s="127"/>
      <c r="AL3130" s="128"/>
      <c r="AM3130" s="21"/>
      <c r="AN3130" s="133">
        <v>45969</v>
      </c>
      <c r="AO3130" s="134"/>
      <c r="AP3130" s="135">
        <v>1275</v>
      </c>
      <c r="AQ3130" s="136"/>
      <c r="AR3130" s="118">
        <v>700000</v>
      </c>
      <c r="AS3130" s="119"/>
      <c r="AT3130" s="118">
        <f t="shared" ref="AT3130" si="2258">AR3130*0.1</f>
        <v>70000</v>
      </c>
      <c r="AU3130" s="119"/>
      <c r="AV3130" s="118">
        <v>19440</v>
      </c>
      <c r="AW3130" s="119"/>
      <c r="AX3130" s="118">
        <f t="shared" ref="AX3130" si="2259">SUM(AR3130:AW3130)</f>
        <v>789440</v>
      </c>
      <c r="AY3130" s="119"/>
      <c r="AZ3130" s="137">
        <v>45974</v>
      </c>
    </row>
    <row r="3131" spans="1:52" ht="17.100000000000001" customHeight="1" thickBot="1">
      <c r="A3131" s="110"/>
      <c r="B3131" s="27" t="s">
        <v>83</v>
      </c>
      <c r="C3131" s="27">
        <v>36015</v>
      </c>
      <c r="D3131" s="14" t="s">
        <v>904</v>
      </c>
      <c r="E3131" s="112"/>
      <c r="F3131" s="139" t="s">
        <v>9977</v>
      </c>
      <c r="G3131" s="140"/>
      <c r="H3131" s="141"/>
      <c r="I3131" s="26">
        <v>43493</v>
      </c>
      <c r="J3131" s="117"/>
      <c r="K3131" s="120"/>
      <c r="L3131" s="121"/>
      <c r="M3131" s="120"/>
      <c r="N3131" s="121"/>
      <c r="O3131" s="120"/>
      <c r="P3131" s="121"/>
      <c r="Q3131" s="120"/>
      <c r="R3131" s="121"/>
      <c r="S3131" s="120"/>
      <c r="T3131" s="121"/>
      <c r="U3131" s="120"/>
      <c r="V3131" s="123"/>
      <c r="W3131" s="125"/>
      <c r="X3131" s="142" t="s">
        <v>9937</v>
      </c>
      <c r="Y3131" s="143"/>
      <c r="Z3131" s="143"/>
      <c r="AA3131" s="143"/>
      <c r="AB3131" s="144"/>
      <c r="AC3131" s="16" t="s">
        <v>21</v>
      </c>
      <c r="AD3131" s="17" t="s">
        <v>3379</v>
      </c>
      <c r="AE3131" s="145" t="s">
        <v>10384</v>
      </c>
      <c r="AF3131" s="146"/>
      <c r="AG3131" s="146"/>
      <c r="AH3131" s="146"/>
      <c r="AI3131" s="147"/>
      <c r="AJ3131" s="148" t="s">
        <v>10386</v>
      </c>
      <c r="AK3131" s="143"/>
      <c r="AL3131" s="144"/>
      <c r="AM3131" s="22"/>
      <c r="AN3131" s="149" t="s">
        <v>2511</v>
      </c>
      <c r="AO3131" s="144"/>
      <c r="AP3131" s="148">
        <v>80287</v>
      </c>
      <c r="AQ3131" s="144"/>
      <c r="AR3131" s="120"/>
      <c r="AS3131" s="121"/>
      <c r="AT3131" s="120"/>
      <c r="AU3131" s="121"/>
      <c r="AV3131" s="120"/>
      <c r="AW3131" s="121"/>
      <c r="AX3131" s="120"/>
      <c r="AY3131" s="121"/>
      <c r="AZ3131" s="138"/>
    </row>
    <row r="3132" spans="1:52" ht="17.100000000000001" customHeight="1" thickTop="1">
      <c r="A3132" s="109" t="s">
        <v>9987</v>
      </c>
      <c r="B3132" s="28">
        <v>45964</v>
      </c>
      <c r="C3132" s="25">
        <v>65</v>
      </c>
      <c r="D3132" s="13" t="s">
        <v>3014</v>
      </c>
      <c r="E3132" s="111"/>
      <c r="F3132" s="113" t="s">
        <v>10013</v>
      </c>
      <c r="G3132" s="114"/>
      <c r="H3132" s="115"/>
      <c r="I3132" s="24" t="s">
        <v>4193</v>
      </c>
      <c r="J3132" s="116">
        <v>4</v>
      </c>
      <c r="K3132" s="118">
        <v>3180000</v>
      </c>
      <c r="L3132" s="119"/>
      <c r="M3132" s="118">
        <f t="shared" ref="M3132" si="2260">K3132*0.1</f>
        <v>318000</v>
      </c>
      <c r="N3132" s="119"/>
      <c r="O3132" s="118">
        <f>14500+1450</f>
        <v>15950</v>
      </c>
      <c r="P3132" s="119"/>
      <c r="Q3132" s="118">
        <v>14900</v>
      </c>
      <c r="R3132" s="119"/>
      <c r="S3132" s="118">
        <v>88000</v>
      </c>
      <c r="T3132" s="119"/>
      <c r="U3132" s="118">
        <f t="shared" ref="U3132" si="2261">SUM(K3132:T3133)</f>
        <v>3616850</v>
      </c>
      <c r="V3132" s="122"/>
      <c r="W3132" s="124"/>
      <c r="X3132" s="126" t="s">
        <v>13055</v>
      </c>
      <c r="Y3132" s="127"/>
      <c r="Z3132" s="127"/>
      <c r="AA3132" s="127"/>
      <c r="AB3132" s="128"/>
      <c r="AC3132" s="15" t="s">
        <v>20</v>
      </c>
      <c r="AD3132" s="129" t="s">
        <v>9795</v>
      </c>
      <c r="AE3132" s="130"/>
      <c r="AF3132" s="130"/>
      <c r="AG3132" s="130"/>
      <c r="AH3132" s="130"/>
      <c r="AI3132" s="131"/>
      <c r="AJ3132" s="132"/>
      <c r="AK3132" s="127"/>
      <c r="AL3132" s="128"/>
      <c r="AM3132" s="21"/>
      <c r="AN3132" s="133">
        <v>45997</v>
      </c>
      <c r="AO3132" s="134"/>
      <c r="AP3132" s="135">
        <v>1279</v>
      </c>
      <c r="AQ3132" s="136"/>
      <c r="AR3132" s="118">
        <v>3435000</v>
      </c>
      <c r="AS3132" s="119"/>
      <c r="AT3132" s="118">
        <f t="shared" ref="AT3132" si="2262">AR3132*0.1</f>
        <v>343500</v>
      </c>
      <c r="AU3132" s="119"/>
      <c r="AV3132" s="118">
        <v>14900</v>
      </c>
      <c r="AW3132" s="119"/>
      <c r="AX3132" s="118">
        <f t="shared" ref="AX3132" si="2263">SUM(AR3132:AW3132)</f>
        <v>3793400</v>
      </c>
      <c r="AY3132" s="119"/>
      <c r="AZ3132" s="137">
        <v>46007</v>
      </c>
    </row>
    <row r="3133" spans="1:52" ht="17.100000000000001" customHeight="1" thickBot="1">
      <c r="A3133" s="110"/>
      <c r="B3133" s="27" t="s">
        <v>4544</v>
      </c>
      <c r="C3133" s="27">
        <v>1019</v>
      </c>
      <c r="D3133" s="14" t="s">
        <v>275</v>
      </c>
      <c r="E3133" s="112"/>
      <c r="F3133" s="139" t="s">
        <v>9992</v>
      </c>
      <c r="G3133" s="140"/>
      <c r="H3133" s="141"/>
      <c r="I3133" s="26">
        <v>36002</v>
      </c>
      <c r="J3133" s="117"/>
      <c r="K3133" s="120"/>
      <c r="L3133" s="121"/>
      <c r="M3133" s="120"/>
      <c r="N3133" s="121"/>
      <c r="O3133" s="120"/>
      <c r="P3133" s="121"/>
      <c r="Q3133" s="120"/>
      <c r="R3133" s="121"/>
      <c r="S3133" s="120"/>
      <c r="T3133" s="121"/>
      <c r="U3133" s="120"/>
      <c r="V3133" s="123"/>
      <c r="W3133" s="125"/>
      <c r="X3133" s="142" t="s">
        <v>13056</v>
      </c>
      <c r="Y3133" s="143"/>
      <c r="Z3133" s="143"/>
      <c r="AA3133" s="143"/>
      <c r="AB3133" s="144"/>
      <c r="AC3133" s="16" t="s">
        <v>21</v>
      </c>
      <c r="AD3133" s="17" t="s">
        <v>13052</v>
      </c>
      <c r="AE3133" s="145" t="s">
        <v>1658</v>
      </c>
      <c r="AF3133" s="146"/>
      <c r="AG3133" s="146"/>
      <c r="AH3133" s="146"/>
      <c r="AI3133" s="147"/>
      <c r="AJ3133" s="148"/>
      <c r="AK3133" s="143"/>
      <c r="AL3133" s="144"/>
      <c r="AM3133" s="22"/>
      <c r="AN3133" s="149" t="s">
        <v>2511</v>
      </c>
      <c r="AO3133" s="144"/>
      <c r="AP3133" s="148">
        <v>31017</v>
      </c>
      <c r="AQ3133" s="144"/>
      <c r="AR3133" s="120"/>
      <c r="AS3133" s="121"/>
      <c r="AT3133" s="120"/>
      <c r="AU3133" s="121"/>
      <c r="AV3133" s="120"/>
      <c r="AW3133" s="121"/>
      <c r="AX3133" s="120"/>
      <c r="AY3133" s="121"/>
      <c r="AZ3133" s="138"/>
    </row>
    <row r="3134" spans="1:52" ht="17.100000000000001" customHeight="1" thickTop="1">
      <c r="A3134" s="151" t="s">
        <v>9988</v>
      </c>
      <c r="B3134" s="28">
        <v>45964</v>
      </c>
      <c r="C3134" s="25">
        <v>65</v>
      </c>
      <c r="D3134" s="13" t="s">
        <v>2036</v>
      </c>
      <c r="E3134" s="111"/>
      <c r="F3134" s="113" t="s">
        <v>10014</v>
      </c>
      <c r="G3134" s="114"/>
      <c r="H3134" s="115"/>
      <c r="I3134" s="24" t="s">
        <v>2526</v>
      </c>
      <c r="J3134" s="116">
        <v>4.5</v>
      </c>
      <c r="K3134" s="118">
        <v>1225000</v>
      </c>
      <c r="L3134" s="119"/>
      <c r="M3134" s="118">
        <f t="shared" ref="M3134" si="2264">K3134*0.1</f>
        <v>122500</v>
      </c>
      <c r="N3134" s="119"/>
      <c r="O3134" s="118">
        <v>0</v>
      </c>
      <c r="P3134" s="119"/>
      <c r="Q3134" s="118">
        <v>8130</v>
      </c>
      <c r="R3134" s="119"/>
      <c r="S3134" s="118">
        <v>44000</v>
      </c>
      <c r="T3134" s="119"/>
      <c r="U3134" s="118">
        <f t="shared" ref="U3134" si="2265">SUM(K3134:T3135)</f>
        <v>1399630</v>
      </c>
      <c r="V3134" s="122"/>
      <c r="W3134" s="124"/>
      <c r="X3134" s="126" t="s">
        <v>11458</v>
      </c>
      <c r="Y3134" s="127"/>
      <c r="Z3134" s="127"/>
      <c r="AA3134" s="127"/>
      <c r="AB3134" s="128"/>
      <c r="AC3134" s="15" t="s">
        <v>20</v>
      </c>
      <c r="AD3134" s="129" t="s">
        <v>9795</v>
      </c>
      <c r="AE3134" s="130"/>
      <c r="AF3134" s="130"/>
      <c r="AG3134" s="130"/>
      <c r="AH3134" s="130"/>
      <c r="AI3134" s="131"/>
      <c r="AJ3134" s="132"/>
      <c r="AK3134" s="127"/>
      <c r="AL3134" s="128"/>
      <c r="AM3134" s="21" t="s">
        <v>13979</v>
      </c>
      <c r="AN3134" s="133">
        <v>46032</v>
      </c>
      <c r="AO3134" s="134"/>
      <c r="AP3134" s="135">
        <v>1283</v>
      </c>
      <c r="AQ3134" s="136"/>
      <c r="AR3134" s="118">
        <v>1380000</v>
      </c>
      <c r="AS3134" s="119"/>
      <c r="AT3134" s="118">
        <f t="shared" ref="AT3134" si="2266">AR3134*0.1</f>
        <v>138000</v>
      </c>
      <c r="AU3134" s="119"/>
      <c r="AV3134" s="118">
        <v>8130</v>
      </c>
      <c r="AW3134" s="119"/>
      <c r="AX3134" s="118">
        <f t="shared" ref="AX3134" si="2267">SUM(AR3134:AW3134)</f>
        <v>1526130</v>
      </c>
      <c r="AY3134" s="119"/>
      <c r="AZ3134" s="137">
        <v>46036</v>
      </c>
    </row>
    <row r="3135" spans="1:52" ht="17.100000000000001" customHeight="1" thickBot="1">
      <c r="A3135" s="152"/>
      <c r="B3135" s="27" t="s">
        <v>4544</v>
      </c>
      <c r="C3135" s="27">
        <v>1036</v>
      </c>
      <c r="D3135" s="14" t="s">
        <v>3793</v>
      </c>
      <c r="E3135" s="112"/>
      <c r="F3135" s="139" t="s">
        <v>9993</v>
      </c>
      <c r="G3135" s="140"/>
      <c r="H3135" s="141"/>
      <c r="I3135" s="26">
        <v>1985</v>
      </c>
      <c r="J3135" s="117"/>
      <c r="K3135" s="120"/>
      <c r="L3135" s="121"/>
      <c r="M3135" s="120"/>
      <c r="N3135" s="121"/>
      <c r="O3135" s="120"/>
      <c r="P3135" s="121"/>
      <c r="Q3135" s="120"/>
      <c r="R3135" s="121"/>
      <c r="S3135" s="120"/>
      <c r="T3135" s="121"/>
      <c r="U3135" s="120"/>
      <c r="V3135" s="123"/>
      <c r="W3135" s="125"/>
      <c r="X3135" s="142" t="s">
        <v>11459</v>
      </c>
      <c r="Y3135" s="143"/>
      <c r="Z3135" s="143"/>
      <c r="AA3135" s="143"/>
      <c r="AB3135" s="144"/>
      <c r="AC3135" s="16" t="s">
        <v>21</v>
      </c>
      <c r="AD3135" s="17" t="s">
        <v>2218</v>
      </c>
      <c r="AE3135" s="145" t="s">
        <v>1742</v>
      </c>
      <c r="AF3135" s="146"/>
      <c r="AG3135" s="146"/>
      <c r="AH3135" s="146"/>
      <c r="AI3135" s="147"/>
      <c r="AJ3135" s="148"/>
      <c r="AK3135" s="143"/>
      <c r="AL3135" s="144"/>
      <c r="AM3135" s="22"/>
      <c r="AN3135" s="149" t="s">
        <v>2511</v>
      </c>
      <c r="AO3135" s="144"/>
      <c r="AP3135" s="148">
        <v>65430</v>
      </c>
      <c r="AQ3135" s="144"/>
      <c r="AR3135" s="120"/>
      <c r="AS3135" s="121"/>
      <c r="AT3135" s="120"/>
      <c r="AU3135" s="121"/>
      <c r="AV3135" s="120"/>
      <c r="AW3135" s="121"/>
      <c r="AX3135" s="120"/>
      <c r="AY3135" s="121"/>
      <c r="AZ3135" s="138"/>
    </row>
    <row r="3136" spans="1:52" ht="17.100000000000001" customHeight="1" thickTop="1">
      <c r="A3136" s="109" t="s">
        <v>9989</v>
      </c>
      <c r="B3136" s="28">
        <v>45964</v>
      </c>
      <c r="C3136" s="25">
        <v>65</v>
      </c>
      <c r="D3136" s="13" t="s">
        <v>1760</v>
      </c>
      <c r="E3136" s="111"/>
      <c r="F3136" s="113" t="s">
        <v>10015</v>
      </c>
      <c r="G3136" s="114"/>
      <c r="H3136" s="115"/>
      <c r="I3136" s="24" t="s">
        <v>4390</v>
      </c>
      <c r="J3136" s="116">
        <v>4.5</v>
      </c>
      <c r="K3136" s="118">
        <v>1150000</v>
      </c>
      <c r="L3136" s="119"/>
      <c r="M3136" s="118">
        <f t="shared" ref="M3136" si="2268">K3136*0.1</f>
        <v>115000</v>
      </c>
      <c r="N3136" s="119"/>
      <c r="O3136" s="118">
        <v>0</v>
      </c>
      <c r="P3136" s="119"/>
      <c r="Q3136" s="118">
        <v>8640</v>
      </c>
      <c r="R3136" s="119"/>
      <c r="S3136" s="118">
        <v>44000</v>
      </c>
      <c r="T3136" s="119"/>
      <c r="U3136" s="118">
        <f t="shared" ref="U3136" si="2269">SUM(K3136:T3137)</f>
        <v>1317640</v>
      </c>
      <c r="V3136" s="122"/>
      <c r="W3136" s="124"/>
      <c r="X3136" s="126" t="s">
        <v>12880</v>
      </c>
      <c r="Y3136" s="127"/>
      <c r="Z3136" s="127"/>
      <c r="AA3136" s="127"/>
      <c r="AB3136" s="128"/>
      <c r="AC3136" s="15" t="s">
        <v>20</v>
      </c>
      <c r="AD3136" s="129" t="s">
        <v>9796</v>
      </c>
      <c r="AE3136" s="130"/>
      <c r="AF3136" s="130"/>
      <c r="AG3136" s="130"/>
      <c r="AH3136" s="130"/>
      <c r="AI3136" s="131"/>
      <c r="AJ3136" s="132"/>
      <c r="AK3136" s="127"/>
      <c r="AL3136" s="128"/>
      <c r="AM3136" s="21" t="s">
        <v>13046</v>
      </c>
      <c r="AN3136" s="133">
        <v>46000</v>
      </c>
      <c r="AO3136" s="134"/>
      <c r="AP3136" s="135">
        <v>1921</v>
      </c>
      <c r="AQ3136" s="136"/>
      <c r="AR3136" s="118">
        <v>1279000</v>
      </c>
      <c r="AS3136" s="119"/>
      <c r="AT3136" s="118">
        <f t="shared" ref="AT3136" si="2270">AR3136*0.1</f>
        <v>127900</v>
      </c>
      <c r="AU3136" s="119"/>
      <c r="AV3136" s="118">
        <v>8640</v>
      </c>
      <c r="AW3136" s="119"/>
      <c r="AX3136" s="118">
        <f t="shared" ref="AX3136" si="2271">SUM(AR3136:AW3136)</f>
        <v>1415540</v>
      </c>
      <c r="AY3136" s="119"/>
      <c r="AZ3136" s="137">
        <v>46006</v>
      </c>
    </row>
    <row r="3137" spans="1:52" ht="17.100000000000001" customHeight="1" thickBot="1">
      <c r="A3137" s="110"/>
      <c r="B3137" s="27" t="s">
        <v>4544</v>
      </c>
      <c r="C3137" s="27">
        <v>1090</v>
      </c>
      <c r="D3137" s="14" t="s">
        <v>1812</v>
      </c>
      <c r="E3137" s="112"/>
      <c r="F3137" s="139" t="s">
        <v>9994</v>
      </c>
      <c r="G3137" s="140"/>
      <c r="H3137" s="141"/>
      <c r="I3137" s="26">
        <v>23180</v>
      </c>
      <c r="J3137" s="117"/>
      <c r="K3137" s="120"/>
      <c r="L3137" s="121"/>
      <c r="M3137" s="120"/>
      <c r="N3137" s="121"/>
      <c r="O3137" s="120"/>
      <c r="P3137" s="121"/>
      <c r="Q3137" s="120"/>
      <c r="R3137" s="121"/>
      <c r="S3137" s="120"/>
      <c r="T3137" s="121"/>
      <c r="U3137" s="120"/>
      <c r="V3137" s="123"/>
      <c r="W3137" s="125"/>
      <c r="X3137" s="142" t="s">
        <v>12881</v>
      </c>
      <c r="Y3137" s="143"/>
      <c r="Z3137" s="143"/>
      <c r="AA3137" s="143"/>
      <c r="AB3137" s="144"/>
      <c r="AC3137" s="16" t="s">
        <v>21</v>
      </c>
      <c r="AD3137" s="17" t="s">
        <v>12856</v>
      </c>
      <c r="AE3137" s="145" t="s">
        <v>1742</v>
      </c>
      <c r="AF3137" s="146"/>
      <c r="AG3137" s="146"/>
      <c r="AH3137" s="146"/>
      <c r="AI3137" s="147"/>
      <c r="AJ3137" s="148"/>
      <c r="AK3137" s="143"/>
      <c r="AL3137" s="144"/>
      <c r="AM3137" s="22"/>
      <c r="AN3137" s="149" t="s">
        <v>2131</v>
      </c>
      <c r="AO3137" s="144"/>
      <c r="AP3137" s="148">
        <v>3255</v>
      </c>
      <c r="AQ3137" s="144"/>
      <c r="AR3137" s="120"/>
      <c r="AS3137" s="121"/>
      <c r="AT3137" s="120"/>
      <c r="AU3137" s="121"/>
      <c r="AV3137" s="120"/>
      <c r="AW3137" s="121"/>
      <c r="AX3137" s="120"/>
      <c r="AY3137" s="121"/>
      <c r="AZ3137" s="138"/>
    </row>
    <row r="3138" spans="1:52" ht="17.100000000000001" customHeight="1" thickTop="1">
      <c r="A3138" s="109" t="s">
        <v>9990</v>
      </c>
      <c r="B3138" s="28">
        <v>45964</v>
      </c>
      <c r="C3138" s="25">
        <v>65</v>
      </c>
      <c r="D3138" s="13" t="s">
        <v>3801</v>
      </c>
      <c r="E3138" s="111"/>
      <c r="F3138" s="113" t="s">
        <v>10016</v>
      </c>
      <c r="G3138" s="114"/>
      <c r="H3138" s="115"/>
      <c r="I3138" s="24" t="s">
        <v>2976</v>
      </c>
      <c r="J3138" s="116">
        <v>4</v>
      </c>
      <c r="K3138" s="118">
        <v>2380000</v>
      </c>
      <c r="L3138" s="119"/>
      <c r="M3138" s="118">
        <f t="shared" ref="M3138" si="2272">K3138*0.1</f>
        <v>238000</v>
      </c>
      <c r="N3138" s="119"/>
      <c r="O3138" s="118">
        <f>10100+1010</f>
        <v>11110</v>
      </c>
      <c r="P3138" s="119"/>
      <c r="Q3138" s="118">
        <v>10230</v>
      </c>
      <c r="R3138" s="119"/>
      <c r="S3138" s="118">
        <v>66000</v>
      </c>
      <c r="T3138" s="119"/>
      <c r="U3138" s="118">
        <f t="shared" ref="U3138" si="2273">SUM(K3138:T3139)</f>
        <v>2705340</v>
      </c>
      <c r="V3138" s="122"/>
      <c r="W3138" s="124"/>
      <c r="X3138" s="126" t="s">
        <v>12884</v>
      </c>
      <c r="Y3138" s="127"/>
      <c r="Z3138" s="127"/>
      <c r="AA3138" s="127"/>
      <c r="AB3138" s="128"/>
      <c r="AC3138" s="15" t="s">
        <v>20</v>
      </c>
      <c r="AD3138" s="129" t="s">
        <v>9477</v>
      </c>
      <c r="AE3138" s="130"/>
      <c r="AF3138" s="130"/>
      <c r="AG3138" s="130"/>
      <c r="AH3138" s="130"/>
      <c r="AI3138" s="131"/>
      <c r="AJ3138" s="132"/>
      <c r="AK3138" s="127"/>
      <c r="AL3138" s="128"/>
      <c r="AM3138" s="21"/>
      <c r="AN3138" s="133">
        <v>46001</v>
      </c>
      <c r="AO3138" s="134"/>
      <c r="AP3138" s="135">
        <v>996</v>
      </c>
      <c r="AQ3138" s="136"/>
      <c r="AR3138" s="118">
        <v>2640000</v>
      </c>
      <c r="AS3138" s="119"/>
      <c r="AT3138" s="118">
        <f t="shared" ref="AT3138" si="2274">AR3138*0.1</f>
        <v>264000</v>
      </c>
      <c r="AU3138" s="119"/>
      <c r="AV3138" s="118">
        <v>10230</v>
      </c>
      <c r="AW3138" s="119"/>
      <c r="AX3138" s="118">
        <f t="shared" ref="AX3138" si="2275">SUM(AR3138:AW3138)</f>
        <v>2914230</v>
      </c>
      <c r="AY3138" s="119"/>
      <c r="AZ3138" s="137">
        <v>46006</v>
      </c>
    </row>
    <row r="3139" spans="1:52" ht="17.100000000000001" customHeight="1" thickBot="1">
      <c r="A3139" s="110"/>
      <c r="B3139" s="27" t="s">
        <v>4544</v>
      </c>
      <c r="C3139" s="27">
        <v>1095</v>
      </c>
      <c r="D3139" s="14" t="s">
        <v>7268</v>
      </c>
      <c r="E3139" s="112"/>
      <c r="F3139" s="139" t="s">
        <v>9995</v>
      </c>
      <c r="G3139" s="140"/>
      <c r="H3139" s="141"/>
      <c r="I3139" s="26">
        <v>27702</v>
      </c>
      <c r="J3139" s="117"/>
      <c r="K3139" s="120"/>
      <c r="L3139" s="121"/>
      <c r="M3139" s="120"/>
      <c r="N3139" s="121"/>
      <c r="O3139" s="120"/>
      <c r="P3139" s="121"/>
      <c r="Q3139" s="120"/>
      <c r="R3139" s="121"/>
      <c r="S3139" s="120"/>
      <c r="T3139" s="121"/>
      <c r="U3139" s="120"/>
      <c r="V3139" s="123"/>
      <c r="W3139" s="125"/>
      <c r="X3139" s="142" t="s">
        <v>12885</v>
      </c>
      <c r="Y3139" s="143"/>
      <c r="Z3139" s="143"/>
      <c r="AA3139" s="143"/>
      <c r="AB3139" s="144"/>
      <c r="AC3139" s="16" t="s">
        <v>21</v>
      </c>
      <c r="AD3139" s="17" t="s">
        <v>12856</v>
      </c>
      <c r="AE3139" s="145" t="s">
        <v>4453</v>
      </c>
      <c r="AF3139" s="146"/>
      <c r="AG3139" s="146"/>
      <c r="AH3139" s="146"/>
      <c r="AI3139" s="147"/>
      <c r="AJ3139" s="148"/>
      <c r="AK3139" s="143"/>
      <c r="AL3139" s="144"/>
      <c r="AM3139" s="22"/>
      <c r="AN3139" s="149" t="s">
        <v>9053</v>
      </c>
      <c r="AO3139" s="144"/>
      <c r="AP3139" s="148">
        <v>1083</v>
      </c>
      <c r="AQ3139" s="144"/>
      <c r="AR3139" s="120"/>
      <c r="AS3139" s="121"/>
      <c r="AT3139" s="120"/>
      <c r="AU3139" s="121"/>
      <c r="AV3139" s="120"/>
      <c r="AW3139" s="121"/>
      <c r="AX3139" s="120"/>
      <c r="AY3139" s="121"/>
      <c r="AZ3139" s="138"/>
    </row>
    <row r="3140" spans="1:52" ht="17.100000000000001" customHeight="1" thickTop="1">
      <c r="A3140" s="151" t="s">
        <v>9991</v>
      </c>
      <c r="B3140" s="28">
        <v>45964</v>
      </c>
      <c r="C3140" s="25">
        <v>65</v>
      </c>
      <c r="D3140" s="13" t="s">
        <v>1767</v>
      </c>
      <c r="E3140" s="111"/>
      <c r="F3140" s="113" t="s">
        <v>8621</v>
      </c>
      <c r="G3140" s="114"/>
      <c r="H3140" s="115"/>
      <c r="I3140" s="24" t="s">
        <v>5652</v>
      </c>
      <c r="J3140" s="116">
        <v>4</v>
      </c>
      <c r="K3140" s="118">
        <v>780000</v>
      </c>
      <c r="L3140" s="119"/>
      <c r="M3140" s="118">
        <f t="shared" ref="M3140" si="2276">K3140*0.1</f>
        <v>78000</v>
      </c>
      <c r="N3140" s="119"/>
      <c r="O3140" s="118">
        <v>0</v>
      </c>
      <c r="P3140" s="119"/>
      <c r="Q3140" s="118">
        <v>8790</v>
      </c>
      <c r="R3140" s="119"/>
      <c r="S3140" s="118">
        <v>33000</v>
      </c>
      <c r="T3140" s="119"/>
      <c r="U3140" s="118">
        <f t="shared" ref="U3140" si="2277">SUM(K3140:T3141)</f>
        <v>899790</v>
      </c>
      <c r="V3140" s="122"/>
      <c r="W3140" s="124"/>
      <c r="X3140" s="126" t="s">
        <v>14151</v>
      </c>
      <c r="Y3140" s="127"/>
      <c r="Z3140" s="127"/>
      <c r="AA3140" s="127"/>
      <c r="AB3140" s="128"/>
      <c r="AC3140" s="15" t="s">
        <v>20</v>
      </c>
      <c r="AD3140" s="129" t="s">
        <v>10018</v>
      </c>
      <c r="AE3140" s="130"/>
      <c r="AF3140" s="130"/>
      <c r="AG3140" s="130"/>
      <c r="AH3140" s="130"/>
      <c r="AI3140" s="131"/>
      <c r="AJ3140" s="132"/>
      <c r="AK3140" s="127"/>
      <c r="AL3140" s="128"/>
      <c r="AM3140" s="21" t="s">
        <v>14245</v>
      </c>
      <c r="AN3140" s="133">
        <v>46032</v>
      </c>
      <c r="AO3140" s="134"/>
      <c r="AP3140" s="135">
        <v>1283</v>
      </c>
      <c r="AQ3140" s="136"/>
      <c r="AR3140" s="118">
        <v>930000</v>
      </c>
      <c r="AS3140" s="119"/>
      <c r="AT3140" s="118">
        <f t="shared" ref="AT3140" si="2278">AR3140*0.1</f>
        <v>93000</v>
      </c>
      <c r="AU3140" s="119"/>
      <c r="AV3140" s="118">
        <v>8790</v>
      </c>
      <c r="AW3140" s="119"/>
      <c r="AX3140" s="118">
        <f t="shared" ref="AX3140" si="2279">SUM(AR3140:AW3140)</f>
        <v>1031790</v>
      </c>
      <c r="AY3140" s="119"/>
      <c r="AZ3140" s="137">
        <v>46036</v>
      </c>
    </row>
    <row r="3141" spans="1:52" ht="17.100000000000001" customHeight="1" thickBot="1">
      <c r="A3141" s="152"/>
      <c r="B3141" s="27" t="s">
        <v>4544</v>
      </c>
      <c r="C3141" s="27">
        <v>2009</v>
      </c>
      <c r="D3141" s="14" t="s">
        <v>2800</v>
      </c>
      <c r="E3141" s="112"/>
      <c r="F3141" s="139" t="s">
        <v>9996</v>
      </c>
      <c r="G3141" s="140"/>
      <c r="H3141" s="141"/>
      <c r="I3141" s="26">
        <v>47301</v>
      </c>
      <c r="J3141" s="117"/>
      <c r="K3141" s="120"/>
      <c r="L3141" s="121"/>
      <c r="M3141" s="120"/>
      <c r="N3141" s="121"/>
      <c r="O3141" s="120"/>
      <c r="P3141" s="121"/>
      <c r="Q3141" s="120"/>
      <c r="R3141" s="121"/>
      <c r="S3141" s="120"/>
      <c r="T3141" s="121"/>
      <c r="U3141" s="120"/>
      <c r="V3141" s="123"/>
      <c r="W3141" s="125"/>
      <c r="X3141" s="142" t="s">
        <v>14152</v>
      </c>
      <c r="Y3141" s="143"/>
      <c r="Z3141" s="143"/>
      <c r="AA3141" s="143"/>
      <c r="AB3141" s="144"/>
      <c r="AC3141" s="16" t="s">
        <v>21</v>
      </c>
      <c r="AD3141" s="17" t="s">
        <v>14134</v>
      </c>
      <c r="AE3141" s="145" t="s">
        <v>4488</v>
      </c>
      <c r="AF3141" s="146"/>
      <c r="AG3141" s="146"/>
      <c r="AH3141" s="146"/>
      <c r="AI3141" s="147"/>
      <c r="AJ3141" s="148"/>
      <c r="AK3141" s="143"/>
      <c r="AL3141" s="144"/>
      <c r="AM3141" s="22"/>
      <c r="AN3141" s="149" t="s">
        <v>2511</v>
      </c>
      <c r="AO3141" s="144"/>
      <c r="AP3141" s="148">
        <v>65291</v>
      </c>
      <c r="AQ3141" s="144"/>
      <c r="AR3141" s="120"/>
      <c r="AS3141" s="121"/>
      <c r="AT3141" s="120"/>
      <c r="AU3141" s="121"/>
      <c r="AV3141" s="120"/>
      <c r="AW3141" s="121"/>
      <c r="AX3141" s="120"/>
      <c r="AY3141" s="121"/>
      <c r="AZ3141" s="138"/>
    </row>
    <row r="3142" spans="1:52" ht="17.100000000000001" customHeight="1" thickTop="1">
      <c r="A3142" s="109" t="s">
        <v>9997</v>
      </c>
      <c r="B3142" s="28">
        <v>45964</v>
      </c>
      <c r="C3142" s="25"/>
      <c r="D3142" s="13" t="s">
        <v>1651</v>
      </c>
      <c r="E3142" s="111"/>
      <c r="F3142" s="113" t="s">
        <v>10009</v>
      </c>
      <c r="G3142" s="114"/>
      <c r="H3142" s="115"/>
      <c r="I3142" s="24" t="s">
        <v>4684</v>
      </c>
      <c r="J3142" s="116">
        <v>4.5</v>
      </c>
      <c r="K3142" s="118">
        <f>5302000/1.1</f>
        <v>4820000</v>
      </c>
      <c r="L3142" s="119"/>
      <c r="M3142" s="118">
        <f t="shared" ref="M3142" si="2280">K3142*0.1</f>
        <v>482000</v>
      </c>
      <c r="N3142" s="119"/>
      <c r="O3142" s="118">
        <v>10800</v>
      </c>
      <c r="P3142" s="119"/>
      <c r="Q3142" s="118">
        <v>15220</v>
      </c>
      <c r="R3142" s="119"/>
      <c r="S3142" s="118">
        <v>0</v>
      </c>
      <c r="T3142" s="119"/>
      <c r="U3142" s="118">
        <f t="shared" ref="U3142" si="2281">SUM(K3142:T3143)</f>
        <v>5328020</v>
      </c>
      <c r="V3142" s="122"/>
      <c r="W3142" s="124"/>
      <c r="X3142" s="126" t="s">
        <v>14171</v>
      </c>
      <c r="Y3142" s="127"/>
      <c r="Z3142" s="127"/>
      <c r="AA3142" s="127"/>
      <c r="AB3142" s="128"/>
      <c r="AC3142" s="15" t="s">
        <v>20</v>
      </c>
      <c r="AD3142" s="129" t="s">
        <v>1732</v>
      </c>
      <c r="AE3142" s="130"/>
      <c r="AF3142" s="130"/>
      <c r="AG3142" s="130"/>
      <c r="AH3142" s="130"/>
      <c r="AI3142" s="131"/>
      <c r="AJ3142" s="132"/>
      <c r="AK3142" s="127"/>
      <c r="AL3142" s="128"/>
      <c r="AM3142" s="21"/>
      <c r="AN3142" s="133">
        <v>46015</v>
      </c>
      <c r="AO3142" s="134"/>
      <c r="AP3142" s="135">
        <v>998</v>
      </c>
      <c r="AQ3142" s="136"/>
      <c r="AR3142" s="118">
        <v>4790000</v>
      </c>
      <c r="AS3142" s="119"/>
      <c r="AT3142" s="118">
        <f t="shared" ref="AT3142" si="2282">AR3142*0.1</f>
        <v>479000</v>
      </c>
      <c r="AU3142" s="119"/>
      <c r="AV3142" s="118">
        <v>15220</v>
      </c>
      <c r="AW3142" s="119"/>
      <c r="AX3142" s="118">
        <f t="shared" ref="AX3142" si="2283">SUM(AR3142:AW3142)</f>
        <v>5284220</v>
      </c>
      <c r="AY3142" s="119"/>
      <c r="AZ3142" s="137">
        <v>46027</v>
      </c>
    </row>
    <row r="3143" spans="1:52" ht="17.100000000000001" customHeight="1" thickBot="1">
      <c r="A3143" s="110"/>
      <c r="B3143" s="27" t="s">
        <v>1718</v>
      </c>
      <c r="C3143" s="27" t="s">
        <v>10001</v>
      </c>
      <c r="D3143" s="14" t="s">
        <v>1592</v>
      </c>
      <c r="E3143" s="112"/>
      <c r="F3143" s="139" t="s">
        <v>10002</v>
      </c>
      <c r="G3143" s="140"/>
      <c r="H3143" s="141"/>
      <c r="I3143" s="26">
        <v>37610</v>
      </c>
      <c r="J3143" s="117"/>
      <c r="K3143" s="120"/>
      <c r="L3143" s="121"/>
      <c r="M3143" s="120"/>
      <c r="N3143" s="121"/>
      <c r="O3143" s="120"/>
      <c r="P3143" s="121"/>
      <c r="Q3143" s="120"/>
      <c r="R3143" s="121"/>
      <c r="S3143" s="120"/>
      <c r="T3143" s="121"/>
      <c r="U3143" s="120"/>
      <c r="V3143" s="123"/>
      <c r="W3143" s="125"/>
      <c r="X3143" s="142" t="s">
        <v>14172</v>
      </c>
      <c r="Y3143" s="143"/>
      <c r="Z3143" s="143"/>
      <c r="AA3143" s="143"/>
      <c r="AB3143" s="144"/>
      <c r="AC3143" s="16" t="s">
        <v>21</v>
      </c>
      <c r="AD3143" s="17" t="s">
        <v>14134</v>
      </c>
      <c r="AE3143" s="145" t="s">
        <v>14173</v>
      </c>
      <c r="AF3143" s="146"/>
      <c r="AG3143" s="146"/>
      <c r="AH3143" s="146"/>
      <c r="AI3143" s="147"/>
      <c r="AJ3143" s="148"/>
      <c r="AK3143" s="143"/>
      <c r="AL3143" s="144"/>
      <c r="AM3143" s="22"/>
      <c r="AN3143" s="149" t="s">
        <v>2794</v>
      </c>
      <c r="AO3143" s="144"/>
      <c r="AP3143" s="148">
        <v>4016</v>
      </c>
      <c r="AQ3143" s="144"/>
      <c r="AR3143" s="120"/>
      <c r="AS3143" s="121"/>
      <c r="AT3143" s="120"/>
      <c r="AU3143" s="121"/>
      <c r="AV3143" s="120"/>
      <c r="AW3143" s="121"/>
      <c r="AX3143" s="120"/>
      <c r="AY3143" s="121"/>
      <c r="AZ3143" s="138"/>
    </row>
    <row r="3144" spans="1:52" ht="17.100000000000001" customHeight="1" thickTop="1">
      <c r="A3144" s="109" t="s">
        <v>9998</v>
      </c>
      <c r="B3144" s="28">
        <v>45964</v>
      </c>
      <c r="C3144" s="25"/>
      <c r="D3144" s="13" t="s">
        <v>2084</v>
      </c>
      <c r="E3144" s="111"/>
      <c r="F3144" s="113" t="s">
        <v>10010</v>
      </c>
      <c r="G3144" s="114"/>
      <c r="H3144" s="115"/>
      <c r="I3144" s="24" t="s">
        <v>7242</v>
      </c>
      <c r="J3144" s="116">
        <v>4</v>
      </c>
      <c r="K3144" s="118">
        <f>825000/1.1</f>
        <v>749999.99999999988</v>
      </c>
      <c r="L3144" s="119"/>
      <c r="M3144" s="118">
        <f t="shared" ref="M3144" si="2284">K3144*0.1</f>
        <v>74999.999999999985</v>
      </c>
      <c r="N3144" s="119"/>
      <c r="O3144" s="118">
        <v>0</v>
      </c>
      <c r="P3144" s="119"/>
      <c r="Q3144" s="118">
        <v>8010</v>
      </c>
      <c r="R3144" s="119"/>
      <c r="S3144" s="118">
        <v>0</v>
      </c>
      <c r="T3144" s="119"/>
      <c r="U3144" s="118">
        <f t="shared" ref="U3144" si="2285">SUM(K3144:T3145)</f>
        <v>833009.99999999988</v>
      </c>
      <c r="V3144" s="122"/>
      <c r="W3144" s="124"/>
      <c r="X3144" s="126" t="s">
        <v>11819</v>
      </c>
      <c r="Y3144" s="127"/>
      <c r="Z3144" s="127"/>
      <c r="AA3144" s="127"/>
      <c r="AB3144" s="128"/>
      <c r="AC3144" s="15" t="s">
        <v>20</v>
      </c>
      <c r="AD3144" s="129" t="s">
        <v>1945</v>
      </c>
      <c r="AE3144" s="130"/>
      <c r="AF3144" s="130"/>
      <c r="AG3144" s="130"/>
      <c r="AH3144" s="130"/>
      <c r="AI3144" s="131"/>
      <c r="AJ3144" s="132"/>
      <c r="AK3144" s="127"/>
      <c r="AL3144" s="128"/>
      <c r="AM3144" s="21"/>
      <c r="AN3144" s="133">
        <v>45990</v>
      </c>
      <c r="AO3144" s="134"/>
      <c r="AP3144" s="135">
        <v>1278</v>
      </c>
      <c r="AQ3144" s="136"/>
      <c r="AR3144" s="118">
        <v>945000</v>
      </c>
      <c r="AS3144" s="119"/>
      <c r="AT3144" s="118">
        <f t="shared" ref="AT3144" si="2286">AR3144*0.1</f>
        <v>94500</v>
      </c>
      <c r="AU3144" s="119"/>
      <c r="AV3144" s="118">
        <v>8010</v>
      </c>
      <c r="AW3144" s="119"/>
      <c r="AX3144" s="118">
        <f t="shared" ref="AX3144" si="2287">SUM(AR3144:AW3144)</f>
        <v>1047510</v>
      </c>
      <c r="AY3144" s="119"/>
      <c r="AZ3144" s="137">
        <v>45995</v>
      </c>
    </row>
    <row r="3145" spans="1:52" ht="17.100000000000001" customHeight="1" thickBot="1">
      <c r="A3145" s="110"/>
      <c r="B3145" s="27" t="s">
        <v>1718</v>
      </c>
      <c r="C3145" s="27" t="s">
        <v>10003</v>
      </c>
      <c r="D3145" s="14" t="s">
        <v>1812</v>
      </c>
      <c r="E3145" s="112"/>
      <c r="F3145" s="139" t="s">
        <v>10004</v>
      </c>
      <c r="G3145" s="140"/>
      <c r="H3145" s="141"/>
      <c r="I3145" s="26">
        <v>24926</v>
      </c>
      <c r="J3145" s="117"/>
      <c r="K3145" s="120"/>
      <c r="L3145" s="121"/>
      <c r="M3145" s="120"/>
      <c r="N3145" s="121"/>
      <c r="O3145" s="120"/>
      <c r="P3145" s="121"/>
      <c r="Q3145" s="120"/>
      <c r="R3145" s="121"/>
      <c r="S3145" s="120"/>
      <c r="T3145" s="121"/>
      <c r="U3145" s="120"/>
      <c r="V3145" s="123"/>
      <c r="W3145" s="125"/>
      <c r="X3145" s="142" t="s">
        <v>11820</v>
      </c>
      <c r="Y3145" s="143"/>
      <c r="Z3145" s="143"/>
      <c r="AA3145" s="143"/>
      <c r="AB3145" s="144"/>
      <c r="AC3145" s="16" t="s">
        <v>21</v>
      </c>
      <c r="AD3145" s="17" t="s">
        <v>1723</v>
      </c>
      <c r="AE3145" s="145" t="s">
        <v>1945</v>
      </c>
      <c r="AF3145" s="146"/>
      <c r="AG3145" s="146"/>
      <c r="AH3145" s="146"/>
      <c r="AI3145" s="147"/>
      <c r="AJ3145" s="148"/>
      <c r="AK3145" s="143"/>
      <c r="AL3145" s="144"/>
      <c r="AM3145" s="22"/>
      <c r="AN3145" s="149" t="s">
        <v>2511</v>
      </c>
      <c r="AO3145" s="144"/>
      <c r="AP3145" s="148">
        <v>65066</v>
      </c>
      <c r="AQ3145" s="144"/>
      <c r="AR3145" s="120"/>
      <c r="AS3145" s="121"/>
      <c r="AT3145" s="120"/>
      <c r="AU3145" s="121"/>
      <c r="AV3145" s="120"/>
      <c r="AW3145" s="121"/>
      <c r="AX3145" s="120"/>
      <c r="AY3145" s="121"/>
      <c r="AZ3145" s="138"/>
    </row>
    <row r="3146" spans="1:52" ht="17.100000000000001" customHeight="1" thickTop="1">
      <c r="A3146" s="109" t="s">
        <v>9999</v>
      </c>
      <c r="B3146" s="28">
        <v>45964</v>
      </c>
      <c r="C3146" s="25"/>
      <c r="D3146" s="13" t="s">
        <v>2036</v>
      </c>
      <c r="E3146" s="111"/>
      <c r="F3146" s="113" t="s">
        <v>2950</v>
      </c>
      <c r="G3146" s="114"/>
      <c r="H3146" s="115"/>
      <c r="I3146" s="24" t="s">
        <v>5341</v>
      </c>
      <c r="J3146" s="116">
        <v>4.5</v>
      </c>
      <c r="K3146" s="118">
        <f>3278000/1.1</f>
        <v>2979999.9999999995</v>
      </c>
      <c r="L3146" s="119"/>
      <c r="M3146" s="118">
        <f t="shared" ref="M3146" si="2288">K3146*0.1</f>
        <v>297999.99999999994</v>
      </c>
      <c r="N3146" s="119"/>
      <c r="O3146" s="118">
        <v>14500</v>
      </c>
      <c r="P3146" s="119"/>
      <c r="Q3146" s="118">
        <v>18470</v>
      </c>
      <c r="R3146" s="119"/>
      <c r="S3146" s="118">
        <v>0</v>
      </c>
      <c r="T3146" s="119"/>
      <c r="U3146" s="118">
        <f t="shared" ref="U3146" si="2289">SUM(K3146:T3147)</f>
        <v>3310969.9999999995</v>
      </c>
      <c r="V3146" s="122"/>
      <c r="W3146" s="124"/>
      <c r="X3146" s="126" t="s">
        <v>12059</v>
      </c>
      <c r="Y3146" s="127"/>
      <c r="Z3146" s="127"/>
      <c r="AA3146" s="127"/>
      <c r="AB3146" s="128"/>
      <c r="AC3146" s="15" t="s">
        <v>20</v>
      </c>
      <c r="AD3146" s="129" t="s">
        <v>1945</v>
      </c>
      <c r="AE3146" s="130"/>
      <c r="AF3146" s="130"/>
      <c r="AG3146" s="130"/>
      <c r="AH3146" s="130"/>
      <c r="AI3146" s="131"/>
      <c r="AJ3146" s="132"/>
      <c r="AK3146" s="127"/>
      <c r="AL3146" s="128"/>
      <c r="AM3146" s="21"/>
      <c r="AN3146" s="133">
        <v>45990</v>
      </c>
      <c r="AO3146" s="134"/>
      <c r="AP3146" s="135">
        <v>1278</v>
      </c>
      <c r="AQ3146" s="136"/>
      <c r="AR3146" s="118">
        <v>3465000</v>
      </c>
      <c r="AS3146" s="119"/>
      <c r="AT3146" s="118">
        <f t="shared" ref="AT3146" si="2290">AR3146*0.1</f>
        <v>346500</v>
      </c>
      <c r="AU3146" s="119"/>
      <c r="AV3146" s="118">
        <v>18470</v>
      </c>
      <c r="AW3146" s="119"/>
      <c r="AX3146" s="118">
        <f t="shared" ref="AX3146" si="2291">SUM(AR3146:AW3146)</f>
        <v>3829970</v>
      </c>
      <c r="AY3146" s="119"/>
      <c r="AZ3146" s="137">
        <v>45994</v>
      </c>
    </row>
    <row r="3147" spans="1:52" ht="17.100000000000001" customHeight="1" thickBot="1">
      <c r="A3147" s="110"/>
      <c r="B3147" s="27" t="s">
        <v>1718</v>
      </c>
      <c r="C3147" s="27" t="s">
        <v>10005</v>
      </c>
      <c r="D3147" s="14" t="s">
        <v>275</v>
      </c>
      <c r="E3147" s="112"/>
      <c r="F3147" s="139" t="s">
        <v>10006</v>
      </c>
      <c r="G3147" s="140"/>
      <c r="H3147" s="141"/>
      <c r="I3147" s="26">
        <v>53605</v>
      </c>
      <c r="J3147" s="117"/>
      <c r="K3147" s="120"/>
      <c r="L3147" s="121"/>
      <c r="M3147" s="120"/>
      <c r="N3147" s="121"/>
      <c r="O3147" s="120"/>
      <c r="P3147" s="121"/>
      <c r="Q3147" s="120"/>
      <c r="R3147" s="121"/>
      <c r="S3147" s="120"/>
      <c r="T3147" s="121"/>
      <c r="U3147" s="120"/>
      <c r="V3147" s="123"/>
      <c r="W3147" s="125"/>
      <c r="X3147" s="142" t="s">
        <v>12060</v>
      </c>
      <c r="Y3147" s="143"/>
      <c r="Z3147" s="143"/>
      <c r="AA3147" s="143"/>
      <c r="AB3147" s="144"/>
      <c r="AC3147" s="16" t="s">
        <v>21</v>
      </c>
      <c r="AD3147" s="17" t="s">
        <v>12054</v>
      </c>
      <c r="AE3147" s="145" t="s">
        <v>7043</v>
      </c>
      <c r="AF3147" s="146"/>
      <c r="AG3147" s="146"/>
      <c r="AH3147" s="146"/>
      <c r="AI3147" s="147"/>
      <c r="AJ3147" s="148"/>
      <c r="AK3147" s="143"/>
      <c r="AL3147" s="144"/>
      <c r="AM3147" s="22"/>
      <c r="AN3147" s="149" t="s">
        <v>2511</v>
      </c>
      <c r="AO3147" s="144"/>
      <c r="AP3147" s="148">
        <v>37636</v>
      </c>
      <c r="AQ3147" s="144"/>
      <c r="AR3147" s="120"/>
      <c r="AS3147" s="121"/>
      <c r="AT3147" s="120"/>
      <c r="AU3147" s="121"/>
      <c r="AV3147" s="120"/>
      <c r="AW3147" s="121"/>
      <c r="AX3147" s="120"/>
      <c r="AY3147" s="121"/>
      <c r="AZ3147" s="138"/>
    </row>
    <row r="3148" spans="1:52" ht="17.100000000000001" customHeight="1" thickTop="1">
      <c r="A3148" s="109" t="s">
        <v>10000</v>
      </c>
      <c r="B3148" s="28">
        <v>45964</v>
      </c>
      <c r="C3148" s="25"/>
      <c r="D3148" s="13" t="s">
        <v>1642</v>
      </c>
      <c r="E3148" s="111"/>
      <c r="F3148" s="113" t="s">
        <v>10011</v>
      </c>
      <c r="G3148" s="114"/>
      <c r="H3148" s="115"/>
      <c r="I3148" s="24" t="s">
        <v>10012</v>
      </c>
      <c r="J3148" s="116">
        <v>3.5</v>
      </c>
      <c r="K3148" s="118">
        <f>1160500/1.1</f>
        <v>1055000</v>
      </c>
      <c r="L3148" s="119"/>
      <c r="M3148" s="118">
        <f t="shared" ref="M3148" si="2292">K3148*0.1</f>
        <v>105500</v>
      </c>
      <c r="N3148" s="119"/>
      <c r="O3148" s="118">
        <v>0</v>
      </c>
      <c r="P3148" s="119"/>
      <c r="Q3148" s="118">
        <v>7510</v>
      </c>
      <c r="R3148" s="119"/>
      <c r="S3148" s="118">
        <v>0</v>
      </c>
      <c r="T3148" s="119"/>
      <c r="U3148" s="118">
        <f t="shared" ref="U3148" si="2293">SUM(K3148:T3149)</f>
        <v>1168010</v>
      </c>
      <c r="V3148" s="122"/>
      <c r="W3148" s="124"/>
      <c r="X3148" s="126" t="s">
        <v>10801</v>
      </c>
      <c r="Y3148" s="127"/>
      <c r="Z3148" s="127"/>
      <c r="AA3148" s="127"/>
      <c r="AB3148" s="128"/>
      <c r="AC3148" s="15" t="s">
        <v>20</v>
      </c>
      <c r="AD3148" s="129" t="s">
        <v>171</v>
      </c>
      <c r="AE3148" s="130"/>
      <c r="AF3148" s="130"/>
      <c r="AG3148" s="130"/>
      <c r="AH3148" s="130"/>
      <c r="AI3148" s="131"/>
      <c r="AJ3148" s="132"/>
      <c r="AK3148" s="127"/>
      <c r="AL3148" s="128"/>
      <c r="AM3148" s="21"/>
      <c r="AN3148" s="133">
        <v>45997</v>
      </c>
      <c r="AO3148" s="134"/>
      <c r="AP3148" s="135">
        <v>1279</v>
      </c>
      <c r="AQ3148" s="136"/>
      <c r="AR3148" s="118">
        <v>1020000</v>
      </c>
      <c r="AS3148" s="119"/>
      <c r="AT3148" s="118">
        <f t="shared" ref="AT3148" si="2294">AR3148*0.1</f>
        <v>102000</v>
      </c>
      <c r="AU3148" s="119"/>
      <c r="AV3148" s="118">
        <v>7510</v>
      </c>
      <c r="AW3148" s="119"/>
      <c r="AX3148" s="118">
        <f t="shared" ref="AX3148" si="2295">SUM(AR3148:AW3148)</f>
        <v>1129510</v>
      </c>
      <c r="AY3148" s="119"/>
      <c r="AZ3148" s="137">
        <v>46000</v>
      </c>
    </row>
    <row r="3149" spans="1:52" ht="17.100000000000001" customHeight="1" thickBot="1">
      <c r="A3149" s="110"/>
      <c r="B3149" s="27" t="s">
        <v>1718</v>
      </c>
      <c r="C3149" s="27" t="s">
        <v>10007</v>
      </c>
      <c r="D3149" s="14" t="s">
        <v>1576</v>
      </c>
      <c r="E3149" s="112"/>
      <c r="F3149" s="139" t="s">
        <v>10008</v>
      </c>
      <c r="G3149" s="140"/>
      <c r="H3149" s="141"/>
      <c r="I3149" s="26">
        <v>58809</v>
      </c>
      <c r="J3149" s="117"/>
      <c r="K3149" s="120"/>
      <c r="L3149" s="121"/>
      <c r="M3149" s="120"/>
      <c r="N3149" s="121"/>
      <c r="O3149" s="120"/>
      <c r="P3149" s="121"/>
      <c r="Q3149" s="120"/>
      <c r="R3149" s="121"/>
      <c r="S3149" s="120"/>
      <c r="T3149" s="121"/>
      <c r="U3149" s="120"/>
      <c r="V3149" s="123"/>
      <c r="W3149" s="125"/>
      <c r="X3149" s="142" t="s">
        <v>10802</v>
      </c>
      <c r="Y3149" s="143"/>
      <c r="Z3149" s="143"/>
      <c r="AA3149" s="143"/>
      <c r="AB3149" s="144"/>
      <c r="AC3149" s="16" t="s">
        <v>21</v>
      </c>
      <c r="AD3149" s="17" t="s">
        <v>10733</v>
      </c>
      <c r="AE3149" s="145" t="s">
        <v>1742</v>
      </c>
      <c r="AF3149" s="146"/>
      <c r="AG3149" s="146"/>
      <c r="AH3149" s="146"/>
      <c r="AI3149" s="147"/>
      <c r="AJ3149" s="148"/>
      <c r="AK3149" s="143"/>
      <c r="AL3149" s="144"/>
      <c r="AM3149" s="22"/>
      <c r="AN3149" s="149" t="s">
        <v>2511</v>
      </c>
      <c r="AO3149" s="144"/>
      <c r="AP3149" s="148">
        <v>31008</v>
      </c>
      <c r="AQ3149" s="144"/>
      <c r="AR3149" s="120"/>
      <c r="AS3149" s="121"/>
      <c r="AT3149" s="120"/>
      <c r="AU3149" s="121"/>
      <c r="AV3149" s="120"/>
      <c r="AW3149" s="121"/>
      <c r="AX3149" s="120"/>
      <c r="AY3149" s="121"/>
      <c r="AZ3149" s="138"/>
    </row>
    <row r="3150" spans="1:52" ht="17.100000000000001" customHeight="1" thickTop="1">
      <c r="A3150" s="109" t="s">
        <v>10070</v>
      </c>
      <c r="B3150" s="28">
        <v>45965</v>
      </c>
      <c r="C3150" s="25">
        <v>1916</v>
      </c>
      <c r="D3150" s="13" t="s">
        <v>1795</v>
      </c>
      <c r="E3150" s="111"/>
      <c r="F3150" s="113" t="s">
        <v>10061</v>
      </c>
      <c r="G3150" s="114"/>
      <c r="H3150" s="115"/>
      <c r="I3150" s="24"/>
      <c r="J3150" s="116">
        <v>4.5</v>
      </c>
      <c r="K3150" s="118">
        <v>1389000</v>
      </c>
      <c r="L3150" s="119"/>
      <c r="M3150" s="118">
        <f t="shared" ref="M3150" si="2296">K3150*0.1</f>
        <v>138900</v>
      </c>
      <c r="N3150" s="119"/>
      <c r="O3150" s="118">
        <v>0</v>
      </c>
      <c r="P3150" s="119"/>
      <c r="Q3150" s="118">
        <v>11890</v>
      </c>
      <c r="R3150" s="119"/>
      <c r="S3150" s="118">
        <v>17050</v>
      </c>
      <c r="T3150" s="119"/>
      <c r="U3150" s="118">
        <f t="shared" ref="U3150" si="2297">SUM(K3150:T3151)</f>
        <v>1556840</v>
      </c>
      <c r="V3150" s="122"/>
      <c r="W3150" s="124"/>
      <c r="X3150" s="126" t="s">
        <v>10467</v>
      </c>
      <c r="Y3150" s="127"/>
      <c r="Z3150" s="127"/>
      <c r="AA3150" s="127"/>
      <c r="AB3150" s="128"/>
      <c r="AC3150" s="15" t="s">
        <v>20</v>
      </c>
      <c r="AD3150" s="129" t="s">
        <v>7064</v>
      </c>
      <c r="AE3150" s="130"/>
      <c r="AF3150" s="130"/>
      <c r="AG3150" s="130"/>
      <c r="AH3150" s="130"/>
      <c r="AI3150" s="131"/>
      <c r="AJ3150" s="132"/>
      <c r="AK3150" s="127"/>
      <c r="AL3150" s="128"/>
      <c r="AM3150" s="21"/>
      <c r="AN3150" s="133">
        <v>46001</v>
      </c>
      <c r="AO3150" s="134"/>
      <c r="AP3150" s="135">
        <v>996</v>
      </c>
      <c r="AQ3150" s="136"/>
      <c r="AR3150" s="118">
        <v>1485000</v>
      </c>
      <c r="AS3150" s="119"/>
      <c r="AT3150" s="118">
        <f t="shared" ref="AT3150" si="2298">AR3150*0.1</f>
        <v>148500</v>
      </c>
      <c r="AU3150" s="119"/>
      <c r="AV3150" s="118">
        <v>11890</v>
      </c>
      <c r="AW3150" s="119"/>
      <c r="AX3150" s="118">
        <f t="shared" ref="AX3150" si="2299">SUM(AR3150:AW3150)</f>
        <v>1645390</v>
      </c>
      <c r="AY3150" s="119"/>
      <c r="AZ3150" s="137">
        <v>46006</v>
      </c>
    </row>
    <row r="3151" spans="1:52" ht="17.100000000000001" customHeight="1" thickBot="1">
      <c r="A3151" s="110"/>
      <c r="B3151" s="27" t="s">
        <v>2131</v>
      </c>
      <c r="C3151" s="27">
        <v>2067</v>
      </c>
      <c r="D3151" s="14" t="s">
        <v>1592</v>
      </c>
      <c r="E3151" s="112"/>
      <c r="F3151" s="139" t="s">
        <v>10062</v>
      </c>
      <c r="G3151" s="140"/>
      <c r="H3151" s="141"/>
      <c r="I3151" s="26">
        <v>58234</v>
      </c>
      <c r="J3151" s="117"/>
      <c r="K3151" s="120"/>
      <c r="L3151" s="121"/>
      <c r="M3151" s="120"/>
      <c r="N3151" s="121"/>
      <c r="O3151" s="120"/>
      <c r="P3151" s="121"/>
      <c r="Q3151" s="120"/>
      <c r="R3151" s="121"/>
      <c r="S3151" s="120"/>
      <c r="T3151" s="121"/>
      <c r="U3151" s="120"/>
      <c r="V3151" s="123"/>
      <c r="W3151" s="125"/>
      <c r="X3151" s="142" t="s">
        <v>7450</v>
      </c>
      <c r="Y3151" s="143"/>
      <c r="Z3151" s="143"/>
      <c r="AA3151" s="143"/>
      <c r="AB3151" s="144"/>
      <c r="AC3151" s="16" t="s">
        <v>21</v>
      </c>
      <c r="AD3151" s="17" t="s">
        <v>1694</v>
      </c>
      <c r="AE3151" s="145" t="s">
        <v>10468</v>
      </c>
      <c r="AF3151" s="146"/>
      <c r="AG3151" s="146"/>
      <c r="AH3151" s="146"/>
      <c r="AI3151" s="147"/>
      <c r="AJ3151" s="148"/>
      <c r="AK3151" s="143"/>
      <c r="AL3151" s="144"/>
      <c r="AM3151" s="22"/>
      <c r="AN3151" s="149" t="s">
        <v>7285</v>
      </c>
      <c r="AO3151" s="144"/>
      <c r="AP3151" s="148">
        <v>6001</v>
      </c>
      <c r="AQ3151" s="144"/>
      <c r="AR3151" s="120"/>
      <c r="AS3151" s="121"/>
      <c r="AT3151" s="120"/>
      <c r="AU3151" s="121"/>
      <c r="AV3151" s="120"/>
      <c r="AW3151" s="121"/>
      <c r="AX3151" s="120"/>
      <c r="AY3151" s="121"/>
      <c r="AZ3151" s="138"/>
    </row>
    <row r="3152" spans="1:52" ht="17.100000000000001" customHeight="1" thickTop="1">
      <c r="A3152" s="109" t="s">
        <v>10071</v>
      </c>
      <c r="B3152" s="28">
        <v>45965</v>
      </c>
      <c r="C3152" s="25">
        <v>1916</v>
      </c>
      <c r="D3152" s="13" t="s">
        <v>1953</v>
      </c>
      <c r="E3152" s="111"/>
      <c r="F3152" s="113" t="s">
        <v>10019</v>
      </c>
      <c r="G3152" s="114"/>
      <c r="H3152" s="115"/>
      <c r="I3152" s="24" t="s">
        <v>3923</v>
      </c>
      <c r="J3152" s="116">
        <v>4</v>
      </c>
      <c r="K3152" s="118">
        <v>1153000</v>
      </c>
      <c r="L3152" s="119"/>
      <c r="M3152" s="118">
        <f t="shared" ref="M3152" si="2300">K3152*0.1</f>
        <v>115300</v>
      </c>
      <c r="N3152" s="119"/>
      <c r="O3152" s="118">
        <v>0</v>
      </c>
      <c r="P3152" s="119"/>
      <c r="Q3152" s="118">
        <v>9310</v>
      </c>
      <c r="R3152" s="119"/>
      <c r="S3152" s="118">
        <v>15950</v>
      </c>
      <c r="T3152" s="119"/>
      <c r="U3152" s="118">
        <f t="shared" ref="U3152" si="2301">SUM(K3152:T3153)</f>
        <v>1293560</v>
      </c>
      <c r="V3152" s="122"/>
      <c r="W3152" s="124"/>
      <c r="X3152" s="126" t="s">
        <v>10021</v>
      </c>
      <c r="Y3152" s="127"/>
      <c r="Z3152" s="127"/>
      <c r="AA3152" s="127"/>
      <c r="AB3152" s="128"/>
      <c r="AC3152" s="15" t="s">
        <v>20</v>
      </c>
      <c r="AD3152" s="129" t="s">
        <v>10148</v>
      </c>
      <c r="AE3152" s="130"/>
      <c r="AF3152" s="130"/>
      <c r="AG3152" s="130"/>
      <c r="AH3152" s="130"/>
      <c r="AI3152" s="131"/>
      <c r="AJ3152" s="132"/>
      <c r="AK3152" s="127"/>
      <c r="AL3152" s="128"/>
      <c r="AM3152" s="21"/>
      <c r="AN3152" s="133">
        <v>45976</v>
      </c>
      <c r="AO3152" s="134"/>
      <c r="AP3152" s="135">
        <v>1276</v>
      </c>
      <c r="AQ3152" s="136"/>
      <c r="AR3152" s="118">
        <v>1240000</v>
      </c>
      <c r="AS3152" s="119"/>
      <c r="AT3152" s="118">
        <f t="shared" ref="AT3152" si="2302">AR3152*0.1</f>
        <v>124000</v>
      </c>
      <c r="AU3152" s="119"/>
      <c r="AV3152" s="118">
        <v>9310</v>
      </c>
      <c r="AW3152" s="119"/>
      <c r="AX3152" s="118">
        <f t="shared" ref="AX3152" si="2303">SUM(AR3152:AW3152)</f>
        <v>1373310</v>
      </c>
      <c r="AY3152" s="119"/>
      <c r="AZ3152" s="137">
        <v>45979</v>
      </c>
    </row>
    <row r="3153" spans="1:52" ht="17.100000000000001" customHeight="1" thickBot="1">
      <c r="A3153" s="110"/>
      <c r="B3153" s="27" t="s">
        <v>2131</v>
      </c>
      <c r="C3153" s="27">
        <v>3055</v>
      </c>
      <c r="D3153" s="14" t="s">
        <v>275</v>
      </c>
      <c r="E3153" s="112"/>
      <c r="F3153" s="139" t="s">
        <v>10020</v>
      </c>
      <c r="G3153" s="140"/>
      <c r="H3153" s="141"/>
      <c r="I3153" s="26">
        <v>30302</v>
      </c>
      <c r="J3153" s="117"/>
      <c r="K3153" s="120"/>
      <c r="L3153" s="121"/>
      <c r="M3153" s="120"/>
      <c r="N3153" s="121"/>
      <c r="O3153" s="120"/>
      <c r="P3153" s="121"/>
      <c r="Q3153" s="120"/>
      <c r="R3153" s="121"/>
      <c r="S3153" s="120"/>
      <c r="T3153" s="121"/>
      <c r="U3153" s="120"/>
      <c r="V3153" s="123"/>
      <c r="W3153" s="125"/>
      <c r="X3153" s="142" t="s">
        <v>4901</v>
      </c>
      <c r="Y3153" s="143"/>
      <c r="Z3153" s="143"/>
      <c r="AA3153" s="143"/>
      <c r="AB3153" s="144"/>
      <c r="AC3153" s="16" t="s">
        <v>21</v>
      </c>
      <c r="AD3153" s="17" t="s">
        <v>1694</v>
      </c>
      <c r="AE3153" s="145" t="s">
        <v>10531</v>
      </c>
      <c r="AF3153" s="146"/>
      <c r="AG3153" s="146"/>
      <c r="AH3153" s="146"/>
      <c r="AI3153" s="147"/>
      <c r="AJ3153" s="148"/>
      <c r="AK3153" s="143"/>
      <c r="AL3153" s="144"/>
      <c r="AM3153" s="22"/>
      <c r="AN3153" s="149" t="s">
        <v>10999</v>
      </c>
      <c r="AO3153" s="144"/>
      <c r="AP3153" s="148">
        <v>60069</v>
      </c>
      <c r="AQ3153" s="144"/>
      <c r="AR3153" s="120"/>
      <c r="AS3153" s="121"/>
      <c r="AT3153" s="120"/>
      <c r="AU3153" s="121"/>
      <c r="AV3153" s="120"/>
      <c r="AW3153" s="121"/>
      <c r="AX3153" s="120"/>
      <c r="AY3153" s="121"/>
      <c r="AZ3153" s="138"/>
    </row>
    <row r="3154" spans="1:52" ht="17.100000000000001" customHeight="1" thickTop="1">
      <c r="A3154" s="109" t="s">
        <v>10072</v>
      </c>
      <c r="B3154" s="28">
        <v>45965</v>
      </c>
      <c r="C3154" s="25">
        <v>1916</v>
      </c>
      <c r="D3154" s="13" t="s">
        <v>2001</v>
      </c>
      <c r="E3154" s="111"/>
      <c r="F3154" s="113" t="s">
        <v>9187</v>
      </c>
      <c r="G3154" s="114"/>
      <c r="H3154" s="115"/>
      <c r="I3154" s="24" t="s">
        <v>2861</v>
      </c>
      <c r="J3154" s="116">
        <v>4.5</v>
      </c>
      <c r="K3154" s="118">
        <v>858000</v>
      </c>
      <c r="L3154" s="119"/>
      <c r="M3154" s="118">
        <f t="shared" ref="M3154" si="2304">K3154*0.1</f>
        <v>85800</v>
      </c>
      <c r="N3154" s="119"/>
      <c r="O3154" s="118">
        <v>0</v>
      </c>
      <c r="P3154" s="119"/>
      <c r="Q3154" s="118">
        <v>7040</v>
      </c>
      <c r="R3154" s="119"/>
      <c r="S3154" s="118">
        <v>15950</v>
      </c>
      <c r="T3154" s="119"/>
      <c r="U3154" s="118">
        <f t="shared" ref="U3154" si="2305">SUM(K3154:T3155)</f>
        <v>966790</v>
      </c>
      <c r="V3154" s="122"/>
      <c r="W3154" s="124"/>
      <c r="X3154" s="126" t="s">
        <v>10023</v>
      </c>
      <c r="Y3154" s="127"/>
      <c r="Z3154" s="127"/>
      <c r="AA3154" s="127"/>
      <c r="AB3154" s="128"/>
      <c r="AC3154" s="15" t="s">
        <v>20</v>
      </c>
      <c r="AD3154" s="129"/>
      <c r="AE3154" s="130"/>
      <c r="AF3154" s="130"/>
      <c r="AG3154" s="130"/>
      <c r="AH3154" s="130"/>
      <c r="AI3154" s="131"/>
      <c r="AJ3154" s="132"/>
      <c r="AK3154" s="127"/>
      <c r="AL3154" s="128"/>
      <c r="AM3154" s="21"/>
      <c r="AN3154" s="133"/>
      <c r="AO3154" s="134"/>
      <c r="AP3154" s="135"/>
      <c r="AQ3154" s="136"/>
      <c r="AR3154" s="118"/>
      <c r="AS3154" s="119"/>
      <c r="AT3154" s="118">
        <f t="shared" ref="AT3154" si="2306">AR3154*0.1</f>
        <v>0</v>
      </c>
      <c r="AU3154" s="119"/>
      <c r="AV3154" s="118"/>
      <c r="AW3154" s="119"/>
      <c r="AX3154" s="118">
        <f t="shared" ref="AX3154" si="2307">SUM(AR3154:AW3154)</f>
        <v>0</v>
      </c>
      <c r="AY3154" s="119"/>
      <c r="AZ3154" s="137"/>
    </row>
    <row r="3155" spans="1:52" ht="17.100000000000001" customHeight="1" thickBot="1">
      <c r="A3155" s="110"/>
      <c r="B3155" s="27" t="s">
        <v>2131</v>
      </c>
      <c r="C3155" s="27">
        <v>3058</v>
      </c>
      <c r="D3155" s="14" t="s">
        <v>3327</v>
      </c>
      <c r="E3155" s="112"/>
      <c r="F3155" s="139" t="s">
        <v>10022</v>
      </c>
      <c r="G3155" s="140"/>
      <c r="H3155" s="141"/>
      <c r="I3155" s="26">
        <v>59076</v>
      </c>
      <c r="J3155" s="117"/>
      <c r="K3155" s="120"/>
      <c r="L3155" s="121"/>
      <c r="M3155" s="120"/>
      <c r="N3155" s="121"/>
      <c r="O3155" s="120"/>
      <c r="P3155" s="121"/>
      <c r="Q3155" s="120"/>
      <c r="R3155" s="121"/>
      <c r="S3155" s="120"/>
      <c r="T3155" s="121"/>
      <c r="U3155" s="120"/>
      <c r="V3155" s="123"/>
      <c r="W3155" s="125"/>
      <c r="X3155" s="142" t="s">
        <v>10532</v>
      </c>
      <c r="Y3155" s="143"/>
      <c r="Z3155" s="143"/>
      <c r="AA3155" s="143"/>
      <c r="AB3155" s="144"/>
      <c r="AC3155" s="16" t="s">
        <v>21</v>
      </c>
      <c r="AD3155" s="17" t="s">
        <v>1694</v>
      </c>
      <c r="AE3155" s="145"/>
      <c r="AF3155" s="146"/>
      <c r="AG3155" s="146"/>
      <c r="AH3155" s="146"/>
      <c r="AI3155" s="147"/>
      <c r="AJ3155" s="148"/>
      <c r="AK3155" s="143"/>
      <c r="AL3155" s="144"/>
      <c r="AM3155" s="22"/>
      <c r="AN3155" s="149"/>
      <c r="AO3155" s="144"/>
      <c r="AP3155" s="148"/>
      <c r="AQ3155" s="144"/>
      <c r="AR3155" s="120"/>
      <c r="AS3155" s="121"/>
      <c r="AT3155" s="120"/>
      <c r="AU3155" s="121"/>
      <c r="AV3155" s="120"/>
      <c r="AW3155" s="121"/>
      <c r="AX3155" s="120"/>
      <c r="AY3155" s="121"/>
      <c r="AZ3155" s="138"/>
    </row>
    <row r="3156" spans="1:52" ht="17.100000000000001" customHeight="1" thickTop="1">
      <c r="A3156" s="109" t="s">
        <v>10073</v>
      </c>
      <c r="B3156" s="28">
        <v>45965</v>
      </c>
      <c r="C3156" s="25">
        <v>1916</v>
      </c>
      <c r="D3156" s="13" t="s">
        <v>1725</v>
      </c>
      <c r="E3156" s="111"/>
      <c r="F3156" s="113" t="s">
        <v>4894</v>
      </c>
      <c r="G3156" s="114"/>
      <c r="H3156" s="115"/>
      <c r="I3156" s="24"/>
      <c r="J3156" s="116">
        <v>4.5</v>
      </c>
      <c r="K3156" s="118">
        <v>906000</v>
      </c>
      <c r="L3156" s="119"/>
      <c r="M3156" s="118">
        <f t="shared" ref="M3156" si="2308">K3156*0.1</f>
        <v>90600</v>
      </c>
      <c r="N3156" s="119"/>
      <c r="O3156" s="118">
        <v>0</v>
      </c>
      <c r="P3156" s="119"/>
      <c r="Q3156" s="118">
        <v>9200</v>
      </c>
      <c r="R3156" s="119"/>
      <c r="S3156" s="118">
        <v>15950</v>
      </c>
      <c r="T3156" s="119"/>
      <c r="U3156" s="118">
        <f t="shared" ref="U3156" si="2309">SUM(K3156:T3157)</f>
        <v>1021750</v>
      </c>
      <c r="V3156" s="122"/>
      <c r="W3156" s="124"/>
      <c r="X3156" s="126" t="s">
        <v>10377</v>
      </c>
      <c r="Y3156" s="127"/>
      <c r="Z3156" s="127"/>
      <c r="AA3156" s="127"/>
      <c r="AB3156" s="128"/>
      <c r="AC3156" s="15" t="s">
        <v>20</v>
      </c>
      <c r="AD3156" s="129"/>
      <c r="AE3156" s="130"/>
      <c r="AF3156" s="130"/>
      <c r="AG3156" s="130"/>
      <c r="AH3156" s="130"/>
      <c r="AI3156" s="131"/>
      <c r="AJ3156" s="132"/>
      <c r="AK3156" s="127"/>
      <c r="AL3156" s="128"/>
      <c r="AM3156" s="21"/>
      <c r="AN3156" s="133">
        <v>45969</v>
      </c>
      <c r="AO3156" s="134"/>
      <c r="AP3156" s="135">
        <v>1275</v>
      </c>
      <c r="AQ3156" s="136"/>
      <c r="AR3156" s="118">
        <v>1020000</v>
      </c>
      <c r="AS3156" s="119"/>
      <c r="AT3156" s="118">
        <f t="shared" ref="AT3156" si="2310">AR3156*0.1</f>
        <v>102000</v>
      </c>
      <c r="AU3156" s="119"/>
      <c r="AV3156" s="118">
        <v>9200</v>
      </c>
      <c r="AW3156" s="119"/>
      <c r="AX3156" s="118">
        <f t="shared" ref="AX3156" si="2311">SUM(AR3156:AW3156)</f>
        <v>1131200</v>
      </c>
      <c r="AY3156" s="119"/>
      <c r="AZ3156" s="137">
        <v>45972</v>
      </c>
    </row>
    <row r="3157" spans="1:52" ht="17.100000000000001" customHeight="1" thickBot="1">
      <c r="A3157" s="110"/>
      <c r="B3157" s="27" t="s">
        <v>2131</v>
      </c>
      <c r="C3157" s="27">
        <v>3318</v>
      </c>
      <c r="D3157" s="14" t="s">
        <v>1635</v>
      </c>
      <c r="E3157" s="112"/>
      <c r="F3157" s="139" t="s">
        <v>10031</v>
      </c>
      <c r="G3157" s="140"/>
      <c r="H3157" s="141"/>
      <c r="I3157" s="26">
        <v>49539</v>
      </c>
      <c r="J3157" s="117"/>
      <c r="K3157" s="120"/>
      <c r="L3157" s="121"/>
      <c r="M3157" s="120"/>
      <c r="N3157" s="121"/>
      <c r="O3157" s="120"/>
      <c r="P3157" s="121"/>
      <c r="Q3157" s="120"/>
      <c r="R3157" s="121"/>
      <c r="S3157" s="120"/>
      <c r="T3157" s="121"/>
      <c r="U3157" s="120"/>
      <c r="V3157" s="123"/>
      <c r="W3157" s="125"/>
      <c r="X3157" s="142" t="s">
        <v>5250</v>
      </c>
      <c r="Y3157" s="143"/>
      <c r="Z3157" s="143"/>
      <c r="AA3157" s="143"/>
      <c r="AB3157" s="144"/>
      <c r="AC3157" s="16" t="s">
        <v>21</v>
      </c>
      <c r="AD3157" s="17" t="s">
        <v>1694</v>
      </c>
      <c r="AE3157" s="145"/>
      <c r="AF3157" s="146"/>
      <c r="AG3157" s="146"/>
      <c r="AH3157" s="146"/>
      <c r="AI3157" s="147"/>
      <c r="AJ3157" s="148"/>
      <c r="AK3157" s="143"/>
      <c r="AL3157" s="144"/>
      <c r="AM3157" s="22"/>
      <c r="AN3157" s="149" t="s">
        <v>2511</v>
      </c>
      <c r="AO3157" s="144"/>
      <c r="AP3157" s="148">
        <v>60493</v>
      </c>
      <c r="AQ3157" s="144"/>
      <c r="AR3157" s="120"/>
      <c r="AS3157" s="121"/>
      <c r="AT3157" s="120"/>
      <c r="AU3157" s="121"/>
      <c r="AV3157" s="120"/>
      <c r="AW3157" s="121"/>
      <c r="AX3157" s="120"/>
      <c r="AY3157" s="121"/>
      <c r="AZ3157" s="138"/>
    </row>
    <row r="3158" spans="1:52" ht="17.100000000000001" customHeight="1" thickTop="1">
      <c r="A3158" s="109" t="s">
        <v>10074</v>
      </c>
      <c r="B3158" s="28">
        <v>45965</v>
      </c>
      <c r="C3158" s="25">
        <v>1916</v>
      </c>
      <c r="D3158" s="13" t="s">
        <v>2122</v>
      </c>
      <c r="E3158" s="111"/>
      <c r="F3158" s="113" t="s">
        <v>4630</v>
      </c>
      <c r="G3158" s="114"/>
      <c r="H3158" s="115"/>
      <c r="I3158" s="24" t="s">
        <v>4390</v>
      </c>
      <c r="J3158" s="116">
        <v>5</v>
      </c>
      <c r="K3158" s="118">
        <v>789000</v>
      </c>
      <c r="L3158" s="119"/>
      <c r="M3158" s="118">
        <f t="shared" ref="M3158" si="2312">K3158*0.1</f>
        <v>78900</v>
      </c>
      <c r="N3158" s="119"/>
      <c r="O3158" s="118">
        <v>0</v>
      </c>
      <c r="P3158" s="119"/>
      <c r="Q3158" s="118">
        <v>6550</v>
      </c>
      <c r="R3158" s="119"/>
      <c r="S3158" s="118">
        <v>15950</v>
      </c>
      <c r="T3158" s="119"/>
      <c r="U3158" s="118">
        <f t="shared" ref="U3158" si="2313">SUM(K3158:T3159)</f>
        <v>890400</v>
      </c>
      <c r="V3158" s="122"/>
      <c r="W3158" s="124"/>
      <c r="X3158" s="126" t="s">
        <v>10383</v>
      </c>
      <c r="Y3158" s="127"/>
      <c r="Z3158" s="127"/>
      <c r="AA3158" s="127"/>
      <c r="AB3158" s="128"/>
      <c r="AC3158" s="15" t="s">
        <v>20</v>
      </c>
      <c r="AD3158" s="129" t="s">
        <v>5525</v>
      </c>
      <c r="AE3158" s="130"/>
      <c r="AF3158" s="130"/>
      <c r="AG3158" s="130"/>
      <c r="AH3158" s="130"/>
      <c r="AI3158" s="131"/>
      <c r="AJ3158" s="132"/>
      <c r="AK3158" s="127"/>
      <c r="AL3158" s="128"/>
      <c r="AM3158" s="21"/>
      <c r="AN3158" s="133">
        <v>45969</v>
      </c>
      <c r="AO3158" s="134"/>
      <c r="AP3158" s="135">
        <v>1275</v>
      </c>
      <c r="AQ3158" s="136"/>
      <c r="AR3158" s="118">
        <v>865000</v>
      </c>
      <c r="AS3158" s="119"/>
      <c r="AT3158" s="118">
        <f t="shared" ref="AT3158" si="2314">AR3158*0.1</f>
        <v>86500</v>
      </c>
      <c r="AU3158" s="119"/>
      <c r="AV3158" s="118">
        <v>6550</v>
      </c>
      <c r="AW3158" s="119"/>
      <c r="AX3158" s="118">
        <f t="shared" ref="AX3158" si="2315">SUM(AR3158:AW3158)</f>
        <v>958050</v>
      </c>
      <c r="AY3158" s="119"/>
      <c r="AZ3158" s="137">
        <v>45972</v>
      </c>
    </row>
    <row r="3159" spans="1:52" ht="17.100000000000001" customHeight="1" thickBot="1">
      <c r="A3159" s="110"/>
      <c r="B3159" s="27" t="s">
        <v>2131</v>
      </c>
      <c r="C3159" s="27">
        <v>5406</v>
      </c>
      <c r="D3159" s="14" t="s">
        <v>1592</v>
      </c>
      <c r="E3159" s="112"/>
      <c r="F3159" s="139" t="s">
        <v>10024</v>
      </c>
      <c r="G3159" s="140"/>
      <c r="H3159" s="141"/>
      <c r="I3159" s="26">
        <v>455</v>
      </c>
      <c r="J3159" s="117"/>
      <c r="K3159" s="120"/>
      <c r="L3159" s="121"/>
      <c r="M3159" s="120"/>
      <c r="N3159" s="121"/>
      <c r="O3159" s="120"/>
      <c r="P3159" s="121"/>
      <c r="Q3159" s="120"/>
      <c r="R3159" s="121"/>
      <c r="S3159" s="120"/>
      <c r="T3159" s="121"/>
      <c r="U3159" s="120"/>
      <c r="V3159" s="123"/>
      <c r="W3159" s="125"/>
      <c r="X3159" s="142" t="s">
        <v>9350</v>
      </c>
      <c r="Y3159" s="143"/>
      <c r="Z3159" s="143"/>
      <c r="AA3159" s="143"/>
      <c r="AB3159" s="144"/>
      <c r="AC3159" s="16" t="s">
        <v>21</v>
      </c>
      <c r="AD3159" s="17" t="s">
        <v>1694</v>
      </c>
      <c r="AE3159" s="145" t="s">
        <v>5525</v>
      </c>
      <c r="AF3159" s="146"/>
      <c r="AG3159" s="146"/>
      <c r="AH3159" s="146"/>
      <c r="AI3159" s="147"/>
      <c r="AJ3159" s="148"/>
      <c r="AK3159" s="143"/>
      <c r="AL3159" s="144"/>
      <c r="AM3159" s="22"/>
      <c r="AN3159" s="149" t="s">
        <v>2511</v>
      </c>
      <c r="AO3159" s="144"/>
      <c r="AP3159" s="148">
        <v>60473</v>
      </c>
      <c r="AQ3159" s="144"/>
      <c r="AR3159" s="120"/>
      <c r="AS3159" s="121"/>
      <c r="AT3159" s="120"/>
      <c r="AU3159" s="121"/>
      <c r="AV3159" s="120"/>
      <c r="AW3159" s="121"/>
      <c r="AX3159" s="120"/>
      <c r="AY3159" s="121"/>
      <c r="AZ3159" s="138"/>
    </row>
    <row r="3160" spans="1:52" ht="17.100000000000001" customHeight="1" thickTop="1">
      <c r="A3160" s="109" t="s">
        <v>10075</v>
      </c>
      <c r="B3160" s="28">
        <v>45965</v>
      </c>
      <c r="C3160" s="25">
        <v>794</v>
      </c>
      <c r="D3160" s="13" t="s">
        <v>1027</v>
      </c>
      <c r="E3160" s="111"/>
      <c r="F3160" s="113" t="s">
        <v>4218</v>
      </c>
      <c r="G3160" s="114"/>
      <c r="H3160" s="115"/>
      <c r="I3160" s="24"/>
      <c r="J3160" s="116">
        <v>4</v>
      </c>
      <c r="K3160" s="118">
        <v>475000</v>
      </c>
      <c r="L3160" s="119"/>
      <c r="M3160" s="118">
        <f t="shared" ref="M3160" si="2316">K3160*0.1</f>
        <v>47500</v>
      </c>
      <c r="N3160" s="119"/>
      <c r="O3160" s="118">
        <v>0</v>
      </c>
      <c r="P3160" s="119"/>
      <c r="Q3160" s="118">
        <v>8460</v>
      </c>
      <c r="R3160" s="119"/>
      <c r="S3160" s="118">
        <v>15950</v>
      </c>
      <c r="T3160" s="119"/>
      <c r="U3160" s="118">
        <f t="shared" ref="U3160" si="2317">SUM(K3160:T3161)</f>
        <v>546910</v>
      </c>
      <c r="V3160" s="122"/>
      <c r="W3160" s="124"/>
      <c r="X3160" s="126" t="s">
        <v>10533</v>
      </c>
      <c r="Y3160" s="127"/>
      <c r="Z3160" s="127"/>
      <c r="AA3160" s="127"/>
      <c r="AB3160" s="128"/>
      <c r="AC3160" s="15" t="s">
        <v>20</v>
      </c>
      <c r="AD3160" s="129"/>
      <c r="AE3160" s="130"/>
      <c r="AF3160" s="130"/>
      <c r="AG3160" s="130"/>
      <c r="AH3160" s="130"/>
      <c r="AI3160" s="131"/>
      <c r="AJ3160" s="132"/>
      <c r="AK3160" s="127"/>
      <c r="AL3160" s="128"/>
      <c r="AM3160" s="21"/>
      <c r="AN3160" s="133">
        <v>46004</v>
      </c>
      <c r="AO3160" s="134"/>
      <c r="AP3160" s="135">
        <v>1280</v>
      </c>
      <c r="AQ3160" s="136"/>
      <c r="AR3160" s="118">
        <v>550000</v>
      </c>
      <c r="AS3160" s="119"/>
      <c r="AT3160" s="118">
        <f t="shared" ref="AT3160" si="2318">AR3160*0.1</f>
        <v>55000</v>
      </c>
      <c r="AU3160" s="119"/>
      <c r="AV3160" s="118">
        <v>8460</v>
      </c>
      <c r="AW3160" s="119"/>
      <c r="AX3160" s="118">
        <f t="shared" ref="AX3160" si="2319">SUM(AR3160:AW3160)</f>
        <v>613460</v>
      </c>
      <c r="AY3160" s="119"/>
      <c r="AZ3160" s="137">
        <v>46009</v>
      </c>
    </row>
    <row r="3161" spans="1:52" ht="17.100000000000001" customHeight="1" thickBot="1">
      <c r="A3161" s="110"/>
      <c r="B3161" s="27" t="s">
        <v>3367</v>
      </c>
      <c r="C3161" s="27">
        <v>3020</v>
      </c>
      <c r="D3161" s="14" t="s">
        <v>2601</v>
      </c>
      <c r="E3161" s="112"/>
      <c r="F3161" s="139" t="s">
        <v>10025</v>
      </c>
      <c r="G3161" s="140"/>
      <c r="H3161" s="141"/>
      <c r="I3161" s="26">
        <v>15297</v>
      </c>
      <c r="J3161" s="117"/>
      <c r="K3161" s="120"/>
      <c r="L3161" s="121"/>
      <c r="M3161" s="120"/>
      <c r="N3161" s="121"/>
      <c r="O3161" s="120"/>
      <c r="P3161" s="121"/>
      <c r="Q3161" s="120"/>
      <c r="R3161" s="121"/>
      <c r="S3161" s="120"/>
      <c r="T3161" s="121"/>
      <c r="U3161" s="120"/>
      <c r="V3161" s="123"/>
      <c r="W3161" s="125"/>
      <c r="X3161" s="142" t="s">
        <v>10418</v>
      </c>
      <c r="Y3161" s="143"/>
      <c r="Z3161" s="143"/>
      <c r="AA3161" s="143"/>
      <c r="AB3161" s="144"/>
      <c r="AC3161" s="16" t="s">
        <v>21</v>
      </c>
      <c r="AD3161" s="17" t="s">
        <v>1694</v>
      </c>
      <c r="AE3161" s="145"/>
      <c r="AF3161" s="146"/>
      <c r="AG3161" s="146"/>
      <c r="AH3161" s="146"/>
      <c r="AI3161" s="147"/>
      <c r="AJ3161" s="148"/>
      <c r="AK3161" s="143"/>
      <c r="AL3161" s="144"/>
      <c r="AM3161" s="22"/>
      <c r="AN3161" s="149" t="s">
        <v>6748</v>
      </c>
      <c r="AO3161" s="144"/>
      <c r="AP3161" s="148">
        <v>60163</v>
      </c>
      <c r="AQ3161" s="144"/>
      <c r="AR3161" s="120"/>
      <c r="AS3161" s="121"/>
      <c r="AT3161" s="120"/>
      <c r="AU3161" s="121"/>
      <c r="AV3161" s="120"/>
      <c r="AW3161" s="121"/>
      <c r="AX3161" s="120"/>
      <c r="AY3161" s="121"/>
      <c r="AZ3161" s="138"/>
    </row>
    <row r="3162" spans="1:52" ht="17.100000000000001" customHeight="1" thickTop="1">
      <c r="A3162" s="109" t="s">
        <v>10076</v>
      </c>
      <c r="B3162" s="28">
        <v>45965</v>
      </c>
      <c r="C3162" s="25">
        <v>914</v>
      </c>
      <c r="D3162" s="13" t="s">
        <v>2442</v>
      </c>
      <c r="E3162" s="111"/>
      <c r="F3162" s="113" t="s">
        <v>10049</v>
      </c>
      <c r="G3162" s="114"/>
      <c r="H3162" s="115"/>
      <c r="I3162" s="24"/>
      <c r="J3162" s="116">
        <v>4</v>
      </c>
      <c r="K3162" s="118">
        <v>1640000</v>
      </c>
      <c r="L3162" s="119"/>
      <c r="M3162" s="118">
        <f t="shared" ref="M3162" si="2320">K3162*0.1</f>
        <v>164000</v>
      </c>
      <c r="N3162" s="119"/>
      <c r="O3162" s="118">
        <v>0</v>
      </c>
      <c r="P3162" s="119"/>
      <c r="Q3162" s="118">
        <v>19040</v>
      </c>
      <c r="R3162" s="119"/>
      <c r="S3162" s="118">
        <v>15950</v>
      </c>
      <c r="T3162" s="119"/>
      <c r="U3162" s="118">
        <f t="shared" ref="U3162" si="2321">SUM(K3162:T3163)</f>
        <v>1838990</v>
      </c>
      <c r="V3162" s="122"/>
      <c r="W3162" s="124"/>
      <c r="X3162" s="126" t="s">
        <v>10465</v>
      </c>
      <c r="Y3162" s="127"/>
      <c r="Z3162" s="127"/>
      <c r="AA3162" s="127"/>
      <c r="AB3162" s="128"/>
      <c r="AC3162" s="15" t="s">
        <v>20</v>
      </c>
      <c r="AD3162" s="129"/>
      <c r="AE3162" s="130"/>
      <c r="AF3162" s="130"/>
      <c r="AG3162" s="130"/>
      <c r="AH3162" s="130"/>
      <c r="AI3162" s="131"/>
      <c r="AJ3162" s="132"/>
      <c r="AK3162" s="127"/>
      <c r="AL3162" s="128"/>
      <c r="AM3162" s="21"/>
      <c r="AN3162" s="133">
        <v>45976</v>
      </c>
      <c r="AO3162" s="134"/>
      <c r="AP3162" s="135">
        <v>1276</v>
      </c>
      <c r="AQ3162" s="136"/>
      <c r="AR3162" s="118">
        <v>1770000</v>
      </c>
      <c r="AS3162" s="119"/>
      <c r="AT3162" s="118">
        <f t="shared" ref="AT3162" si="2322">AR3162*0.1</f>
        <v>177000</v>
      </c>
      <c r="AU3162" s="119"/>
      <c r="AV3162" s="118">
        <v>19040</v>
      </c>
      <c r="AW3162" s="119"/>
      <c r="AX3162" s="118">
        <f t="shared" ref="AX3162" si="2323">SUM(AR3162:AW3162)</f>
        <v>1966040</v>
      </c>
      <c r="AY3162" s="119"/>
      <c r="AZ3162" s="137">
        <v>45979</v>
      </c>
    </row>
    <row r="3163" spans="1:52" ht="17.100000000000001" customHeight="1" thickBot="1">
      <c r="A3163" s="110"/>
      <c r="B3163" s="27" t="s">
        <v>2699</v>
      </c>
      <c r="C3163" s="27">
        <v>5011</v>
      </c>
      <c r="D3163" s="14" t="s">
        <v>275</v>
      </c>
      <c r="E3163" s="112"/>
      <c r="F3163" s="139" t="s">
        <v>10050</v>
      </c>
      <c r="G3163" s="140"/>
      <c r="H3163" s="141"/>
      <c r="I3163" s="26">
        <v>32568</v>
      </c>
      <c r="J3163" s="117"/>
      <c r="K3163" s="120"/>
      <c r="L3163" s="121"/>
      <c r="M3163" s="120"/>
      <c r="N3163" s="121"/>
      <c r="O3163" s="120"/>
      <c r="P3163" s="121"/>
      <c r="Q3163" s="120"/>
      <c r="R3163" s="121"/>
      <c r="S3163" s="120"/>
      <c r="T3163" s="121"/>
      <c r="U3163" s="120"/>
      <c r="V3163" s="123"/>
      <c r="W3163" s="125"/>
      <c r="X3163" s="142" t="s">
        <v>3562</v>
      </c>
      <c r="Y3163" s="143"/>
      <c r="Z3163" s="143"/>
      <c r="AA3163" s="143"/>
      <c r="AB3163" s="144"/>
      <c r="AC3163" s="16" t="s">
        <v>21</v>
      </c>
      <c r="AD3163" s="17" t="s">
        <v>1694</v>
      </c>
      <c r="AE3163" s="145" t="s">
        <v>2825</v>
      </c>
      <c r="AF3163" s="146"/>
      <c r="AG3163" s="146"/>
      <c r="AH3163" s="146"/>
      <c r="AI3163" s="147"/>
      <c r="AJ3163" s="148"/>
      <c r="AK3163" s="143"/>
      <c r="AL3163" s="144"/>
      <c r="AM3163" s="22"/>
      <c r="AN3163" s="149" t="s">
        <v>7284</v>
      </c>
      <c r="AO3163" s="144"/>
      <c r="AP3163" s="148">
        <v>80034</v>
      </c>
      <c r="AQ3163" s="144"/>
      <c r="AR3163" s="120"/>
      <c r="AS3163" s="121"/>
      <c r="AT3163" s="120"/>
      <c r="AU3163" s="121"/>
      <c r="AV3163" s="120"/>
      <c r="AW3163" s="121"/>
      <c r="AX3163" s="120"/>
      <c r="AY3163" s="121"/>
      <c r="AZ3163" s="138"/>
    </row>
    <row r="3164" spans="1:52" ht="17.100000000000001" customHeight="1" thickTop="1">
      <c r="A3164" s="109" t="s">
        <v>10077</v>
      </c>
      <c r="B3164" s="28">
        <v>45965</v>
      </c>
      <c r="C3164" s="25">
        <v>914</v>
      </c>
      <c r="D3164" s="13" t="s">
        <v>2329</v>
      </c>
      <c r="E3164" s="111"/>
      <c r="F3164" s="113" t="s">
        <v>10063</v>
      </c>
      <c r="G3164" s="114"/>
      <c r="H3164" s="115"/>
      <c r="I3164" s="24" t="s">
        <v>1547</v>
      </c>
      <c r="J3164" s="116">
        <v>4</v>
      </c>
      <c r="K3164" s="118">
        <v>1405000</v>
      </c>
      <c r="L3164" s="119"/>
      <c r="M3164" s="118">
        <f t="shared" ref="M3164" si="2324">K3164*0.1</f>
        <v>140500</v>
      </c>
      <c r="N3164" s="119"/>
      <c r="O3164" s="118">
        <v>11110</v>
      </c>
      <c r="P3164" s="119"/>
      <c r="Q3164" s="118">
        <v>17930</v>
      </c>
      <c r="R3164" s="119"/>
      <c r="S3164" s="118">
        <v>15950</v>
      </c>
      <c r="T3164" s="119"/>
      <c r="U3164" s="118">
        <f t="shared" ref="U3164" si="2325">SUM(K3164:T3165)</f>
        <v>1590490</v>
      </c>
      <c r="V3164" s="122"/>
      <c r="W3164" s="124"/>
      <c r="X3164" s="126" t="s">
        <v>10065</v>
      </c>
      <c r="Y3164" s="127"/>
      <c r="Z3164" s="127"/>
      <c r="AA3164" s="127"/>
      <c r="AB3164" s="128"/>
      <c r="AC3164" s="15" t="s">
        <v>20</v>
      </c>
      <c r="AD3164" s="129"/>
      <c r="AE3164" s="130"/>
      <c r="AF3164" s="130"/>
      <c r="AG3164" s="130"/>
      <c r="AH3164" s="130"/>
      <c r="AI3164" s="131"/>
      <c r="AJ3164" s="132"/>
      <c r="AK3164" s="127"/>
      <c r="AL3164" s="128"/>
      <c r="AM3164" s="21"/>
      <c r="AN3164" s="133">
        <v>45969</v>
      </c>
      <c r="AO3164" s="134"/>
      <c r="AP3164" s="135">
        <v>1275</v>
      </c>
      <c r="AQ3164" s="136"/>
      <c r="AR3164" s="118">
        <v>1620000</v>
      </c>
      <c r="AS3164" s="119"/>
      <c r="AT3164" s="118">
        <f t="shared" ref="AT3164" si="2326">AR3164*0.1</f>
        <v>162000</v>
      </c>
      <c r="AU3164" s="119"/>
      <c r="AV3164" s="118">
        <v>17930</v>
      </c>
      <c r="AW3164" s="119"/>
      <c r="AX3164" s="118">
        <f t="shared" ref="AX3164" si="2327">SUM(AR3164:AW3164)</f>
        <v>1799930</v>
      </c>
      <c r="AY3164" s="119"/>
      <c r="AZ3164" s="137">
        <v>45972</v>
      </c>
    </row>
    <row r="3165" spans="1:52" ht="17.100000000000001" customHeight="1" thickBot="1">
      <c r="A3165" s="110"/>
      <c r="B3165" s="27" t="s">
        <v>2699</v>
      </c>
      <c r="C3165" s="27">
        <v>5029</v>
      </c>
      <c r="D3165" s="14" t="s">
        <v>1576</v>
      </c>
      <c r="E3165" s="112"/>
      <c r="F3165" s="139" t="s">
        <v>10064</v>
      </c>
      <c r="G3165" s="140"/>
      <c r="H3165" s="141"/>
      <c r="I3165" s="26">
        <v>58604</v>
      </c>
      <c r="J3165" s="117"/>
      <c r="K3165" s="120"/>
      <c r="L3165" s="121"/>
      <c r="M3165" s="120"/>
      <c r="N3165" s="121"/>
      <c r="O3165" s="120"/>
      <c r="P3165" s="121"/>
      <c r="Q3165" s="120"/>
      <c r="R3165" s="121"/>
      <c r="S3165" s="120"/>
      <c r="T3165" s="121"/>
      <c r="U3165" s="120"/>
      <c r="V3165" s="123"/>
      <c r="W3165" s="125"/>
      <c r="X3165" s="142" t="s">
        <v>10378</v>
      </c>
      <c r="Y3165" s="143"/>
      <c r="Z3165" s="143"/>
      <c r="AA3165" s="143"/>
      <c r="AB3165" s="144"/>
      <c r="AC3165" s="16" t="s">
        <v>21</v>
      </c>
      <c r="AD3165" s="17" t="s">
        <v>1694</v>
      </c>
      <c r="AE3165" s="145" t="s">
        <v>10326</v>
      </c>
      <c r="AF3165" s="146"/>
      <c r="AG3165" s="146"/>
      <c r="AH3165" s="146"/>
      <c r="AI3165" s="147"/>
      <c r="AJ3165" s="148"/>
      <c r="AK3165" s="143"/>
      <c r="AL3165" s="144"/>
      <c r="AM3165" s="22"/>
      <c r="AN3165" s="149" t="s">
        <v>2511</v>
      </c>
      <c r="AO3165" s="144"/>
      <c r="AP3165" s="148">
        <v>80320</v>
      </c>
      <c r="AQ3165" s="144"/>
      <c r="AR3165" s="120"/>
      <c r="AS3165" s="121"/>
      <c r="AT3165" s="120"/>
      <c r="AU3165" s="121"/>
      <c r="AV3165" s="120"/>
      <c r="AW3165" s="121"/>
      <c r="AX3165" s="120"/>
      <c r="AY3165" s="121"/>
      <c r="AZ3165" s="138"/>
    </row>
    <row r="3166" spans="1:52" ht="17.100000000000001" customHeight="1" thickTop="1">
      <c r="A3166" s="109" t="s">
        <v>10078</v>
      </c>
      <c r="B3166" s="28">
        <v>45965</v>
      </c>
      <c r="C3166" s="25">
        <v>914</v>
      </c>
      <c r="D3166" s="13" t="s">
        <v>1853</v>
      </c>
      <c r="E3166" s="111"/>
      <c r="F3166" s="113" t="s">
        <v>4980</v>
      </c>
      <c r="G3166" s="114"/>
      <c r="H3166" s="115"/>
      <c r="I3166" s="24"/>
      <c r="J3166" s="116">
        <v>4</v>
      </c>
      <c r="K3166" s="118">
        <v>852000</v>
      </c>
      <c r="L3166" s="119"/>
      <c r="M3166" s="118">
        <f t="shared" ref="M3166" si="2328">K3166*0.1</f>
        <v>85200</v>
      </c>
      <c r="N3166" s="119"/>
      <c r="O3166" s="118">
        <v>0</v>
      </c>
      <c r="P3166" s="119"/>
      <c r="Q3166" s="118">
        <v>7440</v>
      </c>
      <c r="R3166" s="119"/>
      <c r="S3166" s="118">
        <v>15950</v>
      </c>
      <c r="T3166" s="119"/>
      <c r="U3166" s="118">
        <f t="shared" ref="U3166" si="2329">SUM(K3166:T3167)</f>
        <v>960590</v>
      </c>
      <c r="V3166" s="122"/>
      <c r="W3166" s="124"/>
      <c r="X3166" s="126" t="s">
        <v>10469</v>
      </c>
      <c r="Y3166" s="127"/>
      <c r="Z3166" s="127"/>
      <c r="AA3166" s="127"/>
      <c r="AB3166" s="128"/>
      <c r="AC3166" s="15" t="s">
        <v>20</v>
      </c>
      <c r="AD3166" s="129" t="s">
        <v>1670</v>
      </c>
      <c r="AE3166" s="130"/>
      <c r="AF3166" s="130"/>
      <c r="AG3166" s="130"/>
      <c r="AH3166" s="130"/>
      <c r="AI3166" s="131"/>
      <c r="AJ3166" s="132"/>
      <c r="AK3166" s="127"/>
      <c r="AL3166" s="128"/>
      <c r="AM3166" s="21"/>
      <c r="AN3166" s="133">
        <v>45994</v>
      </c>
      <c r="AO3166" s="134"/>
      <c r="AP3166" s="135">
        <v>995</v>
      </c>
      <c r="AQ3166" s="136"/>
      <c r="AR3166" s="118">
        <v>1000000</v>
      </c>
      <c r="AS3166" s="119"/>
      <c r="AT3166" s="118">
        <f t="shared" ref="AT3166" si="2330">AR3166*0.1</f>
        <v>100000</v>
      </c>
      <c r="AU3166" s="119"/>
      <c r="AV3166" s="118">
        <v>7440</v>
      </c>
      <c r="AW3166" s="119"/>
      <c r="AX3166" s="118">
        <f t="shared" ref="AX3166" si="2331">SUM(AR3166:AW3166)</f>
        <v>1107440</v>
      </c>
      <c r="AY3166" s="119"/>
      <c r="AZ3166" s="137">
        <v>46001</v>
      </c>
    </row>
    <row r="3167" spans="1:52" ht="17.100000000000001" customHeight="1" thickBot="1">
      <c r="A3167" s="110"/>
      <c r="B3167" s="27" t="s">
        <v>2699</v>
      </c>
      <c r="C3167" s="27">
        <v>62001</v>
      </c>
      <c r="D3167" s="14" t="s">
        <v>1720</v>
      </c>
      <c r="E3167" s="112"/>
      <c r="F3167" s="139" t="s">
        <v>10032</v>
      </c>
      <c r="G3167" s="140"/>
      <c r="H3167" s="141"/>
      <c r="I3167" s="26">
        <v>41753</v>
      </c>
      <c r="J3167" s="117"/>
      <c r="K3167" s="120"/>
      <c r="L3167" s="121"/>
      <c r="M3167" s="120"/>
      <c r="N3167" s="121"/>
      <c r="O3167" s="120"/>
      <c r="P3167" s="121"/>
      <c r="Q3167" s="120"/>
      <c r="R3167" s="121"/>
      <c r="S3167" s="120"/>
      <c r="T3167" s="121"/>
      <c r="U3167" s="120"/>
      <c r="V3167" s="123"/>
      <c r="W3167" s="125"/>
      <c r="X3167" s="142" t="s">
        <v>3562</v>
      </c>
      <c r="Y3167" s="143"/>
      <c r="Z3167" s="143"/>
      <c r="AA3167" s="143"/>
      <c r="AB3167" s="144"/>
      <c r="AC3167" s="16" t="s">
        <v>21</v>
      </c>
      <c r="AD3167" s="17" t="s">
        <v>1694</v>
      </c>
      <c r="AE3167" s="145" t="s">
        <v>10331</v>
      </c>
      <c r="AF3167" s="146"/>
      <c r="AG3167" s="146"/>
      <c r="AH3167" s="146"/>
      <c r="AI3167" s="147"/>
      <c r="AJ3167" s="148"/>
      <c r="AK3167" s="143"/>
      <c r="AL3167" s="144"/>
      <c r="AM3167" s="22"/>
      <c r="AN3167" s="149" t="s">
        <v>8809</v>
      </c>
      <c r="AO3167" s="144"/>
      <c r="AP3167" s="148">
        <v>5106</v>
      </c>
      <c r="AQ3167" s="144"/>
      <c r="AR3167" s="120"/>
      <c r="AS3167" s="121"/>
      <c r="AT3167" s="120"/>
      <c r="AU3167" s="121"/>
      <c r="AV3167" s="120"/>
      <c r="AW3167" s="121"/>
      <c r="AX3167" s="120"/>
      <c r="AY3167" s="121"/>
      <c r="AZ3167" s="138"/>
    </row>
    <row r="3168" spans="1:52" ht="17.100000000000001" customHeight="1" thickTop="1">
      <c r="A3168" s="109" t="s">
        <v>10079</v>
      </c>
      <c r="B3168" s="28">
        <v>45965</v>
      </c>
      <c r="C3168" s="25">
        <v>1215</v>
      </c>
      <c r="D3168" s="13" t="s">
        <v>1937</v>
      </c>
      <c r="E3168" s="111"/>
      <c r="F3168" s="113" t="s">
        <v>10051</v>
      </c>
      <c r="G3168" s="114"/>
      <c r="H3168" s="115"/>
      <c r="I3168" s="24"/>
      <c r="J3168" s="116">
        <v>4</v>
      </c>
      <c r="K3168" s="118">
        <v>630000</v>
      </c>
      <c r="L3168" s="119"/>
      <c r="M3168" s="118">
        <f t="shared" ref="M3168" si="2332">K3168*0.1</f>
        <v>63000</v>
      </c>
      <c r="N3168" s="119"/>
      <c r="O3168" s="118">
        <v>0</v>
      </c>
      <c r="P3168" s="119"/>
      <c r="Q3168" s="118">
        <v>20170</v>
      </c>
      <c r="R3168" s="119"/>
      <c r="S3168" s="118">
        <v>15950</v>
      </c>
      <c r="T3168" s="119"/>
      <c r="U3168" s="118">
        <f t="shared" ref="U3168" si="2333">SUM(K3168:T3169)</f>
        <v>729120</v>
      </c>
      <c r="V3168" s="122"/>
      <c r="W3168" s="124"/>
      <c r="X3168" s="126" t="s">
        <v>10379</v>
      </c>
      <c r="Y3168" s="127"/>
      <c r="Z3168" s="127"/>
      <c r="AA3168" s="127"/>
      <c r="AB3168" s="128"/>
      <c r="AC3168" s="15" t="s">
        <v>20</v>
      </c>
      <c r="AD3168" s="129"/>
      <c r="AE3168" s="130"/>
      <c r="AF3168" s="130"/>
      <c r="AG3168" s="130"/>
      <c r="AH3168" s="130"/>
      <c r="AI3168" s="131"/>
      <c r="AJ3168" s="132"/>
      <c r="AK3168" s="127"/>
      <c r="AL3168" s="128"/>
      <c r="AM3168" s="21"/>
      <c r="AN3168" s="133">
        <v>45969</v>
      </c>
      <c r="AO3168" s="134"/>
      <c r="AP3168" s="135">
        <v>1275</v>
      </c>
      <c r="AQ3168" s="136"/>
      <c r="AR3168" s="118">
        <v>875000</v>
      </c>
      <c r="AS3168" s="119"/>
      <c r="AT3168" s="118">
        <f t="shared" ref="AT3168" si="2334">AR3168*0.1</f>
        <v>87500</v>
      </c>
      <c r="AU3168" s="119"/>
      <c r="AV3168" s="118">
        <v>20170</v>
      </c>
      <c r="AW3168" s="119"/>
      <c r="AX3168" s="118">
        <f t="shared" ref="AX3168" si="2335">SUM(AR3168:AW3168)</f>
        <v>982670</v>
      </c>
      <c r="AY3168" s="119"/>
      <c r="AZ3168" s="137">
        <v>45972</v>
      </c>
    </row>
    <row r="3169" spans="1:52" ht="17.100000000000001" customHeight="1" thickBot="1">
      <c r="A3169" s="110"/>
      <c r="B3169" s="27" t="s">
        <v>2379</v>
      </c>
      <c r="C3169" s="27">
        <v>5004</v>
      </c>
      <c r="D3169" s="14" t="s">
        <v>2601</v>
      </c>
      <c r="E3169" s="112"/>
      <c r="F3169" s="139" t="s">
        <v>10052</v>
      </c>
      <c r="G3169" s="140"/>
      <c r="H3169" s="141"/>
      <c r="I3169" s="26">
        <v>47948</v>
      </c>
      <c r="J3169" s="117"/>
      <c r="K3169" s="120"/>
      <c r="L3169" s="121"/>
      <c r="M3169" s="120"/>
      <c r="N3169" s="121"/>
      <c r="O3169" s="120"/>
      <c r="P3169" s="121"/>
      <c r="Q3169" s="120"/>
      <c r="R3169" s="121"/>
      <c r="S3169" s="120"/>
      <c r="T3169" s="121"/>
      <c r="U3169" s="120"/>
      <c r="V3169" s="123"/>
      <c r="W3169" s="125"/>
      <c r="X3169" s="142" t="s">
        <v>10380</v>
      </c>
      <c r="Y3169" s="143"/>
      <c r="Z3169" s="143"/>
      <c r="AA3169" s="143"/>
      <c r="AB3169" s="144"/>
      <c r="AC3169" s="16" t="s">
        <v>21</v>
      </c>
      <c r="AD3169" s="17" t="s">
        <v>1694</v>
      </c>
      <c r="AE3169" s="145" t="s">
        <v>10325</v>
      </c>
      <c r="AF3169" s="146"/>
      <c r="AG3169" s="146"/>
      <c r="AH3169" s="146"/>
      <c r="AI3169" s="147"/>
      <c r="AJ3169" s="148"/>
      <c r="AK3169" s="143"/>
      <c r="AL3169" s="144"/>
      <c r="AM3169" s="22"/>
      <c r="AN3169" s="149" t="s">
        <v>2511</v>
      </c>
      <c r="AO3169" s="144"/>
      <c r="AP3169" s="148">
        <v>80340</v>
      </c>
      <c r="AQ3169" s="144"/>
      <c r="AR3169" s="120"/>
      <c r="AS3169" s="121"/>
      <c r="AT3169" s="120"/>
      <c r="AU3169" s="121"/>
      <c r="AV3169" s="120"/>
      <c r="AW3169" s="121"/>
      <c r="AX3169" s="120"/>
      <c r="AY3169" s="121"/>
      <c r="AZ3169" s="138"/>
    </row>
    <row r="3170" spans="1:52" ht="17.100000000000001" customHeight="1" thickTop="1">
      <c r="A3170" s="109" t="s">
        <v>10080</v>
      </c>
      <c r="B3170" s="28">
        <v>45965</v>
      </c>
      <c r="C3170" s="25">
        <v>1215</v>
      </c>
      <c r="D3170" s="13" t="s">
        <v>2442</v>
      </c>
      <c r="E3170" s="111"/>
      <c r="F3170" s="113" t="s">
        <v>10026</v>
      </c>
      <c r="G3170" s="114"/>
      <c r="H3170" s="115"/>
      <c r="I3170" s="24"/>
      <c r="J3170" s="116">
        <v>4</v>
      </c>
      <c r="K3170" s="118">
        <v>1728000</v>
      </c>
      <c r="L3170" s="119"/>
      <c r="M3170" s="118">
        <f t="shared" ref="M3170" si="2336">K3170*0.1</f>
        <v>172800</v>
      </c>
      <c r="N3170" s="119"/>
      <c r="O3170" s="118">
        <v>0</v>
      </c>
      <c r="P3170" s="119"/>
      <c r="Q3170" s="118">
        <v>20410</v>
      </c>
      <c r="R3170" s="119"/>
      <c r="S3170" s="118">
        <v>15950</v>
      </c>
      <c r="T3170" s="119"/>
      <c r="U3170" s="118">
        <f t="shared" ref="U3170" si="2337">SUM(K3170:T3171)</f>
        <v>1937160</v>
      </c>
      <c r="V3170" s="122"/>
      <c r="W3170" s="124"/>
      <c r="X3170" s="126" t="s">
        <v>10413</v>
      </c>
      <c r="Y3170" s="127"/>
      <c r="Z3170" s="127"/>
      <c r="AA3170" s="127"/>
      <c r="AB3170" s="128"/>
      <c r="AC3170" s="15" t="s">
        <v>20</v>
      </c>
      <c r="AD3170" s="129"/>
      <c r="AE3170" s="130"/>
      <c r="AF3170" s="130"/>
      <c r="AG3170" s="130"/>
      <c r="AH3170" s="130"/>
      <c r="AI3170" s="131"/>
      <c r="AJ3170" s="132"/>
      <c r="AK3170" s="127"/>
      <c r="AL3170" s="128"/>
      <c r="AM3170" s="21"/>
      <c r="AN3170" s="133">
        <v>45983</v>
      </c>
      <c r="AO3170" s="134"/>
      <c r="AP3170" s="135">
        <v>1277</v>
      </c>
      <c r="AQ3170" s="136"/>
      <c r="AR3170" s="118">
        <v>2100000</v>
      </c>
      <c r="AS3170" s="119"/>
      <c r="AT3170" s="118">
        <f t="shared" ref="AT3170" si="2338">AR3170*0.1</f>
        <v>210000</v>
      </c>
      <c r="AU3170" s="119"/>
      <c r="AV3170" s="118">
        <v>20410</v>
      </c>
      <c r="AW3170" s="119"/>
      <c r="AX3170" s="118">
        <f t="shared" ref="AX3170" si="2339">SUM(AR3170:AW3170)</f>
        <v>2330410</v>
      </c>
      <c r="AY3170" s="119"/>
      <c r="AZ3170" s="137">
        <v>45992</v>
      </c>
    </row>
    <row r="3171" spans="1:52" ht="17.100000000000001" customHeight="1" thickBot="1">
      <c r="A3171" s="110"/>
      <c r="B3171" s="27" t="s">
        <v>2379</v>
      </c>
      <c r="C3171" s="27">
        <v>32006</v>
      </c>
      <c r="D3171" s="14" t="s">
        <v>3327</v>
      </c>
      <c r="E3171" s="112"/>
      <c r="F3171" s="139" t="s">
        <v>10027</v>
      </c>
      <c r="G3171" s="140"/>
      <c r="H3171" s="141"/>
      <c r="I3171" s="26">
        <v>47465</v>
      </c>
      <c r="J3171" s="117"/>
      <c r="K3171" s="120"/>
      <c r="L3171" s="121"/>
      <c r="M3171" s="120"/>
      <c r="N3171" s="121"/>
      <c r="O3171" s="120"/>
      <c r="P3171" s="121"/>
      <c r="Q3171" s="120"/>
      <c r="R3171" s="121"/>
      <c r="S3171" s="120"/>
      <c r="T3171" s="121"/>
      <c r="U3171" s="120"/>
      <c r="V3171" s="123"/>
      <c r="W3171" s="125"/>
      <c r="X3171" s="142" t="s">
        <v>10414</v>
      </c>
      <c r="Y3171" s="143"/>
      <c r="Z3171" s="143"/>
      <c r="AA3171" s="143"/>
      <c r="AB3171" s="144"/>
      <c r="AC3171" s="16" t="s">
        <v>21</v>
      </c>
      <c r="AD3171" s="17" t="s">
        <v>2194</v>
      </c>
      <c r="AE3171" s="145" t="s">
        <v>3609</v>
      </c>
      <c r="AF3171" s="146"/>
      <c r="AG3171" s="146"/>
      <c r="AH3171" s="146"/>
      <c r="AI3171" s="147"/>
      <c r="AJ3171" s="148"/>
      <c r="AK3171" s="143"/>
      <c r="AL3171" s="144"/>
      <c r="AM3171" s="22"/>
      <c r="AN3171" s="149" t="s">
        <v>11772</v>
      </c>
      <c r="AO3171" s="144"/>
      <c r="AP3171" s="148">
        <v>80150</v>
      </c>
      <c r="AQ3171" s="144"/>
      <c r="AR3171" s="120"/>
      <c r="AS3171" s="121"/>
      <c r="AT3171" s="120"/>
      <c r="AU3171" s="121"/>
      <c r="AV3171" s="120"/>
      <c r="AW3171" s="121"/>
      <c r="AX3171" s="120"/>
      <c r="AY3171" s="121"/>
      <c r="AZ3171" s="138"/>
    </row>
    <row r="3172" spans="1:52" ht="17.100000000000001" customHeight="1" thickTop="1">
      <c r="A3172" s="109" t="s">
        <v>10081</v>
      </c>
      <c r="B3172" s="28">
        <v>45965</v>
      </c>
      <c r="C3172" s="25">
        <v>964</v>
      </c>
      <c r="D3172" s="13" t="s">
        <v>2187</v>
      </c>
      <c r="E3172" s="111"/>
      <c r="F3172" s="113" t="s">
        <v>9655</v>
      </c>
      <c r="G3172" s="114"/>
      <c r="H3172" s="115"/>
      <c r="I3172" s="24"/>
      <c r="J3172" s="116">
        <v>3.5</v>
      </c>
      <c r="K3172" s="118">
        <v>289000</v>
      </c>
      <c r="L3172" s="119"/>
      <c r="M3172" s="118">
        <f t="shared" ref="M3172" si="2340">K3172*0.1</f>
        <v>28900</v>
      </c>
      <c r="N3172" s="119"/>
      <c r="O3172" s="118">
        <v>0</v>
      </c>
      <c r="P3172" s="119"/>
      <c r="Q3172" s="118">
        <v>7500</v>
      </c>
      <c r="R3172" s="119"/>
      <c r="S3172" s="118">
        <v>22000</v>
      </c>
      <c r="T3172" s="119"/>
      <c r="U3172" s="118">
        <f t="shared" ref="U3172" si="2341">SUM(K3172:T3173)</f>
        <v>347400</v>
      </c>
      <c r="V3172" s="122"/>
      <c r="W3172" s="124"/>
      <c r="X3172" s="126" t="s">
        <v>10686</v>
      </c>
      <c r="Y3172" s="127"/>
      <c r="Z3172" s="127"/>
      <c r="AA3172" s="127"/>
      <c r="AB3172" s="128"/>
      <c r="AC3172" s="15" t="s">
        <v>20</v>
      </c>
      <c r="AD3172" s="129" t="s">
        <v>2054</v>
      </c>
      <c r="AE3172" s="130"/>
      <c r="AF3172" s="130"/>
      <c r="AG3172" s="130"/>
      <c r="AH3172" s="130"/>
      <c r="AI3172" s="131"/>
      <c r="AJ3172" s="132"/>
      <c r="AK3172" s="127"/>
      <c r="AL3172" s="128"/>
      <c r="AM3172" s="21"/>
      <c r="AN3172" s="133">
        <v>45979</v>
      </c>
      <c r="AO3172" s="134"/>
      <c r="AP3172" s="135">
        <v>1918</v>
      </c>
      <c r="AQ3172" s="136"/>
      <c r="AR3172" s="118">
        <v>349000</v>
      </c>
      <c r="AS3172" s="119"/>
      <c r="AT3172" s="118">
        <f t="shared" ref="AT3172" si="2342">AR3172*0.1</f>
        <v>34900</v>
      </c>
      <c r="AU3172" s="119"/>
      <c r="AV3172" s="118">
        <v>7500</v>
      </c>
      <c r="AW3172" s="119"/>
      <c r="AX3172" s="118">
        <f t="shared" ref="AX3172" si="2343">SUM(AR3172:AW3172)</f>
        <v>391400</v>
      </c>
      <c r="AY3172" s="119"/>
      <c r="AZ3172" s="137">
        <v>45986</v>
      </c>
    </row>
    <row r="3173" spans="1:52" ht="17.100000000000001" customHeight="1" thickBot="1">
      <c r="A3173" s="110"/>
      <c r="B3173" s="27" t="s">
        <v>2055</v>
      </c>
      <c r="C3173" s="27">
        <v>45</v>
      </c>
      <c r="D3173" s="14" t="s">
        <v>1592</v>
      </c>
      <c r="E3173" s="112"/>
      <c r="F3173" s="139" t="s">
        <v>10087</v>
      </c>
      <c r="G3173" s="140"/>
      <c r="H3173" s="141"/>
      <c r="I3173" s="26">
        <v>57021</v>
      </c>
      <c r="J3173" s="117"/>
      <c r="K3173" s="120"/>
      <c r="L3173" s="121"/>
      <c r="M3173" s="120"/>
      <c r="N3173" s="121"/>
      <c r="O3173" s="120"/>
      <c r="P3173" s="121"/>
      <c r="Q3173" s="120"/>
      <c r="R3173" s="121"/>
      <c r="S3173" s="120"/>
      <c r="T3173" s="121"/>
      <c r="U3173" s="120"/>
      <c r="V3173" s="123"/>
      <c r="W3173" s="125"/>
      <c r="X3173" s="142" t="s">
        <v>2482</v>
      </c>
      <c r="Y3173" s="143"/>
      <c r="Z3173" s="143"/>
      <c r="AA3173" s="143"/>
      <c r="AB3173" s="144"/>
      <c r="AC3173" s="16" t="s">
        <v>21</v>
      </c>
      <c r="AD3173" s="17" t="s">
        <v>10596</v>
      </c>
      <c r="AE3173" s="145" t="s">
        <v>1670</v>
      </c>
      <c r="AF3173" s="146"/>
      <c r="AG3173" s="146"/>
      <c r="AH3173" s="146"/>
      <c r="AI3173" s="147"/>
      <c r="AJ3173" s="148"/>
      <c r="AK3173" s="143"/>
      <c r="AL3173" s="144"/>
      <c r="AM3173" s="22"/>
      <c r="AN3173" s="149" t="s">
        <v>2131</v>
      </c>
      <c r="AO3173" s="144"/>
      <c r="AP3173" s="148">
        <v>3055</v>
      </c>
      <c r="AQ3173" s="144"/>
      <c r="AR3173" s="120"/>
      <c r="AS3173" s="121"/>
      <c r="AT3173" s="120"/>
      <c r="AU3173" s="121"/>
      <c r="AV3173" s="120"/>
      <c r="AW3173" s="121"/>
      <c r="AX3173" s="120"/>
      <c r="AY3173" s="121"/>
      <c r="AZ3173" s="138"/>
    </row>
    <row r="3174" spans="1:52" ht="17.100000000000001" customHeight="1" thickTop="1">
      <c r="A3174" s="109" t="s">
        <v>10082</v>
      </c>
      <c r="B3174" s="28">
        <v>45965</v>
      </c>
      <c r="C3174" s="25">
        <v>964</v>
      </c>
      <c r="D3174" s="13" t="s">
        <v>2187</v>
      </c>
      <c r="E3174" s="111"/>
      <c r="F3174" s="113" t="s">
        <v>10102</v>
      </c>
      <c r="G3174" s="114"/>
      <c r="H3174" s="115"/>
      <c r="I3174" s="24"/>
      <c r="J3174" s="116">
        <v>3.5</v>
      </c>
      <c r="K3174" s="118">
        <v>248000</v>
      </c>
      <c r="L3174" s="119"/>
      <c r="M3174" s="118">
        <f t="shared" ref="M3174" si="2344">K3174*0.1</f>
        <v>24800</v>
      </c>
      <c r="N3174" s="119"/>
      <c r="O3174" s="118">
        <v>0</v>
      </c>
      <c r="P3174" s="119"/>
      <c r="Q3174" s="118">
        <v>7140</v>
      </c>
      <c r="R3174" s="119"/>
      <c r="S3174" s="118">
        <v>22000</v>
      </c>
      <c r="T3174" s="119"/>
      <c r="U3174" s="118">
        <f t="shared" ref="U3174" si="2345">SUM(K3174:T3175)</f>
        <v>301940</v>
      </c>
      <c r="V3174" s="122"/>
      <c r="W3174" s="124"/>
      <c r="X3174" s="126" t="s">
        <v>10685</v>
      </c>
      <c r="Y3174" s="127"/>
      <c r="Z3174" s="127"/>
      <c r="AA3174" s="127"/>
      <c r="AB3174" s="128"/>
      <c r="AC3174" s="15" t="s">
        <v>20</v>
      </c>
      <c r="AD3174" s="129" t="s">
        <v>2054</v>
      </c>
      <c r="AE3174" s="130"/>
      <c r="AF3174" s="130"/>
      <c r="AG3174" s="130"/>
      <c r="AH3174" s="130"/>
      <c r="AI3174" s="131"/>
      <c r="AJ3174" s="132"/>
      <c r="AK3174" s="127"/>
      <c r="AL3174" s="128"/>
      <c r="AM3174" s="21"/>
      <c r="AN3174" s="133">
        <v>45979</v>
      </c>
      <c r="AO3174" s="134"/>
      <c r="AP3174" s="135">
        <v>1918</v>
      </c>
      <c r="AQ3174" s="136"/>
      <c r="AR3174" s="118">
        <v>300000</v>
      </c>
      <c r="AS3174" s="119"/>
      <c r="AT3174" s="118">
        <f t="shared" ref="AT3174" si="2346">AR3174*0.1</f>
        <v>30000</v>
      </c>
      <c r="AU3174" s="119"/>
      <c r="AV3174" s="118">
        <v>7140</v>
      </c>
      <c r="AW3174" s="119"/>
      <c r="AX3174" s="118">
        <f t="shared" ref="AX3174" si="2347">SUM(AR3174:AW3174)</f>
        <v>337140</v>
      </c>
      <c r="AY3174" s="119"/>
      <c r="AZ3174" s="137">
        <v>45986</v>
      </c>
    </row>
    <row r="3175" spans="1:52" ht="17.100000000000001" customHeight="1" thickBot="1">
      <c r="A3175" s="110"/>
      <c r="B3175" s="27" t="s">
        <v>2055</v>
      </c>
      <c r="C3175" s="27">
        <v>88</v>
      </c>
      <c r="D3175" s="14" t="s">
        <v>1592</v>
      </c>
      <c r="E3175" s="112"/>
      <c r="F3175" s="139" t="s">
        <v>10088</v>
      </c>
      <c r="G3175" s="140"/>
      <c r="H3175" s="141"/>
      <c r="I3175" s="26">
        <v>58827</v>
      </c>
      <c r="J3175" s="117"/>
      <c r="K3175" s="120"/>
      <c r="L3175" s="121"/>
      <c r="M3175" s="120"/>
      <c r="N3175" s="121"/>
      <c r="O3175" s="120"/>
      <c r="P3175" s="121"/>
      <c r="Q3175" s="120"/>
      <c r="R3175" s="121"/>
      <c r="S3175" s="120"/>
      <c r="T3175" s="121"/>
      <c r="U3175" s="120"/>
      <c r="V3175" s="123"/>
      <c r="W3175" s="125"/>
      <c r="X3175" s="142" t="s">
        <v>2482</v>
      </c>
      <c r="Y3175" s="143"/>
      <c r="Z3175" s="143"/>
      <c r="AA3175" s="143"/>
      <c r="AB3175" s="144"/>
      <c r="AC3175" s="16" t="s">
        <v>21</v>
      </c>
      <c r="AD3175" s="17" t="s">
        <v>10596</v>
      </c>
      <c r="AE3175" s="145" t="s">
        <v>10331</v>
      </c>
      <c r="AF3175" s="146"/>
      <c r="AG3175" s="146"/>
      <c r="AH3175" s="146"/>
      <c r="AI3175" s="147"/>
      <c r="AJ3175" s="148"/>
      <c r="AK3175" s="143"/>
      <c r="AL3175" s="144"/>
      <c r="AM3175" s="22"/>
      <c r="AN3175" s="149" t="s">
        <v>2131</v>
      </c>
      <c r="AO3175" s="144"/>
      <c r="AP3175" s="148">
        <v>3143</v>
      </c>
      <c r="AQ3175" s="144"/>
      <c r="AR3175" s="120"/>
      <c r="AS3175" s="121"/>
      <c r="AT3175" s="120"/>
      <c r="AU3175" s="121"/>
      <c r="AV3175" s="120"/>
      <c r="AW3175" s="121"/>
      <c r="AX3175" s="120"/>
      <c r="AY3175" s="121"/>
      <c r="AZ3175" s="138"/>
    </row>
    <row r="3176" spans="1:52" ht="17.100000000000001" customHeight="1" thickTop="1">
      <c r="A3176" s="109" t="s">
        <v>10083</v>
      </c>
      <c r="B3176" s="28">
        <v>45965</v>
      </c>
      <c r="C3176" s="25">
        <v>964</v>
      </c>
      <c r="D3176" s="13" t="s">
        <v>2508</v>
      </c>
      <c r="E3176" s="111"/>
      <c r="F3176" s="113" t="s">
        <v>4026</v>
      </c>
      <c r="G3176" s="114"/>
      <c r="H3176" s="115"/>
      <c r="I3176" s="24"/>
      <c r="J3176" s="116">
        <v>4.5</v>
      </c>
      <c r="K3176" s="118">
        <v>1218000</v>
      </c>
      <c r="L3176" s="119"/>
      <c r="M3176" s="118">
        <f t="shared" ref="M3176" si="2348">K3176*0.1</f>
        <v>121800</v>
      </c>
      <c r="N3176" s="119"/>
      <c r="O3176" s="118">
        <v>0</v>
      </c>
      <c r="P3176" s="119"/>
      <c r="Q3176" s="118">
        <v>8350</v>
      </c>
      <c r="R3176" s="119"/>
      <c r="S3176" s="118">
        <v>22000</v>
      </c>
      <c r="T3176" s="119"/>
      <c r="U3176" s="118">
        <f t="shared" ref="U3176" si="2349">SUM(K3176:T3177)</f>
        <v>1370150</v>
      </c>
      <c r="V3176" s="122"/>
      <c r="W3176" s="124"/>
      <c r="X3176" s="126" t="s">
        <v>10684</v>
      </c>
      <c r="Y3176" s="127"/>
      <c r="Z3176" s="127"/>
      <c r="AA3176" s="127"/>
      <c r="AB3176" s="128"/>
      <c r="AC3176" s="15" t="s">
        <v>20</v>
      </c>
      <c r="AD3176" s="129" t="s">
        <v>1670</v>
      </c>
      <c r="AE3176" s="130"/>
      <c r="AF3176" s="130"/>
      <c r="AG3176" s="130"/>
      <c r="AH3176" s="130"/>
      <c r="AI3176" s="131"/>
      <c r="AJ3176" s="132"/>
      <c r="AK3176" s="127"/>
      <c r="AL3176" s="128"/>
      <c r="AM3176" s="21"/>
      <c r="AN3176" s="133">
        <v>45986</v>
      </c>
      <c r="AO3176" s="134"/>
      <c r="AP3176" s="135">
        <v>1919</v>
      </c>
      <c r="AQ3176" s="136"/>
      <c r="AR3176" s="118">
        <v>1240000</v>
      </c>
      <c r="AS3176" s="119"/>
      <c r="AT3176" s="118">
        <f t="shared" ref="AT3176" si="2350">AR3176*0.1</f>
        <v>124000</v>
      </c>
      <c r="AU3176" s="119"/>
      <c r="AV3176" s="118">
        <v>8350</v>
      </c>
      <c r="AW3176" s="119"/>
      <c r="AX3176" s="118">
        <f t="shared" ref="AX3176" si="2351">SUM(AR3176:AW3176)</f>
        <v>1372350</v>
      </c>
      <c r="AY3176" s="119"/>
      <c r="AZ3176" s="137"/>
    </row>
    <row r="3177" spans="1:52" ht="17.100000000000001" customHeight="1" thickBot="1">
      <c r="A3177" s="110"/>
      <c r="B3177" s="27" t="s">
        <v>2055</v>
      </c>
      <c r="C3177" s="27">
        <v>122</v>
      </c>
      <c r="D3177" s="14" t="s">
        <v>2206</v>
      </c>
      <c r="E3177" s="112"/>
      <c r="F3177" s="139" t="s">
        <v>10089</v>
      </c>
      <c r="G3177" s="140"/>
      <c r="H3177" s="141"/>
      <c r="I3177" s="26">
        <v>1468</v>
      </c>
      <c r="J3177" s="117"/>
      <c r="K3177" s="120"/>
      <c r="L3177" s="121"/>
      <c r="M3177" s="120"/>
      <c r="N3177" s="121"/>
      <c r="O3177" s="120"/>
      <c r="P3177" s="121"/>
      <c r="Q3177" s="120"/>
      <c r="R3177" s="121"/>
      <c r="S3177" s="120"/>
      <c r="T3177" s="121"/>
      <c r="U3177" s="120"/>
      <c r="V3177" s="123"/>
      <c r="W3177" s="125"/>
      <c r="X3177" s="142" t="s">
        <v>2482</v>
      </c>
      <c r="Y3177" s="143"/>
      <c r="Z3177" s="143"/>
      <c r="AA3177" s="143"/>
      <c r="AB3177" s="144"/>
      <c r="AC3177" s="16" t="s">
        <v>21</v>
      </c>
      <c r="AD3177" s="17" t="s">
        <v>10596</v>
      </c>
      <c r="AE3177" s="145" t="s">
        <v>9056</v>
      </c>
      <c r="AF3177" s="146"/>
      <c r="AG3177" s="146"/>
      <c r="AH3177" s="146"/>
      <c r="AI3177" s="147"/>
      <c r="AJ3177" s="148"/>
      <c r="AK3177" s="143"/>
      <c r="AL3177" s="144"/>
      <c r="AM3177" s="22"/>
      <c r="AN3177" s="149" t="s">
        <v>11650</v>
      </c>
      <c r="AO3177" s="144"/>
      <c r="AP3177" s="148">
        <v>3135</v>
      </c>
      <c r="AQ3177" s="144"/>
      <c r="AR3177" s="120"/>
      <c r="AS3177" s="121"/>
      <c r="AT3177" s="120"/>
      <c r="AU3177" s="121"/>
      <c r="AV3177" s="120"/>
      <c r="AW3177" s="121"/>
      <c r="AX3177" s="120"/>
      <c r="AY3177" s="121"/>
      <c r="AZ3177" s="138"/>
    </row>
    <row r="3178" spans="1:52" ht="17.100000000000001" customHeight="1" thickTop="1">
      <c r="A3178" s="109" t="s">
        <v>10084</v>
      </c>
      <c r="B3178" s="28">
        <v>45965</v>
      </c>
      <c r="C3178" s="25">
        <v>782</v>
      </c>
      <c r="D3178" s="13" t="s">
        <v>1606</v>
      </c>
      <c r="E3178" s="111"/>
      <c r="F3178" s="113" t="s">
        <v>3846</v>
      </c>
      <c r="G3178" s="114"/>
      <c r="H3178" s="115"/>
      <c r="I3178" s="24"/>
      <c r="J3178" s="116">
        <v>4.5</v>
      </c>
      <c r="K3178" s="118">
        <v>528000</v>
      </c>
      <c r="L3178" s="119"/>
      <c r="M3178" s="118">
        <f t="shared" ref="M3178" si="2352">K3178*0.1</f>
        <v>52800</v>
      </c>
      <c r="N3178" s="119"/>
      <c r="O3178" s="118">
        <v>0</v>
      </c>
      <c r="P3178" s="119"/>
      <c r="Q3178" s="118">
        <v>9790</v>
      </c>
      <c r="R3178" s="119"/>
      <c r="S3178" s="118">
        <v>22000</v>
      </c>
      <c r="T3178" s="119"/>
      <c r="U3178" s="118">
        <f t="shared" ref="U3178" si="2353">SUM(K3178:T3179)</f>
        <v>612590</v>
      </c>
      <c r="V3178" s="122"/>
      <c r="W3178" s="124"/>
      <c r="X3178" s="126" t="s">
        <v>10683</v>
      </c>
      <c r="Y3178" s="127"/>
      <c r="Z3178" s="127"/>
      <c r="AA3178" s="127"/>
      <c r="AB3178" s="128"/>
      <c r="AC3178" s="15" t="s">
        <v>20</v>
      </c>
      <c r="AD3178" s="129" t="s">
        <v>1670</v>
      </c>
      <c r="AE3178" s="130"/>
      <c r="AF3178" s="130"/>
      <c r="AG3178" s="130"/>
      <c r="AH3178" s="130"/>
      <c r="AI3178" s="131"/>
      <c r="AJ3178" s="132"/>
      <c r="AK3178" s="127"/>
      <c r="AL3178" s="128"/>
      <c r="AM3178" s="21"/>
      <c r="AN3178" s="133">
        <v>45979</v>
      </c>
      <c r="AO3178" s="134"/>
      <c r="AP3178" s="135">
        <v>1918</v>
      </c>
      <c r="AQ3178" s="136"/>
      <c r="AR3178" s="118">
        <v>577000</v>
      </c>
      <c r="AS3178" s="119"/>
      <c r="AT3178" s="118">
        <f t="shared" ref="AT3178" si="2354">AR3178*0.1</f>
        <v>57700</v>
      </c>
      <c r="AU3178" s="119"/>
      <c r="AV3178" s="118">
        <v>9790</v>
      </c>
      <c r="AW3178" s="119"/>
      <c r="AX3178" s="118">
        <f t="shared" ref="AX3178" si="2355">SUM(AR3178:AW3178)</f>
        <v>644490</v>
      </c>
      <c r="AY3178" s="119"/>
      <c r="AZ3178" s="137">
        <v>45986</v>
      </c>
    </row>
    <row r="3179" spans="1:52" ht="17.100000000000001" customHeight="1" thickBot="1">
      <c r="A3179" s="110"/>
      <c r="B3179" s="27" t="s">
        <v>4491</v>
      </c>
      <c r="C3179" s="27">
        <v>37</v>
      </c>
      <c r="D3179" s="14" t="s">
        <v>275</v>
      </c>
      <c r="E3179" s="112"/>
      <c r="F3179" s="139" t="s">
        <v>10090</v>
      </c>
      <c r="G3179" s="140"/>
      <c r="H3179" s="141"/>
      <c r="I3179" s="26">
        <v>59724</v>
      </c>
      <c r="J3179" s="117"/>
      <c r="K3179" s="120"/>
      <c r="L3179" s="121"/>
      <c r="M3179" s="120"/>
      <c r="N3179" s="121"/>
      <c r="O3179" s="120"/>
      <c r="P3179" s="121"/>
      <c r="Q3179" s="120"/>
      <c r="R3179" s="121"/>
      <c r="S3179" s="120"/>
      <c r="T3179" s="121"/>
      <c r="U3179" s="120"/>
      <c r="V3179" s="123"/>
      <c r="W3179" s="125"/>
      <c r="X3179" s="142" t="s">
        <v>2482</v>
      </c>
      <c r="Y3179" s="143"/>
      <c r="Z3179" s="143"/>
      <c r="AA3179" s="143"/>
      <c r="AB3179" s="144"/>
      <c r="AC3179" s="16" t="s">
        <v>21</v>
      </c>
      <c r="AD3179" s="17" t="s">
        <v>10596</v>
      </c>
      <c r="AE3179" s="145" t="s">
        <v>1670</v>
      </c>
      <c r="AF3179" s="146"/>
      <c r="AG3179" s="146"/>
      <c r="AH3179" s="146"/>
      <c r="AI3179" s="147"/>
      <c r="AJ3179" s="148"/>
      <c r="AK3179" s="143"/>
      <c r="AL3179" s="144"/>
      <c r="AM3179" s="22"/>
      <c r="AN3179" s="149" t="s">
        <v>2131</v>
      </c>
      <c r="AO3179" s="144"/>
      <c r="AP3179" s="148">
        <v>3057</v>
      </c>
      <c r="AQ3179" s="144"/>
      <c r="AR3179" s="120"/>
      <c r="AS3179" s="121"/>
      <c r="AT3179" s="120"/>
      <c r="AU3179" s="121"/>
      <c r="AV3179" s="120"/>
      <c r="AW3179" s="121"/>
      <c r="AX3179" s="120"/>
      <c r="AY3179" s="121"/>
      <c r="AZ3179" s="138"/>
    </row>
    <row r="3180" spans="1:52" ht="17.100000000000001" customHeight="1" thickTop="1">
      <c r="A3180" s="109" t="s">
        <v>10085</v>
      </c>
      <c r="B3180" s="28">
        <v>45965</v>
      </c>
      <c r="C3180" s="25">
        <v>782</v>
      </c>
      <c r="D3180" s="13" t="s">
        <v>1744</v>
      </c>
      <c r="E3180" s="111"/>
      <c r="F3180" s="113" t="s">
        <v>4145</v>
      </c>
      <c r="G3180" s="114"/>
      <c r="H3180" s="115"/>
      <c r="I3180" s="24"/>
      <c r="J3180" s="116">
        <v>4</v>
      </c>
      <c r="K3180" s="118">
        <v>698000</v>
      </c>
      <c r="L3180" s="119"/>
      <c r="M3180" s="118">
        <f t="shared" ref="M3180" si="2356">K3180*0.1</f>
        <v>69800</v>
      </c>
      <c r="N3180" s="119"/>
      <c r="O3180" s="118">
        <v>0</v>
      </c>
      <c r="P3180" s="119"/>
      <c r="Q3180" s="118">
        <v>8110</v>
      </c>
      <c r="R3180" s="119"/>
      <c r="S3180" s="118">
        <v>22000</v>
      </c>
      <c r="T3180" s="119"/>
      <c r="U3180" s="118">
        <f t="shared" ref="U3180" si="2357">SUM(K3180:T3181)</f>
        <v>797910</v>
      </c>
      <c r="V3180" s="122"/>
      <c r="W3180" s="124"/>
      <c r="X3180" s="126" t="s">
        <v>10682</v>
      </c>
      <c r="Y3180" s="127"/>
      <c r="Z3180" s="127"/>
      <c r="AA3180" s="127"/>
      <c r="AB3180" s="128"/>
      <c r="AC3180" s="15" t="s">
        <v>20</v>
      </c>
      <c r="AD3180" s="129" t="s">
        <v>1670</v>
      </c>
      <c r="AE3180" s="130"/>
      <c r="AF3180" s="130"/>
      <c r="AG3180" s="130"/>
      <c r="AH3180" s="130"/>
      <c r="AI3180" s="131"/>
      <c r="AJ3180" s="132"/>
      <c r="AK3180" s="127"/>
      <c r="AL3180" s="128"/>
      <c r="AM3180" s="21"/>
      <c r="AN3180" s="133">
        <v>45979</v>
      </c>
      <c r="AO3180" s="134"/>
      <c r="AP3180" s="135">
        <v>1918</v>
      </c>
      <c r="AQ3180" s="136"/>
      <c r="AR3180" s="118">
        <v>761000</v>
      </c>
      <c r="AS3180" s="119"/>
      <c r="AT3180" s="118">
        <f t="shared" ref="AT3180" si="2358">AR3180*0.1</f>
        <v>76100</v>
      </c>
      <c r="AU3180" s="119"/>
      <c r="AV3180" s="118">
        <v>8110</v>
      </c>
      <c r="AW3180" s="119"/>
      <c r="AX3180" s="118">
        <f t="shared" ref="AX3180" si="2359">SUM(AR3180:AW3180)</f>
        <v>845210</v>
      </c>
      <c r="AY3180" s="119"/>
      <c r="AZ3180" s="137">
        <v>45986</v>
      </c>
    </row>
    <row r="3181" spans="1:52" ht="17.100000000000001" customHeight="1" thickBot="1">
      <c r="A3181" s="110"/>
      <c r="B3181" s="27" t="s">
        <v>4491</v>
      </c>
      <c r="C3181" s="27">
        <v>90</v>
      </c>
      <c r="D3181" s="14" t="s">
        <v>275</v>
      </c>
      <c r="E3181" s="112"/>
      <c r="F3181" s="139" t="s">
        <v>10091</v>
      </c>
      <c r="G3181" s="140"/>
      <c r="H3181" s="141"/>
      <c r="I3181" s="26">
        <v>59017</v>
      </c>
      <c r="J3181" s="117"/>
      <c r="K3181" s="120"/>
      <c r="L3181" s="121"/>
      <c r="M3181" s="120"/>
      <c r="N3181" s="121"/>
      <c r="O3181" s="120"/>
      <c r="P3181" s="121"/>
      <c r="Q3181" s="120"/>
      <c r="R3181" s="121"/>
      <c r="S3181" s="120"/>
      <c r="T3181" s="121"/>
      <c r="U3181" s="120"/>
      <c r="V3181" s="123"/>
      <c r="W3181" s="125"/>
      <c r="X3181" s="142" t="s">
        <v>2482</v>
      </c>
      <c r="Y3181" s="143"/>
      <c r="Z3181" s="143"/>
      <c r="AA3181" s="143"/>
      <c r="AB3181" s="144"/>
      <c r="AC3181" s="16" t="s">
        <v>21</v>
      </c>
      <c r="AD3181" s="17" t="s">
        <v>10596</v>
      </c>
      <c r="AE3181" s="145" t="s">
        <v>9056</v>
      </c>
      <c r="AF3181" s="146"/>
      <c r="AG3181" s="146"/>
      <c r="AH3181" s="146"/>
      <c r="AI3181" s="147"/>
      <c r="AJ3181" s="148"/>
      <c r="AK3181" s="143"/>
      <c r="AL3181" s="144"/>
      <c r="AM3181" s="22"/>
      <c r="AN3181" s="149" t="s">
        <v>2131</v>
      </c>
      <c r="AO3181" s="144"/>
      <c r="AP3181" s="148">
        <v>3053</v>
      </c>
      <c r="AQ3181" s="144"/>
      <c r="AR3181" s="120"/>
      <c r="AS3181" s="121"/>
      <c r="AT3181" s="120"/>
      <c r="AU3181" s="121"/>
      <c r="AV3181" s="120"/>
      <c r="AW3181" s="121"/>
      <c r="AX3181" s="120"/>
      <c r="AY3181" s="121"/>
      <c r="AZ3181" s="138"/>
    </row>
    <row r="3182" spans="1:52" ht="17.100000000000001" customHeight="1" thickTop="1">
      <c r="A3182" s="109" t="s">
        <v>10086</v>
      </c>
      <c r="B3182" s="28">
        <v>45965</v>
      </c>
      <c r="C3182" s="25">
        <v>782</v>
      </c>
      <c r="D3182" s="13" t="s">
        <v>2187</v>
      </c>
      <c r="E3182" s="111"/>
      <c r="F3182" s="113" t="s">
        <v>10103</v>
      </c>
      <c r="G3182" s="114"/>
      <c r="H3182" s="115"/>
      <c r="I3182" s="24"/>
      <c r="J3182" s="116">
        <v>4.5</v>
      </c>
      <c r="K3182" s="118">
        <v>638000</v>
      </c>
      <c r="L3182" s="119"/>
      <c r="M3182" s="118">
        <f t="shared" ref="M3182" si="2360">K3182*0.1</f>
        <v>63800</v>
      </c>
      <c r="N3182" s="119"/>
      <c r="O3182" s="118">
        <v>0</v>
      </c>
      <c r="P3182" s="119"/>
      <c r="Q3182" s="118">
        <v>8430</v>
      </c>
      <c r="R3182" s="119"/>
      <c r="S3182" s="118">
        <v>22000</v>
      </c>
      <c r="T3182" s="119"/>
      <c r="U3182" s="118">
        <f t="shared" ref="U3182" si="2361">SUM(K3182:T3183)</f>
        <v>732230</v>
      </c>
      <c r="V3182" s="122"/>
      <c r="W3182" s="124"/>
      <c r="X3182" s="126" t="s">
        <v>10681</v>
      </c>
      <c r="Y3182" s="127"/>
      <c r="Z3182" s="127"/>
      <c r="AA3182" s="127"/>
      <c r="AB3182" s="128"/>
      <c r="AC3182" s="15" t="s">
        <v>20</v>
      </c>
      <c r="AD3182" s="129" t="s">
        <v>1670</v>
      </c>
      <c r="AE3182" s="130"/>
      <c r="AF3182" s="130"/>
      <c r="AG3182" s="130"/>
      <c r="AH3182" s="130"/>
      <c r="AI3182" s="131"/>
      <c r="AJ3182" s="132"/>
      <c r="AK3182" s="127"/>
      <c r="AL3182" s="128"/>
      <c r="AM3182" s="21"/>
      <c r="AN3182" s="133">
        <v>45972</v>
      </c>
      <c r="AO3182" s="134"/>
      <c r="AP3182" s="135">
        <v>1917</v>
      </c>
      <c r="AQ3182" s="136"/>
      <c r="AR3182" s="118">
        <v>685000</v>
      </c>
      <c r="AS3182" s="119"/>
      <c r="AT3182" s="118">
        <f t="shared" ref="AT3182" si="2362">AR3182*0.1</f>
        <v>68500</v>
      </c>
      <c r="AU3182" s="119"/>
      <c r="AV3182" s="118">
        <v>8430</v>
      </c>
      <c r="AW3182" s="119"/>
      <c r="AX3182" s="118">
        <f t="shared" ref="AX3182" si="2363">SUM(AR3182:AW3182)</f>
        <v>761930</v>
      </c>
      <c r="AY3182" s="119"/>
      <c r="AZ3182" s="137">
        <v>45979</v>
      </c>
    </row>
    <row r="3183" spans="1:52" ht="17.100000000000001" customHeight="1" thickBot="1">
      <c r="A3183" s="110"/>
      <c r="B3183" s="27" t="s">
        <v>4491</v>
      </c>
      <c r="C3183" s="27">
        <v>103</v>
      </c>
      <c r="D3183" s="14" t="s">
        <v>1720</v>
      </c>
      <c r="E3183" s="112"/>
      <c r="F3183" s="139" t="s">
        <v>10092</v>
      </c>
      <c r="G3183" s="140"/>
      <c r="H3183" s="141"/>
      <c r="I3183" s="26">
        <v>33194</v>
      </c>
      <c r="J3183" s="117"/>
      <c r="K3183" s="120"/>
      <c r="L3183" s="121"/>
      <c r="M3183" s="120"/>
      <c r="N3183" s="121"/>
      <c r="O3183" s="120"/>
      <c r="P3183" s="121"/>
      <c r="Q3183" s="120"/>
      <c r="R3183" s="121"/>
      <c r="S3183" s="120"/>
      <c r="T3183" s="121"/>
      <c r="U3183" s="120"/>
      <c r="V3183" s="123"/>
      <c r="W3183" s="125"/>
      <c r="X3183" s="142" t="s">
        <v>2482</v>
      </c>
      <c r="Y3183" s="143"/>
      <c r="Z3183" s="143"/>
      <c r="AA3183" s="143"/>
      <c r="AB3183" s="144"/>
      <c r="AC3183" s="16" t="s">
        <v>21</v>
      </c>
      <c r="AD3183" s="17" t="s">
        <v>10596</v>
      </c>
      <c r="AE3183" s="145" t="s">
        <v>10331</v>
      </c>
      <c r="AF3183" s="146"/>
      <c r="AG3183" s="146"/>
      <c r="AH3183" s="146"/>
      <c r="AI3183" s="147"/>
      <c r="AJ3183" s="148"/>
      <c r="AK3183" s="143"/>
      <c r="AL3183" s="144"/>
      <c r="AM3183" s="22"/>
      <c r="AN3183" s="149" t="s">
        <v>7644</v>
      </c>
      <c r="AO3183" s="144"/>
      <c r="AP3183" s="148">
        <v>3275</v>
      </c>
      <c r="AQ3183" s="144"/>
      <c r="AR3183" s="120"/>
      <c r="AS3183" s="121"/>
      <c r="AT3183" s="120"/>
      <c r="AU3183" s="121"/>
      <c r="AV3183" s="120"/>
      <c r="AW3183" s="121"/>
      <c r="AX3183" s="120"/>
      <c r="AY3183" s="121"/>
      <c r="AZ3183" s="138"/>
    </row>
    <row r="3184" spans="1:52" ht="17.100000000000001" customHeight="1" thickTop="1">
      <c r="A3184" s="109" t="s">
        <v>10097</v>
      </c>
      <c r="B3184" s="28">
        <v>45965</v>
      </c>
      <c r="C3184" s="25"/>
      <c r="D3184" s="13" t="s">
        <v>1986</v>
      </c>
      <c r="E3184" s="111"/>
      <c r="F3184" s="113" t="s">
        <v>10094</v>
      </c>
      <c r="G3184" s="114"/>
      <c r="H3184" s="115"/>
      <c r="I3184" s="24" t="s">
        <v>10096</v>
      </c>
      <c r="J3184" s="116">
        <v>4.5</v>
      </c>
      <c r="K3184" s="118">
        <f>3756500/1.1</f>
        <v>3414999.9999999995</v>
      </c>
      <c r="L3184" s="119"/>
      <c r="M3184" s="118">
        <f t="shared" ref="M3184" si="2364">K3184*0.1</f>
        <v>341500</v>
      </c>
      <c r="N3184" s="119"/>
      <c r="O3184" s="118">
        <v>2600</v>
      </c>
      <c r="P3184" s="119"/>
      <c r="Q3184" s="118">
        <v>11040</v>
      </c>
      <c r="R3184" s="119"/>
      <c r="S3184" s="118">
        <v>0</v>
      </c>
      <c r="T3184" s="119"/>
      <c r="U3184" s="118">
        <f t="shared" ref="U3184" si="2365">SUM(K3184:T3185)</f>
        <v>3770139.9999999995</v>
      </c>
      <c r="V3184" s="122"/>
      <c r="W3184" s="124"/>
      <c r="X3184" s="126" t="s">
        <v>11299</v>
      </c>
      <c r="Y3184" s="127"/>
      <c r="Z3184" s="127"/>
      <c r="AA3184" s="127"/>
      <c r="AB3184" s="128"/>
      <c r="AC3184" s="15" t="s">
        <v>20</v>
      </c>
      <c r="AD3184" s="129" t="s">
        <v>1945</v>
      </c>
      <c r="AE3184" s="130"/>
      <c r="AF3184" s="130"/>
      <c r="AG3184" s="130"/>
      <c r="AH3184" s="130"/>
      <c r="AI3184" s="131"/>
      <c r="AJ3184" s="132"/>
      <c r="AK3184" s="127"/>
      <c r="AL3184" s="128"/>
      <c r="AM3184" s="21"/>
      <c r="AN3184" s="133">
        <v>45976</v>
      </c>
      <c r="AO3184" s="134"/>
      <c r="AP3184" s="135">
        <v>1276</v>
      </c>
      <c r="AQ3184" s="136"/>
      <c r="AR3184" s="118">
        <v>3420000</v>
      </c>
      <c r="AS3184" s="119"/>
      <c r="AT3184" s="118">
        <f t="shared" ref="AT3184" si="2366">AR3184*0.1</f>
        <v>342000</v>
      </c>
      <c r="AU3184" s="119"/>
      <c r="AV3184" s="118">
        <v>11040</v>
      </c>
      <c r="AW3184" s="119"/>
      <c r="AX3184" s="118">
        <f t="shared" ref="AX3184" si="2367">SUM(AR3184:AW3184)</f>
        <v>3773040</v>
      </c>
      <c r="AY3184" s="119"/>
      <c r="AZ3184" s="137">
        <v>45982</v>
      </c>
    </row>
    <row r="3185" spans="1:52" ht="17.100000000000001" customHeight="1" thickBot="1">
      <c r="A3185" s="110"/>
      <c r="B3185" s="27" t="s">
        <v>1718</v>
      </c>
      <c r="C3185" s="27" t="s">
        <v>10093</v>
      </c>
      <c r="D3185" s="14" t="s">
        <v>275</v>
      </c>
      <c r="E3185" s="112"/>
      <c r="F3185" s="139" t="s">
        <v>10095</v>
      </c>
      <c r="G3185" s="140"/>
      <c r="H3185" s="141"/>
      <c r="I3185" s="26">
        <v>34200</v>
      </c>
      <c r="J3185" s="117"/>
      <c r="K3185" s="120"/>
      <c r="L3185" s="121"/>
      <c r="M3185" s="120"/>
      <c r="N3185" s="121"/>
      <c r="O3185" s="120"/>
      <c r="P3185" s="121"/>
      <c r="Q3185" s="120"/>
      <c r="R3185" s="121"/>
      <c r="S3185" s="120"/>
      <c r="T3185" s="121"/>
      <c r="U3185" s="120"/>
      <c r="V3185" s="123"/>
      <c r="W3185" s="125"/>
      <c r="X3185" s="142" t="s">
        <v>1656</v>
      </c>
      <c r="Y3185" s="143"/>
      <c r="Z3185" s="143"/>
      <c r="AA3185" s="143"/>
      <c r="AB3185" s="144"/>
      <c r="AC3185" s="16" t="s">
        <v>21</v>
      </c>
      <c r="AD3185" s="17" t="s">
        <v>3980</v>
      </c>
      <c r="AE3185" s="145" t="s">
        <v>11300</v>
      </c>
      <c r="AF3185" s="146"/>
      <c r="AG3185" s="146"/>
      <c r="AH3185" s="146"/>
      <c r="AI3185" s="147"/>
      <c r="AJ3185" s="148"/>
      <c r="AK3185" s="143"/>
      <c r="AL3185" s="144"/>
      <c r="AM3185" s="22"/>
      <c r="AN3185" s="149" t="s">
        <v>10999</v>
      </c>
      <c r="AO3185" s="144"/>
      <c r="AP3185" s="148">
        <v>38013</v>
      </c>
      <c r="AQ3185" s="144"/>
      <c r="AR3185" s="120"/>
      <c r="AS3185" s="121"/>
      <c r="AT3185" s="120"/>
      <c r="AU3185" s="121"/>
      <c r="AV3185" s="120"/>
      <c r="AW3185" s="121"/>
      <c r="AX3185" s="120"/>
      <c r="AY3185" s="121"/>
      <c r="AZ3185" s="138"/>
    </row>
    <row r="3186" spans="1:52" ht="17.100000000000001" customHeight="1" thickTop="1">
      <c r="A3186" s="109" t="s">
        <v>10098</v>
      </c>
      <c r="B3186" s="28">
        <v>45965</v>
      </c>
      <c r="C3186" s="25">
        <v>360</v>
      </c>
      <c r="D3186" s="13" t="s">
        <v>1586</v>
      </c>
      <c r="E3186" s="111"/>
      <c r="F3186" s="113" t="s">
        <v>10115</v>
      </c>
      <c r="G3186" s="114"/>
      <c r="H3186" s="115"/>
      <c r="I3186" s="24"/>
      <c r="J3186" s="116">
        <v>3.5</v>
      </c>
      <c r="K3186" s="118">
        <v>558000</v>
      </c>
      <c r="L3186" s="119"/>
      <c r="M3186" s="118">
        <f t="shared" ref="M3186" si="2368">K3186*0.1</f>
        <v>55800</v>
      </c>
      <c r="N3186" s="119"/>
      <c r="O3186" s="118">
        <v>0</v>
      </c>
      <c r="P3186" s="119"/>
      <c r="Q3186" s="118">
        <v>7860</v>
      </c>
      <c r="R3186" s="119"/>
      <c r="S3186" s="118">
        <v>22000</v>
      </c>
      <c r="T3186" s="119"/>
      <c r="U3186" s="118">
        <f t="shared" ref="U3186" si="2369">SUM(K3186:T3187)</f>
        <v>643660</v>
      </c>
      <c r="V3186" s="122"/>
      <c r="W3186" s="124"/>
      <c r="X3186" s="126" t="s">
        <v>10339</v>
      </c>
      <c r="Y3186" s="127"/>
      <c r="Z3186" s="127"/>
      <c r="AA3186" s="127"/>
      <c r="AB3186" s="128"/>
      <c r="AC3186" s="15" t="s">
        <v>20</v>
      </c>
      <c r="AD3186" s="129" t="s">
        <v>1670</v>
      </c>
      <c r="AE3186" s="130"/>
      <c r="AF3186" s="130"/>
      <c r="AG3186" s="130"/>
      <c r="AH3186" s="130"/>
      <c r="AI3186" s="131"/>
      <c r="AJ3186" s="132"/>
      <c r="AK3186" s="127"/>
      <c r="AL3186" s="128"/>
      <c r="AM3186" s="21"/>
      <c r="AN3186" s="133">
        <v>46046</v>
      </c>
      <c r="AO3186" s="134"/>
      <c r="AP3186" s="135">
        <v>1285</v>
      </c>
      <c r="AQ3186" s="136"/>
      <c r="AR3186" s="118">
        <v>620000</v>
      </c>
      <c r="AS3186" s="119"/>
      <c r="AT3186" s="118">
        <f t="shared" ref="AT3186" si="2370">AR3186*0.1</f>
        <v>62000</v>
      </c>
      <c r="AU3186" s="119"/>
      <c r="AV3186" s="118">
        <v>7860</v>
      </c>
      <c r="AW3186" s="119"/>
      <c r="AX3186" s="118">
        <f t="shared" ref="AX3186" si="2371">SUM(AR3186:AW3186)</f>
        <v>689860</v>
      </c>
      <c r="AY3186" s="119"/>
      <c r="AZ3186" s="137">
        <v>46049</v>
      </c>
    </row>
    <row r="3187" spans="1:52" ht="17.100000000000001" customHeight="1" thickBot="1">
      <c r="A3187" s="110"/>
      <c r="B3187" s="27" t="s">
        <v>8990</v>
      </c>
      <c r="C3187" s="27">
        <v>1169</v>
      </c>
      <c r="D3187" s="14" t="s">
        <v>1592</v>
      </c>
      <c r="E3187" s="112"/>
      <c r="F3187" s="139" t="s">
        <v>10108</v>
      </c>
      <c r="G3187" s="140"/>
      <c r="H3187" s="141"/>
      <c r="I3187" s="26">
        <v>56495</v>
      </c>
      <c r="J3187" s="117"/>
      <c r="K3187" s="120"/>
      <c r="L3187" s="121"/>
      <c r="M3187" s="120"/>
      <c r="N3187" s="121"/>
      <c r="O3187" s="120"/>
      <c r="P3187" s="121"/>
      <c r="Q3187" s="120"/>
      <c r="R3187" s="121"/>
      <c r="S3187" s="120"/>
      <c r="T3187" s="121"/>
      <c r="U3187" s="120"/>
      <c r="V3187" s="123"/>
      <c r="W3187" s="125"/>
      <c r="X3187" s="142" t="s">
        <v>10337</v>
      </c>
      <c r="Y3187" s="143"/>
      <c r="Z3187" s="143"/>
      <c r="AA3187" s="143"/>
      <c r="AB3187" s="144"/>
      <c r="AC3187" s="16" t="s">
        <v>21</v>
      </c>
      <c r="AD3187" s="17" t="s">
        <v>3379</v>
      </c>
      <c r="AE3187" s="145" t="s">
        <v>10328</v>
      </c>
      <c r="AF3187" s="146"/>
      <c r="AG3187" s="146"/>
      <c r="AH3187" s="146"/>
      <c r="AI3187" s="147"/>
      <c r="AJ3187" s="148"/>
      <c r="AK3187" s="143"/>
      <c r="AL3187" s="144"/>
      <c r="AM3187" s="22"/>
      <c r="AN3187" s="149" t="s">
        <v>2511</v>
      </c>
      <c r="AO3187" s="144"/>
      <c r="AP3187" s="148">
        <v>60345</v>
      </c>
      <c r="AQ3187" s="144"/>
      <c r="AR3187" s="120"/>
      <c r="AS3187" s="121"/>
      <c r="AT3187" s="120"/>
      <c r="AU3187" s="121"/>
      <c r="AV3187" s="120"/>
      <c r="AW3187" s="121"/>
      <c r="AX3187" s="120"/>
      <c r="AY3187" s="121"/>
      <c r="AZ3187" s="138"/>
    </row>
    <row r="3188" spans="1:52" ht="17.100000000000001" customHeight="1" thickTop="1">
      <c r="A3188" s="109" t="s">
        <v>10099</v>
      </c>
      <c r="B3188" s="28">
        <v>45965</v>
      </c>
      <c r="C3188" s="25">
        <v>360</v>
      </c>
      <c r="D3188" s="13" t="s">
        <v>3014</v>
      </c>
      <c r="E3188" s="111"/>
      <c r="F3188" s="113" t="s">
        <v>10115</v>
      </c>
      <c r="G3188" s="114"/>
      <c r="H3188" s="115"/>
      <c r="I3188" s="24"/>
      <c r="J3188" s="116">
        <v>3.5</v>
      </c>
      <c r="K3188" s="118">
        <v>748000</v>
      </c>
      <c r="L3188" s="119"/>
      <c r="M3188" s="118">
        <f t="shared" ref="M3188" si="2372">K3188*0.1</f>
        <v>74800</v>
      </c>
      <c r="N3188" s="119"/>
      <c r="O3188" s="118">
        <v>0</v>
      </c>
      <c r="P3188" s="119"/>
      <c r="Q3188" s="118">
        <v>7860</v>
      </c>
      <c r="R3188" s="119"/>
      <c r="S3188" s="118">
        <v>22000</v>
      </c>
      <c r="T3188" s="119"/>
      <c r="U3188" s="118">
        <f t="shared" ref="U3188" si="2373">SUM(K3188:T3189)</f>
        <v>852660</v>
      </c>
      <c r="V3188" s="122"/>
      <c r="W3188" s="124"/>
      <c r="X3188" s="126" t="s">
        <v>10338</v>
      </c>
      <c r="Y3188" s="127"/>
      <c r="Z3188" s="127"/>
      <c r="AA3188" s="127"/>
      <c r="AB3188" s="128"/>
      <c r="AC3188" s="15" t="s">
        <v>20</v>
      </c>
      <c r="AD3188" s="129" t="s">
        <v>10117</v>
      </c>
      <c r="AE3188" s="130"/>
      <c r="AF3188" s="130"/>
      <c r="AG3188" s="130"/>
      <c r="AH3188" s="130"/>
      <c r="AI3188" s="131"/>
      <c r="AJ3188" s="132"/>
      <c r="AK3188" s="127"/>
      <c r="AL3188" s="128"/>
      <c r="AM3188" s="21"/>
      <c r="AN3188" s="133">
        <v>45993</v>
      </c>
      <c r="AO3188" s="134"/>
      <c r="AP3188" s="135">
        <v>1920</v>
      </c>
      <c r="AQ3188" s="136"/>
      <c r="AR3188" s="118">
        <v>822000</v>
      </c>
      <c r="AS3188" s="119"/>
      <c r="AT3188" s="118">
        <f t="shared" ref="AT3188" si="2374">AR3188*0.1</f>
        <v>82200</v>
      </c>
      <c r="AU3188" s="119"/>
      <c r="AV3188" s="118">
        <v>7860</v>
      </c>
      <c r="AW3188" s="119"/>
      <c r="AX3188" s="118">
        <f t="shared" ref="AX3188" si="2375">SUM(AR3188:AW3188)</f>
        <v>912060</v>
      </c>
      <c r="AY3188" s="119"/>
      <c r="AZ3188" s="137"/>
    </row>
    <row r="3189" spans="1:52" ht="17.100000000000001" customHeight="1" thickBot="1">
      <c r="A3189" s="110"/>
      <c r="B3189" s="27" t="s">
        <v>8990</v>
      </c>
      <c r="C3189" s="27">
        <v>1172</v>
      </c>
      <c r="D3189" s="14" t="s">
        <v>1720</v>
      </c>
      <c r="E3189" s="112"/>
      <c r="F3189" s="139" t="s">
        <v>10109</v>
      </c>
      <c r="G3189" s="140"/>
      <c r="H3189" s="141"/>
      <c r="I3189" s="26">
        <v>32839</v>
      </c>
      <c r="J3189" s="117"/>
      <c r="K3189" s="120"/>
      <c r="L3189" s="121"/>
      <c r="M3189" s="120"/>
      <c r="N3189" s="121"/>
      <c r="O3189" s="120"/>
      <c r="P3189" s="121"/>
      <c r="Q3189" s="120"/>
      <c r="R3189" s="121"/>
      <c r="S3189" s="120"/>
      <c r="T3189" s="121"/>
      <c r="U3189" s="120"/>
      <c r="V3189" s="123"/>
      <c r="W3189" s="125"/>
      <c r="X3189" s="142" t="s">
        <v>10337</v>
      </c>
      <c r="Y3189" s="143"/>
      <c r="Z3189" s="143"/>
      <c r="AA3189" s="143"/>
      <c r="AB3189" s="144"/>
      <c r="AC3189" s="16" t="s">
        <v>21</v>
      </c>
      <c r="AD3189" s="17" t="s">
        <v>3379</v>
      </c>
      <c r="AE3189" s="145" t="s">
        <v>10327</v>
      </c>
      <c r="AF3189" s="146"/>
      <c r="AG3189" s="146"/>
      <c r="AH3189" s="146"/>
      <c r="AI3189" s="147"/>
      <c r="AJ3189" s="148"/>
      <c r="AK3189" s="143"/>
      <c r="AL3189" s="144"/>
      <c r="AM3189" s="22"/>
      <c r="AN3189" s="149" t="s">
        <v>2131</v>
      </c>
      <c r="AO3189" s="144"/>
      <c r="AP3189" s="148">
        <v>3127</v>
      </c>
      <c r="AQ3189" s="144"/>
      <c r="AR3189" s="120"/>
      <c r="AS3189" s="121"/>
      <c r="AT3189" s="120"/>
      <c r="AU3189" s="121"/>
      <c r="AV3189" s="120"/>
      <c r="AW3189" s="121"/>
      <c r="AX3189" s="120"/>
      <c r="AY3189" s="121"/>
      <c r="AZ3189" s="138"/>
    </row>
    <row r="3190" spans="1:52" ht="17.100000000000001" customHeight="1" thickTop="1">
      <c r="A3190" s="109" t="s">
        <v>10100</v>
      </c>
      <c r="B3190" s="28">
        <v>45965</v>
      </c>
      <c r="C3190" s="25">
        <v>360</v>
      </c>
      <c r="D3190" s="13" t="s">
        <v>2759</v>
      </c>
      <c r="E3190" s="111"/>
      <c r="F3190" s="113" t="s">
        <v>6827</v>
      </c>
      <c r="G3190" s="114"/>
      <c r="H3190" s="115"/>
      <c r="I3190" s="24"/>
      <c r="J3190" s="116">
        <v>4</v>
      </c>
      <c r="K3190" s="118">
        <v>909000</v>
      </c>
      <c r="L3190" s="119"/>
      <c r="M3190" s="118">
        <f t="shared" ref="M3190" si="2376">K3190*0.1</f>
        <v>90900</v>
      </c>
      <c r="N3190" s="119"/>
      <c r="O3190" s="118">
        <v>0</v>
      </c>
      <c r="P3190" s="119"/>
      <c r="Q3190" s="118">
        <v>7860</v>
      </c>
      <c r="R3190" s="119"/>
      <c r="S3190" s="118">
        <v>22000</v>
      </c>
      <c r="T3190" s="119"/>
      <c r="U3190" s="118">
        <f t="shared" ref="U3190" si="2377">SUM(K3190:T3191)</f>
        <v>1029760</v>
      </c>
      <c r="V3190" s="122"/>
      <c r="W3190" s="124"/>
      <c r="X3190" s="126" t="s">
        <v>10336</v>
      </c>
      <c r="Y3190" s="127"/>
      <c r="Z3190" s="127"/>
      <c r="AA3190" s="127"/>
      <c r="AB3190" s="128"/>
      <c r="AC3190" s="15" t="s">
        <v>20</v>
      </c>
      <c r="AD3190" s="129" t="s">
        <v>10117</v>
      </c>
      <c r="AE3190" s="130"/>
      <c r="AF3190" s="130"/>
      <c r="AG3190" s="130"/>
      <c r="AH3190" s="130"/>
      <c r="AI3190" s="131"/>
      <c r="AJ3190" s="132"/>
      <c r="AK3190" s="127"/>
      <c r="AL3190" s="128"/>
      <c r="AM3190" s="21"/>
      <c r="AN3190" s="133">
        <v>45997</v>
      </c>
      <c r="AO3190" s="134"/>
      <c r="AP3190" s="135">
        <v>1279</v>
      </c>
      <c r="AQ3190" s="136"/>
      <c r="AR3190" s="118">
        <v>935000</v>
      </c>
      <c r="AS3190" s="119"/>
      <c r="AT3190" s="118">
        <f t="shared" ref="AT3190" si="2378">AR3190*0.1</f>
        <v>93500</v>
      </c>
      <c r="AU3190" s="119"/>
      <c r="AV3190" s="118">
        <v>7860</v>
      </c>
      <c r="AW3190" s="119"/>
      <c r="AX3190" s="118">
        <f t="shared" ref="AX3190" si="2379">SUM(AR3190:AW3190)</f>
        <v>1036360</v>
      </c>
      <c r="AY3190" s="119"/>
      <c r="AZ3190" s="137">
        <v>46000</v>
      </c>
    </row>
    <row r="3191" spans="1:52" ht="17.100000000000001" customHeight="1" thickBot="1">
      <c r="A3191" s="110"/>
      <c r="B3191" s="27" t="s">
        <v>8990</v>
      </c>
      <c r="C3191" s="27">
        <v>1174</v>
      </c>
      <c r="D3191" s="14" t="s">
        <v>275</v>
      </c>
      <c r="E3191" s="112"/>
      <c r="F3191" s="139" t="s">
        <v>10110</v>
      </c>
      <c r="G3191" s="140"/>
      <c r="H3191" s="141"/>
      <c r="I3191" s="26">
        <v>22996</v>
      </c>
      <c r="J3191" s="117"/>
      <c r="K3191" s="120"/>
      <c r="L3191" s="121"/>
      <c r="M3191" s="120"/>
      <c r="N3191" s="121"/>
      <c r="O3191" s="120"/>
      <c r="P3191" s="121"/>
      <c r="Q3191" s="120"/>
      <c r="R3191" s="121"/>
      <c r="S3191" s="120"/>
      <c r="T3191" s="121"/>
      <c r="U3191" s="120"/>
      <c r="V3191" s="123"/>
      <c r="W3191" s="125"/>
      <c r="X3191" s="142" t="s">
        <v>10337</v>
      </c>
      <c r="Y3191" s="143"/>
      <c r="Z3191" s="143"/>
      <c r="AA3191" s="143"/>
      <c r="AB3191" s="144"/>
      <c r="AC3191" s="16" t="s">
        <v>21</v>
      </c>
      <c r="AD3191" s="17" t="s">
        <v>3379</v>
      </c>
      <c r="AE3191" s="145" t="s">
        <v>10327</v>
      </c>
      <c r="AF3191" s="146"/>
      <c r="AG3191" s="146"/>
      <c r="AH3191" s="146"/>
      <c r="AI3191" s="147"/>
      <c r="AJ3191" s="148"/>
      <c r="AK3191" s="143"/>
      <c r="AL3191" s="144"/>
      <c r="AM3191" s="22"/>
      <c r="AN3191" s="149" t="s">
        <v>2511</v>
      </c>
      <c r="AO3191" s="144"/>
      <c r="AP3191" s="148">
        <v>60033</v>
      </c>
      <c r="AQ3191" s="144"/>
      <c r="AR3191" s="120"/>
      <c r="AS3191" s="121"/>
      <c r="AT3191" s="120"/>
      <c r="AU3191" s="121"/>
      <c r="AV3191" s="120"/>
      <c r="AW3191" s="121"/>
      <c r="AX3191" s="120"/>
      <c r="AY3191" s="121"/>
      <c r="AZ3191" s="138"/>
    </row>
    <row r="3192" spans="1:52" ht="17.100000000000001" customHeight="1" thickTop="1">
      <c r="A3192" s="109" t="s">
        <v>10101</v>
      </c>
      <c r="B3192" s="28">
        <v>45965</v>
      </c>
      <c r="C3192" s="25">
        <v>360</v>
      </c>
      <c r="D3192" s="13" t="s">
        <v>2187</v>
      </c>
      <c r="E3192" s="111"/>
      <c r="F3192" s="113" t="s">
        <v>6827</v>
      </c>
      <c r="G3192" s="114"/>
      <c r="H3192" s="115"/>
      <c r="I3192" s="24"/>
      <c r="J3192" s="116">
        <v>4</v>
      </c>
      <c r="K3192" s="118">
        <v>718000</v>
      </c>
      <c r="L3192" s="119"/>
      <c r="M3192" s="118">
        <f t="shared" ref="M3192" si="2380">K3192*0.1</f>
        <v>71800</v>
      </c>
      <c r="N3192" s="119"/>
      <c r="O3192" s="118">
        <v>0</v>
      </c>
      <c r="P3192" s="119"/>
      <c r="Q3192" s="118">
        <v>7860</v>
      </c>
      <c r="R3192" s="119"/>
      <c r="S3192" s="118">
        <v>22000</v>
      </c>
      <c r="T3192" s="119"/>
      <c r="U3192" s="118">
        <f t="shared" ref="U3192" si="2381">SUM(K3192:T3193)</f>
        <v>819660</v>
      </c>
      <c r="V3192" s="122"/>
      <c r="W3192" s="124"/>
      <c r="X3192" s="126" t="s">
        <v>10335</v>
      </c>
      <c r="Y3192" s="127"/>
      <c r="Z3192" s="127"/>
      <c r="AA3192" s="127"/>
      <c r="AB3192" s="128"/>
      <c r="AC3192" s="15" t="s">
        <v>20</v>
      </c>
      <c r="AD3192" s="129" t="s">
        <v>1670</v>
      </c>
      <c r="AE3192" s="130"/>
      <c r="AF3192" s="130"/>
      <c r="AG3192" s="130"/>
      <c r="AH3192" s="130"/>
      <c r="AI3192" s="131"/>
      <c r="AJ3192" s="132"/>
      <c r="AK3192" s="127"/>
      <c r="AL3192" s="128"/>
      <c r="AM3192" s="21"/>
      <c r="AN3192" s="133">
        <v>45986</v>
      </c>
      <c r="AO3192" s="134"/>
      <c r="AP3192" s="135">
        <v>1919</v>
      </c>
      <c r="AQ3192" s="136"/>
      <c r="AR3192" s="118">
        <v>752000</v>
      </c>
      <c r="AS3192" s="119"/>
      <c r="AT3192" s="118">
        <f t="shared" ref="AT3192" si="2382">AR3192*0.1</f>
        <v>75200</v>
      </c>
      <c r="AU3192" s="119"/>
      <c r="AV3192" s="118">
        <v>7860</v>
      </c>
      <c r="AW3192" s="119"/>
      <c r="AX3192" s="118">
        <f t="shared" ref="AX3192" si="2383">SUM(AR3192:AW3192)</f>
        <v>835060</v>
      </c>
      <c r="AY3192" s="119"/>
      <c r="AZ3192" s="137"/>
    </row>
    <row r="3193" spans="1:52" ht="17.100000000000001" customHeight="1" thickBot="1">
      <c r="A3193" s="110"/>
      <c r="B3193" s="27" t="s">
        <v>8990</v>
      </c>
      <c r="C3193" s="27">
        <v>1175</v>
      </c>
      <c r="D3193" s="14" t="s">
        <v>1592</v>
      </c>
      <c r="E3193" s="112"/>
      <c r="F3193" s="139" t="s">
        <v>10111</v>
      </c>
      <c r="G3193" s="140"/>
      <c r="H3193" s="141"/>
      <c r="I3193" s="26">
        <v>59107</v>
      </c>
      <c r="J3193" s="117"/>
      <c r="K3193" s="120"/>
      <c r="L3193" s="121"/>
      <c r="M3193" s="120"/>
      <c r="N3193" s="121"/>
      <c r="O3193" s="120"/>
      <c r="P3193" s="121"/>
      <c r="Q3193" s="120"/>
      <c r="R3193" s="121"/>
      <c r="S3193" s="120"/>
      <c r="T3193" s="121"/>
      <c r="U3193" s="120"/>
      <c r="V3193" s="123"/>
      <c r="W3193" s="125"/>
      <c r="X3193" s="142" t="s">
        <v>9352</v>
      </c>
      <c r="Y3193" s="143"/>
      <c r="Z3193" s="143"/>
      <c r="AA3193" s="143"/>
      <c r="AB3193" s="144"/>
      <c r="AC3193" s="16" t="s">
        <v>21</v>
      </c>
      <c r="AD3193" s="17" t="s">
        <v>3379</v>
      </c>
      <c r="AE3193" s="145" t="s">
        <v>3624</v>
      </c>
      <c r="AF3193" s="146"/>
      <c r="AG3193" s="146"/>
      <c r="AH3193" s="146"/>
      <c r="AI3193" s="147"/>
      <c r="AJ3193" s="148"/>
      <c r="AK3193" s="143"/>
      <c r="AL3193" s="144"/>
      <c r="AM3193" s="22"/>
      <c r="AN3193" s="149" t="s">
        <v>11650</v>
      </c>
      <c r="AO3193" s="144"/>
      <c r="AP3193" s="148">
        <v>3141</v>
      </c>
      <c r="AQ3193" s="144"/>
      <c r="AR3193" s="120"/>
      <c r="AS3193" s="121"/>
      <c r="AT3193" s="120"/>
      <c r="AU3193" s="121"/>
      <c r="AV3193" s="120"/>
      <c r="AW3193" s="121"/>
      <c r="AX3193" s="120"/>
      <c r="AY3193" s="121"/>
      <c r="AZ3193" s="138"/>
    </row>
    <row r="3194" spans="1:52" ht="17.100000000000001" customHeight="1" thickTop="1">
      <c r="A3194" s="109" t="s">
        <v>10104</v>
      </c>
      <c r="B3194" s="28">
        <v>45965</v>
      </c>
      <c r="C3194" s="25">
        <v>360</v>
      </c>
      <c r="D3194" s="13" t="s">
        <v>3801</v>
      </c>
      <c r="E3194" s="111"/>
      <c r="F3194" s="113" t="s">
        <v>6827</v>
      </c>
      <c r="G3194" s="114"/>
      <c r="H3194" s="115"/>
      <c r="I3194" s="24"/>
      <c r="J3194" s="116">
        <v>4.5</v>
      </c>
      <c r="K3194" s="118">
        <v>918000</v>
      </c>
      <c r="L3194" s="119"/>
      <c r="M3194" s="118">
        <f t="shared" ref="M3194" si="2384">K3194*0.1</f>
        <v>91800</v>
      </c>
      <c r="N3194" s="119"/>
      <c r="O3194" s="118">
        <v>0</v>
      </c>
      <c r="P3194" s="119"/>
      <c r="Q3194" s="118">
        <v>7860</v>
      </c>
      <c r="R3194" s="119"/>
      <c r="S3194" s="118">
        <v>22000</v>
      </c>
      <c r="T3194" s="119"/>
      <c r="U3194" s="118">
        <f t="shared" ref="U3194" si="2385">SUM(K3194:T3195)</f>
        <v>1039660</v>
      </c>
      <c r="V3194" s="122"/>
      <c r="W3194" s="124"/>
      <c r="X3194" s="126" t="s">
        <v>10334</v>
      </c>
      <c r="Y3194" s="127"/>
      <c r="Z3194" s="127"/>
      <c r="AA3194" s="127"/>
      <c r="AB3194" s="128"/>
      <c r="AC3194" s="15" t="s">
        <v>20</v>
      </c>
      <c r="AD3194" s="129" t="s">
        <v>10116</v>
      </c>
      <c r="AE3194" s="130"/>
      <c r="AF3194" s="130"/>
      <c r="AG3194" s="130"/>
      <c r="AH3194" s="130"/>
      <c r="AI3194" s="131"/>
      <c r="AJ3194" s="132"/>
      <c r="AK3194" s="127"/>
      <c r="AL3194" s="128"/>
      <c r="AM3194" s="21"/>
      <c r="AN3194" s="133">
        <v>45972</v>
      </c>
      <c r="AO3194" s="134"/>
      <c r="AP3194" s="135">
        <v>1917</v>
      </c>
      <c r="AQ3194" s="136"/>
      <c r="AR3194" s="118">
        <v>976000</v>
      </c>
      <c r="AS3194" s="119"/>
      <c r="AT3194" s="118">
        <f t="shared" ref="AT3194" si="2386">AR3194*0.1</f>
        <v>97600</v>
      </c>
      <c r="AU3194" s="119"/>
      <c r="AV3194" s="118">
        <v>7860</v>
      </c>
      <c r="AW3194" s="119"/>
      <c r="AX3194" s="118">
        <f t="shared" ref="AX3194" si="2387">SUM(AR3194:AW3194)</f>
        <v>1081460</v>
      </c>
      <c r="AY3194" s="119"/>
      <c r="AZ3194" s="137"/>
    </row>
    <row r="3195" spans="1:52" ht="17.100000000000001" customHeight="1" thickBot="1">
      <c r="A3195" s="110"/>
      <c r="B3195" s="27" t="s">
        <v>8990</v>
      </c>
      <c r="C3195" s="27">
        <v>1176</v>
      </c>
      <c r="D3195" s="14" t="s">
        <v>275</v>
      </c>
      <c r="E3195" s="112"/>
      <c r="F3195" s="139" t="s">
        <v>10112</v>
      </c>
      <c r="G3195" s="140"/>
      <c r="H3195" s="141"/>
      <c r="I3195" s="26">
        <v>49168</v>
      </c>
      <c r="J3195" s="117"/>
      <c r="K3195" s="120"/>
      <c r="L3195" s="121"/>
      <c r="M3195" s="120"/>
      <c r="N3195" s="121"/>
      <c r="O3195" s="120"/>
      <c r="P3195" s="121"/>
      <c r="Q3195" s="120"/>
      <c r="R3195" s="121"/>
      <c r="S3195" s="120"/>
      <c r="T3195" s="121"/>
      <c r="U3195" s="120"/>
      <c r="V3195" s="123"/>
      <c r="W3195" s="125"/>
      <c r="X3195" s="142" t="s">
        <v>9352</v>
      </c>
      <c r="Y3195" s="143"/>
      <c r="Z3195" s="143"/>
      <c r="AA3195" s="143"/>
      <c r="AB3195" s="144"/>
      <c r="AC3195" s="16" t="s">
        <v>21</v>
      </c>
      <c r="AD3195" s="17" t="s">
        <v>3379</v>
      </c>
      <c r="AE3195" s="145" t="s">
        <v>10555</v>
      </c>
      <c r="AF3195" s="146"/>
      <c r="AG3195" s="146"/>
      <c r="AH3195" s="146"/>
      <c r="AI3195" s="147"/>
      <c r="AJ3195" s="148"/>
      <c r="AK3195" s="143"/>
      <c r="AL3195" s="144"/>
      <c r="AM3195" s="22"/>
      <c r="AN3195" s="149" t="s">
        <v>2131</v>
      </c>
      <c r="AO3195" s="144"/>
      <c r="AP3195" s="148">
        <v>3191</v>
      </c>
      <c r="AQ3195" s="144"/>
      <c r="AR3195" s="120"/>
      <c r="AS3195" s="121"/>
      <c r="AT3195" s="120"/>
      <c r="AU3195" s="121"/>
      <c r="AV3195" s="120"/>
      <c r="AW3195" s="121"/>
      <c r="AX3195" s="120"/>
      <c r="AY3195" s="121"/>
      <c r="AZ3195" s="138"/>
    </row>
    <row r="3196" spans="1:52" ht="17.100000000000001" customHeight="1" thickTop="1">
      <c r="A3196" s="109" t="s">
        <v>10105</v>
      </c>
      <c r="B3196" s="28">
        <v>45966</v>
      </c>
      <c r="C3196" s="25">
        <v>2329</v>
      </c>
      <c r="D3196" s="13" t="s">
        <v>2084</v>
      </c>
      <c r="E3196" s="111"/>
      <c r="F3196" s="113" t="s">
        <v>10113</v>
      </c>
      <c r="G3196" s="114"/>
      <c r="H3196" s="115"/>
      <c r="I3196" s="24"/>
      <c r="J3196" s="116">
        <v>4.5</v>
      </c>
      <c r="K3196" s="118">
        <v>760000</v>
      </c>
      <c r="L3196" s="119"/>
      <c r="M3196" s="118">
        <f t="shared" ref="M3196" si="2388">K3196*0.1</f>
        <v>76000</v>
      </c>
      <c r="N3196" s="119"/>
      <c r="O3196" s="118">
        <v>0</v>
      </c>
      <c r="P3196" s="119"/>
      <c r="Q3196" s="118">
        <v>8010</v>
      </c>
      <c r="R3196" s="119"/>
      <c r="S3196" s="118">
        <v>16500</v>
      </c>
      <c r="T3196" s="119"/>
      <c r="U3196" s="118">
        <f t="shared" ref="U3196" si="2389">SUM(K3196:T3197)</f>
        <v>860510</v>
      </c>
      <c r="V3196" s="122"/>
      <c r="W3196" s="124"/>
      <c r="X3196" s="126" t="s">
        <v>10247</v>
      </c>
      <c r="Y3196" s="127"/>
      <c r="Z3196" s="127"/>
      <c r="AA3196" s="127"/>
      <c r="AB3196" s="128"/>
      <c r="AC3196" s="15" t="s">
        <v>20</v>
      </c>
      <c r="AD3196" s="129" t="s">
        <v>171</v>
      </c>
      <c r="AE3196" s="130"/>
      <c r="AF3196" s="130"/>
      <c r="AG3196" s="130"/>
      <c r="AH3196" s="130"/>
      <c r="AI3196" s="131"/>
      <c r="AJ3196" s="132"/>
      <c r="AK3196" s="127"/>
      <c r="AL3196" s="128"/>
      <c r="AM3196" s="21"/>
      <c r="AN3196" s="133">
        <v>45969</v>
      </c>
      <c r="AO3196" s="134"/>
      <c r="AP3196" s="135">
        <v>1275</v>
      </c>
      <c r="AQ3196" s="136"/>
      <c r="AR3196" s="118">
        <v>850000</v>
      </c>
      <c r="AS3196" s="119"/>
      <c r="AT3196" s="118">
        <f t="shared" ref="AT3196" si="2390">AR3196*0.1</f>
        <v>85000</v>
      </c>
      <c r="AU3196" s="119"/>
      <c r="AV3196" s="118">
        <v>8010</v>
      </c>
      <c r="AW3196" s="119"/>
      <c r="AX3196" s="118">
        <f t="shared" ref="AX3196" si="2391">SUM(AR3196:AW3196)</f>
        <v>943010</v>
      </c>
      <c r="AY3196" s="119"/>
      <c r="AZ3196" s="137">
        <v>45972</v>
      </c>
    </row>
    <row r="3197" spans="1:52" ht="17.100000000000001" customHeight="1" thickBot="1">
      <c r="A3197" s="110"/>
      <c r="B3197" s="27" t="s">
        <v>3422</v>
      </c>
      <c r="C3197" s="27">
        <v>20160</v>
      </c>
      <c r="D3197" s="14" t="s">
        <v>1720</v>
      </c>
      <c r="E3197" s="112"/>
      <c r="F3197" s="139" t="s">
        <v>10114</v>
      </c>
      <c r="G3197" s="140"/>
      <c r="H3197" s="141"/>
      <c r="I3197" s="26">
        <v>43805</v>
      </c>
      <c r="J3197" s="117"/>
      <c r="K3197" s="120"/>
      <c r="L3197" s="121"/>
      <c r="M3197" s="120"/>
      <c r="N3197" s="121"/>
      <c r="O3197" s="120"/>
      <c r="P3197" s="121"/>
      <c r="Q3197" s="120"/>
      <c r="R3197" s="121"/>
      <c r="S3197" s="120"/>
      <c r="T3197" s="121"/>
      <c r="U3197" s="120"/>
      <c r="V3197" s="123"/>
      <c r="W3197" s="125"/>
      <c r="X3197" s="142" t="s">
        <v>10248</v>
      </c>
      <c r="Y3197" s="143"/>
      <c r="Z3197" s="143"/>
      <c r="AA3197" s="143"/>
      <c r="AB3197" s="144"/>
      <c r="AC3197" s="16" t="s">
        <v>21</v>
      </c>
      <c r="AD3197" s="17" t="s">
        <v>3397</v>
      </c>
      <c r="AE3197" s="145" t="s">
        <v>171</v>
      </c>
      <c r="AF3197" s="146"/>
      <c r="AG3197" s="146"/>
      <c r="AH3197" s="146"/>
      <c r="AI3197" s="147"/>
      <c r="AJ3197" s="148"/>
      <c r="AK3197" s="143"/>
      <c r="AL3197" s="144"/>
      <c r="AM3197" s="22"/>
      <c r="AN3197" s="149" t="s">
        <v>2511</v>
      </c>
      <c r="AO3197" s="144"/>
      <c r="AP3197" s="148">
        <v>60491</v>
      </c>
      <c r="AQ3197" s="144"/>
      <c r="AR3197" s="120"/>
      <c r="AS3197" s="121"/>
      <c r="AT3197" s="120"/>
      <c r="AU3197" s="121"/>
      <c r="AV3197" s="120"/>
      <c r="AW3197" s="121"/>
      <c r="AX3197" s="120"/>
      <c r="AY3197" s="121"/>
      <c r="AZ3197" s="138"/>
    </row>
    <row r="3198" spans="1:52" ht="17.100000000000001" customHeight="1" thickTop="1">
      <c r="A3198" s="109" t="s">
        <v>10106</v>
      </c>
      <c r="B3198" s="28">
        <v>45966</v>
      </c>
      <c r="C3198" s="25">
        <v>1812</v>
      </c>
      <c r="D3198" s="13" t="s">
        <v>4609</v>
      </c>
      <c r="E3198" s="111"/>
      <c r="F3198" s="113" t="s">
        <v>10118</v>
      </c>
      <c r="G3198" s="114"/>
      <c r="H3198" s="115"/>
      <c r="I3198" s="24" t="s">
        <v>3399</v>
      </c>
      <c r="J3198" s="116">
        <v>4.5</v>
      </c>
      <c r="K3198" s="118">
        <v>1190000</v>
      </c>
      <c r="L3198" s="119"/>
      <c r="M3198" s="118">
        <f t="shared" ref="M3198" si="2392">K3198*0.1</f>
        <v>119000</v>
      </c>
      <c r="N3198" s="119"/>
      <c r="O3198" s="118">
        <f>15000+1500</f>
        <v>16500</v>
      </c>
      <c r="P3198" s="119"/>
      <c r="Q3198" s="118">
        <v>16260</v>
      </c>
      <c r="R3198" s="119"/>
      <c r="S3198" s="118">
        <v>18150</v>
      </c>
      <c r="T3198" s="119"/>
      <c r="U3198" s="118">
        <f t="shared" ref="U3198" si="2393">SUM(K3198:T3199)</f>
        <v>1359910</v>
      </c>
      <c r="V3198" s="122"/>
      <c r="W3198" s="124"/>
      <c r="X3198" s="126" t="s">
        <v>10120</v>
      </c>
      <c r="Y3198" s="127"/>
      <c r="Z3198" s="127"/>
      <c r="AA3198" s="127"/>
      <c r="AB3198" s="128"/>
      <c r="AC3198" s="15" t="s">
        <v>20</v>
      </c>
      <c r="AD3198" s="129" t="s">
        <v>10121</v>
      </c>
      <c r="AE3198" s="130"/>
      <c r="AF3198" s="130"/>
      <c r="AG3198" s="130"/>
      <c r="AH3198" s="130"/>
      <c r="AI3198" s="131"/>
      <c r="AJ3198" s="132"/>
      <c r="AK3198" s="127"/>
      <c r="AL3198" s="128"/>
      <c r="AM3198" s="21"/>
      <c r="AN3198" s="133">
        <v>45969</v>
      </c>
      <c r="AO3198" s="134"/>
      <c r="AP3198" s="135">
        <v>1275</v>
      </c>
      <c r="AQ3198" s="136"/>
      <c r="AR3198" s="118">
        <v>1340000</v>
      </c>
      <c r="AS3198" s="119"/>
      <c r="AT3198" s="118">
        <f t="shared" ref="AT3198" si="2394">AR3198*0.1</f>
        <v>134000</v>
      </c>
      <c r="AU3198" s="119"/>
      <c r="AV3198" s="118">
        <v>16260</v>
      </c>
      <c r="AW3198" s="119"/>
      <c r="AX3198" s="118">
        <f t="shared" ref="AX3198" si="2395">SUM(AR3198:AW3198)</f>
        <v>1490260</v>
      </c>
      <c r="AY3198" s="119"/>
      <c r="AZ3198" s="137">
        <v>45974</v>
      </c>
    </row>
    <row r="3199" spans="1:52" ht="17.100000000000001" customHeight="1" thickBot="1">
      <c r="A3199" s="110"/>
      <c r="B3199" s="27" t="s">
        <v>2559</v>
      </c>
      <c r="C3199" s="27">
        <v>30051</v>
      </c>
      <c r="D3199" s="14" t="s">
        <v>2601</v>
      </c>
      <c r="E3199" s="112"/>
      <c r="F3199" s="139" t="s">
        <v>10119</v>
      </c>
      <c r="G3199" s="140"/>
      <c r="H3199" s="141"/>
      <c r="I3199" s="26">
        <v>67847</v>
      </c>
      <c r="J3199" s="117"/>
      <c r="K3199" s="120"/>
      <c r="L3199" s="121"/>
      <c r="M3199" s="120"/>
      <c r="N3199" s="121"/>
      <c r="O3199" s="120"/>
      <c r="P3199" s="121"/>
      <c r="Q3199" s="120"/>
      <c r="R3199" s="121"/>
      <c r="S3199" s="120"/>
      <c r="T3199" s="121"/>
      <c r="U3199" s="120"/>
      <c r="V3199" s="123"/>
      <c r="W3199" s="125"/>
      <c r="X3199" s="142" t="s">
        <v>9116</v>
      </c>
      <c r="Y3199" s="143"/>
      <c r="Z3199" s="143"/>
      <c r="AA3199" s="143"/>
      <c r="AB3199" s="144"/>
      <c r="AC3199" s="16" t="s">
        <v>21</v>
      </c>
      <c r="AD3199" s="17" t="s">
        <v>10500</v>
      </c>
      <c r="AE3199" s="145" t="s">
        <v>10501</v>
      </c>
      <c r="AF3199" s="146"/>
      <c r="AG3199" s="146"/>
      <c r="AH3199" s="146"/>
      <c r="AI3199" s="147"/>
      <c r="AJ3199" s="148"/>
      <c r="AK3199" s="143"/>
      <c r="AL3199" s="144"/>
      <c r="AM3199" s="22"/>
      <c r="AN3199" s="149" t="s">
        <v>2511</v>
      </c>
      <c r="AO3199" s="144"/>
      <c r="AP3199" s="148">
        <v>89</v>
      </c>
      <c r="AQ3199" s="144"/>
      <c r="AR3199" s="120"/>
      <c r="AS3199" s="121"/>
      <c r="AT3199" s="120"/>
      <c r="AU3199" s="121"/>
      <c r="AV3199" s="120"/>
      <c r="AW3199" s="121"/>
      <c r="AX3199" s="120"/>
      <c r="AY3199" s="121"/>
      <c r="AZ3199" s="138"/>
    </row>
    <row r="3200" spans="1:52" ht="17.100000000000001" customHeight="1" thickTop="1">
      <c r="A3200" s="109" t="s">
        <v>10107</v>
      </c>
      <c r="B3200" s="28">
        <v>45966</v>
      </c>
      <c r="C3200" s="25">
        <v>1812</v>
      </c>
      <c r="D3200" s="13" t="s">
        <v>3381</v>
      </c>
      <c r="E3200" s="111"/>
      <c r="F3200" s="113" t="s">
        <v>4832</v>
      </c>
      <c r="G3200" s="114"/>
      <c r="H3200" s="115"/>
      <c r="I3200" s="24" t="s">
        <v>2861</v>
      </c>
      <c r="J3200" s="116">
        <v>4</v>
      </c>
      <c r="K3200" s="118">
        <v>760000</v>
      </c>
      <c r="L3200" s="119"/>
      <c r="M3200" s="118">
        <f t="shared" ref="M3200" si="2396">K3200*0.1</f>
        <v>76000</v>
      </c>
      <c r="N3200" s="119"/>
      <c r="O3200" s="118">
        <f>11500+1150</f>
        <v>12650</v>
      </c>
      <c r="P3200" s="119"/>
      <c r="Q3200" s="118">
        <v>9130</v>
      </c>
      <c r="R3200" s="119"/>
      <c r="S3200" s="118">
        <v>18150</v>
      </c>
      <c r="T3200" s="119"/>
      <c r="U3200" s="118">
        <f t="shared" ref="U3200" si="2397">SUM(K3200:T3201)</f>
        <v>875930</v>
      </c>
      <c r="V3200" s="122"/>
      <c r="W3200" s="124"/>
      <c r="X3200" s="126" t="s">
        <v>10123</v>
      </c>
      <c r="Y3200" s="127"/>
      <c r="Z3200" s="127"/>
      <c r="AA3200" s="127"/>
      <c r="AB3200" s="128"/>
      <c r="AC3200" s="15" t="s">
        <v>20</v>
      </c>
      <c r="AD3200" s="129" t="s">
        <v>9403</v>
      </c>
      <c r="AE3200" s="130"/>
      <c r="AF3200" s="130"/>
      <c r="AG3200" s="130"/>
      <c r="AH3200" s="130"/>
      <c r="AI3200" s="131"/>
      <c r="AJ3200" s="132"/>
      <c r="AK3200" s="127"/>
      <c r="AL3200" s="128"/>
      <c r="AM3200" s="21"/>
      <c r="AN3200" s="133">
        <v>46029</v>
      </c>
      <c r="AO3200" s="134"/>
      <c r="AP3200" s="135">
        <v>999</v>
      </c>
      <c r="AQ3200" s="136"/>
      <c r="AR3200" s="118">
        <v>800000</v>
      </c>
      <c r="AS3200" s="119"/>
      <c r="AT3200" s="118">
        <f t="shared" ref="AT3200" si="2398">AR3200*0.1</f>
        <v>80000</v>
      </c>
      <c r="AU3200" s="119"/>
      <c r="AV3200" s="118">
        <v>9130</v>
      </c>
      <c r="AW3200" s="119"/>
      <c r="AX3200" s="118">
        <f t="shared" ref="AX3200" si="2399">SUM(AR3200:AW3200)</f>
        <v>889130</v>
      </c>
      <c r="AY3200" s="119"/>
      <c r="AZ3200" s="137">
        <v>46036</v>
      </c>
    </row>
    <row r="3201" spans="1:52" ht="17.100000000000001" customHeight="1" thickBot="1">
      <c r="A3201" s="110"/>
      <c r="B3201" s="27" t="s">
        <v>2559</v>
      </c>
      <c r="C3201" s="27">
        <v>30246</v>
      </c>
      <c r="D3201" s="14" t="s">
        <v>275</v>
      </c>
      <c r="E3201" s="112"/>
      <c r="F3201" s="139" t="s">
        <v>10122</v>
      </c>
      <c r="G3201" s="140"/>
      <c r="H3201" s="141"/>
      <c r="I3201" s="26">
        <v>70215</v>
      </c>
      <c r="J3201" s="117"/>
      <c r="K3201" s="120"/>
      <c r="L3201" s="121"/>
      <c r="M3201" s="120"/>
      <c r="N3201" s="121"/>
      <c r="O3201" s="120"/>
      <c r="P3201" s="121"/>
      <c r="Q3201" s="120"/>
      <c r="R3201" s="121"/>
      <c r="S3201" s="120"/>
      <c r="T3201" s="121"/>
      <c r="U3201" s="120"/>
      <c r="V3201" s="123"/>
      <c r="W3201" s="125"/>
      <c r="X3201" s="142" t="s">
        <v>10516</v>
      </c>
      <c r="Y3201" s="143"/>
      <c r="Z3201" s="143"/>
      <c r="AA3201" s="143"/>
      <c r="AB3201" s="144"/>
      <c r="AC3201" s="16" t="s">
        <v>21</v>
      </c>
      <c r="AD3201" s="17" t="s">
        <v>10500</v>
      </c>
      <c r="AE3201" s="145" t="s">
        <v>10517</v>
      </c>
      <c r="AF3201" s="146"/>
      <c r="AG3201" s="146"/>
      <c r="AH3201" s="146"/>
      <c r="AI3201" s="147"/>
      <c r="AJ3201" s="148"/>
      <c r="AK3201" s="143"/>
      <c r="AL3201" s="144"/>
      <c r="AM3201" s="22"/>
      <c r="AN3201" s="149" t="s">
        <v>7285</v>
      </c>
      <c r="AO3201" s="144"/>
      <c r="AP3201" s="148">
        <v>6092</v>
      </c>
      <c r="AQ3201" s="144"/>
      <c r="AR3201" s="120"/>
      <c r="AS3201" s="121"/>
      <c r="AT3201" s="120"/>
      <c r="AU3201" s="121"/>
      <c r="AV3201" s="120"/>
      <c r="AW3201" s="121"/>
      <c r="AX3201" s="120"/>
      <c r="AY3201" s="121"/>
      <c r="AZ3201" s="138"/>
    </row>
    <row r="3202" spans="1:52" ht="17.100000000000001" customHeight="1" thickTop="1">
      <c r="A3202" s="109" t="s">
        <v>10174</v>
      </c>
      <c r="B3202" s="28">
        <v>45967</v>
      </c>
      <c r="C3202" s="25">
        <v>1305</v>
      </c>
      <c r="D3202" s="13" t="s">
        <v>1712</v>
      </c>
      <c r="E3202" s="111"/>
      <c r="F3202" s="113" t="s">
        <v>10180</v>
      </c>
      <c r="G3202" s="114"/>
      <c r="H3202" s="115"/>
      <c r="I3202" s="24" t="s">
        <v>2526</v>
      </c>
      <c r="J3202" s="116">
        <v>4.5</v>
      </c>
      <c r="K3202" s="118">
        <v>1440000</v>
      </c>
      <c r="L3202" s="119"/>
      <c r="M3202" s="118">
        <f t="shared" ref="M3202" si="2400">K3202*0.1</f>
        <v>144000</v>
      </c>
      <c r="N3202" s="119"/>
      <c r="O3202" s="118">
        <f>19300+1930</f>
        <v>21230</v>
      </c>
      <c r="P3202" s="119"/>
      <c r="Q3202" s="118">
        <v>22540</v>
      </c>
      <c r="R3202" s="119"/>
      <c r="S3202" s="118">
        <v>14300</v>
      </c>
      <c r="T3202" s="119"/>
      <c r="U3202" s="118">
        <f t="shared" ref="U3202" si="2401">SUM(K3202:T3203)</f>
        <v>1642070</v>
      </c>
      <c r="V3202" s="122"/>
      <c r="W3202" s="124"/>
      <c r="X3202" s="126" t="s">
        <v>10186</v>
      </c>
      <c r="Y3202" s="127"/>
      <c r="Z3202" s="127"/>
      <c r="AA3202" s="127"/>
      <c r="AB3202" s="128"/>
      <c r="AC3202" s="15" t="s">
        <v>20</v>
      </c>
      <c r="AD3202" s="129"/>
      <c r="AE3202" s="130"/>
      <c r="AF3202" s="130"/>
      <c r="AG3202" s="130"/>
      <c r="AH3202" s="130"/>
      <c r="AI3202" s="131"/>
      <c r="AJ3202" s="132"/>
      <c r="AK3202" s="127"/>
      <c r="AL3202" s="128"/>
      <c r="AM3202" s="21"/>
      <c r="AN3202" s="133">
        <v>45973</v>
      </c>
      <c r="AO3202" s="134"/>
      <c r="AP3202" s="135">
        <v>992</v>
      </c>
      <c r="AQ3202" s="136"/>
      <c r="AR3202" s="118">
        <v>1740000</v>
      </c>
      <c r="AS3202" s="119"/>
      <c r="AT3202" s="118">
        <f t="shared" ref="AT3202" si="2402">AR3202*0.1</f>
        <v>174000</v>
      </c>
      <c r="AU3202" s="119"/>
      <c r="AV3202" s="118">
        <v>22540</v>
      </c>
      <c r="AW3202" s="119"/>
      <c r="AX3202" s="118">
        <f t="shared" ref="AX3202" si="2403">SUM(AR3202:AW3202)</f>
        <v>1936540</v>
      </c>
      <c r="AY3202" s="119"/>
      <c r="AZ3202" s="137">
        <v>45978</v>
      </c>
    </row>
    <row r="3203" spans="1:52" ht="17.100000000000001" customHeight="1" thickBot="1">
      <c r="A3203" s="110"/>
      <c r="B3203" s="27" t="s">
        <v>1747</v>
      </c>
      <c r="C3203" s="27">
        <v>1</v>
      </c>
      <c r="D3203" s="14" t="s">
        <v>275</v>
      </c>
      <c r="E3203" s="112"/>
      <c r="F3203" s="139" t="s">
        <v>10181</v>
      </c>
      <c r="G3203" s="140"/>
      <c r="H3203" s="141"/>
      <c r="I3203" s="26">
        <v>70770</v>
      </c>
      <c r="J3203" s="117"/>
      <c r="K3203" s="120"/>
      <c r="L3203" s="121"/>
      <c r="M3203" s="120"/>
      <c r="N3203" s="121"/>
      <c r="O3203" s="120"/>
      <c r="P3203" s="121"/>
      <c r="Q3203" s="120"/>
      <c r="R3203" s="121"/>
      <c r="S3203" s="120"/>
      <c r="T3203" s="121"/>
      <c r="U3203" s="120"/>
      <c r="V3203" s="123"/>
      <c r="W3203" s="125"/>
      <c r="X3203" s="142" t="s">
        <v>1656</v>
      </c>
      <c r="Y3203" s="143"/>
      <c r="Z3203" s="143"/>
      <c r="AA3203" s="143"/>
      <c r="AB3203" s="144"/>
      <c r="AC3203" s="16" t="s">
        <v>21</v>
      </c>
      <c r="AD3203" s="17" t="s">
        <v>2194</v>
      </c>
      <c r="AE3203" s="145" t="s">
        <v>10419</v>
      </c>
      <c r="AF3203" s="146"/>
      <c r="AG3203" s="146"/>
      <c r="AH3203" s="146"/>
      <c r="AI3203" s="147"/>
      <c r="AJ3203" s="148"/>
      <c r="AK3203" s="143"/>
      <c r="AL3203" s="144"/>
      <c r="AM3203" s="22"/>
      <c r="AN3203" s="149" t="s">
        <v>2794</v>
      </c>
      <c r="AO3203" s="144"/>
      <c r="AP3203" s="148">
        <v>5028</v>
      </c>
      <c r="AQ3203" s="144"/>
      <c r="AR3203" s="120"/>
      <c r="AS3203" s="121"/>
      <c r="AT3203" s="120"/>
      <c r="AU3203" s="121"/>
      <c r="AV3203" s="120"/>
      <c r="AW3203" s="121"/>
      <c r="AX3203" s="120"/>
      <c r="AY3203" s="121"/>
      <c r="AZ3203" s="138"/>
    </row>
    <row r="3204" spans="1:52" ht="17.100000000000001" customHeight="1" thickTop="1">
      <c r="A3204" s="109" t="s">
        <v>10175</v>
      </c>
      <c r="B3204" s="28">
        <v>45967</v>
      </c>
      <c r="C3204" s="25">
        <v>1305</v>
      </c>
      <c r="D3204" s="13" t="s">
        <v>2329</v>
      </c>
      <c r="E3204" s="111"/>
      <c r="F3204" s="113" t="s">
        <v>10182</v>
      </c>
      <c r="G3204" s="114"/>
      <c r="H3204" s="115"/>
      <c r="I3204" s="24" t="s">
        <v>3931</v>
      </c>
      <c r="J3204" s="116">
        <v>4.5</v>
      </c>
      <c r="K3204" s="118">
        <v>2375000</v>
      </c>
      <c r="L3204" s="119"/>
      <c r="M3204" s="118">
        <f t="shared" ref="M3204" si="2404">K3204*0.1</f>
        <v>237500</v>
      </c>
      <c r="N3204" s="119"/>
      <c r="O3204" s="118">
        <f>12000+1200</f>
        <v>13200</v>
      </c>
      <c r="P3204" s="119"/>
      <c r="Q3204" s="118">
        <v>15880</v>
      </c>
      <c r="R3204" s="119"/>
      <c r="S3204" s="118">
        <v>14300</v>
      </c>
      <c r="T3204" s="119"/>
      <c r="U3204" s="118">
        <f t="shared" ref="U3204" si="2405">SUM(K3204:T3205)</f>
        <v>2655880</v>
      </c>
      <c r="V3204" s="122"/>
      <c r="W3204" s="124"/>
      <c r="X3204" s="126" t="s">
        <v>10187</v>
      </c>
      <c r="Y3204" s="127"/>
      <c r="Z3204" s="127"/>
      <c r="AA3204" s="127"/>
      <c r="AB3204" s="128"/>
      <c r="AC3204" s="15" t="s">
        <v>20</v>
      </c>
      <c r="AD3204" s="129" t="s">
        <v>1565</v>
      </c>
      <c r="AE3204" s="130"/>
      <c r="AF3204" s="130"/>
      <c r="AG3204" s="130"/>
      <c r="AH3204" s="130"/>
      <c r="AI3204" s="131"/>
      <c r="AJ3204" s="132"/>
      <c r="AK3204" s="127"/>
      <c r="AL3204" s="128"/>
      <c r="AM3204" s="21"/>
      <c r="AN3204" s="133">
        <v>45990</v>
      </c>
      <c r="AO3204" s="134"/>
      <c r="AP3204" s="135">
        <v>1278</v>
      </c>
      <c r="AQ3204" s="136"/>
      <c r="AR3204" s="118">
        <v>2470000</v>
      </c>
      <c r="AS3204" s="119"/>
      <c r="AT3204" s="118">
        <f t="shared" ref="AT3204" si="2406">AR3204*0.1</f>
        <v>247000</v>
      </c>
      <c r="AU3204" s="119"/>
      <c r="AV3204" s="118">
        <v>15880</v>
      </c>
      <c r="AW3204" s="119"/>
      <c r="AX3204" s="118">
        <f t="shared" ref="AX3204" si="2407">SUM(AR3204:AW3204)</f>
        <v>2732880</v>
      </c>
      <c r="AY3204" s="119"/>
      <c r="AZ3204" s="137">
        <v>45995</v>
      </c>
    </row>
    <row r="3205" spans="1:52" ht="17.100000000000001" customHeight="1" thickBot="1">
      <c r="A3205" s="110"/>
      <c r="B3205" s="27" t="s">
        <v>1747</v>
      </c>
      <c r="C3205" s="27">
        <v>136</v>
      </c>
      <c r="D3205" s="14" t="s">
        <v>275</v>
      </c>
      <c r="E3205" s="112"/>
      <c r="F3205" s="139" t="s">
        <v>10183</v>
      </c>
      <c r="G3205" s="140"/>
      <c r="H3205" s="141"/>
      <c r="I3205" s="26">
        <v>57724</v>
      </c>
      <c r="J3205" s="117"/>
      <c r="K3205" s="120"/>
      <c r="L3205" s="121"/>
      <c r="M3205" s="120"/>
      <c r="N3205" s="121"/>
      <c r="O3205" s="120"/>
      <c r="P3205" s="121"/>
      <c r="Q3205" s="120"/>
      <c r="R3205" s="121"/>
      <c r="S3205" s="120"/>
      <c r="T3205" s="121"/>
      <c r="U3205" s="120"/>
      <c r="V3205" s="123"/>
      <c r="W3205" s="125"/>
      <c r="X3205" s="142" t="s">
        <v>10693</v>
      </c>
      <c r="Y3205" s="143"/>
      <c r="Z3205" s="143"/>
      <c r="AA3205" s="143"/>
      <c r="AB3205" s="144"/>
      <c r="AC3205" s="16" t="s">
        <v>21</v>
      </c>
      <c r="AD3205" s="17" t="s">
        <v>10596</v>
      </c>
      <c r="AE3205" s="145" t="s">
        <v>1742</v>
      </c>
      <c r="AF3205" s="146"/>
      <c r="AG3205" s="146"/>
      <c r="AH3205" s="146"/>
      <c r="AI3205" s="147"/>
      <c r="AJ3205" s="148"/>
      <c r="AK3205" s="143"/>
      <c r="AL3205" s="144"/>
      <c r="AM3205" s="22"/>
      <c r="AN3205" s="149" t="s">
        <v>6749</v>
      </c>
      <c r="AO3205" s="144"/>
      <c r="AP3205" s="148">
        <v>80262</v>
      </c>
      <c r="AQ3205" s="144"/>
      <c r="AR3205" s="120"/>
      <c r="AS3205" s="121"/>
      <c r="AT3205" s="120"/>
      <c r="AU3205" s="121"/>
      <c r="AV3205" s="120"/>
      <c r="AW3205" s="121"/>
      <c r="AX3205" s="120"/>
      <c r="AY3205" s="121"/>
      <c r="AZ3205" s="138"/>
    </row>
    <row r="3206" spans="1:52" ht="17.100000000000001" customHeight="1" thickTop="1">
      <c r="A3206" s="109" t="s">
        <v>10176</v>
      </c>
      <c r="B3206" s="28">
        <v>45967</v>
      </c>
      <c r="C3206" s="25">
        <v>1305</v>
      </c>
      <c r="D3206" s="13" t="s">
        <v>1649</v>
      </c>
      <c r="E3206" s="111"/>
      <c r="F3206" s="113" t="s">
        <v>1938</v>
      </c>
      <c r="G3206" s="114"/>
      <c r="H3206" s="115"/>
      <c r="I3206" s="24"/>
      <c r="J3206" s="116">
        <v>4</v>
      </c>
      <c r="K3206" s="118">
        <v>480000</v>
      </c>
      <c r="L3206" s="119"/>
      <c r="M3206" s="118">
        <f t="shared" ref="M3206" si="2408">K3206*0.1</f>
        <v>48000</v>
      </c>
      <c r="N3206" s="119"/>
      <c r="O3206" s="118">
        <v>0</v>
      </c>
      <c r="P3206" s="119"/>
      <c r="Q3206" s="118">
        <v>18960</v>
      </c>
      <c r="R3206" s="119"/>
      <c r="S3206" s="118">
        <v>14300</v>
      </c>
      <c r="T3206" s="119"/>
      <c r="U3206" s="118">
        <f t="shared" ref="U3206" si="2409">SUM(K3206:T3207)</f>
        <v>561260</v>
      </c>
      <c r="V3206" s="122"/>
      <c r="W3206" s="124"/>
      <c r="X3206" s="126" t="s">
        <v>10188</v>
      </c>
      <c r="Y3206" s="127"/>
      <c r="Z3206" s="127"/>
      <c r="AA3206" s="127"/>
      <c r="AB3206" s="128"/>
      <c r="AC3206" s="15" t="s">
        <v>20</v>
      </c>
      <c r="AD3206" s="129" t="s">
        <v>1732</v>
      </c>
      <c r="AE3206" s="130"/>
      <c r="AF3206" s="130"/>
      <c r="AG3206" s="130"/>
      <c r="AH3206" s="130"/>
      <c r="AI3206" s="131"/>
      <c r="AJ3206" s="132"/>
      <c r="AK3206" s="127"/>
      <c r="AL3206" s="128"/>
      <c r="AM3206" s="21"/>
      <c r="AN3206" s="133">
        <v>45997</v>
      </c>
      <c r="AO3206" s="134"/>
      <c r="AP3206" s="135">
        <v>1279</v>
      </c>
      <c r="AQ3206" s="136"/>
      <c r="AR3206" s="118">
        <v>560000</v>
      </c>
      <c r="AS3206" s="119"/>
      <c r="AT3206" s="118">
        <f t="shared" ref="AT3206" si="2410">AR3206*0.1</f>
        <v>56000</v>
      </c>
      <c r="AU3206" s="119"/>
      <c r="AV3206" s="118">
        <v>18960</v>
      </c>
      <c r="AW3206" s="119"/>
      <c r="AX3206" s="118">
        <f t="shared" ref="AX3206" si="2411">SUM(AR3206:AW3206)</f>
        <v>634960</v>
      </c>
      <c r="AY3206" s="119"/>
      <c r="AZ3206" s="137">
        <v>46000</v>
      </c>
    </row>
    <row r="3207" spans="1:52" ht="17.100000000000001" customHeight="1" thickBot="1">
      <c r="A3207" s="110"/>
      <c r="B3207" s="27" t="s">
        <v>1747</v>
      </c>
      <c r="C3207" s="27">
        <v>353</v>
      </c>
      <c r="D3207" s="14" t="s">
        <v>3327</v>
      </c>
      <c r="E3207" s="112"/>
      <c r="F3207" s="139" t="s">
        <v>10184</v>
      </c>
      <c r="G3207" s="140"/>
      <c r="H3207" s="141"/>
      <c r="I3207" s="26">
        <v>47181</v>
      </c>
      <c r="J3207" s="117"/>
      <c r="K3207" s="120"/>
      <c r="L3207" s="121"/>
      <c r="M3207" s="120"/>
      <c r="N3207" s="121"/>
      <c r="O3207" s="120"/>
      <c r="P3207" s="121"/>
      <c r="Q3207" s="120"/>
      <c r="R3207" s="121"/>
      <c r="S3207" s="120"/>
      <c r="T3207" s="121"/>
      <c r="U3207" s="120"/>
      <c r="V3207" s="123"/>
      <c r="W3207" s="125"/>
      <c r="X3207" s="142" t="s">
        <v>10748</v>
      </c>
      <c r="Y3207" s="143"/>
      <c r="Z3207" s="143"/>
      <c r="AA3207" s="143"/>
      <c r="AB3207" s="144"/>
      <c r="AC3207" s="16" t="s">
        <v>21</v>
      </c>
      <c r="AD3207" s="17" t="s">
        <v>10733</v>
      </c>
      <c r="AE3207" s="145" t="s">
        <v>1614</v>
      </c>
      <c r="AF3207" s="146"/>
      <c r="AG3207" s="146"/>
      <c r="AH3207" s="146"/>
      <c r="AI3207" s="147"/>
      <c r="AJ3207" s="148"/>
      <c r="AK3207" s="143"/>
      <c r="AL3207" s="144"/>
      <c r="AM3207" s="22"/>
      <c r="AN3207" s="149" t="s">
        <v>2511</v>
      </c>
      <c r="AO3207" s="144"/>
      <c r="AP3207" s="148">
        <v>80078</v>
      </c>
      <c r="AQ3207" s="144"/>
      <c r="AR3207" s="120"/>
      <c r="AS3207" s="121"/>
      <c r="AT3207" s="120"/>
      <c r="AU3207" s="121"/>
      <c r="AV3207" s="120"/>
      <c r="AW3207" s="121"/>
      <c r="AX3207" s="120"/>
      <c r="AY3207" s="121"/>
      <c r="AZ3207" s="138"/>
    </row>
    <row r="3208" spans="1:52" ht="17.100000000000001" customHeight="1" thickTop="1">
      <c r="A3208" s="109" t="s">
        <v>10177</v>
      </c>
      <c r="B3208" s="28">
        <v>45967</v>
      </c>
      <c r="C3208" s="25">
        <v>1305</v>
      </c>
      <c r="D3208" s="13" t="s">
        <v>4824</v>
      </c>
      <c r="E3208" s="111"/>
      <c r="F3208" s="113" t="s">
        <v>7177</v>
      </c>
      <c r="G3208" s="114"/>
      <c r="H3208" s="115"/>
      <c r="I3208" s="24"/>
      <c r="J3208" s="116">
        <v>4</v>
      </c>
      <c r="K3208" s="118">
        <v>410000</v>
      </c>
      <c r="L3208" s="119"/>
      <c r="M3208" s="118">
        <f t="shared" ref="M3208" si="2412">K3208*0.1</f>
        <v>41000</v>
      </c>
      <c r="N3208" s="119"/>
      <c r="O3208" s="118">
        <v>0</v>
      </c>
      <c r="P3208" s="119"/>
      <c r="Q3208" s="118">
        <v>12450</v>
      </c>
      <c r="R3208" s="119"/>
      <c r="S3208" s="118">
        <v>14300</v>
      </c>
      <c r="T3208" s="119"/>
      <c r="U3208" s="118">
        <f t="shared" ref="U3208" si="2413">SUM(K3208:T3209)</f>
        <v>477750</v>
      </c>
      <c r="V3208" s="122"/>
      <c r="W3208" s="124"/>
      <c r="X3208" s="126" t="s">
        <v>10511</v>
      </c>
      <c r="Y3208" s="127"/>
      <c r="Z3208" s="127"/>
      <c r="AA3208" s="127"/>
      <c r="AB3208" s="128"/>
      <c r="AC3208" s="15" t="s">
        <v>20</v>
      </c>
      <c r="AD3208" s="129" t="s">
        <v>10189</v>
      </c>
      <c r="AE3208" s="130"/>
      <c r="AF3208" s="130"/>
      <c r="AG3208" s="130"/>
      <c r="AH3208" s="130"/>
      <c r="AI3208" s="131"/>
      <c r="AJ3208" s="132"/>
      <c r="AK3208" s="127"/>
      <c r="AL3208" s="128"/>
      <c r="AM3208" s="21"/>
      <c r="AN3208" s="133">
        <v>45969</v>
      </c>
      <c r="AO3208" s="134"/>
      <c r="AP3208" s="135">
        <v>1275</v>
      </c>
      <c r="AQ3208" s="136"/>
      <c r="AR3208" s="118">
        <v>580000</v>
      </c>
      <c r="AS3208" s="119"/>
      <c r="AT3208" s="118">
        <f t="shared" ref="AT3208" si="2414">AR3208*0.1</f>
        <v>58000</v>
      </c>
      <c r="AU3208" s="119"/>
      <c r="AV3208" s="118">
        <v>12450</v>
      </c>
      <c r="AW3208" s="119"/>
      <c r="AX3208" s="118">
        <f t="shared" ref="AX3208" si="2415">SUM(AR3208:AW3208)</f>
        <v>650450</v>
      </c>
      <c r="AY3208" s="119"/>
      <c r="AZ3208" s="137">
        <v>45974</v>
      </c>
    </row>
    <row r="3209" spans="1:52" ht="17.100000000000001" customHeight="1" thickBot="1">
      <c r="A3209" s="110"/>
      <c r="B3209" s="27" t="s">
        <v>1747</v>
      </c>
      <c r="C3209" s="27">
        <v>805</v>
      </c>
      <c r="D3209" s="14" t="s">
        <v>1592</v>
      </c>
      <c r="E3209" s="112"/>
      <c r="F3209" s="139" t="s">
        <v>10185</v>
      </c>
      <c r="G3209" s="140"/>
      <c r="H3209" s="141"/>
      <c r="I3209" s="26">
        <v>73104</v>
      </c>
      <c r="J3209" s="117"/>
      <c r="K3209" s="120"/>
      <c r="L3209" s="121"/>
      <c r="M3209" s="120"/>
      <c r="N3209" s="121"/>
      <c r="O3209" s="120"/>
      <c r="P3209" s="121"/>
      <c r="Q3209" s="120"/>
      <c r="R3209" s="121"/>
      <c r="S3209" s="120"/>
      <c r="T3209" s="121"/>
      <c r="U3209" s="120"/>
      <c r="V3209" s="123"/>
      <c r="W3209" s="125"/>
      <c r="X3209" s="142" t="s">
        <v>1861</v>
      </c>
      <c r="Y3209" s="143"/>
      <c r="Z3209" s="143"/>
      <c r="AA3209" s="143"/>
      <c r="AB3209" s="144"/>
      <c r="AC3209" s="16" t="s">
        <v>21</v>
      </c>
      <c r="AD3209" s="17" t="s">
        <v>10500</v>
      </c>
      <c r="AE3209" s="145" t="s">
        <v>10512</v>
      </c>
      <c r="AF3209" s="146"/>
      <c r="AG3209" s="146"/>
      <c r="AH3209" s="146"/>
      <c r="AI3209" s="147"/>
      <c r="AJ3209" s="148"/>
      <c r="AK3209" s="143"/>
      <c r="AL3209" s="144"/>
      <c r="AM3209" s="22"/>
      <c r="AN3209" s="149" t="s">
        <v>6748</v>
      </c>
      <c r="AO3209" s="144"/>
      <c r="AP3209" s="148">
        <v>80328</v>
      </c>
      <c r="AQ3209" s="144"/>
      <c r="AR3209" s="120"/>
      <c r="AS3209" s="121"/>
      <c r="AT3209" s="120"/>
      <c r="AU3209" s="121"/>
      <c r="AV3209" s="120"/>
      <c r="AW3209" s="121"/>
      <c r="AX3209" s="120"/>
      <c r="AY3209" s="121"/>
      <c r="AZ3209" s="138"/>
    </row>
    <row r="3210" spans="1:52" ht="17.100000000000001" customHeight="1" thickTop="1">
      <c r="A3210" s="109" t="s">
        <v>10178</v>
      </c>
      <c r="B3210" s="28">
        <v>45967</v>
      </c>
      <c r="C3210" s="25">
        <v>1957</v>
      </c>
      <c r="D3210" s="13" t="s">
        <v>2187</v>
      </c>
      <c r="E3210" s="111"/>
      <c r="F3210" s="113" t="s">
        <v>4980</v>
      </c>
      <c r="G3210" s="114"/>
      <c r="H3210" s="115"/>
      <c r="I3210" s="24"/>
      <c r="J3210" s="116">
        <v>4</v>
      </c>
      <c r="K3210" s="118">
        <v>761000</v>
      </c>
      <c r="L3210" s="119"/>
      <c r="M3210" s="118">
        <f t="shared" ref="M3210" si="2416">K3210*0.1</f>
        <v>76100</v>
      </c>
      <c r="N3210" s="119"/>
      <c r="O3210" s="118">
        <v>0</v>
      </c>
      <c r="P3210" s="119"/>
      <c r="Q3210" s="118">
        <v>7440</v>
      </c>
      <c r="R3210" s="119"/>
      <c r="S3210" s="118">
        <v>15950</v>
      </c>
      <c r="T3210" s="119"/>
      <c r="U3210" s="118">
        <f t="shared" ref="U3210" si="2417">SUM(K3210:T3211)</f>
        <v>860490</v>
      </c>
      <c r="V3210" s="122"/>
      <c r="W3210" s="124"/>
      <c r="X3210" s="126" t="s">
        <v>10466</v>
      </c>
      <c r="Y3210" s="127"/>
      <c r="Z3210" s="127"/>
      <c r="AA3210" s="127"/>
      <c r="AB3210" s="128"/>
      <c r="AC3210" s="15" t="s">
        <v>20</v>
      </c>
      <c r="AD3210" s="129"/>
      <c r="AE3210" s="130"/>
      <c r="AF3210" s="130"/>
      <c r="AG3210" s="130"/>
      <c r="AH3210" s="130"/>
      <c r="AI3210" s="131"/>
      <c r="AJ3210" s="132"/>
      <c r="AK3210" s="127"/>
      <c r="AL3210" s="128"/>
      <c r="AM3210" s="21"/>
      <c r="AN3210" s="133">
        <v>45983</v>
      </c>
      <c r="AO3210" s="134"/>
      <c r="AP3210" s="135">
        <v>1277</v>
      </c>
      <c r="AQ3210" s="136"/>
      <c r="AR3210" s="118">
        <v>840000</v>
      </c>
      <c r="AS3210" s="119"/>
      <c r="AT3210" s="118">
        <f t="shared" ref="AT3210" si="2418">AR3210*0.1</f>
        <v>84000</v>
      </c>
      <c r="AU3210" s="119"/>
      <c r="AV3210" s="118">
        <v>7440</v>
      </c>
      <c r="AW3210" s="119"/>
      <c r="AX3210" s="118">
        <f t="shared" ref="AX3210" si="2419">SUM(AR3210:AW3210)</f>
        <v>931440</v>
      </c>
      <c r="AY3210" s="119"/>
      <c r="AZ3210" s="137">
        <v>45987</v>
      </c>
    </row>
    <row r="3211" spans="1:52" ht="17.100000000000001" customHeight="1" thickBot="1">
      <c r="A3211" s="110"/>
      <c r="B3211" s="27" t="s">
        <v>3792</v>
      </c>
      <c r="C3211" s="27">
        <v>62078</v>
      </c>
      <c r="D3211" s="14" t="s">
        <v>1592</v>
      </c>
      <c r="E3211" s="112"/>
      <c r="F3211" s="139" t="s">
        <v>10147</v>
      </c>
      <c r="G3211" s="140"/>
      <c r="H3211" s="141"/>
      <c r="I3211" s="26">
        <v>43880</v>
      </c>
      <c r="J3211" s="117"/>
      <c r="K3211" s="120"/>
      <c r="L3211" s="121"/>
      <c r="M3211" s="120"/>
      <c r="N3211" s="121"/>
      <c r="O3211" s="120"/>
      <c r="P3211" s="121"/>
      <c r="Q3211" s="120"/>
      <c r="R3211" s="121"/>
      <c r="S3211" s="120"/>
      <c r="T3211" s="121"/>
      <c r="U3211" s="120"/>
      <c r="V3211" s="123"/>
      <c r="W3211" s="125"/>
      <c r="X3211" s="142" t="s">
        <v>3795</v>
      </c>
      <c r="Y3211" s="143"/>
      <c r="Z3211" s="143"/>
      <c r="AA3211" s="143"/>
      <c r="AB3211" s="144"/>
      <c r="AC3211" s="16" t="s">
        <v>21</v>
      </c>
      <c r="AD3211" s="17" t="s">
        <v>1694</v>
      </c>
      <c r="AE3211" s="145" t="s">
        <v>10327</v>
      </c>
      <c r="AF3211" s="146"/>
      <c r="AG3211" s="146"/>
      <c r="AH3211" s="146"/>
      <c r="AI3211" s="147"/>
      <c r="AJ3211" s="148"/>
      <c r="AK3211" s="143"/>
      <c r="AL3211" s="144"/>
      <c r="AM3211" s="22"/>
      <c r="AN3211" s="149" t="s">
        <v>7284</v>
      </c>
      <c r="AO3211" s="144"/>
      <c r="AP3211" s="148">
        <v>41042</v>
      </c>
      <c r="AQ3211" s="144"/>
      <c r="AR3211" s="120"/>
      <c r="AS3211" s="121"/>
      <c r="AT3211" s="120"/>
      <c r="AU3211" s="121"/>
      <c r="AV3211" s="120"/>
      <c r="AW3211" s="121"/>
      <c r="AX3211" s="120"/>
      <c r="AY3211" s="121"/>
      <c r="AZ3211" s="138"/>
    </row>
    <row r="3212" spans="1:52" ht="17.100000000000001" customHeight="1" thickTop="1">
      <c r="A3212" s="109" t="s">
        <v>10179</v>
      </c>
      <c r="B3212" s="28">
        <v>45967</v>
      </c>
      <c r="C3212" s="25">
        <v>1540</v>
      </c>
      <c r="D3212" s="13" t="s">
        <v>2100</v>
      </c>
      <c r="E3212" s="111"/>
      <c r="F3212" s="113" t="s">
        <v>10150</v>
      </c>
      <c r="G3212" s="114"/>
      <c r="H3212" s="115"/>
      <c r="I3212" s="24"/>
      <c r="J3212" s="116">
        <v>4.5</v>
      </c>
      <c r="K3212" s="118">
        <v>5600000</v>
      </c>
      <c r="L3212" s="119"/>
      <c r="M3212" s="118">
        <f t="shared" ref="M3212" si="2420">K3212*0.1</f>
        <v>560000</v>
      </c>
      <c r="N3212" s="119"/>
      <c r="O3212" s="118">
        <v>0</v>
      </c>
      <c r="P3212" s="119"/>
      <c r="Q3212" s="118">
        <v>19780</v>
      </c>
      <c r="R3212" s="119"/>
      <c r="S3212" s="118">
        <v>27500</v>
      </c>
      <c r="T3212" s="119"/>
      <c r="U3212" s="118">
        <f t="shared" ref="U3212" si="2421">SUM(K3212:T3213)</f>
        <v>6207280</v>
      </c>
      <c r="V3212" s="122"/>
      <c r="W3212" s="124"/>
      <c r="X3212" s="126" t="s">
        <v>10564</v>
      </c>
      <c r="Y3212" s="127"/>
      <c r="Z3212" s="127"/>
      <c r="AA3212" s="127"/>
      <c r="AB3212" s="128"/>
      <c r="AC3212" s="15" t="s">
        <v>20</v>
      </c>
      <c r="AD3212" s="129"/>
      <c r="AE3212" s="130"/>
      <c r="AF3212" s="130"/>
      <c r="AG3212" s="130"/>
      <c r="AH3212" s="130"/>
      <c r="AI3212" s="131"/>
      <c r="AJ3212" s="132"/>
      <c r="AK3212" s="127"/>
      <c r="AL3212" s="128"/>
      <c r="AM3212" s="21"/>
      <c r="AN3212" s="133">
        <v>45981</v>
      </c>
      <c r="AO3212" s="134"/>
      <c r="AP3212" s="135">
        <v>1307</v>
      </c>
      <c r="AQ3212" s="136"/>
      <c r="AR3212" s="118">
        <v>6370000</v>
      </c>
      <c r="AS3212" s="119"/>
      <c r="AT3212" s="118">
        <f t="shared" ref="AT3212" si="2422">AR3212*0.1</f>
        <v>637000</v>
      </c>
      <c r="AU3212" s="119"/>
      <c r="AV3212" s="118">
        <v>19780</v>
      </c>
      <c r="AW3212" s="119"/>
      <c r="AX3212" s="118">
        <f t="shared" ref="AX3212" si="2423">SUM(AR3212:AW3212)</f>
        <v>7026780</v>
      </c>
      <c r="AY3212" s="119"/>
      <c r="AZ3212" s="137">
        <v>45982</v>
      </c>
    </row>
    <row r="3213" spans="1:52" ht="17.100000000000001" customHeight="1" thickBot="1">
      <c r="A3213" s="110"/>
      <c r="B3213" s="27" t="s">
        <v>1600</v>
      </c>
      <c r="C3213" s="27">
        <v>75136</v>
      </c>
      <c r="D3213" s="14" t="s">
        <v>1592</v>
      </c>
      <c r="E3213" s="112"/>
      <c r="F3213" s="139" t="s">
        <v>10563</v>
      </c>
      <c r="G3213" s="140"/>
      <c r="H3213" s="141"/>
      <c r="I3213" s="26">
        <v>50098</v>
      </c>
      <c r="J3213" s="117"/>
      <c r="K3213" s="120"/>
      <c r="L3213" s="121"/>
      <c r="M3213" s="120"/>
      <c r="N3213" s="121"/>
      <c r="O3213" s="120"/>
      <c r="P3213" s="121"/>
      <c r="Q3213" s="120"/>
      <c r="R3213" s="121"/>
      <c r="S3213" s="120"/>
      <c r="T3213" s="121"/>
      <c r="U3213" s="120"/>
      <c r="V3213" s="123"/>
      <c r="W3213" s="125"/>
      <c r="X3213" s="142" t="s">
        <v>3410</v>
      </c>
      <c r="Y3213" s="143"/>
      <c r="Z3213" s="143"/>
      <c r="AA3213" s="143"/>
      <c r="AB3213" s="144"/>
      <c r="AC3213" s="16" t="s">
        <v>21</v>
      </c>
      <c r="AD3213" s="17" t="s">
        <v>10500</v>
      </c>
      <c r="AE3213" s="145" t="s">
        <v>171</v>
      </c>
      <c r="AF3213" s="146"/>
      <c r="AG3213" s="146"/>
      <c r="AH3213" s="146"/>
      <c r="AI3213" s="147"/>
      <c r="AJ3213" s="148"/>
      <c r="AK3213" s="143"/>
      <c r="AL3213" s="144"/>
      <c r="AM3213" s="22"/>
      <c r="AN3213" s="149" t="s">
        <v>1747</v>
      </c>
      <c r="AO3213" s="144"/>
      <c r="AP3213" s="148">
        <v>65</v>
      </c>
      <c r="AQ3213" s="144"/>
      <c r="AR3213" s="120"/>
      <c r="AS3213" s="121"/>
      <c r="AT3213" s="120"/>
      <c r="AU3213" s="121"/>
      <c r="AV3213" s="120"/>
      <c r="AW3213" s="121"/>
      <c r="AX3213" s="120"/>
      <c r="AY3213" s="121"/>
      <c r="AZ3213" s="138"/>
    </row>
    <row r="3214" spans="1:52" ht="17.100000000000001" customHeight="1" thickTop="1">
      <c r="A3214" s="109" t="s">
        <v>10190</v>
      </c>
      <c r="B3214" s="28">
        <v>45967</v>
      </c>
      <c r="C3214" s="25">
        <v>1540</v>
      </c>
      <c r="D3214" s="13" t="s">
        <v>1803</v>
      </c>
      <c r="E3214" s="111"/>
      <c r="F3214" s="113" t="s">
        <v>10191</v>
      </c>
      <c r="G3214" s="114"/>
      <c r="H3214" s="115"/>
      <c r="I3214" s="24" t="s">
        <v>4109</v>
      </c>
      <c r="J3214" s="116">
        <v>4</v>
      </c>
      <c r="K3214" s="118">
        <v>1180000</v>
      </c>
      <c r="L3214" s="119"/>
      <c r="M3214" s="118">
        <f t="shared" ref="M3214" si="2424">K3214*0.1</f>
        <v>118000</v>
      </c>
      <c r="N3214" s="119"/>
      <c r="O3214" s="118">
        <f>13100+1310</f>
        <v>14410</v>
      </c>
      <c r="P3214" s="119"/>
      <c r="Q3214" s="118">
        <v>19090</v>
      </c>
      <c r="R3214" s="119"/>
      <c r="S3214" s="118">
        <v>16500</v>
      </c>
      <c r="T3214" s="119"/>
      <c r="U3214" s="118">
        <f t="shared" ref="U3214" si="2425">SUM(K3214:T3215)</f>
        <v>1348000</v>
      </c>
      <c r="V3214" s="122"/>
      <c r="W3214" s="124"/>
      <c r="X3214" s="126" t="s">
        <v>10193</v>
      </c>
      <c r="Y3214" s="127"/>
      <c r="Z3214" s="127"/>
      <c r="AA3214" s="127"/>
      <c r="AB3214" s="128"/>
      <c r="AC3214" s="15" t="s">
        <v>20</v>
      </c>
      <c r="AD3214" s="129" t="s">
        <v>1633</v>
      </c>
      <c r="AE3214" s="130"/>
      <c r="AF3214" s="130"/>
      <c r="AG3214" s="130"/>
      <c r="AH3214" s="130"/>
      <c r="AI3214" s="131"/>
      <c r="AJ3214" s="132"/>
      <c r="AK3214" s="127"/>
      <c r="AL3214" s="128"/>
      <c r="AM3214" s="21"/>
      <c r="AN3214" s="133">
        <v>45981</v>
      </c>
      <c r="AO3214" s="134"/>
      <c r="AP3214" s="135">
        <v>1307</v>
      </c>
      <c r="AQ3214" s="136"/>
      <c r="AR3214" s="118">
        <v>1360000</v>
      </c>
      <c r="AS3214" s="119"/>
      <c r="AT3214" s="118">
        <f t="shared" ref="AT3214" si="2426">AR3214*0.1</f>
        <v>136000</v>
      </c>
      <c r="AU3214" s="119"/>
      <c r="AV3214" s="118">
        <v>19090</v>
      </c>
      <c r="AW3214" s="119"/>
      <c r="AX3214" s="118">
        <f t="shared" ref="AX3214" si="2427">SUM(AR3214:AW3214)</f>
        <v>1515090</v>
      </c>
      <c r="AY3214" s="119"/>
      <c r="AZ3214" s="137">
        <v>45982</v>
      </c>
    </row>
    <row r="3215" spans="1:52" ht="17.100000000000001" customHeight="1" thickBot="1">
      <c r="A3215" s="110"/>
      <c r="B3215" s="27" t="s">
        <v>1600</v>
      </c>
      <c r="C3215" s="27">
        <v>75915</v>
      </c>
      <c r="D3215" s="14" t="s">
        <v>1576</v>
      </c>
      <c r="E3215" s="112"/>
      <c r="F3215" s="139" t="s">
        <v>10192</v>
      </c>
      <c r="G3215" s="140"/>
      <c r="H3215" s="141"/>
      <c r="I3215" s="26">
        <v>17910</v>
      </c>
      <c r="J3215" s="117"/>
      <c r="K3215" s="120"/>
      <c r="L3215" s="121"/>
      <c r="M3215" s="120"/>
      <c r="N3215" s="121"/>
      <c r="O3215" s="120"/>
      <c r="P3215" s="121"/>
      <c r="Q3215" s="120"/>
      <c r="R3215" s="121"/>
      <c r="S3215" s="120"/>
      <c r="T3215" s="121"/>
      <c r="U3215" s="120"/>
      <c r="V3215" s="123"/>
      <c r="W3215" s="125"/>
      <c r="X3215" s="142" t="s">
        <v>10562</v>
      </c>
      <c r="Y3215" s="143"/>
      <c r="Z3215" s="143"/>
      <c r="AA3215" s="143"/>
      <c r="AB3215" s="144"/>
      <c r="AC3215" s="16" t="s">
        <v>21</v>
      </c>
      <c r="AD3215" s="17" t="s">
        <v>10500</v>
      </c>
      <c r="AE3215" s="145" t="s">
        <v>1614</v>
      </c>
      <c r="AF3215" s="146"/>
      <c r="AG3215" s="146"/>
      <c r="AH3215" s="146"/>
      <c r="AI3215" s="147"/>
      <c r="AJ3215" s="148"/>
      <c r="AK3215" s="143"/>
      <c r="AL3215" s="144"/>
      <c r="AM3215" s="22"/>
      <c r="AN3215" s="149" t="s">
        <v>1747</v>
      </c>
      <c r="AO3215" s="144"/>
      <c r="AP3215" s="148">
        <v>349</v>
      </c>
      <c r="AQ3215" s="144"/>
      <c r="AR3215" s="120"/>
      <c r="AS3215" s="121"/>
      <c r="AT3215" s="120"/>
      <c r="AU3215" s="121"/>
      <c r="AV3215" s="120"/>
      <c r="AW3215" s="121"/>
      <c r="AX3215" s="120"/>
      <c r="AY3215" s="121"/>
      <c r="AZ3215" s="138"/>
    </row>
    <row r="3216" spans="1:52" ht="17.100000000000001" customHeight="1" thickTop="1">
      <c r="A3216" s="109" t="s">
        <v>10207</v>
      </c>
      <c r="B3216" s="28">
        <v>45967</v>
      </c>
      <c r="C3216" s="25">
        <v>2133</v>
      </c>
      <c r="D3216" s="13" t="s">
        <v>3381</v>
      </c>
      <c r="E3216" s="111"/>
      <c r="F3216" s="113" t="s">
        <v>4580</v>
      </c>
      <c r="G3216" s="114"/>
      <c r="H3216" s="115"/>
      <c r="I3216" s="24" t="s">
        <v>4754</v>
      </c>
      <c r="J3216" s="116">
        <v>4</v>
      </c>
      <c r="K3216" s="118">
        <v>594000</v>
      </c>
      <c r="L3216" s="119"/>
      <c r="M3216" s="118">
        <f t="shared" ref="M3216" si="2428">K3216*0.1</f>
        <v>59400</v>
      </c>
      <c r="N3216" s="119"/>
      <c r="O3216" s="118">
        <v>0</v>
      </c>
      <c r="P3216" s="119"/>
      <c r="Q3216" s="118">
        <v>9790</v>
      </c>
      <c r="R3216" s="119"/>
      <c r="S3216" s="118">
        <v>13750</v>
      </c>
      <c r="T3216" s="119"/>
      <c r="U3216" s="118">
        <f t="shared" ref="U3216" si="2429">SUM(K3216:T3217)</f>
        <v>676940</v>
      </c>
      <c r="V3216" s="122"/>
      <c r="W3216" s="124"/>
      <c r="X3216" s="126" t="s">
        <v>10125</v>
      </c>
      <c r="Y3216" s="127"/>
      <c r="Z3216" s="127"/>
      <c r="AA3216" s="127"/>
      <c r="AB3216" s="128"/>
      <c r="AC3216" s="15" t="s">
        <v>20</v>
      </c>
      <c r="AD3216" s="129"/>
      <c r="AE3216" s="130"/>
      <c r="AF3216" s="130"/>
      <c r="AG3216" s="130"/>
      <c r="AH3216" s="130"/>
      <c r="AI3216" s="131"/>
      <c r="AJ3216" s="132"/>
      <c r="AK3216" s="127"/>
      <c r="AL3216" s="128"/>
      <c r="AM3216" s="21"/>
      <c r="AN3216" s="133">
        <v>46011</v>
      </c>
      <c r="AO3216" s="134"/>
      <c r="AP3216" s="135">
        <v>1281</v>
      </c>
      <c r="AQ3216" s="136"/>
      <c r="AR3216" s="118">
        <v>650000</v>
      </c>
      <c r="AS3216" s="119"/>
      <c r="AT3216" s="118">
        <f t="shared" ref="AT3216" si="2430">AR3216*0.1</f>
        <v>65000</v>
      </c>
      <c r="AU3216" s="119"/>
      <c r="AV3216" s="118">
        <v>9790</v>
      </c>
      <c r="AW3216" s="119"/>
      <c r="AX3216" s="118">
        <f t="shared" ref="AX3216" si="2431">SUM(AR3216:AW3216)</f>
        <v>724790</v>
      </c>
      <c r="AY3216" s="119"/>
      <c r="AZ3216" s="137">
        <v>46014</v>
      </c>
    </row>
    <row r="3217" spans="1:52" ht="17.100000000000001" customHeight="1" thickBot="1">
      <c r="A3217" s="110"/>
      <c r="B3217" s="27" t="s">
        <v>3281</v>
      </c>
      <c r="C3217" s="27">
        <v>241</v>
      </c>
      <c r="D3217" s="14" t="s">
        <v>55</v>
      </c>
      <c r="E3217" s="112"/>
      <c r="F3217" s="139" t="s">
        <v>10124</v>
      </c>
      <c r="G3217" s="140"/>
      <c r="H3217" s="141"/>
      <c r="I3217" s="26">
        <v>58381</v>
      </c>
      <c r="J3217" s="117"/>
      <c r="K3217" s="120"/>
      <c r="L3217" s="121"/>
      <c r="M3217" s="120"/>
      <c r="N3217" s="121"/>
      <c r="O3217" s="120"/>
      <c r="P3217" s="121"/>
      <c r="Q3217" s="120"/>
      <c r="R3217" s="121"/>
      <c r="S3217" s="120"/>
      <c r="T3217" s="121"/>
      <c r="U3217" s="120"/>
      <c r="V3217" s="123"/>
      <c r="W3217" s="125"/>
      <c r="X3217" s="142" t="s">
        <v>10678</v>
      </c>
      <c r="Y3217" s="143"/>
      <c r="Z3217" s="143"/>
      <c r="AA3217" s="143"/>
      <c r="AB3217" s="144"/>
      <c r="AC3217" s="16" t="s">
        <v>21</v>
      </c>
      <c r="AD3217" s="17" t="s">
        <v>10596</v>
      </c>
      <c r="AE3217" s="145" t="s">
        <v>1742</v>
      </c>
      <c r="AF3217" s="146"/>
      <c r="AG3217" s="146"/>
      <c r="AH3217" s="146"/>
      <c r="AI3217" s="147"/>
      <c r="AJ3217" s="148"/>
      <c r="AK3217" s="143"/>
      <c r="AL3217" s="144"/>
      <c r="AM3217" s="22"/>
      <c r="AN3217" s="149" t="s">
        <v>2511</v>
      </c>
      <c r="AO3217" s="144"/>
      <c r="AP3217" s="148">
        <v>60205</v>
      </c>
      <c r="AQ3217" s="144"/>
      <c r="AR3217" s="120"/>
      <c r="AS3217" s="121"/>
      <c r="AT3217" s="120"/>
      <c r="AU3217" s="121"/>
      <c r="AV3217" s="120"/>
      <c r="AW3217" s="121"/>
      <c r="AX3217" s="120"/>
      <c r="AY3217" s="121"/>
      <c r="AZ3217" s="138"/>
    </row>
    <row r="3218" spans="1:52" ht="17.100000000000001" customHeight="1" thickTop="1">
      <c r="A3218" s="109" t="s">
        <v>10208</v>
      </c>
      <c r="B3218" s="28">
        <v>45967</v>
      </c>
      <c r="C3218" s="25">
        <v>2133</v>
      </c>
      <c r="D3218" s="13" t="s">
        <v>2196</v>
      </c>
      <c r="E3218" s="111"/>
      <c r="F3218" s="113" t="s">
        <v>10126</v>
      </c>
      <c r="G3218" s="114"/>
      <c r="H3218" s="115"/>
      <c r="I3218" s="24" t="s">
        <v>2956</v>
      </c>
      <c r="J3218" s="116">
        <v>4</v>
      </c>
      <c r="K3218" s="118">
        <v>622000</v>
      </c>
      <c r="L3218" s="119"/>
      <c r="M3218" s="118">
        <f t="shared" ref="M3218" si="2432">K3218*0.1</f>
        <v>62200</v>
      </c>
      <c r="N3218" s="119"/>
      <c r="O3218" s="118">
        <v>0</v>
      </c>
      <c r="P3218" s="119"/>
      <c r="Q3218" s="118">
        <v>8400</v>
      </c>
      <c r="R3218" s="119"/>
      <c r="S3218" s="118">
        <v>13750</v>
      </c>
      <c r="T3218" s="119"/>
      <c r="U3218" s="118">
        <f t="shared" ref="U3218" si="2433">SUM(K3218:T3219)</f>
        <v>706350</v>
      </c>
      <c r="V3218" s="122"/>
      <c r="W3218" s="124"/>
      <c r="X3218" s="126" t="s">
        <v>10128</v>
      </c>
      <c r="Y3218" s="127"/>
      <c r="Z3218" s="127"/>
      <c r="AA3218" s="127"/>
      <c r="AB3218" s="128"/>
      <c r="AC3218" s="15" t="s">
        <v>20</v>
      </c>
      <c r="AD3218" s="129" t="s">
        <v>10129</v>
      </c>
      <c r="AE3218" s="130"/>
      <c r="AF3218" s="130"/>
      <c r="AG3218" s="130"/>
      <c r="AH3218" s="130"/>
      <c r="AI3218" s="131"/>
      <c r="AJ3218" s="132"/>
      <c r="AK3218" s="127"/>
      <c r="AL3218" s="128"/>
      <c r="AM3218" s="21" t="s">
        <v>12871</v>
      </c>
      <c r="AN3218" s="133">
        <v>45997</v>
      </c>
      <c r="AO3218" s="134"/>
      <c r="AP3218" s="135">
        <v>1279</v>
      </c>
      <c r="AQ3218" s="136"/>
      <c r="AR3218" s="118">
        <v>700000</v>
      </c>
      <c r="AS3218" s="119"/>
      <c r="AT3218" s="118">
        <f t="shared" ref="AT3218" si="2434">AR3218*0.1</f>
        <v>70000</v>
      </c>
      <c r="AU3218" s="119"/>
      <c r="AV3218" s="118">
        <v>8400</v>
      </c>
      <c r="AW3218" s="119"/>
      <c r="AX3218" s="118">
        <f t="shared" ref="AX3218" si="2435">SUM(AR3218:AW3218)</f>
        <v>778400</v>
      </c>
      <c r="AY3218" s="119"/>
      <c r="AZ3218" s="137">
        <v>46007</v>
      </c>
    </row>
    <row r="3219" spans="1:52" ht="17.100000000000001" customHeight="1" thickBot="1">
      <c r="A3219" s="110"/>
      <c r="B3219" s="27" t="s">
        <v>3281</v>
      </c>
      <c r="C3219" s="27">
        <v>2523</v>
      </c>
      <c r="D3219" s="14" t="s">
        <v>2836</v>
      </c>
      <c r="E3219" s="112"/>
      <c r="F3219" s="139" t="s">
        <v>10127</v>
      </c>
      <c r="G3219" s="140"/>
      <c r="H3219" s="141"/>
      <c r="I3219" s="26">
        <v>79645</v>
      </c>
      <c r="J3219" s="117"/>
      <c r="K3219" s="120"/>
      <c r="L3219" s="121"/>
      <c r="M3219" s="120"/>
      <c r="N3219" s="121"/>
      <c r="O3219" s="120"/>
      <c r="P3219" s="121"/>
      <c r="Q3219" s="120"/>
      <c r="R3219" s="121"/>
      <c r="S3219" s="120"/>
      <c r="T3219" s="121"/>
      <c r="U3219" s="120"/>
      <c r="V3219" s="123"/>
      <c r="W3219" s="125"/>
      <c r="X3219" s="142" t="s">
        <v>10526</v>
      </c>
      <c r="Y3219" s="143"/>
      <c r="Z3219" s="143"/>
      <c r="AA3219" s="143"/>
      <c r="AB3219" s="144"/>
      <c r="AC3219" s="16" t="s">
        <v>21</v>
      </c>
      <c r="AD3219" s="17" t="s">
        <v>10500</v>
      </c>
      <c r="AE3219" s="145" t="s">
        <v>10527</v>
      </c>
      <c r="AF3219" s="146"/>
      <c r="AG3219" s="146"/>
      <c r="AH3219" s="146"/>
      <c r="AI3219" s="147"/>
      <c r="AJ3219" s="148"/>
      <c r="AK3219" s="143"/>
      <c r="AL3219" s="144"/>
      <c r="AM3219" s="22"/>
      <c r="AN3219" s="149" t="s">
        <v>6748</v>
      </c>
      <c r="AO3219" s="144"/>
      <c r="AP3219" s="148">
        <v>60223</v>
      </c>
      <c r="AQ3219" s="144"/>
      <c r="AR3219" s="120"/>
      <c r="AS3219" s="121"/>
      <c r="AT3219" s="120"/>
      <c r="AU3219" s="121"/>
      <c r="AV3219" s="120"/>
      <c r="AW3219" s="121"/>
      <c r="AX3219" s="120"/>
      <c r="AY3219" s="121"/>
      <c r="AZ3219" s="138"/>
    </row>
    <row r="3220" spans="1:52" ht="17.100000000000001" customHeight="1" thickTop="1">
      <c r="A3220" s="109" t="s">
        <v>10209</v>
      </c>
      <c r="B3220" s="28">
        <v>45967</v>
      </c>
      <c r="C3220" s="25">
        <v>2133</v>
      </c>
      <c r="D3220" s="13" t="s">
        <v>1561</v>
      </c>
      <c r="E3220" s="111"/>
      <c r="F3220" s="113" t="s">
        <v>10130</v>
      </c>
      <c r="G3220" s="114"/>
      <c r="H3220" s="115"/>
      <c r="I3220" s="24" t="s">
        <v>5485</v>
      </c>
      <c r="J3220" s="116">
        <v>4</v>
      </c>
      <c r="K3220" s="118">
        <v>403000</v>
      </c>
      <c r="L3220" s="119"/>
      <c r="M3220" s="118">
        <f t="shared" ref="M3220" si="2436">K3220*0.1</f>
        <v>40300</v>
      </c>
      <c r="N3220" s="119"/>
      <c r="O3220" s="118">
        <v>0</v>
      </c>
      <c r="P3220" s="119"/>
      <c r="Q3220" s="118">
        <v>8460</v>
      </c>
      <c r="R3220" s="119"/>
      <c r="S3220" s="118">
        <v>13750</v>
      </c>
      <c r="T3220" s="119"/>
      <c r="U3220" s="118">
        <f t="shared" ref="U3220" si="2437">SUM(K3220:T3221)</f>
        <v>465510</v>
      </c>
      <c r="V3220" s="122"/>
      <c r="W3220" s="124"/>
      <c r="X3220" s="126" t="s">
        <v>10132</v>
      </c>
      <c r="Y3220" s="127"/>
      <c r="Z3220" s="127"/>
      <c r="AA3220" s="127"/>
      <c r="AB3220" s="128"/>
      <c r="AC3220" s="15" t="s">
        <v>20</v>
      </c>
      <c r="AD3220" s="129"/>
      <c r="AE3220" s="130"/>
      <c r="AF3220" s="130"/>
      <c r="AG3220" s="130"/>
      <c r="AH3220" s="130"/>
      <c r="AI3220" s="131"/>
      <c r="AJ3220" s="132"/>
      <c r="AK3220" s="127"/>
      <c r="AL3220" s="128"/>
      <c r="AM3220" s="21"/>
      <c r="AN3220" s="133">
        <v>45973</v>
      </c>
      <c r="AO3220" s="134"/>
      <c r="AP3220" s="135">
        <v>992</v>
      </c>
      <c r="AQ3220" s="136"/>
      <c r="AR3220" s="118">
        <v>465000</v>
      </c>
      <c r="AS3220" s="119"/>
      <c r="AT3220" s="118">
        <f t="shared" ref="AT3220" si="2438">AR3220*0.1</f>
        <v>46500</v>
      </c>
      <c r="AU3220" s="119"/>
      <c r="AV3220" s="118">
        <v>8460</v>
      </c>
      <c r="AW3220" s="119"/>
      <c r="AX3220" s="118">
        <f t="shared" ref="AX3220" si="2439">SUM(AR3220:AW3220)</f>
        <v>519960</v>
      </c>
      <c r="AY3220" s="119"/>
      <c r="AZ3220" s="137">
        <v>45978</v>
      </c>
    </row>
    <row r="3221" spans="1:52" ht="17.100000000000001" customHeight="1" thickBot="1">
      <c r="A3221" s="110"/>
      <c r="B3221" s="27" t="s">
        <v>3281</v>
      </c>
      <c r="C3221" s="27">
        <v>2549</v>
      </c>
      <c r="D3221" s="14" t="s">
        <v>2040</v>
      </c>
      <c r="E3221" s="112"/>
      <c r="F3221" s="139" t="s">
        <v>10131</v>
      </c>
      <c r="G3221" s="140"/>
      <c r="H3221" s="141"/>
      <c r="I3221" s="26">
        <v>59216</v>
      </c>
      <c r="J3221" s="117"/>
      <c r="K3221" s="120"/>
      <c r="L3221" s="121"/>
      <c r="M3221" s="120"/>
      <c r="N3221" s="121"/>
      <c r="O3221" s="120"/>
      <c r="P3221" s="121"/>
      <c r="Q3221" s="120"/>
      <c r="R3221" s="121"/>
      <c r="S3221" s="120"/>
      <c r="T3221" s="121"/>
      <c r="U3221" s="120"/>
      <c r="V3221" s="123"/>
      <c r="W3221" s="125"/>
      <c r="X3221" s="142" t="s">
        <v>10525</v>
      </c>
      <c r="Y3221" s="143"/>
      <c r="Z3221" s="143"/>
      <c r="AA3221" s="143"/>
      <c r="AB3221" s="144"/>
      <c r="AC3221" s="16" t="s">
        <v>21</v>
      </c>
      <c r="AD3221" s="17" t="s">
        <v>10500</v>
      </c>
      <c r="AE3221" s="145"/>
      <c r="AF3221" s="146"/>
      <c r="AG3221" s="146"/>
      <c r="AH3221" s="146"/>
      <c r="AI3221" s="147"/>
      <c r="AJ3221" s="148"/>
      <c r="AK3221" s="143"/>
      <c r="AL3221" s="144"/>
      <c r="AM3221" s="22"/>
      <c r="AN3221" s="149" t="s">
        <v>2794</v>
      </c>
      <c r="AO3221" s="144"/>
      <c r="AP3221" s="148">
        <v>2074</v>
      </c>
      <c r="AQ3221" s="144"/>
      <c r="AR3221" s="120"/>
      <c r="AS3221" s="121"/>
      <c r="AT3221" s="120"/>
      <c r="AU3221" s="121"/>
      <c r="AV3221" s="120"/>
      <c r="AW3221" s="121"/>
      <c r="AX3221" s="120"/>
      <c r="AY3221" s="121"/>
      <c r="AZ3221" s="138"/>
    </row>
    <row r="3222" spans="1:52" ht="17.100000000000001" customHeight="1" thickTop="1">
      <c r="A3222" s="109" t="s">
        <v>10210</v>
      </c>
      <c r="B3222" s="28">
        <v>45967</v>
      </c>
      <c r="C3222" s="25">
        <v>2133</v>
      </c>
      <c r="D3222" s="13" t="s">
        <v>1714</v>
      </c>
      <c r="E3222" s="111"/>
      <c r="F3222" s="113" t="s">
        <v>10133</v>
      </c>
      <c r="G3222" s="114"/>
      <c r="H3222" s="115"/>
      <c r="I3222" s="24" t="s">
        <v>8047</v>
      </c>
      <c r="J3222" s="116">
        <v>4</v>
      </c>
      <c r="K3222" s="118">
        <v>766000</v>
      </c>
      <c r="L3222" s="119"/>
      <c r="M3222" s="118">
        <f t="shared" ref="M3222" si="2440">K3222*0.1</f>
        <v>76600</v>
      </c>
      <c r="N3222" s="119"/>
      <c r="O3222" s="118">
        <v>0</v>
      </c>
      <c r="P3222" s="119"/>
      <c r="Q3222" s="118">
        <v>8680</v>
      </c>
      <c r="R3222" s="119"/>
      <c r="S3222" s="118">
        <v>13750</v>
      </c>
      <c r="T3222" s="119"/>
      <c r="U3222" s="118">
        <f t="shared" ref="U3222" si="2441">SUM(K3222:T3223)</f>
        <v>865030</v>
      </c>
      <c r="V3222" s="122"/>
      <c r="W3222" s="124"/>
      <c r="X3222" s="126" t="s">
        <v>10518</v>
      </c>
      <c r="Y3222" s="127"/>
      <c r="Z3222" s="127"/>
      <c r="AA3222" s="127"/>
      <c r="AB3222" s="128"/>
      <c r="AC3222" s="15" t="s">
        <v>20</v>
      </c>
      <c r="AD3222" s="129" t="s">
        <v>10135</v>
      </c>
      <c r="AE3222" s="130"/>
      <c r="AF3222" s="130"/>
      <c r="AG3222" s="130"/>
      <c r="AH3222" s="130"/>
      <c r="AI3222" s="131"/>
      <c r="AJ3222" s="132"/>
      <c r="AK3222" s="127"/>
      <c r="AL3222" s="128"/>
      <c r="AM3222" s="21"/>
      <c r="AN3222" s="133">
        <v>45987</v>
      </c>
      <c r="AO3222" s="134"/>
      <c r="AP3222" s="135">
        <v>994</v>
      </c>
      <c r="AQ3222" s="136"/>
      <c r="AR3222" s="118">
        <v>855000</v>
      </c>
      <c r="AS3222" s="119"/>
      <c r="AT3222" s="118">
        <f t="shared" ref="AT3222" si="2442">AR3222*0.1</f>
        <v>85500</v>
      </c>
      <c r="AU3222" s="119"/>
      <c r="AV3222" s="118">
        <v>8680</v>
      </c>
      <c r="AW3222" s="119"/>
      <c r="AX3222" s="118">
        <f t="shared" ref="AX3222" si="2443">SUM(AR3222:AW3222)</f>
        <v>949180</v>
      </c>
      <c r="AY3222" s="119"/>
      <c r="AZ3222" s="137">
        <v>45992</v>
      </c>
    </row>
    <row r="3223" spans="1:52" ht="17.100000000000001" customHeight="1" thickBot="1">
      <c r="A3223" s="110"/>
      <c r="B3223" s="27" t="s">
        <v>3281</v>
      </c>
      <c r="C3223" s="27">
        <v>2550</v>
      </c>
      <c r="D3223" s="14" t="s">
        <v>275</v>
      </c>
      <c r="E3223" s="112"/>
      <c r="F3223" s="139" t="s">
        <v>10134</v>
      </c>
      <c r="G3223" s="140"/>
      <c r="H3223" s="141"/>
      <c r="I3223" s="26">
        <v>85671</v>
      </c>
      <c r="J3223" s="117"/>
      <c r="K3223" s="120"/>
      <c r="L3223" s="121"/>
      <c r="M3223" s="120"/>
      <c r="N3223" s="121"/>
      <c r="O3223" s="120"/>
      <c r="P3223" s="121"/>
      <c r="Q3223" s="120"/>
      <c r="R3223" s="121"/>
      <c r="S3223" s="120"/>
      <c r="T3223" s="121"/>
      <c r="U3223" s="120"/>
      <c r="V3223" s="123"/>
      <c r="W3223" s="125"/>
      <c r="X3223" s="142" t="s">
        <v>4690</v>
      </c>
      <c r="Y3223" s="143"/>
      <c r="Z3223" s="143"/>
      <c r="AA3223" s="143"/>
      <c r="AB3223" s="144"/>
      <c r="AC3223" s="16" t="s">
        <v>21</v>
      </c>
      <c r="AD3223" s="17" t="s">
        <v>10500</v>
      </c>
      <c r="AE3223" s="145" t="s">
        <v>10519</v>
      </c>
      <c r="AF3223" s="146"/>
      <c r="AG3223" s="146"/>
      <c r="AH3223" s="146"/>
      <c r="AI3223" s="147"/>
      <c r="AJ3223" s="148"/>
      <c r="AK3223" s="143"/>
      <c r="AL3223" s="144"/>
      <c r="AM3223" s="22"/>
      <c r="AN3223" s="149" t="s">
        <v>11801</v>
      </c>
      <c r="AO3223" s="144"/>
      <c r="AP3223" s="148">
        <v>2064</v>
      </c>
      <c r="AQ3223" s="144"/>
      <c r="AR3223" s="120"/>
      <c r="AS3223" s="121"/>
      <c r="AT3223" s="120"/>
      <c r="AU3223" s="121"/>
      <c r="AV3223" s="120"/>
      <c r="AW3223" s="121"/>
      <c r="AX3223" s="120"/>
      <c r="AY3223" s="121"/>
      <c r="AZ3223" s="138"/>
    </row>
    <row r="3224" spans="1:52" ht="17.100000000000001" customHeight="1" thickTop="1">
      <c r="A3224" s="109" t="s">
        <v>10211</v>
      </c>
      <c r="B3224" s="28">
        <v>45967</v>
      </c>
      <c r="C3224" s="25">
        <v>2133</v>
      </c>
      <c r="D3224" s="13" t="s">
        <v>7495</v>
      </c>
      <c r="E3224" s="111"/>
      <c r="F3224" s="113" t="s">
        <v>10136</v>
      </c>
      <c r="G3224" s="114"/>
      <c r="H3224" s="115"/>
      <c r="I3224" s="24"/>
      <c r="J3224" s="116">
        <v>4</v>
      </c>
      <c r="K3224" s="118">
        <v>264000</v>
      </c>
      <c r="L3224" s="119"/>
      <c r="M3224" s="118">
        <f t="shared" ref="M3224" si="2444">K3224*0.1</f>
        <v>26400</v>
      </c>
      <c r="N3224" s="119"/>
      <c r="O3224" s="118">
        <v>0</v>
      </c>
      <c r="P3224" s="119"/>
      <c r="Q3224" s="118">
        <v>9200</v>
      </c>
      <c r="R3224" s="119"/>
      <c r="S3224" s="118">
        <v>13750</v>
      </c>
      <c r="T3224" s="119"/>
      <c r="U3224" s="118">
        <f t="shared" ref="U3224" si="2445">SUM(K3224:T3225)</f>
        <v>313350</v>
      </c>
      <c r="V3224" s="122"/>
      <c r="W3224" s="124"/>
      <c r="X3224" s="126" t="s">
        <v>10523</v>
      </c>
      <c r="Y3224" s="127"/>
      <c r="Z3224" s="127"/>
      <c r="AA3224" s="127"/>
      <c r="AB3224" s="128"/>
      <c r="AC3224" s="15" t="s">
        <v>20</v>
      </c>
      <c r="AD3224" s="129"/>
      <c r="AE3224" s="130"/>
      <c r="AF3224" s="130"/>
      <c r="AG3224" s="130"/>
      <c r="AH3224" s="130"/>
      <c r="AI3224" s="131"/>
      <c r="AJ3224" s="132"/>
      <c r="AK3224" s="127"/>
      <c r="AL3224" s="128"/>
      <c r="AM3224" s="21"/>
      <c r="AN3224" s="133">
        <v>45990</v>
      </c>
      <c r="AO3224" s="134"/>
      <c r="AP3224" s="135">
        <v>1278</v>
      </c>
      <c r="AQ3224" s="136"/>
      <c r="AR3224" s="118">
        <v>340000</v>
      </c>
      <c r="AS3224" s="119"/>
      <c r="AT3224" s="118">
        <f t="shared" ref="AT3224" si="2446">AR3224*0.1</f>
        <v>34000</v>
      </c>
      <c r="AU3224" s="119"/>
      <c r="AV3224" s="118">
        <v>9200</v>
      </c>
      <c r="AW3224" s="119"/>
      <c r="AX3224" s="118">
        <f t="shared" ref="AX3224" si="2447">SUM(AR3224:AW3224)</f>
        <v>383200</v>
      </c>
      <c r="AY3224" s="119"/>
      <c r="AZ3224" s="137">
        <v>46000</v>
      </c>
    </row>
    <row r="3225" spans="1:52" ht="17.100000000000001" customHeight="1" thickBot="1">
      <c r="A3225" s="110"/>
      <c r="B3225" s="27" t="s">
        <v>3281</v>
      </c>
      <c r="C3225" s="27">
        <v>2649</v>
      </c>
      <c r="D3225" s="14" t="s">
        <v>2601</v>
      </c>
      <c r="E3225" s="112"/>
      <c r="F3225" s="139" t="s">
        <v>10137</v>
      </c>
      <c r="G3225" s="140"/>
      <c r="H3225" s="141"/>
      <c r="I3225" s="26">
        <v>22417</v>
      </c>
      <c r="J3225" s="117"/>
      <c r="K3225" s="120"/>
      <c r="L3225" s="121"/>
      <c r="M3225" s="120"/>
      <c r="N3225" s="121"/>
      <c r="O3225" s="120"/>
      <c r="P3225" s="121"/>
      <c r="Q3225" s="120"/>
      <c r="R3225" s="121"/>
      <c r="S3225" s="120"/>
      <c r="T3225" s="121"/>
      <c r="U3225" s="120"/>
      <c r="V3225" s="123"/>
      <c r="W3225" s="125"/>
      <c r="X3225" s="142" t="s">
        <v>10524</v>
      </c>
      <c r="Y3225" s="143"/>
      <c r="Z3225" s="143"/>
      <c r="AA3225" s="143"/>
      <c r="AB3225" s="144"/>
      <c r="AC3225" s="16" t="s">
        <v>21</v>
      </c>
      <c r="AD3225" s="17" t="s">
        <v>10500</v>
      </c>
      <c r="AE3225" s="145" t="s">
        <v>2269</v>
      </c>
      <c r="AF3225" s="146"/>
      <c r="AG3225" s="146"/>
      <c r="AH3225" s="146"/>
      <c r="AI3225" s="147"/>
      <c r="AJ3225" s="148"/>
      <c r="AK3225" s="143"/>
      <c r="AL3225" s="144"/>
      <c r="AM3225" s="22"/>
      <c r="AN3225" s="149" t="s">
        <v>2511</v>
      </c>
      <c r="AO3225" s="144"/>
      <c r="AP3225" s="148">
        <v>60009</v>
      </c>
      <c r="AQ3225" s="144"/>
      <c r="AR3225" s="120"/>
      <c r="AS3225" s="121"/>
      <c r="AT3225" s="120"/>
      <c r="AU3225" s="121"/>
      <c r="AV3225" s="120"/>
      <c r="AW3225" s="121"/>
      <c r="AX3225" s="120"/>
      <c r="AY3225" s="121"/>
      <c r="AZ3225" s="138"/>
    </row>
    <row r="3226" spans="1:52" ht="17.100000000000001" customHeight="1" thickTop="1">
      <c r="A3226" s="109" t="s">
        <v>10212</v>
      </c>
      <c r="B3226" s="28">
        <v>45967</v>
      </c>
      <c r="C3226" s="25">
        <v>2133</v>
      </c>
      <c r="D3226" s="13" t="s">
        <v>2442</v>
      </c>
      <c r="E3226" s="111"/>
      <c r="F3226" s="113" t="s">
        <v>10138</v>
      </c>
      <c r="G3226" s="114"/>
      <c r="H3226" s="115"/>
      <c r="I3226" s="24" t="s">
        <v>4594</v>
      </c>
      <c r="J3226" s="116">
        <v>4.5</v>
      </c>
      <c r="K3226" s="118">
        <v>1063000</v>
      </c>
      <c r="L3226" s="119"/>
      <c r="M3226" s="118">
        <f t="shared" ref="M3226" si="2448">K3226*0.1</f>
        <v>106300</v>
      </c>
      <c r="N3226" s="119"/>
      <c r="O3226" s="118">
        <v>0</v>
      </c>
      <c r="P3226" s="119"/>
      <c r="Q3226" s="118">
        <v>8550</v>
      </c>
      <c r="R3226" s="119"/>
      <c r="S3226" s="118">
        <v>13750</v>
      </c>
      <c r="T3226" s="119"/>
      <c r="U3226" s="118">
        <f t="shared" ref="U3226" si="2449">SUM(K3226:T3227)</f>
        <v>1191600</v>
      </c>
      <c r="V3226" s="122"/>
      <c r="W3226" s="124"/>
      <c r="X3226" s="126" t="s">
        <v>10140</v>
      </c>
      <c r="Y3226" s="127"/>
      <c r="Z3226" s="127"/>
      <c r="AA3226" s="127"/>
      <c r="AB3226" s="128"/>
      <c r="AC3226" s="15" t="s">
        <v>20</v>
      </c>
      <c r="AD3226" s="129" t="s">
        <v>186</v>
      </c>
      <c r="AE3226" s="130"/>
      <c r="AF3226" s="130"/>
      <c r="AG3226" s="130"/>
      <c r="AH3226" s="130"/>
      <c r="AI3226" s="131"/>
      <c r="AJ3226" s="132"/>
      <c r="AK3226" s="127"/>
      <c r="AL3226" s="128"/>
      <c r="AM3226" s="21"/>
      <c r="AN3226" s="133">
        <v>46036</v>
      </c>
      <c r="AO3226" s="134"/>
      <c r="AP3226" s="135">
        <v>1000</v>
      </c>
      <c r="AQ3226" s="136"/>
      <c r="AR3226" s="118">
        <v>1120000</v>
      </c>
      <c r="AS3226" s="119"/>
      <c r="AT3226" s="118">
        <f t="shared" ref="AT3226" si="2450">AR3226*0.1</f>
        <v>112000</v>
      </c>
      <c r="AU3226" s="119"/>
      <c r="AV3226" s="118">
        <v>8550</v>
      </c>
      <c r="AW3226" s="119"/>
      <c r="AX3226" s="118">
        <f t="shared" ref="AX3226" si="2451">SUM(AR3226:AW3226)</f>
        <v>1240550</v>
      </c>
      <c r="AY3226" s="119"/>
      <c r="AZ3226" s="137">
        <v>46041</v>
      </c>
    </row>
    <row r="3227" spans="1:52" ht="17.100000000000001" customHeight="1" thickBot="1">
      <c r="A3227" s="110"/>
      <c r="B3227" s="27" t="s">
        <v>3281</v>
      </c>
      <c r="C3227" s="27">
        <v>2686</v>
      </c>
      <c r="D3227" s="14" t="s">
        <v>275</v>
      </c>
      <c r="E3227" s="112"/>
      <c r="F3227" s="139" t="s">
        <v>10139</v>
      </c>
      <c r="G3227" s="140"/>
      <c r="H3227" s="141"/>
      <c r="I3227" s="26">
        <v>43181</v>
      </c>
      <c r="J3227" s="117"/>
      <c r="K3227" s="120"/>
      <c r="L3227" s="121"/>
      <c r="M3227" s="120"/>
      <c r="N3227" s="121"/>
      <c r="O3227" s="120"/>
      <c r="P3227" s="121"/>
      <c r="Q3227" s="120"/>
      <c r="R3227" s="121"/>
      <c r="S3227" s="120"/>
      <c r="T3227" s="121"/>
      <c r="U3227" s="120"/>
      <c r="V3227" s="123"/>
      <c r="W3227" s="125"/>
      <c r="X3227" s="142" t="s">
        <v>10861</v>
      </c>
      <c r="Y3227" s="143"/>
      <c r="Z3227" s="143"/>
      <c r="AA3227" s="143"/>
      <c r="AB3227" s="144"/>
      <c r="AC3227" s="16" t="s">
        <v>21</v>
      </c>
      <c r="AD3227" s="17" t="s">
        <v>10858</v>
      </c>
      <c r="AE3227" s="145" t="s">
        <v>12630</v>
      </c>
      <c r="AF3227" s="146"/>
      <c r="AG3227" s="146"/>
      <c r="AH3227" s="146"/>
      <c r="AI3227" s="147"/>
      <c r="AJ3227" s="148"/>
      <c r="AK3227" s="143"/>
      <c r="AL3227" s="144"/>
      <c r="AM3227" s="22"/>
      <c r="AN3227" s="149" t="s">
        <v>9053</v>
      </c>
      <c r="AO3227" s="144"/>
      <c r="AP3227" s="148">
        <v>2040</v>
      </c>
      <c r="AQ3227" s="144"/>
      <c r="AR3227" s="120"/>
      <c r="AS3227" s="121"/>
      <c r="AT3227" s="120"/>
      <c r="AU3227" s="121"/>
      <c r="AV3227" s="120"/>
      <c r="AW3227" s="121"/>
      <c r="AX3227" s="120"/>
      <c r="AY3227" s="121"/>
      <c r="AZ3227" s="138"/>
    </row>
    <row r="3228" spans="1:52" ht="17.100000000000001" customHeight="1" thickTop="1">
      <c r="A3228" s="109" t="s">
        <v>10213</v>
      </c>
      <c r="B3228" s="28">
        <v>45967</v>
      </c>
      <c r="C3228" s="25">
        <v>2133</v>
      </c>
      <c r="D3228" s="13" t="s">
        <v>2477</v>
      </c>
      <c r="E3228" s="111"/>
      <c r="F3228" s="113" t="s">
        <v>9226</v>
      </c>
      <c r="G3228" s="114"/>
      <c r="H3228" s="115"/>
      <c r="I3228" s="24"/>
      <c r="J3228" s="116">
        <v>5</v>
      </c>
      <c r="K3228" s="118">
        <v>1351000</v>
      </c>
      <c r="L3228" s="119"/>
      <c r="M3228" s="118">
        <f t="shared" ref="M3228" si="2452">K3228*0.1</f>
        <v>135100</v>
      </c>
      <c r="N3228" s="119"/>
      <c r="O3228" s="118">
        <v>0</v>
      </c>
      <c r="P3228" s="119"/>
      <c r="Q3228" s="118">
        <v>7230</v>
      </c>
      <c r="R3228" s="119"/>
      <c r="S3228" s="118">
        <v>13750</v>
      </c>
      <c r="T3228" s="119"/>
      <c r="U3228" s="118">
        <f t="shared" ref="U3228" si="2453">SUM(K3228:T3229)</f>
        <v>1507080</v>
      </c>
      <c r="V3228" s="122"/>
      <c r="W3228" s="124"/>
      <c r="X3228" s="126" t="s">
        <v>10522</v>
      </c>
      <c r="Y3228" s="127"/>
      <c r="Z3228" s="127"/>
      <c r="AA3228" s="127"/>
      <c r="AB3228" s="128"/>
      <c r="AC3228" s="15" t="s">
        <v>20</v>
      </c>
      <c r="AD3228" s="129"/>
      <c r="AE3228" s="130"/>
      <c r="AF3228" s="130"/>
      <c r="AG3228" s="130"/>
      <c r="AH3228" s="130"/>
      <c r="AI3228" s="131"/>
      <c r="AJ3228" s="132"/>
      <c r="AK3228" s="127"/>
      <c r="AL3228" s="128"/>
      <c r="AM3228" s="21"/>
      <c r="AN3228" s="133">
        <v>45972</v>
      </c>
      <c r="AO3228" s="134"/>
      <c r="AP3228" s="135">
        <v>1917</v>
      </c>
      <c r="AQ3228" s="136"/>
      <c r="AR3228" s="118">
        <v>1391000</v>
      </c>
      <c r="AS3228" s="119"/>
      <c r="AT3228" s="118">
        <f t="shared" ref="AT3228" si="2454">AR3228*0.1</f>
        <v>139100</v>
      </c>
      <c r="AU3228" s="119"/>
      <c r="AV3228" s="118">
        <v>7230</v>
      </c>
      <c r="AW3228" s="119"/>
      <c r="AX3228" s="118">
        <f t="shared" ref="AX3228" si="2455">SUM(AR3228:AW3228)</f>
        <v>1537330</v>
      </c>
      <c r="AY3228" s="119"/>
      <c r="AZ3228" s="137"/>
    </row>
    <row r="3229" spans="1:52" ht="17.100000000000001" customHeight="1" thickBot="1">
      <c r="A3229" s="110"/>
      <c r="B3229" s="27" t="s">
        <v>3281</v>
      </c>
      <c r="C3229" s="27">
        <v>2691</v>
      </c>
      <c r="D3229" s="14" t="s">
        <v>3793</v>
      </c>
      <c r="E3229" s="112"/>
      <c r="F3229" s="139" t="s">
        <v>10141</v>
      </c>
      <c r="G3229" s="140"/>
      <c r="H3229" s="141"/>
      <c r="I3229" s="26">
        <v>2160</v>
      </c>
      <c r="J3229" s="117"/>
      <c r="K3229" s="120"/>
      <c r="L3229" s="121"/>
      <c r="M3229" s="120"/>
      <c r="N3229" s="121"/>
      <c r="O3229" s="120"/>
      <c r="P3229" s="121"/>
      <c r="Q3229" s="120"/>
      <c r="R3229" s="121"/>
      <c r="S3229" s="120"/>
      <c r="T3229" s="121"/>
      <c r="U3229" s="120"/>
      <c r="V3229" s="123"/>
      <c r="W3229" s="125"/>
      <c r="X3229" s="142" t="s">
        <v>2440</v>
      </c>
      <c r="Y3229" s="143"/>
      <c r="Z3229" s="143"/>
      <c r="AA3229" s="143"/>
      <c r="AB3229" s="144"/>
      <c r="AC3229" s="16" t="s">
        <v>21</v>
      </c>
      <c r="AD3229" s="17" t="s">
        <v>10500</v>
      </c>
      <c r="AE3229" s="145"/>
      <c r="AF3229" s="146"/>
      <c r="AG3229" s="146"/>
      <c r="AH3229" s="146"/>
      <c r="AI3229" s="147"/>
      <c r="AJ3229" s="148"/>
      <c r="AK3229" s="143"/>
      <c r="AL3229" s="144"/>
      <c r="AM3229" s="22"/>
      <c r="AN3229" s="149" t="s">
        <v>2131</v>
      </c>
      <c r="AO3229" s="144"/>
      <c r="AP3229" s="148">
        <v>3093</v>
      </c>
      <c r="AQ3229" s="144"/>
      <c r="AR3229" s="120"/>
      <c r="AS3229" s="121"/>
      <c r="AT3229" s="120"/>
      <c r="AU3229" s="121"/>
      <c r="AV3229" s="120"/>
      <c r="AW3229" s="121"/>
      <c r="AX3229" s="120"/>
      <c r="AY3229" s="121"/>
      <c r="AZ3229" s="138"/>
    </row>
    <row r="3230" spans="1:52" ht="17.100000000000001" customHeight="1" thickTop="1">
      <c r="A3230" s="109" t="s">
        <v>10214</v>
      </c>
      <c r="B3230" s="28">
        <v>45967</v>
      </c>
      <c r="C3230" s="25">
        <v>2133</v>
      </c>
      <c r="D3230" s="13" t="s">
        <v>2838</v>
      </c>
      <c r="E3230" s="111"/>
      <c r="F3230" s="113" t="s">
        <v>4580</v>
      </c>
      <c r="G3230" s="114"/>
      <c r="H3230" s="115"/>
      <c r="I3230" s="24"/>
      <c r="J3230" s="116">
        <v>4</v>
      </c>
      <c r="K3230" s="118">
        <v>1469000</v>
      </c>
      <c r="L3230" s="119"/>
      <c r="M3230" s="118">
        <f t="shared" ref="M3230" si="2456">K3230*0.1</f>
        <v>146900</v>
      </c>
      <c r="N3230" s="119"/>
      <c r="O3230" s="118">
        <v>0</v>
      </c>
      <c r="P3230" s="119"/>
      <c r="Q3230" s="118">
        <v>14200</v>
      </c>
      <c r="R3230" s="119"/>
      <c r="S3230" s="118">
        <v>13750</v>
      </c>
      <c r="T3230" s="119"/>
      <c r="U3230" s="118">
        <f t="shared" ref="U3230" si="2457">SUM(K3230:T3231)</f>
        <v>1643850</v>
      </c>
      <c r="V3230" s="122"/>
      <c r="W3230" s="124"/>
      <c r="X3230" s="126" t="s">
        <v>10521</v>
      </c>
      <c r="Y3230" s="127"/>
      <c r="Z3230" s="127"/>
      <c r="AA3230" s="127"/>
      <c r="AB3230" s="128"/>
      <c r="AC3230" s="15" t="s">
        <v>20</v>
      </c>
      <c r="AD3230" s="129"/>
      <c r="AE3230" s="130"/>
      <c r="AF3230" s="130"/>
      <c r="AG3230" s="130"/>
      <c r="AH3230" s="130"/>
      <c r="AI3230" s="131"/>
      <c r="AJ3230" s="132"/>
      <c r="AK3230" s="127"/>
      <c r="AL3230" s="128"/>
      <c r="AM3230" s="21"/>
      <c r="AN3230" s="133">
        <v>46029</v>
      </c>
      <c r="AO3230" s="134"/>
      <c r="AP3230" s="135"/>
      <c r="AQ3230" s="136"/>
      <c r="AR3230" s="118">
        <v>1600000</v>
      </c>
      <c r="AS3230" s="119"/>
      <c r="AT3230" s="118">
        <f t="shared" ref="AT3230" si="2458">AR3230*0.1</f>
        <v>160000</v>
      </c>
      <c r="AU3230" s="119"/>
      <c r="AV3230" s="118">
        <v>14200</v>
      </c>
      <c r="AW3230" s="119"/>
      <c r="AX3230" s="118">
        <f t="shared" ref="AX3230" si="2459">SUM(AR3230:AW3230)</f>
        <v>1774200</v>
      </c>
      <c r="AY3230" s="119"/>
      <c r="AZ3230" s="137"/>
    </row>
    <row r="3231" spans="1:52" ht="17.100000000000001" customHeight="1" thickBot="1">
      <c r="A3231" s="110"/>
      <c r="B3231" s="27" t="s">
        <v>3281</v>
      </c>
      <c r="C3231" s="27">
        <v>2698</v>
      </c>
      <c r="D3231" s="14" t="s">
        <v>275</v>
      </c>
      <c r="E3231" s="112"/>
      <c r="F3231" s="139" t="s">
        <v>10142</v>
      </c>
      <c r="G3231" s="140"/>
      <c r="H3231" s="141"/>
      <c r="I3231" s="26">
        <v>3619</v>
      </c>
      <c r="J3231" s="117"/>
      <c r="K3231" s="120"/>
      <c r="L3231" s="121"/>
      <c r="M3231" s="120"/>
      <c r="N3231" s="121"/>
      <c r="O3231" s="120"/>
      <c r="P3231" s="121"/>
      <c r="Q3231" s="120"/>
      <c r="R3231" s="121"/>
      <c r="S3231" s="120"/>
      <c r="T3231" s="121"/>
      <c r="U3231" s="120"/>
      <c r="V3231" s="123"/>
      <c r="W3231" s="125"/>
      <c r="X3231" s="142" t="s">
        <v>2440</v>
      </c>
      <c r="Y3231" s="143"/>
      <c r="Z3231" s="143"/>
      <c r="AA3231" s="143"/>
      <c r="AB3231" s="144"/>
      <c r="AC3231" s="16" t="s">
        <v>21</v>
      </c>
      <c r="AD3231" s="17" t="s">
        <v>10500</v>
      </c>
      <c r="AE3231" s="145"/>
      <c r="AF3231" s="146"/>
      <c r="AG3231" s="146"/>
      <c r="AH3231" s="146"/>
      <c r="AI3231" s="147"/>
      <c r="AJ3231" s="148"/>
      <c r="AK3231" s="143"/>
      <c r="AL3231" s="144"/>
      <c r="AM3231" s="22"/>
      <c r="AN3231" s="149" t="s">
        <v>6789</v>
      </c>
      <c r="AO3231" s="144"/>
      <c r="AP3231" s="148">
        <v>56669</v>
      </c>
      <c r="AQ3231" s="144"/>
      <c r="AR3231" s="120"/>
      <c r="AS3231" s="121"/>
      <c r="AT3231" s="120"/>
      <c r="AU3231" s="121"/>
      <c r="AV3231" s="120"/>
      <c r="AW3231" s="121"/>
      <c r="AX3231" s="120"/>
      <c r="AY3231" s="121"/>
      <c r="AZ3231" s="138"/>
    </row>
    <row r="3232" spans="1:52" ht="17.100000000000001" customHeight="1" thickTop="1">
      <c r="A3232" s="109" t="s">
        <v>10215</v>
      </c>
      <c r="B3232" s="28">
        <v>45967</v>
      </c>
      <c r="C3232" s="25">
        <v>2133</v>
      </c>
      <c r="D3232" s="13" t="s">
        <v>4121</v>
      </c>
      <c r="E3232" s="111"/>
      <c r="F3232" s="113" t="s">
        <v>2993</v>
      </c>
      <c r="G3232" s="114"/>
      <c r="H3232" s="115"/>
      <c r="I3232" s="24"/>
      <c r="J3232" s="116">
        <v>4.5</v>
      </c>
      <c r="K3232" s="118">
        <v>771000</v>
      </c>
      <c r="L3232" s="119"/>
      <c r="M3232" s="118">
        <f t="shared" ref="M3232" si="2460">K3232*0.1</f>
        <v>77100</v>
      </c>
      <c r="N3232" s="119"/>
      <c r="O3232" s="118">
        <v>0</v>
      </c>
      <c r="P3232" s="119"/>
      <c r="Q3232" s="118">
        <v>8400</v>
      </c>
      <c r="R3232" s="119"/>
      <c r="S3232" s="118">
        <v>13750</v>
      </c>
      <c r="T3232" s="119"/>
      <c r="U3232" s="118">
        <f t="shared" ref="U3232" si="2461">SUM(K3232:T3233)</f>
        <v>870250</v>
      </c>
      <c r="V3232" s="122"/>
      <c r="W3232" s="124"/>
      <c r="X3232" s="126" t="s">
        <v>10520</v>
      </c>
      <c r="Y3232" s="127"/>
      <c r="Z3232" s="127"/>
      <c r="AA3232" s="127"/>
      <c r="AB3232" s="128"/>
      <c r="AC3232" s="15" t="s">
        <v>20</v>
      </c>
      <c r="AD3232" s="129"/>
      <c r="AE3232" s="130"/>
      <c r="AF3232" s="130"/>
      <c r="AG3232" s="130"/>
      <c r="AH3232" s="130"/>
      <c r="AI3232" s="131"/>
      <c r="AJ3232" s="132"/>
      <c r="AK3232" s="127"/>
      <c r="AL3232" s="128"/>
      <c r="AM3232" s="21"/>
      <c r="AN3232" s="133">
        <v>45983</v>
      </c>
      <c r="AO3232" s="134"/>
      <c r="AP3232" s="135">
        <v>1277</v>
      </c>
      <c r="AQ3232" s="136"/>
      <c r="AR3232" s="118">
        <v>840000</v>
      </c>
      <c r="AS3232" s="119"/>
      <c r="AT3232" s="118">
        <f t="shared" ref="AT3232" si="2462">AR3232*0.1</f>
        <v>84000</v>
      </c>
      <c r="AU3232" s="119"/>
      <c r="AV3232" s="118">
        <v>8400</v>
      </c>
      <c r="AW3232" s="119"/>
      <c r="AX3232" s="118">
        <f t="shared" ref="AX3232" si="2463">SUM(AR3232:AW3232)</f>
        <v>932400</v>
      </c>
      <c r="AY3232" s="119"/>
      <c r="AZ3232" s="137">
        <v>45987</v>
      </c>
    </row>
    <row r="3233" spans="1:52" ht="17.100000000000001" customHeight="1" thickBot="1">
      <c r="A3233" s="110"/>
      <c r="B3233" s="27" t="s">
        <v>3281</v>
      </c>
      <c r="C3233" s="27">
        <v>2700</v>
      </c>
      <c r="D3233" s="14" t="s">
        <v>275</v>
      </c>
      <c r="E3233" s="112"/>
      <c r="F3233" s="139" t="s">
        <v>10143</v>
      </c>
      <c r="G3233" s="140"/>
      <c r="H3233" s="141"/>
      <c r="I3233" s="26">
        <v>28509</v>
      </c>
      <c r="J3233" s="117"/>
      <c r="K3233" s="120"/>
      <c r="L3233" s="121"/>
      <c r="M3233" s="120"/>
      <c r="N3233" s="121"/>
      <c r="O3233" s="120"/>
      <c r="P3233" s="121"/>
      <c r="Q3233" s="120"/>
      <c r="R3233" s="121"/>
      <c r="S3233" s="120"/>
      <c r="T3233" s="121"/>
      <c r="U3233" s="120"/>
      <c r="V3233" s="123"/>
      <c r="W3233" s="125"/>
      <c r="X3233" s="142" t="s">
        <v>3884</v>
      </c>
      <c r="Y3233" s="143"/>
      <c r="Z3233" s="143"/>
      <c r="AA3233" s="143"/>
      <c r="AB3233" s="144"/>
      <c r="AC3233" s="16" t="s">
        <v>21</v>
      </c>
      <c r="AD3233" s="17" t="s">
        <v>10500</v>
      </c>
      <c r="AE3233" s="145"/>
      <c r="AF3233" s="146"/>
      <c r="AG3233" s="146"/>
      <c r="AH3233" s="146"/>
      <c r="AI3233" s="147"/>
      <c r="AJ3233" s="148"/>
      <c r="AK3233" s="143"/>
      <c r="AL3233" s="144"/>
      <c r="AM3233" s="22"/>
      <c r="AN3233" s="149" t="s">
        <v>2511</v>
      </c>
      <c r="AO3233" s="144"/>
      <c r="AP3233" s="148">
        <v>60259</v>
      </c>
      <c r="AQ3233" s="144"/>
      <c r="AR3233" s="120"/>
      <c r="AS3233" s="121"/>
      <c r="AT3233" s="120"/>
      <c r="AU3233" s="121"/>
      <c r="AV3233" s="120"/>
      <c r="AW3233" s="121"/>
      <c r="AX3233" s="120"/>
      <c r="AY3233" s="121"/>
      <c r="AZ3233" s="138"/>
    </row>
    <row r="3234" spans="1:52" ht="17.100000000000001" customHeight="1" thickTop="1">
      <c r="A3234" s="109" t="s">
        <v>10284</v>
      </c>
      <c r="B3234" s="28">
        <v>45968</v>
      </c>
      <c r="C3234" s="25">
        <v>66</v>
      </c>
      <c r="D3234" s="13" t="s">
        <v>1688</v>
      </c>
      <c r="E3234" s="111"/>
      <c r="F3234" s="113" t="s">
        <v>10254</v>
      </c>
      <c r="G3234" s="114"/>
      <c r="H3234" s="115"/>
      <c r="I3234" s="24" t="s">
        <v>1559</v>
      </c>
      <c r="J3234" s="116">
        <v>4</v>
      </c>
      <c r="K3234" s="118">
        <v>780000</v>
      </c>
      <c r="L3234" s="119"/>
      <c r="M3234" s="118">
        <f t="shared" ref="M3234" si="2464">K3234*0.1</f>
        <v>78000</v>
      </c>
      <c r="N3234" s="119"/>
      <c r="O3234" s="118">
        <v>0</v>
      </c>
      <c r="P3234" s="119"/>
      <c r="Q3234" s="118">
        <v>6860</v>
      </c>
      <c r="R3234" s="119"/>
      <c r="S3234" s="118">
        <v>33000</v>
      </c>
      <c r="T3234" s="119"/>
      <c r="U3234" s="118">
        <f t="shared" ref="U3234" si="2465">SUM(K3234:T3235)</f>
        <v>897860</v>
      </c>
      <c r="V3234" s="122"/>
      <c r="W3234" s="124"/>
      <c r="X3234" s="126" t="s">
        <v>12002</v>
      </c>
      <c r="Y3234" s="127"/>
      <c r="Z3234" s="127"/>
      <c r="AA3234" s="127"/>
      <c r="AB3234" s="128"/>
      <c r="AC3234" s="15" t="s">
        <v>20</v>
      </c>
      <c r="AD3234" s="129" t="s">
        <v>10256</v>
      </c>
      <c r="AE3234" s="130"/>
      <c r="AF3234" s="130"/>
      <c r="AG3234" s="130"/>
      <c r="AH3234" s="130"/>
      <c r="AI3234" s="131"/>
      <c r="AJ3234" s="132"/>
      <c r="AK3234" s="127"/>
      <c r="AL3234" s="128"/>
      <c r="AM3234" s="21"/>
      <c r="AN3234" s="133">
        <v>45990</v>
      </c>
      <c r="AO3234" s="134"/>
      <c r="AP3234" s="135">
        <v>1278</v>
      </c>
      <c r="AQ3234" s="136"/>
      <c r="AR3234" s="118">
        <v>940000</v>
      </c>
      <c r="AS3234" s="119"/>
      <c r="AT3234" s="118">
        <f t="shared" ref="AT3234" si="2466">AR3234*0.1</f>
        <v>94000</v>
      </c>
      <c r="AU3234" s="119"/>
      <c r="AV3234" s="118">
        <v>6860</v>
      </c>
      <c r="AW3234" s="119"/>
      <c r="AX3234" s="118">
        <f t="shared" ref="AX3234" si="2467">SUM(AR3234:AW3234)</f>
        <v>1040860</v>
      </c>
      <c r="AY3234" s="119"/>
      <c r="AZ3234" s="137">
        <v>45994</v>
      </c>
    </row>
    <row r="3235" spans="1:52" ht="17.100000000000001" customHeight="1" thickBot="1">
      <c r="A3235" s="110"/>
      <c r="B3235" s="27" t="s">
        <v>4544</v>
      </c>
      <c r="C3235" s="27">
        <v>1016</v>
      </c>
      <c r="D3235" s="14" t="s">
        <v>1720</v>
      </c>
      <c r="E3235" s="112"/>
      <c r="F3235" s="139" t="s">
        <v>10255</v>
      </c>
      <c r="G3235" s="140"/>
      <c r="H3235" s="141"/>
      <c r="I3235" s="26">
        <v>6858</v>
      </c>
      <c r="J3235" s="117"/>
      <c r="K3235" s="120"/>
      <c r="L3235" s="121"/>
      <c r="M3235" s="120"/>
      <c r="N3235" s="121"/>
      <c r="O3235" s="120"/>
      <c r="P3235" s="121"/>
      <c r="Q3235" s="120"/>
      <c r="R3235" s="121"/>
      <c r="S3235" s="120"/>
      <c r="T3235" s="121"/>
      <c r="U3235" s="120"/>
      <c r="V3235" s="123"/>
      <c r="W3235" s="125"/>
      <c r="X3235" s="142" t="s">
        <v>12003</v>
      </c>
      <c r="Y3235" s="143"/>
      <c r="Z3235" s="143"/>
      <c r="AA3235" s="143"/>
      <c r="AB3235" s="144"/>
      <c r="AC3235" s="16" t="s">
        <v>21</v>
      </c>
      <c r="AD3235" s="17" t="s">
        <v>12001</v>
      </c>
      <c r="AE3235" s="145" t="s">
        <v>1633</v>
      </c>
      <c r="AF3235" s="146"/>
      <c r="AG3235" s="146"/>
      <c r="AH3235" s="146"/>
      <c r="AI3235" s="147"/>
      <c r="AJ3235" s="148"/>
      <c r="AK3235" s="143"/>
      <c r="AL3235" s="144"/>
      <c r="AM3235" s="22"/>
      <c r="AN3235" s="149" t="s">
        <v>7284</v>
      </c>
      <c r="AO3235" s="144"/>
      <c r="AP3235" s="148">
        <v>65391</v>
      </c>
      <c r="AQ3235" s="144"/>
      <c r="AR3235" s="120"/>
      <c r="AS3235" s="121"/>
      <c r="AT3235" s="120"/>
      <c r="AU3235" s="121"/>
      <c r="AV3235" s="120"/>
      <c r="AW3235" s="121"/>
      <c r="AX3235" s="120"/>
      <c r="AY3235" s="121"/>
      <c r="AZ3235" s="138"/>
    </row>
    <row r="3236" spans="1:52" ht="17.100000000000001" customHeight="1" thickTop="1">
      <c r="A3236" s="151" t="s">
        <v>10285</v>
      </c>
      <c r="B3236" s="28">
        <v>45968</v>
      </c>
      <c r="C3236" s="25">
        <v>66</v>
      </c>
      <c r="D3236" s="13" t="s">
        <v>1988</v>
      </c>
      <c r="E3236" s="111"/>
      <c r="F3236" s="113" t="s">
        <v>10257</v>
      </c>
      <c r="G3236" s="114"/>
      <c r="H3236" s="115"/>
      <c r="I3236" s="24" t="s">
        <v>2112</v>
      </c>
      <c r="J3236" s="116">
        <v>4.5</v>
      </c>
      <c r="K3236" s="118">
        <v>2055000</v>
      </c>
      <c r="L3236" s="119"/>
      <c r="M3236" s="118">
        <f t="shared" ref="M3236" si="2468">K3236*0.1</f>
        <v>205500</v>
      </c>
      <c r="N3236" s="119"/>
      <c r="O3236" s="118">
        <f>7600+760</f>
        <v>8360</v>
      </c>
      <c r="P3236" s="119"/>
      <c r="Q3236" s="118">
        <v>11740</v>
      </c>
      <c r="R3236" s="119"/>
      <c r="S3236" s="118">
        <v>66000</v>
      </c>
      <c r="T3236" s="119"/>
      <c r="U3236" s="118">
        <f t="shared" ref="U3236" si="2469">SUM(K3236:T3237)</f>
        <v>2346600</v>
      </c>
      <c r="V3236" s="122"/>
      <c r="W3236" s="124"/>
      <c r="X3236" s="126" t="s">
        <v>14620</v>
      </c>
      <c r="Y3236" s="127"/>
      <c r="Z3236" s="127"/>
      <c r="AA3236" s="127"/>
      <c r="AB3236" s="128"/>
      <c r="AC3236" s="15" t="s">
        <v>20</v>
      </c>
      <c r="AD3236" s="129" t="s">
        <v>10018</v>
      </c>
      <c r="AE3236" s="130"/>
      <c r="AF3236" s="130"/>
      <c r="AG3236" s="130"/>
      <c r="AH3236" s="130"/>
      <c r="AI3236" s="131"/>
      <c r="AJ3236" s="132"/>
      <c r="AK3236" s="127"/>
      <c r="AL3236" s="128"/>
      <c r="AM3236" s="21"/>
      <c r="AN3236" s="133">
        <v>46032</v>
      </c>
      <c r="AO3236" s="134"/>
      <c r="AP3236" s="135">
        <v>1283</v>
      </c>
      <c r="AQ3236" s="136"/>
      <c r="AR3236" s="118">
        <v>2170000</v>
      </c>
      <c r="AS3236" s="119"/>
      <c r="AT3236" s="118">
        <f t="shared" ref="AT3236" si="2470">AR3236*0.1</f>
        <v>217000</v>
      </c>
      <c r="AU3236" s="119"/>
      <c r="AV3236" s="118">
        <v>11740</v>
      </c>
      <c r="AW3236" s="119"/>
      <c r="AX3236" s="118">
        <f t="shared" ref="AX3236" si="2471">SUM(AR3236:AW3236)</f>
        <v>2398740</v>
      </c>
      <c r="AY3236" s="119"/>
      <c r="AZ3236" s="137">
        <v>46036</v>
      </c>
    </row>
    <row r="3237" spans="1:52" ht="17.100000000000001" customHeight="1" thickBot="1">
      <c r="A3237" s="152"/>
      <c r="B3237" s="27" t="s">
        <v>4544</v>
      </c>
      <c r="C3237" s="27">
        <v>1031</v>
      </c>
      <c r="D3237" s="14" t="s">
        <v>2601</v>
      </c>
      <c r="E3237" s="112"/>
      <c r="F3237" s="139" t="s">
        <v>10258</v>
      </c>
      <c r="G3237" s="140"/>
      <c r="H3237" s="141"/>
      <c r="I3237" s="26">
        <v>46705</v>
      </c>
      <c r="J3237" s="117"/>
      <c r="K3237" s="120"/>
      <c r="L3237" s="121"/>
      <c r="M3237" s="120"/>
      <c r="N3237" s="121"/>
      <c r="O3237" s="120"/>
      <c r="P3237" s="121"/>
      <c r="Q3237" s="120"/>
      <c r="R3237" s="121"/>
      <c r="S3237" s="120"/>
      <c r="T3237" s="121"/>
      <c r="U3237" s="120"/>
      <c r="V3237" s="123"/>
      <c r="W3237" s="125"/>
      <c r="X3237" s="142" t="s">
        <v>4285</v>
      </c>
      <c r="Y3237" s="143"/>
      <c r="Z3237" s="143"/>
      <c r="AA3237" s="143"/>
      <c r="AB3237" s="144"/>
      <c r="AC3237" s="16" t="s">
        <v>21</v>
      </c>
      <c r="AD3237" s="17" t="s">
        <v>4121</v>
      </c>
      <c r="AE3237" s="145" t="s">
        <v>14622</v>
      </c>
      <c r="AF3237" s="146"/>
      <c r="AG3237" s="146"/>
      <c r="AH3237" s="146"/>
      <c r="AI3237" s="147"/>
      <c r="AJ3237" s="148"/>
      <c r="AK3237" s="143"/>
      <c r="AL3237" s="144"/>
      <c r="AM3237" s="22"/>
      <c r="AN3237" s="149" t="s">
        <v>2511</v>
      </c>
      <c r="AO3237" s="144"/>
      <c r="AP3237" s="148">
        <v>37797</v>
      </c>
      <c r="AQ3237" s="144"/>
      <c r="AR3237" s="120"/>
      <c r="AS3237" s="121"/>
      <c r="AT3237" s="120"/>
      <c r="AU3237" s="121"/>
      <c r="AV3237" s="120"/>
      <c r="AW3237" s="121"/>
      <c r="AX3237" s="120"/>
      <c r="AY3237" s="121"/>
      <c r="AZ3237" s="138"/>
    </row>
    <row r="3238" spans="1:52" ht="17.100000000000001" customHeight="1" thickTop="1">
      <c r="A3238" s="109" t="s">
        <v>10286</v>
      </c>
      <c r="B3238" s="28">
        <v>45968</v>
      </c>
      <c r="C3238" s="25">
        <v>66</v>
      </c>
      <c r="D3238" s="13" t="s">
        <v>2859</v>
      </c>
      <c r="E3238" s="111"/>
      <c r="F3238" s="113" t="s">
        <v>10259</v>
      </c>
      <c r="G3238" s="114"/>
      <c r="H3238" s="115"/>
      <c r="I3238" s="24" t="s">
        <v>2861</v>
      </c>
      <c r="J3238" s="116">
        <v>5</v>
      </c>
      <c r="K3238" s="118">
        <v>2005000</v>
      </c>
      <c r="L3238" s="119"/>
      <c r="M3238" s="118">
        <f t="shared" ref="M3238" si="2472">K3238*0.1</f>
        <v>200500</v>
      </c>
      <c r="N3238" s="119"/>
      <c r="O3238" s="118">
        <v>0</v>
      </c>
      <c r="P3238" s="119"/>
      <c r="Q3238" s="118">
        <v>7790</v>
      </c>
      <c r="R3238" s="119"/>
      <c r="S3238" s="118">
        <v>66000</v>
      </c>
      <c r="T3238" s="119"/>
      <c r="U3238" s="118">
        <f t="shared" ref="U3238" si="2473">SUM(K3238:T3239)</f>
        <v>2279290</v>
      </c>
      <c r="V3238" s="122"/>
      <c r="W3238" s="124"/>
      <c r="X3238" s="126" t="s">
        <v>11888</v>
      </c>
      <c r="Y3238" s="127"/>
      <c r="Z3238" s="127"/>
      <c r="AA3238" s="127"/>
      <c r="AB3238" s="128"/>
      <c r="AC3238" s="15" t="s">
        <v>20</v>
      </c>
      <c r="AD3238" s="129" t="s">
        <v>10261</v>
      </c>
      <c r="AE3238" s="130"/>
      <c r="AF3238" s="130"/>
      <c r="AG3238" s="130"/>
      <c r="AH3238" s="130"/>
      <c r="AI3238" s="131"/>
      <c r="AJ3238" s="132"/>
      <c r="AK3238" s="127"/>
      <c r="AL3238" s="128"/>
      <c r="AM3238" s="21"/>
      <c r="AN3238" s="133">
        <v>45993</v>
      </c>
      <c r="AO3238" s="134"/>
      <c r="AP3238" s="135">
        <v>1920</v>
      </c>
      <c r="AQ3238" s="136"/>
      <c r="AR3238" s="118">
        <v>2201000</v>
      </c>
      <c r="AS3238" s="119"/>
      <c r="AT3238" s="118">
        <f t="shared" ref="AT3238" si="2474">AR3238*0.1</f>
        <v>220100</v>
      </c>
      <c r="AU3238" s="119"/>
      <c r="AV3238" s="118">
        <v>7790</v>
      </c>
      <c r="AW3238" s="119"/>
      <c r="AX3238" s="118">
        <f t="shared" ref="AX3238" si="2475">SUM(AR3238:AW3238)</f>
        <v>2428890</v>
      </c>
      <c r="AY3238" s="119"/>
      <c r="AZ3238" s="137"/>
    </row>
    <row r="3239" spans="1:52" ht="17.100000000000001" customHeight="1" thickBot="1">
      <c r="A3239" s="110"/>
      <c r="B3239" s="27" t="s">
        <v>4544</v>
      </c>
      <c r="C3239" s="27">
        <v>1038</v>
      </c>
      <c r="D3239" s="14" t="s">
        <v>2836</v>
      </c>
      <c r="E3239" s="112"/>
      <c r="F3239" s="139" t="s">
        <v>10260</v>
      </c>
      <c r="G3239" s="140"/>
      <c r="H3239" s="141"/>
      <c r="I3239" s="26">
        <v>17353</v>
      </c>
      <c r="J3239" s="117"/>
      <c r="K3239" s="120"/>
      <c r="L3239" s="121"/>
      <c r="M3239" s="120"/>
      <c r="N3239" s="121"/>
      <c r="O3239" s="120"/>
      <c r="P3239" s="121"/>
      <c r="Q3239" s="120"/>
      <c r="R3239" s="121"/>
      <c r="S3239" s="120"/>
      <c r="T3239" s="121"/>
      <c r="U3239" s="120"/>
      <c r="V3239" s="123"/>
      <c r="W3239" s="125"/>
      <c r="X3239" s="142" t="s">
        <v>11889</v>
      </c>
      <c r="Y3239" s="143"/>
      <c r="Z3239" s="143"/>
      <c r="AA3239" s="143"/>
      <c r="AB3239" s="144"/>
      <c r="AC3239" s="16" t="s">
        <v>21</v>
      </c>
      <c r="AD3239" s="17" t="s">
        <v>1723</v>
      </c>
      <c r="AE3239" s="145" t="s">
        <v>1742</v>
      </c>
      <c r="AF3239" s="146"/>
      <c r="AG3239" s="146"/>
      <c r="AH3239" s="146"/>
      <c r="AI3239" s="147"/>
      <c r="AJ3239" s="148"/>
      <c r="AK3239" s="143"/>
      <c r="AL3239" s="144"/>
      <c r="AM3239" s="22"/>
      <c r="AN3239" s="149" t="s">
        <v>2131</v>
      </c>
      <c r="AO3239" s="144"/>
      <c r="AP3239" s="148">
        <v>3321</v>
      </c>
      <c r="AQ3239" s="144"/>
      <c r="AR3239" s="120"/>
      <c r="AS3239" s="121"/>
      <c r="AT3239" s="120"/>
      <c r="AU3239" s="121"/>
      <c r="AV3239" s="120"/>
      <c r="AW3239" s="121"/>
      <c r="AX3239" s="120"/>
      <c r="AY3239" s="121"/>
      <c r="AZ3239" s="138"/>
    </row>
    <row r="3240" spans="1:52" ht="17.100000000000001" customHeight="1" thickTop="1">
      <c r="A3240" s="109" t="s">
        <v>10287</v>
      </c>
      <c r="B3240" s="28">
        <v>45968</v>
      </c>
      <c r="C3240" s="25">
        <v>66</v>
      </c>
      <c r="D3240" s="13" t="s">
        <v>1971</v>
      </c>
      <c r="E3240" s="111"/>
      <c r="F3240" s="113" t="s">
        <v>10262</v>
      </c>
      <c r="G3240" s="114"/>
      <c r="H3240" s="115"/>
      <c r="I3240" s="24" t="s">
        <v>2919</v>
      </c>
      <c r="J3240" s="116">
        <v>4</v>
      </c>
      <c r="K3240" s="118">
        <v>2555000</v>
      </c>
      <c r="L3240" s="119"/>
      <c r="M3240" s="118">
        <f t="shared" ref="M3240" si="2476">K3240*0.1</f>
        <v>255500</v>
      </c>
      <c r="N3240" s="119"/>
      <c r="O3240" s="118">
        <f>12000+1200</f>
        <v>13200</v>
      </c>
      <c r="P3240" s="119"/>
      <c r="Q3240" s="118">
        <v>12160</v>
      </c>
      <c r="R3240" s="119"/>
      <c r="S3240" s="118">
        <v>66000</v>
      </c>
      <c r="T3240" s="119"/>
      <c r="U3240" s="118">
        <f t="shared" ref="U3240" si="2477">SUM(K3240:T3241)</f>
        <v>2901860</v>
      </c>
      <c r="V3240" s="122"/>
      <c r="W3240" s="124"/>
      <c r="X3240" s="126" t="s">
        <v>11491</v>
      </c>
      <c r="Y3240" s="127"/>
      <c r="Z3240" s="127"/>
      <c r="AA3240" s="127"/>
      <c r="AB3240" s="128"/>
      <c r="AC3240" s="15" t="s">
        <v>20</v>
      </c>
      <c r="AD3240" s="129" t="s">
        <v>9477</v>
      </c>
      <c r="AE3240" s="130"/>
      <c r="AF3240" s="130"/>
      <c r="AG3240" s="130"/>
      <c r="AH3240" s="130"/>
      <c r="AI3240" s="131"/>
      <c r="AJ3240" s="132"/>
      <c r="AK3240" s="127"/>
      <c r="AL3240" s="128"/>
      <c r="AM3240" s="21"/>
      <c r="AN3240" s="133">
        <v>45990</v>
      </c>
      <c r="AO3240" s="134"/>
      <c r="AP3240" s="135">
        <v>1278</v>
      </c>
      <c r="AQ3240" s="136"/>
      <c r="AR3240" s="118">
        <v>2635000</v>
      </c>
      <c r="AS3240" s="119"/>
      <c r="AT3240" s="118">
        <f t="shared" ref="AT3240" si="2478">AR3240*0.1</f>
        <v>263500</v>
      </c>
      <c r="AU3240" s="119"/>
      <c r="AV3240" s="118">
        <v>12100</v>
      </c>
      <c r="AW3240" s="119"/>
      <c r="AX3240" s="118">
        <f t="shared" ref="AX3240" si="2479">SUM(AR3240:AW3240)</f>
        <v>2910600</v>
      </c>
      <c r="AY3240" s="119"/>
      <c r="AZ3240" s="137">
        <v>45994</v>
      </c>
    </row>
    <row r="3241" spans="1:52" ht="17.100000000000001" customHeight="1" thickBot="1">
      <c r="A3241" s="110"/>
      <c r="B3241" s="27" t="s">
        <v>4544</v>
      </c>
      <c r="C3241" s="27">
        <v>1054</v>
      </c>
      <c r="D3241" s="14" t="s">
        <v>275</v>
      </c>
      <c r="E3241" s="112"/>
      <c r="F3241" s="139" t="s">
        <v>10263</v>
      </c>
      <c r="G3241" s="140"/>
      <c r="H3241" s="141"/>
      <c r="I3241" s="26">
        <v>20394</v>
      </c>
      <c r="J3241" s="117"/>
      <c r="K3241" s="120"/>
      <c r="L3241" s="121"/>
      <c r="M3241" s="120"/>
      <c r="N3241" s="121"/>
      <c r="O3241" s="120"/>
      <c r="P3241" s="121"/>
      <c r="Q3241" s="120"/>
      <c r="R3241" s="121"/>
      <c r="S3241" s="120"/>
      <c r="T3241" s="121"/>
      <c r="U3241" s="120"/>
      <c r="V3241" s="123"/>
      <c r="W3241" s="125"/>
      <c r="X3241" s="142" t="s">
        <v>11492</v>
      </c>
      <c r="Y3241" s="143"/>
      <c r="Z3241" s="143"/>
      <c r="AA3241" s="143"/>
      <c r="AB3241" s="144"/>
      <c r="AC3241" s="16" t="s">
        <v>21</v>
      </c>
      <c r="AD3241" s="17" t="s">
        <v>2203</v>
      </c>
      <c r="AE3241" s="145" t="s">
        <v>2347</v>
      </c>
      <c r="AF3241" s="146"/>
      <c r="AG3241" s="146"/>
      <c r="AH3241" s="146"/>
      <c r="AI3241" s="147"/>
      <c r="AJ3241" s="148"/>
      <c r="AK3241" s="143"/>
      <c r="AL3241" s="144"/>
      <c r="AM3241" s="22"/>
      <c r="AN3241" s="149" t="s">
        <v>2511</v>
      </c>
      <c r="AO3241" s="144"/>
      <c r="AP3241" s="148">
        <v>37099</v>
      </c>
      <c r="AQ3241" s="144"/>
      <c r="AR3241" s="120"/>
      <c r="AS3241" s="121"/>
      <c r="AT3241" s="120"/>
      <c r="AU3241" s="121"/>
      <c r="AV3241" s="120"/>
      <c r="AW3241" s="121"/>
      <c r="AX3241" s="120"/>
      <c r="AY3241" s="121"/>
      <c r="AZ3241" s="138"/>
    </row>
    <row r="3242" spans="1:52" ht="17.100000000000001" customHeight="1" thickTop="1">
      <c r="A3242" s="109" t="s">
        <v>10288</v>
      </c>
      <c r="B3242" s="28">
        <v>45968</v>
      </c>
      <c r="C3242" s="25">
        <v>66</v>
      </c>
      <c r="D3242" s="13" t="s">
        <v>2477</v>
      </c>
      <c r="E3242" s="111"/>
      <c r="F3242" s="113" t="s">
        <v>8844</v>
      </c>
      <c r="G3242" s="114"/>
      <c r="H3242" s="115"/>
      <c r="I3242" s="24" t="s">
        <v>2152</v>
      </c>
      <c r="J3242" s="116">
        <v>5</v>
      </c>
      <c r="K3242" s="118">
        <v>2515000</v>
      </c>
      <c r="L3242" s="119"/>
      <c r="M3242" s="118">
        <f t="shared" ref="M3242" si="2480">K3242*0.1</f>
        <v>251500</v>
      </c>
      <c r="N3242" s="119"/>
      <c r="O3242" s="118">
        <f>10100+1010</f>
        <v>11110</v>
      </c>
      <c r="P3242" s="119"/>
      <c r="Q3242" s="118">
        <v>10470</v>
      </c>
      <c r="R3242" s="119"/>
      <c r="S3242" s="118">
        <v>66000</v>
      </c>
      <c r="T3242" s="119"/>
      <c r="U3242" s="118">
        <f t="shared" ref="U3242" si="2481">SUM(K3242:T3243)</f>
        <v>2854080</v>
      </c>
      <c r="V3242" s="122"/>
      <c r="W3242" s="124"/>
      <c r="X3242" s="126" t="s">
        <v>11329</v>
      </c>
      <c r="Y3242" s="127"/>
      <c r="Z3242" s="127"/>
      <c r="AA3242" s="127"/>
      <c r="AB3242" s="128"/>
      <c r="AC3242" s="15" t="s">
        <v>20</v>
      </c>
      <c r="AD3242" s="129" t="s">
        <v>10256</v>
      </c>
      <c r="AE3242" s="130"/>
      <c r="AF3242" s="130"/>
      <c r="AG3242" s="130"/>
      <c r="AH3242" s="130"/>
      <c r="AI3242" s="131"/>
      <c r="AJ3242" s="132"/>
      <c r="AK3242" s="127"/>
      <c r="AL3242" s="128"/>
      <c r="AM3242" s="21"/>
      <c r="AN3242" s="133">
        <v>45983</v>
      </c>
      <c r="AO3242" s="134"/>
      <c r="AP3242" s="135">
        <v>1277</v>
      </c>
      <c r="AQ3242" s="136"/>
      <c r="AR3242" s="118">
        <v>2685000</v>
      </c>
      <c r="AS3242" s="119"/>
      <c r="AT3242" s="118">
        <f t="shared" ref="AT3242" si="2482">AR3242*0.1</f>
        <v>268500</v>
      </c>
      <c r="AU3242" s="119"/>
      <c r="AV3242" s="118">
        <v>10470</v>
      </c>
      <c r="AW3242" s="119"/>
      <c r="AX3242" s="118">
        <f t="shared" ref="AX3242" si="2483">SUM(AR3242:AW3242)</f>
        <v>2963970</v>
      </c>
      <c r="AY3242" s="119"/>
      <c r="AZ3242" s="137">
        <v>45987</v>
      </c>
    </row>
    <row r="3243" spans="1:52" ht="17.100000000000001" customHeight="1" thickBot="1">
      <c r="A3243" s="110"/>
      <c r="B3243" s="27" t="s">
        <v>4544</v>
      </c>
      <c r="C3243" s="27">
        <v>1060</v>
      </c>
      <c r="D3243" s="14" t="s">
        <v>275</v>
      </c>
      <c r="E3243" s="112"/>
      <c r="F3243" s="139" t="s">
        <v>10264</v>
      </c>
      <c r="G3243" s="140"/>
      <c r="H3243" s="141"/>
      <c r="I3243" s="26">
        <v>7518</v>
      </c>
      <c r="J3243" s="117"/>
      <c r="K3243" s="120"/>
      <c r="L3243" s="121"/>
      <c r="M3243" s="120"/>
      <c r="N3243" s="121"/>
      <c r="O3243" s="120"/>
      <c r="P3243" s="121"/>
      <c r="Q3243" s="120"/>
      <c r="R3243" s="121"/>
      <c r="S3243" s="120"/>
      <c r="T3243" s="121"/>
      <c r="U3243" s="120"/>
      <c r="V3243" s="123"/>
      <c r="W3243" s="125"/>
      <c r="X3243" s="142" t="s">
        <v>11330</v>
      </c>
      <c r="Y3243" s="143"/>
      <c r="Z3243" s="143"/>
      <c r="AA3243" s="143"/>
      <c r="AB3243" s="144"/>
      <c r="AC3243" s="16" t="s">
        <v>21</v>
      </c>
      <c r="AD3243" s="17" t="s">
        <v>2630</v>
      </c>
      <c r="AE3243" s="145" t="s">
        <v>4106</v>
      </c>
      <c r="AF3243" s="146"/>
      <c r="AG3243" s="146"/>
      <c r="AH3243" s="146"/>
      <c r="AI3243" s="147"/>
      <c r="AJ3243" s="148"/>
      <c r="AK3243" s="143"/>
      <c r="AL3243" s="144"/>
      <c r="AM3243" s="22"/>
      <c r="AN3243" s="149" t="s">
        <v>2511</v>
      </c>
      <c r="AO3243" s="144"/>
      <c r="AP3243" s="148">
        <v>37692</v>
      </c>
      <c r="AQ3243" s="144"/>
      <c r="AR3243" s="120"/>
      <c r="AS3243" s="121"/>
      <c r="AT3243" s="120"/>
      <c r="AU3243" s="121"/>
      <c r="AV3243" s="120"/>
      <c r="AW3243" s="121"/>
      <c r="AX3243" s="120"/>
      <c r="AY3243" s="121"/>
      <c r="AZ3243" s="138"/>
    </row>
    <row r="3244" spans="1:52" ht="17.100000000000001" customHeight="1" thickTop="1">
      <c r="A3244" s="109" t="s">
        <v>10289</v>
      </c>
      <c r="B3244" s="28">
        <v>45968</v>
      </c>
      <c r="C3244" s="25">
        <v>2109</v>
      </c>
      <c r="D3244" s="13" t="s">
        <v>1902</v>
      </c>
      <c r="E3244" s="111"/>
      <c r="F3244" s="113" t="s">
        <v>10267</v>
      </c>
      <c r="G3244" s="114"/>
      <c r="H3244" s="115"/>
      <c r="I3244" s="24"/>
      <c r="J3244" s="116">
        <v>4.5</v>
      </c>
      <c r="K3244" s="118">
        <v>2095000</v>
      </c>
      <c r="L3244" s="119"/>
      <c r="M3244" s="118">
        <f t="shared" ref="M3244" si="2484">K3244*0.1</f>
        <v>209500</v>
      </c>
      <c r="N3244" s="119"/>
      <c r="O3244" s="118">
        <v>0</v>
      </c>
      <c r="P3244" s="119"/>
      <c r="Q3244" s="118">
        <v>19560</v>
      </c>
      <c r="R3244" s="119"/>
      <c r="S3244" s="118">
        <v>16500</v>
      </c>
      <c r="T3244" s="119"/>
      <c r="U3244" s="118">
        <f t="shared" ref="U3244" si="2485">SUM(K3244:T3245)</f>
        <v>2340560</v>
      </c>
      <c r="V3244" s="122"/>
      <c r="W3244" s="124"/>
      <c r="X3244" s="126" t="s">
        <v>10694</v>
      </c>
      <c r="Y3244" s="127"/>
      <c r="Z3244" s="127"/>
      <c r="AA3244" s="127"/>
      <c r="AB3244" s="128"/>
      <c r="AC3244" s="15" t="s">
        <v>20</v>
      </c>
      <c r="AD3244" s="129" t="s">
        <v>7432</v>
      </c>
      <c r="AE3244" s="130"/>
      <c r="AF3244" s="130"/>
      <c r="AG3244" s="130"/>
      <c r="AH3244" s="130"/>
      <c r="AI3244" s="131"/>
      <c r="AJ3244" s="132"/>
      <c r="AK3244" s="127"/>
      <c r="AL3244" s="128"/>
      <c r="AM3244" s="21"/>
      <c r="AN3244" s="133">
        <v>45990</v>
      </c>
      <c r="AO3244" s="134"/>
      <c r="AP3244" s="135">
        <v>1278</v>
      </c>
      <c r="AQ3244" s="136"/>
      <c r="AR3244" s="118">
        <v>2110000</v>
      </c>
      <c r="AS3244" s="119"/>
      <c r="AT3244" s="118">
        <f t="shared" ref="AT3244" si="2486">AR3244*0.1</f>
        <v>211000</v>
      </c>
      <c r="AU3244" s="119"/>
      <c r="AV3244" s="118">
        <v>19560</v>
      </c>
      <c r="AW3244" s="119"/>
      <c r="AX3244" s="118">
        <f t="shared" ref="AX3244" si="2487">SUM(AR3244:AW3244)</f>
        <v>2340560</v>
      </c>
      <c r="AY3244" s="119"/>
      <c r="AZ3244" s="137">
        <v>46000</v>
      </c>
    </row>
    <row r="3245" spans="1:52" ht="17.100000000000001" customHeight="1" thickBot="1">
      <c r="A3245" s="110"/>
      <c r="B3245" s="27" t="s">
        <v>1543</v>
      </c>
      <c r="C3245" s="27">
        <v>13057</v>
      </c>
      <c r="D3245" s="14" t="s">
        <v>133</v>
      </c>
      <c r="E3245" s="112"/>
      <c r="F3245" s="139" t="s">
        <v>10268</v>
      </c>
      <c r="G3245" s="140"/>
      <c r="H3245" s="141"/>
      <c r="I3245" s="26">
        <v>72530</v>
      </c>
      <c r="J3245" s="117"/>
      <c r="K3245" s="120"/>
      <c r="L3245" s="121"/>
      <c r="M3245" s="120"/>
      <c r="N3245" s="121"/>
      <c r="O3245" s="120"/>
      <c r="P3245" s="121"/>
      <c r="Q3245" s="120"/>
      <c r="R3245" s="121"/>
      <c r="S3245" s="120"/>
      <c r="T3245" s="121"/>
      <c r="U3245" s="120"/>
      <c r="V3245" s="123"/>
      <c r="W3245" s="125"/>
      <c r="X3245" s="142" t="s">
        <v>293</v>
      </c>
      <c r="Y3245" s="143"/>
      <c r="Z3245" s="143"/>
      <c r="AA3245" s="143"/>
      <c r="AB3245" s="144"/>
      <c r="AC3245" s="16" t="s">
        <v>21</v>
      </c>
      <c r="AD3245" s="17" t="s">
        <v>10596</v>
      </c>
      <c r="AE3245" s="145" t="s">
        <v>10695</v>
      </c>
      <c r="AF3245" s="146"/>
      <c r="AG3245" s="146"/>
      <c r="AH3245" s="146"/>
      <c r="AI3245" s="147"/>
      <c r="AJ3245" s="148"/>
      <c r="AK3245" s="143"/>
      <c r="AL3245" s="144"/>
      <c r="AM3245" s="22"/>
      <c r="AN3245" s="149" t="s">
        <v>6748</v>
      </c>
      <c r="AO3245" s="144"/>
      <c r="AP3245" s="148">
        <v>80407</v>
      </c>
      <c r="AQ3245" s="144"/>
      <c r="AR3245" s="120"/>
      <c r="AS3245" s="121"/>
      <c r="AT3245" s="120"/>
      <c r="AU3245" s="121"/>
      <c r="AV3245" s="120"/>
      <c r="AW3245" s="121"/>
      <c r="AX3245" s="120"/>
      <c r="AY3245" s="121"/>
      <c r="AZ3245" s="138"/>
    </row>
    <row r="3246" spans="1:52" ht="17.100000000000001" customHeight="1" thickTop="1">
      <c r="A3246" s="109" t="s">
        <v>10290</v>
      </c>
      <c r="B3246" s="28">
        <v>45968</v>
      </c>
      <c r="C3246" s="25">
        <v>2109</v>
      </c>
      <c r="D3246" s="13" t="s">
        <v>1817</v>
      </c>
      <c r="E3246" s="111"/>
      <c r="F3246" s="113" t="s">
        <v>10269</v>
      </c>
      <c r="G3246" s="114"/>
      <c r="H3246" s="115"/>
      <c r="I3246" s="24" t="s">
        <v>10271</v>
      </c>
      <c r="J3246" s="116">
        <v>4.5</v>
      </c>
      <c r="K3246" s="118">
        <v>3740000</v>
      </c>
      <c r="L3246" s="119"/>
      <c r="M3246" s="118">
        <f t="shared" ref="M3246" si="2488">K3246*0.1</f>
        <v>374000</v>
      </c>
      <c r="N3246" s="119"/>
      <c r="O3246" s="118">
        <f>17000+1700</f>
        <v>18700</v>
      </c>
      <c r="P3246" s="119"/>
      <c r="Q3246" s="118">
        <v>20700</v>
      </c>
      <c r="R3246" s="119"/>
      <c r="S3246" s="118">
        <v>16500</v>
      </c>
      <c r="T3246" s="119"/>
      <c r="U3246" s="118">
        <f t="shared" ref="U3246" si="2489">SUM(K3246:T3247)</f>
        <v>4169900</v>
      </c>
      <c r="V3246" s="122"/>
      <c r="W3246" s="124"/>
      <c r="X3246" s="126" t="s">
        <v>10272</v>
      </c>
      <c r="Y3246" s="127"/>
      <c r="Z3246" s="127"/>
      <c r="AA3246" s="127"/>
      <c r="AB3246" s="128"/>
      <c r="AC3246" s="15" t="s">
        <v>20</v>
      </c>
      <c r="AD3246" s="129" t="s">
        <v>1633</v>
      </c>
      <c r="AE3246" s="130"/>
      <c r="AF3246" s="130"/>
      <c r="AG3246" s="130"/>
      <c r="AH3246" s="130"/>
      <c r="AI3246" s="131"/>
      <c r="AJ3246" s="132"/>
      <c r="AK3246" s="127"/>
      <c r="AL3246" s="128"/>
      <c r="AM3246" s="21"/>
      <c r="AN3246" s="133"/>
      <c r="AO3246" s="134"/>
      <c r="AP3246" s="135"/>
      <c r="AQ3246" s="136"/>
      <c r="AR3246" s="118"/>
      <c r="AS3246" s="119"/>
      <c r="AT3246" s="118">
        <f t="shared" ref="AT3246" si="2490">AR3246*0.1</f>
        <v>0</v>
      </c>
      <c r="AU3246" s="119"/>
      <c r="AV3246" s="118"/>
      <c r="AW3246" s="119"/>
      <c r="AX3246" s="118">
        <f t="shared" ref="AX3246" si="2491">SUM(AR3246:AW3246)</f>
        <v>0</v>
      </c>
      <c r="AY3246" s="119"/>
      <c r="AZ3246" s="137"/>
    </row>
    <row r="3247" spans="1:52" ht="17.100000000000001" customHeight="1" thickBot="1">
      <c r="A3247" s="110"/>
      <c r="B3247" s="27" t="s">
        <v>1543</v>
      </c>
      <c r="C3247" s="27">
        <v>20290</v>
      </c>
      <c r="D3247" s="14" t="s">
        <v>1576</v>
      </c>
      <c r="E3247" s="112"/>
      <c r="F3247" s="139" t="s">
        <v>10270</v>
      </c>
      <c r="G3247" s="140"/>
      <c r="H3247" s="141"/>
      <c r="I3247" s="26">
        <v>51881</v>
      </c>
      <c r="J3247" s="117"/>
      <c r="K3247" s="120"/>
      <c r="L3247" s="121"/>
      <c r="M3247" s="120"/>
      <c r="N3247" s="121"/>
      <c r="O3247" s="120"/>
      <c r="P3247" s="121"/>
      <c r="Q3247" s="120"/>
      <c r="R3247" s="121"/>
      <c r="S3247" s="120"/>
      <c r="T3247" s="121"/>
      <c r="U3247" s="120"/>
      <c r="V3247" s="123"/>
      <c r="W3247" s="125"/>
      <c r="X3247" s="142" t="s">
        <v>10696</v>
      </c>
      <c r="Y3247" s="143"/>
      <c r="Z3247" s="143"/>
      <c r="AA3247" s="143"/>
      <c r="AB3247" s="144"/>
      <c r="AC3247" s="16" t="s">
        <v>21</v>
      </c>
      <c r="AD3247" s="17" t="s">
        <v>10596</v>
      </c>
      <c r="AE3247" s="145" t="s">
        <v>10697</v>
      </c>
      <c r="AF3247" s="146"/>
      <c r="AG3247" s="146"/>
      <c r="AH3247" s="146"/>
      <c r="AI3247" s="147"/>
      <c r="AJ3247" s="148"/>
      <c r="AK3247" s="143"/>
      <c r="AL3247" s="144"/>
      <c r="AM3247" s="22"/>
      <c r="AN3247" s="149"/>
      <c r="AO3247" s="144"/>
      <c r="AP3247" s="148"/>
      <c r="AQ3247" s="144"/>
      <c r="AR3247" s="120"/>
      <c r="AS3247" s="121"/>
      <c r="AT3247" s="120"/>
      <c r="AU3247" s="121"/>
      <c r="AV3247" s="120"/>
      <c r="AW3247" s="121"/>
      <c r="AX3247" s="120"/>
      <c r="AY3247" s="121"/>
      <c r="AZ3247" s="138"/>
    </row>
    <row r="3248" spans="1:52" ht="17.100000000000001" customHeight="1" thickTop="1">
      <c r="A3248" s="109" t="s">
        <v>10291</v>
      </c>
      <c r="B3248" s="28">
        <v>45968</v>
      </c>
      <c r="C3248" s="25">
        <v>2109</v>
      </c>
      <c r="D3248" s="13" t="s">
        <v>2941</v>
      </c>
      <c r="E3248" s="111"/>
      <c r="F3248" s="113" t="s">
        <v>1147</v>
      </c>
      <c r="G3248" s="114"/>
      <c r="H3248" s="115"/>
      <c r="I3248" s="24" t="s">
        <v>10274</v>
      </c>
      <c r="J3248" s="116">
        <v>4.5</v>
      </c>
      <c r="K3248" s="118">
        <v>1250000</v>
      </c>
      <c r="L3248" s="119"/>
      <c r="M3248" s="118">
        <f t="shared" ref="M3248" si="2492">K3248*0.1</f>
        <v>125000</v>
      </c>
      <c r="N3248" s="119"/>
      <c r="O3248" s="118">
        <f>13100+1310</f>
        <v>14410</v>
      </c>
      <c r="P3248" s="119"/>
      <c r="Q3248" s="118">
        <v>16240</v>
      </c>
      <c r="R3248" s="119"/>
      <c r="S3248" s="118">
        <v>27500</v>
      </c>
      <c r="T3248" s="119"/>
      <c r="U3248" s="118">
        <f t="shared" ref="U3248" si="2493">SUM(K3248:T3249)</f>
        <v>1433150</v>
      </c>
      <c r="V3248" s="122"/>
      <c r="W3248" s="124"/>
      <c r="X3248" s="126" t="s">
        <v>10275</v>
      </c>
      <c r="Y3248" s="127"/>
      <c r="Z3248" s="127"/>
      <c r="AA3248" s="127"/>
      <c r="AB3248" s="128"/>
      <c r="AC3248" s="15" t="s">
        <v>20</v>
      </c>
      <c r="AD3248" s="129" t="s">
        <v>10276</v>
      </c>
      <c r="AE3248" s="130"/>
      <c r="AF3248" s="130"/>
      <c r="AG3248" s="130"/>
      <c r="AH3248" s="130"/>
      <c r="AI3248" s="131"/>
      <c r="AJ3248" s="132"/>
      <c r="AK3248" s="127"/>
      <c r="AL3248" s="128"/>
      <c r="AM3248" s="21"/>
      <c r="AN3248" s="133">
        <v>45981</v>
      </c>
      <c r="AO3248" s="134"/>
      <c r="AP3248" s="135">
        <v>1307</v>
      </c>
      <c r="AQ3248" s="136"/>
      <c r="AR3248" s="118">
        <v>1400000</v>
      </c>
      <c r="AS3248" s="119"/>
      <c r="AT3248" s="118">
        <f t="shared" ref="AT3248" si="2494">AR3248*0.1</f>
        <v>140000</v>
      </c>
      <c r="AU3248" s="119"/>
      <c r="AV3248" s="118">
        <v>16240</v>
      </c>
      <c r="AW3248" s="119"/>
      <c r="AX3248" s="118">
        <f t="shared" ref="AX3248" si="2495">SUM(AR3248:AW3248)</f>
        <v>1556240</v>
      </c>
      <c r="AY3248" s="119"/>
      <c r="AZ3248" s="137">
        <v>45982</v>
      </c>
    </row>
    <row r="3249" spans="1:52" ht="17.100000000000001" customHeight="1" thickBot="1">
      <c r="A3249" s="110"/>
      <c r="B3249" s="27" t="s">
        <v>1543</v>
      </c>
      <c r="C3249" s="27">
        <v>58091</v>
      </c>
      <c r="D3249" s="14" t="s">
        <v>275</v>
      </c>
      <c r="E3249" s="112"/>
      <c r="F3249" s="139" t="s">
        <v>10273</v>
      </c>
      <c r="G3249" s="140"/>
      <c r="H3249" s="141"/>
      <c r="I3249" s="26">
        <v>54728</v>
      </c>
      <c r="J3249" s="117"/>
      <c r="K3249" s="120"/>
      <c r="L3249" s="121"/>
      <c r="M3249" s="120"/>
      <c r="N3249" s="121"/>
      <c r="O3249" s="120"/>
      <c r="P3249" s="121"/>
      <c r="Q3249" s="120"/>
      <c r="R3249" s="121"/>
      <c r="S3249" s="120"/>
      <c r="T3249" s="121"/>
      <c r="U3249" s="120"/>
      <c r="V3249" s="123"/>
      <c r="W3249" s="125"/>
      <c r="X3249" s="142" t="s">
        <v>10698</v>
      </c>
      <c r="Y3249" s="143"/>
      <c r="Z3249" s="143"/>
      <c r="AA3249" s="143"/>
      <c r="AB3249" s="144"/>
      <c r="AC3249" s="16" t="s">
        <v>21</v>
      </c>
      <c r="AD3249" s="17" t="s">
        <v>10596</v>
      </c>
      <c r="AE3249" s="145" t="s">
        <v>10699</v>
      </c>
      <c r="AF3249" s="146"/>
      <c r="AG3249" s="146"/>
      <c r="AH3249" s="146"/>
      <c r="AI3249" s="147"/>
      <c r="AJ3249" s="148"/>
      <c r="AK3249" s="143"/>
      <c r="AL3249" s="144"/>
      <c r="AM3249" s="22"/>
      <c r="AN3249" s="149" t="s">
        <v>1747</v>
      </c>
      <c r="AO3249" s="144"/>
      <c r="AP3249" s="148">
        <v>100</v>
      </c>
      <c r="AQ3249" s="144"/>
      <c r="AR3249" s="120"/>
      <c r="AS3249" s="121"/>
      <c r="AT3249" s="120"/>
      <c r="AU3249" s="121"/>
      <c r="AV3249" s="120"/>
      <c r="AW3249" s="121"/>
      <c r="AX3249" s="120"/>
      <c r="AY3249" s="121"/>
      <c r="AZ3249" s="138"/>
    </row>
    <row r="3250" spans="1:52" ht="17.100000000000001" customHeight="1" thickTop="1">
      <c r="A3250" s="109" t="s">
        <v>10292</v>
      </c>
      <c r="B3250" s="28">
        <v>45968</v>
      </c>
      <c r="C3250" s="25">
        <v>2109</v>
      </c>
      <c r="D3250" s="13" t="s">
        <v>2359</v>
      </c>
      <c r="E3250" s="111"/>
      <c r="F3250" s="113" t="s">
        <v>7384</v>
      </c>
      <c r="G3250" s="114"/>
      <c r="H3250" s="115"/>
      <c r="I3250" s="24" t="s">
        <v>8506</v>
      </c>
      <c r="J3250" s="116">
        <v>4.5</v>
      </c>
      <c r="K3250" s="118">
        <v>1620000</v>
      </c>
      <c r="L3250" s="119"/>
      <c r="M3250" s="118">
        <f t="shared" ref="M3250" si="2496">K3250*0.1</f>
        <v>162000</v>
      </c>
      <c r="N3250" s="119"/>
      <c r="O3250" s="118">
        <f>10100+1010</f>
        <v>11110</v>
      </c>
      <c r="P3250" s="119"/>
      <c r="Q3250" s="118">
        <v>19090</v>
      </c>
      <c r="R3250" s="119"/>
      <c r="S3250" s="118">
        <v>27500</v>
      </c>
      <c r="T3250" s="119"/>
      <c r="U3250" s="118">
        <f t="shared" ref="U3250" si="2497">SUM(K3250:T3251)</f>
        <v>1839700</v>
      </c>
      <c r="V3250" s="122"/>
      <c r="W3250" s="124"/>
      <c r="X3250" s="126" t="s">
        <v>10278</v>
      </c>
      <c r="Y3250" s="127"/>
      <c r="Z3250" s="127"/>
      <c r="AA3250" s="127"/>
      <c r="AB3250" s="128"/>
      <c r="AC3250" s="15" t="s">
        <v>20</v>
      </c>
      <c r="AD3250" s="129" t="s">
        <v>1732</v>
      </c>
      <c r="AE3250" s="130"/>
      <c r="AF3250" s="130"/>
      <c r="AG3250" s="130"/>
      <c r="AH3250" s="130"/>
      <c r="AI3250" s="131"/>
      <c r="AJ3250" s="132"/>
      <c r="AK3250" s="127"/>
      <c r="AL3250" s="128"/>
      <c r="AM3250" s="21"/>
      <c r="AN3250" s="133">
        <v>45974</v>
      </c>
      <c r="AO3250" s="134"/>
      <c r="AP3250" s="135">
        <v>1306</v>
      </c>
      <c r="AQ3250" s="136"/>
      <c r="AR3250" s="118">
        <v>1800000</v>
      </c>
      <c r="AS3250" s="119"/>
      <c r="AT3250" s="118">
        <f t="shared" ref="AT3250" si="2498">AR3250*0.1</f>
        <v>180000</v>
      </c>
      <c r="AU3250" s="119"/>
      <c r="AV3250" s="118">
        <v>19090</v>
      </c>
      <c r="AW3250" s="119"/>
      <c r="AX3250" s="118">
        <f t="shared" ref="AX3250" si="2499">SUM(AR3250:AW3250)</f>
        <v>1999090</v>
      </c>
      <c r="AY3250" s="119"/>
      <c r="AZ3250" s="137">
        <v>45975</v>
      </c>
    </row>
    <row r="3251" spans="1:52" ht="17.100000000000001" customHeight="1" thickBot="1">
      <c r="A3251" s="110"/>
      <c r="B3251" s="27" t="s">
        <v>1543</v>
      </c>
      <c r="C3251" s="27">
        <v>58231</v>
      </c>
      <c r="D3251" s="14" t="s">
        <v>133</v>
      </c>
      <c r="E3251" s="112"/>
      <c r="F3251" s="139" t="s">
        <v>10277</v>
      </c>
      <c r="G3251" s="140"/>
      <c r="H3251" s="141"/>
      <c r="I3251" s="26">
        <v>52987</v>
      </c>
      <c r="J3251" s="117"/>
      <c r="K3251" s="120"/>
      <c r="L3251" s="121"/>
      <c r="M3251" s="120"/>
      <c r="N3251" s="121"/>
      <c r="O3251" s="120"/>
      <c r="P3251" s="121"/>
      <c r="Q3251" s="120"/>
      <c r="R3251" s="121"/>
      <c r="S3251" s="120"/>
      <c r="T3251" s="121"/>
      <c r="U3251" s="120"/>
      <c r="V3251" s="123"/>
      <c r="W3251" s="125"/>
      <c r="X3251" s="142" t="s">
        <v>10670</v>
      </c>
      <c r="Y3251" s="143"/>
      <c r="Z3251" s="143"/>
      <c r="AA3251" s="143"/>
      <c r="AB3251" s="144"/>
      <c r="AC3251" s="16" t="s">
        <v>21</v>
      </c>
      <c r="AD3251" s="17" t="s">
        <v>10596</v>
      </c>
      <c r="AE3251" s="145" t="s">
        <v>10671</v>
      </c>
      <c r="AF3251" s="146"/>
      <c r="AG3251" s="146"/>
      <c r="AH3251" s="146"/>
      <c r="AI3251" s="147"/>
      <c r="AJ3251" s="148"/>
      <c r="AK3251" s="143"/>
      <c r="AL3251" s="144"/>
      <c r="AM3251" s="22"/>
      <c r="AN3251" s="149" t="s">
        <v>1747</v>
      </c>
      <c r="AO3251" s="144"/>
      <c r="AP3251" s="148">
        <v>308</v>
      </c>
      <c r="AQ3251" s="144"/>
      <c r="AR3251" s="120"/>
      <c r="AS3251" s="121"/>
      <c r="AT3251" s="120"/>
      <c r="AU3251" s="121"/>
      <c r="AV3251" s="120"/>
      <c r="AW3251" s="121"/>
      <c r="AX3251" s="120"/>
      <c r="AY3251" s="121"/>
      <c r="AZ3251" s="138"/>
    </row>
    <row r="3252" spans="1:52" ht="17.100000000000001" customHeight="1" thickTop="1">
      <c r="A3252" s="151" t="s">
        <v>10293</v>
      </c>
      <c r="B3252" s="28">
        <v>45968</v>
      </c>
      <c r="C3252" s="25">
        <v>2109</v>
      </c>
      <c r="D3252" s="13" t="s">
        <v>2759</v>
      </c>
      <c r="E3252" s="111"/>
      <c r="F3252" s="113" t="s">
        <v>10279</v>
      </c>
      <c r="G3252" s="114"/>
      <c r="H3252" s="115"/>
      <c r="I3252" s="24" t="s">
        <v>2956</v>
      </c>
      <c r="J3252" s="116">
        <v>4.5</v>
      </c>
      <c r="K3252" s="118">
        <v>2080000</v>
      </c>
      <c r="L3252" s="119"/>
      <c r="M3252" s="118">
        <f t="shared" ref="M3252" si="2500">K3252*0.1</f>
        <v>208000</v>
      </c>
      <c r="N3252" s="119"/>
      <c r="O3252" s="118">
        <f>12000+1200</f>
        <v>13200</v>
      </c>
      <c r="P3252" s="119"/>
      <c r="Q3252" s="118">
        <v>21720</v>
      </c>
      <c r="R3252" s="119"/>
      <c r="S3252" s="118">
        <v>16500</v>
      </c>
      <c r="T3252" s="119"/>
      <c r="U3252" s="118">
        <f t="shared" ref="U3252" si="2501">SUM(K3252:T3253)</f>
        <v>2339420</v>
      </c>
      <c r="V3252" s="122"/>
      <c r="W3252" s="124"/>
      <c r="X3252" s="126" t="s">
        <v>10281</v>
      </c>
      <c r="Y3252" s="127"/>
      <c r="Z3252" s="127"/>
      <c r="AA3252" s="127"/>
      <c r="AB3252" s="128"/>
      <c r="AC3252" s="15" t="s">
        <v>20</v>
      </c>
      <c r="AD3252" s="129" t="s">
        <v>4883</v>
      </c>
      <c r="AE3252" s="130"/>
      <c r="AF3252" s="130"/>
      <c r="AG3252" s="130"/>
      <c r="AH3252" s="130"/>
      <c r="AI3252" s="131"/>
      <c r="AJ3252" s="132"/>
      <c r="AK3252" s="127"/>
      <c r="AL3252" s="128"/>
      <c r="AM3252" s="21" t="s">
        <v>13049</v>
      </c>
      <c r="AN3252" s="133">
        <v>46032</v>
      </c>
      <c r="AO3252" s="134"/>
      <c r="AP3252" s="135">
        <v>1283</v>
      </c>
      <c r="AQ3252" s="136"/>
      <c r="AR3252" s="118">
        <v>2200000</v>
      </c>
      <c r="AS3252" s="119"/>
      <c r="AT3252" s="118">
        <f t="shared" ref="AT3252" si="2502">AR3252*0.1</f>
        <v>220000</v>
      </c>
      <c r="AU3252" s="119"/>
      <c r="AV3252" s="118">
        <v>21720</v>
      </c>
      <c r="AW3252" s="119"/>
      <c r="AX3252" s="118">
        <f t="shared" ref="AX3252" si="2503">SUM(AR3252:AW3252)</f>
        <v>2441720</v>
      </c>
      <c r="AY3252" s="119"/>
      <c r="AZ3252" s="137">
        <v>46036</v>
      </c>
    </row>
    <row r="3253" spans="1:52" ht="17.100000000000001" customHeight="1" thickBot="1">
      <c r="A3253" s="152"/>
      <c r="B3253" s="27" t="s">
        <v>1543</v>
      </c>
      <c r="C3253" s="27">
        <v>58375</v>
      </c>
      <c r="D3253" s="14" t="s">
        <v>2601</v>
      </c>
      <c r="E3253" s="112"/>
      <c r="F3253" s="139" t="s">
        <v>10280</v>
      </c>
      <c r="G3253" s="140"/>
      <c r="H3253" s="141"/>
      <c r="I3253" s="26">
        <v>56520</v>
      </c>
      <c r="J3253" s="117"/>
      <c r="K3253" s="120"/>
      <c r="L3253" s="121"/>
      <c r="M3253" s="120"/>
      <c r="N3253" s="121"/>
      <c r="O3253" s="120"/>
      <c r="P3253" s="121"/>
      <c r="Q3253" s="120"/>
      <c r="R3253" s="121"/>
      <c r="S3253" s="120"/>
      <c r="T3253" s="121"/>
      <c r="U3253" s="120"/>
      <c r="V3253" s="123"/>
      <c r="W3253" s="125"/>
      <c r="X3253" s="142" t="s">
        <v>1997</v>
      </c>
      <c r="Y3253" s="143"/>
      <c r="Z3253" s="143"/>
      <c r="AA3253" s="143"/>
      <c r="AB3253" s="144"/>
      <c r="AC3253" s="16" t="s">
        <v>21</v>
      </c>
      <c r="AD3253" s="17" t="s">
        <v>12856</v>
      </c>
      <c r="AE3253" s="145" t="s">
        <v>1742</v>
      </c>
      <c r="AF3253" s="146"/>
      <c r="AG3253" s="146"/>
      <c r="AH3253" s="146"/>
      <c r="AI3253" s="147"/>
      <c r="AJ3253" s="148"/>
      <c r="AK3253" s="143"/>
      <c r="AL3253" s="144"/>
      <c r="AM3253" s="22"/>
      <c r="AN3253" s="149" t="s">
        <v>2511</v>
      </c>
      <c r="AO3253" s="144"/>
      <c r="AP3253" s="148">
        <v>80064</v>
      </c>
      <c r="AQ3253" s="144"/>
      <c r="AR3253" s="120"/>
      <c r="AS3253" s="121"/>
      <c r="AT3253" s="120"/>
      <c r="AU3253" s="121"/>
      <c r="AV3253" s="120"/>
      <c r="AW3253" s="121"/>
      <c r="AX3253" s="120"/>
      <c r="AY3253" s="121"/>
      <c r="AZ3253" s="138"/>
    </row>
    <row r="3254" spans="1:52" ht="17.100000000000001" customHeight="1" thickTop="1">
      <c r="A3254" s="109" t="s">
        <v>10294</v>
      </c>
      <c r="B3254" s="28">
        <v>45968</v>
      </c>
      <c r="C3254" s="25">
        <v>1393</v>
      </c>
      <c r="D3254" s="13" t="s">
        <v>1853</v>
      </c>
      <c r="E3254" s="111"/>
      <c r="F3254" s="113" t="s">
        <v>9045</v>
      </c>
      <c r="G3254" s="114"/>
      <c r="H3254" s="115"/>
      <c r="I3254" s="24"/>
      <c r="J3254" s="116">
        <v>4</v>
      </c>
      <c r="K3254" s="118">
        <v>480000</v>
      </c>
      <c r="L3254" s="119"/>
      <c r="M3254" s="118">
        <f t="shared" ref="M3254" si="2504">K3254*0.1</f>
        <v>48000</v>
      </c>
      <c r="N3254" s="119"/>
      <c r="O3254" s="118">
        <v>0</v>
      </c>
      <c r="P3254" s="119"/>
      <c r="Q3254" s="118">
        <v>6540</v>
      </c>
      <c r="R3254" s="119"/>
      <c r="S3254" s="118">
        <v>13200</v>
      </c>
      <c r="T3254" s="119"/>
      <c r="U3254" s="118">
        <f t="shared" ref="U3254" si="2505">SUM(K3254:T3255)</f>
        <v>547740</v>
      </c>
      <c r="V3254" s="122"/>
      <c r="W3254" s="124"/>
      <c r="X3254" s="126" t="s">
        <v>10689</v>
      </c>
      <c r="Y3254" s="127"/>
      <c r="Z3254" s="127"/>
      <c r="AA3254" s="127"/>
      <c r="AB3254" s="128"/>
      <c r="AC3254" s="15" t="s">
        <v>20</v>
      </c>
      <c r="AD3254" s="129"/>
      <c r="AE3254" s="130"/>
      <c r="AF3254" s="130"/>
      <c r="AG3254" s="130"/>
      <c r="AH3254" s="130"/>
      <c r="AI3254" s="131"/>
      <c r="AJ3254" s="132"/>
      <c r="AK3254" s="127"/>
      <c r="AL3254" s="128"/>
      <c r="AM3254" s="21"/>
      <c r="AN3254" s="133">
        <v>45976</v>
      </c>
      <c r="AO3254" s="134"/>
      <c r="AP3254" s="135">
        <v>1276</v>
      </c>
      <c r="AQ3254" s="136"/>
      <c r="AR3254" s="118">
        <v>580000</v>
      </c>
      <c r="AS3254" s="119"/>
      <c r="AT3254" s="118">
        <f t="shared" ref="AT3254" si="2506">AR3254*0.1</f>
        <v>58000</v>
      </c>
      <c r="AU3254" s="119"/>
      <c r="AV3254" s="118">
        <v>6540</v>
      </c>
      <c r="AW3254" s="119"/>
      <c r="AX3254" s="118">
        <f t="shared" ref="AX3254" si="2507">SUM(AR3254:AW3254)</f>
        <v>644540</v>
      </c>
      <c r="AY3254" s="119"/>
      <c r="AZ3254" s="137">
        <v>45979</v>
      </c>
    </row>
    <row r="3255" spans="1:52" ht="17.100000000000001" customHeight="1" thickBot="1">
      <c r="A3255" s="110"/>
      <c r="B3255" s="27" t="s">
        <v>2641</v>
      </c>
      <c r="C3255" s="27">
        <v>1164</v>
      </c>
      <c r="D3255" s="14" t="s">
        <v>1592</v>
      </c>
      <c r="E3255" s="112"/>
      <c r="F3255" s="139" t="s">
        <v>10302</v>
      </c>
      <c r="G3255" s="140"/>
      <c r="H3255" s="141"/>
      <c r="I3255" s="26">
        <v>8694</v>
      </c>
      <c r="J3255" s="117"/>
      <c r="K3255" s="120"/>
      <c r="L3255" s="121"/>
      <c r="M3255" s="120"/>
      <c r="N3255" s="121"/>
      <c r="O3255" s="120"/>
      <c r="P3255" s="121"/>
      <c r="Q3255" s="120"/>
      <c r="R3255" s="121"/>
      <c r="S3255" s="120"/>
      <c r="T3255" s="121"/>
      <c r="U3255" s="120"/>
      <c r="V3255" s="123"/>
      <c r="W3255" s="125"/>
      <c r="X3255" s="142" t="s">
        <v>1997</v>
      </c>
      <c r="Y3255" s="143"/>
      <c r="Z3255" s="143"/>
      <c r="AA3255" s="143"/>
      <c r="AB3255" s="144"/>
      <c r="AC3255" s="16" t="s">
        <v>21</v>
      </c>
      <c r="AD3255" s="17" t="s">
        <v>10596</v>
      </c>
      <c r="AE3255" s="145" t="s">
        <v>171</v>
      </c>
      <c r="AF3255" s="146"/>
      <c r="AG3255" s="146"/>
      <c r="AH3255" s="146"/>
      <c r="AI3255" s="147"/>
      <c r="AJ3255" s="148"/>
      <c r="AK3255" s="143"/>
      <c r="AL3255" s="144"/>
      <c r="AM3255" s="22"/>
      <c r="AN3255" s="149" t="s">
        <v>10999</v>
      </c>
      <c r="AO3255" s="144"/>
      <c r="AP3255" s="148">
        <v>60013</v>
      </c>
      <c r="AQ3255" s="144"/>
      <c r="AR3255" s="120"/>
      <c r="AS3255" s="121"/>
      <c r="AT3255" s="120"/>
      <c r="AU3255" s="121"/>
      <c r="AV3255" s="120"/>
      <c r="AW3255" s="121"/>
      <c r="AX3255" s="120"/>
      <c r="AY3255" s="121"/>
      <c r="AZ3255" s="138"/>
    </row>
    <row r="3256" spans="1:52" ht="17.100000000000001" customHeight="1" thickTop="1">
      <c r="A3256" s="109" t="s">
        <v>10295</v>
      </c>
      <c r="B3256" s="28">
        <v>45968</v>
      </c>
      <c r="C3256" s="25">
        <v>1393</v>
      </c>
      <c r="D3256" s="13" t="s">
        <v>2226</v>
      </c>
      <c r="E3256" s="111"/>
      <c r="F3256" s="113" t="s">
        <v>5404</v>
      </c>
      <c r="G3256" s="114"/>
      <c r="H3256" s="115"/>
      <c r="I3256" s="24" t="s">
        <v>3668</v>
      </c>
      <c r="J3256" s="116">
        <v>5</v>
      </c>
      <c r="K3256" s="118">
        <v>1924000</v>
      </c>
      <c r="L3256" s="119"/>
      <c r="M3256" s="118">
        <f t="shared" ref="M3256" si="2508">K3256*0.1</f>
        <v>192400</v>
      </c>
      <c r="N3256" s="119"/>
      <c r="O3256" s="118">
        <v>0</v>
      </c>
      <c r="P3256" s="119"/>
      <c r="Q3256" s="118">
        <v>6860</v>
      </c>
      <c r="R3256" s="119"/>
      <c r="S3256" s="118">
        <v>13200</v>
      </c>
      <c r="T3256" s="119"/>
      <c r="U3256" s="118">
        <f t="shared" ref="U3256" si="2509">SUM(K3256:T3257)</f>
        <v>2136460</v>
      </c>
      <c r="V3256" s="122"/>
      <c r="W3256" s="124"/>
      <c r="X3256" s="126" t="s">
        <v>10676</v>
      </c>
      <c r="Y3256" s="127"/>
      <c r="Z3256" s="127"/>
      <c r="AA3256" s="127"/>
      <c r="AB3256" s="128"/>
      <c r="AC3256" s="15" t="s">
        <v>20</v>
      </c>
      <c r="AD3256" s="129" t="s">
        <v>9375</v>
      </c>
      <c r="AE3256" s="130"/>
      <c r="AF3256" s="130"/>
      <c r="AG3256" s="130"/>
      <c r="AH3256" s="130"/>
      <c r="AI3256" s="131"/>
      <c r="AJ3256" s="132" t="s">
        <v>11642</v>
      </c>
      <c r="AK3256" s="127"/>
      <c r="AL3256" s="128"/>
      <c r="AM3256" s="21" t="s">
        <v>13048</v>
      </c>
      <c r="AN3256" s="133"/>
      <c r="AO3256" s="134"/>
      <c r="AP3256" s="135"/>
      <c r="AQ3256" s="136"/>
      <c r="AR3256" s="118"/>
      <c r="AS3256" s="119"/>
      <c r="AT3256" s="118">
        <f t="shared" ref="AT3256" si="2510">AR3256*0.1</f>
        <v>0</v>
      </c>
      <c r="AU3256" s="119"/>
      <c r="AV3256" s="118"/>
      <c r="AW3256" s="119"/>
      <c r="AX3256" s="118">
        <f t="shared" ref="AX3256" si="2511">SUM(AR3256:AW3256)</f>
        <v>0</v>
      </c>
      <c r="AY3256" s="119"/>
      <c r="AZ3256" s="137"/>
    </row>
    <row r="3257" spans="1:52" ht="17.100000000000001" customHeight="1" thickBot="1">
      <c r="A3257" s="110"/>
      <c r="B3257" s="27" t="s">
        <v>2641</v>
      </c>
      <c r="C3257" s="27">
        <v>1811</v>
      </c>
      <c r="D3257" s="14" t="s">
        <v>1720</v>
      </c>
      <c r="E3257" s="112"/>
      <c r="F3257" s="139" t="s">
        <v>10303</v>
      </c>
      <c r="G3257" s="140"/>
      <c r="H3257" s="141"/>
      <c r="I3257" s="26">
        <v>2751</v>
      </c>
      <c r="J3257" s="117"/>
      <c r="K3257" s="120"/>
      <c r="L3257" s="121"/>
      <c r="M3257" s="120"/>
      <c r="N3257" s="121"/>
      <c r="O3257" s="120"/>
      <c r="P3257" s="121"/>
      <c r="Q3257" s="120"/>
      <c r="R3257" s="121"/>
      <c r="S3257" s="120"/>
      <c r="T3257" s="121"/>
      <c r="U3257" s="120"/>
      <c r="V3257" s="123"/>
      <c r="W3257" s="125"/>
      <c r="X3257" s="142" t="s">
        <v>10677</v>
      </c>
      <c r="Y3257" s="143"/>
      <c r="Z3257" s="143"/>
      <c r="AA3257" s="143"/>
      <c r="AB3257" s="144"/>
      <c r="AC3257" s="16" t="s">
        <v>21</v>
      </c>
      <c r="AD3257" s="17" t="s">
        <v>10596</v>
      </c>
      <c r="AE3257" s="145" t="s">
        <v>10728</v>
      </c>
      <c r="AF3257" s="146"/>
      <c r="AG3257" s="146"/>
      <c r="AH3257" s="146"/>
      <c r="AI3257" s="147"/>
      <c r="AJ3257" s="148"/>
      <c r="AK3257" s="143"/>
      <c r="AL3257" s="144"/>
      <c r="AM3257" s="22"/>
      <c r="AN3257" s="149"/>
      <c r="AO3257" s="144"/>
      <c r="AP3257" s="148"/>
      <c r="AQ3257" s="144"/>
      <c r="AR3257" s="120"/>
      <c r="AS3257" s="121"/>
      <c r="AT3257" s="120"/>
      <c r="AU3257" s="121"/>
      <c r="AV3257" s="120"/>
      <c r="AW3257" s="121"/>
      <c r="AX3257" s="120"/>
      <c r="AY3257" s="121"/>
      <c r="AZ3257" s="138"/>
    </row>
    <row r="3258" spans="1:52" ht="17.100000000000001" customHeight="1" thickTop="1">
      <c r="A3258" s="109" t="s">
        <v>10296</v>
      </c>
      <c r="B3258" s="28">
        <v>45968</v>
      </c>
      <c r="C3258" s="25">
        <v>1393</v>
      </c>
      <c r="D3258" s="13" t="s">
        <v>1586</v>
      </c>
      <c r="E3258" s="111"/>
      <c r="F3258" s="113" t="s">
        <v>10313</v>
      </c>
      <c r="G3258" s="114"/>
      <c r="H3258" s="115"/>
      <c r="I3258" s="24" t="s">
        <v>10314</v>
      </c>
      <c r="J3258" s="116">
        <v>4.5</v>
      </c>
      <c r="K3258" s="118">
        <v>2820000</v>
      </c>
      <c r="L3258" s="119"/>
      <c r="M3258" s="118">
        <f t="shared" ref="M3258" si="2512">K3258*0.1</f>
        <v>282000</v>
      </c>
      <c r="N3258" s="119"/>
      <c r="O3258" s="118">
        <f>13100+1310</f>
        <v>14410</v>
      </c>
      <c r="P3258" s="119"/>
      <c r="Q3258" s="118">
        <v>11110</v>
      </c>
      <c r="R3258" s="119"/>
      <c r="S3258" s="118">
        <v>13200</v>
      </c>
      <c r="T3258" s="119"/>
      <c r="U3258" s="118">
        <f t="shared" ref="U3258" si="2513">SUM(K3258:T3259)</f>
        <v>3140720</v>
      </c>
      <c r="V3258" s="122"/>
      <c r="W3258" s="124"/>
      <c r="X3258" s="126" t="s">
        <v>10749</v>
      </c>
      <c r="Y3258" s="127"/>
      <c r="Z3258" s="127"/>
      <c r="AA3258" s="127"/>
      <c r="AB3258" s="128"/>
      <c r="AC3258" s="15" t="s">
        <v>20</v>
      </c>
      <c r="AD3258" s="129" t="s">
        <v>171</v>
      </c>
      <c r="AE3258" s="130"/>
      <c r="AF3258" s="130"/>
      <c r="AG3258" s="130"/>
      <c r="AH3258" s="130"/>
      <c r="AI3258" s="131"/>
      <c r="AJ3258" s="132"/>
      <c r="AK3258" s="127"/>
      <c r="AL3258" s="128"/>
      <c r="AM3258" s="21"/>
      <c r="AN3258" s="133">
        <v>45976</v>
      </c>
      <c r="AO3258" s="134"/>
      <c r="AP3258" s="135">
        <v>1276</v>
      </c>
      <c r="AQ3258" s="136"/>
      <c r="AR3258" s="118">
        <v>2900000</v>
      </c>
      <c r="AS3258" s="119"/>
      <c r="AT3258" s="118">
        <f t="shared" ref="AT3258" si="2514">AR3258*0.1</f>
        <v>290000</v>
      </c>
      <c r="AU3258" s="119"/>
      <c r="AV3258" s="118">
        <v>11110</v>
      </c>
      <c r="AW3258" s="119"/>
      <c r="AX3258" s="118">
        <f t="shared" ref="AX3258" si="2515">SUM(AR3258:AW3258)</f>
        <v>3201110</v>
      </c>
      <c r="AY3258" s="119"/>
      <c r="AZ3258" s="137">
        <v>45979</v>
      </c>
    </row>
    <row r="3259" spans="1:52" ht="17.100000000000001" customHeight="1" thickBot="1">
      <c r="A3259" s="110"/>
      <c r="B3259" s="27" t="s">
        <v>2641</v>
      </c>
      <c r="C3259" s="27">
        <v>3133</v>
      </c>
      <c r="D3259" s="14" t="s">
        <v>275</v>
      </c>
      <c r="E3259" s="112"/>
      <c r="F3259" s="139" t="s">
        <v>10305</v>
      </c>
      <c r="G3259" s="140"/>
      <c r="H3259" s="141"/>
      <c r="I3259" s="26">
        <v>50065</v>
      </c>
      <c r="J3259" s="117"/>
      <c r="K3259" s="120"/>
      <c r="L3259" s="121"/>
      <c r="M3259" s="120"/>
      <c r="N3259" s="121"/>
      <c r="O3259" s="120"/>
      <c r="P3259" s="121"/>
      <c r="Q3259" s="120"/>
      <c r="R3259" s="121"/>
      <c r="S3259" s="120"/>
      <c r="T3259" s="121"/>
      <c r="U3259" s="120"/>
      <c r="V3259" s="123"/>
      <c r="W3259" s="125"/>
      <c r="X3259" s="142" t="s">
        <v>1656</v>
      </c>
      <c r="Y3259" s="143"/>
      <c r="Z3259" s="143"/>
      <c r="AA3259" s="143"/>
      <c r="AB3259" s="144"/>
      <c r="AC3259" s="16" t="s">
        <v>21</v>
      </c>
      <c r="AD3259" s="17" t="s">
        <v>10733</v>
      </c>
      <c r="AE3259" s="145" t="s">
        <v>2395</v>
      </c>
      <c r="AF3259" s="146"/>
      <c r="AG3259" s="146"/>
      <c r="AH3259" s="146"/>
      <c r="AI3259" s="147"/>
      <c r="AJ3259" s="148"/>
      <c r="AK3259" s="143"/>
      <c r="AL3259" s="144"/>
      <c r="AM3259" s="22"/>
      <c r="AN3259" s="149" t="s">
        <v>10999</v>
      </c>
      <c r="AO3259" s="144"/>
      <c r="AP3259" s="148">
        <v>18</v>
      </c>
      <c r="AQ3259" s="144"/>
      <c r="AR3259" s="120"/>
      <c r="AS3259" s="121"/>
      <c r="AT3259" s="120"/>
      <c r="AU3259" s="121"/>
      <c r="AV3259" s="120"/>
      <c r="AW3259" s="121"/>
      <c r="AX3259" s="120"/>
      <c r="AY3259" s="121"/>
      <c r="AZ3259" s="138"/>
    </row>
    <row r="3260" spans="1:52" ht="17.100000000000001" customHeight="1" thickTop="1">
      <c r="A3260" s="151" t="s">
        <v>10297</v>
      </c>
      <c r="B3260" s="28">
        <v>45968</v>
      </c>
      <c r="C3260" s="25">
        <v>1393</v>
      </c>
      <c r="D3260" s="13" t="s">
        <v>2737</v>
      </c>
      <c r="E3260" s="111"/>
      <c r="F3260" s="113" t="s">
        <v>5135</v>
      </c>
      <c r="G3260" s="114"/>
      <c r="H3260" s="115"/>
      <c r="I3260" s="24" t="s">
        <v>4521</v>
      </c>
      <c r="J3260" s="116">
        <v>4.5</v>
      </c>
      <c r="K3260" s="118">
        <v>1216000</v>
      </c>
      <c r="L3260" s="119"/>
      <c r="M3260" s="118">
        <f t="shared" ref="M3260" si="2516">K3260*0.1</f>
        <v>121600</v>
      </c>
      <c r="N3260" s="119"/>
      <c r="O3260" s="118">
        <v>0</v>
      </c>
      <c r="P3260" s="119"/>
      <c r="Q3260" s="118">
        <v>7150</v>
      </c>
      <c r="R3260" s="119"/>
      <c r="S3260" s="118">
        <v>13200</v>
      </c>
      <c r="T3260" s="119"/>
      <c r="U3260" s="118">
        <f t="shared" ref="U3260" si="2517">SUM(K3260:T3261)</f>
        <v>1357950</v>
      </c>
      <c r="V3260" s="122"/>
      <c r="W3260" s="124"/>
      <c r="X3260" s="126"/>
      <c r="Y3260" s="127"/>
      <c r="Z3260" s="127"/>
      <c r="AA3260" s="127"/>
      <c r="AB3260" s="128"/>
      <c r="AC3260" s="15" t="s">
        <v>20</v>
      </c>
      <c r="AD3260" s="129" t="s">
        <v>3896</v>
      </c>
      <c r="AE3260" s="130"/>
      <c r="AF3260" s="130"/>
      <c r="AG3260" s="130"/>
      <c r="AH3260" s="130"/>
      <c r="AI3260" s="131"/>
      <c r="AJ3260" s="132" t="s">
        <v>10669</v>
      </c>
      <c r="AK3260" s="127"/>
      <c r="AL3260" s="128"/>
      <c r="AM3260" s="21"/>
      <c r="AN3260" s="133"/>
      <c r="AO3260" s="134"/>
      <c r="AP3260" s="135"/>
      <c r="AQ3260" s="136"/>
      <c r="AR3260" s="118"/>
      <c r="AS3260" s="119"/>
      <c r="AT3260" s="118">
        <f t="shared" ref="AT3260" si="2518">AR3260*0.1</f>
        <v>0</v>
      </c>
      <c r="AU3260" s="119"/>
      <c r="AV3260" s="118"/>
      <c r="AW3260" s="119"/>
      <c r="AX3260" s="118">
        <f t="shared" ref="AX3260" si="2519">SUM(AR3260:AW3260)</f>
        <v>0</v>
      </c>
      <c r="AY3260" s="119"/>
      <c r="AZ3260" s="137"/>
    </row>
    <row r="3261" spans="1:52" ht="17.100000000000001" customHeight="1" thickBot="1">
      <c r="A3261" s="152"/>
      <c r="B3261" s="27" t="s">
        <v>2641</v>
      </c>
      <c r="C3261" s="27">
        <v>4259</v>
      </c>
      <c r="D3261" s="14" t="s">
        <v>2601</v>
      </c>
      <c r="E3261" s="112"/>
      <c r="F3261" s="139" t="s">
        <v>10304</v>
      </c>
      <c r="G3261" s="140"/>
      <c r="H3261" s="141"/>
      <c r="I3261" s="26">
        <v>15281</v>
      </c>
      <c r="J3261" s="117"/>
      <c r="K3261" s="120"/>
      <c r="L3261" s="121"/>
      <c r="M3261" s="120"/>
      <c r="N3261" s="121"/>
      <c r="O3261" s="120"/>
      <c r="P3261" s="121"/>
      <c r="Q3261" s="120"/>
      <c r="R3261" s="121"/>
      <c r="S3261" s="120"/>
      <c r="T3261" s="121"/>
      <c r="U3261" s="120"/>
      <c r="V3261" s="123"/>
      <c r="W3261" s="125"/>
      <c r="X3261" s="142"/>
      <c r="Y3261" s="143"/>
      <c r="Z3261" s="143"/>
      <c r="AA3261" s="143"/>
      <c r="AB3261" s="144"/>
      <c r="AC3261" s="16" t="s">
        <v>21</v>
      </c>
      <c r="AD3261" s="17" t="s">
        <v>10540</v>
      </c>
      <c r="AE3261" s="145"/>
      <c r="AF3261" s="146"/>
      <c r="AG3261" s="146"/>
      <c r="AH3261" s="146"/>
      <c r="AI3261" s="147"/>
      <c r="AJ3261" s="148"/>
      <c r="AK3261" s="143"/>
      <c r="AL3261" s="144"/>
      <c r="AM3261" s="22"/>
      <c r="AN3261" s="149"/>
      <c r="AO3261" s="144"/>
      <c r="AP3261" s="148"/>
      <c r="AQ3261" s="144"/>
      <c r="AR3261" s="120"/>
      <c r="AS3261" s="121"/>
      <c r="AT3261" s="120"/>
      <c r="AU3261" s="121"/>
      <c r="AV3261" s="120"/>
      <c r="AW3261" s="121"/>
      <c r="AX3261" s="120"/>
      <c r="AY3261" s="121"/>
      <c r="AZ3261" s="138"/>
    </row>
    <row r="3262" spans="1:52" ht="17.100000000000001" customHeight="1" thickTop="1">
      <c r="A3262" s="109" t="s">
        <v>10298</v>
      </c>
      <c r="B3262" s="28">
        <v>45968</v>
      </c>
      <c r="C3262" s="25">
        <v>1393</v>
      </c>
      <c r="D3262" s="13" t="s">
        <v>1537</v>
      </c>
      <c r="E3262" s="111"/>
      <c r="F3262" s="113" t="s">
        <v>8153</v>
      </c>
      <c r="G3262" s="114"/>
      <c r="H3262" s="115"/>
      <c r="I3262" s="24" t="s">
        <v>10315</v>
      </c>
      <c r="J3262" s="116">
        <v>3.5</v>
      </c>
      <c r="K3262" s="118">
        <v>404000</v>
      </c>
      <c r="L3262" s="119"/>
      <c r="M3262" s="118">
        <f t="shared" ref="M3262" si="2520">K3262*0.1</f>
        <v>40400</v>
      </c>
      <c r="N3262" s="119"/>
      <c r="O3262" s="118">
        <v>0</v>
      </c>
      <c r="P3262" s="119"/>
      <c r="Q3262" s="118">
        <v>8850</v>
      </c>
      <c r="R3262" s="119"/>
      <c r="S3262" s="118">
        <v>13200</v>
      </c>
      <c r="T3262" s="119"/>
      <c r="U3262" s="118">
        <f t="shared" ref="U3262" si="2521">SUM(K3262:T3263)</f>
        <v>466450</v>
      </c>
      <c r="V3262" s="122"/>
      <c r="W3262" s="124"/>
      <c r="X3262" s="126" t="s">
        <v>10792</v>
      </c>
      <c r="Y3262" s="127"/>
      <c r="Z3262" s="127"/>
      <c r="AA3262" s="127"/>
      <c r="AB3262" s="128"/>
      <c r="AC3262" s="15" t="s">
        <v>20</v>
      </c>
      <c r="AD3262" s="129" t="s">
        <v>171</v>
      </c>
      <c r="AE3262" s="130"/>
      <c r="AF3262" s="130"/>
      <c r="AG3262" s="130"/>
      <c r="AH3262" s="130"/>
      <c r="AI3262" s="131"/>
      <c r="AJ3262" s="132"/>
      <c r="AK3262" s="127"/>
      <c r="AL3262" s="128"/>
      <c r="AM3262" s="21"/>
      <c r="AN3262" s="133">
        <v>45990</v>
      </c>
      <c r="AO3262" s="134"/>
      <c r="AP3262" s="135">
        <v>1278</v>
      </c>
      <c r="AQ3262" s="136"/>
      <c r="AR3262" s="118">
        <v>460000</v>
      </c>
      <c r="AS3262" s="119"/>
      <c r="AT3262" s="118">
        <f t="shared" ref="AT3262" si="2522">AR3262*0.1</f>
        <v>46000</v>
      </c>
      <c r="AU3262" s="119"/>
      <c r="AV3262" s="118">
        <v>8850</v>
      </c>
      <c r="AW3262" s="119"/>
      <c r="AX3262" s="118">
        <f t="shared" ref="AX3262" si="2523">SUM(AR3262:AW3262)</f>
        <v>514850</v>
      </c>
      <c r="AY3262" s="119"/>
      <c r="AZ3262" s="137">
        <v>45994</v>
      </c>
    </row>
    <row r="3263" spans="1:52" ht="17.100000000000001" customHeight="1" thickBot="1">
      <c r="A3263" s="110"/>
      <c r="B3263" s="27" t="s">
        <v>2641</v>
      </c>
      <c r="C3263" s="27">
        <v>7544</v>
      </c>
      <c r="D3263" s="14" t="s">
        <v>1592</v>
      </c>
      <c r="E3263" s="112"/>
      <c r="F3263" s="139" t="s">
        <v>10306</v>
      </c>
      <c r="G3263" s="140"/>
      <c r="H3263" s="141"/>
      <c r="I3263" s="26">
        <v>26048</v>
      </c>
      <c r="J3263" s="117"/>
      <c r="K3263" s="120"/>
      <c r="L3263" s="121"/>
      <c r="M3263" s="120"/>
      <c r="N3263" s="121"/>
      <c r="O3263" s="120"/>
      <c r="P3263" s="121"/>
      <c r="Q3263" s="120"/>
      <c r="R3263" s="121"/>
      <c r="S3263" s="120"/>
      <c r="T3263" s="121"/>
      <c r="U3263" s="120"/>
      <c r="V3263" s="123"/>
      <c r="W3263" s="125"/>
      <c r="X3263" s="142" t="s">
        <v>4619</v>
      </c>
      <c r="Y3263" s="143"/>
      <c r="Z3263" s="143"/>
      <c r="AA3263" s="143"/>
      <c r="AB3263" s="144"/>
      <c r="AC3263" s="16" t="s">
        <v>21</v>
      </c>
      <c r="AD3263" s="17" t="s">
        <v>10733</v>
      </c>
      <c r="AE3263" s="145" t="s">
        <v>171</v>
      </c>
      <c r="AF3263" s="146"/>
      <c r="AG3263" s="146"/>
      <c r="AH3263" s="146"/>
      <c r="AI3263" s="147"/>
      <c r="AJ3263" s="148"/>
      <c r="AK3263" s="143"/>
      <c r="AL3263" s="144"/>
      <c r="AM3263" s="22"/>
      <c r="AN3263" s="149" t="s">
        <v>2511</v>
      </c>
      <c r="AO3263" s="144"/>
      <c r="AP3263" s="148">
        <v>60167</v>
      </c>
      <c r="AQ3263" s="144"/>
      <c r="AR3263" s="120"/>
      <c r="AS3263" s="121"/>
      <c r="AT3263" s="120"/>
      <c r="AU3263" s="121"/>
      <c r="AV3263" s="120"/>
      <c r="AW3263" s="121"/>
      <c r="AX3263" s="120"/>
      <c r="AY3263" s="121"/>
      <c r="AZ3263" s="138"/>
    </row>
    <row r="3264" spans="1:52" ht="17.100000000000001" customHeight="1" thickTop="1">
      <c r="A3264" s="109" t="s">
        <v>10299</v>
      </c>
      <c r="B3264" s="28">
        <v>45968</v>
      </c>
      <c r="C3264" s="25">
        <v>1393</v>
      </c>
      <c r="D3264" s="13" t="s">
        <v>10316</v>
      </c>
      <c r="E3264" s="111"/>
      <c r="F3264" s="113" t="s">
        <v>10307</v>
      </c>
      <c r="G3264" s="114"/>
      <c r="H3264" s="115"/>
      <c r="I3264" s="24"/>
      <c r="J3264" s="116">
        <v>4.5</v>
      </c>
      <c r="K3264" s="118">
        <v>1298000</v>
      </c>
      <c r="L3264" s="119"/>
      <c r="M3264" s="118">
        <f t="shared" ref="M3264" si="2524">K3264*0.1</f>
        <v>129800</v>
      </c>
      <c r="N3264" s="119"/>
      <c r="O3264" s="118">
        <v>0</v>
      </c>
      <c r="P3264" s="119"/>
      <c r="Q3264" s="118">
        <v>7040</v>
      </c>
      <c r="R3264" s="119"/>
      <c r="S3264" s="118">
        <v>13200</v>
      </c>
      <c r="T3264" s="119"/>
      <c r="U3264" s="118">
        <f t="shared" ref="U3264" si="2525">SUM(K3264:T3265)</f>
        <v>1448040</v>
      </c>
      <c r="V3264" s="122"/>
      <c r="W3264" s="124"/>
      <c r="X3264" s="126" t="s">
        <v>11087</v>
      </c>
      <c r="Y3264" s="127"/>
      <c r="Z3264" s="127"/>
      <c r="AA3264" s="127"/>
      <c r="AB3264" s="128"/>
      <c r="AC3264" s="15" t="s">
        <v>20</v>
      </c>
      <c r="AD3264" s="129" t="s">
        <v>171</v>
      </c>
      <c r="AE3264" s="130"/>
      <c r="AF3264" s="130"/>
      <c r="AG3264" s="130"/>
      <c r="AH3264" s="130"/>
      <c r="AI3264" s="131"/>
      <c r="AJ3264" s="132"/>
      <c r="AK3264" s="127"/>
      <c r="AL3264" s="128"/>
      <c r="AM3264" s="21"/>
      <c r="AN3264" s="133">
        <v>45997</v>
      </c>
      <c r="AO3264" s="134"/>
      <c r="AP3264" s="135">
        <v>1279</v>
      </c>
      <c r="AQ3264" s="136"/>
      <c r="AR3264" s="118">
        <v>1360000</v>
      </c>
      <c r="AS3264" s="119"/>
      <c r="AT3264" s="118">
        <f t="shared" ref="AT3264" si="2526">AR3264*0.1</f>
        <v>136000</v>
      </c>
      <c r="AU3264" s="119"/>
      <c r="AV3264" s="118">
        <v>7040</v>
      </c>
      <c r="AW3264" s="119"/>
      <c r="AX3264" s="118">
        <f t="shared" ref="AX3264" si="2527">SUM(AR3264:AW3264)</f>
        <v>1503040</v>
      </c>
      <c r="AY3264" s="119"/>
      <c r="AZ3264" s="137">
        <v>46000</v>
      </c>
    </row>
    <row r="3265" spans="1:52" ht="17.100000000000001" customHeight="1" thickBot="1">
      <c r="A3265" s="110"/>
      <c r="B3265" s="27" t="s">
        <v>2641</v>
      </c>
      <c r="C3265" s="27">
        <v>7547</v>
      </c>
      <c r="D3265" s="14" t="s">
        <v>275</v>
      </c>
      <c r="E3265" s="112"/>
      <c r="F3265" s="139" t="s">
        <v>10308</v>
      </c>
      <c r="G3265" s="140"/>
      <c r="H3265" s="141"/>
      <c r="I3265" s="26">
        <v>41759</v>
      </c>
      <c r="J3265" s="117"/>
      <c r="K3265" s="120"/>
      <c r="L3265" s="121"/>
      <c r="M3265" s="120"/>
      <c r="N3265" s="121"/>
      <c r="O3265" s="120"/>
      <c r="P3265" s="121"/>
      <c r="Q3265" s="120"/>
      <c r="R3265" s="121"/>
      <c r="S3265" s="120"/>
      <c r="T3265" s="121"/>
      <c r="U3265" s="120"/>
      <c r="V3265" s="123"/>
      <c r="W3265" s="125"/>
      <c r="X3265" s="142" t="s">
        <v>7918</v>
      </c>
      <c r="Y3265" s="143"/>
      <c r="Z3265" s="143"/>
      <c r="AA3265" s="143"/>
      <c r="AB3265" s="144"/>
      <c r="AC3265" s="16" t="s">
        <v>21</v>
      </c>
      <c r="AD3265" s="17" t="s">
        <v>11075</v>
      </c>
      <c r="AE3265" s="145" t="s">
        <v>3604</v>
      </c>
      <c r="AF3265" s="146"/>
      <c r="AG3265" s="146"/>
      <c r="AH3265" s="146"/>
      <c r="AI3265" s="147"/>
      <c r="AJ3265" s="148"/>
      <c r="AK3265" s="143"/>
      <c r="AL3265" s="144"/>
      <c r="AM3265" s="22"/>
      <c r="AN3265" s="149" t="s">
        <v>2511</v>
      </c>
      <c r="AO3265" s="144"/>
      <c r="AP3265" s="148">
        <v>60103</v>
      </c>
      <c r="AQ3265" s="144"/>
      <c r="AR3265" s="120"/>
      <c r="AS3265" s="121"/>
      <c r="AT3265" s="120"/>
      <c r="AU3265" s="121"/>
      <c r="AV3265" s="120"/>
      <c r="AW3265" s="121"/>
      <c r="AX3265" s="120"/>
      <c r="AY3265" s="121"/>
      <c r="AZ3265" s="138"/>
    </row>
    <row r="3266" spans="1:52" ht="17.100000000000001" customHeight="1" thickTop="1">
      <c r="A3266" s="109" t="s">
        <v>10300</v>
      </c>
      <c r="B3266" s="28">
        <v>45968</v>
      </c>
      <c r="C3266" s="25">
        <v>1393</v>
      </c>
      <c r="D3266" s="13" t="s">
        <v>1675</v>
      </c>
      <c r="E3266" s="111"/>
      <c r="F3266" s="113" t="s">
        <v>10309</v>
      </c>
      <c r="G3266" s="114"/>
      <c r="H3266" s="115"/>
      <c r="I3266" s="24"/>
      <c r="J3266" s="116">
        <v>4</v>
      </c>
      <c r="K3266" s="118">
        <v>380000</v>
      </c>
      <c r="L3266" s="119"/>
      <c r="M3266" s="118">
        <f t="shared" ref="M3266" si="2528">K3266*0.1</f>
        <v>38000</v>
      </c>
      <c r="N3266" s="119"/>
      <c r="O3266" s="118">
        <v>0</v>
      </c>
      <c r="P3266" s="119"/>
      <c r="Q3266" s="118">
        <v>9770</v>
      </c>
      <c r="R3266" s="119"/>
      <c r="S3266" s="118">
        <v>13200</v>
      </c>
      <c r="T3266" s="119"/>
      <c r="U3266" s="118">
        <f t="shared" ref="U3266" si="2529">SUM(K3266:T3267)</f>
        <v>440970</v>
      </c>
      <c r="V3266" s="122"/>
      <c r="W3266" s="124"/>
      <c r="X3266" s="126" t="s">
        <v>10751</v>
      </c>
      <c r="Y3266" s="127"/>
      <c r="Z3266" s="127"/>
      <c r="AA3266" s="127"/>
      <c r="AB3266" s="128"/>
      <c r="AC3266" s="15" t="s">
        <v>20</v>
      </c>
      <c r="AD3266" s="129"/>
      <c r="AE3266" s="130"/>
      <c r="AF3266" s="130"/>
      <c r="AG3266" s="130"/>
      <c r="AH3266" s="130"/>
      <c r="AI3266" s="131"/>
      <c r="AJ3266" s="132"/>
      <c r="AK3266" s="127"/>
      <c r="AL3266" s="128"/>
      <c r="AM3266" s="21"/>
      <c r="AN3266" s="133">
        <v>45976</v>
      </c>
      <c r="AO3266" s="134"/>
      <c r="AP3266" s="135">
        <v>1276</v>
      </c>
      <c r="AQ3266" s="136"/>
      <c r="AR3266" s="118">
        <v>430000</v>
      </c>
      <c r="AS3266" s="119"/>
      <c r="AT3266" s="118">
        <f t="shared" ref="AT3266" si="2530">AR3266*0.1</f>
        <v>43000</v>
      </c>
      <c r="AU3266" s="119"/>
      <c r="AV3266" s="118">
        <v>8770</v>
      </c>
      <c r="AW3266" s="119"/>
      <c r="AX3266" s="118">
        <f t="shared" ref="AX3266" si="2531">SUM(AR3266:AW3266)</f>
        <v>481770</v>
      </c>
      <c r="AY3266" s="119"/>
      <c r="AZ3266" s="137">
        <v>45979</v>
      </c>
    </row>
    <row r="3267" spans="1:52" ht="17.100000000000001" customHeight="1" thickBot="1">
      <c r="A3267" s="110"/>
      <c r="B3267" s="27" t="s">
        <v>2641</v>
      </c>
      <c r="C3267" s="27">
        <v>7560</v>
      </c>
      <c r="D3267" s="14" t="s">
        <v>1812</v>
      </c>
      <c r="E3267" s="112"/>
      <c r="F3267" s="139" t="s">
        <v>10310</v>
      </c>
      <c r="G3267" s="140"/>
      <c r="H3267" s="141"/>
      <c r="I3267" s="26">
        <v>21560</v>
      </c>
      <c r="J3267" s="117"/>
      <c r="K3267" s="120"/>
      <c r="L3267" s="121"/>
      <c r="M3267" s="120"/>
      <c r="N3267" s="121"/>
      <c r="O3267" s="120"/>
      <c r="P3267" s="121"/>
      <c r="Q3267" s="120"/>
      <c r="R3267" s="121"/>
      <c r="S3267" s="120"/>
      <c r="T3267" s="121"/>
      <c r="U3267" s="120"/>
      <c r="V3267" s="123"/>
      <c r="W3267" s="125"/>
      <c r="X3267" s="142" t="s">
        <v>4553</v>
      </c>
      <c r="Y3267" s="143"/>
      <c r="Z3267" s="143"/>
      <c r="AA3267" s="143"/>
      <c r="AB3267" s="144"/>
      <c r="AC3267" s="16" t="s">
        <v>21</v>
      </c>
      <c r="AD3267" s="17" t="s">
        <v>10733</v>
      </c>
      <c r="AE3267" s="145" t="s">
        <v>171</v>
      </c>
      <c r="AF3267" s="146"/>
      <c r="AG3267" s="146"/>
      <c r="AH3267" s="146"/>
      <c r="AI3267" s="147"/>
      <c r="AJ3267" s="148"/>
      <c r="AK3267" s="143"/>
      <c r="AL3267" s="144"/>
      <c r="AM3267" s="22"/>
      <c r="AN3267" s="149" t="s">
        <v>10999</v>
      </c>
      <c r="AO3267" s="144"/>
      <c r="AP3267" s="148">
        <v>60017</v>
      </c>
      <c r="AQ3267" s="144"/>
      <c r="AR3267" s="120"/>
      <c r="AS3267" s="121"/>
      <c r="AT3267" s="120"/>
      <c r="AU3267" s="121"/>
      <c r="AV3267" s="120"/>
      <c r="AW3267" s="121"/>
      <c r="AX3267" s="120"/>
      <c r="AY3267" s="121"/>
      <c r="AZ3267" s="138"/>
    </row>
    <row r="3268" spans="1:52" ht="17.100000000000001" customHeight="1" thickTop="1">
      <c r="A3268" s="109" t="s">
        <v>10301</v>
      </c>
      <c r="B3268" s="28">
        <v>45968</v>
      </c>
      <c r="C3268" s="25">
        <v>1393</v>
      </c>
      <c r="D3268" s="13" t="s">
        <v>1817</v>
      </c>
      <c r="E3268" s="111"/>
      <c r="F3268" s="113" t="s">
        <v>10309</v>
      </c>
      <c r="G3268" s="114"/>
      <c r="H3268" s="115"/>
      <c r="I3268" s="24" t="s">
        <v>10317</v>
      </c>
      <c r="J3268" s="116">
        <v>4</v>
      </c>
      <c r="K3268" s="118">
        <v>392000</v>
      </c>
      <c r="L3268" s="119"/>
      <c r="M3268" s="118">
        <f t="shared" ref="M3268" si="2532">K3268*0.1</f>
        <v>39200</v>
      </c>
      <c r="N3268" s="119"/>
      <c r="O3268" s="118">
        <v>0</v>
      </c>
      <c r="P3268" s="119"/>
      <c r="Q3268" s="118">
        <v>9770</v>
      </c>
      <c r="R3268" s="119"/>
      <c r="S3268" s="118">
        <v>13200</v>
      </c>
      <c r="T3268" s="119"/>
      <c r="U3268" s="118">
        <f t="shared" ref="U3268" si="2533">SUM(K3268:T3269)</f>
        <v>454170</v>
      </c>
      <c r="V3268" s="122"/>
      <c r="W3268" s="124"/>
      <c r="X3268" s="126" t="s">
        <v>10750</v>
      </c>
      <c r="Y3268" s="127"/>
      <c r="Z3268" s="127"/>
      <c r="AA3268" s="127"/>
      <c r="AB3268" s="128"/>
      <c r="AC3268" s="15" t="s">
        <v>20</v>
      </c>
      <c r="AD3268" s="129"/>
      <c r="AE3268" s="130"/>
      <c r="AF3268" s="130"/>
      <c r="AG3268" s="130"/>
      <c r="AH3268" s="130"/>
      <c r="AI3268" s="131"/>
      <c r="AJ3268" s="132"/>
      <c r="AK3268" s="127"/>
      <c r="AL3268" s="128"/>
      <c r="AM3268" s="21" t="s">
        <v>12761</v>
      </c>
      <c r="AN3268" s="133">
        <v>45994</v>
      </c>
      <c r="AO3268" s="134"/>
      <c r="AP3268" s="135">
        <v>995</v>
      </c>
      <c r="AQ3268" s="136"/>
      <c r="AR3268" s="118">
        <v>500000</v>
      </c>
      <c r="AS3268" s="119"/>
      <c r="AT3268" s="118">
        <f t="shared" ref="AT3268" si="2534">AR3268*0.1</f>
        <v>50000</v>
      </c>
      <c r="AU3268" s="119"/>
      <c r="AV3268" s="118">
        <v>9770</v>
      </c>
      <c r="AW3268" s="119"/>
      <c r="AX3268" s="118">
        <f t="shared" ref="AX3268" si="2535">SUM(AR3268:AW3268)</f>
        <v>559770</v>
      </c>
      <c r="AY3268" s="119"/>
      <c r="AZ3268" s="137">
        <v>46001</v>
      </c>
    </row>
    <row r="3269" spans="1:52" ht="17.100000000000001" customHeight="1" thickBot="1">
      <c r="A3269" s="110"/>
      <c r="B3269" s="27" t="s">
        <v>2641</v>
      </c>
      <c r="C3269" s="27">
        <v>7562</v>
      </c>
      <c r="D3269" s="14" t="s">
        <v>1812</v>
      </c>
      <c r="E3269" s="112"/>
      <c r="F3269" s="139" t="s">
        <v>10311</v>
      </c>
      <c r="G3269" s="140"/>
      <c r="H3269" s="141"/>
      <c r="I3269" s="26">
        <v>46254</v>
      </c>
      <c r="J3269" s="117"/>
      <c r="K3269" s="120"/>
      <c r="L3269" s="121"/>
      <c r="M3269" s="120"/>
      <c r="N3269" s="121"/>
      <c r="O3269" s="120"/>
      <c r="P3269" s="121"/>
      <c r="Q3269" s="120"/>
      <c r="R3269" s="121"/>
      <c r="S3269" s="120"/>
      <c r="T3269" s="121"/>
      <c r="U3269" s="120"/>
      <c r="V3269" s="123"/>
      <c r="W3269" s="125"/>
      <c r="X3269" s="142" t="s">
        <v>7966</v>
      </c>
      <c r="Y3269" s="143"/>
      <c r="Z3269" s="143"/>
      <c r="AA3269" s="143"/>
      <c r="AB3269" s="144"/>
      <c r="AC3269" s="16" t="s">
        <v>21</v>
      </c>
      <c r="AD3269" s="17" t="s">
        <v>10733</v>
      </c>
      <c r="AE3269" s="145" t="s">
        <v>171</v>
      </c>
      <c r="AF3269" s="146"/>
      <c r="AG3269" s="146"/>
      <c r="AH3269" s="146"/>
      <c r="AI3269" s="147"/>
      <c r="AJ3269" s="148"/>
      <c r="AK3269" s="143"/>
      <c r="AL3269" s="144"/>
      <c r="AM3269" s="22"/>
      <c r="AN3269" s="149" t="s">
        <v>7285</v>
      </c>
      <c r="AO3269" s="144"/>
      <c r="AP3269" s="148">
        <v>2080</v>
      </c>
      <c r="AQ3269" s="144"/>
      <c r="AR3269" s="120"/>
      <c r="AS3269" s="121"/>
      <c r="AT3269" s="120"/>
      <c r="AU3269" s="121"/>
      <c r="AV3269" s="120"/>
      <c r="AW3269" s="121"/>
      <c r="AX3269" s="120"/>
      <c r="AY3269" s="121"/>
      <c r="AZ3269" s="138"/>
    </row>
    <row r="3270" spans="1:52" ht="17.100000000000001" customHeight="1" thickTop="1">
      <c r="A3270" s="109" t="s">
        <v>10321</v>
      </c>
      <c r="B3270" s="28">
        <v>45968</v>
      </c>
      <c r="C3270" s="25"/>
      <c r="D3270" s="13" t="s">
        <v>2508</v>
      </c>
      <c r="E3270" s="111"/>
      <c r="F3270" s="113" t="s">
        <v>2312</v>
      </c>
      <c r="G3270" s="114"/>
      <c r="H3270" s="115"/>
      <c r="I3270" s="24" t="s">
        <v>10323</v>
      </c>
      <c r="J3270" s="116">
        <v>4.5</v>
      </c>
      <c r="K3270" s="118">
        <f>5005000/1.1</f>
        <v>4550000</v>
      </c>
      <c r="L3270" s="119"/>
      <c r="M3270" s="118">
        <f t="shared" ref="M3270" si="2536">K3270*0.1</f>
        <v>455000</v>
      </c>
      <c r="N3270" s="119"/>
      <c r="O3270" s="118">
        <v>0</v>
      </c>
      <c r="P3270" s="119"/>
      <c r="Q3270" s="118">
        <v>14140</v>
      </c>
      <c r="R3270" s="119"/>
      <c r="S3270" s="118">
        <v>0</v>
      </c>
      <c r="T3270" s="119"/>
      <c r="U3270" s="118">
        <f t="shared" ref="U3270" si="2537">SUM(K3270:T3271)</f>
        <v>5019140</v>
      </c>
      <c r="V3270" s="122"/>
      <c r="W3270" s="124"/>
      <c r="X3270" s="126" t="s">
        <v>11204</v>
      </c>
      <c r="Y3270" s="127"/>
      <c r="Z3270" s="127"/>
      <c r="AA3270" s="127"/>
      <c r="AB3270" s="128"/>
      <c r="AC3270" s="15" t="s">
        <v>20</v>
      </c>
      <c r="AD3270" s="129" t="s">
        <v>1732</v>
      </c>
      <c r="AE3270" s="130"/>
      <c r="AF3270" s="130"/>
      <c r="AG3270" s="130"/>
      <c r="AH3270" s="130"/>
      <c r="AI3270" s="131"/>
      <c r="AJ3270" s="132"/>
      <c r="AK3270" s="127"/>
      <c r="AL3270" s="128"/>
      <c r="AM3270" s="21"/>
      <c r="AN3270" s="133">
        <v>45983</v>
      </c>
      <c r="AO3270" s="134"/>
      <c r="AP3270" s="135">
        <v>1277</v>
      </c>
      <c r="AQ3270" s="136"/>
      <c r="AR3270" s="118">
        <v>5050000</v>
      </c>
      <c r="AS3270" s="119"/>
      <c r="AT3270" s="118">
        <f t="shared" ref="AT3270" si="2538">AR3270*0.1</f>
        <v>505000</v>
      </c>
      <c r="AU3270" s="119"/>
      <c r="AV3270" s="118">
        <v>14140</v>
      </c>
      <c r="AW3270" s="119"/>
      <c r="AX3270" s="118">
        <f t="shared" ref="AX3270" si="2539">SUM(AR3270:AW3270)</f>
        <v>5569140</v>
      </c>
      <c r="AY3270" s="119"/>
      <c r="AZ3270" s="137">
        <v>45987</v>
      </c>
    </row>
    <row r="3271" spans="1:52" ht="17.100000000000001" customHeight="1" thickBot="1">
      <c r="A3271" s="110"/>
      <c r="B3271" s="27" t="s">
        <v>1718</v>
      </c>
      <c r="C3271" s="27" t="s">
        <v>10318</v>
      </c>
      <c r="D3271" s="14" t="s">
        <v>275</v>
      </c>
      <c r="E3271" s="112"/>
      <c r="F3271" s="139" t="s">
        <v>10322</v>
      </c>
      <c r="G3271" s="140"/>
      <c r="H3271" s="141"/>
      <c r="I3271" s="26">
        <v>6903</v>
      </c>
      <c r="J3271" s="117"/>
      <c r="K3271" s="120"/>
      <c r="L3271" s="121"/>
      <c r="M3271" s="120"/>
      <c r="N3271" s="121"/>
      <c r="O3271" s="120"/>
      <c r="P3271" s="121"/>
      <c r="Q3271" s="120"/>
      <c r="R3271" s="121"/>
      <c r="S3271" s="120"/>
      <c r="T3271" s="121"/>
      <c r="U3271" s="120"/>
      <c r="V3271" s="123"/>
      <c r="W3271" s="125"/>
      <c r="X3271" s="142" t="s">
        <v>11205</v>
      </c>
      <c r="Y3271" s="143"/>
      <c r="Z3271" s="143"/>
      <c r="AA3271" s="143"/>
      <c r="AB3271" s="144"/>
      <c r="AC3271" s="16" t="s">
        <v>21</v>
      </c>
      <c r="AD3271" s="17" t="s">
        <v>11105</v>
      </c>
      <c r="AE3271" s="145" t="s">
        <v>1614</v>
      </c>
      <c r="AF3271" s="146"/>
      <c r="AG3271" s="146"/>
      <c r="AH3271" s="146"/>
      <c r="AI3271" s="147"/>
      <c r="AJ3271" s="148"/>
      <c r="AK3271" s="143"/>
      <c r="AL3271" s="144"/>
      <c r="AM3271" s="22"/>
      <c r="AN3271" s="149" t="s">
        <v>2511</v>
      </c>
      <c r="AO3271" s="144"/>
      <c r="AP3271" s="148">
        <v>82331</v>
      </c>
      <c r="AQ3271" s="144"/>
      <c r="AR3271" s="120"/>
      <c r="AS3271" s="121"/>
      <c r="AT3271" s="120"/>
      <c r="AU3271" s="121"/>
      <c r="AV3271" s="120"/>
      <c r="AW3271" s="121"/>
      <c r="AX3271" s="120"/>
      <c r="AY3271" s="121"/>
      <c r="AZ3271" s="138"/>
    </row>
    <row r="3272" spans="1:52" ht="17.100000000000001" customHeight="1" thickTop="1">
      <c r="A3272" s="109" t="s">
        <v>10365</v>
      </c>
      <c r="B3272" s="28">
        <v>45969</v>
      </c>
      <c r="C3272" s="25">
        <v>1518</v>
      </c>
      <c r="D3272" s="13" t="s">
        <v>2949</v>
      </c>
      <c r="E3272" s="111"/>
      <c r="F3272" s="113" t="s">
        <v>1573</v>
      </c>
      <c r="G3272" s="114"/>
      <c r="H3272" s="115"/>
      <c r="I3272" s="24" t="s">
        <v>2919</v>
      </c>
      <c r="J3272" s="116">
        <v>4.5</v>
      </c>
      <c r="K3272" s="118">
        <v>2100000</v>
      </c>
      <c r="L3272" s="119"/>
      <c r="M3272" s="118">
        <f t="shared" ref="M3272" si="2540">K3272*0.1</f>
        <v>210000</v>
      </c>
      <c r="N3272" s="119"/>
      <c r="O3272" s="118">
        <f>12000+1200</f>
        <v>13200</v>
      </c>
      <c r="P3272" s="119"/>
      <c r="Q3272" s="118">
        <v>16160</v>
      </c>
      <c r="R3272" s="119"/>
      <c r="S3272" s="118">
        <v>16500</v>
      </c>
      <c r="T3272" s="119"/>
      <c r="U3272" s="118">
        <f t="shared" ref="U3272" si="2541">SUM(K3272:T3273)</f>
        <v>2355860</v>
      </c>
      <c r="V3272" s="122"/>
      <c r="W3272" s="124"/>
      <c r="X3272" s="126" t="s">
        <v>10359</v>
      </c>
      <c r="Y3272" s="127"/>
      <c r="Z3272" s="127"/>
      <c r="AA3272" s="127"/>
      <c r="AB3272" s="128"/>
      <c r="AC3272" s="15" t="s">
        <v>20</v>
      </c>
      <c r="AD3272" s="129" t="s">
        <v>171</v>
      </c>
      <c r="AE3272" s="130"/>
      <c r="AF3272" s="130"/>
      <c r="AG3272" s="130"/>
      <c r="AH3272" s="130"/>
      <c r="AI3272" s="131"/>
      <c r="AJ3272" s="132"/>
      <c r="AK3272" s="127"/>
      <c r="AL3272" s="128"/>
      <c r="AM3272" s="21"/>
      <c r="AN3272" s="133">
        <v>46362</v>
      </c>
      <c r="AO3272" s="134"/>
      <c r="AP3272" s="135"/>
      <c r="AQ3272" s="136"/>
      <c r="AR3272" s="118">
        <v>3000000</v>
      </c>
      <c r="AS3272" s="119"/>
      <c r="AT3272" s="118">
        <v>0</v>
      </c>
      <c r="AU3272" s="119"/>
      <c r="AV3272" s="118">
        <v>0</v>
      </c>
      <c r="AW3272" s="119"/>
      <c r="AX3272" s="118">
        <f t="shared" ref="AX3272" si="2542">SUM(AR3272:AW3272)</f>
        <v>3000000</v>
      </c>
      <c r="AY3272" s="119"/>
      <c r="AZ3272" s="137">
        <v>46385</v>
      </c>
    </row>
    <row r="3273" spans="1:52" ht="17.100000000000001" customHeight="1" thickBot="1">
      <c r="A3273" s="110"/>
      <c r="B3273" s="27" t="s">
        <v>1555</v>
      </c>
      <c r="C3273" s="27">
        <v>83195</v>
      </c>
      <c r="D3273" s="14" t="s">
        <v>133</v>
      </c>
      <c r="E3273" s="112"/>
      <c r="F3273" s="139" t="s">
        <v>10358</v>
      </c>
      <c r="G3273" s="140"/>
      <c r="H3273" s="141"/>
      <c r="I3273" s="26">
        <v>42740</v>
      </c>
      <c r="J3273" s="117"/>
      <c r="K3273" s="120"/>
      <c r="L3273" s="121"/>
      <c r="M3273" s="120"/>
      <c r="N3273" s="121"/>
      <c r="O3273" s="120"/>
      <c r="P3273" s="121"/>
      <c r="Q3273" s="120"/>
      <c r="R3273" s="121"/>
      <c r="S3273" s="120"/>
      <c r="T3273" s="121"/>
      <c r="U3273" s="120"/>
      <c r="V3273" s="123"/>
      <c r="W3273" s="125"/>
      <c r="X3273" s="142" t="s">
        <v>10692</v>
      </c>
      <c r="Y3273" s="143"/>
      <c r="Z3273" s="143"/>
      <c r="AA3273" s="143"/>
      <c r="AB3273" s="144"/>
      <c r="AC3273" s="16" t="s">
        <v>21</v>
      </c>
      <c r="AD3273" s="17" t="s">
        <v>10596</v>
      </c>
      <c r="AE3273" s="145" t="s">
        <v>171</v>
      </c>
      <c r="AF3273" s="146"/>
      <c r="AG3273" s="146"/>
      <c r="AH3273" s="146"/>
      <c r="AI3273" s="147"/>
      <c r="AJ3273" s="148"/>
      <c r="AK3273" s="143"/>
      <c r="AL3273" s="144"/>
      <c r="AM3273" s="22"/>
      <c r="AN3273" s="149" t="s">
        <v>15703</v>
      </c>
      <c r="AO3273" s="144"/>
      <c r="AP3273" s="148"/>
      <c r="AQ3273" s="144"/>
      <c r="AR3273" s="120"/>
      <c r="AS3273" s="121"/>
      <c r="AT3273" s="120"/>
      <c r="AU3273" s="121"/>
      <c r="AV3273" s="120"/>
      <c r="AW3273" s="121"/>
      <c r="AX3273" s="120"/>
      <c r="AY3273" s="121"/>
      <c r="AZ3273" s="138"/>
    </row>
    <row r="3274" spans="1:52" ht="17.100000000000001" customHeight="1" thickTop="1">
      <c r="A3274" s="109" t="s">
        <v>10366</v>
      </c>
      <c r="B3274" s="28">
        <v>45969</v>
      </c>
      <c r="C3274" s="25">
        <v>1440</v>
      </c>
      <c r="D3274" s="13" t="s">
        <v>1825</v>
      </c>
      <c r="E3274" s="111"/>
      <c r="F3274" s="113" t="s">
        <v>10329</v>
      </c>
      <c r="G3274" s="114"/>
      <c r="H3274" s="115"/>
      <c r="I3274" s="24"/>
      <c r="J3274" s="116">
        <v>4.5</v>
      </c>
      <c r="K3274" s="118">
        <v>2725000</v>
      </c>
      <c r="L3274" s="119"/>
      <c r="M3274" s="118">
        <f t="shared" ref="M3274" si="2543">K3274*0.1</f>
        <v>272500</v>
      </c>
      <c r="N3274" s="119"/>
      <c r="O3274" s="118">
        <v>0</v>
      </c>
      <c r="P3274" s="119"/>
      <c r="Q3274" s="118">
        <v>17010</v>
      </c>
      <c r="R3274" s="119"/>
      <c r="S3274" s="118">
        <v>16500</v>
      </c>
      <c r="T3274" s="119"/>
      <c r="U3274" s="118">
        <f t="shared" ref="U3274" si="2544">SUM(K3274:T3275)</f>
        <v>3031010</v>
      </c>
      <c r="V3274" s="122"/>
      <c r="W3274" s="124"/>
      <c r="X3274" s="126" t="s">
        <v>10690</v>
      </c>
      <c r="Y3274" s="127"/>
      <c r="Z3274" s="127"/>
      <c r="AA3274" s="127"/>
      <c r="AB3274" s="128"/>
      <c r="AC3274" s="15" t="s">
        <v>20</v>
      </c>
      <c r="AD3274" s="129" t="s">
        <v>1670</v>
      </c>
      <c r="AE3274" s="130"/>
      <c r="AF3274" s="130"/>
      <c r="AG3274" s="130"/>
      <c r="AH3274" s="130"/>
      <c r="AI3274" s="131"/>
      <c r="AJ3274" s="132"/>
      <c r="AK3274" s="127"/>
      <c r="AL3274" s="128"/>
      <c r="AM3274" s="21"/>
      <c r="AN3274" s="133">
        <v>46074</v>
      </c>
      <c r="AO3274" s="134"/>
      <c r="AP3274" s="135">
        <v>1289</v>
      </c>
      <c r="AQ3274" s="136"/>
      <c r="AR3274" s="118">
        <v>2850000</v>
      </c>
      <c r="AS3274" s="119"/>
      <c r="AT3274" s="118">
        <f t="shared" ref="AT3274" si="2545">AR3274*0.1</f>
        <v>285000</v>
      </c>
      <c r="AU3274" s="119"/>
      <c r="AV3274" s="118">
        <v>17010</v>
      </c>
      <c r="AW3274" s="119"/>
      <c r="AX3274" s="118">
        <f t="shared" ref="AX3274" si="2546">SUM(AR3274:AW3274)</f>
        <v>3152010</v>
      </c>
      <c r="AY3274" s="119"/>
      <c r="AZ3274" s="137">
        <v>46077</v>
      </c>
    </row>
    <row r="3275" spans="1:52" ht="17.100000000000001" customHeight="1" thickBot="1">
      <c r="A3275" s="110"/>
      <c r="B3275" s="27" t="s">
        <v>1779</v>
      </c>
      <c r="C3275" s="27">
        <v>5052</v>
      </c>
      <c r="D3275" s="14" t="s">
        <v>2601</v>
      </c>
      <c r="E3275" s="112"/>
      <c r="F3275" s="139" t="s">
        <v>10330</v>
      </c>
      <c r="G3275" s="140"/>
      <c r="H3275" s="141"/>
      <c r="I3275" s="26">
        <v>13555</v>
      </c>
      <c r="J3275" s="117"/>
      <c r="K3275" s="120"/>
      <c r="L3275" s="121"/>
      <c r="M3275" s="120"/>
      <c r="N3275" s="121"/>
      <c r="O3275" s="120"/>
      <c r="P3275" s="121"/>
      <c r="Q3275" s="120"/>
      <c r="R3275" s="121"/>
      <c r="S3275" s="120"/>
      <c r="T3275" s="121"/>
      <c r="U3275" s="120"/>
      <c r="V3275" s="123"/>
      <c r="W3275" s="125"/>
      <c r="X3275" s="142" t="s">
        <v>10691</v>
      </c>
      <c r="Y3275" s="143"/>
      <c r="Z3275" s="143"/>
      <c r="AA3275" s="143"/>
      <c r="AB3275" s="144"/>
      <c r="AC3275" s="16" t="s">
        <v>21</v>
      </c>
      <c r="AD3275" s="17" t="s">
        <v>10596</v>
      </c>
      <c r="AE3275" s="145" t="s">
        <v>9056</v>
      </c>
      <c r="AF3275" s="146"/>
      <c r="AG3275" s="146"/>
      <c r="AH3275" s="146"/>
      <c r="AI3275" s="147"/>
      <c r="AJ3275" s="148"/>
      <c r="AK3275" s="143"/>
      <c r="AL3275" s="144"/>
      <c r="AM3275" s="22"/>
      <c r="AN3275" s="149" t="s">
        <v>2511</v>
      </c>
      <c r="AO3275" s="144"/>
      <c r="AP3275" s="148">
        <v>80034</v>
      </c>
      <c r="AQ3275" s="144"/>
      <c r="AR3275" s="120"/>
      <c r="AS3275" s="121"/>
      <c r="AT3275" s="120"/>
      <c r="AU3275" s="121"/>
      <c r="AV3275" s="120"/>
      <c r="AW3275" s="121"/>
      <c r="AX3275" s="120"/>
      <c r="AY3275" s="121"/>
      <c r="AZ3275" s="138"/>
    </row>
    <row r="3276" spans="1:52" ht="17.100000000000001" customHeight="1" thickTop="1">
      <c r="A3276" s="109" t="s">
        <v>10367</v>
      </c>
      <c r="B3276" s="28">
        <v>45969</v>
      </c>
      <c r="C3276" s="25">
        <v>1440</v>
      </c>
      <c r="D3276" s="13" t="s">
        <v>2442</v>
      </c>
      <c r="E3276" s="111"/>
      <c r="F3276" s="113" t="s">
        <v>6960</v>
      </c>
      <c r="G3276" s="114"/>
      <c r="H3276" s="115"/>
      <c r="I3276" s="24"/>
      <c r="J3276" s="116">
        <v>4.5</v>
      </c>
      <c r="K3276" s="118">
        <v>735000</v>
      </c>
      <c r="L3276" s="119"/>
      <c r="M3276" s="118">
        <f t="shared" ref="M3276" si="2547">K3276*0.1</f>
        <v>73500</v>
      </c>
      <c r="N3276" s="119"/>
      <c r="O3276" s="118">
        <v>0</v>
      </c>
      <c r="P3276" s="119"/>
      <c r="Q3276" s="118">
        <v>9310</v>
      </c>
      <c r="R3276" s="119"/>
      <c r="S3276" s="118">
        <v>16500</v>
      </c>
      <c r="T3276" s="119"/>
      <c r="U3276" s="118">
        <f t="shared" ref="U3276" si="2548">SUM(K3276:T3277)</f>
        <v>834310</v>
      </c>
      <c r="V3276" s="122"/>
      <c r="W3276" s="124"/>
      <c r="X3276" s="126" t="s">
        <v>10687</v>
      </c>
      <c r="Y3276" s="127"/>
      <c r="Z3276" s="127"/>
      <c r="AA3276" s="127"/>
      <c r="AB3276" s="128"/>
      <c r="AC3276" s="15" t="s">
        <v>20</v>
      </c>
      <c r="AD3276" s="129" t="s">
        <v>1670</v>
      </c>
      <c r="AE3276" s="130"/>
      <c r="AF3276" s="130"/>
      <c r="AG3276" s="130"/>
      <c r="AH3276" s="130"/>
      <c r="AI3276" s="131"/>
      <c r="AJ3276" s="132"/>
      <c r="AK3276" s="127"/>
      <c r="AL3276" s="128"/>
      <c r="AM3276" s="21"/>
      <c r="AN3276" s="133">
        <v>46004</v>
      </c>
      <c r="AO3276" s="134"/>
      <c r="AP3276" s="135">
        <v>1280</v>
      </c>
      <c r="AQ3276" s="136"/>
      <c r="AR3276" s="118">
        <v>798000</v>
      </c>
      <c r="AS3276" s="119"/>
      <c r="AT3276" s="118">
        <f t="shared" ref="AT3276" si="2549">AR3276*0.1</f>
        <v>79800</v>
      </c>
      <c r="AU3276" s="119"/>
      <c r="AV3276" s="118">
        <v>9310</v>
      </c>
      <c r="AW3276" s="119"/>
      <c r="AX3276" s="118">
        <f t="shared" ref="AX3276" si="2550">SUM(AR3276:AW3276)</f>
        <v>887110</v>
      </c>
      <c r="AY3276" s="119"/>
      <c r="AZ3276" s="137">
        <v>46014</v>
      </c>
    </row>
    <row r="3277" spans="1:52" ht="17.100000000000001" customHeight="1" thickBot="1">
      <c r="A3277" s="110"/>
      <c r="B3277" s="27" t="s">
        <v>1779</v>
      </c>
      <c r="C3277" s="27">
        <v>6082</v>
      </c>
      <c r="D3277" s="14" t="s">
        <v>2836</v>
      </c>
      <c r="E3277" s="112"/>
      <c r="F3277" s="139" t="s">
        <v>10349</v>
      </c>
      <c r="G3277" s="140"/>
      <c r="H3277" s="141"/>
      <c r="I3277" s="26">
        <v>74464</v>
      </c>
      <c r="J3277" s="117"/>
      <c r="K3277" s="120"/>
      <c r="L3277" s="121"/>
      <c r="M3277" s="120"/>
      <c r="N3277" s="121"/>
      <c r="O3277" s="120"/>
      <c r="P3277" s="121"/>
      <c r="Q3277" s="120"/>
      <c r="R3277" s="121"/>
      <c r="S3277" s="120"/>
      <c r="T3277" s="121"/>
      <c r="U3277" s="120"/>
      <c r="V3277" s="123"/>
      <c r="W3277" s="125"/>
      <c r="X3277" s="142" t="s">
        <v>10688</v>
      </c>
      <c r="Y3277" s="143"/>
      <c r="Z3277" s="143"/>
      <c r="AA3277" s="143"/>
      <c r="AB3277" s="144"/>
      <c r="AC3277" s="16" t="s">
        <v>21</v>
      </c>
      <c r="AD3277" s="17" t="s">
        <v>10596</v>
      </c>
      <c r="AE3277" s="145" t="s">
        <v>10730</v>
      </c>
      <c r="AF3277" s="146"/>
      <c r="AG3277" s="146"/>
      <c r="AH3277" s="146"/>
      <c r="AI3277" s="147"/>
      <c r="AJ3277" s="148"/>
      <c r="AK3277" s="143"/>
      <c r="AL3277" s="144"/>
      <c r="AM3277" s="22"/>
      <c r="AN3277" s="149" t="s">
        <v>6748</v>
      </c>
      <c r="AO3277" s="144"/>
      <c r="AP3277" s="148">
        <v>60151</v>
      </c>
      <c r="AQ3277" s="144"/>
      <c r="AR3277" s="120"/>
      <c r="AS3277" s="121"/>
      <c r="AT3277" s="120"/>
      <c r="AU3277" s="121"/>
      <c r="AV3277" s="120"/>
      <c r="AW3277" s="121"/>
      <c r="AX3277" s="120"/>
      <c r="AY3277" s="121"/>
      <c r="AZ3277" s="138"/>
    </row>
    <row r="3278" spans="1:52" ht="17.100000000000001" customHeight="1" thickTop="1">
      <c r="A3278" s="109" t="s">
        <v>10368</v>
      </c>
      <c r="B3278" s="28">
        <v>45969</v>
      </c>
      <c r="C3278" s="25">
        <v>1275</v>
      </c>
      <c r="D3278" s="13" t="s">
        <v>2152</v>
      </c>
      <c r="E3278" s="111"/>
      <c r="F3278" s="113" t="s">
        <v>10340</v>
      </c>
      <c r="G3278" s="114"/>
      <c r="H3278" s="115"/>
      <c r="I3278" s="24" t="s">
        <v>10342</v>
      </c>
      <c r="J3278" s="116">
        <v>4</v>
      </c>
      <c r="K3278" s="118">
        <v>1220000</v>
      </c>
      <c r="L3278" s="119"/>
      <c r="M3278" s="118">
        <f t="shared" ref="M3278" si="2551">K3278*0.1</f>
        <v>122000</v>
      </c>
      <c r="N3278" s="119"/>
      <c r="O3278" s="118">
        <v>0</v>
      </c>
      <c r="P3278" s="119"/>
      <c r="Q3278" s="118">
        <v>5950</v>
      </c>
      <c r="R3278" s="119"/>
      <c r="S3278" s="118">
        <v>12100</v>
      </c>
      <c r="T3278" s="119"/>
      <c r="U3278" s="118">
        <f t="shared" ref="U3278" si="2552">SUM(K3278:T3279)</f>
        <v>1360050</v>
      </c>
      <c r="V3278" s="122"/>
      <c r="W3278" s="124"/>
      <c r="X3278" s="126" t="s">
        <v>10343</v>
      </c>
      <c r="Y3278" s="127"/>
      <c r="Z3278" s="127"/>
      <c r="AA3278" s="127"/>
      <c r="AB3278" s="128"/>
      <c r="AC3278" s="15" t="s">
        <v>20</v>
      </c>
      <c r="AD3278" s="129"/>
      <c r="AE3278" s="130"/>
      <c r="AF3278" s="130"/>
      <c r="AG3278" s="130"/>
      <c r="AH3278" s="130"/>
      <c r="AI3278" s="131"/>
      <c r="AJ3278" s="132"/>
      <c r="AK3278" s="127"/>
      <c r="AL3278" s="128"/>
      <c r="AM3278" s="21"/>
      <c r="AN3278" s="133">
        <v>45973</v>
      </c>
      <c r="AO3278" s="134"/>
      <c r="AP3278" s="135">
        <v>992</v>
      </c>
      <c r="AQ3278" s="136"/>
      <c r="AR3278" s="118">
        <v>1310000</v>
      </c>
      <c r="AS3278" s="119"/>
      <c r="AT3278" s="118">
        <f t="shared" ref="AT3278" si="2553">AR3278*0.1</f>
        <v>131000</v>
      </c>
      <c r="AU3278" s="119"/>
      <c r="AV3278" s="118">
        <v>5950</v>
      </c>
      <c r="AW3278" s="119"/>
      <c r="AX3278" s="118">
        <f t="shared" ref="AX3278" si="2554">SUM(AR3278:AW3278)</f>
        <v>1446950</v>
      </c>
      <c r="AY3278" s="119"/>
      <c r="AZ3278" s="137">
        <v>45979</v>
      </c>
    </row>
    <row r="3279" spans="1:52" ht="17.100000000000001" customHeight="1" thickBot="1">
      <c r="A3279" s="110"/>
      <c r="B3279" s="27" t="s">
        <v>2511</v>
      </c>
      <c r="C3279" s="27">
        <v>65189</v>
      </c>
      <c r="D3279" s="14" t="s">
        <v>1720</v>
      </c>
      <c r="E3279" s="112"/>
      <c r="F3279" s="139" t="s">
        <v>10341</v>
      </c>
      <c r="G3279" s="140"/>
      <c r="H3279" s="141"/>
      <c r="I3279" s="26">
        <v>19184</v>
      </c>
      <c r="J3279" s="117"/>
      <c r="K3279" s="120"/>
      <c r="L3279" s="121"/>
      <c r="M3279" s="120"/>
      <c r="N3279" s="121"/>
      <c r="O3279" s="120"/>
      <c r="P3279" s="121"/>
      <c r="Q3279" s="120"/>
      <c r="R3279" s="121"/>
      <c r="S3279" s="120"/>
      <c r="T3279" s="121"/>
      <c r="U3279" s="120"/>
      <c r="V3279" s="123"/>
      <c r="W3279" s="125"/>
      <c r="X3279" s="142" t="s">
        <v>10903</v>
      </c>
      <c r="Y3279" s="143"/>
      <c r="Z3279" s="143"/>
      <c r="AA3279" s="143"/>
      <c r="AB3279" s="144"/>
      <c r="AC3279" s="16" t="s">
        <v>21</v>
      </c>
      <c r="AD3279" s="17" t="s">
        <v>1703</v>
      </c>
      <c r="AE3279" s="145" t="s">
        <v>10376</v>
      </c>
      <c r="AF3279" s="146"/>
      <c r="AG3279" s="146"/>
      <c r="AH3279" s="146"/>
      <c r="AI3279" s="147"/>
      <c r="AJ3279" s="148"/>
      <c r="AK3279" s="143"/>
      <c r="AL3279" s="144"/>
      <c r="AM3279" s="22"/>
      <c r="AN3279" s="149" t="s">
        <v>2794</v>
      </c>
      <c r="AO3279" s="144"/>
      <c r="AP3279" s="148">
        <v>2080</v>
      </c>
      <c r="AQ3279" s="144"/>
      <c r="AR3279" s="120"/>
      <c r="AS3279" s="121"/>
      <c r="AT3279" s="120"/>
      <c r="AU3279" s="121"/>
      <c r="AV3279" s="120"/>
      <c r="AW3279" s="121"/>
      <c r="AX3279" s="120"/>
      <c r="AY3279" s="121"/>
      <c r="AZ3279" s="138"/>
    </row>
    <row r="3280" spans="1:52" ht="17.100000000000001" customHeight="1" thickTop="1">
      <c r="A3280" s="109" t="s">
        <v>10369</v>
      </c>
      <c r="B3280" s="28">
        <v>45969</v>
      </c>
      <c r="C3280" s="25">
        <v>1275</v>
      </c>
      <c r="D3280" s="13" t="s">
        <v>3381</v>
      </c>
      <c r="E3280" s="111"/>
      <c r="F3280" s="113" t="s">
        <v>10350</v>
      </c>
      <c r="G3280" s="114"/>
      <c r="H3280" s="115"/>
      <c r="I3280" s="24"/>
      <c r="J3280" s="116">
        <v>4.5</v>
      </c>
      <c r="K3280" s="118">
        <v>450000</v>
      </c>
      <c r="L3280" s="119"/>
      <c r="M3280" s="118">
        <f t="shared" ref="M3280" si="2555">K3280*0.1</f>
        <v>45000</v>
      </c>
      <c r="N3280" s="119"/>
      <c r="O3280" s="118">
        <v>0</v>
      </c>
      <c r="P3280" s="119"/>
      <c r="Q3280" s="118">
        <v>8790</v>
      </c>
      <c r="R3280" s="119"/>
      <c r="S3280" s="118">
        <v>12100</v>
      </c>
      <c r="T3280" s="119"/>
      <c r="U3280" s="118">
        <f t="shared" ref="U3280" si="2556">SUM(K3280:T3281)</f>
        <v>515890</v>
      </c>
      <c r="V3280" s="122"/>
      <c r="W3280" s="124"/>
      <c r="X3280" s="126" t="s">
        <v>10935</v>
      </c>
      <c r="Y3280" s="127"/>
      <c r="Z3280" s="127"/>
      <c r="AA3280" s="127"/>
      <c r="AB3280" s="128"/>
      <c r="AC3280" s="15" t="s">
        <v>20</v>
      </c>
      <c r="AD3280" s="129" t="s">
        <v>171</v>
      </c>
      <c r="AE3280" s="130"/>
      <c r="AF3280" s="130"/>
      <c r="AG3280" s="130"/>
      <c r="AH3280" s="130"/>
      <c r="AI3280" s="131"/>
      <c r="AJ3280" s="132"/>
      <c r="AK3280" s="127"/>
      <c r="AL3280" s="128"/>
      <c r="AM3280" s="21"/>
      <c r="AN3280" s="133">
        <v>45987</v>
      </c>
      <c r="AO3280" s="134"/>
      <c r="AP3280" s="135">
        <v>994</v>
      </c>
      <c r="AQ3280" s="136"/>
      <c r="AR3280" s="118">
        <v>510000</v>
      </c>
      <c r="AS3280" s="119"/>
      <c r="AT3280" s="118">
        <f t="shared" ref="AT3280" si="2557">AR3280*0.1</f>
        <v>51000</v>
      </c>
      <c r="AU3280" s="119"/>
      <c r="AV3280" s="118">
        <v>8790</v>
      </c>
      <c r="AW3280" s="119"/>
      <c r="AX3280" s="118">
        <f t="shared" ref="AX3280" si="2558">SUM(AR3280:AW3280)</f>
        <v>569790</v>
      </c>
      <c r="AY3280" s="119"/>
      <c r="AZ3280" s="137">
        <v>45992</v>
      </c>
    </row>
    <row r="3281" spans="1:52" ht="17.100000000000001" customHeight="1" thickBot="1">
      <c r="A3281" s="110"/>
      <c r="B3281" s="27" t="s">
        <v>2511</v>
      </c>
      <c r="C3281" s="27">
        <v>65314</v>
      </c>
      <c r="D3281" s="14" t="s">
        <v>55</v>
      </c>
      <c r="E3281" s="112"/>
      <c r="F3281" s="139" t="s">
        <v>10351</v>
      </c>
      <c r="G3281" s="140"/>
      <c r="H3281" s="141"/>
      <c r="I3281" s="26">
        <v>55225</v>
      </c>
      <c r="J3281" s="117"/>
      <c r="K3281" s="120"/>
      <c r="L3281" s="121"/>
      <c r="M3281" s="120"/>
      <c r="N3281" s="121"/>
      <c r="O3281" s="120"/>
      <c r="P3281" s="121"/>
      <c r="Q3281" s="120"/>
      <c r="R3281" s="121"/>
      <c r="S3281" s="120"/>
      <c r="T3281" s="121"/>
      <c r="U3281" s="120"/>
      <c r="V3281" s="123"/>
      <c r="W3281" s="125"/>
      <c r="X3281" s="142" t="s">
        <v>10928</v>
      </c>
      <c r="Y3281" s="143"/>
      <c r="Z3281" s="143"/>
      <c r="AA3281" s="143"/>
      <c r="AB3281" s="144"/>
      <c r="AC3281" s="16" t="s">
        <v>21</v>
      </c>
      <c r="AD3281" s="17" t="s">
        <v>10911</v>
      </c>
      <c r="AE3281" s="145" t="s">
        <v>10936</v>
      </c>
      <c r="AF3281" s="146"/>
      <c r="AG3281" s="146"/>
      <c r="AH3281" s="146"/>
      <c r="AI3281" s="147"/>
      <c r="AJ3281" s="148"/>
      <c r="AK3281" s="143"/>
      <c r="AL3281" s="144"/>
      <c r="AM3281" s="22"/>
      <c r="AN3281" s="149" t="s">
        <v>11801</v>
      </c>
      <c r="AO3281" s="144"/>
      <c r="AP3281" s="148">
        <v>2070</v>
      </c>
      <c r="AQ3281" s="144"/>
      <c r="AR3281" s="120"/>
      <c r="AS3281" s="121"/>
      <c r="AT3281" s="120"/>
      <c r="AU3281" s="121"/>
      <c r="AV3281" s="120"/>
      <c r="AW3281" s="121"/>
      <c r="AX3281" s="120"/>
      <c r="AY3281" s="121"/>
      <c r="AZ3281" s="138"/>
    </row>
    <row r="3282" spans="1:52" ht="17.100000000000001" customHeight="1" thickTop="1">
      <c r="A3282" s="109" t="s">
        <v>10370</v>
      </c>
      <c r="B3282" s="28">
        <v>45969</v>
      </c>
      <c r="C3282" s="25">
        <v>1275</v>
      </c>
      <c r="D3282" s="13" t="s">
        <v>2859</v>
      </c>
      <c r="E3282" s="111"/>
      <c r="F3282" s="113" t="s">
        <v>4483</v>
      </c>
      <c r="G3282" s="114"/>
      <c r="H3282" s="115"/>
      <c r="I3282" s="24" t="s">
        <v>10353</v>
      </c>
      <c r="J3282" s="116">
        <v>4</v>
      </c>
      <c r="K3282" s="118">
        <v>800000</v>
      </c>
      <c r="L3282" s="119"/>
      <c r="M3282" s="118">
        <f t="shared" ref="M3282" si="2559">K3282*0.1</f>
        <v>80000</v>
      </c>
      <c r="N3282" s="119"/>
      <c r="O3282" s="118">
        <v>0</v>
      </c>
      <c r="P3282" s="119"/>
      <c r="Q3282" s="118">
        <v>8400</v>
      </c>
      <c r="R3282" s="119"/>
      <c r="S3282" s="118">
        <v>13200</v>
      </c>
      <c r="T3282" s="119"/>
      <c r="U3282" s="118">
        <f t="shared" ref="U3282" si="2560">SUM(K3282:T3283)</f>
        <v>901600</v>
      </c>
      <c r="V3282" s="122"/>
      <c r="W3282" s="124"/>
      <c r="X3282" s="126" t="s">
        <v>10354</v>
      </c>
      <c r="Y3282" s="127"/>
      <c r="Z3282" s="127"/>
      <c r="AA3282" s="127"/>
      <c r="AB3282" s="128"/>
      <c r="AC3282" s="15" t="s">
        <v>20</v>
      </c>
      <c r="AD3282" s="129" t="s">
        <v>1581</v>
      </c>
      <c r="AE3282" s="130"/>
      <c r="AF3282" s="130"/>
      <c r="AG3282" s="130"/>
      <c r="AH3282" s="130"/>
      <c r="AI3282" s="131"/>
      <c r="AJ3282" s="132"/>
      <c r="AK3282" s="127"/>
      <c r="AL3282" s="128"/>
      <c r="AM3282" s="21"/>
      <c r="AN3282" s="133">
        <v>45994</v>
      </c>
      <c r="AO3282" s="134"/>
      <c r="AP3282" s="135">
        <v>995</v>
      </c>
      <c r="AQ3282" s="136"/>
      <c r="AR3282" s="118">
        <v>850000</v>
      </c>
      <c r="AS3282" s="119"/>
      <c r="AT3282" s="118">
        <f t="shared" ref="AT3282" si="2561">AR3282*0.1</f>
        <v>85000</v>
      </c>
      <c r="AU3282" s="119"/>
      <c r="AV3282" s="118">
        <v>8400</v>
      </c>
      <c r="AW3282" s="119"/>
      <c r="AX3282" s="118">
        <f t="shared" ref="AX3282" si="2562">SUM(AR3282:AW3282)</f>
        <v>943400</v>
      </c>
      <c r="AY3282" s="119"/>
      <c r="AZ3282" s="137">
        <v>45999</v>
      </c>
    </row>
    <row r="3283" spans="1:52" ht="17.100000000000001" customHeight="1" thickBot="1">
      <c r="A3283" s="110"/>
      <c r="B3283" s="27" t="s">
        <v>2511</v>
      </c>
      <c r="C3283" s="27">
        <v>65418</v>
      </c>
      <c r="D3283" s="14" t="s">
        <v>2836</v>
      </c>
      <c r="E3283" s="112"/>
      <c r="F3283" s="139" t="s">
        <v>10352</v>
      </c>
      <c r="G3283" s="140"/>
      <c r="H3283" s="141"/>
      <c r="I3283" s="26">
        <v>63301</v>
      </c>
      <c r="J3283" s="117"/>
      <c r="K3283" s="120"/>
      <c r="L3283" s="121"/>
      <c r="M3283" s="120"/>
      <c r="N3283" s="121"/>
      <c r="O3283" s="120"/>
      <c r="P3283" s="121"/>
      <c r="Q3283" s="120"/>
      <c r="R3283" s="121"/>
      <c r="S3283" s="120"/>
      <c r="T3283" s="121"/>
      <c r="U3283" s="120"/>
      <c r="V3283" s="123"/>
      <c r="W3283" s="125"/>
      <c r="X3283" s="142" t="s">
        <v>10937</v>
      </c>
      <c r="Y3283" s="143"/>
      <c r="Z3283" s="143"/>
      <c r="AA3283" s="143"/>
      <c r="AB3283" s="144"/>
      <c r="AC3283" s="16" t="s">
        <v>21</v>
      </c>
      <c r="AD3283" s="17" t="s">
        <v>10911</v>
      </c>
      <c r="AE3283" s="145" t="s">
        <v>6835</v>
      </c>
      <c r="AF3283" s="146"/>
      <c r="AG3283" s="146"/>
      <c r="AH3283" s="146"/>
      <c r="AI3283" s="147"/>
      <c r="AJ3283" s="148" t="s">
        <v>10726</v>
      </c>
      <c r="AK3283" s="143"/>
      <c r="AL3283" s="144"/>
      <c r="AM3283" s="22" t="s">
        <v>3483</v>
      </c>
      <c r="AN3283" s="149" t="s">
        <v>2794</v>
      </c>
      <c r="AO3283" s="144"/>
      <c r="AP3283" s="148">
        <v>2073</v>
      </c>
      <c r="AQ3283" s="144"/>
      <c r="AR3283" s="120"/>
      <c r="AS3283" s="121"/>
      <c r="AT3283" s="120"/>
      <c r="AU3283" s="121"/>
      <c r="AV3283" s="120"/>
      <c r="AW3283" s="121"/>
      <c r="AX3283" s="120"/>
      <c r="AY3283" s="121"/>
      <c r="AZ3283" s="138"/>
    </row>
    <row r="3284" spans="1:52" ht="17.100000000000001" customHeight="1" thickTop="1">
      <c r="A3284" s="109" t="s">
        <v>10371</v>
      </c>
      <c r="B3284" s="28">
        <v>45969</v>
      </c>
      <c r="C3284" s="25">
        <v>1275</v>
      </c>
      <c r="D3284" s="13" t="s">
        <v>1642</v>
      </c>
      <c r="E3284" s="111"/>
      <c r="F3284" s="113" t="s">
        <v>5259</v>
      </c>
      <c r="G3284" s="114"/>
      <c r="H3284" s="115"/>
      <c r="I3284" s="24"/>
      <c r="J3284" s="116">
        <v>4.5</v>
      </c>
      <c r="K3284" s="118">
        <v>1300000</v>
      </c>
      <c r="L3284" s="119"/>
      <c r="M3284" s="118">
        <f t="shared" ref="M3284" si="2563">K3284*0.1</f>
        <v>130000</v>
      </c>
      <c r="N3284" s="119"/>
      <c r="O3284" s="118">
        <v>0</v>
      </c>
      <c r="P3284" s="119"/>
      <c r="Q3284" s="118">
        <v>11930</v>
      </c>
      <c r="R3284" s="119"/>
      <c r="S3284" s="118">
        <v>23100</v>
      </c>
      <c r="T3284" s="119"/>
      <c r="U3284" s="118">
        <f t="shared" ref="U3284" si="2564">SUM(K3284:T3285)</f>
        <v>1465030</v>
      </c>
      <c r="V3284" s="122"/>
      <c r="W3284" s="124"/>
      <c r="X3284" s="126" t="s">
        <v>10904</v>
      </c>
      <c r="Y3284" s="127"/>
      <c r="Z3284" s="127"/>
      <c r="AA3284" s="127"/>
      <c r="AB3284" s="128"/>
      <c r="AC3284" s="15" t="s">
        <v>20</v>
      </c>
      <c r="AD3284" s="129"/>
      <c r="AE3284" s="130"/>
      <c r="AF3284" s="130"/>
      <c r="AG3284" s="130"/>
      <c r="AH3284" s="130"/>
      <c r="AI3284" s="131"/>
      <c r="AJ3284" s="132"/>
      <c r="AK3284" s="127"/>
      <c r="AL3284" s="128"/>
      <c r="AM3284" s="21"/>
      <c r="AN3284" s="133">
        <v>45973</v>
      </c>
      <c r="AO3284" s="134"/>
      <c r="AP3284" s="135">
        <v>992</v>
      </c>
      <c r="AQ3284" s="136"/>
      <c r="AR3284" s="118">
        <v>1705000</v>
      </c>
      <c r="AS3284" s="119"/>
      <c r="AT3284" s="118">
        <f t="shared" ref="AT3284" si="2565">AR3284*0.1</f>
        <v>170500</v>
      </c>
      <c r="AU3284" s="119"/>
      <c r="AV3284" s="118">
        <v>11930</v>
      </c>
      <c r="AW3284" s="119"/>
      <c r="AX3284" s="118">
        <f t="shared" ref="AX3284" si="2566">SUM(AR3284:AW3284)</f>
        <v>1887430</v>
      </c>
      <c r="AY3284" s="119"/>
      <c r="AZ3284" s="137">
        <v>45979</v>
      </c>
    </row>
    <row r="3285" spans="1:52" ht="17.100000000000001" customHeight="1" thickBot="1">
      <c r="A3285" s="110"/>
      <c r="B3285" s="27" t="s">
        <v>2511</v>
      </c>
      <c r="C3285" s="27">
        <v>80276</v>
      </c>
      <c r="D3285" s="14" t="s">
        <v>1592</v>
      </c>
      <c r="E3285" s="112"/>
      <c r="F3285" s="139" t="s">
        <v>10375</v>
      </c>
      <c r="G3285" s="140"/>
      <c r="H3285" s="141"/>
      <c r="I3285" s="26">
        <v>51116</v>
      </c>
      <c r="J3285" s="117"/>
      <c r="K3285" s="120"/>
      <c r="L3285" s="121"/>
      <c r="M3285" s="120"/>
      <c r="N3285" s="121"/>
      <c r="O3285" s="120"/>
      <c r="P3285" s="121"/>
      <c r="Q3285" s="120"/>
      <c r="R3285" s="121"/>
      <c r="S3285" s="120"/>
      <c r="T3285" s="121"/>
      <c r="U3285" s="120"/>
      <c r="V3285" s="123"/>
      <c r="W3285" s="125"/>
      <c r="X3285" s="142" t="s">
        <v>10905</v>
      </c>
      <c r="Y3285" s="143"/>
      <c r="Z3285" s="143"/>
      <c r="AA3285" s="143"/>
      <c r="AB3285" s="144"/>
      <c r="AC3285" s="16" t="s">
        <v>21</v>
      </c>
      <c r="AD3285" s="17" t="s">
        <v>1703</v>
      </c>
      <c r="AE3285" s="145" t="s">
        <v>10906</v>
      </c>
      <c r="AF3285" s="146"/>
      <c r="AG3285" s="146"/>
      <c r="AH3285" s="146"/>
      <c r="AI3285" s="147"/>
      <c r="AJ3285" s="148"/>
      <c r="AK3285" s="143"/>
      <c r="AL3285" s="144"/>
      <c r="AM3285" s="22"/>
      <c r="AN3285" s="149" t="s">
        <v>2794</v>
      </c>
      <c r="AO3285" s="144"/>
      <c r="AP3285" s="148">
        <v>5067</v>
      </c>
      <c r="AQ3285" s="144"/>
      <c r="AR3285" s="120"/>
      <c r="AS3285" s="121"/>
      <c r="AT3285" s="120"/>
      <c r="AU3285" s="121"/>
      <c r="AV3285" s="120"/>
      <c r="AW3285" s="121"/>
      <c r="AX3285" s="120"/>
      <c r="AY3285" s="121"/>
      <c r="AZ3285" s="138"/>
    </row>
    <row r="3286" spans="1:52" ht="16.5" customHeight="1" thickTop="1">
      <c r="A3286" s="109" t="s">
        <v>10372</v>
      </c>
      <c r="B3286" s="28">
        <v>45969</v>
      </c>
      <c r="C3286" s="25">
        <v>1275</v>
      </c>
      <c r="D3286" s="13" t="s">
        <v>2616</v>
      </c>
      <c r="E3286" s="111"/>
      <c r="F3286" s="113" t="s">
        <v>10360</v>
      </c>
      <c r="G3286" s="114"/>
      <c r="H3286" s="115"/>
      <c r="I3286" s="24" t="s">
        <v>2919</v>
      </c>
      <c r="J3286" s="116">
        <v>4.5</v>
      </c>
      <c r="K3286" s="118">
        <v>550000</v>
      </c>
      <c r="L3286" s="119"/>
      <c r="M3286" s="118">
        <f t="shared" ref="M3286" si="2567">K3286*0.1</f>
        <v>55000</v>
      </c>
      <c r="N3286" s="119"/>
      <c r="O3286" s="118">
        <f>8300+830</f>
        <v>9130</v>
      </c>
      <c r="P3286" s="119"/>
      <c r="Q3286" s="118">
        <v>12470</v>
      </c>
      <c r="R3286" s="119"/>
      <c r="S3286" s="118">
        <v>23100</v>
      </c>
      <c r="T3286" s="119"/>
      <c r="U3286" s="118">
        <f t="shared" ref="U3286" si="2568">SUM(K3286:T3287)</f>
        <v>649700</v>
      </c>
      <c r="V3286" s="122"/>
      <c r="W3286" s="124"/>
      <c r="X3286" s="126" t="s">
        <v>10362</v>
      </c>
      <c r="Y3286" s="127"/>
      <c r="Z3286" s="127"/>
      <c r="AA3286" s="127"/>
      <c r="AB3286" s="128"/>
      <c r="AC3286" s="15" t="s">
        <v>20</v>
      </c>
      <c r="AD3286" s="129" t="s">
        <v>1565</v>
      </c>
      <c r="AE3286" s="130"/>
      <c r="AF3286" s="130"/>
      <c r="AG3286" s="130"/>
      <c r="AH3286" s="130"/>
      <c r="AI3286" s="131"/>
      <c r="AJ3286" s="132"/>
      <c r="AK3286" s="127"/>
      <c r="AL3286" s="128"/>
      <c r="AM3286" s="21" t="s">
        <v>12774</v>
      </c>
      <c r="AN3286" s="133">
        <v>46011</v>
      </c>
      <c r="AO3286" s="134"/>
      <c r="AP3286" s="135">
        <v>1281</v>
      </c>
      <c r="AQ3286" s="136"/>
      <c r="AR3286" s="118">
        <v>650000</v>
      </c>
      <c r="AS3286" s="119"/>
      <c r="AT3286" s="118">
        <f t="shared" ref="AT3286" si="2569">AR3286*0.1</f>
        <v>65000</v>
      </c>
      <c r="AU3286" s="119"/>
      <c r="AV3286" s="118">
        <v>12470</v>
      </c>
      <c r="AW3286" s="119"/>
      <c r="AX3286" s="118">
        <f t="shared" ref="AX3286" si="2570">SUM(AR3286:AW3286)</f>
        <v>727470</v>
      </c>
      <c r="AY3286" s="119"/>
      <c r="AZ3286" s="137">
        <v>46014</v>
      </c>
    </row>
    <row r="3287" spans="1:52" ht="17.100000000000001" customHeight="1" thickBot="1">
      <c r="A3287" s="110"/>
      <c r="B3287" s="27" t="s">
        <v>2511</v>
      </c>
      <c r="C3287" s="27">
        <v>81012</v>
      </c>
      <c r="D3287" s="14" t="s">
        <v>1556</v>
      </c>
      <c r="E3287" s="112"/>
      <c r="F3287" s="139" t="s">
        <v>10361</v>
      </c>
      <c r="G3287" s="140"/>
      <c r="H3287" s="141"/>
      <c r="I3287" s="26">
        <v>56803</v>
      </c>
      <c r="J3287" s="117"/>
      <c r="K3287" s="120"/>
      <c r="L3287" s="121"/>
      <c r="M3287" s="120"/>
      <c r="N3287" s="121"/>
      <c r="O3287" s="120"/>
      <c r="P3287" s="121"/>
      <c r="Q3287" s="120"/>
      <c r="R3287" s="121"/>
      <c r="S3287" s="120"/>
      <c r="T3287" s="121"/>
      <c r="U3287" s="120"/>
      <c r="V3287" s="123"/>
      <c r="W3287" s="125"/>
      <c r="X3287" s="142" t="s">
        <v>10918</v>
      </c>
      <c r="Y3287" s="143"/>
      <c r="Z3287" s="143"/>
      <c r="AA3287" s="143"/>
      <c r="AB3287" s="144"/>
      <c r="AC3287" s="16" t="s">
        <v>21</v>
      </c>
      <c r="AD3287" s="17" t="s">
        <v>10911</v>
      </c>
      <c r="AE3287" s="145" t="s">
        <v>10919</v>
      </c>
      <c r="AF3287" s="146"/>
      <c r="AG3287" s="146"/>
      <c r="AH3287" s="146"/>
      <c r="AI3287" s="147"/>
      <c r="AJ3287" s="148"/>
      <c r="AK3287" s="143"/>
      <c r="AL3287" s="144"/>
      <c r="AM3287" s="22"/>
      <c r="AN3287" s="149" t="s">
        <v>2511</v>
      </c>
      <c r="AO3287" s="144"/>
      <c r="AP3287" s="148">
        <v>80051</v>
      </c>
      <c r="AQ3287" s="144"/>
      <c r="AR3287" s="120"/>
      <c r="AS3287" s="121"/>
      <c r="AT3287" s="120"/>
      <c r="AU3287" s="121"/>
      <c r="AV3287" s="120"/>
      <c r="AW3287" s="121"/>
      <c r="AX3287" s="120"/>
      <c r="AY3287" s="121"/>
      <c r="AZ3287" s="138"/>
    </row>
    <row r="3288" spans="1:52" ht="17.100000000000001" customHeight="1" thickTop="1">
      <c r="A3288" s="109" t="s">
        <v>10373</v>
      </c>
      <c r="B3288" s="28">
        <v>45969</v>
      </c>
      <c r="C3288" s="25">
        <v>1275</v>
      </c>
      <c r="D3288" s="13" t="s">
        <v>10355</v>
      </c>
      <c r="E3288" s="111"/>
      <c r="F3288" s="113" t="s">
        <v>1660</v>
      </c>
      <c r="G3288" s="114"/>
      <c r="H3288" s="115"/>
      <c r="I3288" s="24" t="s">
        <v>8658</v>
      </c>
      <c r="J3288" s="116">
        <v>3.5</v>
      </c>
      <c r="K3288" s="118">
        <v>950000</v>
      </c>
      <c r="L3288" s="119"/>
      <c r="M3288" s="118">
        <f t="shared" ref="M3288" si="2571">K3288*0.1</f>
        <v>95000</v>
      </c>
      <c r="N3288" s="119"/>
      <c r="O3288" s="118">
        <f>25400+2540</f>
        <v>27940</v>
      </c>
      <c r="P3288" s="119"/>
      <c r="Q3288" s="118">
        <v>15490</v>
      </c>
      <c r="R3288" s="119"/>
      <c r="S3288" s="118">
        <v>16500</v>
      </c>
      <c r="T3288" s="119"/>
      <c r="U3288" s="118">
        <f t="shared" ref="U3288" si="2572">SUM(K3288:T3289)</f>
        <v>1104930</v>
      </c>
      <c r="V3288" s="122"/>
      <c r="W3288" s="124"/>
      <c r="X3288" s="126" t="s">
        <v>10357</v>
      </c>
      <c r="Y3288" s="127"/>
      <c r="Z3288" s="127"/>
      <c r="AA3288" s="127"/>
      <c r="AB3288" s="128"/>
      <c r="AC3288" s="15" t="s">
        <v>20</v>
      </c>
      <c r="AD3288" s="129" t="s">
        <v>1732</v>
      </c>
      <c r="AE3288" s="130"/>
      <c r="AF3288" s="130"/>
      <c r="AG3288" s="130"/>
      <c r="AH3288" s="130"/>
      <c r="AI3288" s="131"/>
      <c r="AJ3288" s="132"/>
      <c r="AK3288" s="127"/>
      <c r="AL3288" s="128"/>
      <c r="AM3288" s="21"/>
      <c r="AN3288" s="133"/>
      <c r="AO3288" s="134"/>
      <c r="AP3288" s="135"/>
      <c r="AQ3288" s="136"/>
      <c r="AR3288" s="118"/>
      <c r="AS3288" s="119"/>
      <c r="AT3288" s="118">
        <f t="shared" ref="AT3288" si="2573">AR3288*0.1</f>
        <v>0</v>
      </c>
      <c r="AU3288" s="119"/>
      <c r="AV3288" s="118"/>
      <c r="AW3288" s="119"/>
      <c r="AX3288" s="118">
        <f t="shared" ref="AX3288" si="2574">SUM(AR3288:AW3288)</f>
        <v>0</v>
      </c>
      <c r="AY3288" s="119"/>
      <c r="AZ3288" s="137"/>
    </row>
    <row r="3289" spans="1:52" ht="17.100000000000001" customHeight="1" thickBot="1">
      <c r="A3289" s="110"/>
      <c r="B3289" s="27" t="s">
        <v>2511</v>
      </c>
      <c r="C3289" s="27">
        <v>82012</v>
      </c>
      <c r="D3289" s="14" t="s">
        <v>1576</v>
      </c>
      <c r="E3289" s="112"/>
      <c r="F3289" s="139" t="s">
        <v>10356</v>
      </c>
      <c r="G3289" s="140"/>
      <c r="H3289" s="141"/>
      <c r="I3289" s="26">
        <v>37834</v>
      </c>
      <c r="J3289" s="117"/>
      <c r="K3289" s="120"/>
      <c r="L3289" s="121"/>
      <c r="M3289" s="120"/>
      <c r="N3289" s="121"/>
      <c r="O3289" s="120"/>
      <c r="P3289" s="121"/>
      <c r="Q3289" s="120"/>
      <c r="R3289" s="121"/>
      <c r="S3289" s="120"/>
      <c r="T3289" s="121"/>
      <c r="U3289" s="120"/>
      <c r="V3289" s="123"/>
      <c r="W3289" s="125"/>
      <c r="X3289" s="142" t="s">
        <v>10916</v>
      </c>
      <c r="Y3289" s="143"/>
      <c r="Z3289" s="143"/>
      <c r="AA3289" s="143"/>
      <c r="AB3289" s="144"/>
      <c r="AC3289" s="16" t="s">
        <v>21</v>
      </c>
      <c r="AD3289" s="17" t="s">
        <v>10911</v>
      </c>
      <c r="AE3289" s="145" t="s">
        <v>10917</v>
      </c>
      <c r="AF3289" s="146"/>
      <c r="AG3289" s="146"/>
      <c r="AH3289" s="146"/>
      <c r="AI3289" s="147"/>
      <c r="AJ3289" s="148"/>
      <c r="AK3289" s="143"/>
      <c r="AL3289" s="144"/>
      <c r="AM3289" s="22"/>
      <c r="AN3289" s="149"/>
      <c r="AO3289" s="144"/>
      <c r="AP3289" s="148"/>
      <c r="AQ3289" s="144"/>
      <c r="AR3289" s="120"/>
      <c r="AS3289" s="121"/>
      <c r="AT3289" s="120"/>
      <c r="AU3289" s="121"/>
      <c r="AV3289" s="120"/>
      <c r="AW3289" s="121"/>
      <c r="AX3289" s="120"/>
      <c r="AY3289" s="121"/>
      <c r="AZ3289" s="138"/>
    </row>
    <row r="3290" spans="1:52" ht="16.5" customHeight="1" thickTop="1">
      <c r="A3290" s="109" t="s">
        <v>10374</v>
      </c>
      <c r="B3290" s="28">
        <v>45969</v>
      </c>
      <c r="C3290" s="25">
        <v>1275</v>
      </c>
      <c r="D3290" s="13" t="s">
        <v>2298</v>
      </c>
      <c r="E3290" s="111"/>
      <c r="F3290" s="113" t="s">
        <v>1810</v>
      </c>
      <c r="G3290" s="114"/>
      <c r="H3290" s="115"/>
      <c r="I3290" s="24" t="s">
        <v>2858</v>
      </c>
      <c r="J3290" s="116">
        <v>4.5</v>
      </c>
      <c r="K3290" s="118">
        <v>2395000</v>
      </c>
      <c r="L3290" s="119"/>
      <c r="M3290" s="118">
        <f t="shared" ref="M3290" si="2575">K3290*0.1</f>
        <v>239500</v>
      </c>
      <c r="N3290" s="119"/>
      <c r="O3290" s="118">
        <v>0</v>
      </c>
      <c r="P3290" s="119"/>
      <c r="Q3290" s="118">
        <v>16240</v>
      </c>
      <c r="R3290" s="119"/>
      <c r="S3290" s="118">
        <v>16500</v>
      </c>
      <c r="T3290" s="119"/>
      <c r="U3290" s="118">
        <f t="shared" ref="U3290" si="2576">SUM(K3290:T3291)</f>
        <v>2667240</v>
      </c>
      <c r="V3290" s="122"/>
      <c r="W3290" s="124"/>
      <c r="X3290" s="126" t="s">
        <v>10920</v>
      </c>
      <c r="Y3290" s="127"/>
      <c r="Z3290" s="127"/>
      <c r="AA3290" s="127"/>
      <c r="AB3290" s="128"/>
      <c r="AC3290" s="15" t="s">
        <v>20</v>
      </c>
      <c r="AD3290" s="129" t="s">
        <v>186</v>
      </c>
      <c r="AE3290" s="130"/>
      <c r="AF3290" s="130"/>
      <c r="AG3290" s="130"/>
      <c r="AH3290" s="130"/>
      <c r="AI3290" s="131"/>
      <c r="AJ3290" s="132"/>
      <c r="AK3290" s="127"/>
      <c r="AL3290" s="128"/>
      <c r="AM3290" s="21"/>
      <c r="AN3290" s="133">
        <v>45981</v>
      </c>
      <c r="AO3290" s="134"/>
      <c r="AP3290" s="135">
        <v>1307</v>
      </c>
      <c r="AQ3290" s="136"/>
      <c r="AR3290" s="118">
        <v>2600000</v>
      </c>
      <c r="AS3290" s="119"/>
      <c r="AT3290" s="118">
        <f t="shared" ref="AT3290" si="2577">AR3290*0.1</f>
        <v>260000</v>
      </c>
      <c r="AU3290" s="119"/>
      <c r="AV3290" s="118">
        <v>16240</v>
      </c>
      <c r="AW3290" s="119"/>
      <c r="AX3290" s="118">
        <f t="shared" ref="AX3290" si="2578">SUM(AR3290:AW3290)</f>
        <v>2876240</v>
      </c>
      <c r="AY3290" s="119"/>
      <c r="AZ3290" s="137">
        <v>45982</v>
      </c>
    </row>
    <row r="3291" spans="1:52" ht="17.100000000000001" customHeight="1" thickBot="1">
      <c r="A3291" s="110"/>
      <c r="B3291" s="27" t="s">
        <v>2511</v>
      </c>
      <c r="C3291" s="27">
        <v>82289</v>
      </c>
      <c r="D3291" s="14" t="s">
        <v>275</v>
      </c>
      <c r="E3291" s="112"/>
      <c r="F3291" s="139" t="s">
        <v>10363</v>
      </c>
      <c r="G3291" s="140"/>
      <c r="H3291" s="141"/>
      <c r="I3291" s="26">
        <v>25211</v>
      </c>
      <c r="J3291" s="117"/>
      <c r="K3291" s="120"/>
      <c r="L3291" s="121"/>
      <c r="M3291" s="120"/>
      <c r="N3291" s="121"/>
      <c r="O3291" s="120"/>
      <c r="P3291" s="121"/>
      <c r="Q3291" s="120"/>
      <c r="R3291" s="121"/>
      <c r="S3291" s="120"/>
      <c r="T3291" s="121"/>
      <c r="U3291" s="120"/>
      <c r="V3291" s="123"/>
      <c r="W3291" s="125"/>
      <c r="X3291" s="142" t="s">
        <v>10921</v>
      </c>
      <c r="Y3291" s="143"/>
      <c r="Z3291" s="143"/>
      <c r="AA3291" s="143"/>
      <c r="AB3291" s="144"/>
      <c r="AC3291" s="16" t="s">
        <v>21</v>
      </c>
      <c r="AD3291" s="17" t="s">
        <v>10911</v>
      </c>
      <c r="AE3291" s="145" t="s">
        <v>10922</v>
      </c>
      <c r="AF3291" s="146"/>
      <c r="AG3291" s="146"/>
      <c r="AH3291" s="146"/>
      <c r="AI3291" s="147"/>
      <c r="AJ3291" s="148"/>
      <c r="AK3291" s="143"/>
      <c r="AL3291" s="144"/>
      <c r="AM3291" s="22"/>
      <c r="AN3291" s="149" t="s">
        <v>9132</v>
      </c>
      <c r="AO3291" s="144"/>
      <c r="AP3291" s="148" t="s">
        <v>11318</v>
      </c>
      <c r="AQ3291" s="144"/>
      <c r="AR3291" s="120"/>
      <c r="AS3291" s="121"/>
      <c r="AT3291" s="120"/>
      <c r="AU3291" s="121"/>
      <c r="AV3291" s="120"/>
      <c r="AW3291" s="121"/>
      <c r="AX3291" s="120"/>
      <c r="AY3291" s="121"/>
      <c r="AZ3291" s="138"/>
    </row>
    <row r="3292" spans="1:52" ht="17.100000000000001" customHeight="1" thickTop="1">
      <c r="A3292" s="109" t="s">
        <v>10424</v>
      </c>
      <c r="B3292" s="28">
        <v>45971</v>
      </c>
      <c r="C3292" s="25">
        <v>67</v>
      </c>
      <c r="D3292" s="13" t="s">
        <v>4287</v>
      </c>
      <c r="E3292" s="111"/>
      <c r="F3292" s="113" t="s">
        <v>4297</v>
      </c>
      <c r="G3292" s="114"/>
      <c r="H3292" s="115"/>
      <c r="I3292" s="24" t="s">
        <v>4193</v>
      </c>
      <c r="J3292" s="116">
        <v>5</v>
      </c>
      <c r="K3292" s="118">
        <v>1400000</v>
      </c>
      <c r="L3292" s="119"/>
      <c r="M3292" s="118">
        <f t="shared" ref="M3292" si="2579">K3292*0.1</f>
        <v>140000</v>
      </c>
      <c r="N3292" s="119"/>
      <c r="O3292" s="118">
        <v>0</v>
      </c>
      <c r="P3292" s="119"/>
      <c r="Q3292" s="118">
        <v>8550</v>
      </c>
      <c r="R3292" s="119"/>
      <c r="S3292" s="118">
        <v>44000</v>
      </c>
      <c r="T3292" s="119"/>
      <c r="U3292" s="118">
        <f t="shared" ref="U3292" si="2580">SUM(K3292:T3293)</f>
        <v>1592550</v>
      </c>
      <c r="V3292" s="122"/>
      <c r="W3292" s="124"/>
      <c r="X3292" s="126" t="s">
        <v>12382</v>
      </c>
      <c r="Y3292" s="127"/>
      <c r="Z3292" s="127"/>
      <c r="AA3292" s="127"/>
      <c r="AB3292" s="128"/>
      <c r="AC3292" s="15" t="s">
        <v>20</v>
      </c>
      <c r="AD3292" s="129" t="s">
        <v>10261</v>
      </c>
      <c r="AE3292" s="130"/>
      <c r="AF3292" s="130"/>
      <c r="AG3292" s="130"/>
      <c r="AH3292" s="130"/>
      <c r="AI3292" s="131"/>
      <c r="AJ3292" s="132"/>
      <c r="AK3292" s="127"/>
      <c r="AL3292" s="128"/>
      <c r="AM3292" s="21" t="s">
        <v>12862</v>
      </c>
      <c r="AN3292" s="133">
        <v>46000</v>
      </c>
      <c r="AO3292" s="134"/>
      <c r="AP3292" s="135">
        <v>1921</v>
      </c>
      <c r="AQ3292" s="136"/>
      <c r="AR3292" s="118">
        <v>1445000</v>
      </c>
      <c r="AS3292" s="119"/>
      <c r="AT3292" s="118">
        <f t="shared" ref="AT3292" si="2581">AR3292*0.1</f>
        <v>144500</v>
      </c>
      <c r="AU3292" s="119"/>
      <c r="AV3292" s="118">
        <v>8550</v>
      </c>
      <c r="AW3292" s="119"/>
      <c r="AX3292" s="118">
        <f t="shared" ref="AX3292" si="2582">SUM(AR3292:AW3292)</f>
        <v>1598050</v>
      </c>
      <c r="AY3292" s="119"/>
      <c r="AZ3292" s="137">
        <v>46006</v>
      </c>
    </row>
    <row r="3293" spans="1:52" ht="17.100000000000001" customHeight="1" thickBot="1">
      <c r="A3293" s="110"/>
      <c r="B3293" s="27" t="s">
        <v>4544</v>
      </c>
      <c r="C3293" s="27">
        <v>1025</v>
      </c>
      <c r="D3293" s="14" t="s">
        <v>275</v>
      </c>
      <c r="E3293" s="112"/>
      <c r="F3293" s="139" t="s">
        <v>10427</v>
      </c>
      <c r="G3293" s="140"/>
      <c r="H3293" s="141"/>
      <c r="I3293" s="26">
        <v>14381</v>
      </c>
      <c r="J3293" s="117"/>
      <c r="K3293" s="120"/>
      <c r="L3293" s="121"/>
      <c r="M3293" s="120"/>
      <c r="N3293" s="121"/>
      <c r="O3293" s="120"/>
      <c r="P3293" s="121"/>
      <c r="Q3293" s="120"/>
      <c r="R3293" s="121"/>
      <c r="S3293" s="120"/>
      <c r="T3293" s="121"/>
      <c r="U3293" s="120"/>
      <c r="V3293" s="123"/>
      <c r="W3293" s="125"/>
      <c r="X3293" s="142" t="s">
        <v>12383</v>
      </c>
      <c r="Y3293" s="143"/>
      <c r="Z3293" s="143"/>
      <c r="AA3293" s="143"/>
      <c r="AB3293" s="144"/>
      <c r="AC3293" s="16" t="s">
        <v>21</v>
      </c>
      <c r="AD3293" s="17" t="s">
        <v>2248</v>
      </c>
      <c r="AE3293" s="145" t="s">
        <v>1609</v>
      </c>
      <c r="AF3293" s="146"/>
      <c r="AG3293" s="146"/>
      <c r="AH3293" s="146"/>
      <c r="AI3293" s="147"/>
      <c r="AJ3293" s="148"/>
      <c r="AK3293" s="143"/>
      <c r="AL3293" s="144"/>
      <c r="AM3293" s="22"/>
      <c r="AN3293" s="149" t="s">
        <v>2131</v>
      </c>
      <c r="AO3293" s="144"/>
      <c r="AP3293" s="148">
        <v>3063</v>
      </c>
      <c r="AQ3293" s="144"/>
      <c r="AR3293" s="120"/>
      <c r="AS3293" s="121"/>
      <c r="AT3293" s="120"/>
      <c r="AU3293" s="121"/>
      <c r="AV3293" s="120"/>
      <c r="AW3293" s="121"/>
      <c r="AX3293" s="120"/>
      <c r="AY3293" s="121"/>
      <c r="AZ3293" s="138"/>
    </row>
    <row r="3294" spans="1:52" ht="17.100000000000001" customHeight="1" thickTop="1">
      <c r="A3294" s="109" t="s">
        <v>10425</v>
      </c>
      <c r="B3294" s="28">
        <v>45971</v>
      </c>
      <c r="C3294" s="25">
        <v>67</v>
      </c>
      <c r="D3294" s="13" t="s">
        <v>2465</v>
      </c>
      <c r="E3294" s="111"/>
      <c r="F3294" s="113" t="s">
        <v>10428</v>
      </c>
      <c r="G3294" s="114"/>
      <c r="H3294" s="115"/>
      <c r="I3294" s="24" t="s">
        <v>3923</v>
      </c>
      <c r="J3294" s="116">
        <v>4.5</v>
      </c>
      <c r="K3294" s="118">
        <v>665000</v>
      </c>
      <c r="L3294" s="119"/>
      <c r="M3294" s="118">
        <f t="shared" ref="M3294" si="2583">K3294*0.1</f>
        <v>66500</v>
      </c>
      <c r="N3294" s="119"/>
      <c r="O3294" s="118">
        <v>0</v>
      </c>
      <c r="P3294" s="119"/>
      <c r="Q3294" s="118">
        <v>8430</v>
      </c>
      <c r="R3294" s="119"/>
      <c r="S3294" s="118">
        <v>33000</v>
      </c>
      <c r="T3294" s="119"/>
      <c r="U3294" s="118">
        <f t="shared" ref="U3294" si="2584">SUM(K3294:T3295)</f>
        <v>772930</v>
      </c>
      <c r="V3294" s="122"/>
      <c r="W3294" s="124"/>
      <c r="X3294" s="126" t="s">
        <v>11793</v>
      </c>
      <c r="Y3294" s="127"/>
      <c r="Z3294" s="127"/>
      <c r="AA3294" s="127"/>
      <c r="AB3294" s="128"/>
      <c r="AC3294" s="15" t="s">
        <v>20</v>
      </c>
      <c r="AD3294" s="129" t="s">
        <v>9477</v>
      </c>
      <c r="AE3294" s="130"/>
      <c r="AF3294" s="130"/>
      <c r="AG3294" s="130"/>
      <c r="AH3294" s="130"/>
      <c r="AI3294" s="131"/>
      <c r="AJ3294" s="132"/>
      <c r="AK3294" s="127"/>
      <c r="AL3294" s="128"/>
      <c r="AM3294" s="21"/>
      <c r="AN3294" s="133">
        <v>45986</v>
      </c>
      <c r="AO3294" s="134"/>
      <c r="AP3294" s="135">
        <v>1919</v>
      </c>
      <c r="AQ3294" s="136"/>
      <c r="AR3294" s="118">
        <v>790000</v>
      </c>
      <c r="AS3294" s="119"/>
      <c r="AT3294" s="118">
        <f t="shared" ref="AT3294" si="2585">AR3294*0.1</f>
        <v>79000</v>
      </c>
      <c r="AU3294" s="119"/>
      <c r="AV3294" s="118">
        <v>8430</v>
      </c>
      <c r="AW3294" s="119"/>
      <c r="AX3294" s="118">
        <f t="shared" ref="AX3294" si="2586">SUM(AR3294:AW3294)</f>
        <v>877430</v>
      </c>
      <c r="AY3294" s="119"/>
      <c r="AZ3294" s="137"/>
    </row>
    <row r="3295" spans="1:52" ht="17.100000000000001" customHeight="1" thickBot="1">
      <c r="A3295" s="110"/>
      <c r="B3295" s="27" t="s">
        <v>4544</v>
      </c>
      <c r="C3295" s="27">
        <v>1036</v>
      </c>
      <c r="D3295" s="14" t="s">
        <v>2601</v>
      </c>
      <c r="E3295" s="112"/>
      <c r="F3295" s="139" t="s">
        <v>10429</v>
      </c>
      <c r="G3295" s="140"/>
      <c r="H3295" s="141"/>
      <c r="I3295" s="26">
        <v>26297</v>
      </c>
      <c r="J3295" s="117"/>
      <c r="K3295" s="120"/>
      <c r="L3295" s="121"/>
      <c r="M3295" s="120"/>
      <c r="N3295" s="121"/>
      <c r="O3295" s="120"/>
      <c r="P3295" s="121"/>
      <c r="Q3295" s="120"/>
      <c r="R3295" s="121"/>
      <c r="S3295" s="120"/>
      <c r="T3295" s="121"/>
      <c r="U3295" s="120"/>
      <c r="V3295" s="123"/>
      <c r="W3295" s="125"/>
      <c r="X3295" s="142" t="s">
        <v>11794</v>
      </c>
      <c r="Y3295" s="143"/>
      <c r="Z3295" s="143"/>
      <c r="AA3295" s="143"/>
      <c r="AB3295" s="144"/>
      <c r="AC3295" s="16" t="s">
        <v>21</v>
      </c>
      <c r="AD3295" s="17" t="s">
        <v>11774</v>
      </c>
      <c r="AE3295" s="145" t="s">
        <v>11778</v>
      </c>
      <c r="AF3295" s="146"/>
      <c r="AG3295" s="146"/>
      <c r="AH3295" s="146"/>
      <c r="AI3295" s="147"/>
      <c r="AJ3295" s="148"/>
      <c r="AK3295" s="143"/>
      <c r="AL3295" s="144"/>
      <c r="AM3295" s="22"/>
      <c r="AN3295" s="149" t="s">
        <v>11650</v>
      </c>
      <c r="AO3295" s="144"/>
      <c r="AP3295" s="148">
        <v>3267</v>
      </c>
      <c r="AQ3295" s="144"/>
      <c r="AR3295" s="120"/>
      <c r="AS3295" s="121"/>
      <c r="AT3295" s="120"/>
      <c r="AU3295" s="121"/>
      <c r="AV3295" s="120"/>
      <c r="AW3295" s="121"/>
      <c r="AX3295" s="120"/>
      <c r="AY3295" s="121"/>
      <c r="AZ3295" s="138"/>
    </row>
    <row r="3296" spans="1:52" ht="17.100000000000001" customHeight="1" thickTop="1">
      <c r="A3296" s="109" t="s">
        <v>10426</v>
      </c>
      <c r="B3296" s="28">
        <v>45971</v>
      </c>
      <c r="C3296" s="25">
        <v>67</v>
      </c>
      <c r="D3296" s="13" t="s">
        <v>3921</v>
      </c>
      <c r="E3296" s="111"/>
      <c r="F3296" s="113" t="s">
        <v>10430</v>
      </c>
      <c r="G3296" s="114"/>
      <c r="H3296" s="115"/>
      <c r="I3296" s="24" t="s">
        <v>2533</v>
      </c>
      <c r="J3296" s="116">
        <v>4.5</v>
      </c>
      <c r="K3296" s="118">
        <v>895000</v>
      </c>
      <c r="L3296" s="119"/>
      <c r="M3296" s="118">
        <f t="shared" ref="M3296" si="2587">K3296*0.1</f>
        <v>89500</v>
      </c>
      <c r="N3296" s="119"/>
      <c r="O3296" s="118">
        <v>0</v>
      </c>
      <c r="P3296" s="119"/>
      <c r="Q3296" s="118">
        <v>9140</v>
      </c>
      <c r="R3296" s="119"/>
      <c r="S3296" s="118">
        <v>33000</v>
      </c>
      <c r="T3296" s="119"/>
      <c r="U3296" s="118">
        <f t="shared" ref="U3296" si="2588">SUM(K3296:T3297)</f>
        <v>1026640</v>
      </c>
      <c r="V3296" s="122"/>
      <c r="W3296" s="124"/>
      <c r="X3296" s="126" t="s">
        <v>11488</v>
      </c>
      <c r="Y3296" s="127"/>
      <c r="Z3296" s="127"/>
      <c r="AA3296" s="127"/>
      <c r="AB3296" s="128"/>
      <c r="AC3296" s="15" t="s">
        <v>20</v>
      </c>
      <c r="AD3296" s="129" t="s">
        <v>9477</v>
      </c>
      <c r="AE3296" s="130"/>
      <c r="AF3296" s="130"/>
      <c r="AG3296" s="130"/>
      <c r="AH3296" s="130"/>
      <c r="AI3296" s="131"/>
      <c r="AJ3296" s="132"/>
      <c r="AK3296" s="127"/>
      <c r="AL3296" s="128"/>
      <c r="AM3296" s="21"/>
      <c r="AN3296" s="133">
        <v>45986</v>
      </c>
      <c r="AO3296" s="134"/>
      <c r="AP3296" s="135">
        <v>1919</v>
      </c>
      <c r="AQ3296" s="136"/>
      <c r="AR3296" s="118">
        <v>1011000</v>
      </c>
      <c r="AS3296" s="119"/>
      <c r="AT3296" s="118">
        <f t="shared" ref="AT3296" si="2589">AR3296*0.1</f>
        <v>101100</v>
      </c>
      <c r="AU3296" s="119"/>
      <c r="AV3296" s="118">
        <v>9140</v>
      </c>
      <c r="AW3296" s="119"/>
      <c r="AX3296" s="118">
        <f t="shared" ref="AX3296" si="2590">SUM(AR3296:AW3296)</f>
        <v>1121240</v>
      </c>
      <c r="AY3296" s="119"/>
      <c r="AZ3296" s="137"/>
    </row>
    <row r="3297" spans="1:52" ht="17.100000000000001" customHeight="1" thickBot="1">
      <c r="A3297" s="110"/>
      <c r="B3297" s="27" t="s">
        <v>4544</v>
      </c>
      <c r="C3297" s="27">
        <v>1058</v>
      </c>
      <c r="D3297" s="14" t="s">
        <v>275</v>
      </c>
      <c r="E3297" s="112"/>
      <c r="F3297" s="139" t="s">
        <v>10542</v>
      </c>
      <c r="G3297" s="140"/>
      <c r="H3297" s="141"/>
      <c r="I3297" s="26">
        <v>57655</v>
      </c>
      <c r="J3297" s="117"/>
      <c r="K3297" s="120"/>
      <c r="L3297" s="121"/>
      <c r="M3297" s="120"/>
      <c r="N3297" s="121"/>
      <c r="O3297" s="120"/>
      <c r="P3297" s="121"/>
      <c r="Q3297" s="120"/>
      <c r="R3297" s="121"/>
      <c r="S3297" s="120"/>
      <c r="T3297" s="121"/>
      <c r="U3297" s="120"/>
      <c r="V3297" s="123"/>
      <c r="W3297" s="125"/>
      <c r="X3297" s="142" t="s">
        <v>11489</v>
      </c>
      <c r="Y3297" s="143"/>
      <c r="Z3297" s="143"/>
      <c r="AA3297" s="143"/>
      <c r="AB3297" s="144"/>
      <c r="AC3297" s="16" t="s">
        <v>21</v>
      </c>
      <c r="AD3297" s="17" t="s">
        <v>2203</v>
      </c>
      <c r="AE3297" s="145" t="s">
        <v>11490</v>
      </c>
      <c r="AF3297" s="146"/>
      <c r="AG3297" s="146"/>
      <c r="AH3297" s="146"/>
      <c r="AI3297" s="147"/>
      <c r="AJ3297" s="148"/>
      <c r="AK3297" s="143"/>
      <c r="AL3297" s="144"/>
      <c r="AM3297" s="22"/>
      <c r="AN3297" s="149" t="s">
        <v>11650</v>
      </c>
      <c r="AO3297" s="144"/>
      <c r="AP3297" s="148">
        <v>3173</v>
      </c>
      <c r="AQ3297" s="144"/>
      <c r="AR3297" s="120"/>
      <c r="AS3297" s="121"/>
      <c r="AT3297" s="120"/>
      <c r="AU3297" s="121"/>
      <c r="AV3297" s="120"/>
      <c r="AW3297" s="121"/>
      <c r="AX3297" s="120"/>
      <c r="AY3297" s="121"/>
      <c r="AZ3297" s="138"/>
    </row>
    <row r="3298" spans="1:52" ht="17.100000000000001" customHeight="1" thickTop="1">
      <c r="A3298" s="109" t="s">
        <v>10477</v>
      </c>
      <c r="B3298" s="28">
        <v>45970</v>
      </c>
      <c r="C3298" s="25"/>
      <c r="D3298" s="13" t="s">
        <v>3566</v>
      </c>
      <c r="E3298" s="111"/>
      <c r="F3298" s="113" t="s">
        <v>10473</v>
      </c>
      <c r="G3298" s="114"/>
      <c r="H3298" s="115"/>
      <c r="I3298" s="24" t="s">
        <v>3894</v>
      </c>
      <c r="J3298" s="116"/>
      <c r="K3298" s="118">
        <v>0</v>
      </c>
      <c r="L3298" s="119"/>
      <c r="M3298" s="118">
        <f t="shared" ref="M3298" si="2591">K3298*0.1</f>
        <v>0</v>
      </c>
      <c r="N3298" s="119"/>
      <c r="O3298" s="118">
        <v>0</v>
      </c>
      <c r="P3298" s="119"/>
      <c r="Q3298" s="118">
        <v>0</v>
      </c>
      <c r="R3298" s="119"/>
      <c r="S3298" s="118">
        <v>0</v>
      </c>
      <c r="T3298" s="119"/>
      <c r="U3298" s="118">
        <f t="shared" ref="U3298" si="2592">SUM(K3298:T3299)</f>
        <v>0</v>
      </c>
      <c r="V3298" s="122"/>
      <c r="W3298" s="124"/>
      <c r="X3298" s="126" t="s">
        <v>10475</v>
      </c>
      <c r="Y3298" s="127"/>
      <c r="Z3298" s="127"/>
      <c r="AA3298" s="127"/>
      <c r="AB3298" s="128"/>
      <c r="AC3298" s="15" t="s">
        <v>20</v>
      </c>
      <c r="AD3298" s="129"/>
      <c r="AE3298" s="130"/>
      <c r="AF3298" s="130"/>
      <c r="AG3298" s="130"/>
      <c r="AH3298" s="130"/>
      <c r="AI3298" s="131"/>
      <c r="AJ3298" s="132"/>
      <c r="AK3298" s="127"/>
      <c r="AL3298" s="128"/>
      <c r="AM3298" s="21"/>
      <c r="AN3298" s="133">
        <v>45980</v>
      </c>
      <c r="AO3298" s="134"/>
      <c r="AP3298" s="135">
        <v>993</v>
      </c>
      <c r="AQ3298" s="136"/>
      <c r="AR3298" s="118">
        <v>48000</v>
      </c>
      <c r="AS3298" s="119"/>
      <c r="AT3298" s="118">
        <f t="shared" ref="AT3298" si="2593">AR3298*0.1</f>
        <v>4800</v>
      </c>
      <c r="AU3298" s="119"/>
      <c r="AV3298" s="118">
        <v>9670</v>
      </c>
      <c r="AW3298" s="119"/>
      <c r="AX3298" s="118">
        <f t="shared" ref="AX3298" si="2594">SUM(AR3298:AW3298)</f>
        <v>62470</v>
      </c>
      <c r="AY3298" s="119"/>
      <c r="AZ3298" s="137">
        <v>45986</v>
      </c>
    </row>
    <row r="3299" spans="1:52" ht="17.100000000000001" customHeight="1" thickBot="1">
      <c r="A3299" s="110"/>
      <c r="B3299" s="27" t="s">
        <v>10472</v>
      </c>
      <c r="C3299" s="27"/>
      <c r="D3299" s="14"/>
      <c r="E3299" s="112"/>
      <c r="F3299" s="139" t="s">
        <v>10474</v>
      </c>
      <c r="G3299" s="140"/>
      <c r="H3299" s="141"/>
      <c r="I3299" s="26">
        <v>64900</v>
      </c>
      <c r="J3299" s="117"/>
      <c r="K3299" s="120"/>
      <c r="L3299" s="121"/>
      <c r="M3299" s="120"/>
      <c r="N3299" s="121"/>
      <c r="O3299" s="120"/>
      <c r="P3299" s="121"/>
      <c r="Q3299" s="120"/>
      <c r="R3299" s="121"/>
      <c r="S3299" s="120"/>
      <c r="T3299" s="121"/>
      <c r="U3299" s="120"/>
      <c r="V3299" s="123"/>
      <c r="W3299" s="125"/>
      <c r="X3299" s="142" t="s">
        <v>10476</v>
      </c>
      <c r="Y3299" s="143"/>
      <c r="Z3299" s="143"/>
      <c r="AA3299" s="143"/>
      <c r="AB3299" s="144"/>
      <c r="AC3299" s="16" t="s">
        <v>21</v>
      </c>
      <c r="AD3299" s="17" t="s">
        <v>1694</v>
      </c>
      <c r="AE3299" s="145" t="s">
        <v>171</v>
      </c>
      <c r="AF3299" s="146"/>
      <c r="AG3299" s="146"/>
      <c r="AH3299" s="146"/>
      <c r="AI3299" s="147"/>
      <c r="AJ3299" s="148"/>
      <c r="AK3299" s="143"/>
      <c r="AL3299" s="144"/>
      <c r="AM3299" s="22"/>
      <c r="AN3299" s="149" t="s">
        <v>2794</v>
      </c>
      <c r="AO3299" s="144"/>
      <c r="AP3299" s="148">
        <v>9109</v>
      </c>
      <c r="AQ3299" s="144"/>
      <c r="AR3299" s="120"/>
      <c r="AS3299" s="121"/>
      <c r="AT3299" s="120"/>
      <c r="AU3299" s="121"/>
      <c r="AV3299" s="120"/>
      <c r="AW3299" s="121"/>
      <c r="AX3299" s="120"/>
      <c r="AY3299" s="121"/>
      <c r="AZ3299" s="138"/>
    </row>
    <row r="3300" spans="1:52" ht="17.100000000000001" customHeight="1" thickTop="1">
      <c r="A3300" s="151" t="s">
        <v>10478</v>
      </c>
      <c r="B3300" s="28">
        <v>45971</v>
      </c>
      <c r="C3300" s="25"/>
      <c r="D3300" s="13" t="s">
        <v>1971</v>
      </c>
      <c r="E3300" s="111"/>
      <c r="F3300" s="113" t="s">
        <v>10437</v>
      </c>
      <c r="G3300" s="114"/>
      <c r="H3300" s="115"/>
      <c r="I3300" s="24" t="s">
        <v>8235</v>
      </c>
      <c r="J3300" s="116">
        <v>4.5</v>
      </c>
      <c r="K3300" s="118">
        <f>3239500/1.1</f>
        <v>2944999.9999999995</v>
      </c>
      <c r="L3300" s="119"/>
      <c r="M3300" s="118">
        <f t="shared" ref="M3300" si="2595">K3300*0.1</f>
        <v>294499.99999999994</v>
      </c>
      <c r="N3300" s="119"/>
      <c r="O3300" s="118">
        <v>9000</v>
      </c>
      <c r="P3300" s="119"/>
      <c r="Q3300" s="118">
        <v>14650</v>
      </c>
      <c r="R3300" s="119"/>
      <c r="S3300" s="118">
        <v>0</v>
      </c>
      <c r="T3300" s="119"/>
      <c r="U3300" s="118">
        <f t="shared" ref="U3300" si="2596">SUM(K3300:T3301)</f>
        <v>3263149.9999999995</v>
      </c>
      <c r="V3300" s="122"/>
      <c r="W3300" s="124"/>
      <c r="X3300" s="126" t="s">
        <v>12850</v>
      </c>
      <c r="Y3300" s="127"/>
      <c r="Z3300" s="127"/>
      <c r="AA3300" s="127"/>
      <c r="AB3300" s="128"/>
      <c r="AC3300" s="15" t="s">
        <v>20</v>
      </c>
      <c r="AD3300" s="129" t="s">
        <v>5388</v>
      </c>
      <c r="AE3300" s="130"/>
      <c r="AF3300" s="130"/>
      <c r="AG3300" s="130"/>
      <c r="AH3300" s="130"/>
      <c r="AI3300" s="131"/>
      <c r="AJ3300" s="132" t="s">
        <v>13452</v>
      </c>
      <c r="AK3300" s="127"/>
      <c r="AL3300" s="128"/>
      <c r="AM3300" s="21"/>
      <c r="AN3300" s="133"/>
      <c r="AO3300" s="134"/>
      <c r="AP3300" s="135"/>
      <c r="AQ3300" s="136"/>
      <c r="AR3300" s="118"/>
      <c r="AS3300" s="119"/>
      <c r="AT3300" s="118">
        <f t="shared" ref="AT3300" si="2597">AR3300*0.1</f>
        <v>0</v>
      </c>
      <c r="AU3300" s="119"/>
      <c r="AV3300" s="118"/>
      <c r="AW3300" s="119"/>
      <c r="AX3300" s="118">
        <f t="shared" ref="AX3300" si="2598">SUM(AR3300:AW3300)</f>
        <v>0</v>
      </c>
      <c r="AY3300" s="119"/>
      <c r="AZ3300" s="137"/>
    </row>
    <row r="3301" spans="1:52" ht="17.100000000000001" customHeight="1" thickBot="1">
      <c r="A3301" s="152"/>
      <c r="B3301" s="27" t="s">
        <v>1718</v>
      </c>
      <c r="C3301" s="27" t="s">
        <v>10431</v>
      </c>
      <c r="D3301" s="14" t="s">
        <v>275</v>
      </c>
      <c r="E3301" s="112"/>
      <c r="F3301" s="139" t="s">
        <v>10432</v>
      </c>
      <c r="G3301" s="140"/>
      <c r="H3301" s="141"/>
      <c r="I3301" s="26">
        <v>10453</v>
      </c>
      <c r="J3301" s="117"/>
      <c r="K3301" s="120"/>
      <c r="L3301" s="121"/>
      <c r="M3301" s="120"/>
      <c r="N3301" s="121"/>
      <c r="O3301" s="120"/>
      <c r="P3301" s="121"/>
      <c r="Q3301" s="120"/>
      <c r="R3301" s="121"/>
      <c r="S3301" s="120"/>
      <c r="T3301" s="121"/>
      <c r="U3301" s="120"/>
      <c r="V3301" s="123"/>
      <c r="W3301" s="125"/>
      <c r="X3301" s="142" t="s">
        <v>12851</v>
      </c>
      <c r="Y3301" s="143"/>
      <c r="Z3301" s="143"/>
      <c r="AA3301" s="143"/>
      <c r="AB3301" s="144"/>
      <c r="AC3301" s="16" t="s">
        <v>21</v>
      </c>
      <c r="AD3301" s="17" t="s">
        <v>1765</v>
      </c>
      <c r="AE3301" s="145" t="s">
        <v>1945</v>
      </c>
      <c r="AF3301" s="146"/>
      <c r="AG3301" s="146"/>
      <c r="AH3301" s="146"/>
      <c r="AI3301" s="147"/>
      <c r="AJ3301" s="148"/>
      <c r="AK3301" s="143"/>
      <c r="AL3301" s="144"/>
      <c r="AM3301" s="22"/>
      <c r="AN3301" s="149"/>
      <c r="AO3301" s="144"/>
      <c r="AP3301" s="148"/>
      <c r="AQ3301" s="144"/>
      <c r="AR3301" s="120"/>
      <c r="AS3301" s="121"/>
      <c r="AT3301" s="120"/>
      <c r="AU3301" s="121"/>
      <c r="AV3301" s="120"/>
      <c r="AW3301" s="121"/>
      <c r="AX3301" s="120"/>
      <c r="AY3301" s="121"/>
      <c r="AZ3301" s="138"/>
    </row>
    <row r="3302" spans="1:52" ht="17.100000000000001" customHeight="1" thickTop="1">
      <c r="A3302" s="109" t="s">
        <v>10479</v>
      </c>
      <c r="B3302" s="28">
        <v>45971</v>
      </c>
      <c r="C3302" s="25"/>
      <c r="D3302" s="13" t="s">
        <v>2737</v>
      </c>
      <c r="E3302" s="111"/>
      <c r="F3302" s="113" t="s">
        <v>10438</v>
      </c>
      <c r="G3302" s="114"/>
      <c r="H3302" s="115"/>
      <c r="I3302" s="24" t="s">
        <v>10439</v>
      </c>
      <c r="J3302" s="116">
        <v>4</v>
      </c>
      <c r="K3302" s="118">
        <f>1496000/1.1</f>
        <v>1360000</v>
      </c>
      <c r="L3302" s="119"/>
      <c r="M3302" s="118">
        <f t="shared" ref="M3302" si="2599">K3302*0.1</f>
        <v>136000</v>
      </c>
      <c r="N3302" s="119"/>
      <c r="O3302" s="118">
        <v>10100</v>
      </c>
      <c r="P3302" s="119"/>
      <c r="Q3302" s="118">
        <v>7690</v>
      </c>
      <c r="R3302" s="119"/>
      <c r="S3302" s="118">
        <v>0</v>
      </c>
      <c r="T3302" s="119"/>
      <c r="U3302" s="118">
        <f t="shared" ref="U3302" si="2600">SUM(K3302:T3303)</f>
        <v>1513790</v>
      </c>
      <c r="V3302" s="122"/>
      <c r="W3302" s="124"/>
      <c r="X3302" s="126" t="s">
        <v>11504</v>
      </c>
      <c r="Y3302" s="127"/>
      <c r="Z3302" s="127"/>
      <c r="AA3302" s="127"/>
      <c r="AB3302" s="128"/>
      <c r="AC3302" s="15" t="s">
        <v>20</v>
      </c>
      <c r="AD3302" s="129" t="s">
        <v>1945</v>
      </c>
      <c r="AE3302" s="130"/>
      <c r="AF3302" s="130"/>
      <c r="AG3302" s="130"/>
      <c r="AH3302" s="130"/>
      <c r="AI3302" s="131"/>
      <c r="AJ3302" s="132"/>
      <c r="AK3302" s="127"/>
      <c r="AL3302" s="128"/>
      <c r="AM3302" s="21"/>
      <c r="AN3302" s="133">
        <v>45990</v>
      </c>
      <c r="AO3302" s="134"/>
      <c r="AP3302" s="135">
        <v>1278</v>
      </c>
      <c r="AQ3302" s="136"/>
      <c r="AR3302" s="118">
        <v>1380000</v>
      </c>
      <c r="AS3302" s="119"/>
      <c r="AT3302" s="118">
        <f t="shared" ref="AT3302" si="2601">AR3302*0.1</f>
        <v>138000</v>
      </c>
      <c r="AU3302" s="119"/>
      <c r="AV3302" s="118">
        <v>7690</v>
      </c>
      <c r="AW3302" s="119"/>
      <c r="AX3302" s="118">
        <f t="shared" ref="AX3302" si="2602">SUM(AR3302:AW3302)</f>
        <v>1525690</v>
      </c>
      <c r="AY3302" s="119"/>
      <c r="AZ3302" s="137">
        <v>45994</v>
      </c>
    </row>
    <row r="3303" spans="1:52" ht="17.100000000000001" customHeight="1" thickBot="1">
      <c r="A3303" s="110"/>
      <c r="B3303" s="27" t="s">
        <v>1718</v>
      </c>
      <c r="C3303" s="27" t="s">
        <v>10433</v>
      </c>
      <c r="D3303" s="14" t="s">
        <v>2601</v>
      </c>
      <c r="E3303" s="112"/>
      <c r="F3303" s="139" t="s">
        <v>10434</v>
      </c>
      <c r="G3303" s="140"/>
      <c r="H3303" s="141"/>
      <c r="I3303" s="26">
        <v>31659</v>
      </c>
      <c r="J3303" s="117"/>
      <c r="K3303" s="120"/>
      <c r="L3303" s="121"/>
      <c r="M3303" s="120"/>
      <c r="N3303" s="121"/>
      <c r="O3303" s="120"/>
      <c r="P3303" s="121"/>
      <c r="Q3303" s="120"/>
      <c r="R3303" s="121"/>
      <c r="S3303" s="120"/>
      <c r="T3303" s="121"/>
      <c r="U3303" s="120"/>
      <c r="V3303" s="123"/>
      <c r="W3303" s="125"/>
      <c r="X3303" s="142" t="s">
        <v>11505</v>
      </c>
      <c r="Y3303" s="143"/>
      <c r="Z3303" s="143"/>
      <c r="AA3303" s="143"/>
      <c r="AB3303" s="144"/>
      <c r="AC3303" s="16" t="s">
        <v>21</v>
      </c>
      <c r="AD3303" s="17" t="s">
        <v>2203</v>
      </c>
      <c r="AE3303" s="145" t="s">
        <v>1614</v>
      </c>
      <c r="AF3303" s="146"/>
      <c r="AG3303" s="146"/>
      <c r="AH3303" s="146"/>
      <c r="AI3303" s="147"/>
      <c r="AJ3303" s="148"/>
      <c r="AK3303" s="143"/>
      <c r="AL3303" s="144"/>
      <c r="AM3303" s="22"/>
      <c r="AN3303" s="149" t="s">
        <v>2511</v>
      </c>
      <c r="AO3303" s="144"/>
      <c r="AP3303" s="148">
        <v>37666</v>
      </c>
      <c r="AQ3303" s="144"/>
      <c r="AR3303" s="120"/>
      <c r="AS3303" s="121"/>
      <c r="AT3303" s="120"/>
      <c r="AU3303" s="121"/>
      <c r="AV3303" s="120"/>
      <c r="AW3303" s="121"/>
      <c r="AX3303" s="120"/>
      <c r="AY3303" s="121"/>
      <c r="AZ3303" s="138"/>
    </row>
    <row r="3304" spans="1:52" ht="17.100000000000001" customHeight="1" thickTop="1">
      <c r="A3304" s="109" t="s">
        <v>10480</v>
      </c>
      <c r="B3304" s="28">
        <v>45971</v>
      </c>
      <c r="C3304" s="25"/>
      <c r="D3304" s="13" t="s">
        <v>2363</v>
      </c>
      <c r="E3304" s="111"/>
      <c r="F3304" s="113" t="s">
        <v>10440</v>
      </c>
      <c r="G3304" s="114"/>
      <c r="H3304" s="115"/>
      <c r="I3304" s="24" t="s">
        <v>10441</v>
      </c>
      <c r="J3304" s="116">
        <v>5</v>
      </c>
      <c r="K3304" s="118">
        <f>4895000/1.1</f>
        <v>4450000</v>
      </c>
      <c r="L3304" s="119"/>
      <c r="M3304" s="118">
        <f t="shared" ref="M3304" si="2603">K3304*0.1</f>
        <v>445000</v>
      </c>
      <c r="N3304" s="119"/>
      <c r="O3304" s="118">
        <v>2600</v>
      </c>
      <c r="P3304" s="119"/>
      <c r="Q3304" s="118">
        <v>13390</v>
      </c>
      <c r="R3304" s="119"/>
      <c r="S3304" s="118">
        <v>0</v>
      </c>
      <c r="T3304" s="119"/>
      <c r="U3304" s="118">
        <f t="shared" ref="U3304" si="2604">SUM(K3304:T3305)</f>
        <v>4910990</v>
      </c>
      <c r="V3304" s="122"/>
      <c r="W3304" s="124"/>
      <c r="X3304" s="126" t="s">
        <v>11434</v>
      </c>
      <c r="Y3304" s="127"/>
      <c r="Z3304" s="127"/>
      <c r="AA3304" s="127"/>
      <c r="AB3304" s="128"/>
      <c r="AC3304" s="15" t="s">
        <v>20</v>
      </c>
      <c r="AD3304" s="129" t="s">
        <v>1945</v>
      </c>
      <c r="AE3304" s="130"/>
      <c r="AF3304" s="130"/>
      <c r="AG3304" s="130"/>
      <c r="AH3304" s="130"/>
      <c r="AI3304" s="131"/>
      <c r="AJ3304" s="132"/>
      <c r="AK3304" s="127"/>
      <c r="AL3304" s="128"/>
      <c r="AM3304" s="21"/>
      <c r="AN3304" s="133">
        <v>45997</v>
      </c>
      <c r="AO3304" s="134"/>
      <c r="AP3304" s="135">
        <v>1279</v>
      </c>
      <c r="AQ3304" s="136"/>
      <c r="AR3304" s="118">
        <v>4235000</v>
      </c>
      <c r="AS3304" s="119"/>
      <c r="AT3304" s="118">
        <f t="shared" ref="AT3304" si="2605">AR3304*0.1</f>
        <v>423500</v>
      </c>
      <c r="AU3304" s="119"/>
      <c r="AV3304" s="118">
        <v>13390</v>
      </c>
      <c r="AW3304" s="119"/>
      <c r="AX3304" s="118">
        <f t="shared" ref="AX3304" si="2606">SUM(AR3304:AW3304)</f>
        <v>4671890</v>
      </c>
      <c r="AY3304" s="119"/>
      <c r="AZ3304" s="137">
        <v>46000</v>
      </c>
    </row>
    <row r="3305" spans="1:52" ht="17.100000000000001" customHeight="1" thickBot="1">
      <c r="A3305" s="110"/>
      <c r="B3305" s="27" t="s">
        <v>1718</v>
      </c>
      <c r="C3305" s="27" t="s">
        <v>10435</v>
      </c>
      <c r="D3305" s="14" t="s">
        <v>2601</v>
      </c>
      <c r="E3305" s="112"/>
      <c r="F3305" s="139" t="s">
        <v>10436</v>
      </c>
      <c r="G3305" s="140"/>
      <c r="H3305" s="141"/>
      <c r="I3305" s="26">
        <v>6521</v>
      </c>
      <c r="J3305" s="117"/>
      <c r="K3305" s="120"/>
      <c r="L3305" s="121"/>
      <c r="M3305" s="120"/>
      <c r="N3305" s="121"/>
      <c r="O3305" s="120"/>
      <c r="P3305" s="121"/>
      <c r="Q3305" s="120"/>
      <c r="R3305" s="121"/>
      <c r="S3305" s="120"/>
      <c r="T3305" s="121"/>
      <c r="U3305" s="120"/>
      <c r="V3305" s="123"/>
      <c r="W3305" s="125"/>
      <c r="X3305" s="142" t="s">
        <v>11435</v>
      </c>
      <c r="Y3305" s="143"/>
      <c r="Z3305" s="143"/>
      <c r="AA3305" s="143"/>
      <c r="AB3305" s="144"/>
      <c r="AC3305" s="16" t="s">
        <v>21</v>
      </c>
      <c r="AD3305" s="17" t="s">
        <v>2218</v>
      </c>
      <c r="AE3305" s="145" t="s">
        <v>11436</v>
      </c>
      <c r="AF3305" s="146"/>
      <c r="AG3305" s="146"/>
      <c r="AH3305" s="146"/>
      <c r="AI3305" s="147"/>
      <c r="AJ3305" s="148"/>
      <c r="AK3305" s="143"/>
      <c r="AL3305" s="144"/>
      <c r="AM3305" s="22"/>
      <c r="AN3305" s="149" t="s">
        <v>2511</v>
      </c>
      <c r="AO3305" s="144"/>
      <c r="AP3305" s="148">
        <v>37265</v>
      </c>
      <c r="AQ3305" s="144"/>
      <c r="AR3305" s="120"/>
      <c r="AS3305" s="121"/>
      <c r="AT3305" s="120"/>
      <c r="AU3305" s="121"/>
      <c r="AV3305" s="120"/>
      <c r="AW3305" s="121"/>
      <c r="AX3305" s="120"/>
      <c r="AY3305" s="121"/>
      <c r="AZ3305" s="138"/>
    </row>
    <row r="3306" spans="1:52" ht="17.100000000000001" customHeight="1" thickTop="1">
      <c r="A3306" s="109" t="s">
        <v>10481</v>
      </c>
      <c r="B3306" s="28">
        <v>45971</v>
      </c>
      <c r="C3306" s="25"/>
      <c r="D3306" s="13" t="s">
        <v>2914</v>
      </c>
      <c r="E3306" s="111"/>
      <c r="F3306" s="113" t="s">
        <v>1938</v>
      </c>
      <c r="G3306" s="114"/>
      <c r="H3306" s="115"/>
      <c r="I3306" s="24" t="s">
        <v>2064</v>
      </c>
      <c r="J3306" s="116">
        <v>4.5</v>
      </c>
      <c r="K3306" s="118">
        <v>1612000</v>
      </c>
      <c r="L3306" s="119"/>
      <c r="M3306" s="118">
        <f t="shared" ref="M3306" si="2607">K3306*0.1</f>
        <v>161200</v>
      </c>
      <c r="N3306" s="119"/>
      <c r="O3306" s="118">
        <f>11500+1150</f>
        <v>12650</v>
      </c>
      <c r="P3306" s="119"/>
      <c r="Q3306" s="118">
        <v>17600</v>
      </c>
      <c r="R3306" s="119"/>
      <c r="S3306" s="118">
        <v>14850</v>
      </c>
      <c r="T3306" s="119"/>
      <c r="U3306" s="118">
        <f t="shared" ref="U3306" si="2608">SUM(K3306:T3307)</f>
        <v>1818300</v>
      </c>
      <c r="V3306" s="122"/>
      <c r="W3306" s="124"/>
      <c r="X3306" s="126" t="s">
        <v>10442</v>
      </c>
      <c r="Y3306" s="127"/>
      <c r="Z3306" s="127"/>
      <c r="AA3306" s="127"/>
      <c r="AB3306" s="128"/>
      <c r="AC3306" s="15" t="s">
        <v>20</v>
      </c>
      <c r="AD3306" s="129" t="s">
        <v>2385</v>
      </c>
      <c r="AE3306" s="130"/>
      <c r="AF3306" s="130"/>
      <c r="AG3306" s="130"/>
      <c r="AH3306" s="130"/>
      <c r="AI3306" s="131"/>
      <c r="AJ3306" s="132"/>
      <c r="AK3306" s="127"/>
      <c r="AL3306" s="128"/>
      <c r="AM3306" s="21"/>
      <c r="AN3306" s="133">
        <v>45976</v>
      </c>
      <c r="AO3306" s="134"/>
      <c r="AP3306" s="135">
        <v>1276</v>
      </c>
      <c r="AQ3306" s="136"/>
      <c r="AR3306" s="118">
        <v>1960000</v>
      </c>
      <c r="AS3306" s="119"/>
      <c r="AT3306" s="118">
        <f t="shared" ref="AT3306" si="2609">AR3306*0.1</f>
        <v>196000</v>
      </c>
      <c r="AU3306" s="119"/>
      <c r="AV3306" s="118">
        <v>17600</v>
      </c>
      <c r="AW3306" s="119"/>
      <c r="AX3306" s="118">
        <f t="shared" ref="AX3306" si="2610">SUM(AR3306:AW3306)</f>
        <v>2173600</v>
      </c>
      <c r="AY3306" s="119"/>
      <c r="AZ3306" s="137">
        <v>45979</v>
      </c>
    </row>
    <row r="3307" spans="1:52" ht="17.100000000000001" customHeight="1" thickBot="1">
      <c r="A3307" s="110"/>
      <c r="B3307" s="27" t="s">
        <v>2774</v>
      </c>
      <c r="C3307" s="27">
        <v>80149</v>
      </c>
      <c r="D3307" s="14" t="s">
        <v>1812</v>
      </c>
      <c r="E3307" s="112"/>
      <c r="F3307" s="139" t="s">
        <v>10901</v>
      </c>
      <c r="G3307" s="140"/>
      <c r="H3307" s="141"/>
      <c r="I3307" s="26">
        <v>14251</v>
      </c>
      <c r="J3307" s="117"/>
      <c r="K3307" s="120"/>
      <c r="L3307" s="121"/>
      <c r="M3307" s="120"/>
      <c r="N3307" s="121"/>
      <c r="O3307" s="120"/>
      <c r="P3307" s="121"/>
      <c r="Q3307" s="120"/>
      <c r="R3307" s="121"/>
      <c r="S3307" s="120"/>
      <c r="T3307" s="121"/>
      <c r="U3307" s="120"/>
      <c r="V3307" s="123"/>
      <c r="W3307" s="125"/>
      <c r="X3307" s="142" t="s">
        <v>7434</v>
      </c>
      <c r="Y3307" s="143"/>
      <c r="Z3307" s="143"/>
      <c r="AA3307" s="143"/>
      <c r="AB3307" s="144"/>
      <c r="AC3307" s="16" t="s">
        <v>21</v>
      </c>
      <c r="AD3307" s="17" t="s">
        <v>1703</v>
      </c>
      <c r="AE3307" s="145" t="s">
        <v>2523</v>
      </c>
      <c r="AF3307" s="146"/>
      <c r="AG3307" s="146"/>
      <c r="AH3307" s="146"/>
      <c r="AI3307" s="147"/>
      <c r="AJ3307" s="148"/>
      <c r="AK3307" s="143"/>
      <c r="AL3307" s="144"/>
      <c r="AM3307" s="22"/>
      <c r="AN3307" s="149" t="s">
        <v>10999</v>
      </c>
      <c r="AO3307" s="144"/>
      <c r="AP3307" s="148">
        <v>80142</v>
      </c>
      <c r="AQ3307" s="144"/>
      <c r="AR3307" s="120"/>
      <c r="AS3307" s="121"/>
      <c r="AT3307" s="120"/>
      <c r="AU3307" s="121"/>
      <c r="AV3307" s="120"/>
      <c r="AW3307" s="121"/>
      <c r="AX3307" s="120"/>
      <c r="AY3307" s="121"/>
      <c r="AZ3307" s="138"/>
    </row>
    <row r="3308" spans="1:52" ht="17.100000000000001" customHeight="1" thickTop="1">
      <c r="A3308" s="109" t="s">
        <v>10482</v>
      </c>
      <c r="B3308" s="28">
        <v>45971</v>
      </c>
      <c r="C3308" s="25"/>
      <c r="D3308" s="13" t="s">
        <v>2298</v>
      </c>
      <c r="E3308" s="111"/>
      <c r="F3308" s="113" t="s">
        <v>1871</v>
      </c>
      <c r="G3308" s="114"/>
      <c r="H3308" s="115"/>
      <c r="I3308" s="24" t="s">
        <v>4096</v>
      </c>
      <c r="J3308" s="116">
        <v>4.5</v>
      </c>
      <c r="K3308" s="118">
        <v>1453000</v>
      </c>
      <c r="L3308" s="119"/>
      <c r="M3308" s="118">
        <f t="shared" ref="M3308" si="2611">K3308*0.1</f>
        <v>145300</v>
      </c>
      <c r="N3308" s="119"/>
      <c r="O3308" s="118">
        <f>12000+1200</f>
        <v>13200</v>
      </c>
      <c r="P3308" s="119"/>
      <c r="Q3308" s="118">
        <v>17600</v>
      </c>
      <c r="R3308" s="119"/>
      <c r="S3308" s="118">
        <v>14850</v>
      </c>
      <c r="T3308" s="119"/>
      <c r="U3308" s="118">
        <f t="shared" ref="U3308" si="2612">SUM(K3308:T3309)</f>
        <v>1643950</v>
      </c>
      <c r="V3308" s="122"/>
      <c r="W3308" s="124"/>
      <c r="X3308" s="126" t="s">
        <v>10443</v>
      </c>
      <c r="Y3308" s="127"/>
      <c r="Z3308" s="127"/>
      <c r="AA3308" s="127"/>
      <c r="AB3308" s="128"/>
      <c r="AC3308" s="15" t="s">
        <v>20</v>
      </c>
      <c r="AD3308" s="129"/>
      <c r="AE3308" s="130"/>
      <c r="AF3308" s="130"/>
      <c r="AG3308" s="130"/>
      <c r="AH3308" s="130"/>
      <c r="AI3308" s="131"/>
      <c r="AJ3308" s="132"/>
      <c r="AK3308" s="127"/>
      <c r="AL3308" s="128"/>
      <c r="AM3308" s="21"/>
      <c r="AN3308" s="133">
        <v>45983</v>
      </c>
      <c r="AO3308" s="134"/>
      <c r="AP3308" s="135">
        <v>1277</v>
      </c>
      <c r="AQ3308" s="136"/>
      <c r="AR3308" s="118">
        <v>1650000</v>
      </c>
      <c r="AS3308" s="119"/>
      <c r="AT3308" s="118">
        <f t="shared" ref="AT3308" si="2613">AR3308*0.1</f>
        <v>165000</v>
      </c>
      <c r="AU3308" s="119"/>
      <c r="AV3308" s="118">
        <v>17600</v>
      </c>
      <c r="AW3308" s="119"/>
      <c r="AX3308" s="118">
        <f t="shared" ref="AX3308" si="2614">SUM(AR3308:AW3308)</f>
        <v>1832600</v>
      </c>
      <c r="AY3308" s="119"/>
      <c r="AZ3308" s="137">
        <v>45992</v>
      </c>
    </row>
    <row r="3309" spans="1:52" ht="17.100000000000001" customHeight="1" thickBot="1">
      <c r="A3309" s="110"/>
      <c r="B3309" s="27" t="s">
        <v>2774</v>
      </c>
      <c r="C3309" s="27">
        <v>80231</v>
      </c>
      <c r="D3309" s="14" t="s">
        <v>1812</v>
      </c>
      <c r="E3309" s="112"/>
      <c r="F3309" s="139" t="s">
        <v>10930</v>
      </c>
      <c r="G3309" s="140"/>
      <c r="H3309" s="141"/>
      <c r="I3309" s="26">
        <v>48260</v>
      </c>
      <c r="J3309" s="117"/>
      <c r="K3309" s="120"/>
      <c r="L3309" s="121"/>
      <c r="M3309" s="120"/>
      <c r="N3309" s="121"/>
      <c r="O3309" s="120"/>
      <c r="P3309" s="121"/>
      <c r="Q3309" s="120"/>
      <c r="R3309" s="121"/>
      <c r="S3309" s="120"/>
      <c r="T3309" s="121"/>
      <c r="U3309" s="120"/>
      <c r="V3309" s="123"/>
      <c r="W3309" s="125"/>
      <c r="X3309" s="142" t="s">
        <v>10931</v>
      </c>
      <c r="Y3309" s="143"/>
      <c r="Z3309" s="143"/>
      <c r="AA3309" s="143"/>
      <c r="AB3309" s="144"/>
      <c r="AC3309" s="16" t="s">
        <v>21</v>
      </c>
      <c r="AD3309" s="17" t="s">
        <v>10911</v>
      </c>
      <c r="AE3309" s="145" t="s">
        <v>7859</v>
      </c>
      <c r="AF3309" s="146"/>
      <c r="AG3309" s="146"/>
      <c r="AH3309" s="146"/>
      <c r="AI3309" s="147"/>
      <c r="AJ3309" s="148"/>
      <c r="AK3309" s="143"/>
      <c r="AL3309" s="144"/>
      <c r="AM3309" s="22"/>
      <c r="AN3309" s="149" t="s">
        <v>6749</v>
      </c>
      <c r="AO3309" s="144"/>
      <c r="AP3309" s="148">
        <v>80140</v>
      </c>
      <c r="AQ3309" s="144"/>
      <c r="AR3309" s="120"/>
      <c r="AS3309" s="121"/>
      <c r="AT3309" s="120"/>
      <c r="AU3309" s="121"/>
      <c r="AV3309" s="120"/>
      <c r="AW3309" s="121"/>
      <c r="AX3309" s="120"/>
      <c r="AY3309" s="121"/>
      <c r="AZ3309" s="138"/>
    </row>
    <row r="3310" spans="1:52" ht="17.100000000000001" customHeight="1" thickTop="1">
      <c r="A3310" s="109" t="s">
        <v>10483</v>
      </c>
      <c r="B3310" s="28">
        <v>45971</v>
      </c>
      <c r="C3310" s="25"/>
      <c r="D3310" s="13" t="s">
        <v>2022</v>
      </c>
      <c r="E3310" s="111"/>
      <c r="F3310" s="113" t="s">
        <v>10444</v>
      </c>
      <c r="G3310" s="114"/>
      <c r="H3310" s="115"/>
      <c r="I3310" s="24" t="s">
        <v>1547</v>
      </c>
      <c r="J3310" s="116">
        <v>4</v>
      </c>
      <c r="K3310" s="118">
        <v>556000</v>
      </c>
      <c r="L3310" s="119"/>
      <c r="M3310" s="118">
        <f t="shared" ref="M3310" si="2615">K3310*0.1</f>
        <v>55600</v>
      </c>
      <c r="N3310" s="119"/>
      <c r="O3310" s="118">
        <f>11500+1150</f>
        <v>12650</v>
      </c>
      <c r="P3310" s="119"/>
      <c r="Q3310" s="118">
        <v>11810</v>
      </c>
      <c r="R3310" s="119"/>
      <c r="S3310" s="118">
        <v>14850</v>
      </c>
      <c r="T3310" s="119"/>
      <c r="U3310" s="118">
        <f t="shared" ref="U3310" si="2616">SUM(K3310:T3311)</f>
        <v>650910</v>
      </c>
      <c r="V3310" s="122"/>
      <c r="W3310" s="124"/>
      <c r="X3310" s="126" t="s">
        <v>10445</v>
      </c>
      <c r="Y3310" s="127"/>
      <c r="Z3310" s="127"/>
      <c r="AA3310" s="127"/>
      <c r="AB3310" s="128"/>
      <c r="AC3310" s="15" t="s">
        <v>20</v>
      </c>
      <c r="AD3310" s="129" t="s">
        <v>1670</v>
      </c>
      <c r="AE3310" s="130"/>
      <c r="AF3310" s="130"/>
      <c r="AG3310" s="130"/>
      <c r="AH3310" s="130"/>
      <c r="AI3310" s="131"/>
      <c r="AJ3310" s="132"/>
      <c r="AK3310" s="127"/>
      <c r="AL3310" s="128"/>
      <c r="AM3310" s="21"/>
      <c r="AN3310" s="133">
        <v>45976</v>
      </c>
      <c r="AO3310" s="134"/>
      <c r="AP3310" s="135">
        <v>1276</v>
      </c>
      <c r="AQ3310" s="136"/>
      <c r="AR3310" s="118">
        <v>705000</v>
      </c>
      <c r="AS3310" s="119"/>
      <c r="AT3310" s="118">
        <f t="shared" ref="AT3310" si="2617">AR3310*0.1</f>
        <v>70500</v>
      </c>
      <c r="AU3310" s="119"/>
      <c r="AV3310" s="118">
        <v>11810</v>
      </c>
      <c r="AW3310" s="119"/>
      <c r="AX3310" s="118">
        <f t="shared" ref="AX3310" si="2618">SUM(AR3310:AW3310)</f>
        <v>787310</v>
      </c>
      <c r="AY3310" s="119"/>
      <c r="AZ3310" s="137">
        <v>45986</v>
      </c>
    </row>
    <row r="3311" spans="1:52" ht="17.100000000000001" customHeight="1" thickBot="1">
      <c r="A3311" s="110"/>
      <c r="B3311" s="27" t="s">
        <v>2774</v>
      </c>
      <c r="C3311" s="27">
        <v>80236</v>
      </c>
      <c r="D3311" s="14" t="s">
        <v>1592</v>
      </c>
      <c r="E3311" s="112"/>
      <c r="F3311" s="139" t="s">
        <v>11171</v>
      </c>
      <c r="G3311" s="140"/>
      <c r="H3311" s="141"/>
      <c r="I3311" s="26">
        <v>44496</v>
      </c>
      <c r="J3311" s="117"/>
      <c r="K3311" s="120"/>
      <c r="L3311" s="121"/>
      <c r="M3311" s="120"/>
      <c r="N3311" s="121"/>
      <c r="O3311" s="120"/>
      <c r="P3311" s="121"/>
      <c r="Q3311" s="120"/>
      <c r="R3311" s="121"/>
      <c r="S3311" s="120"/>
      <c r="T3311" s="121"/>
      <c r="U3311" s="120"/>
      <c r="V3311" s="123"/>
      <c r="W3311" s="125"/>
      <c r="X3311" s="142" t="s">
        <v>11316</v>
      </c>
      <c r="Y3311" s="143"/>
      <c r="Z3311" s="143"/>
      <c r="AA3311" s="143"/>
      <c r="AB3311" s="144"/>
      <c r="AC3311" s="16" t="s">
        <v>21</v>
      </c>
      <c r="AD3311" s="17" t="s">
        <v>2630</v>
      </c>
      <c r="AE3311" s="145" t="s">
        <v>11317</v>
      </c>
      <c r="AF3311" s="146"/>
      <c r="AG3311" s="146"/>
      <c r="AH3311" s="146"/>
      <c r="AI3311" s="147"/>
      <c r="AJ3311" s="148"/>
      <c r="AK3311" s="143"/>
      <c r="AL3311" s="144"/>
      <c r="AM3311" s="22"/>
      <c r="AN3311" s="149" t="s">
        <v>10999</v>
      </c>
      <c r="AO3311" s="144"/>
      <c r="AP3311" s="148">
        <v>80100</v>
      </c>
      <c r="AQ3311" s="144"/>
      <c r="AR3311" s="120"/>
      <c r="AS3311" s="121"/>
      <c r="AT3311" s="120"/>
      <c r="AU3311" s="121"/>
      <c r="AV3311" s="120"/>
      <c r="AW3311" s="121"/>
      <c r="AX3311" s="120"/>
      <c r="AY3311" s="121"/>
      <c r="AZ3311" s="138"/>
    </row>
    <row r="3312" spans="1:52" ht="17.100000000000001" customHeight="1" thickTop="1">
      <c r="A3312" s="109" t="s">
        <v>10484</v>
      </c>
      <c r="B3312" s="28">
        <v>45971</v>
      </c>
      <c r="C3312" s="25"/>
      <c r="D3312" s="13" t="s">
        <v>1845</v>
      </c>
      <c r="E3312" s="111"/>
      <c r="F3312" s="113" t="s">
        <v>10446</v>
      </c>
      <c r="G3312" s="114"/>
      <c r="H3312" s="115"/>
      <c r="I3312" s="24"/>
      <c r="J3312" s="116">
        <v>4.5</v>
      </c>
      <c r="K3312" s="118">
        <v>705000</v>
      </c>
      <c r="L3312" s="119"/>
      <c r="M3312" s="118">
        <f t="shared" ref="M3312" si="2619">K3312*0.1</f>
        <v>70500</v>
      </c>
      <c r="N3312" s="119"/>
      <c r="O3312" s="118">
        <v>0</v>
      </c>
      <c r="P3312" s="119"/>
      <c r="Q3312" s="118">
        <v>12470</v>
      </c>
      <c r="R3312" s="119"/>
      <c r="S3312" s="118">
        <v>14850</v>
      </c>
      <c r="T3312" s="119"/>
      <c r="U3312" s="118">
        <f t="shared" ref="U3312" si="2620">SUM(K3312:T3313)</f>
        <v>802820</v>
      </c>
      <c r="V3312" s="122"/>
      <c r="W3312" s="124"/>
      <c r="X3312" s="126" t="s">
        <v>10899</v>
      </c>
      <c r="Y3312" s="127"/>
      <c r="Z3312" s="127"/>
      <c r="AA3312" s="127"/>
      <c r="AB3312" s="128"/>
      <c r="AC3312" s="15" t="s">
        <v>20</v>
      </c>
      <c r="AD3312" s="129"/>
      <c r="AE3312" s="130"/>
      <c r="AF3312" s="130"/>
      <c r="AG3312" s="130"/>
      <c r="AH3312" s="130"/>
      <c r="AI3312" s="131"/>
      <c r="AJ3312" s="132"/>
      <c r="AK3312" s="127"/>
      <c r="AL3312" s="128"/>
      <c r="AM3312" s="21"/>
      <c r="AN3312" s="133">
        <v>45976</v>
      </c>
      <c r="AO3312" s="134"/>
      <c r="AP3312" s="135">
        <v>1276</v>
      </c>
      <c r="AQ3312" s="136"/>
      <c r="AR3312" s="118">
        <v>830000</v>
      </c>
      <c r="AS3312" s="119"/>
      <c r="AT3312" s="118">
        <f t="shared" ref="AT3312" si="2621">AR3312*0.1</f>
        <v>83000</v>
      </c>
      <c r="AU3312" s="119"/>
      <c r="AV3312" s="118">
        <v>12470</v>
      </c>
      <c r="AW3312" s="119"/>
      <c r="AX3312" s="118">
        <f t="shared" ref="AX3312" si="2622">SUM(AR3312:AW3312)</f>
        <v>925470</v>
      </c>
      <c r="AY3312" s="119"/>
      <c r="AZ3312" s="137">
        <v>45979</v>
      </c>
    </row>
    <row r="3313" spans="1:52" ht="17.100000000000001" customHeight="1" thickBot="1">
      <c r="A3313" s="110"/>
      <c r="B3313" s="27" t="s">
        <v>2774</v>
      </c>
      <c r="C3313" s="27">
        <v>80347</v>
      </c>
      <c r="D3313" s="14" t="s">
        <v>5505</v>
      </c>
      <c r="E3313" s="112"/>
      <c r="F3313" s="139" t="s">
        <v>10902</v>
      </c>
      <c r="G3313" s="140"/>
      <c r="H3313" s="141"/>
      <c r="I3313" s="26">
        <v>56314</v>
      </c>
      <c r="J3313" s="117"/>
      <c r="K3313" s="120"/>
      <c r="L3313" s="121"/>
      <c r="M3313" s="120"/>
      <c r="N3313" s="121"/>
      <c r="O3313" s="120"/>
      <c r="P3313" s="121"/>
      <c r="Q3313" s="120"/>
      <c r="R3313" s="121"/>
      <c r="S3313" s="120"/>
      <c r="T3313" s="121"/>
      <c r="U3313" s="120"/>
      <c r="V3313" s="123"/>
      <c r="W3313" s="125"/>
      <c r="X3313" s="142" t="s">
        <v>10900</v>
      </c>
      <c r="Y3313" s="143"/>
      <c r="Z3313" s="143"/>
      <c r="AA3313" s="143"/>
      <c r="AB3313" s="144"/>
      <c r="AC3313" s="16" t="s">
        <v>21</v>
      </c>
      <c r="AD3313" s="17" t="s">
        <v>1703</v>
      </c>
      <c r="AE3313" s="145" t="s">
        <v>5319</v>
      </c>
      <c r="AF3313" s="146"/>
      <c r="AG3313" s="146"/>
      <c r="AH3313" s="146"/>
      <c r="AI3313" s="147"/>
      <c r="AJ3313" s="148"/>
      <c r="AK3313" s="143"/>
      <c r="AL3313" s="144"/>
      <c r="AM3313" s="22"/>
      <c r="AN3313" s="149" t="s">
        <v>10999</v>
      </c>
      <c r="AO3313" s="144"/>
      <c r="AP3313" s="148">
        <v>80098</v>
      </c>
      <c r="AQ3313" s="144"/>
      <c r="AR3313" s="120"/>
      <c r="AS3313" s="121"/>
      <c r="AT3313" s="120"/>
      <c r="AU3313" s="121"/>
      <c r="AV3313" s="120"/>
      <c r="AW3313" s="121"/>
      <c r="AX3313" s="120"/>
      <c r="AY3313" s="121"/>
      <c r="AZ3313" s="138"/>
    </row>
    <row r="3314" spans="1:52" ht="17.100000000000001" customHeight="1" thickTop="1">
      <c r="A3314" s="109" t="s">
        <v>10485</v>
      </c>
      <c r="B3314" s="28">
        <v>45971</v>
      </c>
      <c r="C3314" s="25"/>
      <c r="D3314" s="13" t="s">
        <v>1870</v>
      </c>
      <c r="E3314" s="111"/>
      <c r="F3314" s="113" t="s">
        <v>10447</v>
      </c>
      <c r="G3314" s="114"/>
      <c r="H3314" s="115"/>
      <c r="I3314" s="24" t="s">
        <v>4109</v>
      </c>
      <c r="J3314" s="116">
        <v>4</v>
      </c>
      <c r="K3314" s="118">
        <v>724000</v>
      </c>
      <c r="L3314" s="119"/>
      <c r="M3314" s="118">
        <f t="shared" ref="M3314" si="2623">K3314*0.1</f>
        <v>72400</v>
      </c>
      <c r="N3314" s="119"/>
      <c r="O3314" s="118">
        <f>11500+1150</f>
        <v>12650</v>
      </c>
      <c r="P3314" s="119"/>
      <c r="Q3314" s="118">
        <v>12450</v>
      </c>
      <c r="R3314" s="119"/>
      <c r="S3314" s="118">
        <v>14850</v>
      </c>
      <c r="T3314" s="119"/>
      <c r="U3314" s="118">
        <f t="shared" ref="U3314" si="2624">SUM(K3314:T3315)</f>
        <v>836350</v>
      </c>
      <c r="V3314" s="122"/>
      <c r="W3314" s="124"/>
      <c r="X3314" s="126" t="s">
        <v>10448</v>
      </c>
      <c r="Y3314" s="127"/>
      <c r="Z3314" s="127"/>
      <c r="AA3314" s="127"/>
      <c r="AB3314" s="128"/>
      <c r="AC3314" s="15" t="s">
        <v>20</v>
      </c>
      <c r="AD3314" s="129"/>
      <c r="AE3314" s="130"/>
      <c r="AF3314" s="130"/>
      <c r="AG3314" s="130"/>
      <c r="AH3314" s="130"/>
      <c r="AI3314" s="131"/>
      <c r="AJ3314" s="132"/>
      <c r="AK3314" s="127"/>
      <c r="AL3314" s="128"/>
      <c r="AM3314" s="21"/>
      <c r="AN3314" s="133"/>
      <c r="AO3314" s="134"/>
      <c r="AP3314" s="135"/>
      <c r="AQ3314" s="136"/>
      <c r="AR3314" s="118"/>
      <c r="AS3314" s="119"/>
      <c r="AT3314" s="118">
        <f t="shared" ref="AT3314" si="2625">AR3314*0.1</f>
        <v>0</v>
      </c>
      <c r="AU3314" s="119"/>
      <c r="AV3314" s="118"/>
      <c r="AW3314" s="119"/>
      <c r="AX3314" s="118">
        <f t="shared" ref="AX3314" si="2626">SUM(AR3314:AW3314)</f>
        <v>0</v>
      </c>
      <c r="AY3314" s="119"/>
      <c r="AZ3314" s="137"/>
    </row>
    <row r="3315" spans="1:52" ht="17.100000000000001" customHeight="1" thickBot="1">
      <c r="A3315" s="110"/>
      <c r="B3315" s="27" t="s">
        <v>8858</v>
      </c>
      <c r="C3315" s="27">
        <v>60033</v>
      </c>
      <c r="D3315" s="14" t="s">
        <v>904</v>
      </c>
      <c r="E3315" s="112"/>
      <c r="F3315" s="139" t="s">
        <v>10449</v>
      </c>
      <c r="G3315" s="140"/>
      <c r="H3315" s="141"/>
      <c r="I3315" s="26">
        <v>38640</v>
      </c>
      <c r="J3315" s="117"/>
      <c r="K3315" s="120"/>
      <c r="L3315" s="121"/>
      <c r="M3315" s="120"/>
      <c r="N3315" s="121"/>
      <c r="O3315" s="120"/>
      <c r="P3315" s="121"/>
      <c r="Q3315" s="120"/>
      <c r="R3315" s="121"/>
      <c r="S3315" s="120"/>
      <c r="T3315" s="121"/>
      <c r="U3315" s="120"/>
      <c r="V3315" s="123"/>
      <c r="W3315" s="125"/>
      <c r="X3315" s="142" t="s">
        <v>2947</v>
      </c>
      <c r="Y3315" s="143"/>
      <c r="Z3315" s="143"/>
      <c r="AA3315" s="143"/>
      <c r="AB3315" s="144"/>
      <c r="AC3315" s="16" t="s">
        <v>21</v>
      </c>
      <c r="AD3315" s="17" t="s">
        <v>10733</v>
      </c>
      <c r="AE3315" s="145" t="s">
        <v>11020</v>
      </c>
      <c r="AF3315" s="146"/>
      <c r="AG3315" s="146"/>
      <c r="AH3315" s="146"/>
      <c r="AI3315" s="147"/>
      <c r="AJ3315" s="148"/>
      <c r="AK3315" s="143"/>
      <c r="AL3315" s="144"/>
      <c r="AM3315" s="22"/>
      <c r="AN3315" s="149"/>
      <c r="AO3315" s="144"/>
      <c r="AP3315" s="148"/>
      <c r="AQ3315" s="144"/>
      <c r="AR3315" s="120"/>
      <c r="AS3315" s="121"/>
      <c r="AT3315" s="120"/>
      <c r="AU3315" s="121"/>
      <c r="AV3315" s="120"/>
      <c r="AW3315" s="121"/>
      <c r="AX3315" s="120"/>
      <c r="AY3315" s="121"/>
      <c r="AZ3315" s="138"/>
    </row>
    <row r="3316" spans="1:52" ht="17.100000000000001" customHeight="1" thickTop="1">
      <c r="A3316" s="109" t="s">
        <v>10486</v>
      </c>
      <c r="B3316" s="28">
        <v>45971</v>
      </c>
      <c r="C3316" s="25">
        <v>2068</v>
      </c>
      <c r="D3316" s="13" t="s">
        <v>2092</v>
      </c>
      <c r="E3316" s="111"/>
      <c r="F3316" s="113" t="s">
        <v>10450</v>
      </c>
      <c r="G3316" s="114"/>
      <c r="H3316" s="115"/>
      <c r="I3316" s="24"/>
      <c r="J3316" s="116">
        <v>5</v>
      </c>
      <c r="K3316" s="118">
        <v>2245000</v>
      </c>
      <c r="L3316" s="119"/>
      <c r="M3316" s="118">
        <f t="shared" ref="M3316" si="2627">K3316*0.1</f>
        <v>224500</v>
      </c>
      <c r="N3316" s="119"/>
      <c r="O3316" s="118">
        <v>0</v>
      </c>
      <c r="P3316" s="119"/>
      <c r="Q3316" s="118">
        <v>21330</v>
      </c>
      <c r="R3316" s="119"/>
      <c r="S3316" s="118">
        <v>11000</v>
      </c>
      <c r="T3316" s="119"/>
      <c r="U3316" s="118">
        <f t="shared" ref="U3316" si="2628">SUM(K3316:T3317)</f>
        <v>2501830</v>
      </c>
      <c r="V3316" s="122"/>
      <c r="W3316" s="124"/>
      <c r="X3316" s="126" t="s">
        <v>10805</v>
      </c>
      <c r="Y3316" s="127"/>
      <c r="Z3316" s="127"/>
      <c r="AA3316" s="127"/>
      <c r="AB3316" s="128"/>
      <c r="AC3316" s="15" t="s">
        <v>20</v>
      </c>
      <c r="AD3316" s="129"/>
      <c r="AE3316" s="130"/>
      <c r="AF3316" s="130"/>
      <c r="AG3316" s="130"/>
      <c r="AH3316" s="130"/>
      <c r="AI3316" s="131"/>
      <c r="AJ3316" s="132"/>
      <c r="AK3316" s="127"/>
      <c r="AL3316" s="128"/>
      <c r="AM3316" s="21"/>
      <c r="AN3316" s="133">
        <v>45976</v>
      </c>
      <c r="AO3316" s="134"/>
      <c r="AP3316" s="135">
        <v>1276</v>
      </c>
      <c r="AQ3316" s="136"/>
      <c r="AR3316" s="118">
        <v>2385000</v>
      </c>
      <c r="AS3316" s="119"/>
      <c r="AT3316" s="118">
        <f t="shared" ref="AT3316" si="2629">AR3316*0.1</f>
        <v>238500</v>
      </c>
      <c r="AU3316" s="119"/>
      <c r="AV3316" s="118">
        <v>21330</v>
      </c>
      <c r="AW3316" s="119"/>
      <c r="AX3316" s="118">
        <f t="shared" ref="AX3316" si="2630">SUM(AR3316:AW3316)</f>
        <v>2644830</v>
      </c>
      <c r="AY3316" s="119"/>
      <c r="AZ3316" s="137">
        <v>45979</v>
      </c>
    </row>
    <row r="3317" spans="1:52" ht="17.100000000000001" customHeight="1" thickBot="1">
      <c r="A3317" s="110"/>
      <c r="B3317" s="27" t="s">
        <v>83</v>
      </c>
      <c r="C3317" s="27">
        <v>11014</v>
      </c>
      <c r="D3317" s="14" t="s">
        <v>2601</v>
      </c>
      <c r="E3317" s="112"/>
      <c r="F3317" s="139" t="s">
        <v>10451</v>
      </c>
      <c r="G3317" s="140"/>
      <c r="H3317" s="141"/>
      <c r="I3317" s="26">
        <v>19351</v>
      </c>
      <c r="J3317" s="117"/>
      <c r="K3317" s="120"/>
      <c r="L3317" s="121"/>
      <c r="M3317" s="120"/>
      <c r="N3317" s="121"/>
      <c r="O3317" s="120"/>
      <c r="P3317" s="121"/>
      <c r="Q3317" s="120"/>
      <c r="R3317" s="121"/>
      <c r="S3317" s="120"/>
      <c r="T3317" s="121"/>
      <c r="U3317" s="120"/>
      <c r="V3317" s="123"/>
      <c r="W3317" s="125"/>
      <c r="X3317" s="142" t="s">
        <v>4464</v>
      </c>
      <c r="Y3317" s="143"/>
      <c r="Z3317" s="143"/>
      <c r="AA3317" s="143"/>
      <c r="AB3317" s="144"/>
      <c r="AC3317" s="16" t="s">
        <v>21</v>
      </c>
      <c r="AD3317" s="17" t="s">
        <v>10733</v>
      </c>
      <c r="AE3317" s="145" t="s">
        <v>10806</v>
      </c>
      <c r="AF3317" s="146"/>
      <c r="AG3317" s="146"/>
      <c r="AH3317" s="146"/>
      <c r="AI3317" s="147"/>
      <c r="AJ3317" s="148"/>
      <c r="AK3317" s="143"/>
      <c r="AL3317" s="144"/>
      <c r="AM3317" s="22"/>
      <c r="AN3317" s="149" t="s">
        <v>10999</v>
      </c>
      <c r="AO3317" s="144"/>
      <c r="AP3317" s="148">
        <v>80316</v>
      </c>
      <c r="AQ3317" s="144"/>
      <c r="AR3317" s="120"/>
      <c r="AS3317" s="121"/>
      <c r="AT3317" s="120"/>
      <c r="AU3317" s="121"/>
      <c r="AV3317" s="120"/>
      <c r="AW3317" s="121"/>
      <c r="AX3317" s="120"/>
      <c r="AY3317" s="121"/>
      <c r="AZ3317" s="138"/>
    </row>
    <row r="3318" spans="1:52" ht="17.100000000000001" customHeight="1" thickTop="1">
      <c r="A3318" s="109" t="s">
        <v>10487</v>
      </c>
      <c r="B3318" s="28">
        <v>45971</v>
      </c>
      <c r="C3318" s="25">
        <v>2068</v>
      </c>
      <c r="D3318" s="13" t="s">
        <v>1825</v>
      </c>
      <c r="E3318" s="111"/>
      <c r="F3318" s="113" t="s">
        <v>10452</v>
      </c>
      <c r="G3318" s="114"/>
      <c r="H3318" s="115"/>
      <c r="I3318" s="24"/>
      <c r="J3318" s="116">
        <v>4.5</v>
      </c>
      <c r="K3318" s="118">
        <v>2520000</v>
      </c>
      <c r="L3318" s="119"/>
      <c r="M3318" s="118">
        <f t="shared" ref="M3318" si="2631">K3318*0.1</f>
        <v>252000</v>
      </c>
      <c r="N3318" s="119"/>
      <c r="O3318" s="118">
        <v>0</v>
      </c>
      <c r="P3318" s="119"/>
      <c r="Q3318" s="118">
        <v>21160</v>
      </c>
      <c r="R3318" s="119"/>
      <c r="S3318" s="118">
        <v>11000</v>
      </c>
      <c r="T3318" s="119"/>
      <c r="U3318" s="118">
        <f t="shared" ref="U3318" si="2632">SUM(K3318:T3319)</f>
        <v>2804160</v>
      </c>
      <c r="V3318" s="122"/>
      <c r="W3318" s="124"/>
      <c r="X3318" s="126" t="s">
        <v>10807</v>
      </c>
      <c r="Y3318" s="127"/>
      <c r="Z3318" s="127"/>
      <c r="AA3318" s="127"/>
      <c r="AB3318" s="128"/>
      <c r="AC3318" s="15" t="s">
        <v>20</v>
      </c>
      <c r="AD3318" s="129" t="s">
        <v>171</v>
      </c>
      <c r="AE3318" s="130"/>
      <c r="AF3318" s="130"/>
      <c r="AG3318" s="130"/>
      <c r="AH3318" s="130"/>
      <c r="AI3318" s="131"/>
      <c r="AJ3318" s="132"/>
      <c r="AK3318" s="127"/>
      <c r="AL3318" s="128"/>
      <c r="AM3318" s="21"/>
      <c r="AN3318" s="133">
        <v>45976</v>
      </c>
      <c r="AO3318" s="134"/>
      <c r="AP3318" s="135">
        <v>1276</v>
      </c>
      <c r="AQ3318" s="136"/>
      <c r="AR3318" s="118">
        <v>3055000</v>
      </c>
      <c r="AS3318" s="119"/>
      <c r="AT3318" s="118">
        <f t="shared" ref="AT3318" si="2633">AR3318*0.1</f>
        <v>305500</v>
      </c>
      <c r="AU3318" s="119"/>
      <c r="AV3318" s="118">
        <v>21160</v>
      </c>
      <c r="AW3318" s="119"/>
      <c r="AX3318" s="118">
        <f t="shared" ref="AX3318" si="2634">SUM(AR3318:AW3318)</f>
        <v>3381660</v>
      </c>
      <c r="AY3318" s="119"/>
      <c r="AZ3318" s="137">
        <v>45979</v>
      </c>
    </row>
    <row r="3319" spans="1:52" ht="17.100000000000001" customHeight="1" thickBot="1">
      <c r="A3319" s="110"/>
      <c r="B3319" s="27" t="s">
        <v>83</v>
      </c>
      <c r="C3319" s="27">
        <v>11065</v>
      </c>
      <c r="D3319" s="14" t="s">
        <v>2601</v>
      </c>
      <c r="E3319" s="112"/>
      <c r="F3319" s="139" t="s">
        <v>10453</v>
      </c>
      <c r="G3319" s="140"/>
      <c r="H3319" s="141"/>
      <c r="I3319" s="26">
        <v>47695</v>
      </c>
      <c r="J3319" s="117"/>
      <c r="K3319" s="120"/>
      <c r="L3319" s="121"/>
      <c r="M3319" s="120"/>
      <c r="N3319" s="121"/>
      <c r="O3319" s="120"/>
      <c r="P3319" s="121"/>
      <c r="Q3319" s="120"/>
      <c r="R3319" s="121"/>
      <c r="S3319" s="120"/>
      <c r="T3319" s="121"/>
      <c r="U3319" s="120"/>
      <c r="V3319" s="123"/>
      <c r="W3319" s="125"/>
      <c r="X3319" s="142" t="s">
        <v>4464</v>
      </c>
      <c r="Y3319" s="143"/>
      <c r="Z3319" s="143"/>
      <c r="AA3319" s="143"/>
      <c r="AB3319" s="144"/>
      <c r="AC3319" s="16" t="s">
        <v>21</v>
      </c>
      <c r="AD3319" s="17" t="s">
        <v>10733</v>
      </c>
      <c r="AE3319" s="145" t="s">
        <v>1945</v>
      </c>
      <c r="AF3319" s="146"/>
      <c r="AG3319" s="146"/>
      <c r="AH3319" s="146"/>
      <c r="AI3319" s="147"/>
      <c r="AJ3319" s="148"/>
      <c r="AK3319" s="143"/>
      <c r="AL3319" s="144"/>
      <c r="AM3319" s="22"/>
      <c r="AN3319" s="149" t="s">
        <v>10999</v>
      </c>
      <c r="AO3319" s="144"/>
      <c r="AP3319" s="148">
        <v>80367</v>
      </c>
      <c r="AQ3319" s="144"/>
      <c r="AR3319" s="120"/>
      <c r="AS3319" s="121"/>
      <c r="AT3319" s="120"/>
      <c r="AU3319" s="121"/>
      <c r="AV3319" s="120"/>
      <c r="AW3319" s="121"/>
      <c r="AX3319" s="120"/>
      <c r="AY3319" s="121"/>
      <c r="AZ3319" s="138"/>
    </row>
    <row r="3320" spans="1:52" ht="17.100000000000001" customHeight="1" thickTop="1">
      <c r="A3320" s="109" t="s">
        <v>10488</v>
      </c>
      <c r="B3320" s="28">
        <v>45971</v>
      </c>
      <c r="C3320" s="25">
        <v>2068</v>
      </c>
      <c r="D3320" s="13" t="s">
        <v>1640</v>
      </c>
      <c r="E3320" s="111"/>
      <c r="F3320" s="113" t="s">
        <v>10454</v>
      </c>
      <c r="G3320" s="114"/>
      <c r="H3320" s="115"/>
      <c r="I3320" s="24"/>
      <c r="J3320" s="116">
        <v>4</v>
      </c>
      <c r="K3320" s="118">
        <v>864000</v>
      </c>
      <c r="L3320" s="119"/>
      <c r="M3320" s="118">
        <f t="shared" ref="M3320" si="2635">K3320*0.1</f>
        <v>86400</v>
      </c>
      <c r="N3320" s="119"/>
      <c r="O3320" s="118">
        <v>0</v>
      </c>
      <c r="P3320" s="119"/>
      <c r="Q3320" s="118">
        <v>15160</v>
      </c>
      <c r="R3320" s="119"/>
      <c r="S3320" s="118">
        <v>11000</v>
      </c>
      <c r="T3320" s="119"/>
      <c r="U3320" s="118">
        <f t="shared" ref="U3320" si="2636">SUM(K3320:T3321)</f>
        <v>976560</v>
      </c>
      <c r="V3320" s="122"/>
      <c r="W3320" s="124"/>
      <c r="X3320" s="126" t="s">
        <v>10893</v>
      </c>
      <c r="Y3320" s="127"/>
      <c r="Z3320" s="127"/>
      <c r="AA3320" s="127"/>
      <c r="AB3320" s="128"/>
      <c r="AC3320" s="15" t="s">
        <v>20</v>
      </c>
      <c r="AD3320" s="129" t="s">
        <v>171</v>
      </c>
      <c r="AE3320" s="130"/>
      <c r="AF3320" s="130"/>
      <c r="AG3320" s="130"/>
      <c r="AH3320" s="130"/>
      <c r="AI3320" s="131"/>
      <c r="AJ3320" s="132"/>
      <c r="AK3320" s="127"/>
      <c r="AL3320" s="128"/>
      <c r="AM3320" s="21"/>
      <c r="AN3320" s="133">
        <v>45976</v>
      </c>
      <c r="AO3320" s="134"/>
      <c r="AP3320" s="135">
        <v>1276</v>
      </c>
      <c r="AQ3320" s="136"/>
      <c r="AR3320" s="118">
        <v>1025000</v>
      </c>
      <c r="AS3320" s="119"/>
      <c r="AT3320" s="118">
        <f t="shared" ref="AT3320" si="2637">AR3320*0.1</f>
        <v>102500</v>
      </c>
      <c r="AU3320" s="119"/>
      <c r="AV3320" s="118">
        <v>15160</v>
      </c>
      <c r="AW3320" s="119"/>
      <c r="AX3320" s="118">
        <f t="shared" ref="AX3320" si="2638">SUM(AR3320:AW3320)</f>
        <v>1142660</v>
      </c>
      <c r="AY3320" s="119"/>
      <c r="AZ3320" s="137">
        <v>45979</v>
      </c>
    </row>
    <row r="3321" spans="1:52" ht="17.100000000000001" customHeight="1" thickBot="1">
      <c r="A3321" s="110"/>
      <c r="B3321" s="27" t="s">
        <v>83</v>
      </c>
      <c r="C3321" s="27">
        <v>33513</v>
      </c>
      <c r="D3321" s="14" t="s">
        <v>904</v>
      </c>
      <c r="E3321" s="112"/>
      <c r="F3321" s="139" t="s">
        <v>10455</v>
      </c>
      <c r="G3321" s="140"/>
      <c r="H3321" s="141"/>
      <c r="I3321" s="26">
        <v>69204</v>
      </c>
      <c r="J3321" s="117"/>
      <c r="K3321" s="120"/>
      <c r="L3321" s="121"/>
      <c r="M3321" s="120"/>
      <c r="N3321" s="121"/>
      <c r="O3321" s="120"/>
      <c r="P3321" s="121"/>
      <c r="Q3321" s="120"/>
      <c r="R3321" s="121"/>
      <c r="S3321" s="120"/>
      <c r="T3321" s="121"/>
      <c r="U3321" s="120"/>
      <c r="V3321" s="123"/>
      <c r="W3321" s="125"/>
      <c r="X3321" s="142" t="s">
        <v>4820</v>
      </c>
      <c r="Y3321" s="143"/>
      <c r="Z3321" s="143"/>
      <c r="AA3321" s="143"/>
      <c r="AB3321" s="144"/>
      <c r="AC3321" s="16" t="s">
        <v>21</v>
      </c>
      <c r="AD3321" s="17" t="s">
        <v>10858</v>
      </c>
      <c r="AE3321" s="145" t="s">
        <v>1742</v>
      </c>
      <c r="AF3321" s="146"/>
      <c r="AG3321" s="146"/>
      <c r="AH3321" s="146"/>
      <c r="AI3321" s="147"/>
      <c r="AJ3321" s="148"/>
      <c r="AK3321" s="143"/>
      <c r="AL3321" s="144"/>
      <c r="AM3321" s="22"/>
      <c r="AN3321" s="149" t="s">
        <v>10999</v>
      </c>
      <c r="AO3321" s="144"/>
      <c r="AP3321" s="148">
        <v>80370</v>
      </c>
      <c r="AQ3321" s="144"/>
      <c r="AR3321" s="120"/>
      <c r="AS3321" s="121"/>
      <c r="AT3321" s="120"/>
      <c r="AU3321" s="121"/>
      <c r="AV3321" s="120"/>
      <c r="AW3321" s="121"/>
      <c r="AX3321" s="120"/>
      <c r="AY3321" s="121"/>
      <c r="AZ3321" s="138"/>
    </row>
    <row r="3322" spans="1:52" ht="17.100000000000001" customHeight="1" thickTop="1">
      <c r="A3322" s="109" t="s">
        <v>10489</v>
      </c>
      <c r="B3322" s="28">
        <v>45971</v>
      </c>
      <c r="C3322" s="25">
        <v>2068</v>
      </c>
      <c r="D3322" s="13" t="s">
        <v>1744</v>
      </c>
      <c r="E3322" s="111"/>
      <c r="F3322" s="113" t="s">
        <v>10454</v>
      </c>
      <c r="G3322" s="114"/>
      <c r="H3322" s="115"/>
      <c r="I3322" s="24"/>
      <c r="J3322" s="116">
        <v>3.5</v>
      </c>
      <c r="K3322" s="118">
        <v>639000</v>
      </c>
      <c r="L3322" s="119"/>
      <c r="M3322" s="118">
        <f t="shared" ref="M3322" si="2639">K3322*0.1</f>
        <v>63900</v>
      </c>
      <c r="N3322" s="119"/>
      <c r="O3322" s="118">
        <v>0</v>
      </c>
      <c r="P3322" s="119"/>
      <c r="Q3322" s="118">
        <v>15470</v>
      </c>
      <c r="R3322" s="119"/>
      <c r="S3322" s="118">
        <v>11000</v>
      </c>
      <c r="T3322" s="119"/>
      <c r="U3322" s="118">
        <f t="shared" ref="U3322" si="2640">SUM(K3322:T3323)</f>
        <v>729370</v>
      </c>
      <c r="V3322" s="122"/>
      <c r="W3322" s="124"/>
      <c r="X3322" s="126" t="s">
        <v>10894</v>
      </c>
      <c r="Y3322" s="127"/>
      <c r="Z3322" s="127"/>
      <c r="AA3322" s="127"/>
      <c r="AB3322" s="128"/>
      <c r="AC3322" s="15" t="s">
        <v>20</v>
      </c>
      <c r="AD3322" s="129" t="s">
        <v>171</v>
      </c>
      <c r="AE3322" s="130"/>
      <c r="AF3322" s="130"/>
      <c r="AG3322" s="130"/>
      <c r="AH3322" s="130"/>
      <c r="AI3322" s="131"/>
      <c r="AJ3322" s="132" t="s">
        <v>12101</v>
      </c>
      <c r="AK3322" s="127"/>
      <c r="AL3322" s="128"/>
      <c r="AM3322" s="21"/>
      <c r="AN3322" s="133">
        <v>45990</v>
      </c>
      <c r="AO3322" s="134"/>
      <c r="AP3322" s="135">
        <v>1278</v>
      </c>
      <c r="AQ3322" s="136"/>
      <c r="AR3322" s="118">
        <v>795000</v>
      </c>
      <c r="AS3322" s="119"/>
      <c r="AT3322" s="118">
        <f t="shared" ref="AT3322" si="2641">AR3322*0.1</f>
        <v>79500</v>
      </c>
      <c r="AU3322" s="119"/>
      <c r="AV3322" s="118">
        <v>15470</v>
      </c>
      <c r="AW3322" s="119"/>
      <c r="AX3322" s="118">
        <f t="shared" ref="AX3322" si="2642">SUM(AR3322:AW3322)</f>
        <v>889970</v>
      </c>
      <c r="AY3322" s="119"/>
      <c r="AZ3322" s="137">
        <v>45995</v>
      </c>
    </row>
    <row r="3323" spans="1:52" ht="17.100000000000001" customHeight="1" thickBot="1">
      <c r="A3323" s="110"/>
      <c r="B3323" s="27" t="s">
        <v>83</v>
      </c>
      <c r="C3323" s="27">
        <v>33525</v>
      </c>
      <c r="D3323" s="14" t="s">
        <v>904</v>
      </c>
      <c r="E3323" s="112"/>
      <c r="F3323" s="139" t="s">
        <v>10456</v>
      </c>
      <c r="G3323" s="140"/>
      <c r="H3323" s="141"/>
      <c r="I3323" s="26">
        <v>77665</v>
      </c>
      <c r="J3323" s="117"/>
      <c r="K3323" s="120"/>
      <c r="L3323" s="121"/>
      <c r="M3323" s="120"/>
      <c r="N3323" s="121"/>
      <c r="O3323" s="120"/>
      <c r="P3323" s="121"/>
      <c r="Q3323" s="120"/>
      <c r="R3323" s="121"/>
      <c r="S3323" s="120"/>
      <c r="T3323" s="121"/>
      <c r="U3323" s="120"/>
      <c r="V3323" s="123"/>
      <c r="W3323" s="125"/>
      <c r="X3323" s="142" t="s">
        <v>4820</v>
      </c>
      <c r="Y3323" s="143"/>
      <c r="Z3323" s="143"/>
      <c r="AA3323" s="143"/>
      <c r="AB3323" s="144"/>
      <c r="AC3323" s="16" t="s">
        <v>21</v>
      </c>
      <c r="AD3323" s="17" t="s">
        <v>10858</v>
      </c>
      <c r="AE3323" s="145" t="s">
        <v>171</v>
      </c>
      <c r="AF3323" s="146"/>
      <c r="AG3323" s="146"/>
      <c r="AH3323" s="146"/>
      <c r="AI3323" s="147"/>
      <c r="AJ3323" s="148"/>
      <c r="AK3323" s="143"/>
      <c r="AL3323" s="144"/>
      <c r="AM3323" s="22"/>
      <c r="AN3323" s="149" t="s">
        <v>2511</v>
      </c>
      <c r="AO3323" s="144"/>
      <c r="AP3323" s="148">
        <v>80147</v>
      </c>
      <c r="AQ3323" s="144"/>
      <c r="AR3323" s="120"/>
      <c r="AS3323" s="121"/>
      <c r="AT3323" s="120"/>
      <c r="AU3323" s="121"/>
      <c r="AV3323" s="120"/>
      <c r="AW3323" s="121"/>
      <c r="AX3323" s="120"/>
      <c r="AY3323" s="121"/>
      <c r="AZ3323" s="138"/>
    </row>
    <row r="3324" spans="1:52" ht="17.100000000000001" customHeight="1" thickTop="1">
      <c r="A3324" s="109" t="s">
        <v>10490</v>
      </c>
      <c r="B3324" s="28">
        <v>45971</v>
      </c>
      <c r="C3324" s="25">
        <v>2068</v>
      </c>
      <c r="D3324" s="13" t="s">
        <v>1744</v>
      </c>
      <c r="E3324" s="111"/>
      <c r="F3324" s="113" t="s">
        <v>10457</v>
      </c>
      <c r="G3324" s="114"/>
      <c r="H3324" s="115"/>
      <c r="I3324" s="24"/>
      <c r="J3324" s="116">
        <v>4</v>
      </c>
      <c r="K3324" s="118">
        <v>1645000</v>
      </c>
      <c r="L3324" s="119"/>
      <c r="M3324" s="118">
        <f t="shared" ref="M3324" si="2643">K3324*0.1</f>
        <v>164500</v>
      </c>
      <c r="N3324" s="119"/>
      <c r="O3324" s="118">
        <v>0</v>
      </c>
      <c r="P3324" s="119"/>
      <c r="Q3324" s="118">
        <v>21500</v>
      </c>
      <c r="R3324" s="119"/>
      <c r="S3324" s="118">
        <v>11000</v>
      </c>
      <c r="T3324" s="119"/>
      <c r="U3324" s="118">
        <f t="shared" ref="U3324" si="2644">SUM(K3324:T3325)</f>
        <v>1842000</v>
      </c>
      <c r="V3324" s="122"/>
      <c r="W3324" s="124"/>
      <c r="X3324" s="126" t="s">
        <v>10892</v>
      </c>
      <c r="Y3324" s="127"/>
      <c r="Z3324" s="127"/>
      <c r="AA3324" s="127"/>
      <c r="AB3324" s="128"/>
      <c r="AC3324" s="15" t="s">
        <v>20</v>
      </c>
      <c r="AD3324" s="129" t="s">
        <v>171</v>
      </c>
      <c r="AE3324" s="130"/>
      <c r="AF3324" s="130"/>
      <c r="AG3324" s="130"/>
      <c r="AH3324" s="130"/>
      <c r="AI3324" s="131"/>
      <c r="AJ3324" s="132"/>
      <c r="AK3324" s="127"/>
      <c r="AL3324" s="128"/>
      <c r="AM3324" s="21"/>
      <c r="AN3324" s="133">
        <v>45976</v>
      </c>
      <c r="AO3324" s="134"/>
      <c r="AP3324" s="135">
        <v>1276</v>
      </c>
      <c r="AQ3324" s="136"/>
      <c r="AR3324" s="118">
        <v>1800000</v>
      </c>
      <c r="AS3324" s="119"/>
      <c r="AT3324" s="118">
        <f t="shared" ref="AT3324" si="2645">AR3324*0.1</f>
        <v>180000</v>
      </c>
      <c r="AU3324" s="119"/>
      <c r="AV3324" s="118">
        <v>21500</v>
      </c>
      <c r="AW3324" s="119"/>
      <c r="AX3324" s="118">
        <f t="shared" ref="AX3324" si="2646">SUM(AR3324:AW3324)</f>
        <v>2001500</v>
      </c>
      <c r="AY3324" s="119"/>
      <c r="AZ3324" s="137">
        <v>45979</v>
      </c>
    </row>
    <row r="3325" spans="1:52" ht="17.100000000000001" customHeight="1" thickBot="1">
      <c r="A3325" s="110"/>
      <c r="B3325" s="27" t="s">
        <v>83</v>
      </c>
      <c r="C3325" s="27">
        <v>33529</v>
      </c>
      <c r="D3325" s="14" t="s">
        <v>2601</v>
      </c>
      <c r="E3325" s="112"/>
      <c r="F3325" s="139" t="s">
        <v>10458</v>
      </c>
      <c r="G3325" s="140"/>
      <c r="H3325" s="141"/>
      <c r="I3325" s="26">
        <v>79325</v>
      </c>
      <c r="J3325" s="117"/>
      <c r="K3325" s="120"/>
      <c r="L3325" s="121"/>
      <c r="M3325" s="120"/>
      <c r="N3325" s="121"/>
      <c r="O3325" s="120"/>
      <c r="P3325" s="121"/>
      <c r="Q3325" s="120"/>
      <c r="R3325" s="121"/>
      <c r="S3325" s="120"/>
      <c r="T3325" s="121"/>
      <c r="U3325" s="120"/>
      <c r="V3325" s="123"/>
      <c r="W3325" s="125"/>
      <c r="X3325" s="142" t="s">
        <v>4820</v>
      </c>
      <c r="Y3325" s="143"/>
      <c r="Z3325" s="143"/>
      <c r="AA3325" s="143"/>
      <c r="AB3325" s="144"/>
      <c r="AC3325" s="16" t="s">
        <v>21</v>
      </c>
      <c r="AD3325" s="17" t="s">
        <v>10858</v>
      </c>
      <c r="AE3325" s="145" t="s">
        <v>3609</v>
      </c>
      <c r="AF3325" s="146"/>
      <c r="AG3325" s="146"/>
      <c r="AH3325" s="146"/>
      <c r="AI3325" s="147"/>
      <c r="AJ3325" s="148"/>
      <c r="AK3325" s="143"/>
      <c r="AL3325" s="144"/>
      <c r="AM3325" s="22"/>
      <c r="AN3325" s="149" t="s">
        <v>10999</v>
      </c>
      <c r="AO3325" s="144"/>
      <c r="AP3325" s="148">
        <v>80320</v>
      </c>
      <c r="AQ3325" s="144"/>
      <c r="AR3325" s="120"/>
      <c r="AS3325" s="121"/>
      <c r="AT3325" s="120"/>
      <c r="AU3325" s="121"/>
      <c r="AV3325" s="120"/>
      <c r="AW3325" s="121"/>
      <c r="AX3325" s="120"/>
      <c r="AY3325" s="121"/>
      <c r="AZ3325" s="138"/>
    </row>
    <row r="3326" spans="1:52" ht="17.100000000000001" customHeight="1" thickTop="1">
      <c r="A3326" s="109" t="s">
        <v>10491</v>
      </c>
      <c r="B3326" s="28">
        <v>45971</v>
      </c>
      <c r="C3326" s="25">
        <v>2068</v>
      </c>
      <c r="D3326" s="13" t="s">
        <v>3478</v>
      </c>
      <c r="E3326" s="111"/>
      <c r="F3326" s="113" t="s">
        <v>4559</v>
      </c>
      <c r="G3326" s="114"/>
      <c r="H3326" s="115"/>
      <c r="I3326" s="24"/>
      <c r="J3326" s="116">
        <v>4.5</v>
      </c>
      <c r="K3326" s="118">
        <v>901000</v>
      </c>
      <c r="L3326" s="119"/>
      <c r="M3326" s="118">
        <f t="shared" ref="M3326" si="2647">K3326*0.1</f>
        <v>90100</v>
      </c>
      <c r="N3326" s="119"/>
      <c r="O3326" s="118">
        <v>0</v>
      </c>
      <c r="P3326" s="119"/>
      <c r="Q3326" s="118">
        <v>17600</v>
      </c>
      <c r="R3326" s="119"/>
      <c r="S3326" s="118">
        <v>11000</v>
      </c>
      <c r="T3326" s="119"/>
      <c r="U3326" s="118">
        <f t="shared" ref="U3326" si="2648">SUM(K3326:T3327)</f>
        <v>1019700</v>
      </c>
      <c r="V3326" s="122"/>
      <c r="W3326" s="124"/>
      <c r="X3326" s="126" t="s">
        <v>10925</v>
      </c>
      <c r="Y3326" s="127"/>
      <c r="Z3326" s="127"/>
      <c r="AA3326" s="127"/>
      <c r="AB3326" s="128"/>
      <c r="AC3326" s="15" t="s">
        <v>20</v>
      </c>
      <c r="AD3326" s="129" t="s">
        <v>171</v>
      </c>
      <c r="AE3326" s="130"/>
      <c r="AF3326" s="130"/>
      <c r="AG3326" s="130"/>
      <c r="AH3326" s="130"/>
      <c r="AI3326" s="131"/>
      <c r="AJ3326" s="132"/>
      <c r="AK3326" s="127"/>
      <c r="AL3326" s="128"/>
      <c r="AM3326" s="21"/>
      <c r="AN3326" s="133">
        <v>45983</v>
      </c>
      <c r="AO3326" s="134"/>
      <c r="AP3326" s="135">
        <v>1277</v>
      </c>
      <c r="AQ3326" s="136"/>
      <c r="AR3326" s="118">
        <v>1170000</v>
      </c>
      <c r="AS3326" s="119"/>
      <c r="AT3326" s="118">
        <f t="shared" ref="AT3326" si="2649">AR3326*0.1</f>
        <v>117000</v>
      </c>
      <c r="AU3326" s="119"/>
      <c r="AV3326" s="118">
        <v>17600</v>
      </c>
      <c r="AW3326" s="119"/>
      <c r="AX3326" s="118">
        <f t="shared" ref="AX3326" si="2650">SUM(AR3326:AW3326)</f>
        <v>1304600</v>
      </c>
      <c r="AY3326" s="119"/>
      <c r="AZ3326" s="137">
        <v>45987</v>
      </c>
    </row>
    <row r="3327" spans="1:52" ht="17.100000000000001" customHeight="1" thickBot="1">
      <c r="A3327" s="110"/>
      <c r="B3327" s="27" t="s">
        <v>83</v>
      </c>
      <c r="C3327" s="27">
        <v>34523</v>
      </c>
      <c r="D3327" s="14" t="s">
        <v>1592</v>
      </c>
      <c r="E3327" s="112"/>
      <c r="F3327" s="139" t="s">
        <v>10459</v>
      </c>
      <c r="G3327" s="140"/>
      <c r="H3327" s="141"/>
      <c r="I3327" s="26">
        <v>50785</v>
      </c>
      <c r="J3327" s="117"/>
      <c r="K3327" s="120"/>
      <c r="L3327" s="121"/>
      <c r="M3327" s="120"/>
      <c r="N3327" s="121"/>
      <c r="O3327" s="120"/>
      <c r="P3327" s="121"/>
      <c r="Q3327" s="120"/>
      <c r="R3327" s="121"/>
      <c r="S3327" s="120"/>
      <c r="T3327" s="121"/>
      <c r="U3327" s="120"/>
      <c r="V3327" s="123"/>
      <c r="W3327" s="125"/>
      <c r="X3327" s="142" t="s">
        <v>10926</v>
      </c>
      <c r="Y3327" s="143"/>
      <c r="Z3327" s="143"/>
      <c r="AA3327" s="143"/>
      <c r="AB3327" s="144"/>
      <c r="AC3327" s="16" t="s">
        <v>21</v>
      </c>
      <c r="AD3327" s="17" t="s">
        <v>10911</v>
      </c>
      <c r="AE3327" s="145" t="s">
        <v>10922</v>
      </c>
      <c r="AF3327" s="146"/>
      <c r="AG3327" s="146"/>
      <c r="AH3327" s="146"/>
      <c r="AI3327" s="147"/>
      <c r="AJ3327" s="148"/>
      <c r="AK3327" s="143"/>
      <c r="AL3327" s="144"/>
      <c r="AM3327" s="22"/>
      <c r="AN3327" s="149" t="s">
        <v>2511</v>
      </c>
      <c r="AO3327" s="144"/>
      <c r="AP3327" s="148">
        <v>80362</v>
      </c>
      <c r="AQ3327" s="144"/>
      <c r="AR3327" s="120"/>
      <c r="AS3327" s="121"/>
      <c r="AT3327" s="120"/>
      <c r="AU3327" s="121"/>
      <c r="AV3327" s="120"/>
      <c r="AW3327" s="121"/>
      <c r="AX3327" s="120"/>
      <c r="AY3327" s="121"/>
      <c r="AZ3327" s="138"/>
    </row>
    <row r="3328" spans="1:52" ht="17.100000000000001" customHeight="1" thickTop="1">
      <c r="A3328" s="109" t="s">
        <v>10567</v>
      </c>
      <c r="B3328" s="28">
        <v>45972</v>
      </c>
      <c r="C3328" s="25">
        <v>1917</v>
      </c>
      <c r="D3328" s="13" t="s">
        <v>1642</v>
      </c>
      <c r="E3328" s="111"/>
      <c r="F3328" s="113" t="s">
        <v>10492</v>
      </c>
      <c r="G3328" s="114"/>
      <c r="H3328" s="115"/>
      <c r="I3328" s="24"/>
      <c r="J3328" s="116">
        <v>4</v>
      </c>
      <c r="K3328" s="118">
        <v>805000</v>
      </c>
      <c r="L3328" s="119"/>
      <c r="M3328" s="118">
        <f t="shared" ref="M3328" si="2651">K3328*0.1</f>
        <v>80500</v>
      </c>
      <c r="N3328" s="119"/>
      <c r="O3328" s="118">
        <v>0</v>
      </c>
      <c r="P3328" s="119"/>
      <c r="Q3328" s="118">
        <v>6860</v>
      </c>
      <c r="R3328" s="119"/>
      <c r="S3328" s="118">
        <v>15950</v>
      </c>
      <c r="T3328" s="119"/>
      <c r="U3328" s="118">
        <f t="shared" ref="U3328" si="2652">SUM(K3328:T3329)</f>
        <v>908310</v>
      </c>
      <c r="V3328" s="122"/>
      <c r="W3328" s="124"/>
      <c r="X3328" s="126" t="s">
        <v>11155</v>
      </c>
      <c r="Y3328" s="127"/>
      <c r="Z3328" s="127"/>
      <c r="AA3328" s="127"/>
      <c r="AB3328" s="128"/>
      <c r="AC3328" s="15" t="s">
        <v>20</v>
      </c>
      <c r="AD3328" s="129" t="s">
        <v>1670</v>
      </c>
      <c r="AE3328" s="130"/>
      <c r="AF3328" s="130"/>
      <c r="AG3328" s="130"/>
      <c r="AH3328" s="130"/>
      <c r="AI3328" s="131"/>
      <c r="AJ3328" s="132" t="s">
        <v>11344</v>
      </c>
      <c r="AK3328" s="127"/>
      <c r="AL3328" s="128"/>
      <c r="AM3328" s="21"/>
      <c r="AN3328" s="133">
        <v>45976</v>
      </c>
      <c r="AO3328" s="134"/>
      <c r="AP3328" s="135">
        <v>1276</v>
      </c>
      <c r="AQ3328" s="136"/>
      <c r="AR3328" s="118">
        <v>880000</v>
      </c>
      <c r="AS3328" s="119"/>
      <c r="AT3328" s="118">
        <f t="shared" ref="AT3328" si="2653">AR3328*0.1</f>
        <v>88000</v>
      </c>
      <c r="AU3328" s="119"/>
      <c r="AV3328" s="118">
        <v>6860</v>
      </c>
      <c r="AW3328" s="119"/>
      <c r="AX3328" s="118">
        <f t="shared" ref="AX3328" si="2654">SUM(AR3328:AW3328)</f>
        <v>974860</v>
      </c>
      <c r="AY3328" s="119"/>
      <c r="AZ3328" s="137">
        <v>45986</v>
      </c>
    </row>
    <row r="3329" spans="1:52" ht="17.100000000000001" customHeight="1" thickBot="1">
      <c r="A3329" s="110"/>
      <c r="B3329" s="27" t="s">
        <v>2131</v>
      </c>
      <c r="C3329" s="27">
        <v>3042</v>
      </c>
      <c r="D3329" s="14" t="s">
        <v>1720</v>
      </c>
      <c r="E3329" s="112"/>
      <c r="F3329" s="139" t="s">
        <v>10493</v>
      </c>
      <c r="G3329" s="140"/>
      <c r="H3329" s="141"/>
      <c r="I3329" s="26">
        <v>46466</v>
      </c>
      <c r="J3329" s="117"/>
      <c r="K3329" s="120"/>
      <c r="L3329" s="121"/>
      <c r="M3329" s="120"/>
      <c r="N3329" s="121"/>
      <c r="O3329" s="120"/>
      <c r="P3329" s="121"/>
      <c r="Q3329" s="120"/>
      <c r="R3329" s="121"/>
      <c r="S3329" s="120"/>
      <c r="T3329" s="121"/>
      <c r="U3329" s="120"/>
      <c r="V3329" s="123"/>
      <c r="W3329" s="125"/>
      <c r="X3329" s="142" t="s">
        <v>11156</v>
      </c>
      <c r="Y3329" s="143"/>
      <c r="Z3329" s="143"/>
      <c r="AA3329" s="143"/>
      <c r="AB3329" s="144"/>
      <c r="AC3329" s="16" t="s">
        <v>21</v>
      </c>
      <c r="AD3329" s="17" t="s">
        <v>11105</v>
      </c>
      <c r="AE3329" s="145" t="s">
        <v>9056</v>
      </c>
      <c r="AF3329" s="146"/>
      <c r="AG3329" s="146"/>
      <c r="AH3329" s="146"/>
      <c r="AI3329" s="147"/>
      <c r="AJ3329" s="148"/>
      <c r="AK3329" s="143"/>
      <c r="AL3329" s="144"/>
      <c r="AM3329" s="22"/>
      <c r="AN3329" s="149" t="s">
        <v>10999</v>
      </c>
      <c r="AO3329" s="144"/>
      <c r="AP3329" s="148">
        <v>60494</v>
      </c>
      <c r="AQ3329" s="144"/>
      <c r="AR3329" s="120"/>
      <c r="AS3329" s="121"/>
      <c r="AT3329" s="120"/>
      <c r="AU3329" s="121"/>
      <c r="AV3329" s="120"/>
      <c r="AW3329" s="121"/>
      <c r="AX3329" s="120"/>
      <c r="AY3329" s="121"/>
      <c r="AZ3329" s="138"/>
    </row>
    <row r="3330" spans="1:52" ht="17.100000000000001" customHeight="1" thickTop="1">
      <c r="A3330" s="109" t="s">
        <v>10568</v>
      </c>
      <c r="B3330" s="28">
        <v>45972</v>
      </c>
      <c r="C3330" s="25">
        <v>1917</v>
      </c>
      <c r="D3330" s="13" t="s">
        <v>3324</v>
      </c>
      <c r="E3330" s="111"/>
      <c r="F3330" s="113" t="s">
        <v>5435</v>
      </c>
      <c r="G3330" s="114"/>
      <c r="H3330" s="115"/>
      <c r="I3330" s="24" t="s">
        <v>3317</v>
      </c>
      <c r="J3330" s="116">
        <v>5</v>
      </c>
      <c r="K3330" s="118">
        <v>1238000</v>
      </c>
      <c r="L3330" s="119"/>
      <c r="M3330" s="118">
        <f t="shared" ref="M3330" si="2655">K3330*0.1</f>
        <v>123800</v>
      </c>
      <c r="N3330" s="119"/>
      <c r="O3330" s="118">
        <v>0</v>
      </c>
      <c r="P3330" s="119"/>
      <c r="Q3330" s="118">
        <v>5670</v>
      </c>
      <c r="R3330" s="119"/>
      <c r="S3330" s="118">
        <v>15950</v>
      </c>
      <c r="T3330" s="119"/>
      <c r="U3330" s="118">
        <f t="shared" ref="U3330" si="2656">SUM(K3330:T3331)</f>
        <v>1383420</v>
      </c>
      <c r="V3330" s="122"/>
      <c r="W3330" s="124"/>
      <c r="X3330" s="126" t="s">
        <v>10495</v>
      </c>
      <c r="Y3330" s="127"/>
      <c r="Z3330" s="127"/>
      <c r="AA3330" s="127"/>
      <c r="AB3330" s="128"/>
      <c r="AC3330" s="15" t="s">
        <v>20</v>
      </c>
      <c r="AD3330" s="129" t="s">
        <v>2051</v>
      </c>
      <c r="AE3330" s="130"/>
      <c r="AF3330" s="130"/>
      <c r="AG3330" s="130"/>
      <c r="AH3330" s="130"/>
      <c r="AI3330" s="131"/>
      <c r="AJ3330" s="132"/>
      <c r="AK3330" s="127"/>
      <c r="AL3330" s="128"/>
      <c r="AM3330" s="21" t="s">
        <v>12872</v>
      </c>
      <c r="AN3330" s="133">
        <v>46029</v>
      </c>
      <c r="AO3330" s="134"/>
      <c r="AP3330" s="135">
        <v>999</v>
      </c>
      <c r="AQ3330" s="136"/>
      <c r="AR3330" s="118">
        <v>1260000</v>
      </c>
      <c r="AS3330" s="119"/>
      <c r="AT3330" s="118">
        <f t="shared" ref="AT3330" si="2657">AR3330*0.1</f>
        <v>126000</v>
      </c>
      <c r="AU3330" s="119"/>
      <c r="AV3330" s="118">
        <v>5670</v>
      </c>
      <c r="AW3330" s="119"/>
      <c r="AX3330" s="118">
        <f t="shared" ref="AX3330" si="2658">SUM(AR3330:AW3330)</f>
        <v>1391670</v>
      </c>
      <c r="AY3330" s="119"/>
      <c r="AZ3330" s="137">
        <v>46035</v>
      </c>
    </row>
    <row r="3331" spans="1:52" ht="17.100000000000001" customHeight="1" thickBot="1">
      <c r="A3331" s="110"/>
      <c r="B3331" s="27" t="s">
        <v>2131</v>
      </c>
      <c r="C3331" s="27">
        <v>3255</v>
      </c>
      <c r="D3331" s="14" t="s">
        <v>3327</v>
      </c>
      <c r="E3331" s="112"/>
      <c r="F3331" s="139" t="s">
        <v>10494</v>
      </c>
      <c r="G3331" s="140"/>
      <c r="H3331" s="141"/>
      <c r="I3331" s="26">
        <v>6494</v>
      </c>
      <c r="J3331" s="117"/>
      <c r="K3331" s="120"/>
      <c r="L3331" s="121"/>
      <c r="M3331" s="120"/>
      <c r="N3331" s="121"/>
      <c r="O3331" s="120"/>
      <c r="P3331" s="121"/>
      <c r="Q3331" s="120"/>
      <c r="R3331" s="121"/>
      <c r="S3331" s="120"/>
      <c r="T3331" s="121"/>
      <c r="U3331" s="120"/>
      <c r="V3331" s="123"/>
      <c r="W3331" s="125"/>
      <c r="X3331" s="142" t="s">
        <v>9364</v>
      </c>
      <c r="Y3331" s="143"/>
      <c r="Z3331" s="143"/>
      <c r="AA3331" s="143"/>
      <c r="AB3331" s="144"/>
      <c r="AC3331" s="16" t="s">
        <v>21</v>
      </c>
      <c r="AD3331" s="17" t="s">
        <v>11105</v>
      </c>
      <c r="AE3331" s="145" t="s">
        <v>1742</v>
      </c>
      <c r="AF3331" s="146"/>
      <c r="AG3331" s="146"/>
      <c r="AH3331" s="146"/>
      <c r="AI3331" s="147"/>
      <c r="AJ3331" s="148"/>
      <c r="AK3331" s="143"/>
      <c r="AL3331" s="144"/>
      <c r="AM3331" s="22"/>
      <c r="AN3331" s="149" t="s">
        <v>2794</v>
      </c>
      <c r="AO3331" s="144"/>
      <c r="AP3331" s="148">
        <v>2079</v>
      </c>
      <c r="AQ3331" s="144"/>
      <c r="AR3331" s="120"/>
      <c r="AS3331" s="121"/>
      <c r="AT3331" s="120"/>
      <c r="AU3331" s="121"/>
      <c r="AV3331" s="120"/>
      <c r="AW3331" s="121"/>
      <c r="AX3331" s="120"/>
      <c r="AY3331" s="121"/>
      <c r="AZ3331" s="138"/>
    </row>
    <row r="3332" spans="1:52" ht="17.100000000000001" customHeight="1" thickTop="1">
      <c r="A3332" s="109" t="s">
        <v>10569</v>
      </c>
      <c r="B3332" s="28">
        <v>45972</v>
      </c>
      <c r="C3332" s="25">
        <v>1917</v>
      </c>
      <c r="D3332" s="13" t="s">
        <v>2949</v>
      </c>
      <c r="E3332" s="111"/>
      <c r="F3332" s="113" t="s">
        <v>9530</v>
      </c>
      <c r="G3332" s="114"/>
      <c r="H3332" s="115"/>
      <c r="I3332" s="24" t="s">
        <v>2919</v>
      </c>
      <c r="J3332" s="116">
        <v>4</v>
      </c>
      <c r="K3332" s="118">
        <v>733000</v>
      </c>
      <c r="L3332" s="119"/>
      <c r="M3332" s="118">
        <f t="shared" ref="M3332" si="2659">K3332*0.1</f>
        <v>73300</v>
      </c>
      <c r="N3332" s="119"/>
      <c r="O3332" s="118">
        <v>0</v>
      </c>
      <c r="P3332" s="119"/>
      <c r="Q3332" s="118">
        <v>7150</v>
      </c>
      <c r="R3332" s="119"/>
      <c r="S3332" s="118">
        <v>15950</v>
      </c>
      <c r="T3332" s="119"/>
      <c r="U3332" s="118">
        <f t="shared" ref="U3332" si="2660">SUM(K3332:T3333)</f>
        <v>829400</v>
      </c>
      <c r="V3332" s="122"/>
      <c r="W3332" s="124"/>
      <c r="X3332" s="126" t="s">
        <v>10504</v>
      </c>
      <c r="Y3332" s="127"/>
      <c r="Z3332" s="127"/>
      <c r="AA3332" s="127"/>
      <c r="AB3332" s="128"/>
      <c r="AC3332" s="15" t="s">
        <v>20</v>
      </c>
      <c r="AD3332" s="129"/>
      <c r="AE3332" s="130"/>
      <c r="AF3332" s="130"/>
      <c r="AG3332" s="130"/>
      <c r="AH3332" s="130"/>
      <c r="AI3332" s="131"/>
      <c r="AJ3332" s="132"/>
      <c r="AK3332" s="127"/>
      <c r="AL3332" s="128"/>
      <c r="AM3332" s="21"/>
      <c r="AN3332" s="133">
        <v>45990</v>
      </c>
      <c r="AO3332" s="134"/>
      <c r="AP3332" s="135">
        <v>1278</v>
      </c>
      <c r="AQ3332" s="136"/>
      <c r="AR3332" s="118">
        <v>710000</v>
      </c>
      <c r="AS3332" s="119"/>
      <c r="AT3332" s="118">
        <f t="shared" ref="AT3332" si="2661">AR3332*0.1</f>
        <v>71000</v>
      </c>
      <c r="AU3332" s="119"/>
      <c r="AV3332" s="118">
        <v>7150</v>
      </c>
      <c r="AW3332" s="119"/>
      <c r="AX3332" s="118">
        <f t="shared" ref="AX3332" si="2662">SUM(AR3332:AW3332)</f>
        <v>788150</v>
      </c>
      <c r="AY3332" s="119"/>
      <c r="AZ3332" s="137">
        <v>45994</v>
      </c>
    </row>
    <row r="3333" spans="1:52" ht="17.100000000000001" customHeight="1" thickBot="1">
      <c r="A3333" s="110"/>
      <c r="B3333" s="27" t="s">
        <v>2131</v>
      </c>
      <c r="C3333" s="27">
        <v>3352</v>
      </c>
      <c r="D3333" s="14" t="s">
        <v>1720</v>
      </c>
      <c r="E3333" s="112"/>
      <c r="F3333" s="139" t="s">
        <v>10503</v>
      </c>
      <c r="G3333" s="140"/>
      <c r="H3333" s="141"/>
      <c r="I3333" s="26">
        <v>65114</v>
      </c>
      <c r="J3333" s="117"/>
      <c r="K3333" s="120"/>
      <c r="L3333" s="121"/>
      <c r="M3333" s="120"/>
      <c r="N3333" s="121"/>
      <c r="O3333" s="120"/>
      <c r="P3333" s="121"/>
      <c r="Q3333" s="120"/>
      <c r="R3333" s="121"/>
      <c r="S3333" s="120"/>
      <c r="T3333" s="121"/>
      <c r="U3333" s="120"/>
      <c r="V3333" s="123"/>
      <c r="W3333" s="125"/>
      <c r="X3333" s="142" t="s">
        <v>11196</v>
      </c>
      <c r="Y3333" s="143"/>
      <c r="Z3333" s="143"/>
      <c r="AA3333" s="143"/>
      <c r="AB3333" s="144"/>
      <c r="AC3333" s="16" t="s">
        <v>21</v>
      </c>
      <c r="AD3333" s="17" t="s">
        <v>11105</v>
      </c>
      <c r="AE3333" s="145"/>
      <c r="AF3333" s="146"/>
      <c r="AG3333" s="146"/>
      <c r="AH3333" s="146"/>
      <c r="AI3333" s="147"/>
      <c r="AJ3333" s="148"/>
      <c r="AK3333" s="143"/>
      <c r="AL3333" s="144"/>
      <c r="AM3333" s="22"/>
      <c r="AN3333" s="149" t="s">
        <v>2511</v>
      </c>
      <c r="AO3333" s="144"/>
      <c r="AP3333" s="148">
        <v>60137</v>
      </c>
      <c r="AQ3333" s="144"/>
      <c r="AR3333" s="120"/>
      <c r="AS3333" s="121"/>
      <c r="AT3333" s="120"/>
      <c r="AU3333" s="121"/>
      <c r="AV3333" s="120"/>
      <c r="AW3333" s="121"/>
      <c r="AX3333" s="120"/>
      <c r="AY3333" s="121"/>
      <c r="AZ3333" s="138"/>
    </row>
    <row r="3334" spans="1:52" ht="17.100000000000001" customHeight="1" thickTop="1">
      <c r="A3334" s="109" t="s">
        <v>10570</v>
      </c>
      <c r="B3334" s="28">
        <v>45972</v>
      </c>
      <c r="C3334" s="25">
        <v>1917</v>
      </c>
      <c r="D3334" s="13" t="s">
        <v>3461</v>
      </c>
      <c r="E3334" s="111"/>
      <c r="F3334" s="113" t="s">
        <v>10505</v>
      </c>
      <c r="G3334" s="114"/>
      <c r="H3334" s="115"/>
      <c r="I3334" s="24"/>
      <c r="J3334" s="116">
        <v>4.5</v>
      </c>
      <c r="K3334" s="118">
        <v>1221000</v>
      </c>
      <c r="L3334" s="119"/>
      <c r="M3334" s="118">
        <f t="shared" ref="M3334" si="2663">K3334*0.1</f>
        <v>122100</v>
      </c>
      <c r="N3334" s="119"/>
      <c r="O3334" s="118">
        <v>0</v>
      </c>
      <c r="P3334" s="119"/>
      <c r="Q3334" s="118">
        <v>8130</v>
      </c>
      <c r="R3334" s="119"/>
      <c r="S3334" s="118">
        <v>15950</v>
      </c>
      <c r="T3334" s="119"/>
      <c r="U3334" s="118">
        <f t="shared" ref="U3334" si="2664">SUM(K3334:T3335)</f>
        <v>1367180</v>
      </c>
      <c r="V3334" s="122"/>
      <c r="W3334" s="124"/>
      <c r="X3334" s="126" t="s">
        <v>11195</v>
      </c>
      <c r="Y3334" s="127"/>
      <c r="Z3334" s="127"/>
      <c r="AA3334" s="127"/>
      <c r="AB3334" s="128"/>
      <c r="AC3334" s="15" t="s">
        <v>20</v>
      </c>
      <c r="AD3334" s="129"/>
      <c r="AE3334" s="130"/>
      <c r="AF3334" s="130"/>
      <c r="AG3334" s="130"/>
      <c r="AH3334" s="130"/>
      <c r="AI3334" s="131"/>
      <c r="AJ3334" s="132"/>
      <c r="AK3334" s="127"/>
      <c r="AL3334" s="128"/>
      <c r="AM3334" s="21"/>
      <c r="AN3334" s="133">
        <v>45983</v>
      </c>
      <c r="AO3334" s="134"/>
      <c r="AP3334" s="135">
        <v>1277</v>
      </c>
      <c r="AQ3334" s="136"/>
      <c r="AR3334" s="118">
        <v>1300000</v>
      </c>
      <c r="AS3334" s="119"/>
      <c r="AT3334" s="118">
        <f t="shared" ref="AT3334" si="2665">AR3334*0.1</f>
        <v>130000</v>
      </c>
      <c r="AU3334" s="119"/>
      <c r="AV3334" s="118">
        <v>8130</v>
      </c>
      <c r="AW3334" s="119"/>
      <c r="AX3334" s="118">
        <f t="shared" ref="AX3334" si="2666">SUM(AR3334:AW3334)</f>
        <v>1438130</v>
      </c>
      <c r="AY3334" s="119"/>
      <c r="AZ3334" s="137">
        <v>45987</v>
      </c>
    </row>
    <row r="3335" spans="1:52" ht="17.100000000000001" customHeight="1" thickBot="1">
      <c r="A3335" s="110"/>
      <c r="B3335" s="27" t="s">
        <v>2131</v>
      </c>
      <c r="C3335" s="27">
        <v>3405</v>
      </c>
      <c r="D3335" s="14" t="s">
        <v>2800</v>
      </c>
      <c r="E3335" s="112"/>
      <c r="F3335" s="139" t="s">
        <v>10506</v>
      </c>
      <c r="G3335" s="140"/>
      <c r="H3335" s="141"/>
      <c r="I3335" s="26">
        <v>22754</v>
      </c>
      <c r="J3335" s="117"/>
      <c r="K3335" s="120"/>
      <c r="L3335" s="121"/>
      <c r="M3335" s="120"/>
      <c r="N3335" s="121"/>
      <c r="O3335" s="120"/>
      <c r="P3335" s="121"/>
      <c r="Q3335" s="120"/>
      <c r="R3335" s="121"/>
      <c r="S3335" s="120"/>
      <c r="T3335" s="121"/>
      <c r="U3335" s="120"/>
      <c r="V3335" s="123"/>
      <c r="W3335" s="125"/>
      <c r="X3335" s="142" t="s">
        <v>5250</v>
      </c>
      <c r="Y3335" s="143"/>
      <c r="Z3335" s="143"/>
      <c r="AA3335" s="143"/>
      <c r="AB3335" s="144"/>
      <c r="AC3335" s="16" t="s">
        <v>21</v>
      </c>
      <c r="AD3335" s="17" t="s">
        <v>11105</v>
      </c>
      <c r="AE3335" s="145" t="s">
        <v>2195</v>
      </c>
      <c r="AF3335" s="146"/>
      <c r="AG3335" s="146"/>
      <c r="AH3335" s="146"/>
      <c r="AI3335" s="147"/>
      <c r="AJ3335" s="148"/>
      <c r="AK3335" s="143"/>
      <c r="AL3335" s="144"/>
      <c r="AM3335" s="22"/>
      <c r="AN3335" s="149" t="s">
        <v>2511</v>
      </c>
      <c r="AO3335" s="144"/>
      <c r="AP3335" s="148">
        <v>60056</v>
      </c>
      <c r="AQ3335" s="144"/>
      <c r="AR3335" s="120"/>
      <c r="AS3335" s="121"/>
      <c r="AT3335" s="120"/>
      <c r="AU3335" s="121"/>
      <c r="AV3335" s="120"/>
      <c r="AW3335" s="121"/>
      <c r="AX3335" s="120"/>
      <c r="AY3335" s="121"/>
      <c r="AZ3335" s="138"/>
    </row>
    <row r="3336" spans="1:52" ht="17.100000000000001" customHeight="1" thickTop="1">
      <c r="A3336" s="109" t="s">
        <v>10571</v>
      </c>
      <c r="B3336" s="28">
        <v>45972</v>
      </c>
      <c r="C3336" s="25">
        <v>1917</v>
      </c>
      <c r="D3336" s="13" t="s">
        <v>2759</v>
      </c>
      <c r="E3336" s="111"/>
      <c r="F3336" s="113" t="s">
        <v>10360</v>
      </c>
      <c r="G3336" s="114"/>
      <c r="H3336" s="115"/>
      <c r="I3336" s="24"/>
      <c r="J3336" s="116">
        <v>5</v>
      </c>
      <c r="K3336" s="118">
        <v>1182000</v>
      </c>
      <c r="L3336" s="119"/>
      <c r="M3336" s="118">
        <f t="shared" ref="M3336" si="2667">K3336*0.1</f>
        <v>118200</v>
      </c>
      <c r="N3336" s="119"/>
      <c r="O3336" s="118">
        <v>0</v>
      </c>
      <c r="P3336" s="119"/>
      <c r="Q3336" s="118">
        <v>12470</v>
      </c>
      <c r="R3336" s="119"/>
      <c r="S3336" s="118">
        <v>15950</v>
      </c>
      <c r="T3336" s="119"/>
      <c r="U3336" s="118">
        <f t="shared" ref="U3336" si="2668">SUM(K3336:T3337)</f>
        <v>1328620</v>
      </c>
      <c r="V3336" s="122"/>
      <c r="W3336" s="124"/>
      <c r="X3336" s="126" t="s">
        <v>11216</v>
      </c>
      <c r="Y3336" s="127"/>
      <c r="Z3336" s="127"/>
      <c r="AA3336" s="127"/>
      <c r="AB3336" s="128"/>
      <c r="AC3336" s="15" t="s">
        <v>20</v>
      </c>
      <c r="AD3336" s="129" t="s">
        <v>1670</v>
      </c>
      <c r="AE3336" s="130"/>
      <c r="AF3336" s="130"/>
      <c r="AG3336" s="130"/>
      <c r="AH3336" s="130"/>
      <c r="AI3336" s="131"/>
      <c r="AJ3336" s="132"/>
      <c r="AK3336" s="127"/>
      <c r="AL3336" s="128"/>
      <c r="AM3336" s="21"/>
      <c r="AN3336" s="133">
        <v>45990</v>
      </c>
      <c r="AO3336" s="134"/>
      <c r="AP3336" s="135">
        <v>1278</v>
      </c>
      <c r="AQ3336" s="136"/>
      <c r="AR3336" s="118">
        <v>1305000</v>
      </c>
      <c r="AS3336" s="119"/>
      <c r="AT3336" s="118">
        <f t="shared" ref="AT3336" si="2669">AR3336*0.1</f>
        <v>130500</v>
      </c>
      <c r="AU3336" s="119"/>
      <c r="AV3336" s="118">
        <v>12470</v>
      </c>
      <c r="AW3336" s="119"/>
      <c r="AX3336" s="118">
        <f t="shared" ref="AX3336" si="2670">SUM(AR3336:AW3336)</f>
        <v>1447970</v>
      </c>
      <c r="AY3336" s="119"/>
      <c r="AZ3336" s="137">
        <v>45994</v>
      </c>
    </row>
    <row r="3337" spans="1:52" ht="17.100000000000001" customHeight="1" thickBot="1">
      <c r="A3337" s="110"/>
      <c r="B3337" s="27" t="s">
        <v>2131</v>
      </c>
      <c r="C3337" s="27">
        <v>5001</v>
      </c>
      <c r="D3337" s="14" t="s">
        <v>2206</v>
      </c>
      <c r="E3337" s="112"/>
      <c r="F3337" s="139" t="s">
        <v>10543</v>
      </c>
      <c r="G3337" s="140"/>
      <c r="H3337" s="141"/>
      <c r="I3337" s="26">
        <v>16378</v>
      </c>
      <c r="J3337" s="117"/>
      <c r="K3337" s="120"/>
      <c r="L3337" s="121"/>
      <c r="M3337" s="120"/>
      <c r="N3337" s="121"/>
      <c r="O3337" s="120"/>
      <c r="P3337" s="121"/>
      <c r="Q3337" s="120"/>
      <c r="R3337" s="121"/>
      <c r="S3337" s="120"/>
      <c r="T3337" s="121"/>
      <c r="U3337" s="120"/>
      <c r="V3337" s="123"/>
      <c r="W3337" s="125"/>
      <c r="X3337" s="142" t="s">
        <v>5250</v>
      </c>
      <c r="Y3337" s="143"/>
      <c r="Z3337" s="143"/>
      <c r="AA3337" s="143"/>
      <c r="AB3337" s="144"/>
      <c r="AC3337" s="16" t="s">
        <v>21</v>
      </c>
      <c r="AD3337" s="17" t="s">
        <v>11105</v>
      </c>
      <c r="AE3337" s="145" t="s">
        <v>11217</v>
      </c>
      <c r="AF3337" s="146"/>
      <c r="AG3337" s="146"/>
      <c r="AH3337" s="146"/>
      <c r="AI3337" s="147"/>
      <c r="AJ3337" s="148"/>
      <c r="AK3337" s="143"/>
      <c r="AL3337" s="144"/>
      <c r="AM3337" s="22"/>
      <c r="AN3337" s="149" t="s">
        <v>2511</v>
      </c>
      <c r="AO3337" s="144"/>
      <c r="AP3337" s="148">
        <v>80283</v>
      </c>
      <c r="AQ3337" s="144"/>
      <c r="AR3337" s="120"/>
      <c r="AS3337" s="121"/>
      <c r="AT3337" s="120"/>
      <c r="AU3337" s="121"/>
      <c r="AV3337" s="120"/>
      <c r="AW3337" s="121"/>
      <c r="AX3337" s="120"/>
      <c r="AY3337" s="121"/>
      <c r="AZ3337" s="138"/>
    </row>
    <row r="3338" spans="1:52" ht="17.100000000000001" customHeight="1" thickTop="1">
      <c r="A3338" s="109" t="s">
        <v>10572</v>
      </c>
      <c r="B3338" s="28">
        <v>45972</v>
      </c>
      <c r="C3338" s="25">
        <v>1917</v>
      </c>
      <c r="D3338" s="13" t="s">
        <v>3386</v>
      </c>
      <c r="E3338" s="111"/>
      <c r="F3338" s="113" t="s">
        <v>4980</v>
      </c>
      <c r="G3338" s="114"/>
      <c r="H3338" s="115"/>
      <c r="I3338" s="24"/>
      <c r="J3338" s="116">
        <v>4</v>
      </c>
      <c r="K3338" s="118">
        <v>964000</v>
      </c>
      <c r="L3338" s="119"/>
      <c r="M3338" s="118">
        <f t="shared" ref="M3338" si="2671">K3338*0.1</f>
        <v>96400</v>
      </c>
      <c r="N3338" s="119"/>
      <c r="O3338" s="118">
        <v>0</v>
      </c>
      <c r="P3338" s="119"/>
      <c r="Q3338" s="118">
        <v>7440</v>
      </c>
      <c r="R3338" s="119"/>
      <c r="S3338" s="118">
        <v>15950</v>
      </c>
      <c r="T3338" s="119"/>
      <c r="U3338" s="118">
        <f t="shared" ref="U3338" si="2672">SUM(K3338:T3339)</f>
        <v>1083790</v>
      </c>
      <c r="V3338" s="122"/>
      <c r="W3338" s="124"/>
      <c r="X3338" s="126" t="s">
        <v>11172</v>
      </c>
      <c r="Y3338" s="127"/>
      <c r="Z3338" s="127"/>
      <c r="AA3338" s="127"/>
      <c r="AB3338" s="128"/>
      <c r="AC3338" s="15" t="s">
        <v>20</v>
      </c>
      <c r="AD3338" s="129"/>
      <c r="AE3338" s="130"/>
      <c r="AF3338" s="130"/>
      <c r="AG3338" s="130"/>
      <c r="AH3338" s="130"/>
      <c r="AI3338" s="131"/>
      <c r="AJ3338" s="132"/>
      <c r="AK3338" s="127"/>
      <c r="AL3338" s="128"/>
      <c r="AM3338" s="21"/>
      <c r="AN3338" s="133">
        <v>46011</v>
      </c>
      <c r="AO3338" s="134"/>
      <c r="AP3338" s="135">
        <v>1281</v>
      </c>
      <c r="AQ3338" s="136"/>
      <c r="AR3338" s="118">
        <v>1040000</v>
      </c>
      <c r="AS3338" s="119"/>
      <c r="AT3338" s="118">
        <f t="shared" ref="AT3338" si="2673">AR3338*0.1</f>
        <v>104000</v>
      </c>
      <c r="AU3338" s="119"/>
      <c r="AV3338" s="118">
        <v>7440</v>
      </c>
      <c r="AW3338" s="119"/>
      <c r="AX3338" s="118">
        <f t="shared" ref="AX3338" si="2674">SUM(AR3338:AW3338)</f>
        <v>1151440</v>
      </c>
      <c r="AY3338" s="119"/>
      <c r="AZ3338" s="137">
        <v>46014</v>
      </c>
    </row>
    <row r="3339" spans="1:52" ht="17.100000000000001" customHeight="1" thickBot="1">
      <c r="A3339" s="110"/>
      <c r="B3339" s="27" t="s">
        <v>2131</v>
      </c>
      <c r="C3339" s="27">
        <v>62012</v>
      </c>
      <c r="D3339" s="14" t="s">
        <v>1592</v>
      </c>
      <c r="E3339" s="112"/>
      <c r="F3339" s="139" t="s">
        <v>10556</v>
      </c>
      <c r="G3339" s="140"/>
      <c r="H3339" s="141"/>
      <c r="I3339" s="26">
        <v>27897</v>
      </c>
      <c r="J3339" s="117"/>
      <c r="K3339" s="120"/>
      <c r="L3339" s="121"/>
      <c r="M3339" s="120"/>
      <c r="N3339" s="121"/>
      <c r="O3339" s="120"/>
      <c r="P3339" s="121"/>
      <c r="Q3339" s="120"/>
      <c r="R3339" s="121"/>
      <c r="S3339" s="120"/>
      <c r="T3339" s="121"/>
      <c r="U3339" s="120"/>
      <c r="V3339" s="123"/>
      <c r="W3339" s="125"/>
      <c r="X3339" s="142" t="s">
        <v>11158</v>
      </c>
      <c r="Y3339" s="143"/>
      <c r="Z3339" s="143"/>
      <c r="AA3339" s="143"/>
      <c r="AB3339" s="144"/>
      <c r="AC3339" s="16" t="s">
        <v>21</v>
      </c>
      <c r="AD3339" s="17" t="s">
        <v>11105</v>
      </c>
      <c r="AE3339" s="145" t="s">
        <v>11026</v>
      </c>
      <c r="AF3339" s="146"/>
      <c r="AG3339" s="146"/>
      <c r="AH3339" s="146"/>
      <c r="AI3339" s="147"/>
      <c r="AJ3339" s="148"/>
      <c r="AK3339" s="143"/>
      <c r="AL3339" s="144"/>
      <c r="AM3339" s="22"/>
      <c r="AN3339" s="149" t="s">
        <v>2511</v>
      </c>
      <c r="AO3339" s="144"/>
      <c r="AP3339" s="148">
        <v>41071</v>
      </c>
      <c r="AQ3339" s="144"/>
      <c r="AR3339" s="120"/>
      <c r="AS3339" s="121"/>
      <c r="AT3339" s="120"/>
      <c r="AU3339" s="121"/>
      <c r="AV3339" s="120"/>
      <c r="AW3339" s="121"/>
      <c r="AX3339" s="120"/>
      <c r="AY3339" s="121"/>
      <c r="AZ3339" s="138"/>
    </row>
    <row r="3340" spans="1:52" ht="17.100000000000001" customHeight="1" thickTop="1">
      <c r="A3340" s="109" t="s">
        <v>10573</v>
      </c>
      <c r="B3340" s="28">
        <v>45972</v>
      </c>
      <c r="C3340" s="25">
        <v>1917</v>
      </c>
      <c r="D3340" s="13" t="s">
        <v>2681</v>
      </c>
      <c r="E3340" s="111"/>
      <c r="F3340" s="113" t="s">
        <v>4980</v>
      </c>
      <c r="G3340" s="114"/>
      <c r="H3340" s="115"/>
      <c r="I3340" s="24"/>
      <c r="J3340" s="116">
        <v>4.5</v>
      </c>
      <c r="K3340" s="118">
        <v>1000000</v>
      </c>
      <c r="L3340" s="119"/>
      <c r="M3340" s="118">
        <f t="shared" ref="M3340" si="2675">K3340*0.1</f>
        <v>100000</v>
      </c>
      <c r="N3340" s="119"/>
      <c r="O3340" s="118">
        <v>0</v>
      </c>
      <c r="P3340" s="119"/>
      <c r="Q3340" s="118">
        <v>7440</v>
      </c>
      <c r="R3340" s="119"/>
      <c r="S3340" s="118">
        <v>15950</v>
      </c>
      <c r="T3340" s="119"/>
      <c r="U3340" s="118">
        <f t="shared" ref="U3340" si="2676">SUM(K3340:T3341)</f>
        <v>1123390</v>
      </c>
      <c r="V3340" s="122"/>
      <c r="W3340" s="124"/>
      <c r="X3340" s="126" t="s">
        <v>11157</v>
      </c>
      <c r="Y3340" s="127"/>
      <c r="Z3340" s="127"/>
      <c r="AA3340" s="127"/>
      <c r="AB3340" s="128"/>
      <c r="AC3340" s="15" t="s">
        <v>20</v>
      </c>
      <c r="AD3340" s="129"/>
      <c r="AE3340" s="130"/>
      <c r="AF3340" s="130"/>
      <c r="AG3340" s="130"/>
      <c r="AH3340" s="130"/>
      <c r="AI3340" s="131"/>
      <c r="AJ3340" s="132"/>
      <c r="AK3340" s="127"/>
      <c r="AL3340" s="128"/>
      <c r="AM3340" s="21"/>
      <c r="AN3340" s="133">
        <v>45976</v>
      </c>
      <c r="AO3340" s="134"/>
      <c r="AP3340" s="135">
        <v>1276</v>
      </c>
      <c r="AQ3340" s="136"/>
      <c r="AR3340" s="118">
        <v>1150000</v>
      </c>
      <c r="AS3340" s="119"/>
      <c r="AT3340" s="118">
        <f t="shared" ref="AT3340" si="2677">AR3340*0.1</f>
        <v>115000</v>
      </c>
      <c r="AU3340" s="119"/>
      <c r="AV3340" s="118">
        <v>7440</v>
      </c>
      <c r="AW3340" s="119"/>
      <c r="AX3340" s="118">
        <f t="shared" ref="AX3340" si="2678">SUM(AR3340:AW3340)</f>
        <v>1272440</v>
      </c>
      <c r="AY3340" s="119"/>
      <c r="AZ3340" s="137">
        <v>45986</v>
      </c>
    </row>
    <row r="3341" spans="1:52" ht="17.100000000000001" customHeight="1" thickBot="1">
      <c r="A3341" s="110"/>
      <c r="B3341" s="27" t="s">
        <v>2131</v>
      </c>
      <c r="C3341" s="27">
        <v>62083</v>
      </c>
      <c r="D3341" s="14" t="s">
        <v>1592</v>
      </c>
      <c r="E3341" s="112"/>
      <c r="F3341" s="139" t="s">
        <v>10566</v>
      </c>
      <c r="G3341" s="140"/>
      <c r="H3341" s="141"/>
      <c r="I3341" s="26">
        <v>39599</v>
      </c>
      <c r="J3341" s="117"/>
      <c r="K3341" s="120"/>
      <c r="L3341" s="121"/>
      <c r="M3341" s="120"/>
      <c r="N3341" s="121"/>
      <c r="O3341" s="120"/>
      <c r="P3341" s="121"/>
      <c r="Q3341" s="120"/>
      <c r="R3341" s="121"/>
      <c r="S3341" s="120"/>
      <c r="T3341" s="121"/>
      <c r="U3341" s="120"/>
      <c r="V3341" s="123"/>
      <c r="W3341" s="125"/>
      <c r="X3341" s="142" t="s">
        <v>11158</v>
      </c>
      <c r="Y3341" s="143"/>
      <c r="Z3341" s="143"/>
      <c r="AA3341" s="143"/>
      <c r="AB3341" s="144"/>
      <c r="AC3341" s="16" t="s">
        <v>21</v>
      </c>
      <c r="AD3341" s="17" t="s">
        <v>11105</v>
      </c>
      <c r="AE3341" s="145"/>
      <c r="AF3341" s="146"/>
      <c r="AG3341" s="146"/>
      <c r="AH3341" s="146"/>
      <c r="AI3341" s="147"/>
      <c r="AJ3341" s="148"/>
      <c r="AK3341" s="143"/>
      <c r="AL3341" s="144"/>
      <c r="AM3341" s="22"/>
      <c r="AN3341" s="149" t="s">
        <v>11058</v>
      </c>
      <c r="AO3341" s="144"/>
      <c r="AP3341" s="148">
        <v>41061</v>
      </c>
      <c r="AQ3341" s="144"/>
      <c r="AR3341" s="120"/>
      <c r="AS3341" s="121"/>
      <c r="AT3341" s="120"/>
      <c r="AU3341" s="121"/>
      <c r="AV3341" s="120"/>
      <c r="AW3341" s="121"/>
      <c r="AX3341" s="120"/>
      <c r="AY3341" s="121"/>
      <c r="AZ3341" s="138"/>
    </row>
    <row r="3342" spans="1:52" ht="17.100000000000001" customHeight="1" thickTop="1">
      <c r="A3342" s="109" t="s">
        <v>10574</v>
      </c>
      <c r="B3342" s="28">
        <v>45972</v>
      </c>
      <c r="C3342" s="25">
        <v>795</v>
      </c>
      <c r="D3342" s="13" t="s">
        <v>1971</v>
      </c>
      <c r="E3342" s="111"/>
      <c r="F3342" s="113" t="s">
        <v>9828</v>
      </c>
      <c r="G3342" s="114"/>
      <c r="H3342" s="115"/>
      <c r="I3342" s="24" t="s">
        <v>2577</v>
      </c>
      <c r="J3342" s="116">
        <v>5</v>
      </c>
      <c r="K3342" s="118">
        <v>1371000</v>
      </c>
      <c r="L3342" s="119"/>
      <c r="M3342" s="118">
        <f t="shared" ref="M3342" si="2679">K3342*0.1</f>
        <v>137100</v>
      </c>
      <c r="N3342" s="119"/>
      <c r="O3342" s="118">
        <v>0</v>
      </c>
      <c r="P3342" s="119"/>
      <c r="Q3342" s="118">
        <v>11100</v>
      </c>
      <c r="R3342" s="119"/>
      <c r="S3342" s="118">
        <v>15950</v>
      </c>
      <c r="T3342" s="119"/>
      <c r="U3342" s="118">
        <f t="shared" ref="U3342" si="2680">SUM(K3342:T3343)</f>
        <v>1535150</v>
      </c>
      <c r="V3342" s="122"/>
      <c r="W3342" s="124"/>
      <c r="X3342" s="126" t="s">
        <v>10497</v>
      </c>
      <c r="Y3342" s="127"/>
      <c r="Z3342" s="127"/>
      <c r="AA3342" s="127"/>
      <c r="AB3342" s="128"/>
      <c r="AC3342" s="15" t="s">
        <v>20</v>
      </c>
      <c r="AD3342" s="129" t="s">
        <v>4622</v>
      </c>
      <c r="AE3342" s="130"/>
      <c r="AF3342" s="130"/>
      <c r="AG3342" s="130"/>
      <c r="AH3342" s="130"/>
      <c r="AI3342" s="131"/>
      <c r="AJ3342" s="132"/>
      <c r="AK3342" s="127"/>
      <c r="AL3342" s="128"/>
      <c r="AM3342" s="21"/>
      <c r="AN3342" s="133">
        <v>45976</v>
      </c>
      <c r="AO3342" s="134"/>
      <c r="AP3342" s="135">
        <v>1276</v>
      </c>
      <c r="AQ3342" s="136"/>
      <c r="AR3342" s="118">
        <v>1415000</v>
      </c>
      <c r="AS3342" s="119"/>
      <c r="AT3342" s="118">
        <f t="shared" ref="AT3342" si="2681">AR3342*0.1</f>
        <v>141500</v>
      </c>
      <c r="AU3342" s="119"/>
      <c r="AV3342" s="118">
        <v>11100</v>
      </c>
      <c r="AW3342" s="119"/>
      <c r="AX3342" s="118">
        <f t="shared" ref="AX3342" si="2682">SUM(AR3342:AW3342)</f>
        <v>1567600</v>
      </c>
      <c r="AY3342" s="119"/>
      <c r="AZ3342" s="137">
        <v>45986</v>
      </c>
    </row>
    <row r="3343" spans="1:52" ht="17.100000000000001" customHeight="1" thickBot="1">
      <c r="A3343" s="110"/>
      <c r="B3343" s="27" t="s">
        <v>3367</v>
      </c>
      <c r="C3343" s="27">
        <v>3057</v>
      </c>
      <c r="D3343" s="14" t="s">
        <v>2601</v>
      </c>
      <c r="E3343" s="112"/>
      <c r="F3343" s="139" t="s">
        <v>10496</v>
      </c>
      <c r="G3343" s="140"/>
      <c r="H3343" s="141"/>
      <c r="I3343" s="26">
        <v>12980</v>
      </c>
      <c r="J3343" s="117"/>
      <c r="K3343" s="120"/>
      <c r="L3343" s="121"/>
      <c r="M3343" s="120"/>
      <c r="N3343" s="121"/>
      <c r="O3343" s="120"/>
      <c r="P3343" s="121"/>
      <c r="Q3343" s="120"/>
      <c r="R3343" s="121"/>
      <c r="S3343" s="120"/>
      <c r="T3343" s="121"/>
      <c r="U3343" s="120"/>
      <c r="V3343" s="123"/>
      <c r="W3343" s="125"/>
      <c r="X3343" s="142" t="s">
        <v>2057</v>
      </c>
      <c r="Y3343" s="143"/>
      <c r="Z3343" s="143"/>
      <c r="AA3343" s="143"/>
      <c r="AB3343" s="144"/>
      <c r="AC3343" s="16" t="s">
        <v>21</v>
      </c>
      <c r="AD3343" s="17" t="s">
        <v>11105</v>
      </c>
      <c r="AE3343" s="145" t="s">
        <v>3641</v>
      </c>
      <c r="AF3343" s="146"/>
      <c r="AG3343" s="146"/>
      <c r="AH3343" s="146"/>
      <c r="AI3343" s="147"/>
      <c r="AJ3343" s="148"/>
      <c r="AK3343" s="143"/>
      <c r="AL3343" s="144"/>
      <c r="AM3343" s="22"/>
      <c r="AN3343" s="149" t="s">
        <v>10999</v>
      </c>
      <c r="AO3343" s="144"/>
      <c r="AP3343" s="148">
        <v>60471</v>
      </c>
      <c r="AQ3343" s="144"/>
      <c r="AR3343" s="120"/>
      <c r="AS3343" s="121"/>
      <c r="AT3343" s="120"/>
      <c r="AU3343" s="121"/>
      <c r="AV3343" s="120"/>
      <c r="AW3343" s="121"/>
      <c r="AX3343" s="120"/>
      <c r="AY3343" s="121"/>
      <c r="AZ3343" s="138"/>
    </row>
    <row r="3344" spans="1:52" ht="17.100000000000001" customHeight="1" thickTop="1">
      <c r="A3344" s="109" t="s">
        <v>10575</v>
      </c>
      <c r="B3344" s="28">
        <v>45972</v>
      </c>
      <c r="C3344" s="25">
        <v>795</v>
      </c>
      <c r="D3344" s="13" t="s">
        <v>3749</v>
      </c>
      <c r="E3344" s="111"/>
      <c r="F3344" s="113" t="s">
        <v>1871</v>
      </c>
      <c r="G3344" s="114"/>
      <c r="H3344" s="115"/>
      <c r="I3344" s="24"/>
      <c r="J3344" s="116">
        <v>4</v>
      </c>
      <c r="K3344" s="118">
        <v>482000</v>
      </c>
      <c r="L3344" s="119"/>
      <c r="M3344" s="118">
        <f t="shared" ref="M3344" si="2683">K3344*0.1</f>
        <v>48200</v>
      </c>
      <c r="N3344" s="119"/>
      <c r="O3344" s="118">
        <v>0</v>
      </c>
      <c r="P3344" s="119"/>
      <c r="Q3344" s="118">
        <v>17700</v>
      </c>
      <c r="R3344" s="119"/>
      <c r="S3344" s="118">
        <v>15950</v>
      </c>
      <c r="T3344" s="119"/>
      <c r="U3344" s="118">
        <f t="shared" ref="U3344" si="2684">SUM(K3344:T3345)</f>
        <v>563850</v>
      </c>
      <c r="V3344" s="122"/>
      <c r="W3344" s="124"/>
      <c r="X3344" s="126" t="s">
        <v>11159</v>
      </c>
      <c r="Y3344" s="127"/>
      <c r="Z3344" s="127"/>
      <c r="AA3344" s="127"/>
      <c r="AB3344" s="128"/>
      <c r="AC3344" s="15" t="s">
        <v>20</v>
      </c>
      <c r="AD3344" s="129"/>
      <c r="AE3344" s="130"/>
      <c r="AF3344" s="130"/>
      <c r="AG3344" s="130"/>
      <c r="AH3344" s="130"/>
      <c r="AI3344" s="131"/>
      <c r="AJ3344" s="132"/>
      <c r="AK3344" s="127"/>
      <c r="AL3344" s="128"/>
      <c r="AM3344" s="21"/>
      <c r="AN3344" s="133">
        <v>45976</v>
      </c>
      <c r="AO3344" s="134"/>
      <c r="AP3344" s="135">
        <v>1276</v>
      </c>
      <c r="AQ3344" s="136"/>
      <c r="AR3344" s="118">
        <v>600000</v>
      </c>
      <c r="AS3344" s="119"/>
      <c r="AT3344" s="118">
        <f t="shared" ref="AT3344" si="2685">AR3344*0.1</f>
        <v>60000</v>
      </c>
      <c r="AU3344" s="119"/>
      <c r="AV3344" s="118">
        <v>17700</v>
      </c>
      <c r="AW3344" s="119"/>
      <c r="AX3344" s="118">
        <f t="shared" ref="AX3344" si="2686">SUM(AR3344:AW3344)</f>
        <v>677700</v>
      </c>
      <c r="AY3344" s="119"/>
      <c r="AZ3344" s="137">
        <v>45986</v>
      </c>
    </row>
    <row r="3345" spans="1:52" ht="17.100000000000001" customHeight="1" thickBot="1">
      <c r="A3345" s="110"/>
      <c r="B3345" s="27" t="s">
        <v>3367</v>
      </c>
      <c r="C3345" s="27">
        <v>5001</v>
      </c>
      <c r="D3345" s="14" t="s">
        <v>2800</v>
      </c>
      <c r="E3345" s="112"/>
      <c r="F3345" s="139" t="s">
        <v>10546</v>
      </c>
      <c r="G3345" s="140"/>
      <c r="H3345" s="141"/>
      <c r="I3345" s="26">
        <v>67318</v>
      </c>
      <c r="J3345" s="117"/>
      <c r="K3345" s="120"/>
      <c r="L3345" s="121"/>
      <c r="M3345" s="120"/>
      <c r="N3345" s="121"/>
      <c r="O3345" s="120"/>
      <c r="P3345" s="121"/>
      <c r="Q3345" s="120"/>
      <c r="R3345" s="121"/>
      <c r="S3345" s="120"/>
      <c r="T3345" s="121"/>
      <c r="U3345" s="120"/>
      <c r="V3345" s="123"/>
      <c r="W3345" s="125"/>
      <c r="X3345" s="142" t="s">
        <v>11160</v>
      </c>
      <c r="Y3345" s="143"/>
      <c r="Z3345" s="143"/>
      <c r="AA3345" s="143"/>
      <c r="AB3345" s="144"/>
      <c r="AC3345" s="16" t="s">
        <v>21</v>
      </c>
      <c r="AD3345" s="17" t="s">
        <v>11105</v>
      </c>
      <c r="AE3345" s="145" t="s">
        <v>3859</v>
      </c>
      <c r="AF3345" s="146"/>
      <c r="AG3345" s="146"/>
      <c r="AH3345" s="146"/>
      <c r="AI3345" s="147"/>
      <c r="AJ3345" s="148"/>
      <c r="AK3345" s="143"/>
      <c r="AL3345" s="144"/>
      <c r="AM3345" s="22"/>
      <c r="AN3345" s="149" t="s">
        <v>11059</v>
      </c>
      <c r="AO3345" s="144"/>
      <c r="AP3345" s="148">
        <v>80314</v>
      </c>
      <c r="AQ3345" s="144"/>
      <c r="AR3345" s="120"/>
      <c r="AS3345" s="121"/>
      <c r="AT3345" s="120"/>
      <c r="AU3345" s="121"/>
      <c r="AV3345" s="120"/>
      <c r="AW3345" s="121"/>
      <c r="AX3345" s="120"/>
      <c r="AY3345" s="121"/>
      <c r="AZ3345" s="138"/>
    </row>
    <row r="3346" spans="1:52" ht="17.100000000000001" customHeight="1" thickTop="1">
      <c r="A3346" s="109" t="s">
        <v>10576</v>
      </c>
      <c r="B3346" s="28">
        <v>45972</v>
      </c>
      <c r="C3346" s="25">
        <v>795</v>
      </c>
      <c r="D3346" s="13" t="s">
        <v>1714</v>
      </c>
      <c r="E3346" s="111"/>
      <c r="F3346" s="113" t="s">
        <v>10507</v>
      </c>
      <c r="G3346" s="114"/>
      <c r="H3346" s="115"/>
      <c r="I3346" s="24"/>
      <c r="J3346" s="116">
        <v>4</v>
      </c>
      <c r="K3346" s="118">
        <v>2040000</v>
      </c>
      <c r="L3346" s="119"/>
      <c r="M3346" s="118">
        <f t="shared" ref="M3346" si="2687">K3346*0.1</f>
        <v>204000</v>
      </c>
      <c r="N3346" s="119"/>
      <c r="O3346" s="118">
        <v>0</v>
      </c>
      <c r="P3346" s="119"/>
      <c r="Q3346" s="118">
        <v>20580</v>
      </c>
      <c r="R3346" s="119"/>
      <c r="S3346" s="118">
        <v>15950</v>
      </c>
      <c r="T3346" s="119"/>
      <c r="U3346" s="118">
        <f t="shared" ref="U3346" si="2688">SUM(K3346:T3347)</f>
        <v>2280530</v>
      </c>
      <c r="V3346" s="122"/>
      <c r="W3346" s="124"/>
      <c r="X3346" s="126" t="s">
        <v>11215</v>
      </c>
      <c r="Y3346" s="127"/>
      <c r="Z3346" s="127"/>
      <c r="AA3346" s="127"/>
      <c r="AB3346" s="128"/>
      <c r="AC3346" s="15" t="s">
        <v>20</v>
      </c>
      <c r="AD3346" s="129"/>
      <c r="AE3346" s="130"/>
      <c r="AF3346" s="130"/>
      <c r="AG3346" s="130"/>
      <c r="AH3346" s="130"/>
      <c r="AI3346" s="131"/>
      <c r="AJ3346" s="132"/>
      <c r="AK3346" s="127"/>
      <c r="AL3346" s="128"/>
      <c r="AM3346" s="21"/>
      <c r="AN3346" s="133">
        <v>45983</v>
      </c>
      <c r="AO3346" s="134"/>
      <c r="AP3346" s="135">
        <v>1277</v>
      </c>
      <c r="AQ3346" s="136"/>
      <c r="AR3346" s="118">
        <v>2235000</v>
      </c>
      <c r="AS3346" s="119"/>
      <c r="AT3346" s="118">
        <f t="shared" ref="AT3346" si="2689">AR3346*0.1</f>
        <v>223500</v>
      </c>
      <c r="AU3346" s="119"/>
      <c r="AV3346" s="118">
        <v>20580</v>
      </c>
      <c r="AW3346" s="119"/>
      <c r="AX3346" s="118">
        <f t="shared" ref="AX3346" si="2690">SUM(AR3346:AW3346)</f>
        <v>2479080</v>
      </c>
      <c r="AY3346" s="119"/>
      <c r="AZ3346" s="137">
        <v>45987</v>
      </c>
    </row>
    <row r="3347" spans="1:52" ht="17.100000000000001" customHeight="1" thickBot="1">
      <c r="A3347" s="110"/>
      <c r="B3347" s="27" t="s">
        <v>3367</v>
      </c>
      <c r="C3347" s="27">
        <v>71101</v>
      </c>
      <c r="D3347" s="14" t="s">
        <v>1592</v>
      </c>
      <c r="E3347" s="112"/>
      <c r="F3347" s="139" t="s">
        <v>10508</v>
      </c>
      <c r="G3347" s="140"/>
      <c r="H3347" s="141"/>
      <c r="I3347" s="26">
        <v>22745</v>
      </c>
      <c r="J3347" s="117"/>
      <c r="K3347" s="120"/>
      <c r="L3347" s="121"/>
      <c r="M3347" s="120"/>
      <c r="N3347" s="121"/>
      <c r="O3347" s="120"/>
      <c r="P3347" s="121"/>
      <c r="Q3347" s="120"/>
      <c r="R3347" s="121"/>
      <c r="S3347" s="120"/>
      <c r="T3347" s="121"/>
      <c r="U3347" s="120"/>
      <c r="V3347" s="123"/>
      <c r="W3347" s="125"/>
      <c r="X3347" s="142" t="s">
        <v>8693</v>
      </c>
      <c r="Y3347" s="143"/>
      <c r="Z3347" s="143"/>
      <c r="AA3347" s="143"/>
      <c r="AB3347" s="144"/>
      <c r="AC3347" s="16" t="s">
        <v>21</v>
      </c>
      <c r="AD3347" s="17" t="s">
        <v>11105</v>
      </c>
      <c r="AE3347" s="145" t="s">
        <v>11025</v>
      </c>
      <c r="AF3347" s="146"/>
      <c r="AG3347" s="146"/>
      <c r="AH3347" s="146"/>
      <c r="AI3347" s="147"/>
      <c r="AJ3347" s="148"/>
      <c r="AK3347" s="143"/>
      <c r="AL3347" s="144"/>
      <c r="AM3347" s="22"/>
      <c r="AN3347" s="149" t="s">
        <v>7284</v>
      </c>
      <c r="AO3347" s="144"/>
      <c r="AP3347" s="148">
        <v>80007</v>
      </c>
      <c r="AQ3347" s="144"/>
      <c r="AR3347" s="120"/>
      <c r="AS3347" s="121"/>
      <c r="AT3347" s="120"/>
      <c r="AU3347" s="121"/>
      <c r="AV3347" s="120"/>
      <c r="AW3347" s="121"/>
      <c r="AX3347" s="120"/>
      <c r="AY3347" s="121"/>
      <c r="AZ3347" s="138"/>
    </row>
    <row r="3348" spans="1:52" ht="17.100000000000001" customHeight="1" thickTop="1">
      <c r="A3348" s="109" t="s">
        <v>10577</v>
      </c>
      <c r="B3348" s="28">
        <v>45972</v>
      </c>
      <c r="C3348" s="25">
        <v>915</v>
      </c>
      <c r="D3348" s="13" t="s">
        <v>10509</v>
      </c>
      <c r="E3348" s="111"/>
      <c r="F3348" s="113" t="s">
        <v>4603</v>
      </c>
      <c r="G3348" s="114"/>
      <c r="H3348" s="115"/>
      <c r="I3348" s="24"/>
      <c r="J3348" s="116">
        <v>4</v>
      </c>
      <c r="K3348" s="118">
        <v>1080000</v>
      </c>
      <c r="L3348" s="119"/>
      <c r="M3348" s="118">
        <f t="shared" ref="M3348" si="2691">K3348*0.1</f>
        <v>108000</v>
      </c>
      <c r="N3348" s="119"/>
      <c r="O3348" s="118">
        <v>0</v>
      </c>
      <c r="P3348" s="119"/>
      <c r="Q3348" s="118">
        <v>8640</v>
      </c>
      <c r="R3348" s="119"/>
      <c r="S3348" s="118">
        <v>15950</v>
      </c>
      <c r="T3348" s="119"/>
      <c r="U3348" s="118">
        <f t="shared" ref="U3348" si="2692">SUM(K3348:T3349)</f>
        <v>1212590</v>
      </c>
      <c r="V3348" s="122"/>
      <c r="W3348" s="124"/>
      <c r="X3348" s="126" t="s">
        <v>11200</v>
      </c>
      <c r="Y3348" s="127"/>
      <c r="Z3348" s="127"/>
      <c r="AA3348" s="127"/>
      <c r="AB3348" s="128"/>
      <c r="AC3348" s="15" t="s">
        <v>20</v>
      </c>
      <c r="AD3348" s="129"/>
      <c r="AE3348" s="130"/>
      <c r="AF3348" s="130"/>
      <c r="AG3348" s="130"/>
      <c r="AH3348" s="130"/>
      <c r="AI3348" s="131"/>
      <c r="AJ3348" s="132"/>
      <c r="AK3348" s="127"/>
      <c r="AL3348" s="128"/>
      <c r="AM3348" s="21"/>
      <c r="AN3348" s="133">
        <v>45990</v>
      </c>
      <c r="AO3348" s="134"/>
      <c r="AP3348" s="135">
        <v>1278</v>
      </c>
      <c r="AQ3348" s="136"/>
      <c r="AR3348" s="118">
        <v>1150000</v>
      </c>
      <c r="AS3348" s="119"/>
      <c r="AT3348" s="118">
        <f t="shared" ref="AT3348" si="2693">AR3348*0.1</f>
        <v>115000</v>
      </c>
      <c r="AU3348" s="119"/>
      <c r="AV3348" s="118">
        <v>8640</v>
      </c>
      <c r="AW3348" s="119"/>
      <c r="AX3348" s="118">
        <f t="shared" ref="AX3348" si="2694">SUM(AR3348:AW3348)</f>
        <v>1273640</v>
      </c>
      <c r="AY3348" s="119"/>
      <c r="AZ3348" s="137">
        <v>45994</v>
      </c>
    </row>
    <row r="3349" spans="1:52" ht="17.100000000000001" customHeight="1" thickBot="1">
      <c r="A3349" s="110"/>
      <c r="B3349" s="27" t="s">
        <v>2699</v>
      </c>
      <c r="C3349" s="27">
        <v>3123</v>
      </c>
      <c r="D3349" s="14" t="s">
        <v>2800</v>
      </c>
      <c r="E3349" s="112"/>
      <c r="F3349" s="139" t="s">
        <v>10510</v>
      </c>
      <c r="G3349" s="140"/>
      <c r="H3349" s="141"/>
      <c r="I3349" s="26">
        <v>27006</v>
      </c>
      <c r="J3349" s="117"/>
      <c r="K3349" s="120"/>
      <c r="L3349" s="121"/>
      <c r="M3349" s="120"/>
      <c r="N3349" s="121"/>
      <c r="O3349" s="120"/>
      <c r="P3349" s="121"/>
      <c r="Q3349" s="120"/>
      <c r="R3349" s="121"/>
      <c r="S3349" s="120"/>
      <c r="T3349" s="121"/>
      <c r="U3349" s="120"/>
      <c r="V3349" s="123"/>
      <c r="W3349" s="125"/>
      <c r="X3349" s="142" t="s">
        <v>4076</v>
      </c>
      <c r="Y3349" s="143"/>
      <c r="Z3349" s="143"/>
      <c r="AA3349" s="143"/>
      <c r="AB3349" s="144"/>
      <c r="AC3349" s="16" t="s">
        <v>21</v>
      </c>
      <c r="AD3349" s="17" t="s">
        <v>11105</v>
      </c>
      <c r="AE3349" s="145" t="s">
        <v>2195</v>
      </c>
      <c r="AF3349" s="146"/>
      <c r="AG3349" s="146"/>
      <c r="AH3349" s="146"/>
      <c r="AI3349" s="147"/>
      <c r="AJ3349" s="148"/>
      <c r="AK3349" s="143"/>
      <c r="AL3349" s="144"/>
      <c r="AM3349" s="22"/>
      <c r="AN3349" s="149" t="s">
        <v>2511</v>
      </c>
      <c r="AO3349" s="144"/>
      <c r="AP3349" s="148">
        <v>60210</v>
      </c>
      <c r="AQ3349" s="144"/>
      <c r="AR3349" s="120"/>
      <c r="AS3349" s="121"/>
      <c r="AT3349" s="120"/>
      <c r="AU3349" s="121"/>
      <c r="AV3349" s="120"/>
      <c r="AW3349" s="121"/>
      <c r="AX3349" s="120"/>
      <c r="AY3349" s="121"/>
      <c r="AZ3349" s="138"/>
    </row>
    <row r="3350" spans="1:52" ht="17.100000000000001" customHeight="1" thickTop="1">
      <c r="A3350" s="109" t="s">
        <v>10578</v>
      </c>
      <c r="B3350" s="28">
        <v>45972</v>
      </c>
      <c r="C3350" s="25">
        <v>915</v>
      </c>
      <c r="D3350" s="13" t="s">
        <v>10528</v>
      </c>
      <c r="E3350" s="111"/>
      <c r="F3350" s="113" t="s">
        <v>4720</v>
      </c>
      <c r="G3350" s="114"/>
      <c r="H3350" s="115"/>
      <c r="I3350" s="24" t="s">
        <v>2064</v>
      </c>
      <c r="J3350" s="116">
        <v>4.5</v>
      </c>
      <c r="K3350" s="118">
        <v>1262000</v>
      </c>
      <c r="L3350" s="119"/>
      <c r="M3350" s="118">
        <f t="shared" ref="M3350" si="2695">K3350*0.1</f>
        <v>126200</v>
      </c>
      <c r="N3350" s="119"/>
      <c r="O3350" s="118">
        <v>0</v>
      </c>
      <c r="P3350" s="119"/>
      <c r="Q3350" s="118">
        <v>6830</v>
      </c>
      <c r="R3350" s="119"/>
      <c r="S3350" s="118">
        <v>15950</v>
      </c>
      <c r="T3350" s="119"/>
      <c r="U3350" s="118">
        <f t="shared" ref="U3350" si="2696">SUM(K3350:T3351)</f>
        <v>1410980</v>
      </c>
      <c r="V3350" s="122"/>
      <c r="W3350" s="124"/>
      <c r="X3350" s="126" t="s">
        <v>10530</v>
      </c>
      <c r="Y3350" s="127"/>
      <c r="Z3350" s="127"/>
      <c r="AA3350" s="127"/>
      <c r="AB3350" s="128"/>
      <c r="AC3350" s="15" t="s">
        <v>20</v>
      </c>
      <c r="AD3350" s="129"/>
      <c r="AE3350" s="130"/>
      <c r="AF3350" s="130"/>
      <c r="AG3350" s="130"/>
      <c r="AH3350" s="130"/>
      <c r="AI3350" s="131"/>
      <c r="AJ3350" s="132"/>
      <c r="AK3350" s="127"/>
      <c r="AL3350" s="128"/>
      <c r="AM3350" s="21" t="s">
        <v>12870</v>
      </c>
      <c r="AN3350" s="133">
        <v>46001</v>
      </c>
      <c r="AO3350" s="134"/>
      <c r="AP3350" s="135">
        <v>996</v>
      </c>
      <c r="AQ3350" s="136"/>
      <c r="AR3350" s="118">
        <v>1300000</v>
      </c>
      <c r="AS3350" s="119"/>
      <c r="AT3350" s="118">
        <f t="shared" ref="AT3350" si="2697">AR3350*0.1</f>
        <v>130000</v>
      </c>
      <c r="AU3350" s="119"/>
      <c r="AV3350" s="118">
        <v>6830</v>
      </c>
      <c r="AW3350" s="119"/>
      <c r="AX3350" s="118">
        <f t="shared" ref="AX3350" si="2698">SUM(AR3350:AW3350)</f>
        <v>1436830</v>
      </c>
      <c r="AY3350" s="119"/>
      <c r="AZ3350" s="137">
        <v>46006</v>
      </c>
    </row>
    <row r="3351" spans="1:52" ht="17.100000000000001" customHeight="1" thickBot="1">
      <c r="A3351" s="110"/>
      <c r="B3351" s="27" t="s">
        <v>2699</v>
      </c>
      <c r="C3351" s="27">
        <v>3149</v>
      </c>
      <c r="D3351" s="14" t="s">
        <v>904</v>
      </c>
      <c r="E3351" s="112"/>
      <c r="F3351" s="139" t="s">
        <v>10529</v>
      </c>
      <c r="G3351" s="140"/>
      <c r="H3351" s="141"/>
      <c r="I3351" s="26">
        <v>34681</v>
      </c>
      <c r="J3351" s="117"/>
      <c r="K3351" s="120"/>
      <c r="L3351" s="121"/>
      <c r="M3351" s="120"/>
      <c r="N3351" s="121"/>
      <c r="O3351" s="120"/>
      <c r="P3351" s="121"/>
      <c r="Q3351" s="120"/>
      <c r="R3351" s="121"/>
      <c r="S3351" s="120"/>
      <c r="T3351" s="121"/>
      <c r="U3351" s="120"/>
      <c r="V3351" s="123"/>
      <c r="W3351" s="125"/>
      <c r="X3351" s="142" t="s">
        <v>4076</v>
      </c>
      <c r="Y3351" s="143"/>
      <c r="Z3351" s="143"/>
      <c r="AA3351" s="143"/>
      <c r="AB3351" s="144"/>
      <c r="AC3351" s="16" t="s">
        <v>21</v>
      </c>
      <c r="AD3351" s="17" t="s">
        <v>11105</v>
      </c>
      <c r="AE3351" s="145"/>
      <c r="AF3351" s="146"/>
      <c r="AG3351" s="146"/>
      <c r="AH3351" s="146"/>
      <c r="AI3351" s="147"/>
      <c r="AJ3351" s="148"/>
      <c r="AK3351" s="143"/>
      <c r="AL3351" s="144"/>
      <c r="AM3351" s="22"/>
      <c r="AN3351" s="149" t="s">
        <v>2794</v>
      </c>
      <c r="AO3351" s="144"/>
      <c r="AP3351" s="148">
        <v>2103</v>
      </c>
      <c r="AQ3351" s="144"/>
      <c r="AR3351" s="120"/>
      <c r="AS3351" s="121"/>
      <c r="AT3351" s="120"/>
      <c r="AU3351" s="121"/>
      <c r="AV3351" s="120"/>
      <c r="AW3351" s="121"/>
      <c r="AX3351" s="120"/>
      <c r="AY3351" s="121"/>
      <c r="AZ3351" s="138"/>
    </row>
    <row r="3352" spans="1:52" ht="17.100000000000001" customHeight="1" thickTop="1">
      <c r="A3352" s="109" t="s">
        <v>10579</v>
      </c>
      <c r="B3352" s="28">
        <v>45972</v>
      </c>
      <c r="C3352" s="25">
        <v>915</v>
      </c>
      <c r="D3352" s="13" t="s">
        <v>1922</v>
      </c>
      <c r="E3352" s="111"/>
      <c r="F3352" s="113" t="s">
        <v>5194</v>
      </c>
      <c r="G3352" s="114"/>
      <c r="H3352" s="115"/>
      <c r="I3352" s="24" t="s">
        <v>2571</v>
      </c>
      <c r="J3352" s="116">
        <v>4.5</v>
      </c>
      <c r="K3352" s="118">
        <v>1115000</v>
      </c>
      <c r="L3352" s="119"/>
      <c r="M3352" s="118">
        <f t="shared" ref="M3352" si="2699">K3352*0.1</f>
        <v>111500</v>
      </c>
      <c r="N3352" s="119"/>
      <c r="O3352" s="118">
        <v>0</v>
      </c>
      <c r="P3352" s="119"/>
      <c r="Q3352" s="118">
        <v>8640</v>
      </c>
      <c r="R3352" s="119"/>
      <c r="S3352" s="118">
        <v>15950</v>
      </c>
      <c r="T3352" s="119"/>
      <c r="U3352" s="118">
        <f t="shared" ref="U3352" si="2700">SUM(K3352:T3353)</f>
        <v>1251090</v>
      </c>
      <c r="V3352" s="122"/>
      <c r="W3352" s="124"/>
      <c r="X3352" s="126" t="s">
        <v>10545</v>
      </c>
      <c r="Y3352" s="127"/>
      <c r="Z3352" s="127"/>
      <c r="AA3352" s="127"/>
      <c r="AB3352" s="128"/>
      <c r="AC3352" s="15" t="s">
        <v>20</v>
      </c>
      <c r="AD3352" s="129" t="s">
        <v>2395</v>
      </c>
      <c r="AE3352" s="130"/>
      <c r="AF3352" s="130"/>
      <c r="AG3352" s="130"/>
      <c r="AH3352" s="130"/>
      <c r="AI3352" s="131"/>
      <c r="AJ3352" s="132"/>
      <c r="AK3352" s="127"/>
      <c r="AL3352" s="128"/>
      <c r="AM3352" s="21"/>
      <c r="AN3352" s="133">
        <v>45976</v>
      </c>
      <c r="AO3352" s="134"/>
      <c r="AP3352" s="135">
        <v>1276</v>
      </c>
      <c r="AQ3352" s="136"/>
      <c r="AR3352" s="118">
        <v>1250000</v>
      </c>
      <c r="AS3352" s="119"/>
      <c r="AT3352" s="118">
        <f t="shared" ref="AT3352" si="2701">AR3352*0.1</f>
        <v>125000</v>
      </c>
      <c r="AU3352" s="119"/>
      <c r="AV3352" s="118">
        <v>8640</v>
      </c>
      <c r="AW3352" s="119"/>
      <c r="AX3352" s="118">
        <f t="shared" ref="AX3352" si="2702">SUM(AR3352:AW3352)</f>
        <v>1383640</v>
      </c>
      <c r="AY3352" s="119"/>
      <c r="AZ3352" s="137">
        <v>45986</v>
      </c>
    </row>
    <row r="3353" spans="1:52" ht="17.100000000000001" customHeight="1" thickBot="1">
      <c r="A3353" s="110"/>
      <c r="B3353" s="27" t="s">
        <v>2699</v>
      </c>
      <c r="C3353" s="27">
        <v>3181</v>
      </c>
      <c r="D3353" s="14" t="s">
        <v>2836</v>
      </c>
      <c r="E3353" s="112"/>
      <c r="F3353" s="139" t="s">
        <v>10544</v>
      </c>
      <c r="G3353" s="140"/>
      <c r="H3353" s="141"/>
      <c r="I3353" s="26">
        <v>47478</v>
      </c>
      <c r="J3353" s="117"/>
      <c r="K3353" s="120"/>
      <c r="L3353" s="121"/>
      <c r="M3353" s="120"/>
      <c r="N3353" s="121"/>
      <c r="O3353" s="120"/>
      <c r="P3353" s="121"/>
      <c r="Q3353" s="120"/>
      <c r="R3353" s="121"/>
      <c r="S3353" s="120"/>
      <c r="T3353" s="121"/>
      <c r="U3353" s="120"/>
      <c r="V3353" s="123"/>
      <c r="W3353" s="125"/>
      <c r="X3353" s="142" t="s">
        <v>11154</v>
      </c>
      <c r="Y3353" s="143"/>
      <c r="Z3353" s="143"/>
      <c r="AA3353" s="143"/>
      <c r="AB3353" s="144"/>
      <c r="AC3353" s="16" t="s">
        <v>21</v>
      </c>
      <c r="AD3353" s="17" t="s">
        <v>11105</v>
      </c>
      <c r="AE3353" s="145" t="s">
        <v>2395</v>
      </c>
      <c r="AF3353" s="146"/>
      <c r="AG3353" s="146"/>
      <c r="AH3353" s="146"/>
      <c r="AI3353" s="147"/>
      <c r="AJ3353" s="148"/>
      <c r="AK3353" s="143"/>
      <c r="AL3353" s="144"/>
      <c r="AM3353" s="22"/>
      <c r="AN3353" s="149" t="s">
        <v>6748</v>
      </c>
      <c r="AO3353" s="144"/>
      <c r="AP3353" s="148">
        <v>60492</v>
      </c>
      <c r="AQ3353" s="144"/>
      <c r="AR3353" s="120"/>
      <c r="AS3353" s="121"/>
      <c r="AT3353" s="120"/>
      <c r="AU3353" s="121"/>
      <c r="AV3353" s="120"/>
      <c r="AW3353" s="121"/>
      <c r="AX3353" s="120"/>
      <c r="AY3353" s="121"/>
      <c r="AZ3353" s="138"/>
    </row>
    <row r="3354" spans="1:52" ht="17.100000000000001" customHeight="1" thickTop="1">
      <c r="A3354" s="109" t="s">
        <v>10580</v>
      </c>
      <c r="B3354" s="28">
        <v>45972</v>
      </c>
      <c r="C3354" s="25">
        <v>915</v>
      </c>
      <c r="D3354" s="13" t="s">
        <v>2528</v>
      </c>
      <c r="E3354" s="111"/>
      <c r="F3354" s="113" t="s">
        <v>6965</v>
      </c>
      <c r="G3354" s="114"/>
      <c r="H3354" s="115"/>
      <c r="I3354" s="24"/>
      <c r="J3354" s="116">
        <v>3.5</v>
      </c>
      <c r="K3354" s="118">
        <v>181000</v>
      </c>
      <c r="L3354" s="119"/>
      <c r="M3354" s="118">
        <f t="shared" ref="M3354" si="2703">K3354*0.1</f>
        <v>18100</v>
      </c>
      <c r="N3354" s="119"/>
      <c r="O3354" s="118">
        <v>0</v>
      </c>
      <c r="P3354" s="119"/>
      <c r="Q3354" s="118">
        <v>8490</v>
      </c>
      <c r="R3354" s="119"/>
      <c r="S3354" s="118">
        <v>15950</v>
      </c>
      <c r="T3354" s="119"/>
      <c r="U3354" s="118">
        <f t="shared" ref="U3354" si="2704">SUM(K3354:T3355)</f>
        <v>223540</v>
      </c>
      <c r="V3354" s="122"/>
      <c r="W3354" s="124"/>
      <c r="X3354" s="126" t="s">
        <v>11199</v>
      </c>
      <c r="Y3354" s="127"/>
      <c r="Z3354" s="127"/>
      <c r="AA3354" s="127"/>
      <c r="AB3354" s="128"/>
      <c r="AC3354" s="15" t="s">
        <v>20</v>
      </c>
      <c r="AD3354" s="129"/>
      <c r="AE3354" s="130"/>
      <c r="AF3354" s="130"/>
      <c r="AG3354" s="130"/>
      <c r="AH3354" s="130"/>
      <c r="AI3354" s="131"/>
      <c r="AJ3354" s="132"/>
      <c r="AK3354" s="127"/>
      <c r="AL3354" s="128"/>
      <c r="AM3354" s="21"/>
      <c r="AN3354" s="133">
        <v>45990</v>
      </c>
      <c r="AO3354" s="134"/>
      <c r="AP3354" s="135">
        <v>1278</v>
      </c>
      <c r="AQ3354" s="136"/>
      <c r="AR3354" s="118">
        <v>240000</v>
      </c>
      <c r="AS3354" s="119"/>
      <c r="AT3354" s="118">
        <f t="shared" ref="AT3354" si="2705">AR3354*0.1</f>
        <v>24000</v>
      </c>
      <c r="AU3354" s="119"/>
      <c r="AV3354" s="118">
        <v>8490</v>
      </c>
      <c r="AW3354" s="119"/>
      <c r="AX3354" s="118">
        <f t="shared" ref="AX3354" si="2706">SUM(AR3354:AW3354)</f>
        <v>272490</v>
      </c>
      <c r="AY3354" s="119"/>
      <c r="AZ3354" s="137">
        <v>45994</v>
      </c>
    </row>
    <row r="3355" spans="1:52" ht="17.100000000000001" customHeight="1" thickBot="1">
      <c r="A3355" s="110"/>
      <c r="B3355" s="27" t="s">
        <v>2699</v>
      </c>
      <c r="C3355" s="27">
        <v>4024</v>
      </c>
      <c r="D3355" s="14" t="s">
        <v>1592</v>
      </c>
      <c r="E3355" s="112"/>
      <c r="F3355" s="139" t="s">
        <v>10498</v>
      </c>
      <c r="G3355" s="140"/>
      <c r="H3355" s="141"/>
      <c r="I3355" s="26">
        <v>33137</v>
      </c>
      <c r="J3355" s="117"/>
      <c r="K3355" s="120"/>
      <c r="L3355" s="121"/>
      <c r="M3355" s="120"/>
      <c r="N3355" s="121"/>
      <c r="O3355" s="120"/>
      <c r="P3355" s="121"/>
      <c r="Q3355" s="120"/>
      <c r="R3355" s="121"/>
      <c r="S3355" s="120"/>
      <c r="T3355" s="121"/>
      <c r="U3355" s="120"/>
      <c r="V3355" s="123"/>
      <c r="W3355" s="125"/>
      <c r="X3355" s="142" t="s">
        <v>7544</v>
      </c>
      <c r="Y3355" s="143"/>
      <c r="Z3355" s="143"/>
      <c r="AA3355" s="143"/>
      <c r="AB3355" s="144"/>
      <c r="AC3355" s="16" t="s">
        <v>21</v>
      </c>
      <c r="AD3355" s="17" t="s">
        <v>11105</v>
      </c>
      <c r="AE3355" s="145"/>
      <c r="AF3355" s="146"/>
      <c r="AG3355" s="146"/>
      <c r="AH3355" s="146"/>
      <c r="AI3355" s="147"/>
      <c r="AJ3355" s="148"/>
      <c r="AK3355" s="143"/>
      <c r="AL3355" s="144"/>
      <c r="AM3355" s="22"/>
      <c r="AN3355" s="149" t="s">
        <v>2511</v>
      </c>
      <c r="AO3355" s="144"/>
      <c r="AP3355" s="148">
        <v>60035</v>
      </c>
      <c r="AQ3355" s="144"/>
      <c r="AR3355" s="120"/>
      <c r="AS3355" s="121"/>
      <c r="AT3355" s="120"/>
      <c r="AU3355" s="121"/>
      <c r="AV3355" s="120"/>
      <c r="AW3355" s="121"/>
      <c r="AX3355" s="120"/>
      <c r="AY3355" s="121"/>
      <c r="AZ3355" s="138"/>
    </row>
    <row r="3356" spans="1:52" ht="17.100000000000001" customHeight="1" thickTop="1">
      <c r="A3356" s="109" t="s">
        <v>10581</v>
      </c>
      <c r="B3356" s="28">
        <v>45972</v>
      </c>
      <c r="C3356" s="25">
        <v>915</v>
      </c>
      <c r="D3356" s="13" t="s">
        <v>1786</v>
      </c>
      <c r="E3356" s="111"/>
      <c r="F3356" s="113" t="s">
        <v>4817</v>
      </c>
      <c r="G3356" s="114"/>
      <c r="H3356" s="115"/>
      <c r="I3356" s="24" t="s">
        <v>3931</v>
      </c>
      <c r="J3356" s="116">
        <v>4</v>
      </c>
      <c r="K3356" s="118">
        <v>1603000</v>
      </c>
      <c r="L3356" s="119"/>
      <c r="M3356" s="118">
        <f t="shared" ref="M3356" si="2707">K3356*0.1</f>
        <v>160300</v>
      </c>
      <c r="N3356" s="119"/>
      <c r="O3356" s="118">
        <v>11110</v>
      </c>
      <c r="P3356" s="119"/>
      <c r="Q3356" s="118">
        <v>15180</v>
      </c>
      <c r="R3356" s="119"/>
      <c r="S3356" s="118">
        <v>15950</v>
      </c>
      <c r="T3356" s="119"/>
      <c r="U3356" s="118">
        <f t="shared" ref="U3356" si="2708">SUM(K3356:T3357)</f>
        <v>1805540</v>
      </c>
      <c r="V3356" s="122"/>
      <c r="W3356" s="124"/>
      <c r="X3356" s="126" t="s">
        <v>10548</v>
      </c>
      <c r="Y3356" s="127"/>
      <c r="Z3356" s="127"/>
      <c r="AA3356" s="127"/>
      <c r="AB3356" s="128"/>
      <c r="AC3356" s="15" t="s">
        <v>20</v>
      </c>
      <c r="AD3356" s="129" t="s">
        <v>4091</v>
      </c>
      <c r="AE3356" s="130"/>
      <c r="AF3356" s="130"/>
      <c r="AG3356" s="130"/>
      <c r="AH3356" s="130"/>
      <c r="AI3356" s="131"/>
      <c r="AJ3356" s="132"/>
      <c r="AK3356" s="127"/>
      <c r="AL3356" s="128"/>
      <c r="AM3356" s="21"/>
      <c r="AN3356" s="133">
        <v>45983</v>
      </c>
      <c r="AO3356" s="134"/>
      <c r="AP3356" s="135">
        <v>1277</v>
      </c>
      <c r="AQ3356" s="136"/>
      <c r="AR3356" s="118">
        <v>1780000</v>
      </c>
      <c r="AS3356" s="119"/>
      <c r="AT3356" s="118">
        <f t="shared" ref="AT3356" si="2709">AR3356*0.1</f>
        <v>178000</v>
      </c>
      <c r="AU3356" s="119"/>
      <c r="AV3356" s="118">
        <v>15180</v>
      </c>
      <c r="AW3356" s="119"/>
      <c r="AX3356" s="118">
        <f t="shared" ref="AX3356" si="2710">SUM(AR3356:AW3356)</f>
        <v>1973180</v>
      </c>
      <c r="AY3356" s="119"/>
      <c r="AZ3356" s="137">
        <v>45992</v>
      </c>
    </row>
    <row r="3357" spans="1:52" ht="17.100000000000001" customHeight="1" thickBot="1">
      <c r="A3357" s="110"/>
      <c r="B3357" s="27" t="s">
        <v>2699</v>
      </c>
      <c r="C3357" s="27">
        <v>5023</v>
      </c>
      <c r="D3357" s="14" t="s">
        <v>1592</v>
      </c>
      <c r="E3357" s="112"/>
      <c r="F3357" s="139" t="s">
        <v>10547</v>
      </c>
      <c r="G3357" s="140"/>
      <c r="H3357" s="141"/>
      <c r="I3357" s="26">
        <v>49550</v>
      </c>
      <c r="J3357" s="117"/>
      <c r="K3357" s="120"/>
      <c r="L3357" s="121"/>
      <c r="M3357" s="120"/>
      <c r="N3357" s="121"/>
      <c r="O3357" s="120"/>
      <c r="P3357" s="121"/>
      <c r="Q3357" s="120"/>
      <c r="R3357" s="121"/>
      <c r="S3357" s="120"/>
      <c r="T3357" s="121"/>
      <c r="U3357" s="120"/>
      <c r="V3357" s="123"/>
      <c r="W3357" s="125"/>
      <c r="X3357" s="142" t="s">
        <v>11209</v>
      </c>
      <c r="Y3357" s="143"/>
      <c r="Z3357" s="143"/>
      <c r="AA3357" s="143"/>
      <c r="AB3357" s="144"/>
      <c r="AC3357" s="16" t="s">
        <v>21</v>
      </c>
      <c r="AD3357" s="17" t="s">
        <v>11105</v>
      </c>
      <c r="AE3357" s="145" t="s">
        <v>11210</v>
      </c>
      <c r="AF3357" s="146"/>
      <c r="AG3357" s="146"/>
      <c r="AH3357" s="146"/>
      <c r="AI3357" s="147"/>
      <c r="AJ3357" s="148"/>
      <c r="AK3357" s="143"/>
      <c r="AL3357" s="144"/>
      <c r="AM3357" s="22"/>
      <c r="AN3357" s="149" t="s">
        <v>6749</v>
      </c>
      <c r="AO3357" s="144"/>
      <c r="AP3357" s="148">
        <v>80043</v>
      </c>
      <c r="AQ3357" s="144"/>
      <c r="AR3357" s="120"/>
      <c r="AS3357" s="121"/>
      <c r="AT3357" s="120"/>
      <c r="AU3357" s="121"/>
      <c r="AV3357" s="120"/>
      <c r="AW3357" s="121"/>
      <c r="AX3357" s="120"/>
      <c r="AY3357" s="121"/>
      <c r="AZ3357" s="138"/>
    </row>
    <row r="3358" spans="1:52" ht="17.100000000000001" customHeight="1" thickTop="1">
      <c r="A3358" s="109" t="s">
        <v>10582</v>
      </c>
      <c r="B3358" s="28">
        <v>45972</v>
      </c>
      <c r="C3358" s="25">
        <v>915</v>
      </c>
      <c r="D3358" s="13" t="s">
        <v>1977</v>
      </c>
      <c r="E3358" s="111"/>
      <c r="F3358" s="113" t="s">
        <v>10549</v>
      </c>
      <c r="G3358" s="114"/>
      <c r="H3358" s="115"/>
      <c r="I3358" s="24" t="s">
        <v>4109</v>
      </c>
      <c r="J3358" s="116">
        <v>4.5</v>
      </c>
      <c r="K3358" s="118">
        <v>2179000</v>
      </c>
      <c r="L3358" s="119"/>
      <c r="M3358" s="118">
        <f t="shared" ref="M3358" si="2711">K3358*0.1</f>
        <v>217900</v>
      </c>
      <c r="N3358" s="119"/>
      <c r="O3358" s="118">
        <v>12650</v>
      </c>
      <c r="P3358" s="119"/>
      <c r="Q3358" s="118">
        <v>12680</v>
      </c>
      <c r="R3358" s="119"/>
      <c r="S3358" s="118">
        <v>15950</v>
      </c>
      <c r="T3358" s="119"/>
      <c r="U3358" s="118">
        <f t="shared" ref="U3358" si="2712">SUM(K3358:T3359)</f>
        <v>2438180</v>
      </c>
      <c r="V3358" s="122"/>
      <c r="W3358" s="124"/>
      <c r="X3358" s="126" t="s">
        <v>10551</v>
      </c>
      <c r="Y3358" s="127"/>
      <c r="Z3358" s="127"/>
      <c r="AA3358" s="127"/>
      <c r="AB3358" s="128"/>
      <c r="AC3358" s="15" t="s">
        <v>20</v>
      </c>
      <c r="AD3358" s="129" t="s">
        <v>2051</v>
      </c>
      <c r="AE3358" s="130"/>
      <c r="AF3358" s="130"/>
      <c r="AG3358" s="130"/>
      <c r="AH3358" s="130"/>
      <c r="AI3358" s="131"/>
      <c r="AJ3358" s="132"/>
      <c r="AK3358" s="127"/>
      <c r="AL3358" s="128"/>
      <c r="AM3358" s="21"/>
      <c r="AN3358" s="133">
        <v>45976</v>
      </c>
      <c r="AO3358" s="134"/>
      <c r="AP3358" s="135">
        <v>1276</v>
      </c>
      <c r="AQ3358" s="136"/>
      <c r="AR3358" s="118">
        <v>2335000</v>
      </c>
      <c r="AS3358" s="119"/>
      <c r="AT3358" s="118">
        <f t="shared" ref="AT3358" si="2713">AR3358*0.1</f>
        <v>233500</v>
      </c>
      <c r="AU3358" s="119"/>
      <c r="AV3358" s="118">
        <v>12680</v>
      </c>
      <c r="AW3358" s="119"/>
      <c r="AX3358" s="118">
        <f t="shared" ref="AX3358" si="2714">SUM(AR3358:AW3358)</f>
        <v>2581180</v>
      </c>
      <c r="AY3358" s="119"/>
      <c r="AZ3358" s="137">
        <v>45986</v>
      </c>
    </row>
    <row r="3359" spans="1:52" ht="17.100000000000001" customHeight="1" thickBot="1">
      <c r="A3359" s="110"/>
      <c r="B3359" s="27" t="s">
        <v>2699</v>
      </c>
      <c r="C3359" s="27">
        <v>5029</v>
      </c>
      <c r="D3359" s="14" t="s">
        <v>275</v>
      </c>
      <c r="E3359" s="112"/>
      <c r="F3359" s="139" t="s">
        <v>10550</v>
      </c>
      <c r="G3359" s="140"/>
      <c r="H3359" s="141"/>
      <c r="I3359" s="26">
        <v>26094</v>
      </c>
      <c r="J3359" s="117"/>
      <c r="K3359" s="120"/>
      <c r="L3359" s="121"/>
      <c r="M3359" s="120"/>
      <c r="N3359" s="121"/>
      <c r="O3359" s="120"/>
      <c r="P3359" s="121"/>
      <c r="Q3359" s="120"/>
      <c r="R3359" s="121"/>
      <c r="S3359" s="120"/>
      <c r="T3359" s="121"/>
      <c r="U3359" s="120"/>
      <c r="V3359" s="123"/>
      <c r="W3359" s="125"/>
      <c r="X3359" s="142" t="s">
        <v>11163</v>
      </c>
      <c r="Y3359" s="143"/>
      <c r="Z3359" s="143"/>
      <c r="AA3359" s="143"/>
      <c r="AB3359" s="144"/>
      <c r="AC3359" s="16" t="s">
        <v>21</v>
      </c>
      <c r="AD3359" s="17" t="s">
        <v>11105</v>
      </c>
      <c r="AE3359" s="145" t="s">
        <v>2051</v>
      </c>
      <c r="AF3359" s="146"/>
      <c r="AG3359" s="146"/>
      <c r="AH3359" s="146"/>
      <c r="AI3359" s="147"/>
      <c r="AJ3359" s="148"/>
      <c r="AK3359" s="143"/>
      <c r="AL3359" s="144"/>
      <c r="AM3359" s="22"/>
      <c r="AN3359" s="149" t="s">
        <v>10999</v>
      </c>
      <c r="AO3359" s="144"/>
      <c r="AP3359" s="148">
        <v>80336</v>
      </c>
      <c r="AQ3359" s="144"/>
      <c r="AR3359" s="120"/>
      <c r="AS3359" s="121"/>
      <c r="AT3359" s="120"/>
      <c r="AU3359" s="121"/>
      <c r="AV3359" s="120"/>
      <c r="AW3359" s="121"/>
      <c r="AX3359" s="120"/>
      <c r="AY3359" s="121"/>
      <c r="AZ3359" s="138"/>
    </row>
    <row r="3360" spans="1:52" ht="17.100000000000001" customHeight="1" thickTop="1">
      <c r="A3360" s="109" t="s">
        <v>10583</v>
      </c>
      <c r="B3360" s="28">
        <v>45972</v>
      </c>
      <c r="C3360" s="25">
        <v>1069</v>
      </c>
      <c r="D3360" s="13" t="s">
        <v>1958</v>
      </c>
      <c r="E3360" s="111"/>
      <c r="F3360" s="113" t="s">
        <v>2732</v>
      </c>
      <c r="G3360" s="114"/>
      <c r="H3360" s="115"/>
      <c r="I3360" s="24" t="s">
        <v>3668</v>
      </c>
      <c r="J3360" s="116">
        <v>4</v>
      </c>
      <c r="K3360" s="118">
        <v>870000</v>
      </c>
      <c r="L3360" s="119"/>
      <c r="M3360" s="118">
        <f t="shared" ref="M3360" si="2715">K3360*0.1</f>
        <v>87000</v>
      </c>
      <c r="N3360" s="119"/>
      <c r="O3360" s="118">
        <f>13100+1310</f>
        <v>14410</v>
      </c>
      <c r="P3360" s="119"/>
      <c r="Q3360" s="118">
        <v>19090</v>
      </c>
      <c r="R3360" s="119"/>
      <c r="S3360" s="118">
        <v>27500</v>
      </c>
      <c r="T3360" s="119"/>
      <c r="U3360" s="118">
        <f t="shared" ref="U3360" si="2716">SUM(K3360:T3361)</f>
        <v>1018000</v>
      </c>
      <c r="V3360" s="122"/>
      <c r="W3360" s="124"/>
      <c r="X3360" s="126" t="s">
        <v>10631</v>
      </c>
      <c r="Y3360" s="127"/>
      <c r="Z3360" s="127"/>
      <c r="AA3360" s="127"/>
      <c r="AB3360" s="128"/>
      <c r="AC3360" s="15" t="s">
        <v>20</v>
      </c>
      <c r="AD3360" s="129" t="s">
        <v>1670</v>
      </c>
      <c r="AE3360" s="130"/>
      <c r="AF3360" s="130"/>
      <c r="AG3360" s="130"/>
      <c r="AH3360" s="130"/>
      <c r="AI3360" s="131"/>
      <c r="AJ3360" s="132"/>
      <c r="AK3360" s="127"/>
      <c r="AL3360" s="128"/>
      <c r="AM3360" s="21"/>
      <c r="AN3360" s="133">
        <v>45976</v>
      </c>
      <c r="AO3360" s="134"/>
      <c r="AP3360" s="135">
        <v>1276</v>
      </c>
      <c r="AQ3360" s="136"/>
      <c r="AR3360" s="118">
        <v>1050000</v>
      </c>
      <c r="AS3360" s="119"/>
      <c r="AT3360" s="118">
        <f t="shared" ref="AT3360" si="2717">AR3360*0.1</f>
        <v>105000</v>
      </c>
      <c r="AU3360" s="119"/>
      <c r="AV3360" s="118">
        <v>19090</v>
      </c>
      <c r="AW3360" s="119"/>
      <c r="AX3360" s="118">
        <f t="shared" ref="AX3360" si="2718">SUM(AR3360:AW3360)</f>
        <v>1174090</v>
      </c>
      <c r="AY3360" s="119"/>
      <c r="AZ3360" s="137">
        <v>45981</v>
      </c>
    </row>
    <row r="3361" spans="1:52" ht="17.100000000000001" customHeight="1" thickBot="1">
      <c r="A3361" s="110"/>
      <c r="B3361" s="27" t="s">
        <v>1591</v>
      </c>
      <c r="C3361" s="27">
        <v>82007</v>
      </c>
      <c r="D3361" s="14" t="s">
        <v>1576</v>
      </c>
      <c r="E3361" s="112"/>
      <c r="F3361" s="139" t="s">
        <v>10630</v>
      </c>
      <c r="G3361" s="140"/>
      <c r="H3361" s="141"/>
      <c r="I3361" s="26">
        <v>59300</v>
      </c>
      <c r="J3361" s="117"/>
      <c r="K3361" s="120"/>
      <c r="L3361" s="121"/>
      <c r="M3361" s="120"/>
      <c r="N3361" s="121"/>
      <c r="O3361" s="120"/>
      <c r="P3361" s="121"/>
      <c r="Q3361" s="120"/>
      <c r="R3361" s="121"/>
      <c r="S3361" s="120"/>
      <c r="T3361" s="121"/>
      <c r="U3361" s="120"/>
      <c r="V3361" s="123"/>
      <c r="W3361" s="125"/>
      <c r="X3361" s="142" t="s">
        <v>1997</v>
      </c>
      <c r="Y3361" s="143"/>
      <c r="Z3361" s="143"/>
      <c r="AA3361" s="143"/>
      <c r="AB3361" s="144"/>
      <c r="AC3361" s="16" t="s">
        <v>21</v>
      </c>
      <c r="AD3361" s="17" t="s">
        <v>11075</v>
      </c>
      <c r="AE3361" s="145" t="s">
        <v>1742</v>
      </c>
      <c r="AF3361" s="146"/>
      <c r="AG3361" s="146"/>
      <c r="AH3361" s="146"/>
      <c r="AI3361" s="147"/>
      <c r="AJ3361" s="148"/>
      <c r="AK3361" s="143"/>
      <c r="AL3361" s="144"/>
      <c r="AM3361" s="22"/>
      <c r="AN3361" s="149" t="s">
        <v>10999</v>
      </c>
      <c r="AO3361" s="144"/>
      <c r="AP3361" s="148">
        <v>80319</v>
      </c>
      <c r="AQ3361" s="144"/>
      <c r="AR3361" s="120"/>
      <c r="AS3361" s="121"/>
      <c r="AT3361" s="120"/>
      <c r="AU3361" s="121"/>
      <c r="AV3361" s="120"/>
      <c r="AW3361" s="121"/>
      <c r="AX3361" s="120"/>
      <c r="AY3361" s="121"/>
      <c r="AZ3361" s="138"/>
    </row>
    <row r="3362" spans="1:52" ht="17.100000000000001" customHeight="1" thickTop="1">
      <c r="A3362" s="109" t="s">
        <v>10584</v>
      </c>
      <c r="B3362" s="28">
        <v>45972</v>
      </c>
      <c r="C3362" s="25">
        <v>1069</v>
      </c>
      <c r="D3362" s="13" t="s">
        <v>2442</v>
      </c>
      <c r="E3362" s="111"/>
      <c r="F3362" s="113" t="s">
        <v>10591</v>
      </c>
      <c r="G3362" s="114"/>
      <c r="H3362" s="115"/>
      <c r="I3362" s="24" t="s">
        <v>2674</v>
      </c>
      <c r="J3362" s="116">
        <v>4</v>
      </c>
      <c r="K3362" s="118">
        <v>730000</v>
      </c>
      <c r="L3362" s="119"/>
      <c r="M3362" s="118">
        <f t="shared" ref="M3362" si="2719">K3362*0.1</f>
        <v>73000</v>
      </c>
      <c r="N3362" s="119"/>
      <c r="O3362" s="118">
        <v>0</v>
      </c>
      <c r="P3362" s="119"/>
      <c r="Q3362" s="118">
        <v>19440</v>
      </c>
      <c r="R3362" s="119"/>
      <c r="S3362" s="118">
        <v>16500</v>
      </c>
      <c r="T3362" s="119"/>
      <c r="U3362" s="118">
        <f t="shared" ref="U3362" si="2720">SUM(K3362:T3363)</f>
        <v>838940</v>
      </c>
      <c r="V3362" s="122"/>
      <c r="W3362" s="124"/>
      <c r="X3362" s="126" t="s">
        <v>10634</v>
      </c>
      <c r="Y3362" s="127"/>
      <c r="Z3362" s="127"/>
      <c r="AA3362" s="127"/>
      <c r="AB3362" s="128"/>
      <c r="AC3362" s="15" t="s">
        <v>20</v>
      </c>
      <c r="AD3362" s="129" t="s">
        <v>2385</v>
      </c>
      <c r="AE3362" s="130"/>
      <c r="AF3362" s="130"/>
      <c r="AG3362" s="130"/>
      <c r="AH3362" s="130"/>
      <c r="AI3362" s="131"/>
      <c r="AJ3362" s="132"/>
      <c r="AK3362" s="127"/>
      <c r="AL3362" s="128"/>
      <c r="AM3362" s="21"/>
      <c r="AN3362" s="133">
        <v>45983</v>
      </c>
      <c r="AO3362" s="134"/>
      <c r="AP3362" s="135">
        <v>1277</v>
      </c>
      <c r="AQ3362" s="136"/>
      <c r="AR3362" s="118">
        <v>1025000</v>
      </c>
      <c r="AS3362" s="119"/>
      <c r="AT3362" s="118">
        <f t="shared" ref="AT3362" si="2721">AR3362*0.1</f>
        <v>102500</v>
      </c>
      <c r="AU3362" s="119"/>
      <c r="AV3362" s="118">
        <v>19440</v>
      </c>
      <c r="AW3362" s="119"/>
      <c r="AX3362" s="118">
        <f t="shared" ref="AX3362" si="2722">SUM(AR3362:AW3362)</f>
        <v>1146940</v>
      </c>
      <c r="AY3362" s="119"/>
      <c r="AZ3362" s="137">
        <v>45987</v>
      </c>
    </row>
    <row r="3363" spans="1:52" ht="17.100000000000001" customHeight="1" thickBot="1">
      <c r="A3363" s="110"/>
      <c r="B3363" s="27" t="s">
        <v>1591</v>
      </c>
      <c r="C3363" s="27">
        <v>84040</v>
      </c>
      <c r="D3363" s="14" t="s">
        <v>275</v>
      </c>
      <c r="E3363" s="112"/>
      <c r="F3363" s="139" t="s">
        <v>10633</v>
      </c>
      <c r="G3363" s="140"/>
      <c r="H3363" s="141"/>
      <c r="I3363" s="26">
        <v>44288</v>
      </c>
      <c r="J3363" s="117"/>
      <c r="K3363" s="120"/>
      <c r="L3363" s="121"/>
      <c r="M3363" s="120"/>
      <c r="N3363" s="121"/>
      <c r="O3363" s="120"/>
      <c r="P3363" s="121"/>
      <c r="Q3363" s="120"/>
      <c r="R3363" s="121"/>
      <c r="S3363" s="120"/>
      <c r="T3363" s="121"/>
      <c r="U3363" s="120"/>
      <c r="V3363" s="123"/>
      <c r="W3363" s="125"/>
      <c r="X3363" s="142" t="s">
        <v>11213</v>
      </c>
      <c r="Y3363" s="143"/>
      <c r="Z3363" s="143"/>
      <c r="AA3363" s="143"/>
      <c r="AB3363" s="144"/>
      <c r="AC3363" s="16" t="s">
        <v>21</v>
      </c>
      <c r="AD3363" s="17" t="s">
        <v>11105</v>
      </c>
      <c r="AE3363" s="145" t="s">
        <v>1742</v>
      </c>
      <c r="AF3363" s="146"/>
      <c r="AG3363" s="146"/>
      <c r="AH3363" s="146"/>
      <c r="AI3363" s="147"/>
      <c r="AJ3363" s="148"/>
      <c r="AK3363" s="143"/>
      <c r="AL3363" s="144"/>
      <c r="AM3363" s="22"/>
      <c r="AN3363" s="149" t="s">
        <v>2511</v>
      </c>
      <c r="AO3363" s="144"/>
      <c r="AP3363" s="148">
        <v>80127</v>
      </c>
      <c r="AQ3363" s="144"/>
      <c r="AR3363" s="120"/>
      <c r="AS3363" s="121"/>
      <c r="AT3363" s="120"/>
      <c r="AU3363" s="121"/>
      <c r="AV3363" s="120"/>
      <c r="AW3363" s="121"/>
      <c r="AX3363" s="120"/>
      <c r="AY3363" s="121"/>
      <c r="AZ3363" s="138"/>
    </row>
    <row r="3364" spans="1:52" ht="17.100000000000001" customHeight="1" thickTop="1">
      <c r="A3364" s="109" t="s">
        <v>10585</v>
      </c>
      <c r="B3364" s="28">
        <v>45972</v>
      </c>
      <c r="C3364" s="25">
        <v>1069</v>
      </c>
      <c r="D3364" s="13" t="s">
        <v>3322</v>
      </c>
      <c r="E3364" s="111"/>
      <c r="F3364" s="113" t="s">
        <v>10635</v>
      </c>
      <c r="G3364" s="114"/>
      <c r="H3364" s="115"/>
      <c r="I3364" s="24" t="s">
        <v>10637</v>
      </c>
      <c r="J3364" s="116">
        <v>4.5</v>
      </c>
      <c r="K3364" s="118">
        <v>2230000</v>
      </c>
      <c r="L3364" s="119"/>
      <c r="M3364" s="118">
        <f t="shared" ref="M3364" si="2723">K3364*0.1</f>
        <v>223000</v>
      </c>
      <c r="N3364" s="119"/>
      <c r="O3364" s="118">
        <f>12000+1200</f>
        <v>13200</v>
      </c>
      <c r="P3364" s="119"/>
      <c r="Q3364" s="118">
        <v>21720</v>
      </c>
      <c r="R3364" s="119"/>
      <c r="S3364" s="118">
        <v>16500</v>
      </c>
      <c r="T3364" s="119"/>
      <c r="U3364" s="118">
        <f t="shared" ref="U3364" si="2724">SUM(K3364:T3365)</f>
        <v>2504420</v>
      </c>
      <c r="V3364" s="122"/>
      <c r="W3364" s="124"/>
      <c r="X3364" s="126" t="s">
        <v>10638</v>
      </c>
      <c r="Y3364" s="127"/>
      <c r="Z3364" s="127"/>
      <c r="AA3364" s="127"/>
      <c r="AB3364" s="128"/>
      <c r="AC3364" s="15" t="s">
        <v>20</v>
      </c>
      <c r="AD3364" s="129" t="s">
        <v>1575</v>
      </c>
      <c r="AE3364" s="130"/>
      <c r="AF3364" s="130"/>
      <c r="AG3364" s="130"/>
      <c r="AH3364" s="130"/>
      <c r="AI3364" s="131"/>
      <c r="AJ3364" s="132"/>
      <c r="AK3364" s="127"/>
      <c r="AL3364" s="128"/>
      <c r="AM3364" s="21"/>
      <c r="AN3364" s="133">
        <v>45983</v>
      </c>
      <c r="AO3364" s="134"/>
      <c r="AP3364" s="135">
        <v>1277</v>
      </c>
      <c r="AQ3364" s="136"/>
      <c r="AR3364" s="118">
        <v>2450000</v>
      </c>
      <c r="AS3364" s="119"/>
      <c r="AT3364" s="118">
        <f t="shared" ref="AT3364" si="2725">AR3364*0.1</f>
        <v>245000</v>
      </c>
      <c r="AU3364" s="119"/>
      <c r="AV3364" s="118">
        <v>21720</v>
      </c>
      <c r="AW3364" s="119"/>
      <c r="AX3364" s="118">
        <f t="shared" ref="AX3364" si="2726">SUM(AR3364:AW3364)</f>
        <v>2716720</v>
      </c>
      <c r="AY3364" s="119"/>
      <c r="AZ3364" s="137">
        <v>45992</v>
      </c>
    </row>
    <row r="3365" spans="1:52" ht="17.100000000000001" customHeight="1" thickBot="1">
      <c r="A3365" s="110"/>
      <c r="B3365" s="27" t="s">
        <v>1591</v>
      </c>
      <c r="C3365" s="27">
        <v>84335</v>
      </c>
      <c r="D3365" s="14" t="s">
        <v>1592</v>
      </c>
      <c r="E3365" s="112"/>
      <c r="F3365" s="139" t="s">
        <v>10636</v>
      </c>
      <c r="G3365" s="140"/>
      <c r="H3365" s="141"/>
      <c r="I3365" s="26">
        <v>73215</v>
      </c>
      <c r="J3365" s="117"/>
      <c r="K3365" s="120"/>
      <c r="L3365" s="121"/>
      <c r="M3365" s="120"/>
      <c r="N3365" s="121"/>
      <c r="O3365" s="120"/>
      <c r="P3365" s="121"/>
      <c r="Q3365" s="120"/>
      <c r="R3365" s="121"/>
      <c r="S3365" s="120"/>
      <c r="T3365" s="121"/>
      <c r="U3365" s="120"/>
      <c r="V3365" s="123"/>
      <c r="W3365" s="125"/>
      <c r="X3365" s="142" t="s">
        <v>10857</v>
      </c>
      <c r="Y3365" s="143"/>
      <c r="Z3365" s="143"/>
      <c r="AA3365" s="143"/>
      <c r="AB3365" s="144"/>
      <c r="AC3365" s="16" t="s">
        <v>21</v>
      </c>
      <c r="AD3365" s="17" t="s">
        <v>10858</v>
      </c>
      <c r="AE3365" s="145" t="s">
        <v>10859</v>
      </c>
      <c r="AF3365" s="146"/>
      <c r="AG3365" s="146"/>
      <c r="AH3365" s="146"/>
      <c r="AI3365" s="147"/>
      <c r="AJ3365" s="148"/>
      <c r="AK3365" s="143"/>
      <c r="AL3365" s="144"/>
      <c r="AM3365" s="22"/>
      <c r="AN3365" s="149" t="s">
        <v>11772</v>
      </c>
      <c r="AO3365" s="144"/>
      <c r="AP3365" s="148">
        <v>80415</v>
      </c>
      <c r="AQ3365" s="144"/>
      <c r="AR3365" s="120"/>
      <c r="AS3365" s="121"/>
      <c r="AT3365" s="120"/>
      <c r="AU3365" s="121"/>
      <c r="AV3365" s="120"/>
      <c r="AW3365" s="121"/>
      <c r="AX3365" s="120"/>
      <c r="AY3365" s="121"/>
      <c r="AZ3365" s="138"/>
    </row>
    <row r="3366" spans="1:52" ht="17.100000000000001" customHeight="1" thickTop="1">
      <c r="A3366" s="109" t="s">
        <v>10586</v>
      </c>
      <c r="B3366" s="28">
        <v>45972</v>
      </c>
      <c r="C3366" s="25">
        <v>965</v>
      </c>
      <c r="D3366" s="13" t="s">
        <v>2737</v>
      </c>
      <c r="E3366" s="111"/>
      <c r="F3366" s="113" t="s">
        <v>10600</v>
      </c>
      <c r="G3366" s="114"/>
      <c r="H3366" s="115"/>
      <c r="I3366" s="24"/>
      <c r="J3366" s="116">
        <v>4</v>
      </c>
      <c r="K3366" s="118">
        <v>638000</v>
      </c>
      <c r="L3366" s="119"/>
      <c r="M3366" s="118">
        <f t="shared" ref="M3366" si="2727">K3366*0.1</f>
        <v>63800</v>
      </c>
      <c r="N3366" s="119"/>
      <c r="O3366" s="118">
        <v>0</v>
      </c>
      <c r="P3366" s="119"/>
      <c r="Q3366" s="118">
        <v>8430</v>
      </c>
      <c r="R3366" s="119"/>
      <c r="S3366" s="118">
        <v>22000</v>
      </c>
      <c r="T3366" s="119"/>
      <c r="U3366" s="118">
        <f t="shared" ref="U3366" si="2728">SUM(K3366:T3367)</f>
        <v>732230</v>
      </c>
      <c r="V3366" s="122"/>
      <c r="W3366" s="124"/>
      <c r="X3366" s="126" t="s">
        <v>11162</v>
      </c>
      <c r="Y3366" s="127"/>
      <c r="Z3366" s="127"/>
      <c r="AA3366" s="127"/>
      <c r="AB3366" s="128"/>
      <c r="AC3366" s="15" t="s">
        <v>20</v>
      </c>
      <c r="AD3366" s="129" t="s">
        <v>4982</v>
      </c>
      <c r="AE3366" s="130"/>
      <c r="AF3366" s="130"/>
      <c r="AG3366" s="130"/>
      <c r="AH3366" s="130"/>
      <c r="AI3366" s="131"/>
      <c r="AJ3366" s="132"/>
      <c r="AK3366" s="127"/>
      <c r="AL3366" s="128"/>
      <c r="AM3366" s="21"/>
      <c r="AN3366" s="133">
        <v>45979</v>
      </c>
      <c r="AO3366" s="134"/>
      <c r="AP3366" s="135">
        <v>1918</v>
      </c>
      <c r="AQ3366" s="136"/>
      <c r="AR3366" s="118">
        <v>773000</v>
      </c>
      <c r="AS3366" s="119"/>
      <c r="AT3366" s="118">
        <f t="shared" ref="AT3366" si="2729">AR3366*0.1</f>
        <v>77300</v>
      </c>
      <c r="AU3366" s="119"/>
      <c r="AV3366" s="118">
        <v>8430</v>
      </c>
      <c r="AW3366" s="119"/>
      <c r="AX3366" s="118">
        <f t="shared" ref="AX3366" si="2730">SUM(AR3366:AW3366)</f>
        <v>858730</v>
      </c>
      <c r="AY3366" s="119"/>
      <c r="AZ3366" s="137">
        <v>45986</v>
      </c>
    </row>
    <row r="3367" spans="1:52" ht="17.100000000000001" customHeight="1" thickBot="1">
      <c r="A3367" s="110"/>
      <c r="B3367" s="27" t="s">
        <v>2055</v>
      </c>
      <c r="C3367" s="27">
        <v>173</v>
      </c>
      <c r="D3367" s="14" t="s">
        <v>1592</v>
      </c>
      <c r="E3367" s="112"/>
      <c r="F3367" s="139" t="s">
        <v>10601</v>
      </c>
      <c r="G3367" s="140"/>
      <c r="H3367" s="141"/>
      <c r="I3367" s="26">
        <v>50420</v>
      </c>
      <c r="J3367" s="117"/>
      <c r="K3367" s="120"/>
      <c r="L3367" s="121"/>
      <c r="M3367" s="120"/>
      <c r="N3367" s="121"/>
      <c r="O3367" s="120"/>
      <c r="P3367" s="121"/>
      <c r="Q3367" s="120"/>
      <c r="R3367" s="121"/>
      <c r="S3367" s="120"/>
      <c r="T3367" s="121"/>
      <c r="U3367" s="120"/>
      <c r="V3367" s="123"/>
      <c r="W3367" s="125"/>
      <c r="X3367" s="142" t="s">
        <v>2482</v>
      </c>
      <c r="Y3367" s="143"/>
      <c r="Z3367" s="143"/>
      <c r="AA3367" s="143"/>
      <c r="AB3367" s="144"/>
      <c r="AC3367" s="16" t="s">
        <v>21</v>
      </c>
      <c r="AD3367" s="17" t="s">
        <v>11105</v>
      </c>
      <c r="AE3367" s="145" t="s">
        <v>11023</v>
      </c>
      <c r="AF3367" s="146"/>
      <c r="AG3367" s="146"/>
      <c r="AH3367" s="146"/>
      <c r="AI3367" s="147"/>
      <c r="AJ3367" s="148"/>
      <c r="AK3367" s="143"/>
      <c r="AL3367" s="144"/>
      <c r="AM3367" s="22"/>
      <c r="AN3367" s="149" t="s">
        <v>2131</v>
      </c>
      <c r="AO3367" s="144"/>
      <c r="AP3367" s="148">
        <v>3369</v>
      </c>
      <c r="AQ3367" s="144"/>
      <c r="AR3367" s="120"/>
      <c r="AS3367" s="121"/>
      <c r="AT3367" s="120"/>
      <c r="AU3367" s="121"/>
      <c r="AV3367" s="120"/>
      <c r="AW3367" s="121"/>
      <c r="AX3367" s="120"/>
      <c r="AY3367" s="121"/>
      <c r="AZ3367" s="138"/>
    </row>
    <row r="3368" spans="1:52" ht="17.100000000000001" customHeight="1" thickTop="1">
      <c r="A3368" s="109" t="s">
        <v>10587</v>
      </c>
      <c r="B3368" s="28">
        <v>45972</v>
      </c>
      <c r="C3368" s="25">
        <v>965</v>
      </c>
      <c r="D3368" s="13" t="s">
        <v>3461</v>
      </c>
      <c r="E3368" s="111"/>
      <c r="F3368" s="113" t="s">
        <v>2790</v>
      </c>
      <c r="G3368" s="114"/>
      <c r="H3368" s="115"/>
      <c r="I3368" s="24"/>
      <c r="J3368" s="116">
        <v>4</v>
      </c>
      <c r="K3368" s="118">
        <v>1168000</v>
      </c>
      <c r="L3368" s="119"/>
      <c r="M3368" s="118">
        <f t="shared" ref="M3368" si="2731">K3368*0.1</f>
        <v>116800</v>
      </c>
      <c r="N3368" s="119"/>
      <c r="O3368" s="118">
        <v>0</v>
      </c>
      <c r="P3368" s="119"/>
      <c r="Q3368" s="118">
        <v>8550</v>
      </c>
      <c r="R3368" s="119"/>
      <c r="S3368" s="118">
        <v>22000</v>
      </c>
      <c r="T3368" s="119"/>
      <c r="U3368" s="118">
        <f t="shared" ref="U3368" si="2732">SUM(K3368:T3369)</f>
        <v>1315350</v>
      </c>
      <c r="V3368" s="122"/>
      <c r="W3368" s="124"/>
      <c r="X3368" s="126" t="s">
        <v>11188</v>
      </c>
      <c r="Y3368" s="127"/>
      <c r="Z3368" s="127"/>
      <c r="AA3368" s="127"/>
      <c r="AB3368" s="128"/>
      <c r="AC3368" s="15" t="s">
        <v>20</v>
      </c>
      <c r="AD3368" s="129" t="s">
        <v>1670</v>
      </c>
      <c r="AE3368" s="130"/>
      <c r="AF3368" s="130"/>
      <c r="AG3368" s="130"/>
      <c r="AH3368" s="130"/>
      <c r="AI3368" s="131"/>
      <c r="AJ3368" s="132"/>
      <c r="AK3368" s="127"/>
      <c r="AL3368" s="128"/>
      <c r="AM3368" s="21"/>
      <c r="AN3368" s="133">
        <v>45986</v>
      </c>
      <c r="AO3368" s="134"/>
      <c r="AP3368" s="135">
        <v>1919</v>
      </c>
      <c r="AQ3368" s="136"/>
      <c r="AR3368" s="118">
        <v>1197000</v>
      </c>
      <c r="AS3368" s="119"/>
      <c r="AT3368" s="118">
        <f t="shared" ref="AT3368" si="2733">AR3368*0.1</f>
        <v>119700</v>
      </c>
      <c r="AU3368" s="119"/>
      <c r="AV3368" s="118">
        <v>8550</v>
      </c>
      <c r="AW3368" s="119"/>
      <c r="AX3368" s="118">
        <f t="shared" ref="AX3368" si="2734">SUM(AR3368:AW3368)</f>
        <v>1325250</v>
      </c>
      <c r="AY3368" s="119"/>
      <c r="AZ3368" s="137"/>
    </row>
    <row r="3369" spans="1:52" ht="17.100000000000001" customHeight="1" thickBot="1">
      <c r="A3369" s="110"/>
      <c r="B3369" s="27" t="s">
        <v>2055</v>
      </c>
      <c r="C3369" s="27">
        <v>251</v>
      </c>
      <c r="D3369" s="14" t="s">
        <v>275</v>
      </c>
      <c r="E3369" s="112"/>
      <c r="F3369" s="139" t="s">
        <v>10602</v>
      </c>
      <c r="G3369" s="140"/>
      <c r="H3369" s="141"/>
      <c r="I3369" s="26">
        <v>36369</v>
      </c>
      <c r="J3369" s="117"/>
      <c r="K3369" s="120"/>
      <c r="L3369" s="121"/>
      <c r="M3369" s="120"/>
      <c r="N3369" s="121"/>
      <c r="O3369" s="120"/>
      <c r="P3369" s="121"/>
      <c r="Q3369" s="120"/>
      <c r="R3369" s="121"/>
      <c r="S3369" s="120"/>
      <c r="T3369" s="121"/>
      <c r="U3369" s="120"/>
      <c r="V3369" s="123"/>
      <c r="W3369" s="125"/>
      <c r="X3369" s="142" t="s">
        <v>2482</v>
      </c>
      <c r="Y3369" s="143"/>
      <c r="Z3369" s="143"/>
      <c r="AA3369" s="143"/>
      <c r="AB3369" s="144"/>
      <c r="AC3369" s="16" t="s">
        <v>21</v>
      </c>
      <c r="AD3369" s="17" t="s">
        <v>11105</v>
      </c>
      <c r="AE3369" s="145" t="s">
        <v>11099</v>
      </c>
      <c r="AF3369" s="146"/>
      <c r="AG3369" s="146"/>
      <c r="AH3369" s="146"/>
      <c r="AI3369" s="147"/>
      <c r="AJ3369" s="148"/>
      <c r="AK3369" s="143"/>
      <c r="AL3369" s="144"/>
      <c r="AM3369" s="22"/>
      <c r="AN3369" s="149" t="s">
        <v>2131</v>
      </c>
      <c r="AO3369" s="144"/>
      <c r="AP3369" s="148">
        <v>3049</v>
      </c>
      <c r="AQ3369" s="144"/>
      <c r="AR3369" s="120"/>
      <c r="AS3369" s="121"/>
      <c r="AT3369" s="120"/>
      <c r="AU3369" s="121"/>
      <c r="AV3369" s="120"/>
      <c r="AW3369" s="121"/>
      <c r="AX3369" s="120"/>
      <c r="AY3369" s="121"/>
      <c r="AZ3369" s="138"/>
    </row>
    <row r="3370" spans="1:52" ht="17.100000000000001" customHeight="1" thickTop="1">
      <c r="A3370" s="109" t="s">
        <v>10588</v>
      </c>
      <c r="B3370" s="28">
        <v>45972</v>
      </c>
      <c r="C3370" s="25">
        <v>783</v>
      </c>
      <c r="D3370" s="13" t="s">
        <v>1930</v>
      </c>
      <c r="E3370" s="111"/>
      <c r="F3370" s="113" t="s">
        <v>9187</v>
      </c>
      <c r="G3370" s="114"/>
      <c r="H3370" s="115"/>
      <c r="I3370" s="24"/>
      <c r="J3370" s="116">
        <v>4.5</v>
      </c>
      <c r="K3370" s="118">
        <v>1089000</v>
      </c>
      <c r="L3370" s="119"/>
      <c r="M3370" s="118">
        <f t="shared" ref="M3370" si="2735">K3370*0.1</f>
        <v>108900</v>
      </c>
      <c r="N3370" s="119"/>
      <c r="O3370" s="118">
        <v>0</v>
      </c>
      <c r="P3370" s="119"/>
      <c r="Q3370" s="118">
        <v>7230</v>
      </c>
      <c r="R3370" s="119"/>
      <c r="S3370" s="118">
        <v>22000</v>
      </c>
      <c r="T3370" s="119"/>
      <c r="U3370" s="118">
        <f t="shared" ref="U3370" si="2736">SUM(K3370:T3371)</f>
        <v>1227130</v>
      </c>
      <c r="V3370" s="122"/>
      <c r="W3370" s="124"/>
      <c r="X3370" s="126" t="s">
        <v>11191</v>
      </c>
      <c r="Y3370" s="127"/>
      <c r="Z3370" s="127"/>
      <c r="AA3370" s="127"/>
      <c r="AB3370" s="128"/>
      <c r="AC3370" s="15" t="s">
        <v>20</v>
      </c>
      <c r="AD3370" s="129" t="s">
        <v>10639</v>
      </c>
      <c r="AE3370" s="130"/>
      <c r="AF3370" s="130"/>
      <c r="AG3370" s="130"/>
      <c r="AH3370" s="130"/>
      <c r="AI3370" s="131"/>
      <c r="AJ3370" s="132"/>
      <c r="AK3370" s="127"/>
      <c r="AL3370" s="128"/>
      <c r="AM3370" s="21"/>
      <c r="AN3370" s="133">
        <v>45990</v>
      </c>
      <c r="AO3370" s="134"/>
      <c r="AP3370" s="135">
        <v>1278</v>
      </c>
      <c r="AQ3370" s="136"/>
      <c r="AR3370" s="118">
        <v>1165000</v>
      </c>
      <c r="AS3370" s="119"/>
      <c r="AT3370" s="118">
        <f t="shared" ref="AT3370" si="2737">AR3370*0.1</f>
        <v>116500</v>
      </c>
      <c r="AU3370" s="119"/>
      <c r="AV3370" s="118">
        <v>7230</v>
      </c>
      <c r="AW3370" s="119"/>
      <c r="AX3370" s="118">
        <f t="shared" ref="AX3370" si="2738">SUM(AR3370:AW3370)</f>
        <v>1288730</v>
      </c>
      <c r="AY3370" s="119"/>
      <c r="AZ3370" s="137">
        <v>45994</v>
      </c>
    </row>
    <row r="3371" spans="1:52" ht="16.5" customHeight="1" thickBot="1">
      <c r="A3371" s="110"/>
      <c r="B3371" s="27" t="s">
        <v>4491</v>
      </c>
      <c r="C3371" s="27">
        <v>1</v>
      </c>
      <c r="D3371" s="14" t="s">
        <v>275</v>
      </c>
      <c r="E3371" s="112"/>
      <c r="F3371" s="139" t="s">
        <v>10603</v>
      </c>
      <c r="G3371" s="140"/>
      <c r="H3371" s="141"/>
      <c r="I3371" s="26">
        <v>10315</v>
      </c>
      <c r="J3371" s="117"/>
      <c r="K3371" s="120"/>
      <c r="L3371" s="121"/>
      <c r="M3371" s="120"/>
      <c r="N3371" s="121"/>
      <c r="O3371" s="120"/>
      <c r="P3371" s="121"/>
      <c r="Q3371" s="120"/>
      <c r="R3371" s="121"/>
      <c r="S3371" s="120"/>
      <c r="T3371" s="121"/>
      <c r="U3371" s="120"/>
      <c r="V3371" s="123"/>
      <c r="W3371" s="125"/>
      <c r="X3371" s="142" t="s">
        <v>2057</v>
      </c>
      <c r="Y3371" s="143"/>
      <c r="Z3371" s="143"/>
      <c r="AA3371" s="143"/>
      <c r="AB3371" s="144"/>
      <c r="AC3371" s="16" t="s">
        <v>21</v>
      </c>
      <c r="AD3371" s="17" t="s">
        <v>11105</v>
      </c>
      <c r="AE3371" s="145" t="s">
        <v>11101</v>
      </c>
      <c r="AF3371" s="146"/>
      <c r="AG3371" s="146"/>
      <c r="AH3371" s="146"/>
      <c r="AI3371" s="147"/>
      <c r="AJ3371" s="148"/>
      <c r="AK3371" s="143"/>
      <c r="AL3371" s="144"/>
      <c r="AM3371" s="22"/>
      <c r="AN3371" s="149" t="s">
        <v>2511</v>
      </c>
      <c r="AO3371" s="144"/>
      <c r="AP3371" s="148">
        <v>62039</v>
      </c>
      <c r="AQ3371" s="144"/>
      <c r="AR3371" s="120"/>
      <c r="AS3371" s="121"/>
      <c r="AT3371" s="120"/>
      <c r="AU3371" s="121"/>
      <c r="AV3371" s="120"/>
      <c r="AW3371" s="121"/>
      <c r="AX3371" s="120"/>
      <c r="AY3371" s="121"/>
      <c r="AZ3371" s="138"/>
    </row>
    <row r="3372" spans="1:52" ht="17.100000000000001" customHeight="1" thickTop="1">
      <c r="A3372" s="109" t="s">
        <v>10589</v>
      </c>
      <c r="B3372" s="28">
        <v>45972</v>
      </c>
      <c r="C3372" s="25">
        <v>783</v>
      </c>
      <c r="D3372" s="13" t="s">
        <v>2187</v>
      </c>
      <c r="E3372" s="111"/>
      <c r="F3372" s="113" t="s">
        <v>10231</v>
      </c>
      <c r="G3372" s="114"/>
      <c r="H3372" s="115"/>
      <c r="I3372" s="24"/>
      <c r="J3372" s="116">
        <v>3.5</v>
      </c>
      <c r="K3372" s="118">
        <v>298000</v>
      </c>
      <c r="L3372" s="119"/>
      <c r="M3372" s="118">
        <f t="shared" ref="M3372" si="2739">K3372*0.1</f>
        <v>29800</v>
      </c>
      <c r="N3372" s="119"/>
      <c r="O3372" s="118">
        <v>0</v>
      </c>
      <c r="P3372" s="119"/>
      <c r="Q3372" s="118">
        <v>7500</v>
      </c>
      <c r="R3372" s="119"/>
      <c r="S3372" s="118">
        <v>22000</v>
      </c>
      <c r="T3372" s="119"/>
      <c r="U3372" s="118">
        <f t="shared" ref="U3372" si="2740">SUM(K3372:T3373)</f>
        <v>357300</v>
      </c>
      <c r="V3372" s="122"/>
      <c r="W3372" s="124"/>
      <c r="X3372" s="126" t="s">
        <v>11194</v>
      </c>
      <c r="Y3372" s="127"/>
      <c r="Z3372" s="127"/>
      <c r="AA3372" s="127"/>
      <c r="AB3372" s="128"/>
      <c r="AC3372" s="15" t="s">
        <v>20</v>
      </c>
      <c r="AD3372" s="129" t="s">
        <v>1797</v>
      </c>
      <c r="AE3372" s="130"/>
      <c r="AF3372" s="130"/>
      <c r="AG3372" s="130"/>
      <c r="AH3372" s="130"/>
      <c r="AI3372" s="131"/>
      <c r="AJ3372" s="132"/>
      <c r="AK3372" s="127"/>
      <c r="AL3372" s="128"/>
      <c r="AM3372" s="21"/>
      <c r="AN3372" s="133">
        <v>45986</v>
      </c>
      <c r="AO3372" s="134"/>
      <c r="AP3372" s="135">
        <v>1919</v>
      </c>
      <c r="AQ3372" s="136"/>
      <c r="AR3372" s="118">
        <v>352000</v>
      </c>
      <c r="AS3372" s="119"/>
      <c r="AT3372" s="118">
        <f t="shared" ref="AT3372" si="2741">AR3372*0.1</f>
        <v>35200</v>
      </c>
      <c r="AU3372" s="119"/>
      <c r="AV3372" s="118">
        <v>7500</v>
      </c>
      <c r="AW3372" s="119"/>
      <c r="AX3372" s="118">
        <f t="shared" ref="AX3372" si="2742">SUM(AR3372:AW3372)</f>
        <v>394700</v>
      </c>
      <c r="AY3372" s="119"/>
      <c r="AZ3372" s="137"/>
    </row>
    <row r="3373" spans="1:52" ht="17.100000000000001" customHeight="1" thickBot="1">
      <c r="A3373" s="110"/>
      <c r="B3373" s="27" t="s">
        <v>4491</v>
      </c>
      <c r="C3373" s="27">
        <v>17</v>
      </c>
      <c r="D3373" s="14" t="s">
        <v>1592</v>
      </c>
      <c r="E3373" s="112"/>
      <c r="F3373" s="139" t="s">
        <v>10604</v>
      </c>
      <c r="G3373" s="140"/>
      <c r="H3373" s="141"/>
      <c r="I3373" s="26">
        <v>35543</v>
      </c>
      <c r="J3373" s="117"/>
      <c r="K3373" s="120"/>
      <c r="L3373" s="121"/>
      <c r="M3373" s="120"/>
      <c r="N3373" s="121"/>
      <c r="O3373" s="120"/>
      <c r="P3373" s="121"/>
      <c r="Q3373" s="120"/>
      <c r="R3373" s="121"/>
      <c r="S3373" s="120"/>
      <c r="T3373" s="121"/>
      <c r="U3373" s="120"/>
      <c r="V3373" s="123"/>
      <c r="W3373" s="125"/>
      <c r="X3373" s="142" t="s">
        <v>2057</v>
      </c>
      <c r="Y3373" s="143"/>
      <c r="Z3373" s="143"/>
      <c r="AA3373" s="143"/>
      <c r="AB3373" s="144"/>
      <c r="AC3373" s="16" t="s">
        <v>21</v>
      </c>
      <c r="AD3373" s="17" t="s">
        <v>11105</v>
      </c>
      <c r="AE3373" s="145" t="s">
        <v>10331</v>
      </c>
      <c r="AF3373" s="146"/>
      <c r="AG3373" s="146"/>
      <c r="AH3373" s="146"/>
      <c r="AI3373" s="147"/>
      <c r="AJ3373" s="148"/>
      <c r="AK3373" s="143"/>
      <c r="AL3373" s="144"/>
      <c r="AM3373" s="22"/>
      <c r="AN3373" s="149" t="s">
        <v>11650</v>
      </c>
      <c r="AO3373" s="144"/>
      <c r="AP3373" s="148">
        <v>3189</v>
      </c>
      <c r="AQ3373" s="144"/>
      <c r="AR3373" s="120"/>
      <c r="AS3373" s="121"/>
      <c r="AT3373" s="120"/>
      <c r="AU3373" s="121"/>
      <c r="AV3373" s="120"/>
      <c r="AW3373" s="121"/>
      <c r="AX3373" s="120"/>
      <c r="AY3373" s="121"/>
      <c r="AZ3373" s="138"/>
    </row>
    <row r="3374" spans="1:52" ht="17.100000000000001" customHeight="1" thickTop="1">
      <c r="A3374" s="109" t="s">
        <v>10590</v>
      </c>
      <c r="B3374" s="28">
        <v>45972</v>
      </c>
      <c r="C3374" s="25">
        <v>783</v>
      </c>
      <c r="D3374" s="13" t="s">
        <v>2187</v>
      </c>
      <c r="E3374" s="111"/>
      <c r="F3374" s="113" t="s">
        <v>10231</v>
      </c>
      <c r="G3374" s="114"/>
      <c r="H3374" s="115"/>
      <c r="I3374" s="24"/>
      <c r="J3374" s="116">
        <v>3.5</v>
      </c>
      <c r="K3374" s="118">
        <v>289000</v>
      </c>
      <c r="L3374" s="119"/>
      <c r="M3374" s="118">
        <f t="shared" ref="M3374" si="2743">K3374*0.1</f>
        <v>28900</v>
      </c>
      <c r="N3374" s="119"/>
      <c r="O3374" s="118">
        <v>0</v>
      </c>
      <c r="P3374" s="119"/>
      <c r="Q3374" s="118">
        <v>7500</v>
      </c>
      <c r="R3374" s="119"/>
      <c r="S3374" s="118">
        <v>22000</v>
      </c>
      <c r="T3374" s="119"/>
      <c r="U3374" s="118">
        <f t="shared" ref="U3374" si="2744">SUM(K3374:T3375)</f>
        <v>347400</v>
      </c>
      <c r="V3374" s="122"/>
      <c r="W3374" s="124"/>
      <c r="X3374" s="126" t="s">
        <v>11193</v>
      </c>
      <c r="Y3374" s="127"/>
      <c r="Z3374" s="127"/>
      <c r="AA3374" s="127"/>
      <c r="AB3374" s="128"/>
      <c r="AC3374" s="15" t="s">
        <v>20</v>
      </c>
      <c r="AD3374" s="129" t="s">
        <v>1670</v>
      </c>
      <c r="AE3374" s="130"/>
      <c r="AF3374" s="130"/>
      <c r="AG3374" s="130"/>
      <c r="AH3374" s="130"/>
      <c r="AI3374" s="131"/>
      <c r="AJ3374" s="132"/>
      <c r="AK3374" s="127"/>
      <c r="AL3374" s="128"/>
      <c r="AM3374" s="21"/>
      <c r="AN3374" s="133">
        <v>45993</v>
      </c>
      <c r="AO3374" s="134"/>
      <c r="AP3374" s="135">
        <v>1920</v>
      </c>
      <c r="AQ3374" s="136"/>
      <c r="AR3374" s="118">
        <v>346000</v>
      </c>
      <c r="AS3374" s="119"/>
      <c r="AT3374" s="118">
        <f t="shared" ref="AT3374" si="2745">AR3374*0.1</f>
        <v>34600</v>
      </c>
      <c r="AU3374" s="119"/>
      <c r="AV3374" s="118">
        <v>7500</v>
      </c>
      <c r="AW3374" s="119"/>
      <c r="AX3374" s="118">
        <f t="shared" ref="AX3374" si="2746">SUM(AR3374:AW3374)</f>
        <v>388100</v>
      </c>
      <c r="AY3374" s="119"/>
      <c r="AZ3374" s="137"/>
    </row>
    <row r="3375" spans="1:52" ht="17.100000000000001" customHeight="1" thickBot="1">
      <c r="A3375" s="110"/>
      <c r="B3375" s="27" t="s">
        <v>4491</v>
      </c>
      <c r="C3375" s="27">
        <v>104</v>
      </c>
      <c r="D3375" s="14" t="s">
        <v>1592</v>
      </c>
      <c r="E3375" s="112"/>
      <c r="F3375" s="139" t="s">
        <v>10605</v>
      </c>
      <c r="G3375" s="140"/>
      <c r="H3375" s="141"/>
      <c r="I3375" s="26">
        <v>42748</v>
      </c>
      <c r="J3375" s="117"/>
      <c r="K3375" s="120"/>
      <c r="L3375" s="121"/>
      <c r="M3375" s="120"/>
      <c r="N3375" s="121"/>
      <c r="O3375" s="120"/>
      <c r="P3375" s="121"/>
      <c r="Q3375" s="120"/>
      <c r="R3375" s="121"/>
      <c r="S3375" s="120"/>
      <c r="T3375" s="121"/>
      <c r="U3375" s="120"/>
      <c r="V3375" s="123"/>
      <c r="W3375" s="125"/>
      <c r="X3375" s="142" t="s">
        <v>2482</v>
      </c>
      <c r="Y3375" s="143"/>
      <c r="Z3375" s="143"/>
      <c r="AA3375" s="143"/>
      <c r="AB3375" s="144"/>
      <c r="AC3375" s="16" t="s">
        <v>21</v>
      </c>
      <c r="AD3375" s="17" t="s">
        <v>11105</v>
      </c>
      <c r="AE3375" s="145" t="s">
        <v>10331</v>
      </c>
      <c r="AF3375" s="146"/>
      <c r="AG3375" s="146"/>
      <c r="AH3375" s="146"/>
      <c r="AI3375" s="147"/>
      <c r="AJ3375" s="148"/>
      <c r="AK3375" s="143"/>
      <c r="AL3375" s="144"/>
      <c r="AM3375" s="22"/>
      <c r="AN3375" s="149" t="s">
        <v>2131</v>
      </c>
      <c r="AO3375" s="144"/>
      <c r="AP3375" s="148">
        <v>3065</v>
      </c>
      <c r="AQ3375" s="144"/>
      <c r="AR3375" s="120"/>
      <c r="AS3375" s="121"/>
      <c r="AT3375" s="120"/>
      <c r="AU3375" s="121"/>
      <c r="AV3375" s="120"/>
      <c r="AW3375" s="121"/>
      <c r="AX3375" s="120"/>
      <c r="AY3375" s="121"/>
      <c r="AZ3375" s="138"/>
    </row>
    <row r="3376" spans="1:52" ht="17.100000000000001" customHeight="1" thickTop="1">
      <c r="A3376" s="109" t="s">
        <v>10592</v>
      </c>
      <c r="B3376" s="28">
        <v>45972</v>
      </c>
      <c r="C3376" s="25">
        <v>783</v>
      </c>
      <c r="D3376" s="13" t="s">
        <v>2187</v>
      </c>
      <c r="E3376" s="111"/>
      <c r="F3376" s="113" t="s">
        <v>10103</v>
      </c>
      <c r="G3376" s="114"/>
      <c r="H3376" s="115"/>
      <c r="I3376" s="24"/>
      <c r="J3376" s="116">
        <v>4</v>
      </c>
      <c r="K3376" s="118">
        <v>538000</v>
      </c>
      <c r="L3376" s="119"/>
      <c r="M3376" s="118">
        <f t="shared" ref="M3376" si="2747">K3376*0.1</f>
        <v>53800</v>
      </c>
      <c r="N3376" s="119"/>
      <c r="O3376" s="118">
        <v>0</v>
      </c>
      <c r="P3376" s="119"/>
      <c r="Q3376" s="118">
        <v>8430</v>
      </c>
      <c r="R3376" s="119"/>
      <c r="S3376" s="118">
        <v>22000</v>
      </c>
      <c r="T3376" s="119"/>
      <c r="U3376" s="118">
        <f t="shared" ref="U3376" si="2748">SUM(K3376:T3377)</f>
        <v>622230</v>
      </c>
      <c r="V3376" s="122"/>
      <c r="W3376" s="124"/>
      <c r="X3376" s="126" t="s">
        <v>11192</v>
      </c>
      <c r="Y3376" s="127"/>
      <c r="Z3376" s="127"/>
      <c r="AA3376" s="127"/>
      <c r="AB3376" s="128"/>
      <c r="AC3376" s="15" t="s">
        <v>20</v>
      </c>
      <c r="AD3376" s="129" t="s">
        <v>1670</v>
      </c>
      <c r="AE3376" s="130"/>
      <c r="AF3376" s="130"/>
      <c r="AG3376" s="130"/>
      <c r="AH3376" s="130"/>
      <c r="AI3376" s="131"/>
      <c r="AJ3376" s="132"/>
      <c r="AK3376" s="127"/>
      <c r="AL3376" s="128"/>
      <c r="AM3376" s="21"/>
      <c r="AN3376" s="133">
        <v>45983</v>
      </c>
      <c r="AO3376" s="134"/>
      <c r="AP3376" s="135">
        <v>1277</v>
      </c>
      <c r="AQ3376" s="136"/>
      <c r="AR3376" s="118">
        <v>640000</v>
      </c>
      <c r="AS3376" s="119"/>
      <c r="AT3376" s="118">
        <f t="shared" ref="AT3376" si="2749">AR3376*0.1</f>
        <v>64000</v>
      </c>
      <c r="AU3376" s="119"/>
      <c r="AV3376" s="118">
        <v>8430</v>
      </c>
      <c r="AW3376" s="119"/>
      <c r="AX3376" s="118">
        <f t="shared" ref="AX3376" si="2750">SUM(AR3376:AW3376)</f>
        <v>712430</v>
      </c>
      <c r="AY3376" s="119"/>
      <c r="AZ3376" s="137">
        <v>45987</v>
      </c>
    </row>
    <row r="3377" spans="1:52" ht="17.100000000000001" customHeight="1" thickBot="1">
      <c r="A3377" s="110"/>
      <c r="B3377" s="27" t="s">
        <v>4491</v>
      </c>
      <c r="C3377" s="27">
        <v>124</v>
      </c>
      <c r="D3377" s="14" t="s">
        <v>1592</v>
      </c>
      <c r="E3377" s="112"/>
      <c r="F3377" s="139" t="s">
        <v>10606</v>
      </c>
      <c r="G3377" s="140"/>
      <c r="H3377" s="141"/>
      <c r="I3377" s="26">
        <v>43707</v>
      </c>
      <c r="J3377" s="117"/>
      <c r="K3377" s="120"/>
      <c r="L3377" s="121"/>
      <c r="M3377" s="120"/>
      <c r="N3377" s="121"/>
      <c r="O3377" s="120"/>
      <c r="P3377" s="121"/>
      <c r="Q3377" s="120"/>
      <c r="R3377" s="121"/>
      <c r="S3377" s="120"/>
      <c r="T3377" s="121"/>
      <c r="U3377" s="120"/>
      <c r="V3377" s="123"/>
      <c r="W3377" s="125"/>
      <c r="X3377" s="142" t="s">
        <v>2057</v>
      </c>
      <c r="Y3377" s="143"/>
      <c r="Z3377" s="143"/>
      <c r="AA3377" s="143"/>
      <c r="AB3377" s="144"/>
      <c r="AC3377" s="16" t="s">
        <v>21</v>
      </c>
      <c r="AD3377" s="17" t="s">
        <v>11105</v>
      </c>
      <c r="AE3377" s="145" t="s">
        <v>10913</v>
      </c>
      <c r="AF3377" s="146"/>
      <c r="AG3377" s="146"/>
      <c r="AH3377" s="146"/>
      <c r="AI3377" s="147"/>
      <c r="AJ3377" s="148"/>
      <c r="AK3377" s="143"/>
      <c r="AL3377" s="144"/>
      <c r="AM3377" s="22"/>
      <c r="AN3377" s="149" t="s">
        <v>2511</v>
      </c>
      <c r="AO3377" s="144"/>
      <c r="AP3377" s="148">
        <v>62038</v>
      </c>
      <c r="AQ3377" s="144"/>
      <c r="AR3377" s="120"/>
      <c r="AS3377" s="121"/>
      <c r="AT3377" s="120"/>
      <c r="AU3377" s="121"/>
      <c r="AV3377" s="120"/>
      <c r="AW3377" s="121"/>
      <c r="AX3377" s="120"/>
      <c r="AY3377" s="121"/>
      <c r="AZ3377" s="138"/>
    </row>
    <row r="3378" spans="1:52" ht="17.100000000000001" customHeight="1" thickTop="1">
      <c r="A3378" s="109" t="s">
        <v>10593</v>
      </c>
      <c r="B3378" s="28">
        <v>45973</v>
      </c>
      <c r="C3378" s="25">
        <v>2330</v>
      </c>
      <c r="D3378" s="13" t="s">
        <v>1712</v>
      </c>
      <c r="E3378" s="111"/>
      <c r="F3378" s="113" t="s">
        <v>10607</v>
      </c>
      <c r="G3378" s="114"/>
      <c r="H3378" s="115"/>
      <c r="I3378" s="24"/>
      <c r="J3378" s="116">
        <v>4</v>
      </c>
      <c r="K3378" s="118">
        <v>785000</v>
      </c>
      <c r="L3378" s="119"/>
      <c r="M3378" s="118">
        <f t="shared" ref="M3378" si="2751">K3378*0.1</f>
        <v>78500</v>
      </c>
      <c r="N3378" s="119"/>
      <c r="O3378" s="118">
        <v>0</v>
      </c>
      <c r="P3378" s="119"/>
      <c r="Q3378" s="118">
        <v>9790</v>
      </c>
      <c r="R3378" s="119"/>
      <c r="S3378" s="118">
        <v>16500</v>
      </c>
      <c r="T3378" s="119"/>
      <c r="U3378" s="118">
        <f t="shared" ref="U3378" si="2752">SUM(K3378:T3379)</f>
        <v>889790</v>
      </c>
      <c r="V3378" s="122"/>
      <c r="W3378" s="124"/>
      <c r="X3378" s="126" t="s">
        <v>10860</v>
      </c>
      <c r="Y3378" s="127"/>
      <c r="Z3378" s="127"/>
      <c r="AA3378" s="127"/>
      <c r="AB3378" s="128"/>
      <c r="AC3378" s="15" t="s">
        <v>20</v>
      </c>
      <c r="AD3378" s="129"/>
      <c r="AE3378" s="130"/>
      <c r="AF3378" s="130"/>
      <c r="AG3378" s="130"/>
      <c r="AH3378" s="130"/>
      <c r="AI3378" s="131"/>
      <c r="AJ3378" s="132"/>
      <c r="AK3378" s="127"/>
      <c r="AL3378" s="128"/>
      <c r="AM3378" s="21"/>
      <c r="AN3378" s="133">
        <v>45976</v>
      </c>
      <c r="AO3378" s="134"/>
      <c r="AP3378" s="135">
        <v>1276</v>
      </c>
      <c r="AQ3378" s="136"/>
      <c r="AR3378" s="118">
        <v>880000</v>
      </c>
      <c r="AS3378" s="119"/>
      <c r="AT3378" s="118">
        <f t="shared" ref="AT3378" si="2753">AR3378*0.1</f>
        <v>88000</v>
      </c>
      <c r="AU3378" s="119"/>
      <c r="AV3378" s="118">
        <v>9790</v>
      </c>
      <c r="AW3378" s="119"/>
      <c r="AX3378" s="118">
        <f t="shared" ref="AX3378" si="2754">SUM(AR3378:AW3378)</f>
        <v>977790</v>
      </c>
      <c r="AY3378" s="119"/>
      <c r="AZ3378" s="137">
        <v>45979</v>
      </c>
    </row>
    <row r="3379" spans="1:52" ht="17.100000000000001" customHeight="1" thickBot="1">
      <c r="A3379" s="110"/>
      <c r="B3379" s="27" t="s">
        <v>3422</v>
      </c>
      <c r="C3379" s="27">
        <v>20101</v>
      </c>
      <c r="D3379" s="14" t="s">
        <v>2601</v>
      </c>
      <c r="E3379" s="112"/>
      <c r="F3379" s="139" t="s">
        <v>10608</v>
      </c>
      <c r="G3379" s="140"/>
      <c r="H3379" s="141"/>
      <c r="I3379" s="26">
        <v>48605</v>
      </c>
      <c r="J3379" s="117"/>
      <c r="K3379" s="120"/>
      <c r="L3379" s="121"/>
      <c r="M3379" s="120"/>
      <c r="N3379" s="121"/>
      <c r="O3379" s="120"/>
      <c r="P3379" s="121"/>
      <c r="Q3379" s="120"/>
      <c r="R3379" s="121"/>
      <c r="S3379" s="120"/>
      <c r="T3379" s="121"/>
      <c r="U3379" s="120"/>
      <c r="V3379" s="123"/>
      <c r="W3379" s="125"/>
      <c r="X3379" s="142" t="s">
        <v>7740</v>
      </c>
      <c r="Y3379" s="143"/>
      <c r="Z3379" s="143"/>
      <c r="AA3379" s="143"/>
      <c r="AB3379" s="144"/>
      <c r="AC3379" s="16" t="s">
        <v>21</v>
      </c>
      <c r="AD3379" s="17" t="s">
        <v>10858</v>
      </c>
      <c r="AE3379" s="145" t="s">
        <v>5302</v>
      </c>
      <c r="AF3379" s="146"/>
      <c r="AG3379" s="146"/>
      <c r="AH3379" s="146"/>
      <c r="AI3379" s="147"/>
      <c r="AJ3379" s="148" t="s">
        <v>10727</v>
      </c>
      <c r="AK3379" s="143"/>
      <c r="AL3379" s="144"/>
      <c r="AM3379" s="22"/>
      <c r="AN3379" s="149" t="s">
        <v>10999</v>
      </c>
      <c r="AO3379" s="144"/>
      <c r="AP3379" s="148">
        <v>60516</v>
      </c>
      <c r="AQ3379" s="144"/>
      <c r="AR3379" s="120"/>
      <c r="AS3379" s="121"/>
      <c r="AT3379" s="120"/>
      <c r="AU3379" s="121"/>
      <c r="AV3379" s="120"/>
      <c r="AW3379" s="121"/>
      <c r="AX3379" s="120"/>
      <c r="AY3379" s="121"/>
      <c r="AZ3379" s="138"/>
    </row>
    <row r="3380" spans="1:52" ht="17.100000000000001" customHeight="1" thickTop="1">
      <c r="A3380" s="109" t="s">
        <v>10609</v>
      </c>
      <c r="B3380" s="28">
        <v>45973</v>
      </c>
      <c r="C3380" s="25">
        <v>1813</v>
      </c>
      <c r="D3380" s="13" t="s">
        <v>2100</v>
      </c>
      <c r="E3380" s="111"/>
      <c r="F3380" s="113" t="s">
        <v>4585</v>
      </c>
      <c r="G3380" s="114"/>
      <c r="H3380" s="115"/>
      <c r="I3380" s="24"/>
      <c r="J3380" s="116">
        <v>4</v>
      </c>
      <c r="K3380" s="118">
        <v>1199000</v>
      </c>
      <c r="L3380" s="119"/>
      <c r="M3380" s="118">
        <f t="shared" ref="M3380" si="2755">K3380*0.1</f>
        <v>119900</v>
      </c>
      <c r="N3380" s="119"/>
      <c r="O3380" s="118">
        <v>0</v>
      </c>
      <c r="P3380" s="119"/>
      <c r="Q3380" s="118">
        <v>9010</v>
      </c>
      <c r="R3380" s="119"/>
      <c r="S3380" s="118">
        <v>18150</v>
      </c>
      <c r="T3380" s="119"/>
      <c r="U3380" s="118">
        <f t="shared" ref="U3380" si="2756">SUM(K3380:T3381)</f>
        <v>1346060</v>
      </c>
      <c r="V3380" s="122"/>
      <c r="W3380" s="124"/>
      <c r="X3380" s="126" t="s">
        <v>11073</v>
      </c>
      <c r="Y3380" s="127"/>
      <c r="Z3380" s="127"/>
      <c r="AA3380" s="127"/>
      <c r="AB3380" s="128"/>
      <c r="AC3380" s="15" t="s">
        <v>20</v>
      </c>
      <c r="AD3380" s="129"/>
      <c r="AE3380" s="130"/>
      <c r="AF3380" s="130"/>
      <c r="AG3380" s="130"/>
      <c r="AH3380" s="130"/>
      <c r="AI3380" s="131"/>
      <c r="AJ3380" s="132"/>
      <c r="AK3380" s="127"/>
      <c r="AL3380" s="128"/>
      <c r="AM3380" s="21"/>
      <c r="AN3380" s="133">
        <v>45976</v>
      </c>
      <c r="AO3380" s="134"/>
      <c r="AP3380" s="135">
        <v>1276</v>
      </c>
      <c r="AQ3380" s="136"/>
      <c r="AR3380" s="118">
        <v>1255000</v>
      </c>
      <c r="AS3380" s="119"/>
      <c r="AT3380" s="118">
        <f t="shared" ref="AT3380" si="2757">AR3380*0.1</f>
        <v>125500</v>
      </c>
      <c r="AU3380" s="119"/>
      <c r="AV3380" s="118">
        <v>9010</v>
      </c>
      <c r="AW3380" s="119"/>
      <c r="AX3380" s="118">
        <f t="shared" ref="AX3380" si="2758">SUM(AR3380:AW3380)</f>
        <v>1389510</v>
      </c>
      <c r="AY3380" s="119"/>
      <c r="AZ3380" s="137">
        <v>45981</v>
      </c>
    </row>
    <row r="3381" spans="1:52" ht="17.100000000000001" customHeight="1" thickBot="1">
      <c r="A3381" s="110"/>
      <c r="B3381" s="27" t="s">
        <v>2559</v>
      </c>
      <c r="C3381" s="27">
        <v>3304</v>
      </c>
      <c r="D3381" s="14" t="s">
        <v>1812</v>
      </c>
      <c r="E3381" s="112"/>
      <c r="F3381" s="139" t="s">
        <v>10616</v>
      </c>
      <c r="G3381" s="140"/>
      <c r="H3381" s="141"/>
      <c r="I3381" s="26">
        <v>30286</v>
      </c>
      <c r="J3381" s="117"/>
      <c r="K3381" s="120"/>
      <c r="L3381" s="121"/>
      <c r="M3381" s="120"/>
      <c r="N3381" s="121"/>
      <c r="O3381" s="120"/>
      <c r="P3381" s="121"/>
      <c r="Q3381" s="120"/>
      <c r="R3381" s="121"/>
      <c r="S3381" s="120"/>
      <c r="T3381" s="121"/>
      <c r="U3381" s="120"/>
      <c r="V3381" s="123"/>
      <c r="W3381" s="125"/>
      <c r="X3381" s="142" t="s">
        <v>11074</v>
      </c>
      <c r="Y3381" s="143"/>
      <c r="Z3381" s="143"/>
      <c r="AA3381" s="143"/>
      <c r="AB3381" s="144"/>
      <c r="AC3381" s="16" t="s">
        <v>21</v>
      </c>
      <c r="AD3381" s="17" t="s">
        <v>11075</v>
      </c>
      <c r="AE3381" s="145" t="s">
        <v>11024</v>
      </c>
      <c r="AF3381" s="146"/>
      <c r="AG3381" s="146"/>
      <c r="AH3381" s="146"/>
      <c r="AI3381" s="147"/>
      <c r="AJ3381" s="148"/>
      <c r="AK3381" s="143"/>
      <c r="AL3381" s="144"/>
      <c r="AM3381" s="22"/>
      <c r="AN3381" s="149" t="s">
        <v>10999</v>
      </c>
      <c r="AO3381" s="144"/>
      <c r="AP3381" s="148">
        <v>60528</v>
      </c>
      <c r="AQ3381" s="144"/>
      <c r="AR3381" s="120"/>
      <c r="AS3381" s="121"/>
      <c r="AT3381" s="120"/>
      <c r="AU3381" s="121"/>
      <c r="AV3381" s="120"/>
      <c r="AW3381" s="121"/>
      <c r="AX3381" s="120"/>
      <c r="AY3381" s="121"/>
      <c r="AZ3381" s="138"/>
    </row>
    <row r="3382" spans="1:52" ht="17.100000000000001" customHeight="1" thickTop="1">
      <c r="A3382" s="109" t="s">
        <v>10610</v>
      </c>
      <c r="B3382" s="28">
        <v>45973</v>
      </c>
      <c r="C3382" s="25">
        <v>1813</v>
      </c>
      <c r="D3382" s="13" t="s">
        <v>2681</v>
      </c>
      <c r="E3382" s="111"/>
      <c r="F3382" s="113" t="s">
        <v>6827</v>
      </c>
      <c r="G3382" s="114"/>
      <c r="H3382" s="115"/>
      <c r="I3382" s="24"/>
      <c r="J3382" s="116">
        <v>4.5</v>
      </c>
      <c r="K3382" s="118">
        <v>776000</v>
      </c>
      <c r="L3382" s="119"/>
      <c r="M3382" s="118">
        <f t="shared" ref="M3382" si="2759">K3382*0.1</f>
        <v>77600</v>
      </c>
      <c r="N3382" s="119"/>
      <c r="O3382" s="118">
        <v>0</v>
      </c>
      <c r="P3382" s="119"/>
      <c r="Q3382" s="118">
        <v>7860</v>
      </c>
      <c r="R3382" s="119"/>
      <c r="S3382" s="118">
        <v>18150</v>
      </c>
      <c r="T3382" s="119"/>
      <c r="U3382" s="118">
        <f t="shared" ref="U3382" si="2760">SUM(K3382:T3383)</f>
        <v>879610</v>
      </c>
      <c r="V3382" s="122"/>
      <c r="W3382" s="124"/>
      <c r="X3382" s="126" t="s">
        <v>11085</v>
      </c>
      <c r="Y3382" s="127"/>
      <c r="Z3382" s="127"/>
      <c r="AA3382" s="127"/>
      <c r="AB3382" s="128"/>
      <c r="AC3382" s="15" t="s">
        <v>20</v>
      </c>
      <c r="AD3382" s="129" t="s">
        <v>1670</v>
      </c>
      <c r="AE3382" s="130"/>
      <c r="AF3382" s="130"/>
      <c r="AG3382" s="130"/>
      <c r="AH3382" s="130"/>
      <c r="AI3382" s="131"/>
      <c r="AJ3382" s="132"/>
      <c r="AK3382" s="127"/>
      <c r="AL3382" s="128"/>
      <c r="AM3382" s="21"/>
      <c r="AN3382" s="133">
        <v>46046</v>
      </c>
      <c r="AO3382" s="134"/>
      <c r="AP3382" s="135">
        <v>1285</v>
      </c>
      <c r="AQ3382" s="136"/>
      <c r="AR3382" s="118">
        <v>865000</v>
      </c>
      <c r="AS3382" s="119"/>
      <c r="AT3382" s="118">
        <f t="shared" ref="AT3382" si="2761">AR3382*0.1</f>
        <v>86500</v>
      </c>
      <c r="AU3382" s="119"/>
      <c r="AV3382" s="118">
        <v>7860</v>
      </c>
      <c r="AW3382" s="119"/>
      <c r="AX3382" s="118">
        <f t="shared" ref="AX3382" si="2762">SUM(AR3382:AW3382)</f>
        <v>959360</v>
      </c>
      <c r="AY3382" s="119"/>
      <c r="AZ3382" s="137">
        <v>46049</v>
      </c>
    </row>
    <row r="3383" spans="1:52" ht="17.100000000000001" customHeight="1" thickBot="1">
      <c r="A3383" s="110"/>
      <c r="B3383" s="27" t="s">
        <v>2559</v>
      </c>
      <c r="C3383" s="27">
        <v>3324</v>
      </c>
      <c r="D3383" s="14" t="s">
        <v>1720</v>
      </c>
      <c r="E3383" s="112"/>
      <c r="F3383" s="139" t="s">
        <v>10617</v>
      </c>
      <c r="G3383" s="140"/>
      <c r="H3383" s="141"/>
      <c r="I3383" s="26">
        <v>36379</v>
      </c>
      <c r="J3383" s="117"/>
      <c r="K3383" s="120"/>
      <c r="L3383" s="121"/>
      <c r="M3383" s="120"/>
      <c r="N3383" s="121"/>
      <c r="O3383" s="120"/>
      <c r="P3383" s="121"/>
      <c r="Q3383" s="120"/>
      <c r="R3383" s="121"/>
      <c r="S3383" s="120"/>
      <c r="T3383" s="121"/>
      <c r="U3383" s="120"/>
      <c r="V3383" s="123"/>
      <c r="W3383" s="125"/>
      <c r="X3383" s="142" t="s">
        <v>9352</v>
      </c>
      <c r="Y3383" s="143"/>
      <c r="Z3383" s="143"/>
      <c r="AA3383" s="143"/>
      <c r="AB3383" s="144"/>
      <c r="AC3383" s="16" t="s">
        <v>21</v>
      </c>
      <c r="AD3383" s="17" t="s">
        <v>11075</v>
      </c>
      <c r="AE3383" s="145" t="s">
        <v>11086</v>
      </c>
      <c r="AF3383" s="146"/>
      <c r="AG3383" s="146"/>
      <c r="AH3383" s="146"/>
      <c r="AI3383" s="147"/>
      <c r="AJ3383" s="148"/>
      <c r="AK3383" s="143"/>
      <c r="AL3383" s="144"/>
      <c r="AM3383" s="22"/>
      <c r="AN3383" s="149" t="s">
        <v>2511</v>
      </c>
      <c r="AO3383" s="144"/>
      <c r="AP3383" s="148">
        <v>60001</v>
      </c>
      <c r="AQ3383" s="144"/>
      <c r="AR3383" s="120"/>
      <c r="AS3383" s="121"/>
      <c r="AT3383" s="120"/>
      <c r="AU3383" s="121"/>
      <c r="AV3383" s="120"/>
      <c r="AW3383" s="121"/>
      <c r="AX3383" s="120"/>
      <c r="AY3383" s="121"/>
      <c r="AZ3383" s="138"/>
    </row>
    <row r="3384" spans="1:52" ht="17.100000000000001" customHeight="1" thickTop="1">
      <c r="A3384" s="109" t="s">
        <v>10611</v>
      </c>
      <c r="B3384" s="28">
        <v>45973</v>
      </c>
      <c r="C3384" s="25">
        <v>1813</v>
      </c>
      <c r="D3384" s="13" t="s">
        <v>10618</v>
      </c>
      <c r="E3384" s="111"/>
      <c r="F3384" s="113" t="s">
        <v>4218</v>
      </c>
      <c r="G3384" s="114"/>
      <c r="H3384" s="115"/>
      <c r="I3384" s="24" t="s">
        <v>4314</v>
      </c>
      <c r="J3384" s="116">
        <v>4.5</v>
      </c>
      <c r="K3384" s="118">
        <v>530000</v>
      </c>
      <c r="L3384" s="119"/>
      <c r="M3384" s="118">
        <f t="shared" ref="M3384" si="2763">K3384*0.1</f>
        <v>53000</v>
      </c>
      <c r="N3384" s="119"/>
      <c r="O3384" s="118">
        <v>0</v>
      </c>
      <c r="P3384" s="119"/>
      <c r="Q3384" s="118">
        <v>8460</v>
      </c>
      <c r="R3384" s="119"/>
      <c r="S3384" s="118">
        <v>18150</v>
      </c>
      <c r="T3384" s="119"/>
      <c r="U3384" s="118">
        <f t="shared" ref="U3384" si="2764">SUM(K3384:T3385)</f>
        <v>609610</v>
      </c>
      <c r="V3384" s="122"/>
      <c r="W3384" s="124"/>
      <c r="X3384" s="126" t="s">
        <v>10620</v>
      </c>
      <c r="Y3384" s="127"/>
      <c r="Z3384" s="127"/>
      <c r="AA3384" s="127"/>
      <c r="AB3384" s="128"/>
      <c r="AC3384" s="15" t="s">
        <v>20</v>
      </c>
      <c r="AD3384" s="129" t="s">
        <v>171</v>
      </c>
      <c r="AE3384" s="130"/>
      <c r="AF3384" s="130"/>
      <c r="AG3384" s="130"/>
      <c r="AH3384" s="130"/>
      <c r="AI3384" s="131"/>
      <c r="AJ3384" s="132"/>
      <c r="AK3384" s="127"/>
      <c r="AL3384" s="128"/>
      <c r="AM3384" s="21"/>
      <c r="AN3384" s="133">
        <v>45976</v>
      </c>
      <c r="AO3384" s="134"/>
      <c r="AP3384" s="135">
        <v>1276</v>
      </c>
      <c r="AQ3384" s="136"/>
      <c r="AR3384" s="118">
        <v>575000</v>
      </c>
      <c r="AS3384" s="119"/>
      <c r="AT3384" s="118">
        <f t="shared" ref="AT3384" si="2765">AR3384*0.1</f>
        <v>57500</v>
      </c>
      <c r="AU3384" s="119"/>
      <c r="AV3384" s="118">
        <v>8460</v>
      </c>
      <c r="AW3384" s="119"/>
      <c r="AX3384" s="118">
        <f t="shared" ref="AX3384" si="2766">SUM(AR3384:AW3384)</f>
        <v>640960</v>
      </c>
      <c r="AY3384" s="119"/>
      <c r="AZ3384" s="137">
        <v>45986</v>
      </c>
    </row>
    <row r="3385" spans="1:52" ht="17.100000000000001" customHeight="1" thickBot="1">
      <c r="A3385" s="110"/>
      <c r="B3385" s="27" t="s">
        <v>2559</v>
      </c>
      <c r="C3385" s="27">
        <v>3450</v>
      </c>
      <c r="D3385" s="14" t="s">
        <v>2601</v>
      </c>
      <c r="E3385" s="112"/>
      <c r="F3385" s="139" t="s">
        <v>10619</v>
      </c>
      <c r="G3385" s="140"/>
      <c r="H3385" s="141"/>
      <c r="I3385" s="26">
        <v>29402</v>
      </c>
      <c r="J3385" s="117"/>
      <c r="K3385" s="120"/>
      <c r="L3385" s="121"/>
      <c r="M3385" s="120"/>
      <c r="N3385" s="121"/>
      <c r="O3385" s="120"/>
      <c r="P3385" s="121"/>
      <c r="Q3385" s="120"/>
      <c r="R3385" s="121"/>
      <c r="S3385" s="120"/>
      <c r="T3385" s="121"/>
      <c r="U3385" s="120"/>
      <c r="V3385" s="123"/>
      <c r="W3385" s="125"/>
      <c r="X3385" s="142" t="s">
        <v>11315</v>
      </c>
      <c r="Y3385" s="143"/>
      <c r="Z3385" s="143"/>
      <c r="AA3385" s="143"/>
      <c r="AB3385" s="144"/>
      <c r="AC3385" s="16" t="s">
        <v>21</v>
      </c>
      <c r="AD3385" s="17" t="s">
        <v>2630</v>
      </c>
      <c r="AE3385" s="145" t="s">
        <v>171</v>
      </c>
      <c r="AF3385" s="146"/>
      <c r="AG3385" s="146"/>
      <c r="AH3385" s="146"/>
      <c r="AI3385" s="147"/>
      <c r="AJ3385" s="148"/>
      <c r="AK3385" s="143"/>
      <c r="AL3385" s="144"/>
      <c r="AM3385" s="22"/>
      <c r="AN3385" s="149" t="s">
        <v>10999</v>
      </c>
      <c r="AO3385" s="144"/>
      <c r="AP3385" s="148">
        <v>60523</v>
      </c>
      <c r="AQ3385" s="144"/>
      <c r="AR3385" s="120"/>
      <c r="AS3385" s="121"/>
      <c r="AT3385" s="120"/>
      <c r="AU3385" s="121"/>
      <c r="AV3385" s="120"/>
      <c r="AW3385" s="121"/>
      <c r="AX3385" s="120"/>
      <c r="AY3385" s="121"/>
      <c r="AZ3385" s="138"/>
    </row>
    <row r="3386" spans="1:52" ht="17.100000000000001" customHeight="1" thickTop="1">
      <c r="A3386" s="109" t="s">
        <v>10612</v>
      </c>
      <c r="B3386" s="28">
        <v>45973</v>
      </c>
      <c r="C3386" s="25">
        <v>1813</v>
      </c>
      <c r="D3386" s="13" t="s">
        <v>2157</v>
      </c>
      <c r="E3386" s="111"/>
      <c r="F3386" s="113" t="s">
        <v>4918</v>
      </c>
      <c r="G3386" s="114"/>
      <c r="H3386" s="115"/>
      <c r="I3386" s="24" t="s">
        <v>4314</v>
      </c>
      <c r="J3386" s="116">
        <v>4</v>
      </c>
      <c r="K3386" s="118">
        <v>1130000</v>
      </c>
      <c r="L3386" s="119"/>
      <c r="M3386" s="118">
        <f t="shared" ref="M3386" si="2767">K3386*0.1</f>
        <v>113000</v>
      </c>
      <c r="N3386" s="119"/>
      <c r="O3386" s="118">
        <f>15000+1500</f>
        <v>16500</v>
      </c>
      <c r="P3386" s="119"/>
      <c r="Q3386" s="118">
        <v>16260</v>
      </c>
      <c r="R3386" s="119"/>
      <c r="S3386" s="118">
        <v>18150</v>
      </c>
      <c r="T3386" s="119"/>
      <c r="U3386" s="118">
        <f t="shared" ref="U3386" si="2768">SUM(K3386:T3387)</f>
        <v>1293910</v>
      </c>
      <c r="V3386" s="122"/>
      <c r="W3386" s="124"/>
      <c r="X3386" s="126" t="s">
        <v>10622</v>
      </c>
      <c r="Y3386" s="127"/>
      <c r="Z3386" s="127"/>
      <c r="AA3386" s="127"/>
      <c r="AB3386" s="128"/>
      <c r="AC3386" s="15" t="s">
        <v>20</v>
      </c>
      <c r="AD3386" s="129"/>
      <c r="AE3386" s="130"/>
      <c r="AF3386" s="130"/>
      <c r="AG3386" s="130"/>
      <c r="AH3386" s="130"/>
      <c r="AI3386" s="131"/>
      <c r="AJ3386" s="132"/>
      <c r="AK3386" s="127"/>
      <c r="AL3386" s="128"/>
      <c r="AM3386" s="21" t="s">
        <v>13951</v>
      </c>
      <c r="AN3386" s="133">
        <v>46036</v>
      </c>
      <c r="AO3386" s="134"/>
      <c r="AP3386" s="135">
        <v>1000</v>
      </c>
      <c r="AQ3386" s="136"/>
      <c r="AR3386" s="118">
        <v>1205000</v>
      </c>
      <c r="AS3386" s="119"/>
      <c r="AT3386" s="118">
        <f t="shared" ref="AT3386" si="2769">AR3386*0.1</f>
        <v>120500</v>
      </c>
      <c r="AU3386" s="119"/>
      <c r="AV3386" s="118">
        <v>16260</v>
      </c>
      <c r="AW3386" s="119"/>
      <c r="AX3386" s="118">
        <f t="shared" ref="AX3386" si="2770">SUM(AR3386:AW3386)</f>
        <v>1341760</v>
      </c>
      <c r="AY3386" s="119"/>
      <c r="AZ3386" s="137">
        <v>46041</v>
      </c>
    </row>
    <row r="3387" spans="1:52" ht="17.100000000000001" customHeight="1" thickBot="1">
      <c r="A3387" s="110"/>
      <c r="B3387" s="27" t="s">
        <v>2559</v>
      </c>
      <c r="C3387" s="27">
        <v>30054</v>
      </c>
      <c r="D3387" s="14" t="s">
        <v>275</v>
      </c>
      <c r="E3387" s="112"/>
      <c r="F3387" s="139" t="s">
        <v>10621</v>
      </c>
      <c r="G3387" s="140"/>
      <c r="H3387" s="141"/>
      <c r="I3387" s="26">
        <v>64496</v>
      </c>
      <c r="J3387" s="117"/>
      <c r="K3387" s="120"/>
      <c r="L3387" s="121"/>
      <c r="M3387" s="120"/>
      <c r="N3387" s="121"/>
      <c r="O3387" s="120"/>
      <c r="P3387" s="121"/>
      <c r="Q3387" s="120"/>
      <c r="R3387" s="121"/>
      <c r="S3387" s="120"/>
      <c r="T3387" s="121"/>
      <c r="U3387" s="120"/>
      <c r="V3387" s="123"/>
      <c r="W3387" s="125"/>
      <c r="X3387" s="142" t="s">
        <v>11084</v>
      </c>
      <c r="Y3387" s="143"/>
      <c r="Z3387" s="143"/>
      <c r="AA3387" s="143"/>
      <c r="AB3387" s="144"/>
      <c r="AC3387" s="16" t="s">
        <v>21</v>
      </c>
      <c r="AD3387" s="17" t="s">
        <v>11075</v>
      </c>
      <c r="AE3387" s="145"/>
      <c r="AF3387" s="146"/>
      <c r="AG3387" s="146"/>
      <c r="AH3387" s="146"/>
      <c r="AI3387" s="147"/>
      <c r="AJ3387" s="148"/>
      <c r="AK3387" s="143"/>
      <c r="AL3387" s="144"/>
      <c r="AM3387" s="22"/>
      <c r="AN3387" s="149" t="s">
        <v>2794</v>
      </c>
      <c r="AO3387" s="144"/>
      <c r="AP3387" s="148">
        <v>6032</v>
      </c>
      <c r="AQ3387" s="144"/>
      <c r="AR3387" s="120"/>
      <c r="AS3387" s="121"/>
      <c r="AT3387" s="120"/>
      <c r="AU3387" s="121"/>
      <c r="AV3387" s="120"/>
      <c r="AW3387" s="121"/>
      <c r="AX3387" s="120"/>
      <c r="AY3387" s="121"/>
      <c r="AZ3387" s="138"/>
    </row>
    <row r="3388" spans="1:52" ht="17.100000000000001" customHeight="1" thickTop="1">
      <c r="A3388" s="109" t="s">
        <v>10613</v>
      </c>
      <c r="B3388" s="28">
        <v>45973</v>
      </c>
      <c r="C3388" s="25">
        <v>1813</v>
      </c>
      <c r="D3388" s="13" t="s">
        <v>3749</v>
      </c>
      <c r="E3388" s="111"/>
      <c r="F3388" s="113" t="s">
        <v>4918</v>
      </c>
      <c r="G3388" s="114"/>
      <c r="H3388" s="115"/>
      <c r="I3388" s="24" t="s">
        <v>2577</v>
      </c>
      <c r="J3388" s="116">
        <v>4</v>
      </c>
      <c r="K3388" s="118">
        <v>1305000</v>
      </c>
      <c r="L3388" s="119"/>
      <c r="M3388" s="118">
        <f t="shared" ref="M3388" si="2771">K3388*0.1</f>
        <v>130500</v>
      </c>
      <c r="N3388" s="119"/>
      <c r="O3388" s="118">
        <f>15000+1500</f>
        <v>16500</v>
      </c>
      <c r="P3388" s="119"/>
      <c r="Q3388" s="118">
        <v>14930</v>
      </c>
      <c r="R3388" s="119"/>
      <c r="S3388" s="118">
        <v>18150</v>
      </c>
      <c r="T3388" s="119"/>
      <c r="U3388" s="118">
        <f t="shared" ref="U3388" si="2772">SUM(K3388:T3389)</f>
        <v>1485080</v>
      </c>
      <c r="V3388" s="122"/>
      <c r="W3388" s="124"/>
      <c r="X3388" s="126" t="s">
        <v>10624</v>
      </c>
      <c r="Y3388" s="127"/>
      <c r="Z3388" s="127"/>
      <c r="AA3388" s="127"/>
      <c r="AB3388" s="128"/>
      <c r="AC3388" s="15" t="s">
        <v>20</v>
      </c>
      <c r="AD3388" s="129" t="s">
        <v>186</v>
      </c>
      <c r="AE3388" s="130"/>
      <c r="AF3388" s="130"/>
      <c r="AG3388" s="130"/>
      <c r="AH3388" s="130"/>
      <c r="AI3388" s="131"/>
      <c r="AJ3388" s="132"/>
      <c r="AK3388" s="127"/>
      <c r="AL3388" s="128"/>
      <c r="AM3388" s="21" t="s">
        <v>13950</v>
      </c>
      <c r="AN3388" s="133">
        <v>46060</v>
      </c>
      <c r="AO3388" s="134"/>
      <c r="AP3388" s="135">
        <v>1287</v>
      </c>
      <c r="AQ3388" s="136"/>
      <c r="AR3388" s="118">
        <v>1385000</v>
      </c>
      <c r="AS3388" s="119"/>
      <c r="AT3388" s="118">
        <f t="shared" ref="AT3388" si="2773">AR3388*0.1</f>
        <v>138500</v>
      </c>
      <c r="AU3388" s="119"/>
      <c r="AV3388" s="118">
        <v>14930</v>
      </c>
      <c r="AW3388" s="119"/>
      <c r="AX3388" s="118">
        <f t="shared" ref="AX3388" si="2774">SUM(AR3388:AW3388)</f>
        <v>1538430</v>
      </c>
      <c r="AY3388" s="119"/>
      <c r="AZ3388" s="137">
        <v>46065</v>
      </c>
    </row>
    <row r="3389" spans="1:52" ht="17.100000000000001" customHeight="1" thickBot="1">
      <c r="A3389" s="110"/>
      <c r="B3389" s="27" t="s">
        <v>2559</v>
      </c>
      <c r="C3389" s="27">
        <v>36050</v>
      </c>
      <c r="D3389" s="14" t="s">
        <v>2601</v>
      </c>
      <c r="E3389" s="112"/>
      <c r="F3389" s="139" t="s">
        <v>10623</v>
      </c>
      <c r="G3389" s="140"/>
      <c r="H3389" s="141"/>
      <c r="I3389" s="26">
        <v>51930</v>
      </c>
      <c r="J3389" s="117"/>
      <c r="K3389" s="120"/>
      <c r="L3389" s="121"/>
      <c r="M3389" s="120"/>
      <c r="N3389" s="121"/>
      <c r="O3389" s="120"/>
      <c r="P3389" s="121"/>
      <c r="Q3389" s="120"/>
      <c r="R3389" s="121"/>
      <c r="S3389" s="120"/>
      <c r="T3389" s="121"/>
      <c r="U3389" s="120"/>
      <c r="V3389" s="123"/>
      <c r="W3389" s="125"/>
      <c r="X3389" s="142" t="s">
        <v>11082</v>
      </c>
      <c r="Y3389" s="143"/>
      <c r="Z3389" s="143"/>
      <c r="AA3389" s="143"/>
      <c r="AB3389" s="144"/>
      <c r="AC3389" s="16" t="s">
        <v>21</v>
      </c>
      <c r="AD3389" s="17" t="s">
        <v>11075</v>
      </c>
      <c r="AE3389" s="145" t="s">
        <v>11083</v>
      </c>
      <c r="AF3389" s="146"/>
      <c r="AG3389" s="146"/>
      <c r="AH3389" s="146"/>
      <c r="AI3389" s="147"/>
      <c r="AJ3389" s="148"/>
      <c r="AK3389" s="143"/>
      <c r="AL3389" s="144"/>
      <c r="AM3389" s="22"/>
      <c r="AN3389" s="149" t="s">
        <v>6748</v>
      </c>
      <c r="AO3389" s="144"/>
      <c r="AP3389" s="148">
        <v>50032</v>
      </c>
      <c r="AQ3389" s="144"/>
      <c r="AR3389" s="120"/>
      <c r="AS3389" s="121"/>
      <c r="AT3389" s="120"/>
      <c r="AU3389" s="121"/>
      <c r="AV3389" s="120"/>
      <c r="AW3389" s="121"/>
      <c r="AX3389" s="120"/>
      <c r="AY3389" s="121"/>
      <c r="AZ3389" s="138"/>
    </row>
    <row r="3390" spans="1:52" ht="17.100000000000001" customHeight="1" thickTop="1">
      <c r="A3390" s="109" t="s">
        <v>10614</v>
      </c>
      <c r="B3390" s="28">
        <v>45973</v>
      </c>
      <c r="C3390" s="25">
        <v>1813</v>
      </c>
      <c r="D3390" s="13" t="s">
        <v>1920</v>
      </c>
      <c r="E3390" s="111"/>
      <c r="F3390" s="113" t="s">
        <v>3163</v>
      </c>
      <c r="G3390" s="114"/>
      <c r="H3390" s="115"/>
      <c r="I3390" s="24"/>
      <c r="J3390" s="116">
        <v>4.5</v>
      </c>
      <c r="K3390" s="118">
        <v>435000</v>
      </c>
      <c r="L3390" s="119"/>
      <c r="M3390" s="118">
        <f t="shared" ref="M3390" si="2775">K3390*0.1</f>
        <v>43500</v>
      </c>
      <c r="N3390" s="119"/>
      <c r="O3390" s="118">
        <v>0</v>
      </c>
      <c r="P3390" s="119"/>
      <c r="Q3390" s="118">
        <v>19440</v>
      </c>
      <c r="R3390" s="119"/>
      <c r="S3390" s="118">
        <v>18150</v>
      </c>
      <c r="T3390" s="119"/>
      <c r="U3390" s="118">
        <f t="shared" ref="U3390" si="2776">SUM(K3390:T3391)</f>
        <v>516090</v>
      </c>
      <c r="V3390" s="122"/>
      <c r="W3390" s="124"/>
      <c r="X3390" s="126" t="s">
        <v>11078</v>
      </c>
      <c r="Y3390" s="127"/>
      <c r="Z3390" s="127"/>
      <c r="AA3390" s="127"/>
      <c r="AB3390" s="128"/>
      <c r="AC3390" s="15" t="s">
        <v>20</v>
      </c>
      <c r="AD3390" s="129"/>
      <c r="AE3390" s="130"/>
      <c r="AF3390" s="130"/>
      <c r="AG3390" s="130"/>
      <c r="AH3390" s="130"/>
      <c r="AI3390" s="131"/>
      <c r="AJ3390" s="132"/>
      <c r="AK3390" s="127"/>
      <c r="AL3390" s="128"/>
      <c r="AM3390" s="21"/>
      <c r="AN3390" s="133">
        <v>45983</v>
      </c>
      <c r="AO3390" s="134"/>
      <c r="AP3390" s="135">
        <v>1277</v>
      </c>
      <c r="AQ3390" s="136"/>
      <c r="AR3390" s="118">
        <v>600000</v>
      </c>
      <c r="AS3390" s="119"/>
      <c r="AT3390" s="118">
        <f t="shared" ref="AT3390" si="2777">AR3390*0.1</f>
        <v>60000</v>
      </c>
      <c r="AU3390" s="119"/>
      <c r="AV3390" s="118">
        <v>19440</v>
      </c>
      <c r="AW3390" s="119"/>
      <c r="AX3390" s="118">
        <f t="shared" ref="AX3390" si="2778">SUM(AR3390:AW3390)</f>
        <v>679440</v>
      </c>
      <c r="AY3390" s="119"/>
      <c r="AZ3390" s="137">
        <v>45987</v>
      </c>
    </row>
    <row r="3391" spans="1:52" ht="17.100000000000001" customHeight="1" thickBot="1">
      <c r="A3391" s="110"/>
      <c r="B3391" s="27" t="s">
        <v>2559</v>
      </c>
      <c r="C3391" s="27">
        <v>38112</v>
      </c>
      <c r="D3391" s="14" t="s">
        <v>904</v>
      </c>
      <c r="E3391" s="112"/>
      <c r="F3391" s="139" t="s">
        <v>10625</v>
      </c>
      <c r="G3391" s="140"/>
      <c r="H3391" s="141"/>
      <c r="I3391" s="26">
        <v>87254</v>
      </c>
      <c r="J3391" s="117"/>
      <c r="K3391" s="120"/>
      <c r="L3391" s="121"/>
      <c r="M3391" s="120"/>
      <c r="N3391" s="121"/>
      <c r="O3391" s="120"/>
      <c r="P3391" s="121"/>
      <c r="Q3391" s="120"/>
      <c r="R3391" s="121"/>
      <c r="S3391" s="120"/>
      <c r="T3391" s="121"/>
      <c r="U3391" s="120"/>
      <c r="V3391" s="123"/>
      <c r="W3391" s="125"/>
      <c r="X3391" s="142" t="s">
        <v>11079</v>
      </c>
      <c r="Y3391" s="143"/>
      <c r="Z3391" s="143"/>
      <c r="AA3391" s="143"/>
      <c r="AB3391" s="144"/>
      <c r="AC3391" s="16" t="s">
        <v>21</v>
      </c>
      <c r="AD3391" s="17" t="s">
        <v>11075</v>
      </c>
      <c r="AE3391" s="145" t="s">
        <v>2195</v>
      </c>
      <c r="AF3391" s="146"/>
      <c r="AG3391" s="146"/>
      <c r="AH3391" s="146"/>
      <c r="AI3391" s="147"/>
      <c r="AJ3391" s="148"/>
      <c r="AK3391" s="143"/>
      <c r="AL3391" s="144"/>
      <c r="AM3391" s="22"/>
      <c r="AN3391" s="149" t="s">
        <v>2511</v>
      </c>
      <c r="AO3391" s="144"/>
      <c r="AP3391" s="148">
        <v>80020</v>
      </c>
      <c r="AQ3391" s="144"/>
      <c r="AR3391" s="120"/>
      <c r="AS3391" s="121"/>
      <c r="AT3391" s="120"/>
      <c r="AU3391" s="121"/>
      <c r="AV3391" s="120"/>
      <c r="AW3391" s="121"/>
      <c r="AX3391" s="120"/>
      <c r="AY3391" s="121"/>
      <c r="AZ3391" s="138"/>
    </row>
    <row r="3392" spans="1:52" ht="17.100000000000001" customHeight="1" thickTop="1">
      <c r="A3392" s="109" t="s">
        <v>10615</v>
      </c>
      <c r="B3392" s="28">
        <v>45973</v>
      </c>
      <c r="C3392" s="25">
        <v>1813</v>
      </c>
      <c r="D3392" s="13" t="s">
        <v>2442</v>
      </c>
      <c r="E3392" s="111"/>
      <c r="F3392" s="113" t="s">
        <v>10626</v>
      </c>
      <c r="G3392" s="114"/>
      <c r="H3392" s="115"/>
      <c r="I3392" s="24"/>
      <c r="J3392" s="116">
        <v>4.5</v>
      </c>
      <c r="K3392" s="118">
        <v>825000</v>
      </c>
      <c r="L3392" s="119"/>
      <c r="M3392" s="118">
        <f t="shared" ref="M3392" si="2779">K3392*0.1</f>
        <v>82500</v>
      </c>
      <c r="N3392" s="119"/>
      <c r="O3392" s="118">
        <v>0</v>
      </c>
      <c r="P3392" s="119"/>
      <c r="Q3392" s="118">
        <v>11810</v>
      </c>
      <c r="R3392" s="119"/>
      <c r="S3392" s="118">
        <v>18150</v>
      </c>
      <c r="T3392" s="119"/>
      <c r="U3392" s="118">
        <f t="shared" ref="U3392" si="2780">SUM(K3392:T3393)</f>
        <v>937460</v>
      </c>
      <c r="V3392" s="122"/>
      <c r="W3392" s="124"/>
      <c r="X3392" s="126" t="s">
        <v>10927</v>
      </c>
      <c r="Y3392" s="127"/>
      <c r="Z3392" s="127"/>
      <c r="AA3392" s="127"/>
      <c r="AB3392" s="128"/>
      <c r="AC3392" s="15" t="s">
        <v>20</v>
      </c>
      <c r="AD3392" s="129"/>
      <c r="AE3392" s="130"/>
      <c r="AF3392" s="130"/>
      <c r="AG3392" s="130"/>
      <c r="AH3392" s="130"/>
      <c r="AI3392" s="131"/>
      <c r="AJ3392" s="132"/>
      <c r="AK3392" s="127"/>
      <c r="AL3392" s="128"/>
      <c r="AM3392" s="21"/>
      <c r="AN3392" s="133">
        <v>45983</v>
      </c>
      <c r="AO3392" s="134"/>
      <c r="AP3392" s="135">
        <v>1277</v>
      </c>
      <c r="AQ3392" s="136"/>
      <c r="AR3392" s="118">
        <v>970000</v>
      </c>
      <c r="AS3392" s="119"/>
      <c r="AT3392" s="118">
        <f t="shared" ref="AT3392" si="2781">AR3392*0.1</f>
        <v>97000</v>
      </c>
      <c r="AU3392" s="119"/>
      <c r="AV3392" s="118">
        <v>11810</v>
      </c>
      <c r="AW3392" s="119"/>
      <c r="AX3392" s="118">
        <f t="shared" ref="AX3392" si="2782">SUM(AR3392:AW3392)</f>
        <v>1078810</v>
      </c>
      <c r="AY3392" s="119"/>
      <c r="AZ3392" s="137">
        <v>45987</v>
      </c>
    </row>
    <row r="3393" spans="1:52" ht="17.100000000000001" customHeight="1" thickBot="1">
      <c r="A3393" s="110"/>
      <c r="B3393" s="27" t="s">
        <v>2559</v>
      </c>
      <c r="C3393" s="27">
        <v>38221</v>
      </c>
      <c r="D3393" s="14" t="s">
        <v>1592</v>
      </c>
      <c r="E3393" s="112"/>
      <c r="F3393" s="139" t="s">
        <v>10627</v>
      </c>
      <c r="G3393" s="140"/>
      <c r="H3393" s="141"/>
      <c r="I3393" s="26">
        <v>54837</v>
      </c>
      <c r="J3393" s="117"/>
      <c r="K3393" s="120"/>
      <c r="L3393" s="121"/>
      <c r="M3393" s="120"/>
      <c r="N3393" s="121"/>
      <c r="O3393" s="120"/>
      <c r="P3393" s="121"/>
      <c r="Q3393" s="120"/>
      <c r="R3393" s="121"/>
      <c r="S3393" s="120"/>
      <c r="T3393" s="121"/>
      <c r="U3393" s="120"/>
      <c r="V3393" s="123"/>
      <c r="W3393" s="125"/>
      <c r="X3393" s="142" t="s">
        <v>10928</v>
      </c>
      <c r="Y3393" s="143"/>
      <c r="Z3393" s="143"/>
      <c r="AA3393" s="143"/>
      <c r="AB3393" s="144"/>
      <c r="AC3393" s="16" t="s">
        <v>21</v>
      </c>
      <c r="AD3393" s="17" t="s">
        <v>10911</v>
      </c>
      <c r="AE3393" s="145" t="s">
        <v>10929</v>
      </c>
      <c r="AF3393" s="146"/>
      <c r="AG3393" s="146"/>
      <c r="AH3393" s="146"/>
      <c r="AI3393" s="147"/>
      <c r="AJ3393" s="148"/>
      <c r="AK3393" s="143"/>
      <c r="AL3393" s="144"/>
      <c r="AM3393" s="22"/>
      <c r="AN3393" s="149" t="s">
        <v>2511</v>
      </c>
      <c r="AO3393" s="144"/>
      <c r="AP3393" s="148">
        <v>80009</v>
      </c>
      <c r="AQ3393" s="144"/>
      <c r="AR3393" s="120"/>
      <c r="AS3393" s="121"/>
      <c r="AT3393" s="120"/>
      <c r="AU3393" s="121"/>
      <c r="AV3393" s="120"/>
      <c r="AW3393" s="121"/>
      <c r="AX3393" s="120"/>
      <c r="AY3393" s="121"/>
      <c r="AZ3393" s="138"/>
    </row>
    <row r="3394" spans="1:52" ht="17.100000000000001" customHeight="1" thickTop="1">
      <c r="A3394" s="109" t="s">
        <v>10700</v>
      </c>
      <c r="B3394" s="28">
        <v>45974</v>
      </c>
      <c r="C3394" s="25">
        <v>1306</v>
      </c>
      <c r="D3394" s="13" t="s">
        <v>1863</v>
      </c>
      <c r="E3394" s="111"/>
      <c r="F3394" s="113" t="s">
        <v>2732</v>
      </c>
      <c r="G3394" s="114"/>
      <c r="H3394" s="115"/>
      <c r="I3394" s="24" t="s">
        <v>2943</v>
      </c>
      <c r="J3394" s="116">
        <v>4</v>
      </c>
      <c r="K3394" s="118">
        <v>1090000</v>
      </c>
      <c r="L3394" s="119"/>
      <c r="M3394" s="118">
        <f t="shared" ref="M3394" si="2783">K3394*0.1</f>
        <v>109000</v>
      </c>
      <c r="N3394" s="119"/>
      <c r="O3394" s="118">
        <f>13100+1310</f>
        <v>14410</v>
      </c>
      <c r="P3394" s="119"/>
      <c r="Q3394" s="118">
        <v>19090</v>
      </c>
      <c r="R3394" s="119"/>
      <c r="S3394" s="118">
        <v>14300</v>
      </c>
      <c r="T3394" s="119"/>
      <c r="U3394" s="118">
        <f t="shared" ref="U3394" si="2784">SUM(K3394:T3395)</f>
        <v>1246800</v>
      </c>
      <c r="V3394" s="122"/>
      <c r="W3394" s="124"/>
      <c r="X3394" s="126" t="s">
        <v>10706</v>
      </c>
      <c r="Y3394" s="127"/>
      <c r="Z3394" s="127"/>
      <c r="AA3394" s="127"/>
      <c r="AB3394" s="128"/>
      <c r="AC3394" s="15" t="s">
        <v>20</v>
      </c>
      <c r="AD3394" s="129" t="s">
        <v>1732</v>
      </c>
      <c r="AE3394" s="130"/>
      <c r="AF3394" s="130"/>
      <c r="AG3394" s="130"/>
      <c r="AH3394" s="130"/>
      <c r="AI3394" s="131"/>
      <c r="AJ3394" s="132"/>
      <c r="AK3394" s="127"/>
      <c r="AL3394" s="128"/>
      <c r="AM3394" s="21"/>
      <c r="AN3394" s="133">
        <v>46011</v>
      </c>
      <c r="AO3394" s="134"/>
      <c r="AP3394" s="135">
        <v>1281</v>
      </c>
      <c r="AQ3394" s="136"/>
      <c r="AR3394" s="118">
        <v>1270000</v>
      </c>
      <c r="AS3394" s="119"/>
      <c r="AT3394" s="118">
        <f t="shared" ref="AT3394" si="2785">AR3394*0.1</f>
        <v>127000</v>
      </c>
      <c r="AU3394" s="119"/>
      <c r="AV3394" s="118">
        <v>19090</v>
      </c>
      <c r="AW3394" s="119"/>
      <c r="AX3394" s="118">
        <f t="shared" ref="AX3394" si="2786">SUM(AR3394:AW3394)</f>
        <v>1416090</v>
      </c>
      <c r="AY3394" s="119"/>
      <c r="AZ3394" s="137">
        <v>46014</v>
      </c>
    </row>
    <row r="3395" spans="1:52" ht="17.100000000000001" customHeight="1" thickBot="1">
      <c r="A3395" s="110"/>
      <c r="B3395" s="27" t="s">
        <v>1747</v>
      </c>
      <c r="C3395" s="27">
        <v>305</v>
      </c>
      <c r="D3395" s="14" t="s">
        <v>1592</v>
      </c>
      <c r="E3395" s="112"/>
      <c r="F3395" s="139" t="s">
        <v>10703</v>
      </c>
      <c r="G3395" s="140"/>
      <c r="H3395" s="141"/>
      <c r="I3395" s="26">
        <v>65725</v>
      </c>
      <c r="J3395" s="117"/>
      <c r="K3395" s="120"/>
      <c r="L3395" s="121"/>
      <c r="M3395" s="120"/>
      <c r="N3395" s="121"/>
      <c r="O3395" s="120"/>
      <c r="P3395" s="121"/>
      <c r="Q3395" s="120"/>
      <c r="R3395" s="121"/>
      <c r="S3395" s="120"/>
      <c r="T3395" s="121"/>
      <c r="U3395" s="120"/>
      <c r="V3395" s="123"/>
      <c r="W3395" s="125"/>
      <c r="X3395" s="142" t="s">
        <v>10924</v>
      </c>
      <c r="Y3395" s="143"/>
      <c r="Z3395" s="143"/>
      <c r="AA3395" s="143"/>
      <c r="AB3395" s="144"/>
      <c r="AC3395" s="16" t="s">
        <v>21</v>
      </c>
      <c r="AD3395" s="17" t="s">
        <v>10911</v>
      </c>
      <c r="AE3395" s="145" t="s">
        <v>10922</v>
      </c>
      <c r="AF3395" s="146"/>
      <c r="AG3395" s="146"/>
      <c r="AH3395" s="146"/>
      <c r="AI3395" s="147"/>
      <c r="AJ3395" s="148"/>
      <c r="AK3395" s="143"/>
      <c r="AL3395" s="144"/>
      <c r="AM3395" s="22"/>
      <c r="AN3395" s="149" t="s">
        <v>2511</v>
      </c>
      <c r="AO3395" s="144"/>
      <c r="AP3395" s="148">
        <v>80077</v>
      </c>
      <c r="AQ3395" s="144"/>
      <c r="AR3395" s="120"/>
      <c r="AS3395" s="121"/>
      <c r="AT3395" s="120"/>
      <c r="AU3395" s="121"/>
      <c r="AV3395" s="120"/>
      <c r="AW3395" s="121"/>
      <c r="AX3395" s="120"/>
      <c r="AY3395" s="121"/>
      <c r="AZ3395" s="138"/>
    </row>
    <row r="3396" spans="1:52" ht="17.100000000000001" customHeight="1" thickTop="1">
      <c r="A3396" s="109" t="s">
        <v>10701</v>
      </c>
      <c r="B3396" s="28">
        <v>45974</v>
      </c>
      <c r="C3396" s="25">
        <v>1306</v>
      </c>
      <c r="D3396" s="13" t="s">
        <v>2009</v>
      </c>
      <c r="E3396" s="111"/>
      <c r="F3396" s="113" t="s">
        <v>10707</v>
      </c>
      <c r="G3396" s="114"/>
      <c r="H3396" s="115"/>
      <c r="I3396" s="24"/>
      <c r="J3396" s="116">
        <v>4.5</v>
      </c>
      <c r="K3396" s="118">
        <v>2365000</v>
      </c>
      <c r="L3396" s="119"/>
      <c r="M3396" s="118">
        <f t="shared" ref="M3396" si="2787">K3396*0.1</f>
        <v>236500</v>
      </c>
      <c r="N3396" s="119"/>
      <c r="O3396" s="118">
        <v>0</v>
      </c>
      <c r="P3396" s="119"/>
      <c r="Q3396" s="118">
        <v>17490</v>
      </c>
      <c r="R3396" s="119"/>
      <c r="S3396" s="118">
        <v>14300</v>
      </c>
      <c r="T3396" s="119"/>
      <c r="U3396" s="118">
        <f t="shared" ref="U3396" si="2788">SUM(K3396:T3397)</f>
        <v>2633290</v>
      </c>
      <c r="V3396" s="122"/>
      <c r="W3396" s="124"/>
      <c r="X3396" s="126" t="s">
        <v>11076</v>
      </c>
      <c r="Y3396" s="127"/>
      <c r="Z3396" s="127"/>
      <c r="AA3396" s="127"/>
      <c r="AB3396" s="128"/>
      <c r="AC3396" s="15" t="s">
        <v>20</v>
      </c>
      <c r="AD3396" s="129" t="s">
        <v>10708</v>
      </c>
      <c r="AE3396" s="130"/>
      <c r="AF3396" s="130"/>
      <c r="AG3396" s="130"/>
      <c r="AH3396" s="130"/>
      <c r="AI3396" s="131"/>
      <c r="AJ3396" s="132"/>
      <c r="AK3396" s="127"/>
      <c r="AL3396" s="128"/>
      <c r="AM3396" s="21"/>
      <c r="AN3396" s="133">
        <v>45976</v>
      </c>
      <c r="AO3396" s="134"/>
      <c r="AP3396" s="135">
        <v>1276</v>
      </c>
      <c r="AQ3396" s="136"/>
      <c r="AR3396" s="118">
        <v>2545000</v>
      </c>
      <c r="AS3396" s="119"/>
      <c r="AT3396" s="118">
        <f t="shared" ref="AT3396" si="2789">AR3396*0.1</f>
        <v>254500</v>
      </c>
      <c r="AU3396" s="119"/>
      <c r="AV3396" s="118">
        <v>17490</v>
      </c>
      <c r="AW3396" s="119"/>
      <c r="AX3396" s="118">
        <f t="shared" ref="AX3396" si="2790">SUM(AR3396:AW3396)</f>
        <v>2816990</v>
      </c>
      <c r="AY3396" s="119"/>
      <c r="AZ3396" s="137">
        <v>45981</v>
      </c>
    </row>
    <row r="3397" spans="1:52" ht="17.100000000000001" customHeight="1" thickBot="1">
      <c r="A3397" s="110"/>
      <c r="B3397" s="27" t="s">
        <v>1747</v>
      </c>
      <c r="C3397" s="27">
        <v>511</v>
      </c>
      <c r="D3397" s="14" t="s">
        <v>1592</v>
      </c>
      <c r="E3397" s="112"/>
      <c r="F3397" s="139" t="s">
        <v>10704</v>
      </c>
      <c r="G3397" s="140"/>
      <c r="H3397" s="141"/>
      <c r="I3397" s="26">
        <v>59027</v>
      </c>
      <c r="J3397" s="117"/>
      <c r="K3397" s="120"/>
      <c r="L3397" s="121"/>
      <c r="M3397" s="120"/>
      <c r="N3397" s="121"/>
      <c r="O3397" s="120"/>
      <c r="P3397" s="121"/>
      <c r="Q3397" s="120"/>
      <c r="R3397" s="121"/>
      <c r="S3397" s="120"/>
      <c r="T3397" s="121"/>
      <c r="U3397" s="120"/>
      <c r="V3397" s="123"/>
      <c r="W3397" s="125"/>
      <c r="X3397" s="142" t="s">
        <v>11077</v>
      </c>
      <c r="Y3397" s="143"/>
      <c r="Z3397" s="143"/>
      <c r="AA3397" s="143"/>
      <c r="AB3397" s="144"/>
      <c r="AC3397" s="16" t="s">
        <v>21</v>
      </c>
      <c r="AD3397" s="17" t="s">
        <v>11075</v>
      </c>
      <c r="AE3397" s="145" t="s">
        <v>1614</v>
      </c>
      <c r="AF3397" s="146"/>
      <c r="AG3397" s="146"/>
      <c r="AH3397" s="146"/>
      <c r="AI3397" s="147"/>
      <c r="AJ3397" s="148"/>
      <c r="AK3397" s="143"/>
      <c r="AL3397" s="144"/>
      <c r="AM3397" s="22"/>
      <c r="AN3397" s="149" t="s">
        <v>10999</v>
      </c>
      <c r="AO3397" s="144"/>
      <c r="AP3397" s="148">
        <v>80359</v>
      </c>
      <c r="AQ3397" s="144"/>
      <c r="AR3397" s="120"/>
      <c r="AS3397" s="121"/>
      <c r="AT3397" s="120"/>
      <c r="AU3397" s="121"/>
      <c r="AV3397" s="120"/>
      <c r="AW3397" s="121"/>
      <c r="AX3397" s="120"/>
      <c r="AY3397" s="121"/>
      <c r="AZ3397" s="138"/>
    </row>
    <row r="3398" spans="1:52" ht="17.100000000000001" customHeight="1" thickTop="1">
      <c r="A3398" s="109" t="s">
        <v>10702</v>
      </c>
      <c r="B3398" s="28">
        <v>45974</v>
      </c>
      <c r="C3398" s="25">
        <v>1306</v>
      </c>
      <c r="D3398" s="13" t="s">
        <v>1695</v>
      </c>
      <c r="E3398" s="111"/>
      <c r="F3398" s="113" t="s">
        <v>10709</v>
      </c>
      <c r="G3398" s="114"/>
      <c r="H3398" s="115"/>
      <c r="I3398" s="24" t="s">
        <v>2571</v>
      </c>
      <c r="J3398" s="116">
        <v>4.5</v>
      </c>
      <c r="K3398" s="118">
        <v>1425000</v>
      </c>
      <c r="L3398" s="119"/>
      <c r="M3398" s="118">
        <f t="shared" ref="M3398" si="2791">K3398*0.1</f>
        <v>142500</v>
      </c>
      <c r="N3398" s="119"/>
      <c r="O3398" s="118">
        <f>13100+1310</f>
        <v>14410</v>
      </c>
      <c r="P3398" s="119"/>
      <c r="Q3398" s="118">
        <v>17430</v>
      </c>
      <c r="R3398" s="119"/>
      <c r="S3398" s="118">
        <v>14300</v>
      </c>
      <c r="T3398" s="119"/>
      <c r="U3398" s="118">
        <f t="shared" ref="U3398" si="2792">SUM(K3398:T3399)</f>
        <v>1613640</v>
      </c>
      <c r="V3398" s="122"/>
      <c r="W3398" s="124"/>
      <c r="X3398" s="126" t="s">
        <v>10710</v>
      </c>
      <c r="Y3398" s="127"/>
      <c r="Z3398" s="127"/>
      <c r="AA3398" s="127"/>
      <c r="AB3398" s="128"/>
      <c r="AC3398" s="15" t="s">
        <v>20</v>
      </c>
      <c r="AD3398" s="129" t="s">
        <v>1670</v>
      </c>
      <c r="AE3398" s="130"/>
      <c r="AF3398" s="130"/>
      <c r="AG3398" s="130"/>
      <c r="AH3398" s="130"/>
      <c r="AI3398" s="131"/>
      <c r="AJ3398" s="132"/>
      <c r="AK3398" s="127"/>
      <c r="AL3398" s="128"/>
      <c r="AM3398" s="21"/>
      <c r="AN3398" s="133">
        <v>45990</v>
      </c>
      <c r="AO3398" s="134"/>
      <c r="AP3398" s="135">
        <v>1278</v>
      </c>
      <c r="AQ3398" s="136"/>
      <c r="AR3398" s="118">
        <v>1520000</v>
      </c>
      <c r="AS3398" s="119"/>
      <c r="AT3398" s="118">
        <f t="shared" ref="AT3398" si="2793">AR3398*0.1</f>
        <v>152000</v>
      </c>
      <c r="AU3398" s="119"/>
      <c r="AV3398" s="118">
        <v>17430</v>
      </c>
      <c r="AW3398" s="119"/>
      <c r="AX3398" s="118">
        <f t="shared" ref="AX3398" si="2794">SUM(AR3398:AW3398)</f>
        <v>1689430</v>
      </c>
      <c r="AY3398" s="119"/>
      <c r="AZ3398" s="137">
        <v>45994</v>
      </c>
    </row>
    <row r="3399" spans="1:52" ht="17.100000000000001" customHeight="1" thickBot="1">
      <c r="A3399" s="110"/>
      <c r="B3399" s="27" t="s">
        <v>1747</v>
      </c>
      <c r="C3399" s="27">
        <v>513</v>
      </c>
      <c r="D3399" s="14" t="s">
        <v>2601</v>
      </c>
      <c r="E3399" s="112"/>
      <c r="F3399" s="139" t="s">
        <v>10705</v>
      </c>
      <c r="G3399" s="140"/>
      <c r="H3399" s="141"/>
      <c r="I3399" s="26">
        <v>40552</v>
      </c>
      <c r="J3399" s="117"/>
      <c r="K3399" s="120"/>
      <c r="L3399" s="121"/>
      <c r="M3399" s="120"/>
      <c r="N3399" s="121"/>
      <c r="O3399" s="120"/>
      <c r="P3399" s="121"/>
      <c r="Q3399" s="120"/>
      <c r="R3399" s="121"/>
      <c r="S3399" s="120"/>
      <c r="T3399" s="121"/>
      <c r="U3399" s="120"/>
      <c r="V3399" s="123"/>
      <c r="W3399" s="125"/>
      <c r="X3399" s="142" t="s">
        <v>10923</v>
      </c>
      <c r="Y3399" s="143"/>
      <c r="Z3399" s="143"/>
      <c r="AA3399" s="143"/>
      <c r="AB3399" s="144"/>
      <c r="AC3399" s="16" t="s">
        <v>21</v>
      </c>
      <c r="AD3399" s="17" t="s">
        <v>10911</v>
      </c>
      <c r="AE3399" s="145" t="s">
        <v>10919</v>
      </c>
      <c r="AF3399" s="146"/>
      <c r="AG3399" s="146"/>
      <c r="AH3399" s="146"/>
      <c r="AI3399" s="147"/>
      <c r="AJ3399" s="148"/>
      <c r="AK3399" s="143"/>
      <c r="AL3399" s="144"/>
      <c r="AM3399" s="22"/>
      <c r="AN3399" s="149" t="s">
        <v>2511</v>
      </c>
      <c r="AO3399" s="144"/>
      <c r="AP3399" s="148">
        <v>80373</v>
      </c>
      <c r="AQ3399" s="144"/>
      <c r="AR3399" s="120"/>
      <c r="AS3399" s="121"/>
      <c r="AT3399" s="120"/>
      <c r="AU3399" s="121"/>
      <c r="AV3399" s="120"/>
      <c r="AW3399" s="121"/>
      <c r="AX3399" s="120"/>
      <c r="AY3399" s="121"/>
      <c r="AZ3399" s="138"/>
    </row>
    <row r="3400" spans="1:52" ht="17.100000000000001" customHeight="1" thickTop="1">
      <c r="A3400" s="109" t="s">
        <v>10716</v>
      </c>
      <c r="B3400" s="28">
        <v>45974</v>
      </c>
      <c r="C3400" s="25">
        <v>1958</v>
      </c>
      <c r="D3400" s="13" t="s">
        <v>1744</v>
      </c>
      <c r="E3400" s="111"/>
      <c r="F3400" s="113" t="s">
        <v>10051</v>
      </c>
      <c r="G3400" s="114"/>
      <c r="H3400" s="115"/>
      <c r="I3400" s="24"/>
      <c r="J3400" s="116">
        <v>4</v>
      </c>
      <c r="K3400" s="118">
        <v>709000</v>
      </c>
      <c r="L3400" s="119"/>
      <c r="M3400" s="118">
        <f t="shared" ref="M3400" si="2795">K3400*0.1</f>
        <v>70900</v>
      </c>
      <c r="N3400" s="119"/>
      <c r="O3400" s="118">
        <v>0</v>
      </c>
      <c r="P3400" s="119"/>
      <c r="Q3400" s="118">
        <v>20170</v>
      </c>
      <c r="R3400" s="119"/>
      <c r="S3400" s="118">
        <v>20350</v>
      </c>
      <c r="T3400" s="119"/>
      <c r="U3400" s="118">
        <f t="shared" ref="U3400" si="2796">SUM(K3400:T3401)</f>
        <v>820420</v>
      </c>
      <c r="V3400" s="122"/>
      <c r="W3400" s="124"/>
      <c r="X3400" s="126" t="s">
        <v>11080</v>
      </c>
      <c r="Y3400" s="127"/>
      <c r="Z3400" s="127"/>
      <c r="AA3400" s="127"/>
      <c r="AB3400" s="128"/>
      <c r="AC3400" s="15" t="s">
        <v>20</v>
      </c>
      <c r="AD3400" s="129"/>
      <c r="AE3400" s="130"/>
      <c r="AF3400" s="130"/>
      <c r="AG3400" s="130"/>
      <c r="AH3400" s="130"/>
      <c r="AI3400" s="131"/>
      <c r="AJ3400" s="132"/>
      <c r="AK3400" s="127"/>
      <c r="AL3400" s="128"/>
      <c r="AM3400" s="21"/>
      <c r="AN3400" s="133">
        <v>45981</v>
      </c>
      <c r="AO3400" s="134"/>
      <c r="AP3400" s="135">
        <v>1307</v>
      </c>
      <c r="AQ3400" s="136"/>
      <c r="AR3400" s="118">
        <v>885000</v>
      </c>
      <c r="AS3400" s="119"/>
      <c r="AT3400" s="118">
        <f t="shared" ref="AT3400" si="2797">AR3400*0.1</f>
        <v>88500</v>
      </c>
      <c r="AU3400" s="119"/>
      <c r="AV3400" s="118">
        <v>20170</v>
      </c>
      <c r="AW3400" s="119"/>
      <c r="AX3400" s="118">
        <f t="shared" ref="AX3400" si="2798">SUM(AR3400:AW3400)</f>
        <v>993670</v>
      </c>
      <c r="AY3400" s="119"/>
      <c r="AZ3400" s="137">
        <v>45982</v>
      </c>
    </row>
    <row r="3401" spans="1:52" ht="17.100000000000001" customHeight="1" thickBot="1">
      <c r="A3401" s="110"/>
      <c r="B3401" s="27" t="s">
        <v>3792</v>
      </c>
      <c r="C3401" s="27">
        <v>73026</v>
      </c>
      <c r="D3401" s="14" t="s">
        <v>1576</v>
      </c>
      <c r="E3401" s="112"/>
      <c r="F3401" s="139" t="s">
        <v>10628</v>
      </c>
      <c r="G3401" s="140"/>
      <c r="H3401" s="141"/>
      <c r="I3401" s="26">
        <v>59848</v>
      </c>
      <c r="J3401" s="117"/>
      <c r="K3401" s="120"/>
      <c r="L3401" s="121"/>
      <c r="M3401" s="120"/>
      <c r="N3401" s="121"/>
      <c r="O3401" s="120"/>
      <c r="P3401" s="121"/>
      <c r="Q3401" s="120"/>
      <c r="R3401" s="121"/>
      <c r="S3401" s="120"/>
      <c r="T3401" s="121"/>
      <c r="U3401" s="120"/>
      <c r="V3401" s="123"/>
      <c r="W3401" s="125"/>
      <c r="X3401" s="142" t="s">
        <v>11081</v>
      </c>
      <c r="Y3401" s="143"/>
      <c r="Z3401" s="143"/>
      <c r="AA3401" s="143"/>
      <c r="AB3401" s="144"/>
      <c r="AC3401" s="16" t="s">
        <v>21</v>
      </c>
      <c r="AD3401" s="17" t="s">
        <v>11075</v>
      </c>
      <c r="AE3401" s="145"/>
      <c r="AF3401" s="146"/>
      <c r="AG3401" s="146"/>
      <c r="AH3401" s="146"/>
      <c r="AI3401" s="147"/>
      <c r="AJ3401" s="148"/>
      <c r="AK3401" s="143"/>
      <c r="AL3401" s="144"/>
      <c r="AM3401" s="22"/>
      <c r="AN3401" s="149" t="s">
        <v>1747</v>
      </c>
      <c r="AO3401" s="144"/>
      <c r="AP3401" s="148">
        <v>199</v>
      </c>
      <c r="AQ3401" s="144"/>
      <c r="AR3401" s="120"/>
      <c r="AS3401" s="121"/>
      <c r="AT3401" s="120"/>
      <c r="AU3401" s="121"/>
      <c r="AV3401" s="120"/>
      <c r="AW3401" s="121"/>
      <c r="AX3401" s="120"/>
      <c r="AY3401" s="121"/>
      <c r="AZ3401" s="138"/>
    </row>
    <row r="3402" spans="1:52" ht="17.100000000000001" customHeight="1" thickTop="1">
      <c r="A3402" s="109" t="s">
        <v>10717</v>
      </c>
      <c r="B3402" s="28">
        <v>45974</v>
      </c>
      <c r="C3402" s="25">
        <v>2002</v>
      </c>
      <c r="D3402" s="13" t="s">
        <v>2301</v>
      </c>
      <c r="E3402" s="111"/>
      <c r="F3402" s="113" t="s">
        <v>8009</v>
      </c>
      <c r="G3402" s="114"/>
      <c r="H3402" s="115"/>
      <c r="I3402" s="24"/>
      <c r="J3402" s="116">
        <v>4</v>
      </c>
      <c r="K3402" s="118">
        <v>810000</v>
      </c>
      <c r="L3402" s="119"/>
      <c r="M3402" s="118">
        <v>81000</v>
      </c>
      <c r="N3402" s="119"/>
      <c r="O3402" s="118">
        <v>0</v>
      </c>
      <c r="P3402" s="119"/>
      <c r="Q3402" s="118">
        <v>9310</v>
      </c>
      <c r="R3402" s="119"/>
      <c r="S3402" s="118">
        <v>22000</v>
      </c>
      <c r="T3402" s="119"/>
      <c r="U3402" s="118">
        <f t="shared" ref="U3402" si="2799">SUM(K3402:T3403)</f>
        <v>922310</v>
      </c>
      <c r="V3402" s="122"/>
      <c r="W3402" s="124"/>
      <c r="X3402" s="126" t="s">
        <v>11189</v>
      </c>
      <c r="Y3402" s="127"/>
      <c r="Z3402" s="127"/>
      <c r="AA3402" s="127"/>
      <c r="AB3402" s="128"/>
      <c r="AC3402" s="15" t="s">
        <v>20</v>
      </c>
      <c r="AD3402" s="129" t="s">
        <v>10641</v>
      </c>
      <c r="AE3402" s="130"/>
      <c r="AF3402" s="130"/>
      <c r="AG3402" s="130"/>
      <c r="AH3402" s="130"/>
      <c r="AI3402" s="131"/>
      <c r="AJ3402" s="132"/>
      <c r="AK3402" s="127"/>
      <c r="AL3402" s="128"/>
      <c r="AM3402" s="21"/>
      <c r="AN3402" s="133">
        <v>46004</v>
      </c>
      <c r="AO3402" s="134"/>
      <c r="AP3402" s="135">
        <v>1280</v>
      </c>
      <c r="AQ3402" s="136"/>
      <c r="AR3402" s="118">
        <v>1110000</v>
      </c>
      <c r="AS3402" s="119"/>
      <c r="AT3402" s="118">
        <f t="shared" ref="AT3402" si="2800">AR3402*0.1</f>
        <v>111000</v>
      </c>
      <c r="AU3402" s="119"/>
      <c r="AV3402" s="118">
        <v>9310</v>
      </c>
      <c r="AW3402" s="119"/>
      <c r="AX3402" s="118">
        <f t="shared" ref="AX3402" si="2801">SUM(AR3402:AW3402)</f>
        <v>1230310</v>
      </c>
      <c r="AY3402" s="119"/>
      <c r="AZ3402" s="137">
        <v>46008</v>
      </c>
    </row>
    <row r="3403" spans="1:52" ht="17.100000000000001" customHeight="1" thickBot="1">
      <c r="A3403" s="110"/>
      <c r="B3403" s="27" t="s">
        <v>2200</v>
      </c>
      <c r="C3403" s="27">
        <v>50123</v>
      </c>
      <c r="D3403" s="14" t="s">
        <v>2836</v>
      </c>
      <c r="E3403" s="112"/>
      <c r="F3403" s="139" t="s">
        <v>10640</v>
      </c>
      <c r="G3403" s="140"/>
      <c r="H3403" s="141"/>
      <c r="I3403" s="26">
        <v>54711</v>
      </c>
      <c r="J3403" s="117"/>
      <c r="K3403" s="120"/>
      <c r="L3403" s="121"/>
      <c r="M3403" s="120"/>
      <c r="N3403" s="121"/>
      <c r="O3403" s="120"/>
      <c r="P3403" s="121"/>
      <c r="Q3403" s="120"/>
      <c r="R3403" s="121"/>
      <c r="S3403" s="120"/>
      <c r="T3403" s="121"/>
      <c r="U3403" s="120"/>
      <c r="V3403" s="123"/>
      <c r="W3403" s="125"/>
      <c r="X3403" s="142" t="s">
        <v>11190</v>
      </c>
      <c r="Y3403" s="143"/>
      <c r="Z3403" s="143"/>
      <c r="AA3403" s="143"/>
      <c r="AB3403" s="144"/>
      <c r="AC3403" s="16" t="s">
        <v>21</v>
      </c>
      <c r="AD3403" s="17" t="s">
        <v>11105</v>
      </c>
      <c r="AE3403" s="145" t="s">
        <v>5140</v>
      </c>
      <c r="AF3403" s="146"/>
      <c r="AG3403" s="146"/>
      <c r="AH3403" s="146"/>
      <c r="AI3403" s="147"/>
      <c r="AJ3403" s="148"/>
      <c r="AK3403" s="143"/>
      <c r="AL3403" s="144"/>
      <c r="AM3403" s="22"/>
      <c r="AN3403" s="149" t="s">
        <v>2511</v>
      </c>
      <c r="AO3403" s="144"/>
      <c r="AP3403" s="148">
        <v>60084</v>
      </c>
      <c r="AQ3403" s="144"/>
      <c r="AR3403" s="120"/>
      <c r="AS3403" s="121"/>
      <c r="AT3403" s="120"/>
      <c r="AU3403" s="121"/>
      <c r="AV3403" s="120"/>
      <c r="AW3403" s="121"/>
      <c r="AX3403" s="120"/>
      <c r="AY3403" s="121"/>
      <c r="AZ3403" s="138"/>
    </row>
    <row r="3404" spans="1:52" ht="17.100000000000001" customHeight="1" thickTop="1">
      <c r="A3404" s="109" t="s">
        <v>10719</v>
      </c>
      <c r="B3404" s="28">
        <v>45974</v>
      </c>
      <c r="C3404" s="25">
        <v>1541</v>
      </c>
      <c r="D3404" s="13" t="s">
        <v>1597</v>
      </c>
      <c r="E3404" s="111"/>
      <c r="F3404" s="113" t="s">
        <v>2312</v>
      </c>
      <c r="G3404" s="114"/>
      <c r="H3404" s="115"/>
      <c r="I3404" s="24" t="s">
        <v>3931</v>
      </c>
      <c r="J3404" s="116">
        <v>4</v>
      </c>
      <c r="K3404" s="118">
        <v>1240000</v>
      </c>
      <c r="L3404" s="119"/>
      <c r="M3404" s="118">
        <f t="shared" ref="M3404" si="2802">K3404*0.1</f>
        <v>124000</v>
      </c>
      <c r="N3404" s="119"/>
      <c r="O3404" s="118">
        <f>13100+1310</f>
        <v>14410</v>
      </c>
      <c r="P3404" s="119"/>
      <c r="Q3404" s="118">
        <v>16240</v>
      </c>
      <c r="R3404" s="119"/>
      <c r="S3404" s="118">
        <v>27500</v>
      </c>
      <c r="T3404" s="119"/>
      <c r="U3404" s="118">
        <f t="shared" ref="U3404" si="2803">SUM(K3404:T3405)</f>
        <v>1422150</v>
      </c>
      <c r="V3404" s="122"/>
      <c r="W3404" s="124"/>
      <c r="X3404" s="126" t="s">
        <v>10723</v>
      </c>
      <c r="Y3404" s="127"/>
      <c r="Z3404" s="127"/>
      <c r="AA3404" s="127"/>
      <c r="AB3404" s="128"/>
      <c r="AC3404" s="15" t="s">
        <v>20</v>
      </c>
      <c r="AD3404" s="129" t="s">
        <v>1670</v>
      </c>
      <c r="AE3404" s="130"/>
      <c r="AF3404" s="130"/>
      <c r="AG3404" s="130"/>
      <c r="AH3404" s="130"/>
      <c r="AI3404" s="131"/>
      <c r="AJ3404" s="132"/>
      <c r="AK3404" s="127"/>
      <c r="AL3404" s="128"/>
      <c r="AM3404" s="21" t="s">
        <v>12776</v>
      </c>
      <c r="AN3404" s="133">
        <v>46002</v>
      </c>
      <c r="AO3404" s="134"/>
      <c r="AP3404" s="135">
        <v>1310</v>
      </c>
      <c r="AQ3404" s="136"/>
      <c r="AR3404" s="118">
        <v>1700000</v>
      </c>
      <c r="AS3404" s="119"/>
      <c r="AT3404" s="118">
        <f t="shared" ref="AT3404" si="2804">AR3404*0.1</f>
        <v>170000</v>
      </c>
      <c r="AU3404" s="119"/>
      <c r="AV3404" s="118">
        <v>16240</v>
      </c>
      <c r="AW3404" s="119"/>
      <c r="AX3404" s="118">
        <f t="shared" ref="AX3404" si="2805">SUM(AR3404:AW3404)</f>
        <v>1886240</v>
      </c>
      <c r="AY3404" s="119"/>
      <c r="AZ3404" s="137">
        <v>46003</v>
      </c>
    </row>
    <row r="3405" spans="1:52" ht="17.100000000000001" customHeight="1" thickBot="1">
      <c r="A3405" s="110"/>
      <c r="B3405" s="27" t="s">
        <v>1600</v>
      </c>
      <c r="C3405" s="27">
        <v>73642</v>
      </c>
      <c r="D3405" s="14" t="s">
        <v>275</v>
      </c>
      <c r="E3405" s="112"/>
      <c r="F3405" s="139" t="s">
        <v>10722</v>
      </c>
      <c r="G3405" s="140"/>
      <c r="H3405" s="141"/>
      <c r="I3405" s="26">
        <v>46915</v>
      </c>
      <c r="J3405" s="117"/>
      <c r="K3405" s="120"/>
      <c r="L3405" s="121"/>
      <c r="M3405" s="120"/>
      <c r="N3405" s="121"/>
      <c r="O3405" s="120"/>
      <c r="P3405" s="121"/>
      <c r="Q3405" s="120"/>
      <c r="R3405" s="121"/>
      <c r="S3405" s="120"/>
      <c r="T3405" s="121"/>
      <c r="U3405" s="120"/>
      <c r="V3405" s="123"/>
      <c r="W3405" s="125"/>
      <c r="X3405" s="142" t="s">
        <v>11102</v>
      </c>
      <c r="Y3405" s="143"/>
      <c r="Z3405" s="143"/>
      <c r="AA3405" s="143"/>
      <c r="AB3405" s="144"/>
      <c r="AC3405" s="16" t="s">
        <v>21</v>
      </c>
      <c r="AD3405" s="17" t="s">
        <v>11075</v>
      </c>
      <c r="AE3405" s="145" t="s">
        <v>11103</v>
      </c>
      <c r="AF3405" s="146"/>
      <c r="AG3405" s="146"/>
      <c r="AH3405" s="146"/>
      <c r="AI3405" s="147"/>
      <c r="AJ3405" s="148"/>
      <c r="AK3405" s="143"/>
      <c r="AL3405" s="144"/>
      <c r="AM3405" s="22"/>
      <c r="AN3405" s="149" t="s">
        <v>1747</v>
      </c>
      <c r="AO3405" s="144"/>
      <c r="AP3405" s="148">
        <v>10</v>
      </c>
      <c r="AQ3405" s="144"/>
      <c r="AR3405" s="120"/>
      <c r="AS3405" s="121"/>
      <c r="AT3405" s="120"/>
      <c r="AU3405" s="121"/>
      <c r="AV3405" s="120"/>
      <c r="AW3405" s="121"/>
      <c r="AX3405" s="120"/>
      <c r="AY3405" s="121"/>
      <c r="AZ3405" s="138"/>
    </row>
    <row r="3406" spans="1:52" ht="17.100000000000001" customHeight="1" thickTop="1">
      <c r="A3406" s="109" t="s">
        <v>10720</v>
      </c>
      <c r="B3406" s="28">
        <v>45974</v>
      </c>
      <c r="C3406" s="25">
        <v>1541</v>
      </c>
      <c r="D3406" s="13" t="s">
        <v>2458</v>
      </c>
      <c r="E3406" s="111"/>
      <c r="F3406" s="113" t="s">
        <v>10718</v>
      </c>
      <c r="G3406" s="114"/>
      <c r="H3406" s="115"/>
      <c r="I3406" s="24" t="s">
        <v>4096</v>
      </c>
      <c r="J3406" s="116">
        <v>4.5</v>
      </c>
      <c r="K3406" s="118">
        <v>1750000</v>
      </c>
      <c r="L3406" s="119"/>
      <c r="M3406" s="118">
        <f t="shared" ref="M3406" si="2806">K3406*0.1</f>
        <v>175000</v>
      </c>
      <c r="N3406" s="119"/>
      <c r="O3406" s="118">
        <f>17000+1700</f>
        <v>18700</v>
      </c>
      <c r="P3406" s="119"/>
      <c r="Q3406" s="118">
        <v>26800</v>
      </c>
      <c r="R3406" s="119"/>
      <c r="S3406" s="118">
        <v>27500</v>
      </c>
      <c r="T3406" s="119"/>
      <c r="U3406" s="118">
        <f t="shared" ref="U3406" si="2807">SUM(K3406:T3407)</f>
        <v>1998000</v>
      </c>
      <c r="V3406" s="122"/>
      <c r="W3406" s="124"/>
      <c r="X3406" s="126" t="s">
        <v>10725</v>
      </c>
      <c r="Y3406" s="127"/>
      <c r="Z3406" s="127"/>
      <c r="AA3406" s="127"/>
      <c r="AB3406" s="128"/>
      <c r="AC3406" s="15" t="s">
        <v>20</v>
      </c>
      <c r="AD3406" s="129" t="s">
        <v>1633</v>
      </c>
      <c r="AE3406" s="130"/>
      <c r="AF3406" s="130"/>
      <c r="AG3406" s="130"/>
      <c r="AH3406" s="130"/>
      <c r="AI3406" s="131"/>
      <c r="AJ3406" s="132"/>
      <c r="AK3406" s="127"/>
      <c r="AL3406" s="128"/>
      <c r="AM3406" s="21" t="s">
        <v>12775</v>
      </c>
      <c r="AN3406" s="133">
        <v>46018</v>
      </c>
      <c r="AO3406" s="134"/>
      <c r="AP3406" s="135">
        <v>1282</v>
      </c>
      <c r="AQ3406" s="136"/>
      <c r="AR3406" s="118">
        <v>2050000</v>
      </c>
      <c r="AS3406" s="119"/>
      <c r="AT3406" s="118">
        <f t="shared" ref="AT3406" si="2808">AR3406*0.1</f>
        <v>205000</v>
      </c>
      <c r="AU3406" s="119"/>
      <c r="AV3406" s="118">
        <v>26800</v>
      </c>
      <c r="AW3406" s="119"/>
      <c r="AX3406" s="118">
        <f t="shared" ref="AX3406" si="2809">SUM(AR3406:AW3406)</f>
        <v>2281800</v>
      </c>
      <c r="AY3406" s="119"/>
      <c r="AZ3406" s="137">
        <v>46028</v>
      </c>
    </row>
    <row r="3407" spans="1:52" ht="17.100000000000001" customHeight="1" thickBot="1">
      <c r="A3407" s="110"/>
      <c r="B3407" s="27" t="s">
        <v>1600</v>
      </c>
      <c r="C3407" s="27">
        <v>76188</v>
      </c>
      <c r="D3407" s="14" t="s">
        <v>1635</v>
      </c>
      <c r="E3407" s="112"/>
      <c r="F3407" s="139" t="s">
        <v>10724</v>
      </c>
      <c r="G3407" s="140"/>
      <c r="H3407" s="141"/>
      <c r="I3407" s="26">
        <v>67276</v>
      </c>
      <c r="J3407" s="117"/>
      <c r="K3407" s="120"/>
      <c r="L3407" s="121"/>
      <c r="M3407" s="120"/>
      <c r="N3407" s="121"/>
      <c r="O3407" s="120"/>
      <c r="P3407" s="121"/>
      <c r="Q3407" s="120"/>
      <c r="R3407" s="121"/>
      <c r="S3407" s="120"/>
      <c r="T3407" s="121"/>
      <c r="U3407" s="120"/>
      <c r="V3407" s="123"/>
      <c r="W3407" s="125"/>
      <c r="X3407" s="142" t="s">
        <v>11211</v>
      </c>
      <c r="Y3407" s="143"/>
      <c r="Z3407" s="143"/>
      <c r="AA3407" s="143"/>
      <c r="AB3407" s="144"/>
      <c r="AC3407" s="16" t="s">
        <v>21</v>
      </c>
      <c r="AD3407" s="17" t="s">
        <v>11105</v>
      </c>
      <c r="AE3407" s="145" t="s">
        <v>1742</v>
      </c>
      <c r="AF3407" s="146"/>
      <c r="AG3407" s="146"/>
      <c r="AH3407" s="146"/>
      <c r="AI3407" s="147"/>
      <c r="AJ3407" s="148"/>
      <c r="AK3407" s="143"/>
      <c r="AL3407" s="144"/>
      <c r="AM3407" s="22"/>
      <c r="AN3407" s="149" t="s">
        <v>2511</v>
      </c>
      <c r="AO3407" s="144"/>
      <c r="AP3407" s="148">
        <v>80046</v>
      </c>
      <c r="AQ3407" s="144"/>
      <c r="AR3407" s="120"/>
      <c r="AS3407" s="121"/>
      <c r="AT3407" s="120"/>
      <c r="AU3407" s="121"/>
      <c r="AV3407" s="120"/>
      <c r="AW3407" s="121"/>
      <c r="AX3407" s="120"/>
      <c r="AY3407" s="121"/>
      <c r="AZ3407" s="138"/>
    </row>
    <row r="3408" spans="1:52" ht="17.100000000000001" customHeight="1" thickTop="1">
      <c r="A3408" s="109" t="s">
        <v>10721</v>
      </c>
      <c r="B3408" s="28">
        <v>45974</v>
      </c>
      <c r="C3408" s="25">
        <v>1541</v>
      </c>
      <c r="D3408" s="13" t="s">
        <v>818</v>
      </c>
      <c r="E3408" s="111"/>
      <c r="F3408" s="113" t="s">
        <v>1938</v>
      </c>
      <c r="G3408" s="114"/>
      <c r="H3408" s="115"/>
      <c r="I3408" s="24" t="s">
        <v>10664</v>
      </c>
      <c r="J3408" s="116">
        <v>4.5</v>
      </c>
      <c r="K3408" s="118">
        <v>1510000</v>
      </c>
      <c r="L3408" s="119"/>
      <c r="M3408" s="118">
        <f t="shared" ref="M3408" si="2810">K3408*0.1</f>
        <v>151000</v>
      </c>
      <c r="N3408" s="119"/>
      <c r="O3408" s="118">
        <f>10100+1010</f>
        <v>11110</v>
      </c>
      <c r="P3408" s="119"/>
      <c r="Q3408" s="118">
        <v>17600</v>
      </c>
      <c r="R3408" s="119"/>
      <c r="S3408" s="118">
        <v>16500</v>
      </c>
      <c r="T3408" s="119"/>
      <c r="U3408" s="118">
        <f t="shared" ref="U3408" si="2811">SUM(K3408:T3409)</f>
        <v>1706210</v>
      </c>
      <c r="V3408" s="122"/>
      <c r="W3408" s="124"/>
      <c r="X3408" s="126" t="s">
        <v>10665</v>
      </c>
      <c r="Y3408" s="127"/>
      <c r="Z3408" s="127"/>
      <c r="AA3408" s="127"/>
      <c r="AB3408" s="128"/>
      <c r="AC3408" s="15" t="s">
        <v>20</v>
      </c>
      <c r="AD3408" s="129" t="s">
        <v>10666</v>
      </c>
      <c r="AE3408" s="130"/>
      <c r="AF3408" s="130"/>
      <c r="AG3408" s="130"/>
      <c r="AH3408" s="130"/>
      <c r="AI3408" s="131"/>
      <c r="AJ3408" s="132"/>
      <c r="AK3408" s="127"/>
      <c r="AL3408" s="128"/>
      <c r="AM3408" s="21"/>
      <c r="AN3408" s="133">
        <v>45983</v>
      </c>
      <c r="AO3408" s="134"/>
      <c r="AP3408" s="135">
        <v>1277</v>
      </c>
      <c r="AQ3408" s="136"/>
      <c r="AR3408" s="118">
        <v>1700000</v>
      </c>
      <c r="AS3408" s="119"/>
      <c r="AT3408" s="118">
        <f t="shared" ref="AT3408" si="2812">AR3408*0.1</f>
        <v>170000</v>
      </c>
      <c r="AU3408" s="119"/>
      <c r="AV3408" s="118">
        <v>17600</v>
      </c>
      <c r="AW3408" s="119"/>
      <c r="AX3408" s="118">
        <f t="shared" ref="AX3408" si="2813">SUM(AR3408:AW3408)</f>
        <v>1887600</v>
      </c>
      <c r="AY3408" s="119"/>
      <c r="AZ3408" s="137">
        <v>45987</v>
      </c>
    </row>
    <row r="3409" spans="1:52" ht="17.100000000000001" customHeight="1" thickBot="1">
      <c r="A3409" s="110"/>
      <c r="B3409" s="27" t="s">
        <v>1600</v>
      </c>
      <c r="C3409" s="27">
        <v>79167</v>
      </c>
      <c r="D3409" s="14" t="s">
        <v>133</v>
      </c>
      <c r="E3409" s="112"/>
      <c r="F3409" s="139" t="s">
        <v>10663</v>
      </c>
      <c r="G3409" s="140"/>
      <c r="H3409" s="141"/>
      <c r="I3409" s="26">
        <v>32596</v>
      </c>
      <c r="J3409" s="117"/>
      <c r="K3409" s="120"/>
      <c r="L3409" s="121"/>
      <c r="M3409" s="120"/>
      <c r="N3409" s="121"/>
      <c r="O3409" s="120"/>
      <c r="P3409" s="121"/>
      <c r="Q3409" s="120"/>
      <c r="R3409" s="121"/>
      <c r="S3409" s="120"/>
      <c r="T3409" s="121"/>
      <c r="U3409" s="120"/>
      <c r="V3409" s="123"/>
      <c r="W3409" s="125"/>
      <c r="X3409" s="142" t="s">
        <v>10914</v>
      </c>
      <c r="Y3409" s="143"/>
      <c r="Z3409" s="143"/>
      <c r="AA3409" s="143"/>
      <c r="AB3409" s="144"/>
      <c r="AC3409" s="16" t="s">
        <v>21</v>
      </c>
      <c r="AD3409" s="17" t="s">
        <v>10911</v>
      </c>
      <c r="AE3409" s="145" t="s">
        <v>10915</v>
      </c>
      <c r="AF3409" s="146"/>
      <c r="AG3409" s="146"/>
      <c r="AH3409" s="146"/>
      <c r="AI3409" s="147"/>
      <c r="AJ3409" s="148"/>
      <c r="AK3409" s="143"/>
      <c r="AL3409" s="144"/>
      <c r="AM3409" s="22"/>
      <c r="AN3409" s="149" t="s">
        <v>2511</v>
      </c>
      <c r="AO3409" s="144"/>
      <c r="AP3409" s="148">
        <v>80069</v>
      </c>
      <c r="AQ3409" s="144"/>
      <c r="AR3409" s="120"/>
      <c r="AS3409" s="121"/>
      <c r="AT3409" s="120"/>
      <c r="AU3409" s="121"/>
      <c r="AV3409" s="120"/>
      <c r="AW3409" s="121"/>
      <c r="AX3409" s="120"/>
      <c r="AY3409" s="121"/>
      <c r="AZ3409" s="138"/>
    </row>
    <row r="3410" spans="1:52" ht="17.100000000000001" customHeight="1" thickTop="1">
      <c r="A3410" s="109" t="s">
        <v>10735</v>
      </c>
      <c r="B3410" s="28">
        <v>45974</v>
      </c>
      <c r="C3410" s="25">
        <v>2134</v>
      </c>
      <c r="D3410" s="13" t="s">
        <v>5456</v>
      </c>
      <c r="E3410" s="111"/>
      <c r="F3410" s="113" t="s">
        <v>2598</v>
      </c>
      <c r="G3410" s="114"/>
      <c r="H3410" s="115"/>
      <c r="I3410" s="24"/>
      <c r="J3410" s="116">
        <v>3.5</v>
      </c>
      <c r="K3410" s="118">
        <v>212000</v>
      </c>
      <c r="L3410" s="119"/>
      <c r="M3410" s="118">
        <f t="shared" ref="M3410" si="2814">K3410*0.1</f>
        <v>21200</v>
      </c>
      <c r="N3410" s="119"/>
      <c r="O3410" s="118">
        <v>0</v>
      </c>
      <c r="P3410" s="119"/>
      <c r="Q3410" s="118">
        <v>9910</v>
      </c>
      <c r="R3410" s="119"/>
      <c r="S3410" s="118">
        <v>13750</v>
      </c>
      <c r="T3410" s="119"/>
      <c r="U3410" s="118">
        <f t="shared" ref="U3410" si="2815">SUM(K3410:T3411)</f>
        <v>256860</v>
      </c>
      <c r="V3410" s="122"/>
      <c r="W3410" s="124"/>
      <c r="X3410" s="126" t="s">
        <v>11180</v>
      </c>
      <c r="Y3410" s="127"/>
      <c r="Z3410" s="127"/>
      <c r="AA3410" s="127"/>
      <c r="AB3410" s="128"/>
      <c r="AC3410" s="15" t="s">
        <v>20</v>
      </c>
      <c r="AD3410" s="129"/>
      <c r="AE3410" s="130"/>
      <c r="AF3410" s="130"/>
      <c r="AG3410" s="130"/>
      <c r="AH3410" s="130"/>
      <c r="AI3410" s="131"/>
      <c r="AJ3410" s="132"/>
      <c r="AK3410" s="127"/>
      <c r="AL3410" s="128"/>
      <c r="AM3410" s="21"/>
      <c r="AN3410" s="133">
        <v>45997</v>
      </c>
      <c r="AO3410" s="134"/>
      <c r="AP3410" s="135">
        <v>1279</v>
      </c>
      <c r="AQ3410" s="136"/>
      <c r="AR3410" s="118">
        <v>328000</v>
      </c>
      <c r="AS3410" s="119"/>
      <c r="AT3410" s="118">
        <f t="shared" ref="AT3410" si="2816">AR3410*0.1</f>
        <v>32800</v>
      </c>
      <c r="AU3410" s="119"/>
      <c r="AV3410" s="118">
        <v>9910</v>
      </c>
      <c r="AW3410" s="119"/>
      <c r="AX3410" s="118">
        <f t="shared" ref="AX3410" si="2817">SUM(AR3410:AW3410)</f>
        <v>370710</v>
      </c>
      <c r="AY3410" s="119"/>
      <c r="AZ3410" s="137">
        <v>46000</v>
      </c>
    </row>
    <row r="3411" spans="1:52" ht="17.100000000000001" customHeight="1" thickBot="1">
      <c r="A3411" s="110"/>
      <c r="B3411" s="27" t="s">
        <v>3281</v>
      </c>
      <c r="C3411" s="27">
        <v>166</v>
      </c>
      <c r="D3411" s="14" t="s">
        <v>2601</v>
      </c>
      <c r="E3411" s="112"/>
      <c r="F3411" s="139" t="s">
        <v>10645</v>
      </c>
      <c r="G3411" s="140"/>
      <c r="H3411" s="141"/>
      <c r="I3411" s="26">
        <v>115746</v>
      </c>
      <c r="J3411" s="117"/>
      <c r="K3411" s="120"/>
      <c r="L3411" s="121"/>
      <c r="M3411" s="120"/>
      <c r="N3411" s="121"/>
      <c r="O3411" s="120"/>
      <c r="P3411" s="121"/>
      <c r="Q3411" s="120"/>
      <c r="R3411" s="121"/>
      <c r="S3411" s="120"/>
      <c r="T3411" s="121"/>
      <c r="U3411" s="120"/>
      <c r="V3411" s="123"/>
      <c r="W3411" s="125"/>
      <c r="X3411" s="142" t="s">
        <v>3410</v>
      </c>
      <c r="Y3411" s="143"/>
      <c r="Z3411" s="143"/>
      <c r="AA3411" s="143"/>
      <c r="AB3411" s="144"/>
      <c r="AC3411" s="16" t="s">
        <v>21</v>
      </c>
      <c r="AD3411" s="17" t="s">
        <v>11105</v>
      </c>
      <c r="AE3411" s="145" t="s">
        <v>171</v>
      </c>
      <c r="AF3411" s="146"/>
      <c r="AG3411" s="146"/>
      <c r="AH3411" s="146"/>
      <c r="AI3411" s="147"/>
      <c r="AJ3411" s="148"/>
      <c r="AK3411" s="143"/>
      <c r="AL3411" s="144"/>
      <c r="AM3411" s="22"/>
      <c r="AN3411" s="149" t="s">
        <v>7284</v>
      </c>
      <c r="AO3411" s="144"/>
      <c r="AP3411" s="148">
        <v>63079</v>
      </c>
      <c r="AQ3411" s="144"/>
      <c r="AR3411" s="120"/>
      <c r="AS3411" s="121"/>
      <c r="AT3411" s="120"/>
      <c r="AU3411" s="121"/>
      <c r="AV3411" s="120"/>
      <c r="AW3411" s="121"/>
      <c r="AX3411" s="120"/>
      <c r="AY3411" s="121"/>
      <c r="AZ3411" s="138"/>
    </row>
    <row r="3412" spans="1:52" ht="17.100000000000001" customHeight="1" thickTop="1">
      <c r="A3412" s="109" t="s">
        <v>10736</v>
      </c>
      <c r="B3412" s="28">
        <v>45974</v>
      </c>
      <c r="C3412" s="25">
        <v>2134</v>
      </c>
      <c r="D3412" s="13" t="s">
        <v>3836</v>
      </c>
      <c r="E3412" s="111"/>
      <c r="F3412" s="113" t="s">
        <v>10646</v>
      </c>
      <c r="G3412" s="114"/>
      <c r="H3412" s="115"/>
      <c r="I3412" s="24" t="s">
        <v>3819</v>
      </c>
      <c r="J3412" s="116">
        <v>4</v>
      </c>
      <c r="K3412" s="118">
        <v>357000</v>
      </c>
      <c r="L3412" s="119"/>
      <c r="M3412" s="118">
        <f t="shared" ref="M3412" si="2818">K3412*0.1</f>
        <v>35700</v>
      </c>
      <c r="N3412" s="119"/>
      <c r="O3412" s="118">
        <v>0</v>
      </c>
      <c r="P3412" s="119"/>
      <c r="Q3412" s="118">
        <v>10170</v>
      </c>
      <c r="R3412" s="119"/>
      <c r="S3412" s="118">
        <v>13750</v>
      </c>
      <c r="T3412" s="119"/>
      <c r="U3412" s="118">
        <f t="shared" ref="U3412" si="2819">SUM(K3412:T3413)</f>
        <v>416620</v>
      </c>
      <c r="V3412" s="122"/>
      <c r="W3412" s="124"/>
      <c r="X3412" s="126" t="s">
        <v>10648</v>
      </c>
      <c r="Y3412" s="127"/>
      <c r="Z3412" s="127"/>
      <c r="AA3412" s="127"/>
      <c r="AB3412" s="128"/>
      <c r="AC3412" s="15" t="s">
        <v>20</v>
      </c>
      <c r="AD3412" s="129"/>
      <c r="AE3412" s="130"/>
      <c r="AF3412" s="130"/>
      <c r="AG3412" s="130"/>
      <c r="AH3412" s="130"/>
      <c r="AI3412" s="131"/>
      <c r="AJ3412" s="132"/>
      <c r="AK3412" s="127"/>
      <c r="AL3412" s="128"/>
      <c r="AM3412" s="21"/>
      <c r="AN3412" s="133">
        <v>45980</v>
      </c>
      <c r="AO3412" s="134"/>
      <c r="AP3412" s="135">
        <v>993</v>
      </c>
      <c r="AQ3412" s="136"/>
      <c r="AR3412" s="118">
        <v>440000</v>
      </c>
      <c r="AS3412" s="119"/>
      <c r="AT3412" s="118">
        <f t="shared" ref="AT3412" si="2820">AR3412*0.1</f>
        <v>44000</v>
      </c>
      <c r="AU3412" s="119"/>
      <c r="AV3412" s="118">
        <v>10170</v>
      </c>
      <c r="AW3412" s="119"/>
      <c r="AX3412" s="118">
        <f t="shared" ref="AX3412" si="2821">SUM(AR3412:AW3412)</f>
        <v>494170</v>
      </c>
      <c r="AY3412" s="119"/>
      <c r="AZ3412" s="137">
        <v>45992</v>
      </c>
    </row>
    <row r="3413" spans="1:52" ht="17.100000000000001" customHeight="1" thickBot="1">
      <c r="A3413" s="110"/>
      <c r="B3413" s="27" t="s">
        <v>3281</v>
      </c>
      <c r="C3413" s="27">
        <v>175</v>
      </c>
      <c r="D3413" s="14" t="s">
        <v>2601</v>
      </c>
      <c r="E3413" s="112"/>
      <c r="F3413" s="139" t="s">
        <v>10647</v>
      </c>
      <c r="G3413" s="140"/>
      <c r="H3413" s="141"/>
      <c r="I3413" s="26">
        <v>47766</v>
      </c>
      <c r="J3413" s="117"/>
      <c r="K3413" s="120"/>
      <c r="L3413" s="121"/>
      <c r="M3413" s="120"/>
      <c r="N3413" s="121"/>
      <c r="O3413" s="120"/>
      <c r="P3413" s="121"/>
      <c r="Q3413" s="120"/>
      <c r="R3413" s="121"/>
      <c r="S3413" s="120"/>
      <c r="T3413" s="121"/>
      <c r="U3413" s="120"/>
      <c r="V3413" s="123"/>
      <c r="W3413" s="125"/>
      <c r="X3413" s="142" t="s">
        <v>11181</v>
      </c>
      <c r="Y3413" s="143"/>
      <c r="Z3413" s="143"/>
      <c r="AA3413" s="143"/>
      <c r="AB3413" s="144"/>
      <c r="AC3413" s="16" t="s">
        <v>21</v>
      </c>
      <c r="AD3413" s="17" t="s">
        <v>11105</v>
      </c>
      <c r="AE3413" s="145" t="s">
        <v>171</v>
      </c>
      <c r="AF3413" s="146"/>
      <c r="AG3413" s="146"/>
      <c r="AH3413" s="146"/>
      <c r="AI3413" s="147"/>
      <c r="AJ3413" s="148"/>
      <c r="AK3413" s="143"/>
      <c r="AL3413" s="144"/>
      <c r="AM3413" s="22"/>
      <c r="AN3413" s="149" t="s">
        <v>7285</v>
      </c>
      <c r="AO3413" s="144"/>
      <c r="AP3413" s="148">
        <v>2051</v>
      </c>
      <c r="AQ3413" s="144"/>
      <c r="AR3413" s="120"/>
      <c r="AS3413" s="121"/>
      <c r="AT3413" s="120"/>
      <c r="AU3413" s="121"/>
      <c r="AV3413" s="120"/>
      <c r="AW3413" s="121"/>
      <c r="AX3413" s="120"/>
      <c r="AY3413" s="121"/>
      <c r="AZ3413" s="138"/>
    </row>
    <row r="3414" spans="1:52" ht="17.100000000000001" customHeight="1" thickTop="1">
      <c r="A3414" s="109" t="s">
        <v>10737</v>
      </c>
      <c r="B3414" s="28">
        <v>45974</v>
      </c>
      <c r="C3414" s="25">
        <v>2134</v>
      </c>
      <c r="D3414" s="13" t="s">
        <v>3749</v>
      </c>
      <c r="E3414" s="111"/>
      <c r="F3414" s="113" t="s">
        <v>10649</v>
      </c>
      <c r="G3414" s="114"/>
      <c r="H3414" s="115"/>
      <c r="I3414" s="24"/>
      <c r="J3414" s="116">
        <v>3.5</v>
      </c>
      <c r="K3414" s="118">
        <v>302000</v>
      </c>
      <c r="L3414" s="119"/>
      <c r="M3414" s="118">
        <f t="shared" ref="M3414" si="2822">K3414*0.1</f>
        <v>30200</v>
      </c>
      <c r="N3414" s="119"/>
      <c r="O3414" s="118">
        <v>0</v>
      </c>
      <c r="P3414" s="119"/>
      <c r="Q3414" s="118">
        <v>8460</v>
      </c>
      <c r="R3414" s="119"/>
      <c r="S3414" s="118">
        <v>13750</v>
      </c>
      <c r="T3414" s="119"/>
      <c r="U3414" s="118">
        <f t="shared" ref="U3414" si="2823">SUM(K3414:T3415)</f>
        <v>354410</v>
      </c>
      <c r="V3414" s="122"/>
      <c r="W3414" s="124"/>
      <c r="X3414" s="126" t="s">
        <v>11182</v>
      </c>
      <c r="Y3414" s="127"/>
      <c r="Z3414" s="127"/>
      <c r="AA3414" s="127"/>
      <c r="AB3414" s="128"/>
      <c r="AC3414" s="15" t="s">
        <v>20</v>
      </c>
      <c r="AD3414" s="129"/>
      <c r="AE3414" s="130"/>
      <c r="AF3414" s="130"/>
      <c r="AG3414" s="130"/>
      <c r="AH3414" s="130"/>
      <c r="AI3414" s="131"/>
      <c r="AJ3414" s="132"/>
      <c r="AK3414" s="127"/>
      <c r="AL3414" s="128"/>
      <c r="AM3414" s="21"/>
      <c r="AN3414" s="133">
        <v>46053</v>
      </c>
      <c r="AO3414" s="134"/>
      <c r="AP3414" s="135">
        <v>1286</v>
      </c>
      <c r="AQ3414" s="136"/>
      <c r="AR3414" s="118">
        <v>320000</v>
      </c>
      <c r="AS3414" s="119"/>
      <c r="AT3414" s="118">
        <f t="shared" ref="AT3414" si="2824">AR3414*0.1</f>
        <v>32000</v>
      </c>
      <c r="AU3414" s="119"/>
      <c r="AV3414" s="118">
        <v>8460</v>
      </c>
      <c r="AW3414" s="119"/>
      <c r="AX3414" s="118">
        <f t="shared" ref="AX3414" si="2825">SUM(AR3414:AW3414)</f>
        <v>360460</v>
      </c>
      <c r="AY3414" s="119"/>
      <c r="AZ3414" s="137">
        <v>46056</v>
      </c>
    </row>
    <row r="3415" spans="1:52" ht="17.100000000000001" customHeight="1" thickBot="1">
      <c r="A3415" s="110"/>
      <c r="B3415" s="27" t="s">
        <v>3281</v>
      </c>
      <c r="C3415" s="27">
        <v>2011</v>
      </c>
      <c r="D3415" s="14" t="s">
        <v>1720</v>
      </c>
      <c r="E3415" s="112"/>
      <c r="F3415" s="139" t="s">
        <v>10650</v>
      </c>
      <c r="G3415" s="140"/>
      <c r="H3415" s="141"/>
      <c r="I3415" s="26">
        <v>60077</v>
      </c>
      <c r="J3415" s="117"/>
      <c r="K3415" s="120"/>
      <c r="L3415" s="121"/>
      <c r="M3415" s="120"/>
      <c r="N3415" s="121"/>
      <c r="O3415" s="120"/>
      <c r="P3415" s="121"/>
      <c r="Q3415" s="120"/>
      <c r="R3415" s="121"/>
      <c r="S3415" s="120"/>
      <c r="T3415" s="121"/>
      <c r="U3415" s="120"/>
      <c r="V3415" s="123"/>
      <c r="W3415" s="125"/>
      <c r="X3415" s="142" t="s">
        <v>11183</v>
      </c>
      <c r="Y3415" s="143"/>
      <c r="Z3415" s="143"/>
      <c r="AA3415" s="143"/>
      <c r="AB3415" s="144"/>
      <c r="AC3415" s="16" t="s">
        <v>21</v>
      </c>
      <c r="AD3415" s="17" t="s">
        <v>11105</v>
      </c>
      <c r="AE3415" s="145"/>
      <c r="AF3415" s="146"/>
      <c r="AG3415" s="146"/>
      <c r="AH3415" s="146"/>
      <c r="AI3415" s="147"/>
      <c r="AJ3415" s="148"/>
      <c r="AK3415" s="143"/>
      <c r="AL3415" s="144"/>
      <c r="AM3415" s="22"/>
      <c r="AN3415" s="149" t="s">
        <v>2511</v>
      </c>
      <c r="AO3415" s="144"/>
      <c r="AP3415" s="148">
        <v>60078</v>
      </c>
      <c r="AQ3415" s="144"/>
      <c r="AR3415" s="120"/>
      <c r="AS3415" s="121"/>
      <c r="AT3415" s="120"/>
      <c r="AU3415" s="121"/>
      <c r="AV3415" s="120"/>
      <c r="AW3415" s="121"/>
      <c r="AX3415" s="120"/>
      <c r="AY3415" s="121"/>
      <c r="AZ3415" s="138"/>
    </row>
    <row r="3416" spans="1:52" ht="17.100000000000001" customHeight="1" thickTop="1">
      <c r="A3416" s="109" t="s">
        <v>10738</v>
      </c>
      <c r="B3416" s="28">
        <v>45974</v>
      </c>
      <c r="C3416" s="25">
        <v>2134</v>
      </c>
      <c r="D3416" s="13" t="s">
        <v>1744</v>
      </c>
      <c r="E3416" s="111"/>
      <c r="F3416" s="113" t="s">
        <v>10651</v>
      </c>
      <c r="G3416" s="114"/>
      <c r="H3416" s="115"/>
      <c r="I3416" s="24" t="s">
        <v>4487</v>
      </c>
      <c r="J3416" s="116">
        <v>4</v>
      </c>
      <c r="K3416" s="118">
        <v>727000</v>
      </c>
      <c r="L3416" s="119"/>
      <c r="M3416" s="118">
        <f t="shared" ref="M3416" si="2826">K3416*0.1</f>
        <v>72700</v>
      </c>
      <c r="N3416" s="119"/>
      <c r="O3416" s="118">
        <v>0</v>
      </c>
      <c r="P3416" s="119"/>
      <c r="Q3416" s="118">
        <v>9310</v>
      </c>
      <c r="R3416" s="119"/>
      <c r="S3416" s="118">
        <v>13750</v>
      </c>
      <c r="T3416" s="119"/>
      <c r="U3416" s="118">
        <f t="shared" ref="U3416" si="2827">SUM(K3416:T3417)</f>
        <v>822760</v>
      </c>
      <c r="V3416" s="122"/>
      <c r="W3416" s="124"/>
      <c r="X3416" s="126" t="s">
        <v>10745</v>
      </c>
      <c r="Y3416" s="127"/>
      <c r="Z3416" s="127"/>
      <c r="AA3416" s="127"/>
      <c r="AB3416" s="128"/>
      <c r="AC3416" s="15" t="s">
        <v>20</v>
      </c>
      <c r="AD3416" s="129"/>
      <c r="AE3416" s="130"/>
      <c r="AF3416" s="130"/>
      <c r="AG3416" s="130"/>
      <c r="AH3416" s="130"/>
      <c r="AI3416" s="131"/>
      <c r="AJ3416" s="132"/>
      <c r="AK3416" s="127"/>
      <c r="AL3416" s="128"/>
      <c r="AM3416" s="21"/>
      <c r="AN3416" s="133">
        <v>45980</v>
      </c>
      <c r="AO3416" s="134"/>
      <c r="AP3416" s="135">
        <v>993</v>
      </c>
      <c r="AQ3416" s="136"/>
      <c r="AR3416" s="118">
        <v>825000</v>
      </c>
      <c r="AS3416" s="119"/>
      <c r="AT3416" s="118">
        <f t="shared" ref="AT3416" si="2828">AR3416*0.1</f>
        <v>82500</v>
      </c>
      <c r="AU3416" s="119"/>
      <c r="AV3416" s="118">
        <v>9310</v>
      </c>
      <c r="AW3416" s="119"/>
      <c r="AX3416" s="118">
        <f t="shared" ref="AX3416" si="2829">SUM(AR3416:AW3416)</f>
        <v>916810</v>
      </c>
      <c r="AY3416" s="119"/>
      <c r="AZ3416" s="137">
        <v>45986</v>
      </c>
    </row>
    <row r="3417" spans="1:52" ht="17.100000000000001" customHeight="1" thickBot="1">
      <c r="A3417" s="110"/>
      <c r="B3417" s="27" t="s">
        <v>3281</v>
      </c>
      <c r="C3417" s="27">
        <v>2112</v>
      </c>
      <c r="D3417" s="14" t="s">
        <v>1812</v>
      </c>
      <c r="E3417" s="112"/>
      <c r="F3417" s="139" t="s">
        <v>10653</v>
      </c>
      <c r="G3417" s="140"/>
      <c r="H3417" s="141"/>
      <c r="I3417" s="26">
        <v>58920</v>
      </c>
      <c r="J3417" s="117"/>
      <c r="K3417" s="120"/>
      <c r="L3417" s="121"/>
      <c r="M3417" s="120"/>
      <c r="N3417" s="121"/>
      <c r="O3417" s="120"/>
      <c r="P3417" s="121"/>
      <c r="Q3417" s="120"/>
      <c r="R3417" s="121"/>
      <c r="S3417" s="120"/>
      <c r="T3417" s="121"/>
      <c r="U3417" s="120"/>
      <c r="V3417" s="123"/>
      <c r="W3417" s="125"/>
      <c r="X3417" s="142" t="s">
        <v>11164</v>
      </c>
      <c r="Y3417" s="143"/>
      <c r="Z3417" s="143"/>
      <c r="AA3417" s="143"/>
      <c r="AB3417" s="144"/>
      <c r="AC3417" s="16" t="s">
        <v>21</v>
      </c>
      <c r="AD3417" s="17" t="s">
        <v>11105</v>
      </c>
      <c r="AE3417" s="145" t="s">
        <v>7842</v>
      </c>
      <c r="AF3417" s="146"/>
      <c r="AG3417" s="146"/>
      <c r="AH3417" s="146"/>
      <c r="AI3417" s="147"/>
      <c r="AJ3417" s="148"/>
      <c r="AK3417" s="143"/>
      <c r="AL3417" s="144"/>
      <c r="AM3417" s="22"/>
      <c r="AN3417" s="149" t="s">
        <v>2794</v>
      </c>
      <c r="AO3417" s="144"/>
      <c r="AP3417" s="148">
        <v>2045</v>
      </c>
      <c r="AQ3417" s="144"/>
      <c r="AR3417" s="120"/>
      <c r="AS3417" s="121"/>
      <c r="AT3417" s="120"/>
      <c r="AU3417" s="121"/>
      <c r="AV3417" s="120"/>
      <c r="AW3417" s="121"/>
      <c r="AX3417" s="120"/>
      <c r="AY3417" s="121"/>
      <c r="AZ3417" s="138"/>
    </row>
    <row r="3418" spans="1:52" ht="17.100000000000001" customHeight="1" thickTop="1">
      <c r="A3418" s="109" t="s">
        <v>10739</v>
      </c>
      <c r="B3418" s="28">
        <v>45974</v>
      </c>
      <c r="C3418" s="25">
        <v>2134</v>
      </c>
      <c r="D3418" s="13" t="s">
        <v>1714</v>
      </c>
      <c r="E3418" s="111"/>
      <c r="F3418" s="113" t="s">
        <v>3908</v>
      </c>
      <c r="G3418" s="114"/>
      <c r="H3418" s="115"/>
      <c r="I3418" s="24"/>
      <c r="J3418" s="116">
        <v>4</v>
      </c>
      <c r="K3418" s="118">
        <v>731000</v>
      </c>
      <c r="L3418" s="119"/>
      <c r="M3418" s="118">
        <f t="shared" ref="M3418" si="2830">K3418*0.1</f>
        <v>73100</v>
      </c>
      <c r="N3418" s="119"/>
      <c r="O3418" s="118">
        <v>0</v>
      </c>
      <c r="P3418" s="119"/>
      <c r="Q3418" s="118">
        <v>5340</v>
      </c>
      <c r="R3418" s="119"/>
      <c r="S3418" s="118">
        <v>13750</v>
      </c>
      <c r="T3418" s="119"/>
      <c r="U3418" s="118">
        <f t="shared" ref="U3418" si="2831">SUM(K3418:T3419)</f>
        <v>823190</v>
      </c>
      <c r="V3418" s="122"/>
      <c r="W3418" s="124"/>
      <c r="X3418" s="126" t="s">
        <v>11432</v>
      </c>
      <c r="Y3418" s="127"/>
      <c r="Z3418" s="127"/>
      <c r="AA3418" s="127"/>
      <c r="AB3418" s="128"/>
      <c r="AC3418" s="15" t="s">
        <v>20</v>
      </c>
      <c r="AD3418" s="129"/>
      <c r="AE3418" s="130"/>
      <c r="AF3418" s="130"/>
      <c r="AG3418" s="130"/>
      <c r="AH3418" s="130"/>
      <c r="AI3418" s="131"/>
      <c r="AJ3418" s="132"/>
      <c r="AK3418" s="127"/>
      <c r="AL3418" s="128"/>
      <c r="AM3418" s="21"/>
      <c r="AN3418" s="133">
        <v>46004</v>
      </c>
      <c r="AO3418" s="134"/>
      <c r="AP3418" s="135">
        <v>1280</v>
      </c>
      <c r="AQ3418" s="136"/>
      <c r="AR3418" s="118">
        <v>765000</v>
      </c>
      <c r="AS3418" s="119"/>
      <c r="AT3418" s="118">
        <f t="shared" ref="AT3418" si="2832">AR3418*0.1</f>
        <v>76500</v>
      </c>
      <c r="AU3418" s="119"/>
      <c r="AV3418" s="118">
        <v>5340</v>
      </c>
      <c r="AW3418" s="119"/>
      <c r="AX3418" s="118">
        <f t="shared" ref="AX3418" si="2833">SUM(AR3418:AW3418)</f>
        <v>846840</v>
      </c>
      <c r="AY3418" s="119"/>
      <c r="AZ3418" s="137">
        <v>46008</v>
      </c>
    </row>
    <row r="3419" spans="1:52" ht="17.100000000000001" customHeight="1" thickBot="1">
      <c r="A3419" s="110"/>
      <c r="B3419" s="27" t="s">
        <v>3281</v>
      </c>
      <c r="C3419" s="27">
        <v>2502</v>
      </c>
      <c r="D3419" s="14" t="s">
        <v>1635</v>
      </c>
      <c r="E3419" s="112"/>
      <c r="F3419" s="139" t="s">
        <v>10654</v>
      </c>
      <c r="G3419" s="140"/>
      <c r="H3419" s="141"/>
      <c r="I3419" s="26">
        <v>46110</v>
      </c>
      <c r="J3419" s="117"/>
      <c r="K3419" s="120"/>
      <c r="L3419" s="121"/>
      <c r="M3419" s="120"/>
      <c r="N3419" s="121"/>
      <c r="O3419" s="120"/>
      <c r="P3419" s="121"/>
      <c r="Q3419" s="120"/>
      <c r="R3419" s="121"/>
      <c r="S3419" s="120"/>
      <c r="T3419" s="121"/>
      <c r="U3419" s="120"/>
      <c r="V3419" s="123"/>
      <c r="W3419" s="125"/>
      <c r="X3419" s="142" t="s">
        <v>11433</v>
      </c>
      <c r="Y3419" s="143"/>
      <c r="Z3419" s="143"/>
      <c r="AA3419" s="143"/>
      <c r="AB3419" s="144"/>
      <c r="AC3419" s="16" t="s">
        <v>21</v>
      </c>
      <c r="AD3419" s="17" t="s">
        <v>2218</v>
      </c>
      <c r="AE3419" s="145" t="s">
        <v>2401</v>
      </c>
      <c r="AF3419" s="146"/>
      <c r="AG3419" s="146"/>
      <c r="AH3419" s="146"/>
      <c r="AI3419" s="147"/>
      <c r="AJ3419" s="148"/>
      <c r="AK3419" s="143"/>
      <c r="AL3419" s="144"/>
      <c r="AM3419" s="22"/>
      <c r="AN3419" s="149" t="s">
        <v>7284</v>
      </c>
      <c r="AO3419" s="144"/>
      <c r="AP3419" s="148">
        <v>60053</v>
      </c>
      <c r="AQ3419" s="144"/>
      <c r="AR3419" s="120"/>
      <c r="AS3419" s="121"/>
      <c r="AT3419" s="120"/>
      <c r="AU3419" s="121"/>
      <c r="AV3419" s="120"/>
      <c r="AW3419" s="121"/>
      <c r="AX3419" s="120"/>
      <c r="AY3419" s="121"/>
      <c r="AZ3419" s="138"/>
    </row>
    <row r="3420" spans="1:52" ht="17.100000000000001" customHeight="1" thickTop="1">
      <c r="A3420" s="109" t="s">
        <v>10740</v>
      </c>
      <c r="B3420" s="28">
        <v>45974</v>
      </c>
      <c r="C3420" s="25">
        <v>2134</v>
      </c>
      <c r="D3420" s="13" t="s">
        <v>2001</v>
      </c>
      <c r="E3420" s="111"/>
      <c r="F3420" s="113" t="s">
        <v>10655</v>
      </c>
      <c r="G3420" s="114"/>
      <c r="H3420" s="115"/>
      <c r="I3420" s="24"/>
      <c r="J3420" s="116">
        <v>4.5</v>
      </c>
      <c r="K3420" s="118">
        <v>834000</v>
      </c>
      <c r="L3420" s="119"/>
      <c r="M3420" s="118">
        <f t="shared" ref="M3420" si="2834">K3420*0.1</f>
        <v>83400</v>
      </c>
      <c r="N3420" s="119"/>
      <c r="O3420" s="118">
        <v>0</v>
      </c>
      <c r="P3420" s="119"/>
      <c r="Q3420" s="118">
        <v>8450</v>
      </c>
      <c r="R3420" s="119"/>
      <c r="S3420" s="118">
        <v>13750</v>
      </c>
      <c r="T3420" s="119"/>
      <c r="U3420" s="118">
        <f t="shared" ref="U3420" si="2835">SUM(K3420:T3421)</f>
        <v>939600</v>
      </c>
      <c r="V3420" s="122"/>
      <c r="W3420" s="124"/>
      <c r="X3420" s="126" t="s">
        <v>11184</v>
      </c>
      <c r="Y3420" s="127"/>
      <c r="Z3420" s="127"/>
      <c r="AA3420" s="127"/>
      <c r="AB3420" s="128"/>
      <c r="AC3420" s="15" t="s">
        <v>20</v>
      </c>
      <c r="AD3420" s="129" t="s">
        <v>2395</v>
      </c>
      <c r="AE3420" s="130"/>
      <c r="AF3420" s="130"/>
      <c r="AG3420" s="130"/>
      <c r="AH3420" s="130"/>
      <c r="AI3420" s="131"/>
      <c r="AJ3420" s="132"/>
      <c r="AK3420" s="127"/>
      <c r="AL3420" s="128"/>
      <c r="AM3420" s="21"/>
      <c r="AN3420" s="133">
        <v>45987</v>
      </c>
      <c r="AO3420" s="134"/>
      <c r="AP3420" s="135">
        <v>994</v>
      </c>
      <c r="AQ3420" s="136"/>
      <c r="AR3420" s="118">
        <v>850000</v>
      </c>
      <c r="AS3420" s="119"/>
      <c r="AT3420" s="118">
        <f t="shared" ref="AT3420" si="2836">AR3420*0.1</f>
        <v>85000</v>
      </c>
      <c r="AU3420" s="119"/>
      <c r="AV3420" s="118">
        <v>8450</v>
      </c>
      <c r="AW3420" s="119"/>
      <c r="AX3420" s="118">
        <f t="shared" ref="AX3420" si="2837">SUM(AR3420:AW3420)</f>
        <v>943450</v>
      </c>
      <c r="AY3420" s="119"/>
      <c r="AZ3420" s="137">
        <v>45992</v>
      </c>
    </row>
    <row r="3421" spans="1:52" ht="17.100000000000001" customHeight="1" thickBot="1">
      <c r="A3421" s="110"/>
      <c r="B3421" s="27" t="s">
        <v>3281</v>
      </c>
      <c r="C3421" s="27">
        <v>2507</v>
      </c>
      <c r="D3421" s="14" t="s">
        <v>1592</v>
      </c>
      <c r="E3421" s="112"/>
      <c r="F3421" s="139" t="s">
        <v>10656</v>
      </c>
      <c r="G3421" s="140"/>
      <c r="H3421" s="141"/>
      <c r="I3421" s="26">
        <v>16434</v>
      </c>
      <c r="J3421" s="117"/>
      <c r="K3421" s="120"/>
      <c r="L3421" s="121"/>
      <c r="M3421" s="120"/>
      <c r="N3421" s="121"/>
      <c r="O3421" s="120"/>
      <c r="P3421" s="121"/>
      <c r="Q3421" s="120"/>
      <c r="R3421" s="121"/>
      <c r="S3421" s="120"/>
      <c r="T3421" s="121"/>
      <c r="U3421" s="120"/>
      <c r="V3421" s="123"/>
      <c r="W3421" s="125"/>
      <c r="X3421" s="142" t="s">
        <v>2992</v>
      </c>
      <c r="Y3421" s="143"/>
      <c r="Z3421" s="143"/>
      <c r="AA3421" s="143"/>
      <c r="AB3421" s="144"/>
      <c r="AC3421" s="16" t="s">
        <v>21</v>
      </c>
      <c r="AD3421" s="17" t="s">
        <v>11105</v>
      </c>
      <c r="AE3421" s="145" t="s">
        <v>2395</v>
      </c>
      <c r="AF3421" s="146"/>
      <c r="AG3421" s="146"/>
      <c r="AH3421" s="146"/>
      <c r="AI3421" s="147"/>
      <c r="AJ3421" s="148"/>
      <c r="AK3421" s="143"/>
      <c r="AL3421" s="144"/>
      <c r="AM3421" s="22"/>
      <c r="AN3421" s="149" t="s">
        <v>11801</v>
      </c>
      <c r="AO3421" s="144"/>
      <c r="AP3421" s="148">
        <v>2076</v>
      </c>
      <c r="AQ3421" s="144"/>
      <c r="AR3421" s="120"/>
      <c r="AS3421" s="121"/>
      <c r="AT3421" s="120"/>
      <c r="AU3421" s="121"/>
      <c r="AV3421" s="120"/>
      <c r="AW3421" s="121"/>
      <c r="AX3421" s="120"/>
      <c r="AY3421" s="121"/>
      <c r="AZ3421" s="138"/>
    </row>
    <row r="3422" spans="1:52" ht="17.100000000000001" customHeight="1" thickTop="1">
      <c r="A3422" s="109" t="s">
        <v>10741</v>
      </c>
      <c r="B3422" s="28">
        <v>45974</v>
      </c>
      <c r="C3422" s="25">
        <v>2134</v>
      </c>
      <c r="D3422" s="13" t="s">
        <v>2141</v>
      </c>
      <c r="E3422" s="111"/>
      <c r="F3422" s="113" t="s">
        <v>10657</v>
      </c>
      <c r="G3422" s="114"/>
      <c r="H3422" s="115"/>
      <c r="I3422" s="24" t="s">
        <v>10659</v>
      </c>
      <c r="J3422" s="116">
        <v>4.5</v>
      </c>
      <c r="K3422" s="118">
        <v>703000</v>
      </c>
      <c r="L3422" s="119"/>
      <c r="M3422" s="118">
        <f t="shared" ref="M3422" si="2838">K3422*0.1</f>
        <v>70300</v>
      </c>
      <c r="N3422" s="119"/>
      <c r="O3422" s="118">
        <v>0</v>
      </c>
      <c r="P3422" s="119"/>
      <c r="Q3422" s="118">
        <v>9300</v>
      </c>
      <c r="R3422" s="119"/>
      <c r="S3422" s="118">
        <v>13750</v>
      </c>
      <c r="T3422" s="119"/>
      <c r="U3422" s="118">
        <f t="shared" ref="U3422" si="2839">SUM(K3422:T3423)</f>
        <v>796350</v>
      </c>
      <c r="V3422" s="122"/>
      <c r="W3422" s="124"/>
      <c r="X3422" s="126" t="s">
        <v>10660</v>
      </c>
      <c r="Y3422" s="127"/>
      <c r="Z3422" s="127"/>
      <c r="AA3422" s="127"/>
      <c r="AB3422" s="128"/>
      <c r="AC3422" s="15" t="s">
        <v>20</v>
      </c>
      <c r="AD3422" s="129"/>
      <c r="AE3422" s="130"/>
      <c r="AF3422" s="130"/>
      <c r="AG3422" s="130"/>
      <c r="AH3422" s="130"/>
      <c r="AI3422" s="131"/>
      <c r="AJ3422" s="132"/>
      <c r="AK3422" s="127"/>
      <c r="AL3422" s="128"/>
      <c r="AM3422" s="21"/>
      <c r="AN3422" s="133">
        <v>45987</v>
      </c>
      <c r="AO3422" s="134"/>
      <c r="AP3422" s="135">
        <v>994</v>
      </c>
      <c r="AQ3422" s="136"/>
      <c r="AR3422" s="118">
        <v>710000</v>
      </c>
      <c r="AS3422" s="119"/>
      <c r="AT3422" s="118">
        <f t="shared" ref="AT3422" si="2840">AR3422*0.1</f>
        <v>71000</v>
      </c>
      <c r="AU3422" s="119"/>
      <c r="AV3422" s="118">
        <v>9300</v>
      </c>
      <c r="AW3422" s="119"/>
      <c r="AX3422" s="118">
        <f t="shared" ref="AX3422" si="2841">SUM(AR3422:AW3422)</f>
        <v>790300</v>
      </c>
      <c r="AY3422" s="119"/>
      <c r="AZ3422" s="137">
        <v>45992</v>
      </c>
    </row>
    <row r="3423" spans="1:52" ht="17.100000000000001" customHeight="1" thickBot="1">
      <c r="A3423" s="110"/>
      <c r="B3423" s="27" t="s">
        <v>3281</v>
      </c>
      <c r="C3423" s="27">
        <v>2570</v>
      </c>
      <c r="D3423" s="14" t="s">
        <v>1592</v>
      </c>
      <c r="E3423" s="112"/>
      <c r="F3423" s="139" t="s">
        <v>10658</v>
      </c>
      <c r="G3423" s="140"/>
      <c r="H3423" s="141"/>
      <c r="I3423" s="26">
        <v>47470</v>
      </c>
      <c r="J3423" s="117"/>
      <c r="K3423" s="120"/>
      <c r="L3423" s="121"/>
      <c r="M3423" s="120"/>
      <c r="N3423" s="121"/>
      <c r="O3423" s="120"/>
      <c r="P3423" s="121"/>
      <c r="Q3423" s="120"/>
      <c r="R3423" s="121"/>
      <c r="S3423" s="120"/>
      <c r="T3423" s="121"/>
      <c r="U3423" s="120"/>
      <c r="V3423" s="123"/>
      <c r="W3423" s="125"/>
      <c r="X3423" s="142" t="s">
        <v>11185</v>
      </c>
      <c r="Y3423" s="143"/>
      <c r="Z3423" s="143"/>
      <c r="AA3423" s="143"/>
      <c r="AB3423" s="144"/>
      <c r="AC3423" s="16" t="s">
        <v>21</v>
      </c>
      <c r="AD3423" s="17" t="s">
        <v>11105</v>
      </c>
      <c r="AE3423" s="145"/>
      <c r="AF3423" s="146"/>
      <c r="AG3423" s="146"/>
      <c r="AH3423" s="146"/>
      <c r="AI3423" s="147"/>
      <c r="AJ3423" s="148"/>
      <c r="AK3423" s="143"/>
      <c r="AL3423" s="144"/>
      <c r="AM3423" s="22"/>
      <c r="AN3423" s="149" t="s">
        <v>11801</v>
      </c>
      <c r="AO3423" s="144"/>
      <c r="AP3423" s="148">
        <v>2024</v>
      </c>
      <c r="AQ3423" s="144"/>
      <c r="AR3423" s="120"/>
      <c r="AS3423" s="121"/>
      <c r="AT3423" s="120"/>
      <c r="AU3423" s="121"/>
      <c r="AV3423" s="120"/>
      <c r="AW3423" s="121"/>
      <c r="AX3423" s="120"/>
      <c r="AY3423" s="121"/>
      <c r="AZ3423" s="138"/>
    </row>
    <row r="3424" spans="1:52" ht="17.100000000000001" customHeight="1" thickTop="1">
      <c r="A3424" s="109" t="s">
        <v>10742</v>
      </c>
      <c r="B3424" s="28">
        <v>45974</v>
      </c>
      <c r="C3424" s="25">
        <v>2134</v>
      </c>
      <c r="D3424" s="13" t="s">
        <v>1572</v>
      </c>
      <c r="E3424" s="111"/>
      <c r="F3424" s="113" t="s">
        <v>3611</v>
      </c>
      <c r="G3424" s="114"/>
      <c r="H3424" s="115"/>
      <c r="I3424" s="24"/>
      <c r="J3424" s="116">
        <v>4.5</v>
      </c>
      <c r="K3424" s="118">
        <v>622000</v>
      </c>
      <c r="L3424" s="119"/>
      <c r="M3424" s="118">
        <f t="shared" ref="M3424" si="2842">K3424*0.1</f>
        <v>62200</v>
      </c>
      <c r="N3424" s="119"/>
      <c r="O3424" s="118">
        <v>0</v>
      </c>
      <c r="P3424" s="119"/>
      <c r="Q3424" s="118">
        <v>8400</v>
      </c>
      <c r="R3424" s="119"/>
      <c r="S3424" s="118">
        <v>13750</v>
      </c>
      <c r="T3424" s="119"/>
      <c r="U3424" s="118">
        <f t="shared" ref="U3424" si="2843">SUM(K3424:T3425)</f>
        <v>706350</v>
      </c>
      <c r="V3424" s="122"/>
      <c r="W3424" s="124"/>
      <c r="X3424" s="126" t="s">
        <v>11186</v>
      </c>
      <c r="Y3424" s="127"/>
      <c r="Z3424" s="127"/>
      <c r="AA3424" s="127"/>
      <c r="AB3424" s="128"/>
      <c r="AC3424" s="15" t="s">
        <v>20</v>
      </c>
      <c r="AD3424" s="129" t="s">
        <v>10662</v>
      </c>
      <c r="AE3424" s="130"/>
      <c r="AF3424" s="130"/>
      <c r="AG3424" s="130"/>
      <c r="AH3424" s="130"/>
      <c r="AI3424" s="131"/>
      <c r="AJ3424" s="132"/>
      <c r="AK3424" s="127"/>
      <c r="AL3424" s="128"/>
      <c r="AM3424" s="21"/>
      <c r="AN3424" s="133">
        <v>45993</v>
      </c>
      <c r="AO3424" s="134"/>
      <c r="AP3424" s="135">
        <v>1920</v>
      </c>
      <c r="AQ3424" s="136"/>
      <c r="AR3424" s="118">
        <v>649000</v>
      </c>
      <c r="AS3424" s="119"/>
      <c r="AT3424" s="118">
        <f t="shared" ref="AT3424" si="2844">AR3424*0.1</f>
        <v>64900</v>
      </c>
      <c r="AU3424" s="119"/>
      <c r="AV3424" s="118">
        <v>8400</v>
      </c>
      <c r="AW3424" s="119"/>
      <c r="AX3424" s="118">
        <f t="shared" ref="AX3424" si="2845">SUM(AR3424:AW3424)</f>
        <v>722300</v>
      </c>
      <c r="AY3424" s="119"/>
      <c r="AZ3424" s="137"/>
    </row>
    <row r="3425" spans="1:52" ht="17.100000000000001" customHeight="1" thickBot="1">
      <c r="A3425" s="110"/>
      <c r="B3425" s="27" t="s">
        <v>3281</v>
      </c>
      <c r="C3425" s="27">
        <v>2582</v>
      </c>
      <c r="D3425" s="14" t="s">
        <v>1812</v>
      </c>
      <c r="E3425" s="112"/>
      <c r="F3425" s="139" t="s">
        <v>10661</v>
      </c>
      <c r="G3425" s="140"/>
      <c r="H3425" s="141"/>
      <c r="I3425" s="26">
        <v>59261</v>
      </c>
      <c r="J3425" s="117"/>
      <c r="K3425" s="120"/>
      <c r="L3425" s="121"/>
      <c r="M3425" s="120"/>
      <c r="N3425" s="121"/>
      <c r="O3425" s="120"/>
      <c r="P3425" s="121"/>
      <c r="Q3425" s="120"/>
      <c r="R3425" s="121"/>
      <c r="S3425" s="120"/>
      <c r="T3425" s="121"/>
      <c r="U3425" s="120"/>
      <c r="V3425" s="123"/>
      <c r="W3425" s="125"/>
      <c r="X3425" s="142" t="s">
        <v>4690</v>
      </c>
      <c r="Y3425" s="143"/>
      <c r="Z3425" s="143"/>
      <c r="AA3425" s="143"/>
      <c r="AB3425" s="144"/>
      <c r="AC3425" s="16" t="s">
        <v>21</v>
      </c>
      <c r="AD3425" s="17" t="s">
        <v>11105</v>
      </c>
      <c r="AE3425" s="145" t="s">
        <v>11187</v>
      </c>
      <c r="AF3425" s="146"/>
      <c r="AG3425" s="146"/>
      <c r="AH3425" s="146"/>
      <c r="AI3425" s="147"/>
      <c r="AJ3425" s="148"/>
      <c r="AK3425" s="143"/>
      <c r="AL3425" s="144"/>
      <c r="AM3425" s="22"/>
      <c r="AN3425" s="149" t="s">
        <v>2131</v>
      </c>
      <c r="AO3425" s="144"/>
      <c r="AP3425" s="148">
        <v>3083</v>
      </c>
      <c r="AQ3425" s="144"/>
      <c r="AR3425" s="120"/>
      <c r="AS3425" s="121"/>
      <c r="AT3425" s="120"/>
      <c r="AU3425" s="121"/>
      <c r="AV3425" s="120"/>
      <c r="AW3425" s="121"/>
      <c r="AX3425" s="120"/>
      <c r="AY3425" s="121"/>
      <c r="AZ3425" s="138"/>
    </row>
    <row r="3426" spans="1:52" ht="17.100000000000001" customHeight="1" thickTop="1">
      <c r="A3426" s="109" t="s">
        <v>10744</v>
      </c>
      <c r="B3426" s="28">
        <v>45974</v>
      </c>
      <c r="C3426" s="25">
        <v>1730</v>
      </c>
      <c r="D3426" s="13" t="s">
        <v>1640</v>
      </c>
      <c r="E3426" s="111"/>
      <c r="F3426" s="113" t="s">
        <v>10746</v>
      </c>
      <c r="G3426" s="114"/>
      <c r="H3426" s="115"/>
      <c r="I3426" s="24" t="s">
        <v>2943</v>
      </c>
      <c r="J3426" s="116">
        <v>4</v>
      </c>
      <c r="K3426" s="118">
        <v>847000</v>
      </c>
      <c r="L3426" s="119"/>
      <c r="M3426" s="118">
        <f t="shared" ref="M3426" si="2846">K3426*0.1</f>
        <v>84700</v>
      </c>
      <c r="N3426" s="119"/>
      <c r="O3426" s="118">
        <f>11500+1150</f>
        <v>12650</v>
      </c>
      <c r="P3426" s="119"/>
      <c r="Q3426" s="118">
        <v>19090</v>
      </c>
      <c r="R3426" s="119"/>
      <c r="S3426" s="118">
        <v>15400</v>
      </c>
      <c r="T3426" s="119"/>
      <c r="U3426" s="118">
        <f t="shared" ref="U3426" si="2847">SUM(K3426:T3427)</f>
        <v>978840</v>
      </c>
      <c r="V3426" s="122"/>
      <c r="W3426" s="124"/>
      <c r="X3426" s="126" t="s">
        <v>10747</v>
      </c>
      <c r="Y3426" s="127"/>
      <c r="Z3426" s="127"/>
      <c r="AA3426" s="127"/>
      <c r="AB3426" s="128"/>
      <c r="AC3426" s="15" t="s">
        <v>20</v>
      </c>
      <c r="AD3426" s="129" t="s">
        <v>3123</v>
      </c>
      <c r="AE3426" s="130"/>
      <c r="AF3426" s="130"/>
      <c r="AG3426" s="130"/>
      <c r="AH3426" s="130"/>
      <c r="AI3426" s="131"/>
      <c r="AJ3426" s="132"/>
      <c r="AK3426" s="127"/>
      <c r="AL3426" s="128"/>
      <c r="AM3426" s="21"/>
      <c r="AN3426" s="133">
        <v>45990</v>
      </c>
      <c r="AO3426" s="134"/>
      <c r="AP3426" s="135">
        <v>1278</v>
      </c>
      <c r="AQ3426" s="136"/>
      <c r="AR3426" s="118">
        <v>1020000</v>
      </c>
      <c r="AS3426" s="119"/>
      <c r="AT3426" s="118">
        <f t="shared" ref="AT3426" si="2848">AR3426*0.1</f>
        <v>102000</v>
      </c>
      <c r="AU3426" s="119"/>
      <c r="AV3426" s="118">
        <v>19090</v>
      </c>
      <c r="AW3426" s="119"/>
      <c r="AX3426" s="118">
        <f t="shared" ref="AX3426" si="2849">SUM(AR3426:AW3426)</f>
        <v>1141090</v>
      </c>
      <c r="AY3426" s="119"/>
      <c r="AZ3426" s="137">
        <v>45994</v>
      </c>
    </row>
    <row r="3427" spans="1:52" ht="17.100000000000001" customHeight="1" thickBot="1">
      <c r="A3427" s="110"/>
      <c r="B3427" s="27" t="s">
        <v>4304</v>
      </c>
      <c r="C3427" s="27">
        <v>2006</v>
      </c>
      <c r="D3427" s="14" t="s">
        <v>3327</v>
      </c>
      <c r="E3427" s="112"/>
      <c r="F3427" s="139" t="s">
        <v>10743</v>
      </c>
      <c r="G3427" s="140"/>
      <c r="H3427" s="141"/>
      <c r="I3427" s="26">
        <v>48469</v>
      </c>
      <c r="J3427" s="117"/>
      <c r="K3427" s="120"/>
      <c r="L3427" s="121"/>
      <c r="M3427" s="120"/>
      <c r="N3427" s="121"/>
      <c r="O3427" s="120"/>
      <c r="P3427" s="121"/>
      <c r="Q3427" s="120"/>
      <c r="R3427" s="121"/>
      <c r="S3427" s="120"/>
      <c r="T3427" s="121"/>
      <c r="U3427" s="120"/>
      <c r="V3427" s="123"/>
      <c r="W3427" s="125"/>
      <c r="X3427" s="142" t="s">
        <v>11214</v>
      </c>
      <c r="Y3427" s="143"/>
      <c r="Z3427" s="143"/>
      <c r="AA3427" s="143"/>
      <c r="AB3427" s="144"/>
      <c r="AC3427" s="16" t="s">
        <v>21</v>
      </c>
      <c r="AD3427" s="17" t="s">
        <v>11105</v>
      </c>
      <c r="AE3427" s="145" t="s">
        <v>1614</v>
      </c>
      <c r="AF3427" s="146"/>
      <c r="AG3427" s="146"/>
      <c r="AH3427" s="146"/>
      <c r="AI3427" s="147"/>
      <c r="AJ3427" s="148"/>
      <c r="AK3427" s="143"/>
      <c r="AL3427" s="144"/>
      <c r="AM3427" s="22"/>
      <c r="AN3427" s="149" t="s">
        <v>2511</v>
      </c>
      <c r="AO3427" s="144"/>
      <c r="AP3427" s="148">
        <v>80409</v>
      </c>
      <c r="AQ3427" s="144"/>
      <c r="AR3427" s="120"/>
      <c r="AS3427" s="121"/>
      <c r="AT3427" s="120"/>
      <c r="AU3427" s="121"/>
      <c r="AV3427" s="120"/>
      <c r="AW3427" s="121"/>
      <c r="AX3427" s="120"/>
      <c r="AY3427" s="121"/>
      <c r="AZ3427" s="138"/>
    </row>
    <row r="3428" spans="1:52" ht="17.100000000000001" customHeight="1" thickTop="1">
      <c r="A3428" s="109" t="s">
        <v>10753</v>
      </c>
      <c r="B3428" s="28">
        <v>45975</v>
      </c>
      <c r="C3428" s="25">
        <v>68</v>
      </c>
      <c r="D3428" s="13" t="s">
        <v>1712</v>
      </c>
      <c r="E3428" s="111"/>
      <c r="F3428" s="113" t="s">
        <v>10759</v>
      </c>
      <c r="G3428" s="114"/>
      <c r="H3428" s="115"/>
      <c r="I3428" s="24" t="s">
        <v>2526</v>
      </c>
      <c r="J3428" s="116">
        <v>3.5</v>
      </c>
      <c r="K3428" s="118">
        <v>405000</v>
      </c>
      <c r="L3428" s="119"/>
      <c r="M3428" s="118">
        <f t="shared" ref="M3428" si="2850">K3428*0.1</f>
        <v>40500</v>
      </c>
      <c r="N3428" s="119"/>
      <c r="O3428" s="118">
        <v>0</v>
      </c>
      <c r="P3428" s="119"/>
      <c r="Q3428" s="118">
        <v>8400</v>
      </c>
      <c r="R3428" s="119"/>
      <c r="S3428" s="118">
        <v>33000</v>
      </c>
      <c r="T3428" s="119"/>
      <c r="U3428" s="118">
        <f t="shared" ref="U3428" si="2851">SUM(K3428:T3429)</f>
        <v>486900</v>
      </c>
      <c r="V3428" s="122"/>
      <c r="W3428" s="124"/>
      <c r="X3428" s="126" t="s">
        <v>13464</v>
      </c>
      <c r="Y3428" s="127"/>
      <c r="Z3428" s="127"/>
      <c r="AA3428" s="127"/>
      <c r="AB3428" s="128"/>
      <c r="AC3428" s="15" t="s">
        <v>20</v>
      </c>
      <c r="AD3428" s="129" t="s">
        <v>10761</v>
      </c>
      <c r="AE3428" s="130"/>
      <c r="AF3428" s="130"/>
      <c r="AG3428" s="130"/>
      <c r="AH3428" s="130"/>
      <c r="AI3428" s="131"/>
      <c r="AJ3428" s="132"/>
      <c r="AK3428" s="127"/>
      <c r="AL3428" s="128"/>
      <c r="AM3428" s="21" t="s">
        <v>13980</v>
      </c>
      <c r="AN3428" s="133">
        <v>46035</v>
      </c>
      <c r="AO3428" s="134"/>
      <c r="AP3428" s="135">
        <v>1924</v>
      </c>
      <c r="AQ3428" s="136"/>
      <c r="AR3428" s="118">
        <v>505000</v>
      </c>
      <c r="AS3428" s="119"/>
      <c r="AT3428" s="118">
        <f t="shared" ref="AT3428" si="2852">AR3428*0.1</f>
        <v>50500</v>
      </c>
      <c r="AU3428" s="119"/>
      <c r="AV3428" s="118">
        <v>8400</v>
      </c>
      <c r="AW3428" s="119"/>
      <c r="AX3428" s="118">
        <f t="shared" ref="AX3428" si="2853">SUM(AR3428:AW3428)</f>
        <v>563900</v>
      </c>
      <c r="AY3428" s="119"/>
      <c r="AZ3428" s="137"/>
    </row>
    <row r="3429" spans="1:52" ht="17.100000000000001" customHeight="1" thickBot="1">
      <c r="A3429" s="110"/>
      <c r="B3429" s="27" t="s">
        <v>4544</v>
      </c>
      <c r="C3429" s="27">
        <v>1025</v>
      </c>
      <c r="D3429" s="14" t="s">
        <v>3855</v>
      </c>
      <c r="E3429" s="112"/>
      <c r="F3429" s="139" t="s">
        <v>10760</v>
      </c>
      <c r="G3429" s="140"/>
      <c r="H3429" s="141"/>
      <c r="I3429" s="26">
        <v>46159</v>
      </c>
      <c r="J3429" s="117"/>
      <c r="K3429" s="120"/>
      <c r="L3429" s="121"/>
      <c r="M3429" s="120"/>
      <c r="N3429" s="121"/>
      <c r="O3429" s="120"/>
      <c r="P3429" s="121"/>
      <c r="Q3429" s="120"/>
      <c r="R3429" s="121"/>
      <c r="S3429" s="120"/>
      <c r="T3429" s="121"/>
      <c r="U3429" s="120"/>
      <c r="V3429" s="123"/>
      <c r="W3429" s="125"/>
      <c r="X3429" s="142" t="s">
        <v>13465</v>
      </c>
      <c r="Y3429" s="143"/>
      <c r="Z3429" s="143"/>
      <c r="AA3429" s="143"/>
      <c r="AB3429" s="144"/>
      <c r="AC3429" s="16" t="s">
        <v>21</v>
      </c>
      <c r="AD3429" s="17" t="s">
        <v>3456</v>
      </c>
      <c r="AE3429" s="145" t="s">
        <v>10730</v>
      </c>
      <c r="AF3429" s="146"/>
      <c r="AG3429" s="146"/>
      <c r="AH3429" s="146"/>
      <c r="AI3429" s="147"/>
      <c r="AJ3429" s="148"/>
      <c r="AK3429" s="143"/>
      <c r="AL3429" s="144"/>
      <c r="AM3429" s="22"/>
      <c r="AN3429" s="149" t="s">
        <v>2131</v>
      </c>
      <c r="AO3429" s="144"/>
      <c r="AP3429" s="148">
        <v>3167</v>
      </c>
      <c r="AQ3429" s="144"/>
      <c r="AR3429" s="120"/>
      <c r="AS3429" s="121"/>
      <c r="AT3429" s="120"/>
      <c r="AU3429" s="121"/>
      <c r="AV3429" s="120"/>
      <c r="AW3429" s="121"/>
      <c r="AX3429" s="120"/>
      <c r="AY3429" s="121"/>
      <c r="AZ3429" s="138"/>
    </row>
    <row r="3430" spans="1:52" ht="17.100000000000001" customHeight="1" thickTop="1">
      <c r="A3430" s="109" t="s">
        <v>10754</v>
      </c>
      <c r="B3430" s="28">
        <v>45975</v>
      </c>
      <c r="C3430" s="25">
        <v>68</v>
      </c>
      <c r="D3430" s="13" t="s">
        <v>1744</v>
      </c>
      <c r="E3430" s="111"/>
      <c r="F3430" s="113" t="s">
        <v>10762</v>
      </c>
      <c r="G3430" s="114"/>
      <c r="H3430" s="115"/>
      <c r="I3430" s="24" t="s">
        <v>3003</v>
      </c>
      <c r="J3430" s="116">
        <v>3.5</v>
      </c>
      <c r="K3430" s="118">
        <v>585000</v>
      </c>
      <c r="L3430" s="119"/>
      <c r="M3430" s="118">
        <f t="shared" ref="M3430" si="2854">K3430*0.1</f>
        <v>58500</v>
      </c>
      <c r="N3430" s="119"/>
      <c r="O3430" s="118">
        <v>0</v>
      </c>
      <c r="P3430" s="119"/>
      <c r="Q3430" s="118">
        <v>8850</v>
      </c>
      <c r="R3430" s="119"/>
      <c r="S3430" s="118">
        <v>33000</v>
      </c>
      <c r="T3430" s="119"/>
      <c r="U3430" s="118">
        <f t="shared" ref="U3430" si="2855">SUM(K3430:T3431)</f>
        <v>685350</v>
      </c>
      <c r="V3430" s="122"/>
      <c r="W3430" s="124"/>
      <c r="X3430" s="126" t="s">
        <v>12347</v>
      </c>
      <c r="Y3430" s="127"/>
      <c r="Z3430" s="127"/>
      <c r="AA3430" s="127"/>
      <c r="AB3430" s="128"/>
      <c r="AC3430" s="15" t="s">
        <v>20</v>
      </c>
      <c r="AD3430" s="129" t="s">
        <v>10261</v>
      </c>
      <c r="AE3430" s="130"/>
      <c r="AF3430" s="130"/>
      <c r="AG3430" s="130"/>
      <c r="AH3430" s="130"/>
      <c r="AI3430" s="131"/>
      <c r="AJ3430" s="132"/>
      <c r="AK3430" s="127"/>
      <c r="AL3430" s="128"/>
      <c r="AM3430" s="21"/>
      <c r="AN3430" s="133">
        <v>45997</v>
      </c>
      <c r="AO3430" s="134"/>
      <c r="AP3430" s="135">
        <v>1279</v>
      </c>
      <c r="AQ3430" s="136"/>
      <c r="AR3430" s="118">
        <v>690000</v>
      </c>
      <c r="AS3430" s="119"/>
      <c r="AT3430" s="118">
        <f t="shared" ref="AT3430" si="2856">AR3430*0.1</f>
        <v>69000</v>
      </c>
      <c r="AU3430" s="119"/>
      <c r="AV3430" s="118">
        <v>8850</v>
      </c>
      <c r="AW3430" s="119"/>
      <c r="AX3430" s="118">
        <f t="shared" ref="AX3430" si="2857">SUM(AR3430:AW3430)</f>
        <v>767850</v>
      </c>
      <c r="AY3430" s="119"/>
      <c r="AZ3430" s="137">
        <v>46000</v>
      </c>
    </row>
    <row r="3431" spans="1:52" ht="17.100000000000001" customHeight="1" thickBot="1">
      <c r="A3431" s="110"/>
      <c r="B3431" s="27" t="s">
        <v>4544</v>
      </c>
      <c r="C3431" s="27">
        <v>1026</v>
      </c>
      <c r="D3431" s="14" t="s">
        <v>275</v>
      </c>
      <c r="E3431" s="112"/>
      <c r="F3431" s="139" t="s">
        <v>10763</v>
      </c>
      <c r="G3431" s="140"/>
      <c r="H3431" s="141"/>
      <c r="I3431" s="26">
        <v>37284</v>
      </c>
      <c r="J3431" s="117"/>
      <c r="K3431" s="120"/>
      <c r="L3431" s="121"/>
      <c r="M3431" s="120"/>
      <c r="N3431" s="121"/>
      <c r="O3431" s="120"/>
      <c r="P3431" s="121"/>
      <c r="Q3431" s="120"/>
      <c r="R3431" s="121"/>
      <c r="S3431" s="120"/>
      <c r="T3431" s="121"/>
      <c r="U3431" s="120"/>
      <c r="V3431" s="123"/>
      <c r="W3431" s="125"/>
      <c r="X3431" s="142" t="s">
        <v>12348</v>
      </c>
      <c r="Y3431" s="143"/>
      <c r="Z3431" s="143"/>
      <c r="AA3431" s="143"/>
      <c r="AB3431" s="144"/>
      <c r="AC3431" s="16" t="s">
        <v>21</v>
      </c>
      <c r="AD3431" s="17" t="s">
        <v>2248</v>
      </c>
      <c r="AE3431" s="145" t="s">
        <v>12349</v>
      </c>
      <c r="AF3431" s="146"/>
      <c r="AG3431" s="146"/>
      <c r="AH3431" s="146"/>
      <c r="AI3431" s="147"/>
      <c r="AJ3431" s="148"/>
      <c r="AK3431" s="143"/>
      <c r="AL3431" s="144"/>
      <c r="AM3431" s="22"/>
      <c r="AN3431" s="149" t="s">
        <v>2511</v>
      </c>
      <c r="AO3431" s="144"/>
      <c r="AP3431" s="148">
        <v>65424</v>
      </c>
      <c r="AQ3431" s="144"/>
      <c r="AR3431" s="120"/>
      <c r="AS3431" s="121"/>
      <c r="AT3431" s="120"/>
      <c r="AU3431" s="121"/>
      <c r="AV3431" s="120"/>
      <c r="AW3431" s="121"/>
      <c r="AX3431" s="120"/>
      <c r="AY3431" s="121"/>
      <c r="AZ3431" s="138"/>
    </row>
    <row r="3432" spans="1:52" ht="17.100000000000001" customHeight="1" thickTop="1">
      <c r="A3432" s="109" t="s">
        <v>10755</v>
      </c>
      <c r="B3432" s="28">
        <v>45975</v>
      </c>
      <c r="C3432" s="25">
        <v>68</v>
      </c>
      <c r="D3432" s="13" t="s">
        <v>1902</v>
      </c>
      <c r="E3432" s="111"/>
      <c r="F3432" s="113" t="s">
        <v>6994</v>
      </c>
      <c r="G3432" s="114"/>
      <c r="H3432" s="115"/>
      <c r="I3432" s="24" t="s">
        <v>2861</v>
      </c>
      <c r="J3432" s="116">
        <v>4</v>
      </c>
      <c r="K3432" s="118">
        <v>1095000</v>
      </c>
      <c r="L3432" s="119"/>
      <c r="M3432" s="118">
        <f t="shared" ref="M3432" si="2858">K3432*0.1</f>
        <v>109500</v>
      </c>
      <c r="N3432" s="119"/>
      <c r="O3432" s="118">
        <v>0</v>
      </c>
      <c r="P3432" s="119"/>
      <c r="Q3432" s="118">
        <v>8640</v>
      </c>
      <c r="R3432" s="119"/>
      <c r="S3432" s="118">
        <v>44000</v>
      </c>
      <c r="T3432" s="119"/>
      <c r="U3432" s="118">
        <f t="shared" ref="U3432" si="2859">SUM(K3432:T3433)</f>
        <v>1257140</v>
      </c>
      <c r="V3432" s="122"/>
      <c r="W3432" s="124"/>
      <c r="X3432" s="126" t="s">
        <v>12919</v>
      </c>
      <c r="Y3432" s="127"/>
      <c r="Z3432" s="127"/>
      <c r="AA3432" s="127"/>
      <c r="AB3432" s="128"/>
      <c r="AC3432" s="15" t="s">
        <v>20</v>
      </c>
      <c r="AD3432" s="129" t="s">
        <v>9477</v>
      </c>
      <c r="AE3432" s="130"/>
      <c r="AF3432" s="130"/>
      <c r="AG3432" s="130"/>
      <c r="AH3432" s="130"/>
      <c r="AI3432" s="131"/>
      <c r="AJ3432" s="132"/>
      <c r="AK3432" s="127"/>
      <c r="AL3432" s="128"/>
      <c r="AM3432" s="21"/>
      <c r="AN3432" s="133">
        <v>46000</v>
      </c>
      <c r="AO3432" s="134"/>
      <c r="AP3432" s="135">
        <v>1921</v>
      </c>
      <c r="AQ3432" s="136"/>
      <c r="AR3432" s="118">
        <v>1272000</v>
      </c>
      <c r="AS3432" s="119"/>
      <c r="AT3432" s="118">
        <f t="shared" ref="AT3432" si="2860">AR3432*0.1</f>
        <v>127200</v>
      </c>
      <c r="AU3432" s="119"/>
      <c r="AV3432" s="118">
        <v>8640</v>
      </c>
      <c r="AW3432" s="119"/>
      <c r="AX3432" s="118">
        <f t="shared" ref="AX3432" si="2861">SUM(AR3432:AW3432)</f>
        <v>1407840</v>
      </c>
      <c r="AY3432" s="119"/>
      <c r="AZ3432" s="137"/>
    </row>
    <row r="3433" spans="1:52" ht="17.100000000000001" customHeight="1" thickBot="1">
      <c r="A3433" s="110"/>
      <c r="B3433" s="27" t="s">
        <v>4544</v>
      </c>
      <c r="C3433" s="27">
        <v>1028</v>
      </c>
      <c r="D3433" s="14" t="s">
        <v>3793</v>
      </c>
      <c r="E3433" s="112"/>
      <c r="F3433" s="139" t="s">
        <v>10865</v>
      </c>
      <c r="G3433" s="140"/>
      <c r="H3433" s="141"/>
      <c r="I3433" s="26">
        <v>9924</v>
      </c>
      <c r="J3433" s="117"/>
      <c r="K3433" s="120"/>
      <c r="L3433" s="121"/>
      <c r="M3433" s="120"/>
      <c r="N3433" s="121"/>
      <c r="O3433" s="120"/>
      <c r="P3433" s="121"/>
      <c r="Q3433" s="120"/>
      <c r="R3433" s="121"/>
      <c r="S3433" s="120"/>
      <c r="T3433" s="121"/>
      <c r="U3433" s="120"/>
      <c r="V3433" s="123"/>
      <c r="W3433" s="125"/>
      <c r="X3433" s="142" t="s">
        <v>12920</v>
      </c>
      <c r="Y3433" s="143"/>
      <c r="Z3433" s="143"/>
      <c r="AA3433" s="143"/>
      <c r="AB3433" s="144"/>
      <c r="AC3433" s="16" t="s">
        <v>21</v>
      </c>
      <c r="AD3433" s="17" t="s">
        <v>12921</v>
      </c>
      <c r="AE3433" s="145" t="s">
        <v>12922</v>
      </c>
      <c r="AF3433" s="146"/>
      <c r="AG3433" s="146"/>
      <c r="AH3433" s="146"/>
      <c r="AI3433" s="147"/>
      <c r="AJ3433" s="148"/>
      <c r="AK3433" s="143"/>
      <c r="AL3433" s="144"/>
      <c r="AM3433" s="22"/>
      <c r="AN3433" s="149" t="s">
        <v>2131</v>
      </c>
      <c r="AO3433" s="144"/>
      <c r="AP3433" s="148">
        <v>3293</v>
      </c>
      <c r="AQ3433" s="144"/>
      <c r="AR3433" s="120"/>
      <c r="AS3433" s="121"/>
      <c r="AT3433" s="120"/>
      <c r="AU3433" s="121"/>
      <c r="AV3433" s="120"/>
      <c r="AW3433" s="121"/>
      <c r="AX3433" s="120"/>
      <c r="AY3433" s="121"/>
      <c r="AZ3433" s="138"/>
    </row>
    <row r="3434" spans="1:52" ht="17.100000000000001" customHeight="1" thickTop="1">
      <c r="A3434" s="109" t="s">
        <v>10756</v>
      </c>
      <c r="B3434" s="28">
        <v>45975</v>
      </c>
      <c r="C3434" s="25">
        <v>68</v>
      </c>
      <c r="D3434" s="13" t="s">
        <v>1870</v>
      </c>
      <c r="E3434" s="111"/>
      <c r="F3434" s="113" t="s">
        <v>10810</v>
      </c>
      <c r="G3434" s="114"/>
      <c r="H3434" s="115"/>
      <c r="I3434" s="24" t="s">
        <v>4109</v>
      </c>
      <c r="J3434" s="116">
        <v>4</v>
      </c>
      <c r="K3434" s="118">
        <v>765000</v>
      </c>
      <c r="L3434" s="119"/>
      <c r="M3434" s="118">
        <f t="shared" ref="M3434" si="2862">K3434*0.1</f>
        <v>76500</v>
      </c>
      <c r="N3434" s="119"/>
      <c r="O3434" s="118">
        <v>0</v>
      </c>
      <c r="P3434" s="119"/>
      <c r="Q3434" s="118">
        <v>8990</v>
      </c>
      <c r="R3434" s="119"/>
      <c r="S3434" s="118">
        <v>33000</v>
      </c>
      <c r="T3434" s="119"/>
      <c r="U3434" s="118">
        <f t="shared" ref="U3434" si="2863">SUM(K3434:T3435)</f>
        <v>883490</v>
      </c>
      <c r="V3434" s="122"/>
      <c r="W3434" s="124"/>
      <c r="X3434" s="126" t="s">
        <v>12631</v>
      </c>
      <c r="Y3434" s="127"/>
      <c r="Z3434" s="127"/>
      <c r="AA3434" s="127"/>
      <c r="AB3434" s="128"/>
      <c r="AC3434" s="15" t="s">
        <v>20</v>
      </c>
      <c r="AD3434" s="129" t="s">
        <v>10261</v>
      </c>
      <c r="AE3434" s="130"/>
      <c r="AF3434" s="130"/>
      <c r="AG3434" s="130"/>
      <c r="AH3434" s="130"/>
      <c r="AI3434" s="131"/>
      <c r="AJ3434" s="132"/>
      <c r="AK3434" s="127"/>
      <c r="AL3434" s="128"/>
      <c r="AM3434" s="21" t="s">
        <v>12765</v>
      </c>
      <c r="AN3434" s="133">
        <v>45997</v>
      </c>
      <c r="AO3434" s="134"/>
      <c r="AP3434" s="135">
        <v>1279</v>
      </c>
      <c r="AQ3434" s="136"/>
      <c r="AR3434" s="118">
        <v>905000</v>
      </c>
      <c r="AS3434" s="119"/>
      <c r="AT3434" s="118">
        <f t="shared" ref="AT3434" si="2864">AR3434*0.1</f>
        <v>90500</v>
      </c>
      <c r="AU3434" s="119"/>
      <c r="AV3434" s="118">
        <v>8980</v>
      </c>
      <c r="AW3434" s="119"/>
      <c r="AX3434" s="118">
        <f t="shared" ref="AX3434" si="2865">SUM(AR3434:AW3434)</f>
        <v>1004480</v>
      </c>
      <c r="AY3434" s="119"/>
      <c r="AZ3434" s="137">
        <v>46002</v>
      </c>
    </row>
    <row r="3435" spans="1:52" ht="17.100000000000001" customHeight="1" thickBot="1">
      <c r="A3435" s="110"/>
      <c r="B3435" s="27" t="s">
        <v>4544</v>
      </c>
      <c r="C3435" s="27">
        <v>1046</v>
      </c>
      <c r="D3435" s="14" t="s">
        <v>904</v>
      </c>
      <c r="E3435" s="112"/>
      <c r="F3435" s="139" t="s">
        <v>10866</v>
      </c>
      <c r="G3435" s="140"/>
      <c r="H3435" s="141"/>
      <c r="I3435" s="26">
        <v>58389</v>
      </c>
      <c r="J3435" s="117"/>
      <c r="K3435" s="120"/>
      <c r="L3435" s="121"/>
      <c r="M3435" s="120"/>
      <c r="N3435" s="121"/>
      <c r="O3435" s="120"/>
      <c r="P3435" s="121"/>
      <c r="Q3435" s="120"/>
      <c r="R3435" s="121"/>
      <c r="S3435" s="120"/>
      <c r="T3435" s="121"/>
      <c r="U3435" s="120"/>
      <c r="V3435" s="123"/>
      <c r="W3435" s="125"/>
      <c r="X3435" s="142" t="s">
        <v>12632</v>
      </c>
      <c r="Y3435" s="143"/>
      <c r="Z3435" s="143"/>
      <c r="AA3435" s="143"/>
      <c r="AB3435" s="144"/>
      <c r="AC3435" s="16" t="s">
        <v>21</v>
      </c>
      <c r="AD3435" s="17" t="s">
        <v>3439</v>
      </c>
      <c r="AE3435" s="145" t="s">
        <v>12633</v>
      </c>
      <c r="AF3435" s="146"/>
      <c r="AG3435" s="146"/>
      <c r="AH3435" s="146"/>
      <c r="AI3435" s="147"/>
      <c r="AJ3435" s="148"/>
      <c r="AK3435" s="143"/>
      <c r="AL3435" s="144"/>
      <c r="AM3435" s="22"/>
      <c r="AN3435" s="149" t="s">
        <v>2511</v>
      </c>
      <c r="AO3435" s="144"/>
      <c r="AP3435" s="148">
        <v>65413</v>
      </c>
      <c r="AQ3435" s="144"/>
      <c r="AR3435" s="120"/>
      <c r="AS3435" s="121"/>
      <c r="AT3435" s="120"/>
      <c r="AU3435" s="121"/>
      <c r="AV3435" s="120"/>
      <c r="AW3435" s="121"/>
      <c r="AX3435" s="120"/>
      <c r="AY3435" s="121"/>
      <c r="AZ3435" s="138"/>
    </row>
    <row r="3436" spans="1:52" ht="17.100000000000001" customHeight="1" thickTop="1">
      <c r="A3436" s="109" t="s">
        <v>10757</v>
      </c>
      <c r="B3436" s="28">
        <v>45975</v>
      </c>
      <c r="C3436" s="25">
        <v>68</v>
      </c>
      <c r="D3436" s="13" t="s">
        <v>2737</v>
      </c>
      <c r="E3436" s="111"/>
      <c r="F3436" s="113" t="s">
        <v>10764</v>
      </c>
      <c r="G3436" s="114"/>
      <c r="H3436" s="115"/>
      <c r="I3436" s="24" t="s">
        <v>3509</v>
      </c>
      <c r="J3436" s="116">
        <v>4.5</v>
      </c>
      <c r="K3436" s="118">
        <v>1825000</v>
      </c>
      <c r="L3436" s="119"/>
      <c r="M3436" s="118">
        <f t="shared" ref="M3436" si="2866">K3436*0.1</f>
        <v>182500</v>
      </c>
      <c r="N3436" s="119"/>
      <c r="O3436" s="118">
        <f>12000+1200</f>
        <v>13200</v>
      </c>
      <c r="P3436" s="119"/>
      <c r="Q3436" s="118">
        <v>10000</v>
      </c>
      <c r="R3436" s="119"/>
      <c r="S3436" s="118">
        <v>44000</v>
      </c>
      <c r="T3436" s="119"/>
      <c r="U3436" s="118">
        <f t="shared" ref="U3436" si="2867">SUM(K3436:T3437)</f>
        <v>2074700</v>
      </c>
      <c r="V3436" s="122"/>
      <c r="W3436" s="124"/>
      <c r="X3436" s="126" t="s">
        <v>12888</v>
      </c>
      <c r="Y3436" s="127"/>
      <c r="Z3436" s="127"/>
      <c r="AA3436" s="127"/>
      <c r="AB3436" s="128"/>
      <c r="AC3436" s="15" t="s">
        <v>20</v>
      </c>
      <c r="AD3436" s="129" t="s">
        <v>9477</v>
      </c>
      <c r="AE3436" s="130"/>
      <c r="AF3436" s="130"/>
      <c r="AG3436" s="130"/>
      <c r="AH3436" s="130"/>
      <c r="AI3436" s="131"/>
      <c r="AJ3436" s="132"/>
      <c r="AK3436" s="127"/>
      <c r="AL3436" s="128"/>
      <c r="AM3436" s="21"/>
      <c r="AN3436" s="133">
        <v>46001</v>
      </c>
      <c r="AO3436" s="134"/>
      <c r="AP3436" s="135">
        <v>996</v>
      </c>
      <c r="AQ3436" s="136"/>
      <c r="AR3436" s="118">
        <v>1940000</v>
      </c>
      <c r="AS3436" s="119"/>
      <c r="AT3436" s="118">
        <f t="shared" ref="AT3436" si="2868">AR3436*0.1</f>
        <v>194000</v>
      </c>
      <c r="AU3436" s="119"/>
      <c r="AV3436" s="118">
        <v>10000</v>
      </c>
      <c r="AW3436" s="119"/>
      <c r="AX3436" s="118">
        <f t="shared" ref="AX3436" si="2869">SUM(AR3436:AW3436)</f>
        <v>2144000</v>
      </c>
      <c r="AY3436" s="119"/>
      <c r="AZ3436" s="137">
        <v>46006</v>
      </c>
    </row>
    <row r="3437" spans="1:52" ht="17.100000000000001" customHeight="1" thickBot="1">
      <c r="A3437" s="110"/>
      <c r="B3437" s="27" t="s">
        <v>4544</v>
      </c>
      <c r="C3437" s="27">
        <v>1060</v>
      </c>
      <c r="D3437" s="14" t="s">
        <v>2601</v>
      </c>
      <c r="E3437" s="112"/>
      <c r="F3437" s="139" t="s">
        <v>10765</v>
      </c>
      <c r="G3437" s="140"/>
      <c r="H3437" s="141"/>
      <c r="I3437" s="26">
        <v>31701</v>
      </c>
      <c r="J3437" s="117"/>
      <c r="K3437" s="120"/>
      <c r="L3437" s="121"/>
      <c r="M3437" s="120"/>
      <c r="N3437" s="121"/>
      <c r="O3437" s="120"/>
      <c r="P3437" s="121"/>
      <c r="Q3437" s="120"/>
      <c r="R3437" s="121"/>
      <c r="S3437" s="120"/>
      <c r="T3437" s="121"/>
      <c r="U3437" s="120"/>
      <c r="V3437" s="123"/>
      <c r="W3437" s="125"/>
      <c r="X3437" s="142" t="s">
        <v>12889</v>
      </c>
      <c r="Y3437" s="143"/>
      <c r="Z3437" s="143"/>
      <c r="AA3437" s="143"/>
      <c r="AB3437" s="144"/>
      <c r="AC3437" s="16" t="s">
        <v>21</v>
      </c>
      <c r="AD3437" s="17" t="s">
        <v>12856</v>
      </c>
      <c r="AE3437" s="145" t="s">
        <v>12890</v>
      </c>
      <c r="AF3437" s="146"/>
      <c r="AG3437" s="146"/>
      <c r="AH3437" s="146"/>
      <c r="AI3437" s="147"/>
      <c r="AJ3437" s="148"/>
      <c r="AK3437" s="143"/>
      <c r="AL3437" s="144"/>
      <c r="AM3437" s="22"/>
      <c r="AN3437" s="149" t="s">
        <v>2794</v>
      </c>
      <c r="AO3437" s="144"/>
      <c r="AP3437" s="148">
        <v>1087</v>
      </c>
      <c r="AQ3437" s="144"/>
      <c r="AR3437" s="120"/>
      <c r="AS3437" s="121"/>
      <c r="AT3437" s="120"/>
      <c r="AU3437" s="121"/>
      <c r="AV3437" s="120"/>
      <c r="AW3437" s="121"/>
      <c r="AX3437" s="120"/>
      <c r="AY3437" s="121"/>
      <c r="AZ3437" s="138"/>
    </row>
    <row r="3438" spans="1:52" ht="17.100000000000001" customHeight="1" thickTop="1">
      <c r="A3438" s="151" t="s">
        <v>10758</v>
      </c>
      <c r="B3438" s="28">
        <v>45975</v>
      </c>
      <c r="C3438" s="25">
        <v>68</v>
      </c>
      <c r="D3438" s="13" t="s">
        <v>2415</v>
      </c>
      <c r="E3438" s="111"/>
      <c r="F3438" s="113" t="s">
        <v>10766</v>
      </c>
      <c r="G3438" s="114"/>
      <c r="H3438" s="115"/>
      <c r="I3438" s="24" t="s">
        <v>2584</v>
      </c>
      <c r="J3438" s="116">
        <v>4.5</v>
      </c>
      <c r="K3438" s="118">
        <v>2855000</v>
      </c>
      <c r="L3438" s="119"/>
      <c r="M3438" s="118">
        <f t="shared" ref="M3438" si="2870">K3438*0.1</f>
        <v>285500</v>
      </c>
      <c r="N3438" s="119"/>
      <c r="O3438" s="118">
        <v>0</v>
      </c>
      <c r="P3438" s="119"/>
      <c r="Q3438" s="118">
        <v>18860</v>
      </c>
      <c r="R3438" s="119"/>
      <c r="S3438" s="118">
        <v>66000</v>
      </c>
      <c r="T3438" s="119"/>
      <c r="U3438" s="118">
        <f t="shared" ref="U3438" si="2871">SUM(K3438:T3439)</f>
        <v>3225360</v>
      </c>
      <c r="V3438" s="122"/>
      <c r="W3438" s="124"/>
      <c r="X3438" s="126" t="s">
        <v>14749</v>
      </c>
      <c r="Y3438" s="127"/>
      <c r="Z3438" s="127"/>
      <c r="AA3438" s="127"/>
      <c r="AB3438" s="128"/>
      <c r="AC3438" s="15" t="s">
        <v>20</v>
      </c>
      <c r="AD3438" s="129" t="s">
        <v>9477</v>
      </c>
      <c r="AE3438" s="130"/>
      <c r="AF3438" s="130"/>
      <c r="AG3438" s="130"/>
      <c r="AH3438" s="130"/>
      <c r="AI3438" s="131"/>
      <c r="AJ3438" s="132"/>
      <c r="AK3438" s="127"/>
      <c r="AL3438" s="128"/>
      <c r="AM3438" s="21"/>
      <c r="AN3438" s="133">
        <v>46032</v>
      </c>
      <c r="AO3438" s="134"/>
      <c r="AP3438" s="135">
        <v>1283</v>
      </c>
      <c r="AQ3438" s="136"/>
      <c r="AR3438" s="118">
        <v>3055000</v>
      </c>
      <c r="AS3438" s="119"/>
      <c r="AT3438" s="118">
        <f t="shared" ref="AT3438" si="2872">AR3438*0.1</f>
        <v>305500</v>
      </c>
      <c r="AU3438" s="119"/>
      <c r="AV3438" s="118">
        <v>18860</v>
      </c>
      <c r="AW3438" s="119"/>
      <c r="AX3438" s="118">
        <f t="shared" ref="AX3438" si="2873">SUM(AR3438:AW3438)</f>
        <v>3379360</v>
      </c>
      <c r="AY3438" s="119"/>
      <c r="AZ3438" s="137">
        <v>46036</v>
      </c>
    </row>
    <row r="3439" spans="1:52" ht="17.100000000000001" customHeight="1" thickBot="1">
      <c r="A3439" s="152"/>
      <c r="B3439" s="27" t="s">
        <v>4544</v>
      </c>
      <c r="C3439" s="27">
        <v>1070</v>
      </c>
      <c r="D3439" s="14" t="s">
        <v>2601</v>
      </c>
      <c r="E3439" s="112"/>
      <c r="F3439" s="139" t="s">
        <v>10767</v>
      </c>
      <c r="G3439" s="140"/>
      <c r="H3439" s="141"/>
      <c r="I3439" s="26">
        <v>5969</v>
      </c>
      <c r="J3439" s="117"/>
      <c r="K3439" s="120"/>
      <c r="L3439" s="121"/>
      <c r="M3439" s="120"/>
      <c r="N3439" s="121"/>
      <c r="O3439" s="120"/>
      <c r="P3439" s="121"/>
      <c r="Q3439" s="120"/>
      <c r="R3439" s="121"/>
      <c r="S3439" s="120"/>
      <c r="T3439" s="121"/>
      <c r="U3439" s="120"/>
      <c r="V3439" s="123"/>
      <c r="W3439" s="125"/>
      <c r="X3439" s="142" t="s">
        <v>10939</v>
      </c>
      <c r="Y3439" s="143"/>
      <c r="Z3439" s="143"/>
      <c r="AA3439" s="143"/>
      <c r="AB3439" s="144"/>
      <c r="AC3439" s="16" t="s">
        <v>21</v>
      </c>
      <c r="AD3439" s="17" t="s">
        <v>2616</v>
      </c>
      <c r="AE3439" s="145" t="s">
        <v>1633</v>
      </c>
      <c r="AF3439" s="146"/>
      <c r="AG3439" s="146"/>
      <c r="AH3439" s="146"/>
      <c r="AI3439" s="147"/>
      <c r="AJ3439" s="148"/>
      <c r="AK3439" s="143"/>
      <c r="AL3439" s="144"/>
      <c r="AM3439" s="22"/>
      <c r="AN3439" s="149" t="s">
        <v>2511</v>
      </c>
      <c r="AO3439" s="144"/>
      <c r="AP3439" s="148">
        <v>37800</v>
      </c>
      <c r="AQ3439" s="144"/>
      <c r="AR3439" s="120"/>
      <c r="AS3439" s="121"/>
      <c r="AT3439" s="120"/>
      <c r="AU3439" s="121"/>
      <c r="AV3439" s="120"/>
      <c r="AW3439" s="121"/>
      <c r="AX3439" s="120"/>
      <c r="AY3439" s="121"/>
      <c r="AZ3439" s="138"/>
    </row>
    <row r="3440" spans="1:52" ht="17.100000000000001" customHeight="1" thickTop="1">
      <c r="A3440" s="109" t="s">
        <v>10808</v>
      </c>
      <c r="B3440" s="28">
        <v>45975</v>
      </c>
      <c r="C3440" s="25">
        <v>68</v>
      </c>
      <c r="D3440" s="13" t="s">
        <v>1988</v>
      </c>
      <c r="E3440" s="111"/>
      <c r="F3440" s="113" t="s">
        <v>10505</v>
      </c>
      <c r="G3440" s="114"/>
      <c r="H3440" s="115"/>
      <c r="I3440" s="24" t="s">
        <v>2112</v>
      </c>
      <c r="J3440" s="116">
        <v>5</v>
      </c>
      <c r="K3440" s="118">
        <v>1340000</v>
      </c>
      <c r="L3440" s="119"/>
      <c r="M3440" s="118">
        <f t="shared" ref="M3440" si="2874">K3440*0.1</f>
        <v>134000</v>
      </c>
      <c r="N3440" s="119"/>
      <c r="O3440" s="118">
        <v>0</v>
      </c>
      <c r="P3440" s="119"/>
      <c r="Q3440" s="118">
        <v>8130</v>
      </c>
      <c r="R3440" s="119"/>
      <c r="S3440" s="118">
        <v>44000</v>
      </c>
      <c r="T3440" s="119"/>
      <c r="U3440" s="118">
        <f t="shared" ref="U3440" si="2875">SUM(K3440:T3441)</f>
        <v>1526130</v>
      </c>
      <c r="V3440" s="122"/>
      <c r="W3440" s="124"/>
      <c r="X3440" s="126"/>
      <c r="Y3440" s="127"/>
      <c r="Z3440" s="127"/>
      <c r="AA3440" s="127"/>
      <c r="AB3440" s="128"/>
      <c r="AC3440" s="15" t="s">
        <v>20</v>
      </c>
      <c r="AD3440" s="129" t="s">
        <v>9477</v>
      </c>
      <c r="AE3440" s="130"/>
      <c r="AF3440" s="130"/>
      <c r="AG3440" s="130"/>
      <c r="AH3440" s="130"/>
      <c r="AI3440" s="131"/>
      <c r="AJ3440" s="132" t="s">
        <v>8040</v>
      </c>
      <c r="AK3440" s="127"/>
      <c r="AL3440" s="128"/>
      <c r="AM3440" s="21"/>
      <c r="AN3440" s="133"/>
      <c r="AO3440" s="134"/>
      <c r="AP3440" s="135"/>
      <c r="AQ3440" s="136"/>
      <c r="AR3440" s="118"/>
      <c r="AS3440" s="119"/>
      <c r="AT3440" s="118">
        <f t="shared" ref="AT3440" si="2876">AR3440*0.1</f>
        <v>0</v>
      </c>
      <c r="AU3440" s="119"/>
      <c r="AV3440" s="118"/>
      <c r="AW3440" s="119"/>
      <c r="AX3440" s="118">
        <f t="shared" ref="AX3440" si="2877">SUM(AR3440:AW3440)</f>
        <v>0</v>
      </c>
      <c r="AY3440" s="119"/>
      <c r="AZ3440" s="137"/>
    </row>
    <row r="3441" spans="1:52" ht="17.100000000000001" customHeight="1" thickBot="1">
      <c r="A3441" s="110"/>
      <c r="B3441" s="27" t="s">
        <v>4544</v>
      </c>
      <c r="C3441" s="27">
        <v>1092</v>
      </c>
      <c r="D3441" s="14" t="s">
        <v>3793</v>
      </c>
      <c r="E3441" s="112"/>
      <c r="F3441" s="139" t="s">
        <v>10768</v>
      </c>
      <c r="G3441" s="140"/>
      <c r="H3441" s="141"/>
      <c r="I3441" s="26">
        <v>1187</v>
      </c>
      <c r="J3441" s="117"/>
      <c r="K3441" s="120"/>
      <c r="L3441" s="121"/>
      <c r="M3441" s="120"/>
      <c r="N3441" s="121"/>
      <c r="O3441" s="120"/>
      <c r="P3441" s="121"/>
      <c r="Q3441" s="120"/>
      <c r="R3441" s="121"/>
      <c r="S3441" s="120"/>
      <c r="T3441" s="121"/>
      <c r="U3441" s="120"/>
      <c r="V3441" s="123"/>
      <c r="W3441" s="125"/>
      <c r="X3441" s="142"/>
      <c r="Y3441" s="143"/>
      <c r="Z3441" s="143"/>
      <c r="AA3441" s="143"/>
      <c r="AB3441" s="144"/>
      <c r="AC3441" s="16" t="s">
        <v>21</v>
      </c>
      <c r="AD3441" s="17" t="s">
        <v>10540</v>
      </c>
      <c r="AE3441" s="145"/>
      <c r="AF3441" s="146"/>
      <c r="AG3441" s="146"/>
      <c r="AH3441" s="146"/>
      <c r="AI3441" s="147"/>
      <c r="AJ3441" s="148"/>
      <c r="AK3441" s="143"/>
      <c r="AL3441" s="144"/>
      <c r="AM3441" s="22"/>
      <c r="AN3441" s="149"/>
      <c r="AO3441" s="144"/>
      <c r="AP3441" s="148"/>
      <c r="AQ3441" s="144"/>
      <c r="AR3441" s="120"/>
      <c r="AS3441" s="121"/>
      <c r="AT3441" s="120"/>
      <c r="AU3441" s="121"/>
      <c r="AV3441" s="120"/>
      <c r="AW3441" s="121"/>
      <c r="AX3441" s="120"/>
      <c r="AY3441" s="121"/>
      <c r="AZ3441" s="138"/>
    </row>
    <row r="3442" spans="1:52" ht="17.100000000000001" customHeight="1" thickTop="1">
      <c r="A3442" s="109" t="s">
        <v>10809</v>
      </c>
      <c r="B3442" s="28">
        <v>45975</v>
      </c>
      <c r="C3442" s="25">
        <v>68</v>
      </c>
      <c r="D3442" s="13" t="s">
        <v>2298</v>
      </c>
      <c r="E3442" s="111"/>
      <c r="F3442" s="113" t="s">
        <v>10769</v>
      </c>
      <c r="G3442" s="114"/>
      <c r="H3442" s="115"/>
      <c r="I3442" s="24" t="s">
        <v>2858</v>
      </c>
      <c r="J3442" s="116">
        <v>3.5</v>
      </c>
      <c r="K3442" s="118">
        <v>855000</v>
      </c>
      <c r="L3442" s="119"/>
      <c r="M3442" s="118">
        <f t="shared" ref="M3442" si="2878">K3442*0.1</f>
        <v>85500</v>
      </c>
      <c r="N3442" s="119"/>
      <c r="O3442" s="118">
        <f>6200+620</f>
        <v>6820</v>
      </c>
      <c r="P3442" s="119"/>
      <c r="Q3442" s="118">
        <v>8190</v>
      </c>
      <c r="R3442" s="119"/>
      <c r="S3442" s="118">
        <v>33000</v>
      </c>
      <c r="T3442" s="119"/>
      <c r="U3442" s="118">
        <f t="shared" ref="U3442" si="2879">SUM(K3442:T3443)</f>
        <v>988510</v>
      </c>
      <c r="V3442" s="122"/>
      <c r="W3442" s="124"/>
      <c r="X3442" s="126" t="s">
        <v>12684</v>
      </c>
      <c r="Y3442" s="127"/>
      <c r="Z3442" s="127"/>
      <c r="AA3442" s="127"/>
      <c r="AB3442" s="128"/>
      <c r="AC3442" s="15" t="s">
        <v>20</v>
      </c>
      <c r="AD3442" s="129" t="s">
        <v>10771</v>
      </c>
      <c r="AE3442" s="130"/>
      <c r="AF3442" s="130"/>
      <c r="AG3442" s="130"/>
      <c r="AH3442" s="130"/>
      <c r="AI3442" s="131"/>
      <c r="AJ3442" s="132"/>
      <c r="AK3442" s="127"/>
      <c r="AL3442" s="128"/>
      <c r="AM3442" s="21"/>
      <c r="AN3442" s="133">
        <v>45997</v>
      </c>
      <c r="AO3442" s="134"/>
      <c r="AP3442" s="135">
        <v>1279</v>
      </c>
      <c r="AQ3442" s="136"/>
      <c r="AR3442" s="118">
        <v>1170000</v>
      </c>
      <c r="AS3442" s="119"/>
      <c r="AT3442" s="118">
        <f t="shared" ref="AT3442" si="2880">AR3442*0.1</f>
        <v>117000</v>
      </c>
      <c r="AU3442" s="119"/>
      <c r="AV3442" s="118">
        <v>8190</v>
      </c>
      <c r="AW3442" s="119"/>
      <c r="AX3442" s="118">
        <f t="shared" ref="AX3442" si="2881">SUM(AR3442:AW3442)</f>
        <v>1295190</v>
      </c>
      <c r="AY3442" s="119"/>
      <c r="AZ3442" s="137">
        <v>46001</v>
      </c>
    </row>
    <row r="3443" spans="1:52" ht="17.100000000000001" customHeight="1" thickBot="1">
      <c r="A3443" s="110"/>
      <c r="B3443" s="27" t="s">
        <v>4544</v>
      </c>
      <c r="C3443" s="27">
        <v>2008</v>
      </c>
      <c r="D3443" s="14" t="s">
        <v>2601</v>
      </c>
      <c r="E3443" s="112"/>
      <c r="F3443" s="139" t="s">
        <v>10770</v>
      </c>
      <c r="G3443" s="140"/>
      <c r="H3443" s="141"/>
      <c r="I3443" s="26">
        <v>23716</v>
      </c>
      <c r="J3443" s="117"/>
      <c r="K3443" s="120"/>
      <c r="L3443" s="121"/>
      <c r="M3443" s="120"/>
      <c r="N3443" s="121"/>
      <c r="O3443" s="120"/>
      <c r="P3443" s="121"/>
      <c r="Q3443" s="120"/>
      <c r="R3443" s="121"/>
      <c r="S3443" s="120"/>
      <c r="T3443" s="121"/>
      <c r="U3443" s="120"/>
      <c r="V3443" s="123"/>
      <c r="W3443" s="125"/>
      <c r="X3443" s="142" t="s">
        <v>12685</v>
      </c>
      <c r="Y3443" s="143"/>
      <c r="Z3443" s="143"/>
      <c r="AA3443" s="143"/>
      <c r="AB3443" s="144"/>
      <c r="AC3443" s="16" t="s">
        <v>21</v>
      </c>
      <c r="AD3443" s="17" t="s">
        <v>12686</v>
      </c>
      <c r="AE3443" s="145" t="s">
        <v>8409</v>
      </c>
      <c r="AF3443" s="146"/>
      <c r="AG3443" s="146"/>
      <c r="AH3443" s="146"/>
      <c r="AI3443" s="147"/>
      <c r="AJ3443" s="148"/>
      <c r="AK3443" s="143"/>
      <c r="AL3443" s="144"/>
      <c r="AM3443" s="22"/>
      <c r="AN3443" s="149" t="s">
        <v>2511</v>
      </c>
      <c r="AO3443" s="144"/>
      <c r="AP3443" s="148">
        <v>37898</v>
      </c>
      <c r="AQ3443" s="144"/>
      <c r="AR3443" s="120"/>
      <c r="AS3443" s="121"/>
      <c r="AT3443" s="120"/>
      <c r="AU3443" s="121"/>
      <c r="AV3443" s="120"/>
      <c r="AW3443" s="121"/>
      <c r="AX3443" s="120"/>
      <c r="AY3443" s="121"/>
      <c r="AZ3443" s="138"/>
    </row>
    <row r="3444" spans="1:52" ht="17.100000000000001" customHeight="1" thickTop="1">
      <c r="A3444" s="109" t="s">
        <v>10811</v>
      </c>
      <c r="B3444" s="28">
        <v>45975</v>
      </c>
      <c r="C3444" s="25">
        <v>2110</v>
      </c>
      <c r="D3444" s="13" t="s">
        <v>2298</v>
      </c>
      <c r="E3444" s="111"/>
      <c r="F3444" s="113" t="s">
        <v>10772</v>
      </c>
      <c r="G3444" s="114"/>
      <c r="H3444" s="115"/>
      <c r="I3444" s="24"/>
      <c r="J3444" s="116">
        <v>4.5</v>
      </c>
      <c r="K3444" s="118">
        <v>910000</v>
      </c>
      <c r="L3444" s="119"/>
      <c r="M3444" s="118">
        <f t="shared" ref="M3444" si="2882">K3444*0.1</f>
        <v>91000</v>
      </c>
      <c r="N3444" s="119"/>
      <c r="O3444" s="118">
        <v>0</v>
      </c>
      <c r="P3444" s="119"/>
      <c r="Q3444" s="118">
        <v>17310</v>
      </c>
      <c r="R3444" s="119"/>
      <c r="S3444" s="118">
        <v>16500</v>
      </c>
      <c r="T3444" s="119"/>
      <c r="U3444" s="118">
        <f t="shared" ref="U3444" si="2883">SUM(K3444:T3445)</f>
        <v>1034810</v>
      </c>
      <c r="V3444" s="122"/>
      <c r="W3444" s="124"/>
      <c r="X3444" s="126" t="s">
        <v>11474</v>
      </c>
      <c r="Y3444" s="127"/>
      <c r="Z3444" s="127"/>
      <c r="AA3444" s="127"/>
      <c r="AB3444" s="128"/>
      <c r="AC3444" s="15" t="s">
        <v>20</v>
      </c>
      <c r="AD3444" s="129" t="s">
        <v>1575</v>
      </c>
      <c r="AE3444" s="130"/>
      <c r="AF3444" s="130"/>
      <c r="AG3444" s="130"/>
      <c r="AH3444" s="130"/>
      <c r="AI3444" s="131"/>
      <c r="AJ3444" s="132"/>
      <c r="AK3444" s="127"/>
      <c r="AL3444" s="128"/>
      <c r="AM3444" s="21"/>
      <c r="AN3444" s="133">
        <v>45981</v>
      </c>
      <c r="AO3444" s="134"/>
      <c r="AP3444" s="135">
        <v>1307</v>
      </c>
      <c r="AQ3444" s="136"/>
      <c r="AR3444" s="118">
        <v>1035000</v>
      </c>
      <c r="AS3444" s="119"/>
      <c r="AT3444" s="118">
        <f t="shared" ref="AT3444" si="2884">AR3444*0.1</f>
        <v>103500</v>
      </c>
      <c r="AU3444" s="119"/>
      <c r="AV3444" s="118">
        <v>17310</v>
      </c>
      <c r="AW3444" s="119"/>
      <c r="AX3444" s="118">
        <f t="shared" ref="AX3444" si="2885">SUM(AR3444:AW3444)</f>
        <v>1155810</v>
      </c>
      <c r="AY3444" s="119"/>
      <c r="AZ3444" s="137">
        <v>45982</v>
      </c>
    </row>
    <row r="3445" spans="1:52" ht="17.100000000000001" customHeight="1" thickBot="1">
      <c r="A3445" s="110"/>
      <c r="B3445" s="27" t="s">
        <v>1543</v>
      </c>
      <c r="C3445" s="27">
        <v>35160</v>
      </c>
      <c r="D3445" s="14" t="s">
        <v>275</v>
      </c>
      <c r="E3445" s="112"/>
      <c r="F3445" s="139" t="s">
        <v>10773</v>
      </c>
      <c r="G3445" s="140"/>
      <c r="H3445" s="141"/>
      <c r="I3445" s="26">
        <v>36677</v>
      </c>
      <c r="J3445" s="117"/>
      <c r="K3445" s="120"/>
      <c r="L3445" s="121"/>
      <c r="M3445" s="120"/>
      <c r="N3445" s="121"/>
      <c r="O3445" s="120"/>
      <c r="P3445" s="121"/>
      <c r="Q3445" s="120"/>
      <c r="R3445" s="121"/>
      <c r="S3445" s="120"/>
      <c r="T3445" s="121"/>
      <c r="U3445" s="120"/>
      <c r="V3445" s="123"/>
      <c r="W3445" s="125"/>
      <c r="X3445" s="142" t="s">
        <v>11475</v>
      </c>
      <c r="Y3445" s="143"/>
      <c r="Z3445" s="143"/>
      <c r="AA3445" s="143"/>
      <c r="AB3445" s="144"/>
      <c r="AC3445" s="16" t="s">
        <v>21</v>
      </c>
      <c r="AD3445" s="17" t="s">
        <v>2218</v>
      </c>
      <c r="AE3445" s="145" t="s">
        <v>9450</v>
      </c>
      <c r="AF3445" s="146"/>
      <c r="AG3445" s="146"/>
      <c r="AH3445" s="146"/>
      <c r="AI3445" s="147"/>
      <c r="AJ3445" s="148"/>
      <c r="AK3445" s="143"/>
      <c r="AL3445" s="144"/>
      <c r="AM3445" s="22"/>
      <c r="AN3445" s="149" t="s">
        <v>1747</v>
      </c>
      <c r="AO3445" s="144"/>
      <c r="AP3445" s="148">
        <v>316</v>
      </c>
      <c r="AQ3445" s="144"/>
      <c r="AR3445" s="120"/>
      <c r="AS3445" s="121"/>
      <c r="AT3445" s="120"/>
      <c r="AU3445" s="121"/>
      <c r="AV3445" s="120"/>
      <c r="AW3445" s="121"/>
      <c r="AX3445" s="120"/>
      <c r="AY3445" s="121"/>
      <c r="AZ3445" s="138"/>
    </row>
    <row r="3446" spans="1:52" ht="17.100000000000001" customHeight="1" thickTop="1">
      <c r="A3446" s="109" t="s">
        <v>10812</v>
      </c>
      <c r="B3446" s="28">
        <v>45975</v>
      </c>
      <c r="C3446" s="25">
        <v>2110</v>
      </c>
      <c r="D3446" s="13" t="s">
        <v>2298</v>
      </c>
      <c r="E3446" s="111"/>
      <c r="F3446" s="113" t="s">
        <v>10774</v>
      </c>
      <c r="G3446" s="114"/>
      <c r="H3446" s="115"/>
      <c r="I3446" s="24"/>
      <c r="J3446" s="116">
        <v>4.5</v>
      </c>
      <c r="K3446" s="118">
        <v>2100000</v>
      </c>
      <c r="L3446" s="119"/>
      <c r="M3446" s="118">
        <f t="shared" ref="M3446" si="2886">K3446*0.1</f>
        <v>210000</v>
      </c>
      <c r="N3446" s="119"/>
      <c r="O3446" s="118">
        <v>0</v>
      </c>
      <c r="P3446" s="119"/>
      <c r="Q3446" s="118">
        <v>21500</v>
      </c>
      <c r="R3446" s="119"/>
      <c r="S3446" s="118">
        <v>16500</v>
      </c>
      <c r="T3446" s="119"/>
      <c r="U3446" s="118">
        <f t="shared" ref="U3446" si="2887">SUM(K3446:T3447)</f>
        <v>2348000</v>
      </c>
      <c r="V3446" s="122"/>
      <c r="W3446" s="124"/>
      <c r="X3446" s="126" t="s">
        <v>11212</v>
      </c>
      <c r="Y3446" s="127"/>
      <c r="Z3446" s="127"/>
      <c r="AA3446" s="127"/>
      <c r="AB3446" s="128"/>
      <c r="AC3446" s="15" t="s">
        <v>20</v>
      </c>
      <c r="AD3446" s="129" t="s">
        <v>1633</v>
      </c>
      <c r="AE3446" s="130"/>
      <c r="AF3446" s="130"/>
      <c r="AG3446" s="130"/>
      <c r="AH3446" s="130"/>
      <c r="AI3446" s="131"/>
      <c r="AJ3446" s="132"/>
      <c r="AK3446" s="127"/>
      <c r="AL3446" s="128"/>
      <c r="AM3446" s="21"/>
      <c r="AN3446" s="133">
        <v>45981</v>
      </c>
      <c r="AO3446" s="134"/>
      <c r="AP3446" s="135">
        <v>1307</v>
      </c>
      <c r="AQ3446" s="136"/>
      <c r="AR3446" s="118">
        <v>2215000</v>
      </c>
      <c r="AS3446" s="119"/>
      <c r="AT3446" s="118">
        <f t="shared" ref="AT3446" si="2888">AR3446*0.1</f>
        <v>221500</v>
      </c>
      <c r="AU3446" s="119"/>
      <c r="AV3446" s="118">
        <v>21500</v>
      </c>
      <c r="AW3446" s="119"/>
      <c r="AX3446" s="118">
        <f t="shared" ref="AX3446" si="2889">SUM(AR3446:AW3446)</f>
        <v>2458000</v>
      </c>
      <c r="AY3446" s="119"/>
      <c r="AZ3446" s="137">
        <v>45982</v>
      </c>
    </row>
    <row r="3447" spans="1:52" ht="17.100000000000001" customHeight="1" thickBot="1">
      <c r="A3447" s="110"/>
      <c r="B3447" s="27" t="s">
        <v>1543</v>
      </c>
      <c r="C3447" s="27">
        <v>58677</v>
      </c>
      <c r="D3447" s="14" t="s">
        <v>1592</v>
      </c>
      <c r="E3447" s="112"/>
      <c r="F3447" s="139" t="s">
        <v>10775</v>
      </c>
      <c r="G3447" s="140"/>
      <c r="H3447" s="141"/>
      <c r="I3447" s="26">
        <v>33233</v>
      </c>
      <c r="J3447" s="117"/>
      <c r="K3447" s="120"/>
      <c r="L3447" s="121"/>
      <c r="M3447" s="120"/>
      <c r="N3447" s="121"/>
      <c r="O3447" s="120"/>
      <c r="P3447" s="121"/>
      <c r="Q3447" s="120"/>
      <c r="R3447" s="121"/>
      <c r="S3447" s="120"/>
      <c r="T3447" s="121"/>
      <c r="U3447" s="120"/>
      <c r="V3447" s="123"/>
      <c r="W3447" s="125"/>
      <c r="X3447" s="142" t="s">
        <v>2659</v>
      </c>
      <c r="Y3447" s="143"/>
      <c r="Z3447" s="143"/>
      <c r="AA3447" s="143"/>
      <c r="AB3447" s="144"/>
      <c r="AC3447" s="16" t="s">
        <v>21</v>
      </c>
      <c r="AD3447" s="17" t="s">
        <v>11105</v>
      </c>
      <c r="AE3447" s="145" t="s">
        <v>1742</v>
      </c>
      <c r="AF3447" s="146"/>
      <c r="AG3447" s="146"/>
      <c r="AH3447" s="146"/>
      <c r="AI3447" s="147"/>
      <c r="AJ3447" s="148"/>
      <c r="AK3447" s="143"/>
      <c r="AL3447" s="144"/>
      <c r="AM3447" s="22"/>
      <c r="AN3447" s="149" t="s">
        <v>1747</v>
      </c>
      <c r="AO3447" s="144"/>
      <c r="AP3447" s="148">
        <v>74</v>
      </c>
      <c r="AQ3447" s="144"/>
      <c r="AR3447" s="120"/>
      <c r="AS3447" s="121"/>
      <c r="AT3447" s="120"/>
      <c r="AU3447" s="121"/>
      <c r="AV3447" s="120"/>
      <c r="AW3447" s="121"/>
      <c r="AX3447" s="120"/>
      <c r="AY3447" s="121"/>
      <c r="AZ3447" s="138"/>
    </row>
    <row r="3448" spans="1:52" ht="17.100000000000001" customHeight="1" thickTop="1">
      <c r="A3448" s="109" t="s">
        <v>10813</v>
      </c>
      <c r="B3448" s="28">
        <v>45975</v>
      </c>
      <c r="C3448" s="25"/>
      <c r="D3448" s="13" t="s">
        <v>2001</v>
      </c>
      <c r="E3448" s="111"/>
      <c r="F3448" s="113" t="s">
        <v>10786</v>
      </c>
      <c r="G3448" s="114"/>
      <c r="H3448" s="115"/>
      <c r="I3448" s="24" t="s">
        <v>4231</v>
      </c>
      <c r="J3448" s="116">
        <v>4</v>
      </c>
      <c r="K3448" s="118">
        <f>1523500/1.1</f>
        <v>1385000</v>
      </c>
      <c r="L3448" s="119"/>
      <c r="M3448" s="118">
        <f t="shared" ref="M3448" si="2890">K3448*0.1</f>
        <v>138500</v>
      </c>
      <c r="N3448" s="119"/>
      <c r="O3448" s="118">
        <v>8300</v>
      </c>
      <c r="P3448" s="119"/>
      <c r="Q3448" s="118">
        <v>7450</v>
      </c>
      <c r="R3448" s="119"/>
      <c r="S3448" s="118">
        <v>0</v>
      </c>
      <c r="T3448" s="119"/>
      <c r="U3448" s="118">
        <f t="shared" ref="U3448" si="2891">SUM(K3448:T3449)</f>
        <v>1539250</v>
      </c>
      <c r="V3448" s="122"/>
      <c r="W3448" s="124"/>
      <c r="X3448" s="126" t="s">
        <v>13327</v>
      </c>
      <c r="Y3448" s="127"/>
      <c r="Z3448" s="127"/>
      <c r="AA3448" s="127"/>
      <c r="AB3448" s="128"/>
      <c r="AC3448" s="15" t="s">
        <v>20</v>
      </c>
      <c r="AD3448" s="129" t="s">
        <v>1945</v>
      </c>
      <c r="AE3448" s="130"/>
      <c r="AF3448" s="130"/>
      <c r="AG3448" s="130"/>
      <c r="AH3448" s="130"/>
      <c r="AI3448" s="131"/>
      <c r="AJ3448" s="132"/>
      <c r="AK3448" s="127"/>
      <c r="AL3448" s="128"/>
      <c r="AM3448" s="21"/>
      <c r="AN3448" s="133">
        <v>45997</v>
      </c>
      <c r="AO3448" s="134"/>
      <c r="AP3448" s="135">
        <v>1279</v>
      </c>
      <c r="AQ3448" s="136"/>
      <c r="AR3448" s="118">
        <v>1575000</v>
      </c>
      <c r="AS3448" s="119"/>
      <c r="AT3448" s="118">
        <f t="shared" ref="AT3448" si="2892">AR3448*0.1</f>
        <v>157500</v>
      </c>
      <c r="AU3448" s="119"/>
      <c r="AV3448" s="118">
        <v>7450</v>
      </c>
      <c r="AW3448" s="119"/>
      <c r="AX3448" s="118">
        <f t="shared" ref="AX3448" si="2893">SUM(AR3448:AW3448)</f>
        <v>1739950</v>
      </c>
      <c r="AY3448" s="119"/>
      <c r="AZ3448" s="137">
        <v>46007</v>
      </c>
    </row>
    <row r="3449" spans="1:52" ht="17.100000000000001" customHeight="1" thickBot="1">
      <c r="A3449" s="110"/>
      <c r="B3449" s="27" t="s">
        <v>1718</v>
      </c>
      <c r="C3449" s="27" t="s">
        <v>10776</v>
      </c>
      <c r="D3449" s="14" t="s">
        <v>55</v>
      </c>
      <c r="E3449" s="112"/>
      <c r="F3449" s="139" t="s">
        <v>10777</v>
      </c>
      <c r="G3449" s="140"/>
      <c r="H3449" s="141"/>
      <c r="I3449" s="26">
        <v>13936</v>
      </c>
      <c r="J3449" s="117"/>
      <c r="K3449" s="120"/>
      <c r="L3449" s="121"/>
      <c r="M3449" s="120"/>
      <c r="N3449" s="121"/>
      <c r="O3449" s="120"/>
      <c r="P3449" s="121"/>
      <c r="Q3449" s="120"/>
      <c r="R3449" s="121"/>
      <c r="S3449" s="120"/>
      <c r="T3449" s="121"/>
      <c r="U3449" s="120"/>
      <c r="V3449" s="123"/>
      <c r="W3449" s="125"/>
      <c r="X3449" s="142" t="s">
        <v>13328</v>
      </c>
      <c r="Y3449" s="143"/>
      <c r="Z3449" s="143"/>
      <c r="AA3449" s="143"/>
      <c r="AB3449" s="144"/>
      <c r="AC3449" s="16" t="s">
        <v>21</v>
      </c>
      <c r="AD3449" s="17" t="s">
        <v>3980</v>
      </c>
      <c r="AE3449" s="145" t="s">
        <v>13329</v>
      </c>
      <c r="AF3449" s="146"/>
      <c r="AG3449" s="146"/>
      <c r="AH3449" s="146"/>
      <c r="AI3449" s="147"/>
      <c r="AJ3449" s="148"/>
      <c r="AK3449" s="143"/>
      <c r="AL3449" s="144"/>
      <c r="AM3449" s="22"/>
      <c r="AN3449" s="149" t="s">
        <v>2511</v>
      </c>
      <c r="AO3449" s="144"/>
      <c r="AP3449" s="148">
        <v>37472</v>
      </c>
      <c r="AQ3449" s="144"/>
      <c r="AR3449" s="120"/>
      <c r="AS3449" s="121"/>
      <c r="AT3449" s="120"/>
      <c r="AU3449" s="121"/>
      <c r="AV3449" s="120"/>
      <c r="AW3449" s="121"/>
      <c r="AX3449" s="120"/>
      <c r="AY3449" s="121"/>
      <c r="AZ3449" s="138"/>
    </row>
    <row r="3450" spans="1:52" ht="17.100000000000001" customHeight="1" thickTop="1">
      <c r="A3450" s="109" t="s">
        <v>10814</v>
      </c>
      <c r="B3450" s="28">
        <v>45975</v>
      </c>
      <c r="C3450" s="25"/>
      <c r="D3450" s="13" t="s">
        <v>1651</v>
      </c>
      <c r="E3450" s="111"/>
      <c r="F3450" s="113" t="s">
        <v>10787</v>
      </c>
      <c r="G3450" s="114"/>
      <c r="H3450" s="115"/>
      <c r="I3450" s="24" t="s">
        <v>4684</v>
      </c>
      <c r="J3450" s="116">
        <v>4</v>
      </c>
      <c r="K3450" s="118">
        <f>2799500/1.1</f>
        <v>2545000</v>
      </c>
      <c r="L3450" s="119"/>
      <c r="M3450" s="118">
        <f t="shared" ref="M3450" si="2894">K3450*0.1</f>
        <v>254500</v>
      </c>
      <c r="N3450" s="119"/>
      <c r="O3450" s="118">
        <v>9000</v>
      </c>
      <c r="P3450" s="119"/>
      <c r="Q3450" s="118">
        <v>12250</v>
      </c>
      <c r="R3450" s="119"/>
      <c r="S3450" s="118">
        <v>0</v>
      </c>
      <c r="T3450" s="119"/>
      <c r="U3450" s="118">
        <f t="shared" ref="U3450" si="2895">SUM(K3450:T3451)</f>
        <v>2820750</v>
      </c>
      <c r="V3450" s="122"/>
      <c r="W3450" s="124"/>
      <c r="X3450" s="126" t="s">
        <v>12210</v>
      </c>
      <c r="Y3450" s="127"/>
      <c r="Z3450" s="127"/>
      <c r="AA3450" s="127"/>
      <c r="AB3450" s="128"/>
      <c r="AC3450" s="15" t="s">
        <v>20</v>
      </c>
      <c r="AD3450" s="129" t="s">
        <v>1690</v>
      </c>
      <c r="AE3450" s="130"/>
      <c r="AF3450" s="130"/>
      <c r="AG3450" s="130"/>
      <c r="AH3450" s="130"/>
      <c r="AI3450" s="131"/>
      <c r="AJ3450" s="132"/>
      <c r="AK3450" s="127"/>
      <c r="AL3450" s="128"/>
      <c r="AM3450" s="21"/>
      <c r="AN3450" s="133">
        <v>45997</v>
      </c>
      <c r="AO3450" s="134"/>
      <c r="AP3450" s="135">
        <v>1279</v>
      </c>
      <c r="AQ3450" s="136"/>
      <c r="AR3450" s="118">
        <v>2645000</v>
      </c>
      <c r="AS3450" s="119"/>
      <c r="AT3450" s="118">
        <f t="shared" ref="AT3450" si="2896">AR3450*0.1</f>
        <v>264500</v>
      </c>
      <c r="AU3450" s="119"/>
      <c r="AV3450" s="118">
        <v>12250</v>
      </c>
      <c r="AW3450" s="119"/>
      <c r="AX3450" s="118">
        <f t="shared" ref="AX3450" si="2897">SUM(AR3450:AW3450)</f>
        <v>2921750</v>
      </c>
      <c r="AY3450" s="119"/>
      <c r="AZ3450" s="137">
        <v>46000</v>
      </c>
    </row>
    <row r="3451" spans="1:52" ht="17.100000000000001" customHeight="1" thickBot="1">
      <c r="A3451" s="110"/>
      <c r="B3451" s="27" t="s">
        <v>1718</v>
      </c>
      <c r="C3451" s="27" t="s">
        <v>10778</v>
      </c>
      <c r="D3451" s="14" t="s">
        <v>1592</v>
      </c>
      <c r="E3451" s="112"/>
      <c r="F3451" s="139" t="s">
        <v>10779</v>
      </c>
      <c r="G3451" s="140"/>
      <c r="H3451" s="141"/>
      <c r="I3451" s="26">
        <v>23021</v>
      </c>
      <c r="J3451" s="117"/>
      <c r="K3451" s="120"/>
      <c r="L3451" s="121"/>
      <c r="M3451" s="120"/>
      <c r="N3451" s="121"/>
      <c r="O3451" s="120"/>
      <c r="P3451" s="121"/>
      <c r="Q3451" s="120"/>
      <c r="R3451" s="121"/>
      <c r="S3451" s="120"/>
      <c r="T3451" s="121"/>
      <c r="U3451" s="120"/>
      <c r="V3451" s="123"/>
      <c r="W3451" s="125"/>
      <c r="X3451" s="142" t="s">
        <v>12211</v>
      </c>
      <c r="Y3451" s="143"/>
      <c r="Z3451" s="143"/>
      <c r="AA3451" s="143"/>
      <c r="AB3451" s="144"/>
      <c r="AC3451" s="16" t="s">
        <v>21</v>
      </c>
      <c r="AD3451" s="17" t="s">
        <v>1741</v>
      </c>
      <c r="AE3451" s="145" t="s">
        <v>1742</v>
      </c>
      <c r="AF3451" s="146"/>
      <c r="AG3451" s="146"/>
      <c r="AH3451" s="146"/>
      <c r="AI3451" s="147"/>
      <c r="AJ3451" s="148"/>
      <c r="AK3451" s="143"/>
      <c r="AL3451" s="144"/>
      <c r="AM3451" s="22"/>
      <c r="AN3451" s="149" t="s">
        <v>2511</v>
      </c>
      <c r="AO3451" s="144"/>
      <c r="AP3451" s="148">
        <v>37645</v>
      </c>
      <c r="AQ3451" s="144"/>
      <c r="AR3451" s="120"/>
      <c r="AS3451" s="121"/>
      <c r="AT3451" s="120"/>
      <c r="AU3451" s="121"/>
      <c r="AV3451" s="120"/>
      <c r="AW3451" s="121"/>
      <c r="AX3451" s="120"/>
      <c r="AY3451" s="121"/>
      <c r="AZ3451" s="138"/>
    </row>
    <row r="3452" spans="1:52" ht="17.100000000000001" customHeight="1" thickTop="1">
      <c r="A3452" s="109" t="s">
        <v>10815</v>
      </c>
      <c r="B3452" s="28">
        <v>45975</v>
      </c>
      <c r="C3452" s="25"/>
      <c r="D3452" s="13" t="s">
        <v>2001</v>
      </c>
      <c r="E3452" s="111"/>
      <c r="F3452" s="113" t="s">
        <v>10788</v>
      </c>
      <c r="G3452" s="114"/>
      <c r="H3452" s="115"/>
      <c r="I3452" s="24" t="s">
        <v>8676</v>
      </c>
      <c r="J3452" s="116">
        <v>4.5</v>
      </c>
      <c r="K3452" s="118">
        <f>5665000/1.1</f>
        <v>5150000</v>
      </c>
      <c r="L3452" s="119"/>
      <c r="M3452" s="118">
        <f t="shared" ref="M3452" si="2898">K3452*0.1</f>
        <v>515000</v>
      </c>
      <c r="N3452" s="119"/>
      <c r="O3452" s="118">
        <v>14500</v>
      </c>
      <c r="P3452" s="119"/>
      <c r="Q3452" s="118">
        <v>15990</v>
      </c>
      <c r="R3452" s="119"/>
      <c r="S3452" s="118">
        <v>0</v>
      </c>
      <c r="T3452" s="119"/>
      <c r="U3452" s="118">
        <f t="shared" ref="U3452" si="2899">SUM(K3452:T3453)</f>
        <v>5695490</v>
      </c>
      <c r="V3452" s="122"/>
      <c r="W3452" s="124"/>
      <c r="X3452" s="126" t="s">
        <v>12410</v>
      </c>
      <c r="Y3452" s="127"/>
      <c r="Z3452" s="127"/>
      <c r="AA3452" s="127"/>
      <c r="AB3452" s="128"/>
      <c r="AC3452" s="15" t="s">
        <v>20</v>
      </c>
      <c r="AD3452" s="129" t="s">
        <v>12051</v>
      </c>
      <c r="AE3452" s="130"/>
      <c r="AF3452" s="130"/>
      <c r="AG3452" s="130"/>
      <c r="AH3452" s="130"/>
      <c r="AI3452" s="131"/>
      <c r="AJ3452" s="132"/>
      <c r="AK3452" s="127"/>
      <c r="AL3452" s="128"/>
      <c r="AM3452" s="21"/>
      <c r="AN3452" s="133">
        <v>46015</v>
      </c>
      <c r="AO3452" s="134"/>
      <c r="AP3452" s="135">
        <v>998</v>
      </c>
      <c r="AQ3452" s="136"/>
      <c r="AR3452" s="118">
        <v>5100000</v>
      </c>
      <c r="AS3452" s="119"/>
      <c r="AT3452" s="118">
        <f t="shared" ref="AT3452" si="2900">AR3452*0.1</f>
        <v>510000</v>
      </c>
      <c r="AU3452" s="119"/>
      <c r="AV3452" s="118">
        <v>15990</v>
      </c>
      <c r="AW3452" s="119"/>
      <c r="AX3452" s="118">
        <f t="shared" ref="AX3452" si="2901">SUM(AR3452:AW3452)</f>
        <v>5625990</v>
      </c>
      <c r="AY3452" s="119"/>
      <c r="AZ3452" s="137">
        <v>46028</v>
      </c>
    </row>
    <row r="3453" spans="1:52" ht="17.100000000000001" customHeight="1" thickBot="1">
      <c r="A3453" s="110"/>
      <c r="B3453" s="27" t="s">
        <v>1718</v>
      </c>
      <c r="C3453" s="27" t="s">
        <v>10780</v>
      </c>
      <c r="D3453" s="14" t="s">
        <v>2601</v>
      </c>
      <c r="E3453" s="112"/>
      <c r="F3453" s="139" t="s">
        <v>10781</v>
      </c>
      <c r="G3453" s="140"/>
      <c r="H3453" s="141"/>
      <c r="I3453" s="26">
        <v>27779</v>
      </c>
      <c r="J3453" s="117"/>
      <c r="K3453" s="120"/>
      <c r="L3453" s="121"/>
      <c r="M3453" s="120"/>
      <c r="N3453" s="121"/>
      <c r="O3453" s="120"/>
      <c r="P3453" s="121"/>
      <c r="Q3453" s="120"/>
      <c r="R3453" s="121"/>
      <c r="S3453" s="120"/>
      <c r="T3453" s="121"/>
      <c r="U3453" s="120"/>
      <c r="V3453" s="123"/>
      <c r="W3453" s="125"/>
      <c r="X3453" s="142" t="s">
        <v>5161</v>
      </c>
      <c r="Y3453" s="143"/>
      <c r="Z3453" s="143"/>
      <c r="AA3453" s="143"/>
      <c r="AB3453" s="144"/>
      <c r="AC3453" s="16" t="s">
        <v>21</v>
      </c>
      <c r="AD3453" s="17" t="s">
        <v>1751</v>
      </c>
      <c r="AE3453" s="145" t="s">
        <v>12411</v>
      </c>
      <c r="AF3453" s="146"/>
      <c r="AG3453" s="146"/>
      <c r="AH3453" s="146"/>
      <c r="AI3453" s="147"/>
      <c r="AJ3453" s="148"/>
      <c r="AK3453" s="143"/>
      <c r="AL3453" s="144"/>
      <c r="AM3453" s="22"/>
      <c r="AN3453" s="149" t="s">
        <v>2794</v>
      </c>
      <c r="AO3453" s="144"/>
      <c r="AP3453" s="148">
        <v>6049</v>
      </c>
      <c r="AQ3453" s="144"/>
      <c r="AR3453" s="120"/>
      <c r="AS3453" s="121"/>
      <c r="AT3453" s="120"/>
      <c r="AU3453" s="121"/>
      <c r="AV3453" s="120"/>
      <c r="AW3453" s="121"/>
      <c r="AX3453" s="120"/>
      <c r="AY3453" s="121"/>
      <c r="AZ3453" s="138"/>
    </row>
    <row r="3454" spans="1:52" ht="17.100000000000001" customHeight="1" thickTop="1">
      <c r="A3454" s="109" t="s">
        <v>10816</v>
      </c>
      <c r="B3454" s="28">
        <v>45975</v>
      </c>
      <c r="C3454" s="25"/>
      <c r="D3454" s="13" t="s">
        <v>2234</v>
      </c>
      <c r="E3454" s="111"/>
      <c r="F3454" s="113" t="s">
        <v>10789</v>
      </c>
      <c r="G3454" s="114"/>
      <c r="H3454" s="115"/>
      <c r="I3454" s="24" t="s">
        <v>10790</v>
      </c>
      <c r="J3454" s="116">
        <v>4</v>
      </c>
      <c r="K3454" s="118">
        <f>3300000/1.1</f>
        <v>2999999.9999999995</v>
      </c>
      <c r="L3454" s="119"/>
      <c r="M3454" s="118">
        <f t="shared" ref="M3454" si="2902">K3454*0.1</f>
        <v>299999.99999999994</v>
      </c>
      <c r="N3454" s="119"/>
      <c r="O3454" s="118">
        <v>17000</v>
      </c>
      <c r="P3454" s="119"/>
      <c r="Q3454" s="118">
        <v>20790</v>
      </c>
      <c r="R3454" s="119"/>
      <c r="S3454" s="118">
        <v>0</v>
      </c>
      <c r="T3454" s="119"/>
      <c r="U3454" s="118">
        <f t="shared" ref="U3454" si="2903">SUM(K3454:T3455)</f>
        <v>3337789.9999999995</v>
      </c>
      <c r="V3454" s="122"/>
      <c r="W3454" s="124"/>
      <c r="X3454" s="126" t="s">
        <v>13197</v>
      </c>
      <c r="Y3454" s="127"/>
      <c r="Z3454" s="127"/>
      <c r="AA3454" s="127"/>
      <c r="AB3454" s="128"/>
      <c r="AC3454" s="15" t="s">
        <v>20</v>
      </c>
      <c r="AD3454" s="129" t="s">
        <v>1605</v>
      </c>
      <c r="AE3454" s="130"/>
      <c r="AF3454" s="130"/>
      <c r="AG3454" s="130"/>
      <c r="AH3454" s="130"/>
      <c r="AI3454" s="131"/>
      <c r="AJ3454" s="132"/>
      <c r="AK3454" s="127"/>
      <c r="AL3454" s="128"/>
      <c r="AM3454" s="21" t="s">
        <v>13549</v>
      </c>
      <c r="AN3454" s="133">
        <v>46053</v>
      </c>
      <c r="AO3454" s="134"/>
      <c r="AP3454" s="135">
        <v>1286</v>
      </c>
      <c r="AQ3454" s="136"/>
      <c r="AR3454" s="118">
        <v>3820000</v>
      </c>
      <c r="AS3454" s="119"/>
      <c r="AT3454" s="118">
        <f t="shared" ref="AT3454" si="2904">AR3454*0.1</f>
        <v>382000</v>
      </c>
      <c r="AU3454" s="119"/>
      <c r="AV3454" s="118">
        <v>20790</v>
      </c>
      <c r="AW3454" s="119"/>
      <c r="AX3454" s="118">
        <f t="shared" ref="AX3454" si="2905">SUM(AR3454:AW3454)</f>
        <v>4222790</v>
      </c>
      <c r="AY3454" s="119"/>
      <c r="AZ3454" s="137">
        <v>46056</v>
      </c>
    </row>
    <row r="3455" spans="1:52" ht="17.100000000000001" customHeight="1" thickBot="1">
      <c r="A3455" s="110"/>
      <c r="B3455" s="27" t="s">
        <v>1718</v>
      </c>
      <c r="C3455" s="27" t="s">
        <v>10782</v>
      </c>
      <c r="D3455" s="14" t="s">
        <v>1720</v>
      </c>
      <c r="E3455" s="112"/>
      <c r="F3455" s="139" t="s">
        <v>10783</v>
      </c>
      <c r="G3455" s="140"/>
      <c r="H3455" s="141"/>
      <c r="I3455" s="26">
        <v>53490</v>
      </c>
      <c r="J3455" s="117"/>
      <c r="K3455" s="120"/>
      <c r="L3455" s="121"/>
      <c r="M3455" s="120"/>
      <c r="N3455" s="121"/>
      <c r="O3455" s="120"/>
      <c r="P3455" s="121"/>
      <c r="Q3455" s="120"/>
      <c r="R3455" s="121"/>
      <c r="S3455" s="120"/>
      <c r="T3455" s="121"/>
      <c r="U3455" s="120"/>
      <c r="V3455" s="123"/>
      <c r="W3455" s="125"/>
      <c r="X3455" s="142" t="s">
        <v>2321</v>
      </c>
      <c r="Y3455" s="143"/>
      <c r="Z3455" s="143"/>
      <c r="AA3455" s="143"/>
      <c r="AB3455" s="144"/>
      <c r="AC3455" s="16" t="s">
        <v>21</v>
      </c>
      <c r="AD3455" s="17" t="s">
        <v>13052</v>
      </c>
      <c r="AE3455" s="145" t="s">
        <v>1742</v>
      </c>
      <c r="AF3455" s="146"/>
      <c r="AG3455" s="146"/>
      <c r="AH3455" s="146"/>
      <c r="AI3455" s="147"/>
      <c r="AJ3455" s="148"/>
      <c r="AK3455" s="143"/>
      <c r="AL3455" s="144"/>
      <c r="AM3455" s="22"/>
      <c r="AN3455" s="149" t="s">
        <v>2511</v>
      </c>
      <c r="AO3455" s="144"/>
      <c r="AP3455" s="148">
        <v>82125</v>
      </c>
      <c r="AQ3455" s="144"/>
      <c r="AR3455" s="120"/>
      <c r="AS3455" s="121"/>
      <c r="AT3455" s="120"/>
      <c r="AU3455" s="121"/>
      <c r="AV3455" s="120"/>
      <c r="AW3455" s="121"/>
      <c r="AX3455" s="120"/>
      <c r="AY3455" s="121"/>
      <c r="AZ3455" s="138"/>
    </row>
    <row r="3456" spans="1:52" ht="17.100000000000001" customHeight="1" thickTop="1">
      <c r="A3456" s="109" t="s">
        <v>10817</v>
      </c>
      <c r="B3456" s="28">
        <v>45975</v>
      </c>
      <c r="C3456" s="25"/>
      <c r="D3456" s="13" t="s">
        <v>1675</v>
      </c>
      <c r="E3456" s="111"/>
      <c r="F3456" s="113" t="s">
        <v>10791</v>
      </c>
      <c r="G3456" s="114"/>
      <c r="H3456" s="115"/>
      <c r="I3456" s="24" t="s">
        <v>4048</v>
      </c>
      <c r="J3456" s="150" t="s">
        <v>1715</v>
      </c>
      <c r="K3456" s="118">
        <f>165000/1.1</f>
        <v>150000</v>
      </c>
      <c r="L3456" s="119"/>
      <c r="M3456" s="118">
        <f t="shared" ref="M3456" si="2906">K3456*0.1</f>
        <v>15000</v>
      </c>
      <c r="N3456" s="119"/>
      <c r="O3456" s="118">
        <v>9800</v>
      </c>
      <c r="P3456" s="119"/>
      <c r="Q3456" s="118">
        <v>8040</v>
      </c>
      <c r="R3456" s="119"/>
      <c r="S3456" s="118">
        <v>0</v>
      </c>
      <c r="T3456" s="119"/>
      <c r="U3456" s="118">
        <f t="shared" ref="U3456" si="2907">SUM(K3456:T3457)</f>
        <v>182840</v>
      </c>
      <c r="V3456" s="122"/>
      <c r="W3456" s="124"/>
      <c r="X3456" s="126" t="s">
        <v>11630</v>
      </c>
      <c r="Y3456" s="127"/>
      <c r="Z3456" s="127"/>
      <c r="AA3456" s="127"/>
      <c r="AB3456" s="128"/>
      <c r="AC3456" s="15" t="s">
        <v>20</v>
      </c>
      <c r="AD3456" s="129" t="s">
        <v>171</v>
      </c>
      <c r="AE3456" s="130"/>
      <c r="AF3456" s="130"/>
      <c r="AG3456" s="130"/>
      <c r="AH3456" s="130"/>
      <c r="AI3456" s="131"/>
      <c r="AJ3456" s="132"/>
      <c r="AK3456" s="127"/>
      <c r="AL3456" s="128"/>
      <c r="AM3456" s="21"/>
      <c r="AN3456" s="133">
        <v>46011</v>
      </c>
      <c r="AO3456" s="134"/>
      <c r="AP3456" s="135">
        <v>1281</v>
      </c>
      <c r="AQ3456" s="136"/>
      <c r="AR3456" s="118">
        <v>270000</v>
      </c>
      <c r="AS3456" s="119"/>
      <c r="AT3456" s="118">
        <f t="shared" ref="AT3456" si="2908">AR3456*0.1</f>
        <v>27000</v>
      </c>
      <c r="AU3456" s="119"/>
      <c r="AV3456" s="118">
        <v>8040</v>
      </c>
      <c r="AW3456" s="119"/>
      <c r="AX3456" s="118">
        <f t="shared" ref="AX3456" si="2909">SUM(AR3456:AW3456)</f>
        <v>305040</v>
      </c>
      <c r="AY3456" s="119"/>
      <c r="AZ3456" s="137">
        <v>46014</v>
      </c>
    </row>
    <row r="3457" spans="1:52" ht="17.100000000000001" customHeight="1" thickBot="1">
      <c r="A3457" s="110"/>
      <c r="B3457" s="27" t="s">
        <v>1718</v>
      </c>
      <c r="C3457" s="27" t="s">
        <v>10784</v>
      </c>
      <c r="D3457" s="14" t="s">
        <v>3855</v>
      </c>
      <c r="E3457" s="112"/>
      <c r="F3457" s="139" t="s">
        <v>10785</v>
      </c>
      <c r="G3457" s="140"/>
      <c r="H3457" s="141"/>
      <c r="I3457" s="26">
        <v>57518</v>
      </c>
      <c r="J3457" s="117"/>
      <c r="K3457" s="120"/>
      <c r="L3457" s="121"/>
      <c r="M3457" s="120"/>
      <c r="N3457" s="121"/>
      <c r="O3457" s="120"/>
      <c r="P3457" s="121"/>
      <c r="Q3457" s="120"/>
      <c r="R3457" s="121"/>
      <c r="S3457" s="120"/>
      <c r="T3457" s="121"/>
      <c r="U3457" s="120"/>
      <c r="V3457" s="123"/>
      <c r="W3457" s="125"/>
      <c r="X3457" s="142" t="s">
        <v>11631</v>
      </c>
      <c r="Y3457" s="143"/>
      <c r="Z3457" s="143"/>
      <c r="AA3457" s="143"/>
      <c r="AB3457" s="144"/>
      <c r="AC3457" s="16" t="s">
        <v>21</v>
      </c>
      <c r="AD3457" s="17" t="s">
        <v>2224</v>
      </c>
      <c r="AE3457" s="145" t="s">
        <v>4488</v>
      </c>
      <c r="AF3457" s="146"/>
      <c r="AG3457" s="146"/>
      <c r="AH3457" s="146"/>
      <c r="AI3457" s="147"/>
      <c r="AJ3457" s="148"/>
      <c r="AK3457" s="143"/>
      <c r="AL3457" s="144"/>
      <c r="AM3457" s="22"/>
      <c r="AN3457" s="149" t="s">
        <v>2511</v>
      </c>
      <c r="AO3457" s="144"/>
      <c r="AP3457" s="148">
        <v>31230</v>
      </c>
      <c r="AQ3457" s="144"/>
      <c r="AR3457" s="120"/>
      <c r="AS3457" s="121"/>
      <c r="AT3457" s="120"/>
      <c r="AU3457" s="121"/>
      <c r="AV3457" s="120"/>
      <c r="AW3457" s="121"/>
      <c r="AX3457" s="120"/>
      <c r="AY3457" s="121"/>
      <c r="AZ3457" s="138"/>
    </row>
    <row r="3458" spans="1:52" ht="17.100000000000001" customHeight="1" thickTop="1">
      <c r="A3458" s="109" t="s">
        <v>10818</v>
      </c>
      <c r="B3458" s="28">
        <v>45975</v>
      </c>
      <c r="C3458" s="25"/>
      <c r="D3458" s="13" t="s">
        <v>1675</v>
      </c>
      <c r="E3458" s="111"/>
      <c r="F3458" s="113" t="s">
        <v>4383</v>
      </c>
      <c r="G3458" s="114"/>
      <c r="H3458" s="115"/>
      <c r="I3458" s="24" t="s">
        <v>7265</v>
      </c>
      <c r="J3458" s="116">
        <v>4</v>
      </c>
      <c r="K3458" s="118">
        <f>381700/1.1</f>
        <v>347000</v>
      </c>
      <c r="L3458" s="119"/>
      <c r="M3458" s="118">
        <v>34700</v>
      </c>
      <c r="N3458" s="119"/>
      <c r="O3458" s="118">
        <v>0</v>
      </c>
      <c r="P3458" s="119"/>
      <c r="Q3458" s="118">
        <v>9070</v>
      </c>
      <c r="R3458" s="119"/>
      <c r="S3458" s="118">
        <v>0</v>
      </c>
      <c r="T3458" s="119"/>
      <c r="U3458" s="118">
        <f t="shared" ref="U3458" si="2910">SUM(K3458:T3459)</f>
        <v>390770</v>
      </c>
      <c r="V3458" s="122"/>
      <c r="W3458" s="124"/>
      <c r="X3458" s="126" t="s">
        <v>11821</v>
      </c>
      <c r="Y3458" s="127"/>
      <c r="Z3458" s="127"/>
      <c r="AA3458" s="127"/>
      <c r="AB3458" s="128"/>
      <c r="AC3458" s="15" t="s">
        <v>20</v>
      </c>
      <c r="AD3458" s="129" t="s">
        <v>1945</v>
      </c>
      <c r="AE3458" s="130"/>
      <c r="AF3458" s="130"/>
      <c r="AG3458" s="130"/>
      <c r="AH3458" s="130"/>
      <c r="AI3458" s="131"/>
      <c r="AJ3458" s="132"/>
      <c r="AK3458" s="127"/>
      <c r="AL3458" s="128"/>
      <c r="AM3458" s="21"/>
      <c r="AN3458" s="133">
        <v>45997</v>
      </c>
      <c r="AO3458" s="134"/>
      <c r="AP3458" s="135">
        <v>1279</v>
      </c>
      <c r="AQ3458" s="136"/>
      <c r="AR3458" s="118">
        <v>475000</v>
      </c>
      <c r="AS3458" s="119"/>
      <c r="AT3458" s="118">
        <f t="shared" ref="AT3458" si="2911">AR3458*0.1</f>
        <v>47500</v>
      </c>
      <c r="AU3458" s="119"/>
      <c r="AV3458" s="118">
        <v>9070</v>
      </c>
      <c r="AW3458" s="119"/>
      <c r="AX3458" s="118">
        <f t="shared" ref="AX3458" si="2912">SUM(AR3458:AW3458)</f>
        <v>531570</v>
      </c>
      <c r="AY3458" s="119"/>
      <c r="AZ3458" s="137">
        <v>46000</v>
      </c>
    </row>
    <row r="3459" spans="1:52" ht="17.100000000000001" customHeight="1" thickBot="1">
      <c r="A3459" s="110"/>
      <c r="B3459" s="27" t="s">
        <v>1718</v>
      </c>
      <c r="C3459" s="27" t="s">
        <v>10803</v>
      </c>
      <c r="D3459" s="14" t="s">
        <v>1592</v>
      </c>
      <c r="E3459" s="112"/>
      <c r="F3459" s="139" t="s">
        <v>10804</v>
      </c>
      <c r="G3459" s="140"/>
      <c r="H3459" s="141"/>
      <c r="I3459" s="26">
        <v>7321</v>
      </c>
      <c r="J3459" s="117"/>
      <c r="K3459" s="120"/>
      <c r="L3459" s="121"/>
      <c r="M3459" s="120"/>
      <c r="N3459" s="121"/>
      <c r="O3459" s="120"/>
      <c r="P3459" s="121"/>
      <c r="Q3459" s="120"/>
      <c r="R3459" s="121"/>
      <c r="S3459" s="120"/>
      <c r="T3459" s="121"/>
      <c r="U3459" s="120"/>
      <c r="V3459" s="123"/>
      <c r="W3459" s="125"/>
      <c r="X3459" s="142" t="s">
        <v>11822</v>
      </c>
      <c r="Y3459" s="143"/>
      <c r="Z3459" s="143"/>
      <c r="AA3459" s="143"/>
      <c r="AB3459" s="144"/>
      <c r="AC3459" s="16" t="s">
        <v>21</v>
      </c>
      <c r="AD3459" s="17" t="s">
        <v>1723</v>
      </c>
      <c r="AE3459" s="145" t="s">
        <v>1945</v>
      </c>
      <c r="AF3459" s="146"/>
      <c r="AG3459" s="146"/>
      <c r="AH3459" s="146"/>
      <c r="AI3459" s="147"/>
      <c r="AJ3459" s="148"/>
      <c r="AK3459" s="143"/>
      <c r="AL3459" s="144"/>
      <c r="AM3459" s="22"/>
      <c r="AN3459" s="149" t="s">
        <v>7284</v>
      </c>
      <c r="AO3459" s="144"/>
      <c r="AP3459" s="148">
        <v>65411</v>
      </c>
      <c r="AQ3459" s="144"/>
      <c r="AR3459" s="120"/>
      <c r="AS3459" s="121"/>
      <c r="AT3459" s="120"/>
      <c r="AU3459" s="121"/>
      <c r="AV3459" s="120"/>
      <c r="AW3459" s="121"/>
      <c r="AX3459" s="120"/>
      <c r="AY3459" s="121"/>
      <c r="AZ3459" s="138"/>
    </row>
    <row r="3460" spans="1:52" ht="17.100000000000001" customHeight="1" thickTop="1">
      <c r="A3460" s="109" t="s">
        <v>10819</v>
      </c>
      <c r="B3460" s="28">
        <v>45975</v>
      </c>
      <c r="C3460" s="25">
        <v>1394</v>
      </c>
      <c r="D3460" s="13" t="s">
        <v>2179</v>
      </c>
      <c r="E3460" s="111"/>
      <c r="F3460" s="113" t="s">
        <v>4218</v>
      </c>
      <c r="G3460" s="114"/>
      <c r="H3460" s="115"/>
      <c r="I3460" s="24" t="s">
        <v>10848</v>
      </c>
      <c r="J3460" s="116">
        <v>3.5</v>
      </c>
      <c r="K3460" s="118">
        <v>265000</v>
      </c>
      <c r="L3460" s="119"/>
      <c r="M3460" s="118">
        <f t="shared" ref="M3460" si="2913">K3460*0.1</f>
        <v>26500</v>
      </c>
      <c r="N3460" s="119"/>
      <c r="O3460" s="118">
        <v>0</v>
      </c>
      <c r="P3460" s="119"/>
      <c r="Q3460" s="118">
        <v>8460</v>
      </c>
      <c r="R3460" s="119"/>
      <c r="S3460" s="118">
        <v>13200</v>
      </c>
      <c r="T3460" s="119"/>
      <c r="U3460" s="118">
        <f t="shared" ref="U3460" si="2914">SUM(K3460:T3461)</f>
        <v>313160</v>
      </c>
      <c r="V3460" s="122"/>
      <c r="W3460" s="124"/>
      <c r="X3460" s="126" t="s">
        <v>11177</v>
      </c>
      <c r="Y3460" s="127"/>
      <c r="Z3460" s="127"/>
      <c r="AA3460" s="127"/>
      <c r="AB3460" s="128"/>
      <c r="AC3460" s="15" t="s">
        <v>20</v>
      </c>
      <c r="AD3460" s="129" t="s">
        <v>171</v>
      </c>
      <c r="AE3460" s="130"/>
      <c r="AF3460" s="130"/>
      <c r="AG3460" s="130"/>
      <c r="AH3460" s="130"/>
      <c r="AI3460" s="131"/>
      <c r="AJ3460" s="132"/>
      <c r="AK3460" s="127"/>
      <c r="AL3460" s="128"/>
      <c r="AM3460" s="21"/>
      <c r="AN3460" s="133">
        <v>45983</v>
      </c>
      <c r="AO3460" s="134"/>
      <c r="AP3460" s="135">
        <v>1277</v>
      </c>
      <c r="AQ3460" s="136"/>
      <c r="AR3460" s="118">
        <v>345000</v>
      </c>
      <c r="AS3460" s="119"/>
      <c r="AT3460" s="118">
        <f t="shared" ref="AT3460" si="2915">AR3460*0.1</f>
        <v>34500</v>
      </c>
      <c r="AU3460" s="119"/>
      <c r="AV3460" s="118">
        <v>8460</v>
      </c>
      <c r="AW3460" s="119"/>
      <c r="AX3460" s="118">
        <f t="shared" ref="AX3460" si="2916">SUM(AR3460:AW3460)</f>
        <v>387960</v>
      </c>
      <c r="AY3460" s="119"/>
      <c r="AZ3460" s="137">
        <v>45987</v>
      </c>
    </row>
    <row r="3461" spans="1:52" ht="17.100000000000001" customHeight="1" thickBot="1">
      <c r="A3461" s="110"/>
      <c r="B3461" s="27" t="s">
        <v>2641</v>
      </c>
      <c r="C3461" s="27">
        <v>1802</v>
      </c>
      <c r="D3461" s="14" t="s">
        <v>2601</v>
      </c>
      <c r="E3461" s="112"/>
      <c r="F3461" s="139" t="s">
        <v>10830</v>
      </c>
      <c r="G3461" s="140"/>
      <c r="H3461" s="141"/>
      <c r="I3461" s="26">
        <v>46489</v>
      </c>
      <c r="J3461" s="117"/>
      <c r="K3461" s="120"/>
      <c r="L3461" s="121"/>
      <c r="M3461" s="120"/>
      <c r="N3461" s="121"/>
      <c r="O3461" s="120"/>
      <c r="P3461" s="121"/>
      <c r="Q3461" s="120"/>
      <c r="R3461" s="121"/>
      <c r="S3461" s="120"/>
      <c r="T3461" s="121"/>
      <c r="U3461" s="120"/>
      <c r="V3461" s="123"/>
      <c r="W3461" s="125"/>
      <c r="X3461" s="142" t="s">
        <v>11178</v>
      </c>
      <c r="Y3461" s="143"/>
      <c r="Z3461" s="143"/>
      <c r="AA3461" s="143"/>
      <c r="AB3461" s="144"/>
      <c r="AC3461" s="16" t="s">
        <v>21</v>
      </c>
      <c r="AD3461" s="17" t="s">
        <v>11105</v>
      </c>
      <c r="AE3461" s="145" t="s">
        <v>171</v>
      </c>
      <c r="AF3461" s="146"/>
      <c r="AG3461" s="146"/>
      <c r="AH3461" s="146"/>
      <c r="AI3461" s="147"/>
      <c r="AJ3461" s="148"/>
      <c r="AK3461" s="143"/>
      <c r="AL3461" s="144"/>
      <c r="AM3461" s="22"/>
      <c r="AN3461" s="149" t="s">
        <v>2511</v>
      </c>
      <c r="AO3461" s="144"/>
      <c r="AP3461" s="148">
        <v>60386</v>
      </c>
      <c r="AQ3461" s="144"/>
      <c r="AR3461" s="120"/>
      <c r="AS3461" s="121"/>
      <c r="AT3461" s="120"/>
      <c r="AU3461" s="121"/>
      <c r="AV3461" s="120"/>
      <c r="AW3461" s="121"/>
      <c r="AX3461" s="120"/>
      <c r="AY3461" s="121"/>
      <c r="AZ3461" s="138"/>
    </row>
    <row r="3462" spans="1:52" ht="17.100000000000001" customHeight="1" thickTop="1">
      <c r="A3462" s="109" t="s">
        <v>10820</v>
      </c>
      <c r="B3462" s="28">
        <v>45975</v>
      </c>
      <c r="C3462" s="25">
        <v>1394</v>
      </c>
      <c r="D3462" s="13" t="s">
        <v>2428</v>
      </c>
      <c r="E3462" s="111"/>
      <c r="F3462" s="113" t="s">
        <v>10831</v>
      </c>
      <c r="G3462" s="114"/>
      <c r="H3462" s="115"/>
      <c r="I3462" s="24" t="s">
        <v>5132</v>
      </c>
      <c r="J3462" s="116">
        <v>4.5</v>
      </c>
      <c r="K3462" s="118">
        <v>1537000</v>
      </c>
      <c r="L3462" s="119"/>
      <c r="M3462" s="118">
        <f t="shared" ref="M3462" si="2917">K3462*0.1</f>
        <v>153700</v>
      </c>
      <c r="N3462" s="119"/>
      <c r="O3462" s="118">
        <v>0</v>
      </c>
      <c r="P3462" s="119"/>
      <c r="Q3462" s="118">
        <v>7230</v>
      </c>
      <c r="R3462" s="119"/>
      <c r="S3462" s="118">
        <v>13200</v>
      </c>
      <c r="T3462" s="119"/>
      <c r="U3462" s="118">
        <f t="shared" ref="U3462" si="2918">SUM(K3462:T3463)</f>
        <v>1711130</v>
      </c>
      <c r="V3462" s="122"/>
      <c r="W3462" s="124"/>
      <c r="X3462" s="126" t="s">
        <v>11173</v>
      </c>
      <c r="Y3462" s="127"/>
      <c r="Z3462" s="127"/>
      <c r="AA3462" s="127"/>
      <c r="AB3462" s="128"/>
      <c r="AC3462" s="15" t="s">
        <v>20</v>
      </c>
      <c r="AD3462" s="129" t="s">
        <v>171</v>
      </c>
      <c r="AE3462" s="130"/>
      <c r="AF3462" s="130"/>
      <c r="AG3462" s="130"/>
      <c r="AH3462" s="130"/>
      <c r="AI3462" s="131"/>
      <c r="AJ3462" s="132"/>
      <c r="AK3462" s="127"/>
      <c r="AL3462" s="128"/>
      <c r="AM3462" s="21" t="s">
        <v>12869</v>
      </c>
      <c r="AN3462" s="133">
        <v>46056</v>
      </c>
      <c r="AO3462" s="134"/>
      <c r="AP3462" s="135">
        <v>1927</v>
      </c>
      <c r="AQ3462" s="136"/>
      <c r="AR3462" s="118">
        <v>1642000</v>
      </c>
      <c r="AS3462" s="119"/>
      <c r="AT3462" s="118">
        <f t="shared" ref="AT3462" si="2919">AR3462*0.1</f>
        <v>164200</v>
      </c>
      <c r="AU3462" s="119"/>
      <c r="AV3462" s="118">
        <v>7230</v>
      </c>
      <c r="AW3462" s="119"/>
      <c r="AX3462" s="118">
        <f t="shared" ref="AX3462" si="2920">SUM(AR3462:AW3462)</f>
        <v>1813430</v>
      </c>
      <c r="AY3462" s="119"/>
      <c r="AZ3462" s="137">
        <v>46063</v>
      </c>
    </row>
    <row r="3463" spans="1:52" ht="17.100000000000001" customHeight="1" thickBot="1">
      <c r="A3463" s="110"/>
      <c r="B3463" s="27" t="s">
        <v>2641</v>
      </c>
      <c r="C3463" s="27">
        <v>3002</v>
      </c>
      <c r="D3463" s="14" t="s">
        <v>275</v>
      </c>
      <c r="E3463" s="112"/>
      <c r="F3463" s="139" t="s">
        <v>10832</v>
      </c>
      <c r="G3463" s="140"/>
      <c r="H3463" s="141"/>
      <c r="I3463" s="26">
        <v>17520</v>
      </c>
      <c r="J3463" s="117"/>
      <c r="K3463" s="120"/>
      <c r="L3463" s="121"/>
      <c r="M3463" s="120"/>
      <c r="N3463" s="121"/>
      <c r="O3463" s="120"/>
      <c r="P3463" s="121"/>
      <c r="Q3463" s="120"/>
      <c r="R3463" s="121"/>
      <c r="S3463" s="120"/>
      <c r="T3463" s="121"/>
      <c r="U3463" s="120"/>
      <c r="V3463" s="123"/>
      <c r="W3463" s="125"/>
      <c r="X3463" s="142" t="s">
        <v>2394</v>
      </c>
      <c r="Y3463" s="143"/>
      <c r="Z3463" s="143"/>
      <c r="AA3463" s="143"/>
      <c r="AB3463" s="144"/>
      <c r="AC3463" s="16" t="s">
        <v>21</v>
      </c>
      <c r="AD3463" s="17" t="s">
        <v>11105</v>
      </c>
      <c r="AE3463" s="145" t="s">
        <v>171</v>
      </c>
      <c r="AF3463" s="146"/>
      <c r="AG3463" s="146"/>
      <c r="AH3463" s="146"/>
      <c r="AI3463" s="147"/>
      <c r="AJ3463" s="148"/>
      <c r="AK3463" s="143"/>
      <c r="AL3463" s="144"/>
      <c r="AM3463" s="22"/>
      <c r="AN3463" s="149" t="s">
        <v>2131</v>
      </c>
      <c r="AO3463" s="144"/>
      <c r="AP3463" s="148">
        <v>3109</v>
      </c>
      <c r="AQ3463" s="144"/>
      <c r="AR3463" s="120"/>
      <c r="AS3463" s="121"/>
      <c r="AT3463" s="120"/>
      <c r="AU3463" s="121"/>
      <c r="AV3463" s="120"/>
      <c r="AW3463" s="121"/>
      <c r="AX3463" s="120"/>
      <c r="AY3463" s="121"/>
      <c r="AZ3463" s="138"/>
    </row>
    <row r="3464" spans="1:52" ht="17.100000000000001" customHeight="1" thickTop="1">
      <c r="A3464" s="151" t="s">
        <v>10821</v>
      </c>
      <c r="B3464" s="28">
        <v>45975</v>
      </c>
      <c r="C3464" s="25">
        <v>1394</v>
      </c>
      <c r="D3464" s="13" t="s">
        <v>1902</v>
      </c>
      <c r="E3464" s="111"/>
      <c r="F3464" s="113" t="s">
        <v>10849</v>
      </c>
      <c r="G3464" s="114"/>
      <c r="H3464" s="115"/>
      <c r="I3464" s="24" t="s">
        <v>7253</v>
      </c>
      <c r="J3464" s="116">
        <v>4</v>
      </c>
      <c r="K3464" s="118">
        <v>1007000</v>
      </c>
      <c r="L3464" s="119"/>
      <c r="M3464" s="118">
        <f t="shared" ref="M3464" si="2921">K3464*0.1</f>
        <v>100700</v>
      </c>
      <c r="N3464" s="119"/>
      <c r="O3464" s="118">
        <v>0</v>
      </c>
      <c r="P3464" s="119"/>
      <c r="Q3464" s="118">
        <v>8790</v>
      </c>
      <c r="R3464" s="119"/>
      <c r="S3464" s="118">
        <v>13200</v>
      </c>
      <c r="T3464" s="119"/>
      <c r="U3464" s="118">
        <f t="shared" ref="U3464" si="2922">SUM(K3464:T3465)</f>
        <v>1129690</v>
      </c>
      <c r="V3464" s="122"/>
      <c r="W3464" s="124"/>
      <c r="X3464" s="126" t="s">
        <v>11179</v>
      </c>
      <c r="Y3464" s="127"/>
      <c r="Z3464" s="127"/>
      <c r="AA3464" s="127"/>
      <c r="AB3464" s="128"/>
      <c r="AC3464" s="15" t="s">
        <v>20</v>
      </c>
      <c r="AD3464" s="129" t="s">
        <v>3896</v>
      </c>
      <c r="AE3464" s="130"/>
      <c r="AF3464" s="130"/>
      <c r="AG3464" s="130"/>
      <c r="AH3464" s="130"/>
      <c r="AI3464" s="131"/>
      <c r="AJ3464" s="132" t="s">
        <v>8040</v>
      </c>
      <c r="AK3464" s="127"/>
      <c r="AL3464" s="128"/>
      <c r="AM3464" s="21"/>
      <c r="AN3464" s="133"/>
      <c r="AO3464" s="134"/>
      <c r="AP3464" s="135"/>
      <c r="AQ3464" s="136"/>
      <c r="AR3464" s="118"/>
      <c r="AS3464" s="119"/>
      <c r="AT3464" s="118">
        <f t="shared" ref="AT3464" si="2923">AR3464*0.1</f>
        <v>0</v>
      </c>
      <c r="AU3464" s="119"/>
      <c r="AV3464" s="118"/>
      <c r="AW3464" s="119"/>
      <c r="AX3464" s="118">
        <f t="shared" ref="AX3464" si="2924">SUM(AR3464:AW3464)</f>
        <v>0</v>
      </c>
      <c r="AY3464" s="119"/>
      <c r="AZ3464" s="137"/>
    </row>
    <row r="3465" spans="1:52" ht="17.100000000000001" customHeight="1" thickBot="1">
      <c r="A3465" s="152"/>
      <c r="B3465" s="27" t="s">
        <v>2641</v>
      </c>
      <c r="C3465" s="27">
        <v>3005</v>
      </c>
      <c r="D3465" s="14" t="s">
        <v>2800</v>
      </c>
      <c r="E3465" s="112"/>
      <c r="F3465" s="139" t="s">
        <v>10833</v>
      </c>
      <c r="G3465" s="140"/>
      <c r="H3465" s="141"/>
      <c r="I3465" s="26">
        <v>40815</v>
      </c>
      <c r="J3465" s="117"/>
      <c r="K3465" s="120"/>
      <c r="L3465" s="121"/>
      <c r="M3465" s="120"/>
      <c r="N3465" s="121"/>
      <c r="O3465" s="120"/>
      <c r="P3465" s="121"/>
      <c r="Q3465" s="120"/>
      <c r="R3465" s="121"/>
      <c r="S3465" s="120"/>
      <c r="T3465" s="121"/>
      <c r="U3465" s="120"/>
      <c r="V3465" s="123"/>
      <c r="W3465" s="125"/>
      <c r="X3465" s="142" t="s">
        <v>6887</v>
      </c>
      <c r="Y3465" s="143"/>
      <c r="Z3465" s="143"/>
      <c r="AA3465" s="143"/>
      <c r="AB3465" s="144"/>
      <c r="AC3465" s="16" t="s">
        <v>21</v>
      </c>
      <c r="AD3465" s="17" t="s">
        <v>11105</v>
      </c>
      <c r="AE3465" s="145" t="s">
        <v>3896</v>
      </c>
      <c r="AF3465" s="146"/>
      <c r="AG3465" s="146"/>
      <c r="AH3465" s="146"/>
      <c r="AI3465" s="147"/>
      <c r="AJ3465" s="148"/>
      <c r="AK3465" s="143"/>
      <c r="AL3465" s="144"/>
      <c r="AM3465" s="22"/>
      <c r="AN3465" s="149"/>
      <c r="AO3465" s="144"/>
      <c r="AP3465" s="148"/>
      <c r="AQ3465" s="144"/>
      <c r="AR3465" s="120"/>
      <c r="AS3465" s="121"/>
      <c r="AT3465" s="120"/>
      <c r="AU3465" s="121"/>
      <c r="AV3465" s="120"/>
      <c r="AW3465" s="121"/>
      <c r="AX3465" s="120"/>
      <c r="AY3465" s="121"/>
      <c r="AZ3465" s="138"/>
    </row>
    <row r="3466" spans="1:52" ht="17.100000000000001" customHeight="1" thickTop="1">
      <c r="A3466" s="109" t="s">
        <v>10822</v>
      </c>
      <c r="B3466" s="28">
        <v>45975</v>
      </c>
      <c r="C3466" s="25">
        <v>1394</v>
      </c>
      <c r="D3466" s="13" t="s">
        <v>1760</v>
      </c>
      <c r="E3466" s="111"/>
      <c r="F3466" s="113" t="s">
        <v>10834</v>
      </c>
      <c r="G3466" s="114"/>
      <c r="H3466" s="115"/>
      <c r="I3466" s="24" t="s">
        <v>10850</v>
      </c>
      <c r="J3466" s="116">
        <v>4</v>
      </c>
      <c r="K3466" s="118">
        <v>1125000</v>
      </c>
      <c r="L3466" s="119"/>
      <c r="M3466" s="118">
        <f t="shared" ref="M3466" si="2925">K3466*0.1</f>
        <v>112500</v>
      </c>
      <c r="N3466" s="119"/>
      <c r="O3466" s="118">
        <v>0</v>
      </c>
      <c r="P3466" s="119"/>
      <c r="Q3466" s="118">
        <v>6470</v>
      </c>
      <c r="R3466" s="119"/>
      <c r="S3466" s="118">
        <v>13200</v>
      </c>
      <c r="T3466" s="119"/>
      <c r="U3466" s="118">
        <f t="shared" ref="U3466" si="2926">SUM(K3466:T3467)</f>
        <v>1257170</v>
      </c>
      <c r="V3466" s="122"/>
      <c r="W3466" s="124"/>
      <c r="X3466" s="126" t="s">
        <v>11168</v>
      </c>
      <c r="Y3466" s="127"/>
      <c r="Z3466" s="127"/>
      <c r="AA3466" s="127"/>
      <c r="AB3466" s="128"/>
      <c r="AC3466" s="15" t="s">
        <v>20</v>
      </c>
      <c r="AD3466" s="129" t="s">
        <v>171</v>
      </c>
      <c r="AE3466" s="130"/>
      <c r="AF3466" s="130"/>
      <c r="AG3466" s="130"/>
      <c r="AH3466" s="130"/>
      <c r="AI3466" s="131"/>
      <c r="AJ3466" s="132"/>
      <c r="AK3466" s="127"/>
      <c r="AL3466" s="128"/>
      <c r="AM3466" s="21"/>
      <c r="AN3466" s="133">
        <v>45980</v>
      </c>
      <c r="AO3466" s="134"/>
      <c r="AP3466" s="135">
        <v>993</v>
      </c>
      <c r="AQ3466" s="136"/>
      <c r="AR3466" s="118">
        <v>1205000</v>
      </c>
      <c r="AS3466" s="119"/>
      <c r="AT3466" s="118">
        <f t="shared" ref="AT3466" si="2927">AR3466*0.1</f>
        <v>120500</v>
      </c>
      <c r="AU3466" s="119"/>
      <c r="AV3466" s="118">
        <v>6470</v>
      </c>
      <c r="AW3466" s="119"/>
      <c r="AX3466" s="118">
        <f t="shared" ref="AX3466" si="2928">SUM(AR3466:AW3466)</f>
        <v>1331970</v>
      </c>
      <c r="AY3466" s="119"/>
      <c r="AZ3466" s="137">
        <v>45986</v>
      </c>
    </row>
    <row r="3467" spans="1:52" ht="17.100000000000001" customHeight="1" thickBot="1">
      <c r="A3467" s="110"/>
      <c r="B3467" s="27" t="s">
        <v>2641</v>
      </c>
      <c r="C3467" s="27">
        <v>3033</v>
      </c>
      <c r="D3467" s="14" t="s">
        <v>2601</v>
      </c>
      <c r="E3467" s="112"/>
      <c r="F3467" s="139" t="s">
        <v>10835</v>
      </c>
      <c r="G3467" s="140"/>
      <c r="H3467" s="141"/>
      <c r="I3467" s="26">
        <v>23776</v>
      </c>
      <c r="J3467" s="117"/>
      <c r="K3467" s="120"/>
      <c r="L3467" s="121"/>
      <c r="M3467" s="120"/>
      <c r="N3467" s="121"/>
      <c r="O3467" s="120"/>
      <c r="P3467" s="121"/>
      <c r="Q3467" s="120"/>
      <c r="R3467" s="121"/>
      <c r="S3467" s="120"/>
      <c r="T3467" s="121"/>
      <c r="U3467" s="120"/>
      <c r="V3467" s="123"/>
      <c r="W3467" s="125"/>
      <c r="X3467" s="142" t="s">
        <v>11169</v>
      </c>
      <c r="Y3467" s="143"/>
      <c r="Z3467" s="143"/>
      <c r="AA3467" s="143"/>
      <c r="AB3467" s="144"/>
      <c r="AC3467" s="16" t="s">
        <v>21</v>
      </c>
      <c r="AD3467" s="17" t="s">
        <v>11105</v>
      </c>
      <c r="AE3467" s="145" t="s">
        <v>171</v>
      </c>
      <c r="AF3467" s="146"/>
      <c r="AG3467" s="146"/>
      <c r="AH3467" s="146"/>
      <c r="AI3467" s="147"/>
      <c r="AJ3467" s="148"/>
      <c r="AK3467" s="143"/>
      <c r="AL3467" s="144"/>
      <c r="AM3467" s="22"/>
      <c r="AN3467" s="149" t="s">
        <v>2794</v>
      </c>
      <c r="AO3467" s="144"/>
      <c r="AP3467" s="148">
        <v>2057</v>
      </c>
      <c r="AQ3467" s="144"/>
      <c r="AR3467" s="120"/>
      <c r="AS3467" s="121"/>
      <c r="AT3467" s="120"/>
      <c r="AU3467" s="121"/>
      <c r="AV3467" s="120"/>
      <c r="AW3467" s="121"/>
      <c r="AX3467" s="120"/>
      <c r="AY3467" s="121"/>
      <c r="AZ3467" s="138"/>
    </row>
    <row r="3468" spans="1:52" ht="17.100000000000001" customHeight="1" thickTop="1">
      <c r="A3468" s="109" t="s">
        <v>10823</v>
      </c>
      <c r="B3468" s="28">
        <v>45975</v>
      </c>
      <c r="C3468" s="25">
        <v>1394</v>
      </c>
      <c r="D3468" s="13" t="s">
        <v>1563</v>
      </c>
      <c r="E3468" s="111"/>
      <c r="F3468" s="113" t="s">
        <v>10836</v>
      </c>
      <c r="G3468" s="114"/>
      <c r="H3468" s="115"/>
      <c r="I3468" s="24" t="s">
        <v>10851</v>
      </c>
      <c r="J3468" s="116">
        <v>4.5</v>
      </c>
      <c r="K3468" s="118">
        <v>815000</v>
      </c>
      <c r="L3468" s="119"/>
      <c r="M3468" s="118">
        <f t="shared" ref="M3468" si="2929">K3468*0.1</f>
        <v>81500</v>
      </c>
      <c r="N3468" s="119"/>
      <c r="O3468" s="118">
        <v>0</v>
      </c>
      <c r="P3468" s="119"/>
      <c r="Q3468" s="118">
        <v>8010</v>
      </c>
      <c r="R3468" s="119"/>
      <c r="S3468" s="118">
        <v>13200</v>
      </c>
      <c r="T3468" s="119"/>
      <c r="U3468" s="118">
        <f t="shared" ref="U3468" si="2930">SUM(K3468:T3469)</f>
        <v>917710</v>
      </c>
      <c r="V3468" s="122"/>
      <c r="W3468" s="124"/>
      <c r="X3468" s="126" t="s">
        <v>11174</v>
      </c>
      <c r="Y3468" s="127"/>
      <c r="Z3468" s="127"/>
      <c r="AA3468" s="127"/>
      <c r="AB3468" s="128"/>
      <c r="AC3468" s="15" t="s">
        <v>20</v>
      </c>
      <c r="AD3468" s="129" t="s">
        <v>171</v>
      </c>
      <c r="AE3468" s="130"/>
      <c r="AF3468" s="130"/>
      <c r="AG3468" s="130"/>
      <c r="AH3468" s="130"/>
      <c r="AI3468" s="131"/>
      <c r="AJ3468" s="132"/>
      <c r="AK3468" s="127"/>
      <c r="AL3468" s="128"/>
      <c r="AM3468" s="21"/>
      <c r="AN3468" s="133">
        <v>45983</v>
      </c>
      <c r="AO3468" s="134"/>
      <c r="AP3468" s="135">
        <v>1277</v>
      </c>
      <c r="AQ3468" s="136"/>
      <c r="AR3468" s="118">
        <v>885000</v>
      </c>
      <c r="AS3468" s="119"/>
      <c r="AT3468" s="118">
        <f t="shared" ref="AT3468" si="2931">AR3468*0.1</f>
        <v>88500</v>
      </c>
      <c r="AU3468" s="119"/>
      <c r="AV3468" s="118">
        <v>8010</v>
      </c>
      <c r="AW3468" s="119"/>
      <c r="AX3468" s="118">
        <f t="shared" ref="AX3468" si="2932">SUM(AR3468:AW3468)</f>
        <v>981510</v>
      </c>
      <c r="AY3468" s="119"/>
      <c r="AZ3468" s="137">
        <v>45987</v>
      </c>
    </row>
    <row r="3469" spans="1:52" ht="17.100000000000001" customHeight="1" thickBot="1">
      <c r="A3469" s="110"/>
      <c r="B3469" s="27" t="s">
        <v>2641</v>
      </c>
      <c r="C3469" s="27">
        <v>3081</v>
      </c>
      <c r="D3469" s="14" t="s">
        <v>2560</v>
      </c>
      <c r="E3469" s="112"/>
      <c r="F3469" s="139" t="s">
        <v>10837</v>
      </c>
      <c r="G3469" s="140"/>
      <c r="H3469" s="141"/>
      <c r="I3469" s="26">
        <v>16328</v>
      </c>
      <c r="J3469" s="117"/>
      <c r="K3469" s="120"/>
      <c r="L3469" s="121"/>
      <c r="M3469" s="120"/>
      <c r="N3469" s="121"/>
      <c r="O3469" s="120"/>
      <c r="P3469" s="121"/>
      <c r="Q3469" s="120"/>
      <c r="R3469" s="121"/>
      <c r="S3469" s="120"/>
      <c r="T3469" s="121"/>
      <c r="U3469" s="120"/>
      <c r="V3469" s="123"/>
      <c r="W3469" s="125"/>
      <c r="X3469" s="142" t="s">
        <v>11175</v>
      </c>
      <c r="Y3469" s="143"/>
      <c r="Z3469" s="143"/>
      <c r="AA3469" s="143"/>
      <c r="AB3469" s="144"/>
      <c r="AC3469" s="16" t="s">
        <v>21</v>
      </c>
      <c r="AD3469" s="17" t="s">
        <v>11105</v>
      </c>
      <c r="AE3469" s="145" t="s">
        <v>171</v>
      </c>
      <c r="AF3469" s="146"/>
      <c r="AG3469" s="146"/>
      <c r="AH3469" s="146"/>
      <c r="AI3469" s="147"/>
      <c r="AJ3469" s="148"/>
      <c r="AK3469" s="143"/>
      <c r="AL3469" s="144"/>
      <c r="AM3469" s="22"/>
      <c r="AN3469" s="149" t="s">
        <v>2511</v>
      </c>
      <c r="AO3469" s="144"/>
      <c r="AP3469" s="148">
        <v>60001</v>
      </c>
      <c r="AQ3469" s="144"/>
      <c r="AR3469" s="120"/>
      <c r="AS3469" s="121"/>
      <c r="AT3469" s="120"/>
      <c r="AU3469" s="121"/>
      <c r="AV3469" s="120"/>
      <c r="AW3469" s="121"/>
      <c r="AX3469" s="120"/>
      <c r="AY3469" s="121"/>
      <c r="AZ3469" s="138"/>
    </row>
    <row r="3470" spans="1:52" ht="17.100000000000001" customHeight="1" thickTop="1">
      <c r="A3470" s="109" t="s">
        <v>10824</v>
      </c>
      <c r="B3470" s="28">
        <v>45975</v>
      </c>
      <c r="C3470" s="25">
        <v>1394</v>
      </c>
      <c r="D3470" s="13" t="s">
        <v>1059</v>
      </c>
      <c r="E3470" s="111"/>
      <c r="F3470" s="113" t="s">
        <v>10657</v>
      </c>
      <c r="G3470" s="114"/>
      <c r="H3470" s="115"/>
      <c r="I3470" s="24"/>
      <c r="J3470" s="116">
        <v>4</v>
      </c>
      <c r="K3470" s="118">
        <v>1138000</v>
      </c>
      <c r="L3470" s="119"/>
      <c r="M3470" s="118">
        <f t="shared" ref="M3470" si="2933">K3470*0.1</f>
        <v>113800</v>
      </c>
      <c r="N3470" s="119"/>
      <c r="O3470" s="118">
        <v>0</v>
      </c>
      <c r="P3470" s="119"/>
      <c r="Q3470" s="118">
        <v>9710</v>
      </c>
      <c r="R3470" s="119"/>
      <c r="S3470" s="118">
        <v>13200</v>
      </c>
      <c r="T3470" s="119"/>
      <c r="U3470" s="118">
        <f t="shared" ref="U3470" si="2934">SUM(K3470:T3471)</f>
        <v>1274710</v>
      </c>
      <c r="V3470" s="122"/>
      <c r="W3470" s="124"/>
      <c r="X3470" s="126" t="s">
        <v>11176</v>
      </c>
      <c r="Y3470" s="127"/>
      <c r="Z3470" s="127"/>
      <c r="AA3470" s="127"/>
      <c r="AB3470" s="128"/>
      <c r="AC3470" s="15" t="s">
        <v>20</v>
      </c>
      <c r="AD3470" s="129"/>
      <c r="AE3470" s="130"/>
      <c r="AF3470" s="130"/>
      <c r="AG3470" s="130"/>
      <c r="AH3470" s="130"/>
      <c r="AI3470" s="131"/>
      <c r="AJ3470" s="132" t="s">
        <v>13643</v>
      </c>
      <c r="AK3470" s="127"/>
      <c r="AL3470" s="128"/>
      <c r="AM3470" s="21"/>
      <c r="AN3470" s="133">
        <v>46004</v>
      </c>
      <c r="AO3470" s="134"/>
      <c r="AP3470" s="135">
        <v>1280</v>
      </c>
      <c r="AQ3470" s="136"/>
      <c r="AR3470" s="118">
        <v>1210000</v>
      </c>
      <c r="AS3470" s="119"/>
      <c r="AT3470" s="118">
        <f t="shared" ref="AT3470" si="2935">AR3470*0.1</f>
        <v>121000</v>
      </c>
      <c r="AU3470" s="119"/>
      <c r="AV3470" s="118">
        <v>9710</v>
      </c>
      <c r="AW3470" s="119"/>
      <c r="AX3470" s="118">
        <f t="shared" ref="AX3470" si="2936">SUM(AR3470:AW3470)</f>
        <v>1340710</v>
      </c>
      <c r="AY3470" s="119"/>
      <c r="AZ3470" s="137">
        <v>46008</v>
      </c>
    </row>
    <row r="3471" spans="1:52" ht="17.100000000000001" customHeight="1" thickBot="1">
      <c r="A3471" s="110"/>
      <c r="B3471" s="27" t="s">
        <v>2641</v>
      </c>
      <c r="C3471" s="27">
        <v>3118</v>
      </c>
      <c r="D3471" s="14" t="s">
        <v>275</v>
      </c>
      <c r="E3471" s="112"/>
      <c r="F3471" s="139" t="s">
        <v>10838</v>
      </c>
      <c r="G3471" s="140"/>
      <c r="H3471" s="141"/>
      <c r="I3471" s="26">
        <v>55177</v>
      </c>
      <c r="J3471" s="117"/>
      <c r="K3471" s="120"/>
      <c r="L3471" s="121"/>
      <c r="M3471" s="120"/>
      <c r="N3471" s="121"/>
      <c r="O3471" s="120"/>
      <c r="P3471" s="121"/>
      <c r="Q3471" s="120"/>
      <c r="R3471" s="121"/>
      <c r="S3471" s="120"/>
      <c r="T3471" s="121"/>
      <c r="U3471" s="120"/>
      <c r="V3471" s="123"/>
      <c r="W3471" s="125"/>
      <c r="X3471" s="142" t="s">
        <v>1997</v>
      </c>
      <c r="Y3471" s="143"/>
      <c r="Z3471" s="143"/>
      <c r="AA3471" s="143"/>
      <c r="AB3471" s="144"/>
      <c r="AC3471" s="16" t="s">
        <v>21</v>
      </c>
      <c r="AD3471" s="17" t="s">
        <v>11105</v>
      </c>
      <c r="AE3471" s="145" t="s">
        <v>1609</v>
      </c>
      <c r="AF3471" s="146"/>
      <c r="AG3471" s="146"/>
      <c r="AH3471" s="146"/>
      <c r="AI3471" s="147"/>
      <c r="AJ3471" s="148"/>
      <c r="AK3471" s="143"/>
      <c r="AL3471" s="144"/>
      <c r="AM3471" s="22"/>
      <c r="AN3471" s="149" t="s">
        <v>6749</v>
      </c>
      <c r="AO3471" s="144"/>
      <c r="AP3471" s="148">
        <v>60045</v>
      </c>
      <c r="AQ3471" s="144"/>
      <c r="AR3471" s="120"/>
      <c r="AS3471" s="121"/>
      <c r="AT3471" s="120"/>
      <c r="AU3471" s="121"/>
      <c r="AV3471" s="120"/>
      <c r="AW3471" s="121"/>
      <c r="AX3471" s="120"/>
      <c r="AY3471" s="121"/>
      <c r="AZ3471" s="138"/>
    </row>
    <row r="3472" spans="1:52" ht="17.100000000000001" customHeight="1" thickTop="1">
      <c r="A3472" s="109" t="s">
        <v>10825</v>
      </c>
      <c r="B3472" s="28">
        <v>45975</v>
      </c>
      <c r="C3472" s="25">
        <v>1394</v>
      </c>
      <c r="D3472" s="13" t="s">
        <v>3478</v>
      </c>
      <c r="E3472" s="111"/>
      <c r="F3472" s="113" t="s">
        <v>2993</v>
      </c>
      <c r="G3472" s="114"/>
      <c r="H3472" s="115"/>
      <c r="I3472" s="24"/>
      <c r="J3472" s="116">
        <v>4</v>
      </c>
      <c r="K3472" s="118">
        <v>657000</v>
      </c>
      <c r="L3472" s="119"/>
      <c r="M3472" s="118">
        <f t="shared" ref="M3472" si="2937">K3472*0.1</f>
        <v>65700</v>
      </c>
      <c r="N3472" s="119"/>
      <c r="O3472" s="118">
        <v>0</v>
      </c>
      <c r="P3472" s="119"/>
      <c r="Q3472" s="118">
        <v>8400</v>
      </c>
      <c r="R3472" s="119"/>
      <c r="S3472" s="118">
        <v>13200</v>
      </c>
      <c r="T3472" s="119"/>
      <c r="U3472" s="118">
        <f t="shared" ref="U3472" si="2938">SUM(K3472:T3473)</f>
        <v>744300</v>
      </c>
      <c r="V3472" s="122"/>
      <c r="W3472" s="124"/>
      <c r="X3472" s="126" t="s">
        <v>11323</v>
      </c>
      <c r="Y3472" s="127"/>
      <c r="Z3472" s="127"/>
      <c r="AA3472" s="127"/>
      <c r="AB3472" s="128"/>
      <c r="AC3472" s="15" t="s">
        <v>20</v>
      </c>
      <c r="AD3472" s="129" t="s">
        <v>171</v>
      </c>
      <c r="AE3472" s="130"/>
      <c r="AF3472" s="130"/>
      <c r="AG3472" s="130"/>
      <c r="AH3472" s="130"/>
      <c r="AI3472" s="131"/>
      <c r="AJ3472" s="132"/>
      <c r="AK3472" s="127"/>
      <c r="AL3472" s="128"/>
      <c r="AM3472" s="21"/>
      <c r="AN3472" s="133">
        <v>45987</v>
      </c>
      <c r="AO3472" s="134"/>
      <c r="AP3472" s="135">
        <v>994</v>
      </c>
      <c r="AQ3472" s="136"/>
      <c r="AR3472" s="118">
        <v>725000</v>
      </c>
      <c r="AS3472" s="119"/>
      <c r="AT3472" s="118">
        <f t="shared" ref="AT3472" si="2939">AR3472*0.1</f>
        <v>72500</v>
      </c>
      <c r="AU3472" s="119"/>
      <c r="AV3472" s="118">
        <v>8400</v>
      </c>
      <c r="AW3472" s="119"/>
      <c r="AX3472" s="118">
        <f t="shared" ref="AX3472" si="2940">SUM(AR3472:AW3472)</f>
        <v>805900</v>
      </c>
      <c r="AY3472" s="119"/>
      <c r="AZ3472" s="137">
        <v>45992</v>
      </c>
    </row>
    <row r="3473" spans="1:52" ht="17.100000000000001" customHeight="1" thickBot="1">
      <c r="A3473" s="110"/>
      <c r="B3473" s="27" t="s">
        <v>2641</v>
      </c>
      <c r="C3473" s="27">
        <v>3158</v>
      </c>
      <c r="D3473" s="14" t="s">
        <v>2040</v>
      </c>
      <c r="E3473" s="112"/>
      <c r="F3473" s="139" t="s">
        <v>10839</v>
      </c>
      <c r="G3473" s="140"/>
      <c r="H3473" s="141"/>
      <c r="I3473" s="26">
        <v>53347</v>
      </c>
      <c r="J3473" s="117"/>
      <c r="K3473" s="120"/>
      <c r="L3473" s="121"/>
      <c r="M3473" s="120"/>
      <c r="N3473" s="121"/>
      <c r="O3473" s="120"/>
      <c r="P3473" s="121"/>
      <c r="Q3473" s="120"/>
      <c r="R3473" s="121"/>
      <c r="S3473" s="120"/>
      <c r="T3473" s="121"/>
      <c r="U3473" s="120"/>
      <c r="V3473" s="123"/>
      <c r="W3473" s="125"/>
      <c r="X3473" s="142" t="s">
        <v>3334</v>
      </c>
      <c r="Y3473" s="143"/>
      <c r="Z3473" s="143"/>
      <c r="AA3473" s="143"/>
      <c r="AB3473" s="144"/>
      <c r="AC3473" s="16" t="s">
        <v>21</v>
      </c>
      <c r="AD3473" s="17" t="s">
        <v>2630</v>
      </c>
      <c r="AE3473" s="145" t="s">
        <v>171</v>
      </c>
      <c r="AF3473" s="146"/>
      <c r="AG3473" s="146"/>
      <c r="AH3473" s="146"/>
      <c r="AI3473" s="147"/>
      <c r="AJ3473" s="148"/>
      <c r="AK3473" s="143"/>
      <c r="AL3473" s="144"/>
      <c r="AM3473" s="22"/>
      <c r="AN3473" s="149" t="s">
        <v>11801</v>
      </c>
      <c r="AO3473" s="144"/>
      <c r="AP3473" s="148">
        <v>2079</v>
      </c>
      <c r="AQ3473" s="144"/>
      <c r="AR3473" s="120"/>
      <c r="AS3473" s="121"/>
      <c r="AT3473" s="120"/>
      <c r="AU3473" s="121"/>
      <c r="AV3473" s="120"/>
      <c r="AW3473" s="121"/>
      <c r="AX3473" s="120"/>
      <c r="AY3473" s="121"/>
      <c r="AZ3473" s="138"/>
    </row>
    <row r="3474" spans="1:52" ht="17.100000000000001" customHeight="1" thickTop="1">
      <c r="A3474" s="109" t="s">
        <v>10826</v>
      </c>
      <c r="B3474" s="28">
        <v>45975</v>
      </c>
      <c r="C3474" s="25">
        <v>1394</v>
      </c>
      <c r="D3474" s="13" t="s">
        <v>2187</v>
      </c>
      <c r="E3474" s="111"/>
      <c r="F3474" s="113" t="s">
        <v>10840</v>
      </c>
      <c r="G3474" s="114"/>
      <c r="H3474" s="115"/>
      <c r="I3474" s="24" t="s">
        <v>10852</v>
      </c>
      <c r="J3474" s="150" t="s">
        <v>1715</v>
      </c>
      <c r="K3474" s="118">
        <v>549000</v>
      </c>
      <c r="L3474" s="119"/>
      <c r="M3474" s="118">
        <f t="shared" ref="M3474" si="2941">K3474*0.1</f>
        <v>54900</v>
      </c>
      <c r="N3474" s="119"/>
      <c r="O3474" s="118">
        <v>0</v>
      </c>
      <c r="P3474" s="119"/>
      <c r="Q3474" s="118">
        <v>8400</v>
      </c>
      <c r="R3474" s="119"/>
      <c r="S3474" s="118">
        <v>13200</v>
      </c>
      <c r="T3474" s="119"/>
      <c r="U3474" s="118">
        <f t="shared" ref="U3474" si="2942">SUM(K3474:T3475)</f>
        <v>625500</v>
      </c>
      <c r="V3474" s="122"/>
      <c r="W3474" s="124"/>
      <c r="X3474" s="126" t="s">
        <v>11165</v>
      </c>
      <c r="Y3474" s="127"/>
      <c r="Z3474" s="127"/>
      <c r="AA3474" s="127"/>
      <c r="AB3474" s="128"/>
      <c r="AC3474" s="15" t="s">
        <v>20</v>
      </c>
      <c r="AD3474" s="129"/>
      <c r="AE3474" s="130"/>
      <c r="AF3474" s="130"/>
      <c r="AG3474" s="130"/>
      <c r="AH3474" s="130"/>
      <c r="AI3474" s="131"/>
      <c r="AJ3474" s="132"/>
      <c r="AK3474" s="127"/>
      <c r="AL3474" s="128"/>
      <c r="AM3474" s="21"/>
      <c r="AN3474" s="133">
        <v>45980</v>
      </c>
      <c r="AO3474" s="134"/>
      <c r="AP3474" s="135">
        <v>993</v>
      </c>
      <c r="AQ3474" s="136"/>
      <c r="AR3474" s="118">
        <v>640000</v>
      </c>
      <c r="AS3474" s="119"/>
      <c r="AT3474" s="118">
        <f t="shared" ref="AT3474" si="2943">AR3474*0.1</f>
        <v>64000</v>
      </c>
      <c r="AU3474" s="119"/>
      <c r="AV3474" s="118">
        <v>8400</v>
      </c>
      <c r="AW3474" s="119"/>
      <c r="AX3474" s="118">
        <f t="shared" ref="AX3474" si="2944">SUM(AR3474:AW3474)</f>
        <v>712400</v>
      </c>
      <c r="AY3474" s="119"/>
      <c r="AZ3474" s="137">
        <v>45986</v>
      </c>
    </row>
    <row r="3475" spans="1:52" ht="17.100000000000001" customHeight="1" thickBot="1">
      <c r="A3475" s="110"/>
      <c r="B3475" s="27" t="s">
        <v>2641</v>
      </c>
      <c r="C3475" s="27">
        <v>3189</v>
      </c>
      <c r="D3475" s="14" t="s">
        <v>2560</v>
      </c>
      <c r="E3475" s="112"/>
      <c r="F3475" s="139" t="s">
        <v>10841</v>
      </c>
      <c r="G3475" s="140"/>
      <c r="H3475" s="141"/>
      <c r="I3475" s="26">
        <v>39747</v>
      </c>
      <c r="J3475" s="117"/>
      <c r="K3475" s="120"/>
      <c r="L3475" s="121"/>
      <c r="M3475" s="120"/>
      <c r="N3475" s="121"/>
      <c r="O3475" s="120"/>
      <c r="P3475" s="121"/>
      <c r="Q3475" s="120"/>
      <c r="R3475" s="121"/>
      <c r="S3475" s="120"/>
      <c r="T3475" s="121"/>
      <c r="U3475" s="120"/>
      <c r="V3475" s="123"/>
      <c r="W3475" s="125"/>
      <c r="X3475" s="142" t="s">
        <v>11166</v>
      </c>
      <c r="Y3475" s="143"/>
      <c r="Z3475" s="143"/>
      <c r="AA3475" s="143"/>
      <c r="AB3475" s="144"/>
      <c r="AC3475" s="16" t="s">
        <v>21</v>
      </c>
      <c r="AD3475" s="17" t="s">
        <v>11105</v>
      </c>
      <c r="AE3475" s="145"/>
      <c r="AF3475" s="146"/>
      <c r="AG3475" s="146"/>
      <c r="AH3475" s="146"/>
      <c r="AI3475" s="147"/>
      <c r="AJ3475" s="148"/>
      <c r="AK3475" s="143"/>
      <c r="AL3475" s="144"/>
      <c r="AM3475" s="22"/>
      <c r="AN3475" s="149" t="s">
        <v>2794</v>
      </c>
      <c r="AO3475" s="144"/>
      <c r="AP3475" s="148">
        <v>2055</v>
      </c>
      <c r="AQ3475" s="144"/>
      <c r="AR3475" s="120"/>
      <c r="AS3475" s="121"/>
      <c r="AT3475" s="120"/>
      <c r="AU3475" s="121"/>
      <c r="AV3475" s="120"/>
      <c r="AW3475" s="121"/>
      <c r="AX3475" s="120"/>
      <c r="AY3475" s="121"/>
      <c r="AZ3475" s="138"/>
    </row>
    <row r="3476" spans="1:52" ht="17.100000000000001" customHeight="1" thickTop="1">
      <c r="A3476" s="109" t="s">
        <v>10827</v>
      </c>
      <c r="B3476" s="28">
        <v>45975</v>
      </c>
      <c r="C3476" s="25">
        <v>1394</v>
      </c>
      <c r="D3476" s="13" t="s">
        <v>1059</v>
      </c>
      <c r="E3476" s="111"/>
      <c r="F3476" s="113" t="s">
        <v>10853</v>
      </c>
      <c r="G3476" s="114"/>
      <c r="H3476" s="115"/>
      <c r="I3476" s="24" t="s">
        <v>10854</v>
      </c>
      <c r="J3476" s="116">
        <v>4.5</v>
      </c>
      <c r="K3476" s="118">
        <v>2674000</v>
      </c>
      <c r="L3476" s="119"/>
      <c r="M3476" s="118">
        <f t="shared" ref="M3476" si="2945">K3476*0.1</f>
        <v>267400</v>
      </c>
      <c r="N3476" s="119"/>
      <c r="O3476" s="118">
        <f>12000+1200</f>
        <v>13200</v>
      </c>
      <c r="P3476" s="119"/>
      <c r="Q3476" s="118">
        <v>24090</v>
      </c>
      <c r="R3476" s="119"/>
      <c r="S3476" s="118">
        <v>13200</v>
      </c>
      <c r="T3476" s="119"/>
      <c r="U3476" s="118">
        <f t="shared" ref="U3476" si="2946">SUM(K3476:T3477)</f>
        <v>2991890</v>
      </c>
      <c r="V3476" s="122"/>
      <c r="W3476" s="124"/>
      <c r="X3476" s="126" t="s">
        <v>11207</v>
      </c>
      <c r="Y3476" s="127"/>
      <c r="Z3476" s="127"/>
      <c r="AA3476" s="127"/>
      <c r="AB3476" s="128"/>
      <c r="AC3476" s="15" t="s">
        <v>20</v>
      </c>
      <c r="AD3476" s="129"/>
      <c r="AE3476" s="130"/>
      <c r="AF3476" s="130"/>
      <c r="AG3476" s="130"/>
      <c r="AH3476" s="130"/>
      <c r="AI3476" s="131"/>
      <c r="AJ3476" s="132"/>
      <c r="AK3476" s="127"/>
      <c r="AL3476" s="128"/>
      <c r="AM3476" s="21" t="s">
        <v>12770</v>
      </c>
      <c r="AN3476" s="133">
        <v>46018</v>
      </c>
      <c r="AO3476" s="134"/>
      <c r="AP3476" s="135">
        <v>1282</v>
      </c>
      <c r="AQ3476" s="136"/>
      <c r="AR3476" s="118">
        <v>2785000</v>
      </c>
      <c r="AS3476" s="119"/>
      <c r="AT3476" s="118">
        <f t="shared" ref="AT3476" si="2947">AR3476*0.1</f>
        <v>278500</v>
      </c>
      <c r="AU3476" s="119"/>
      <c r="AV3476" s="118">
        <v>24090</v>
      </c>
      <c r="AW3476" s="119"/>
      <c r="AX3476" s="118">
        <f t="shared" ref="AX3476" si="2948">SUM(AR3476:AW3476)</f>
        <v>3087590</v>
      </c>
      <c r="AY3476" s="119"/>
      <c r="AZ3476" s="137">
        <v>46028</v>
      </c>
    </row>
    <row r="3477" spans="1:52" ht="17.100000000000001" customHeight="1" thickBot="1">
      <c r="A3477" s="110"/>
      <c r="B3477" s="27" t="s">
        <v>2641</v>
      </c>
      <c r="C3477" s="27">
        <v>7085</v>
      </c>
      <c r="D3477" s="14" t="s">
        <v>1720</v>
      </c>
      <c r="E3477" s="112"/>
      <c r="F3477" s="139" t="s">
        <v>10842</v>
      </c>
      <c r="G3477" s="140"/>
      <c r="H3477" s="141"/>
      <c r="I3477" s="26">
        <v>40783</v>
      </c>
      <c r="J3477" s="117"/>
      <c r="K3477" s="120"/>
      <c r="L3477" s="121"/>
      <c r="M3477" s="120"/>
      <c r="N3477" s="121"/>
      <c r="O3477" s="120"/>
      <c r="P3477" s="121"/>
      <c r="Q3477" s="120"/>
      <c r="R3477" s="121"/>
      <c r="S3477" s="120"/>
      <c r="T3477" s="121"/>
      <c r="U3477" s="120"/>
      <c r="V3477" s="123"/>
      <c r="W3477" s="125"/>
      <c r="X3477" s="142" t="s">
        <v>11208</v>
      </c>
      <c r="Y3477" s="143"/>
      <c r="Z3477" s="143"/>
      <c r="AA3477" s="143"/>
      <c r="AB3477" s="144"/>
      <c r="AC3477" s="16" t="s">
        <v>21</v>
      </c>
      <c r="AD3477" s="17" t="s">
        <v>11105</v>
      </c>
      <c r="AE3477" s="145" t="s">
        <v>7432</v>
      </c>
      <c r="AF3477" s="146"/>
      <c r="AG3477" s="146"/>
      <c r="AH3477" s="146"/>
      <c r="AI3477" s="147"/>
      <c r="AJ3477" s="148"/>
      <c r="AK3477" s="143"/>
      <c r="AL3477" s="144"/>
      <c r="AM3477" s="22"/>
      <c r="AN3477" s="149" t="s">
        <v>2511</v>
      </c>
      <c r="AO3477" s="144"/>
      <c r="AP3477" s="148">
        <v>80039</v>
      </c>
      <c r="AQ3477" s="144"/>
      <c r="AR3477" s="120"/>
      <c r="AS3477" s="121"/>
      <c r="AT3477" s="120"/>
      <c r="AU3477" s="121"/>
      <c r="AV3477" s="120"/>
      <c r="AW3477" s="121"/>
      <c r="AX3477" s="120"/>
      <c r="AY3477" s="121"/>
      <c r="AZ3477" s="138"/>
    </row>
    <row r="3478" spans="1:52" ht="17.100000000000001" customHeight="1" thickTop="1">
      <c r="A3478" s="109" t="s">
        <v>10828</v>
      </c>
      <c r="B3478" s="28">
        <v>45975</v>
      </c>
      <c r="C3478" s="25">
        <v>1394</v>
      </c>
      <c r="D3478" s="13" t="s">
        <v>2689</v>
      </c>
      <c r="E3478" s="111"/>
      <c r="F3478" s="113" t="s">
        <v>10843</v>
      </c>
      <c r="G3478" s="114"/>
      <c r="H3478" s="115"/>
      <c r="I3478" s="24" t="s">
        <v>5495</v>
      </c>
      <c r="J3478" s="116">
        <v>4</v>
      </c>
      <c r="K3478" s="118">
        <v>1492000</v>
      </c>
      <c r="L3478" s="119"/>
      <c r="M3478" s="118">
        <f t="shared" ref="M3478" si="2949">K3478*0.1</f>
        <v>149200</v>
      </c>
      <c r="N3478" s="119"/>
      <c r="O3478" s="118">
        <f>12000+1200</f>
        <v>13200</v>
      </c>
      <c r="P3478" s="119"/>
      <c r="Q3478" s="118">
        <v>9150</v>
      </c>
      <c r="R3478" s="119"/>
      <c r="S3478" s="118">
        <v>13200</v>
      </c>
      <c r="T3478" s="119"/>
      <c r="U3478" s="118">
        <f t="shared" ref="U3478" si="2950">SUM(K3478:T3479)</f>
        <v>1676750</v>
      </c>
      <c r="V3478" s="122"/>
      <c r="W3478" s="124"/>
      <c r="X3478" s="126" t="s">
        <v>11313</v>
      </c>
      <c r="Y3478" s="127"/>
      <c r="Z3478" s="127"/>
      <c r="AA3478" s="127"/>
      <c r="AB3478" s="128"/>
      <c r="AC3478" s="15" t="s">
        <v>20</v>
      </c>
      <c r="AD3478" s="129" t="s">
        <v>171</v>
      </c>
      <c r="AE3478" s="130"/>
      <c r="AF3478" s="130"/>
      <c r="AG3478" s="130"/>
      <c r="AH3478" s="130"/>
      <c r="AI3478" s="131"/>
      <c r="AJ3478" s="132"/>
      <c r="AK3478" s="127"/>
      <c r="AL3478" s="128"/>
      <c r="AM3478" s="21"/>
      <c r="AN3478" s="133">
        <v>45980</v>
      </c>
      <c r="AO3478" s="134"/>
      <c r="AP3478" s="135">
        <v>993</v>
      </c>
      <c r="AQ3478" s="136"/>
      <c r="AR3478" s="118">
        <v>1580000</v>
      </c>
      <c r="AS3478" s="119"/>
      <c r="AT3478" s="118">
        <f t="shared" ref="AT3478" si="2951">AR3478*0.1</f>
        <v>158000</v>
      </c>
      <c r="AU3478" s="119"/>
      <c r="AV3478" s="118">
        <v>9150</v>
      </c>
      <c r="AW3478" s="119"/>
      <c r="AX3478" s="118">
        <f t="shared" ref="AX3478" si="2952">SUM(AR3478:AW3478)</f>
        <v>1747150</v>
      </c>
      <c r="AY3478" s="119"/>
      <c r="AZ3478" s="137">
        <v>45986</v>
      </c>
    </row>
    <row r="3479" spans="1:52" ht="17.100000000000001" customHeight="1" thickBot="1">
      <c r="A3479" s="110"/>
      <c r="B3479" s="27" t="s">
        <v>2641</v>
      </c>
      <c r="C3479" s="27">
        <v>7202</v>
      </c>
      <c r="D3479" s="14" t="s">
        <v>1812</v>
      </c>
      <c r="E3479" s="112"/>
      <c r="F3479" s="139" t="s">
        <v>10844</v>
      </c>
      <c r="G3479" s="140"/>
      <c r="H3479" s="141"/>
      <c r="I3479" s="26">
        <v>18253</v>
      </c>
      <c r="J3479" s="117"/>
      <c r="K3479" s="120"/>
      <c r="L3479" s="121"/>
      <c r="M3479" s="120"/>
      <c r="N3479" s="121"/>
      <c r="O3479" s="120"/>
      <c r="P3479" s="121"/>
      <c r="Q3479" s="120"/>
      <c r="R3479" s="121"/>
      <c r="S3479" s="120"/>
      <c r="T3479" s="121"/>
      <c r="U3479" s="120"/>
      <c r="V3479" s="123"/>
      <c r="W3479" s="125"/>
      <c r="X3479" s="142" t="s">
        <v>11314</v>
      </c>
      <c r="Y3479" s="143"/>
      <c r="Z3479" s="143"/>
      <c r="AA3479" s="143"/>
      <c r="AB3479" s="144"/>
      <c r="AC3479" s="16" t="s">
        <v>21</v>
      </c>
      <c r="AD3479" s="17" t="s">
        <v>2630</v>
      </c>
      <c r="AE3479" s="145" t="s">
        <v>9867</v>
      </c>
      <c r="AF3479" s="146"/>
      <c r="AG3479" s="146"/>
      <c r="AH3479" s="146"/>
      <c r="AI3479" s="147"/>
      <c r="AJ3479" s="148"/>
      <c r="AK3479" s="143"/>
      <c r="AL3479" s="144"/>
      <c r="AM3479" s="22"/>
      <c r="AN3479" s="149" t="s">
        <v>2794</v>
      </c>
      <c r="AO3479" s="144"/>
      <c r="AP3479" s="148">
        <v>5065</v>
      </c>
      <c r="AQ3479" s="144"/>
      <c r="AR3479" s="120"/>
      <c r="AS3479" s="121"/>
      <c r="AT3479" s="120"/>
      <c r="AU3479" s="121"/>
      <c r="AV3479" s="120"/>
      <c r="AW3479" s="121"/>
      <c r="AX3479" s="120"/>
      <c r="AY3479" s="121"/>
      <c r="AZ3479" s="138"/>
    </row>
    <row r="3480" spans="1:52" ht="17.100000000000001" customHeight="1" thickTop="1">
      <c r="A3480" s="109" t="s">
        <v>10829</v>
      </c>
      <c r="B3480" s="28">
        <v>45975</v>
      </c>
      <c r="C3480" s="25">
        <v>1394</v>
      </c>
      <c r="D3480" s="13" t="s">
        <v>4824</v>
      </c>
      <c r="E3480" s="111"/>
      <c r="F3480" s="113" t="s">
        <v>10845</v>
      </c>
      <c r="G3480" s="114"/>
      <c r="H3480" s="115"/>
      <c r="I3480" s="24"/>
      <c r="J3480" s="150" t="s">
        <v>1715</v>
      </c>
      <c r="K3480" s="118">
        <v>187000</v>
      </c>
      <c r="L3480" s="119"/>
      <c r="M3480" s="118">
        <f t="shared" ref="M3480" si="2953">K3480*0.1</f>
        <v>18700</v>
      </c>
      <c r="N3480" s="119"/>
      <c r="O3480" s="118">
        <v>0</v>
      </c>
      <c r="P3480" s="119"/>
      <c r="Q3480" s="118">
        <v>8400</v>
      </c>
      <c r="R3480" s="119"/>
      <c r="S3480" s="118">
        <v>13200</v>
      </c>
      <c r="T3480" s="119"/>
      <c r="U3480" s="118">
        <f t="shared" ref="U3480" si="2954">SUM(K3480:T3481)</f>
        <v>227300</v>
      </c>
      <c r="V3480" s="122"/>
      <c r="W3480" s="124"/>
      <c r="X3480" s="126" t="s">
        <v>11431</v>
      </c>
      <c r="Y3480" s="127"/>
      <c r="Z3480" s="127"/>
      <c r="AA3480" s="127"/>
      <c r="AB3480" s="128"/>
      <c r="AC3480" s="15" t="s">
        <v>20</v>
      </c>
      <c r="AD3480" s="129"/>
      <c r="AE3480" s="130"/>
      <c r="AF3480" s="130"/>
      <c r="AG3480" s="130"/>
      <c r="AH3480" s="130"/>
      <c r="AI3480" s="131"/>
      <c r="AJ3480" s="132"/>
      <c r="AK3480" s="127"/>
      <c r="AL3480" s="128"/>
      <c r="AM3480" s="21"/>
      <c r="AN3480" s="133">
        <v>46046</v>
      </c>
      <c r="AO3480" s="134"/>
      <c r="AP3480" s="135">
        <v>1285</v>
      </c>
      <c r="AQ3480" s="136"/>
      <c r="AR3480" s="118">
        <v>170000</v>
      </c>
      <c r="AS3480" s="119"/>
      <c r="AT3480" s="118">
        <f t="shared" ref="AT3480" si="2955">AR3480*0.1</f>
        <v>17000</v>
      </c>
      <c r="AU3480" s="119"/>
      <c r="AV3480" s="118">
        <v>8400</v>
      </c>
      <c r="AW3480" s="119"/>
      <c r="AX3480" s="118">
        <f t="shared" ref="AX3480" si="2956">SUM(AR3480:AW3480)</f>
        <v>195400</v>
      </c>
      <c r="AY3480" s="119"/>
      <c r="AZ3480" s="137">
        <v>46049</v>
      </c>
    </row>
    <row r="3481" spans="1:52" ht="17.100000000000001" customHeight="1" thickBot="1">
      <c r="A3481" s="110"/>
      <c r="B3481" s="27" t="s">
        <v>2641</v>
      </c>
      <c r="C3481" s="27">
        <v>9081</v>
      </c>
      <c r="D3481" s="14" t="s">
        <v>904</v>
      </c>
      <c r="E3481" s="112"/>
      <c r="F3481" s="139" t="s">
        <v>10846</v>
      </c>
      <c r="G3481" s="140"/>
      <c r="H3481" s="141"/>
      <c r="I3481" s="26">
        <v>172647</v>
      </c>
      <c r="J3481" s="117"/>
      <c r="K3481" s="120"/>
      <c r="L3481" s="121"/>
      <c r="M3481" s="120"/>
      <c r="N3481" s="121"/>
      <c r="O3481" s="120"/>
      <c r="P3481" s="121"/>
      <c r="Q3481" s="120"/>
      <c r="R3481" s="121"/>
      <c r="S3481" s="120"/>
      <c r="T3481" s="121"/>
      <c r="U3481" s="120"/>
      <c r="V3481" s="123"/>
      <c r="W3481" s="125"/>
      <c r="X3481" s="142" t="s">
        <v>1997</v>
      </c>
      <c r="Y3481" s="143"/>
      <c r="Z3481" s="143"/>
      <c r="AA3481" s="143"/>
      <c r="AB3481" s="144"/>
      <c r="AC3481" s="16" t="s">
        <v>21</v>
      </c>
      <c r="AD3481" s="17" t="s">
        <v>2218</v>
      </c>
      <c r="AE3481" s="145"/>
      <c r="AF3481" s="146"/>
      <c r="AG3481" s="146"/>
      <c r="AH3481" s="146"/>
      <c r="AI3481" s="147"/>
      <c r="AJ3481" s="148"/>
      <c r="AK3481" s="143"/>
      <c r="AL3481" s="144"/>
      <c r="AM3481" s="22"/>
      <c r="AN3481" s="149" t="s">
        <v>2511</v>
      </c>
      <c r="AO3481" s="144"/>
      <c r="AP3481" s="148">
        <v>60047</v>
      </c>
      <c r="AQ3481" s="144"/>
      <c r="AR3481" s="120"/>
      <c r="AS3481" s="121"/>
      <c r="AT3481" s="120"/>
      <c r="AU3481" s="121"/>
      <c r="AV3481" s="120"/>
      <c r="AW3481" s="121"/>
      <c r="AX3481" s="120"/>
      <c r="AY3481" s="121"/>
      <c r="AZ3481" s="138"/>
    </row>
    <row r="3482" spans="1:52" ht="17.100000000000001" customHeight="1" thickTop="1">
      <c r="A3482" s="109" t="s">
        <v>10944</v>
      </c>
      <c r="B3482" s="28">
        <v>45975</v>
      </c>
      <c r="C3482" s="25">
        <v>1394</v>
      </c>
      <c r="D3482" s="13" t="s">
        <v>2166</v>
      </c>
      <c r="E3482" s="111"/>
      <c r="F3482" s="113" t="s">
        <v>4274</v>
      </c>
      <c r="G3482" s="114"/>
      <c r="H3482" s="115"/>
      <c r="I3482" s="24" t="s">
        <v>10855</v>
      </c>
      <c r="J3482" s="116">
        <v>3.5</v>
      </c>
      <c r="K3482" s="118">
        <v>202000</v>
      </c>
      <c r="L3482" s="119"/>
      <c r="M3482" s="118">
        <f t="shared" ref="M3482" si="2957">K3482*0.1</f>
        <v>20200</v>
      </c>
      <c r="N3482" s="119"/>
      <c r="O3482" s="118">
        <v>0</v>
      </c>
      <c r="P3482" s="119"/>
      <c r="Q3482" s="118">
        <v>8670</v>
      </c>
      <c r="R3482" s="119"/>
      <c r="S3482" s="118">
        <v>13200</v>
      </c>
      <c r="T3482" s="119"/>
      <c r="U3482" s="118">
        <f t="shared" ref="U3482" si="2958">SUM(K3482:T3483)</f>
        <v>244070</v>
      </c>
      <c r="V3482" s="122"/>
      <c r="W3482" s="124"/>
      <c r="X3482" s="126" t="s">
        <v>11430</v>
      </c>
      <c r="Y3482" s="127"/>
      <c r="Z3482" s="127"/>
      <c r="AA3482" s="127"/>
      <c r="AB3482" s="128"/>
      <c r="AC3482" s="15" t="s">
        <v>20</v>
      </c>
      <c r="AD3482" s="129" t="s">
        <v>171</v>
      </c>
      <c r="AE3482" s="130"/>
      <c r="AF3482" s="130"/>
      <c r="AG3482" s="130"/>
      <c r="AH3482" s="130"/>
      <c r="AI3482" s="131"/>
      <c r="AJ3482" s="132"/>
      <c r="AK3482" s="127"/>
      <c r="AL3482" s="128"/>
      <c r="AM3482" s="21"/>
      <c r="AN3482" s="133">
        <v>45980</v>
      </c>
      <c r="AO3482" s="134"/>
      <c r="AP3482" s="135">
        <v>993</v>
      </c>
      <c r="AQ3482" s="136"/>
      <c r="AR3482" s="118">
        <v>261000</v>
      </c>
      <c r="AS3482" s="119"/>
      <c r="AT3482" s="118">
        <f t="shared" ref="AT3482" si="2959">AR3482*0.1</f>
        <v>26100</v>
      </c>
      <c r="AU3482" s="119"/>
      <c r="AV3482" s="118">
        <v>8670</v>
      </c>
      <c r="AW3482" s="119"/>
      <c r="AX3482" s="118">
        <f t="shared" ref="AX3482" si="2960">SUM(AR3482:AW3482)</f>
        <v>295770</v>
      </c>
      <c r="AY3482" s="119"/>
      <c r="AZ3482" s="137">
        <v>45986</v>
      </c>
    </row>
    <row r="3483" spans="1:52" ht="17.100000000000001" customHeight="1" thickBot="1">
      <c r="A3483" s="110"/>
      <c r="B3483" s="27" t="s">
        <v>2641</v>
      </c>
      <c r="C3483" s="27">
        <v>9103</v>
      </c>
      <c r="D3483" s="14" t="s">
        <v>2800</v>
      </c>
      <c r="E3483" s="112"/>
      <c r="F3483" s="139" t="s">
        <v>10847</v>
      </c>
      <c r="G3483" s="140"/>
      <c r="H3483" s="141"/>
      <c r="I3483" s="26">
        <v>97185</v>
      </c>
      <c r="J3483" s="117"/>
      <c r="K3483" s="120"/>
      <c r="L3483" s="121"/>
      <c r="M3483" s="120"/>
      <c r="N3483" s="121"/>
      <c r="O3483" s="120"/>
      <c r="P3483" s="121"/>
      <c r="Q3483" s="120"/>
      <c r="R3483" s="121"/>
      <c r="S3483" s="120"/>
      <c r="T3483" s="121"/>
      <c r="U3483" s="120"/>
      <c r="V3483" s="123"/>
      <c r="W3483" s="125"/>
      <c r="X3483" s="142" t="s">
        <v>11167</v>
      </c>
      <c r="Y3483" s="143"/>
      <c r="Z3483" s="143"/>
      <c r="AA3483" s="143"/>
      <c r="AB3483" s="144"/>
      <c r="AC3483" s="16" t="s">
        <v>21</v>
      </c>
      <c r="AD3483" s="17" t="s">
        <v>11105</v>
      </c>
      <c r="AE3483" s="145" t="s">
        <v>4134</v>
      </c>
      <c r="AF3483" s="146"/>
      <c r="AG3483" s="146"/>
      <c r="AH3483" s="146"/>
      <c r="AI3483" s="147"/>
      <c r="AJ3483" s="148"/>
      <c r="AK3483" s="143"/>
      <c r="AL3483" s="144"/>
      <c r="AM3483" s="22"/>
      <c r="AN3483" s="149" t="s">
        <v>2794</v>
      </c>
      <c r="AO3483" s="144"/>
      <c r="AP3483" s="148">
        <v>3073</v>
      </c>
      <c r="AQ3483" s="144"/>
      <c r="AR3483" s="120"/>
      <c r="AS3483" s="121"/>
      <c r="AT3483" s="120"/>
      <c r="AU3483" s="121"/>
      <c r="AV3483" s="120"/>
      <c r="AW3483" s="121"/>
      <c r="AX3483" s="120"/>
      <c r="AY3483" s="121"/>
      <c r="AZ3483" s="138"/>
    </row>
    <row r="3484" spans="1:52" ht="17.100000000000001" customHeight="1" thickTop="1">
      <c r="A3484" s="109" t="s">
        <v>10945</v>
      </c>
      <c r="B3484" s="28">
        <v>45976</v>
      </c>
      <c r="C3484" s="25">
        <v>287</v>
      </c>
      <c r="D3484" s="13" t="s">
        <v>1853</v>
      </c>
      <c r="E3484" s="111"/>
      <c r="F3484" s="113" t="s">
        <v>10863</v>
      </c>
      <c r="G3484" s="114"/>
      <c r="H3484" s="115"/>
      <c r="I3484" s="24"/>
      <c r="J3484" s="116">
        <v>4</v>
      </c>
      <c r="K3484" s="118">
        <v>1067000</v>
      </c>
      <c r="L3484" s="119"/>
      <c r="M3484" s="118">
        <f t="shared" ref="M3484" si="2961">K3484*0.1</f>
        <v>106700</v>
      </c>
      <c r="N3484" s="119"/>
      <c r="O3484" s="118">
        <v>0</v>
      </c>
      <c r="P3484" s="119"/>
      <c r="Q3484" s="118">
        <v>8510</v>
      </c>
      <c r="R3484" s="119"/>
      <c r="S3484" s="118">
        <v>15950</v>
      </c>
      <c r="T3484" s="119"/>
      <c r="U3484" s="118">
        <f t="shared" ref="U3484" si="2962">SUM(K3484:T3485)</f>
        <v>1198160</v>
      </c>
      <c r="V3484" s="122"/>
      <c r="W3484" s="124"/>
      <c r="X3484" s="126" t="s">
        <v>11197</v>
      </c>
      <c r="Y3484" s="127"/>
      <c r="Z3484" s="127"/>
      <c r="AA3484" s="127"/>
      <c r="AB3484" s="128"/>
      <c r="AC3484" s="15" t="s">
        <v>20</v>
      </c>
      <c r="AD3484" s="129"/>
      <c r="AE3484" s="130"/>
      <c r="AF3484" s="130"/>
      <c r="AG3484" s="130"/>
      <c r="AH3484" s="130"/>
      <c r="AI3484" s="131"/>
      <c r="AJ3484" s="132"/>
      <c r="AK3484" s="127"/>
      <c r="AL3484" s="128"/>
      <c r="AM3484" s="21"/>
      <c r="AN3484" s="133">
        <v>46008</v>
      </c>
      <c r="AO3484" s="134"/>
      <c r="AP3484" s="135">
        <v>997</v>
      </c>
      <c r="AQ3484" s="136"/>
      <c r="AR3484" s="118">
        <v>1130000</v>
      </c>
      <c r="AS3484" s="119"/>
      <c r="AT3484" s="118">
        <f t="shared" ref="AT3484" si="2963">AR3484*0.1</f>
        <v>113000</v>
      </c>
      <c r="AU3484" s="119"/>
      <c r="AV3484" s="118">
        <v>8510</v>
      </c>
      <c r="AW3484" s="119"/>
      <c r="AX3484" s="118">
        <f t="shared" ref="AX3484" si="2964">SUM(AR3484:AW3484)</f>
        <v>1251510</v>
      </c>
      <c r="AY3484" s="119"/>
      <c r="AZ3484" s="137">
        <v>46013</v>
      </c>
    </row>
    <row r="3485" spans="1:52" ht="17.100000000000001" customHeight="1" thickBot="1">
      <c r="A3485" s="110"/>
      <c r="B3485" s="27" t="s">
        <v>3574</v>
      </c>
      <c r="C3485" s="27">
        <v>3143</v>
      </c>
      <c r="D3485" s="14" t="s">
        <v>275</v>
      </c>
      <c r="E3485" s="112"/>
      <c r="F3485" s="139" t="s">
        <v>10864</v>
      </c>
      <c r="G3485" s="140"/>
      <c r="H3485" s="141"/>
      <c r="I3485" s="26">
        <v>21406</v>
      </c>
      <c r="J3485" s="117"/>
      <c r="K3485" s="120"/>
      <c r="L3485" s="121"/>
      <c r="M3485" s="120"/>
      <c r="N3485" s="121"/>
      <c r="O3485" s="120"/>
      <c r="P3485" s="121"/>
      <c r="Q3485" s="120"/>
      <c r="R3485" s="121"/>
      <c r="S3485" s="120"/>
      <c r="T3485" s="121"/>
      <c r="U3485" s="120"/>
      <c r="V3485" s="123"/>
      <c r="W3485" s="125"/>
      <c r="X3485" s="142" t="s">
        <v>11198</v>
      </c>
      <c r="Y3485" s="143"/>
      <c r="Z3485" s="143"/>
      <c r="AA3485" s="143"/>
      <c r="AB3485" s="144"/>
      <c r="AC3485" s="16" t="s">
        <v>21</v>
      </c>
      <c r="AD3485" s="17" t="s">
        <v>11105</v>
      </c>
      <c r="AE3485" s="145" t="s">
        <v>10326</v>
      </c>
      <c r="AF3485" s="146"/>
      <c r="AG3485" s="146"/>
      <c r="AH3485" s="146"/>
      <c r="AI3485" s="147"/>
      <c r="AJ3485" s="148"/>
      <c r="AK3485" s="143"/>
      <c r="AL3485" s="144"/>
      <c r="AM3485" s="22"/>
      <c r="AN3485" s="149" t="s">
        <v>2794</v>
      </c>
      <c r="AO3485" s="144"/>
      <c r="AP3485" s="148">
        <v>2047</v>
      </c>
      <c r="AQ3485" s="144"/>
      <c r="AR3485" s="120"/>
      <c r="AS3485" s="121"/>
      <c r="AT3485" s="120"/>
      <c r="AU3485" s="121"/>
      <c r="AV3485" s="120"/>
      <c r="AW3485" s="121"/>
      <c r="AX3485" s="120"/>
      <c r="AY3485" s="121"/>
      <c r="AZ3485" s="138"/>
    </row>
    <row r="3486" spans="1:52" ht="17.100000000000001" customHeight="1" thickTop="1">
      <c r="A3486" s="109" t="s">
        <v>10946</v>
      </c>
      <c r="B3486" s="28">
        <v>45976</v>
      </c>
      <c r="C3486" s="25">
        <v>998</v>
      </c>
      <c r="D3486" s="13" t="s">
        <v>1697</v>
      </c>
      <c r="E3486" s="111"/>
      <c r="F3486" s="113" t="s">
        <v>10446</v>
      </c>
      <c r="G3486" s="114"/>
      <c r="H3486" s="115"/>
      <c r="I3486" s="24"/>
      <c r="J3486" s="116">
        <v>4.5</v>
      </c>
      <c r="K3486" s="118">
        <v>1428000</v>
      </c>
      <c r="L3486" s="119"/>
      <c r="M3486" s="118">
        <f t="shared" ref="M3486" si="2965">K3486*0.1</f>
        <v>142800</v>
      </c>
      <c r="N3486" s="119"/>
      <c r="O3486" s="118">
        <v>0</v>
      </c>
      <c r="P3486" s="119"/>
      <c r="Q3486" s="118">
        <v>12470</v>
      </c>
      <c r="R3486" s="119"/>
      <c r="S3486" s="118">
        <v>19250</v>
      </c>
      <c r="T3486" s="119"/>
      <c r="U3486" s="118">
        <f t="shared" ref="U3486" si="2966">SUM(K3486:T3487)</f>
        <v>1602520</v>
      </c>
      <c r="V3486" s="122"/>
      <c r="W3486" s="124"/>
      <c r="X3486" s="126" t="s">
        <v>11322</v>
      </c>
      <c r="Y3486" s="127"/>
      <c r="Z3486" s="127"/>
      <c r="AA3486" s="127"/>
      <c r="AB3486" s="128"/>
      <c r="AC3486" s="15" t="s">
        <v>20</v>
      </c>
      <c r="AD3486" s="129" t="s">
        <v>1670</v>
      </c>
      <c r="AE3486" s="130"/>
      <c r="AF3486" s="130"/>
      <c r="AG3486" s="130"/>
      <c r="AH3486" s="130"/>
      <c r="AI3486" s="131"/>
      <c r="AJ3486" s="132"/>
      <c r="AK3486" s="127"/>
      <c r="AL3486" s="128"/>
      <c r="AM3486" s="21"/>
      <c r="AN3486" s="133">
        <v>45988</v>
      </c>
      <c r="AO3486" s="134"/>
      <c r="AP3486" s="135">
        <v>1308</v>
      </c>
      <c r="AQ3486" s="136"/>
      <c r="AR3486" s="118">
        <v>1595000</v>
      </c>
      <c r="AS3486" s="119"/>
      <c r="AT3486" s="118">
        <f t="shared" ref="AT3486" si="2967">AR3486*0.1</f>
        <v>159500</v>
      </c>
      <c r="AU3486" s="119"/>
      <c r="AV3486" s="118">
        <v>12470</v>
      </c>
      <c r="AW3486" s="119"/>
      <c r="AX3486" s="118">
        <f t="shared" ref="AX3486" si="2968">SUM(AR3486:AW3486)</f>
        <v>1766970</v>
      </c>
      <c r="AY3486" s="119"/>
      <c r="AZ3486" s="137">
        <v>45989</v>
      </c>
    </row>
    <row r="3487" spans="1:52" ht="17.100000000000001" customHeight="1" thickBot="1">
      <c r="A3487" s="110"/>
      <c r="B3487" s="27" t="s">
        <v>1707</v>
      </c>
      <c r="C3487" s="27">
        <v>5001</v>
      </c>
      <c r="D3487" s="14" t="s">
        <v>2836</v>
      </c>
      <c r="E3487" s="112"/>
      <c r="F3487" s="139" t="s">
        <v>10862</v>
      </c>
      <c r="G3487" s="140"/>
      <c r="H3487" s="141"/>
      <c r="I3487" s="26">
        <v>19633</v>
      </c>
      <c r="J3487" s="117"/>
      <c r="K3487" s="120"/>
      <c r="L3487" s="121"/>
      <c r="M3487" s="120"/>
      <c r="N3487" s="121"/>
      <c r="O3487" s="120"/>
      <c r="P3487" s="121"/>
      <c r="Q3487" s="120"/>
      <c r="R3487" s="121"/>
      <c r="S3487" s="120"/>
      <c r="T3487" s="121"/>
      <c r="U3487" s="120"/>
      <c r="V3487" s="123"/>
      <c r="W3487" s="125"/>
      <c r="X3487" s="142" t="s">
        <v>4970</v>
      </c>
      <c r="Y3487" s="143"/>
      <c r="Z3487" s="143"/>
      <c r="AA3487" s="143"/>
      <c r="AB3487" s="144"/>
      <c r="AC3487" s="16" t="s">
        <v>21</v>
      </c>
      <c r="AD3487" s="17" t="s">
        <v>2630</v>
      </c>
      <c r="AE3487" s="145" t="s">
        <v>11217</v>
      </c>
      <c r="AF3487" s="146"/>
      <c r="AG3487" s="146"/>
      <c r="AH3487" s="146"/>
      <c r="AI3487" s="147"/>
      <c r="AJ3487" s="148"/>
      <c r="AK3487" s="143"/>
      <c r="AL3487" s="144"/>
      <c r="AM3487" s="22"/>
      <c r="AN3487" s="149" t="s">
        <v>1747</v>
      </c>
      <c r="AO3487" s="144"/>
      <c r="AP3487" s="148">
        <v>539</v>
      </c>
      <c r="AQ3487" s="144"/>
      <c r="AR3487" s="120"/>
      <c r="AS3487" s="121"/>
      <c r="AT3487" s="120"/>
      <c r="AU3487" s="121"/>
      <c r="AV3487" s="120"/>
      <c r="AW3487" s="121"/>
      <c r="AX3487" s="120"/>
      <c r="AY3487" s="121"/>
      <c r="AZ3487" s="138"/>
    </row>
    <row r="3488" spans="1:52" ht="17.100000000000001" customHeight="1" thickTop="1">
      <c r="A3488" s="109" t="s">
        <v>10947</v>
      </c>
      <c r="B3488" s="28">
        <v>45976</v>
      </c>
      <c r="C3488" s="25">
        <v>1519</v>
      </c>
      <c r="D3488" s="13" t="s">
        <v>2442</v>
      </c>
      <c r="E3488" s="111"/>
      <c r="F3488" s="113" t="s">
        <v>10890</v>
      </c>
      <c r="G3488" s="114"/>
      <c r="H3488" s="115"/>
      <c r="I3488" s="24" t="s">
        <v>4037</v>
      </c>
      <c r="J3488" s="116">
        <v>4.5</v>
      </c>
      <c r="K3488" s="118">
        <v>1790000</v>
      </c>
      <c r="L3488" s="119"/>
      <c r="M3488" s="118">
        <f t="shared" ref="M3488" si="2969">K3488*0.1</f>
        <v>179000</v>
      </c>
      <c r="N3488" s="119"/>
      <c r="O3488" s="118">
        <v>0</v>
      </c>
      <c r="P3488" s="119"/>
      <c r="Q3488" s="118">
        <v>16040</v>
      </c>
      <c r="R3488" s="119"/>
      <c r="S3488" s="118">
        <v>16500</v>
      </c>
      <c r="T3488" s="119"/>
      <c r="U3488" s="118">
        <f t="shared" ref="U3488" si="2970">SUM(K3488:T3489)</f>
        <v>2001540</v>
      </c>
      <c r="V3488" s="122"/>
      <c r="W3488" s="124"/>
      <c r="X3488" s="126" t="s">
        <v>11477</v>
      </c>
      <c r="Y3488" s="127"/>
      <c r="Z3488" s="127"/>
      <c r="AA3488" s="127"/>
      <c r="AB3488" s="128"/>
      <c r="AC3488" s="15" t="s">
        <v>20</v>
      </c>
      <c r="AD3488" s="129" t="s">
        <v>1633</v>
      </c>
      <c r="AE3488" s="130"/>
      <c r="AF3488" s="130"/>
      <c r="AG3488" s="130"/>
      <c r="AH3488" s="130"/>
      <c r="AI3488" s="131"/>
      <c r="AJ3488" s="132"/>
      <c r="AK3488" s="127"/>
      <c r="AL3488" s="128"/>
      <c r="AM3488" s="21"/>
      <c r="AN3488" s="133">
        <v>45981</v>
      </c>
      <c r="AO3488" s="134"/>
      <c r="AP3488" s="135">
        <v>1307</v>
      </c>
      <c r="AQ3488" s="136"/>
      <c r="AR3488" s="118">
        <v>2055000</v>
      </c>
      <c r="AS3488" s="119"/>
      <c r="AT3488" s="118">
        <f t="shared" ref="AT3488" si="2971">AR3488*0.1</f>
        <v>205500</v>
      </c>
      <c r="AU3488" s="119"/>
      <c r="AV3488" s="118">
        <v>16040</v>
      </c>
      <c r="AW3488" s="119"/>
      <c r="AX3488" s="118">
        <f t="shared" ref="AX3488" si="2972">SUM(AR3488:AW3488)</f>
        <v>2276540</v>
      </c>
      <c r="AY3488" s="119"/>
      <c r="AZ3488" s="137">
        <v>45982</v>
      </c>
    </row>
    <row r="3489" spans="1:52" ht="17.100000000000001" customHeight="1" thickBot="1">
      <c r="A3489" s="110"/>
      <c r="B3489" s="27" t="s">
        <v>1555</v>
      </c>
      <c r="C3489" s="27">
        <v>83294</v>
      </c>
      <c r="D3489" s="14" t="s">
        <v>133</v>
      </c>
      <c r="E3489" s="112"/>
      <c r="F3489" s="139" t="s">
        <v>10891</v>
      </c>
      <c r="G3489" s="140"/>
      <c r="H3489" s="141"/>
      <c r="I3489" s="26">
        <v>70535</v>
      </c>
      <c r="J3489" s="117"/>
      <c r="K3489" s="120"/>
      <c r="L3489" s="121"/>
      <c r="M3489" s="120"/>
      <c r="N3489" s="121"/>
      <c r="O3489" s="120"/>
      <c r="P3489" s="121"/>
      <c r="Q3489" s="120"/>
      <c r="R3489" s="121"/>
      <c r="S3489" s="120"/>
      <c r="T3489" s="121"/>
      <c r="U3489" s="120"/>
      <c r="V3489" s="123"/>
      <c r="W3489" s="125"/>
      <c r="X3489" s="142" t="s">
        <v>3789</v>
      </c>
      <c r="Y3489" s="143"/>
      <c r="Z3489" s="143"/>
      <c r="AA3489" s="143"/>
      <c r="AB3489" s="144"/>
      <c r="AC3489" s="16" t="s">
        <v>21</v>
      </c>
      <c r="AD3489" s="17" t="s">
        <v>11478</v>
      </c>
      <c r="AE3489" s="145" t="s">
        <v>1742</v>
      </c>
      <c r="AF3489" s="146"/>
      <c r="AG3489" s="146"/>
      <c r="AH3489" s="146"/>
      <c r="AI3489" s="147"/>
      <c r="AJ3489" s="148"/>
      <c r="AK3489" s="143"/>
      <c r="AL3489" s="144"/>
      <c r="AM3489" s="22"/>
      <c r="AN3489" s="149" t="s">
        <v>1747</v>
      </c>
      <c r="AO3489" s="144"/>
      <c r="AP3489" s="148">
        <v>202</v>
      </c>
      <c r="AQ3489" s="144"/>
      <c r="AR3489" s="120"/>
      <c r="AS3489" s="121"/>
      <c r="AT3489" s="120"/>
      <c r="AU3489" s="121"/>
      <c r="AV3489" s="120"/>
      <c r="AW3489" s="121"/>
      <c r="AX3489" s="120"/>
      <c r="AY3489" s="121"/>
      <c r="AZ3489" s="138"/>
    </row>
    <row r="3490" spans="1:52" ht="17.100000000000001" customHeight="1" thickTop="1">
      <c r="A3490" s="109" t="s">
        <v>10948</v>
      </c>
      <c r="B3490" s="28">
        <v>45976</v>
      </c>
      <c r="C3490" s="25">
        <v>1698</v>
      </c>
      <c r="D3490" s="13" t="s">
        <v>10976</v>
      </c>
      <c r="E3490" s="111"/>
      <c r="F3490" s="113" t="s">
        <v>10977</v>
      </c>
      <c r="G3490" s="114"/>
      <c r="H3490" s="115"/>
      <c r="I3490" s="24" t="s">
        <v>10978</v>
      </c>
      <c r="J3490" s="116">
        <v>4.5</v>
      </c>
      <c r="K3490" s="118">
        <v>1650000</v>
      </c>
      <c r="L3490" s="119"/>
      <c r="M3490" s="118">
        <f t="shared" ref="M3490" si="2973">K3490*0.1</f>
        <v>165000</v>
      </c>
      <c r="N3490" s="119"/>
      <c r="O3490" s="118">
        <f>1310+13100</f>
        <v>14410</v>
      </c>
      <c r="P3490" s="119"/>
      <c r="Q3490" s="118">
        <v>15180</v>
      </c>
      <c r="R3490" s="119"/>
      <c r="S3490" s="118">
        <v>23100</v>
      </c>
      <c r="T3490" s="119"/>
      <c r="U3490" s="118">
        <f t="shared" ref="U3490" si="2974">SUM(K3490:T3491)</f>
        <v>1867690</v>
      </c>
      <c r="V3490" s="122"/>
      <c r="W3490" s="124"/>
      <c r="X3490" s="126" t="s">
        <v>10979</v>
      </c>
      <c r="Y3490" s="127"/>
      <c r="Z3490" s="127"/>
      <c r="AA3490" s="127"/>
      <c r="AB3490" s="128"/>
      <c r="AC3490" s="15" t="s">
        <v>20</v>
      </c>
      <c r="AD3490" s="129" t="s">
        <v>10913</v>
      </c>
      <c r="AE3490" s="130"/>
      <c r="AF3490" s="130"/>
      <c r="AG3490" s="130"/>
      <c r="AH3490" s="130"/>
      <c r="AI3490" s="131"/>
      <c r="AJ3490" s="132"/>
      <c r="AK3490" s="127"/>
      <c r="AL3490" s="128"/>
      <c r="AM3490" s="21"/>
      <c r="AN3490" s="133"/>
      <c r="AO3490" s="134"/>
      <c r="AP3490" s="135"/>
      <c r="AQ3490" s="136"/>
      <c r="AR3490" s="118"/>
      <c r="AS3490" s="119"/>
      <c r="AT3490" s="118">
        <f t="shared" ref="AT3490" si="2975">AR3490*0.1</f>
        <v>0</v>
      </c>
      <c r="AU3490" s="119"/>
      <c r="AV3490" s="118"/>
      <c r="AW3490" s="119"/>
      <c r="AX3490" s="118">
        <f t="shared" ref="AX3490" si="2976">SUM(AR3490:AW3490)</f>
        <v>0</v>
      </c>
      <c r="AY3490" s="119"/>
      <c r="AZ3490" s="137"/>
    </row>
    <row r="3491" spans="1:52" ht="17.100000000000001" customHeight="1" thickBot="1">
      <c r="A3491" s="110"/>
      <c r="B3491" s="27" t="s">
        <v>10949</v>
      </c>
      <c r="C3491" s="27">
        <v>501</v>
      </c>
      <c r="D3491" s="14" t="s">
        <v>10971</v>
      </c>
      <c r="E3491" s="112"/>
      <c r="F3491" s="139" t="s">
        <v>10950</v>
      </c>
      <c r="G3491" s="140"/>
      <c r="H3491" s="141"/>
      <c r="I3491" s="26">
        <v>55193</v>
      </c>
      <c r="J3491" s="117"/>
      <c r="K3491" s="120"/>
      <c r="L3491" s="121"/>
      <c r="M3491" s="120"/>
      <c r="N3491" s="121"/>
      <c r="O3491" s="120"/>
      <c r="P3491" s="121"/>
      <c r="Q3491" s="120"/>
      <c r="R3491" s="121"/>
      <c r="S3491" s="120"/>
      <c r="T3491" s="121"/>
      <c r="U3491" s="120"/>
      <c r="V3491" s="123"/>
      <c r="W3491" s="125"/>
      <c r="X3491" s="142" t="s">
        <v>5168</v>
      </c>
      <c r="Y3491" s="143"/>
      <c r="Z3491" s="143"/>
      <c r="AA3491" s="143"/>
      <c r="AB3491" s="144"/>
      <c r="AC3491" s="16" t="s">
        <v>21</v>
      </c>
      <c r="AD3491" s="17" t="s">
        <v>2630</v>
      </c>
      <c r="AE3491" s="145" t="s">
        <v>1670</v>
      </c>
      <c r="AF3491" s="146"/>
      <c r="AG3491" s="146"/>
      <c r="AH3491" s="146"/>
      <c r="AI3491" s="147"/>
      <c r="AJ3491" s="148"/>
      <c r="AK3491" s="143"/>
      <c r="AL3491" s="144"/>
      <c r="AM3491" s="22" t="s">
        <v>3483</v>
      </c>
      <c r="AN3491" s="149"/>
      <c r="AO3491" s="144"/>
      <c r="AP3491" s="148"/>
      <c r="AQ3491" s="144"/>
      <c r="AR3491" s="120"/>
      <c r="AS3491" s="121"/>
      <c r="AT3491" s="120"/>
      <c r="AU3491" s="121"/>
      <c r="AV3491" s="120"/>
      <c r="AW3491" s="121"/>
      <c r="AX3491" s="120"/>
      <c r="AY3491" s="121"/>
      <c r="AZ3491" s="138"/>
    </row>
    <row r="3492" spans="1:52" ht="17.100000000000001" customHeight="1" thickTop="1">
      <c r="A3492" s="109" t="s">
        <v>10951</v>
      </c>
      <c r="B3492" s="28">
        <v>45976</v>
      </c>
      <c r="C3492" s="25">
        <v>1276</v>
      </c>
      <c r="D3492" s="13" t="s">
        <v>3381</v>
      </c>
      <c r="E3492" s="111"/>
      <c r="F3492" s="113" t="s">
        <v>10883</v>
      </c>
      <c r="G3492" s="114"/>
      <c r="H3492" s="115"/>
      <c r="I3492" s="24" t="s">
        <v>3819</v>
      </c>
      <c r="J3492" s="116">
        <v>4</v>
      </c>
      <c r="K3492" s="118">
        <v>1285000</v>
      </c>
      <c r="L3492" s="119"/>
      <c r="M3492" s="118">
        <f t="shared" ref="M3492" si="2977">K3492*0.1</f>
        <v>128500</v>
      </c>
      <c r="N3492" s="119"/>
      <c r="O3492" s="118">
        <f>13100+1310</f>
        <v>14410</v>
      </c>
      <c r="P3492" s="119"/>
      <c r="Q3492" s="118">
        <v>12030</v>
      </c>
      <c r="R3492" s="119"/>
      <c r="S3492" s="118">
        <v>12100</v>
      </c>
      <c r="T3492" s="119"/>
      <c r="U3492" s="118">
        <f t="shared" ref="U3492" si="2978">SUM(K3492:T3493)</f>
        <v>1452040</v>
      </c>
      <c r="V3492" s="122"/>
      <c r="W3492" s="124"/>
      <c r="X3492" s="126" t="s">
        <v>10885</v>
      </c>
      <c r="Y3492" s="127"/>
      <c r="Z3492" s="127"/>
      <c r="AA3492" s="127"/>
      <c r="AB3492" s="128"/>
      <c r="AC3492" s="15" t="s">
        <v>20</v>
      </c>
      <c r="AD3492" s="129" t="s">
        <v>10886</v>
      </c>
      <c r="AE3492" s="130"/>
      <c r="AF3492" s="130"/>
      <c r="AG3492" s="130"/>
      <c r="AH3492" s="130"/>
      <c r="AI3492" s="131"/>
      <c r="AJ3492" s="132"/>
      <c r="AK3492" s="127"/>
      <c r="AL3492" s="128"/>
      <c r="AM3492" s="21"/>
      <c r="AN3492" s="133">
        <v>45987</v>
      </c>
      <c r="AO3492" s="134"/>
      <c r="AP3492" s="135">
        <v>994</v>
      </c>
      <c r="AQ3492" s="136"/>
      <c r="AR3492" s="118">
        <v>1550000</v>
      </c>
      <c r="AS3492" s="119"/>
      <c r="AT3492" s="118">
        <f t="shared" ref="AT3492" si="2979">AR3492*0.1</f>
        <v>155000</v>
      </c>
      <c r="AU3492" s="119"/>
      <c r="AV3492" s="118">
        <v>12030</v>
      </c>
      <c r="AW3492" s="119"/>
      <c r="AX3492" s="118">
        <f t="shared" ref="AX3492" si="2980">SUM(AR3492:AW3492)</f>
        <v>1717030</v>
      </c>
      <c r="AY3492" s="119"/>
      <c r="AZ3492" s="137">
        <v>45992</v>
      </c>
    </row>
    <row r="3493" spans="1:52" ht="17.100000000000001" customHeight="1" thickBot="1">
      <c r="A3493" s="110"/>
      <c r="B3493" s="27" t="s">
        <v>2511</v>
      </c>
      <c r="C3493" s="27">
        <v>37599</v>
      </c>
      <c r="D3493" s="14" t="s">
        <v>2601</v>
      </c>
      <c r="E3493" s="112"/>
      <c r="F3493" s="139" t="s">
        <v>10884</v>
      </c>
      <c r="G3493" s="140"/>
      <c r="H3493" s="141"/>
      <c r="I3493" s="26">
        <v>73513</v>
      </c>
      <c r="J3493" s="117"/>
      <c r="K3493" s="120"/>
      <c r="L3493" s="121"/>
      <c r="M3493" s="120"/>
      <c r="N3493" s="121"/>
      <c r="O3493" s="120"/>
      <c r="P3493" s="121"/>
      <c r="Q3493" s="120"/>
      <c r="R3493" s="121"/>
      <c r="S3493" s="120"/>
      <c r="T3493" s="121"/>
      <c r="U3493" s="120"/>
      <c r="V3493" s="123"/>
      <c r="W3493" s="125"/>
      <c r="X3493" s="142" t="s">
        <v>11775</v>
      </c>
      <c r="Y3493" s="143"/>
      <c r="Z3493" s="143"/>
      <c r="AA3493" s="143"/>
      <c r="AB3493" s="144"/>
      <c r="AC3493" s="16" t="s">
        <v>21</v>
      </c>
      <c r="AD3493" s="17" t="s">
        <v>11774</v>
      </c>
      <c r="AE3493" s="145" t="s">
        <v>11776</v>
      </c>
      <c r="AF3493" s="146"/>
      <c r="AG3493" s="146"/>
      <c r="AH3493" s="146"/>
      <c r="AI3493" s="147"/>
      <c r="AJ3493" s="148"/>
      <c r="AK3493" s="143"/>
      <c r="AL3493" s="144"/>
      <c r="AM3493" s="22"/>
      <c r="AN3493" s="149" t="s">
        <v>11801</v>
      </c>
      <c r="AO3493" s="144"/>
      <c r="AP3493" s="148">
        <v>6037</v>
      </c>
      <c r="AQ3493" s="144"/>
      <c r="AR3493" s="120"/>
      <c r="AS3493" s="121"/>
      <c r="AT3493" s="120"/>
      <c r="AU3493" s="121"/>
      <c r="AV3493" s="120"/>
      <c r="AW3493" s="121"/>
      <c r="AX3493" s="120"/>
      <c r="AY3493" s="121"/>
      <c r="AZ3493" s="138"/>
    </row>
    <row r="3494" spans="1:52" ht="17.100000000000001" customHeight="1" thickTop="1">
      <c r="A3494" s="109" t="s">
        <v>10952</v>
      </c>
      <c r="B3494" s="28">
        <v>45976</v>
      </c>
      <c r="C3494" s="25">
        <v>1276</v>
      </c>
      <c r="D3494" s="13" t="s">
        <v>1549</v>
      </c>
      <c r="E3494" s="111"/>
      <c r="F3494" s="113" t="s">
        <v>10867</v>
      </c>
      <c r="G3494" s="114"/>
      <c r="H3494" s="115"/>
      <c r="I3494" s="24"/>
      <c r="J3494" s="116">
        <v>4.5</v>
      </c>
      <c r="K3494" s="118">
        <v>1063000</v>
      </c>
      <c r="L3494" s="119"/>
      <c r="M3494" s="118">
        <v>0</v>
      </c>
      <c r="N3494" s="119"/>
      <c r="O3494" s="118">
        <v>13220</v>
      </c>
      <c r="P3494" s="119"/>
      <c r="Q3494" s="118">
        <v>0</v>
      </c>
      <c r="R3494" s="119"/>
      <c r="S3494" s="118">
        <v>9900</v>
      </c>
      <c r="T3494" s="119"/>
      <c r="U3494" s="118">
        <v>1086120</v>
      </c>
      <c r="V3494" s="122"/>
      <c r="W3494" s="124"/>
      <c r="X3494" s="126" t="s">
        <v>11646</v>
      </c>
      <c r="Y3494" s="127"/>
      <c r="Z3494" s="127"/>
      <c r="AA3494" s="127"/>
      <c r="AB3494" s="128"/>
      <c r="AC3494" s="15" t="s">
        <v>20</v>
      </c>
      <c r="AD3494" s="129"/>
      <c r="AE3494" s="130"/>
      <c r="AF3494" s="130"/>
      <c r="AG3494" s="130"/>
      <c r="AH3494" s="130"/>
      <c r="AI3494" s="131"/>
      <c r="AJ3494" s="132"/>
      <c r="AK3494" s="127"/>
      <c r="AL3494" s="128"/>
      <c r="AM3494" s="21"/>
      <c r="AN3494" s="133">
        <v>45980</v>
      </c>
      <c r="AO3494" s="134"/>
      <c r="AP3494" s="135">
        <v>993</v>
      </c>
      <c r="AQ3494" s="136"/>
      <c r="AR3494" s="118">
        <v>1300000</v>
      </c>
      <c r="AS3494" s="119"/>
      <c r="AT3494" s="118">
        <f t="shared" ref="AT3494" si="2981">AR3494*0.1</f>
        <v>130000</v>
      </c>
      <c r="AU3494" s="119"/>
      <c r="AV3494" s="118">
        <v>13220</v>
      </c>
      <c r="AW3494" s="119"/>
      <c r="AX3494" s="118">
        <f t="shared" ref="AX3494" si="2982">SUM(AR3494:AW3494)</f>
        <v>1443220</v>
      </c>
      <c r="AY3494" s="119"/>
      <c r="AZ3494" s="137">
        <v>45988</v>
      </c>
    </row>
    <row r="3495" spans="1:52" ht="17.100000000000001" customHeight="1" thickBot="1">
      <c r="A3495" s="110"/>
      <c r="B3495" s="27" t="s">
        <v>2511</v>
      </c>
      <c r="C3495" s="27">
        <v>53185</v>
      </c>
      <c r="D3495" s="14" t="s">
        <v>1720</v>
      </c>
      <c r="E3495" s="112"/>
      <c r="F3495" s="139" t="s">
        <v>10868</v>
      </c>
      <c r="G3495" s="140"/>
      <c r="H3495" s="141"/>
      <c r="I3495" s="26">
        <v>39119</v>
      </c>
      <c r="J3495" s="117"/>
      <c r="K3495" s="120"/>
      <c r="L3495" s="121"/>
      <c r="M3495" s="120"/>
      <c r="N3495" s="121"/>
      <c r="O3495" s="120"/>
      <c r="P3495" s="121"/>
      <c r="Q3495" s="120"/>
      <c r="R3495" s="121"/>
      <c r="S3495" s="120"/>
      <c r="T3495" s="121"/>
      <c r="U3495" s="120"/>
      <c r="V3495" s="123"/>
      <c r="W3495" s="125"/>
      <c r="X3495" s="142" t="s">
        <v>11647</v>
      </c>
      <c r="Y3495" s="143"/>
      <c r="Z3495" s="143"/>
      <c r="AA3495" s="143"/>
      <c r="AB3495" s="144"/>
      <c r="AC3495" s="16" t="s">
        <v>21</v>
      </c>
      <c r="AD3495" s="17" t="s">
        <v>11645</v>
      </c>
      <c r="AE3495" s="145" t="s">
        <v>11043</v>
      </c>
      <c r="AF3495" s="146"/>
      <c r="AG3495" s="146"/>
      <c r="AH3495" s="146"/>
      <c r="AI3495" s="147"/>
      <c r="AJ3495" s="148" t="s">
        <v>11044</v>
      </c>
      <c r="AK3495" s="143"/>
      <c r="AL3495" s="144"/>
      <c r="AM3495" s="22"/>
      <c r="AN3495" s="149" t="s">
        <v>2794</v>
      </c>
      <c r="AO3495" s="144"/>
      <c r="AP3495" s="148">
        <v>5084</v>
      </c>
      <c r="AQ3495" s="144"/>
      <c r="AR3495" s="120"/>
      <c r="AS3495" s="121"/>
      <c r="AT3495" s="120"/>
      <c r="AU3495" s="121"/>
      <c r="AV3495" s="120"/>
      <c r="AW3495" s="121"/>
      <c r="AX3495" s="120"/>
      <c r="AY3495" s="121"/>
      <c r="AZ3495" s="138"/>
    </row>
    <row r="3496" spans="1:52" ht="17.100000000000001" customHeight="1" thickTop="1">
      <c r="A3496" s="109" t="s">
        <v>10953</v>
      </c>
      <c r="B3496" s="28">
        <v>45976</v>
      </c>
      <c r="C3496" s="25">
        <v>1276</v>
      </c>
      <c r="D3496" s="13" t="s">
        <v>1902</v>
      </c>
      <c r="E3496" s="111"/>
      <c r="F3496" s="113" t="s">
        <v>10895</v>
      </c>
      <c r="G3496" s="114"/>
      <c r="H3496" s="115"/>
      <c r="I3496" s="24" t="s">
        <v>2861</v>
      </c>
      <c r="J3496" s="116">
        <v>4.5</v>
      </c>
      <c r="K3496" s="118">
        <v>1105000</v>
      </c>
      <c r="L3496" s="119"/>
      <c r="M3496" s="118">
        <f t="shared" ref="M3496" si="2983">K3496*0.1</f>
        <v>110500</v>
      </c>
      <c r="N3496" s="119"/>
      <c r="O3496" s="118">
        <v>0</v>
      </c>
      <c r="P3496" s="119"/>
      <c r="Q3496" s="118">
        <v>8740</v>
      </c>
      <c r="R3496" s="119"/>
      <c r="S3496" s="118">
        <v>9900</v>
      </c>
      <c r="T3496" s="119"/>
      <c r="U3496" s="118">
        <f t="shared" ref="U3496" si="2984">SUM(K3496:T3497)</f>
        <v>1234140</v>
      </c>
      <c r="V3496" s="122"/>
      <c r="W3496" s="124"/>
      <c r="X3496" s="126" t="s">
        <v>10897</v>
      </c>
      <c r="Y3496" s="127"/>
      <c r="Z3496" s="127"/>
      <c r="AA3496" s="127"/>
      <c r="AB3496" s="128"/>
      <c r="AC3496" s="15" t="s">
        <v>20</v>
      </c>
      <c r="AD3496" s="129"/>
      <c r="AE3496" s="130"/>
      <c r="AF3496" s="130"/>
      <c r="AG3496" s="130"/>
      <c r="AH3496" s="130"/>
      <c r="AI3496" s="131"/>
      <c r="AJ3496" s="132"/>
      <c r="AK3496" s="127"/>
      <c r="AL3496" s="128"/>
      <c r="AM3496" s="21"/>
      <c r="AN3496" s="133">
        <v>45987</v>
      </c>
      <c r="AO3496" s="134"/>
      <c r="AP3496" s="135">
        <v>994</v>
      </c>
      <c r="AQ3496" s="136"/>
      <c r="AR3496" s="118">
        <v>1225000</v>
      </c>
      <c r="AS3496" s="119"/>
      <c r="AT3496" s="118">
        <f t="shared" ref="AT3496" si="2985">AR3496*0.1</f>
        <v>122500</v>
      </c>
      <c r="AU3496" s="119"/>
      <c r="AV3496" s="118">
        <v>8740</v>
      </c>
      <c r="AW3496" s="119"/>
      <c r="AX3496" s="118">
        <f t="shared" ref="AX3496" si="2986">SUM(AR3496:AW3496)</f>
        <v>1356240</v>
      </c>
      <c r="AY3496" s="119"/>
      <c r="AZ3496" s="137">
        <v>45992</v>
      </c>
    </row>
    <row r="3497" spans="1:52" ht="17.100000000000001" customHeight="1" thickBot="1">
      <c r="A3497" s="110"/>
      <c r="B3497" s="27" t="s">
        <v>2511</v>
      </c>
      <c r="C3497" s="27">
        <v>60308</v>
      </c>
      <c r="D3497" s="14" t="s">
        <v>275</v>
      </c>
      <c r="E3497" s="112"/>
      <c r="F3497" s="139" t="s">
        <v>10896</v>
      </c>
      <c r="G3497" s="140"/>
      <c r="H3497" s="141"/>
      <c r="I3497" s="26">
        <v>49088</v>
      </c>
      <c r="J3497" s="117"/>
      <c r="K3497" s="120"/>
      <c r="L3497" s="121"/>
      <c r="M3497" s="120"/>
      <c r="N3497" s="121"/>
      <c r="O3497" s="120"/>
      <c r="P3497" s="121"/>
      <c r="Q3497" s="120"/>
      <c r="R3497" s="121"/>
      <c r="S3497" s="120"/>
      <c r="T3497" s="121"/>
      <c r="U3497" s="120"/>
      <c r="V3497" s="123"/>
      <c r="W3497" s="125"/>
      <c r="X3497" s="142" t="s">
        <v>11773</v>
      </c>
      <c r="Y3497" s="143"/>
      <c r="Z3497" s="143"/>
      <c r="AA3497" s="143"/>
      <c r="AB3497" s="144"/>
      <c r="AC3497" s="16" t="s">
        <v>21</v>
      </c>
      <c r="AD3497" s="17" t="s">
        <v>11774</v>
      </c>
      <c r="AE3497" s="145" t="s">
        <v>5302</v>
      </c>
      <c r="AF3497" s="146"/>
      <c r="AG3497" s="146"/>
      <c r="AH3497" s="146"/>
      <c r="AI3497" s="147"/>
      <c r="AJ3497" s="148" t="s">
        <v>11045</v>
      </c>
      <c r="AK3497" s="143"/>
      <c r="AL3497" s="144"/>
      <c r="AM3497" s="22"/>
      <c r="AN3497" s="149" t="s">
        <v>2794</v>
      </c>
      <c r="AO3497" s="144"/>
      <c r="AP3497" s="148">
        <v>2015</v>
      </c>
      <c r="AQ3497" s="144"/>
      <c r="AR3497" s="120"/>
      <c r="AS3497" s="121"/>
      <c r="AT3497" s="120"/>
      <c r="AU3497" s="121"/>
      <c r="AV3497" s="120"/>
      <c r="AW3497" s="121"/>
      <c r="AX3497" s="120"/>
      <c r="AY3497" s="121"/>
      <c r="AZ3497" s="138"/>
    </row>
    <row r="3498" spans="1:52" ht="17.100000000000001" customHeight="1" thickTop="1">
      <c r="A3498" s="109" t="s">
        <v>10954</v>
      </c>
      <c r="B3498" s="28">
        <v>45976</v>
      </c>
      <c r="C3498" s="25">
        <v>1276</v>
      </c>
      <c r="D3498" s="13" t="s">
        <v>3478</v>
      </c>
      <c r="E3498" s="111"/>
      <c r="F3498" s="113" t="s">
        <v>10869</v>
      </c>
      <c r="G3498" s="114"/>
      <c r="H3498" s="115"/>
      <c r="I3498" s="24" t="s">
        <v>10871</v>
      </c>
      <c r="J3498" s="116">
        <v>4</v>
      </c>
      <c r="K3498" s="118">
        <v>710000</v>
      </c>
      <c r="L3498" s="119"/>
      <c r="M3498" s="118">
        <f t="shared" ref="M3498" si="2987">K3498*0.1</f>
        <v>71000</v>
      </c>
      <c r="N3498" s="119"/>
      <c r="O3498" s="118">
        <v>0</v>
      </c>
      <c r="P3498" s="119"/>
      <c r="Q3498" s="118">
        <v>9200</v>
      </c>
      <c r="R3498" s="119"/>
      <c r="S3498" s="118">
        <v>13200</v>
      </c>
      <c r="T3498" s="119"/>
      <c r="U3498" s="118">
        <f t="shared" ref="U3498" si="2988">SUM(K3498:T3499)</f>
        <v>803400</v>
      </c>
      <c r="V3498" s="122"/>
      <c r="W3498" s="124"/>
      <c r="X3498" s="126" t="s">
        <v>10872</v>
      </c>
      <c r="Y3498" s="127"/>
      <c r="Z3498" s="127"/>
      <c r="AA3498" s="127"/>
      <c r="AB3498" s="128"/>
      <c r="AC3498" s="15" t="s">
        <v>20</v>
      </c>
      <c r="AD3498" s="129"/>
      <c r="AE3498" s="130"/>
      <c r="AF3498" s="130"/>
      <c r="AG3498" s="130"/>
      <c r="AH3498" s="130"/>
      <c r="AI3498" s="131"/>
      <c r="AJ3498" s="132"/>
      <c r="AK3498" s="127"/>
      <c r="AL3498" s="128"/>
      <c r="AM3498" s="21" t="s">
        <v>13045</v>
      </c>
      <c r="AN3498" s="133">
        <v>46001</v>
      </c>
      <c r="AO3498" s="134"/>
      <c r="AP3498" s="135">
        <v>996</v>
      </c>
      <c r="AQ3498" s="136"/>
      <c r="AR3498" s="118">
        <v>770000</v>
      </c>
      <c r="AS3498" s="119"/>
      <c r="AT3498" s="118">
        <f t="shared" ref="AT3498" si="2989">AR3498*0.1</f>
        <v>77000</v>
      </c>
      <c r="AU3498" s="119"/>
      <c r="AV3498" s="118">
        <v>9200</v>
      </c>
      <c r="AW3498" s="119"/>
      <c r="AX3498" s="118">
        <f t="shared" ref="AX3498" si="2990">SUM(AR3498:AW3498)</f>
        <v>856200</v>
      </c>
      <c r="AY3498" s="119"/>
      <c r="AZ3498" s="137">
        <v>46006</v>
      </c>
    </row>
    <row r="3499" spans="1:52" ht="17.100000000000001" customHeight="1" thickBot="1">
      <c r="A3499" s="110"/>
      <c r="B3499" s="27" t="s">
        <v>2511</v>
      </c>
      <c r="C3499" s="27">
        <v>65270</v>
      </c>
      <c r="D3499" s="14" t="s">
        <v>275</v>
      </c>
      <c r="E3499" s="112"/>
      <c r="F3499" s="139" t="s">
        <v>10870</v>
      </c>
      <c r="G3499" s="140"/>
      <c r="H3499" s="141"/>
      <c r="I3499" s="26">
        <v>76926</v>
      </c>
      <c r="J3499" s="117"/>
      <c r="K3499" s="120"/>
      <c r="L3499" s="121"/>
      <c r="M3499" s="120"/>
      <c r="N3499" s="121"/>
      <c r="O3499" s="120"/>
      <c r="P3499" s="121"/>
      <c r="Q3499" s="120"/>
      <c r="R3499" s="121"/>
      <c r="S3499" s="120"/>
      <c r="T3499" s="121"/>
      <c r="U3499" s="120"/>
      <c r="V3499" s="123"/>
      <c r="W3499" s="125"/>
      <c r="X3499" s="142" t="s">
        <v>2918</v>
      </c>
      <c r="Y3499" s="143"/>
      <c r="Z3499" s="143"/>
      <c r="AA3499" s="143"/>
      <c r="AB3499" s="144"/>
      <c r="AC3499" s="16" t="s">
        <v>21</v>
      </c>
      <c r="AD3499" s="17" t="s">
        <v>1723</v>
      </c>
      <c r="AE3499" s="145"/>
      <c r="AF3499" s="146"/>
      <c r="AG3499" s="146"/>
      <c r="AH3499" s="146"/>
      <c r="AI3499" s="147"/>
      <c r="AJ3499" s="148"/>
      <c r="AK3499" s="143"/>
      <c r="AL3499" s="144"/>
      <c r="AM3499" s="22"/>
      <c r="AN3499" s="149" t="s">
        <v>2794</v>
      </c>
      <c r="AO3499" s="144"/>
      <c r="AP3499" s="148">
        <v>2066</v>
      </c>
      <c r="AQ3499" s="144"/>
      <c r="AR3499" s="120"/>
      <c r="AS3499" s="121"/>
      <c r="AT3499" s="120"/>
      <c r="AU3499" s="121"/>
      <c r="AV3499" s="120"/>
      <c r="AW3499" s="121"/>
      <c r="AX3499" s="120"/>
      <c r="AY3499" s="121"/>
      <c r="AZ3499" s="138"/>
    </row>
    <row r="3500" spans="1:52" ht="17.100000000000001" customHeight="1" thickTop="1">
      <c r="A3500" s="151" t="s">
        <v>10955</v>
      </c>
      <c r="B3500" s="28">
        <v>45976</v>
      </c>
      <c r="C3500" s="25">
        <v>1276</v>
      </c>
      <c r="D3500" s="13" t="s">
        <v>2442</v>
      </c>
      <c r="E3500" s="111"/>
      <c r="F3500" s="113" t="s">
        <v>10873</v>
      </c>
      <c r="G3500" s="114"/>
      <c r="H3500" s="115"/>
      <c r="I3500" s="24" t="s">
        <v>10315</v>
      </c>
      <c r="J3500" s="116">
        <v>4</v>
      </c>
      <c r="K3500" s="118">
        <v>675000</v>
      </c>
      <c r="L3500" s="119"/>
      <c r="M3500" s="118">
        <f t="shared" ref="M3500" si="2991">K3500*0.1</f>
        <v>67500</v>
      </c>
      <c r="N3500" s="119"/>
      <c r="O3500" s="118">
        <v>0</v>
      </c>
      <c r="P3500" s="119"/>
      <c r="Q3500" s="118">
        <v>8230</v>
      </c>
      <c r="R3500" s="119"/>
      <c r="S3500" s="118">
        <v>12100</v>
      </c>
      <c r="T3500" s="119"/>
      <c r="U3500" s="118">
        <f t="shared" ref="U3500" si="2992">SUM(K3500:T3501)</f>
        <v>762830</v>
      </c>
      <c r="V3500" s="122"/>
      <c r="W3500" s="124"/>
      <c r="X3500" s="126" t="s">
        <v>10875</v>
      </c>
      <c r="Y3500" s="127"/>
      <c r="Z3500" s="127"/>
      <c r="AA3500" s="127"/>
      <c r="AB3500" s="128"/>
      <c r="AC3500" s="15" t="s">
        <v>20</v>
      </c>
      <c r="AD3500" s="129" t="s">
        <v>2781</v>
      </c>
      <c r="AE3500" s="130"/>
      <c r="AF3500" s="130"/>
      <c r="AG3500" s="130"/>
      <c r="AH3500" s="130"/>
      <c r="AI3500" s="131"/>
      <c r="AJ3500" s="132" t="s">
        <v>8040</v>
      </c>
      <c r="AK3500" s="127"/>
      <c r="AL3500" s="128"/>
      <c r="AM3500" s="21"/>
      <c r="AN3500" s="133"/>
      <c r="AO3500" s="134"/>
      <c r="AP3500" s="135"/>
      <c r="AQ3500" s="136"/>
      <c r="AR3500" s="118"/>
      <c r="AS3500" s="119"/>
      <c r="AT3500" s="118">
        <f t="shared" ref="AT3500" si="2993">AR3500*0.1</f>
        <v>0</v>
      </c>
      <c r="AU3500" s="119"/>
      <c r="AV3500" s="118"/>
      <c r="AW3500" s="119"/>
      <c r="AX3500" s="118">
        <f t="shared" ref="AX3500" si="2994">SUM(AR3500:AW3500)</f>
        <v>0</v>
      </c>
      <c r="AY3500" s="119"/>
      <c r="AZ3500" s="137"/>
    </row>
    <row r="3501" spans="1:52" ht="17.100000000000001" customHeight="1" thickBot="1">
      <c r="A3501" s="152"/>
      <c r="B3501" s="27" t="s">
        <v>2511</v>
      </c>
      <c r="C3501" s="27">
        <v>65330</v>
      </c>
      <c r="D3501" s="14" t="s">
        <v>1720</v>
      </c>
      <c r="E3501" s="112"/>
      <c r="F3501" s="139" t="s">
        <v>10874</v>
      </c>
      <c r="G3501" s="140"/>
      <c r="H3501" s="141"/>
      <c r="I3501" s="26">
        <v>47494</v>
      </c>
      <c r="J3501" s="117"/>
      <c r="K3501" s="120"/>
      <c r="L3501" s="121"/>
      <c r="M3501" s="120"/>
      <c r="N3501" s="121"/>
      <c r="O3501" s="120"/>
      <c r="P3501" s="121"/>
      <c r="Q3501" s="120"/>
      <c r="R3501" s="121"/>
      <c r="S3501" s="120"/>
      <c r="T3501" s="121"/>
      <c r="U3501" s="120"/>
      <c r="V3501" s="123"/>
      <c r="W3501" s="125"/>
      <c r="X3501" s="142"/>
      <c r="Y3501" s="143"/>
      <c r="Z3501" s="143"/>
      <c r="AA3501" s="143"/>
      <c r="AB3501" s="144"/>
      <c r="AC3501" s="16" t="s">
        <v>21</v>
      </c>
      <c r="AD3501" s="17" t="s">
        <v>10540</v>
      </c>
      <c r="AE3501" s="145" t="s">
        <v>11043</v>
      </c>
      <c r="AF3501" s="146"/>
      <c r="AG3501" s="146"/>
      <c r="AH3501" s="146"/>
      <c r="AI3501" s="147"/>
      <c r="AJ3501" s="148" t="s">
        <v>11046</v>
      </c>
      <c r="AK3501" s="143"/>
      <c r="AL3501" s="144"/>
      <c r="AM3501" s="22"/>
      <c r="AN3501" s="149"/>
      <c r="AO3501" s="144"/>
      <c r="AP3501" s="148"/>
      <c r="AQ3501" s="144"/>
      <c r="AR3501" s="120"/>
      <c r="AS3501" s="121"/>
      <c r="AT3501" s="120"/>
      <c r="AU3501" s="121"/>
      <c r="AV3501" s="120"/>
      <c r="AW3501" s="121"/>
      <c r="AX3501" s="120"/>
      <c r="AY3501" s="121"/>
      <c r="AZ3501" s="138"/>
    </row>
    <row r="3502" spans="1:52" ht="17.100000000000001" customHeight="1" thickTop="1">
      <c r="A3502" s="109" t="s">
        <v>10956</v>
      </c>
      <c r="B3502" s="28">
        <v>45976</v>
      </c>
      <c r="C3502" s="25">
        <v>1276</v>
      </c>
      <c r="D3502" s="13" t="s">
        <v>1767</v>
      </c>
      <c r="E3502" s="111"/>
      <c r="F3502" s="113" t="s">
        <v>10607</v>
      </c>
      <c r="G3502" s="114"/>
      <c r="H3502" s="115"/>
      <c r="I3502" s="24"/>
      <c r="J3502" s="116">
        <v>4.5</v>
      </c>
      <c r="K3502" s="118">
        <v>595000</v>
      </c>
      <c r="L3502" s="119"/>
      <c r="M3502" s="118">
        <f t="shared" ref="M3502" si="2995">K3502*0.1</f>
        <v>59500</v>
      </c>
      <c r="N3502" s="119"/>
      <c r="O3502" s="118">
        <v>0</v>
      </c>
      <c r="P3502" s="119"/>
      <c r="Q3502" s="118">
        <v>9790</v>
      </c>
      <c r="R3502" s="119"/>
      <c r="S3502" s="118">
        <v>12100</v>
      </c>
      <c r="T3502" s="119"/>
      <c r="U3502" s="118">
        <f t="shared" ref="U3502" si="2996">SUM(K3502:T3503)</f>
        <v>676390</v>
      </c>
      <c r="V3502" s="122"/>
      <c r="W3502" s="124"/>
      <c r="X3502" s="126" t="s">
        <v>11643</v>
      </c>
      <c r="Y3502" s="127"/>
      <c r="Z3502" s="127"/>
      <c r="AA3502" s="127"/>
      <c r="AB3502" s="128"/>
      <c r="AC3502" s="15" t="s">
        <v>20</v>
      </c>
      <c r="AD3502" s="129"/>
      <c r="AE3502" s="130"/>
      <c r="AF3502" s="130"/>
      <c r="AG3502" s="130"/>
      <c r="AH3502" s="130"/>
      <c r="AI3502" s="131"/>
      <c r="AJ3502" s="132"/>
      <c r="AK3502" s="127"/>
      <c r="AL3502" s="128"/>
      <c r="AM3502" s="21"/>
      <c r="AN3502" s="133">
        <v>45980</v>
      </c>
      <c r="AO3502" s="134"/>
      <c r="AP3502" s="135">
        <v>993</v>
      </c>
      <c r="AQ3502" s="136"/>
      <c r="AR3502" s="118">
        <v>670000</v>
      </c>
      <c r="AS3502" s="119"/>
      <c r="AT3502" s="118">
        <f t="shared" ref="AT3502" si="2997">AR3502*0.1</f>
        <v>67000</v>
      </c>
      <c r="AU3502" s="119"/>
      <c r="AV3502" s="118">
        <v>9790</v>
      </c>
      <c r="AW3502" s="119"/>
      <c r="AX3502" s="118">
        <f t="shared" ref="AX3502" si="2998">SUM(AR3502:AW3502)</f>
        <v>746790</v>
      </c>
      <c r="AY3502" s="119"/>
      <c r="AZ3502" s="137">
        <v>45988</v>
      </c>
    </row>
    <row r="3503" spans="1:52" ht="17.100000000000001" customHeight="1" thickBot="1">
      <c r="A3503" s="110"/>
      <c r="B3503" s="27" t="s">
        <v>2511</v>
      </c>
      <c r="C3503" s="27">
        <v>65346</v>
      </c>
      <c r="D3503" s="14" t="s">
        <v>1576</v>
      </c>
      <c r="E3503" s="112"/>
      <c r="F3503" s="139" t="s">
        <v>10876</v>
      </c>
      <c r="G3503" s="140"/>
      <c r="H3503" s="141"/>
      <c r="I3503" s="26">
        <v>70585</v>
      </c>
      <c r="J3503" s="117"/>
      <c r="K3503" s="120"/>
      <c r="L3503" s="121"/>
      <c r="M3503" s="120"/>
      <c r="N3503" s="121"/>
      <c r="O3503" s="120"/>
      <c r="P3503" s="121"/>
      <c r="Q3503" s="120"/>
      <c r="R3503" s="121"/>
      <c r="S3503" s="120"/>
      <c r="T3503" s="121"/>
      <c r="U3503" s="120"/>
      <c r="V3503" s="123"/>
      <c r="W3503" s="125"/>
      <c r="X3503" s="142" t="s">
        <v>11644</v>
      </c>
      <c r="Y3503" s="143"/>
      <c r="Z3503" s="143"/>
      <c r="AA3503" s="143"/>
      <c r="AB3503" s="144"/>
      <c r="AC3503" s="16" t="s">
        <v>21</v>
      </c>
      <c r="AD3503" s="17" t="s">
        <v>11645</v>
      </c>
      <c r="AE3503" s="145" t="s">
        <v>4077</v>
      </c>
      <c r="AF3503" s="146"/>
      <c r="AG3503" s="146"/>
      <c r="AH3503" s="146"/>
      <c r="AI3503" s="147"/>
      <c r="AJ3503" s="148"/>
      <c r="AK3503" s="143"/>
      <c r="AL3503" s="144"/>
      <c r="AM3503" s="22"/>
      <c r="AN3503" s="149" t="s">
        <v>2794</v>
      </c>
      <c r="AO3503" s="144"/>
      <c r="AP3503" s="148">
        <v>2096</v>
      </c>
      <c r="AQ3503" s="144"/>
      <c r="AR3503" s="120"/>
      <c r="AS3503" s="121"/>
      <c r="AT3503" s="120"/>
      <c r="AU3503" s="121"/>
      <c r="AV3503" s="120"/>
      <c r="AW3503" s="121"/>
      <c r="AX3503" s="120"/>
      <c r="AY3503" s="121"/>
      <c r="AZ3503" s="138"/>
    </row>
    <row r="3504" spans="1:52" ht="17.100000000000001" customHeight="1" thickTop="1">
      <c r="A3504" s="109" t="s">
        <v>10957</v>
      </c>
      <c r="B3504" s="28">
        <v>45976</v>
      </c>
      <c r="C3504" s="25">
        <v>1276</v>
      </c>
      <c r="D3504" s="13" t="s">
        <v>1776</v>
      </c>
      <c r="E3504" s="111"/>
      <c r="F3504" s="113" t="s">
        <v>4251</v>
      </c>
      <c r="G3504" s="114"/>
      <c r="H3504" s="115"/>
      <c r="I3504" s="24"/>
      <c r="J3504" s="116">
        <v>4</v>
      </c>
      <c r="K3504" s="118">
        <v>590000</v>
      </c>
      <c r="L3504" s="119"/>
      <c r="M3504" s="118">
        <f t="shared" ref="M3504" si="2999">K3504*0.1</f>
        <v>59000</v>
      </c>
      <c r="N3504" s="119"/>
      <c r="O3504" s="118">
        <v>0</v>
      </c>
      <c r="P3504" s="119"/>
      <c r="Q3504" s="118">
        <v>9790</v>
      </c>
      <c r="R3504" s="119"/>
      <c r="S3504" s="118">
        <v>12100</v>
      </c>
      <c r="T3504" s="119"/>
      <c r="U3504" s="118">
        <f t="shared" ref="U3504" si="3000">SUM(K3504:T3505)</f>
        <v>670890</v>
      </c>
      <c r="V3504" s="122"/>
      <c r="W3504" s="124"/>
      <c r="X3504" s="126" t="s">
        <v>11894</v>
      </c>
      <c r="Y3504" s="127"/>
      <c r="Z3504" s="127"/>
      <c r="AA3504" s="127"/>
      <c r="AB3504" s="128"/>
      <c r="AC3504" s="15" t="s">
        <v>20</v>
      </c>
      <c r="AD3504" s="129"/>
      <c r="AE3504" s="130"/>
      <c r="AF3504" s="130"/>
      <c r="AG3504" s="130"/>
      <c r="AH3504" s="130"/>
      <c r="AI3504" s="131"/>
      <c r="AJ3504" s="132"/>
      <c r="AK3504" s="127"/>
      <c r="AL3504" s="128"/>
      <c r="AM3504" s="21"/>
      <c r="AN3504" s="133">
        <v>46008</v>
      </c>
      <c r="AO3504" s="134"/>
      <c r="AP3504" s="135">
        <v>997</v>
      </c>
      <c r="AQ3504" s="136"/>
      <c r="AR3504" s="118">
        <v>660000</v>
      </c>
      <c r="AS3504" s="119"/>
      <c r="AT3504" s="118">
        <f t="shared" ref="AT3504" si="3001">AR3504*0.1</f>
        <v>66000</v>
      </c>
      <c r="AU3504" s="119"/>
      <c r="AV3504" s="118">
        <v>9790</v>
      </c>
      <c r="AW3504" s="119"/>
      <c r="AX3504" s="118">
        <f t="shared" ref="AX3504" si="3002">SUM(AR3504:AW3504)</f>
        <v>735790</v>
      </c>
      <c r="AY3504" s="119"/>
      <c r="AZ3504" s="137">
        <v>46013</v>
      </c>
    </row>
    <row r="3505" spans="1:52" ht="17.100000000000001" customHeight="1" thickBot="1">
      <c r="A3505" s="110"/>
      <c r="B3505" s="27" t="s">
        <v>2511</v>
      </c>
      <c r="C3505" s="27">
        <v>65471</v>
      </c>
      <c r="D3505" s="14" t="s">
        <v>2601</v>
      </c>
      <c r="E3505" s="112"/>
      <c r="F3505" s="139" t="s">
        <v>10887</v>
      </c>
      <c r="G3505" s="140"/>
      <c r="H3505" s="141"/>
      <c r="I3505" s="26">
        <v>57128</v>
      </c>
      <c r="J3505" s="117"/>
      <c r="K3505" s="120"/>
      <c r="L3505" s="121"/>
      <c r="M3505" s="120"/>
      <c r="N3505" s="121"/>
      <c r="O3505" s="120"/>
      <c r="P3505" s="121"/>
      <c r="Q3505" s="120"/>
      <c r="R3505" s="121"/>
      <c r="S3505" s="120"/>
      <c r="T3505" s="121"/>
      <c r="U3505" s="120"/>
      <c r="V3505" s="123"/>
      <c r="W3505" s="125"/>
      <c r="X3505" s="142" t="s">
        <v>3410</v>
      </c>
      <c r="Y3505" s="143"/>
      <c r="Z3505" s="143"/>
      <c r="AA3505" s="143"/>
      <c r="AB3505" s="144"/>
      <c r="AC3505" s="16" t="s">
        <v>21</v>
      </c>
      <c r="AD3505" s="17" t="s">
        <v>1723</v>
      </c>
      <c r="AE3505" s="145" t="s">
        <v>4462</v>
      </c>
      <c r="AF3505" s="146"/>
      <c r="AG3505" s="146"/>
      <c r="AH3505" s="146"/>
      <c r="AI3505" s="147"/>
      <c r="AJ3505" s="148"/>
      <c r="AK3505" s="143"/>
      <c r="AL3505" s="144"/>
      <c r="AM3505" s="22"/>
      <c r="AN3505" s="149" t="s">
        <v>2794</v>
      </c>
      <c r="AO3505" s="144"/>
      <c r="AP3505" s="148">
        <v>2061</v>
      </c>
      <c r="AQ3505" s="144"/>
      <c r="AR3505" s="120"/>
      <c r="AS3505" s="121"/>
      <c r="AT3505" s="120"/>
      <c r="AU3505" s="121"/>
      <c r="AV3505" s="120"/>
      <c r="AW3505" s="121"/>
      <c r="AX3505" s="120"/>
      <c r="AY3505" s="121"/>
      <c r="AZ3505" s="138"/>
    </row>
    <row r="3506" spans="1:52" ht="17.100000000000001" customHeight="1" thickTop="1">
      <c r="A3506" s="109" t="s">
        <v>10958</v>
      </c>
      <c r="B3506" s="28">
        <v>45976</v>
      </c>
      <c r="C3506" s="25">
        <v>1276</v>
      </c>
      <c r="D3506" s="13" t="s">
        <v>1902</v>
      </c>
      <c r="E3506" s="111"/>
      <c r="F3506" s="113" t="s">
        <v>6779</v>
      </c>
      <c r="G3506" s="114"/>
      <c r="H3506" s="115"/>
      <c r="I3506" s="24" t="s">
        <v>2861</v>
      </c>
      <c r="J3506" s="116">
        <v>3.5</v>
      </c>
      <c r="K3506" s="118">
        <v>950000</v>
      </c>
      <c r="L3506" s="119"/>
      <c r="M3506" s="118">
        <f t="shared" ref="M3506" si="3003">K3506*0.1</f>
        <v>95000</v>
      </c>
      <c r="N3506" s="119"/>
      <c r="O3506" s="118">
        <v>0</v>
      </c>
      <c r="P3506" s="119"/>
      <c r="Q3506" s="118">
        <v>8390</v>
      </c>
      <c r="R3506" s="119"/>
      <c r="S3506" s="118">
        <v>12100</v>
      </c>
      <c r="T3506" s="119"/>
      <c r="U3506" s="118">
        <f t="shared" ref="U3506" si="3004">SUM(K3506:T3507)</f>
        <v>1065490</v>
      </c>
      <c r="V3506" s="122"/>
      <c r="W3506" s="124"/>
      <c r="X3506" s="126" t="s">
        <v>10889</v>
      </c>
      <c r="Y3506" s="127"/>
      <c r="Z3506" s="127"/>
      <c r="AA3506" s="127"/>
      <c r="AB3506" s="128"/>
      <c r="AC3506" s="15" t="s">
        <v>20</v>
      </c>
      <c r="AD3506" s="129" t="s">
        <v>1575</v>
      </c>
      <c r="AE3506" s="130"/>
      <c r="AF3506" s="130"/>
      <c r="AG3506" s="130"/>
      <c r="AH3506" s="130"/>
      <c r="AI3506" s="131"/>
      <c r="AJ3506" s="132"/>
      <c r="AK3506" s="127"/>
      <c r="AL3506" s="128"/>
      <c r="AM3506" s="21"/>
      <c r="AN3506" s="133"/>
      <c r="AO3506" s="134"/>
      <c r="AP3506" s="135"/>
      <c r="AQ3506" s="136"/>
      <c r="AR3506" s="118"/>
      <c r="AS3506" s="119"/>
      <c r="AT3506" s="118">
        <f t="shared" ref="AT3506" si="3005">AR3506*0.1</f>
        <v>0</v>
      </c>
      <c r="AU3506" s="119"/>
      <c r="AV3506" s="118"/>
      <c r="AW3506" s="119"/>
      <c r="AX3506" s="118">
        <f t="shared" ref="AX3506" si="3006">SUM(AR3506:AW3506)</f>
        <v>0</v>
      </c>
      <c r="AY3506" s="119"/>
      <c r="AZ3506" s="137"/>
    </row>
    <row r="3507" spans="1:52" ht="17.100000000000001" customHeight="1" thickBot="1">
      <c r="A3507" s="110"/>
      <c r="B3507" s="27" t="s">
        <v>2511</v>
      </c>
      <c r="C3507" s="27">
        <v>65608</v>
      </c>
      <c r="D3507" s="14" t="s">
        <v>2206</v>
      </c>
      <c r="E3507" s="112"/>
      <c r="F3507" s="139" t="s">
        <v>10888</v>
      </c>
      <c r="G3507" s="140"/>
      <c r="H3507" s="141"/>
      <c r="I3507" s="26">
        <v>54571</v>
      </c>
      <c r="J3507" s="117"/>
      <c r="K3507" s="120"/>
      <c r="L3507" s="121"/>
      <c r="M3507" s="120"/>
      <c r="N3507" s="121"/>
      <c r="O3507" s="120"/>
      <c r="P3507" s="121"/>
      <c r="Q3507" s="120"/>
      <c r="R3507" s="121"/>
      <c r="S3507" s="120"/>
      <c r="T3507" s="121"/>
      <c r="U3507" s="120"/>
      <c r="V3507" s="123"/>
      <c r="W3507" s="125"/>
      <c r="X3507" s="142" t="s">
        <v>11892</v>
      </c>
      <c r="Y3507" s="143"/>
      <c r="Z3507" s="143"/>
      <c r="AA3507" s="143"/>
      <c r="AB3507" s="144"/>
      <c r="AC3507" s="16" t="s">
        <v>21</v>
      </c>
      <c r="AD3507" s="17" t="s">
        <v>1723</v>
      </c>
      <c r="AE3507" s="145" t="s">
        <v>11893</v>
      </c>
      <c r="AF3507" s="146"/>
      <c r="AG3507" s="146"/>
      <c r="AH3507" s="146"/>
      <c r="AI3507" s="147"/>
      <c r="AJ3507" s="148"/>
      <c r="AK3507" s="143"/>
      <c r="AL3507" s="144"/>
      <c r="AM3507" s="22"/>
      <c r="AN3507" s="149"/>
      <c r="AO3507" s="144"/>
      <c r="AP3507" s="148"/>
      <c r="AQ3507" s="144"/>
      <c r="AR3507" s="120"/>
      <c r="AS3507" s="121"/>
      <c r="AT3507" s="120"/>
      <c r="AU3507" s="121"/>
      <c r="AV3507" s="120"/>
      <c r="AW3507" s="121"/>
      <c r="AX3507" s="120"/>
      <c r="AY3507" s="121"/>
      <c r="AZ3507" s="138"/>
    </row>
    <row r="3508" spans="1:52" ht="17.100000000000001" customHeight="1" thickTop="1">
      <c r="A3508" s="151" t="s">
        <v>10959</v>
      </c>
      <c r="B3508" s="28">
        <v>45976</v>
      </c>
      <c r="C3508" s="25">
        <v>1276</v>
      </c>
      <c r="D3508" s="13" t="s">
        <v>1853</v>
      </c>
      <c r="E3508" s="111"/>
      <c r="F3508" s="113" t="s">
        <v>10877</v>
      </c>
      <c r="G3508" s="114"/>
      <c r="H3508" s="115"/>
      <c r="I3508" s="24"/>
      <c r="J3508" s="116">
        <v>4.5</v>
      </c>
      <c r="K3508" s="118">
        <v>1730000</v>
      </c>
      <c r="L3508" s="119"/>
      <c r="M3508" s="118">
        <v>173000</v>
      </c>
      <c r="N3508" s="119"/>
      <c r="O3508" s="118">
        <v>0</v>
      </c>
      <c r="P3508" s="119"/>
      <c r="Q3508" s="118">
        <v>20410</v>
      </c>
      <c r="R3508" s="119"/>
      <c r="S3508" s="118">
        <v>16500</v>
      </c>
      <c r="T3508" s="119"/>
      <c r="U3508" s="118">
        <f t="shared" ref="U3508" si="3007">SUM(K3508:T3509)</f>
        <v>1939910</v>
      </c>
      <c r="V3508" s="122"/>
      <c r="W3508" s="124"/>
      <c r="X3508" s="126" t="s">
        <v>11804</v>
      </c>
      <c r="Y3508" s="127"/>
      <c r="Z3508" s="127"/>
      <c r="AA3508" s="127"/>
      <c r="AB3508" s="128"/>
      <c r="AC3508" s="15" t="s">
        <v>20</v>
      </c>
      <c r="AD3508" s="129"/>
      <c r="AE3508" s="130"/>
      <c r="AF3508" s="130"/>
      <c r="AG3508" s="130"/>
      <c r="AH3508" s="130"/>
      <c r="AI3508" s="131"/>
      <c r="AJ3508" s="132"/>
      <c r="AK3508" s="127"/>
      <c r="AL3508" s="128"/>
      <c r="AM3508" s="21"/>
      <c r="AN3508" s="133">
        <v>46032</v>
      </c>
      <c r="AO3508" s="134"/>
      <c r="AP3508" s="135">
        <v>1283</v>
      </c>
      <c r="AQ3508" s="136"/>
      <c r="AR3508" s="118">
        <v>1850000</v>
      </c>
      <c r="AS3508" s="119"/>
      <c r="AT3508" s="118">
        <f t="shared" ref="AT3508" si="3008">AR3508*0.1</f>
        <v>185000</v>
      </c>
      <c r="AU3508" s="119"/>
      <c r="AV3508" s="118">
        <v>20410</v>
      </c>
      <c r="AW3508" s="119"/>
      <c r="AX3508" s="118">
        <f t="shared" ref="AX3508" si="3009">SUM(AR3508:AW3508)</f>
        <v>2055410</v>
      </c>
      <c r="AY3508" s="119"/>
      <c r="AZ3508" s="137">
        <v>46036</v>
      </c>
    </row>
    <row r="3509" spans="1:52" ht="17.100000000000001" customHeight="1" thickBot="1">
      <c r="A3509" s="152"/>
      <c r="B3509" s="27" t="s">
        <v>2511</v>
      </c>
      <c r="C3509" s="27">
        <v>82297</v>
      </c>
      <c r="D3509" s="14" t="s">
        <v>2836</v>
      </c>
      <c r="E3509" s="112"/>
      <c r="F3509" s="139" t="s">
        <v>10878</v>
      </c>
      <c r="G3509" s="140"/>
      <c r="H3509" s="141"/>
      <c r="I3509" s="26">
        <v>47175</v>
      </c>
      <c r="J3509" s="117"/>
      <c r="K3509" s="120"/>
      <c r="L3509" s="121"/>
      <c r="M3509" s="120"/>
      <c r="N3509" s="121"/>
      <c r="O3509" s="120"/>
      <c r="P3509" s="121"/>
      <c r="Q3509" s="120"/>
      <c r="R3509" s="121"/>
      <c r="S3509" s="120"/>
      <c r="T3509" s="121"/>
      <c r="U3509" s="120"/>
      <c r="V3509" s="123"/>
      <c r="W3509" s="125"/>
      <c r="X3509" s="142" t="s">
        <v>11805</v>
      </c>
      <c r="Y3509" s="143"/>
      <c r="Z3509" s="143"/>
      <c r="AA3509" s="143"/>
      <c r="AB3509" s="144"/>
      <c r="AC3509" s="16" t="s">
        <v>21</v>
      </c>
      <c r="AD3509" s="17" t="s">
        <v>11774</v>
      </c>
      <c r="AE3509" s="145" t="s">
        <v>11806</v>
      </c>
      <c r="AF3509" s="146"/>
      <c r="AG3509" s="146"/>
      <c r="AH3509" s="146"/>
      <c r="AI3509" s="147"/>
      <c r="AJ3509" s="148"/>
      <c r="AK3509" s="143"/>
      <c r="AL3509" s="144"/>
      <c r="AM3509" s="22"/>
      <c r="AN3509" s="149" t="s">
        <v>2511</v>
      </c>
      <c r="AO3509" s="144"/>
      <c r="AP3509" s="148">
        <v>80369</v>
      </c>
      <c r="AQ3509" s="144"/>
      <c r="AR3509" s="120"/>
      <c r="AS3509" s="121"/>
      <c r="AT3509" s="120"/>
      <c r="AU3509" s="121"/>
      <c r="AV3509" s="120"/>
      <c r="AW3509" s="121"/>
      <c r="AX3509" s="120"/>
      <c r="AY3509" s="121"/>
      <c r="AZ3509" s="138"/>
    </row>
    <row r="3510" spans="1:52" ht="17.100000000000001" customHeight="1" thickTop="1">
      <c r="A3510" s="109" t="s">
        <v>10960</v>
      </c>
      <c r="B3510" s="28">
        <v>45976</v>
      </c>
      <c r="C3510" s="25">
        <v>1276</v>
      </c>
      <c r="D3510" s="13" t="s">
        <v>1888</v>
      </c>
      <c r="E3510" s="111"/>
      <c r="F3510" s="113" t="s">
        <v>2174</v>
      </c>
      <c r="G3510" s="114"/>
      <c r="H3510" s="115"/>
      <c r="I3510" s="24" t="s">
        <v>2533</v>
      </c>
      <c r="J3510" s="116">
        <v>4</v>
      </c>
      <c r="K3510" s="118">
        <v>1205000</v>
      </c>
      <c r="L3510" s="119"/>
      <c r="M3510" s="118">
        <f t="shared" ref="M3510" si="3010">K3510*0.1</f>
        <v>120500</v>
      </c>
      <c r="N3510" s="119"/>
      <c r="O3510" s="118">
        <f>13100+1310</f>
        <v>14410</v>
      </c>
      <c r="P3510" s="119"/>
      <c r="Q3510" s="118">
        <v>19090</v>
      </c>
      <c r="R3510" s="119"/>
      <c r="S3510" s="118">
        <v>16500</v>
      </c>
      <c r="T3510" s="119"/>
      <c r="U3510" s="118">
        <f t="shared" ref="U3510" si="3011">SUM(K3510:T3511)</f>
        <v>1375500</v>
      </c>
      <c r="V3510" s="122"/>
      <c r="W3510" s="124"/>
      <c r="X3510" s="126" t="s">
        <v>10880</v>
      </c>
      <c r="Y3510" s="127"/>
      <c r="Z3510" s="127"/>
      <c r="AA3510" s="127"/>
      <c r="AB3510" s="128"/>
      <c r="AC3510" s="15" t="s">
        <v>20</v>
      </c>
      <c r="AD3510" s="129" t="s">
        <v>1732</v>
      </c>
      <c r="AE3510" s="130"/>
      <c r="AF3510" s="130"/>
      <c r="AG3510" s="130"/>
      <c r="AH3510" s="130"/>
      <c r="AI3510" s="131"/>
      <c r="AJ3510" s="132"/>
      <c r="AK3510" s="127"/>
      <c r="AL3510" s="128"/>
      <c r="AM3510" s="21"/>
      <c r="AN3510" s="133">
        <v>45980</v>
      </c>
      <c r="AO3510" s="134"/>
      <c r="AP3510" s="135">
        <v>993</v>
      </c>
      <c r="AQ3510" s="136"/>
      <c r="AR3510" s="118">
        <v>1480000</v>
      </c>
      <c r="AS3510" s="119"/>
      <c r="AT3510" s="118">
        <f t="shared" ref="AT3510" si="3012">AR3510*0.1</f>
        <v>148000</v>
      </c>
      <c r="AU3510" s="119"/>
      <c r="AV3510" s="118">
        <v>19090</v>
      </c>
      <c r="AW3510" s="119"/>
      <c r="AX3510" s="118">
        <f t="shared" ref="AX3510" si="3013">SUM(AR3510:AW3510)</f>
        <v>1647090</v>
      </c>
      <c r="AY3510" s="119"/>
      <c r="AZ3510" s="137">
        <v>45988</v>
      </c>
    </row>
    <row r="3511" spans="1:52" ht="17.100000000000001" customHeight="1" thickBot="1">
      <c r="A3511" s="110"/>
      <c r="B3511" s="27" t="s">
        <v>2511</v>
      </c>
      <c r="C3511" s="27">
        <v>82336</v>
      </c>
      <c r="D3511" s="14" t="s">
        <v>1635</v>
      </c>
      <c r="E3511" s="112"/>
      <c r="F3511" s="139" t="s">
        <v>10879</v>
      </c>
      <c r="G3511" s="140"/>
      <c r="H3511" s="141"/>
      <c r="I3511" s="26">
        <v>74149</v>
      </c>
      <c r="J3511" s="117"/>
      <c r="K3511" s="120"/>
      <c r="L3511" s="121"/>
      <c r="M3511" s="120"/>
      <c r="N3511" s="121"/>
      <c r="O3511" s="120"/>
      <c r="P3511" s="121"/>
      <c r="Q3511" s="120"/>
      <c r="R3511" s="121"/>
      <c r="S3511" s="120"/>
      <c r="T3511" s="121"/>
      <c r="U3511" s="120"/>
      <c r="V3511" s="123"/>
      <c r="W3511" s="125"/>
      <c r="X3511" s="142" t="s">
        <v>11648</v>
      </c>
      <c r="Y3511" s="143"/>
      <c r="Z3511" s="143"/>
      <c r="AA3511" s="143"/>
      <c r="AB3511" s="144"/>
      <c r="AC3511" s="16" t="s">
        <v>21</v>
      </c>
      <c r="AD3511" s="17" t="s">
        <v>11645</v>
      </c>
      <c r="AE3511" s="145" t="s">
        <v>11649</v>
      </c>
      <c r="AF3511" s="146"/>
      <c r="AG3511" s="146"/>
      <c r="AH3511" s="146"/>
      <c r="AI3511" s="147"/>
      <c r="AJ3511" s="148"/>
      <c r="AK3511" s="143"/>
      <c r="AL3511" s="144"/>
      <c r="AM3511" s="22"/>
      <c r="AN3511" s="149" t="s">
        <v>2794</v>
      </c>
      <c r="AO3511" s="144"/>
      <c r="AP3511" s="148">
        <v>5082</v>
      </c>
      <c r="AQ3511" s="144"/>
      <c r="AR3511" s="120"/>
      <c r="AS3511" s="121"/>
      <c r="AT3511" s="120"/>
      <c r="AU3511" s="121"/>
      <c r="AV3511" s="120"/>
      <c r="AW3511" s="121"/>
      <c r="AX3511" s="120"/>
      <c r="AY3511" s="121"/>
      <c r="AZ3511" s="138"/>
    </row>
    <row r="3512" spans="1:52" ht="17.100000000000001" customHeight="1" thickTop="1">
      <c r="A3512" s="109" t="s">
        <v>10961</v>
      </c>
      <c r="B3512" s="28">
        <v>45976</v>
      </c>
      <c r="C3512" s="25">
        <v>1276</v>
      </c>
      <c r="D3512" s="13" t="s">
        <v>2970</v>
      </c>
      <c r="E3512" s="111"/>
      <c r="F3512" s="113" t="s">
        <v>10360</v>
      </c>
      <c r="G3512" s="114"/>
      <c r="H3512" s="115"/>
      <c r="I3512" s="24" t="s">
        <v>4109</v>
      </c>
      <c r="J3512" s="116">
        <v>4.5</v>
      </c>
      <c r="K3512" s="118">
        <v>1215000</v>
      </c>
      <c r="L3512" s="119"/>
      <c r="M3512" s="118">
        <f t="shared" ref="M3512" si="3014">K3512*0.1</f>
        <v>121500</v>
      </c>
      <c r="N3512" s="119"/>
      <c r="O3512" s="118">
        <f>8300+830</f>
        <v>9130</v>
      </c>
      <c r="P3512" s="119"/>
      <c r="Q3512" s="118">
        <v>12470</v>
      </c>
      <c r="R3512" s="119"/>
      <c r="S3512" s="118">
        <v>16500</v>
      </c>
      <c r="T3512" s="119"/>
      <c r="U3512" s="118">
        <f t="shared" ref="U3512" si="3015">SUM(K3512:T3513)</f>
        <v>1374600</v>
      </c>
      <c r="V3512" s="122"/>
      <c r="W3512" s="124"/>
      <c r="X3512" s="126" t="s">
        <v>10882</v>
      </c>
      <c r="Y3512" s="127"/>
      <c r="Z3512" s="127"/>
      <c r="AA3512" s="127"/>
      <c r="AB3512" s="128"/>
      <c r="AC3512" s="15" t="s">
        <v>20</v>
      </c>
      <c r="AD3512" s="129" t="s">
        <v>1633</v>
      </c>
      <c r="AE3512" s="130"/>
      <c r="AF3512" s="130"/>
      <c r="AG3512" s="130"/>
      <c r="AH3512" s="130"/>
      <c r="AI3512" s="131"/>
      <c r="AJ3512" s="132"/>
      <c r="AK3512" s="127"/>
      <c r="AL3512" s="128"/>
      <c r="AM3512" s="21"/>
      <c r="AN3512" s="133">
        <v>45994</v>
      </c>
      <c r="AO3512" s="134"/>
      <c r="AP3512" s="135">
        <v>995</v>
      </c>
      <c r="AQ3512" s="136"/>
      <c r="AR3512" s="118">
        <v>1350000</v>
      </c>
      <c r="AS3512" s="119"/>
      <c r="AT3512" s="118">
        <f t="shared" ref="AT3512" si="3016">AR3512*0.1</f>
        <v>135000</v>
      </c>
      <c r="AU3512" s="119"/>
      <c r="AV3512" s="118">
        <v>12470</v>
      </c>
      <c r="AW3512" s="119"/>
      <c r="AX3512" s="118">
        <f t="shared" ref="AX3512" si="3017">SUM(AR3512:AW3512)</f>
        <v>1497470</v>
      </c>
      <c r="AY3512" s="119"/>
      <c r="AZ3512" s="137">
        <v>45999</v>
      </c>
    </row>
    <row r="3513" spans="1:52" ht="17.100000000000001" customHeight="1" thickBot="1">
      <c r="A3513" s="110"/>
      <c r="B3513" s="27" t="s">
        <v>2511</v>
      </c>
      <c r="C3513" s="27">
        <v>82420</v>
      </c>
      <c r="D3513" s="14" t="s">
        <v>5505</v>
      </c>
      <c r="E3513" s="112"/>
      <c r="F3513" s="139" t="s">
        <v>10881</v>
      </c>
      <c r="G3513" s="140"/>
      <c r="H3513" s="141"/>
      <c r="I3513" s="26">
        <v>29040</v>
      </c>
      <c r="J3513" s="117"/>
      <c r="K3513" s="120"/>
      <c r="L3513" s="121"/>
      <c r="M3513" s="120"/>
      <c r="N3513" s="121"/>
      <c r="O3513" s="120"/>
      <c r="P3513" s="121"/>
      <c r="Q3513" s="120"/>
      <c r="R3513" s="121"/>
      <c r="S3513" s="120"/>
      <c r="T3513" s="121"/>
      <c r="U3513" s="120"/>
      <c r="V3513" s="123"/>
      <c r="W3513" s="125"/>
      <c r="X3513" s="142" t="s">
        <v>11809</v>
      </c>
      <c r="Y3513" s="143"/>
      <c r="Z3513" s="143"/>
      <c r="AA3513" s="143"/>
      <c r="AB3513" s="144"/>
      <c r="AC3513" s="16" t="s">
        <v>21</v>
      </c>
      <c r="AD3513" s="17" t="s">
        <v>1723</v>
      </c>
      <c r="AE3513" s="145" t="s">
        <v>1633</v>
      </c>
      <c r="AF3513" s="146"/>
      <c r="AG3513" s="146"/>
      <c r="AH3513" s="146"/>
      <c r="AI3513" s="147"/>
      <c r="AJ3513" s="148"/>
      <c r="AK3513" s="143"/>
      <c r="AL3513" s="144"/>
      <c r="AM3513" s="22"/>
      <c r="AN3513" s="149" t="s">
        <v>2794</v>
      </c>
      <c r="AO3513" s="144"/>
      <c r="AP3513" s="148">
        <v>6067</v>
      </c>
      <c r="AQ3513" s="144"/>
      <c r="AR3513" s="120"/>
      <c r="AS3513" s="121"/>
      <c r="AT3513" s="120"/>
      <c r="AU3513" s="121"/>
      <c r="AV3513" s="120"/>
      <c r="AW3513" s="121"/>
      <c r="AX3513" s="120"/>
      <c r="AY3513" s="121"/>
      <c r="AZ3513" s="138"/>
    </row>
    <row r="3514" spans="1:52" ht="17.100000000000001" customHeight="1" thickTop="1">
      <c r="A3514" s="151" t="s">
        <v>10962</v>
      </c>
      <c r="B3514" s="28">
        <v>45976</v>
      </c>
      <c r="C3514" s="25">
        <v>1276</v>
      </c>
      <c r="D3514" s="13" t="s">
        <v>2442</v>
      </c>
      <c r="E3514" s="111"/>
      <c r="F3514" s="113" t="s">
        <v>4347</v>
      </c>
      <c r="G3514" s="114"/>
      <c r="H3514" s="115"/>
      <c r="I3514" s="24" t="s">
        <v>2858</v>
      </c>
      <c r="J3514" s="116">
        <v>4</v>
      </c>
      <c r="K3514" s="118">
        <v>1690000</v>
      </c>
      <c r="L3514" s="119"/>
      <c r="M3514" s="118">
        <f t="shared" ref="M3514" si="3018">K3514*0.1</f>
        <v>169000</v>
      </c>
      <c r="N3514" s="119"/>
      <c r="O3514" s="118">
        <v>0</v>
      </c>
      <c r="P3514" s="119"/>
      <c r="Q3514" s="118">
        <v>20530</v>
      </c>
      <c r="R3514" s="119"/>
      <c r="S3514" s="118">
        <v>16500</v>
      </c>
      <c r="T3514" s="119"/>
      <c r="U3514" s="118">
        <f t="shared" ref="U3514" si="3019">SUM(K3514:T3515)</f>
        <v>1896030</v>
      </c>
      <c r="V3514" s="122"/>
      <c r="W3514" s="124"/>
      <c r="X3514" s="126" t="s">
        <v>11810</v>
      </c>
      <c r="Y3514" s="127"/>
      <c r="Z3514" s="127"/>
      <c r="AA3514" s="127"/>
      <c r="AB3514" s="128"/>
      <c r="AC3514" s="15" t="s">
        <v>20</v>
      </c>
      <c r="AD3514" s="129" t="s">
        <v>1633</v>
      </c>
      <c r="AE3514" s="130"/>
      <c r="AF3514" s="130"/>
      <c r="AG3514" s="130"/>
      <c r="AH3514" s="130"/>
      <c r="AI3514" s="131"/>
      <c r="AJ3514" s="132" t="s">
        <v>14072</v>
      </c>
      <c r="AK3514" s="127"/>
      <c r="AL3514" s="128"/>
      <c r="AM3514" s="21"/>
      <c r="AN3514" s="133"/>
      <c r="AO3514" s="134"/>
      <c r="AP3514" s="135"/>
      <c r="AQ3514" s="136"/>
      <c r="AR3514" s="118"/>
      <c r="AS3514" s="119"/>
      <c r="AT3514" s="118">
        <f t="shared" ref="AT3514" si="3020">AR3514*0.1</f>
        <v>0</v>
      </c>
      <c r="AU3514" s="119"/>
      <c r="AV3514" s="118"/>
      <c r="AW3514" s="119"/>
      <c r="AX3514" s="118">
        <f t="shared" ref="AX3514" si="3021">SUM(AR3514:AW3514)</f>
        <v>0</v>
      </c>
      <c r="AY3514" s="119"/>
      <c r="AZ3514" s="137"/>
    </row>
    <row r="3515" spans="1:52" ht="17.100000000000001" customHeight="1" thickBot="1">
      <c r="A3515" s="152"/>
      <c r="B3515" s="27" t="s">
        <v>2511</v>
      </c>
      <c r="C3515" s="27">
        <v>82707</v>
      </c>
      <c r="D3515" s="14" t="s">
        <v>1576</v>
      </c>
      <c r="E3515" s="112"/>
      <c r="F3515" s="139" t="s">
        <v>10898</v>
      </c>
      <c r="G3515" s="140"/>
      <c r="H3515" s="141"/>
      <c r="I3515" s="26">
        <v>34342</v>
      </c>
      <c r="J3515" s="117"/>
      <c r="K3515" s="120"/>
      <c r="L3515" s="121"/>
      <c r="M3515" s="120"/>
      <c r="N3515" s="121"/>
      <c r="O3515" s="120"/>
      <c r="P3515" s="121"/>
      <c r="Q3515" s="120"/>
      <c r="R3515" s="121"/>
      <c r="S3515" s="120"/>
      <c r="T3515" s="121"/>
      <c r="U3515" s="120"/>
      <c r="V3515" s="123"/>
      <c r="W3515" s="125"/>
      <c r="X3515" s="142" t="s">
        <v>441</v>
      </c>
      <c r="Y3515" s="143"/>
      <c r="Z3515" s="143"/>
      <c r="AA3515" s="143"/>
      <c r="AB3515" s="144"/>
      <c r="AC3515" s="16" t="s">
        <v>21</v>
      </c>
      <c r="AD3515" s="17" t="s">
        <v>1723</v>
      </c>
      <c r="AE3515" s="145" t="s">
        <v>1742</v>
      </c>
      <c r="AF3515" s="146"/>
      <c r="AG3515" s="146"/>
      <c r="AH3515" s="146"/>
      <c r="AI3515" s="147"/>
      <c r="AJ3515" s="148"/>
      <c r="AK3515" s="143"/>
      <c r="AL3515" s="144"/>
      <c r="AM3515" s="22"/>
      <c r="AN3515" s="149"/>
      <c r="AO3515" s="144"/>
      <c r="AP3515" s="148"/>
      <c r="AQ3515" s="144"/>
      <c r="AR3515" s="120"/>
      <c r="AS3515" s="121"/>
      <c r="AT3515" s="120"/>
      <c r="AU3515" s="121"/>
      <c r="AV3515" s="120"/>
      <c r="AW3515" s="121"/>
      <c r="AX3515" s="120"/>
      <c r="AY3515" s="121"/>
      <c r="AZ3515" s="138"/>
    </row>
    <row r="3516" spans="1:52" ht="17.100000000000001" customHeight="1" thickTop="1">
      <c r="A3516" s="109" t="s">
        <v>11064</v>
      </c>
      <c r="B3516" s="28">
        <v>45978</v>
      </c>
      <c r="C3516" s="25"/>
      <c r="D3516" s="13" t="s">
        <v>10964</v>
      </c>
      <c r="E3516" s="111"/>
      <c r="F3516" s="113" t="s">
        <v>10966</v>
      </c>
      <c r="G3516" s="114"/>
      <c r="H3516" s="115"/>
      <c r="I3516" s="24" t="s">
        <v>10967</v>
      </c>
      <c r="J3516" s="116">
        <v>3.5</v>
      </c>
      <c r="K3516" s="118">
        <v>1764000</v>
      </c>
      <c r="L3516" s="119"/>
      <c r="M3516" s="118">
        <f t="shared" ref="M3516" si="3022">K3516*0.1</f>
        <v>176400</v>
      </c>
      <c r="N3516" s="119"/>
      <c r="O3516" s="118">
        <f>12000+1200</f>
        <v>13200</v>
      </c>
      <c r="P3516" s="119"/>
      <c r="Q3516" s="118">
        <v>20270</v>
      </c>
      <c r="R3516" s="119"/>
      <c r="S3516" s="118">
        <v>14850</v>
      </c>
      <c r="T3516" s="119"/>
      <c r="U3516" s="118">
        <f t="shared" ref="U3516" si="3023">SUM(K3516:T3517)</f>
        <v>1988720</v>
      </c>
      <c r="V3516" s="122"/>
      <c r="W3516" s="124"/>
      <c r="X3516" s="126" t="s">
        <v>10969</v>
      </c>
      <c r="Y3516" s="127"/>
      <c r="Z3516" s="127"/>
      <c r="AA3516" s="127"/>
      <c r="AB3516" s="128"/>
      <c r="AC3516" s="15" t="s">
        <v>20</v>
      </c>
      <c r="AD3516" s="129" t="s">
        <v>10913</v>
      </c>
      <c r="AE3516" s="130"/>
      <c r="AF3516" s="130"/>
      <c r="AG3516" s="130"/>
      <c r="AH3516" s="130"/>
      <c r="AI3516" s="131"/>
      <c r="AJ3516" s="132"/>
      <c r="AK3516" s="127"/>
      <c r="AL3516" s="128"/>
      <c r="AM3516" s="21"/>
      <c r="AN3516" s="133">
        <v>45983</v>
      </c>
      <c r="AO3516" s="134"/>
      <c r="AP3516" s="135">
        <v>1277</v>
      </c>
      <c r="AQ3516" s="136"/>
      <c r="AR3516" s="118">
        <v>1950000</v>
      </c>
      <c r="AS3516" s="119"/>
      <c r="AT3516" s="118">
        <f t="shared" ref="AT3516" si="3024">AR3516*0.1</f>
        <v>195000</v>
      </c>
      <c r="AU3516" s="119"/>
      <c r="AV3516" s="118">
        <v>20270</v>
      </c>
      <c r="AW3516" s="119"/>
      <c r="AX3516" s="118">
        <f t="shared" ref="AX3516" si="3025">SUM(AR3516:AW3516)</f>
        <v>2165270</v>
      </c>
      <c r="AY3516" s="119"/>
      <c r="AZ3516" s="137">
        <v>45987</v>
      </c>
    </row>
    <row r="3517" spans="1:52" ht="17.100000000000001" customHeight="1" thickBot="1">
      <c r="A3517" s="110"/>
      <c r="B3517" s="27" t="s">
        <v>10963</v>
      </c>
      <c r="C3517" s="27">
        <v>10026</v>
      </c>
      <c r="D3517" s="14" t="s">
        <v>10965</v>
      </c>
      <c r="E3517" s="112"/>
      <c r="F3517" s="139" t="s">
        <v>10968</v>
      </c>
      <c r="G3517" s="140"/>
      <c r="H3517" s="141"/>
      <c r="I3517" s="26">
        <v>44659</v>
      </c>
      <c r="J3517" s="117"/>
      <c r="K3517" s="120"/>
      <c r="L3517" s="121"/>
      <c r="M3517" s="120"/>
      <c r="N3517" s="121"/>
      <c r="O3517" s="120"/>
      <c r="P3517" s="121"/>
      <c r="Q3517" s="120"/>
      <c r="R3517" s="121"/>
      <c r="S3517" s="120"/>
      <c r="T3517" s="121"/>
      <c r="U3517" s="120"/>
      <c r="V3517" s="123"/>
      <c r="W3517" s="125"/>
      <c r="X3517" s="142" t="s">
        <v>11429</v>
      </c>
      <c r="Y3517" s="143"/>
      <c r="Z3517" s="143"/>
      <c r="AA3517" s="143"/>
      <c r="AB3517" s="144"/>
      <c r="AC3517" s="16" t="s">
        <v>21</v>
      </c>
      <c r="AD3517" s="17" t="s">
        <v>2218</v>
      </c>
      <c r="AE3517" s="145" t="s">
        <v>2892</v>
      </c>
      <c r="AF3517" s="146"/>
      <c r="AG3517" s="146"/>
      <c r="AH3517" s="146"/>
      <c r="AI3517" s="147"/>
      <c r="AJ3517" s="148"/>
      <c r="AK3517" s="143"/>
      <c r="AL3517" s="144"/>
      <c r="AM3517" s="22"/>
      <c r="AN3517" s="149" t="s">
        <v>6748</v>
      </c>
      <c r="AO3517" s="144"/>
      <c r="AP3517" s="148">
        <v>80364</v>
      </c>
      <c r="AQ3517" s="144"/>
      <c r="AR3517" s="120"/>
      <c r="AS3517" s="121"/>
      <c r="AT3517" s="120"/>
      <c r="AU3517" s="121"/>
      <c r="AV3517" s="120"/>
      <c r="AW3517" s="121"/>
      <c r="AX3517" s="120"/>
      <c r="AY3517" s="121"/>
      <c r="AZ3517" s="138"/>
    </row>
    <row r="3518" spans="1:52" ht="17.100000000000001" customHeight="1" thickTop="1">
      <c r="A3518" s="109" t="s">
        <v>11065</v>
      </c>
      <c r="B3518" s="28">
        <v>45978</v>
      </c>
      <c r="C3518" s="25"/>
      <c r="D3518" s="13" t="s">
        <v>10970</v>
      </c>
      <c r="E3518" s="111"/>
      <c r="F3518" s="113" t="s">
        <v>10972</v>
      </c>
      <c r="G3518" s="114"/>
      <c r="H3518" s="115"/>
      <c r="I3518" s="24" t="s">
        <v>10974</v>
      </c>
      <c r="J3518" s="116">
        <v>4.5</v>
      </c>
      <c r="K3518" s="118">
        <v>2556000</v>
      </c>
      <c r="L3518" s="119"/>
      <c r="M3518" s="118">
        <f t="shared" ref="M3518" si="3026">K3518*0.1</f>
        <v>255600</v>
      </c>
      <c r="N3518" s="119"/>
      <c r="O3518" s="118">
        <v>13200</v>
      </c>
      <c r="P3518" s="119"/>
      <c r="Q3518" s="118">
        <v>18170</v>
      </c>
      <c r="R3518" s="119"/>
      <c r="S3518" s="118">
        <v>14850</v>
      </c>
      <c r="T3518" s="119"/>
      <c r="U3518" s="118">
        <f t="shared" ref="U3518" si="3027">SUM(K3518:T3519)</f>
        <v>2857820</v>
      </c>
      <c r="V3518" s="122"/>
      <c r="W3518" s="124"/>
      <c r="X3518" s="126" t="s">
        <v>10975</v>
      </c>
      <c r="Y3518" s="127"/>
      <c r="Z3518" s="127"/>
      <c r="AA3518" s="127"/>
      <c r="AB3518" s="128"/>
      <c r="AC3518" s="15" t="s">
        <v>20</v>
      </c>
      <c r="AD3518" s="129" t="s">
        <v>10913</v>
      </c>
      <c r="AE3518" s="130"/>
      <c r="AF3518" s="130"/>
      <c r="AG3518" s="130"/>
      <c r="AH3518" s="130"/>
      <c r="AI3518" s="131"/>
      <c r="AJ3518" s="132"/>
      <c r="AK3518" s="127"/>
      <c r="AL3518" s="128"/>
      <c r="AM3518" s="21"/>
      <c r="AN3518" s="133">
        <v>45983</v>
      </c>
      <c r="AO3518" s="134"/>
      <c r="AP3518" s="135">
        <v>1277</v>
      </c>
      <c r="AQ3518" s="136"/>
      <c r="AR3518" s="118">
        <v>2690000</v>
      </c>
      <c r="AS3518" s="119"/>
      <c r="AT3518" s="118">
        <f t="shared" ref="AT3518" si="3028">AR3518*0.1</f>
        <v>269000</v>
      </c>
      <c r="AU3518" s="119"/>
      <c r="AV3518" s="118">
        <v>18170</v>
      </c>
      <c r="AW3518" s="119"/>
      <c r="AX3518" s="118">
        <f t="shared" ref="AX3518" si="3029">SUM(AR3518:AW3518)</f>
        <v>2977170</v>
      </c>
      <c r="AY3518" s="119"/>
      <c r="AZ3518" s="137">
        <v>45992</v>
      </c>
    </row>
    <row r="3519" spans="1:52" ht="17.100000000000001" customHeight="1" thickBot="1">
      <c r="A3519" s="110"/>
      <c r="B3519" s="27" t="s">
        <v>10963</v>
      </c>
      <c r="C3519" s="27">
        <v>10027</v>
      </c>
      <c r="D3519" s="14" t="s">
        <v>10971</v>
      </c>
      <c r="E3519" s="112"/>
      <c r="F3519" s="139" t="s">
        <v>10973</v>
      </c>
      <c r="G3519" s="140"/>
      <c r="H3519" s="141"/>
      <c r="I3519" s="26">
        <v>26709</v>
      </c>
      <c r="J3519" s="117"/>
      <c r="K3519" s="120"/>
      <c r="L3519" s="121"/>
      <c r="M3519" s="120"/>
      <c r="N3519" s="121"/>
      <c r="O3519" s="120"/>
      <c r="P3519" s="121"/>
      <c r="Q3519" s="120"/>
      <c r="R3519" s="121"/>
      <c r="S3519" s="120"/>
      <c r="T3519" s="121"/>
      <c r="U3519" s="120"/>
      <c r="V3519" s="123"/>
      <c r="W3519" s="125"/>
      <c r="X3519" s="142" t="s">
        <v>11482</v>
      </c>
      <c r="Y3519" s="143"/>
      <c r="Z3519" s="143"/>
      <c r="AA3519" s="143"/>
      <c r="AB3519" s="144"/>
      <c r="AC3519" s="16" t="s">
        <v>21</v>
      </c>
      <c r="AD3519" s="17" t="s">
        <v>11478</v>
      </c>
      <c r="AE3519" s="145" t="s">
        <v>1670</v>
      </c>
      <c r="AF3519" s="146"/>
      <c r="AG3519" s="146"/>
      <c r="AH3519" s="146"/>
      <c r="AI3519" s="147"/>
      <c r="AJ3519" s="148"/>
      <c r="AK3519" s="143"/>
      <c r="AL3519" s="144"/>
      <c r="AM3519" s="22"/>
      <c r="AN3519" s="149" t="s">
        <v>2511</v>
      </c>
      <c r="AO3519" s="144"/>
      <c r="AP3519" s="148">
        <v>80321</v>
      </c>
      <c r="AQ3519" s="144"/>
      <c r="AR3519" s="120"/>
      <c r="AS3519" s="121"/>
      <c r="AT3519" s="120"/>
      <c r="AU3519" s="121"/>
      <c r="AV3519" s="120"/>
      <c r="AW3519" s="121"/>
      <c r="AX3519" s="120"/>
      <c r="AY3519" s="121"/>
      <c r="AZ3519" s="138"/>
    </row>
    <row r="3520" spans="1:52" ht="17.100000000000001" customHeight="1" thickTop="1">
      <c r="A3520" s="109" t="s">
        <v>11066</v>
      </c>
      <c r="B3520" s="28">
        <v>45978</v>
      </c>
      <c r="C3520" s="25"/>
      <c r="D3520" s="13" t="s">
        <v>11021</v>
      </c>
      <c r="E3520" s="111"/>
      <c r="F3520" s="113" t="s">
        <v>11022</v>
      </c>
      <c r="G3520" s="114"/>
      <c r="H3520" s="115"/>
      <c r="I3520" s="24"/>
      <c r="J3520" s="116">
        <v>4.5</v>
      </c>
      <c r="K3520" s="118">
        <v>1208000</v>
      </c>
      <c r="L3520" s="119"/>
      <c r="M3520" s="118">
        <f t="shared" ref="M3520" si="3030">K3520*0.1</f>
        <v>120800</v>
      </c>
      <c r="N3520" s="119"/>
      <c r="O3520" s="118">
        <v>0</v>
      </c>
      <c r="P3520" s="119"/>
      <c r="Q3520" s="118">
        <v>11930</v>
      </c>
      <c r="R3520" s="119"/>
      <c r="S3520" s="118">
        <v>14850</v>
      </c>
      <c r="T3520" s="119"/>
      <c r="U3520" s="118">
        <f t="shared" ref="U3520" si="3031">SUM(K3520:T3521)</f>
        <v>1355580</v>
      </c>
      <c r="V3520" s="122"/>
      <c r="W3520" s="124"/>
      <c r="X3520" s="126" t="s">
        <v>11320</v>
      </c>
      <c r="Y3520" s="127"/>
      <c r="Z3520" s="127"/>
      <c r="AA3520" s="127"/>
      <c r="AB3520" s="128"/>
      <c r="AC3520" s="15" t="s">
        <v>20</v>
      </c>
      <c r="AD3520" s="129" t="s">
        <v>10913</v>
      </c>
      <c r="AE3520" s="130"/>
      <c r="AF3520" s="130"/>
      <c r="AG3520" s="130"/>
      <c r="AH3520" s="130"/>
      <c r="AI3520" s="131"/>
      <c r="AJ3520" s="132"/>
      <c r="AK3520" s="127"/>
      <c r="AL3520" s="128"/>
      <c r="AM3520" s="21"/>
      <c r="AN3520" s="133">
        <v>46011</v>
      </c>
      <c r="AO3520" s="134"/>
      <c r="AP3520" s="135">
        <v>1281</v>
      </c>
      <c r="AQ3520" s="136"/>
      <c r="AR3520" s="118">
        <v>1280000</v>
      </c>
      <c r="AS3520" s="119"/>
      <c r="AT3520" s="118">
        <f t="shared" ref="AT3520" si="3032">AR3520*0.1</f>
        <v>128000</v>
      </c>
      <c r="AU3520" s="119"/>
      <c r="AV3520" s="118">
        <v>11930</v>
      </c>
      <c r="AW3520" s="119"/>
      <c r="AX3520" s="118">
        <f t="shared" ref="AX3520" si="3033">SUM(AR3520:AW3520)</f>
        <v>1419930</v>
      </c>
      <c r="AY3520" s="119"/>
      <c r="AZ3520" s="137">
        <v>46014</v>
      </c>
    </row>
    <row r="3521" spans="1:52" ht="17.100000000000001" customHeight="1" thickBot="1">
      <c r="A3521" s="110"/>
      <c r="B3521" s="27" t="s">
        <v>10963</v>
      </c>
      <c r="C3521" s="27">
        <v>20191</v>
      </c>
      <c r="D3521" s="14" t="s">
        <v>5505</v>
      </c>
      <c r="E3521" s="112"/>
      <c r="F3521" s="139" t="s">
        <v>11319</v>
      </c>
      <c r="G3521" s="140"/>
      <c r="H3521" s="141"/>
      <c r="I3521" s="26">
        <v>55033</v>
      </c>
      <c r="J3521" s="117"/>
      <c r="K3521" s="120"/>
      <c r="L3521" s="121"/>
      <c r="M3521" s="120"/>
      <c r="N3521" s="121"/>
      <c r="O3521" s="120"/>
      <c r="P3521" s="121"/>
      <c r="Q3521" s="120"/>
      <c r="R3521" s="121"/>
      <c r="S3521" s="120"/>
      <c r="T3521" s="121"/>
      <c r="U3521" s="120"/>
      <c r="V3521" s="123"/>
      <c r="W3521" s="125"/>
      <c r="X3521" s="142" t="s">
        <v>11321</v>
      </c>
      <c r="Y3521" s="143"/>
      <c r="Z3521" s="143"/>
      <c r="AA3521" s="143"/>
      <c r="AB3521" s="144"/>
      <c r="AC3521" s="16" t="s">
        <v>21</v>
      </c>
      <c r="AD3521" s="17" t="s">
        <v>2630</v>
      </c>
      <c r="AE3521" s="145" t="s">
        <v>1945</v>
      </c>
      <c r="AF3521" s="146"/>
      <c r="AG3521" s="146"/>
      <c r="AH3521" s="146"/>
      <c r="AI3521" s="147"/>
      <c r="AJ3521" s="148"/>
      <c r="AK3521" s="143"/>
      <c r="AL3521" s="144"/>
      <c r="AM3521" s="22"/>
      <c r="AN3521" s="149" t="s">
        <v>2511</v>
      </c>
      <c r="AO3521" s="144"/>
      <c r="AP3521" s="148">
        <v>80138</v>
      </c>
      <c r="AQ3521" s="144"/>
      <c r="AR3521" s="120"/>
      <c r="AS3521" s="121"/>
      <c r="AT3521" s="120"/>
      <c r="AU3521" s="121"/>
      <c r="AV3521" s="120"/>
      <c r="AW3521" s="121"/>
      <c r="AX3521" s="120"/>
      <c r="AY3521" s="121"/>
      <c r="AZ3521" s="138"/>
    </row>
    <row r="3522" spans="1:52" ht="17.100000000000001" customHeight="1" thickTop="1">
      <c r="A3522" s="109" t="s">
        <v>11067</v>
      </c>
      <c r="B3522" s="28">
        <v>45978</v>
      </c>
      <c r="C3522" s="25"/>
      <c r="D3522" s="13" t="s">
        <v>11002</v>
      </c>
      <c r="E3522" s="111"/>
      <c r="F3522" s="113" t="s">
        <v>11004</v>
      </c>
      <c r="G3522" s="114"/>
      <c r="H3522" s="115"/>
      <c r="I3522" s="24" t="s">
        <v>11006</v>
      </c>
      <c r="J3522" s="116">
        <v>4</v>
      </c>
      <c r="K3522" s="118">
        <v>551000</v>
      </c>
      <c r="L3522" s="119"/>
      <c r="M3522" s="118">
        <f t="shared" ref="M3522" si="3034">K3522*0.1</f>
        <v>55100</v>
      </c>
      <c r="N3522" s="119"/>
      <c r="O3522" s="118">
        <f>13100+1310</f>
        <v>14410</v>
      </c>
      <c r="P3522" s="119"/>
      <c r="Q3522" s="118">
        <v>19120</v>
      </c>
      <c r="R3522" s="119"/>
      <c r="S3522" s="118">
        <v>14850</v>
      </c>
      <c r="T3522" s="119"/>
      <c r="U3522" s="118">
        <f t="shared" ref="U3522" si="3035">SUM(K3522:T3523)</f>
        <v>654480</v>
      </c>
      <c r="V3522" s="122"/>
      <c r="W3522" s="124"/>
      <c r="X3522" s="126" t="s">
        <v>11007</v>
      </c>
      <c r="Y3522" s="127"/>
      <c r="Z3522" s="127"/>
      <c r="AA3522" s="127"/>
      <c r="AB3522" s="128"/>
      <c r="AC3522" s="15" t="s">
        <v>20</v>
      </c>
      <c r="AD3522" s="129" t="s">
        <v>10913</v>
      </c>
      <c r="AE3522" s="130"/>
      <c r="AF3522" s="130"/>
      <c r="AG3522" s="130"/>
      <c r="AH3522" s="130"/>
      <c r="AI3522" s="131"/>
      <c r="AJ3522" s="132"/>
      <c r="AK3522" s="127"/>
      <c r="AL3522" s="128"/>
      <c r="AM3522" s="21"/>
      <c r="AN3522" s="133">
        <v>46004</v>
      </c>
      <c r="AO3522" s="134"/>
      <c r="AP3522" s="135">
        <v>1280</v>
      </c>
      <c r="AQ3522" s="136"/>
      <c r="AR3522" s="118">
        <v>685000</v>
      </c>
      <c r="AS3522" s="119"/>
      <c r="AT3522" s="118">
        <f t="shared" ref="AT3522" si="3036">AR3522*0.1</f>
        <v>68500</v>
      </c>
      <c r="AU3522" s="119"/>
      <c r="AV3522" s="118">
        <v>19120</v>
      </c>
      <c r="AW3522" s="119"/>
      <c r="AX3522" s="118">
        <f t="shared" ref="AX3522" si="3037">SUM(AR3522:AW3522)</f>
        <v>772620</v>
      </c>
      <c r="AY3522" s="119"/>
      <c r="AZ3522" s="137">
        <v>46014</v>
      </c>
    </row>
    <row r="3523" spans="1:52" ht="17.100000000000001" customHeight="1" thickBot="1">
      <c r="A3523" s="110"/>
      <c r="B3523" s="27" t="s">
        <v>11001</v>
      </c>
      <c r="C3523" s="27">
        <v>55206</v>
      </c>
      <c r="D3523" s="14" t="s">
        <v>11003</v>
      </c>
      <c r="E3523" s="112"/>
      <c r="F3523" s="139" t="s">
        <v>11005</v>
      </c>
      <c r="G3523" s="140"/>
      <c r="H3523" s="141"/>
      <c r="I3523" s="26">
        <v>61763</v>
      </c>
      <c r="J3523" s="117"/>
      <c r="K3523" s="120"/>
      <c r="L3523" s="121"/>
      <c r="M3523" s="120"/>
      <c r="N3523" s="121"/>
      <c r="O3523" s="120"/>
      <c r="P3523" s="121"/>
      <c r="Q3523" s="120"/>
      <c r="R3523" s="121"/>
      <c r="S3523" s="120"/>
      <c r="T3523" s="121"/>
      <c r="U3523" s="120"/>
      <c r="V3523" s="123"/>
      <c r="W3523" s="125"/>
      <c r="X3523" s="142" t="s">
        <v>4167</v>
      </c>
      <c r="Y3523" s="143"/>
      <c r="Z3523" s="143"/>
      <c r="AA3523" s="143"/>
      <c r="AB3523" s="144"/>
      <c r="AC3523" s="16" t="s">
        <v>21</v>
      </c>
      <c r="AD3523" s="17" t="s">
        <v>2218</v>
      </c>
      <c r="AE3523" s="145" t="s">
        <v>11428</v>
      </c>
      <c r="AF3523" s="146"/>
      <c r="AG3523" s="146"/>
      <c r="AH3523" s="146"/>
      <c r="AI3523" s="147"/>
      <c r="AJ3523" s="148"/>
      <c r="AK3523" s="143"/>
      <c r="AL3523" s="144"/>
      <c r="AM3523" s="22"/>
      <c r="AN3523" s="149" t="s">
        <v>7284</v>
      </c>
      <c r="AO3523" s="144"/>
      <c r="AP3523" s="148">
        <v>80093</v>
      </c>
      <c r="AQ3523" s="144"/>
      <c r="AR3523" s="120"/>
      <c r="AS3523" s="121"/>
      <c r="AT3523" s="120"/>
      <c r="AU3523" s="121"/>
      <c r="AV3523" s="120"/>
      <c r="AW3523" s="121"/>
      <c r="AX3523" s="120"/>
      <c r="AY3523" s="121"/>
      <c r="AZ3523" s="138"/>
    </row>
    <row r="3524" spans="1:52" ht="17.100000000000001" customHeight="1" thickTop="1">
      <c r="A3524" s="109" t="s">
        <v>11068</v>
      </c>
      <c r="B3524" s="28">
        <v>45978</v>
      </c>
      <c r="C3524" s="25">
        <v>2069</v>
      </c>
      <c r="D3524" s="13" t="s">
        <v>10987</v>
      </c>
      <c r="E3524" s="111"/>
      <c r="F3524" s="113" t="s">
        <v>10989</v>
      </c>
      <c r="G3524" s="114"/>
      <c r="H3524" s="115"/>
      <c r="I3524" s="24"/>
      <c r="J3524" s="116">
        <v>4</v>
      </c>
      <c r="K3524" s="118">
        <v>2010000</v>
      </c>
      <c r="L3524" s="119"/>
      <c r="M3524" s="118">
        <f t="shared" ref="M3524" si="3038">K3524*0.1</f>
        <v>201000</v>
      </c>
      <c r="N3524" s="119"/>
      <c r="O3524" s="118">
        <v>0</v>
      </c>
      <c r="P3524" s="119"/>
      <c r="Q3524" s="118">
        <v>20630</v>
      </c>
      <c r="R3524" s="119"/>
      <c r="S3524" s="118">
        <v>11000</v>
      </c>
      <c r="T3524" s="119"/>
      <c r="U3524" s="118">
        <f t="shared" ref="U3524" si="3039">SUM(K3524:T3525)</f>
        <v>2242630</v>
      </c>
      <c r="V3524" s="122"/>
      <c r="W3524" s="124"/>
      <c r="X3524" s="126" t="s">
        <v>11206</v>
      </c>
      <c r="Y3524" s="127"/>
      <c r="Z3524" s="127"/>
      <c r="AA3524" s="127"/>
      <c r="AB3524" s="128"/>
      <c r="AC3524" s="15" t="s">
        <v>20</v>
      </c>
      <c r="AD3524" s="129"/>
      <c r="AE3524" s="130"/>
      <c r="AF3524" s="130"/>
      <c r="AG3524" s="130"/>
      <c r="AH3524" s="130"/>
      <c r="AI3524" s="131"/>
      <c r="AJ3524" s="132"/>
      <c r="AK3524" s="127"/>
      <c r="AL3524" s="128"/>
      <c r="AM3524" s="21"/>
      <c r="AN3524" s="133">
        <v>45990</v>
      </c>
      <c r="AO3524" s="134"/>
      <c r="AP3524" s="135">
        <v>1278</v>
      </c>
      <c r="AQ3524" s="136"/>
      <c r="AR3524" s="118">
        <v>2155000</v>
      </c>
      <c r="AS3524" s="119"/>
      <c r="AT3524" s="118">
        <f t="shared" ref="AT3524" si="3040">AR3524*0.1</f>
        <v>215500</v>
      </c>
      <c r="AU3524" s="119"/>
      <c r="AV3524" s="118">
        <v>20630</v>
      </c>
      <c r="AW3524" s="119"/>
      <c r="AX3524" s="118">
        <f t="shared" ref="AX3524" si="3041">SUM(AR3524:AW3524)</f>
        <v>2391130</v>
      </c>
      <c r="AY3524" s="119"/>
      <c r="AZ3524" s="137">
        <v>45994</v>
      </c>
    </row>
    <row r="3525" spans="1:52" ht="17.100000000000001" customHeight="1" thickBot="1">
      <c r="A3525" s="110"/>
      <c r="B3525" s="27" t="s">
        <v>10986</v>
      </c>
      <c r="C3525" s="27">
        <v>32003</v>
      </c>
      <c r="D3525" s="14" t="s">
        <v>10988</v>
      </c>
      <c r="E3525" s="112"/>
      <c r="F3525" s="139" t="s">
        <v>10990</v>
      </c>
      <c r="G3525" s="140"/>
      <c r="H3525" s="141"/>
      <c r="I3525" s="26">
        <v>33649</v>
      </c>
      <c r="J3525" s="117"/>
      <c r="K3525" s="120"/>
      <c r="L3525" s="121"/>
      <c r="M3525" s="120"/>
      <c r="N3525" s="121"/>
      <c r="O3525" s="120"/>
      <c r="P3525" s="121"/>
      <c r="Q3525" s="120"/>
      <c r="R3525" s="121"/>
      <c r="S3525" s="120"/>
      <c r="T3525" s="121"/>
      <c r="U3525" s="120"/>
      <c r="V3525" s="123"/>
      <c r="W3525" s="125"/>
      <c r="X3525" s="142" t="s">
        <v>2440</v>
      </c>
      <c r="Y3525" s="143"/>
      <c r="Z3525" s="143"/>
      <c r="AA3525" s="143"/>
      <c r="AB3525" s="144"/>
      <c r="AC3525" s="16" t="s">
        <v>21</v>
      </c>
      <c r="AD3525" s="17" t="s">
        <v>11105</v>
      </c>
      <c r="AE3525" s="145" t="s">
        <v>5319</v>
      </c>
      <c r="AF3525" s="146"/>
      <c r="AG3525" s="146"/>
      <c r="AH3525" s="146"/>
      <c r="AI3525" s="147"/>
      <c r="AJ3525" s="148"/>
      <c r="AK3525" s="143"/>
      <c r="AL3525" s="144"/>
      <c r="AM3525" s="22"/>
      <c r="AN3525" s="149" t="s">
        <v>2511</v>
      </c>
      <c r="AO3525" s="144"/>
      <c r="AP3525" s="148">
        <v>80008</v>
      </c>
      <c r="AQ3525" s="144"/>
      <c r="AR3525" s="120"/>
      <c r="AS3525" s="121"/>
      <c r="AT3525" s="120"/>
      <c r="AU3525" s="121"/>
      <c r="AV3525" s="120"/>
      <c r="AW3525" s="121"/>
      <c r="AX3525" s="120"/>
      <c r="AY3525" s="121"/>
      <c r="AZ3525" s="138"/>
    </row>
    <row r="3526" spans="1:52" ht="17.100000000000001" customHeight="1" thickTop="1">
      <c r="A3526" s="109" t="s">
        <v>11069</v>
      </c>
      <c r="B3526" s="28">
        <v>45978</v>
      </c>
      <c r="C3526" s="25">
        <v>2069</v>
      </c>
      <c r="D3526" s="13" t="s">
        <v>10991</v>
      </c>
      <c r="E3526" s="111"/>
      <c r="F3526" s="113" t="s">
        <v>11071</v>
      </c>
      <c r="G3526" s="114"/>
      <c r="H3526" s="115"/>
      <c r="I3526" s="24"/>
      <c r="J3526" s="116">
        <v>4</v>
      </c>
      <c r="K3526" s="118">
        <v>2330000</v>
      </c>
      <c r="L3526" s="119"/>
      <c r="M3526" s="118">
        <f t="shared" ref="M3526" si="3042">K3526*0.1</f>
        <v>233000</v>
      </c>
      <c r="N3526" s="119"/>
      <c r="O3526" s="118">
        <v>0</v>
      </c>
      <c r="P3526" s="119"/>
      <c r="Q3526" s="118">
        <v>18800</v>
      </c>
      <c r="R3526" s="119"/>
      <c r="S3526" s="118">
        <v>11000</v>
      </c>
      <c r="T3526" s="119"/>
      <c r="U3526" s="118">
        <f t="shared" ref="U3526" si="3043">SUM(K3526:T3527)</f>
        <v>2592800</v>
      </c>
      <c r="V3526" s="122"/>
      <c r="W3526" s="124"/>
      <c r="X3526" s="126" t="s">
        <v>11331</v>
      </c>
      <c r="Y3526" s="127"/>
      <c r="Z3526" s="127"/>
      <c r="AA3526" s="127"/>
      <c r="AB3526" s="128"/>
      <c r="AC3526" s="15" t="s">
        <v>20</v>
      </c>
      <c r="AD3526" s="129" t="s">
        <v>10936</v>
      </c>
      <c r="AE3526" s="130"/>
      <c r="AF3526" s="130"/>
      <c r="AG3526" s="130"/>
      <c r="AH3526" s="130"/>
      <c r="AI3526" s="131"/>
      <c r="AJ3526" s="132"/>
      <c r="AK3526" s="127"/>
      <c r="AL3526" s="128"/>
      <c r="AM3526" s="21"/>
      <c r="AN3526" s="133">
        <v>46004</v>
      </c>
      <c r="AO3526" s="134"/>
      <c r="AP3526" s="135">
        <v>1280</v>
      </c>
      <c r="AQ3526" s="136"/>
      <c r="AR3526" s="118">
        <v>2460000</v>
      </c>
      <c r="AS3526" s="119"/>
      <c r="AT3526" s="118">
        <f t="shared" ref="AT3526" si="3044">AR3526*0.1</f>
        <v>246000</v>
      </c>
      <c r="AU3526" s="119"/>
      <c r="AV3526" s="118">
        <v>18800</v>
      </c>
      <c r="AW3526" s="119"/>
      <c r="AX3526" s="118">
        <f t="shared" ref="AX3526" si="3045">SUM(AR3526:AW3526)</f>
        <v>2724800</v>
      </c>
      <c r="AY3526" s="119"/>
      <c r="AZ3526" s="137">
        <v>46008</v>
      </c>
    </row>
    <row r="3527" spans="1:52" ht="17.100000000000001" customHeight="1" thickBot="1">
      <c r="A3527" s="110"/>
      <c r="B3527" s="27" t="s">
        <v>10986</v>
      </c>
      <c r="C3527" s="27">
        <v>33513</v>
      </c>
      <c r="D3527" s="14" t="s">
        <v>133</v>
      </c>
      <c r="E3527" s="112"/>
      <c r="F3527" s="139" t="s">
        <v>10992</v>
      </c>
      <c r="G3527" s="140"/>
      <c r="H3527" s="141"/>
      <c r="I3527" s="26">
        <v>36884</v>
      </c>
      <c r="J3527" s="117"/>
      <c r="K3527" s="120"/>
      <c r="L3527" s="121"/>
      <c r="M3527" s="120"/>
      <c r="N3527" s="121"/>
      <c r="O3527" s="120"/>
      <c r="P3527" s="121"/>
      <c r="Q3527" s="120"/>
      <c r="R3527" s="121"/>
      <c r="S3527" s="120"/>
      <c r="T3527" s="121"/>
      <c r="U3527" s="120"/>
      <c r="V3527" s="123"/>
      <c r="W3527" s="125"/>
      <c r="X3527" s="142" t="s">
        <v>4820</v>
      </c>
      <c r="Y3527" s="143"/>
      <c r="Z3527" s="143"/>
      <c r="AA3527" s="143"/>
      <c r="AB3527" s="144"/>
      <c r="AC3527" s="16" t="s">
        <v>21</v>
      </c>
      <c r="AD3527" s="17" t="s">
        <v>2630</v>
      </c>
      <c r="AE3527" s="145" t="s">
        <v>171</v>
      </c>
      <c r="AF3527" s="146"/>
      <c r="AG3527" s="146"/>
      <c r="AH3527" s="146"/>
      <c r="AI3527" s="147"/>
      <c r="AJ3527" s="148"/>
      <c r="AK3527" s="143"/>
      <c r="AL3527" s="144"/>
      <c r="AM3527" s="22"/>
      <c r="AN3527" s="149" t="s">
        <v>6749</v>
      </c>
      <c r="AO3527" s="144"/>
      <c r="AP3527" s="148">
        <v>80177</v>
      </c>
      <c r="AQ3527" s="144"/>
      <c r="AR3527" s="120"/>
      <c r="AS3527" s="121"/>
      <c r="AT3527" s="120"/>
      <c r="AU3527" s="121"/>
      <c r="AV3527" s="120"/>
      <c r="AW3527" s="121"/>
      <c r="AX3527" s="120"/>
      <c r="AY3527" s="121"/>
      <c r="AZ3527" s="138"/>
    </row>
    <row r="3528" spans="1:52" ht="17.100000000000001" customHeight="1" thickTop="1">
      <c r="A3528" s="109" t="s">
        <v>11070</v>
      </c>
      <c r="B3528" s="28">
        <v>45978</v>
      </c>
      <c r="C3528" s="25">
        <v>2069</v>
      </c>
      <c r="D3528" s="13" t="s">
        <v>10993</v>
      </c>
      <c r="E3528" s="111"/>
      <c r="F3528" s="113" t="s">
        <v>10995</v>
      </c>
      <c r="G3528" s="114"/>
      <c r="H3528" s="115"/>
      <c r="I3528" s="24" t="s">
        <v>10997</v>
      </c>
      <c r="J3528" s="116">
        <v>3.5</v>
      </c>
      <c r="K3528" s="118">
        <v>2120000</v>
      </c>
      <c r="L3528" s="119"/>
      <c r="M3528" s="118">
        <f t="shared" ref="M3528" si="3046">K3528*0.1</f>
        <v>212000</v>
      </c>
      <c r="N3528" s="119"/>
      <c r="O3528" s="118">
        <f>17000+1700</f>
        <v>18700</v>
      </c>
      <c r="P3528" s="119"/>
      <c r="Q3528" s="118">
        <v>18920</v>
      </c>
      <c r="R3528" s="119"/>
      <c r="S3528" s="118">
        <v>11000</v>
      </c>
      <c r="T3528" s="119"/>
      <c r="U3528" s="118">
        <f t="shared" ref="U3528" si="3047">SUM(K3528:T3529)</f>
        <v>2380620</v>
      </c>
      <c r="V3528" s="122"/>
      <c r="W3528" s="124"/>
      <c r="X3528" s="126" t="s">
        <v>11620</v>
      </c>
      <c r="Y3528" s="127"/>
      <c r="Z3528" s="127"/>
      <c r="AA3528" s="127"/>
      <c r="AB3528" s="128"/>
      <c r="AC3528" s="15" t="s">
        <v>20</v>
      </c>
      <c r="AD3528" s="129" t="s">
        <v>10998</v>
      </c>
      <c r="AE3528" s="130"/>
      <c r="AF3528" s="130"/>
      <c r="AG3528" s="130"/>
      <c r="AH3528" s="130"/>
      <c r="AI3528" s="131"/>
      <c r="AJ3528" s="132"/>
      <c r="AK3528" s="127"/>
      <c r="AL3528" s="128"/>
      <c r="AM3528" s="21"/>
      <c r="AN3528" s="133">
        <v>46011</v>
      </c>
      <c r="AO3528" s="134"/>
      <c r="AP3528" s="135">
        <v>1281</v>
      </c>
      <c r="AQ3528" s="136"/>
      <c r="AR3528" s="118">
        <v>2340000</v>
      </c>
      <c r="AS3528" s="119"/>
      <c r="AT3528" s="118">
        <f t="shared" ref="AT3528" si="3048">AR3528*0.1</f>
        <v>234000</v>
      </c>
      <c r="AU3528" s="119"/>
      <c r="AV3528" s="118">
        <v>18920</v>
      </c>
      <c r="AW3528" s="119"/>
      <c r="AX3528" s="118">
        <f t="shared" ref="AX3528" si="3049">SUM(AR3528:AW3528)</f>
        <v>2592920</v>
      </c>
      <c r="AY3528" s="119"/>
      <c r="AZ3528" s="137">
        <v>46014</v>
      </c>
    </row>
    <row r="3529" spans="1:52" ht="17.100000000000001" customHeight="1" thickBot="1">
      <c r="A3529" s="110"/>
      <c r="B3529" s="27" t="s">
        <v>10986</v>
      </c>
      <c r="C3529" s="27">
        <v>34514</v>
      </c>
      <c r="D3529" s="14" t="s">
        <v>10994</v>
      </c>
      <c r="E3529" s="112"/>
      <c r="F3529" s="139" t="s">
        <v>10996</v>
      </c>
      <c r="G3529" s="140"/>
      <c r="H3529" s="141"/>
      <c r="I3529" s="26">
        <v>8542</v>
      </c>
      <c r="J3529" s="117"/>
      <c r="K3529" s="120"/>
      <c r="L3529" s="121"/>
      <c r="M3529" s="120"/>
      <c r="N3529" s="121"/>
      <c r="O3529" s="120"/>
      <c r="P3529" s="121"/>
      <c r="Q3529" s="120"/>
      <c r="R3529" s="121"/>
      <c r="S3529" s="120"/>
      <c r="T3529" s="121"/>
      <c r="U3529" s="120"/>
      <c r="V3529" s="123"/>
      <c r="W3529" s="125"/>
      <c r="X3529" s="142" t="s">
        <v>11621</v>
      </c>
      <c r="Y3529" s="143"/>
      <c r="Z3529" s="143"/>
      <c r="AA3529" s="143"/>
      <c r="AB3529" s="144"/>
      <c r="AC3529" s="16" t="s">
        <v>21</v>
      </c>
      <c r="AD3529" s="17" t="s">
        <v>2224</v>
      </c>
      <c r="AE3529" s="145" t="s">
        <v>1742</v>
      </c>
      <c r="AF3529" s="146"/>
      <c r="AG3529" s="146"/>
      <c r="AH3529" s="146"/>
      <c r="AI3529" s="147"/>
      <c r="AJ3529" s="148"/>
      <c r="AK3529" s="143"/>
      <c r="AL3529" s="144"/>
      <c r="AM3529" s="22"/>
      <c r="AN3529" s="149" t="s">
        <v>2511</v>
      </c>
      <c r="AO3529" s="144"/>
      <c r="AP3529" s="148">
        <v>80210</v>
      </c>
      <c r="AQ3529" s="144"/>
      <c r="AR3529" s="120"/>
      <c r="AS3529" s="121"/>
      <c r="AT3529" s="120"/>
      <c r="AU3529" s="121"/>
      <c r="AV3529" s="120"/>
      <c r="AW3529" s="121"/>
      <c r="AX3529" s="120"/>
      <c r="AY3529" s="121"/>
      <c r="AZ3529" s="138"/>
    </row>
    <row r="3530" spans="1:52" ht="17.100000000000001" customHeight="1" thickTop="1">
      <c r="A3530" s="109" t="s">
        <v>11072</v>
      </c>
      <c r="B3530" s="28">
        <v>45978</v>
      </c>
      <c r="C3530" s="25"/>
      <c r="D3530" s="13" t="s">
        <v>11048</v>
      </c>
      <c r="E3530" s="111"/>
      <c r="F3530" s="113" t="s">
        <v>11049</v>
      </c>
      <c r="G3530" s="114"/>
      <c r="H3530" s="115"/>
      <c r="I3530" s="24" t="s">
        <v>11051</v>
      </c>
      <c r="J3530" s="116">
        <v>5</v>
      </c>
      <c r="K3530" s="118">
        <f>6160000/1.1</f>
        <v>5600000</v>
      </c>
      <c r="L3530" s="119"/>
      <c r="M3530" s="118">
        <f t="shared" ref="M3530" si="3050">K3530*0.1</f>
        <v>560000</v>
      </c>
      <c r="N3530" s="119"/>
      <c r="O3530" s="118">
        <v>9000</v>
      </c>
      <c r="P3530" s="119"/>
      <c r="Q3530" s="118">
        <v>12480</v>
      </c>
      <c r="R3530" s="119"/>
      <c r="S3530" s="118">
        <v>0</v>
      </c>
      <c r="T3530" s="119"/>
      <c r="U3530" s="118">
        <f t="shared" ref="U3530" si="3051">SUM(K3530:T3531)</f>
        <v>6181480</v>
      </c>
      <c r="V3530" s="122"/>
      <c r="W3530" s="124"/>
      <c r="X3530" s="126" t="s">
        <v>12247</v>
      </c>
      <c r="Y3530" s="127"/>
      <c r="Z3530" s="127"/>
      <c r="AA3530" s="127"/>
      <c r="AB3530" s="128"/>
      <c r="AC3530" s="15" t="s">
        <v>20</v>
      </c>
      <c r="AD3530" s="129" t="s">
        <v>11052</v>
      </c>
      <c r="AE3530" s="130"/>
      <c r="AF3530" s="130"/>
      <c r="AG3530" s="130"/>
      <c r="AH3530" s="130"/>
      <c r="AI3530" s="131"/>
      <c r="AJ3530" s="132" t="s">
        <v>12305</v>
      </c>
      <c r="AK3530" s="127"/>
      <c r="AL3530" s="128"/>
      <c r="AM3530" s="21"/>
      <c r="AN3530" s="133">
        <v>46015</v>
      </c>
      <c r="AO3530" s="134"/>
      <c r="AP3530" s="135">
        <v>998</v>
      </c>
      <c r="AQ3530" s="136"/>
      <c r="AR3530" s="118">
        <v>5465000</v>
      </c>
      <c r="AS3530" s="119"/>
      <c r="AT3530" s="118">
        <f t="shared" ref="AT3530" si="3052">AR3530*0.1</f>
        <v>546500</v>
      </c>
      <c r="AU3530" s="119"/>
      <c r="AV3530" s="118">
        <v>12480</v>
      </c>
      <c r="AW3530" s="119"/>
      <c r="AX3530" s="118">
        <f t="shared" ref="AX3530" si="3053">SUM(AR3530:AW3530)</f>
        <v>6023980</v>
      </c>
      <c r="AY3530" s="119"/>
      <c r="AZ3530" s="137">
        <v>46027</v>
      </c>
    </row>
    <row r="3531" spans="1:52" ht="17.100000000000001" customHeight="1" thickBot="1">
      <c r="A3531" s="110"/>
      <c r="B3531" s="27" t="s">
        <v>1718</v>
      </c>
      <c r="C3531" s="27" t="s">
        <v>11047</v>
      </c>
      <c r="D3531" s="14" t="s">
        <v>10988</v>
      </c>
      <c r="E3531" s="112"/>
      <c r="F3531" s="139" t="s">
        <v>11050</v>
      </c>
      <c r="G3531" s="140"/>
      <c r="H3531" s="141"/>
      <c r="I3531" s="26">
        <v>908</v>
      </c>
      <c r="J3531" s="117"/>
      <c r="K3531" s="120"/>
      <c r="L3531" s="121"/>
      <c r="M3531" s="120"/>
      <c r="N3531" s="121"/>
      <c r="O3531" s="120"/>
      <c r="P3531" s="121"/>
      <c r="Q3531" s="120"/>
      <c r="R3531" s="121"/>
      <c r="S3531" s="120"/>
      <c r="T3531" s="121"/>
      <c r="U3531" s="120"/>
      <c r="V3531" s="123"/>
      <c r="W3531" s="125"/>
      <c r="X3531" s="142" t="s">
        <v>12248</v>
      </c>
      <c r="Y3531" s="143"/>
      <c r="Z3531" s="143"/>
      <c r="AA3531" s="143"/>
      <c r="AB3531" s="144"/>
      <c r="AC3531" s="16" t="s">
        <v>21</v>
      </c>
      <c r="AD3531" s="17" t="s">
        <v>1741</v>
      </c>
      <c r="AE3531" s="145" t="s">
        <v>12249</v>
      </c>
      <c r="AF3531" s="146"/>
      <c r="AG3531" s="146"/>
      <c r="AH3531" s="146"/>
      <c r="AI3531" s="147"/>
      <c r="AJ3531" s="148"/>
      <c r="AK3531" s="143"/>
      <c r="AL3531" s="144"/>
      <c r="AM3531" s="22"/>
      <c r="AN3531" s="149" t="s">
        <v>2794</v>
      </c>
      <c r="AO3531" s="144"/>
      <c r="AP3531" s="148">
        <v>6053</v>
      </c>
      <c r="AQ3531" s="144"/>
      <c r="AR3531" s="120"/>
      <c r="AS3531" s="121"/>
      <c r="AT3531" s="120"/>
      <c r="AU3531" s="121"/>
      <c r="AV3531" s="120"/>
      <c r="AW3531" s="121"/>
      <c r="AX3531" s="120"/>
      <c r="AY3531" s="121"/>
      <c r="AZ3531" s="138"/>
    </row>
    <row r="3532" spans="1:52" ht="17.100000000000001" customHeight="1" thickTop="1">
      <c r="A3532" s="109" t="s">
        <v>11107</v>
      </c>
      <c r="B3532" s="28">
        <v>45979</v>
      </c>
      <c r="C3532" s="25">
        <v>1918</v>
      </c>
      <c r="D3532" s="13" t="s">
        <v>1853</v>
      </c>
      <c r="E3532" s="111"/>
      <c r="F3532" s="113" t="s">
        <v>10061</v>
      </c>
      <c r="G3532" s="114"/>
      <c r="H3532" s="115"/>
      <c r="I3532" s="24"/>
      <c r="J3532" s="116">
        <v>4</v>
      </c>
      <c r="K3532" s="118">
        <v>1112000</v>
      </c>
      <c r="L3532" s="119"/>
      <c r="M3532" s="118">
        <f t="shared" ref="M3532" si="3054">K3532*0.1</f>
        <v>111200</v>
      </c>
      <c r="N3532" s="119"/>
      <c r="O3532" s="118">
        <v>0</v>
      </c>
      <c r="P3532" s="119"/>
      <c r="Q3532" s="118">
        <v>9810</v>
      </c>
      <c r="R3532" s="119"/>
      <c r="S3532" s="118">
        <v>17050</v>
      </c>
      <c r="T3532" s="119"/>
      <c r="U3532" s="118">
        <f t="shared" ref="U3532" si="3055">SUM(K3532:T3533)</f>
        <v>1250060</v>
      </c>
      <c r="V3532" s="122"/>
      <c r="W3532" s="124"/>
      <c r="X3532" s="126" t="s">
        <v>11615</v>
      </c>
      <c r="Y3532" s="127"/>
      <c r="Z3532" s="127"/>
      <c r="AA3532" s="127"/>
      <c r="AB3532" s="128"/>
      <c r="AC3532" s="15" t="s">
        <v>20</v>
      </c>
      <c r="AD3532" s="129" t="s">
        <v>1670</v>
      </c>
      <c r="AE3532" s="130"/>
      <c r="AF3532" s="130"/>
      <c r="AG3532" s="130"/>
      <c r="AH3532" s="130"/>
      <c r="AI3532" s="131"/>
      <c r="AJ3532" s="132"/>
      <c r="AK3532" s="127"/>
      <c r="AL3532" s="128"/>
      <c r="AM3532" s="21"/>
      <c r="AN3532" s="133">
        <v>46015</v>
      </c>
      <c r="AO3532" s="134"/>
      <c r="AP3532" s="135">
        <v>998</v>
      </c>
      <c r="AQ3532" s="136"/>
      <c r="AR3532" s="118">
        <v>1200000</v>
      </c>
      <c r="AS3532" s="119"/>
      <c r="AT3532" s="118">
        <f t="shared" ref="AT3532" si="3056">AR3532*0.1</f>
        <v>120000</v>
      </c>
      <c r="AU3532" s="119"/>
      <c r="AV3532" s="118">
        <v>9810</v>
      </c>
      <c r="AW3532" s="119"/>
      <c r="AX3532" s="118">
        <f t="shared" ref="AX3532" si="3057">SUM(AR3532:AW3532)</f>
        <v>1329810</v>
      </c>
      <c r="AY3532" s="119"/>
      <c r="AZ3532" s="137">
        <v>46028</v>
      </c>
    </row>
    <row r="3533" spans="1:52" ht="17.100000000000001" customHeight="1" thickBot="1">
      <c r="A3533" s="110"/>
      <c r="B3533" s="27" t="s">
        <v>2131</v>
      </c>
      <c r="C3533" s="27">
        <v>2182</v>
      </c>
      <c r="D3533" s="14" t="s">
        <v>275</v>
      </c>
      <c r="E3533" s="112"/>
      <c r="F3533" s="139" t="s">
        <v>11100</v>
      </c>
      <c r="G3533" s="140"/>
      <c r="H3533" s="141"/>
      <c r="I3533" s="26">
        <v>51004</v>
      </c>
      <c r="J3533" s="117"/>
      <c r="K3533" s="120"/>
      <c r="L3533" s="121"/>
      <c r="M3533" s="120"/>
      <c r="N3533" s="121"/>
      <c r="O3533" s="120"/>
      <c r="P3533" s="121"/>
      <c r="Q3533" s="120"/>
      <c r="R3533" s="121"/>
      <c r="S3533" s="120"/>
      <c r="T3533" s="121"/>
      <c r="U3533" s="120"/>
      <c r="V3533" s="123"/>
      <c r="W3533" s="125"/>
      <c r="X3533" s="142" t="s">
        <v>11616</v>
      </c>
      <c r="Y3533" s="143"/>
      <c r="Z3533" s="143"/>
      <c r="AA3533" s="143"/>
      <c r="AB3533" s="144"/>
      <c r="AC3533" s="16" t="s">
        <v>21</v>
      </c>
      <c r="AD3533" s="17" t="s">
        <v>2224</v>
      </c>
      <c r="AE3533" s="145" t="s">
        <v>11617</v>
      </c>
      <c r="AF3533" s="146"/>
      <c r="AG3533" s="146"/>
      <c r="AH3533" s="146"/>
      <c r="AI3533" s="147"/>
      <c r="AJ3533" s="148"/>
      <c r="AK3533" s="143"/>
      <c r="AL3533" s="144"/>
      <c r="AM3533" s="22"/>
      <c r="AN3533" s="149" t="s">
        <v>7285</v>
      </c>
      <c r="AO3533" s="144"/>
      <c r="AP3533" s="148">
        <v>6076</v>
      </c>
      <c r="AQ3533" s="144"/>
      <c r="AR3533" s="120"/>
      <c r="AS3533" s="121"/>
      <c r="AT3533" s="120"/>
      <c r="AU3533" s="121"/>
      <c r="AV3533" s="120"/>
      <c r="AW3533" s="121"/>
      <c r="AX3533" s="120"/>
      <c r="AY3533" s="121"/>
      <c r="AZ3533" s="138"/>
    </row>
    <row r="3534" spans="1:52" ht="17.100000000000001" customHeight="1" thickTop="1">
      <c r="A3534" s="109" t="s">
        <v>11108</v>
      </c>
      <c r="B3534" s="28">
        <v>45979</v>
      </c>
      <c r="C3534" s="25">
        <v>1918</v>
      </c>
      <c r="D3534" s="13" t="s">
        <v>1725</v>
      </c>
      <c r="E3534" s="111"/>
      <c r="F3534" s="113" t="s">
        <v>3590</v>
      </c>
      <c r="G3534" s="114"/>
      <c r="H3534" s="115"/>
      <c r="I3534" s="24"/>
      <c r="J3534" s="116">
        <v>4</v>
      </c>
      <c r="K3534" s="118">
        <v>828000</v>
      </c>
      <c r="L3534" s="119"/>
      <c r="M3534" s="118">
        <f t="shared" ref="M3534" si="3058">K3534*0.1</f>
        <v>82800</v>
      </c>
      <c r="N3534" s="119"/>
      <c r="O3534" s="118">
        <v>0</v>
      </c>
      <c r="P3534" s="119"/>
      <c r="Q3534" s="118">
        <v>7950</v>
      </c>
      <c r="R3534" s="119"/>
      <c r="S3534" s="118">
        <v>15950</v>
      </c>
      <c r="T3534" s="119"/>
      <c r="U3534" s="118">
        <f t="shared" ref="U3534" si="3059">SUM(K3534:T3535)</f>
        <v>934700</v>
      </c>
      <c r="V3534" s="122"/>
      <c r="W3534" s="124"/>
      <c r="X3534" s="126" t="s">
        <v>11500</v>
      </c>
      <c r="Y3534" s="127"/>
      <c r="Z3534" s="127"/>
      <c r="AA3534" s="127"/>
      <c r="AB3534" s="128"/>
      <c r="AC3534" s="15" t="s">
        <v>20</v>
      </c>
      <c r="AD3534" s="129" t="s">
        <v>11089</v>
      </c>
      <c r="AE3534" s="130"/>
      <c r="AF3534" s="130"/>
      <c r="AG3534" s="130"/>
      <c r="AH3534" s="130"/>
      <c r="AI3534" s="131"/>
      <c r="AJ3534" s="132"/>
      <c r="AK3534" s="127"/>
      <c r="AL3534" s="128"/>
      <c r="AM3534" s="21"/>
      <c r="AN3534" s="133">
        <v>45990</v>
      </c>
      <c r="AO3534" s="134"/>
      <c r="AP3534" s="135">
        <v>1278</v>
      </c>
      <c r="AQ3534" s="136"/>
      <c r="AR3534" s="118">
        <v>925000</v>
      </c>
      <c r="AS3534" s="119"/>
      <c r="AT3534" s="118">
        <f t="shared" ref="AT3534" si="3060">AR3534*0.1</f>
        <v>92500</v>
      </c>
      <c r="AU3534" s="119"/>
      <c r="AV3534" s="118">
        <v>7950</v>
      </c>
      <c r="AW3534" s="119"/>
      <c r="AX3534" s="118">
        <f t="shared" ref="AX3534" si="3061">SUM(AR3534:AW3534)</f>
        <v>1025450</v>
      </c>
      <c r="AY3534" s="119"/>
      <c r="AZ3534" s="137">
        <v>45994</v>
      </c>
    </row>
    <row r="3535" spans="1:52" ht="17.100000000000001" customHeight="1" thickBot="1">
      <c r="A3535" s="110"/>
      <c r="B3535" s="27" t="s">
        <v>2131</v>
      </c>
      <c r="C3535" s="27">
        <v>3303</v>
      </c>
      <c r="D3535" s="14" t="s">
        <v>275</v>
      </c>
      <c r="E3535" s="112"/>
      <c r="F3535" s="139" t="s">
        <v>11088</v>
      </c>
      <c r="G3535" s="140"/>
      <c r="H3535" s="141"/>
      <c r="I3535" s="26">
        <v>33265</v>
      </c>
      <c r="J3535" s="117"/>
      <c r="K3535" s="120"/>
      <c r="L3535" s="121"/>
      <c r="M3535" s="120"/>
      <c r="N3535" s="121"/>
      <c r="O3535" s="120"/>
      <c r="P3535" s="121"/>
      <c r="Q3535" s="120"/>
      <c r="R3535" s="121"/>
      <c r="S3535" s="120"/>
      <c r="T3535" s="121"/>
      <c r="U3535" s="120"/>
      <c r="V3535" s="123"/>
      <c r="W3535" s="125"/>
      <c r="X3535" s="142" t="s">
        <v>7918</v>
      </c>
      <c r="Y3535" s="143"/>
      <c r="Z3535" s="143"/>
      <c r="AA3535" s="143"/>
      <c r="AB3535" s="144"/>
      <c r="AC3535" s="16" t="s">
        <v>21</v>
      </c>
      <c r="AD3535" s="17" t="s">
        <v>2203</v>
      </c>
      <c r="AE3535" s="145" t="s">
        <v>11501</v>
      </c>
      <c r="AF3535" s="146"/>
      <c r="AG3535" s="146"/>
      <c r="AH3535" s="146"/>
      <c r="AI3535" s="147"/>
      <c r="AJ3535" s="148"/>
      <c r="AK3535" s="143"/>
      <c r="AL3535" s="144"/>
      <c r="AM3535" s="22"/>
      <c r="AN3535" s="149" t="s">
        <v>2511</v>
      </c>
      <c r="AO3535" s="144"/>
      <c r="AP3535" s="148">
        <v>60043</v>
      </c>
      <c r="AQ3535" s="144"/>
      <c r="AR3535" s="120"/>
      <c r="AS3535" s="121"/>
      <c r="AT3535" s="120"/>
      <c r="AU3535" s="121"/>
      <c r="AV3535" s="120"/>
      <c r="AW3535" s="121"/>
      <c r="AX3535" s="120"/>
      <c r="AY3535" s="121"/>
      <c r="AZ3535" s="138"/>
    </row>
    <row r="3536" spans="1:52" ht="17.100000000000001" customHeight="1" thickTop="1">
      <c r="A3536" s="109" t="s">
        <v>11109</v>
      </c>
      <c r="B3536" s="28">
        <v>45979</v>
      </c>
      <c r="C3536" s="25">
        <v>1918</v>
      </c>
      <c r="D3536" s="13" t="s">
        <v>1845</v>
      </c>
      <c r="E3536" s="111"/>
      <c r="F3536" s="113" t="s">
        <v>11090</v>
      </c>
      <c r="G3536" s="114"/>
      <c r="H3536" s="115"/>
      <c r="I3536" s="24"/>
      <c r="J3536" s="116">
        <v>4</v>
      </c>
      <c r="K3536" s="118">
        <v>1549000</v>
      </c>
      <c r="L3536" s="119"/>
      <c r="M3536" s="118">
        <f t="shared" ref="M3536" si="3062">K3536*0.1</f>
        <v>154900</v>
      </c>
      <c r="N3536" s="119"/>
      <c r="O3536" s="118">
        <v>0</v>
      </c>
      <c r="P3536" s="119"/>
      <c r="Q3536" s="118">
        <v>19880</v>
      </c>
      <c r="R3536" s="119"/>
      <c r="S3536" s="118">
        <v>15950</v>
      </c>
      <c r="T3536" s="119"/>
      <c r="U3536" s="118">
        <f t="shared" ref="U3536" si="3063">SUM(K3536:T3537)</f>
        <v>1739730</v>
      </c>
      <c r="V3536" s="122"/>
      <c r="W3536" s="124"/>
      <c r="X3536" s="126" t="s">
        <v>11608</v>
      </c>
      <c r="Y3536" s="127"/>
      <c r="Z3536" s="127"/>
      <c r="AA3536" s="127"/>
      <c r="AB3536" s="128"/>
      <c r="AC3536" s="15" t="s">
        <v>20</v>
      </c>
      <c r="AD3536" s="129"/>
      <c r="AE3536" s="130"/>
      <c r="AF3536" s="130"/>
      <c r="AG3536" s="130"/>
      <c r="AH3536" s="130"/>
      <c r="AI3536" s="131"/>
      <c r="AJ3536" s="132"/>
      <c r="AK3536" s="127"/>
      <c r="AL3536" s="128"/>
      <c r="AM3536" s="21"/>
      <c r="AN3536" s="133">
        <v>45983</v>
      </c>
      <c r="AO3536" s="134"/>
      <c r="AP3536" s="135">
        <v>1277</v>
      </c>
      <c r="AQ3536" s="136"/>
      <c r="AR3536" s="118">
        <v>1720000</v>
      </c>
      <c r="AS3536" s="119"/>
      <c r="AT3536" s="118">
        <f t="shared" ref="AT3536" si="3064">AR3536*0.1</f>
        <v>172000</v>
      </c>
      <c r="AU3536" s="119"/>
      <c r="AV3536" s="118">
        <v>19880</v>
      </c>
      <c r="AW3536" s="119"/>
      <c r="AX3536" s="118">
        <f t="shared" ref="AX3536" si="3065">SUM(AR3536:AW3536)</f>
        <v>1911880</v>
      </c>
      <c r="AY3536" s="119"/>
      <c r="AZ3536" s="137">
        <v>45987</v>
      </c>
    </row>
    <row r="3537" spans="1:52" ht="17.100000000000001" customHeight="1" thickBot="1">
      <c r="A3537" s="110"/>
      <c r="B3537" s="27" t="s">
        <v>2131</v>
      </c>
      <c r="C3537" s="27">
        <v>5002</v>
      </c>
      <c r="D3537" s="14" t="s">
        <v>2601</v>
      </c>
      <c r="E3537" s="112"/>
      <c r="F3537" s="139" t="s">
        <v>11091</v>
      </c>
      <c r="G3537" s="140"/>
      <c r="H3537" s="141"/>
      <c r="I3537" s="26">
        <v>41029</v>
      </c>
      <c r="J3537" s="117"/>
      <c r="K3537" s="120"/>
      <c r="L3537" s="121"/>
      <c r="M3537" s="120"/>
      <c r="N3537" s="121"/>
      <c r="O3537" s="120"/>
      <c r="P3537" s="121"/>
      <c r="Q3537" s="120"/>
      <c r="R3537" s="121"/>
      <c r="S3537" s="120"/>
      <c r="T3537" s="121"/>
      <c r="U3537" s="120"/>
      <c r="V3537" s="123"/>
      <c r="W3537" s="125"/>
      <c r="X3537" s="142" t="s">
        <v>3562</v>
      </c>
      <c r="Y3537" s="143"/>
      <c r="Z3537" s="143"/>
      <c r="AA3537" s="143"/>
      <c r="AB3537" s="144"/>
      <c r="AC3537" s="16" t="s">
        <v>21</v>
      </c>
      <c r="AD3537" s="17" t="s">
        <v>2203</v>
      </c>
      <c r="AE3537" s="145" t="s">
        <v>11609</v>
      </c>
      <c r="AF3537" s="146"/>
      <c r="AG3537" s="146"/>
      <c r="AH3537" s="146"/>
      <c r="AI3537" s="147"/>
      <c r="AJ3537" s="148"/>
      <c r="AK3537" s="143"/>
      <c r="AL3537" s="144"/>
      <c r="AM3537" s="22"/>
      <c r="AN3537" s="149" t="s">
        <v>2511</v>
      </c>
      <c r="AO3537" s="144"/>
      <c r="AP3537" s="148">
        <v>80363</v>
      </c>
      <c r="AQ3537" s="144"/>
      <c r="AR3537" s="120"/>
      <c r="AS3537" s="121"/>
      <c r="AT3537" s="120"/>
      <c r="AU3537" s="121"/>
      <c r="AV3537" s="120"/>
      <c r="AW3537" s="121"/>
      <c r="AX3537" s="120"/>
      <c r="AY3537" s="121"/>
      <c r="AZ3537" s="138"/>
    </row>
    <row r="3538" spans="1:52" ht="17.100000000000001" customHeight="1" thickTop="1">
      <c r="A3538" s="151" t="s">
        <v>11110</v>
      </c>
      <c r="B3538" s="28">
        <v>45979</v>
      </c>
      <c r="C3538" s="25">
        <v>916</v>
      </c>
      <c r="D3538" s="13" t="s">
        <v>2187</v>
      </c>
      <c r="E3538" s="111"/>
      <c r="F3538" s="113" t="s">
        <v>11092</v>
      </c>
      <c r="G3538" s="114"/>
      <c r="H3538" s="115"/>
      <c r="I3538" s="24"/>
      <c r="J3538" s="116">
        <v>4</v>
      </c>
      <c r="K3538" s="118">
        <v>951000</v>
      </c>
      <c r="L3538" s="119"/>
      <c r="M3538" s="118">
        <f t="shared" ref="M3538" si="3066">K3538*0.1</f>
        <v>95100</v>
      </c>
      <c r="N3538" s="119"/>
      <c r="O3538" s="118">
        <v>0</v>
      </c>
      <c r="P3538" s="119"/>
      <c r="Q3538" s="118">
        <v>7440</v>
      </c>
      <c r="R3538" s="119"/>
      <c r="S3538" s="118">
        <v>15950</v>
      </c>
      <c r="T3538" s="119"/>
      <c r="U3538" s="118">
        <f t="shared" ref="U3538" si="3067">SUM(K3538:T3539)</f>
        <v>1069490</v>
      </c>
      <c r="V3538" s="122"/>
      <c r="W3538" s="124"/>
      <c r="X3538" s="126" t="s">
        <v>11618</v>
      </c>
      <c r="Y3538" s="127"/>
      <c r="Z3538" s="127"/>
      <c r="AA3538" s="127"/>
      <c r="AB3538" s="128"/>
      <c r="AC3538" s="15" t="s">
        <v>20</v>
      </c>
      <c r="AD3538" s="129"/>
      <c r="AE3538" s="130"/>
      <c r="AF3538" s="130"/>
      <c r="AG3538" s="130"/>
      <c r="AH3538" s="130"/>
      <c r="AI3538" s="131"/>
      <c r="AJ3538" s="132"/>
      <c r="AK3538" s="127"/>
      <c r="AL3538" s="128"/>
      <c r="AM3538" s="21"/>
      <c r="AN3538" s="133">
        <v>46039</v>
      </c>
      <c r="AO3538" s="134"/>
      <c r="AP3538" s="135">
        <v>1284</v>
      </c>
      <c r="AQ3538" s="136"/>
      <c r="AR3538" s="118">
        <v>1000000</v>
      </c>
      <c r="AS3538" s="119"/>
      <c r="AT3538" s="118">
        <f t="shared" ref="AT3538" si="3068">AR3538*0.1</f>
        <v>100000</v>
      </c>
      <c r="AU3538" s="119"/>
      <c r="AV3538" s="118">
        <v>7440</v>
      </c>
      <c r="AW3538" s="119"/>
      <c r="AX3538" s="118">
        <f t="shared" ref="AX3538" si="3069">SUM(AR3538:AW3538)</f>
        <v>1107440</v>
      </c>
      <c r="AY3538" s="119"/>
      <c r="AZ3538" s="137">
        <v>46042</v>
      </c>
    </row>
    <row r="3539" spans="1:52" ht="17.100000000000001" customHeight="1" thickBot="1">
      <c r="A3539" s="152"/>
      <c r="B3539" s="27" t="s">
        <v>2699</v>
      </c>
      <c r="C3539" s="27">
        <v>62047</v>
      </c>
      <c r="D3539" s="14" t="s">
        <v>1592</v>
      </c>
      <c r="E3539" s="112"/>
      <c r="F3539" s="139" t="s">
        <v>11093</v>
      </c>
      <c r="G3539" s="140"/>
      <c r="H3539" s="141"/>
      <c r="I3539" s="26">
        <v>34964</v>
      </c>
      <c r="J3539" s="117"/>
      <c r="K3539" s="120"/>
      <c r="L3539" s="121"/>
      <c r="M3539" s="120"/>
      <c r="N3539" s="121"/>
      <c r="O3539" s="120"/>
      <c r="P3539" s="121"/>
      <c r="Q3539" s="120"/>
      <c r="R3539" s="121"/>
      <c r="S3539" s="120"/>
      <c r="T3539" s="121"/>
      <c r="U3539" s="120"/>
      <c r="V3539" s="123"/>
      <c r="W3539" s="125"/>
      <c r="X3539" s="142" t="s">
        <v>7450</v>
      </c>
      <c r="Y3539" s="143"/>
      <c r="Z3539" s="143"/>
      <c r="AA3539" s="143"/>
      <c r="AB3539" s="144"/>
      <c r="AC3539" s="16" t="s">
        <v>21</v>
      </c>
      <c r="AD3539" s="17" t="s">
        <v>2224</v>
      </c>
      <c r="AE3539" s="145" t="s">
        <v>11345</v>
      </c>
      <c r="AF3539" s="146"/>
      <c r="AG3539" s="146"/>
      <c r="AH3539" s="146"/>
      <c r="AI3539" s="147"/>
      <c r="AJ3539" s="148"/>
      <c r="AK3539" s="143"/>
      <c r="AL3539" s="144"/>
      <c r="AM3539" s="22"/>
      <c r="AN3539" s="149" t="s">
        <v>2511</v>
      </c>
      <c r="AO3539" s="144"/>
      <c r="AP3539" s="148">
        <v>41048</v>
      </c>
      <c r="AQ3539" s="144"/>
      <c r="AR3539" s="120"/>
      <c r="AS3539" s="121"/>
      <c r="AT3539" s="120"/>
      <c r="AU3539" s="121"/>
      <c r="AV3539" s="120"/>
      <c r="AW3539" s="121"/>
      <c r="AX3539" s="120"/>
      <c r="AY3539" s="121"/>
      <c r="AZ3539" s="138"/>
    </row>
    <row r="3540" spans="1:52" ht="17.100000000000001" customHeight="1" thickTop="1">
      <c r="A3540" s="109" t="s">
        <v>11111</v>
      </c>
      <c r="B3540" s="28">
        <v>45979</v>
      </c>
      <c r="C3540" s="25">
        <v>1217</v>
      </c>
      <c r="D3540" s="13" t="s">
        <v>3478</v>
      </c>
      <c r="E3540" s="111"/>
      <c r="F3540" s="113" t="s">
        <v>7177</v>
      </c>
      <c r="G3540" s="114"/>
      <c r="H3540" s="115"/>
      <c r="I3540" s="24"/>
      <c r="J3540" s="116">
        <v>4.5</v>
      </c>
      <c r="K3540" s="118">
        <v>875000</v>
      </c>
      <c r="L3540" s="119"/>
      <c r="M3540" s="118">
        <f t="shared" ref="M3540" si="3070">K3540*0.1</f>
        <v>87500</v>
      </c>
      <c r="N3540" s="119"/>
      <c r="O3540" s="118">
        <v>0</v>
      </c>
      <c r="P3540" s="119"/>
      <c r="Q3540" s="118">
        <v>12450</v>
      </c>
      <c r="R3540" s="119"/>
      <c r="S3540" s="118">
        <v>15950</v>
      </c>
      <c r="T3540" s="119"/>
      <c r="U3540" s="118">
        <f t="shared" ref="U3540" si="3071">SUM(K3540:T3541)</f>
        <v>990900</v>
      </c>
      <c r="V3540" s="122"/>
      <c r="W3540" s="124"/>
      <c r="X3540" s="126" t="s">
        <v>11479</v>
      </c>
      <c r="Y3540" s="127"/>
      <c r="Z3540" s="127"/>
      <c r="AA3540" s="127"/>
      <c r="AB3540" s="128"/>
      <c r="AC3540" s="15" t="s">
        <v>20</v>
      </c>
      <c r="AD3540" s="129"/>
      <c r="AE3540" s="130"/>
      <c r="AF3540" s="130"/>
      <c r="AG3540" s="130"/>
      <c r="AH3540" s="130"/>
      <c r="AI3540" s="131"/>
      <c r="AJ3540" s="132"/>
      <c r="AK3540" s="127"/>
      <c r="AL3540" s="128"/>
      <c r="AM3540" s="21"/>
      <c r="AN3540" s="133">
        <v>45983</v>
      </c>
      <c r="AO3540" s="134"/>
      <c r="AP3540" s="135">
        <v>1277</v>
      </c>
      <c r="AQ3540" s="136"/>
      <c r="AR3540" s="118">
        <v>1065000</v>
      </c>
      <c r="AS3540" s="119"/>
      <c r="AT3540" s="118">
        <f t="shared" ref="AT3540" si="3072">AR3540*0.1</f>
        <v>106500</v>
      </c>
      <c r="AU3540" s="119"/>
      <c r="AV3540" s="118">
        <v>12450</v>
      </c>
      <c r="AW3540" s="119"/>
      <c r="AX3540" s="118">
        <f t="shared" ref="AX3540" si="3073">SUM(AR3540:AW3540)</f>
        <v>1183950</v>
      </c>
      <c r="AY3540" s="119"/>
      <c r="AZ3540" s="137">
        <v>45992</v>
      </c>
    </row>
    <row r="3541" spans="1:52" ht="17.100000000000001" customHeight="1" thickBot="1">
      <c r="A3541" s="110"/>
      <c r="B3541" s="27" t="s">
        <v>2379</v>
      </c>
      <c r="C3541" s="27">
        <v>5022</v>
      </c>
      <c r="D3541" s="14" t="s">
        <v>904</v>
      </c>
      <c r="E3541" s="112"/>
      <c r="F3541" s="139" t="s">
        <v>11094</v>
      </c>
      <c r="G3541" s="140"/>
      <c r="H3541" s="141"/>
      <c r="I3541" s="26">
        <v>54474</v>
      </c>
      <c r="J3541" s="117"/>
      <c r="K3541" s="120"/>
      <c r="L3541" s="121"/>
      <c r="M3541" s="120"/>
      <c r="N3541" s="121"/>
      <c r="O3541" s="120"/>
      <c r="P3541" s="121"/>
      <c r="Q3541" s="120"/>
      <c r="R3541" s="121"/>
      <c r="S3541" s="120"/>
      <c r="T3541" s="121"/>
      <c r="U3541" s="120"/>
      <c r="V3541" s="123"/>
      <c r="W3541" s="125"/>
      <c r="X3541" s="142" t="s">
        <v>11480</v>
      </c>
      <c r="Y3541" s="143"/>
      <c r="Z3541" s="143"/>
      <c r="AA3541" s="143"/>
      <c r="AB3541" s="144"/>
      <c r="AC3541" s="16" t="s">
        <v>21</v>
      </c>
      <c r="AD3541" s="17" t="s">
        <v>11478</v>
      </c>
      <c r="AE3541" s="145" t="s">
        <v>11481</v>
      </c>
      <c r="AF3541" s="146"/>
      <c r="AG3541" s="146"/>
      <c r="AH3541" s="146"/>
      <c r="AI3541" s="147"/>
      <c r="AJ3541" s="148"/>
      <c r="AK3541" s="143"/>
      <c r="AL3541" s="144"/>
      <c r="AM3541" s="22"/>
      <c r="AN3541" s="149" t="s">
        <v>2511</v>
      </c>
      <c r="AO3541" s="144"/>
      <c r="AP3541" s="148">
        <v>80425</v>
      </c>
      <c r="AQ3541" s="144"/>
      <c r="AR3541" s="120"/>
      <c r="AS3541" s="121"/>
      <c r="AT3541" s="120"/>
      <c r="AU3541" s="121"/>
      <c r="AV3541" s="120"/>
      <c r="AW3541" s="121"/>
      <c r="AX3541" s="120"/>
      <c r="AY3541" s="121"/>
      <c r="AZ3541" s="138"/>
    </row>
    <row r="3542" spans="1:52" ht="17.100000000000001" customHeight="1" thickTop="1">
      <c r="A3542" s="109" t="s">
        <v>11112</v>
      </c>
      <c r="B3542" s="28">
        <v>45979</v>
      </c>
      <c r="C3542" s="25">
        <v>1217</v>
      </c>
      <c r="D3542" s="13" t="s">
        <v>1725</v>
      </c>
      <c r="E3542" s="111"/>
      <c r="F3542" s="113" t="s">
        <v>4559</v>
      </c>
      <c r="G3542" s="114"/>
      <c r="H3542" s="115"/>
      <c r="I3542" s="24"/>
      <c r="J3542" s="116">
        <v>4</v>
      </c>
      <c r="K3542" s="118">
        <v>854000</v>
      </c>
      <c r="L3542" s="119"/>
      <c r="M3542" s="118">
        <f t="shared" ref="M3542" si="3074">K3542*0.1</f>
        <v>85400</v>
      </c>
      <c r="N3542" s="119"/>
      <c r="O3542" s="118">
        <v>0</v>
      </c>
      <c r="P3542" s="119"/>
      <c r="Q3542" s="118">
        <v>17600</v>
      </c>
      <c r="R3542" s="119"/>
      <c r="S3542" s="118">
        <v>15950</v>
      </c>
      <c r="T3542" s="119"/>
      <c r="U3542" s="118">
        <f t="shared" ref="U3542" si="3075">SUM(K3542:T3543)</f>
        <v>972950</v>
      </c>
      <c r="V3542" s="122"/>
      <c r="W3542" s="124"/>
      <c r="X3542" s="126" t="s">
        <v>11493</v>
      </c>
      <c r="Y3542" s="127"/>
      <c r="Z3542" s="127"/>
      <c r="AA3542" s="127"/>
      <c r="AB3542" s="128"/>
      <c r="AC3542" s="15" t="s">
        <v>20</v>
      </c>
      <c r="AD3542" s="129"/>
      <c r="AE3542" s="130"/>
      <c r="AF3542" s="130"/>
      <c r="AG3542" s="130"/>
      <c r="AH3542" s="130"/>
      <c r="AI3542" s="131"/>
      <c r="AJ3542" s="132"/>
      <c r="AK3542" s="127"/>
      <c r="AL3542" s="128"/>
      <c r="AM3542" s="21"/>
      <c r="AN3542" s="133">
        <v>45997</v>
      </c>
      <c r="AO3542" s="134"/>
      <c r="AP3542" s="135">
        <v>1279</v>
      </c>
      <c r="AQ3542" s="136"/>
      <c r="AR3542" s="118">
        <v>1205000</v>
      </c>
      <c r="AS3542" s="119"/>
      <c r="AT3542" s="118">
        <f t="shared" ref="AT3542" si="3076">AR3542*0.1</f>
        <v>120500</v>
      </c>
      <c r="AU3542" s="119"/>
      <c r="AV3542" s="118">
        <v>17600</v>
      </c>
      <c r="AW3542" s="119"/>
      <c r="AX3542" s="118">
        <f t="shared" ref="AX3542" si="3077">SUM(AR3542:AW3542)</f>
        <v>1343100</v>
      </c>
      <c r="AY3542" s="119"/>
      <c r="AZ3542" s="137">
        <v>46000</v>
      </c>
    </row>
    <row r="3543" spans="1:52" ht="17.100000000000001" customHeight="1" thickBot="1">
      <c r="A3543" s="110"/>
      <c r="B3543" s="27" t="s">
        <v>2379</v>
      </c>
      <c r="C3543" s="27">
        <v>5024</v>
      </c>
      <c r="D3543" s="14" t="s">
        <v>904</v>
      </c>
      <c r="E3543" s="112"/>
      <c r="F3543" s="139" t="s">
        <v>11095</v>
      </c>
      <c r="G3543" s="140"/>
      <c r="H3543" s="141"/>
      <c r="I3543" s="26">
        <v>66695</v>
      </c>
      <c r="J3543" s="117"/>
      <c r="K3543" s="120"/>
      <c r="L3543" s="121"/>
      <c r="M3543" s="120"/>
      <c r="N3543" s="121"/>
      <c r="O3543" s="120"/>
      <c r="P3543" s="121"/>
      <c r="Q3543" s="120"/>
      <c r="R3543" s="121"/>
      <c r="S3543" s="120"/>
      <c r="T3543" s="121"/>
      <c r="U3543" s="120"/>
      <c r="V3543" s="123"/>
      <c r="W3543" s="125"/>
      <c r="X3543" s="142" t="s">
        <v>2476</v>
      </c>
      <c r="Y3543" s="143"/>
      <c r="Z3543" s="143"/>
      <c r="AA3543" s="143"/>
      <c r="AB3543" s="144"/>
      <c r="AC3543" s="16" t="s">
        <v>21</v>
      </c>
      <c r="AD3543" s="17" t="s">
        <v>2203</v>
      </c>
      <c r="AE3543" s="145" t="s">
        <v>5319</v>
      </c>
      <c r="AF3543" s="146"/>
      <c r="AG3543" s="146"/>
      <c r="AH3543" s="146"/>
      <c r="AI3543" s="147"/>
      <c r="AJ3543" s="148"/>
      <c r="AK3543" s="143"/>
      <c r="AL3543" s="144"/>
      <c r="AM3543" s="22"/>
      <c r="AN3543" s="149" t="s">
        <v>2511</v>
      </c>
      <c r="AO3543" s="144"/>
      <c r="AP3543" s="148">
        <v>80072</v>
      </c>
      <c r="AQ3543" s="144"/>
      <c r="AR3543" s="120"/>
      <c r="AS3543" s="121"/>
      <c r="AT3543" s="120"/>
      <c r="AU3543" s="121"/>
      <c r="AV3543" s="120"/>
      <c r="AW3543" s="121"/>
      <c r="AX3543" s="120"/>
      <c r="AY3543" s="121"/>
      <c r="AZ3543" s="138"/>
    </row>
    <row r="3544" spans="1:52" ht="17.100000000000001" customHeight="1" thickTop="1">
      <c r="A3544" s="109" t="s">
        <v>11113</v>
      </c>
      <c r="B3544" s="28">
        <v>45979</v>
      </c>
      <c r="C3544" s="25">
        <v>361</v>
      </c>
      <c r="D3544" s="13" t="s">
        <v>2759</v>
      </c>
      <c r="E3544" s="111"/>
      <c r="F3544" s="113" t="s">
        <v>11120</v>
      </c>
      <c r="G3544" s="114"/>
      <c r="H3544" s="115"/>
      <c r="I3544" s="24"/>
      <c r="J3544" s="116">
        <v>4</v>
      </c>
      <c r="K3544" s="118">
        <v>689000</v>
      </c>
      <c r="L3544" s="119"/>
      <c r="M3544" s="118">
        <f t="shared" ref="M3544" si="3078">K3544*0.1</f>
        <v>68900</v>
      </c>
      <c r="N3544" s="119"/>
      <c r="O3544" s="118">
        <v>0</v>
      </c>
      <c r="P3544" s="119"/>
      <c r="Q3544" s="118">
        <v>7860</v>
      </c>
      <c r="R3544" s="119"/>
      <c r="S3544" s="118">
        <v>22000</v>
      </c>
      <c r="T3544" s="119"/>
      <c r="U3544" s="118">
        <f t="shared" ref="U3544" si="3079">SUM(K3544:T3545)</f>
        <v>787760</v>
      </c>
      <c r="V3544" s="122"/>
      <c r="W3544" s="124"/>
      <c r="X3544" s="126" t="s">
        <v>11498</v>
      </c>
      <c r="Y3544" s="127"/>
      <c r="Z3544" s="127"/>
      <c r="AA3544" s="127"/>
      <c r="AB3544" s="128"/>
      <c r="AC3544" s="15" t="s">
        <v>20</v>
      </c>
      <c r="AD3544" s="129" t="s">
        <v>171</v>
      </c>
      <c r="AE3544" s="130"/>
      <c r="AF3544" s="130"/>
      <c r="AG3544" s="130"/>
      <c r="AH3544" s="130"/>
      <c r="AI3544" s="131"/>
      <c r="AJ3544" s="132"/>
      <c r="AK3544" s="127"/>
      <c r="AL3544" s="128"/>
      <c r="AM3544" s="21"/>
      <c r="AN3544" s="133">
        <v>45986</v>
      </c>
      <c r="AO3544" s="134"/>
      <c r="AP3544" s="135">
        <v>1919</v>
      </c>
      <c r="AQ3544" s="136"/>
      <c r="AR3544" s="118">
        <v>719000</v>
      </c>
      <c r="AS3544" s="119"/>
      <c r="AT3544" s="118">
        <f t="shared" ref="AT3544" si="3080">AR3544*0.1</f>
        <v>71900</v>
      </c>
      <c r="AU3544" s="119"/>
      <c r="AV3544" s="118">
        <v>7860</v>
      </c>
      <c r="AW3544" s="119"/>
      <c r="AX3544" s="118">
        <f t="shared" ref="AX3544" si="3081">SUM(AR3544:AW3544)</f>
        <v>798760</v>
      </c>
      <c r="AY3544" s="119"/>
      <c r="AZ3544" s="137"/>
    </row>
    <row r="3545" spans="1:52" ht="17.100000000000001" customHeight="1" thickBot="1">
      <c r="A3545" s="110"/>
      <c r="B3545" s="27" t="s">
        <v>8990</v>
      </c>
      <c r="C3545" s="27">
        <v>1165</v>
      </c>
      <c r="D3545" s="14" t="s">
        <v>275</v>
      </c>
      <c r="E3545" s="112"/>
      <c r="F3545" s="139" t="s">
        <v>11121</v>
      </c>
      <c r="G3545" s="140"/>
      <c r="H3545" s="141"/>
      <c r="I3545" s="26">
        <v>49533</v>
      </c>
      <c r="J3545" s="117"/>
      <c r="K3545" s="120"/>
      <c r="L3545" s="121"/>
      <c r="M3545" s="120"/>
      <c r="N3545" s="121"/>
      <c r="O3545" s="120"/>
      <c r="P3545" s="121"/>
      <c r="Q3545" s="120"/>
      <c r="R3545" s="121"/>
      <c r="S3545" s="120"/>
      <c r="T3545" s="121"/>
      <c r="U3545" s="120"/>
      <c r="V3545" s="123"/>
      <c r="W3545" s="125"/>
      <c r="X3545" s="142" t="s">
        <v>11499</v>
      </c>
      <c r="Y3545" s="143"/>
      <c r="Z3545" s="143"/>
      <c r="AA3545" s="143"/>
      <c r="AB3545" s="144"/>
      <c r="AC3545" s="16" t="s">
        <v>21</v>
      </c>
      <c r="AD3545" s="17" t="s">
        <v>2203</v>
      </c>
      <c r="AE3545" s="145" t="s">
        <v>4938</v>
      </c>
      <c r="AF3545" s="146"/>
      <c r="AG3545" s="146"/>
      <c r="AH3545" s="146"/>
      <c r="AI3545" s="147"/>
      <c r="AJ3545" s="148"/>
      <c r="AK3545" s="143"/>
      <c r="AL3545" s="144"/>
      <c r="AM3545" s="22"/>
      <c r="AN3545" s="149" t="s">
        <v>11650</v>
      </c>
      <c r="AO3545" s="144"/>
      <c r="AP3545" s="148">
        <v>3255</v>
      </c>
      <c r="AQ3545" s="144"/>
      <c r="AR3545" s="120"/>
      <c r="AS3545" s="121"/>
      <c r="AT3545" s="120"/>
      <c r="AU3545" s="121"/>
      <c r="AV3545" s="120"/>
      <c r="AW3545" s="121"/>
      <c r="AX3545" s="120"/>
      <c r="AY3545" s="121"/>
      <c r="AZ3545" s="138"/>
    </row>
    <row r="3546" spans="1:52" ht="17.100000000000001" customHeight="1" thickTop="1">
      <c r="A3546" s="109" t="s">
        <v>11114</v>
      </c>
      <c r="B3546" s="28">
        <v>45979</v>
      </c>
      <c r="C3546" s="25">
        <v>1070</v>
      </c>
      <c r="D3546" s="13" t="s">
        <v>2737</v>
      </c>
      <c r="E3546" s="111"/>
      <c r="F3546" s="113" t="s">
        <v>11122</v>
      </c>
      <c r="G3546" s="114"/>
      <c r="H3546" s="115"/>
      <c r="I3546" s="24" t="s">
        <v>11124</v>
      </c>
      <c r="J3546" s="116">
        <v>4.5</v>
      </c>
      <c r="K3546" s="118">
        <v>1987000</v>
      </c>
      <c r="L3546" s="119"/>
      <c r="M3546" s="118">
        <f t="shared" ref="M3546" si="3082">K3546*0.1</f>
        <v>198700</v>
      </c>
      <c r="N3546" s="119"/>
      <c r="O3546" s="118">
        <f>10100+1010</f>
        <v>11110</v>
      </c>
      <c r="P3546" s="119"/>
      <c r="Q3546" s="118">
        <v>17930</v>
      </c>
      <c r="R3546" s="119"/>
      <c r="S3546" s="118">
        <v>16500</v>
      </c>
      <c r="T3546" s="119"/>
      <c r="U3546" s="118">
        <f t="shared" ref="U3546" si="3083">SUM(K3546:T3547)</f>
        <v>2231240</v>
      </c>
      <c r="V3546" s="122"/>
      <c r="W3546" s="124"/>
      <c r="X3546" s="126" t="s">
        <v>11125</v>
      </c>
      <c r="Y3546" s="127"/>
      <c r="Z3546" s="127"/>
      <c r="AA3546" s="127"/>
      <c r="AB3546" s="128"/>
      <c r="AC3546" s="15" t="s">
        <v>20</v>
      </c>
      <c r="AD3546" s="129" t="s">
        <v>1633</v>
      </c>
      <c r="AE3546" s="130"/>
      <c r="AF3546" s="130"/>
      <c r="AG3546" s="130"/>
      <c r="AH3546" s="130"/>
      <c r="AI3546" s="131"/>
      <c r="AJ3546" s="132"/>
      <c r="AK3546" s="127"/>
      <c r="AL3546" s="128"/>
      <c r="AM3546" s="21"/>
      <c r="AN3546" s="133">
        <v>45981</v>
      </c>
      <c r="AO3546" s="134"/>
      <c r="AP3546" s="135">
        <v>1307</v>
      </c>
      <c r="AQ3546" s="136"/>
      <c r="AR3546" s="118">
        <v>2095000</v>
      </c>
      <c r="AS3546" s="119"/>
      <c r="AT3546" s="118">
        <f t="shared" ref="AT3546" si="3084">AR3546*0.1</f>
        <v>209500</v>
      </c>
      <c r="AU3546" s="119"/>
      <c r="AV3546" s="118">
        <v>17930</v>
      </c>
      <c r="AW3546" s="119"/>
      <c r="AX3546" s="118">
        <f t="shared" ref="AX3546" si="3085">SUM(AR3546:AW3546)</f>
        <v>2322430</v>
      </c>
      <c r="AY3546" s="119"/>
      <c r="AZ3546" s="137">
        <v>45982</v>
      </c>
    </row>
    <row r="3547" spans="1:52" ht="17.100000000000001" customHeight="1" thickBot="1">
      <c r="A3547" s="110"/>
      <c r="B3547" s="27" t="s">
        <v>1591</v>
      </c>
      <c r="C3547" s="27">
        <v>82087</v>
      </c>
      <c r="D3547" s="14" t="s">
        <v>1576</v>
      </c>
      <c r="E3547" s="112"/>
      <c r="F3547" s="139" t="s">
        <v>11123</v>
      </c>
      <c r="G3547" s="140"/>
      <c r="H3547" s="141"/>
      <c r="I3547" s="26">
        <v>28684</v>
      </c>
      <c r="J3547" s="117"/>
      <c r="K3547" s="120"/>
      <c r="L3547" s="121"/>
      <c r="M3547" s="120"/>
      <c r="N3547" s="121"/>
      <c r="O3547" s="120"/>
      <c r="P3547" s="121"/>
      <c r="Q3547" s="120"/>
      <c r="R3547" s="121"/>
      <c r="S3547" s="120"/>
      <c r="T3547" s="121"/>
      <c r="U3547" s="120"/>
      <c r="V3547" s="123"/>
      <c r="W3547" s="125"/>
      <c r="X3547" s="142" t="s">
        <v>11476</v>
      </c>
      <c r="Y3547" s="143"/>
      <c r="Z3547" s="143"/>
      <c r="AA3547" s="143"/>
      <c r="AB3547" s="144"/>
      <c r="AC3547" s="16" t="s">
        <v>21</v>
      </c>
      <c r="AD3547" s="17" t="s">
        <v>2218</v>
      </c>
      <c r="AE3547" s="145" t="s">
        <v>1742</v>
      </c>
      <c r="AF3547" s="146"/>
      <c r="AG3547" s="146"/>
      <c r="AH3547" s="146"/>
      <c r="AI3547" s="147"/>
      <c r="AJ3547" s="148"/>
      <c r="AK3547" s="143"/>
      <c r="AL3547" s="144"/>
      <c r="AM3547" s="22"/>
      <c r="AN3547" s="149" t="s">
        <v>1747</v>
      </c>
      <c r="AO3547" s="144"/>
      <c r="AP3547" s="148">
        <v>197</v>
      </c>
      <c r="AQ3547" s="144"/>
      <c r="AR3547" s="120"/>
      <c r="AS3547" s="121"/>
      <c r="AT3547" s="120"/>
      <c r="AU3547" s="121"/>
      <c r="AV3547" s="120"/>
      <c r="AW3547" s="121"/>
      <c r="AX3547" s="120"/>
      <c r="AY3547" s="121"/>
      <c r="AZ3547" s="138"/>
    </row>
    <row r="3548" spans="1:52" ht="17.100000000000001" customHeight="1" thickTop="1">
      <c r="A3548" s="109" t="s">
        <v>11115</v>
      </c>
      <c r="B3548" s="28">
        <v>45979</v>
      </c>
      <c r="C3548" s="25">
        <v>966</v>
      </c>
      <c r="D3548" s="13" t="s">
        <v>2329</v>
      </c>
      <c r="E3548" s="111"/>
      <c r="F3548" s="113" t="s">
        <v>5196</v>
      </c>
      <c r="G3548" s="114"/>
      <c r="H3548" s="115"/>
      <c r="I3548" s="24"/>
      <c r="J3548" s="116">
        <v>4.5</v>
      </c>
      <c r="K3548" s="118">
        <v>518000</v>
      </c>
      <c r="L3548" s="119"/>
      <c r="M3548" s="118">
        <f t="shared" ref="M3548" si="3086">K3548*0.1</f>
        <v>51800</v>
      </c>
      <c r="N3548" s="119"/>
      <c r="O3548" s="118">
        <v>0</v>
      </c>
      <c r="P3548" s="119"/>
      <c r="Q3548" s="118">
        <v>7140</v>
      </c>
      <c r="R3548" s="119"/>
      <c r="S3548" s="118">
        <v>22000</v>
      </c>
      <c r="T3548" s="119"/>
      <c r="U3548" s="118">
        <f t="shared" ref="U3548" si="3087">SUM(K3548:T3549)</f>
        <v>598940</v>
      </c>
      <c r="V3548" s="122"/>
      <c r="W3548" s="124"/>
      <c r="X3548" s="126" t="s">
        <v>11881</v>
      </c>
      <c r="Y3548" s="127"/>
      <c r="Z3548" s="127"/>
      <c r="AA3548" s="127"/>
      <c r="AB3548" s="128"/>
      <c r="AC3548" s="15" t="s">
        <v>20</v>
      </c>
      <c r="AD3548" s="129" t="s">
        <v>2054</v>
      </c>
      <c r="AE3548" s="130"/>
      <c r="AF3548" s="130"/>
      <c r="AG3548" s="130"/>
      <c r="AH3548" s="130"/>
      <c r="AI3548" s="131"/>
      <c r="AJ3548" s="132"/>
      <c r="AK3548" s="127"/>
      <c r="AL3548" s="128"/>
      <c r="AM3548" s="21"/>
      <c r="AN3548" s="133">
        <v>45986</v>
      </c>
      <c r="AO3548" s="134"/>
      <c r="AP3548" s="135">
        <v>1919</v>
      </c>
      <c r="AQ3548" s="136"/>
      <c r="AR3548" s="118">
        <v>585000</v>
      </c>
      <c r="AS3548" s="119"/>
      <c r="AT3548" s="118">
        <f t="shared" ref="AT3548" si="3088">AR3548*0.1</f>
        <v>58500</v>
      </c>
      <c r="AU3548" s="119"/>
      <c r="AV3548" s="118">
        <v>7140</v>
      </c>
      <c r="AW3548" s="119"/>
      <c r="AX3548" s="118">
        <f t="shared" ref="AX3548" si="3089">SUM(AR3548:AW3548)</f>
        <v>650640</v>
      </c>
      <c r="AY3548" s="119"/>
      <c r="AZ3548" s="137"/>
    </row>
    <row r="3549" spans="1:52" ht="17.100000000000001" customHeight="1" thickBot="1">
      <c r="A3549" s="110"/>
      <c r="B3549" s="27" t="s">
        <v>2055</v>
      </c>
      <c r="C3549" s="27">
        <v>14</v>
      </c>
      <c r="D3549" s="14" t="s">
        <v>1592</v>
      </c>
      <c r="E3549" s="112"/>
      <c r="F3549" s="139" t="s">
        <v>11130</v>
      </c>
      <c r="G3549" s="140"/>
      <c r="H3549" s="141"/>
      <c r="I3549" s="26">
        <v>3194</v>
      </c>
      <c r="J3549" s="117"/>
      <c r="K3549" s="120"/>
      <c r="L3549" s="121"/>
      <c r="M3549" s="120"/>
      <c r="N3549" s="121"/>
      <c r="O3549" s="120"/>
      <c r="P3549" s="121"/>
      <c r="Q3549" s="120"/>
      <c r="R3549" s="121"/>
      <c r="S3549" s="120"/>
      <c r="T3549" s="121"/>
      <c r="U3549" s="120"/>
      <c r="V3549" s="123"/>
      <c r="W3549" s="125"/>
      <c r="X3549" s="142" t="s">
        <v>2482</v>
      </c>
      <c r="Y3549" s="143"/>
      <c r="Z3549" s="143"/>
      <c r="AA3549" s="143"/>
      <c r="AB3549" s="144"/>
      <c r="AC3549" s="16" t="s">
        <v>21</v>
      </c>
      <c r="AD3549" s="17" t="s">
        <v>1731</v>
      </c>
      <c r="AE3549" s="145" t="s">
        <v>1670</v>
      </c>
      <c r="AF3549" s="146"/>
      <c r="AG3549" s="146"/>
      <c r="AH3549" s="146"/>
      <c r="AI3549" s="147"/>
      <c r="AJ3549" s="148"/>
      <c r="AK3549" s="143"/>
      <c r="AL3549" s="144"/>
      <c r="AM3549" s="22"/>
      <c r="AN3549" s="149" t="s">
        <v>11803</v>
      </c>
      <c r="AO3549" s="144"/>
      <c r="AP3549" s="148">
        <v>3181</v>
      </c>
      <c r="AQ3549" s="144"/>
      <c r="AR3549" s="120"/>
      <c r="AS3549" s="121"/>
      <c r="AT3549" s="120"/>
      <c r="AU3549" s="121"/>
      <c r="AV3549" s="120"/>
      <c r="AW3549" s="121"/>
      <c r="AX3549" s="120"/>
      <c r="AY3549" s="121"/>
      <c r="AZ3549" s="138"/>
    </row>
    <row r="3550" spans="1:52" ht="17.100000000000001" customHeight="1" thickTop="1">
      <c r="A3550" s="109" t="s">
        <v>11116</v>
      </c>
      <c r="B3550" s="28">
        <v>45979</v>
      </c>
      <c r="C3550" s="25">
        <v>966</v>
      </c>
      <c r="D3550" s="13" t="s">
        <v>2737</v>
      </c>
      <c r="E3550" s="111"/>
      <c r="F3550" s="113" t="s">
        <v>10136</v>
      </c>
      <c r="G3550" s="114"/>
      <c r="H3550" s="115"/>
      <c r="I3550" s="24"/>
      <c r="J3550" s="116">
        <v>4</v>
      </c>
      <c r="K3550" s="118">
        <v>978000</v>
      </c>
      <c r="L3550" s="119"/>
      <c r="M3550" s="118">
        <f t="shared" ref="M3550" si="3090">K3550*0.1</f>
        <v>97800</v>
      </c>
      <c r="N3550" s="119"/>
      <c r="O3550" s="118">
        <v>0</v>
      </c>
      <c r="P3550" s="119"/>
      <c r="Q3550" s="118">
        <v>7150</v>
      </c>
      <c r="R3550" s="119"/>
      <c r="S3550" s="118">
        <v>22000</v>
      </c>
      <c r="T3550" s="119"/>
      <c r="U3550" s="118">
        <f t="shared" ref="U3550" si="3091">SUM(K3550:T3551)</f>
        <v>1104950</v>
      </c>
      <c r="V3550" s="122"/>
      <c r="W3550" s="124"/>
      <c r="X3550" s="126" t="s">
        <v>11882</v>
      </c>
      <c r="Y3550" s="127"/>
      <c r="Z3550" s="127"/>
      <c r="AA3550" s="127"/>
      <c r="AB3550" s="128"/>
      <c r="AC3550" s="15" t="s">
        <v>20</v>
      </c>
      <c r="AD3550" s="129" t="s">
        <v>171</v>
      </c>
      <c r="AE3550" s="130"/>
      <c r="AF3550" s="130"/>
      <c r="AG3550" s="130"/>
      <c r="AH3550" s="130"/>
      <c r="AI3550" s="131"/>
      <c r="AJ3550" s="167" t="s">
        <v>11883</v>
      </c>
      <c r="AK3550" s="127"/>
      <c r="AL3550" s="128"/>
      <c r="AM3550" s="21"/>
      <c r="AN3550" s="133">
        <v>45986</v>
      </c>
      <c r="AO3550" s="134"/>
      <c r="AP3550" s="135">
        <v>1919</v>
      </c>
      <c r="AQ3550" s="136"/>
      <c r="AR3550" s="118">
        <v>1034000</v>
      </c>
      <c r="AS3550" s="119"/>
      <c r="AT3550" s="118">
        <f t="shared" ref="AT3550" si="3092">AR3550*0.1</f>
        <v>103400</v>
      </c>
      <c r="AU3550" s="119"/>
      <c r="AV3550" s="118">
        <v>7150</v>
      </c>
      <c r="AW3550" s="119"/>
      <c r="AX3550" s="118">
        <f t="shared" ref="AX3550" si="3093">SUM(AR3550:AW3550)</f>
        <v>1144550</v>
      </c>
      <c r="AY3550" s="119"/>
      <c r="AZ3550" s="137"/>
    </row>
    <row r="3551" spans="1:52" ht="17.100000000000001" customHeight="1" thickBot="1">
      <c r="A3551" s="110"/>
      <c r="B3551" s="27" t="s">
        <v>2055</v>
      </c>
      <c r="C3551" s="27">
        <v>51</v>
      </c>
      <c r="D3551" s="14" t="s">
        <v>3855</v>
      </c>
      <c r="E3551" s="112"/>
      <c r="F3551" s="139" t="s">
        <v>11131</v>
      </c>
      <c r="G3551" s="140"/>
      <c r="H3551" s="141"/>
      <c r="I3551" s="26">
        <v>19594</v>
      </c>
      <c r="J3551" s="117"/>
      <c r="K3551" s="120"/>
      <c r="L3551" s="121"/>
      <c r="M3551" s="120"/>
      <c r="N3551" s="121"/>
      <c r="O3551" s="120"/>
      <c r="P3551" s="121"/>
      <c r="Q3551" s="120"/>
      <c r="R3551" s="121"/>
      <c r="S3551" s="120"/>
      <c r="T3551" s="121"/>
      <c r="U3551" s="120"/>
      <c r="V3551" s="123"/>
      <c r="W3551" s="125"/>
      <c r="X3551" s="142" t="s">
        <v>2482</v>
      </c>
      <c r="Y3551" s="143"/>
      <c r="Z3551" s="143"/>
      <c r="AA3551" s="143"/>
      <c r="AB3551" s="144"/>
      <c r="AC3551" s="16" t="s">
        <v>21</v>
      </c>
      <c r="AD3551" s="17" t="s">
        <v>1731</v>
      </c>
      <c r="AE3551" s="145" t="s">
        <v>11426</v>
      </c>
      <c r="AF3551" s="146"/>
      <c r="AG3551" s="146"/>
      <c r="AH3551" s="146"/>
      <c r="AI3551" s="147"/>
      <c r="AJ3551" s="148"/>
      <c r="AK3551" s="143"/>
      <c r="AL3551" s="144"/>
      <c r="AM3551" s="22"/>
      <c r="AN3551" s="149" t="s">
        <v>11650</v>
      </c>
      <c r="AO3551" s="144"/>
      <c r="AP3551" s="148">
        <v>3261</v>
      </c>
      <c r="AQ3551" s="144"/>
      <c r="AR3551" s="120"/>
      <c r="AS3551" s="121"/>
      <c r="AT3551" s="120"/>
      <c r="AU3551" s="121"/>
      <c r="AV3551" s="120"/>
      <c r="AW3551" s="121"/>
      <c r="AX3551" s="120"/>
      <c r="AY3551" s="121"/>
      <c r="AZ3551" s="138"/>
    </row>
    <row r="3552" spans="1:52" ht="17.100000000000001" customHeight="1" thickTop="1">
      <c r="A3552" s="109" t="s">
        <v>11117</v>
      </c>
      <c r="B3552" s="28">
        <v>45979</v>
      </c>
      <c r="C3552" s="25">
        <v>966</v>
      </c>
      <c r="D3552" s="13" t="s">
        <v>1847</v>
      </c>
      <c r="E3552" s="111"/>
      <c r="F3552" s="113" t="s">
        <v>11141</v>
      </c>
      <c r="G3552" s="114"/>
      <c r="H3552" s="115"/>
      <c r="I3552" s="24"/>
      <c r="J3552" s="116">
        <v>4</v>
      </c>
      <c r="K3552" s="118">
        <v>1218000</v>
      </c>
      <c r="L3552" s="119"/>
      <c r="M3552" s="118">
        <f t="shared" ref="M3552" si="3094">K3552*0.1</f>
        <v>121800</v>
      </c>
      <c r="N3552" s="119"/>
      <c r="O3552" s="118">
        <v>0</v>
      </c>
      <c r="P3552" s="119"/>
      <c r="Q3552" s="118">
        <v>8990</v>
      </c>
      <c r="R3552" s="119"/>
      <c r="S3552" s="118">
        <v>22000</v>
      </c>
      <c r="T3552" s="119"/>
      <c r="U3552" s="118">
        <f t="shared" ref="U3552" si="3095">SUM(K3552:T3553)</f>
        <v>1370790</v>
      </c>
      <c r="V3552" s="122"/>
      <c r="W3552" s="124"/>
      <c r="X3552" s="126" t="s">
        <v>11831</v>
      </c>
      <c r="Y3552" s="127"/>
      <c r="Z3552" s="127"/>
      <c r="AA3552" s="127"/>
      <c r="AB3552" s="128"/>
      <c r="AC3552" s="15" t="s">
        <v>20</v>
      </c>
      <c r="AD3552" s="129" t="s">
        <v>1670</v>
      </c>
      <c r="AE3552" s="130"/>
      <c r="AF3552" s="130"/>
      <c r="AG3552" s="130"/>
      <c r="AH3552" s="130"/>
      <c r="AI3552" s="131"/>
      <c r="AJ3552" s="132"/>
      <c r="AK3552" s="127"/>
      <c r="AL3552" s="128"/>
      <c r="AM3552" s="21"/>
      <c r="AN3552" s="133">
        <v>45983</v>
      </c>
      <c r="AO3552" s="134"/>
      <c r="AP3552" s="135">
        <v>1277</v>
      </c>
      <c r="AQ3552" s="136"/>
      <c r="AR3552" s="118">
        <v>1245000</v>
      </c>
      <c r="AS3552" s="119"/>
      <c r="AT3552" s="118">
        <f t="shared" ref="AT3552" si="3096">AR3552*0.1</f>
        <v>124500</v>
      </c>
      <c r="AU3552" s="119"/>
      <c r="AV3552" s="118">
        <v>8990</v>
      </c>
      <c r="AW3552" s="119"/>
      <c r="AX3552" s="118">
        <f t="shared" ref="AX3552" si="3097">SUM(AR3552:AW3552)</f>
        <v>1378490</v>
      </c>
      <c r="AY3552" s="119"/>
      <c r="AZ3552" s="137">
        <v>45992</v>
      </c>
    </row>
    <row r="3553" spans="1:52" ht="17.100000000000001" customHeight="1" thickBot="1">
      <c r="A3553" s="110"/>
      <c r="B3553" s="27" t="s">
        <v>2055</v>
      </c>
      <c r="C3553" s="27">
        <v>87</v>
      </c>
      <c r="D3553" s="14" t="s">
        <v>1720</v>
      </c>
      <c r="E3553" s="112"/>
      <c r="F3553" s="139" t="s">
        <v>11132</v>
      </c>
      <c r="G3553" s="140"/>
      <c r="H3553" s="141"/>
      <c r="I3553" s="26">
        <v>11903</v>
      </c>
      <c r="J3553" s="117"/>
      <c r="K3553" s="120"/>
      <c r="L3553" s="121"/>
      <c r="M3553" s="120"/>
      <c r="N3553" s="121"/>
      <c r="O3553" s="120"/>
      <c r="P3553" s="121"/>
      <c r="Q3553" s="120"/>
      <c r="R3553" s="121"/>
      <c r="S3553" s="120"/>
      <c r="T3553" s="121"/>
      <c r="U3553" s="120"/>
      <c r="V3553" s="123"/>
      <c r="W3553" s="125"/>
      <c r="X3553" s="142" t="s">
        <v>2482</v>
      </c>
      <c r="Y3553" s="143"/>
      <c r="Z3553" s="143"/>
      <c r="AA3553" s="143"/>
      <c r="AB3553" s="144"/>
      <c r="AC3553" s="16" t="s">
        <v>21</v>
      </c>
      <c r="AD3553" s="17" t="s">
        <v>1731</v>
      </c>
      <c r="AE3553" s="145" t="s">
        <v>11427</v>
      </c>
      <c r="AF3553" s="146"/>
      <c r="AG3553" s="146"/>
      <c r="AH3553" s="146"/>
      <c r="AI3553" s="147"/>
      <c r="AJ3553" s="148"/>
      <c r="AK3553" s="143"/>
      <c r="AL3553" s="144"/>
      <c r="AM3553" s="22"/>
      <c r="AN3553" s="149" t="s">
        <v>2511</v>
      </c>
      <c r="AO3553" s="144"/>
      <c r="AP3553" s="148">
        <v>40117</v>
      </c>
      <c r="AQ3553" s="144"/>
      <c r="AR3553" s="120"/>
      <c r="AS3553" s="121"/>
      <c r="AT3553" s="120"/>
      <c r="AU3553" s="121"/>
      <c r="AV3553" s="120"/>
      <c r="AW3553" s="121"/>
      <c r="AX3553" s="120"/>
      <c r="AY3553" s="121"/>
      <c r="AZ3553" s="138"/>
    </row>
    <row r="3554" spans="1:52" ht="17.100000000000001" customHeight="1" thickTop="1">
      <c r="A3554" s="109" t="s">
        <v>11118</v>
      </c>
      <c r="B3554" s="28">
        <v>45979</v>
      </c>
      <c r="C3554" s="25">
        <v>966</v>
      </c>
      <c r="D3554" s="13" t="s">
        <v>3322</v>
      </c>
      <c r="E3554" s="111"/>
      <c r="F3554" s="113" t="s">
        <v>11142</v>
      </c>
      <c r="G3554" s="114"/>
      <c r="H3554" s="115"/>
      <c r="I3554" s="24"/>
      <c r="J3554" s="116">
        <v>3.5</v>
      </c>
      <c r="K3554" s="118">
        <v>709000</v>
      </c>
      <c r="L3554" s="119"/>
      <c r="M3554" s="118">
        <f t="shared" ref="M3554" si="3098">K3554*0.1</f>
        <v>70900</v>
      </c>
      <c r="N3554" s="119"/>
      <c r="O3554" s="118">
        <v>0</v>
      </c>
      <c r="P3554" s="119"/>
      <c r="Q3554" s="118">
        <v>7440</v>
      </c>
      <c r="R3554" s="119"/>
      <c r="S3554" s="118">
        <v>22000</v>
      </c>
      <c r="T3554" s="119"/>
      <c r="U3554" s="118">
        <f t="shared" ref="U3554" si="3099">SUM(K3554:T3555)</f>
        <v>809340</v>
      </c>
      <c r="V3554" s="122"/>
      <c r="W3554" s="124"/>
      <c r="X3554" s="126" t="s">
        <v>11884</v>
      </c>
      <c r="Y3554" s="127"/>
      <c r="Z3554" s="127"/>
      <c r="AA3554" s="127"/>
      <c r="AB3554" s="128"/>
      <c r="AC3554" s="15" t="s">
        <v>20</v>
      </c>
      <c r="AD3554" s="129" t="s">
        <v>2054</v>
      </c>
      <c r="AE3554" s="130"/>
      <c r="AF3554" s="130"/>
      <c r="AG3554" s="130"/>
      <c r="AH3554" s="130"/>
      <c r="AI3554" s="131"/>
      <c r="AJ3554" s="132"/>
      <c r="AK3554" s="127"/>
      <c r="AL3554" s="128"/>
      <c r="AM3554" s="21"/>
      <c r="AN3554" s="133">
        <v>46011</v>
      </c>
      <c r="AO3554" s="134"/>
      <c r="AP3554" s="135">
        <v>1281</v>
      </c>
      <c r="AQ3554" s="136"/>
      <c r="AR3554" s="118">
        <v>710000</v>
      </c>
      <c r="AS3554" s="119"/>
      <c r="AT3554" s="118">
        <f t="shared" ref="AT3554" si="3100">AR3554*0.1</f>
        <v>71000</v>
      </c>
      <c r="AU3554" s="119"/>
      <c r="AV3554" s="118">
        <v>7440</v>
      </c>
      <c r="AW3554" s="119"/>
      <c r="AX3554" s="118">
        <f t="shared" ref="AX3554" si="3101">SUM(AR3554:AW3554)</f>
        <v>788440</v>
      </c>
      <c r="AY3554" s="119"/>
      <c r="AZ3554" s="137">
        <v>46014</v>
      </c>
    </row>
    <row r="3555" spans="1:52" ht="17.100000000000001" customHeight="1" thickBot="1">
      <c r="A3555" s="110"/>
      <c r="B3555" s="27" t="s">
        <v>2055</v>
      </c>
      <c r="C3555" s="27">
        <v>132</v>
      </c>
      <c r="D3555" s="14" t="s">
        <v>1592</v>
      </c>
      <c r="E3555" s="112"/>
      <c r="F3555" s="139" t="s">
        <v>11133</v>
      </c>
      <c r="G3555" s="140"/>
      <c r="H3555" s="141"/>
      <c r="I3555" s="26">
        <v>57496</v>
      </c>
      <c r="J3555" s="117"/>
      <c r="K3555" s="120"/>
      <c r="L3555" s="121"/>
      <c r="M3555" s="120"/>
      <c r="N3555" s="121"/>
      <c r="O3555" s="120"/>
      <c r="P3555" s="121"/>
      <c r="Q3555" s="120"/>
      <c r="R3555" s="121"/>
      <c r="S3555" s="120"/>
      <c r="T3555" s="121"/>
      <c r="U3555" s="120"/>
      <c r="V3555" s="123"/>
      <c r="W3555" s="125"/>
      <c r="X3555" s="142" t="s">
        <v>2482</v>
      </c>
      <c r="Y3555" s="143"/>
      <c r="Z3555" s="143"/>
      <c r="AA3555" s="143"/>
      <c r="AB3555" s="144"/>
      <c r="AC3555" s="16" t="s">
        <v>21</v>
      </c>
      <c r="AD3555" s="17" t="s">
        <v>1731</v>
      </c>
      <c r="AE3555" s="145" t="s">
        <v>1670</v>
      </c>
      <c r="AF3555" s="146"/>
      <c r="AG3555" s="146"/>
      <c r="AH3555" s="146"/>
      <c r="AI3555" s="147"/>
      <c r="AJ3555" s="148"/>
      <c r="AK3555" s="143"/>
      <c r="AL3555" s="144"/>
      <c r="AM3555" s="22"/>
      <c r="AN3555" s="149" t="s">
        <v>2511</v>
      </c>
      <c r="AO3555" s="144"/>
      <c r="AP3555" s="148">
        <v>41017</v>
      </c>
      <c r="AQ3555" s="144"/>
      <c r="AR3555" s="120"/>
      <c r="AS3555" s="121"/>
      <c r="AT3555" s="120"/>
      <c r="AU3555" s="121"/>
      <c r="AV3555" s="120"/>
      <c r="AW3555" s="121"/>
      <c r="AX3555" s="120"/>
      <c r="AY3555" s="121"/>
      <c r="AZ3555" s="138"/>
    </row>
    <row r="3556" spans="1:52" ht="17.100000000000001" customHeight="1" thickTop="1">
      <c r="A3556" s="109" t="s">
        <v>11119</v>
      </c>
      <c r="B3556" s="28">
        <v>45979</v>
      </c>
      <c r="C3556" s="25">
        <v>966</v>
      </c>
      <c r="D3556" s="13" t="s">
        <v>2187</v>
      </c>
      <c r="E3556" s="111"/>
      <c r="F3556" s="113" t="s">
        <v>5196</v>
      </c>
      <c r="G3556" s="114"/>
      <c r="H3556" s="115"/>
      <c r="I3556" s="24"/>
      <c r="J3556" s="116">
        <v>3.5</v>
      </c>
      <c r="K3556" s="118">
        <v>358000</v>
      </c>
      <c r="L3556" s="119"/>
      <c r="M3556" s="118">
        <f t="shared" ref="M3556" si="3102">K3556*0.1</f>
        <v>35800</v>
      </c>
      <c r="N3556" s="119"/>
      <c r="O3556" s="118">
        <v>0</v>
      </c>
      <c r="P3556" s="119"/>
      <c r="Q3556" s="118">
        <v>7140</v>
      </c>
      <c r="R3556" s="119"/>
      <c r="S3556" s="118">
        <v>22000</v>
      </c>
      <c r="T3556" s="119"/>
      <c r="U3556" s="118">
        <f t="shared" ref="U3556" si="3103">SUM(K3556:T3557)</f>
        <v>422940</v>
      </c>
      <c r="V3556" s="122"/>
      <c r="W3556" s="124"/>
      <c r="X3556" s="126" t="s">
        <v>11885</v>
      </c>
      <c r="Y3556" s="127"/>
      <c r="Z3556" s="127"/>
      <c r="AA3556" s="127"/>
      <c r="AB3556" s="128"/>
      <c r="AC3556" s="15" t="s">
        <v>20</v>
      </c>
      <c r="AD3556" s="129" t="s">
        <v>2054</v>
      </c>
      <c r="AE3556" s="130"/>
      <c r="AF3556" s="130"/>
      <c r="AG3556" s="130"/>
      <c r="AH3556" s="130"/>
      <c r="AI3556" s="131"/>
      <c r="AJ3556" s="132"/>
      <c r="AK3556" s="127"/>
      <c r="AL3556" s="128"/>
      <c r="AM3556" s="21"/>
      <c r="AN3556" s="133">
        <v>45997</v>
      </c>
      <c r="AO3556" s="134"/>
      <c r="AP3556" s="135">
        <v>1279</v>
      </c>
      <c r="AQ3556" s="136"/>
      <c r="AR3556" s="118">
        <v>375000</v>
      </c>
      <c r="AS3556" s="119"/>
      <c r="AT3556" s="118">
        <f t="shared" ref="AT3556" si="3104">AR3556*0.1</f>
        <v>37500</v>
      </c>
      <c r="AU3556" s="119"/>
      <c r="AV3556" s="118">
        <v>7140</v>
      </c>
      <c r="AW3556" s="119"/>
      <c r="AX3556" s="118">
        <f t="shared" ref="AX3556" si="3105">SUM(AR3556:AW3556)</f>
        <v>419640</v>
      </c>
      <c r="AY3556" s="119"/>
      <c r="AZ3556" s="137">
        <v>46000</v>
      </c>
    </row>
    <row r="3557" spans="1:52" ht="17.100000000000001" customHeight="1" thickBot="1">
      <c r="A3557" s="110"/>
      <c r="B3557" s="27" t="s">
        <v>2055</v>
      </c>
      <c r="C3557" s="27">
        <v>259</v>
      </c>
      <c r="D3557" s="14" t="s">
        <v>1592</v>
      </c>
      <c r="E3557" s="112"/>
      <c r="F3557" s="139" t="s">
        <v>11134</v>
      </c>
      <c r="G3557" s="140"/>
      <c r="H3557" s="141"/>
      <c r="I3557" s="26">
        <v>45469</v>
      </c>
      <c r="J3557" s="117"/>
      <c r="K3557" s="120"/>
      <c r="L3557" s="121"/>
      <c r="M3557" s="120"/>
      <c r="N3557" s="121"/>
      <c r="O3557" s="120"/>
      <c r="P3557" s="121"/>
      <c r="Q3557" s="120"/>
      <c r="R3557" s="121"/>
      <c r="S3557" s="120"/>
      <c r="T3557" s="121"/>
      <c r="U3557" s="120"/>
      <c r="V3557" s="123"/>
      <c r="W3557" s="125"/>
      <c r="X3557" s="142" t="s">
        <v>2482</v>
      </c>
      <c r="Y3557" s="143"/>
      <c r="Z3557" s="143"/>
      <c r="AA3557" s="143"/>
      <c r="AB3557" s="144"/>
      <c r="AC3557" s="16" t="s">
        <v>21</v>
      </c>
      <c r="AD3557" s="17" t="s">
        <v>1731</v>
      </c>
      <c r="AE3557" s="145" t="s">
        <v>1670</v>
      </c>
      <c r="AF3557" s="146"/>
      <c r="AG3557" s="146"/>
      <c r="AH3557" s="146"/>
      <c r="AI3557" s="147"/>
      <c r="AJ3557" s="148"/>
      <c r="AK3557" s="143"/>
      <c r="AL3557" s="144"/>
      <c r="AM3557" s="22"/>
      <c r="AN3557" s="149" t="s">
        <v>2511</v>
      </c>
      <c r="AO3557" s="144"/>
      <c r="AP3557" s="148">
        <v>62024</v>
      </c>
      <c r="AQ3557" s="144"/>
      <c r="AR3557" s="120"/>
      <c r="AS3557" s="121"/>
      <c r="AT3557" s="120"/>
      <c r="AU3557" s="121"/>
      <c r="AV3557" s="120"/>
      <c r="AW3557" s="121"/>
      <c r="AX3557" s="120"/>
      <c r="AY3557" s="121"/>
      <c r="AZ3557" s="138"/>
    </row>
    <row r="3558" spans="1:52" ht="17.100000000000001" customHeight="1" thickTop="1">
      <c r="A3558" s="109" t="s">
        <v>11126</v>
      </c>
      <c r="B3558" s="28">
        <v>45979</v>
      </c>
      <c r="C3558" s="25">
        <v>966</v>
      </c>
      <c r="D3558" s="13" t="s">
        <v>2616</v>
      </c>
      <c r="E3558" s="111"/>
      <c r="F3558" s="113" t="s">
        <v>11143</v>
      </c>
      <c r="G3558" s="114"/>
      <c r="H3558" s="115"/>
      <c r="I3558" s="24"/>
      <c r="J3558" s="116">
        <v>4</v>
      </c>
      <c r="K3558" s="118">
        <v>879000</v>
      </c>
      <c r="L3558" s="119"/>
      <c r="M3558" s="118">
        <f t="shared" ref="M3558" si="3106">K3558*0.1</f>
        <v>87900</v>
      </c>
      <c r="N3558" s="119"/>
      <c r="O3558" s="118">
        <v>0</v>
      </c>
      <c r="P3558" s="119"/>
      <c r="Q3558" s="118">
        <v>7150</v>
      </c>
      <c r="R3558" s="119"/>
      <c r="S3558" s="118">
        <v>22000</v>
      </c>
      <c r="T3558" s="119"/>
      <c r="U3558" s="118">
        <f t="shared" ref="U3558" si="3107">SUM(K3558:T3559)</f>
        <v>996050</v>
      </c>
      <c r="V3558" s="122"/>
      <c r="W3558" s="124"/>
      <c r="X3558" s="126" t="s">
        <v>12020</v>
      </c>
      <c r="Y3558" s="127"/>
      <c r="Z3558" s="127"/>
      <c r="AA3558" s="127"/>
      <c r="AB3558" s="128"/>
      <c r="AC3558" s="15" t="s">
        <v>20</v>
      </c>
      <c r="AD3558" s="129" t="s">
        <v>6730</v>
      </c>
      <c r="AE3558" s="130"/>
      <c r="AF3558" s="130"/>
      <c r="AG3558" s="130"/>
      <c r="AH3558" s="130"/>
      <c r="AI3558" s="131"/>
      <c r="AJ3558" s="132"/>
      <c r="AK3558" s="127"/>
      <c r="AL3558" s="128"/>
      <c r="AM3558" s="21"/>
      <c r="AN3558" s="133">
        <v>45986</v>
      </c>
      <c r="AO3558" s="134"/>
      <c r="AP3558" s="135">
        <v>1919</v>
      </c>
      <c r="AQ3558" s="136"/>
      <c r="AR3558" s="118">
        <v>922000</v>
      </c>
      <c r="AS3558" s="119"/>
      <c r="AT3558" s="118">
        <f t="shared" ref="AT3558" si="3108">AR3558*0.1</f>
        <v>92200</v>
      </c>
      <c r="AU3558" s="119"/>
      <c r="AV3558" s="118">
        <v>7150</v>
      </c>
      <c r="AW3558" s="119"/>
      <c r="AX3558" s="118">
        <f t="shared" ref="AX3558" si="3109">SUM(AR3558:AW3558)</f>
        <v>1021350</v>
      </c>
      <c r="AY3558" s="119"/>
      <c r="AZ3558" s="137"/>
    </row>
    <row r="3559" spans="1:52" ht="17.100000000000001" customHeight="1" thickBot="1">
      <c r="A3559" s="110"/>
      <c r="B3559" s="27" t="s">
        <v>2055</v>
      </c>
      <c r="C3559" s="27">
        <v>1042</v>
      </c>
      <c r="D3559" s="14" t="s">
        <v>1720</v>
      </c>
      <c r="E3559" s="112"/>
      <c r="F3559" s="139" t="s">
        <v>11135</v>
      </c>
      <c r="G3559" s="140"/>
      <c r="H3559" s="141"/>
      <c r="I3559" s="26">
        <v>51030</v>
      </c>
      <c r="J3559" s="117"/>
      <c r="K3559" s="120"/>
      <c r="L3559" s="121"/>
      <c r="M3559" s="120"/>
      <c r="N3559" s="121"/>
      <c r="O3559" s="120"/>
      <c r="P3559" s="121"/>
      <c r="Q3559" s="120"/>
      <c r="R3559" s="121"/>
      <c r="S3559" s="120"/>
      <c r="T3559" s="121"/>
      <c r="U3559" s="120"/>
      <c r="V3559" s="123"/>
      <c r="W3559" s="125"/>
      <c r="X3559" s="142" t="s">
        <v>5035</v>
      </c>
      <c r="Y3559" s="143"/>
      <c r="Z3559" s="143"/>
      <c r="AA3559" s="143"/>
      <c r="AB3559" s="144"/>
      <c r="AC3559" s="16" t="s">
        <v>21</v>
      </c>
      <c r="AD3559" s="17" t="s">
        <v>12001</v>
      </c>
      <c r="AE3559" s="145" t="s">
        <v>9773</v>
      </c>
      <c r="AF3559" s="146"/>
      <c r="AG3559" s="146"/>
      <c r="AH3559" s="146"/>
      <c r="AI3559" s="147"/>
      <c r="AJ3559" s="148"/>
      <c r="AK3559" s="143"/>
      <c r="AL3559" s="144"/>
      <c r="AM3559" s="22"/>
      <c r="AN3559" s="149" t="s">
        <v>11650</v>
      </c>
      <c r="AO3559" s="144"/>
      <c r="AP3559" s="148">
        <v>3263</v>
      </c>
      <c r="AQ3559" s="144"/>
      <c r="AR3559" s="120"/>
      <c r="AS3559" s="121"/>
      <c r="AT3559" s="120"/>
      <c r="AU3559" s="121"/>
      <c r="AV3559" s="120"/>
      <c r="AW3559" s="121"/>
      <c r="AX3559" s="120"/>
      <c r="AY3559" s="121"/>
      <c r="AZ3559" s="138"/>
    </row>
    <row r="3560" spans="1:52" ht="17.100000000000001" customHeight="1" thickTop="1">
      <c r="A3560" s="109" t="s">
        <v>11127</v>
      </c>
      <c r="B3560" s="28">
        <v>45979</v>
      </c>
      <c r="C3560" s="25">
        <v>784</v>
      </c>
      <c r="D3560" s="13" t="s">
        <v>2859</v>
      </c>
      <c r="E3560" s="111"/>
      <c r="F3560" s="113" t="s">
        <v>11140</v>
      </c>
      <c r="G3560" s="114"/>
      <c r="H3560" s="115"/>
      <c r="I3560" s="24"/>
      <c r="J3560" s="116">
        <v>4</v>
      </c>
      <c r="K3560" s="118">
        <v>689000</v>
      </c>
      <c r="L3560" s="119"/>
      <c r="M3560" s="118">
        <f t="shared" ref="M3560" si="3110">K3560*0.1</f>
        <v>68900</v>
      </c>
      <c r="N3560" s="119"/>
      <c r="O3560" s="118">
        <v>0</v>
      </c>
      <c r="P3560" s="119"/>
      <c r="Q3560" s="118">
        <v>8550</v>
      </c>
      <c r="R3560" s="119"/>
      <c r="S3560" s="118">
        <v>22000</v>
      </c>
      <c r="T3560" s="119"/>
      <c r="U3560" s="118">
        <f t="shared" ref="U3560" si="3111">SUM(K3560:T3561)</f>
        <v>788450</v>
      </c>
      <c r="V3560" s="122"/>
      <c r="W3560" s="124"/>
      <c r="X3560" s="126" t="s">
        <v>12037</v>
      </c>
      <c r="Y3560" s="127"/>
      <c r="Z3560" s="127"/>
      <c r="AA3560" s="127"/>
      <c r="AB3560" s="128"/>
      <c r="AC3560" s="15" t="s">
        <v>20</v>
      </c>
      <c r="AD3560" s="129" t="s">
        <v>186</v>
      </c>
      <c r="AE3560" s="130"/>
      <c r="AF3560" s="130"/>
      <c r="AG3560" s="130"/>
      <c r="AH3560" s="130"/>
      <c r="AI3560" s="131"/>
      <c r="AJ3560" s="132"/>
      <c r="AK3560" s="127"/>
      <c r="AL3560" s="128"/>
      <c r="AM3560" s="21"/>
      <c r="AN3560" s="133">
        <v>46000</v>
      </c>
      <c r="AO3560" s="134"/>
      <c r="AP3560" s="135">
        <v>1921</v>
      </c>
      <c r="AQ3560" s="136"/>
      <c r="AR3560" s="118">
        <v>854000</v>
      </c>
      <c r="AS3560" s="119"/>
      <c r="AT3560" s="118">
        <f t="shared" ref="AT3560" si="3112">AR3560*0.1</f>
        <v>85400</v>
      </c>
      <c r="AU3560" s="119"/>
      <c r="AV3560" s="118">
        <v>8550</v>
      </c>
      <c r="AW3560" s="119"/>
      <c r="AX3560" s="118">
        <f t="shared" ref="AX3560" si="3113">SUM(AR3560:AW3560)</f>
        <v>947950</v>
      </c>
      <c r="AY3560" s="119"/>
      <c r="AZ3560" s="137">
        <v>46006</v>
      </c>
    </row>
    <row r="3561" spans="1:52" ht="17.100000000000001" customHeight="1" thickBot="1">
      <c r="A3561" s="110"/>
      <c r="B3561" s="27" t="s">
        <v>4491</v>
      </c>
      <c r="C3561" s="27">
        <v>228</v>
      </c>
      <c r="D3561" s="14" t="s">
        <v>2601</v>
      </c>
      <c r="E3561" s="112"/>
      <c r="F3561" s="139" t="s">
        <v>11136</v>
      </c>
      <c r="G3561" s="140"/>
      <c r="H3561" s="141"/>
      <c r="I3561" s="26">
        <v>55238</v>
      </c>
      <c r="J3561" s="117"/>
      <c r="K3561" s="120"/>
      <c r="L3561" s="121"/>
      <c r="M3561" s="120"/>
      <c r="N3561" s="121"/>
      <c r="O3561" s="120"/>
      <c r="P3561" s="121"/>
      <c r="Q3561" s="120"/>
      <c r="R3561" s="121"/>
      <c r="S3561" s="120"/>
      <c r="T3561" s="121"/>
      <c r="U3561" s="120"/>
      <c r="V3561" s="123"/>
      <c r="W3561" s="125"/>
      <c r="X3561" s="142" t="s">
        <v>2440</v>
      </c>
      <c r="Y3561" s="143"/>
      <c r="Z3561" s="143"/>
      <c r="AA3561" s="143"/>
      <c r="AB3561" s="144"/>
      <c r="AC3561" s="16" t="s">
        <v>21</v>
      </c>
      <c r="AD3561" s="17" t="s">
        <v>12001</v>
      </c>
      <c r="AE3561" s="145" t="s">
        <v>12542</v>
      </c>
      <c r="AF3561" s="146"/>
      <c r="AG3561" s="146"/>
      <c r="AH3561" s="146"/>
      <c r="AI3561" s="147"/>
      <c r="AJ3561" s="148"/>
      <c r="AK3561" s="143"/>
      <c r="AL3561" s="144"/>
      <c r="AM3561" s="22"/>
      <c r="AN3561" s="149" t="s">
        <v>2131</v>
      </c>
      <c r="AO3561" s="144"/>
      <c r="AP3561" s="148">
        <v>3259</v>
      </c>
      <c r="AQ3561" s="144"/>
      <c r="AR3561" s="120"/>
      <c r="AS3561" s="121"/>
      <c r="AT3561" s="120"/>
      <c r="AU3561" s="121"/>
      <c r="AV3561" s="120"/>
      <c r="AW3561" s="121"/>
      <c r="AX3561" s="120"/>
      <c r="AY3561" s="121"/>
      <c r="AZ3561" s="138"/>
    </row>
    <row r="3562" spans="1:52" ht="17.100000000000001" customHeight="1" thickTop="1">
      <c r="A3562" s="109" t="s">
        <v>11128</v>
      </c>
      <c r="B3562" s="28">
        <v>45980</v>
      </c>
      <c r="C3562" s="25">
        <v>1814</v>
      </c>
      <c r="D3562" s="13" t="s">
        <v>2187</v>
      </c>
      <c r="E3562" s="111"/>
      <c r="F3562" s="113" t="s">
        <v>8591</v>
      </c>
      <c r="G3562" s="114"/>
      <c r="H3562" s="115"/>
      <c r="I3562" s="24"/>
      <c r="J3562" s="116">
        <v>4.5</v>
      </c>
      <c r="K3562" s="118">
        <v>1970000</v>
      </c>
      <c r="L3562" s="119"/>
      <c r="M3562" s="118">
        <f t="shared" ref="M3562" si="3114">K3562*0.1</f>
        <v>197000</v>
      </c>
      <c r="N3562" s="119"/>
      <c r="O3562" s="118">
        <v>0</v>
      </c>
      <c r="P3562" s="119"/>
      <c r="Q3562" s="118">
        <v>11740</v>
      </c>
      <c r="R3562" s="119"/>
      <c r="S3562" s="118">
        <v>18150</v>
      </c>
      <c r="T3562" s="119"/>
      <c r="U3562" s="118">
        <f t="shared" ref="U3562" si="3115">SUM(K3562:T3563)</f>
        <v>2196890</v>
      </c>
      <c r="V3562" s="122"/>
      <c r="W3562" s="124"/>
      <c r="X3562" s="126" t="s">
        <v>11494</v>
      </c>
      <c r="Y3562" s="127"/>
      <c r="Z3562" s="127"/>
      <c r="AA3562" s="127"/>
      <c r="AB3562" s="128"/>
      <c r="AC3562" s="15" t="s">
        <v>20</v>
      </c>
      <c r="AD3562" s="129"/>
      <c r="AE3562" s="130"/>
      <c r="AF3562" s="130"/>
      <c r="AG3562" s="130"/>
      <c r="AH3562" s="130"/>
      <c r="AI3562" s="131"/>
      <c r="AJ3562" s="132"/>
      <c r="AK3562" s="127"/>
      <c r="AL3562" s="128"/>
      <c r="AM3562" s="21"/>
      <c r="AN3562" s="133">
        <v>46018</v>
      </c>
      <c r="AO3562" s="134"/>
      <c r="AP3562" s="135">
        <v>1282</v>
      </c>
      <c r="AQ3562" s="136"/>
      <c r="AR3562" s="118">
        <v>2130000</v>
      </c>
      <c r="AS3562" s="119"/>
      <c r="AT3562" s="118">
        <f t="shared" ref="AT3562" si="3116">AR3562*0.1</f>
        <v>213000</v>
      </c>
      <c r="AU3562" s="119"/>
      <c r="AV3562" s="118">
        <v>11740</v>
      </c>
      <c r="AW3562" s="119"/>
      <c r="AX3562" s="118">
        <f t="shared" ref="AX3562" si="3117">SUM(AR3562:AW3562)</f>
        <v>2354740</v>
      </c>
      <c r="AY3562" s="119"/>
      <c r="AZ3562" s="137">
        <v>46028</v>
      </c>
    </row>
    <row r="3563" spans="1:52" ht="17.100000000000001" customHeight="1" thickBot="1">
      <c r="A3563" s="110"/>
      <c r="B3563" s="27" t="s">
        <v>2559</v>
      </c>
      <c r="C3563" s="27">
        <v>38049</v>
      </c>
      <c r="D3563" s="14" t="s">
        <v>2116</v>
      </c>
      <c r="E3563" s="112"/>
      <c r="F3563" s="139" t="s">
        <v>11137</v>
      </c>
      <c r="G3563" s="140"/>
      <c r="H3563" s="141"/>
      <c r="I3563" s="26">
        <v>30032</v>
      </c>
      <c r="J3563" s="117"/>
      <c r="K3563" s="120"/>
      <c r="L3563" s="121"/>
      <c r="M3563" s="120"/>
      <c r="N3563" s="121"/>
      <c r="O3563" s="120"/>
      <c r="P3563" s="121"/>
      <c r="Q3563" s="120"/>
      <c r="R3563" s="121"/>
      <c r="S3563" s="120"/>
      <c r="T3563" s="121"/>
      <c r="U3563" s="120"/>
      <c r="V3563" s="123"/>
      <c r="W3563" s="125"/>
      <c r="X3563" s="142" t="s">
        <v>11495</v>
      </c>
      <c r="Y3563" s="143"/>
      <c r="Z3563" s="143"/>
      <c r="AA3563" s="143"/>
      <c r="AB3563" s="144"/>
      <c r="AC3563" s="16" t="s">
        <v>21</v>
      </c>
      <c r="AD3563" s="17" t="s">
        <v>2203</v>
      </c>
      <c r="AE3563" s="145" t="s">
        <v>14379</v>
      </c>
      <c r="AF3563" s="146"/>
      <c r="AG3563" s="146"/>
      <c r="AH3563" s="146"/>
      <c r="AI3563" s="147"/>
      <c r="AJ3563" s="148"/>
      <c r="AK3563" s="143"/>
      <c r="AL3563" s="144"/>
      <c r="AM3563" s="22"/>
      <c r="AN3563" s="149" t="s">
        <v>2511</v>
      </c>
      <c r="AO3563" s="144"/>
      <c r="AP3563" s="148">
        <v>80173</v>
      </c>
      <c r="AQ3563" s="144"/>
      <c r="AR3563" s="120"/>
      <c r="AS3563" s="121"/>
      <c r="AT3563" s="120"/>
      <c r="AU3563" s="121"/>
      <c r="AV3563" s="120"/>
      <c r="AW3563" s="121"/>
      <c r="AX3563" s="120"/>
      <c r="AY3563" s="121"/>
      <c r="AZ3563" s="138"/>
    </row>
    <row r="3564" spans="1:52" ht="17.100000000000001" customHeight="1" thickTop="1">
      <c r="A3564" s="109" t="s">
        <v>11129</v>
      </c>
      <c r="B3564" s="28">
        <v>45980</v>
      </c>
      <c r="C3564" s="25">
        <v>1814</v>
      </c>
      <c r="D3564" s="13" t="s">
        <v>2272</v>
      </c>
      <c r="E3564" s="111"/>
      <c r="F3564" s="113" t="s">
        <v>5433</v>
      </c>
      <c r="G3564" s="114"/>
      <c r="H3564" s="115"/>
      <c r="I3564" s="24" t="s">
        <v>3923</v>
      </c>
      <c r="J3564" s="116">
        <v>4.5</v>
      </c>
      <c r="K3564" s="118">
        <v>1245000</v>
      </c>
      <c r="L3564" s="119"/>
      <c r="M3564" s="118">
        <f t="shared" ref="M3564" si="3118">K3564*0.1</f>
        <v>124500</v>
      </c>
      <c r="N3564" s="119"/>
      <c r="O3564" s="118">
        <f>4700+470</f>
        <v>5170</v>
      </c>
      <c r="P3564" s="119"/>
      <c r="Q3564" s="118">
        <v>8990</v>
      </c>
      <c r="R3564" s="119"/>
      <c r="S3564" s="118">
        <v>18150</v>
      </c>
      <c r="T3564" s="119"/>
      <c r="U3564" s="118">
        <f t="shared" ref="U3564" si="3119">SUM(K3564:T3565)</f>
        <v>1401810</v>
      </c>
      <c r="V3564" s="122"/>
      <c r="W3564" s="124"/>
      <c r="X3564" s="126" t="s">
        <v>11139</v>
      </c>
      <c r="Y3564" s="127"/>
      <c r="Z3564" s="127"/>
      <c r="AA3564" s="127"/>
      <c r="AB3564" s="128"/>
      <c r="AC3564" s="15" t="s">
        <v>20</v>
      </c>
      <c r="AD3564" s="129" t="s">
        <v>4622</v>
      </c>
      <c r="AE3564" s="130"/>
      <c r="AF3564" s="130"/>
      <c r="AG3564" s="130"/>
      <c r="AH3564" s="130"/>
      <c r="AI3564" s="131"/>
      <c r="AJ3564" s="132"/>
      <c r="AK3564" s="127"/>
      <c r="AL3564" s="128"/>
      <c r="AM3564" s="21"/>
      <c r="AN3564" s="133">
        <v>46011</v>
      </c>
      <c r="AO3564" s="134"/>
      <c r="AP3564" s="135">
        <v>1281</v>
      </c>
      <c r="AQ3564" s="136"/>
      <c r="AR3564" s="118">
        <v>1280000</v>
      </c>
      <c r="AS3564" s="119"/>
      <c r="AT3564" s="118">
        <f t="shared" ref="AT3564" si="3120">AR3564*0.1</f>
        <v>128000</v>
      </c>
      <c r="AU3564" s="119"/>
      <c r="AV3564" s="118">
        <v>8990</v>
      </c>
      <c r="AW3564" s="119"/>
      <c r="AX3564" s="118">
        <f t="shared" ref="AX3564" si="3121">SUM(AR3564:AW3564)</f>
        <v>1416990</v>
      </c>
      <c r="AY3564" s="119"/>
      <c r="AZ3564" s="137">
        <v>46014</v>
      </c>
    </row>
    <row r="3565" spans="1:52" ht="17.100000000000001" customHeight="1" thickBot="1">
      <c r="A3565" s="110"/>
      <c r="B3565" s="27" t="s">
        <v>2559</v>
      </c>
      <c r="C3565" s="27">
        <v>40159</v>
      </c>
      <c r="D3565" s="14" t="s">
        <v>1592</v>
      </c>
      <c r="E3565" s="112"/>
      <c r="F3565" s="139" t="s">
        <v>11138</v>
      </c>
      <c r="G3565" s="140"/>
      <c r="H3565" s="141"/>
      <c r="I3565" s="26">
        <v>10870</v>
      </c>
      <c r="J3565" s="117"/>
      <c r="K3565" s="120"/>
      <c r="L3565" s="121"/>
      <c r="M3565" s="120"/>
      <c r="N3565" s="121"/>
      <c r="O3565" s="120"/>
      <c r="P3565" s="121"/>
      <c r="Q3565" s="120"/>
      <c r="R3565" s="121"/>
      <c r="S3565" s="120"/>
      <c r="T3565" s="121"/>
      <c r="U3565" s="120"/>
      <c r="V3565" s="123"/>
      <c r="W3565" s="125"/>
      <c r="X3565" s="142" t="s">
        <v>7544</v>
      </c>
      <c r="Y3565" s="143"/>
      <c r="Z3565" s="143"/>
      <c r="AA3565" s="143"/>
      <c r="AB3565" s="144"/>
      <c r="AC3565" s="16" t="s">
        <v>21</v>
      </c>
      <c r="AD3565" s="17" t="s">
        <v>12001</v>
      </c>
      <c r="AE3565" s="145" t="s">
        <v>4420</v>
      </c>
      <c r="AF3565" s="146"/>
      <c r="AG3565" s="146"/>
      <c r="AH3565" s="146"/>
      <c r="AI3565" s="147"/>
      <c r="AJ3565" s="148"/>
      <c r="AK3565" s="143"/>
      <c r="AL3565" s="144"/>
      <c r="AM3565" s="22"/>
      <c r="AN3565" s="149" t="s">
        <v>2511</v>
      </c>
      <c r="AO3565" s="144"/>
      <c r="AP3565" s="148">
        <v>41035</v>
      </c>
      <c r="AQ3565" s="144"/>
      <c r="AR3565" s="120"/>
      <c r="AS3565" s="121"/>
      <c r="AT3565" s="120"/>
      <c r="AU3565" s="121"/>
      <c r="AV3565" s="120"/>
      <c r="AW3565" s="121"/>
      <c r="AX3565" s="120"/>
      <c r="AY3565" s="121"/>
      <c r="AZ3565" s="138"/>
    </row>
    <row r="3566" spans="1:52" ht="17.100000000000001" customHeight="1" thickTop="1">
      <c r="A3566" s="109" t="s">
        <v>11218</v>
      </c>
      <c r="B3566" s="28">
        <v>45981</v>
      </c>
      <c r="C3566" s="25">
        <v>2003</v>
      </c>
      <c r="D3566" s="13" t="s">
        <v>1823</v>
      </c>
      <c r="E3566" s="111"/>
      <c r="F3566" s="113" t="s">
        <v>11150</v>
      </c>
      <c r="G3566" s="114"/>
      <c r="H3566" s="115"/>
      <c r="I3566" s="24" t="s">
        <v>4193</v>
      </c>
      <c r="J3566" s="116">
        <v>3.5</v>
      </c>
      <c r="K3566" s="118">
        <v>511000</v>
      </c>
      <c r="L3566" s="119"/>
      <c r="M3566" s="118">
        <f t="shared" ref="M3566" si="3122">K3566*0.1</f>
        <v>51100</v>
      </c>
      <c r="N3566" s="119"/>
      <c r="O3566" s="118">
        <f>19300+1930</f>
        <v>21230</v>
      </c>
      <c r="P3566" s="119"/>
      <c r="Q3566" s="118">
        <v>16090</v>
      </c>
      <c r="R3566" s="119"/>
      <c r="S3566" s="118">
        <v>22000</v>
      </c>
      <c r="T3566" s="119"/>
      <c r="U3566" s="118">
        <f t="shared" ref="U3566" si="3123">SUM(K3566:T3567)</f>
        <v>621420</v>
      </c>
      <c r="V3566" s="122"/>
      <c r="W3566" s="124"/>
      <c r="X3566" s="126" t="s">
        <v>11152</v>
      </c>
      <c r="Y3566" s="127"/>
      <c r="Z3566" s="127"/>
      <c r="AA3566" s="127"/>
      <c r="AB3566" s="128"/>
      <c r="AC3566" s="15" t="s">
        <v>20</v>
      </c>
      <c r="AD3566" s="129" t="s">
        <v>11153</v>
      </c>
      <c r="AE3566" s="130"/>
      <c r="AF3566" s="130"/>
      <c r="AG3566" s="130"/>
      <c r="AH3566" s="130"/>
      <c r="AI3566" s="131"/>
      <c r="AJ3566" s="132"/>
      <c r="AK3566" s="127"/>
      <c r="AL3566" s="128"/>
      <c r="AM3566" s="21"/>
      <c r="AN3566" s="133">
        <v>45987</v>
      </c>
      <c r="AO3566" s="134"/>
      <c r="AP3566" s="135">
        <v>994</v>
      </c>
      <c r="AQ3566" s="136"/>
      <c r="AR3566" s="118">
        <v>670000</v>
      </c>
      <c r="AS3566" s="119"/>
      <c r="AT3566" s="118">
        <f t="shared" ref="AT3566" si="3124">AR3566*0.1</f>
        <v>67000</v>
      </c>
      <c r="AU3566" s="119"/>
      <c r="AV3566" s="118">
        <v>16090</v>
      </c>
      <c r="AW3566" s="119"/>
      <c r="AX3566" s="118">
        <f t="shared" ref="AX3566" si="3125">SUM(AR3566:AW3566)</f>
        <v>753090</v>
      </c>
      <c r="AY3566" s="119"/>
      <c r="AZ3566" s="137">
        <v>45992</v>
      </c>
    </row>
    <row r="3567" spans="1:52" ht="17.100000000000001" customHeight="1" thickBot="1">
      <c r="A3567" s="110"/>
      <c r="B3567" s="27" t="s">
        <v>2200</v>
      </c>
      <c r="C3567" s="27">
        <v>30109</v>
      </c>
      <c r="D3567" s="14" t="s">
        <v>275</v>
      </c>
      <c r="E3567" s="112"/>
      <c r="F3567" s="139" t="s">
        <v>11151</v>
      </c>
      <c r="G3567" s="140"/>
      <c r="H3567" s="141"/>
      <c r="I3567" s="26">
        <v>52111</v>
      </c>
      <c r="J3567" s="117"/>
      <c r="K3567" s="120"/>
      <c r="L3567" s="121"/>
      <c r="M3567" s="120"/>
      <c r="N3567" s="121"/>
      <c r="O3567" s="120"/>
      <c r="P3567" s="121"/>
      <c r="Q3567" s="120"/>
      <c r="R3567" s="121"/>
      <c r="S3567" s="120"/>
      <c r="T3567" s="121"/>
      <c r="U3567" s="120"/>
      <c r="V3567" s="123"/>
      <c r="W3567" s="125"/>
      <c r="X3567" s="142" t="s">
        <v>11787</v>
      </c>
      <c r="Y3567" s="143"/>
      <c r="Z3567" s="143"/>
      <c r="AA3567" s="143"/>
      <c r="AB3567" s="144"/>
      <c r="AC3567" s="16" t="s">
        <v>21</v>
      </c>
      <c r="AD3567" s="17" t="s">
        <v>11774</v>
      </c>
      <c r="AE3567" s="145" t="s">
        <v>11788</v>
      </c>
      <c r="AF3567" s="146"/>
      <c r="AG3567" s="146"/>
      <c r="AH3567" s="146"/>
      <c r="AI3567" s="147"/>
      <c r="AJ3567" s="148"/>
      <c r="AK3567" s="143"/>
      <c r="AL3567" s="144"/>
      <c r="AM3567" s="22"/>
      <c r="AN3567" s="149" t="s">
        <v>11801</v>
      </c>
      <c r="AO3567" s="144"/>
      <c r="AP3567" s="148">
        <v>5051</v>
      </c>
      <c r="AQ3567" s="144"/>
      <c r="AR3567" s="120"/>
      <c r="AS3567" s="121"/>
      <c r="AT3567" s="120"/>
      <c r="AU3567" s="121"/>
      <c r="AV3567" s="120"/>
      <c r="AW3567" s="121"/>
      <c r="AX3567" s="120"/>
      <c r="AY3567" s="121"/>
      <c r="AZ3567" s="138"/>
    </row>
    <row r="3568" spans="1:52" ht="17.100000000000001" customHeight="1" thickTop="1">
      <c r="A3568" s="109" t="s">
        <v>11219</v>
      </c>
      <c r="B3568" s="28">
        <v>45981</v>
      </c>
      <c r="C3568" s="25">
        <v>2003</v>
      </c>
      <c r="D3568" s="13" t="s">
        <v>1902</v>
      </c>
      <c r="E3568" s="111"/>
      <c r="F3568" s="113" t="s">
        <v>11144</v>
      </c>
      <c r="G3568" s="114"/>
      <c r="H3568" s="115"/>
      <c r="I3568" s="24"/>
      <c r="J3568" s="116">
        <v>4</v>
      </c>
      <c r="K3568" s="118">
        <v>1163000</v>
      </c>
      <c r="L3568" s="119"/>
      <c r="M3568" s="118">
        <f t="shared" ref="M3568" si="3126">K3568*0.1</f>
        <v>116300</v>
      </c>
      <c r="N3568" s="119"/>
      <c r="O3568" s="118">
        <v>0</v>
      </c>
      <c r="P3568" s="119"/>
      <c r="Q3568" s="118">
        <v>7530</v>
      </c>
      <c r="R3568" s="119"/>
      <c r="S3568" s="118">
        <v>22000</v>
      </c>
      <c r="T3568" s="119"/>
      <c r="U3568" s="118">
        <f t="shared" ref="U3568" si="3127">SUM(K3568:T3569)</f>
        <v>1308830</v>
      </c>
      <c r="V3568" s="122"/>
      <c r="W3568" s="124"/>
      <c r="X3568" s="126" t="s">
        <v>11903</v>
      </c>
      <c r="Y3568" s="127"/>
      <c r="Z3568" s="127"/>
      <c r="AA3568" s="127"/>
      <c r="AB3568" s="128"/>
      <c r="AC3568" s="15" t="s">
        <v>20</v>
      </c>
      <c r="AD3568" s="129"/>
      <c r="AE3568" s="130"/>
      <c r="AF3568" s="130"/>
      <c r="AG3568" s="130"/>
      <c r="AH3568" s="130"/>
      <c r="AI3568" s="131"/>
      <c r="AJ3568" s="132"/>
      <c r="AK3568" s="127"/>
      <c r="AL3568" s="128"/>
      <c r="AM3568" s="21"/>
      <c r="AN3568" s="133">
        <v>46057</v>
      </c>
      <c r="AO3568" s="134"/>
      <c r="AP3568" s="135">
        <v>1003</v>
      </c>
      <c r="AQ3568" s="136"/>
      <c r="AR3568" s="118">
        <v>1170000</v>
      </c>
      <c r="AS3568" s="119"/>
      <c r="AT3568" s="118">
        <f t="shared" ref="AT3568" si="3128">AR3568*0.1</f>
        <v>117000</v>
      </c>
      <c r="AU3568" s="119"/>
      <c r="AV3568" s="118">
        <v>7530</v>
      </c>
      <c r="AW3568" s="119"/>
      <c r="AX3568" s="118">
        <f t="shared" ref="AX3568" si="3129">SUM(AR3568:AW3568)</f>
        <v>1294530</v>
      </c>
      <c r="AY3568" s="119"/>
      <c r="AZ3568" s="137">
        <v>46065</v>
      </c>
    </row>
    <row r="3569" spans="1:52" ht="17.100000000000001" customHeight="1" thickBot="1">
      <c r="A3569" s="110"/>
      <c r="B3569" s="27" t="s">
        <v>2200</v>
      </c>
      <c r="C3569" s="27">
        <v>50008</v>
      </c>
      <c r="D3569" s="14" t="s">
        <v>2601</v>
      </c>
      <c r="E3569" s="112"/>
      <c r="F3569" s="139" t="s">
        <v>11145</v>
      </c>
      <c r="G3569" s="140"/>
      <c r="H3569" s="141"/>
      <c r="I3569" s="26">
        <v>69275</v>
      </c>
      <c r="J3569" s="117"/>
      <c r="K3569" s="120"/>
      <c r="L3569" s="121"/>
      <c r="M3569" s="120"/>
      <c r="N3569" s="121"/>
      <c r="O3569" s="120"/>
      <c r="P3569" s="121"/>
      <c r="Q3569" s="120"/>
      <c r="R3569" s="121"/>
      <c r="S3569" s="120"/>
      <c r="T3569" s="121"/>
      <c r="U3569" s="120"/>
      <c r="V3569" s="123"/>
      <c r="W3569" s="125"/>
      <c r="X3569" s="142" t="s">
        <v>11902</v>
      </c>
      <c r="Y3569" s="143"/>
      <c r="Z3569" s="143"/>
      <c r="AA3569" s="143"/>
      <c r="AB3569" s="144"/>
      <c r="AC3569" s="16" t="s">
        <v>21</v>
      </c>
      <c r="AD3569" s="17" t="s">
        <v>1723</v>
      </c>
      <c r="AE3569" s="145"/>
      <c r="AF3569" s="146"/>
      <c r="AG3569" s="146"/>
      <c r="AH3569" s="146"/>
      <c r="AI3569" s="147"/>
      <c r="AJ3569" s="148"/>
      <c r="AK3569" s="143"/>
      <c r="AL3569" s="144"/>
      <c r="AM3569" s="22"/>
      <c r="AN3569" s="149" t="s">
        <v>8809</v>
      </c>
      <c r="AO3569" s="144"/>
      <c r="AP3569" s="148">
        <v>2034</v>
      </c>
      <c r="AQ3569" s="144"/>
      <c r="AR3569" s="120"/>
      <c r="AS3569" s="121"/>
      <c r="AT3569" s="120"/>
      <c r="AU3569" s="121"/>
      <c r="AV3569" s="120"/>
      <c r="AW3569" s="121"/>
      <c r="AX3569" s="120"/>
      <c r="AY3569" s="121"/>
      <c r="AZ3569" s="138"/>
    </row>
    <row r="3570" spans="1:52" ht="17.100000000000001" customHeight="1" thickTop="1">
      <c r="A3570" s="109" t="s">
        <v>11220</v>
      </c>
      <c r="B3570" s="28">
        <v>45981</v>
      </c>
      <c r="C3570" s="25">
        <v>2003</v>
      </c>
      <c r="D3570" s="13" t="s">
        <v>2226</v>
      </c>
      <c r="E3570" s="111"/>
      <c r="F3570" s="113" t="s">
        <v>4026</v>
      </c>
      <c r="G3570" s="114"/>
      <c r="H3570" s="115"/>
      <c r="I3570" s="24" t="s">
        <v>2577</v>
      </c>
      <c r="J3570" s="116">
        <v>6</v>
      </c>
      <c r="K3570" s="118">
        <v>1251000</v>
      </c>
      <c r="L3570" s="119"/>
      <c r="M3570" s="118">
        <f t="shared" ref="M3570" si="3130">K3570*0.1</f>
        <v>125100</v>
      </c>
      <c r="N3570" s="119"/>
      <c r="O3570" s="118">
        <v>0</v>
      </c>
      <c r="P3570" s="119"/>
      <c r="Q3570" s="118">
        <v>8350</v>
      </c>
      <c r="R3570" s="119"/>
      <c r="S3570" s="118">
        <v>22000</v>
      </c>
      <c r="T3570" s="119"/>
      <c r="U3570" s="118">
        <f t="shared" ref="U3570" si="3131">SUM(K3570:T3571)</f>
        <v>1406450</v>
      </c>
      <c r="V3570" s="122"/>
      <c r="W3570" s="124"/>
      <c r="X3570" s="126" t="s">
        <v>11791</v>
      </c>
      <c r="Y3570" s="127"/>
      <c r="Z3570" s="127"/>
      <c r="AA3570" s="127"/>
      <c r="AB3570" s="128"/>
      <c r="AC3570" s="15" t="s">
        <v>20</v>
      </c>
      <c r="AD3570" s="129" t="s">
        <v>1633</v>
      </c>
      <c r="AE3570" s="130"/>
      <c r="AF3570" s="130"/>
      <c r="AG3570" s="130"/>
      <c r="AH3570" s="130"/>
      <c r="AI3570" s="131"/>
      <c r="AJ3570" s="132"/>
      <c r="AK3570" s="127"/>
      <c r="AL3570" s="128"/>
      <c r="AM3570" s="21"/>
      <c r="AN3570" s="133">
        <v>45986</v>
      </c>
      <c r="AO3570" s="134"/>
      <c r="AP3570" s="135">
        <v>1919</v>
      </c>
      <c r="AQ3570" s="136"/>
      <c r="AR3570" s="118">
        <v>1417000</v>
      </c>
      <c r="AS3570" s="119"/>
      <c r="AT3570" s="118">
        <f t="shared" ref="AT3570" si="3132">AR3570*0.1</f>
        <v>141700</v>
      </c>
      <c r="AU3570" s="119"/>
      <c r="AV3570" s="118">
        <v>8350</v>
      </c>
      <c r="AW3570" s="119"/>
      <c r="AX3570" s="118">
        <f t="shared" ref="AX3570" si="3133">SUM(AR3570:AW3570)</f>
        <v>1567050</v>
      </c>
      <c r="AY3570" s="119"/>
      <c r="AZ3570" s="137"/>
    </row>
    <row r="3571" spans="1:52" ht="17.100000000000001" customHeight="1" thickBot="1">
      <c r="A3571" s="110"/>
      <c r="B3571" s="27" t="s">
        <v>2200</v>
      </c>
      <c r="C3571" s="27">
        <v>50030</v>
      </c>
      <c r="D3571" s="14" t="s">
        <v>1812</v>
      </c>
      <c r="E3571" s="112"/>
      <c r="F3571" s="139" t="s">
        <v>11146</v>
      </c>
      <c r="G3571" s="140"/>
      <c r="H3571" s="141"/>
      <c r="I3571" s="26">
        <v>3861</v>
      </c>
      <c r="J3571" s="117"/>
      <c r="K3571" s="120"/>
      <c r="L3571" s="121"/>
      <c r="M3571" s="120"/>
      <c r="N3571" s="121"/>
      <c r="O3571" s="120"/>
      <c r="P3571" s="121"/>
      <c r="Q3571" s="120"/>
      <c r="R3571" s="121"/>
      <c r="S3571" s="120"/>
      <c r="T3571" s="121"/>
      <c r="U3571" s="120"/>
      <c r="V3571" s="123"/>
      <c r="W3571" s="125"/>
      <c r="X3571" s="142" t="s">
        <v>11792</v>
      </c>
      <c r="Y3571" s="143"/>
      <c r="Z3571" s="143"/>
      <c r="AA3571" s="143"/>
      <c r="AB3571" s="144"/>
      <c r="AC3571" s="16" t="s">
        <v>21</v>
      </c>
      <c r="AD3571" s="17" t="s">
        <v>11774</v>
      </c>
      <c r="AE3571" s="145" t="s">
        <v>11778</v>
      </c>
      <c r="AF3571" s="146"/>
      <c r="AG3571" s="146"/>
      <c r="AH3571" s="146"/>
      <c r="AI3571" s="147"/>
      <c r="AJ3571" s="148"/>
      <c r="AK3571" s="143"/>
      <c r="AL3571" s="144"/>
      <c r="AM3571" s="22"/>
      <c r="AN3571" s="149" t="s">
        <v>11650</v>
      </c>
      <c r="AO3571" s="144"/>
      <c r="AP3571" s="148">
        <v>3265</v>
      </c>
      <c r="AQ3571" s="144"/>
      <c r="AR3571" s="120"/>
      <c r="AS3571" s="121"/>
      <c r="AT3571" s="120"/>
      <c r="AU3571" s="121"/>
      <c r="AV3571" s="120"/>
      <c r="AW3571" s="121"/>
      <c r="AX3571" s="120"/>
      <c r="AY3571" s="121"/>
      <c r="AZ3571" s="138"/>
    </row>
    <row r="3572" spans="1:52" ht="17.100000000000001" customHeight="1" thickTop="1">
      <c r="A3572" s="109" t="s">
        <v>11221</v>
      </c>
      <c r="B3572" s="28">
        <v>45981</v>
      </c>
      <c r="C3572" s="25">
        <v>2003</v>
      </c>
      <c r="D3572" s="13" t="s">
        <v>1688</v>
      </c>
      <c r="E3572" s="111"/>
      <c r="F3572" s="113" t="s">
        <v>9530</v>
      </c>
      <c r="G3572" s="114"/>
      <c r="H3572" s="115"/>
      <c r="I3572" s="24"/>
      <c r="J3572" s="116">
        <v>4</v>
      </c>
      <c r="K3572" s="118">
        <v>1280000</v>
      </c>
      <c r="L3572" s="119"/>
      <c r="M3572" s="118">
        <f t="shared" ref="M3572" si="3134">K3572*0.1</f>
        <v>128000</v>
      </c>
      <c r="N3572" s="119"/>
      <c r="O3572" s="118">
        <v>0</v>
      </c>
      <c r="P3572" s="119"/>
      <c r="Q3572" s="118">
        <v>8630</v>
      </c>
      <c r="R3572" s="119"/>
      <c r="S3572" s="118">
        <v>22000</v>
      </c>
      <c r="T3572" s="119"/>
      <c r="U3572" s="118">
        <f t="shared" ref="U3572" si="3135">SUM(K3572:T3573)</f>
        <v>1438630</v>
      </c>
      <c r="V3572" s="122"/>
      <c r="W3572" s="124"/>
      <c r="X3572" s="126" t="s">
        <v>11901</v>
      </c>
      <c r="Y3572" s="127"/>
      <c r="Z3572" s="127"/>
      <c r="AA3572" s="127"/>
      <c r="AB3572" s="128"/>
      <c r="AC3572" s="15" t="s">
        <v>20</v>
      </c>
      <c r="AD3572" s="129" t="s">
        <v>1633</v>
      </c>
      <c r="AE3572" s="130"/>
      <c r="AF3572" s="130"/>
      <c r="AG3572" s="130"/>
      <c r="AH3572" s="130"/>
      <c r="AI3572" s="131"/>
      <c r="AJ3572" s="132"/>
      <c r="AK3572" s="127"/>
      <c r="AL3572" s="128"/>
      <c r="AM3572" s="21"/>
      <c r="AN3572" s="133">
        <v>46039</v>
      </c>
      <c r="AO3572" s="134"/>
      <c r="AP3572" s="135">
        <v>1284</v>
      </c>
      <c r="AQ3572" s="136"/>
      <c r="AR3572" s="118">
        <v>1350000</v>
      </c>
      <c r="AS3572" s="119"/>
      <c r="AT3572" s="118">
        <f t="shared" ref="AT3572" si="3136">AR3572*0.1</f>
        <v>135000</v>
      </c>
      <c r="AU3572" s="119"/>
      <c r="AV3572" s="118">
        <v>8630</v>
      </c>
      <c r="AW3572" s="119"/>
      <c r="AX3572" s="118">
        <f t="shared" ref="AX3572" si="3137">SUM(AR3572:AW3572)</f>
        <v>1493630</v>
      </c>
      <c r="AY3572" s="119"/>
      <c r="AZ3572" s="137">
        <v>46044</v>
      </c>
    </row>
    <row r="3573" spans="1:52" ht="17.100000000000001" customHeight="1" thickBot="1">
      <c r="A3573" s="110"/>
      <c r="B3573" s="27" t="s">
        <v>2200</v>
      </c>
      <c r="C3573" s="27">
        <v>50061</v>
      </c>
      <c r="D3573" s="14" t="s">
        <v>2601</v>
      </c>
      <c r="E3573" s="112"/>
      <c r="F3573" s="139" t="s">
        <v>11147</v>
      </c>
      <c r="G3573" s="140"/>
      <c r="H3573" s="141"/>
      <c r="I3573" s="26">
        <v>46056</v>
      </c>
      <c r="J3573" s="117"/>
      <c r="K3573" s="120"/>
      <c r="L3573" s="121"/>
      <c r="M3573" s="120"/>
      <c r="N3573" s="121"/>
      <c r="O3573" s="120"/>
      <c r="P3573" s="121"/>
      <c r="Q3573" s="120"/>
      <c r="R3573" s="121"/>
      <c r="S3573" s="120"/>
      <c r="T3573" s="121"/>
      <c r="U3573" s="120"/>
      <c r="V3573" s="123"/>
      <c r="W3573" s="125"/>
      <c r="X3573" s="142" t="s">
        <v>11902</v>
      </c>
      <c r="Y3573" s="143"/>
      <c r="Z3573" s="143"/>
      <c r="AA3573" s="143"/>
      <c r="AB3573" s="144"/>
      <c r="AC3573" s="16" t="s">
        <v>21</v>
      </c>
      <c r="AD3573" s="17" t="s">
        <v>1723</v>
      </c>
      <c r="AE3573" s="145" t="s">
        <v>1742</v>
      </c>
      <c r="AF3573" s="146"/>
      <c r="AG3573" s="146"/>
      <c r="AH3573" s="146"/>
      <c r="AI3573" s="147"/>
      <c r="AJ3573" s="148"/>
      <c r="AK3573" s="143"/>
      <c r="AL3573" s="144"/>
      <c r="AM3573" s="22"/>
      <c r="AN3573" s="149" t="s">
        <v>6748</v>
      </c>
      <c r="AO3573" s="144"/>
      <c r="AP3573" s="148">
        <v>60096</v>
      </c>
      <c r="AQ3573" s="144"/>
      <c r="AR3573" s="120"/>
      <c r="AS3573" s="121"/>
      <c r="AT3573" s="120"/>
      <c r="AU3573" s="121"/>
      <c r="AV3573" s="120"/>
      <c r="AW3573" s="121"/>
      <c r="AX3573" s="120"/>
      <c r="AY3573" s="121"/>
      <c r="AZ3573" s="138"/>
    </row>
    <row r="3574" spans="1:52" ht="17.100000000000001" customHeight="1" thickTop="1">
      <c r="A3574" s="109" t="s">
        <v>11222</v>
      </c>
      <c r="B3574" s="28">
        <v>45981</v>
      </c>
      <c r="C3574" s="25">
        <v>2003</v>
      </c>
      <c r="D3574" s="13" t="s">
        <v>4609</v>
      </c>
      <c r="E3574" s="111"/>
      <c r="F3574" s="113" t="s">
        <v>9182</v>
      </c>
      <c r="G3574" s="114"/>
      <c r="H3574" s="115"/>
      <c r="I3574" s="24" t="s">
        <v>2526</v>
      </c>
      <c r="J3574" s="116">
        <v>4</v>
      </c>
      <c r="K3574" s="118">
        <v>171000</v>
      </c>
      <c r="L3574" s="119"/>
      <c r="M3574" s="118">
        <v>17100</v>
      </c>
      <c r="N3574" s="119"/>
      <c r="O3574" s="118">
        <v>0</v>
      </c>
      <c r="P3574" s="119"/>
      <c r="Q3574" s="118">
        <v>10020</v>
      </c>
      <c r="R3574" s="119"/>
      <c r="S3574" s="118">
        <v>22000</v>
      </c>
      <c r="T3574" s="119"/>
      <c r="U3574" s="118">
        <f t="shared" ref="U3574" si="3138">SUM(K3574:T3575)</f>
        <v>220120</v>
      </c>
      <c r="V3574" s="122"/>
      <c r="W3574" s="124"/>
      <c r="X3574" s="126" t="s">
        <v>12237</v>
      </c>
      <c r="Y3574" s="127"/>
      <c r="Z3574" s="127"/>
      <c r="AA3574" s="127"/>
      <c r="AB3574" s="128"/>
      <c r="AC3574" s="15" t="s">
        <v>20</v>
      </c>
      <c r="AD3574" s="129" t="s">
        <v>11149</v>
      </c>
      <c r="AE3574" s="130"/>
      <c r="AF3574" s="130"/>
      <c r="AG3574" s="130"/>
      <c r="AH3574" s="130"/>
      <c r="AI3574" s="131"/>
      <c r="AJ3574" s="132"/>
      <c r="AK3574" s="127"/>
      <c r="AL3574" s="128"/>
      <c r="AM3574" s="21" t="s">
        <v>13036</v>
      </c>
      <c r="AN3574" s="133">
        <v>46060</v>
      </c>
      <c r="AO3574" s="134"/>
      <c r="AP3574" s="135">
        <v>1287</v>
      </c>
      <c r="AQ3574" s="136"/>
      <c r="AR3574" s="118">
        <v>183000</v>
      </c>
      <c r="AS3574" s="119"/>
      <c r="AT3574" s="118">
        <f t="shared" ref="AT3574" si="3139">AR3574*0.1</f>
        <v>18300</v>
      </c>
      <c r="AU3574" s="119"/>
      <c r="AV3574" s="118">
        <v>10200</v>
      </c>
      <c r="AW3574" s="119"/>
      <c r="AX3574" s="118">
        <f t="shared" ref="AX3574" si="3140">SUM(AR3574:AW3574)</f>
        <v>211500</v>
      </c>
      <c r="AY3574" s="119"/>
      <c r="AZ3574" s="137">
        <v>46063</v>
      </c>
    </row>
    <row r="3575" spans="1:52" ht="17.100000000000001" customHeight="1" thickBot="1">
      <c r="A3575" s="110"/>
      <c r="B3575" s="27" t="s">
        <v>2200</v>
      </c>
      <c r="C3575" s="27">
        <v>50218</v>
      </c>
      <c r="D3575" s="14" t="s">
        <v>3855</v>
      </c>
      <c r="E3575" s="112"/>
      <c r="F3575" s="139" t="s">
        <v>11148</v>
      </c>
      <c r="G3575" s="140"/>
      <c r="H3575" s="141"/>
      <c r="I3575" s="26">
        <v>66489</v>
      </c>
      <c r="J3575" s="117"/>
      <c r="K3575" s="120"/>
      <c r="L3575" s="121"/>
      <c r="M3575" s="120"/>
      <c r="N3575" s="121"/>
      <c r="O3575" s="120"/>
      <c r="P3575" s="121"/>
      <c r="Q3575" s="120"/>
      <c r="R3575" s="121"/>
      <c r="S3575" s="120"/>
      <c r="T3575" s="121"/>
      <c r="U3575" s="120"/>
      <c r="V3575" s="123"/>
      <c r="W3575" s="125"/>
      <c r="X3575" s="142" t="s">
        <v>12238</v>
      </c>
      <c r="Y3575" s="143"/>
      <c r="Z3575" s="143"/>
      <c r="AA3575" s="143"/>
      <c r="AB3575" s="144"/>
      <c r="AC3575" s="16" t="s">
        <v>21</v>
      </c>
      <c r="AD3575" s="17" t="s">
        <v>1741</v>
      </c>
      <c r="AE3575" s="145" t="s">
        <v>9546</v>
      </c>
      <c r="AF3575" s="146"/>
      <c r="AG3575" s="146"/>
      <c r="AH3575" s="146"/>
      <c r="AI3575" s="147"/>
      <c r="AJ3575" s="148"/>
      <c r="AK3575" s="143"/>
      <c r="AL3575" s="144"/>
      <c r="AM3575" s="22"/>
      <c r="AN3575" s="149" t="s">
        <v>2511</v>
      </c>
      <c r="AO3575" s="144"/>
      <c r="AP3575" s="148">
        <v>60144</v>
      </c>
      <c r="AQ3575" s="144"/>
      <c r="AR3575" s="120"/>
      <c r="AS3575" s="121"/>
      <c r="AT3575" s="120"/>
      <c r="AU3575" s="121"/>
      <c r="AV3575" s="120"/>
      <c r="AW3575" s="121"/>
      <c r="AX3575" s="120"/>
      <c r="AY3575" s="121"/>
      <c r="AZ3575" s="138"/>
    </row>
    <row r="3576" spans="1:52" ht="17.100000000000001" customHeight="1" thickTop="1">
      <c r="A3576" s="109" t="s">
        <v>11223</v>
      </c>
      <c r="B3576" s="28">
        <v>45981</v>
      </c>
      <c r="C3576" s="25">
        <v>1542</v>
      </c>
      <c r="D3576" s="13" t="s">
        <v>2914</v>
      </c>
      <c r="E3576" s="111"/>
      <c r="F3576" s="113" t="s">
        <v>1810</v>
      </c>
      <c r="G3576" s="114"/>
      <c r="H3576" s="115"/>
      <c r="I3576" s="24"/>
      <c r="J3576" s="116">
        <v>4.5</v>
      </c>
      <c r="K3576" s="118">
        <v>1710000</v>
      </c>
      <c r="L3576" s="119"/>
      <c r="M3576" s="118">
        <f t="shared" ref="M3576" si="3141">K3576*0.1</f>
        <v>171000</v>
      </c>
      <c r="N3576" s="119"/>
      <c r="O3576" s="118">
        <v>0</v>
      </c>
      <c r="P3576" s="119"/>
      <c r="Q3576" s="118">
        <v>16240</v>
      </c>
      <c r="R3576" s="119"/>
      <c r="S3576" s="118">
        <v>16500</v>
      </c>
      <c r="T3576" s="119"/>
      <c r="U3576" s="118">
        <f t="shared" ref="U3576" si="3142">SUM(K3576:T3577)</f>
        <v>1913740</v>
      </c>
      <c r="V3576" s="122"/>
      <c r="W3576" s="124"/>
      <c r="X3576" s="126" t="s">
        <v>11622</v>
      </c>
      <c r="Y3576" s="127"/>
      <c r="Z3576" s="127"/>
      <c r="AA3576" s="127"/>
      <c r="AB3576" s="128"/>
      <c r="AC3576" s="15" t="s">
        <v>20</v>
      </c>
      <c r="AD3576" s="129"/>
      <c r="AE3576" s="130"/>
      <c r="AF3576" s="130"/>
      <c r="AG3576" s="130"/>
      <c r="AH3576" s="130"/>
      <c r="AI3576" s="131"/>
      <c r="AJ3576" s="132"/>
      <c r="AK3576" s="127"/>
      <c r="AL3576" s="128"/>
      <c r="AM3576" s="21"/>
      <c r="AN3576" s="133"/>
      <c r="AO3576" s="134"/>
      <c r="AP3576" s="135"/>
      <c r="AQ3576" s="136"/>
      <c r="AR3576" s="118"/>
      <c r="AS3576" s="119"/>
      <c r="AT3576" s="118">
        <f t="shared" ref="AT3576" si="3143">AR3576*0.1</f>
        <v>0</v>
      </c>
      <c r="AU3576" s="119"/>
      <c r="AV3576" s="118"/>
      <c r="AW3576" s="119"/>
      <c r="AX3576" s="118">
        <f t="shared" ref="AX3576" si="3144">SUM(AR3576:AW3576)</f>
        <v>0</v>
      </c>
      <c r="AY3576" s="119"/>
      <c r="AZ3576" s="137"/>
    </row>
    <row r="3577" spans="1:52" ht="17.100000000000001" customHeight="1" thickBot="1">
      <c r="A3577" s="110"/>
      <c r="B3577" s="27" t="s">
        <v>1600</v>
      </c>
      <c r="C3577" s="27">
        <v>75162</v>
      </c>
      <c r="D3577" s="14" t="s">
        <v>1592</v>
      </c>
      <c r="E3577" s="112"/>
      <c r="F3577" s="139" t="s">
        <v>11224</v>
      </c>
      <c r="G3577" s="140"/>
      <c r="H3577" s="141"/>
      <c r="I3577" s="26">
        <v>36035</v>
      </c>
      <c r="J3577" s="117"/>
      <c r="K3577" s="120"/>
      <c r="L3577" s="121"/>
      <c r="M3577" s="120"/>
      <c r="N3577" s="121"/>
      <c r="O3577" s="120"/>
      <c r="P3577" s="121"/>
      <c r="Q3577" s="120"/>
      <c r="R3577" s="121"/>
      <c r="S3577" s="120"/>
      <c r="T3577" s="121"/>
      <c r="U3577" s="120"/>
      <c r="V3577" s="123"/>
      <c r="W3577" s="125"/>
      <c r="X3577" s="142" t="s">
        <v>11623</v>
      </c>
      <c r="Y3577" s="143"/>
      <c r="Z3577" s="143"/>
      <c r="AA3577" s="143"/>
      <c r="AB3577" s="144"/>
      <c r="AC3577" s="16" t="s">
        <v>21</v>
      </c>
      <c r="AD3577" s="17" t="s">
        <v>2224</v>
      </c>
      <c r="AE3577" s="145" t="s">
        <v>4077</v>
      </c>
      <c r="AF3577" s="146"/>
      <c r="AG3577" s="146"/>
      <c r="AH3577" s="146"/>
      <c r="AI3577" s="147"/>
      <c r="AJ3577" s="148"/>
      <c r="AK3577" s="143"/>
      <c r="AL3577" s="144"/>
      <c r="AM3577" s="22"/>
      <c r="AN3577" s="149"/>
      <c r="AO3577" s="144"/>
      <c r="AP3577" s="148"/>
      <c r="AQ3577" s="144"/>
      <c r="AR3577" s="120"/>
      <c r="AS3577" s="121"/>
      <c r="AT3577" s="120"/>
      <c r="AU3577" s="121"/>
      <c r="AV3577" s="120"/>
      <c r="AW3577" s="121"/>
      <c r="AX3577" s="120"/>
      <c r="AY3577" s="121"/>
      <c r="AZ3577" s="138"/>
    </row>
    <row r="3578" spans="1:52" ht="17.100000000000001" customHeight="1" thickTop="1">
      <c r="A3578" s="109" t="s">
        <v>11225</v>
      </c>
      <c r="B3578" s="28">
        <v>45981</v>
      </c>
      <c r="C3578" s="25">
        <v>2135</v>
      </c>
      <c r="D3578" s="13" t="s">
        <v>2963</v>
      </c>
      <c r="E3578" s="111"/>
      <c r="F3578" s="113" t="s">
        <v>11248</v>
      </c>
      <c r="G3578" s="114"/>
      <c r="H3578" s="115"/>
      <c r="I3578" s="24" t="s">
        <v>7271</v>
      </c>
      <c r="J3578" s="116">
        <v>4</v>
      </c>
      <c r="K3578" s="118">
        <v>1083000</v>
      </c>
      <c r="L3578" s="119"/>
      <c r="M3578" s="118">
        <f t="shared" ref="M3578" si="3145">K3578*0.1</f>
        <v>108300</v>
      </c>
      <c r="N3578" s="119"/>
      <c r="O3578" s="118">
        <v>0</v>
      </c>
      <c r="P3578" s="119"/>
      <c r="Q3578" s="118">
        <v>6830</v>
      </c>
      <c r="R3578" s="119"/>
      <c r="S3578" s="118">
        <v>13750</v>
      </c>
      <c r="T3578" s="119"/>
      <c r="U3578" s="118">
        <f t="shared" ref="U3578" si="3146">SUM(K3578:T3579)</f>
        <v>1211880</v>
      </c>
      <c r="V3578" s="122"/>
      <c r="W3578" s="124"/>
      <c r="X3578" s="126" t="s">
        <v>11249</v>
      </c>
      <c r="Y3578" s="127"/>
      <c r="Z3578" s="127"/>
      <c r="AA3578" s="127"/>
      <c r="AB3578" s="128"/>
      <c r="AC3578" s="15" t="s">
        <v>20</v>
      </c>
      <c r="AD3578" s="129" t="s">
        <v>11250</v>
      </c>
      <c r="AE3578" s="130"/>
      <c r="AF3578" s="130"/>
      <c r="AG3578" s="130"/>
      <c r="AH3578" s="130"/>
      <c r="AI3578" s="131"/>
      <c r="AJ3578" s="132"/>
      <c r="AK3578" s="127"/>
      <c r="AL3578" s="128"/>
      <c r="AM3578" s="21" t="s">
        <v>12531</v>
      </c>
      <c r="AN3578" s="133">
        <v>45994</v>
      </c>
      <c r="AO3578" s="134"/>
      <c r="AP3578" s="135">
        <v>995</v>
      </c>
      <c r="AQ3578" s="136"/>
      <c r="AR3578" s="118">
        <v>1210000</v>
      </c>
      <c r="AS3578" s="119"/>
      <c r="AT3578" s="118">
        <f t="shared" ref="AT3578" si="3147">AR3578*0.1</f>
        <v>121000</v>
      </c>
      <c r="AU3578" s="119"/>
      <c r="AV3578" s="118">
        <v>6830</v>
      </c>
      <c r="AW3578" s="119"/>
      <c r="AX3578" s="118">
        <f t="shared" ref="AX3578" si="3148">SUM(AR3578:AW3578)</f>
        <v>1337830</v>
      </c>
      <c r="AY3578" s="119"/>
      <c r="AZ3578" s="137">
        <v>45999</v>
      </c>
    </row>
    <row r="3579" spans="1:52" ht="17.100000000000001" customHeight="1" thickBot="1">
      <c r="A3579" s="110"/>
      <c r="B3579" s="27" t="s">
        <v>3281</v>
      </c>
      <c r="C3579" s="27">
        <v>2010</v>
      </c>
      <c r="D3579" s="14" t="s">
        <v>2601</v>
      </c>
      <c r="E3579" s="112"/>
      <c r="F3579" s="139" t="s">
        <v>11235</v>
      </c>
      <c r="G3579" s="140"/>
      <c r="H3579" s="141"/>
      <c r="I3579" s="26">
        <v>51244</v>
      </c>
      <c r="J3579" s="117"/>
      <c r="K3579" s="120"/>
      <c r="L3579" s="121"/>
      <c r="M3579" s="120"/>
      <c r="N3579" s="121"/>
      <c r="O3579" s="120"/>
      <c r="P3579" s="121"/>
      <c r="Q3579" s="120"/>
      <c r="R3579" s="121"/>
      <c r="S3579" s="120"/>
      <c r="T3579" s="121"/>
      <c r="U3579" s="120"/>
      <c r="V3579" s="123"/>
      <c r="W3579" s="125"/>
      <c r="X3579" s="142" t="s">
        <v>11904</v>
      </c>
      <c r="Y3579" s="143"/>
      <c r="Z3579" s="143"/>
      <c r="AA3579" s="143"/>
      <c r="AB3579" s="144"/>
      <c r="AC3579" s="16" t="s">
        <v>21</v>
      </c>
      <c r="AD3579" s="17" t="s">
        <v>1723</v>
      </c>
      <c r="AE3579" s="145" t="s">
        <v>1614</v>
      </c>
      <c r="AF3579" s="146"/>
      <c r="AG3579" s="146"/>
      <c r="AH3579" s="146"/>
      <c r="AI3579" s="147"/>
      <c r="AJ3579" s="148"/>
      <c r="AK3579" s="143"/>
      <c r="AL3579" s="144"/>
      <c r="AM3579" s="22"/>
      <c r="AN3579" s="149" t="s">
        <v>2794</v>
      </c>
      <c r="AO3579" s="144"/>
      <c r="AP3579" s="148">
        <v>2030</v>
      </c>
      <c r="AQ3579" s="144"/>
      <c r="AR3579" s="120"/>
      <c r="AS3579" s="121"/>
      <c r="AT3579" s="120"/>
      <c r="AU3579" s="121"/>
      <c r="AV3579" s="120"/>
      <c r="AW3579" s="121"/>
      <c r="AX3579" s="120"/>
      <c r="AY3579" s="121"/>
      <c r="AZ3579" s="138"/>
    </row>
    <row r="3580" spans="1:52" ht="17.100000000000001" customHeight="1" thickTop="1">
      <c r="A3580" s="109" t="s">
        <v>11226</v>
      </c>
      <c r="B3580" s="28">
        <v>45981</v>
      </c>
      <c r="C3580" s="25">
        <v>2135</v>
      </c>
      <c r="D3580" s="13" t="s">
        <v>3322</v>
      </c>
      <c r="E3580" s="111"/>
      <c r="F3580" s="113" t="s">
        <v>9474</v>
      </c>
      <c r="G3580" s="114"/>
      <c r="H3580" s="115"/>
      <c r="I3580" s="24" t="s">
        <v>11251</v>
      </c>
      <c r="J3580" s="116">
        <v>4.5</v>
      </c>
      <c r="K3580" s="118">
        <v>908000</v>
      </c>
      <c r="L3580" s="119"/>
      <c r="M3580" s="118">
        <f t="shared" ref="M3580" si="3149">K3580*0.1</f>
        <v>90800</v>
      </c>
      <c r="N3580" s="119"/>
      <c r="O3580" s="118">
        <v>0</v>
      </c>
      <c r="P3580" s="119"/>
      <c r="Q3580" s="118">
        <v>6830</v>
      </c>
      <c r="R3580" s="119"/>
      <c r="S3580" s="118">
        <v>13750</v>
      </c>
      <c r="T3580" s="119"/>
      <c r="U3580" s="118">
        <f t="shared" ref="U3580" si="3150">SUM(K3580:T3581)</f>
        <v>1019380</v>
      </c>
      <c r="V3580" s="122"/>
      <c r="W3580" s="124"/>
      <c r="X3580" s="126" t="s">
        <v>11252</v>
      </c>
      <c r="Y3580" s="127"/>
      <c r="Z3580" s="127"/>
      <c r="AA3580" s="127"/>
      <c r="AB3580" s="128"/>
      <c r="AC3580" s="15" t="s">
        <v>20</v>
      </c>
      <c r="AD3580" s="129" t="s">
        <v>11253</v>
      </c>
      <c r="AE3580" s="130"/>
      <c r="AF3580" s="130"/>
      <c r="AG3580" s="130"/>
      <c r="AH3580" s="130"/>
      <c r="AI3580" s="131"/>
      <c r="AJ3580" s="132"/>
      <c r="AK3580" s="127"/>
      <c r="AL3580" s="128"/>
      <c r="AM3580" s="21"/>
      <c r="AN3580" s="133">
        <v>45987</v>
      </c>
      <c r="AO3580" s="134"/>
      <c r="AP3580" s="135">
        <v>994</v>
      </c>
      <c r="AQ3580" s="136"/>
      <c r="AR3580" s="118">
        <v>1005000</v>
      </c>
      <c r="AS3580" s="119"/>
      <c r="AT3580" s="118">
        <f t="shared" ref="AT3580" si="3151">AR3580*0.1</f>
        <v>100500</v>
      </c>
      <c r="AU3580" s="119"/>
      <c r="AV3580" s="118">
        <v>6830</v>
      </c>
      <c r="AW3580" s="119"/>
      <c r="AX3580" s="118">
        <f t="shared" ref="AX3580" si="3152">SUM(AR3580:AW3580)</f>
        <v>1112330</v>
      </c>
      <c r="AY3580" s="119"/>
      <c r="AZ3580" s="137">
        <v>45992</v>
      </c>
    </row>
    <row r="3581" spans="1:52" ht="17.100000000000001" customHeight="1" thickBot="1">
      <c r="A3581" s="110"/>
      <c r="B3581" s="27" t="s">
        <v>3281</v>
      </c>
      <c r="C3581" s="27">
        <v>2087</v>
      </c>
      <c r="D3581" s="14" t="s">
        <v>2601</v>
      </c>
      <c r="E3581" s="112"/>
      <c r="F3581" s="139" t="s">
        <v>11236</v>
      </c>
      <c r="G3581" s="140"/>
      <c r="H3581" s="141"/>
      <c r="I3581" s="26">
        <v>55593</v>
      </c>
      <c r="J3581" s="117"/>
      <c r="K3581" s="120"/>
      <c r="L3581" s="121"/>
      <c r="M3581" s="120"/>
      <c r="N3581" s="121"/>
      <c r="O3581" s="120"/>
      <c r="P3581" s="121"/>
      <c r="Q3581" s="120"/>
      <c r="R3581" s="121"/>
      <c r="S3581" s="120"/>
      <c r="T3581" s="121"/>
      <c r="U3581" s="120"/>
      <c r="V3581" s="123"/>
      <c r="W3581" s="125"/>
      <c r="X3581" s="142" t="s">
        <v>11781</v>
      </c>
      <c r="Y3581" s="143"/>
      <c r="Z3581" s="143"/>
      <c r="AA3581" s="143"/>
      <c r="AB3581" s="144"/>
      <c r="AC3581" s="16" t="s">
        <v>21</v>
      </c>
      <c r="AD3581" s="17" t="s">
        <v>11774</v>
      </c>
      <c r="AE3581" s="145" t="s">
        <v>5015</v>
      </c>
      <c r="AF3581" s="146"/>
      <c r="AG3581" s="146"/>
      <c r="AH3581" s="146"/>
      <c r="AI3581" s="147"/>
      <c r="AJ3581" s="148"/>
      <c r="AK3581" s="143"/>
      <c r="AL3581" s="144"/>
      <c r="AM3581" s="22"/>
      <c r="AN3581" s="149" t="s">
        <v>11801</v>
      </c>
      <c r="AO3581" s="144"/>
      <c r="AP3581" s="148">
        <v>2037</v>
      </c>
      <c r="AQ3581" s="144"/>
      <c r="AR3581" s="120"/>
      <c r="AS3581" s="121"/>
      <c r="AT3581" s="120"/>
      <c r="AU3581" s="121"/>
      <c r="AV3581" s="120"/>
      <c r="AW3581" s="121"/>
      <c r="AX3581" s="120"/>
      <c r="AY3581" s="121"/>
      <c r="AZ3581" s="138"/>
    </row>
    <row r="3582" spans="1:52" ht="17.100000000000001" customHeight="1" thickTop="1">
      <c r="A3582" s="109" t="s">
        <v>11227</v>
      </c>
      <c r="B3582" s="28">
        <v>45981</v>
      </c>
      <c r="C3582" s="25">
        <v>2135</v>
      </c>
      <c r="D3582" s="13" t="s">
        <v>1958</v>
      </c>
      <c r="E3582" s="111"/>
      <c r="F3582" s="113" t="s">
        <v>11254</v>
      </c>
      <c r="G3582" s="114"/>
      <c r="H3582" s="115"/>
      <c r="I3582" s="24" t="s">
        <v>11255</v>
      </c>
      <c r="J3582" s="116">
        <v>4</v>
      </c>
      <c r="K3582" s="118">
        <v>670000</v>
      </c>
      <c r="L3582" s="119"/>
      <c r="M3582" s="118">
        <f t="shared" ref="M3582" si="3153">K3582*0.1</f>
        <v>67000</v>
      </c>
      <c r="N3582" s="119"/>
      <c r="O3582" s="118">
        <v>0</v>
      </c>
      <c r="P3582" s="119"/>
      <c r="Q3582" s="118">
        <v>8430</v>
      </c>
      <c r="R3582" s="119"/>
      <c r="S3582" s="118">
        <v>13750</v>
      </c>
      <c r="T3582" s="119"/>
      <c r="U3582" s="118">
        <f t="shared" ref="U3582" si="3154">SUM(K3582:T3583)</f>
        <v>759180</v>
      </c>
      <c r="V3582" s="122"/>
      <c r="W3582" s="124"/>
      <c r="X3582" s="126" t="s">
        <v>11905</v>
      </c>
      <c r="Y3582" s="127"/>
      <c r="Z3582" s="127"/>
      <c r="AA3582" s="127"/>
      <c r="AB3582" s="128"/>
      <c r="AC3582" s="15" t="s">
        <v>20</v>
      </c>
      <c r="AD3582" s="129" t="s">
        <v>3896</v>
      </c>
      <c r="AE3582" s="130"/>
      <c r="AF3582" s="130"/>
      <c r="AG3582" s="130"/>
      <c r="AH3582" s="130"/>
      <c r="AI3582" s="131"/>
      <c r="AJ3582" s="132"/>
      <c r="AK3582" s="127"/>
      <c r="AL3582" s="128"/>
      <c r="AM3582" s="21" t="s">
        <v>13044</v>
      </c>
      <c r="AN3582" s="133">
        <v>46004</v>
      </c>
      <c r="AO3582" s="134"/>
      <c r="AP3582" s="135">
        <v>1280</v>
      </c>
      <c r="AQ3582" s="136"/>
      <c r="AR3582" s="118">
        <v>715000</v>
      </c>
      <c r="AS3582" s="119"/>
      <c r="AT3582" s="118">
        <f t="shared" ref="AT3582" si="3155">AR3582*0.1</f>
        <v>71500</v>
      </c>
      <c r="AU3582" s="119"/>
      <c r="AV3582" s="118">
        <v>8430</v>
      </c>
      <c r="AW3582" s="119"/>
      <c r="AX3582" s="118">
        <f t="shared" ref="AX3582" si="3156">SUM(AR3582:AW3582)</f>
        <v>794930</v>
      </c>
      <c r="AY3582" s="119"/>
      <c r="AZ3582" s="137">
        <v>46009</v>
      </c>
    </row>
    <row r="3583" spans="1:52" ht="17.100000000000001" customHeight="1" thickBot="1">
      <c r="A3583" s="110"/>
      <c r="B3583" s="27" t="s">
        <v>3281</v>
      </c>
      <c r="C3583" s="27">
        <v>2503</v>
      </c>
      <c r="D3583" s="14" t="s">
        <v>1576</v>
      </c>
      <c r="E3583" s="112"/>
      <c r="F3583" s="139" t="s">
        <v>11237</v>
      </c>
      <c r="G3583" s="140"/>
      <c r="H3583" s="141"/>
      <c r="I3583" s="26">
        <v>66951</v>
      </c>
      <c r="J3583" s="117"/>
      <c r="K3583" s="120"/>
      <c r="L3583" s="121"/>
      <c r="M3583" s="120"/>
      <c r="N3583" s="121"/>
      <c r="O3583" s="120"/>
      <c r="P3583" s="121"/>
      <c r="Q3583" s="120"/>
      <c r="R3583" s="121"/>
      <c r="S3583" s="120"/>
      <c r="T3583" s="121"/>
      <c r="U3583" s="120"/>
      <c r="V3583" s="123"/>
      <c r="W3583" s="125"/>
      <c r="X3583" s="142" t="s">
        <v>2992</v>
      </c>
      <c r="Y3583" s="143"/>
      <c r="Z3583" s="143"/>
      <c r="AA3583" s="143"/>
      <c r="AB3583" s="144"/>
      <c r="AC3583" s="16" t="s">
        <v>21</v>
      </c>
      <c r="AD3583" s="17" t="s">
        <v>1723</v>
      </c>
      <c r="AE3583" s="145" t="s">
        <v>11906</v>
      </c>
      <c r="AF3583" s="146"/>
      <c r="AG3583" s="146"/>
      <c r="AH3583" s="146"/>
      <c r="AI3583" s="147"/>
      <c r="AJ3583" s="148"/>
      <c r="AK3583" s="143"/>
      <c r="AL3583" s="144"/>
      <c r="AM3583" s="22"/>
      <c r="AN3583" s="149" t="s">
        <v>7284</v>
      </c>
      <c r="AO3583" s="144"/>
      <c r="AP3583" s="148">
        <v>60007</v>
      </c>
      <c r="AQ3583" s="144"/>
      <c r="AR3583" s="120"/>
      <c r="AS3583" s="121"/>
      <c r="AT3583" s="120"/>
      <c r="AU3583" s="121"/>
      <c r="AV3583" s="120"/>
      <c r="AW3583" s="121"/>
      <c r="AX3583" s="120"/>
      <c r="AY3583" s="121"/>
      <c r="AZ3583" s="138"/>
    </row>
    <row r="3584" spans="1:52" ht="17.100000000000001" customHeight="1" thickTop="1">
      <c r="A3584" s="109" t="s">
        <v>11228</v>
      </c>
      <c r="B3584" s="28">
        <v>45981</v>
      </c>
      <c r="C3584" s="25">
        <v>2135</v>
      </c>
      <c r="D3584" s="13" t="s">
        <v>2084</v>
      </c>
      <c r="E3584" s="111"/>
      <c r="F3584" s="113" t="s">
        <v>11256</v>
      </c>
      <c r="G3584" s="114"/>
      <c r="H3584" s="115"/>
      <c r="I3584" s="24" t="s">
        <v>11257</v>
      </c>
      <c r="J3584" s="116">
        <v>4.5</v>
      </c>
      <c r="K3584" s="118">
        <v>1206000</v>
      </c>
      <c r="L3584" s="119"/>
      <c r="M3584" s="118">
        <f t="shared" ref="M3584" si="3157">K3584*0.1</f>
        <v>120600</v>
      </c>
      <c r="N3584" s="119"/>
      <c r="O3584" s="118">
        <v>0</v>
      </c>
      <c r="P3584" s="119"/>
      <c r="Q3584" s="118">
        <v>8790</v>
      </c>
      <c r="R3584" s="119"/>
      <c r="S3584" s="118">
        <v>13750</v>
      </c>
      <c r="T3584" s="119"/>
      <c r="U3584" s="118">
        <f t="shared" ref="U3584" si="3158">SUM(K3584:T3585)</f>
        <v>1349140</v>
      </c>
      <c r="V3584" s="122"/>
      <c r="W3584" s="124"/>
      <c r="X3584" s="126" t="s">
        <v>11258</v>
      </c>
      <c r="Y3584" s="127"/>
      <c r="Z3584" s="127"/>
      <c r="AA3584" s="127"/>
      <c r="AB3584" s="128"/>
      <c r="AC3584" s="15" t="s">
        <v>20</v>
      </c>
      <c r="AD3584" s="129" t="s">
        <v>1633</v>
      </c>
      <c r="AE3584" s="130"/>
      <c r="AF3584" s="130"/>
      <c r="AG3584" s="130"/>
      <c r="AH3584" s="130"/>
      <c r="AI3584" s="131"/>
      <c r="AJ3584" s="132"/>
      <c r="AK3584" s="127"/>
      <c r="AL3584" s="128"/>
      <c r="AM3584" s="21"/>
      <c r="AN3584" s="133">
        <v>45986</v>
      </c>
      <c r="AO3584" s="134"/>
      <c r="AP3584" s="135">
        <v>1919</v>
      </c>
      <c r="AQ3584" s="136"/>
      <c r="AR3584" s="118">
        <v>1216000</v>
      </c>
      <c r="AS3584" s="119"/>
      <c r="AT3584" s="118">
        <f t="shared" ref="AT3584" si="3159">AR3584*0.1</f>
        <v>121600</v>
      </c>
      <c r="AU3584" s="119"/>
      <c r="AV3584" s="118">
        <v>8790</v>
      </c>
      <c r="AW3584" s="119"/>
      <c r="AX3584" s="118">
        <f t="shared" ref="AX3584" si="3160">SUM(AR3584:AW3584)</f>
        <v>1346390</v>
      </c>
      <c r="AY3584" s="119"/>
      <c r="AZ3584" s="137"/>
    </row>
    <row r="3585" spans="1:52" ht="17.100000000000001" customHeight="1" thickBot="1">
      <c r="A3585" s="110"/>
      <c r="B3585" s="27" t="s">
        <v>3281</v>
      </c>
      <c r="C3585" s="27">
        <v>2505</v>
      </c>
      <c r="D3585" s="14" t="s">
        <v>1576</v>
      </c>
      <c r="E3585" s="112"/>
      <c r="F3585" s="139" t="s">
        <v>11238</v>
      </c>
      <c r="G3585" s="140"/>
      <c r="H3585" s="141"/>
      <c r="I3585" s="26">
        <v>6293</v>
      </c>
      <c r="J3585" s="117"/>
      <c r="K3585" s="120"/>
      <c r="L3585" s="121"/>
      <c r="M3585" s="120"/>
      <c r="N3585" s="121"/>
      <c r="O3585" s="120"/>
      <c r="P3585" s="121"/>
      <c r="Q3585" s="120"/>
      <c r="R3585" s="121"/>
      <c r="S3585" s="120"/>
      <c r="T3585" s="121"/>
      <c r="U3585" s="120"/>
      <c r="V3585" s="123"/>
      <c r="W3585" s="125"/>
      <c r="X3585" s="142" t="s">
        <v>11789</v>
      </c>
      <c r="Y3585" s="143"/>
      <c r="Z3585" s="143"/>
      <c r="AA3585" s="143"/>
      <c r="AB3585" s="144"/>
      <c r="AC3585" s="16" t="s">
        <v>21</v>
      </c>
      <c r="AD3585" s="17" t="s">
        <v>11774</v>
      </c>
      <c r="AE3585" s="145" t="s">
        <v>11790</v>
      </c>
      <c r="AF3585" s="146"/>
      <c r="AG3585" s="146"/>
      <c r="AH3585" s="146"/>
      <c r="AI3585" s="147"/>
      <c r="AJ3585" s="148"/>
      <c r="AK3585" s="143"/>
      <c r="AL3585" s="144"/>
      <c r="AM3585" s="22"/>
      <c r="AN3585" s="149" t="s">
        <v>11650</v>
      </c>
      <c r="AO3585" s="144"/>
      <c r="AP3585" s="148">
        <v>3215</v>
      </c>
      <c r="AQ3585" s="144"/>
      <c r="AR3585" s="120"/>
      <c r="AS3585" s="121"/>
      <c r="AT3585" s="120"/>
      <c r="AU3585" s="121"/>
      <c r="AV3585" s="120"/>
      <c r="AW3585" s="121"/>
      <c r="AX3585" s="120"/>
      <c r="AY3585" s="121"/>
      <c r="AZ3585" s="138"/>
    </row>
    <row r="3586" spans="1:52" ht="17.100000000000001" customHeight="1" thickTop="1">
      <c r="A3586" s="109" t="s">
        <v>11229</v>
      </c>
      <c r="B3586" s="28">
        <v>45981</v>
      </c>
      <c r="C3586" s="25">
        <v>2135</v>
      </c>
      <c r="D3586" s="13" t="s">
        <v>2530</v>
      </c>
      <c r="E3586" s="111"/>
      <c r="F3586" s="113" t="s">
        <v>8570</v>
      </c>
      <c r="G3586" s="114"/>
      <c r="H3586" s="115"/>
      <c r="I3586" s="24" t="s">
        <v>11259</v>
      </c>
      <c r="J3586" s="116">
        <v>4</v>
      </c>
      <c r="K3586" s="118">
        <v>1034000</v>
      </c>
      <c r="L3586" s="119"/>
      <c r="M3586" s="118">
        <f t="shared" ref="M3586" si="3161">K3586*0.1</f>
        <v>103400</v>
      </c>
      <c r="N3586" s="119"/>
      <c r="O3586" s="118">
        <v>0</v>
      </c>
      <c r="P3586" s="119"/>
      <c r="Q3586" s="118">
        <v>8200</v>
      </c>
      <c r="R3586" s="119"/>
      <c r="S3586" s="118">
        <v>13750</v>
      </c>
      <c r="T3586" s="119"/>
      <c r="U3586" s="118">
        <f t="shared" ref="U3586" si="3162">SUM(K3586:T3587)</f>
        <v>1159350</v>
      </c>
      <c r="V3586" s="122"/>
      <c r="W3586" s="124"/>
      <c r="X3586" s="126" t="s">
        <v>11260</v>
      </c>
      <c r="Y3586" s="127"/>
      <c r="Z3586" s="127"/>
      <c r="AA3586" s="127"/>
      <c r="AB3586" s="128"/>
      <c r="AC3586" s="15" t="s">
        <v>20</v>
      </c>
      <c r="AD3586" s="129" t="s">
        <v>171</v>
      </c>
      <c r="AE3586" s="130"/>
      <c r="AF3586" s="130"/>
      <c r="AG3586" s="130"/>
      <c r="AH3586" s="130"/>
      <c r="AI3586" s="131"/>
      <c r="AJ3586" s="132"/>
      <c r="AK3586" s="127"/>
      <c r="AL3586" s="128"/>
      <c r="AM3586" s="21" t="s">
        <v>12536</v>
      </c>
      <c r="AN3586" s="133">
        <v>45994</v>
      </c>
      <c r="AO3586" s="134"/>
      <c r="AP3586" s="135">
        <v>995</v>
      </c>
      <c r="AQ3586" s="136"/>
      <c r="AR3586" s="118">
        <v>1035000</v>
      </c>
      <c r="AS3586" s="119"/>
      <c r="AT3586" s="118">
        <f t="shared" ref="AT3586" si="3163">AR3586*0.1</f>
        <v>103500</v>
      </c>
      <c r="AU3586" s="119"/>
      <c r="AV3586" s="118">
        <v>8200</v>
      </c>
      <c r="AW3586" s="119"/>
      <c r="AX3586" s="118">
        <f t="shared" ref="AX3586" si="3164">SUM(AR3586:AW3586)</f>
        <v>1146700</v>
      </c>
      <c r="AY3586" s="119"/>
      <c r="AZ3586" s="137">
        <v>45999</v>
      </c>
    </row>
    <row r="3587" spans="1:52" ht="17.100000000000001" customHeight="1" thickBot="1">
      <c r="A3587" s="110"/>
      <c r="B3587" s="27" t="s">
        <v>3281</v>
      </c>
      <c r="C3587" s="27">
        <v>2536</v>
      </c>
      <c r="D3587" s="14" t="s">
        <v>1720</v>
      </c>
      <c r="E3587" s="112"/>
      <c r="F3587" s="139" t="s">
        <v>11239</v>
      </c>
      <c r="G3587" s="140"/>
      <c r="H3587" s="141"/>
      <c r="I3587" s="26">
        <v>5000</v>
      </c>
      <c r="J3587" s="117"/>
      <c r="K3587" s="120"/>
      <c r="L3587" s="121"/>
      <c r="M3587" s="120"/>
      <c r="N3587" s="121"/>
      <c r="O3587" s="120"/>
      <c r="P3587" s="121"/>
      <c r="Q3587" s="120"/>
      <c r="R3587" s="121"/>
      <c r="S3587" s="120"/>
      <c r="T3587" s="121"/>
      <c r="U3587" s="120"/>
      <c r="V3587" s="123"/>
      <c r="W3587" s="125"/>
      <c r="X3587" s="142" t="s">
        <v>4681</v>
      </c>
      <c r="Y3587" s="143"/>
      <c r="Z3587" s="143"/>
      <c r="AA3587" s="143"/>
      <c r="AB3587" s="144"/>
      <c r="AC3587" s="16" t="s">
        <v>21</v>
      </c>
      <c r="AD3587" s="17" t="s">
        <v>12001</v>
      </c>
      <c r="AE3587" s="145" t="s">
        <v>1633</v>
      </c>
      <c r="AF3587" s="146"/>
      <c r="AG3587" s="146"/>
      <c r="AH3587" s="146"/>
      <c r="AI3587" s="147"/>
      <c r="AJ3587" s="148"/>
      <c r="AK3587" s="143"/>
      <c r="AL3587" s="144"/>
      <c r="AM3587" s="22"/>
      <c r="AN3587" s="149" t="s">
        <v>2794</v>
      </c>
      <c r="AO3587" s="144"/>
      <c r="AP3587" s="148">
        <v>2082</v>
      </c>
      <c r="AQ3587" s="144"/>
      <c r="AR3587" s="120"/>
      <c r="AS3587" s="121"/>
      <c r="AT3587" s="120"/>
      <c r="AU3587" s="121"/>
      <c r="AV3587" s="120"/>
      <c r="AW3587" s="121"/>
      <c r="AX3587" s="120"/>
      <c r="AY3587" s="121"/>
      <c r="AZ3587" s="138"/>
    </row>
    <row r="3588" spans="1:52" ht="17.100000000000001" customHeight="1" thickTop="1">
      <c r="A3588" s="109" t="s">
        <v>11230</v>
      </c>
      <c r="B3588" s="28">
        <v>45981</v>
      </c>
      <c r="C3588" s="25">
        <v>2135</v>
      </c>
      <c r="D3588" s="13" t="s">
        <v>1767</v>
      </c>
      <c r="E3588" s="111"/>
      <c r="F3588" s="113" t="s">
        <v>11261</v>
      </c>
      <c r="G3588" s="114"/>
      <c r="H3588" s="115"/>
      <c r="I3588" s="24"/>
      <c r="J3588" s="116">
        <v>4.5</v>
      </c>
      <c r="K3588" s="118">
        <v>885000</v>
      </c>
      <c r="L3588" s="119"/>
      <c r="M3588" s="118">
        <f t="shared" ref="M3588" si="3165">K3588*0.1</f>
        <v>88500</v>
      </c>
      <c r="N3588" s="119"/>
      <c r="O3588" s="118">
        <v>0</v>
      </c>
      <c r="P3588" s="119"/>
      <c r="Q3588" s="118">
        <v>8790</v>
      </c>
      <c r="R3588" s="119"/>
      <c r="S3588" s="118">
        <v>13750</v>
      </c>
      <c r="T3588" s="119"/>
      <c r="U3588" s="118">
        <f t="shared" ref="U3588" si="3166">SUM(K3588:T3589)</f>
        <v>996040</v>
      </c>
      <c r="V3588" s="122"/>
      <c r="W3588" s="124"/>
      <c r="X3588" s="126" t="s">
        <v>11907</v>
      </c>
      <c r="Y3588" s="127"/>
      <c r="Z3588" s="127"/>
      <c r="AA3588" s="127"/>
      <c r="AB3588" s="128"/>
      <c r="AC3588" s="15" t="s">
        <v>20</v>
      </c>
      <c r="AD3588" s="129" t="s">
        <v>1670</v>
      </c>
      <c r="AE3588" s="130"/>
      <c r="AF3588" s="130"/>
      <c r="AG3588" s="130"/>
      <c r="AH3588" s="130"/>
      <c r="AI3588" s="131"/>
      <c r="AJ3588" s="132"/>
      <c r="AK3588" s="127"/>
      <c r="AL3588" s="128"/>
      <c r="AM3588" s="21"/>
      <c r="AN3588" s="133">
        <v>45993</v>
      </c>
      <c r="AO3588" s="134"/>
      <c r="AP3588" s="135">
        <v>1920</v>
      </c>
      <c r="AQ3588" s="136"/>
      <c r="AR3588" s="118">
        <v>907000</v>
      </c>
      <c r="AS3588" s="119"/>
      <c r="AT3588" s="118">
        <f t="shared" ref="AT3588" si="3167">AR3588*0.1</f>
        <v>90700</v>
      </c>
      <c r="AU3588" s="119"/>
      <c r="AV3588" s="118">
        <v>8790</v>
      </c>
      <c r="AW3588" s="119"/>
      <c r="AX3588" s="118">
        <f t="shared" ref="AX3588" si="3168">SUM(AR3588:AW3588)</f>
        <v>1006490</v>
      </c>
      <c r="AY3588" s="119"/>
      <c r="AZ3588" s="137"/>
    </row>
    <row r="3589" spans="1:52" ht="17.100000000000001" customHeight="1" thickBot="1">
      <c r="A3589" s="110"/>
      <c r="B3589" s="27" t="s">
        <v>3281</v>
      </c>
      <c r="C3589" s="27">
        <v>2541</v>
      </c>
      <c r="D3589" s="14" t="s">
        <v>2800</v>
      </c>
      <c r="E3589" s="112"/>
      <c r="F3589" s="139" t="s">
        <v>11240</v>
      </c>
      <c r="G3589" s="140"/>
      <c r="H3589" s="141"/>
      <c r="I3589" s="26">
        <v>37000</v>
      </c>
      <c r="J3589" s="117"/>
      <c r="K3589" s="120"/>
      <c r="L3589" s="121"/>
      <c r="M3589" s="120"/>
      <c r="N3589" s="121"/>
      <c r="O3589" s="120"/>
      <c r="P3589" s="121"/>
      <c r="Q3589" s="120"/>
      <c r="R3589" s="121"/>
      <c r="S3589" s="120"/>
      <c r="T3589" s="121"/>
      <c r="U3589" s="120"/>
      <c r="V3589" s="123"/>
      <c r="W3589" s="125"/>
      <c r="X3589" s="142" t="s">
        <v>11908</v>
      </c>
      <c r="Y3589" s="143"/>
      <c r="Z3589" s="143"/>
      <c r="AA3589" s="143"/>
      <c r="AB3589" s="144"/>
      <c r="AC3589" s="16" t="s">
        <v>21</v>
      </c>
      <c r="AD3589" s="17" t="s">
        <v>1723</v>
      </c>
      <c r="AE3589" s="145" t="s">
        <v>171</v>
      </c>
      <c r="AF3589" s="146"/>
      <c r="AG3589" s="146"/>
      <c r="AH3589" s="146"/>
      <c r="AI3589" s="147"/>
      <c r="AJ3589" s="148"/>
      <c r="AK3589" s="143"/>
      <c r="AL3589" s="144"/>
      <c r="AM3589" s="22"/>
      <c r="AN3589" s="149" t="s">
        <v>2131</v>
      </c>
      <c r="AO3589" s="144"/>
      <c r="AP3589" s="148">
        <v>3087</v>
      </c>
      <c r="AQ3589" s="144"/>
      <c r="AR3589" s="120"/>
      <c r="AS3589" s="121"/>
      <c r="AT3589" s="120"/>
      <c r="AU3589" s="121"/>
      <c r="AV3589" s="120"/>
      <c r="AW3589" s="121"/>
      <c r="AX3589" s="120"/>
      <c r="AY3589" s="121"/>
      <c r="AZ3589" s="138"/>
    </row>
    <row r="3590" spans="1:52" ht="17.100000000000001" customHeight="1" thickTop="1">
      <c r="A3590" s="109" t="s">
        <v>11231</v>
      </c>
      <c r="B3590" s="28">
        <v>45981</v>
      </c>
      <c r="C3590" s="25">
        <v>2135</v>
      </c>
      <c r="D3590" s="13" t="s">
        <v>2458</v>
      </c>
      <c r="E3590" s="111"/>
      <c r="F3590" s="113" t="s">
        <v>11262</v>
      </c>
      <c r="G3590" s="114"/>
      <c r="H3590" s="115"/>
      <c r="I3590" s="24" t="s">
        <v>11263</v>
      </c>
      <c r="J3590" s="116">
        <v>4.5</v>
      </c>
      <c r="K3590" s="118">
        <v>569000</v>
      </c>
      <c r="L3590" s="119"/>
      <c r="M3590" s="118">
        <f t="shared" ref="M3590" si="3169">K3590*0.1</f>
        <v>56900</v>
      </c>
      <c r="N3590" s="119"/>
      <c r="O3590" s="118">
        <v>0</v>
      </c>
      <c r="P3590" s="119"/>
      <c r="Q3590" s="118">
        <v>8550</v>
      </c>
      <c r="R3590" s="119"/>
      <c r="S3590" s="118">
        <v>13750</v>
      </c>
      <c r="T3590" s="119"/>
      <c r="U3590" s="118">
        <f t="shared" ref="U3590" si="3170">SUM(K3590:T3591)</f>
        <v>648200</v>
      </c>
      <c r="V3590" s="122"/>
      <c r="W3590" s="124"/>
      <c r="X3590" s="126" t="s">
        <v>11264</v>
      </c>
      <c r="Y3590" s="127"/>
      <c r="Z3590" s="127"/>
      <c r="AA3590" s="127"/>
      <c r="AB3590" s="128"/>
      <c r="AC3590" s="15" t="s">
        <v>20</v>
      </c>
      <c r="AD3590" s="129" t="s">
        <v>171</v>
      </c>
      <c r="AE3590" s="130"/>
      <c r="AF3590" s="130"/>
      <c r="AG3590" s="130"/>
      <c r="AH3590" s="130"/>
      <c r="AI3590" s="131"/>
      <c r="AJ3590" s="132"/>
      <c r="AK3590" s="127"/>
      <c r="AL3590" s="128"/>
      <c r="AM3590" s="21" t="s">
        <v>12534</v>
      </c>
      <c r="AN3590" s="133">
        <v>45994</v>
      </c>
      <c r="AO3590" s="134"/>
      <c r="AP3590" s="135">
        <v>995</v>
      </c>
      <c r="AQ3590" s="136"/>
      <c r="AR3590" s="118">
        <v>645000</v>
      </c>
      <c r="AS3590" s="119"/>
      <c r="AT3590" s="118">
        <f t="shared" ref="AT3590" si="3171">AR3590*0.1</f>
        <v>64500</v>
      </c>
      <c r="AU3590" s="119"/>
      <c r="AV3590" s="118">
        <v>8550</v>
      </c>
      <c r="AW3590" s="119"/>
      <c r="AX3590" s="118">
        <f t="shared" ref="AX3590" si="3172">SUM(AR3590:AW3590)</f>
        <v>718050</v>
      </c>
      <c r="AY3590" s="119"/>
      <c r="AZ3590" s="137">
        <v>45999</v>
      </c>
    </row>
    <row r="3591" spans="1:52" ht="17.100000000000001" customHeight="1" thickBot="1">
      <c r="A3591" s="110"/>
      <c r="B3591" s="27" t="s">
        <v>3281</v>
      </c>
      <c r="C3591" s="27">
        <v>2547</v>
      </c>
      <c r="D3591" s="14" t="s">
        <v>2836</v>
      </c>
      <c r="E3591" s="112"/>
      <c r="F3591" s="139" t="s">
        <v>11241</v>
      </c>
      <c r="G3591" s="140"/>
      <c r="H3591" s="141"/>
      <c r="I3591" s="26">
        <v>48258</v>
      </c>
      <c r="J3591" s="117"/>
      <c r="K3591" s="120"/>
      <c r="L3591" s="121"/>
      <c r="M3591" s="120"/>
      <c r="N3591" s="121"/>
      <c r="O3591" s="120"/>
      <c r="P3591" s="121"/>
      <c r="Q3591" s="120"/>
      <c r="R3591" s="121"/>
      <c r="S3591" s="120"/>
      <c r="T3591" s="121"/>
      <c r="U3591" s="120"/>
      <c r="V3591" s="123"/>
      <c r="W3591" s="125"/>
      <c r="X3591" s="142" t="s">
        <v>9666</v>
      </c>
      <c r="Y3591" s="143"/>
      <c r="Z3591" s="143"/>
      <c r="AA3591" s="143"/>
      <c r="AB3591" s="144"/>
      <c r="AC3591" s="16" t="s">
        <v>21</v>
      </c>
      <c r="AD3591" s="17" t="s">
        <v>1723</v>
      </c>
      <c r="AE3591" s="145" t="s">
        <v>171</v>
      </c>
      <c r="AF3591" s="146"/>
      <c r="AG3591" s="146"/>
      <c r="AH3591" s="146"/>
      <c r="AI3591" s="147"/>
      <c r="AJ3591" s="148"/>
      <c r="AK3591" s="143"/>
      <c r="AL3591" s="144"/>
      <c r="AM3591" s="22"/>
      <c r="AN3591" s="149" t="s">
        <v>2794</v>
      </c>
      <c r="AO3591" s="144"/>
      <c r="AP3591" s="148">
        <v>2087</v>
      </c>
      <c r="AQ3591" s="144"/>
      <c r="AR3591" s="120"/>
      <c r="AS3591" s="121"/>
      <c r="AT3591" s="120"/>
      <c r="AU3591" s="121"/>
      <c r="AV3591" s="120"/>
      <c r="AW3591" s="121"/>
      <c r="AX3591" s="120"/>
      <c r="AY3591" s="121"/>
      <c r="AZ3591" s="138"/>
    </row>
    <row r="3592" spans="1:52" ht="17.100000000000001" customHeight="1" thickTop="1">
      <c r="A3592" s="109" t="s">
        <v>11232</v>
      </c>
      <c r="B3592" s="28">
        <v>45981</v>
      </c>
      <c r="C3592" s="25">
        <v>2135</v>
      </c>
      <c r="D3592" s="13" t="s">
        <v>2859</v>
      </c>
      <c r="E3592" s="111"/>
      <c r="F3592" s="113" t="s">
        <v>11265</v>
      </c>
      <c r="G3592" s="114"/>
      <c r="H3592" s="115"/>
      <c r="I3592" s="24" t="s">
        <v>11266</v>
      </c>
      <c r="J3592" s="116">
        <v>4.5</v>
      </c>
      <c r="K3592" s="118">
        <v>753000</v>
      </c>
      <c r="L3592" s="119"/>
      <c r="M3592" s="118">
        <f t="shared" ref="M3592" si="3173">K3592*0.1</f>
        <v>75300</v>
      </c>
      <c r="N3592" s="119"/>
      <c r="O3592" s="118">
        <v>0</v>
      </c>
      <c r="P3592" s="119"/>
      <c r="Q3592" s="118">
        <v>8550</v>
      </c>
      <c r="R3592" s="119"/>
      <c r="S3592" s="118">
        <v>13750</v>
      </c>
      <c r="T3592" s="119"/>
      <c r="U3592" s="118">
        <f t="shared" ref="U3592" si="3174">SUM(K3592:T3593)</f>
        <v>850600</v>
      </c>
      <c r="V3592" s="122"/>
      <c r="W3592" s="124"/>
      <c r="X3592" s="126" t="s">
        <v>11267</v>
      </c>
      <c r="Y3592" s="127"/>
      <c r="Z3592" s="127"/>
      <c r="AA3592" s="127"/>
      <c r="AB3592" s="128"/>
      <c r="AC3592" s="15" t="s">
        <v>20</v>
      </c>
      <c r="AD3592" s="129" t="s">
        <v>171</v>
      </c>
      <c r="AE3592" s="130"/>
      <c r="AF3592" s="130"/>
      <c r="AG3592" s="130"/>
      <c r="AH3592" s="130"/>
      <c r="AI3592" s="131"/>
      <c r="AJ3592" s="132"/>
      <c r="AK3592" s="127"/>
      <c r="AL3592" s="128"/>
      <c r="AM3592" s="21"/>
      <c r="AN3592" s="133">
        <v>45987</v>
      </c>
      <c r="AO3592" s="134"/>
      <c r="AP3592" s="135">
        <v>994</v>
      </c>
      <c r="AQ3592" s="136"/>
      <c r="AR3592" s="118">
        <v>835000</v>
      </c>
      <c r="AS3592" s="119"/>
      <c r="AT3592" s="118">
        <f t="shared" ref="AT3592" si="3175">AR3592*0.1</f>
        <v>83500</v>
      </c>
      <c r="AU3592" s="119"/>
      <c r="AV3592" s="118">
        <v>8550</v>
      </c>
      <c r="AW3592" s="119"/>
      <c r="AX3592" s="118">
        <f t="shared" ref="AX3592" si="3176">SUM(AR3592:AW3592)</f>
        <v>927050</v>
      </c>
      <c r="AY3592" s="119"/>
      <c r="AZ3592" s="137">
        <v>45992</v>
      </c>
    </row>
    <row r="3593" spans="1:52" ht="17.100000000000001" customHeight="1" thickBot="1">
      <c r="A3593" s="110"/>
      <c r="B3593" s="27" t="s">
        <v>3281</v>
      </c>
      <c r="C3593" s="27">
        <v>2550</v>
      </c>
      <c r="D3593" s="14" t="s">
        <v>2601</v>
      </c>
      <c r="E3593" s="112"/>
      <c r="F3593" s="139" t="s">
        <v>11242</v>
      </c>
      <c r="G3593" s="140"/>
      <c r="H3593" s="141"/>
      <c r="I3593" s="26">
        <v>48425</v>
      </c>
      <c r="J3593" s="117"/>
      <c r="K3593" s="120"/>
      <c r="L3593" s="121"/>
      <c r="M3593" s="120"/>
      <c r="N3593" s="121"/>
      <c r="O3593" s="120"/>
      <c r="P3593" s="121"/>
      <c r="Q3593" s="120"/>
      <c r="R3593" s="121"/>
      <c r="S3593" s="120"/>
      <c r="T3593" s="121"/>
      <c r="U3593" s="120"/>
      <c r="V3593" s="123"/>
      <c r="W3593" s="125"/>
      <c r="X3593" s="142" t="s">
        <v>11784</v>
      </c>
      <c r="Y3593" s="143"/>
      <c r="Z3593" s="143"/>
      <c r="AA3593" s="143"/>
      <c r="AB3593" s="144"/>
      <c r="AC3593" s="16" t="s">
        <v>21</v>
      </c>
      <c r="AD3593" s="17" t="s">
        <v>11774</v>
      </c>
      <c r="AE3593" s="145" t="s">
        <v>7841</v>
      </c>
      <c r="AF3593" s="146"/>
      <c r="AG3593" s="146"/>
      <c r="AH3593" s="146"/>
      <c r="AI3593" s="147"/>
      <c r="AJ3593" s="148"/>
      <c r="AK3593" s="143"/>
      <c r="AL3593" s="144"/>
      <c r="AM3593" s="22"/>
      <c r="AN3593" s="149" t="s">
        <v>11801</v>
      </c>
      <c r="AO3593" s="144"/>
      <c r="AP3593" s="148">
        <v>2039</v>
      </c>
      <c r="AQ3593" s="144"/>
      <c r="AR3593" s="120"/>
      <c r="AS3593" s="121"/>
      <c r="AT3593" s="120"/>
      <c r="AU3593" s="121"/>
      <c r="AV3593" s="120"/>
      <c r="AW3593" s="121"/>
      <c r="AX3593" s="120"/>
      <c r="AY3593" s="121"/>
      <c r="AZ3593" s="138"/>
    </row>
    <row r="3594" spans="1:52" ht="17.100000000000001" customHeight="1" thickTop="1">
      <c r="A3594" s="109" t="s">
        <v>11233</v>
      </c>
      <c r="B3594" s="28">
        <v>45981</v>
      </c>
      <c r="C3594" s="25">
        <v>2135</v>
      </c>
      <c r="D3594" s="13" t="s">
        <v>11268</v>
      </c>
      <c r="E3594" s="111"/>
      <c r="F3594" s="113" t="s">
        <v>4585</v>
      </c>
      <c r="G3594" s="114"/>
      <c r="H3594" s="115"/>
      <c r="I3594" s="24" t="s">
        <v>11269</v>
      </c>
      <c r="J3594" s="116">
        <v>4</v>
      </c>
      <c r="K3594" s="118">
        <v>473000</v>
      </c>
      <c r="L3594" s="119"/>
      <c r="M3594" s="118">
        <f t="shared" ref="M3594" si="3177">K3594*0.1</f>
        <v>47300</v>
      </c>
      <c r="N3594" s="119"/>
      <c r="O3594" s="118">
        <v>0</v>
      </c>
      <c r="P3594" s="119"/>
      <c r="Q3594" s="118">
        <v>8540</v>
      </c>
      <c r="R3594" s="119"/>
      <c r="S3594" s="118">
        <v>13750</v>
      </c>
      <c r="T3594" s="119"/>
      <c r="U3594" s="118">
        <f t="shared" ref="U3594" si="3178">SUM(K3594:T3595)</f>
        <v>542590</v>
      </c>
      <c r="V3594" s="122"/>
      <c r="W3594" s="124"/>
      <c r="X3594" s="126" t="s">
        <v>11270</v>
      </c>
      <c r="Y3594" s="127"/>
      <c r="Z3594" s="127"/>
      <c r="AA3594" s="127"/>
      <c r="AB3594" s="128"/>
      <c r="AC3594" s="15" t="s">
        <v>20</v>
      </c>
      <c r="AD3594" s="129"/>
      <c r="AE3594" s="130"/>
      <c r="AF3594" s="130"/>
      <c r="AG3594" s="130"/>
      <c r="AH3594" s="130"/>
      <c r="AI3594" s="131"/>
      <c r="AJ3594" s="132"/>
      <c r="AK3594" s="127"/>
      <c r="AL3594" s="128"/>
      <c r="AM3594" s="21"/>
      <c r="AN3594" s="133">
        <v>45987</v>
      </c>
      <c r="AO3594" s="134"/>
      <c r="AP3594" s="135">
        <v>994</v>
      </c>
      <c r="AQ3594" s="136"/>
      <c r="AR3594" s="118">
        <v>715000</v>
      </c>
      <c r="AS3594" s="119"/>
      <c r="AT3594" s="118">
        <f t="shared" ref="AT3594" si="3179">AR3594*0.1</f>
        <v>71500</v>
      </c>
      <c r="AU3594" s="119"/>
      <c r="AV3594" s="118">
        <v>8540</v>
      </c>
      <c r="AW3594" s="119"/>
      <c r="AX3594" s="118">
        <f t="shared" ref="AX3594" si="3180">SUM(AR3594:AW3594)</f>
        <v>795040</v>
      </c>
      <c r="AY3594" s="119"/>
      <c r="AZ3594" s="137">
        <v>45992</v>
      </c>
    </row>
    <row r="3595" spans="1:52" ht="17.100000000000001" customHeight="1" thickBot="1">
      <c r="A3595" s="110"/>
      <c r="B3595" s="27" t="s">
        <v>3281</v>
      </c>
      <c r="C3595" s="27">
        <v>2552</v>
      </c>
      <c r="D3595" s="14" t="s">
        <v>1592</v>
      </c>
      <c r="E3595" s="112"/>
      <c r="F3595" s="139" t="s">
        <v>11243</v>
      </c>
      <c r="G3595" s="140"/>
      <c r="H3595" s="141"/>
      <c r="I3595" s="26">
        <v>66942</v>
      </c>
      <c r="J3595" s="117"/>
      <c r="K3595" s="120"/>
      <c r="L3595" s="121"/>
      <c r="M3595" s="120"/>
      <c r="N3595" s="121"/>
      <c r="O3595" s="120"/>
      <c r="P3595" s="121"/>
      <c r="Q3595" s="120"/>
      <c r="R3595" s="121"/>
      <c r="S3595" s="120"/>
      <c r="T3595" s="121"/>
      <c r="U3595" s="120"/>
      <c r="V3595" s="123"/>
      <c r="W3595" s="125"/>
      <c r="X3595" s="142" t="s">
        <v>11782</v>
      </c>
      <c r="Y3595" s="143"/>
      <c r="Z3595" s="143"/>
      <c r="AA3595" s="143"/>
      <c r="AB3595" s="144"/>
      <c r="AC3595" s="16" t="s">
        <v>21</v>
      </c>
      <c r="AD3595" s="17" t="s">
        <v>11774</v>
      </c>
      <c r="AE3595" s="145" t="s">
        <v>11783</v>
      </c>
      <c r="AF3595" s="146"/>
      <c r="AG3595" s="146"/>
      <c r="AH3595" s="146"/>
      <c r="AI3595" s="147"/>
      <c r="AJ3595" s="148"/>
      <c r="AK3595" s="143"/>
      <c r="AL3595" s="144"/>
      <c r="AM3595" s="22"/>
      <c r="AN3595" s="149" t="s">
        <v>11801</v>
      </c>
      <c r="AO3595" s="144"/>
      <c r="AP3595" s="148">
        <v>2038</v>
      </c>
      <c r="AQ3595" s="144"/>
      <c r="AR3595" s="120"/>
      <c r="AS3595" s="121"/>
      <c r="AT3595" s="120"/>
      <c r="AU3595" s="121"/>
      <c r="AV3595" s="120"/>
      <c r="AW3595" s="121"/>
      <c r="AX3595" s="120"/>
      <c r="AY3595" s="121"/>
      <c r="AZ3595" s="138"/>
    </row>
    <row r="3596" spans="1:52" ht="17.100000000000001" customHeight="1" thickTop="1">
      <c r="A3596" s="109" t="s">
        <v>11234</v>
      </c>
      <c r="B3596" s="28">
        <v>45981</v>
      </c>
      <c r="C3596" s="25">
        <v>2135</v>
      </c>
      <c r="D3596" s="13" t="s">
        <v>2298</v>
      </c>
      <c r="E3596" s="111"/>
      <c r="F3596" s="113" t="s">
        <v>11271</v>
      </c>
      <c r="G3596" s="114"/>
      <c r="H3596" s="115"/>
      <c r="I3596" s="24" t="s">
        <v>4789</v>
      </c>
      <c r="J3596" s="116">
        <v>4.5</v>
      </c>
      <c r="K3596" s="118">
        <v>2239000</v>
      </c>
      <c r="L3596" s="119"/>
      <c r="M3596" s="118">
        <f t="shared" ref="M3596" si="3181">K3596*0.1</f>
        <v>223900</v>
      </c>
      <c r="N3596" s="119"/>
      <c r="O3596" s="118">
        <v>0</v>
      </c>
      <c r="P3596" s="119"/>
      <c r="Q3596" s="118">
        <v>18170</v>
      </c>
      <c r="R3596" s="119"/>
      <c r="S3596" s="118">
        <v>13750</v>
      </c>
      <c r="T3596" s="119"/>
      <c r="U3596" s="118">
        <f t="shared" ref="U3596" si="3182">SUM(K3596:T3597)</f>
        <v>2494820</v>
      </c>
      <c r="V3596" s="122"/>
      <c r="W3596" s="124"/>
      <c r="X3596" s="126" t="s">
        <v>12075</v>
      </c>
      <c r="Y3596" s="127"/>
      <c r="Z3596" s="127"/>
      <c r="AA3596" s="127"/>
      <c r="AB3596" s="128"/>
      <c r="AC3596" s="15" t="s">
        <v>20</v>
      </c>
      <c r="AD3596" s="129" t="s">
        <v>1732</v>
      </c>
      <c r="AE3596" s="130"/>
      <c r="AF3596" s="130"/>
      <c r="AG3596" s="130"/>
      <c r="AH3596" s="130"/>
      <c r="AI3596" s="131"/>
      <c r="AJ3596" s="132"/>
      <c r="AK3596" s="127"/>
      <c r="AL3596" s="128"/>
      <c r="AM3596" s="21"/>
      <c r="AN3596" s="133">
        <v>45995</v>
      </c>
      <c r="AO3596" s="134"/>
      <c r="AP3596" s="135">
        <v>1309</v>
      </c>
      <c r="AQ3596" s="136"/>
      <c r="AR3596" s="118">
        <v>2365000</v>
      </c>
      <c r="AS3596" s="119"/>
      <c r="AT3596" s="118">
        <f t="shared" ref="AT3596" si="3183">AR3596*0.1</f>
        <v>236500</v>
      </c>
      <c r="AU3596" s="119"/>
      <c r="AV3596" s="118">
        <v>18170</v>
      </c>
      <c r="AW3596" s="119"/>
      <c r="AX3596" s="118">
        <f t="shared" ref="AX3596" si="3184">SUM(AR3596:AW3596)</f>
        <v>2619670</v>
      </c>
      <c r="AY3596" s="119"/>
      <c r="AZ3596" s="137">
        <v>45996</v>
      </c>
    </row>
    <row r="3597" spans="1:52" ht="17.100000000000001" customHeight="1" thickBot="1">
      <c r="A3597" s="110"/>
      <c r="B3597" s="27" t="s">
        <v>3281</v>
      </c>
      <c r="C3597" s="27">
        <v>4187</v>
      </c>
      <c r="D3597" s="14" t="s">
        <v>275</v>
      </c>
      <c r="E3597" s="112"/>
      <c r="F3597" s="139" t="s">
        <v>12074</v>
      </c>
      <c r="G3597" s="140"/>
      <c r="H3597" s="141"/>
      <c r="I3597" s="26">
        <v>48800</v>
      </c>
      <c r="J3597" s="117"/>
      <c r="K3597" s="120"/>
      <c r="L3597" s="121"/>
      <c r="M3597" s="120"/>
      <c r="N3597" s="121"/>
      <c r="O3597" s="120"/>
      <c r="P3597" s="121"/>
      <c r="Q3597" s="120"/>
      <c r="R3597" s="121"/>
      <c r="S3597" s="120"/>
      <c r="T3597" s="121"/>
      <c r="U3597" s="120"/>
      <c r="V3597" s="123"/>
      <c r="W3597" s="125"/>
      <c r="X3597" s="142" t="s">
        <v>12076</v>
      </c>
      <c r="Y3597" s="143"/>
      <c r="Z3597" s="143"/>
      <c r="AA3597" s="143"/>
      <c r="AB3597" s="144"/>
      <c r="AC3597" s="16" t="s">
        <v>21</v>
      </c>
      <c r="AD3597" s="17" t="s">
        <v>12054</v>
      </c>
      <c r="AE3597" s="145" t="s">
        <v>1614</v>
      </c>
      <c r="AF3597" s="146"/>
      <c r="AG3597" s="146"/>
      <c r="AH3597" s="146"/>
      <c r="AI3597" s="147"/>
      <c r="AJ3597" s="148"/>
      <c r="AK3597" s="143"/>
      <c r="AL3597" s="144"/>
      <c r="AM3597" s="22"/>
      <c r="AN3597" s="149" t="s">
        <v>1747</v>
      </c>
      <c r="AO3597" s="144"/>
      <c r="AP3597" s="148">
        <v>326</v>
      </c>
      <c r="AQ3597" s="144"/>
      <c r="AR3597" s="120"/>
      <c r="AS3597" s="121"/>
      <c r="AT3597" s="120"/>
      <c r="AU3597" s="121"/>
      <c r="AV3597" s="120"/>
      <c r="AW3597" s="121"/>
      <c r="AX3597" s="120"/>
      <c r="AY3597" s="121"/>
      <c r="AZ3597" s="138"/>
    </row>
    <row r="3598" spans="1:52" ht="17.100000000000001" customHeight="1" thickTop="1">
      <c r="A3598" s="109" t="s">
        <v>11246</v>
      </c>
      <c r="B3598" s="28">
        <v>45981</v>
      </c>
      <c r="C3598" s="25">
        <v>2135</v>
      </c>
      <c r="D3598" s="13" t="s">
        <v>8926</v>
      </c>
      <c r="E3598" s="111"/>
      <c r="F3598" s="113" t="s">
        <v>11272</v>
      </c>
      <c r="G3598" s="114"/>
      <c r="H3598" s="115"/>
      <c r="I3598" s="24"/>
      <c r="J3598" s="116">
        <v>4</v>
      </c>
      <c r="K3598" s="118">
        <v>147000</v>
      </c>
      <c r="L3598" s="119"/>
      <c r="M3598" s="118">
        <f t="shared" ref="M3598" si="3185">K3598*0.1</f>
        <v>14700</v>
      </c>
      <c r="N3598" s="119"/>
      <c r="O3598" s="118">
        <v>0</v>
      </c>
      <c r="P3598" s="119"/>
      <c r="Q3598" s="118">
        <v>9080</v>
      </c>
      <c r="R3598" s="119"/>
      <c r="S3598" s="118">
        <v>13750</v>
      </c>
      <c r="T3598" s="119"/>
      <c r="U3598" s="118">
        <f t="shared" ref="U3598" si="3186">SUM(K3598:T3599)</f>
        <v>184530</v>
      </c>
      <c r="V3598" s="122"/>
      <c r="W3598" s="124"/>
      <c r="X3598" s="126" t="s">
        <v>11785</v>
      </c>
      <c r="Y3598" s="127"/>
      <c r="Z3598" s="127"/>
      <c r="AA3598" s="127"/>
      <c r="AB3598" s="128"/>
      <c r="AC3598" s="15" t="s">
        <v>20</v>
      </c>
      <c r="AD3598" s="129"/>
      <c r="AE3598" s="130"/>
      <c r="AF3598" s="130"/>
      <c r="AG3598" s="130"/>
      <c r="AH3598" s="130"/>
      <c r="AI3598" s="131"/>
      <c r="AJ3598" s="132"/>
      <c r="AK3598" s="127"/>
      <c r="AL3598" s="128"/>
      <c r="AM3598" s="21"/>
      <c r="AN3598" s="133">
        <v>45987</v>
      </c>
      <c r="AO3598" s="134"/>
      <c r="AP3598" s="135">
        <v>994</v>
      </c>
      <c r="AQ3598" s="136"/>
      <c r="AR3598" s="118">
        <v>655000</v>
      </c>
      <c r="AS3598" s="119"/>
      <c r="AT3598" s="118">
        <f t="shared" ref="AT3598" si="3187">AR3598*0.1</f>
        <v>65500</v>
      </c>
      <c r="AU3598" s="119"/>
      <c r="AV3598" s="118">
        <v>10010</v>
      </c>
      <c r="AW3598" s="119"/>
      <c r="AX3598" s="118">
        <f t="shared" ref="AX3598" si="3188">SUM(AR3598:AW3598)</f>
        <v>730510</v>
      </c>
      <c r="AY3598" s="119"/>
      <c r="AZ3598" s="137">
        <v>45992</v>
      </c>
    </row>
    <row r="3599" spans="1:52" ht="17.100000000000001" customHeight="1" thickBot="1">
      <c r="A3599" s="110"/>
      <c r="B3599" s="27" t="s">
        <v>3281</v>
      </c>
      <c r="C3599" s="27">
        <v>35101</v>
      </c>
      <c r="D3599" s="14" t="s">
        <v>275</v>
      </c>
      <c r="E3599" s="112"/>
      <c r="F3599" s="139" t="s">
        <v>11244</v>
      </c>
      <c r="G3599" s="140"/>
      <c r="H3599" s="141"/>
      <c r="I3599" s="26">
        <v>68710</v>
      </c>
      <c r="J3599" s="117"/>
      <c r="K3599" s="120"/>
      <c r="L3599" s="121"/>
      <c r="M3599" s="120"/>
      <c r="N3599" s="121"/>
      <c r="O3599" s="120"/>
      <c r="P3599" s="121"/>
      <c r="Q3599" s="120"/>
      <c r="R3599" s="121"/>
      <c r="S3599" s="120"/>
      <c r="T3599" s="121"/>
      <c r="U3599" s="120"/>
      <c r="V3599" s="123"/>
      <c r="W3599" s="125"/>
      <c r="X3599" s="142" t="s">
        <v>11786</v>
      </c>
      <c r="Y3599" s="143"/>
      <c r="Z3599" s="143"/>
      <c r="AA3599" s="143"/>
      <c r="AB3599" s="144"/>
      <c r="AC3599" s="16" t="s">
        <v>21</v>
      </c>
      <c r="AD3599" s="17" t="s">
        <v>11774</v>
      </c>
      <c r="AE3599" s="145" t="s">
        <v>11624</v>
      </c>
      <c r="AF3599" s="146"/>
      <c r="AG3599" s="146"/>
      <c r="AH3599" s="146"/>
      <c r="AI3599" s="147"/>
      <c r="AJ3599" s="148"/>
      <c r="AK3599" s="143"/>
      <c r="AL3599" s="144"/>
      <c r="AM3599" s="22"/>
      <c r="AN3599" s="149" t="s">
        <v>11801</v>
      </c>
      <c r="AO3599" s="144"/>
      <c r="AP3599" s="148">
        <v>2045</v>
      </c>
      <c r="AQ3599" s="144"/>
      <c r="AR3599" s="120"/>
      <c r="AS3599" s="121"/>
      <c r="AT3599" s="120"/>
      <c r="AU3599" s="121"/>
      <c r="AV3599" s="120"/>
      <c r="AW3599" s="121"/>
      <c r="AX3599" s="120"/>
      <c r="AY3599" s="121"/>
      <c r="AZ3599" s="138"/>
    </row>
    <row r="3600" spans="1:52" ht="17.100000000000001" customHeight="1" thickTop="1">
      <c r="A3600" s="109" t="s">
        <v>11247</v>
      </c>
      <c r="B3600" s="28">
        <v>45981</v>
      </c>
      <c r="C3600" s="25">
        <v>2135</v>
      </c>
      <c r="D3600" s="13" t="s">
        <v>11273</v>
      </c>
      <c r="E3600" s="111"/>
      <c r="F3600" s="113" t="s">
        <v>11274</v>
      </c>
      <c r="G3600" s="114"/>
      <c r="H3600" s="115"/>
      <c r="I3600" s="24"/>
      <c r="J3600" s="116">
        <v>4</v>
      </c>
      <c r="K3600" s="118">
        <v>147000</v>
      </c>
      <c r="L3600" s="119"/>
      <c r="M3600" s="118">
        <f t="shared" ref="M3600" si="3189">K3600*0.1</f>
        <v>14700</v>
      </c>
      <c r="N3600" s="119"/>
      <c r="O3600" s="118">
        <v>0</v>
      </c>
      <c r="P3600" s="119"/>
      <c r="Q3600" s="118">
        <v>9080</v>
      </c>
      <c r="R3600" s="119"/>
      <c r="S3600" s="118">
        <v>13750</v>
      </c>
      <c r="T3600" s="119"/>
      <c r="U3600" s="118">
        <f t="shared" ref="U3600" si="3190">SUM(K3600:T3601)</f>
        <v>184530</v>
      </c>
      <c r="V3600" s="122"/>
      <c r="W3600" s="124"/>
      <c r="X3600" s="126" t="s">
        <v>11825</v>
      </c>
      <c r="Y3600" s="127"/>
      <c r="Z3600" s="127"/>
      <c r="AA3600" s="127"/>
      <c r="AB3600" s="128"/>
      <c r="AC3600" s="15" t="s">
        <v>20</v>
      </c>
      <c r="AD3600" s="129"/>
      <c r="AE3600" s="130"/>
      <c r="AF3600" s="130"/>
      <c r="AG3600" s="130"/>
      <c r="AH3600" s="130"/>
      <c r="AI3600" s="131"/>
      <c r="AJ3600" s="132"/>
      <c r="AK3600" s="127"/>
      <c r="AL3600" s="128"/>
      <c r="AM3600" s="21"/>
      <c r="AN3600" s="133">
        <v>46004</v>
      </c>
      <c r="AO3600" s="134"/>
      <c r="AP3600" s="135">
        <v>1280</v>
      </c>
      <c r="AQ3600" s="136"/>
      <c r="AR3600" s="118">
        <v>205000</v>
      </c>
      <c r="AS3600" s="119"/>
      <c r="AT3600" s="118">
        <f t="shared" ref="AT3600" si="3191">AR3600*0.1</f>
        <v>20500</v>
      </c>
      <c r="AU3600" s="119"/>
      <c r="AV3600" s="118">
        <v>9080</v>
      </c>
      <c r="AW3600" s="119"/>
      <c r="AX3600" s="118">
        <f t="shared" ref="AX3600" si="3192">SUM(AR3600:AW3600)</f>
        <v>234580</v>
      </c>
      <c r="AY3600" s="119"/>
      <c r="AZ3600" s="137">
        <v>46008</v>
      </c>
    </row>
    <row r="3601" spans="1:52" ht="17.100000000000001" customHeight="1" thickBot="1">
      <c r="A3601" s="110"/>
      <c r="B3601" s="27" t="s">
        <v>3281</v>
      </c>
      <c r="C3601" s="27">
        <v>35231</v>
      </c>
      <c r="D3601" s="14" t="s">
        <v>133</v>
      </c>
      <c r="E3601" s="112"/>
      <c r="F3601" s="139" t="s">
        <v>11245</v>
      </c>
      <c r="G3601" s="140"/>
      <c r="H3601" s="141"/>
      <c r="I3601" s="26">
        <v>47647</v>
      </c>
      <c r="J3601" s="117"/>
      <c r="K3601" s="120"/>
      <c r="L3601" s="121"/>
      <c r="M3601" s="120"/>
      <c r="N3601" s="121"/>
      <c r="O3601" s="120"/>
      <c r="P3601" s="121"/>
      <c r="Q3601" s="120"/>
      <c r="R3601" s="121"/>
      <c r="S3601" s="120"/>
      <c r="T3601" s="121"/>
      <c r="U3601" s="120"/>
      <c r="V3601" s="123"/>
      <c r="W3601" s="125"/>
      <c r="X3601" s="142" t="s">
        <v>5052</v>
      </c>
      <c r="Y3601" s="143"/>
      <c r="Z3601" s="143"/>
      <c r="AA3601" s="143"/>
      <c r="AB3601" s="144"/>
      <c r="AC3601" s="16" t="s">
        <v>21</v>
      </c>
      <c r="AD3601" s="17" t="s">
        <v>1723</v>
      </c>
      <c r="AE3601" s="145" t="s">
        <v>3624</v>
      </c>
      <c r="AF3601" s="146"/>
      <c r="AG3601" s="146"/>
      <c r="AH3601" s="146"/>
      <c r="AI3601" s="147"/>
      <c r="AJ3601" s="148"/>
      <c r="AK3601" s="143"/>
      <c r="AL3601" s="144"/>
      <c r="AM3601" s="22"/>
      <c r="AN3601" s="149" t="s">
        <v>7284</v>
      </c>
      <c r="AO3601" s="144"/>
      <c r="AP3601" s="148">
        <v>60390</v>
      </c>
      <c r="AQ3601" s="144"/>
      <c r="AR3601" s="120"/>
      <c r="AS3601" s="121"/>
      <c r="AT3601" s="120"/>
      <c r="AU3601" s="121"/>
      <c r="AV3601" s="120"/>
      <c r="AW3601" s="121"/>
      <c r="AX3601" s="120"/>
      <c r="AY3601" s="121"/>
      <c r="AZ3601" s="138"/>
    </row>
    <row r="3602" spans="1:52" ht="17.100000000000001" customHeight="1" thickTop="1">
      <c r="A3602" s="151" t="s">
        <v>11275</v>
      </c>
      <c r="B3602" s="28">
        <v>45981</v>
      </c>
      <c r="C3602" s="25">
        <v>1307</v>
      </c>
      <c r="D3602" s="13" t="s">
        <v>2022</v>
      </c>
      <c r="E3602" s="111"/>
      <c r="F3602" s="113" t="s">
        <v>11282</v>
      </c>
      <c r="G3602" s="114"/>
      <c r="H3602" s="115"/>
      <c r="I3602" s="24" t="s">
        <v>1547</v>
      </c>
      <c r="J3602" s="116">
        <v>4.5</v>
      </c>
      <c r="K3602" s="118">
        <v>1235000</v>
      </c>
      <c r="L3602" s="119"/>
      <c r="M3602" s="118">
        <f t="shared" ref="M3602" si="3193">K3602*0.1</f>
        <v>123500</v>
      </c>
      <c r="N3602" s="119"/>
      <c r="O3602" s="118">
        <f>13100+1310</f>
        <v>14410</v>
      </c>
      <c r="P3602" s="119"/>
      <c r="Q3602" s="118">
        <v>20860</v>
      </c>
      <c r="R3602" s="119"/>
      <c r="S3602" s="118">
        <v>16500</v>
      </c>
      <c r="T3602" s="119"/>
      <c r="U3602" s="118">
        <f t="shared" ref="U3602" si="3194">SUM(K3602:T3603)</f>
        <v>1410270</v>
      </c>
      <c r="V3602" s="122"/>
      <c r="W3602" s="124"/>
      <c r="X3602" s="126" t="s">
        <v>11294</v>
      </c>
      <c r="Y3602" s="127"/>
      <c r="Z3602" s="127"/>
      <c r="AA3602" s="127"/>
      <c r="AB3602" s="128"/>
      <c r="AC3602" s="15" t="s">
        <v>20</v>
      </c>
      <c r="AD3602" s="129" t="s">
        <v>1565</v>
      </c>
      <c r="AE3602" s="130"/>
      <c r="AF3602" s="130"/>
      <c r="AG3602" s="130"/>
      <c r="AH3602" s="130"/>
      <c r="AI3602" s="131"/>
      <c r="AJ3602" s="132"/>
      <c r="AK3602" s="127"/>
      <c r="AL3602" s="128"/>
      <c r="AM3602" s="21" t="s">
        <v>12772</v>
      </c>
      <c r="AN3602" s="133">
        <v>46039</v>
      </c>
      <c r="AO3602" s="134"/>
      <c r="AP3602" s="135">
        <v>1284</v>
      </c>
      <c r="AQ3602" s="136"/>
      <c r="AR3602" s="118">
        <v>1320000</v>
      </c>
      <c r="AS3602" s="119"/>
      <c r="AT3602" s="118">
        <f t="shared" ref="AT3602" si="3195">AR3602*0.1</f>
        <v>132000</v>
      </c>
      <c r="AU3602" s="119"/>
      <c r="AV3602" s="118">
        <v>20860</v>
      </c>
      <c r="AW3602" s="119"/>
      <c r="AX3602" s="118">
        <f t="shared" ref="AX3602" si="3196">SUM(AR3602:AW3602)</f>
        <v>1472860</v>
      </c>
      <c r="AY3602" s="119"/>
      <c r="AZ3602" s="137">
        <v>46042</v>
      </c>
    </row>
    <row r="3603" spans="1:52" ht="17.100000000000001" customHeight="1" thickBot="1">
      <c r="A3603" s="152"/>
      <c r="B3603" s="27" t="s">
        <v>1747</v>
      </c>
      <c r="C3603" s="27">
        <v>166</v>
      </c>
      <c r="D3603" s="14" t="s">
        <v>275</v>
      </c>
      <c r="E3603" s="112"/>
      <c r="F3603" s="139" t="s">
        <v>11283</v>
      </c>
      <c r="G3603" s="140"/>
      <c r="H3603" s="141"/>
      <c r="I3603" s="26">
        <v>57040</v>
      </c>
      <c r="J3603" s="117"/>
      <c r="K3603" s="120"/>
      <c r="L3603" s="121"/>
      <c r="M3603" s="120"/>
      <c r="N3603" s="121"/>
      <c r="O3603" s="120"/>
      <c r="P3603" s="121"/>
      <c r="Q3603" s="120"/>
      <c r="R3603" s="121"/>
      <c r="S3603" s="120"/>
      <c r="T3603" s="121"/>
      <c r="U3603" s="120"/>
      <c r="V3603" s="123"/>
      <c r="W3603" s="125"/>
      <c r="X3603" s="142" t="s">
        <v>2883</v>
      </c>
      <c r="Y3603" s="143"/>
      <c r="Z3603" s="143"/>
      <c r="AA3603" s="143"/>
      <c r="AB3603" s="144"/>
      <c r="AC3603" s="16" t="s">
        <v>21</v>
      </c>
      <c r="AD3603" s="17" t="s">
        <v>1731</v>
      </c>
      <c r="AE3603" s="145" t="s">
        <v>11914</v>
      </c>
      <c r="AF3603" s="146"/>
      <c r="AG3603" s="146"/>
      <c r="AH3603" s="146"/>
      <c r="AI3603" s="147"/>
      <c r="AJ3603" s="148"/>
      <c r="AK3603" s="143"/>
      <c r="AL3603" s="144"/>
      <c r="AM3603" s="22"/>
      <c r="AN3603" s="149" t="s">
        <v>2511</v>
      </c>
      <c r="AO3603" s="144"/>
      <c r="AP3603" s="148">
        <v>80142</v>
      </c>
      <c r="AQ3603" s="144"/>
      <c r="AR3603" s="120"/>
      <c r="AS3603" s="121"/>
      <c r="AT3603" s="120"/>
      <c r="AU3603" s="121"/>
      <c r="AV3603" s="120"/>
      <c r="AW3603" s="121"/>
      <c r="AX3603" s="120"/>
      <c r="AY3603" s="121"/>
      <c r="AZ3603" s="138"/>
    </row>
    <row r="3604" spans="1:52" ht="17.100000000000001" customHeight="1" thickTop="1">
      <c r="A3604" s="109" t="s">
        <v>11276</v>
      </c>
      <c r="B3604" s="28">
        <v>45981</v>
      </c>
      <c r="C3604" s="25">
        <v>1307</v>
      </c>
      <c r="D3604" s="13" t="s">
        <v>1640</v>
      </c>
      <c r="E3604" s="111"/>
      <c r="F3604" s="113" t="s">
        <v>11284</v>
      </c>
      <c r="G3604" s="114"/>
      <c r="H3604" s="115"/>
      <c r="I3604" s="24"/>
      <c r="J3604" s="116">
        <v>4.5</v>
      </c>
      <c r="K3604" s="118">
        <v>1885000</v>
      </c>
      <c r="L3604" s="119"/>
      <c r="M3604" s="118">
        <f t="shared" ref="M3604" si="3197">K3604*0.1</f>
        <v>188500</v>
      </c>
      <c r="N3604" s="119"/>
      <c r="O3604" s="118">
        <v>0</v>
      </c>
      <c r="P3604" s="119"/>
      <c r="Q3604" s="118">
        <v>21330</v>
      </c>
      <c r="R3604" s="119"/>
      <c r="S3604" s="118">
        <v>16500</v>
      </c>
      <c r="T3604" s="119"/>
      <c r="U3604" s="118">
        <f t="shared" ref="U3604" si="3198">SUM(K3604:T3605)</f>
        <v>2111330</v>
      </c>
      <c r="V3604" s="122"/>
      <c r="W3604" s="124"/>
      <c r="X3604" s="126" t="s">
        <v>11815</v>
      </c>
      <c r="Y3604" s="127"/>
      <c r="Z3604" s="127"/>
      <c r="AA3604" s="127"/>
      <c r="AB3604" s="128"/>
      <c r="AC3604" s="15" t="s">
        <v>20</v>
      </c>
      <c r="AD3604" s="129" t="s">
        <v>1565</v>
      </c>
      <c r="AE3604" s="130"/>
      <c r="AF3604" s="130"/>
      <c r="AG3604" s="130"/>
      <c r="AH3604" s="130"/>
      <c r="AI3604" s="131"/>
      <c r="AJ3604" s="132"/>
      <c r="AK3604" s="127"/>
      <c r="AL3604" s="128"/>
      <c r="AM3604" s="21"/>
      <c r="AN3604" s="133">
        <v>45997</v>
      </c>
      <c r="AO3604" s="134"/>
      <c r="AP3604" s="135">
        <v>1279</v>
      </c>
      <c r="AQ3604" s="136"/>
      <c r="AR3604" s="118">
        <v>2045000</v>
      </c>
      <c r="AS3604" s="119"/>
      <c r="AT3604" s="118">
        <f t="shared" ref="AT3604" si="3199">AR3604*0.1</f>
        <v>204500</v>
      </c>
      <c r="AU3604" s="119"/>
      <c r="AV3604" s="118">
        <v>21330</v>
      </c>
      <c r="AW3604" s="119"/>
      <c r="AX3604" s="118">
        <f t="shared" ref="AX3604" si="3200">SUM(AR3604:AW3604)</f>
        <v>2270830</v>
      </c>
      <c r="AY3604" s="119"/>
      <c r="AZ3604" s="137">
        <v>46000</v>
      </c>
    </row>
    <row r="3605" spans="1:52" ht="17.100000000000001" customHeight="1" thickBot="1">
      <c r="A3605" s="110"/>
      <c r="B3605" s="27" t="s">
        <v>1747</v>
      </c>
      <c r="C3605" s="27">
        <v>534</v>
      </c>
      <c r="D3605" s="14" t="s">
        <v>1592</v>
      </c>
      <c r="E3605" s="112"/>
      <c r="F3605" s="139" t="s">
        <v>11285</v>
      </c>
      <c r="G3605" s="140"/>
      <c r="H3605" s="141"/>
      <c r="I3605" s="26">
        <v>41968</v>
      </c>
      <c r="J3605" s="117"/>
      <c r="K3605" s="120"/>
      <c r="L3605" s="121"/>
      <c r="M3605" s="120"/>
      <c r="N3605" s="121"/>
      <c r="O3605" s="120"/>
      <c r="P3605" s="121"/>
      <c r="Q3605" s="120"/>
      <c r="R3605" s="121"/>
      <c r="S3605" s="120"/>
      <c r="T3605" s="121"/>
      <c r="U3605" s="120"/>
      <c r="V3605" s="123"/>
      <c r="W3605" s="125"/>
      <c r="X3605" s="142" t="s">
        <v>11808</v>
      </c>
      <c r="Y3605" s="143"/>
      <c r="Z3605" s="143"/>
      <c r="AA3605" s="143"/>
      <c r="AB3605" s="144"/>
      <c r="AC3605" s="16" t="s">
        <v>21</v>
      </c>
      <c r="AD3605" s="17" t="s">
        <v>1723</v>
      </c>
      <c r="AE3605" s="145" t="s">
        <v>1742</v>
      </c>
      <c r="AF3605" s="146"/>
      <c r="AG3605" s="146"/>
      <c r="AH3605" s="146"/>
      <c r="AI3605" s="147"/>
      <c r="AJ3605" s="148"/>
      <c r="AK3605" s="143"/>
      <c r="AL3605" s="144"/>
      <c r="AM3605" s="22"/>
      <c r="AN3605" s="149" t="s">
        <v>2511</v>
      </c>
      <c r="AO3605" s="144"/>
      <c r="AP3605" s="148">
        <v>80068</v>
      </c>
      <c r="AQ3605" s="144"/>
      <c r="AR3605" s="120"/>
      <c r="AS3605" s="121"/>
      <c r="AT3605" s="120"/>
      <c r="AU3605" s="121"/>
      <c r="AV3605" s="120"/>
      <c r="AW3605" s="121"/>
      <c r="AX3605" s="120"/>
      <c r="AY3605" s="121"/>
      <c r="AZ3605" s="138"/>
    </row>
    <row r="3606" spans="1:52" ht="17.100000000000001" customHeight="1" thickTop="1">
      <c r="A3606" s="109" t="s">
        <v>11277</v>
      </c>
      <c r="B3606" s="28">
        <v>45981</v>
      </c>
      <c r="C3606" s="25">
        <v>1307</v>
      </c>
      <c r="D3606" s="13" t="s">
        <v>1977</v>
      </c>
      <c r="E3606" s="111"/>
      <c r="F3606" s="113" t="s">
        <v>11286</v>
      </c>
      <c r="G3606" s="114"/>
      <c r="H3606" s="115"/>
      <c r="I3606" s="24"/>
      <c r="J3606" s="116">
        <v>4.5</v>
      </c>
      <c r="K3606" s="118">
        <v>1860000</v>
      </c>
      <c r="L3606" s="119"/>
      <c r="M3606" s="118">
        <f t="shared" ref="M3606" si="3201">K3606*0.1</f>
        <v>186000</v>
      </c>
      <c r="N3606" s="119"/>
      <c r="O3606" s="118">
        <v>0</v>
      </c>
      <c r="P3606" s="119"/>
      <c r="Q3606" s="118">
        <v>21720</v>
      </c>
      <c r="R3606" s="119"/>
      <c r="S3606" s="118">
        <v>16500</v>
      </c>
      <c r="T3606" s="119"/>
      <c r="U3606" s="118">
        <f t="shared" ref="U3606" si="3202">SUM(K3606:T3607)</f>
        <v>2084220</v>
      </c>
      <c r="V3606" s="122"/>
      <c r="W3606" s="124"/>
      <c r="X3606" s="126" t="s">
        <v>11816</v>
      </c>
      <c r="Y3606" s="127"/>
      <c r="Z3606" s="127"/>
      <c r="AA3606" s="127"/>
      <c r="AB3606" s="128"/>
      <c r="AC3606" s="15" t="s">
        <v>20</v>
      </c>
      <c r="AD3606" s="129" t="s">
        <v>1565</v>
      </c>
      <c r="AE3606" s="130"/>
      <c r="AF3606" s="130"/>
      <c r="AG3606" s="130"/>
      <c r="AH3606" s="130"/>
      <c r="AI3606" s="131"/>
      <c r="AJ3606" s="132"/>
      <c r="AK3606" s="127"/>
      <c r="AL3606" s="128"/>
      <c r="AM3606" s="21"/>
      <c r="AN3606" s="133">
        <v>45997</v>
      </c>
      <c r="AO3606" s="134"/>
      <c r="AP3606" s="135">
        <v>1279</v>
      </c>
      <c r="AQ3606" s="136"/>
      <c r="AR3606" s="118">
        <v>1975000</v>
      </c>
      <c r="AS3606" s="119"/>
      <c r="AT3606" s="118">
        <f t="shared" ref="AT3606" si="3203">AR3606*0.1</f>
        <v>197500</v>
      </c>
      <c r="AU3606" s="119"/>
      <c r="AV3606" s="118">
        <v>21720</v>
      </c>
      <c r="AW3606" s="119"/>
      <c r="AX3606" s="118">
        <f t="shared" ref="AX3606" si="3204">SUM(AR3606:AW3606)</f>
        <v>2194220</v>
      </c>
      <c r="AY3606" s="119"/>
      <c r="AZ3606" s="137">
        <v>46000</v>
      </c>
    </row>
    <row r="3607" spans="1:52" ht="17.100000000000001" customHeight="1" thickBot="1">
      <c r="A3607" s="110"/>
      <c r="B3607" s="27" t="s">
        <v>1747</v>
      </c>
      <c r="C3607" s="27">
        <v>535</v>
      </c>
      <c r="D3607" s="14" t="s">
        <v>275</v>
      </c>
      <c r="E3607" s="112"/>
      <c r="F3607" s="139" t="s">
        <v>11287</v>
      </c>
      <c r="G3607" s="140"/>
      <c r="H3607" s="141"/>
      <c r="I3607" s="26">
        <v>73789</v>
      </c>
      <c r="J3607" s="117"/>
      <c r="K3607" s="120"/>
      <c r="L3607" s="121"/>
      <c r="M3607" s="120"/>
      <c r="N3607" s="121"/>
      <c r="O3607" s="120"/>
      <c r="P3607" s="121"/>
      <c r="Q3607" s="120"/>
      <c r="R3607" s="121"/>
      <c r="S3607" s="120"/>
      <c r="T3607" s="121"/>
      <c r="U3607" s="120"/>
      <c r="V3607" s="123"/>
      <c r="W3607" s="125"/>
      <c r="X3607" s="142" t="s">
        <v>11808</v>
      </c>
      <c r="Y3607" s="143"/>
      <c r="Z3607" s="143"/>
      <c r="AA3607" s="143"/>
      <c r="AB3607" s="144"/>
      <c r="AC3607" s="16" t="s">
        <v>21</v>
      </c>
      <c r="AD3607" s="17" t="s">
        <v>1723</v>
      </c>
      <c r="AE3607" s="145" t="s">
        <v>1742</v>
      </c>
      <c r="AF3607" s="146"/>
      <c r="AG3607" s="146"/>
      <c r="AH3607" s="146"/>
      <c r="AI3607" s="147"/>
      <c r="AJ3607" s="148"/>
      <c r="AK3607" s="143"/>
      <c r="AL3607" s="144"/>
      <c r="AM3607" s="22"/>
      <c r="AN3607" s="149" t="s">
        <v>2511</v>
      </c>
      <c r="AO3607" s="144"/>
      <c r="AP3607" s="148">
        <v>80013</v>
      </c>
      <c r="AQ3607" s="144"/>
      <c r="AR3607" s="120"/>
      <c r="AS3607" s="121"/>
      <c r="AT3607" s="120"/>
      <c r="AU3607" s="121"/>
      <c r="AV3607" s="120"/>
      <c r="AW3607" s="121"/>
      <c r="AX3607" s="120"/>
      <c r="AY3607" s="121"/>
      <c r="AZ3607" s="138"/>
    </row>
    <row r="3608" spans="1:52" ht="17.100000000000001" customHeight="1" thickTop="1">
      <c r="A3608" s="109" t="s">
        <v>11278</v>
      </c>
      <c r="B3608" s="28">
        <v>45981</v>
      </c>
      <c r="C3608" s="25">
        <v>1307</v>
      </c>
      <c r="D3608" s="13" t="s">
        <v>1855</v>
      </c>
      <c r="E3608" s="111"/>
      <c r="F3608" s="113" t="s">
        <v>11288</v>
      </c>
      <c r="G3608" s="114"/>
      <c r="H3608" s="115"/>
      <c r="I3608" s="24"/>
      <c r="J3608" s="116">
        <v>4</v>
      </c>
      <c r="K3608" s="118">
        <v>750000</v>
      </c>
      <c r="L3608" s="119"/>
      <c r="M3608" s="118">
        <f t="shared" ref="M3608" si="3205">K3608*0.1</f>
        <v>75000</v>
      </c>
      <c r="N3608" s="119"/>
      <c r="O3608" s="118">
        <v>0</v>
      </c>
      <c r="P3608" s="119"/>
      <c r="Q3608" s="118">
        <v>19610</v>
      </c>
      <c r="R3608" s="119"/>
      <c r="S3608" s="118">
        <v>25300</v>
      </c>
      <c r="T3608" s="119"/>
      <c r="U3608" s="118">
        <f t="shared" ref="U3608" si="3206">SUM(K3608:T3609)</f>
        <v>869910</v>
      </c>
      <c r="V3608" s="122"/>
      <c r="W3608" s="124"/>
      <c r="X3608" s="126" t="s">
        <v>11807</v>
      </c>
      <c r="Y3608" s="127"/>
      <c r="Z3608" s="127"/>
      <c r="AA3608" s="127"/>
      <c r="AB3608" s="128"/>
      <c r="AC3608" s="15" t="s">
        <v>20</v>
      </c>
      <c r="AD3608" s="129" t="s">
        <v>11295</v>
      </c>
      <c r="AE3608" s="130"/>
      <c r="AF3608" s="130"/>
      <c r="AG3608" s="130"/>
      <c r="AH3608" s="130"/>
      <c r="AI3608" s="131"/>
      <c r="AJ3608" s="132"/>
      <c r="AK3608" s="127"/>
      <c r="AL3608" s="128"/>
      <c r="AM3608" s="21"/>
      <c r="AN3608" s="133">
        <v>46004</v>
      </c>
      <c r="AO3608" s="134"/>
      <c r="AP3608" s="135">
        <v>1280</v>
      </c>
      <c r="AQ3608" s="136"/>
      <c r="AR3608" s="118">
        <v>940000</v>
      </c>
      <c r="AS3608" s="119"/>
      <c r="AT3608" s="118">
        <f t="shared" ref="AT3608" si="3207">AR3608*0.1</f>
        <v>94000</v>
      </c>
      <c r="AU3608" s="119"/>
      <c r="AV3608" s="118">
        <v>19610</v>
      </c>
      <c r="AW3608" s="119"/>
      <c r="AX3608" s="118">
        <f t="shared" ref="AX3608" si="3208">SUM(AR3608:AW3608)</f>
        <v>1053610</v>
      </c>
      <c r="AY3608" s="119"/>
      <c r="AZ3608" s="137">
        <v>46007</v>
      </c>
    </row>
    <row r="3609" spans="1:52" ht="17.100000000000001" customHeight="1" thickBot="1">
      <c r="A3609" s="110"/>
      <c r="B3609" s="27" t="s">
        <v>1747</v>
      </c>
      <c r="C3609" s="27">
        <v>609</v>
      </c>
      <c r="D3609" s="14" t="s">
        <v>275</v>
      </c>
      <c r="E3609" s="112"/>
      <c r="F3609" s="139" t="s">
        <v>11289</v>
      </c>
      <c r="G3609" s="140"/>
      <c r="H3609" s="141"/>
      <c r="I3609" s="26">
        <v>47295</v>
      </c>
      <c r="J3609" s="117"/>
      <c r="K3609" s="120"/>
      <c r="L3609" s="121"/>
      <c r="M3609" s="120"/>
      <c r="N3609" s="121"/>
      <c r="O3609" s="120"/>
      <c r="P3609" s="121"/>
      <c r="Q3609" s="120"/>
      <c r="R3609" s="121"/>
      <c r="S3609" s="120"/>
      <c r="T3609" s="121"/>
      <c r="U3609" s="120"/>
      <c r="V3609" s="123"/>
      <c r="W3609" s="125"/>
      <c r="X3609" s="142" t="s">
        <v>11808</v>
      </c>
      <c r="Y3609" s="143"/>
      <c r="Z3609" s="143"/>
      <c r="AA3609" s="143"/>
      <c r="AB3609" s="144"/>
      <c r="AC3609" s="16" t="s">
        <v>21</v>
      </c>
      <c r="AD3609" s="17" t="s">
        <v>1723</v>
      </c>
      <c r="AE3609" s="145" t="s">
        <v>12004</v>
      </c>
      <c r="AF3609" s="146"/>
      <c r="AG3609" s="146"/>
      <c r="AH3609" s="146"/>
      <c r="AI3609" s="147"/>
      <c r="AJ3609" s="148"/>
      <c r="AK3609" s="143"/>
      <c r="AL3609" s="144"/>
      <c r="AM3609" s="22"/>
      <c r="AN3609" s="149" t="s">
        <v>7284</v>
      </c>
      <c r="AO3609" s="144"/>
      <c r="AP3609" s="148">
        <v>80008</v>
      </c>
      <c r="AQ3609" s="144"/>
      <c r="AR3609" s="120"/>
      <c r="AS3609" s="121"/>
      <c r="AT3609" s="120"/>
      <c r="AU3609" s="121"/>
      <c r="AV3609" s="120"/>
      <c r="AW3609" s="121"/>
      <c r="AX3609" s="120"/>
      <c r="AY3609" s="121"/>
      <c r="AZ3609" s="138"/>
    </row>
    <row r="3610" spans="1:52" ht="17.100000000000001" customHeight="1" thickTop="1">
      <c r="A3610" s="109" t="s">
        <v>11279</v>
      </c>
      <c r="B3610" s="28">
        <v>45981</v>
      </c>
      <c r="C3610" s="25">
        <v>1307</v>
      </c>
      <c r="D3610" s="13" t="s">
        <v>3386</v>
      </c>
      <c r="E3610" s="111"/>
      <c r="F3610" s="113" t="s">
        <v>11290</v>
      </c>
      <c r="G3610" s="114"/>
      <c r="H3610" s="115"/>
      <c r="I3610" s="24" t="s">
        <v>2112</v>
      </c>
      <c r="J3610" s="116">
        <v>4.5</v>
      </c>
      <c r="K3610" s="118">
        <v>1960000</v>
      </c>
      <c r="L3610" s="119"/>
      <c r="M3610" s="118">
        <f t="shared" ref="M3610" si="3209">K3610*0.1</f>
        <v>196000</v>
      </c>
      <c r="N3610" s="119"/>
      <c r="O3610" s="118">
        <f>10100+1010</f>
        <v>11110</v>
      </c>
      <c r="P3610" s="119"/>
      <c r="Q3610" s="118">
        <v>8600</v>
      </c>
      <c r="R3610" s="119"/>
      <c r="S3610" s="118">
        <v>16500</v>
      </c>
      <c r="T3610" s="119"/>
      <c r="U3610" s="118">
        <f t="shared" ref="U3610" si="3210">SUM(K3610:T3611)</f>
        <v>2192210</v>
      </c>
      <c r="V3610" s="122"/>
      <c r="W3610" s="124"/>
      <c r="X3610" s="126" t="s">
        <v>11297</v>
      </c>
      <c r="Y3610" s="127"/>
      <c r="Z3610" s="127"/>
      <c r="AA3610" s="127"/>
      <c r="AB3610" s="128"/>
      <c r="AC3610" s="15" t="s">
        <v>20</v>
      </c>
      <c r="AD3610" s="129" t="s">
        <v>1633</v>
      </c>
      <c r="AE3610" s="130"/>
      <c r="AF3610" s="130"/>
      <c r="AG3610" s="130"/>
      <c r="AH3610" s="130"/>
      <c r="AI3610" s="131"/>
      <c r="AJ3610" s="132"/>
      <c r="AK3610" s="127"/>
      <c r="AL3610" s="128"/>
      <c r="AM3610" s="21"/>
      <c r="AN3610" s="133">
        <v>45987</v>
      </c>
      <c r="AO3610" s="134"/>
      <c r="AP3610" s="135">
        <v>994</v>
      </c>
      <c r="AQ3610" s="136"/>
      <c r="AR3610" s="118">
        <v>2040000</v>
      </c>
      <c r="AS3610" s="119"/>
      <c r="AT3610" s="118">
        <f t="shared" ref="AT3610" si="3211">AR3610*0.1</f>
        <v>204000</v>
      </c>
      <c r="AU3610" s="119"/>
      <c r="AV3610" s="118">
        <v>8600</v>
      </c>
      <c r="AW3610" s="119"/>
      <c r="AX3610" s="118">
        <f t="shared" ref="AX3610" si="3212">SUM(AR3610:AW3610)</f>
        <v>2252600</v>
      </c>
      <c r="AY3610" s="119"/>
      <c r="AZ3610" s="137">
        <v>45992</v>
      </c>
    </row>
    <row r="3611" spans="1:52" ht="17.100000000000001" customHeight="1" thickBot="1">
      <c r="A3611" s="110"/>
      <c r="B3611" s="27" t="s">
        <v>1747</v>
      </c>
      <c r="C3611" s="27">
        <v>703</v>
      </c>
      <c r="D3611" s="14" t="s">
        <v>2601</v>
      </c>
      <c r="E3611" s="112"/>
      <c r="F3611" s="139" t="s">
        <v>11296</v>
      </c>
      <c r="G3611" s="140"/>
      <c r="H3611" s="141"/>
      <c r="I3611" s="26">
        <v>28948</v>
      </c>
      <c r="J3611" s="117"/>
      <c r="K3611" s="120"/>
      <c r="L3611" s="121"/>
      <c r="M3611" s="120"/>
      <c r="N3611" s="121"/>
      <c r="O3611" s="120"/>
      <c r="P3611" s="121"/>
      <c r="Q3611" s="120"/>
      <c r="R3611" s="121"/>
      <c r="S3611" s="120"/>
      <c r="T3611" s="121"/>
      <c r="U3611" s="120"/>
      <c r="V3611" s="123"/>
      <c r="W3611" s="125"/>
      <c r="X3611" s="142" t="s">
        <v>11777</v>
      </c>
      <c r="Y3611" s="143"/>
      <c r="Z3611" s="143"/>
      <c r="AA3611" s="143"/>
      <c r="AB3611" s="144"/>
      <c r="AC3611" s="16" t="s">
        <v>21</v>
      </c>
      <c r="AD3611" s="17" t="s">
        <v>11774</v>
      </c>
      <c r="AE3611" s="145" t="s">
        <v>11778</v>
      </c>
      <c r="AF3611" s="146"/>
      <c r="AG3611" s="146"/>
      <c r="AH3611" s="146"/>
      <c r="AI3611" s="147"/>
      <c r="AJ3611" s="148"/>
      <c r="AK3611" s="143"/>
      <c r="AL3611" s="144"/>
      <c r="AM3611" s="22"/>
      <c r="AN3611" s="149" t="s">
        <v>11801</v>
      </c>
      <c r="AO3611" s="144"/>
      <c r="AP3611" s="148">
        <v>5047</v>
      </c>
      <c r="AQ3611" s="144"/>
      <c r="AR3611" s="120"/>
      <c r="AS3611" s="121"/>
      <c r="AT3611" s="120"/>
      <c r="AU3611" s="121"/>
      <c r="AV3611" s="120"/>
      <c r="AW3611" s="121"/>
      <c r="AX3611" s="120"/>
      <c r="AY3611" s="121"/>
      <c r="AZ3611" s="138"/>
    </row>
    <row r="3612" spans="1:52" ht="17.100000000000001" customHeight="1" thickTop="1">
      <c r="A3612" s="109" t="s">
        <v>11280</v>
      </c>
      <c r="B3612" s="28">
        <v>45981</v>
      </c>
      <c r="C3612" s="25">
        <v>1307</v>
      </c>
      <c r="D3612" s="13" t="s">
        <v>2759</v>
      </c>
      <c r="E3612" s="111"/>
      <c r="F3612" s="113" t="s">
        <v>11298</v>
      </c>
      <c r="G3612" s="114"/>
      <c r="H3612" s="115"/>
      <c r="I3612" s="24"/>
      <c r="J3612" s="116">
        <v>4.5</v>
      </c>
      <c r="K3612" s="118">
        <v>1975000</v>
      </c>
      <c r="L3612" s="119"/>
      <c r="M3612" s="118">
        <f t="shared" ref="M3612" si="3213">K3612*0.1</f>
        <v>197500</v>
      </c>
      <c r="N3612" s="119"/>
      <c r="O3612" s="118">
        <v>0</v>
      </c>
      <c r="P3612" s="119"/>
      <c r="Q3612" s="118">
        <v>21500</v>
      </c>
      <c r="R3612" s="119"/>
      <c r="S3612" s="118">
        <v>16500</v>
      </c>
      <c r="T3612" s="119"/>
      <c r="U3612" s="118">
        <f t="shared" ref="U3612" si="3214">SUM(K3612:T3613)</f>
        <v>2210500</v>
      </c>
      <c r="V3612" s="122"/>
      <c r="W3612" s="124"/>
      <c r="X3612" s="126" t="s">
        <v>11817</v>
      </c>
      <c r="Y3612" s="127"/>
      <c r="Z3612" s="127"/>
      <c r="AA3612" s="127"/>
      <c r="AB3612" s="128"/>
      <c r="AC3612" s="15" t="s">
        <v>20</v>
      </c>
      <c r="AD3612" s="129" t="s">
        <v>1633</v>
      </c>
      <c r="AE3612" s="130"/>
      <c r="AF3612" s="130"/>
      <c r="AG3612" s="130"/>
      <c r="AH3612" s="130"/>
      <c r="AI3612" s="131"/>
      <c r="AJ3612" s="132"/>
      <c r="AK3612" s="127"/>
      <c r="AL3612" s="128"/>
      <c r="AM3612" s="21"/>
      <c r="AN3612" s="133">
        <v>45990</v>
      </c>
      <c r="AO3612" s="134"/>
      <c r="AP3612" s="135">
        <v>1278</v>
      </c>
      <c r="AQ3612" s="136"/>
      <c r="AR3612" s="118">
        <v>2160000</v>
      </c>
      <c r="AS3612" s="119"/>
      <c r="AT3612" s="118">
        <f t="shared" ref="AT3612" si="3215">AR3612*0.1</f>
        <v>216000</v>
      </c>
      <c r="AU3612" s="119"/>
      <c r="AV3612" s="118">
        <v>21500</v>
      </c>
      <c r="AW3612" s="119"/>
      <c r="AX3612" s="118">
        <f t="shared" ref="AX3612" si="3216">SUM(AR3612:AW3612)</f>
        <v>2397500</v>
      </c>
      <c r="AY3612" s="119"/>
      <c r="AZ3612" s="137">
        <v>45994</v>
      </c>
    </row>
    <row r="3613" spans="1:52" ht="17.100000000000001" customHeight="1" thickBot="1">
      <c r="A3613" s="110"/>
      <c r="B3613" s="27" t="s">
        <v>1747</v>
      </c>
      <c r="C3613" s="27">
        <v>723</v>
      </c>
      <c r="D3613" s="14" t="s">
        <v>275</v>
      </c>
      <c r="E3613" s="112"/>
      <c r="F3613" s="139" t="s">
        <v>11291</v>
      </c>
      <c r="G3613" s="140"/>
      <c r="H3613" s="141"/>
      <c r="I3613" s="26">
        <v>57272</v>
      </c>
      <c r="J3613" s="117"/>
      <c r="K3613" s="120"/>
      <c r="L3613" s="121"/>
      <c r="M3613" s="120"/>
      <c r="N3613" s="121"/>
      <c r="O3613" s="120"/>
      <c r="P3613" s="121"/>
      <c r="Q3613" s="120"/>
      <c r="R3613" s="121"/>
      <c r="S3613" s="120"/>
      <c r="T3613" s="121"/>
      <c r="U3613" s="120"/>
      <c r="V3613" s="123"/>
      <c r="W3613" s="125"/>
      <c r="X3613" s="142" t="s">
        <v>1861</v>
      </c>
      <c r="Y3613" s="143"/>
      <c r="Z3613" s="143"/>
      <c r="AA3613" s="143"/>
      <c r="AB3613" s="144"/>
      <c r="AC3613" s="16" t="s">
        <v>21</v>
      </c>
      <c r="AD3613" s="17" t="s">
        <v>1723</v>
      </c>
      <c r="AE3613" s="145" t="s">
        <v>1742</v>
      </c>
      <c r="AF3613" s="146"/>
      <c r="AG3613" s="146"/>
      <c r="AH3613" s="146"/>
      <c r="AI3613" s="147"/>
      <c r="AJ3613" s="148"/>
      <c r="AK3613" s="143"/>
      <c r="AL3613" s="144"/>
      <c r="AM3613" s="22"/>
      <c r="AN3613" s="149" t="s">
        <v>2511</v>
      </c>
      <c r="AO3613" s="144"/>
      <c r="AP3613" s="148">
        <v>80010</v>
      </c>
      <c r="AQ3613" s="144"/>
      <c r="AR3613" s="120"/>
      <c r="AS3613" s="121"/>
      <c r="AT3613" s="120"/>
      <c r="AU3613" s="121"/>
      <c r="AV3613" s="120"/>
      <c r="AW3613" s="121"/>
      <c r="AX3613" s="120"/>
      <c r="AY3613" s="121"/>
      <c r="AZ3613" s="138"/>
    </row>
    <row r="3614" spans="1:52" ht="17.100000000000001" customHeight="1" thickTop="1">
      <c r="A3614" s="109" t="s">
        <v>11281</v>
      </c>
      <c r="B3614" s="28">
        <v>45981</v>
      </c>
      <c r="C3614" s="25">
        <v>1307</v>
      </c>
      <c r="D3614" s="13" t="s">
        <v>1744</v>
      </c>
      <c r="E3614" s="111"/>
      <c r="F3614" s="113" t="s">
        <v>11292</v>
      </c>
      <c r="G3614" s="114"/>
      <c r="H3614" s="115"/>
      <c r="I3614" s="24"/>
      <c r="J3614" s="116">
        <v>4.5</v>
      </c>
      <c r="K3614" s="118">
        <v>635000</v>
      </c>
      <c r="L3614" s="119"/>
      <c r="M3614" s="118">
        <f t="shared" ref="M3614" si="3217">K3614*0.1</f>
        <v>63500</v>
      </c>
      <c r="N3614" s="119"/>
      <c r="O3614" s="118">
        <v>0</v>
      </c>
      <c r="P3614" s="119"/>
      <c r="Q3614" s="118">
        <v>20170</v>
      </c>
      <c r="R3614" s="119"/>
      <c r="S3614" s="118">
        <v>16500</v>
      </c>
      <c r="T3614" s="119"/>
      <c r="U3614" s="118">
        <f t="shared" ref="U3614" si="3218">SUM(K3614:T3615)</f>
        <v>735170</v>
      </c>
      <c r="V3614" s="122"/>
      <c r="W3614" s="124"/>
      <c r="X3614" s="126" t="s">
        <v>11619</v>
      </c>
      <c r="Y3614" s="127"/>
      <c r="Z3614" s="127"/>
      <c r="AA3614" s="127"/>
      <c r="AB3614" s="128"/>
      <c r="AC3614" s="15" t="s">
        <v>20</v>
      </c>
      <c r="AD3614" s="129"/>
      <c r="AE3614" s="130"/>
      <c r="AF3614" s="130"/>
      <c r="AG3614" s="130"/>
      <c r="AH3614" s="130"/>
      <c r="AI3614" s="131"/>
      <c r="AJ3614" s="132"/>
      <c r="AK3614" s="127"/>
      <c r="AL3614" s="128"/>
      <c r="AM3614" s="21"/>
      <c r="AN3614" s="133">
        <v>46004</v>
      </c>
      <c r="AO3614" s="134"/>
      <c r="AP3614" s="135">
        <v>1280</v>
      </c>
      <c r="AQ3614" s="136"/>
      <c r="AR3614" s="118">
        <v>695000</v>
      </c>
      <c r="AS3614" s="119"/>
      <c r="AT3614" s="118">
        <f t="shared" ref="AT3614" si="3219">AR3614*0.1</f>
        <v>69500</v>
      </c>
      <c r="AU3614" s="119"/>
      <c r="AV3614" s="118">
        <v>20170</v>
      </c>
      <c r="AW3614" s="119"/>
      <c r="AX3614" s="118">
        <f t="shared" ref="AX3614" si="3220">SUM(AR3614:AW3614)</f>
        <v>784670</v>
      </c>
      <c r="AY3614" s="119"/>
      <c r="AZ3614" s="137">
        <v>46007</v>
      </c>
    </row>
    <row r="3615" spans="1:52" ht="17.100000000000001" customHeight="1" thickBot="1">
      <c r="A3615" s="110"/>
      <c r="B3615" s="27" t="s">
        <v>1747</v>
      </c>
      <c r="C3615" s="27">
        <v>806</v>
      </c>
      <c r="D3615" s="14" t="s">
        <v>904</v>
      </c>
      <c r="E3615" s="112"/>
      <c r="F3615" s="139" t="s">
        <v>11293</v>
      </c>
      <c r="G3615" s="140"/>
      <c r="H3615" s="141"/>
      <c r="I3615" s="26">
        <v>40164</v>
      </c>
      <c r="J3615" s="117"/>
      <c r="K3615" s="120"/>
      <c r="L3615" s="121"/>
      <c r="M3615" s="120"/>
      <c r="N3615" s="121"/>
      <c r="O3615" s="120"/>
      <c r="P3615" s="121"/>
      <c r="Q3615" s="120"/>
      <c r="R3615" s="121"/>
      <c r="S3615" s="120"/>
      <c r="T3615" s="121"/>
      <c r="U3615" s="120"/>
      <c r="V3615" s="123"/>
      <c r="W3615" s="125"/>
      <c r="X3615" s="142" t="s">
        <v>1861</v>
      </c>
      <c r="Y3615" s="143"/>
      <c r="Z3615" s="143"/>
      <c r="AA3615" s="143"/>
      <c r="AB3615" s="144"/>
      <c r="AC3615" s="16" t="s">
        <v>21</v>
      </c>
      <c r="AD3615" s="17" t="s">
        <v>2224</v>
      </c>
      <c r="AE3615" s="145" t="s">
        <v>2441</v>
      </c>
      <c r="AF3615" s="146"/>
      <c r="AG3615" s="146"/>
      <c r="AH3615" s="146"/>
      <c r="AI3615" s="147"/>
      <c r="AJ3615" s="148"/>
      <c r="AK3615" s="143"/>
      <c r="AL3615" s="144"/>
      <c r="AM3615" s="22"/>
      <c r="AN3615" s="149" t="s">
        <v>7284</v>
      </c>
      <c r="AO3615" s="144"/>
      <c r="AP3615" s="148">
        <v>80244</v>
      </c>
      <c r="AQ3615" s="144"/>
      <c r="AR3615" s="120"/>
      <c r="AS3615" s="121"/>
      <c r="AT3615" s="120"/>
      <c r="AU3615" s="121"/>
      <c r="AV3615" s="120"/>
      <c r="AW3615" s="121"/>
      <c r="AX3615" s="120"/>
      <c r="AY3615" s="121"/>
      <c r="AZ3615" s="138"/>
    </row>
    <row r="3616" spans="1:52" ht="17.100000000000001" customHeight="1" thickTop="1">
      <c r="A3616" s="109" t="s">
        <v>11346</v>
      </c>
      <c r="B3616" s="28">
        <v>45982</v>
      </c>
      <c r="C3616" s="25">
        <v>267</v>
      </c>
      <c r="D3616" s="13" t="s">
        <v>1697</v>
      </c>
      <c r="E3616" s="111"/>
      <c r="F3616" s="113" t="s">
        <v>9038</v>
      </c>
      <c r="G3616" s="114"/>
      <c r="H3616" s="115"/>
      <c r="I3616" s="24"/>
      <c r="J3616" s="116">
        <v>5</v>
      </c>
      <c r="K3616" s="118">
        <v>1196000</v>
      </c>
      <c r="L3616" s="119"/>
      <c r="M3616" s="118">
        <f t="shared" ref="M3616" si="3221">K3616*0.1</f>
        <v>119600</v>
      </c>
      <c r="N3616" s="119"/>
      <c r="O3616" s="118">
        <v>0</v>
      </c>
      <c r="P3616" s="119"/>
      <c r="Q3616" s="118">
        <v>6850</v>
      </c>
      <c r="R3616" s="119"/>
      <c r="S3616" s="118">
        <v>22000</v>
      </c>
      <c r="T3616" s="119"/>
      <c r="U3616" s="118">
        <f t="shared" ref="U3616" si="3222">SUM(K3616:T3617)</f>
        <v>1344450</v>
      </c>
      <c r="V3616" s="122"/>
      <c r="W3616" s="124"/>
      <c r="X3616" s="126" t="s">
        <v>11795</v>
      </c>
      <c r="Y3616" s="127"/>
      <c r="Z3616" s="127"/>
      <c r="AA3616" s="127"/>
      <c r="AB3616" s="128"/>
      <c r="AC3616" s="15" t="s">
        <v>20</v>
      </c>
      <c r="AD3616" s="129"/>
      <c r="AE3616" s="130"/>
      <c r="AF3616" s="130"/>
      <c r="AG3616" s="130"/>
      <c r="AH3616" s="130"/>
      <c r="AI3616" s="131"/>
      <c r="AJ3616" s="132"/>
      <c r="AK3616" s="127"/>
      <c r="AL3616" s="128"/>
      <c r="AM3616" s="21"/>
      <c r="AN3616" s="133">
        <v>45986</v>
      </c>
      <c r="AO3616" s="134"/>
      <c r="AP3616" s="135">
        <v>1919</v>
      </c>
      <c r="AQ3616" s="136"/>
      <c r="AR3616" s="118">
        <v>1264000</v>
      </c>
      <c r="AS3616" s="119"/>
      <c r="AT3616" s="118">
        <f t="shared" ref="AT3616" si="3223">AR3616*0.1</f>
        <v>126400</v>
      </c>
      <c r="AU3616" s="119"/>
      <c r="AV3616" s="118">
        <v>6850</v>
      </c>
      <c r="AW3616" s="119"/>
      <c r="AX3616" s="118">
        <f t="shared" ref="AX3616" si="3224">SUM(AR3616:AW3616)</f>
        <v>1397250</v>
      </c>
      <c r="AY3616" s="119"/>
      <c r="AZ3616" s="137"/>
    </row>
    <row r="3617" spans="1:52" ht="17.100000000000001" customHeight="1" thickBot="1">
      <c r="A3617" s="110"/>
      <c r="B3617" s="27" t="s">
        <v>5050</v>
      </c>
      <c r="C3617" s="27">
        <v>47</v>
      </c>
      <c r="D3617" s="14" t="s">
        <v>1812</v>
      </c>
      <c r="E3617" s="112"/>
      <c r="F3617" s="139" t="s">
        <v>11303</v>
      </c>
      <c r="G3617" s="140"/>
      <c r="H3617" s="141"/>
      <c r="I3617" s="26">
        <v>33578</v>
      </c>
      <c r="J3617" s="117"/>
      <c r="K3617" s="120"/>
      <c r="L3617" s="121"/>
      <c r="M3617" s="120"/>
      <c r="N3617" s="121"/>
      <c r="O3617" s="120"/>
      <c r="P3617" s="121"/>
      <c r="Q3617" s="120"/>
      <c r="R3617" s="121"/>
      <c r="S3617" s="120"/>
      <c r="T3617" s="121"/>
      <c r="U3617" s="120"/>
      <c r="V3617" s="123"/>
      <c r="W3617" s="125"/>
      <c r="X3617" s="142" t="s">
        <v>11796</v>
      </c>
      <c r="Y3617" s="143"/>
      <c r="Z3617" s="143"/>
      <c r="AA3617" s="143"/>
      <c r="AB3617" s="144"/>
      <c r="AC3617" s="16" t="s">
        <v>21</v>
      </c>
      <c r="AD3617" s="17" t="s">
        <v>11774</v>
      </c>
      <c r="AE3617" s="145"/>
      <c r="AF3617" s="146"/>
      <c r="AG3617" s="146"/>
      <c r="AH3617" s="146"/>
      <c r="AI3617" s="147"/>
      <c r="AJ3617" s="148"/>
      <c r="AK3617" s="143"/>
      <c r="AL3617" s="144"/>
      <c r="AM3617" s="22"/>
      <c r="AN3617" s="149" t="s">
        <v>11650</v>
      </c>
      <c r="AO3617" s="144"/>
      <c r="AP3617" s="148">
        <v>3389</v>
      </c>
      <c r="AQ3617" s="144"/>
      <c r="AR3617" s="120"/>
      <c r="AS3617" s="121"/>
      <c r="AT3617" s="120"/>
      <c r="AU3617" s="121"/>
      <c r="AV3617" s="120"/>
      <c r="AW3617" s="121"/>
      <c r="AX3617" s="120"/>
      <c r="AY3617" s="121"/>
      <c r="AZ3617" s="138"/>
    </row>
    <row r="3618" spans="1:52" ht="17.100000000000001" customHeight="1" thickTop="1">
      <c r="A3618" s="151" t="s">
        <v>11347</v>
      </c>
      <c r="B3618" s="28">
        <v>45982</v>
      </c>
      <c r="C3618" s="25">
        <v>267</v>
      </c>
      <c r="D3618" s="13" t="s">
        <v>2059</v>
      </c>
      <c r="E3618" s="111"/>
      <c r="F3618" s="113" t="s">
        <v>11304</v>
      </c>
      <c r="G3618" s="114"/>
      <c r="H3618" s="115"/>
      <c r="I3618" s="24" t="s">
        <v>4096</v>
      </c>
      <c r="J3618" s="116">
        <v>4.5</v>
      </c>
      <c r="K3618" s="118">
        <v>602000</v>
      </c>
      <c r="L3618" s="119"/>
      <c r="M3618" s="118">
        <f t="shared" ref="M3618" si="3225">K3618*0.1</f>
        <v>60200</v>
      </c>
      <c r="N3618" s="119"/>
      <c r="O3618" s="118">
        <v>0</v>
      </c>
      <c r="P3618" s="119"/>
      <c r="Q3618" s="118">
        <v>8950</v>
      </c>
      <c r="R3618" s="119"/>
      <c r="S3618" s="118">
        <v>22000</v>
      </c>
      <c r="T3618" s="119"/>
      <c r="U3618" s="118">
        <f t="shared" ref="U3618" si="3226">SUM(K3618:T3619)</f>
        <v>693150</v>
      </c>
      <c r="V3618" s="122"/>
      <c r="W3618" s="124"/>
      <c r="X3618" s="126" t="s">
        <v>12038</v>
      </c>
      <c r="Y3618" s="127"/>
      <c r="Z3618" s="127"/>
      <c r="AA3618" s="127"/>
      <c r="AB3618" s="128"/>
      <c r="AC3618" s="15" t="s">
        <v>20</v>
      </c>
      <c r="AD3618" s="129" t="s">
        <v>3896</v>
      </c>
      <c r="AE3618" s="130"/>
      <c r="AF3618" s="130"/>
      <c r="AG3618" s="130"/>
      <c r="AH3618" s="130"/>
      <c r="AI3618" s="131"/>
      <c r="AJ3618" s="132"/>
      <c r="AK3618" s="127"/>
      <c r="AL3618" s="128"/>
      <c r="AM3618" s="21" t="s">
        <v>13043</v>
      </c>
      <c r="AN3618" s="133">
        <v>46039</v>
      </c>
      <c r="AO3618" s="134"/>
      <c r="AP3618" s="135">
        <v>1284</v>
      </c>
      <c r="AQ3618" s="136"/>
      <c r="AR3618" s="118">
        <v>630000</v>
      </c>
      <c r="AS3618" s="119"/>
      <c r="AT3618" s="118">
        <f t="shared" ref="AT3618" si="3227">AR3618*0.1</f>
        <v>63000</v>
      </c>
      <c r="AU3618" s="119"/>
      <c r="AV3618" s="118">
        <v>8950</v>
      </c>
      <c r="AW3618" s="119"/>
      <c r="AX3618" s="118">
        <f t="shared" ref="AX3618" si="3228">SUM(AR3618:AW3618)</f>
        <v>701950</v>
      </c>
      <c r="AY3618" s="119"/>
      <c r="AZ3618" s="137">
        <v>46042</v>
      </c>
    </row>
    <row r="3619" spans="1:52" ht="17.100000000000001" customHeight="1" thickBot="1">
      <c r="A3619" s="152"/>
      <c r="B3619" s="27" t="s">
        <v>5050</v>
      </c>
      <c r="C3619" s="27">
        <v>135</v>
      </c>
      <c r="D3619" s="14" t="s">
        <v>1720</v>
      </c>
      <c r="E3619" s="112"/>
      <c r="F3619" s="139" t="s">
        <v>11305</v>
      </c>
      <c r="G3619" s="140"/>
      <c r="H3619" s="141"/>
      <c r="I3619" s="26">
        <v>63762</v>
      </c>
      <c r="J3619" s="117"/>
      <c r="K3619" s="120"/>
      <c r="L3619" s="121"/>
      <c r="M3619" s="120"/>
      <c r="N3619" s="121"/>
      <c r="O3619" s="120"/>
      <c r="P3619" s="121"/>
      <c r="Q3619" s="120"/>
      <c r="R3619" s="121"/>
      <c r="S3619" s="120"/>
      <c r="T3619" s="121"/>
      <c r="U3619" s="120"/>
      <c r="V3619" s="123"/>
      <c r="W3619" s="125"/>
      <c r="X3619" s="142" t="s">
        <v>2659</v>
      </c>
      <c r="Y3619" s="143"/>
      <c r="Z3619" s="143"/>
      <c r="AA3619" s="143"/>
      <c r="AB3619" s="144"/>
      <c r="AC3619" s="16" t="s">
        <v>21</v>
      </c>
      <c r="AD3619" s="17" t="s">
        <v>12001</v>
      </c>
      <c r="AE3619" s="145" t="s">
        <v>3896</v>
      </c>
      <c r="AF3619" s="146"/>
      <c r="AG3619" s="146"/>
      <c r="AH3619" s="146"/>
      <c r="AI3619" s="147"/>
      <c r="AJ3619" s="148"/>
      <c r="AK3619" s="143"/>
      <c r="AL3619" s="144"/>
      <c r="AM3619" s="22"/>
      <c r="AN3619" s="149" t="s">
        <v>7284</v>
      </c>
      <c r="AO3619" s="144"/>
      <c r="AP3619" s="148">
        <v>60117</v>
      </c>
      <c r="AQ3619" s="144"/>
      <c r="AR3619" s="120"/>
      <c r="AS3619" s="121"/>
      <c r="AT3619" s="120"/>
      <c r="AU3619" s="121"/>
      <c r="AV3619" s="120"/>
      <c r="AW3619" s="121"/>
      <c r="AX3619" s="120"/>
      <c r="AY3619" s="121"/>
      <c r="AZ3619" s="138"/>
    </row>
    <row r="3620" spans="1:52" ht="17.100000000000001" customHeight="1" thickTop="1">
      <c r="A3620" s="109" t="s">
        <v>11348</v>
      </c>
      <c r="B3620" s="28">
        <v>45982</v>
      </c>
      <c r="C3620" s="25">
        <v>2111</v>
      </c>
      <c r="D3620" s="13" t="s">
        <v>1902</v>
      </c>
      <c r="E3620" s="111"/>
      <c r="F3620" s="113" t="s">
        <v>11306</v>
      </c>
      <c r="G3620" s="114"/>
      <c r="H3620" s="115"/>
      <c r="I3620" s="24"/>
      <c r="J3620" s="116">
        <v>4.5</v>
      </c>
      <c r="K3620" s="118">
        <v>1250000</v>
      </c>
      <c r="L3620" s="119"/>
      <c r="M3620" s="118">
        <f t="shared" ref="M3620" si="3229">K3620*0.1</f>
        <v>125000</v>
      </c>
      <c r="N3620" s="119"/>
      <c r="O3620" s="118">
        <v>0</v>
      </c>
      <c r="P3620" s="119"/>
      <c r="Q3620" s="118">
        <v>11810</v>
      </c>
      <c r="R3620" s="119"/>
      <c r="S3620" s="118">
        <v>16500</v>
      </c>
      <c r="T3620" s="119"/>
      <c r="U3620" s="118">
        <f t="shared" ref="U3620" si="3230">SUM(K3620:T3621)</f>
        <v>1403310</v>
      </c>
      <c r="V3620" s="122"/>
      <c r="W3620" s="124"/>
      <c r="X3620" s="126" t="s">
        <v>11813</v>
      </c>
      <c r="Y3620" s="127"/>
      <c r="Z3620" s="127"/>
      <c r="AA3620" s="127"/>
      <c r="AB3620" s="128"/>
      <c r="AC3620" s="15" t="s">
        <v>20</v>
      </c>
      <c r="AD3620" s="129" t="s">
        <v>3412</v>
      </c>
      <c r="AE3620" s="130"/>
      <c r="AF3620" s="130"/>
      <c r="AG3620" s="130"/>
      <c r="AH3620" s="130"/>
      <c r="AI3620" s="131"/>
      <c r="AJ3620" s="132"/>
      <c r="AK3620" s="127"/>
      <c r="AL3620" s="128"/>
      <c r="AM3620" s="21"/>
      <c r="AN3620" s="133">
        <v>45997</v>
      </c>
      <c r="AO3620" s="134"/>
      <c r="AP3620" s="135">
        <v>1279</v>
      </c>
      <c r="AQ3620" s="136"/>
      <c r="AR3620" s="118">
        <v>1300000</v>
      </c>
      <c r="AS3620" s="119"/>
      <c r="AT3620" s="118">
        <f t="shared" ref="AT3620" si="3231">AR3620*0.1</f>
        <v>130000</v>
      </c>
      <c r="AU3620" s="119"/>
      <c r="AV3620" s="118">
        <v>11810</v>
      </c>
      <c r="AW3620" s="119"/>
      <c r="AX3620" s="118">
        <f t="shared" ref="AX3620" si="3232">SUM(AR3620:AW3620)</f>
        <v>1441810</v>
      </c>
      <c r="AY3620" s="119"/>
      <c r="AZ3620" s="137">
        <v>46000</v>
      </c>
    </row>
    <row r="3621" spans="1:52" ht="17.100000000000001" customHeight="1" thickBot="1">
      <c r="A3621" s="110"/>
      <c r="B3621" s="27" t="s">
        <v>1543</v>
      </c>
      <c r="C3621" s="27">
        <v>58076</v>
      </c>
      <c r="D3621" s="14" t="s">
        <v>904</v>
      </c>
      <c r="E3621" s="112"/>
      <c r="F3621" s="139" t="s">
        <v>11307</v>
      </c>
      <c r="G3621" s="140"/>
      <c r="H3621" s="141"/>
      <c r="I3621" s="26">
        <v>18963</v>
      </c>
      <c r="J3621" s="117"/>
      <c r="K3621" s="120"/>
      <c r="L3621" s="121"/>
      <c r="M3621" s="120"/>
      <c r="N3621" s="121"/>
      <c r="O3621" s="120"/>
      <c r="P3621" s="121"/>
      <c r="Q3621" s="120"/>
      <c r="R3621" s="121"/>
      <c r="S3621" s="120"/>
      <c r="T3621" s="121"/>
      <c r="U3621" s="120"/>
      <c r="V3621" s="123"/>
      <c r="W3621" s="125"/>
      <c r="X3621" s="142" t="s">
        <v>4167</v>
      </c>
      <c r="Y3621" s="143"/>
      <c r="Z3621" s="143"/>
      <c r="AA3621" s="143"/>
      <c r="AB3621" s="144"/>
      <c r="AC3621" s="16" t="s">
        <v>21</v>
      </c>
      <c r="AD3621" s="17" t="s">
        <v>1723</v>
      </c>
      <c r="AE3621" s="145" t="s">
        <v>3412</v>
      </c>
      <c r="AF3621" s="146"/>
      <c r="AG3621" s="146"/>
      <c r="AH3621" s="146"/>
      <c r="AI3621" s="147"/>
      <c r="AJ3621" s="148"/>
      <c r="AK3621" s="143"/>
      <c r="AL3621" s="144"/>
      <c r="AM3621" s="22"/>
      <c r="AN3621" s="149" t="s">
        <v>2511</v>
      </c>
      <c r="AO3621" s="144"/>
      <c r="AP3621" s="148">
        <v>80381</v>
      </c>
      <c r="AQ3621" s="144"/>
      <c r="AR3621" s="120"/>
      <c r="AS3621" s="121"/>
      <c r="AT3621" s="120"/>
      <c r="AU3621" s="121"/>
      <c r="AV3621" s="120"/>
      <c r="AW3621" s="121"/>
      <c r="AX3621" s="120"/>
      <c r="AY3621" s="121"/>
      <c r="AZ3621" s="138"/>
    </row>
    <row r="3622" spans="1:52" ht="17.100000000000001" customHeight="1" thickTop="1">
      <c r="A3622" s="151" t="s">
        <v>11349</v>
      </c>
      <c r="B3622" s="28">
        <v>45982</v>
      </c>
      <c r="C3622" s="25">
        <v>2111</v>
      </c>
      <c r="D3622" s="13" t="s">
        <v>1760</v>
      </c>
      <c r="E3622" s="111"/>
      <c r="F3622" s="113" t="s">
        <v>11308</v>
      </c>
      <c r="G3622" s="114"/>
      <c r="H3622" s="115"/>
      <c r="I3622" s="24" t="s">
        <v>11310</v>
      </c>
      <c r="J3622" s="116">
        <v>5</v>
      </c>
      <c r="K3622" s="118">
        <v>1550000</v>
      </c>
      <c r="L3622" s="119"/>
      <c r="M3622" s="118">
        <f t="shared" ref="M3622" si="3233">K3622*0.1</f>
        <v>155000</v>
      </c>
      <c r="N3622" s="119"/>
      <c r="O3622" s="118">
        <f>8300+830</f>
        <v>9130</v>
      </c>
      <c r="P3622" s="119"/>
      <c r="Q3622" s="118">
        <v>12470</v>
      </c>
      <c r="R3622" s="119"/>
      <c r="S3622" s="118">
        <v>16500</v>
      </c>
      <c r="T3622" s="119"/>
      <c r="U3622" s="118">
        <f t="shared" ref="U3622" si="3234">SUM(K3622:T3623)</f>
        <v>1743100</v>
      </c>
      <c r="V3622" s="122"/>
      <c r="W3622" s="124"/>
      <c r="X3622" s="126" t="s">
        <v>11311</v>
      </c>
      <c r="Y3622" s="127"/>
      <c r="Z3622" s="127"/>
      <c r="AA3622" s="127"/>
      <c r="AB3622" s="128"/>
      <c r="AC3622" s="15" t="s">
        <v>20</v>
      </c>
      <c r="AD3622" s="129" t="s">
        <v>3412</v>
      </c>
      <c r="AE3622" s="130"/>
      <c r="AF3622" s="130"/>
      <c r="AG3622" s="130"/>
      <c r="AH3622" s="130"/>
      <c r="AI3622" s="131"/>
      <c r="AJ3622" s="132"/>
      <c r="AK3622" s="127"/>
      <c r="AL3622" s="128"/>
      <c r="AM3622" s="21" t="s">
        <v>12773</v>
      </c>
      <c r="AN3622" s="133">
        <v>46039</v>
      </c>
      <c r="AO3622" s="134"/>
      <c r="AP3622" s="135">
        <v>1284</v>
      </c>
      <c r="AQ3622" s="136"/>
      <c r="AR3622" s="118">
        <v>1630000</v>
      </c>
      <c r="AS3622" s="119"/>
      <c r="AT3622" s="118">
        <f t="shared" ref="AT3622" si="3235">AR3622*0.1</f>
        <v>163000</v>
      </c>
      <c r="AU3622" s="119"/>
      <c r="AV3622" s="118">
        <v>12470</v>
      </c>
      <c r="AW3622" s="119"/>
      <c r="AX3622" s="118">
        <f t="shared" ref="AX3622" si="3236">SUM(AR3622:AW3622)</f>
        <v>1805470</v>
      </c>
      <c r="AY3622" s="119"/>
      <c r="AZ3622" s="137">
        <v>46042</v>
      </c>
    </row>
    <row r="3623" spans="1:52" ht="17.100000000000001" customHeight="1" thickBot="1">
      <c r="A3623" s="152"/>
      <c r="B3623" s="27" t="s">
        <v>1543</v>
      </c>
      <c r="C3623" s="27">
        <v>58226</v>
      </c>
      <c r="D3623" s="14" t="s">
        <v>2601</v>
      </c>
      <c r="E3623" s="112"/>
      <c r="F3623" s="139" t="s">
        <v>11309</v>
      </c>
      <c r="G3623" s="140"/>
      <c r="H3623" s="141"/>
      <c r="I3623" s="26">
        <v>11634</v>
      </c>
      <c r="J3623" s="117"/>
      <c r="K3623" s="120"/>
      <c r="L3623" s="121"/>
      <c r="M3623" s="120"/>
      <c r="N3623" s="121"/>
      <c r="O3623" s="120"/>
      <c r="P3623" s="121"/>
      <c r="Q3623" s="120"/>
      <c r="R3623" s="121"/>
      <c r="S3623" s="120"/>
      <c r="T3623" s="121"/>
      <c r="U3623" s="120"/>
      <c r="V3623" s="123"/>
      <c r="W3623" s="125"/>
      <c r="X3623" s="142" t="s">
        <v>9116</v>
      </c>
      <c r="Y3623" s="143"/>
      <c r="Z3623" s="143"/>
      <c r="AA3623" s="143"/>
      <c r="AB3623" s="144"/>
      <c r="AC3623" s="16" t="s">
        <v>21</v>
      </c>
      <c r="AD3623" s="17" t="s">
        <v>12054</v>
      </c>
      <c r="AE3623" s="145" t="s">
        <v>7432</v>
      </c>
      <c r="AF3623" s="146"/>
      <c r="AG3623" s="146"/>
      <c r="AH3623" s="146"/>
      <c r="AI3623" s="147"/>
      <c r="AJ3623" s="148"/>
      <c r="AK3623" s="143"/>
      <c r="AL3623" s="144"/>
      <c r="AM3623" s="22"/>
      <c r="AN3623" s="149" t="s">
        <v>7284</v>
      </c>
      <c r="AO3623" s="144"/>
      <c r="AP3623" s="148">
        <v>80025</v>
      </c>
      <c r="AQ3623" s="144"/>
      <c r="AR3623" s="120"/>
      <c r="AS3623" s="121"/>
      <c r="AT3623" s="120"/>
      <c r="AU3623" s="121"/>
      <c r="AV3623" s="120"/>
      <c r="AW3623" s="121"/>
      <c r="AX3623" s="120"/>
      <c r="AY3623" s="121"/>
      <c r="AZ3623" s="138"/>
    </row>
    <row r="3624" spans="1:52" ht="17.100000000000001" customHeight="1" thickTop="1">
      <c r="A3624" s="109" t="s">
        <v>11350</v>
      </c>
      <c r="B3624" s="28">
        <v>45982</v>
      </c>
      <c r="C3624" s="25">
        <v>2111</v>
      </c>
      <c r="D3624" s="13" t="s">
        <v>1953</v>
      </c>
      <c r="E3624" s="111"/>
      <c r="F3624" s="113" t="s">
        <v>11332</v>
      </c>
      <c r="G3624" s="114"/>
      <c r="H3624" s="115"/>
      <c r="I3624" s="24" t="s">
        <v>3923</v>
      </c>
      <c r="J3624" s="116">
        <v>4</v>
      </c>
      <c r="K3624" s="118">
        <v>1420000</v>
      </c>
      <c r="L3624" s="119"/>
      <c r="M3624" s="118">
        <f t="shared" ref="M3624" si="3237">K3624*0.1</f>
        <v>142000</v>
      </c>
      <c r="N3624" s="119"/>
      <c r="O3624" s="118">
        <f>13100+1310</f>
        <v>14410</v>
      </c>
      <c r="P3624" s="119"/>
      <c r="Q3624" s="118">
        <v>19880</v>
      </c>
      <c r="R3624" s="119"/>
      <c r="S3624" s="118">
        <v>16500</v>
      </c>
      <c r="T3624" s="119"/>
      <c r="U3624" s="118">
        <f t="shared" ref="U3624" si="3238">SUM(K3624:T3625)</f>
        <v>1612790</v>
      </c>
      <c r="V3624" s="122"/>
      <c r="W3624" s="124"/>
      <c r="X3624" s="126" t="s">
        <v>11334</v>
      </c>
      <c r="Y3624" s="127"/>
      <c r="Z3624" s="127"/>
      <c r="AA3624" s="127"/>
      <c r="AB3624" s="128"/>
      <c r="AC3624" s="15" t="s">
        <v>20</v>
      </c>
      <c r="AD3624" s="129"/>
      <c r="AE3624" s="130"/>
      <c r="AF3624" s="130"/>
      <c r="AG3624" s="130"/>
      <c r="AH3624" s="130"/>
      <c r="AI3624" s="131"/>
      <c r="AJ3624" s="132"/>
      <c r="AK3624" s="127"/>
      <c r="AL3624" s="128"/>
      <c r="AM3624" s="21"/>
      <c r="AN3624" s="133">
        <v>45988</v>
      </c>
      <c r="AO3624" s="134"/>
      <c r="AP3624" s="135">
        <v>1308</v>
      </c>
      <c r="AQ3624" s="136"/>
      <c r="AR3624" s="118">
        <v>1570000</v>
      </c>
      <c r="AS3624" s="119"/>
      <c r="AT3624" s="118">
        <f t="shared" ref="AT3624" si="3239">AR3624*0.1</f>
        <v>157000</v>
      </c>
      <c r="AU3624" s="119"/>
      <c r="AV3624" s="118">
        <v>19880</v>
      </c>
      <c r="AW3624" s="119"/>
      <c r="AX3624" s="118">
        <f t="shared" ref="AX3624" si="3240">SUM(AR3624:AW3624)</f>
        <v>1746880</v>
      </c>
      <c r="AY3624" s="119"/>
      <c r="AZ3624" s="137">
        <v>45989</v>
      </c>
    </row>
    <row r="3625" spans="1:52" ht="17.100000000000001" customHeight="1" thickBot="1">
      <c r="A3625" s="110"/>
      <c r="B3625" s="27" t="s">
        <v>1543</v>
      </c>
      <c r="C3625" s="27">
        <v>58835</v>
      </c>
      <c r="D3625" s="14" t="s">
        <v>2601</v>
      </c>
      <c r="E3625" s="112"/>
      <c r="F3625" s="139" t="s">
        <v>11333</v>
      </c>
      <c r="G3625" s="140"/>
      <c r="H3625" s="141"/>
      <c r="I3625" s="26">
        <v>49292</v>
      </c>
      <c r="J3625" s="117"/>
      <c r="K3625" s="120"/>
      <c r="L3625" s="121"/>
      <c r="M3625" s="120"/>
      <c r="N3625" s="121"/>
      <c r="O3625" s="120"/>
      <c r="P3625" s="121"/>
      <c r="Q3625" s="120"/>
      <c r="R3625" s="121"/>
      <c r="S3625" s="120"/>
      <c r="T3625" s="121"/>
      <c r="U3625" s="120"/>
      <c r="V3625" s="123"/>
      <c r="W3625" s="125"/>
      <c r="X3625" s="142" t="s">
        <v>11814</v>
      </c>
      <c r="Y3625" s="143"/>
      <c r="Z3625" s="143"/>
      <c r="AA3625" s="143"/>
      <c r="AB3625" s="144"/>
      <c r="AC3625" s="16" t="s">
        <v>21</v>
      </c>
      <c r="AD3625" s="17" t="s">
        <v>1723</v>
      </c>
      <c r="AE3625" s="145" t="s">
        <v>12122</v>
      </c>
      <c r="AF3625" s="146"/>
      <c r="AG3625" s="146"/>
      <c r="AH3625" s="146"/>
      <c r="AI3625" s="147"/>
      <c r="AJ3625" s="148"/>
      <c r="AK3625" s="143"/>
      <c r="AL3625" s="144"/>
      <c r="AM3625" s="22"/>
      <c r="AN3625" s="149" t="s">
        <v>1747</v>
      </c>
      <c r="AO3625" s="144"/>
      <c r="AP3625" s="148">
        <v>27</v>
      </c>
      <c r="AQ3625" s="144"/>
      <c r="AR3625" s="120"/>
      <c r="AS3625" s="121"/>
      <c r="AT3625" s="120"/>
      <c r="AU3625" s="121"/>
      <c r="AV3625" s="120"/>
      <c r="AW3625" s="121"/>
      <c r="AX3625" s="120"/>
      <c r="AY3625" s="121"/>
      <c r="AZ3625" s="138"/>
    </row>
    <row r="3626" spans="1:52" ht="17.100000000000001" customHeight="1" thickTop="1">
      <c r="A3626" s="109" t="s">
        <v>11351</v>
      </c>
      <c r="B3626" s="28">
        <v>45982</v>
      </c>
      <c r="C3626" s="25">
        <v>2111</v>
      </c>
      <c r="D3626" s="13" t="s">
        <v>1695</v>
      </c>
      <c r="E3626" s="111"/>
      <c r="F3626" s="113" t="s">
        <v>11335</v>
      </c>
      <c r="G3626" s="114"/>
      <c r="H3626" s="115"/>
      <c r="I3626" s="24"/>
      <c r="J3626" s="116">
        <v>4</v>
      </c>
      <c r="K3626" s="118">
        <v>640000</v>
      </c>
      <c r="L3626" s="119"/>
      <c r="M3626" s="118">
        <f t="shared" ref="M3626" si="3241">K3626*0.1</f>
        <v>64000</v>
      </c>
      <c r="N3626" s="119"/>
      <c r="O3626" s="118">
        <v>0</v>
      </c>
      <c r="P3626" s="119"/>
      <c r="Q3626" s="118">
        <v>11850</v>
      </c>
      <c r="R3626" s="119"/>
      <c r="S3626" s="118">
        <v>16500</v>
      </c>
      <c r="T3626" s="119"/>
      <c r="U3626" s="118">
        <f t="shared" ref="U3626" si="3242">SUM(K3626:T3627)</f>
        <v>732350</v>
      </c>
      <c r="V3626" s="122"/>
      <c r="W3626" s="124"/>
      <c r="X3626" s="126" t="s">
        <v>12018</v>
      </c>
      <c r="Y3626" s="127"/>
      <c r="Z3626" s="127"/>
      <c r="AA3626" s="127"/>
      <c r="AB3626" s="128"/>
      <c r="AC3626" s="15" t="s">
        <v>20</v>
      </c>
      <c r="AD3626" s="129" t="s">
        <v>1633</v>
      </c>
      <c r="AE3626" s="130"/>
      <c r="AF3626" s="130"/>
      <c r="AG3626" s="130"/>
      <c r="AH3626" s="130"/>
      <c r="AI3626" s="131"/>
      <c r="AJ3626" s="132"/>
      <c r="AK3626" s="127"/>
      <c r="AL3626" s="128"/>
      <c r="AM3626" s="21"/>
      <c r="AN3626" s="133">
        <v>45988</v>
      </c>
      <c r="AO3626" s="134"/>
      <c r="AP3626" s="135">
        <v>1308</v>
      </c>
      <c r="AQ3626" s="136"/>
      <c r="AR3626" s="118">
        <v>755000</v>
      </c>
      <c r="AS3626" s="119"/>
      <c r="AT3626" s="118">
        <f t="shared" ref="AT3626" si="3243">AR3626*0.1</f>
        <v>75500</v>
      </c>
      <c r="AU3626" s="119"/>
      <c r="AV3626" s="118">
        <v>11850</v>
      </c>
      <c r="AW3626" s="119"/>
      <c r="AX3626" s="118">
        <v>842350</v>
      </c>
      <c r="AY3626" s="119"/>
      <c r="AZ3626" s="137">
        <v>45989</v>
      </c>
    </row>
    <row r="3627" spans="1:52" ht="17.100000000000001" customHeight="1" thickBot="1">
      <c r="A3627" s="110"/>
      <c r="B3627" s="27" t="s">
        <v>1543</v>
      </c>
      <c r="C3627" s="27">
        <v>58853</v>
      </c>
      <c r="D3627" s="14" t="s">
        <v>904</v>
      </c>
      <c r="E3627" s="112"/>
      <c r="F3627" s="139" t="s">
        <v>11336</v>
      </c>
      <c r="G3627" s="140"/>
      <c r="H3627" s="141"/>
      <c r="I3627" s="26">
        <v>46000</v>
      </c>
      <c r="J3627" s="117"/>
      <c r="K3627" s="120"/>
      <c r="L3627" s="121"/>
      <c r="M3627" s="120"/>
      <c r="N3627" s="121"/>
      <c r="O3627" s="120"/>
      <c r="P3627" s="121"/>
      <c r="Q3627" s="120"/>
      <c r="R3627" s="121"/>
      <c r="S3627" s="120"/>
      <c r="T3627" s="121"/>
      <c r="U3627" s="120"/>
      <c r="V3627" s="123"/>
      <c r="W3627" s="125"/>
      <c r="X3627" s="142" t="s">
        <v>12019</v>
      </c>
      <c r="Y3627" s="143"/>
      <c r="Z3627" s="143"/>
      <c r="AA3627" s="143"/>
      <c r="AB3627" s="144"/>
      <c r="AC3627" s="16" t="s">
        <v>21</v>
      </c>
      <c r="AD3627" s="17" t="s">
        <v>12001</v>
      </c>
      <c r="AE3627" s="145" t="s">
        <v>1742</v>
      </c>
      <c r="AF3627" s="146"/>
      <c r="AG3627" s="146"/>
      <c r="AH3627" s="146"/>
      <c r="AI3627" s="147"/>
      <c r="AJ3627" s="148"/>
      <c r="AK3627" s="143"/>
      <c r="AL3627" s="144"/>
      <c r="AM3627" s="22"/>
      <c r="AN3627" s="149" t="s">
        <v>1747</v>
      </c>
      <c r="AO3627" s="144"/>
      <c r="AP3627" s="148">
        <v>26</v>
      </c>
      <c r="AQ3627" s="144"/>
      <c r="AR3627" s="120"/>
      <c r="AS3627" s="121"/>
      <c r="AT3627" s="120"/>
      <c r="AU3627" s="121"/>
      <c r="AV3627" s="120"/>
      <c r="AW3627" s="121"/>
      <c r="AX3627" s="120"/>
      <c r="AY3627" s="121"/>
      <c r="AZ3627" s="138"/>
    </row>
    <row r="3628" spans="1:52" ht="17.100000000000001" customHeight="1" thickTop="1">
      <c r="A3628" s="109" t="s">
        <v>11352</v>
      </c>
      <c r="B3628" s="28">
        <v>45982</v>
      </c>
      <c r="C3628" s="25"/>
      <c r="D3628" s="13" t="s">
        <v>2100</v>
      </c>
      <c r="E3628" s="111"/>
      <c r="F3628" s="113" t="s">
        <v>4534</v>
      </c>
      <c r="G3628" s="114"/>
      <c r="H3628" s="115"/>
      <c r="I3628" s="24" t="s">
        <v>5132</v>
      </c>
      <c r="J3628" s="116">
        <v>4</v>
      </c>
      <c r="K3628" s="118">
        <f>737000/1.1</f>
        <v>670000</v>
      </c>
      <c r="L3628" s="119"/>
      <c r="M3628" s="118">
        <f t="shared" ref="M3628" si="3244">K3628*0.1</f>
        <v>67000</v>
      </c>
      <c r="N3628" s="119"/>
      <c r="O3628" s="118">
        <v>8600</v>
      </c>
      <c r="P3628" s="119"/>
      <c r="Q3628" s="118">
        <v>17250</v>
      </c>
      <c r="R3628" s="119"/>
      <c r="S3628" s="118">
        <v>0</v>
      </c>
      <c r="T3628" s="119"/>
      <c r="U3628" s="118">
        <f t="shared" ref="U3628" si="3245">SUM(K3628:T3629)</f>
        <v>762850</v>
      </c>
      <c r="V3628" s="122"/>
      <c r="W3628" s="124"/>
      <c r="X3628" s="126" t="s">
        <v>11910</v>
      </c>
      <c r="Y3628" s="127"/>
      <c r="Z3628" s="127"/>
      <c r="AA3628" s="127"/>
      <c r="AB3628" s="128"/>
      <c r="AC3628" s="15" t="s">
        <v>20</v>
      </c>
      <c r="AD3628" s="129"/>
      <c r="AE3628" s="130"/>
      <c r="AF3628" s="130"/>
      <c r="AG3628" s="130"/>
      <c r="AH3628" s="130"/>
      <c r="AI3628" s="131"/>
      <c r="AJ3628" s="132"/>
      <c r="AK3628" s="127"/>
      <c r="AL3628" s="128"/>
      <c r="AM3628" s="21"/>
      <c r="AN3628" s="133">
        <v>46004</v>
      </c>
      <c r="AO3628" s="134"/>
      <c r="AP3628" s="135">
        <v>1280</v>
      </c>
      <c r="AQ3628" s="136"/>
      <c r="AR3628" s="118">
        <v>880000</v>
      </c>
      <c r="AS3628" s="119"/>
      <c r="AT3628" s="118">
        <f t="shared" ref="AT3628" si="3246">AR3628*0.1</f>
        <v>88000</v>
      </c>
      <c r="AU3628" s="119"/>
      <c r="AV3628" s="118">
        <v>17250</v>
      </c>
      <c r="AW3628" s="119"/>
      <c r="AX3628" s="118">
        <f t="shared" ref="AX3628" si="3247">SUM(AR3628:AW3628)</f>
        <v>985250</v>
      </c>
      <c r="AY3628" s="119"/>
      <c r="AZ3628" s="137">
        <v>46007</v>
      </c>
    </row>
    <row r="3629" spans="1:52" ht="17.100000000000001" customHeight="1" thickBot="1">
      <c r="A3629" s="110"/>
      <c r="B3629" s="27" t="s">
        <v>1718</v>
      </c>
      <c r="C3629" s="27" t="s">
        <v>11337</v>
      </c>
      <c r="D3629" s="14" t="s">
        <v>275</v>
      </c>
      <c r="E3629" s="112"/>
      <c r="F3629" s="139" t="s">
        <v>11909</v>
      </c>
      <c r="G3629" s="140"/>
      <c r="H3629" s="141"/>
      <c r="I3629" s="26">
        <v>20098</v>
      </c>
      <c r="J3629" s="117"/>
      <c r="K3629" s="120"/>
      <c r="L3629" s="121"/>
      <c r="M3629" s="120"/>
      <c r="N3629" s="121"/>
      <c r="O3629" s="120"/>
      <c r="P3629" s="121"/>
      <c r="Q3629" s="120"/>
      <c r="R3629" s="121"/>
      <c r="S3629" s="120"/>
      <c r="T3629" s="121"/>
      <c r="U3629" s="120"/>
      <c r="V3629" s="123"/>
      <c r="W3629" s="125"/>
      <c r="X3629" s="142" t="s">
        <v>11911</v>
      </c>
      <c r="Y3629" s="143"/>
      <c r="Z3629" s="143"/>
      <c r="AA3629" s="143"/>
      <c r="AB3629" s="144"/>
      <c r="AC3629" s="16" t="s">
        <v>21</v>
      </c>
      <c r="AD3629" s="17" t="s">
        <v>1731</v>
      </c>
      <c r="AE3629" s="145" t="s">
        <v>11912</v>
      </c>
      <c r="AF3629" s="146"/>
      <c r="AG3629" s="146"/>
      <c r="AH3629" s="146"/>
      <c r="AI3629" s="147"/>
      <c r="AJ3629" s="148"/>
      <c r="AK3629" s="143"/>
      <c r="AL3629" s="144"/>
      <c r="AM3629" s="22"/>
      <c r="AN3629" s="149" t="s">
        <v>7284</v>
      </c>
      <c r="AO3629" s="144"/>
      <c r="AP3629" s="148">
        <v>82358</v>
      </c>
      <c r="AQ3629" s="144"/>
      <c r="AR3629" s="120"/>
      <c r="AS3629" s="121"/>
      <c r="AT3629" s="120"/>
      <c r="AU3629" s="121"/>
      <c r="AV3629" s="120"/>
      <c r="AW3629" s="121"/>
      <c r="AX3629" s="120"/>
      <c r="AY3629" s="121"/>
      <c r="AZ3629" s="138"/>
    </row>
    <row r="3630" spans="1:52" ht="17.100000000000001" customHeight="1" thickTop="1">
      <c r="A3630" s="109" t="s">
        <v>11353</v>
      </c>
      <c r="B3630" s="28">
        <v>45982</v>
      </c>
      <c r="C3630" s="25"/>
      <c r="D3630" s="13" t="s">
        <v>1922</v>
      </c>
      <c r="E3630" s="111"/>
      <c r="F3630" s="113" t="s">
        <v>6994</v>
      </c>
      <c r="G3630" s="114"/>
      <c r="H3630" s="115"/>
      <c r="I3630" s="24" t="s">
        <v>11340</v>
      </c>
      <c r="J3630" s="116">
        <v>4.5</v>
      </c>
      <c r="K3630" s="118">
        <f>1248500/1.1</f>
        <v>1135000</v>
      </c>
      <c r="L3630" s="119"/>
      <c r="M3630" s="118">
        <f t="shared" ref="M3630" si="3248">K3630*0.1</f>
        <v>113500</v>
      </c>
      <c r="N3630" s="119"/>
      <c r="O3630" s="118">
        <v>0</v>
      </c>
      <c r="P3630" s="119"/>
      <c r="Q3630" s="118">
        <v>8640</v>
      </c>
      <c r="R3630" s="119"/>
      <c r="S3630" s="118">
        <v>0</v>
      </c>
      <c r="T3630" s="119"/>
      <c r="U3630" s="118">
        <f t="shared" ref="U3630" si="3249">SUM(K3630:T3631)</f>
        <v>1257140</v>
      </c>
      <c r="V3630" s="122"/>
      <c r="W3630" s="124"/>
      <c r="X3630" s="126" t="s">
        <v>13824</v>
      </c>
      <c r="Y3630" s="127"/>
      <c r="Z3630" s="127"/>
      <c r="AA3630" s="127"/>
      <c r="AB3630" s="128"/>
      <c r="AC3630" s="15" t="s">
        <v>20</v>
      </c>
      <c r="AD3630" s="129" t="s">
        <v>1732</v>
      </c>
      <c r="AE3630" s="130"/>
      <c r="AF3630" s="130"/>
      <c r="AG3630" s="130"/>
      <c r="AH3630" s="130"/>
      <c r="AI3630" s="131"/>
      <c r="AJ3630" s="132"/>
      <c r="AK3630" s="127"/>
      <c r="AL3630" s="128"/>
      <c r="AM3630" s="21"/>
      <c r="AN3630" s="133">
        <v>46007</v>
      </c>
      <c r="AO3630" s="134"/>
      <c r="AP3630" s="135">
        <v>1922</v>
      </c>
      <c r="AQ3630" s="136"/>
      <c r="AR3630" s="118">
        <v>1267000</v>
      </c>
      <c r="AS3630" s="119"/>
      <c r="AT3630" s="118">
        <f t="shared" ref="AT3630" si="3250">AR3630*0.1</f>
        <v>126700</v>
      </c>
      <c r="AU3630" s="119"/>
      <c r="AV3630" s="118">
        <v>8640</v>
      </c>
      <c r="AW3630" s="119"/>
      <c r="AX3630" s="118">
        <f t="shared" ref="AX3630" si="3251">SUM(AR3630:AW3630)</f>
        <v>1402340</v>
      </c>
      <c r="AY3630" s="119"/>
      <c r="AZ3630" s="137"/>
    </row>
    <row r="3631" spans="1:52" ht="17.100000000000001" customHeight="1" thickBot="1">
      <c r="A3631" s="110"/>
      <c r="B3631" s="27" t="s">
        <v>1718</v>
      </c>
      <c r="C3631" s="27" t="s">
        <v>11338</v>
      </c>
      <c r="D3631" s="14" t="s">
        <v>2800</v>
      </c>
      <c r="E3631" s="112"/>
      <c r="F3631" s="139" t="s">
        <v>11339</v>
      </c>
      <c r="G3631" s="140"/>
      <c r="H3631" s="141"/>
      <c r="I3631" s="26">
        <v>36578</v>
      </c>
      <c r="J3631" s="117"/>
      <c r="K3631" s="120"/>
      <c r="L3631" s="121"/>
      <c r="M3631" s="120"/>
      <c r="N3631" s="121"/>
      <c r="O3631" s="120"/>
      <c r="P3631" s="121"/>
      <c r="Q3631" s="120"/>
      <c r="R3631" s="121"/>
      <c r="S3631" s="120"/>
      <c r="T3631" s="121"/>
      <c r="U3631" s="120"/>
      <c r="V3631" s="123"/>
      <c r="W3631" s="125"/>
      <c r="X3631" s="142" t="s">
        <v>13825</v>
      </c>
      <c r="Y3631" s="143"/>
      <c r="Z3631" s="143"/>
      <c r="AA3631" s="143"/>
      <c r="AB3631" s="144"/>
      <c r="AC3631" s="16" t="s">
        <v>21</v>
      </c>
      <c r="AD3631" s="17" t="s">
        <v>13826</v>
      </c>
      <c r="AE3631" s="145" t="s">
        <v>1614</v>
      </c>
      <c r="AF3631" s="146"/>
      <c r="AG3631" s="146"/>
      <c r="AH3631" s="146"/>
      <c r="AI3631" s="147"/>
      <c r="AJ3631" s="148"/>
      <c r="AK3631" s="143"/>
      <c r="AL3631" s="144"/>
      <c r="AM3631" s="22"/>
      <c r="AN3631" s="149" t="s">
        <v>2131</v>
      </c>
      <c r="AO3631" s="144"/>
      <c r="AP3631" s="148">
        <v>3071</v>
      </c>
      <c r="AQ3631" s="144"/>
      <c r="AR3631" s="120"/>
      <c r="AS3631" s="121"/>
      <c r="AT3631" s="120"/>
      <c r="AU3631" s="121"/>
      <c r="AV3631" s="120"/>
      <c r="AW3631" s="121"/>
      <c r="AX3631" s="120"/>
      <c r="AY3631" s="121"/>
      <c r="AZ3631" s="138"/>
    </row>
    <row r="3632" spans="1:52" ht="17.100000000000001" customHeight="1" thickTop="1">
      <c r="A3632" s="109" t="s">
        <v>11354</v>
      </c>
      <c r="B3632" s="28">
        <v>45982</v>
      </c>
      <c r="C3632" s="25"/>
      <c r="D3632" s="13" t="s">
        <v>1863</v>
      </c>
      <c r="E3632" s="111"/>
      <c r="F3632" s="113" t="s">
        <v>11342</v>
      </c>
      <c r="G3632" s="114"/>
      <c r="H3632" s="115"/>
      <c r="I3632" s="24" t="s">
        <v>10317</v>
      </c>
      <c r="J3632" s="116">
        <v>4</v>
      </c>
      <c r="K3632" s="118">
        <f>1336500/1.1</f>
        <v>1215000</v>
      </c>
      <c r="L3632" s="119"/>
      <c r="M3632" s="118">
        <f t="shared" ref="M3632" si="3252">K3632*0.1</f>
        <v>121500</v>
      </c>
      <c r="N3632" s="119"/>
      <c r="O3632" s="118">
        <v>0</v>
      </c>
      <c r="P3632" s="119"/>
      <c r="Q3632" s="118">
        <v>8640</v>
      </c>
      <c r="R3632" s="119"/>
      <c r="S3632" s="118">
        <v>0</v>
      </c>
      <c r="T3632" s="119"/>
      <c r="U3632" s="118">
        <f t="shared" ref="U3632" si="3253">SUM(K3632:T3633)</f>
        <v>1345140</v>
      </c>
      <c r="V3632" s="122"/>
      <c r="W3632" s="124"/>
      <c r="X3632" s="126" t="s">
        <v>12005</v>
      </c>
      <c r="Y3632" s="127"/>
      <c r="Z3632" s="127"/>
      <c r="AA3632" s="127"/>
      <c r="AB3632" s="128"/>
      <c r="AC3632" s="15" t="s">
        <v>20</v>
      </c>
      <c r="AD3632" s="129" t="s">
        <v>1945</v>
      </c>
      <c r="AE3632" s="130"/>
      <c r="AF3632" s="130"/>
      <c r="AG3632" s="130"/>
      <c r="AH3632" s="130"/>
      <c r="AI3632" s="131"/>
      <c r="AJ3632" s="132"/>
      <c r="AK3632" s="127"/>
      <c r="AL3632" s="128"/>
      <c r="AM3632" s="21"/>
      <c r="AN3632" s="133">
        <v>46000</v>
      </c>
      <c r="AO3632" s="134"/>
      <c r="AP3632" s="135">
        <v>1921</v>
      </c>
      <c r="AQ3632" s="136"/>
      <c r="AR3632" s="118">
        <v>1291000</v>
      </c>
      <c r="AS3632" s="119"/>
      <c r="AT3632" s="118">
        <f t="shared" ref="AT3632" si="3254">AR3632*0.1</f>
        <v>129100</v>
      </c>
      <c r="AU3632" s="119"/>
      <c r="AV3632" s="118">
        <v>8640</v>
      </c>
      <c r="AW3632" s="119"/>
      <c r="AX3632" s="118">
        <f t="shared" ref="AX3632" si="3255">SUM(AR3632:AW3632)</f>
        <v>1428740</v>
      </c>
      <c r="AY3632" s="119"/>
      <c r="AZ3632" s="137">
        <v>46006</v>
      </c>
    </row>
    <row r="3633" spans="1:52" ht="17.100000000000001" customHeight="1" thickBot="1">
      <c r="A3633" s="110"/>
      <c r="B3633" s="27" t="s">
        <v>1718</v>
      </c>
      <c r="C3633" s="27" t="s">
        <v>11341</v>
      </c>
      <c r="D3633" s="14" t="s">
        <v>2206</v>
      </c>
      <c r="E3633" s="112"/>
      <c r="F3633" s="139" t="s">
        <v>11343</v>
      </c>
      <c r="G3633" s="140"/>
      <c r="H3633" s="141"/>
      <c r="I3633" s="26">
        <v>37900</v>
      </c>
      <c r="J3633" s="117"/>
      <c r="K3633" s="120"/>
      <c r="L3633" s="121"/>
      <c r="M3633" s="120"/>
      <c r="N3633" s="121"/>
      <c r="O3633" s="120"/>
      <c r="P3633" s="121"/>
      <c r="Q3633" s="120"/>
      <c r="R3633" s="121"/>
      <c r="S3633" s="120"/>
      <c r="T3633" s="121"/>
      <c r="U3633" s="120"/>
      <c r="V3633" s="123"/>
      <c r="W3633" s="125"/>
      <c r="X3633" s="142" t="s">
        <v>12006</v>
      </c>
      <c r="Y3633" s="143"/>
      <c r="Z3633" s="143"/>
      <c r="AA3633" s="143"/>
      <c r="AB3633" s="144"/>
      <c r="AC3633" s="16" t="s">
        <v>21</v>
      </c>
      <c r="AD3633" s="17" t="s">
        <v>12001</v>
      </c>
      <c r="AE3633" s="145" t="s">
        <v>1945</v>
      </c>
      <c r="AF3633" s="146"/>
      <c r="AG3633" s="146"/>
      <c r="AH3633" s="146"/>
      <c r="AI3633" s="147"/>
      <c r="AJ3633" s="148"/>
      <c r="AK3633" s="143"/>
      <c r="AL3633" s="144"/>
      <c r="AM3633" s="22"/>
      <c r="AN3633" s="149" t="s">
        <v>2131</v>
      </c>
      <c r="AO3633" s="144"/>
      <c r="AP3633" s="148">
        <v>3275</v>
      </c>
      <c r="AQ3633" s="144"/>
      <c r="AR3633" s="120"/>
      <c r="AS3633" s="121"/>
      <c r="AT3633" s="120"/>
      <c r="AU3633" s="121"/>
      <c r="AV3633" s="120"/>
      <c r="AW3633" s="121"/>
      <c r="AX3633" s="120"/>
      <c r="AY3633" s="121"/>
      <c r="AZ3633" s="138"/>
    </row>
    <row r="3634" spans="1:52" ht="17.100000000000001" customHeight="1" thickTop="1">
      <c r="A3634" s="109" t="s">
        <v>11355</v>
      </c>
      <c r="B3634" s="28">
        <v>45982</v>
      </c>
      <c r="C3634" s="25">
        <v>1395</v>
      </c>
      <c r="D3634" s="13" t="s">
        <v>1906</v>
      </c>
      <c r="E3634" s="111"/>
      <c r="F3634" s="113" t="s">
        <v>11372</v>
      </c>
      <c r="G3634" s="114"/>
      <c r="H3634" s="115"/>
      <c r="I3634" s="24" t="s">
        <v>3916</v>
      </c>
      <c r="J3634" s="116">
        <v>4</v>
      </c>
      <c r="K3634" s="118">
        <v>606000</v>
      </c>
      <c r="L3634" s="119"/>
      <c r="M3634" s="118">
        <f t="shared" ref="M3634" si="3256">K3634*0.1</f>
        <v>60600</v>
      </c>
      <c r="N3634" s="119"/>
      <c r="O3634" s="118">
        <v>0</v>
      </c>
      <c r="P3634" s="119"/>
      <c r="Q3634" s="118">
        <v>6320</v>
      </c>
      <c r="R3634" s="119"/>
      <c r="S3634" s="118">
        <v>13200</v>
      </c>
      <c r="T3634" s="119"/>
      <c r="U3634" s="118">
        <f t="shared" ref="U3634" si="3257">SUM(K3634:T3635)</f>
        <v>686120</v>
      </c>
      <c r="V3634" s="122"/>
      <c r="W3634" s="124"/>
      <c r="X3634" s="126" t="s">
        <v>11897</v>
      </c>
      <c r="Y3634" s="127"/>
      <c r="Z3634" s="127"/>
      <c r="AA3634" s="127"/>
      <c r="AB3634" s="128"/>
      <c r="AC3634" s="15" t="s">
        <v>20</v>
      </c>
      <c r="AD3634" s="129" t="s">
        <v>1945</v>
      </c>
      <c r="AE3634" s="130"/>
      <c r="AF3634" s="130"/>
      <c r="AG3634" s="130"/>
      <c r="AH3634" s="130"/>
      <c r="AI3634" s="131"/>
      <c r="AJ3634" s="132"/>
      <c r="AK3634" s="127"/>
      <c r="AL3634" s="128"/>
      <c r="AM3634" s="21" t="s">
        <v>12767</v>
      </c>
      <c r="AN3634" s="133">
        <v>45997</v>
      </c>
      <c r="AO3634" s="134"/>
      <c r="AP3634" s="135">
        <v>1279</v>
      </c>
      <c r="AQ3634" s="136"/>
      <c r="AR3634" s="118">
        <v>665000</v>
      </c>
      <c r="AS3634" s="119"/>
      <c r="AT3634" s="118">
        <f t="shared" ref="AT3634" si="3258">AR3634*0.1</f>
        <v>66500</v>
      </c>
      <c r="AU3634" s="119"/>
      <c r="AV3634" s="118">
        <v>6320</v>
      </c>
      <c r="AW3634" s="119"/>
      <c r="AX3634" s="118">
        <f t="shared" ref="AX3634" si="3259">SUM(AR3634:AW3634)</f>
        <v>737820</v>
      </c>
      <c r="AY3634" s="119"/>
      <c r="AZ3634" s="137">
        <v>46002</v>
      </c>
    </row>
    <row r="3635" spans="1:52" ht="17.100000000000001" customHeight="1" thickBot="1">
      <c r="A3635" s="110"/>
      <c r="B3635" s="27" t="s">
        <v>2641</v>
      </c>
      <c r="C3635" s="27">
        <v>3006</v>
      </c>
      <c r="D3635" s="14" t="s">
        <v>1592</v>
      </c>
      <c r="E3635" s="112"/>
      <c r="F3635" s="139" t="s">
        <v>11362</v>
      </c>
      <c r="G3635" s="140"/>
      <c r="H3635" s="141"/>
      <c r="I3635" s="26">
        <v>58225</v>
      </c>
      <c r="J3635" s="117"/>
      <c r="K3635" s="120"/>
      <c r="L3635" s="121"/>
      <c r="M3635" s="120"/>
      <c r="N3635" s="121"/>
      <c r="O3635" s="120"/>
      <c r="P3635" s="121"/>
      <c r="Q3635" s="120"/>
      <c r="R3635" s="121"/>
      <c r="S3635" s="120"/>
      <c r="T3635" s="121"/>
      <c r="U3635" s="120"/>
      <c r="V3635" s="123"/>
      <c r="W3635" s="125"/>
      <c r="X3635" s="142" t="s">
        <v>11898</v>
      </c>
      <c r="Y3635" s="143"/>
      <c r="Z3635" s="143"/>
      <c r="AA3635" s="143"/>
      <c r="AB3635" s="144"/>
      <c r="AC3635" s="16" t="s">
        <v>21</v>
      </c>
      <c r="AD3635" s="17" t="s">
        <v>1723</v>
      </c>
      <c r="AE3635" s="145" t="s">
        <v>1945</v>
      </c>
      <c r="AF3635" s="146"/>
      <c r="AG3635" s="146"/>
      <c r="AH3635" s="146"/>
      <c r="AI3635" s="147"/>
      <c r="AJ3635" s="148"/>
      <c r="AK3635" s="143"/>
      <c r="AL3635" s="144"/>
      <c r="AM3635" s="22"/>
      <c r="AN3635" s="149" t="s">
        <v>2511</v>
      </c>
      <c r="AO3635" s="144"/>
      <c r="AP3635" s="148">
        <v>60174</v>
      </c>
      <c r="AQ3635" s="144"/>
      <c r="AR3635" s="120"/>
      <c r="AS3635" s="121"/>
      <c r="AT3635" s="120"/>
      <c r="AU3635" s="121"/>
      <c r="AV3635" s="120"/>
      <c r="AW3635" s="121"/>
      <c r="AX3635" s="120"/>
      <c r="AY3635" s="121"/>
      <c r="AZ3635" s="138"/>
    </row>
    <row r="3636" spans="1:52" ht="17.100000000000001" customHeight="1" thickTop="1">
      <c r="A3636" s="109" t="s">
        <v>11356</v>
      </c>
      <c r="B3636" s="28">
        <v>45982</v>
      </c>
      <c r="C3636" s="25">
        <v>1395</v>
      </c>
      <c r="D3636" s="13" t="s">
        <v>1958</v>
      </c>
      <c r="E3636" s="111"/>
      <c r="F3636" s="113" t="s">
        <v>10061</v>
      </c>
      <c r="G3636" s="114"/>
      <c r="H3636" s="115"/>
      <c r="I3636" s="24" t="s">
        <v>11373</v>
      </c>
      <c r="J3636" s="116">
        <v>4</v>
      </c>
      <c r="K3636" s="118">
        <v>1212000</v>
      </c>
      <c r="L3636" s="119"/>
      <c r="M3636" s="118">
        <f t="shared" ref="M3636" si="3260">K3636*0.1</f>
        <v>121200</v>
      </c>
      <c r="N3636" s="119"/>
      <c r="O3636" s="118">
        <f>11500+1150</f>
        <v>12650</v>
      </c>
      <c r="P3636" s="119"/>
      <c r="Q3636" s="118">
        <v>9810</v>
      </c>
      <c r="R3636" s="119"/>
      <c r="S3636" s="118">
        <v>13200</v>
      </c>
      <c r="T3636" s="119"/>
      <c r="U3636" s="118">
        <f t="shared" ref="U3636" si="3261">SUM(K3636:T3637)</f>
        <v>1368860</v>
      </c>
      <c r="V3636" s="122"/>
      <c r="W3636" s="124"/>
      <c r="X3636" s="126" t="s">
        <v>12035</v>
      </c>
      <c r="Y3636" s="127"/>
      <c r="Z3636" s="127"/>
      <c r="AA3636" s="127"/>
      <c r="AB3636" s="128"/>
      <c r="AC3636" s="15" t="s">
        <v>20</v>
      </c>
      <c r="AD3636" s="129" t="s">
        <v>4608</v>
      </c>
      <c r="AE3636" s="130"/>
      <c r="AF3636" s="130"/>
      <c r="AG3636" s="130"/>
      <c r="AH3636" s="130"/>
      <c r="AI3636" s="131"/>
      <c r="AJ3636" s="132"/>
      <c r="AK3636" s="127"/>
      <c r="AL3636" s="128"/>
      <c r="AM3636" s="21"/>
      <c r="AN3636" s="133">
        <v>46004</v>
      </c>
      <c r="AO3636" s="134"/>
      <c r="AP3636" s="135">
        <v>1280</v>
      </c>
      <c r="AQ3636" s="136"/>
      <c r="AR3636" s="118">
        <v>1340000</v>
      </c>
      <c r="AS3636" s="119"/>
      <c r="AT3636" s="118">
        <f t="shared" ref="AT3636" si="3262">AR3636*0.1</f>
        <v>134000</v>
      </c>
      <c r="AU3636" s="119"/>
      <c r="AV3636" s="118">
        <v>9810</v>
      </c>
      <c r="AW3636" s="119"/>
      <c r="AX3636" s="118">
        <f t="shared" ref="AX3636" si="3263">SUM(AR3636:AW3636)</f>
        <v>1483810</v>
      </c>
      <c r="AY3636" s="119"/>
      <c r="AZ3636" s="137">
        <v>46014</v>
      </c>
    </row>
    <row r="3637" spans="1:52" ht="17.100000000000001" customHeight="1" thickBot="1">
      <c r="A3637" s="110"/>
      <c r="B3637" s="27" t="s">
        <v>2641</v>
      </c>
      <c r="C3637" s="27">
        <v>3085</v>
      </c>
      <c r="D3637" s="14" t="s">
        <v>275</v>
      </c>
      <c r="E3637" s="112"/>
      <c r="F3637" s="139" t="s">
        <v>11363</v>
      </c>
      <c r="G3637" s="140"/>
      <c r="H3637" s="141"/>
      <c r="I3637" s="26">
        <v>29986</v>
      </c>
      <c r="J3637" s="117"/>
      <c r="K3637" s="120"/>
      <c r="L3637" s="121"/>
      <c r="M3637" s="120"/>
      <c r="N3637" s="121"/>
      <c r="O3637" s="120"/>
      <c r="P3637" s="121"/>
      <c r="Q3637" s="120"/>
      <c r="R3637" s="121"/>
      <c r="S3637" s="120"/>
      <c r="T3637" s="121"/>
      <c r="U3637" s="120"/>
      <c r="V3637" s="123"/>
      <c r="W3637" s="125"/>
      <c r="X3637" s="142" t="s">
        <v>3562</v>
      </c>
      <c r="Y3637" s="143"/>
      <c r="Z3637" s="143"/>
      <c r="AA3637" s="143"/>
      <c r="AB3637" s="144"/>
      <c r="AC3637" s="16" t="s">
        <v>21</v>
      </c>
      <c r="AD3637" s="17" t="s">
        <v>12001</v>
      </c>
      <c r="AE3637" s="145" t="s">
        <v>12036</v>
      </c>
      <c r="AF3637" s="146"/>
      <c r="AG3637" s="146"/>
      <c r="AH3637" s="146"/>
      <c r="AI3637" s="147"/>
      <c r="AJ3637" s="148"/>
      <c r="AK3637" s="143"/>
      <c r="AL3637" s="144"/>
      <c r="AM3637" s="22"/>
      <c r="AN3637" s="149" t="s">
        <v>7284</v>
      </c>
      <c r="AO3637" s="144"/>
      <c r="AP3637" s="148">
        <v>55087</v>
      </c>
      <c r="AQ3637" s="144"/>
      <c r="AR3637" s="120"/>
      <c r="AS3637" s="121"/>
      <c r="AT3637" s="120"/>
      <c r="AU3637" s="121"/>
      <c r="AV3637" s="120"/>
      <c r="AW3637" s="121"/>
      <c r="AX3637" s="120"/>
      <c r="AY3637" s="121"/>
      <c r="AZ3637" s="138"/>
    </row>
    <row r="3638" spans="1:52" ht="17.100000000000001" customHeight="1" thickTop="1">
      <c r="A3638" s="109" t="s">
        <v>11357</v>
      </c>
      <c r="B3638" s="28">
        <v>45982</v>
      </c>
      <c r="C3638" s="25">
        <v>1395</v>
      </c>
      <c r="D3638" s="13" t="s">
        <v>2963</v>
      </c>
      <c r="E3638" s="111"/>
      <c r="F3638" s="113" t="s">
        <v>11364</v>
      </c>
      <c r="G3638" s="114"/>
      <c r="H3638" s="115"/>
      <c r="I3638" s="24" t="s">
        <v>7529</v>
      </c>
      <c r="J3638" s="116">
        <v>4.5</v>
      </c>
      <c r="K3638" s="118">
        <v>1033000</v>
      </c>
      <c r="L3638" s="119"/>
      <c r="M3638" s="118">
        <f t="shared" ref="M3638" si="3264">K3638*0.1</f>
        <v>103300</v>
      </c>
      <c r="N3638" s="119"/>
      <c r="O3638" s="118">
        <v>0</v>
      </c>
      <c r="P3638" s="119"/>
      <c r="Q3638" s="118">
        <v>6880</v>
      </c>
      <c r="R3638" s="119"/>
      <c r="S3638" s="118">
        <v>13200</v>
      </c>
      <c r="T3638" s="119"/>
      <c r="U3638" s="118">
        <f t="shared" ref="U3638" si="3265">SUM(K3638:T3639)</f>
        <v>1156380</v>
      </c>
      <c r="V3638" s="122"/>
      <c r="W3638" s="124"/>
      <c r="X3638" s="126" t="s">
        <v>11915</v>
      </c>
      <c r="Y3638" s="127"/>
      <c r="Z3638" s="127"/>
      <c r="AA3638" s="127"/>
      <c r="AB3638" s="128"/>
      <c r="AC3638" s="15" t="s">
        <v>20</v>
      </c>
      <c r="AD3638" s="129" t="s">
        <v>1633</v>
      </c>
      <c r="AE3638" s="130"/>
      <c r="AF3638" s="130"/>
      <c r="AG3638" s="130"/>
      <c r="AH3638" s="130"/>
      <c r="AI3638" s="131"/>
      <c r="AJ3638" s="132"/>
      <c r="AK3638" s="127"/>
      <c r="AL3638" s="128"/>
      <c r="AM3638" s="21" t="s">
        <v>12868</v>
      </c>
      <c r="AN3638" s="133">
        <v>46004</v>
      </c>
      <c r="AO3638" s="134"/>
      <c r="AP3638" s="135">
        <v>1280</v>
      </c>
      <c r="AQ3638" s="136"/>
      <c r="AR3638" s="118">
        <v>1055000</v>
      </c>
      <c r="AS3638" s="119"/>
      <c r="AT3638" s="118">
        <f t="shared" ref="AT3638" si="3266">AR3638*0.1</f>
        <v>105500</v>
      </c>
      <c r="AU3638" s="119"/>
      <c r="AV3638" s="118">
        <v>6880</v>
      </c>
      <c r="AW3638" s="119"/>
      <c r="AX3638" s="118">
        <f t="shared" ref="AX3638" si="3267">SUM(AR3638:AW3638)</f>
        <v>1167380</v>
      </c>
      <c r="AY3638" s="119"/>
      <c r="AZ3638" s="137">
        <v>46008</v>
      </c>
    </row>
    <row r="3639" spans="1:52" ht="17.100000000000001" customHeight="1" thickBot="1">
      <c r="A3639" s="110"/>
      <c r="B3639" s="27" t="s">
        <v>2641</v>
      </c>
      <c r="C3639" s="27">
        <v>3129</v>
      </c>
      <c r="D3639" s="14" t="s">
        <v>1576</v>
      </c>
      <c r="E3639" s="112"/>
      <c r="F3639" s="139" t="s">
        <v>11365</v>
      </c>
      <c r="G3639" s="140"/>
      <c r="H3639" s="141"/>
      <c r="I3639" s="26">
        <v>39813</v>
      </c>
      <c r="J3639" s="117"/>
      <c r="K3639" s="120"/>
      <c r="L3639" s="121"/>
      <c r="M3639" s="120"/>
      <c r="N3639" s="121"/>
      <c r="O3639" s="120"/>
      <c r="P3639" s="121"/>
      <c r="Q3639" s="120"/>
      <c r="R3639" s="121"/>
      <c r="S3639" s="120"/>
      <c r="T3639" s="121"/>
      <c r="U3639" s="120"/>
      <c r="V3639" s="123"/>
      <c r="W3639" s="125"/>
      <c r="X3639" s="142" t="s">
        <v>11916</v>
      </c>
      <c r="Y3639" s="143"/>
      <c r="Z3639" s="143"/>
      <c r="AA3639" s="143"/>
      <c r="AB3639" s="144"/>
      <c r="AC3639" s="16" t="s">
        <v>21</v>
      </c>
      <c r="AD3639" s="17" t="s">
        <v>1731</v>
      </c>
      <c r="AE3639" s="145" t="s">
        <v>12131</v>
      </c>
      <c r="AF3639" s="146"/>
      <c r="AG3639" s="146"/>
      <c r="AH3639" s="146"/>
      <c r="AI3639" s="147"/>
      <c r="AJ3639" s="148"/>
      <c r="AK3639" s="143"/>
      <c r="AL3639" s="144"/>
      <c r="AM3639" s="22"/>
      <c r="AN3639" s="149" t="s">
        <v>7284</v>
      </c>
      <c r="AO3639" s="144"/>
      <c r="AP3639" s="148">
        <v>60009</v>
      </c>
      <c r="AQ3639" s="144"/>
      <c r="AR3639" s="120"/>
      <c r="AS3639" s="121"/>
      <c r="AT3639" s="120"/>
      <c r="AU3639" s="121"/>
      <c r="AV3639" s="120"/>
      <c r="AW3639" s="121"/>
      <c r="AX3639" s="120"/>
      <c r="AY3639" s="121"/>
      <c r="AZ3639" s="138"/>
    </row>
    <row r="3640" spans="1:52" ht="17.100000000000001" customHeight="1" thickTop="1">
      <c r="A3640" s="109" t="s">
        <v>11358</v>
      </c>
      <c r="B3640" s="28">
        <v>45982</v>
      </c>
      <c r="C3640" s="25">
        <v>1395</v>
      </c>
      <c r="D3640" s="13" t="s">
        <v>1725</v>
      </c>
      <c r="E3640" s="111"/>
      <c r="F3640" s="113" t="s">
        <v>3908</v>
      </c>
      <c r="G3640" s="114"/>
      <c r="H3640" s="115"/>
      <c r="I3640" s="24" t="s">
        <v>9318</v>
      </c>
      <c r="J3640" s="116">
        <v>4.5</v>
      </c>
      <c r="K3640" s="118">
        <v>708000</v>
      </c>
      <c r="L3640" s="119"/>
      <c r="M3640" s="118">
        <f t="shared" ref="M3640" si="3268">K3640*0.1</f>
        <v>70800</v>
      </c>
      <c r="N3640" s="119"/>
      <c r="O3640" s="118">
        <v>0</v>
      </c>
      <c r="P3640" s="119"/>
      <c r="Q3640" s="118">
        <v>7950</v>
      </c>
      <c r="R3640" s="119"/>
      <c r="S3640" s="118">
        <v>13200</v>
      </c>
      <c r="T3640" s="119"/>
      <c r="U3640" s="118">
        <f t="shared" ref="U3640" si="3269">SUM(K3640:T3641)</f>
        <v>799950</v>
      </c>
      <c r="V3640" s="122"/>
      <c r="W3640" s="124"/>
      <c r="X3640" s="126" t="s">
        <v>11895</v>
      </c>
      <c r="Y3640" s="127"/>
      <c r="Z3640" s="127"/>
      <c r="AA3640" s="127"/>
      <c r="AB3640" s="128"/>
      <c r="AC3640" s="15" t="s">
        <v>20</v>
      </c>
      <c r="AD3640" s="129" t="s">
        <v>1633</v>
      </c>
      <c r="AE3640" s="130"/>
      <c r="AF3640" s="130"/>
      <c r="AG3640" s="130"/>
      <c r="AH3640" s="130"/>
      <c r="AI3640" s="131"/>
      <c r="AJ3640" s="132"/>
      <c r="AK3640" s="127"/>
      <c r="AL3640" s="128"/>
      <c r="AM3640" s="21"/>
      <c r="AN3640" s="133">
        <v>46004</v>
      </c>
      <c r="AO3640" s="134"/>
      <c r="AP3640" s="135">
        <v>1280</v>
      </c>
      <c r="AQ3640" s="136"/>
      <c r="AR3640" s="118">
        <v>765000</v>
      </c>
      <c r="AS3640" s="119"/>
      <c r="AT3640" s="118">
        <f t="shared" ref="AT3640" si="3270">AR3640*0.1</f>
        <v>76500</v>
      </c>
      <c r="AU3640" s="119"/>
      <c r="AV3640" s="118">
        <v>7950</v>
      </c>
      <c r="AW3640" s="119"/>
      <c r="AX3640" s="118">
        <f t="shared" ref="AX3640" si="3271">SUM(AR3640:AW3640)</f>
        <v>849450</v>
      </c>
      <c r="AY3640" s="119"/>
      <c r="AZ3640" s="137">
        <v>46007</v>
      </c>
    </row>
    <row r="3641" spans="1:52" ht="17.100000000000001" customHeight="1" thickBot="1">
      <c r="A3641" s="110"/>
      <c r="B3641" s="27" t="s">
        <v>2641</v>
      </c>
      <c r="C3641" s="27">
        <v>3199</v>
      </c>
      <c r="D3641" s="14" t="s">
        <v>2601</v>
      </c>
      <c r="E3641" s="112"/>
      <c r="F3641" s="139" t="s">
        <v>11366</v>
      </c>
      <c r="G3641" s="140"/>
      <c r="H3641" s="141"/>
      <c r="I3641" s="26">
        <v>58421</v>
      </c>
      <c r="J3641" s="117"/>
      <c r="K3641" s="120"/>
      <c r="L3641" s="121"/>
      <c r="M3641" s="120"/>
      <c r="N3641" s="121"/>
      <c r="O3641" s="120"/>
      <c r="P3641" s="121"/>
      <c r="Q3641" s="120"/>
      <c r="R3641" s="121"/>
      <c r="S3641" s="120"/>
      <c r="T3641" s="121"/>
      <c r="U3641" s="120"/>
      <c r="V3641" s="123"/>
      <c r="W3641" s="125"/>
      <c r="X3641" s="142" t="s">
        <v>11896</v>
      </c>
      <c r="Y3641" s="143"/>
      <c r="Z3641" s="143"/>
      <c r="AA3641" s="143"/>
      <c r="AB3641" s="144"/>
      <c r="AC3641" s="16" t="s">
        <v>21</v>
      </c>
      <c r="AD3641" s="17" t="s">
        <v>1723</v>
      </c>
      <c r="AE3641" s="145" t="s">
        <v>10729</v>
      </c>
      <c r="AF3641" s="146"/>
      <c r="AG3641" s="146"/>
      <c r="AH3641" s="146"/>
      <c r="AI3641" s="147"/>
      <c r="AJ3641" s="148"/>
      <c r="AK3641" s="143"/>
      <c r="AL3641" s="144"/>
      <c r="AM3641" s="22" t="s">
        <v>3483</v>
      </c>
      <c r="AN3641" s="149" t="s">
        <v>7284</v>
      </c>
      <c r="AO3641" s="144"/>
      <c r="AP3641" s="148">
        <v>60001</v>
      </c>
      <c r="AQ3641" s="144"/>
      <c r="AR3641" s="120"/>
      <c r="AS3641" s="121"/>
      <c r="AT3641" s="120"/>
      <c r="AU3641" s="121"/>
      <c r="AV3641" s="120"/>
      <c r="AW3641" s="121"/>
      <c r="AX3641" s="120"/>
      <c r="AY3641" s="121"/>
      <c r="AZ3641" s="138"/>
    </row>
    <row r="3642" spans="1:52" ht="17.100000000000001" customHeight="1" thickTop="1">
      <c r="A3642" s="109" t="s">
        <v>11359</v>
      </c>
      <c r="B3642" s="28">
        <v>45982</v>
      </c>
      <c r="C3642" s="25">
        <v>1395</v>
      </c>
      <c r="D3642" s="13" t="s">
        <v>1059</v>
      </c>
      <c r="E3642" s="111"/>
      <c r="F3642" s="113" t="s">
        <v>11367</v>
      </c>
      <c r="G3642" s="114"/>
      <c r="H3642" s="115"/>
      <c r="I3642" s="24" t="s">
        <v>11374</v>
      </c>
      <c r="J3642" s="116">
        <v>5</v>
      </c>
      <c r="K3642" s="118">
        <v>2103000</v>
      </c>
      <c r="L3642" s="119"/>
      <c r="M3642" s="118">
        <f t="shared" ref="M3642" si="3272">K3642*0.1</f>
        <v>210300</v>
      </c>
      <c r="N3642" s="119"/>
      <c r="O3642" s="118">
        <f>10100+1010</f>
        <v>11110</v>
      </c>
      <c r="P3642" s="119"/>
      <c r="Q3642" s="118">
        <v>8600</v>
      </c>
      <c r="R3642" s="119"/>
      <c r="S3642" s="118">
        <v>13200</v>
      </c>
      <c r="T3642" s="119"/>
      <c r="U3642" s="118">
        <f t="shared" ref="U3642" si="3273">SUM(K3642:T3643)</f>
        <v>2346210</v>
      </c>
      <c r="V3642" s="122"/>
      <c r="W3642" s="124"/>
      <c r="X3642" s="126" t="s">
        <v>12345</v>
      </c>
      <c r="Y3642" s="127"/>
      <c r="Z3642" s="127"/>
      <c r="AA3642" s="127"/>
      <c r="AB3642" s="128"/>
      <c r="AC3642" s="15" t="s">
        <v>20</v>
      </c>
      <c r="AD3642" s="129" t="s">
        <v>1732</v>
      </c>
      <c r="AE3642" s="130"/>
      <c r="AF3642" s="130"/>
      <c r="AG3642" s="130"/>
      <c r="AH3642" s="130"/>
      <c r="AI3642" s="131"/>
      <c r="AJ3642" s="132"/>
      <c r="AK3642" s="127"/>
      <c r="AL3642" s="128"/>
      <c r="AM3642" s="21"/>
      <c r="AN3642" s="133">
        <v>45987</v>
      </c>
      <c r="AO3642" s="134"/>
      <c r="AP3642" s="135">
        <v>994</v>
      </c>
      <c r="AQ3642" s="136"/>
      <c r="AR3642" s="118">
        <v>2240000</v>
      </c>
      <c r="AS3642" s="119"/>
      <c r="AT3642" s="118">
        <f t="shared" ref="AT3642" si="3274">AR3642*0.1</f>
        <v>224000</v>
      </c>
      <c r="AU3642" s="119"/>
      <c r="AV3642" s="118">
        <v>8600</v>
      </c>
      <c r="AW3642" s="119"/>
      <c r="AX3642" s="118">
        <f t="shared" ref="AX3642" si="3275">SUM(AR3642:AW3642)</f>
        <v>2472600</v>
      </c>
      <c r="AY3642" s="119"/>
      <c r="AZ3642" s="137">
        <v>45999</v>
      </c>
    </row>
    <row r="3643" spans="1:52" ht="17.100000000000001" customHeight="1" thickBot="1">
      <c r="A3643" s="110"/>
      <c r="B3643" s="27" t="s">
        <v>2641</v>
      </c>
      <c r="C3643" s="27">
        <v>3204</v>
      </c>
      <c r="D3643" s="14" t="s">
        <v>2601</v>
      </c>
      <c r="E3643" s="112"/>
      <c r="F3643" s="139" t="s">
        <v>11368</v>
      </c>
      <c r="G3643" s="140"/>
      <c r="H3643" s="141"/>
      <c r="I3643" s="26">
        <v>12332</v>
      </c>
      <c r="J3643" s="117"/>
      <c r="K3643" s="120"/>
      <c r="L3643" s="121"/>
      <c r="M3643" s="120"/>
      <c r="N3643" s="121"/>
      <c r="O3643" s="120"/>
      <c r="P3643" s="121"/>
      <c r="Q3643" s="120"/>
      <c r="R3643" s="121"/>
      <c r="S3643" s="120"/>
      <c r="T3643" s="121"/>
      <c r="U3643" s="120"/>
      <c r="V3643" s="123"/>
      <c r="W3643" s="125"/>
      <c r="X3643" s="142" t="s">
        <v>12346</v>
      </c>
      <c r="Y3643" s="143"/>
      <c r="Z3643" s="143"/>
      <c r="AA3643" s="143"/>
      <c r="AB3643" s="144"/>
      <c r="AC3643" s="16" t="s">
        <v>21</v>
      </c>
      <c r="AD3643" s="17" t="s">
        <v>2248</v>
      </c>
      <c r="AE3643" s="145" t="s">
        <v>1614</v>
      </c>
      <c r="AF3643" s="146"/>
      <c r="AG3643" s="146"/>
      <c r="AH3643" s="146"/>
      <c r="AI3643" s="147"/>
      <c r="AJ3643" s="148"/>
      <c r="AK3643" s="143"/>
      <c r="AL3643" s="144"/>
      <c r="AM3643" s="22"/>
      <c r="AN3643" s="149" t="s">
        <v>7285</v>
      </c>
      <c r="AO3643" s="144"/>
      <c r="AP3643" s="148">
        <v>5075</v>
      </c>
      <c r="AQ3643" s="144"/>
      <c r="AR3643" s="120"/>
      <c r="AS3643" s="121"/>
      <c r="AT3643" s="120"/>
      <c r="AU3643" s="121"/>
      <c r="AV3643" s="120"/>
      <c r="AW3643" s="121"/>
      <c r="AX3643" s="120"/>
      <c r="AY3643" s="121"/>
      <c r="AZ3643" s="138"/>
    </row>
    <row r="3644" spans="1:52" ht="17.100000000000001" customHeight="1" thickTop="1">
      <c r="A3644" s="109" t="s">
        <v>11360</v>
      </c>
      <c r="B3644" s="28">
        <v>45982</v>
      </c>
      <c r="C3644" s="25">
        <v>1395</v>
      </c>
      <c r="D3644" s="13" t="s">
        <v>2135</v>
      </c>
      <c r="E3644" s="111"/>
      <c r="F3644" s="113" t="s">
        <v>11369</v>
      </c>
      <c r="G3644" s="114"/>
      <c r="H3644" s="115"/>
      <c r="I3644" s="24" t="s">
        <v>11375</v>
      </c>
      <c r="J3644" s="116">
        <v>4</v>
      </c>
      <c r="K3644" s="118">
        <v>670000</v>
      </c>
      <c r="L3644" s="119"/>
      <c r="M3644" s="118">
        <f t="shared" ref="M3644" si="3276">K3644*0.1</f>
        <v>67000</v>
      </c>
      <c r="N3644" s="119"/>
      <c r="O3644" s="118">
        <f>9800+980</f>
        <v>10780</v>
      </c>
      <c r="P3644" s="119"/>
      <c r="Q3644" s="118">
        <v>9130</v>
      </c>
      <c r="R3644" s="119"/>
      <c r="S3644" s="118">
        <v>13200</v>
      </c>
      <c r="T3644" s="119"/>
      <c r="U3644" s="118">
        <f t="shared" ref="U3644" si="3277">SUM(K3644:T3645)</f>
        <v>770110</v>
      </c>
      <c r="V3644" s="122"/>
      <c r="W3644" s="124"/>
      <c r="X3644" s="126" t="s">
        <v>11779</v>
      </c>
      <c r="Y3644" s="127"/>
      <c r="Z3644" s="127"/>
      <c r="AA3644" s="127"/>
      <c r="AB3644" s="128"/>
      <c r="AC3644" s="15" t="s">
        <v>20</v>
      </c>
      <c r="AD3644" s="129"/>
      <c r="AE3644" s="130"/>
      <c r="AF3644" s="130"/>
      <c r="AG3644" s="130"/>
      <c r="AH3644" s="130"/>
      <c r="AI3644" s="131"/>
      <c r="AJ3644" s="132"/>
      <c r="AK3644" s="127"/>
      <c r="AL3644" s="128"/>
      <c r="AM3644" s="21"/>
      <c r="AN3644" s="133">
        <v>45987</v>
      </c>
      <c r="AO3644" s="134"/>
      <c r="AP3644" s="135">
        <v>994</v>
      </c>
      <c r="AQ3644" s="136"/>
      <c r="AR3644" s="118">
        <v>780000</v>
      </c>
      <c r="AS3644" s="119"/>
      <c r="AT3644" s="118">
        <f t="shared" ref="AT3644" si="3278">AR3644*0.1</f>
        <v>78000</v>
      </c>
      <c r="AU3644" s="119"/>
      <c r="AV3644" s="118">
        <v>9130</v>
      </c>
      <c r="AW3644" s="119"/>
      <c r="AX3644" s="118">
        <f t="shared" ref="AX3644" si="3279">SUM(AR3644:AW3644)</f>
        <v>867130</v>
      </c>
      <c r="AY3644" s="119"/>
      <c r="AZ3644" s="137">
        <v>45992</v>
      </c>
    </row>
    <row r="3645" spans="1:52" ht="17.100000000000001" customHeight="1" thickBot="1">
      <c r="A3645" s="110"/>
      <c r="B3645" s="27" t="s">
        <v>2641</v>
      </c>
      <c r="C3645" s="27">
        <v>3219</v>
      </c>
      <c r="D3645" s="14" t="s">
        <v>275</v>
      </c>
      <c r="E3645" s="112"/>
      <c r="F3645" s="139" t="s">
        <v>11370</v>
      </c>
      <c r="G3645" s="140"/>
      <c r="H3645" s="141"/>
      <c r="I3645" s="26">
        <v>104178</v>
      </c>
      <c r="J3645" s="117"/>
      <c r="K3645" s="120"/>
      <c r="L3645" s="121"/>
      <c r="M3645" s="120"/>
      <c r="N3645" s="121"/>
      <c r="O3645" s="120"/>
      <c r="P3645" s="121"/>
      <c r="Q3645" s="120"/>
      <c r="R3645" s="121"/>
      <c r="S3645" s="120"/>
      <c r="T3645" s="121"/>
      <c r="U3645" s="120"/>
      <c r="V3645" s="123"/>
      <c r="W3645" s="125"/>
      <c r="X3645" s="142" t="s">
        <v>11647</v>
      </c>
      <c r="Y3645" s="143"/>
      <c r="Z3645" s="143"/>
      <c r="AA3645" s="143"/>
      <c r="AB3645" s="144"/>
      <c r="AC3645" s="16" t="s">
        <v>21</v>
      </c>
      <c r="AD3645" s="17" t="s">
        <v>11774</v>
      </c>
      <c r="AE3645" s="145" t="s">
        <v>11780</v>
      </c>
      <c r="AF3645" s="146"/>
      <c r="AG3645" s="146"/>
      <c r="AH3645" s="146"/>
      <c r="AI3645" s="147"/>
      <c r="AJ3645" s="148"/>
      <c r="AK3645" s="143"/>
      <c r="AL3645" s="144"/>
      <c r="AM3645" s="22"/>
      <c r="AN3645" s="149" t="s">
        <v>11801</v>
      </c>
      <c r="AO3645" s="144"/>
      <c r="AP3645" s="148">
        <v>5079</v>
      </c>
      <c r="AQ3645" s="144"/>
      <c r="AR3645" s="120"/>
      <c r="AS3645" s="121"/>
      <c r="AT3645" s="120"/>
      <c r="AU3645" s="121"/>
      <c r="AV3645" s="120"/>
      <c r="AW3645" s="121"/>
      <c r="AX3645" s="120"/>
      <c r="AY3645" s="121"/>
      <c r="AZ3645" s="138"/>
    </row>
    <row r="3646" spans="1:52" ht="17.100000000000001" customHeight="1" thickTop="1">
      <c r="A3646" s="109" t="s">
        <v>11361</v>
      </c>
      <c r="B3646" s="28">
        <v>45982</v>
      </c>
      <c r="C3646" s="25">
        <v>1395</v>
      </c>
      <c r="D3646" s="13" t="s">
        <v>3550</v>
      </c>
      <c r="E3646" s="111"/>
      <c r="F3646" s="113" t="s">
        <v>8270</v>
      </c>
      <c r="G3646" s="114"/>
      <c r="H3646" s="115"/>
      <c r="I3646" s="24" t="s">
        <v>8224</v>
      </c>
      <c r="J3646" s="116">
        <v>3.5</v>
      </c>
      <c r="K3646" s="118">
        <v>625000</v>
      </c>
      <c r="L3646" s="119"/>
      <c r="M3646" s="118">
        <f t="shared" ref="M3646" si="3280">K3646*0.1</f>
        <v>62500</v>
      </c>
      <c r="N3646" s="119"/>
      <c r="O3646" s="118">
        <v>0</v>
      </c>
      <c r="P3646" s="119"/>
      <c r="Q3646" s="118">
        <v>8430</v>
      </c>
      <c r="R3646" s="119"/>
      <c r="S3646" s="118">
        <v>13200</v>
      </c>
      <c r="T3646" s="119"/>
      <c r="U3646" s="118">
        <f t="shared" ref="U3646" si="3281">SUM(K3646:T3647)</f>
        <v>709130</v>
      </c>
      <c r="V3646" s="122"/>
      <c r="W3646" s="124"/>
      <c r="X3646" s="126" t="s">
        <v>11899</v>
      </c>
      <c r="Y3646" s="127"/>
      <c r="Z3646" s="127"/>
      <c r="AA3646" s="127"/>
      <c r="AB3646" s="128"/>
      <c r="AC3646" s="15" t="s">
        <v>20</v>
      </c>
      <c r="AD3646" s="129" t="s">
        <v>11900</v>
      </c>
      <c r="AE3646" s="130"/>
      <c r="AF3646" s="130"/>
      <c r="AG3646" s="130"/>
      <c r="AH3646" s="130"/>
      <c r="AI3646" s="131"/>
      <c r="AJ3646" s="132"/>
      <c r="AK3646" s="127"/>
      <c r="AL3646" s="128"/>
      <c r="AM3646" s="21" t="s">
        <v>13042</v>
      </c>
      <c r="AN3646" s="133">
        <v>46004</v>
      </c>
      <c r="AO3646" s="134"/>
      <c r="AP3646" s="135">
        <v>1280</v>
      </c>
      <c r="AQ3646" s="136"/>
      <c r="AR3646" s="118">
        <v>675000</v>
      </c>
      <c r="AS3646" s="119"/>
      <c r="AT3646" s="118">
        <f t="shared" ref="AT3646" si="3282">AR3646*0.1</f>
        <v>67500</v>
      </c>
      <c r="AU3646" s="119"/>
      <c r="AV3646" s="118">
        <v>8430</v>
      </c>
      <c r="AW3646" s="119"/>
      <c r="AX3646" s="118">
        <f t="shared" ref="AX3646" si="3283">SUM(AR3646:AW3646)</f>
        <v>750930</v>
      </c>
      <c r="AY3646" s="119"/>
      <c r="AZ3646" s="137">
        <v>46008</v>
      </c>
    </row>
    <row r="3647" spans="1:52" ht="17.100000000000001" customHeight="1" thickBot="1">
      <c r="A3647" s="110"/>
      <c r="B3647" s="27" t="s">
        <v>2641</v>
      </c>
      <c r="C3647" s="27">
        <v>9008</v>
      </c>
      <c r="D3647" s="14" t="s">
        <v>2601</v>
      </c>
      <c r="E3647" s="112"/>
      <c r="F3647" s="139" t="s">
        <v>11371</v>
      </c>
      <c r="G3647" s="140"/>
      <c r="H3647" s="141"/>
      <c r="I3647" s="26">
        <v>43410</v>
      </c>
      <c r="J3647" s="117"/>
      <c r="K3647" s="120"/>
      <c r="L3647" s="121"/>
      <c r="M3647" s="120"/>
      <c r="N3647" s="121"/>
      <c r="O3647" s="120"/>
      <c r="P3647" s="121"/>
      <c r="Q3647" s="120"/>
      <c r="R3647" s="121"/>
      <c r="S3647" s="120"/>
      <c r="T3647" s="121"/>
      <c r="U3647" s="120"/>
      <c r="V3647" s="123"/>
      <c r="W3647" s="125"/>
      <c r="X3647" s="142" t="s">
        <v>10732</v>
      </c>
      <c r="Y3647" s="143"/>
      <c r="Z3647" s="143"/>
      <c r="AA3647" s="143"/>
      <c r="AB3647" s="144"/>
      <c r="AC3647" s="16" t="s">
        <v>21</v>
      </c>
      <c r="AD3647" s="17" t="s">
        <v>1723</v>
      </c>
      <c r="AE3647" s="145" t="s">
        <v>2395</v>
      </c>
      <c r="AF3647" s="146"/>
      <c r="AG3647" s="146"/>
      <c r="AH3647" s="146"/>
      <c r="AI3647" s="147"/>
      <c r="AJ3647" s="148"/>
      <c r="AK3647" s="143"/>
      <c r="AL3647" s="144"/>
      <c r="AM3647" s="22"/>
      <c r="AN3647" s="149" t="s">
        <v>7284</v>
      </c>
      <c r="AO3647" s="144"/>
      <c r="AP3647" s="148">
        <v>60005</v>
      </c>
      <c r="AQ3647" s="144"/>
      <c r="AR3647" s="120"/>
      <c r="AS3647" s="121"/>
      <c r="AT3647" s="120"/>
      <c r="AU3647" s="121"/>
      <c r="AV3647" s="120"/>
      <c r="AW3647" s="121"/>
      <c r="AX3647" s="120"/>
      <c r="AY3647" s="121"/>
      <c r="AZ3647" s="138"/>
    </row>
    <row r="3648" spans="1:52" ht="17.100000000000001" customHeight="1" thickTop="1">
      <c r="A3648" s="109" t="s">
        <v>11377</v>
      </c>
      <c r="B3648" s="28">
        <v>45982</v>
      </c>
      <c r="C3648" s="25">
        <v>70</v>
      </c>
      <c r="D3648" s="13" t="s">
        <v>1853</v>
      </c>
      <c r="E3648" s="111"/>
      <c r="F3648" s="113" t="s">
        <v>11408</v>
      </c>
      <c r="G3648" s="114"/>
      <c r="H3648" s="115"/>
      <c r="I3648" s="24" t="s">
        <v>5401</v>
      </c>
      <c r="J3648" s="116">
        <v>4</v>
      </c>
      <c r="K3648" s="118">
        <v>2935000</v>
      </c>
      <c r="L3648" s="119"/>
      <c r="M3648" s="118">
        <f t="shared" ref="M3648" si="3284">K3648*0.1</f>
        <v>293500</v>
      </c>
      <c r="N3648" s="119"/>
      <c r="O3648" s="118">
        <f>12000+1200</f>
        <v>13200</v>
      </c>
      <c r="P3648" s="119"/>
      <c r="Q3648" s="118">
        <v>10510</v>
      </c>
      <c r="R3648" s="119"/>
      <c r="S3648" s="118">
        <v>66000</v>
      </c>
      <c r="T3648" s="119"/>
      <c r="U3648" s="118">
        <f t="shared" ref="U3648" si="3285">SUM(K3648:T3649)</f>
        <v>3318210</v>
      </c>
      <c r="V3648" s="122"/>
      <c r="W3648" s="124"/>
      <c r="X3648" s="126" t="s">
        <v>12690</v>
      </c>
      <c r="Y3648" s="127"/>
      <c r="Z3648" s="127"/>
      <c r="AA3648" s="127"/>
      <c r="AB3648" s="128"/>
      <c r="AC3648" s="15" t="s">
        <v>20</v>
      </c>
      <c r="AD3648" s="129" t="s">
        <v>10256</v>
      </c>
      <c r="AE3648" s="130"/>
      <c r="AF3648" s="130"/>
      <c r="AG3648" s="130"/>
      <c r="AH3648" s="130"/>
      <c r="AI3648" s="131"/>
      <c r="AJ3648" s="132"/>
      <c r="AK3648" s="127"/>
      <c r="AL3648" s="128"/>
      <c r="AM3648" s="21"/>
      <c r="AN3648" s="133">
        <v>45997</v>
      </c>
      <c r="AO3648" s="134"/>
      <c r="AP3648" s="135">
        <v>1279</v>
      </c>
      <c r="AQ3648" s="136"/>
      <c r="AR3648" s="118">
        <v>3145000</v>
      </c>
      <c r="AS3648" s="119"/>
      <c r="AT3648" s="118">
        <f t="shared" ref="AT3648" si="3286">AR3648*0.1</f>
        <v>314500</v>
      </c>
      <c r="AU3648" s="119"/>
      <c r="AV3648" s="118">
        <v>10510</v>
      </c>
      <c r="AW3648" s="119"/>
      <c r="AX3648" s="118">
        <f t="shared" ref="AX3648" si="3287">SUM(AR3648:AW3648)</f>
        <v>3470010</v>
      </c>
      <c r="AY3648" s="119"/>
      <c r="AZ3648" s="137">
        <v>46001</v>
      </c>
    </row>
    <row r="3649" spans="1:52" ht="17.100000000000001" customHeight="1" thickBot="1">
      <c r="A3649" s="110"/>
      <c r="B3649" s="27" t="s">
        <v>4544</v>
      </c>
      <c r="C3649" s="27">
        <v>1002</v>
      </c>
      <c r="D3649" s="14" t="s">
        <v>2601</v>
      </c>
      <c r="E3649" s="112"/>
      <c r="F3649" s="139" t="s">
        <v>11376</v>
      </c>
      <c r="G3649" s="140"/>
      <c r="H3649" s="141"/>
      <c r="I3649" s="26">
        <v>22247</v>
      </c>
      <c r="J3649" s="117"/>
      <c r="K3649" s="120"/>
      <c r="L3649" s="121"/>
      <c r="M3649" s="120"/>
      <c r="N3649" s="121"/>
      <c r="O3649" s="120"/>
      <c r="P3649" s="121"/>
      <c r="Q3649" s="120"/>
      <c r="R3649" s="121"/>
      <c r="S3649" s="120"/>
      <c r="T3649" s="121"/>
      <c r="U3649" s="120"/>
      <c r="V3649" s="123"/>
      <c r="W3649" s="125"/>
      <c r="X3649" s="142" t="s">
        <v>12691</v>
      </c>
      <c r="Y3649" s="143"/>
      <c r="Z3649" s="143"/>
      <c r="AA3649" s="143"/>
      <c r="AB3649" s="144"/>
      <c r="AC3649" s="16" t="s">
        <v>21</v>
      </c>
      <c r="AD3649" s="17" t="s">
        <v>2255</v>
      </c>
      <c r="AE3649" s="145" t="s">
        <v>2051</v>
      </c>
      <c r="AF3649" s="146"/>
      <c r="AG3649" s="146"/>
      <c r="AH3649" s="146"/>
      <c r="AI3649" s="147"/>
      <c r="AJ3649" s="148"/>
      <c r="AK3649" s="143"/>
      <c r="AL3649" s="144"/>
      <c r="AM3649" s="22"/>
      <c r="AN3649" s="149" t="s">
        <v>2511</v>
      </c>
      <c r="AO3649" s="144"/>
      <c r="AP3649" s="148">
        <v>37478</v>
      </c>
      <c r="AQ3649" s="144"/>
      <c r="AR3649" s="120"/>
      <c r="AS3649" s="121"/>
      <c r="AT3649" s="120"/>
      <c r="AU3649" s="121"/>
      <c r="AV3649" s="120"/>
      <c r="AW3649" s="121"/>
      <c r="AX3649" s="120"/>
      <c r="AY3649" s="121"/>
      <c r="AZ3649" s="138"/>
    </row>
    <row r="3650" spans="1:52" ht="17.100000000000001" customHeight="1" thickTop="1">
      <c r="A3650" s="109" t="s">
        <v>11378</v>
      </c>
      <c r="B3650" s="28">
        <v>45982</v>
      </c>
      <c r="C3650" s="25">
        <v>70</v>
      </c>
      <c r="D3650" s="13" t="s">
        <v>1767</v>
      </c>
      <c r="E3650" s="111"/>
      <c r="F3650" s="113" t="s">
        <v>11409</v>
      </c>
      <c r="G3650" s="114"/>
      <c r="H3650" s="115"/>
      <c r="I3650" s="24" t="s">
        <v>4193</v>
      </c>
      <c r="J3650" s="116">
        <v>4</v>
      </c>
      <c r="K3650" s="118">
        <v>1160000</v>
      </c>
      <c r="L3650" s="119"/>
      <c r="M3650" s="118">
        <f t="shared" ref="M3650" si="3288">K3650*0.1</f>
        <v>116000</v>
      </c>
      <c r="N3650" s="119"/>
      <c r="O3650" s="118">
        <f>11200+1120</f>
        <v>12320</v>
      </c>
      <c r="P3650" s="119"/>
      <c r="Q3650" s="118">
        <v>14420</v>
      </c>
      <c r="R3650" s="119"/>
      <c r="S3650" s="118">
        <v>44000</v>
      </c>
      <c r="T3650" s="119"/>
      <c r="U3650" s="118">
        <f t="shared" ref="U3650" si="3289">SUM(K3650:T3651)</f>
        <v>1346740</v>
      </c>
      <c r="V3650" s="122"/>
      <c r="W3650" s="124"/>
      <c r="X3650" s="126" t="s">
        <v>13664</v>
      </c>
      <c r="Y3650" s="127"/>
      <c r="Z3650" s="127"/>
      <c r="AA3650" s="127"/>
      <c r="AB3650" s="128"/>
      <c r="AC3650" s="15" t="s">
        <v>20</v>
      </c>
      <c r="AD3650" s="129" t="s">
        <v>11397</v>
      </c>
      <c r="AE3650" s="130"/>
      <c r="AF3650" s="130"/>
      <c r="AG3650" s="130"/>
      <c r="AH3650" s="130"/>
      <c r="AI3650" s="131"/>
      <c r="AJ3650" s="132"/>
      <c r="AK3650" s="127"/>
      <c r="AL3650" s="128"/>
      <c r="AM3650" s="21"/>
      <c r="AN3650" s="133">
        <v>46004</v>
      </c>
      <c r="AO3650" s="134"/>
      <c r="AP3650" s="135">
        <v>1280</v>
      </c>
      <c r="AQ3650" s="136"/>
      <c r="AR3650" s="118">
        <v>1455000</v>
      </c>
      <c r="AS3650" s="119"/>
      <c r="AT3650" s="118">
        <f t="shared" ref="AT3650" si="3290">AR3650*0.1</f>
        <v>145500</v>
      </c>
      <c r="AU3650" s="119"/>
      <c r="AV3650" s="118">
        <v>14420</v>
      </c>
      <c r="AW3650" s="119"/>
      <c r="AX3650" s="118">
        <f t="shared" ref="AX3650" si="3291">SUM(AR3650:AW3650)</f>
        <v>1614920</v>
      </c>
      <c r="AY3650" s="119"/>
      <c r="AZ3650" s="137">
        <v>46014</v>
      </c>
    </row>
    <row r="3651" spans="1:52" ht="17.100000000000001" customHeight="1" thickBot="1">
      <c r="A3651" s="110"/>
      <c r="B3651" s="27" t="s">
        <v>4544</v>
      </c>
      <c r="C3651" s="27">
        <v>1011</v>
      </c>
      <c r="D3651" s="14" t="s">
        <v>1720</v>
      </c>
      <c r="E3651" s="112"/>
      <c r="F3651" s="139" t="s">
        <v>11391</v>
      </c>
      <c r="G3651" s="140"/>
      <c r="H3651" s="141"/>
      <c r="I3651" s="26">
        <v>42884</v>
      </c>
      <c r="J3651" s="117"/>
      <c r="K3651" s="120"/>
      <c r="L3651" s="121"/>
      <c r="M3651" s="120"/>
      <c r="N3651" s="121"/>
      <c r="O3651" s="120"/>
      <c r="P3651" s="121"/>
      <c r="Q3651" s="120"/>
      <c r="R3651" s="121"/>
      <c r="S3651" s="120"/>
      <c r="T3651" s="121"/>
      <c r="U3651" s="120"/>
      <c r="V3651" s="123"/>
      <c r="W3651" s="125"/>
      <c r="X3651" s="142" t="s">
        <v>1656</v>
      </c>
      <c r="Y3651" s="143"/>
      <c r="Z3651" s="143"/>
      <c r="AA3651" s="143"/>
      <c r="AB3651" s="144"/>
      <c r="AC3651" s="16" t="s">
        <v>21</v>
      </c>
      <c r="AD3651" s="17" t="s">
        <v>3476</v>
      </c>
      <c r="AE3651" s="145" t="s">
        <v>13665</v>
      </c>
      <c r="AF3651" s="146"/>
      <c r="AG3651" s="146"/>
      <c r="AH3651" s="146"/>
      <c r="AI3651" s="147"/>
      <c r="AJ3651" s="148"/>
      <c r="AK3651" s="143"/>
      <c r="AL3651" s="144"/>
      <c r="AM3651" s="22"/>
      <c r="AN3651" s="149" t="s">
        <v>7284</v>
      </c>
      <c r="AO3651" s="144"/>
      <c r="AP3651" s="148">
        <v>37686</v>
      </c>
      <c r="AQ3651" s="144"/>
      <c r="AR3651" s="120"/>
      <c r="AS3651" s="121"/>
      <c r="AT3651" s="120"/>
      <c r="AU3651" s="121"/>
      <c r="AV3651" s="120"/>
      <c r="AW3651" s="121"/>
      <c r="AX3651" s="120"/>
      <c r="AY3651" s="121"/>
      <c r="AZ3651" s="138"/>
    </row>
    <row r="3652" spans="1:52" ht="17.100000000000001" customHeight="1" thickTop="1">
      <c r="A3652" s="159" t="s">
        <v>11379</v>
      </c>
      <c r="B3652" s="28">
        <v>45982</v>
      </c>
      <c r="C3652" s="25">
        <v>70</v>
      </c>
      <c r="D3652" s="13" t="s">
        <v>1597</v>
      </c>
      <c r="E3652" s="111"/>
      <c r="F3652" s="113" t="s">
        <v>11410</v>
      </c>
      <c r="G3652" s="114"/>
      <c r="H3652" s="115"/>
      <c r="I3652" s="24" t="s">
        <v>2956</v>
      </c>
      <c r="J3652" s="116">
        <v>4</v>
      </c>
      <c r="K3652" s="118">
        <v>420000</v>
      </c>
      <c r="L3652" s="119"/>
      <c r="M3652" s="118">
        <f t="shared" ref="M3652" si="3292">K3652*0.1</f>
        <v>42000</v>
      </c>
      <c r="N3652" s="119"/>
      <c r="O3652" s="118">
        <v>0</v>
      </c>
      <c r="P3652" s="119"/>
      <c r="Q3652" s="118">
        <v>8230</v>
      </c>
      <c r="R3652" s="119"/>
      <c r="S3652" s="118">
        <v>33000</v>
      </c>
      <c r="T3652" s="119"/>
      <c r="U3652" s="118">
        <f t="shared" ref="U3652" si="3293">SUM(K3652:T3653)</f>
        <v>503230</v>
      </c>
      <c r="V3652" s="122"/>
      <c r="W3652" s="124"/>
      <c r="X3652" s="126" t="s">
        <v>13884</v>
      </c>
      <c r="Y3652" s="127"/>
      <c r="Z3652" s="127"/>
      <c r="AA3652" s="127"/>
      <c r="AB3652" s="128"/>
      <c r="AC3652" s="15" t="s">
        <v>20</v>
      </c>
      <c r="AD3652" s="129" t="s">
        <v>11411</v>
      </c>
      <c r="AE3652" s="130"/>
      <c r="AF3652" s="130"/>
      <c r="AG3652" s="130"/>
      <c r="AH3652" s="130"/>
      <c r="AI3652" s="131"/>
      <c r="AJ3652" s="132" t="s">
        <v>15334</v>
      </c>
      <c r="AK3652" s="127"/>
      <c r="AL3652" s="128"/>
      <c r="AM3652" s="21" t="s">
        <v>13978</v>
      </c>
      <c r="AN3652" s="133">
        <v>46085</v>
      </c>
      <c r="AO3652" s="134"/>
      <c r="AP3652" s="135">
        <v>1007</v>
      </c>
      <c r="AQ3652" s="136"/>
      <c r="AR3652" s="118">
        <v>470000</v>
      </c>
      <c r="AS3652" s="119"/>
      <c r="AT3652" s="118">
        <f t="shared" ref="AT3652" si="3294">AR3652*0.1</f>
        <v>47000</v>
      </c>
      <c r="AU3652" s="119"/>
      <c r="AV3652" s="118">
        <v>8230</v>
      </c>
      <c r="AW3652" s="119"/>
      <c r="AX3652" s="118">
        <f t="shared" ref="AX3652" si="3295">SUM(AR3652:AW3652)</f>
        <v>525230</v>
      </c>
      <c r="AY3652" s="119"/>
      <c r="AZ3652" s="137">
        <v>46090</v>
      </c>
    </row>
    <row r="3653" spans="1:52" ht="17.100000000000001" customHeight="1" thickBot="1">
      <c r="A3653" s="160"/>
      <c r="B3653" s="27" t="s">
        <v>4544</v>
      </c>
      <c r="C3653" s="27">
        <v>1036</v>
      </c>
      <c r="D3653" s="14" t="s">
        <v>1556</v>
      </c>
      <c r="E3653" s="112"/>
      <c r="F3653" s="139" t="s">
        <v>11392</v>
      </c>
      <c r="G3653" s="140"/>
      <c r="H3653" s="141"/>
      <c r="I3653" s="26">
        <v>49802</v>
      </c>
      <c r="J3653" s="117"/>
      <c r="K3653" s="120"/>
      <c r="L3653" s="121"/>
      <c r="M3653" s="120"/>
      <c r="N3653" s="121"/>
      <c r="O3653" s="120"/>
      <c r="P3653" s="121"/>
      <c r="Q3653" s="120"/>
      <c r="R3653" s="121"/>
      <c r="S3653" s="120"/>
      <c r="T3653" s="121"/>
      <c r="U3653" s="120"/>
      <c r="V3653" s="123"/>
      <c r="W3653" s="125"/>
      <c r="X3653" s="142" t="s">
        <v>13885</v>
      </c>
      <c r="Y3653" s="143"/>
      <c r="Z3653" s="143"/>
      <c r="AA3653" s="143"/>
      <c r="AB3653" s="144"/>
      <c r="AC3653" s="16" t="s">
        <v>21</v>
      </c>
      <c r="AD3653" s="17" t="s">
        <v>1809</v>
      </c>
      <c r="AE3653" s="145" t="s">
        <v>12890</v>
      </c>
      <c r="AF3653" s="146"/>
      <c r="AG3653" s="146"/>
      <c r="AH3653" s="146"/>
      <c r="AI3653" s="147"/>
      <c r="AJ3653" s="148" t="s">
        <v>15377</v>
      </c>
      <c r="AK3653" s="143"/>
      <c r="AL3653" s="144"/>
      <c r="AM3653" s="22"/>
      <c r="AN3653" s="149" t="s">
        <v>2794</v>
      </c>
      <c r="AO3653" s="144"/>
      <c r="AP3653" s="148">
        <v>2013</v>
      </c>
      <c r="AQ3653" s="144"/>
      <c r="AR3653" s="120"/>
      <c r="AS3653" s="121"/>
      <c r="AT3653" s="120"/>
      <c r="AU3653" s="121"/>
      <c r="AV3653" s="120"/>
      <c r="AW3653" s="121"/>
      <c r="AX3653" s="120"/>
      <c r="AY3653" s="121"/>
      <c r="AZ3653" s="138"/>
    </row>
    <row r="3654" spans="1:52" ht="17.100000000000001" customHeight="1" thickTop="1">
      <c r="A3654" s="109" t="s">
        <v>11380</v>
      </c>
      <c r="B3654" s="28">
        <v>45982</v>
      </c>
      <c r="C3654" s="25">
        <v>70</v>
      </c>
      <c r="D3654" s="13" t="s">
        <v>1688</v>
      </c>
      <c r="E3654" s="111"/>
      <c r="F3654" s="113" t="s">
        <v>9488</v>
      </c>
      <c r="G3654" s="114"/>
      <c r="H3654" s="115"/>
      <c r="I3654" s="24" t="s">
        <v>3399</v>
      </c>
      <c r="J3654" s="116">
        <v>4.5</v>
      </c>
      <c r="K3654" s="118">
        <v>1800000</v>
      </c>
      <c r="L3654" s="119"/>
      <c r="M3654" s="118">
        <f t="shared" ref="M3654" si="3296">K3654*0.1</f>
        <v>180000</v>
      </c>
      <c r="N3654" s="119"/>
      <c r="O3654" s="118">
        <f>10100+1010</f>
        <v>11110</v>
      </c>
      <c r="P3654" s="119"/>
      <c r="Q3654" s="118">
        <v>7470</v>
      </c>
      <c r="R3654" s="119"/>
      <c r="S3654" s="118">
        <v>44000</v>
      </c>
      <c r="T3654" s="119"/>
      <c r="U3654" s="118">
        <f t="shared" ref="U3654" si="3297">SUM(K3654:T3655)</f>
        <v>2042580</v>
      </c>
      <c r="V3654" s="122"/>
      <c r="W3654" s="124"/>
      <c r="X3654" s="126" t="s">
        <v>12350</v>
      </c>
      <c r="Y3654" s="127"/>
      <c r="Z3654" s="127"/>
      <c r="AA3654" s="127"/>
      <c r="AB3654" s="128"/>
      <c r="AC3654" s="15" t="s">
        <v>20</v>
      </c>
      <c r="AD3654" s="129" t="s">
        <v>9477</v>
      </c>
      <c r="AE3654" s="130"/>
      <c r="AF3654" s="130"/>
      <c r="AG3654" s="130"/>
      <c r="AH3654" s="130"/>
      <c r="AI3654" s="131"/>
      <c r="AJ3654" s="132"/>
      <c r="AK3654" s="127"/>
      <c r="AL3654" s="128"/>
      <c r="AM3654" s="21"/>
      <c r="AN3654" s="133">
        <v>45997</v>
      </c>
      <c r="AO3654" s="134"/>
      <c r="AP3654" s="135">
        <v>1279</v>
      </c>
      <c r="AQ3654" s="136"/>
      <c r="AR3654" s="118">
        <v>1915000</v>
      </c>
      <c r="AS3654" s="119"/>
      <c r="AT3654" s="118">
        <f t="shared" ref="AT3654" si="3298">AR3654*0.1</f>
        <v>191500</v>
      </c>
      <c r="AU3654" s="119"/>
      <c r="AV3654" s="118">
        <v>7470</v>
      </c>
      <c r="AW3654" s="119"/>
      <c r="AX3654" s="118">
        <f t="shared" ref="AX3654" si="3299">SUM(AR3654:AW3654)</f>
        <v>2113970</v>
      </c>
      <c r="AY3654" s="119"/>
      <c r="AZ3654" s="137">
        <v>46007</v>
      </c>
    </row>
    <row r="3655" spans="1:52" ht="17.100000000000001" customHeight="1" thickBot="1">
      <c r="A3655" s="110"/>
      <c r="B3655" s="27" t="s">
        <v>4544</v>
      </c>
      <c r="C3655" s="27">
        <v>1043</v>
      </c>
      <c r="D3655" s="14" t="s">
        <v>2836</v>
      </c>
      <c r="E3655" s="112"/>
      <c r="F3655" s="139" t="s">
        <v>11393</v>
      </c>
      <c r="G3655" s="140"/>
      <c r="H3655" s="141"/>
      <c r="I3655" s="26">
        <v>20671</v>
      </c>
      <c r="J3655" s="117"/>
      <c r="K3655" s="120"/>
      <c r="L3655" s="121"/>
      <c r="M3655" s="120"/>
      <c r="N3655" s="121"/>
      <c r="O3655" s="120"/>
      <c r="P3655" s="121"/>
      <c r="Q3655" s="120"/>
      <c r="R3655" s="121"/>
      <c r="S3655" s="120"/>
      <c r="T3655" s="121"/>
      <c r="U3655" s="120"/>
      <c r="V3655" s="123"/>
      <c r="W3655" s="125"/>
      <c r="X3655" s="142" t="s">
        <v>12351</v>
      </c>
      <c r="Y3655" s="143"/>
      <c r="Z3655" s="143"/>
      <c r="AA3655" s="143"/>
      <c r="AB3655" s="144"/>
      <c r="AC3655" s="16" t="s">
        <v>21</v>
      </c>
      <c r="AD3655" s="17" t="s">
        <v>2248</v>
      </c>
      <c r="AE3655" s="145" t="s">
        <v>1609</v>
      </c>
      <c r="AF3655" s="146"/>
      <c r="AG3655" s="146"/>
      <c r="AH3655" s="146"/>
      <c r="AI3655" s="147"/>
      <c r="AJ3655" s="148"/>
      <c r="AK3655" s="143"/>
      <c r="AL3655" s="144"/>
      <c r="AM3655" s="22" t="s">
        <v>3483</v>
      </c>
      <c r="AN3655" s="149" t="s">
        <v>6748</v>
      </c>
      <c r="AO3655" s="144"/>
      <c r="AP3655" s="148">
        <v>37475</v>
      </c>
      <c r="AQ3655" s="144"/>
      <c r="AR3655" s="120"/>
      <c r="AS3655" s="121"/>
      <c r="AT3655" s="120"/>
      <c r="AU3655" s="121"/>
      <c r="AV3655" s="120"/>
      <c r="AW3655" s="121"/>
      <c r="AX3655" s="120"/>
      <c r="AY3655" s="121"/>
      <c r="AZ3655" s="138"/>
    </row>
    <row r="3656" spans="1:52" ht="17.100000000000001" customHeight="1" thickTop="1">
      <c r="A3656" s="109" t="s">
        <v>11381</v>
      </c>
      <c r="B3656" s="28">
        <v>45982</v>
      </c>
      <c r="C3656" s="25">
        <v>70</v>
      </c>
      <c r="D3656" s="13" t="s">
        <v>2001</v>
      </c>
      <c r="E3656" s="111"/>
      <c r="F3656" s="113" t="s">
        <v>11412</v>
      </c>
      <c r="G3656" s="114"/>
      <c r="H3656" s="115"/>
      <c r="I3656" s="24" t="s">
        <v>2861</v>
      </c>
      <c r="J3656" s="116">
        <v>4</v>
      </c>
      <c r="K3656" s="118">
        <v>1385000</v>
      </c>
      <c r="L3656" s="119"/>
      <c r="M3656" s="118">
        <f t="shared" ref="M3656" si="3300">K3656*0.1</f>
        <v>138500</v>
      </c>
      <c r="N3656" s="119"/>
      <c r="O3656" s="118">
        <v>0</v>
      </c>
      <c r="P3656" s="119"/>
      <c r="Q3656" s="118">
        <v>8550</v>
      </c>
      <c r="R3656" s="119"/>
      <c r="S3656" s="118">
        <v>44000</v>
      </c>
      <c r="T3656" s="119"/>
      <c r="U3656" s="118">
        <f t="shared" ref="U3656" si="3301">SUM(K3656:T3657)</f>
        <v>1576050</v>
      </c>
      <c r="V3656" s="122"/>
      <c r="W3656" s="124"/>
      <c r="X3656" s="126" t="s">
        <v>13771</v>
      </c>
      <c r="Y3656" s="127"/>
      <c r="Z3656" s="127"/>
      <c r="AA3656" s="127"/>
      <c r="AB3656" s="128"/>
      <c r="AC3656" s="15" t="s">
        <v>20</v>
      </c>
      <c r="AD3656" s="129" t="s">
        <v>11413</v>
      </c>
      <c r="AE3656" s="130"/>
      <c r="AF3656" s="130"/>
      <c r="AG3656" s="130"/>
      <c r="AH3656" s="130"/>
      <c r="AI3656" s="131"/>
      <c r="AJ3656" s="132"/>
      <c r="AK3656" s="127"/>
      <c r="AL3656" s="128"/>
      <c r="AM3656" s="21"/>
      <c r="AN3656" s="133">
        <v>46014</v>
      </c>
      <c r="AO3656" s="134"/>
      <c r="AP3656" s="135">
        <v>1923</v>
      </c>
      <c r="AQ3656" s="136"/>
      <c r="AR3656" s="118">
        <v>1635000</v>
      </c>
      <c r="AS3656" s="119"/>
      <c r="AT3656" s="118">
        <f t="shared" ref="AT3656" si="3302">AR3656*0.1</f>
        <v>163500</v>
      </c>
      <c r="AU3656" s="119"/>
      <c r="AV3656" s="118">
        <v>8550</v>
      </c>
      <c r="AW3656" s="119"/>
      <c r="AX3656" s="118">
        <f t="shared" ref="AX3656" si="3303">SUM(AR3656:AW3656)</f>
        <v>1807050</v>
      </c>
      <c r="AY3656" s="119"/>
      <c r="AZ3656" s="137">
        <v>46020</v>
      </c>
    </row>
    <row r="3657" spans="1:52" ht="17.100000000000001" customHeight="1" thickBot="1">
      <c r="A3657" s="110"/>
      <c r="B3657" s="27" t="s">
        <v>4544</v>
      </c>
      <c r="C3657" s="27">
        <v>1048</v>
      </c>
      <c r="D3657" s="14" t="s">
        <v>275</v>
      </c>
      <c r="E3657" s="112"/>
      <c r="F3657" s="139" t="s">
        <v>11394</v>
      </c>
      <c r="G3657" s="140"/>
      <c r="H3657" s="141"/>
      <c r="I3657" s="26">
        <v>13713</v>
      </c>
      <c r="J3657" s="117"/>
      <c r="K3657" s="120"/>
      <c r="L3657" s="121"/>
      <c r="M3657" s="120"/>
      <c r="N3657" s="121"/>
      <c r="O3657" s="120"/>
      <c r="P3657" s="121"/>
      <c r="Q3657" s="120"/>
      <c r="R3657" s="121"/>
      <c r="S3657" s="120"/>
      <c r="T3657" s="121"/>
      <c r="U3657" s="120"/>
      <c r="V3657" s="123"/>
      <c r="W3657" s="125"/>
      <c r="X3657" s="142" t="s">
        <v>4285</v>
      </c>
      <c r="Y3657" s="143"/>
      <c r="Z3657" s="143"/>
      <c r="AA3657" s="143"/>
      <c r="AB3657" s="144"/>
      <c r="AC3657" s="16" t="s">
        <v>21</v>
      </c>
      <c r="AD3657" s="17" t="s">
        <v>3476</v>
      </c>
      <c r="AE3657" s="145" t="s">
        <v>1742</v>
      </c>
      <c r="AF3657" s="146"/>
      <c r="AG3657" s="146"/>
      <c r="AH3657" s="146"/>
      <c r="AI3657" s="147"/>
      <c r="AJ3657" s="148"/>
      <c r="AK3657" s="143"/>
      <c r="AL3657" s="144"/>
      <c r="AM3657" s="22"/>
      <c r="AN3657" s="149" t="s">
        <v>2131</v>
      </c>
      <c r="AO3657" s="144"/>
      <c r="AP3657" s="148">
        <v>3095</v>
      </c>
      <c r="AQ3657" s="144"/>
      <c r="AR3657" s="120"/>
      <c r="AS3657" s="121"/>
      <c r="AT3657" s="120"/>
      <c r="AU3657" s="121"/>
      <c r="AV3657" s="120"/>
      <c r="AW3657" s="121"/>
      <c r="AX3657" s="120"/>
      <c r="AY3657" s="121"/>
      <c r="AZ3657" s="138"/>
    </row>
    <row r="3658" spans="1:52" ht="17.100000000000001" customHeight="1" thickTop="1">
      <c r="A3658" s="109" t="s">
        <v>11382</v>
      </c>
      <c r="B3658" s="28">
        <v>45982</v>
      </c>
      <c r="C3658" s="25">
        <v>70</v>
      </c>
      <c r="D3658" s="13" t="s">
        <v>1640</v>
      </c>
      <c r="E3658" s="111"/>
      <c r="F3658" s="113" t="s">
        <v>11414</v>
      </c>
      <c r="G3658" s="114"/>
      <c r="H3658" s="115"/>
      <c r="I3658" s="24" t="s">
        <v>3399</v>
      </c>
      <c r="J3658" s="116">
        <v>3.5</v>
      </c>
      <c r="K3658" s="118">
        <v>1150000</v>
      </c>
      <c r="L3658" s="119"/>
      <c r="M3658" s="118">
        <f t="shared" ref="M3658" si="3304">K3658*0.1</f>
        <v>115000</v>
      </c>
      <c r="N3658" s="119"/>
      <c r="O3658" s="118">
        <f>9800+980</f>
        <v>10780</v>
      </c>
      <c r="P3658" s="119"/>
      <c r="Q3658" s="118">
        <v>12030</v>
      </c>
      <c r="R3658" s="119"/>
      <c r="S3658" s="118">
        <v>44000</v>
      </c>
      <c r="T3658" s="119"/>
      <c r="U3658" s="118">
        <f t="shared" ref="U3658" si="3305">SUM(K3658:T3659)</f>
        <v>1331810</v>
      </c>
      <c r="V3658" s="122"/>
      <c r="W3658" s="124"/>
      <c r="X3658" s="126" t="s">
        <v>13332</v>
      </c>
      <c r="Y3658" s="127"/>
      <c r="Z3658" s="127"/>
      <c r="AA3658" s="127"/>
      <c r="AB3658" s="128"/>
      <c r="AC3658" s="15" t="s">
        <v>20</v>
      </c>
      <c r="AD3658" s="129" t="s">
        <v>11397</v>
      </c>
      <c r="AE3658" s="130"/>
      <c r="AF3658" s="130"/>
      <c r="AG3658" s="130"/>
      <c r="AH3658" s="130"/>
      <c r="AI3658" s="131"/>
      <c r="AJ3658" s="132"/>
      <c r="AK3658" s="127"/>
      <c r="AL3658" s="128"/>
      <c r="AM3658" s="21"/>
      <c r="AN3658" s="133">
        <v>46004</v>
      </c>
      <c r="AO3658" s="134"/>
      <c r="AP3658" s="135">
        <v>1280</v>
      </c>
      <c r="AQ3658" s="136"/>
      <c r="AR3658" s="118">
        <v>1250000</v>
      </c>
      <c r="AS3658" s="119"/>
      <c r="AT3658" s="118">
        <f t="shared" ref="AT3658" si="3306">AR3658*0.1</f>
        <v>125000</v>
      </c>
      <c r="AU3658" s="119"/>
      <c r="AV3658" s="118">
        <v>12030</v>
      </c>
      <c r="AW3658" s="119"/>
      <c r="AX3658" s="118">
        <f t="shared" ref="AX3658" si="3307">SUM(AR3658:AW3658)</f>
        <v>1387030</v>
      </c>
      <c r="AY3658" s="119"/>
      <c r="AZ3658" s="137">
        <v>46007</v>
      </c>
    </row>
    <row r="3659" spans="1:52" ht="17.100000000000001" customHeight="1" thickBot="1">
      <c r="A3659" s="110"/>
      <c r="B3659" s="27" t="s">
        <v>4544</v>
      </c>
      <c r="C3659" s="27">
        <v>1049</v>
      </c>
      <c r="D3659" s="14" t="s">
        <v>1720</v>
      </c>
      <c r="E3659" s="112"/>
      <c r="F3659" s="139" t="s">
        <v>11395</v>
      </c>
      <c r="G3659" s="140"/>
      <c r="H3659" s="141"/>
      <c r="I3659" s="26">
        <v>83957</v>
      </c>
      <c r="J3659" s="117"/>
      <c r="K3659" s="120"/>
      <c r="L3659" s="121"/>
      <c r="M3659" s="120"/>
      <c r="N3659" s="121"/>
      <c r="O3659" s="120"/>
      <c r="P3659" s="121"/>
      <c r="Q3659" s="120"/>
      <c r="R3659" s="121"/>
      <c r="S3659" s="120"/>
      <c r="T3659" s="121"/>
      <c r="U3659" s="120"/>
      <c r="V3659" s="123"/>
      <c r="W3659" s="125"/>
      <c r="X3659" s="142" t="s">
        <v>13333</v>
      </c>
      <c r="Y3659" s="143"/>
      <c r="Z3659" s="143"/>
      <c r="AA3659" s="143"/>
      <c r="AB3659" s="144"/>
      <c r="AC3659" s="16" t="s">
        <v>21</v>
      </c>
      <c r="AD3659" s="17" t="s">
        <v>2268</v>
      </c>
      <c r="AE3659" s="145" t="s">
        <v>1742</v>
      </c>
      <c r="AF3659" s="146"/>
      <c r="AG3659" s="146"/>
      <c r="AH3659" s="146"/>
      <c r="AI3659" s="147"/>
      <c r="AJ3659" s="148"/>
      <c r="AK3659" s="143"/>
      <c r="AL3659" s="144"/>
      <c r="AM3659" s="22"/>
      <c r="AN3659" s="149" t="s">
        <v>2511</v>
      </c>
      <c r="AO3659" s="144"/>
      <c r="AP3659" s="148">
        <v>37684</v>
      </c>
      <c r="AQ3659" s="144"/>
      <c r="AR3659" s="120"/>
      <c r="AS3659" s="121"/>
      <c r="AT3659" s="120"/>
      <c r="AU3659" s="121"/>
      <c r="AV3659" s="120"/>
      <c r="AW3659" s="121"/>
      <c r="AX3659" s="120"/>
      <c r="AY3659" s="121"/>
      <c r="AZ3659" s="138"/>
    </row>
    <row r="3660" spans="1:52" ht="17.100000000000001" customHeight="1" thickTop="1">
      <c r="A3660" s="109" t="s">
        <v>11383</v>
      </c>
      <c r="B3660" s="28">
        <v>45982</v>
      </c>
      <c r="C3660" s="25">
        <v>70</v>
      </c>
      <c r="D3660" s="13" t="s">
        <v>2442</v>
      </c>
      <c r="E3660" s="111"/>
      <c r="F3660" s="113" t="s">
        <v>11415</v>
      </c>
      <c r="G3660" s="114"/>
      <c r="H3660" s="115"/>
      <c r="I3660" s="24" t="s">
        <v>3463</v>
      </c>
      <c r="J3660" s="116">
        <v>4</v>
      </c>
      <c r="K3660" s="118">
        <v>895000</v>
      </c>
      <c r="L3660" s="119"/>
      <c r="M3660" s="118">
        <f t="shared" ref="M3660" si="3308">K3660*0.1</f>
        <v>89500</v>
      </c>
      <c r="N3660" s="119"/>
      <c r="O3660" s="118">
        <v>0</v>
      </c>
      <c r="P3660" s="119"/>
      <c r="Q3660" s="118">
        <v>8110</v>
      </c>
      <c r="R3660" s="119"/>
      <c r="S3660" s="118">
        <v>33000</v>
      </c>
      <c r="T3660" s="119"/>
      <c r="U3660" s="118">
        <f t="shared" ref="U3660" si="3309">SUM(K3660:T3661)</f>
        <v>1025610</v>
      </c>
      <c r="V3660" s="122"/>
      <c r="W3660" s="124"/>
      <c r="X3660" s="126" t="s">
        <v>12923</v>
      </c>
      <c r="Y3660" s="127"/>
      <c r="Z3660" s="127"/>
      <c r="AA3660" s="127"/>
      <c r="AB3660" s="128"/>
      <c r="AC3660" s="15" t="s">
        <v>20</v>
      </c>
      <c r="AD3660" s="129" t="s">
        <v>11416</v>
      </c>
      <c r="AE3660" s="130"/>
      <c r="AF3660" s="130"/>
      <c r="AG3660" s="130"/>
      <c r="AH3660" s="130"/>
      <c r="AI3660" s="131"/>
      <c r="AJ3660" s="132"/>
      <c r="AK3660" s="127"/>
      <c r="AL3660" s="128"/>
      <c r="AM3660" s="21"/>
      <c r="AN3660" s="133">
        <v>46000</v>
      </c>
      <c r="AO3660" s="134"/>
      <c r="AP3660" s="135">
        <v>1921</v>
      </c>
      <c r="AQ3660" s="136"/>
      <c r="AR3660" s="118">
        <v>1088000</v>
      </c>
      <c r="AS3660" s="119"/>
      <c r="AT3660" s="118">
        <f t="shared" ref="AT3660" si="3310">AR3660*0.1</f>
        <v>108800</v>
      </c>
      <c r="AU3660" s="119"/>
      <c r="AV3660" s="118">
        <v>8110</v>
      </c>
      <c r="AW3660" s="119"/>
      <c r="AX3660" s="118">
        <f t="shared" ref="AX3660" si="3311">SUM(AR3660:AW3660)</f>
        <v>1204910</v>
      </c>
      <c r="AY3660" s="119"/>
      <c r="AZ3660" s="137"/>
    </row>
    <row r="3661" spans="1:52" ht="17.100000000000001" customHeight="1" thickBot="1">
      <c r="A3661" s="110"/>
      <c r="B3661" s="27" t="s">
        <v>4544</v>
      </c>
      <c r="C3661" s="27">
        <v>1058</v>
      </c>
      <c r="D3661" s="14" t="s">
        <v>2601</v>
      </c>
      <c r="E3661" s="112"/>
      <c r="F3661" s="139" t="s">
        <v>11396</v>
      </c>
      <c r="G3661" s="140"/>
      <c r="H3661" s="141"/>
      <c r="I3661" s="26">
        <v>46490</v>
      </c>
      <c r="J3661" s="117"/>
      <c r="K3661" s="120"/>
      <c r="L3661" s="121"/>
      <c r="M3661" s="120"/>
      <c r="N3661" s="121"/>
      <c r="O3661" s="120"/>
      <c r="P3661" s="121"/>
      <c r="Q3661" s="120"/>
      <c r="R3661" s="121"/>
      <c r="S3661" s="120"/>
      <c r="T3661" s="121"/>
      <c r="U3661" s="120"/>
      <c r="V3661" s="123"/>
      <c r="W3661" s="125"/>
      <c r="X3661" s="142" t="s">
        <v>12924</v>
      </c>
      <c r="Y3661" s="143"/>
      <c r="Z3661" s="143"/>
      <c r="AA3661" s="143"/>
      <c r="AB3661" s="144"/>
      <c r="AC3661" s="16" t="s">
        <v>21</v>
      </c>
      <c r="AD3661" s="17" t="s">
        <v>12921</v>
      </c>
      <c r="AE3661" s="145" t="s">
        <v>12925</v>
      </c>
      <c r="AF3661" s="146"/>
      <c r="AG3661" s="146"/>
      <c r="AH3661" s="146"/>
      <c r="AI3661" s="147"/>
      <c r="AJ3661" s="148"/>
      <c r="AK3661" s="143"/>
      <c r="AL3661" s="144"/>
      <c r="AM3661" s="22"/>
      <c r="AN3661" s="149" t="s">
        <v>2131</v>
      </c>
      <c r="AO3661" s="144"/>
      <c r="AP3661" s="148">
        <v>3451</v>
      </c>
      <c r="AQ3661" s="144"/>
      <c r="AR3661" s="120"/>
      <c r="AS3661" s="121"/>
      <c r="AT3661" s="120"/>
      <c r="AU3661" s="121"/>
      <c r="AV3661" s="120"/>
      <c r="AW3661" s="121"/>
      <c r="AX3661" s="120"/>
      <c r="AY3661" s="121"/>
      <c r="AZ3661" s="138"/>
    </row>
    <row r="3662" spans="1:52" ht="17.100000000000001" customHeight="1" thickTop="1">
      <c r="A3662" s="109" t="s">
        <v>11384</v>
      </c>
      <c r="B3662" s="28">
        <v>45982</v>
      </c>
      <c r="C3662" s="25">
        <v>70</v>
      </c>
      <c r="D3662" s="13" t="s">
        <v>1695</v>
      </c>
      <c r="E3662" s="111"/>
      <c r="F3662" s="113" t="s">
        <v>11417</v>
      </c>
      <c r="G3662" s="114"/>
      <c r="H3662" s="115"/>
      <c r="I3662" s="24" t="s">
        <v>3931</v>
      </c>
      <c r="J3662" s="116">
        <v>4</v>
      </c>
      <c r="K3662" s="118">
        <v>565000</v>
      </c>
      <c r="L3662" s="119"/>
      <c r="M3662" s="118">
        <f t="shared" ref="M3662" si="3312">K3662*0.1</f>
        <v>56500</v>
      </c>
      <c r="N3662" s="119"/>
      <c r="O3662" s="118">
        <v>0</v>
      </c>
      <c r="P3662" s="119"/>
      <c r="Q3662" s="118">
        <v>9200</v>
      </c>
      <c r="R3662" s="119"/>
      <c r="S3662" s="118">
        <v>33000</v>
      </c>
      <c r="T3662" s="119"/>
      <c r="U3662" s="118">
        <f t="shared" ref="U3662" si="3313">SUM(K3662:T3663)</f>
        <v>663700</v>
      </c>
      <c r="V3662" s="122"/>
      <c r="W3662" s="124"/>
      <c r="X3662" s="126" t="s">
        <v>12886</v>
      </c>
      <c r="Y3662" s="127"/>
      <c r="Z3662" s="127"/>
      <c r="AA3662" s="127"/>
      <c r="AB3662" s="128"/>
      <c r="AC3662" s="15" t="s">
        <v>20</v>
      </c>
      <c r="AD3662" s="129" t="s">
        <v>11397</v>
      </c>
      <c r="AE3662" s="130"/>
      <c r="AF3662" s="130"/>
      <c r="AG3662" s="130"/>
      <c r="AH3662" s="130"/>
      <c r="AI3662" s="131"/>
      <c r="AJ3662" s="132"/>
      <c r="AK3662" s="127"/>
      <c r="AL3662" s="128"/>
      <c r="AM3662" s="21"/>
      <c r="AN3662" s="133">
        <v>46000</v>
      </c>
      <c r="AO3662" s="134"/>
      <c r="AP3662" s="135">
        <v>1921</v>
      </c>
      <c r="AQ3662" s="136"/>
      <c r="AR3662" s="118">
        <v>751000</v>
      </c>
      <c r="AS3662" s="119"/>
      <c r="AT3662" s="118">
        <f t="shared" ref="AT3662" si="3314">AR3662*0.1</f>
        <v>75100</v>
      </c>
      <c r="AU3662" s="119"/>
      <c r="AV3662" s="118">
        <v>9200</v>
      </c>
      <c r="AW3662" s="119"/>
      <c r="AX3662" s="118">
        <f t="shared" ref="AX3662" si="3315">SUM(AR3662:AW3662)</f>
        <v>835300</v>
      </c>
      <c r="AY3662" s="119"/>
      <c r="AZ3662" s="137">
        <v>46006</v>
      </c>
    </row>
    <row r="3663" spans="1:52" ht="17.100000000000001" customHeight="1" thickBot="1">
      <c r="A3663" s="110"/>
      <c r="B3663" s="27" t="s">
        <v>4544</v>
      </c>
      <c r="C3663" s="27">
        <v>1071</v>
      </c>
      <c r="D3663" s="14" t="s">
        <v>3327</v>
      </c>
      <c r="E3663" s="112"/>
      <c r="F3663" s="139" t="s">
        <v>11473</v>
      </c>
      <c r="G3663" s="140"/>
      <c r="H3663" s="141"/>
      <c r="I3663" s="26">
        <v>26309</v>
      </c>
      <c r="J3663" s="117"/>
      <c r="K3663" s="120"/>
      <c r="L3663" s="121"/>
      <c r="M3663" s="120"/>
      <c r="N3663" s="121"/>
      <c r="O3663" s="120"/>
      <c r="P3663" s="121"/>
      <c r="Q3663" s="120"/>
      <c r="R3663" s="121"/>
      <c r="S3663" s="120"/>
      <c r="T3663" s="121"/>
      <c r="U3663" s="120"/>
      <c r="V3663" s="123"/>
      <c r="W3663" s="125"/>
      <c r="X3663" s="142" t="s">
        <v>12887</v>
      </c>
      <c r="Y3663" s="143"/>
      <c r="Z3663" s="143"/>
      <c r="AA3663" s="143"/>
      <c r="AB3663" s="144"/>
      <c r="AC3663" s="16" t="s">
        <v>21</v>
      </c>
      <c r="AD3663" s="17" t="s">
        <v>12856</v>
      </c>
      <c r="AE3663" s="145" t="s">
        <v>12544</v>
      </c>
      <c r="AF3663" s="146"/>
      <c r="AG3663" s="146"/>
      <c r="AH3663" s="146"/>
      <c r="AI3663" s="147"/>
      <c r="AJ3663" s="148"/>
      <c r="AK3663" s="143"/>
      <c r="AL3663" s="144"/>
      <c r="AM3663" s="22"/>
      <c r="AN3663" s="149" t="s">
        <v>2131</v>
      </c>
      <c r="AO3663" s="144"/>
      <c r="AP3663" s="148">
        <v>3261</v>
      </c>
      <c r="AQ3663" s="144"/>
      <c r="AR3663" s="120"/>
      <c r="AS3663" s="121"/>
      <c r="AT3663" s="120"/>
      <c r="AU3663" s="121"/>
      <c r="AV3663" s="120"/>
      <c r="AW3663" s="121"/>
      <c r="AX3663" s="120"/>
      <c r="AY3663" s="121"/>
      <c r="AZ3663" s="138"/>
    </row>
    <row r="3664" spans="1:52" ht="17.100000000000001" customHeight="1" thickTop="1">
      <c r="A3664" s="109" t="s">
        <v>11385</v>
      </c>
      <c r="B3664" s="28">
        <v>45982</v>
      </c>
      <c r="C3664" s="25">
        <v>70</v>
      </c>
      <c r="D3664" s="13" t="s">
        <v>2092</v>
      </c>
      <c r="E3664" s="111"/>
      <c r="F3664" s="113" t="s">
        <v>11418</v>
      </c>
      <c r="G3664" s="114"/>
      <c r="H3664" s="115"/>
      <c r="I3664" s="24" t="s">
        <v>3509</v>
      </c>
      <c r="J3664" s="116">
        <v>4.5</v>
      </c>
      <c r="K3664" s="118">
        <v>1290000</v>
      </c>
      <c r="L3664" s="119"/>
      <c r="M3664" s="118">
        <f t="shared" ref="M3664" si="3316">K3664*0.1</f>
        <v>129000</v>
      </c>
      <c r="N3664" s="119"/>
      <c r="O3664" s="118">
        <v>0</v>
      </c>
      <c r="P3664" s="119"/>
      <c r="Q3664" s="118">
        <v>7510</v>
      </c>
      <c r="R3664" s="119"/>
      <c r="S3664" s="118">
        <v>44000</v>
      </c>
      <c r="T3664" s="119"/>
      <c r="U3664" s="118">
        <f t="shared" ref="U3664" si="3317">SUM(K3664:T3665)</f>
        <v>1470510</v>
      </c>
      <c r="V3664" s="122"/>
      <c r="W3664" s="124"/>
      <c r="X3664" s="126" t="s">
        <v>12878</v>
      </c>
      <c r="Y3664" s="127"/>
      <c r="Z3664" s="127"/>
      <c r="AA3664" s="127"/>
      <c r="AB3664" s="128"/>
      <c r="AC3664" s="15" t="s">
        <v>20</v>
      </c>
      <c r="AD3664" s="129" t="s">
        <v>9477</v>
      </c>
      <c r="AE3664" s="130"/>
      <c r="AF3664" s="130"/>
      <c r="AG3664" s="130"/>
      <c r="AH3664" s="130"/>
      <c r="AI3664" s="131"/>
      <c r="AJ3664" s="132"/>
      <c r="AK3664" s="127"/>
      <c r="AL3664" s="128"/>
      <c r="AM3664" s="21" t="s">
        <v>13047</v>
      </c>
      <c r="AN3664" s="133">
        <v>46000</v>
      </c>
      <c r="AO3664" s="134"/>
      <c r="AP3664" s="135">
        <v>1921</v>
      </c>
      <c r="AQ3664" s="136"/>
      <c r="AR3664" s="118">
        <v>1373000</v>
      </c>
      <c r="AS3664" s="119"/>
      <c r="AT3664" s="118">
        <f t="shared" ref="AT3664" si="3318">AR3664*0.1</f>
        <v>137300</v>
      </c>
      <c r="AU3664" s="119"/>
      <c r="AV3664" s="118">
        <v>7510</v>
      </c>
      <c r="AW3664" s="119"/>
      <c r="AX3664" s="118">
        <f t="shared" ref="AX3664" si="3319">SUM(AR3664:AW3664)</f>
        <v>1517810</v>
      </c>
      <c r="AY3664" s="119"/>
      <c r="AZ3664" s="137">
        <v>46006</v>
      </c>
    </row>
    <row r="3665" spans="1:52" ht="17.100000000000001" customHeight="1" thickBot="1">
      <c r="A3665" s="110"/>
      <c r="B3665" s="27" t="s">
        <v>4544</v>
      </c>
      <c r="C3665" s="27">
        <v>1076</v>
      </c>
      <c r="D3665" s="14" t="s">
        <v>133</v>
      </c>
      <c r="E3665" s="112"/>
      <c r="F3665" s="139" t="s">
        <v>11398</v>
      </c>
      <c r="G3665" s="140"/>
      <c r="H3665" s="141"/>
      <c r="I3665" s="26">
        <v>28827</v>
      </c>
      <c r="J3665" s="117"/>
      <c r="K3665" s="120"/>
      <c r="L3665" s="121"/>
      <c r="M3665" s="120"/>
      <c r="N3665" s="121"/>
      <c r="O3665" s="120"/>
      <c r="P3665" s="121"/>
      <c r="Q3665" s="120"/>
      <c r="R3665" s="121"/>
      <c r="S3665" s="120"/>
      <c r="T3665" s="121"/>
      <c r="U3665" s="120"/>
      <c r="V3665" s="123"/>
      <c r="W3665" s="125"/>
      <c r="X3665" s="142" t="s">
        <v>12879</v>
      </c>
      <c r="Y3665" s="143"/>
      <c r="Z3665" s="143"/>
      <c r="AA3665" s="143"/>
      <c r="AB3665" s="144"/>
      <c r="AC3665" s="16" t="s">
        <v>21</v>
      </c>
      <c r="AD3665" s="17" t="s">
        <v>12856</v>
      </c>
      <c r="AE3665" s="145" t="s">
        <v>12543</v>
      </c>
      <c r="AF3665" s="146"/>
      <c r="AG3665" s="146"/>
      <c r="AH3665" s="146"/>
      <c r="AI3665" s="147"/>
      <c r="AJ3665" s="148"/>
      <c r="AK3665" s="143"/>
      <c r="AL3665" s="144"/>
      <c r="AM3665" s="22"/>
      <c r="AN3665" s="149" t="s">
        <v>2131</v>
      </c>
      <c r="AO3665" s="144"/>
      <c r="AP3665" s="148">
        <v>3247</v>
      </c>
      <c r="AQ3665" s="144"/>
      <c r="AR3665" s="120"/>
      <c r="AS3665" s="121"/>
      <c r="AT3665" s="120"/>
      <c r="AU3665" s="121"/>
      <c r="AV3665" s="120"/>
      <c r="AW3665" s="121"/>
      <c r="AX3665" s="120"/>
      <c r="AY3665" s="121"/>
      <c r="AZ3665" s="138"/>
    </row>
    <row r="3666" spans="1:52" ht="17.100000000000001" customHeight="1" thickTop="1">
      <c r="A3666" s="151" t="s">
        <v>11386</v>
      </c>
      <c r="B3666" s="28">
        <v>45982</v>
      </c>
      <c r="C3666" s="25">
        <v>70</v>
      </c>
      <c r="D3666" s="13" t="s">
        <v>859</v>
      </c>
      <c r="E3666" s="111"/>
      <c r="F3666" s="113" t="s">
        <v>11419</v>
      </c>
      <c r="G3666" s="114"/>
      <c r="H3666" s="115"/>
      <c r="I3666" s="24" t="s">
        <v>3923</v>
      </c>
      <c r="J3666" s="116">
        <v>4</v>
      </c>
      <c r="K3666" s="118">
        <v>1510000</v>
      </c>
      <c r="L3666" s="119"/>
      <c r="M3666" s="118">
        <f t="shared" ref="M3666" si="3320">K3666*0.1</f>
        <v>151000</v>
      </c>
      <c r="N3666" s="119"/>
      <c r="O3666" s="118">
        <f>9900</f>
        <v>9900</v>
      </c>
      <c r="P3666" s="119"/>
      <c r="Q3666" s="118">
        <v>9440</v>
      </c>
      <c r="R3666" s="119"/>
      <c r="S3666" s="118">
        <v>44000</v>
      </c>
      <c r="T3666" s="119"/>
      <c r="U3666" s="118">
        <f t="shared" ref="U3666" si="3321">SUM(K3666:T3667)</f>
        <v>1724340</v>
      </c>
      <c r="V3666" s="122"/>
      <c r="W3666" s="124"/>
      <c r="X3666" s="126" t="s">
        <v>15068</v>
      </c>
      <c r="Y3666" s="127"/>
      <c r="Z3666" s="127"/>
      <c r="AA3666" s="127"/>
      <c r="AB3666" s="128"/>
      <c r="AC3666" s="15" t="s">
        <v>20</v>
      </c>
      <c r="AD3666" s="129" t="s">
        <v>11420</v>
      </c>
      <c r="AE3666" s="130"/>
      <c r="AF3666" s="130"/>
      <c r="AG3666" s="130"/>
      <c r="AH3666" s="130"/>
      <c r="AI3666" s="131"/>
      <c r="AJ3666" s="132"/>
      <c r="AK3666" s="127"/>
      <c r="AL3666" s="128"/>
      <c r="AM3666" s="21"/>
      <c r="AN3666" s="133">
        <v>46032</v>
      </c>
      <c r="AO3666" s="134"/>
      <c r="AP3666" s="135">
        <v>1283</v>
      </c>
      <c r="AQ3666" s="136"/>
      <c r="AR3666" s="118">
        <v>1785000</v>
      </c>
      <c r="AS3666" s="119"/>
      <c r="AT3666" s="118">
        <f t="shared" ref="AT3666" si="3322">AR3666*0.1</f>
        <v>178500</v>
      </c>
      <c r="AU3666" s="119"/>
      <c r="AV3666" s="118">
        <v>9440</v>
      </c>
      <c r="AW3666" s="119"/>
      <c r="AX3666" s="118">
        <f t="shared" ref="AX3666" si="3323">SUM(AR3666:AW3666)</f>
        <v>1972940</v>
      </c>
      <c r="AY3666" s="119"/>
      <c r="AZ3666" s="137">
        <v>46042</v>
      </c>
    </row>
    <row r="3667" spans="1:52" ht="17.100000000000001" customHeight="1" thickBot="1">
      <c r="A3667" s="152"/>
      <c r="B3667" s="27" t="s">
        <v>4544</v>
      </c>
      <c r="C3667" s="27">
        <v>1081</v>
      </c>
      <c r="D3667" s="14" t="s">
        <v>133</v>
      </c>
      <c r="E3667" s="112"/>
      <c r="F3667" s="139" t="s">
        <v>11399</v>
      </c>
      <c r="G3667" s="140"/>
      <c r="H3667" s="141"/>
      <c r="I3667" s="26">
        <v>18465</v>
      </c>
      <c r="J3667" s="117"/>
      <c r="K3667" s="120"/>
      <c r="L3667" s="121"/>
      <c r="M3667" s="120"/>
      <c r="N3667" s="121"/>
      <c r="O3667" s="120"/>
      <c r="P3667" s="121"/>
      <c r="Q3667" s="120"/>
      <c r="R3667" s="121"/>
      <c r="S3667" s="120"/>
      <c r="T3667" s="121"/>
      <c r="U3667" s="120"/>
      <c r="V3667" s="123"/>
      <c r="W3667" s="125"/>
      <c r="X3667" s="142" t="s">
        <v>12393</v>
      </c>
      <c r="Y3667" s="143"/>
      <c r="Z3667" s="143"/>
      <c r="AA3667" s="143"/>
      <c r="AB3667" s="144"/>
      <c r="AC3667" s="16" t="s">
        <v>21</v>
      </c>
      <c r="AD3667" s="17" t="s">
        <v>3980</v>
      </c>
      <c r="AE3667" s="145" t="s">
        <v>8818</v>
      </c>
      <c r="AF3667" s="146"/>
      <c r="AG3667" s="146"/>
      <c r="AH3667" s="146"/>
      <c r="AI3667" s="147"/>
      <c r="AJ3667" s="148"/>
      <c r="AK3667" s="143"/>
      <c r="AL3667" s="144"/>
      <c r="AM3667" s="22"/>
      <c r="AN3667" s="149" t="s">
        <v>2511</v>
      </c>
      <c r="AO3667" s="144"/>
      <c r="AP3667" s="148">
        <v>37214</v>
      </c>
      <c r="AQ3667" s="144"/>
      <c r="AR3667" s="120"/>
      <c r="AS3667" s="121"/>
      <c r="AT3667" s="120"/>
      <c r="AU3667" s="121"/>
      <c r="AV3667" s="120"/>
      <c r="AW3667" s="121"/>
      <c r="AX3667" s="120"/>
      <c r="AY3667" s="121"/>
      <c r="AZ3667" s="138"/>
    </row>
    <row r="3668" spans="1:52" ht="17.100000000000001" customHeight="1" thickTop="1">
      <c r="A3668" s="109" t="s">
        <v>11387</v>
      </c>
      <c r="B3668" s="28">
        <v>45982</v>
      </c>
      <c r="C3668" s="25">
        <v>70</v>
      </c>
      <c r="D3668" s="13" t="s">
        <v>1572</v>
      </c>
      <c r="E3668" s="111"/>
      <c r="F3668" s="113" t="s">
        <v>11421</v>
      </c>
      <c r="G3668" s="114"/>
      <c r="H3668" s="115"/>
      <c r="I3668" s="24" t="s">
        <v>2956</v>
      </c>
      <c r="J3668" s="116">
        <v>4</v>
      </c>
      <c r="K3668" s="118">
        <v>785000</v>
      </c>
      <c r="L3668" s="119"/>
      <c r="M3668" s="118">
        <f t="shared" ref="M3668" si="3324">K3668*0.1</f>
        <v>78500</v>
      </c>
      <c r="N3668" s="119"/>
      <c r="O3668" s="118">
        <v>0</v>
      </c>
      <c r="P3668" s="119"/>
      <c r="Q3668" s="118">
        <v>9080</v>
      </c>
      <c r="R3668" s="119"/>
      <c r="S3668" s="118">
        <v>33000</v>
      </c>
      <c r="T3668" s="119"/>
      <c r="U3668" s="118">
        <f t="shared" ref="U3668" si="3325">SUM(K3668:T3669)</f>
        <v>905580</v>
      </c>
      <c r="V3668" s="122"/>
      <c r="W3668" s="124"/>
      <c r="X3668" s="126" t="s">
        <v>12699</v>
      </c>
      <c r="Y3668" s="127"/>
      <c r="Z3668" s="127"/>
      <c r="AA3668" s="127"/>
      <c r="AB3668" s="128"/>
      <c r="AC3668" s="15" t="s">
        <v>20</v>
      </c>
      <c r="AD3668" s="129" t="s">
        <v>15069</v>
      </c>
      <c r="AE3668" s="130"/>
      <c r="AF3668" s="130"/>
      <c r="AG3668" s="130"/>
      <c r="AH3668" s="130"/>
      <c r="AI3668" s="131"/>
      <c r="AJ3668" s="132"/>
      <c r="AK3668" s="127"/>
      <c r="AL3668" s="128"/>
      <c r="AM3668" s="21" t="s">
        <v>12867</v>
      </c>
      <c r="AN3668" s="133">
        <v>46000</v>
      </c>
      <c r="AO3668" s="134"/>
      <c r="AP3668" s="135">
        <v>1921</v>
      </c>
      <c r="AQ3668" s="136"/>
      <c r="AR3668" s="118">
        <v>960000</v>
      </c>
      <c r="AS3668" s="119"/>
      <c r="AT3668" s="118">
        <f t="shared" ref="AT3668" si="3326">AR3668*0.1</f>
        <v>96000</v>
      </c>
      <c r="AU3668" s="119"/>
      <c r="AV3668" s="118">
        <v>9080</v>
      </c>
      <c r="AW3668" s="119"/>
      <c r="AX3668" s="118">
        <f t="shared" ref="AX3668" si="3327">SUM(AR3668:AW3668)</f>
        <v>1065080</v>
      </c>
      <c r="AY3668" s="119"/>
      <c r="AZ3668" s="137">
        <v>46006</v>
      </c>
    </row>
    <row r="3669" spans="1:52" ht="17.100000000000001" customHeight="1" thickBot="1">
      <c r="A3669" s="110"/>
      <c r="B3669" s="27" t="s">
        <v>4544</v>
      </c>
      <c r="C3669" s="27">
        <v>1088</v>
      </c>
      <c r="D3669" s="14" t="s">
        <v>1720</v>
      </c>
      <c r="E3669" s="112"/>
      <c r="F3669" s="139" t="s">
        <v>11400</v>
      </c>
      <c r="G3669" s="140"/>
      <c r="H3669" s="141"/>
      <c r="I3669" s="26">
        <v>45142</v>
      </c>
      <c r="J3669" s="117"/>
      <c r="K3669" s="120"/>
      <c r="L3669" s="121"/>
      <c r="M3669" s="120"/>
      <c r="N3669" s="121"/>
      <c r="O3669" s="120"/>
      <c r="P3669" s="121"/>
      <c r="Q3669" s="120"/>
      <c r="R3669" s="121"/>
      <c r="S3669" s="120"/>
      <c r="T3669" s="121"/>
      <c r="U3669" s="120"/>
      <c r="V3669" s="123"/>
      <c r="W3669" s="125"/>
      <c r="X3669" s="142" t="s">
        <v>12700</v>
      </c>
      <c r="Y3669" s="143"/>
      <c r="Z3669" s="143"/>
      <c r="AA3669" s="143"/>
      <c r="AB3669" s="144"/>
      <c r="AC3669" s="16" t="s">
        <v>21</v>
      </c>
      <c r="AD3669" s="17" t="s">
        <v>12686</v>
      </c>
      <c r="AE3669" s="145" t="s">
        <v>12701</v>
      </c>
      <c r="AF3669" s="146"/>
      <c r="AG3669" s="146"/>
      <c r="AH3669" s="146"/>
      <c r="AI3669" s="147"/>
      <c r="AJ3669" s="148"/>
      <c r="AK3669" s="143"/>
      <c r="AL3669" s="144"/>
      <c r="AM3669" s="22"/>
      <c r="AN3669" s="149" t="s">
        <v>2131</v>
      </c>
      <c r="AO3669" s="144"/>
      <c r="AP3669" s="148">
        <v>3253</v>
      </c>
      <c r="AQ3669" s="144"/>
      <c r="AR3669" s="120"/>
      <c r="AS3669" s="121"/>
      <c r="AT3669" s="120"/>
      <c r="AU3669" s="121"/>
      <c r="AV3669" s="120"/>
      <c r="AW3669" s="121"/>
      <c r="AX3669" s="120"/>
      <c r="AY3669" s="121"/>
      <c r="AZ3669" s="138"/>
    </row>
    <row r="3670" spans="1:52" ht="17.100000000000001" customHeight="1" thickTop="1">
      <c r="A3670" s="109" t="s">
        <v>11388</v>
      </c>
      <c r="B3670" s="28">
        <v>45982</v>
      </c>
      <c r="C3670" s="25">
        <v>70</v>
      </c>
      <c r="D3670" s="13" t="s">
        <v>1714</v>
      </c>
      <c r="E3670" s="111"/>
      <c r="F3670" s="113" t="s">
        <v>5196</v>
      </c>
      <c r="G3670" s="114"/>
      <c r="H3670" s="115"/>
      <c r="I3670" s="24" t="s">
        <v>3399</v>
      </c>
      <c r="J3670" s="116">
        <v>4.5</v>
      </c>
      <c r="K3670" s="118">
        <v>355000</v>
      </c>
      <c r="L3670" s="119"/>
      <c r="M3670" s="118">
        <f t="shared" ref="M3670" si="3328">K3670*0.1</f>
        <v>35500</v>
      </c>
      <c r="N3670" s="119"/>
      <c r="O3670" s="118">
        <v>0</v>
      </c>
      <c r="P3670" s="119"/>
      <c r="Q3670" s="118">
        <v>7140</v>
      </c>
      <c r="R3670" s="119"/>
      <c r="S3670" s="118">
        <v>33000</v>
      </c>
      <c r="T3670" s="119"/>
      <c r="U3670" s="118">
        <f t="shared" ref="U3670" si="3329">SUM(K3670:T3671)</f>
        <v>430640</v>
      </c>
      <c r="V3670" s="122"/>
      <c r="W3670" s="124"/>
      <c r="X3670" s="126" t="s">
        <v>12876</v>
      </c>
      <c r="Y3670" s="127"/>
      <c r="Z3670" s="127"/>
      <c r="AA3670" s="127"/>
      <c r="AB3670" s="128"/>
      <c r="AC3670" s="15" t="s">
        <v>20</v>
      </c>
      <c r="AD3670" s="129" t="s">
        <v>9795</v>
      </c>
      <c r="AE3670" s="130"/>
      <c r="AF3670" s="130"/>
      <c r="AG3670" s="130"/>
      <c r="AH3670" s="130"/>
      <c r="AI3670" s="131"/>
      <c r="AJ3670" s="132"/>
      <c r="AK3670" s="127"/>
      <c r="AL3670" s="128"/>
      <c r="AM3670" s="21"/>
      <c r="AN3670" s="133">
        <v>46004</v>
      </c>
      <c r="AO3670" s="134"/>
      <c r="AP3670" s="135">
        <v>1280</v>
      </c>
      <c r="AQ3670" s="136"/>
      <c r="AR3670" s="118">
        <v>355000</v>
      </c>
      <c r="AS3670" s="119"/>
      <c r="AT3670" s="118">
        <f t="shared" ref="AT3670" si="3330">AR3670*0.1</f>
        <v>35500</v>
      </c>
      <c r="AU3670" s="119"/>
      <c r="AV3670" s="118">
        <v>7140</v>
      </c>
      <c r="AW3670" s="119"/>
      <c r="AX3670" s="118">
        <f t="shared" ref="AX3670" si="3331">SUM(AR3670:AW3670)</f>
        <v>397640</v>
      </c>
      <c r="AY3670" s="119"/>
      <c r="AZ3670" s="137">
        <v>46009</v>
      </c>
    </row>
    <row r="3671" spans="1:52" ht="17.100000000000001" customHeight="1" thickBot="1">
      <c r="A3671" s="110"/>
      <c r="B3671" s="27" t="s">
        <v>4544</v>
      </c>
      <c r="C3671" s="27">
        <v>1102</v>
      </c>
      <c r="D3671" s="14" t="s">
        <v>1720</v>
      </c>
      <c r="E3671" s="112"/>
      <c r="F3671" s="139" t="s">
        <v>11401</v>
      </c>
      <c r="G3671" s="140"/>
      <c r="H3671" s="141"/>
      <c r="I3671" s="26">
        <v>50503</v>
      </c>
      <c r="J3671" s="117"/>
      <c r="K3671" s="120"/>
      <c r="L3671" s="121"/>
      <c r="M3671" s="120"/>
      <c r="N3671" s="121"/>
      <c r="O3671" s="120"/>
      <c r="P3671" s="121"/>
      <c r="Q3671" s="120"/>
      <c r="R3671" s="121"/>
      <c r="S3671" s="120"/>
      <c r="T3671" s="121"/>
      <c r="U3671" s="120"/>
      <c r="V3671" s="123"/>
      <c r="W3671" s="125"/>
      <c r="X3671" s="142" t="s">
        <v>12877</v>
      </c>
      <c r="Y3671" s="143"/>
      <c r="Z3671" s="143"/>
      <c r="AA3671" s="143"/>
      <c r="AB3671" s="144"/>
      <c r="AC3671" s="16" t="s">
        <v>21</v>
      </c>
      <c r="AD3671" s="17" t="s">
        <v>12856</v>
      </c>
      <c r="AE3671" s="145" t="s">
        <v>1633</v>
      </c>
      <c r="AF3671" s="146"/>
      <c r="AG3671" s="146"/>
      <c r="AH3671" s="146"/>
      <c r="AI3671" s="147"/>
      <c r="AJ3671" s="148"/>
      <c r="AK3671" s="143"/>
      <c r="AL3671" s="144"/>
      <c r="AM3671" s="22"/>
      <c r="AN3671" s="149" t="s">
        <v>2511</v>
      </c>
      <c r="AO3671" s="144"/>
      <c r="AP3671" s="148">
        <v>65176</v>
      </c>
      <c r="AQ3671" s="144"/>
      <c r="AR3671" s="120"/>
      <c r="AS3671" s="121"/>
      <c r="AT3671" s="120"/>
      <c r="AU3671" s="121"/>
      <c r="AV3671" s="120"/>
      <c r="AW3671" s="121"/>
      <c r="AX3671" s="120"/>
      <c r="AY3671" s="121"/>
      <c r="AZ3671" s="138"/>
    </row>
    <row r="3672" spans="1:52" ht="17.100000000000001" customHeight="1" thickTop="1">
      <c r="A3672" s="109" t="s">
        <v>11389</v>
      </c>
      <c r="B3672" s="28">
        <v>45982</v>
      </c>
      <c r="C3672" s="25">
        <v>70</v>
      </c>
      <c r="D3672" s="13" t="s">
        <v>1572</v>
      </c>
      <c r="E3672" s="111"/>
      <c r="F3672" s="113" t="s">
        <v>11422</v>
      </c>
      <c r="G3672" s="114"/>
      <c r="H3672" s="115"/>
      <c r="I3672" s="24" t="s">
        <v>3931</v>
      </c>
      <c r="J3672" s="116">
        <v>3.5</v>
      </c>
      <c r="K3672" s="118">
        <v>320000</v>
      </c>
      <c r="L3672" s="119"/>
      <c r="M3672" s="118">
        <f t="shared" ref="M3672" si="3332">K3672*0.1</f>
        <v>32000</v>
      </c>
      <c r="N3672" s="119"/>
      <c r="O3672" s="118">
        <v>0</v>
      </c>
      <c r="P3672" s="119"/>
      <c r="Q3672" s="118">
        <v>9790</v>
      </c>
      <c r="R3672" s="119"/>
      <c r="S3672" s="118">
        <v>33000</v>
      </c>
      <c r="T3672" s="119"/>
      <c r="U3672" s="118">
        <f t="shared" ref="U3672" si="3333">SUM(K3672:T3673)</f>
        <v>394790</v>
      </c>
      <c r="V3672" s="122"/>
      <c r="W3672" s="124"/>
      <c r="X3672" s="126" t="s">
        <v>12380</v>
      </c>
      <c r="Y3672" s="127"/>
      <c r="Z3672" s="127"/>
      <c r="AA3672" s="127"/>
      <c r="AB3672" s="128"/>
      <c r="AC3672" s="15" t="s">
        <v>20</v>
      </c>
      <c r="AD3672" s="129" t="s">
        <v>9796</v>
      </c>
      <c r="AE3672" s="130"/>
      <c r="AF3672" s="130"/>
      <c r="AG3672" s="130"/>
      <c r="AH3672" s="130"/>
      <c r="AI3672" s="131"/>
      <c r="AJ3672" s="132"/>
      <c r="AK3672" s="127"/>
      <c r="AL3672" s="128"/>
      <c r="AM3672" s="21" t="s">
        <v>12766</v>
      </c>
      <c r="AN3672" s="133">
        <v>45997</v>
      </c>
      <c r="AO3672" s="134"/>
      <c r="AP3672" s="135">
        <v>1279</v>
      </c>
      <c r="AQ3672" s="136"/>
      <c r="AR3672" s="118">
        <v>545000</v>
      </c>
      <c r="AS3672" s="119"/>
      <c r="AT3672" s="118">
        <f t="shared" ref="AT3672" si="3334">AR3672*0.1</f>
        <v>54500</v>
      </c>
      <c r="AU3672" s="119"/>
      <c r="AV3672" s="118">
        <v>9790</v>
      </c>
      <c r="AW3672" s="119"/>
      <c r="AX3672" s="118">
        <f t="shared" ref="AX3672" si="3335">SUM(AR3672:AW3672)</f>
        <v>609290</v>
      </c>
      <c r="AY3672" s="119"/>
      <c r="AZ3672" s="137">
        <v>46002</v>
      </c>
    </row>
    <row r="3673" spans="1:52" ht="17.100000000000001" customHeight="1" thickBot="1">
      <c r="A3673" s="110"/>
      <c r="B3673" s="27" t="s">
        <v>4544</v>
      </c>
      <c r="C3673" s="27">
        <v>1103</v>
      </c>
      <c r="D3673" s="14" t="s">
        <v>1812</v>
      </c>
      <c r="E3673" s="112"/>
      <c r="F3673" s="139" t="s">
        <v>11402</v>
      </c>
      <c r="G3673" s="140"/>
      <c r="H3673" s="141"/>
      <c r="I3673" s="26">
        <v>54688</v>
      </c>
      <c r="J3673" s="117"/>
      <c r="K3673" s="120"/>
      <c r="L3673" s="121"/>
      <c r="M3673" s="120"/>
      <c r="N3673" s="121"/>
      <c r="O3673" s="120"/>
      <c r="P3673" s="121"/>
      <c r="Q3673" s="120"/>
      <c r="R3673" s="121"/>
      <c r="S3673" s="120"/>
      <c r="T3673" s="121"/>
      <c r="U3673" s="120"/>
      <c r="V3673" s="123"/>
      <c r="W3673" s="125"/>
      <c r="X3673" s="142" t="s">
        <v>12381</v>
      </c>
      <c r="Y3673" s="143"/>
      <c r="Z3673" s="143"/>
      <c r="AA3673" s="143"/>
      <c r="AB3673" s="144"/>
      <c r="AC3673" s="16" t="s">
        <v>21</v>
      </c>
      <c r="AD3673" s="17" t="s">
        <v>2248</v>
      </c>
      <c r="AE3673" s="145" t="s">
        <v>12548</v>
      </c>
      <c r="AF3673" s="146"/>
      <c r="AG3673" s="146"/>
      <c r="AH3673" s="146"/>
      <c r="AI3673" s="147"/>
      <c r="AJ3673" s="148"/>
      <c r="AK3673" s="143"/>
      <c r="AL3673" s="144"/>
      <c r="AM3673" s="22"/>
      <c r="AN3673" s="149" t="s">
        <v>2511</v>
      </c>
      <c r="AO3673" s="144"/>
      <c r="AP3673" s="148">
        <v>65231</v>
      </c>
      <c r="AQ3673" s="144"/>
      <c r="AR3673" s="120"/>
      <c r="AS3673" s="121"/>
      <c r="AT3673" s="120"/>
      <c r="AU3673" s="121"/>
      <c r="AV3673" s="120"/>
      <c r="AW3673" s="121"/>
      <c r="AX3673" s="120"/>
      <c r="AY3673" s="121"/>
      <c r="AZ3673" s="138"/>
    </row>
    <row r="3674" spans="1:52" ht="17.100000000000001" customHeight="1" thickTop="1">
      <c r="A3674" s="151" t="s">
        <v>11390</v>
      </c>
      <c r="B3674" s="28">
        <v>45982</v>
      </c>
      <c r="C3674" s="25">
        <v>70</v>
      </c>
      <c r="D3674" s="13" t="s">
        <v>1937</v>
      </c>
      <c r="E3674" s="111"/>
      <c r="F3674" s="113" t="s">
        <v>11423</v>
      </c>
      <c r="G3674" s="114"/>
      <c r="H3674" s="115"/>
      <c r="I3674" s="24" t="s">
        <v>2956</v>
      </c>
      <c r="J3674" s="116">
        <v>4</v>
      </c>
      <c r="K3674" s="118">
        <v>1655000</v>
      </c>
      <c r="L3674" s="119"/>
      <c r="M3674" s="118">
        <f t="shared" ref="M3674" si="3336">K3674*0.1</f>
        <v>165500</v>
      </c>
      <c r="N3674" s="119"/>
      <c r="O3674" s="118">
        <f>11200+1120</f>
        <v>12320</v>
      </c>
      <c r="P3674" s="119"/>
      <c r="Q3674" s="118">
        <v>16550</v>
      </c>
      <c r="R3674" s="119"/>
      <c r="S3674" s="118">
        <v>44000</v>
      </c>
      <c r="T3674" s="119"/>
      <c r="U3674" s="118">
        <f t="shared" ref="U3674" si="3337">SUM(K3674:T3675)</f>
        <v>1893370</v>
      </c>
      <c r="V3674" s="122"/>
      <c r="W3674" s="124"/>
      <c r="X3674" s="126" t="s">
        <v>14253</v>
      </c>
      <c r="Y3674" s="127"/>
      <c r="Z3674" s="127"/>
      <c r="AA3674" s="127"/>
      <c r="AB3674" s="128"/>
      <c r="AC3674" s="15" t="s">
        <v>20</v>
      </c>
      <c r="AD3674" s="129" t="s">
        <v>11416</v>
      </c>
      <c r="AE3674" s="130"/>
      <c r="AF3674" s="130"/>
      <c r="AG3674" s="130"/>
      <c r="AH3674" s="130"/>
      <c r="AI3674" s="131"/>
      <c r="AJ3674" s="132"/>
      <c r="AK3674" s="127"/>
      <c r="AL3674" s="128"/>
      <c r="AM3674" s="21" t="s">
        <v>14483</v>
      </c>
      <c r="AN3674" s="133">
        <v>46032</v>
      </c>
      <c r="AO3674" s="134"/>
      <c r="AP3674" s="135">
        <v>1283</v>
      </c>
      <c r="AQ3674" s="136"/>
      <c r="AR3674" s="118">
        <v>1920000</v>
      </c>
      <c r="AS3674" s="119"/>
      <c r="AT3674" s="118">
        <f t="shared" ref="AT3674" si="3338">AR3674*0.1</f>
        <v>192000</v>
      </c>
      <c r="AU3674" s="119"/>
      <c r="AV3674" s="118">
        <v>16550</v>
      </c>
      <c r="AW3674" s="119"/>
      <c r="AX3674" s="118">
        <f t="shared" ref="AX3674" si="3339">SUM(AR3674:AW3674)</f>
        <v>2128550</v>
      </c>
      <c r="AY3674" s="119"/>
      <c r="AZ3674" s="137">
        <v>46036</v>
      </c>
    </row>
    <row r="3675" spans="1:52" ht="17.100000000000001" customHeight="1" thickBot="1">
      <c r="A3675" s="152"/>
      <c r="B3675" s="27" t="s">
        <v>4544</v>
      </c>
      <c r="C3675" s="27">
        <v>1107</v>
      </c>
      <c r="D3675" s="14" t="s">
        <v>275</v>
      </c>
      <c r="E3675" s="112"/>
      <c r="F3675" s="139" t="s">
        <v>11403</v>
      </c>
      <c r="G3675" s="140"/>
      <c r="H3675" s="141"/>
      <c r="I3675" s="26">
        <v>115474</v>
      </c>
      <c r="J3675" s="117"/>
      <c r="K3675" s="120"/>
      <c r="L3675" s="121"/>
      <c r="M3675" s="120"/>
      <c r="N3675" s="121"/>
      <c r="O3675" s="120"/>
      <c r="P3675" s="121"/>
      <c r="Q3675" s="120"/>
      <c r="R3675" s="121"/>
      <c r="S3675" s="120"/>
      <c r="T3675" s="121"/>
      <c r="U3675" s="120"/>
      <c r="V3675" s="123"/>
      <c r="W3675" s="125"/>
      <c r="X3675" s="142" t="s">
        <v>2321</v>
      </c>
      <c r="Y3675" s="143"/>
      <c r="Z3675" s="143"/>
      <c r="AA3675" s="143"/>
      <c r="AB3675" s="144"/>
      <c r="AC3675" s="16" t="s">
        <v>21</v>
      </c>
      <c r="AD3675" s="17" t="s">
        <v>3488</v>
      </c>
      <c r="AE3675" s="145" t="s">
        <v>1658</v>
      </c>
      <c r="AF3675" s="146"/>
      <c r="AG3675" s="146"/>
      <c r="AH3675" s="146"/>
      <c r="AI3675" s="147"/>
      <c r="AJ3675" s="148"/>
      <c r="AK3675" s="143"/>
      <c r="AL3675" s="144"/>
      <c r="AM3675" s="22"/>
      <c r="AN3675" s="149" t="s">
        <v>2511</v>
      </c>
      <c r="AO3675" s="144"/>
      <c r="AP3675" s="148">
        <v>37539</v>
      </c>
      <c r="AQ3675" s="144"/>
      <c r="AR3675" s="120"/>
      <c r="AS3675" s="121"/>
      <c r="AT3675" s="120"/>
      <c r="AU3675" s="121"/>
      <c r="AV3675" s="120"/>
      <c r="AW3675" s="121"/>
      <c r="AX3675" s="120"/>
      <c r="AY3675" s="121"/>
      <c r="AZ3675" s="138"/>
    </row>
    <row r="3676" spans="1:52" ht="17.100000000000001" customHeight="1" thickTop="1">
      <c r="A3676" s="109" t="s">
        <v>11506</v>
      </c>
      <c r="B3676" s="28">
        <v>45983</v>
      </c>
      <c r="C3676" s="25">
        <v>288</v>
      </c>
      <c r="D3676" s="13" t="s">
        <v>2187</v>
      </c>
      <c r="E3676" s="111"/>
      <c r="F3676" s="113" t="s">
        <v>9856</v>
      </c>
      <c r="G3676" s="114"/>
      <c r="H3676" s="115"/>
      <c r="I3676" s="24" t="s">
        <v>2919</v>
      </c>
      <c r="J3676" s="116">
        <v>4</v>
      </c>
      <c r="K3676" s="118">
        <v>682000</v>
      </c>
      <c r="L3676" s="119"/>
      <c r="M3676" s="118">
        <f t="shared" ref="M3676" si="3340">K3676*0.1</f>
        <v>68200</v>
      </c>
      <c r="N3676" s="119"/>
      <c r="O3676" s="118">
        <v>0</v>
      </c>
      <c r="P3676" s="119"/>
      <c r="Q3676" s="118">
        <v>7510</v>
      </c>
      <c r="R3676" s="119"/>
      <c r="S3676" s="118">
        <v>15950</v>
      </c>
      <c r="T3676" s="119"/>
      <c r="U3676" s="118">
        <f t="shared" ref="U3676" si="3341">SUM(K3676:T3677)</f>
        <v>773660</v>
      </c>
      <c r="V3676" s="122"/>
      <c r="W3676" s="124"/>
      <c r="X3676" s="126" t="s">
        <v>11405</v>
      </c>
      <c r="Y3676" s="127"/>
      <c r="Z3676" s="127"/>
      <c r="AA3676" s="127"/>
      <c r="AB3676" s="128"/>
      <c r="AC3676" s="15" t="s">
        <v>20</v>
      </c>
      <c r="AD3676" s="129" t="s">
        <v>1581</v>
      </c>
      <c r="AE3676" s="130"/>
      <c r="AF3676" s="130"/>
      <c r="AG3676" s="130"/>
      <c r="AH3676" s="130"/>
      <c r="AI3676" s="131"/>
      <c r="AJ3676" s="132"/>
      <c r="AK3676" s="127"/>
      <c r="AL3676" s="128"/>
      <c r="AM3676" s="85" t="s">
        <v>11405</v>
      </c>
      <c r="AN3676" s="133">
        <v>46029</v>
      </c>
      <c r="AO3676" s="134"/>
      <c r="AP3676" s="135">
        <v>999</v>
      </c>
      <c r="AQ3676" s="136"/>
      <c r="AR3676" s="118">
        <v>750000</v>
      </c>
      <c r="AS3676" s="119"/>
      <c r="AT3676" s="118">
        <f t="shared" ref="AT3676" si="3342">AR3676*0.1</f>
        <v>75000</v>
      </c>
      <c r="AU3676" s="119"/>
      <c r="AV3676" s="118">
        <v>7510</v>
      </c>
      <c r="AW3676" s="119"/>
      <c r="AX3676" s="118">
        <f t="shared" ref="AX3676" si="3343">SUM(AR3676:AW3676)</f>
        <v>832510</v>
      </c>
      <c r="AY3676" s="119"/>
      <c r="AZ3676" s="137">
        <v>46037</v>
      </c>
    </row>
    <row r="3677" spans="1:52" ht="17.100000000000001" customHeight="1" thickBot="1">
      <c r="A3677" s="110"/>
      <c r="B3677" s="27" t="s">
        <v>3574</v>
      </c>
      <c r="C3677" s="27">
        <v>3128</v>
      </c>
      <c r="D3677" s="14" t="s">
        <v>1720</v>
      </c>
      <c r="E3677" s="112"/>
      <c r="F3677" s="139" t="s">
        <v>11404</v>
      </c>
      <c r="G3677" s="140"/>
      <c r="H3677" s="141"/>
      <c r="I3677" s="26">
        <v>41955</v>
      </c>
      <c r="J3677" s="117"/>
      <c r="K3677" s="120"/>
      <c r="L3677" s="121"/>
      <c r="M3677" s="120"/>
      <c r="N3677" s="121"/>
      <c r="O3677" s="120"/>
      <c r="P3677" s="121"/>
      <c r="Q3677" s="120"/>
      <c r="R3677" s="121"/>
      <c r="S3677" s="120"/>
      <c r="T3677" s="121"/>
      <c r="U3677" s="120"/>
      <c r="V3677" s="123"/>
      <c r="W3677" s="125"/>
      <c r="X3677" s="142" t="s">
        <v>7450</v>
      </c>
      <c r="Y3677" s="143"/>
      <c r="Z3677" s="143"/>
      <c r="AA3677" s="143"/>
      <c r="AB3677" s="144"/>
      <c r="AC3677" s="16" t="s">
        <v>21</v>
      </c>
      <c r="AD3677" s="17" t="s">
        <v>12001</v>
      </c>
      <c r="AE3677" s="145" t="s">
        <v>1581</v>
      </c>
      <c r="AF3677" s="146"/>
      <c r="AG3677" s="146"/>
      <c r="AH3677" s="146"/>
      <c r="AI3677" s="147"/>
      <c r="AJ3677" s="148"/>
      <c r="AK3677" s="143"/>
      <c r="AL3677" s="144"/>
      <c r="AM3677" s="22"/>
      <c r="AN3677" s="149" t="s">
        <v>7285</v>
      </c>
      <c r="AO3677" s="144"/>
      <c r="AP3677" s="148">
        <v>2039</v>
      </c>
      <c r="AQ3677" s="144"/>
      <c r="AR3677" s="120"/>
      <c r="AS3677" s="121"/>
      <c r="AT3677" s="120"/>
      <c r="AU3677" s="121"/>
      <c r="AV3677" s="120"/>
      <c r="AW3677" s="121"/>
      <c r="AX3677" s="120"/>
      <c r="AY3677" s="121"/>
      <c r="AZ3677" s="138"/>
    </row>
    <row r="3678" spans="1:52" ht="17.100000000000001" customHeight="1" thickTop="1">
      <c r="A3678" s="109" t="s">
        <v>11507</v>
      </c>
      <c r="B3678" s="28">
        <v>45983</v>
      </c>
      <c r="C3678" s="25">
        <v>288</v>
      </c>
      <c r="D3678" s="13" t="s">
        <v>1586</v>
      </c>
      <c r="E3678" s="111"/>
      <c r="F3678" s="113" t="s">
        <v>11406</v>
      </c>
      <c r="G3678" s="114"/>
      <c r="H3678" s="115"/>
      <c r="I3678" s="24"/>
      <c r="J3678" s="116">
        <v>4.5</v>
      </c>
      <c r="K3678" s="118">
        <v>4521000</v>
      </c>
      <c r="L3678" s="119"/>
      <c r="M3678" s="118">
        <f t="shared" ref="M3678" si="3344">K3678*0.1</f>
        <v>452100</v>
      </c>
      <c r="N3678" s="119"/>
      <c r="O3678" s="118">
        <v>0</v>
      </c>
      <c r="P3678" s="119"/>
      <c r="Q3678" s="118">
        <v>23490</v>
      </c>
      <c r="R3678" s="119"/>
      <c r="S3678" s="118">
        <v>15950</v>
      </c>
      <c r="T3678" s="119"/>
      <c r="U3678" s="118">
        <f t="shared" ref="U3678" si="3345">SUM(K3678:T3679)</f>
        <v>5012540</v>
      </c>
      <c r="V3678" s="122"/>
      <c r="W3678" s="124"/>
      <c r="X3678" s="126" t="s">
        <v>11811</v>
      </c>
      <c r="Y3678" s="127"/>
      <c r="Z3678" s="127"/>
      <c r="AA3678" s="127"/>
      <c r="AB3678" s="128"/>
      <c r="AC3678" s="15" t="s">
        <v>20</v>
      </c>
      <c r="AD3678" s="129" t="s">
        <v>1670</v>
      </c>
      <c r="AE3678" s="130"/>
      <c r="AF3678" s="130"/>
      <c r="AG3678" s="130"/>
      <c r="AH3678" s="130"/>
      <c r="AI3678" s="131"/>
      <c r="AJ3678" s="132"/>
      <c r="AK3678" s="127"/>
      <c r="AL3678" s="128"/>
      <c r="AM3678" s="21"/>
      <c r="AN3678" s="133">
        <v>45988</v>
      </c>
      <c r="AO3678" s="134"/>
      <c r="AP3678" s="135">
        <v>1308</v>
      </c>
      <c r="AQ3678" s="136"/>
      <c r="AR3678" s="118">
        <v>4930000</v>
      </c>
      <c r="AS3678" s="119"/>
      <c r="AT3678" s="118">
        <f t="shared" ref="AT3678" si="3346">AR3678*0.1</f>
        <v>493000</v>
      </c>
      <c r="AU3678" s="119"/>
      <c r="AV3678" s="118">
        <v>23490</v>
      </c>
      <c r="AW3678" s="119"/>
      <c r="AX3678" s="118">
        <f t="shared" ref="AX3678" si="3347">SUM(AR3678:AW3678)</f>
        <v>5446490</v>
      </c>
      <c r="AY3678" s="119"/>
      <c r="AZ3678" s="137">
        <v>45989</v>
      </c>
    </row>
    <row r="3679" spans="1:52" ht="17.100000000000001" customHeight="1" thickBot="1">
      <c r="A3679" s="110"/>
      <c r="B3679" s="27" t="s">
        <v>3574</v>
      </c>
      <c r="C3679" s="27">
        <v>5017</v>
      </c>
      <c r="D3679" s="14" t="s">
        <v>2116</v>
      </c>
      <c r="E3679" s="112"/>
      <c r="F3679" s="139" t="s">
        <v>11407</v>
      </c>
      <c r="G3679" s="140"/>
      <c r="H3679" s="141"/>
      <c r="I3679" s="26">
        <v>51126</v>
      </c>
      <c r="J3679" s="117"/>
      <c r="K3679" s="120"/>
      <c r="L3679" s="121"/>
      <c r="M3679" s="120"/>
      <c r="N3679" s="121"/>
      <c r="O3679" s="120"/>
      <c r="P3679" s="121"/>
      <c r="Q3679" s="120"/>
      <c r="R3679" s="121"/>
      <c r="S3679" s="120"/>
      <c r="T3679" s="121"/>
      <c r="U3679" s="120"/>
      <c r="V3679" s="123"/>
      <c r="W3679" s="125"/>
      <c r="X3679" s="142" t="s">
        <v>11812</v>
      </c>
      <c r="Y3679" s="143"/>
      <c r="Z3679" s="143"/>
      <c r="AA3679" s="143"/>
      <c r="AB3679" s="144"/>
      <c r="AC3679" s="16" t="s">
        <v>21</v>
      </c>
      <c r="AD3679" s="17" t="s">
        <v>1723</v>
      </c>
      <c r="AE3679" s="145" t="s">
        <v>1670</v>
      </c>
      <c r="AF3679" s="146"/>
      <c r="AG3679" s="146"/>
      <c r="AH3679" s="146"/>
      <c r="AI3679" s="147"/>
      <c r="AJ3679" s="148"/>
      <c r="AK3679" s="143"/>
      <c r="AL3679" s="144"/>
      <c r="AM3679" s="22"/>
      <c r="AN3679" s="149" t="s">
        <v>1747</v>
      </c>
      <c r="AO3679" s="144"/>
      <c r="AP3679" s="148">
        <v>91</v>
      </c>
      <c r="AQ3679" s="144"/>
      <c r="AR3679" s="120"/>
      <c r="AS3679" s="121"/>
      <c r="AT3679" s="120"/>
      <c r="AU3679" s="121"/>
      <c r="AV3679" s="120"/>
      <c r="AW3679" s="121"/>
      <c r="AX3679" s="120"/>
      <c r="AY3679" s="121"/>
      <c r="AZ3679" s="138"/>
    </row>
    <row r="3680" spans="1:52" ht="17.100000000000001" customHeight="1" thickTop="1">
      <c r="A3680" s="109" t="s">
        <v>11508</v>
      </c>
      <c r="B3680" s="28">
        <v>45983</v>
      </c>
      <c r="C3680" s="25">
        <v>288</v>
      </c>
      <c r="D3680" s="13" t="s">
        <v>2187</v>
      </c>
      <c r="E3680" s="111"/>
      <c r="F3680" s="113" t="s">
        <v>11424</v>
      </c>
      <c r="G3680" s="114"/>
      <c r="H3680" s="115"/>
      <c r="I3680" s="24"/>
      <c r="J3680" s="116">
        <v>4</v>
      </c>
      <c r="K3680" s="118">
        <v>541000</v>
      </c>
      <c r="L3680" s="119"/>
      <c r="M3680" s="118">
        <f t="shared" ref="M3680" si="3348">K3680*0.1</f>
        <v>54100</v>
      </c>
      <c r="N3680" s="119"/>
      <c r="O3680" s="118">
        <v>0</v>
      </c>
      <c r="P3680" s="119"/>
      <c r="Q3680" s="118">
        <v>9370</v>
      </c>
      <c r="R3680" s="119"/>
      <c r="S3680" s="118">
        <v>15950</v>
      </c>
      <c r="T3680" s="119"/>
      <c r="U3680" s="118">
        <f t="shared" ref="U3680" si="3349">SUM(K3680:T3681)</f>
        <v>620420</v>
      </c>
      <c r="V3680" s="122"/>
      <c r="W3680" s="124"/>
      <c r="X3680" s="126" t="s">
        <v>11818</v>
      </c>
      <c r="Y3680" s="127"/>
      <c r="Z3680" s="127"/>
      <c r="AA3680" s="127"/>
      <c r="AB3680" s="128"/>
      <c r="AC3680" s="15" t="s">
        <v>20</v>
      </c>
      <c r="AD3680" s="129"/>
      <c r="AE3680" s="130"/>
      <c r="AF3680" s="130"/>
      <c r="AG3680" s="130"/>
      <c r="AH3680" s="130"/>
      <c r="AI3680" s="131"/>
      <c r="AJ3680" s="132"/>
      <c r="AK3680" s="127"/>
      <c r="AL3680" s="128"/>
      <c r="AM3680" s="21"/>
      <c r="AN3680" s="133">
        <v>45997</v>
      </c>
      <c r="AO3680" s="134"/>
      <c r="AP3680" s="135">
        <v>1279</v>
      </c>
      <c r="AQ3680" s="136"/>
      <c r="AR3680" s="118">
        <v>660000</v>
      </c>
      <c r="AS3680" s="119"/>
      <c r="AT3680" s="118">
        <f t="shared" ref="AT3680" si="3350">AR3680*0.1</f>
        <v>66000</v>
      </c>
      <c r="AU3680" s="119"/>
      <c r="AV3680" s="118">
        <v>9370</v>
      </c>
      <c r="AW3680" s="119"/>
      <c r="AX3680" s="118">
        <f t="shared" ref="AX3680" si="3351">SUM(AR3680:AW3680)</f>
        <v>735370</v>
      </c>
      <c r="AY3680" s="119"/>
      <c r="AZ3680" s="137">
        <v>46001</v>
      </c>
    </row>
    <row r="3681" spans="1:52" ht="17.100000000000001" customHeight="1" thickBot="1">
      <c r="A3681" s="110"/>
      <c r="B3681" s="27" t="s">
        <v>3574</v>
      </c>
      <c r="C3681" s="27">
        <v>62025</v>
      </c>
      <c r="D3681" s="14" t="s">
        <v>1592</v>
      </c>
      <c r="E3681" s="112"/>
      <c r="F3681" s="139" t="s">
        <v>11425</v>
      </c>
      <c r="G3681" s="140"/>
      <c r="H3681" s="141"/>
      <c r="I3681" s="26">
        <v>29400</v>
      </c>
      <c r="J3681" s="117"/>
      <c r="K3681" s="120"/>
      <c r="L3681" s="121"/>
      <c r="M3681" s="120"/>
      <c r="N3681" s="121"/>
      <c r="O3681" s="120"/>
      <c r="P3681" s="121"/>
      <c r="Q3681" s="120"/>
      <c r="R3681" s="121"/>
      <c r="S3681" s="120"/>
      <c r="T3681" s="121"/>
      <c r="U3681" s="120"/>
      <c r="V3681" s="123"/>
      <c r="W3681" s="125"/>
      <c r="X3681" s="142" t="s">
        <v>3986</v>
      </c>
      <c r="Y3681" s="143"/>
      <c r="Z3681" s="143"/>
      <c r="AA3681" s="143"/>
      <c r="AB3681" s="144"/>
      <c r="AC3681" s="16" t="s">
        <v>21</v>
      </c>
      <c r="AD3681" s="17" t="s">
        <v>1723</v>
      </c>
      <c r="AE3681" s="145"/>
      <c r="AF3681" s="146"/>
      <c r="AG3681" s="146"/>
      <c r="AH3681" s="146"/>
      <c r="AI3681" s="147"/>
      <c r="AJ3681" s="148"/>
      <c r="AK3681" s="143"/>
      <c r="AL3681" s="144"/>
      <c r="AM3681" s="22"/>
      <c r="AN3681" s="149" t="s">
        <v>7284</v>
      </c>
      <c r="AO3681" s="144"/>
      <c r="AP3681" s="148">
        <v>41052</v>
      </c>
      <c r="AQ3681" s="144"/>
      <c r="AR3681" s="120"/>
      <c r="AS3681" s="121"/>
      <c r="AT3681" s="120"/>
      <c r="AU3681" s="121"/>
      <c r="AV3681" s="120"/>
      <c r="AW3681" s="121"/>
      <c r="AX3681" s="120"/>
      <c r="AY3681" s="121"/>
      <c r="AZ3681" s="138"/>
    </row>
    <row r="3682" spans="1:52" ht="17.100000000000001" customHeight="1" thickTop="1">
      <c r="A3682" s="109" t="s">
        <v>11509</v>
      </c>
      <c r="B3682" s="28">
        <v>45983</v>
      </c>
      <c r="C3682" s="25">
        <v>999</v>
      </c>
      <c r="D3682" s="13" t="s">
        <v>1549</v>
      </c>
      <c r="E3682" s="111"/>
      <c r="F3682" s="113" t="s">
        <v>2724</v>
      </c>
      <c r="G3682" s="114"/>
      <c r="H3682" s="115"/>
      <c r="I3682" s="24"/>
      <c r="J3682" s="116">
        <v>4.5</v>
      </c>
      <c r="K3682" s="118">
        <v>790000</v>
      </c>
      <c r="L3682" s="119"/>
      <c r="M3682" s="118">
        <f t="shared" ref="M3682" si="3352">K3682*0.1</f>
        <v>79000</v>
      </c>
      <c r="N3682" s="119"/>
      <c r="O3682" s="118">
        <v>0</v>
      </c>
      <c r="P3682" s="119"/>
      <c r="Q3682" s="118">
        <v>17700</v>
      </c>
      <c r="R3682" s="119"/>
      <c r="S3682" s="118">
        <v>15950</v>
      </c>
      <c r="T3682" s="119"/>
      <c r="U3682" s="118">
        <f t="shared" ref="U3682" si="3353">SUM(K3682:T3683)</f>
        <v>902650</v>
      </c>
      <c r="V3682" s="122"/>
      <c r="W3682" s="124"/>
      <c r="X3682" s="126" t="s">
        <v>11913</v>
      </c>
      <c r="Y3682" s="127"/>
      <c r="Z3682" s="127"/>
      <c r="AA3682" s="127"/>
      <c r="AB3682" s="128"/>
      <c r="AC3682" s="15" t="s">
        <v>20</v>
      </c>
      <c r="AD3682" s="129"/>
      <c r="AE3682" s="130"/>
      <c r="AF3682" s="130"/>
      <c r="AG3682" s="130"/>
      <c r="AH3682" s="130"/>
      <c r="AI3682" s="131"/>
      <c r="AJ3682" s="132"/>
      <c r="AK3682" s="127"/>
      <c r="AL3682" s="128"/>
      <c r="AM3682" s="21"/>
      <c r="AN3682" s="133">
        <v>45997</v>
      </c>
      <c r="AO3682" s="134"/>
      <c r="AP3682" s="135">
        <v>1279</v>
      </c>
      <c r="AQ3682" s="136"/>
      <c r="AR3682" s="118">
        <v>910000</v>
      </c>
      <c r="AS3682" s="119"/>
      <c r="AT3682" s="118">
        <f t="shared" ref="AT3682" si="3354">AR3682*0.1</f>
        <v>91000</v>
      </c>
      <c r="AU3682" s="119"/>
      <c r="AV3682" s="118">
        <v>17700</v>
      </c>
      <c r="AW3682" s="119"/>
      <c r="AX3682" s="118">
        <f t="shared" ref="AX3682" si="3355">SUM(AR3682:AW3682)</f>
        <v>1018700</v>
      </c>
      <c r="AY3682" s="119"/>
      <c r="AZ3682" s="137">
        <v>46000</v>
      </c>
    </row>
    <row r="3683" spans="1:52" ht="17.100000000000001" customHeight="1" thickBot="1">
      <c r="A3683" s="110"/>
      <c r="B3683" s="27" t="s">
        <v>1707</v>
      </c>
      <c r="C3683" s="27">
        <v>5099</v>
      </c>
      <c r="D3683" s="14" t="s">
        <v>133</v>
      </c>
      <c r="E3683" s="112"/>
      <c r="F3683" s="139" t="s">
        <v>11456</v>
      </c>
      <c r="G3683" s="140"/>
      <c r="H3683" s="141"/>
      <c r="I3683" s="26">
        <v>52183</v>
      </c>
      <c r="J3683" s="117"/>
      <c r="K3683" s="120"/>
      <c r="L3683" s="121"/>
      <c r="M3683" s="120"/>
      <c r="N3683" s="121"/>
      <c r="O3683" s="120"/>
      <c r="P3683" s="121"/>
      <c r="Q3683" s="120"/>
      <c r="R3683" s="121"/>
      <c r="S3683" s="120"/>
      <c r="T3683" s="121"/>
      <c r="U3683" s="120"/>
      <c r="V3683" s="123"/>
      <c r="W3683" s="125"/>
      <c r="X3683" s="142" t="s">
        <v>5161</v>
      </c>
      <c r="Y3683" s="143"/>
      <c r="Z3683" s="143"/>
      <c r="AA3683" s="143"/>
      <c r="AB3683" s="144"/>
      <c r="AC3683" s="16" t="s">
        <v>21</v>
      </c>
      <c r="AD3683" s="17" t="s">
        <v>1731</v>
      </c>
      <c r="AE3683" s="145" t="s">
        <v>7859</v>
      </c>
      <c r="AF3683" s="146"/>
      <c r="AG3683" s="146"/>
      <c r="AH3683" s="146"/>
      <c r="AI3683" s="147"/>
      <c r="AJ3683" s="148"/>
      <c r="AK3683" s="143"/>
      <c r="AL3683" s="144"/>
      <c r="AM3683" s="22"/>
      <c r="AN3683" s="149" t="s">
        <v>2511</v>
      </c>
      <c r="AO3683" s="144"/>
      <c r="AP3683" s="148">
        <v>80051</v>
      </c>
      <c r="AQ3683" s="144"/>
      <c r="AR3683" s="120"/>
      <c r="AS3683" s="121"/>
      <c r="AT3683" s="120"/>
      <c r="AU3683" s="121"/>
      <c r="AV3683" s="120"/>
      <c r="AW3683" s="121"/>
      <c r="AX3683" s="120"/>
      <c r="AY3683" s="121"/>
      <c r="AZ3683" s="138"/>
    </row>
    <row r="3684" spans="1:52" ht="17.100000000000001" customHeight="1" thickTop="1">
      <c r="A3684" s="109" t="s">
        <v>11510</v>
      </c>
      <c r="B3684" s="28">
        <v>45983</v>
      </c>
      <c r="C3684" s="25">
        <v>1442</v>
      </c>
      <c r="D3684" s="13" t="s">
        <v>2009</v>
      </c>
      <c r="E3684" s="111"/>
      <c r="F3684" s="113" t="s">
        <v>11421</v>
      </c>
      <c r="G3684" s="114"/>
      <c r="H3684" s="115"/>
      <c r="I3684" s="24" t="s">
        <v>11454</v>
      </c>
      <c r="J3684" s="116">
        <v>4.5</v>
      </c>
      <c r="K3684" s="118">
        <v>1340000</v>
      </c>
      <c r="L3684" s="119"/>
      <c r="M3684" s="118">
        <f t="shared" ref="M3684" si="3356">K3684*0.1</f>
        <v>134000</v>
      </c>
      <c r="N3684" s="119"/>
      <c r="O3684" s="118">
        <v>0</v>
      </c>
      <c r="P3684" s="119"/>
      <c r="Q3684" s="118">
        <v>6850</v>
      </c>
      <c r="R3684" s="119"/>
      <c r="S3684" s="118">
        <v>16500</v>
      </c>
      <c r="T3684" s="119"/>
      <c r="U3684" s="118">
        <f t="shared" ref="U3684" si="3357">SUM(K3684:T3685)</f>
        <v>1497350</v>
      </c>
      <c r="V3684" s="122"/>
      <c r="W3684" s="124"/>
      <c r="X3684" s="126" t="s">
        <v>11455</v>
      </c>
      <c r="Y3684" s="127"/>
      <c r="Z3684" s="127"/>
      <c r="AA3684" s="127"/>
      <c r="AB3684" s="128"/>
      <c r="AC3684" s="15" t="s">
        <v>20</v>
      </c>
      <c r="AD3684" s="129" t="s">
        <v>1633</v>
      </c>
      <c r="AE3684" s="130"/>
      <c r="AF3684" s="130"/>
      <c r="AG3684" s="130"/>
      <c r="AH3684" s="130"/>
      <c r="AI3684" s="131"/>
      <c r="AJ3684" s="132"/>
      <c r="AK3684" s="127"/>
      <c r="AL3684" s="128"/>
      <c r="AM3684" s="21" t="s">
        <v>12866</v>
      </c>
      <c r="AN3684" s="133">
        <v>46050</v>
      </c>
      <c r="AO3684" s="134"/>
      <c r="AP3684" s="135">
        <v>1002</v>
      </c>
      <c r="AQ3684" s="136"/>
      <c r="AR3684" s="118">
        <v>1370000</v>
      </c>
      <c r="AS3684" s="119"/>
      <c r="AT3684" s="118">
        <f t="shared" ref="AT3684" si="3358">AR3684*0.1</f>
        <v>137000</v>
      </c>
      <c r="AU3684" s="119"/>
      <c r="AV3684" s="118">
        <v>6850</v>
      </c>
      <c r="AW3684" s="119"/>
      <c r="AX3684" s="118">
        <f t="shared" ref="AX3684" si="3359">SUM(AR3684:AW3684)</f>
        <v>1513850</v>
      </c>
      <c r="AY3684" s="119"/>
      <c r="AZ3684" s="137">
        <v>46055</v>
      </c>
    </row>
    <row r="3685" spans="1:52" ht="17.100000000000001" customHeight="1" thickBot="1">
      <c r="A3685" s="110"/>
      <c r="B3685" s="27" t="s">
        <v>1779</v>
      </c>
      <c r="C3685" s="27">
        <v>7110</v>
      </c>
      <c r="D3685" s="14" t="s">
        <v>2601</v>
      </c>
      <c r="E3685" s="112"/>
      <c r="F3685" s="139" t="s">
        <v>11453</v>
      </c>
      <c r="G3685" s="140"/>
      <c r="H3685" s="141"/>
      <c r="I3685" s="26">
        <v>29687</v>
      </c>
      <c r="J3685" s="117"/>
      <c r="K3685" s="120"/>
      <c r="L3685" s="121"/>
      <c r="M3685" s="120"/>
      <c r="N3685" s="121"/>
      <c r="O3685" s="120"/>
      <c r="P3685" s="121"/>
      <c r="Q3685" s="120"/>
      <c r="R3685" s="121"/>
      <c r="S3685" s="120"/>
      <c r="T3685" s="121"/>
      <c r="U3685" s="120"/>
      <c r="V3685" s="123"/>
      <c r="W3685" s="125"/>
      <c r="X3685" s="142" t="s">
        <v>11917</v>
      </c>
      <c r="Y3685" s="143"/>
      <c r="Z3685" s="143"/>
      <c r="AA3685" s="143"/>
      <c r="AB3685" s="144"/>
      <c r="AC3685" s="16" t="s">
        <v>21</v>
      </c>
      <c r="AD3685" s="17" t="s">
        <v>1731</v>
      </c>
      <c r="AE3685" s="145" t="s">
        <v>5075</v>
      </c>
      <c r="AF3685" s="146"/>
      <c r="AG3685" s="146"/>
      <c r="AH3685" s="146"/>
      <c r="AI3685" s="147"/>
      <c r="AJ3685" s="148"/>
      <c r="AK3685" s="143"/>
      <c r="AL3685" s="144"/>
      <c r="AM3685" s="22"/>
      <c r="AN3685" s="149" t="s">
        <v>2794</v>
      </c>
      <c r="AO3685" s="144"/>
      <c r="AP3685" s="148">
        <v>2044</v>
      </c>
      <c r="AQ3685" s="144"/>
      <c r="AR3685" s="120"/>
      <c r="AS3685" s="121"/>
      <c r="AT3685" s="120"/>
      <c r="AU3685" s="121"/>
      <c r="AV3685" s="120"/>
      <c r="AW3685" s="121"/>
      <c r="AX3685" s="120"/>
      <c r="AY3685" s="121"/>
      <c r="AZ3685" s="138"/>
    </row>
    <row r="3686" spans="1:52" ht="17.100000000000001" customHeight="1" thickTop="1">
      <c r="A3686" s="109" t="s">
        <v>11511</v>
      </c>
      <c r="B3686" s="28">
        <v>45983</v>
      </c>
      <c r="C3686" s="25">
        <v>1520</v>
      </c>
      <c r="D3686" s="13" t="s">
        <v>1688</v>
      </c>
      <c r="E3686" s="111"/>
      <c r="F3686" s="113" t="s">
        <v>11467</v>
      </c>
      <c r="G3686" s="114"/>
      <c r="H3686" s="115"/>
      <c r="I3686" s="24"/>
      <c r="J3686" s="116">
        <v>4.5</v>
      </c>
      <c r="K3686" s="118">
        <v>1210000</v>
      </c>
      <c r="L3686" s="119"/>
      <c r="M3686" s="118">
        <f t="shared" ref="M3686" si="3360">K3686*0.1</f>
        <v>121000</v>
      </c>
      <c r="N3686" s="119"/>
      <c r="O3686" s="118">
        <v>0</v>
      </c>
      <c r="P3686" s="119"/>
      <c r="Q3686" s="118">
        <v>12270</v>
      </c>
      <c r="R3686" s="119"/>
      <c r="S3686" s="118">
        <v>16500</v>
      </c>
      <c r="T3686" s="119"/>
      <c r="U3686" s="118">
        <f t="shared" ref="U3686" si="3361">SUM(K3686:T3687)</f>
        <v>1359770</v>
      </c>
      <c r="V3686" s="122"/>
      <c r="W3686" s="124"/>
      <c r="X3686" s="126" t="s">
        <v>12408</v>
      </c>
      <c r="Y3686" s="127"/>
      <c r="Z3686" s="127"/>
      <c r="AA3686" s="127"/>
      <c r="AB3686" s="128"/>
      <c r="AC3686" s="15" t="s">
        <v>20</v>
      </c>
      <c r="AD3686" s="129" t="s">
        <v>1670</v>
      </c>
      <c r="AE3686" s="130"/>
      <c r="AF3686" s="130"/>
      <c r="AG3686" s="130"/>
      <c r="AH3686" s="130"/>
      <c r="AI3686" s="131"/>
      <c r="AJ3686" s="132"/>
      <c r="AK3686" s="127"/>
      <c r="AL3686" s="128"/>
      <c r="AM3686" s="21"/>
      <c r="AN3686" s="133">
        <v>45995</v>
      </c>
      <c r="AO3686" s="134"/>
      <c r="AP3686" s="135">
        <v>1309</v>
      </c>
      <c r="AQ3686" s="136"/>
      <c r="AR3686" s="118">
        <v>1380000</v>
      </c>
      <c r="AS3686" s="119"/>
      <c r="AT3686" s="118">
        <f t="shared" ref="AT3686" si="3362">AR3686*0.1</f>
        <v>138000</v>
      </c>
      <c r="AU3686" s="119"/>
      <c r="AV3686" s="118">
        <v>12270</v>
      </c>
      <c r="AW3686" s="119"/>
      <c r="AX3686" s="118">
        <f t="shared" ref="AX3686" si="3363">SUM(AR3686:AW3686)</f>
        <v>1530270</v>
      </c>
      <c r="AY3686" s="119"/>
      <c r="AZ3686" s="137">
        <v>45996</v>
      </c>
    </row>
    <row r="3687" spans="1:52" ht="17.100000000000001" customHeight="1" thickBot="1">
      <c r="A3687" s="110"/>
      <c r="B3687" s="27" t="s">
        <v>1555</v>
      </c>
      <c r="C3687" s="27">
        <v>83280</v>
      </c>
      <c r="D3687" s="14" t="s">
        <v>1576</v>
      </c>
      <c r="E3687" s="112"/>
      <c r="F3687" s="139" t="s">
        <v>11468</v>
      </c>
      <c r="G3687" s="140"/>
      <c r="H3687" s="141"/>
      <c r="I3687" s="26">
        <v>25014</v>
      </c>
      <c r="J3687" s="117"/>
      <c r="K3687" s="120"/>
      <c r="L3687" s="121"/>
      <c r="M3687" s="120"/>
      <c r="N3687" s="121"/>
      <c r="O3687" s="120"/>
      <c r="P3687" s="121"/>
      <c r="Q3687" s="120"/>
      <c r="R3687" s="121"/>
      <c r="S3687" s="120"/>
      <c r="T3687" s="121"/>
      <c r="U3687" s="120"/>
      <c r="V3687" s="123"/>
      <c r="W3687" s="125"/>
      <c r="X3687" s="142" t="s">
        <v>12409</v>
      </c>
      <c r="Y3687" s="143"/>
      <c r="Z3687" s="143"/>
      <c r="AA3687" s="143"/>
      <c r="AB3687" s="144"/>
      <c r="AC3687" s="16" t="s">
        <v>21</v>
      </c>
      <c r="AD3687" s="17" t="s">
        <v>1751</v>
      </c>
      <c r="AE3687" s="145" t="s">
        <v>3609</v>
      </c>
      <c r="AF3687" s="146"/>
      <c r="AG3687" s="146"/>
      <c r="AH3687" s="146"/>
      <c r="AI3687" s="147"/>
      <c r="AJ3687" s="148"/>
      <c r="AK3687" s="143"/>
      <c r="AL3687" s="144"/>
      <c r="AM3687" s="22"/>
      <c r="AN3687" s="149" t="s">
        <v>9132</v>
      </c>
      <c r="AO3687" s="144"/>
      <c r="AP3687" s="148" t="s">
        <v>12412</v>
      </c>
      <c r="AQ3687" s="144"/>
      <c r="AR3687" s="120"/>
      <c r="AS3687" s="121"/>
      <c r="AT3687" s="120"/>
      <c r="AU3687" s="121"/>
      <c r="AV3687" s="120"/>
      <c r="AW3687" s="121"/>
      <c r="AX3687" s="120"/>
      <c r="AY3687" s="121"/>
      <c r="AZ3687" s="138"/>
    </row>
    <row r="3688" spans="1:52" ht="17.100000000000001" customHeight="1" thickTop="1">
      <c r="A3688" s="109" t="s">
        <v>11512</v>
      </c>
      <c r="B3688" s="28">
        <v>45983</v>
      </c>
      <c r="C3688" s="25">
        <v>1277</v>
      </c>
      <c r="D3688" s="13" t="s">
        <v>2458</v>
      </c>
      <c r="E3688" s="111"/>
      <c r="F3688" s="113" t="s">
        <v>4436</v>
      </c>
      <c r="G3688" s="114"/>
      <c r="H3688" s="115"/>
      <c r="I3688" s="24" t="s">
        <v>4096</v>
      </c>
      <c r="J3688" s="116">
        <v>4.5</v>
      </c>
      <c r="K3688" s="118">
        <v>810000</v>
      </c>
      <c r="L3688" s="119"/>
      <c r="M3688" s="118">
        <f t="shared" ref="M3688" si="3364">K3688*0.1</f>
        <v>81000</v>
      </c>
      <c r="N3688" s="119"/>
      <c r="O3688" s="118">
        <v>0</v>
      </c>
      <c r="P3688" s="119"/>
      <c r="Q3688" s="118">
        <v>9200</v>
      </c>
      <c r="R3688" s="119"/>
      <c r="S3688" s="118">
        <v>13200</v>
      </c>
      <c r="T3688" s="119"/>
      <c r="U3688" s="118">
        <f t="shared" ref="U3688" si="3365">SUM(K3688:T3689)</f>
        <v>913400</v>
      </c>
      <c r="V3688" s="122"/>
      <c r="W3688" s="124"/>
      <c r="X3688" s="126" t="s">
        <v>11440</v>
      </c>
      <c r="Y3688" s="127"/>
      <c r="Z3688" s="127"/>
      <c r="AA3688" s="127"/>
      <c r="AB3688" s="128"/>
      <c r="AC3688" s="15" t="s">
        <v>20</v>
      </c>
      <c r="AD3688" s="129" t="s">
        <v>1670</v>
      </c>
      <c r="AE3688" s="130"/>
      <c r="AF3688" s="130"/>
      <c r="AG3688" s="130"/>
      <c r="AH3688" s="130"/>
      <c r="AI3688" s="131"/>
      <c r="AJ3688" s="132"/>
      <c r="AK3688" s="127"/>
      <c r="AL3688" s="128"/>
      <c r="AM3688" s="21" t="s">
        <v>12535</v>
      </c>
      <c r="AN3688" s="133">
        <v>45994</v>
      </c>
      <c r="AO3688" s="134"/>
      <c r="AP3688" s="135">
        <v>995</v>
      </c>
      <c r="AQ3688" s="136"/>
      <c r="AR3688" s="118">
        <v>865000</v>
      </c>
      <c r="AS3688" s="119"/>
      <c r="AT3688" s="118">
        <f t="shared" ref="AT3688" si="3366">AR3688*0.1</f>
        <v>86500</v>
      </c>
      <c r="AU3688" s="119"/>
      <c r="AV3688" s="118">
        <v>9200</v>
      </c>
      <c r="AW3688" s="119"/>
      <c r="AX3688" s="118">
        <f t="shared" ref="AX3688" si="3367">SUM(AR3688:AW3688)</f>
        <v>960700</v>
      </c>
      <c r="AY3688" s="119"/>
      <c r="AZ3688" s="137">
        <v>45999</v>
      </c>
    </row>
    <row r="3689" spans="1:52" ht="17.100000000000001" customHeight="1" thickBot="1">
      <c r="A3689" s="110"/>
      <c r="B3689" s="27" t="s">
        <v>2511</v>
      </c>
      <c r="C3689" s="27">
        <v>31002</v>
      </c>
      <c r="D3689" s="14" t="s">
        <v>275</v>
      </c>
      <c r="E3689" s="112"/>
      <c r="F3689" s="139" t="s">
        <v>11439</v>
      </c>
      <c r="G3689" s="140"/>
      <c r="H3689" s="141"/>
      <c r="I3689" s="26">
        <v>58010</v>
      </c>
      <c r="J3689" s="117"/>
      <c r="K3689" s="120"/>
      <c r="L3689" s="121"/>
      <c r="M3689" s="120"/>
      <c r="N3689" s="121"/>
      <c r="O3689" s="120"/>
      <c r="P3689" s="121"/>
      <c r="Q3689" s="120"/>
      <c r="R3689" s="121"/>
      <c r="S3689" s="120"/>
      <c r="T3689" s="121"/>
      <c r="U3689" s="120"/>
      <c r="V3689" s="123"/>
      <c r="W3689" s="125"/>
      <c r="X3689" s="142" t="s">
        <v>12083</v>
      </c>
      <c r="Y3689" s="143"/>
      <c r="Z3689" s="143"/>
      <c r="AA3689" s="143"/>
      <c r="AB3689" s="144"/>
      <c r="AC3689" s="16" t="s">
        <v>21</v>
      </c>
      <c r="AD3689" s="17" t="s">
        <v>12054</v>
      </c>
      <c r="AE3689" s="145" t="s">
        <v>12084</v>
      </c>
      <c r="AF3689" s="146"/>
      <c r="AG3689" s="146"/>
      <c r="AH3689" s="146"/>
      <c r="AI3689" s="147"/>
      <c r="AJ3689" s="148"/>
      <c r="AK3689" s="143"/>
      <c r="AL3689" s="144"/>
      <c r="AM3689" s="22"/>
      <c r="AN3689" s="149" t="s">
        <v>2794</v>
      </c>
      <c r="AO3689" s="144"/>
      <c r="AP3689" s="148">
        <v>2076</v>
      </c>
      <c r="AQ3689" s="144"/>
      <c r="AR3689" s="120"/>
      <c r="AS3689" s="121"/>
      <c r="AT3689" s="120"/>
      <c r="AU3689" s="121"/>
      <c r="AV3689" s="120"/>
      <c r="AW3689" s="121"/>
      <c r="AX3689" s="120"/>
      <c r="AY3689" s="121"/>
      <c r="AZ3689" s="138"/>
    </row>
    <row r="3690" spans="1:52" ht="17.100000000000001" customHeight="1" thickTop="1">
      <c r="A3690" s="109" t="s">
        <v>11513</v>
      </c>
      <c r="B3690" s="28">
        <v>45983</v>
      </c>
      <c r="C3690" s="25">
        <v>1277</v>
      </c>
      <c r="D3690" s="13" t="s">
        <v>2066</v>
      </c>
      <c r="E3690" s="111"/>
      <c r="F3690" s="113" t="s">
        <v>10492</v>
      </c>
      <c r="G3690" s="114"/>
      <c r="H3690" s="115"/>
      <c r="I3690" s="24" t="s">
        <v>4390</v>
      </c>
      <c r="J3690" s="116">
        <v>4.5</v>
      </c>
      <c r="K3690" s="118">
        <v>1240000</v>
      </c>
      <c r="L3690" s="119"/>
      <c r="M3690" s="118">
        <f t="shared" ref="M3690" si="3368">K3690*0.1</f>
        <v>124000</v>
      </c>
      <c r="N3690" s="119"/>
      <c r="O3690" s="118">
        <v>0</v>
      </c>
      <c r="P3690" s="119"/>
      <c r="Q3690" s="118">
        <v>6860</v>
      </c>
      <c r="R3690" s="119"/>
      <c r="S3690" s="118">
        <v>12100</v>
      </c>
      <c r="T3690" s="119"/>
      <c r="U3690" s="118">
        <f t="shared" ref="U3690" si="3369">SUM(K3690:T3691)</f>
        <v>1382960</v>
      </c>
      <c r="V3690" s="122"/>
      <c r="W3690" s="124"/>
      <c r="X3690" s="126" t="s">
        <v>11442</v>
      </c>
      <c r="Y3690" s="127"/>
      <c r="Z3690" s="127"/>
      <c r="AA3690" s="127"/>
      <c r="AB3690" s="128"/>
      <c r="AC3690" s="15" t="s">
        <v>20</v>
      </c>
      <c r="AD3690" s="129" t="s">
        <v>1670</v>
      </c>
      <c r="AE3690" s="130"/>
      <c r="AF3690" s="130"/>
      <c r="AG3690" s="130"/>
      <c r="AH3690" s="130"/>
      <c r="AI3690" s="131"/>
      <c r="AJ3690" s="132"/>
      <c r="AK3690" s="127"/>
      <c r="AL3690" s="128"/>
      <c r="AM3690" s="21"/>
      <c r="AN3690" s="133">
        <v>45987</v>
      </c>
      <c r="AO3690" s="134"/>
      <c r="AP3690" s="135">
        <v>994</v>
      </c>
      <c r="AQ3690" s="136"/>
      <c r="AR3690" s="118">
        <v>1310000</v>
      </c>
      <c r="AS3690" s="119"/>
      <c r="AT3690" s="118">
        <f t="shared" ref="AT3690" si="3370">AR3690*0.1</f>
        <v>131000</v>
      </c>
      <c r="AU3690" s="119"/>
      <c r="AV3690" s="118">
        <v>6860</v>
      </c>
      <c r="AW3690" s="119"/>
      <c r="AX3690" s="118">
        <f t="shared" ref="AX3690" si="3371">SUM(AR3690:AW3690)</f>
        <v>1447860</v>
      </c>
      <c r="AY3690" s="119"/>
      <c r="AZ3690" s="137">
        <v>45993</v>
      </c>
    </row>
    <row r="3691" spans="1:52" ht="17.100000000000001" customHeight="1" thickBot="1">
      <c r="A3691" s="110"/>
      <c r="B3691" s="27" t="s">
        <v>2511</v>
      </c>
      <c r="C3691" s="27">
        <v>31011</v>
      </c>
      <c r="D3691" s="14" t="s">
        <v>1592</v>
      </c>
      <c r="E3691" s="112"/>
      <c r="F3691" s="139" t="s">
        <v>11441</v>
      </c>
      <c r="G3691" s="140"/>
      <c r="H3691" s="141"/>
      <c r="I3691" s="26">
        <v>7013</v>
      </c>
      <c r="J3691" s="117"/>
      <c r="K3691" s="120"/>
      <c r="L3691" s="121"/>
      <c r="M3691" s="120"/>
      <c r="N3691" s="121"/>
      <c r="O3691" s="120"/>
      <c r="P3691" s="121"/>
      <c r="Q3691" s="120"/>
      <c r="R3691" s="121"/>
      <c r="S3691" s="120"/>
      <c r="T3691" s="121"/>
      <c r="U3691" s="120"/>
      <c r="V3691" s="123"/>
      <c r="W3691" s="125"/>
      <c r="X3691" s="142" t="s">
        <v>12103</v>
      </c>
      <c r="Y3691" s="143"/>
      <c r="Z3691" s="143"/>
      <c r="AA3691" s="143"/>
      <c r="AB3691" s="144"/>
      <c r="AC3691" s="16" t="s">
        <v>21</v>
      </c>
      <c r="AD3691" s="17" t="s">
        <v>3980</v>
      </c>
      <c r="AE3691" s="145"/>
      <c r="AF3691" s="146"/>
      <c r="AG3691" s="146"/>
      <c r="AH3691" s="146"/>
      <c r="AI3691" s="147"/>
      <c r="AJ3691" s="148"/>
      <c r="AK3691" s="143"/>
      <c r="AL3691" s="144"/>
      <c r="AM3691" s="22"/>
      <c r="AN3691" s="149" t="s">
        <v>2794</v>
      </c>
      <c r="AO3691" s="144"/>
      <c r="AP3691" s="148">
        <v>2093</v>
      </c>
      <c r="AQ3691" s="144"/>
      <c r="AR3691" s="120"/>
      <c r="AS3691" s="121"/>
      <c r="AT3691" s="120"/>
      <c r="AU3691" s="121"/>
      <c r="AV3691" s="120"/>
      <c r="AW3691" s="121"/>
      <c r="AX3691" s="120"/>
      <c r="AY3691" s="121"/>
      <c r="AZ3691" s="138"/>
    </row>
    <row r="3692" spans="1:52" ht="17.100000000000001" customHeight="1" thickTop="1">
      <c r="A3692" s="109" t="s">
        <v>11514</v>
      </c>
      <c r="B3692" s="28">
        <v>45983</v>
      </c>
      <c r="C3692" s="25">
        <v>1277</v>
      </c>
      <c r="D3692" s="13" t="s">
        <v>1853</v>
      </c>
      <c r="E3692" s="111"/>
      <c r="F3692" s="113" t="s">
        <v>6994</v>
      </c>
      <c r="G3692" s="114"/>
      <c r="H3692" s="115"/>
      <c r="I3692" s="24"/>
      <c r="J3692" s="116">
        <v>4.5</v>
      </c>
      <c r="K3692" s="118">
        <v>1035000</v>
      </c>
      <c r="L3692" s="119"/>
      <c r="M3692" s="118">
        <f t="shared" ref="M3692" si="3372">K3692*0.1</f>
        <v>103500</v>
      </c>
      <c r="N3692" s="119"/>
      <c r="O3692" s="118">
        <v>0</v>
      </c>
      <c r="P3692" s="119"/>
      <c r="Q3692" s="118">
        <v>8640</v>
      </c>
      <c r="R3692" s="119"/>
      <c r="S3692" s="118">
        <v>12100</v>
      </c>
      <c r="T3692" s="119"/>
      <c r="U3692" s="118">
        <f t="shared" ref="U3692" si="3373">SUM(K3692:T3693)</f>
        <v>1159240</v>
      </c>
      <c r="V3692" s="122"/>
      <c r="W3692" s="124"/>
      <c r="X3692" s="126" t="s">
        <v>12085</v>
      </c>
      <c r="Y3692" s="127"/>
      <c r="Z3692" s="127"/>
      <c r="AA3692" s="127"/>
      <c r="AB3692" s="128"/>
      <c r="AC3692" s="15" t="s">
        <v>20</v>
      </c>
      <c r="AD3692" s="129" t="s">
        <v>171</v>
      </c>
      <c r="AE3692" s="130"/>
      <c r="AF3692" s="130"/>
      <c r="AG3692" s="130"/>
      <c r="AH3692" s="130"/>
      <c r="AI3692" s="131"/>
      <c r="AJ3692" s="132"/>
      <c r="AK3692" s="127"/>
      <c r="AL3692" s="128"/>
      <c r="AM3692" s="21"/>
      <c r="AN3692" s="133">
        <v>46029</v>
      </c>
      <c r="AO3692" s="134"/>
      <c r="AP3692" s="135">
        <v>999</v>
      </c>
      <c r="AQ3692" s="136"/>
      <c r="AR3692" s="118">
        <v>1050000</v>
      </c>
      <c r="AS3692" s="119"/>
      <c r="AT3692" s="118">
        <f t="shared" ref="AT3692" si="3374">AR3692*0.1</f>
        <v>105000</v>
      </c>
      <c r="AU3692" s="119"/>
      <c r="AV3692" s="118">
        <v>8640</v>
      </c>
      <c r="AW3692" s="119"/>
      <c r="AX3692" s="118">
        <f t="shared" ref="AX3692" si="3375">SUM(AR3692:AW3692)</f>
        <v>1163640</v>
      </c>
      <c r="AY3692" s="119"/>
      <c r="AZ3692" s="137">
        <v>46035</v>
      </c>
    </row>
    <row r="3693" spans="1:52" ht="17.100000000000001" customHeight="1" thickBot="1">
      <c r="A3693" s="110"/>
      <c r="B3693" s="27" t="s">
        <v>2511</v>
      </c>
      <c r="C3693" s="27">
        <v>31335</v>
      </c>
      <c r="D3693" s="14" t="s">
        <v>1576</v>
      </c>
      <c r="E3693" s="112"/>
      <c r="F3693" s="139" t="s">
        <v>11443</v>
      </c>
      <c r="G3693" s="140"/>
      <c r="H3693" s="141"/>
      <c r="I3693" s="26">
        <v>25045</v>
      </c>
      <c r="J3693" s="117"/>
      <c r="K3693" s="120"/>
      <c r="L3693" s="121"/>
      <c r="M3693" s="120"/>
      <c r="N3693" s="121"/>
      <c r="O3693" s="120"/>
      <c r="P3693" s="121"/>
      <c r="Q3693" s="120"/>
      <c r="R3693" s="121"/>
      <c r="S3693" s="120"/>
      <c r="T3693" s="121"/>
      <c r="U3693" s="120"/>
      <c r="V3693" s="123"/>
      <c r="W3693" s="125"/>
      <c r="X3693" s="142" t="s">
        <v>12086</v>
      </c>
      <c r="Y3693" s="143"/>
      <c r="Z3693" s="143"/>
      <c r="AA3693" s="143"/>
      <c r="AB3693" s="144"/>
      <c r="AC3693" s="16" t="s">
        <v>21</v>
      </c>
      <c r="AD3693" s="17" t="s">
        <v>12054</v>
      </c>
      <c r="AE3693" s="145" t="s">
        <v>2395</v>
      </c>
      <c r="AF3693" s="146"/>
      <c r="AG3693" s="146"/>
      <c r="AH3693" s="146"/>
      <c r="AI3693" s="147"/>
      <c r="AJ3693" s="148"/>
      <c r="AK3693" s="143"/>
      <c r="AL3693" s="144"/>
      <c r="AM3693" s="22"/>
      <c r="AN3693" s="149" t="s">
        <v>2794</v>
      </c>
      <c r="AO3693" s="144"/>
      <c r="AP3693" s="148">
        <v>2023</v>
      </c>
      <c r="AQ3693" s="144"/>
      <c r="AR3693" s="120"/>
      <c r="AS3693" s="121"/>
      <c r="AT3693" s="120"/>
      <c r="AU3693" s="121"/>
      <c r="AV3693" s="120"/>
      <c r="AW3693" s="121"/>
      <c r="AX3693" s="120"/>
      <c r="AY3693" s="121"/>
      <c r="AZ3693" s="138"/>
    </row>
    <row r="3694" spans="1:52" ht="17.100000000000001" customHeight="1" thickTop="1">
      <c r="A3694" s="109" t="s">
        <v>11515</v>
      </c>
      <c r="B3694" s="28">
        <v>45983</v>
      </c>
      <c r="C3694" s="25">
        <v>1277</v>
      </c>
      <c r="D3694" s="13" t="s">
        <v>2187</v>
      </c>
      <c r="E3694" s="111"/>
      <c r="F3694" s="113" t="s">
        <v>11092</v>
      </c>
      <c r="G3694" s="114"/>
      <c r="H3694" s="115"/>
      <c r="I3694" s="24"/>
      <c r="J3694" s="116">
        <v>4.5</v>
      </c>
      <c r="K3694" s="118">
        <v>955000</v>
      </c>
      <c r="L3694" s="119"/>
      <c r="M3694" s="118">
        <f t="shared" ref="M3694" si="3376">K3694*0.1</f>
        <v>95500</v>
      </c>
      <c r="N3694" s="119"/>
      <c r="O3694" s="118">
        <v>0</v>
      </c>
      <c r="P3694" s="119"/>
      <c r="Q3694" s="118">
        <v>7440</v>
      </c>
      <c r="R3694" s="119"/>
      <c r="S3694" s="118">
        <v>13200</v>
      </c>
      <c r="T3694" s="119"/>
      <c r="U3694" s="118">
        <f t="shared" ref="U3694" si="3377">SUM(K3694:T3695)</f>
        <v>1071140</v>
      </c>
      <c r="V3694" s="122"/>
      <c r="W3694" s="124"/>
      <c r="X3694" s="126" t="s">
        <v>12064</v>
      </c>
      <c r="Y3694" s="127"/>
      <c r="Z3694" s="127"/>
      <c r="AA3694" s="127"/>
      <c r="AB3694" s="128"/>
      <c r="AC3694" s="15" t="s">
        <v>20</v>
      </c>
      <c r="AD3694" s="129"/>
      <c r="AE3694" s="130"/>
      <c r="AF3694" s="130"/>
      <c r="AG3694" s="130"/>
      <c r="AH3694" s="130"/>
      <c r="AI3694" s="131"/>
      <c r="AJ3694" s="132"/>
      <c r="AK3694" s="127"/>
      <c r="AL3694" s="128"/>
      <c r="AM3694" s="21"/>
      <c r="AN3694" s="133">
        <v>46015</v>
      </c>
      <c r="AO3694" s="134"/>
      <c r="AP3694" s="135">
        <v>998</v>
      </c>
      <c r="AQ3694" s="136"/>
      <c r="AR3694" s="118">
        <v>1020000</v>
      </c>
      <c r="AS3694" s="119"/>
      <c r="AT3694" s="118">
        <f t="shared" ref="AT3694" si="3378">AR3694*0.1</f>
        <v>102000</v>
      </c>
      <c r="AU3694" s="119"/>
      <c r="AV3694" s="118">
        <v>7440</v>
      </c>
      <c r="AW3694" s="119"/>
      <c r="AX3694" s="118">
        <f t="shared" ref="AX3694" si="3379">SUM(AR3694:AW3694)</f>
        <v>1129440</v>
      </c>
      <c r="AY3694" s="119"/>
      <c r="AZ3694" s="137">
        <v>46027</v>
      </c>
    </row>
    <row r="3695" spans="1:52" ht="17.100000000000001" customHeight="1" thickBot="1">
      <c r="A3695" s="110"/>
      <c r="B3695" s="27" t="s">
        <v>2511</v>
      </c>
      <c r="C3695" s="27">
        <v>41047</v>
      </c>
      <c r="D3695" s="14" t="s">
        <v>1592</v>
      </c>
      <c r="E3695" s="112"/>
      <c r="F3695" s="139" t="s">
        <v>11524</v>
      </c>
      <c r="G3695" s="140"/>
      <c r="H3695" s="141"/>
      <c r="I3695" s="26">
        <v>12388</v>
      </c>
      <c r="J3695" s="117"/>
      <c r="K3695" s="120"/>
      <c r="L3695" s="121"/>
      <c r="M3695" s="120"/>
      <c r="N3695" s="121"/>
      <c r="O3695" s="120"/>
      <c r="P3695" s="121"/>
      <c r="Q3695" s="120"/>
      <c r="R3695" s="121"/>
      <c r="S3695" s="120"/>
      <c r="T3695" s="121"/>
      <c r="U3695" s="120"/>
      <c r="V3695" s="123"/>
      <c r="W3695" s="125"/>
      <c r="X3695" s="142" t="s">
        <v>12065</v>
      </c>
      <c r="Y3695" s="143"/>
      <c r="Z3695" s="143"/>
      <c r="AA3695" s="143"/>
      <c r="AB3695" s="144"/>
      <c r="AC3695" s="16" t="s">
        <v>21</v>
      </c>
      <c r="AD3695" s="17" t="s">
        <v>12054</v>
      </c>
      <c r="AE3695" s="145" t="s">
        <v>9186</v>
      </c>
      <c r="AF3695" s="146"/>
      <c r="AG3695" s="146"/>
      <c r="AH3695" s="146"/>
      <c r="AI3695" s="147"/>
      <c r="AJ3695" s="148"/>
      <c r="AK3695" s="143"/>
      <c r="AL3695" s="144"/>
      <c r="AM3695" s="22"/>
      <c r="AN3695" s="149" t="s">
        <v>2794</v>
      </c>
      <c r="AO3695" s="144"/>
      <c r="AP3695" s="148">
        <v>80020</v>
      </c>
      <c r="AQ3695" s="144"/>
      <c r="AR3695" s="120"/>
      <c r="AS3695" s="121"/>
      <c r="AT3695" s="120"/>
      <c r="AU3695" s="121"/>
      <c r="AV3695" s="120"/>
      <c r="AW3695" s="121"/>
      <c r="AX3695" s="120"/>
      <c r="AY3695" s="121"/>
      <c r="AZ3695" s="138"/>
    </row>
    <row r="3696" spans="1:52" ht="17.100000000000001" customHeight="1" thickTop="1">
      <c r="A3696" s="109" t="s">
        <v>11516</v>
      </c>
      <c r="B3696" s="28">
        <v>45983</v>
      </c>
      <c r="C3696" s="25">
        <v>1277</v>
      </c>
      <c r="D3696" s="13" t="s">
        <v>4035</v>
      </c>
      <c r="E3696" s="111"/>
      <c r="F3696" s="113" t="s">
        <v>11444</v>
      </c>
      <c r="G3696" s="114"/>
      <c r="H3696" s="115"/>
      <c r="I3696" s="24"/>
      <c r="J3696" s="116">
        <v>4</v>
      </c>
      <c r="K3696" s="118">
        <v>605000</v>
      </c>
      <c r="L3696" s="119"/>
      <c r="M3696" s="118">
        <f t="shared" ref="M3696" si="3380">K3696*0.1</f>
        <v>60500</v>
      </c>
      <c r="N3696" s="119"/>
      <c r="O3696" s="118">
        <v>0</v>
      </c>
      <c r="P3696" s="119"/>
      <c r="Q3696" s="118">
        <v>8540</v>
      </c>
      <c r="R3696" s="119"/>
      <c r="S3696" s="118">
        <v>13200</v>
      </c>
      <c r="T3696" s="119"/>
      <c r="U3696" s="118">
        <f t="shared" ref="U3696" si="3381">SUM(K3696:T3697)</f>
        <v>687240</v>
      </c>
      <c r="V3696" s="122"/>
      <c r="W3696" s="124"/>
      <c r="X3696" s="126" t="s">
        <v>12067</v>
      </c>
      <c r="Y3696" s="127"/>
      <c r="Z3696" s="127"/>
      <c r="AA3696" s="127"/>
      <c r="AB3696" s="128"/>
      <c r="AC3696" s="15" t="s">
        <v>20</v>
      </c>
      <c r="AD3696" s="129"/>
      <c r="AE3696" s="130"/>
      <c r="AF3696" s="130"/>
      <c r="AG3696" s="130"/>
      <c r="AH3696" s="130"/>
      <c r="AI3696" s="131"/>
      <c r="AJ3696" s="132"/>
      <c r="AK3696" s="127"/>
      <c r="AL3696" s="128"/>
      <c r="AM3696" s="21"/>
      <c r="AN3696" s="133">
        <v>45994</v>
      </c>
      <c r="AO3696" s="134"/>
      <c r="AP3696" s="135">
        <v>995</v>
      </c>
      <c r="AQ3696" s="136"/>
      <c r="AR3696" s="118">
        <v>655000</v>
      </c>
      <c r="AS3696" s="119"/>
      <c r="AT3696" s="118">
        <f t="shared" ref="AT3696" si="3382">AR3696*0.1</f>
        <v>65500</v>
      </c>
      <c r="AU3696" s="119"/>
      <c r="AV3696" s="118">
        <v>8540</v>
      </c>
      <c r="AW3696" s="119"/>
      <c r="AX3696" s="118">
        <f t="shared" ref="AX3696" si="3383">SUM(AR3696:AW3696)</f>
        <v>729040</v>
      </c>
      <c r="AY3696" s="119"/>
      <c r="AZ3696" s="137">
        <v>45999</v>
      </c>
    </row>
    <row r="3697" spans="1:52" ht="17.100000000000001" customHeight="1" thickBot="1">
      <c r="A3697" s="110"/>
      <c r="B3697" s="27" t="s">
        <v>2511</v>
      </c>
      <c r="C3697" s="27">
        <v>65025</v>
      </c>
      <c r="D3697" s="14" t="s">
        <v>1592</v>
      </c>
      <c r="E3697" s="112"/>
      <c r="F3697" s="139" t="s">
        <v>11445</v>
      </c>
      <c r="G3697" s="140"/>
      <c r="H3697" s="141"/>
      <c r="I3697" s="26">
        <v>77902</v>
      </c>
      <c r="J3697" s="117"/>
      <c r="K3697" s="120"/>
      <c r="L3697" s="121"/>
      <c r="M3697" s="120"/>
      <c r="N3697" s="121"/>
      <c r="O3697" s="120"/>
      <c r="P3697" s="121"/>
      <c r="Q3697" s="120"/>
      <c r="R3697" s="121"/>
      <c r="S3697" s="120"/>
      <c r="T3697" s="121"/>
      <c r="U3697" s="120"/>
      <c r="V3697" s="123"/>
      <c r="W3697" s="125"/>
      <c r="X3697" s="142" t="s">
        <v>12068</v>
      </c>
      <c r="Y3697" s="143"/>
      <c r="Z3697" s="143"/>
      <c r="AA3697" s="143"/>
      <c r="AB3697" s="144"/>
      <c r="AC3697" s="16" t="s">
        <v>21</v>
      </c>
      <c r="AD3697" s="17" t="s">
        <v>12054</v>
      </c>
      <c r="AE3697" s="145"/>
      <c r="AF3697" s="146"/>
      <c r="AG3697" s="146"/>
      <c r="AH3697" s="146"/>
      <c r="AI3697" s="147"/>
      <c r="AJ3697" s="148"/>
      <c r="AK3697" s="143"/>
      <c r="AL3697" s="144"/>
      <c r="AM3697" s="22"/>
      <c r="AN3697" s="149" t="s">
        <v>2794</v>
      </c>
      <c r="AO3697" s="144"/>
      <c r="AP3697" s="148">
        <v>2025</v>
      </c>
      <c r="AQ3697" s="144"/>
      <c r="AR3697" s="120"/>
      <c r="AS3697" s="121"/>
      <c r="AT3697" s="120"/>
      <c r="AU3697" s="121"/>
      <c r="AV3697" s="120"/>
      <c r="AW3697" s="121"/>
      <c r="AX3697" s="120"/>
      <c r="AY3697" s="121"/>
      <c r="AZ3697" s="138"/>
    </row>
    <row r="3698" spans="1:52" ht="17.100000000000001" customHeight="1" thickTop="1">
      <c r="A3698" s="109" t="s">
        <v>11517</v>
      </c>
      <c r="B3698" s="28">
        <v>45983</v>
      </c>
      <c r="C3698" s="25">
        <v>1277</v>
      </c>
      <c r="D3698" s="13" t="s">
        <v>2407</v>
      </c>
      <c r="E3698" s="111"/>
      <c r="F3698" s="113" t="s">
        <v>4444</v>
      </c>
      <c r="G3698" s="114"/>
      <c r="H3698" s="115"/>
      <c r="I3698" s="24" t="s">
        <v>2526</v>
      </c>
      <c r="J3698" s="116">
        <v>4</v>
      </c>
      <c r="K3698" s="118">
        <v>835000</v>
      </c>
      <c r="L3698" s="119"/>
      <c r="M3698" s="118">
        <f t="shared" ref="M3698" si="3384">K3698*0.1</f>
        <v>83500</v>
      </c>
      <c r="N3698" s="119"/>
      <c r="O3698" s="118">
        <v>0</v>
      </c>
      <c r="P3698" s="119"/>
      <c r="Q3698" s="118">
        <v>9010</v>
      </c>
      <c r="R3698" s="119"/>
      <c r="S3698" s="118">
        <v>12100</v>
      </c>
      <c r="T3698" s="119"/>
      <c r="U3698" s="118">
        <f t="shared" ref="U3698" si="3385">SUM(K3698:T3699)</f>
        <v>939610</v>
      </c>
      <c r="V3698" s="122"/>
      <c r="W3698" s="124"/>
      <c r="X3698" s="126" t="s">
        <v>11447</v>
      </c>
      <c r="Y3698" s="127"/>
      <c r="Z3698" s="127"/>
      <c r="AA3698" s="127"/>
      <c r="AB3698" s="128"/>
      <c r="AC3698" s="15" t="s">
        <v>20</v>
      </c>
      <c r="AD3698" s="129"/>
      <c r="AE3698" s="130"/>
      <c r="AF3698" s="130"/>
      <c r="AG3698" s="130"/>
      <c r="AH3698" s="130"/>
      <c r="AI3698" s="131"/>
      <c r="AJ3698" s="132"/>
      <c r="AK3698" s="127"/>
      <c r="AL3698" s="128"/>
      <c r="AM3698" s="21" t="s">
        <v>13037</v>
      </c>
      <c r="AN3698" s="133">
        <v>46001</v>
      </c>
      <c r="AO3698" s="134"/>
      <c r="AP3698" s="135">
        <v>996</v>
      </c>
      <c r="AQ3698" s="136"/>
      <c r="AR3698" s="118">
        <v>910000</v>
      </c>
      <c r="AS3698" s="119"/>
      <c r="AT3698" s="118">
        <f t="shared" ref="AT3698" si="3386">AR3698*0.1</f>
        <v>91000</v>
      </c>
      <c r="AU3698" s="119"/>
      <c r="AV3698" s="118">
        <v>9010</v>
      </c>
      <c r="AW3698" s="119"/>
      <c r="AX3698" s="118">
        <f t="shared" ref="AX3698" si="3387">SUM(AR3698:AW3698)</f>
        <v>1010010</v>
      </c>
      <c r="AY3698" s="119"/>
      <c r="AZ3698" s="137">
        <v>46006</v>
      </c>
    </row>
    <row r="3699" spans="1:52" ht="17.100000000000001" customHeight="1" thickBot="1">
      <c r="A3699" s="110"/>
      <c r="B3699" s="27" t="s">
        <v>2511</v>
      </c>
      <c r="C3699" s="27">
        <v>65333</v>
      </c>
      <c r="D3699" s="14" t="s">
        <v>275</v>
      </c>
      <c r="E3699" s="112"/>
      <c r="F3699" s="139" t="s">
        <v>11446</v>
      </c>
      <c r="G3699" s="140"/>
      <c r="H3699" s="141"/>
      <c r="I3699" s="26">
        <v>51950</v>
      </c>
      <c r="J3699" s="117"/>
      <c r="K3699" s="120"/>
      <c r="L3699" s="121"/>
      <c r="M3699" s="120"/>
      <c r="N3699" s="121"/>
      <c r="O3699" s="120"/>
      <c r="P3699" s="121"/>
      <c r="Q3699" s="120"/>
      <c r="R3699" s="121"/>
      <c r="S3699" s="120"/>
      <c r="T3699" s="121"/>
      <c r="U3699" s="120"/>
      <c r="V3699" s="123"/>
      <c r="W3699" s="125"/>
      <c r="X3699" s="142" t="s">
        <v>12082</v>
      </c>
      <c r="Y3699" s="143"/>
      <c r="Z3699" s="143"/>
      <c r="AA3699" s="143"/>
      <c r="AB3699" s="144"/>
      <c r="AC3699" s="16" t="s">
        <v>21</v>
      </c>
      <c r="AD3699" s="17" t="s">
        <v>12054</v>
      </c>
      <c r="AE3699" s="145" t="s">
        <v>171</v>
      </c>
      <c r="AF3699" s="146"/>
      <c r="AG3699" s="146"/>
      <c r="AH3699" s="146"/>
      <c r="AI3699" s="147"/>
      <c r="AJ3699" s="148"/>
      <c r="AK3699" s="143"/>
      <c r="AL3699" s="144"/>
      <c r="AM3699" s="22"/>
      <c r="AN3699" s="149" t="s">
        <v>2794</v>
      </c>
      <c r="AO3699" s="144"/>
      <c r="AP3699" s="148">
        <v>2013</v>
      </c>
      <c r="AQ3699" s="144"/>
      <c r="AR3699" s="120"/>
      <c r="AS3699" s="121"/>
      <c r="AT3699" s="120"/>
      <c r="AU3699" s="121"/>
      <c r="AV3699" s="120"/>
      <c r="AW3699" s="121"/>
      <c r="AX3699" s="120"/>
      <c r="AY3699" s="121"/>
      <c r="AZ3699" s="138"/>
    </row>
    <row r="3700" spans="1:52" ht="17.100000000000001" customHeight="1" thickTop="1">
      <c r="A3700" s="109" t="s">
        <v>11518</v>
      </c>
      <c r="B3700" s="28">
        <v>45983</v>
      </c>
      <c r="C3700" s="25">
        <v>1277</v>
      </c>
      <c r="D3700" s="13" t="s">
        <v>1597</v>
      </c>
      <c r="E3700" s="111"/>
      <c r="F3700" s="113" t="s">
        <v>11460</v>
      </c>
      <c r="G3700" s="114"/>
      <c r="H3700" s="115"/>
      <c r="I3700" s="24"/>
      <c r="J3700" s="116">
        <v>4.5</v>
      </c>
      <c r="K3700" s="118">
        <v>935000</v>
      </c>
      <c r="L3700" s="119"/>
      <c r="M3700" s="118">
        <f t="shared" ref="M3700" si="3388">K3700*0.1</f>
        <v>93500</v>
      </c>
      <c r="N3700" s="119"/>
      <c r="O3700" s="118">
        <v>0</v>
      </c>
      <c r="P3700" s="119"/>
      <c r="Q3700" s="118">
        <v>8790</v>
      </c>
      <c r="R3700" s="119"/>
      <c r="S3700" s="118">
        <v>12100</v>
      </c>
      <c r="T3700" s="119"/>
      <c r="U3700" s="118">
        <f t="shared" ref="U3700" si="3389">SUM(K3700:T3701)</f>
        <v>1049390</v>
      </c>
      <c r="V3700" s="122"/>
      <c r="W3700" s="124"/>
      <c r="X3700" s="126" t="s">
        <v>12087</v>
      </c>
      <c r="Y3700" s="127"/>
      <c r="Z3700" s="127"/>
      <c r="AA3700" s="127"/>
      <c r="AB3700" s="128"/>
      <c r="AC3700" s="15" t="s">
        <v>20</v>
      </c>
      <c r="AD3700" s="129" t="s">
        <v>11462</v>
      </c>
      <c r="AE3700" s="130"/>
      <c r="AF3700" s="130"/>
      <c r="AG3700" s="130"/>
      <c r="AH3700" s="130"/>
      <c r="AI3700" s="131"/>
      <c r="AJ3700" s="132"/>
      <c r="AK3700" s="127"/>
      <c r="AL3700" s="128"/>
      <c r="AM3700" s="21"/>
      <c r="AN3700" s="133">
        <v>46001</v>
      </c>
      <c r="AO3700" s="134"/>
      <c r="AP3700" s="135">
        <v>996</v>
      </c>
      <c r="AQ3700" s="136"/>
      <c r="AR3700" s="118">
        <v>1000000</v>
      </c>
      <c r="AS3700" s="119"/>
      <c r="AT3700" s="118">
        <f t="shared" ref="AT3700" si="3390">AR3700*0.1</f>
        <v>100000</v>
      </c>
      <c r="AU3700" s="119"/>
      <c r="AV3700" s="118">
        <v>8790</v>
      </c>
      <c r="AW3700" s="119"/>
      <c r="AX3700" s="118">
        <f t="shared" ref="AX3700" si="3391">SUM(AR3700:AW3700)</f>
        <v>1108790</v>
      </c>
      <c r="AY3700" s="119"/>
      <c r="AZ3700" s="137">
        <v>46006</v>
      </c>
    </row>
    <row r="3701" spans="1:52" ht="17.100000000000001" customHeight="1" thickBot="1">
      <c r="A3701" s="110"/>
      <c r="B3701" s="27" t="s">
        <v>2511</v>
      </c>
      <c r="C3701" s="27">
        <v>65406</v>
      </c>
      <c r="D3701" s="14" t="s">
        <v>3855</v>
      </c>
      <c r="E3701" s="112"/>
      <c r="F3701" s="139" t="s">
        <v>11461</v>
      </c>
      <c r="G3701" s="140"/>
      <c r="H3701" s="141"/>
      <c r="I3701" s="26">
        <v>57364</v>
      </c>
      <c r="J3701" s="117"/>
      <c r="K3701" s="120"/>
      <c r="L3701" s="121"/>
      <c r="M3701" s="120"/>
      <c r="N3701" s="121"/>
      <c r="O3701" s="120"/>
      <c r="P3701" s="121"/>
      <c r="Q3701" s="120"/>
      <c r="R3701" s="121"/>
      <c r="S3701" s="120"/>
      <c r="T3701" s="121"/>
      <c r="U3701" s="120"/>
      <c r="V3701" s="123"/>
      <c r="W3701" s="125"/>
      <c r="X3701" s="142" t="s">
        <v>2918</v>
      </c>
      <c r="Y3701" s="143"/>
      <c r="Z3701" s="143"/>
      <c r="AA3701" s="143"/>
      <c r="AB3701" s="144"/>
      <c r="AC3701" s="16" t="s">
        <v>21</v>
      </c>
      <c r="AD3701" s="17" t="s">
        <v>12054</v>
      </c>
      <c r="AE3701" s="145" t="s">
        <v>12128</v>
      </c>
      <c r="AF3701" s="146"/>
      <c r="AG3701" s="146"/>
      <c r="AH3701" s="146"/>
      <c r="AI3701" s="147"/>
      <c r="AJ3701" s="148"/>
      <c r="AK3701" s="143"/>
      <c r="AL3701" s="144"/>
      <c r="AM3701" s="22"/>
      <c r="AN3701" s="149" t="s">
        <v>2794</v>
      </c>
      <c r="AO3701" s="144"/>
      <c r="AP3701" s="148">
        <v>2088</v>
      </c>
      <c r="AQ3701" s="144"/>
      <c r="AR3701" s="120"/>
      <c r="AS3701" s="121"/>
      <c r="AT3701" s="120"/>
      <c r="AU3701" s="121"/>
      <c r="AV3701" s="120"/>
      <c r="AW3701" s="121"/>
      <c r="AX3701" s="120"/>
      <c r="AY3701" s="121"/>
      <c r="AZ3701" s="138"/>
    </row>
    <row r="3702" spans="1:52" ht="17.100000000000001" customHeight="1" thickTop="1">
      <c r="A3702" s="109" t="s">
        <v>11519</v>
      </c>
      <c r="B3702" s="28">
        <v>45983</v>
      </c>
      <c r="C3702" s="25">
        <v>1277</v>
      </c>
      <c r="D3702" s="13" t="s">
        <v>3461</v>
      </c>
      <c r="E3702" s="111"/>
      <c r="F3702" s="113" t="s">
        <v>11463</v>
      </c>
      <c r="G3702" s="114"/>
      <c r="H3702" s="115"/>
      <c r="I3702" s="24"/>
      <c r="J3702" s="116">
        <v>4</v>
      </c>
      <c r="K3702" s="118">
        <v>970000</v>
      </c>
      <c r="L3702" s="119"/>
      <c r="M3702" s="118">
        <v>0</v>
      </c>
      <c r="N3702" s="119"/>
      <c r="O3702" s="118">
        <v>0</v>
      </c>
      <c r="P3702" s="119"/>
      <c r="Q3702" s="118">
        <v>8550</v>
      </c>
      <c r="R3702" s="119"/>
      <c r="S3702" s="118">
        <v>12100</v>
      </c>
      <c r="T3702" s="119"/>
      <c r="U3702" s="118">
        <f t="shared" ref="U3702" si="3392">SUM(K3702:T3703)</f>
        <v>990650</v>
      </c>
      <c r="V3702" s="122"/>
      <c r="W3702" s="124"/>
      <c r="X3702" s="126" t="s">
        <v>12066</v>
      </c>
      <c r="Y3702" s="127"/>
      <c r="Z3702" s="127"/>
      <c r="AA3702" s="127"/>
      <c r="AB3702" s="128"/>
      <c r="AC3702" s="15" t="s">
        <v>20</v>
      </c>
      <c r="AD3702" s="129" t="s">
        <v>1575</v>
      </c>
      <c r="AE3702" s="130"/>
      <c r="AF3702" s="130"/>
      <c r="AG3702" s="130"/>
      <c r="AH3702" s="130"/>
      <c r="AI3702" s="131"/>
      <c r="AJ3702" s="132"/>
      <c r="AK3702" s="127"/>
      <c r="AL3702" s="128"/>
      <c r="AM3702" s="21"/>
      <c r="AN3702" s="133">
        <v>46102</v>
      </c>
      <c r="AO3702" s="134"/>
      <c r="AP3702" s="135">
        <v>1293</v>
      </c>
      <c r="AQ3702" s="136"/>
      <c r="AR3702" s="118">
        <v>1045000</v>
      </c>
      <c r="AS3702" s="119"/>
      <c r="AT3702" s="118">
        <v>0</v>
      </c>
      <c r="AU3702" s="119"/>
      <c r="AV3702" s="118">
        <v>8550</v>
      </c>
      <c r="AW3702" s="119"/>
      <c r="AX3702" s="118">
        <f t="shared" ref="AX3702" si="3393">SUM(AR3702:AW3702)</f>
        <v>1053550</v>
      </c>
      <c r="AY3702" s="119"/>
      <c r="AZ3702" s="137">
        <v>46105</v>
      </c>
    </row>
    <row r="3703" spans="1:52" ht="17.100000000000001" customHeight="1" thickBot="1">
      <c r="A3703" s="110"/>
      <c r="B3703" s="27" t="s">
        <v>2511</v>
      </c>
      <c r="C3703" s="27">
        <v>65460</v>
      </c>
      <c r="D3703" s="14" t="s">
        <v>2601</v>
      </c>
      <c r="E3703" s="112"/>
      <c r="F3703" s="139" t="s">
        <v>11464</v>
      </c>
      <c r="G3703" s="140"/>
      <c r="H3703" s="141"/>
      <c r="I3703" s="26">
        <v>28859</v>
      </c>
      <c r="J3703" s="117"/>
      <c r="K3703" s="120"/>
      <c r="L3703" s="121"/>
      <c r="M3703" s="120"/>
      <c r="N3703" s="121"/>
      <c r="O3703" s="120"/>
      <c r="P3703" s="121"/>
      <c r="Q3703" s="120"/>
      <c r="R3703" s="121"/>
      <c r="S3703" s="120"/>
      <c r="T3703" s="121"/>
      <c r="U3703" s="120"/>
      <c r="V3703" s="123"/>
      <c r="W3703" s="125"/>
      <c r="X3703" s="142" t="s">
        <v>1997</v>
      </c>
      <c r="Y3703" s="143"/>
      <c r="Z3703" s="143"/>
      <c r="AA3703" s="143"/>
      <c r="AB3703" s="144"/>
      <c r="AC3703" s="16" t="s">
        <v>21</v>
      </c>
      <c r="AD3703" s="17" t="s">
        <v>12054</v>
      </c>
      <c r="AE3703" s="145" t="s">
        <v>4570</v>
      </c>
      <c r="AF3703" s="146"/>
      <c r="AG3703" s="146"/>
      <c r="AH3703" s="146"/>
      <c r="AI3703" s="147"/>
      <c r="AJ3703" s="148"/>
      <c r="AK3703" s="143"/>
      <c r="AL3703" s="144"/>
      <c r="AM3703" s="22"/>
      <c r="AN3703" s="149" t="s">
        <v>2511</v>
      </c>
      <c r="AO3703" s="144"/>
      <c r="AP3703" s="148">
        <v>60155</v>
      </c>
      <c r="AQ3703" s="144"/>
      <c r="AR3703" s="120"/>
      <c r="AS3703" s="121"/>
      <c r="AT3703" s="120"/>
      <c r="AU3703" s="121"/>
      <c r="AV3703" s="120"/>
      <c r="AW3703" s="121"/>
      <c r="AX3703" s="120"/>
      <c r="AY3703" s="121"/>
      <c r="AZ3703" s="138"/>
    </row>
    <row r="3704" spans="1:52" ht="17.100000000000001" customHeight="1" thickTop="1">
      <c r="A3704" s="109" t="s">
        <v>11520</v>
      </c>
      <c r="B3704" s="28">
        <v>45983</v>
      </c>
      <c r="C3704" s="25">
        <v>1277</v>
      </c>
      <c r="D3704" s="13" t="s">
        <v>4121</v>
      </c>
      <c r="E3704" s="111"/>
      <c r="F3704" s="113" t="s">
        <v>11421</v>
      </c>
      <c r="G3704" s="114"/>
      <c r="H3704" s="115"/>
      <c r="I3704" s="24" t="s">
        <v>4123</v>
      </c>
      <c r="J3704" s="116">
        <v>4.5</v>
      </c>
      <c r="K3704" s="118">
        <v>1145000</v>
      </c>
      <c r="L3704" s="119"/>
      <c r="M3704" s="118">
        <f t="shared" ref="M3704" si="3394">K3704*0.1</f>
        <v>114500</v>
      </c>
      <c r="N3704" s="119"/>
      <c r="O3704" s="118">
        <v>0</v>
      </c>
      <c r="P3704" s="119"/>
      <c r="Q3704" s="118">
        <v>9080</v>
      </c>
      <c r="R3704" s="119"/>
      <c r="S3704" s="118">
        <v>13200</v>
      </c>
      <c r="T3704" s="119"/>
      <c r="U3704" s="118">
        <f t="shared" ref="U3704" si="3395">SUM(K3704:T3705)</f>
        <v>1281780</v>
      </c>
      <c r="V3704" s="122"/>
      <c r="W3704" s="124"/>
      <c r="X3704" s="126" t="s">
        <v>11466</v>
      </c>
      <c r="Y3704" s="127"/>
      <c r="Z3704" s="127"/>
      <c r="AA3704" s="127"/>
      <c r="AB3704" s="128"/>
      <c r="AC3704" s="15" t="s">
        <v>20</v>
      </c>
      <c r="AD3704" s="129"/>
      <c r="AE3704" s="130"/>
      <c r="AF3704" s="130"/>
      <c r="AG3704" s="130"/>
      <c r="AH3704" s="130"/>
      <c r="AI3704" s="131"/>
      <c r="AJ3704" s="132"/>
      <c r="AK3704" s="127"/>
      <c r="AL3704" s="128"/>
      <c r="AM3704" s="21" t="s">
        <v>12532</v>
      </c>
      <c r="AN3704" s="133">
        <v>45994</v>
      </c>
      <c r="AO3704" s="134"/>
      <c r="AP3704" s="135">
        <v>995</v>
      </c>
      <c r="AQ3704" s="136"/>
      <c r="AR3704" s="118">
        <v>1180000</v>
      </c>
      <c r="AS3704" s="119"/>
      <c r="AT3704" s="118">
        <f t="shared" ref="AT3704" si="3396">AR3704*0.1</f>
        <v>118000</v>
      </c>
      <c r="AU3704" s="119"/>
      <c r="AV3704" s="118">
        <v>9080</v>
      </c>
      <c r="AW3704" s="119"/>
      <c r="AX3704" s="118">
        <f t="shared" ref="AX3704" si="3397">SUM(AR3704:AW3704)</f>
        <v>1307080</v>
      </c>
      <c r="AY3704" s="119"/>
      <c r="AZ3704" s="137">
        <v>45999</v>
      </c>
    </row>
    <row r="3705" spans="1:52" ht="17.100000000000001" customHeight="1" thickBot="1">
      <c r="A3705" s="110"/>
      <c r="B3705" s="27" t="s">
        <v>2511</v>
      </c>
      <c r="C3705" s="27">
        <v>65464</v>
      </c>
      <c r="D3705" s="14" t="s">
        <v>2040</v>
      </c>
      <c r="E3705" s="112"/>
      <c r="F3705" s="139" t="s">
        <v>11465</v>
      </c>
      <c r="G3705" s="140"/>
      <c r="H3705" s="141"/>
      <c r="I3705" s="26">
        <v>38030</v>
      </c>
      <c r="J3705" s="117"/>
      <c r="K3705" s="120"/>
      <c r="L3705" s="121"/>
      <c r="M3705" s="120"/>
      <c r="N3705" s="121"/>
      <c r="O3705" s="120"/>
      <c r="P3705" s="121"/>
      <c r="Q3705" s="120"/>
      <c r="R3705" s="121"/>
      <c r="S3705" s="120"/>
      <c r="T3705" s="121"/>
      <c r="U3705" s="120"/>
      <c r="V3705" s="123"/>
      <c r="W3705" s="125"/>
      <c r="X3705" s="142" t="s">
        <v>12088</v>
      </c>
      <c r="Y3705" s="143"/>
      <c r="Z3705" s="143"/>
      <c r="AA3705" s="143"/>
      <c r="AB3705" s="144"/>
      <c r="AC3705" s="16" t="s">
        <v>21</v>
      </c>
      <c r="AD3705" s="17" t="s">
        <v>12054</v>
      </c>
      <c r="AE3705" s="145" t="s">
        <v>12130</v>
      </c>
      <c r="AF3705" s="146"/>
      <c r="AG3705" s="146"/>
      <c r="AH3705" s="146"/>
      <c r="AI3705" s="147"/>
      <c r="AJ3705" s="148"/>
      <c r="AK3705" s="143"/>
      <c r="AL3705" s="144"/>
      <c r="AM3705" s="22"/>
      <c r="AN3705" s="149" t="s">
        <v>2794</v>
      </c>
      <c r="AO3705" s="144"/>
      <c r="AP3705" s="148">
        <v>2083</v>
      </c>
      <c r="AQ3705" s="144"/>
      <c r="AR3705" s="120"/>
      <c r="AS3705" s="121"/>
      <c r="AT3705" s="120"/>
      <c r="AU3705" s="121"/>
      <c r="AV3705" s="120"/>
      <c r="AW3705" s="121"/>
      <c r="AX3705" s="120"/>
      <c r="AY3705" s="121"/>
      <c r="AZ3705" s="138"/>
    </row>
    <row r="3706" spans="1:52" ht="17.100000000000001" customHeight="1" thickTop="1">
      <c r="A3706" s="109" t="s">
        <v>11521</v>
      </c>
      <c r="B3706" s="28">
        <v>45983</v>
      </c>
      <c r="C3706" s="25">
        <v>1277</v>
      </c>
      <c r="D3706" s="13" t="s">
        <v>1586</v>
      </c>
      <c r="E3706" s="111"/>
      <c r="F3706" s="113" t="s">
        <v>11448</v>
      </c>
      <c r="G3706" s="114"/>
      <c r="H3706" s="115"/>
      <c r="I3706" s="24" t="s">
        <v>8228</v>
      </c>
      <c r="J3706" s="116">
        <v>4.5</v>
      </c>
      <c r="K3706" s="118">
        <v>985000</v>
      </c>
      <c r="L3706" s="119"/>
      <c r="M3706" s="118">
        <f t="shared" ref="M3706" si="3398">K3706*0.1</f>
        <v>98500</v>
      </c>
      <c r="N3706" s="119"/>
      <c r="O3706" s="118">
        <f>11500+1150</f>
        <v>12650</v>
      </c>
      <c r="P3706" s="119"/>
      <c r="Q3706" s="118">
        <v>12370</v>
      </c>
      <c r="R3706" s="119"/>
      <c r="S3706" s="118">
        <v>16500</v>
      </c>
      <c r="T3706" s="119"/>
      <c r="U3706" s="118">
        <f t="shared" ref="U3706" si="3399">SUM(K3706:T3707)</f>
        <v>1125020</v>
      </c>
      <c r="V3706" s="122"/>
      <c r="W3706" s="124"/>
      <c r="X3706" s="126" t="s">
        <v>12071</v>
      </c>
      <c r="Y3706" s="127"/>
      <c r="Z3706" s="127"/>
      <c r="AA3706" s="127"/>
      <c r="AB3706" s="128"/>
      <c r="AC3706" s="15" t="s">
        <v>20</v>
      </c>
      <c r="AD3706" s="129" t="s">
        <v>11450</v>
      </c>
      <c r="AE3706" s="130"/>
      <c r="AF3706" s="130"/>
      <c r="AG3706" s="130"/>
      <c r="AH3706" s="130"/>
      <c r="AI3706" s="131"/>
      <c r="AJ3706" s="132"/>
      <c r="AK3706" s="127"/>
      <c r="AL3706" s="128"/>
      <c r="AM3706" s="21"/>
      <c r="AN3706" s="133">
        <v>46002</v>
      </c>
      <c r="AO3706" s="134"/>
      <c r="AP3706" s="135">
        <v>1310</v>
      </c>
      <c r="AQ3706" s="136"/>
      <c r="AR3706" s="118">
        <v>1110000</v>
      </c>
      <c r="AS3706" s="119"/>
      <c r="AT3706" s="118">
        <f t="shared" ref="AT3706" si="3400">AR3706*0.1</f>
        <v>111000</v>
      </c>
      <c r="AU3706" s="119"/>
      <c r="AV3706" s="118">
        <v>12370</v>
      </c>
      <c r="AW3706" s="119"/>
      <c r="AX3706" s="118">
        <f t="shared" ref="AX3706" si="3401">SUM(AR3706:AW3706)</f>
        <v>1233370</v>
      </c>
      <c r="AY3706" s="119"/>
      <c r="AZ3706" s="137">
        <v>46003</v>
      </c>
    </row>
    <row r="3707" spans="1:52" ht="17.100000000000001" customHeight="1" thickBot="1">
      <c r="A3707" s="110"/>
      <c r="B3707" s="27" t="s">
        <v>2511</v>
      </c>
      <c r="C3707" s="27">
        <v>81043</v>
      </c>
      <c r="D3707" s="14" t="s">
        <v>1592</v>
      </c>
      <c r="E3707" s="112"/>
      <c r="F3707" s="139" t="s">
        <v>11449</v>
      </c>
      <c r="G3707" s="140"/>
      <c r="H3707" s="141"/>
      <c r="I3707" s="26">
        <v>37220</v>
      </c>
      <c r="J3707" s="117"/>
      <c r="K3707" s="120"/>
      <c r="L3707" s="121"/>
      <c r="M3707" s="120"/>
      <c r="N3707" s="121"/>
      <c r="O3707" s="120"/>
      <c r="P3707" s="121"/>
      <c r="Q3707" s="120"/>
      <c r="R3707" s="121"/>
      <c r="S3707" s="120"/>
      <c r="T3707" s="121"/>
      <c r="U3707" s="120"/>
      <c r="V3707" s="123"/>
      <c r="W3707" s="125"/>
      <c r="X3707" s="142" t="s">
        <v>12072</v>
      </c>
      <c r="Y3707" s="143"/>
      <c r="Z3707" s="143"/>
      <c r="AA3707" s="143"/>
      <c r="AB3707" s="144"/>
      <c r="AC3707" s="16" t="s">
        <v>21</v>
      </c>
      <c r="AD3707" s="17" t="s">
        <v>12054</v>
      </c>
      <c r="AE3707" s="145" t="s">
        <v>12073</v>
      </c>
      <c r="AF3707" s="146"/>
      <c r="AG3707" s="146"/>
      <c r="AH3707" s="146"/>
      <c r="AI3707" s="147"/>
      <c r="AJ3707" s="148"/>
      <c r="AK3707" s="143"/>
      <c r="AL3707" s="144"/>
      <c r="AM3707" s="22"/>
      <c r="AN3707" s="149" t="s">
        <v>1747</v>
      </c>
      <c r="AO3707" s="144"/>
      <c r="AP3707" s="148">
        <v>58</v>
      </c>
      <c r="AQ3707" s="144"/>
      <c r="AR3707" s="120"/>
      <c r="AS3707" s="121"/>
      <c r="AT3707" s="120"/>
      <c r="AU3707" s="121"/>
      <c r="AV3707" s="120"/>
      <c r="AW3707" s="121"/>
      <c r="AX3707" s="120"/>
      <c r="AY3707" s="121"/>
      <c r="AZ3707" s="138"/>
    </row>
    <row r="3708" spans="1:52" ht="17.100000000000001" customHeight="1" thickTop="1">
      <c r="A3708" s="109" t="s">
        <v>11522</v>
      </c>
      <c r="B3708" s="28">
        <v>45983</v>
      </c>
      <c r="C3708" s="25">
        <v>1277</v>
      </c>
      <c r="D3708" s="13" t="s">
        <v>2187</v>
      </c>
      <c r="E3708" s="111"/>
      <c r="F3708" s="113" t="s">
        <v>11451</v>
      </c>
      <c r="G3708" s="114"/>
      <c r="H3708" s="115"/>
      <c r="I3708" s="24"/>
      <c r="J3708" s="116">
        <v>4.5</v>
      </c>
      <c r="K3708" s="118">
        <v>1420000</v>
      </c>
      <c r="L3708" s="119"/>
      <c r="M3708" s="118">
        <f t="shared" ref="M3708" si="3402">K3708*0.1</f>
        <v>142000</v>
      </c>
      <c r="N3708" s="119"/>
      <c r="O3708" s="118">
        <v>0</v>
      </c>
      <c r="P3708" s="119"/>
      <c r="Q3708" s="118">
        <v>18170</v>
      </c>
      <c r="R3708" s="119"/>
      <c r="S3708" s="118">
        <v>23100</v>
      </c>
      <c r="T3708" s="119"/>
      <c r="U3708" s="118">
        <f t="shared" ref="U3708" si="3403">SUM(K3708:T3709)</f>
        <v>1603270</v>
      </c>
      <c r="V3708" s="122"/>
      <c r="W3708" s="124"/>
      <c r="X3708" s="126" t="s">
        <v>12069</v>
      </c>
      <c r="Y3708" s="127"/>
      <c r="Z3708" s="127"/>
      <c r="AA3708" s="127"/>
      <c r="AB3708" s="128"/>
      <c r="AC3708" s="15" t="s">
        <v>20</v>
      </c>
      <c r="AD3708" s="129" t="s">
        <v>1575</v>
      </c>
      <c r="AE3708" s="130"/>
      <c r="AF3708" s="130"/>
      <c r="AG3708" s="130"/>
      <c r="AH3708" s="130"/>
      <c r="AI3708" s="131"/>
      <c r="AJ3708" s="132"/>
      <c r="AK3708" s="127"/>
      <c r="AL3708" s="128"/>
      <c r="AM3708" s="21"/>
      <c r="AN3708" s="133">
        <v>46088</v>
      </c>
      <c r="AO3708" s="134"/>
      <c r="AP3708" s="135">
        <v>1291</v>
      </c>
      <c r="AQ3708" s="136"/>
      <c r="AR3708" s="118">
        <v>1600000</v>
      </c>
      <c r="AS3708" s="119"/>
      <c r="AT3708" s="118">
        <f t="shared" ref="AT3708" si="3404">AR3708*0.1</f>
        <v>160000</v>
      </c>
      <c r="AU3708" s="119"/>
      <c r="AV3708" s="118">
        <v>18170</v>
      </c>
      <c r="AW3708" s="119"/>
      <c r="AX3708" s="118">
        <f t="shared" ref="AX3708" si="3405">SUM(AR3708:AW3708)</f>
        <v>1778170</v>
      </c>
      <c r="AY3708" s="119"/>
      <c r="AZ3708" s="137">
        <v>46091</v>
      </c>
    </row>
    <row r="3709" spans="1:52" ht="17.100000000000001" customHeight="1" thickBot="1">
      <c r="A3709" s="110"/>
      <c r="B3709" s="27" t="s">
        <v>2511</v>
      </c>
      <c r="C3709" s="27">
        <v>81054</v>
      </c>
      <c r="D3709" s="14" t="s">
        <v>1576</v>
      </c>
      <c r="E3709" s="112"/>
      <c r="F3709" s="139" t="s">
        <v>11452</v>
      </c>
      <c r="G3709" s="140"/>
      <c r="H3709" s="141"/>
      <c r="I3709" s="26">
        <v>67047</v>
      </c>
      <c r="J3709" s="117"/>
      <c r="K3709" s="120"/>
      <c r="L3709" s="121"/>
      <c r="M3709" s="120"/>
      <c r="N3709" s="121"/>
      <c r="O3709" s="120"/>
      <c r="P3709" s="121"/>
      <c r="Q3709" s="120"/>
      <c r="R3709" s="121"/>
      <c r="S3709" s="120"/>
      <c r="T3709" s="121"/>
      <c r="U3709" s="120"/>
      <c r="V3709" s="123"/>
      <c r="W3709" s="125"/>
      <c r="X3709" s="142" t="s">
        <v>3410</v>
      </c>
      <c r="Y3709" s="143"/>
      <c r="Z3709" s="143"/>
      <c r="AA3709" s="143"/>
      <c r="AB3709" s="144"/>
      <c r="AC3709" s="16" t="s">
        <v>21</v>
      </c>
      <c r="AD3709" s="17" t="s">
        <v>12054</v>
      </c>
      <c r="AE3709" s="145" t="s">
        <v>1614</v>
      </c>
      <c r="AF3709" s="146"/>
      <c r="AG3709" s="146"/>
      <c r="AH3709" s="146"/>
      <c r="AI3709" s="147"/>
      <c r="AJ3709" s="148"/>
      <c r="AK3709" s="143"/>
      <c r="AL3709" s="144"/>
      <c r="AM3709" s="22"/>
      <c r="AN3709" s="149" t="s">
        <v>2511</v>
      </c>
      <c r="AO3709" s="144"/>
      <c r="AP3709" s="148">
        <v>80029</v>
      </c>
      <c r="AQ3709" s="144"/>
      <c r="AR3709" s="120"/>
      <c r="AS3709" s="121"/>
      <c r="AT3709" s="120"/>
      <c r="AU3709" s="121"/>
      <c r="AV3709" s="120"/>
      <c r="AW3709" s="121"/>
      <c r="AX3709" s="120"/>
      <c r="AY3709" s="121"/>
      <c r="AZ3709" s="138"/>
    </row>
    <row r="3710" spans="1:52" ht="17.100000000000001" customHeight="1" thickTop="1">
      <c r="A3710" s="109" t="s">
        <v>11523</v>
      </c>
      <c r="B3710" s="28">
        <v>45983</v>
      </c>
      <c r="C3710" s="25">
        <v>1277</v>
      </c>
      <c r="D3710" s="13" t="s">
        <v>1586</v>
      </c>
      <c r="E3710" s="111"/>
      <c r="F3710" s="113" t="s">
        <v>1938</v>
      </c>
      <c r="G3710" s="114"/>
      <c r="H3710" s="115"/>
      <c r="I3710" s="24" t="s">
        <v>2526</v>
      </c>
      <c r="J3710" s="116">
        <v>4</v>
      </c>
      <c r="K3710" s="118">
        <v>1000000</v>
      </c>
      <c r="L3710" s="119"/>
      <c r="M3710" s="118">
        <f t="shared" ref="M3710" si="3406">K3710*0.1</f>
        <v>100000</v>
      </c>
      <c r="N3710" s="119"/>
      <c r="O3710" s="118">
        <f>11500+1150</f>
        <v>12650</v>
      </c>
      <c r="P3710" s="119"/>
      <c r="Q3710" s="118">
        <v>17600</v>
      </c>
      <c r="R3710" s="119"/>
      <c r="S3710" s="118">
        <v>16500</v>
      </c>
      <c r="T3710" s="119"/>
      <c r="U3710" s="118">
        <f t="shared" ref="U3710" si="3407">SUM(K3710:T3711)</f>
        <v>1146750</v>
      </c>
      <c r="V3710" s="122"/>
      <c r="W3710" s="124"/>
      <c r="X3710" s="126" t="s">
        <v>11472</v>
      </c>
      <c r="Y3710" s="127"/>
      <c r="Z3710" s="127"/>
      <c r="AA3710" s="127"/>
      <c r="AB3710" s="128"/>
      <c r="AC3710" s="15" t="s">
        <v>20</v>
      </c>
      <c r="AD3710" s="129" t="s">
        <v>1732</v>
      </c>
      <c r="AE3710" s="130"/>
      <c r="AF3710" s="130"/>
      <c r="AG3710" s="130"/>
      <c r="AH3710" s="130"/>
      <c r="AI3710" s="131"/>
      <c r="AJ3710" s="132"/>
      <c r="AK3710" s="127"/>
      <c r="AL3710" s="128"/>
      <c r="AM3710" s="21"/>
      <c r="AN3710" s="133">
        <v>45995</v>
      </c>
      <c r="AO3710" s="134"/>
      <c r="AP3710" s="135">
        <v>1309</v>
      </c>
      <c r="AQ3710" s="136"/>
      <c r="AR3710" s="118">
        <v>1095000</v>
      </c>
      <c r="AS3710" s="119"/>
      <c r="AT3710" s="118">
        <f t="shared" ref="AT3710" si="3408">AR3710*0.1</f>
        <v>109500</v>
      </c>
      <c r="AU3710" s="119"/>
      <c r="AV3710" s="118">
        <v>17600</v>
      </c>
      <c r="AW3710" s="119"/>
      <c r="AX3710" s="118">
        <f t="shared" ref="AX3710" si="3409">SUM(AR3710:AW3710)</f>
        <v>1222100</v>
      </c>
      <c r="AY3710" s="119"/>
      <c r="AZ3710" s="137">
        <v>45996</v>
      </c>
    </row>
    <row r="3711" spans="1:52" ht="17.100000000000001" customHeight="1" thickBot="1">
      <c r="A3711" s="110"/>
      <c r="B3711" s="27" t="s">
        <v>2511</v>
      </c>
      <c r="C3711" s="27">
        <v>82634</v>
      </c>
      <c r="D3711" s="14" t="s">
        <v>55</v>
      </c>
      <c r="E3711" s="112"/>
      <c r="F3711" s="139" t="s">
        <v>11471</v>
      </c>
      <c r="G3711" s="140"/>
      <c r="H3711" s="141"/>
      <c r="I3711" s="26">
        <v>42215</v>
      </c>
      <c r="J3711" s="117"/>
      <c r="K3711" s="120"/>
      <c r="L3711" s="121"/>
      <c r="M3711" s="120"/>
      <c r="N3711" s="121"/>
      <c r="O3711" s="120"/>
      <c r="P3711" s="121"/>
      <c r="Q3711" s="120"/>
      <c r="R3711" s="121"/>
      <c r="S3711" s="120"/>
      <c r="T3711" s="121"/>
      <c r="U3711" s="120"/>
      <c r="V3711" s="123"/>
      <c r="W3711" s="125"/>
      <c r="X3711" s="142" t="s">
        <v>12070</v>
      </c>
      <c r="Y3711" s="143"/>
      <c r="Z3711" s="143"/>
      <c r="AA3711" s="143"/>
      <c r="AB3711" s="144"/>
      <c r="AC3711" s="16" t="s">
        <v>21</v>
      </c>
      <c r="AD3711" s="17" t="s">
        <v>12054</v>
      </c>
      <c r="AE3711" s="145" t="s">
        <v>12251</v>
      </c>
      <c r="AF3711" s="146"/>
      <c r="AG3711" s="146"/>
      <c r="AH3711" s="146"/>
      <c r="AI3711" s="147"/>
      <c r="AJ3711" s="148"/>
      <c r="AK3711" s="143"/>
      <c r="AL3711" s="144"/>
      <c r="AM3711" s="22"/>
      <c r="AN3711" s="149" t="s">
        <v>1747</v>
      </c>
      <c r="AO3711" s="144"/>
      <c r="AP3711" s="148">
        <v>302</v>
      </c>
      <c r="AQ3711" s="144"/>
      <c r="AR3711" s="120"/>
      <c r="AS3711" s="121"/>
      <c r="AT3711" s="120"/>
      <c r="AU3711" s="121"/>
      <c r="AV3711" s="120"/>
      <c r="AW3711" s="121"/>
      <c r="AX3711" s="120"/>
      <c r="AY3711" s="121"/>
      <c r="AZ3711" s="138"/>
    </row>
    <row r="3712" spans="1:52" ht="17.100000000000001" customHeight="1" thickTop="1">
      <c r="A3712" s="109" t="s">
        <v>11525</v>
      </c>
      <c r="B3712" s="28">
        <v>45985</v>
      </c>
      <c r="C3712" s="25">
        <v>2070</v>
      </c>
      <c r="D3712" s="13" t="s">
        <v>1953</v>
      </c>
      <c r="E3712" s="111"/>
      <c r="F3712" s="113" t="s">
        <v>4638</v>
      </c>
      <c r="G3712" s="114"/>
      <c r="H3712" s="115"/>
      <c r="I3712" s="24"/>
      <c r="J3712" s="116">
        <v>4</v>
      </c>
      <c r="K3712" s="118">
        <v>692000</v>
      </c>
      <c r="L3712" s="119"/>
      <c r="M3712" s="118">
        <f t="shared" ref="M3712" si="3410">K3712*0.1</f>
        <v>69200</v>
      </c>
      <c r="N3712" s="119"/>
      <c r="O3712" s="118">
        <v>0</v>
      </c>
      <c r="P3712" s="119"/>
      <c r="Q3712" s="118">
        <v>20170</v>
      </c>
      <c r="R3712" s="119"/>
      <c r="S3712" s="118">
        <v>11000</v>
      </c>
      <c r="T3712" s="119"/>
      <c r="U3712" s="118">
        <f t="shared" ref="U3712" si="3411">SUM(K3712:T3713)</f>
        <v>792370</v>
      </c>
      <c r="V3712" s="122"/>
      <c r="W3712" s="124"/>
      <c r="X3712" s="126" t="s">
        <v>12033</v>
      </c>
      <c r="Y3712" s="127"/>
      <c r="Z3712" s="127"/>
      <c r="AA3712" s="127"/>
      <c r="AB3712" s="128"/>
      <c r="AC3712" s="15" t="s">
        <v>20</v>
      </c>
      <c r="AD3712" s="129" t="s">
        <v>171</v>
      </c>
      <c r="AE3712" s="130"/>
      <c r="AF3712" s="130"/>
      <c r="AG3712" s="130"/>
      <c r="AH3712" s="130"/>
      <c r="AI3712" s="131"/>
      <c r="AJ3712" s="132"/>
      <c r="AK3712" s="127"/>
      <c r="AL3712" s="128"/>
      <c r="AM3712" s="21"/>
      <c r="AN3712" s="133">
        <v>45997</v>
      </c>
      <c r="AO3712" s="134"/>
      <c r="AP3712" s="135">
        <v>1279</v>
      </c>
      <c r="AQ3712" s="136"/>
      <c r="AR3712" s="118">
        <v>835000</v>
      </c>
      <c r="AS3712" s="119"/>
      <c r="AT3712" s="118">
        <f t="shared" ref="AT3712" si="3412">AR3712*0.1</f>
        <v>83500</v>
      </c>
      <c r="AU3712" s="119"/>
      <c r="AV3712" s="118">
        <v>20170</v>
      </c>
      <c r="AW3712" s="119"/>
      <c r="AX3712" s="118">
        <f t="shared" ref="AX3712" si="3413">SUM(AR3712:AW3712)</f>
        <v>938670</v>
      </c>
      <c r="AY3712" s="119"/>
      <c r="AZ3712" s="137">
        <v>46000</v>
      </c>
    </row>
    <row r="3713" spans="1:52" ht="17.100000000000001" customHeight="1" thickBot="1">
      <c r="A3713" s="110"/>
      <c r="B3713" s="27" t="s">
        <v>83</v>
      </c>
      <c r="C3713" s="27">
        <v>31004</v>
      </c>
      <c r="D3713" s="14" t="s">
        <v>3793</v>
      </c>
      <c r="E3713" s="112"/>
      <c r="F3713" s="139" t="s">
        <v>11535</v>
      </c>
      <c r="G3713" s="140"/>
      <c r="H3713" s="141"/>
      <c r="I3713" s="26">
        <v>70576</v>
      </c>
      <c r="J3713" s="117"/>
      <c r="K3713" s="120"/>
      <c r="L3713" s="121"/>
      <c r="M3713" s="120"/>
      <c r="N3713" s="121"/>
      <c r="O3713" s="120"/>
      <c r="P3713" s="121"/>
      <c r="Q3713" s="120"/>
      <c r="R3713" s="121"/>
      <c r="S3713" s="120"/>
      <c r="T3713" s="121"/>
      <c r="U3713" s="120"/>
      <c r="V3713" s="123"/>
      <c r="W3713" s="125"/>
      <c r="X3713" s="142" t="s">
        <v>12034</v>
      </c>
      <c r="Y3713" s="143"/>
      <c r="Z3713" s="143"/>
      <c r="AA3713" s="143"/>
      <c r="AB3713" s="144"/>
      <c r="AC3713" s="16" t="s">
        <v>21</v>
      </c>
      <c r="AD3713" s="17" t="s">
        <v>12001</v>
      </c>
      <c r="AE3713" s="145" t="s">
        <v>1658</v>
      </c>
      <c r="AF3713" s="146"/>
      <c r="AG3713" s="146"/>
      <c r="AH3713" s="146"/>
      <c r="AI3713" s="147"/>
      <c r="AJ3713" s="148"/>
      <c r="AK3713" s="143"/>
      <c r="AL3713" s="144"/>
      <c r="AM3713" s="22"/>
      <c r="AN3713" s="149" t="s">
        <v>2511</v>
      </c>
      <c r="AO3713" s="144"/>
      <c r="AP3713" s="148">
        <v>80108</v>
      </c>
      <c r="AQ3713" s="144"/>
      <c r="AR3713" s="120"/>
      <c r="AS3713" s="121"/>
      <c r="AT3713" s="120"/>
      <c r="AU3713" s="121"/>
      <c r="AV3713" s="120"/>
      <c r="AW3713" s="121"/>
      <c r="AX3713" s="120"/>
      <c r="AY3713" s="121"/>
      <c r="AZ3713" s="138"/>
    </row>
    <row r="3714" spans="1:52" ht="17.100000000000001" customHeight="1" thickTop="1">
      <c r="A3714" s="109" t="s">
        <v>11526</v>
      </c>
      <c r="B3714" s="28">
        <v>45985</v>
      </c>
      <c r="C3714" s="25">
        <v>2070</v>
      </c>
      <c r="D3714" s="13" t="s">
        <v>1675</v>
      </c>
      <c r="E3714" s="111"/>
      <c r="F3714" s="113" t="s">
        <v>1938</v>
      </c>
      <c r="G3714" s="114"/>
      <c r="H3714" s="115"/>
      <c r="I3714" s="24"/>
      <c r="J3714" s="116">
        <v>4</v>
      </c>
      <c r="K3714" s="118">
        <v>126000</v>
      </c>
      <c r="L3714" s="119"/>
      <c r="M3714" s="118">
        <f t="shared" ref="M3714" si="3414">K3714*0.1</f>
        <v>12600</v>
      </c>
      <c r="N3714" s="119"/>
      <c r="O3714" s="118">
        <v>0</v>
      </c>
      <c r="P3714" s="119"/>
      <c r="Q3714" s="118">
        <v>17700</v>
      </c>
      <c r="R3714" s="119"/>
      <c r="S3714" s="118">
        <v>11000</v>
      </c>
      <c r="T3714" s="119"/>
      <c r="U3714" s="118">
        <f t="shared" ref="U3714" si="3415">SUM(K3714:T3715)</f>
        <v>167300</v>
      </c>
      <c r="V3714" s="122"/>
      <c r="W3714" s="124"/>
      <c r="X3714" s="126" t="s">
        <v>12031</v>
      </c>
      <c r="Y3714" s="127"/>
      <c r="Z3714" s="127"/>
      <c r="AA3714" s="127"/>
      <c r="AB3714" s="128"/>
      <c r="AC3714" s="15" t="s">
        <v>20</v>
      </c>
      <c r="AD3714" s="129"/>
      <c r="AE3714" s="130"/>
      <c r="AF3714" s="130"/>
      <c r="AG3714" s="130"/>
      <c r="AH3714" s="130"/>
      <c r="AI3714" s="131"/>
      <c r="AJ3714" s="132"/>
      <c r="AK3714" s="127"/>
      <c r="AL3714" s="128"/>
      <c r="AM3714" s="21"/>
      <c r="AN3714" s="133">
        <v>46011</v>
      </c>
      <c r="AO3714" s="134"/>
      <c r="AP3714" s="135">
        <v>1281</v>
      </c>
      <c r="AQ3714" s="136"/>
      <c r="AR3714" s="118">
        <v>354000</v>
      </c>
      <c r="AS3714" s="119"/>
      <c r="AT3714" s="118">
        <f t="shared" ref="AT3714" si="3416">AR3714*0.1</f>
        <v>35400</v>
      </c>
      <c r="AU3714" s="119"/>
      <c r="AV3714" s="118">
        <v>17700</v>
      </c>
      <c r="AW3714" s="119"/>
      <c r="AX3714" s="118">
        <f t="shared" ref="AX3714" si="3417">SUM(AR3714:AW3714)</f>
        <v>407100</v>
      </c>
      <c r="AY3714" s="119"/>
      <c r="AZ3714" s="137">
        <v>46014</v>
      </c>
    </row>
    <row r="3715" spans="1:52" ht="17.100000000000001" customHeight="1" thickBot="1">
      <c r="A3715" s="110"/>
      <c r="B3715" s="27" t="s">
        <v>83</v>
      </c>
      <c r="C3715" s="27">
        <v>31501</v>
      </c>
      <c r="D3715" s="14" t="s">
        <v>1556</v>
      </c>
      <c r="E3715" s="112"/>
      <c r="F3715" s="139" t="s">
        <v>11536</v>
      </c>
      <c r="G3715" s="140"/>
      <c r="H3715" s="141"/>
      <c r="I3715" s="26">
        <v>42758</v>
      </c>
      <c r="J3715" s="117"/>
      <c r="K3715" s="120"/>
      <c r="L3715" s="121"/>
      <c r="M3715" s="120"/>
      <c r="N3715" s="121"/>
      <c r="O3715" s="120"/>
      <c r="P3715" s="121"/>
      <c r="Q3715" s="120"/>
      <c r="R3715" s="121"/>
      <c r="S3715" s="120"/>
      <c r="T3715" s="121"/>
      <c r="U3715" s="120"/>
      <c r="V3715" s="123"/>
      <c r="W3715" s="125"/>
      <c r="X3715" s="142" t="s">
        <v>12032</v>
      </c>
      <c r="Y3715" s="143"/>
      <c r="Z3715" s="143"/>
      <c r="AA3715" s="143"/>
      <c r="AB3715" s="144"/>
      <c r="AC3715" s="16" t="s">
        <v>21</v>
      </c>
      <c r="AD3715" s="17" t="s">
        <v>12001</v>
      </c>
      <c r="AE3715" s="145" t="s">
        <v>1670</v>
      </c>
      <c r="AF3715" s="146"/>
      <c r="AG3715" s="146"/>
      <c r="AH3715" s="146"/>
      <c r="AI3715" s="147"/>
      <c r="AJ3715" s="148"/>
      <c r="AK3715" s="143"/>
      <c r="AL3715" s="144"/>
      <c r="AM3715" s="22"/>
      <c r="AN3715" s="149" t="s">
        <v>2511</v>
      </c>
      <c r="AO3715" s="144"/>
      <c r="AP3715" s="148">
        <v>53212</v>
      </c>
      <c r="AQ3715" s="144"/>
      <c r="AR3715" s="120"/>
      <c r="AS3715" s="121"/>
      <c r="AT3715" s="120"/>
      <c r="AU3715" s="121"/>
      <c r="AV3715" s="120"/>
      <c r="AW3715" s="121"/>
      <c r="AX3715" s="120"/>
      <c r="AY3715" s="121"/>
      <c r="AZ3715" s="138"/>
    </row>
    <row r="3716" spans="1:52" ht="17.100000000000001" customHeight="1" thickTop="1">
      <c r="A3716" s="109" t="s">
        <v>11527</v>
      </c>
      <c r="B3716" s="28">
        <v>45985</v>
      </c>
      <c r="C3716" s="25">
        <v>2070</v>
      </c>
      <c r="D3716" s="13" t="s">
        <v>2737</v>
      </c>
      <c r="E3716" s="111"/>
      <c r="F3716" s="113" t="s">
        <v>11548</v>
      </c>
      <c r="G3716" s="114"/>
      <c r="H3716" s="115"/>
      <c r="I3716" s="24" t="s">
        <v>3509</v>
      </c>
      <c r="J3716" s="116">
        <v>4</v>
      </c>
      <c r="K3716" s="118">
        <v>2475000</v>
      </c>
      <c r="L3716" s="119"/>
      <c r="M3716" s="118">
        <f t="shared" ref="M3716" si="3418">K3716*0.1</f>
        <v>247500</v>
      </c>
      <c r="N3716" s="119"/>
      <c r="O3716" s="118">
        <f>12000+1200</f>
        <v>13200</v>
      </c>
      <c r="P3716" s="119"/>
      <c r="Q3716" s="118">
        <v>19090</v>
      </c>
      <c r="R3716" s="119"/>
      <c r="S3716" s="118">
        <v>11000</v>
      </c>
      <c r="T3716" s="119"/>
      <c r="U3716" s="118">
        <f t="shared" ref="U3716" si="3419">SUM(K3716:T3717)</f>
        <v>2765790</v>
      </c>
      <c r="V3716" s="122"/>
      <c r="W3716" s="124"/>
      <c r="X3716" s="126" t="s">
        <v>11549</v>
      </c>
      <c r="Y3716" s="127"/>
      <c r="Z3716" s="127"/>
      <c r="AA3716" s="127"/>
      <c r="AB3716" s="128"/>
      <c r="AC3716" s="15" t="s">
        <v>20</v>
      </c>
      <c r="AD3716" s="129" t="s">
        <v>11550</v>
      </c>
      <c r="AE3716" s="130"/>
      <c r="AF3716" s="130"/>
      <c r="AG3716" s="130"/>
      <c r="AH3716" s="130"/>
      <c r="AI3716" s="131"/>
      <c r="AJ3716" s="132"/>
      <c r="AK3716" s="127"/>
      <c r="AL3716" s="128"/>
      <c r="AM3716" s="21"/>
      <c r="AN3716" s="133">
        <v>45990</v>
      </c>
      <c r="AO3716" s="134"/>
      <c r="AP3716" s="135">
        <v>1278</v>
      </c>
      <c r="AQ3716" s="136"/>
      <c r="AR3716" s="118">
        <v>2620000</v>
      </c>
      <c r="AS3716" s="119"/>
      <c r="AT3716" s="118">
        <f t="shared" ref="AT3716" si="3420">AR3716*0.1</f>
        <v>262000</v>
      </c>
      <c r="AU3716" s="119"/>
      <c r="AV3716" s="118">
        <v>19090</v>
      </c>
      <c r="AW3716" s="119"/>
      <c r="AX3716" s="118">
        <f t="shared" ref="AX3716" si="3421">SUM(AR3716:AW3716)</f>
        <v>2901090</v>
      </c>
      <c r="AY3716" s="119"/>
      <c r="AZ3716" s="137">
        <v>45994</v>
      </c>
    </row>
    <row r="3717" spans="1:52" ht="17.100000000000001" customHeight="1" thickBot="1">
      <c r="A3717" s="110"/>
      <c r="B3717" s="27" t="s">
        <v>83</v>
      </c>
      <c r="C3717" s="27">
        <v>34515</v>
      </c>
      <c r="D3717" s="14" t="s">
        <v>1592</v>
      </c>
      <c r="E3717" s="112"/>
      <c r="F3717" s="139" t="s">
        <v>11537</v>
      </c>
      <c r="G3717" s="140"/>
      <c r="H3717" s="141"/>
      <c r="I3717" s="26">
        <v>46594</v>
      </c>
      <c r="J3717" s="117"/>
      <c r="K3717" s="120"/>
      <c r="L3717" s="121"/>
      <c r="M3717" s="120"/>
      <c r="N3717" s="121"/>
      <c r="O3717" s="120"/>
      <c r="P3717" s="121"/>
      <c r="Q3717" s="120"/>
      <c r="R3717" s="121"/>
      <c r="S3717" s="120"/>
      <c r="T3717" s="121"/>
      <c r="U3717" s="120"/>
      <c r="V3717" s="123"/>
      <c r="W3717" s="125"/>
      <c r="X3717" s="142" t="s">
        <v>8808</v>
      </c>
      <c r="Y3717" s="143"/>
      <c r="Z3717" s="143"/>
      <c r="AA3717" s="143"/>
      <c r="AB3717" s="144"/>
      <c r="AC3717" s="16" t="s">
        <v>21</v>
      </c>
      <c r="AD3717" s="17" t="s">
        <v>12001</v>
      </c>
      <c r="AE3717" s="145" t="s">
        <v>12029</v>
      </c>
      <c r="AF3717" s="146"/>
      <c r="AG3717" s="146"/>
      <c r="AH3717" s="146"/>
      <c r="AI3717" s="147"/>
      <c r="AJ3717" s="148"/>
      <c r="AK3717" s="143"/>
      <c r="AL3717" s="144"/>
      <c r="AM3717" s="22"/>
      <c r="AN3717" s="149" t="s">
        <v>2511</v>
      </c>
      <c r="AO3717" s="144"/>
      <c r="AP3717" s="148">
        <v>80447</v>
      </c>
      <c r="AQ3717" s="144"/>
      <c r="AR3717" s="120"/>
      <c r="AS3717" s="121"/>
      <c r="AT3717" s="120"/>
      <c r="AU3717" s="121"/>
      <c r="AV3717" s="120"/>
      <c r="AW3717" s="121"/>
      <c r="AX3717" s="120"/>
      <c r="AY3717" s="121"/>
      <c r="AZ3717" s="138"/>
    </row>
    <row r="3718" spans="1:52" ht="17.100000000000001" customHeight="1" thickTop="1">
      <c r="A3718" s="109" t="s">
        <v>11528</v>
      </c>
      <c r="B3718" s="28">
        <v>45985</v>
      </c>
      <c r="C3718" s="25">
        <v>2070</v>
      </c>
      <c r="D3718" s="13" t="s">
        <v>1623</v>
      </c>
      <c r="E3718" s="111"/>
      <c r="F3718" s="113" t="s">
        <v>2016</v>
      </c>
      <c r="G3718" s="114"/>
      <c r="H3718" s="115"/>
      <c r="I3718" s="24" t="s">
        <v>2577</v>
      </c>
      <c r="J3718" s="116">
        <v>4.5</v>
      </c>
      <c r="K3718" s="118">
        <v>285000</v>
      </c>
      <c r="L3718" s="119"/>
      <c r="M3718" s="118">
        <f t="shared" ref="M3718" si="3422">K3718*0.1</f>
        <v>28500</v>
      </c>
      <c r="N3718" s="119"/>
      <c r="O3718" s="118">
        <f>13100+1310</f>
        <v>14410</v>
      </c>
      <c r="P3718" s="119"/>
      <c r="Q3718" s="118">
        <v>17490</v>
      </c>
      <c r="R3718" s="119"/>
      <c r="S3718" s="118">
        <v>11000</v>
      </c>
      <c r="T3718" s="119"/>
      <c r="U3718" s="118">
        <f t="shared" ref="U3718" si="3423">SUM(K3718:T3719)</f>
        <v>356400</v>
      </c>
      <c r="V3718" s="122"/>
      <c r="W3718" s="124"/>
      <c r="X3718" s="126" t="s">
        <v>11551</v>
      </c>
      <c r="Y3718" s="127"/>
      <c r="Z3718" s="127"/>
      <c r="AA3718" s="127"/>
      <c r="AB3718" s="128"/>
      <c r="AC3718" s="15" t="s">
        <v>20</v>
      </c>
      <c r="AD3718" s="129" t="s">
        <v>1605</v>
      </c>
      <c r="AE3718" s="130"/>
      <c r="AF3718" s="130"/>
      <c r="AG3718" s="130"/>
      <c r="AH3718" s="130"/>
      <c r="AI3718" s="131"/>
      <c r="AJ3718" s="132"/>
      <c r="AK3718" s="127"/>
      <c r="AL3718" s="128"/>
      <c r="AM3718" s="21" t="s">
        <v>12769</v>
      </c>
      <c r="AN3718" s="133">
        <v>46004</v>
      </c>
      <c r="AO3718" s="134"/>
      <c r="AP3718" s="135">
        <v>1280</v>
      </c>
      <c r="AQ3718" s="136"/>
      <c r="AR3718" s="118">
        <v>390000</v>
      </c>
      <c r="AS3718" s="119"/>
      <c r="AT3718" s="118">
        <f t="shared" ref="AT3718" si="3424">AR3718*0.1</f>
        <v>39000</v>
      </c>
      <c r="AU3718" s="119"/>
      <c r="AV3718" s="118">
        <v>17490</v>
      </c>
      <c r="AW3718" s="119"/>
      <c r="AX3718" s="118">
        <f t="shared" ref="AX3718" si="3425">SUM(AR3718:AW3718)</f>
        <v>446490</v>
      </c>
      <c r="AY3718" s="119"/>
      <c r="AZ3718" s="137">
        <v>46007</v>
      </c>
    </row>
    <row r="3719" spans="1:52" ht="17.100000000000001" customHeight="1" thickBot="1">
      <c r="A3719" s="110"/>
      <c r="B3719" s="27" t="s">
        <v>83</v>
      </c>
      <c r="C3719" s="27">
        <v>34527</v>
      </c>
      <c r="D3719" s="14" t="s">
        <v>3327</v>
      </c>
      <c r="E3719" s="112"/>
      <c r="F3719" s="139" t="s">
        <v>11538</v>
      </c>
      <c r="G3719" s="140"/>
      <c r="H3719" s="141"/>
      <c r="I3719" s="26">
        <v>47094</v>
      </c>
      <c r="J3719" s="117"/>
      <c r="K3719" s="120"/>
      <c r="L3719" s="121"/>
      <c r="M3719" s="120"/>
      <c r="N3719" s="121"/>
      <c r="O3719" s="120"/>
      <c r="P3719" s="121"/>
      <c r="Q3719" s="120"/>
      <c r="R3719" s="121"/>
      <c r="S3719" s="120"/>
      <c r="T3719" s="121"/>
      <c r="U3719" s="120"/>
      <c r="V3719" s="123"/>
      <c r="W3719" s="125"/>
      <c r="X3719" s="142" t="s">
        <v>12030</v>
      </c>
      <c r="Y3719" s="143"/>
      <c r="Z3719" s="143"/>
      <c r="AA3719" s="143"/>
      <c r="AB3719" s="144"/>
      <c r="AC3719" s="16" t="s">
        <v>21</v>
      </c>
      <c r="AD3719" s="17" t="s">
        <v>12001</v>
      </c>
      <c r="AE3719" s="145" t="s">
        <v>2892</v>
      </c>
      <c r="AF3719" s="146"/>
      <c r="AG3719" s="146"/>
      <c r="AH3719" s="146"/>
      <c r="AI3719" s="147"/>
      <c r="AJ3719" s="148"/>
      <c r="AK3719" s="143"/>
      <c r="AL3719" s="144"/>
      <c r="AM3719" s="22"/>
      <c r="AN3719" s="149" t="s">
        <v>2511</v>
      </c>
      <c r="AO3719" s="144"/>
      <c r="AP3719" s="148">
        <v>80362</v>
      </c>
      <c r="AQ3719" s="144"/>
      <c r="AR3719" s="120"/>
      <c r="AS3719" s="121"/>
      <c r="AT3719" s="120"/>
      <c r="AU3719" s="121"/>
      <c r="AV3719" s="120"/>
      <c r="AW3719" s="121"/>
      <c r="AX3719" s="120"/>
      <c r="AY3719" s="121"/>
      <c r="AZ3719" s="138"/>
    </row>
    <row r="3720" spans="1:52" ht="17.100000000000001" customHeight="1" thickTop="1">
      <c r="A3720" s="109" t="s">
        <v>11529</v>
      </c>
      <c r="B3720" s="28">
        <v>45985</v>
      </c>
      <c r="C3720" s="25">
        <v>2070</v>
      </c>
      <c r="D3720" s="13" t="s">
        <v>4860</v>
      </c>
      <c r="E3720" s="111"/>
      <c r="F3720" s="113" t="s">
        <v>9986</v>
      </c>
      <c r="G3720" s="114"/>
      <c r="H3720" s="115"/>
      <c r="I3720" s="24"/>
      <c r="J3720" s="116">
        <v>4</v>
      </c>
      <c r="K3720" s="118">
        <v>425000</v>
      </c>
      <c r="L3720" s="119"/>
      <c r="M3720" s="118">
        <f t="shared" ref="M3720" si="3426">K3720*0.1</f>
        <v>42500</v>
      </c>
      <c r="N3720" s="119"/>
      <c r="O3720" s="118">
        <v>0</v>
      </c>
      <c r="P3720" s="119"/>
      <c r="Q3720" s="118">
        <v>19440</v>
      </c>
      <c r="R3720" s="119"/>
      <c r="S3720" s="118">
        <v>11000</v>
      </c>
      <c r="T3720" s="119"/>
      <c r="U3720" s="118">
        <f t="shared" ref="U3720" si="3427">SUM(K3720:T3721)</f>
        <v>497940</v>
      </c>
      <c r="V3720" s="122"/>
      <c r="W3720" s="124"/>
      <c r="X3720" s="126" t="s">
        <v>12113</v>
      </c>
      <c r="Y3720" s="127"/>
      <c r="Z3720" s="127"/>
      <c r="AA3720" s="127"/>
      <c r="AB3720" s="128"/>
      <c r="AC3720" s="15" t="s">
        <v>20</v>
      </c>
      <c r="AD3720" s="129"/>
      <c r="AE3720" s="130"/>
      <c r="AF3720" s="130"/>
      <c r="AG3720" s="130"/>
      <c r="AH3720" s="130"/>
      <c r="AI3720" s="131"/>
      <c r="AJ3720" s="132"/>
      <c r="AK3720" s="127"/>
      <c r="AL3720" s="128"/>
      <c r="AM3720" s="21"/>
      <c r="AN3720" s="133">
        <v>46018</v>
      </c>
      <c r="AO3720" s="134"/>
      <c r="AP3720" s="135">
        <v>1282</v>
      </c>
      <c r="AQ3720" s="136"/>
      <c r="AR3720" s="118">
        <v>550000</v>
      </c>
      <c r="AS3720" s="119"/>
      <c r="AT3720" s="118">
        <f t="shared" ref="AT3720" si="3428">AR3720*0.1</f>
        <v>55000</v>
      </c>
      <c r="AU3720" s="119"/>
      <c r="AV3720" s="118">
        <v>19440</v>
      </c>
      <c r="AW3720" s="119"/>
      <c r="AX3720" s="118">
        <f t="shared" ref="AX3720" si="3429">SUM(AR3720:AW3720)</f>
        <v>624440</v>
      </c>
      <c r="AY3720" s="119"/>
      <c r="AZ3720" s="137">
        <v>46028</v>
      </c>
    </row>
    <row r="3721" spans="1:52" ht="17.100000000000001" customHeight="1" thickBot="1">
      <c r="A3721" s="110"/>
      <c r="B3721" s="27" t="s">
        <v>83</v>
      </c>
      <c r="C3721" s="27">
        <v>34534</v>
      </c>
      <c r="D3721" s="14" t="s">
        <v>11539</v>
      </c>
      <c r="E3721" s="112"/>
      <c r="F3721" s="139" t="s">
        <v>11540</v>
      </c>
      <c r="G3721" s="140"/>
      <c r="H3721" s="141"/>
      <c r="I3721" s="26">
        <v>71249</v>
      </c>
      <c r="J3721" s="117"/>
      <c r="K3721" s="120"/>
      <c r="L3721" s="121"/>
      <c r="M3721" s="120"/>
      <c r="N3721" s="121"/>
      <c r="O3721" s="120"/>
      <c r="P3721" s="121"/>
      <c r="Q3721" s="120"/>
      <c r="R3721" s="121"/>
      <c r="S3721" s="120"/>
      <c r="T3721" s="121"/>
      <c r="U3721" s="120"/>
      <c r="V3721" s="123"/>
      <c r="W3721" s="125"/>
      <c r="X3721" s="142" t="s">
        <v>9943</v>
      </c>
      <c r="Y3721" s="143"/>
      <c r="Z3721" s="143"/>
      <c r="AA3721" s="143"/>
      <c r="AB3721" s="144"/>
      <c r="AC3721" s="16" t="s">
        <v>21</v>
      </c>
      <c r="AD3721" s="17" t="s">
        <v>2239</v>
      </c>
      <c r="AE3721" s="145" t="s">
        <v>3589</v>
      </c>
      <c r="AF3721" s="146"/>
      <c r="AG3721" s="146"/>
      <c r="AH3721" s="146"/>
      <c r="AI3721" s="147"/>
      <c r="AJ3721" s="148"/>
      <c r="AK3721" s="143"/>
      <c r="AL3721" s="144"/>
      <c r="AM3721" s="22"/>
      <c r="AN3721" s="149" t="s">
        <v>2511</v>
      </c>
      <c r="AO3721" s="144"/>
      <c r="AP3721" s="148">
        <v>80128</v>
      </c>
      <c r="AQ3721" s="144"/>
      <c r="AR3721" s="120"/>
      <c r="AS3721" s="121"/>
      <c r="AT3721" s="120"/>
      <c r="AU3721" s="121"/>
      <c r="AV3721" s="120"/>
      <c r="AW3721" s="121"/>
      <c r="AX3721" s="120"/>
      <c r="AY3721" s="121"/>
      <c r="AZ3721" s="138"/>
    </row>
    <row r="3722" spans="1:52" ht="17.100000000000001" customHeight="1" thickTop="1">
      <c r="A3722" s="109" t="s">
        <v>11530</v>
      </c>
      <c r="B3722" s="28">
        <v>45985</v>
      </c>
      <c r="C3722" s="25">
        <v>2070</v>
      </c>
      <c r="D3722" s="13" t="s">
        <v>1958</v>
      </c>
      <c r="E3722" s="111"/>
      <c r="F3722" s="113" t="s">
        <v>11552</v>
      </c>
      <c r="G3722" s="114"/>
      <c r="H3722" s="115"/>
      <c r="I3722" s="24" t="s">
        <v>2919</v>
      </c>
      <c r="J3722" s="116">
        <v>4.5</v>
      </c>
      <c r="K3722" s="118">
        <v>1490000</v>
      </c>
      <c r="L3722" s="119"/>
      <c r="M3722" s="118">
        <f t="shared" ref="M3722" si="3430">K3722*0.1</f>
        <v>149000</v>
      </c>
      <c r="N3722" s="119"/>
      <c r="O3722" s="118">
        <f>13100+1310</f>
        <v>14410</v>
      </c>
      <c r="P3722" s="119"/>
      <c r="Q3722" s="118">
        <v>16340</v>
      </c>
      <c r="R3722" s="119"/>
      <c r="S3722" s="118">
        <v>11000</v>
      </c>
      <c r="T3722" s="119"/>
      <c r="U3722" s="118">
        <f t="shared" ref="U3722" si="3431">SUM(K3722:T3723)</f>
        <v>1680750</v>
      </c>
      <c r="V3722" s="122"/>
      <c r="W3722" s="124"/>
      <c r="X3722" s="126" t="s">
        <v>11553</v>
      </c>
      <c r="Y3722" s="127"/>
      <c r="Z3722" s="127"/>
      <c r="AA3722" s="127"/>
      <c r="AB3722" s="128"/>
      <c r="AC3722" s="15" t="s">
        <v>20</v>
      </c>
      <c r="AD3722" s="129" t="s">
        <v>1609</v>
      </c>
      <c r="AE3722" s="130"/>
      <c r="AF3722" s="130"/>
      <c r="AG3722" s="130"/>
      <c r="AH3722" s="130"/>
      <c r="AI3722" s="131"/>
      <c r="AJ3722" s="132"/>
      <c r="AK3722" s="127"/>
      <c r="AL3722" s="128"/>
      <c r="AM3722" s="21"/>
      <c r="AN3722" s="133">
        <v>45990</v>
      </c>
      <c r="AO3722" s="134"/>
      <c r="AP3722" s="135">
        <v>1278</v>
      </c>
      <c r="AQ3722" s="136"/>
      <c r="AR3722" s="118">
        <v>1630000</v>
      </c>
      <c r="AS3722" s="119"/>
      <c r="AT3722" s="118">
        <f t="shared" ref="AT3722" si="3432">AR3722*0.1</f>
        <v>163000</v>
      </c>
      <c r="AU3722" s="119"/>
      <c r="AV3722" s="118">
        <v>16340</v>
      </c>
      <c r="AW3722" s="119"/>
      <c r="AX3722" s="118">
        <f t="shared" ref="AX3722" si="3433">SUM(AR3722:AW3722)</f>
        <v>1809340</v>
      </c>
      <c r="AY3722" s="119"/>
      <c r="AZ3722" s="137">
        <v>45995</v>
      </c>
    </row>
    <row r="3723" spans="1:52" ht="17.100000000000001" customHeight="1" thickBot="1">
      <c r="A3723" s="110"/>
      <c r="B3723" s="27" t="s">
        <v>83</v>
      </c>
      <c r="C3723" s="27">
        <v>36028</v>
      </c>
      <c r="D3723" s="14" t="s">
        <v>1592</v>
      </c>
      <c r="E3723" s="112"/>
      <c r="F3723" s="139" t="s">
        <v>11541</v>
      </c>
      <c r="G3723" s="140"/>
      <c r="H3723" s="141"/>
      <c r="I3723" s="26">
        <v>78310</v>
      </c>
      <c r="J3723" s="117"/>
      <c r="K3723" s="120"/>
      <c r="L3723" s="121"/>
      <c r="M3723" s="120"/>
      <c r="N3723" s="121"/>
      <c r="O3723" s="120"/>
      <c r="P3723" s="121"/>
      <c r="Q3723" s="120"/>
      <c r="R3723" s="121"/>
      <c r="S3723" s="120"/>
      <c r="T3723" s="121"/>
      <c r="U3723" s="120"/>
      <c r="V3723" s="123"/>
      <c r="W3723" s="125"/>
      <c r="X3723" s="142" t="s">
        <v>12112</v>
      </c>
      <c r="Y3723" s="143"/>
      <c r="Z3723" s="143"/>
      <c r="AA3723" s="143"/>
      <c r="AB3723" s="144"/>
      <c r="AC3723" s="16" t="s">
        <v>21</v>
      </c>
      <c r="AD3723" s="17" t="s">
        <v>2239</v>
      </c>
      <c r="AE3723" s="145" t="s">
        <v>1742</v>
      </c>
      <c r="AF3723" s="146"/>
      <c r="AG3723" s="146"/>
      <c r="AH3723" s="146"/>
      <c r="AI3723" s="147"/>
      <c r="AJ3723" s="148"/>
      <c r="AK3723" s="143"/>
      <c r="AL3723" s="144"/>
      <c r="AM3723" s="22"/>
      <c r="AN3723" s="149" t="s">
        <v>6749</v>
      </c>
      <c r="AO3723" s="144"/>
      <c r="AP3723" s="148">
        <v>80421</v>
      </c>
      <c r="AQ3723" s="144"/>
      <c r="AR3723" s="120"/>
      <c r="AS3723" s="121"/>
      <c r="AT3723" s="120"/>
      <c r="AU3723" s="121"/>
      <c r="AV3723" s="120"/>
      <c r="AW3723" s="121"/>
      <c r="AX3723" s="120"/>
      <c r="AY3723" s="121"/>
      <c r="AZ3723" s="138"/>
    </row>
    <row r="3724" spans="1:52" ht="17.100000000000001" customHeight="1" thickTop="1">
      <c r="A3724" s="109" t="s">
        <v>11531</v>
      </c>
      <c r="B3724" s="28">
        <v>45985</v>
      </c>
      <c r="C3724" s="25"/>
      <c r="D3724" s="13" t="s">
        <v>1714</v>
      </c>
      <c r="E3724" s="111"/>
      <c r="F3724" s="113" t="s">
        <v>11542</v>
      </c>
      <c r="G3724" s="114"/>
      <c r="H3724" s="115"/>
      <c r="I3724" s="24" t="s">
        <v>2526</v>
      </c>
      <c r="J3724" s="116">
        <v>4</v>
      </c>
      <c r="K3724" s="118">
        <v>1700000</v>
      </c>
      <c r="L3724" s="119"/>
      <c r="M3724" s="118">
        <f t="shared" ref="M3724" si="3434">K3724*0.1</f>
        <v>170000</v>
      </c>
      <c r="N3724" s="119"/>
      <c r="O3724" s="118">
        <f>8300+830</f>
        <v>9130</v>
      </c>
      <c r="P3724" s="119"/>
      <c r="Q3724" s="118">
        <v>11370</v>
      </c>
      <c r="R3724" s="119"/>
      <c r="S3724" s="118">
        <v>14850</v>
      </c>
      <c r="T3724" s="119"/>
      <c r="U3724" s="118">
        <f t="shared" ref="U3724" si="3435">SUM(K3724:T3725)</f>
        <v>1905350</v>
      </c>
      <c r="V3724" s="122"/>
      <c r="W3724" s="124"/>
      <c r="X3724" s="126" t="s">
        <v>11545</v>
      </c>
      <c r="Y3724" s="127"/>
      <c r="Z3724" s="127"/>
      <c r="AA3724" s="127"/>
      <c r="AB3724" s="128"/>
      <c r="AC3724" s="15" t="s">
        <v>20</v>
      </c>
      <c r="AD3724" s="129"/>
      <c r="AE3724" s="130"/>
      <c r="AF3724" s="130"/>
      <c r="AG3724" s="130"/>
      <c r="AH3724" s="130"/>
      <c r="AI3724" s="131"/>
      <c r="AJ3724" s="132"/>
      <c r="AK3724" s="127"/>
      <c r="AL3724" s="128"/>
      <c r="AM3724" s="21"/>
      <c r="AN3724" s="133">
        <v>46060</v>
      </c>
      <c r="AO3724" s="134"/>
      <c r="AP3724" s="135">
        <v>1287</v>
      </c>
      <c r="AQ3724" s="136"/>
      <c r="AR3724" s="118">
        <v>1805000</v>
      </c>
      <c r="AS3724" s="119"/>
      <c r="AT3724" s="118">
        <f t="shared" ref="AT3724" si="3436">AR3724*0.1</f>
        <v>180500</v>
      </c>
      <c r="AU3724" s="119"/>
      <c r="AV3724" s="118">
        <v>11370</v>
      </c>
      <c r="AW3724" s="119"/>
      <c r="AX3724" s="118">
        <f t="shared" ref="AX3724" si="3437">SUM(AR3724:AW3724)</f>
        <v>1996870</v>
      </c>
      <c r="AY3724" s="119"/>
      <c r="AZ3724" s="137">
        <v>46063</v>
      </c>
    </row>
    <row r="3725" spans="1:52" ht="17.100000000000001" customHeight="1" thickBot="1">
      <c r="A3725" s="110"/>
      <c r="B3725" s="27" t="s">
        <v>8858</v>
      </c>
      <c r="C3725" s="27">
        <v>60131</v>
      </c>
      <c r="D3725" s="14" t="s">
        <v>2836</v>
      </c>
      <c r="E3725" s="112"/>
      <c r="F3725" s="139" t="s">
        <v>11544</v>
      </c>
      <c r="G3725" s="140"/>
      <c r="H3725" s="141"/>
      <c r="I3725" s="26">
        <v>20913</v>
      </c>
      <c r="J3725" s="117"/>
      <c r="K3725" s="120"/>
      <c r="L3725" s="121"/>
      <c r="M3725" s="120"/>
      <c r="N3725" s="121"/>
      <c r="O3725" s="120"/>
      <c r="P3725" s="121"/>
      <c r="Q3725" s="120"/>
      <c r="R3725" s="121"/>
      <c r="S3725" s="120"/>
      <c r="T3725" s="121"/>
      <c r="U3725" s="120"/>
      <c r="V3725" s="123"/>
      <c r="W3725" s="125"/>
      <c r="X3725" s="142" t="s">
        <v>2321</v>
      </c>
      <c r="Y3725" s="143"/>
      <c r="Z3725" s="143"/>
      <c r="AA3725" s="143"/>
      <c r="AB3725" s="144"/>
      <c r="AC3725" s="16" t="s">
        <v>21</v>
      </c>
      <c r="AD3725" s="17" t="s">
        <v>1731</v>
      </c>
      <c r="AE3725" s="145" t="s">
        <v>12547</v>
      </c>
      <c r="AF3725" s="146"/>
      <c r="AG3725" s="146"/>
      <c r="AH3725" s="146"/>
      <c r="AI3725" s="147"/>
      <c r="AJ3725" s="148"/>
      <c r="AK3725" s="143"/>
      <c r="AL3725" s="144"/>
      <c r="AM3725" s="22"/>
      <c r="AN3725" s="149" t="s">
        <v>2511</v>
      </c>
      <c r="AO3725" s="144"/>
      <c r="AP3725" s="148">
        <v>80164</v>
      </c>
      <c r="AQ3725" s="144"/>
      <c r="AR3725" s="120"/>
      <c r="AS3725" s="121"/>
      <c r="AT3725" s="120"/>
      <c r="AU3725" s="121"/>
      <c r="AV3725" s="120"/>
      <c r="AW3725" s="121"/>
      <c r="AX3725" s="120"/>
      <c r="AY3725" s="121"/>
      <c r="AZ3725" s="138"/>
    </row>
    <row r="3726" spans="1:52" ht="17.100000000000001" customHeight="1" thickTop="1">
      <c r="A3726" s="109" t="s">
        <v>11532</v>
      </c>
      <c r="B3726" s="28">
        <v>45985</v>
      </c>
      <c r="C3726" s="25"/>
      <c r="D3726" s="13" t="s">
        <v>2135</v>
      </c>
      <c r="E3726" s="111"/>
      <c r="F3726" s="113" t="s">
        <v>11543</v>
      </c>
      <c r="G3726" s="114"/>
      <c r="H3726" s="115"/>
      <c r="I3726" s="24" t="s">
        <v>4193</v>
      </c>
      <c r="J3726" s="116">
        <v>4</v>
      </c>
      <c r="K3726" s="118">
        <v>767000</v>
      </c>
      <c r="L3726" s="119"/>
      <c r="M3726" s="118">
        <f t="shared" ref="M3726" si="3438">K3726*0.1</f>
        <v>76700</v>
      </c>
      <c r="N3726" s="119"/>
      <c r="O3726" s="118">
        <f>13100+1310</f>
        <v>14410</v>
      </c>
      <c r="P3726" s="119"/>
      <c r="Q3726" s="118">
        <v>22520</v>
      </c>
      <c r="R3726" s="119"/>
      <c r="S3726" s="118">
        <v>14850</v>
      </c>
      <c r="T3726" s="119"/>
      <c r="U3726" s="118">
        <f t="shared" ref="U3726" si="3439">SUM(K3726:T3727)</f>
        <v>895480</v>
      </c>
      <c r="V3726" s="122"/>
      <c r="W3726" s="124"/>
      <c r="X3726" s="126" t="s">
        <v>11547</v>
      </c>
      <c r="Y3726" s="127"/>
      <c r="Z3726" s="127"/>
      <c r="AA3726" s="127"/>
      <c r="AB3726" s="128"/>
      <c r="AC3726" s="15" t="s">
        <v>20</v>
      </c>
      <c r="AD3726" s="129"/>
      <c r="AE3726" s="130"/>
      <c r="AF3726" s="130"/>
      <c r="AG3726" s="130"/>
      <c r="AH3726" s="130"/>
      <c r="AI3726" s="131"/>
      <c r="AJ3726" s="132"/>
      <c r="AK3726" s="127"/>
      <c r="AL3726" s="128"/>
      <c r="AM3726" s="21"/>
      <c r="AN3726" s="133">
        <v>45990</v>
      </c>
      <c r="AO3726" s="134"/>
      <c r="AP3726" s="135">
        <v>1278</v>
      </c>
      <c r="AQ3726" s="136"/>
      <c r="AR3726" s="118">
        <v>1060000</v>
      </c>
      <c r="AS3726" s="119"/>
      <c r="AT3726" s="118">
        <f t="shared" ref="AT3726" si="3440">AR3726*0.1</f>
        <v>106000</v>
      </c>
      <c r="AU3726" s="119"/>
      <c r="AV3726" s="118">
        <v>22520</v>
      </c>
      <c r="AW3726" s="119"/>
      <c r="AX3726" s="118">
        <f t="shared" ref="AX3726" si="3441">SUM(AR3726:AW3726)</f>
        <v>1188520</v>
      </c>
      <c r="AY3726" s="119"/>
      <c r="AZ3726" s="137">
        <v>45994</v>
      </c>
    </row>
    <row r="3727" spans="1:52" ht="17.100000000000001" customHeight="1" thickBot="1">
      <c r="A3727" s="110"/>
      <c r="B3727" s="27" t="s">
        <v>8858</v>
      </c>
      <c r="C3727" s="27">
        <v>60248</v>
      </c>
      <c r="D3727" s="14" t="s">
        <v>2800</v>
      </c>
      <c r="E3727" s="112"/>
      <c r="F3727" s="139" t="s">
        <v>11546</v>
      </c>
      <c r="G3727" s="140"/>
      <c r="H3727" s="141"/>
      <c r="I3727" s="26">
        <v>52909</v>
      </c>
      <c r="J3727" s="117"/>
      <c r="K3727" s="120"/>
      <c r="L3727" s="121"/>
      <c r="M3727" s="120"/>
      <c r="N3727" s="121"/>
      <c r="O3727" s="120"/>
      <c r="P3727" s="121"/>
      <c r="Q3727" s="120"/>
      <c r="R3727" s="121"/>
      <c r="S3727" s="120"/>
      <c r="T3727" s="121"/>
      <c r="U3727" s="120"/>
      <c r="V3727" s="123"/>
      <c r="W3727" s="125"/>
      <c r="X3727" s="142" t="s">
        <v>2947</v>
      </c>
      <c r="Y3727" s="143"/>
      <c r="Z3727" s="143"/>
      <c r="AA3727" s="143"/>
      <c r="AB3727" s="144"/>
      <c r="AC3727" s="16" t="s">
        <v>21</v>
      </c>
      <c r="AD3727" s="17" t="s">
        <v>1731</v>
      </c>
      <c r="AE3727" s="145"/>
      <c r="AF3727" s="146"/>
      <c r="AG3727" s="146"/>
      <c r="AH3727" s="146"/>
      <c r="AI3727" s="147"/>
      <c r="AJ3727" s="148"/>
      <c r="AK3727" s="143"/>
      <c r="AL3727" s="144"/>
      <c r="AM3727" s="22"/>
      <c r="AN3727" s="149" t="s">
        <v>2511</v>
      </c>
      <c r="AO3727" s="144"/>
      <c r="AP3727" s="148">
        <v>80435</v>
      </c>
      <c r="AQ3727" s="144"/>
      <c r="AR3727" s="120"/>
      <c r="AS3727" s="121"/>
      <c r="AT3727" s="120"/>
      <c r="AU3727" s="121"/>
      <c r="AV3727" s="120"/>
      <c r="AW3727" s="121"/>
      <c r="AX3727" s="120"/>
      <c r="AY3727" s="121"/>
      <c r="AZ3727" s="138"/>
    </row>
    <row r="3728" spans="1:52" ht="17.100000000000001" customHeight="1" thickTop="1">
      <c r="A3728" s="109" t="s">
        <v>11533</v>
      </c>
      <c r="B3728" s="28">
        <v>45985</v>
      </c>
      <c r="C3728" s="25">
        <v>71</v>
      </c>
      <c r="D3728" s="13" t="s">
        <v>1958</v>
      </c>
      <c r="E3728" s="111"/>
      <c r="F3728" s="113" t="s">
        <v>11409</v>
      </c>
      <c r="G3728" s="114"/>
      <c r="H3728" s="115"/>
      <c r="I3728" s="24" t="s">
        <v>2919</v>
      </c>
      <c r="J3728" s="116">
        <v>4.5</v>
      </c>
      <c r="K3728" s="118">
        <v>1370000</v>
      </c>
      <c r="L3728" s="119"/>
      <c r="M3728" s="118">
        <f t="shared" ref="M3728" si="3442">K3728*0.1</f>
        <v>137000</v>
      </c>
      <c r="N3728" s="119"/>
      <c r="O3728" s="118">
        <f>11200+1120</f>
        <v>12320</v>
      </c>
      <c r="P3728" s="119"/>
      <c r="Q3728" s="118">
        <v>14420</v>
      </c>
      <c r="R3728" s="119"/>
      <c r="S3728" s="118">
        <v>44000</v>
      </c>
      <c r="T3728" s="119"/>
      <c r="U3728" s="118">
        <f t="shared" ref="U3728" si="3443">SUM(K3728:T3729)</f>
        <v>1577740</v>
      </c>
      <c r="V3728" s="122"/>
      <c r="W3728" s="124"/>
      <c r="X3728" s="126" t="s">
        <v>14409</v>
      </c>
      <c r="Y3728" s="127"/>
      <c r="Z3728" s="127"/>
      <c r="AA3728" s="127"/>
      <c r="AB3728" s="128"/>
      <c r="AC3728" s="15" t="s">
        <v>20</v>
      </c>
      <c r="AD3728" s="129" t="s">
        <v>11397</v>
      </c>
      <c r="AE3728" s="130"/>
      <c r="AF3728" s="130"/>
      <c r="AG3728" s="130"/>
      <c r="AH3728" s="130"/>
      <c r="AI3728" s="131"/>
      <c r="AJ3728" s="132"/>
      <c r="AK3728" s="127"/>
      <c r="AL3728" s="128"/>
      <c r="AM3728" s="21" t="s">
        <v>14481</v>
      </c>
      <c r="AN3728" s="133"/>
      <c r="AO3728" s="134"/>
      <c r="AP3728" s="135"/>
      <c r="AQ3728" s="136"/>
      <c r="AR3728" s="118"/>
      <c r="AS3728" s="119"/>
      <c r="AT3728" s="118">
        <f t="shared" ref="AT3728" si="3444">AR3728*0.1</f>
        <v>0</v>
      </c>
      <c r="AU3728" s="119"/>
      <c r="AV3728" s="118"/>
      <c r="AW3728" s="119"/>
      <c r="AX3728" s="118">
        <f t="shared" ref="AX3728" si="3445">SUM(AR3728:AW3728)</f>
        <v>0</v>
      </c>
      <c r="AY3728" s="119"/>
      <c r="AZ3728" s="137"/>
    </row>
    <row r="3729" spans="1:52" ht="17.100000000000001" customHeight="1" thickBot="1">
      <c r="A3729" s="110"/>
      <c r="B3729" s="27" t="s">
        <v>4544</v>
      </c>
      <c r="C3729" s="27">
        <v>1001</v>
      </c>
      <c r="D3729" s="14" t="s">
        <v>275</v>
      </c>
      <c r="E3729" s="112"/>
      <c r="F3729" s="139" t="s">
        <v>11556</v>
      </c>
      <c r="G3729" s="140"/>
      <c r="H3729" s="141"/>
      <c r="I3729" s="26">
        <v>79535</v>
      </c>
      <c r="J3729" s="117"/>
      <c r="K3729" s="120"/>
      <c r="L3729" s="121"/>
      <c r="M3729" s="120"/>
      <c r="N3729" s="121"/>
      <c r="O3729" s="120"/>
      <c r="P3729" s="121"/>
      <c r="Q3729" s="120"/>
      <c r="R3729" s="121"/>
      <c r="S3729" s="120"/>
      <c r="T3729" s="121"/>
      <c r="U3729" s="120"/>
      <c r="V3729" s="123"/>
      <c r="W3729" s="125"/>
      <c r="X3729" s="142" t="s">
        <v>14410</v>
      </c>
      <c r="Y3729" s="143"/>
      <c r="Z3729" s="143"/>
      <c r="AA3729" s="143"/>
      <c r="AB3729" s="144"/>
      <c r="AC3729" s="16" t="s">
        <v>21</v>
      </c>
      <c r="AD3729" s="17" t="s">
        <v>14399</v>
      </c>
      <c r="AE3729" s="145" t="s">
        <v>1614</v>
      </c>
      <c r="AF3729" s="146"/>
      <c r="AG3729" s="146"/>
      <c r="AH3729" s="146"/>
      <c r="AI3729" s="147"/>
      <c r="AJ3729" s="148"/>
      <c r="AK3729" s="143"/>
      <c r="AL3729" s="144"/>
      <c r="AM3729" s="22"/>
      <c r="AN3729" s="149"/>
      <c r="AO3729" s="144"/>
      <c r="AP3729" s="148"/>
      <c r="AQ3729" s="144"/>
      <c r="AR3729" s="120"/>
      <c r="AS3729" s="121"/>
      <c r="AT3729" s="120"/>
      <c r="AU3729" s="121"/>
      <c r="AV3729" s="120"/>
      <c r="AW3729" s="121"/>
      <c r="AX3729" s="120"/>
      <c r="AY3729" s="121"/>
      <c r="AZ3729" s="138"/>
    </row>
    <row r="3730" spans="1:52" ht="17.100000000000001" customHeight="1" thickTop="1">
      <c r="A3730" s="109" t="s">
        <v>11534</v>
      </c>
      <c r="B3730" s="28">
        <v>45985</v>
      </c>
      <c r="C3730" s="25">
        <v>71</v>
      </c>
      <c r="D3730" s="13" t="s">
        <v>2100</v>
      </c>
      <c r="E3730" s="111"/>
      <c r="F3730" s="113" t="s">
        <v>11565</v>
      </c>
      <c r="G3730" s="114"/>
      <c r="H3730" s="115"/>
      <c r="I3730" s="24" t="s">
        <v>2112</v>
      </c>
      <c r="J3730" s="116">
        <v>4</v>
      </c>
      <c r="K3730" s="118">
        <v>890000</v>
      </c>
      <c r="L3730" s="119"/>
      <c r="M3730" s="118">
        <f t="shared" ref="M3730" si="3446">K3730*0.1</f>
        <v>89000</v>
      </c>
      <c r="N3730" s="119"/>
      <c r="O3730" s="118">
        <v>0</v>
      </c>
      <c r="P3730" s="119"/>
      <c r="Q3730" s="118">
        <v>8790</v>
      </c>
      <c r="R3730" s="119"/>
      <c r="S3730" s="118">
        <v>33000</v>
      </c>
      <c r="T3730" s="119"/>
      <c r="U3730" s="118">
        <f t="shared" ref="U3730" si="3447">SUM(K3730:T3731)</f>
        <v>1020790</v>
      </c>
      <c r="V3730" s="122"/>
      <c r="W3730" s="124"/>
      <c r="X3730" s="126" t="s">
        <v>13462</v>
      </c>
      <c r="Y3730" s="127"/>
      <c r="Z3730" s="127"/>
      <c r="AA3730" s="127"/>
      <c r="AB3730" s="128"/>
      <c r="AC3730" s="15" t="s">
        <v>20</v>
      </c>
      <c r="AD3730" s="129" t="s">
        <v>10256</v>
      </c>
      <c r="AE3730" s="130"/>
      <c r="AF3730" s="130"/>
      <c r="AG3730" s="130"/>
      <c r="AH3730" s="130"/>
      <c r="AI3730" s="131"/>
      <c r="AJ3730" s="132"/>
      <c r="AK3730" s="127"/>
      <c r="AL3730" s="128"/>
      <c r="AM3730" s="21" t="s">
        <v>13548</v>
      </c>
      <c r="AN3730" s="133">
        <v>46007</v>
      </c>
      <c r="AO3730" s="134"/>
      <c r="AP3730" s="135">
        <v>1922</v>
      </c>
      <c r="AQ3730" s="136"/>
      <c r="AR3730" s="118">
        <v>1092000</v>
      </c>
      <c r="AS3730" s="119"/>
      <c r="AT3730" s="118">
        <f t="shared" ref="AT3730" si="3448">AR3730*0.1</f>
        <v>109200</v>
      </c>
      <c r="AU3730" s="119"/>
      <c r="AV3730" s="118">
        <v>8790</v>
      </c>
      <c r="AW3730" s="119"/>
      <c r="AX3730" s="118">
        <f t="shared" ref="AX3730" si="3449">SUM(AR3730:AW3730)</f>
        <v>1209990</v>
      </c>
      <c r="AY3730" s="119"/>
      <c r="AZ3730" s="137"/>
    </row>
    <row r="3731" spans="1:52" ht="17.100000000000001" customHeight="1" thickBot="1">
      <c r="A3731" s="110"/>
      <c r="B3731" s="27" t="s">
        <v>4544</v>
      </c>
      <c r="C3731" s="27">
        <v>1008</v>
      </c>
      <c r="D3731" s="14" t="s">
        <v>2800</v>
      </c>
      <c r="E3731" s="112"/>
      <c r="F3731" s="139" t="s">
        <v>11557</v>
      </c>
      <c r="G3731" s="140"/>
      <c r="H3731" s="141"/>
      <c r="I3731" s="26">
        <v>26810</v>
      </c>
      <c r="J3731" s="117"/>
      <c r="K3731" s="120"/>
      <c r="L3731" s="121"/>
      <c r="M3731" s="120"/>
      <c r="N3731" s="121"/>
      <c r="O3731" s="120"/>
      <c r="P3731" s="121"/>
      <c r="Q3731" s="120"/>
      <c r="R3731" s="121"/>
      <c r="S3731" s="120"/>
      <c r="T3731" s="121"/>
      <c r="U3731" s="120"/>
      <c r="V3731" s="123"/>
      <c r="W3731" s="125"/>
      <c r="X3731" s="142" t="s">
        <v>13463</v>
      </c>
      <c r="Y3731" s="143"/>
      <c r="Z3731" s="143"/>
      <c r="AA3731" s="143"/>
      <c r="AB3731" s="144"/>
      <c r="AC3731" s="16" t="s">
        <v>21</v>
      </c>
      <c r="AD3731" s="17" t="s">
        <v>1757</v>
      </c>
      <c r="AE3731" s="145" t="s">
        <v>1614</v>
      </c>
      <c r="AF3731" s="146"/>
      <c r="AG3731" s="146"/>
      <c r="AH3731" s="146"/>
      <c r="AI3731" s="147"/>
      <c r="AJ3731" s="148"/>
      <c r="AK3731" s="143"/>
      <c r="AL3731" s="144"/>
      <c r="AM3731" s="22"/>
      <c r="AN3731" s="149" t="s">
        <v>2131</v>
      </c>
      <c r="AO3731" s="144"/>
      <c r="AP3731" s="148">
        <v>3307</v>
      </c>
      <c r="AQ3731" s="144"/>
      <c r="AR3731" s="120"/>
      <c r="AS3731" s="121"/>
      <c r="AT3731" s="120"/>
      <c r="AU3731" s="121"/>
      <c r="AV3731" s="120"/>
      <c r="AW3731" s="121"/>
      <c r="AX3731" s="120"/>
      <c r="AY3731" s="121"/>
      <c r="AZ3731" s="138"/>
    </row>
    <row r="3732" spans="1:52" ht="17.100000000000001" customHeight="1" thickTop="1">
      <c r="A3732" s="109" t="s">
        <v>11554</v>
      </c>
      <c r="B3732" s="28">
        <v>45985</v>
      </c>
      <c r="C3732" s="25">
        <v>71</v>
      </c>
      <c r="D3732" s="13" t="s">
        <v>4121</v>
      </c>
      <c r="E3732" s="111"/>
      <c r="F3732" s="113" t="s">
        <v>11566</v>
      </c>
      <c r="G3732" s="114"/>
      <c r="H3732" s="115"/>
      <c r="I3732" s="24" t="s">
        <v>4193</v>
      </c>
      <c r="J3732" s="116">
        <v>4</v>
      </c>
      <c r="K3732" s="118">
        <v>1090000</v>
      </c>
      <c r="L3732" s="119"/>
      <c r="M3732" s="118">
        <f t="shared" ref="M3732" si="3450">K3732*0.1</f>
        <v>109000</v>
      </c>
      <c r="N3732" s="119"/>
      <c r="O3732" s="118">
        <f>9800+980</f>
        <v>10780</v>
      </c>
      <c r="P3732" s="119"/>
      <c r="Q3732" s="118">
        <v>9490</v>
      </c>
      <c r="R3732" s="119"/>
      <c r="S3732" s="118">
        <v>44000</v>
      </c>
      <c r="T3732" s="119"/>
      <c r="U3732" s="118">
        <f t="shared" ref="U3732" si="3451">SUM(K3732:T3733)</f>
        <v>1263270</v>
      </c>
      <c r="V3732" s="122"/>
      <c r="W3732" s="124"/>
      <c r="X3732" s="126" t="s">
        <v>13839</v>
      </c>
      <c r="Y3732" s="127"/>
      <c r="Z3732" s="127"/>
      <c r="AA3732" s="127"/>
      <c r="AB3732" s="128"/>
      <c r="AC3732" s="15" t="s">
        <v>20</v>
      </c>
      <c r="AD3732" s="129" t="s">
        <v>11397</v>
      </c>
      <c r="AE3732" s="130"/>
      <c r="AF3732" s="130"/>
      <c r="AG3732" s="130"/>
      <c r="AH3732" s="130"/>
      <c r="AI3732" s="131"/>
      <c r="AJ3732" s="132"/>
      <c r="AK3732" s="127"/>
      <c r="AL3732" s="128"/>
      <c r="AM3732" s="21"/>
      <c r="AN3732" s="133">
        <v>46011</v>
      </c>
      <c r="AO3732" s="134"/>
      <c r="AP3732" s="135">
        <v>1281</v>
      </c>
      <c r="AQ3732" s="136"/>
      <c r="AR3732" s="118">
        <v>1290000</v>
      </c>
      <c r="AS3732" s="119"/>
      <c r="AT3732" s="118">
        <f t="shared" ref="AT3732" si="3452">AR3732*0.1</f>
        <v>129000</v>
      </c>
      <c r="AU3732" s="119"/>
      <c r="AV3732" s="118">
        <v>9490</v>
      </c>
      <c r="AW3732" s="119"/>
      <c r="AX3732" s="118">
        <f t="shared" ref="AX3732" si="3453">SUM(AR3732:AW3732)</f>
        <v>1428490</v>
      </c>
      <c r="AY3732" s="119"/>
      <c r="AZ3732" s="137">
        <v>46014</v>
      </c>
    </row>
    <row r="3733" spans="1:52" ht="17.100000000000001" customHeight="1" thickBot="1">
      <c r="A3733" s="110"/>
      <c r="B3733" s="27" t="s">
        <v>4544</v>
      </c>
      <c r="C3733" s="27">
        <v>1025</v>
      </c>
      <c r="D3733" s="14" t="s">
        <v>904</v>
      </c>
      <c r="E3733" s="112"/>
      <c r="F3733" s="139" t="s">
        <v>11558</v>
      </c>
      <c r="G3733" s="140"/>
      <c r="H3733" s="141"/>
      <c r="I3733" s="26">
        <v>34560</v>
      </c>
      <c r="J3733" s="117"/>
      <c r="K3733" s="120"/>
      <c r="L3733" s="121"/>
      <c r="M3733" s="120"/>
      <c r="N3733" s="121"/>
      <c r="O3733" s="120"/>
      <c r="P3733" s="121"/>
      <c r="Q3733" s="120"/>
      <c r="R3733" s="121"/>
      <c r="S3733" s="120"/>
      <c r="T3733" s="121"/>
      <c r="U3733" s="120"/>
      <c r="V3733" s="123"/>
      <c r="W3733" s="125"/>
      <c r="X3733" s="142" t="s">
        <v>13840</v>
      </c>
      <c r="Y3733" s="143"/>
      <c r="Z3733" s="143"/>
      <c r="AA3733" s="143"/>
      <c r="AB3733" s="144"/>
      <c r="AC3733" s="16" t="s">
        <v>21</v>
      </c>
      <c r="AD3733" s="17" t="s">
        <v>13826</v>
      </c>
      <c r="AE3733" s="145" t="s">
        <v>9504</v>
      </c>
      <c r="AF3733" s="146"/>
      <c r="AG3733" s="146"/>
      <c r="AH3733" s="146"/>
      <c r="AI3733" s="147"/>
      <c r="AJ3733" s="148"/>
      <c r="AK3733" s="143"/>
      <c r="AL3733" s="144"/>
      <c r="AM3733" s="22"/>
      <c r="AN3733" s="149" t="s">
        <v>2511</v>
      </c>
      <c r="AO3733" s="144"/>
      <c r="AP3733" s="148">
        <v>37386</v>
      </c>
      <c r="AQ3733" s="144"/>
      <c r="AR3733" s="120"/>
      <c r="AS3733" s="121"/>
      <c r="AT3733" s="120"/>
      <c r="AU3733" s="121"/>
      <c r="AV3733" s="120"/>
      <c r="AW3733" s="121"/>
      <c r="AX3733" s="120"/>
      <c r="AY3733" s="121"/>
      <c r="AZ3733" s="138"/>
    </row>
    <row r="3734" spans="1:52" ht="17.100000000000001" customHeight="1" thickTop="1">
      <c r="A3734" s="109" t="s">
        <v>11555</v>
      </c>
      <c r="B3734" s="28">
        <v>45985</v>
      </c>
      <c r="C3734" s="25">
        <v>71</v>
      </c>
      <c r="D3734" s="13" t="s">
        <v>2272</v>
      </c>
      <c r="E3734" s="111"/>
      <c r="F3734" s="113" t="s">
        <v>11144</v>
      </c>
      <c r="G3734" s="114"/>
      <c r="H3734" s="115"/>
      <c r="I3734" s="24" t="s">
        <v>2976</v>
      </c>
      <c r="J3734" s="116">
        <v>4.5</v>
      </c>
      <c r="K3734" s="118">
        <v>1545000</v>
      </c>
      <c r="L3734" s="119"/>
      <c r="M3734" s="118">
        <f t="shared" ref="M3734" si="3454">K3734*0.1</f>
        <v>154500</v>
      </c>
      <c r="N3734" s="119"/>
      <c r="O3734" s="118">
        <v>0</v>
      </c>
      <c r="P3734" s="119"/>
      <c r="Q3734" s="118">
        <v>7530</v>
      </c>
      <c r="R3734" s="119"/>
      <c r="S3734" s="118">
        <v>44000</v>
      </c>
      <c r="T3734" s="119"/>
      <c r="U3734" s="118">
        <f t="shared" ref="U3734" si="3455">SUM(K3734:T3735)</f>
        <v>1751030</v>
      </c>
      <c r="V3734" s="122"/>
      <c r="W3734" s="124"/>
      <c r="X3734" s="126" t="s">
        <v>13537</v>
      </c>
      <c r="Y3734" s="127"/>
      <c r="Z3734" s="127"/>
      <c r="AA3734" s="127"/>
      <c r="AB3734" s="128"/>
      <c r="AC3734" s="15" t="s">
        <v>20</v>
      </c>
      <c r="AD3734" s="129" t="s">
        <v>1581</v>
      </c>
      <c r="AE3734" s="130"/>
      <c r="AF3734" s="130"/>
      <c r="AG3734" s="130"/>
      <c r="AH3734" s="130"/>
      <c r="AI3734" s="131"/>
      <c r="AJ3734" s="132"/>
      <c r="AK3734" s="127"/>
      <c r="AL3734" s="128"/>
      <c r="AM3734" s="21"/>
      <c r="AN3734" s="133">
        <v>46007</v>
      </c>
      <c r="AO3734" s="134"/>
      <c r="AP3734" s="135">
        <v>1922</v>
      </c>
      <c r="AQ3734" s="136"/>
      <c r="AR3734" s="118">
        <v>1702000</v>
      </c>
      <c r="AS3734" s="119"/>
      <c r="AT3734" s="118">
        <f t="shared" ref="AT3734" si="3456">AR3734*0.1</f>
        <v>170200</v>
      </c>
      <c r="AU3734" s="119"/>
      <c r="AV3734" s="118">
        <v>7530</v>
      </c>
      <c r="AW3734" s="119"/>
      <c r="AX3734" s="118">
        <f t="shared" ref="AX3734" si="3457">SUM(AR3734:AW3734)</f>
        <v>1879730</v>
      </c>
      <c r="AY3734" s="119"/>
      <c r="AZ3734" s="137"/>
    </row>
    <row r="3735" spans="1:52" ht="17.100000000000001" customHeight="1" thickBot="1">
      <c r="A3735" s="110"/>
      <c r="B3735" s="27" t="s">
        <v>4544</v>
      </c>
      <c r="C3735" s="27">
        <v>1059</v>
      </c>
      <c r="D3735" s="14" t="s">
        <v>2601</v>
      </c>
      <c r="E3735" s="112"/>
      <c r="F3735" s="139" t="s">
        <v>11559</v>
      </c>
      <c r="G3735" s="140"/>
      <c r="H3735" s="141"/>
      <c r="I3735" s="26">
        <v>16327</v>
      </c>
      <c r="J3735" s="117"/>
      <c r="K3735" s="120"/>
      <c r="L3735" s="121"/>
      <c r="M3735" s="120"/>
      <c r="N3735" s="121"/>
      <c r="O3735" s="120"/>
      <c r="P3735" s="121"/>
      <c r="Q3735" s="120"/>
      <c r="R3735" s="121"/>
      <c r="S3735" s="120"/>
      <c r="T3735" s="121"/>
      <c r="U3735" s="120"/>
      <c r="V3735" s="123"/>
      <c r="W3735" s="125"/>
      <c r="X3735" s="142" t="s">
        <v>13538</v>
      </c>
      <c r="Y3735" s="143"/>
      <c r="Z3735" s="143"/>
      <c r="AA3735" s="143"/>
      <c r="AB3735" s="144"/>
      <c r="AC3735" s="16" t="s">
        <v>21</v>
      </c>
      <c r="AD3735" s="17" t="s">
        <v>1757</v>
      </c>
      <c r="AE3735" s="145" t="s">
        <v>2832</v>
      </c>
      <c r="AF3735" s="146"/>
      <c r="AG3735" s="146"/>
      <c r="AH3735" s="146"/>
      <c r="AI3735" s="147"/>
      <c r="AJ3735" s="148"/>
      <c r="AK3735" s="143"/>
      <c r="AL3735" s="144"/>
      <c r="AM3735" s="22"/>
      <c r="AN3735" s="149" t="s">
        <v>2131</v>
      </c>
      <c r="AO3735" s="144"/>
      <c r="AP3735" s="148">
        <v>3053</v>
      </c>
      <c r="AQ3735" s="144"/>
      <c r="AR3735" s="120"/>
      <c r="AS3735" s="121"/>
      <c r="AT3735" s="120"/>
      <c r="AU3735" s="121"/>
      <c r="AV3735" s="120"/>
      <c r="AW3735" s="121"/>
      <c r="AX3735" s="120"/>
      <c r="AY3735" s="121"/>
      <c r="AZ3735" s="138"/>
    </row>
    <row r="3736" spans="1:52" ht="17.100000000000001" customHeight="1" thickTop="1">
      <c r="A3736" s="109" t="s">
        <v>11560</v>
      </c>
      <c r="B3736" s="28">
        <v>45985</v>
      </c>
      <c r="C3736" s="25"/>
      <c r="D3736" s="13" t="s">
        <v>1906</v>
      </c>
      <c r="E3736" s="111"/>
      <c r="F3736" s="113" t="s">
        <v>4703</v>
      </c>
      <c r="G3736" s="114"/>
      <c r="H3736" s="115"/>
      <c r="I3736" s="24" t="s">
        <v>3585</v>
      </c>
      <c r="J3736" s="116">
        <v>4.5</v>
      </c>
      <c r="K3736" s="118">
        <f>1435500/1.1</f>
        <v>1305000</v>
      </c>
      <c r="L3736" s="119"/>
      <c r="M3736" s="118">
        <f t="shared" ref="M3736" si="3458">K3736*0.1</f>
        <v>130500</v>
      </c>
      <c r="N3736" s="119"/>
      <c r="O3736" s="118">
        <v>0</v>
      </c>
      <c r="P3736" s="119"/>
      <c r="Q3736" s="118">
        <v>8550</v>
      </c>
      <c r="R3736" s="119"/>
      <c r="S3736" s="118">
        <v>0</v>
      </c>
      <c r="T3736" s="119"/>
      <c r="U3736" s="118">
        <f t="shared" ref="U3736" si="3459">SUM(K3736:T3737)</f>
        <v>1444050</v>
      </c>
      <c r="V3736" s="122"/>
      <c r="W3736" s="124"/>
      <c r="X3736" s="126" t="s">
        <v>12852</v>
      </c>
      <c r="Y3736" s="127"/>
      <c r="Z3736" s="127"/>
      <c r="AA3736" s="127"/>
      <c r="AB3736" s="128"/>
      <c r="AC3736" s="15" t="s">
        <v>20</v>
      </c>
      <c r="AD3736" s="129" t="s">
        <v>1945</v>
      </c>
      <c r="AE3736" s="130"/>
      <c r="AF3736" s="130"/>
      <c r="AG3736" s="130"/>
      <c r="AH3736" s="130"/>
      <c r="AI3736" s="131"/>
      <c r="AJ3736" s="132"/>
      <c r="AK3736" s="127"/>
      <c r="AL3736" s="128"/>
      <c r="AM3736" s="21"/>
      <c r="AN3736" s="133">
        <v>46014</v>
      </c>
      <c r="AO3736" s="134"/>
      <c r="AP3736" s="135">
        <v>1923</v>
      </c>
      <c r="AQ3736" s="136"/>
      <c r="AR3736" s="118">
        <v>1408000</v>
      </c>
      <c r="AS3736" s="119"/>
      <c r="AT3736" s="118">
        <f t="shared" ref="AT3736" si="3460">AR3736*0.1</f>
        <v>140800</v>
      </c>
      <c r="AU3736" s="119"/>
      <c r="AV3736" s="118">
        <v>8550</v>
      </c>
      <c r="AW3736" s="119"/>
      <c r="AX3736" s="118">
        <f t="shared" ref="AX3736" si="3461">SUM(AR3736:AW3736)</f>
        <v>1557350</v>
      </c>
      <c r="AY3736" s="119"/>
      <c r="AZ3736" s="137">
        <v>46020</v>
      </c>
    </row>
    <row r="3737" spans="1:52" ht="17.100000000000001" customHeight="1" thickBot="1">
      <c r="A3737" s="110"/>
      <c r="B3737" s="27" t="s">
        <v>1718</v>
      </c>
      <c r="C3737" s="27" t="s">
        <v>11567</v>
      </c>
      <c r="D3737" s="14" t="s">
        <v>1592</v>
      </c>
      <c r="E3737" s="112"/>
      <c r="F3737" s="139" t="s">
        <v>11568</v>
      </c>
      <c r="G3737" s="140"/>
      <c r="H3737" s="141"/>
      <c r="I3737" s="26">
        <v>37174</v>
      </c>
      <c r="J3737" s="117"/>
      <c r="K3737" s="120"/>
      <c r="L3737" s="121"/>
      <c r="M3737" s="120"/>
      <c r="N3737" s="121"/>
      <c r="O3737" s="120"/>
      <c r="P3737" s="121"/>
      <c r="Q3737" s="120"/>
      <c r="R3737" s="121"/>
      <c r="S3737" s="120"/>
      <c r="T3737" s="121"/>
      <c r="U3737" s="120"/>
      <c r="V3737" s="123"/>
      <c r="W3737" s="125"/>
      <c r="X3737" s="142" t="s">
        <v>12853</v>
      </c>
      <c r="Y3737" s="143"/>
      <c r="Z3737" s="143"/>
      <c r="AA3737" s="143"/>
      <c r="AB3737" s="144"/>
      <c r="AC3737" s="16" t="s">
        <v>21</v>
      </c>
      <c r="AD3737" s="17" t="s">
        <v>1765</v>
      </c>
      <c r="AE3737" s="145" t="s">
        <v>1614</v>
      </c>
      <c r="AF3737" s="146"/>
      <c r="AG3737" s="146"/>
      <c r="AH3737" s="146"/>
      <c r="AI3737" s="147"/>
      <c r="AJ3737" s="148"/>
      <c r="AK3737" s="143"/>
      <c r="AL3737" s="144"/>
      <c r="AM3737" s="22"/>
      <c r="AN3737" s="149" t="s">
        <v>2131</v>
      </c>
      <c r="AO3737" s="144"/>
      <c r="AP3737" s="148">
        <v>3069</v>
      </c>
      <c r="AQ3737" s="144"/>
      <c r="AR3737" s="120"/>
      <c r="AS3737" s="121"/>
      <c r="AT3737" s="120"/>
      <c r="AU3737" s="121"/>
      <c r="AV3737" s="120"/>
      <c r="AW3737" s="121"/>
      <c r="AX3737" s="120"/>
      <c r="AY3737" s="121"/>
      <c r="AZ3737" s="138"/>
    </row>
    <row r="3738" spans="1:52" ht="17.100000000000001" customHeight="1" thickTop="1">
      <c r="A3738" s="109" t="s">
        <v>11561</v>
      </c>
      <c r="B3738" s="28">
        <v>45985</v>
      </c>
      <c r="C3738" s="25"/>
      <c r="D3738" s="13" t="s">
        <v>11570</v>
      </c>
      <c r="E3738" s="111"/>
      <c r="F3738" s="113" t="s">
        <v>10136</v>
      </c>
      <c r="G3738" s="114"/>
      <c r="H3738" s="115"/>
      <c r="I3738" s="24" t="s">
        <v>11572</v>
      </c>
      <c r="J3738" s="116">
        <v>4</v>
      </c>
      <c r="K3738" s="118">
        <f>271700/1.1</f>
        <v>246999.99999999997</v>
      </c>
      <c r="L3738" s="119"/>
      <c r="M3738" s="118">
        <f t="shared" ref="M3738" si="3462">K3738*0.1</f>
        <v>24700</v>
      </c>
      <c r="N3738" s="119"/>
      <c r="O3738" s="118">
        <v>0</v>
      </c>
      <c r="P3738" s="119"/>
      <c r="Q3738" s="118">
        <v>9200</v>
      </c>
      <c r="R3738" s="119"/>
      <c r="S3738" s="118">
        <v>0</v>
      </c>
      <c r="T3738" s="119"/>
      <c r="U3738" s="118">
        <f t="shared" ref="U3738" si="3463">SUM(K3738:T3739)</f>
        <v>280900</v>
      </c>
      <c r="V3738" s="122"/>
      <c r="W3738" s="124"/>
      <c r="X3738" s="126" t="s">
        <v>12384</v>
      </c>
      <c r="Y3738" s="127"/>
      <c r="Z3738" s="127"/>
      <c r="AA3738" s="127"/>
      <c r="AB3738" s="128"/>
      <c r="AC3738" s="15" t="s">
        <v>20</v>
      </c>
      <c r="AD3738" s="129" t="s">
        <v>2054</v>
      </c>
      <c r="AE3738" s="130"/>
      <c r="AF3738" s="130"/>
      <c r="AG3738" s="130"/>
      <c r="AH3738" s="130"/>
      <c r="AI3738" s="131"/>
      <c r="AJ3738" s="132"/>
      <c r="AK3738" s="127"/>
      <c r="AL3738" s="128"/>
      <c r="AM3738" s="21"/>
      <c r="AN3738" s="133">
        <v>46004</v>
      </c>
      <c r="AO3738" s="134"/>
      <c r="AP3738" s="135">
        <v>1280</v>
      </c>
      <c r="AQ3738" s="136"/>
      <c r="AR3738" s="118">
        <v>260000</v>
      </c>
      <c r="AS3738" s="119"/>
      <c r="AT3738" s="118">
        <f t="shared" ref="AT3738" si="3464">AR3738*0.1</f>
        <v>26000</v>
      </c>
      <c r="AU3738" s="119"/>
      <c r="AV3738" s="118">
        <v>9200</v>
      </c>
      <c r="AW3738" s="119"/>
      <c r="AX3738" s="118">
        <f t="shared" ref="AX3738" si="3465">SUM(AR3738:AW3738)</f>
        <v>295200</v>
      </c>
      <c r="AY3738" s="119"/>
      <c r="AZ3738" s="137">
        <v>46008</v>
      </c>
    </row>
    <row r="3739" spans="1:52" ht="17.100000000000001" customHeight="1" thickBot="1">
      <c r="A3739" s="110"/>
      <c r="B3739" s="27" t="s">
        <v>1718</v>
      </c>
      <c r="C3739" s="27" t="s">
        <v>11569</v>
      </c>
      <c r="D3739" s="14" t="s">
        <v>1720</v>
      </c>
      <c r="E3739" s="112"/>
      <c r="F3739" s="139" t="s">
        <v>11571</v>
      </c>
      <c r="G3739" s="140"/>
      <c r="H3739" s="141"/>
      <c r="I3739" s="26">
        <v>44769</v>
      </c>
      <c r="J3739" s="117"/>
      <c r="K3739" s="120"/>
      <c r="L3739" s="121"/>
      <c r="M3739" s="120"/>
      <c r="N3739" s="121"/>
      <c r="O3739" s="120"/>
      <c r="P3739" s="121"/>
      <c r="Q3739" s="120"/>
      <c r="R3739" s="121"/>
      <c r="S3739" s="120"/>
      <c r="T3739" s="121"/>
      <c r="U3739" s="120"/>
      <c r="V3739" s="123"/>
      <c r="W3739" s="125"/>
      <c r="X3739" s="142" t="s">
        <v>12385</v>
      </c>
      <c r="Y3739" s="143"/>
      <c r="Z3739" s="143"/>
      <c r="AA3739" s="143"/>
      <c r="AB3739" s="144"/>
      <c r="AC3739" s="16" t="s">
        <v>21</v>
      </c>
      <c r="AD3739" s="17" t="s">
        <v>2248</v>
      </c>
      <c r="AE3739" s="145" t="s">
        <v>1670</v>
      </c>
      <c r="AF3739" s="146"/>
      <c r="AG3739" s="146"/>
      <c r="AH3739" s="146"/>
      <c r="AI3739" s="147"/>
      <c r="AJ3739" s="148"/>
      <c r="AK3739" s="143"/>
      <c r="AL3739" s="144"/>
      <c r="AM3739" s="22"/>
      <c r="AN3739" s="149" t="s">
        <v>2511</v>
      </c>
      <c r="AO3739" s="144"/>
      <c r="AP3739" s="148">
        <v>65073</v>
      </c>
      <c r="AQ3739" s="144"/>
      <c r="AR3739" s="120"/>
      <c r="AS3739" s="121"/>
      <c r="AT3739" s="120"/>
      <c r="AU3739" s="121"/>
      <c r="AV3739" s="120"/>
      <c r="AW3739" s="121"/>
      <c r="AX3739" s="120"/>
      <c r="AY3739" s="121"/>
      <c r="AZ3739" s="138"/>
    </row>
    <row r="3740" spans="1:52" ht="17.100000000000001" customHeight="1" thickTop="1">
      <c r="A3740" s="151" t="s">
        <v>11562</v>
      </c>
      <c r="B3740" s="28">
        <v>45985</v>
      </c>
      <c r="C3740" s="25"/>
      <c r="D3740" s="13" t="s">
        <v>4609</v>
      </c>
      <c r="E3740" s="111"/>
      <c r="F3740" s="113" t="s">
        <v>11274</v>
      </c>
      <c r="G3740" s="114"/>
      <c r="H3740" s="115"/>
      <c r="I3740" s="24" t="s">
        <v>11575</v>
      </c>
      <c r="J3740" s="116">
        <v>4</v>
      </c>
      <c r="K3740" s="118">
        <f>350900/1.1</f>
        <v>319000</v>
      </c>
      <c r="L3740" s="119"/>
      <c r="M3740" s="118">
        <f t="shared" ref="M3740" si="3466">K3740*0.1</f>
        <v>31900</v>
      </c>
      <c r="N3740" s="119"/>
      <c r="O3740" s="118">
        <v>0</v>
      </c>
      <c r="P3740" s="119"/>
      <c r="Q3740" s="118">
        <v>8490</v>
      </c>
      <c r="R3740" s="119"/>
      <c r="S3740" s="118">
        <v>0</v>
      </c>
      <c r="T3740" s="119"/>
      <c r="U3740" s="118">
        <f t="shared" ref="U3740" si="3467">SUM(K3740:T3741)</f>
        <v>359390</v>
      </c>
      <c r="V3740" s="122"/>
      <c r="W3740" s="124"/>
      <c r="X3740" s="126" t="s">
        <v>13459</v>
      </c>
      <c r="Y3740" s="127"/>
      <c r="Z3740" s="127"/>
      <c r="AA3740" s="127"/>
      <c r="AB3740" s="128"/>
      <c r="AC3740" s="15" t="s">
        <v>20</v>
      </c>
      <c r="AD3740" s="129" t="s">
        <v>1605</v>
      </c>
      <c r="AE3740" s="130"/>
      <c r="AF3740" s="130"/>
      <c r="AG3740" s="130"/>
      <c r="AH3740" s="130"/>
      <c r="AI3740" s="131"/>
      <c r="AJ3740" s="132"/>
      <c r="AK3740" s="127"/>
      <c r="AL3740" s="128"/>
      <c r="AM3740" s="21"/>
      <c r="AN3740" s="133">
        <v>46032</v>
      </c>
      <c r="AO3740" s="134"/>
      <c r="AP3740" s="135">
        <v>1283</v>
      </c>
      <c r="AQ3740" s="136"/>
      <c r="AR3740" s="118">
        <v>345000</v>
      </c>
      <c r="AS3740" s="119"/>
      <c r="AT3740" s="118">
        <v>34500</v>
      </c>
      <c r="AU3740" s="119"/>
      <c r="AV3740" s="118">
        <v>8490</v>
      </c>
      <c r="AW3740" s="119"/>
      <c r="AX3740" s="118">
        <f t="shared" ref="AX3740" si="3468">SUM(AR3740:AW3740)</f>
        <v>387990</v>
      </c>
      <c r="AY3740" s="119"/>
      <c r="AZ3740" s="137">
        <v>46036</v>
      </c>
    </row>
    <row r="3741" spans="1:52" ht="17.100000000000001" customHeight="1" thickBot="1">
      <c r="A3741" s="152"/>
      <c r="B3741" s="27" t="s">
        <v>1718</v>
      </c>
      <c r="C3741" s="27" t="s">
        <v>11573</v>
      </c>
      <c r="D3741" s="14" t="s">
        <v>133</v>
      </c>
      <c r="E3741" s="112"/>
      <c r="F3741" s="139" t="s">
        <v>11574</v>
      </c>
      <c r="G3741" s="140"/>
      <c r="H3741" s="141"/>
      <c r="I3741" s="26">
        <v>28806</v>
      </c>
      <c r="J3741" s="117"/>
      <c r="K3741" s="120"/>
      <c r="L3741" s="121"/>
      <c r="M3741" s="120"/>
      <c r="N3741" s="121"/>
      <c r="O3741" s="120"/>
      <c r="P3741" s="121"/>
      <c r="Q3741" s="120"/>
      <c r="R3741" s="121"/>
      <c r="S3741" s="120"/>
      <c r="T3741" s="121"/>
      <c r="U3741" s="120"/>
      <c r="V3741" s="123"/>
      <c r="W3741" s="125"/>
      <c r="X3741" s="142" t="s">
        <v>13460</v>
      </c>
      <c r="Y3741" s="143"/>
      <c r="Z3741" s="143"/>
      <c r="AA3741" s="143"/>
      <c r="AB3741" s="144"/>
      <c r="AC3741" s="16" t="s">
        <v>21</v>
      </c>
      <c r="AD3741" s="17" t="s">
        <v>1757</v>
      </c>
      <c r="AE3741" s="145" t="s">
        <v>13461</v>
      </c>
      <c r="AF3741" s="146"/>
      <c r="AG3741" s="146"/>
      <c r="AH3741" s="146"/>
      <c r="AI3741" s="147"/>
      <c r="AJ3741" s="148"/>
      <c r="AK3741" s="143"/>
      <c r="AL3741" s="144"/>
      <c r="AM3741" s="22"/>
      <c r="AN3741" s="149" t="s">
        <v>2511</v>
      </c>
      <c r="AO3741" s="144"/>
      <c r="AP3741" s="148">
        <v>31125</v>
      </c>
      <c r="AQ3741" s="144"/>
      <c r="AR3741" s="120"/>
      <c r="AS3741" s="121"/>
      <c r="AT3741" s="120"/>
      <c r="AU3741" s="121"/>
      <c r="AV3741" s="120"/>
      <c r="AW3741" s="121"/>
      <c r="AX3741" s="120"/>
      <c r="AY3741" s="121"/>
      <c r="AZ3741" s="138"/>
    </row>
    <row r="3742" spans="1:52" ht="17.100000000000001" customHeight="1" thickTop="1">
      <c r="A3742" s="151" t="s">
        <v>11563</v>
      </c>
      <c r="B3742" s="28">
        <v>45985</v>
      </c>
      <c r="C3742" s="25"/>
      <c r="D3742" s="13" t="s">
        <v>2759</v>
      </c>
      <c r="E3742" s="111"/>
      <c r="F3742" s="113" t="s">
        <v>11577</v>
      </c>
      <c r="G3742" s="114"/>
      <c r="H3742" s="115"/>
      <c r="I3742" s="24" t="s">
        <v>11579</v>
      </c>
      <c r="J3742" s="116">
        <v>4</v>
      </c>
      <c r="K3742" s="118">
        <f>1540000/1.1</f>
        <v>1400000</v>
      </c>
      <c r="L3742" s="119"/>
      <c r="M3742" s="118">
        <f t="shared" ref="M3742" si="3469">K3742*0.1</f>
        <v>140000</v>
      </c>
      <c r="N3742" s="119"/>
      <c r="O3742" s="118">
        <v>9000</v>
      </c>
      <c r="P3742" s="119"/>
      <c r="Q3742" s="118">
        <v>9490</v>
      </c>
      <c r="R3742" s="119"/>
      <c r="S3742" s="118">
        <v>0</v>
      </c>
      <c r="T3742" s="119"/>
      <c r="U3742" s="118">
        <f t="shared" ref="U3742" si="3470">SUM(K3742:T3743)</f>
        <v>1558490</v>
      </c>
      <c r="V3742" s="122"/>
      <c r="W3742" s="124"/>
      <c r="X3742" s="126" t="s">
        <v>13324</v>
      </c>
      <c r="Y3742" s="127"/>
      <c r="Z3742" s="127"/>
      <c r="AA3742" s="127"/>
      <c r="AB3742" s="128"/>
      <c r="AC3742" s="15" t="s">
        <v>20</v>
      </c>
      <c r="AD3742" s="129" t="s">
        <v>1945</v>
      </c>
      <c r="AE3742" s="130"/>
      <c r="AF3742" s="130"/>
      <c r="AG3742" s="130"/>
      <c r="AH3742" s="130"/>
      <c r="AI3742" s="131"/>
      <c r="AJ3742" s="132"/>
      <c r="AK3742" s="127"/>
      <c r="AL3742" s="128"/>
      <c r="AM3742" s="21" t="s">
        <v>14479</v>
      </c>
      <c r="AN3742" s="133">
        <v>46039</v>
      </c>
      <c r="AO3742" s="134"/>
      <c r="AP3742" s="135">
        <v>1284</v>
      </c>
      <c r="AQ3742" s="136"/>
      <c r="AR3742" s="118">
        <v>1535000</v>
      </c>
      <c r="AS3742" s="119"/>
      <c r="AT3742" s="118">
        <f t="shared" ref="AT3742" si="3471">AR3742*0.1</f>
        <v>153500</v>
      </c>
      <c r="AU3742" s="119"/>
      <c r="AV3742" s="118">
        <v>9490</v>
      </c>
      <c r="AW3742" s="119"/>
      <c r="AX3742" s="118">
        <f t="shared" ref="AX3742" si="3472">SUM(AR3742:AW3742)</f>
        <v>1697990</v>
      </c>
      <c r="AY3742" s="119"/>
      <c r="AZ3742" s="137">
        <v>46042</v>
      </c>
    </row>
    <row r="3743" spans="1:52" ht="17.100000000000001" customHeight="1" thickBot="1">
      <c r="A3743" s="152"/>
      <c r="B3743" s="27" t="s">
        <v>1718</v>
      </c>
      <c r="C3743" s="27" t="s">
        <v>11576</v>
      </c>
      <c r="D3743" s="14" t="s">
        <v>275</v>
      </c>
      <c r="E3743" s="112"/>
      <c r="F3743" s="139" t="s">
        <v>11578</v>
      </c>
      <c r="G3743" s="140"/>
      <c r="H3743" s="141"/>
      <c r="I3743" s="26">
        <v>50479</v>
      </c>
      <c r="J3743" s="117"/>
      <c r="K3743" s="120"/>
      <c r="L3743" s="121"/>
      <c r="M3743" s="120"/>
      <c r="N3743" s="121"/>
      <c r="O3743" s="120"/>
      <c r="P3743" s="121"/>
      <c r="Q3743" s="120"/>
      <c r="R3743" s="121"/>
      <c r="S3743" s="120"/>
      <c r="T3743" s="121"/>
      <c r="U3743" s="120"/>
      <c r="V3743" s="123"/>
      <c r="W3743" s="125"/>
      <c r="X3743" s="142" t="s">
        <v>13325</v>
      </c>
      <c r="Y3743" s="143"/>
      <c r="Z3743" s="143"/>
      <c r="AA3743" s="143"/>
      <c r="AB3743" s="144"/>
      <c r="AC3743" s="16" t="s">
        <v>21</v>
      </c>
      <c r="AD3743" s="17" t="s">
        <v>2268</v>
      </c>
      <c r="AE3743" s="145" t="s">
        <v>13329</v>
      </c>
      <c r="AF3743" s="146"/>
      <c r="AG3743" s="146"/>
      <c r="AH3743" s="146"/>
      <c r="AI3743" s="147"/>
      <c r="AJ3743" s="148"/>
      <c r="AK3743" s="143"/>
      <c r="AL3743" s="144"/>
      <c r="AM3743" s="22"/>
      <c r="AN3743" s="149" t="s">
        <v>2511</v>
      </c>
      <c r="AO3743" s="144"/>
      <c r="AP3743" s="148">
        <v>31204</v>
      </c>
      <c r="AQ3743" s="144"/>
      <c r="AR3743" s="120"/>
      <c r="AS3743" s="121"/>
      <c r="AT3743" s="120"/>
      <c r="AU3743" s="121"/>
      <c r="AV3743" s="120"/>
      <c r="AW3743" s="121"/>
      <c r="AX3743" s="120"/>
      <c r="AY3743" s="121"/>
      <c r="AZ3743" s="138"/>
    </row>
    <row r="3744" spans="1:52" ht="17.100000000000001" customHeight="1" thickTop="1">
      <c r="A3744" s="109" t="s">
        <v>11564</v>
      </c>
      <c r="B3744" s="28">
        <v>45985</v>
      </c>
      <c r="C3744" s="25"/>
      <c r="D3744" s="13" t="s">
        <v>2363</v>
      </c>
      <c r="E3744" s="111"/>
      <c r="F3744" s="113" t="s">
        <v>11581</v>
      </c>
      <c r="G3744" s="114"/>
      <c r="H3744" s="115"/>
      <c r="I3744" s="24" t="s">
        <v>11583</v>
      </c>
      <c r="J3744" s="116">
        <v>4.5</v>
      </c>
      <c r="K3744" s="118">
        <f>5247000/1.1</f>
        <v>4770000</v>
      </c>
      <c r="L3744" s="119"/>
      <c r="M3744" s="118">
        <f t="shared" ref="M3744" si="3473">K3744*0.1</f>
        <v>477000</v>
      </c>
      <c r="N3744" s="119"/>
      <c r="O3744" s="118">
        <v>10800</v>
      </c>
      <c r="P3744" s="119"/>
      <c r="Q3744" s="118">
        <v>15470</v>
      </c>
      <c r="R3744" s="119"/>
      <c r="S3744" s="118">
        <v>0</v>
      </c>
      <c r="T3744" s="119"/>
      <c r="U3744" s="118">
        <f t="shared" ref="U3744" si="3474">SUM(K3744:T3745)</f>
        <v>5273270</v>
      </c>
      <c r="V3744" s="122"/>
      <c r="W3744" s="124"/>
      <c r="X3744" s="126" t="s">
        <v>12847</v>
      </c>
      <c r="Y3744" s="127"/>
      <c r="Z3744" s="127"/>
      <c r="AA3744" s="127"/>
      <c r="AB3744" s="128"/>
      <c r="AC3744" s="15" t="s">
        <v>20</v>
      </c>
      <c r="AD3744" s="129" t="s">
        <v>1945</v>
      </c>
      <c r="AE3744" s="130"/>
      <c r="AF3744" s="130"/>
      <c r="AG3744" s="130"/>
      <c r="AH3744" s="130"/>
      <c r="AI3744" s="131"/>
      <c r="AJ3744" s="132"/>
      <c r="AK3744" s="127"/>
      <c r="AL3744" s="128"/>
      <c r="AM3744" s="21"/>
      <c r="AN3744" s="133">
        <v>46383</v>
      </c>
      <c r="AO3744" s="134"/>
      <c r="AP3744" s="135">
        <v>1282</v>
      </c>
      <c r="AQ3744" s="136"/>
      <c r="AR3744" s="118">
        <v>4800000</v>
      </c>
      <c r="AS3744" s="119"/>
      <c r="AT3744" s="118">
        <f t="shared" ref="AT3744" si="3475">AR3744*0.1</f>
        <v>480000</v>
      </c>
      <c r="AU3744" s="119"/>
      <c r="AV3744" s="118">
        <v>15470</v>
      </c>
      <c r="AW3744" s="119"/>
      <c r="AX3744" s="118">
        <f t="shared" ref="AX3744" si="3476">SUM(AR3744:AW3744)</f>
        <v>5295470</v>
      </c>
      <c r="AY3744" s="119"/>
      <c r="AZ3744" s="137">
        <v>46030</v>
      </c>
    </row>
    <row r="3745" spans="1:52" ht="17.100000000000001" customHeight="1" thickBot="1">
      <c r="A3745" s="110"/>
      <c r="B3745" s="27" t="s">
        <v>1718</v>
      </c>
      <c r="C3745" s="27" t="s">
        <v>11580</v>
      </c>
      <c r="D3745" s="14" t="s">
        <v>1592</v>
      </c>
      <c r="E3745" s="112"/>
      <c r="F3745" s="139" t="s">
        <v>11582</v>
      </c>
      <c r="G3745" s="140"/>
      <c r="H3745" s="141"/>
      <c r="I3745" s="26">
        <v>4730</v>
      </c>
      <c r="J3745" s="117"/>
      <c r="K3745" s="120"/>
      <c r="L3745" s="121"/>
      <c r="M3745" s="120"/>
      <c r="N3745" s="121"/>
      <c r="O3745" s="120"/>
      <c r="P3745" s="121"/>
      <c r="Q3745" s="120"/>
      <c r="R3745" s="121"/>
      <c r="S3745" s="120"/>
      <c r="T3745" s="121"/>
      <c r="U3745" s="120"/>
      <c r="V3745" s="123"/>
      <c r="W3745" s="125"/>
      <c r="X3745" s="142" t="s">
        <v>12848</v>
      </c>
      <c r="Y3745" s="143"/>
      <c r="Z3745" s="143"/>
      <c r="AA3745" s="143"/>
      <c r="AB3745" s="144"/>
      <c r="AC3745" s="16" t="s">
        <v>21</v>
      </c>
      <c r="AD3745" s="17" t="s">
        <v>1765</v>
      </c>
      <c r="AE3745" s="145" t="s">
        <v>12849</v>
      </c>
      <c r="AF3745" s="146"/>
      <c r="AG3745" s="146"/>
      <c r="AH3745" s="146"/>
      <c r="AI3745" s="147"/>
      <c r="AJ3745" s="148"/>
      <c r="AK3745" s="143"/>
      <c r="AL3745" s="144"/>
      <c r="AM3745" s="22"/>
      <c r="AN3745" s="149" t="s">
        <v>6748</v>
      </c>
      <c r="AO3745" s="144"/>
      <c r="AP3745" s="148">
        <v>31174</v>
      </c>
      <c r="AQ3745" s="144"/>
      <c r="AR3745" s="120"/>
      <c r="AS3745" s="121"/>
      <c r="AT3745" s="120"/>
      <c r="AU3745" s="121"/>
      <c r="AV3745" s="120"/>
      <c r="AW3745" s="121"/>
      <c r="AX3745" s="120"/>
      <c r="AY3745" s="121"/>
      <c r="AZ3745" s="138"/>
    </row>
    <row r="3746" spans="1:52" ht="17.100000000000001" customHeight="1" thickTop="1">
      <c r="A3746" s="109" t="s">
        <v>11651</v>
      </c>
      <c r="B3746" s="28">
        <v>45986</v>
      </c>
      <c r="C3746" s="25">
        <v>1919</v>
      </c>
      <c r="D3746" s="13" t="s">
        <v>1725</v>
      </c>
      <c r="E3746" s="111"/>
      <c r="F3746" s="113" t="s">
        <v>11584</v>
      </c>
      <c r="G3746" s="114"/>
      <c r="H3746" s="115"/>
      <c r="I3746" s="24" t="s">
        <v>3399</v>
      </c>
      <c r="J3746" s="116">
        <v>4</v>
      </c>
      <c r="K3746" s="118">
        <v>905000</v>
      </c>
      <c r="L3746" s="119"/>
      <c r="M3746" s="118">
        <f t="shared" ref="M3746" si="3477">K3746*0.1</f>
        <v>90500</v>
      </c>
      <c r="N3746" s="119"/>
      <c r="O3746" s="118">
        <v>0</v>
      </c>
      <c r="P3746" s="119"/>
      <c r="Q3746" s="118">
        <v>7940</v>
      </c>
      <c r="R3746" s="119"/>
      <c r="S3746" s="118">
        <v>15950</v>
      </c>
      <c r="T3746" s="119"/>
      <c r="U3746" s="118">
        <f t="shared" ref="U3746" si="3478">SUM(K3746:T3747)</f>
        <v>1019390</v>
      </c>
      <c r="V3746" s="122"/>
      <c r="W3746" s="124"/>
      <c r="X3746" s="126" t="s">
        <v>11586</v>
      </c>
      <c r="Y3746" s="127"/>
      <c r="Z3746" s="127"/>
      <c r="AA3746" s="127"/>
      <c r="AB3746" s="128"/>
      <c r="AC3746" s="15" t="s">
        <v>20</v>
      </c>
      <c r="AD3746" s="129"/>
      <c r="AE3746" s="130"/>
      <c r="AF3746" s="130"/>
      <c r="AG3746" s="130"/>
      <c r="AH3746" s="130"/>
      <c r="AI3746" s="131"/>
      <c r="AJ3746" s="132"/>
      <c r="AK3746" s="127"/>
      <c r="AL3746" s="128"/>
      <c r="AM3746" s="21"/>
      <c r="AN3746" s="133">
        <v>45990</v>
      </c>
      <c r="AO3746" s="134"/>
      <c r="AP3746" s="135">
        <v>1278</v>
      </c>
      <c r="AQ3746" s="136"/>
      <c r="AR3746" s="118">
        <v>980000</v>
      </c>
      <c r="AS3746" s="119"/>
      <c r="AT3746" s="118">
        <f t="shared" ref="AT3746" si="3479">AR3746*0.1</f>
        <v>98000</v>
      </c>
      <c r="AU3746" s="119"/>
      <c r="AV3746" s="118">
        <v>7940</v>
      </c>
      <c r="AW3746" s="119"/>
      <c r="AX3746" s="118">
        <f t="shared" ref="AX3746" si="3480">SUM(AR3746:AW3746)</f>
        <v>1085940</v>
      </c>
      <c r="AY3746" s="119"/>
      <c r="AZ3746" s="137">
        <v>46000</v>
      </c>
    </row>
    <row r="3747" spans="1:52" ht="17.100000000000001" customHeight="1" thickBot="1">
      <c r="A3747" s="110"/>
      <c r="B3747" s="27" t="s">
        <v>2131</v>
      </c>
      <c r="C3747" s="27">
        <v>3025</v>
      </c>
      <c r="D3747" s="14" t="s">
        <v>2601</v>
      </c>
      <c r="E3747" s="112"/>
      <c r="F3747" s="139" t="s">
        <v>11585</v>
      </c>
      <c r="G3747" s="140"/>
      <c r="H3747" s="141"/>
      <c r="I3747" s="26">
        <v>16383</v>
      </c>
      <c r="J3747" s="117"/>
      <c r="K3747" s="120"/>
      <c r="L3747" s="121"/>
      <c r="M3747" s="120"/>
      <c r="N3747" s="121"/>
      <c r="O3747" s="120"/>
      <c r="P3747" s="121"/>
      <c r="Q3747" s="120"/>
      <c r="R3747" s="121"/>
      <c r="S3747" s="120"/>
      <c r="T3747" s="121"/>
      <c r="U3747" s="120"/>
      <c r="V3747" s="123"/>
      <c r="W3747" s="125"/>
      <c r="X3747" s="142" t="s">
        <v>12373</v>
      </c>
      <c r="Y3747" s="143"/>
      <c r="Z3747" s="143"/>
      <c r="AA3747" s="143"/>
      <c r="AB3747" s="144"/>
      <c r="AC3747" s="16" t="s">
        <v>21</v>
      </c>
      <c r="AD3747" s="17" t="s">
        <v>2248</v>
      </c>
      <c r="AE3747" s="145" t="s">
        <v>2195</v>
      </c>
      <c r="AF3747" s="146"/>
      <c r="AG3747" s="146"/>
      <c r="AH3747" s="146"/>
      <c r="AI3747" s="147"/>
      <c r="AJ3747" s="148"/>
      <c r="AK3747" s="143"/>
      <c r="AL3747" s="144"/>
      <c r="AM3747" s="22"/>
      <c r="AN3747" s="149" t="s">
        <v>6749</v>
      </c>
      <c r="AO3747" s="144"/>
      <c r="AP3747" s="148">
        <v>60459</v>
      </c>
      <c r="AQ3747" s="144"/>
      <c r="AR3747" s="120"/>
      <c r="AS3747" s="121"/>
      <c r="AT3747" s="120"/>
      <c r="AU3747" s="121"/>
      <c r="AV3747" s="120"/>
      <c r="AW3747" s="121"/>
      <c r="AX3747" s="120"/>
      <c r="AY3747" s="121"/>
      <c r="AZ3747" s="138"/>
    </row>
    <row r="3748" spans="1:52" ht="17.100000000000001" customHeight="1" thickTop="1">
      <c r="A3748" s="109" t="s">
        <v>11652</v>
      </c>
      <c r="B3748" s="28">
        <v>45986</v>
      </c>
      <c r="C3748" s="25">
        <v>1919</v>
      </c>
      <c r="D3748" s="13" t="s">
        <v>2187</v>
      </c>
      <c r="E3748" s="111"/>
      <c r="F3748" s="113" t="s">
        <v>4677</v>
      </c>
      <c r="G3748" s="114"/>
      <c r="H3748" s="115"/>
      <c r="I3748" s="24"/>
      <c r="J3748" s="116">
        <v>4</v>
      </c>
      <c r="K3748" s="118">
        <v>647000</v>
      </c>
      <c r="L3748" s="119"/>
      <c r="M3748" s="118">
        <f t="shared" ref="M3748" si="3481">K3748*0.1</f>
        <v>64700</v>
      </c>
      <c r="N3748" s="119"/>
      <c r="O3748" s="118">
        <v>0</v>
      </c>
      <c r="P3748" s="119"/>
      <c r="Q3748" s="118">
        <v>7150</v>
      </c>
      <c r="R3748" s="119"/>
      <c r="S3748" s="118">
        <v>15950</v>
      </c>
      <c r="T3748" s="119"/>
      <c r="U3748" s="118">
        <f t="shared" ref="U3748" si="3482">SUM(K3748:T3749)</f>
        <v>734800</v>
      </c>
      <c r="V3748" s="122"/>
      <c r="W3748" s="124"/>
      <c r="X3748" s="126" t="s">
        <v>12377</v>
      </c>
      <c r="Y3748" s="127"/>
      <c r="Z3748" s="127"/>
      <c r="AA3748" s="127"/>
      <c r="AB3748" s="128"/>
      <c r="AC3748" s="15" t="s">
        <v>20</v>
      </c>
      <c r="AD3748" s="129"/>
      <c r="AE3748" s="130"/>
      <c r="AF3748" s="130"/>
      <c r="AG3748" s="130"/>
      <c r="AH3748" s="130"/>
      <c r="AI3748" s="131"/>
      <c r="AJ3748" s="132"/>
      <c r="AK3748" s="127"/>
      <c r="AL3748" s="128"/>
      <c r="AM3748" s="21"/>
      <c r="AN3748" s="133">
        <v>45990</v>
      </c>
      <c r="AO3748" s="134"/>
      <c r="AP3748" s="135">
        <v>1278</v>
      </c>
      <c r="AQ3748" s="136"/>
      <c r="AR3748" s="118">
        <v>715000</v>
      </c>
      <c r="AS3748" s="119"/>
      <c r="AT3748" s="118">
        <f t="shared" ref="AT3748" si="3483">AR3748*0.1</f>
        <v>71500</v>
      </c>
      <c r="AU3748" s="119"/>
      <c r="AV3748" s="118">
        <v>7150</v>
      </c>
      <c r="AW3748" s="119"/>
      <c r="AX3748" s="118">
        <f t="shared" ref="AX3748" si="3484">SUM(AR3748:AW3748)</f>
        <v>793650</v>
      </c>
      <c r="AY3748" s="119"/>
      <c r="AZ3748" s="137">
        <v>46000</v>
      </c>
    </row>
    <row r="3749" spans="1:52" ht="17.100000000000001" customHeight="1" thickBot="1">
      <c r="A3749" s="110"/>
      <c r="B3749" s="27" t="s">
        <v>2131</v>
      </c>
      <c r="C3749" s="27">
        <v>3039</v>
      </c>
      <c r="D3749" s="14" t="s">
        <v>1592</v>
      </c>
      <c r="E3749" s="112"/>
      <c r="F3749" s="139" t="s">
        <v>11587</v>
      </c>
      <c r="G3749" s="140"/>
      <c r="H3749" s="141"/>
      <c r="I3749" s="26">
        <v>47474</v>
      </c>
      <c r="J3749" s="117"/>
      <c r="K3749" s="120"/>
      <c r="L3749" s="121"/>
      <c r="M3749" s="120"/>
      <c r="N3749" s="121"/>
      <c r="O3749" s="120"/>
      <c r="P3749" s="121"/>
      <c r="Q3749" s="120"/>
      <c r="R3749" s="121"/>
      <c r="S3749" s="120"/>
      <c r="T3749" s="121"/>
      <c r="U3749" s="120"/>
      <c r="V3749" s="123"/>
      <c r="W3749" s="125"/>
      <c r="X3749" s="142" t="s">
        <v>12378</v>
      </c>
      <c r="Y3749" s="143"/>
      <c r="Z3749" s="143"/>
      <c r="AA3749" s="143"/>
      <c r="AB3749" s="144"/>
      <c r="AC3749" s="16" t="s">
        <v>21</v>
      </c>
      <c r="AD3749" s="17" t="s">
        <v>2248</v>
      </c>
      <c r="AE3749" s="145"/>
      <c r="AF3749" s="146"/>
      <c r="AG3749" s="146"/>
      <c r="AH3749" s="146"/>
      <c r="AI3749" s="147"/>
      <c r="AJ3749" s="148"/>
      <c r="AK3749" s="143"/>
      <c r="AL3749" s="144"/>
      <c r="AM3749" s="22"/>
      <c r="AN3749" s="149" t="s">
        <v>2511</v>
      </c>
      <c r="AO3749" s="144"/>
      <c r="AP3749" s="148">
        <v>60458</v>
      </c>
      <c r="AQ3749" s="144"/>
      <c r="AR3749" s="120"/>
      <c r="AS3749" s="121"/>
      <c r="AT3749" s="120"/>
      <c r="AU3749" s="121"/>
      <c r="AV3749" s="120"/>
      <c r="AW3749" s="121"/>
      <c r="AX3749" s="120"/>
      <c r="AY3749" s="121"/>
      <c r="AZ3749" s="138"/>
    </row>
    <row r="3750" spans="1:52" ht="17.100000000000001" customHeight="1" thickTop="1">
      <c r="A3750" s="109" t="s">
        <v>11653</v>
      </c>
      <c r="B3750" s="28">
        <v>45986</v>
      </c>
      <c r="C3750" s="25">
        <v>1919</v>
      </c>
      <c r="D3750" s="13" t="s">
        <v>1853</v>
      </c>
      <c r="E3750" s="111"/>
      <c r="F3750" s="113" t="s">
        <v>4677</v>
      </c>
      <c r="G3750" s="114"/>
      <c r="H3750" s="115"/>
      <c r="I3750" s="24"/>
      <c r="J3750" s="116">
        <v>3.5</v>
      </c>
      <c r="K3750" s="118">
        <v>635000</v>
      </c>
      <c r="L3750" s="119"/>
      <c r="M3750" s="118">
        <f t="shared" ref="M3750" si="3485">K3750*0.1</f>
        <v>63500</v>
      </c>
      <c r="N3750" s="119"/>
      <c r="O3750" s="118">
        <v>0</v>
      </c>
      <c r="P3750" s="119"/>
      <c r="Q3750" s="118">
        <v>7150</v>
      </c>
      <c r="R3750" s="119"/>
      <c r="S3750" s="118">
        <v>15950</v>
      </c>
      <c r="T3750" s="119"/>
      <c r="U3750" s="118">
        <f t="shared" ref="U3750" si="3486">SUM(K3750:T3751)</f>
        <v>721600</v>
      </c>
      <c r="V3750" s="122"/>
      <c r="W3750" s="124"/>
      <c r="X3750" s="126" t="s">
        <v>12391</v>
      </c>
      <c r="Y3750" s="127"/>
      <c r="Z3750" s="127"/>
      <c r="AA3750" s="127"/>
      <c r="AB3750" s="128"/>
      <c r="AC3750" s="15" t="s">
        <v>20</v>
      </c>
      <c r="AD3750" s="129"/>
      <c r="AE3750" s="130"/>
      <c r="AF3750" s="130"/>
      <c r="AG3750" s="130"/>
      <c r="AH3750" s="130"/>
      <c r="AI3750" s="131"/>
      <c r="AJ3750" s="132"/>
      <c r="AK3750" s="127"/>
      <c r="AL3750" s="128"/>
      <c r="AM3750" s="21"/>
      <c r="AN3750" s="133">
        <v>46050</v>
      </c>
      <c r="AO3750" s="134"/>
      <c r="AP3750" s="135">
        <v>1002</v>
      </c>
      <c r="AQ3750" s="136"/>
      <c r="AR3750" s="118">
        <v>710000</v>
      </c>
      <c r="AS3750" s="119"/>
      <c r="AT3750" s="118">
        <f t="shared" ref="AT3750" si="3487">AR3750*0.1</f>
        <v>71000</v>
      </c>
      <c r="AU3750" s="119"/>
      <c r="AV3750" s="118">
        <v>7150</v>
      </c>
      <c r="AW3750" s="119"/>
      <c r="AX3750" s="118">
        <f t="shared" ref="AX3750" si="3488">SUM(AR3750:AW3750)</f>
        <v>788150</v>
      </c>
      <c r="AY3750" s="119"/>
      <c r="AZ3750" s="137">
        <v>46056</v>
      </c>
    </row>
    <row r="3751" spans="1:52" ht="17.100000000000001" customHeight="1" thickBot="1">
      <c r="A3751" s="110"/>
      <c r="B3751" s="27" t="s">
        <v>2131</v>
      </c>
      <c r="C3751" s="27">
        <v>3069</v>
      </c>
      <c r="D3751" s="14" t="s">
        <v>1720</v>
      </c>
      <c r="E3751" s="112"/>
      <c r="F3751" s="139" t="s">
        <v>11588</v>
      </c>
      <c r="G3751" s="140"/>
      <c r="H3751" s="141"/>
      <c r="I3751" s="26">
        <v>44576</v>
      </c>
      <c r="J3751" s="117"/>
      <c r="K3751" s="120"/>
      <c r="L3751" s="121"/>
      <c r="M3751" s="120"/>
      <c r="N3751" s="121"/>
      <c r="O3751" s="120"/>
      <c r="P3751" s="121"/>
      <c r="Q3751" s="120"/>
      <c r="R3751" s="121"/>
      <c r="S3751" s="120"/>
      <c r="T3751" s="121"/>
      <c r="U3751" s="120"/>
      <c r="V3751" s="123"/>
      <c r="W3751" s="125"/>
      <c r="X3751" s="142" t="s">
        <v>12378</v>
      </c>
      <c r="Y3751" s="143"/>
      <c r="Z3751" s="143"/>
      <c r="AA3751" s="143"/>
      <c r="AB3751" s="144"/>
      <c r="AC3751" s="16" t="s">
        <v>21</v>
      </c>
      <c r="AD3751" s="17" t="s">
        <v>2248</v>
      </c>
      <c r="AE3751" s="145"/>
      <c r="AF3751" s="146"/>
      <c r="AG3751" s="146"/>
      <c r="AH3751" s="146"/>
      <c r="AI3751" s="147"/>
      <c r="AJ3751" s="148"/>
      <c r="AK3751" s="143"/>
      <c r="AL3751" s="144"/>
      <c r="AM3751" s="22"/>
      <c r="AN3751" s="149" t="s">
        <v>7285</v>
      </c>
      <c r="AO3751" s="144"/>
      <c r="AP3751" s="148">
        <v>5090</v>
      </c>
      <c r="AQ3751" s="144"/>
      <c r="AR3751" s="120"/>
      <c r="AS3751" s="121"/>
      <c r="AT3751" s="120"/>
      <c r="AU3751" s="121"/>
      <c r="AV3751" s="120"/>
      <c r="AW3751" s="121"/>
      <c r="AX3751" s="120"/>
      <c r="AY3751" s="121"/>
      <c r="AZ3751" s="138"/>
    </row>
    <row r="3752" spans="1:52" ht="17.100000000000001" customHeight="1" thickTop="1">
      <c r="A3752" s="109" t="s">
        <v>11654</v>
      </c>
      <c r="B3752" s="28">
        <v>45986</v>
      </c>
      <c r="C3752" s="25">
        <v>1919</v>
      </c>
      <c r="D3752" s="13" t="s">
        <v>818</v>
      </c>
      <c r="E3752" s="111"/>
      <c r="F3752" s="113" t="s">
        <v>5196</v>
      </c>
      <c r="G3752" s="114"/>
      <c r="H3752" s="115"/>
      <c r="I3752" s="24" t="s">
        <v>1559</v>
      </c>
      <c r="J3752" s="116">
        <v>4</v>
      </c>
      <c r="K3752" s="118">
        <v>334000</v>
      </c>
      <c r="L3752" s="119"/>
      <c r="M3752" s="118">
        <f t="shared" ref="M3752" si="3489">K3752*0.1</f>
        <v>33400</v>
      </c>
      <c r="N3752" s="119"/>
      <c r="O3752" s="118">
        <v>0</v>
      </c>
      <c r="P3752" s="119"/>
      <c r="Q3752" s="118">
        <v>7140</v>
      </c>
      <c r="R3752" s="119"/>
      <c r="S3752" s="118">
        <v>15950</v>
      </c>
      <c r="T3752" s="119"/>
      <c r="U3752" s="118">
        <f t="shared" ref="U3752" si="3490">SUM(K3752:T3753)</f>
        <v>390490</v>
      </c>
      <c r="V3752" s="122"/>
      <c r="W3752" s="124"/>
      <c r="X3752" s="126" t="s">
        <v>11590</v>
      </c>
      <c r="Y3752" s="127"/>
      <c r="Z3752" s="127"/>
      <c r="AA3752" s="127"/>
      <c r="AB3752" s="128"/>
      <c r="AC3752" s="15" t="s">
        <v>20</v>
      </c>
      <c r="AD3752" s="129"/>
      <c r="AE3752" s="130"/>
      <c r="AF3752" s="130"/>
      <c r="AG3752" s="130"/>
      <c r="AH3752" s="130"/>
      <c r="AI3752" s="131"/>
      <c r="AJ3752" s="132"/>
      <c r="AK3752" s="127"/>
      <c r="AL3752" s="128"/>
      <c r="AM3752" s="21" t="s">
        <v>13041</v>
      </c>
      <c r="AN3752" s="133">
        <v>46011</v>
      </c>
      <c r="AO3752" s="134"/>
      <c r="AP3752" s="135">
        <v>1281</v>
      </c>
      <c r="AQ3752" s="136"/>
      <c r="AR3752" s="118">
        <v>410000</v>
      </c>
      <c r="AS3752" s="119"/>
      <c r="AT3752" s="118">
        <f t="shared" ref="AT3752" si="3491">AR3752*0.1</f>
        <v>41000</v>
      </c>
      <c r="AU3752" s="119"/>
      <c r="AV3752" s="118">
        <v>7140</v>
      </c>
      <c r="AW3752" s="119"/>
      <c r="AX3752" s="118">
        <f t="shared" ref="AX3752" si="3492">SUM(AR3752:AW3752)</f>
        <v>458140</v>
      </c>
      <c r="AY3752" s="119"/>
      <c r="AZ3752" s="137">
        <v>46016</v>
      </c>
    </row>
    <row r="3753" spans="1:52" ht="17.100000000000001" customHeight="1" thickBot="1">
      <c r="A3753" s="110"/>
      <c r="B3753" s="27" t="s">
        <v>2131</v>
      </c>
      <c r="C3753" s="27">
        <v>3305</v>
      </c>
      <c r="D3753" s="14" t="s">
        <v>1720</v>
      </c>
      <c r="E3753" s="112"/>
      <c r="F3753" s="139" t="s">
        <v>11589</v>
      </c>
      <c r="G3753" s="140"/>
      <c r="H3753" s="141"/>
      <c r="I3753" s="26">
        <v>53819</v>
      </c>
      <c r="J3753" s="117"/>
      <c r="K3753" s="120"/>
      <c r="L3753" s="121"/>
      <c r="M3753" s="120"/>
      <c r="N3753" s="121"/>
      <c r="O3753" s="120"/>
      <c r="P3753" s="121"/>
      <c r="Q3753" s="120"/>
      <c r="R3753" s="121"/>
      <c r="S3753" s="120"/>
      <c r="T3753" s="121"/>
      <c r="U3753" s="120"/>
      <c r="V3753" s="123"/>
      <c r="W3753" s="125"/>
      <c r="X3753" s="142" t="s">
        <v>12390</v>
      </c>
      <c r="Y3753" s="143"/>
      <c r="Z3753" s="143"/>
      <c r="AA3753" s="143"/>
      <c r="AB3753" s="144"/>
      <c r="AC3753" s="16" t="s">
        <v>21</v>
      </c>
      <c r="AD3753" s="17" t="s">
        <v>2248</v>
      </c>
      <c r="AE3753" s="145" t="s">
        <v>12126</v>
      </c>
      <c r="AF3753" s="146"/>
      <c r="AG3753" s="146"/>
      <c r="AH3753" s="146"/>
      <c r="AI3753" s="147"/>
      <c r="AJ3753" s="148"/>
      <c r="AK3753" s="143"/>
      <c r="AL3753" s="144"/>
      <c r="AM3753" s="22"/>
      <c r="AN3753" s="149" t="s">
        <v>6748</v>
      </c>
      <c r="AO3753" s="144"/>
      <c r="AP3753" s="148">
        <v>60045</v>
      </c>
      <c r="AQ3753" s="144"/>
      <c r="AR3753" s="120"/>
      <c r="AS3753" s="121"/>
      <c r="AT3753" s="120"/>
      <c r="AU3753" s="121"/>
      <c r="AV3753" s="120"/>
      <c r="AW3753" s="121"/>
      <c r="AX3753" s="120"/>
      <c r="AY3753" s="121"/>
      <c r="AZ3753" s="138"/>
    </row>
    <row r="3754" spans="1:52" ht="17.100000000000001" customHeight="1" thickTop="1">
      <c r="A3754" s="109" t="s">
        <v>11655</v>
      </c>
      <c r="B3754" s="28">
        <v>45986</v>
      </c>
      <c r="C3754" s="25">
        <v>1919</v>
      </c>
      <c r="D3754" s="13" t="s">
        <v>1027</v>
      </c>
      <c r="E3754" s="111"/>
      <c r="F3754" s="113" t="s">
        <v>11591</v>
      </c>
      <c r="G3754" s="114"/>
      <c r="H3754" s="115"/>
      <c r="I3754" s="24"/>
      <c r="J3754" s="116">
        <v>3.5</v>
      </c>
      <c r="K3754" s="118">
        <v>393000</v>
      </c>
      <c r="L3754" s="119"/>
      <c r="M3754" s="118">
        <f t="shared" ref="M3754" si="3493">K3754*0.1</f>
        <v>39300</v>
      </c>
      <c r="N3754" s="119"/>
      <c r="O3754" s="118">
        <v>0</v>
      </c>
      <c r="P3754" s="119"/>
      <c r="Q3754" s="118">
        <v>9790</v>
      </c>
      <c r="R3754" s="119"/>
      <c r="S3754" s="118">
        <v>15950</v>
      </c>
      <c r="T3754" s="119"/>
      <c r="U3754" s="118">
        <f t="shared" ref="U3754" si="3494">SUM(K3754:T3755)</f>
        <v>458040</v>
      </c>
      <c r="V3754" s="122"/>
      <c r="W3754" s="124"/>
      <c r="X3754" s="126" t="s">
        <v>12389</v>
      </c>
      <c r="Y3754" s="127"/>
      <c r="Z3754" s="127"/>
      <c r="AA3754" s="127"/>
      <c r="AB3754" s="128"/>
      <c r="AC3754" s="15" t="s">
        <v>20</v>
      </c>
      <c r="AD3754" s="129"/>
      <c r="AE3754" s="130"/>
      <c r="AF3754" s="130"/>
      <c r="AG3754" s="130"/>
      <c r="AH3754" s="130"/>
      <c r="AI3754" s="131"/>
      <c r="AJ3754" s="132"/>
      <c r="AK3754" s="127"/>
      <c r="AL3754" s="128"/>
      <c r="AM3754" s="21"/>
      <c r="AN3754" s="133">
        <v>46004</v>
      </c>
      <c r="AO3754" s="134"/>
      <c r="AP3754" s="135">
        <v>1280</v>
      </c>
      <c r="AQ3754" s="136"/>
      <c r="AR3754" s="118">
        <v>525000</v>
      </c>
      <c r="AS3754" s="119"/>
      <c r="AT3754" s="118">
        <f t="shared" ref="AT3754" si="3495">AR3754*0.1</f>
        <v>52500</v>
      </c>
      <c r="AU3754" s="119"/>
      <c r="AV3754" s="118">
        <v>9790</v>
      </c>
      <c r="AW3754" s="119"/>
      <c r="AX3754" s="118">
        <f t="shared" ref="AX3754" si="3496">SUM(AR3754:AW3754)</f>
        <v>587290</v>
      </c>
      <c r="AY3754" s="119"/>
      <c r="AZ3754" s="137">
        <v>46008</v>
      </c>
    </row>
    <row r="3755" spans="1:52" ht="17.100000000000001" customHeight="1" thickBot="1">
      <c r="A3755" s="110"/>
      <c r="B3755" s="27" t="s">
        <v>2131</v>
      </c>
      <c r="C3755" s="27">
        <v>5418</v>
      </c>
      <c r="D3755" s="14" t="s">
        <v>275</v>
      </c>
      <c r="E3755" s="112"/>
      <c r="F3755" s="139" t="s">
        <v>11592</v>
      </c>
      <c r="G3755" s="140"/>
      <c r="H3755" s="141"/>
      <c r="I3755" s="26">
        <v>52364</v>
      </c>
      <c r="J3755" s="117"/>
      <c r="K3755" s="120"/>
      <c r="L3755" s="121"/>
      <c r="M3755" s="120"/>
      <c r="N3755" s="121"/>
      <c r="O3755" s="120"/>
      <c r="P3755" s="121"/>
      <c r="Q3755" s="120"/>
      <c r="R3755" s="121"/>
      <c r="S3755" s="120"/>
      <c r="T3755" s="121"/>
      <c r="U3755" s="120"/>
      <c r="V3755" s="123"/>
      <c r="W3755" s="125"/>
      <c r="X3755" s="142" t="s">
        <v>5254</v>
      </c>
      <c r="Y3755" s="143"/>
      <c r="Z3755" s="143"/>
      <c r="AA3755" s="143"/>
      <c r="AB3755" s="144"/>
      <c r="AC3755" s="16" t="s">
        <v>21</v>
      </c>
      <c r="AD3755" s="17" t="s">
        <v>2248</v>
      </c>
      <c r="AE3755" s="145"/>
      <c r="AF3755" s="146"/>
      <c r="AG3755" s="146"/>
      <c r="AH3755" s="146"/>
      <c r="AI3755" s="147"/>
      <c r="AJ3755" s="148"/>
      <c r="AK3755" s="143"/>
      <c r="AL3755" s="144"/>
      <c r="AM3755" s="22"/>
      <c r="AN3755" s="149" t="s">
        <v>2511</v>
      </c>
      <c r="AO3755" s="144"/>
      <c r="AP3755" s="148">
        <v>60158</v>
      </c>
      <c r="AQ3755" s="144"/>
      <c r="AR3755" s="120"/>
      <c r="AS3755" s="121"/>
      <c r="AT3755" s="120"/>
      <c r="AU3755" s="121"/>
      <c r="AV3755" s="120"/>
      <c r="AW3755" s="121"/>
      <c r="AX3755" s="120"/>
      <c r="AY3755" s="121"/>
      <c r="AZ3755" s="138"/>
    </row>
    <row r="3756" spans="1:52" ht="17.100000000000001" customHeight="1" thickTop="1">
      <c r="A3756" s="109" t="s">
        <v>11656</v>
      </c>
      <c r="B3756" s="28">
        <v>45986</v>
      </c>
      <c r="C3756" s="25">
        <v>1919</v>
      </c>
      <c r="D3756" s="13" t="s">
        <v>1853</v>
      </c>
      <c r="E3756" s="111"/>
      <c r="F3756" s="113" t="s">
        <v>11627</v>
      </c>
      <c r="G3756" s="114"/>
      <c r="H3756" s="115"/>
      <c r="I3756" s="24"/>
      <c r="J3756" s="116">
        <v>4</v>
      </c>
      <c r="K3756" s="118">
        <v>895000</v>
      </c>
      <c r="L3756" s="119"/>
      <c r="M3756" s="118">
        <f t="shared" ref="M3756" si="3497">K3756*0.1</f>
        <v>89500</v>
      </c>
      <c r="N3756" s="119"/>
      <c r="O3756" s="118">
        <v>0</v>
      </c>
      <c r="P3756" s="119"/>
      <c r="Q3756" s="118">
        <v>7440</v>
      </c>
      <c r="R3756" s="119"/>
      <c r="S3756" s="118">
        <v>15950</v>
      </c>
      <c r="T3756" s="119"/>
      <c r="U3756" s="118">
        <f t="shared" ref="U3756" si="3498">SUM(K3756:T3757)</f>
        <v>1007890</v>
      </c>
      <c r="V3756" s="122"/>
      <c r="W3756" s="124"/>
      <c r="X3756" s="126" t="s">
        <v>12372</v>
      </c>
      <c r="Y3756" s="127"/>
      <c r="Z3756" s="127"/>
      <c r="AA3756" s="127"/>
      <c r="AB3756" s="128"/>
      <c r="AC3756" s="15" t="s">
        <v>20</v>
      </c>
      <c r="AD3756" s="129"/>
      <c r="AE3756" s="130"/>
      <c r="AF3756" s="130"/>
      <c r="AG3756" s="130"/>
      <c r="AH3756" s="130"/>
      <c r="AI3756" s="131"/>
      <c r="AJ3756" s="132"/>
      <c r="AK3756" s="127"/>
      <c r="AL3756" s="128"/>
      <c r="AM3756" s="21"/>
      <c r="AN3756" s="133">
        <v>45990</v>
      </c>
      <c r="AO3756" s="134"/>
      <c r="AP3756" s="135">
        <v>1278</v>
      </c>
      <c r="AQ3756" s="136"/>
      <c r="AR3756" s="118">
        <v>1000000</v>
      </c>
      <c r="AS3756" s="119"/>
      <c r="AT3756" s="118">
        <f t="shared" ref="AT3756" si="3499">AR3756*0.1</f>
        <v>100000</v>
      </c>
      <c r="AU3756" s="119"/>
      <c r="AV3756" s="118">
        <v>7440</v>
      </c>
      <c r="AW3756" s="119"/>
      <c r="AX3756" s="118">
        <f t="shared" ref="AX3756" si="3500">SUM(AR3756:AW3756)</f>
        <v>1107440</v>
      </c>
      <c r="AY3756" s="119"/>
      <c r="AZ3756" s="137">
        <v>46000</v>
      </c>
    </row>
    <row r="3757" spans="1:52" ht="17.100000000000001" customHeight="1" thickBot="1">
      <c r="A3757" s="110"/>
      <c r="B3757" s="27" t="s">
        <v>2131</v>
      </c>
      <c r="C3757" s="27">
        <v>70004</v>
      </c>
      <c r="D3757" s="14" t="s">
        <v>1720</v>
      </c>
      <c r="E3757" s="112"/>
      <c r="F3757" s="139" t="s">
        <v>11628</v>
      </c>
      <c r="G3757" s="140"/>
      <c r="H3757" s="141"/>
      <c r="I3757" s="26">
        <v>47906</v>
      </c>
      <c r="J3757" s="117"/>
      <c r="K3757" s="120"/>
      <c r="L3757" s="121"/>
      <c r="M3757" s="120"/>
      <c r="N3757" s="121"/>
      <c r="O3757" s="120"/>
      <c r="P3757" s="121"/>
      <c r="Q3757" s="120"/>
      <c r="R3757" s="121"/>
      <c r="S3757" s="120"/>
      <c r="T3757" s="121"/>
      <c r="U3757" s="120"/>
      <c r="V3757" s="123"/>
      <c r="W3757" s="125"/>
      <c r="X3757" s="142" t="s">
        <v>5000</v>
      </c>
      <c r="Y3757" s="143"/>
      <c r="Z3757" s="143"/>
      <c r="AA3757" s="143"/>
      <c r="AB3757" s="144"/>
      <c r="AC3757" s="16" t="s">
        <v>21</v>
      </c>
      <c r="AD3757" s="17" t="s">
        <v>2248</v>
      </c>
      <c r="AE3757" s="145" t="s">
        <v>12127</v>
      </c>
      <c r="AF3757" s="146"/>
      <c r="AG3757" s="146"/>
      <c r="AH3757" s="146"/>
      <c r="AI3757" s="147"/>
      <c r="AJ3757" s="148"/>
      <c r="AK3757" s="143"/>
      <c r="AL3757" s="144"/>
      <c r="AM3757" s="22"/>
      <c r="AN3757" s="149" t="s">
        <v>2511</v>
      </c>
      <c r="AO3757" s="144"/>
      <c r="AP3757" s="148">
        <v>41092</v>
      </c>
      <c r="AQ3757" s="144"/>
      <c r="AR3757" s="120"/>
      <c r="AS3757" s="121"/>
      <c r="AT3757" s="120"/>
      <c r="AU3757" s="121"/>
      <c r="AV3757" s="120"/>
      <c r="AW3757" s="121"/>
      <c r="AX3757" s="120"/>
      <c r="AY3757" s="121"/>
      <c r="AZ3757" s="138"/>
    </row>
    <row r="3758" spans="1:52" ht="17.100000000000001" customHeight="1" thickTop="1">
      <c r="A3758" s="109" t="s">
        <v>11657</v>
      </c>
      <c r="B3758" s="28">
        <v>45986</v>
      </c>
      <c r="C3758" s="25">
        <v>797</v>
      </c>
      <c r="D3758" s="13" t="s">
        <v>2001</v>
      </c>
      <c r="E3758" s="111"/>
      <c r="F3758" s="113" t="s">
        <v>4877</v>
      </c>
      <c r="G3758" s="114"/>
      <c r="H3758" s="115"/>
      <c r="I3758" s="24" t="s">
        <v>2861</v>
      </c>
      <c r="J3758" s="116">
        <v>4</v>
      </c>
      <c r="K3758" s="118">
        <v>1265000</v>
      </c>
      <c r="L3758" s="119"/>
      <c r="M3758" s="118">
        <f t="shared" ref="M3758" si="3501">K3758*0.1</f>
        <v>126500</v>
      </c>
      <c r="N3758" s="119"/>
      <c r="O3758" s="118">
        <v>0</v>
      </c>
      <c r="P3758" s="119"/>
      <c r="Q3758" s="118">
        <v>8630</v>
      </c>
      <c r="R3758" s="119"/>
      <c r="S3758" s="118">
        <v>15950</v>
      </c>
      <c r="T3758" s="119"/>
      <c r="U3758" s="118">
        <f t="shared" ref="U3758" si="3502">SUM(K3758:T3759)</f>
        <v>1416080</v>
      </c>
      <c r="V3758" s="122"/>
      <c r="W3758" s="124"/>
      <c r="X3758" s="126" t="s">
        <v>11594</v>
      </c>
      <c r="Y3758" s="127"/>
      <c r="Z3758" s="127"/>
      <c r="AA3758" s="127"/>
      <c r="AB3758" s="128"/>
      <c r="AC3758" s="15" t="s">
        <v>20</v>
      </c>
      <c r="AD3758" s="129" t="s">
        <v>5312</v>
      </c>
      <c r="AE3758" s="130"/>
      <c r="AF3758" s="130"/>
      <c r="AG3758" s="130"/>
      <c r="AH3758" s="130"/>
      <c r="AI3758" s="131"/>
      <c r="AJ3758" s="132"/>
      <c r="AK3758" s="127"/>
      <c r="AL3758" s="128"/>
      <c r="AM3758" s="21"/>
      <c r="AN3758" s="133">
        <v>45997</v>
      </c>
      <c r="AO3758" s="134"/>
      <c r="AP3758" s="135">
        <v>1279</v>
      </c>
      <c r="AQ3758" s="136"/>
      <c r="AR3758" s="118">
        <v>1345000</v>
      </c>
      <c r="AS3758" s="119"/>
      <c r="AT3758" s="118">
        <f t="shared" ref="AT3758" si="3503">AR3758*0.1</f>
        <v>134500</v>
      </c>
      <c r="AU3758" s="119"/>
      <c r="AV3758" s="118">
        <v>8630</v>
      </c>
      <c r="AW3758" s="119"/>
      <c r="AX3758" s="118">
        <f t="shared" ref="AX3758" si="3504">SUM(AR3758:AW3758)</f>
        <v>1488130</v>
      </c>
      <c r="AY3758" s="119"/>
      <c r="AZ3758" s="137">
        <v>46002</v>
      </c>
    </row>
    <row r="3759" spans="1:52" ht="17.100000000000001" customHeight="1" thickBot="1">
      <c r="A3759" s="110"/>
      <c r="B3759" s="27" t="s">
        <v>3367</v>
      </c>
      <c r="C3759" s="27">
        <v>3064</v>
      </c>
      <c r="D3759" s="14" t="s">
        <v>275</v>
      </c>
      <c r="E3759" s="112"/>
      <c r="F3759" s="139" t="s">
        <v>11593</v>
      </c>
      <c r="G3759" s="140"/>
      <c r="H3759" s="141"/>
      <c r="I3759" s="26">
        <v>18126</v>
      </c>
      <c r="J3759" s="117"/>
      <c r="K3759" s="120"/>
      <c r="L3759" s="121"/>
      <c r="M3759" s="120"/>
      <c r="N3759" s="121"/>
      <c r="O3759" s="120"/>
      <c r="P3759" s="121"/>
      <c r="Q3759" s="120"/>
      <c r="R3759" s="121"/>
      <c r="S3759" s="120"/>
      <c r="T3759" s="121"/>
      <c r="U3759" s="120"/>
      <c r="V3759" s="123"/>
      <c r="W3759" s="125"/>
      <c r="X3759" s="142" t="s">
        <v>7445</v>
      </c>
      <c r="Y3759" s="143"/>
      <c r="Z3759" s="143"/>
      <c r="AA3759" s="143"/>
      <c r="AB3759" s="144"/>
      <c r="AC3759" s="16" t="s">
        <v>21</v>
      </c>
      <c r="AD3759" s="17" t="s">
        <v>2248</v>
      </c>
      <c r="AE3759" s="145" t="s">
        <v>1609</v>
      </c>
      <c r="AF3759" s="146"/>
      <c r="AG3759" s="146"/>
      <c r="AH3759" s="146"/>
      <c r="AI3759" s="147"/>
      <c r="AJ3759" s="148"/>
      <c r="AK3759" s="143"/>
      <c r="AL3759" s="144"/>
      <c r="AM3759" s="22"/>
      <c r="AN3759" s="149" t="s">
        <v>2511</v>
      </c>
      <c r="AO3759" s="144"/>
      <c r="AP3759" s="148">
        <v>60097</v>
      </c>
      <c r="AQ3759" s="144"/>
      <c r="AR3759" s="120"/>
      <c r="AS3759" s="121"/>
      <c r="AT3759" s="120"/>
      <c r="AU3759" s="121"/>
      <c r="AV3759" s="120"/>
      <c r="AW3759" s="121"/>
      <c r="AX3759" s="120"/>
      <c r="AY3759" s="121"/>
      <c r="AZ3759" s="138"/>
    </row>
    <row r="3760" spans="1:52" ht="17.100000000000001" customHeight="1" thickTop="1">
      <c r="A3760" s="109" t="s">
        <v>11658</v>
      </c>
      <c r="B3760" s="28">
        <v>45986</v>
      </c>
      <c r="C3760" s="25">
        <v>797</v>
      </c>
      <c r="D3760" s="13" t="s">
        <v>3381</v>
      </c>
      <c r="E3760" s="111"/>
      <c r="F3760" s="113" t="s">
        <v>11595</v>
      </c>
      <c r="G3760" s="114"/>
      <c r="H3760" s="115"/>
      <c r="I3760" s="24" t="s">
        <v>3399</v>
      </c>
      <c r="J3760" s="116">
        <v>4.5</v>
      </c>
      <c r="K3760" s="118">
        <v>706000</v>
      </c>
      <c r="L3760" s="119"/>
      <c r="M3760" s="118">
        <f t="shared" ref="M3760" si="3505">K3760*0.1</f>
        <v>70600</v>
      </c>
      <c r="N3760" s="119"/>
      <c r="O3760" s="118">
        <v>0</v>
      </c>
      <c r="P3760" s="119"/>
      <c r="Q3760" s="118">
        <v>8400</v>
      </c>
      <c r="R3760" s="119"/>
      <c r="S3760" s="118">
        <v>15950</v>
      </c>
      <c r="T3760" s="119"/>
      <c r="U3760" s="118">
        <f t="shared" ref="U3760" si="3506">SUM(K3760:T3761)</f>
        <v>800950</v>
      </c>
      <c r="V3760" s="122"/>
      <c r="W3760" s="124"/>
      <c r="X3760" s="126" t="s">
        <v>11597</v>
      </c>
      <c r="Y3760" s="127"/>
      <c r="Z3760" s="127"/>
      <c r="AA3760" s="127"/>
      <c r="AB3760" s="128"/>
      <c r="AC3760" s="15" t="s">
        <v>20</v>
      </c>
      <c r="AD3760" s="129" t="s">
        <v>171</v>
      </c>
      <c r="AE3760" s="130"/>
      <c r="AF3760" s="130"/>
      <c r="AG3760" s="130"/>
      <c r="AH3760" s="130"/>
      <c r="AI3760" s="131"/>
      <c r="AJ3760" s="132"/>
      <c r="AK3760" s="127"/>
      <c r="AL3760" s="128"/>
      <c r="AM3760" s="21"/>
      <c r="AN3760" s="133">
        <v>46050</v>
      </c>
      <c r="AO3760" s="134"/>
      <c r="AP3760" s="135">
        <v>1002</v>
      </c>
      <c r="AQ3760" s="136"/>
      <c r="AR3760" s="118">
        <v>775000</v>
      </c>
      <c r="AS3760" s="119"/>
      <c r="AT3760" s="118">
        <f t="shared" ref="AT3760" si="3507">AR3760*0.1</f>
        <v>77500</v>
      </c>
      <c r="AU3760" s="119"/>
      <c r="AV3760" s="118">
        <v>8400</v>
      </c>
      <c r="AW3760" s="119"/>
      <c r="AX3760" s="118">
        <f t="shared" ref="AX3760" si="3508">SUM(AR3760:AW3760)</f>
        <v>860900</v>
      </c>
      <c r="AY3760" s="119"/>
      <c r="AZ3760" s="137">
        <v>46055</v>
      </c>
    </row>
    <row r="3761" spans="1:52" ht="17.100000000000001" customHeight="1" thickBot="1">
      <c r="A3761" s="110"/>
      <c r="B3761" s="27" t="s">
        <v>3367</v>
      </c>
      <c r="C3761" s="27">
        <v>3085</v>
      </c>
      <c r="D3761" s="14" t="s">
        <v>2800</v>
      </c>
      <c r="E3761" s="112"/>
      <c r="F3761" s="139" t="s">
        <v>11596</v>
      </c>
      <c r="G3761" s="140"/>
      <c r="H3761" s="141"/>
      <c r="I3761" s="26">
        <v>51971</v>
      </c>
      <c r="J3761" s="117"/>
      <c r="K3761" s="120"/>
      <c r="L3761" s="121"/>
      <c r="M3761" s="120"/>
      <c r="N3761" s="121"/>
      <c r="O3761" s="120"/>
      <c r="P3761" s="121"/>
      <c r="Q3761" s="120"/>
      <c r="R3761" s="121"/>
      <c r="S3761" s="120"/>
      <c r="T3761" s="121"/>
      <c r="U3761" s="120"/>
      <c r="V3761" s="123"/>
      <c r="W3761" s="125"/>
      <c r="X3761" s="142" t="s">
        <v>12400</v>
      </c>
      <c r="Y3761" s="143"/>
      <c r="Z3761" s="143"/>
      <c r="AA3761" s="143"/>
      <c r="AB3761" s="144"/>
      <c r="AC3761" s="16" t="s">
        <v>21</v>
      </c>
      <c r="AD3761" s="17" t="s">
        <v>2248</v>
      </c>
      <c r="AE3761" s="145" t="s">
        <v>171</v>
      </c>
      <c r="AF3761" s="146"/>
      <c r="AG3761" s="146"/>
      <c r="AH3761" s="146"/>
      <c r="AI3761" s="147"/>
      <c r="AJ3761" s="148"/>
      <c r="AK3761" s="143"/>
      <c r="AL3761" s="144"/>
      <c r="AM3761" s="22"/>
      <c r="AN3761" s="149" t="s">
        <v>2794</v>
      </c>
      <c r="AO3761" s="144"/>
      <c r="AP3761" s="148">
        <v>2034</v>
      </c>
      <c r="AQ3761" s="144"/>
      <c r="AR3761" s="120"/>
      <c r="AS3761" s="121"/>
      <c r="AT3761" s="120"/>
      <c r="AU3761" s="121"/>
      <c r="AV3761" s="120"/>
      <c r="AW3761" s="121"/>
      <c r="AX3761" s="120"/>
      <c r="AY3761" s="121"/>
      <c r="AZ3761" s="138"/>
    </row>
    <row r="3762" spans="1:52" ht="17.100000000000001" customHeight="1" thickTop="1">
      <c r="A3762" s="109" t="s">
        <v>11659</v>
      </c>
      <c r="B3762" s="28">
        <v>45986</v>
      </c>
      <c r="C3762" s="25">
        <v>797</v>
      </c>
      <c r="D3762" s="13" t="s">
        <v>1725</v>
      </c>
      <c r="E3762" s="111"/>
      <c r="F3762" s="113" t="s">
        <v>1871</v>
      </c>
      <c r="G3762" s="114"/>
      <c r="H3762" s="115"/>
      <c r="I3762" s="24"/>
      <c r="J3762" s="116">
        <v>3.5</v>
      </c>
      <c r="K3762" s="118">
        <v>1481000</v>
      </c>
      <c r="L3762" s="119"/>
      <c r="M3762" s="118">
        <f t="shared" ref="M3762" si="3509">K3762*0.1</f>
        <v>148100</v>
      </c>
      <c r="N3762" s="119"/>
      <c r="O3762" s="118">
        <v>0</v>
      </c>
      <c r="P3762" s="119"/>
      <c r="Q3762" s="118">
        <v>17600</v>
      </c>
      <c r="R3762" s="119"/>
      <c r="S3762" s="118">
        <v>15950</v>
      </c>
      <c r="T3762" s="119"/>
      <c r="U3762" s="118">
        <f t="shared" ref="U3762" si="3510">SUM(K3762:T3763)</f>
        <v>1662650</v>
      </c>
      <c r="V3762" s="122"/>
      <c r="W3762" s="124"/>
      <c r="X3762" s="126" t="s">
        <v>12358</v>
      </c>
      <c r="Y3762" s="127"/>
      <c r="Z3762" s="127"/>
      <c r="AA3762" s="127"/>
      <c r="AB3762" s="128"/>
      <c r="AC3762" s="15" t="s">
        <v>20</v>
      </c>
      <c r="AD3762" s="129"/>
      <c r="AE3762" s="130"/>
      <c r="AF3762" s="130"/>
      <c r="AG3762" s="130"/>
      <c r="AH3762" s="130"/>
      <c r="AI3762" s="131"/>
      <c r="AJ3762" s="132"/>
      <c r="AK3762" s="127"/>
      <c r="AL3762" s="128"/>
      <c r="AM3762" s="21"/>
      <c r="AN3762" s="133">
        <v>46004</v>
      </c>
      <c r="AO3762" s="134"/>
      <c r="AP3762" s="135">
        <v>1280</v>
      </c>
      <c r="AQ3762" s="136"/>
      <c r="AR3762" s="118">
        <v>1710000</v>
      </c>
      <c r="AS3762" s="119"/>
      <c r="AT3762" s="118">
        <f t="shared" ref="AT3762" si="3511">AR3762*0.1</f>
        <v>171000</v>
      </c>
      <c r="AU3762" s="119"/>
      <c r="AV3762" s="118">
        <v>17600</v>
      </c>
      <c r="AW3762" s="119"/>
      <c r="AX3762" s="118">
        <f t="shared" ref="AX3762" si="3512">SUM(AR3762:AW3762)</f>
        <v>1898600</v>
      </c>
      <c r="AY3762" s="119"/>
      <c r="AZ3762" s="137">
        <v>46007</v>
      </c>
    </row>
    <row r="3763" spans="1:52" ht="17.100000000000001" customHeight="1" thickBot="1">
      <c r="A3763" s="110"/>
      <c r="B3763" s="27" t="s">
        <v>3367</v>
      </c>
      <c r="C3763" s="27">
        <v>5006</v>
      </c>
      <c r="D3763" s="14" t="s">
        <v>2206</v>
      </c>
      <c r="E3763" s="112"/>
      <c r="F3763" s="139" t="s">
        <v>11625</v>
      </c>
      <c r="G3763" s="140"/>
      <c r="H3763" s="141"/>
      <c r="I3763" s="26">
        <v>26983</v>
      </c>
      <c r="J3763" s="117"/>
      <c r="K3763" s="120"/>
      <c r="L3763" s="121"/>
      <c r="M3763" s="120"/>
      <c r="N3763" s="121"/>
      <c r="O3763" s="120"/>
      <c r="P3763" s="121"/>
      <c r="Q3763" s="120"/>
      <c r="R3763" s="121"/>
      <c r="S3763" s="120"/>
      <c r="T3763" s="121"/>
      <c r="U3763" s="120"/>
      <c r="V3763" s="123"/>
      <c r="W3763" s="125"/>
      <c r="X3763" s="142" t="s">
        <v>12359</v>
      </c>
      <c r="Y3763" s="143"/>
      <c r="Z3763" s="143"/>
      <c r="AA3763" s="143"/>
      <c r="AB3763" s="144"/>
      <c r="AC3763" s="16" t="s">
        <v>21</v>
      </c>
      <c r="AD3763" s="17" t="s">
        <v>2248</v>
      </c>
      <c r="AE3763" s="145" t="s">
        <v>2195</v>
      </c>
      <c r="AF3763" s="146"/>
      <c r="AG3763" s="146"/>
      <c r="AH3763" s="146"/>
      <c r="AI3763" s="147"/>
      <c r="AJ3763" s="148"/>
      <c r="AK3763" s="143"/>
      <c r="AL3763" s="144"/>
      <c r="AM3763" s="22"/>
      <c r="AN3763" s="149" t="s">
        <v>2511</v>
      </c>
      <c r="AO3763" s="144"/>
      <c r="AP3763" s="148">
        <v>80176</v>
      </c>
      <c r="AQ3763" s="144"/>
      <c r="AR3763" s="120"/>
      <c r="AS3763" s="121"/>
      <c r="AT3763" s="120"/>
      <c r="AU3763" s="121"/>
      <c r="AV3763" s="120"/>
      <c r="AW3763" s="121"/>
      <c r="AX3763" s="120"/>
      <c r="AY3763" s="121"/>
      <c r="AZ3763" s="138"/>
    </row>
    <row r="3764" spans="1:52" ht="17.100000000000001" customHeight="1" thickTop="1">
      <c r="A3764" s="109" t="s">
        <v>11660</v>
      </c>
      <c r="B3764" s="28">
        <v>45986</v>
      </c>
      <c r="C3764" s="25">
        <v>917</v>
      </c>
      <c r="D3764" s="13" t="s">
        <v>2187</v>
      </c>
      <c r="E3764" s="111"/>
      <c r="F3764" s="113" t="s">
        <v>11598</v>
      </c>
      <c r="G3764" s="114"/>
      <c r="H3764" s="115"/>
      <c r="I3764" s="24"/>
      <c r="J3764" s="116">
        <v>4.5</v>
      </c>
      <c r="K3764" s="118">
        <v>878000</v>
      </c>
      <c r="L3764" s="119"/>
      <c r="M3764" s="118">
        <f t="shared" ref="M3764" si="3513">K3764*0.1</f>
        <v>87800</v>
      </c>
      <c r="N3764" s="119"/>
      <c r="O3764" s="118">
        <v>0</v>
      </c>
      <c r="P3764" s="119"/>
      <c r="Q3764" s="118">
        <v>8790</v>
      </c>
      <c r="R3764" s="119"/>
      <c r="S3764" s="118">
        <v>15950</v>
      </c>
      <c r="T3764" s="119"/>
      <c r="U3764" s="118">
        <f t="shared" ref="U3764" si="3514">SUM(K3764:T3765)</f>
        <v>990540</v>
      </c>
      <c r="V3764" s="122"/>
      <c r="W3764" s="124"/>
      <c r="X3764" s="126" t="s">
        <v>12388</v>
      </c>
      <c r="Y3764" s="127"/>
      <c r="Z3764" s="127"/>
      <c r="AA3764" s="127"/>
      <c r="AB3764" s="128"/>
      <c r="AC3764" s="15" t="s">
        <v>20</v>
      </c>
      <c r="AD3764" s="129"/>
      <c r="AE3764" s="130"/>
      <c r="AF3764" s="130"/>
      <c r="AG3764" s="130"/>
      <c r="AH3764" s="130"/>
      <c r="AI3764" s="131"/>
      <c r="AJ3764" s="132"/>
      <c r="AK3764" s="127"/>
      <c r="AL3764" s="128"/>
      <c r="AM3764" s="21"/>
      <c r="AN3764" s="133">
        <v>46008</v>
      </c>
      <c r="AO3764" s="134"/>
      <c r="AP3764" s="135">
        <v>997</v>
      </c>
      <c r="AQ3764" s="136"/>
      <c r="AR3764" s="118">
        <v>975000</v>
      </c>
      <c r="AS3764" s="119"/>
      <c r="AT3764" s="118">
        <f t="shared" ref="AT3764" si="3515">AR3764*0.1</f>
        <v>97500</v>
      </c>
      <c r="AU3764" s="119"/>
      <c r="AV3764" s="118">
        <v>8790</v>
      </c>
      <c r="AW3764" s="119"/>
      <c r="AX3764" s="118">
        <f t="shared" ref="AX3764" si="3516">SUM(AR3764:AW3764)</f>
        <v>1081290</v>
      </c>
      <c r="AY3764" s="119"/>
      <c r="AZ3764" s="137">
        <v>46013</v>
      </c>
    </row>
    <row r="3765" spans="1:52" ht="17.100000000000001" customHeight="1" thickBot="1">
      <c r="A3765" s="110"/>
      <c r="B3765" s="27" t="s">
        <v>2699</v>
      </c>
      <c r="C3765" s="27">
        <v>3080</v>
      </c>
      <c r="D3765" s="14" t="s">
        <v>904</v>
      </c>
      <c r="E3765" s="112"/>
      <c r="F3765" s="139" t="s">
        <v>11599</v>
      </c>
      <c r="G3765" s="140"/>
      <c r="H3765" s="141"/>
      <c r="I3765" s="26">
        <v>39708</v>
      </c>
      <c r="J3765" s="117"/>
      <c r="K3765" s="120"/>
      <c r="L3765" s="121"/>
      <c r="M3765" s="120"/>
      <c r="N3765" s="121"/>
      <c r="O3765" s="120"/>
      <c r="P3765" s="121"/>
      <c r="Q3765" s="120"/>
      <c r="R3765" s="121"/>
      <c r="S3765" s="120"/>
      <c r="T3765" s="121"/>
      <c r="U3765" s="120"/>
      <c r="V3765" s="123"/>
      <c r="W3765" s="125"/>
      <c r="X3765" s="142" t="s">
        <v>10732</v>
      </c>
      <c r="Y3765" s="143"/>
      <c r="Z3765" s="143"/>
      <c r="AA3765" s="143"/>
      <c r="AB3765" s="144"/>
      <c r="AC3765" s="16" t="s">
        <v>21</v>
      </c>
      <c r="AD3765" s="17" t="s">
        <v>2248</v>
      </c>
      <c r="AE3765" s="145"/>
      <c r="AF3765" s="146"/>
      <c r="AG3765" s="146"/>
      <c r="AH3765" s="146"/>
      <c r="AI3765" s="147"/>
      <c r="AJ3765" s="148"/>
      <c r="AK3765" s="143"/>
      <c r="AL3765" s="144"/>
      <c r="AM3765" s="22"/>
      <c r="AN3765" s="149" t="s">
        <v>2794</v>
      </c>
      <c r="AO3765" s="144"/>
      <c r="AP3765" s="148">
        <v>2089</v>
      </c>
      <c r="AQ3765" s="144"/>
      <c r="AR3765" s="120"/>
      <c r="AS3765" s="121"/>
      <c r="AT3765" s="120"/>
      <c r="AU3765" s="121"/>
      <c r="AV3765" s="120"/>
      <c r="AW3765" s="121"/>
      <c r="AX3765" s="120"/>
      <c r="AY3765" s="121"/>
      <c r="AZ3765" s="138"/>
    </row>
    <row r="3766" spans="1:52" ht="17.100000000000001" customHeight="1" thickTop="1">
      <c r="A3766" s="109" t="s">
        <v>11661</v>
      </c>
      <c r="B3766" s="28">
        <v>45986</v>
      </c>
      <c r="C3766" s="25">
        <v>917</v>
      </c>
      <c r="D3766" s="13" t="s">
        <v>1572</v>
      </c>
      <c r="E3766" s="111"/>
      <c r="F3766" s="113" t="s">
        <v>11600</v>
      </c>
      <c r="G3766" s="114"/>
      <c r="H3766" s="115"/>
      <c r="I3766" s="24" t="s">
        <v>4390</v>
      </c>
      <c r="J3766" s="116">
        <v>4</v>
      </c>
      <c r="K3766" s="118">
        <v>956000</v>
      </c>
      <c r="L3766" s="119"/>
      <c r="M3766" s="118">
        <f t="shared" ref="M3766" si="3517">K3766*0.1</f>
        <v>95600</v>
      </c>
      <c r="N3766" s="119"/>
      <c r="O3766" s="118">
        <v>0</v>
      </c>
      <c r="P3766" s="119"/>
      <c r="Q3766" s="118">
        <v>9010</v>
      </c>
      <c r="R3766" s="119"/>
      <c r="S3766" s="118">
        <v>15950</v>
      </c>
      <c r="T3766" s="119"/>
      <c r="U3766" s="118">
        <f t="shared" ref="U3766" si="3518">SUM(K3766:T3767)</f>
        <v>1076560</v>
      </c>
      <c r="V3766" s="122"/>
      <c r="W3766" s="124"/>
      <c r="X3766" s="126" t="s">
        <v>11602</v>
      </c>
      <c r="Y3766" s="127"/>
      <c r="Z3766" s="127"/>
      <c r="AA3766" s="127"/>
      <c r="AB3766" s="128"/>
      <c r="AC3766" s="15" t="s">
        <v>20</v>
      </c>
      <c r="AD3766" s="129"/>
      <c r="AE3766" s="130"/>
      <c r="AF3766" s="130"/>
      <c r="AG3766" s="130"/>
      <c r="AH3766" s="130"/>
      <c r="AI3766" s="131"/>
      <c r="AJ3766" s="132"/>
      <c r="AK3766" s="127"/>
      <c r="AL3766" s="128"/>
      <c r="AM3766" s="21"/>
      <c r="AN3766" s="133">
        <v>45990</v>
      </c>
      <c r="AO3766" s="134"/>
      <c r="AP3766" s="135">
        <v>1278</v>
      </c>
      <c r="AQ3766" s="136"/>
      <c r="AR3766" s="118">
        <v>1200000</v>
      </c>
      <c r="AS3766" s="119"/>
      <c r="AT3766" s="118">
        <f t="shared" ref="AT3766" si="3519">AR3766*0.1</f>
        <v>120000</v>
      </c>
      <c r="AU3766" s="119"/>
      <c r="AV3766" s="118">
        <v>9010</v>
      </c>
      <c r="AW3766" s="119"/>
      <c r="AX3766" s="118">
        <f t="shared" ref="AX3766" si="3520">SUM(AR3766:AW3766)</f>
        <v>1329010</v>
      </c>
      <c r="AY3766" s="119"/>
      <c r="AZ3766" s="137">
        <v>46000</v>
      </c>
    </row>
    <row r="3767" spans="1:52" ht="17.100000000000001" customHeight="1" thickBot="1">
      <c r="A3767" s="110"/>
      <c r="B3767" s="27" t="s">
        <v>2699</v>
      </c>
      <c r="C3767" s="27">
        <v>3117</v>
      </c>
      <c r="D3767" s="14" t="s">
        <v>1635</v>
      </c>
      <c r="E3767" s="112"/>
      <c r="F3767" s="139" t="s">
        <v>11601</v>
      </c>
      <c r="G3767" s="140"/>
      <c r="H3767" s="141"/>
      <c r="I3767" s="26">
        <v>64773</v>
      </c>
      <c r="J3767" s="117"/>
      <c r="K3767" s="120"/>
      <c r="L3767" s="121"/>
      <c r="M3767" s="120"/>
      <c r="N3767" s="121"/>
      <c r="O3767" s="120"/>
      <c r="P3767" s="121"/>
      <c r="Q3767" s="120"/>
      <c r="R3767" s="121"/>
      <c r="S3767" s="120"/>
      <c r="T3767" s="121"/>
      <c r="U3767" s="120"/>
      <c r="V3767" s="123"/>
      <c r="W3767" s="125"/>
      <c r="X3767" s="142" t="s">
        <v>12379</v>
      </c>
      <c r="Y3767" s="143"/>
      <c r="Z3767" s="143"/>
      <c r="AA3767" s="143"/>
      <c r="AB3767" s="144"/>
      <c r="AC3767" s="16" t="s">
        <v>21</v>
      </c>
      <c r="AD3767" s="17" t="s">
        <v>2248</v>
      </c>
      <c r="AE3767" s="145"/>
      <c r="AF3767" s="146"/>
      <c r="AG3767" s="146"/>
      <c r="AH3767" s="146"/>
      <c r="AI3767" s="147"/>
      <c r="AJ3767" s="148"/>
      <c r="AK3767" s="143"/>
      <c r="AL3767" s="144"/>
      <c r="AM3767" s="22"/>
      <c r="AN3767" s="149" t="s">
        <v>6749</v>
      </c>
      <c r="AO3767" s="144"/>
      <c r="AP3767" s="148">
        <v>60502</v>
      </c>
      <c r="AQ3767" s="144"/>
      <c r="AR3767" s="120"/>
      <c r="AS3767" s="121"/>
      <c r="AT3767" s="120"/>
      <c r="AU3767" s="121"/>
      <c r="AV3767" s="120"/>
      <c r="AW3767" s="121"/>
      <c r="AX3767" s="120"/>
      <c r="AY3767" s="121"/>
      <c r="AZ3767" s="138"/>
    </row>
    <row r="3768" spans="1:52" ht="17.100000000000001" customHeight="1" thickTop="1">
      <c r="A3768" s="109" t="s">
        <v>11662</v>
      </c>
      <c r="B3768" s="28">
        <v>45986</v>
      </c>
      <c r="C3768" s="25">
        <v>917</v>
      </c>
      <c r="D3768" s="13" t="s">
        <v>3530</v>
      </c>
      <c r="E3768" s="111"/>
      <c r="F3768" s="113" t="s">
        <v>11603</v>
      </c>
      <c r="G3768" s="114"/>
      <c r="H3768" s="115"/>
      <c r="I3768" s="24" t="s">
        <v>2943</v>
      </c>
      <c r="J3768" s="116">
        <v>4</v>
      </c>
      <c r="K3768" s="118">
        <v>633000</v>
      </c>
      <c r="L3768" s="119"/>
      <c r="M3768" s="118">
        <f t="shared" ref="M3768" si="3521">K3768*0.1</f>
        <v>63300</v>
      </c>
      <c r="N3768" s="119"/>
      <c r="O3768" s="118">
        <v>0</v>
      </c>
      <c r="P3768" s="119"/>
      <c r="Q3768" s="118">
        <v>7510</v>
      </c>
      <c r="R3768" s="119"/>
      <c r="S3768" s="118">
        <v>15950</v>
      </c>
      <c r="T3768" s="119"/>
      <c r="U3768" s="118">
        <f t="shared" ref="U3768" si="3522">SUM(K3768:T3769)</f>
        <v>719760</v>
      </c>
      <c r="V3768" s="122"/>
      <c r="W3768" s="124"/>
      <c r="X3768" s="126" t="s">
        <v>11605</v>
      </c>
      <c r="Y3768" s="127"/>
      <c r="Z3768" s="127"/>
      <c r="AA3768" s="127"/>
      <c r="AB3768" s="128"/>
      <c r="AC3768" s="15" t="s">
        <v>20</v>
      </c>
      <c r="AD3768" s="129" t="s">
        <v>3485</v>
      </c>
      <c r="AE3768" s="130"/>
      <c r="AF3768" s="130"/>
      <c r="AG3768" s="130"/>
      <c r="AH3768" s="130"/>
      <c r="AI3768" s="131"/>
      <c r="AJ3768" s="132"/>
      <c r="AK3768" s="127"/>
      <c r="AL3768" s="128"/>
      <c r="AM3768" s="21"/>
      <c r="AN3768" s="133">
        <v>45990</v>
      </c>
      <c r="AO3768" s="134"/>
      <c r="AP3768" s="135">
        <v>1278</v>
      </c>
      <c r="AQ3768" s="136"/>
      <c r="AR3768" s="118">
        <v>700000</v>
      </c>
      <c r="AS3768" s="119"/>
      <c r="AT3768" s="118">
        <f t="shared" ref="AT3768" si="3523">AR3768*0.1</f>
        <v>70000</v>
      </c>
      <c r="AU3768" s="119"/>
      <c r="AV3768" s="118">
        <v>7510</v>
      </c>
      <c r="AW3768" s="119"/>
      <c r="AX3768" s="118">
        <f t="shared" ref="AX3768" si="3524">SUM(AR3768:AW3768)</f>
        <v>777510</v>
      </c>
      <c r="AY3768" s="119"/>
      <c r="AZ3768" s="137">
        <v>46000</v>
      </c>
    </row>
    <row r="3769" spans="1:52" ht="17.100000000000001" customHeight="1" thickBot="1">
      <c r="A3769" s="110"/>
      <c r="B3769" s="27" t="s">
        <v>2699</v>
      </c>
      <c r="C3769" s="27">
        <v>3152</v>
      </c>
      <c r="D3769" s="14" t="s">
        <v>1592</v>
      </c>
      <c r="E3769" s="112"/>
      <c r="F3769" s="139" t="s">
        <v>11604</v>
      </c>
      <c r="G3769" s="140"/>
      <c r="H3769" s="141"/>
      <c r="I3769" s="26">
        <v>71364</v>
      </c>
      <c r="J3769" s="117"/>
      <c r="K3769" s="120"/>
      <c r="L3769" s="121"/>
      <c r="M3769" s="120"/>
      <c r="N3769" s="121"/>
      <c r="O3769" s="120"/>
      <c r="P3769" s="121"/>
      <c r="Q3769" s="120"/>
      <c r="R3769" s="121"/>
      <c r="S3769" s="120"/>
      <c r="T3769" s="121"/>
      <c r="U3769" s="120"/>
      <c r="V3769" s="123"/>
      <c r="W3769" s="125"/>
      <c r="X3769" s="142" t="s">
        <v>12374</v>
      </c>
      <c r="Y3769" s="143"/>
      <c r="Z3769" s="143"/>
      <c r="AA3769" s="143"/>
      <c r="AB3769" s="144"/>
      <c r="AC3769" s="16" t="s">
        <v>21</v>
      </c>
      <c r="AD3769" s="17" t="s">
        <v>2248</v>
      </c>
      <c r="AE3769" s="145" t="s">
        <v>12124</v>
      </c>
      <c r="AF3769" s="146"/>
      <c r="AG3769" s="146"/>
      <c r="AH3769" s="146"/>
      <c r="AI3769" s="147"/>
      <c r="AJ3769" s="148"/>
      <c r="AK3769" s="143"/>
      <c r="AL3769" s="144"/>
      <c r="AM3769" s="22"/>
      <c r="AN3769" s="149" t="s">
        <v>2511</v>
      </c>
      <c r="AO3769" s="144"/>
      <c r="AP3769" s="148">
        <v>60500</v>
      </c>
      <c r="AQ3769" s="144"/>
      <c r="AR3769" s="120"/>
      <c r="AS3769" s="121"/>
      <c r="AT3769" s="120"/>
      <c r="AU3769" s="121"/>
      <c r="AV3769" s="120"/>
      <c r="AW3769" s="121"/>
      <c r="AX3769" s="120"/>
      <c r="AY3769" s="121"/>
      <c r="AZ3769" s="138"/>
    </row>
    <row r="3770" spans="1:52" ht="17.100000000000001" customHeight="1" thickTop="1">
      <c r="A3770" s="109" t="s">
        <v>11663</v>
      </c>
      <c r="B3770" s="28">
        <v>45986</v>
      </c>
      <c r="C3770" s="25">
        <v>917</v>
      </c>
      <c r="D3770" s="13" t="s">
        <v>2654</v>
      </c>
      <c r="E3770" s="111"/>
      <c r="F3770" s="113" t="s">
        <v>11610</v>
      </c>
      <c r="G3770" s="114"/>
      <c r="H3770" s="115"/>
      <c r="I3770" s="24"/>
      <c r="J3770" s="116">
        <v>4.5</v>
      </c>
      <c r="K3770" s="118">
        <v>1605000</v>
      </c>
      <c r="L3770" s="119"/>
      <c r="M3770" s="118">
        <f t="shared" ref="M3770" si="3525">K3770*0.1</f>
        <v>160500</v>
      </c>
      <c r="N3770" s="119"/>
      <c r="O3770" s="118">
        <v>0</v>
      </c>
      <c r="P3770" s="119"/>
      <c r="Q3770" s="118">
        <v>20410</v>
      </c>
      <c r="R3770" s="119"/>
      <c r="S3770" s="118">
        <v>15950</v>
      </c>
      <c r="T3770" s="119"/>
      <c r="U3770" s="118">
        <f t="shared" ref="U3770" si="3526">SUM(K3770:T3771)</f>
        <v>1801860</v>
      </c>
      <c r="V3770" s="122"/>
      <c r="W3770" s="124"/>
      <c r="X3770" s="126" t="s">
        <v>12375</v>
      </c>
      <c r="Y3770" s="127"/>
      <c r="Z3770" s="127"/>
      <c r="AA3770" s="127"/>
      <c r="AB3770" s="128"/>
      <c r="AC3770" s="15" t="s">
        <v>20</v>
      </c>
      <c r="AD3770" s="129"/>
      <c r="AE3770" s="130"/>
      <c r="AF3770" s="130"/>
      <c r="AG3770" s="130"/>
      <c r="AH3770" s="130"/>
      <c r="AI3770" s="131"/>
      <c r="AJ3770" s="132"/>
      <c r="AK3770" s="127"/>
      <c r="AL3770" s="128"/>
      <c r="AM3770" s="21"/>
      <c r="AN3770" s="133">
        <v>45990</v>
      </c>
      <c r="AO3770" s="134"/>
      <c r="AP3770" s="135">
        <v>1278</v>
      </c>
      <c r="AQ3770" s="136"/>
      <c r="AR3770" s="118">
        <v>1810000</v>
      </c>
      <c r="AS3770" s="119"/>
      <c r="AT3770" s="118">
        <f t="shared" ref="AT3770" si="3527">AR3770*0.1</f>
        <v>181000</v>
      </c>
      <c r="AU3770" s="119"/>
      <c r="AV3770" s="118">
        <v>20410</v>
      </c>
      <c r="AW3770" s="119"/>
      <c r="AX3770" s="118">
        <f t="shared" ref="AX3770" si="3528">SUM(AR3770:AW3770)</f>
        <v>2011410</v>
      </c>
      <c r="AY3770" s="119"/>
      <c r="AZ3770" s="137">
        <v>46000</v>
      </c>
    </row>
    <row r="3771" spans="1:52" ht="17.100000000000001" customHeight="1" thickBot="1">
      <c r="A3771" s="110"/>
      <c r="B3771" s="27" t="s">
        <v>2699</v>
      </c>
      <c r="C3771" s="27">
        <v>5001</v>
      </c>
      <c r="D3771" s="14" t="s">
        <v>1592</v>
      </c>
      <c r="E3771" s="112"/>
      <c r="F3771" s="139" t="s">
        <v>11611</v>
      </c>
      <c r="G3771" s="140"/>
      <c r="H3771" s="141"/>
      <c r="I3771" s="26">
        <v>48528</v>
      </c>
      <c r="J3771" s="117"/>
      <c r="K3771" s="120"/>
      <c r="L3771" s="121"/>
      <c r="M3771" s="120"/>
      <c r="N3771" s="121"/>
      <c r="O3771" s="120"/>
      <c r="P3771" s="121"/>
      <c r="Q3771" s="120"/>
      <c r="R3771" s="121"/>
      <c r="S3771" s="120"/>
      <c r="T3771" s="121"/>
      <c r="U3771" s="120"/>
      <c r="V3771" s="123"/>
      <c r="W3771" s="125"/>
      <c r="X3771" s="142" t="s">
        <v>4633</v>
      </c>
      <c r="Y3771" s="143"/>
      <c r="Z3771" s="143"/>
      <c r="AA3771" s="143"/>
      <c r="AB3771" s="144"/>
      <c r="AC3771" s="16" t="s">
        <v>21</v>
      </c>
      <c r="AD3771" s="17" t="s">
        <v>2248</v>
      </c>
      <c r="AE3771" s="145" t="s">
        <v>7859</v>
      </c>
      <c r="AF3771" s="146"/>
      <c r="AG3771" s="146"/>
      <c r="AH3771" s="146"/>
      <c r="AI3771" s="147"/>
      <c r="AJ3771" s="148"/>
      <c r="AK3771" s="143"/>
      <c r="AL3771" s="144"/>
      <c r="AM3771" s="22"/>
      <c r="AN3771" s="149" t="s">
        <v>2511</v>
      </c>
      <c r="AO3771" s="144"/>
      <c r="AP3771" s="148">
        <v>80429</v>
      </c>
      <c r="AQ3771" s="144"/>
      <c r="AR3771" s="120"/>
      <c r="AS3771" s="121"/>
      <c r="AT3771" s="120"/>
      <c r="AU3771" s="121"/>
      <c r="AV3771" s="120"/>
      <c r="AW3771" s="121"/>
      <c r="AX3771" s="120"/>
      <c r="AY3771" s="121"/>
      <c r="AZ3771" s="138"/>
    </row>
    <row r="3772" spans="1:52" ht="17.100000000000001" customHeight="1" thickTop="1">
      <c r="A3772" s="151" t="s">
        <v>11664</v>
      </c>
      <c r="B3772" s="28">
        <v>45986</v>
      </c>
      <c r="C3772" s="25">
        <v>1218</v>
      </c>
      <c r="D3772" s="13" t="s">
        <v>1714</v>
      </c>
      <c r="E3772" s="111"/>
      <c r="F3772" s="113" t="s">
        <v>11639</v>
      </c>
      <c r="G3772" s="114"/>
      <c r="H3772" s="115"/>
      <c r="I3772" s="24"/>
      <c r="J3772" s="116">
        <v>4</v>
      </c>
      <c r="K3772" s="118">
        <v>1030000</v>
      </c>
      <c r="L3772" s="119"/>
      <c r="M3772" s="118">
        <f t="shared" ref="M3772" si="3529">K3772*0.1</f>
        <v>103000</v>
      </c>
      <c r="N3772" s="119"/>
      <c r="O3772" s="118">
        <v>0</v>
      </c>
      <c r="P3772" s="119"/>
      <c r="Q3772" s="118">
        <v>22310</v>
      </c>
      <c r="R3772" s="119"/>
      <c r="S3772" s="118">
        <v>20900</v>
      </c>
      <c r="T3772" s="119"/>
      <c r="U3772" s="118">
        <f t="shared" ref="U3772" si="3530">SUM(K3772:T3773)</f>
        <v>1176210</v>
      </c>
      <c r="V3772" s="122"/>
      <c r="W3772" s="124"/>
      <c r="X3772" s="126" t="s">
        <v>12360</v>
      </c>
      <c r="Y3772" s="127"/>
      <c r="Z3772" s="127"/>
      <c r="AA3772" s="127"/>
      <c r="AB3772" s="128"/>
      <c r="AC3772" s="15" t="s">
        <v>20</v>
      </c>
      <c r="AD3772" s="129"/>
      <c r="AE3772" s="130"/>
      <c r="AF3772" s="130"/>
      <c r="AG3772" s="130"/>
      <c r="AH3772" s="130"/>
      <c r="AI3772" s="131"/>
      <c r="AJ3772" s="132"/>
      <c r="AK3772" s="127"/>
      <c r="AL3772" s="128"/>
      <c r="AM3772" s="21"/>
      <c r="AN3772" s="133">
        <v>46039</v>
      </c>
      <c r="AO3772" s="134"/>
      <c r="AP3772" s="135">
        <v>1284</v>
      </c>
      <c r="AQ3772" s="136"/>
      <c r="AR3772" s="118">
        <v>1230000</v>
      </c>
      <c r="AS3772" s="119"/>
      <c r="AT3772" s="118">
        <f t="shared" ref="AT3772" si="3531">AR3772*0.1</f>
        <v>123000</v>
      </c>
      <c r="AU3772" s="119"/>
      <c r="AV3772" s="118">
        <v>22310</v>
      </c>
      <c r="AW3772" s="119"/>
      <c r="AX3772" s="118">
        <f t="shared" ref="AX3772" si="3532">SUM(AR3772:AW3772)</f>
        <v>1375310</v>
      </c>
      <c r="AY3772" s="119"/>
      <c r="AZ3772" s="137">
        <v>46042</v>
      </c>
    </row>
    <row r="3773" spans="1:52" ht="17.100000000000001" customHeight="1" thickBot="1">
      <c r="A3773" s="152"/>
      <c r="B3773" s="27" t="s">
        <v>2379</v>
      </c>
      <c r="C3773" s="27">
        <v>5049</v>
      </c>
      <c r="D3773" s="14" t="s">
        <v>11638</v>
      </c>
      <c r="E3773" s="112"/>
      <c r="F3773" s="139" t="s">
        <v>11640</v>
      </c>
      <c r="G3773" s="140"/>
      <c r="H3773" s="141"/>
      <c r="I3773" s="26">
        <v>50745</v>
      </c>
      <c r="J3773" s="117"/>
      <c r="K3773" s="120"/>
      <c r="L3773" s="121"/>
      <c r="M3773" s="120"/>
      <c r="N3773" s="121"/>
      <c r="O3773" s="120"/>
      <c r="P3773" s="121"/>
      <c r="Q3773" s="120"/>
      <c r="R3773" s="121"/>
      <c r="S3773" s="120"/>
      <c r="T3773" s="121"/>
      <c r="U3773" s="120"/>
      <c r="V3773" s="123"/>
      <c r="W3773" s="125"/>
      <c r="X3773" s="142" t="s">
        <v>12361</v>
      </c>
      <c r="Y3773" s="143"/>
      <c r="Z3773" s="143"/>
      <c r="AA3773" s="143"/>
      <c r="AB3773" s="144"/>
      <c r="AC3773" s="16" t="s">
        <v>21</v>
      </c>
      <c r="AD3773" s="17" t="s">
        <v>2248</v>
      </c>
      <c r="AE3773" s="145" t="s">
        <v>3624</v>
      </c>
      <c r="AF3773" s="146"/>
      <c r="AG3773" s="146"/>
      <c r="AH3773" s="146"/>
      <c r="AI3773" s="147"/>
      <c r="AJ3773" s="148"/>
      <c r="AK3773" s="143"/>
      <c r="AL3773" s="144"/>
      <c r="AM3773" s="22"/>
      <c r="AN3773" s="149" t="s">
        <v>2511</v>
      </c>
      <c r="AO3773" s="144"/>
      <c r="AP3773" s="148">
        <v>80119</v>
      </c>
      <c r="AQ3773" s="144"/>
      <c r="AR3773" s="120"/>
      <c r="AS3773" s="121"/>
      <c r="AT3773" s="120"/>
      <c r="AU3773" s="121"/>
      <c r="AV3773" s="120"/>
      <c r="AW3773" s="121"/>
      <c r="AX3773" s="120"/>
      <c r="AY3773" s="121"/>
      <c r="AZ3773" s="138"/>
    </row>
    <row r="3774" spans="1:52" ht="17.100000000000001" customHeight="1" thickTop="1">
      <c r="A3774" s="109" t="s">
        <v>11665</v>
      </c>
      <c r="B3774" s="28">
        <v>45986</v>
      </c>
      <c r="C3774" s="25">
        <v>953</v>
      </c>
      <c r="D3774" s="13" t="s">
        <v>1712</v>
      </c>
      <c r="E3774" s="111"/>
      <c r="F3774" s="113" t="s">
        <v>11606</v>
      </c>
      <c r="G3774" s="114"/>
      <c r="H3774" s="115"/>
      <c r="I3774" s="24"/>
      <c r="J3774" s="116">
        <v>4</v>
      </c>
      <c r="K3774" s="118">
        <v>548000</v>
      </c>
      <c r="L3774" s="119"/>
      <c r="M3774" s="118">
        <f t="shared" ref="M3774" si="3533">K3774*0.1</f>
        <v>54800</v>
      </c>
      <c r="N3774" s="119"/>
      <c r="O3774" s="118">
        <v>0</v>
      </c>
      <c r="P3774" s="119"/>
      <c r="Q3774" s="118">
        <v>11930</v>
      </c>
      <c r="R3774" s="119"/>
      <c r="S3774" s="118">
        <v>15950</v>
      </c>
      <c r="T3774" s="119"/>
      <c r="U3774" s="118">
        <f t="shared" ref="U3774" si="3534">SUM(K3774:T3775)</f>
        <v>630680</v>
      </c>
      <c r="V3774" s="122"/>
      <c r="W3774" s="124"/>
      <c r="X3774" s="126" t="s">
        <v>12352</v>
      </c>
      <c r="Y3774" s="127"/>
      <c r="Z3774" s="127"/>
      <c r="AA3774" s="127"/>
      <c r="AB3774" s="128"/>
      <c r="AC3774" s="15" t="s">
        <v>20</v>
      </c>
      <c r="AD3774" s="129"/>
      <c r="AE3774" s="130"/>
      <c r="AF3774" s="130"/>
      <c r="AG3774" s="130"/>
      <c r="AH3774" s="130"/>
      <c r="AI3774" s="131"/>
      <c r="AJ3774" s="132"/>
      <c r="AK3774" s="127"/>
      <c r="AL3774" s="128"/>
      <c r="AM3774" s="21"/>
      <c r="AN3774" s="133">
        <v>45997</v>
      </c>
      <c r="AO3774" s="134"/>
      <c r="AP3774" s="135">
        <v>1279</v>
      </c>
      <c r="AQ3774" s="136"/>
      <c r="AR3774" s="118">
        <v>765000</v>
      </c>
      <c r="AS3774" s="119"/>
      <c r="AT3774" s="118">
        <f t="shared" ref="AT3774" si="3535">AR3774*0.1</f>
        <v>76500</v>
      </c>
      <c r="AU3774" s="119"/>
      <c r="AV3774" s="118">
        <v>11930</v>
      </c>
      <c r="AW3774" s="119"/>
      <c r="AX3774" s="118">
        <f t="shared" ref="AX3774" si="3536">SUM(AR3774:AW3774)</f>
        <v>853430</v>
      </c>
      <c r="AY3774" s="119"/>
      <c r="AZ3774" s="137">
        <v>46000</v>
      </c>
    </row>
    <row r="3775" spans="1:52" ht="17.100000000000001" customHeight="1" thickBot="1">
      <c r="A3775" s="110"/>
      <c r="B3775" s="27" t="s">
        <v>2931</v>
      </c>
      <c r="C3775" s="27">
        <v>30006</v>
      </c>
      <c r="D3775" s="14" t="s">
        <v>1576</v>
      </c>
      <c r="E3775" s="112"/>
      <c r="F3775" s="139" t="s">
        <v>11607</v>
      </c>
      <c r="G3775" s="140"/>
      <c r="H3775" s="141"/>
      <c r="I3775" s="26">
        <v>48217</v>
      </c>
      <c r="J3775" s="117"/>
      <c r="K3775" s="120"/>
      <c r="L3775" s="121"/>
      <c r="M3775" s="120"/>
      <c r="N3775" s="121"/>
      <c r="O3775" s="120"/>
      <c r="P3775" s="121"/>
      <c r="Q3775" s="120"/>
      <c r="R3775" s="121"/>
      <c r="S3775" s="120"/>
      <c r="T3775" s="121"/>
      <c r="U3775" s="120"/>
      <c r="V3775" s="123"/>
      <c r="W3775" s="125"/>
      <c r="X3775" s="142" t="s">
        <v>10201</v>
      </c>
      <c r="Y3775" s="143"/>
      <c r="Z3775" s="143"/>
      <c r="AA3775" s="143"/>
      <c r="AB3775" s="144"/>
      <c r="AC3775" s="16" t="s">
        <v>21</v>
      </c>
      <c r="AD3775" s="17" t="s">
        <v>2248</v>
      </c>
      <c r="AE3775" s="145" t="s">
        <v>3624</v>
      </c>
      <c r="AF3775" s="146"/>
      <c r="AG3775" s="146"/>
      <c r="AH3775" s="146"/>
      <c r="AI3775" s="147"/>
      <c r="AJ3775" s="148"/>
      <c r="AK3775" s="143"/>
      <c r="AL3775" s="144"/>
      <c r="AM3775" s="22"/>
      <c r="AN3775" s="149" t="s">
        <v>2511</v>
      </c>
      <c r="AO3775" s="144"/>
      <c r="AP3775" s="148">
        <v>80007</v>
      </c>
      <c r="AQ3775" s="144"/>
      <c r="AR3775" s="120"/>
      <c r="AS3775" s="121"/>
      <c r="AT3775" s="120"/>
      <c r="AU3775" s="121"/>
      <c r="AV3775" s="120"/>
      <c r="AW3775" s="121"/>
      <c r="AX3775" s="120"/>
      <c r="AY3775" s="121"/>
      <c r="AZ3775" s="138"/>
    </row>
    <row r="3776" spans="1:52" ht="17.100000000000001" customHeight="1" thickTop="1">
      <c r="A3776" s="109" t="s">
        <v>11666</v>
      </c>
      <c r="B3776" s="28">
        <v>45986</v>
      </c>
      <c r="C3776" s="25">
        <v>699</v>
      </c>
      <c r="D3776" s="13" t="s">
        <v>11693</v>
      </c>
      <c r="E3776" s="111"/>
      <c r="F3776" s="113" t="s">
        <v>11719</v>
      </c>
      <c r="G3776" s="114"/>
      <c r="H3776" s="115"/>
      <c r="I3776" s="24"/>
      <c r="J3776" s="116">
        <v>4.5</v>
      </c>
      <c r="K3776" s="118">
        <v>2282000</v>
      </c>
      <c r="L3776" s="119"/>
      <c r="M3776" s="118">
        <f t="shared" ref="M3776" si="3537">K3776*0.1</f>
        <v>228200</v>
      </c>
      <c r="N3776" s="119"/>
      <c r="O3776" s="118">
        <v>0</v>
      </c>
      <c r="P3776" s="119"/>
      <c r="Q3776" s="118">
        <v>18170</v>
      </c>
      <c r="R3776" s="119"/>
      <c r="S3776" s="118">
        <v>22000</v>
      </c>
      <c r="T3776" s="119"/>
      <c r="U3776" s="118">
        <f t="shared" ref="U3776" si="3538">SUM(K3776:T3777)</f>
        <v>2550370</v>
      </c>
      <c r="V3776" s="122"/>
      <c r="W3776" s="124"/>
      <c r="X3776" s="126" t="s">
        <v>12233</v>
      </c>
      <c r="Y3776" s="127"/>
      <c r="Z3776" s="127"/>
      <c r="AA3776" s="127"/>
      <c r="AB3776" s="128"/>
      <c r="AC3776" s="15" t="s">
        <v>20</v>
      </c>
      <c r="AD3776" s="129" t="s">
        <v>11705</v>
      </c>
      <c r="AE3776" s="130"/>
      <c r="AF3776" s="130"/>
      <c r="AG3776" s="130"/>
      <c r="AH3776" s="130"/>
      <c r="AI3776" s="131"/>
      <c r="AJ3776" s="132"/>
      <c r="AK3776" s="127"/>
      <c r="AL3776" s="128"/>
      <c r="AM3776" s="21"/>
      <c r="AN3776" s="133">
        <v>45997</v>
      </c>
      <c r="AO3776" s="134"/>
      <c r="AP3776" s="135">
        <v>1279</v>
      </c>
      <c r="AQ3776" s="136"/>
      <c r="AR3776" s="118">
        <v>2595000</v>
      </c>
      <c r="AS3776" s="119"/>
      <c r="AT3776" s="118">
        <f t="shared" ref="AT3776" si="3539">AR3776*0.1</f>
        <v>259500</v>
      </c>
      <c r="AU3776" s="119"/>
      <c r="AV3776" s="118">
        <v>18170</v>
      </c>
      <c r="AW3776" s="119"/>
      <c r="AX3776" s="118">
        <f t="shared" ref="AX3776" si="3540">SUM(AR3776:AW3776)</f>
        <v>2872670</v>
      </c>
      <c r="AY3776" s="119"/>
      <c r="AZ3776" s="137">
        <v>46000</v>
      </c>
    </row>
    <row r="3777" spans="1:52" ht="17.100000000000001" customHeight="1" thickBot="1">
      <c r="A3777" s="110"/>
      <c r="B3777" s="27" t="s">
        <v>11670</v>
      </c>
      <c r="C3777" s="27">
        <v>8628</v>
      </c>
      <c r="D3777" s="14" t="s">
        <v>11718</v>
      </c>
      <c r="E3777" s="112"/>
      <c r="F3777" s="139" t="s">
        <v>11720</v>
      </c>
      <c r="G3777" s="140"/>
      <c r="H3777" s="141"/>
      <c r="I3777" s="26">
        <v>48790</v>
      </c>
      <c r="J3777" s="117"/>
      <c r="K3777" s="120"/>
      <c r="L3777" s="121"/>
      <c r="M3777" s="120"/>
      <c r="N3777" s="121"/>
      <c r="O3777" s="120"/>
      <c r="P3777" s="121"/>
      <c r="Q3777" s="120"/>
      <c r="R3777" s="121"/>
      <c r="S3777" s="120"/>
      <c r="T3777" s="121"/>
      <c r="U3777" s="120"/>
      <c r="V3777" s="123"/>
      <c r="W3777" s="125"/>
      <c r="X3777" s="142" t="s">
        <v>12234</v>
      </c>
      <c r="Y3777" s="143"/>
      <c r="Z3777" s="143"/>
      <c r="AA3777" s="143"/>
      <c r="AB3777" s="144"/>
      <c r="AC3777" s="16" t="s">
        <v>21</v>
      </c>
      <c r="AD3777" s="17" t="s">
        <v>1741</v>
      </c>
      <c r="AE3777" s="145" t="s">
        <v>12125</v>
      </c>
      <c r="AF3777" s="146"/>
      <c r="AG3777" s="146"/>
      <c r="AH3777" s="146"/>
      <c r="AI3777" s="147"/>
      <c r="AJ3777" s="148"/>
      <c r="AK3777" s="143"/>
      <c r="AL3777" s="144"/>
      <c r="AM3777" s="22"/>
      <c r="AN3777" s="149" t="s">
        <v>7284</v>
      </c>
      <c r="AO3777" s="144"/>
      <c r="AP3777" s="148">
        <v>85017</v>
      </c>
      <c r="AQ3777" s="144"/>
      <c r="AR3777" s="120"/>
      <c r="AS3777" s="121"/>
      <c r="AT3777" s="120"/>
      <c r="AU3777" s="121"/>
      <c r="AV3777" s="120"/>
      <c r="AW3777" s="121"/>
      <c r="AX3777" s="120"/>
      <c r="AY3777" s="121"/>
      <c r="AZ3777" s="138"/>
    </row>
    <row r="3778" spans="1:52" ht="17.100000000000001" customHeight="1" thickTop="1">
      <c r="A3778" s="109" t="s">
        <v>11667</v>
      </c>
      <c r="B3778" s="28">
        <v>45986</v>
      </c>
      <c r="C3778" s="25">
        <v>967</v>
      </c>
      <c r="D3778" s="13" t="s">
        <v>11721</v>
      </c>
      <c r="E3778" s="111"/>
      <c r="F3778" s="113" t="s">
        <v>10102</v>
      </c>
      <c r="G3778" s="114"/>
      <c r="H3778" s="115"/>
      <c r="I3778" s="24"/>
      <c r="J3778" s="116">
        <v>4</v>
      </c>
      <c r="K3778" s="118">
        <v>328000</v>
      </c>
      <c r="L3778" s="119"/>
      <c r="M3778" s="118">
        <f t="shared" ref="M3778" si="3541">K3778*0.1</f>
        <v>32800</v>
      </c>
      <c r="N3778" s="119"/>
      <c r="O3778" s="118">
        <v>0</v>
      </c>
      <c r="P3778" s="119"/>
      <c r="Q3778" s="118">
        <v>7140</v>
      </c>
      <c r="R3778" s="119"/>
      <c r="S3778" s="118">
        <v>22000</v>
      </c>
      <c r="T3778" s="119"/>
      <c r="U3778" s="118">
        <f t="shared" ref="U3778" si="3542">SUM(K3778:T3779)</f>
        <v>389940</v>
      </c>
      <c r="V3778" s="122"/>
      <c r="W3778" s="124"/>
      <c r="X3778" s="126" t="s">
        <v>12039</v>
      </c>
      <c r="Y3778" s="127"/>
      <c r="Z3778" s="127"/>
      <c r="AA3778" s="127"/>
      <c r="AB3778" s="128"/>
      <c r="AC3778" s="15" t="s">
        <v>20</v>
      </c>
      <c r="AD3778" s="129" t="s">
        <v>11722</v>
      </c>
      <c r="AE3778" s="130"/>
      <c r="AF3778" s="130"/>
      <c r="AG3778" s="130"/>
      <c r="AH3778" s="130"/>
      <c r="AI3778" s="131"/>
      <c r="AJ3778" s="132"/>
      <c r="AK3778" s="127"/>
      <c r="AL3778" s="128"/>
      <c r="AM3778" s="21"/>
      <c r="AN3778" s="133">
        <v>45993</v>
      </c>
      <c r="AO3778" s="134"/>
      <c r="AP3778" s="135">
        <v>1920</v>
      </c>
      <c r="AQ3778" s="136"/>
      <c r="AR3778" s="118">
        <v>376000</v>
      </c>
      <c r="AS3778" s="119"/>
      <c r="AT3778" s="118">
        <f t="shared" ref="AT3778" si="3543">AR3778*0.1</f>
        <v>37600</v>
      </c>
      <c r="AU3778" s="119"/>
      <c r="AV3778" s="118">
        <v>7140</v>
      </c>
      <c r="AW3778" s="119"/>
      <c r="AX3778" s="118">
        <f t="shared" ref="AX3778" si="3544">SUM(AR3778:AW3778)</f>
        <v>420740</v>
      </c>
      <c r="AY3778" s="119"/>
      <c r="AZ3778" s="137"/>
    </row>
    <row r="3779" spans="1:52" ht="17.100000000000001" customHeight="1" thickBot="1">
      <c r="A3779" s="110"/>
      <c r="B3779" s="27" t="s">
        <v>2055</v>
      </c>
      <c r="C3779" s="27">
        <v>118</v>
      </c>
      <c r="D3779" s="14" t="s">
        <v>1720</v>
      </c>
      <c r="E3779" s="112"/>
      <c r="F3779" s="139" t="s">
        <v>11672</v>
      </c>
      <c r="G3779" s="140"/>
      <c r="H3779" s="141"/>
      <c r="I3779" s="26">
        <v>21686</v>
      </c>
      <c r="J3779" s="117"/>
      <c r="K3779" s="120"/>
      <c r="L3779" s="121"/>
      <c r="M3779" s="120"/>
      <c r="N3779" s="121"/>
      <c r="O3779" s="120"/>
      <c r="P3779" s="121"/>
      <c r="Q3779" s="120"/>
      <c r="R3779" s="121"/>
      <c r="S3779" s="120"/>
      <c r="T3779" s="121"/>
      <c r="U3779" s="120"/>
      <c r="V3779" s="123"/>
      <c r="W3779" s="125"/>
      <c r="X3779" s="142" t="s">
        <v>2482</v>
      </c>
      <c r="Y3779" s="143"/>
      <c r="Z3779" s="143"/>
      <c r="AA3779" s="143"/>
      <c r="AB3779" s="144"/>
      <c r="AC3779" s="16" t="s">
        <v>21</v>
      </c>
      <c r="AD3779" s="17" t="s">
        <v>12001</v>
      </c>
      <c r="AE3779" s="145" t="s">
        <v>1670</v>
      </c>
      <c r="AF3779" s="146"/>
      <c r="AG3779" s="146"/>
      <c r="AH3779" s="146"/>
      <c r="AI3779" s="147"/>
      <c r="AJ3779" s="148"/>
      <c r="AK3779" s="143"/>
      <c r="AL3779" s="144"/>
      <c r="AM3779" s="22"/>
      <c r="AN3779" s="149" t="s">
        <v>2131</v>
      </c>
      <c r="AO3779" s="144"/>
      <c r="AP3779" s="148">
        <v>3345</v>
      </c>
      <c r="AQ3779" s="144"/>
      <c r="AR3779" s="120"/>
      <c r="AS3779" s="121"/>
      <c r="AT3779" s="120"/>
      <c r="AU3779" s="121"/>
      <c r="AV3779" s="120"/>
      <c r="AW3779" s="121"/>
      <c r="AX3779" s="120"/>
      <c r="AY3779" s="121"/>
      <c r="AZ3779" s="138"/>
    </row>
    <row r="3780" spans="1:52" ht="17.100000000000001" customHeight="1" thickTop="1">
      <c r="A3780" s="109" t="s">
        <v>11668</v>
      </c>
      <c r="B3780" s="28">
        <v>45986</v>
      </c>
      <c r="C3780" s="25">
        <v>967</v>
      </c>
      <c r="D3780" s="13" t="s">
        <v>11723</v>
      </c>
      <c r="E3780" s="111"/>
      <c r="F3780" s="113" t="s">
        <v>5438</v>
      </c>
      <c r="G3780" s="114"/>
      <c r="H3780" s="115"/>
      <c r="I3780" s="24"/>
      <c r="J3780" s="116">
        <v>3.5</v>
      </c>
      <c r="K3780" s="118">
        <v>538000</v>
      </c>
      <c r="L3780" s="119"/>
      <c r="M3780" s="118">
        <f t="shared" ref="M3780" si="3545">K3780*0.1</f>
        <v>53800</v>
      </c>
      <c r="N3780" s="119"/>
      <c r="O3780" s="118">
        <v>0</v>
      </c>
      <c r="P3780" s="119"/>
      <c r="Q3780" s="118">
        <v>7140</v>
      </c>
      <c r="R3780" s="119"/>
      <c r="S3780" s="118">
        <v>22000</v>
      </c>
      <c r="T3780" s="119"/>
      <c r="U3780" s="118">
        <f t="shared" ref="U3780" si="3546">SUM(K3780:T3781)</f>
        <v>620940</v>
      </c>
      <c r="V3780" s="122"/>
      <c r="W3780" s="124"/>
      <c r="X3780" s="126" t="s">
        <v>12040</v>
      </c>
      <c r="Y3780" s="127"/>
      <c r="Z3780" s="127"/>
      <c r="AA3780" s="127"/>
      <c r="AB3780" s="128"/>
      <c r="AC3780" s="15" t="s">
        <v>20</v>
      </c>
      <c r="AD3780" s="129" t="s">
        <v>11725</v>
      </c>
      <c r="AE3780" s="130"/>
      <c r="AF3780" s="130"/>
      <c r="AG3780" s="130"/>
      <c r="AH3780" s="130"/>
      <c r="AI3780" s="131"/>
      <c r="AJ3780" s="132"/>
      <c r="AK3780" s="127"/>
      <c r="AL3780" s="128"/>
      <c r="AM3780" s="21"/>
      <c r="AN3780" s="133">
        <v>46000</v>
      </c>
      <c r="AO3780" s="134"/>
      <c r="AP3780" s="135">
        <v>1921</v>
      </c>
      <c r="AQ3780" s="136"/>
      <c r="AR3780" s="118">
        <v>568000</v>
      </c>
      <c r="AS3780" s="119"/>
      <c r="AT3780" s="118">
        <f t="shared" ref="AT3780" si="3547">AR3780*0.1</f>
        <v>56800</v>
      </c>
      <c r="AU3780" s="119"/>
      <c r="AV3780" s="118">
        <v>7140</v>
      </c>
      <c r="AW3780" s="119"/>
      <c r="AX3780" s="118">
        <f t="shared" ref="AX3780" si="3548">SUM(AR3780:AW3780)</f>
        <v>631940</v>
      </c>
      <c r="AY3780" s="119"/>
      <c r="AZ3780" s="137">
        <v>46006</v>
      </c>
    </row>
    <row r="3781" spans="1:52" ht="17.100000000000001" customHeight="1" thickBot="1">
      <c r="A3781" s="110"/>
      <c r="B3781" s="27" t="s">
        <v>2055</v>
      </c>
      <c r="C3781" s="27">
        <v>128</v>
      </c>
      <c r="D3781" s="14" t="s">
        <v>11724</v>
      </c>
      <c r="E3781" s="112"/>
      <c r="F3781" s="139" t="s">
        <v>11673</v>
      </c>
      <c r="G3781" s="140"/>
      <c r="H3781" s="141"/>
      <c r="I3781" s="26">
        <v>41972</v>
      </c>
      <c r="J3781" s="117"/>
      <c r="K3781" s="120"/>
      <c r="L3781" s="121"/>
      <c r="M3781" s="120"/>
      <c r="N3781" s="121"/>
      <c r="O3781" s="120"/>
      <c r="P3781" s="121"/>
      <c r="Q3781" s="120"/>
      <c r="R3781" s="121"/>
      <c r="S3781" s="120"/>
      <c r="T3781" s="121"/>
      <c r="U3781" s="120"/>
      <c r="V3781" s="123"/>
      <c r="W3781" s="125"/>
      <c r="X3781" s="142" t="s">
        <v>2482</v>
      </c>
      <c r="Y3781" s="143"/>
      <c r="Z3781" s="143"/>
      <c r="AA3781" s="143"/>
      <c r="AB3781" s="144"/>
      <c r="AC3781" s="16" t="s">
        <v>21</v>
      </c>
      <c r="AD3781" s="17" t="s">
        <v>12001</v>
      </c>
      <c r="AE3781" s="145" t="s">
        <v>11617</v>
      </c>
      <c r="AF3781" s="146"/>
      <c r="AG3781" s="146"/>
      <c r="AH3781" s="146"/>
      <c r="AI3781" s="147"/>
      <c r="AJ3781" s="148"/>
      <c r="AK3781" s="143"/>
      <c r="AL3781" s="144"/>
      <c r="AM3781" s="22"/>
      <c r="AN3781" s="149" t="s">
        <v>2131</v>
      </c>
      <c r="AO3781" s="144"/>
      <c r="AP3781" s="148">
        <v>3205</v>
      </c>
      <c r="AQ3781" s="144"/>
      <c r="AR3781" s="120"/>
      <c r="AS3781" s="121"/>
      <c r="AT3781" s="120"/>
      <c r="AU3781" s="121"/>
      <c r="AV3781" s="120"/>
      <c r="AW3781" s="121"/>
      <c r="AX3781" s="120"/>
      <c r="AY3781" s="121"/>
      <c r="AZ3781" s="138"/>
    </row>
    <row r="3782" spans="1:52" ht="17.100000000000001" customHeight="1" thickTop="1" thickBot="1">
      <c r="A3782" s="109" t="s">
        <v>11669</v>
      </c>
      <c r="B3782" s="28">
        <v>45986</v>
      </c>
      <c r="C3782" s="25">
        <v>967</v>
      </c>
      <c r="D3782" s="13" t="s">
        <v>11726</v>
      </c>
      <c r="E3782" s="111"/>
      <c r="F3782" s="113" t="s">
        <v>11727</v>
      </c>
      <c r="G3782" s="114"/>
      <c r="H3782" s="115"/>
      <c r="I3782" s="24"/>
      <c r="J3782" s="116">
        <v>4</v>
      </c>
      <c r="K3782" s="118">
        <v>1248000</v>
      </c>
      <c r="L3782" s="119"/>
      <c r="M3782" s="118">
        <f t="shared" ref="M3782" si="3549">K3782*0.1</f>
        <v>124800</v>
      </c>
      <c r="N3782" s="119"/>
      <c r="O3782" s="118">
        <v>0</v>
      </c>
      <c r="P3782" s="119"/>
      <c r="Q3782" s="118">
        <v>8200</v>
      </c>
      <c r="R3782" s="119"/>
      <c r="S3782" s="118">
        <v>22000</v>
      </c>
      <c r="T3782" s="119"/>
      <c r="U3782" s="118">
        <f t="shared" ref="U3782" si="3550">SUM(K3782:T3783)</f>
        <v>1403000</v>
      </c>
      <c r="V3782" s="122"/>
      <c r="W3782" s="124"/>
      <c r="X3782" s="142" t="s">
        <v>12041</v>
      </c>
      <c r="Y3782" s="143"/>
      <c r="Z3782" s="143"/>
      <c r="AA3782" s="143"/>
      <c r="AB3782" s="144"/>
      <c r="AC3782" s="15" t="s">
        <v>20</v>
      </c>
      <c r="AD3782" s="129" t="s">
        <v>11705</v>
      </c>
      <c r="AE3782" s="130"/>
      <c r="AF3782" s="130"/>
      <c r="AG3782" s="130"/>
      <c r="AH3782" s="130"/>
      <c r="AI3782" s="131"/>
      <c r="AJ3782" s="132"/>
      <c r="AK3782" s="127"/>
      <c r="AL3782" s="128"/>
      <c r="AM3782" s="21"/>
      <c r="AN3782" s="133">
        <v>45993</v>
      </c>
      <c r="AO3782" s="134"/>
      <c r="AP3782" s="135">
        <v>1920</v>
      </c>
      <c r="AQ3782" s="136"/>
      <c r="AR3782" s="118">
        <v>1270000</v>
      </c>
      <c r="AS3782" s="119"/>
      <c r="AT3782" s="118">
        <f t="shared" ref="AT3782" si="3551">AR3782*0.1</f>
        <v>127000</v>
      </c>
      <c r="AU3782" s="119"/>
      <c r="AV3782" s="118">
        <v>8200</v>
      </c>
      <c r="AW3782" s="119"/>
      <c r="AX3782" s="118">
        <f t="shared" ref="AX3782" si="3552">SUM(AR3782:AW3782)</f>
        <v>1405200</v>
      </c>
      <c r="AY3782" s="119"/>
      <c r="AZ3782" s="137"/>
    </row>
    <row r="3783" spans="1:52" ht="17.100000000000001" customHeight="1" thickBot="1">
      <c r="A3783" s="110"/>
      <c r="B3783" s="27" t="s">
        <v>2055</v>
      </c>
      <c r="C3783" s="27">
        <v>161</v>
      </c>
      <c r="D3783" s="14" t="s">
        <v>2800</v>
      </c>
      <c r="E3783" s="112"/>
      <c r="F3783" s="139" t="s">
        <v>11674</v>
      </c>
      <c r="G3783" s="140"/>
      <c r="H3783" s="141"/>
      <c r="I3783" s="26">
        <v>21775</v>
      </c>
      <c r="J3783" s="117"/>
      <c r="K3783" s="120"/>
      <c r="L3783" s="121"/>
      <c r="M3783" s="120"/>
      <c r="N3783" s="121"/>
      <c r="O3783" s="120"/>
      <c r="P3783" s="121"/>
      <c r="Q3783" s="120"/>
      <c r="R3783" s="121"/>
      <c r="S3783" s="120"/>
      <c r="T3783" s="121"/>
      <c r="U3783" s="120"/>
      <c r="V3783" s="123"/>
      <c r="W3783" s="125"/>
      <c r="X3783" s="142" t="s">
        <v>2482</v>
      </c>
      <c r="Y3783" s="143"/>
      <c r="Z3783" s="143"/>
      <c r="AA3783" s="143"/>
      <c r="AB3783" s="144"/>
      <c r="AC3783" s="16" t="s">
        <v>21</v>
      </c>
      <c r="AD3783" s="17" t="s">
        <v>12001</v>
      </c>
      <c r="AE3783" s="145" t="s">
        <v>9056</v>
      </c>
      <c r="AF3783" s="146"/>
      <c r="AG3783" s="146"/>
      <c r="AH3783" s="146"/>
      <c r="AI3783" s="147"/>
      <c r="AJ3783" s="148"/>
      <c r="AK3783" s="143"/>
      <c r="AL3783" s="144"/>
      <c r="AM3783" s="22"/>
      <c r="AN3783" s="149" t="s">
        <v>2131</v>
      </c>
      <c r="AO3783" s="144"/>
      <c r="AP3783" s="148">
        <v>3079</v>
      </c>
      <c r="AQ3783" s="144"/>
      <c r="AR3783" s="120"/>
      <c r="AS3783" s="121"/>
      <c r="AT3783" s="120"/>
      <c r="AU3783" s="121"/>
      <c r="AV3783" s="120"/>
      <c r="AW3783" s="121"/>
      <c r="AX3783" s="120"/>
      <c r="AY3783" s="121"/>
      <c r="AZ3783" s="138"/>
    </row>
    <row r="3784" spans="1:52" ht="16.5" customHeight="1" thickTop="1">
      <c r="A3784" s="109" t="s">
        <v>11671</v>
      </c>
      <c r="B3784" s="28">
        <v>45986</v>
      </c>
      <c r="C3784" s="25">
        <v>967</v>
      </c>
      <c r="D3784" s="13" t="s">
        <v>11721</v>
      </c>
      <c r="E3784" s="111"/>
      <c r="F3784" s="113" t="s">
        <v>11728</v>
      </c>
      <c r="G3784" s="114"/>
      <c r="H3784" s="115"/>
      <c r="I3784" s="24"/>
      <c r="J3784" s="116">
        <v>4</v>
      </c>
      <c r="K3784" s="118">
        <v>628000</v>
      </c>
      <c r="L3784" s="119"/>
      <c r="M3784" s="118">
        <f t="shared" ref="M3784" si="3553">K3784*0.1</f>
        <v>62800</v>
      </c>
      <c r="N3784" s="119"/>
      <c r="O3784" s="118">
        <v>0</v>
      </c>
      <c r="P3784" s="119"/>
      <c r="Q3784" s="118">
        <v>8430</v>
      </c>
      <c r="R3784" s="119"/>
      <c r="S3784" s="118">
        <v>22000</v>
      </c>
      <c r="T3784" s="119"/>
      <c r="U3784" s="118">
        <f t="shared" ref="U3784" si="3554">SUM(K3784:T3785)</f>
        <v>721230</v>
      </c>
      <c r="V3784" s="122"/>
      <c r="W3784" s="124"/>
      <c r="X3784" s="126" t="s">
        <v>12042</v>
      </c>
      <c r="Y3784" s="127"/>
      <c r="Z3784" s="127"/>
      <c r="AA3784" s="127"/>
      <c r="AB3784" s="128"/>
      <c r="AC3784" s="15" t="s">
        <v>20</v>
      </c>
      <c r="AD3784" s="129" t="s">
        <v>11729</v>
      </c>
      <c r="AE3784" s="130"/>
      <c r="AF3784" s="130"/>
      <c r="AG3784" s="130"/>
      <c r="AH3784" s="130"/>
      <c r="AI3784" s="131"/>
      <c r="AJ3784" s="132"/>
      <c r="AK3784" s="127"/>
      <c r="AL3784" s="128"/>
      <c r="AM3784" s="21"/>
      <c r="AN3784" s="133">
        <v>45993</v>
      </c>
      <c r="AO3784" s="134"/>
      <c r="AP3784" s="135">
        <v>1920</v>
      </c>
      <c r="AQ3784" s="136"/>
      <c r="AR3784" s="118">
        <v>682000</v>
      </c>
      <c r="AS3784" s="119"/>
      <c r="AT3784" s="118">
        <f t="shared" ref="AT3784" si="3555">AR3784*0.1</f>
        <v>68200</v>
      </c>
      <c r="AU3784" s="119"/>
      <c r="AV3784" s="118">
        <v>8430</v>
      </c>
      <c r="AW3784" s="119"/>
      <c r="AX3784" s="118">
        <f t="shared" ref="AX3784" si="3556">SUM(AR3784:AW3784)</f>
        <v>758630</v>
      </c>
      <c r="AY3784" s="119"/>
      <c r="AZ3784" s="137"/>
    </row>
    <row r="3785" spans="1:52" ht="17.100000000000001" customHeight="1" thickBot="1">
      <c r="A3785" s="110"/>
      <c r="B3785" s="27" t="s">
        <v>2055</v>
      </c>
      <c r="C3785" s="27">
        <v>1027</v>
      </c>
      <c r="D3785" s="14" t="s">
        <v>1720</v>
      </c>
      <c r="E3785" s="112"/>
      <c r="F3785" s="139" t="s">
        <v>11675</v>
      </c>
      <c r="G3785" s="140"/>
      <c r="H3785" s="141"/>
      <c r="I3785" s="26">
        <v>54606</v>
      </c>
      <c r="J3785" s="117"/>
      <c r="K3785" s="120"/>
      <c r="L3785" s="121"/>
      <c r="M3785" s="120"/>
      <c r="N3785" s="121"/>
      <c r="O3785" s="120"/>
      <c r="P3785" s="121"/>
      <c r="Q3785" s="120"/>
      <c r="R3785" s="121"/>
      <c r="S3785" s="120"/>
      <c r="T3785" s="121"/>
      <c r="U3785" s="120"/>
      <c r="V3785" s="123"/>
      <c r="W3785" s="125"/>
      <c r="X3785" s="142" t="s">
        <v>5035</v>
      </c>
      <c r="Y3785" s="143"/>
      <c r="Z3785" s="143"/>
      <c r="AA3785" s="143"/>
      <c r="AB3785" s="144"/>
      <c r="AC3785" s="16" t="s">
        <v>21</v>
      </c>
      <c r="AD3785" s="17" t="s">
        <v>12001</v>
      </c>
      <c r="AE3785" s="145" t="s">
        <v>12214</v>
      </c>
      <c r="AF3785" s="146"/>
      <c r="AG3785" s="146"/>
      <c r="AH3785" s="146"/>
      <c r="AI3785" s="147"/>
      <c r="AJ3785" s="148"/>
      <c r="AK3785" s="143"/>
      <c r="AL3785" s="144"/>
      <c r="AM3785" s="22"/>
      <c r="AN3785" s="149" t="s">
        <v>2131</v>
      </c>
      <c r="AO3785" s="144"/>
      <c r="AP3785" s="148">
        <v>3073</v>
      </c>
      <c r="AQ3785" s="144"/>
      <c r="AR3785" s="120"/>
      <c r="AS3785" s="121"/>
      <c r="AT3785" s="120"/>
      <c r="AU3785" s="121"/>
      <c r="AV3785" s="120"/>
      <c r="AW3785" s="121"/>
      <c r="AX3785" s="120"/>
      <c r="AY3785" s="121"/>
      <c r="AZ3785" s="138"/>
    </row>
    <row r="3786" spans="1:52" ht="17.100000000000001" customHeight="1" thickTop="1">
      <c r="A3786" s="109" t="s">
        <v>11676</v>
      </c>
      <c r="B3786" s="28">
        <v>45987</v>
      </c>
      <c r="C3786" s="25">
        <v>2332</v>
      </c>
      <c r="D3786" s="13" t="s">
        <v>11683</v>
      </c>
      <c r="E3786" s="111"/>
      <c r="F3786" s="113" t="s">
        <v>11730</v>
      </c>
      <c r="G3786" s="114"/>
      <c r="H3786" s="115"/>
      <c r="I3786" s="24" t="s">
        <v>11731</v>
      </c>
      <c r="J3786" s="116">
        <v>5</v>
      </c>
      <c r="K3786" s="118">
        <v>1045000</v>
      </c>
      <c r="L3786" s="119"/>
      <c r="M3786" s="118">
        <f t="shared" ref="M3786" si="3557">K3786*0.1</f>
        <v>104500</v>
      </c>
      <c r="N3786" s="119"/>
      <c r="O3786" s="118">
        <v>15000</v>
      </c>
      <c r="P3786" s="119"/>
      <c r="Q3786" s="118">
        <v>8200</v>
      </c>
      <c r="R3786" s="119"/>
      <c r="S3786" s="118">
        <v>16500</v>
      </c>
      <c r="T3786" s="119"/>
      <c r="U3786" s="118">
        <f t="shared" ref="U3786" si="3558">SUM(K3786:T3787)</f>
        <v>1189200</v>
      </c>
      <c r="V3786" s="122"/>
      <c r="W3786" s="124"/>
      <c r="X3786" s="126" t="s">
        <v>12235</v>
      </c>
      <c r="Y3786" s="127"/>
      <c r="Z3786" s="127"/>
      <c r="AA3786" s="127"/>
      <c r="AB3786" s="128"/>
      <c r="AC3786" s="15" t="s">
        <v>20</v>
      </c>
      <c r="AD3786" s="129" t="s">
        <v>11732</v>
      </c>
      <c r="AE3786" s="130"/>
      <c r="AF3786" s="130"/>
      <c r="AG3786" s="130"/>
      <c r="AH3786" s="130"/>
      <c r="AI3786" s="131"/>
      <c r="AJ3786" s="132"/>
      <c r="AK3786" s="127"/>
      <c r="AL3786" s="128"/>
      <c r="AM3786" s="21"/>
      <c r="AN3786" s="133">
        <v>45990</v>
      </c>
      <c r="AO3786" s="134"/>
      <c r="AP3786" s="135">
        <v>1278</v>
      </c>
      <c r="AQ3786" s="136"/>
      <c r="AR3786" s="118">
        <v>1180000</v>
      </c>
      <c r="AS3786" s="119"/>
      <c r="AT3786" s="118">
        <f t="shared" ref="AT3786" si="3559">AR3786*0.1</f>
        <v>118000</v>
      </c>
      <c r="AU3786" s="119"/>
      <c r="AV3786" s="118">
        <v>8200</v>
      </c>
      <c r="AW3786" s="119"/>
      <c r="AX3786" s="118">
        <f t="shared" ref="AX3786" si="3560">SUM(AR3786:AW3786)</f>
        <v>1306200</v>
      </c>
      <c r="AY3786" s="119"/>
      <c r="AZ3786" s="137">
        <v>45995</v>
      </c>
    </row>
    <row r="3787" spans="1:52" ht="17.100000000000001" customHeight="1" thickBot="1">
      <c r="A3787" s="110"/>
      <c r="B3787" s="27" t="s">
        <v>11682</v>
      </c>
      <c r="C3787" s="27">
        <v>20127</v>
      </c>
      <c r="D3787" s="14" t="s">
        <v>133</v>
      </c>
      <c r="E3787" s="112"/>
      <c r="F3787" s="139" t="s">
        <v>11684</v>
      </c>
      <c r="G3787" s="140"/>
      <c r="H3787" s="141"/>
      <c r="I3787" s="26">
        <v>7543</v>
      </c>
      <c r="J3787" s="117"/>
      <c r="K3787" s="120"/>
      <c r="L3787" s="121"/>
      <c r="M3787" s="120"/>
      <c r="N3787" s="121"/>
      <c r="O3787" s="120"/>
      <c r="P3787" s="121"/>
      <c r="Q3787" s="120"/>
      <c r="R3787" s="121"/>
      <c r="S3787" s="120"/>
      <c r="T3787" s="121"/>
      <c r="U3787" s="120"/>
      <c r="V3787" s="123"/>
      <c r="W3787" s="125"/>
      <c r="X3787" s="142" t="s">
        <v>12236</v>
      </c>
      <c r="Y3787" s="143"/>
      <c r="Z3787" s="143"/>
      <c r="AA3787" s="143"/>
      <c r="AB3787" s="144"/>
      <c r="AC3787" s="16" t="s">
        <v>21</v>
      </c>
      <c r="AD3787" s="17" t="s">
        <v>1741</v>
      </c>
      <c r="AE3787" s="145" t="s">
        <v>4617</v>
      </c>
      <c r="AF3787" s="146"/>
      <c r="AG3787" s="146"/>
      <c r="AH3787" s="146"/>
      <c r="AI3787" s="147"/>
      <c r="AJ3787" s="148"/>
      <c r="AK3787" s="143"/>
      <c r="AL3787" s="144"/>
      <c r="AM3787" s="22"/>
      <c r="AN3787" s="149" t="s">
        <v>2511</v>
      </c>
      <c r="AO3787" s="144"/>
      <c r="AP3787" s="148">
        <v>60460</v>
      </c>
      <c r="AQ3787" s="144"/>
      <c r="AR3787" s="120"/>
      <c r="AS3787" s="121"/>
      <c r="AT3787" s="120"/>
      <c r="AU3787" s="121"/>
      <c r="AV3787" s="120"/>
      <c r="AW3787" s="121"/>
      <c r="AX3787" s="120"/>
      <c r="AY3787" s="121"/>
      <c r="AZ3787" s="138"/>
    </row>
    <row r="3788" spans="1:52" ht="17.100000000000001" customHeight="1" thickTop="1">
      <c r="A3788" s="109" t="s">
        <v>11677</v>
      </c>
      <c r="B3788" s="28">
        <v>45987</v>
      </c>
      <c r="C3788" s="25">
        <v>2332</v>
      </c>
      <c r="D3788" s="13" t="s">
        <v>11685</v>
      </c>
      <c r="E3788" s="111"/>
      <c r="F3788" s="113" t="s">
        <v>11686</v>
      </c>
      <c r="G3788" s="114"/>
      <c r="H3788" s="115"/>
      <c r="I3788" s="24"/>
      <c r="J3788" s="116">
        <v>4.5</v>
      </c>
      <c r="K3788" s="118">
        <v>420000</v>
      </c>
      <c r="L3788" s="119"/>
      <c r="M3788" s="118">
        <f t="shared" ref="M3788" si="3561">K3788*0.1</f>
        <v>42000</v>
      </c>
      <c r="N3788" s="119"/>
      <c r="O3788" s="118">
        <v>0</v>
      </c>
      <c r="P3788" s="119"/>
      <c r="Q3788" s="118">
        <v>8460</v>
      </c>
      <c r="R3788" s="119"/>
      <c r="S3788" s="118">
        <v>16500</v>
      </c>
      <c r="T3788" s="119"/>
      <c r="U3788" s="118">
        <f t="shared" ref="U3788" si="3562">SUM(K3788:T3789)</f>
        <v>486960</v>
      </c>
      <c r="V3788" s="122"/>
      <c r="W3788" s="124"/>
      <c r="X3788" s="126" t="s">
        <v>12080</v>
      </c>
      <c r="Y3788" s="127"/>
      <c r="Z3788" s="127"/>
      <c r="AA3788" s="127"/>
      <c r="AB3788" s="128"/>
      <c r="AC3788" s="15" t="s">
        <v>20</v>
      </c>
      <c r="AD3788" s="129" t="s">
        <v>11733</v>
      </c>
      <c r="AE3788" s="130"/>
      <c r="AF3788" s="130"/>
      <c r="AG3788" s="130"/>
      <c r="AH3788" s="130"/>
      <c r="AI3788" s="131"/>
      <c r="AJ3788" s="132"/>
      <c r="AK3788" s="127"/>
      <c r="AL3788" s="128"/>
      <c r="AM3788" s="21"/>
      <c r="AN3788" s="133">
        <v>45997</v>
      </c>
      <c r="AO3788" s="134"/>
      <c r="AP3788" s="135">
        <v>1279</v>
      </c>
      <c r="AQ3788" s="136"/>
      <c r="AR3788" s="118">
        <v>460000</v>
      </c>
      <c r="AS3788" s="119"/>
      <c r="AT3788" s="118">
        <f t="shared" ref="AT3788" si="3563">AR3788*0.1</f>
        <v>46000</v>
      </c>
      <c r="AU3788" s="119"/>
      <c r="AV3788" s="118">
        <v>8460</v>
      </c>
      <c r="AW3788" s="119"/>
      <c r="AX3788" s="118">
        <f t="shared" ref="AX3788" si="3564">SUM(AR3788:AW3788)</f>
        <v>514460</v>
      </c>
      <c r="AY3788" s="119"/>
      <c r="AZ3788" s="137">
        <v>46000</v>
      </c>
    </row>
    <row r="3789" spans="1:52" ht="17.100000000000001" customHeight="1" thickBot="1">
      <c r="A3789" s="110"/>
      <c r="B3789" s="27" t="s">
        <v>11682</v>
      </c>
      <c r="C3789" s="27">
        <v>20140</v>
      </c>
      <c r="D3789" s="14" t="s">
        <v>11718</v>
      </c>
      <c r="E3789" s="112"/>
      <c r="F3789" s="139" t="s">
        <v>11687</v>
      </c>
      <c r="G3789" s="140"/>
      <c r="H3789" s="141"/>
      <c r="I3789" s="26">
        <v>54434</v>
      </c>
      <c r="J3789" s="117"/>
      <c r="K3789" s="120"/>
      <c r="L3789" s="121"/>
      <c r="M3789" s="120"/>
      <c r="N3789" s="121"/>
      <c r="O3789" s="120"/>
      <c r="P3789" s="121"/>
      <c r="Q3789" s="120"/>
      <c r="R3789" s="121"/>
      <c r="S3789" s="120"/>
      <c r="T3789" s="121"/>
      <c r="U3789" s="120"/>
      <c r="V3789" s="123"/>
      <c r="W3789" s="125"/>
      <c r="X3789" s="142" t="s">
        <v>4796</v>
      </c>
      <c r="Y3789" s="143"/>
      <c r="Z3789" s="143"/>
      <c r="AA3789" s="143"/>
      <c r="AB3789" s="144"/>
      <c r="AC3789" s="16" t="s">
        <v>21</v>
      </c>
      <c r="AD3789" s="17" t="s">
        <v>12054</v>
      </c>
      <c r="AE3789" s="145" t="s">
        <v>12081</v>
      </c>
      <c r="AF3789" s="146"/>
      <c r="AG3789" s="146"/>
      <c r="AH3789" s="146"/>
      <c r="AI3789" s="147"/>
      <c r="AJ3789" s="148"/>
      <c r="AK3789" s="143"/>
      <c r="AL3789" s="144"/>
      <c r="AM3789" s="22"/>
      <c r="AN3789" s="149" t="s">
        <v>2511</v>
      </c>
      <c r="AO3789" s="144"/>
      <c r="AP3789" s="148">
        <v>60380</v>
      </c>
      <c r="AQ3789" s="144"/>
      <c r="AR3789" s="120"/>
      <c r="AS3789" s="121"/>
      <c r="AT3789" s="120"/>
      <c r="AU3789" s="121"/>
      <c r="AV3789" s="120"/>
      <c r="AW3789" s="121"/>
      <c r="AX3789" s="120"/>
      <c r="AY3789" s="121"/>
      <c r="AZ3789" s="138"/>
    </row>
    <row r="3790" spans="1:52" ht="17.100000000000001" customHeight="1" thickTop="1">
      <c r="A3790" s="109" t="s">
        <v>11678</v>
      </c>
      <c r="B3790" s="28">
        <v>45987</v>
      </c>
      <c r="C3790" s="25">
        <v>2332</v>
      </c>
      <c r="D3790" s="13" t="s">
        <v>11688</v>
      </c>
      <c r="E3790" s="111"/>
      <c r="F3790" s="113" t="s">
        <v>11689</v>
      </c>
      <c r="G3790" s="114"/>
      <c r="H3790" s="115"/>
      <c r="I3790" s="24" t="s">
        <v>11735</v>
      </c>
      <c r="J3790" s="116">
        <v>4.5</v>
      </c>
      <c r="K3790" s="118">
        <v>895000</v>
      </c>
      <c r="L3790" s="119"/>
      <c r="M3790" s="118">
        <f t="shared" ref="M3790" si="3565">K3790*0.1</f>
        <v>89500</v>
      </c>
      <c r="N3790" s="119"/>
      <c r="O3790" s="118">
        <v>15000</v>
      </c>
      <c r="P3790" s="119"/>
      <c r="Q3790" s="118">
        <v>7150</v>
      </c>
      <c r="R3790" s="119"/>
      <c r="S3790" s="118">
        <v>16500</v>
      </c>
      <c r="T3790" s="119"/>
      <c r="U3790" s="118">
        <f t="shared" ref="U3790" si="3566">SUM(K3790:T3791)</f>
        <v>1023150</v>
      </c>
      <c r="V3790" s="122"/>
      <c r="W3790" s="124"/>
      <c r="X3790" s="126" t="s">
        <v>12078</v>
      </c>
      <c r="Y3790" s="127"/>
      <c r="Z3790" s="127"/>
      <c r="AA3790" s="127"/>
      <c r="AB3790" s="128"/>
      <c r="AC3790" s="15" t="s">
        <v>20</v>
      </c>
      <c r="AD3790" s="129" t="s">
        <v>11736</v>
      </c>
      <c r="AE3790" s="130"/>
      <c r="AF3790" s="130"/>
      <c r="AG3790" s="130"/>
      <c r="AH3790" s="130"/>
      <c r="AI3790" s="131"/>
      <c r="AJ3790" s="132"/>
      <c r="AK3790" s="127"/>
      <c r="AL3790" s="128"/>
      <c r="AM3790" s="21" t="s">
        <v>13040</v>
      </c>
      <c r="AN3790" s="133">
        <v>46008</v>
      </c>
      <c r="AO3790" s="134"/>
      <c r="AP3790" s="135">
        <v>997</v>
      </c>
      <c r="AQ3790" s="136"/>
      <c r="AR3790" s="118">
        <v>955000</v>
      </c>
      <c r="AS3790" s="119"/>
      <c r="AT3790" s="118">
        <f t="shared" ref="AT3790" si="3567">AR3790*0.1</f>
        <v>95500</v>
      </c>
      <c r="AU3790" s="119"/>
      <c r="AV3790" s="118">
        <v>7150</v>
      </c>
      <c r="AW3790" s="119"/>
      <c r="AX3790" s="118">
        <f t="shared" ref="AX3790" si="3568">SUM(AR3790:AW3790)</f>
        <v>1057650</v>
      </c>
      <c r="AY3790" s="119"/>
      <c r="AZ3790" s="137">
        <v>46013</v>
      </c>
    </row>
    <row r="3791" spans="1:52" ht="17.100000000000001" customHeight="1" thickBot="1">
      <c r="A3791" s="110"/>
      <c r="B3791" s="27" t="s">
        <v>11682</v>
      </c>
      <c r="C3791" s="27">
        <v>20149</v>
      </c>
      <c r="D3791" s="14" t="s">
        <v>11734</v>
      </c>
      <c r="E3791" s="112"/>
      <c r="F3791" s="139" t="s">
        <v>11690</v>
      </c>
      <c r="G3791" s="140"/>
      <c r="H3791" s="141"/>
      <c r="I3791" s="26">
        <v>70659</v>
      </c>
      <c r="J3791" s="117"/>
      <c r="K3791" s="120"/>
      <c r="L3791" s="121"/>
      <c r="M3791" s="120"/>
      <c r="N3791" s="121"/>
      <c r="O3791" s="120"/>
      <c r="P3791" s="121"/>
      <c r="Q3791" s="120"/>
      <c r="R3791" s="121"/>
      <c r="S3791" s="120"/>
      <c r="T3791" s="121"/>
      <c r="U3791" s="120"/>
      <c r="V3791" s="123"/>
      <c r="W3791" s="125"/>
      <c r="X3791" s="142" t="s">
        <v>12079</v>
      </c>
      <c r="Y3791" s="143"/>
      <c r="Z3791" s="143"/>
      <c r="AA3791" s="143"/>
      <c r="AB3791" s="144"/>
      <c r="AC3791" s="16" t="s">
        <v>21</v>
      </c>
      <c r="AD3791" s="17" t="s">
        <v>12054</v>
      </c>
      <c r="AE3791" s="145" t="s">
        <v>2385</v>
      </c>
      <c r="AF3791" s="146"/>
      <c r="AG3791" s="146"/>
      <c r="AH3791" s="146"/>
      <c r="AI3791" s="147"/>
      <c r="AJ3791" s="148"/>
      <c r="AK3791" s="143"/>
      <c r="AL3791" s="144"/>
      <c r="AM3791" s="22"/>
      <c r="AN3791" s="149" t="s">
        <v>2794</v>
      </c>
      <c r="AO3791" s="144"/>
      <c r="AP3791" s="148">
        <v>2012</v>
      </c>
      <c r="AQ3791" s="144"/>
      <c r="AR3791" s="120"/>
      <c r="AS3791" s="121"/>
      <c r="AT3791" s="120"/>
      <c r="AU3791" s="121"/>
      <c r="AV3791" s="120"/>
      <c r="AW3791" s="121"/>
      <c r="AX3791" s="120"/>
      <c r="AY3791" s="121"/>
      <c r="AZ3791" s="138"/>
    </row>
    <row r="3792" spans="1:52" ht="17.100000000000001" customHeight="1" thickTop="1">
      <c r="A3792" s="109" t="s">
        <v>11679</v>
      </c>
      <c r="B3792" s="28">
        <v>45987</v>
      </c>
      <c r="C3792" s="25">
        <v>1815</v>
      </c>
      <c r="D3792" s="13" t="s">
        <v>11693</v>
      </c>
      <c r="E3792" s="111"/>
      <c r="F3792" s="113" t="s">
        <v>11694</v>
      </c>
      <c r="G3792" s="114"/>
      <c r="H3792" s="115"/>
      <c r="I3792" s="24" t="s">
        <v>11703</v>
      </c>
      <c r="J3792" s="116">
        <v>4.5</v>
      </c>
      <c r="K3792" s="118">
        <v>1164000</v>
      </c>
      <c r="L3792" s="119"/>
      <c r="M3792" s="118">
        <f t="shared" ref="M3792" si="3569">K3792*0.1</f>
        <v>116400</v>
      </c>
      <c r="N3792" s="119"/>
      <c r="O3792" s="118">
        <v>0</v>
      </c>
      <c r="P3792" s="119"/>
      <c r="Q3792" s="118">
        <v>8390</v>
      </c>
      <c r="R3792" s="119"/>
      <c r="S3792" s="118">
        <v>18150</v>
      </c>
      <c r="T3792" s="119"/>
      <c r="U3792" s="118">
        <f t="shared" ref="U3792" si="3570">SUM(K3792:T3793)</f>
        <v>1306940</v>
      </c>
      <c r="V3792" s="122"/>
      <c r="W3792" s="124"/>
      <c r="X3792" s="126" t="s">
        <v>11696</v>
      </c>
      <c r="Y3792" s="127"/>
      <c r="Z3792" s="127"/>
      <c r="AA3792" s="127"/>
      <c r="AB3792" s="128"/>
      <c r="AC3792" s="15" t="s">
        <v>20</v>
      </c>
      <c r="AD3792" s="129" t="s">
        <v>11697</v>
      </c>
      <c r="AE3792" s="130"/>
      <c r="AF3792" s="130"/>
      <c r="AG3792" s="130"/>
      <c r="AH3792" s="130"/>
      <c r="AI3792" s="131"/>
      <c r="AJ3792" s="132"/>
      <c r="AK3792" s="127"/>
      <c r="AL3792" s="128"/>
      <c r="AM3792" s="21" t="s">
        <v>12864</v>
      </c>
      <c r="AN3792" s="133">
        <v>46004</v>
      </c>
      <c r="AO3792" s="134"/>
      <c r="AP3792" s="135">
        <v>1280</v>
      </c>
      <c r="AQ3792" s="136"/>
      <c r="AR3792" s="118">
        <v>1250000</v>
      </c>
      <c r="AS3792" s="119"/>
      <c r="AT3792" s="118">
        <f t="shared" ref="AT3792" si="3571">AR3792*0.1</f>
        <v>125000</v>
      </c>
      <c r="AU3792" s="119"/>
      <c r="AV3792" s="118">
        <v>8390</v>
      </c>
      <c r="AW3792" s="119"/>
      <c r="AX3792" s="118">
        <f t="shared" ref="AX3792" si="3572">SUM(AR3792:AW3792)</f>
        <v>1383390</v>
      </c>
      <c r="AY3792" s="119"/>
      <c r="AZ3792" s="137">
        <v>46007</v>
      </c>
    </row>
    <row r="3793" spans="1:52" ht="17.100000000000001" customHeight="1" thickBot="1">
      <c r="A3793" s="110"/>
      <c r="B3793" s="27" t="s">
        <v>11691</v>
      </c>
      <c r="C3793" s="27">
        <v>3101</v>
      </c>
      <c r="D3793" s="14" t="s">
        <v>1812</v>
      </c>
      <c r="E3793" s="112"/>
      <c r="F3793" s="139" t="s">
        <v>11695</v>
      </c>
      <c r="G3793" s="140"/>
      <c r="H3793" s="141"/>
      <c r="I3793" s="26">
        <v>59170</v>
      </c>
      <c r="J3793" s="117"/>
      <c r="K3793" s="120"/>
      <c r="L3793" s="121"/>
      <c r="M3793" s="120"/>
      <c r="N3793" s="121"/>
      <c r="O3793" s="120"/>
      <c r="P3793" s="121"/>
      <c r="Q3793" s="120"/>
      <c r="R3793" s="121"/>
      <c r="S3793" s="120"/>
      <c r="T3793" s="121"/>
      <c r="U3793" s="120"/>
      <c r="V3793" s="123"/>
      <c r="W3793" s="125"/>
      <c r="X3793" s="142" t="s">
        <v>12250</v>
      </c>
      <c r="Y3793" s="143"/>
      <c r="Z3793" s="143"/>
      <c r="AA3793" s="143"/>
      <c r="AB3793" s="144"/>
      <c r="AC3793" s="16" t="s">
        <v>21</v>
      </c>
      <c r="AD3793" s="17" t="s">
        <v>1741</v>
      </c>
      <c r="AE3793" s="145" t="s">
        <v>4396</v>
      </c>
      <c r="AF3793" s="146"/>
      <c r="AG3793" s="146"/>
      <c r="AH3793" s="146"/>
      <c r="AI3793" s="147"/>
      <c r="AJ3793" s="148"/>
      <c r="AK3793" s="143"/>
      <c r="AL3793" s="144"/>
      <c r="AM3793" s="22"/>
      <c r="AN3793" s="149" t="s">
        <v>2511</v>
      </c>
      <c r="AO3793" s="144"/>
      <c r="AP3793" s="148">
        <v>60172</v>
      </c>
      <c r="AQ3793" s="144"/>
      <c r="AR3793" s="120"/>
      <c r="AS3793" s="121"/>
      <c r="AT3793" s="120"/>
      <c r="AU3793" s="121"/>
      <c r="AV3793" s="120"/>
      <c r="AW3793" s="121"/>
      <c r="AX3793" s="120"/>
      <c r="AY3793" s="121"/>
      <c r="AZ3793" s="138"/>
    </row>
    <row r="3794" spans="1:52" ht="17.100000000000001" customHeight="1" thickTop="1">
      <c r="A3794" s="109" t="s">
        <v>11680</v>
      </c>
      <c r="B3794" s="28">
        <v>45987</v>
      </c>
      <c r="C3794" s="25">
        <v>1815</v>
      </c>
      <c r="D3794" s="13" t="s">
        <v>11706</v>
      </c>
      <c r="E3794" s="111"/>
      <c r="F3794" s="113" t="s">
        <v>11707</v>
      </c>
      <c r="G3794" s="114"/>
      <c r="H3794" s="115"/>
      <c r="I3794" s="24" t="s">
        <v>11709</v>
      </c>
      <c r="J3794" s="116">
        <v>4</v>
      </c>
      <c r="K3794" s="118">
        <v>640000</v>
      </c>
      <c r="L3794" s="119"/>
      <c r="M3794" s="118">
        <f t="shared" ref="M3794" si="3573">K3794*0.1</f>
        <v>64000</v>
      </c>
      <c r="N3794" s="119"/>
      <c r="O3794" s="118">
        <v>0</v>
      </c>
      <c r="P3794" s="119"/>
      <c r="Q3794" s="118">
        <v>8540</v>
      </c>
      <c r="R3794" s="119"/>
      <c r="S3794" s="118">
        <v>18150</v>
      </c>
      <c r="T3794" s="119"/>
      <c r="U3794" s="118">
        <f t="shared" ref="U3794" si="3574">SUM(K3794:T3795)</f>
        <v>730690</v>
      </c>
      <c r="V3794" s="122"/>
      <c r="W3794" s="124"/>
      <c r="X3794" s="126" t="s">
        <v>11710</v>
      </c>
      <c r="Y3794" s="127"/>
      <c r="Z3794" s="127"/>
      <c r="AA3794" s="127"/>
      <c r="AB3794" s="128"/>
      <c r="AC3794" s="15" t="s">
        <v>20</v>
      </c>
      <c r="AD3794" s="129"/>
      <c r="AE3794" s="130"/>
      <c r="AF3794" s="130"/>
      <c r="AG3794" s="130"/>
      <c r="AH3794" s="130"/>
      <c r="AI3794" s="131"/>
      <c r="AJ3794" s="132"/>
      <c r="AK3794" s="127"/>
      <c r="AL3794" s="128"/>
      <c r="AM3794" s="21"/>
      <c r="AN3794" s="133">
        <v>45990</v>
      </c>
      <c r="AO3794" s="134"/>
      <c r="AP3794" s="135">
        <v>1278</v>
      </c>
      <c r="AQ3794" s="136"/>
      <c r="AR3794" s="118">
        <v>670000</v>
      </c>
      <c r="AS3794" s="119"/>
      <c r="AT3794" s="118">
        <f t="shared" ref="AT3794" si="3575">AR3794*0.1</f>
        <v>67000</v>
      </c>
      <c r="AU3794" s="119"/>
      <c r="AV3794" s="118">
        <v>8540</v>
      </c>
      <c r="AW3794" s="119"/>
      <c r="AX3794" s="118">
        <f t="shared" ref="AX3794" si="3576">SUM(AR3794:AW3794)</f>
        <v>745540</v>
      </c>
      <c r="AY3794" s="119"/>
      <c r="AZ3794" s="137">
        <v>46000</v>
      </c>
    </row>
    <row r="3795" spans="1:52" ht="17.100000000000001" customHeight="1" thickBot="1">
      <c r="A3795" s="110"/>
      <c r="B3795" s="27" t="s">
        <v>11691</v>
      </c>
      <c r="C3795" s="27">
        <v>3339</v>
      </c>
      <c r="D3795" s="14" t="s">
        <v>1812</v>
      </c>
      <c r="E3795" s="112"/>
      <c r="F3795" s="139" t="s">
        <v>11708</v>
      </c>
      <c r="G3795" s="140"/>
      <c r="H3795" s="141"/>
      <c r="I3795" s="26">
        <v>92352</v>
      </c>
      <c r="J3795" s="117"/>
      <c r="K3795" s="120"/>
      <c r="L3795" s="121"/>
      <c r="M3795" s="120"/>
      <c r="N3795" s="121"/>
      <c r="O3795" s="120"/>
      <c r="P3795" s="121"/>
      <c r="Q3795" s="120"/>
      <c r="R3795" s="121"/>
      <c r="S3795" s="120"/>
      <c r="T3795" s="121"/>
      <c r="U3795" s="120"/>
      <c r="V3795" s="123"/>
      <c r="W3795" s="125"/>
      <c r="X3795" s="142" t="s">
        <v>12376</v>
      </c>
      <c r="Y3795" s="143"/>
      <c r="Z3795" s="143"/>
      <c r="AA3795" s="143"/>
      <c r="AB3795" s="144"/>
      <c r="AC3795" s="16" t="s">
        <v>21</v>
      </c>
      <c r="AD3795" s="17" t="s">
        <v>2248</v>
      </c>
      <c r="AE3795" s="145"/>
      <c r="AF3795" s="146"/>
      <c r="AG3795" s="146"/>
      <c r="AH3795" s="146"/>
      <c r="AI3795" s="147"/>
      <c r="AJ3795" s="148"/>
      <c r="AK3795" s="143"/>
      <c r="AL3795" s="144"/>
      <c r="AM3795" s="22"/>
      <c r="AN3795" s="149" t="s">
        <v>2511</v>
      </c>
      <c r="AO3795" s="144"/>
      <c r="AP3795" s="148">
        <v>60471</v>
      </c>
      <c r="AQ3795" s="144"/>
      <c r="AR3795" s="120"/>
      <c r="AS3795" s="121"/>
      <c r="AT3795" s="120"/>
      <c r="AU3795" s="121"/>
      <c r="AV3795" s="120"/>
      <c r="AW3795" s="121"/>
      <c r="AX3795" s="120"/>
      <c r="AY3795" s="121"/>
      <c r="AZ3795" s="138"/>
    </row>
    <row r="3796" spans="1:52" ht="17.100000000000001" customHeight="1" thickTop="1">
      <c r="A3796" s="109" t="s">
        <v>11681</v>
      </c>
      <c r="B3796" s="28">
        <v>45987</v>
      </c>
      <c r="C3796" s="25">
        <v>1815</v>
      </c>
      <c r="D3796" s="13" t="s">
        <v>11698</v>
      </c>
      <c r="E3796" s="111"/>
      <c r="F3796" s="113" t="s">
        <v>11700</v>
      </c>
      <c r="G3796" s="114"/>
      <c r="H3796" s="115"/>
      <c r="I3796" s="24" t="s">
        <v>11702</v>
      </c>
      <c r="J3796" s="116">
        <v>4.5</v>
      </c>
      <c r="K3796" s="118">
        <v>1130000</v>
      </c>
      <c r="L3796" s="119"/>
      <c r="M3796" s="118">
        <f t="shared" ref="M3796" si="3577">K3796*0.1</f>
        <v>113000</v>
      </c>
      <c r="N3796" s="119"/>
      <c r="O3796" s="118">
        <f>12000+1200</f>
        <v>13200</v>
      </c>
      <c r="P3796" s="119"/>
      <c r="Q3796" s="118">
        <v>19710</v>
      </c>
      <c r="R3796" s="119"/>
      <c r="S3796" s="118">
        <v>18150</v>
      </c>
      <c r="T3796" s="119"/>
      <c r="U3796" s="118">
        <f t="shared" ref="U3796" si="3578">SUM(K3796:T3797)</f>
        <v>1294060</v>
      </c>
      <c r="V3796" s="122"/>
      <c r="W3796" s="124"/>
      <c r="X3796" s="126" t="s">
        <v>11704</v>
      </c>
      <c r="Y3796" s="127"/>
      <c r="Z3796" s="127"/>
      <c r="AA3796" s="127"/>
      <c r="AB3796" s="128"/>
      <c r="AC3796" s="15" t="s">
        <v>20</v>
      </c>
      <c r="AD3796" s="129" t="s">
        <v>11705</v>
      </c>
      <c r="AE3796" s="130"/>
      <c r="AF3796" s="130"/>
      <c r="AG3796" s="130"/>
      <c r="AH3796" s="130"/>
      <c r="AI3796" s="131"/>
      <c r="AJ3796" s="132"/>
      <c r="AK3796" s="127"/>
      <c r="AL3796" s="128"/>
      <c r="AM3796" s="21" t="s">
        <v>12768</v>
      </c>
      <c r="AN3796" s="133">
        <v>46004</v>
      </c>
      <c r="AO3796" s="134"/>
      <c r="AP3796" s="135">
        <v>1280</v>
      </c>
      <c r="AQ3796" s="136"/>
      <c r="AR3796" s="118">
        <v>1260000</v>
      </c>
      <c r="AS3796" s="119"/>
      <c r="AT3796" s="118">
        <f t="shared" ref="AT3796" si="3579">AR3796*0.1</f>
        <v>126000</v>
      </c>
      <c r="AU3796" s="119"/>
      <c r="AV3796" s="118">
        <v>19710</v>
      </c>
      <c r="AW3796" s="119"/>
      <c r="AX3796" s="118">
        <f t="shared" ref="AX3796" si="3580">SUM(AR3796:AW3796)</f>
        <v>1405710</v>
      </c>
      <c r="AY3796" s="119"/>
      <c r="AZ3796" s="137">
        <v>46008</v>
      </c>
    </row>
    <row r="3797" spans="1:52" ht="17.100000000000001" customHeight="1" thickBot="1">
      <c r="A3797" s="110"/>
      <c r="B3797" s="27" t="s">
        <v>11691</v>
      </c>
      <c r="C3797" s="27">
        <v>38051</v>
      </c>
      <c r="D3797" s="14" t="s">
        <v>11699</v>
      </c>
      <c r="E3797" s="112"/>
      <c r="F3797" s="139" t="s">
        <v>11701</v>
      </c>
      <c r="G3797" s="140"/>
      <c r="H3797" s="141"/>
      <c r="I3797" s="26">
        <v>89574</v>
      </c>
      <c r="J3797" s="117"/>
      <c r="K3797" s="120"/>
      <c r="L3797" s="121"/>
      <c r="M3797" s="120"/>
      <c r="N3797" s="121"/>
      <c r="O3797" s="120"/>
      <c r="P3797" s="121"/>
      <c r="Q3797" s="120"/>
      <c r="R3797" s="121"/>
      <c r="S3797" s="120"/>
      <c r="T3797" s="121"/>
      <c r="U3797" s="120"/>
      <c r="V3797" s="123"/>
      <c r="W3797" s="125"/>
      <c r="X3797" s="142" t="s">
        <v>12367</v>
      </c>
      <c r="Y3797" s="143"/>
      <c r="Z3797" s="143"/>
      <c r="AA3797" s="143"/>
      <c r="AB3797" s="144"/>
      <c r="AC3797" s="16" t="s">
        <v>21</v>
      </c>
      <c r="AD3797" s="17" t="s">
        <v>2248</v>
      </c>
      <c r="AE3797" s="145" t="s">
        <v>1614</v>
      </c>
      <c r="AF3797" s="146"/>
      <c r="AG3797" s="146"/>
      <c r="AH3797" s="146"/>
      <c r="AI3797" s="147"/>
      <c r="AJ3797" s="148"/>
      <c r="AK3797" s="143"/>
      <c r="AL3797" s="144"/>
      <c r="AM3797" s="22"/>
      <c r="AN3797" s="149" t="s">
        <v>2511</v>
      </c>
      <c r="AO3797" s="144"/>
      <c r="AP3797" s="148">
        <v>80264</v>
      </c>
      <c r="AQ3797" s="144"/>
      <c r="AR3797" s="120"/>
      <c r="AS3797" s="121"/>
      <c r="AT3797" s="120"/>
      <c r="AU3797" s="121"/>
      <c r="AV3797" s="120"/>
      <c r="AW3797" s="121"/>
      <c r="AX3797" s="120"/>
      <c r="AY3797" s="121"/>
      <c r="AZ3797" s="138"/>
    </row>
    <row r="3798" spans="1:52" ht="17.100000000000001" customHeight="1" thickTop="1">
      <c r="A3798" s="109" t="s">
        <v>11692</v>
      </c>
      <c r="B3798" s="28">
        <v>45987</v>
      </c>
      <c r="C3798" s="25">
        <v>1815</v>
      </c>
      <c r="D3798" s="13" t="s">
        <v>11711</v>
      </c>
      <c r="E3798" s="111"/>
      <c r="F3798" s="113" t="s">
        <v>11712</v>
      </c>
      <c r="G3798" s="114"/>
      <c r="H3798" s="115"/>
      <c r="I3798" s="24"/>
      <c r="J3798" s="116">
        <v>5</v>
      </c>
      <c r="K3798" s="118">
        <v>2220000</v>
      </c>
      <c r="L3798" s="119"/>
      <c r="M3798" s="118">
        <f t="shared" ref="M3798" si="3581">K3798*0.1</f>
        <v>222000</v>
      </c>
      <c r="N3798" s="119"/>
      <c r="O3798" s="118">
        <v>0</v>
      </c>
      <c r="P3798" s="119"/>
      <c r="Q3798" s="118">
        <v>22910</v>
      </c>
      <c r="R3798" s="119"/>
      <c r="S3798" s="118">
        <v>18150</v>
      </c>
      <c r="T3798" s="119"/>
      <c r="U3798" s="118">
        <f t="shared" ref="U3798" si="3582">SUM(K3798:T3799)</f>
        <v>2483060</v>
      </c>
      <c r="V3798" s="122"/>
      <c r="W3798" s="124"/>
      <c r="X3798" s="126" t="s">
        <v>12232</v>
      </c>
      <c r="Y3798" s="127"/>
      <c r="Z3798" s="127"/>
      <c r="AA3798" s="127"/>
      <c r="AB3798" s="128"/>
      <c r="AC3798" s="15" t="s">
        <v>20</v>
      </c>
      <c r="AD3798" s="129"/>
      <c r="AE3798" s="130"/>
      <c r="AF3798" s="130"/>
      <c r="AG3798" s="130"/>
      <c r="AH3798" s="130"/>
      <c r="AI3798" s="131"/>
      <c r="AJ3798" s="132"/>
      <c r="AK3798" s="127"/>
      <c r="AL3798" s="128"/>
      <c r="AM3798" s="21"/>
      <c r="AN3798" s="133">
        <v>46018</v>
      </c>
      <c r="AO3798" s="134"/>
      <c r="AP3798" s="135">
        <v>1282</v>
      </c>
      <c r="AQ3798" s="136"/>
      <c r="AR3798" s="118">
        <v>2495000</v>
      </c>
      <c r="AS3798" s="119"/>
      <c r="AT3798" s="118">
        <f t="shared" ref="AT3798" si="3583">AR3798*0.1</f>
        <v>249500</v>
      </c>
      <c r="AU3798" s="119"/>
      <c r="AV3798" s="118">
        <v>22910</v>
      </c>
      <c r="AW3798" s="119"/>
      <c r="AX3798" s="118">
        <f t="shared" ref="AX3798" si="3584">SUM(AR3798:AW3798)</f>
        <v>2767410</v>
      </c>
      <c r="AY3798" s="119"/>
      <c r="AZ3798" s="137">
        <v>46028</v>
      </c>
    </row>
    <row r="3799" spans="1:52" ht="17.100000000000001" customHeight="1" thickBot="1">
      <c r="A3799" s="110"/>
      <c r="B3799" s="27" t="s">
        <v>11691</v>
      </c>
      <c r="C3799" s="27">
        <v>38074</v>
      </c>
      <c r="D3799" s="14" t="s">
        <v>11699</v>
      </c>
      <c r="E3799" s="112"/>
      <c r="F3799" s="139" t="s">
        <v>11713</v>
      </c>
      <c r="G3799" s="140"/>
      <c r="H3799" s="141"/>
      <c r="I3799" s="26">
        <v>24665</v>
      </c>
      <c r="J3799" s="117"/>
      <c r="K3799" s="120"/>
      <c r="L3799" s="121"/>
      <c r="M3799" s="120"/>
      <c r="N3799" s="121"/>
      <c r="O3799" s="120"/>
      <c r="P3799" s="121"/>
      <c r="Q3799" s="120"/>
      <c r="R3799" s="121"/>
      <c r="S3799" s="120"/>
      <c r="T3799" s="121"/>
      <c r="U3799" s="120"/>
      <c r="V3799" s="123"/>
      <c r="W3799" s="125"/>
      <c r="X3799" s="142" t="s">
        <v>3455</v>
      </c>
      <c r="Y3799" s="143"/>
      <c r="Z3799" s="143"/>
      <c r="AA3799" s="143"/>
      <c r="AB3799" s="144"/>
      <c r="AC3799" s="16" t="s">
        <v>21</v>
      </c>
      <c r="AD3799" s="17" t="s">
        <v>1741</v>
      </c>
      <c r="AE3799" s="145" t="s">
        <v>2195</v>
      </c>
      <c r="AF3799" s="146"/>
      <c r="AG3799" s="146"/>
      <c r="AH3799" s="146"/>
      <c r="AI3799" s="147"/>
      <c r="AJ3799" s="148"/>
      <c r="AK3799" s="143"/>
      <c r="AL3799" s="144"/>
      <c r="AM3799" s="22"/>
      <c r="AN3799" s="149" t="s">
        <v>2511</v>
      </c>
      <c r="AO3799" s="144"/>
      <c r="AP3799" s="148">
        <v>80149</v>
      </c>
      <c r="AQ3799" s="144"/>
      <c r="AR3799" s="120"/>
      <c r="AS3799" s="121"/>
      <c r="AT3799" s="120"/>
      <c r="AU3799" s="121"/>
      <c r="AV3799" s="120"/>
      <c r="AW3799" s="121"/>
      <c r="AX3799" s="120"/>
      <c r="AY3799" s="121"/>
      <c r="AZ3799" s="138"/>
    </row>
    <row r="3800" spans="1:52" ht="17.100000000000001" customHeight="1" thickTop="1">
      <c r="A3800" s="109" t="s">
        <v>11826</v>
      </c>
      <c r="B3800" s="28">
        <v>45988</v>
      </c>
      <c r="C3800" s="25">
        <v>1308</v>
      </c>
      <c r="D3800" s="13" t="s">
        <v>1853</v>
      </c>
      <c r="E3800" s="111"/>
      <c r="F3800" s="113" t="s">
        <v>4575</v>
      </c>
      <c r="G3800" s="114"/>
      <c r="H3800" s="115"/>
      <c r="I3800" s="24"/>
      <c r="J3800" s="116">
        <v>4.5</v>
      </c>
      <c r="K3800" s="118">
        <v>2075000</v>
      </c>
      <c r="L3800" s="119"/>
      <c r="M3800" s="118">
        <f t="shared" ref="M3800" si="3585">K3800*0.1</f>
        <v>207500</v>
      </c>
      <c r="N3800" s="119"/>
      <c r="O3800" s="118">
        <v>0</v>
      </c>
      <c r="P3800" s="119"/>
      <c r="Q3800" s="118">
        <v>19180</v>
      </c>
      <c r="R3800" s="119"/>
      <c r="S3800" s="118">
        <v>14300</v>
      </c>
      <c r="T3800" s="119"/>
      <c r="U3800" s="118">
        <f t="shared" ref="U3800" si="3586">SUM(K3800:T3801)</f>
        <v>2315980</v>
      </c>
      <c r="V3800" s="122"/>
      <c r="W3800" s="124"/>
      <c r="X3800" s="126" t="s">
        <v>12061</v>
      </c>
      <c r="Y3800" s="127"/>
      <c r="Z3800" s="127"/>
      <c r="AA3800" s="127"/>
      <c r="AB3800" s="128"/>
      <c r="AC3800" s="15" t="s">
        <v>20</v>
      </c>
      <c r="AD3800" s="129" t="s">
        <v>1565</v>
      </c>
      <c r="AE3800" s="130"/>
      <c r="AF3800" s="130"/>
      <c r="AG3800" s="130"/>
      <c r="AH3800" s="130"/>
      <c r="AI3800" s="131"/>
      <c r="AJ3800" s="132"/>
      <c r="AK3800" s="127"/>
      <c r="AL3800" s="128"/>
      <c r="AM3800" s="21"/>
      <c r="AN3800" s="133">
        <v>45990</v>
      </c>
      <c r="AO3800" s="134"/>
      <c r="AP3800" s="135">
        <v>1278</v>
      </c>
      <c r="AQ3800" s="136"/>
      <c r="AR3800" s="118">
        <v>2220000</v>
      </c>
      <c r="AS3800" s="119"/>
      <c r="AT3800" s="118">
        <v>222000</v>
      </c>
      <c r="AU3800" s="119"/>
      <c r="AV3800" s="118">
        <v>19180</v>
      </c>
      <c r="AW3800" s="119"/>
      <c r="AX3800" s="118">
        <f t="shared" ref="AX3800" si="3587">SUM(AR3800:AW3800)</f>
        <v>2461180</v>
      </c>
      <c r="AY3800" s="119"/>
      <c r="AZ3800" s="137">
        <v>45994</v>
      </c>
    </row>
    <row r="3801" spans="1:52" ht="17.100000000000001" customHeight="1" thickBot="1">
      <c r="A3801" s="110"/>
      <c r="B3801" s="27" t="s">
        <v>1747</v>
      </c>
      <c r="C3801" s="27">
        <v>113</v>
      </c>
      <c r="D3801" s="14" t="s">
        <v>275</v>
      </c>
      <c r="E3801" s="112"/>
      <c r="F3801" s="139" t="s">
        <v>11827</v>
      </c>
      <c r="G3801" s="140"/>
      <c r="H3801" s="141"/>
      <c r="I3801" s="26">
        <v>42275</v>
      </c>
      <c r="J3801" s="117"/>
      <c r="K3801" s="120"/>
      <c r="L3801" s="121"/>
      <c r="M3801" s="120"/>
      <c r="N3801" s="121"/>
      <c r="O3801" s="120"/>
      <c r="P3801" s="121"/>
      <c r="Q3801" s="120"/>
      <c r="R3801" s="121"/>
      <c r="S3801" s="120"/>
      <c r="T3801" s="121"/>
      <c r="U3801" s="120"/>
      <c r="V3801" s="123"/>
      <c r="W3801" s="125"/>
      <c r="X3801" s="142" t="s">
        <v>4663</v>
      </c>
      <c r="Y3801" s="143"/>
      <c r="Z3801" s="143"/>
      <c r="AA3801" s="143"/>
      <c r="AB3801" s="144"/>
      <c r="AC3801" s="16" t="s">
        <v>21</v>
      </c>
      <c r="AD3801" s="17" t="s">
        <v>12054</v>
      </c>
      <c r="AE3801" s="145" t="s">
        <v>1633</v>
      </c>
      <c r="AF3801" s="146"/>
      <c r="AG3801" s="146"/>
      <c r="AH3801" s="146"/>
      <c r="AI3801" s="147"/>
      <c r="AJ3801" s="148"/>
      <c r="AK3801" s="143"/>
      <c r="AL3801" s="144"/>
      <c r="AM3801" s="22"/>
      <c r="AN3801" s="149" t="s">
        <v>2511</v>
      </c>
      <c r="AO3801" s="144"/>
      <c r="AP3801" s="148">
        <v>80432</v>
      </c>
      <c r="AQ3801" s="144"/>
      <c r="AR3801" s="120"/>
      <c r="AS3801" s="121"/>
      <c r="AT3801" s="120"/>
      <c r="AU3801" s="121"/>
      <c r="AV3801" s="120"/>
      <c r="AW3801" s="121"/>
      <c r="AX3801" s="120"/>
      <c r="AY3801" s="121"/>
      <c r="AZ3801" s="138"/>
    </row>
    <row r="3802" spans="1:52" ht="17.100000000000001" customHeight="1" thickTop="1">
      <c r="A3802" s="109" t="s">
        <v>11828</v>
      </c>
      <c r="B3802" s="28">
        <v>45988</v>
      </c>
      <c r="C3802" s="25">
        <v>1543</v>
      </c>
      <c r="D3802" s="13" t="s">
        <v>2458</v>
      </c>
      <c r="E3802" s="111"/>
      <c r="F3802" s="113" t="s">
        <v>1573</v>
      </c>
      <c r="G3802" s="114"/>
      <c r="H3802" s="115"/>
      <c r="I3802" s="24"/>
      <c r="J3802" s="116">
        <v>4.5</v>
      </c>
      <c r="K3802" s="118">
        <v>940000</v>
      </c>
      <c r="L3802" s="119"/>
      <c r="M3802" s="118">
        <f t="shared" ref="M3802" si="3588">K3802*0.1</f>
        <v>94000</v>
      </c>
      <c r="N3802" s="119"/>
      <c r="O3802" s="118">
        <v>0</v>
      </c>
      <c r="P3802" s="119"/>
      <c r="Q3802" s="118">
        <v>17800</v>
      </c>
      <c r="R3802" s="119"/>
      <c r="S3802" s="118">
        <v>16500</v>
      </c>
      <c r="T3802" s="119"/>
      <c r="U3802" s="118">
        <f t="shared" ref="U3802" si="3589">SUM(K3802:T3803)</f>
        <v>1068300</v>
      </c>
      <c r="V3802" s="122"/>
      <c r="W3802" s="124"/>
      <c r="X3802" s="126" t="s">
        <v>12362</v>
      </c>
      <c r="Y3802" s="127"/>
      <c r="Z3802" s="127"/>
      <c r="AA3802" s="127"/>
      <c r="AB3802" s="128"/>
      <c r="AC3802" s="15" t="s">
        <v>20</v>
      </c>
      <c r="AD3802" s="129"/>
      <c r="AE3802" s="130"/>
      <c r="AF3802" s="130"/>
      <c r="AG3802" s="130"/>
      <c r="AH3802" s="130"/>
      <c r="AI3802" s="131"/>
      <c r="AJ3802" s="132"/>
      <c r="AK3802" s="127"/>
      <c r="AL3802" s="128"/>
      <c r="AM3802" s="21"/>
      <c r="AN3802" s="133">
        <v>45995</v>
      </c>
      <c r="AO3802" s="134"/>
      <c r="AP3802" s="135">
        <v>1309</v>
      </c>
      <c r="AQ3802" s="136"/>
      <c r="AR3802" s="118">
        <v>1205000</v>
      </c>
      <c r="AS3802" s="119"/>
      <c r="AT3802" s="118">
        <f t="shared" ref="AT3802" si="3590">AR3802*0.1</f>
        <v>120500</v>
      </c>
      <c r="AU3802" s="119"/>
      <c r="AV3802" s="118">
        <v>17800</v>
      </c>
      <c r="AW3802" s="119"/>
      <c r="AX3802" s="118">
        <f t="shared" ref="AX3802" si="3591">SUM(AR3802:AW3802)</f>
        <v>1343300</v>
      </c>
      <c r="AY3802" s="119"/>
      <c r="AZ3802" s="137">
        <v>45996</v>
      </c>
    </row>
    <row r="3803" spans="1:52" ht="17.100000000000001" customHeight="1" thickBot="1">
      <c r="A3803" s="110"/>
      <c r="B3803" s="27" t="s">
        <v>1600</v>
      </c>
      <c r="C3803" s="27">
        <v>76128</v>
      </c>
      <c r="D3803" s="14" t="s">
        <v>1812</v>
      </c>
      <c r="E3803" s="112"/>
      <c r="F3803" s="139" t="s">
        <v>11830</v>
      </c>
      <c r="G3803" s="140"/>
      <c r="H3803" s="141"/>
      <c r="I3803" s="26">
        <v>53057</v>
      </c>
      <c r="J3803" s="117"/>
      <c r="K3803" s="120"/>
      <c r="L3803" s="121"/>
      <c r="M3803" s="120"/>
      <c r="N3803" s="121"/>
      <c r="O3803" s="120"/>
      <c r="P3803" s="121"/>
      <c r="Q3803" s="120"/>
      <c r="R3803" s="121"/>
      <c r="S3803" s="120"/>
      <c r="T3803" s="121"/>
      <c r="U3803" s="120"/>
      <c r="V3803" s="123"/>
      <c r="W3803" s="125"/>
      <c r="X3803" s="142" t="s">
        <v>12363</v>
      </c>
      <c r="Y3803" s="143"/>
      <c r="Z3803" s="143"/>
      <c r="AA3803" s="143"/>
      <c r="AB3803" s="144"/>
      <c r="AC3803" s="16" t="s">
        <v>21</v>
      </c>
      <c r="AD3803" s="17" t="s">
        <v>2248</v>
      </c>
      <c r="AE3803" s="145" t="s">
        <v>11501</v>
      </c>
      <c r="AF3803" s="146"/>
      <c r="AG3803" s="146"/>
      <c r="AH3803" s="146"/>
      <c r="AI3803" s="147"/>
      <c r="AJ3803" s="148"/>
      <c r="AK3803" s="143"/>
      <c r="AL3803" s="144"/>
      <c r="AM3803" s="22"/>
      <c r="AN3803" s="149" t="s">
        <v>1747</v>
      </c>
      <c r="AO3803" s="144"/>
      <c r="AP3803" s="148">
        <v>34</v>
      </c>
      <c r="AQ3803" s="144"/>
      <c r="AR3803" s="120"/>
      <c r="AS3803" s="121"/>
      <c r="AT3803" s="120"/>
      <c r="AU3803" s="121"/>
      <c r="AV3803" s="120"/>
      <c r="AW3803" s="121"/>
      <c r="AX3803" s="120"/>
      <c r="AY3803" s="121"/>
      <c r="AZ3803" s="138"/>
    </row>
    <row r="3804" spans="1:52" ht="17.100000000000001" customHeight="1" thickTop="1">
      <c r="A3804" s="109" t="s">
        <v>11829</v>
      </c>
      <c r="B3804" s="28">
        <v>45988</v>
      </c>
      <c r="C3804" s="25">
        <v>1543</v>
      </c>
      <c r="D3804" s="13" t="s">
        <v>11715</v>
      </c>
      <c r="E3804" s="111"/>
      <c r="F3804" s="113" t="s">
        <v>11716</v>
      </c>
      <c r="G3804" s="114"/>
      <c r="H3804" s="115"/>
      <c r="I3804" s="24"/>
      <c r="J3804" s="116">
        <v>4.5</v>
      </c>
      <c r="K3804" s="118">
        <v>2920000</v>
      </c>
      <c r="L3804" s="119"/>
      <c r="M3804" s="118">
        <f t="shared" ref="M3804" si="3592">K3804*0.1</f>
        <v>292000</v>
      </c>
      <c r="N3804" s="119"/>
      <c r="O3804" s="118">
        <v>0</v>
      </c>
      <c r="P3804" s="119"/>
      <c r="Q3804" s="118">
        <v>23490</v>
      </c>
      <c r="R3804" s="119"/>
      <c r="S3804" s="118">
        <v>16500</v>
      </c>
      <c r="T3804" s="119"/>
      <c r="U3804" s="118">
        <f t="shared" ref="U3804" si="3593">SUM(K3804:T3805)</f>
        <v>3251990</v>
      </c>
      <c r="V3804" s="122"/>
      <c r="W3804" s="124"/>
      <c r="X3804" s="126" t="s">
        <v>12364</v>
      </c>
      <c r="Y3804" s="127"/>
      <c r="Z3804" s="127"/>
      <c r="AA3804" s="127"/>
      <c r="AB3804" s="128"/>
      <c r="AC3804" s="15" t="s">
        <v>20</v>
      </c>
      <c r="AD3804" s="129"/>
      <c r="AE3804" s="130"/>
      <c r="AF3804" s="130"/>
      <c r="AG3804" s="130"/>
      <c r="AH3804" s="130"/>
      <c r="AI3804" s="131"/>
      <c r="AJ3804" s="132"/>
      <c r="AK3804" s="127"/>
      <c r="AL3804" s="128"/>
      <c r="AM3804" s="21"/>
      <c r="AN3804" s="133"/>
      <c r="AO3804" s="134"/>
      <c r="AP3804" s="135"/>
      <c r="AQ3804" s="136"/>
      <c r="AR3804" s="118"/>
      <c r="AS3804" s="119"/>
      <c r="AT3804" s="118">
        <f t="shared" ref="AT3804" si="3594">AR3804*0.1</f>
        <v>0</v>
      </c>
      <c r="AU3804" s="119"/>
      <c r="AV3804" s="118"/>
      <c r="AW3804" s="119"/>
      <c r="AX3804" s="118">
        <f t="shared" ref="AX3804" si="3595">SUM(AR3804:AW3804)</f>
        <v>0</v>
      </c>
      <c r="AY3804" s="119"/>
      <c r="AZ3804" s="137"/>
    </row>
    <row r="3805" spans="1:52" ht="17.100000000000001" customHeight="1" thickBot="1">
      <c r="A3805" s="110"/>
      <c r="B3805" s="27" t="s">
        <v>11714</v>
      </c>
      <c r="C3805" s="27">
        <v>79078</v>
      </c>
      <c r="D3805" s="14" t="s">
        <v>11699</v>
      </c>
      <c r="E3805" s="112"/>
      <c r="F3805" s="139" t="s">
        <v>11717</v>
      </c>
      <c r="G3805" s="140"/>
      <c r="H3805" s="141"/>
      <c r="I3805" s="26">
        <v>55873</v>
      </c>
      <c r="J3805" s="117"/>
      <c r="K3805" s="120"/>
      <c r="L3805" s="121"/>
      <c r="M3805" s="120"/>
      <c r="N3805" s="121"/>
      <c r="O3805" s="120"/>
      <c r="P3805" s="121"/>
      <c r="Q3805" s="120"/>
      <c r="R3805" s="121"/>
      <c r="S3805" s="120"/>
      <c r="T3805" s="121"/>
      <c r="U3805" s="120"/>
      <c r="V3805" s="123"/>
      <c r="W3805" s="125"/>
      <c r="X3805" s="142" t="s">
        <v>1997</v>
      </c>
      <c r="Y3805" s="143"/>
      <c r="Z3805" s="143"/>
      <c r="AA3805" s="143"/>
      <c r="AB3805" s="144"/>
      <c r="AC3805" s="16" t="s">
        <v>21</v>
      </c>
      <c r="AD3805" s="17" t="s">
        <v>2248</v>
      </c>
      <c r="AE3805" s="145" t="s">
        <v>12365</v>
      </c>
      <c r="AF3805" s="146"/>
      <c r="AG3805" s="146"/>
      <c r="AH3805" s="146"/>
      <c r="AI3805" s="147"/>
      <c r="AJ3805" s="148"/>
      <c r="AK3805" s="143"/>
      <c r="AL3805" s="144"/>
      <c r="AM3805" s="22"/>
      <c r="AN3805" s="149"/>
      <c r="AO3805" s="144"/>
      <c r="AP3805" s="148"/>
      <c r="AQ3805" s="144"/>
      <c r="AR3805" s="120"/>
      <c r="AS3805" s="121"/>
      <c r="AT3805" s="120"/>
      <c r="AU3805" s="121"/>
      <c r="AV3805" s="120"/>
      <c r="AW3805" s="121"/>
      <c r="AX3805" s="120"/>
      <c r="AY3805" s="121"/>
      <c r="AZ3805" s="138"/>
    </row>
    <row r="3806" spans="1:52" ht="17.100000000000001" customHeight="1" thickTop="1">
      <c r="A3806" s="109" t="s">
        <v>11832</v>
      </c>
      <c r="B3806" s="28">
        <v>45988</v>
      </c>
      <c r="C3806" s="25">
        <v>2004</v>
      </c>
      <c r="D3806" s="13" t="s">
        <v>11738</v>
      </c>
      <c r="E3806" s="111"/>
      <c r="F3806" s="113" t="s">
        <v>11739</v>
      </c>
      <c r="G3806" s="114"/>
      <c r="H3806" s="115"/>
      <c r="I3806" s="24"/>
      <c r="J3806" s="116">
        <v>4</v>
      </c>
      <c r="K3806" s="118">
        <v>2749000</v>
      </c>
      <c r="L3806" s="119"/>
      <c r="M3806" s="118">
        <f t="shared" ref="M3806" si="3596">K3806*0.1</f>
        <v>274900</v>
      </c>
      <c r="N3806" s="119"/>
      <c r="O3806" s="118">
        <v>0</v>
      </c>
      <c r="P3806" s="119"/>
      <c r="Q3806" s="118">
        <v>12310</v>
      </c>
      <c r="R3806" s="119"/>
      <c r="S3806" s="118">
        <v>22000</v>
      </c>
      <c r="T3806" s="119"/>
      <c r="U3806" s="118">
        <f t="shared" ref="U3806" si="3597">SUM(K3806:T3807)</f>
        <v>3058210</v>
      </c>
      <c r="V3806" s="122"/>
      <c r="W3806" s="124"/>
      <c r="X3806" s="126" t="s">
        <v>12891</v>
      </c>
      <c r="Y3806" s="127"/>
      <c r="Z3806" s="127"/>
      <c r="AA3806" s="127"/>
      <c r="AB3806" s="128"/>
      <c r="AC3806" s="15" t="s">
        <v>20</v>
      </c>
      <c r="AD3806" s="129" t="s">
        <v>11705</v>
      </c>
      <c r="AE3806" s="130"/>
      <c r="AF3806" s="130"/>
      <c r="AG3806" s="130"/>
      <c r="AH3806" s="130"/>
      <c r="AI3806" s="131"/>
      <c r="AJ3806" s="132"/>
      <c r="AK3806" s="127"/>
      <c r="AL3806" s="128"/>
      <c r="AM3806" s="21"/>
      <c r="AN3806" s="133">
        <v>46001</v>
      </c>
      <c r="AO3806" s="134"/>
      <c r="AP3806" s="135">
        <v>996</v>
      </c>
      <c r="AQ3806" s="136"/>
      <c r="AR3806" s="118">
        <v>2910000</v>
      </c>
      <c r="AS3806" s="119"/>
      <c r="AT3806" s="118">
        <f t="shared" ref="AT3806" si="3598">AR3806*0.1</f>
        <v>291000</v>
      </c>
      <c r="AU3806" s="119"/>
      <c r="AV3806" s="118">
        <v>12310</v>
      </c>
      <c r="AW3806" s="119"/>
      <c r="AX3806" s="118">
        <f t="shared" ref="AX3806" si="3599">SUM(AR3806:AW3806)</f>
        <v>3213310</v>
      </c>
      <c r="AY3806" s="119"/>
      <c r="AZ3806" s="137">
        <v>46006</v>
      </c>
    </row>
    <row r="3807" spans="1:52" ht="17.100000000000001" customHeight="1" thickBot="1">
      <c r="A3807" s="110"/>
      <c r="B3807" s="27" t="s">
        <v>11737</v>
      </c>
      <c r="C3807" s="27">
        <v>30050</v>
      </c>
      <c r="D3807" s="14" t="s">
        <v>11734</v>
      </c>
      <c r="E3807" s="112"/>
      <c r="F3807" s="139" t="s">
        <v>11740</v>
      </c>
      <c r="G3807" s="140"/>
      <c r="H3807" s="141"/>
      <c r="I3807" s="26">
        <v>41762</v>
      </c>
      <c r="J3807" s="117"/>
      <c r="K3807" s="120"/>
      <c r="L3807" s="121"/>
      <c r="M3807" s="120"/>
      <c r="N3807" s="121"/>
      <c r="O3807" s="120"/>
      <c r="P3807" s="121"/>
      <c r="Q3807" s="120"/>
      <c r="R3807" s="121"/>
      <c r="S3807" s="120"/>
      <c r="T3807" s="121"/>
      <c r="U3807" s="120"/>
      <c r="V3807" s="123"/>
      <c r="W3807" s="125"/>
      <c r="X3807" s="142" t="s">
        <v>11902</v>
      </c>
      <c r="Y3807" s="143"/>
      <c r="Z3807" s="143"/>
      <c r="AA3807" s="143"/>
      <c r="AB3807" s="144"/>
      <c r="AC3807" s="16" t="s">
        <v>21</v>
      </c>
      <c r="AD3807" s="17" t="s">
        <v>12856</v>
      </c>
      <c r="AE3807" s="145" t="s">
        <v>1670</v>
      </c>
      <c r="AF3807" s="146"/>
      <c r="AG3807" s="146"/>
      <c r="AH3807" s="146"/>
      <c r="AI3807" s="147"/>
      <c r="AJ3807" s="148"/>
      <c r="AK3807" s="143"/>
      <c r="AL3807" s="144"/>
      <c r="AM3807" s="22"/>
      <c r="AN3807" s="149" t="s">
        <v>2794</v>
      </c>
      <c r="AO3807" s="144"/>
      <c r="AP3807" s="148">
        <v>6089</v>
      </c>
      <c r="AQ3807" s="144"/>
      <c r="AR3807" s="120"/>
      <c r="AS3807" s="121"/>
      <c r="AT3807" s="120"/>
      <c r="AU3807" s="121"/>
      <c r="AV3807" s="120"/>
      <c r="AW3807" s="121"/>
      <c r="AX3807" s="120"/>
      <c r="AY3807" s="121"/>
      <c r="AZ3807" s="138"/>
    </row>
    <row r="3808" spans="1:52" ht="17.100000000000001" customHeight="1" thickTop="1">
      <c r="A3808" s="109" t="s">
        <v>11833</v>
      </c>
      <c r="B3808" s="28">
        <v>45988</v>
      </c>
      <c r="C3808" s="25">
        <v>2004</v>
      </c>
      <c r="D3808" s="13" t="s">
        <v>11741</v>
      </c>
      <c r="E3808" s="111"/>
      <c r="F3808" s="113" t="s">
        <v>11744</v>
      </c>
      <c r="G3808" s="114"/>
      <c r="H3808" s="115"/>
      <c r="I3808" s="24" t="s">
        <v>11745</v>
      </c>
      <c r="J3808" s="116">
        <v>4.5</v>
      </c>
      <c r="K3808" s="118">
        <v>1718000</v>
      </c>
      <c r="L3808" s="119"/>
      <c r="M3808" s="118">
        <f t="shared" ref="M3808" si="3600">K3808*0.1</f>
        <v>171800</v>
      </c>
      <c r="N3808" s="119"/>
      <c r="O3808" s="118">
        <f>13100+1310</f>
        <v>14410</v>
      </c>
      <c r="P3808" s="119"/>
      <c r="Q3808" s="118">
        <v>11560</v>
      </c>
      <c r="R3808" s="119"/>
      <c r="S3808" s="118">
        <v>22000</v>
      </c>
      <c r="T3808" s="119"/>
      <c r="U3808" s="118">
        <f t="shared" ref="U3808" si="3601">SUM(K3808:T3809)</f>
        <v>1937770</v>
      </c>
      <c r="V3808" s="122"/>
      <c r="W3808" s="124"/>
      <c r="X3808" s="126" t="s">
        <v>11746</v>
      </c>
      <c r="Y3808" s="127"/>
      <c r="Z3808" s="127"/>
      <c r="AA3808" s="127"/>
      <c r="AB3808" s="128"/>
      <c r="AC3808" s="15" t="s">
        <v>20</v>
      </c>
      <c r="AD3808" s="129" t="s">
        <v>11747</v>
      </c>
      <c r="AE3808" s="130"/>
      <c r="AF3808" s="130"/>
      <c r="AG3808" s="130"/>
      <c r="AH3808" s="130"/>
      <c r="AI3808" s="131"/>
      <c r="AJ3808" s="366" t="s">
        <v>13516</v>
      </c>
      <c r="AK3808" s="127"/>
      <c r="AL3808" s="128"/>
      <c r="AM3808" s="21"/>
      <c r="AN3808" s="133">
        <v>46029</v>
      </c>
      <c r="AO3808" s="134"/>
      <c r="AP3808" s="135">
        <v>999</v>
      </c>
      <c r="AQ3808" s="136"/>
      <c r="AR3808" s="118">
        <v>1740000</v>
      </c>
      <c r="AS3808" s="119"/>
      <c r="AT3808" s="118">
        <f t="shared" ref="AT3808" si="3602">AR3808*0.1</f>
        <v>174000</v>
      </c>
      <c r="AU3808" s="119"/>
      <c r="AV3808" s="118">
        <v>11560</v>
      </c>
      <c r="AW3808" s="119"/>
      <c r="AX3808" s="118">
        <f t="shared" ref="AX3808" si="3603">SUM(AR3808:AW3808)</f>
        <v>1925560</v>
      </c>
      <c r="AY3808" s="119"/>
      <c r="AZ3808" s="137">
        <v>46035</v>
      </c>
    </row>
    <row r="3809" spans="1:52" ht="17.100000000000001" customHeight="1" thickBot="1">
      <c r="A3809" s="110"/>
      <c r="B3809" s="27" t="s">
        <v>11737</v>
      </c>
      <c r="C3809" s="27">
        <v>30061</v>
      </c>
      <c r="D3809" s="14" t="s">
        <v>11742</v>
      </c>
      <c r="E3809" s="112"/>
      <c r="F3809" s="139" t="s">
        <v>11743</v>
      </c>
      <c r="G3809" s="140"/>
      <c r="H3809" s="141"/>
      <c r="I3809" s="26">
        <v>59826</v>
      </c>
      <c r="J3809" s="117"/>
      <c r="K3809" s="120"/>
      <c r="L3809" s="121"/>
      <c r="M3809" s="120"/>
      <c r="N3809" s="121"/>
      <c r="O3809" s="120"/>
      <c r="P3809" s="121"/>
      <c r="Q3809" s="120"/>
      <c r="R3809" s="121"/>
      <c r="S3809" s="120"/>
      <c r="T3809" s="121"/>
      <c r="U3809" s="120"/>
      <c r="V3809" s="123"/>
      <c r="W3809" s="125"/>
      <c r="X3809" s="142" t="s">
        <v>12337</v>
      </c>
      <c r="Y3809" s="143"/>
      <c r="Z3809" s="143"/>
      <c r="AA3809" s="143"/>
      <c r="AB3809" s="144"/>
      <c r="AC3809" s="16" t="s">
        <v>21</v>
      </c>
      <c r="AD3809" s="17" t="s">
        <v>2248</v>
      </c>
      <c r="AE3809" s="145" t="s">
        <v>12338</v>
      </c>
      <c r="AF3809" s="146"/>
      <c r="AG3809" s="146"/>
      <c r="AH3809" s="146"/>
      <c r="AI3809" s="147"/>
      <c r="AJ3809" s="148"/>
      <c r="AK3809" s="143"/>
      <c r="AL3809" s="144"/>
      <c r="AM3809" s="22"/>
      <c r="AN3809" s="149" t="s">
        <v>2794</v>
      </c>
      <c r="AO3809" s="144"/>
      <c r="AP3809" s="148">
        <v>6108</v>
      </c>
      <c r="AQ3809" s="144"/>
      <c r="AR3809" s="120"/>
      <c r="AS3809" s="121"/>
      <c r="AT3809" s="120"/>
      <c r="AU3809" s="121"/>
      <c r="AV3809" s="120"/>
      <c r="AW3809" s="121"/>
      <c r="AX3809" s="120"/>
      <c r="AY3809" s="121"/>
      <c r="AZ3809" s="138"/>
    </row>
    <row r="3810" spans="1:52" ht="17.100000000000001" customHeight="1" thickTop="1">
      <c r="A3810" s="109" t="s">
        <v>11834</v>
      </c>
      <c r="B3810" s="28">
        <v>45988</v>
      </c>
      <c r="C3810" s="25">
        <v>2004</v>
      </c>
      <c r="D3810" s="13" t="s">
        <v>11748</v>
      </c>
      <c r="E3810" s="111"/>
      <c r="F3810" s="113" t="s">
        <v>11749</v>
      </c>
      <c r="G3810" s="114"/>
      <c r="H3810" s="115"/>
      <c r="I3810" s="24"/>
      <c r="J3810" s="116">
        <v>4</v>
      </c>
      <c r="K3810" s="118">
        <v>1033000</v>
      </c>
      <c r="L3810" s="119"/>
      <c r="M3810" s="118">
        <f t="shared" ref="M3810" si="3604">K3810*0.1</f>
        <v>103300</v>
      </c>
      <c r="N3810" s="119"/>
      <c r="O3810" s="118">
        <v>0</v>
      </c>
      <c r="P3810" s="119"/>
      <c r="Q3810" s="118">
        <v>9490</v>
      </c>
      <c r="R3810" s="119"/>
      <c r="S3810" s="118">
        <v>22000</v>
      </c>
      <c r="T3810" s="119"/>
      <c r="U3810" s="118">
        <f t="shared" ref="U3810" si="3605">SUM(K3810:T3811)</f>
        <v>1167790</v>
      </c>
      <c r="V3810" s="122"/>
      <c r="W3810" s="124"/>
      <c r="X3810" s="126" t="s">
        <v>12339</v>
      </c>
      <c r="Y3810" s="127"/>
      <c r="Z3810" s="127"/>
      <c r="AA3810" s="127"/>
      <c r="AB3810" s="128"/>
      <c r="AC3810" s="15" t="s">
        <v>20</v>
      </c>
      <c r="AD3810" s="129" t="s">
        <v>11751</v>
      </c>
      <c r="AE3810" s="130"/>
      <c r="AF3810" s="130"/>
      <c r="AG3810" s="130"/>
      <c r="AH3810" s="130"/>
      <c r="AI3810" s="131"/>
      <c r="AJ3810" s="132"/>
      <c r="AK3810" s="127"/>
      <c r="AL3810" s="128"/>
      <c r="AM3810" s="21"/>
      <c r="AN3810" s="133">
        <v>45994</v>
      </c>
      <c r="AO3810" s="134"/>
      <c r="AP3810" s="135">
        <v>995</v>
      </c>
      <c r="AQ3810" s="136"/>
      <c r="AR3810" s="118">
        <v>1115000</v>
      </c>
      <c r="AS3810" s="119"/>
      <c r="AT3810" s="118">
        <f t="shared" ref="AT3810" si="3606">AR3810*0.1</f>
        <v>111500</v>
      </c>
      <c r="AU3810" s="119"/>
      <c r="AV3810" s="118">
        <v>9490</v>
      </c>
      <c r="AW3810" s="119"/>
      <c r="AX3810" s="118">
        <f t="shared" ref="AX3810" si="3607">SUM(AR3810:AW3810)</f>
        <v>1235990</v>
      </c>
      <c r="AY3810" s="119"/>
      <c r="AZ3810" s="137">
        <v>45999</v>
      </c>
    </row>
    <row r="3811" spans="1:52" ht="17.100000000000001" customHeight="1" thickBot="1">
      <c r="A3811" s="110"/>
      <c r="B3811" s="27" t="s">
        <v>11737</v>
      </c>
      <c r="C3811" s="27">
        <v>30083</v>
      </c>
      <c r="D3811" s="14" t="s">
        <v>11742</v>
      </c>
      <c r="E3811" s="112"/>
      <c r="F3811" s="139" t="s">
        <v>11750</v>
      </c>
      <c r="G3811" s="140"/>
      <c r="H3811" s="141"/>
      <c r="I3811" s="26">
        <v>34229</v>
      </c>
      <c r="J3811" s="117"/>
      <c r="K3811" s="120"/>
      <c r="L3811" s="121"/>
      <c r="M3811" s="120"/>
      <c r="N3811" s="121"/>
      <c r="O3811" s="120"/>
      <c r="P3811" s="121"/>
      <c r="Q3811" s="120"/>
      <c r="R3811" s="121"/>
      <c r="S3811" s="120"/>
      <c r="T3811" s="121"/>
      <c r="U3811" s="120"/>
      <c r="V3811" s="123"/>
      <c r="W3811" s="125"/>
      <c r="X3811" s="142" t="s">
        <v>2729</v>
      </c>
      <c r="Y3811" s="143"/>
      <c r="Z3811" s="143"/>
      <c r="AA3811" s="143"/>
      <c r="AB3811" s="144"/>
      <c r="AC3811" s="16" t="s">
        <v>21</v>
      </c>
      <c r="AD3811" s="17" t="s">
        <v>2248</v>
      </c>
      <c r="AE3811" s="145" t="s">
        <v>10515</v>
      </c>
      <c r="AF3811" s="146"/>
      <c r="AG3811" s="146"/>
      <c r="AH3811" s="146"/>
      <c r="AI3811" s="147"/>
      <c r="AJ3811" s="148"/>
      <c r="AK3811" s="143"/>
      <c r="AL3811" s="144"/>
      <c r="AM3811" s="22"/>
      <c r="AN3811" s="149" t="s">
        <v>2794</v>
      </c>
      <c r="AO3811" s="144"/>
      <c r="AP3811" s="148">
        <v>5038</v>
      </c>
      <c r="AQ3811" s="144"/>
      <c r="AR3811" s="120"/>
      <c r="AS3811" s="121"/>
      <c r="AT3811" s="120"/>
      <c r="AU3811" s="121"/>
      <c r="AV3811" s="120"/>
      <c r="AW3811" s="121"/>
      <c r="AX3811" s="120"/>
      <c r="AY3811" s="121"/>
      <c r="AZ3811" s="138"/>
    </row>
    <row r="3812" spans="1:52" ht="17.100000000000001" customHeight="1" thickTop="1">
      <c r="A3812" s="109" t="s">
        <v>11835</v>
      </c>
      <c r="B3812" s="28">
        <v>45988</v>
      </c>
      <c r="C3812" s="25">
        <v>2004</v>
      </c>
      <c r="D3812" s="13" t="s">
        <v>11752</v>
      </c>
      <c r="E3812" s="111"/>
      <c r="F3812" s="113" t="s">
        <v>11753</v>
      </c>
      <c r="G3812" s="114"/>
      <c r="H3812" s="115"/>
      <c r="I3812" s="24"/>
      <c r="J3812" s="116">
        <v>4</v>
      </c>
      <c r="K3812" s="118">
        <v>1118000</v>
      </c>
      <c r="L3812" s="119"/>
      <c r="M3812" s="118">
        <f t="shared" ref="M3812" si="3608">K3812*0.1</f>
        <v>111800</v>
      </c>
      <c r="N3812" s="119"/>
      <c r="O3812" s="118">
        <v>0</v>
      </c>
      <c r="P3812" s="119"/>
      <c r="Q3812" s="118">
        <v>12030</v>
      </c>
      <c r="R3812" s="119"/>
      <c r="S3812" s="118">
        <v>22000</v>
      </c>
      <c r="T3812" s="119"/>
      <c r="U3812" s="118">
        <f t="shared" ref="U3812" si="3609">SUM(K3812:T3813)</f>
        <v>1263830</v>
      </c>
      <c r="V3812" s="122"/>
      <c r="W3812" s="124"/>
      <c r="X3812" s="126" t="s">
        <v>12340</v>
      </c>
      <c r="Y3812" s="127"/>
      <c r="Z3812" s="127"/>
      <c r="AA3812" s="127"/>
      <c r="AB3812" s="128"/>
      <c r="AC3812" s="15" t="s">
        <v>20</v>
      </c>
      <c r="AD3812" s="129" t="s">
        <v>11755</v>
      </c>
      <c r="AE3812" s="130"/>
      <c r="AF3812" s="130"/>
      <c r="AG3812" s="130"/>
      <c r="AH3812" s="130"/>
      <c r="AI3812" s="131"/>
      <c r="AJ3812" s="132"/>
      <c r="AK3812" s="127"/>
      <c r="AL3812" s="128"/>
      <c r="AM3812" s="21"/>
      <c r="AN3812" s="133">
        <v>45994</v>
      </c>
      <c r="AO3812" s="134"/>
      <c r="AP3812" s="135">
        <v>995</v>
      </c>
      <c r="AQ3812" s="136"/>
      <c r="AR3812" s="118">
        <v>1280000</v>
      </c>
      <c r="AS3812" s="119"/>
      <c r="AT3812" s="118">
        <f t="shared" ref="AT3812" si="3610">AR3812*0.1</f>
        <v>128000</v>
      </c>
      <c r="AU3812" s="119"/>
      <c r="AV3812" s="118">
        <v>12030</v>
      </c>
      <c r="AW3812" s="119"/>
      <c r="AX3812" s="118">
        <f t="shared" ref="AX3812" si="3611">SUM(AR3812:AW3812)</f>
        <v>1420030</v>
      </c>
      <c r="AY3812" s="119"/>
      <c r="AZ3812" s="137">
        <v>45999</v>
      </c>
    </row>
    <row r="3813" spans="1:52" ht="17.100000000000001" customHeight="1" thickBot="1">
      <c r="A3813" s="110"/>
      <c r="B3813" s="27" t="s">
        <v>11737</v>
      </c>
      <c r="C3813" s="27">
        <v>30107</v>
      </c>
      <c r="D3813" s="14" t="s">
        <v>11734</v>
      </c>
      <c r="E3813" s="112"/>
      <c r="F3813" s="139" t="s">
        <v>11754</v>
      </c>
      <c r="G3813" s="140"/>
      <c r="H3813" s="141"/>
      <c r="I3813" s="26">
        <v>95836</v>
      </c>
      <c r="J3813" s="117"/>
      <c r="K3813" s="120"/>
      <c r="L3813" s="121"/>
      <c r="M3813" s="120"/>
      <c r="N3813" s="121"/>
      <c r="O3813" s="120"/>
      <c r="P3813" s="121"/>
      <c r="Q3813" s="120"/>
      <c r="R3813" s="121"/>
      <c r="S3813" s="120"/>
      <c r="T3813" s="121"/>
      <c r="U3813" s="120"/>
      <c r="V3813" s="123"/>
      <c r="W3813" s="125"/>
      <c r="X3813" s="142" t="s">
        <v>12341</v>
      </c>
      <c r="Y3813" s="143"/>
      <c r="Z3813" s="143"/>
      <c r="AA3813" s="143"/>
      <c r="AB3813" s="144"/>
      <c r="AC3813" s="16" t="s">
        <v>21</v>
      </c>
      <c r="AD3813" s="17" t="s">
        <v>2248</v>
      </c>
      <c r="AE3813" s="145" t="s">
        <v>12342</v>
      </c>
      <c r="AF3813" s="146"/>
      <c r="AG3813" s="146"/>
      <c r="AH3813" s="146"/>
      <c r="AI3813" s="147"/>
      <c r="AJ3813" s="148"/>
      <c r="AK3813" s="143"/>
      <c r="AL3813" s="144"/>
      <c r="AM3813" s="22"/>
      <c r="AN3813" s="149" t="s">
        <v>2794</v>
      </c>
      <c r="AO3813" s="144"/>
      <c r="AP3813" s="148">
        <v>5046</v>
      </c>
      <c r="AQ3813" s="144"/>
      <c r="AR3813" s="120"/>
      <c r="AS3813" s="121"/>
      <c r="AT3813" s="120"/>
      <c r="AU3813" s="121"/>
      <c r="AV3813" s="120"/>
      <c r="AW3813" s="121"/>
      <c r="AX3813" s="120"/>
      <c r="AY3813" s="121"/>
      <c r="AZ3813" s="138"/>
    </row>
    <row r="3814" spans="1:52" ht="17.100000000000001" customHeight="1" thickTop="1">
      <c r="A3814" s="109" t="s">
        <v>11836</v>
      </c>
      <c r="B3814" s="28">
        <v>45988</v>
      </c>
      <c r="C3814" s="25">
        <v>2004</v>
      </c>
      <c r="D3814" s="13" t="s">
        <v>11756</v>
      </c>
      <c r="E3814" s="111"/>
      <c r="F3814" s="113" t="s">
        <v>11757</v>
      </c>
      <c r="G3814" s="114"/>
      <c r="H3814" s="115"/>
      <c r="I3814" s="24"/>
      <c r="J3814" s="116">
        <v>4</v>
      </c>
      <c r="K3814" s="118">
        <v>1283000</v>
      </c>
      <c r="L3814" s="119"/>
      <c r="M3814" s="118">
        <f t="shared" ref="M3814" si="3612">K3814*0.1</f>
        <v>128300</v>
      </c>
      <c r="N3814" s="119"/>
      <c r="O3814" s="118">
        <v>0</v>
      </c>
      <c r="P3814" s="119"/>
      <c r="Q3814" s="118">
        <v>9950</v>
      </c>
      <c r="R3814" s="119"/>
      <c r="S3814" s="118">
        <v>22000</v>
      </c>
      <c r="T3814" s="119"/>
      <c r="U3814" s="118">
        <f t="shared" ref="U3814" si="3613">SUM(K3814:T3815)</f>
        <v>1443250</v>
      </c>
      <c r="V3814" s="122"/>
      <c r="W3814" s="124"/>
      <c r="X3814" s="126" t="s">
        <v>12406</v>
      </c>
      <c r="Y3814" s="127"/>
      <c r="Z3814" s="127"/>
      <c r="AA3814" s="127"/>
      <c r="AB3814" s="128"/>
      <c r="AC3814" s="15" t="s">
        <v>20</v>
      </c>
      <c r="AD3814" s="129" t="s">
        <v>11759</v>
      </c>
      <c r="AE3814" s="130"/>
      <c r="AF3814" s="130"/>
      <c r="AG3814" s="130"/>
      <c r="AH3814" s="130"/>
      <c r="AI3814" s="131"/>
      <c r="AJ3814" s="132"/>
      <c r="AK3814" s="127"/>
      <c r="AL3814" s="128"/>
      <c r="AM3814" s="21"/>
      <c r="AN3814" s="133">
        <v>46001</v>
      </c>
      <c r="AO3814" s="134"/>
      <c r="AP3814" s="135">
        <v>996</v>
      </c>
      <c r="AQ3814" s="136"/>
      <c r="AR3814" s="118">
        <v>1385000</v>
      </c>
      <c r="AS3814" s="119"/>
      <c r="AT3814" s="118">
        <f t="shared" ref="AT3814" si="3614">AR3814*0.1</f>
        <v>138500</v>
      </c>
      <c r="AU3814" s="119"/>
      <c r="AV3814" s="118">
        <v>9950</v>
      </c>
      <c r="AW3814" s="119"/>
      <c r="AX3814" s="118">
        <f t="shared" ref="AX3814" si="3615">SUM(AR3814:AW3814)</f>
        <v>1533450</v>
      </c>
      <c r="AY3814" s="119"/>
      <c r="AZ3814" s="137">
        <v>46006</v>
      </c>
    </row>
    <row r="3815" spans="1:52" ht="17.100000000000001" customHeight="1" thickBot="1">
      <c r="A3815" s="110"/>
      <c r="B3815" s="27" t="s">
        <v>11737</v>
      </c>
      <c r="C3815" s="27">
        <v>30124</v>
      </c>
      <c r="D3815" s="14" t="s">
        <v>2601</v>
      </c>
      <c r="E3815" s="112"/>
      <c r="F3815" s="139" t="s">
        <v>11758</v>
      </c>
      <c r="G3815" s="140"/>
      <c r="H3815" s="141"/>
      <c r="I3815" s="26">
        <v>13612</v>
      </c>
      <c r="J3815" s="117"/>
      <c r="K3815" s="120"/>
      <c r="L3815" s="121"/>
      <c r="M3815" s="120"/>
      <c r="N3815" s="121"/>
      <c r="O3815" s="120"/>
      <c r="P3815" s="121"/>
      <c r="Q3815" s="120"/>
      <c r="R3815" s="121"/>
      <c r="S3815" s="120"/>
      <c r="T3815" s="121"/>
      <c r="U3815" s="120"/>
      <c r="V3815" s="123"/>
      <c r="W3815" s="125"/>
      <c r="X3815" s="142" t="s">
        <v>12407</v>
      </c>
      <c r="Y3815" s="143"/>
      <c r="Z3815" s="143"/>
      <c r="AA3815" s="143"/>
      <c r="AB3815" s="144"/>
      <c r="AC3815" s="16" t="s">
        <v>21</v>
      </c>
      <c r="AD3815" s="17" t="s">
        <v>2248</v>
      </c>
      <c r="AE3815" s="145" t="s">
        <v>1609</v>
      </c>
      <c r="AF3815" s="146"/>
      <c r="AG3815" s="146"/>
      <c r="AH3815" s="146"/>
      <c r="AI3815" s="147"/>
      <c r="AJ3815" s="148"/>
      <c r="AK3815" s="143"/>
      <c r="AL3815" s="144"/>
      <c r="AM3815" s="22"/>
      <c r="AN3815" s="149" t="s">
        <v>2794</v>
      </c>
      <c r="AO3815" s="144"/>
      <c r="AP3815" s="148">
        <v>6114</v>
      </c>
      <c r="AQ3815" s="144"/>
      <c r="AR3815" s="120"/>
      <c r="AS3815" s="121"/>
      <c r="AT3815" s="120"/>
      <c r="AU3815" s="121"/>
      <c r="AV3815" s="120"/>
      <c r="AW3815" s="121"/>
      <c r="AX3815" s="120"/>
      <c r="AY3815" s="121"/>
      <c r="AZ3815" s="138"/>
    </row>
    <row r="3816" spans="1:52" ht="17.100000000000001" customHeight="1" thickTop="1">
      <c r="A3816" s="109" t="s">
        <v>11837</v>
      </c>
      <c r="B3816" s="28">
        <v>45988</v>
      </c>
      <c r="C3816" s="25">
        <v>2004</v>
      </c>
      <c r="D3816" s="13" t="s">
        <v>11760</v>
      </c>
      <c r="E3816" s="111"/>
      <c r="F3816" s="113" t="s">
        <v>11762</v>
      </c>
      <c r="G3816" s="114"/>
      <c r="H3816" s="115"/>
      <c r="I3816" s="24"/>
      <c r="J3816" s="116">
        <v>4.5</v>
      </c>
      <c r="K3816" s="118">
        <v>1296000</v>
      </c>
      <c r="L3816" s="119"/>
      <c r="M3816" s="118">
        <f t="shared" ref="M3816" si="3616">K3816*0.1</f>
        <v>129600</v>
      </c>
      <c r="N3816" s="119"/>
      <c r="O3816" s="118">
        <v>0</v>
      </c>
      <c r="P3816" s="119"/>
      <c r="Q3816" s="118">
        <v>6880</v>
      </c>
      <c r="R3816" s="119"/>
      <c r="S3816" s="118">
        <v>22000</v>
      </c>
      <c r="T3816" s="119"/>
      <c r="U3816" s="118">
        <f t="shared" ref="U3816" si="3617">SUM(K3816:T3817)</f>
        <v>1454480</v>
      </c>
      <c r="V3816" s="122"/>
      <c r="W3816" s="124"/>
      <c r="X3816" s="126" t="s">
        <v>12357</v>
      </c>
      <c r="Y3816" s="127"/>
      <c r="Z3816" s="127"/>
      <c r="AA3816" s="127"/>
      <c r="AB3816" s="128"/>
      <c r="AC3816" s="15" t="s">
        <v>20</v>
      </c>
      <c r="AD3816" s="129" t="s">
        <v>11764</v>
      </c>
      <c r="AE3816" s="130"/>
      <c r="AF3816" s="130"/>
      <c r="AG3816" s="130"/>
      <c r="AH3816" s="130"/>
      <c r="AI3816" s="131"/>
      <c r="AJ3816" s="132"/>
      <c r="AK3816" s="127"/>
      <c r="AL3816" s="128"/>
      <c r="AM3816" s="21"/>
      <c r="AN3816" s="133">
        <v>46000</v>
      </c>
      <c r="AO3816" s="134"/>
      <c r="AP3816" s="135">
        <v>1921</v>
      </c>
      <c r="AQ3816" s="136"/>
      <c r="AR3816" s="118">
        <v>1343000</v>
      </c>
      <c r="AS3816" s="119"/>
      <c r="AT3816" s="118">
        <f t="shared" ref="AT3816" si="3618">AR3816*0.1</f>
        <v>134300</v>
      </c>
      <c r="AU3816" s="119"/>
      <c r="AV3816" s="118">
        <v>6880</v>
      </c>
      <c r="AW3816" s="119"/>
      <c r="AX3816" s="118">
        <f t="shared" ref="AX3816" si="3619">SUM(AR3816:AW3816)</f>
        <v>1484180</v>
      </c>
      <c r="AY3816" s="119"/>
      <c r="AZ3816" s="137">
        <v>46006</v>
      </c>
    </row>
    <row r="3817" spans="1:52" ht="17.100000000000001" customHeight="1" thickBot="1">
      <c r="A3817" s="110"/>
      <c r="B3817" s="27" t="s">
        <v>11737</v>
      </c>
      <c r="C3817" s="27">
        <v>50013</v>
      </c>
      <c r="D3817" s="14" t="s">
        <v>11761</v>
      </c>
      <c r="E3817" s="112"/>
      <c r="F3817" s="139" t="s">
        <v>11763</v>
      </c>
      <c r="G3817" s="140"/>
      <c r="H3817" s="141"/>
      <c r="I3817" s="26">
        <v>857</v>
      </c>
      <c r="J3817" s="117"/>
      <c r="K3817" s="120"/>
      <c r="L3817" s="121"/>
      <c r="M3817" s="120"/>
      <c r="N3817" s="121"/>
      <c r="O3817" s="120"/>
      <c r="P3817" s="121"/>
      <c r="Q3817" s="120"/>
      <c r="R3817" s="121"/>
      <c r="S3817" s="120"/>
      <c r="T3817" s="121"/>
      <c r="U3817" s="120"/>
      <c r="V3817" s="123"/>
      <c r="W3817" s="125"/>
      <c r="X3817" s="142" t="s">
        <v>12356</v>
      </c>
      <c r="Y3817" s="143"/>
      <c r="Z3817" s="143"/>
      <c r="AA3817" s="143"/>
      <c r="AB3817" s="144"/>
      <c r="AC3817" s="16" t="s">
        <v>21</v>
      </c>
      <c r="AD3817" s="17" t="s">
        <v>2248</v>
      </c>
      <c r="AE3817" s="145" t="s">
        <v>2441</v>
      </c>
      <c r="AF3817" s="146"/>
      <c r="AG3817" s="146"/>
      <c r="AH3817" s="146"/>
      <c r="AI3817" s="147"/>
      <c r="AJ3817" s="148"/>
      <c r="AK3817" s="143"/>
      <c r="AL3817" s="144"/>
      <c r="AM3817" s="22"/>
      <c r="AN3817" s="149" t="s">
        <v>2131</v>
      </c>
      <c r="AO3817" s="144"/>
      <c r="AP3817" s="148">
        <v>3149</v>
      </c>
      <c r="AQ3817" s="144"/>
      <c r="AR3817" s="120"/>
      <c r="AS3817" s="121"/>
      <c r="AT3817" s="120"/>
      <c r="AU3817" s="121"/>
      <c r="AV3817" s="120"/>
      <c r="AW3817" s="121"/>
      <c r="AX3817" s="120"/>
      <c r="AY3817" s="121"/>
      <c r="AZ3817" s="138"/>
    </row>
    <row r="3818" spans="1:52" ht="17.100000000000001" customHeight="1" thickTop="1">
      <c r="A3818" s="109" t="s">
        <v>11838</v>
      </c>
      <c r="B3818" s="28">
        <v>45988</v>
      </c>
      <c r="C3818" s="25">
        <v>2004</v>
      </c>
      <c r="D3818" s="13" t="s">
        <v>11726</v>
      </c>
      <c r="E3818" s="111"/>
      <c r="F3818" s="113" t="s">
        <v>11765</v>
      </c>
      <c r="G3818" s="114"/>
      <c r="H3818" s="115"/>
      <c r="I3818" s="24"/>
      <c r="J3818" s="116">
        <v>3.5</v>
      </c>
      <c r="K3818" s="118">
        <v>1375000</v>
      </c>
      <c r="L3818" s="119"/>
      <c r="M3818" s="118">
        <f t="shared" ref="M3818" si="3620">K3818*0.1</f>
        <v>137500</v>
      </c>
      <c r="N3818" s="119"/>
      <c r="O3818" s="118">
        <v>0</v>
      </c>
      <c r="P3818" s="119"/>
      <c r="Q3818" s="118">
        <v>7040</v>
      </c>
      <c r="R3818" s="119"/>
      <c r="S3818" s="118">
        <v>22000</v>
      </c>
      <c r="T3818" s="119"/>
      <c r="U3818" s="118">
        <f t="shared" ref="U3818" si="3621">SUM(K3818:T3819)</f>
        <v>1541540</v>
      </c>
      <c r="V3818" s="122"/>
      <c r="W3818" s="124"/>
      <c r="X3818" s="126" t="s">
        <v>12354</v>
      </c>
      <c r="Y3818" s="127"/>
      <c r="Z3818" s="127"/>
      <c r="AA3818" s="127"/>
      <c r="AB3818" s="128"/>
      <c r="AC3818" s="15" t="s">
        <v>20</v>
      </c>
      <c r="AD3818" s="129"/>
      <c r="AE3818" s="130"/>
      <c r="AF3818" s="130"/>
      <c r="AG3818" s="130"/>
      <c r="AH3818" s="130"/>
      <c r="AI3818" s="131"/>
      <c r="AJ3818" s="132"/>
      <c r="AK3818" s="127"/>
      <c r="AL3818" s="128"/>
      <c r="AM3818" s="21"/>
      <c r="AN3818" s="133">
        <v>45994</v>
      </c>
      <c r="AO3818" s="134"/>
      <c r="AP3818" s="135">
        <v>995</v>
      </c>
      <c r="AQ3818" s="136"/>
      <c r="AR3818" s="118">
        <v>1530000</v>
      </c>
      <c r="AS3818" s="119"/>
      <c r="AT3818" s="118">
        <f t="shared" ref="AT3818" si="3622">AR3818*0.1</f>
        <v>153000</v>
      </c>
      <c r="AU3818" s="119"/>
      <c r="AV3818" s="118">
        <v>7040</v>
      </c>
      <c r="AW3818" s="119"/>
      <c r="AX3818" s="118">
        <f t="shared" ref="AX3818" si="3623">SUM(AR3818:AW3818)</f>
        <v>1690040</v>
      </c>
      <c r="AY3818" s="119"/>
      <c r="AZ3818" s="137">
        <v>45999</v>
      </c>
    </row>
    <row r="3819" spans="1:52" ht="17.100000000000001" customHeight="1" thickBot="1">
      <c r="A3819" s="110"/>
      <c r="B3819" s="27" t="s">
        <v>11737</v>
      </c>
      <c r="C3819" s="27">
        <v>50015</v>
      </c>
      <c r="D3819" s="14" t="s">
        <v>1812</v>
      </c>
      <c r="E3819" s="112"/>
      <c r="F3819" s="139" t="s">
        <v>12329</v>
      </c>
      <c r="G3819" s="140"/>
      <c r="H3819" s="141"/>
      <c r="I3819" s="26">
        <v>26433</v>
      </c>
      <c r="J3819" s="117"/>
      <c r="K3819" s="120"/>
      <c r="L3819" s="121"/>
      <c r="M3819" s="120"/>
      <c r="N3819" s="121"/>
      <c r="O3819" s="120"/>
      <c r="P3819" s="121"/>
      <c r="Q3819" s="120"/>
      <c r="R3819" s="121"/>
      <c r="S3819" s="120"/>
      <c r="T3819" s="121"/>
      <c r="U3819" s="120"/>
      <c r="V3819" s="123"/>
      <c r="W3819" s="125"/>
      <c r="X3819" s="142" t="s">
        <v>12356</v>
      </c>
      <c r="Y3819" s="143"/>
      <c r="Z3819" s="143"/>
      <c r="AA3819" s="143"/>
      <c r="AB3819" s="144"/>
      <c r="AC3819" s="16" t="s">
        <v>21</v>
      </c>
      <c r="AD3819" s="17" t="s">
        <v>2248</v>
      </c>
      <c r="AE3819" s="145"/>
      <c r="AF3819" s="146"/>
      <c r="AG3819" s="146"/>
      <c r="AH3819" s="146"/>
      <c r="AI3819" s="147"/>
      <c r="AJ3819" s="148"/>
      <c r="AK3819" s="143"/>
      <c r="AL3819" s="144"/>
      <c r="AM3819" s="22"/>
      <c r="AN3819" s="149" t="s">
        <v>2794</v>
      </c>
      <c r="AO3819" s="144"/>
      <c r="AP3819" s="148">
        <v>2049</v>
      </c>
      <c r="AQ3819" s="144"/>
      <c r="AR3819" s="120"/>
      <c r="AS3819" s="121"/>
      <c r="AT3819" s="120"/>
      <c r="AU3819" s="121"/>
      <c r="AV3819" s="120"/>
      <c r="AW3819" s="121"/>
      <c r="AX3819" s="120"/>
      <c r="AY3819" s="121"/>
      <c r="AZ3819" s="138"/>
    </row>
    <row r="3820" spans="1:52" ht="17.100000000000001" customHeight="1" thickTop="1">
      <c r="A3820" s="109" t="s">
        <v>11839</v>
      </c>
      <c r="B3820" s="28">
        <v>45988</v>
      </c>
      <c r="C3820" s="25">
        <v>2004</v>
      </c>
      <c r="D3820" s="13" t="s">
        <v>11693</v>
      </c>
      <c r="E3820" s="111"/>
      <c r="F3820" s="113" t="s">
        <v>2790</v>
      </c>
      <c r="G3820" s="114"/>
      <c r="H3820" s="115"/>
      <c r="I3820" s="24" t="s">
        <v>11703</v>
      </c>
      <c r="J3820" s="116">
        <v>3.5</v>
      </c>
      <c r="K3820" s="118">
        <v>960000</v>
      </c>
      <c r="L3820" s="119"/>
      <c r="M3820" s="118">
        <f t="shared" ref="M3820" si="3624">K3820*0.1</f>
        <v>96000</v>
      </c>
      <c r="N3820" s="119"/>
      <c r="O3820" s="118">
        <v>0</v>
      </c>
      <c r="P3820" s="119"/>
      <c r="Q3820" s="118">
        <v>8550</v>
      </c>
      <c r="R3820" s="119"/>
      <c r="S3820" s="118">
        <v>22000</v>
      </c>
      <c r="T3820" s="119"/>
      <c r="U3820" s="118">
        <f t="shared" ref="U3820" si="3625">SUM(K3820:T3821)</f>
        <v>1086550</v>
      </c>
      <c r="V3820" s="122"/>
      <c r="W3820" s="124"/>
      <c r="X3820" s="126" t="s">
        <v>12355</v>
      </c>
      <c r="Y3820" s="127"/>
      <c r="Z3820" s="127"/>
      <c r="AA3820" s="127"/>
      <c r="AB3820" s="128"/>
      <c r="AC3820" s="15" t="s">
        <v>20</v>
      </c>
      <c r="AD3820" s="129"/>
      <c r="AE3820" s="130"/>
      <c r="AF3820" s="130"/>
      <c r="AG3820" s="130"/>
      <c r="AH3820" s="130"/>
      <c r="AI3820" s="131"/>
      <c r="AJ3820" s="132"/>
      <c r="AK3820" s="127"/>
      <c r="AL3820" s="128"/>
      <c r="AM3820" s="21" t="s">
        <v>13444</v>
      </c>
      <c r="AN3820" s="133">
        <v>46018</v>
      </c>
      <c r="AO3820" s="134"/>
      <c r="AP3820" s="135">
        <v>1282</v>
      </c>
      <c r="AQ3820" s="136"/>
      <c r="AR3820" s="118">
        <v>1090000</v>
      </c>
      <c r="AS3820" s="119"/>
      <c r="AT3820" s="118">
        <f t="shared" ref="AT3820" si="3626">AR3820*0.1</f>
        <v>109000</v>
      </c>
      <c r="AU3820" s="119"/>
      <c r="AV3820" s="118">
        <v>8550</v>
      </c>
      <c r="AW3820" s="119"/>
      <c r="AX3820" s="118">
        <f t="shared" ref="AX3820" si="3627">SUM(AR3820:AW3820)</f>
        <v>1207550</v>
      </c>
      <c r="AY3820" s="119"/>
      <c r="AZ3820" s="137">
        <v>46028</v>
      </c>
    </row>
    <row r="3821" spans="1:52" ht="17.100000000000001" customHeight="1" thickBot="1">
      <c r="A3821" s="110"/>
      <c r="B3821" s="27" t="s">
        <v>11737</v>
      </c>
      <c r="C3821" s="27">
        <v>50035</v>
      </c>
      <c r="D3821" s="14" t="s">
        <v>11734</v>
      </c>
      <c r="E3821" s="112"/>
      <c r="F3821" s="139" t="s">
        <v>11766</v>
      </c>
      <c r="G3821" s="140"/>
      <c r="H3821" s="141"/>
      <c r="I3821" s="26">
        <v>53408</v>
      </c>
      <c r="J3821" s="117"/>
      <c r="K3821" s="120"/>
      <c r="L3821" s="121"/>
      <c r="M3821" s="120"/>
      <c r="N3821" s="121"/>
      <c r="O3821" s="120"/>
      <c r="P3821" s="121"/>
      <c r="Q3821" s="120"/>
      <c r="R3821" s="121"/>
      <c r="S3821" s="120"/>
      <c r="T3821" s="121"/>
      <c r="U3821" s="120"/>
      <c r="V3821" s="123"/>
      <c r="W3821" s="125"/>
      <c r="X3821" s="142" t="s">
        <v>11902</v>
      </c>
      <c r="Y3821" s="143"/>
      <c r="Z3821" s="143"/>
      <c r="AA3821" s="143"/>
      <c r="AB3821" s="144"/>
      <c r="AC3821" s="16" t="s">
        <v>21</v>
      </c>
      <c r="AD3821" s="17" t="s">
        <v>2248</v>
      </c>
      <c r="AE3821" s="145" t="s">
        <v>13451</v>
      </c>
      <c r="AF3821" s="146"/>
      <c r="AG3821" s="146"/>
      <c r="AH3821" s="146"/>
      <c r="AI3821" s="147"/>
      <c r="AJ3821" s="148"/>
      <c r="AK3821" s="143"/>
      <c r="AL3821" s="144"/>
      <c r="AM3821" s="22"/>
      <c r="AN3821" s="149" t="s">
        <v>2511</v>
      </c>
      <c r="AO3821" s="144"/>
      <c r="AP3821" s="148">
        <v>60115</v>
      </c>
      <c r="AQ3821" s="144"/>
      <c r="AR3821" s="120"/>
      <c r="AS3821" s="121"/>
      <c r="AT3821" s="120"/>
      <c r="AU3821" s="121"/>
      <c r="AV3821" s="120"/>
      <c r="AW3821" s="121"/>
      <c r="AX3821" s="120"/>
      <c r="AY3821" s="121"/>
      <c r="AZ3821" s="138"/>
    </row>
    <row r="3822" spans="1:52" ht="17.100000000000001" customHeight="1" thickTop="1">
      <c r="A3822" s="109" t="s">
        <v>11840</v>
      </c>
      <c r="B3822" s="28">
        <v>45988</v>
      </c>
      <c r="C3822" s="25">
        <v>2004</v>
      </c>
      <c r="D3822" s="13" t="s">
        <v>11767</v>
      </c>
      <c r="E3822" s="111"/>
      <c r="F3822" s="113" t="s">
        <v>11768</v>
      </c>
      <c r="G3822" s="114"/>
      <c r="H3822" s="115"/>
      <c r="I3822" s="24" t="s">
        <v>11770</v>
      </c>
      <c r="J3822" s="116">
        <v>4.5</v>
      </c>
      <c r="K3822" s="118">
        <v>960000</v>
      </c>
      <c r="L3822" s="119"/>
      <c r="M3822" s="118">
        <f t="shared" ref="M3822" si="3628">K3822*0.1</f>
        <v>96000</v>
      </c>
      <c r="N3822" s="119"/>
      <c r="O3822" s="118">
        <v>0</v>
      </c>
      <c r="P3822" s="119"/>
      <c r="Q3822" s="118">
        <v>6560</v>
      </c>
      <c r="R3822" s="119"/>
      <c r="S3822" s="118">
        <v>22000</v>
      </c>
      <c r="T3822" s="119"/>
      <c r="U3822" s="118">
        <f t="shared" ref="U3822" si="3629">SUM(K3822:T3823)</f>
        <v>1084560</v>
      </c>
      <c r="V3822" s="122"/>
      <c r="W3822" s="124"/>
      <c r="X3822" s="126" t="s">
        <v>11771</v>
      </c>
      <c r="Y3822" s="127"/>
      <c r="Z3822" s="127"/>
      <c r="AA3822" s="127"/>
      <c r="AB3822" s="128"/>
      <c r="AC3822" s="15" t="s">
        <v>20</v>
      </c>
      <c r="AD3822" s="129"/>
      <c r="AE3822" s="130"/>
      <c r="AF3822" s="130"/>
      <c r="AG3822" s="130"/>
      <c r="AH3822" s="130"/>
      <c r="AI3822" s="131"/>
      <c r="AJ3822" s="132"/>
      <c r="AK3822" s="127"/>
      <c r="AL3822" s="128"/>
      <c r="AM3822" s="21" t="s">
        <v>12528</v>
      </c>
      <c r="AN3822" s="133">
        <v>45993</v>
      </c>
      <c r="AO3822" s="134"/>
      <c r="AP3822" s="135">
        <v>1920</v>
      </c>
      <c r="AQ3822" s="136"/>
      <c r="AR3822" s="118">
        <v>1019000</v>
      </c>
      <c r="AS3822" s="119"/>
      <c r="AT3822" s="118">
        <f t="shared" ref="AT3822" si="3630">AR3822*0.1</f>
        <v>101900</v>
      </c>
      <c r="AU3822" s="119"/>
      <c r="AV3822" s="118">
        <v>6560</v>
      </c>
      <c r="AW3822" s="119"/>
      <c r="AX3822" s="118">
        <f t="shared" ref="AX3822" si="3631">SUM(AR3822:AW3822)</f>
        <v>1127460</v>
      </c>
      <c r="AY3822" s="119"/>
      <c r="AZ3822" s="137"/>
    </row>
    <row r="3823" spans="1:52" ht="17.100000000000001" customHeight="1" thickBot="1">
      <c r="A3823" s="110"/>
      <c r="B3823" s="27" t="s">
        <v>11737</v>
      </c>
      <c r="C3823" s="27">
        <v>50142</v>
      </c>
      <c r="D3823" s="14" t="s">
        <v>11742</v>
      </c>
      <c r="E3823" s="112"/>
      <c r="F3823" s="139" t="s">
        <v>11769</v>
      </c>
      <c r="G3823" s="140"/>
      <c r="H3823" s="141"/>
      <c r="I3823" s="26">
        <v>18281</v>
      </c>
      <c r="J3823" s="117"/>
      <c r="K3823" s="120"/>
      <c r="L3823" s="121"/>
      <c r="M3823" s="120"/>
      <c r="N3823" s="121"/>
      <c r="O3823" s="120"/>
      <c r="P3823" s="121"/>
      <c r="Q3823" s="120"/>
      <c r="R3823" s="121"/>
      <c r="S3823" s="120"/>
      <c r="T3823" s="121"/>
      <c r="U3823" s="120"/>
      <c r="V3823" s="123"/>
      <c r="W3823" s="125"/>
      <c r="X3823" s="142" t="s">
        <v>12353</v>
      </c>
      <c r="Y3823" s="143"/>
      <c r="Z3823" s="143"/>
      <c r="AA3823" s="143"/>
      <c r="AB3823" s="144"/>
      <c r="AC3823" s="16" t="s">
        <v>21</v>
      </c>
      <c r="AD3823" s="17" t="s">
        <v>2248</v>
      </c>
      <c r="AE3823" s="145" t="s">
        <v>2441</v>
      </c>
      <c r="AF3823" s="146"/>
      <c r="AG3823" s="146"/>
      <c r="AH3823" s="146"/>
      <c r="AI3823" s="147"/>
      <c r="AJ3823" s="148"/>
      <c r="AK3823" s="143"/>
      <c r="AL3823" s="144"/>
      <c r="AM3823" s="22"/>
      <c r="AN3823" s="149" t="s">
        <v>2131</v>
      </c>
      <c r="AO3823" s="144"/>
      <c r="AP3823" s="148">
        <v>3255</v>
      </c>
      <c r="AQ3823" s="144"/>
      <c r="AR3823" s="120"/>
      <c r="AS3823" s="121"/>
      <c r="AT3823" s="120"/>
      <c r="AU3823" s="121"/>
      <c r="AV3823" s="120"/>
      <c r="AW3823" s="121"/>
      <c r="AX3823" s="120"/>
      <c r="AY3823" s="121"/>
      <c r="AZ3823" s="138"/>
    </row>
    <row r="3824" spans="1:52" ht="17.100000000000001" customHeight="1" thickTop="1">
      <c r="A3824" s="109" t="s">
        <v>11841</v>
      </c>
      <c r="B3824" s="28">
        <v>45988</v>
      </c>
      <c r="C3824" s="25">
        <v>2223</v>
      </c>
      <c r="D3824" s="13" t="s">
        <v>11798</v>
      </c>
      <c r="E3824" s="111"/>
      <c r="F3824" s="113" t="s">
        <v>11799</v>
      </c>
      <c r="G3824" s="114"/>
      <c r="H3824" s="115"/>
      <c r="I3824" s="24"/>
      <c r="J3824" s="116">
        <v>4.5</v>
      </c>
      <c r="K3824" s="118">
        <v>1519000</v>
      </c>
      <c r="L3824" s="119"/>
      <c r="M3824" s="118">
        <f t="shared" ref="M3824" si="3632">K3824*0.1</f>
        <v>151900</v>
      </c>
      <c r="N3824" s="119"/>
      <c r="O3824" s="118">
        <v>0</v>
      </c>
      <c r="P3824" s="119"/>
      <c r="Q3824" s="118">
        <v>20540</v>
      </c>
      <c r="R3824" s="119"/>
      <c r="S3824" s="118">
        <v>15950</v>
      </c>
      <c r="T3824" s="119"/>
      <c r="U3824" s="118">
        <f t="shared" ref="U3824" si="3633">SUM(K3824:T3825)</f>
        <v>1707390</v>
      </c>
      <c r="V3824" s="122"/>
      <c r="W3824" s="124"/>
      <c r="X3824" s="126" t="s">
        <v>12077</v>
      </c>
      <c r="Y3824" s="127"/>
      <c r="Z3824" s="127"/>
      <c r="AA3824" s="127"/>
      <c r="AB3824" s="128"/>
      <c r="AC3824" s="15" t="s">
        <v>20</v>
      </c>
      <c r="AD3824" s="129"/>
      <c r="AE3824" s="130"/>
      <c r="AF3824" s="130"/>
      <c r="AG3824" s="130"/>
      <c r="AH3824" s="130"/>
      <c r="AI3824" s="131"/>
      <c r="AJ3824" s="132"/>
      <c r="AK3824" s="127"/>
      <c r="AL3824" s="128"/>
      <c r="AM3824" s="21"/>
      <c r="AN3824" s="133">
        <v>46004</v>
      </c>
      <c r="AO3824" s="134"/>
      <c r="AP3824" s="135">
        <v>1702</v>
      </c>
      <c r="AQ3824" s="136"/>
      <c r="AR3824" s="118">
        <v>1665000</v>
      </c>
      <c r="AS3824" s="119"/>
      <c r="AT3824" s="118">
        <f t="shared" ref="AT3824" si="3634">AR3824*0.1</f>
        <v>166500</v>
      </c>
      <c r="AU3824" s="119"/>
      <c r="AV3824" s="118">
        <v>20540</v>
      </c>
      <c r="AW3824" s="119"/>
      <c r="AX3824" s="118">
        <f t="shared" ref="AX3824" si="3635">SUM(AR3824:AW3824)</f>
        <v>1852040</v>
      </c>
      <c r="AY3824" s="119"/>
      <c r="AZ3824" s="137">
        <v>46005</v>
      </c>
    </row>
    <row r="3825" spans="1:52" ht="17.100000000000001" customHeight="1" thickBot="1">
      <c r="A3825" s="110"/>
      <c r="B3825" s="27" t="s">
        <v>11797</v>
      </c>
      <c r="C3825" s="27">
        <v>7007</v>
      </c>
      <c r="D3825" s="14" t="s">
        <v>2601</v>
      </c>
      <c r="E3825" s="112"/>
      <c r="F3825" s="139" t="s">
        <v>11800</v>
      </c>
      <c r="G3825" s="140"/>
      <c r="H3825" s="141"/>
      <c r="I3825" s="26">
        <v>53381</v>
      </c>
      <c r="J3825" s="117"/>
      <c r="K3825" s="120"/>
      <c r="L3825" s="121"/>
      <c r="M3825" s="120"/>
      <c r="N3825" s="121"/>
      <c r="O3825" s="120"/>
      <c r="P3825" s="121"/>
      <c r="Q3825" s="120"/>
      <c r="R3825" s="121"/>
      <c r="S3825" s="120"/>
      <c r="T3825" s="121"/>
      <c r="U3825" s="120"/>
      <c r="V3825" s="123"/>
      <c r="W3825" s="125"/>
      <c r="X3825" s="142" t="s">
        <v>3608</v>
      </c>
      <c r="Y3825" s="143"/>
      <c r="Z3825" s="143"/>
      <c r="AA3825" s="143"/>
      <c r="AB3825" s="144"/>
      <c r="AC3825" s="16" t="s">
        <v>21</v>
      </c>
      <c r="AD3825" s="17" t="s">
        <v>12054</v>
      </c>
      <c r="AE3825" s="145" t="s">
        <v>171</v>
      </c>
      <c r="AF3825" s="146"/>
      <c r="AG3825" s="146"/>
      <c r="AH3825" s="146"/>
      <c r="AI3825" s="147"/>
      <c r="AJ3825" s="148"/>
      <c r="AK3825" s="143"/>
      <c r="AL3825" s="144"/>
      <c r="AM3825" s="22"/>
      <c r="AN3825" s="149" t="s">
        <v>1859</v>
      </c>
      <c r="AO3825" s="144"/>
      <c r="AP3825" s="148">
        <v>351</v>
      </c>
      <c r="AQ3825" s="144"/>
      <c r="AR3825" s="120"/>
      <c r="AS3825" s="121"/>
      <c r="AT3825" s="120"/>
      <c r="AU3825" s="121"/>
      <c r="AV3825" s="120"/>
      <c r="AW3825" s="121"/>
      <c r="AX3825" s="120"/>
      <c r="AY3825" s="121"/>
      <c r="AZ3825" s="138"/>
    </row>
    <row r="3826" spans="1:52" ht="17.100000000000001" customHeight="1" thickTop="1">
      <c r="A3826" s="109" t="s">
        <v>11842</v>
      </c>
      <c r="B3826" s="28">
        <v>45988</v>
      </c>
      <c r="C3826" s="25">
        <v>2136</v>
      </c>
      <c r="D3826" s="13" t="s">
        <v>1027</v>
      </c>
      <c r="E3826" s="111"/>
      <c r="F3826" s="113" t="s">
        <v>4218</v>
      </c>
      <c r="G3826" s="114"/>
      <c r="H3826" s="115"/>
      <c r="I3826" s="24"/>
      <c r="J3826" s="116">
        <v>4</v>
      </c>
      <c r="K3826" s="118">
        <v>420000</v>
      </c>
      <c r="L3826" s="119"/>
      <c r="M3826" s="118">
        <f t="shared" ref="M3826" si="3636">K3826*0.1</f>
        <v>42000</v>
      </c>
      <c r="N3826" s="119"/>
      <c r="O3826" s="118">
        <v>0</v>
      </c>
      <c r="P3826" s="119"/>
      <c r="Q3826" s="118">
        <v>8460</v>
      </c>
      <c r="R3826" s="119"/>
      <c r="S3826" s="118">
        <v>13750</v>
      </c>
      <c r="T3826" s="119"/>
      <c r="U3826" s="118">
        <f t="shared" ref="U3826" si="3637">SUM(K3826:T3827)</f>
        <v>484210</v>
      </c>
      <c r="V3826" s="122"/>
      <c r="W3826" s="124"/>
      <c r="X3826" s="126" t="s">
        <v>12401</v>
      </c>
      <c r="Y3826" s="127"/>
      <c r="Z3826" s="127"/>
      <c r="AA3826" s="127"/>
      <c r="AB3826" s="128"/>
      <c r="AC3826" s="15" t="s">
        <v>20</v>
      </c>
      <c r="AD3826" s="129"/>
      <c r="AE3826" s="130"/>
      <c r="AF3826" s="130"/>
      <c r="AG3826" s="130"/>
      <c r="AH3826" s="130"/>
      <c r="AI3826" s="131"/>
      <c r="AJ3826" s="132"/>
      <c r="AK3826" s="127"/>
      <c r="AL3826" s="128"/>
      <c r="AM3826" s="21"/>
      <c r="AN3826" s="133">
        <v>45994</v>
      </c>
      <c r="AO3826" s="134"/>
      <c r="AP3826" s="135">
        <v>995</v>
      </c>
      <c r="AQ3826" s="136"/>
      <c r="AR3826" s="118">
        <v>500000</v>
      </c>
      <c r="AS3826" s="119"/>
      <c r="AT3826" s="118">
        <f t="shared" ref="AT3826" si="3638">AR3826*0.1</f>
        <v>50000</v>
      </c>
      <c r="AU3826" s="119"/>
      <c r="AV3826" s="118">
        <v>8460</v>
      </c>
      <c r="AW3826" s="119"/>
      <c r="AX3826" s="118">
        <f t="shared" ref="AX3826" si="3639">SUM(AR3826:AW3826)</f>
        <v>558460</v>
      </c>
      <c r="AY3826" s="119"/>
      <c r="AZ3826" s="137">
        <v>46001</v>
      </c>
    </row>
    <row r="3827" spans="1:52" ht="17.100000000000001" customHeight="1" thickBot="1">
      <c r="A3827" s="110"/>
      <c r="B3827" s="27" t="s">
        <v>3281</v>
      </c>
      <c r="C3827" s="27">
        <v>238</v>
      </c>
      <c r="D3827" s="14" t="s">
        <v>1720</v>
      </c>
      <c r="E3827" s="112"/>
      <c r="F3827" s="139" t="s">
        <v>11846</v>
      </c>
      <c r="G3827" s="140"/>
      <c r="H3827" s="141"/>
      <c r="I3827" s="26">
        <v>23236</v>
      </c>
      <c r="J3827" s="117"/>
      <c r="K3827" s="120"/>
      <c r="L3827" s="121"/>
      <c r="M3827" s="120"/>
      <c r="N3827" s="121"/>
      <c r="O3827" s="120"/>
      <c r="P3827" s="121"/>
      <c r="Q3827" s="120"/>
      <c r="R3827" s="121"/>
      <c r="S3827" s="120"/>
      <c r="T3827" s="121"/>
      <c r="U3827" s="120"/>
      <c r="V3827" s="123"/>
      <c r="W3827" s="125"/>
      <c r="X3827" s="142" t="s">
        <v>3410</v>
      </c>
      <c r="Y3827" s="143"/>
      <c r="Z3827" s="143"/>
      <c r="AA3827" s="143"/>
      <c r="AB3827" s="144"/>
      <c r="AC3827" s="16" t="s">
        <v>21</v>
      </c>
      <c r="AD3827" s="17" t="s">
        <v>2248</v>
      </c>
      <c r="AE3827" s="145" t="s">
        <v>4488</v>
      </c>
      <c r="AF3827" s="146"/>
      <c r="AG3827" s="146"/>
      <c r="AH3827" s="146"/>
      <c r="AI3827" s="147"/>
      <c r="AJ3827" s="148"/>
      <c r="AK3827" s="143"/>
      <c r="AL3827" s="144"/>
      <c r="AM3827" s="22"/>
      <c r="AN3827" s="149" t="s">
        <v>8809</v>
      </c>
      <c r="AO3827" s="144"/>
      <c r="AP3827" s="148">
        <v>2047</v>
      </c>
      <c r="AQ3827" s="144"/>
      <c r="AR3827" s="120"/>
      <c r="AS3827" s="121"/>
      <c r="AT3827" s="120"/>
      <c r="AU3827" s="121"/>
      <c r="AV3827" s="120"/>
      <c r="AW3827" s="121"/>
      <c r="AX3827" s="120"/>
      <c r="AY3827" s="121"/>
      <c r="AZ3827" s="138"/>
    </row>
    <row r="3828" spans="1:52" ht="17.100000000000001" customHeight="1" thickTop="1">
      <c r="A3828" s="109" t="s">
        <v>11843</v>
      </c>
      <c r="B3828" s="28">
        <v>45988</v>
      </c>
      <c r="C3828" s="25">
        <v>2136</v>
      </c>
      <c r="D3828" s="13" t="s">
        <v>3322</v>
      </c>
      <c r="E3828" s="111"/>
      <c r="F3828" s="113" t="s">
        <v>4145</v>
      </c>
      <c r="G3828" s="114"/>
      <c r="H3828" s="115"/>
      <c r="I3828" s="24" t="s">
        <v>11850</v>
      </c>
      <c r="J3828" s="116">
        <v>4</v>
      </c>
      <c r="K3828" s="118">
        <v>773000</v>
      </c>
      <c r="L3828" s="119"/>
      <c r="M3828" s="118">
        <f t="shared" ref="M3828" si="3640">K3828*0.1</f>
        <v>77300</v>
      </c>
      <c r="N3828" s="119"/>
      <c r="O3828" s="118">
        <v>0</v>
      </c>
      <c r="P3828" s="119"/>
      <c r="Q3828" s="118">
        <v>8110</v>
      </c>
      <c r="R3828" s="119"/>
      <c r="S3828" s="118">
        <v>13750</v>
      </c>
      <c r="T3828" s="119"/>
      <c r="U3828" s="118">
        <f t="shared" ref="U3828" si="3641">SUM(K3828:T3829)</f>
        <v>872160</v>
      </c>
      <c r="V3828" s="122"/>
      <c r="W3828" s="124"/>
      <c r="X3828" s="126" t="s">
        <v>12241</v>
      </c>
      <c r="Y3828" s="127"/>
      <c r="Z3828" s="127"/>
      <c r="AA3828" s="127"/>
      <c r="AB3828" s="128"/>
      <c r="AC3828" s="15" t="s">
        <v>20</v>
      </c>
      <c r="AD3828" s="129" t="s">
        <v>1670</v>
      </c>
      <c r="AE3828" s="130"/>
      <c r="AF3828" s="130"/>
      <c r="AG3828" s="130"/>
      <c r="AH3828" s="130"/>
      <c r="AI3828" s="131"/>
      <c r="AJ3828" s="132"/>
      <c r="AK3828" s="127"/>
      <c r="AL3828" s="128"/>
      <c r="AM3828" s="21" t="s">
        <v>12533</v>
      </c>
      <c r="AN3828" s="133">
        <v>45994</v>
      </c>
      <c r="AO3828" s="134"/>
      <c r="AP3828" s="135">
        <v>995</v>
      </c>
      <c r="AQ3828" s="136"/>
      <c r="AR3828" s="118">
        <v>875000</v>
      </c>
      <c r="AS3828" s="119"/>
      <c r="AT3828" s="118">
        <f t="shared" ref="AT3828" si="3642">AR3828*0.1</f>
        <v>87500</v>
      </c>
      <c r="AU3828" s="119"/>
      <c r="AV3828" s="118">
        <v>8110</v>
      </c>
      <c r="AW3828" s="119"/>
      <c r="AX3828" s="118">
        <f t="shared" ref="AX3828" si="3643">SUM(AR3828:AW3828)</f>
        <v>970610</v>
      </c>
      <c r="AY3828" s="119"/>
      <c r="AZ3828" s="137">
        <v>45999</v>
      </c>
    </row>
    <row r="3829" spans="1:52" ht="17.100000000000001" customHeight="1" thickBot="1">
      <c r="A3829" s="110"/>
      <c r="B3829" s="27" t="s">
        <v>3281</v>
      </c>
      <c r="C3829" s="27">
        <v>2505</v>
      </c>
      <c r="D3829" s="14" t="s">
        <v>3793</v>
      </c>
      <c r="E3829" s="112"/>
      <c r="F3829" s="139" t="s">
        <v>11847</v>
      </c>
      <c r="G3829" s="140"/>
      <c r="H3829" s="141"/>
      <c r="I3829" s="26">
        <v>23321</v>
      </c>
      <c r="J3829" s="117"/>
      <c r="K3829" s="120"/>
      <c r="L3829" s="121"/>
      <c r="M3829" s="120"/>
      <c r="N3829" s="121"/>
      <c r="O3829" s="120"/>
      <c r="P3829" s="121"/>
      <c r="Q3829" s="120"/>
      <c r="R3829" s="121"/>
      <c r="S3829" s="120"/>
      <c r="T3829" s="121"/>
      <c r="U3829" s="120"/>
      <c r="V3829" s="123"/>
      <c r="W3829" s="125"/>
      <c r="X3829" s="142" t="s">
        <v>12242</v>
      </c>
      <c r="Y3829" s="143"/>
      <c r="Z3829" s="143"/>
      <c r="AA3829" s="143"/>
      <c r="AB3829" s="144"/>
      <c r="AC3829" s="16" t="s">
        <v>21</v>
      </c>
      <c r="AD3829" s="17" t="s">
        <v>1741</v>
      </c>
      <c r="AE3829" s="145" t="s">
        <v>1742</v>
      </c>
      <c r="AF3829" s="146"/>
      <c r="AG3829" s="146"/>
      <c r="AH3829" s="146"/>
      <c r="AI3829" s="147"/>
      <c r="AJ3829" s="148"/>
      <c r="AK3829" s="143"/>
      <c r="AL3829" s="144"/>
      <c r="AM3829" s="22"/>
      <c r="AN3829" s="149" t="s">
        <v>2794</v>
      </c>
      <c r="AO3829" s="144"/>
      <c r="AP3829" s="148">
        <v>2052</v>
      </c>
      <c r="AQ3829" s="144"/>
      <c r="AR3829" s="120"/>
      <c r="AS3829" s="121"/>
      <c r="AT3829" s="120"/>
      <c r="AU3829" s="121"/>
      <c r="AV3829" s="120"/>
      <c r="AW3829" s="121"/>
      <c r="AX3829" s="120"/>
      <c r="AY3829" s="121"/>
      <c r="AZ3829" s="138"/>
    </row>
    <row r="3830" spans="1:52" ht="17.100000000000001" customHeight="1" thickTop="1">
      <c r="A3830" s="109" t="s">
        <v>11844</v>
      </c>
      <c r="B3830" s="28">
        <v>45988</v>
      </c>
      <c r="C3830" s="25">
        <v>2136</v>
      </c>
      <c r="D3830" s="13" t="s">
        <v>1767</v>
      </c>
      <c r="E3830" s="111"/>
      <c r="F3830" s="113" t="s">
        <v>11851</v>
      </c>
      <c r="G3830" s="114"/>
      <c r="H3830" s="115"/>
      <c r="I3830" s="24"/>
      <c r="J3830" s="116">
        <v>4</v>
      </c>
      <c r="K3830" s="118">
        <v>794000</v>
      </c>
      <c r="L3830" s="119"/>
      <c r="M3830" s="118">
        <f t="shared" ref="M3830" si="3644">K3830*0.1</f>
        <v>79400</v>
      </c>
      <c r="N3830" s="119"/>
      <c r="O3830" s="118">
        <v>0</v>
      </c>
      <c r="P3830" s="119"/>
      <c r="Q3830" s="118">
        <v>9140</v>
      </c>
      <c r="R3830" s="119"/>
      <c r="S3830" s="118">
        <v>13750</v>
      </c>
      <c r="T3830" s="119"/>
      <c r="U3830" s="118">
        <f t="shared" ref="U3830" si="3645">SUM(K3830:T3831)</f>
        <v>896290</v>
      </c>
      <c r="V3830" s="122"/>
      <c r="W3830" s="124"/>
      <c r="X3830" s="126" t="s">
        <v>12243</v>
      </c>
      <c r="Y3830" s="127"/>
      <c r="Z3830" s="127"/>
      <c r="AA3830" s="127"/>
      <c r="AB3830" s="128"/>
      <c r="AC3830" s="15" t="s">
        <v>20</v>
      </c>
      <c r="AD3830" s="129" t="s">
        <v>1732</v>
      </c>
      <c r="AE3830" s="130"/>
      <c r="AF3830" s="130"/>
      <c r="AG3830" s="130"/>
      <c r="AH3830" s="130"/>
      <c r="AI3830" s="131"/>
      <c r="AJ3830" s="132"/>
      <c r="AK3830" s="127"/>
      <c r="AL3830" s="128"/>
      <c r="AM3830" s="21"/>
      <c r="AN3830" s="133">
        <v>46011</v>
      </c>
      <c r="AO3830" s="134"/>
      <c r="AP3830" s="135">
        <v>1281</v>
      </c>
      <c r="AQ3830" s="136"/>
      <c r="AR3830" s="118">
        <v>850000</v>
      </c>
      <c r="AS3830" s="119"/>
      <c r="AT3830" s="118">
        <f t="shared" ref="AT3830" si="3646">AR3830*0.1</f>
        <v>85000</v>
      </c>
      <c r="AU3830" s="119"/>
      <c r="AV3830" s="118">
        <v>9140</v>
      </c>
      <c r="AW3830" s="119"/>
      <c r="AX3830" s="118">
        <f t="shared" ref="AX3830" si="3647">SUM(AR3830:AW3830)</f>
        <v>944140</v>
      </c>
      <c r="AY3830" s="119"/>
      <c r="AZ3830" s="137">
        <v>46014</v>
      </c>
    </row>
    <row r="3831" spans="1:52" ht="17.100000000000001" customHeight="1" thickBot="1">
      <c r="A3831" s="110"/>
      <c r="B3831" s="27" t="s">
        <v>3281</v>
      </c>
      <c r="C3831" s="27">
        <v>2531</v>
      </c>
      <c r="D3831" s="14" t="s">
        <v>275</v>
      </c>
      <c r="E3831" s="112"/>
      <c r="F3831" s="139" t="s">
        <v>11848</v>
      </c>
      <c r="G3831" s="140"/>
      <c r="H3831" s="141"/>
      <c r="I3831" s="26">
        <v>58391</v>
      </c>
      <c r="J3831" s="117"/>
      <c r="K3831" s="120"/>
      <c r="L3831" s="121"/>
      <c r="M3831" s="120"/>
      <c r="N3831" s="121"/>
      <c r="O3831" s="120"/>
      <c r="P3831" s="121"/>
      <c r="Q3831" s="120"/>
      <c r="R3831" s="121"/>
      <c r="S3831" s="120"/>
      <c r="T3831" s="121"/>
      <c r="U3831" s="120"/>
      <c r="V3831" s="123"/>
      <c r="W3831" s="125"/>
      <c r="X3831" s="142" t="s">
        <v>2440</v>
      </c>
      <c r="Y3831" s="143"/>
      <c r="Z3831" s="143"/>
      <c r="AA3831" s="143"/>
      <c r="AB3831" s="144"/>
      <c r="AC3831" s="16" t="s">
        <v>21</v>
      </c>
      <c r="AD3831" s="17" t="s">
        <v>1741</v>
      </c>
      <c r="AE3831" s="145" t="s">
        <v>12244</v>
      </c>
      <c r="AF3831" s="146"/>
      <c r="AG3831" s="146"/>
      <c r="AH3831" s="146"/>
      <c r="AI3831" s="147"/>
      <c r="AJ3831" s="148"/>
      <c r="AK3831" s="143"/>
      <c r="AL3831" s="144"/>
      <c r="AM3831" s="22"/>
      <c r="AN3831" s="149" t="s">
        <v>7284</v>
      </c>
      <c r="AO3831" s="144"/>
      <c r="AP3831" s="148">
        <v>60001</v>
      </c>
      <c r="AQ3831" s="144"/>
      <c r="AR3831" s="120"/>
      <c r="AS3831" s="121"/>
      <c r="AT3831" s="120"/>
      <c r="AU3831" s="121"/>
      <c r="AV3831" s="120"/>
      <c r="AW3831" s="121"/>
      <c r="AX3831" s="120"/>
      <c r="AY3831" s="121"/>
      <c r="AZ3831" s="138"/>
    </row>
    <row r="3832" spans="1:52" ht="17.100000000000001" customHeight="1" thickTop="1">
      <c r="A3832" s="109" t="s">
        <v>11845</v>
      </c>
      <c r="B3832" s="28">
        <v>45988</v>
      </c>
      <c r="C3832" s="25">
        <v>2136</v>
      </c>
      <c r="D3832" s="13" t="s">
        <v>1971</v>
      </c>
      <c r="E3832" s="111"/>
      <c r="F3832" s="113" t="s">
        <v>2790</v>
      </c>
      <c r="G3832" s="114"/>
      <c r="H3832" s="115"/>
      <c r="I3832" s="24"/>
      <c r="J3832" s="116">
        <v>4</v>
      </c>
      <c r="K3832" s="118">
        <v>1166000</v>
      </c>
      <c r="L3832" s="119"/>
      <c r="M3832" s="118">
        <f t="shared" ref="M3832" si="3648">K3832*0.1</f>
        <v>116600</v>
      </c>
      <c r="N3832" s="119"/>
      <c r="O3832" s="118">
        <v>0</v>
      </c>
      <c r="P3832" s="119"/>
      <c r="Q3832" s="118">
        <v>8550</v>
      </c>
      <c r="R3832" s="119"/>
      <c r="S3832" s="118">
        <v>13750</v>
      </c>
      <c r="T3832" s="119"/>
      <c r="U3832" s="118">
        <f t="shared" ref="U3832" si="3649">SUM(K3832:T3833)</f>
        <v>1304900</v>
      </c>
      <c r="V3832" s="122"/>
      <c r="W3832" s="124"/>
      <c r="X3832" s="126" t="s">
        <v>12239</v>
      </c>
      <c r="Y3832" s="127"/>
      <c r="Z3832" s="127"/>
      <c r="AA3832" s="127"/>
      <c r="AB3832" s="128"/>
      <c r="AC3832" s="15" t="s">
        <v>20</v>
      </c>
      <c r="AD3832" s="129"/>
      <c r="AE3832" s="130"/>
      <c r="AF3832" s="130"/>
      <c r="AG3832" s="130"/>
      <c r="AH3832" s="130"/>
      <c r="AI3832" s="131"/>
      <c r="AJ3832" s="132"/>
      <c r="AK3832" s="127"/>
      <c r="AL3832" s="128"/>
      <c r="AM3832" s="21"/>
      <c r="AN3832" s="133">
        <v>46011</v>
      </c>
      <c r="AO3832" s="134"/>
      <c r="AP3832" s="135">
        <v>1281</v>
      </c>
      <c r="AQ3832" s="136"/>
      <c r="AR3832" s="118">
        <v>1250000</v>
      </c>
      <c r="AS3832" s="119"/>
      <c r="AT3832" s="118">
        <f t="shared" ref="AT3832" si="3650">AR3832*0.1</f>
        <v>125000</v>
      </c>
      <c r="AU3832" s="119"/>
      <c r="AV3832" s="118">
        <v>8550</v>
      </c>
      <c r="AW3832" s="119"/>
      <c r="AX3832" s="118">
        <f t="shared" ref="AX3832" si="3651">SUM(AR3832:AW3832)</f>
        <v>1383550</v>
      </c>
      <c r="AY3832" s="119"/>
      <c r="AZ3832" s="137">
        <v>46028</v>
      </c>
    </row>
    <row r="3833" spans="1:52" ht="17.100000000000001" customHeight="1" thickBot="1">
      <c r="A3833" s="110"/>
      <c r="B3833" s="27" t="s">
        <v>3281</v>
      </c>
      <c r="C3833" s="27">
        <v>2548</v>
      </c>
      <c r="D3833" s="14" t="s">
        <v>275</v>
      </c>
      <c r="E3833" s="112"/>
      <c r="F3833" s="139" t="s">
        <v>11849</v>
      </c>
      <c r="G3833" s="140"/>
      <c r="H3833" s="141"/>
      <c r="I3833" s="26">
        <v>44128</v>
      </c>
      <c r="J3833" s="117"/>
      <c r="K3833" s="120"/>
      <c r="L3833" s="121"/>
      <c r="M3833" s="120"/>
      <c r="N3833" s="121"/>
      <c r="O3833" s="120"/>
      <c r="P3833" s="121"/>
      <c r="Q3833" s="120"/>
      <c r="R3833" s="121"/>
      <c r="S3833" s="120"/>
      <c r="T3833" s="121"/>
      <c r="U3833" s="120"/>
      <c r="V3833" s="123"/>
      <c r="W3833" s="125"/>
      <c r="X3833" s="142" t="s">
        <v>12240</v>
      </c>
      <c r="Y3833" s="143"/>
      <c r="Z3833" s="143"/>
      <c r="AA3833" s="143"/>
      <c r="AB3833" s="144"/>
      <c r="AC3833" s="16" t="s">
        <v>21</v>
      </c>
      <c r="AD3833" s="17" t="s">
        <v>1741</v>
      </c>
      <c r="AE3833" s="145" t="s">
        <v>12129</v>
      </c>
      <c r="AF3833" s="146"/>
      <c r="AG3833" s="146"/>
      <c r="AH3833" s="146"/>
      <c r="AI3833" s="147"/>
      <c r="AJ3833" s="148"/>
      <c r="AK3833" s="143"/>
      <c r="AL3833" s="144"/>
      <c r="AM3833" s="22"/>
      <c r="AN3833" s="149" t="s">
        <v>6748</v>
      </c>
      <c r="AO3833" s="144"/>
      <c r="AP3833" s="148">
        <v>60003</v>
      </c>
      <c r="AQ3833" s="144"/>
      <c r="AR3833" s="120"/>
      <c r="AS3833" s="121"/>
      <c r="AT3833" s="120"/>
      <c r="AU3833" s="121"/>
      <c r="AV3833" s="120"/>
      <c r="AW3833" s="121"/>
      <c r="AX3833" s="120"/>
      <c r="AY3833" s="121"/>
      <c r="AZ3833" s="138"/>
    </row>
    <row r="3834" spans="1:52" ht="17.100000000000001" customHeight="1" thickTop="1">
      <c r="A3834" s="109" t="s">
        <v>11930</v>
      </c>
      <c r="B3834" s="28">
        <v>45989</v>
      </c>
      <c r="C3834" s="25">
        <v>268</v>
      </c>
      <c r="D3834" s="13" t="s">
        <v>3386</v>
      </c>
      <c r="E3834" s="111"/>
      <c r="F3834" s="113" t="s">
        <v>8153</v>
      </c>
      <c r="G3834" s="114"/>
      <c r="H3834" s="115"/>
      <c r="I3834" s="24"/>
      <c r="J3834" s="116">
        <v>4.5</v>
      </c>
      <c r="K3834" s="118">
        <v>632000</v>
      </c>
      <c r="L3834" s="119"/>
      <c r="M3834" s="118">
        <f t="shared" ref="M3834" si="3652">K3834*0.1</f>
        <v>63200</v>
      </c>
      <c r="N3834" s="119"/>
      <c r="O3834" s="118">
        <v>0</v>
      </c>
      <c r="P3834" s="119"/>
      <c r="Q3834" s="118">
        <v>6470</v>
      </c>
      <c r="R3834" s="119"/>
      <c r="S3834" s="118">
        <v>22000</v>
      </c>
      <c r="T3834" s="119"/>
      <c r="U3834" s="118">
        <f t="shared" ref="U3834" si="3653">SUM(K3834:T3835)</f>
        <v>723670</v>
      </c>
      <c r="V3834" s="122"/>
      <c r="W3834" s="124"/>
      <c r="X3834" s="126" t="s">
        <v>12402</v>
      </c>
      <c r="Y3834" s="127"/>
      <c r="Z3834" s="127"/>
      <c r="AA3834" s="127"/>
      <c r="AB3834" s="128"/>
      <c r="AC3834" s="15" t="s">
        <v>20</v>
      </c>
      <c r="AD3834" s="129" t="s">
        <v>11853</v>
      </c>
      <c r="AE3834" s="130"/>
      <c r="AF3834" s="130"/>
      <c r="AG3834" s="130"/>
      <c r="AH3834" s="130"/>
      <c r="AI3834" s="131"/>
      <c r="AJ3834" s="132"/>
      <c r="AK3834" s="127"/>
      <c r="AL3834" s="128"/>
      <c r="AM3834" s="21"/>
      <c r="AN3834" s="133">
        <v>46000</v>
      </c>
      <c r="AO3834" s="134"/>
      <c r="AP3834" s="135">
        <v>1921</v>
      </c>
      <c r="AQ3834" s="136"/>
      <c r="AR3834" s="118">
        <v>660000</v>
      </c>
      <c r="AS3834" s="119"/>
      <c r="AT3834" s="118">
        <f t="shared" ref="AT3834" si="3654">AR3834*0.1</f>
        <v>66000</v>
      </c>
      <c r="AU3834" s="119"/>
      <c r="AV3834" s="118">
        <v>6470</v>
      </c>
      <c r="AW3834" s="119"/>
      <c r="AX3834" s="118">
        <f t="shared" ref="AX3834" si="3655">SUM(AR3834:AW3834)</f>
        <v>732470</v>
      </c>
      <c r="AY3834" s="119"/>
      <c r="AZ3834" s="137">
        <v>46006</v>
      </c>
    </row>
    <row r="3835" spans="1:52" ht="17.100000000000001" customHeight="1" thickBot="1">
      <c r="A3835" s="110"/>
      <c r="B3835" s="27" t="s">
        <v>3957</v>
      </c>
      <c r="C3835" s="27">
        <v>7</v>
      </c>
      <c r="D3835" s="14" t="s">
        <v>275</v>
      </c>
      <c r="E3835" s="112"/>
      <c r="F3835" s="139" t="s">
        <v>11852</v>
      </c>
      <c r="G3835" s="140"/>
      <c r="H3835" s="141"/>
      <c r="I3835" s="26">
        <v>43118</v>
      </c>
      <c r="J3835" s="117"/>
      <c r="K3835" s="120"/>
      <c r="L3835" s="121"/>
      <c r="M3835" s="120"/>
      <c r="N3835" s="121"/>
      <c r="O3835" s="120"/>
      <c r="P3835" s="121"/>
      <c r="Q3835" s="120"/>
      <c r="R3835" s="121"/>
      <c r="S3835" s="120"/>
      <c r="T3835" s="121"/>
      <c r="U3835" s="120"/>
      <c r="V3835" s="123"/>
      <c r="W3835" s="125"/>
      <c r="X3835" s="142" t="s">
        <v>12403</v>
      </c>
      <c r="Y3835" s="143"/>
      <c r="Z3835" s="143"/>
      <c r="AA3835" s="143"/>
      <c r="AB3835" s="144"/>
      <c r="AC3835" s="16" t="s">
        <v>21</v>
      </c>
      <c r="AD3835" s="17" t="s">
        <v>2248</v>
      </c>
      <c r="AE3835" s="145" t="s">
        <v>12404</v>
      </c>
      <c r="AF3835" s="146"/>
      <c r="AG3835" s="146"/>
      <c r="AH3835" s="146"/>
      <c r="AI3835" s="147"/>
      <c r="AJ3835" s="148"/>
      <c r="AK3835" s="143"/>
      <c r="AL3835" s="144"/>
      <c r="AM3835" s="22"/>
      <c r="AN3835" s="149" t="s">
        <v>2131</v>
      </c>
      <c r="AO3835" s="144"/>
      <c r="AP3835" s="148">
        <v>3131</v>
      </c>
      <c r="AQ3835" s="144"/>
      <c r="AR3835" s="120"/>
      <c r="AS3835" s="121"/>
      <c r="AT3835" s="120"/>
      <c r="AU3835" s="121"/>
      <c r="AV3835" s="120"/>
      <c r="AW3835" s="121"/>
      <c r="AX3835" s="120"/>
      <c r="AY3835" s="121"/>
      <c r="AZ3835" s="138"/>
    </row>
    <row r="3836" spans="1:52" ht="17.100000000000001" customHeight="1" thickTop="1">
      <c r="A3836" s="109" t="s">
        <v>11931</v>
      </c>
      <c r="B3836" s="28">
        <v>45989</v>
      </c>
      <c r="C3836" s="25">
        <v>268</v>
      </c>
      <c r="D3836" s="13" t="s">
        <v>1651</v>
      </c>
      <c r="E3836" s="111"/>
      <c r="F3836" s="113" t="s">
        <v>11854</v>
      </c>
      <c r="G3836" s="114"/>
      <c r="H3836" s="115"/>
      <c r="I3836" s="24" t="s">
        <v>2112</v>
      </c>
      <c r="J3836" s="116">
        <v>4.5</v>
      </c>
      <c r="K3836" s="118">
        <v>1052000</v>
      </c>
      <c r="L3836" s="119"/>
      <c r="M3836" s="118">
        <f t="shared" ref="M3836" si="3656">K3836*0.1</f>
        <v>105200</v>
      </c>
      <c r="N3836" s="119"/>
      <c r="O3836" s="118">
        <v>0</v>
      </c>
      <c r="P3836" s="119"/>
      <c r="Q3836" s="118">
        <v>6560</v>
      </c>
      <c r="R3836" s="119"/>
      <c r="S3836" s="118">
        <v>22000</v>
      </c>
      <c r="T3836" s="119"/>
      <c r="U3836" s="118">
        <f t="shared" ref="U3836" si="3657">SUM(K3836:T3837)</f>
        <v>1185760</v>
      </c>
      <c r="V3836" s="122"/>
      <c r="W3836" s="124"/>
      <c r="X3836" s="126" t="s">
        <v>11856</v>
      </c>
      <c r="Y3836" s="127"/>
      <c r="Z3836" s="127"/>
      <c r="AA3836" s="127"/>
      <c r="AB3836" s="128"/>
      <c r="AC3836" s="15" t="s">
        <v>20</v>
      </c>
      <c r="AD3836" s="129" t="s">
        <v>11853</v>
      </c>
      <c r="AE3836" s="130"/>
      <c r="AF3836" s="130"/>
      <c r="AG3836" s="130"/>
      <c r="AH3836" s="130"/>
      <c r="AI3836" s="131"/>
      <c r="AJ3836" s="132"/>
      <c r="AK3836" s="127"/>
      <c r="AL3836" s="128"/>
      <c r="AM3836" s="21" t="s">
        <v>12863</v>
      </c>
      <c r="AN3836" s="133">
        <v>46000</v>
      </c>
      <c r="AO3836" s="134"/>
      <c r="AP3836" s="135">
        <v>1921</v>
      </c>
      <c r="AQ3836" s="136"/>
      <c r="AR3836" s="118">
        <v>1085000</v>
      </c>
      <c r="AS3836" s="119"/>
      <c r="AT3836" s="118">
        <f t="shared" ref="AT3836" si="3658">AR3836*0.1</f>
        <v>108500</v>
      </c>
      <c r="AU3836" s="119"/>
      <c r="AV3836" s="118">
        <v>6560</v>
      </c>
      <c r="AW3836" s="119"/>
      <c r="AX3836" s="118">
        <f t="shared" ref="AX3836" si="3659">SUM(AR3836:AW3836)</f>
        <v>1200060</v>
      </c>
      <c r="AY3836" s="119"/>
      <c r="AZ3836" s="137">
        <v>46006</v>
      </c>
    </row>
    <row r="3837" spans="1:52" ht="17.100000000000001" customHeight="1" thickBot="1">
      <c r="A3837" s="110"/>
      <c r="B3837" s="27" t="s">
        <v>3957</v>
      </c>
      <c r="C3837" s="27">
        <v>11</v>
      </c>
      <c r="D3837" s="14" t="s">
        <v>2601</v>
      </c>
      <c r="E3837" s="112"/>
      <c r="F3837" s="139" t="s">
        <v>11855</v>
      </c>
      <c r="G3837" s="140"/>
      <c r="H3837" s="141"/>
      <c r="I3837" s="26">
        <v>24569</v>
      </c>
      <c r="J3837" s="117"/>
      <c r="K3837" s="120"/>
      <c r="L3837" s="121"/>
      <c r="M3837" s="120"/>
      <c r="N3837" s="121"/>
      <c r="O3837" s="120"/>
      <c r="P3837" s="121"/>
      <c r="Q3837" s="120"/>
      <c r="R3837" s="121"/>
      <c r="S3837" s="120"/>
      <c r="T3837" s="121"/>
      <c r="U3837" s="120"/>
      <c r="V3837" s="123"/>
      <c r="W3837" s="125"/>
      <c r="X3837" s="142" t="s">
        <v>12403</v>
      </c>
      <c r="Y3837" s="143"/>
      <c r="Z3837" s="143"/>
      <c r="AA3837" s="143"/>
      <c r="AB3837" s="144"/>
      <c r="AC3837" s="16" t="s">
        <v>21</v>
      </c>
      <c r="AD3837" s="17" t="s">
        <v>2248</v>
      </c>
      <c r="AE3837" s="145" t="s">
        <v>12404</v>
      </c>
      <c r="AF3837" s="146"/>
      <c r="AG3837" s="146"/>
      <c r="AH3837" s="146"/>
      <c r="AI3837" s="147"/>
      <c r="AJ3837" s="148"/>
      <c r="AK3837" s="143"/>
      <c r="AL3837" s="144"/>
      <c r="AM3837" s="22"/>
      <c r="AN3837" s="149" t="s">
        <v>2131</v>
      </c>
      <c r="AO3837" s="144"/>
      <c r="AP3837" s="148">
        <v>3135</v>
      </c>
      <c r="AQ3837" s="144"/>
      <c r="AR3837" s="120"/>
      <c r="AS3837" s="121"/>
      <c r="AT3837" s="120"/>
      <c r="AU3837" s="121"/>
      <c r="AV3837" s="120"/>
      <c r="AW3837" s="121"/>
      <c r="AX3837" s="120"/>
      <c r="AY3837" s="121"/>
      <c r="AZ3837" s="138"/>
    </row>
    <row r="3838" spans="1:52" ht="17.100000000000001" customHeight="1" thickTop="1">
      <c r="A3838" s="151" t="s">
        <v>11932</v>
      </c>
      <c r="B3838" s="28">
        <v>45989</v>
      </c>
      <c r="C3838" s="25">
        <v>268</v>
      </c>
      <c r="D3838" s="13" t="s">
        <v>1744</v>
      </c>
      <c r="E3838" s="111"/>
      <c r="F3838" s="113" t="s">
        <v>11857</v>
      </c>
      <c r="G3838" s="114"/>
      <c r="H3838" s="115"/>
      <c r="I3838" s="24" t="s">
        <v>2919</v>
      </c>
      <c r="J3838" s="116">
        <v>4</v>
      </c>
      <c r="K3838" s="118">
        <v>404000</v>
      </c>
      <c r="L3838" s="119"/>
      <c r="M3838" s="118">
        <f t="shared" ref="M3838" si="3660">K3838*0.1</f>
        <v>40400</v>
      </c>
      <c r="N3838" s="119"/>
      <c r="O3838" s="118">
        <v>0</v>
      </c>
      <c r="P3838" s="119"/>
      <c r="Q3838" s="118">
        <v>7510</v>
      </c>
      <c r="R3838" s="119"/>
      <c r="S3838" s="118">
        <v>22000</v>
      </c>
      <c r="T3838" s="119"/>
      <c r="U3838" s="118">
        <f t="shared" ref="U3838" si="3661">SUM(K3838:T3839)</f>
        <v>473910</v>
      </c>
      <c r="V3838" s="122"/>
      <c r="W3838" s="124"/>
      <c r="X3838" s="126" t="s">
        <v>11859</v>
      </c>
      <c r="Y3838" s="127"/>
      <c r="Z3838" s="127"/>
      <c r="AA3838" s="127"/>
      <c r="AB3838" s="128"/>
      <c r="AC3838" s="15" t="s">
        <v>20</v>
      </c>
      <c r="AD3838" s="129"/>
      <c r="AE3838" s="130"/>
      <c r="AF3838" s="130"/>
      <c r="AG3838" s="130"/>
      <c r="AH3838" s="130"/>
      <c r="AI3838" s="131"/>
      <c r="AJ3838" s="132"/>
      <c r="AK3838" s="127"/>
      <c r="AL3838" s="128"/>
      <c r="AM3838" s="21" t="s">
        <v>13039</v>
      </c>
      <c r="AN3838" s="133">
        <v>46039</v>
      </c>
      <c r="AO3838" s="134"/>
      <c r="AP3838" s="135">
        <v>1284</v>
      </c>
      <c r="AQ3838" s="136"/>
      <c r="AR3838" s="118">
        <v>460000</v>
      </c>
      <c r="AS3838" s="119"/>
      <c r="AT3838" s="118">
        <f t="shared" ref="AT3838" si="3662">AR3838*0.1</f>
        <v>46000</v>
      </c>
      <c r="AU3838" s="119"/>
      <c r="AV3838" s="118">
        <v>7510</v>
      </c>
      <c r="AW3838" s="119"/>
      <c r="AX3838" s="118">
        <f t="shared" ref="AX3838" si="3663">SUM(AR3838:AW3838)</f>
        <v>513510</v>
      </c>
      <c r="AY3838" s="119"/>
      <c r="AZ3838" s="137">
        <v>46042</v>
      </c>
    </row>
    <row r="3839" spans="1:52" ht="17.100000000000001" customHeight="1" thickBot="1">
      <c r="A3839" s="152"/>
      <c r="B3839" s="27" t="s">
        <v>3957</v>
      </c>
      <c r="C3839" s="27">
        <v>18</v>
      </c>
      <c r="D3839" s="14" t="s">
        <v>1592</v>
      </c>
      <c r="E3839" s="112"/>
      <c r="F3839" s="139" t="s">
        <v>11858</v>
      </c>
      <c r="G3839" s="140"/>
      <c r="H3839" s="141"/>
      <c r="I3839" s="26">
        <v>48706</v>
      </c>
      <c r="J3839" s="117"/>
      <c r="K3839" s="120"/>
      <c r="L3839" s="121"/>
      <c r="M3839" s="120"/>
      <c r="N3839" s="121"/>
      <c r="O3839" s="120"/>
      <c r="P3839" s="121"/>
      <c r="Q3839" s="120"/>
      <c r="R3839" s="121"/>
      <c r="S3839" s="120"/>
      <c r="T3839" s="121"/>
      <c r="U3839" s="120"/>
      <c r="V3839" s="123"/>
      <c r="W3839" s="125"/>
      <c r="X3839" s="142" t="s">
        <v>12405</v>
      </c>
      <c r="Y3839" s="143"/>
      <c r="Z3839" s="143"/>
      <c r="AA3839" s="143"/>
      <c r="AB3839" s="144"/>
      <c r="AC3839" s="16" t="s">
        <v>21</v>
      </c>
      <c r="AD3839" s="17" t="s">
        <v>2248</v>
      </c>
      <c r="AE3839" s="145" t="s">
        <v>1670</v>
      </c>
      <c r="AF3839" s="146"/>
      <c r="AG3839" s="146"/>
      <c r="AH3839" s="146"/>
      <c r="AI3839" s="147"/>
      <c r="AJ3839" s="148"/>
      <c r="AK3839" s="143"/>
      <c r="AL3839" s="144"/>
      <c r="AM3839" s="22"/>
      <c r="AN3839" s="149" t="s">
        <v>7284</v>
      </c>
      <c r="AO3839" s="144"/>
      <c r="AP3839" s="148">
        <v>60119</v>
      </c>
      <c r="AQ3839" s="144"/>
      <c r="AR3839" s="120"/>
      <c r="AS3839" s="121"/>
      <c r="AT3839" s="120"/>
      <c r="AU3839" s="121"/>
      <c r="AV3839" s="120"/>
      <c r="AW3839" s="121"/>
      <c r="AX3839" s="120"/>
      <c r="AY3839" s="121"/>
      <c r="AZ3839" s="138"/>
    </row>
    <row r="3840" spans="1:52" ht="17.100000000000001" customHeight="1" thickTop="1">
      <c r="A3840" s="109" t="s">
        <v>11933</v>
      </c>
      <c r="B3840" s="28">
        <v>45989</v>
      </c>
      <c r="C3840" s="25">
        <v>268</v>
      </c>
      <c r="D3840" s="13" t="s">
        <v>2530</v>
      </c>
      <c r="E3840" s="111"/>
      <c r="F3840" s="113" t="s">
        <v>6960</v>
      </c>
      <c r="G3840" s="114"/>
      <c r="H3840" s="115"/>
      <c r="I3840" s="24" t="s">
        <v>4487</v>
      </c>
      <c r="J3840" s="116">
        <v>5</v>
      </c>
      <c r="K3840" s="118">
        <v>1733000</v>
      </c>
      <c r="L3840" s="119"/>
      <c r="M3840" s="118">
        <f t="shared" ref="M3840" si="3664">K3840*0.1</f>
        <v>173300</v>
      </c>
      <c r="N3840" s="119"/>
      <c r="O3840" s="118">
        <v>0</v>
      </c>
      <c r="P3840" s="119"/>
      <c r="Q3840" s="118">
        <v>9130</v>
      </c>
      <c r="R3840" s="119"/>
      <c r="S3840" s="118">
        <v>22000</v>
      </c>
      <c r="T3840" s="119"/>
      <c r="U3840" s="118">
        <f t="shared" ref="U3840" si="3665">SUM(K3840:T3841)</f>
        <v>1937430</v>
      </c>
      <c r="V3840" s="122"/>
      <c r="W3840" s="124"/>
      <c r="X3840" s="126" t="s">
        <v>11861</v>
      </c>
      <c r="Y3840" s="127"/>
      <c r="Z3840" s="127"/>
      <c r="AA3840" s="127"/>
      <c r="AB3840" s="128"/>
      <c r="AC3840" s="15" t="s">
        <v>20</v>
      </c>
      <c r="AD3840" s="129"/>
      <c r="AE3840" s="130"/>
      <c r="AF3840" s="130"/>
      <c r="AG3840" s="130"/>
      <c r="AH3840" s="130"/>
      <c r="AI3840" s="131"/>
      <c r="AJ3840" s="132"/>
      <c r="AK3840" s="127"/>
      <c r="AL3840" s="128"/>
      <c r="AM3840" s="21" t="s">
        <v>12865</v>
      </c>
      <c r="AN3840" s="133">
        <v>46000</v>
      </c>
      <c r="AO3840" s="134"/>
      <c r="AP3840" s="135">
        <v>1921</v>
      </c>
      <c r="AQ3840" s="136"/>
      <c r="AR3840" s="118">
        <v>1866000</v>
      </c>
      <c r="AS3840" s="119"/>
      <c r="AT3840" s="118">
        <f t="shared" ref="AT3840" si="3666">AR3840*0.1</f>
        <v>186600</v>
      </c>
      <c r="AU3840" s="119"/>
      <c r="AV3840" s="118">
        <v>9130</v>
      </c>
      <c r="AW3840" s="119"/>
      <c r="AX3840" s="118">
        <f t="shared" ref="AX3840" si="3667">SUM(AR3840:AW3840)</f>
        <v>2061730</v>
      </c>
      <c r="AY3840" s="119"/>
      <c r="AZ3840" s="137">
        <v>46006</v>
      </c>
    </row>
    <row r="3841" spans="1:52" ht="17.100000000000001" customHeight="1" thickBot="1">
      <c r="A3841" s="110"/>
      <c r="B3841" s="27" t="s">
        <v>3957</v>
      </c>
      <c r="C3841" s="27">
        <v>124</v>
      </c>
      <c r="D3841" s="14" t="s">
        <v>133</v>
      </c>
      <c r="E3841" s="112"/>
      <c r="F3841" s="139" t="s">
        <v>11860</v>
      </c>
      <c r="G3841" s="140"/>
      <c r="H3841" s="141"/>
      <c r="I3841" s="26">
        <v>1294</v>
      </c>
      <c r="J3841" s="117"/>
      <c r="K3841" s="120"/>
      <c r="L3841" s="121"/>
      <c r="M3841" s="120"/>
      <c r="N3841" s="121"/>
      <c r="O3841" s="120"/>
      <c r="P3841" s="121"/>
      <c r="Q3841" s="120"/>
      <c r="R3841" s="121"/>
      <c r="S3841" s="120"/>
      <c r="T3841" s="121"/>
      <c r="U3841" s="120"/>
      <c r="V3841" s="123"/>
      <c r="W3841" s="125"/>
      <c r="X3841" s="142" t="s">
        <v>9569</v>
      </c>
      <c r="Y3841" s="143"/>
      <c r="Z3841" s="143"/>
      <c r="AA3841" s="143"/>
      <c r="AB3841" s="144"/>
      <c r="AC3841" s="16" t="s">
        <v>21</v>
      </c>
      <c r="AD3841" s="17" t="s">
        <v>2248</v>
      </c>
      <c r="AE3841" s="145"/>
      <c r="AF3841" s="146"/>
      <c r="AG3841" s="146"/>
      <c r="AH3841" s="146"/>
      <c r="AI3841" s="147"/>
      <c r="AJ3841" s="148"/>
      <c r="AK3841" s="143"/>
      <c r="AL3841" s="144"/>
      <c r="AM3841" s="22"/>
      <c r="AN3841" s="149" t="s">
        <v>2131</v>
      </c>
      <c r="AO3841" s="144"/>
      <c r="AP3841" s="148">
        <v>3083</v>
      </c>
      <c r="AQ3841" s="144"/>
      <c r="AR3841" s="120"/>
      <c r="AS3841" s="121"/>
      <c r="AT3841" s="120"/>
      <c r="AU3841" s="121"/>
      <c r="AV3841" s="120"/>
      <c r="AW3841" s="121"/>
      <c r="AX3841" s="120"/>
      <c r="AY3841" s="121"/>
      <c r="AZ3841" s="138"/>
    </row>
    <row r="3842" spans="1:52" ht="17.100000000000001" customHeight="1" thickTop="1">
      <c r="A3842" s="109" t="s">
        <v>11934</v>
      </c>
      <c r="B3842" s="28">
        <v>45989</v>
      </c>
      <c r="C3842" s="25">
        <v>268</v>
      </c>
      <c r="D3842" s="13" t="s">
        <v>2464</v>
      </c>
      <c r="E3842" s="111"/>
      <c r="F3842" s="113" t="s">
        <v>11862</v>
      </c>
      <c r="G3842" s="114"/>
      <c r="H3842" s="115"/>
      <c r="I3842" s="24" t="s">
        <v>4487</v>
      </c>
      <c r="J3842" s="116">
        <v>6</v>
      </c>
      <c r="K3842" s="118">
        <v>1757000</v>
      </c>
      <c r="L3842" s="119"/>
      <c r="M3842" s="118">
        <f t="shared" ref="M3842" si="3668">K3842*0.1</f>
        <v>175700</v>
      </c>
      <c r="N3842" s="119"/>
      <c r="O3842" s="118">
        <v>0</v>
      </c>
      <c r="P3842" s="119"/>
      <c r="Q3842" s="118">
        <v>9130</v>
      </c>
      <c r="R3842" s="119"/>
      <c r="S3842" s="118">
        <v>22000</v>
      </c>
      <c r="T3842" s="119"/>
      <c r="U3842" s="118">
        <f t="shared" ref="U3842" si="3669">SUM(K3842:T3843)</f>
        <v>1963830</v>
      </c>
      <c r="V3842" s="122"/>
      <c r="W3842" s="124"/>
      <c r="X3842" s="126" t="s">
        <v>11946</v>
      </c>
      <c r="Y3842" s="127"/>
      <c r="Z3842" s="127"/>
      <c r="AA3842" s="127"/>
      <c r="AB3842" s="128"/>
      <c r="AC3842" s="15" t="s">
        <v>20</v>
      </c>
      <c r="AD3842" s="129"/>
      <c r="AE3842" s="130"/>
      <c r="AF3842" s="130"/>
      <c r="AG3842" s="130"/>
      <c r="AH3842" s="130"/>
      <c r="AI3842" s="131"/>
      <c r="AJ3842" s="132"/>
      <c r="AK3842" s="127"/>
      <c r="AL3842" s="128"/>
      <c r="AM3842" s="21" t="s">
        <v>12529</v>
      </c>
      <c r="AN3842" s="133">
        <v>45993</v>
      </c>
      <c r="AO3842" s="134"/>
      <c r="AP3842" s="135">
        <v>1920</v>
      </c>
      <c r="AQ3842" s="136"/>
      <c r="AR3842" s="118">
        <v>1818000</v>
      </c>
      <c r="AS3842" s="119"/>
      <c r="AT3842" s="118">
        <f t="shared" ref="AT3842" si="3670">AR3842*0.1</f>
        <v>181800</v>
      </c>
      <c r="AU3842" s="119"/>
      <c r="AV3842" s="118">
        <v>9130</v>
      </c>
      <c r="AW3842" s="119"/>
      <c r="AX3842" s="118">
        <f t="shared" ref="AX3842" si="3671">SUM(AR3842:AW3842)</f>
        <v>2008930</v>
      </c>
      <c r="AY3842" s="119"/>
      <c r="AZ3842" s="137"/>
    </row>
    <row r="3843" spans="1:52" ht="17.100000000000001" customHeight="1" thickBot="1">
      <c r="A3843" s="110"/>
      <c r="B3843" s="27" t="s">
        <v>3957</v>
      </c>
      <c r="C3843" s="27">
        <v>128</v>
      </c>
      <c r="D3843" s="14" t="s">
        <v>1592</v>
      </c>
      <c r="E3843" s="112"/>
      <c r="F3843" s="139" t="s">
        <v>11863</v>
      </c>
      <c r="G3843" s="140"/>
      <c r="H3843" s="141"/>
      <c r="I3843" s="26">
        <v>342</v>
      </c>
      <c r="J3843" s="117"/>
      <c r="K3843" s="120"/>
      <c r="L3843" s="121"/>
      <c r="M3843" s="120"/>
      <c r="N3843" s="121"/>
      <c r="O3843" s="120"/>
      <c r="P3843" s="121"/>
      <c r="Q3843" s="120"/>
      <c r="R3843" s="121"/>
      <c r="S3843" s="120"/>
      <c r="T3843" s="121"/>
      <c r="U3843" s="120"/>
      <c r="V3843" s="123"/>
      <c r="W3843" s="125"/>
      <c r="X3843" s="142" t="s">
        <v>9569</v>
      </c>
      <c r="Y3843" s="143"/>
      <c r="Z3843" s="143"/>
      <c r="AA3843" s="143"/>
      <c r="AB3843" s="144"/>
      <c r="AC3843" s="16" t="s">
        <v>21</v>
      </c>
      <c r="AD3843" s="17" t="s">
        <v>2248</v>
      </c>
      <c r="AE3843" s="145"/>
      <c r="AF3843" s="146"/>
      <c r="AG3843" s="146"/>
      <c r="AH3843" s="146"/>
      <c r="AI3843" s="147"/>
      <c r="AJ3843" s="148"/>
      <c r="AK3843" s="143"/>
      <c r="AL3843" s="144"/>
      <c r="AM3843" s="22"/>
      <c r="AN3843" s="149" t="s">
        <v>2131</v>
      </c>
      <c r="AO3843" s="144"/>
      <c r="AP3843" s="148">
        <v>3259</v>
      </c>
      <c r="AQ3843" s="144"/>
      <c r="AR3843" s="120"/>
      <c r="AS3843" s="121"/>
      <c r="AT3843" s="120"/>
      <c r="AU3843" s="121"/>
      <c r="AV3843" s="120"/>
      <c r="AW3843" s="121"/>
      <c r="AX3843" s="120"/>
      <c r="AY3843" s="121"/>
      <c r="AZ3843" s="138"/>
    </row>
    <row r="3844" spans="1:52" ht="17.100000000000001" customHeight="1" thickTop="1">
      <c r="A3844" s="109" t="s">
        <v>11935</v>
      </c>
      <c r="B3844" s="28">
        <v>45989</v>
      </c>
      <c r="C3844" s="25">
        <v>268</v>
      </c>
      <c r="D3844" s="13" t="s">
        <v>1920</v>
      </c>
      <c r="E3844" s="111"/>
      <c r="F3844" s="113" t="s">
        <v>11864</v>
      </c>
      <c r="G3844" s="114"/>
      <c r="H3844" s="115"/>
      <c r="I3844" s="24" t="s">
        <v>2571</v>
      </c>
      <c r="J3844" s="116">
        <v>4</v>
      </c>
      <c r="K3844" s="118">
        <v>519000</v>
      </c>
      <c r="L3844" s="119"/>
      <c r="M3844" s="118">
        <f t="shared" ref="M3844" si="3672">K3844*0.1</f>
        <v>51900</v>
      </c>
      <c r="N3844" s="119"/>
      <c r="O3844" s="118">
        <v>0</v>
      </c>
      <c r="P3844" s="119"/>
      <c r="Q3844" s="118">
        <v>8550</v>
      </c>
      <c r="R3844" s="119"/>
      <c r="S3844" s="118">
        <v>22000</v>
      </c>
      <c r="T3844" s="119"/>
      <c r="U3844" s="118">
        <f t="shared" ref="U3844" si="3673">SUM(K3844:T3845)</f>
        <v>601450</v>
      </c>
      <c r="V3844" s="122"/>
      <c r="W3844" s="124"/>
      <c r="X3844" s="126" t="s">
        <v>12537</v>
      </c>
      <c r="Y3844" s="127"/>
      <c r="Z3844" s="127"/>
      <c r="AA3844" s="127"/>
      <c r="AB3844" s="128"/>
      <c r="AC3844" s="15" t="s">
        <v>20</v>
      </c>
      <c r="AD3844" s="129" t="s">
        <v>3896</v>
      </c>
      <c r="AE3844" s="130"/>
      <c r="AF3844" s="130"/>
      <c r="AG3844" s="130"/>
      <c r="AH3844" s="130"/>
      <c r="AI3844" s="131"/>
      <c r="AJ3844" s="132"/>
      <c r="AK3844" s="127"/>
      <c r="AL3844" s="128"/>
      <c r="AM3844" s="21" t="s">
        <v>13038</v>
      </c>
      <c r="AN3844" s="133">
        <v>46004</v>
      </c>
      <c r="AO3844" s="134"/>
      <c r="AP3844" s="135">
        <v>1280</v>
      </c>
      <c r="AQ3844" s="136"/>
      <c r="AR3844" s="118">
        <v>600000</v>
      </c>
      <c r="AS3844" s="119"/>
      <c r="AT3844" s="118">
        <f t="shared" ref="AT3844" si="3674">AR3844*0.1</f>
        <v>60000</v>
      </c>
      <c r="AU3844" s="119"/>
      <c r="AV3844" s="118">
        <v>8550</v>
      </c>
      <c r="AW3844" s="119"/>
      <c r="AX3844" s="118">
        <f t="shared" ref="AX3844" si="3675">SUM(AR3844:AW3844)</f>
        <v>668550</v>
      </c>
      <c r="AY3844" s="119"/>
      <c r="AZ3844" s="137">
        <v>46008</v>
      </c>
    </row>
    <row r="3845" spans="1:52" ht="17.100000000000001" customHeight="1" thickBot="1">
      <c r="A3845" s="110"/>
      <c r="B3845" s="27" t="s">
        <v>3957</v>
      </c>
      <c r="C3845" s="27">
        <v>146</v>
      </c>
      <c r="D3845" s="14" t="s">
        <v>1556</v>
      </c>
      <c r="E3845" s="112"/>
      <c r="F3845" s="139" t="s">
        <v>11865</v>
      </c>
      <c r="G3845" s="140"/>
      <c r="H3845" s="141"/>
      <c r="I3845" s="26">
        <v>39034</v>
      </c>
      <c r="J3845" s="117"/>
      <c r="K3845" s="120"/>
      <c r="L3845" s="121"/>
      <c r="M3845" s="120"/>
      <c r="N3845" s="121"/>
      <c r="O3845" s="120"/>
      <c r="P3845" s="121"/>
      <c r="Q3845" s="120"/>
      <c r="R3845" s="121"/>
      <c r="S3845" s="120"/>
      <c r="T3845" s="121"/>
      <c r="U3845" s="120"/>
      <c r="V3845" s="123"/>
      <c r="W3845" s="125"/>
      <c r="X3845" s="142" t="s">
        <v>2659</v>
      </c>
      <c r="Y3845" s="143"/>
      <c r="Z3845" s="143"/>
      <c r="AA3845" s="143"/>
      <c r="AB3845" s="144"/>
      <c r="AC3845" s="16" t="s">
        <v>21</v>
      </c>
      <c r="AD3845" s="17" t="s">
        <v>1751</v>
      </c>
      <c r="AE3845" s="145" t="s">
        <v>3896</v>
      </c>
      <c r="AF3845" s="146"/>
      <c r="AG3845" s="146"/>
      <c r="AH3845" s="146"/>
      <c r="AI3845" s="147"/>
      <c r="AJ3845" s="148"/>
      <c r="AK3845" s="143"/>
      <c r="AL3845" s="144"/>
      <c r="AM3845" s="22"/>
      <c r="AN3845" s="149" t="s">
        <v>2511</v>
      </c>
      <c r="AO3845" s="144"/>
      <c r="AP3845" s="148">
        <v>60100</v>
      </c>
      <c r="AQ3845" s="144"/>
      <c r="AR3845" s="120"/>
      <c r="AS3845" s="121"/>
      <c r="AT3845" s="120"/>
      <c r="AU3845" s="121"/>
      <c r="AV3845" s="120"/>
      <c r="AW3845" s="121"/>
      <c r="AX3845" s="120"/>
      <c r="AY3845" s="121"/>
      <c r="AZ3845" s="138"/>
    </row>
    <row r="3846" spans="1:52" ht="17.100000000000001" customHeight="1" thickTop="1">
      <c r="A3846" s="109" t="s">
        <v>11936</v>
      </c>
      <c r="B3846" s="28">
        <v>45989</v>
      </c>
      <c r="C3846" s="25">
        <v>268</v>
      </c>
      <c r="D3846" s="13" t="s">
        <v>1902</v>
      </c>
      <c r="E3846" s="111"/>
      <c r="F3846" s="113" t="s">
        <v>11866</v>
      </c>
      <c r="G3846" s="114"/>
      <c r="H3846" s="115"/>
      <c r="I3846" s="24"/>
      <c r="J3846" s="116">
        <v>4.5</v>
      </c>
      <c r="K3846" s="118">
        <v>1003000</v>
      </c>
      <c r="L3846" s="119"/>
      <c r="M3846" s="118">
        <f t="shared" ref="M3846" si="3676">K3846*0.1</f>
        <v>100300</v>
      </c>
      <c r="N3846" s="119"/>
      <c r="O3846" s="118">
        <v>0</v>
      </c>
      <c r="P3846" s="119"/>
      <c r="Q3846" s="118">
        <v>6560</v>
      </c>
      <c r="R3846" s="119"/>
      <c r="S3846" s="118">
        <v>22000</v>
      </c>
      <c r="T3846" s="119"/>
      <c r="U3846" s="118">
        <f t="shared" ref="U3846" si="3677">SUM(K3846:T3847)</f>
        <v>1131860</v>
      </c>
      <c r="V3846" s="122"/>
      <c r="W3846" s="124"/>
      <c r="X3846" s="126" t="s">
        <v>12343</v>
      </c>
      <c r="Y3846" s="127"/>
      <c r="Z3846" s="127"/>
      <c r="AA3846" s="127"/>
      <c r="AB3846" s="128"/>
      <c r="AC3846" s="15" t="s">
        <v>20</v>
      </c>
      <c r="AD3846" s="129" t="s">
        <v>11868</v>
      </c>
      <c r="AE3846" s="130"/>
      <c r="AF3846" s="130"/>
      <c r="AG3846" s="130"/>
      <c r="AH3846" s="130"/>
      <c r="AI3846" s="131"/>
      <c r="AJ3846" s="132"/>
      <c r="AK3846" s="127"/>
      <c r="AL3846" s="128"/>
      <c r="AM3846" s="21"/>
      <c r="AN3846" s="133">
        <v>45994</v>
      </c>
      <c r="AO3846" s="134"/>
      <c r="AP3846" s="135">
        <v>995</v>
      </c>
      <c r="AQ3846" s="136"/>
      <c r="AR3846" s="118">
        <v>1105000</v>
      </c>
      <c r="AS3846" s="119"/>
      <c r="AT3846" s="118">
        <f t="shared" ref="AT3846" si="3678">AR3846*0.1</f>
        <v>110500</v>
      </c>
      <c r="AU3846" s="119"/>
      <c r="AV3846" s="118">
        <v>6560</v>
      </c>
      <c r="AW3846" s="119"/>
      <c r="AX3846" s="118">
        <f t="shared" ref="AX3846" si="3679">SUM(AR3846:AW3846)</f>
        <v>1222060</v>
      </c>
      <c r="AY3846" s="119"/>
      <c r="AZ3846" s="137">
        <v>45999</v>
      </c>
    </row>
    <row r="3847" spans="1:52" ht="17.100000000000001" customHeight="1" thickBot="1">
      <c r="A3847" s="110"/>
      <c r="B3847" s="27" t="s">
        <v>3957</v>
      </c>
      <c r="C3847" s="27">
        <v>20093</v>
      </c>
      <c r="D3847" s="14" t="s">
        <v>275</v>
      </c>
      <c r="E3847" s="112"/>
      <c r="F3847" s="139" t="s">
        <v>11867</v>
      </c>
      <c r="G3847" s="140"/>
      <c r="H3847" s="141"/>
      <c r="I3847" s="26">
        <v>27556</v>
      </c>
      <c r="J3847" s="117"/>
      <c r="K3847" s="120"/>
      <c r="L3847" s="121"/>
      <c r="M3847" s="120"/>
      <c r="N3847" s="121"/>
      <c r="O3847" s="120"/>
      <c r="P3847" s="121"/>
      <c r="Q3847" s="120"/>
      <c r="R3847" s="121"/>
      <c r="S3847" s="120"/>
      <c r="T3847" s="121"/>
      <c r="U3847" s="120"/>
      <c r="V3847" s="123"/>
      <c r="W3847" s="125"/>
      <c r="X3847" s="142" t="s">
        <v>12344</v>
      </c>
      <c r="Y3847" s="143"/>
      <c r="Z3847" s="143"/>
      <c r="AA3847" s="143"/>
      <c r="AB3847" s="144"/>
      <c r="AC3847" s="16" t="s">
        <v>21</v>
      </c>
      <c r="AD3847" s="17" t="s">
        <v>2248</v>
      </c>
      <c r="AE3847" s="145" t="s">
        <v>5140</v>
      </c>
      <c r="AF3847" s="146"/>
      <c r="AG3847" s="146"/>
      <c r="AH3847" s="146"/>
      <c r="AI3847" s="147"/>
      <c r="AJ3847" s="148"/>
      <c r="AK3847" s="143"/>
      <c r="AL3847" s="144"/>
      <c r="AM3847" s="22"/>
      <c r="AN3847" s="149" t="s">
        <v>2794</v>
      </c>
      <c r="AO3847" s="144"/>
      <c r="AP3847" s="148">
        <v>2054</v>
      </c>
      <c r="AQ3847" s="144"/>
      <c r="AR3847" s="120"/>
      <c r="AS3847" s="121"/>
      <c r="AT3847" s="120"/>
      <c r="AU3847" s="121"/>
      <c r="AV3847" s="120"/>
      <c r="AW3847" s="121"/>
      <c r="AX3847" s="120"/>
      <c r="AY3847" s="121"/>
      <c r="AZ3847" s="138"/>
    </row>
    <row r="3848" spans="1:52" ht="17.100000000000001" customHeight="1" thickTop="1">
      <c r="A3848" s="109" t="s">
        <v>11937</v>
      </c>
      <c r="B3848" s="28">
        <v>45989</v>
      </c>
      <c r="C3848" s="25">
        <v>2112</v>
      </c>
      <c r="D3848" s="13" t="s">
        <v>1714</v>
      </c>
      <c r="E3848" s="111"/>
      <c r="F3848" s="113" t="s">
        <v>11869</v>
      </c>
      <c r="G3848" s="114"/>
      <c r="H3848" s="115"/>
      <c r="I3848" s="24"/>
      <c r="J3848" s="116">
        <v>4.5</v>
      </c>
      <c r="K3848" s="118">
        <v>1940000</v>
      </c>
      <c r="L3848" s="119"/>
      <c r="M3848" s="118">
        <f t="shared" ref="M3848" si="3680">K3848*0.1</f>
        <v>194000</v>
      </c>
      <c r="N3848" s="119"/>
      <c r="O3848" s="118">
        <v>0</v>
      </c>
      <c r="P3848" s="119"/>
      <c r="Q3848" s="118">
        <v>17190</v>
      </c>
      <c r="R3848" s="119"/>
      <c r="S3848" s="118">
        <v>16500</v>
      </c>
      <c r="T3848" s="119"/>
      <c r="U3848" s="118">
        <f t="shared" ref="U3848" si="3681">SUM(K3848:T3849)</f>
        <v>2167690</v>
      </c>
      <c r="V3848" s="122"/>
      <c r="W3848" s="124"/>
      <c r="X3848" s="126" t="s">
        <v>12637</v>
      </c>
      <c r="Y3848" s="127"/>
      <c r="Z3848" s="127"/>
      <c r="AA3848" s="127"/>
      <c r="AB3848" s="128"/>
      <c r="AC3848" s="15" t="s">
        <v>20</v>
      </c>
      <c r="AD3848" s="129"/>
      <c r="AE3848" s="130"/>
      <c r="AF3848" s="130"/>
      <c r="AG3848" s="130"/>
      <c r="AH3848" s="130"/>
      <c r="AI3848" s="131"/>
      <c r="AJ3848" s="132"/>
      <c r="AK3848" s="127"/>
      <c r="AL3848" s="128"/>
      <c r="AM3848" s="21"/>
      <c r="AN3848" s="133">
        <v>46030</v>
      </c>
      <c r="AO3848" s="134"/>
      <c r="AP3848" s="135">
        <v>1313</v>
      </c>
      <c r="AQ3848" s="136"/>
      <c r="AR3848" s="118">
        <v>2060000</v>
      </c>
      <c r="AS3848" s="119"/>
      <c r="AT3848" s="118">
        <f t="shared" ref="AT3848" si="3682">AR3848*0.1</f>
        <v>206000</v>
      </c>
      <c r="AU3848" s="119"/>
      <c r="AV3848" s="118">
        <v>17190</v>
      </c>
      <c r="AW3848" s="119"/>
      <c r="AX3848" s="118">
        <f t="shared" ref="AX3848" si="3683">SUM(AR3848:AW3848)</f>
        <v>2283190</v>
      </c>
      <c r="AY3848" s="119"/>
      <c r="AZ3848" s="137">
        <v>46031</v>
      </c>
    </row>
    <row r="3849" spans="1:52" ht="17.100000000000001" customHeight="1" thickBot="1">
      <c r="A3849" s="110"/>
      <c r="B3849" s="27" t="s">
        <v>1543</v>
      </c>
      <c r="C3849" s="27">
        <v>58391</v>
      </c>
      <c r="D3849" s="14" t="s">
        <v>275</v>
      </c>
      <c r="E3849" s="112"/>
      <c r="F3849" s="139" t="s">
        <v>11870</v>
      </c>
      <c r="G3849" s="140"/>
      <c r="H3849" s="141"/>
      <c r="I3849" s="26">
        <v>37588</v>
      </c>
      <c r="J3849" s="117"/>
      <c r="K3849" s="120"/>
      <c r="L3849" s="121"/>
      <c r="M3849" s="120"/>
      <c r="N3849" s="121"/>
      <c r="O3849" s="120"/>
      <c r="P3849" s="121"/>
      <c r="Q3849" s="120"/>
      <c r="R3849" s="121"/>
      <c r="S3849" s="120"/>
      <c r="T3849" s="121"/>
      <c r="U3849" s="120"/>
      <c r="V3849" s="123"/>
      <c r="W3849" s="125"/>
      <c r="X3849" s="142" t="s">
        <v>12638</v>
      </c>
      <c r="Y3849" s="143"/>
      <c r="Z3849" s="143"/>
      <c r="AA3849" s="143"/>
      <c r="AB3849" s="144"/>
      <c r="AC3849" s="16" t="s">
        <v>21</v>
      </c>
      <c r="AD3849" s="17" t="s">
        <v>3439</v>
      </c>
      <c r="AE3849" s="145" t="s">
        <v>7859</v>
      </c>
      <c r="AF3849" s="146"/>
      <c r="AG3849" s="146"/>
      <c r="AH3849" s="146"/>
      <c r="AI3849" s="147"/>
      <c r="AJ3849" s="148"/>
      <c r="AK3849" s="143"/>
      <c r="AL3849" s="144"/>
      <c r="AM3849" s="22"/>
      <c r="AN3849" s="149" t="s">
        <v>13663</v>
      </c>
      <c r="AO3849" s="144"/>
      <c r="AP3849" s="148">
        <v>122</v>
      </c>
      <c r="AQ3849" s="144"/>
      <c r="AR3849" s="120"/>
      <c r="AS3849" s="121"/>
      <c r="AT3849" s="120"/>
      <c r="AU3849" s="121"/>
      <c r="AV3849" s="120"/>
      <c r="AW3849" s="121"/>
      <c r="AX3849" s="120"/>
      <c r="AY3849" s="121"/>
      <c r="AZ3849" s="138"/>
    </row>
    <row r="3850" spans="1:52" ht="17.100000000000001" customHeight="1" thickTop="1">
      <c r="A3850" s="109" t="s">
        <v>11938</v>
      </c>
      <c r="B3850" s="28">
        <v>45989</v>
      </c>
      <c r="C3850" s="25"/>
      <c r="D3850" s="13" t="s">
        <v>2407</v>
      </c>
      <c r="E3850" s="111"/>
      <c r="F3850" s="113" t="s">
        <v>11872</v>
      </c>
      <c r="G3850" s="114"/>
      <c r="H3850" s="115"/>
      <c r="I3850" s="24" t="s">
        <v>11874</v>
      </c>
      <c r="J3850" s="116">
        <v>4.5</v>
      </c>
      <c r="K3850" s="118">
        <f>1672000/1.1</f>
        <v>1519999.9999999998</v>
      </c>
      <c r="L3850" s="119"/>
      <c r="M3850" s="118">
        <f t="shared" ref="M3850" si="3684">K3850*0.1</f>
        <v>151999.99999999997</v>
      </c>
      <c r="N3850" s="119"/>
      <c r="O3850" s="118">
        <v>16600</v>
      </c>
      <c r="P3850" s="119"/>
      <c r="Q3850" s="118">
        <v>14840</v>
      </c>
      <c r="R3850" s="119"/>
      <c r="S3850" s="118">
        <v>0</v>
      </c>
      <c r="T3850" s="119"/>
      <c r="U3850" s="118">
        <f t="shared" ref="U3850" si="3685">SUM(K3850:T3851)</f>
        <v>1703439.9999999998</v>
      </c>
      <c r="V3850" s="122"/>
      <c r="W3850" s="124"/>
      <c r="X3850" s="126" t="s">
        <v>13657</v>
      </c>
      <c r="Y3850" s="127"/>
      <c r="Z3850" s="127"/>
      <c r="AA3850" s="127"/>
      <c r="AB3850" s="128"/>
      <c r="AC3850" s="15" t="s">
        <v>20</v>
      </c>
      <c r="AD3850" s="129" t="s">
        <v>4883</v>
      </c>
      <c r="AE3850" s="130"/>
      <c r="AF3850" s="130"/>
      <c r="AG3850" s="130"/>
      <c r="AH3850" s="130"/>
      <c r="AI3850" s="131"/>
      <c r="AJ3850" s="132"/>
      <c r="AK3850" s="127"/>
      <c r="AL3850" s="128"/>
      <c r="AM3850" s="21"/>
      <c r="AN3850" s="133">
        <v>46011</v>
      </c>
      <c r="AO3850" s="134"/>
      <c r="AP3850" s="135">
        <v>1281</v>
      </c>
      <c r="AQ3850" s="136"/>
      <c r="AR3850" s="118">
        <v>1650000</v>
      </c>
      <c r="AS3850" s="119"/>
      <c r="AT3850" s="118">
        <f t="shared" ref="AT3850" si="3686">AR3850*0.1</f>
        <v>165000</v>
      </c>
      <c r="AU3850" s="119"/>
      <c r="AV3850" s="118">
        <v>14840</v>
      </c>
      <c r="AW3850" s="119"/>
      <c r="AX3850" s="118">
        <f t="shared" ref="AX3850" si="3687">SUM(AR3850:AW3850)</f>
        <v>1829840</v>
      </c>
      <c r="AY3850" s="119"/>
      <c r="AZ3850" s="137">
        <v>46014</v>
      </c>
    </row>
    <row r="3851" spans="1:52" ht="17.100000000000001" customHeight="1" thickBot="1">
      <c r="A3851" s="110"/>
      <c r="B3851" s="27" t="s">
        <v>1718</v>
      </c>
      <c r="C3851" s="27" t="s">
        <v>11871</v>
      </c>
      <c r="D3851" s="14" t="s">
        <v>1592</v>
      </c>
      <c r="E3851" s="112"/>
      <c r="F3851" s="139" t="s">
        <v>11873</v>
      </c>
      <c r="G3851" s="140"/>
      <c r="H3851" s="141"/>
      <c r="I3851" s="26">
        <v>66459</v>
      </c>
      <c r="J3851" s="117"/>
      <c r="K3851" s="120"/>
      <c r="L3851" s="121"/>
      <c r="M3851" s="120"/>
      <c r="N3851" s="121"/>
      <c r="O3851" s="120"/>
      <c r="P3851" s="121"/>
      <c r="Q3851" s="120"/>
      <c r="R3851" s="121"/>
      <c r="S3851" s="120"/>
      <c r="T3851" s="121"/>
      <c r="U3851" s="120"/>
      <c r="V3851" s="123"/>
      <c r="W3851" s="125"/>
      <c r="X3851" s="142" t="s">
        <v>13658</v>
      </c>
      <c r="Y3851" s="143"/>
      <c r="Z3851" s="143"/>
      <c r="AA3851" s="143"/>
      <c r="AB3851" s="144"/>
      <c r="AC3851" s="16" t="s">
        <v>21</v>
      </c>
      <c r="AD3851" s="17" t="s">
        <v>1783</v>
      </c>
      <c r="AE3851" s="145" t="s">
        <v>1742</v>
      </c>
      <c r="AF3851" s="146"/>
      <c r="AG3851" s="146"/>
      <c r="AH3851" s="146"/>
      <c r="AI3851" s="147"/>
      <c r="AJ3851" s="148"/>
      <c r="AK3851" s="143"/>
      <c r="AL3851" s="144"/>
      <c r="AM3851" s="22"/>
      <c r="AN3851" s="149" t="s">
        <v>7284</v>
      </c>
      <c r="AO3851" s="144"/>
      <c r="AP3851" s="148">
        <v>82244</v>
      </c>
      <c r="AQ3851" s="144"/>
      <c r="AR3851" s="120"/>
      <c r="AS3851" s="121"/>
      <c r="AT3851" s="120"/>
      <c r="AU3851" s="121"/>
      <c r="AV3851" s="120"/>
      <c r="AW3851" s="121"/>
      <c r="AX3851" s="120"/>
      <c r="AY3851" s="121"/>
      <c r="AZ3851" s="138"/>
    </row>
    <row r="3852" spans="1:52" ht="17.100000000000001" customHeight="1" thickTop="1">
      <c r="A3852" s="109" t="s">
        <v>11939</v>
      </c>
      <c r="B3852" s="28">
        <v>45989</v>
      </c>
      <c r="C3852" s="25"/>
      <c r="D3852" s="13" t="s">
        <v>1831</v>
      </c>
      <c r="E3852" s="111"/>
      <c r="F3852" s="113" t="s">
        <v>11876</v>
      </c>
      <c r="G3852" s="114"/>
      <c r="H3852" s="115"/>
      <c r="I3852" s="24" t="s">
        <v>8639</v>
      </c>
      <c r="J3852" s="116">
        <v>4</v>
      </c>
      <c r="K3852" s="118">
        <f>836000/1.1</f>
        <v>759999.99999999988</v>
      </c>
      <c r="L3852" s="119"/>
      <c r="M3852" s="118">
        <f t="shared" ref="M3852" si="3688">K3852*0.1</f>
        <v>75999.999999999985</v>
      </c>
      <c r="N3852" s="119"/>
      <c r="O3852" s="118">
        <v>0</v>
      </c>
      <c r="P3852" s="119"/>
      <c r="Q3852" s="118">
        <v>9790</v>
      </c>
      <c r="R3852" s="119"/>
      <c r="S3852" s="118">
        <v>0</v>
      </c>
      <c r="T3852" s="119"/>
      <c r="U3852" s="118">
        <f t="shared" ref="U3852" si="3689">SUM(K3852:T3853)</f>
        <v>845789.99999999988</v>
      </c>
      <c r="V3852" s="122"/>
      <c r="W3852" s="124"/>
      <c r="X3852" s="126" t="s">
        <v>12702</v>
      </c>
      <c r="Y3852" s="127"/>
      <c r="Z3852" s="127"/>
      <c r="AA3852" s="127"/>
      <c r="AB3852" s="128"/>
      <c r="AC3852" s="15" t="s">
        <v>20</v>
      </c>
      <c r="AD3852" s="129" t="s">
        <v>171</v>
      </c>
      <c r="AE3852" s="130"/>
      <c r="AF3852" s="130"/>
      <c r="AG3852" s="130"/>
      <c r="AH3852" s="130"/>
      <c r="AI3852" s="131"/>
      <c r="AJ3852" s="132"/>
      <c r="AK3852" s="127"/>
      <c r="AL3852" s="128"/>
      <c r="AM3852" s="21"/>
      <c r="AN3852" s="133">
        <v>46007</v>
      </c>
      <c r="AO3852" s="134"/>
      <c r="AP3852" s="135">
        <v>1922</v>
      </c>
      <c r="AQ3852" s="136"/>
      <c r="AR3852" s="118">
        <v>760000</v>
      </c>
      <c r="AS3852" s="119"/>
      <c r="AT3852" s="118">
        <f t="shared" ref="AT3852" si="3690">AR3852*0.1</f>
        <v>76000</v>
      </c>
      <c r="AU3852" s="119"/>
      <c r="AV3852" s="118">
        <v>9790</v>
      </c>
      <c r="AW3852" s="119"/>
      <c r="AX3852" s="118">
        <f t="shared" ref="AX3852" si="3691">SUM(AR3852:AW3852)</f>
        <v>845790</v>
      </c>
      <c r="AY3852" s="119"/>
      <c r="AZ3852" s="137"/>
    </row>
    <row r="3853" spans="1:52" ht="17.100000000000001" customHeight="1" thickBot="1">
      <c r="A3853" s="110"/>
      <c r="B3853" s="27" t="s">
        <v>1718</v>
      </c>
      <c r="C3853" s="27" t="s">
        <v>11875</v>
      </c>
      <c r="D3853" s="14" t="s">
        <v>1592</v>
      </c>
      <c r="E3853" s="112"/>
      <c r="F3853" s="139" t="s">
        <v>11877</v>
      </c>
      <c r="G3853" s="140"/>
      <c r="H3853" s="141"/>
      <c r="I3853" s="26">
        <v>52753</v>
      </c>
      <c r="J3853" s="117"/>
      <c r="K3853" s="120"/>
      <c r="L3853" s="121"/>
      <c r="M3853" s="120"/>
      <c r="N3853" s="121"/>
      <c r="O3853" s="120"/>
      <c r="P3853" s="121"/>
      <c r="Q3853" s="120"/>
      <c r="R3853" s="121"/>
      <c r="S3853" s="120"/>
      <c r="T3853" s="121"/>
      <c r="U3853" s="120"/>
      <c r="V3853" s="123"/>
      <c r="W3853" s="125"/>
      <c r="X3853" s="142" t="s">
        <v>12703</v>
      </c>
      <c r="Y3853" s="143"/>
      <c r="Z3853" s="143"/>
      <c r="AA3853" s="143"/>
      <c r="AB3853" s="144"/>
      <c r="AC3853" s="16" t="s">
        <v>21</v>
      </c>
      <c r="AD3853" s="17" t="s">
        <v>12686</v>
      </c>
      <c r="AE3853" s="145" t="s">
        <v>12704</v>
      </c>
      <c r="AF3853" s="146"/>
      <c r="AG3853" s="146"/>
      <c r="AH3853" s="146"/>
      <c r="AI3853" s="147"/>
      <c r="AJ3853" s="148"/>
      <c r="AK3853" s="143"/>
      <c r="AL3853" s="144"/>
      <c r="AM3853" s="22"/>
      <c r="AN3853" s="149" t="s">
        <v>2131</v>
      </c>
      <c r="AO3853" s="144"/>
      <c r="AP3853" s="148">
        <v>3347</v>
      </c>
      <c r="AQ3853" s="144"/>
      <c r="AR3853" s="120"/>
      <c r="AS3853" s="121"/>
      <c r="AT3853" s="120"/>
      <c r="AU3853" s="121"/>
      <c r="AV3853" s="120"/>
      <c r="AW3853" s="121"/>
      <c r="AX3853" s="120"/>
      <c r="AY3853" s="121"/>
      <c r="AZ3853" s="138"/>
    </row>
    <row r="3854" spans="1:52" ht="17.100000000000001" customHeight="1" thickTop="1">
      <c r="A3854" s="109" t="s">
        <v>11940</v>
      </c>
      <c r="B3854" s="28">
        <v>45989</v>
      </c>
      <c r="C3854" s="25"/>
      <c r="D3854" s="13" t="s">
        <v>2464</v>
      </c>
      <c r="E3854" s="111"/>
      <c r="F3854" s="113" t="s">
        <v>9828</v>
      </c>
      <c r="G3854" s="114"/>
      <c r="H3854" s="115"/>
      <c r="I3854" s="24" t="s">
        <v>11880</v>
      </c>
      <c r="J3854" s="116">
        <v>4.5</v>
      </c>
      <c r="K3854" s="118">
        <f>1600500/1.1</f>
        <v>1454999.9999999998</v>
      </c>
      <c r="L3854" s="119"/>
      <c r="M3854" s="118">
        <f t="shared" ref="M3854" si="3692">K3854*0.1</f>
        <v>145499.99999999997</v>
      </c>
      <c r="N3854" s="119"/>
      <c r="O3854" s="118">
        <v>0</v>
      </c>
      <c r="P3854" s="119"/>
      <c r="Q3854" s="118">
        <v>14200</v>
      </c>
      <c r="R3854" s="119"/>
      <c r="S3854" s="118">
        <v>0</v>
      </c>
      <c r="T3854" s="119"/>
      <c r="U3854" s="118">
        <f t="shared" ref="U3854" si="3693">SUM(K3854:T3855)</f>
        <v>1614699.9999999998</v>
      </c>
      <c r="V3854" s="122"/>
      <c r="W3854" s="124"/>
      <c r="X3854" s="126" t="s">
        <v>13649</v>
      </c>
      <c r="Y3854" s="127"/>
      <c r="Z3854" s="127"/>
      <c r="AA3854" s="127"/>
      <c r="AB3854" s="128"/>
      <c r="AC3854" s="15" t="s">
        <v>20</v>
      </c>
      <c r="AD3854" s="129" t="s">
        <v>1945</v>
      </c>
      <c r="AE3854" s="130"/>
      <c r="AF3854" s="130"/>
      <c r="AG3854" s="130"/>
      <c r="AH3854" s="130"/>
      <c r="AI3854" s="131"/>
      <c r="AJ3854" s="132"/>
      <c r="AK3854" s="127"/>
      <c r="AL3854" s="128"/>
      <c r="AM3854" s="21"/>
      <c r="AN3854" s="133">
        <v>46007</v>
      </c>
      <c r="AO3854" s="134"/>
      <c r="AP3854" s="135">
        <v>1922</v>
      </c>
      <c r="AQ3854" s="136"/>
      <c r="AR3854" s="118">
        <v>1560000</v>
      </c>
      <c r="AS3854" s="119"/>
      <c r="AT3854" s="118">
        <f t="shared" ref="AT3854" si="3694">AR3854*0.1</f>
        <v>156000</v>
      </c>
      <c r="AU3854" s="119"/>
      <c r="AV3854" s="118">
        <v>14200</v>
      </c>
      <c r="AW3854" s="119"/>
      <c r="AX3854" s="118">
        <f t="shared" ref="AX3854" si="3695">SUM(AR3854:AW3854)</f>
        <v>1730200</v>
      </c>
      <c r="AY3854" s="119"/>
      <c r="AZ3854" s="137"/>
    </row>
    <row r="3855" spans="1:52" ht="17.100000000000001" customHeight="1" thickBot="1">
      <c r="A3855" s="110"/>
      <c r="B3855" s="27" t="s">
        <v>1718</v>
      </c>
      <c r="C3855" s="27" t="s">
        <v>11878</v>
      </c>
      <c r="D3855" s="14" t="s">
        <v>1592</v>
      </c>
      <c r="E3855" s="112"/>
      <c r="F3855" s="139" t="s">
        <v>11879</v>
      </c>
      <c r="G3855" s="140"/>
      <c r="H3855" s="141"/>
      <c r="I3855" s="26">
        <v>5452</v>
      </c>
      <c r="J3855" s="117"/>
      <c r="K3855" s="120"/>
      <c r="L3855" s="121"/>
      <c r="M3855" s="120"/>
      <c r="N3855" s="121"/>
      <c r="O3855" s="120"/>
      <c r="P3855" s="121"/>
      <c r="Q3855" s="120"/>
      <c r="R3855" s="121"/>
      <c r="S3855" s="120"/>
      <c r="T3855" s="121"/>
      <c r="U3855" s="120"/>
      <c r="V3855" s="123"/>
      <c r="W3855" s="125"/>
      <c r="X3855" s="142" t="s">
        <v>4285</v>
      </c>
      <c r="Y3855" s="143"/>
      <c r="Z3855" s="143"/>
      <c r="AA3855" s="143"/>
      <c r="AB3855" s="144"/>
      <c r="AC3855" s="16" t="s">
        <v>21</v>
      </c>
      <c r="AD3855" s="17" t="s">
        <v>1783</v>
      </c>
      <c r="AE3855" s="145" t="s">
        <v>1614</v>
      </c>
      <c r="AF3855" s="146"/>
      <c r="AG3855" s="146"/>
      <c r="AH3855" s="146"/>
      <c r="AI3855" s="147"/>
      <c r="AJ3855" s="148"/>
      <c r="AK3855" s="143"/>
      <c r="AL3855" s="144"/>
      <c r="AM3855" s="22"/>
      <c r="AN3855" s="149" t="s">
        <v>2131</v>
      </c>
      <c r="AO3855" s="144"/>
      <c r="AP3855" s="148">
        <v>3171</v>
      </c>
      <c r="AQ3855" s="144"/>
      <c r="AR3855" s="120"/>
      <c r="AS3855" s="121"/>
      <c r="AT3855" s="120"/>
      <c r="AU3855" s="121"/>
      <c r="AV3855" s="120"/>
      <c r="AW3855" s="121"/>
      <c r="AX3855" s="120"/>
      <c r="AY3855" s="121"/>
      <c r="AZ3855" s="138"/>
    </row>
    <row r="3856" spans="1:52" ht="17.100000000000001" customHeight="1" thickTop="1">
      <c r="A3856" s="109" t="s">
        <v>11941</v>
      </c>
      <c r="B3856" s="28">
        <v>45989</v>
      </c>
      <c r="C3856" s="25"/>
      <c r="D3856" s="13" t="s">
        <v>1793</v>
      </c>
      <c r="E3856" s="111"/>
      <c r="F3856" s="113" t="s">
        <v>11919</v>
      </c>
      <c r="G3856" s="114"/>
      <c r="H3856" s="115"/>
      <c r="I3856" s="24" t="s">
        <v>5028</v>
      </c>
      <c r="J3856" s="116">
        <v>4</v>
      </c>
      <c r="K3856" s="118">
        <f>136400/1.1</f>
        <v>123999.99999999999</v>
      </c>
      <c r="L3856" s="119"/>
      <c r="M3856" s="118">
        <f t="shared" ref="M3856" si="3696">K3856*0.1</f>
        <v>12400</v>
      </c>
      <c r="N3856" s="119"/>
      <c r="O3856" s="118">
        <v>0</v>
      </c>
      <c r="P3856" s="119"/>
      <c r="Q3856" s="118">
        <v>10000</v>
      </c>
      <c r="R3856" s="119"/>
      <c r="S3856" s="118">
        <v>0</v>
      </c>
      <c r="T3856" s="119"/>
      <c r="U3856" s="118">
        <f t="shared" ref="U3856" si="3697">SUM(K3856:T3857)</f>
        <v>146400</v>
      </c>
      <c r="V3856" s="122"/>
      <c r="W3856" s="124"/>
      <c r="X3856" s="126" t="s">
        <v>13369</v>
      </c>
      <c r="Y3856" s="127"/>
      <c r="Z3856" s="127"/>
      <c r="AA3856" s="127"/>
      <c r="AB3856" s="128"/>
      <c r="AC3856" s="15" t="s">
        <v>20</v>
      </c>
      <c r="AD3856" s="129" t="s">
        <v>171</v>
      </c>
      <c r="AE3856" s="130"/>
      <c r="AF3856" s="130"/>
      <c r="AG3856" s="130"/>
      <c r="AH3856" s="130"/>
      <c r="AI3856" s="131"/>
      <c r="AJ3856" s="132"/>
      <c r="AK3856" s="127"/>
      <c r="AL3856" s="128"/>
      <c r="AM3856" s="21"/>
      <c r="AN3856" s="133">
        <v>46004</v>
      </c>
      <c r="AO3856" s="134"/>
      <c r="AP3856" s="135">
        <v>1280</v>
      </c>
      <c r="AQ3856" s="136"/>
      <c r="AR3856" s="118">
        <v>170000</v>
      </c>
      <c r="AS3856" s="119"/>
      <c r="AT3856" s="118">
        <f t="shared" ref="AT3856" si="3698">AR3856*0.1</f>
        <v>17000</v>
      </c>
      <c r="AU3856" s="119"/>
      <c r="AV3856" s="118">
        <v>10000</v>
      </c>
      <c r="AW3856" s="119"/>
      <c r="AX3856" s="118">
        <f t="shared" ref="AX3856" si="3699">SUM(AR3856:AW3856)</f>
        <v>197000</v>
      </c>
      <c r="AY3856" s="119"/>
      <c r="AZ3856" s="137">
        <v>46008</v>
      </c>
    </row>
    <row r="3857" spans="1:52" ht="17.100000000000001" customHeight="1" thickBot="1">
      <c r="A3857" s="110"/>
      <c r="B3857" s="27" t="s">
        <v>1718</v>
      </c>
      <c r="C3857" s="27" t="s">
        <v>11918</v>
      </c>
      <c r="D3857" s="14" t="s">
        <v>55</v>
      </c>
      <c r="E3857" s="112"/>
      <c r="F3857" s="139" t="s">
        <v>11920</v>
      </c>
      <c r="G3857" s="140"/>
      <c r="H3857" s="141"/>
      <c r="I3857" s="26">
        <v>50577</v>
      </c>
      <c r="J3857" s="117"/>
      <c r="K3857" s="120"/>
      <c r="L3857" s="121"/>
      <c r="M3857" s="120"/>
      <c r="N3857" s="121"/>
      <c r="O3857" s="120"/>
      <c r="P3857" s="121"/>
      <c r="Q3857" s="120"/>
      <c r="R3857" s="121"/>
      <c r="S3857" s="120"/>
      <c r="T3857" s="121"/>
      <c r="U3857" s="120"/>
      <c r="V3857" s="123"/>
      <c r="W3857" s="125"/>
      <c r="X3857" s="142" t="s">
        <v>13370</v>
      </c>
      <c r="Y3857" s="143"/>
      <c r="Z3857" s="143"/>
      <c r="AA3857" s="143"/>
      <c r="AB3857" s="144"/>
      <c r="AC3857" s="16" t="s">
        <v>21</v>
      </c>
      <c r="AD3857" s="17" t="s">
        <v>3445</v>
      </c>
      <c r="AE3857" s="145" t="s">
        <v>1633</v>
      </c>
      <c r="AF3857" s="146"/>
      <c r="AG3857" s="146"/>
      <c r="AH3857" s="146"/>
      <c r="AI3857" s="147"/>
      <c r="AJ3857" s="148"/>
      <c r="AK3857" s="143"/>
      <c r="AL3857" s="144"/>
      <c r="AM3857" s="22"/>
      <c r="AN3857" s="149" t="s">
        <v>2511</v>
      </c>
      <c r="AO3857" s="144"/>
      <c r="AP3857" s="148">
        <v>65651</v>
      </c>
      <c r="AQ3857" s="144"/>
      <c r="AR3857" s="120"/>
      <c r="AS3857" s="121"/>
      <c r="AT3857" s="120"/>
      <c r="AU3857" s="121"/>
      <c r="AV3857" s="120"/>
      <c r="AW3857" s="121"/>
      <c r="AX3857" s="120"/>
      <c r="AY3857" s="121"/>
      <c r="AZ3857" s="138"/>
    </row>
    <row r="3858" spans="1:52" ht="17.100000000000001" customHeight="1" thickTop="1">
      <c r="A3858" s="151" t="s">
        <v>11942</v>
      </c>
      <c r="B3858" s="28">
        <v>45989</v>
      </c>
      <c r="C3858" s="25"/>
      <c r="D3858" s="13" t="s">
        <v>1888</v>
      </c>
      <c r="E3858" s="111"/>
      <c r="F3858" s="113" t="s">
        <v>11922</v>
      </c>
      <c r="G3858" s="114"/>
      <c r="H3858" s="115"/>
      <c r="I3858" s="24" t="s">
        <v>8658</v>
      </c>
      <c r="J3858" s="116">
        <v>4.5</v>
      </c>
      <c r="K3858" s="118">
        <f>3151500/1.1</f>
        <v>2865000</v>
      </c>
      <c r="L3858" s="119"/>
      <c r="M3858" s="118">
        <f t="shared" ref="M3858" si="3700">K3858*0.1</f>
        <v>286500</v>
      </c>
      <c r="N3858" s="119"/>
      <c r="O3858" s="118">
        <v>8500</v>
      </c>
      <c r="P3858" s="119"/>
      <c r="Q3858" s="118">
        <v>14140</v>
      </c>
      <c r="R3858" s="119"/>
      <c r="S3858" s="118">
        <v>0</v>
      </c>
      <c r="T3858" s="119"/>
      <c r="U3858" s="118">
        <f t="shared" ref="U3858" si="3701">SUM(K3858:T3859)</f>
        <v>3174140</v>
      </c>
      <c r="V3858" s="122"/>
      <c r="W3858" s="124"/>
      <c r="X3858" s="126" t="s">
        <v>13859</v>
      </c>
      <c r="Y3858" s="127"/>
      <c r="Z3858" s="127"/>
      <c r="AA3858" s="127"/>
      <c r="AB3858" s="128"/>
      <c r="AC3858" s="15" t="s">
        <v>20</v>
      </c>
      <c r="AD3858" s="129" t="s">
        <v>13371</v>
      </c>
      <c r="AE3858" s="130"/>
      <c r="AF3858" s="130"/>
      <c r="AG3858" s="130"/>
      <c r="AH3858" s="130"/>
      <c r="AI3858" s="131"/>
      <c r="AJ3858" s="132"/>
      <c r="AK3858" s="127"/>
      <c r="AL3858" s="128"/>
      <c r="AM3858" s="21"/>
      <c r="AN3858" s="133">
        <v>46032</v>
      </c>
      <c r="AO3858" s="134"/>
      <c r="AP3858" s="135">
        <v>1283</v>
      </c>
      <c r="AQ3858" s="136"/>
      <c r="AR3858" s="118">
        <v>2910000</v>
      </c>
      <c r="AS3858" s="119"/>
      <c r="AT3858" s="118">
        <f t="shared" ref="AT3858" si="3702">AR3858*0.1</f>
        <v>291000</v>
      </c>
      <c r="AU3858" s="119"/>
      <c r="AV3858" s="118">
        <v>14140</v>
      </c>
      <c r="AW3858" s="119"/>
      <c r="AX3858" s="118">
        <f t="shared" ref="AX3858" si="3703">SUM(AR3858:AW3858)</f>
        <v>3215140</v>
      </c>
      <c r="AY3858" s="119"/>
      <c r="AZ3858" s="137">
        <v>46036</v>
      </c>
    </row>
    <row r="3859" spans="1:52" ht="17.100000000000001" customHeight="1" thickBot="1">
      <c r="A3859" s="152"/>
      <c r="B3859" s="27" t="s">
        <v>1718</v>
      </c>
      <c r="C3859" s="27" t="s">
        <v>11921</v>
      </c>
      <c r="D3859" s="14" t="s">
        <v>275</v>
      </c>
      <c r="E3859" s="112"/>
      <c r="F3859" s="139" t="s">
        <v>11923</v>
      </c>
      <c r="G3859" s="140"/>
      <c r="H3859" s="141"/>
      <c r="I3859" s="26">
        <v>37531</v>
      </c>
      <c r="J3859" s="117"/>
      <c r="K3859" s="120"/>
      <c r="L3859" s="121"/>
      <c r="M3859" s="120"/>
      <c r="N3859" s="121"/>
      <c r="O3859" s="120"/>
      <c r="P3859" s="121"/>
      <c r="Q3859" s="120"/>
      <c r="R3859" s="121"/>
      <c r="S3859" s="120"/>
      <c r="T3859" s="121"/>
      <c r="U3859" s="120"/>
      <c r="V3859" s="123"/>
      <c r="W3859" s="125"/>
      <c r="X3859" s="142" t="s">
        <v>13860</v>
      </c>
      <c r="Y3859" s="143"/>
      <c r="Z3859" s="143"/>
      <c r="AA3859" s="143"/>
      <c r="AB3859" s="144"/>
      <c r="AC3859" s="16" t="s">
        <v>21</v>
      </c>
      <c r="AD3859" s="17" t="s">
        <v>13826</v>
      </c>
      <c r="AE3859" s="145" t="s">
        <v>14242</v>
      </c>
      <c r="AF3859" s="146"/>
      <c r="AG3859" s="146"/>
      <c r="AH3859" s="146"/>
      <c r="AI3859" s="147"/>
      <c r="AJ3859" s="148"/>
      <c r="AK3859" s="143"/>
      <c r="AL3859" s="144"/>
      <c r="AM3859" s="22"/>
      <c r="AN3859" s="149" t="s">
        <v>7284</v>
      </c>
      <c r="AO3859" s="144"/>
      <c r="AP3859" s="148">
        <v>37211</v>
      </c>
      <c r="AQ3859" s="144"/>
      <c r="AR3859" s="120"/>
      <c r="AS3859" s="121"/>
      <c r="AT3859" s="120"/>
      <c r="AU3859" s="121"/>
      <c r="AV3859" s="120"/>
      <c r="AW3859" s="121"/>
      <c r="AX3859" s="120"/>
      <c r="AY3859" s="121"/>
      <c r="AZ3859" s="138"/>
    </row>
    <row r="3860" spans="1:52" ht="17.100000000000001" customHeight="1" thickTop="1">
      <c r="A3860" s="109" t="s">
        <v>11943</v>
      </c>
      <c r="B3860" s="28">
        <v>45989</v>
      </c>
      <c r="C3860" s="25">
        <v>72</v>
      </c>
      <c r="D3860" s="13" t="s">
        <v>2348</v>
      </c>
      <c r="E3860" s="111"/>
      <c r="F3860" s="113" t="s">
        <v>11927</v>
      </c>
      <c r="G3860" s="114"/>
      <c r="H3860" s="115"/>
      <c r="I3860" s="24" t="s">
        <v>3931</v>
      </c>
      <c r="J3860" s="116">
        <v>4.5</v>
      </c>
      <c r="K3860" s="118">
        <v>1000000</v>
      </c>
      <c r="L3860" s="119"/>
      <c r="M3860" s="118">
        <f t="shared" ref="M3860" si="3704">K3860*0.1</f>
        <v>100000</v>
      </c>
      <c r="N3860" s="119"/>
      <c r="O3860" s="118">
        <f>9800+980</f>
        <v>10780</v>
      </c>
      <c r="P3860" s="119"/>
      <c r="Q3860" s="118">
        <v>10830</v>
      </c>
      <c r="R3860" s="119"/>
      <c r="S3860" s="118">
        <v>44000</v>
      </c>
      <c r="T3860" s="119"/>
      <c r="U3860" s="118">
        <f t="shared" ref="U3860" si="3705">SUM(K3860:T3861)</f>
        <v>1165610</v>
      </c>
      <c r="V3860" s="122"/>
      <c r="W3860" s="124"/>
      <c r="X3860" s="126" t="s">
        <v>13334</v>
      </c>
      <c r="Y3860" s="127"/>
      <c r="Z3860" s="127"/>
      <c r="AA3860" s="127"/>
      <c r="AB3860" s="128"/>
      <c r="AC3860" s="15" t="s">
        <v>20</v>
      </c>
      <c r="AD3860" s="129" t="s">
        <v>8849</v>
      </c>
      <c r="AE3860" s="130"/>
      <c r="AF3860" s="130"/>
      <c r="AG3860" s="130"/>
      <c r="AH3860" s="130"/>
      <c r="AI3860" s="131"/>
      <c r="AJ3860" s="132"/>
      <c r="AK3860" s="127"/>
      <c r="AL3860" s="128"/>
      <c r="AM3860" s="21"/>
      <c r="AN3860" s="133">
        <v>46004</v>
      </c>
      <c r="AO3860" s="134"/>
      <c r="AP3860" s="135">
        <v>1280</v>
      </c>
      <c r="AQ3860" s="136"/>
      <c r="AR3860" s="118">
        <v>1150000</v>
      </c>
      <c r="AS3860" s="119"/>
      <c r="AT3860" s="118">
        <f t="shared" ref="AT3860" si="3706">AR3860*0.1</f>
        <v>115000</v>
      </c>
      <c r="AU3860" s="119"/>
      <c r="AV3860" s="118">
        <v>10830</v>
      </c>
      <c r="AW3860" s="119"/>
      <c r="AX3860" s="118">
        <f t="shared" ref="AX3860" si="3707">SUM(AR3860:AW3860)</f>
        <v>1275830</v>
      </c>
      <c r="AY3860" s="119"/>
      <c r="AZ3860" s="137">
        <v>46008</v>
      </c>
    </row>
    <row r="3861" spans="1:52" ht="17.100000000000001" customHeight="1" thickBot="1">
      <c r="A3861" s="110"/>
      <c r="B3861" s="27" t="s">
        <v>4544</v>
      </c>
      <c r="C3861" s="27">
        <v>1005</v>
      </c>
      <c r="D3861" s="14" t="s">
        <v>2601</v>
      </c>
      <c r="E3861" s="112"/>
      <c r="F3861" s="139" t="s">
        <v>11924</v>
      </c>
      <c r="G3861" s="140"/>
      <c r="H3861" s="141"/>
      <c r="I3861" s="26">
        <v>53407</v>
      </c>
      <c r="J3861" s="117"/>
      <c r="K3861" s="120"/>
      <c r="L3861" s="121"/>
      <c r="M3861" s="120"/>
      <c r="N3861" s="121"/>
      <c r="O3861" s="120"/>
      <c r="P3861" s="121"/>
      <c r="Q3861" s="120"/>
      <c r="R3861" s="121"/>
      <c r="S3861" s="120"/>
      <c r="T3861" s="121"/>
      <c r="U3861" s="120"/>
      <c r="V3861" s="123"/>
      <c r="W3861" s="125"/>
      <c r="X3861" s="142" t="s">
        <v>13335</v>
      </c>
      <c r="Y3861" s="143"/>
      <c r="Z3861" s="143"/>
      <c r="AA3861" s="143"/>
      <c r="AB3861" s="144"/>
      <c r="AC3861" s="16" t="s">
        <v>21</v>
      </c>
      <c r="AD3861" s="17" t="s">
        <v>2268</v>
      </c>
      <c r="AE3861" s="145" t="s">
        <v>10730</v>
      </c>
      <c r="AF3861" s="146"/>
      <c r="AG3861" s="146"/>
      <c r="AH3861" s="146"/>
      <c r="AI3861" s="147"/>
      <c r="AJ3861" s="148"/>
      <c r="AK3861" s="143"/>
      <c r="AL3861" s="144"/>
      <c r="AM3861" s="22"/>
      <c r="AN3861" s="149" t="s">
        <v>2511</v>
      </c>
      <c r="AO3861" s="144"/>
      <c r="AP3861" s="148">
        <v>37872</v>
      </c>
      <c r="AQ3861" s="144"/>
      <c r="AR3861" s="120"/>
      <c r="AS3861" s="121"/>
      <c r="AT3861" s="120"/>
      <c r="AU3861" s="121"/>
      <c r="AV3861" s="120"/>
      <c r="AW3861" s="121"/>
      <c r="AX3861" s="120"/>
      <c r="AY3861" s="121"/>
      <c r="AZ3861" s="138"/>
    </row>
    <row r="3862" spans="1:52" ht="17.100000000000001" customHeight="1" thickTop="1">
      <c r="A3862" s="109" t="s">
        <v>11944</v>
      </c>
      <c r="B3862" s="28">
        <v>45989</v>
      </c>
      <c r="C3862" s="25">
        <v>72</v>
      </c>
      <c r="D3862" s="13" t="s">
        <v>3014</v>
      </c>
      <c r="E3862" s="111"/>
      <c r="F3862" s="113" t="s">
        <v>11928</v>
      </c>
      <c r="G3862" s="114"/>
      <c r="H3862" s="115"/>
      <c r="I3862" s="24" t="s">
        <v>4193</v>
      </c>
      <c r="J3862" s="116">
        <v>4.5</v>
      </c>
      <c r="K3862" s="118">
        <v>3080000</v>
      </c>
      <c r="L3862" s="119"/>
      <c r="M3862" s="118">
        <f t="shared" ref="M3862" si="3708">K3862*0.1</f>
        <v>308000</v>
      </c>
      <c r="N3862" s="119"/>
      <c r="O3862" s="118">
        <v>0</v>
      </c>
      <c r="P3862" s="119"/>
      <c r="Q3862" s="118">
        <v>7790</v>
      </c>
      <c r="R3862" s="119"/>
      <c r="S3862" s="118">
        <v>88000</v>
      </c>
      <c r="T3862" s="119"/>
      <c r="U3862" s="118">
        <f t="shared" ref="U3862" si="3709">SUM(K3862:T3863)</f>
        <v>3483790</v>
      </c>
      <c r="V3862" s="122"/>
      <c r="W3862" s="124"/>
      <c r="X3862" s="126" t="s">
        <v>13927</v>
      </c>
      <c r="Y3862" s="127"/>
      <c r="Z3862" s="127"/>
      <c r="AA3862" s="127"/>
      <c r="AB3862" s="128"/>
      <c r="AC3862" s="15" t="s">
        <v>20</v>
      </c>
      <c r="AD3862" s="129" t="s">
        <v>11929</v>
      </c>
      <c r="AE3862" s="130"/>
      <c r="AF3862" s="130"/>
      <c r="AG3862" s="130"/>
      <c r="AH3862" s="130"/>
      <c r="AI3862" s="131"/>
      <c r="AJ3862" s="132"/>
      <c r="AK3862" s="127"/>
      <c r="AL3862" s="128"/>
      <c r="AM3862" s="21"/>
      <c r="AN3862" s="133">
        <v>46014</v>
      </c>
      <c r="AO3862" s="134"/>
      <c r="AP3862" s="135">
        <v>1923</v>
      </c>
      <c r="AQ3862" s="136"/>
      <c r="AR3862" s="118">
        <v>3163000</v>
      </c>
      <c r="AS3862" s="119"/>
      <c r="AT3862" s="118">
        <f t="shared" ref="AT3862" si="3710">AR3862*0.1</f>
        <v>316300</v>
      </c>
      <c r="AU3862" s="119"/>
      <c r="AV3862" s="118">
        <v>7790</v>
      </c>
      <c r="AW3862" s="119"/>
      <c r="AX3862" s="118">
        <f t="shared" ref="AX3862" si="3711">SUM(AR3862:AW3862)</f>
        <v>3487090</v>
      </c>
      <c r="AY3862" s="119"/>
      <c r="AZ3862" s="137">
        <v>46020</v>
      </c>
    </row>
    <row r="3863" spans="1:52" ht="17.100000000000001" customHeight="1" thickBot="1">
      <c r="A3863" s="110"/>
      <c r="B3863" s="27" t="s">
        <v>4544</v>
      </c>
      <c r="C3863" s="27">
        <v>1022</v>
      </c>
      <c r="D3863" s="14" t="s">
        <v>904</v>
      </c>
      <c r="E3863" s="112"/>
      <c r="F3863" s="139" t="s">
        <v>11925</v>
      </c>
      <c r="G3863" s="140"/>
      <c r="H3863" s="141"/>
      <c r="I3863" s="26">
        <v>8899</v>
      </c>
      <c r="J3863" s="117"/>
      <c r="K3863" s="120"/>
      <c r="L3863" s="121"/>
      <c r="M3863" s="120"/>
      <c r="N3863" s="121"/>
      <c r="O3863" s="120"/>
      <c r="P3863" s="121"/>
      <c r="Q3863" s="120"/>
      <c r="R3863" s="121"/>
      <c r="S3863" s="120"/>
      <c r="T3863" s="121"/>
      <c r="U3863" s="120"/>
      <c r="V3863" s="123"/>
      <c r="W3863" s="125"/>
      <c r="X3863" s="142" t="s">
        <v>4285</v>
      </c>
      <c r="Y3863" s="143"/>
      <c r="Z3863" s="143"/>
      <c r="AA3863" s="143"/>
      <c r="AB3863" s="144"/>
      <c r="AC3863" s="16" t="s">
        <v>21</v>
      </c>
      <c r="AD3863" s="17" t="s">
        <v>1809</v>
      </c>
      <c r="AE3863" s="145" t="s">
        <v>1742</v>
      </c>
      <c r="AF3863" s="146"/>
      <c r="AG3863" s="146"/>
      <c r="AH3863" s="146"/>
      <c r="AI3863" s="147"/>
      <c r="AJ3863" s="148"/>
      <c r="AK3863" s="143"/>
      <c r="AL3863" s="144"/>
      <c r="AM3863" s="22"/>
      <c r="AN3863" s="149" t="s">
        <v>2131</v>
      </c>
      <c r="AO3863" s="144"/>
      <c r="AP3863" s="148">
        <v>3107</v>
      </c>
      <c r="AQ3863" s="144"/>
      <c r="AR3863" s="120"/>
      <c r="AS3863" s="121"/>
      <c r="AT3863" s="120"/>
      <c r="AU3863" s="121"/>
      <c r="AV3863" s="120"/>
      <c r="AW3863" s="121"/>
      <c r="AX3863" s="120"/>
      <c r="AY3863" s="121"/>
      <c r="AZ3863" s="138"/>
    </row>
    <row r="3864" spans="1:52" ht="17.100000000000001" customHeight="1" thickTop="1">
      <c r="A3864" s="109" t="s">
        <v>11945</v>
      </c>
      <c r="B3864" s="28">
        <v>45989</v>
      </c>
      <c r="C3864" s="25">
        <v>72</v>
      </c>
      <c r="D3864" s="13" t="s">
        <v>1977</v>
      </c>
      <c r="E3864" s="111"/>
      <c r="F3864" s="113" t="s">
        <v>6960</v>
      </c>
      <c r="G3864" s="114"/>
      <c r="H3864" s="115"/>
      <c r="I3864" s="24" t="s">
        <v>4109</v>
      </c>
      <c r="J3864" s="116">
        <v>4.5</v>
      </c>
      <c r="K3864" s="118">
        <v>1030000</v>
      </c>
      <c r="L3864" s="119"/>
      <c r="M3864" s="118">
        <f t="shared" ref="M3864" si="3712">K3864*0.1</f>
        <v>103000</v>
      </c>
      <c r="N3864" s="119"/>
      <c r="O3864" s="118">
        <v>0</v>
      </c>
      <c r="P3864" s="119"/>
      <c r="Q3864" s="118">
        <v>9310</v>
      </c>
      <c r="R3864" s="119"/>
      <c r="S3864" s="118">
        <v>44000</v>
      </c>
      <c r="T3864" s="119"/>
      <c r="U3864" s="118">
        <f t="shared" ref="U3864" si="3713">SUM(K3864:T3865)</f>
        <v>1186310</v>
      </c>
      <c r="V3864" s="122"/>
      <c r="W3864" s="124"/>
      <c r="X3864" s="126" t="s">
        <v>13053</v>
      </c>
      <c r="Y3864" s="127"/>
      <c r="Z3864" s="127"/>
      <c r="AA3864" s="127"/>
      <c r="AB3864" s="128"/>
      <c r="AC3864" s="15" t="s">
        <v>20</v>
      </c>
      <c r="AD3864" s="129" t="s">
        <v>10018</v>
      </c>
      <c r="AE3864" s="130"/>
      <c r="AF3864" s="130"/>
      <c r="AG3864" s="130"/>
      <c r="AH3864" s="130"/>
      <c r="AI3864" s="131"/>
      <c r="AJ3864" s="132"/>
      <c r="AK3864" s="127"/>
      <c r="AL3864" s="128"/>
      <c r="AM3864" s="21"/>
      <c r="AN3864" s="133">
        <v>46000</v>
      </c>
      <c r="AO3864" s="134"/>
      <c r="AP3864" s="135">
        <v>1921</v>
      </c>
      <c r="AQ3864" s="136"/>
      <c r="AR3864" s="118">
        <v>1147000</v>
      </c>
      <c r="AS3864" s="119"/>
      <c r="AT3864" s="118">
        <f t="shared" ref="AT3864" si="3714">AR3864*0.1</f>
        <v>114700</v>
      </c>
      <c r="AU3864" s="119"/>
      <c r="AV3864" s="118">
        <v>9310</v>
      </c>
      <c r="AW3864" s="119"/>
      <c r="AX3864" s="118">
        <f t="shared" ref="AX3864" si="3715">SUM(AR3864:AW3864)</f>
        <v>1271010</v>
      </c>
      <c r="AY3864" s="119"/>
      <c r="AZ3864" s="137">
        <v>46007</v>
      </c>
    </row>
    <row r="3865" spans="1:52" ht="17.100000000000001" customHeight="1" thickBot="1">
      <c r="A3865" s="110"/>
      <c r="B3865" s="27" t="s">
        <v>4544</v>
      </c>
      <c r="C3865" s="27">
        <v>1023</v>
      </c>
      <c r="D3865" s="14" t="s">
        <v>2836</v>
      </c>
      <c r="E3865" s="112"/>
      <c r="F3865" s="139" t="s">
        <v>11926</v>
      </c>
      <c r="G3865" s="140"/>
      <c r="H3865" s="141"/>
      <c r="I3865" s="26">
        <v>20701</v>
      </c>
      <c r="J3865" s="117"/>
      <c r="K3865" s="120"/>
      <c r="L3865" s="121"/>
      <c r="M3865" s="120"/>
      <c r="N3865" s="121"/>
      <c r="O3865" s="120"/>
      <c r="P3865" s="121"/>
      <c r="Q3865" s="120"/>
      <c r="R3865" s="121"/>
      <c r="S3865" s="120"/>
      <c r="T3865" s="121"/>
      <c r="U3865" s="120"/>
      <c r="V3865" s="123"/>
      <c r="W3865" s="125"/>
      <c r="X3865" s="142" t="s">
        <v>13054</v>
      </c>
      <c r="Y3865" s="143"/>
      <c r="Z3865" s="143"/>
      <c r="AA3865" s="143"/>
      <c r="AB3865" s="144"/>
      <c r="AC3865" s="16" t="s">
        <v>21</v>
      </c>
      <c r="AD3865" s="17" t="s">
        <v>13052</v>
      </c>
      <c r="AE3865" s="145" t="s">
        <v>12633</v>
      </c>
      <c r="AF3865" s="146"/>
      <c r="AG3865" s="146"/>
      <c r="AH3865" s="146"/>
      <c r="AI3865" s="147"/>
      <c r="AJ3865" s="148"/>
      <c r="AK3865" s="143"/>
      <c r="AL3865" s="144"/>
      <c r="AM3865" s="22"/>
      <c r="AN3865" s="149" t="s">
        <v>2131</v>
      </c>
      <c r="AO3865" s="144"/>
      <c r="AP3865" s="148">
        <v>3257</v>
      </c>
      <c r="AQ3865" s="144"/>
      <c r="AR3865" s="120"/>
      <c r="AS3865" s="121"/>
      <c r="AT3865" s="120"/>
      <c r="AU3865" s="121"/>
      <c r="AV3865" s="120"/>
      <c r="AW3865" s="121"/>
      <c r="AX3865" s="120"/>
      <c r="AY3865" s="121"/>
      <c r="AZ3865" s="138"/>
    </row>
    <row r="3866" spans="1:52" ht="17.100000000000001" customHeight="1" thickTop="1">
      <c r="A3866" s="109" t="s">
        <v>11947</v>
      </c>
      <c r="B3866" s="28">
        <v>45989</v>
      </c>
      <c r="C3866" s="25">
        <v>1396</v>
      </c>
      <c r="D3866" s="13" t="s">
        <v>1767</v>
      </c>
      <c r="E3866" s="111"/>
      <c r="F3866" s="113" t="s">
        <v>11986</v>
      </c>
      <c r="G3866" s="114"/>
      <c r="H3866" s="115"/>
      <c r="I3866" s="24"/>
      <c r="J3866" s="116">
        <v>3.5</v>
      </c>
      <c r="K3866" s="118">
        <v>173000</v>
      </c>
      <c r="L3866" s="119"/>
      <c r="M3866" s="118">
        <f t="shared" ref="M3866" si="3716">K3866*0.1</f>
        <v>17300</v>
      </c>
      <c r="N3866" s="119"/>
      <c r="O3866" s="118">
        <v>0</v>
      </c>
      <c r="P3866" s="119"/>
      <c r="Q3866" s="118">
        <v>9790</v>
      </c>
      <c r="R3866" s="119"/>
      <c r="S3866" s="118">
        <v>13200</v>
      </c>
      <c r="T3866" s="119"/>
      <c r="U3866" s="118">
        <f t="shared" ref="U3866" si="3717">SUM(K3866:T3867)</f>
        <v>213290</v>
      </c>
      <c r="V3866" s="122"/>
      <c r="W3866" s="124"/>
      <c r="X3866" s="126" t="s">
        <v>12398</v>
      </c>
      <c r="Y3866" s="127"/>
      <c r="Z3866" s="127"/>
      <c r="AA3866" s="127"/>
      <c r="AB3866" s="128"/>
      <c r="AC3866" s="15" t="s">
        <v>20</v>
      </c>
      <c r="AD3866" s="129" t="s">
        <v>1945</v>
      </c>
      <c r="AE3866" s="130"/>
      <c r="AF3866" s="130"/>
      <c r="AG3866" s="130"/>
      <c r="AH3866" s="130"/>
      <c r="AI3866" s="131"/>
      <c r="AJ3866" s="132"/>
      <c r="AK3866" s="127"/>
      <c r="AL3866" s="128"/>
      <c r="AM3866" s="21"/>
      <c r="AN3866" s="133">
        <v>45997</v>
      </c>
      <c r="AO3866" s="134"/>
      <c r="AP3866" s="135">
        <v>1279</v>
      </c>
      <c r="AQ3866" s="136"/>
      <c r="AR3866" s="118">
        <v>120000</v>
      </c>
      <c r="AS3866" s="119"/>
      <c r="AT3866" s="118">
        <f t="shared" ref="AT3866" si="3718">AR3866*0.1</f>
        <v>12000</v>
      </c>
      <c r="AU3866" s="119"/>
      <c r="AV3866" s="118">
        <v>9790</v>
      </c>
      <c r="AW3866" s="119"/>
      <c r="AX3866" s="118">
        <f t="shared" ref="AX3866" si="3719">SUM(AR3866:AW3866)</f>
        <v>141790</v>
      </c>
      <c r="AY3866" s="119"/>
      <c r="AZ3866" s="137">
        <v>46000</v>
      </c>
    </row>
    <row r="3867" spans="1:52" ht="17.100000000000001" customHeight="1" thickBot="1">
      <c r="A3867" s="110"/>
      <c r="B3867" s="27" t="s">
        <v>2641</v>
      </c>
      <c r="C3867" s="27">
        <v>1819</v>
      </c>
      <c r="D3867" s="14" t="s">
        <v>11985</v>
      </c>
      <c r="E3867" s="112"/>
      <c r="F3867" s="139" t="s">
        <v>11963</v>
      </c>
      <c r="G3867" s="140"/>
      <c r="H3867" s="141"/>
      <c r="I3867" s="26">
        <v>155627</v>
      </c>
      <c r="J3867" s="117"/>
      <c r="K3867" s="120"/>
      <c r="L3867" s="121"/>
      <c r="M3867" s="120"/>
      <c r="N3867" s="121"/>
      <c r="O3867" s="120"/>
      <c r="P3867" s="121"/>
      <c r="Q3867" s="120"/>
      <c r="R3867" s="121"/>
      <c r="S3867" s="120"/>
      <c r="T3867" s="121"/>
      <c r="U3867" s="120"/>
      <c r="V3867" s="123"/>
      <c r="W3867" s="125"/>
      <c r="X3867" s="142" t="s">
        <v>12399</v>
      </c>
      <c r="Y3867" s="143"/>
      <c r="Z3867" s="143"/>
      <c r="AA3867" s="143"/>
      <c r="AB3867" s="144"/>
      <c r="AC3867" s="16" t="s">
        <v>21</v>
      </c>
      <c r="AD3867" s="17" t="s">
        <v>2248</v>
      </c>
      <c r="AE3867" s="145" t="s">
        <v>171</v>
      </c>
      <c r="AF3867" s="146"/>
      <c r="AG3867" s="146"/>
      <c r="AH3867" s="146"/>
      <c r="AI3867" s="147"/>
      <c r="AJ3867" s="148"/>
      <c r="AK3867" s="143"/>
      <c r="AL3867" s="144"/>
      <c r="AM3867" s="22"/>
      <c r="AN3867" s="149" t="s">
        <v>2511</v>
      </c>
      <c r="AO3867" s="144"/>
      <c r="AP3867" s="148">
        <v>90520</v>
      </c>
      <c r="AQ3867" s="144"/>
      <c r="AR3867" s="120"/>
      <c r="AS3867" s="121"/>
      <c r="AT3867" s="120"/>
      <c r="AU3867" s="121"/>
      <c r="AV3867" s="120"/>
      <c r="AW3867" s="121"/>
      <c r="AX3867" s="120"/>
      <c r="AY3867" s="121"/>
      <c r="AZ3867" s="138"/>
    </row>
    <row r="3868" spans="1:52" ht="17.100000000000001" customHeight="1" thickTop="1">
      <c r="A3868" s="109" t="s">
        <v>11948</v>
      </c>
      <c r="B3868" s="28">
        <v>45989</v>
      </c>
      <c r="C3868" s="25">
        <v>1396</v>
      </c>
      <c r="D3868" s="13" t="s">
        <v>1752</v>
      </c>
      <c r="E3868" s="111"/>
      <c r="F3868" s="113" t="s">
        <v>4288</v>
      </c>
      <c r="G3868" s="114"/>
      <c r="H3868" s="115"/>
      <c r="I3868" s="24" t="s">
        <v>5142</v>
      </c>
      <c r="J3868" s="150" t="s">
        <v>1715</v>
      </c>
      <c r="K3868" s="118">
        <v>224000</v>
      </c>
      <c r="L3868" s="119"/>
      <c r="M3868" s="118">
        <f t="shared" ref="M3868" si="3720">K3868*0.1</f>
        <v>22400</v>
      </c>
      <c r="N3868" s="119"/>
      <c r="O3868" s="118">
        <v>0</v>
      </c>
      <c r="P3868" s="119"/>
      <c r="Q3868" s="118">
        <v>9550</v>
      </c>
      <c r="R3868" s="119"/>
      <c r="S3868" s="118">
        <v>13200</v>
      </c>
      <c r="T3868" s="119"/>
      <c r="U3868" s="118">
        <f t="shared" ref="U3868" si="3721">SUM(K3868:T3869)</f>
        <v>269150</v>
      </c>
      <c r="V3868" s="122"/>
      <c r="W3868" s="124"/>
      <c r="X3868" s="126" t="s">
        <v>12634</v>
      </c>
      <c r="Y3868" s="127"/>
      <c r="Z3868" s="127"/>
      <c r="AA3868" s="127"/>
      <c r="AB3868" s="128"/>
      <c r="AC3868" s="15" t="s">
        <v>20</v>
      </c>
      <c r="AD3868" s="129" t="s">
        <v>1605</v>
      </c>
      <c r="AE3868" s="130"/>
      <c r="AF3868" s="130"/>
      <c r="AG3868" s="130"/>
      <c r="AH3868" s="130"/>
      <c r="AI3868" s="131"/>
      <c r="AJ3868" s="132"/>
      <c r="AK3868" s="127"/>
      <c r="AL3868" s="128"/>
      <c r="AM3868" s="21" t="s">
        <v>12764</v>
      </c>
      <c r="AN3868" s="133">
        <v>45997</v>
      </c>
      <c r="AO3868" s="134"/>
      <c r="AP3868" s="135">
        <v>1279</v>
      </c>
      <c r="AQ3868" s="136"/>
      <c r="AR3868" s="118">
        <v>291000</v>
      </c>
      <c r="AS3868" s="119"/>
      <c r="AT3868" s="118">
        <f t="shared" ref="AT3868" si="3722">AR3868*0.1</f>
        <v>29100</v>
      </c>
      <c r="AU3868" s="119"/>
      <c r="AV3868" s="118">
        <v>9550</v>
      </c>
      <c r="AW3868" s="119"/>
      <c r="AX3868" s="118">
        <f t="shared" ref="AX3868" si="3723">SUM(AR3868:AW3868)</f>
        <v>329650</v>
      </c>
      <c r="AY3868" s="119"/>
      <c r="AZ3868" s="137">
        <v>46002</v>
      </c>
    </row>
    <row r="3869" spans="1:52" ht="17.100000000000001" customHeight="1" thickBot="1">
      <c r="A3869" s="110"/>
      <c r="B3869" s="27" t="s">
        <v>2641</v>
      </c>
      <c r="C3869" s="27">
        <v>2191</v>
      </c>
      <c r="D3869" s="14" t="s">
        <v>133</v>
      </c>
      <c r="E3869" s="112"/>
      <c r="F3869" s="139" t="s">
        <v>11964</v>
      </c>
      <c r="G3869" s="140"/>
      <c r="H3869" s="141"/>
      <c r="I3869" s="26">
        <v>115898</v>
      </c>
      <c r="J3869" s="117"/>
      <c r="K3869" s="120"/>
      <c r="L3869" s="121"/>
      <c r="M3869" s="120"/>
      <c r="N3869" s="121"/>
      <c r="O3869" s="120"/>
      <c r="P3869" s="121"/>
      <c r="Q3869" s="120"/>
      <c r="R3869" s="121"/>
      <c r="S3869" s="120"/>
      <c r="T3869" s="121"/>
      <c r="U3869" s="120"/>
      <c r="V3869" s="123"/>
      <c r="W3869" s="125"/>
      <c r="X3869" s="142" t="s">
        <v>12635</v>
      </c>
      <c r="Y3869" s="143"/>
      <c r="Z3869" s="143"/>
      <c r="AA3869" s="143"/>
      <c r="AB3869" s="144"/>
      <c r="AC3869" s="16" t="s">
        <v>21</v>
      </c>
      <c r="AD3869" s="17" t="s">
        <v>3439</v>
      </c>
      <c r="AE3869" s="145" t="s">
        <v>5075</v>
      </c>
      <c r="AF3869" s="146"/>
      <c r="AG3869" s="146"/>
      <c r="AH3869" s="146"/>
      <c r="AI3869" s="147"/>
      <c r="AJ3869" s="148"/>
      <c r="AK3869" s="143"/>
      <c r="AL3869" s="144"/>
      <c r="AM3869" s="22"/>
      <c r="AN3869" s="149" t="s">
        <v>2511</v>
      </c>
      <c r="AO3869" s="144"/>
      <c r="AP3869" s="148">
        <v>63021</v>
      </c>
      <c r="AQ3869" s="144"/>
      <c r="AR3869" s="120"/>
      <c r="AS3869" s="121"/>
      <c r="AT3869" s="120"/>
      <c r="AU3869" s="121"/>
      <c r="AV3869" s="120"/>
      <c r="AW3869" s="121"/>
      <c r="AX3869" s="120"/>
      <c r="AY3869" s="121"/>
      <c r="AZ3869" s="138"/>
    </row>
    <row r="3870" spans="1:52" ht="17.100000000000001" customHeight="1" thickTop="1">
      <c r="A3870" s="109" t="s">
        <v>11949</v>
      </c>
      <c r="B3870" s="28">
        <v>45989</v>
      </c>
      <c r="C3870" s="25">
        <v>1396</v>
      </c>
      <c r="D3870" s="13" t="s">
        <v>2066</v>
      </c>
      <c r="E3870" s="111"/>
      <c r="F3870" s="113" t="s">
        <v>11965</v>
      </c>
      <c r="G3870" s="114"/>
      <c r="H3870" s="115"/>
      <c r="I3870" s="24" t="s">
        <v>5662</v>
      </c>
      <c r="J3870" s="116">
        <v>4.5</v>
      </c>
      <c r="K3870" s="118">
        <v>1674000</v>
      </c>
      <c r="L3870" s="119"/>
      <c r="M3870" s="118">
        <f t="shared" ref="M3870" si="3724">K3870*0.1</f>
        <v>167400</v>
      </c>
      <c r="N3870" s="119"/>
      <c r="O3870" s="118">
        <v>0</v>
      </c>
      <c r="P3870" s="119"/>
      <c r="Q3870" s="118">
        <v>6180</v>
      </c>
      <c r="R3870" s="119"/>
      <c r="S3870" s="118">
        <v>13200</v>
      </c>
      <c r="T3870" s="119"/>
      <c r="U3870" s="118">
        <f t="shared" ref="U3870" si="3725">SUM(K3870:T3871)</f>
        <v>1860780</v>
      </c>
      <c r="V3870" s="122"/>
      <c r="W3870" s="124"/>
      <c r="X3870" s="126" t="s">
        <v>12330</v>
      </c>
      <c r="Y3870" s="127"/>
      <c r="Z3870" s="127"/>
      <c r="AA3870" s="127"/>
      <c r="AB3870" s="128"/>
      <c r="AC3870" s="15" t="s">
        <v>20</v>
      </c>
      <c r="AD3870" s="129" t="s">
        <v>1945</v>
      </c>
      <c r="AE3870" s="130"/>
      <c r="AF3870" s="130"/>
      <c r="AG3870" s="130"/>
      <c r="AH3870" s="130"/>
      <c r="AI3870" s="131"/>
      <c r="AJ3870" s="132"/>
      <c r="AK3870" s="127"/>
      <c r="AL3870" s="128"/>
      <c r="AM3870" s="21" t="s">
        <v>12530</v>
      </c>
      <c r="AN3870" s="133">
        <v>45994</v>
      </c>
      <c r="AO3870" s="134"/>
      <c r="AP3870" s="135">
        <v>995</v>
      </c>
      <c r="AQ3870" s="136"/>
      <c r="AR3870" s="118">
        <v>1695000</v>
      </c>
      <c r="AS3870" s="119"/>
      <c r="AT3870" s="118">
        <f t="shared" ref="AT3870" si="3726">AR3870*0.1</f>
        <v>169500</v>
      </c>
      <c r="AU3870" s="119"/>
      <c r="AV3870" s="118">
        <v>6180</v>
      </c>
      <c r="AW3870" s="119"/>
      <c r="AX3870" s="118">
        <f t="shared" ref="AX3870" si="3727">SUM(AR3870:AW3870)</f>
        <v>1870680</v>
      </c>
      <c r="AY3870" s="119"/>
      <c r="AZ3870" s="137">
        <v>45999</v>
      </c>
    </row>
    <row r="3871" spans="1:52" ht="17.100000000000001" customHeight="1" thickBot="1">
      <c r="A3871" s="110"/>
      <c r="B3871" s="27" t="s">
        <v>2641</v>
      </c>
      <c r="C3871" s="27">
        <v>3008</v>
      </c>
      <c r="D3871" s="14" t="s">
        <v>133</v>
      </c>
      <c r="E3871" s="112"/>
      <c r="F3871" s="139" t="s">
        <v>11966</v>
      </c>
      <c r="G3871" s="140"/>
      <c r="H3871" s="141"/>
      <c r="I3871" s="26">
        <v>16347</v>
      </c>
      <c r="J3871" s="117"/>
      <c r="K3871" s="120"/>
      <c r="L3871" s="121"/>
      <c r="M3871" s="120"/>
      <c r="N3871" s="121"/>
      <c r="O3871" s="120"/>
      <c r="P3871" s="121"/>
      <c r="Q3871" s="120"/>
      <c r="R3871" s="121"/>
      <c r="S3871" s="120"/>
      <c r="T3871" s="121"/>
      <c r="U3871" s="120"/>
      <c r="V3871" s="123"/>
      <c r="W3871" s="125"/>
      <c r="X3871" s="142" t="s">
        <v>12331</v>
      </c>
      <c r="Y3871" s="143"/>
      <c r="Z3871" s="143"/>
      <c r="AA3871" s="143"/>
      <c r="AB3871" s="144"/>
      <c r="AC3871" s="16" t="s">
        <v>21</v>
      </c>
      <c r="AD3871" s="17" t="s">
        <v>2248</v>
      </c>
      <c r="AE3871" s="145" t="s">
        <v>1945</v>
      </c>
      <c r="AF3871" s="146"/>
      <c r="AG3871" s="146"/>
      <c r="AH3871" s="146"/>
      <c r="AI3871" s="147"/>
      <c r="AJ3871" s="148"/>
      <c r="AK3871" s="143"/>
      <c r="AL3871" s="144"/>
      <c r="AM3871" s="22"/>
      <c r="AN3871" s="149" t="s">
        <v>2794</v>
      </c>
      <c r="AO3871" s="144"/>
      <c r="AP3871" s="148">
        <v>2062</v>
      </c>
      <c r="AQ3871" s="144"/>
      <c r="AR3871" s="120"/>
      <c r="AS3871" s="121"/>
      <c r="AT3871" s="120"/>
      <c r="AU3871" s="121"/>
      <c r="AV3871" s="120"/>
      <c r="AW3871" s="121"/>
      <c r="AX3871" s="120"/>
      <c r="AY3871" s="121"/>
      <c r="AZ3871" s="138"/>
    </row>
    <row r="3872" spans="1:52" ht="17.100000000000001" customHeight="1" thickTop="1">
      <c r="A3872" s="109" t="s">
        <v>11950</v>
      </c>
      <c r="B3872" s="28">
        <v>45989</v>
      </c>
      <c r="C3872" s="25">
        <v>1396</v>
      </c>
      <c r="D3872" s="13" t="s">
        <v>2458</v>
      </c>
      <c r="E3872" s="111"/>
      <c r="F3872" s="113" t="s">
        <v>11967</v>
      </c>
      <c r="G3872" s="114"/>
      <c r="H3872" s="115"/>
      <c r="I3872" s="24" t="s">
        <v>11987</v>
      </c>
      <c r="J3872" s="116">
        <v>4</v>
      </c>
      <c r="K3872" s="118">
        <v>707000</v>
      </c>
      <c r="L3872" s="119"/>
      <c r="M3872" s="118">
        <f t="shared" ref="M3872" si="3728">K3872*0.1</f>
        <v>70700</v>
      </c>
      <c r="N3872" s="119"/>
      <c r="O3872" s="118">
        <f>11500+1150</f>
        <v>12650</v>
      </c>
      <c r="P3872" s="119"/>
      <c r="Q3872" s="118">
        <v>9130</v>
      </c>
      <c r="R3872" s="119"/>
      <c r="S3872" s="118">
        <v>13200</v>
      </c>
      <c r="T3872" s="119"/>
      <c r="U3872" s="118">
        <f t="shared" ref="U3872" si="3729">SUM(K3872:T3873)</f>
        <v>812680</v>
      </c>
      <c r="V3872" s="122"/>
      <c r="W3872" s="124"/>
      <c r="X3872" s="126" t="s">
        <v>13033</v>
      </c>
      <c r="Y3872" s="127"/>
      <c r="Z3872" s="127"/>
      <c r="AA3872" s="127"/>
      <c r="AB3872" s="128"/>
      <c r="AC3872" s="15" t="s">
        <v>20</v>
      </c>
      <c r="AD3872" s="129" t="s">
        <v>1633</v>
      </c>
      <c r="AE3872" s="130"/>
      <c r="AF3872" s="130"/>
      <c r="AG3872" s="130"/>
      <c r="AH3872" s="130"/>
      <c r="AI3872" s="131"/>
      <c r="AJ3872" s="132"/>
      <c r="AK3872" s="127"/>
      <c r="AL3872" s="128"/>
      <c r="AM3872" s="21"/>
      <c r="AN3872" s="133">
        <v>46001</v>
      </c>
      <c r="AO3872" s="134"/>
      <c r="AP3872" s="135">
        <v>996</v>
      </c>
      <c r="AQ3872" s="136"/>
      <c r="AR3872" s="118">
        <v>765000</v>
      </c>
      <c r="AS3872" s="119"/>
      <c r="AT3872" s="118">
        <f t="shared" ref="AT3872" si="3730">AR3872*0.1</f>
        <v>76500</v>
      </c>
      <c r="AU3872" s="119"/>
      <c r="AV3872" s="118">
        <v>9130</v>
      </c>
      <c r="AW3872" s="119"/>
      <c r="AX3872" s="118">
        <f t="shared" ref="AX3872" si="3731">SUM(AR3872:AW3872)</f>
        <v>850630</v>
      </c>
      <c r="AY3872" s="119"/>
      <c r="AZ3872" s="137">
        <v>46006</v>
      </c>
    </row>
    <row r="3873" spans="1:52" ht="17.100000000000001" customHeight="1" thickBot="1">
      <c r="A3873" s="110"/>
      <c r="B3873" s="27" t="s">
        <v>2641</v>
      </c>
      <c r="C3873" s="27">
        <v>3012</v>
      </c>
      <c r="D3873" s="14" t="s">
        <v>275</v>
      </c>
      <c r="E3873" s="112"/>
      <c r="F3873" s="139" t="s">
        <v>11968</v>
      </c>
      <c r="G3873" s="140"/>
      <c r="H3873" s="141"/>
      <c r="I3873" s="26">
        <v>87540</v>
      </c>
      <c r="J3873" s="117"/>
      <c r="K3873" s="120"/>
      <c r="L3873" s="121"/>
      <c r="M3873" s="120"/>
      <c r="N3873" s="121"/>
      <c r="O3873" s="120"/>
      <c r="P3873" s="121"/>
      <c r="Q3873" s="120"/>
      <c r="R3873" s="121"/>
      <c r="S3873" s="120"/>
      <c r="T3873" s="121"/>
      <c r="U3873" s="120"/>
      <c r="V3873" s="123"/>
      <c r="W3873" s="125"/>
      <c r="X3873" s="142" t="s">
        <v>13034</v>
      </c>
      <c r="Y3873" s="143"/>
      <c r="Z3873" s="143"/>
      <c r="AA3873" s="143"/>
      <c r="AB3873" s="144"/>
      <c r="AC3873" s="16" t="s">
        <v>21</v>
      </c>
      <c r="AD3873" s="17" t="s">
        <v>12921</v>
      </c>
      <c r="AE3873" s="145" t="s">
        <v>13035</v>
      </c>
      <c r="AF3873" s="146"/>
      <c r="AG3873" s="146"/>
      <c r="AH3873" s="146"/>
      <c r="AI3873" s="147"/>
      <c r="AJ3873" s="148"/>
      <c r="AK3873" s="143"/>
      <c r="AL3873" s="144"/>
      <c r="AM3873" s="22"/>
      <c r="AN3873" s="149" t="s">
        <v>9053</v>
      </c>
      <c r="AO3873" s="144"/>
      <c r="AP3873" s="148">
        <v>6009</v>
      </c>
      <c r="AQ3873" s="144"/>
      <c r="AR3873" s="120"/>
      <c r="AS3873" s="121"/>
      <c r="AT3873" s="120"/>
      <c r="AU3873" s="121"/>
      <c r="AV3873" s="120"/>
      <c r="AW3873" s="121"/>
      <c r="AX3873" s="120"/>
      <c r="AY3873" s="121"/>
      <c r="AZ3873" s="138"/>
    </row>
    <row r="3874" spans="1:52" ht="17.100000000000001" customHeight="1" thickTop="1">
      <c r="A3874" s="109" t="s">
        <v>11951</v>
      </c>
      <c r="B3874" s="28">
        <v>45989</v>
      </c>
      <c r="C3874" s="25">
        <v>1396</v>
      </c>
      <c r="D3874" s="13" t="s">
        <v>1977</v>
      </c>
      <c r="E3874" s="111"/>
      <c r="F3874" s="113" t="s">
        <v>11922</v>
      </c>
      <c r="G3874" s="114"/>
      <c r="H3874" s="115"/>
      <c r="I3874" s="24" t="s">
        <v>11988</v>
      </c>
      <c r="J3874" s="116">
        <v>4</v>
      </c>
      <c r="K3874" s="118">
        <v>3326000</v>
      </c>
      <c r="L3874" s="119"/>
      <c r="M3874" s="118">
        <f t="shared" ref="M3874" si="3732">K3874*0.1</f>
        <v>332600</v>
      </c>
      <c r="N3874" s="119"/>
      <c r="O3874" s="118">
        <f>17000+1700</f>
        <v>18700</v>
      </c>
      <c r="P3874" s="119"/>
      <c r="Q3874" s="118">
        <v>14140</v>
      </c>
      <c r="R3874" s="119"/>
      <c r="S3874" s="118">
        <v>13200</v>
      </c>
      <c r="T3874" s="119"/>
      <c r="U3874" s="118">
        <f t="shared" ref="U3874" si="3733">SUM(K3874:T3875)</f>
        <v>3704640</v>
      </c>
      <c r="V3874" s="122"/>
      <c r="W3874" s="124"/>
      <c r="X3874" s="126" t="s">
        <v>12755</v>
      </c>
      <c r="Y3874" s="127"/>
      <c r="Z3874" s="127"/>
      <c r="AA3874" s="127"/>
      <c r="AB3874" s="128"/>
      <c r="AC3874" s="15" t="s">
        <v>20</v>
      </c>
      <c r="AD3874" s="129" t="s">
        <v>2395</v>
      </c>
      <c r="AE3874" s="130"/>
      <c r="AF3874" s="130"/>
      <c r="AG3874" s="130"/>
      <c r="AH3874" s="130"/>
      <c r="AI3874" s="131"/>
      <c r="AJ3874" s="132"/>
      <c r="AK3874" s="127"/>
      <c r="AL3874" s="128"/>
      <c r="AM3874" s="21"/>
      <c r="AN3874" s="133">
        <v>45994</v>
      </c>
      <c r="AO3874" s="134"/>
      <c r="AP3874" s="135">
        <v>995</v>
      </c>
      <c r="AQ3874" s="136"/>
      <c r="AR3874" s="118">
        <v>3450000</v>
      </c>
      <c r="AS3874" s="119"/>
      <c r="AT3874" s="118">
        <f t="shared" ref="AT3874" si="3734">AR3874*0.1</f>
        <v>345000</v>
      </c>
      <c r="AU3874" s="119"/>
      <c r="AV3874" s="118">
        <v>14140</v>
      </c>
      <c r="AW3874" s="119"/>
      <c r="AX3874" s="118">
        <f t="shared" ref="AX3874" si="3735">SUM(AR3874:AW3874)</f>
        <v>3809140</v>
      </c>
      <c r="AY3874" s="119"/>
      <c r="AZ3874" s="137">
        <v>46002</v>
      </c>
    </row>
    <row r="3875" spans="1:52" ht="17.100000000000001" customHeight="1" thickBot="1">
      <c r="A3875" s="110"/>
      <c r="B3875" s="27" t="s">
        <v>2641</v>
      </c>
      <c r="C3875" s="27">
        <v>3024</v>
      </c>
      <c r="D3875" s="14" t="s">
        <v>275</v>
      </c>
      <c r="E3875" s="112"/>
      <c r="F3875" s="139" t="s">
        <v>11969</v>
      </c>
      <c r="G3875" s="140"/>
      <c r="H3875" s="141"/>
      <c r="I3875" s="26">
        <v>35900</v>
      </c>
      <c r="J3875" s="117"/>
      <c r="K3875" s="120"/>
      <c r="L3875" s="121"/>
      <c r="M3875" s="120"/>
      <c r="N3875" s="121"/>
      <c r="O3875" s="120"/>
      <c r="P3875" s="121"/>
      <c r="Q3875" s="120"/>
      <c r="R3875" s="121"/>
      <c r="S3875" s="120"/>
      <c r="T3875" s="121"/>
      <c r="U3875" s="120"/>
      <c r="V3875" s="123"/>
      <c r="W3875" s="125"/>
      <c r="X3875" s="142" t="s">
        <v>12756</v>
      </c>
      <c r="Y3875" s="143"/>
      <c r="Z3875" s="143"/>
      <c r="AA3875" s="143"/>
      <c r="AB3875" s="144"/>
      <c r="AC3875" s="16" t="s">
        <v>21</v>
      </c>
      <c r="AD3875" s="17" t="s">
        <v>1765</v>
      </c>
      <c r="AE3875" s="145" t="s">
        <v>2395</v>
      </c>
      <c r="AF3875" s="146"/>
      <c r="AG3875" s="146"/>
      <c r="AH3875" s="146"/>
      <c r="AI3875" s="147"/>
      <c r="AJ3875" s="148" t="s">
        <v>13318</v>
      </c>
      <c r="AK3875" s="143"/>
      <c r="AL3875" s="144"/>
      <c r="AM3875" s="22"/>
      <c r="AN3875" s="149" t="s">
        <v>2794</v>
      </c>
      <c r="AO3875" s="144"/>
      <c r="AP3875" s="148">
        <v>5061</v>
      </c>
      <c r="AQ3875" s="144"/>
      <c r="AR3875" s="120"/>
      <c r="AS3875" s="121"/>
      <c r="AT3875" s="120"/>
      <c r="AU3875" s="121"/>
      <c r="AV3875" s="120"/>
      <c r="AW3875" s="121"/>
      <c r="AX3875" s="120"/>
      <c r="AY3875" s="121"/>
      <c r="AZ3875" s="138"/>
    </row>
    <row r="3876" spans="1:52" ht="17.100000000000001" customHeight="1" thickTop="1">
      <c r="A3876" s="151" t="s">
        <v>11952</v>
      </c>
      <c r="B3876" s="28">
        <v>45989</v>
      </c>
      <c r="C3876" s="25">
        <v>1396</v>
      </c>
      <c r="D3876" s="13" t="s">
        <v>1930</v>
      </c>
      <c r="E3876" s="111"/>
      <c r="F3876" s="113" t="s">
        <v>11970</v>
      </c>
      <c r="G3876" s="114"/>
      <c r="H3876" s="115"/>
      <c r="I3876" s="24"/>
      <c r="J3876" s="116">
        <v>4</v>
      </c>
      <c r="K3876" s="118">
        <v>1375000</v>
      </c>
      <c r="L3876" s="119"/>
      <c r="M3876" s="118">
        <v>137500</v>
      </c>
      <c r="N3876" s="119"/>
      <c r="O3876" s="118">
        <v>0</v>
      </c>
      <c r="P3876" s="119"/>
      <c r="Q3876" s="118">
        <v>8550</v>
      </c>
      <c r="R3876" s="119"/>
      <c r="S3876" s="118">
        <v>13200</v>
      </c>
      <c r="T3876" s="119"/>
      <c r="U3876" s="118">
        <f t="shared" ref="U3876" si="3736">SUM(K3876:T3877)</f>
        <v>1534250</v>
      </c>
      <c r="V3876" s="122"/>
      <c r="W3876" s="124"/>
      <c r="X3876" s="126" t="s">
        <v>12397</v>
      </c>
      <c r="Y3876" s="127"/>
      <c r="Z3876" s="127"/>
      <c r="AA3876" s="127"/>
      <c r="AB3876" s="128"/>
      <c r="AC3876" s="15" t="s">
        <v>20</v>
      </c>
      <c r="AD3876" s="129" t="s">
        <v>11989</v>
      </c>
      <c r="AE3876" s="130"/>
      <c r="AF3876" s="130"/>
      <c r="AG3876" s="130"/>
      <c r="AH3876" s="130"/>
      <c r="AI3876" s="131"/>
      <c r="AJ3876" s="132" t="s">
        <v>12779</v>
      </c>
      <c r="AK3876" s="127"/>
      <c r="AL3876" s="128"/>
      <c r="AM3876" s="21"/>
      <c r="AN3876" s="133"/>
      <c r="AO3876" s="134"/>
      <c r="AP3876" s="135"/>
      <c r="AQ3876" s="136"/>
      <c r="AR3876" s="118"/>
      <c r="AS3876" s="119"/>
      <c r="AT3876" s="118">
        <f t="shared" ref="AT3876" si="3737">AR3876*0.1</f>
        <v>0</v>
      </c>
      <c r="AU3876" s="119"/>
      <c r="AV3876" s="118"/>
      <c r="AW3876" s="119"/>
      <c r="AX3876" s="118">
        <f t="shared" ref="AX3876" si="3738">SUM(AR3876:AW3876)</f>
        <v>0</v>
      </c>
      <c r="AY3876" s="119"/>
      <c r="AZ3876" s="137"/>
    </row>
    <row r="3877" spans="1:52" ht="17.100000000000001" customHeight="1" thickBot="1">
      <c r="A3877" s="152"/>
      <c r="B3877" s="27" t="s">
        <v>2641</v>
      </c>
      <c r="C3877" s="27">
        <v>3031</v>
      </c>
      <c r="D3877" s="14" t="s">
        <v>2601</v>
      </c>
      <c r="E3877" s="112"/>
      <c r="F3877" s="139" t="s">
        <v>11971</v>
      </c>
      <c r="G3877" s="140"/>
      <c r="H3877" s="141"/>
      <c r="I3877" s="26">
        <v>10820</v>
      </c>
      <c r="J3877" s="117"/>
      <c r="K3877" s="120"/>
      <c r="L3877" s="121"/>
      <c r="M3877" s="120"/>
      <c r="N3877" s="121"/>
      <c r="O3877" s="120"/>
      <c r="P3877" s="121"/>
      <c r="Q3877" s="120"/>
      <c r="R3877" s="121"/>
      <c r="S3877" s="120"/>
      <c r="T3877" s="121"/>
      <c r="U3877" s="120"/>
      <c r="V3877" s="123"/>
      <c r="W3877" s="125"/>
      <c r="X3877" s="142" t="s">
        <v>4296</v>
      </c>
      <c r="Y3877" s="143"/>
      <c r="Z3877" s="143"/>
      <c r="AA3877" s="143"/>
      <c r="AB3877" s="144"/>
      <c r="AC3877" s="16" t="s">
        <v>21</v>
      </c>
      <c r="AD3877" s="17" t="s">
        <v>2248</v>
      </c>
      <c r="AE3877" s="145" t="s">
        <v>1670</v>
      </c>
      <c r="AF3877" s="146"/>
      <c r="AG3877" s="146"/>
      <c r="AH3877" s="146"/>
      <c r="AI3877" s="147"/>
      <c r="AJ3877" s="148"/>
      <c r="AK3877" s="143"/>
      <c r="AL3877" s="144"/>
      <c r="AM3877" s="22"/>
      <c r="AN3877" s="149"/>
      <c r="AO3877" s="144"/>
      <c r="AP3877" s="148"/>
      <c r="AQ3877" s="144"/>
      <c r="AR3877" s="120"/>
      <c r="AS3877" s="121"/>
      <c r="AT3877" s="120"/>
      <c r="AU3877" s="121"/>
      <c r="AV3877" s="120"/>
      <c r="AW3877" s="121"/>
      <c r="AX3877" s="120"/>
      <c r="AY3877" s="121"/>
      <c r="AZ3877" s="138"/>
    </row>
    <row r="3878" spans="1:52" ht="17.100000000000001" customHeight="1" thickTop="1">
      <c r="A3878" s="109" t="s">
        <v>11953</v>
      </c>
      <c r="B3878" s="28">
        <v>45989</v>
      </c>
      <c r="C3878" s="25">
        <v>1396</v>
      </c>
      <c r="D3878" s="13" t="s">
        <v>2963</v>
      </c>
      <c r="E3878" s="111"/>
      <c r="F3878" s="113" t="s">
        <v>11972</v>
      </c>
      <c r="G3878" s="114"/>
      <c r="H3878" s="115"/>
      <c r="I3878" s="24"/>
      <c r="J3878" s="116">
        <v>4</v>
      </c>
      <c r="K3878" s="118">
        <v>1300000</v>
      </c>
      <c r="L3878" s="119"/>
      <c r="M3878" s="118">
        <f t="shared" ref="M3878" si="3739">K3878*0.1</f>
        <v>130000</v>
      </c>
      <c r="N3878" s="119"/>
      <c r="O3878" s="118">
        <v>0</v>
      </c>
      <c r="P3878" s="119"/>
      <c r="Q3878" s="118">
        <v>9810</v>
      </c>
      <c r="R3878" s="119"/>
      <c r="S3878" s="118">
        <v>13200</v>
      </c>
      <c r="T3878" s="119"/>
      <c r="U3878" s="118">
        <f t="shared" ref="U3878" si="3740">SUM(K3878:T3879)</f>
        <v>1453010</v>
      </c>
      <c r="V3878" s="122"/>
      <c r="W3878" s="124"/>
      <c r="X3878" s="126" t="s">
        <v>12392</v>
      </c>
      <c r="Y3878" s="127"/>
      <c r="Z3878" s="127"/>
      <c r="AA3878" s="127"/>
      <c r="AB3878" s="128"/>
      <c r="AC3878" s="15" t="s">
        <v>20</v>
      </c>
      <c r="AD3878" s="129" t="s">
        <v>1670</v>
      </c>
      <c r="AE3878" s="130"/>
      <c r="AF3878" s="130"/>
      <c r="AG3878" s="130"/>
      <c r="AH3878" s="130"/>
      <c r="AI3878" s="131"/>
      <c r="AJ3878" s="132"/>
      <c r="AK3878" s="127"/>
      <c r="AL3878" s="128"/>
      <c r="AM3878" s="21"/>
      <c r="AN3878" s="133">
        <v>45997</v>
      </c>
      <c r="AO3878" s="134"/>
      <c r="AP3878" s="135">
        <v>1279</v>
      </c>
      <c r="AQ3878" s="136"/>
      <c r="AR3878" s="118">
        <v>1380000</v>
      </c>
      <c r="AS3878" s="119"/>
      <c r="AT3878" s="118">
        <f t="shared" ref="AT3878" si="3741">AR3878*0.1</f>
        <v>138000</v>
      </c>
      <c r="AU3878" s="119"/>
      <c r="AV3878" s="118">
        <v>9810</v>
      </c>
      <c r="AW3878" s="119"/>
      <c r="AX3878" s="118">
        <f t="shared" ref="AX3878" si="3742">SUM(AR3878:AW3878)</f>
        <v>1527810</v>
      </c>
      <c r="AY3878" s="119"/>
      <c r="AZ3878" s="137">
        <v>46001</v>
      </c>
    </row>
    <row r="3879" spans="1:52" ht="17.100000000000001" customHeight="1" thickBot="1">
      <c r="A3879" s="110"/>
      <c r="B3879" s="27" t="s">
        <v>2641</v>
      </c>
      <c r="C3879" s="27">
        <v>3051</v>
      </c>
      <c r="D3879" s="14" t="s">
        <v>275</v>
      </c>
      <c r="E3879" s="112"/>
      <c r="F3879" s="139" t="s">
        <v>11973</v>
      </c>
      <c r="G3879" s="140"/>
      <c r="H3879" s="141"/>
      <c r="I3879" s="26">
        <v>39059</v>
      </c>
      <c r="J3879" s="117"/>
      <c r="K3879" s="120"/>
      <c r="L3879" s="121"/>
      <c r="M3879" s="120"/>
      <c r="N3879" s="121"/>
      <c r="O3879" s="120"/>
      <c r="P3879" s="121"/>
      <c r="Q3879" s="120"/>
      <c r="R3879" s="121"/>
      <c r="S3879" s="120"/>
      <c r="T3879" s="121"/>
      <c r="U3879" s="120"/>
      <c r="V3879" s="123"/>
      <c r="W3879" s="125"/>
      <c r="X3879" s="142" t="s">
        <v>12393</v>
      </c>
      <c r="Y3879" s="143"/>
      <c r="Z3879" s="143"/>
      <c r="AA3879" s="143"/>
      <c r="AB3879" s="144"/>
      <c r="AC3879" s="16" t="s">
        <v>21</v>
      </c>
      <c r="AD3879" s="17" t="s">
        <v>2248</v>
      </c>
      <c r="AE3879" s="145" t="s">
        <v>11617</v>
      </c>
      <c r="AF3879" s="146"/>
      <c r="AG3879" s="146"/>
      <c r="AH3879" s="146"/>
      <c r="AI3879" s="147"/>
      <c r="AJ3879" s="148"/>
      <c r="AK3879" s="143"/>
      <c r="AL3879" s="144"/>
      <c r="AM3879" s="22"/>
      <c r="AN3879" s="149" t="s">
        <v>2511</v>
      </c>
      <c r="AO3879" s="144"/>
      <c r="AP3879" s="148">
        <v>118</v>
      </c>
      <c r="AQ3879" s="144"/>
      <c r="AR3879" s="120"/>
      <c r="AS3879" s="121"/>
      <c r="AT3879" s="120"/>
      <c r="AU3879" s="121"/>
      <c r="AV3879" s="120"/>
      <c r="AW3879" s="121"/>
      <c r="AX3879" s="120"/>
      <c r="AY3879" s="121"/>
      <c r="AZ3879" s="138"/>
    </row>
    <row r="3880" spans="1:52" ht="17.100000000000001" customHeight="1" thickTop="1">
      <c r="A3880" s="109" t="s">
        <v>11954</v>
      </c>
      <c r="B3880" s="28">
        <v>45989</v>
      </c>
      <c r="C3880" s="25">
        <v>1396</v>
      </c>
      <c r="D3880" s="13" t="s">
        <v>1839</v>
      </c>
      <c r="E3880" s="111"/>
      <c r="F3880" s="113" t="s">
        <v>11974</v>
      </c>
      <c r="G3880" s="114"/>
      <c r="H3880" s="115"/>
      <c r="I3880" s="24" t="s">
        <v>11990</v>
      </c>
      <c r="J3880" s="116">
        <v>4</v>
      </c>
      <c r="K3880" s="118">
        <v>861000</v>
      </c>
      <c r="L3880" s="119"/>
      <c r="M3880" s="118">
        <f t="shared" ref="M3880" si="3743">K3880*0.1</f>
        <v>86100</v>
      </c>
      <c r="N3880" s="119"/>
      <c r="O3880" s="118">
        <f>15000+1500</f>
        <v>16500</v>
      </c>
      <c r="P3880" s="119"/>
      <c r="Q3880" s="118">
        <v>14420</v>
      </c>
      <c r="R3880" s="119"/>
      <c r="S3880" s="118">
        <v>13200</v>
      </c>
      <c r="T3880" s="119"/>
      <c r="U3880" s="118">
        <f t="shared" ref="U3880" si="3744">SUM(K3880:T3881)</f>
        <v>991220</v>
      </c>
      <c r="V3880" s="122"/>
      <c r="W3880" s="124"/>
      <c r="X3880" s="126" t="s">
        <v>12332</v>
      </c>
      <c r="Y3880" s="127"/>
      <c r="Z3880" s="127"/>
      <c r="AA3880" s="127"/>
      <c r="AB3880" s="128"/>
      <c r="AC3880" s="15" t="s">
        <v>20</v>
      </c>
      <c r="AD3880" s="129"/>
      <c r="AE3880" s="130"/>
      <c r="AF3880" s="130"/>
      <c r="AG3880" s="130"/>
      <c r="AH3880" s="130"/>
      <c r="AI3880" s="131"/>
      <c r="AJ3880" s="132"/>
      <c r="AK3880" s="127"/>
      <c r="AL3880" s="128"/>
      <c r="AM3880" s="21"/>
      <c r="AN3880" s="133">
        <v>45994</v>
      </c>
      <c r="AO3880" s="134"/>
      <c r="AP3880" s="135">
        <v>995</v>
      </c>
      <c r="AQ3880" s="136"/>
      <c r="AR3880" s="118">
        <v>965000</v>
      </c>
      <c r="AS3880" s="119"/>
      <c r="AT3880" s="118">
        <f t="shared" ref="AT3880" si="3745">AR3880*0.1</f>
        <v>96500</v>
      </c>
      <c r="AU3880" s="119"/>
      <c r="AV3880" s="118">
        <v>14420</v>
      </c>
      <c r="AW3880" s="119"/>
      <c r="AX3880" s="118">
        <f t="shared" ref="AX3880" si="3746">SUM(AR3880:AW3880)</f>
        <v>1075920</v>
      </c>
      <c r="AY3880" s="119"/>
      <c r="AZ3880" s="137">
        <v>45999</v>
      </c>
    </row>
    <row r="3881" spans="1:52" ht="17.100000000000001" customHeight="1" thickBot="1">
      <c r="A3881" s="110"/>
      <c r="B3881" s="27" t="s">
        <v>2641</v>
      </c>
      <c r="C3881" s="27">
        <v>3144</v>
      </c>
      <c r="D3881" s="14" t="s">
        <v>275</v>
      </c>
      <c r="E3881" s="112"/>
      <c r="F3881" s="139" t="s">
        <v>11975</v>
      </c>
      <c r="G3881" s="140"/>
      <c r="H3881" s="141"/>
      <c r="I3881" s="26">
        <v>58981</v>
      </c>
      <c r="J3881" s="117"/>
      <c r="K3881" s="120"/>
      <c r="L3881" s="121"/>
      <c r="M3881" s="120"/>
      <c r="N3881" s="121"/>
      <c r="O3881" s="120"/>
      <c r="P3881" s="121"/>
      <c r="Q3881" s="120"/>
      <c r="R3881" s="121"/>
      <c r="S3881" s="120"/>
      <c r="T3881" s="121"/>
      <c r="U3881" s="120"/>
      <c r="V3881" s="123"/>
      <c r="W3881" s="125"/>
      <c r="X3881" s="142" t="s">
        <v>12333</v>
      </c>
      <c r="Y3881" s="143"/>
      <c r="Z3881" s="143"/>
      <c r="AA3881" s="143"/>
      <c r="AB3881" s="144"/>
      <c r="AC3881" s="16" t="s">
        <v>21</v>
      </c>
      <c r="AD3881" s="17" t="s">
        <v>2248</v>
      </c>
      <c r="AE3881" s="145" t="s">
        <v>2441</v>
      </c>
      <c r="AF3881" s="146"/>
      <c r="AG3881" s="146"/>
      <c r="AH3881" s="146"/>
      <c r="AI3881" s="147"/>
      <c r="AJ3881" s="148"/>
      <c r="AK3881" s="143"/>
      <c r="AL3881" s="144"/>
      <c r="AM3881" s="22"/>
      <c r="AN3881" s="149" t="s">
        <v>2794</v>
      </c>
      <c r="AO3881" s="144"/>
      <c r="AP3881" s="148">
        <v>5063</v>
      </c>
      <c r="AQ3881" s="144"/>
      <c r="AR3881" s="120"/>
      <c r="AS3881" s="121"/>
      <c r="AT3881" s="120"/>
      <c r="AU3881" s="121"/>
      <c r="AV3881" s="120"/>
      <c r="AW3881" s="121"/>
      <c r="AX3881" s="120"/>
      <c r="AY3881" s="121"/>
      <c r="AZ3881" s="138"/>
    </row>
    <row r="3882" spans="1:52" ht="17.100000000000001" customHeight="1" thickTop="1">
      <c r="A3882" s="109" t="s">
        <v>11955</v>
      </c>
      <c r="B3882" s="28">
        <v>45989</v>
      </c>
      <c r="C3882" s="25">
        <v>1396</v>
      </c>
      <c r="D3882" s="13" t="s">
        <v>4121</v>
      </c>
      <c r="E3882" s="111"/>
      <c r="F3882" s="113" t="s">
        <v>11991</v>
      </c>
      <c r="G3882" s="114"/>
      <c r="H3882" s="115"/>
      <c r="I3882" s="24" t="s">
        <v>11992</v>
      </c>
      <c r="J3882" s="116">
        <v>4</v>
      </c>
      <c r="K3882" s="118">
        <v>1441000</v>
      </c>
      <c r="L3882" s="119"/>
      <c r="M3882" s="118">
        <f t="shared" ref="M3882" si="3747">K3882*0.1</f>
        <v>144100</v>
      </c>
      <c r="N3882" s="119"/>
      <c r="O3882" s="118">
        <f>11500+1150</f>
        <v>12650</v>
      </c>
      <c r="P3882" s="119"/>
      <c r="Q3882" s="118">
        <v>9490</v>
      </c>
      <c r="R3882" s="119"/>
      <c r="S3882" s="118">
        <v>13200</v>
      </c>
      <c r="T3882" s="119"/>
      <c r="U3882" s="118">
        <f t="shared" ref="U3882" si="3748">SUM(K3882:T3883)</f>
        <v>1620440</v>
      </c>
      <c r="V3882" s="122"/>
      <c r="W3882" s="124"/>
      <c r="X3882" s="126" t="s">
        <v>12873</v>
      </c>
      <c r="Y3882" s="127"/>
      <c r="Z3882" s="127"/>
      <c r="AA3882" s="127"/>
      <c r="AB3882" s="128"/>
      <c r="AC3882" s="15" t="s">
        <v>20</v>
      </c>
      <c r="AD3882" s="129" t="s">
        <v>11993</v>
      </c>
      <c r="AE3882" s="130"/>
      <c r="AF3882" s="130"/>
      <c r="AG3882" s="130"/>
      <c r="AH3882" s="130"/>
      <c r="AI3882" s="131"/>
      <c r="AJ3882" s="132"/>
      <c r="AK3882" s="127"/>
      <c r="AL3882" s="128"/>
      <c r="AM3882" s="21"/>
      <c r="AN3882" s="133">
        <v>45994</v>
      </c>
      <c r="AO3882" s="134"/>
      <c r="AP3882" s="135">
        <v>995</v>
      </c>
      <c r="AQ3882" s="136"/>
      <c r="AR3882" s="118">
        <v>1535000</v>
      </c>
      <c r="AS3882" s="119"/>
      <c r="AT3882" s="118">
        <f t="shared" ref="AT3882" si="3749">AR3882*0.1</f>
        <v>153500</v>
      </c>
      <c r="AU3882" s="119"/>
      <c r="AV3882" s="118">
        <v>9490</v>
      </c>
      <c r="AW3882" s="119"/>
      <c r="AX3882" s="118">
        <f t="shared" ref="AX3882" si="3750">SUM(AR3882:AW3882)</f>
        <v>1697990</v>
      </c>
      <c r="AY3882" s="119"/>
      <c r="AZ3882" s="137">
        <v>46002</v>
      </c>
    </row>
    <row r="3883" spans="1:52" ht="17.100000000000001" customHeight="1" thickBot="1">
      <c r="A3883" s="110"/>
      <c r="B3883" s="27" t="s">
        <v>2641</v>
      </c>
      <c r="C3883" s="27">
        <v>3210</v>
      </c>
      <c r="D3883" s="14" t="s">
        <v>275</v>
      </c>
      <c r="E3883" s="112"/>
      <c r="F3883" s="139" t="s">
        <v>11976</v>
      </c>
      <c r="G3883" s="140"/>
      <c r="H3883" s="141"/>
      <c r="I3883" s="26">
        <v>46744</v>
      </c>
      <c r="J3883" s="117"/>
      <c r="K3883" s="120"/>
      <c r="L3883" s="121"/>
      <c r="M3883" s="120"/>
      <c r="N3883" s="121"/>
      <c r="O3883" s="120"/>
      <c r="P3883" s="121"/>
      <c r="Q3883" s="120"/>
      <c r="R3883" s="121"/>
      <c r="S3883" s="120"/>
      <c r="T3883" s="121"/>
      <c r="U3883" s="120"/>
      <c r="V3883" s="123"/>
      <c r="W3883" s="125"/>
      <c r="X3883" s="142" t="s">
        <v>12874</v>
      </c>
      <c r="Y3883" s="143"/>
      <c r="Z3883" s="143"/>
      <c r="AA3883" s="143"/>
      <c r="AB3883" s="144"/>
      <c r="AC3883" s="16" t="s">
        <v>21</v>
      </c>
      <c r="AD3883" s="17" t="s">
        <v>3980</v>
      </c>
      <c r="AE3883" s="145" t="s">
        <v>12875</v>
      </c>
      <c r="AF3883" s="146"/>
      <c r="AG3883" s="146"/>
      <c r="AH3883" s="146"/>
      <c r="AI3883" s="147"/>
      <c r="AJ3883" s="148"/>
      <c r="AK3883" s="143"/>
      <c r="AL3883" s="144"/>
      <c r="AM3883" s="22"/>
      <c r="AN3883" s="149" t="s">
        <v>2794</v>
      </c>
      <c r="AO3883" s="144"/>
      <c r="AP3883" s="148">
        <v>5059</v>
      </c>
      <c r="AQ3883" s="144"/>
      <c r="AR3883" s="120"/>
      <c r="AS3883" s="121"/>
      <c r="AT3883" s="120"/>
      <c r="AU3883" s="121"/>
      <c r="AV3883" s="120"/>
      <c r="AW3883" s="121"/>
      <c r="AX3883" s="120"/>
      <c r="AY3883" s="121"/>
      <c r="AZ3883" s="138"/>
    </row>
    <row r="3884" spans="1:52" ht="17.100000000000001" customHeight="1" thickTop="1">
      <c r="A3884" s="109" t="s">
        <v>11956</v>
      </c>
      <c r="B3884" s="28">
        <v>45989</v>
      </c>
      <c r="C3884" s="25">
        <v>1396</v>
      </c>
      <c r="D3884" s="13" t="s">
        <v>1725</v>
      </c>
      <c r="E3884" s="111"/>
      <c r="F3884" s="113" t="s">
        <v>10843</v>
      </c>
      <c r="G3884" s="114"/>
      <c r="H3884" s="115"/>
      <c r="I3884" s="24"/>
      <c r="J3884" s="116">
        <v>4.5</v>
      </c>
      <c r="K3884" s="118">
        <v>1089000</v>
      </c>
      <c r="L3884" s="119"/>
      <c r="M3884" s="118">
        <f t="shared" ref="M3884" si="3751">K3884*0.1</f>
        <v>108900</v>
      </c>
      <c r="N3884" s="119"/>
      <c r="O3884" s="118">
        <v>0</v>
      </c>
      <c r="P3884" s="119"/>
      <c r="Q3884" s="118">
        <v>9750</v>
      </c>
      <c r="R3884" s="119"/>
      <c r="S3884" s="118">
        <v>13200</v>
      </c>
      <c r="T3884" s="119"/>
      <c r="U3884" s="118">
        <f t="shared" ref="U3884" si="3752">SUM(K3884:T3885)</f>
        <v>1220850</v>
      </c>
      <c r="V3884" s="122"/>
      <c r="W3884" s="124"/>
      <c r="X3884" s="126" t="s">
        <v>12777</v>
      </c>
      <c r="Y3884" s="127"/>
      <c r="Z3884" s="127"/>
      <c r="AA3884" s="127"/>
      <c r="AB3884" s="128"/>
      <c r="AC3884" s="15" t="s">
        <v>20</v>
      </c>
      <c r="AD3884" s="129"/>
      <c r="AE3884" s="130"/>
      <c r="AF3884" s="130"/>
      <c r="AG3884" s="130"/>
      <c r="AH3884" s="130"/>
      <c r="AI3884" s="131"/>
      <c r="AJ3884" s="132"/>
      <c r="AK3884" s="127"/>
      <c r="AL3884" s="128"/>
      <c r="AM3884" s="21"/>
      <c r="AN3884" s="133">
        <v>45994</v>
      </c>
      <c r="AO3884" s="134"/>
      <c r="AP3884" s="135">
        <v>995</v>
      </c>
      <c r="AQ3884" s="136"/>
      <c r="AR3884" s="118">
        <v>1150000</v>
      </c>
      <c r="AS3884" s="119"/>
      <c r="AT3884" s="118">
        <f t="shared" ref="AT3884" si="3753">AR3884*0.1</f>
        <v>115000</v>
      </c>
      <c r="AU3884" s="119"/>
      <c r="AV3884" s="118">
        <v>9750</v>
      </c>
      <c r="AW3884" s="119"/>
      <c r="AX3884" s="118">
        <f t="shared" ref="AX3884" si="3754">SUM(AR3884:AW3884)</f>
        <v>1274750</v>
      </c>
      <c r="AY3884" s="119"/>
      <c r="AZ3884" s="137">
        <v>46001</v>
      </c>
    </row>
    <row r="3885" spans="1:52" ht="17.100000000000001" customHeight="1" thickBot="1">
      <c r="A3885" s="110"/>
      <c r="B3885" s="27" t="s">
        <v>2641</v>
      </c>
      <c r="C3885" s="27">
        <v>7035</v>
      </c>
      <c r="D3885" s="14" t="s">
        <v>1576</v>
      </c>
      <c r="E3885" s="112"/>
      <c r="F3885" s="139" t="s">
        <v>11977</v>
      </c>
      <c r="G3885" s="140"/>
      <c r="H3885" s="141"/>
      <c r="I3885" s="26">
        <v>47998</v>
      </c>
      <c r="J3885" s="117"/>
      <c r="K3885" s="120"/>
      <c r="L3885" s="121"/>
      <c r="M3885" s="120"/>
      <c r="N3885" s="121"/>
      <c r="O3885" s="120"/>
      <c r="P3885" s="121"/>
      <c r="Q3885" s="120"/>
      <c r="R3885" s="121"/>
      <c r="S3885" s="120"/>
      <c r="T3885" s="121"/>
      <c r="U3885" s="120"/>
      <c r="V3885" s="123"/>
      <c r="W3885" s="125"/>
      <c r="X3885" s="142" t="s">
        <v>12778</v>
      </c>
      <c r="Y3885" s="143"/>
      <c r="Z3885" s="143"/>
      <c r="AA3885" s="143"/>
      <c r="AB3885" s="144"/>
      <c r="AC3885" s="16" t="s">
        <v>21</v>
      </c>
      <c r="AD3885" s="17" t="s">
        <v>3980</v>
      </c>
      <c r="AE3885" s="145" t="s">
        <v>5319</v>
      </c>
      <c r="AF3885" s="146"/>
      <c r="AG3885" s="146"/>
      <c r="AH3885" s="146"/>
      <c r="AI3885" s="147"/>
      <c r="AJ3885" s="148"/>
      <c r="AK3885" s="143"/>
      <c r="AL3885" s="144"/>
      <c r="AM3885" s="22"/>
      <c r="AN3885" s="149" t="s">
        <v>2794</v>
      </c>
      <c r="AO3885" s="144"/>
      <c r="AP3885" s="148">
        <v>5057</v>
      </c>
      <c r="AQ3885" s="144"/>
      <c r="AR3885" s="120"/>
      <c r="AS3885" s="121"/>
      <c r="AT3885" s="120"/>
      <c r="AU3885" s="121"/>
      <c r="AV3885" s="120"/>
      <c r="AW3885" s="121"/>
      <c r="AX3885" s="120"/>
      <c r="AY3885" s="121"/>
      <c r="AZ3885" s="138"/>
    </row>
    <row r="3886" spans="1:52" ht="17.100000000000001" customHeight="1" thickTop="1">
      <c r="A3886" s="151" t="s">
        <v>11957</v>
      </c>
      <c r="B3886" s="28">
        <v>45989</v>
      </c>
      <c r="C3886" s="25">
        <v>1396</v>
      </c>
      <c r="D3886" s="13" t="s">
        <v>2322</v>
      </c>
      <c r="E3886" s="111"/>
      <c r="F3886" s="113" t="s">
        <v>13184</v>
      </c>
      <c r="G3886" s="114"/>
      <c r="H3886" s="115"/>
      <c r="I3886" s="24" t="s">
        <v>5287</v>
      </c>
      <c r="J3886" s="116">
        <v>4</v>
      </c>
      <c r="K3886" s="118">
        <v>1030000</v>
      </c>
      <c r="L3886" s="119"/>
      <c r="M3886" s="118">
        <f t="shared" ref="M3886" si="3755">K3886*0.1</f>
        <v>103000</v>
      </c>
      <c r="N3886" s="119"/>
      <c r="O3886" s="118">
        <f>13100+1310</f>
        <v>14410</v>
      </c>
      <c r="P3886" s="119"/>
      <c r="Q3886" s="118">
        <v>21450</v>
      </c>
      <c r="R3886" s="119"/>
      <c r="S3886" s="118">
        <v>13200</v>
      </c>
      <c r="T3886" s="119"/>
      <c r="U3886" s="118">
        <f t="shared" ref="U3886" si="3756">SUM(K3886:T3887)</f>
        <v>1182060</v>
      </c>
      <c r="V3886" s="122"/>
      <c r="W3886" s="124"/>
      <c r="X3886" s="126" t="s">
        <v>12370</v>
      </c>
      <c r="Y3886" s="127"/>
      <c r="Z3886" s="127"/>
      <c r="AA3886" s="127"/>
      <c r="AB3886" s="128"/>
      <c r="AC3886" s="15" t="s">
        <v>20</v>
      </c>
      <c r="AD3886" s="129" t="s">
        <v>11994</v>
      </c>
      <c r="AE3886" s="130"/>
      <c r="AF3886" s="130"/>
      <c r="AG3886" s="130"/>
      <c r="AH3886" s="130"/>
      <c r="AI3886" s="131"/>
      <c r="AJ3886" s="132"/>
      <c r="AK3886" s="127"/>
      <c r="AL3886" s="128"/>
      <c r="AM3886" s="21" t="s">
        <v>13445</v>
      </c>
      <c r="AN3886" s="133">
        <v>46032</v>
      </c>
      <c r="AO3886" s="134"/>
      <c r="AP3886" s="135">
        <v>1283</v>
      </c>
      <c r="AQ3886" s="136"/>
      <c r="AR3886" s="118">
        <v>1180000</v>
      </c>
      <c r="AS3886" s="119"/>
      <c r="AT3886" s="118">
        <f t="shared" ref="AT3886" si="3757">AR3886*0.1</f>
        <v>118000</v>
      </c>
      <c r="AU3886" s="119"/>
      <c r="AV3886" s="118">
        <v>21450</v>
      </c>
      <c r="AW3886" s="119"/>
      <c r="AX3886" s="118">
        <f t="shared" ref="AX3886" si="3758">SUM(AR3886:AW3886)</f>
        <v>1319450</v>
      </c>
      <c r="AY3886" s="119"/>
      <c r="AZ3886" s="137">
        <v>46036</v>
      </c>
    </row>
    <row r="3887" spans="1:52" ht="17.100000000000001" customHeight="1" thickBot="1">
      <c r="A3887" s="152"/>
      <c r="B3887" s="27" t="s">
        <v>2641</v>
      </c>
      <c r="C3887" s="27">
        <v>7074</v>
      </c>
      <c r="D3887" s="14" t="s">
        <v>2601</v>
      </c>
      <c r="E3887" s="112"/>
      <c r="F3887" s="139" t="s">
        <v>11978</v>
      </c>
      <c r="G3887" s="140"/>
      <c r="H3887" s="141"/>
      <c r="I3887" s="26">
        <v>74644</v>
      </c>
      <c r="J3887" s="117"/>
      <c r="K3887" s="120"/>
      <c r="L3887" s="121"/>
      <c r="M3887" s="120"/>
      <c r="N3887" s="121"/>
      <c r="O3887" s="120"/>
      <c r="P3887" s="121"/>
      <c r="Q3887" s="120"/>
      <c r="R3887" s="121"/>
      <c r="S3887" s="120"/>
      <c r="T3887" s="121"/>
      <c r="U3887" s="120"/>
      <c r="V3887" s="123"/>
      <c r="W3887" s="125"/>
      <c r="X3887" s="142" t="s">
        <v>12371</v>
      </c>
      <c r="Y3887" s="143"/>
      <c r="Z3887" s="143"/>
      <c r="AA3887" s="143"/>
      <c r="AB3887" s="144"/>
      <c r="AC3887" s="16" t="s">
        <v>21</v>
      </c>
      <c r="AD3887" s="17" t="s">
        <v>2248</v>
      </c>
      <c r="AE3887" s="145" t="s">
        <v>1742</v>
      </c>
      <c r="AF3887" s="146"/>
      <c r="AG3887" s="146"/>
      <c r="AH3887" s="146"/>
      <c r="AI3887" s="147"/>
      <c r="AJ3887" s="148"/>
      <c r="AK3887" s="143"/>
      <c r="AL3887" s="144"/>
      <c r="AM3887" s="22"/>
      <c r="AN3887" s="149" t="s">
        <v>7284</v>
      </c>
      <c r="AO3887" s="144"/>
      <c r="AP3887" s="148">
        <v>80377</v>
      </c>
      <c r="AQ3887" s="144"/>
      <c r="AR3887" s="120"/>
      <c r="AS3887" s="121"/>
      <c r="AT3887" s="120"/>
      <c r="AU3887" s="121"/>
      <c r="AV3887" s="120"/>
      <c r="AW3887" s="121"/>
      <c r="AX3887" s="120"/>
      <c r="AY3887" s="121"/>
      <c r="AZ3887" s="138"/>
    </row>
    <row r="3888" spans="1:52" ht="17.100000000000001" customHeight="1" thickTop="1">
      <c r="A3888" s="109" t="s">
        <v>11958</v>
      </c>
      <c r="B3888" s="28">
        <v>45989</v>
      </c>
      <c r="C3888" s="25">
        <v>1396</v>
      </c>
      <c r="D3888" s="13" t="s">
        <v>2298</v>
      </c>
      <c r="E3888" s="111"/>
      <c r="F3888" s="113" t="s">
        <v>7180</v>
      </c>
      <c r="G3888" s="114"/>
      <c r="H3888" s="115"/>
      <c r="I3888" s="24"/>
      <c r="J3888" s="116">
        <v>4</v>
      </c>
      <c r="K3888" s="118">
        <v>1041000</v>
      </c>
      <c r="L3888" s="119"/>
      <c r="M3888" s="118">
        <f t="shared" ref="M3888" si="3759">K3888*0.1</f>
        <v>104100</v>
      </c>
      <c r="N3888" s="119"/>
      <c r="O3888" s="118">
        <v>0</v>
      </c>
      <c r="P3888" s="119"/>
      <c r="Q3888" s="118">
        <v>17800</v>
      </c>
      <c r="R3888" s="119"/>
      <c r="S3888" s="118">
        <v>13200</v>
      </c>
      <c r="T3888" s="119"/>
      <c r="U3888" s="118">
        <f t="shared" ref="U3888" si="3760">SUM(K3888:T3889)</f>
        <v>1176100</v>
      </c>
      <c r="V3888" s="122"/>
      <c r="W3888" s="124"/>
      <c r="X3888" s="126" t="s">
        <v>12366</v>
      </c>
      <c r="Y3888" s="127"/>
      <c r="Z3888" s="127"/>
      <c r="AA3888" s="127"/>
      <c r="AB3888" s="128"/>
      <c r="AC3888" s="15" t="s">
        <v>20</v>
      </c>
      <c r="AD3888" s="129" t="s">
        <v>171</v>
      </c>
      <c r="AE3888" s="130"/>
      <c r="AF3888" s="130"/>
      <c r="AG3888" s="130"/>
      <c r="AH3888" s="130"/>
      <c r="AI3888" s="131"/>
      <c r="AJ3888" s="132"/>
      <c r="AK3888" s="127"/>
      <c r="AL3888" s="128"/>
      <c r="AM3888" s="21"/>
      <c r="AN3888" s="133">
        <v>45997</v>
      </c>
      <c r="AO3888" s="134"/>
      <c r="AP3888" s="135">
        <v>1279</v>
      </c>
      <c r="AQ3888" s="136"/>
      <c r="AR3888" s="118">
        <v>1200000</v>
      </c>
      <c r="AS3888" s="119"/>
      <c r="AT3888" s="118">
        <f t="shared" ref="AT3888" si="3761">AR3888*0.1</f>
        <v>120000</v>
      </c>
      <c r="AU3888" s="119"/>
      <c r="AV3888" s="118">
        <v>17800</v>
      </c>
      <c r="AW3888" s="119"/>
      <c r="AX3888" s="118">
        <f t="shared" ref="AX3888" si="3762">SUM(AR3888:AW3888)</f>
        <v>1337800</v>
      </c>
      <c r="AY3888" s="119"/>
      <c r="AZ3888" s="137">
        <v>46000</v>
      </c>
    </row>
    <row r="3889" spans="1:52" ht="17.100000000000001" customHeight="1" thickBot="1">
      <c r="A3889" s="110"/>
      <c r="B3889" s="27" t="s">
        <v>2641</v>
      </c>
      <c r="C3889" s="27">
        <v>7103</v>
      </c>
      <c r="D3889" s="14" t="s">
        <v>904</v>
      </c>
      <c r="E3889" s="112"/>
      <c r="F3889" s="139" t="s">
        <v>11979</v>
      </c>
      <c r="G3889" s="140"/>
      <c r="H3889" s="141"/>
      <c r="I3889" s="26">
        <v>70748</v>
      </c>
      <c r="J3889" s="117"/>
      <c r="K3889" s="120"/>
      <c r="L3889" s="121"/>
      <c r="M3889" s="120"/>
      <c r="N3889" s="121"/>
      <c r="O3889" s="120"/>
      <c r="P3889" s="121"/>
      <c r="Q3889" s="120"/>
      <c r="R3889" s="121"/>
      <c r="S3889" s="120"/>
      <c r="T3889" s="121"/>
      <c r="U3889" s="120"/>
      <c r="V3889" s="123"/>
      <c r="W3889" s="125"/>
      <c r="X3889" s="142" t="s">
        <v>8807</v>
      </c>
      <c r="Y3889" s="143"/>
      <c r="Z3889" s="143"/>
      <c r="AA3889" s="143"/>
      <c r="AB3889" s="144"/>
      <c r="AC3889" s="16" t="s">
        <v>21</v>
      </c>
      <c r="AD3889" s="17" t="s">
        <v>2248</v>
      </c>
      <c r="AE3889" s="145" t="s">
        <v>1742</v>
      </c>
      <c r="AF3889" s="146"/>
      <c r="AG3889" s="146"/>
      <c r="AH3889" s="146"/>
      <c r="AI3889" s="147"/>
      <c r="AJ3889" s="148"/>
      <c r="AK3889" s="143"/>
      <c r="AL3889" s="144"/>
      <c r="AM3889" s="22"/>
      <c r="AN3889" s="149" t="s">
        <v>2511</v>
      </c>
      <c r="AO3889" s="144"/>
      <c r="AP3889" s="148">
        <v>80101</v>
      </c>
      <c r="AQ3889" s="144"/>
      <c r="AR3889" s="120"/>
      <c r="AS3889" s="121"/>
      <c r="AT3889" s="120"/>
      <c r="AU3889" s="121"/>
      <c r="AV3889" s="120"/>
      <c r="AW3889" s="121"/>
      <c r="AX3889" s="120"/>
      <c r="AY3889" s="121"/>
      <c r="AZ3889" s="138"/>
    </row>
    <row r="3890" spans="1:52" ht="17.100000000000001" customHeight="1" thickTop="1">
      <c r="A3890" s="109" t="s">
        <v>11959</v>
      </c>
      <c r="B3890" s="28">
        <v>45989</v>
      </c>
      <c r="C3890" s="25">
        <v>1396</v>
      </c>
      <c r="D3890" s="13" t="s">
        <v>2941</v>
      </c>
      <c r="E3890" s="111"/>
      <c r="F3890" s="113" t="s">
        <v>11995</v>
      </c>
      <c r="G3890" s="114"/>
      <c r="H3890" s="115"/>
      <c r="I3890" s="24"/>
      <c r="J3890" s="116">
        <v>4</v>
      </c>
      <c r="K3890" s="118">
        <v>2205000</v>
      </c>
      <c r="L3890" s="119"/>
      <c r="M3890" s="118">
        <f t="shared" ref="M3890" si="3763">K3890*0.1</f>
        <v>220500</v>
      </c>
      <c r="N3890" s="119"/>
      <c r="O3890" s="118">
        <v>0</v>
      </c>
      <c r="P3890" s="119"/>
      <c r="Q3890" s="118">
        <v>21480</v>
      </c>
      <c r="R3890" s="119"/>
      <c r="S3890" s="118">
        <v>13200</v>
      </c>
      <c r="T3890" s="119"/>
      <c r="U3890" s="118">
        <f t="shared" ref="U3890" si="3764">SUM(K3890:T3891)</f>
        <v>2460180</v>
      </c>
      <c r="V3890" s="122"/>
      <c r="W3890" s="124"/>
      <c r="X3890" s="126" t="s">
        <v>12916</v>
      </c>
      <c r="Y3890" s="127"/>
      <c r="Z3890" s="127"/>
      <c r="AA3890" s="127"/>
      <c r="AB3890" s="128"/>
      <c r="AC3890" s="15" t="s">
        <v>20</v>
      </c>
      <c r="AD3890" s="129"/>
      <c r="AE3890" s="130"/>
      <c r="AF3890" s="130"/>
      <c r="AG3890" s="130"/>
      <c r="AH3890" s="130"/>
      <c r="AI3890" s="131"/>
      <c r="AJ3890" s="132"/>
      <c r="AK3890" s="127"/>
      <c r="AL3890" s="128"/>
      <c r="AM3890" s="21"/>
      <c r="AN3890" s="133">
        <v>46081</v>
      </c>
      <c r="AO3890" s="134"/>
      <c r="AP3890" s="135">
        <v>1290</v>
      </c>
      <c r="AQ3890" s="136"/>
      <c r="AR3890" s="118">
        <v>2305000</v>
      </c>
      <c r="AS3890" s="119"/>
      <c r="AT3890" s="118">
        <f t="shared" ref="AT3890" si="3765">AR3890*0.1</f>
        <v>230500</v>
      </c>
      <c r="AU3890" s="119"/>
      <c r="AV3890" s="118">
        <v>21480</v>
      </c>
      <c r="AW3890" s="119"/>
      <c r="AX3890" s="118">
        <f t="shared" ref="AX3890" si="3766">SUM(AR3890:AW3890)</f>
        <v>2556980</v>
      </c>
      <c r="AY3890" s="119"/>
      <c r="AZ3890" s="137">
        <v>46084</v>
      </c>
    </row>
    <row r="3891" spans="1:52" ht="17.100000000000001" customHeight="1" thickBot="1">
      <c r="A3891" s="110"/>
      <c r="B3891" s="27" t="s">
        <v>2641</v>
      </c>
      <c r="C3891" s="27">
        <v>7146</v>
      </c>
      <c r="D3891" s="14" t="s">
        <v>133</v>
      </c>
      <c r="E3891" s="112"/>
      <c r="F3891" s="139" t="s">
        <v>11980</v>
      </c>
      <c r="G3891" s="140"/>
      <c r="H3891" s="141"/>
      <c r="I3891" s="26">
        <v>64559</v>
      </c>
      <c r="J3891" s="117"/>
      <c r="K3891" s="120"/>
      <c r="L3891" s="121"/>
      <c r="M3891" s="120"/>
      <c r="N3891" s="121"/>
      <c r="O3891" s="120"/>
      <c r="P3891" s="121"/>
      <c r="Q3891" s="120"/>
      <c r="R3891" s="121"/>
      <c r="S3891" s="120"/>
      <c r="T3891" s="121"/>
      <c r="U3891" s="120"/>
      <c r="V3891" s="123"/>
      <c r="W3891" s="125"/>
      <c r="X3891" s="142" t="s">
        <v>12778</v>
      </c>
      <c r="Y3891" s="143"/>
      <c r="Z3891" s="143"/>
      <c r="AA3891" s="143"/>
      <c r="AB3891" s="144"/>
      <c r="AC3891" s="16" t="s">
        <v>21</v>
      </c>
      <c r="AD3891" s="17" t="s">
        <v>12856</v>
      </c>
      <c r="AE3891" s="145" t="s">
        <v>7859</v>
      </c>
      <c r="AF3891" s="146"/>
      <c r="AG3891" s="146"/>
      <c r="AH3891" s="146"/>
      <c r="AI3891" s="147"/>
      <c r="AJ3891" s="148"/>
      <c r="AK3891" s="143"/>
      <c r="AL3891" s="144"/>
      <c r="AM3891" s="22"/>
      <c r="AN3891" s="149" t="s">
        <v>7284</v>
      </c>
      <c r="AO3891" s="144"/>
      <c r="AP3891" s="148">
        <v>80213</v>
      </c>
      <c r="AQ3891" s="144"/>
      <c r="AR3891" s="120"/>
      <c r="AS3891" s="121"/>
      <c r="AT3891" s="120"/>
      <c r="AU3891" s="121"/>
      <c r="AV3891" s="120"/>
      <c r="AW3891" s="121"/>
      <c r="AX3891" s="120"/>
      <c r="AY3891" s="121"/>
      <c r="AZ3891" s="138"/>
    </row>
    <row r="3892" spans="1:52" ht="17.100000000000001" customHeight="1" thickTop="1">
      <c r="A3892" s="109" t="s">
        <v>11960</v>
      </c>
      <c r="B3892" s="28">
        <v>45989</v>
      </c>
      <c r="C3892" s="25">
        <v>1396</v>
      </c>
      <c r="D3892" s="13" t="s">
        <v>1725</v>
      </c>
      <c r="E3892" s="111"/>
      <c r="F3892" s="113" t="s">
        <v>1938</v>
      </c>
      <c r="G3892" s="114"/>
      <c r="H3892" s="115"/>
      <c r="I3892" s="24" t="s">
        <v>11996</v>
      </c>
      <c r="J3892" s="116">
        <v>4</v>
      </c>
      <c r="K3892" s="118">
        <v>931000</v>
      </c>
      <c r="L3892" s="119"/>
      <c r="M3892" s="118">
        <f t="shared" ref="M3892" si="3767">K3892*0.1</f>
        <v>93100</v>
      </c>
      <c r="N3892" s="119"/>
      <c r="O3892" s="118">
        <f>11500+1150</f>
        <v>12650</v>
      </c>
      <c r="P3892" s="119"/>
      <c r="Q3892" s="118">
        <v>17600</v>
      </c>
      <c r="R3892" s="119"/>
      <c r="S3892" s="118">
        <v>13200</v>
      </c>
      <c r="T3892" s="119"/>
      <c r="U3892" s="118">
        <f t="shared" ref="U3892" si="3768">SUM(K3892:T3893)</f>
        <v>1067550</v>
      </c>
      <c r="V3892" s="122"/>
      <c r="W3892" s="124"/>
      <c r="X3892" s="126" t="s">
        <v>12368</v>
      </c>
      <c r="Y3892" s="127"/>
      <c r="Z3892" s="127"/>
      <c r="AA3892" s="127"/>
      <c r="AB3892" s="128"/>
      <c r="AC3892" s="15" t="s">
        <v>20</v>
      </c>
      <c r="AD3892" s="129" t="s">
        <v>186</v>
      </c>
      <c r="AE3892" s="130"/>
      <c r="AF3892" s="130"/>
      <c r="AG3892" s="130"/>
      <c r="AH3892" s="130"/>
      <c r="AI3892" s="131"/>
      <c r="AJ3892" s="132"/>
      <c r="AK3892" s="127"/>
      <c r="AL3892" s="128"/>
      <c r="AM3892" s="21"/>
      <c r="AN3892" s="133">
        <v>45997</v>
      </c>
      <c r="AO3892" s="134"/>
      <c r="AP3892" s="135">
        <v>1279</v>
      </c>
      <c r="AQ3892" s="136"/>
      <c r="AR3892" s="118">
        <v>1100000</v>
      </c>
      <c r="AS3892" s="119"/>
      <c r="AT3892" s="118">
        <f t="shared" ref="AT3892" si="3769">AR3892*0.1</f>
        <v>110000</v>
      </c>
      <c r="AU3892" s="119"/>
      <c r="AV3892" s="118">
        <v>17600</v>
      </c>
      <c r="AW3892" s="119"/>
      <c r="AX3892" s="118">
        <f t="shared" ref="AX3892" si="3770">SUM(AR3892:AW3892)</f>
        <v>1227600</v>
      </c>
      <c r="AY3892" s="119"/>
      <c r="AZ3892" s="137">
        <v>46001</v>
      </c>
    </row>
    <row r="3893" spans="1:52" ht="17.100000000000001" customHeight="1" thickBot="1">
      <c r="A3893" s="110"/>
      <c r="B3893" s="27" t="s">
        <v>2641</v>
      </c>
      <c r="C3893" s="27">
        <v>7150</v>
      </c>
      <c r="D3893" s="14" t="s">
        <v>1812</v>
      </c>
      <c r="E3893" s="112"/>
      <c r="F3893" s="139" t="s">
        <v>11981</v>
      </c>
      <c r="G3893" s="140"/>
      <c r="H3893" s="141"/>
      <c r="I3893" s="26">
        <v>55113</v>
      </c>
      <c r="J3893" s="117"/>
      <c r="K3893" s="120"/>
      <c r="L3893" s="121"/>
      <c r="M3893" s="120"/>
      <c r="N3893" s="121"/>
      <c r="O3893" s="120"/>
      <c r="P3893" s="121"/>
      <c r="Q3893" s="120"/>
      <c r="R3893" s="121"/>
      <c r="S3893" s="120"/>
      <c r="T3893" s="121"/>
      <c r="U3893" s="120"/>
      <c r="V3893" s="123"/>
      <c r="W3893" s="125"/>
      <c r="X3893" s="142" t="s">
        <v>12369</v>
      </c>
      <c r="Y3893" s="143"/>
      <c r="Z3893" s="143"/>
      <c r="AA3893" s="143"/>
      <c r="AB3893" s="144"/>
      <c r="AC3893" s="16" t="s">
        <v>21</v>
      </c>
      <c r="AD3893" s="17" t="s">
        <v>2248</v>
      </c>
      <c r="AE3893" s="145" t="s">
        <v>1614</v>
      </c>
      <c r="AF3893" s="146"/>
      <c r="AG3893" s="146"/>
      <c r="AH3893" s="146"/>
      <c r="AI3893" s="147"/>
      <c r="AJ3893" s="148"/>
      <c r="AK3893" s="143"/>
      <c r="AL3893" s="144"/>
      <c r="AM3893" s="22"/>
      <c r="AN3893" s="149" t="s">
        <v>2511</v>
      </c>
      <c r="AO3893" s="144"/>
      <c r="AP3893" s="148">
        <v>80379</v>
      </c>
      <c r="AQ3893" s="144"/>
      <c r="AR3893" s="120"/>
      <c r="AS3893" s="121"/>
      <c r="AT3893" s="120"/>
      <c r="AU3893" s="121"/>
      <c r="AV3893" s="120"/>
      <c r="AW3893" s="121"/>
      <c r="AX3893" s="120"/>
      <c r="AY3893" s="121"/>
      <c r="AZ3893" s="138"/>
    </row>
    <row r="3894" spans="1:52" ht="17.100000000000001" customHeight="1" thickTop="1">
      <c r="A3894" s="109" t="s">
        <v>11961</v>
      </c>
      <c r="B3894" s="28">
        <v>45989</v>
      </c>
      <c r="C3894" s="25">
        <v>1396</v>
      </c>
      <c r="D3894" s="13" t="s">
        <v>1767</v>
      </c>
      <c r="E3894" s="111"/>
      <c r="F3894" s="113" t="s">
        <v>3617</v>
      </c>
      <c r="G3894" s="114"/>
      <c r="H3894" s="115"/>
      <c r="I3894" s="24" t="s">
        <v>3819</v>
      </c>
      <c r="J3894" s="116">
        <v>3.5</v>
      </c>
      <c r="K3894" s="118">
        <v>398000</v>
      </c>
      <c r="L3894" s="119"/>
      <c r="M3894" s="118">
        <f t="shared" ref="M3894" si="3771">K3894*0.1</f>
        <v>39800</v>
      </c>
      <c r="N3894" s="119"/>
      <c r="O3894" s="118">
        <v>0</v>
      </c>
      <c r="P3894" s="119"/>
      <c r="Q3894" s="118">
        <v>8140</v>
      </c>
      <c r="R3894" s="119"/>
      <c r="S3894" s="118">
        <v>13200</v>
      </c>
      <c r="T3894" s="119"/>
      <c r="U3894" s="118">
        <f t="shared" ref="U3894" si="3772">SUM(K3894:T3895)</f>
        <v>459140</v>
      </c>
      <c r="V3894" s="122"/>
      <c r="W3894" s="124"/>
      <c r="X3894" s="126" t="s">
        <v>12395</v>
      </c>
      <c r="Y3894" s="127"/>
      <c r="Z3894" s="127"/>
      <c r="AA3894" s="127"/>
      <c r="AB3894" s="128"/>
      <c r="AC3894" s="15" t="s">
        <v>20</v>
      </c>
      <c r="AD3894" s="129" t="s">
        <v>171</v>
      </c>
      <c r="AE3894" s="130"/>
      <c r="AF3894" s="130"/>
      <c r="AG3894" s="130"/>
      <c r="AH3894" s="130"/>
      <c r="AI3894" s="131"/>
      <c r="AJ3894" s="132"/>
      <c r="AK3894" s="127"/>
      <c r="AL3894" s="128"/>
      <c r="AM3894" s="21"/>
      <c r="AN3894" s="133">
        <v>46015</v>
      </c>
      <c r="AO3894" s="134"/>
      <c r="AP3894" s="135">
        <v>998</v>
      </c>
      <c r="AQ3894" s="136"/>
      <c r="AR3894" s="118">
        <v>425000</v>
      </c>
      <c r="AS3894" s="119"/>
      <c r="AT3894" s="118">
        <f t="shared" ref="AT3894" si="3773">AR3894*0.1</f>
        <v>42500</v>
      </c>
      <c r="AU3894" s="119"/>
      <c r="AV3894" s="118">
        <v>8140</v>
      </c>
      <c r="AW3894" s="119"/>
      <c r="AX3894" s="118">
        <f t="shared" ref="AX3894" si="3774">SUM(AR3894:AW3894)</f>
        <v>475640</v>
      </c>
      <c r="AY3894" s="119"/>
      <c r="AZ3894" s="137">
        <v>46027</v>
      </c>
    </row>
    <row r="3895" spans="1:52" ht="17.100000000000001" customHeight="1" thickBot="1">
      <c r="A3895" s="110"/>
      <c r="B3895" s="27" t="s">
        <v>2641</v>
      </c>
      <c r="C3895" s="27">
        <v>9039</v>
      </c>
      <c r="D3895" s="14" t="s">
        <v>904</v>
      </c>
      <c r="E3895" s="112"/>
      <c r="F3895" s="139" t="s">
        <v>11982</v>
      </c>
      <c r="G3895" s="140"/>
      <c r="H3895" s="141"/>
      <c r="I3895" s="26">
        <v>63586</v>
      </c>
      <c r="J3895" s="117"/>
      <c r="K3895" s="120"/>
      <c r="L3895" s="121"/>
      <c r="M3895" s="120"/>
      <c r="N3895" s="121"/>
      <c r="O3895" s="120"/>
      <c r="P3895" s="121"/>
      <c r="Q3895" s="120"/>
      <c r="R3895" s="121"/>
      <c r="S3895" s="120"/>
      <c r="T3895" s="121"/>
      <c r="U3895" s="120"/>
      <c r="V3895" s="123"/>
      <c r="W3895" s="125"/>
      <c r="X3895" s="142" t="s">
        <v>12396</v>
      </c>
      <c r="Y3895" s="143"/>
      <c r="Z3895" s="143"/>
      <c r="AA3895" s="143"/>
      <c r="AB3895" s="144"/>
      <c r="AC3895" s="16" t="s">
        <v>21</v>
      </c>
      <c r="AD3895" s="17" t="s">
        <v>2248</v>
      </c>
      <c r="AE3895" s="145" t="s">
        <v>171</v>
      </c>
      <c r="AF3895" s="146"/>
      <c r="AG3895" s="146"/>
      <c r="AH3895" s="146"/>
      <c r="AI3895" s="147"/>
      <c r="AJ3895" s="148"/>
      <c r="AK3895" s="143"/>
      <c r="AL3895" s="144"/>
      <c r="AM3895" s="22"/>
      <c r="AN3895" s="149" t="s">
        <v>2794</v>
      </c>
      <c r="AO3895" s="144"/>
      <c r="AP3895" s="148">
        <v>2012</v>
      </c>
      <c r="AQ3895" s="144"/>
      <c r="AR3895" s="120"/>
      <c r="AS3895" s="121"/>
      <c r="AT3895" s="120"/>
      <c r="AU3895" s="121"/>
      <c r="AV3895" s="120"/>
      <c r="AW3895" s="121"/>
      <c r="AX3895" s="120"/>
      <c r="AY3895" s="121"/>
      <c r="AZ3895" s="138"/>
    </row>
    <row r="3896" spans="1:52" ht="17.100000000000001" customHeight="1" thickTop="1">
      <c r="A3896" s="109" t="s">
        <v>11962</v>
      </c>
      <c r="B3896" s="28">
        <v>45989</v>
      </c>
      <c r="C3896" s="25">
        <v>1396</v>
      </c>
      <c r="D3896" s="13" t="s">
        <v>11997</v>
      </c>
      <c r="E3896" s="111"/>
      <c r="F3896" s="113" t="s">
        <v>11983</v>
      </c>
      <c r="G3896" s="114"/>
      <c r="H3896" s="115"/>
      <c r="I3896" s="24"/>
      <c r="J3896" s="116">
        <v>3.5</v>
      </c>
      <c r="K3896" s="118">
        <v>75000</v>
      </c>
      <c r="L3896" s="119"/>
      <c r="M3896" s="118">
        <f t="shared" ref="M3896" si="3775">K3896*0.1</f>
        <v>7500</v>
      </c>
      <c r="N3896" s="119"/>
      <c r="O3896" s="118">
        <v>0</v>
      </c>
      <c r="P3896" s="119"/>
      <c r="Q3896" s="118">
        <v>10170</v>
      </c>
      <c r="R3896" s="119"/>
      <c r="S3896" s="118">
        <v>13200</v>
      </c>
      <c r="T3896" s="119"/>
      <c r="U3896" s="118">
        <f t="shared" ref="U3896" si="3776">SUM(K3896:T3897)</f>
        <v>105870</v>
      </c>
      <c r="V3896" s="122"/>
      <c r="W3896" s="124"/>
      <c r="X3896" s="126" t="s">
        <v>12394</v>
      </c>
      <c r="Y3896" s="127"/>
      <c r="Z3896" s="127"/>
      <c r="AA3896" s="127"/>
      <c r="AB3896" s="128"/>
      <c r="AC3896" s="15" t="s">
        <v>20</v>
      </c>
      <c r="AD3896" s="129" t="s">
        <v>11998</v>
      </c>
      <c r="AE3896" s="130"/>
      <c r="AF3896" s="130"/>
      <c r="AG3896" s="130"/>
      <c r="AH3896" s="130"/>
      <c r="AI3896" s="131"/>
      <c r="AJ3896" s="132"/>
      <c r="AK3896" s="127"/>
      <c r="AL3896" s="128"/>
      <c r="AM3896" s="21"/>
      <c r="AN3896" s="133">
        <v>46004</v>
      </c>
      <c r="AO3896" s="134"/>
      <c r="AP3896" s="135">
        <v>1280</v>
      </c>
      <c r="AQ3896" s="136"/>
      <c r="AR3896" s="118">
        <v>90000</v>
      </c>
      <c r="AS3896" s="119"/>
      <c r="AT3896" s="118">
        <f t="shared" ref="AT3896" si="3777">AR3896*0.1</f>
        <v>9000</v>
      </c>
      <c r="AU3896" s="119"/>
      <c r="AV3896" s="118">
        <v>10170</v>
      </c>
      <c r="AW3896" s="119"/>
      <c r="AX3896" s="118">
        <f t="shared" ref="AX3896" si="3778">SUM(AR3896:AW3896)</f>
        <v>109170</v>
      </c>
      <c r="AY3896" s="119"/>
      <c r="AZ3896" s="137">
        <v>46008</v>
      </c>
    </row>
    <row r="3897" spans="1:52" ht="17.100000000000001" customHeight="1" thickBot="1">
      <c r="A3897" s="110"/>
      <c r="B3897" s="27" t="s">
        <v>2641</v>
      </c>
      <c r="C3897" s="27">
        <v>9106</v>
      </c>
      <c r="D3897" s="14" t="s">
        <v>1576</v>
      </c>
      <c r="E3897" s="112"/>
      <c r="F3897" s="139" t="s">
        <v>11984</v>
      </c>
      <c r="G3897" s="140"/>
      <c r="H3897" s="141"/>
      <c r="I3897" s="26">
        <v>43903</v>
      </c>
      <c r="J3897" s="117"/>
      <c r="K3897" s="120"/>
      <c r="L3897" s="121"/>
      <c r="M3897" s="120"/>
      <c r="N3897" s="121"/>
      <c r="O3897" s="120"/>
      <c r="P3897" s="121"/>
      <c r="Q3897" s="120"/>
      <c r="R3897" s="121"/>
      <c r="S3897" s="120"/>
      <c r="T3897" s="121"/>
      <c r="U3897" s="120"/>
      <c r="V3897" s="123"/>
      <c r="W3897" s="125"/>
      <c r="X3897" s="142" t="s">
        <v>10732</v>
      </c>
      <c r="Y3897" s="143"/>
      <c r="Z3897" s="143"/>
      <c r="AA3897" s="143"/>
      <c r="AB3897" s="144"/>
      <c r="AC3897" s="16" t="s">
        <v>21</v>
      </c>
      <c r="AD3897" s="17" t="s">
        <v>2248</v>
      </c>
      <c r="AE3897" s="145" t="s">
        <v>1581</v>
      </c>
      <c r="AF3897" s="146"/>
      <c r="AG3897" s="146"/>
      <c r="AH3897" s="146"/>
      <c r="AI3897" s="147"/>
      <c r="AJ3897" s="148"/>
      <c r="AK3897" s="143"/>
      <c r="AL3897" s="144"/>
      <c r="AM3897" s="22"/>
      <c r="AN3897" s="149" t="s">
        <v>2511</v>
      </c>
      <c r="AO3897" s="144"/>
      <c r="AP3897" s="148">
        <v>63067</v>
      </c>
      <c r="AQ3897" s="144"/>
      <c r="AR3897" s="120"/>
      <c r="AS3897" s="121"/>
      <c r="AT3897" s="120"/>
      <c r="AU3897" s="121"/>
      <c r="AV3897" s="120"/>
      <c r="AW3897" s="121"/>
      <c r="AX3897" s="120"/>
      <c r="AY3897" s="121"/>
      <c r="AZ3897" s="138"/>
    </row>
    <row r="3898" spans="1:52" ht="17.100000000000001" customHeight="1" thickTop="1">
      <c r="A3898" s="109" t="s">
        <v>12089</v>
      </c>
      <c r="B3898" s="28">
        <v>45990</v>
      </c>
      <c r="C3898" s="25">
        <v>1000</v>
      </c>
      <c r="D3898" s="13" t="s">
        <v>1853</v>
      </c>
      <c r="E3898" s="111"/>
      <c r="F3898" s="113" t="s">
        <v>1147</v>
      </c>
      <c r="G3898" s="114"/>
      <c r="H3898" s="115"/>
      <c r="I3898" s="24"/>
      <c r="J3898" s="116">
        <v>4.5</v>
      </c>
      <c r="K3898" s="118">
        <v>1692000</v>
      </c>
      <c r="L3898" s="119"/>
      <c r="M3898" s="118">
        <f t="shared" ref="M3898" si="3779">K3898*0.1</f>
        <v>169200</v>
      </c>
      <c r="N3898" s="119"/>
      <c r="O3898" s="118">
        <v>0</v>
      </c>
      <c r="P3898" s="119"/>
      <c r="Q3898" s="118">
        <v>16240</v>
      </c>
      <c r="R3898" s="119"/>
      <c r="S3898" s="118">
        <v>15950</v>
      </c>
      <c r="T3898" s="119"/>
      <c r="U3898" s="118">
        <f t="shared" ref="U3898" si="3780">SUM(K3898:T3899)</f>
        <v>1893390</v>
      </c>
      <c r="V3898" s="122"/>
      <c r="W3898" s="124"/>
      <c r="X3898" s="126" t="s">
        <v>12636</v>
      </c>
      <c r="Y3898" s="127"/>
      <c r="Z3898" s="127"/>
      <c r="AA3898" s="127"/>
      <c r="AB3898" s="128"/>
      <c r="AC3898" s="15" t="s">
        <v>20</v>
      </c>
      <c r="AD3898" s="129" t="s">
        <v>1670</v>
      </c>
      <c r="AE3898" s="130"/>
      <c r="AF3898" s="130"/>
      <c r="AG3898" s="130"/>
      <c r="AH3898" s="130"/>
      <c r="AI3898" s="131"/>
      <c r="AJ3898" s="132"/>
      <c r="AK3898" s="127"/>
      <c r="AL3898" s="128"/>
      <c r="AM3898" s="21"/>
      <c r="AN3898" s="133"/>
      <c r="AO3898" s="134"/>
      <c r="AP3898" s="135"/>
      <c r="AQ3898" s="136"/>
      <c r="AR3898" s="118"/>
      <c r="AS3898" s="119"/>
      <c r="AT3898" s="118">
        <f t="shared" ref="AT3898" si="3781">AR3898*0.1</f>
        <v>0</v>
      </c>
      <c r="AU3898" s="119"/>
      <c r="AV3898" s="118"/>
      <c r="AW3898" s="119"/>
      <c r="AX3898" s="118">
        <f t="shared" ref="AX3898" si="3782">SUM(AR3898:AW3898)</f>
        <v>0</v>
      </c>
      <c r="AY3898" s="119"/>
      <c r="AZ3898" s="137"/>
    </row>
    <row r="3899" spans="1:52" ht="17.100000000000001" customHeight="1" thickBot="1">
      <c r="A3899" s="110"/>
      <c r="B3899" s="27" t="s">
        <v>1707</v>
      </c>
      <c r="C3899" s="27">
        <v>5072</v>
      </c>
      <c r="D3899" s="14" t="s">
        <v>1592</v>
      </c>
      <c r="E3899" s="112"/>
      <c r="F3899" s="139" t="s">
        <v>12050</v>
      </c>
      <c r="G3899" s="140"/>
      <c r="H3899" s="141"/>
      <c r="I3899" s="26">
        <v>35770</v>
      </c>
      <c r="J3899" s="117"/>
      <c r="K3899" s="120"/>
      <c r="L3899" s="121"/>
      <c r="M3899" s="120"/>
      <c r="N3899" s="121"/>
      <c r="O3899" s="120"/>
      <c r="P3899" s="121"/>
      <c r="Q3899" s="120"/>
      <c r="R3899" s="121"/>
      <c r="S3899" s="120"/>
      <c r="T3899" s="121"/>
      <c r="U3899" s="120"/>
      <c r="V3899" s="123"/>
      <c r="W3899" s="125"/>
      <c r="X3899" s="142" t="s">
        <v>5161</v>
      </c>
      <c r="Y3899" s="143"/>
      <c r="Z3899" s="143"/>
      <c r="AA3899" s="143"/>
      <c r="AB3899" s="144"/>
      <c r="AC3899" s="16" t="s">
        <v>21</v>
      </c>
      <c r="AD3899" s="17" t="s">
        <v>3439</v>
      </c>
      <c r="AE3899" s="145" t="s">
        <v>9056</v>
      </c>
      <c r="AF3899" s="146"/>
      <c r="AG3899" s="146"/>
      <c r="AH3899" s="146"/>
      <c r="AI3899" s="147"/>
      <c r="AJ3899" s="148"/>
      <c r="AK3899" s="143"/>
      <c r="AL3899" s="144"/>
      <c r="AM3899" s="22"/>
      <c r="AN3899" s="149"/>
      <c r="AO3899" s="144"/>
      <c r="AP3899" s="148"/>
      <c r="AQ3899" s="144"/>
      <c r="AR3899" s="120"/>
      <c r="AS3899" s="121"/>
      <c r="AT3899" s="120"/>
      <c r="AU3899" s="121"/>
      <c r="AV3899" s="120"/>
      <c r="AW3899" s="121"/>
      <c r="AX3899" s="120"/>
      <c r="AY3899" s="121"/>
      <c r="AZ3899" s="138"/>
    </row>
    <row r="3900" spans="1:52" ht="17.100000000000001" customHeight="1" thickTop="1">
      <c r="A3900" s="151" t="s">
        <v>12090</v>
      </c>
      <c r="B3900" s="28">
        <v>45990</v>
      </c>
      <c r="C3900" s="25">
        <v>1278</v>
      </c>
      <c r="D3900" s="13" t="s">
        <v>1793</v>
      </c>
      <c r="E3900" s="111"/>
      <c r="F3900" s="113" t="s">
        <v>2907</v>
      </c>
      <c r="G3900" s="114"/>
      <c r="H3900" s="115"/>
      <c r="I3900" s="24"/>
      <c r="J3900" s="116">
        <v>4</v>
      </c>
      <c r="K3900" s="118">
        <v>865000</v>
      </c>
      <c r="L3900" s="119"/>
      <c r="M3900" s="118">
        <f t="shared" ref="M3900" si="3783">K3900*0.1</f>
        <v>86500</v>
      </c>
      <c r="N3900" s="119"/>
      <c r="O3900" s="118">
        <v>0</v>
      </c>
      <c r="P3900" s="119"/>
      <c r="Q3900" s="118">
        <v>9170</v>
      </c>
      <c r="R3900" s="119"/>
      <c r="S3900" s="118">
        <v>12100</v>
      </c>
      <c r="T3900" s="119"/>
      <c r="U3900" s="118">
        <f t="shared" ref="U3900" si="3784">SUM(K3900:T3901)</f>
        <v>972770</v>
      </c>
      <c r="V3900" s="122"/>
      <c r="W3900" s="124"/>
      <c r="X3900" s="126"/>
      <c r="Y3900" s="127"/>
      <c r="Z3900" s="127"/>
      <c r="AA3900" s="127"/>
      <c r="AB3900" s="128"/>
      <c r="AC3900" s="15" t="s">
        <v>20</v>
      </c>
      <c r="AD3900" s="129"/>
      <c r="AE3900" s="130"/>
      <c r="AF3900" s="130"/>
      <c r="AG3900" s="130"/>
      <c r="AH3900" s="130"/>
      <c r="AI3900" s="131"/>
      <c r="AJ3900" s="132" t="s">
        <v>8040</v>
      </c>
      <c r="AK3900" s="127"/>
      <c r="AL3900" s="128"/>
      <c r="AM3900" s="21"/>
      <c r="AN3900" s="133"/>
      <c r="AO3900" s="134"/>
      <c r="AP3900" s="135"/>
      <c r="AQ3900" s="136"/>
      <c r="AR3900" s="118"/>
      <c r="AS3900" s="119"/>
      <c r="AT3900" s="118">
        <f t="shared" ref="AT3900" si="3785">AR3900*0.1</f>
        <v>0</v>
      </c>
      <c r="AU3900" s="119"/>
      <c r="AV3900" s="118"/>
      <c r="AW3900" s="119"/>
      <c r="AX3900" s="118">
        <f t="shared" ref="AX3900" si="3786">SUM(AR3900:AW3900)</f>
        <v>0</v>
      </c>
      <c r="AY3900" s="119"/>
      <c r="AZ3900" s="137"/>
    </row>
    <row r="3901" spans="1:52" ht="17.100000000000001" customHeight="1" thickBot="1">
      <c r="A3901" s="152"/>
      <c r="B3901" s="27" t="s">
        <v>2511</v>
      </c>
      <c r="C3901" s="27">
        <v>65098</v>
      </c>
      <c r="D3901" s="14" t="s">
        <v>275</v>
      </c>
      <c r="E3901" s="112"/>
      <c r="F3901" s="139" t="s">
        <v>12007</v>
      </c>
      <c r="G3901" s="140"/>
      <c r="H3901" s="141"/>
      <c r="I3901" s="26">
        <v>52970</v>
      </c>
      <c r="J3901" s="117"/>
      <c r="K3901" s="120"/>
      <c r="L3901" s="121"/>
      <c r="M3901" s="120"/>
      <c r="N3901" s="121"/>
      <c r="O3901" s="120"/>
      <c r="P3901" s="121"/>
      <c r="Q3901" s="120"/>
      <c r="R3901" s="121"/>
      <c r="S3901" s="120"/>
      <c r="T3901" s="121"/>
      <c r="U3901" s="120"/>
      <c r="V3901" s="123"/>
      <c r="W3901" s="125"/>
      <c r="X3901" s="142"/>
      <c r="Y3901" s="143"/>
      <c r="Z3901" s="143"/>
      <c r="AA3901" s="143"/>
      <c r="AB3901" s="144"/>
      <c r="AC3901" s="16" t="s">
        <v>21</v>
      </c>
      <c r="AD3901" s="17" t="s">
        <v>10540</v>
      </c>
      <c r="AE3901" s="145"/>
      <c r="AF3901" s="146"/>
      <c r="AG3901" s="146"/>
      <c r="AH3901" s="146"/>
      <c r="AI3901" s="147"/>
      <c r="AJ3901" s="148"/>
      <c r="AK3901" s="143"/>
      <c r="AL3901" s="144"/>
      <c r="AM3901" s="22"/>
      <c r="AN3901" s="149"/>
      <c r="AO3901" s="144"/>
      <c r="AP3901" s="148"/>
      <c r="AQ3901" s="144"/>
      <c r="AR3901" s="120"/>
      <c r="AS3901" s="121"/>
      <c r="AT3901" s="120"/>
      <c r="AU3901" s="121"/>
      <c r="AV3901" s="120"/>
      <c r="AW3901" s="121"/>
      <c r="AX3901" s="120"/>
      <c r="AY3901" s="121"/>
      <c r="AZ3901" s="138"/>
    </row>
    <row r="3902" spans="1:52" ht="17.100000000000001" customHeight="1" thickTop="1">
      <c r="A3902" s="109" t="s">
        <v>12091</v>
      </c>
      <c r="B3902" s="28">
        <v>45990</v>
      </c>
      <c r="C3902" s="25">
        <v>1278</v>
      </c>
      <c r="D3902" s="13" t="s">
        <v>818</v>
      </c>
      <c r="E3902" s="111"/>
      <c r="F3902" s="113" t="s">
        <v>2598</v>
      </c>
      <c r="G3902" s="114"/>
      <c r="H3902" s="115"/>
      <c r="I3902" s="24" t="s">
        <v>12012</v>
      </c>
      <c r="J3902" s="116">
        <v>4</v>
      </c>
      <c r="K3902" s="118">
        <v>935000</v>
      </c>
      <c r="L3902" s="119"/>
      <c r="M3902" s="118">
        <f t="shared" ref="M3902" si="3787">K3902*0.1</f>
        <v>93500</v>
      </c>
      <c r="N3902" s="119"/>
      <c r="O3902" s="118">
        <v>0</v>
      </c>
      <c r="P3902" s="119"/>
      <c r="Q3902" s="118">
        <v>9080</v>
      </c>
      <c r="R3902" s="119"/>
      <c r="S3902" s="118">
        <v>13200</v>
      </c>
      <c r="T3902" s="119"/>
      <c r="U3902" s="118">
        <f t="shared" ref="U3902" si="3788">SUM(K3902:T3903)</f>
        <v>1050780</v>
      </c>
      <c r="V3902" s="122"/>
      <c r="W3902" s="124"/>
      <c r="X3902" s="126" t="s">
        <v>12013</v>
      </c>
      <c r="Y3902" s="127"/>
      <c r="Z3902" s="127"/>
      <c r="AA3902" s="127"/>
      <c r="AB3902" s="128"/>
      <c r="AC3902" s="15" t="s">
        <v>20</v>
      </c>
      <c r="AD3902" s="129" t="s">
        <v>1690</v>
      </c>
      <c r="AE3902" s="130"/>
      <c r="AF3902" s="130"/>
      <c r="AG3902" s="130"/>
      <c r="AH3902" s="130"/>
      <c r="AI3902" s="131"/>
      <c r="AJ3902" s="132"/>
      <c r="AK3902" s="127"/>
      <c r="AL3902" s="128"/>
      <c r="AM3902" s="21" t="s">
        <v>12763</v>
      </c>
      <c r="AN3902" s="133">
        <v>45997</v>
      </c>
      <c r="AO3902" s="134"/>
      <c r="AP3902" s="135">
        <v>1279</v>
      </c>
      <c r="AQ3902" s="136"/>
      <c r="AR3902" s="118">
        <v>1000000</v>
      </c>
      <c r="AS3902" s="119"/>
      <c r="AT3902" s="118">
        <f t="shared" ref="AT3902" si="3789">AR3902*0.1</f>
        <v>100000</v>
      </c>
      <c r="AU3902" s="119"/>
      <c r="AV3902" s="118">
        <v>9080</v>
      </c>
      <c r="AW3902" s="119"/>
      <c r="AX3902" s="118">
        <f t="shared" ref="AX3902" si="3790">SUM(AR3902:AW3902)</f>
        <v>1109080</v>
      </c>
      <c r="AY3902" s="119"/>
      <c r="AZ3902" s="137">
        <v>46002</v>
      </c>
    </row>
    <row r="3903" spans="1:52" ht="17.100000000000001" customHeight="1" thickBot="1">
      <c r="A3903" s="110"/>
      <c r="B3903" s="27" t="s">
        <v>2511</v>
      </c>
      <c r="C3903" s="27">
        <v>65164</v>
      </c>
      <c r="D3903" s="14" t="s">
        <v>275</v>
      </c>
      <c r="E3903" s="112"/>
      <c r="F3903" s="139" t="s">
        <v>12011</v>
      </c>
      <c r="G3903" s="140"/>
      <c r="H3903" s="141"/>
      <c r="I3903" s="26">
        <v>59275</v>
      </c>
      <c r="J3903" s="117"/>
      <c r="K3903" s="120"/>
      <c r="L3903" s="121"/>
      <c r="M3903" s="120"/>
      <c r="N3903" s="121"/>
      <c r="O3903" s="120"/>
      <c r="P3903" s="121"/>
      <c r="Q3903" s="120"/>
      <c r="R3903" s="121"/>
      <c r="S3903" s="120"/>
      <c r="T3903" s="121"/>
      <c r="U3903" s="120"/>
      <c r="V3903" s="123"/>
      <c r="W3903" s="125"/>
      <c r="X3903" s="142" t="s">
        <v>2918</v>
      </c>
      <c r="Y3903" s="143"/>
      <c r="Z3903" s="143"/>
      <c r="AA3903" s="143"/>
      <c r="AB3903" s="144"/>
      <c r="AC3903" s="16" t="s">
        <v>21</v>
      </c>
      <c r="AD3903" s="17" t="s">
        <v>12686</v>
      </c>
      <c r="AE3903" s="145" t="s">
        <v>12689</v>
      </c>
      <c r="AF3903" s="146"/>
      <c r="AG3903" s="146"/>
      <c r="AH3903" s="146"/>
      <c r="AI3903" s="147"/>
      <c r="AJ3903" s="148"/>
      <c r="AK3903" s="143"/>
      <c r="AL3903" s="144"/>
      <c r="AM3903" s="22"/>
      <c r="AN3903" s="149" t="s">
        <v>2511</v>
      </c>
      <c r="AO3903" s="144"/>
      <c r="AP3903" s="148">
        <v>60341</v>
      </c>
      <c r="AQ3903" s="144"/>
      <c r="AR3903" s="120"/>
      <c r="AS3903" s="121"/>
      <c r="AT3903" s="120"/>
      <c r="AU3903" s="121"/>
      <c r="AV3903" s="120"/>
      <c r="AW3903" s="121"/>
      <c r="AX3903" s="120"/>
      <c r="AY3903" s="121"/>
      <c r="AZ3903" s="138"/>
    </row>
    <row r="3904" spans="1:52" ht="17.100000000000001" customHeight="1" thickTop="1">
      <c r="A3904" s="109" t="s">
        <v>12092</v>
      </c>
      <c r="B3904" s="28">
        <v>45990</v>
      </c>
      <c r="C3904" s="25">
        <v>1278</v>
      </c>
      <c r="D3904" s="13" t="s">
        <v>4835</v>
      </c>
      <c r="E3904" s="111"/>
      <c r="F3904" s="113" t="s">
        <v>4580</v>
      </c>
      <c r="G3904" s="114"/>
      <c r="H3904" s="115"/>
      <c r="I3904" s="24" t="s">
        <v>3509</v>
      </c>
      <c r="J3904" s="116">
        <v>4</v>
      </c>
      <c r="K3904" s="118">
        <v>575000</v>
      </c>
      <c r="L3904" s="119"/>
      <c r="M3904" s="118">
        <f t="shared" ref="M3904" si="3791">K3904*0.1</f>
        <v>57500</v>
      </c>
      <c r="N3904" s="119"/>
      <c r="O3904" s="118">
        <v>0</v>
      </c>
      <c r="P3904" s="119"/>
      <c r="Q3904" s="118">
        <v>9790</v>
      </c>
      <c r="R3904" s="119"/>
      <c r="S3904" s="118">
        <v>12100</v>
      </c>
      <c r="T3904" s="119"/>
      <c r="U3904" s="118">
        <f t="shared" ref="U3904" si="3792">SUM(K3904:T3905)</f>
        <v>654390</v>
      </c>
      <c r="V3904" s="122"/>
      <c r="W3904" s="124"/>
      <c r="X3904" s="126" t="s">
        <v>12015</v>
      </c>
      <c r="Y3904" s="127"/>
      <c r="Z3904" s="127"/>
      <c r="AA3904" s="127"/>
      <c r="AB3904" s="128"/>
      <c r="AC3904" s="15" t="s">
        <v>20</v>
      </c>
      <c r="AD3904" s="129" t="s">
        <v>12016</v>
      </c>
      <c r="AE3904" s="130"/>
      <c r="AF3904" s="130"/>
      <c r="AG3904" s="130"/>
      <c r="AH3904" s="130"/>
      <c r="AI3904" s="131"/>
      <c r="AJ3904" s="132"/>
      <c r="AK3904" s="127"/>
      <c r="AL3904" s="128"/>
      <c r="AM3904" s="21" t="s">
        <v>12762</v>
      </c>
      <c r="AN3904" s="133">
        <v>45997</v>
      </c>
      <c r="AO3904" s="134"/>
      <c r="AP3904" s="135">
        <v>1279</v>
      </c>
      <c r="AQ3904" s="136"/>
      <c r="AR3904" s="118">
        <v>650000</v>
      </c>
      <c r="AS3904" s="119"/>
      <c r="AT3904" s="118">
        <f t="shared" ref="AT3904" si="3793">AR3904*0.1</f>
        <v>65000</v>
      </c>
      <c r="AU3904" s="119"/>
      <c r="AV3904" s="118">
        <v>9790</v>
      </c>
      <c r="AW3904" s="119"/>
      <c r="AX3904" s="118">
        <f t="shared" ref="AX3904" si="3794">SUM(AR3904:AW3904)</f>
        <v>724790</v>
      </c>
      <c r="AY3904" s="119"/>
      <c r="AZ3904" s="137">
        <v>46002</v>
      </c>
    </row>
    <row r="3905" spans="1:52" ht="17.100000000000001" customHeight="1" thickBot="1">
      <c r="A3905" s="110"/>
      <c r="B3905" s="27" t="s">
        <v>2511</v>
      </c>
      <c r="C3905" s="27">
        <v>65214</v>
      </c>
      <c r="D3905" s="14" t="s">
        <v>275</v>
      </c>
      <c r="E3905" s="112"/>
      <c r="F3905" s="139" t="s">
        <v>12014</v>
      </c>
      <c r="G3905" s="140"/>
      <c r="H3905" s="141"/>
      <c r="I3905" s="26">
        <v>63270</v>
      </c>
      <c r="J3905" s="117"/>
      <c r="K3905" s="120"/>
      <c r="L3905" s="121"/>
      <c r="M3905" s="120"/>
      <c r="N3905" s="121"/>
      <c r="O3905" s="120"/>
      <c r="P3905" s="121"/>
      <c r="Q3905" s="120"/>
      <c r="R3905" s="121"/>
      <c r="S3905" s="120"/>
      <c r="T3905" s="121"/>
      <c r="U3905" s="120"/>
      <c r="V3905" s="123"/>
      <c r="W3905" s="125"/>
      <c r="X3905" s="142" t="s">
        <v>12687</v>
      </c>
      <c r="Y3905" s="143"/>
      <c r="Z3905" s="143"/>
      <c r="AA3905" s="143"/>
      <c r="AB3905" s="144"/>
      <c r="AC3905" s="16" t="s">
        <v>21</v>
      </c>
      <c r="AD3905" s="17" t="s">
        <v>12686</v>
      </c>
      <c r="AE3905" s="145" t="s">
        <v>12688</v>
      </c>
      <c r="AF3905" s="146"/>
      <c r="AG3905" s="146"/>
      <c r="AH3905" s="146"/>
      <c r="AI3905" s="147"/>
      <c r="AJ3905" s="148"/>
      <c r="AK3905" s="143"/>
      <c r="AL3905" s="144"/>
      <c r="AM3905" s="22"/>
      <c r="AN3905" s="149" t="s">
        <v>2511</v>
      </c>
      <c r="AO3905" s="144"/>
      <c r="AP3905" s="148">
        <v>60269</v>
      </c>
      <c r="AQ3905" s="144"/>
      <c r="AR3905" s="120"/>
      <c r="AS3905" s="121"/>
      <c r="AT3905" s="120"/>
      <c r="AU3905" s="121"/>
      <c r="AV3905" s="120"/>
      <c r="AW3905" s="121"/>
      <c r="AX3905" s="120"/>
      <c r="AY3905" s="121"/>
      <c r="AZ3905" s="138"/>
    </row>
    <row r="3906" spans="1:52" ht="17.100000000000001" customHeight="1" thickTop="1">
      <c r="A3906" s="151" t="s">
        <v>12093</v>
      </c>
      <c r="B3906" s="28">
        <v>45990</v>
      </c>
      <c r="C3906" s="25">
        <v>1278</v>
      </c>
      <c r="D3906" s="13" t="s">
        <v>1767</v>
      </c>
      <c r="E3906" s="111"/>
      <c r="F3906" s="113" t="s">
        <v>2598</v>
      </c>
      <c r="G3906" s="114"/>
      <c r="H3906" s="115"/>
      <c r="I3906" s="24"/>
      <c r="J3906" s="116">
        <v>4.5</v>
      </c>
      <c r="K3906" s="118">
        <v>870000</v>
      </c>
      <c r="L3906" s="119"/>
      <c r="M3906" s="118">
        <f t="shared" ref="M3906" si="3795">K3906*0.1</f>
        <v>87000</v>
      </c>
      <c r="N3906" s="119"/>
      <c r="O3906" s="118">
        <v>0</v>
      </c>
      <c r="P3906" s="119"/>
      <c r="Q3906" s="118">
        <v>9080</v>
      </c>
      <c r="R3906" s="119"/>
      <c r="S3906" s="118">
        <v>13200</v>
      </c>
      <c r="T3906" s="119"/>
      <c r="U3906" s="118">
        <f t="shared" ref="U3906" si="3796">SUM(K3906:T3907)</f>
        <v>979280</v>
      </c>
      <c r="V3906" s="122"/>
      <c r="W3906" s="124"/>
      <c r="X3906" s="126" t="s">
        <v>12697</v>
      </c>
      <c r="Y3906" s="127"/>
      <c r="Z3906" s="127"/>
      <c r="AA3906" s="127"/>
      <c r="AB3906" s="128"/>
      <c r="AC3906" s="15" t="s">
        <v>20</v>
      </c>
      <c r="AD3906" s="129" t="s">
        <v>1670</v>
      </c>
      <c r="AE3906" s="130"/>
      <c r="AF3906" s="130"/>
      <c r="AG3906" s="130"/>
      <c r="AH3906" s="130"/>
      <c r="AI3906" s="131"/>
      <c r="AJ3906" s="132"/>
      <c r="AK3906" s="127"/>
      <c r="AL3906" s="128"/>
      <c r="AM3906" s="21"/>
      <c r="AN3906" s="133">
        <v>46039</v>
      </c>
      <c r="AO3906" s="134"/>
      <c r="AP3906" s="135">
        <v>1284</v>
      </c>
      <c r="AQ3906" s="136"/>
      <c r="AR3906" s="118">
        <v>950000</v>
      </c>
      <c r="AS3906" s="119"/>
      <c r="AT3906" s="118">
        <f t="shared" ref="AT3906" si="3797">AR3906*0.1</f>
        <v>95000</v>
      </c>
      <c r="AU3906" s="119"/>
      <c r="AV3906" s="118">
        <v>9080</v>
      </c>
      <c r="AW3906" s="119"/>
      <c r="AX3906" s="118">
        <f t="shared" ref="AX3906" si="3798">SUM(AR3906:AW3906)</f>
        <v>1054080</v>
      </c>
      <c r="AY3906" s="119"/>
      <c r="AZ3906" s="137">
        <v>46042</v>
      </c>
    </row>
    <row r="3907" spans="1:52" ht="17.100000000000001" customHeight="1" thickBot="1">
      <c r="A3907" s="152"/>
      <c r="B3907" s="27" t="s">
        <v>2511</v>
      </c>
      <c r="C3907" s="27">
        <v>65405</v>
      </c>
      <c r="D3907" s="14" t="s">
        <v>4023</v>
      </c>
      <c r="E3907" s="112"/>
      <c r="F3907" s="139" t="s">
        <v>12026</v>
      </c>
      <c r="G3907" s="140"/>
      <c r="H3907" s="141"/>
      <c r="I3907" s="26">
        <v>25897</v>
      </c>
      <c r="J3907" s="117"/>
      <c r="K3907" s="120"/>
      <c r="L3907" s="121"/>
      <c r="M3907" s="120"/>
      <c r="N3907" s="121"/>
      <c r="O3907" s="120"/>
      <c r="P3907" s="121"/>
      <c r="Q3907" s="120"/>
      <c r="R3907" s="121"/>
      <c r="S3907" s="120"/>
      <c r="T3907" s="121"/>
      <c r="U3907" s="120"/>
      <c r="V3907" s="123"/>
      <c r="W3907" s="125"/>
      <c r="X3907" s="142" t="s">
        <v>12698</v>
      </c>
      <c r="Y3907" s="143"/>
      <c r="Z3907" s="143"/>
      <c r="AA3907" s="143"/>
      <c r="AB3907" s="144"/>
      <c r="AC3907" s="16" t="s">
        <v>21</v>
      </c>
      <c r="AD3907" s="17" t="s">
        <v>12686</v>
      </c>
      <c r="AE3907" s="145" t="s">
        <v>171</v>
      </c>
      <c r="AF3907" s="146"/>
      <c r="AG3907" s="146"/>
      <c r="AH3907" s="146"/>
      <c r="AI3907" s="147"/>
      <c r="AJ3907" s="148"/>
      <c r="AK3907" s="143"/>
      <c r="AL3907" s="144"/>
      <c r="AM3907" s="22"/>
      <c r="AN3907" s="149" t="s">
        <v>7284</v>
      </c>
      <c r="AO3907" s="144"/>
      <c r="AP3907" s="148">
        <v>60253</v>
      </c>
      <c r="AQ3907" s="144"/>
      <c r="AR3907" s="120"/>
      <c r="AS3907" s="121"/>
      <c r="AT3907" s="120"/>
      <c r="AU3907" s="121"/>
      <c r="AV3907" s="120"/>
      <c r="AW3907" s="121"/>
      <c r="AX3907" s="120"/>
      <c r="AY3907" s="121"/>
      <c r="AZ3907" s="138"/>
    </row>
    <row r="3908" spans="1:52" ht="17.100000000000001" customHeight="1" thickTop="1">
      <c r="A3908" s="151" t="s">
        <v>12094</v>
      </c>
      <c r="B3908" s="28">
        <v>45990</v>
      </c>
      <c r="C3908" s="25">
        <v>1278</v>
      </c>
      <c r="D3908" s="13" t="s">
        <v>2654</v>
      </c>
      <c r="E3908" s="111"/>
      <c r="F3908" s="113" t="s">
        <v>2598</v>
      </c>
      <c r="G3908" s="114"/>
      <c r="H3908" s="115"/>
      <c r="I3908" s="24" t="s">
        <v>5423</v>
      </c>
      <c r="J3908" s="116">
        <v>4.5</v>
      </c>
      <c r="K3908" s="118">
        <v>780000</v>
      </c>
      <c r="L3908" s="119"/>
      <c r="M3908" s="118">
        <f t="shared" ref="M3908" si="3799">K3908*0.1</f>
        <v>78000</v>
      </c>
      <c r="N3908" s="119"/>
      <c r="O3908" s="118">
        <v>0</v>
      </c>
      <c r="P3908" s="119"/>
      <c r="Q3908" s="118">
        <v>9080</v>
      </c>
      <c r="R3908" s="119"/>
      <c r="S3908" s="118">
        <v>13200</v>
      </c>
      <c r="T3908" s="119"/>
      <c r="U3908" s="118">
        <f t="shared" ref="U3908" si="3800">SUM(K3908:T3909)</f>
        <v>880280</v>
      </c>
      <c r="V3908" s="122"/>
      <c r="W3908" s="124"/>
      <c r="X3908" s="126" t="s">
        <v>12028</v>
      </c>
      <c r="Y3908" s="127"/>
      <c r="Z3908" s="127"/>
      <c r="AA3908" s="127"/>
      <c r="AB3908" s="128"/>
      <c r="AC3908" s="15" t="s">
        <v>20</v>
      </c>
      <c r="AD3908" s="129" t="s">
        <v>5325</v>
      </c>
      <c r="AE3908" s="130"/>
      <c r="AF3908" s="130"/>
      <c r="AG3908" s="130"/>
      <c r="AH3908" s="130"/>
      <c r="AI3908" s="131"/>
      <c r="AJ3908" s="132" t="s">
        <v>8040</v>
      </c>
      <c r="AK3908" s="127"/>
      <c r="AL3908" s="128"/>
      <c r="AM3908" s="21"/>
      <c r="AN3908" s="133"/>
      <c r="AO3908" s="134"/>
      <c r="AP3908" s="135"/>
      <c r="AQ3908" s="136"/>
      <c r="AR3908" s="118"/>
      <c r="AS3908" s="119"/>
      <c r="AT3908" s="118">
        <f t="shared" ref="AT3908" si="3801">AR3908*0.1</f>
        <v>0</v>
      </c>
      <c r="AU3908" s="119"/>
      <c r="AV3908" s="118"/>
      <c r="AW3908" s="119"/>
      <c r="AX3908" s="118">
        <f t="shared" ref="AX3908" si="3802">SUM(AR3908:AW3908)</f>
        <v>0</v>
      </c>
      <c r="AY3908" s="119"/>
      <c r="AZ3908" s="137"/>
    </row>
    <row r="3909" spans="1:52" ht="17.100000000000001" customHeight="1" thickBot="1">
      <c r="A3909" s="152"/>
      <c r="B3909" s="27" t="s">
        <v>2511</v>
      </c>
      <c r="C3909" s="27">
        <v>65428</v>
      </c>
      <c r="D3909" s="14" t="s">
        <v>2040</v>
      </c>
      <c r="E3909" s="112"/>
      <c r="F3909" s="139" t="s">
        <v>12027</v>
      </c>
      <c r="G3909" s="140"/>
      <c r="H3909" s="141"/>
      <c r="I3909" s="26">
        <v>63093</v>
      </c>
      <c r="J3909" s="117"/>
      <c r="K3909" s="120"/>
      <c r="L3909" s="121"/>
      <c r="M3909" s="120"/>
      <c r="N3909" s="121"/>
      <c r="O3909" s="120"/>
      <c r="P3909" s="121"/>
      <c r="Q3909" s="120"/>
      <c r="R3909" s="121"/>
      <c r="S3909" s="120"/>
      <c r="T3909" s="121"/>
      <c r="U3909" s="120"/>
      <c r="V3909" s="123"/>
      <c r="W3909" s="125"/>
      <c r="X3909" s="142"/>
      <c r="Y3909" s="143"/>
      <c r="Z3909" s="143"/>
      <c r="AA3909" s="143"/>
      <c r="AB3909" s="144"/>
      <c r="AC3909" s="16" t="s">
        <v>21</v>
      </c>
      <c r="AD3909" s="17" t="s">
        <v>10540</v>
      </c>
      <c r="AE3909" s="145"/>
      <c r="AF3909" s="146"/>
      <c r="AG3909" s="146"/>
      <c r="AH3909" s="146"/>
      <c r="AI3909" s="147"/>
      <c r="AJ3909" s="148"/>
      <c r="AK3909" s="143"/>
      <c r="AL3909" s="144"/>
      <c r="AM3909" s="22"/>
      <c r="AN3909" s="149"/>
      <c r="AO3909" s="144"/>
      <c r="AP3909" s="148"/>
      <c r="AQ3909" s="144"/>
      <c r="AR3909" s="120"/>
      <c r="AS3909" s="121"/>
      <c r="AT3909" s="120"/>
      <c r="AU3909" s="121"/>
      <c r="AV3909" s="120"/>
      <c r="AW3909" s="121"/>
      <c r="AX3909" s="120"/>
      <c r="AY3909" s="121"/>
      <c r="AZ3909" s="138"/>
    </row>
    <row r="3910" spans="1:52" ht="17.100000000000001" customHeight="1" thickTop="1">
      <c r="A3910" s="109" t="s">
        <v>12095</v>
      </c>
      <c r="B3910" s="28">
        <v>45990</v>
      </c>
      <c r="C3910" s="25">
        <v>1278</v>
      </c>
      <c r="D3910" s="13" t="s">
        <v>1902</v>
      </c>
      <c r="E3910" s="111"/>
      <c r="F3910" s="113" t="s">
        <v>12008</v>
      </c>
      <c r="G3910" s="114"/>
      <c r="H3910" s="115"/>
      <c r="I3910" s="24"/>
      <c r="J3910" s="116">
        <v>4</v>
      </c>
      <c r="K3910" s="118">
        <v>1350000</v>
      </c>
      <c r="L3910" s="119"/>
      <c r="M3910" s="118">
        <f t="shared" ref="M3910" si="3803">K3910*0.1</f>
        <v>135000</v>
      </c>
      <c r="N3910" s="119"/>
      <c r="O3910" s="118">
        <v>0</v>
      </c>
      <c r="P3910" s="119"/>
      <c r="Q3910" s="118">
        <v>16160</v>
      </c>
      <c r="R3910" s="119"/>
      <c r="S3910" s="118">
        <v>16500</v>
      </c>
      <c r="T3910" s="119"/>
      <c r="U3910" s="118">
        <f t="shared" ref="U3910" si="3804">SUM(K3910:T3911)</f>
        <v>1517660</v>
      </c>
      <c r="V3910" s="122"/>
      <c r="W3910" s="124"/>
      <c r="X3910" s="126" t="s">
        <v>12705</v>
      </c>
      <c r="Y3910" s="127"/>
      <c r="Z3910" s="127"/>
      <c r="AA3910" s="127"/>
      <c r="AB3910" s="128"/>
      <c r="AC3910" s="15" t="s">
        <v>20</v>
      </c>
      <c r="AD3910" s="129" t="s">
        <v>1670</v>
      </c>
      <c r="AE3910" s="130"/>
      <c r="AF3910" s="130"/>
      <c r="AG3910" s="130"/>
      <c r="AH3910" s="130"/>
      <c r="AI3910" s="131"/>
      <c r="AJ3910" s="132"/>
      <c r="AK3910" s="127"/>
      <c r="AL3910" s="128"/>
      <c r="AM3910" s="21"/>
      <c r="AN3910" s="133">
        <v>46048</v>
      </c>
      <c r="AO3910" s="134"/>
      <c r="AP3910" s="135"/>
      <c r="AQ3910" s="136"/>
      <c r="AR3910" s="118">
        <v>1550000</v>
      </c>
      <c r="AS3910" s="119"/>
      <c r="AT3910" s="118">
        <f t="shared" ref="AT3910" si="3805">AR3910*0.1</f>
        <v>155000</v>
      </c>
      <c r="AU3910" s="119"/>
      <c r="AV3910" s="118">
        <v>16160</v>
      </c>
      <c r="AW3910" s="119"/>
      <c r="AX3910" s="118">
        <f t="shared" ref="AX3910" si="3806">SUM(AR3910:AW3910)</f>
        <v>1721160</v>
      </c>
      <c r="AY3910" s="119"/>
      <c r="AZ3910" s="137"/>
    </row>
    <row r="3911" spans="1:52" ht="17.100000000000001" customHeight="1" thickBot="1">
      <c r="A3911" s="110"/>
      <c r="B3911" s="27" t="s">
        <v>2511</v>
      </c>
      <c r="C3911" s="27">
        <v>81060</v>
      </c>
      <c r="D3911" s="14" t="s">
        <v>1556</v>
      </c>
      <c r="E3911" s="112"/>
      <c r="F3911" s="139" t="s">
        <v>12009</v>
      </c>
      <c r="G3911" s="140"/>
      <c r="H3911" s="141"/>
      <c r="I3911" s="26">
        <v>56347</v>
      </c>
      <c r="J3911" s="117"/>
      <c r="K3911" s="120"/>
      <c r="L3911" s="121"/>
      <c r="M3911" s="120"/>
      <c r="N3911" s="121"/>
      <c r="O3911" s="120"/>
      <c r="P3911" s="121"/>
      <c r="Q3911" s="120"/>
      <c r="R3911" s="121"/>
      <c r="S3911" s="120"/>
      <c r="T3911" s="121"/>
      <c r="U3911" s="120"/>
      <c r="V3911" s="123"/>
      <c r="W3911" s="125"/>
      <c r="X3911" s="142" t="s">
        <v>2918</v>
      </c>
      <c r="Y3911" s="143"/>
      <c r="Z3911" s="143"/>
      <c r="AA3911" s="143"/>
      <c r="AB3911" s="144"/>
      <c r="AC3911" s="16" t="s">
        <v>21</v>
      </c>
      <c r="AD3911" s="17" t="s">
        <v>12686</v>
      </c>
      <c r="AE3911" s="145" t="s">
        <v>1742</v>
      </c>
      <c r="AF3911" s="146"/>
      <c r="AG3911" s="146"/>
      <c r="AH3911" s="146"/>
      <c r="AI3911" s="147"/>
      <c r="AJ3911" s="148"/>
      <c r="AK3911" s="143"/>
      <c r="AL3911" s="144"/>
      <c r="AM3911" s="22"/>
      <c r="AN3911" s="149" t="s">
        <v>6789</v>
      </c>
      <c r="AO3911" s="144"/>
      <c r="AP3911" s="148">
        <v>51612</v>
      </c>
      <c r="AQ3911" s="144"/>
      <c r="AR3911" s="120"/>
      <c r="AS3911" s="121"/>
      <c r="AT3911" s="120"/>
      <c r="AU3911" s="121"/>
      <c r="AV3911" s="120"/>
      <c r="AW3911" s="121"/>
      <c r="AX3911" s="120"/>
      <c r="AY3911" s="121"/>
      <c r="AZ3911" s="138"/>
    </row>
    <row r="3912" spans="1:52" ht="17.100000000000001" customHeight="1" thickTop="1">
      <c r="A3912" s="109" t="s">
        <v>12096</v>
      </c>
      <c r="B3912" s="28">
        <v>45990</v>
      </c>
      <c r="C3912" s="25">
        <v>1278</v>
      </c>
      <c r="D3912" s="13" t="s">
        <v>2914</v>
      </c>
      <c r="E3912" s="111"/>
      <c r="F3912" s="113" t="s">
        <v>4078</v>
      </c>
      <c r="G3912" s="114"/>
      <c r="H3912" s="115"/>
      <c r="I3912" s="24"/>
      <c r="J3912" s="116">
        <v>4.5</v>
      </c>
      <c r="K3912" s="118">
        <v>980000</v>
      </c>
      <c r="L3912" s="119"/>
      <c r="M3912" s="118">
        <f t="shared" ref="M3912" si="3807">K3912*0.1</f>
        <v>98000</v>
      </c>
      <c r="N3912" s="119"/>
      <c r="O3912" s="118">
        <v>0</v>
      </c>
      <c r="P3912" s="119"/>
      <c r="Q3912" s="118">
        <v>16580</v>
      </c>
      <c r="R3912" s="119"/>
      <c r="S3912" s="118">
        <v>23100</v>
      </c>
      <c r="T3912" s="119"/>
      <c r="U3912" s="118">
        <f t="shared" ref="U3912" si="3808">SUM(K3912:T3913)</f>
        <v>1117680</v>
      </c>
      <c r="V3912" s="122"/>
      <c r="W3912" s="124"/>
      <c r="X3912" s="126" t="s">
        <v>12692</v>
      </c>
      <c r="Y3912" s="127"/>
      <c r="Z3912" s="127"/>
      <c r="AA3912" s="127"/>
      <c r="AB3912" s="128"/>
      <c r="AC3912" s="15" t="s">
        <v>20</v>
      </c>
      <c r="AD3912" s="129"/>
      <c r="AE3912" s="130"/>
      <c r="AF3912" s="130"/>
      <c r="AG3912" s="130"/>
      <c r="AH3912" s="130"/>
      <c r="AI3912" s="131"/>
      <c r="AJ3912" s="132"/>
      <c r="AK3912" s="127"/>
      <c r="AL3912" s="128"/>
      <c r="AM3912" s="21"/>
      <c r="AN3912" s="133">
        <v>45997</v>
      </c>
      <c r="AO3912" s="134"/>
      <c r="AP3912" s="135">
        <v>1279</v>
      </c>
      <c r="AQ3912" s="136"/>
      <c r="AR3912" s="118">
        <v>1105000</v>
      </c>
      <c r="AS3912" s="119"/>
      <c r="AT3912" s="118">
        <f t="shared" ref="AT3912" si="3809">AR3912*0.1</f>
        <v>110500</v>
      </c>
      <c r="AU3912" s="119"/>
      <c r="AV3912" s="118">
        <v>16580</v>
      </c>
      <c r="AW3912" s="119"/>
      <c r="AX3912" s="118">
        <f t="shared" ref="AX3912" si="3810">SUM(AR3912:AW3912)</f>
        <v>1232080</v>
      </c>
      <c r="AY3912" s="119"/>
      <c r="AZ3912" s="137">
        <v>46001</v>
      </c>
    </row>
    <row r="3913" spans="1:52" ht="17.100000000000001" customHeight="1" thickBot="1">
      <c r="A3913" s="110"/>
      <c r="B3913" s="27" t="s">
        <v>2511</v>
      </c>
      <c r="C3913" s="27">
        <v>81104</v>
      </c>
      <c r="D3913" s="14" t="s">
        <v>133</v>
      </c>
      <c r="E3913" s="112"/>
      <c r="F3913" s="139" t="s">
        <v>12017</v>
      </c>
      <c r="G3913" s="140"/>
      <c r="H3913" s="141"/>
      <c r="I3913" s="26">
        <v>52485</v>
      </c>
      <c r="J3913" s="117"/>
      <c r="K3913" s="120"/>
      <c r="L3913" s="121"/>
      <c r="M3913" s="120"/>
      <c r="N3913" s="121"/>
      <c r="O3913" s="120"/>
      <c r="P3913" s="121"/>
      <c r="Q3913" s="120"/>
      <c r="R3913" s="121"/>
      <c r="S3913" s="120"/>
      <c r="T3913" s="121"/>
      <c r="U3913" s="120"/>
      <c r="V3913" s="123"/>
      <c r="W3913" s="125"/>
      <c r="X3913" s="142" t="s">
        <v>12693</v>
      </c>
      <c r="Y3913" s="143"/>
      <c r="Z3913" s="143"/>
      <c r="AA3913" s="143"/>
      <c r="AB3913" s="144"/>
      <c r="AC3913" s="16" t="s">
        <v>21</v>
      </c>
      <c r="AD3913" s="17" t="s">
        <v>12686</v>
      </c>
      <c r="AE3913" s="145"/>
      <c r="AF3913" s="146"/>
      <c r="AG3913" s="146"/>
      <c r="AH3913" s="146"/>
      <c r="AI3913" s="147"/>
      <c r="AJ3913" s="148"/>
      <c r="AK3913" s="143"/>
      <c r="AL3913" s="144"/>
      <c r="AM3913" s="22"/>
      <c r="AN3913" s="149" t="s">
        <v>2511</v>
      </c>
      <c r="AO3913" s="144"/>
      <c r="AP3913" s="148">
        <v>80096</v>
      </c>
      <c r="AQ3913" s="144"/>
      <c r="AR3913" s="120"/>
      <c r="AS3913" s="121"/>
      <c r="AT3913" s="120"/>
      <c r="AU3913" s="121"/>
      <c r="AV3913" s="120"/>
      <c r="AW3913" s="121"/>
      <c r="AX3913" s="120"/>
      <c r="AY3913" s="121"/>
      <c r="AZ3913" s="138"/>
    </row>
    <row r="3914" spans="1:52" ht="17.100000000000001" customHeight="1" thickTop="1">
      <c r="A3914" s="109" t="s">
        <v>12097</v>
      </c>
      <c r="B3914" s="28">
        <v>45990</v>
      </c>
      <c r="C3914" s="25">
        <v>1278</v>
      </c>
      <c r="D3914" s="13" t="s">
        <v>2442</v>
      </c>
      <c r="E3914" s="111"/>
      <c r="F3914" s="113" t="s">
        <v>1871</v>
      </c>
      <c r="G3914" s="114"/>
      <c r="H3914" s="115"/>
      <c r="I3914" s="24"/>
      <c r="J3914" s="116">
        <v>4</v>
      </c>
      <c r="K3914" s="118">
        <v>1505000</v>
      </c>
      <c r="L3914" s="119"/>
      <c r="M3914" s="118">
        <f t="shared" ref="M3914" si="3811">K3914*0.1</f>
        <v>150500</v>
      </c>
      <c r="N3914" s="119"/>
      <c r="O3914" s="118">
        <v>0</v>
      </c>
      <c r="P3914" s="119"/>
      <c r="Q3914" s="118">
        <v>19440</v>
      </c>
      <c r="R3914" s="119"/>
      <c r="S3914" s="118">
        <v>16500</v>
      </c>
      <c r="T3914" s="119"/>
      <c r="U3914" s="118">
        <f t="shared" ref="U3914" si="3812">SUM(K3914:T3915)</f>
        <v>1691440</v>
      </c>
      <c r="V3914" s="122"/>
      <c r="W3914" s="124"/>
      <c r="X3914" s="126" t="s">
        <v>12694</v>
      </c>
      <c r="Y3914" s="127"/>
      <c r="Z3914" s="127"/>
      <c r="AA3914" s="127"/>
      <c r="AB3914" s="128"/>
      <c r="AC3914" s="15" t="s">
        <v>20</v>
      </c>
      <c r="AD3914" s="129" t="s">
        <v>1565</v>
      </c>
      <c r="AE3914" s="130"/>
      <c r="AF3914" s="130"/>
      <c r="AG3914" s="130"/>
      <c r="AH3914" s="130"/>
      <c r="AI3914" s="131"/>
      <c r="AJ3914" s="132"/>
      <c r="AK3914" s="127"/>
      <c r="AL3914" s="128"/>
      <c r="AM3914" s="21"/>
      <c r="AN3914" s="133">
        <v>45997</v>
      </c>
      <c r="AO3914" s="134"/>
      <c r="AP3914" s="135">
        <v>1279</v>
      </c>
      <c r="AQ3914" s="136"/>
      <c r="AR3914" s="118">
        <v>1705000</v>
      </c>
      <c r="AS3914" s="119"/>
      <c r="AT3914" s="118">
        <f t="shared" ref="AT3914" si="3813">AR3914*0.1</f>
        <v>170500</v>
      </c>
      <c r="AU3914" s="119"/>
      <c r="AV3914" s="118">
        <v>19440</v>
      </c>
      <c r="AW3914" s="119"/>
      <c r="AX3914" s="118">
        <f t="shared" ref="AX3914" si="3814">SUM(AR3914:AW3914)</f>
        <v>1894940</v>
      </c>
      <c r="AY3914" s="119"/>
      <c r="AZ3914" s="137">
        <v>46001</v>
      </c>
    </row>
    <row r="3915" spans="1:52" ht="17.100000000000001" customHeight="1" thickBot="1">
      <c r="A3915" s="110"/>
      <c r="B3915" s="27" t="s">
        <v>2511</v>
      </c>
      <c r="C3915" s="27">
        <v>82452</v>
      </c>
      <c r="D3915" s="14" t="s">
        <v>904</v>
      </c>
      <c r="E3915" s="112"/>
      <c r="F3915" s="139" t="s">
        <v>12047</v>
      </c>
      <c r="G3915" s="140"/>
      <c r="H3915" s="141"/>
      <c r="I3915" s="26">
        <v>22985</v>
      </c>
      <c r="J3915" s="117"/>
      <c r="K3915" s="120"/>
      <c r="L3915" s="121"/>
      <c r="M3915" s="120"/>
      <c r="N3915" s="121"/>
      <c r="O3915" s="120"/>
      <c r="P3915" s="121"/>
      <c r="Q3915" s="120"/>
      <c r="R3915" s="121"/>
      <c r="S3915" s="120"/>
      <c r="T3915" s="121"/>
      <c r="U3915" s="120"/>
      <c r="V3915" s="123"/>
      <c r="W3915" s="125"/>
      <c r="X3915" s="142" t="s">
        <v>12695</v>
      </c>
      <c r="Y3915" s="143"/>
      <c r="Z3915" s="143"/>
      <c r="AA3915" s="143"/>
      <c r="AB3915" s="144"/>
      <c r="AC3915" s="16" t="s">
        <v>21</v>
      </c>
      <c r="AD3915" s="17" t="s">
        <v>12686</v>
      </c>
      <c r="AE3915" s="145" t="s">
        <v>1742</v>
      </c>
      <c r="AF3915" s="146"/>
      <c r="AG3915" s="146"/>
      <c r="AH3915" s="146"/>
      <c r="AI3915" s="147"/>
      <c r="AJ3915" s="148"/>
      <c r="AK3915" s="143"/>
      <c r="AL3915" s="144"/>
      <c r="AM3915" s="22"/>
      <c r="AN3915" s="149" t="s">
        <v>2511</v>
      </c>
      <c r="AO3915" s="144"/>
      <c r="AP3915" s="148">
        <v>80098</v>
      </c>
      <c r="AQ3915" s="144"/>
      <c r="AR3915" s="120"/>
      <c r="AS3915" s="121"/>
      <c r="AT3915" s="120"/>
      <c r="AU3915" s="121"/>
      <c r="AV3915" s="120"/>
      <c r="AW3915" s="121"/>
      <c r="AX3915" s="120"/>
      <c r="AY3915" s="121"/>
      <c r="AZ3915" s="138"/>
    </row>
    <row r="3916" spans="1:52" ht="17.100000000000001" customHeight="1" thickTop="1">
      <c r="A3916" s="151" t="s">
        <v>12098</v>
      </c>
      <c r="B3916" s="28">
        <v>45990</v>
      </c>
      <c r="C3916" s="25">
        <v>1521</v>
      </c>
      <c r="D3916" s="13" t="s">
        <v>2298</v>
      </c>
      <c r="E3916" s="111"/>
      <c r="F3916" s="113" t="s">
        <v>9965</v>
      </c>
      <c r="G3916" s="114"/>
      <c r="H3916" s="115"/>
      <c r="I3916" s="24" t="s">
        <v>12022</v>
      </c>
      <c r="J3916" s="116">
        <v>4.5</v>
      </c>
      <c r="K3916" s="118">
        <v>1865000</v>
      </c>
      <c r="L3916" s="119"/>
      <c r="M3916" s="118">
        <f t="shared" ref="M3916" si="3815">K3916*0.1</f>
        <v>186500</v>
      </c>
      <c r="N3916" s="119"/>
      <c r="O3916" s="118">
        <v>0</v>
      </c>
      <c r="P3916" s="119"/>
      <c r="Q3916" s="118">
        <v>17800</v>
      </c>
      <c r="R3916" s="119"/>
      <c r="S3916" s="118">
        <v>16500</v>
      </c>
      <c r="T3916" s="119"/>
      <c r="U3916" s="118">
        <f t="shared" ref="U3916" si="3816">SUM(K3916:T3917)</f>
        <v>2085800</v>
      </c>
      <c r="V3916" s="122"/>
      <c r="W3916" s="124"/>
      <c r="X3916" s="126" t="s">
        <v>12540</v>
      </c>
      <c r="Y3916" s="127"/>
      <c r="Z3916" s="127"/>
      <c r="AA3916" s="127"/>
      <c r="AB3916" s="128"/>
      <c r="AC3916" s="15" t="s">
        <v>20</v>
      </c>
      <c r="AD3916" s="129" t="s">
        <v>3412</v>
      </c>
      <c r="AE3916" s="130"/>
      <c r="AF3916" s="130"/>
      <c r="AG3916" s="130"/>
      <c r="AH3916" s="130"/>
      <c r="AI3916" s="131"/>
      <c r="AJ3916" s="132" t="s">
        <v>13555</v>
      </c>
      <c r="AK3916" s="127"/>
      <c r="AL3916" s="128"/>
      <c r="AM3916" s="21"/>
      <c r="AN3916" s="133"/>
      <c r="AO3916" s="134"/>
      <c r="AP3916" s="135"/>
      <c r="AQ3916" s="136"/>
      <c r="AR3916" s="118"/>
      <c r="AS3916" s="119"/>
      <c r="AT3916" s="118">
        <f t="shared" ref="AT3916" si="3817">AR3916*0.1</f>
        <v>0</v>
      </c>
      <c r="AU3916" s="119"/>
      <c r="AV3916" s="118"/>
      <c r="AW3916" s="119"/>
      <c r="AX3916" s="118">
        <f t="shared" ref="AX3916" si="3818">SUM(AR3916:AW3916)</f>
        <v>0</v>
      </c>
      <c r="AY3916" s="119"/>
      <c r="AZ3916" s="137"/>
    </row>
    <row r="3917" spans="1:52" ht="17.100000000000001" customHeight="1" thickBot="1">
      <c r="A3917" s="152"/>
      <c r="B3917" s="27" t="s">
        <v>1555</v>
      </c>
      <c r="C3917" s="27">
        <v>83052</v>
      </c>
      <c r="D3917" s="14" t="s">
        <v>904</v>
      </c>
      <c r="E3917" s="112"/>
      <c r="F3917" s="139" t="s">
        <v>12021</v>
      </c>
      <c r="G3917" s="140"/>
      <c r="H3917" s="141"/>
      <c r="I3917" s="26">
        <v>36746</v>
      </c>
      <c r="J3917" s="117"/>
      <c r="K3917" s="120"/>
      <c r="L3917" s="121"/>
      <c r="M3917" s="120"/>
      <c r="N3917" s="121"/>
      <c r="O3917" s="120"/>
      <c r="P3917" s="121"/>
      <c r="Q3917" s="120"/>
      <c r="R3917" s="121"/>
      <c r="S3917" s="120"/>
      <c r="T3917" s="121"/>
      <c r="U3917" s="120"/>
      <c r="V3917" s="123"/>
      <c r="W3917" s="125"/>
      <c r="X3917" s="142" t="s">
        <v>12541</v>
      </c>
      <c r="Y3917" s="143"/>
      <c r="Z3917" s="143"/>
      <c r="AA3917" s="143"/>
      <c r="AB3917" s="144"/>
      <c r="AC3917" s="16" t="s">
        <v>21</v>
      </c>
      <c r="AD3917" s="17" t="s">
        <v>1751</v>
      </c>
      <c r="AE3917" s="145" t="s">
        <v>1614</v>
      </c>
      <c r="AF3917" s="146"/>
      <c r="AG3917" s="146"/>
      <c r="AH3917" s="146"/>
      <c r="AI3917" s="147"/>
      <c r="AJ3917" s="148"/>
      <c r="AK3917" s="143"/>
      <c r="AL3917" s="144"/>
      <c r="AM3917" s="22"/>
      <c r="AN3917" s="149"/>
      <c r="AO3917" s="144"/>
      <c r="AP3917" s="148"/>
      <c r="AQ3917" s="144"/>
      <c r="AR3917" s="120"/>
      <c r="AS3917" s="121"/>
      <c r="AT3917" s="120"/>
      <c r="AU3917" s="121"/>
      <c r="AV3917" s="120"/>
      <c r="AW3917" s="121"/>
      <c r="AX3917" s="120"/>
      <c r="AY3917" s="121"/>
      <c r="AZ3917" s="138"/>
    </row>
    <row r="3918" spans="1:52" ht="17.100000000000001" customHeight="1" thickTop="1">
      <c r="A3918" s="109" t="s">
        <v>12099</v>
      </c>
      <c r="B3918" s="28">
        <v>45990</v>
      </c>
      <c r="C3918" s="25">
        <v>1521</v>
      </c>
      <c r="D3918" s="13" t="s">
        <v>1640</v>
      </c>
      <c r="E3918" s="111"/>
      <c r="F3918" s="113" t="s">
        <v>2732</v>
      </c>
      <c r="G3918" s="114"/>
      <c r="H3918" s="115"/>
      <c r="I3918" s="24" t="s">
        <v>12024</v>
      </c>
      <c r="J3918" s="116">
        <v>4.5</v>
      </c>
      <c r="K3918" s="118">
        <v>730000</v>
      </c>
      <c r="L3918" s="119"/>
      <c r="M3918" s="118">
        <f t="shared" ref="M3918" si="3819">K3918*0.1</f>
        <v>73000</v>
      </c>
      <c r="N3918" s="119"/>
      <c r="O3918" s="118">
        <f>13100+1310</f>
        <v>14410</v>
      </c>
      <c r="P3918" s="119"/>
      <c r="Q3918" s="118">
        <v>19090</v>
      </c>
      <c r="R3918" s="119"/>
      <c r="S3918" s="118">
        <v>16500</v>
      </c>
      <c r="T3918" s="119"/>
      <c r="U3918" s="118">
        <f t="shared" ref="U3918" si="3820">SUM(K3918:T3919)</f>
        <v>853000</v>
      </c>
      <c r="V3918" s="122"/>
      <c r="W3918" s="124"/>
      <c r="X3918" s="126" t="s">
        <v>12025</v>
      </c>
      <c r="Y3918" s="127"/>
      <c r="Z3918" s="127"/>
      <c r="AA3918" s="127"/>
      <c r="AB3918" s="128"/>
      <c r="AC3918" s="15" t="s">
        <v>20</v>
      </c>
      <c r="AD3918" s="129"/>
      <c r="AE3918" s="130"/>
      <c r="AF3918" s="130"/>
      <c r="AG3918" s="130"/>
      <c r="AH3918" s="130"/>
      <c r="AI3918" s="131"/>
      <c r="AJ3918" s="132"/>
      <c r="AK3918" s="127"/>
      <c r="AL3918" s="128"/>
      <c r="AM3918" s="21"/>
      <c r="AN3918" s="133">
        <v>46060</v>
      </c>
      <c r="AO3918" s="134"/>
      <c r="AP3918" s="135">
        <v>1287</v>
      </c>
      <c r="AQ3918" s="136"/>
      <c r="AR3918" s="118">
        <v>825000</v>
      </c>
      <c r="AS3918" s="119"/>
      <c r="AT3918" s="118">
        <f t="shared" ref="AT3918" si="3821">AR3918*0.1</f>
        <v>82500</v>
      </c>
      <c r="AU3918" s="119"/>
      <c r="AV3918" s="118">
        <v>19090</v>
      </c>
      <c r="AW3918" s="119"/>
      <c r="AX3918" s="118">
        <f t="shared" ref="AX3918" si="3822">SUM(AR3918:AW3918)</f>
        <v>926590</v>
      </c>
      <c r="AY3918" s="119"/>
      <c r="AZ3918" s="137">
        <v>46063</v>
      </c>
    </row>
    <row r="3919" spans="1:52" ht="17.100000000000001" customHeight="1" thickBot="1">
      <c r="A3919" s="110"/>
      <c r="B3919" s="27" t="s">
        <v>1555</v>
      </c>
      <c r="C3919" s="27">
        <v>83076</v>
      </c>
      <c r="D3919" s="14" t="s">
        <v>3327</v>
      </c>
      <c r="E3919" s="112"/>
      <c r="F3919" s="139" t="s">
        <v>12023</v>
      </c>
      <c r="G3919" s="140"/>
      <c r="H3919" s="141"/>
      <c r="I3919" s="26">
        <v>83713</v>
      </c>
      <c r="J3919" s="117"/>
      <c r="K3919" s="120"/>
      <c r="L3919" s="121"/>
      <c r="M3919" s="120"/>
      <c r="N3919" s="121"/>
      <c r="O3919" s="120"/>
      <c r="P3919" s="121"/>
      <c r="Q3919" s="120"/>
      <c r="R3919" s="121"/>
      <c r="S3919" s="120"/>
      <c r="T3919" s="121"/>
      <c r="U3919" s="120"/>
      <c r="V3919" s="123"/>
      <c r="W3919" s="125"/>
      <c r="X3919" s="142" t="s">
        <v>12539</v>
      </c>
      <c r="Y3919" s="143"/>
      <c r="Z3919" s="143"/>
      <c r="AA3919" s="143"/>
      <c r="AB3919" s="144"/>
      <c r="AC3919" s="16" t="s">
        <v>21</v>
      </c>
      <c r="AD3919" s="17" t="s">
        <v>1751</v>
      </c>
      <c r="AE3919" s="145" t="s">
        <v>1742</v>
      </c>
      <c r="AF3919" s="146"/>
      <c r="AG3919" s="146"/>
      <c r="AH3919" s="146"/>
      <c r="AI3919" s="147"/>
      <c r="AJ3919" s="148"/>
      <c r="AK3919" s="143"/>
      <c r="AL3919" s="144"/>
      <c r="AM3919" s="22"/>
      <c r="AN3919" s="149" t="s">
        <v>7284</v>
      </c>
      <c r="AO3919" s="144"/>
      <c r="AP3919" s="148">
        <v>80195</v>
      </c>
      <c r="AQ3919" s="144"/>
      <c r="AR3919" s="120"/>
      <c r="AS3919" s="121"/>
      <c r="AT3919" s="120"/>
      <c r="AU3919" s="121"/>
      <c r="AV3919" s="120"/>
      <c r="AW3919" s="121"/>
      <c r="AX3919" s="120"/>
      <c r="AY3919" s="121"/>
      <c r="AZ3919" s="138"/>
    </row>
    <row r="3920" spans="1:52" ht="17.100000000000001" customHeight="1" thickTop="1">
      <c r="A3920" s="109" t="s">
        <v>12100</v>
      </c>
      <c r="B3920" s="28">
        <v>45990</v>
      </c>
      <c r="C3920" s="25">
        <v>1521</v>
      </c>
      <c r="D3920" s="13" t="s">
        <v>2970</v>
      </c>
      <c r="E3920" s="111"/>
      <c r="F3920" s="113" t="s">
        <v>12043</v>
      </c>
      <c r="G3920" s="114"/>
      <c r="H3920" s="115"/>
      <c r="I3920" s="24" t="s">
        <v>12045</v>
      </c>
      <c r="J3920" s="116">
        <v>4.5</v>
      </c>
      <c r="K3920" s="118">
        <v>1900000</v>
      </c>
      <c r="L3920" s="119"/>
      <c r="M3920" s="118">
        <f t="shared" ref="M3920" si="3823">K3920*0.1</f>
        <v>190000</v>
      </c>
      <c r="N3920" s="119"/>
      <c r="O3920" s="118">
        <f>10100+1010</f>
        <v>11110</v>
      </c>
      <c r="P3920" s="119"/>
      <c r="Q3920" s="118">
        <v>17930</v>
      </c>
      <c r="R3920" s="119"/>
      <c r="S3920" s="118">
        <v>16500</v>
      </c>
      <c r="T3920" s="119"/>
      <c r="U3920" s="118">
        <f t="shared" ref="U3920" si="3824">SUM(K3920:T3921)</f>
        <v>2135540</v>
      </c>
      <c r="V3920" s="122"/>
      <c r="W3920" s="124"/>
      <c r="X3920" s="126" t="s">
        <v>12046</v>
      </c>
      <c r="Y3920" s="127"/>
      <c r="Z3920" s="127"/>
      <c r="AA3920" s="127"/>
      <c r="AB3920" s="128"/>
      <c r="AC3920" s="15" t="s">
        <v>20</v>
      </c>
      <c r="AD3920" s="129"/>
      <c r="AE3920" s="130"/>
      <c r="AF3920" s="130"/>
      <c r="AG3920" s="130"/>
      <c r="AH3920" s="130"/>
      <c r="AI3920" s="131"/>
      <c r="AJ3920" s="132"/>
      <c r="AK3920" s="127"/>
      <c r="AL3920" s="128"/>
      <c r="AM3920" s="21"/>
      <c r="AN3920" s="133">
        <v>46002</v>
      </c>
      <c r="AO3920" s="134"/>
      <c r="AP3920" s="135">
        <v>1310</v>
      </c>
      <c r="AQ3920" s="136"/>
      <c r="AR3920" s="118">
        <v>2065000</v>
      </c>
      <c r="AS3920" s="119"/>
      <c r="AT3920" s="118">
        <f t="shared" ref="AT3920" si="3825">AR3920*0.1</f>
        <v>206500</v>
      </c>
      <c r="AU3920" s="119"/>
      <c r="AV3920" s="118">
        <v>17930</v>
      </c>
      <c r="AW3920" s="119"/>
      <c r="AX3920" s="118">
        <f t="shared" ref="AX3920" si="3826">SUM(AR3920:AW3920)</f>
        <v>2289430</v>
      </c>
      <c r="AY3920" s="119"/>
      <c r="AZ3920" s="137">
        <v>46003</v>
      </c>
    </row>
    <row r="3921" spans="1:52" ht="17.100000000000001" customHeight="1" thickBot="1">
      <c r="A3921" s="110"/>
      <c r="B3921" s="27" t="s">
        <v>1555</v>
      </c>
      <c r="C3921" s="27">
        <v>83153</v>
      </c>
      <c r="D3921" s="14" t="s">
        <v>2800</v>
      </c>
      <c r="E3921" s="112"/>
      <c r="F3921" s="139" t="s">
        <v>12044</v>
      </c>
      <c r="G3921" s="140"/>
      <c r="H3921" s="141"/>
      <c r="I3921" s="26">
        <v>44429</v>
      </c>
      <c r="J3921" s="117"/>
      <c r="K3921" s="120"/>
      <c r="L3921" s="121"/>
      <c r="M3921" s="120"/>
      <c r="N3921" s="121"/>
      <c r="O3921" s="120"/>
      <c r="P3921" s="121"/>
      <c r="Q3921" s="120"/>
      <c r="R3921" s="121"/>
      <c r="S3921" s="120"/>
      <c r="T3921" s="121"/>
      <c r="U3921" s="120"/>
      <c r="V3921" s="123"/>
      <c r="W3921" s="125"/>
      <c r="X3921" s="142" t="s">
        <v>12538</v>
      </c>
      <c r="Y3921" s="143"/>
      <c r="Z3921" s="143"/>
      <c r="AA3921" s="143"/>
      <c r="AB3921" s="144"/>
      <c r="AC3921" s="16" t="s">
        <v>21</v>
      </c>
      <c r="AD3921" s="17" t="s">
        <v>1751</v>
      </c>
      <c r="AE3921" s="145" t="s">
        <v>1614</v>
      </c>
      <c r="AF3921" s="146"/>
      <c r="AG3921" s="146"/>
      <c r="AH3921" s="146"/>
      <c r="AI3921" s="147"/>
      <c r="AJ3921" s="148"/>
      <c r="AK3921" s="143"/>
      <c r="AL3921" s="144"/>
      <c r="AM3921" s="22"/>
      <c r="AN3921" s="149" t="s">
        <v>1747</v>
      </c>
      <c r="AO3921" s="144"/>
      <c r="AP3921" s="148">
        <v>329</v>
      </c>
      <c r="AQ3921" s="144"/>
      <c r="AR3921" s="120"/>
      <c r="AS3921" s="121"/>
      <c r="AT3921" s="120"/>
      <c r="AU3921" s="121"/>
      <c r="AV3921" s="120"/>
      <c r="AW3921" s="121"/>
      <c r="AX3921" s="120"/>
      <c r="AY3921" s="121"/>
      <c r="AZ3921" s="138"/>
    </row>
    <row r="3922" spans="1:52" ht="17.100000000000001" customHeight="1" thickTop="1">
      <c r="A3922" s="109" t="s">
        <v>12137</v>
      </c>
      <c r="B3922" s="28">
        <v>45992</v>
      </c>
      <c r="C3922" s="25">
        <v>73</v>
      </c>
      <c r="D3922" s="13" t="s">
        <v>2141</v>
      </c>
      <c r="E3922" s="111"/>
      <c r="F3922" s="113" t="s">
        <v>12119</v>
      </c>
      <c r="G3922" s="114"/>
      <c r="H3922" s="115"/>
      <c r="I3922" s="24" t="s">
        <v>4109</v>
      </c>
      <c r="J3922" s="116">
        <v>3.5</v>
      </c>
      <c r="K3922" s="118">
        <v>470000</v>
      </c>
      <c r="L3922" s="119"/>
      <c r="M3922" s="118">
        <f t="shared" ref="M3922" si="3827">K3922*0.1</f>
        <v>47000</v>
      </c>
      <c r="N3922" s="119"/>
      <c r="O3922" s="118">
        <f>8600+860</f>
        <v>9460</v>
      </c>
      <c r="P3922" s="119"/>
      <c r="Q3922" s="118">
        <v>9130</v>
      </c>
      <c r="R3922" s="119"/>
      <c r="S3922" s="118">
        <v>33000</v>
      </c>
      <c r="T3922" s="119"/>
      <c r="U3922" s="118">
        <f t="shared" ref="U3922" si="3828">SUM(K3922:T3923)</f>
        <v>568590</v>
      </c>
      <c r="V3922" s="122"/>
      <c r="W3922" s="124"/>
      <c r="X3922" s="126" t="s">
        <v>14174</v>
      </c>
      <c r="Y3922" s="127"/>
      <c r="Z3922" s="127"/>
      <c r="AA3922" s="127"/>
      <c r="AB3922" s="128"/>
      <c r="AC3922" s="15" t="s">
        <v>20</v>
      </c>
      <c r="AD3922" s="129" t="s">
        <v>11413</v>
      </c>
      <c r="AE3922" s="130"/>
      <c r="AF3922" s="130"/>
      <c r="AG3922" s="130"/>
      <c r="AH3922" s="130"/>
      <c r="AI3922" s="131"/>
      <c r="AJ3922" s="132"/>
      <c r="AK3922" s="127"/>
      <c r="AL3922" s="128"/>
      <c r="AM3922" s="21"/>
      <c r="AN3922" s="133">
        <v>46015</v>
      </c>
      <c r="AO3922" s="134"/>
      <c r="AP3922" s="135">
        <v>998</v>
      </c>
      <c r="AQ3922" s="136"/>
      <c r="AR3922" s="118">
        <v>690000</v>
      </c>
      <c r="AS3922" s="119"/>
      <c r="AT3922" s="118">
        <f t="shared" ref="AT3922" si="3829">AR3922*0.1</f>
        <v>69000</v>
      </c>
      <c r="AU3922" s="119"/>
      <c r="AV3922" s="118">
        <v>9130</v>
      </c>
      <c r="AW3922" s="119"/>
      <c r="AX3922" s="118">
        <f t="shared" ref="AX3922" si="3830">SUM(AR3922:AW3922)</f>
        <v>768130</v>
      </c>
      <c r="AY3922" s="119"/>
      <c r="AZ3922" s="137">
        <v>46027</v>
      </c>
    </row>
    <row r="3923" spans="1:52" ht="17.100000000000001" customHeight="1" thickBot="1">
      <c r="A3923" s="110"/>
      <c r="B3923" s="27" t="s">
        <v>4544</v>
      </c>
      <c r="C3923" s="27">
        <v>1011</v>
      </c>
      <c r="D3923" s="14" t="s">
        <v>1720</v>
      </c>
      <c r="E3923" s="112"/>
      <c r="F3923" s="139" t="s">
        <v>12115</v>
      </c>
      <c r="G3923" s="140"/>
      <c r="H3923" s="141"/>
      <c r="I3923" s="26">
        <v>58689</v>
      </c>
      <c r="J3923" s="117"/>
      <c r="K3923" s="120"/>
      <c r="L3923" s="121"/>
      <c r="M3923" s="120"/>
      <c r="N3923" s="121"/>
      <c r="O3923" s="120"/>
      <c r="P3923" s="121"/>
      <c r="Q3923" s="120"/>
      <c r="R3923" s="121"/>
      <c r="S3923" s="120"/>
      <c r="T3923" s="121"/>
      <c r="U3923" s="120"/>
      <c r="V3923" s="123"/>
      <c r="W3923" s="125"/>
      <c r="X3923" s="142" t="s">
        <v>14175</v>
      </c>
      <c r="Y3923" s="143"/>
      <c r="Z3923" s="143"/>
      <c r="AA3923" s="143"/>
      <c r="AB3923" s="144"/>
      <c r="AC3923" s="16" t="s">
        <v>21</v>
      </c>
      <c r="AD3923" s="17" t="s">
        <v>14134</v>
      </c>
      <c r="AE3923" s="145" t="s">
        <v>14176</v>
      </c>
      <c r="AF3923" s="146"/>
      <c r="AG3923" s="146"/>
      <c r="AH3923" s="146"/>
      <c r="AI3923" s="147"/>
      <c r="AJ3923" s="148"/>
      <c r="AK3923" s="143"/>
      <c r="AL3923" s="144"/>
      <c r="AM3923" s="22"/>
      <c r="AN3923" s="149" t="s">
        <v>9053</v>
      </c>
      <c r="AO3923" s="144"/>
      <c r="AP3923" s="148">
        <v>1100</v>
      </c>
      <c r="AQ3923" s="144"/>
      <c r="AR3923" s="120"/>
      <c r="AS3923" s="121"/>
      <c r="AT3923" s="120"/>
      <c r="AU3923" s="121"/>
      <c r="AV3923" s="120"/>
      <c r="AW3923" s="121"/>
      <c r="AX3923" s="120"/>
      <c r="AY3923" s="121"/>
      <c r="AZ3923" s="138"/>
    </row>
    <row r="3924" spans="1:52" ht="17.100000000000001" customHeight="1" thickTop="1">
      <c r="A3924" s="109" t="s">
        <v>12138</v>
      </c>
      <c r="B3924" s="28">
        <v>45992</v>
      </c>
      <c r="C3924" s="25">
        <v>73</v>
      </c>
      <c r="D3924" s="13" t="s">
        <v>2196</v>
      </c>
      <c r="E3924" s="111"/>
      <c r="F3924" s="113" t="s">
        <v>4720</v>
      </c>
      <c r="G3924" s="114"/>
      <c r="H3924" s="115"/>
      <c r="I3924" s="24" t="s">
        <v>4390</v>
      </c>
      <c r="J3924" s="116">
        <v>4.5</v>
      </c>
      <c r="K3924" s="118">
        <v>855000</v>
      </c>
      <c r="L3924" s="119"/>
      <c r="M3924" s="118">
        <f t="shared" ref="M3924" si="3831">K3924*0.1</f>
        <v>85500</v>
      </c>
      <c r="N3924" s="119"/>
      <c r="O3924" s="118">
        <v>0</v>
      </c>
      <c r="P3924" s="119"/>
      <c r="Q3924" s="118">
        <v>8400</v>
      </c>
      <c r="R3924" s="119"/>
      <c r="S3924" s="118">
        <v>33000</v>
      </c>
      <c r="T3924" s="119"/>
      <c r="U3924" s="118">
        <f t="shared" ref="U3924" si="3832">SUM(K3924:T3925)</f>
        <v>981900</v>
      </c>
      <c r="V3924" s="122"/>
      <c r="W3924" s="124"/>
      <c r="X3924" s="126" t="s">
        <v>14236</v>
      </c>
      <c r="Y3924" s="127"/>
      <c r="Z3924" s="127"/>
      <c r="AA3924" s="127"/>
      <c r="AB3924" s="128"/>
      <c r="AC3924" s="15" t="s">
        <v>20</v>
      </c>
      <c r="AD3924" s="129" t="s">
        <v>11397</v>
      </c>
      <c r="AE3924" s="130"/>
      <c r="AF3924" s="130"/>
      <c r="AG3924" s="130"/>
      <c r="AH3924" s="130"/>
      <c r="AI3924" s="131"/>
      <c r="AJ3924" s="132"/>
      <c r="AK3924" s="127"/>
      <c r="AL3924" s="128"/>
      <c r="AM3924" s="21" t="s">
        <v>14925</v>
      </c>
      <c r="AN3924" s="133">
        <v>46035</v>
      </c>
      <c r="AO3924" s="134"/>
      <c r="AP3924" s="135">
        <v>1924</v>
      </c>
      <c r="AQ3924" s="136"/>
      <c r="AR3924" s="118">
        <v>908000</v>
      </c>
      <c r="AS3924" s="119"/>
      <c r="AT3924" s="118">
        <f t="shared" ref="AT3924" si="3833">AR3924*0.1</f>
        <v>90800</v>
      </c>
      <c r="AU3924" s="119"/>
      <c r="AV3924" s="118">
        <v>8400</v>
      </c>
      <c r="AW3924" s="119"/>
      <c r="AX3924" s="118">
        <f t="shared" ref="AX3924" si="3834">SUM(AR3924:AW3924)</f>
        <v>1007200</v>
      </c>
      <c r="AY3924" s="119"/>
      <c r="AZ3924" s="137"/>
    </row>
    <row r="3925" spans="1:52" ht="17.100000000000001" customHeight="1" thickBot="1">
      <c r="A3925" s="110"/>
      <c r="B3925" s="27" t="s">
        <v>4544</v>
      </c>
      <c r="C3925" s="27">
        <v>1023</v>
      </c>
      <c r="D3925" s="14" t="s">
        <v>12120</v>
      </c>
      <c r="E3925" s="112"/>
      <c r="F3925" s="139" t="s">
        <v>12116</v>
      </c>
      <c r="G3925" s="140"/>
      <c r="H3925" s="141"/>
      <c r="I3925" s="26">
        <v>55545</v>
      </c>
      <c r="J3925" s="117"/>
      <c r="K3925" s="120"/>
      <c r="L3925" s="121"/>
      <c r="M3925" s="120"/>
      <c r="N3925" s="121"/>
      <c r="O3925" s="120"/>
      <c r="P3925" s="121"/>
      <c r="Q3925" s="120"/>
      <c r="R3925" s="121"/>
      <c r="S3925" s="120"/>
      <c r="T3925" s="121"/>
      <c r="U3925" s="120"/>
      <c r="V3925" s="123"/>
      <c r="W3925" s="125"/>
      <c r="X3925" s="142" t="s">
        <v>2955</v>
      </c>
      <c r="Y3925" s="143"/>
      <c r="Z3925" s="143"/>
      <c r="AA3925" s="143"/>
      <c r="AB3925" s="144"/>
      <c r="AC3925" s="16" t="s">
        <v>21</v>
      </c>
      <c r="AD3925" s="17" t="s">
        <v>14134</v>
      </c>
      <c r="AE3925" s="145" t="s">
        <v>1609</v>
      </c>
      <c r="AF3925" s="146"/>
      <c r="AG3925" s="146"/>
      <c r="AH3925" s="146"/>
      <c r="AI3925" s="147"/>
      <c r="AJ3925" s="148"/>
      <c r="AK3925" s="143"/>
      <c r="AL3925" s="144"/>
      <c r="AM3925" s="22"/>
      <c r="AN3925" s="149" t="s">
        <v>2131</v>
      </c>
      <c r="AO3925" s="144"/>
      <c r="AP3925" s="148">
        <v>3147</v>
      </c>
      <c r="AQ3925" s="144"/>
      <c r="AR3925" s="120"/>
      <c r="AS3925" s="121"/>
      <c r="AT3925" s="120"/>
      <c r="AU3925" s="121"/>
      <c r="AV3925" s="120"/>
      <c r="AW3925" s="121"/>
      <c r="AX3925" s="120"/>
      <c r="AY3925" s="121"/>
      <c r="AZ3925" s="138"/>
    </row>
    <row r="3926" spans="1:52" ht="17.100000000000001" customHeight="1" thickTop="1">
      <c r="A3926" s="109" t="s">
        <v>12139</v>
      </c>
      <c r="B3926" s="28">
        <v>45992</v>
      </c>
      <c r="C3926" s="25">
        <v>73</v>
      </c>
      <c r="D3926" s="13" t="s">
        <v>3461</v>
      </c>
      <c r="E3926" s="111"/>
      <c r="F3926" s="113" t="s">
        <v>12121</v>
      </c>
      <c r="G3926" s="114"/>
      <c r="H3926" s="115"/>
      <c r="I3926" s="24" t="s">
        <v>2858</v>
      </c>
      <c r="J3926" s="116">
        <v>4.5</v>
      </c>
      <c r="K3926" s="118">
        <v>1245000</v>
      </c>
      <c r="L3926" s="119"/>
      <c r="M3926" s="118">
        <f t="shared" ref="M3926" si="3835">K3926*0.1</f>
        <v>124500</v>
      </c>
      <c r="N3926" s="119"/>
      <c r="O3926" s="118">
        <v>0</v>
      </c>
      <c r="P3926" s="119"/>
      <c r="Q3926" s="118">
        <v>8200</v>
      </c>
      <c r="R3926" s="119"/>
      <c r="S3926" s="118">
        <v>44000</v>
      </c>
      <c r="T3926" s="119"/>
      <c r="U3926" s="118">
        <f t="shared" ref="U3926" si="3836">SUM(K3926:T3927)</f>
        <v>1421700</v>
      </c>
      <c r="V3926" s="122"/>
      <c r="W3926" s="124"/>
      <c r="X3926" s="126" t="s">
        <v>13923</v>
      </c>
      <c r="Y3926" s="127"/>
      <c r="Z3926" s="127"/>
      <c r="AA3926" s="127"/>
      <c r="AB3926" s="128"/>
      <c r="AC3926" s="15" t="s">
        <v>20</v>
      </c>
      <c r="AD3926" s="129" t="s">
        <v>11413</v>
      </c>
      <c r="AE3926" s="130"/>
      <c r="AF3926" s="130"/>
      <c r="AG3926" s="130"/>
      <c r="AH3926" s="130"/>
      <c r="AI3926" s="131"/>
      <c r="AJ3926" s="132"/>
      <c r="AK3926" s="127"/>
      <c r="AL3926" s="128"/>
      <c r="AM3926" s="21"/>
      <c r="AN3926" s="133">
        <v>46035</v>
      </c>
      <c r="AO3926" s="134"/>
      <c r="AP3926" s="135">
        <v>1924</v>
      </c>
      <c r="AQ3926" s="136"/>
      <c r="AR3926" s="118">
        <v>1295000</v>
      </c>
      <c r="AS3926" s="119"/>
      <c r="AT3926" s="118">
        <f t="shared" ref="AT3926" si="3837">AR3926*0.1</f>
        <v>129500</v>
      </c>
      <c r="AU3926" s="119"/>
      <c r="AV3926" s="118">
        <v>8200</v>
      </c>
      <c r="AW3926" s="119"/>
      <c r="AX3926" s="118">
        <f t="shared" ref="AX3926" si="3838">SUM(AR3926:AW3926)</f>
        <v>1432700</v>
      </c>
      <c r="AY3926" s="119"/>
      <c r="AZ3926" s="137"/>
    </row>
    <row r="3927" spans="1:52" ht="17.100000000000001" customHeight="1" thickBot="1">
      <c r="A3927" s="110"/>
      <c r="B3927" s="27" t="s">
        <v>4544</v>
      </c>
      <c r="C3927" s="27">
        <v>1029</v>
      </c>
      <c r="D3927" s="14" t="s">
        <v>2601</v>
      </c>
      <c r="E3927" s="112"/>
      <c r="F3927" s="139" t="s">
        <v>12117</v>
      </c>
      <c r="G3927" s="140"/>
      <c r="H3927" s="141"/>
      <c r="I3927" s="26">
        <v>33908</v>
      </c>
      <c r="J3927" s="117"/>
      <c r="K3927" s="120"/>
      <c r="L3927" s="121"/>
      <c r="M3927" s="120"/>
      <c r="N3927" s="121"/>
      <c r="O3927" s="120"/>
      <c r="P3927" s="121"/>
      <c r="Q3927" s="120"/>
      <c r="R3927" s="121"/>
      <c r="S3927" s="120"/>
      <c r="T3927" s="121"/>
      <c r="U3927" s="120"/>
      <c r="V3927" s="123"/>
      <c r="W3927" s="125"/>
      <c r="X3927" s="142" t="s">
        <v>13924</v>
      </c>
      <c r="Y3927" s="143"/>
      <c r="Z3927" s="143"/>
      <c r="AA3927" s="143"/>
      <c r="AB3927" s="144"/>
      <c r="AC3927" s="16" t="s">
        <v>21</v>
      </c>
      <c r="AD3927" s="17" t="s">
        <v>1809</v>
      </c>
      <c r="AE3927" s="145" t="s">
        <v>2920</v>
      </c>
      <c r="AF3927" s="146"/>
      <c r="AG3927" s="146"/>
      <c r="AH3927" s="146"/>
      <c r="AI3927" s="147"/>
      <c r="AJ3927" s="148"/>
      <c r="AK3927" s="143"/>
      <c r="AL3927" s="144"/>
      <c r="AM3927" s="22" t="s">
        <v>3483</v>
      </c>
      <c r="AN3927" s="149" t="s">
        <v>2131</v>
      </c>
      <c r="AO3927" s="144"/>
      <c r="AP3927" s="148">
        <v>3073</v>
      </c>
      <c r="AQ3927" s="144"/>
      <c r="AR3927" s="120"/>
      <c r="AS3927" s="121"/>
      <c r="AT3927" s="120"/>
      <c r="AU3927" s="121"/>
      <c r="AV3927" s="120"/>
      <c r="AW3927" s="121"/>
      <c r="AX3927" s="120"/>
      <c r="AY3927" s="121"/>
      <c r="AZ3927" s="138"/>
    </row>
    <row r="3928" spans="1:52" ht="17.100000000000001" customHeight="1" thickTop="1">
      <c r="A3928" s="109" t="s">
        <v>12140</v>
      </c>
      <c r="B3928" s="28">
        <v>45992</v>
      </c>
      <c r="C3928" s="25"/>
      <c r="D3928" s="13" t="s">
        <v>1776</v>
      </c>
      <c r="E3928" s="111"/>
      <c r="F3928" s="113" t="s">
        <v>1938</v>
      </c>
      <c r="G3928" s="114"/>
      <c r="H3928" s="115"/>
      <c r="I3928" s="24"/>
      <c r="J3928" s="116">
        <v>4.5</v>
      </c>
      <c r="K3928" s="118">
        <v>402000</v>
      </c>
      <c r="L3928" s="119"/>
      <c r="M3928" s="118">
        <f t="shared" ref="M3928" si="3839">K3928*0.1</f>
        <v>40200</v>
      </c>
      <c r="N3928" s="119"/>
      <c r="O3928" s="118">
        <v>0</v>
      </c>
      <c r="P3928" s="119"/>
      <c r="Q3928" s="118">
        <v>17700</v>
      </c>
      <c r="R3928" s="119"/>
      <c r="S3928" s="118">
        <v>14850</v>
      </c>
      <c r="T3928" s="119"/>
      <c r="U3928" s="118">
        <f t="shared" ref="U3928" si="3840">SUM(K3928:T3929)</f>
        <v>474750</v>
      </c>
      <c r="V3928" s="122"/>
      <c r="W3928" s="124"/>
      <c r="X3928" s="126" t="s">
        <v>12641</v>
      </c>
      <c r="Y3928" s="127"/>
      <c r="Z3928" s="127"/>
      <c r="AA3928" s="127"/>
      <c r="AB3928" s="128"/>
      <c r="AC3928" s="15" t="s">
        <v>20</v>
      </c>
      <c r="AD3928" s="129" t="s">
        <v>1670</v>
      </c>
      <c r="AE3928" s="130"/>
      <c r="AF3928" s="130"/>
      <c r="AG3928" s="130"/>
      <c r="AH3928" s="130"/>
      <c r="AI3928" s="131"/>
      <c r="AJ3928" s="132"/>
      <c r="AK3928" s="127"/>
      <c r="AL3928" s="128"/>
      <c r="AM3928" s="21"/>
      <c r="AN3928" s="133">
        <v>46004</v>
      </c>
      <c r="AO3928" s="134"/>
      <c r="AP3928" s="135">
        <v>1702</v>
      </c>
      <c r="AQ3928" s="136"/>
      <c r="AR3928" s="118">
        <v>490000</v>
      </c>
      <c r="AS3928" s="119"/>
      <c r="AT3928" s="118">
        <f t="shared" ref="AT3928" si="3841">AR3928*0.1</f>
        <v>49000</v>
      </c>
      <c r="AU3928" s="119"/>
      <c r="AV3928" s="118">
        <v>17700</v>
      </c>
      <c r="AW3928" s="119"/>
      <c r="AX3928" s="118">
        <f t="shared" ref="AX3928" si="3842">SUM(AR3928:AW3928)</f>
        <v>556700</v>
      </c>
      <c r="AY3928" s="119"/>
      <c r="AZ3928" s="137">
        <v>46005</v>
      </c>
    </row>
    <row r="3929" spans="1:52" ht="17.100000000000001" customHeight="1" thickBot="1">
      <c r="A3929" s="110"/>
      <c r="B3929" s="27" t="s">
        <v>9959</v>
      </c>
      <c r="C3929" s="27">
        <v>28028</v>
      </c>
      <c r="D3929" s="14" t="s">
        <v>1592</v>
      </c>
      <c r="E3929" s="112"/>
      <c r="F3929" s="139" t="s">
        <v>12102</v>
      </c>
      <c r="G3929" s="140"/>
      <c r="H3929" s="141"/>
      <c r="I3929" s="26">
        <v>59021</v>
      </c>
      <c r="J3929" s="117"/>
      <c r="K3929" s="120"/>
      <c r="L3929" s="121"/>
      <c r="M3929" s="120"/>
      <c r="N3929" s="121"/>
      <c r="O3929" s="120"/>
      <c r="P3929" s="121"/>
      <c r="Q3929" s="120"/>
      <c r="R3929" s="121"/>
      <c r="S3929" s="120"/>
      <c r="T3929" s="121"/>
      <c r="U3929" s="120"/>
      <c r="V3929" s="123"/>
      <c r="W3929" s="125"/>
      <c r="X3929" s="142" t="s">
        <v>12642</v>
      </c>
      <c r="Y3929" s="143"/>
      <c r="Z3929" s="143"/>
      <c r="AA3929" s="143"/>
      <c r="AB3929" s="144"/>
      <c r="AC3929" s="16" t="s">
        <v>21</v>
      </c>
      <c r="AD3929" s="17" t="s">
        <v>3439</v>
      </c>
      <c r="AE3929" s="145" t="s">
        <v>1742</v>
      </c>
      <c r="AF3929" s="146"/>
      <c r="AG3929" s="146"/>
      <c r="AH3929" s="146"/>
      <c r="AI3929" s="147"/>
      <c r="AJ3929" s="148"/>
      <c r="AK3929" s="143"/>
      <c r="AL3929" s="144"/>
      <c r="AM3929" s="22"/>
      <c r="AN3929" s="149" t="s">
        <v>1859</v>
      </c>
      <c r="AO3929" s="144"/>
      <c r="AP3929" s="148">
        <v>375</v>
      </c>
      <c r="AQ3929" s="144"/>
      <c r="AR3929" s="120"/>
      <c r="AS3929" s="121"/>
      <c r="AT3929" s="120"/>
      <c r="AU3929" s="121"/>
      <c r="AV3929" s="120"/>
      <c r="AW3929" s="121"/>
      <c r="AX3929" s="120"/>
      <c r="AY3929" s="121"/>
      <c r="AZ3929" s="138"/>
    </row>
    <row r="3930" spans="1:52" ht="17.100000000000001" customHeight="1" thickTop="1">
      <c r="A3930" s="109" t="s">
        <v>12141</v>
      </c>
      <c r="B3930" s="28">
        <v>45992</v>
      </c>
      <c r="C3930" s="25">
        <v>2071</v>
      </c>
      <c r="D3930" s="13" t="s">
        <v>1803</v>
      </c>
      <c r="E3930" s="111"/>
      <c r="F3930" s="113" t="s">
        <v>2732</v>
      </c>
      <c r="G3930" s="114"/>
      <c r="H3930" s="115"/>
      <c r="I3930" s="24"/>
      <c r="J3930" s="116">
        <v>4.5</v>
      </c>
      <c r="K3930" s="118">
        <v>985000</v>
      </c>
      <c r="L3930" s="119"/>
      <c r="M3930" s="118">
        <f t="shared" ref="M3930" si="3843">K3930*0.1</f>
        <v>98500</v>
      </c>
      <c r="N3930" s="119"/>
      <c r="O3930" s="118">
        <v>0</v>
      </c>
      <c r="P3930" s="119"/>
      <c r="Q3930" s="118">
        <v>19090</v>
      </c>
      <c r="R3930" s="119"/>
      <c r="S3930" s="118">
        <v>11000</v>
      </c>
      <c r="T3930" s="119"/>
      <c r="U3930" s="118">
        <f t="shared" ref="U3930" si="3844">SUM(K3930:T3931)</f>
        <v>1113590</v>
      </c>
      <c r="V3930" s="122"/>
      <c r="W3930" s="124"/>
      <c r="X3930" s="126" t="s">
        <v>12696</v>
      </c>
      <c r="Y3930" s="127"/>
      <c r="Z3930" s="127"/>
      <c r="AA3930" s="127"/>
      <c r="AB3930" s="128"/>
      <c r="AC3930" s="15" t="s">
        <v>20</v>
      </c>
      <c r="AD3930" s="129" t="s">
        <v>171</v>
      </c>
      <c r="AE3930" s="130"/>
      <c r="AF3930" s="130"/>
      <c r="AG3930" s="130"/>
      <c r="AH3930" s="130"/>
      <c r="AI3930" s="131"/>
      <c r="AJ3930" s="132"/>
      <c r="AK3930" s="127"/>
      <c r="AL3930" s="128"/>
      <c r="AM3930" s="21"/>
      <c r="AN3930" s="133">
        <v>45997</v>
      </c>
      <c r="AO3930" s="134"/>
      <c r="AP3930" s="135">
        <v>1279</v>
      </c>
      <c r="AQ3930" s="136"/>
      <c r="AR3930" s="118">
        <v>1180000</v>
      </c>
      <c r="AS3930" s="119"/>
      <c r="AT3930" s="118">
        <f t="shared" ref="AT3930" si="3845">AR3930*0.1</f>
        <v>118000</v>
      </c>
      <c r="AU3930" s="119"/>
      <c r="AV3930" s="118">
        <v>19090</v>
      </c>
      <c r="AW3930" s="119"/>
      <c r="AX3930" s="118">
        <f t="shared" ref="AX3930" si="3846">SUM(AR3930:AW3930)</f>
        <v>1317090</v>
      </c>
      <c r="AY3930" s="119"/>
      <c r="AZ3930" s="137">
        <v>46000</v>
      </c>
    </row>
    <row r="3931" spans="1:52" ht="17.100000000000001" customHeight="1" thickBot="1">
      <c r="A3931" s="110"/>
      <c r="B3931" s="27" t="s">
        <v>83</v>
      </c>
      <c r="C3931" s="27">
        <v>34505</v>
      </c>
      <c r="D3931" s="14" t="s">
        <v>1592</v>
      </c>
      <c r="E3931" s="112"/>
      <c r="F3931" s="139" t="s">
        <v>12118</v>
      </c>
      <c r="G3931" s="140"/>
      <c r="H3931" s="141"/>
      <c r="I3931" s="26">
        <v>76587</v>
      </c>
      <c r="J3931" s="117"/>
      <c r="K3931" s="120"/>
      <c r="L3931" s="121"/>
      <c r="M3931" s="120"/>
      <c r="N3931" s="121"/>
      <c r="O3931" s="120"/>
      <c r="P3931" s="121"/>
      <c r="Q3931" s="120"/>
      <c r="R3931" s="121"/>
      <c r="S3931" s="120"/>
      <c r="T3931" s="121"/>
      <c r="U3931" s="120"/>
      <c r="V3931" s="123"/>
      <c r="W3931" s="125"/>
      <c r="X3931" s="142" t="s">
        <v>293</v>
      </c>
      <c r="Y3931" s="143"/>
      <c r="Z3931" s="143"/>
      <c r="AA3931" s="143"/>
      <c r="AB3931" s="144"/>
      <c r="AC3931" s="16" t="s">
        <v>21</v>
      </c>
      <c r="AD3931" s="17" t="s">
        <v>12686</v>
      </c>
      <c r="AE3931" s="145" t="s">
        <v>5275</v>
      </c>
      <c r="AF3931" s="146"/>
      <c r="AG3931" s="146"/>
      <c r="AH3931" s="146"/>
      <c r="AI3931" s="147"/>
      <c r="AJ3931" s="148"/>
      <c r="AK3931" s="143"/>
      <c r="AL3931" s="144"/>
      <c r="AM3931" s="22"/>
      <c r="AN3931" s="149" t="s">
        <v>2511</v>
      </c>
      <c r="AO3931" s="144"/>
      <c r="AP3931" s="148">
        <v>80389</v>
      </c>
      <c r="AQ3931" s="144"/>
      <c r="AR3931" s="120"/>
      <c r="AS3931" s="121"/>
      <c r="AT3931" s="120"/>
      <c r="AU3931" s="121"/>
      <c r="AV3931" s="120"/>
      <c r="AW3931" s="121"/>
      <c r="AX3931" s="120"/>
      <c r="AY3931" s="121"/>
      <c r="AZ3931" s="138"/>
    </row>
    <row r="3932" spans="1:52" ht="17.100000000000001" customHeight="1" thickTop="1">
      <c r="A3932" s="109" t="s">
        <v>12142</v>
      </c>
      <c r="B3932" s="28">
        <v>45992</v>
      </c>
      <c r="C3932" s="25">
        <v>2071</v>
      </c>
      <c r="D3932" s="13" t="s">
        <v>2179</v>
      </c>
      <c r="E3932" s="111"/>
      <c r="F3932" s="113" t="s">
        <v>1938</v>
      </c>
      <c r="G3932" s="114"/>
      <c r="H3932" s="115"/>
      <c r="I3932" s="24" t="s">
        <v>2976</v>
      </c>
      <c r="J3932" s="116">
        <v>4</v>
      </c>
      <c r="K3932" s="118">
        <v>490000</v>
      </c>
      <c r="L3932" s="119"/>
      <c r="M3932" s="118">
        <f t="shared" ref="M3932" si="3847">K3932*0.1</f>
        <v>49000</v>
      </c>
      <c r="N3932" s="119"/>
      <c r="O3932" s="118">
        <f>8600+860</f>
        <v>9460</v>
      </c>
      <c r="P3932" s="119"/>
      <c r="Q3932" s="118">
        <v>17700</v>
      </c>
      <c r="R3932" s="119"/>
      <c r="S3932" s="118">
        <v>11000</v>
      </c>
      <c r="T3932" s="119"/>
      <c r="U3932" s="118">
        <f t="shared" ref="U3932" si="3848">SUM(K3932:T3933)</f>
        <v>577160</v>
      </c>
      <c r="V3932" s="122"/>
      <c r="W3932" s="124"/>
      <c r="X3932" s="126" t="s">
        <v>12146</v>
      </c>
      <c r="Y3932" s="127"/>
      <c r="Z3932" s="127"/>
      <c r="AA3932" s="127"/>
      <c r="AB3932" s="128"/>
      <c r="AC3932" s="15" t="s">
        <v>20</v>
      </c>
      <c r="AD3932" s="129"/>
      <c r="AE3932" s="130"/>
      <c r="AF3932" s="130"/>
      <c r="AG3932" s="130"/>
      <c r="AH3932" s="130"/>
      <c r="AI3932" s="131"/>
      <c r="AJ3932" s="132"/>
      <c r="AK3932" s="127"/>
      <c r="AL3932" s="128"/>
      <c r="AM3932" s="21"/>
      <c r="AN3932" s="133">
        <v>46004</v>
      </c>
      <c r="AO3932" s="134"/>
      <c r="AP3932" s="135">
        <v>1280</v>
      </c>
      <c r="AQ3932" s="136"/>
      <c r="AR3932" s="118">
        <v>695000</v>
      </c>
      <c r="AS3932" s="119"/>
      <c r="AT3932" s="118">
        <f t="shared" ref="AT3932" si="3849">AR3932*0.1</f>
        <v>69500</v>
      </c>
      <c r="AU3932" s="119"/>
      <c r="AV3932" s="118">
        <v>17700</v>
      </c>
      <c r="AW3932" s="119"/>
      <c r="AX3932" s="118">
        <f t="shared" ref="AX3932" si="3850">SUM(AR3932:AW3932)</f>
        <v>782200</v>
      </c>
      <c r="AY3932" s="119"/>
      <c r="AZ3932" s="137">
        <v>46007</v>
      </c>
    </row>
    <row r="3933" spans="1:52" ht="17.100000000000001" customHeight="1" thickBot="1">
      <c r="A3933" s="110"/>
      <c r="B3933" s="27" t="s">
        <v>83</v>
      </c>
      <c r="C3933" s="27">
        <v>34523</v>
      </c>
      <c r="D3933" s="14" t="s">
        <v>1592</v>
      </c>
      <c r="E3933" s="112"/>
      <c r="F3933" s="139" t="s">
        <v>12104</v>
      </c>
      <c r="G3933" s="140"/>
      <c r="H3933" s="141"/>
      <c r="I3933" s="26">
        <v>42974</v>
      </c>
      <c r="J3933" s="117"/>
      <c r="K3933" s="120"/>
      <c r="L3933" s="121"/>
      <c r="M3933" s="120"/>
      <c r="N3933" s="121"/>
      <c r="O3933" s="120"/>
      <c r="P3933" s="121"/>
      <c r="Q3933" s="120"/>
      <c r="R3933" s="121"/>
      <c r="S3933" s="120"/>
      <c r="T3933" s="121"/>
      <c r="U3933" s="120"/>
      <c r="V3933" s="123"/>
      <c r="W3933" s="125"/>
      <c r="X3933" s="142" t="s">
        <v>9943</v>
      </c>
      <c r="Y3933" s="143"/>
      <c r="Z3933" s="143"/>
      <c r="AA3933" s="143"/>
      <c r="AB3933" s="144"/>
      <c r="AC3933" s="16" t="s">
        <v>21</v>
      </c>
      <c r="AD3933" s="17" t="s">
        <v>12856</v>
      </c>
      <c r="AE3933" s="145" t="s">
        <v>1742</v>
      </c>
      <c r="AF3933" s="146"/>
      <c r="AG3933" s="146"/>
      <c r="AH3933" s="146"/>
      <c r="AI3933" s="147"/>
      <c r="AJ3933" s="148"/>
      <c r="AK3933" s="143"/>
      <c r="AL3933" s="144"/>
      <c r="AM3933" s="22"/>
      <c r="AN3933" s="149" t="s">
        <v>2511</v>
      </c>
      <c r="AO3933" s="144"/>
      <c r="AP3933" s="148">
        <v>80096</v>
      </c>
      <c r="AQ3933" s="144"/>
      <c r="AR3933" s="120"/>
      <c r="AS3933" s="121"/>
      <c r="AT3933" s="120"/>
      <c r="AU3933" s="121"/>
      <c r="AV3933" s="120"/>
      <c r="AW3933" s="121"/>
      <c r="AX3933" s="120"/>
      <c r="AY3933" s="121"/>
      <c r="AZ3933" s="138"/>
    </row>
    <row r="3934" spans="1:52" ht="17.100000000000001" customHeight="1" thickTop="1">
      <c r="A3934" s="109" t="s">
        <v>12143</v>
      </c>
      <c r="B3934" s="28">
        <v>45992</v>
      </c>
      <c r="C3934" s="25">
        <v>2071</v>
      </c>
      <c r="D3934" s="13" t="s">
        <v>1767</v>
      </c>
      <c r="E3934" s="111"/>
      <c r="F3934" s="113" t="s">
        <v>3163</v>
      </c>
      <c r="G3934" s="114"/>
      <c r="H3934" s="115"/>
      <c r="I3934" s="24"/>
      <c r="J3934" s="116">
        <v>4</v>
      </c>
      <c r="K3934" s="118">
        <v>684000</v>
      </c>
      <c r="L3934" s="119"/>
      <c r="M3934" s="118">
        <f t="shared" ref="M3934" si="3851">K3934*0.1</f>
        <v>68400</v>
      </c>
      <c r="N3934" s="119"/>
      <c r="O3934" s="118">
        <v>0</v>
      </c>
      <c r="P3934" s="119"/>
      <c r="Q3934" s="118">
        <v>19440</v>
      </c>
      <c r="R3934" s="119"/>
      <c r="S3934" s="118">
        <v>11000</v>
      </c>
      <c r="T3934" s="119"/>
      <c r="U3934" s="118">
        <f t="shared" ref="U3934" si="3852">SUM(K3934:T3935)</f>
        <v>782840</v>
      </c>
      <c r="V3934" s="122"/>
      <c r="W3934" s="124"/>
      <c r="X3934" s="126" t="s">
        <v>12707</v>
      </c>
      <c r="Y3934" s="127"/>
      <c r="Z3934" s="127"/>
      <c r="AA3934" s="127"/>
      <c r="AB3934" s="128"/>
      <c r="AC3934" s="15" t="s">
        <v>20</v>
      </c>
      <c r="AD3934" s="129" t="s">
        <v>171</v>
      </c>
      <c r="AE3934" s="130"/>
      <c r="AF3934" s="130"/>
      <c r="AG3934" s="130"/>
      <c r="AH3934" s="130"/>
      <c r="AI3934" s="131"/>
      <c r="AJ3934" s="132"/>
      <c r="AK3934" s="127"/>
      <c r="AL3934" s="128"/>
      <c r="AM3934" s="21"/>
      <c r="AN3934" s="133">
        <v>46004</v>
      </c>
      <c r="AO3934" s="134"/>
      <c r="AP3934" s="135">
        <v>1280</v>
      </c>
      <c r="AQ3934" s="136"/>
      <c r="AR3934" s="118">
        <v>830000</v>
      </c>
      <c r="AS3934" s="119"/>
      <c r="AT3934" s="118">
        <f t="shared" ref="AT3934" si="3853">AR3934*0.1</f>
        <v>83000</v>
      </c>
      <c r="AU3934" s="119"/>
      <c r="AV3934" s="118">
        <v>19440</v>
      </c>
      <c r="AW3934" s="119"/>
      <c r="AX3934" s="118">
        <f t="shared" ref="AX3934" si="3854">SUM(AR3934:AW3934)</f>
        <v>932440</v>
      </c>
      <c r="AY3934" s="119"/>
      <c r="AZ3934" s="137">
        <v>46007</v>
      </c>
    </row>
    <row r="3935" spans="1:52" ht="17.100000000000001" customHeight="1" thickBot="1">
      <c r="A3935" s="110"/>
      <c r="B3935" s="27" t="s">
        <v>83</v>
      </c>
      <c r="C3935" s="27">
        <v>34532</v>
      </c>
      <c r="D3935" s="14" t="s">
        <v>1720</v>
      </c>
      <c r="E3935" s="112"/>
      <c r="F3935" s="139" t="s">
        <v>12105</v>
      </c>
      <c r="G3935" s="140"/>
      <c r="H3935" s="141"/>
      <c r="I3935" s="26">
        <v>58710</v>
      </c>
      <c r="J3935" s="117"/>
      <c r="K3935" s="120"/>
      <c r="L3935" s="121"/>
      <c r="M3935" s="120"/>
      <c r="N3935" s="121"/>
      <c r="O3935" s="120"/>
      <c r="P3935" s="121"/>
      <c r="Q3935" s="120"/>
      <c r="R3935" s="121"/>
      <c r="S3935" s="120"/>
      <c r="T3935" s="121"/>
      <c r="U3935" s="120"/>
      <c r="V3935" s="123"/>
      <c r="W3935" s="125"/>
      <c r="X3935" s="142" t="s">
        <v>12708</v>
      </c>
      <c r="Y3935" s="143"/>
      <c r="Z3935" s="143"/>
      <c r="AA3935" s="143"/>
      <c r="AB3935" s="144"/>
      <c r="AC3935" s="16" t="s">
        <v>21</v>
      </c>
      <c r="AD3935" s="17" t="s">
        <v>12686</v>
      </c>
      <c r="AE3935" s="145" t="s">
        <v>171</v>
      </c>
      <c r="AF3935" s="146"/>
      <c r="AG3935" s="146"/>
      <c r="AH3935" s="146"/>
      <c r="AI3935" s="147"/>
      <c r="AJ3935" s="148"/>
      <c r="AK3935" s="143"/>
      <c r="AL3935" s="144"/>
      <c r="AM3935" s="22"/>
      <c r="AN3935" s="149" t="s">
        <v>2511</v>
      </c>
      <c r="AO3935" s="144"/>
      <c r="AP3935" s="148">
        <v>80259</v>
      </c>
      <c r="AQ3935" s="144"/>
      <c r="AR3935" s="120"/>
      <c r="AS3935" s="121"/>
      <c r="AT3935" s="120"/>
      <c r="AU3935" s="121"/>
      <c r="AV3935" s="120"/>
      <c r="AW3935" s="121"/>
      <c r="AX3935" s="120"/>
      <c r="AY3935" s="121"/>
      <c r="AZ3935" s="138"/>
    </row>
    <row r="3936" spans="1:52" ht="17.100000000000001" customHeight="1" thickTop="1">
      <c r="A3936" s="109" t="s">
        <v>12144</v>
      </c>
      <c r="B3936" s="28">
        <v>45992</v>
      </c>
      <c r="C3936" s="25">
        <v>2071</v>
      </c>
      <c r="D3936" s="13" t="s">
        <v>2329</v>
      </c>
      <c r="E3936" s="111"/>
      <c r="F3936" s="113" t="s">
        <v>12106</v>
      </c>
      <c r="G3936" s="114"/>
      <c r="H3936" s="115"/>
      <c r="I3936" s="24"/>
      <c r="J3936" s="116">
        <v>5</v>
      </c>
      <c r="K3936" s="118">
        <v>2000000</v>
      </c>
      <c r="L3936" s="119"/>
      <c r="M3936" s="118">
        <f t="shared" ref="M3936" si="3855">K3936*0.1</f>
        <v>200000</v>
      </c>
      <c r="N3936" s="119"/>
      <c r="O3936" s="118">
        <v>0</v>
      </c>
      <c r="P3936" s="119"/>
      <c r="Q3936" s="118">
        <v>18220</v>
      </c>
      <c r="R3936" s="119"/>
      <c r="S3936" s="118">
        <v>11000</v>
      </c>
      <c r="T3936" s="119"/>
      <c r="U3936" s="118">
        <f t="shared" ref="U3936" si="3856">SUM(K3936:T3937)</f>
        <v>2229220</v>
      </c>
      <c r="V3936" s="122"/>
      <c r="W3936" s="124"/>
      <c r="X3936" s="126" t="s">
        <v>12706</v>
      </c>
      <c r="Y3936" s="127"/>
      <c r="Z3936" s="127"/>
      <c r="AA3936" s="127"/>
      <c r="AB3936" s="128"/>
      <c r="AC3936" s="15" t="s">
        <v>20</v>
      </c>
      <c r="AD3936" s="129" t="s">
        <v>171</v>
      </c>
      <c r="AE3936" s="130"/>
      <c r="AF3936" s="130"/>
      <c r="AG3936" s="130"/>
      <c r="AH3936" s="130"/>
      <c r="AI3936" s="131"/>
      <c r="AJ3936" s="132"/>
      <c r="AK3936" s="127"/>
      <c r="AL3936" s="128"/>
      <c r="AM3936" s="21"/>
      <c r="AN3936" s="133">
        <v>46004</v>
      </c>
      <c r="AO3936" s="134"/>
      <c r="AP3936" s="135">
        <v>1280</v>
      </c>
      <c r="AQ3936" s="136"/>
      <c r="AR3936" s="118">
        <v>2135000</v>
      </c>
      <c r="AS3936" s="119"/>
      <c r="AT3936" s="118">
        <f t="shared" ref="AT3936" si="3857">AR3936*0.1</f>
        <v>213500</v>
      </c>
      <c r="AU3936" s="119"/>
      <c r="AV3936" s="118">
        <v>18220</v>
      </c>
      <c r="AW3936" s="119"/>
      <c r="AX3936" s="118">
        <f t="shared" ref="AX3936" si="3858">SUM(AR3936:AW3936)</f>
        <v>2366720</v>
      </c>
      <c r="AY3936" s="119"/>
      <c r="AZ3936" s="137">
        <v>46007</v>
      </c>
    </row>
    <row r="3937" spans="1:52" ht="17.100000000000001" customHeight="1" thickBot="1">
      <c r="A3937" s="110"/>
      <c r="B3937" s="27" t="s">
        <v>83</v>
      </c>
      <c r="C3937" s="27">
        <v>35011</v>
      </c>
      <c r="D3937" s="14" t="s">
        <v>1592</v>
      </c>
      <c r="E3937" s="112"/>
      <c r="F3937" s="139" t="s">
        <v>12107</v>
      </c>
      <c r="G3937" s="140"/>
      <c r="H3937" s="141"/>
      <c r="I3937" s="26">
        <v>28409</v>
      </c>
      <c r="J3937" s="117"/>
      <c r="K3937" s="120"/>
      <c r="L3937" s="121"/>
      <c r="M3937" s="120"/>
      <c r="N3937" s="121"/>
      <c r="O3937" s="120"/>
      <c r="P3937" s="121"/>
      <c r="Q3937" s="120"/>
      <c r="R3937" s="121"/>
      <c r="S3937" s="120"/>
      <c r="T3937" s="121"/>
      <c r="U3937" s="120"/>
      <c r="V3937" s="123"/>
      <c r="W3937" s="125"/>
      <c r="X3937" s="142" t="s">
        <v>5243</v>
      </c>
      <c r="Y3937" s="143"/>
      <c r="Z3937" s="143"/>
      <c r="AA3937" s="143"/>
      <c r="AB3937" s="144"/>
      <c r="AC3937" s="16" t="s">
        <v>21</v>
      </c>
      <c r="AD3937" s="17" t="s">
        <v>12686</v>
      </c>
      <c r="AE3937" s="145" t="s">
        <v>1742</v>
      </c>
      <c r="AF3937" s="146"/>
      <c r="AG3937" s="146"/>
      <c r="AH3937" s="146"/>
      <c r="AI3937" s="147"/>
      <c r="AJ3937" s="148"/>
      <c r="AK3937" s="143"/>
      <c r="AL3937" s="144"/>
      <c r="AM3937" s="22"/>
      <c r="AN3937" s="149" t="s">
        <v>2511</v>
      </c>
      <c r="AO3937" s="144"/>
      <c r="AP3937" s="148">
        <v>80069</v>
      </c>
      <c r="AQ3937" s="144"/>
      <c r="AR3937" s="120"/>
      <c r="AS3937" s="121"/>
      <c r="AT3937" s="120"/>
      <c r="AU3937" s="121"/>
      <c r="AV3937" s="120"/>
      <c r="AW3937" s="121"/>
      <c r="AX3937" s="120"/>
      <c r="AY3937" s="121"/>
      <c r="AZ3937" s="138"/>
    </row>
    <row r="3938" spans="1:52" ht="17.100000000000001" customHeight="1" thickTop="1">
      <c r="A3938" s="109" t="s">
        <v>12145</v>
      </c>
      <c r="B3938" s="28">
        <v>45992</v>
      </c>
      <c r="C3938" s="25">
        <v>2071</v>
      </c>
      <c r="D3938" s="13" t="s">
        <v>1606</v>
      </c>
      <c r="E3938" s="111"/>
      <c r="F3938" s="113" t="s">
        <v>12108</v>
      </c>
      <c r="G3938" s="114"/>
      <c r="H3938" s="115"/>
      <c r="I3938" s="24" t="s">
        <v>2577</v>
      </c>
      <c r="J3938" s="116">
        <v>4.5</v>
      </c>
      <c r="K3938" s="118">
        <v>2500000</v>
      </c>
      <c r="L3938" s="119"/>
      <c r="M3938" s="118">
        <f t="shared" ref="M3938" si="3859">K3938*0.1</f>
        <v>250000</v>
      </c>
      <c r="N3938" s="119"/>
      <c r="O3938" s="118">
        <f>9800+980</f>
        <v>10780</v>
      </c>
      <c r="P3938" s="119"/>
      <c r="Q3938" s="118">
        <v>13210</v>
      </c>
      <c r="R3938" s="119"/>
      <c r="S3938" s="118">
        <v>11000</v>
      </c>
      <c r="T3938" s="119"/>
      <c r="U3938" s="118">
        <f t="shared" ref="U3938" si="3860">SUM(K3938:T3939)</f>
        <v>2784990</v>
      </c>
      <c r="V3938" s="122"/>
      <c r="W3938" s="124"/>
      <c r="X3938" s="126" t="s">
        <v>12811</v>
      </c>
      <c r="Y3938" s="127"/>
      <c r="Z3938" s="127"/>
      <c r="AA3938" s="127"/>
      <c r="AB3938" s="128"/>
      <c r="AC3938" s="15" t="s">
        <v>20</v>
      </c>
      <c r="AD3938" s="129" t="s">
        <v>1633</v>
      </c>
      <c r="AE3938" s="130"/>
      <c r="AF3938" s="130"/>
      <c r="AG3938" s="130"/>
      <c r="AH3938" s="130"/>
      <c r="AI3938" s="131"/>
      <c r="AJ3938" s="132"/>
      <c r="AK3938" s="127"/>
      <c r="AL3938" s="128"/>
      <c r="AM3938" s="21"/>
      <c r="AN3938" s="133">
        <v>46004</v>
      </c>
      <c r="AO3938" s="134"/>
      <c r="AP3938" s="135">
        <v>1280</v>
      </c>
      <c r="AQ3938" s="136"/>
      <c r="AR3938" s="118">
        <v>2790000</v>
      </c>
      <c r="AS3938" s="119"/>
      <c r="AT3938" s="118">
        <f t="shared" ref="AT3938" si="3861">AR3938*0.1</f>
        <v>279000</v>
      </c>
      <c r="AU3938" s="119"/>
      <c r="AV3938" s="118">
        <v>13210</v>
      </c>
      <c r="AW3938" s="119"/>
      <c r="AX3938" s="118">
        <f t="shared" ref="AX3938" si="3862">SUM(AR3938:AW3938)</f>
        <v>3082210</v>
      </c>
      <c r="AY3938" s="119"/>
      <c r="AZ3938" s="137">
        <v>46007</v>
      </c>
    </row>
    <row r="3939" spans="1:52" ht="17.100000000000001" customHeight="1" thickBot="1">
      <c r="A3939" s="110"/>
      <c r="B3939" s="27" t="s">
        <v>83</v>
      </c>
      <c r="C3939" s="27">
        <v>36005</v>
      </c>
      <c r="D3939" s="14" t="s">
        <v>2836</v>
      </c>
      <c r="E3939" s="112"/>
      <c r="F3939" s="139" t="s">
        <v>12109</v>
      </c>
      <c r="G3939" s="140"/>
      <c r="H3939" s="141"/>
      <c r="I3939" s="26">
        <v>25175</v>
      </c>
      <c r="J3939" s="117"/>
      <c r="K3939" s="120"/>
      <c r="L3939" s="121"/>
      <c r="M3939" s="120"/>
      <c r="N3939" s="121"/>
      <c r="O3939" s="120"/>
      <c r="P3939" s="121"/>
      <c r="Q3939" s="120"/>
      <c r="R3939" s="121"/>
      <c r="S3939" s="120"/>
      <c r="T3939" s="121"/>
      <c r="U3939" s="120"/>
      <c r="V3939" s="123"/>
      <c r="W3939" s="125"/>
      <c r="X3939" s="142" t="s">
        <v>12812</v>
      </c>
      <c r="Y3939" s="143"/>
      <c r="Z3939" s="143"/>
      <c r="AA3939" s="143"/>
      <c r="AB3939" s="144"/>
      <c r="AC3939" s="16" t="s">
        <v>21</v>
      </c>
      <c r="AD3939" s="17" t="s">
        <v>2255</v>
      </c>
      <c r="AE3939" s="145" t="s">
        <v>1614</v>
      </c>
      <c r="AF3939" s="146"/>
      <c r="AG3939" s="146"/>
      <c r="AH3939" s="146"/>
      <c r="AI3939" s="147"/>
      <c r="AJ3939" s="148"/>
      <c r="AK3939" s="143"/>
      <c r="AL3939" s="144"/>
      <c r="AM3939" s="22"/>
      <c r="AN3939" s="149" t="s">
        <v>2511</v>
      </c>
      <c r="AO3939" s="144"/>
      <c r="AP3939" s="148">
        <v>80070</v>
      </c>
      <c r="AQ3939" s="144"/>
      <c r="AR3939" s="120"/>
      <c r="AS3939" s="121"/>
      <c r="AT3939" s="120"/>
      <c r="AU3939" s="121"/>
      <c r="AV3939" s="120"/>
      <c r="AW3939" s="121"/>
      <c r="AX3939" s="120"/>
      <c r="AY3939" s="121"/>
      <c r="AZ3939" s="138"/>
    </row>
    <row r="3940" spans="1:52" ht="17.100000000000001" customHeight="1" thickTop="1">
      <c r="A3940" s="109" t="s">
        <v>12147</v>
      </c>
      <c r="B3940" s="28">
        <v>45992</v>
      </c>
      <c r="C3940" s="25"/>
      <c r="D3940" s="13" t="s">
        <v>2187</v>
      </c>
      <c r="E3940" s="111"/>
      <c r="F3940" s="113" t="s">
        <v>12110</v>
      </c>
      <c r="G3940" s="114"/>
      <c r="H3940" s="115"/>
      <c r="I3940" s="24"/>
      <c r="J3940" s="116">
        <v>4</v>
      </c>
      <c r="K3940" s="118">
        <v>1851000</v>
      </c>
      <c r="L3940" s="119"/>
      <c r="M3940" s="118">
        <f t="shared" ref="M3940" si="3863">K3940*0.1</f>
        <v>185100</v>
      </c>
      <c r="N3940" s="119"/>
      <c r="O3940" s="118">
        <v>0</v>
      </c>
      <c r="P3940" s="119"/>
      <c r="Q3940" s="118">
        <v>17930</v>
      </c>
      <c r="R3940" s="119"/>
      <c r="S3940" s="118">
        <v>15950</v>
      </c>
      <c r="T3940" s="119"/>
      <c r="U3940" s="118">
        <f t="shared" ref="U3940" si="3864">SUM(K3940:T3941)</f>
        <v>2069980</v>
      </c>
      <c r="V3940" s="122"/>
      <c r="W3940" s="124"/>
      <c r="X3940" s="126" t="s">
        <v>12814</v>
      </c>
      <c r="Y3940" s="127"/>
      <c r="Z3940" s="127"/>
      <c r="AA3940" s="127"/>
      <c r="AB3940" s="128"/>
      <c r="AC3940" s="15" t="s">
        <v>20</v>
      </c>
      <c r="AD3940" s="129"/>
      <c r="AE3940" s="130"/>
      <c r="AF3940" s="130"/>
      <c r="AG3940" s="130"/>
      <c r="AH3940" s="130"/>
      <c r="AI3940" s="131"/>
      <c r="AJ3940" s="132"/>
      <c r="AK3940" s="127"/>
      <c r="AL3940" s="128"/>
      <c r="AM3940" s="21"/>
      <c r="AN3940" s="133">
        <v>45997</v>
      </c>
      <c r="AO3940" s="134"/>
      <c r="AP3940" s="135">
        <v>1279</v>
      </c>
      <c r="AQ3940" s="136"/>
      <c r="AR3940" s="118">
        <v>2000000</v>
      </c>
      <c r="AS3940" s="119"/>
      <c r="AT3940" s="118">
        <f t="shared" ref="AT3940" si="3865">AR3940*0.1</f>
        <v>200000</v>
      </c>
      <c r="AU3940" s="119"/>
      <c r="AV3940" s="118">
        <v>17930</v>
      </c>
      <c r="AW3940" s="119"/>
      <c r="AX3940" s="118">
        <f t="shared" ref="AX3940" si="3866">SUM(AR3940:AW3940)</f>
        <v>2217930</v>
      </c>
      <c r="AY3940" s="119"/>
      <c r="AZ3940" s="137">
        <v>46002</v>
      </c>
    </row>
    <row r="3941" spans="1:52" ht="17.100000000000001" customHeight="1" thickBot="1">
      <c r="A3941" s="110"/>
      <c r="B3941" s="27" t="s">
        <v>4475</v>
      </c>
      <c r="C3941" s="27">
        <v>80256</v>
      </c>
      <c r="D3941" s="14" t="s">
        <v>5505</v>
      </c>
      <c r="E3941" s="112"/>
      <c r="F3941" s="139" t="s">
        <v>12643</v>
      </c>
      <c r="G3941" s="140"/>
      <c r="H3941" s="141"/>
      <c r="I3941" s="26">
        <v>54502</v>
      </c>
      <c r="J3941" s="117"/>
      <c r="K3941" s="120"/>
      <c r="L3941" s="121"/>
      <c r="M3941" s="120"/>
      <c r="N3941" s="121"/>
      <c r="O3941" s="120"/>
      <c r="P3941" s="121"/>
      <c r="Q3941" s="120"/>
      <c r="R3941" s="121"/>
      <c r="S3941" s="120"/>
      <c r="T3941" s="121"/>
      <c r="U3941" s="120"/>
      <c r="V3941" s="123"/>
      <c r="W3941" s="125"/>
      <c r="X3941" s="142" t="s">
        <v>2776</v>
      </c>
      <c r="Y3941" s="143"/>
      <c r="Z3941" s="143"/>
      <c r="AA3941" s="143"/>
      <c r="AB3941" s="144"/>
      <c r="AC3941" s="16" t="s">
        <v>21</v>
      </c>
      <c r="AD3941" s="17" t="s">
        <v>1765</v>
      </c>
      <c r="AE3941" s="145" t="s">
        <v>12546</v>
      </c>
      <c r="AF3941" s="146"/>
      <c r="AG3941" s="146"/>
      <c r="AH3941" s="146"/>
      <c r="AI3941" s="147"/>
      <c r="AJ3941" s="148"/>
      <c r="AK3941" s="143"/>
      <c r="AL3941" s="144"/>
      <c r="AM3941" s="22"/>
      <c r="AN3941" s="149" t="s">
        <v>2511</v>
      </c>
      <c r="AO3941" s="144"/>
      <c r="AP3941" s="148">
        <v>80105</v>
      </c>
      <c r="AQ3941" s="144"/>
      <c r="AR3941" s="120"/>
      <c r="AS3941" s="121"/>
      <c r="AT3941" s="120"/>
      <c r="AU3941" s="121"/>
      <c r="AV3941" s="120"/>
      <c r="AW3941" s="121"/>
      <c r="AX3941" s="120"/>
      <c r="AY3941" s="121"/>
      <c r="AZ3941" s="138"/>
    </row>
    <row r="3942" spans="1:52" ht="17.100000000000001" customHeight="1" thickTop="1">
      <c r="A3942" s="109" t="s">
        <v>12148</v>
      </c>
      <c r="B3942" s="28">
        <v>45992</v>
      </c>
      <c r="C3942" s="25"/>
      <c r="D3942" s="13" t="s">
        <v>1631</v>
      </c>
      <c r="E3942" s="111"/>
      <c r="F3942" s="113" t="s">
        <v>1726</v>
      </c>
      <c r="G3942" s="114"/>
      <c r="H3942" s="115"/>
      <c r="I3942" s="24" t="s">
        <v>2919</v>
      </c>
      <c r="J3942" s="116">
        <v>4</v>
      </c>
      <c r="K3942" s="118">
        <v>1394000</v>
      </c>
      <c r="L3942" s="119"/>
      <c r="M3942" s="118">
        <f t="shared" ref="M3942" si="3867">K3942*0.1</f>
        <v>139400</v>
      </c>
      <c r="N3942" s="119"/>
      <c r="O3942" s="118">
        <f>7600+760</f>
        <v>8360</v>
      </c>
      <c r="P3942" s="119"/>
      <c r="Q3942" s="118">
        <v>12370</v>
      </c>
      <c r="R3942" s="119"/>
      <c r="S3942" s="118">
        <v>15950</v>
      </c>
      <c r="T3942" s="119"/>
      <c r="U3942" s="118">
        <f t="shared" ref="U3942" si="3868">SUM(K3942:T3943)</f>
        <v>1570080</v>
      </c>
      <c r="V3942" s="122"/>
      <c r="W3942" s="124"/>
      <c r="X3942" s="126" t="s">
        <v>12111</v>
      </c>
      <c r="Y3942" s="127"/>
      <c r="Z3942" s="127"/>
      <c r="AA3942" s="127"/>
      <c r="AB3942" s="128"/>
      <c r="AC3942" s="15" t="s">
        <v>20</v>
      </c>
      <c r="AD3942" s="129" t="s">
        <v>1670</v>
      </c>
      <c r="AE3942" s="130"/>
      <c r="AF3942" s="130"/>
      <c r="AG3942" s="130"/>
      <c r="AH3942" s="130"/>
      <c r="AI3942" s="131"/>
      <c r="AJ3942" s="132"/>
      <c r="AK3942" s="127"/>
      <c r="AL3942" s="128"/>
      <c r="AM3942" s="21"/>
      <c r="AN3942" s="133">
        <v>46011</v>
      </c>
      <c r="AO3942" s="134"/>
      <c r="AP3942" s="135">
        <v>1281</v>
      </c>
      <c r="AQ3942" s="136"/>
      <c r="AR3942" s="118">
        <v>1500000</v>
      </c>
      <c r="AS3942" s="119"/>
      <c r="AT3942" s="118">
        <f t="shared" ref="AT3942" si="3869">AR3942*0.1</f>
        <v>150000</v>
      </c>
      <c r="AU3942" s="119"/>
      <c r="AV3942" s="118">
        <v>12370</v>
      </c>
      <c r="AW3942" s="119"/>
      <c r="AX3942" s="118">
        <f t="shared" ref="AX3942" si="3870">SUM(AR3942:AW3942)</f>
        <v>1662370</v>
      </c>
      <c r="AY3942" s="119"/>
      <c r="AZ3942" s="137">
        <v>46016</v>
      </c>
    </row>
    <row r="3943" spans="1:52" ht="17.100000000000001" customHeight="1" thickBot="1">
      <c r="A3943" s="110"/>
      <c r="B3943" s="27" t="s">
        <v>4475</v>
      </c>
      <c r="C3943" s="27">
        <v>80260</v>
      </c>
      <c r="D3943" s="14" t="s">
        <v>1592</v>
      </c>
      <c r="E3943" s="112"/>
      <c r="F3943" s="139" t="s">
        <v>12915</v>
      </c>
      <c r="G3943" s="140"/>
      <c r="H3943" s="141"/>
      <c r="I3943" s="26">
        <v>43235</v>
      </c>
      <c r="J3943" s="117"/>
      <c r="K3943" s="120"/>
      <c r="L3943" s="121"/>
      <c r="M3943" s="120"/>
      <c r="N3943" s="121"/>
      <c r="O3943" s="120"/>
      <c r="P3943" s="121"/>
      <c r="Q3943" s="120"/>
      <c r="R3943" s="121"/>
      <c r="S3943" s="120"/>
      <c r="T3943" s="121"/>
      <c r="U3943" s="120"/>
      <c r="V3943" s="123"/>
      <c r="W3943" s="125"/>
      <c r="X3943" s="142" t="s">
        <v>3300</v>
      </c>
      <c r="Y3943" s="143"/>
      <c r="Z3943" s="143"/>
      <c r="AA3943" s="143"/>
      <c r="AB3943" s="144"/>
      <c r="AC3943" s="16" t="s">
        <v>21</v>
      </c>
      <c r="AD3943" s="17" t="s">
        <v>12856</v>
      </c>
      <c r="AE3943" s="145" t="s">
        <v>11427</v>
      </c>
      <c r="AF3943" s="146"/>
      <c r="AG3943" s="146"/>
      <c r="AH3943" s="146"/>
      <c r="AI3943" s="147"/>
      <c r="AJ3943" s="148"/>
      <c r="AK3943" s="143"/>
      <c r="AL3943" s="144"/>
      <c r="AM3943" s="22"/>
      <c r="AN3943" s="149" t="s">
        <v>6748</v>
      </c>
      <c r="AO3943" s="144"/>
      <c r="AP3943" s="148">
        <v>80144</v>
      </c>
      <c r="AQ3943" s="144"/>
      <c r="AR3943" s="120"/>
      <c r="AS3943" s="121"/>
      <c r="AT3943" s="120"/>
      <c r="AU3943" s="121"/>
      <c r="AV3943" s="120"/>
      <c r="AW3943" s="121"/>
      <c r="AX3943" s="120"/>
      <c r="AY3943" s="121"/>
      <c r="AZ3943" s="138"/>
    </row>
    <row r="3944" spans="1:52" ht="17.100000000000001" customHeight="1" thickTop="1">
      <c r="A3944" s="109" t="s">
        <v>12149</v>
      </c>
      <c r="B3944" s="28">
        <v>45992</v>
      </c>
      <c r="C3944" s="25"/>
      <c r="D3944" s="13" t="s">
        <v>2914</v>
      </c>
      <c r="E3944" s="111"/>
      <c r="F3944" s="113" t="s">
        <v>12114</v>
      </c>
      <c r="G3944" s="114"/>
      <c r="H3944" s="115"/>
      <c r="I3944" s="24"/>
      <c r="J3944" s="116">
        <v>4</v>
      </c>
      <c r="K3944" s="118">
        <v>1548000</v>
      </c>
      <c r="L3944" s="119"/>
      <c r="M3944" s="118">
        <f t="shared" ref="M3944" si="3871">K3944*0.1</f>
        <v>154800</v>
      </c>
      <c r="N3944" s="119"/>
      <c r="O3944" s="118">
        <v>0</v>
      </c>
      <c r="P3944" s="119"/>
      <c r="Q3944" s="118">
        <v>18980</v>
      </c>
      <c r="R3944" s="119"/>
      <c r="S3944" s="118">
        <v>15950</v>
      </c>
      <c r="T3944" s="119"/>
      <c r="U3944" s="118">
        <f t="shared" ref="U3944" si="3872">SUM(K3944:T3945)</f>
        <v>1737730</v>
      </c>
      <c r="V3944" s="122"/>
      <c r="W3944" s="124"/>
      <c r="X3944" s="126" t="s">
        <v>12913</v>
      </c>
      <c r="Y3944" s="127"/>
      <c r="Z3944" s="127"/>
      <c r="AA3944" s="127"/>
      <c r="AB3944" s="128"/>
      <c r="AC3944" s="15" t="s">
        <v>20</v>
      </c>
      <c r="AD3944" s="129"/>
      <c r="AE3944" s="130"/>
      <c r="AF3944" s="130"/>
      <c r="AG3944" s="130"/>
      <c r="AH3944" s="130"/>
      <c r="AI3944" s="131"/>
      <c r="AJ3944" s="132"/>
      <c r="AK3944" s="127"/>
      <c r="AL3944" s="128"/>
      <c r="AM3944" s="21"/>
      <c r="AN3944" s="133">
        <v>46011</v>
      </c>
      <c r="AO3944" s="134"/>
      <c r="AP3944" s="135">
        <v>1281</v>
      </c>
      <c r="AQ3944" s="136"/>
      <c r="AR3944" s="118">
        <v>1690000</v>
      </c>
      <c r="AS3944" s="119"/>
      <c r="AT3944" s="118">
        <f t="shared" ref="AT3944" si="3873">AR3944*0.1</f>
        <v>169000</v>
      </c>
      <c r="AU3944" s="119"/>
      <c r="AV3944" s="118">
        <v>18980</v>
      </c>
      <c r="AW3944" s="119"/>
      <c r="AX3944" s="118">
        <f t="shared" ref="AX3944" si="3874">SUM(AR3944:AW3944)</f>
        <v>1877980</v>
      </c>
      <c r="AY3944" s="119"/>
      <c r="AZ3944" s="137">
        <v>46014</v>
      </c>
    </row>
    <row r="3945" spans="1:52" ht="17.100000000000001" customHeight="1" thickBot="1">
      <c r="A3945" s="110"/>
      <c r="B3945" s="27" t="s">
        <v>4475</v>
      </c>
      <c r="C3945" s="27">
        <v>80265</v>
      </c>
      <c r="D3945" s="14" t="s">
        <v>275</v>
      </c>
      <c r="E3945" s="112"/>
      <c r="F3945" s="139" t="s">
        <v>12912</v>
      </c>
      <c r="G3945" s="140"/>
      <c r="H3945" s="141"/>
      <c r="I3945" s="26">
        <v>54709</v>
      </c>
      <c r="J3945" s="117"/>
      <c r="K3945" s="120"/>
      <c r="L3945" s="121"/>
      <c r="M3945" s="120"/>
      <c r="N3945" s="121"/>
      <c r="O3945" s="120"/>
      <c r="P3945" s="121"/>
      <c r="Q3945" s="120"/>
      <c r="R3945" s="121"/>
      <c r="S3945" s="120"/>
      <c r="T3945" s="121"/>
      <c r="U3945" s="120"/>
      <c r="V3945" s="123"/>
      <c r="W3945" s="125"/>
      <c r="X3945" s="142" t="s">
        <v>12914</v>
      </c>
      <c r="Y3945" s="143"/>
      <c r="Z3945" s="143"/>
      <c r="AA3945" s="143"/>
      <c r="AB3945" s="144"/>
      <c r="AC3945" s="16" t="s">
        <v>21</v>
      </c>
      <c r="AD3945" s="17" t="s">
        <v>12856</v>
      </c>
      <c r="AE3945" s="145" t="s">
        <v>7859</v>
      </c>
      <c r="AF3945" s="146"/>
      <c r="AG3945" s="146"/>
      <c r="AH3945" s="146"/>
      <c r="AI3945" s="147"/>
      <c r="AJ3945" s="148"/>
      <c r="AK3945" s="143"/>
      <c r="AL3945" s="144"/>
      <c r="AM3945" s="22"/>
      <c r="AN3945" s="149" t="s">
        <v>2511</v>
      </c>
      <c r="AO3945" s="144"/>
      <c r="AP3945" s="148">
        <v>80134</v>
      </c>
      <c r="AQ3945" s="144"/>
      <c r="AR3945" s="120"/>
      <c r="AS3945" s="121"/>
      <c r="AT3945" s="120"/>
      <c r="AU3945" s="121"/>
      <c r="AV3945" s="120"/>
      <c r="AW3945" s="121"/>
      <c r="AX3945" s="120"/>
      <c r="AY3945" s="121"/>
      <c r="AZ3945" s="138"/>
    </row>
    <row r="3946" spans="1:52" ht="17.100000000000001" customHeight="1" thickTop="1">
      <c r="A3946" s="109" t="s">
        <v>12150</v>
      </c>
      <c r="B3946" s="28">
        <v>45992</v>
      </c>
      <c r="C3946" s="25"/>
      <c r="D3946" s="13" t="s">
        <v>1744</v>
      </c>
      <c r="E3946" s="111"/>
      <c r="F3946" s="113" t="s">
        <v>12176</v>
      </c>
      <c r="G3946" s="114"/>
      <c r="H3946" s="115"/>
      <c r="I3946" s="24" t="s">
        <v>12177</v>
      </c>
      <c r="J3946" s="116">
        <v>4</v>
      </c>
      <c r="K3946" s="118">
        <f>620400/1.1</f>
        <v>564000</v>
      </c>
      <c r="L3946" s="119"/>
      <c r="M3946" s="118">
        <f t="shared" ref="M3946" si="3875">K3946*0.1</f>
        <v>56400</v>
      </c>
      <c r="N3946" s="119"/>
      <c r="O3946" s="118">
        <v>0</v>
      </c>
      <c r="P3946" s="119"/>
      <c r="Q3946" s="118">
        <v>8400</v>
      </c>
      <c r="R3946" s="119"/>
      <c r="S3946" s="118">
        <v>0</v>
      </c>
      <c r="T3946" s="119"/>
      <c r="U3946" s="118">
        <f t="shared" ref="U3946" si="3876">SUM(K3946:T3947)</f>
        <v>628800</v>
      </c>
      <c r="V3946" s="122"/>
      <c r="W3946" s="124"/>
      <c r="X3946" s="126" t="s">
        <v>13775</v>
      </c>
      <c r="Y3946" s="127"/>
      <c r="Z3946" s="127"/>
      <c r="AA3946" s="127"/>
      <c r="AB3946" s="128"/>
      <c r="AC3946" s="15" t="s">
        <v>20</v>
      </c>
      <c r="AD3946" s="129" t="s">
        <v>171</v>
      </c>
      <c r="AE3946" s="130"/>
      <c r="AF3946" s="130"/>
      <c r="AG3946" s="130"/>
      <c r="AH3946" s="130"/>
      <c r="AI3946" s="131"/>
      <c r="AJ3946" s="132"/>
      <c r="AK3946" s="127"/>
      <c r="AL3946" s="128"/>
      <c r="AM3946" s="21" t="s">
        <v>14630</v>
      </c>
      <c r="AN3946" s="133">
        <v>46035</v>
      </c>
      <c r="AO3946" s="134"/>
      <c r="AP3946" s="135">
        <v>1924</v>
      </c>
      <c r="AQ3946" s="136"/>
      <c r="AR3946" s="118">
        <v>726000</v>
      </c>
      <c r="AS3946" s="119"/>
      <c r="AT3946" s="118">
        <f t="shared" ref="AT3946" si="3877">AR3946*0.1</f>
        <v>72600</v>
      </c>
      <c r="AU3946" s="119"/>
      <c r="AV3946" s="118">
        <v>8400</v>
      </c>
      <c r="AW3946" s="119"/>
      <c r="AX3946" s="118">
        <f t="shared" ref="AX3946" si="3878">SUM(AR3946:AW3946)</f>
        <v>807000</v>
      </c>
      <c r="AY3946" s="119"/>
      <c r="AZ3946" s="137"/>
    </row>
    <row r="3947" spans="1:52" ht="17.100000000000001" customHeight="1" thickBot="1">
      <c r="A3947" s="110"/>
      <c r="B3947" s="27" t="s">
        <v>1718</v>
      </c>
      <c r="C3947" s="27" t="s">
        <v>12132</v>
      </c>
      <c r="D3947" s="14" t="s">
        <v>4023</v>
      </c>
      <c r="E3947" s="112"/>
      <c r="F3947" s="139" t="s">
        <v>12133</v>
      </c>
      <c r="G3947" s="140"/>
      <c r="H3947" s="141"/>
      <c r="I3947" s="26">
        <v>48146</v>
      </c>
      <c r="J3947" s="117"/>
      <c r="K3947" s="120"/>
      <c r="L3947" s="121"/>
      <c r="M3947" s="120"/>
      <c r="N3947" s="121"/>
      <c r="O3947" s="120"/>
      <c r="P3947" s="121"/>
      <c r="Q3947" s="120"/>
      <c r="R3947" s="121"/>
      <c r="S3947" s="120"/>
      <c r="T3947" s="121"/>
      <c r="U3947" s="120"/>
      <c r="V3947" s="123"/>
      <c r="W3947" s="125"/>
      <c r="X3947" s="142" t="s">
        <v>13776</v>
      </c>
      <c r="Y3947" s="143"/>
      <c r="Z3947" s="143"/>
      <c r="AA3947" s="143"/>
      <c r="AB3947" s="144"/>
      <c r="AC3947" s="16" t="s">
        <v>21</v>
      </c>
      <c r="AD3947" s="17" t="s">
        <v>3476</v>
      </c>
      <c r="AE3947" s="145" t="s">
        <v>1742</v>
      </c>
      <c r="AF3947" s="146"/>
      <c r="AG3947" s="146"/>
      <c r="AH3947" s="146"/>
      <c r="AI3947" s="147"/>
      <c r="AJ3947" s="148"/>
      <c r="AK3947" s="143"/>
      <c r="AL3947" s="144"/>
      <c r="AM3947" s="22"/>
      <c r="AN3947" s="149" t="s">
        <v>2131</v>
      </c>
      <c r="AO3947" s="144"/>
      <c r="AP3947" s="148">
        <v>3043</v>
      </c>
      <c r="AQ3947" s="144"/>
      <c r="AR3947" s="120"/>
      <c r="AS3947" s="121"/>
      <c r="AT3947" s="120"/>
      <c r="AU3947" s="121"/>
      <c r="AV3947" s="120"/>
      <c r="AW3947" s="121"/>
      <c r="AX3947" s="120"/>
      <c r="AY3947" s="121"/>
      <c r="AZ3947" s="138"/>
    </row>
    <row r="3948" spans="1:52" ht="17.100000000000001" customHeight="1" thickTop="1">
      <c r="A3948" s="109" t="s">
        <v>12151</v>
      </c>
      <c r="B3948" s="28">
        <v>45992</v>
      </c>
      <c r="C3948" s="25"/>
      <c r="D3948" s="13" t="s">
        <v>2359</v>
      </c>
      <c r="E3948" s="111"/>
      <c r="F3948" s="113" t="s">
        <v>12178</v>
      </c>
      <c r="G3948" s="114"/>
      <c r="H3948" s="115"/>
      <c r="I3948" s="24" t="s">
        <v>10017</v>
      </c>
      <c r="J3948" s="116">
        <v>4.5</v>
      </c>
      <c r="K3948" s="118">
        <f>3690500/1.1</f>
        <v>3354999.9999999995</v>
      </c>
      <c r="L3948" s="119"/>
      <c r="M3948" s="118">
        <f t="shared" ref="M3948" si="3879">K3948*0.1</f>
        <v>335500</v>
      </c>
      <c r="N3948" s="119"/>
      <c r="O3948" s="118">
        <v>10800</v>
      </c>
      <c r="P3948" s="119"/>
      <c r="Q3948" s="118">
        <v>14900</v>
      </c>
      <c r="R3948" s="119"/>
      <c r="S3948" s="118">
        <v>0</v>
      </c>
      <c r="T3948" s="119"/>
      <c r="U3948" s="118">
        <f t="shared" ref="U3948" si="3880">SUM(K3948:T3949)</f>
        <v>3716199.9999999995</v>
      </c>
      <c r="V3948" s="122"/>
      <c r="W3948" s="124"/>
      <c r="X3948" s="126" t="s">
        <v>13902</v>
      </c>
      <c r="Y3948" s="127"/>
      <c r="Z3948" s="127"/>
      <c r="AA3948" s="127"/>
      <c r="AB3948" s="128"/>
      <c r="AC3948" s="15" t="s">
        <v>20</v>
      </c>
      <c r="AD3948" s="129" t="s">
        <v>186</v>
      </c>
      <c r="AE3948" s="130"/>
      <c r="AF3948" s="130"/>
      <c r="AG3948" s="130"/>
      <c r="AH3948" s="130"/>
      <c r="AI3948" s="131"/>
      <c r="AJ3948" s="132"/>
      <c r="AK3948" s="127"/>
      <c r="AL3948" s="128"/>
      <c r="AM3948" s="21"/>
      <c r="AN3948" s="133">
        <v>46008</v>
      </c>
      <c r="AO3948" s="134"/>
      <c r="AP3948" s="135">
        <v>997</v>
      </c>
      <c r="AQ3948" s="136"/>
      <c r="AR3948" s="118">
        <v>3435000</v>
      </c>
      <c r="AS3948" s="119"/>
      <c r="AT3948" s="118">
        <f t="shared" ref="AT3948" si="3881">AR3948*0.1</f>
        <v>343500</v>
      </c>
      <c r="AU3948" s="119"/>
      <c r="AV3948" s="118">
        <v>14900</v>
      </c>
      <c r="AW3948" s="119"/>
      <c r="AX3948" s="118">
        <f t="shared" ref="AX3948" si="3882">SUM(AR3948:AW3948)</f>
        <v>3793400</v>
      </c>
      <c r="AY3948" s="119"/>
      <c r="AZ3948" s="137">
        <v>46015</v>
      </c>
    </row>
    <row r="3949" spans="1:52" ht="17.100000000000001" customHeight="1" thickBot="1">
      <c r="A3949" s="110"/>
      <c r="B3949" s="27" t="s">
        <v>1718</v>
      </c>
      <c r="C3949" s="27" t="s">
        <v>12134</v>
      </c>
      <c r="D3949" s="14" t="s">
        <v>1592</v>
      </c>
      <c r="E3949" s="112"/>
      <c r="F3949" s="139" t="s">
        <v>12135</v>
      </c>
      <c r="G3949" s="140"/>
      <c r="H3949" s="141"/>
      <c r="I3949" s="26">
        <v>59100</v>
      </c>
      <c r="J3949" s="117"/>
      <c r="K3949" s="120"/>
      <c r="L3949" s="121"/>
      <c r="M3949" s="120"/>
      <c r="N3949" s="121"/>
      <c r="O3949" s="120"/>
      <c r="P3949" s="121"/>
      <c r="Q3949" s="120"/>
      <c r="R3949" s="121"/>
      <c r="S3949" s="120"/>
      <c r="T3949" s="121"/>
      <c r="U3949" s="120"/>
      <c r="V3949" s="123"/>
      <c r="W3949" s="125"/>
      <c r="X3949" s="142" t="s">
        <v>8254</v>
      </c>
      <c r="Y3949" s="143"/>
      <c r="Z3949" s="143"/>
      <c r="AA3949" s="143"/>
      <c r="AB3949" s="144"/>
      <c r="AC3949" s="16" t="s">
        <v>21</v>
      </c>
      <c r="AD3949" s="17" t="s">
        <v>13903</v>
      </c>
      <c r="AE3949" s="145" t="s">
        <v>13904</v>
      </c>
      <c r="AF3949" s="146"/>
      <c r="AG3949" s="146"/>
      <c r="AH3949" s="146"/>
      <c r="AI3949" s="147"/>
      <c r="AJ3949" s="148"/>
      <c r="AK3949" s="143"/>
      <c r="AL3949" s="144"/>
      <c r="AM3949" s="22"/>
      <c r="AN3949" s="149" t="s">
        <v>2794</v>
      </c>
      <c r="AO3949" s="144"/>
      <c r="AP3949" s="148">
        <v>1087</v>
      </c>
      <c r="AQ3949" s="144"/>
      <c r="AR3949" s="120"/>
      <c r="AS3949" s="121"/>
      <c r="AT3949" s="120"/>
      <c r="AU3949" s="121"/>
      <c r="AV3949" s="120"/>
      <c r="AW3949" s="121"/>
      <c r="AX3949" s="120"/>
      <c r="AY3949" s="121"/>
      <c r="AZ3949" s="138"/>
    </row>
    <row r="3950" spans="1:52" ht="17.100000000000001" customHeight="1" thickTop="1">
      <c r="A3950" s="109" t="s">
        <v>12152</v>
      </c>
      <c r="B3950" s="28">
        <v>45992</v>
      </c>
      <c r="C3950" s="25"/>
      <c r="D3950" s="13" t="s">
        <v>7408</v>
      </c>
      <c r="E3950" s="111"/>
      <c r="F3950" s="113" t="s">
        <v>12179</v>
      </c>
      <c r="G3950" s="114"/>
      <c r="H3950" s="115"/>
      <c r="I3950" s="24" t="s">
        <v>12180</v>
      </c>
      <c r="J3950" s="116">
        <v>4.5</v>
      </c>
      <c r="K3950" s="118">
        <f>753500/1.1</f>
        <v>685000</v>
      </c>
      <c r="L3950" s="119"/>
      <c r="M3950" s="118">
        <f t="shared" ref="M3950" si="3883">K3950*0.1</f>
        <v>68500</v>
      </c>
      <c r="N3950" s="119"/>
      <c r="O3950" s="118">
        <v>0</v>
      </c>
      <c r="P3950" s="119"/>
      <c r="Q3950" s="118">
        <v>7860</v>
      </c>
      <c r="R3950" s="119"/>
      <c r="S3950" s="118">
        <v>0</v>
      </c>
      <c r="T3950" s="119"/>
      <c r="U3950" s="118">
        <f t="shared" ref="U3950" si="3884">SUM(K3950:T3951)</f>
        <v>761360</v>
      </c>
      <c r="V3950" s="122"/>
      <c r="W3950" s="124"/>
      <c r="X3950" s="126" t="s">
        <v>13084</v>
      </c>
      <c r="Y3950" s="127"/>
      <c r="Z3950" s="127"/>
      <c r="AA3950" s="127"/>
      <c r="AB3950" s="128"/>
      <c r="AC3950" s="15" t="s">
        <v>20</v>
      </c>
      <c r="AD3950" s="129" t="s">
        <v>1945</v>
      </c>
      <c r="AE3950" s="130"/>
      <c r="AF3950" s="130"/>
      <c r="AG3950" s="130"/>
      <c r="AH3950" s="130"/>
      <c r="AI3950" s="131"/>
      <c r="AJ3950" s="132"/>
      <c r="AK3950" s="127"/>
      <c r="AL3950" s="128"/>
      <c r="AM3950" s="21"/>
      <c r="AN3950" s="133">
        <v>46011</v>
      </c>
      <c r="AO3950" s="134"/>
      <c r="AP3950" s="135">
        <v>1281</v>
      </c>
      <c r="AQ3950" s="136"/>
      <c r="AR3950" s="118">
        <v>775000</v>
      </c>
      <c r="AS3950" s="119"/>
      <c r="AT3950" s="118">
        <f t="shared" ref="AT3950" si="3885">AR3950*0.1</f>
        <v>77500</v>
      </c>
      <c r="AU3950" s="119"/>
      <c r="AV3950" s="118">
        <v>7860</v>
      </c>
      <c r="AW3950" s="119"/>
      <c r="AX3950" s="118">
        <f t="shared" ref="AX3950" si="3886">SUM(AR3950:AW3950)</f>
        <v>860360</v>
      </c>
      <c r="AY3950" s="119"/>
      <c r="AZ3950" s="137">
        <v>46014</v>
      </c>
    </row>
    <row r="3951" spans="1:52" ht="17.100000000000001" customHeight="1" thickBot="1">
      <c r="A3951" s="110"/>
      <c r="B3951" s="27" t="s">
        <v>1718</v>
      </c>
      <c r="C3951" s="27" t="s">
        <v>12160</v>
      </c>
      <c r="D3951" s="14" t="s">
        <v>1720</v>
      </c>
      <c r="E3951" s="112"/>
      <c r="F3951" s="139" t="s">
        <v>12161</v>
      </c>
      <c r="G3951" s="140"/>
      <c r="H3951" s="141"/>
      <c r="I3951" s="26">
        <v>10770</v>
      </c>
      <c r="J3951" s="117"/>
      <c r="K3951" s="120"/>
      <c r="L3951" s="121"/>
      <c r="M3951" s="120"/>
      <c r="N3951" s="121"/>
      <c r="O3951" s="120"/>
      <c r="P3951" s="121"/>
      <c r="Q3951" s="120"/>
      <c r="R3951" s="121"/>
      <c r="S3951" s="120"/>
      <c r="T3951" s="121"/>
      <c r="U3951" s="120"/>
      <c r="V3951" s="123"/>
      <c r="W3951" s="125"/>
      <c r="X3951" s="142" t="s">
        <v>13085</v>
      </c>
      <c r="Y3951" s="143"/>
      <c r="Z3951" s="143"/>
      <c r="AA3951" s="143"/>
      <c r="AB3951" s="144"/>
      <c r="AC3951" s="16" t="s">
        <v>21</v>
      </c>
      <c r="AD3951" s="17" t="s">
        <v>12921</v>
      </c>
      <c r="AE3951" s="145" t="s">
        <v>9484</v>
      </c>
      <c r="AF3951" s="146"/>
      <c r="AG3951" s="146"/>
      <c r="AH3951" s="146"/>
      <c r="AI3951" s="147"/>
      <c r="AJ3951" s="148"/>
      <c r="AK3951" s="143"/>
      <c r="AL3951" s="144"/>
      <c r="AM3951" s="22"/>
      <c r="AN3951" s="149" t="s">
        <v>2511</v>
      </c>
      <c r="AO3951" s="144"/>
      <c r="AP3951" s="148">
        <v>65094</v>
      </c>
      <c r="AQ3951" s="144"/>
      <c r="AR3951" s="120"/>
      <c r="AS3951" s="121"/>
      <c r="AT3951" s="120"/>
      <c r="AU3951" s="121"/>
      <c r="AV3951" s="120"/>
      <c r="AW3951" s="121"/>
      <c r="AX3951" s="120"/>
      <c r="AY3951" s="121"/>
      <c r="AZ3951" s="138"/>
    </row>
    <row r="3952" spans="1:52" ht="17.100000000000001" customHeight="1" thickTop="1">
      <c r="A3952" s="151" t="s">
        <v>12153</v>
      </c>
      <c r="B3952" s="28">
        <v>45992</v>
      </c>
      <c r="C3952" s="25"/>
      <c r="D3952" s="13" t="s">
        <v>3381</v>
      </c>
      <c r="E3952" s="111"/>
      <c r="F3952" s="113" t="s">
        <v>12181</v>
      </c>
      <c r="G3952" s="114"/>
      <c r="H3952" s="115"/>
      <c r="I3952" s="24" t="s">
        <v>12182</v>
      </c>
      <c r="J3952" s="116">
        <v>3.5</v>
      </c>
      <c r="K3952" s="118">
        <f>202400/1.1</f>
        <v>183999.99999999997</v>
      </c>
      <c r="L3952" s="119"/>
      <c r="M3952" s="118">
        <f t="shared" ref="M3952" si="3887">K3952*0.1</f>
        <v>18399.999999999996</v>
      </c>
      <c r="N3952" s="119"/>
      <c r="O3952" s="118">
        <v>0</v>
      </c>
      <c r="P3952" s="119"/>
      <c r="Q3952" s="118">
        <v>7750</v>
      </c>
      <c r="R3952" s="119"/>
      <c r="S3952" s="118">
        <v>0</v>
      </c>
      <c r="T3952" s="119"/>
      <c r="U3952" s="118">
        <f t="shared" ref="U3952" si="3888">SUM(K3952:T3953)</f>
        <v>210149.99999999997</v>
      </c>
      <c r="V3952" s="122"/>
      <c r="W3952" s="124"/>
      <c r="X3952" s="126" t="s">
        <v>13174</v>
      </c>
      <c r="Y3952" s="127"/>
      <c r="Z3952" s="127"/>
      <c r="AA3952" s="127"/>
      <c r="AB3952" s="128"/>
      <c r="AC3952" s="15" t="s">
        <v>20</v>
      </c>
      <c r="AD3952" s="129" t="s">
        <v>171</v>
      </c>
      <c r="AE3952" s="130"/>
      <c r="AF3952" s="130"/>
      <c r="AG3952" s="130"/>
      <c r="AH3952" s="130"/>
      <c r="AI3952" s="131"/>
      <c r="AJ3952" s="132" t="s">
        <v>13918</v>
      </c>
      <c r="AK3952" s="127"/>
      <c r="AL3952" s="128"/>
      <c r="AM3952" s="21"/>
      <c r="AN3952" s="133"/>
      <c r="AO3952" s="134"/>
      <c r="AP3952" s="135"/>
      <c r="AQ3952" s="136"/>
      <c r="AR3952" s="118"/>
      <c r="AS3952" s="119"/>
      <c r="AT3952" s="118">
        <f t="shared" ref="AT3952" si="3889">AR3952*0.1</f>
        <v>0</v>
      </c>
      <c r="AU3952" s="119"/>
      <c r="AV3952" s="118"/>
      <c r="AW3952" s="119"/>
      <c r="AX3952" s="118">
        <f t="shared" ref="AX3952" si="3890">SUM(AR3952:AW3952)</f>
        <v>0</v>
      </c>
      <c r="AY3952" s="119"/>
      <c r="AZ3952" s="137"/>
    </row>
    <row r="3953" spans="1:52" ht="17.100000000000001" customHeight="1" thickBot="1">
      <c r="A3953" s="152"/>
      <c r="B3953" s="27" t="s">
        <v>1718</v>
      </c>
      <c r="C3953" s="27" t="s">
        <v>12162</v>
      </c>
      <c r="D3953" s="14" t="s">
        <v>2040</v>
      </c>
      <c r="E3953" s="112"/>
      <c r="F3953" s="139" t="s">
        <v>12163</v>
      </c>
      <c r="G3953" s="140"/>
      <c r="H3953" s="141"/>
      <c r="I3953" s="26">
        <v>59803</v>
      </c>
      <c r="J3953" s="117"/>
      <c r="K3953" s="120"/>
      <c r="L3953" s="121"/>
      <c r="M3953" s="120"/>
      <c r="N3953" s="121"/>
      <c r="O3953" s="120"/>
      <c r="P3953" s="121"/>
      <c r="Q3953" s="120"/>
      <c r="R3953" s="121"/>
      <c r="S3953" s="120"/>
      <c r="T3953" s="121"/>
      <c r="U3953" s="120"/>
      <c r="V3953" s="123"/>
      <c r="W3953" s="125"/>
      <c r="X3953" s="142" t="s">
        <v>13175</v>
      </c>
      <c r="Y3953" s="143"/>
      <c r="Z3953" s="143"/>
      <c r="AA3953" s="143"/>
      <c r="AB3953" s="144"/>
      <c r="AC3953" s="16" t="s">
        <v>21</v>
      </c>
      <c r="AD3953" s="17" t="s">
        <v>13052</v>
      </c>
      <c r="AE3953" s="145" t="s">
        <v>1633</v>
      </c>
      <c r="AF3953" s="146"/>
      <c r="AG3953" s="146"/>
      <c r="AH3953" s="146"/>
      <c r="AI3953" s="147"/>
      <c r="AJ3953" s="148"/>
      <c r="AK3953" s="143"/>
      <c r="AL3953" s="144"/>
      <c r="AM3953" s="22"/>
      <c r="AN3953" s="149"/>
      <c r="AO3953" s="144"/>
      <c r="AP3953" s="148"/>
      <c r="AQ3953" s="144"/>
      <c r="AR3953" s="120"/>
      <c r="AS3953" s="121"/>
      <c r="AT3953" s="120"/>
      <c r="AU3953" s="121"/>
      <c r="AV3953" s="120"/>
      <c r="AW3953" s="121"/>
      <c r="AX3953" s="120"/>
      <c r="AY3953" s="121"/>
      <c r="AZ3953" s="138"/>
    </row>
    <row r="3954" spans="1:52" ht="17.100000000000001" customHeight="1" thickTop="1">
      <c r="A3954" s="109" t="s">
        <v>12154</v>
      </c>
      <c r="B3954" s="28">
        <v>45992</v>
      </c>
      <c r="C3954" s="25"/>
      <c r="D3954" s="13" t="s">
        <v>2272</v>
      </c>
      <c r="E3954" s="111"/>
      <c r="F3954" s="113" t="s">
        <v>12183</v>
      </c>
      <c r="G3954" s="114"/>
      <c r="H3954" s="115"/>
      <c r="I3954" s="24" t="s">
        <v>12184</v>
      </c>
      <c r="J3954" s="116">
        <v>4</v>
      </c>
      <c r="K3954" s="118">
        <f>4400000/1.1</f>
        <v>3999999.9999999995</v>
      </c>
      <c r="L3954" s="119"/>
      <c r="M3954" s="118">
        <f t="shared" ref="M3954" si="3891">K3954*0.1</f>
        <v>400000</v>
      </c>
      <c r="N3954" s="119"/>
      <c r="O3954" s="118">
        <v>10800</v>
      </c>
      <c r="P3954" s="119"/>
      <c r="Q3954" s="118">
        <v>15470</v>
      </c>
      <c r="R3954" s="119"/>
      <c r="S3954" s="118">
        <v>0</v>
      </c>
      <c r="T3954" s="119"/>
      <c r="U3954" s="118">
        <v>4426270</v>
      </c>
      <c r="V3954" s="122"/>
      <c r="W3954" s="124"/>
      <c r="X3954" s="126" t="s">
        <v>13176</v>
      </c>
      <c r="Y3954" s="127"/>
      <c r="Z3954" s="127"/>
      <c r="AA3954" s="127"/>
      <c r="AB3954" s="128"/>
      <c r="AC3954" s="15" t="s">
        <v>20</v>
      </c>
      <c r="AD3954" s="129" t="s">
        <v>1945</v>
      </c>
      <c r="AE3954" s="130"/>
      <c r="AF3954" s="130"/>
      <c r="AG3954" s="130"/>
      <c r="AH3954" s="130"/>
      <c r="AI3954" s="131"/>
      <c r="AJ3954" s="132"/>
      <c r="AK3954" s="127"/>
      <c r="AL3954" s="128"/>
      <c r="AM3954" s="21"/>
      <c r="AN3954" s="133">
        <v>46004</v>
      </c>
      <c r="AO3954" s="134"/>
      <c r="AP3954" s="135">
        <v>1280</v>
      </c>
      <c r="AQ3954" s="136"/>
      <c r="AR3954" s="118">
        <v>4150000</v>
      </c>
      <c r="AS3954" s="119"/>
      <c r="AT3954" s="118">
        <f t="shared" ref="AT3954" si="3892">AR3954*0.1</f>
        <v>415000</v>
      </c>
      <c r="AU3954" s="119"/>
      <c r="AV3954" s="118">
        <v>15470</v>
      </c>
      <c r="AW3954" s="119"/>
      <c r="AX3954" s="118">
        <f t="shared" ref="AX3954" si="3893">SUM(AR3954:AW3954)</f>
        <v>4580470</v>
      </c>
      <c r="AY3954" s="119"/>
      <c r="AZ3954" s="137">
        <v>46008</v>
      </c>
    </row>
    <row r="3955" spans="1:52" ht="17.100000000000001" customHeight="1" thickBot="1">
      <c r="A3955" s="110"/>
      <c r="B3955" s="27" t="s">
        <v>1718</v>
      </c>
      <c r="C3955" s="27" t="s">
        <v>12164</v>
      </c>
      <c r="D3955" s="14" t="s">
        <v>2836</v>
      </c>
      <c r="E3955" s="112"/>
      <c r="F3955" s="139" t="s">
        <v>12165</v>
      </c>
      <c r="G3955" s="140"/>
      <c r="H3955" s="141"/>
      <c r="I3955" s="26">
        <v>19954</v>
      </c>
      <c r="J3955" s="117"/>
      <c r="K3955" s="120"/>
      <c r="L3955" s="121"/>
      <c r="M3955" s="120"/>
      <c r="N3955" s="121"/>
      <c r="O3955" s="120"/>
      <c r="P3955" s="121"/>
      <c r="Q3955" s="120"/>
      <c r="R3955" s="121"/>
      <c r="S3955" s="120"/>
      <c r="T3955" s="121"/>
      <c r="U3955" s="120"/>
      <c r="V3955" s="123"/>
      <c r="W3955" s="125"/>
      <c r="X3955" s="142" t="s">
        <v>13177</v>
      </c>
      <c r="Y3955" s="143"/>
      <c r="Z3955" s="143"/>
      <c r="AA3955" s="143"/>
      <c r="AB3955" s="144"/>
      <c r="AC3955" s="16" t="s">
        <v>21</v>
      </c>
      <c r="AD3955" s="17" t="s">
        <v>13052</v>
      </c>
      <c r="AE3955" s="145" t="s">
        <v>1614</v>
      </c>
      <c r="AF3955" s="146"/>
      <c r="AG3955" s="146"/>
      <c r="AH3955" s="146"/>
      <c r="AI3955" s="147"/>
      <c r="AJ3955" s="148"/>
      <c r="AK3955" s="143"/>
      <c r="AL3955" s="144"/>
      <c r="AM3955" s="22"/>
      <c r="AN3955" s="149" t="s">
        <v>2511</v>
      </c>
      <c r="AO3955" s="144"/>
      <c r="AP3955" s="148">
        <v>37841</v>
      </c>
      <c r="AQ3955" s="144"/>
      <c r="AR3955" s="120"/>
      <c r="AS3955" s="121"/>
      <c r="AT3955" s="120"/>
      <c r="AU3955" s="121"/>
      <c r="AV3955" s="120"/>
      <c r="AW3955" s="121"/>
      <c r="AX3955" s="120"/>
      <c r="AY3955" s="121"/>
      <c r="AZ3955" s="138"/>
    </row>
    <row r="3956" spans="1:52" ht="17.100000000000001" customHeight="1" thickTop="1">
      <c r="A3956" s="151" t="s">
        <v>12155</v>
      </c>
      <c r="B3956" s="28">
        <v>45992</v>
      </c>
      <c r="C3956" s="25"/>
      <c r="D3956" s="13" t="s">
        <v>1929</v>
      </c>
      <c r="E3956" s="111"/>
      <c r="F3956" s="113" t="s">
        <v>12185</v>
      </c>
      <c r="G3956" s="114"/>
      <c r="H3956" s="115"/>
      <c r="I3956" s="24" t="s">
        <v>4774</v>
      </c>
      <c r="J3956" s="116">
        <v>4</v>
      </c>
      <c r="K3956" s="118">
        <f>598400/1.1</f>
        <v>544000</v>
      </c>
      <c r="L3956" s="119"/>
      <c r="M3956" s="118">
        <f t="shared" ref="M3956" si="3894">K3956*0.1</f>
        <v>54400</v>
      </c>
      <c r="N3956" s="119"/>
      <c r="O3956" s="118">
        <v>0</v>
      </c>
      <c r="P3956" s="119"/>
      <c r="Q3956" s="118">
        <v>8510</v>
      </c>
      <c r="R3956" s="119"/>
      <c r="S3956" s="118">
        <v>0</v>
      </c>
      <c r="T3956" s="119"/>
      <c r="U3956" s="118">
        <f t="shared" ref="U3956" si="3895">SUM(K3956:T3957)</f>
        <v>606910</v>
      </c>
      <c r="V3956" s="122"/>
      <c r="W3956" s="124"/>
      <c r="X3956" s="126" t="s">
        <v>13088</v>
      </c>
      <c r="Y3956" s="127"/>
      <c r="Z3956" s="127"/>
      <c r="AA3956" s="127"/>
      <c r="AB3956" s="128"/>
      <c r="AC3956" s="15" t="s">
        <v>20</v>
      </c>
      <c r="AD3956" s="129" t="s">
        <v>171</v>
      </c>
      <c r="AE3956" s="130"/>
      <c r="AF3956" s="130"/>
      <c r="AG3956" s="130"/>
      <c r="AH3956" s="130"/>
      <c r="AI3956" s="131"/>
      <c r="AJ3956" s="132" t="s">
        <v>13517</v>
      </c>
      <c r="AK3956" s="127"/>
      <c r="AL3956" s="128"/>
      <c r="AM3956" s="21"/>
      <c r="AN3956" s="133"/>
      <c r="AO3956" s="134"/>
      <c r="AP3956" s="135"/>
      <c r="AQ3956" s="136"/>
      <c r="AR3956" s="118"/>
      <c r="AS3956" s="119"/>
      <c r="AT3956" s="118">
        <f t="shared" ref="AT3956" si="3896">AR3956*0.1</f>
        <v>0</v>
      </c>
      <c r="AU3956" s="119"/>
      <c r="AV3956" s="118"/>
      <c r="AW3956" s="119"/>
      <c r="AX3956" s="118">
        <f t="shared" ref="AX3956" si="3897">SUM(AR3956:AW3956)</f>
        <v>0</v>
      </c>
      <c r="AY3956" s="119"/>
      <c r="AZ3956" s="137"/>
    </row>
    <row r="3957" spans="1:52" ht="17.100000000000001" customHeight="1" thickBot="1">
      <c r="A3957" s="152"/>
      <c r="B3957" s="27" t="s">
        <v>1718</v>
      </c>
      <c r="C3957" s="27" t="s">
        <v>12166</v>
      </c>
      <c r="D3957" s="14" t="s">
        <v>275</v>
      </c>
      <c r="E3957" s="112"/>
      <c r="F3957" s="139" t="s">
        <v>12167</v>
      </c>
      <c r="G3957" s="140"/>
      <c r="H3957" s="141"/>
      <c r="I3957" s="26">
        <v>64759</v>
      </c>
      <c r="J3957" s="117"/>
      <c r="K3957" s="120"/>
      <c r="L3957" s="121"/>
      <c r="M3957" s="120"/>
      <c r="N3957" s="121"/>
      <c r="O3957" s="120"/>
      <c r="P3957" s="121"/>
      <c r="Q3957" s="120"/>
      <c r="R3957" s="121"/>
      <c r="S3957" s="120"/>
      <c r="T3957" s="121"/>
      <c r="U3957" s="120"/>
      <c r="V3957" s="123"/>
      <c r="W3957" s="125"/>
      <c r="X3957" s="142" t="s">
        <v>13089</v>
      </c>
      <c r="Y3957" s="143"/>
      <c r="Z3957" s="143"/>
      <c r="AA3957" s="143"/>
      <c r="AB3957" s="144"/>
      <c r="AC3957" s="16" t="s">
        <v>21</v>
      </c>
      <c r="AD3957" s="17" t="s">
        <v>12921</v>
      </c>
      <c r="AE3957" s="145" t="s">
        <v>1609</v>
      </c>
      <c r="AF3957" s="146"/>
      <c r="AG3957" s="146"/>
      <c r="AH3957" s="146"/>
      <c r="AI3957" s="147"/>
      <c r="AJ3957" s="148"/>
      <c r="AK3957" s="143"/>
      <c r="AL3957" s="144"/>
      <c r="AM3957" s="22"/>
      <c r="AN3957" s="149"/>
      <c r="AO3957" s="144"/>
      <c r="AP3957" s="148"/>
      <c r="AQ3957" s="144"/>
      <c r="AR3957" s="120"/>
      <c r="AS3957" s="121"/>
      <c r="AT3957" s="120"/>
      <c r="AU3957" s="121"/>
      <c r="AV3957" s="120"/>
      <c r="AW3957" s="121"/>
      <c r="AX3957" s="120"/>
      <c r="AY3957" s="121"/>
      <c r="AZ3957" s="138"/>
    </row>
    <row r="3958" spans="1:52" ht="17.100000000000001" customHeight="1" thickTop="1">
      <c r="A3958" s="109" t="s">
        <v>12156</v>
      </c>
      <c r="B3958" s="28">
        <v>45992</v>
      </c>
      <c r="C3958" s="25"/>
      <c r="D3958" s="13" t="s">
        <v>1937</v>
      </c>
      <c r="E3958" s="111"/>
      <c r="F3958" s="113" t="s">
        <v>12186</v>
      </c>
      <c r="G3958" s="114"/>
      <c r="H3958" s="115"/>
      <c r="I3958" s="24" t="s">
        <v>12187</v>
      </c>
      <c r="J3958" s="116">
        <v>4</v>
      </c>
      <c r="K3958" s="118">
        <f>669900/1.1</f>
        <v>609000</v>
      </c>
      <c r="L3958" s="119"/>
      <c r="M3958" s="118">
        <f t="shared" ref="M3958" si="3898">K3958*0.1</f>
        <v>60900</v>
      </c>
      <c r="N3958" s="119"/>
      <c r="O3958" s="118">
        <v>0</v>
      </c>
      <c r="P3958" s="119"/>
      <c r="Q3958" s="118">
        <v>9200</v>
      </c>
      <c r="R3958" s="119"/>
      <c r="S3958" s="118">
        <v>0</v>
      </c>
      <c r="T3958" s="119"/>
      <c r="U3958" s="118">
        <f t="shared" ref="U3958" si="3899">SUM(K3958:T3959)</f>
        <v>679100</v>
      </c>
      <c r="V3958" s="122"/>
      <c r="W3958" s="124"/>
      <c r="X3958" s="126" t="s">
        <v>13086</v>
      </c>
      <c r="Y3958" s="127"/>
      <c r="Z3958" s="127"/>
      <c r="AA3958" s="127"/>
      <c r="AB3958" s="128"/>
      <c r="AC3958" s="15" t="s">
        <v>20</v>
      </c>
      <c r="AD3958" s="129" t="s">
        <v>171</v>
      </c>
      <c r="AE3958" s="130"/>
      <c r="AF3958" s="130"/>
      <c r="AG3958" s="130"/>
      <c r="AH3958" s="130"/>
      <c r="AI3958" s="131"/>
      <c r="AJ3958" s="132"/>
      <c r="AK3958" s="127"/>
      <c r="AL3958" s="128"/>
      <c r="AM3958" s="21" t="s">
        <v>14927</v>
      </c>
      <c r="AN3958" s="133">
        <v>46035</v>
      </c>
      <c r="AO3958" s="134"/>
      <c r="AP3958" s="135">
        <v>1924</v>
      </c>
      <c r="AQ3958" s="136"/>
      <c r="AR3958" s="118">
        <v>732000</v>
      </c>
      <c r="AS3958" s="119"/>
      <c r="AT3958" s="118">
        <f t="shared" ref="AT3958" si="3900">AR3958*0.1</f>
        <v>73200</v>
      </c>
      <c r="AU3958" s="119"/>
      <c r="AV3958" s="118">
        <v>9200</v>
      </c>
      <c r="AW3958" s="119"/>
      <c r="AX3958" s="118">
        <f t="shared" ref="AX3958" si="3901">SUM(AR3958:AW3958)</f>
        <v>814400</v>
      </c>
      <c r="AY3958" s="119"/>
      <c r="AZ3958" s="137"/>
    </row>
    <row r="3959" spans="1:52" ht="17.100000000000001" customHeight="1" thickBot="1">
      <c r="A3959" s="110"/>
      <c r="B3959" s="27" t="s">
        <v>1718</v>
      </c>
      <c r="C3959" s="27" t="s">
        <v>12168</v>
      </c>
      <c r="D3959" s="14" t="s">
        <v>2040</v>
      </c>
      <c r="E3959" s="112"/>
      <c r="F3959" s="139" t="s">
        <v>12169</v>
      </c>
      <c r="G3959" s="140"/>
      <c r="H3959" s="141"/>
      <c r="I3959" s="26">
        <v>79877</v>
      </c>
      <c r="J3959" s="117"/>
      <c r="K3959" s="120"/>
      <c r="L3959" s="121"/>
      <c r="M3959" s="120"/>
      <c r="N3959" s="121"/>
      <c r="O3959" s="120"/>
      <c r="P3959" s="121"/>
      <c r="Q3959" s="120"/>
      <c r="R3959" s="121"/>
      <c r="S3959" s="120"/>
      <c r="T3959" s="121"/>
      <c r="U3959" s="120"/>
      <c r="V3959" s="123"/>
      <c r="W3959" s="125"/>
      <c r="X3959" s="142" t="s">
        <v>13087</v>
      </c>
      <c r="Y3959" s="143"/>
      <c r="Z3959" s="143"/>
      <c r="AA3959" s="143"/>
      <c r="AB3959" s="144"/>
      <c r="AC3959" s="16" t="s">
        <v>21</v>
      </c>
      <c r="AD3959" s="17" t="s">
        <v>12921</v>
      </c>
      <c r="AE3959" s="145" t="s">
        <v>13075</v>
      </c>
      <c r="AF3959" s="146"/>
      <c r="AG3959" s="146"/>
      <c r="AH3959" s="146"/>
      <c r="AI3959" s="147"/>
      <c r="AJ3959" s="148"/>
      <c r="AK3959" s="143"/>
      <c r="AL3959" s="144"/>
      <c r="AM3959" s="22"/>
      <c r="AN3959" s="149" t="s">
        <v>2131</v>
      </c>
      <c r="AO3959" s="144"/>
      <c r="AP3959" s="148">
        <v>3055</v>
      </c>
      <c r="AQ3959" s="144"/>
      <c r="AR3959" s="120"/>
      <c r="AS3959" s="121"/>
      <c r="AT3959" s="120"/>
      <c r="AU3959" s="121"/>
      <c r="AV3959" s="120"/>
      <c r="AW3959" s="121"/>
      <c r="AX3959" s="120"/>
      <c r="AY3959" s="121"/>
      <c r="AZ3959" s="138"/>
    </row>
    <row r="3960" spans="1:52" ht="17.100000000000001" customHeight="1" thickTop="1">
      <c r="A3960" s="151" t="s">
        <v>12157</v>
      </c>
      <c r="B3960" s="28">
        <v>45992</v>
      </c>
      <c r="C3960" s="25"/>
      <c r="D3960" s="13" t="s">
        <v>2359</v>
      </c>
      <c r="E3960" s="111"/>
      <c r="F3960" s="113" t="s">
        <v>12188</v>
      </c>
      <c r="G3960" s="114"/>
      <c r="H3960" s="115"/>
      <c r="I3960" s="24" t="s">
        <v>3674</v>
      </c>
      <c r="J3960" s="116">
        <v>4.5</v>
      </c>
      <c r="K3960" s="118">
        <f>3118500/1.1</f>
        <v>2835000</v>
      </c>
      <c r="L3960" s="119"/>
      <c r="M3960" s="118">
        <f t="shared" ref="M3960" si="3902">K3960*0.1</f>
        <v>283500</v>
      </c>
      <c r="N3960" s="119"/>
      <c r="O3960" s="118">
        <v>6000</v>
      </c>
      <c r="P3960" s="119"/>
      <c r="Q3960" s="118">
        <v>10750</v>
      </c>
      <c r="R3960" s="119"/>
      <c r="S3960" s="118">
        <v>0</v>
      </c>
      <c r="T3960" s="119"/>
      <c r="U3960" s="118">
        <f t="shared" ref="U3960" si="3903">SUM(K3960:T3961)</f>
        <v>3135250</v>
      </c>
      <c r="V3960" s="122"/>
      <c r="W3960" s="124"/>
      <c r="X3960" s="126" t="s">
        <v>14252</v>
      </c>
      <c r="Y3960" s="127"/>
      <c r="Z3960" s="127"/>
      <c r="AA3960" s="127"/>
      <c r="AB3960" s="128"/>
      <c r="AC3960" s="15" t="s">
        <v>20</v>
      </c>
      <c r="AD3960" s="129" t="s">
        <v>171</v>
      </c>
      <c r="AE3960" s="130"/>
      <c r="AF3960" s="130"/>
      <c r="AG3960" s="130"/>
      <c r="AH3960" s="130"/>
      <c r="AI3960" s="131"/>
      <c r="AJ3960" s="132"/>
      <c r="AK3960" s="127"/>
      <c r="AL3960" s="128"/>
      <c r="AM3960" s="21"/>
      <c r="AN3960" s="133">
        <v>46032</v>
      </c>
      <c r="AO3960" s="134"/>
      <c r="AP3960" s="135">
        <v>1283</v>
      </c>
      <c r="AQ3960" s="136"/>
      <c r="AR3960" s="118">
        <v>2900000</v>
      </c>
      <c r="AS3960" s="119"/>
      <c r="AT3960" s="118">
        <f t="shared" ref="AT3960" si="3904">AR3960*0.1</f>
        <v>290000</v>
      </c>
      <c r="AU3960" s="119"/>
      <c r="AV3960" s="118">
        <v>10750</v>
      </c>
      <c r="AW3960" s="119"/>
      <c r="AX3960" s="118">
        <f t="shared" ref="AX3960" si="3905">SUM(AR3960:AW3960)</f>
        <v>3200750</v>
      </c>
      <c r="AY3960" s="119"/>
      <c r="AZ3960" s="137">
        <v>46036</v>
      </c>
    </row>
    <row r="3961" spans="1:52" ht="17.100000000000001" customHeight="1" thickBot="1">
      <c r="A3961" s="152"/>
      <c r="B3961" s="27" t="s">
        <v>1718</v>
      </c>
      <c r="C3961" s="27" t="s">
        <v>12170</v>
      </c>
      <c r="D3961" s="14" t="s">
        <v>275</v>
      </c>
      <c r="E3961" s="112"/>
      <c r="F3961" s="139" t="s">
        <v>12171</v>
      </c>
      <c r="G3961" s="140"/>
      <c r="H3961" s="141"/>
      <c r="I3961" s="26">
        <v>34442</v>
      </c>
      <c r="J3961" s="117"/>
      <c r="K3961" s="120"/>
      <c r="L3961" s="121"/>
      <c r="M3961" s="120"/>
      <c r="N3961" s="121"/>
      <c r="O3961" s="120"/>
      <c r="P3961" s="121"/>
      <c r="Q3961" s="120"/>
      <c r="R3961" s="121"/>
      <c r="S3961" s="120"/>
      <c r="T3961" s="121"/>
      <c r="U3961" s="120"/>
      <c r="V3961" s="123"/>
      <c r="W3961" s="125"/>
      <c r="X3961" s="142" t="s">
        <v>2321</v>
      </c>
      <c r="Y3961" s="143"/>
      <c r="Z3961" s="143"/>
      <c r="AA3961" s="143"/>
      <c r="AB3961" s="144"/>
      <c r="AC3961" s="16" t="s">
        <v>21</v>
      </c>
      <c r="AD3961" s="17" t="s">
        <v>3488</v>
      </c>
      <c r="AE3961" s="145" t="s">
        <v>2051</v>
      </c>
      <c r="AF3961" s="146"/>
      <c r="AG3961" s="146"/>
      <c r="AH3961" s="146"/>
      <c r="AI3961" s="147"/>
      <c r="AJ3961" s="148"/>
      <c r="AK3961" s="143"/>
      <c r="AL3961" s="144"/>
      <c r="AM3961" s="22"/>
      <c r="AN3961" s="149" t="s">
        <v>2511</v>
      </c>
      <c r="AO3961" s="144"/>
      <c r="AP3961" s="148">
        <v>37108</v>
      </c>
      <c r="AQ3961" s="144"/>
      <c r="AR3961" s="120"/>
      <c r="AS3961" s="121"/>
      <c r="AT3961" s="120"/>
      <c r="AU3961" s="121"/>
      <c r="AV3961" s="120"/>
      <c r="AW3961" s="121"/>
      <c r="AX3961" s="120"/>
      <c r="AY3961" s="121"/>
      <c r="AZ3961" s="138"/>
    </row>
    <row r="3962" spans="1:52" ht="17.100000000000001" customHeight="1" thickTop="1">
      <c r="A3962" s="151" t="s">
        <v>12158</v>
      </c>
      <c r="B3962" s="28">
        <v>45992</v>
      </c>
      <c r="C3962" s="25"/>
      <c r="D3962" s="13" t="s">
        <v>3386</v>
      </c>
      <c r="E3962" s="111"/>
      <c r="F3962" s="113" t="s">
        <v>12189</v>
      </c>
      <c r="G3962" s="114"/>
      <c r="H3962" s="115"/>
      <c r="I3962" s="24" t="s">
        <v>12190</v>
      </c>
      <c r="J3962" s="116">
        <v>4.5</v>
      </c>
      <c r="K3962" s="118">
        <f>1100000/1.1</f>
        <v>999999.99999999988</v>
      </c>
      <c r="L3962" s="119"/>
      <c r="M3962" s="118">
        <f t="shared" ref="M3962" si="3906">K3962*0.1</f>
        <v>100000</v>
      </c>
      <c r="N3962" s="119"/>
      <c r="O3962" s="118">
        <v>0</v>
      </c>
      <c r="P3962" s="119"/>
      <c r="Q3962" s="118">
        <v>7150</v>
      </c>
      <c r="R3962" s="119"/>
      <c r="S3962" s="118">
        <v>0</v>
      </c>
      <c r="T3962" s="119"/>
      <c r="U3962" s="118">
        <f t="shared" ref="U3962" si="3907">SUM(K3962:T3963)</f>
        <v>1107150</v>
      </c>
      <c r="V3962" s="122"/>
      <c r="W3962" s="124"/>
      <c r="X3962" s="126" t="s">
        <v>14254</v>
      </c>
      <c r="Y3962" s="127"/>
      <c r="Z3962" s="127"/>
      <c r="AA3962" s="127"/>
      <c r="AB3962" s="128"/>
      <c r="AC3962" s="15" t="s">
        <v>20</v>
      </c>
      <c r="AD3962" s="129" t="s">
        <v>1797</v>
      </c>
      <c r="AE3962" s="130"/>
      <c r="AF3962" s="130"/>
      <c r="AG3962" s="130"/>
      <c r="AH3962" s="130"/>
      <c r="AI3962" s="131"/>
      <c r="AJ3962" s="132"/>
      <c r="AK3962" s="127"/>
      <c r="AL3962" s="128"/>
      <c r="AM3962" s="21"/>
      <c r="AN3962" s="133">
        <v>46032</v>
      </c>
      <c r="AO3962" s="134"/>
      <c r="AP3962" s="135">
        <v>1283</v>
      </c>
      <c r="AQ3962" s="136"/>
      <c r="AR3962" s="118">
        <v>1245000</v>
      </c>
      <c r="AS3962" s="119"/>
      <c r="AT3962" s="118">
        <f t="shared" ref="AT3962" si="3908">AR3962*0.1</f>
        <v>124500</v>
      </c>
      <c r="AU3962" s="119"/>
      <c r="AV3962" s="118">
        <v>7150</v>
      </c>
      <c r="AW3962" s="119"/>
      <c r="AX3962" s="118">
        <f t="shared" ref="AX3962" si="3909">SUM(AR3962:AW3962)</f>
        <v>1376650</v>
      </c>
      <c r="AY3962" s="119"/>
      <c r="AZ3962" s="137">
        <v>46036</v>
      </c>
    </row>
    <row r="3963" spans="1:52" ht="17.100000000000001" customHeight="1" thickBot="1">
      <c r="A3963" s="152"/>
      <c r="B3963" s="27" t="s">
        <v>1718</v>
      </c>
      <c r="C3963" s="27" t="s">
        <v>12172</v>
      </c>
      <c r="D3963" s="14" t="s">
        <v>2601</v>
      </c>
      <c r="E3963" s="112"/>
      <c r="F3963" s="139" t="s">
        <v>12173</v>
      </c>
      <c r="G3963" s="140"/>
      <c r="H3963" s="141"/>
      <c r="I3963" s="26">
        <v>55191</v>
      </c>
      <c r="J3963" s="117"/>
      <c r="K3963" s="120"/>
      <c r="L3963" s="121"/>
      <c r="M3963" s="120"/>
      <c r="N3963" s="121"/>
      <c r="O3963" s="120"/>
      <c r="P3963" s="121"/>
      <c r="Q3963" s="120"/>
      <c r="R3963" s="121"/>
      <c r="S3963" s="120"/>
      <c r="T3963" s="121"/>
      <c r="U3963" s="120"/>
      <c r="V3963" s="123"/>
      <c r="W3963" s="125"/>
      <c r="X3963" s="142" t="s">
        <v>14255</v>
      </c>
      <c r="Y3963" s="143"/>
      <c r="Z3963" s="143"/>
      <c r="AA3963" s="143"/>
      <c r="AB3963" s="144"/>
      <c r="AC3963" s="16" t="s">
        <v>21</v>
      </c>
      <c r="AD3963" s="17" t="s">
        <v>3488</v>
      </c>
      <c r="AE3963" s="145" t="s">
        <v>10730</v>
      </c>
      <c r="AF3963" s="146"/>
      <c r="AG3963" s="146"/>
      <c r="AH3963" s="146"/>
      <c r="AI3963" s="147"/>
      <c r="AJ3963" s="148"/>
      <c r="AK3963" s="143"/>
      <c r="AL3963" s="144"/>
      <c r="AM3963" s="22"/>
      <c r="AN3963" s="149" t="s">
        <v>2511</v>
      </c>
      <c r="AO3963" s="144"/>
      <c r="AP3963" s="148">
        <v>65085</v>
      </c>
      <c r="AQ3963" s="144"/>
      <c r="AR3963" s="120"/>
      <c r="AS3963" s="121"/>
      <c r="AT3963" s="120"/>
      <c r="AU3963" s="121"/>
      <c r="AV3963" s="120"/>
      <c r="AW3963" s="121"/>
      <c r="AX3963" s="120"/>
      <c r="AY3963" s="121"/>
      <c r="AZ3963" s="138"/>
    </row>
    <row r="3964" spans="1:52" ht="17.100000000000001" customHeight="1" thickTop="1">
      <c r="A3964" s="109" t="s">
        <v>12159</v>
      </c>
      <c r="B3964" s="28">
        <v>45992</v>
      </c>
      <c r="C3964" s="25"/>
      <c r="D3964" s="13" t="s">
        <v>2442</v>
      </c>
      <c r="E3964" s="111"/>
      <c r="F3964" s="113" t="s">
        <v>12191</v>
      </c>
      <c r="G3964" s="114"/>
      <c r="H3964" s="115"/>
      <c r="I3964" s="24" t="s">
        <v>4594</v>
      </c>
      <c r="J3964" s="116">
        <v>4.5</v>
      </c>
      <c r="K3964" s="118">
        <f>5203000/1.1</f>
        <v>4730000</v>
      </c>
      <c r="L3964" s="119"/>
      <c r="M3964" s="118">
        <f t="shared" ref="M3964" si="3910">K3964*0.1</f>
        <v>473000</v>
      </c>
      <c r="N3964" s="119"/>
      <c r="O3964" s="118">
        <v>19100</v>
      </c>
      <c r="P3964" s="119"/>
      <c r="Q3964" s="118">
        <v>21560</v>
      </c>
      <c r="R3964" s="119"/>
      <c r="S3964" s="118">
        <v>0</v>
      </c>
      <c r="T3964" s="119"/>
      <c r="U3964" s="118">
        <f t="shared" ref="U3964" si="3911">SUM(K3964:T3965)</f>
        <v>5243660</v>
      </c>
      <c r="V3964" s="122"/>
      <c r="W3964" s="124"/>
      <c r="X3964" s="126" t="s">
        <v>12845</v>
      </c>
      <c r="Y3964" s="127"/>
      <c r="Z3964" s="127"/>
      <c r="AA3964" s="127"/>
      <c r="AB3964" s="128"/>
      <c r="AC3964" s="15" t="s">
        <v>20</v>
      </c>
      <c r="AD3964" s="129"/>
      <c r="AE3964" s="130"/>
      <c r="AF3964" s="130"/>
      <c r="AG3964" s="130"/>
      <c r="AH3964" s="130"/>
      <c r="AI3964" s="131"/>
      <c r="AJ3964" s="132"/>
      <c r="AK3964" s="127"/>
      <c r="AL3964" s="128"/>
      <c r="AM3964" s="21"/>
      <c r="AN3964" s="133"/>
      <c r="AO3964" s="134"/>
      <c r="AP3964" s="135"/>
      <c r="AQ3964" s="136"/>
      <c r="AR3964" s="118"/>
      <c r="AS3964" s="119"/>
      <c r="AT3964" s="118">
        <f t="shared" ref="AT3964" si="3912">AR3964*0.1</f>
        <v>0</v>
      </c>
      <c r="AU3964" s="119"/>
      <c r="AV3964" s="118"/>
      <c r="AW3964" s="119"/>
      <c r="AX3964" s="118">
        <f t="shared" ref="AX3964" si="3913">SUM(AR3964:AW3964)</f>
        <v>0</v>
      </c>
      <c r="AY3964" s="119"/>
      <c r="AZ3964" s="137"/>
    </row>
    <row r="3965" spans="1:52" ht="17.100000000000001" customHeight="1" thickBot="1">
      <c r="A3965" s="110"/>
      <c r="B3965" s="27" t="s">
        <v>1718</v>
      </c>
      <c r="C3965" s="27" t="s">
        <v>12174</v>
      </c>
      <c r="D3965" s="14" t="s">
        <v>275</v>
      </c>
      <c r="E3965" s="112"/>
      <c r="F3965" s="139" t="s">
        <v>12175</v>
      </c>
      <c r="G3965" s="140"/>
      <c r="H3965" s="141"/>
      <c r="I3965" s="26">
        <v>50150</v>
      </c>
      <c r="J3965" s="117"/>
      <c r="K3965" s="120"/>
      <c r="L3965" s="121"/>
      <c r="M3965" s="120"/>
      <c r="N3965" s="121"/>
      <c r="O3965" s="120"/>
      <c r="P3965" s="121"/>
      <c r="Q3965" s="120"/>
      <c r="R3965" s="121"/>
      <c r="S3965" s="120"/>
      <c r="T3965" s="121"/>
      <c r="U3965" s="120"/>
      <c r="V3965" s="123"/>
      <c r="W3965" s="125"/>
      <c r="X3965" s="142" t="s">
        <v>12846</v>
      </c>
      <c r="Y3965" s="143"/>
      <c r="Z3965" s="143"/>
      <c r="AA3965" s="143"/>
      <c r="AB3965" s="144"/>
      <c r="AC3965" s="16" t="s">
        <v>21</v>
      </c>
      <c r="AD3965" s="17" t="s">
        <v>1765</v>
      </c>
      <c r="AE3965" s="145" t="s">
        <v>1742</v>
      </c>
      <c r="AF3965" s="146"/>
      <c r="AG3965" s="146"/>
      <c r="AH3965" s="146"/>
      <c r="AI3965" s="147"/>
      <c r="AJ3965" s="148"/>
      <c r="AK3965" s="143"/>
      <c r="AL3965" s="144"/>
      <c r="AM3965" s="22"/>
      <c r="AN3965" s="149"/>
      <c r="AO3965" s="144"/>
      <c r="AP3965" s="148"/>
      <c r="AQ3965" s="144"/>
      <c r="AR3965" s="120"/>
      <c r="AS3965" s="121"/>
      <c r="AT3965" s="120"/>
      <c r="AU3965" s="121"/>
      <c r="AV3965" s="120"/>
      <c r="AW3965" s="121"/>
      <c r="AX3965" s="120"/>
      <c r="AY3965" s="121"/>
      <c r="AZ3965" s="138"/>
    </row>
    <row r="3966" spans="1:52" ht="17.100000000000001" customHeight="1" thickTop="1">
      <c r="A3966" s="109" t="s">
        <v>12253</v>
      </c>
      <c r="B3966" s="28">
        <v>45993</v>
      </c>
      <c r="C3966" s="25">
        <v>1920</v>
      </c>
      <c r="D3966" s="13" t="s">
        <v>2226</v>
      </c>
      <c r="E3966" s="111"/>
      <c r="F3966" s="113" t="s">
        <v>6960</v>
      </c>
      <c r="G3966" s="114"/>
      <c r="H3966" s="115"/>
      <c r="I3966" s="24" t="s">
        <v>2577</v>
      </c>
      <c r="J3966" s="116">
        <v>6</v>
      </c>
      <c r="K3966" s="118">
        <v>1681000</v>
      </c>
      <c r="L3966" s="119"/>
      <c r="M3966" s="118">
        <f t="shared" ref="M3966" si="3914">K3966*0.1</f>
        <v>168100</v>
      </c>
      <c r="N3966" s="119"/>
      <c r="O3966" s="118">
        <v>0</v>
      </c>
      <c r="P3966" s="119"/>
      <c r="Q3966" s="118">
        <v>9130</v>
      </c>
      <c r="R3966" s="119"/>
      <c r="S3966" s="118">
        <v>15950</v>
      </c>
      <c r="T3966" s="119"/>
      <c r="U3966" s="118">
        <f t="shared" ref="U3966" si="3915">SUM(K3966:T3967)</f>
        <v>1874180</v>
      </c>
      <c r="V3966" s="122"/>
      <c r="W3966" s="124"/>
      <c r="X3966" s="126" t="s">
        <v>12892</v>
      </c>
      <c r="Y3966" s="127"/>
      <c r="Z3966" s="127"/>
      <c r="AA3966" s="127"/>
      <c r="AB3966" s="128"/>
      <c r="AC3966" s="15" t="s">
        <v>20</v>
      </c>
      <c r="AD3966" s="129" t="s">
        <v>4617</v>
      </c>
      <c r="AE3966" s="130"/>
      <c r="AF3966" s="130"/>
      <c r="AG3966" s="130"/>
      <c r="AH3966" s="130"/>
      <c r="AI3966" s="131"/>
      <c r="AJ3966" s="132"/>
      <c r="AK3966" s="127"/>
      <c r="AL3966" s="128"/>
      <c r="AM3966" s="21" t="s">
        <v>15350</v>
      </c>
      <c r="AN3966" s="133"/>
      <c r="AO3966" s="134"/>
      <c r="AP3966" s="135"/>
      <c r="AQ3966" s="136"/>
      <c r="AR3966" s="118"/>
      <c r="AS3966" s="119"/>
      <c r="AT3966" s="118">
        <f t="shared" ref="AT3966" si="3916">AR3966*0.1</f>
        <v>0</v>
      </c>
      <c r="AU3966" s="119"/>
      <c r="AV3966" s="118"/>
      <c r="AW3966" s="119"/>
      <c r="AX3966" s="118">
        <f t="shared" ref="AX3966" si="3917">SUM(AR3966:AW3966)</f>
        <v>0</v>
      </c>
      <c r="AY3966" s="119"/>
      <c r="AZ3966" s="137"/>
    </row>
    <row r="3967" spans="1:52" ht="17.100000000000001" customHeight="1" thickBot="1">
      <c r="A3967" s="110"/>
      <c r="B3967" s="27" t="s">
        <v>2131</v>
      </c>
      <c r="C3967" s="27">
        <v>3011</v>
      </c>
      <c r="D3967" s="14" t="s">
        <v>2560</v>
      </c>
      <c r="E3967" s="112"/>
      <c r="F3967" s="139" t="s">
        <v>12192</v>
      </c>
      <c r="G3967" s="140"/>
      <c r="H3967" s="141"/>
      <c r="I3967" s="26">
        <v>1319</v>
      </c>
      <c r="J3967" s="117"/>
      <c r="K3967" s="120"/>
      <c r="L3967" s="121"/>
      <c r="M3967" s="120"/>
      <c r="N3967" s="121"/>
      <c r="O3967" s="120"/>
      <c r="P3967" s="121"/>
      <c r="Q3967" s="120"/>
      <c r="R3967" s="121"/>
      <c r="S3967" s="120"/>
      <c r="T3967" s="121"/>
      <c r="U3967" s="120"/>
      <c r="V3967" s="123"/>
      <c r="W3967" s="125"/>
      <c r="X3967" s="142" t="s">
        <v>12893</v>
      </c>
      <c r="Y3967" s="143"/>
      <c r="Z3967" s="143"/>
      <c r="AA3967" s="143"/>
      <c r="AB3967" s="144"/>
      <c r="AC3967" s="16" t="s">
        <v>21</v>
      </c>
      <c r="AD3967" s="17" t="s">
        <v>12856</v>
      </c>
      <c r="AE3967" s="145" t="s">
        <v>12894</v>
      </c>
      <c r="AF3967" s="146"/>
      <c r="AG3967" s="146"/>
      <c r="AH3967" s="146"/>
      <c r="AI3967" s="147"/>
      <c r="AJ3967" s="148" t="s">
        <v>15372</v>
      </c>
      <c r="AK3967" s="143"/>
      <c r="AL3967" s="144"/>
      <c r="AM3967" s="22"/>
      <c r="AN3967" s="149"/>
      <c r="AO3967" s="144"/>
      <c r="AP3967" s="148"/>
      <c r="AQ3967" s="144"/>
      <c r="AR3967" s="120"/>
      <c r="AS3967" s="121"/>
      <c r="AT3967" s="120"/>
      <c r="AU3967" s="121"/>
      <c r="AV3967" s="120"/>
      <c r="AW3967" s="121"/>
      <c r="AX3967" s="120"/>
      <c r="AY3967" s="121"/>
      <c r="AZ3967" s="138"/>
    </row>
    <row r="3968" spans="1:52" ht="17.100000000000001" customHeight="1" thickTop="1">
      <c r="A3968" s="109" t="s">
        <v>12254</v>
      </c>
      <c r="B3968" s="28">
        <v>45993</v>
      </c>
      <c r="C3968" s="25">
        <v>1920</v>
      </c>
      <c r="D3968" s="13" t="s">
        <v>2464</v>
      </c>
      <c r="E3968" s="111"/>
      <c r="F3968" s="113" t="s">
        <v>12193</v>
      </c>
      <c r="G3968" s="114"/>
      <c r="H3968" s="115"/>
      <c r="I3968" s="24" t="s">
        <v>2156</v>
      </c>
      <c r="J3968" s="150" t="s">
        <v>4203</v>
      </c>
      <c r="K3968" s="118">
        <v>1798000</v>
      </c>
      <c r="L3968" s="119"/>
      <c r="M3968" s="118">
        <f t="shared" ref="M3968" si="3918">K3968*0.1</f>
        <v>179800</v>
      </c>
      <c r="N3968" s="119"/>
      <c r="O3968" s="118">
        <v>0</v>
      </c>
      <c r="P3968" s="119"/>
      <c r="Q3968" s="118">
        <v>8310</v>
      </c>
      <c r="R3968" s="119"/>
      <c r="S3968" s="118">
        <v>15950</v>
      </c>
      <c r="T3968" s="119"/>
      <c r="U3968" s="118">
        <f t="shared" ref="U3968" si="3919">SUM(K3968:T3969)</f>
        <v>2002060</v>
      </c>
      <c r="V3968" s="122"/>
      <c r="W3968" s="124"/>
      <c r="X3968" s="126" t="s">
        <v>12895</v>
      </c>
      <c r="Y3968" s="127"/>
      <c r="Z3968" s="127"/>
      <c r="AA3968" s="127"/>
      <c r="AB3968" s="128"/>
      <c r="AC3968" s="15" t="s">
        <v>20</v>
      </c>
      <c r="AD3968" s="129" t="s">
        <v>12195</v>
      </c>
      <c r="AE3968" s="130"/>
      <c r="AF3968" s="130"/>
      <c r="AG3968" s="130"/>
      <c r="AH3968" s="130"/>
      <c r="AI3968" s="131"/>
      <c r="AJ3968" s="132"/>
      <c r="AK3968" s="127"/>
      <c r="AL3968" s="128"/>
      <c r="AM3968" s="21" t="s">
        <v>15359</v>
      </c>
      <c r="AN3968" s="133"/>
      <c r="AO3968" s="134"/>
      <c r="AP3968" s="135"/>
      <c r="AQ3968" s="136"/>
      <c r="AR3968" s="118"/>
      <c r="AS3968" s="119"/>
      <c r="AT3968" s="118">
        <f t="shared" ref="AT3968" si="3920">AR3968*0.1</f>
        <v>0</v>
      </c>
      <c r="AU3968" s="119"/>
      <c r="AV3968" s="118"/>
      <c r="AW3968" s="119"/>
      <c r="AX3968" s="118">
        <f t="shared" ref="AX3968" si="3921">SUM(AR3968:AW3968)</f>
        <v>0</v>
      </c>
      <c r="AY3968" s="119"/>
      <c r="AZ3968" s="137"/>
    </row>
    <row r="3969" spans="1:52" ht="17.100000000000001" customHeight="1" thickBot="1">
      <c r="A3969" s="110"/>
      <c r="B3969" s="27" t="s">
        <v>2131</v>
      </c>
      <c r="C3969" s="27">
        <v>3091</v>
      </c>
      <c r="D3969" s="14" t="s">
        <v>275</v>
      </c>
      <c r="E3969" s="112"/>
      <c r="F3969" s="139" t="s">
        <v>12194</v>
      </c>
      <c r="G3969" s="140"/>
      <c r="H3969" s="141"/>
      <c r="I3969" s="26">
        <v>21</v>
      </c>
      <c r="J3969" s="117"/>
      <c r="K3969" s="120"/>
      <c r="L3969" s="121"/>
      <c r="M3969" s="120"/>
      <c r="N3969" s="121"/>
      <c r="O3969" s="120"/>
      <c r="P3969" s="121"/>
      <c r="Q3969" s="120"/>
      <c r="R3969" s="121"/>
      <c r="S3969" s="120"/>
      <c r="T3969" s="121"/>
      <c r="U3969" s="120"/>
      <c r="V3969" s="123"/>
      <c r="W3969" s="125"/>
      <c r="X3969" s="142" t="s">
        <v>12896</v>
      </c>
      <c r="Y3969" s="143"/>
      <c r="Z3969" s="143"/>
      <c r="AA3969" s="143"/>
      <c r="AB3969" s="144"/>
      <c r="AC3969" s="16" t="s">
        <v>21</v>
      </c>
      <c r="AD3969" s="17" t="s">
        <v>12856</v>
      </c>
      <c r="AE3969" s="145" t="s">
        <v>12897</v>
      </c>
      <c r="AF3969" s="146"/>
      <c r="AG3969" s="146"/>
      <c r="AH3969" s="146"/>
      <c r="AI3969" s="147"/>
      <c r="AJ3969" s="148" t="s">
        <v>15372</v>
      </c>
      <c r="AK3969" s="143"/>
      <c r="AL3969" s="144"/>
      <c r="AM3969" s="22"/>
      <c r="AN3969" s="149"/>
      <c r="AO3969" s="144"/>
      <c r="AP3969" s="148"/>
      <c r="AQ3969" s="144"/>
      <c r="AR3969" s="120"/>
      <c r="AS3969" s="121"/>
      <c r="AT3969" s="120"/>
      <c r="AU3969" s="121"/>
      <c r="AV3969" s="120"/>
      <c r="AW3969" s="121"/>
      <c r="AX3969" s="120"/>
      <c r="AY3969" s="121"/>
      <c r="AZ3969" s="138"/>
    </row>
    <row r="3970" spans="1:52" ht="17.100000000000001" customHeight="1" thickTop="1">
      <c r="A3970" s="109" t="s">
        <v>12255</v>
      </c>
      <c r="B3970" s="28">
        <v>45993</v>
      </c>
      <c r="C3970" s="25">
        <v>1920</v>
      </c>
      <c r="D3970" s="13" t="s">
        <v>1059</v>
      </c>
      <c r="E3970" s="111"/>
      <c r="F3970" s="113" t="s">
        <v>4930</v>
      </c>
      <c r="G3970" s="114"/>
      <c r="H3970" s="115"/>
      <c r="I3970" s="24" t="s">
        <v>4487</v>
      </c>
      <c r="J3970" s="116">
        <v>4</v>
      </c>
      <c r="K3970" s="118">
        <v>478000</v>
      </c>
      <c r="L3970" s="119"/>
      <c r="M3970" s="118">
        <f t="shared" ref="M3970" si="3922">K3970*0.1</f>
        <v>47800</v>
      </c>
      <c r="N3970" s="119"/>
      <c r="O3970" s="118">
        <v>0</v>
      </c>
      <c r="P3970" s="119"/>
      <c r="Q3970" s="118">
        <v>7150</v>
      </c>
      <c r="R3970" s="119"/>
      <c r="S3970" s="118">
        <v>15950</v>
      </c>
      <c r="T3970" s="119"/>
      <c r="U3970" s="118">
        <f t="shared" ref="U3970" si="3923">SUM(K3970:T3971)</f>
        <v>548900</v>
      </c>
      <c r="V3970" s="122"/>
      <c r="W3970" s="124"/>
      <c r="X3970" s="126" t="s">
        <v>12197</v>
      </c>
      <c r="Y3970" s="127"/>
      <c r="Z3970" s="127"/>
      <c r="AA3970" s="127"/>
      <c r="AB3970" s="128"/>
      <c r="AC3970" s="15" t="s">
        <v>20</v>
      </c>
      <c r="AD3970" s="129"/>
      <c r="AE3970" s="130"/>
      <c r="AF3970" s="130"/>
      <c r="AG3970" s="130"/>
      <c r="AH3970" s="130"/>
      <c r="AI3970" s="131"/>
      <c r="AJ3970" s="132"/>
      <c r="AK3970" s="127"/>
      <c r="AL3970" s="128"/>
      <c r="AM3970" s="21"/>
      <c r="AN3970" s="133">
        <v>46001</v>
      </c>
      <c r="AO3970" s="134"/>
      <c r="AP3970" s="135">
        <v>996</v>
      </c>
      <c r="AQ3970" s="136"/>
      <c r="AR3970" s="118">
        <v>600000</v>
      </c>
      <c r="AS3970" s="119"/>
      <c r="AT3970" s="118">
        <f t="shared" ref="AT3970" si="3924">AR3970*0.1</f>
        <v>60000</v>
      </c>
      <c r="AU3970" s="119"/>
      <c r="AV3970" s="118">
        <v>7140</v>
      </c>
      <c r="AW3970" s="119"/>
      <c r="AX3970" s="118">
        <f t="shared" ref="AX3970" si="3925">SUM(AR3970:AW3970)</f>
        <v>667140</v>
      </c>
      <c r="AY3970" s="119"/>
      <c r="AZ3970" s="137">
        <v>46008</v>
      </c>
    </row>
    <row r="3971" spans="1:52" ht="17.100000000000001" customHeight="1" thickBot="1">
      <c r="A3971" s="110"/>
      <c r="B3971" s="27" t="s">
        <v>2131</v>
      </c>
      <c r="C3971" s="27">
        <v>3179</v>
      </c>
      <c r="D3971" s="14" t="s">
        <v>1720</v>
      </c>
      <c r="E3971" s="112"/>
      <c r="F3971" s="139" t="s">
        <v>12196</v>
      </c>
      <c r="G3971" s="140"/>
      <c r="H3971" s="141"/>
      <c r="I3971" s="26">
        <v>36701</v>
      </c>
      <c r="J3971" s="117"/>
      <c r="K3971" s="120"/>
      <c r="L3971" s="121"/>
      <c r="M3971" s="120"/>
      <c r="N3971" s="121"/>
      <c r="O3971" s="120"/>
      <c r="P3971" s="121"/>
      <c r="Q3971" s="120"/>
      <c r="R3971" s="121"/>
      <c r="S3971" s="120"/>
      <c r="T3971" s="121"/>
      <c r="U3971" s="120"/>
      <c r="V3971" s="123"/>
      <c r="W3971" s="125"/>
      <c r="X3971" s="142" t="s">
        <v>12902</v>
      </c>
      <c r="Y3971" s="143"/>
      <c r="Z3971" s="143"/>
      <c r="AA3971" s="143"/>
      <c r="AB3971" s="144"/>
      <c r="AC3971" s="16" t="s">
        <v>21</v>
      </c>
      <c r="AD3971" s="17" t="s">
        <v>12856</v>
      </c>
      <c r="AE3971" s="145" t="s">
        <v>1581</v>
      </c>
      <c r="AF3971" s="146"/>
      <c r="AG3971" s="146"/>
      <c r="AH3971" s="146"/>
      <c r="AI3971" s="147"/>
      <c r="AJ3971" s="148"/>
      <c r="AK3971" s="143"/>
      <c r="AL3971" s="144"/>
      <c r="AM3971" s="22"/>
      <c r="AN3971" s="149" t="s">
        <v>7285</v>
      </c>
      <c r="AO3971" s="144"/>
      <c r="AP3971" s="148">
        <v>2061</v>
      </c>
      <c r="AQ3971" s="144"/>
      <c r="AR3971" s="120"/>
      <c r="AS3971" s="121"/>
      <c r="AT3971" s="120"/>
      <c r="AU3971" s="121"/>
      <c r="AV3971" s="120"/>
      <c r="AW3971" s="121"/>
      <c r="AX3971" s="120"/>
      <c r="AY3971" s="121"/>
      <c r="AZ3971" s="138"/>
    </row>
    <row r="3972" spans="1:52" ht="17.100000000000001" customHeight="1" thickTop="1">
      <c r="A3972" s="109" t="s">
        <v>12256</v>
      </c>
      <c r="B3972" s="28">
        <v>45993</v>
      </c>
      <c r="C3972" s="25">
        <v>1920</v>
      </c>
      <c r="D3972" s="13" t="s">
        <v>2211</v>
      </c>
      <c r="E3972" s="111"/>
      <c r="F3972" s="113" t="s">
        <v>12198</v>
      </c>
      <c r="G3972" s="114"/>
      <c r="H3972" s="115"/>
      <c r="I3972" s="24" t="s">
        <v>2064</v>
      </c>
      <c r="J3972" s="116">
        <v>4.5</v>
      </c>
      <c r="K3972" s="118">
        <v>1435000</v>
      </c>
      <c r="L3972" s="119"/>
      <c r="M3972" s="118">
        <f t="shared" ref="M3972" si="3926">K3972*0.1</f>
        <v>143500</v>
      </c>
      <c r="N3972" s="119"/>
      <c r="O3972" s="118">
        <v>0</v>
      </c>
      <c r="P3972" s="119"/>
      <c r="Q3972" s="118">
        <v>11100</v>
      </c>
      <c r="R3972" s="119"/>
      <c r="S3972" s="118">
        <v>15950</v>
      </c>
      <c r="T3972" s="119"/>
      <c r="U3972" s="118">
        <f t="shared" ref="U3972" si="3927">SUM(K3972:T3973)</f>
        <v>1605550</v>
      </c>
      <c r="V3972" s="122"/>
      <c r="W3972" s="124"/>
      <c r="X3972" s="126" t="s">
        <v>12200</v>
      </c>
      <c r="Y3972" s="127"/>
      <c r="Z3972" s="127"/>
      <c r="AA3972" s="127"/>
      <c r="AB3972" s="128"/>
      <c r="AC3972" s="15" t="s">
        <v>20</v>
      </c>
      <c r="AD3972" s="129" t="s">
        <v>4982</v>
      </c>
      <c r="AE3972" s="130"/>
      <c r="AF3972" s="130"/>
      <c r="AG3972" s="130"/>
      <c r="AH3972" s="130"/>
      <c r="AI3972" s="131"/>
      <c r="AJ3972" s="132"/>
      <c r="AK3972" s="127"/>
      <c r="AL3972" s="128"/>
      <c r="AM3972" s="21"/>
      <c r="AN3972" s="133">
        <v>45997</v>
      </c>
      <c r="AO3972" s="134"/>
      <c r="AP3972" s="135">
        <v>1279</v>
      </c>
      <c r="AQ3972" s="136"/>
      <c r="AR3972" s="118">
        <v>1510000</v>
      </c>
      <c r="AS3972" s="119"/>
      <c r="AT3972" s="118">
        <f t="shared" ref="AT3972" si="3928">AR3972*0.1</f>
        <v>151000</v>
      </c>
      <c r="AU3972" s="119"/>
      <c r="AV3972" s="118">
        <v>11100</v>
      </c>
      <c r="AW3972" s="119"/>
      <c r="AX3972" s="118">
        <f t="shared" ref="AX3972" si="3929">SUM(AR3972:AW3972)</f>
        <v>1672100</v>
      </c>
      <c r="AY3972" s="119"/>
      <c r="AZ3972" s="137">
        <v>46007</v>
      </c>
    </row>
    <row r="3973" spans="1:52" ht="17.100000000000001" customHeight="1" thickBot="1">
      <c r="A3973" s="110"/>
      <c r="B3973" s="27" t="s">
        <v>2131</v>
      </c>
      <c r="C3973" s="27">
        <v>3191</v>
      </c>
      <c r="D3973" s="14" t="s">
        <v>2601</v>
      </c>
      <c r="E3973" s="112"/>
      <c r="F3973" s="139" t="s">
        <v>12199</v>
      </c>
      <c r="G3973" s="140"/>
      <c r="H3973" s="141"/>
      <c r="I3973" s="26">
        <v>15475</v>
      </c>
      <c r="J3973" s="117"/>
      <c r="K3973" s="120"/>
      <c r="L3973" s="121"/>
      <c r="M3973" s="120"/>
      <c r="N3973" s="121"/>
      <c r="O3973" s="120"/>
      <c r="P3973" s="121"/>
      <c r="Q3973" s="120"/>
      <c r="R3973" s="121"/>
      <c r="S3973" s="120"/>
      <c r="T3973" s="121"/>
      <c r="U3973" s="120"/>
      <c r="V3973" s="123"/>
      <c r="W3973" s="125"/>
      <c r="X3973" s="142" t="s">
        <v>12899</v>
      </c>
      <c r="Y3973" s="143"/>
      <c r="Z3973" s="143"/>
      <c r="AA3973" s="143"/>
      <c r="AB3973" s="144"/>
      <c r="AC3973" s="16" t="s">
        <v>21</v>
      </c>
      <c r="AD3973" s="17" t="s">
        <v>12856</v>
      </c>
      <c r="AE3973" s="145" t="s">
        <v>12901</v>
      </c>
      <c r="AF3973" s="146"/>
      <c r="AG3973" s="146"/>
      <c r="AH3973" s="146"/>
      <c r="AI3973" s="147"/>
      <c r="AJ3973" s="148"/>
      <c r="AK3973" s="143"/>
      <c r="AL3973" s="144"/>
      <c r="AM3973" s="22"/>
      <c r="AN3973" s="149" t="s">
        <v>6748</v>
      </c>
      <c r="AO3973" s="144"/>
      <c r="AP3973" s="148">
        <v>60415</v>
      </c>
      <c r="AQ3973" s="144"/>
      <c r="AR3973" s="120"/>
      <c r="AS3973" s="121"/>
      <c r="AT3973" s="120"/>
      <c r="AU3973" s="121"/>
      <c r="AV3973" s="120"/>
      <c r="AW3973" s="121"/>
      <c r="AX3973" s="120"/>
      <c r="AY3973" s="121"/>
      <c r="AZ3973" s="138"/>
    </row>
    <row r="3974" spans="1:52" ht="17.100000000000001" customHeight="1" thickTop="1">
      <c r="A3974" s="109" t="s">
        <v>12257</v>
      </c>
      <c r="B3974" s="28">
        <v>45993</v>
      </c>
      <c r="C3974" s="25">
        <v>1920</v>
      </c>
      <c r="D3974" s="13" t="s">
        <v>3461</v>
      </c>
      <c r="E3974" s="111"/>
      <c r="F3974" s="113" t="s">
        <v>12201</v>
      </c>
      <c r="G3974" s="114"/>
      <c r="H3974" s="115"/>
      <c r="I3974" s="24" t="s">
        <v>4096</v>
      </c>
      <c r="J3974" s="116">
        <v>4.5</v>
      </c>
      <c r="K3974" s="118">
        <v>1261000</v>
      </c>
      <c r="L3974" s="119"/>
      <c r="M3974" s="118">
        <f t="shared" ref="M3974" si="3930">K3974*0.1</f>
        <v>126100</v>
      </c>
      <c r="N3974" s="119"/>
      <c r="O3974" s="118">
        <v>0</v>
      </c>
      <c r="P3974" s="119"/>
      <c r="Q3974" s="118">
        <v>8630</v>
      </c>
      <c r="R3974" s="119"/>
      <c r="S3974" s="118">
        <v>15950</v>
      </c>
      <c r="T3974" s="119"/>
      <c r="U3974" s="118">
        <f t="shared" ref="U3974" si="3931">SUM(K3974:T3975)</f>
        <v>1411680</v>
      </c>
      <c r="V3974" s="122"/>
      <c r="W3974" s="124"/>
      <c r="X3974" s="126" t="s">
        <v>12203</v>
      </c>
      <c r="Y3974" s="127"/>
      <c r="Z3974" s="127"/>
      <c r="AA3974" s="127"/>
      <c r="AB3974" s="128"/>
      <c r="AC3974" s="15" t="s">
        <v>20</v>
      </c>
      <c r="AD3974" s="129" t="s">
        <v>4982</v>
      </c>
      <c r="AE3974" s="130"/>
      <c r="AF3974" s="130"/>
      <c r="AG3974" s="130"/>
      <c r="AH3974" s="130"/>
      <c r="AI3974" s="131"/>
      <c r="AJ3974" s="132"/>
      <c r="AK3974" s="127"/>
      <c r="AL3974" s="128"/>
      <c r="AM3974" s="21" t="s">
        <v>15360</v>
      </c>
      <c r="AN3974" s="133">
        <v>46057</v>
      </c>
      <c r="AO3974" s="134"/>
      <c r="AP3974" s="135">
        <v>1003</v>
      </c>
      <c r="AQ3974" s="136"/>
      <c r="AR3974" s="118">
        <v>1320000</v>
      </c>
      <c r="AS3974" s="119"/>
      <c r="AT3974" s="118">
        <f t="shared" ref="AT3974" si="3932">AR3974*0.1</f>
        <v>132000</v>
      </c>
      <c r="AU3974" s="119"/>
      <c r="AV3974" s="118">
        <v>8630</v>
      </c>
      <c r="AW3974" s="119"/>
      <c r="AX3974" s="118">
        <f t="shared" ref="AX3974" si="3933">SUM(AR3974:AW3974)</f>
        <v>1460630</v>
      </c>
      <c r="AY3974" s="119"/>
      <c r="AZ3974" s="137">
        <v>46063</v>
      </c>
    </row>
    <row r="3975" spans="1:52" ht="17.100000000000001" customHeight="1" thickBot="1">
      <c r="A3975" s="110"/>
      <c r="B3975" s="27" t="s">
        <v>2131</v>
      </c>
      <c r="C3975" s="27">
        <v>3256</v>
      </c>
      <c r="D3975" s="14" t="s">
        <v>2601</v>
      </c>
      <c r="E3975" s="112"/>
      <c r="F3975" s="139" t="s">
        <v>12202</v>
      </c>
      <c r="G3975" s="140"/>
      <c r="H3975" s="141"/>
      <c r="I3975" s="26">
        <v>51306</v>
      </c>
      <c r="J3975" s="117"/>
      <c r="K3975" s="120"/>
      <c r="L3975" s="121"/>
      <c r="M3975" s="120"/>
      <c r="N3975" s="121"/>
      <c r="O3975" s="120"/>
      <c r="P3975" s="121"/>
      <c r="Q3975" s="120"/>
      <c r="R3975" s="121"/>
      <c r="S3975" s="120"/>
      <c r="T3975" s="121"/>
      <c r="U3975" s="120"/>
      <c r="V3975" s="123"/>
      <c r="W3975" s="125"/>
      <c r="X3975" s="142" t="s">
        <v>12899</v>
      </c>
      <c r="Y3975" s="143"/>
      <c r="Z3975" s="143"/>
      <c r="AA3975" s="143"/>
      <c r="AB3975" s="144"/>
      <c r="AC3975" s="16" t="s">
        <v>21</v>
      </c>
      <c r="AD3975" s="17" t="s">
        <v>12856</v>
      </c>
      <c r="AE3975" s="145" t="s">
        <v>12900</v>
      </c>
      <c r="AF3975" s="146"/>
      <c r="AG3975" s="146"/>
      <c r="AH3975" s="146"/>
      <c r="AI3975" s="147"/>
      <c r="AJ3975" s="148"/>
      <c r="AK3975" s="143"/>
      <c r="AL3975" s="144"/>
      <c r="AM3975" s="22"/>
      <c r="AN3975" s="149" t="s">
        <v>8809</v>
      </c>
      <c r="AO3975" s="144"/>
      <c r="AP3975" s="148">
        <v>2040</v>
      </c>
      <c r="AQ3975" s="144"/>
      <c r="AR3975" s="120"/>
      <c r="AS3975" s="121"/>
      <c r="AT3975" s="120"/>
      <c r="AU3975" s="121"/>
      <c r="AV3975" s="120"/>
      <c r="AW3975" s="121"/>
      <c r="AX3975" s="120"/>
      <c r="AY3975" s="121"/>
      <c r="AZ3975" s="138"/>
    </row>
    <row r="3976" spans="1:52" ht="17.100000000000001" customHeight="1" thickTop="1">
      <c r="A3976" s="151" t="s">
        <v>12258</v>
      </c>
      <c r="B3976" s="28">
        <v>45993</v>
      </c>
      <c r="C3976" s="25">
        <v>1920</v>
      </c>
      <c r="D3976" s="13" t="s">
        <v>2654</v>
      </c>
      <c r="E3976" s="111"/>
      <c r="F3976" s="113" t="s">
        <v>5435</v>
      </c>
      <c r="G3976" s="114"/>
      <c r="H3976" s="115"/>
      <c r="I3976" s="24" t="s">
        <v>4314</v>
      </c>
      <c r="J3976" s="116">
        <v>4</v>
      </c>
      <c r="K3976" s="118">
        <v>706000</v>
      </c>
      <c r="L3976" s="119"/>
      <c r="M3976" s="118">
        <f t="shared" ref="M3976" si="3934">K3976*0.1</f>
        <v>70600</v>
      </c>
      <c r="N3976" s="119"/>
      <c r="O3976" s="118">
        <v>0</v>
      </c>
      <c r="P3976" s="119"/>
      <c r="Q3976" s="118">
        <v>7950</v>
      </c>
      <c r="R3976" s="119"/>
      <c r="S3976" s="118">
        <v>15950</v>
      </c>
      <c r="T3976" s="119"/>
      <c r="U3976" s="118">
        <f t="shared" ref="U3976" si="3935">SUM(K3976:T3977)</f>
        <v>800500</v>
      </c>
      <c r="V3976" s="122"/>
      <c r="W3976" s="124"/>
      <c r="X3976" s="126" t="s">
        <v>12205</v>
      </c>
      <c r="Y3976" s="127"/>
      <c r="Z3976" s="127"/>
      <c r="AA3976" s="127"/>
      <c r="AB3976" s="128"/>
      <c r="AC3976" s="15" t="s">
        <v>20</v>
      </c>
      <c r="AD3976" s="129" t="s">
        <v>1797</v>
      </c>
      <c r="AE3976" s="130"/>
      <c r="AF3976" s="130"/>
      <c r="AG3976" s="130"/>
      <c r="AH3976" s="130"/>
      <c r="AI3976" s="131"/>
      <c r="AJ3976" s="132" t="s">
        <v>12951</v>
      </c>
      <c r="AK3976" s="127"/>
      <c r="AL3976" s="128"/>
      <c r="AM3976" s="21"/>
      <c r="AN3976" s="133"/>
      <c r="AO3976" s="134"/>
      <c r="AP3976" s="135"/>
      <c r="AQ3976" s="136"/>
      <c r="AR3976" s="118"/>
      <c r="AS3976" s="119"/>
      <c r="AT3976" s="118">
        <f t="shared" ref="AT3976" si="3936">AR3976*0.1</f>
        <v>0</v>
      </c>
      <c r="AU3976" s="119"/>
      <c r="AV3976" s="118"/>
      <c r="AW3976" s="119"/>
      <c r="AX3976" s="118">
        <f t="shared" ref="AX3976" si="3937">SUM(AR3976:AW3976)</f>
        <v>0</v>
      </c>
      <c r="AY3976" s="119"/>
      <c r="AZ3976" s="137"/>
    </row>
    <row r="3977" spans="1:52" ht="17.100000000000001" customHeight="1" thickBot="1">
      <c r="A3977" s="152"/>
      <c r="B3977" s="27" t="s">
        <v>2131</v>
      </c>
      <c r="C3977" s="27">
        <v>3272</v>
      </c>
      <c r="D3977" s="14" t="s">
        <v>2800</v>
      </c>
      <c r="E3977" s="112"/>
      <c r="F3977" s="139" t="s">
        <v>12204</v>
      </c>
      <c r="G3977" s="140"/>
      <c r="H3977" s="141"/>
      <c r="I3977" s="26">
        <v>39721</v>
      </c>
      <c r="J3977" s="117"/>
      <c r="K3977" s="120"/>
      <c r="L3977" s="121"/>
      <c r="M3977" s="120"/>
      <c r="N3977" s="121"/>
      <c r="O3977" s="120"/>
      <c r="P3977" s="121"/>
      <c r="Q3977" s="120"/>
      <c r="R3977" s="121"/>
      <c r="S3977" s="120"/>
      <c r="T3977" s="121"/>
      <c r="U3977" s="120"/>
      <c r="V3977" s="123"/>
      <c r="W3977" s="125"/>
      <c r="X3977" s="142" t="s">
        <v>12898</v>
      </c>
      <c r="Y3977" s="143"/>
      <c r="Z3977" s="143"/>
      <c r="AA3977" s="143"/>
      <c r="AB3977" s="144"/>
      <c r="AC3977" s="16" t="s">
        <v>21</v>
      </c>
      <c r="AD3977" s="17" t="s">
        <v>12856</v>
      </c>
      <c r="AE3977" s="145" t="s">
        <v>171</v>
      </c>
      <c r="AF3977" s="146"/>
      <c r="AG3977" s="146"/>
      <c r="AH3977" s="146"/>
      <c r="AI3977" s="147"/>
      <c r="AJ3977" s="148"/>
      <c r="AK3977" s="143"/>
      <c r="AL3977" s="144"/>
      <c r="AM3977" s="22"/>
      <c r="AN3977" s="149"/>
      <c r="AO3977" s="144"/>
      <c r="AP3977" s="148"/>
      <c r="AQ3977" s="144"/>
      <c r="AR3977" s="120"/>
      <c r="AS3977" s="121"/>
      <c r="AT3977" s="120"/>
      <c r="AU3977" s="121"/>
      <c r="AV3977" s="120"/>
      <c r="AW3977" s="121"/>
      <c r="AX3977" s="120"/>
      <c r="AY3977" s="121"/>
      <c r="AZ3977" s="138"/>
    </row>
    <row r="3978" spans="1:52" ht="17.100000000000001" customHeight="1" thickTop="1">
      <c r="A3978" s="109" t="s">
        <v>12259</v>
      </c>
      <c r="B3978" s="28">
        <v>45993</v>
      </c>
      <c r="C3978" s="25">
        <v>1920</v>
      </c>
      <c r="D3978" s="13" t="s">
        <v>1695</v>
      </c>
      <c r="E3978" s="111"/>
      <c r="F3978" s="113" t="s">
        <v>12215</v>
      </c>
      <c r="G3978" s="114"/>
      <c r="H3978" s="115"/>
      <c r="I3978" s="24"/>
      <c r="J3978" s="116">
        <v>4.5</v>
      </c>
      <c r="K3978" s="118">
        <v>1490000</v>
      </c>
      <c r="L3978" s="119"/>
      <c r="M3978" s="118">
        <f t="shared" ref="M3978" si="3938">K3978*0.1</f>
        <v>149000</v>
      </c>
      <c r="N3978" s="119"/>
      <c r="O3978" s="118">
        <v>0</v>
      </c>
      <c r="P3978" s="119"/>
      <c r="Q3978" s="118">
        <v>14760</v>
      </c>
      <c r="R3978" s="119"/>
      <c r="S3978" s="118">
        <v>15950</v>
      </c>
      <c r="T3978" s="119"/>
      <c r="U3978" s="118">
        <f t="shared" ref="U3978" si="3939">SUM(K3978:T3979)</f>
        <v>1669710</v>
      </c>
      <c r="V3978" s="122"/>
      <c r="W3978" s="124"/>
      <c r="X3978" s="126" t="s">
        <v>12817</v>
      </c>
      <c r="Y3978" s="127"/>
      <c r="Z3978" s="127"/>
      <c r="AA3978" s="127"/>
      <c r="AB3978" s="128"/>
      <c r="AC3978" s="15" t="s">
        <v>20</v>
      </c>
      <c r="AD3978" s="129"/>
      <c r="AE3978" s="130"/>
      <c r="AF3978" s="130"/>
      <c r="AG3978" s="130"/>
      <c r="AH3978" s="130"/>
      <c r="AI3978" s="131"/>
      <c r="AJ3978" s="132"/>
      <c r="AK3978" s="127"/>
      <c r="AL3978" s="128"/>
      <c r="AM3978" s="21"/>
      <c r="AN3978" s="133">
        <v>45997</v>
      </c>
      <c r="AO3978" s="134"/>
      <c r="AP3978" s="135">
        <v>1279</v>
      </c>
      <c r="AQ3978" s="136"/>
      <c r="AR3978" s="118">
        <v>1610000</v>
      </c>
      <c r="AS3978" s="119"/>
      <c r="AT3978" s="118">
        <f t="shared" ref="AT3978" si="3940">AR3978*0.1</f>
        <v>161000</v>
      </c>
      <c r="AU3978" s="119"/>
      <c r="AV3978" s="118">
        <v>14760</v>
      </c>
      <c r="AW3978" s="119"/>
      <c r="AX3978" s="118">
        <f t="shared" ref="AX3978" si="3941">SUM(AR3978:AW3978)</f>
        <v>1785760</v>
      </c>
      <c r="AY3978" s="119"/>
      <c r="AZ3978" s="137">
        <v>46002</v>
      </c>
    </row>
    <row r="3979" spans="1:52" ht="17.100000000000001" customHeight="1" thickBot="1">
      <c r="A3979" s="110"/>
      <c r="B3979" s="27" t="s">
        <v>2131</v>
      </c>
      <c r="C3979" s="27">
        <v>32049</v>
      </c>
      <c r="D3979" s="14" t="s">
        <v>275</v>
      </c>
      <c r="E3979" s="112"/>
      <c r="F3979" s="139" t="s">
        <v>12216</v>
      </c>
      <c r="G3979" s="140"/>
      <c r="H3979" s="141"/>
      <c r="I3979" s="26">
        <v>40103</v>
      </c>
      <c r="J3979" s="117"/>
      <c r="K3979" s="120"/>
      <c r="L3979" s="121"/>
      <c r="M3979" s="120"/>
      <c r="N3979" s="121"/>
      <c r="O3979" s="120"/>
      <c r="P3979" s="121"/>
      <c r="Q3979" s="120"/>
      <c r="R3979" s="121"/>
      <c r="S3979" s="120"/>
      <c r="T3979" s="121"/>
      <c r="U3979" s="120"/>
      <c r="V3979" s="123"/>
      <c r="W3979" s="125"/>
      <c r="X3979" s="142" t="s">
        <v>3390</v>
      </c>
      <c r="Y3979" s="143"/>
      <c r="Z3979" s="143"/>
      <c r="AA3979" s="143"/>
      <c r="AB3979" s="144"/>
      <c r="AC3979" s="16" t="s">
        <v>21</v>
      </c>
      <c r="AD3979" s="17" t="s">
        <v>1765</v>
      </c>
      <c r="AE3979" s="145" t="s">
        <v>7861</v>
      </c>
      <c r="AF3979" s="146"/>
      <c r="AG3979" s="146"/>
      <c r="AH3979" s="146"/>
      <c r="AI3979" s="147"/>
      <c r="AJ3979" s="148"/>
      <c r="AK3979" s="143"/>
      <c r="AL3979" s="144"/>
      <c r="AM3979" s="22"/>
      <c r="AN3979" s="149" t="s">
        <v>2511</v>
      </c>
      <c r="AO3979" s="144"/>
      <c r="AP3979" s="148">
        <v>80342</v>
      </c>
      <c r="AQ3979" s="144"/>
      <c r="AR3979" s="120"/>
      <c r="AS3979" s="121"/>
      <c r="AT3979" s="120"/>
      <c r="AU3979" s="121"/>
      <c r="AV3979" s="120"/>
      <c r="AW3979" s="121"/>
      <c r="AX3979" s="120"/>
      <c r="AY3979" s="121"/>
      <c r="AZ3979" s="138"/>
    </row>
    <row r="3980" spans="1:52" ht="17.100000000000001" customHeight="1" thickTop="1">
      <c r="A3980" s="109" t="s">
        <v>12260</v>
      </c>
      <c r="B3980" s="28">
        <v>45993</v>
      </c>
      <c r="C3980" s="25">
        <v>1920</v>
      </c>
      <c r="D3980" s="13" t="s">
        <v>818</v>
      </c>
      <c r="E3980" s="111"/>
      <c r="F3980" s="113" t="s">
        <v>12217</v>
      </c>
      <c r="G3980" s="114"/>
      <c r="H3980" s="115"/>
      <c r="I3980" s="24"/>
      <c r="J3980" s="116">
        <v>4.5</v>
      </c>
      <c r="K3980" s="118">
        <v>1368000</v>
      </c>
      <c r="L3980" s="119"/>
      <c r="M3980" s="118">
        <f t="shared" ref="M3980" si="3942">K3980*0.1</f>
        <v>136800</v>
      </c>
      <c r="N3980" s="119"/>
      <c r="O3980" s="118">
        <v>0</v>
      </c>
      <c r="P3980" s="119"/>
      <c r="Q3980" s="118">
        <v>18130</v>
      </c>
      <c r="R3980" s="119"/>
      <c r="S3980" s="118">
        <v>15950</v>
      </c>
      <c r="T3980" s="119"/>
      <c r="U3980" s="118">
        <f t="shared" ref="U3980" si="3943">SUM(K3980:T3981)</f>
        <v>1538880</v>
      </c>
      <c r="V3980" s="122"/>
      <c r="W3980" s="124"/>
      <c r="X3980" s="126" t="s">
        <v>12816</v>
      </c>
      <c r="Y3980" s="127"/>
      <c r="Z3980" s="127"/>
      <c r="AA3980" s="127"/>
      <c r="AB3980" s="128"/>
      <c r="AC3980" s="15" t="s">
        <v>20</v>
      </c>
      <c r="AD3980" s="129"/>
      <c r="AE3980" s="130"/>
      <c r="AF3980" s="130"/>
      <c r="AG3980" s="130"/>
      <c r="AH3980" s="130"/>
      <c r="AI3980" s="131"/>
      <c r="AJ3980" s="132"/>
      <c r="AK3980" s="127"/>
      <c r="AL3980" s="128"/>
      <c r="AM3980" s="21"/>
      <c r="AN3980" s="133">
        <v>45997</v>
      </c>
      <c r="AO3980" s="134"/>
      <c r="AP3980" s="135">
        <v>1279</v>
      </c>
      <c r="AQ3980" s="136"/>
      <c r="AR3980" s="118">
        <v>1480000</v>
      </c>
      <c r="AS3980" s="119"/>
      <c r="AT3980" s="118">
        <f t="shared" ref="AT3980" si="3944">AR3980*0.1</f>
        <v>148000</v>
      </c>
      <c r="AU3980" s="119"/>
      <c r="AV3980" s="118">
        <v>18130</v>
      </c>
      <c r="AW3980" s="119"/>
      <c r="AX3980" s="118">
        <f t="shared" ref="AX3980" si="3945">SUM(AR3980:AW3980)</f>
        <v>1646130</v>
      </c>
      <c r="AY3980" s="119"/>
      <c r="AZ3980" s="137">
        <v>46002</v>
      </c>
    </row>
    <row r="3981" spans="1:52" ht="17.100000000000001" customHeight="1" thickBot="1">
      <c r="A3981" s="110"/>
      <c r="B3981" s="27" t="s">
        <v>2131</v>
      </c>
      <c r="C3981" s="27">
        <v>32057</v>
      </c>
      <c r="D3981" s="14" t="s">
        <v>275</v>
      </c>
      <c r="E3981" s="112"/>
      <c r="F3981" s="139" t="s">
        <v>12218</v>
      </c>
      <c r="G3981" s="140"/>
      <c r="H3981" s="141"/>
      <c r="I3981" s="26">
        <v>74649</v>
      </c>
      <c r="J3981" s="117"/>
      <c r="K3981" s="120"/>
      <c r="L3981" s="121"/>
      <c r="M3981" s="120"/>
      <c r="N3981" s="121"/>
      <c r="O3981" s="120"/>
      <c r="P3981" s="121"/>
      <c r="Q3981" s="120"/>
      <c r="R3981" s="121"/>
      <c r="S3981" s="120"/>
      <c r="T3981" s="121"/>
      <c r="U3981" s="120"/>
      <c r="V3981" s="123"/>
      <c r="W3981" s="125"/>
      <c r="X3981" s="142" t="s">
        <v>3390</v>
      </c>
      <c r="Y3981" s="143"/>
      <c r="Z3981" s="143"/>
      <c r="AA3981" s="143"/>
      <c r="AB3981" s="144"/>
      <c r="AC3981" s="16" t="s">
        <v>21</v>
      </c>
      <c r="AD3981" s="17" t="s">
        <v>1765</v>
      </c>
      <c r="AE3981" s="145" t="s">
        <v>9450</v>
      </c>
      <c r="AF3981" s="146"/>
      <c r="AG3981" s="146"/>
      <c r="AH3981" s="146"/>
      <c r="AI3981" s="147"/>
      <c r="AJ3981" s="148"/>
      <c r="AK3981" s="143"/>
      <c r="AL3981" s="144"/>
      <c r="AM3981" s="22"/>
      <c r="AN3981" s="149" t="s">
        <v>2511</v>
      </c>
      <c r="AO3981" s="144"/>
      <c r="AP3981" s="148">
        <v>80340</v>
      </c>
      <c r="AQ3981" s="144"/>
      <c r="AR3981" s="120"/>
      <c r="AS3981" s="121"/>
      <c r="AT3981" s="120"/>
      <c r="AU3981" s="121"/>
      <c r="AV3981" s="120"/>
      <c r="AW3981" s="121"/>
      <c r="AX3981" s="120"/>
      <c r="AY3981" s="121"/>
      <c r="AZ3981" s="138"/>
    </row>
    <row r="3982" spans="1:52" ht="17.100000000000001" customHeight="1" thickTop="1">
      <c r="A3982" s="109" t="s">
        <v>12261</v>
      </c>
      <c r="B3982" s="28">
        <v>45993</v>
      </c>
      <c r="C3982" s="25">
        <v>798</v>
      </c>
      <c r="D3982" s="13" t="s">
        <v>3381</v>
      </c>
      <c r="E3982" s="111"/>
      <c r="F3982" s="113" t="s">
        <v>12206</v>
      </c>
      <c r="G3982" s="114"/>
      <c r="H3982" s="115"/>
      <c r="I3982" s="24"/>
      <c r="J3982" s="150" t="s">
        <v>12208</v>
      </c>
      <c r="K3982" s="118">
        <v>407000</v>
      </c>
      <c r="L3982" s="119"/>
      <c r="M3982" s="118">
        <v>40700</v>
      </c>
      <c r="N3982" s="119"/>
      <c r="O3982" s="118">
        <v>0</v>
      </c>
      <c r="P3982" s="119"/>
      <c r="Q3982" s="118">
        <v>8640</v>
      </c>
      <c r="R3982" s="119"/>
      <c r="S3982" s="118">
        <v>15950</v>
      </c>
      <c r="T3982" s="119"/>
      <c r="U3982" s="118">
        <f t="shared" ref="U3982" si="3946">SUM(K3982:T3983)</f>
        <v>472290</v>
      </c>
      <c r="V3982" s="122"/>
      <c r="W3982" s="124"/>
      <c r="X3982" s="126" t="s">
        <v>12909</v>
      </c>
      <c r="Y3982" s="127"/>
      <c r="Z3982" s="127"/>
      <c r="AA3982" s="127"/>
      <c r="AB3982" s="128"/>
      <c r="AC3982" s="15" t="s">
        <v>20</v>
      </c>
      <c r="AD3982" s="129" t="s">
        <v>2395</v>
      </c>
      <c r="AE3982" s="130"/>
      <c r="AF3982" s="130"/>
      <c r="AG3982" s="130"/>
      <c r="AH3982" s="130"/>
      <c r="AI3982" s="131"/>
      <c r="AJ3982" s="132"/>
      <c r="AK3982" s="127"/>
      <c r="AL3982" s="128"/>
      <c r="AM3982" s="21"/>
      <c r="AN3982" s="133">
        <v>46008</v>
      </c>
      <c r="AO3982" s="134"/>
      <c r="AP3982" s="135">
        <v>997</v>
      </c>
      <c r="AQ3982" s="136"/>
      <c r="AR3982" s="118">
        <v>450000</v>
      </c>
      <c r="AS3982" s="119"/>
      <c r="AT3982" s="118">
        <f t="shared" ref="AT3982" si="3947">AR3982*0.1</f>
        <v>45000</v>
      </c>
      <c r="AU3982" s="119"/>
      <c r="AV3982" s="118">
        <v>8640</v>
      </c>
      <c r="AW3982" s="119"/>
      <c r="AX3982" s="118">
        <f t="shared" ref="AX3982" si="3948">SUM(AR3982:AW3982)</f>
        <v>503640</v>
      </c>
      <c r="AY3982" s="119"/>
      <c r="AZ3982" s="137">
        <v>46013</v>
      </c>
    </row>
    <row r="3983" spans="1:52" ht="17.100000000000001" customHeight="1" thickBot="1">
      <c r="A3983" s="110"/>
      <c r="B3983" s="27" t="s">
        <v>3367</v>
      </c>
      <c r="C3983" s="27">
        <v>3002</v>
      </c>
      <c r="D3983" s="14" t="s">
        <v>1812</v>
      </c>
      <c r="E3983" s="112"/>
      <c r="F3983" s="139" t="s">
        <v>12207</v>
      </c>
      <c r="G3983" s="140"/>
      <c r="H3983" s="141"/>
      <c r="I3983" s="26">
        <v>130753</v>
      </c>
      <c r="J3983" s="117"/>
      <c r="K3983" s="120"/>
      <c r="L3983" s="121"/>
      <c r="M3983" s="120"/>
      <c r="N3983" s="121"/>
      <c r="O3983" s="120"/>
      <c r="P3983" s="121"/>
      <c r="Q3983" s="120"/>
      <c r="R3983" s="121"/>
      <c r="S3983" s="120"/>
      <c r="T3983" s="121"/>
      <c r="U3983" s="120"/>
      <c r="V3983" s="123"/>
      <c r="W3983" s="125"/>
      <c r="X3983" s="142" t="s">
        <v>12910</v>
      </c>
      <c r="Y3983" s="143"/>
      <c r="Z3983" s="143"/>
      <c r="AA3983" s="143"/>
      <c r="AB3983" s="144"/>
      <c r="AC3983" s="16" t="s">
        <v>21</v>
      </c>
      <c r="AD3983" s="17" t="s">
        <v>12856</v>
      </c>
      <c r="AE3983" s="145" t="s">
        <v>2395</v>
      </c>
      <c r="AF3983" s="146"/>
      <c r="AG3983" s="146"/>
      <c r="AH3983" s="146"/>
      <c r="AI3983" s="147"/>
      <c r="AJ3983" s="148"/>
      <c r="AK3983" s="143"/>
      <c r="AL3983" s="144"/>
      <c r="AM3983" s="22"/>
      <c r="AN3983" s="149" t="s">
        <v>2794</v>
      </c>
      <c r="AO3983" s="144"/>
      <c r="AP3983" s="148">
        <v>2042</v>
      </c>
      <c r="AQ3983" s="144"/>
      <c r="AR3983" s="120"/>
      <c r="AS3983" s="121"/>
      <c r="AT3983" s="120"/>
      <c r="AU3983" s="121"/>
      <c r="AV3983" s="120"/>
      <c r="AW3983" s="121"/>
      <c r="AX3983" s="120"/>
      <c r="AY3983" s="121"/>
      <c r="AZ3983" s="138"/>
    </row>
    <row r="3984" spans="1:52" ht="17.100000000000001" customHeight="1" thickTop="1">
      <c r="A3984" s="109" t="s">
        <v>12262</v>
      </c>
      <c r="B3984" s="28">
        <v>45993</v>
      </c>
      <c r="C3984" s="25">
        <v>798</v>
      </c>
      <c r="D3984" s="13" t="s">
        <v>1606</v>
      </c>
      <c r="E3984" s="111"/>
      <c r="F3984" s="113" t="s">
        <v>1871</v>
      </c>
      <c r="G3984" s="114"/>
      <c r="H3984" s="115"/>
      <c r="I3984" s="24"/>
      <c r="J3984" s="116">
        <v>4.5</v>
      </c>
      <c r="K3984" s="118">
        <v>694000</v>
      </c>
      <c r="L3984" s="119"/>
      <c r="M3984" s="118">
        <f t="shared" ref="M3984" si="3949">K3984*0.1</f>
        <v>69400</v>
      </c>
      <c r="N3984" s="119"/>
      <c r="O3984" s="118">
        <v>0</v>
      </c>
      <c r="P3984" s="119"/>
      <c r="Q3984" s="118">
        <v>18960</v>
      </c>
      <c r="R3984" s="119"/>
      <c r="S3984" s="118">
        <v>15950</v>
      </c>
      <c r="T3984" s="119"/>
      <c r="U3984" s="118">
        <f t="shared" ref="U3984" si="3950">SUM(K3984:T3985)</f>
        <v>798310</v>
      </c>
      <c r="V3984" s="122"/>
      <c r="W3984" s="124"/>
      <c r="X3984" s="126" t="s">
        <v>12815</v>
      </c>
      <c r="Y3984" s="127"/>
      <c r="Z3984" s="127"/>
      <c r="AA3984" s="127"/>
      <c r="AB3984" s="128"/>
      <c r="AC3984" s="15" t="s">
        <v>20</v>
      </c>
      <c r="AD3984" s="129"/>
      <c r="AE3984" s="130"/>
      <c r="AF3984" s="130"/>
      <c r="AG3984" s="130"/>
      <c r="AH3984" s="130"/>
      <c r="AI3984" s="131"/>
      <c r="AJ3984" s="132"/>
      <c r="AK3984" s="127"/>
      <c r="AL3984" s="128"/>
      <c r="AM3984" s="21"/>
      <c r="AN3984" s="133">
        <v>45997</v>
      </c>
      <c r="AO3984" s="134"/>
      <c r="AP3984" s="135">
        <v>1279</v>
      </c>
      <c r="AQ3984" s="136"/>
      <c r="AR3984" s="118">
        <v>920000</v>
      </c>
      <c r="AS3984" s="119"/>
      <c r="AT3984" s="118">
        <f t="shared" ref="AT3984" si="3951">AR3984*0.1</f>
        <v>92000</v>
      </c>
      <c r="AU3984" s="119"/>
      <c r="AV3984" s="118">
        <v>18960</v>
      </c>
      <c r="AW3984" s="119"/>
      <c r="AX3984" s="118">
        <f t="shared" ref="AX3984" si="3952">SUM(AR3984:AW3984)</f>
        <v>1030960</v>
      </c>
      <c r="AY3984" s="119"/>
      <c r="AZ3984" s="137">
        <v>46002</v>
      </c>
    </row>
    <row r="3985" spans="1:52" ht="17.100000000000001" customHeight="1" thickBot="1">
      <c r="A3985" s="110"/>
      <c r="B3985" s="27" t="s">
        <v>3367</v>
      </c>
      <c r="C3985" s="27">
        <v>5004</v>
      </c>
      <c r="D3985" s="14" t="s">
        <v>2800</v>
      </c>
      <c r="E3985" s="112"/>
      <c r="F3985" s="139" t="s">
        <v>12219</v>
      </c>
      <c r="G3985" s="140"/>
      <c r="H3985" s="141"/>
      <c r="I3985" s="26">
        <v>32446</v>
      </c>
      <c r="J3985" s="117"/>
      <c r="K3985" s="120"/>
      <c r="L3985" s="121"/>
      <c r="M3985" s="120"/>
      <c r="N3985" s="121"/>
      <c r="O3985" s="120"/>
      <c r="P3985" s="121"/>
      <c r="Q3985" s="120"/>
      <c r="R3985" s="121"/>
      <c r="S3985" s="120"/>
      <c r="T3985" s="121"/>
      <c r="U3985" s="120"/>
      <c r="V3985" s="123"/>
      <c r="W3985" s="125"/>
      <c r="X3985" s="142" t="s">
        <v>3369</v>
      </c>
      <c r="Y3985" s="143"/>
      <c r="Z3985" s="143"/>
      <c r="AA3985" s="143"/>
      <c r="AB3985" s="144"/>
      <c r="AC3985" s="16" t="s">
        <v>21</v>
      </c>
      <c r="AD3985" s="17" t="s">
        <v>1765</v>
      </c>
      <c r="AE3985" s="145" t="s">
        <v>12545</v>
      </c>
      <c r="AF3985" s="146"/>
      <c r="AG3985" s="146"/>
      <c r="AH3985" s="146"/>
      <c r="AI3985" s="147"/>
      <c r="AJ3985" s="148"/>
      <c r="AK3985" s="143"/>
      <c r="AL3985" s="144"/>
      <c r="AM3985" s="22"/>
      <c r="AN3985" s="149" t="s">
        <v>2511</v>
      </c>
      <c r="AO3985" s="144"/>
      <c r="AP3985" s="148">
        <v>80382</v>
      </c>
      <c r="AQ3985" s="144"/>
      <c r="AR3985" s="120"/>
      <c r="AS3985" s="121"/>
      <c r="AT3985" s="120"/>
      <c r="AU3985" s="121"/>
      <c r="AV3985" s="120"/>
      <c r="AW3985" s="121"/>
      <c r="AX3985" s="120"/>
      <c r="AY3985" s="121"/>
      <c r="AZ3985" s="138"/>
    </row>
    <row r="3986" spans="1:52" ht="17.100000000000001" customHeight="1" thickTop="1">
      <c r="A3986" s="109" t="s">
        <v>12263</v>
      </c>
      <c r="B3986" s="28">
        <v>45993</v>
      </c>
      <c r="C3986" s="25">
        <v>798</v>
      </c>
      <c r="D3986" s="13" t="s">
        <v>1686</v>
      </c>
      <c r="E3986" s="111"/>
      <c r="F3986" s="113" t="s">
        <v>12220</v>
      </c>
      <c r="G3986" s="114"/>
      <c r="H3986" s="115"/>
      <c r="I3986" s="24" t="s">
        <v>1559</v>
      </c>
      <c r="J3986" s="116">
        <v>3.5</v>
      </c>
      <c r="K3986" s="118">
        <v>935000</v>
      </c>
      <c r="L3986" s="119"/>
      <c r="M3986" s="118">
        <f t="shared" ref="M3986" si="3953">K3986*0.1</f>
        <v>93500</v>
      </c>
      <c r="N3986" s="119"/>
      <c r="O3986" s="118">
        <v>10780</v>
      </c>
      <c r="P3986" s="119"/>
      <c r="Q3986" s="118">
        <v>19330</v>
      </c>
      <c r="R3986" s="119"/>
      <c r="S3986" s="118">
        <v>15950</v>
      </c>
      <c r="T3986" s="119"/>
      <c r="U3986" s="118">
        <f t="shared" ref="U3986" si="3954">SUM(K3986:T3987)</f>
        <v>1074560</v>
      </c>
      <c r="V3986" s="122"/>
      <c r="W3986" s="124"/>
      <c r="X3986" s="126" t="s">
        <v>12222</v>
      </c>
      <c r="Y3986" s="127"/>
      <c r="Z3986" s="127"/>
      <c r="AA3986" s="127"/>
      <c r="AB3986" s="128"/>
      <c r="AC3986" s="15" t="s">
        <v>20</v>
      </c>
      <c r="AD3986" s="129" t="s">
        <v>12223</v>
      </c>
      <c r="AE3986" s="130"/>
      <c r="AF3986" s="130"/>
      <c r="AG3986" s="130"/>
      <c r="AH3986" s="130"/>
      <c r="AI3986" s="131"/>
      <c r="AJ3986" s="132"/>
      <c r="AK3986" s="127"/>
      <c r="AL3986" s="128"/>
      <c r="AM3986" s="21"/>
      <c r="AN3986" s="133">
        <v>45997</v>
      </c>
      <c r="AO3986" s="134"/>
      <c r="AP3986" s="135">
        <v>1279</v>
      </c>
      <c r="AQ3986" s="136"/>
      <c r="AR3986" s="118">
        <v>1140000</v>
      </c>
      <c r="AS3986" s="119"/>
      <c r="AT3986" s="118">
        <f t="shared" ref="AT3986" si="3955">AR3986*0.1</f>
        <v>114000</v>
      </c>
      <c r="AU3986" s="119"/>
      <c r="AV3986" s="118">
        <v>19330</v>
      </c>
      <c r="AW3986" s="119"/>
      <c r="AX3986" s="118">
        <f t="shared" ref="AX3986" si="3956">SUM(AR3986:AW3986)</f>
        <v>1273330</v>
      </c>
      <c r="AY3986" s="119"/>
      <c r="AZ3986" s="137">
        <v>46002</v>
      </c>
    </row>
    <row r="3987" spans="1:52" ht="17.100000000000001" customHeight="1" thickBot="1">
      <c r="A3987" s="110"/>
      <c r="B3987" s="27" t="s">
        <v>3367</v>
      </c>
      <c r="C3987" s="27">
        <v>5005</v>
      </c>
      <c r="D3987" s="14" t="s">
        <v>275</v>
      </c>
      <c r="E3987" s="112"/>
      <c r="F3987" s="139" t="s">
        <v>12221</v>
      </c>
      <c r="G3987" s="140"/>
      <c r="H3987" s="141"/>
      <c r="I3987" s="26">
        <v>74362</v>
      </c>
      <c r="J3987" s="117"/>
      <c r="K3987" s="120"/>
      <c r="L3987" s="121"/>
      <c r="M3987" s="120"/>
      <c r="N3987" s="121"/>
      <c r="O3987" s="120"/>
      <c r="P3987" s="121"/>
      <c r="Q3987" s="120"/>
      <c r="R3987" s="121"/>
      <c r="S3987" s="120"/>
      <c r="T3987" s="121"/>
      <c r="U3987" s="120"/>
      <c r="V3987" s="123"/>
      <c r="W3987" s="125"/>
      <c r="X3987" s="142" t="s">
        <v>1594</v>
      </c>
      <c r="Y3987" s="143"/>
      <c r="Z3987" s="143"/>
      <c r="AA3987" s="143"/>
      <c r="AB3987" s="144"/>
      <c r="AC3987" s="16" t="s">
        <v>21</v>
      </c>
      <c r="AD3987" s="17" t="s">
        <v>1765</v>
      </c>
      <c r="AE3987" s="145" t="s">
        <v>171</v>
      </c>
      <c r="AF3987" s="146"/>
      <c r="AG3987" s="146"/>
      <c r="AH3987" s="146"/>
      <c r="AI3987" s="147"/>
      <c r="AJ3987" s="148"/>
      <c r="AK3987" s="143"/>
      <c r="AL3987" s="144"/>
      <c r="AM3987" s="22"/>
      <c r="AN3987" s="149" t="s">
        <v>2511</v>
      </c>
      <c r="AO3987" s="144"/>
      <c r="AP3987" s="148">
        <v>80384</v>
      </c>
      <c r="AQ3987" s="144"/>
      <c r="AR3987" s="120"/>
      <c r="AS3987" s="121"/>
      <c r="AT3987" s="120"/>
      <c r="AU3987" s="121"/>
      <c r="AV3987" s="120"/>
      <c r="AW3987" s="121"/>
      <c r="AX3987" s="120"/>
      <c r="AY3987" s="121"/>
      <c r="AZ3987" s="138"/>
    </row>
    <row r="3988" spans="1:52" ht="17.100000000000001" customHeight="1" thickTop="1">
      <c r="A3988" s="151" t="s">
        <v>12264</v>
      </c>
      <c r="B3988" s="28">
        <v>45993</v>
      </c>
      <c r="C3988" s="25">
        <v>918</v>
      </c>
      <c r="D3988" s="13" t="s">
        <v>2187</v>
      </c>
      <c r="E3988" s="111"/>
      <c r="F3988" s="113" t="s">
        <v>3590</v>
      </c>
      <c r="G3988" s="114"/>
      <c r="H3988" s="115"/>
      <c r="I3988" s="24"/>
      <c r="J3988" s="116">
        <v>4</v>
      </c>
      <c r="K3988" s="118">
        <v>1023000</v>
      </c>
      <c r="L3988" s="119"/>
      <c r="M3988" s="118">
        <f t="shared" ref="M3988" si="3957">K3988*0.1</f>
        <v>102300</v>
      </c>
      <c r="N3988" s="119"/>
      <c r="O3988" s="118">
        <v>0</v>
      </c>
      <c r="P3988" s="119"/>
      <c r="Q3988" s="118">
        <v>5340</v>
      </c>
      <c r="R3988" s="119"/>
      <c r="S3988" s="118">
        <v>15950</v>
      </c>
      <c r="T3988" s="119"/>
      <c r="U3988" s="118">
        <f t="shared" ref="U3988" si="3958">SUM(K3988:T3989)</f>
        <v>1146590</v>
      </c>
      <c r="V3988" s="122"/>
      <c r="W3988" s="124"/>
      <c r="X3988" s="126" t="s">
        <v>12855</v>
      </c>
      <c r="Y3988" s="127"/>
      <c r="Z3988" s="127"/>
      <c r="AA3988" s="127"/>
      <c r="AB3988" s="128"/>
      <c r="AC3988" s="15" t="s">
        <v>20</v>
      </c>
      <c r="AD3988" s="129"/>
      <c r="AE3988" s="130"/>
      <c r="AF3988" s="130"/>
      <c r="AG3988" s="130"/>
      <c r="AH3988" s="130"/>
      <c r="AI3988" s="131"/>
      <c r="AJ3988" s="132"/>
      <c r="AK3988" s="127"/>
      <c r="AL3988" s="128"/>
      <c r="AM3988" s="21"/>
      <c r="AN3988" s="133">
        <v>46032</v>
      </c>
      <c r="AO3988" s="134"/>
      <c r="AP3988" s="135">
        <v>1283</v>
      </c>
      <c r="AQ3988" s="136"/>
      <c r="AR3988" s="118">
        <v>1075000</v>
      </c>
      <c r="AS3988" s="119"/>
      <c r="AT3988" s="118">
        <v>107500</v>
      </c>
      <c r="AU3988" s="119"/>
      <c r="AV3988" s="118">
        <v>5340</v>
      </c>
      <c r="AW3988" s="119"/>
      <c r="AX3988" s="118">
        <f t="shared" ref="AX3988" si="3959">SUM(AR3988:AW3988)</f>
        <v>1187840</v>
      </c>
      <c r="AY3988" s="119"/>
      <c r="AZ3988" s="137">
        <v>46036</v>
      </c>
    </row>
    <row r="3989" spans="1:52" ht="17.100000000000001" customHeight="1" thickBot="1">
      <c r="A3989" s="152"/>
      <c r="B3989" s="27" t="s">
        <v>2699</v>
      </c>
      <c r="C3989" s="27">
        <v>3040</v>
      </c>
      <c r="D3989" s="14" t="s">
        <v>1576</v>
      </c>
      <c r="E3989" s="112"/>
      <c r="F3989" s="139" t="s">
        <v>12209</v>
      </c>
      <c r="G3989" s="140"/>
      <c r="H3989" s="141"/>
      <c r="I3989" s="26">
        <v>7093</v>
      </c>
      <c r="J3989" s="117"/>
      <c r="K3989" s="120"/>
      <c r="L3989" s="121"/>
      <c r="M3989" s="120"/>
      <c r="N3989" s="121"/>
      <c r="O3989" s="120"/>
      <c r="P3989" s="121"/>
      <c r="Q3989" s="120"/>
      <c r="R3989" s="121"/>
      <c r="S3989" s="120"/>
      <c r="T3989" s="121"/>
      <c r="U3989" s="120"/>
      <c r="V3989" s="123"/>
      <c r="W3989" s="125"/>
      <c r="X3989" s="142" t="s">
        <v>4076</v>
      </c>
      <c r="Y3989" s="143"/>
      <c r="Z3989" s="143"/>
      <c r="AA3989" s="143"/>
      <c r="AB3989" s="144"/>
      <c r="AC3989" s="16" t="s">
        <v>21</v>
      </c>
      <c r="AD3989" s="17" t="s">
        <v>12856</v>
      </c>
      <c r="AE3989" s="145" t="s">
        <v>3624</v>
      </c>
      <c r="AF3989" s="146"/>
      <c r="AG3989" s="146"/>
      <c r="AH3989" s="146"/>
      <c r="AI3989" s="147"/>
      <c r="AJ3989" s="148"/>
      <c r="AK3989" s="143"/>
      <c r="AL3989" s="144"/>
      <c r="AM3989" s="22"/>
      <c r="AN3989" s="149" t="s">
        <v>2511</v>
      </c>
      <c r="AO3989" s="144"/>
      <c r="AP3989" s="148">
        <v>60157</v>
      </c>
      <c r="AQ3989" s="144"/>
      <c r="AR3989" s="120"/>
      <c r="AS3989" s="121"/>
      <c r="AT3989" s="120"/>
      <c r="AU3989" s="121"/>
      <c r="AV3989" s="120"/>
      <c r="AW3989" s="121"/>
      <c r="AX3989" s="120"/>
      <c r="AY3989" s="121"/>
      <c r="AZ3989" s="138"/>
    </row>
    <row r="3990" spans="1:52" ht="17.100000000000001" customHeight="1" thickTop="1">
      <c r="A3990" s="109" t="s">
        <v>12265</v>
      </c>
      <c r="B3990" s="28">
        <v>45993</v>
      </c>
      <c r="C3990" s="25">
        <v>918</v>
      </c>
      <c r="D3990" s="13" t="s">
        <v>2084</v>
      </c>
      <c r="E3990" s="111"/>
      <c r="F3990" s="113" t="s">
        <v>12224</v>
      </c>
      <c r="G3990" s="114"/>
      <c r="H3990" s="115"/>
      <c r="I3990" s="24"/>
      <c r="J3990" s="116">
        <v>4</v>
      </c>
      <c r="K3990" s="118">
        <v>900000</v>
      </c>
      <c r="L3990" s="119"/>
      <c r="M3990" s="118">
        <f t="shared" ref="M3990" si="3960">K3990*0.1</f>
        <v>90000</v>
      </c>
      <c r="N3990" s="119"/>
      <c r="O3990" s="118">
        <v>0</v>
      </c>
      <c r="P3990" s="119"/>
      <c r="Q3990" s="118">
        <v>8510</v>
      </c>
      <c r="R3990" s="119"/>
      <c r="S3990" s="118">
        <v>15950</v>
      </c>
      <c r="T3990" s="119"/>
      <c r="U3990" s="118">
        <f t="shared" ref="U3990" si="3961">SUM(K3990:T3991)</f>
        <v>1014460</v>
      </c>
      <c r="V3990" s="122"/>
      <c r="W3990" s="124"/>
      <c r="X3990" s="126" t="s">
        <v>12906</v>
      </c>
      <c r="Y3990" s="127"/>
      <c r="Z3990" s="127"/>
      <c r="AA3990" s="127"/>
      <c r="AB3990" s="128"/>
      <c r="AC3990" s="15" t="s">
        <v>20</v>
      </c>
      <c r="AD3990" s="129" t="s">
        <v>12226</v>
      </c>
      <c r="AE3990" s="130"/>
      <c r="AF3990" s="130"/>
      <c r="AG3990" s="130"/>
      <c r="AH3990" s="130"/>
      <c r="AI3990" s="131"/>
      <c r="AJ3990" s="132"/>
      <c r="AK3990" s="127"/>
      <c r="AL3990" s="128"/>
      <c r="AM3990" s="21"/>
      <c r="AN3990" s="133">
        <v>46018</v>
      </c>
      <c r="AO3990" s="134"/>
      <c r="AP3990" s="135">
        <v>1282</v>
      </c>
      <c r="AQ3990" s="136"/>
      <c r="AR3990" s="118">
        <v>1000000</v>
      </c>
      <c r="AS3990" s="119"/>
      <c r="AT3990" s="118">
        <f t="shared" ref="AT3990" si="3962">AR3990*0.1</f>
        <v>100000</v>
      </c>
      <c r="AU3990" s="119"/>
      <c r="AV3990" s="118">
        <v>8510</v>
      </c>
      <c r="AW3990" s="119"/>
      <c r="AX3990" s="118">
        <f t="shared" ref="AX3990" si="3963">SUM(AR3990:AW3990)</f>
        <v>1108510</v>
      </c>
      <c r="AY3990" s="119"/>
      <c r="AZ3990" s="137">
        <v>46028</v>
      </c>
    </row>
    <row r="3991" spans="1:52" ht="17.100000000000001" customHeight="1" thickBot="1">
      <c r="A3991" s="110"/>
      <c r="B3991" s="27" t="s">
        <v>2699</v>
      </c>
      <c r="C3991" s="27">
        <v>3069</v>
      </c>
      <c r="D3991" s="14" t="s">
        <v>1720</v>
      </c>
      <c r="E3991" s="112"/>
      <c r="F3991" s="139" t="s">
        <v>12225</v>
      </c>
      <c r="G3991" s="140"/>
      <c r="H3991" s="141"/>
      <c r="I3991" s="26">
        <v>33823</v>
      </c>
      <c r="J3991" s="117"/>
      <c r="K3991" s="120"/>
      <c r="L3991" s="121"/>
      <c r="M3991" s="120"/>
      <c r="N3991" s="121"/>
      <c r="O3991" s="120"/>
      <c r="P3991" s="121"/>
      <c r="Q3991" s="120"/>
      <c r="R3991" s="121"/>
      <c r="S3991" s="120"/>
      <c r="T3991" s="121"/>
      <c r="U3991" s="120"/>
      <c r="V3991" s="123"/>
      <c r="W3991" s="125"/>
      <c r="X3991" s="142" t="s">
        <v>12907</v>
      </c>
      <c r="Y3991" s="143"/>
      <c r="Z3991" s="143"/>
      <c r="AA3991" s="143"/>
      <c r="AB3991" s="144"/>
      <c r="AC3991" s="16" t="s">
        <v>21</v>
      </c>
      <c r="AD3991" s="17" t="s">
        <v>12856</v>
      </c>
      <c r="AE3991" s="145" t="s">
        <v>171</v>
      </c>
      <c r="AF3991" s="146"/>
      <c r="AG3991" s="146"/>
      <c r="AH3991" s="146"/>
      <c r="AI3991" s="147"/>
      <c r="AJ3991" s="148"/>
      <c r="AK3991" s="143"/>
      <c r="AL3991" s="144"/>
      <c r="AM3991" s="22"/>
      <c r="AN3991" s="149" t="s">
        <v>2511</v>
      </c>
      <c r="AO3991" s="144"/>
      <c r="AP3991" s="148">
        <v>60161</v>
      </c>
      <c r="AQ3991" s="144"/>
      <c r="AR3991" s="120"/>
      <c r="AS3991" s="121"/>
      <c r="AT3991" s="120"/>
      <c r="AU3991" s="121"/>
      <c r="AV3991" s="120"/>
      <c r="AW3991" s="121"/>
      <c r="AX3991" s="120"/>
      <c r="AY3991" s="121"/>
      <c r="AZ3991" s="138"/>
    </row>
    <row r="3992" spans="1:52" ht="17.100000000000001" customHeight="1" thickTop="1">
      <c r="A3992" s="109" t="s">
        <v>12266</v>
      </c>
      <c r="B3992" s="28">
        <v>45993</v>
      </c>
      <c r="C3992" s="25">
        <v>918</v>
      </c>
      <c r="D3992" s="13" t="s">
        <v>1847</v>
      </c>
      <c r="E3992" s="111"/>
      <c r="F3992" s="113" t="s">
        <v>12227</v>
      </c>
      <c r="G3992" s="114"/>
      <c r="H3992" s="115"/>
      <c r="I3992" s="24"/>
      <c r="J3992" s="116">
        <v>4</v>
      </c>
      <c r="K3992" s="118">
        <v>1612000</v>
      </c>
      <c r="L3992" s="119"/>
      <c r="M3992" s="118">
        <f t="shared" ref="M3992" si="3964">K3992*0.1</f>
        <v>161200</v>
      </c>
      <c r="N3992" s="119"/>
      <c r="O3992" s="118">
        <v>0</v>
      </c>
      <c r="P3992" s="119"/>
      <c r="Q3992" s="118">
        <v>7340</v>
      </c>
      <c r="R3992" s="119"/>
      <c r="S3992" s="118">
        <v>15950</v>
      </c>
      <c r="T3992" s="119"/>
      <c r="U3992" s="118">
        <f t="shared" ref="U3992" si="3965">SUM(K3992:T3993)</f>
        <v>1796490</v>
      </c>
      <c r="V3992" s="122"/>
      <c r="W3992" s="124"/>
      <c r="X3992" s="126" t="s">
        <v>12818</v>
      </c>
      <c r="Y3992" s="127"/>
      <c r="Z3992" s="127"/>
      <c r="AA3992" s="127"/>
      <c r="AB3992" s="128"/>
      <c r="AC3992" s="15" t="s">
        <v>20</v>
      </c>
      <c r="AD3992" s="129" t="s">
        <v>1670</v>
      </c>
      <c r="AE3992" s="130"/>
      <c r="AF3992" s="130"/>
      <c r="AG3992" s="130"/>
      <c r="AH3992" s="130"/>
      <c r="AI3992" s="131"/>
      <c r="AJ3992" s="132"/>
      <c r="AK3992" s="127"/>
      <c r="AL3992" s="128"/>
      <c r="AM3992" s="21"/>
      <c r="AN3992" s="133">
        <v>45997</v>
      </c>
      <c r="AO3992" s="134"/>
      <c r="AP3992" s="135">
        <v>1279</v>
      </c>
      <c r="AQ3992" s="136"/>
      <c r="AR3992" s="118">
        <v>1675000</v>
      </c>
      <c r="AS3992" s="119"/>
      <c r="AT3992" s="118">
        <f t="shared" ref="AT3992" si="3966">AR3992*0.1</f>
        <v>167500</v>
      </c>
      <c r="AU3992" s="119"/>
      <c r="AV3992" s="118">
        <v>7340</v>
      </c>
      <c r="AW3992" s="119"/>
      <c r="AX3992" s="118">
        <f t="shared" ref="AX3992" si="3967">SUM(AR3992:AW3992)</f>
        <v>1849840</v>
      </c>
      <c r="AY3992" s="119"/>
      <c r="AZ3992" s="137">
        <v>46002</v>
      </c>
    </row>
    <row r="3993" spans="1:52" ht="17.100000000000001" customHeight="1" thickBot="1">
      <c r="A3993" s="110"/>
      <c r="B3993" s="27" t="s">
        <v>2699</v>
      </c>
      <c r="C3993" s="27">
        <v>3076</v>
      </c>
      <c r="D3993" s="14" t="s">
        <v>275</v>
      </c>
      <c r="E3993" s="112"/>
      <c r="F3993" s="139" t="s">
        <v>12228</v>
      </c>
      <c r="G3993" s="140"/>
      <c r="H3993" s="141"/>
      <c r="I3993" s="26">
        <v>36432</v>
      </c>
      <c r="J3993" s="117"/>
      <c r="K3993" s="120"/>
      <c r="L3993" s="121"/>
      <c r="M3993" s="120"/>
      <c r="N3993" s="121"/>
      <c r="O3993" s="120"/>
      <c r="P3993" s="121"/>
      <c r="Q3993" s="120"/>
      <c r="R3993" s="121"/>
      <c r="S3993" s="120"/>
      <c r="T3993" s="121"/>
      <c r="U3993" s="120"/>
      <c r="V3993" s="123"/>
      <c r="W3993" s="125"/>
      <c r="X3993" s="142" t="s">
        <v>12819</v>
      </c>
      <c r="Y3993" s="143"/>
      <c r="Z3993" s="143"/>
      <c r="AA3993" s="143"/>
      <c r="AB3993" s="144"/>
      <c r="AC3993" s="16" t="s">
        <v>21</v>
      </c>
      <c r="AD3993" s="17" t="s">
        <v>1765</v>
      </c>
      <c r="AE3993" s="145" t="s">
        <v>9056</v>
      </c>
      <c r="AF3993" s="146"/>
      <c r="AG3993" s="146"/>
      <c r="AH3993" s="146"/>
      <c r="AI3993" s="147"/>
      <c r="AJ3993" s="148"/>
      <c r="AK3993" s="143"/>
      <c r="AL3993" s="144"/>
      <c r="AM3993" s="22"/>
      <c r="AN3993" s="149" t="s">
        <v>2511</v>
      </c>
      <c r="AO3993" s="144"/>
      <c r="AP3993" s="148">
        <v>60411</v>
      </c>
      <c r="AQ3993" s="144"/>
      <c r="AR3993" s="120"/>
      <c r="AS3993" s="121"/>
      <c r="AT3993" s="120"/>
      <c r="AU3993" s="121"/>
      <c r="AV3993" s="120"/>
      <c r="AW3993" s="121"/>
      <c r="AX3993" s="120"/>
      <c r="AY3993" s="121"/>
      <c r="AZ3993" s="138"/>
    </row>
    <row r="3994" spans="1:52" ht="17.100000000000001" customHeight="1" thickTop="1">
      <c r="A3994" s="109" t="s">
        <v>12267</v>
      </c>
      <c r="B3994" s="28">
        <v>45993</v>
      </c>
      <c r="C3994" s="25">
        <v>918</v>
      </c>
      <c r="D3994" s="13" t="s">
        <v>2963</v>
      </c>
      <c r="E3994" s="111"/>
      <c r="F3994" s="113" t="s">
        <v>4288</v>
      </c>
      <c r="G3994" s="114"/>
      <c r="H3994" s="115"/>
      <c r="I3994" s="24" t="s">
        <v>1547</v>
      </c>
      <c r="J3994" s="116">
        <v>4.5</v>
      </c>
      <c r="K3994" s="118">
        <v>1250000</v>
      </c>
      <c r="L3994" s="119"/>
      <c r="M3994" s="118">
        <f t="shared" ref="M3994" si="3968">K3994*0.1</f>
        <v>125000</v>
      </c>
      <c r="N3994" s="119"/>
      <c r="O3994" s="118">
        <v>0</v>
      </c>
      <c r="P3994" s="119"/>
      <c r="Q3994" s="118">
        <v>7150</v>
      </c>
      <c r="R3994" s="119"/>
      <c r="S3994" s="118">
        <v>15950</v>
      </c>
      <c r="T3994" s="119"/>
      <c r="U3994" s="118">
        <f t="shared" ref="U3994" si="3969">SUM(K3994:T3995)</f>
        <v>1398100</v>
      </c>
      <c r="V3994" s="122"/>
      <c r="W3994" s="124"/>
      <c r="X3994" s="126" t="s">
        <v>12230</v>
      </c>
      <c r="Y3994" s="127"/>
      <c r="Z3994" s="127"/>
      <c r="AA3994" s="127"/>
      <c r="AB3994" s="128"/>
      <c r="AC3994" s="15" t="s">
        <v>20</v>
      </c>
      <c r="AD3994" s="129" t="s">
        <v>12231</v>
      </c>
      <c r="AE3994" s="130"/>
      <c r="AF3994" s="130"/>
      <c r="AG3994" s="130"/>
      <c r="AH3994" s="130"/>
      <c r="AI3994" s="131"/>
      <c r="AJ3994" s="132"/>
      <c r="AK3994" s="127"/>
      <c r="AL3994" s="128"/>
      <c r="AM3994" s="21"/>
      <c r="AN3994" s="133">
        <v>46011</v>
      </c>
      <c r="AO3994" s="134"/>
      <c r="AP3994" s="135">
        <v>1281</v>
      </c>
      <c r="AQ3994" s="136"/>
      <c r="AR3994" s="118">
        <v>1290000</v>
      </c>
      <c r="AS3994" s="119"/>
      <c r="AT3994" s="118">
        <f t="shared" ref="AT3994" si="3970">AR3994*0.1</f>
        <v>129000</v>
      </c>
      <c r="AU3994" s="119"/>
      <c r="AV3994" s="118">
        <v>7150</v>
      </c>
      <c r="AW3994" s="119"/>
      <c r="AX3994" s="118">
        <f t="shared" ref="AX3994" si="3971">SUM(AR3994:AW3994)</f>
        <v>1426150</v>
      </c>
      <c r="AY3994" s="119"/>
      <c r="AZ3994" s="137">
        <v>46014</v>
      </c>
    </row>
    <row r="3995" spans="1:52" ht="16.5" customHeight="1" thickBot="1">
      <c r="A3995" s="110"/>
      <c r="B3995" s="27" t="s">
        <v>2699</v>
      </c>
      <c r="C3995" s="27">
        <v>3082</v>
      </c>
      <c r="D3995" s="14" t="s">
        <v>2601</v>
      </c>
      <c r="E3995" s="112"/>
      <c r="F3995" s="139" t="s">
        <v>12229</v>
      </c>
      <c r="G3995" s="140"/>
      <c r="H3995" s="141"/>
      <c r="I3995" s="26">
        <v>43660</v>
      </c>
      <c r="J3995" s="117"/>
      <c r="K3995" s="120"/>
      <c r="L3995" s="121"/>
      <c r="M3995" s="120"/>
      <c r="N3995" s="121"/>
      <c r="O3995" s="120"/>
      <c r="P3995" s="121"/>
      <c r="Q3995" s="120"/>
      <c r="R3995" s="121"/>
      <c r="S3995" s="120"/>
      <c r="T3995" s="121"/>
      <c r="U3995" s="120"/>
      <c r="V3995" s="123"/>
      <c r="W3995" s="125"/>
      <c r="X3995" s="142" t="s">
        <v>12908</v>
      </c>
      <c r="Y3995" s="143"/>
      <c r="Z3995" s="143"/>
      <c r="AA3995" s="143"/>
      <c r="AB3995" s="144"/>
      <c r="AC3995" s="16" t="s">
        <v>21</v>
      </c>
      <c r="AD3995" s="17" t="s">
        <v>12856</v>
      </c>
      <c r="AE3995" s="145" t="s">
        <v>2347</v>
      </c>
      <c r="AF3995" s="146"/>
      <c r="AG3995" s="146"/>
      <c r="AH3995" s="146"/>
      <c r="AI3995" s="147"/>
      <c r="AJ3995" s="148"/>
      <c r="AK3995" s="143"/>
      <c r="AL3995" s="144"/>
      <c r="AM3995" s="22"/>
      <c r="AN3995" s="149" t="s">
        <v>2511</v>
      </c>
      <c r="AO3995" s="144"/>
      <c r="AP3995" s="148">
        <v>60037</v>
      </c>
      <c r="AQ3995" s="144"/>
      <c r="AR3995" s="120"/>
      <c r="AS3995" s="121"/>
      <c r="AT3995" s="120"/>
      <c r="AU3995" s="121"/>
      <c r="AV3995" s="120"/>
      <c r="AW3995" s="121"/>
      <c r="AX3995" s="120"/>
      <c r="AY3995" s="121"/>
      <c r="AZ3995" s="138"/>
    </row>
    <row r="3996" spans="1:52" ht="17.100000000000001" customHeight="1" thickTop="1">
      <c r="A3996" s="109" t="s">
        <v>12268</v>
      </c>
      <c r="B3996" s="28">
        <v>45993</v>
      </c>
      <c r="C3996" s="25">
        <v>1072</v>
      </c>
      <c r="D3996" s="13" t="s">
        <v>1831</v>
      </c>
      <c r="E3996" s="111"/>
      <c r="F3996" s="113" t="s">
        <v>12310</v>
      </c>
      <c r="G3996" s="114"/>
      <c r="H3996" s="115"/>
      <c r="I3996" s="24" t="s">
        <v>12312</v>
      </c>
      <c r="J3996" s="116">
        <v>4</v>
      </c>
      <c r="K3996" s="118">
        <v>2970000</v>
      </c>
      <c r="L3996" s="119"/>
      <c r="M3996" s="118">
        <f t="shared" ref="M3996" si="3972">K3996*0.1</f>
        <v>297000</v>
      </c>
      <c r="N3996" s="119"/>
      <c r="O3996" s="118">
        <f>12700+1270</f>
        <v>13970</v>
      </c>
      <c r="P3996" s="119"/>
      <c r="Q3996" s="118">
        <v>23490</v>
      </c>
      <c r="R3996" s="119"/>
      <c r="S3996" s="118">
        <v>16500</v>
      </c>
      <c r="T3996" s="119"/>
      <c r="U3996" s="118">
        <f t="shared" ref="U3996" si="3973">SUM(K3996:T3997)</f>
        <v>3320960</v>
      </c>
      <c r="V3996" s="122"/>
      <c r="W3996" s="124"/>
      <c r="X3996" s="126" t="s">
        <v>12313</v>
      </c>
      <c r="Y3996" s="127"/>
      <c r="Z3996" s="127"/>
      <c r="AA3996" s="127"/>
      <c r="AB3996" s="128"/>
      <c r="AC3996" s="15" t="s">
        <v>2995</v>
      </c>
      <c r="AD3996" s="129" t="s">
        <v>3412</v>
      </c>
      <c r="AE3996" s="130"/>
      <c r="AF3996" s="130"/>
      <c r="AG3996" s="130"/>
      <c r="AH3996" s="130"/>
      <c r="AI3996" s="131"/>
      <c r="AJ3996" s="132"/>
      <c r="AK3996" s="127"/>
      <c r="AL3996" s="128"/>
      <c r="AM3996" s="21"/>
      <c r="AN3996" s="133"/>
      <c r="AO3996" s="134"/>
      <c r="AP3996" s="135"/>
      <c r="AQ3996" s="136"/>
      <c r="AR3996" s="118"/>
      <c r="AS3996" s="119"/>
      <c r="AT3996" s="118">
        <f t="shared" ref="AT3996" si="3974">AR3996*0.1</f>
        <v>0</v>
      </c>
      <c r="AU3996" s="119"/>
      <c r="AV3996" s="118"/>
      <c r="AW3996" s="119"/>
      <c r="AX3996" s="118">
        <f t="shared" ref="AX3996" si="3975">SUM(AR3996:AW3996)</f>
        <v>0</v>
      </c>
      <c r="AY3996" s="119"/>
      <c r="AZ3996" s="137"/>
    </row>
    <row r="3997" spans="1:52" ht="17.100000000000001" customHeight="1" thickBot="1">
      <c r="A3997" s="110"/>
      <c r="B3997" s="27" t="s">
        <v>1591</v>
      </c>
      <c r="C3997" s="27">
        <v>84152</v>
      </c>
      <c r="D3997" s="14" t="s">
        <v>1720</v>
      </c>
      <c r="E3997" s="112"/>
      <c r="F3997" s="139" t="s">
        <v>12311</v>
      </c>
      <c r="G3997" s="140"/>
      <c r="H3997" s="141"/>
      <c r="I3997" s="26">
        <v>48780</v>
      </c>
      <c r="J3997" s="117"/>
      <c r="K3997" s="120"/>
      <c r="L3997" s="121"/>
      <c r="M3997" s="120"/>
      <c r="N3997" s="121"/>
      <c r="O3997" s="120"/>
      <c r="P3997" s="121"/>
      <c r="Q3997" s="120"/>
      <c r="R3997" s="121"/>
      <c r="S3997" s="120"/>
      <c r="T3997" s="121"/>
      <c r="U3997" s="120"/>
      <c r="V3997" s="123"/>
      <c r="W3997" s="125"/>
      <c r="X3997" s="142" t="s">
        <v>12813</v>
      </c>
      <c r="Y3997" s="143"/>
      <c r="Z3997" s="143"/>
      <c r="AA3997" s="143"/>
      <c r="AB3997" s="144"/>
      <c r="AC3997" s="16" t="s">
        <v>21</v>
      </c>
      <c r="AD3997" s="17" t="s">
        <v>2255</v>
      </c>
      <c r="AE3997" s="145" t="s">
        <v>1614</v>
      </c>
      <c r="AF3997" s="146"/>
      <c r="AG3997" s="146"/>
      <c r="AH3997" s="146"/>
      <c r="AI3997" s="147"/>
      <c r="AJ3997" s="148"/>
      <c r="AK3997" s="143"/>
      <c r="AL3997" s="144"/>
      <c r="AM3997" s="22"/>
      <c r="AN3997" s="149"/>
      <c r="AO3997" s="144"/>
      <c r="AP3997" s="148"/>
      <c r="AQ3997" s="144"/>
      <c r="AR3997" s="120"/>
      <c r="AS3997" s="121"/>
      <c r="AT3997" s="120"/>
      <c r="AU3997" s="121"/>
      <c r="AV3997" s="120"/>
      <c r="AW3997" s="121"/>
      <c r="AX3997" s="120"/>
      <c r="AY3997" s="121"/>
      <c r="AZ3997" s="138"/>
    </row>
    <row r="3998" spans="1:52" ht="17.100000000000001" customHeight="1" thickTop="1">
      <c r="A3998" s="109" t="s">
        <v>12269</v>
      </c>
      <c r="B3998" s="28">
        <v>45993</v>
      </c>
      <c r="C3998" s="25">
        <v>968</v>
      </c>
      <c r="D3998" s="13" t="s">
        <v>2084</v>
      </c>
      <c r="E3998" s="111"/>
      <c r="F3998" s="113" t="s">
        <v>12281</v>
      </c>
      <c r="G3998" s="114"/>
      <c r="H3998" s="115"/>
      <c r="I3998" s="24"/>
      <c r="J3998" s="116">
        <v>4.5</v>
      </c>
      <c r="K3998" s="118">
        <v>1318000</v>
      </c>
      <c r="L3998" s="119"/>
      <c r="M3998" s="118">
        <f t="shared" ref="M3998" si="3976">K3998*0.1</f>
        <v>131800</v>
      </c>
      <c r="N3998" s="119"/>
      <c r="O3998" s="118">
        <v>0</v>
      </c>
      <c r="P3998" s="119"/>
      <c r="Q3998" s="118">
        <v>6470</v>
      </c>
      <c r="R3998" s="119"/>
      <c r="S3998" s="118">
        <v>22000</v>
      </c>
      <c r="T3998" s="119"/>
      <c r="U3998" s="118">
        <f t="shared" ref="U3998" si="3977">SUM(K3998:T3999)</f>
        <v>1478270</v>
      </c>
      <c r="V3998" s="122"/>
      <c r="W3998" s="124"/>
      <c r="X3998" s="126" t="s">
        <v>13094</v>
      </c>
      <c r="Y3998" s="127"/>
      <c r="Z3998" s="127"/>
      <c r="AA3998" s="127"/>
      <c r="AB3998" s="128"/>
      <c r="AC3998" s="15" t="s">
        <v>20</v>
      </c>
      <c r="AD3998" s="129" t="s">
        <v>1670</v>
      </c>
      <c r="AE3998" s="130"/>
      <c r="AF3998" s="130"/>
      <c r="AG3998" s="130"/>
      <c r="AH3998" s="130"/>
      <c r="AI3998" s="131"/>
      <c r="AJ3998" s="132"/>
      <c r="AK3998" s="127"/>
      <c r="AL3998" s="128"/>
      <c r="AM3998" s="21"/>
      <c r="AN3998" s="133">
        <v>46007</v>
      </c>
      <c r="AO3998" s="134"/>
      <c r="AP3998" s="135">
        <v>1922</v>
      </c>
      <c r="AQ3998" s="136"/>
      <c r="AR3998" s="118">
        <v>1322000</v>
      </c>
      <c r="AS3998" s="119"/>
      <c r="AT3998" s="118">
        <f t="shared" ref="AT3998" si="3978">AR3998*0.1</f>
        <v>132200</v>
      </c>
      <c r="AU3998" s="119"/>
      <c r="AV3998" s="118">
        <v>6470</v>
      </c>
      <c r="AW3998" s="119"/>
      <c r="AX3998" s="118">
        <f t="shared" ref="AX3998" si="3979">SUM(AR3998:AW3998)</f>
        <v>1460670</v>
      </c>
      <c r="AY3998" s="119"/>
      <c r="AZ3998" s="137"/>
    </row>
    <row r="3999" spans="1:52" ht="17.100000000000001" customHeight="1" thickBot="1">
      <c r="A3999" s="110"/>
      <c r="B3999" s="27" t="s">
        <v>2055</v>
      </c>
      <c r="C3999" s="27">
        <v>128</v>
      </c>
      <c r="D3999" s="14" t="s">
        <v>275</v>
      </c>
      <c r="E3999" s="112"/>
      <c r="F3999" s="139" t="s">
        <v>12282</v>
      </c>
      <c r="G3999" s="140"/>
      <c r="H3999" s="141"/>
      <c r="I3999" s="26">
        <v>11359</v>
      </c>
      <c r="J3999" s="117"/>
      <c r="K3999" s="120"/>
      <c r="L3999" s="121"/>
      <c r="M3999" s="120"/>
      <c r="N3999" s="121"/>
      <c r="O3999" s="120"/>
      <c r="P3999" s="121"/>
      <c r="Q3999" s="120"/>
      <c r="R3999" s="121"/>
      <c r="S3999" s="120"/>
      <c r="T3999" s="121"/>
      <c r="U3999" s="120"/>
      <c r="V3999" s="123"/>
      <c r="W3999" s="125"/>
      <c r="X3999" s="142" t="s">
        <v>2482</v>
      </c>
      <c r="Y3999" s="143"/>
      <c r="Z3999" s="143"/>
      <c r="AA3999" s="143"/>
      <c r="AB3999" s="144"/>
      <c r="AC3999" s="16" t="s">
        <v>21</v>
      </c>
      <c r="AD3999" s="17" t="s">
        <v>12921</v>
      </c>
      <c r="AE3999" s="145" t="s">
        <v>9490</v>
      </c>
      <c r="AF3999" s="146"/>
      <c r="AG3999" s="146"/>
      <c r="AH3999" s="146"/>
      <c r="AI3999" s="147"/>
      <c r="AJ3999" s="148"/>
      <c r="AK3999" s="143"/>
      <c r="AL3999" s="144"/>
      <c r="AM3999" s="22"/>
      <c r="AN3999" s="149" t="s">
        <v>2131</v>
      </c>
      <c r="AO3999" s="144"/>
      <c r="AP3999" s="148">
        <v>3081</v>
      </c>
      <c r="AQ3999" s="144"/>
      <c r="AR3999" s="120"/>
      <c r="AS3999" s="121"/>
      <c r="AT3999" s="120"/>
      <c r="AU3999" s="121"/>
      <c r="AV3999" s="120"/>
      <c r="AW3999" s="121"/>
      <c r="AX3999" s="120"/>
      <c r="AY3999" s="121"/>
      <c r="AZ3999" s="138"/>
    </row>
    <row r="4000" spans="1:52" ht="17.100000000000001" customHeight="1" thickTop="1">
      <c r="A4000" s="109" t="s">
        <v>12270</v>
      </c>
      <c r="B4000" s="28">
        <v>45994</v>
      </c>
      <c r="C4000" s="25">
        <v>2333</v>
      </c>
      <c r="D4000" s="13" t="s">
        <v>1767</v>
      </c>
      <c r="E4000" s="111"/>
      <c r="F4000" s="113" t="s">
        <v>12283</v>
      </c>
      <c r="G4000" s="114"/>
      <c r="H4000" s="115"/>
      <c r="I4000" s="24" t="s">
        <v>2861</v>
      </c>
      <c r="J4000" s="116">
        <v>4.5</v>
      </c>
      <c r="K4000" s="118">
        <v>2105000</v>
      </c>
      <c r="L4000" s="119"/>
      <c r="M4000" s="118">
        <f t="shared" ref="M4000" si="3980">K4000*0.1</f>
        <v>210500</v>
      </c>
      <c r="N4000" s="119"/>
      <c r="O4000" s="118">
        <f>9800+980</f>
        <v>10780</v>
      </c>
      <c r="P4000" s="119"/>
      <c r="Q4000" s="118">
        <v>13210</v>
      </c>
      <c r="R4000" s="119"/>
      <c r="S4000" s="118">
        <v>16500</v>
      </c>
      <c r="T4000" s="119"/>
      <c r="U4000" s="118">
        <f t="shared" ref="U4000" si="3981">SUM(K4000:T4001)</f>
        <v>2355990</v>
      </c>
      <c r="V4000" s="122"/>
      <c r="W4000" s="124"/>
      <c r="X4000" s="126" t="s">
        <v>12639</v>
      </c>
      <c r="Y4000" s="127"/>
      <c r="Z4000" s="127"/>
      <c r="AA4000" s="127"/>
      <c r="AB4000" s="128"/>
      <c r="AC4000" s="15" t="s">
        <v>20</v>
      </c>
      <c r="AD4000" s="129" t="s">
        <v>1565</v>
      </c>
      <c r="AE4000" s="130"/>
      <c r="AF4000" s="130"/>
      <c r="AG4000" s="130"/>
      <c r="AH4000" s="130"/>
      <c r="AI4000" s="131"/>
      <c r="AJ4000" s="132"/>
      <c r="AK4000" s="127"/>
      <c r="AL4000" s="128"/>
      <c r="AM4000" s="21"/>
      <c r="AN4000" s="133"/>
      <c r="AO4000" s="134"/>
      <c r="AP4000" s="135"/>
      <c r="AQ4000" s="136"/>
      <c r="AR4000" s="118"/>
      <c r="AS4000" s="119"/>
      <c r="AT4000" s="118">
        <f t="shared" ref="AT4000" si="3982">AR4000*0.1</f>
        <v>0</v>
      </c>
      <c r="AU4000" s="119"/>
      <c r="AV4000" s="118"/>
      <c r="AW4000" s="119"/>
      <c r="AX4000" s="118">
        <f t="shared" ref="AX4000" si="3983">SUM(AR4000:AW4000)</f>
        <v>0</v>
      </c>
      <c r="AY4000" s="119"/>
      <c r="AZ4000" s="137"/>
    </row>
    <row r="4001" spans="1:52" ht="17.100000000000001" customHeight="1" thickBot="1">
      <c r="A4001" s="110"/>
      <c r="B4001" s="27" t="s">
        <v>3422</v>
      </c>
      <c r="C4001" s="27">
        <v>60231</v>
      </c>
      <c r="D4001" s="14" t="s">
        <v>1576</v>
      </c>
      <c r="E4001" s="112"/>
      <c r="F4001" s="139" t="s">
        <v>12284</v>
      </c>
      <c r="G4001" s="140"/>
      <c r="H4001" s="141"/>
      <c r="I4001" s="26">
        <v>41336</v>
      </c>
      <c r="J4001" s="117"/>
      <c r="K4001" s="120"/>
      <c r="L4001" s="121"/>
      <c r="M4001" s="120"/>
      <c r="N4001" s="121"/>
      <c r="O4001" s="120"/>
      <c r="P4001" s="121"/>
      <c r="Q4001" s="120"/>
      <c r="R4001" s="121"/>
      <c r="S4001" s="120"/>
      <c r="T4001" s="121"/>
      <c r="U4001" s="120"/>
      <c r="V4001" s="123"/>
      <c r="W4001" s="125"/>
      <c r="X4001" s="142" t="s">
        <v>12640</v>
      </c>
      <c r="Y4001" s="143"/>
      <c r="Z4001" s="143"/>
      <c r="AA4001" s="143"/>
      <c r="AB4001" s="144"/>
      <c r="AC4001" s="16" t="s">
        <v>21</v>
      </c>
      <c r="AD4001" s="17" t="s">
        <v>3439</v>
      </c>
      <c r="AE4001" s="145" t="s">
        <v>1742</v>
      </c>
      <c r="AF4001" s="146"/>
      <c r="AG4001" s="146"/>
      <c r="AH4001" s="146"/>
      <c r="AI4001" s="147"/>
      <c r="AJ4001" s="148"/>
      <c r="AK4001" s="143"/>
      <c r="AL4001" s="144"/>
      <c r="AM4001" s="22"/>
      <c r="AN4001" s="149"/>
      <c r="AO4001" s="144"/>
      <c r="AP4001" s="148"/>
      <c r="AQ4001" s="144"/>
      <c r="AR4001" s="120"/>
      <c r="AS4001" s="121"/>
      <c r="AT4001" s="120"/>
      <c r="AU4001" s="121"/>
      <c r="AV4001" s="120"/>
      <c r="AW4001" s="121"/>
      <c r="AX4001" s="120"/>
      <c r="AY4001" s="121"/>
      <c r="AZ4001" s="138"/>
    </row>
    <row r="4002" spans="1:52" ht="17.100000000000001" customHeight="1" thickTop="1">
      <c r="A4002" s="109" t="s">
        <v>12271</v>
      </c>
      <c r="B4002" s="28">
        <v>45994</v>
      </c>
      <c r="C4002" s="25">
        <v>995</v>
      </c>
      <c r="D4002" s="13" t="s">
        <v>1695</v>
      </c>
      <c r="E4002" s="111"/>
      <c r="F4002" s="113" t="s">
        <v>12292</v>
      </c>
      <c r="G4002" s="114"/>
      <c r="H4002" s="115"/>
      <c r="I4002" s="24" t="s">
        <v>3585</v>
      </c>
      <c r="J4002" s="116">
        <v>4</v>
      </c>
      <c r="K4002" s="118">
        <v>1070000</v>
      </c>
      <c r="L4002" s="119"/>
      <c r="M4002" s="118">
        <f t="shared" ref="M4002" si="3984">K4002*0.1</f>
        <v>107000</v>
      </c>
      <c r="N4002" s="119"/>
      <c r="O4002" s="118">
        <f>9800+980</f>
        <v>10780</v>
      </c>
      <c r="P4002" s="119"/>
      <c r="Q4002" s="118">
        <v>12500</v>
      </c>
      <c r="R4002" s="119"/>
      <c r="S4002" s="118">
        <v>12100</v>
      </c>
      <c r="T4002" s="119"/>
      <c r="U4002" s="118">
        <f t="shared" ref="U4002" si="3985">SUM(K4002:T4003)</f>
        <v>1212380</v>
      </c>
      <c r="V4002" s="122"/>
      <c r="W4002" s="124"/>
      <c r="X4002" s="126" t="s">
        <v>12294</v>
      </c>
      <c r="Y4002" s="127"/>
      <c r="Z4002" s="127"/>
      <c r="AA4002" s="127"/>
      <c r="AB4002" s="128"/>
      <c r="AC4002" s="15" t="s">
        <v>20</v>
      </c>
      <c r="AD4002" s="129"/>
      <c r="AE4002" s="130"/>
      <c r="AF4002" s="130"/>
      <c r="AG4002" s="130"/>
      <c r="AH4002" s="130"/>
      <c r="AI4002" s="131"/>
      <c r="AJ4002" s="132"/>
      <c r="AK4002" s="127"/>
      <c r="AL4002" s="128"/>
      <c r="AM4002" s="21"/>
      <c r="AN4002" s="133">
        <v>46004</v>
      </c>
      <c r="AO4002" s="134"/>
      <c r="AP4002" s="135">
        <v>1280</v>
      </c>
      <c r="AQ4002" s="136"/>
      <c r="AR4002" s="118">
        <v>1115000</v>
      </c>
      <c r="AS4002" s="119"/>
      <c r="AT4002" s="118">
        <f t="shared" ref="AT4002" si="3986">AR4002*0.1</f>
        <v>111500</v>
      </c>
      <c r="AU4002" s="119"/>
      <c r="AV4002" s="118">
        <v>12500</v>
      </c>
      <c r="AW4002" s="119"/>
      <c r="AX4002" s="118">
        <f t="shared" ref="AX4002" si="3987">SUM(AR4002:AW4002)</f>
        <v>1239000</v>
      </c>
      <c r="AY4002" s="119"/>
      <c r="AZ4002" s="137">
        <v>46008</v>
      </c>
    </row>
    <row r="4003" spans="1:52" ht="17.100000000000001" customHeight="1" thickBot="1">
      <c r="A4003" s="110"/>
      <c r="B4003" s="27" t="s">
        <v>2794</v>
      </c>
      <c r="C4003" s="27">
        <v>1009</v>
      </c>
      <c r="D4003" s="14" t="s">
        <v>275</v>
      </c>
      <c r="E4003" s="112"/>
      <c r="F4003" s="139" t="s">
        <v>12293</v>
      </c>
      <c r="G4003" s="140"/>
      <c r="H4003" s="141"/>
      <c r="I4003" s="26">
        <v>97111</v>
      </c>
      <c r="J4003" s="117"/>
      <c r="K4003" s="120"/>
      <c r="L4003" s="121"/>
      <c r="M4003" s="120"/>
      <c r="N4003" s="121"/>
      <c r="O4003" s="120"/>
      <c r="P4003" s="121"/>
      <c r="Q4003" s="120"/>
      <c r="R4003" s="121"/>
      <c r="S4003" s="120"/>
      <c r="T4003" s="121"/>
      <c r="U4003" s="120"/>
      <c r="V4003" s="123"/>
      <c r="W4003" s="125"/>
      <c r="X4003" s="142" t="s">
        <v>1861</v>
      </c>
      <c r="Y4003" s="143"/>
      <c r="Z4003" s="143"/>
      <c r="AA4003" s="143"/>
      <c r="AB4003" s="144"/>
      <c r="AC4003" s="16" t="s">
        <v>21</v>
      </c>
      <c r="AD4003" s="17" t="s">
        <v>12921</v>
      </c>
      <c r="AE4003" s="145" t="s">
        <v>13091</v>
      </c>
      <c r="AF4003" s="146"/>
      <c r="AG4003" s="146"/>
      <c r="AH4003" s="146"/>
      <c r="AI4003" s="147"/>
      <c r="AJ4003" s="148"/>
      <c r="AK4003" s="143"/>
      <c r="AL4003" s="144"/>
      <c r="AM4003" s="22"/>
      <c r="AN4003" s="149" t="s">
        <v>2511</v>
      </c>
      <c r="AO4003" s="144"/>
      <c r="AP4003" s="148">
        <v>50048</v>
      </c>
      <c r="AQ4003" s="144"/>
      <c r="AR4003" s="120"/>
      <c r="AS4003" s="121"/>
      <c r="AT4003" s="120"/>
      <c r="AU4003" s="121"/>
      <c r="AV4003" s="120"/>
      <c r="AW4003" s="121"/>
      <c r="AX4003" s="120"/>
      <c r="AY4003" s="121"/>
      <c r="AZ4003" s="138"/>
    </row>
    <row r="4004" spans="1:52" ht="17.100000000000001" customHeight="1" thickTop="1">
      <c r="A4004" s="109" t="s">
        <v>12272</v>
      </c>
      <c r="B4004" s="28">
        <v>45994</v>
      </c>
      <c r="C4004" s="25">
        <v>995</v>
      </c>
      <c r="D4004" s="13" t="s">
        <v>2697</v>
      </c>
      <c r="E4004" s="111"/>
      <c r="F4004" s="113" t="s">
        <v>12295</v>
      </c>
      <c r="G4004" s="114"/>
      <c r="H4004" s="115"/>
      <c r="I4004" s="24" t="s">
        <v>4487</v>
      </c>
      <c r="J4004" s="116">
        <v>4.5</v>
      </c>
      <c r="K4004" s="118">
        <v>1715000</v>
      </c>
      <c r="L4004" s="119"/>
      <c r="M4004" s="118">
        <f t="shared" ref="M4004" si="3988">K4004*0.1</f>
        <v>171500</v>
      </c>
      <c r="N4004" s="119"/>
      <c r="O4004" s="118">
        <v>0</v>
      </c>
      <c r="P4004" s="119"/>
      <c r="Q4004" s="118">
        <v>9130</v>
      </c>
      <c r="R4004" s="119"/>
      <c r="S4004" s="118">
        <v>12100</v>
      </c>
      <c r="T4004" s="119"/>
      <c r="U4004" s="118">
        <f t="shared" ref="U4004" si="3989">SUM(K4004:T4005)</f>
        <v>1907730</v>
      </c>
      <c r="V4004" s="122"/>
      <c r="W4004" s="124"/>
      <c r="X4004" s="126" t="s">
        <v>12297</v>
      </c>
      <c r="Y4004" s="127"/>
      <c r="Z4004" s="127"/>
      <c r="AA4004" s="127"/>
      <c r="AB4004" s="128"/>
      <c r="AC4004" s="15" t="s">
        <v>20</v>
      </c>
      <c r="AD4004" s="129" t="s">
        <v>12298</v>
      </c>
      <c r="AE4004" s="130"/>
      <c r="AF4004" s="130"/>
      <c r="AG4004" s="130"/>
      <c r="AH4004" s="130"/>
      <c r="AI4004" s="131"/>
      <c r="AJ4004" s="132"/>
      <c r="AK4004" s="127"/>
      <c r="AL4004" s="128"/>
      <c r="AM4004" s="21"/>
      <c r="AN4004" s="133">
        <v>46000</v>
      </c>
      <c r="AO4004" s="134"/>
      <c r="AP4004" s="135">
        <v>1921</v>
      </c>
      <c r="AQ4004" s="136"/>
      <c r="AR4004" s="118">
        <v>1722000</v>
      </c>
      <c r="AS4004" s="119"/>
      <c r="AT4004" s="118">
        <f t="shared" ref="AT4004" si="3990">AR4004*0.1</f>
        <v>172200</v>
      </c>
      <c r="AU4004" s="119"/>
      <c r="AV4004" s="118">
        <v>9130</v>
      </c>
      <c r="AW4004" s="119"/>
      <c r="AX4004" s="118">
        <f t="shared" ref="AX4004" si="3991">SUM(AR4004:AW4004)</f>
        <v>1903330</v>
      </c>
      <c r="AY4004" s="119"/>
      <c r="AZ4004" s="137">
        <v>46006</v>
      </c>
    </row>
    <row r="4005" spans="1:52" ht="17.100000000000001" customHeight="1" thickBot="1">
      <c r="A4005" s="110"/>
      <c r="B4005" s="27" t="s">
        <v>2794</v>
      </c>
      <c r="C4005" s="27">
        <v>1022</v>
      </c>
      <c r="D4005" s="14" t="s">
        <v>133</v>
      </c>
      <c r="E4005" s="112"/>
      <c r="F4005" s="139" t="s">
        <v>12296</v>
      </c>
      <c r="G4005" s="140"/>
      <c r="H4005" s="141"/>
      <c r="I4005" s="26">
        <v>4778</v>
      </c>
      <c r="J4005" s="117"/>
      <c r="K4005" s="120"/>
      <c r="L4005" s="121"/>
      <c r="M4005" s="120"/>
      <c r="N4005" s="121"/>
      <c r="O4005" s="120"/>
      <c r="P4005" s="121"/>
      <c r="Q4005" s="120"/>
      <c r="R4005" s="121"/>
      <c r="S4005" s="120"/>
      <c r="T4005" s="121"/>
      <c r="U4005" s="120"/>
      <c r="V4005" s="123"/>
      <c r="W4005" s="125"/>
      <c r="X4005" s="142" t="s">
        <v>13017</v>
      </c>
      <c r="Y4005" s="143"/>
      <c r="Z4005" s="143"/>
      <c r="AA4005" s="143"/>
      <c r="AB4005" s="144"/>
      <c r="AC4005" s="16" t="s">
        <v>21</v>
      </c>
      <c r="AD4005" s="17" t="s">
        <v>12921</v>
      </c>
      <c r="AE4005" s="145" t="s">
        <v>1670</v>
      </c>
      <c r="AF4005" s="146"/>
      <c r="AG4005" s="146"/>
      <c r="AH4005" s="146"/>
      <c r="AI4005" s="147"/>
      <c r="AJ4005" s="148"/>
      <c r="AK4005" s="143"/>
      <c r="AL4005" s="144"/>
      <c r="AM4005" s="22"/>
      <c r="AN4005" s="149" t="s">
        <v>2131</v>
      </c>
      <c r="AO4005" s="144"/>
      <c r="AP4005" s="148">
        <v>3449</v>
      </c>
      <c r="AQ4005" s="144"/>
      <c r="AR4005" s="120"/>
      <c r="AS4005" s="121"/>
      <c r="AT4005" s="120"/>
      <c r="AU4005" s="121"/>
      <c r="AV4005" s="120"/>
      <c r="AW4005" s="121"/>
      <c r="AX4005" s="120"/>
      <c r="AY4005" s="121"/>
      <c r="AZ4005" s="138"/>
    </row>
    <row r="4006" spans="1:52" ht="17.100000000000001" customHeight="1" thickTop="1">
      <c r="A4006" s="109" t="s">
        <v>12273</v>
      </c>
      <c r="B4006" s="28">
        <v>45994</v>
      </c>
      <c r="C4006" s="25">
        <v>995</v>
      </c>
      <c r="D4006" s="13" t="s">
        <v>2036</v>
      </c>
      <c r="E4006" s="111"/>
      <c r="F4006" s="113" t="s">
        <v>12299</v>
      </c>
      <c r="G4006" s="114"/>
      <c r="H4006" s="115"/>
      <c r="I4006" s="24"/>
      <c r="J4006" s="116">
        <v>4.5</v>
      </c>
      <c r="K4006" s="118">
        <v>1350000</v>
      </c>
      <c r="L4006" s="119"/>
      <c r="M4006" s="118">
        <f t="shared" ref="M4006" si="3992">K4006*0.1</f>
        <v>135000</v>
      </c>
      <c r="N4006" s="119"/>
      <c r="O4006" s="118">
        <v>0</v>
      </c>
      <c r="P4006" s="119"/>
      <c r="Q4006" s="118">
        <v>7040</v>
      </c>
      <c r="R4006" s="119"/>
      <c r="S4006" s="118">
        <v>12100</v>
      </c>
      <c r="T4006" s="119"/>
      <c r="U4006" s="118">
        <f t="shared" ref="U4006" si="3993">SUM(K4006:T4007)</f>
        <v>1504140</v>
      </c>
      <c r="V4006" s="122"/>
      <c r="W4006" s="124"/>
      <c r="X4006" s="126" t="s">
        <v>13093</v>
      </c>
      <c r="Y4006" s="127"/>
      <c r="Z4006" s="127"/>
      <c r="AA4006" s="127"/>
      <c r="AB4006" s="128"/>
      <c r="AC4006" s="15" t="s">
        <v>20</v>
      </c>
      <c r="AD4006" s="129"/>
      <c r="AE4006" s="130"/>
      <c r="AF4006" s="130"/>
      <c r="AG4006" s="130"/>
      <c r="AH4006" s="130"/>
      <c r="AI4006" s="131"/>
      <c r="AJ4006" s="132"/>
      <c r="AK4006" s="127"/>
      <c r="AL4006" s="128"/>
      <c r="AM4006" s="21"/>
      <c r="AN4006" s="133">
        <v>46007</v>
      </c>
      <c r="AO4006" s="134"/>
      <c r="AP4006" s="135">
        <v>1922</v>
      </c>
      <c r="AQ4006" s="136"/>
      <c r="AR4006" s="118">
        <v>1410000</v>
      </c>
      <c r="AS4006" s="119"/>
      <c r="AT4006" s="118">
        <f t="shared" ref="AT4006" si="3994">AR4006*0.1</f>
        <v>141000</v>
      </c>
      <c r="AU4006" s="119"/>
      <c r="AV4006" s="118">
        <v>7040</v>
      </c>
      <c r="AW4006" s="119"/>
      <c r="AX4006" s="118">
        <f t="shared" ref="AX4006" si="3995">SUM(AR4006:AW4006)</f>
        <v>1558040</v>
      </c>
      <c r="AY4006" s="119"/>
      <c r="AZ4006" s="137"/>
    </row>
    <row r="4007" spans="1:52" ht="17.100000000000001" customHeight="1" thickBot="1">
      <c r="A4007" s="110"/>
      <c r="B4007" s="27" t="s">
        <v>2794</v>
      </c>
      <c r="C4007" s="27">
        <v>1049</v>
      </c>
      <c r="D4007" s="14" t="s">
        <v>133</v>
      </c>
      <c r="E4007" s="112"/>
      <c r="F4007" s="139" t="s">
        <v>12300</v>
      </c>
      <c r="G4007" s="140"/>
      <c r="H4007" s="141"/>
      <c r="I4007" s="26">
        <v>579</v>
      </c>
      <c r="J4007" s="117"/>
      <c r="K4007" s="120"/>
      <c r="L4007" s="121"/>
      <c r="M4007" s="120"/>
      <c r="N4007" s="121"/>
      <c r="O4007" s="120"/>
      <c r="P4007" s="121"/>
      <c r="Q4007" s="120"/>
      <c r="R4007" s="121"/>
      <c r="S4007" s="120"/>
      <c r="T4007" s="121"/>
      <c r="U4007" s="120"/>
      <c r="V4007" s="123"/>
      <c r="W4007" s="125"/>
      <c r="X4007" s="142" t="s">
        <v>6866</v>
      </c>
      <c r="Y4007" s="143"/>
      <c r="Z4007" s="143"/>
      <c r="AA4007" s="143"/>
      <c r="AB4007" s="144"/>
      <c r="AC4007" s="16" t="s">
        <v>21</v>
      </c>
      <c r="AD4007" s="17" t="s">
        <v>12921</v>
      </c>
      <c r="AE4007" s="145"/>
      <c r="AF4007" s="146"/>
      <c r="AG4007" s="146"/>
      <c r="AH4007" s="146"/>
      <c r="AI4007" s="147"/>
      <c r="AJ4007" s="148"/>
      <c r="AK4007" s="143"/>
      <c r="AL4007" s="144"/>
      <c r="AM4007" s="22"/>
      <c r="AN4007" s="149" t="s">
        <v>2131</v>
      </c>
      <c r="AO4007" s="144"/>
      <c r="AP4007" s="148">
        <v>3091</v>
      </c>
      <c r="AQ4007" s="144"/>
      <c r="AR4007" s="120"/>
      <c r="AS4007" s="121"/>
      <c r="AT4007" s="120"/>
      <c r="AU4007" s="121"/>
      <c r="AV4007" s="120"/>
      <c r="AW4007" s="121"/>
      <c r="AX4007" s="120"/>
      <c r="AY4007" s="121"/>
      <c r="AZ4007" s="138"/>
    </row>
    <row r="4008" spans="1:52" ht="17.100000000000001" customHeight="1" thickTop="1">
      <c r="A4008" s="109" t="s">
        <v>12274</v>
      </c>
      <c r="B4008" s="28">
        <v>45994</v>
      </c>
      <c r="C4008" s="25">
        <v>995</v>
      </c>
      <c r="D4008" s="13" t="s">
        <v>1714</v>
      </c>
      <c r="E4008" s="111"/>
      <c r="F4008" s="113" t="s">
        <v>10831</v>
      </c>
      <c r="G4008" s="114"/>
      <c r="H4008" s="115"/>
      <c r="I4008" s="24"/>
      <c r="J4008" s="116">
        <v>4.5</v>
      </c>
      <c r="K4008" s="118">
        <v>1355000</v>
      </c>
      <c r="L4008" s="119"/>
      <c r="M4008" s="118">
        <f t="shared" ref="M4008" si="3996">K4008*0.1</f>
        <v>135500</v>
      </c>
      <c r="N4008" s="119"/>
      <c r="O4008" s="118">
        <v>0</v>
      </c>
      <c r="P4008" s="119"/>
      <c r="Q4008" s="118">
        <v>8740</v>
      </c>
      <c r="R4008" s="119"/>
      <c r="S4008" s="118">
        <v>12100</v>
      </c>
      <c r="T4008" s="119"/>
      <c r="U4008" s="118">
        <f t="shared" ref="U4008" si="3997">SUM(K4008:T4009)</f>
        <v>1511340</v>
      </c>
      <c r="V4008" s="122"/>
      <c r="W4008" s="124"/>
      <c r="X4008" s="126" t="s">
        <v>13018</v>
      </c>
      <c r="Y4008" s="127"/>
      <c r="Z4008" s="127"/>
      <c r="AA4008" s="127"/>
      <c r="AB4008" s="128"/>
      <c r="AC4008" s="15" t="s">
        <v>20</v>
      </c>
      <c r="AD4008" s="129" t="s">
        <v>2781</v>
      </c>
      <c r="AE4008" s="130"/>
      <c r="AF4008" s="130"/>
      <c r="AG4008" s="130"/>
      <c r="AH4008" s="130"/>
      <c r="AI4008" s="131"/>
      <c r="AJ4008" s="132"/>
      <c r="AK4008" s="127"/>
      <c r="AL4008" s="128"/>
      <c r="AM4008" s="21"/>
      <c r="AN4008" s="133">
        <v>46000</v>
      </c>
      <c r="AO4008" s="134"/>
      <c r="AP4008" s="135">
        <v>1921</v>
      </c>
      <c r="AQ4008" s="136"/>
      <c r="AR4008" s="118">
        <v>1406000</v>
      </c>
      <c r="AS4008" s="119"/>
      <c r="AT4008" s="118">
        <f t="shared" ref="AT4008" si="3998">AR4008*0.1</f>
        <v>140600</v>
      </c>
      <c r="AU4008" s="119"/>
      <c r="AV4008" s="118">
        <v>8740</v>
      </c>
      <c r="AW4008" s="119"/>
      <c r="AX4008" s="118">
        <f t="shared" ref="AX4008" si="3999">SUM(AR4008:AW4008)</f>
        <v>1555340</v>
      </c>
      <c r="AY4008" s="119"/>
      <c r="AZ4008" s="137">
        <v>46006</v>
      </c>
    </row>
    <row r="4009" spans="1:52" ht="17.100000000000001" customHeight="1" thickBot="1">
      <c r="A4009" s="110"/>
      <c r="B4009" s="27" t="s">
        <v>2794</v>
      </c>
      <c r="C4009" s="27">
        <v>1084</v>
      </c>
      <c r="D4009" s="14" t="s">
        <v>133</v>
      </c>
      <c r="E4009" s="112"/>
      <c r="F4009" s="139" t="s">
        <v>12301</v>
      </c>
      <c r="G4009" s="140"/>
      <c r="H4009" s="141"/>
      <c r="I4009" s="26">
        <v>31398</v>
      </c>
      <c r="J4009" s="117"/>
      <c r="K4009" s="120"/>
      <c r="L4009" s="121"/>
      <c r="M4009" s="120"/>
      <c r="N4009" s="121"/>
      <c r="O4009" s="120"/>
      <c r="P4009" s="121"/>
      <c r="Q4009" s="120"/>
      <c r="R4009" s="121"/>
      <c r="S4009" s="120"/>
      <c r="T4009" s="121"/>
      <c r="U4009" s="120"/>
      <c r="V4009" s="123"/>
      <c r="W4009" s="125"/>
      <c r="X4009" s="142" t="s">
        <v>13019</v>
      </c>
      <c r="Y4009" s="143"/>
      <c r="Z4009" s="143"/>
      <c r="AA4009" s="143"/>
      <c r="AB4009" s="144"/>
      <c r="AC4009" s="16" t="s">
        <v>21</v>
      </c>
      <c r="AD4009" s="17" t="s">
        <v>12921</v>
      </c>
      <c r="AE4009" s="145" t="s">
        <v>7842</v>
      </c>
      <c r="AF4009" s="146"/>
      <c r="AG4009" s="146"/>
      <c r="AH4009" s="146"/>
      <c r="AI4009" s="147"/>
      <c r="AJ4009" s="148"/>
      <c r="AK4009" s="143"/>
      <c r="AL4009" s="144"/>
      <c r="AM4009" s="22"/>
      <c r="AN4009" s="149" t="s">
        <v>2131</v>
      </c>
      <c r="AO4009" s="144"/>
      <c r="AP4009" s="148">
        <v>3305</v>
      </c>
      <c r="AQ4009" s="144"/>
      <c r="AR4009" s="120"/>
      <c r="AS4009" s="121"/>
      <c r="AT4009" s="120"/>
      <c r="AU4009" s="121"/>
      <c r="AV4009" s="120"/>
      <c r="AW4009" s="121"/>
      <c r="AX4009" s="120"/>
      <c r="AY4009" s="121"/>
      <c r="AZ4009" s="138"/>
    </row>
    <row r="4010" spans="1:52" ht="17.100000000000001" customHeight="1" thickTop="1">
      <c r="A4010" s="109" t="s">
        <v>12275</v>
      </c>
      <c r="B4010" s="28">
        <v>45994</v>
      </c>
      <c r="C4010" s="25">
        <v>995</v>
      </c>
      <c r="D4010" s="13" t="s">
        <v>2697</v>
      </c>
      <c r="E4010" s="111"/>
      <c r="F4010" s="113" t="s">
        <v>12302</v>
      </c>
      <c r="G4010" s="114"/>
      <c r="H4010" s="115"/>
      <c r="I4010" s="24" t="s">
        <v>4487</v>
      </c>
      <c r="J4010" s="116">
        <v>5</v>
      </c>
      <c r="K4010" s="118">
        <v>1490000</v>
      </c>
      <c r="L4010" s="119"/>
      <c r="M4010" s="118">
        <f t="shared" ref="M4010" si="4000">K4010*0.1</f>
        <v>149000</v>
      </c>
      <c r="N4010" s="119"/>
      <c r="O4010" s="118">
        <v>0</v>
      </c>
      <c r="P4010" s="119"/>
      <c r="Q4010" s="118">
        <v>9130</v>
      </c>
      <c r="R4010" s="119"/>
      <c r="S4010" s="118">
        <v>11000</v>
      </c>
      <c r="T4010" s="119"/>
      <c r="U4010" s="118">
        <f t="shared" ref="U4010" si="4001">SUM(K4010:T4011)</f>
        <v>1659130</v>
      </c>
      <c r="V4010" s="122"/>
      <c r="W4010" s="124"/>
      <c r="X4010" s="126" t="s">
        <v>12304</v>
      </c>
      <c r="Y4010" s="127"/>
      <c r="Z4010" s="127"/>
      <c r="AA4010" s="127"/>
      <c r="AB4010" s="128"/>
      <c r="AC4010" s="15" t="s">
        <v>20</v>
      </c>
      <c r="AD4010" s="129" t="s">
        <v>1670</v>
      </c>
      <c r="AE4010" s="130"/>
      <c r="AF4010" s="130"/>
      <c r="AG4010" s="130"/>
      <c r="AH4010" s="130"/>
      <c r="AI4010" s="131"/>
      <c r="AJ4010" s="132"/>
      <c r="AK4010" s="127"/>
      <c r="AL4010" s="128"/>
      <c r="AM4010" s="21"/>
      <c r="AN4010" s="133">
        <v>46000</v>
      </c>
      <c r="AO4010" s="134"/>
      <c r="AP4010" s="135">
        <v>1921</v>
      </c>
      <c r="AQ4010" s="136"/>
      <c r="AR4010" s="118">
        <v>1855000</v>
      </c>
      <c r="AS4010" s="119"/>
      <c r="AT4010" s="118">
        <f t="shared" ref="AT4010" si="4002">AR4010*0.1</f>
        <v>185500</v>
      </c>
      <c r="AU4010" s="119"/>
      <c r="AV4010" s="118">
        <v>9130</v>
      </c>
      <c r="AW4010" s="119"/>
      <c r="AX4010" s="118">
        <f t="shared" ref="AX4010" si="4003">SUM(AR4010:AW4010)</f>
        <v>2049630</v>
      </c>
      <c r="AY4010" s="119"/>
      <c r="AZ4010" s="137">
        <v>46006</v>
      </c>
    </row>
    <row r="4011" spans="1:52" ht="17.100000000000001" customHeight="1" thickBot="1">
      <c r="A4011" s="110"/>
      <c r="B4011" s="27" t="s">
        <v>2794</v>
      </c>
      <c r="C4011" s="27">
        <v>2098</v>
      </c>
      <c r="D4011" s="14" t="s">
        <v>2800</v>
      </c>
      <c r="E4011" s="112"/>
      <c r="F4011" s="139" t="s">
        <v>12303</v>
      </c>
      <c r="G4011" s="140"/>
      <c r="H4011" s="141"/>
      <c r="I4011" s="26">
        <v>4808</v>
      </c>
      <c r="J4011" s="117"/>
      <c r="K4011" s="120"/>
      <c r="L4011" s="121"/>
      <c r="M4011" s="120"/>
      <c r="N4011" s="121"/>
      <c r="O4011" s="120"/>
      <c r="P4011" s="121"/>
      <c r="Q4011" s="120"/>
      <c r="R4011" s="121"/>
      <c r="S4011" s="120"/>
      <c r="T4011" s="121"/>
      <c r="U4011" s="120"/>
      <c r="V4011" s="123"/>
      <c r="W4011" s="125"/>
      <c r="X4011" s="142" t="s">
        <v>13020</v>
      </c>
      <c r="Y4011" s="143"/>
      <c r="Z4011" s="143"/>
      <c r="AA4011" s="143"/>
      <c r="AB4011" s="144"/>
      <c r="AC4011" s="16" t="s">
        <v>21</v>
      </c>
      <c r="AD4011" s="17" t="s">
        <v>12921</v>
      </c>
      <c r="AE4011" s="145" t="s">
        <v>1742</v>
      </c>
      <c r="AF4011" s="146"/>
      <c r="AG4011" s="146"/>
      <c r="AH4011" s="146"/>
      <c r="AI4011" s="147"/>
      <c r="AJ4011" s="148"/>
      <c r="AK4011" s="143"/>
      <c r="AL4011" s="144"/>
      <c r="AM4011" s="22"/>
      <c r="AN4011" s="149" t="s">
        <v>2131</v>
      </c>
      <c r="AO4011" s="144"/>
      <c r="AP4011" s="148">
        <v>3445</v>
      </c>
      <c r="AQ4011" s="144"/>
      <c r="AR4011" s="120"/>
      <c r="AS4011" s="121"/>
      <c r="AT4011" s="120"/>
      <c r="AU4011" s="121"/>
      <c r="AV4011" s="120"/>
      <c r="AW4011" s="121"/>
      <c r="AX4011" s="120"/>
      <c r="AY4011" s="121"/>
      <c r="AZ4011" s="138"/>
    </row>
    <row r="4012" spans="1:52" ht="17.100000000000001" customHeight="1" thickTop="1">
      <c r="A4012" s="151" t="s">
        <v>12276</v>
      </c>
      <c r="B4012" s="28">
        <v>45994</v>
      </c>
      <c r="C4012" s="25">
        <v>995</v>
      </c>
      <c r="D4012" s="13" t="s">
        <v>1930</v>
      </c>
      <c r="E4012" s="111"/>
      <c r="F4012" s="113" t="s">
        <v>12306</v>
      </c>
      <c r="G4012" s="114"/>
      <c r="H4012" s="115"/>
      <c r="I4012" s="24"/>
      <c r="J4012" s="116">
        <v>4</v>
      </c>
      <c r="K4012" s="118">
        <v>1285000</v>
      </c>
      <c r="L4012" s="119"/>
      <c r="M4012" s="118">
        <f t="shared" ref="M4012" si="4004">K4012*0.1</f>
        <v>128500</v>
      </c>
      <c r="N4012" s="119"/>
      <c r="O4012" s="118">
        <v>0</v>
      </c>
      <c r="P4012" s="119"/>
      <c r="Q4012" s="118">
        <v>7340</v>
      </c>
      <c r="R4012" s="119"/>
      <c r="S4012" s="118">
        <v>11000</v>
      </c>
      <c r="T4012" s="119"/>
      <c r="U4012" s="118">
        <f t="shared" ref="U4012" si="4005">SUM(K4012:T4013)</f>
        <v>1431840</v>
      </c>
      <c r="V4012" s="122"/>
      <c r="W4012" s="124"/>
      <c r="X4012" s="126" t="s">
        <v>13171</v>
      </c>
      <c r="Y4012" s="127"/>
      <c r="Z4012" s="127"/>
      <c r="AA4012" s="127"/>
      <c r="AB4012" s="128"/>
      <c r="AC4012" s="15" t="s">
        <v>20</v>
      </c>
      <c r="AD4012" s="129" t="s">
        <v>1670</v>
      </c>
      <c r="AE4012" s="130"/>
      <c r="AF4012" s="130"/>
      <c r="AG4012" s="130"/>
      <c r="AH4012" s="130"/>
      <c r="AI4012" s="131"/>
      <c r="AJ4012" s="132"/>
      <c r="AK4012" s="127"/>
      <c r="AL4012" s="128"/>
      <c r="AM4012" s="21"/>
      <c r="AN4012" s="133">
        <v>46032</v>
      </c>
      <c r="AO4012" s="134"/>
      <c r="AP4012" s="135">
        <v>1283</v>
      </c>
      <c r="AQ4012" s="136"/>
      <c r="AR4012" s="118">
        <v>1410000</v>
      </c>
      <c r="AS4012" s="119"/>
      <c r="AT4012" s="118">
        <f t="shared" ref="AT4012" si="4006">AR4012*0.1</f>
        <v>141000</v>
      </c>
      <c r="AU4012" s="119"/>
      <c r="AV4012" s="118">
        <v>7340</v>
      </c>
      <c r="AW4012" s="119"/>
      <c r="AX4012" s="118">
        <f t="shared" ref="AX4012" si="4007">SUM(AR4012:AW4012)</f>
        <v>1558340</v>
      </c>
      <c r="AY4012" s="119"/>
      <c r="AZ4012" s="137">
        <v>46036</v>
      </c>
    </row>
    <row r="4013" spans="1:52" ht="17.100000000000001" customHeight="1" thickBot="1">
      <c r="A4013" s="152"/>
      <c r="B4013" s="27" t="s">
        <v>2794</v>
      </c>
      <c r="C4013" s="27">
        <v>2100</v>
      </c>
      <c r="D4013" s="14" t="s">
        <v>2800</v>
      </c>
      <c r="E4013" s="112"/>
      <c r="F4013" s="139" t="s">
        <v>13170</v>
      </c>
      <c r="G4013" s="140"/>
      <c r="H4013" s="141"/>
      <c r="I4013" s="26">
        <v>10911</v>
      </c>
      <c r="J4013" s="117"/>
      <c r="K4013" s="120"/>
      <c r="L4013" s="121"/>
      <c r="M4013" s="120"/>
      <c r="N4013" s="121"/>
      <c r="O4013" s="120"/>
      <c r="P4013" s="121"/>
      <c r="Q4013" s="120"/>
      <c r="R4013" s="121"/>
      <c r="S4013" s="120"/>
      <c r="T4013" s="121"/>
      <c r="U4013" s="120"/>
      <c r="V4013" s="123"/>
      <c r="W4013" s="125"/>
      <c r="X4013" s="142" t="s">
        <v>13172</v>
      </c>
      <c r="Y4013" s="143"/>
      <c r="Z4013" s="143"/>
      <c r="AA4013" s="143"/>
      <c r="AB4013" s="144"/>
      <c r="AC4013" s="16" t="s">
        <v>21</v>
      </c>
      <c r="AD4013" s="17" t="s">
        <v>13052</v>
      </c>
      <c r="AE4013" s="158" t="s">
        <v>171</v>
      </c>
      <c r="AF4013" s="146"/>
      <c r="AG4013" s="146"/>
      <c r="AH4013" s="146"/>
      <c r="AI4013" s="147"/>
      <c r="AJ4013" s="148"/>
      <c r="AK4013" s="143"/>
      <c r="AL4013" s="144"/>
      <c r="AM4013" s="22"/>
      <c r="AN4013" s="149" t="s">
        <v>2511</v>
      </c>
      <c r="AO4013" s="144"/>
      <c r="AP4013" s="148">
        <v>60069</v>
      </c>
      <c r="AQ4013" s="144"/>
      <c r="AR4013" s="120"/>
      <c r="AS4013" s="121"/>
      <c r="AT4013" s="120"/>
      <c r="AU4013" s="121"/>
      <c r="AV4013" s="120"/>
      <c r="AW4013" s="121"/>
      <c r="AX4013" s="120"/>
      <c r="AY4013" s="121"/>
      <c r="AZ4013" s="138"/>
    </row>
    <row r="4014" spans="1:52" ht="17.100000000000001" customHeight="1" thickTop="1">
      <c r="A4014" s="151" t="s">
        <v>12277</v>
      </c>
      <c r="B4014" s="28">
        <v>45994</v>
      </c>
      <c r="C4014" s="25">
        <v>995</v>
      </c>
      <c r="D4014" s="13" t="s">
        <v>4840</v>
      </c>
      <c r="E4014" s="111"/>
      <c r="F4014" s="113" t="s">
        <v>5255</v>
      </c>
      <c r="G4014" s="114"/>
      <c r="H4014" s="115"/>
      <c r="I4014" s="24"/>
      <c r="J4014" s="116">
        <v>4</v>
      </c>
      <c r="K4014" s="118">
        <v>250000</v>
      </c>
      <c r="L4014" s="119"/>
      <c r="M4014" s="118">
        <f t="shared" ref="M4014" si="4008">K4014*0.1</f>
        <v>25000</v>
      </c>
      <c r="N4014" s="119"/>
      <c r="O4014" s="118">
        <v>0</v>
      </c>
      <c r="P4014" s="119"/>
      <c r="Q4014" s="118">
        <v>8930</v>
      </c>
      <c r="R4014" s="119"/>
      <c r="S4014" s="118">
        <v>22000</v>
      </c>
      <c r="T4014" s="119"/>
      <c r="U4014" s="118">
        <f t="shared" ref="U4014" si="4009">SUM(K4014:T4015)</f>
        <v>305930</v>
      </c>
      <c r="V4014" s="122"/>
      <c r="W4014" s="124"/>
      <c r="X4014" s="126" t="s">
        <v>13092</v>
      </c>
      <c r="Y4014" s="127"/>
      <c r="Z4014" s="127"/>
      <c r="AA4014" s="127"/>
      <c r="AB4014" s="128"/>
      <c r="AC4014" s="15" t="s">
        <v>20</v>
      </c>
      <c r="AD4014" s="129"/>
      <c r="AE4014" s="130"/>
      <c r="AF4014" s="130"/>
      <c r="AG4014" s="130"/>
      <c r="AH4014" s="130"/>
      <c r="AI4014" s="131"/>
      <c r="AJ4014" s="132"/>
      <c r="AK4014" s="127"/>
      <c r="AL4014" s="128"/>
      <c r="AM4014" s="21"/>
      <c r="AN4014" s="133">
        <v>46039</v>
      </c>
      <c r="AO4014" s="134"/>
      <c r="AP4014" s="135">
        <v>1284</v>
      </c>
      <c r="AQ4014" s="136"/>
      <c r="AR4014" s="118">
        <v>290000</v>
      </c>
      <c r="AS4014" s="119"/>
      <c r="AT4014" s="118">
        <f t="shared" ref="AT4014" si="4010">AR4014*0.1</f>
        <v>29000</v>
      </c>
      <c r="AU4014" s="119"/>
      <c r="AV4014" s="118">
        <v>8930</v>
      </c>
      <c r="AW4014" s="119"/>
      <c r="AX4014" s="118">
        <f t="shared" ref="AX4014" si="4011">SUM(AR4014:AW4014)</f>
        <v>327930</v>
      </c>
      <c r="AY4014" s="119"/>
      <c r="AZ4014" s="137">
        <v>46042</v>
      </c>
    </row>
    <row r="4015" spans="1:52" ht="17.100000000000001" customHeight="1" thickBot="1">
      <c r="A4015" s="152"/>
      <c r="B4015" s="27" t="s">
        <v>2794</v>
      </c>
      <c r="C4015" s="27">
        <v>3083</v>
      </c>
      <c r="D4015" s="14" t="s">
        <v>275</v>
      </c>
      <c r="E4015" s="112"/>
      <c r="F4015" s="139" t="s">
        <v>12307</v>
      </c>
      <c r="G4015" s="140"/>
      <c r="H4015" s="141"/>
      <c r="I4015" s="26">
        <v>56969</v>
      </c>
      <c r="J4015" s="117"/>
      <c r="K4015" s="120"/>
      <c r="L4015" s="121"/>
      <c r="M4015" s="120"/>
      <c r="N4015" s="121"/>
      <c r="O4015" s="120"/>
      <c r="P4015" s="121"/>
      <c r="Q4015" s="120"/>
      <c r="R4015" s="121"/>
      <c r="S4015" s="120"/>
      <c r="T4015" s="121"/>
      <c r="U4015" s="120"/>
      <c r="V4015" s="123"/>
      <c r="W4015" s="125"/>
      <c r="X4015" s="142" t="s">
        <v>2659</v>
      </c>
      <c r="Y4015" s="143"/>
      <c r="Z4015" s="143"/>
      <c r="AA4015" s="143"/>
      <c r="AB4015" s="144"/>
      <c r="AC4015" s="16" t="s">
        <v>21</v>
      </c>
      <c r="AD4015" s="17" t="s">
        <v>12921</v>
      </c>
      <c r="AE4015" s="145"/>
      <c r="AF4015" s="146"/>
      <c r="AG4015" s="146"/>
      <c r="AH4015" s="146"/>
      <c r="AI4015" s="147"/>
      <c r="AJ4015" s="148"/>
      <c r="AK4015" s="143"/>
      <c r="AL4015" s="144"/>
      <c r="AM4015" s="22"/>
      <c r="AN4015" s="149" t="s">
        <v>2511</v>
      </c>
      <c r="AO4015" s="144"/>
      <c r="AP4015" s="148">
        <v>60009</v>
      </c>
      <c r="AQ4015" s="144"/>
      <c r="AR4015" s="120"/>
      <c r="AS4015" s="121"/>
      <c r="AT4015" s="120"/>
      <c r="AU4015" s="121"/>
      <c r="AV4015" s="120"/>
      <c r="AW4015" s="121"/>
      <c r="AX4015" s="120"/>
      <c r="AY4015" s="121"/>
      <c r="AZ4015" s="138"/>
    </row>
    <row r="4016" spans="1:52" ht="17.100000000000001" customHeight="1" thickTop="1">
      <c r="A4016" s="109" t="s">
        <v>12278</v>
      </c>
      <c r="B4016" s="28">
        <v>45994</v>
      </c>
      <c r="C4016" s="25">
        <v>995</v>
      </c>
      <c r="D4016" s="13" t="s">
        <v>1847</v>
      </c>
      <c r="E4016" s="111"/>
      <c r="F4016" s="113" t="s">
        <v>12308</v>
      </c>
      <c r="G4016" s="114"/>
      <c r="H4016" s="115"/>
      <c r="I4016" s="24"/>
      <c r="J4016" s="116">
        <v>4</v>
      </c>
      <c r="K4016" s="118">
        <v>700000</v>
      </c>
      <c r="L4016" s="119"/>
      <c r="M4016" s="118">
        <f t="shared" ref="M4016" si="4012">K4016*0.1</f>
        <v>70000</v>
      </c>
      <c r="N4016" s="119"/>
      <c r="O4016" s="118">
        <v>0</v>
      </c>
      <c r="P4016" s="119"/>
      <c r="Q4016" s="118">
        <v>6860</v>
      </c>
      <c r="R4016" s="119"/>
      <c r="S4016" s="118">
        <v>12100</v>
      </c>
      <c r="T4016" s="119"/>
      <c r="U4016" s="118">
        <f t="shared" ref="U4016" si="4013">SUM(K4016:T4017)</f>
        <v>788960</v>
      </c>
      <c r="V4016" s="122"/>
      <c r="W4016" s="124"/>
      <c r="X4016" s="126" t="s">
        <v>13022</v>
      </c>
      <c r="Y4016" s="127"/>
      <c r="Z4016" s="127"/>
      <c r="AA4016" s="127"/>
      <c r="AB4016" s="128"/>
      <c r="AC4016" s="15" t="s">
        <v>20</v>
      </c>
      <c r="AD4016" s="129" t="s">
        <v>4982</v>
      </c>
      <c r="AE4016" s="130"/>
      <c r="AF4016" s="130"/>
      <c r="AG4016" s="130"/>
      <c r="AH4016" s="130"/>
      <c r="AI4016" s="131"/>
      <c r="AJ4016" s="132"/>
      <c r="AK4016" s="127"/>
      <c r="AL4016" s="128"/>
      <c r="AM4016" s="21"/>
      <c r="AN4016" s="133">
        <v>45997</v>
      </c>
      <c r="AO4016" s="134"/>
      <c r="AP4016" s="135">
        <v>1279</v>
      </c>
      <c r="AQ4016" s="136"/>
      <c r="AR4016" s="118">
        <v>800000</v>
      </c>
      <c r="AS4016" s="119"/>
      <c r="AT4016" s="118">
        <f t="shared" ref="AT4016" si="4014">AR4016*0.1</f>
        <v>80000</v>
      </c>
      <c r="AU4016" s="119"/>
      <c r="AV4016" s="118">
        <v>6860</v>
      </c>
      <c r="AW4016" s="119"/>
      <c r="AX4016" s="118">
        <f t="shared" ref="AX4016" si="4015">SUM(AR4016:AW4016)</f>
        <v>886860</v>
      </c>
      <c r="AY4016" s="119"/>
      <c r="AZ4016" s="137">
        <v>46007</v>
      </c>
    </row>
    <row r="4017" spans="1:52" ht="17.100000000000001" customHeight="1" thickBot="1">
      <c r="A4017" s="110"/>
      <c r="B4017" s="27" t="s">
        <v>2794</v>
      </c>
      <c r="C4017" s="27">
        <v>8022</v>
      </c>
      <c r="D4017" s="14" t="s">
        <v>1720</v>
      </c>
      <c r="E4017" s="112"/>
      <c r="F4017" s="139" t="s">
        <v>12309</v>
      </c>
      <c r="G4017" s="140"/>
      <c r="H4017" s="141"/>
      <c r="I4017" s="26">
        <v>3136</v>
      </c>
      <c r="J4017" s="117"/>
      <c r="K4017" s="120"/>
      <c r="L4017" s="121"/>
      <c r="M4017" s="120"/>
      <c r="N4017" s="121"/>
      <c r="O4017" s="120"/>
      <c r="P4017" s="121"/>
      <c r="Q4017" s="120"/>
      <c r="R4017" s="121"/>
      <c r="S4017" s="120"/>
      <c r="T4017" s="121"/>
      <c r="U4017" s="120"/>
      <c r="V4017" s="123"/>
      <c r="W4017" s="125"/>
      <c r="X4017" s="142" t="s">
        <v>13023</v>
      </c>
      <c r="Y4017" s="143"/>
      <c r="Z4017" s="143"/>
      <c r="AA4017" s="143"/>
      <c r="AB4017" s="144"/>
      <c r="AC4017" s="16" t="s">
        <v>21</v>
      </c>
      <c r="AD4017" s="17" t="s">
        <v>12921</v>
      </c>
      <c r="AE4017" s="145" t="s">
        <v>4982</v>
      </c>
      <c r="AF4017" s="146"/>
      <c r="AG4017" s="146"/>
      <c r="AH4017" s="146"/>
      <c r="AI4017" s="147"/>
      <c r="AJ4017" s="148"/>
      <c r="AK4017" s="143"/>
      <c r="AL4017" s="144"/>
      <c r="AM4017" s="22"/>
      <c r="AN4017" s="149" t="s">
        <v>6748</v>
      </c>
      <c r="AO4017" s="144"/>
      <c r="AP4017" s="148">
        <v>60478</v>
      </c>
      <c r="AQ4017" s="144"/>
      <c r="AR4017" s="120"/>
      <c r="AS4017" s="121"/>
      <c r="AT4017" s="120"/>
      <c r="AU4017" s="121"/>
      <c r="AV4017" s="120"/>
      <c r="AW4017" s="121"/>
      <c r="AX4017" s="120"/>
      <c r="AY4017" s="121"/>
      <c r="AZ4017" s="138"/>
    </row>
    <row r="4018" spans="1:52" ht="17.100000000000001" customHeight="1" thickTop="1">
      <c r="A4018" s="109" t="s">
        <v>12279</v>
      </c>
      <c r="B4018" s="28">
        <v>45994</v>
      </c>
      <c r="C4018" s="25">
        <v>1816</v>
      </c>
      <c r="D4018" s="13" t="s">
        <v>1855</v>
      </c>
      <c r="E4018" s="111"/>
      <c r="F4018" s="113" t="s">
        <v>12285</v>
      </c>
      <c r="G4018" s="114"/>
      <c r="H4018" s="115"/>
      <c r="I4018" s="24" t="s">
        <v>4193</v>
      </c>
      <c r="J4018" s="116">
        <v>4.5</v>
      </c>
      <c r="K4018" s="118">
        <v>574000</v>
      </c>
      <c r="L4018" s="119"/>
      <c r="M4018" s="118">
        <f t="shared" ref="M4018" si="4016">K4018*0.1</f>
        <v>57400</v>
      </c>
      <c r="N4018" s="119"/>
      <c r="O4018" s="118">
        <v>0</v>
      </c>
      <c r="P4018" s="119"/>
      <c r="Q4018" s="118">
        <v>8460</v>
      </c>
      <c r="R4018" s="119"/>
      <c r="S4018" s="118">
        <v>18150</v>
      </c>
      <c r="T4018" s="119"/>
      <c r="U4018" s="118">
        <f t="shared" ref="U4018" si="4017">SUM(K4018:T4019)</f>
        <v>658010</v>
      </c>
      <c r="V4018" s="122"/>
      <c r="W4018" s="124"/>
      <c r="X4018" s="126" t="s">
        <v>12287</v>
      </c>
      <c r="Y4018" s="127"/>
      <c r="Z4018" s="127"/>
      <c r="AA4018" s="127"/>
      <c r="AB4018" s="128"/>
      <c r="AC4018" s="15" t="s">
        <v>20</v>
      </c>
      <c r="AD4018" s="129" t="s">
        <v>12288</v>
      </c>
      <c r="AE4018" s="130"/>
      <c r="AF4018" s="130"/>
      <c r="AG4018" s="130"/>
      <c r="AH4018" s="130"/>
      <c r="AI4018" s="131"/>
      <c r="AJ4018" s="132"/>
      <c r="AK4018" s="127"/>
      <c r="AL4018" s="128"/>
      <c r="AM4018" s="21" t="s">
        <v>13443</v>
      </c>
      <c r="AN4018" s="133">
        <v>46004</v>
      </c>
      <c r="AO4018" s="134"/>
      <c r="AP4018" s="135">
        <v>1280</v>
      </c>
      <c r="AQ4018" s="136"/>
      <c r="AR4018" s="118">
        <v>595000</v>
      </c>
      <c r="AS4018" s="119"/>
      <c r="AT4018" s="118">
        <f t="shared" ref="AT4018" si="4018">AR4018*0.1</f>
        <v>59500</v>
      </c>
      <c r="AU4018" s="119"/>
      <c r="AV4018" s="118">
        <v>8460</v>
      </c>
      <c r="AW4018" s="119"/>
      <c r="AX4018" s="118">
        <f t="shared" ref="AX4018" si="4019">SUM(AR4018:AW4018)</f>
        <v>662960</v>
      </c>
      <c r="AY4018" s="119"/>
      <c r="AZ4018" s="137">
        <v>46009</v>
      </c>
    </row>
    <row r="4019" spans="1:52" ht="17.100000000000001" customHeight="1" thickBot="1">
      <c r="A4019" s="110"/>
      <c r="B4019" s="27" t="s">
        <v>2559</v>
      </c>
      <c r="C4019" s="27">
        <v>3255</v>
      </c>
      <c r="D4019" s="14" t="s">
        <v>3793</v>
      </c>
      <c r="E4019" s="112"/>
      <c r="F4019" s="139" t="s">
        <v>12286</v>
      </c>
      <c r="G4019" s="140"/>
      <c r="H4019" s="141"/>
      <c r="I4019" s="26">
        <v>7125</v>
      </c>
      <c r="J4019" s="117"/>
      <c r="K4019" s="120"/>
      <c r="L4019" s="121"/>
      <c r="M4019" s="120"/>
      <c r="N4019" s="121"/>
      <c r="O4019" s="120"/>
      <c r="P4019" s="121"/>
      <c r="Q4019" s="120"/>
      <c r="R4019" s="121"/>
      <c r="S4019" s="120"/>
      <c r="T4019" s="121"/>
      <c r="U4019" s="120"/>
      <c r="V4019" s="123"/>
      <c r="W4019" s="125"/>
      <c r="X4019" s="142" t="s">
        <v>12854</v>
      </c>
      <c r="Y4019" s="143"/>
      <c r="Z4019" s="143"/>
      <c r="AA4019" s="143"/>
      <c r="AB4019" s="144"/>
      <c r="AC4019" s="16" t="s">
        <v>21</v>
      </c>
      <c r="AD4019" s="17" t="s">
        <v>1765</v>
      </c>
      <c r="AE4019" s="145" t="s">
        <v>186</v>
      </c>
      <c r="AF4019" s="146"/>
      <c r="AG4019" s="146"/>
      <c r="AH4019" s="146"/>
      <c r="AI4019" s="147"/>
      <c r="AJ4019" s="148"/>
      <c r="AK4019" s="143"/>
      <c r="AL4019" s="144"/>
      <c r="AM4019" s="22"/>
      <c r="AN4019" s="149" t="s">
        <v>2511</v>
      </c>
      <c r="AO4019" s="144"/>
      <c r="AP4019" s="148">
        <v>60097</v>
      </c>
      <c r="AQ4019" s="144"/>
      <c r="AR4019" s="120"/>
      <c r="AS4019" s="121"/>
      <c r="AT4019" s="120"/>
      <c r="AU4019" s="121"/>
      <c r="AV4019" s="120"/>
      <c r="AW4019" s="121"/>
      <c r="AX4019" s="120"/>
      <c r="AY4019" s="121"/>
      <c r="AZ4019" s="138"/>
    </row>
    <row r="4020" spans="1:52" ht="17.100000000000001" customHeight="1" thickTop="1">
      <c r="A4020" s="109" t="s">
        <v>12280</v>
      </c>
      <c r="B4020" s="28">
        <v>45994</v>
      </c>
      <c r="C4020" s="25">
        <v>1816</v>
      </c>
      <c r="D4020" s="13" t="s">
        <v>2348</v>
      </c>
      <c r="E4020" s="111"/>
      <c r="F4020" s="113" t="s">
        <v>12289</v>
      </c>
      <c r="G4020" s="114"/>
      <c r="H4020" s="115"/>
      <c r="I4020" s="24" t="s">
        <v>3931</v>
      </c>
      <c r="J4020" s="116">
        <v>4.5</v>
      </c>
      <c r="K4020" s="118">
        <v>2570000</v>
      </c>
      <c r="L4020" s="119"/>
      <c r="M4020" s="118">
        <f t="shared" ref="M4020" si="4020">K4020*0.1</f>
        <v>257000</v>
      </c>
      <c r="N4020" s="119"/>
      <c r="O4020" s="118">
        <f>9800+980</f>
        <v>10780</v>
      </c>
      <c r="P4020" s="119"/>
      <c r="Q4020" s="118">
        <v>23320</v>
      </c>
      <c r="R4020" s="119"/>
      <c r="S4020" s="118">
        <v>18150</v>
      </c>
      <c r="T4020" s="119"/>
      <c r="U4020" s="118">
        <f t="shared" ref="U4020" si="4021">SUM(K4020:T4021)</f>
        <v>2879250</v>
      </c>
      <c r="V4020" s="122"/>
      <c r="W4020" s="124"/>
      <c r="X4020" s="126" t="s">
        <v>12291</v>
      </c>
      <c r="Y4020" s="127"/>
      <c r="Z4020" s="127"/>
      <c r="AA4020" s="127"/>
      <c r="AB4020" s="128"/>
      <c r="AC4020" s="15" t="s">
        <v>20</v>
      </c>
      <c r="AD4020" s="129"/>
      <c r="AE4020" s="130"/>
      <c r="AF4020" s="130"/>
      <c r="AG4020" s="130"/>
      <c r="AH4020" s="130"/>
      <c r="AI4020" s="131"/>
      <c r="AJ4020" s="132"/>
      <c r="AK4020" s="127"/>
      <c r="AL4020" s="128"/>
      <c r="AM4020" s="21"/>
      <c r="AN4020" s="133">
        <v>46004</v>
      </c>
      <c r="AO4020" s="134"/>
      <c r="AP4020" s="135">
        <v>1280</v>
      </c>
      <c r="AQ4020" s="136"/>
      <c r="AR4020" s="118">
        <v>2730000</v>
      </c>
      <c r="AS4020" s="119"/>
      <c r="AT4020" s="118">
        <f t="shared" ref="AT4020" si="4022">AR4020*0.1</f>
        <v>273000</v>
      </c>
      <c r="AU4020" s="119"/>
      <c r="AV4020" s="118">
        <v>23320</v>
      </c>
      <c r="AW4020" s="119"/>
      <c r="AX4020" s="118">
        <f t="shared" ref="AX4020" si="4023">SUM(AR4020:AW4020)</f>
        <v>3026320</v>
      </c>
      <c r="AY4020" s="119"/>
      <c r="AZ4020" s="137">
        <v>46007</v>
      </c>
    </row>
    <row r="4021" spans="1:52" ht="17.100000000000001" customHeight="1" thickBot="1">
      <c r="A4021" s="110"/>
      <c r="B4021" s="27" t="s">
        <v>2559</v>
      </c>
      <c r="C4021" s="27">
        <v>38178</v>
      </c>
      <c r="D4021" s="14" t="s">
        <v>2601</v>
      </c>
      <c r="E4021" s="112"/>
      <c r="F4021" s="139" t="s">
        <v>12290</v>
      </c>
      <c r="G4021" s="140"/>
      <c r="H4021" s="141"/>
      <c r="I4021" s="26">
        <v>44267</v>
      </c>
      <c r="J4021" s="117"/>
      <c r="K4021" s="120"/>
      <c r="L4021" s="121"/>
      <c r="M4021" s="120"/>
      <c r="N4021" s="121"/>
      <c r="O4021" s="120"/>
      <c r="P4021" s="121"/>
      <c r="Q4021" s="120"/>
      <c r="R4021" s="121"/>
      <c r="S4021" s="120"/>
      <c r="T4021" s="121"/>
      <c r="U4021" s="120"/>
      <c r="V4021" s="123"/>
      <c r="W4021" s="125"/>
      <c r="X4021" s="142" t="s">
        <v>12844</v>
      </c>
      <c r="Y4021" s="143"/>
      <c r="Z4021" s="143"/>
      <c r="AA4021" s="143"/>
      <c r="AB4021" s="144"/>
      <c r="AC4021" s="16" t="s">
        <v>21</v>
      </c>
      <c r="AD4021" s="17" t="s">
        <v>1765</v>
      </c>
      <c r="AE4021" s="145" t="s">
        <v>7432</v>
      </c>
      <c r="AF4021" s="146"/>
      <c r="AG4021" s="146"/>
      <c r="AH4021" s="146"/>
      <c r="AI4021" s="147"/>
      <c r="AJ4021" s="148"/>
      <c r="AK4021" s="143"/>
      <c r="AL4021" s="144"/>
      <c r="AM4021" s="22"/>
      <c r="AN4021" s="149" t="s">
        <v>2511</v>
      </c>
      <c r="AO4021" s="144"/>
      <c r="AP4021" s="148">
        <v>80010</v>
      </c>
      <c r="AQ4021" s="144"/>
      <c r="AR4021" s="120"/>
      <c r="AS4021" s="121"/>
      <c r="AT4021" s="120"/>
      <c r="AU4021" s="121"/>
      <c r="AV4021" s="120"/>
      <c r="AW4021" s="121"/>
      <c r="AX4021" s="120"/>
      <c r="AY4021" s="121"/>
      <c r="AZ4021" s="138"/>
    </row>
    <row r="4022" spans="1:52" ht="17.100000000000001" customHeight="1" thickTop="1">
      <c r="A4022" s="109" t="s">
        <v>12415</v>
      </c>
      <c r="B4022" s="28">
        <v>45995</v>
      </c>
      <c r="C4022" s="25">
        <v>2005</v>
      </c>
      <c r="D4022" s="13" t="s">
        <v>1902</v>
      </c>
      <c r="E4022" s="111"/>
      <c r="F4022" s="113" t="s">
        <v>12429</v>
      </c>
      <c r="G4022" s="114"/>
      <c r="H4022" s="115"/>
      <c r="I4022" s="24"/>
      <c r="J4022" s="116">
        <v>4.5</v>
      </c>
      <c r="K4022" s="118">
        <v>1760000</v>
      </c>
      <c r="L4022" s="119"/>
      <c r="M4022" s="118">
        <f t="shared" ref="M4022" si="4024">K4022*0.1</f>
        <v>176000</v>
      </c>
      <c r="N4022" s="119"/>
      <c r="O4022" s="118">
        <v>0</v>
      </c>
      <c r="P4022" s="119"/>
      <c r="Q4022" s="118">
        <v>11710</v>
      </c>
      <c r="R4022" s="119"/>
      <c r="S4022" s="118">
        <v>22000</v>
      </c>
      <c r="T4022" s="119"/>
      <c r="U4022" s="118">
        <f t="shared" ref="U4022" si="4025">SUM(K4022:T4023)</f>
        <v>1969710</v>
      </c>
      <c r="V4022" s="122"/>
      <c r="W4022" s="124"/>
      <c r="X4022" s="126" t="s">
        <v>13070</v>
      </c>
      <c r="Y4022" s="127"/>
      <c r="Z4022" s="127"/>
      <c r="AA4022" s="127"/>
      <c r="AB4022" s="128"/>
      <c r="AC4022" s="15" t="s">
        <v>20</v>
      </c>
      <c r="AD4022" s="129" t="s">
        <v>8715</v>
      </c>
      <c r="AE4022" s="130"/>
      <c r="AF4022" s="130"/>
      <c r="AG4022" s="130"/>
      <c r="AH4022" s="130"/>
      <c r="AI4022" s="131"/>
      <c r="AJ4022" s="132"/>
      <c r="AK4022" s="127"/>
      <c r="AL4022" s="128"/>
      <c r="AM4022" s="21"/>
      <c r="AN4022" s="133">
        <v>46370</v>
      </c>
      <c r="AO4022" s="134"/>
      <c r="AP4022" s="135">
        <v>1000</v>
      </c>
      <c r="AQ4022" s="136"/>
      <c r="AR4022" s="118">
        <v>1810000</v>
      </c>
      <c r="AS4022" s="119"/>
      <c r="AT4022" s="118">
        <f t="shared" ref="AT4022" si="4026">AR4022*0.1</f>
        <v>181000</v>
      </c>
      <c r="AU4022" s="119"/>
      <c r="AV4022" s="118">
        <v>11710</v>
      </c>
      <c r="AW4022" s="119"/>
      <c r="AX4022" s="118">
        <f t="shared" ref="AX4022" si="4027">SUM(AR4022:AW4022)</f>
        <v>2002710</v>
      </c>
      <c r="AY4022" s="119"/>
      <c r="AZ4022" s="137">
        <v>46041</v>
      </c>
    </row>
    <row r="4023" spans="1:52" ht="17.100000000000001" customHeight="1" thickBot="1">
      <c r="A4023" s="110"/>
      <c r="B4023" s="27" t="s">
        <v>2200</v>
      </c>
      <c r="C4023" s="27">
        <v>30154</v>
      </c>
      <c r="D4023" s="14" t="s">
        <v>275</v>
      </c>
      <c r="E4023" s="112"/>
      <c r="F4023" s="139" t="s">
        <v>12413</v>
      </c>
      <c r="G4023" s="140"/>
      <c r="H4023" s="141"/>
      <c r="I4023" s="26">
        <v>34712</v>
      </c>
      <c r="J4023" s="117"/>
      <c r="K4023" s="120"/>
      <c r="L4023" s="121"/>
      <c r="M4023" s="120"/>
      <c r="N4023" s="121"/>
      <c r="O4023" s="120"/>
      <c r="P4023" s="121"/>
      <c r="Q4023" s="120"/>
      <c r="R4023" s="121"/>
      <c r="S4023" s="120"/>
      <c r="T4023" s="121"/>
      <c r="U4023" s="120"/>
      <c r="V4023" s="123"/>
      <c r="W4023" s="125"/>
      <c r="X4023" s="142" t="s">
        <v>1997</v>
      </c>
      <c r="Y4023" s="143"/>
      <c r="Z4023" s="143"/>
      <c r="AA4023" s="143"/>
      <c r="AB4023" s="144"/>
      <c r="AC4023" s="16" t="s">
        <v>21</v>
      </c>
      <c r="AD4023" s="17" t="s">
        <v>12921</v>
      </c>
      <c r="AE4023" s="145" t="s">
        <v>13071</v>
      </c>
      <c r="AF4023" s="146"/>
      <c r="AG4023" s="146"/>
      <c r="AH4023" s="146"/>
      <c r="AI4023" s="147"/>
      <c r="AJ4023" s="148"/>
      <c r="AK4023" s="143"/>
      <c r="AL4023" s="144"/>
      <c r="AM4023" s="22"/>
      <c r="AN4023" s="149" t="s">
        <v>2794</v>
      </c>
      <c r="AO4023" s="144"/>
      <c r="AP4023" s="148">
        <v>6019</v>
      </c>
      <c r="AQ4023" s="144"/>
      <c r="AR4023" s="120"/>
      <c r="AS4023" s="121"/>
      <c r="AT4023" s="120"/>
      <c r="AU4023" s="121"/>
      <c r="AV4023" s="120"/>
      <c r="AW4023" s="121"/>
      <c r="AX4023" s="120"/>
      <c r="AY4023" s="121"/>
      <c r="AZ4023" s="138"/>
    </row>
    <row r="4024" spans="1:52" ht="17.100000000000001" customHeight="1" thickTop="1">
      <c r="A4024" s="109" t="s">
        <v>12416</v>
      </c>
      <c r="B4024" s="28">
        <v>45995</v>
      </c>
      <c r="C4024" s="25">
        <v>2005</v>
      </c>
      <c r="D4024" s="13" t="s">
        <v>2066</v>
      </c>
      <c r="E4024" s="111"/>
      <c r="F4024" s="113" t="s">
        <v>4892</v>
      </c>
      <c r="G4024" s="114"/>
      <c r="H4024" s="115"/>
      <c r="I4024" s="24" t="s">
        <v>2533</v>
      </c>
      <c r="J4024" s="116">
        <v>4</v>
      </c>
      <c r="K4024" s="118">
        <v>2550000</v>
      </c>
      <c r="L4024" s="119"/>
      <c r="M4024" s="118">
        <f t="shared" ref="M4024" si="4028">K4024*0.1</f>
        <v>255000</v>
      </c>
      <c r="N4024" s="119"/>
      <c r="O4024" s="118">
        <f>7600+760</f>
        <v>8360</v>
      </c>
      <c r="P4024" s="119"/>
      <c r="Q4024" s="118">
        <v>10470</v>
      </c>
      <c r="R4024" s="119"/>
      <c r="S4024" s="118">
        <v>22000</v>
      </c>
      <c r="T4024" s="119"/>
      <c r="U4024" s="118">
        <f t="shared" ref="U4024" si="4029">SUM(K4024:T4025)</f>
        <v>2845830</v>
      </c>
      <c r="V4024" s="122"/>
      <c r="W4024" s="124"/>
      <c r="X4024" s="126" t="s">
        <v>12430</v>
      </c>
      <c r="Y4024" s="127"/>
      <c r="Z4024" s="127"/>
      <c r="AA4024" s="127"/>
      <c r="AB4024" s="128"/>
      <c r="AC4024" s="15" t="s">
        <v>20</v>
      </c>
      <c r="AD4024" s="129" t="s">
        <v>171</v>
      </c>
      <c r="AE4024" s="130"/>
      <c r="AF4024" s="130"/>
      <c r="AG4024" s="130"/>
      <c r="AH4024" s="130"/>
      <c r="AI4024" s="131"/>
      <c r="AJ4024" s="132"/>
      <c r="AK4024" s="127"/>
      <c r="AL4024" s="128"/>
      <c r="AM4024" s="21"/>
      <c r="AN4024" s="133">
        <v>46018</v>
      </c>
      <c r="AO4024" s="134"/>
      <c r="AP4024" s="135">
        <v>1282</v>
      </c>
      <c r="AQ4024" s="136"/>
      <c r="AR4024" s="118">
        <v>2560000</v>
      </c>
      <c r="AS4024" s="119"/>
      <c r="AT4024" s="118">
        <f t="shared" ref="AT4024" si="4030">AR4024*0.1</f>
        <v>256000</v>
      </c>
      <c r="AU4024" s="119"/>
      <c r="AV4024" s="118">
        <v>10470</v>
      </c>
      <c r="AW4024" s="119"/>
      <c r="AX4024" s="118">
        <f t="shared" ref="AX4024" si="4031">SUM(AR4024:AW4024)</f>
        <v>2826470</v>
      </c>
      <c r="AY4024" s="119"/>
      <c r="AZ4024" s="137">
        <v>46028</v>
      </c>
    </row>
    <row r="4025" spans="1:52" ht="17.100000000000001" customHeight="1" thickBot="1">
      <c r="A4025" s="110"/>
      <c r="B4025" s="27" t="s">
        <v>2200</v>
      </c>
      <c r="C4025" s="27">
        <v>30177</v>
      </c>
      <c r="D4025" s="14" t="s">
        <v>2601</v>
      </c>
      <c r="E4025" s="112"/>
      <c r="F4025" s="139" t="s">
        <v>12414</v>
      </c>
      <c r="G4025" s="140"/>
      <c r="H4025" s="141"/>
      <c r="I4025" s="26">
        <v>7858</v>
      </c>
      <c r="J4025" s="117"/>
      <c r="K4025" s="120"/>
      <c r="L4025" s="121"/>
      <c r="M4025" s="120"/>
      <c r="N4025" s="121"/>
      <c r="O4025" s="120"/>
      <c r="P4025" s="121"/>
      <c r="Q4025" s="120"/>
      <c r="R4025" s="121"/>
      <c r="S4025" s="120"/>
      <c r="T4025" s="121"/>
      <c r="U4025" s="120"/>
      <c r="V4025" s="123"/>
      <c r="W4025" s="125"/>
      <c r="X4025" s="142" t="s">
        <v>2321</v>
      </c>
      <c r="Y4025" s="143"/>
      <c r="Z4025" s="143"/>
      <c r="AA4025" s="143"/>
      <c r="AB4025" s="144"/>
      <c r="AC4025" s="16" t="s">
        <v>21</v>
      </c>
      <c r="AD4025" s="17" t="s">
        <v>12921</v>
      </c>
      <c r="AE4025" s="145" t="s">
        <v>2692</v>
      </c>
      <c r="AF4025" s="146"/>
      <c r="AG4025" s="146"/>
      <c r="AH4025" s="146"/>
      <c r="AI4025" s="147"/>
      <c r="AJ4025" s="148"/>
      <c r="AK4025" s="143"/>
      <c r="AL4025" s="144"/>
      <c r="AM4025" s="22"/>
      <c r="AN4025" s="149" t="s">
        <v>2511</v>
      </c>
      <c r="AO4025" s="144"/>
      <c r="AP4025" s="148">
        <v>55030</v>
      </c>
      <c r="AQ4025" s="144"/>
      <c r="AR4025" s="120"/>
      <c r="AS4025" s="121"/>
      <c r="AT4025" s="120"/>
      <c r="AU4025" s="121"/>
      <c r="AV4025" s="120"/>
      <c r="AW4025" s="121"/>
      <c r="AX4025" s="120"/>
      <c r="AY4025" s="121"/>
      <c r="AZ4025" s="138"/>
    </row>
    <row r="4026" spans="1:52" ht="17.100000000000001" customHeight="1" thickTop="1">
      <c r="A4026" s="109" t="s">
        <v>12417</v>
      </c>
      <c r="B4026" s="28">
        <v>45995</v>
      </c>
      <c r="C4026" s="25">
        <v>2005</v>
      </c>
      <c r="D4026" s="13" t="s">
        <v>3461</v>
      </c>
      <c r="E4026" s="111"/>
      <c r="F4026" s="113" t="s">
        <v>12314</v>
      </c>
      <c r="G4026" s="114"/>
      <c r="H4026" s="115"/>
      <c r="I4026" s="24" t="s">
        <v>4096</v>
      </c>
      <c r="J4026" s="116">
        <v>3.5</v>
      </c>
      <c r="K4026" s="118">
        <v>636000</v>
      </c>
      <c r="L4026" s="119"/>
      <c r="M4026" s="118">
        <f t="shared" ref="M4026" si="4032">K4026*0.1</f>
        <v>63600</v>
      </c>
      <c r="N4026" s="119"/>
      <c r="O4026" s="118">
        <v>0</v>
      </c>
      <c r="P4026" s="119"/>
      <c r="Q4026" s="118">
        <v>8010</v>
      </c>
      <c r="R4026" s="119"/>
      <c r="S4026" s="118">
        <v>22000</v>
      </c>
      <c r="T4026" s="119"/>
      <c r="U4026" s="118">
        <f t="shared" ref="U4026" si="4033">SUM(K4026:T4027)</f>
        <v>729610</v>
      </c>
      <c r="V4026" s="122"/>
      <c r="W4026" s="124"/>
      <c r="X4026" s="126" t="s">
        <v>12316</v>
      </c>
      <c r="Y4026" s="127"/>
      <c r="Z4026" s="127"/>
      <c r="AA4026" s="127"/>
      <c r="AB4026" s="128"/>
      <c r="AC4026" s="15" t="s">
        <v>20</v>
      </c>
      <c r="AD4026" s="129" t="s">
        <v>1670</v>
      </c>
      <c r="AE4026" s="130"/>
      <c r="AF4026" s="130"/>
      <c r="AG4026" s="130"/>
      <c r="AH4026" s="130"/>
      <c r="AI4026" s="131"/>
      <c r="AJ4026" s="132"/>
      <c r="AK4026" s="127"/>
      <c r="AL4026" s="128"/>
      <c r="AM4026" s="21"/>
      <c r="AN4026" s="133">
        <v>46001</v>
      </c>
      <c r="AO4026" s="134"/>
      <c r="AP4026" s="135">
        <v>996</v>
      </c>
      <c r="AQ4026" s="136"/>
      <c r="AR4026" s="118">
        <v>750000</v>
      </c>
      <c r="AS4026" s="119"/>
      <c r="AT4026" s="118">
        <f t="shared" ref="AT4026" si="4034">AR4026*0.1</f>
        <v>75000</v>
      </c>
      <c r="AU4026" s="119"/>
      <c r="AV4026" s="118">
        <v>8010</v>
      </c>
      <c r="AW4026" s="119"/>
      <c r="AX4026" s="118">
        <f t="shared" ref="AX4026" si="4035">SUM(AR4026:AW4026)</f>
        <v>833010</v>
      </c>
      <c r="AY4026" s="119"/>
      <c r="AZ4026" s="137">
        <v>46006</v>
      </c>
    </row>
    <row r="4027" spans="1:52" ht="17.100000000000001" customHeight="1" thickBot="1">
      <c r="A4027" s="110"/>
      <c r="B4027" s="27" t="s">
        <v>2200</v>
      </c>
      <c r="C4027" s="27">
        <v>50141</v>
      </c>
      <c r="D4027" s="14" t="s">
        <v>1812</v>
      </c>
      <c r="E4027" s="112"/>
      <c r="F4027" s="139" t="s">
        <v>12315</v>
      </c>
      <c r="G4027" s="140"/>
      <c r="H4027" s="141"/>
      <c r="I4027" s="26">
        <v>62648</v>
      </c>
      <c r="J4027" s="117"/>
      <c r="K4027" s="120"/>
      <c r="L4027" s="121"/>
      <c r="M4027" s="120"/>
      <c r="N4027" s="121"/>
      <c r="O4027" s="120"/>
      <c r="P4027" s="121"/>
      <c r="Q4027" s="120"/>
      <c r="R4027" s="121"/>
      <c r="S4027" s="120"/>
      <c r="T4027" s="121"/>
      <c r="U4027" s="120"/>
      <c r="V4027" s="123"/>
      <c r="W4027" s="125"/>
      <c r="X4027" s="142" t="s">
        <v>13024</v>
      </c>
      <c r="Y4027" s="143"/>
      <c r="Z4027" s="143"/>
      <c r="AA4027" s="143"/>
      <c r="AB4027" s="144"/>
      <c r="AC4027" s="16" t="s">
        <v>21</v>
      </c>
      <c r="AD4027" s="17" t="s">
        <v>12921</v>
      </c>
      <c r="AE4027" s="145" t="s">
        <v>1633</v>
      </c>
      <c r="AF4027" s="146"/>
      <c r="AG4027" s="146"/>
      <c r="AH4027" s="146"/>
      <c r="AI4027" s="147"/>
      <c r="AJ4027" s="148"/>
      <c r="AK4027" s="143"/>
      <c r="AL4027" s="144"/>
      <c r="AM4027" s="22"/>
      <c r="AN4027" s="149" t="s">
        <v>2794</v>
      </c>
      <c r="AO4027" s="144"/>
      <c r="AP4027" s="148">
        <v>2039</v>
      </c>
      <c r="AQ4027" s="144"/>
      <c r="AR4027" s="120"/>
      <c r="AS4027" s="121"/>
      <c r="AT4027" s="120"/>
      <c r="AU4027" s="121"/>
      <c r="AV4027" s="120"/>
      <c r="AW4027" s="121"/>
      <c r="AX4027" s="120"/>
      <c r="AY4027" s="121"/>
      <c r="AZ4027" s="138"/>
    </row>
    <row r="4028" spans="1:52" ht="17.100000000000001" customHeight="1" thickTop="1">
      <c r="A4028" s="109" t="s">
        <v>12418</v>
      </c>
      <c r="B4028" s="28">
        <v>45995</v>
      </c>
      <c r="C4028" s="25">
        <v>2005</v>
      </c>
      <c r="D4028" s="13" t="s">
        <v>3296</v>
      </c>
      <c r="E4028" s="111"/>
      <c r="F4028" s="113" t="s">
        <v>10259</v>
      </c>
      <c r="G4028" s="114"/>
      <c r="H4028" s="115"/>
      <c r="I4028" s="24" t="s">
        <v>2976</v>
      </c>
      <c r="J4028" s="116">
        <v>4.5</v>
      </c>
      <c r="K4028" s="118">
        <v>1104000</v>
      </c>
      <c r="L4028" s="119"/>
      <c r="M4028" s="118">
        <f t="shared" ref="M4028" si="4036">K4028*0.1</f>
        <v>110400</v>
      </c>
      <c r="N4028" s="119"/>
      <c r="O4028" s="118">
        <v>0</v>
      </c>
      <c r="P4028" s="119"/>
      <c r="Q4028" s="118">
        <v>7790</v>
      </c>
      <c r="R4028" s="119"/>
      <c r="S4028" s="118">
        <v>22000</v>
      </c>
      <c r="T4028" s="119"/>
      <c r="U4028" s="118">
        <f t="shared" ref="U4028" si="4037">SUM(K4028:T4029)</f>
        <v>1244190</v>
      </c>
      <c r="V4028" s="122"/>
      <c r="W4028" s="124"/>
      <c r="X4028" s="126" t="s">
        <v>12318</v>
      </c>
      <c r="Y4028" s="127"/>
      <c r="Z4028" s="127"/>
      <c r="AA4028" s="127"/>
      <c r="AB4028" s="128"/>
      <c r="AC4028" s="15" t="s">
        <v>20</v>
      </c>
      <c r="AD4028" s="129"/>
      <c r="AE4028" s="130"/>
      <c r="AF4028" s="130"/>
      <c r="AG4028" s="130"/>
      <c r="AH4028" s="130"/>
      <c r="AI4028" s="131"/>
      <c r="AJ4028" s="132"/>
      <c r="AK4028" s="127"/>
      <c r="AL4028" s="128"/>
      <c r="AM4028" s="21"/>
      <c r="AN4028" s="133">
        <v>46000</v>
      </c>
      <c r="AO4028" s="134"/>
      <c r="AP4028" s="135">
        <v>1921</v>
      </c>
      <c r="AQ4028" s="136"/>
      <c r="AR4028" s="118">
        <v>1152000</v>
      </c>
      <c r="AS4028" s="119"/>
      <c r="AT4028" s="118">
        <f t="shared" ref="AT4028" si="4038">AR4028*0.1</f>
        <v>115200</v>
      </c>
      <c r="AU4028" s="119"/>
      <c r="AV4028" s="118">
        <v>7790</v>
      </c>
      <c r="AW4028" s="119"/>
      <c r="AX4028" s="118">
        <f t="shared" ref="AX4028" si="4039">SUM(AR4028:AW4028)</f>
        <v>1274990</v>
      </c>
      <c r="AY4028" s="119"/>
      <c r="AZ4028" s="137">
        <v>46006</v>
      </c>
    </row>
    <row r="4029" spans="1:52" ht="17.100000000000001" customHeight="1" thickBot="1">
      <c r="A4029" s="110"/>
      <c r="B4029" s="27" t="s">
        <v>2200</v>
      </c>
      <c r="C4029" s="27">
        <v>50153</v>
      </c>
      <c r="D4029" s="14" t="s">
        <v>2601</v>
      </c>
      <c r="E4029" s="112"/>
      <c r="F4029" s="139" t="s">
        <v>12317</v>
      </c>
      <c r="G4029" s="140"/>
      <c r="H4029" s="141"/>
      <c r="I4029" s="26">
        <v>65446</v>
      </c>
      <c r="J4029" s="117"/>
      <c r="K4029" s="120"/>
      <c r="L4029" s="121"/>
      <c r="M4029" s="120"/>
      <c r="N4029" s="121"/>
      <c r="O4029" s="120"/>
      <c r="P4029" s="121"/>
      <c r="Q4029" s="120"/>
      <c r="R4029" s="121"/>
      <c r="S4029" s="120"/>
      <c r="T4029" s="121"/>
      <c r="U4029" s="120"/>
      <c r="V4029" s="123"/>
      <c r="W4029" s="125"/>
      <c r="X4029" s="142" t="s">
        <v>11902</v>
      </c>
      <c r="Y4029" s="143"/>
      <c r="Z4029" s="143"/>
      <c r="AA4029" s="143"/>
      <c r="AB4029" s="144"/>
      <c r="AC4029" s="16" t="s">
        <v>21</v>
      </c>
      <c r="AD4029" s="17" t="s">
        <v>12921</v>
      </c>
      <c r="AE4029" s="145" t="s">
        <v>2441</v>
      </c>
      <c r="AF4029" s="146"/>
      <c r="AG4029" s="146"/>
      <c r="AH4029" s="146"/>
      <c r="AI4029" s="147"/>
      <c r="AJ4029" s="148"/>
      <c r="AK4029" s="143"/>
      <c r="AL4029" s="144"/>
      <c r="AM4029" s="22"/>
      <c r="AN4029" s="149" t="s">
        <v>2131</v>
      </c>
      <c r="AO4029" s="144"/>
      <c r="AP4029" s="148">
        <v>3373</v>
      </c>
      <c r="AQ4029" s="144"/>
      <c r="AR4029" s="120"/>
      <c r="AS4029" s="121"/>
      <c r="AT4029" s="120"/>
      <c r="AU4029" s="121"/>
      <c r="AV4029" s="120"/>
      <c r="AW4029" s="121"/>
      <c r="AX4029" s="120"/>
      <c r="AY4029" s="121"/>
      <c r="AZ4029" s="138"/>
    </row>
    <row r="4030" spans="1:52" ht="17.100000000000001" customHeight="1" thickTop="1">
      <c r="A4030" s="109" t="s">
        <v>12419</v>
      </c>
      <c r="B4030" s="28">
        <v>45995</v>
      </c>
      <c r="C4030" s="25">
        <v>2005</v>
      </c>
      <c r="D4030" s="13" t="s">
        <v>2530</v>
      </c>
      <c r="E4030" s="111"/>
      <c r="F4030" s="113" t="s">
        <v>12319</v>
      </c>
      <c r="G4030" s="114"/>
      <c r="H4030" s="115"/>
      <c r="I4030" s="24" t="s">
        <v>9428</v>
      </c>
      <c r="J4030" s="116">
        <v>4.5</v>
      </c>
      <c r="K4030" s="118">
        <v>1268000</v>
      </c>
      <c r="L4030" s="119"/>
      <c r="M4030" s="118">
        <f t="shared" ref="M4030" si="4040">K4030*0.1</f>
        <v>126800</v>
      </c>
      <c r="N4030" s="119"/>
      <c r="O4030" s="118">
        <v>0</v>
      </c>
      <c r="P4030" s="119"/>
      <c r="Q4030" s="118">
        <v>8390</v>
      </c>
      <c r="R4030" s="119"/>
      <c r="S4030" s="118">
        <v>22000</v>
      </c>
      <c r="T4030" s="119"/>
      <c r="U4030" s="118">
        <f t="shared" ref="U4030" si="4041">SUM(K4030:T4031)</f>
        <v>1425190</v>
      </c>
      <c r="V4030" s="122"/>
      <c r="W4030" s="124"/>
      <c r="X4030" s="126" t="s">
        <v>12321</v>
      </c>
      <c r="Y4030" s="127"/>
      <c r="Z4030" s="127"/>
      <c r="AA4030" s="127"/>
      <c r="AB4030" s="128"/>
      <c r="AC4030" s="15" t="s">
        <v>20</v>
      </c>
      <c r="AD4030" s="129" t="s">
        <v>2385</v>
      </c>
      <c r="AE4030" s="130"/>
      <c r="AF4030" s="130"/>
      <c r="AG4030" s="130"/>
      <c r="AH4030" s="130"/>
      <c r="AI4030" s="131"/>
      <c r="AJ4030" s="132"/>
      <c r="AK4030" s="127"/>
      <c r="AL4030" s="128"/>
      <c r="AM4030" s="21"/>
      <c r="AN4030" s="133">
        <v>46007</v>
      </c>
      <c r="AO4030" s="134"/>
      <c r="AP4030" s="135">
        <v>1922</v>
      </c>
      <c r="AQ4030" s="136"/>
      <c r="AR4030" s="118">
        <v>1355000</v>
      </c>
      <c r="AS4030" s="119"/>
      <c r="AT4030" s="118">
        <f t="shared" ref="AT4030" si="4042">AR4030*0.1</f>
        <v>135500</v>
      </c>
      <c r="AU4030" s="119"/>
      <c r="AV4030" s="118">
        <v>8390</v>
      </c>
      <c r="AW4030" s="119"/>
      <c r="AX4030" s="118">
        <f t="shared" ref="AX4030" si="4043">SUM(AR4030:AW4030)</f>
        <v>1498890</v>
      </c>
      <c r="AY4030" s="119"/>
      <c r="AZ4030" s="137">
        <v>46013</v>
      </c>
    </row>
    <row r="4031" spans="1:52" ht="17.100000000000001" customHeight="1" thickBot="1">
      <c r="A4031" s="110"/>
      <c r="B4031" s="27" t="s">
        <v>2200</v>
      </c>
      <c r="C4031" s="27">
        <v>50165</v>
      </c>
      <c r="D4031" s="14" t="s">
        <v>1635</v>
      </c>
      <c r="E4031" s="112"/>
      <c r="F4031" s="139" t="s">
        <v>12320</v>
      </c>
      <c r="G4031" s="140"/>
      <c r="H4031" s="141"/>
      <c r="I4031" s="26">
        <v>3359</v>
      </c>
      <c r="J4031" s="117"/>
      <c r="K4031" s="120"/>
      <c r="L4031" s="121"/>
      <c r="M4031" s="120"/>
      <c r="N4031" s="121"/>
      <c r="O4031" s="120"/>
      <c r="P4031" s="121"/>
      <c r="Q4031" s="120"/>
      <c r="R4031" s="121"/>
      <c r="S4031" s="120"/>
      <c r="T4031" s="121"/>
      <c r="U4031" s="120"/>
      <c r="V4031" s="123"/>
      <c r="W4031" s="125"/>
      <c r="X4031" s="142" t="s">
        <v>13073</v>
      </c>
      <c r="Y4031" s="143"/>
      <c r="Z4031" s="143"/>
      <c r="AA4031" s="143"/>
      <c r="AB4031" s="144"/>
      <c r="AC4031" s="16" t="s">
        <v>21</v>
      </c>
      <c r="AD4031" s="17" t="s">
        <v>12921</v>
      </c>
      <c r="AE4031" s="145" t="s">
        <v>1742</v>
      </c>
      <c r="AF4031" s="146"/>
      <c r="AG4031" s="146"/>
      <c r="AH4031" s="146"/>
      <c r="AI4031" s="147"/>
      <c r="AJ4031" s="148"/>
      <c r="AK4031" s="143"/>
      <c r="AL4031" s="144"/>
      <c r="AM4031" s="22"/>
      <c r="AN4031" s="149" t="s">
        <v>7644</v>
      </c>
      <c r="AO4031" s="144"/>
      <c r="AP4031" s="148">
        <v>3211</v>
      </c>
      <c r="AQ4031" s="144"/>
      <c r="AR4031" s="120"/>
      <c r="AS4031" s="121"/>
      <c r="AT4031" s="120"/>
      <c r="AU4031" s="121"/>
      <c r="AV4031" s="120"/>
      <c r="AW4031" s="121"/>
      <c r="AX4031" s="120"/>
      <c r="AY4031" s="121"/>
      <c r="AZ4031" s="138"/>
    </row>
    <row r="4032" spans="1:52" ht="17.100000000000001" customHeight="1" thickTop="1">
      <c r="A4032" s="109" t="s">
        <v>12420</v>
      </c>
      <c r="B4032" s="28">
        <v>45995</v>
      </c>
      <c r="C4032" s="25">
        <v>2005</v>
      </c>
      <c r="D4032" s="13" t="s">
        <v>2001</v>
      </c>
      <c r="E4032" s="111"/>
      <c r="F4032" s="113" t="s">
        <v>9041</v>
      </c>
      <c r="G4032" s="114"/>
      <c r="H4032" s="115"/>
      <c r="I4032" s="24"/>
      <c r="J4032" s="116">
        <v>4.5</v>
      </c>
      <c r="K4032" s="118">
        <v>1023000</v>
      </c>
      <c r="L4032" s="119"/>
      <c r="M4032" s="118">
        <f t="shared" ref="M4032" si="4044">K4032*0.1</f>
        <v>102300</v>
      </c>
      <c r="N4032" s="119"/>
      <c r="O4032" s="118">
        <v>0</v>
      </c>
      <c r="P4032" s="119"/>
      <c r="Q4032" s="118">
        <v>8570</v>
      </c>
      <c r="R4032" s="119"/>
      <c r="S4032" s="118">
        <v>22000</v>
      </c>
      <c r="T4032" s="119"/>
      <c r="U4032" s="118">
        <f t="shared" ref="U4032" si="4045">SUM(K4032:T4033)</f>
        <v>1155870</v>
      </c>
      <c r="V4032" s="122"/>
      <c r="W4032" s="124"/>
      <c r="X4032" s="126" t="s">
        <v>13377</v>
      </c>
      <c r="Y4032" s="127"/>
      <c r="Z4032" s="127"/>
      <c r="AA4032" s="127"/>
      <c r="AB4032" s="128"/>
      <c r="AC4032" s="15" t="s">
        <v>20</v>
      </c>
      <c r="AD4032" s="129" t="s">
        <v>1633</v>
      </c>
      <c r="AE4032" s="130"/>
      <c r="AF4032" s="130"/>
      <c r="AG4032" s="130"/>
      <c r="AH4032" s="130"/>
      <c r="AI4032" s="131"/>
      <c r="AJ4032" s="132"/>
      <c r="AK4032" s="127"/>
      <c r="AL4032" s="128"/>
      <c r="AM4032" s="21"/>
      <c r="AN4032" s="133">
        <v>46000</v>
      </c>
      <c r="AO4032" s="134"/>
      <c r="AP4032" s="135">
        <v>1921</v>
      </c>
      <c r="AQ4032" s="136"/>
      <c r="AR4032" s="118">
        <v>1094000</v>
      </c>
      <c r="AS4032" s="119"/>
      <c r="AT4032" s="118">
        <f t="shared" ref="AT4032" si="4046">AR4032*0.1</f>
        <v>109400</v>
      </c>
      <c r="AU4032" s="119"/>
      <c r="AV4032" s="118">
        <v>8570</v>
      </c>
      <c r="AW4032" s="119"/>
      <c r="AX4032" s="118">
        <f t="shared" ref="AX4032" si="4047">SUM(AR4032:AW4032)</f>
        <v>1211970</v>
      </c>
      <c r="AY4032" s="119"/>
      <c r="AZ4032" s="137"/>
    </row>
    <row r="4033" spans="1:52" ht="17.100000000000001" customHeight="1" thickBot="1">
      <c r="A4033" s="110"/>
      <c r="B4033" s="27" t="s">
        <v>2200</v>
      </c>
      <c r="C4033" s="27">
        <v>50167</v>
      </c>
      <c r="D4033" s="14" t="s">
        <v>2040</v>
      </c>
      <c r="E4033" s="112"/>
      <c r="F4033" s="139" t="s">
        <v>12322</v>
      </c>
      <c r="G4033" s="140"/>
      <c r="H4033" s="141"/>
      <c r="I4033" s="26">
        <v>23790</v>
      </c>
      <c r="J4033" s="117"/>
      <c r="K4033" s="120"/>
      <c r="L4033" s="121"/>
      <c r="M4033" s="120"/>
      <c r="N4033" s="121"/>
      <c r="O4033" s="120"/>
      <c r="P4033" s="121"/>
      <c r="Q4033" s="120"/>
      <c r="R4033" s="121"/>
      <c r="S4033" s="120"/>
      <c r="T4033" s="121"/>
      <c r="U4033" s="120"/>
      <c r="V4033" s="123"/>
      <c r="W4033" s="125"/>
      <c r="X4033" s="142" t="s">
        <v>13378</v>
      </c>
      <c r="Y4033" s="143"/>
      <c r="Z4033" s="143"/>
      <c r="AA4033" s="143"/>
      <c r="AB4033" s="144"/>
      <c r="AC4033" s="16" t="s">
        <v>21</v>
      </c>
      <c r="AD4033" s="17" t="s">
        <v>3445</v>
      </c>
      <c r="AE4033" s="145" t="s">
        <v>1742</v>
      </c>
      <c r="AF4033" s="146"/>
      <c r="AG4033" s="146"/>
      <c r="AH4033" s="146"/>
      <c r="AI4033" s="147"/>
      <c r="AJ4033" s="148"/>
      <c r="AK4033" s="143"/>
      <c r="AL4033" s="144"/>
      <c r="AM4033" s="22"/>
      <c r="AN4033" s="149" t="s">
        <v>2131</v>
      </c>
      <c r="AO4033" s="144"/>
      <c r="AP4033" s="148">
        <v>3361</v>
      </c>
      <c r="AQ4033" s="144"/>
      <c r="AR4033" s="120"/>
      <c r="AS4033" s="121"/>
      <c r="AT4033" s="120"/>
      <c r="AU4033" s="121"/>
      <c r="AV4033" s="120"/>
      <c r="AW4033" s="121"/>
      <c r="AX4033" s="120"/>
      <c r="AY4033" s="121"/>
      <c r="AZ4033" s="138"/>
    </row>
    <row r="4034" spans="1:52" ht="17.100000000000001" customHeight="1" thickTop="1">
      <c r="A4034" s="109" t="s">
        <v>12421</v>
      </c>
      <c r="B4034" s="28">
        <v>45995</v>
      </c>
      <c r="C4034" s="25">
        <v>2005</v>
      </c>
      <c r="D4034" s="13" t="s">
        <v>2298</v>
      </c>
      <c r="E4034" s="111"/>
      <c r="F4034" s="113" t="s">
        <v>12323</v>
      </c>
      <c r="G4034" s="114"/>
      <c r="H4034" s="115"/>
      <c r="I4034" s="24" t="s">
        <v>2584</v>
      </c>
      <c r="J4034" s="116">
        <v>4</v>
      </c>
      <c r="K4034" s="118">
        <v>962000</v>
      </c>
      <c r="L4034" s="119"/>
      <c r="M4034" s="118">
        <f t="shared" ref="M4034" si="4048">K4034*0.1</f>
        <v>96200</v>
      </c>
      <c r="N4034" s="119"/>
      <c r="O4034" s="118">
        <v>0</v>
      </c>
      <c r="P4034" s="119"/>
      <c r="Q4034" s="118">
        <v>6560</v>
      </c>
      <c r="R4034" s="119"/>
      <c r="S4034" s="118">
        <v>22000</v>
      </c>
      <c r="T4034" s="119"/>
      <c r="U4034" s="118">
        <f t="shared" ref="U4034" si="4049">SUM(K4034:T4035)</f>
        <v>1086760</v>
      </c>
      <c r="V4034" s="122"/>
      <c r="W4034" s="124"/>
      <c r="X4034" s="126" t="s">
        <v>12325</v>
      </c>
      <c r="Y4034" s="127"/>
      <c r="Z4034" s="127"/>
      <c r="AA4034" s="127"/>
      <c r="AB4034" s="128"/>
      <c r="AC4034" s="15" t="s">
        <v>20</v>
      </c>
      <c r="AD4034" s="129" t="s">
        <v>8818</v>
      </c>
      <c r="AE4034" s="130"/>
      <c r="AF4034" s="130"/>
      <c r="AG4034" s="130"/>
      <c r="AH4034" s="130"/>
      <c r="AI4034" s="131"/>
      <c r="AJ4034" s="132"/>
      <c r="AK4034" s="127"/>
      <c r="AL4034" s="128"/>
      <c r="AM4034" s="21"/>
      <c r="AN4034" s="133">
        <v>46004</v>
      </c>
      <c r="AO4034" s="134"/>
      <c r="AP4034" s="135">
        <v>1280</v>
      </c>
      <c r="AQ4034" s="136"/>
      <c r="AR4034" s="118">
        <v>1070000</v>
      </c>
      <c r="AS4034" s="119"/>
      <c r="AT4034" s="118">
        <f t="shared" ref="AT4034" si="4050">AR4034*0.1</f>
        <v>107000</v>
      </c>
      <c r="AU4034" s="119"/>
      <c r="AV4034" s="118">
        <v>6560</v>
      </c>
      <c r="AW4034" s="119"/>
      <c r="AX4034" s="118">
        <f t="shared" ref="AX4034" si="4051">SUM(AR4034:AW4034)</f>
        <v>1183560</v>
      </c>
      <c r="AY4034" s="119"/>
      <c r="AZ4034" s="137">
        <v>46007</v>
      </c>
    </row>
    <row r="4035" spans="1:52" ht="17.100000000000001" customHeight="1" thickBot="1">
      <c r="A4035" s="110"/>
      <c r="B4035" s="27" t="s">
        <v>2200</v>
      </c>
      <c r="C4035" s="27">
        <v>50170</v>
      </c>
      <c r="D4035" s="14" t="s">
        <v>133</v>
      </c>
      <c r="E4035" s="112"/>
      <c r="F4035" s="139" t="s">
        <v>12324</v>
      </c>
      <c r="G4035" s="140"/>
      <c r="H4035" s="141"/>
      <c r="I4035" s="26">
        <v>40069</v>
      </c>
      <c r="J4035" s="117"/>
      <c r="K4035" s="120"/>
      <c r="L4035" s="121"/>
      <c r="M4035" s="120"/>
      <c r="N4035" s="121"/>
      <c r="O4035" s="120"/>
      <c r="P4035" s="121"/>
      <c r="Q4035" s="120"/>
      <c r="R4035" s="121"/>
      <c r="S4035" s="120"/>
      <c r="T4035" s="121"/>
      <c r="U4035" s="120"/>
      <c r="V4035" s="123"/>
      <c r="W4035" s="125"/>
      <c r="X4035" s="142" t="s">
        <v>13074</v>
      </c>
      <c r="Y4035" s="143"/>
      <c r="Z4035" s="143"/>
      <c r="AA4035" s="143"/>
      <c r="AB4035" s="144"/>
      <c r="AC4035" s="16" t="s">
        <v>21</v>
      </c>
      <c r="AD4035" s="17" t="s">
        <v>12921</v>
      </c>
      <c r="AE4035" s="145" t="s">
        <v>13075</v>
      </c>
      <c r="AF4035" s="146"/>
      <c r="AG4035" s="146"/>
      <c r="AH4035" s="146"/>
      <c r="AI4035" s="147"/>
      <c r="AJ4035" s="148"/>
      <c r="AK4035" s="143"/>
      <c r="AL4035" s="144"/>
      <c r="AM4035" s="22"/>
      <c r="AN4035" s="149" t="s">
        <v>2511</v>
      </c>
      <c r="AO4035" s="144"/>
      <c r="AP4035" s="148">
        <v>60011</v>
      </c>
      <c r="AQ4035" s="144"/>
      <c r="AR4035" s="120"/>
      <c r="AS4035" s="121"/>
      <c r="AT4035" s="120"/>
      <c r="AU4035" s="121"/>
      <c r="AV4035" s="120"/>
      <c r="AW4035" s="121"/>
      <c r="AX4035" s="120"/>
      <c r="AY4035" s="121"/>
      <c r="AZ4035" s="138"/>
    </row>
    <row r="4036" spans="1:52" ht="17.100000000000001" customHeight="1" thickTop="1">
      <c r="A4036" s="109" t="s">
        <v>12422</v>
      </c>
      <c r="B4036" s="28">
        <v>45995</v>
      </c>
      <c r="C4036" s="25">
        <v>2005</v>
      </c>
      <c r="D4036" s="13" t="s">
        <v>3610</v>
      </c>
      <c r="E4036" s="111"/>
      <c r="F4036" s="113" t="s">
        <v>11757</v>
      </c>
      <c r="G4036" s="114"/>
      <c r="H4036" s="115"/>
      <c r="I4036" s="24"/>
      <c r="J4036" s="116">
        <v>3.5</v>
      </c>
      <c r="K4036" s="118">
        <v>447000</v>
      </c>
      <c r="L4036" s="119"/>
      <c r="M4036" s="118">
        <f t="shared" ref="M4036" si="4052">K4036*0.1</f>
        <v>44700</v>
      </c>
      <c r="N4036" s="119"/>
      <c r="O4036" s="118">
        <v>0</v>
      </c>
      <c r="P4036" s="119"/>
      <c r="Q4036" s="118">
        <v>10400</v>
      </c>
      <c r="R4036" s="119"/>
      <c r="S4036" s="118">
        <v>22000</v>
      </c>
      <c r="T4036" s="119"/>
      <c r="U4036" s="118">
        <f t="shared" ref="U4036" si="4053">SUM(K4036:T4037)</f>
        <v>524100</v>
      </c>
      <c r="V4036" s="122"/>
      <c r="W4036" s="124"/>
      <c r="X4036" s="126" t="s">
        <v>12952</v>
      </c>
      <c r="Y4036" s="127"/>
      <c r="Z4036" s="127"/>
      <c r="AA4036" s="127"/>
      <c r="AB4036" s="128"/>
      <c r="AC4036" s="15" t="s">
        <v>20</v>
      </c>
      <c r="AD4036" s="129" t="s">
        <v>12327</v>
      </c>
      <c r="AE4036" s="130"/>
      <c r="AF4036" s="130"/>
      <c r="AG4036" s="130"/>
      <c r="AH4036" s="130"/>
      <c r="AI4036" s="131"/>
      <c r="AJ4036" s="132"/>
      <c r="AK4036" s="127"/>
      <c r="AL4036" s="128"/>
      <c r="AM4036" s="21"/>
      <c r="AN4036" s="133">
        <v>46008</v>
      </c>
      <c r="AO4036" s="134"/>
      <c r="AP4036" s="135">
        <v>997</v>
      </c>
      <c r="AQ4036" s="136"/>
      <c r="AR4036" s="118">
        <v>470000</v>
      </c>
      <c r="AS4036" s="119"/>
      <c r="AT4036" s="118">
        <f t="shared" ref="AT4036" si="4054">AR4036*0.1</f>
        <v>47000</v>
      </c>
      <c r="AU4036" s="119"/>
      <c r="AV4036" s="118">
        <v>10400</v>
      </c>
      <c r="AW4036" s="119"/>
      <c r="AX4036" s="118">
        <f t="shared" ref="AX4036" si="4055">SUM(AR4036:AW4036)</f>
        <v>527400</v>
      </c>
      <c r="AY4036" s="119"/>
      <c r="AZ4036" s="137">
        <v>46013</v>
      </c>
    </row>
    <row r="4037" spans="1:52" ht="17.100000000000001" customHeight="1" thickBot="1">
      <c r="A4037" s="110"/>
      <c r="B4037" s="27" t="s">
        <v>2200</v>
      </c>
      <c r="C4037" s="27">
        <v>90160</v>
      </c>
      <c r="D4037" s="14" t="s">
        <v>1720</v>
      </c>
      <c r="E4037" s="112"/>
      <c r="F4037" s="139" t="s">
        <v>12326</v>
      </c>
      <c r="G4037" s="140"/>
      <c r="H4037" s="141"/>
      <c r="I4037" s="26">
        <v>105207</v>
      </c>
      <c r="J4037" s="117"/>
      <c r="K4037" s="120"/>
      <c r="L4037" s="121"/>
      <c r="M4037" s="120"/>
      <c r="N4037" s="121"/>
      <c r="O4037" s="120"/>
      <c r="P4037" s="121"/>
      <c r="Q4037" s="120"/>
      <c r="R4037" s="121"/>
      <c r="S4037" s="120"/>
      <c r="T4037" s="121"/>
      <c r="U4037" s="120"/>
      <c r="V4037" s="123"/>
      <c r="W4037" s="125"/>
      <c r="X4037" s="142" t="s">
        <v>3007</v>
      </c>
      <c r="Y4037" s="143"/>
      <c r="Z4037" s="143"/>
      <c r="AA4037" s="143"/>
      <c r="AB4037" s="144"/>
      <c r="AC4037" s="16" t="s">
        <v>21</v>
      </c>
      <c r="AD4037" s="17" t="s">
        <v>12921</v>
      </c>
      <c r="AE4037" s="145" t="s">
        <v>13326</v>
      </c>
      <c r="AF4037" s="146"/>
      <c r="AG4037" s="146"/>
      <c r="AH4037" s="146"/>
      <c r="AI4037" s="147"/>
      <c r="AJ4037" s="148"/>
      <c r="AK4037" s="143"/>
      <c r="AL4037" s="144"/>
      <c r="AM4037" s="22"/>
      <c r="AN4037" s="149" t="s">
        <v>2794</v>
      </c>
      <c r="AO4037" s="144"/>
      <c r="AP4037" s="148">
        <v>6020</v>
      </c>
      <c r="AQ4037" s="144"/>
      <c r="AR4037" s="120"/>
      <c r="AS4037" s="121"/>
      <c r="AT4037" s="120"/>
      <c r="AU4037" s="121"/>
      <c r="AV4037" s="120"/>
      <c r="AW4037" s="121"/>
      <c r="AX4037" s="120"/>
      <c r="AY4037" s="121"/>
      <c r="AZ4037" s="138"/>
    </row>
    <row r="4038" spans="1:52" ht="17.100000000000001" customHeight="1" thickTop="1">
      <c r="A4038" s="109" t="s">
        <v>12423</v>
      </c>
      <c r="B4038" s="28">
        <v>45995</v>
      </c>
      <c r="C4038" s="25">
        <v>2005</v>
      </c>
      <c r="D4038" s="13" t="s">
        <v>1027</v>
      </c>
      <c r="E4038" s="111"/>
      <c r="F4038" s="113" t="s">
        <v>4383</v>
      </c>
      <c r="G4038" s="114"/>
      <c r="H4038" s="115"/>
      <c r="I4038" s="24"/>
      <c r="J4038" s="116">
        <v>4</v>
      </c>
      <c r="K4038" s="118">
        <v>264000</v>
      </c>
      <c r="L4038" s="119"/>
      <c r="M4038" s="118">
        <f t="shared" ref="M4038" si="4056">K4038*0.1</f>
        <v>26400</v>
      </c>
      <c r="N4038" s="119"/>
      <c r="O4038" s="118">
        <v>0</v>
      </c>
      <c r="P4038" s="119"/>
      <c r="Q4038" s="118">
        <v>9070</v>
      </c>
      <c r="R4038" s="119"/>
      <c r="S4038" s="118">
        <v>22000</v>
      </c>
      <c r="T4038" s="119"/>
      <c r="U4038" s="118">
        <f t="shared" ref="U4038" si="4057">SUM(K4038:T4039)</f>
        <v>321470</v>
      </c>
      <c r="V4038" s="122"/>
      <c r="W4038" s="124"/>
      <c r="X4038" s="126" t="s">
        <v>13030</v>
      </c>
      <c r="Y4038" s="127"/>
      <c r="Z4038" s="127"/>
      <c r="AA4038" s="127"/>
      <c r="AB4038" s="128"/>
      <c r="AC4038" s="15" t="s">
        <v>20</v>
      </c>
      <c r="AD4038" s="129"/>
      <c r="AE4038" s="130"/>
      <c r="AF4038" s="130"/>
      <c r="AG4038" s="130"/>
      <c r="AH4038" s="130"/>
      <c r="AI4038" s="131"/>
      <c r="AJ4038" s="132"/>
      <c r="AK4038" s="127"/>
      <c r="AL4038" s="128"/>
      <c r="AM4038" s="21"/>
      <c r="AN4038" s="133">
        <v>46001</v>
      </c>
      <c r="AO4038" s="134"/>
      <c r="AP4038" s="135">
        <v>996</v>
      </c>
      <c r="AQ4038" s="136"/>
      <c r="AR4038" s="118">
        <v>345000</v>
      </c>
      <c r="AS4038" s="119"/>
      <c r="AT4038" s="118">
        <f t="shared" ref="AT4038" si="4058">AR4038*0.1</f>
        <v>34500</v>
      </c>
      <c r="AU4038" s="119"/>
      <c r="AV4038" s="118">
        <v>9070</v>
      </c>
      <c r="AW4038" s="119"/>
      <c r="AX4038" s="118">
        <f t="shared" ref="AX4038" si="4059">SUM(AR4038:AW4038)</f>
        <v>388570</v>
      </c>
      <c r="AY4038" s="119"/>
      <c r="AZ4038" s="137">
        <v>46006</v>
      </c>
    </row>
    <row r="4039" spans="1:52" ht="17.100000000000001" customHeight="1" thickBot="1">
      <c r="A4039" s="110"/>
      <c r="B4039" s="27" t="s">
        <v>2200</v>
      </c>
      <c r="C4039" s="27">
        <v>90196</v>
      </c>
      <c r="D4039" s="14" t="s">
        <v>1576</v>
      </c>
      <c r="E4039" s="112"/>
      <c r="F4039" s="139" t="s">
        <v>12328</v>
      </c>
      <c r="G4039" s="140"/>
      <c r="H4039" s="141"/>
      <c r="I4039" s="26">
        <v>54550</v>
      </c>
      <c r="J4039" s="117"/>
      <c r="K4039" s="120"/>
      <c r="L4039" s="121"/>
      <c r="M4039" s="120"/>
      <c r="N4039" s="121"/>
      <c r="O4039" s="120"/>
      <c r="P4039" s="121"/>
      <c r="Q4039" s="120"/>
      <c r="R4039" s="121"/>
      <c r="S4039" s="120"/>
      <c r="T4039" s="121"/>
      <c r="U4039" s="120"/>
      <c r="V4039" s="123"/>
      <c r="W4039" s="125"/>
      <c r="X4039" s="142" t="s">
        <v>2659</v>
      </c>
      <c r="Y4039" s="143"/>
      <c r="Z4039" s="143"/>
      <c r="AA4039" s="143"/>
      <c r="AB4039" s="144"/>
      <c r="AC4039" s="16" t="s">
        <v>21</v>
      </c>
      <c r="AD4039" s="17" t="s">
        <v>12921</v>
      </c>
      <c r="AE4039" s="145" t="s">
        <v>13457</v>
      </c>
      <c r="AF4039" s="146"/>
      <c r="AG4039" s="146"/>
      <c r="AH4039" s="146"/>
      <c r="AI4039" s="147"/>
      <c r="AJ4039" s="148"/>
      <c r="AK4039" s="143"/>
      <c r="AL4039" s="144"/>
      <c r="AM4039" s="22"/>
      <c r="AN4039" s="149" t="s">
        <v>2794</v>
      </c>
      <c r="AO4039" s="144"/>
      <c r="AP4039" s="148">
        <v>2049</v>
      </c>
      <c r="AQ4039" s="144"/>
      <c r="AR4039" s="120"/>
      <c r="AS4039" s="121"/>
      <c r="AT4039" s="120"/>
      <c r="AU4039" s="121"/>
      <c r="AV4039" s="120"/>
      <c r="AW4039" s="121"/>
      <c r="AX4039" s="120"/>
      <c r="AY4039" s="121"/>
      <c r="AZ4039" s="138"/>
    </row>
    <row r="4040" spans="1:52" ht="17.100000000000001" customHeight="1" thickTop="1">
      <c r="A4040" s="151" t="s">
        <v>12424</v>
      </c>
      <c r="B4040" s="28">
        <v>45995</v>
      </c>
      <c r="C4040" s="25">
        <v>2224</v>
      </c>
      <c r="D4040" s="13" t="s">
        <v>1845</v>
      </c>
      <c r="E4040" s="111"/>
      <c r="F4040" s="113" t="s">
        <v>12431</v>
      </c>
      <c r="G4040" s="114"/>
      <c r="H4040" s="115"/>
      <c r="I4040" s="24" t="s">
        <v>4390</v>
      </c>
      <c r="J4040" s="116">
        <v>4</v>
      </c>
      <c r="K4040" s="118">
        <v>848000</v>
      </c>
      <c r="L4040" s="119"/>
      <c r="M4040" s="118">
        <f t="shared" ref="M4040" si="4060">K4040*0.1</f>
        <v>84800</v>
      </c>
      <c r="N4040" s="119"/>
      <c r="O4040" s="118">
        <v>8360</v>
      </c>
      <c r="P4040" s="119"/>
      <c r="Q4040" s="118">
        <v>17310</v>
      </c>
      <c r="R4040" s="119"/>
      <c r="S4040" s="118">
        <v>19250</v>
      </c>
      <c r="T4040" s="119"/>
      <c r="U4040" s="118">
        <f t="shared" ref="U4040" si="4061">SUM(K4040:T4041)</f>
        <v>977720</v>
      </c>
      <c r="V4040" s="122"/>
      <c r="W4040" s="124"/>
      <c r="X4040" s="126" t="s">
        <v>12433</v>
      </c>
      <c r="Y4040" s="127"/>
      <c r="Z4040" s="127"/>
      <c r="AA4040" s="127"/>
      <c r="AB4040" s="128"/>
      <c r="AC4040" s="15" t="s">
        <v>20</v>
      </c>
      <c r="AD4040" s="129" t="s">
        <v>1670</v>
      </c>
      <c r="AE4040" s="130"/>
      <c r="AF4040" s="130"/>
      <c r="AG4040" s="130"/>
      <c r="AH4040" s="130"/>
      <c r="AI4040" s="131"/>
      <c r="AJ4040" s="132"/>
      <c r="AK4040" s="127"/>
      <c r="AL4040" s="128"/>
      <c r="AM4040" s="21"/>
      <c r="AN4040" s="133">
        <v>46032</v>
      </c>
      <c r="AO4040" s="134"/>
      <c r="AP4040" s="135">
        <v>1283</v>
      </c>
      <c r="AQ4040" s="136"/>
      <c r="AR4040" s="118">
        <v>930000</v>
      </c>
      <c r="AS4040" s="119"/>
      <c r="AT4040" s="118">
        <f t="shared" ref="AT4040" si="4062">AR4040*0.1</f>
        <v>93000</v>
      </c>
      <c r="AU4040" s="119"/>
      <c r="AV4040" s="118">
        <v>17310</v>
      </c>
      <c r="AW4040" s="119"/>
      <c r="AX4040" s="118">
        <f t="shared" ref="AX4040" si="4063">SUM(AR4040:AW4040)</f>
        <v>1040310</v>
      </c>
      <c r="AY4040" s="119"/>
      <c r="AZ4040" s="137">
        <v>46036</v>
      </c>
    </row>
    <row r="4041" spans="1:52" ht="17.100000000000001" customHeight="1" thickBot="1">
      <c r="A4041" s="152"/>
      <c r="B4041" s="27" t="s">
        <v>3606</v>
      </c>
      <c r="C4041" s="27">
        <v>5193</v>
      </c>
      <c r="D4041" s="14" t="s">
        <v>275</v>
      </c>
      <c r="E4041" s="112"/>
      <c r="F4041" s="139" t="s">
        <v>12432</v>
      </c>
      <c r="G4041" s="140"/>
      <c r="H4041" s="141"/>
      <c r="I4041" s="26">
        <v>27512</v>
      </c>
      <c r="J4041" s="117"/>
      <c r="K4041" s="120"/>
      <c r="L4041" s="121"/>
      <c r="M4041" s="120"/>
      <c r="N4041" s="121"/>
      <c r="O4041" s="120"/>
      <c r="P4041" s="121"/>
      <c r="Q4041" s="120"/>
      <c r="R4041" s="121"/>
      <c r="S4041" s="120"/>
      <c r="T4041" s="121"/>
      <c r="U4041" s="120"/>
      <c r="V4041" s="123"/>
      <c r="W4041" s="125"/>
      <c r="X4041" s="142" t="s">
        <v>13196</v>
      </c>
      <c r="Y4041" s="143"/>
      <c r="Z4041" s="143"/>
      <c r="AA4041" s="143"/>
      <c r="AB4041" s="144"/>
      <c r="AC4041" s="16" t="s">
        <v>21</v>
      </c>
      <c r="AD4041" s="17" t="s">
        <v>13052</v>
      </c>
      <c r="AE4041" s="145" t="s">
        <v>9947</v>
      </c>
      <c r="AF4041" s="146"/>
      <c r="AG4041" s="146"/>
      <c r="AH4041" s="146"/>
      <c r="AI4041" s="147"/>
      <c r="AJ4041" s="148"/>
      <c r="AK4041" s="143"/>
      <c r="AL4041" s="144"/>
      <c r="AM4041" s="22"/>
      <c r="AN4041" s="149" t="s">
        <v>2511</v>
      </c>
      <c r="AO4041" s="144"/>
      <c r="AP4041" s="148">
        <v>80116</v>
      </c>
      <c r="AQ4041" s="144"/>
      <c r="AR4041" s="120"/>
      <c r="AS4041" s="121"/>
      <c r="AT4041" s="120"/>
      <c r="AU4041" s="121"/>
      <c r="AV4041" s="120"/>
      <c r="AW4041" s="121"/>
      <c r="AX4041" s="120"/>
      <c r="AY4041" s="121"/>
      <c r="AZ4041" s="138"/>
    </row>
    <row r="4042" spans="1:52" ht="17.100000000000001" customHeight="1" thickTop="1">
      <c r="A4042" s="109" t="s">
        <v>12425</v>
      </c>
      <c r="B4042" s="28">
        <v>45995</v>
      </c>
      <c r="C4042" s="25">
        <v>1961</v>
      </c>
      <c r="D4042" s="13" t="s">
        <v>1853</v>
      </c>
      <c r="E4042" s="111"/>
      <c r="F4042" s="113" t="s">
        <v>4980</v>
      </c>
      <c r="G4042" s="114"/>
      <c r="H4042" s="115"/>
      <c r="I4042" s="24"/>
      <c r="J4042" s="116">
        <v>4.5</v>
      </c>
      <c r="K4042" s="118">
        <v>950000</v>
      </c>
      <c r="L4042" s="119"/>
      <c r="M4042" s="118">
        <f t="shared" ref="M4042" si="4064">K4042*0.1</f>
        <v>95000</v>
      </c>
      <c r="N4042" s="119"/>
      <c r="O4042" s="118">
        <v>0</v>
      </c>
      <c r="P4042" s="119"/>
      <c r="Q4042" s="118">
        <v>7440</v>
      </c>
      <c r="R4042" s="119"/>
      <c r="S4042" s="118">
        <v>15950</v>
      </c>
      <c r="T4042" s="119"/>
      <c r="U4042" s="118">
        <f t="shared" ref="U4042" si="4065">SUM(K4042:T4043)</f>
        <v>1068390</v>
      </c>
      <c r="V4042" s="122"/>
      <c r="W4042" s="124"/>
      <c r="X4042" s="126" t="s">
        <v>12859</v>
      </c>
      <c r="Y4042" s="127"/>
      <c r="Z4042" s="127"/>
      <c r="AA4042" s="127"/>
      <c r="AB4042" s="128"/>
      <c r="AC4042" s="15" t="s">
        <v>20</v>
      </c>
      <c r="AD4042" s="129"/>
      <c r="AE4042" s="130"/>
      <c r="AF4042" s="130"/>
      <c r="AG4042" s="130"/>
      <c r="AH4042" s="130"/>
      <c r="AI4042" s="131"/>
      <c r="AJ4042" s="132"/>
      <c r="AK4042" s="127"/>
      <c r="AL4042" s="128"/>
      <c r="AM4042" s="21"/>
      <c r="AN4042" s="133">
        <v>46036</v>
      </c>
      <c r="AO4042" s="134"/>
      <c r="AP4042" s="135">
        <v>1000</v>
      </c>
      <c r="AQ4042" s="136"/>
      <c r="AR4042" s="118">
        <v>1050000</v>
      </c>
      <c r="AS4042" s="119"/>
      <c r="AT4042" s="118">
        <f t="shared" ref="AT4042" si="4066">AR4042*0.1</f>
        <v>105000</v>
      </c>
      <c r="AU4042" s="119"/>
      <c r="AV4042" s="118">
        <v>7440</v>
      </c>
      <c r="AW4042" s="119"/>
      <c r="AX4042" s="118">
        <f t="shared" ref="AX4042" si="4067">SUM(AR4042:AW4042)</f>
        <v>1162440</v>
      </c>
      <c r="AY4042" s="119"/>
      <c r="AZ4042" s="137">
        <v>46042</v>
      </c>
    </row>
    <row r="4043" spans="1:52" ht="17.100000000000001" customHeight="1" thickBot="1">
      <c r="A4043" s="110"/>
      <c r="B4043" s="27" t="s">
        <v>3792</v>
      </c>
      <c r="C4043" s="27">
        <v>62015</v>
      </c>
      <c r="D4043" s="14" t="s">
        <v>1592</v>
      </c>
      <c r="E4043" s="112"/>
      <c r="F4043" s="139" t="s">
        <v>12434</v>
      </c>
      <c r="G4043" s="140"/>
      <c r="H4043" s="141"/>
      <c r="I4043" s="26">
        <v>31824</v>
      </c>
      <c r="J4043" s="117"/>
      <c r="K4043" s="120"/>
      <c r="L4043" s="121"/>
      <c r="M4043" s="120"/>
      <c r="N4043" s="121"/>
      <c r="O4043" s="120"/>
      <c r="P4043" s="121"/>
      <c r="Q4043" s="120"/>
      <c r="R4043" s="121"/>
      <c r="S4043" s="120"/>
      <c r="T4043" s="121"/>
      <c r="U4043" s="120"/>
      <c r="V4043" s="123"/>
      <c r="W4043" s="125"/>
      <c r="X4043" s="142" t="s">
        <v>12860</v>
      </c>
      <c r="Y4043" s="143"/>
      <c r="Z4043" s="143"/>
      <c r="AA4043" s="143"/>
      <c r="AB4043" s="144"/>
      <c r="AC4043" s="16" t="s">
        <v>21</v>
      </c>
      <c r="AD4043" s="17" t="s">
        <v>12856</v>
      </c>
      <c r="AE4043" s="145" t="s">
        <v>11345</v>
      </c>
      <c r="AF4043" s="146"/>
      <c r="AG4043" s="146"/>
      <c r="AH4043" s="146"/>
      <c r="AI4043" s="147"/>
      <c r="AJ4043" s="148"/>
      <c r="AK4043" s="143"/>
      <c r="AL4043" s="144"/>
      <c r="AM4043" s="22"/>
      <c r="AN4043" s="149" t="s">
        <v>7285</v>
      </c>
      <c r="AO4043" s="144"/>
      <c r="AP4043" s="148">
        <v>5058</v>
      </c>
      <c r="AQ4043" s="144"/>
      <c r="AR4043" s="120"/>
      <c r="AS4043" s="121"/>
      <c r="AT4043" s="120"/>
      <c r="AU4043" s="121"/>
      <c r="AV4043" s="120"/>
      <c r="AW4043" s="121"/>
      <c r="AX4043" s="120"/>
      <c r="AY4043" s="121"/>
      <c r="AZ4043" s="138"/>
    </row>
    <row r="4044" spans="1:52" ht="17.100000000000001" customHeight="1" thickTop="1">
      <c r="A4044" s="109" t="s">
        <v>12426</v>
      </c>
      <c r="B4044" s="28">
        <v>45995</v>
      </c>
      <c r="C4044" s="25">
        <v>1544</v>
      </c>
      <c r="D4044" s="13" t="s">
        <v>2949</v>
      </c>
      <c r="E4044" s="111"/>
      <c r="F4044" s="113" t="s">
        <v>12435</v>
      </c>
      <c r="G4044" s="114"/>
      <c r="H4044" s="115"/>
      <c r="I4044" s="24" t="s">
        <v>12437</v>
      </c>
      <c r="J4044" s="116">
        <v>4.5</v>
      </c>
      <c r="K4044" s="118">
        <v>2040000</v>
      </c>
      <c r="L4044" s="119"/>
      <c r="M4044" s="118">
        <f t="shared" ref="M4044" si="4068">K4044*0.1</f>
        <v>204000</v>
      </c>
      <c r="N4044" s="119"/>
      <c r="O4044" s="118">
        <f>9000+900</f>
        <v>9900</v>
      </c>
      <c r="P4044" s="119"/>
      <c r="Q4044" s="118">
        <v>21580</v>
      </c>
      <c r="R4044" s="119"/>
      <c r="S4044" s="118">
        <v>16500</v>
      </c>
      <c r="T4044" s="119"/>
      <c r="U4044" s="118">
        <f t="shared" ref="U4044" si="4069">SUM(K4044:T4045)</f>
        <v>2291980</v>
      </c>
      <c r="V4044" s="122"/>
      <c r="W4044" s="124"/>
      <c r="X4044" s="126" t="s">
        <v>12438</v>
      </c>
      <c r="Y4044" s="127"/>
      <c r="Z4044" s="127"/>
      <c r="AA4044" s="127"/>
      <c r="AB4044" s="128"/>
      <c r="AC4044" s="15" t="s">
        <v>20</v>
      </c>
      <c r="AD4044" s="129" t="s">
        <v>1670</v>
      </c>
      <c r="AE4044" s="130"/>
      <c r="AF4044" s="130"/>
      <c r="AG4044" s="130"/>
      <c r="AH4044" s="130"/>
      <c r="AI4044" s="131"/>
      <c r="AJ4044" s="132"/>
      <c r="AK4044" s="127"/>
      <c r="AL4044" s="128"/>
      <c r="AM4044" s="21"/>
      <c r="AN4044" s="133">
        <v>46064</v>
      </c>
      <c r="AO4044" s="134"/>
      <c r="AP4044" s="135"/>
      <c r="AQ4044" s="136"/>
      <c r="AR4044" s="118">
        <v>3650000</v>
      </c>
      <c r="AS4044" s="119"/>
      <c r="AT4044" s="118">
        <v>0</v>
      </c>
      <c r="AU4044" s="119"/>
      <c r="AV4044" s="118">
        <v>0</v>
      </c>
      <c r="AW4044" s="119"/>
      <c r="AX4044" s="118">
        <f t="shared" ref="AX4044" si="4070">SUM(AR4044:AW4044)</f>
        <v>3650000</v>
      </c>
      <c r="AY4044" s="119"/>
      <c r="AZ4044" s="137">
        <v>46110</v>
      </c>
    </row>
    <row r="4045" spans="1:52" ht="17.100000000000001" customHeight="1" thickBot="1">
      <c r="A4045" s="110"/>
      <c r="B4045" s="27" t="s">
        <v>1600</v>
      </c>
      <c r="C4045" s="27">
        <v>75844</v>
      </c>
      <c r="D4045" s="14" t="s">
        <v>1592</v>
      </c>
      <c r="E4045" s="112"/>
      <c r="F4045" s="139" t="s">
        <v>12436</v>
      </c>
      <c r="G4045" s="140"/>
      <c r="H4045" s="141"/>
      <c r="I4045" s="26">
        <v>33233</v>
      </c>
      <c r="J4045" s="117"/>
      <c r="K4045" s="120"/>
      <c r="L4045" s="121"/>
      <c r="M4045" s="120"/>
      <c r="N4045" s="121"/>
      <c r="O4045" s="120"/>
      <c r="P4045" s="121"/>
      <c r="Q4045" s="120"/>
      <c r="R4045" s="121"/>
      <c r="S4045" s="120"/>
      <c r="T4045" s="121"/>
      <c r="U4045" s="120"/>
      <c r="V4045" s="123"/>
      <c r="W4045" s="125"/>
      <c r="X4045" s="142" t="s">
        <v>12911</v>
      </c>
      <c r="Y4045" s="143"/>
      <c r="Z4045" s="143"/>
      <c r="AA4045" s="143"/>
      <c r="AB4045" s="144"/>
      <c r="AC4045" s="16" t="s">
        <v>21</v>
      </c>
      <c r="AD4045" s="17" t="s">
        <v>12856</v>
      </c>
      <c r="AE4045" s="145" t="s">
        <v>13448</v>
      </c>
      <c r="AF4045" s="146"/>
      <c r="AG4045" s="146"/>
      <c r="AH4045" s="146"/>
      <c r="AI4045" s="147"/>
      <c r="AJ4045" s="148"/>
      <c r="AK4045" s="143"/>
      <c r="AL4045" s="144"/>
      <c r="AM4045" s="22"/>
      <c r="AN4045" s="149" t="s">
        <v>24631</v>
      </c>
      <c r="AO4045" s="144"/>
      <c r="AP4045" s="148"/>
      <c r="AQ4045" s="144"/>
      <c r="AR4045" s="120"/>
      <c r="AS4045" s="121"/>
      <c r="AT4045" s="120"/>
      <c r="AU4045" s="121"/>
      <c r="AV4045" s="120"/>
      <c r="AW4045" s="121"/>
      <c r="AX4045" s="120"/>
      <c r="AY4045" s="121"/>
      <c r="AZ4045" s="138"/>
    </row>
    <row r="4046" spans="1:52" ht="17.100000000000001" customHeight="1" thickTop="1">
      <c r="A4046" s="109" t="s">
        <v>12427</v>
      </c>
      <c r="B4046" s="28">
        <v>45995</v>
      </c>
      <c r="C4046" s="25">
        <v>1309</v>
      </c>
      <c r="D4046" s="13" t="s">
        <v>2681</v>
      </c>
      <c r="E4046" s="111"/>
      <c r="F4046" s="113" t="s">
        <v>12446</v>
      </c>
      <c r="G4046" s="114"/>
      <c r="H4046" s="115"/>
      <c r="I4046" s="24" t="s">
        <v>2064</v>
      </c>
      <c r="J4046" s="116">
        <v>5</v>
      </c>
      <c r="K4046" s="118">
        <v>5470000</v>
      </c>
      <c r="L4046" s="119"/>
      <c r="M4046" s="118">
        <f t="shared" ref="M4046" si="4071">K4046*0.1</f>
        <v>547000</v>
      </c>
      <c r="N4046" s="119"/>
      <c r="O4046" s="118">
        <f>12500+1250</f>
        <v>13750</v>
      </c>
      <c r="P4046" s="119"/>
      <c r="Q4046" s="118">
        <v>16930</v>
      </c>
      <c r="R4046" s="119"/>
      <c r="S4046" s="118">
        <v>14300</v>
      </c>
      <c r="T4046" s="119"/>
      <c r="U4046" s="118">
        <f t="shared" ref="U4046" si="4072">SUM(K4046:T4047)</f>
        <v>6061980</v>
      </c>
      <c r="V4046" s="122"/>
      <c r="W4046" s="124"/>
      <c r="X4046" s="126" t="s">
        <v>12451</v>
      </c>
      <c r="Y4046" s="127"/>
      <c r="Z4046" s="127"/>
      <c r="AA4046" s="127"/>
      <c r="AB4046" s="128"/>
      <c r="AC4046" s="15" t="s">
        <v>20</v>
      </c>
      <c r="AD4046" s="129" t="s">
        <v>1670</v>
      </c>
      <c r="AE4046" s="130"/>
      <c r="AF4046" s="130"/>
      <c r="AG4046" s="130"/>
      <c r="AH4046" s="130"/>
      <c r="AI4046" s="131"/>
      <c r="AJ4046" s="132"/>
      <c r="AK4046" s="127"/>
      <c r="AL4046" s="128"/>
      <c r="AM4046" s="21"/>
      <c r="AN4046" s="133">
        <v>46004</v>
      </c>
      <c r="AO4046" s="134"/>
      <c r="AP4046" s="135">
        <v>1280</v>
      </c>
      <c r="AQ4046" s="136"/>
      <c r="AR4046" s="118">
        <v>5600000</v>
      </c>
      <c r="AS4046" s="119"/>
      <c r="AT4046" s="118">
        <f t="shared" ref="AT4046" si="4073">AR4046*0.1</f>
        <v>560000</v>
      </c>
      <c r="AU4046" s="119"/>
      <c r="AV4046" s="118">
        <v>16930</v>
      </c>
      <c r="AW4046" s="119"/>
      <c r="AX4046" s="118">
        <f t="shared" ref="AX4046" si="4074">SUM(AR4046:AW4046)</f>
        <v>6176930</v>
      </c>
      <c r="AY4046" s="119"/>
      <c r="AZ4046" s="137">
        <v>46007</v>
      </c>
    </row>
    <row r="4047" spans="1:52" ht="17.100000000000001" customHeight="1" thickBot="1">
      <c r="A4047" s="110"/>
      <c r="B4047" s="27" t="s">
        <v>1747</v>
      </c>
      <c r="C4047" s="27">
        <v>75</v>
      </c>
      <c r="D4047" s="14" t="s">
        <v>1592</v>
      </c>
      <c r="E4047" s="112"/>
      <c r="F4047" s="139" t="s">
        <v>12447</v>
      </c>
      <c r="G4047" s="140"/>
      <c r="H4047" s="141"/>
      <c r="I4047" s="26">
        <v>14274</v>
      </c>
      <c r="J4047" s="117"/>
      <c r="K4047" s="120"/>
      <c r="L4047" s="121"/>
      <c r="M4047" s="120"/>
      <c r="N4047" s="121"/>
      <c r="O4047" s="120"/>
      <c r="P4047" s="121"/>
      <c r="Q4047" s="120"/>
      <c r="R4047" s="121"/>
      <c r="S4047" s="120"/>
      <c r="T4047" s="121"/>
      <c r="U4047" s="120"/>
      <c r="V4047" s="123"/>
      <c r="W4047" s="125"/>
      <c r="X4047" s="142" t="s">
        <v>12917</v>
      </c>
      <c r="Y4047" s="143"/>
      <c r="Z4047" s="143"/>
      <c r="AA4047" s="143"/>
      <c r="AB4047" s="144"/>
      <c r="AC4047" s="16" t="s">
        <v>21</v>
      </c>
      <c r="AD4047" s="17" t="s">
        <v>12856</v>
      </c>
      <c r="AE4047" s="145" t="s">
        <v>1742</v>
      </c>
      <c r="AF4047" s="146"/>
      <c r="AG4047" s="146"/>
      <c r="AH4047" s="146"/>
      <c r="AI4047" s="147"/>
      <c r="AJ4047" s="148"/>
      <c r="AK4047" s="143"/>
      <c r="AL4047" s="144"/>
      <c r="AM4047" s="22"/>
      <c r="AN4047" s="149" t="s">
        <v>2511</v>
      </c>
      <c r="AO4047" s="144"/>
      <c r="AP4047" s="148">
        <v>80029</v>
      </c>
      <c r="AQ4047" s="144"/>
      <c r="AR4047" s="120"/>
      <c r="AS4047" s="121"/>
      <c r="AT4047" s="120"/>
      <c r="AU4047" s="121"/>
      <c r="AV4047" s="120"/>
      <c r="AW4047" s="121"/>
      <c r="AX4047" s="120"/>
      <c r="AY4047" s="121"/>
      <c r="AZ4047" s="138"/>
    </row>
    <row r="4048" spans="1:52" ht="17.100000000000001" customHeight="1" thickTop="1">
      <c r="A4048" s="109" t="s">
        <v>12428</v>
      </c>
      <c r="B4048" s="28">
        <v>45995</v>
      </c>
      <c r="C4048" s="25">
        <v>1309</v>
      </c>
      <c r="D4048" s="13" t="s">
        <v>3461</v>
      </c>
      <c r="E4048" s="111"/>
      <c r="F4048" s="113" t="s">
        <v>12448</v>
      </c>
      <c r="G4048" s="114"/>
      <c r="H4048" s="115"/>
      <c r="I4048" s="24"/>
      <c r="J4048" s="116">
        <v>4.5</v>
      </c>
      <c r="K4048" s="118">
        <v>3540000</v>
      </c>
      <c r="L4048" s="119"/>
      <c r="M4048" s="118">
        <f t="shared" ref="M4048" si="4075">K4048*0.1</f>
        <v>354000</v>
      </c>
      <c r="N4048" s="119"/>
      <c r="O4048" s="118">
        <v>0</v>
      </c>
      <c r="P4048" s="119"/>
      <c r="Q4048" s="118">
        <v>21600</v>
      </c>
      <c r="R4048" s="119"/>
      <c r="S4048" s="118">
        <v>14300</v>
      </c>
      <c r="T4048" s="119"/>
      <c r="U4048" s="118">
        <f t="shared" ref="U4048" si="4076">SUM(K4048:T4049)</f>
        <v>3929900</v>
      </c>
      <c r="V4048" s="122"/>
      <c r="W4048" s="124"/>
      <c r="X4048" s="126" t="s">
        <v>13195</v>
      </c>
      <c r="Y4048" s="127"/>
      <c r="Z4048" s="127"/>
      <c r="AA4048" s="127"/>
      <c r="AB4048" s="128"/>
      <c r="AC4048" s="15" t="s">
        <v>20</v>
      </c>
      <c r="AD4048" s="129" t="s">
        <v>12452</v>
      </c>
      <c r="AE4048" s="130"/>
      <c r="AF4048" s="130"/>
      <c r="AG4048" s="130"/>
      <c r="AH4048" s="130"/>
      <c r="AI4048" s="131"/>
      <c r="AJ4048" s="132"/>
      <c r="AK4048" s="127"/>
      <c r="AL4048" s="128"/>
      <c r="AM4048" s="21"/>
      <c r="AN4048" s="133">
        <v>46046</v>
      </c>
      <c r="AO4048" s="134"/>
      <c r="AP4048" s="135">
        <v>1285</v>
      </c>
      <c r="AQ4048" s="136"/>
      <c r="AR4048" s="118">
        <v>3720000</v>
      </c>
      <c r="AS4048" s="119"/>
      <c r="AT4048" s="118">
        <f t="shared" ref="AT4048" si="4077">AR4048*0.1</f>
        <v>372000</v>
      </c>
      <c r="AU4048" s="119"/>
      <c r="AV4048" s="118">
        <v>21600</v>
      </c>
      <c r="AW4048" s="119"/>
      <c r="AX4048" s="118">
        <f t="shared" ref="AX4048" si="4078">SUM(AR4048:AW4048)</f>
        <v>4113600</v>
      </c>
      <c r="AY4048" s="119"/>
      <c r="AZ4048" s="137">
        <v>46049</v>
      </c>
    </row>
    <row r="4049" spans="1:52" ht="17.100000000000001" customHeight="1" thickBot="1">
      <c r="A4049" s="110"/>
      <c r="B4049" s="27" t="s">
        <v>1747</v>
      </c>
      <c r="C4049" s="27">
        <v>117</v>
      </c>
      <c r="D4049" s="14" t="s">
        <v>2601</v>
      </c>
      <c r="E4049" s="112"/>
      <c r="F4049" s="139" t="s">
        <v>12449</v>
      </c>
      <c r="G4049" s="140"/>
      <c r="H4049" s="141"/>
      <c r="I4049" s="26">
        <v>44452</v>
      </c>
      <c r="J4049" s="117"/>
      <c r="K4049" s="120"/>
      <c r="L4049" s="121"/>
      <c r="M4049" s="120"/>
      <c r="N4049" s="121"/>
      <c r="O4049" s="120"/>
      <c r="P4049" s="121"/>
      <c r="Q4049" s="120"/>
      <c r="R4049" s="121"/>
      <c r="S4049" s="120"/>
      <c r="T4049" s="121"/>
      <c r="U4049" s="120"/>
      <c r="V4049" s="123"/>
      <c r="W4049" s="125"/>
      <c r="X4049" s="142" t="s">
        <v>1861</v>
      </c>
      <c r="Y4049" s="143"/>
      <c r="Z4049" s="143"/>
      <c r="AA4049" s="143"/>
      <c r="AB4049" s="144"/>
      <c r="AC4049" s="16" t="s">
        <v>21</v>
      </c>
      <c r="AD4049" s="17" t="s">
        <v>13052</v>
      </c>
      <c r="AE4049" s="145" t="s">
        <v>1742</v>
      </c>
      <c r="AF4049" s="146"/>
      <c r="AG4049" s="146"/>
      <c r="AH4049" s="146"/>
      <c r="AI4049" s="147"/>
      <c r="AJ4049" s="148"/>
      <c r="AK4049" s="143"/>
      <c r="AL4049" s="144"/>
      <c r="AM4049" s="22"/>
      <c r="AN4049" s="149" t="s">
        <v>2511</v>
      </c>
      <c r="AO4049" s="144"/>
      <c r="AP4049" s="148">
        <v>80044</v>
      </c>
      <c r="AQ4049" s="144"/>
      <c r="AR4049" s="120"/>
      <c r="AS4049" s="121"/>
      <c r="AT4049" s="120"/>
      <c r="AU4049" s="121"/>
      <c r="AV4049" s="120"/>
      <c r="AW4049" s="121"/>
      <c r="AX4049" s="120"/>
      <c r="AY4049" s="121"/>
      <c r="AZ4049" s="138"/>
    </row>
    <row r="4050" spans="1:52" ht="17.100000000000001" customHeight="1" thickTop="1">
      <c r="A4050" s="109" t="s">
        <v>12439</v>
      </c>
      <c r="B4050" s="28">
        <v>45995</v>
      </c>
      <c r="C4050" s="25">
        <v>1309</v>
      </c>
      <c r="D4050" s="13" t="s">
        <v>1767</v>
      </c>
      <c r="E4050" s="111"/>
      <c r="F4050" s="113" t="s">
        <v>1871</v>
      </c>
      <c r="G4050" s="114"/>
      <c r="H4050" s="115"/>
      <c r="I4050" s="24"/>
      <c r="J4050" s="116">
        <v>4</v>
      </c>
      <c r="K4050" s="118">
        <v>420000</v>
      </c>
      <c r="L4050" s="119"/>
      <c r="M4050" s="118">
        <f t="shared" ref="M4050" si="4079">K4050*0.1</f>
        <v>42000</v>
      </c>
      <c r="N4050" s="119"/>
      <c r="O4050" s="118">
        <v>0</v>
      </c>
      <c r="P4050" s="119"/>
      <c r="Q4050" s="118">
        <v>18960</v>
      </c>
      <c r="R4050" s="119"/>
      <c r="S4050" s="118">
        <v>14300</v>
      </c>
      <c r="T4050" s="119"/>
      <c r="U4050" s="118">
        <f t="shared" ref="U4050" si="4080">SUM(K4050:T4051)</f>
        <v>495260</v>
      </c>
      <c r="V4050" s="122"/>
      <c r="W4050" s="124"/>
      <c r="X4050" s="126" t="s">
        <v>13194</v>
      </c>
      <c r="Y4050" s="127"/>
      <c r="Z4050" s="127"/>
      <c r="AA4050" s="127"/>
      <c r="AB4050" s="128"/>
      <c r="AC4050" s="15" t="s">
        <v>20</v>
      </c>
      <c r="AD4050" s="129"/>
      <c r="AE4050" s="130"/>
      <c r="AF4050" s="130"/>
      <c r="AG4050" s="130"/>
      <c r="AH4050" s="130"/>
      <c r="AI4050" s="131"/>
      <c r="AJ4050" s="132"/>
      <c r="AK4050" s="127"/>
      <c r="AL4050" s="128"/>
      <c r="AM4050" s="21"/>
      <c r="AN4050" s="133">
        <v>46004</v>
      </c>
      <c r="AO4050" s="134"/>
      <c r="AP4050" s="135">
        <v>1280</v>
      </c>
      <c r="AQ4050" s="136"/>
      <c r="AR4050" s="118">
        <v>605000</v>
      </c>
      <c r="AS4050" s="119"/>
      <c r="AT4050" s="118">
        <f t="shared" ref="AT4050" si="4081">AR4050*0.1</f>
        <v>60500</v>
      </c>
      <c r="AU4050" s="119"/>
      <c r="AV4050" s="118">
        <v>18960</v>
      </c>
      <c r="AW4050" s="119"/>
      <c r="AX4050" s="118">
        <f t="shared" ref="AX4050" si="4082">SUM(AR4050:AW4050)</f>
        <v>684460</v>
      </c>
      <c r="AY4050" s="119"/>
      <c r="AZ4050" s="137">
        <v>46007</v>
      </c>
    </row>
    <row r="4051" spans="1:52" ht="17.100000000000001" customHeight="1" thickBot="1">
      <c r="A4051" s="110"/>
      <c r="B4051" s="27" t="s">
        <v>1747</v>
      </c>
      <c r="C4051" s="27">
        <v>844</v>
      </c>
      <c r="D4051" s="14" t="s">
        <v>275</v>
      </c>
      <c r="E4051" s="112"/>
      <c r="F4051" s="139" t="s">
        <v>12450</v>
      </c>
      <c r="G4051" s="140"/>
      <c r="H4051" s="141"/>
      <c r="I4051" s="26">
        <v>47795</v>
      </c>
      <c r="J4051" s="117"/>
      <c r="K4051" s="120"/>
      <c r="L4051" s="121"/>
      <c r="M4051" s="120"/>
      <c r="N4051" s="121"/>
      <c r="O4051" s="120"/>
      <c r="P4051" s="121"/>
      <c r="Q4051" s="120"/>
      <c r="R4051" s="121"/>
      <c r="S4051" s="120"/>
      <c r="T4051" s="121"/>
      <c r="U4051" s="120"/>
      <c r="V4051" s="123"/>
      <c r="W4051" s="125"/>
      <c r="X4051" s="142" t="s">
        <v>1861</v>
      </c>
      <c r="Y4051" s="143"/>
      <c r="Z4051" s="143"/>
      <c r="AA4051" s="143"/>
      <c r="AB4051" s="144"/>
      <c r="AC4051" s="16" t="s">
        <v>21</v>
      </c>
      <c r="AD4051" s="17" t="s">
        <v>13052</v>
      </c>
      <c r="AE4051" s="145" t="s">
        <v>2441</v>
      </c>
      <c r="AF4051" s="146"/>
      <c r="AG4051" s="146"/>
      <c r="AH4051" s="146"/>
      <c r="AI4051" s="147"/>
      <c r="AJ4051" s="148"/>
      <c r="AK4051" s="143"/>
      <c r="AL4051" s="144"/>
      <c r="AM4051" s="22"/>
      <c r="AN4051" s="149" t="s">
        <v>2511</v>
      </c>
      <c r="AO4051" s="144"/>
      <c r="AP4051" s="148">
        <v>80061</v>
      </c>
      <c r="AQ4051" s="144"/>
      <c r="AR4051" s="120"/>
      <c r="AS4051" s="121"/>
      <c r="AT4051" s="120"/>
      <c r="AU4051" s="121"/>
      <c r="AV4051" s="120"/>
      <c r="AW4051" s="121"/>
      <c r="AX4051" s="120"/>
      <c r="AY4051" s="121"/>
      <c r="AZ4051" s="138"/>
    </row>
    <row r="4052" spans="1:52" ht="17.100000000000001" customHeight="1" thickTop="1">
      <c r="A4052" s="109" t="s">
        <v>12440</v>
      </c>
      <c r="B4052" s="28">
        <v>45995</v>
      </c>
      <c r="C4052" s="25">
        <v>2137</v>
      </c>
      <c r="D4052" s="13" t="s">
        <v>1640</v>
      </c>
      <c r="E4052" s="111"/>
      <c r="F4052" s="113" t="s">
        <v>12504</v>
      </c>
      <c r="G4052" s="114"/>
      <c r="H4052" s="115"/>
      <c r="I4052" s="24"/>
      <c r="J4052" s="116">
        <v>4</v>
      </c>
      <c r="K4052" s="118">
        <v>423000</v>
      </c>
      <c r="L4052" s="119"/>
      <c r="M4052" s="118">
        <f t="shared" ref="M4052" si="4083">K4052*0.1</f>
        <v>42300</v>
      </c>
      <c r="N4052" s="119"/>
      <c r="O4052" s="118">
        <v>0</v>
      </c>
      <c r="P4052" s="119"/>
      <c r="Q4052" s="118">
        <v>9200</v>
      </c>
      <c r="R4052" s="119"/>
      <c r="S4052" s="118">
        <v>14300</v>
      </c>
      <c r="T4052" s="119"/>
      <c r="U4052" s="118">
        <f t="shared" ref="U4052" si="4084">SUM(K4052:T4053)</f>
        <v>488800</v>
      </c>
      <c r="V4052" s="122"/>
      <c r="W4052" s="124"/>
      <c r="X4052" s="126" t="s">
        <v>13028</v>
      </c>
      <c r="Y4052" s="127"/>
      <c r="Z4052" s="127"/>
      <c r="AA4052" s="127"/>
      <c r="AB4052" s="128"/>
      <c r="AC4052" s="15" t="s">
        <v>20</v>
      </c>
      <c r="AD4052" s="129"/>
      <c r="AE4052" s="130"/>
      <c r="AF4052" s="130"/>
      <c r="AG4052" s="130"/>
      <c r="AH4052" s="130"/>
      <c r="AI4052" s="131"/>
      <c r="AJ4052" s="132"/>
      <c r="AK4052" s="127"/>
      <c r="AL4052" s="128"/>
      <c r="AM4052" s="21"/>
      <c r="AN4052" s="133">
        <v>46001</v>
      </c>
      <c r="AO4052" s="134"/>
      <c r="AP4052" s="135">
        <v>996</v>
      </c>
      <c r="AQ4052" s="136"/>
      <c r="AR4052" s="118">
        <v>500000</v>
      </c>
      <c r="AS4052" s="119"/>
      <c r="AT4052" s="118">
        <f t="shared" ref="AT4052" si="4085">AR4052*0.1</f>
        <v>50000</v>
      </c>
      <c r="AU4052" s="119"/>
      <c r="AV4052" s="118">
        <v>9200</v>
      </c>
      <c r="AW4052" s="119"/>
      <c r="AX4052" s="118">
        <f t="shared" ref="AX4052" si="4086">SUM(AR4052:AW4052)</f>
        <v>559200</v>
      </c>
      <c r="AY4052" s="119"/>
      <c r="AZ4052" s="137">
        <v>46006</v>
      </c>
    </row>
    <row r="4053" spans="1:52" ht="17.100000000000001" customHeight="1" thickBot="1">
      <c r="A4053" s="110"/>
      <c r="B4053" s="27" t="s">
        <v>3281</v>
      </c>
      <c r="C4053" s="27">
        <v>2120</v>
      </c>
      <c r="D4053" s="14" t="s">
        <v>1635</v>
      </c>
      <c r="E4053" s="112"/>
      <c r="F4053" s="139" t="s">
        <v>12465</v>
      </c>
      <c r="G4053" s="140"/>
      <c r="H4053" s="141"/>
      <c r="I4053" s="26">
        <v>58700</v>
      </c>
      <c r="J4053" s="117"/>
      <c r="K4053" s="120"/>
      <c r="L4053" s="121"/>
      <c r="M4053" s="120"/>
      <c r="N4053" s="121"/>
      <c r="O4053" s="120"/>
      <c r="P4053" s="121"/>
      <c r="Q4053" s="120"/>
      <c r="R4053" s="121"/>
      <c r="S4053" s="120"/>
      <c r="T4053" s="121"/>
      <c r="U4053" s="120"/>
      <c r="V4053" s="123"/>
      <c r="W4053" s="125"/>
      <c r="X4053" s="142" t="s">
        <v>13029</v>
      </c>
      <c r="Y4053" s="143"/>
      <c r="Z4053" s="143"/>
      <c r="AA4053" s="143"/>
      <c r="AB4053" s="144"/>
      <c r="AC4053" s="16" t="s">
        <v>21</v>
      </c>
      <c r="AD4053" s="17" t="s">
        <v>3439</v>
      </c>
      <c r="AE4053" s="145" t="s">
        <v>171</v>
      </c>
      <c r="AF4053" s="146"/>
      <c r="AG4053" s="146"/>
      <c r="AH4053" s="146"/>
      <c r="AI4053" s="147"/>
      <c r="AJ4053" s="148"/>
      <c r="AK4053" s="143"/>
      <c r="AL4053" s="144"/>
      <c r="AM4053" s="22"/>
      <c r="AN4053" s="149" t="s">
        <v>2794</v>
      </c>
      <c r="AO4053" s="144"/>
      <c r="AP4053" s="148">
        <v>2048</v>
      </c>
      <c r="AQ4053" s="144"/>
      <c r="AR4053" s="120"/>
      <c r="AS4053" s="121"/>
      <c r="AT4053" s="120"/>
      <c r="AU4053" s="121"/>
      <c r="AV4053" s="120"/>
      <c r="AW4053" s="121"/>
      <c r="AX4053" s="120"/>
      <c r="AY4053" s="121"/>
      <c r="AZ4053" s="138"/>
    </row>
    <row r="4054" spans="1:52" ht="17.100000000000001" customHeight="1" thickTop="1">
      <c r="A4054" s="109" t="s">
        <v>12441</v>
      </c>
      <c r="B4054" s="28">
        <v>45995</v>
      </c>
      <c r="C4054" s="25">
        <v>2137</v>
      </c>
      <c r="D4054" s="13" t="s">
        <v>1906</v>
      </c>
      <c r="E4054" s="111"/>
      <c r="F4054" s="113" t="s">
        <v>4383</v>
      </c>
      <c r="G4054" s="114"/>
      <c r="H4054" s="115"/>
      <c r="I4054" s="24" t="s">
        <v>3585</v>
      </c>
      <c r="J4054" s="116">
        <v>4.5</v>
      </c>
      <c r="K4054" s="118">
        <v>862000</v>
      </c>
      <c r="L4054" s="119"/>
      <c r="M4054" s="118">
        <f t="shared" ref="M4054" si="4087">K4054*0.1</f>
        <v>86200</v>
      </c>
      <c r="N4054" s="119"/>
      <c r="O4054" s="118">
        <v>0</v>
      </c>
      <c r="P4054" s="119"/>
      <c r="Q4054" s="118">
        <v>5670</v>
      </c>
      <c r="R4054" s="119"/>
      <c r="S4054" s="118">
        <v>14300</v>
      </c>
      <c r="T4054" s="119"/>
      <c r="U4054" s="118">
        <f t="shared" ref="U4054" si="4088">SUM(K4054:T4055)</f>
        <v>968170</v>
      </c>
      <c r="V4054" s="122"/>
      <c r="W4054" s="124"/>
      <c r="X4054" s="126" t="s">
        <v>13726</v>
      </c>
      <c r="Y4054" s="127"/>
      <c r="Z4054" s="127"/>
      <c r="AA4054" s="127"/>
      <c r="AB4054" s="128"/>
      <c r="AC4054" s="15" t="s">
        <v>20</v>
      </c>
      <c r="AD4054" s="129"/>
      <c r="AE4054" s="130"/>
      <c r="AF4054" s="130"/>
      <c r="AG4054" s="130"/>
      <c r="AH4054" s="130"/>
      <c r="AI4054" s="131"/>
      <c r="AJ4054" s="132"/>
      <c r="AK4054" s="127"/>
      <c r="AL4054" s="128"/>
      <c r="AM4054" s="21"/>
      <c r="AN4054" s="133">
        <v>46050</v>
      </c>
      <c r="AO4054" s="134"/>
      <c r="AP4054" s="135">
        <v>1002</v>
      </c>
      <c r="AQ4054" s="136"/>
      <c r="AR4054" s="118">
        <v>910000</v>
      </c>
      <c r="AS4054" s="119"/>
      <c r="AT4054" s="118">
        <f t="shared" ref="AT4054" si="4089">AR4054*0.1</f>
        <v>91000</v>
      </c>
      <c r="AU4054" s="119"/>
      <c r="AV4054" s="118">
        <v>5670</v>
      </c>
      <c r="AW4054" s="119"/>
      <c r="AX4054" s="118">
        <f t="shared" ref="AX4054" si="4090">SUM(AR4054:AW4054)</f>
        <v>1006670</v>
      </c>
      <c r="AY4054" s="119"/>
      <c r="AZ4054" s="137">
        <v>46056</v>
      </c>
    </row>
    <row r="4055" spans="1:52" ht="17.100000000000001" customHeight="1" thickBot="1">
      <c r="A4055" s="110"/>
      <c r="B4055" s="27" t="s">
        <v>3281</v>
      </c>
      <c r="C4055" s="27">
        <v>2152</v>
      </c>
      <c r="D4055" s="14" t="s">
        <v>3327</v>
      </c>
      <c r="E4055" s="112"/>
      <c r="F4055" s="139" t="s">
        <v>12466</v>
      </c>
      <c r="G4055" s="140"/>
      <c r="H4055" s="141"/>
      <c r="I4055" s="26">
        <v>43090</v>
      </c>
      <c r="J4055" s="117"/>
      <c r="K4055" s="120"/>
      <c r="L4055" s="121"/>
      <c r="M4055" s="120"/>
      <c r="N4055" s="121"/>
      <c r="O4055" s="120"/>
      <c r="P4055" s="121"/>
      <c r="Q4055" s="120"/>
      <c r="R4055" s="121"/>
      <c r="S4055" s="120"/>
      <c r="T4055" s="121"/>
      <c r="U4055" s="120"/>
      <c r="V4055" s="123"/>
      <c r="W4055" s="125"/>
      <c r="X4055" s="142" t="s">
        <v>13727</v>
      </c>
      <c r="Y4055" s="143"/>
      <c r="Z4055" s="143"/>
      <c r="AA4055" s="143"/>
      <c r="AB4055" s="144"/>
      <c r="AC4055" s="16" t="s">
        <v>21</v>
      </c>
      <c r="AD4055" s="17" t="s">
        <v>1783</v>
      </c>
      <c r="AE4055" s="145" t="s">
        <v>8916</v>
      </c>
      <c r="AF4055" s="146"/>
      <c r="AG4055" s="146"/>
      <c r="AH4055" s="146"/>
      <c r="AI4055" s="147"/>
      <c r="AJ4055" s="148"/>
      <c r="AK4055" s="143"/>
      <c r="AL4055" s="144"/>
      <c r="AM4055" s="22"/>
      <c r="AN4055" s="149" t="s">
        <v>8809</v>
      </c>
      <c r="AO4055" s="144"/>
      <c r="AP4055" s="148">
        <v>2049</v>
      </c>
      <c r="AQ4055" s="144"/>
      <c r="AR4055" s="120"/>
      <c r="AS4055" s="121"/>
      <c r="AT4055" s="120"/>
      <c r="AU4055" s="121"/>
      <c r="AV4055" s="120"/>
      <c r="AW4055" s="121"/>
      <c r="AX4055" s="120"/>
      <c r="AY4055" s="121"/>
      <c r="AZ4055" s="138"/>
    </row>
    <row r="4056" spans="1:52" ht="17.100000000000001" customHeight="1" thickTop="1">
      <c r="A4056" s="109" t="s">
        <v>12442</v>
      </c>
      <c r="B4056" s="28">
        <v>45995</v>
      </c>
      <c r="C4056" s="25">
        <v>2137</v>
      </c>
      <c r="D4056" s="13" t="s">
        <v>1714</v>
      </c>
      <c r="E4056" s="111"/>
      <c r="F4056" s="113" t="s">
        <v>12505</v>
      </c>
      <c r="G4056" s="114"/>
      <c r="H4056" s="115"/>
      <c r="I4056" s="24" t="s">
        <v>12506</v>
      </c>
      <c r="J4056" s="116">
        <v>4.5</v>
      </c>
      <c r="K4056" s="118">
        <v>1154000</v>
      </c>
      <c r="L4056" s="119"/>
      <c r="M4056" s="118">
        <f t="shared" ref="M4056" si="4091">K4056*0.1</f>
        <v>115400</v>
      </c>
      <c r="N4056" s="119"/>
      <c r="O4056" s="118">
        <v>0</v>
      </c>
      <c r="P4056" s="119"/>
      <c r="Q4056" s="118">
        <v>8790</v>
      </c>
      <c r="R4056" s="119"/>
      <c r="S4056" s="118">
        <v>14300</v>
      </c>
      <c r="T4056" s="119"/>
      <c r="U4056" s="118">
        <f t="shared" ref="U4056" si="4092">SUM(K4056:T4057)</f>
        <v>1292490</v>
      </c>
      <c r="V4056" s="122"/>
      <c r="W4056" s="124"/>
      <c r="X4056" s="126" t="s">
        <v>13067</v>
      </c>
      <c r="Y4056" s="127"/>
      <c r="Z4056" s="127"/>
      <c r="AA4056" s="127"/>
      <c r="AB4056" s="128"/>
      <c r="AC4056" s="15" t="s">
        <v>20</v>
      </c>
      <c r="AD4056" s="129" t="s">
        <v>1670</v>
      </c>
      <c r="AE4056" s="130"/>
      <c r="AF4056" s="130"/>
      <c r="AG4056" s="130"/>
      <c r="AH4056" s="130"/>
      <c r="AI4056" s="131"/>
      <c r="AJ4056" s="132"/>
      <c r="AK4056" s="127"/>
      <c r="AL4056" s="128"/>
      <c r="AM4056" s="21"/>
      <c r="AN4056" s="133">
        <v>46014</v>
      </c>
      <c r="AO4056" s="134"/>
      <c r="AP4056" s="135">
        <v>1923</v>
      </c>
      <c r="AQ4056" s="136"/>
      <c r="AR4056" s="118">
        <v>1170000</v>
      </c>
      <c r="AS4056" s="119"/>
      <c r="AT4056" s="118">
        <f t="shared" ref="AT4056" si="4093">AR4056*0.1</f>
        <v>117000</v>
      </c>
      <c r="AU4056" s="119"/>
      <c r="AV4056" s="118">
        <v>8790</v>
      </c>
      <c r="AW4056" s="119"/>
      <c r="AX4056" s="118">
        <f t="shared" ref="AX4056" si="4094">SUM(AR4056:AW4056)</f>
        <v>1295790</v>
      </c>
      <c r="AY4056" s="119"/>
      <c r="AZ4056" s="137">
        <v>46020</v>
      </c>
    </row>
    <row r="4057" spans="1:52" ht="17.100000000000001" customHeight="1" thickBot="1">
      <c r="A4057" s="110"/>
      <c r="B4057" s="27" t="s">
        <v>3281</v>
      </c>
      <c r="C4057" s="27">
        <v>2154</v>
      </c>
      <c r="D4057" s="14" t="s">
        <v>2800</v>
      </c>
      <c r="E4057" s="112"/>
      <c r="F4057" s="139" t="s">
        <v>12467</v>
      </c>
      <c r="G4057" s="140"/>
      <c r="H4057" s="141"/>
      <c r="I4057" s="26">
        <v>29000</v>
      </c>
      <c r="J4057" s="117"/>
      <c r="K4057" s="120"/>
      <c r="L4057" s="121"/>
      <c r="M4057" s="120"/>
      <c r="N4057" s="121"/>
      <c r="O4057" s="120"/>
      <c r="P4057" s="121"/>
      <c r="Q4057" s="120"/>
      <c r="R4057" s="121"/>
      <c r="S4057" s="120"/>
      <c r="T4057" s="121"/>
      <c r="U4057" s="120"/>
      <c r="V4057" s="123"/>
      <c r="W4057" s="125"/>
      <c r="X4057" s="142" t="s">
        <v>13068</v>
      </c>
      <c r="Y4057" s="143"/>
      <c r="Z4057" s="143"/>
      <c r="AA4057" s="143"/>
      <c r="AB4057" s="144"/>
      <c r="AC4057" s="16" t="s">
        <v>21</v>
      </c>
      <c r="AD4057" s="17" t="s">
        <v>13052</v>
      </c>
      <c r="AE4057" s="145" t="s">
        <v>1670</v>
      </c>
      <c r="AF4057" s="146"/>
      <c r="AG4057" s="146"/>
      <c r="AH4057" s="146"/>
      <c r="AI4057" s="147"/>
      <c r="AJ4057" s="148"/>
      <c r="AK4057" s="143"/>
      <c r="AL4057" s="144"/>
      <c r="AM4057" s="22"/>
      <c r="AN4057" s="149" t="s">
        <v>2131</v>
      </c>
      <c r="AO4057" s="144"/>
      <c r="AP4057" s="148">
        <v>3141</v>
      </c>
      <c r="AQ4057" s="144"/>
      <c r="AR4057" s="120"/>
      <c r="AS4057" s="121"/>
      <c r="AT4057" s="120"/>
      <c r="AU4057" s="121"/>
      <c r="AV4057" s="120"/>
      <c r="AW4057" s="121"/>
      <c r="AX4057" s="120"/>
      <c r="AY4057" s="121"/>
      <c r="AZ4057" s="138"/>
    </row>
    <row r="4058" spans="1:52" ht="17.100000000000001" customHeight="1" thickTop="1">
      <c r="A4058" s="109" t="s">
        <v>12443</v>
      </c>
      <c r="B4058" s="28">
        <v>45995</v>
      </c>
      <c r="C4058" s="25">
        <v>2137</v>
      </c>
      <c r="D4058" s="13" t="s">
        <v>12507</v>
      </c>
      <c r="E4058" s="111"/>
      <c r="F4058" s="113" t="s">
        <v>12508</v>
      </c>
      <c r="G4058" s="114"/>
      <c r="H4058" s="115"/>
      <c r="I4058" s="24"/>
      <c r="J4058" s="116">
        <v>3.5</v>
      </c>
      <c r="K4058" s="118">
        <v>261000</v>
      </c>
      <c r="L4058" s="119"/>
      <c r="M4058" s="118">
        <f t="shared" ref="M4058" si="4095">K4058*0.1</f>
        <v>26100</v>
      </c>
      <c r="N4058" s="119"/>
      <c r="O4058" s="118">
        <v>0</v>
      </c>
      <c r="P4058" s="119"/>
      <c r="Q4058" s="118">
        <v>10070</v>
      </c>
      <c r="R4058" s="119"/>
      <c r="S4058" s="118">
        <v>14300</v>
      </c>
      <c r="T4058" s="119"/>
      <c r="U4058" s="118">
        <f t="shared" ref="U4058" si="4096">SUM(K4058:T4059)</f>
        <v>311470</v>
      </c>
      <c r="V4058" s="122"/>
      <c r="W4058" s="124"/>
      <c r="X4058" s="126" t="s">
        <v>13065</v>
      </c>
      <c r="Y4058" s="127"/>
      <c r="Z4058" s="127"/>
      <c r="AA4058" s="127"/>
      <c r="AB4058" s="128"/>
      <c r="AC4058" s="15" t="s">
        <v>20</v>
      </c>
      <c r="AD4058" s="129"/>
      <c r="AE4058" s="130"/>
      <c r="AF4058" s="130"/>
      <c r="AG4058" s="130"/>
      <c r="AH4058" s="130"/>
      <c r="AI4058" s="131"/>
      <c r="AJ4058" s="132"/>
      <c r="AK4058" s="127"/>
      <c r="AL4058" s="128"/>
      <c r="AM4058" s="21"/>
      <c r="AN4058" s="133">
        <v>46008</v>
      </c>
      <c r="AO4058" s="134"/>
      <c r="AP4058" s="135">
        <v>997</v>
      </c>
      <c r="AQ4058" s="136"/>
      <c r="AR4058" s="118">
        <v>340000</v>
      </c>
      <c r="AS4058" s="119"/>
      <c r="AT4058" s="118">
        <f t="shared" ref="AT4058" si="4097">AR4058*0.1</f>
        <v>34000</v>
      </c>
      <c r="AU4058" s="119"/>
      <c r="AV4058" s="118">
        <v>10070</v>
      </c>
      <c r="AW4058" s="119"/>
      <c r="AX4058" s="118">
        <f t="shared" ref="AX4058" si="4098">SUM(AR4058:AW4058)</f>
        <v>384070</v>
      </c>
      <c r="AY4058" s="119"/>
      <c r="AZ4058" s="137">
        <v>46015</v>
      </c>
    </row>
    <row r="4059" spans="1:52" ht="17.100000000000001" customHeight="1" thickBot="1">
      <c r="A4059" s="110"/>
      <c r="B4059" s="27" t="s">
        <v>3281</v>
      </c>
      <c r="C4059" s="27">
        <v>2157</v>
      </c>
      <c r="D4059" s="14" t="s">
        <v>1720</v>
      </c>
      <c r="E4059" s="112"/>
      <c r="F4059" s="139" t="s">
        <v>12468</v>
      </c>
      <c r="G4059" s="140"/>
      <c r="H4059" s="141"/>
      <c r="I4059" s="26">
        <v>75633</v>
      </c>
      <c r="J4059" s="117"/>
      <c r="K4059" s="120"/>
      <c r="L4059" s="121"/>
      <c r="M4059" s="120"/>
      <c r="N4059" s="121"/>
      <c r="O4059" s="120"/>
      <c r="P4059" s="121"/>
      <c r="Q4059" s="120"/>
      <c r="R4059" s="121"/>
      <c r="S4059" s="120"/>
      <c r="T4059" s="121"/>
      <c r="U4059" s="120"/>
      <c r="V4059" s="123"/>
      <c r="W4059" s="125"/>
      <c r="X4059" s="142" t="s">
        <v>13066</v>
      </c>
      <c r="Y4059" s="143"/>
      <c r="Z4059" s="143"/>
      <c r="AA4059" s="143"/>
      <c r="AB4059" s="144"/>
      <c r="AC4059" s="16" t="s">
        <v>21</v>
      </c>
      <c r="AD4059" s="17" t="s">
        <v>12921</v>
      </c>
      <c r="AE4059" s="145"/>
      <c r="AF4059" s="146"/>
      <c r="AG4059" s="146"/>
      <c r="AH4059" s="146"/>
      <c r="AI4059" s="147"/>
      <c r="AJ4059" s="148"/>
      <c r="AK4059" s="143"/>
      <c r="AL4059" s="144"/>
      <c r="AM4059" s="22"/>
      <c r="AN4059" s="149" t="s">
        <v>7285</v>
      </c>
      <c r="AO4059" s="144"/>
      <c r="AP4059" s="148">
        <v>2014</v>
      </c>
      <c r="AQ4059" s="144"/>
      <c r="AR4059" s="120"/>
      <c r="AS4059" s="121"/>
      <c r="AT4059" s="120"/>
      <c r="AU4059" s="121"/>
      <c r="AV4059" s="120"/>
      <c r="AW4059" s="121"/>
      <c r="AX4059" s="120"/>
      <c r="AY4059" s="121"/>
      <c r="AZ4059" s="138"/>
    </row>
    <row r="4060" spans="1:52" ht="17.100000000000001" customHeight="1" thickTop="1">
      <c r="A4060" s="109" t="s">
        <v>12444</v>
      </c>
      <c r="B4060" s="28">
        <v>45995</v>
      </c>
      <c r="C4060" s="25">
        <v>2137</v>
      </c>
      <c r="D4060" s="13" t="s">
        <v>1642</v>
      </c>
      <c r="E4060" s="111"/>
      <c r="F4060" s="113" t="s">
        <v>12509</v>
      </c>
      <c r="G4060" s="114"/>
      <c r="H4060" s="115"/>
      <c r="I4060" s="24" t="s">
        <v>8228</v>
      </c>
      <c r="J4060" s="116">
        <v>4.5</v>
      </c>
      <c r="K4060" s="118">
        <v>790000</v>
      </c>
      <c r="L4060" s="119"/>
      <c r="M4060" s="118">
        <f t="shared" ref="M4060" si="4099">K4060*0.1</f>
        <v>79000</v>
      </c>
      <c r="N4060" s="119"/>
      <c r="O4060" s="118">
        <v>0</v>
      </c>
      <c r="P4060" s="119"/>
      <c r="Q4060" s="118">
        <v>8510</v>
      </c>
      <c r="R4060" s="119"/>
      <c r="S4060" s="118">
        <v>14300</v>
      </c>
      <c r="T4060" s="119"/>
      <c r="U4060" s="118">
        <f t="shared" ref="U4060" si="4100">SUM(K4060:T4061)</f>
        <v>891810</v>
      </c>
      <c r="V4060" s="122"/>
      <c r="W4060" s="124"/>
      <c r="X4060" s="126" t="s">
        <v>13050</v>
      </c>
      <c r="Y4060" s="127"/>
      <c r="Z4060" s="127"/>
      <c r="AA4060" s="127"/>
      <c r="AB4060" s="128"/>
      <c r="AC4060" s="15" t="s">
        <v>20</v>
      </c>
      <c r="AD4060" s="129" t="s">
        <v>7043</v>
      </c>
      <c r="AE4060" s="130"/>
      <c r="AF4060" s="130"/>
      <c r="AG4060" s="130"/>
      <c r="AH4060" s="130"/>
      <c r="AI4060" s="131"/>
      <c r="AJ4060" s="132"/>
      <c r="AK4060" s="127"/>
      <c r="AL4060" s="128"/>
      <c r="AM4060" s="21"/>
      <c r="AN4060" s="133">
        <v>46001</v>
      </c>
      <c r="AO4060" s="134"/>
      <c r="AP4060" s="135">
        <v>996</v>
      </c>
      <c r="AQ4060" s="136"/>
      <c r="AR4060" s="118">
        <v>860000</v>
      </c>
      <c r="AS4060" s="119"/>
      <c r="AT4060" s="118">
        <f t="shared" ref="AT4060" si="4101">AR4060*0.1</f>
        <v>86000</v>
      </c>
      <c r="AU4060" s="119"/>
      <c r="AV4060" s="118">
        <v>8510</v>
      </c>
      <c r="AW4060" s="119"/>
      <c r="AX4060" s="118">
        <f t="shared" ref="AX4060" si="4102">SUM(AR4060:AW4060)</f>
        <v>954510</v>
      </c>
      <c r="AY4060" s="119"/>
      <c r="AZ4060" s="137">
        <v>46006</v>
      </c>
    </row>
    <row r="4061" spans="1:52" ht="17.100000000000001" customHeight="1" thickBot="1">
      <c r="A4061" s="110"/>
      <c r="B4061" s="27" t="s">
        <v>3281</v>
      </c>
      <c r="C4061" s="27">
        <v>2512</v>
      </c>
      <c r="D4061" s="14" t="s">
        <v>1592</v>
      </c>
      <c r="E4061" s="112"/>
      <c r="F4061" s="139" t="s">
        <v>12469</v>
      </c>
      <c r="G4061" s="140"/>
      <c r="H4061" s="141"/>
      <c r="I4061" s="26">
        <v>42400</v>
      </c>
      <c r="J4061" s="117"/>
      <c r="K4061" s="120"/>
      <c r="L4061" s="121"/>
      <c r="M4061" s="120"/>
      <c r="N4061" s="121"/>
      <c r="O4061" s="120"/>
      <c r="P4061" s="121"/>
      <c r="Q4061" s="120"/>
      <c r="R4061" s="121"/>
      <c r="S4061" s="120"/>
      <c r="T4061" s="121"/>
      <c r="U4061" s="120"/>
      <c r="V4061" s="123"/>
      <c r="W4061" s="125"/>
      <c r="X4061" s="142" t="s">
        <v>13051</v>
      </c>
      <c r="Y4061" s="143"/>
      <c r="Z4061" s="143"/>
      <c r="AA4061" s="143"/>
      <c r="AB4061" s="144"/>
      <c r="AC4061" s="16" t="s">
        <v>21</v>
      </c>
      <c r="AD4061" s="17" t="s">
        <v>13052</v>
      </c>
      <c r="AE4061" s="145" t="s">
        <v>7043</v>
      </c>
      <c r="AF4061" s="146"/>
      <c r="AG4061" s="146"/>
      <c r="AH4061" s="146"/>
      <c r="AI4061" s="147"/>
      <c r="AJ4061" s="148"/>
      <c r="AK4061" s="143"/>
      <c r="AL4061" s="144"/>
      <c r="AM4061" s="22"/>
      <c r="AN4061" s="149" t="s">
        <v>2794</v>
      </c>
      <c r="AO4061" s="144"/>
      <c r="AP4061" s="148">
        <v>2043</v>
      </c>
      <c r="AQ4061" s="144"/>
      <c r="AR4061" s="120"/>
      <c r="AS4061" s="121"/>
      <c r="AT4061" s="120"/>
      <c r="AU4061" s="121"/>
      <c r="AV4061" s="120"/>
      <c r="AW4061" s="121"/>
      <c r="AX4061" s="120"/>
      <c r="AY4061" s="121"/>
      <c r="AZ4061" s="138"/>
    </row>
    <row r="4062" spans="1:52" ht="17.100000000000001" customHeight="1" thickTop="1">
      <c r="A4062" s="109" t="s">
        <v>12445</v>
      </c>
      <c r="B4062" s="28">
        <v>45995</v>
      </c>
      <c r="C4062" s="25">
        <v>2137</v>
      </c>
      <c r="D4062" s="13" t="s">
        <v>3478</v>
      </c>
      <c r="E4062" s="111"/>
      <c r="F4062" s="113" t="s">
        <v>11603</v>
      </c>
      <c r="G4062" s="114"/>
      <c r="H4062" s="115"/>
      <c r="I4062" s="24" t="s">
        <v>12510</v>
      </c>
      <c r="J4062" s="116">
        <v>4.5</v>
      </c>
      <c r="K4062" s="118">
        <v>601000</v>
      </c>
      <c r="L4062" s="119"/>
      <c r="M4062" s="118">
        <f t="shared" ref="M4062" si="4103">K4062*0.1</f>
        <v>60100</v>
      </c>
      <c r="N4062" s="119"/>
      <c r="O4062" s="118">
        <v>0</v>
      </c>
      <c r="P4062" s="119"/>
      <c r="Q4062" s="118">
        <v>7510</v>
      </c>
      <c r="R4062" s="119"/>
      <c r="S4062" s="118">
        <v>14300</v>
      </c>
      <c r="T4062" s="119"/>
      <c r="U4062" s="118">
        <f t="shared" ref="U4062" si="4104">SUM(K4062:T4063)</f>
        <v>682910</v>
      </c>
      <c r="V4062" s="122"/>
      <c r="W4062" s="124"/>
      <c r="X4062" s="126" t="s">
        <v>13063</v>
      </c>
      <c r="Y4062" s="127"/>
      <c r="Z4062" s="127"/>
      <c r="AA4062" s="127"/>
      <c r="AB4062" s="128"/>
      <c r="AC4062" s="15" t="s">
        <v>20</v>
      </c>
      <c r="AD4062" s="129" t="s">
        <v>171</v>
      </c>
      <c r="AE4062" s="130"/>
      <c r="AF4062" s="130"/>
      <c r="AG4062" s="130"/>
      <c r="AH4062" s="130"/>
      <c r="AI4062" s="131"/>
      <c r="AJ4062" s="132"/>
      <c r="AK4062" s="127"/>
      <c r="AL4062" s="128"/>
      <c r="AM4062" s="21"/>
      <c r="AN4062" s="133">
        <v>46001</v>
      </c>
      <c r="AO4062" s="134"/>
      <c r="AP4062" s="135">
        <v>996</v>
      </c>
      <c r="AQ4062" s="136"/>
      <c r="AR4062" s="118">
        <v>680000</v>
      </c>
      <c r="AS4062" s="119"/>
      <c r="AT4062" s="118">
        <f t="shared" ref="AT4062" si="4105">AR4062*0.1</f>
        <v>68000</v>
      </c>
      <c r="AU4062" s="119"/>
      <c r="AV4062" s="118">
        <v>7510</v>
      </c>
      <c r="AW4062" s="119"/>
      <c r="AX4062" s="118">
        <f t="shared" ref="AX4062" si="4106">SUM(AR4062:AW4062)</f>
        <v>755510</v>
      </c>
      <c r="AY4062" s="119"/>
      <c r="AZ4062" s="137">
        <v>46007</v>
      </c>
    </row>
    <row r="4063" spans="1:52" ht="17.100000000000001" customHeight="1" thickBot="1">
      <c r="A4063" s="110"/>
      <c r="B4063" s="27" t="s">
        <v>3281</v>
      </c>
      <c r="C4063" s="27">
        <v>2552</v>
      </c>
      <c r="D4063" s="14" t="s">
        <v>275</v>
      </c>
      <c r="E4063" s="112"/>
      <c r="F4063" s="139" t="s">
        <v>12470</v>
      </c>
      <c r="G4063" s="140"/>
      <c r="H4063" s="141"/>
      <c r="I4063" s="26">
        <v>7980</v>
      </c>
      <c r="J4063" s="117"/>
      <c r="K4063" s="120"/>
      <c r="L4063" s="121"/>
      <c r="M4063" s="120"/>
      <c r="N4063" s="121"/>
      <c r="O4063" s="120"/>
      <c r="P4063" s="121"/>
      <c r="Q4063" s="120"/>
      <c r="R4063" s="121"/>
      <c r="S4063" s="120"/>
      <c r="T4063" s="121"/>
      <c r="U4063" s="120"/>
      <c r="V4063" s="123"/>
      <c r="W4063" s="125"/>
      <c r="X4063" s="142" t="s">
        <v>13064</v>
      </c>
      <c r="Y4063" s="143"/>
      <c r="Z4063" s="143"/>
      <c r="AA4063" s="143"/>
      <c r="AB4063" s="144"/>
      <c r="AC4063" s="16" t="s">
        <v>21</v>
      </c>
      <c r="AD4063" s="17" t="s">
        <v>12921</v>
      </c>
      <c r="AE4063" s="145" t="s">
        <v>171</v>
      </c>
      <c r="AF4063" s="146"/>
      <c r="AG4063" s="146"/>
      <c r="AH4063" s="146"/>
      <c r="AI4063" s="147"/>
      <c r="AJ4063" s="148"/>
      <c r="AK4063" s="143"/>
      <c r="AL4063" s="144"/>
      <c r="AM4063" s="22"/>
      <c r="AN4063" s="149" t="s">
        <v>7285</v>
      </c>
      <c r="AO4063" s="144"/>
      <c r="AP4063" s="148">
        <v>2047</v>
      </c>
      <c r="AQ4063" s="144"/>
      <c r="AR4063" s="120"/>
      <c r="AS4063" s="121"/>
      <c r="AT4063" s="120"/>
      <c r="AU4063" s="121"/>
      <c r="AV4063" s="120"/>
      <c r="AW4063" s="121"/>
      <c r="AX4063" s="120"/>
      <c r="AY4063" s="121"/>
      <c r="AZ4063" s="138"/>
    </row>
    <row r="4064" spans="1:52" ht="17.100000000000001" customHeight="1" thickTop="1">
      <c r="A4064" s="109" t="s">
        <v>12453</v>
      </c>
      <c r="B4064" s="28">
        <v>45995</v>
      </c>
      <c r="C4064" s="25">
        <v>2137</v>
      </c>
      <c r="D4064" s="13" t="s">
        <v>3921</v>
      </c>
      <c r="E4064" s="111"/>
      <c r="F4064" s="113" t="s">
        <v>12511</v>
      </c>
      <c r="G4064" s="114"/>
      <c r="H4064" s="115"/>
      <c r="I4064" s="24" t="s">
        <v>2533</v>
      </c>
      <c r="J4064" s="116">
        <v>4.5</v>
      </c>
      <c r="K4064" s="118">
        <v>991000</v>
      </c>
      <c r="L4064" s="119"/>
      <c r="M4064" s="118">
        <f t="shared" ref="M4064" si="4107">K4064*0.1</f>
        <v>99100</v>
      </c>
      <c r="N4064" s="119"/>
      <c r="O4064" s="118">
        <v>0</v>
      </c>
      <c r="P4064" s="119"/>
      <c r="Q4064" s="118">
        <v>8790</v>
      </c>
      <c r="R4064" s="119"/>
      <c r="S4064" s="118">
        <v>14300</v>
      </c>
      <c r="T4064" s="119"/>
      <c r="U4064" s="118">
        <f t="shared" ref="U4064" si="4108">SUM(K4064:T4065)</f>
        <v>1113190</v>
      </c>
      <c r="V4064" s="122"/>
      <c r="W4064" s="124"/>
      <c r="X4064" s="126" t="s">
        <v>13012</v>
      </c>
      <c r="Y4064" s="127"/>
      <c r="Z4064" s="127"/>
      <c r="AA4064" s="127"/>
      <c r="AB4064" s="128"/>
      <c r="AC4064" s="15" t="s">
        <v>20</v>
      </c>
      <c r="AD4064" s="129" t="s">
        <v>3896</v>
      </c>
      <c r="AE4064" s="130"/>
      <c r="AF4064" s="130"/>
      <c r="AG4064" s="130"/>
      <c r="AH4064" s="130"/>
      <c r="AI4064" s="131"/>
      <c r="AJ4064" s="132"/>
      <c r="AK4064" s="127"/>
      <c r="AL4064" s="128"/>
      <c r="AM4064" s="21"/>
      <c r="AN4064" s="133">
        <v>46000</v>
      </c>
      <c r="AO4064" s="134"/>
      <c r="AP4064" s="135">
        <v>1921</v>
      </c>
      <c r="AQ4064" s="136"/>
      <c r="AR4064" s="118">
        <v>1112000</v>
      </c>
      <c r="AS4064" s="119"/>
      <c r="AT4064" s="118">
        <f t="shared" ref="AT4064" si="4109">AR4064*0.1</f>
        <v>111200</v>
      </c>
      <c r="AU4064" s="119"/>
      <c r="AV4064" s="118">
        <v>8790</v>
      </c>
      <c r="AW4064" s="119"/>
      <c r="AX4064" s="118">
        <f t="shared" ref="AX4064" si="4110">SUM(AR4064:AW4064)</f>
        <v>1231990</v>
      </c>
      <c r="AY4064" s="119"/>
      <c r="AZ4064" s="137">
        <v>46006</v>
      </c>
    </row>
    <row r="4065" spans="1:52" ht="17.100000000000001" customHeight="1" thickBot="1">
      <c r="A4065" s="110"/>
      <c r="B4065" s="27" t="s">
        <v>3281</v>
      </c>
      <c r="C4065" s="27">
        <v>2557</v>
      </c>
      <c r="D4065" s="14" t="s">
        <v>2601</v>
      </c>
      <c r="E4065" s="112"/>
      <c r="F4065" s="139" t="s">
        <v>12471</v>
      </c>
      <c r="G4065" s="140"/>
      <c r="H4065" s="141"/>
      <c r="I4065" s="26">
        <v>59436</v>
      </c>
      <c r="J4065" s="117"/>
      <c r="K4065" s="120"/>
      <c r="L4065" s="121"/>
      <c r="M4065" s="120"/>
      <c r="N4065" s="121"/>
      <c r="O4065" s="120"/>
      <c r="P4065" s="121"/>
      <c r="Q4065" s="120"/>
      <c r="R4065" s="121"/>
      <c r="S4065" s="120"/>
      <c r="T4065" s="121"/>
      <c r="U4065" s="120"/>
      <c r="V4065" s="123"/>
      <c r="W4065" s="125"/>
      <c r="X4065" s="142" t="s">
        <v>13013</v>
      </c>
      <c r="Y4065" s="143"/>
      <c r="Z4065" s="143"/>
      <c r="AA4065" s="143"/>
      <c r="AB4065" s="144"/>
      <c r="AC4065" s="16" t="s">
        <v>21</v>
      </c>
      <c r="AD4065" s="17" t="s">
        <v>12921</v>
      </c>
      <c r="AE4065" s="145" t="s">
        <v>3896</v>
      </c>
      <c r="AF4065" s="146"/>
      <c r="AG4065" s="146"/>
      <c r="AH4065" s="146"/>
      <c r="AI4065" s="147"/>
      <c r="AJ4065" s="148"/>
      <c r="AK4065" s="143"/>
      <c r="AL4065" s="144"/>
      <c r="AM4065" s="22"/>
      <c r="AN4065" s="149" t="s">
        <v>2131</v>
      </c>
      <c r="AO4065" s="144"/>
      <c r="AP4065" s="148">
        <v>3369</v>
      </c>
      <c r="AQ4065" s="144"/>
      <c r="AR4065" s="120"/>
      <c r="AS4065" s="121"/>
      <c r="AT4065" s="120"/>
      <c r="AU4065" s="121"/>
      <c r="AV4065" s="120"/>
      <c r="AW4065" s="121"/>
      <c r="AX4065" s="120"/>
      <c r="AY4065" s="121"/>
      <c r="AZ4065" s="138"/>
    </row>
    <row r="4066" spans="1:52" ht="17.100000000000001" customHeight="1" thickTop="1">
      <c r="A4066" s="109" t="s">
        <v>12454</v>
      </c>
      <c r="B4066" s="28">
        <v>45995</v>
      </c>
      <c r="C4066" s="25">
        <v>2137</v>
      </c>
      <c r="D4066" s="13" t="s">
        <v>1776</v>
      </c>
      <c r="E4066" s="111"/>
      <c r="F4066" s="113" t="s">
        <v>12512</v>
      </c>
      <c r="G4066" s="114"/>
      <c r="H4066" s="115"/>
      <c r="I4066" s="24" t="s">
        <v>4246</v>
      </c>
      <c r="J4066" s="116">
        <v>4</v>
      </c>
      <c r="K4066" s="118">
        <v>761000</v>
      </c>
      <c r="L4066" s="119"/>
      <c r="M4066" s="118">
        <f t="shared" ref="M4066" si="4111">K4066*0.1</f>
        <v>76100</v>
      </c>
      <c r="N4066" s="119"/>
      <c r="O4066" s="118">
        <v>0</v>
      </c>
      <c r="P4066" s="119"/>
      <c r="Q4066" s="118">
        <v>8510</v>
      </c>
      <c r="R4066" s="119"/>
      <c r="S4066" s="118">
        <v>14300</v>
      </c>
      <c r="T4066" s="119"/>
      <c r="U4066" s="118">
        <f t="shared" ref="U4066" si="4112">SUM(K4066:T4067)</f>
        <v>859910</v>
      </c>
      <c r="V4066" s="122"/>
      <c r="W4066" s="124"/>
      <c r="X4066" s="126" t="s">
        <v>13061</v>
      </c>
      <c r="Y4066" s="127"/>
      <c r="Z4066" s="127"/>
      <c r="AA4066" s="127"/>
      <c r="AB4066" s="128"/>
      <c r="AC4066" s="15" t="s">
        <v>20</v>
      </c>
      <c r="AD4066" s="129" t="s">
        <v>1605</v>
      </c>
      <c r="AE4066" s="130"/>
      <c r="AF4066" s="130"/>
      <c r="AG4066" s="130"/>
      <c r="AH4066" s="130"/>
      <c r="AI4066" s="131"/>
      <c r="AJ4066" s="132"/>
      <c r="AK4066" s="127"/>
      <c r="AL4066" s="128"/>
      <c r="AM4066" s="21"/>
      <c r="AN4066" s="133"/>
      <c r="AO4066" s="134"/>
      <c r="AP4066" s="135"/>
      <c r="AQ4066" s="136"/>
      <c r="AR4066" s="118"/>
      <c r="AS4066" s="119"/>
      <c r="AT4066" s="118">
        <f t="shared" ref="AT4066" si="4113">AR4066*0.1</f>
        <v>0</v>
      </c>
      <c r="AU4066" s="119"/>
      <c r="AV4066" s="118"/>
      <c r="AW4066" s="119"/>
      <c r="AX4066" s="118">
        <f t="shared" ref="AX4066" si="4114">SUM(AR4066:AW4066)</f>
        <v>0</v>
      </c>
      <c r="AY4066" s="119"/>
      <c r="AZ4066" s="137"/>
    </row>
    <row r="4067" spans="1:52" ht="17.100000000000001" customHeight="1" thickBot="1">
      <c r="A4067" s="110"/>
      <c r="B4067" s="27" t="s">
        <v>3281</v>
      </c>
      <c r="C4067" s="27">
        <v>2567</v>
      </c>
      <c r="D4067" s="14" t="s">
        <v>275</v>
      </c>
      <c r="E4067" s="112"/>
      <c r="F4067" s="139" t="s">
        <v>12472</v>
      </c>
      <c r="G4067" s="140"/>
      <c r="H4067" s="141"/>
      <c r="I4067" s="26">
        <v>54669</v>
      </c>
      <c r="J4067" s="117"/>
      <c r="K4067" s="120"/>
      <c r="L4067" s="121"/>
      <c r="M4067" s="120"/>
      <c r="N4067" s="121"/>
      <c r="O4067" s="120"/>
      <c r="P4067" s="121"/>
      <c r="Q4067" s="120"/>
      <c r="R4067" s="121"/>
      <c r="S4067" s="120"/>
      <c r="T4067" s="121"/>
      <c r="U4067" s="120"/>
      <c r="V4067" s="123"/>
      <c r="W4067" s="125"/>
      <c r="X4067" s="142" t="s">
        <v>13062</v>
      </c>
      <c r="Y4067" s="143"/>
      <c r="Z4067" s="143"/>
      <c r="AA4067" s="143"/>
      <c r="AB4067" s="144"/>
      <c r="AC4067" s="16" t="s">
        <v>21</v>
      </c>
      <c r="AD4067" s="17" t="s">
        <v>12921</v>
      </c>
      <c r="AE4067" s="145" t="s">
        <v>13458</v>
      </c>
      <c r="AF4067" s="146"/>
      <c r="AG4067" s="146"/>
      <c r="AH4067" s="146"/>
      <c r="AI4067" s="147"/>
      <c r="AJ4067" s="148"/>
      <c r="AK4067" s="143"/>
      <c r="AL4067" s="144"/>
      <c r="AM4067" s="22"/>
      <c r="AN4067" s="149"/>
      <c r="AO4067" s="144"/>
      <c r="AP4067" s="148"/>
      <c r="AQ4067" s="144"/>
      <c r="AR4067" s="120"/>
      <c r="AS4067" s="121"/>
      <c r="AT4067" s="120"/>
      <c r="AU4067" s="121"/>
      <c r="AV4067" s="120"/>
      <c r="AW4067" s="121"/>
      <c r="AX4067" s="120"/>
      <c r="AY4067" s="121"/>
      <c r="AZ4067" s="138"/>
    </row>
    <row r="4068" spans="1:52" ht="17.100000000000001" customHeight="1" thickTop="1">
      <c r="A4068" s="109" t="s">
        <v>12455</v>
      </c>
      <c r="B4068" s="28">
        <v>45995</v>
      </c>
      <c r="C4068" s="25">
        <v>2137</v>
      </c>
      <c r="D4068" s="13" t="s">
        <v>1906</v>
      </c>
      <c r="E4068" s="111"/>
      <c r="F4068" s="113" t="s">
        <v>12513</v>
      </c>
      <c r="G4068" s="114"/>
      <c r="H4068" s="115"/>
      <c r="I4068" s="24" t="s">
        <v>8731</v>
      </c>
      <c r="J4068" s="116">
        <v>4.5</v>
      </c>
      <c r="K4068" s="118">
        <v>1256000</v>
      </c>
      <c r="L4068" s="119"/>
      <c r="M4068" s="118">
        <f t="shared" ref="M4068" si="4115">K4068*0.1</f>
        <v>125600</v>
      </c>
      <c r="N4068" s="119"/>
      <c r="O4068" s="118">
        <v>0</v>
      </c>
      <c r="P4068" s="119"/>
      <c r="Q4068" s="118">
        <v>8550</v>
      </c>
      <c r="R4068" s="119"/>
      <c r="S4068" s="118">
        <v>14300</v>
      </c>
      <c r="T4068" s="119"/>
      <c r="U4068" s="118">
        <f t="shared" ref="U4068" si="4116">SUM(K4068:T4069)</f>
        <v>1404450</v>
      </c>
      <c r="V4068" s="122"/>
      <c r="W4068" s="124"/>
      <c r="X4068" s="126" t="s">
        <v>13014</v>
      </c>
      <c r="Y4068" s="127"/>
      <c r="Z4068" s="127"/>
      <c r="AA4068" s="127"/>
      <c r="AB4068" s="128"/>
      <c r="AC4068" s="15" t="s">
        <v>20</v>
      </c>
      <c r="AD4068" s="129" t="s">
        <v>2385</v>
      </c>
      <c r="AE4068" s="130"/>
      <c r="AF4068" s="130"/>
      <c r="AG4068" s="130"/>
      <c r="AH4068" s="130"/>
      <c r="AI4068" s="131"/>
      <c r="AJ4068" s="132"/>
      <c r="AK4068" s="127"/>
      <c r="AL4068" s="128"/>
      <c r="AM4068" s="21"/>
      <c r="AN4068" s="133">
        <v>46000</v>
      </c>
      <c r="AO4068" s="134"/>
      <c r="AP4068" s="135">
        <v>1921</v>
      </c>
      <c r="AQ4068" s="136"/>
      <c r="AR4068" s="118">
        <v>1363000</v>
      </c>
      <c r="AS4068" s="119"/>
      <c r="AT4068" s="118">
        <f t="shared" ref="AT4068" si="4117">AR4068*0.1</f>
        <v>136300</v>
      </c>
      <c r="AU4068" s="119"/>
      <c r="AV4068" s="118">
        <v>8550</v>
      </c>
      <c r="AW4068" s="119"/>
      <c r="AX4068" s="118">
        <f t="shared" ref="AX4068" si="4118">SUM(AR4068:AW4068)</f>
        <v>1507850</v>
      </c>
      <c r="AY4068" s="119"/>
      <c r="AZ4068" s="137">
        <v>46006</v>
      </c>
    </row>
    <row r="4069" spans="1:52" ht="17.100000000000001" customHeight="1" thickBot="1">
      <c r="A4069" s="110"/>
      <c r="B4069" s="27" t="s">
        <v>3281</v>
      </c>
      <c r="C4069" s="27">
        <v>2589</v>
      </c>
      <c r="D4069" s="14" t="s">
        <v>2601</v>
      </c>
      <c r="E4069" s="112"/>
      <c r="F4069" s="139" t="s">
        <v>12474</v>
      </c>
      <c r="G4069" s="140"/>
      <c r="H4069" s="141"/>
      <c r="I4069" s="26">
        <v>16754</v>
      </c>
      <c r="J4069" s="117"/>
      <c r="K4069" s="120"/>
      <c r="L4069" s="121"/>
      <c r="M4069" s="120"/>
      <c r="N4069" s="121"/>
      <c r="O4069" s="120"/>
      <c r="P4069" s="121"/>
      <c r="Q4069" s="120"/>
      <c r="R4069" s="121"/>
      <c r="S4069" s="120"/>
      <c r="T4069" s="121"/>
      <c r="U4069" s="120"/>
      <c r="V4069" s="123"/>
      <c r="W4069" s="125"/>
      <c r="X4069" s="142" t="s">
        <v>13015</v>
      </c>
      <c r="Y4069" s="143"/>
      <c r="Z4069" s="143"/>
      <c r="AA4069" s="143"/>
      <c r="AB4069" s="144"/>
      <c r="AC4069" s="16" t="s">
        <v>21</v>
      </c>
      <c r="AD4069" s="17" t="s">
        <v>12921</v>
      </c>
      <c r="AE4069" s="145" t="s">
        <v>1742</v>
      </c>
      <c r="AF4069" s="146"/>
      <c r="AG4069" s="146"/>
      <c r="AH4069" s="146"/>
      <c r="AI4069" s="147"/>
      <c r="AJ4069" s="148"/>
      <c r="AK4069" s="143"/>
      <c r="AL4069" s="144"/>
      <c r="AM4069" s="22"/>
      <c r="AN4069" s="149" t="s">
        <v>2131</v>
      </c>
      <c r="AO4069" s="144"/>
      <c r="AP4069" s="148">
        <v>3371</v>
      </c>
      <c r="AQ4069" s="144"/>
      <c r="AR4069" s="120"/>
      <c r="AS4069" s="121"/>
      <c r="AT4069" s="120"/>
      <c r="AU4069" s="121"/>
      <c r="AV4069" s="120"/>
      <c r="AW4069" s="121"/>
      <c r="AX4069" s="120"/>
      <c r="AY4069" s="121"/>
      <c r="AZ4069" s="138"/>
    </row>
    <row r="4070" spans="1:52" ht="17.100000000000001" customHeight="1" thickTop="1">
      <c r="A4070" s="109" t="s">
        <v>12456</v>
      </c>
      <c r="B4070" s="28">
        <v>45995</v>
      </c>
      <c r="C4070" s="25">
        <v>2137</v>
      </c>
      <c r="D4070" s="13" t="s">
        <v>1998</v>
      </c>
      <c r="E4070" s="111"/>
      <c r="F4070" s="113" t="s">
        <v>12475</v>
      </c>
      <c r="G4070" s="114"/>
      <c r="H4070" s="115"/>
      <c r="I4070" s="24" t="s">
        <v>1559</v>
      </c>
      <c r="J4070" s="116">
        <v>4.5</v>
      </c>
      <c r="K4070" s="118">
        <v>1410000</v>
      </c>
      <c r="L4070" s="119"/>
      <c r="M4070" s="118">
        <f t="shared" ref="M4070" si="4119">K4070*0.1</f>
        <v>141000</v>
      </c>
      <c r="N4070" s="119"/>
      <c r="O4070" s="118">
        <v>0</v>
      </c>
      <c r="P4070" s="119"/>
      <c r="Q4070" s="118">
        <v>7230</v>
      </c>
      <c r="R4070" s="119"/>
      <c r="S4070" s="118">
        <v>14300</v>
      </c>
      <c r="T4070" s="119"/>
      <c r="U4070" s="118">
        <f t="shared" ref="U4070" si="4120">SUM(K4070:T4071)</f>
        <v>1572530</v>
      </c>
      <c r="V4070" s="122"/>
      <c r="W4070" s="124"/>
      <c r="X4070" s="126" t="s">
        <v>13307</v>
      </c>
      <c r="Y4070" s="127"/>
      <c r="Z4070" s="127"/>
      <c r="AA4070" s="127"/>
      <c r="AB4070" s="128"/>
      <c r="AC4070" s="15" t="s">
        <v>20</v>
      </c>
      <c r="AD4070" s="129" t="s">
        <v>171</v>
      </c>
      <c r="AE4070" s="130"/>
      <c r="AF4070" s="130"/>
      <c r="AG4070" s="130"/>
      <c r="AH4070" s="130"/>
      <c r="AI4070" s="131"/>
      <c r="AJ4070" s="132"/>
      <c r="AK4070" s="127"/>
      <c r="AL4070" s="128"/>
      <c r="AM4070" s="21"/>
      <c r="AN4070" s="133">
        <v>46000</v>
      </c>
      <c r="AO4070" s="134"/>
      <c r="AP4070" s="135">
        <v>1921</v>
      </c>
      <c r="AQ4070" s="136"/>
      <c r="AR4070" s="118">
        <v>1431000</v>
      </c>
      <c r="AS4070" s="119"/>
      <c r="AT4070" s="118">
        <f t="shared" ref="AT4070" si="4121">AR4070*0.1</f>
        <v>143100</v>
      </c>
      <c r="AU4070" s="119"/>
      <c r="AV4070" s="118">
        <v>7230</v>
      </c>
      <c r="AW4070" s="119"/>
      <c r="AX4070" s="118">
        <f t="shared" ref="AX4070" si="4122">SUM(AR4070:AW4070)</f>
        <v>1581330</v>
      </c>
      <c r="AY4070" s="119"/>
      <c r="AZ4070" s="137">
        <v>46007</v>
      </c>
    </row>
    <row r="4071" spans="1:52" ht="17.100000000000001" customHeight="1" thickBot="1">
      <c r="A4071" s="110"/>
      <c r="B4071" s="27" t="s">
        <v>3281</v>
      </c>
      <c r="C4071" s="27">
        <v>2595</v>
      </c>
      <c r="D4071" s="14" t="s">
        <v>275</v>
      </c>
      <c r="E4071" s="112"/>
      <c r="F4071" s="139" t="s">
        <v>12476</v>
      </c>
      <c r="G4071" s="140"/>
      <c r="H4071" s="141"/>
      <c r="I4071" s="26">
        <v>23479</v>
      </c>
      <c r="J4071" s="117"/>
      <c r="K4071" s="120"/>
      <c r="L4071" s="121"/>
      <c r="M4071" s="120"/>
      <c r="N4071" s="121"/>
      <c r="O4071" s="120"/>
      <c r="P4071" s="121"/>
      <c r="Q4071" s="120"/>
      <c r="R4071" s="121"/>
      <c r="S4071" s="120"/>
      <c r="T4071" s="121"/>
      <c r="U4071" s="120"/>
      <c r="V4071" s="123"/>
      <c r="W4071" s="125"/>
      <c r="X4071" s="142" t="s">
        <v>4300</v>
      </c>
      <c r="Y4071" s="143"/>
      <c r="Z4071" s="143"/>
      <c r="AA4071" s="143"/>
      <c r="AB4071" s="144"/>
      <c r="AC4071" s="16" t="s">
        <v>21</v>
      </c>
      <c r="AD4071" s="17" t="s">
        <v>2268</v>
      </c>
      <c r="AE4071" s="145" t="s">
        <v>13308</v>
      </c>
      <c r="AF4071" s="146"/>
      <c r="AG4071" s="146"/>
      <c r="AH4071" s="146"/>
      <c r="AI4071" s="147"/>
      <c r="AJ4071" s="148"/>
      <c r="AK4071" s="143"/>
      <c r="AL4071" s="144"/>
      <c r="AM4071" s="22"/>
      <c r="AN4071" s="149" t="s">
        <v>2131</v>
      </c>
      <c r="AO4071" s="144"/>
      <c r="AP4071" s="148">
        <v>3375</v>
      </c>
      <c r="AQ4071" s="144"/>
      <c r="AR4071" s="120"/>
      <c r="AS4071" s="121"/>
      <c r="AT4071" s="120"/>
      <c r="AU4071" s="121"/>
      <c r="AV4071" s="120"/>
      <c r="AW4071" s="121"/>
      <c r="AX4071" s="120"/>
      <c r="AY4071" s="121"/>
      <c r="AZ4071" s="138"/>
    </row>
    <row r="4072" spans="1:52" ht="17.100000000000001" customHeight="1" thickTop="1">
      <c r="A4072" s="109" t="s">
        <v>12457</v>
      </c>
      <c r="B4072" s="28">
        <v>45995</v>
      </c>
      <c r="C4072" s="25">
        <v>2137</v>
      </c>
      <c r="D4072" s="13" t="s">
        <v>1027</v>
      </c>
      <c r="E4072" s="111"/>
      <c r="F4072" s="113" t="s">
        <v>4585</v>
      </c>
      <c r="G4072" s="114"/>
      <c r="H4072" s="115"/>
      <c r="I4072" s="24"/>
      <c r="J4072" s="116">
        <v>3.5</v>
      </c>
      <c r="K4072" s="118">
        <v>727000</v>
      </c>
      <c r="L4072" s="119"/>
      <c r="M4072" s="118">
        <f t="shared" ref="M4072" si="4123">K4072*0.1</f>
        <v>72700</v>
      </c>
      <c r="N4072" s="119"/>
      <c r="O4072" s="118">
        <v>0</v>
      </c>
      <c r="P4072" s="119"/>
      <c r="Q4072" s="118">
        <v>9010</v>
      </c>
      <c r="R4072" s="119"/>
      <c r="S4072" s="118">
        <v>14300</v>
      </c>
      <c r="T4072" s="119"/>
      <c r="U4072" s="118">
        <f t="shared" ref="U4072" si="4124">SUM(K4072:T4073)</f>
        <v>823010</v>
      </c>
      <c r="V4072" s="122"/>
      <c r="W4072" s="124"/>
      <c r="X4072" s="126" t="s">
        <v>13311</v>
      </c>
      <c r="Y4072" s="127"/>
      <c r="Z4072" s="127"/>
      <c r="AA4072" s="127"/>
      <c r="AB4072" s="128"/>
      <c r="AC4072" s="15" t="s">
        <v>20</v>
      </c>
      <c r="AD4072" s="129"/>
      <c r="AE4072" s="130"/>
      <c r="AF4072" s="130"/>
      <c r="AG4072" s="130"/>
      <c r="AH4072" s="130"/>
      <c r="AI4072" s="131"/>
      <c r="AJ4072" s="132"/>
      <c r="AK4072" s="127"/>
      <c r="AL4072" s="128"/>
      <c r="AM4072" s="21"/>
      <c r="AN4072" s="133">
        <v>46001</v>
      </c>
      <c r="AO4072" s="134"/>
      <c r="AP4072" s="135">
        <v>996</v>
      </c>
      <c r="AQ4072" s="136"/>
      <c r="AR4072" s="118">
        <v>805000</v>
      </c>
      <c r="AS4072" s="119"/>
      <c r="AT4072" s="118">
        <f t="shared" ref="AT4072" si="4125">AR4072*0.1</f>
        <v>80500</v>
      </c>
      <c r="AU4072" s="119"/>
      <c r="AV4072" s="118">
        <v>9010</v>
      </c>
      <c r="AW4072" s="119"/>
      <c r="AX4072" s="118">
        <f t="shared" ref="AX4072" si="4126">SUM(AR4072:AW4072)</f>
        <v>894510</v>
      </c>
      <c r="AY4072" s="119"/>
      <c r="AZ4072" s="137">
        <v>46007</v>
      </c>
    </row>
    <row r="4073" spans="1:52" ht="17.100000000000001" customHeight="1" thickBot="1">
      <c r="A4073" s="110"/>
      <c r="B4073" s="27" t="s">
        <v>3281</v>
      </c>
      <c r="C4073" s="27">
        <v>2617</v>
      </c>
      <c r="D4073" s="14" t="s">
        <v>275</v>
      </c>
      <c r="E4073" s="112"/>
      <c r="F4073" s="139" t="s">
        <v>12477</v>
      </c>
      <c r="G4073" s="140"/>
      <c r="H4073" s="141"/>
      <c r="I4073" s="26">
        <v>63545</v>
      </c>
      <c r="J4073" s="117"/>
      <c r="K4073" s="120"/>
      <c r="L4073" s="121"/>
      <c r="M4073" s="120"/>
      <c r="N4073" s="121"/>
      <c r="O4073" s="120"/>
      <c r="P4073" s="121"/>
      <c r="Q4073" s="120"/>
      <c r="R4073" s="121"/>
      <c r="S4073" s="120"/>
      <c r="T4073" s="121"/>
      <c r="U4073" s="120"/>
      <c r="V4073" s="123"/>
      <c r="W4073" s="125"/>
      <c r="X4073" s="142" t="s">
        <v>13312</v>
      </c>
      <c r="Y4073" s="143"/>
      <c r="Z4073" s="143"/>
      <c r="AA4073" s="143"/>
      <c r="AB4073" s="144"/>
      <c r="AC4073" s="16" t="s">
        <v>21</v>
      </c>
      <c r="AD4073" s="17" t="s">
        <v>2268</v>
      </c>
      <c r="AE4073" s="145" t="s">
        <v>171</v>
      </c>
      <c r="AF4073" s="146"/>
      <c r="AG4073" s="146"/>
      <c r="AH4073" s="146"/>
      <c r="AI4073" s="147"/>
      <c r="AJ4073" s="148"/>
      <c r="AK4073" s="143"/>
      <c r="AL4073" s="144"/>
      <c r="AM4073" s="22"/>
      <c r="AN4073" s="149" t="s">
        <v>2794</v>
      </c>
      <c r="AO4073" s="144"/>
      <c r="AP4073" s="148">
        <v>2046</v>
      </c>
      <c r="AQ4073" s="144"/>
      <c r="AR4073" s="120"/>
      <c r="AS4073" s="121"/>
      <c r="AT4073" s="120"/>
      <c r="AU4073" s="121"/>
      <c r="AV4073" s="120"/>
      <c r="AW4073" s="121"/>
      <c r="AX4073" s="120"/>
      <c r="AY4073" s="121"/>
      <c r="AZ4073" s="138"/>
    </row>
    <row r="4074" spans="1:52" ht="17.100000000000001" customHeight="1" thickTop="1">
      <c r="A4074" s="109" t="s">
        <v>12458</v>
      </c>
      <c r="B4074" s="28">
        <v>45995</v>
      </c>
      <c r="C4074" s="25">
        <v>2137</v>
      </c>
      <c r="D4074" s="13" t="s">
        <v>2187</v>
      </c>
      <c r="E4074" s="111"/>
      <c r="F4074" s="113" t="s">
        <v>10831</v>
      </c>
      <c r="G4074" s="114"/>
      <c r="H4074" s="115"/>
      <c r="I4074" s="24"/>
      <c r="J4074" s="116">
        <v>4</v>
      </c>
      <c r="K4074" s="118">
        <v>1248000</v>
      </c>
      <c r="L4074" s="119"/>
      <c r="M4074" s="118">
        <f t="shared" ref="M4074" si="4127">K4074*0.1</f>
        <v>124800</v>
      </c>
      <c r="N4074" s="119"/>
      <c r="O4074" s="118">
        <v>0</v>
      </c>
      <c r="P4074" s="119"/>
      <c r="Q4074" s="118">
        <v>8740</v>
      </c>
      <c r="R4074" s="119"/>
      <c r="S4074" s="118">
        <v>14300</v>
      </c>
      <c r="T4074" s="119"/>
      <c r="U4074" s="118">
        <f t="shared" ref="U4074" si="4128">SUM(K4074:T4075)</f>
        <v>1395840</v>
      </c>
      <c r="V4074" s="122"/>
      <c r="W4074" s="124"/>
      <c r="X4074" s="126" t="s">
        <v>13310</v>
      </c>
      <c r="Y4074" s="127"/>
      <c r="Z4074" s="127"/>
      <c r="AA4074" s="127"/>
      <c r="AB4074" s="128"/>
      <c r="AC4074" s="15" t="s">
        <v>20</v>
      </c>
      <c r="AD4074" s="129" t="s">
        <v>3178</v>
      </c>
      <c r="AE4074" s="130"/>
      <c r="AF4074" s="130"/>
      <c r="AG4074" s="130"/>
      <c r="AH4074" s="130"/>
      <c r="AI4074" s="131"/>
      <c r="AJ4074" s="132"/>
      <c r="AK4074" s="127"/>
      <c r="AL4074" s="128"/>
      <c r="AM4074" s="21"/>
      <c r="AN4074" s="133">
        <v>46001</v>
      </c>
      <c r="AO4074" s="134"/>
      <c r="AP4074" s="135">
        <v>996</v>
      </c>
      <c r="AQ4074" s="136"/>
      <c r="AR4074" s="118">
        <v>1310000</v>
      </c>
      <c r="AS4074" s="119"/>
      <c r="AT4074" s="118">
        <f t="shared" ref="AT4074" si="4129">AR4074*0.1</f>
        <v>131000</v>
      </c>
      <c r="AU4074" s="119"/>
      <c r="AV4074" s="118">
        <v>8740</v>
      </c>
      <c r="AW4074" s="119"/>
      <c r="AX4074" s="118">
        <f t="shared" ref="AX4074" si="4130">SUM(AR4074:AW4074)</f>
        <v>1449740</v>
      </c>
      <c r="AY4074" s="119"/>
      <c r="AZ4074" s="137">
        <v>46007</v>
      </c>
    </row>
    <row r="4075" spans="1:52" ht="17.100000000000001" customHeight="1" thickBot="1">
      <c r="A4075" s="110"/>
      <c r="B4075" s="27" t="s">
        <v>3281</v>
      </c>
      <c r="C4075" s="27">
        <v>2622</v>
      </c>
      <c r="D4075" s="14" t="s">
        <v>2601</v>
      </c>
      <c r="E4075" s="112"/>
      <c r="F4075" s="139" t="s">
        <v>12478</v>
      </c>
      <c r="G4075" s="140"/>
      <c r="H4075" s="141"/>
      <c r="I4075" s="26">
        <v>26772</v>
      </c>
      <c r="J4075" s="117"/>
      <c r="K4075" s="120"/>
      <c r="L4075" s="121"/>
      <c r="M4075" s="120"/>
      <c r="N4075" s="121"/>
      <c r="O4075" s="120"/>
      <c r="P4075" s="121"/>
      <c r="Q4075" s="120"/>
      <c r="R4075" s="121"/>
      <c r="S4075" s="120"/>
      <c r="T4075" s="121"/>
      <c r="U4075" s="120"/>
      <c r="V4075" s="123"/>
      <c r="W4075" s="125"/>
      <c r="X4075" s="142" t="s">
        <v>4300</v>
      </c>
      <c r="Y4075" s="143"/>
      <c r="Z4075" s="143"/>
      <c r="AA4075" s="143"/>
      <c r="AB4075" s="144"/>
      <c r="AC4075" s="16" t="s">
        <v>21</v>
      </c>
      <c r="AD4075" s="17" t="s">
        <v>2268</v>
      </c>
      <c r="AE4075" s="145" t="s">
        <v>13309</v>
      </c>
      <c r="AF4075" s="146"/>
      <c r="AG4075" s="146"/>
      <c r="AH4075" s="146"/>
      <c r="AI4075" s="147"/>
      <c r="AJ4075" s="148"/>
      <c r="AK4075" s="143"/>
      <c r="AL4075" s="144"/>
      <c r="AM4075" s="22"/>
      <c r="AN4075" s="149" t="s">
        <v>2794</v>
      </c>
      <c r="AO4075" s="144"/>
      <c r="AP4075" s="148">
        <v>2035</v>
      </c>
      <c r="AQ4075" s="144"/>
      <c r="AR4075" s="120"/>
      <c r="AS4075" s="121"/>
      <c r="AT4075" s="120"/>
      <c r="AU4075" s="121"/>
      <c r="AV4075" s="120"/>
      <c r="AW4075" s="121"/>
      <c r="AX4075" s="120"/>
      <c r="AY4075" s="121"/>
      <c r="AZ4075" s="138"/>
    </row>
    <row r="4076" spans="1:52" ht="17.100000000000001" customHeight="1" thickTop="1">
      <c r="A4076" s="109" t="s">
        <v>12459</v>
      </c>
      <c r="B4076" s="28">
        <v>45995</v>
      </c>
      <c r="C4076" s="25">
        <v>2137</v>
      </c>
      <c r="D4076" s="13" t="s">
        <v>3322</v>
      </c>
      <c r="E4076" s="111"/>
      <c r="F4076" s="113" t="s">
        <v>12514</v>
      </c>
      <c r="G4076" s="114"/>
      <c r="H4076" s="115"/>
      <c r="I4076" s="24" t="s">
        <v>8510</v>
      </c>
      <c r="J4076" s="116">
        <v>4</v>
      </c>
      <c r="K4076" s="118">
        <v>619000</v>
      </c>
      <c r="L4076" s="119"/>
      <c r="M4076" s="118">
        <f t="shared" ref="M4076" si="4131">K4076*0.1</f>
        <v>61900</v>
      </c>
      <c r="N4076" s="119"/>
      <c r="O4076" s="118">
        <v>0</v>
      </c>
      <c r="P4076" s="119"/>
      <c r="Q4076" s="118">
        <v>8030</v>
      </c>
      <c r="R4076" s="119"/>
      <c r="S4076" s="118">
        <v>14300</v>
      </c>
      <c r="T4076" s="119"/>
      <c r="U4076" s="118">
        <f t="shared" ref="U4076" si="4132">SUM(K4076:T4077)</f>
        <v>703230</v>
      </c>
      <c r="V4076" s="122"/>
      <c r="W4076" s="124"/>
      <c r="X4076" s="126" t="s">
        <v>13060</v>
      </c>
      <c r="Y4076" s="127"/>
      <c r="Z4076" s="127"/>
      <c r="AA4076" s="127"/>
      <c r="AB4076" s="128"/>
      <c r="AC4076" s="15" t="s">
        <v>20</v>
      </c>
      <c r="AD4076" s="129" t="s">
        <v>1633</v>
      </c>
      <c r="AE4076" s="130"/>
      <c r="AF4076" s="130"/>
      <c r="AG4076" s="130"/>
      <c r="AH4076" s="130"/>
      <c r="AI4076" s="131"/>
      <c r="AJ4076" s="132"/>
      <c r="AK4076" s="127"/>
      <c r="AL4076" s="128"/>
      <c r="AM4076" s="21" t="s">
        <v>15365</v>
      </c>
      <c r="AN4076" s="133">
        <v>46088</v>
      </c>
      <c r="AO4076" s="134"/>
      <c r="AP4076" s="135">
        <v>1291</v>
      </c>
      <c r="AQ4076" s="136"/>
      <c r="AR4076" s="118">
        <v>680000</v>
      </c>
      <c r="AS4076" s="119"/>
      <c r="AT4076" s="118">
        <f t="shared" ref="AT4076" si="4133">AR4076*0.1</f>
        <v>68000</v>
      </c>
      <c r="AU4076" s="119"/>
      <c r="AV4076" s="118">
        <v>8030</v>
      </c>
      <c r="AW4076" s="119"/>
      <c r="AX4076" s="118">
        <f t="shared" ref="AX4076" si="4134">SUM(AR4076:AW4076)</f>
        <v>756030</v>
      </c>
      <c r="AY4076" s="119"/>
      <c r="AZ4076" s="137">
        <v>46091</v>
      </c>
    </row>
    <row r="4077" spans="1:52" ht="17.100000000000001" customHeight="1" thickBot="1">
      <c r="A4077" s="110"/>
      <c r="B4077" s="27" t="s">
        <v>3281</v>
      </c>
      <c r="C4077" s="27">
        <v>70170</v>
      </c>
      <c r="D4077" s="14" t="s">
        <v>1720</v>
      </c>
      <c r="E4077" s="112"/>
      <c r="F4077" s="139" t="s">
        <v>12479</v>
      </c>
      <c r="G4077" s="140"/>
      <c r="H4077" s="141"/>
      <c r="I4077" s="26">
        <v>69256</v>
      </c>
      <c r="J4077" s="117"/>
      <c r="K4077" s="120"/>
      <c r="L4077" s="121"/>
      <c r="M4077" s="120"/>
      <c r="N4077" s="121"/>
      <c r="O4077" s="120"/>
      <c r="P4077" s="121"/>
      <c r="Q4077" s="120"/>
      <c r="R4077" s="121"/>
      <c r="S4077" s="120"/>
      <c r="T4077" s="121"/>
      <c r="U4077" s="120"/>
      <c r="V4077" s="123"/>
      <c r="W4077" s="125"/>
      <c r="X4077" s="142" t="s">
        <v>13026</v>
      </c>
      <c r="Y4077" s="143"/>
      <c r="Z4077" s="143"/>
      <c r="AA4077" s="143"/>
      <c r="AB4077" s="144"/>
      <c r="AC4077" s="16" t="s">
        <v>21</v>
      </c>
      <c r="AD4077" s="17" t="s">
        <v>12921</v>
      </c>
      <c r="AE4077" s="145" t="s">
        <v>1609</v>
      </c>
      <c r="AF4077" s="146"/>
      <c r="AG4077" s="146"/>
      <c r="AH4077" s="146"/>
      <c r="AI4077" s="147"/>
      <c r="AJ4077" s="148"/>
      <c r="AK4077" s="143"/>
      <c r="AL4077" s="144"/>
      <c r="AM4077" s="22"/>
      <c r="AN4077" s="149" t="s">
        <v>2511</v>
      </c>
      <c r="AO4077" s="144"/>
      <c r="AP4077" s="148">
        <v>60435</v>
      </c>
      <c r="AQ4077" s="144"/>
      <c r="AR4077" s="120"/>
      <c r="AS4077" s="121"/>
      <c r="AT4077" s="120"/>
      <c r="AU4077" s="121"/>
      <c r="AV4077" s="120"/>
      <c r="AW4077" s="121"/>
      <c r="AX4077" s="120"/>
      <c r="AY4077" s="121"/>
      <c r="AZ4077" s="138"/>
    </row>
    <row r="4078" spans="1:52" ht="17.100000000000001" customHeight="1" thickTop="1">
      <c r="A4078" s="109" t="s">
        <v>12460</v>
      </c>
      <c r="B4078" s="28">
        <v>45995</v>
      </c>
      <c r="C4078" s="25">
        <v>2137</v>
      </c>
      <c r="D4078" s="13" t="s">
        <v>4824</v>
      </c>
      <c r="E4078" s="111"/>
      <c r="F4078" s="113" t="s">
        <v>12515</v>
      </c>
      <c r="G4078" s="114"/>
      <c r="H4078" s="115"/>
      <c r="I4078" s="24" t="s">
        <v>12516</v>
      </c>
      <c r="J4078" s="116">
        <v>3.5</v>
      </c>
      <c r="K4078" s="118">
        <v>427000</v>
      </c>
      <c r="L4078" s="119"/>
      <c r="M4078" s="118">
        <f t="shared" ref="M4078" si="4135">K4078*0.1</f>
        <v>42700</v>
      </c>
      <c r="N4078" s="119"/>
      <c r="O4078" s="118">
        <v>0</v>
      </c>
      <c r="P4078" s="119"/>
      <c r="Q4078" s="118">
        <v>8550</v>
      </c>
      <c r="R4078" s="119"/>
      <c r="S4078" s="118">
        <v>14300</v>
      </c>
      <c r="T4078" s="119"/>
      <c r="U4078" s="118">
        <f t="shared" ref="U4078" si="4136">SUM(K4078:T4079)</f>
        <v>492550</v>
      </c>
      <c r="V4078" s="122"/>
      <c r="W4078" s="124"/>
      <c r="X4078" s="126" t="s">
        <v>13025</v>
      </c>
      <c r="Y4078" s="127"/>
      <c r="Z4078" s="127"/>
      <c r="AA4078" s="127"/>
      <c r="AB4078" s="128"/>
      <c r="AC4078" s="15" t="s">
        <v>20</v>
      </c>
      <c r="AD4078" s="129" t="s">
        <v>12517</v>
      </c>
      <c r="AE4078" s="130"/>
      <c r="AF4078" s="130"/>
      <c r="AG4078" s="130"/>
      <c r="AH4078" s="130"/>
      <c r="AI4078" s="131"/>
      <c r="AJ4078" s="132"/>
      <c r="AK4078" s="127"/>
      <c r="AL4078" s="128"/>
      <c r="AM4078" s="21"/>
      <c r="AN4078" s="133">
        <v>46001</v>
      </c>
      <c r="AO4078" s="134"/>
      <c r="AP4078" s="135">
        <v>996</v>
      </c>
      <c r="AQ4078" s="136"/>
      <c r="AR4078" s="118">
        <v>510000</v>
      </c>
      <c r="AS4078" s="119"/>
      <c r="AT4078" s="118">
        <f t="shared" ref="AT4078" si="4137">AR4078*0.1</f>
        <v>51000</v>
      </c>
      <c r="AU4078" s="119"/>
      <c r="AV4078" s="118">
        <v>8550</v>
      </c>
      <c r="AW4078" s="119"/>
      <c r="AX4078" s="118">
        <f t="shared" ref="AX4078" si="4138">SUM(AR4078:AW4078)</f>
        <v>569550</v>
      </c>
      <c r="AY4078" s="119"/>
      <c r="AZ4078" s="137">
        <v>46006</v>
      </c>
    </row>
    <row r="4079" spans="1:52" ht="17.100000000000001" customHeight="1" thickBot="1">
      <c r="A4079" s="110"/>
      <c r="B4079" s="27" t="s">
        <v>3281</v>
      </c>
      <c r="C4079" s="27">
        <v>70172</v>
      </c>
      <c r="D4079" s="14" t="s">
        <v>3327</v>
      </c>
      <c r="E4079" s="112"/>
      <c r="F4079" s="139" t="s">
        <v>12480</v>
      </c>
      <c r="G4079" s="140"/>
      <c r="H4079" s="141"/>
      <c r="I4079" s="26">
        <v>51752</v>
      </c>
      <c r="J4079" s="117"/>
      <c r="K4079" s="120"/>
      <c r="L4079" s="121"/>
      <c r="M4079" s="120"/>
      <c r="N4079" s="121"/>
      <c r="O4079" s="120"/>
      <c r="P4079" s="121"/>
      <c r="Q4079" s="120"/>
      <c r="R4079" s="121"/>
      <c r="S4079" s="120"/>
      <c r="T4079" s="121"/>
      <c r="U4079" s="120"/>
      <c r="V4079" s="123"/>
      <c r="W4079" s="125"/>
      <c r="X4079" s="142" t="s">
        <v>13026</v>
      </c>
      <c r="Y4079" s="143"/>
      <c r="Z4079" s="143"/>
      <c r="AA4079" s="143"/>
      <c r="AB4079" s="144"/>
      <c r="AC4079" s="16" t="s">
        <v>21</v>
      </c>
      <c r="AD4079" s="17" t="s">
        <v>12921</v>
      </c>
      <c r="AE4079" s="145" t="s">
        <v>13027</v>
      </c>
      <c r="AF4079" s="146"/>
      <c r="AG4079" s="146"/>
      <c r="AH4079" s="146"/>
      <c r="AI4079" s="147"/>
      <c r="AJ4079" s="148"/>
      <c r="AK4079" s="143"/>
      <c r="AL4079" s="144"/>
      <c r="AM4079" s="22"/>
      <c r="AN4079" s="149" t="s">
        <v>2794</v>
      </c>
      <c r="AO4079" s="144"/>
      <c r="AP4079" s="148">
        <v>2045</v>
      </c>
      <c r="AQ4079" s="144"/>
      <c r="AR4079" s="120"/>
      <c r="AS4079" s="121"/>
      <c r="AT4079" s="120"/>
      <c r="AU4079" s="121"/>
      <c r="AV4079" s="120"/>
      <c r="AW4079" s="121"/>
      <c r="AX4079" s="120"/>
      <c r="AY4079" s="121"/>
      <c r="AZ4079" s="138"/>
    </row>
    <row r="4080" spans="1:52" ht="17.100000000000001" customHeight="1" thickTop="1">
      <c r="A4080" s="109" t="s">
        <v>12461</v>
      </c>
      <c r="B4080" s="28">
        <v>45995</v>
      </c>
      <c r="C4080" s="25">
        <v>2137</v>
      </c>
      <c r="D4080" s="13" t="s">
        <v>1977</v>
      </c>
      <c r="E4080" s="111"/>
      <c r="F4080" s="113" t="s">
        <v>4483</v>
      </c>
      <c r="G4080" s="114"/>
      <c r="H4080" s="115"/>
      <c r="I4080" s="24" t="s">
        <v>4955</v>
      </c>
      <c r="J4080" s="116">
        <v>4</v>
      </c>
      <c r="K4080" s="118">
        <v>801000</v>
      </c>
      <c r="L4080" s="119"/>
      <c r="M4080" s="118">
        <f t="shared" ref="M4080" si="4139">K4080*0.1</f>
        <v>80100</v>
      </c>
      <c r="N4080" s="119"/>
      <c r="O4080" s="118">
        <v>0</v>
      </c>
      <c r="P4080" s="119"/>
      <c r="Q4080" s="118">
        <v>8400</v>
      </c>
      <c r="R4080" s="119"/>
      <c r="S4080" s="118">
        <v>14300</v>
      </c>
      <c r="T4080" s="119"/>
      <c r="U4080" s="118">
        <f t="shared" ref="U4080" si="4140">SUM(K4080:T4081)</f>
        <v>903800</v>
      </c>
      <c r="V4080" s="122"/>
      <c r="W4080" s="124"/>
      <c r="X4080" s="126" t="s">
        <v>13059</v>
      </c>
      <c r="Y4080" s="127"/>
      <c r="Z4080" s="127"/>
      <c r="AA4080" s="127"/>
      <c r="AB4080" s="128"/>
      <c r="AC4080" s="15" t="s">
        <v>20</v>
      </c>
      <c r="AD4080" s="129" t="s">
        <v>5302</v>
      </c>
      <c r="AE4080" s="130"/>
      <c r="AF4080" s="130"/>
      <c r="AG4080" s="130"/>
      <c r="AH4080" s="130"/>
      <c r="AI4080" s="131"/>
      <c r="AJ4080" s="132"/>
      <c r="AK4080" s="127"/>
      <c r="AL4080" s="128"/>
      <c r="AM4080" s="21" t="s">
        <v>14633</v>
      </c>
      <c r="AN4080" s="133">
        <v>46029</v>
      </c>
      <c r="AO4080" s="134"/>
      <c r="AP4080" s="135">
        <v>999</v>
      </c>
      <c r="AQ4080" s="136"/>
      <c r="AR4080" s="118">
        <v>885000</v>
      </c>
      <c r="AS4080" s="119"/>
      <c r="AT4080" s="118">
        <f t="shared" ref="AT4080" si="4141">AR4080*0.1</f>
        <v>88500</v>
      </c>
      <c r="AU4080" s="119"/>
      <c r="AV4080" s="118">
        <v>8400</v>
      </c>
      <c r="AW4080" s="119"/>
      <c r="AX4080" s="118">
        <f t="shared" ref="AX4080" si="4142">SUM(AR4080:AW4080)</f>
        <v>981900</v>
      </c>
      <c r="AY4080" s="119"/>
      <c r="AZ4080" s="137">
        <v>46035</v>
      </c>
    </row>
    <row r="4081" spans="1:52" ht="17.100000000000001" customHeight="1" thickBot="1">
      <c r="A4081" s="110"/>
      <c r="B4081" s="27" t="s">
        <v>3281</v>
      </c>
      <c r="C4081" s="27">
        <v>71167</v>
      </c>
      <c r="D4081" s="14" t="s">
        <v>904</v>
      </c>
      <c r="E4081" s="112"/>
      <c r="F4081" s="139" t="s">
        <v>12481</v>
      </c>
      <c r="G4081" s="140"/>
      <c r="H4081" s="141"/>
      <c r="I4081" s="26">
        <v>44130</v>
      </c>
      <c r="J4081" s="117"/>
      <c r="K4081" s="120"/>
      <c r="L4081" s="121"/>
      <c r="M4081" s="120"/>
      <c r="N4081" s="121"/>
      <c r="O4081" s="120"/>
      <c r="P4081" s="121"/>
      <c r="Q4081" s="120"/>
      <c r="R4081" s="121"/>
      <c r="S4081" s="120"/>
      <c r="T4081" s="121"/>
      <c r="U4081" s="120"/>
      <c r="V4081" s="123"/>
      <c r="W4081" s="125"/>
      <c r="X4081" s="142" t="s">
        <v>13058</v>
      </c>
      <c r="Y4081" s="143"/>
      <c r="Z4081" s="143"/>
      <c r="AA4081" s="143"/>
      <c r="AB4081" s="144"/>
      <c r="AC4081" s="16" t="s">
        <v>21</v>
      </c>
      <c r="AD4081" s="17" t="s">
        <v>12921</v>
      </c>
      <c r="AE4081" s="145" t="s">
        <v>9186</v>
      </c>
      <c r="AF4081" s="146"/>
      <c r="AG4081" s="146"/>
      <c r="AH4081" s="146"/>
      <c r="AI4081" s="147"/>
      <c r="AJ4081" s="148"/>
      <c r="AK4081" s="143"/>
      <c r="AL4081" s="144"/>
      <c r="AM4081" s="22"/>
      <c r="AN4081" s="149" t="s">
        <v>2794</v>
      </c>
      <c r="AO4081" s="144"/>
      <c r="AP4081" s="148">
        <v>2086</v>
      </c>
      <c r="AQ4081" s="144"/>
      <c r="AR4081" s="120"/>
      <c r="AS4081" s="121"/>
      <c r="AT4081" s="120"/>
      <c r="AU4081" s="121"/>
      <c r="AV4081" s="120"/>
      <c r="AW4081" s="121"/>
      <c r="AX4081" s="120"/>
      <c r="AY4081" s="121"/>
      <c r="AZ4081" s="138"/>
    </row>
    <row r="4082" spans="1:52" ht="17.100000000000001" customHeight="1" thickTop="1">
      <c r="A4082" s="109" t="s">
        <v>12462</v>
      </c>
      <c r="B4082" s="28">
        <v>45995</v>
      </c>
      <c r="C4082" s="25">
        <v>2137</v>
      </c>
      <c r="D4082" s="13" t="s">
        <v>3381</v>
      </c>
      <c r="E4082" s="111"/>
      <c r="F4082" s="113" t="s">
        <v>5448</v>
      </c>
      <c r="G4082" s="114"/>
      <c r="H4082" s="115"/>
      <c r="I4082" s="24"/>
      <c r="J4082" s="116">
        <v>4</v>
      </c>
      <c r="K4082" s="118">
        <v>683000</v>
      </c>
      <c r="L4082" s="119"/>
      <c r="M4082" s="118">
        <f t="shared" ref="M4082" si="4143">K4082*0.1</f>
        <v>68300</v>
      </c>
      <c r="N4082" s="119"/>
      <c r="O4082" s="118">
        <v>0</v>
      </c>
      <c r="P4082" s="119"/>
      <c r="Q4082" s="118">
        <v>8400</v>
      </c>
      <c r="R4082" s="119"/>
      <c r="S4082" s="118">
        <v>14300</v>
      </c>
      <c r="T4082" s="119"/>
      <c r="U4082" s="118">
        <f t="shared" ref="U4082" si="4144">SUM(K4082:T4083)</f>
        <v>774000</v>
      </c>
      <c r="V4082" s="122"/>
      <c r="W4082" s="124"/>
      <c r="X4082" s="126" t="s">
        <v>13057</v>
      </c>
      <c r="Y4082" s="127"/>
      <c r="Z4082" s="127"/>
      <c r="AA4082" s="127"/>
      <c r="AB4082" s="128"/>
      <c r="AC4082" s="15" t="s">
        <v>20</v>
      </c>
      <c r="AD4082" s="129" t="s">
        <v>2745</v>
      </c>
      <c r="AE4082" s="130"/>
      <c r="AF4082" s="130"/>
      <c r="AG4082" s="130"/>
      <c r="AH4082" s="130"/>
      <c r="AI4082" s="131"/>
      <c r="AJ4082" s="132"/>
      <c r="AK4082" s="127"/>
      <c r="AL4082" s="128"/>
      <c r="AM4082" s="21"/>
      <c r="AN4082" s="133">
        <v>46008</v>
      </c>
      <c r="AO4082" s="134"/>
      <c r="AP4082" s="135">
        <v>997</v>
      </c>
      <c r="AQ4082" s="136"/>
      <c r="AR4082" s="118">
        <v>750000</v>
      </c>
      <c r="AS4082" s="119"/>
      <c r="AT4082" s="118">
        <f t="shared" ref="AT4082" si="4145">AR4082*0.1</f>
        <v>75000</v>
      </c>
      <c r="AU4082" s="119"/>
      <c r="AV4082" s="118">
        <v>8400</v>
      </c>
      <c r="AW4082" s="119"/>
      <c r="AX4082" s="118">
        <f t="shared" ref="AX4082" si="4146">SUM(AR4082:AW4082)</f>
        <v>833400</v>
      </c>
      <c r="AY4082" s="119"/>
      <c r="AZ4082" s="137">
        <v>46013</v>
      </c>
    </row>
    <row r="4083" spans="1:52" ht="17.100000000000001" customHeight="1" thickBot="1">
      <c r="A4083" s="110"/>
      <c r="B4083" s="27" t="s">
        <v>3281</v>
      </c>
      <c r="C4083" s="27">
        <v>71187</v>
      </c>
      <c r="D4083" s="14" t="s">
        <v>904</v>
      </c>
      <c r="E4083" s="112"/>
      <c r="F4083" s="139" t="s">
        <v>12482</v>
      </c>
      <c r="G4083" s="140"/>
      <c r="H4083" s="141"/>
      <c r="I4083" s="26">
        <v>58471</v>
      </c>
      <c r="J4083" s="117"/>
      <c r="K4083" s="120"/>
      <c r="L4083" s="121"/>
      <c r="M4083" s="120"/>
      <c r="N4083" s="121"/>
      <c r="O4083" s="120"/>
      <c r="P4083" s="121"/>
      <c r="Q4083" s="120"/>
      <c r="R4083" s="121"/>
      <c r="S4083" s="120"/>
      <c r="T4083" s="121"/>
      <c r="U4083" s="120"/>
      <c r="V4083" s="123"/>
      <c r="W4083" s="125"/>
      <c r="X4083" s="142" t="s">
        <v>13058</v>
      </c>
      <c r="Y4083" s="143"/>
      <c r="Z4083" s="143"/>
      <c r="AA4083" s="143"/>
      <c r="AB4083" s="144"/>
      <c r="AC4083" s="16" t="s">
        <v>21</v>
      </c>
      <c r="AD4083" s="17" t="s">
        <v>12921</v>
      </c>
      <c r="AE4083" s="145" t="s">
        <v>2441</v>
      </c>
      <c r="AF4083" s="146"/>
      <c r="AG4083" s="146"/>
      <c r="AH4083" s="146"/>
      <c r="AI4083" s="147"/>
      <c r="AJ4083" s="148"/>
      <c r="AK4083" s="143"/>
      <c r="AL4083" s="144"/>
      <c r="AM4083" s="22"/>
      <c r="AN4083" s="149" t="s">
        <v>2794</v>
      </c>
      <c r="AO4083" s="144"/>
      <c r="AP4083" s="148">
        <v>2055</v>
      </c>
      <c r="AQ4083" s="144"/>
      <c r="AR4083" s="120"/>
      <c r="AS4083" s="121"/>
      <c r="AT4083" s="120"/>
      <c r="AU4083" s="121"/>
      <c r="AV4083" s="120"/>
      <c r="AW4083" s="121"/>
      <c r="AX4083" s="120"/>
      <c r="AY4083" s="121"/>
      <c r="AZ4083" s="138"/>
    </row>
    <row r="4084" spans="1:52" ht="17.100000000000001" customHeight="1" thickTop="1">
      <c r="A4084" s="109" t="s">
        <v>12463</v>
      </c>
      <c r="B4084" s="28">
        <v>45995</v>
      </c>
      <c r="C4084" s="25">
        <v>2137</v>
      </c>
      <c r="D4084" s="13" t="s">
        <v>2464</v>
      </c>
      <c r="E4084" s="111"/>
      <c r="F4084" s="113" t="s">
        <v>12518</v>
      </c>
      <c r="G4084" s="114"/>
      <c r="H4084" s="115"/>
      <c r="I4084" s="24" t="s">
        <v>12519</v>
      </c>
      <c r="J4084" s="116">
        <v>5</v>
      </c>
      <c r="K4084" s="118">
        <v>1784000</v>
      </c>
      <c r="L4084" s="119"/>
      <c r="M4084" s="118">
        <f t="shared" ref="M4084" si="4147">K4084*0.1</f>
        <v>178400</v>
      </c>
      <c r="N4084" s="119"/>
      <c r="O4084" s="118">
        <f>5637+563</f>
        <v>6200</v>
      </c>
      <c r="P4084" s="119"/>
      <c r="Q4084" s="118">
        <v>7450</v>
      </c>
      <c r="R4084" s="119"/>
      <c r="S4084" s="118">
        <v>14300</v>
      </c>
      <c r="T4084" s="119"/>
      <c r="U4084" s="118">
        <f t="shared" ref="U4084" si="4148">SUM(K4084:T4085)</f>
        <v>1990350</v>
      </c>
      <c r="V4084" s="122"/>
      <c r="W4084" s="124"/>
      <c r="X4084" s="126" t="s">
        <v>13374</v>
      </c>
      <c r="Y4084" s="127"/>
      <c r="Z4084" s="127"/>
      <c r="AA4084" s="127"/>
      <c r="AB4084" s="128"/>
      <c r="AC4084" s="15" t="s">
        <v>20</v>
      </c>
      <c r="AD4084" s="129" t="s">
        <v>12520</v>
      </c>
      <c r="AE4084" s="130"/>
      <c r="AF4084" s="130"/>
      <c r="AG4084" s="130"/>
      <c r="AH4084" s="130"/>
      <c r="AI4084" s="131"/>
      <c r="AJ4084" s="132"/>
      <c r="AK4084" s="127"/>
      <c r="AL4084" s="128"/>
      <c r="AM4084" s="21"/>
      <c r="AN4084" s="133">
        <v>46001</v>
      </c>
      <c r="AO4084" s="134"/>
      <c r="AP4084" s="135">
        <v>996</v>
      </c>
      <c r="AQ4084" s="136"/>
      <c r="AR4084" s="118">
        <v>1970000</v>
      </c>
      <c r="AS4084" s="119"/>
      <c r="AT4084" s="118">
        <f t="shared" ref="AT4084" si="4149">AR4084*0.1</f>
        <v>197000</v>
      </c>
      <c r="AU4084" s="119"/>
      <c r="AV4084" s="118">
        <v>7450</v>
      </c>
      <c r="AW4084" s="119"/>
      <c r="AX4084" s="118">
        <f t="shared" ref="AX4084" si="4150">SUM(AR4084:AW4084)</f>
        <v>2174450</v>
      </c>
      <c r="AY4084" s="119"/>
      <c r="AZ4084" s="137">
        <v>46008</v>
      </c>
    </row>
    <row r="4085" spans="1:52" ht="17.100000000000001" customHeight="1" thickBot="1">
      <c r="A4085" s="110"/>
      <c r="B4085" s="27" t="s">
        <v>3281</v>
      </c>
      <c r="C4085" s="27">
        <v>71374</v>
      </c>
      <c r="D4085" s="14" t="s">
        <v>2601</v>
      </c>
      <c r="E4085" s="112"/>
      <c r="F4085" s="139" t="s">
        <v>12483</v>
      </c>
      <c r="G4085" s="140"/>
      <c r="H4085" s="141"/>
      <c r="I4085" s="26">
        <v>4919</v>
      </c>
      <c r="J4085" s="117"/>
      <c r="K4085" s="120"/>
      <c r="L4085" s="121"/>
      <c r="M4085" s="120"/>
      <c r="N4085" s="121"/>
      <c r="O4085" s="120"/>
      <c r="P4085" s="121"/>
      <c r="Q4085" s="120"/>
      <c r="R4085" s="121"/>
      <c r="S4085" s="120"/>
      <c r="T4085" s="121"/>
      <c r="U4085" s="120"/>
      <c r="V4085" s="123"/>
      <c r="W4085" s="125"/>
      <c r="X4085" s="142" t="s">
        <v>13375</v>
      </c>
      <c r="Y4085" s="143"/>
      <c r="Z4085" s="143"/>
      <c r="AA4085" s="143"/>
      <c r="AB4085" s="144"/>
      <c r="AC4085" s="16" t="s">
        <v>21</v>
      </c>
      <c r="AD4085" s="17" t="s">
        <v>3445</v>
      </c>
      <c r="AE4085" s="145" t="s">
        <v>13376</v>
      </c>
      <c r="AF4085" s="146"/>
      <c r="AG4085" s="146"/>
      <c r="AH4085" s="146"/>
      <c r="AI4085" s="147"/>
      <c r="AJ4085" s="148"/>
      <c r="AK4085" s="143"/>
      <c r="AL4085" s="144"/>
      <c r="AM4085" s="22"/>
      <c r="AN4085" s="149" t="s">
        <v>2794</v>
      </c>
      <c r="AO4085" s="144"/>
      <c r="AP4085" s="148">
        <v>5028</v>
      </c>
      <c r="AQ4085" s="144"/>
      <c r="AR4085" s="120"/>
      <c r="AS4085" s="121"/>
      <c r="AT4085" s="120"/>
      <c r="AU4085" s="121"/>
      <c r="AV4085" s="120"/>
      <c r="AW4085" s="121"/>
      <c r="AX4085" s="120"/>
      <c r="AY4085" s="121"/>
      <c r="AZ4085" s="138"/>
    </row>
    <row r="4086" spans="1:52" ht="17.100000000000001" customHeight="1" thickTop="1">
      <c r="A4086" s="109" t="s">
        <v>12464</v>
      </c>
      <c r="B4086" s="28">
        <v>45995</v>
      </c>
      <c r="C4086" s="25">
        <v>2137</v>
      </c>
      <c r="D4086" s="13" t="s">
        <v>1697</v>
      </c>
      <c r="E4086" s="111"/>
      <c r="F4086" s="113" t="s">
        <v>12306</v>
      </c>
      <c r="G4086" s="114"/>
      <c r="H4086" s="115"/>
      <c r="I4086" s="24" t="s">
        <v>12045</v>
      </c>
      <c r="J4086" s="116">
        <v>4</v>
      </c>
      <c r="K4086" s="118">
        <v>1501000</v>
      </c>
      <c r="L4086" s="119"/>
      <c r="M4086" s="118">
        <f t="shared" ref="M4086" si="4151">K4086*0.1</f>
        <v>150100</v>
      </c>
      <c r="N4086" s="119"/>
      <c r="O4086" s="118">
        <v>0</v>
      </c>
      <c r="P4086" s="119"/>
      <c r="Q4086" s="118">
        <v>7340</v>
      </c>
      <c r="R4086" s="119"/>
      <c r="S4086" s="118">
        <v>14300</v>
      </c>
      <c r="T4086" s="119"/>
      <c r="U4086" s="118">
        <f t="shared" ref="U4086" si="4152">SUM(K4086:T4087)</f>
        <v>1672740</v>
      </c>
      <c r="V4086" s="122"/>
      <c r="W4086" s="124"/>
      <c r="X4086" s="126" t="s">
        <v>13032</v>
      </c>
      <c r="Y4086" s="127"/>
      <c r="Z4086" s="127"/>
      <c r="AA4086" s="127"/>
      <c r="AB4086" s="128"/>
      <c r="AC4086" s="15" t="s">
        <v>20</v>
      </c>
      <c r="AD4086" s="129" t="s">
        <v>12521</v>
      </c>
      <c r="AE4086" s="130"/>
      <c r="AF4086" s="130"/>
      <c r="AG4086" s="130"/>
      <c r="AH4086" s="130"/>
      <c r="AI4086" s="131"/>
      <c r="AJ4086" s="132"/>
      <c r="AK4086" s="127"/>
      <c r="AL4086" s="128"/>
      <c r="AM4086" s="21"/>
      <c r="AN4086" s="133">
        <v>46001</v>
      </c>
      <c r="AO4086" s="134"/>
      <c r="AP4086" s="135">
        <v>996</v>
      </c>
      <c r="AQ4086" s="136"/>
      <c r="AR4086" s="118">
        <v>1655000</v>
      </c>
      <c r="AS4086" s="119"/>
      <c r="AT4086" s="118">
        <f t="shared" ref="AT4086" si="4153">AR4086*0.1</f>
        <v>165500</v>
      </c>
      <c r="AU4086" s="119"/>
      <c r="AV4086" s="118">
        <v>7340</v>
      </c>
      <c r="AW4086" s="119"/>
      <c r="AX4086" s="118">
        <f t="shared" ref="AX4086" si="4154">SUM(AR4086:AW4086)</f>
        <v>1827840</v>
      </c>
      <c r="AY4086" s="119"/>
      <c r="AZ4086" s="137">
        <v>46006</v>
      </c>
    </row>
    <row r="4087" spans="1:52" ht="17.100000000000001" customHeight="1" thickBot="1">
      <c r="A4087" s="110"/>
      <c r="B4087" s="27" t="s">
        <v>3281</v>
      </c>
      <c r="C4087" s="27">
        <v>71439</v>
      </c>
      <c r="D4087" s="14" t="s">
        <v>2601</v>
      </c>
      <c r="E4087" s="112"/>
      <c r="F4087" s="139" t="s">
        <v>12484</v>
      </c>
      <c r="G4087" s="140"/>
      <c r="H4087" s="141"/>
      <c r="I4087" s="26">
        <v>42518</v>
      </c>
      <c r="J4087" s="117"/>
      <c r="K4087" s="120"/>
      <c r="L4087" s="121"/>
      <c r="M4087" s="120"/>
      <c r="N4087" s="121"/>
      <c r="O4087" s="120"/>
      <c r="P4087" s="121"/>
      <c r="Q4087" s="120"/>
      <c r="R4087" s="121"/>
      <c r="S4087" s="120"/>
      <c r="T4087" s="121"/>
      <c r="U4087" s="120"/>
      <c r="V4087" s="123"/>
      <c r="W4087" s="125"/>
      <c r="X4087" s="142" t="s">
        <v>13026</v>
      </c>
      <c r="Y4087" s="143"/>
      <c r="Z4087" s="143"/>
      <c r="AA4087" s="143"/>
      <c r="AB4087" s="144"/>
      <c r="AC4087" s="16" t="s">
        <v>21</v>
      </c>
      <c r="AD4087" s="17" t="s">
        <v>12921</v>
      </c>
      <c r="AE4087" s="145" t="s">
        <v>8384</v>
      </c>
      <c r="AF4087" s="146"/>
      <c r="AG4087" s="146"/>
      <c r="AH4087" s="146"/>
      <c r="AI4087" s="147"/>
      <c r="AJ4087" s="148"/>
      <c r="AK4087" s="143"/>
      <c r="AL4087" s="144"/>
      <c r="AM4087" s="22"/>
      <c r="AN4087" s="149" t="s">
        <v>2794</v>
      </c>
      <c r="AO4087" s="144"/>
      <c r="AP4087" s="148">
        <v>2093</v>
      </c>
      <c r="AQ4087" s="144"/>
      <c r="AR4087" s="120"/>
      <c r="AS4087" s="121"/>
      <c r="AT4087" s="120"/>
      <c r="AU4087" s="121"/>
      <c r="AV4087" s="120"/>
      <c r="AW4087" s="121"/>
      <c r="AX4087" s="120"/>
      <c r="AY4087" s="121"/>
      <c r="AZ4087" s="138"/>
    </row>
    <row r="4088" spans="1:52" ht="17.100000000000001" customHeight="1" thickTop="1">
      <c r="A4088" s="109" t="s">
        <v>12549</v>
      </c>
      <c r="B4088" s="28">
        <v>45996</v>
      </c>
      <c r="C4088" s="25">
        <v>269</v>
      </c>
      <c r="D4088" s="13" t="s">
        <v>2477</v>
      </c>
      <c r="E4088" s="111"/>
      <c r="F4088" s="113" t="s">
        <v>12473</v>
      </c>
      <c r="G4088" s="114"/>
      <c r="H4088" s="115"/>
      <c r="I4088" s="24" t="s">
        <v>4487</v>
      </c>
      <c r="J4088" s="116">
        <v>5</v>
      </c>
      <c r="K4088" s="118">
        <v>1503000</v>
      </c>
      <c r="L4088" s="119"/>
      <c r="M4088" s="118">
        <f t="shared" ref="M4088" si="4155">K4088*0.1</f>
        <v>150300</v>
      </c>
      <c r="N4088" s="119"/>
      <c r="O4088" s="118">
        <v>0</v>
      </c>
      <c r="P4088" s="119"/>
      <c r="Q4088" s="118">
        <v>14200</v>
      </c>
      <c r="R4088" s="119"/>
      <c r="S4088" s="118">
        <v>22000</v>
      </c>
      <c r="T4088" s="119"/>
      <c r="U4088" s="118">
        <f t="shared" ref="U4088" si="4156">SUM(K4088:T4089)</f>
        <v>1689500</v>
      </c>
      <c r="V4088" s="122"/>
      <c r="W4088" s="124"/>
      <c r="X4088" s="126" t="s">
        <v>12486</v>
      </c>
      <c r="Y4088" s="127"/>
      <c r="Z4088" s="127"/>
      <c r="AA4088" s="127"/>
      <c r="AB4088" s="128"/>
      <c r="AC4088" s="15" t="s">
        <v>20</v>
      </c>
      <c r="AD4088" s="129"/>
      <c r="AE4088" s="130"/>
      <c r="AF4088" s="130"/>
      <c r="AG4088" s="130"/>
      <c r="AH4088" s="130"/>
      <c r="AI4088" s="131"/>
      <c r="AJ4088" s="132"/>
      <c r="AK4088" s="127"/>
      <c r="AL4088" s="128"/>
      <c r="AM4088" s="21" t="s">
        <v>15363</v>
      </c>
      <c r="AN4088" s="133">
        <v>46078</v>
      </c>
      <c r="AO4088" s="134"/>
      <c r="AP4088" s="135">
        <v>1006</v>
      </c>
      <c r="AQ4088" s="136"/>
      <c r="AR4088" s="118">
        <v>1510000</v>
      </c>
      <c r="AS4088" s="119"/>
      <c r="AT4088" s="118">
        <f t="shared" ref="AT4088" si="4157">AR4088*0.1</f>
        <v>151000</v>
      </c>
      <c r="AU4088" s="119"/>
      <c r="AV4088" s="118">
        <v>14200</v>
      </c>
      <c r="AW4088" s="119"/>
      <c r="AX4088" s="118">
        <f t="shared" ref="AX4088" si="4158">SUM(AR4088:AW4088)</f>
        <v>1675200</v>
      </c>
      <c r="AY4088" s="119"/>
      <c r="AZ4088" s="137">
        <v>46083</v>
      </c>
    </row>
    <row r="4089" spans="1:52" ht="17.100000000000001" customHeight="1" thickBot="1">
      <c r="A4089" s="110"/>
      <c r="B4089" s="27" t="s">
        <v>3957</v>
      </c>
      <c r="C4089" s="27">
        <v>11</v>
      </c>
      <c r="D4089" s="14" t="s">
        <v>1576</v>
      </c>
      <c r="E4089" s="112"/>
      <c r="F4089" s="139" t="s">
        <v>12485</v>
      </c>
      <c r="G4089" s="140"/>
      <c r="H4089" s="141"/>
      <c r="I4089" s="26">
        <v>3967</v>
      </c>
      <c r="J4089" s="117"/>
      <c r="K4089" s="120"/>
      <c r="L4089" s="121"/>
      <c r="M4089" s="120"/>
      <c r="N4089" s="121"/>
      <c r="O4089" s="120"/>
      <c r="P4089" s="121"/>
      <c r="Q4089" s="120"/>
      <c r="R4089" s="121"/>
      <c r="S4089" s="120"/>
      <c r="T4089" s="121"/>
      <c r="U4089" s="120"/>
      <c r="V4089" s="123"/>
      <c r="W4089" s="125"/>
      <c r="X4089" s="142" t="s">
        <v>12904</v>
      </c>
      <c r="Y4089" s="143"/>
      <c r="Z4089" s="143"/>
      <c r="AA4089" s="143"/>
      <c r="AB4089" s="144"/>
      <c r="AC4089" s="16" t="s">
        <v>21</v>
      </c>
      <c r="AD4089" s="17" t="s">
        <v>12856</v>
      </c>
      <c r="AE4089" s="145"/>
      <c r="AF4089" s="146"/>
      <c r="AG4089" s="146"/>
      <c r="AH4089" s="146"/>
      <c r="AI4089" s="147"/>
      <c r="AJ4089" s="148"/>
      <c r="AK4089" s="143"/>
      <c r="AL4089" s="144"/>
      <c r="AM4089" s="22"/>
      <c r="AN4089" s="149" t="s">
        <v>2794</v>
      </c>
      <c r="AO4089" s="144"/>
      <c r="AP4089" s="148">
        <v>2042</v>
      </c>
      <c r="AQ4089" s="144"/>
      <c r="AR4089" s="120"/>
      <c r="AS4089" s="121"/>
      <c r="AT4089" s="120"/>
      <c r="AU4089" s="121"/>
      <c r="AV4089" s="120"/>
      <c r="AW4089" s="121"/>
      <c r="AX4089" s="120"/>
      <c r="AY4089" s="121"/>
      <c r="AZ4089" s="138"/>
    </row>
    <row r="4090" spans="1:52" ht="17.100000000000001" customHeight="1" thickTop="1">
      <c r="A4090" s="109" t="s">
        <v>12550</v>
      </c>
      <c r="B4090" s="28">
        <v>45996</v>
      </c>
      <c r="C4090" s="25">
        <v>269</v>
      </c>
      <c r="D4090" s="13" t="s">
        <v>1686</v>
      </c>
      <c r="E4090" s="111"/>
      <c r="F4090" s="113" t="s">
        <v>12487</v>
      </c>
      <c r="G4090" s="114"/>
      <c r="H4090" s="115"/>
      <c r="I4090" s="24" t="s">
        <v>1559</v>
      </c>
      <c r="J4090" s="116">
        <v>3.5</v>
      </c>
      <c r="K4090" s="118">
        <v>501000</v>
      </c>
      <c r="L4090" s="119"/>
      <c r="M4090" s="118">
        <f t="shared" ref="M4090" si="4159">K4090*0.1</f>
        <v>50100</v>
      </c>
      <c r="N4090" s="119"/>
      <c r="O4090" s="118">
        <v>0</v>
      </c>
      <c r="P4090" s="119"/>
      <c r="Q4090" s="118">
        <v>9290</v>
      </c>
      <c r="R4090" s="119"/>
      <c r="S4090" s="118">
        <v>22000</v>
      </c>
      <c r="T4090" s="119"/>
      <c r="U4090" s="118">
        <f t="shared" ref="U4090" si="4160">SUM(K4090:T4091)</f>
        <v>582390</v>
      </c>
      <c r="V4090" s="122"/>
      <c r="W4090" s="124"/>
      <c r="X4090" s="126" t="s">
        <v>12489</v>
      </c>
      <c r="Y4090" s="127"/>
      <c r="Z4090" s="127"/>
      <c r="AA4090" s="127"/>
      <c r="AB4090" s="128"/>
      <c r="AC4090" s="15" t="s">
        <v>20</v>
      </c>
      <c r="AD4090" s="129" t="s">
        <v>1633</v>
      </c>
      <c r="AE4090" s="130"/>
      <c r="AF4090" s="130"/>
      <c r="AG4090" s="130"/>
      <c r="AH4090" s="130"/>
      <c r="AI4090" s="131"/>
      <c r="AJ4090" s="132"/>
      <c r="AK4090" s="127"/>
      <c r="AL4090" s="128"/>
      <c r="AM4090" s="21"/>
      <c r="AN4090" s="133">
        <v>46001</v>
      </c>
      <c r="AO4090" s="134"/>
      <c r="AP4090" s="135">
        <v>996</v>
      </c>
      <c r="AQ4090" s="136"/>
      <c r="AR4090" s="118">
        <v>695000</v>
      </c>
      <c r="AS4090" s="119"/>
      <c r="AT4090" s="118">
        <f t="shared" ref="AT4090" si="4161">AR4090*0.1</f>
        <v>69500</v>
      </c>
      <c r="AU4090" s="119"/>
      <c r="AV4090" s="118">
        <v>9290</v>
      </c>
      <c r="AW4090" s="119"/>
      <c r="AX4090" s="118">
        <f t="shared" ref="AX4090" si="4162">SUM(AR4090:AW4090)</f>
        <v>773790</v>
      </c>
      <c r="AY4090" s="119"/>
      <c r="AZ4090" s="137">
        <v>46006</v>
      </c>
    </row>
    <row r="4091" spans="1:52" ht="17.100000000000001" customHeight="1" thickBot="1">
      <c r="A4091" s="110"/>
      <c r="B4091" s="27" t="s">
        <v>3957</v>
      </c>
      <c r="C4091" s="27">
        <v>17</v>
      </c>
      <c r="D4091" s="14" t="s">
        <v>904</v>
      </c>
      <c r="E4091" s="112"/>
      <c r="F4091" s="139" t="s">
        <v>12488</v>
      </c>
      <c r="G4091" s="140"/>
      <c r="H4091" s="141"/>
      <c r="I4091" s="26">
        <v>33531</v>
      </c>
      <c r="J4091" s="117"/>
      <c r="K4091" s="120"/>
      <c r="L4091" s="121"/>
      <c r="M4091" s="120"/>
      <c r="N4091" s="121"/>
      <c r="O4091" s="120"/>
      <c r="P4091" s="121"/>
      <c r="Q4091" s="120"/>
      <c r="R4091" s="121"/>
      <c r="S4091" s="120"/>
      <c r="T4091" s="121"/>
      <c r="U4091" s="120"/>
      <c r="V4091" s="123"/>
      <c r="W4091" s="125"/>
      <c r="X4091" s="142" t="s">
        <v>12903</v>
      </c>
      <c r="Y4091" s="143"/>
      <c r="Z4091" s="143"/>
      <c r="AA4091" s="143"/>
      <c r="AB4091" s="144"/>
      <c r="AC4091" s="16" t="s">
        <v>21</v>
      </c>
      <c r="AD4091" s="17" t="s">
        <v>12856</v>
      </c>
      <c r="AE4091" s="145" t="s">
        <v>7043</v>
      </c>
      <c r="AF4091" s="146"/>
      <c r="AG4091" s="146"/>
      <c r="AH4091" s="146"/>
      <c r="AI4091" s="147"/>
      <c r="AJ4091" s="148"/>
      <c r="AK4091" s="143"/>
      <c r="AL4091" s="144"/>
      <c r="AM4091" s="22"/>
      <c r="AN4091" s="149" t="s">
        <v>2794</v>
      </c>
      <c r="AO4091" s="144"/>
      <c r="AP4091" s="148">
        <v>2051</v>
      </c>
      <c r="AQ4091" s="144"/>
      <c r="AR4091" s="120"/>
      <c r="AS4091" s="121"/>
      <c r="AT4091" s="120"/>
      <c r="AU4091" s="121"/>
      <c r="AV4091" s="120"/>
      <c r="AW4091" s="121"/>
      <c r="AX4091" s="120"/>
      <c r="AY4091" s="121"/>
      <c r="AZ4091" s="138"/>
    </row>
    <row r="4092" spans="1:52" ht="17.100000000000001" customHeight="1" thickTop="1">
      <c r="A4092" s="109" t="s">
        <v>12551</v>
      </c>
      <c r="B4092" s="28">
        <v>45996</v>
      </c>
      <c r="C4092" s="25">
        <v>269</v>
      </c>
      <c r="D4092" s="13" t="s">
        <v>2226</v>
      </c>
      <c r="E4092" s="111"/>
      <c r="F4092" s="113" t="s">
        <v>2719</v>
      </c>
      <c r="G4092" s="114"/>
      <c r="H4092" s="115"/>
      <c r="I4092" s="24" t="s">
        <v>4487</v>
      </c>
      <c r="J4092" s="116">
        <v>5</v>
      </c>
      <c r="K4092" s="118">
        <v>1208000</v>
      </c>
      <c r="L4092" s="119"/>
      <c r="M4092" s="118">
        <f t="shared" ref="M4092" si="4163">K4092*0.1</f>
        <v>120800</v>
      </c>
      <c r="N4092" s="119"/>
      <c r="O4092" s="118">
        <v>0</v>
      </c>
      <c r="P4092" s="119"/>
      <c r="Q4092" s="118">
        <v>11100</v>
      </c>
      <c r="R4092" s="119"/>
      <c r="S4092" s="118">
        <v>22000</v>
      </c>
      <c r="T4092" s="119"/>
      <c r="U4092" s="118">
        <f t="shared" ref="U4092" si="4164">SUM(K4092:T4093)</f>
        <v>1361900</v>
      </c>
      <c r="V4092" s="122"/>
      <c r="W4092" s="124"/>
      <c r="X4092" s="126" t="s">
        <v>12491</v>
      </c>
      <c r="Y4092" s="127"/>
      <c r="Z4092" s="127"/>
      <c r="AA4092" s="127"/>
      <c r="AB4092" s="128"/>
      <c r="AC4092" s="15" t="s">
        <v>20</v>
      </c>
      <c r="AD4092" s="129"/>
      <c r="AE4092" s="130"/>
      <c r="AF4092" s="130"/>
      <c r="AG4092" s="130"/>
      <c r="AH4092" s="130"/>
      <c r="AI4092" s="131"/>
      <c r="AJ4092" s="132"/>
      <c r="AK4092" s="127"/>
      <c r="AL4092" s="128"/>
      <c r="AM4092" s="21"/>
      <c r="AN4092" s="133">
        <v>46000</v>
      </c>
      <c r="AO4092" s="134"/>
      <c r="AP4092" s="135">
        <v>1921</v>
      </c>
      <c r="AQ4092" s="136"/>
      <c r="AR4092" s="118">
        <v>1275000</v>
      </c>
      <c r="AS4092" s="119"/>
      <c r="AT4092" s="118">
        <f t="shared" ref="AT4092" si="4165">AR4092*0.1</f>
        <v>127500</v>
      </c>
      <c r="AU4092" s="119"/>
      <c r="AV4092" s="118">
        <v>11100</v>
      </c>
      <c r="AW4092" s="119"/>
      <c r="AX4092" s="118">
        <f t="shared" ref="AX4092" si="4166">SUM(AR4092:AW4092)</f>
        <v>1413600</v>
      </c>
      <c r="AY4092" s="119"/>
      <c r="AZ4092" s="137">
        <v>46007</v>
      </c>
    </row>
    <row r="4093" spans="1:52" ht="17.100000000000001" customHeight="1" thickBot="1">
      <c r="A4093" s="110"/>
      <c r="B4093" s="27" t="s">
        <v>3957</v>
      </c>
      <c r="C4093" s="27">
        <v>30</v>
      </c>
      <c r="D4093" s="14" t="s">
        <v>1720</v>
      </c>
      <c r="E4093" s="112"/>
      <c r="F4093" s="139" t="s">
        <v>12490</v>
      </c>
      <c r="G4093" s="140"/>
      <c r="H4093" s="141"/>
      <c r="I4093" s="26">
        <v>3902</v>
      </c>
      <c r="J4093" s="117"/>
      <c r="K4093" s="120"/>
      <c r="L4093" s="121"/>
      <c r="M4093" s="120"/>
      <c r="N4093" s="121"/>
      <c r="O4093" s="120"/>
      <c r="P4093" s="121"/>
      <c r="Q4093" s="120"/>
      <c r="R4093" s="121"/>
      <c r="S4093" s="120"/>
      <c r="T4093" s="121"/>
      <c r="U4093" s="120"/>
      <c r="V4093" s="123"/>
      <c r="W4093" s="125"/>
      <c r="X4093" s="142" t="s">
        <v>12905</v>
      </c>
      <c r="Y4093" s="143"/>
      <c r="Z4093" s="143"/>
      <c r="AA4093" s="143"/>
      <c r="AB4093" s="144"/>
      <c r="AC4093" s="16" t="s">
        <v>21</v>
      </c>
      <c r="AD4093" s="17" t="s">
        <v>12856</v>
      </c>
      <c r="AE4093" s="158" t="s">
        <v>12918</v>
      </c>
      <c r="AF4093" s="146"/>
      <c r="AG4093" s="146"/>
      <c r="AH4093" s="146"/>
      <c r="AI4093" s="147"/>
      <c r="AJ4093" s="148"/>
      <c r="AK4093" s="143"/>
      <c r="AL4093" s="144"/>
      <c r="AM4093" s="22"/>
      <c r="AN4093" s="149" t="s">
        <v>7644</v>
      </c>
      <c r="AO4093" s="144"/>
      <c r="AP4093" s="148">
        <v>3415</v>
      </c>
      <c r="AQ4093" s="144"/>
      <c r="AR4093" s="120"/>
      <c r="AS4093" s="121"/>
      <c r="AT4093" s="120"/>
      <c r="AU4093" s="121"/>
      <c r="AV4093" s="120"/>
      <c r="AW4093" s="121"/>
      <c r="AX4093" s="120"/>
      <c r="AY4093" s="121"/>
      <c r="AZ4093" s="138"/>
    </row>
    <row r="4094" spans="1:52" ht="17.100000000000001" customHeight="1" thickTop="1">
      <c r="A4094" s="109" t="s">
        <v>12552</v>
      </c>
      <c r="B4094" s="28">
        <v>45996</v>
      </c>
      <c r="C4094" s="25">
        <v>269</v>
      </c>
      <c r="D4094" s="13" t="s">
        <v>2759</v>
      </c>
      <c r="E4094" s="111"/>
      <c r="F4094" s="113" t="s">
        <v>12492</v>
      </c>
      <c r="G4094" s="114"/>
      <c r="H4094" s="115"/>
      <c r="I4094" s="24"/>
      <c r="J4094" s="116">
        <v>5</v>
      </c>
      <c r="K4094" s="118">
        <v>1102000</v>
      </c>
      <c r="L4094" s="119"/>
      <c r="M4094" s="118">
        <f t="shared" ref="M4094" si="4167">K4094*0.1</f>
        <v>110200</v>
      </c>
      <c r="N4094" s="119"/>
      <c r="O4094" s="118">
        <v>0</v>
      </c>
      <c r="P4094" s="119"/>
      <c r="Q4094" s="118">
        <v>6830</v>
      </c>
      <c r="R4094" s="119"/>
      <c r="S4094" s="118">
        <v>22000</v>
      </c>
      <c r="T4094" s="119"/>
      <c r="U4094" s="118">
        <f t="shared" ref="U4094" si="4168">SUM(K4094:T4095)</f>
        <v>1241030</v>
      </c>
      <c r="V4094" s="122"/>
      <c r="W4094" s="124"/>
      <c r="X4094" s="126" t="s">
        <v>13016</v>
      </c>
      <c r="Y4094" s="127"/>
      <c r="Z4094" s="127"/>
      <c r="AA4094" s="127"/>
      <c r="AB4094" s="128"/>
      <c r="AC4094" s="15" t="s">
        <v>20</v>
      </c>
      <c r="AD4094" s="129" t="s">
        <v>2395</v>
      </c>
      <c r="AE4094" s="130"/>
      <c r="AF4094" s="130"/>
      <c r="AG4094" s="130"/>
      <c r="AH4094" s="130"/>
      <c r="AI4094" s="131"/>
      <c r="AJ4094" s="132"/>
      <c r="AK4094" s="127"/>
      <c r="AL4094" s="128"/>
      <c r="AM4094" s="21"/>
      <c r="AN4094" s="133">
        <v>46000</v>
      </c>
      <c r="AO4094" s="134"/>
      <c r="AP4094" s="135">
        <v>1921</v>
      </c>
      <c r="AQ4094" s="136"/>
      <c r="AR4094" s="118">
        <v>1173000</v>
      </c>
      <c r="AS4094" s="119"/>
      <c r="AT4094" s="118">
        <f t="shared" ref="AT4094" si="4169">AR4094*0.1</f>
        <v>117300</v>
      </c>
      <c r="AU4094" s="119"/>
      <c r="AV4094" s="118">
        <v>6830</v>
      </c>
      <c r="AW4094" s="119"/>
      <c r="AX4094" s="118">
        <f t="shared" ref="AX4094" si="4170">SUM(AR4094:AW4094)</f>
        <v>1297130</v>
      </c>
      <c r="AY4094" s="119"/>
      <c r="AZ4094" s="137"/>
    </row>
    <row r="4095" spans="1:52" ht="17.100000000000001" customHeight="1" thickBot="1">
      <c r="A4095" s="110"/>
      <c r="B4095" s="27" t="s">
        <v>3957</v>
      </c>
      <c r="C4095" s="27">
        <v>83</v>
      </c>
      <c r="D4095" s="14" t="s">
        <v>1812</v>
      </c>
      <c r="E4095" s="112"/>
      <c r="F4095" s="139" t="s">
        <v>12493</v>
      </c>
      <c r="G4095" s="140"/>
      <c r="H4095" s="141"/>
      <c r="I4095" s="26">
        <v>40196</v>
      </c>
      <c r="J4095" s="117"/>
      <c r="K4095" s="120"/>
      <c r="L4095" s="121"/>
      <c r="M4095" s="120"/>
      <c r="N4095" s="121"/>
      <c r="O4095" s="120"/>
      <c r="P4095" s="121"/>
      <c r="Q4095" s="120"/>
      <c r="R4095" s="121"/>
      <c r="S4095" s="120"/>
      <c r="T4095" s="121"/>
      <c r="U4095" s="120"/>
      <c r="V4095" s="123"/>
      <c r="W4095" s="125"/>
      <c r="X4095" s="142" t="s">
        <v>4500</v>
      </c>
      <c r="Y4095" s="143"/>
      <c r="Z4095" s="143"/>
      <c r="AA4095" s="143"/>
      <c r="AB4095" s="144"/>
      <c r="AC4095" s="16" t="s">
        <v>21</v>
      </c>
      <c r="AD4095" s="17" t="s">
        <v>12921</v>
      </c>
      <c r="AE4095" s="145" t="s">
        <v>2395</v>
      </c>
      <c r="AF4095" s="146"/>
      <c r="AG4095" s="146"/>
      <c r="AH4095" s="146"/>
      <c r="AI4095" s="147"/>
      <c r="AJ4095" s="148"/>
      <c r="AK4095" s="143"/>
      <c r="AL4095" s="144"/>
      <c r="AM4095" s="22"/>
      <c r="AN4095" s="149" t="s">
        <v>2131</v>
      </c>
      <c r="AO4095" s="144"/>
      <c r="AP4095" s="148">
        <v>3419</v>
      </c>
      <c r="AQ4095" s="144"/>
      <c r="AR4095" s="120"/>
      <c r="AS4095" s="121"/>
      <c r="AT4095" s="120"/>
      <c r="AU4095" s="121"/>
      <c r="AV4095" s="120"/>
      <c r="AW4095" s="121"/>
      <c r="AX4095" s="120"/>
      <c r="AY4095" s="121"/>
      <c r="AZ4095" s="138"/>
    </row>
    <row r="4096" spans="1:52" ht="17.100000000000001" customHeight="1" thickTop="1">
      <c r="A4096" s="109" t="s">
        <v>12553</v>
      </c>
      <c r="B4096" s="28">
        <v>45996</v>
      </c>
      <c r="C4096" s="25">
        <v>269</v>
      </c>
      <c r="D4096" s="13" t="s">
        <v>3461</v>
      </c>
      <c r="E4096" s="111"/>
      <c r="F4096" s="113" t="s">
        <v>5209</v>
      </c>
      <c r="G4096" s="114"/>
      <c r="H4096" s="115"/>
      <c r="I4096" s="24" t="s">
        <v>2584</v>
      </c>
      <c r="J4096" s="116">
        <v>5</v>
      </c>
      <c r="K4096" s="118">
        <v>1491000</v>
      </c>
      <c r="L4096" s="119"/>
      <c r="M4096" s="118">
        <f t="shared" ref="M4096" si="4171">K4096*0.1</f>
        <v>149100</v>
      </c>
      <c r="N4096" s="119"/>
      <c r="O4096" s="118">
        <v>0</v>
      </c>
      <c r="P4096" s="119"/>
      <c r="Q4096" s="118">
        <v>7040</v>
      </c>
      <c r="R4096" s="119"/>
      <c r="S4096" s="118">
        <v>22000</v>
      </c>
      <c r="T4096" s="119"/>
      <c r="U4096" s="118">
        <f t="shared" ref="U4096" si="4172">SUM(K4096:T4097)</f>
        <v>1669140</v>
      </c>
      <c r="V4096" s="122"/>
      <c r="W4096" s="124"/>
      <c r="X4096" s="126" t="s">
        <v>12495</v>
      </c>
      <c r="Y4096" s="127"/>
      <c r="Z4096" s="127"/>
      <c r="AA4096" s="127"/>
      <c r="AB4096" s="128"/>
      <c r="AC4096" s="15" t="s">
        <v>20</v>
      </c>
      <c r="AD4096" s="129" t="s">
        <v>171</v>
      </c>
      <c r="AE4096" s="130"/>
      <c r="AF4096" s="130"/>
      <c r="AG4096" s="130"/>
      <c r="AH4096" s="130"/>
      <c r="AI4096" s="131"/>
      <c r="AJ4096" s="132"/>
      <c r="AK4096" s="127"/>
      <c r="AL4096" s="128"/>
      <c r="AM4096" s="21"/>
      <c r="AN4096" s="133">
        <v>46000</v>
      </c>
      <c r="AO4096" s="134"/>
      <c r="AP4096" s="135">
        <v>1921</v>
      </c>
      <c r="AQ4096" s="136"/>
      <c r="AR4096" s="118">
        <v>1528000</v>
      </c>
      <c r="AS4096" s="119"/>
      <c r="AT4096" s="118">
        <f t="shared" ref="AT4096" si="4173">AR4096*0.1</f>
        <v>152800</v>
      </c>
      <c r="AU4096" s="119"/>
      <c r="AV4096" s="118">
        <v>7040</v>
      </c>
      <c r="AW4096" s="119"/>
      <c r="AX4096" s="118">
        <f t="shared" ref="AX4096" si="4174">SUM(AR4096:AW4096)</f>
        <v>1687840</v>
      </c>
      <c r="AY4096" s="119"/>
      <c r="AZ4096" s="137">
        <v>46006</v>
      </c>
    </row>
    <row r="4097" spans="1:52" ht="17.100000000000001" customHeight="1" thickBot="1">
      <c r="A4097" s="110"/>
      <c r="B4097" s="27" t="s">
        <v>3957</v>
      </c>
      <c r="C4097" s="27">
        <v>84</v>
      </c>
      <c r="D4097" s="14" t="s">
        <v>3809</v>
      </c>
      <c r="E4097" s="112"/>
      <c r="F4097" s="139" t="s">
        <v>12494</v>
      </c>
      <c r="G4097" s="140"/>
      <c r="H4097" s="141"/>
      <c r="I4097" s="26">
        <v>5150</v>
      </c>
      <c r="J4097" s="117"/>
      <c r="K4097" s="120"/>
      <c r="L4097" s="121"/>
      <c r="M4097" s="120"/>
      <c r="N4097" s="121"/>
      <c r="O4097" s="120"/>
      <c r="P4097" s="121"/>
      <c r="Q4097" s="120"/>
      <c r="R4097" s="121"/>
      <c r="S4097" s="120"/>
      <c r="T4097" s="121"/>
      <c r="U4097" s="120"/>
      <c r="V4097" s="123"/>
      <c r="W4097" s="125"/>
      <c r="X4097" s="142" t="s">
        <v>9569</v>
      </c>
      <c r="Y4097" s="143"/>
      <c r="Z4097" s="143"/>
      <c r="AA4097" s="143"/>
      <c r="AB4097" s="144"/>
      <c r="AC4097" s="16" t="s">
        <v>21</v>
      </c>
      <c r="AD4097" s="17" t="s">
        <v>12856</v>
      </c>
      <c r="AE4097" s="145" t="s">
        <v>2395</v>
      </c>
      <c r="AF4097" s="146"/>
      <c r="AG4097" s="146"/>
      <c r="AH4097" s="146"/>
      <c r="AI4097" s="147"/>
      <c r="AJ4097" s="148"/>
      <c r="AK4097" s="143"/>
      <c r="AL4097" s="144"/>
      <c r="AM4097" s="22"/>
      <c r="AN4097" s="149" t="s">
        <v>2131</v>
      </c>
      <c r="AO4097" s="144"/>
      <c r="AP4097" s="148">
        <v>3425</v>
      </c>
      <c r="AQ4097" s="144"/>
      <c r="AR4097" s="120"/>
      <c r="AS4097" s="121"/>
      <c r="AT4097" s="120"/>
      <c r="AU4097" s="121"/>
      <c r="AV4097" s="120"/>
      <c r="AW4097" s="121"/>
      <c r="AX4097" s="120"/>
      <c r="AY4097" s="121"/>
      <c r="AZ4097" s="138"/>
    </row>
    <row r="4098" spans="1:52" ht="17.100000000000001" customHeight="1" thickTop="1">
      <c r="A4098" s="109" t="s">
        <v>12554</v>
      </c>
      <c r="B4098" s="28">
        <v>45996</v>
      </c>
      <c r="C4098" s="25">
        <v>269</v>
      </c>
      <c r="D4098" s="13" t="s">
        <v>2737</v>
      </c>
      <c r="E4098" s="111"/>
      <c r="F4098" s="113" t="s">
        <v>4683</v>
      </c>
      <c r="G4098" s="114"/>
      <c r="H4098" s="115"/>
      <c r="I4098" s="24"/>
      <c r="J4098" s="116">
        <v>4.5</v>
      </c>
      <c r="K4098" s="118">
        <v>997000</v>
      </c>
      <c r="L4098" s="119"/>
      <c r="M4098" s="118">
        <f t="shared" ref="M4098" si="4175">K4098*0.1</f>
        <v>99700</v>
      </c>
      <c r="N4098" s="119"/>
      <c r="O4098" s="118">
        <v>0</v>
      </c>
      <c r="P4098" s="119"/>
      <c r="Q4098" s="118">
        <v>7150</v>
      </c>
      <c r="R4098" s="119"/>
      <c r="S4098" s="118">
        <v>22000</v>
      </c>
      <c r="T4098" s="119"/>
      <c r="U4098" s="118">
        <f t="shared" ref="U4098" si="4176">SUM(K4098:T4099)</f>
        <v>1125850</v>
      </c>
      <c r="V4098" s="122"/>
      <c r="W4098" s="124"/>
      <c r="X4098" s="126" t="s">
        <v>13072</v>
      </c>
      <c r="Y4098" s="127"/>
      <c r="Z4098" s="127"/>
      <c r="AA4098" s="127"/>
      <c r="AB4098" s="128"/>
      <c r="AC4098" s="15" t="s">
        <v>20</v>
      </c>
      <c r="AD4098" s="129"/>
      <c r="AE4098" s="130"/>
      <c r="AF4098" s="130"/>
      <c r="AG4098" s="130"/>
      <c r="AH4098" s="130"/>
      <c r="AI4098" s="131"/>
      <c r="AJ4098" s="132"/>
      <c r="AK4098" s="127"/>
      <c r="AL4098" s="128"/>
      <c r="AM4098" s="21"/>
      <c r="AN4098" s="133">
        <v>46008</v>
      </c>
      <c r="AO4098" s="134"/>
      <c r="AP4098" s="135">
        <v>997</v>
      </c>
      <c r="AQ4098" s="136"/>
      <c r="AR4098" s="118">
        <v>1075000</v>
      </c>
      <c r="AS4098" s="119"/>
      <c r="AT4098" s="118">
        <f t="shared" ref="AT4098" si="4177">AR4098*0.1</f>
        <v>107500</v>
      </c>
      <c r="AU4098" s="119"/>
      <c r="AV4098" s="118">
        <v>7180</v>
      </c>
      <c r="AW4098" s="119"/>
      <c r="AX4098" s="118">
        <f t="shared" ref="AX4098" si="4178">SUM(AR4098:AW4098)</f>
        <v>1189680</v>
      </c>
      <c r="AY4098" s="119"/>
      <c r="AZ4098" s="137">
        <v>46013</v>
      </c>
    </row>
    <row r="4099" spans="1:52" ht="17.100000000000001" customHeight="1" thickBot="1">
      <c r="A4099" s="110"/>
      <c r="B4099" s="27" t="s">
        <v>3957</v>
      </c>
      <c r="C4099" s="27">
        <v>94</v>
      </c>
      <c r="D4099" s="14" t="s">
        <v>1635</v>
      </c>
      <c r="E4099" s="112"/>
      <c r="F4099" s="139" t="s">
        <v>12496</v>
      </c>
      <c r="G4099" s="140"/>
      <c r="H4099" s="141"/>
      <c r="I4099" s="26">
        <v>28225</v>
      </c>
      <c r="J4099" s="117"/>
      <c r="K4099" s="120"/>
      <c r="L4099" s="121"/>
      <c r="M4099" s="120"/>
      <c r="N4099" s="121"/>
      <c r="O4099" s="120"/>
      <c r="P4099" s="121"/>
      <c r="Q4099" s="120"/>
      <c r="R4099" s="121"/>
      <c r="S4099" s="120"/>
      <c r="T4099" s="121"/>
      <c r="U4099" s="120"/>
      <c r="V4099" s="123"/>
      <c r="W4099" s="125"/>
      <c r="X4099" s="142" t="s">
        <v>3884</v>
      </c>
      <c r="Y4099" s="143"/>
      <c r="Z4099" s="143"/>
      <c r="AA4099" s="143"/>
      <c r="AB4099" s="144"/>
      <c r="AC4099" s="16" t="s">
        <v>21</v>
      </c>
      <c r="AD4099" s="17" t="s">
        <v>12921</v>
      </c>
      <c r="AE4099" s="145"/>
      <c r="AF4099" s="146"/>
      <c r="AG4099" s="146"/>
      <c r="AH4099" s="146"/>
      <c r="AI4099" s="147"/>
      <c r="AJ4099" s="148"/>
      <c r="AK4099" s="143"/>
      <c r="AL4099" s="144"/>
      <c r="AM4099" s="22"/>
      <c r="AN4099" s="149" t="s">
        <v>2794</v>
      </c>
      <c r="AO4099" s="144"/>
      <c r="AP4099" s="148">
        <v>2054</v>
      </c>
      <c r="AQ4099" s="144"/>
      <c r="AR4099" s="120"/>
      <c r="AS4099" s="121"/>
      <c r="AT4099" s="120"/>
      <c r="AU4099" s="121"/>
      <c r="AV4099" s="120"/>
      <c r="AW4099" s="121"/>
      <c r="AX4099" s="120"/>
      <c r="AY4099" s="121"/>
      <c r="AZ4099" s="138"/>
    </row>
    <row r="4100" spans="1:52" ht="17.100000000000001" customHeight="1" thickTop="1">
      <c r="A4100" s="109" t="s">
        <v>12555</v>
      </c>
      <c r="B4100" s="28">
        <v>45996</v>
      </c>
      <c r="C4100" s="25">
        <v>2113</v>
      </c>
      <c r="D4100" s="13" t="s">
        <v>1998</v>
      </c>
      <c r="E4100" s="111"/>
      <c r="F4100" s="113" t="s">
        <v>11467</v>
      </c>
      <c r="G4100" s="114"/>
      <c r="H4100" s="115"/>
      <c r="I4100" s="24" t="s">
        <v>5410</v>
      </c>
      <c r="J4100" s="116">
        <v>5</v>
      </c>
      <c r="K4100" s="118">
        <v>1300000</v>
      </c>
      <c r="L4100" s="119"/>
      <c r="M4100" s="118">
        <f t="shared" ref="M4100" si="4179">K4100*0.1</f>
        <v>130000</v>
      </c>
      <c r="N4100" s="119"/>
      <c r="O4100" s="118">
        <f>7600+760</f>
        <v>8360</v>
      </c>
      <c r="P4100" s="119"/>
      <c r="Q4100" s="118">
        <v>12270</v>
      </c>
      <c r="R4100" s="119"/>
      <c r="S4100" s="118">
        <v>16500</v>
      </c>
      <c r="T4100" s="119"/>
      <c r="U4100" s="118">
        <f t="shared" ref="U4100" si="4180">SUM(K4100:T4101)</f>
        <v>1467130</v>
      </c>
      <c r="V4100" s="122"/>
      <c r="W4100" s="124"/>
      <c r="X4100" s="126" t="s">
        <v>12498</v>
      </c>
      <c r="Y4100" s="127"/>
      <c r="Z4100" s="127"/>
      <c r="AA4100" s="127"/>
      <c r="AB4100" s="128"/>
      <c r="AC4100" s="15" t="s">
        <v>20</v>
      </c>
      <c r="AD4100" s="129" t="s">
        <v>2259</v>
      </c>
      <c r="AE4100" s="130"/>
      <c r="AF4100" s="130"/>
      <c r="AG4100" s="130"/>
      <c r="AH4100" s="130"/>
      <c r="AI4100" s="131"/>
      <c r="AJ4100" s="132"/>
      <c r="AK4100" s="127"/>
      <c r="AL4100" s="128"/>
      <c r="AM4100" s="21"/>
      <c r="AN4100" s="133">
        <v>46008</v>
      </c>
      <c r="AO4100" s="134"/>
      <c r="AP4100" s="135">
        <v>997</v>
      </c>
      <c r="AQ4100" s="136"/>
      <c r="AR4100" s="118">
        <v>1620000</v>
      </c>
      <c r="AS4100" s="119"/>
      <c r="AT4100" s="118">
        <f t="shared" ref="AT4100" si="4181">AR4100*0.1</f>
        <v>162000</v>
      </c>
      <c r="AU4100" s="119"/>
      <c r="AV4100" s="118">
        <v>12270</v>
      </c>
      <c r="AW4100" s="119"/>
      <c r="AX4100" s="118">
        <f t="shared" ref="AX4100" si="4182">SUM(AR4100:AW4100)</f>
        <v>1794270</v>
      </c>
      <c r="AY4100" s="119"/>
      <c r="AZ4100" s="137">
        <v>46013</v>
      </c>
    </row>
    <row r="4101" spans="1:52" ht="17.100000000000001" customHeight="1" thickBot="1">
      <c r="A4101" s="110"/>
      <c r="B4101" s="27" t="s">
        <v>1543</v>
      </c>
      <c r="C4101" s="27">
        <v>13054</v>
      </c>
      <c r="D4101" s="14" t="s">
        <v>1592</v>
      </c>
      <c r="E4101" s="112"/>
      <c r="F4101" s="139" t="s">
        <v>12497</v>
      </c>
      <c r="G4101" s="140"/>
      <c r="H4101" s="141"/>
      <c r="I4101" s="26">
        <v>7236</v>
      </c>
      <c r="J4101" s="117"/>
      <c r="K4101" s="120"/>
      <c r="L4101" s="121"/>
      <c r="M4101" s="120"/>
      <c r="N4101" s="121"/>
      <c r="O4101" s="120"/>
      <c r="P4101" s="121"/>
      <c r="Q4101" s="120"/>
      <c r="R4101" s="121"/>
      <c r="S4101" s="120"/>
      <c r="T4101" s="121"/>
      <c r="U4101" s="120"/>
      <c r="V4101" s="123"/>
      <c r="W4101" s="125"/>
      <c r="X4101" s="142" t="s">
        <v>12403</v>
      </c>
      <c r="Y4101" s="143"/>
      <c r="Z4101" s="143"/>
      <c r="AA4101" s="143"/>
      <c r="AB4101" s="144"/>
      <c r="AC4101" s="16" t="s">
        <v>21</v>
      </c>
      <c r="AD4101" s="17" t="s">
        <v>13052</v>
      </c>
      <c r="AE4101" s="145" t="s">
        <v>4420</v>
      </c>
      <c r="AF4101" s="146"/>
      <c r="AG4101" s="146"/>
      <c r="AH4101" s="146"/>
      <c r="AI4101" s="147"/>
      <c r="AJ4101" s="148"/>
      <c r="AK4101" s="143"/>
      <c r="AL4101" s="144"/>
      <c r="AM4101" s="22"/>
      <c r="AN4101" s="149" t="s">
        <v>7285</v>
      </c>
      <c r="AO4101" s="144"/>
      <c r="AP4101" s="148">
        <v>5030</v>
      </c>
      <c r="AQ4101" s="144"/>
      <c r="AR4101" s="120"/>
      <c r="AS4101" s="121"/>
      <c r="AT4101" s="120"/>
      <c r="AU4101" s="121"/>
      <c r="AV4101" s="120"/>
      <c r="AW4101" s="121"/>
      <c r="AX4101" s="120"/>
      <c r="AY4101" s="121"/>
      <c r="AZ4101" s="138"/>
    </row>
    <row r="4102" spans="1:52" ht="17.100000000000001" customHeight="1" thickTop="1">
      <c r="A4102" s="109" t="s">
        <v>12556</v>
      </c>
      <c r="B4102" s="28">
        <v>45996</v>
      </c>
      <c r="C4102" s="25">
        <v>2113</v>
      </c>
      <c r="D4102" s="13" t="s">
        <v>1776</v>
      </c>
      <c r="E4102" s="111"/>
      <c r="F4102" s="113" t="s">
        <v>7177</v>
      </c>
      <c r="G4102" s="114"/>
      <c r="H4102" s="115"/>
      <c r="I4102" s="24"/>
      <c r="J4102" s="116">
        <v>4.5</v>
      </c>
      <c r="K4102" s="118">
        <v>925000</v>
      </c>
      <c r="L4102" s="119"/>
      <c r="M4102" s="118">
        <f t="shared" ref="M4102" si="4183">K4102*0.1</f>
        <v>92500</v>
      </c>
      <c r="N4102" s="119"/>
      <c r="O4102" s="118">
        <v>0</v>
      </c>
      <c r="P4102" s="119"/>
      <c r="Q4102" s="118">
        <v>12450</v>
      </c>
      <c r="R4102" s="119"/>
      <c r="S4102" s="118">
        <v>16500</v>
      </c>
      <c r="T4102" s="119"/>
      <c r="U4102" s="118">
        <f t="shared" ref="U4102" si="4184">SUM(K4102:T4103)</f>
        <v>1046450</v>
      </c>
      <c r="V4102" s="122"/>
      <c r="W4102" s="124"/>
      <c r="X4102" s="126" t="s">
        <v>13192</v>
      </c>
      <c r="Y4102" s="127"/>
      <c r="Z4102" s="127"/>
      <c r="AA4102" s="127"/>
      <c r="AB4102" s="128"/>
      <c r="AC4102" s="15" t="s">
        <v>20</v>
      </c>
      <c r="AD4102" s="129" t="s">
        <v>1633</v>
      </c>
      <c r="AE4102" s="130"/>
      <c r="AF4102" s="130"/>
      <c r="AG4102" s="130"/>
      <c r="AH4102" s="130"/>
      <c r="AI4102" s="131"/>
      <c r="AJ4102" s="132"/>
      <c r="AK4102" s="127"/>
      <c r="AL4102" s="128"/>
      <c r="AM4102" s="21"/>
      <c r="AN4102" s="133">
        <v>46011</v>
      </c>
      <c r="AO4102" s="134"/>
      <c r="AP4102" s="135">
        <v>1281</v>
      </c>
      <c r="AQ4102" s="136"/>
      <c r="AR4102" s="118">
        <v>1090000</v>
      </c>
      <c r="AS4102" s="119"/>
      <c r="AT4102" s="118">
        <f t="shared" ref="AT4102" si="4185">AR4102*0.1</f>
        <v>109000</v>
      </c>
      <c r="AU4102" s="119"/>
      <c r="AV4102" s="118">
        <v>12450</v>
      </c>
      <c r="AW4102" s="119"/>
      <c r="AX4102" s="118">
        <f t="shared" ref="AX4102" si="4186">SUM(AR4102:AW4102)</f>
        <v>1211450</v>
      </c>
      <c r="AY4102" s="119"/>
      <c r="AZ4102" s="137">
        <v>46014</v>
      </c>
    </row>
    <row r="4103" spans="1:52" ht="17.100000000000001" customHeight="1" thickBot="1">
      <c r="A4103" s="110"/>
      <c r="B4103" s="27" t="s">
        <v>1543</v>
      </c>
      <c r="C4103" s="27">
        <v>13240</v>
      </c>
      <c r="D4103" s="14" t="s">
        <v>1592</v>
      </c>
      <c r="E4103" s="112"/>
      <c r="F4103" s="139" t="s">
        <v>12499</v>
      </c>
      <c r="G4103" s="140"/>
      <c r="H4103" s="141"/>
      <c r="I4103" s="26">
        <v>37478</v>
      </c>
      <c r="J4103" s="117"/>
      <c r="K4103" s="120"/>
      <c r="L4103" s="121"/>
      <c r="M4103" s="120"/>
      <c r="N4103" s="121"/>
      <c r="O4103" s="120"/>
      <c r="P4103" s="121"/>
      <c r="Q4103" s="120"/>
      <c r="R4103" s="121"/>
      <c r="S4103" s="120"/>
      <c r="T4103" s="121"/>
      <c r="U4103" s="120"/>
      <c r="V4103" s="123"/>
      <c r="W4103" s="125"/>
      <c r="X4103" s="142" t="s">
        <v>3410</v>
      </c>
      <c r="Y4103" s="143"/>
      <c r="Z4103" s="143"/>
      <c r="AA4103" s="143"/>
      <c r="AB4103" s="144"/>
      <c r="AC4103" s="16" t="s">
        <v>21</v>
      </c>
      <c r="AD4103" s="17" t="s">
        <v>13052</v>
      </c>
      <c r="AE4103" s="145" t="s">
        <v>13449</v>
      </c>
      <c r="AF4103" s="146"/>
      <c r="AG4103" s="146"/>
      <c r="AH4103" s="146"/>
      <c r="AI4103" s="147"/>
      <c r="AJ4103" s="148"/>
      <c r="AK4103" s="143"/>
      <c r="AL4103" s="144"/>
      <c r="AM4103" s="22"/>
      <c r="AN4103" s="149" t="s">
        <v>2511</v>
      </c>
      <c r="AO4103" s="144"/>
      <c r="AP4103" s="148">
        <v>80026</v>
      </c>
      <c r="AQ4103" s="144"/>
      <c r="AR4103" s="120"/>
      <c r="AS4103" s="121"/>
      <c r="AT4103" s="120"/>
      <c r="AU4103" s="121"/>
      <c r="AV4103" s="120"/>
      <c r="AW4103" s="121"/>
      <c r="AX4103" s="120"/>
      <c r="AY4103" s="121"/>
      <c r="AZ4103" s="138"/>
    </row>
    <row r="4104" spans="1:52" ht="17.100000000000001" customHeight="1" thickTop="1">
      <c r="A4104" s="109" t="s">
        <v>12557</v>
      </c>
      <c r="B4104" s="28">
        <v>45996</v>
      </c>
      <c r="C4104" s="25">
        <v>2113</v>
      </c>
      <c r="D4104" s="13" t="s">
        <v>3461</v>
      </c>
      <c r="E4104" s="111"/>
      <c r="F4104" s="113" t="s">
        <v>12500</v>
      </c>
      <c r="G4104" s="114"/>
      <c r="H4104" s="115"/>
      <c r="I4104" s="24"/>
      <c r="J4104" s="116">
        <v>4.5</v>
      </c>
      <c r="K4104" s="118">
        <v>4285000</v>
      </c>
      <c r="L4104" s="119"/>
      <c r="M4104" s="118">
        <f t="shared" ref="M4104" si="4187">K4104*0.1</f>
        <v>428500</v>
      </c>
      <c r="N4104" s="119"/>
      <c r="O4104" s="118">
        <v>0</v>
      </c>
      <c r="P4104" s="119"/>
      <c r="Q4104" s="118">
        <v>15620</v>
      </c>
      <c r="R4104" s="119"/>
      <c r="S4104" s="118">
        <v>16500</v>
      </c>
      <c r="T4104" s="119"/>
      <c r="U4104" s="118">
        <f t="shared" ref="U4104" si="4188">SUM(K4104:T4105)</f>
        <v>4745620</v>
      </c>
      <c r="V4104" s="122"/>
      <c r="W4104" s="124"/>
      <c r="X4104" s="126" t="s">
        <v>13193</v>
      </c>
      <c r="Y4104" s="127"/>
      <c r="Z4104" s="127"/>
      <c r="AA4104" s="127"/>
      <c r="AB4104" s="128"/>
      <c r="AC4104" s="15" t="s">
        <v>20</v>
      </c>
      <c r="AD4104" s="129" t="s">
        <v>1633</v>
      </c>
      <c r="AE4104" s="130"/>
      <c r="AF4104" s="130"/>
      <c r="AG4104" s="130"/>
      <c r="AH4104" s="130"/>
      <c r="AI4104" s="131"/>
      <c r="AJ4104" s="132"/>
      <c r="AK4104" s="127"/>
      <c r="AL4104" s="128"/>
      <c r="AM4104" s="21"/>
      <c r="AN4104" s="133">
        <v>46008</v>
      </c>
      <c r="AO4104" s="134"/>
      <c r="AP4104" s="135">
        <v>997</v>
      </c>
      <c r="AQ4104" s="136"/>
      <c r="AR4104" s="118">
        <v>4400000</v>
      </c>
      <c r="AS4104" s="119"/>
      <c r="AT4104" s="118">
        <f t="shared" ref="AT4104" si="4189">AR4104*0.1</f>
        <v>440000</v>
      </c>
      <c r="AU4104" s="119"/>
      <c r="AV4104" s="118">
        <v>15620</v>
      </c>
      <c r="AW4104" s="119"/>
      <c r="AX4104" s="118">
        <f t="shared" ref="AX4104" si="4190">SUM(AR4104:AW4104)</f>
        <v>4855620</v>
      </c>
      <c r="AY4104" s="119"/>
      <c r="AZ4104" s="137">
        <v>46013</v>
      </c>
    </row>
    <row r="4105" spans="1:52" ht="17.100000000000001" customHeight="1" thickBot="1">
      <c r="A4105" s="110"/>
      <c r="B4105" s="27" t="s">
        <v>1543</v>
      </c>
      <c r="C4105" s="27">
        <v>35098</v>
      </c>
      <c r="D4105" s="14" t="s">
        <v>275</v>
      </c>
      <c r="E4105" s="112"/>
      <c r="F4105" s="139" t="s">
        <v>12501</v>
      </c>
      <c r="G4105" s="140"/>
      <c r="H4105" s="141"/>
      <c r="I4105" s="26">
        <v>21955</v>
      </c>
      <c r="J4105" s="117"/>
      <c r="K4105" s="120"/>
      <c r="L4105" s="121"/>
      <c r="M4105" s="120"/>
      <c r="N4105" s="121"/>
      <c r="O4105" s="120"/>
      <c r="P4105" s="121"/>
      <c r="Q4105" s="120"/>
      <c r="R4105" s="121"/>
      <c r="S4105" s="120"/>
      <c r="T4105" s="121"/>
      <c r="U4105" s="120"/>
      <c r="V4105" s="123"/>
      <c r="W4105" s="125"/>
      <c r="X4105" s="142" t="s">
        <v>3410</v>
      </c>
      <c r="Y4105" s="143"/>
      <c r="Z4105" s="143"/>
      <c r="AA4105" s="143"/>
      <c r="AB4105" s="144"/>
      <c r="AC4105" s="16" t="s">
        <v>21</v>
      </c>
      <c r="AD4105" s="17" t="s">
        <v>13052</v>
      </c>
      <c r="AE4105" s="145" t="s">
        <v>1614</v>
      </c>
      <c r="AF4105" s="146"/>
      <c r="AG4105" s="146"/>
      <c r="AH4105" s="146"/>
      <c r="AI4105" s="147"/>
      <c r="AJ4105" s="148"/>
      <c r="AK4105" s="143"/>
      <c r="AL4105" s="144"/>
      <c r="AM4105" s="22"/>
      <c r="AN4105" s="149" t="s">
        <v>2794</v>
      </c>
      <c r="AO4105" s="144"/>
      <c r="AP4105" s="148">
        <v>5029</v>
      </c>
      <c r="AQ4105" s="144"/>
      <c r="AR4105" s="120"/>
      <c r="AS4105" s="121"/>
      <c r="AT4105" s="120"/>
      <c r="AU4105" s="121"/>
      <c r="AV4105" s="120"/>
      <c r="AW4105" s="121"/>
      <c r="AX4105" s="120"/>
      <c r="AY4105" s="121"/>
      <c r="AZ4105" s="138"/>
    </row>
    <row r="4106" spans="1:52" ht="17.100000000000001" customHeight="1" thickTop="1">
      <c r="A4106" s="151" t="s">
        <v>12558</v>
      </c>
      <c r="B4106" s="28">
        <v>45996</v>
      </c>
      <c r="C4106" s="25"/>
      <c r="D4106" s="13" t="s">
        <v>1825</v>
      </c>
      <c r="E4106" s="111"/>
      <c r="F4106" s="113" t="s">
        <v>12565</v>
      </c>
      <c r="G4106" s="114"/>
      <c r="H4106" s="115"/>
      <c r="I4106" s="24" t="s">
        <v>12567</v>
      </c>
      <c r="J4106" s="116">
        <v>4.5</v>
      </c>
      <c r="K4106" s="118">
        <f>4620000/1.1</f>
        <v>4200000</v>
      </c>
      <c r="L4106" s="119"/>
      <c r="M4106" s="118">
        <f t="shared" ref="M4106" si="4191">K4106*0.1</f>
        <v>420000</v>
      </c>
      <c r="N4106" s="119"/>
      <c r="O4106" s="118">
        <v>8300</v>
      </c>
      <c r="P4106" s="119"/>
      <c r="Q4106" s="118">
        <v>15540</v>
      </c>
      <c r="R4106" s="119"/>
      <c r="S4106" s="118">
        <v>0</v>
      </c>
      <c r="T4106" s="119"/>
      <c r="U4106" s="118">
        <f t="shared" ref="U4106" si="4192">SUM(K4106:T4107)</f>
        <v>4643840</v>
      </c>
      <c r="V4106" s="122"/>
      <c r="W4106" s="124"/>
      <c r="X4106" s="126" t="s">
        <v>14621</v>
      </c>
      <c r="Y4106" s="127"/>
      <c r="Z4106" s="127"/>
      <c r="AA4106" s="127"/>
      <c r="AB4106" s="128"/>
      <c r="AC4106" s="15" t="s">
        <v>20</v>
      </c>
      <c r="AD4106" s="129"/>
      <c r="AE4106" s="130"/>
      <c r="AF4106" s="130"/>
      <c r="AG4106" s="130"/>
      <c r="AH4106" s="130"/>
      <c r="AI4106" s="131"/>
      <c r="AJ4106" s="132"/>
      <c r="AK4106" s="127"/>
      <c r="AL4106" s="128"/>
      <c r="AM4106" s="21"/>
      <c r="AN4106" s="133">
        <v>46039</v>
      </c>
      <c r="AO4106" s="134"/>
      <c r="AP4106" s="135">
        <v>1284</v>
      </c>
      <c r="AQ4106" s="136"/>
      <c r="AR4106" s="118">
        <v>4250000</v>
      </c>
      <c r="AS4106" s="119"/>
      <c r="AT4106" s="118">
        <f t="shared" ref="AT4106" si="4193">AR4106*0.1</f>
        <v>425000</v>
      </c>
      <c r="AU4106" s="119"/>
      <c r="AV4106" s="118">
        <v>15540</v>
      </c>
      <c r="AW4106" s="119"/>
      <c r="AX4106" s="118">
        <f t="shared" ref="AX4106" si="4194">SUM(AR4106:AW4106)</f>
        <v>4690540</v>
      </c>
      <c r="AY4106" s="119"/>
      <c r="AZ4106" s="137">
        <v>46042</v>
      </c>
    </row>
    <row r="4107" spans="1:52" ht="17.100000000000001" customHeight="1" thickBot="1">
      <c r="A4107" s="152"/>
      <c r="B4107" s="27" t="s">
        <v>1718</v>
      </c>
      <c r="C4107" s="27" t="s">
        <v>12564</v>
      </c>
      <c r="D4107" s="14" t="s">
        <v>275</v>
      </c>
      <c r="E4107" s="112"/>
      <c r="F4107" s="139" t="s">
        <v>12566</v>
      </c>
      <c r="G4107" s="140"/>
      <c r="H4107" s="141"/>
      <c r="I4107" s="26">
        <v>29500</v>
      </c>
      <c r="J4107" s="117"/>
      <c r="K4107" s="120"/>
      <c r="L4107" s="121"/>
      <c r="M4107" s="120"/>
      <c r="N4107" s="121"/>
      <c r="O4107" s="120"/>
      <c r="P4107" s="121"/>
      <c r="Q4107" s="120"/>
      <c r="R4107" s="121"/>
      <c r="S4107" s="120"/>
      <c r="T4107" s="121"/>
      <c r="U4107" s="120"/>
      <c r="V4107" s="123"/>
      <c r="W4107" s="125"/>
      <c r="X4107" s="142" t="s">
        <v>1997</v>
      </c>
      <c r="Y4107" s="143"/>
      <c r="Z4107" s="143"/>
      <c r="AA4107" s="143"/>
      <c r="AB4107" s="144"/>
      <c r="AC4107" s="16" t="s">
        <v>21</v>
      </c>
      <c r="AD4107" s="17" t="s">
        <v>4121</v>
      </c>
      <c r="AE4107" s="145"/>
      <c r="AF4107" s="146"/>
      <c r="AG4107" s="146"/>
      <c r="AH4107" s="146"/>
      <c r="AI4107" s="147"/>
      <c r="AJ4107" s="148"/>
      <c r="AK4107" s="143"/>
      <c r="AL4107" s="144"/>
      <c r="AM4107" s="22"/>
      <c r="AN4107" s="149" t="s">
        <v>2511</v>
      </c>
      <c r="AO4107" s="144"/>
      <c r="AP4107" s="148">
        <v>31154</v>
      </c>
      <c r="AQ4107" s="144"/>
      <c r="AR4107" s="120"/>
      <c r="AS4107" s="121"/>
      <c r="AT4107" s="120"/>
      <c r="AU4107" s="121"/>
      <c r="AV4107" s="120"/>
      <c r="AW4107" s="121"/>
      <c r="AX4107" s="120"/>
      <c r="AY4107" s="121"/>
      <c r="AZ4107" s="138"/>
    </row>
    <row r="4108" spans="1:52" ht="17.100000000000001" customHeight="1" thickTop="1">
      <c r="A4108" s="109" t="s">
        <v>12559</v>
      </c>
      <c r="B4108" s="28">
        <v>45996</v>
      </c>
      <c r="C4108" s="25"/>
      <c r="D4108" s="13" t="s">
        <v>2442</v>
      </c>
      <c r="E4108" s="111"/>
      <c r="F4108" s="113" t="s">
        <v>4894</v>
      </c>
      <c r="G4108" s="114"/>
      <c r="H4108" s="115"/>
      <c r="I4108" s="24" t="s">
        <v>3463</v>
      </c>
      <c r="J4108" s="116">
        <v>4</v>
      </c>
      <c r="K4108" s="118">
        <f>990000/1.1</f>
        <v>899999.99999999988</v>
      </c>
      <c r="L4108" s="119"/>
      <c r="M4108" s="118">
        <f t="shared" ref="M4108" si="4195">K4108*0.1</f>
        <v>90000</v>
      </c>
      <c r="N4108" s="119"/>
      <c r="O4108" s="118">
        <v>0</v>
      </c>
      <c r="P4108" s="119"/>
      <c r="Q4108" s="118">
        <v>9200</v>
      </c>
      <c r="R4108" s="119"/>
      <c r="S4108" s="118">
        <v>0</v>
      </c>
      <c r="T4108" s="119"/>
      <c r="U4108" s="118">
        <f t="shared" ref="U4108" si="4196">SUM(K4108:T4109)</f>
        <v>999199.99999999988</v>
      </c>
      <c r="V4108" s="122"/>
      <c r="W4108" s="124"/>
      <c r="X4108" s="126" t="s">
        <v>14516</v>
      </c>
      <c r="Y4108" s="127"/>
      <c r="Z4108" s="127"/>
      <c r="AA4108" s="127"/>
      <c r="AB4108" s="128"/>
      <c r="AC4108" s="15" t="s">
        <v>20</v>
      </c>
      <c r="AD4108" s="129" t="s">
        <v>171</v>
      </c>
      <c r="AE4108" s="130"/>
      <c r="AF4108" s="130"/>
      <c r="AG4108" s="130"/>
      <c r="AH4108" s="130"/>
      <c r="AI4108" s="131"/>
      <c r="AJ4108" s="132"/>
      <c r="AK4108" s="127"/>
      <c r="AL4108" s="128"/>
      <c r="AM4108" s="21"/>
      <c r="AN4108" s="133">
        <v>46053</v>
      </c>
      <c r="AO4108" s="134"/>
      <c r="AP4108" s="135">
        <v>1286</v>
      </c>
      <c r="AQ4108" s="136"/>
      <c r="AR4108" s="118">
        <v>910000</v>
      </c>
      <c r="AS4108" s="119"/>
      <c r="AT4108" s="118">
        <f t="shared" ref="AT4108" si="4197">AR4108*0.1</f>
        <v>91000</v>
      </c>
      <c r="AU4108" s="119"/>
      <c r="AV4108" s="118">
        <v>9200</v>
      </c>
      <c r="AW4108" s="119"/>
      <c r="AX4108" s="118">
        <f t="shared" ref="AX4108" si="4198">SUM(AR4108:AW4108)</f>
        <v>1010200</v>
      </c>
      <c r="AY4108" s="119"/>
      <c r="AZ4108" s="137">
        <v>46056</v>
      </c>
    </row>
    <row r="4109" spans="1:52" ht="17.100000000000001" customHeight="1" thickBot="1">
      <c r="A4109" s="110"/>
      <c r="B4109" s="27" t="s">
        <v>1718</v>
      </c>
      <c r="C4109" s="27" t="s">
        <v>12502</v>
      </c>
      <c r="D4109" s="14" t="s">
        <v>1592</v>
      </c>
      <c r="E4109" s="112"/>
      <c r="F4109" s="139" t="s">
        <v>12503</v>
      </c>
      <c r="G4109" s="140"/>
      <c r="H4109" s="141"/>
      <c r="I4109" s="26">
        <v>42406</v>
      </c>
      <c r="J4109" s="117"/>
      <c r="K4109" s="120"/>
      <c r="L4109" s="121"/>
      <c r="M4109" s="120"/>
      <c r="N4109" s="121"/>
      <c r="O4109" s="120"/>
      <c r="P4109" s="121"/>
      <c r="Q4109" s="120"/>
      <c r="R4109" s="121"/>
      <c r="S4109" s="120"/>
      <c r="T4109" s="121"/>
      <c r="U4109" s="120"/>
      <c r="V4109" s="123"/>
      <c r="W4109" s="125"/>
      <c r="X4109" s="142" t="s">
        <v>14517</v>
      </c>
      <c r="Y4109" s="143"/>
      <c r="Z4109" s="143"/>
      <c r="AA4109" s="143"/>
      <c r="AB4109" s="144"/>
      <c r="AC4109" s="16" t="s">
        <v>21</v>
      </c>
      <c r="AD4109" s="17" t="s">
        <v>1977</v>
      </c>
      <c r="AE4109" s="145" t="s">
        <v>1742</v>
      </c>
      <c r="AF4109" s="146"/>
      <c r="AG4109" s="146"/>
      <c r="AH4109" s="146"/>
      <c r="AI4109" s="147"/>
      <c r="AJ4109" s="148"/>
      <c r="AK4109" s="143"/>
      <c r="AL4109" s="144"/>
      <c r="AM4109" s="22"/>
      <c r="AN4109" s="149" t="s">
        <v>2511</v>
      </c>
      <c r="AO4109" s="144"/>
      <c r="AP4109" s="148">
        <v>31262</v>
      </c>
      <c r="AQ4109" s="144"/>
      <c r="AR4109" s="120"/>
      <c r="AS4109" s="121"/>
      <c r="AT4109" s="120"/>
      <c r="AU4109" s="121"/>
      <c r="AV4109" s="120"/>
      <c r="AW4109" s="121"/>
      <c r="AX4109" s="120"/>
      <c r="AY4109" s="121"/>
      <c r="AZ4109" s="138"/>
    </row>
    <row r="4110" spans="1:52" ht="17.100000000000001" customHeight="1" thickTop="1">
      <c r="A4110" s="151" t="s">
        <v>12560</v>
      </c>
      <c r="B4110" s="28">
        <v>45996</v>
      </c>
      <c r="C4110" s="25"/>
      <c r="D4110" s="13" t="s">
        <v>1760</v>
      </c>
      <c r="E4110" s="111"/>
      <c r="F4110" s="113" t="s">
        <v>12569</v>
      </c>
      <c r="G4110" s="114"/>
      <c r="H4110" s="115"/>
      <c r="I4110" s="24" t="s">
        <v>12571</v>
      </c>
      <c r="J4110" s="116">
        <v>4</v>
      </c>
      <c r="K4110" s="118">
        <f>2667500/1.1</f>
        <v>2425000</v>
      </c>
      <c r="L4110" s="119"/>
      <c r="M4110" s="118">
        <f t="shared" ref="M4110" si="4199">K4110*0.1</f>
        <v>242500</v>
      </c>
      <c r="N4110" s="119"/>
      <c r="O4110" s="118">
        <v>9000</v>
      </c>
      <c r="P4110" s="119"/>
      <c r="Q4110" s="118">
        <v>12030</v>
      </c>
      <c r="R4110" s="119"/>
      <c r="S4110" s="118">
        <v>0</v>
      </c>
      <c r="T4110" s="119"/>
      <c r="U4110" s="118">
        <f t="shared" ref="U4110" si="4200">SUM(K4110:T4111)</f>
        <v>2688530</v>
      </c>
      <c r="V4110" s="122"/>
      <c r="W4110" s="124"/>
      <c r="X4110" s="126" t="s">
        <v>13661</v>
      </c>
      <c r="Y4110" s="127"/>
      <c r="Z4110" s="127"/>
      <c r="AA4110" s="127"/>
      <c r="AB4110" s="128"/>
      <c r="AC4110" s="15" t="s">
        <v>20</v>
      </c>
      <c r="AD4110" s="129" t="s">
        <v>1945</v>
      </c>
      <c r="AE4110" s="130"/>
      <c r="AF4110" s="130"/>
      <c r="AG4110" s="130"/>
      <c r="AH4110" s="130"/>
      <c r="AI4110" s="131"/>
      <c r="AJ4110" s="132"/>
      <c r="AK4110" s="127"/>
      <c r="AL4110" s="128"/>
      <c r="AM4110" s="21"/>
      <c r="AN4110" s="133">
        <v>46032</v>
      </c>
      <c r="AO4110" s="134"/>
      <c r="AP4110" s="135">
        <v>1283</v>
      </c>
      <c r="AQ4110" s="136"/>
      <c r="AR4110" s="118">
        <v>2315000</v>
      </c>
      <c r="AS4110" s="119"/>
      <c r="AT4110" s="118">
        <v>231500</v>
      </c>
      <c r="AU4110" s="119"/>
      <c r="AV4110" s="118">
        <v>12030</v>
      </c>
      <c r="AW4110" s="119"/>
      <c r="AX4110" s="118">
        <f t="shared" ref="AX4110" si="4201">SUM(AR4110:AW4110)</f>
        <v>2558530</v>
      </c>
      <c r="AY4110" s="119"/>
      <c r="AZ4110" s="137">
        <v>46036</v>
      </c>
    </row>
    <row r="4111" spans="1:52" ht="17.100000000000001" customHeight="1" thickBot="1">
      <c r="A4111" s="152"/>
      <c r="B4111" s="27" t="s">
        <v>1718</v>
      </c>
      <c r="C4111" s="27" t="s">
        <v>12568</v>
      </c>
      <c r="D4111" s="14" t="s">
        <v>2601</v>
      </c>
      <c r="E4111" s="112"/>
      <c r="F4111" s="139" t="s">
        <v>12570</v>
      </c>
      <c r="G4111" s="140"/>
      <c r="H4111" s="141"/>
      <c r="I4111" s="26">
        <v>35463</v>
      </c>
      <c r="J4111" s="117"/>
      <c r="K4111" s="120"/>
      <c r="L4111" s="121"/>
      <c r="M4111" s="120"/>
      <c r="N4111" s="121"/>
      <c r="O4111" s="120"/>
      <c r="P4111" s="121"/>
      <c r="Q4111" s="120"/>
      <c r="R4111" s="121"/>
      <c r="S4111" s="120"/>
      <c r="T4111" s="121"/>
      <c r="U4111" s="120"/>
      <c r="V4111" s="123"/>
      <c r="W4111" s="125"/>
      <c r="X4111" s="142" t="s">
        <v>13662</v>
      </c>
      <c r="Y4111" s="143"/>
      <c r="Z4111" s="143"/>
      <c r="AA4111" s="143"/>
      <c r="AB4111" s="144"/>
      <c r="AC4111" s="16" t="s">
        <v>21</v>
      </c>
      <c r="AD4111" s="17" t="s">
        <v>1783</v>
      </c>
      <c r="AE4111" s="145" t="s">
        <v>1614</v>
      </c>
      <c r="AF4111" s="146"/>
      <c r="AG4111" s="146"/>
      <c r="AH4111" s="146"/>
      <c r="AI4111" s="147"/>
      <c r="AJ4111" s="148"/>
      <c r="AK4111" s="143"/>
      <c r="AL4111" s="144"/>
      <c r="AM4111" s="22"/>
      <c r="AN4111" s="149" t="s">
        <v>2511</v>
      </c>
      <c r="AO4111" s="144"/>
      <c r="AP4111" s="148">
        <v>31204</v>
      </c>
      <c r="AQ4111" s="144"/>
      <c r="AR4111" s="120"/>
      <c r="AS4111" s="121"/>
      <c r="AT4111" s="120"/>
      <c r="AU4111" s="121"/>
      <c r="AV4111" s="120"/>
      <c r="AW4111" s="121"/>
      <c r="AX4111" s="120"/>
      <c r="AY4111" s="121"/>
      <c r="AZ4111" s="138"/>
    </row>
    <row r="4112" spans="1:52" ht="17.100000000000001" customHeight="1" thickTop="1">
      <c r="A4112" s="109" t="s">
        <v>12561</v>
      </c>
      <c r="B4112" s="28">
        <v>45996</v>
      </c>
      <c r="C4112" s="25"/>
      <c r="D4112" s="13" t="s">
        <v>2014</v>
      </c>
      <c r="E4112" s="111"/>
      <c r="F4112" s="113" t="s">
        <v>12573</v>
      </c>
      <c r="G4112" s="114"/>
      <c r="H4112" s="115"/>
      <c r="I4112" s="24" t="s">
        <v>11992</v>
      </c>
      <c r="J4112" s="116">
        <v>4.5</v>
      </c>
      <c r="K4112" s="118">
        <f>4961000/1.1</f>
        <v>4510000</v>
      </c>
      <c r="L4112" s="119"/>
      <c r="M4112" s="118">
        <v>451000</v>
      </c>
      <c r="N4112" s="119"/>
      <c r="O4112" s="118">
        <v>2600</v>
      </c>
      <c r="P4112" s="119"/>
      <c r="Q4112" s="118">
        <v>13390</v>
      </c>
      <c r="R4112" s="119"/>
      <c r="S4112" s="118">
        <v>0</v>
      </c>
      <c r="T4112" s="119"/>
      <c r="U4112" s="118">
        <f t="shared" ref="U4112" si="4202">SUM(K4112:T4113)</f>
        <v>4976990</v>
      </c>
      <c r="V4112" s="122"/>
      <c r="W4112" s="124"/>
      <c r="X4112" s="126" t="s">
        <v>18120</v>
      </c>
      <c r="Y4112" s="127"/>
      <c r="Z4112" s="127"/>
      <c r="AA4112" s="127"/>
      <c r="AB4112" s="128"/>
      <c r="AC4112" s="15" t="s">
        <v>20</v>
      </c>
      <c r="AD4112" s="129" t="s">
        <v>186</v>
      </c>
      <c r="AE4112" s="130"/>
      <c r="AF4112" s="130"/>
      <c r="AG4112" s="130"/>
      <c r="AH4112" s="130"/>
      <c r="AI4112" s="131"/>
      <c r="AJ4112" s="132"/>
      <c r="AK4112" s="127"/>
      <c r="AL4112" s="128"/>
      <c r="AM4112" s="21"/>
      <c r="AN4112" s="133">
        <v>46064</v>
      </c>
      <c r="AO4112" s="134"/>
      <c r="AP4112" s="135">
        <v>1004</v>
      </c>
      <c r="AQ4112" s="136"/>
      <c r="AR4112" s="118">
        <v>4665000</v>
      </c>
      <c r="AS4112" s="119"/>
      <c r="AT4112" s="118">
        <f t="shared" ref="AT4112" si="4203">AR4112*0.1</f>
        <v>466500</v>
      </c>
      <c r="AU4112" s="119"/>
      <c r="AV4112" s="118">
        <v>13390</v>
      </c>
      <c r="AW4112" s="119"/>
      <c r="AX4112" s="118">
        <f t="shared" ref="AX4112" si="4204">SUM(AR4112:AW4112)</f>
        <v>5144890</v>
      </c>
      <c r="AY4112" s="119"/>
      <c r="AZ4112" s="137">
        <v>46071</v>
      </c>
    </row>
    <row r="4113" spans="1:52" ht="17.100000000000001" customHeight="1" thickBot="1">
      <c r="A4113" s="110"/>
      <c r="B4113" s="27" t="s">
        <v>1718</v>
      </c>
      <c r="C4113" s="27" t="s">
        <v>12572</v>
      </c>
      <c r="D4113" s="14" t="s">
        <v>2601</v>
      </c>
      <c r="E4113" s="112"/>
      <c r="F4113" s="139" t="s">
        <v>12574</v>
      </c>
      <c r="G4113" s="140"/>
      <c r="H4113" s="141"/>
      <c r="I4113" s="26">
        <v>16000</v>
      </c>
      <c r="J4113" s="117"/>
      <c r="K4113" s="120"/>
      <c r="L4113" s="121"/>
      <c r="M4113" s="120"/>
      <c r="N4113" s="121"/>
      <c r="O4113" s="120"/>
      <c r="P4113" s="121"/>
      <c r="Q4113" s="120"/>
      <c r="R4113" s="121"/>
      <c r="S4113" s="120"/>
      <c r="T4113" s="121"/>
      <c r="U4113" s="120"/>
      <c r="V4113" s="123"/>
      <c r="W4113" s="125"/>
      <c r="X4113" s="142" t="s">
        <v>18121</v>
      </c>
      <c r="Y4113" s="143"/>
      <c r="Z4113" s="143"/>
      <c r="AA4113" s="143"/>
      <c r="AB4113" s="144"/>
      <c r="AC4113" s="16" t="s">
        <v>21</v>
      </c>
      <c r="AD4113" s="17" t="s">
        <v>3980</v>
      </c>
      <c r="AE4113" s="145" t="s">
        <v>18122</v>
      </c>
      <c r="AF4113" s="146"/>
      <c r="AG4113" s="146"/>
      <c r="AH4113" s="146"/>
      <c r="AI4113" s="147"/>
      <c r="AJ4113" s="148"/>
      <c r="AK4113" s="143"/>
      <c r="AL4113" s="144"/>
      <c r="AM4113" s="22"/>
      <c r="AN4113" s="149" t="s">
        <v>9053</v>
      </c>
      <c r="AO4113" s="144"/>
      <c r="AP4113" s="148">
        <v>8005</v>
      </c>
      <c r="AQ4113" s="144"/>
      <c r="AR4113" s="120"/>
      <c r="AS4113" s="121"/>
      <c r="AT4113" s="120"/>
      <c r="AU4113" s="121"/>
      <c r="AV4113" s="120"/>
      <c r="AW4113" s="121"/>
      <c r="AX4113" s="120"/>
      <c r="AY4113" s="121"/>
      <c r="AZ4113" s="138"/>
    </row>
    <row r="4114" spans="1:52" ht="17.100000000000001" customHeight="1" thickTop="1">
      <c r="A4114" s="109" t="s">
        <v>12562</v>
      </c>
      <c r="B4114" s="28">
        <v>45996</v>
      </c>
      <c r="C4114" s="25"/>
      <c r="D4114" s="13" t="s">
        <v>1688</v>
      </c>
      <c r="E4114" s="111"/>
      <c r="F4114" s="113" t="s">
        <v>12576</v>
      </c>
      <c r="G4114" s="114"/>
      <c r="H4114" s="115"/>
      <c r="I4114" s="24" t="s">
        <v>9318</v>
      </c>
      <c r="J4114" s="116">
        <v>4.5</v>
      </c>
      <c r="K4114" s="118">
        <f>1446500/1.1</f>
        <v>1315000</v>
      </c>
      <c r="L4114" s="119"/>
      <c r="M4114" s="118">
        <f t="shared" ref="M4114" si="4205">K4114*0.1</f>
        <v>131500</v>
      </c>
      <c r="N4114" s="119"/>
      <c r="O4114" s="118">
        <v>0</v>
      </c>
      <c r="P4114" s="119"/>
      <c r="Q4114" s="118">
        <v>6850</v>
      </c>
      <c r="R4114" s="119"/>
      <c r="S4114" s="118">
        <v>0</v>
      </c>
      <c r="T4114" s="119"/>
      <c r="U4114" s="118">
        <f t="shared" ref="U4114" si="4206">SUM(K4114:T4115)</f>
        <v>1453350</v>
      </c>
      <c r="V4114" s="122"/>
      <c r="W4114" s="124"/>
      <c r="X4114" s="126" t="s">
        <v>15040</v>
      </c>
      <c r="Y4114" s="127"/>
      <c r="Z4114" s="127"/>
      <c r="AA4114" s="127"/>
      <c r="AB4114" s="128"/>
      <c r="AC4114" s="15" t="s">
        <v>20</v>
      </c>
      <c r="AD4114" s="129" t="s">
        <v>1945</v>
      </c>
      <c r="AE4114" s="130"/>
      <c r="AF4114" s="130"/>
      <c r="AG4114" s="130"/>
      <c r="AH4114" s="130"/>
      <c r="AI4114" s="131"/>
      <c r="AJ4114" s="132"/>
      <c r="AK4114" s="127"/>
      <c r="AL4114" s="128"/>
      <c r="AM4114" s="21"/>
      <c r="AN4114" s="133">
        <v>46056</v>
      </c>
      <c r="AO4114" s="134"/>
      <c r="AP4114" s="135">
        <v>1927</v>
      </c>
      <c r="AQ4114" s="136"/>
      <c r="AR4114" s="118">
        <v>1381000</v>
      </c>
      <c r="AS4114" s="119"/>
      <c r="AT4114" s="118">
        <f t="shared" ref="AT4114" si="4207">AR4114*0.1</f>
        <v>138100</v>
      </c>
      <c r="AU4114" s="119"/>
      <c r="AV4114" s="118">
        <v>6850</v>
      </c>
      <c r="AW4114" s="119"/>
      <c r="AX4114" s="118">
        <f t="shared" ref="AX4114" si="4208">SUM(AR4114:AW4114)</f>
        <v>1525950</v>
      </c>
      <c r="AY4114" s="119"/>
      <c r="AZ4114" s="137">
        <v>46063</v>
      </c>
    </row>
    <row r="4115" spans="1:52" ht="17.100000000000001" customHeight="1" thickBot="1">
      <c r="A4115" s="110"/>
      <c r="B4115" s="27" t="s">
        <v>1718</v>
      </c>
      <c r="C4115" s="27" t="s">
        <v>12575</v>
      </c>
      <c r="D4115" s="14" t="s">
        <v>904</v>
      </c>
      <c r="E4115" s="112"/>
      <c r="F4115" s="139" t="s">
        <v>12577</v>
      </c>
      <c r="G4115" s="140"/>
      <c r="H4115" s="141"/>
      <c r="I4115" s="26">
        <v>31471</v>
      </c>
      <c r="J4115" s="117"/>
      <c r="K4115" s="120"/>
      <c r="L4115" s="121"/>
      <c r="M4115" s="120"/>
      <c r="N4115" s="121"/>
      <c r="O4115" s="120"/>
      <c r="P4115" s="121"/>
      <c r="Q4115" s="120"/>
      <c r="R4115" s="121"/>
      <c r="S4115" s="120"/>
      <c r="T4115" s="121"/>
      <c r="U4115" s="120"/>
      <c r="V4115" s="123"/>
      <c r="W4115" s="125"/>
      <c r="X4115" s="142" t="s">
        <v>15041</v>
      </c>
      <c r="Y4115" s="143"/>
      <c r="Z4115" s="143"/>
      <c r="AA4115" s="143"/>
      <c r="AB4115" s="144"/>
      <c r="AC4115" s="16" t="s">
        <v>21</v>
      </c>
      <c r="AD4115" s="17" t="s">
        <v>15026</v>
      </c>
      <c r="AE4115" s="145" t="s">
        <v>1614</v>
      </c>
      <c r="AF4115" s="146"/>
      <c r="AG4115" s="146"/>
      <c r="AH4115" s="146"/>
      <c r="AI4115" s="147"/>
      <c r="AJ4115" s="148"/>
      <c r="AK4115" s="143"/>
      <c r="AL4115" s="144"/>
      <c r="AM4115" s="22"/>
      <c r="AN4115" s="149" t="s">
        <v>2131</v>
      </c>
      <c r="AO4115" s="144"/>
      <c r="AP4115" s="148">
        <v>3081</v>
      </c>
      <c r="AQ4115" s="144"/>
      <c r="AR4115" s="120"/>
      <c r="AS4115" s="121"/>
      <c r="AT4115" s="120"/>
      <c r="AU4115" s="121"/>
      <c r="AV4115" s="120"/>
      <c r="AW4115" s="121"/>
      <c r="AX4115" s="120"/>
      <c r="AY4115" s="121"/>
      <c r="AZ4115" s="138"/>
    </row>
    <row r="4116" spans="1:52" ht="17.100000000000001" customHeight="1" thickTop="1">
      <c r="A4116" s="151" t="s">
        <v>12563</v>
      </c>
      <c r="B4116" s="28">
        <v>45996</v>
      </c>
      <c r="C4116" s="25"/>
      <c r="D4116" s="13" t="s">
        <v>2415</v>
      </c>
      <c r="E4116" s="111"/>
      <c r="F4116" s="113" t="s">
        <v>12579</v>
      </c>
      <c r="G4116" s="114"/>
      <c r="H4116" s="115"/>
      <c r="I4116" s="24" t="s">
        <v>12581</v>
      </c>
      <c r="J4116" s="116">
        <v>5</v>
      </c>
      <c r="K4116" s="118">
        <f>5797000/1.1</f>
        <v>5270000</v>
      </c>
      <c r="L4116" s="119"/>
      <c r="M4116" s="118">
        <f t="shared" ref="M4116" si="4209">K4116*0.1</f>
        <v>527000</v>
      </c>
      <c r="N4116" s="119"/>
      <c r="O4116" s="118">
        <v>12500</v>
      </c>
      <c r="P4116" s="119"/>
      <c r="Q4116" s="118">
        <v>14230</v>
      </c>
      <c r="R4116" s="119"/>
      <c r="S4116" s="118">
        <v>0</v>
      </c>
      <c r="T4116" s="119"/>
      <c r="U4116" s="118">
        <f t="shared" ref="U4116" si="4210">SUM(K4116:T4117)</f>
        <v>5823730</v>
      </c>
      <c r="V4116" s="122"/>
      <c r="W4116" s="124"/>
      <c r="X4116" s="126" t="s">
        <v>15055</v>
      </c>
      <c r="Y4116" s="127"/>
      <c r="Z4116" s="127"/>
      <c r="AA4116" s="127"/>
      <c r="AB4116" s="128"/>
      <c r="AC4116" s="15" t="s">
        <v>20</v>
      </c>
      <c r="AD4116" s="129" t="s">
        <v>1945</v>
      </c>
      <c r="AE4116" s="130"/>
      <c r="AF4116" s="130"/>
      <c r="AG4116" s="130"/>
      <c r="AH4116" s="130"/>
      <c r="AI4116" s="131"/>
      <c r="AJ4116" s="132"/>
      <c r="AK4116" s="127"/>
      <c r="AL4116" s="128"/>
      <c r="AM4116" s="21"/>
      <c r="AN4116" s="133">
        <v>46039</v>
      </c>
      <c r="AO4116" s="134"/>
      <c r="AP4116" s="135">
        <v>1284</v>
      </c>
      <c r="AQ4116" s="136"/>
      <c r="AR4116" s="118">
        <v>5410000</v>
      </c>
      <c r="AS4116" s="119"/>
      <c r="AT4116" s="118">
        <f t="shared" ref="AT4116" si="4211">AR4116*0.1</f>
        <v>541000</v>
      </c>
      <c r="AU4116" s="119"/>
      <c r="AV4116" s="118">
        <v>14230</v>
      </c>
      <c r="AW4116" s="119"/>
      <c r="AX4116" s="118">
        <f t="shared" ref="AX4116" si="4212">SUM(AR4116:AW4116)</f>
        <v>5965230</v>
      </c>
      <c r="AY4116" s="119"/>
      <c r="AZ4116" s="137">
        <v>46042</v>
      </c>
    </row>
    <row r="4117" spans="1:52" ht="17.100000000000001" customHeight="1" thickBot="1">
      <c r="A4117" s="152"/>
      <c r="B4117" s="27" t="s">
        <v>1718</v>
      </c>
      <c r="C4117" s="27" t="s">
        <v>12578</v>
      </c>
      <c r="D4117" s="14" t="s">
        <v>2601</v>
      </c>
      <c r="E4117" s="112"/>
      <c r="F4117" s="139" t="s">
        <v>12580</v>
      </c>
      <c r="G4117" s="140"/>
      <c r="H4117" s="141"/>
      <c r="I4117" s="26">
        <v>9071</v>
      </c>
      <c r="J4117" s="117"/>
      <c r="K4117" s="120"/>
      <c r="L4117" s="121"/>
      <c r="M4117" s="120"/>
      <c r="N4117" s="121"/>
      <c r="O4117" s="120"/>
      <c r="P4117" s="121"/>
      <c r="Q4117" s="120"/>
      <c r="R4117" s="121"/>
      <c r="S4117" s="120"/>
      <c r="T4117" s="121"/>
      <c r="U4117" s="120"/>
      <c r="V4117" s="123"/>
      <c r="W4117" s="125"/>
      <c r="X4117" s="142" t="s">
        <v>11495</v>
      </c>
      <c r="Y4117" s="143"/>
      <c r="Z4117" s="143"/>
      <c r="AA4117" s="143"/>
      <c r="AB4117" s="144"/>
      <c r="AC4117" s="16" t="s">
        <v>21</v>
      </c>
      <c r="AD4117" s="17" t="s">
        <v>15056</v>
      </c>
      <c r="AE4117" s="145" t="s">
        <v>1614</v>
      </c>
      <c r="AF4117" s="146"/>
      <c r="AG4117" s="146"/>
      <c r="AH4117" s="146"/>
      <c r="AI4117" s="147"/>
      <c r="AJ4117" s="148"/>
      <c r="AK4117" s="143"/>
      <c r="AL4117" s="144"/>
      <c r="AM4117" s="22"/>
      <c r="AN4117" s="149" t="s">
        <v>2511</v>
      </c>
      <c r="AO4117" s="144"/>
      <c r="AP4117" s="148">
        <v>31152</v>
      </c>
      <c r="AQ4117" s="144"/>
      <c r="AR4117" s="120"/>
      <c r="AS4117" s="121"/>
      <c r="AT4117" s="120"/>
      <c r="AU4117" s="121"/>
      <c r="AV4117" s="120"/>
      <c r="AW4117" s="121"/>
      <c r="AX4117" s="120"/>
      <c r="AY4117" s="121"/>
      <c r="AZ4117" s="138"/>
    </row>
    <row r="4118" spans="1:52" ht="17.100000000000001" customHeight="1" thickTop="1">
      <c r="A4118" s="109" t="s">
        <v>12582</v>
      </c>
      <c r="B4118" s="28">
        <v>45996</v>
      </c>
      <c r="C4118" s="25">
        <v>74</v>
      </c>
      <c r="D4118" s="13" t="s">
        <v>2442</v>
      </c>
      <c r="E4118" s="111"/>
      <c r="F4118" s="113" t="s">
        <v>12525</v>
      </c>
      <c r="G4118" s="114"/>
      <c r="H4118" s="115"/>
      <c r="I4118" s="24" t="s">
        <v>2858</v>
      </c>
      <c r="J4118" s="116">
        <v>4.5</v>
      </c>
      <c r="K4118" s="118">
        <v>3135000</v>
      </c>
      <c r="L4118" s="119"/>
      <c r="M4118" s="118">
        <f t="shared" ref="M4118" si="4213">K4118*0.1</f>
        <v>313500</v>
      </c>
      <c r="N4118" s="119"/>
      <c r="O4118" s="118">
        <f>14500+1450</f>
        <v>15950</v>
      </c>
      <c r="P4118" s="119"/>
      <c r="Q4118" s="118">
        <v>14980</v>
      </c>
      <c r="R4118" s="119"/>
      <c r="S4118" s="118">
        <v>88000</v>
      </c>
      <c r="T4118" s="119"/>
      <c r="U4118" s="118">
        <f t="shared" ref="U4118" si="4214">SUM(K4118:T4119)</f>
        <v>3567430</v>
      </c>
      <c r="V4118" s="122"/>
      <c r="W4118" s="124"/>
      <c r="X4118" s="126" t="s">
        <v>13336</v>
      </c>
      <c r="Y4118" s="127"/>
      <c r="Z4118" s="127"/>
      <c r="AA4118" s="127"/>
      <c r="AB4118" s="128"/>
      <c r="AC4118" s="15" t="s">
        <v>20</v>
      </c>
      <c r="AD4118" s="129" t="s">
        <v>11397</v>
      </c>
      <c r="AE4118" s="130"/>
      <c r="AF4118" s="130"/>
      <c r="AG4118" s="130"/>
      <c r="AH4118" s="130"/>
      <c r="AI4118" s="131"/>
      <c r="AJ4118" s="132"/>
      <c r="AK4118" s="127"/>
      <c r="AL4118" s="128"/>
      <c r="AM4118" s="21"/>
      <c r="AN4118" s="133">
        <v>46004</v>
      </c>
      <c r="AO4118" s="134"/>
      <c r="AP4118" s="135">
        <v>1280</v>
      </c>
      <c r="AQ4118" s="136"/>
      <c r="AR4118" s="118">
        <v>3270000</v>
      </c>
      <c r="AS4118" s="119"/>
      <c r="AT4118" s="118">
        <f t="shared" ref="AT4118" si="4215">AR4118*0.1</f>
        <v>327000</v>
      </c>
      <c r="AU4118" s="119"/>
      <c r="AV4118" s="118">
        <v>14980</v>
      </c>
      <c r="AW4118" s="119"/>
      <c r="AX4118" s="118">
        <f t="shared" ref="AX4118" si="4216">SUM(AR4118:AW4118)</f>
        <v>3611980</v>
      </c>
      <c r="AY4118" s="119"/>
      <c r="AZ4118" s="137">
        <v>46014</v>
      </c>
    </row>
    <row r="4119" spans="1:52" ht="17.100000000000001" customHeight="1" thickBot="1">
      <c r="A4119" s="110"/>
      <c r="B4119" s="27" t="s">
        <v>4544</v>
      </c>
      <c r="C4119" s="27">
        <v>1003</v>
      </c>
      <c r="D4119" s="14" t="s">
        <v>275</v>
      </c>
      <c r="E4119" s="112"/>
      <c r="F4119" s="139" t="s">
        <v>12522</v>
      </c>
      <c r="G4119" s="140"/>
      <c r="H4119" s="141"/>
      <c r="I4119" s="26">
        <v>52326</v>
      </c>
      <c r="J4119" s="117"/>
      <c r="K4119" s="120"/>
      <c r="L4119" s="121"/>
      <c r="M4119" s="120"/>
      <c r="N4119" s="121"/>
      <c r="O4119" s="120"/>
      <c r="P4119" s="121"/>
      <c r="Q4119" s="120"/>
      <c r="R4119" s="121"/>
      <c r="S4119" s="120"/>
      <c r="T4119" s="121"/>
      <c r="U4119" s="120"/>
      <c r="V4119" s="123"/>
      <c r="W4119" s="125"/>
      <c r="X4119" s="142" t="s">
        <v>13337</v>
      </c>
      <c r="Y4119" s="143"/>
      <c r="Z4119" s="143"/>
      <c r="AA4119" s="143"/>
      <c r="AB4119" s="144"/>
      <c r="AC4119" s="16" t="s">
        <v>21</v>
      </c>
      <c r="AD4119" s="17" t="s">
        <v>2268</v>
      </c>
      <c r="AE4119" s="145" t="s">
        <v>13338</v>
      </c>
      <c r="AF4119" s="146"/>
      <c r="AG4119" s="146"/>
      <c r="AH4119" s="146"/>
      <c r="AI4119" s="147"/>
      <c r="AJ4119" s="148"/>
      <c r="AK4119" s="143"/>
      <c r="AL4119" s="144"/>
      <c r="AM4119" s="22"/>
      <c r="AN4119" s="149" t="s">
        <v>2511</v>
      </c>
      <c r="AO4119" s="144"/>
      <c r="AP4119" s="148">
        <v>37877</v>
      </c>
      <c r="AQ4119" s="144"/>
      <c r="AR4119" s="120"/>
      <c r="AS4119" s="121"/>
      <c r="AT4119" s="120"/>
      <c r="AU4119" s="121"/>
      <c r="AV4119" s="120"/>
      <c r="AW4119" s="121"/>
      <c r="AX4119" s="120"/>
      <c r="AY4119" s="121"/>
      <c r="AZ4119" s="138"/>
    </row>
    <row r="4120" spans="1:52" ht="17.100000000000001" customHeight="1" thickTop="1">
      <c r="A4120" s="151" t="s">
        <v>12583</v>
      </c>
      <c r="B4120" s="28">
        <v>45996</v>
      </c>
      <c r="C4120" s="25">
        <v>74</v>
      </c>
      <c r="D4120" s="13" t="s">
        <v>1986</v>
      </c>
      <c r="E4120" s="111"/>
      <c r="F4120" s="113" t="s">
        <v>12526</v>
      </c>
      <c r="G4120" s="114"/>
      <c r="H4120" s="115"/>
      <c r="I4120" s="24" t="s">
        <v>2943</v>
      </c>
      <c r="J4120" s="116">
        <v>4.5</v>
      </c>
      <c r="K4120" s="118">
        <v>3645000</v>
      </c>
      <c r="L4120" s="119"/>
      <c r="M4120" s="118">
        <f t="shared" ref="M4120" si="4217">K4120*0.1</f>
        <v>364500</v>
      </c>
      <c r="N4120" s="119"/>
      <c r="O4120" s="118">
        <f>10800+1080</f>
        <v>11880</v>
      </c>
      <c r="P4120" s="119"/>
      <c r="Q4120" s="118">
        <v>14900</v>
      </c>
      <c r="R4120" s="119"/>
      <c r="S4120" s="118">
        <v>88000</v>
      </c>
      <c r="T4120" s="119"/>
      <c r="U4120" s="118">
        <f t="shared" ref="U4120" si="4218">SUM(K4120:T4121)</f>
        <v>4124280</v>
      </c>
      <c r="V4120" s="122"/>
      <c r="W4120" s="124"/>
      <c r="X4120" s="126" t="s">
        <v>14348</v>
      </c>
      <c r="Y4120" s="127"/>
      <c r="Z4120" s="127"/>
      <c r="AA4120" s="127"/>
      <c r="AB4120" s="128"/>
      <c r="AC4120" s="15" t="s">
        <v>20</v>
      </c>
      <c r="AD4120" s="129" t="s">
        <v>11397</v>
      </c>
      <c r="AE4120" s="130"/>
      <c r="AF4120" s="130"/>
      <c r="AG4120" s="130"/>
      <c r="AH4120" s="130"/>
      <c r="AI4120" s="131"/>
      <c r="AJ4120" s="132"/>
      <c r="AK4120" s="127"/>
      <c r="AL4120" s="128"/>
      <c r="AM4120" s="21" t="s">
        <v>14480</v>
      </c>
      <c r="AN4120" s="133">
        <v>46039</v>
      </c>
      <c r="AO4120" s="134"/>
      <c r="AP4120" s="135">
        <v>1284</v>
      </c>
      <c r="AQ4120" s="136"/>
      <c r="AR4120" s="118">
        <v>3755000</v>
      </c>
      <c r="AS4120" s="119"/>
      <c r="AT4120" s="118">
        <f t="shared" ref="AT4120" si="4219">AR4120*0.1</f>
        <v>375500</v>
      </c>
      <c r="AU4120" s="119"/>
      <c r="AV4120" s="118">
        <v>14900</v>
      </c>
      <c r="AW4120" s="119"/>
      <c r="AX4120" s="118">
        <f t="shared" ref="AX4120" si="4220">SUM(AR4120:AW4120)</f>
        <v>4145400</v>
      </c>
      <c r="AY4120" s="119"/>
      <c r="AZ4120" s="137">
        <v>46042</v>
      </c>
    </row>
    <row r="4121" spans="1:52" ht="17.100000000000001" customHeight="1" thickBot="1">
      <c r="A4121" s="152"/>
      <c r="B4121" s="27" t="s">
        <v>4544</v>
      </c>
      <c r="C4121" s="27">
        <v>1023</v>
      </c>
      <c r="D4121" s="14" t="s">
        <v>2601</v>
      </c>
      <c r="E4121" s="112"/>
      <c r="F4121" s="139" t="s">
        <v>12523</v>
      </c>
      <c r="G4121" s="140"/>
      <c r="H4121" s="141"/>
      <c r="I4121" s="26">
        <v>56295</v>
      </c>
      <c r="J4121" s="117"/>
      <c r="K4121" s="120"/>
      <c r="L4121" s="121"/>
      <c r="M4121" s="120"/>
      <c r="N4121" s="121"/>
      <c r="O4121" s="120"/>
      <c r="P4121" s="121"/>
      <c r="Q4121" s="120"/>
      <c r="R4121" s="121"/>
      <c r="S4121" s="120"/>
      <c r="T4121" s="121"/>
      <c r="U4121" s="120"/>
      <c r="V4121" s="123"/>
      <c r="W4121" s="125"/>
      <c r="X4121" s="142" t="s">
        <v>14349</v>
      </c>
      <c r="Y4121" s="143"/>
      <c r="Z4121" s="143"/>
      <c r="AA4121" s="143"/>
      <c r="AB4121" s="144"/>
      <c r="AC4121" s="16" t="s">
        <v>21</v>
      </c>
      <c r="AD4121" s="17" t="s">
        <v>14344</v>
      </c>
      <c r="AE4121" s="145" t="s">
        <v>1614</v>
      </c>
      <c r="AF4121" s="146"/>
      <c r="AG4121" s="146"/>
      <c r="AH4121" s="146"/>
      <c r="AI4121" s="147"/>
      <c r="AJ4121" s="148"/>
      <c r="AK4121" s="143"/>
      <c r="AL4121" s="144"/>
      <c r="AM4121" s="22"/>
      <c r="AN4121" s="149" t="s">
        <v>2511</v>
      </c>
      <c r="AO4121" s="144"/>
      <c r="AP4121" s="148">
        <v>31148</v>
      </c>
      <c r="AQ4121" s="144"/>
      <c r="AR4121" s="120"/>
      <c r="AS4121" s="121"/>
      <c r="AT4121" s="120"/>
      <c r="AU4121" s="121"/>
      <c r="AV4121" s="120"/>
      <c r="AW4121" s="121"/>
      <c r="AX4121" s="120"/>
      <c r="AY4121" s="121"/>
      <c r="AZ4121" s="138"/>
    </row>
    <row r="4122" spans="1:52" ht="17.100000000000001" customHeight="1" thickTop="1">
      <c r="A4122" s="151" t="s">
        <v>12584</v>
      </c>
      <c r="B4122" s="28">
        <v>45996</v>
      </c>
      <c r="C4122" s="25">
        <v>74</v>
      </c>
      <c r="D4122" s="13" t="s">
        <v>1714</v>
      </c>
      <c r="E4122" s="111"/>
      <c r="F4122" s="113" t="s">
        <v>12527</v>
      </c>
      <c r="G4122" s="114"/>
      <c r="H4122" s="115"/>
      <c r="I4122" s="24" t="s">
        <v>2526</v>
      </c>
      <c r="J4122" s="116">
        <v>4.5</v>
      </c>
      <c r="K4122" s="118">
        <v>1710000</v>
      </c>
      <c r="L4122" s="119"/>
      <c r="M4122" s="118">
        <f t="shared" ref="M4122" si="4221">K4122*0.1</f>
        <v>171000</v>
      </c>
      <c r="N4122" s="119"/>
      <c r="O4122" s="118">
        <f>7600+760</f>
        <v>8360</v>
      </c>
      <c r="P4122" s="119"/>
      <c r="Q4122" s="118">
        <v>8340</v>
      </c>
      <c r="R4122" s="119"/>
      <c r="S4122" s="118">
        <v>44000</v>
      </c>
      <c r="T4122" s="119"/>
      <c r="U4122" s="118">
        <f t="shared" ref="U4122" si="4222">SUM(K4122:T4123)</f>
        <v>1941700</v>
      </c>
      <c r="V4122" s="122"/>
      <c r="W4122" s="124"/>
      <c r="X4122" s="126" t="s">
        <v>14692</v>
      </c>
      <c r="Y4122" s="127"/>
      <c r="Z4122" s="127"/>
      <c r="AA4122" s="127"/>
      <c r="AB4122" s="128"/>
      <c r="AC4122" s="15" t="s">
        <v>20</v>
      </c>
      <c r="AD4122" s="129" t="s">
        <v>10018</v>
      </c>
      <c r="AE4122" s="130"/>
      <c r="AF4122" s="130"/>
      <c r="AG4122" s="130"/>
      <c r="AH4122" s="130"/>
      <c r="AI4122" s="131"/>
      <c r="AJ4122" s="132"/>
      <c r="AK4122" s="127"/>
      <c r="AL4122" s="128"/>
      <c r="AM4122" s="21"/>
      <c r="AN4122" s="133">
        <v>46032</v>
      </c>
      <c r="AO4122" s="134"/>
      <c r="AP4122" s="135">
        <v>1283</v>
      </c>
      <c r="AQ4122" s="136"/>
      <c r="AR4122" s="118">
        <v>1805000</v>
      </c>
      <c r="AS4122" s="119"/>
      <c r="AT4122" s="118">
        <f t="shared" ref="AT4122" si="4223">AR4122*0.1</f>
        <v>180500</v>
      </c>
      <c r="AU4122" s="119"/>
      <c r="AV4122" s="118">
        <v>8340</v>
      </c>
      <c r="AW4122" s="119"/>
      <c r="AX4122" s="118">
        <f t="shared" ref="AX4122" si="4224">SUM(AR4122:AW4122)</f>
        <v>1993840</v>
      </c>
      <c r="AY4122" s="119"/>
      <c r="AZ4122" s="137">
        <v>46042</v>
      </c>
    </row>
    <row r="4123" spans="1:52" ht="17.100000000000001" customHeight="1" thickBot="1">
      <c r="A4123" s="152"/>
      <c r="B4123" s="27" t="s">
        <v>4544</v>
      </c>
      <c r="C4123" s="27">
        <v>1064</v>
      </c>
      <c r="D4123" s="14" t="s">
        <v>2086</v>
      </c>
      <c r="E4123" s="112"/>
      <c r="F4123" s="139" t="s">
        <v>12524</v>
      </c>
      <c r="G4123" s="140"/>
      <c r="H4123" s="141"/>
      <c r="I4123" s="26">
        <v>47871</v>
      </c>
      <c r="J4123" s="117"/>
      <c r="K4123" s="120"/>
      <c r="L4123" s="121"/>
      <c r="M4123" s="120"/>
      <c r="N4123" s="121"/>
      <c r="O4123" s="120"/>
      <c r="P4123" s="121"/>
      <c r="Q4123" s="120"/>
      <c r="R4123" s="121"/>
      <c r="S4123" s="120"/>
      <c r="T4123" s="121"/>
      <c r="U4123" s="120"/>
      <c r="V4123" s="123"/>
      <c r="W4123" s="125"/>
      <c r="X4123" s="142" t="s">
        <v>10390</v>
      </c>
      <c r="Y4123" s="143"/>
      <c r="Z4123" s="143"/>
      <c r="AA4123" s="143"/>
      <c r="AB4123" s="144"/>
      <c r="AC4123" s="16" t="s">
        <v>21</v>
      </c>
      <c r="AD4123" s="17" t="s">
        <v>2949</v>
      </c>
      <c r="AE4123" s="145" t="s">
        <v>1742</v>
      </c>
      <c r="AF4123" s="146"/>
      <c r="AG4123" s="146"/>
      <c r="AH4123" s="146"/>
      <c r="AI4123" s="147"/>
      <c r="AJ4123" s="148"/>
      <c r="AK4123" s="143"/>
      <c r="AL4123" s="144"/>
      <c r="AM4123" s="22"/>
      <c r="AN4123" s="149" t="s">
        <v>2511</v>
      </c>
      <c r="AO4123" s="144"/>
      <c r="AP4123" s="148">
        <v>37079</v>
      </c>
      <c r="AQ4123" s="144"/>
      <c r="AR4123" s="120"/>
      <c r="AS4123" s="121"/>
      <c r="AT4123" s="120"/>
      <c r="AU4123" s="121"/>
      <c r="AV4123" s="120"/>
      <c r="AW4123" s="121"/>
      <c r="AX4123" s="120"/>
      <c r="AY4123" s="121"/>
      <c r="AZ4123" s="138"/>
    </row>
    <row r="4124" spans="1:52" ht="17.100000000000001" customHeight="1" thickTop="1">
      <c r="A4124" s="109" t="s">
        <v>12585</v>
      </c>
      <c r="B4124" s="28">
        <v>45996</v>
      </c>
      <c r="C4124" s="25">
        <v>1397</v>
      </c>
      <c r="D4124" s="13" t="s">
        <v>1958</v>
      </c>
      <c r="E4124" s="111"/>
      <c r="F4124" s="113" t="s">
        <v>7025</v>
      </c>
      <c r="G4124" s="114"/>
      <c r="H4124" s="115"/>
      <c r="I4124" s="24" t="s">
        <v>12601</v>
      </c>
      <c r="J4124" s="116">
        <v>4</v>
      </c>
      <c r="K4124" s="118">
        <v>408000</v>
      </c>
      <c r="L4124" s="119"/>
      <c r="M4124" s="118">
        <f t="shared" ref="M4124" si="4225">K4124*0.1</f>
        <v>40800</v>
      </c>
      <c r="N4124" s="119"/>
      <c r="O4124" s="118">
        <v>0</v>
      </c>
      <c r="P4124" s="119"/>
      <c r="Q4124" s="118">
        <v>8850</v>
      </c>
      <c r="R4124" s="119"/>
      <c r="S4124" s="118">
        <v>13200</v>
      </c>
      <c r="T4124" s="119"/>
      <c r="U4124" s="118">
        <f t="shared" ref="U4124" si="4226">SUM(K4124:T4125)</f>
        <v>470850</v>
      </c>
      <c r="V4124" s="122"/>
      <c r="W4124" s="124"/>
      <c r="X4124" s="126" t="s">
        <v>13090</v>
      </c>
      <c r="Y4124" s="127"/>
      <c r="Z4124" s="127"/>
      <c r="AA4124" s="127"/>
      <c r="AB4124" s="128"/>
      <c r="AC4124" s="15" t="s">
        <v>20</v>
      </c>
      <c r="AD4124" s="129"/>
      <c r="AE4124" s="130"/>
      <c r="AF4124" s="130"/>
      <c r="AG4124" s="130"/>
      <c r="AH4124" s="130"/>
      <c r="AI4124" s="131"/>
      <c r="AJ4124" s="132"/>
      <c r="AK4124" s="127"/>
      <c r="AL4124" s="128"/>
      <c r="AM4124" s="21" t="s">
        <v>14632</v>
      </c>
      <c r="AN4124" s="133">
        <v>46029</v>
      </c>
      <c r="AO4124" s="134"/>
      <c r="AP4124" s="135">
        <v>999</v>
      </c>
      <c r="AQ4124" s="136"/>
      <c r="AR4124" s="118">
        <v>455000</v>
      </c>
      <c r="AS4124" s="119"/>
      <c r="AT4124" s="118">
        <f t="shared" ref="AT4124" si="4227">AR4124*0.1</f>
        <v>45500</v>
      </c>
      <c r="AU4124" s="119"/>
      <c r="AV4124" s="118">
        <v>8850</v>
      </c>
      <c r="AW4124" s="119"/>
      <c r="AX4124" s="118">
        <f t="shared" ref="AX4124" si="4228">SUM(AR4124:AW4124)</f>
        <v>509350</v>
      </c>
      <c r="AY4124" s="119"/>
      <c r="AZ4124" s="137">
        <v>46035</v>
      </c>
    </row>
    <row r="4125" spans="1:52" ht="17.100000000000001" customHeight="1" thickBot="1">
      <c r="A4125" s="110"/>
      <c r="B4125" s="27" t="s">
        <v>2641</v>
      </c>
      <c r="C4125" s="27">
        <v>2011</v>
      </c>
      <c r="D4125" s="14" t="s">
        <v>2836</v>
      </c>
      <c r="E4125" s="112"/>
      <c r="F4125" s="139" t="s">
        <v>12600</v>
      </c>
      <c r="G4125" s="140"/>
      <c r="H4125" s="141"/>
      <c r="I4125" s="26">
        <v>57888</v>
      </c>
      <c r="J4125" s="117"/>
      <c r="K4125" s="120"/>
      <c r="L4125" s="121"/>
      <c r="M4125" s="120"/>
      <c r="N4125" s="121"/>
      <c r="O4125" s="120"/>
      <c r="P4125" s="121"/>
      <c r="Q4125" s="120"/>
      <c r="R4125" s="121"/>
      <c r="S4125" s="120"/>
      <c r="T4125" s="121"/>
      <c r="U4125" s="120"/>
      <c r="V4125" s="123"/>
      <c r="W4125" s="125"/>
      <c r="X4125" s="142" t="s">
        <v>1997</v>
      </c>
      <c r="Y4125" s="143"/>
      <c r="Z4125" s="143"/>
      <c r="AA4125" s="143"/>
      <c r="AB4125" s="144"/>
      <c r="AC4125" s="16" t="s">
        <v>21</v>
      </c>
      <c r="AD4125" s="17" t="s">
        <v>12921</v>
      </c>
      <c r="AE4125" s="145" t="s">
        <v>2395</v>
      </c>
      <c r="AF4125" s="146"/>
      <c r="AG4125" s="146"/>
      <c r="AH4125" s="146"/>
      <c r="AI4125" s="147"/>
      <c r="AJ4125" s="148"/>
      <c r="AK4125" s="143"/>
      <c r="AL4125" s="144"/>
      <c r="AM4125" s="22"/>
      <c r="AN4125" s="149" t="s">
        <v>2794</v>
      </c>
      <c r="AO4125" s="144"/>
      <c r="AP4125" s="148">
        <v>2078</v>
      </c>
      <c r="AQ4125" s="144"/>
      <c r="AR4125" s="120"/>
      <c r="AS4125" s="121"/>
      <c r="AT4125" s="120"/>
      <c r="AU4125" s="121"/>
      <c r="AV4125" s="120"/>
      <c r="AW4125" s="121"/>
      <c r="AX4125" s="120"/>
      <c r="AY4125" s="121"/>
      <c r="AZ4125" s="138"/>
    </row>
    <row r="4126" spans="1:52" ht="17.100000000000001" customHeight="1" thickTop="1">
      <c r="A4126" s="109" t="s">
        <v>12586</v>
      </c>
      <c r="B4126" s="28">
        <v>45996</v>
      </c>
      <c r="C4126" s="25">
        <v>1397</v>
      </c>
      <c r="D4126" s="13" t="s">
        <v>2371</v>
      </c>
      <c r="E4126" s="111"/>
      <c r="F4126" s="113" t="s">
        <v>4683</v>
      </c>
      <c r="G4126" s="114"/>
      <c r="H4126" s="115"/>
      <c r="I4126" s="24" t="s">
        <v>12603</v>
      </c>
      <c r="J4126" s="116">
        <v>4</v>
      </c>
      <c r="K4126" s="118">
        <v>240000</v>
      </c>
      <c r="L4126" s="119"/>
      <c r="M4126" s="118">
        <f t="shared" ref="M4126" si="4229">K4126*0.1</f>
        <v>24000</v>
      </c>
      <c r="N4126" s="119"/>
      <c r="O4126" s="118">
        <v>0</v>
      </c>
      <c r="P4126" s="119"/>
      <c r="Q4126" s="118">
        <v>9790</v>
      </c>
      <c r="R4126" s="119"/>
      <c r="S4126" s="118">
        <v>13200</v>
      </c>
      <c r="T4126" s="119"/>
      <c r="U4126" s="118">
        <f t="shared" ref="U4126" si="4230">SUM(K4126:T4127)</f>
        <v>286990</v>
      </c>
      <c r="V4126" s="122"/>
      <c r="W4126" s="124"/>
      <c r="X4126" s="126" t="s">
        <v>13095</v>
      </c>
      <c r="Y4126" s="127"/>
      <c r="Z4126" s="127"/>
      <c r="AA4126" s="127"/>
      <c r="AB4126" s="128"/>
      <c r="AC4126" s="15" t="s">
        <v>20</v>
      </c>
      <c r="AD4126" s="129"/>
      <c r="AE4126" s="130"/>
      <c r="AF4126" s="130"/>
      <c r="AG4126" s="130"/>
      <c r="AH4126" s="130"/>
      <c r="AI4126" s="131"/>
      <c r="AJ4126" s="132"/>
      <c r="AK4126" s="127"/>
      <c r="AL4126" s="128"/>
      <c r="AM4126" s="21"/>
      <c r="AN4126" s="133">
        <v>46088</v>
      </c>
      <c r="AO4126" s="134"/>
      <c r="AP4126" s="135">
        <v>1291</v>
      </c>
      <c r="AQ4126" s="136"/>
      <c r="AR4126" s="118">
        <v>230000</v>
      </c>
      <c r="AS4126" s="119"/>
      <c r="AT4126" s="118">
        <f t="shared" ref="AT4126" si="4231">AR4126*0.1</f>
        <v>23000</v>
      </c>
      <c r="AU4126" s="119"/>
      <c r="AV4126" s="118">
        <v>9790</v>
      </c>
      <c r="AW4126" s="119"/>
      <c r="AX4126" s="118">
        <f t="shared" ref="AX4126" si="4232">SUM(AR4126:AW4126)</f>
        <v>262790</v>
      </c>
      <c r="AY4126" s="119"/>
      <c r="AZ4126" s="137">
        <v>46091</v>
      </c>
    </row>
    <row r="4127" spans="1:52" ht="17.100000000000001" customHeight="1" thickBot="1">
      <c r="A4127" s="110"/>
      <c r="B4127" s="27" t="s">
        <v>2641</v>
      </c>
      <c r="C4127" s="27">
        <v>2062</v>
      </c>
      <c r="D4127" s="14" t="s">
        <v>275</v>
      </c>
      <c r="E4127" s="112"/>
      <c r="F4127" s="139" t="s">
        <v>12602</v>
      </c>
      <c r="G4127" s="140"/>
      <c r="H4127" s="141"/>
      <c r="I4127" s="26">
        <v>57215</v>
      </c>
      <c r="J4127" s="117"/>
      <c r="K4127" s="120"/>
      <c r="L4127" s="121"/>
      <c r="M4127" s="120"/>
      <c r="N4127" s="121"/>
      <c r="O4127" s="120"/>
      <c r="P4127" s="121"/>
      <c r="Q4127" s="120"/>
      <c r="R4127" s="121"/>
      <c r="S4127" s="120"/>
      <c r="T4127" s="121"/>
      <c r="U4127" s="120"/>
      <c r="V4127" s="123"/>
      <c r="W4127" s="125"/>
      <c r="X4127" s="142" t="s">
        <v>1997</v>
      </c>
      <c r="Y4127" s="143"/>
      <c r="Z4127" s="143"/>
      <c r="AA4127" s="143"/>
      <c r="AB4127" s="144"/>
      <c r="AC4127" s="16" t="s">
        <v>21</v>
      </c>
      <c r="AD4127" s="17" t="s">
        <v>12921</v>
      </c>
      <c r="AE4127" s="145"/>
      <c r="AF4127" s="146"/>
      <c r="AG4127" s="146"/>
      <c r="AH4127" s="146"/>
      <c r="AI4127" s="147"/>
      <c r="AJ4127" s="148"/>
      <c r="AK4127" s="143"/>
      <c r="AL4127" s="144"/>
      <c r="AM4127" s="22"/>
      <c r="AN4127" s="367" t="s">
        <v>2511</v>
      </c>
      <c r="AO4127" s="144"/>
      <c r="AP4127" s="148">
        <v>60041</v>
      </c>
      <c r="AQ4127" s="144"/>
      <c r="AR4127" s="120"/>
      <c r="AS4127" s="121"/>
      <c r="AT4127" s="120"/>
      <c r="AU4127" s="121"/>
      <c r="AV4127" s="120"/>
      <c r="AW4127" s="121"/>
      <c r="AX4127" s="120"/>
      <c r="AY4127" s="121"/>
      <c r="AZ4127" s="138"/>
    </row>
    <row r="4128" spans="1:52" ht="17.100000000000001" customHeight="1" thickTop="1">
      <c r="A4128" s="109" t="s">
        <v>12587</v>
      </c>
      <c r="B4128" s="28">
        <v>45996</v>
      </c>
      <c r="C4128" s="25">
        <v>1397</v>
      </c>
      <c r="D4128" s="13" t="s">
        <v>2141</v>
      </c>
      <c r="E4128" s="111"/>
      <c r="F4128" s="113" t="s">
        <v>12604</v>
      </c>
      <c r="G4128" s="114"/>
      <c r="H4128" s="115"/>
      <c r="I4128" s="24" t="s">
        <v>12606</v>
      </c>
      <c r="J4128" s="116">
        <v>4</v>
      </c>
      <c r="K4128" s="118">
        <v>357000</v>
      </c>
      <c r="L4128" s="119"/>
      <c r="M4128" s="118">
        <f t="shared" ref="M4128" si="4233">K4128*0.1</f>
        <v>35700</v>
      </c>
      <c r="N4128" s="119"/>
      <c r="O4128" s="118">
        <v>0</v>
      </c>
      <c r="P4128" s="119"/>
      <c r="Q4128" s="118">
        <v>9670</v>
      </c>
      <c r="R4128" s="119"/>
      <c r="S4128" s="118">
        <v>13200</v>
      </c>
      <c r="T4128" s="119"/>
      <c r="U4128" s="118">
        <f t="shared" ref="U4128" si="4234">SUM(K4128:T4129)</f>
        <v>415570</v>
      </c>
      <c r="V4128" s="122"/>
      <c r="W4128" s="124"/>
      <c r="X4128" s="126" t="s">
        <v>13031</v>
      </c>
      <c r="Y4128" s="127"/>
      <c r="Z4128" s="127"/>
      <c r="AA4128" s="127"/>
      <c r="AB4128" s="128"/>
      <c r="AC4128" s="15" t="s">
        <v>20</v>
      </c>
      <c r="AD4128" s="129"/>
      <c r="AE4128" s="130"/>
      <c r="AF4128" s="130"/>
      <c r="AG4128" s="130"/>
      <c r="AH4128" s="130"/>
      <c r="AI4128" s="131"/>
      <c r="AJ4128" s="132"/>
      <c r="AK4128" s="127"/>
      <c r="AL4128" s="128"/>
      <c r="AM4128" s="21"/>
      <c r="AN4128" s="133">
        <v>46001</v>
      </c>
      <c r="AO4128" s="134"/>
      <c r="AP4128" s="135">
        <v>996</v>
      </c>
      <c r="AQ4128" s="136"/>
      <c r="AR4128" s="118">
        <v>430000</v>
      </c>
      <c r="AS4128" s="119"/>
      <c r="AT4128" s="118">
        <f t="shared" ref="AT4128" si="4235">AR4128*0.1</f>
        <v>43000</v>
      </c>
      <c r="AU4128" s="119"/>
      <c r="AV4128" s="118">
        <v>9670</v>
      </c>
      <c r="AW4128" s="119"/>
      <c r="AX4128" s="118">
        <f t="shared" ref="AX4128" si="4236">SUM(AR4128:AW4128)</f>
        <v>482670</v>
      </c>
      <c r="AY4128" s="119"/>
      <c r="AZ4128" s="137">
        <v>46006</v>
      </c>
    </row>
    <row r="4129" spans="1:52" ht="17.100000000000001" customHeight="1" thickBot="1">
      <c r="A4129" s="110"/>
      <c r="B4129" s="27" t="s">
        <v>2641</v>
      </c>
      <c r="C4129" s="27">
        <v>2203</v>
      </c>
      <c r="D4129" s="14" t="s">
        <v>2601</v>
      </c>
      <c r="E4129" s="112"/>
      <c r="F4129" s="139" t="s">
        <v>12605</v>
      </c>
      <c r="G4129" s="140"/>
      <c r="H4129" s="141"/>
      <c r="I4129" s="26">
        <v>55617</v>
      </c>
      <c r="J4129" s="117"/>
      <c r="K4129" s="120"/>
      <c r="L4129" s="121"/>
      <c r="M4129" s="120"/>
      <c r="N4129" s="121"/>
      <c r="O4129" s="120"/>
      <c r="P4129" s="121"/>
      <c r="Q4129" s="120"/>
      <c r="R4129" s="121"/>
      <c r="S4129" s="120"/>
      <c r="T4129" s="121"/>
      <c r="U4129" s="120"/>
      <c r="V4129" s="123"/>
      <c r="W4129" s="125"/>
      <c r="X4129" s="142" t="s">
        <v>1997</v>
      </c>
      <c r="Y4129" s="143"/>
      <c r="Z4129" s="143"/>
      <c r="AA4129" s="143"/>
      <c r="AB4129" s="144"/>
      <c r="AC4129" s="16" t="s">
        <v>21</v>
      </c>
      <c r="AD4129" s="17" t="s">
        <v>12921</v>
      </c>
      <c r="AE4129" s="145" t="s">
        <v>4077</v>
      </c>
      <c r="AF4129" s="146"/>
      <c r="AG4129" s="146"/>
      <c r="AH4129" s="146"/>
      <c r="AI4129" s="147"/>
      <c r="AJ4129" s="148"/>
      <c r="AK4129" s="143"/>
      <c r="AL4129" s="144"/>
      <c r="AM4129" s="22"/>
      <c r="AN4129" s="149" t="s">
        <v>2794</v>
      </c>
      <c r="AO4129" s="144"/>
      <c r="AP4129" s="148">
        <v>2053</v>
      </c>
      <c r="AQ4129" s="144"/>
      <c r="AR4129" s="120"/>
      <c r="AS4129" s="121"/>
      <c r="AT4129" s="120"/>
      <c r="AU4129" s="121"/>
      <c r="AV4129" s="120"/>
      <c r="AW4129" s="121"/>
      <c r="AX4129" s="120"/>
      <c r="AY4129" s="121"/>
      <c r="AZ4129" s="138"/>
    </row>
    <row r="4130" spans="1:52" ht="17.100000000000001" customHeight="1" thickTop="1">
      <c r="A4130" s="109" t="s">
        <v>12588</v>
      </c>
      <c r="B4130" s="28">
        <v>45996</v>
      </c>
      <c r="C4130" s="25">
        <v>1397</v>
      </c>
      <c r="D4130" s="13" t="s">
        <v>12607</v>
      </c>
      <c r="E4130" s="111"/>
      <c r="F4130" s="113" t="s">
        <v>12608</v>
      </c>
      <c r="G4130" s="114"/>
      <c r="H4130" s="115"/>
      <c r="I4130" s="24" t="s">
        <v>8228</v>
      </c>
      <c r="J4130" s="116">
        <v>4.5</v>
      </c>
      <c r="K4130" s="118">
        <v>2257000</v>
      </c>
      <c r="L4130" s="119"/>
      <c r="M4130" s="118">
        <f t="shared" ref="M4130" si="4237">K4130*0.1</f>
        <v>225700</v>
      </c>
      <c r="N4130" s="119"/>
      <c r="O4130" s="118">
        <f>11200+1120</f>
        <v>12320</v>
      </c>
      <c r="P4130" s="119"/>
      <c r="Q4130" s="118">
        <v>11900</v>
      </c>
      <c r="R4130" s="119"/>
      <c r="S4130" s="118">
        <v>13200</v>
      </c>
      <c r="T4130" s="119"/>
      <c r="U4130" s="118">
        <f t="shared" ref="U4130" si="4238">SUM(K4130:T4131)</f>
        <v>2520120</v>
      </c>
      <c r="V4130" s="122"/>
      <c r="W4130" s="124"/>
      <c r="X4130" s="126" t="s">
        <v>13081</v>
      </c>
      <c r="Y4130" s="127"/>
      <c r="Z4130" s="127"/>
      <c r="AA4130" s="127"/>
      <c r="AB4130" s="128"/>
      <c r="AC4130" s="15" t="s">
        <v>20</v>
      </c>
      <c r="AD4130" s="129" t="s">
        <v>12610</v>
      </c>
      <c r="AE4130" s="130"/>
      <c r="AF4130" s="130"/>
      <c r="AG4130" s="130"/>
      <c r="AH4130" s="130"/>
      <c r="AI4130" s="131"/>
      <c r="AJ4130" s="132"/>
      <c r="AK4130" s="127"/>
      <c r="AL4130" s="128"/>
      <c r="AM4130" s="21"/>
      <c r="AN4130" s="133">
        <v>46029</v>
      </c>
      <c r="AO4130" s="134"/>
      <c r="AP4130" s="135">
        <v>999</v>
      </c>
      <c r="AQ4130" s="136"/>
      <c r="AR4130" s="118">
        <v>2400000</v>
      </c>
      <c r="AS4130" s="119"/>
      <c r="AT4130" s="118">
        <f t="shared" ref="AT4130" si="4239">AR4130*0.1</f>
        <v>240000</v>
      </c>
      <c r="AU4130" s="119"/>
      <c r="AV4130" s="118">
        <v>11900</v>
      </c>
      <c r="AW4130" s="119"/>
      <c r="AX4130" s="118">
        <f t="shared" ref="AX4130" si="4240">SUM(AR4130:AW4130)</f>
        <v>2651900</v>
      </c>
      <c r="AY4130" s="119"/>
      <c r="AZ4130" s="137">
        <v>46035</v>
      </c>
    </row>
    <row r="4131" spans="1:52" ht="17.100000000000001" customHeight="1" thickBot="1">
      <c r="A4131" s="110"/>
      <c r="B4131" s="27" t="s">
        <v>2641</v>
      </c>
      <c r="C4131" s="27">
        <v>3016</v>
      </c>
      <c r="D4131" s="14" t="s">
        <v>2601</v>
      </c>
      <c r="E4131" s="112"/>
      <c r="F4131" s="139" t="s">
        <v>12609</v>
      </c>
      <c r="G4131" s="140"/>
      <c r="H4131" s="141"/>
      <c r="I4131" s="26">
        <v>70577</v>
      </c>
      <c r="J4131" s="117"/>
      <c r="K4131" s="120"/>
      <c r="L4131" s="121"/>
      <c r="M4131" s="120"/>
      <c r="N4131" s="121"/>
      <c r="O4131" s="120"/>
      <c r="P4131" s="121"/>
      <c r="Q4131" s="120"/>
      <c r="R4131" s="121"/>
      <c r="S4131" s="120"/>
      <c r="T4131" s="121"/>
      <c r="U4131" s="120"/>
      <c r="V4131" s="123"/>
      <c r="W4131" s="125"/>
      <c r="X4131" s="142" t="s">
        <v>13082</v>
      </c>
      <c r="Y4131" s="143"/>
      <c r="Z4131" s="143"/>
      <c r="AA4131" s="143"/>
      <c r="AB4131" s="144"/>
      <c r="AC4131" s="16" t="s">
        <v>21</v>
      </c>
      <c r="AD4131" s="17" t="s">
        <v>12921</v>
      </c>
      <c r="AE4131" s="145" t="s">
        <v>13083</v>
      </c>
      <c r="AF4131" s="146"/>
      <c r="AG4131" s="146"/>
      <c r="AH4131" s="146"/>
      <c r="AI4131" s="147"/>
      <c r="AJ4131" s="148"/>
      <c r="AK4131" s="143"/>
      <c r="AL4131" s="144"/>
      <c r="AM4131" s="22"/>
      <c r="AN4131" s="149" t="s">
        <v>2794</v>
      </c>
      <c r="AO4131" s="144"/>
      <c r="AP4131" s="148">
        <v>6097</v>
      </c>
      <c r="AQ4131" s="144"/>
      <c r="AR4131" s="120"/>
      <c r="AS4131" s="121"/>
      <c r="AT4131" s="120"/>
      <c r="AU4131" s="121"/>
      <c r="AV4131" s="120"/>
      <c r="AW4131" s="121"/>
      <c r="AX4131" s="120"/>
      <c r="AY4131" s="121"/>
      <c r="AZ4131" s="138"/>
    </row>
    <row r="4132" spans="1:52" ht="17.100000000000001" customHeight="1" thickTop="1">
      <c r="A4132" s="151" t="s">
        <v>12589</v>
      </c>
      <c r="B4132" s="28">
        <v>45996</v>
      </c>
      <c r="C4132" s="25">
        <v>1397</v>
      </c>
      <c r="D4132" s="13" t="s">
        <v>4121</v>
      </c>
      <c r="E4132" s="111"/>
      <c r="F4132" s="113" t="s">
        <v>12611</v>
      </c>
      <c r="G4132" s="114"/>
      <c r="H4132" s="115"/>
      <c r="I4132" s="24" t="s">
        <v>4535</v>
      </c>
      <c r="J4132" s="116">
        <v>4</v>
      </c>
      <c r="K4132" s="118">
        <v>869000</v>
      </c>
      <c r="L4132" s="119"/>
      <c r="M4132" s="118">
        <f t="shared" ref="M4132" si="4241">K4132*0.1</f>
        <v>86900</v>
      </c>
      <c r="N4132" s="119"/>
      <c r="O4132" s="118">
        <f>8600+860</f>
        <v>9460</v>
      </c>
      <c r="P4132" s="119"/>
      <c r="Q4132" s="118">
        <v>9380</v>
      </c>
      <c r="R4132" s="119"/>
      <c r="S4132" s="118">
        <v>13200</v>
      </c>
      <c r="T4132" s="119"/>
      <c r="U4132" s="118">
        <f t="shared" ref="U4132" si="4242">SUM(K4132:T4133)</f>
        <v>987940</v>
      </c>
      <c r="V4132" s="122"/>
      <c r="W4132" s="124"/>
      <c r="X4132" s="126" t="s">
        <v>13543</v>
      </c>
      <c r="Y4132" s="127"/>
      <c r="Z4132" s="127"/>
      <c r="AA4132" s="127"/>
      <c r="AB4132" s="128"/>
      <c r="AC4132" s="15" t="s">
        <v>20</v>
      </c>
      <c r="AD4132" s="129" t="s">
        <v>4527</v>
      </c>
      <c r="AE4132" s="130"/>
      <c r="AF4132" s="130"/>
      <c r="AG4132" s="130"/>
      <c r="AH4132" s="130"/>
      <c r="AI4132" s="131"/>
      <c r="AJ4132" s="132"/>
      <c r="AK4132" s="127"/>
      <c r="AL4132" s="128"/>
      <c r="AM4132" s="21"/>
      <c r="AN4132" s="133">
        <v>46018</v>
      </c>
      <c r="AO4132" s="134"/>
      <c r="AP4132" s="135"/>
      <c r="AQ4132" s="136"/>
      <c r="AR4132" s="118">
        <v>980000</v>
      </c>
      <c r="AS4132" s="119"/>
      <c r="AT4132" s="118">
        <f t="shared" ref="AT4132" si="4243">AR4132*0.1</f>
        <v>98000</v>
      </c>
      <c r="AU4132" s="119"/>
      <c r="AV4132" s="118">
        <v>9380</v>
      </c>
      <c r="AW4132" s="119"/>
      <c r="AX4132" s="118">
        <f t="shared" ref="AX4132" si="4244">SUM(AR4132:AW4132)</f>
        <v>1087380</v>
      </c>
      <c r="AY4132" s="119"/>
      <c r="AZ4132" s="137"/>
    </row>
    <row r="4133" spans="1:52" ht="17.100000000000001" customHeight="1" thickBot="1">
      <c r="A4133" s="152"/>
      <c r="B4133" s="27" t="s">
        <v>2641</v>
      </c>
      <c r="C4133" s="27">
        <v>3020</v>
      </c>
      <c r="D4133" s="14" t="s">
        <v>1576</v>
      </c>
      <c r="E4133" s="112"/>
      <c r="F4133" s="139" t="s">
        <v>12612</v>
      </c>
      <c r="G4133" s="140"/>
      <c r="H4133" s="141"/>
      <c r="I4133" s="26">
        <v>52585</v>
      </c>
      <c r="J4133" s="117"/>
      <c r="K4133" s="120"/>
      <c r="L4133" s="121"/>
      <c r="M4133" s="120"/>
      <c r="N4133" s="121"/>
      <c r="O4133" s="120"/>
      <c r="P4133" s="121"/>
      <c r="Q4133" s="120"/>
      <c r="R4133" s="121"/>
      <c r="S4133" s="120"/>
      <c r="T4133" s="121"/>
      <c r="U4133" s="120"/>
      <c r="V4133" s="123"/>
      <c r="W4133" s="125"/>
      <c r="X4133" s="142" t="s">
        <v>13544</v>
      </c>
      <c r="Y4133" s="143"/>
      <c r="Z4133" s="143"/>
      <c r="AA4133" s="143"/>
      <c r="AB4133" s="144"/>
      <c r="AC4133" s="16" t="s">
        <v>21</v>
      </c>
      <c r="AD4133" s="17" t="s">
        <v>2268</v>
      </c>
      <c r="AE4133" s="145" t="s">
        <v>13545</v>
      </c>
      <c r="AF4133" s="146"/>
      <c r="AG4133" s="146"/>
      <c r="AH4133" s="146"/>
      <c r="AI4133" s="147"/>
      <c r="AJ4133" s="148"/>
      <c r="AK4133" s="143"/>
      <c r="AL4133" s="144"/>
      <c r="AM4133" s="22"/>
      <c r="AN4133" s="149" t="s">
        <v>6789</v>
      </c>
      <c r="AO4133" s="144"/>
      <c r="AP4133" s="148">
        <v>53496</v>
      </c>
      <c r="AQ4133" s="144"/>
      <c r="AR4133" s="120"/>
      <c r="AS4133" s="121"/>
      <c r="AT4133" s="120"/>
      <c r="AU4133" s="121"/>
      <c r="AV4133" s="120"/>
      <c r="AW4133" s="121"/>
      <c r="AX4133" s="120"/>
      <c r="AY4133" s="121"/>
      <c r="AZ4133" s="138"/>
    </row>
    <row r="4134" spans="1:52" ht="17.100000000000001" customHeight="1" thickTop="1">
      <c r="A4134" s="109" t="s">
        <v>12590</v>
      </c>
      <c r="B4134" s="28">
        <v>45996</v>
      </c>
      <c r="C4134" s="25">
        <v>1397</v>
      </c>
      <c r="D4134" s="13" t="s">
        <v>2196</v>
      </c>
      <c r="E4134" s="111"/>
      <c r="F4134" s="113" t="s">
        <v>12613</v>
      </c>
      <c r="G4134" s="114"/>
      <c r="H4134" s="115"/>
      <c r="I4134" s="24" t="s">
        <v>12615</v>
      </c>
      <c r="J4134" s="116">
        <v>4</v>
      </c>
      <c r="K4134" s="118">
        <v>1386000</v>
      </c>
      <c r="L4134" s="119"/>
      <c r="M4134" s="118">
        <f t="shared" ref="M4134" si="4245">K4134*0.1</f>
        <v>138600</v>
      </c>
      <c r="N4134" s="119"/>
      <c r="O4134" s="118">
        <v>12320</v>
      </c>
      <c r="P4134" s="119"/>
      <c r="Q4134" s="118">
        <v>10620</v>
      </c>
      <c r="R4134" s="119"/>
      <c r="S4134" s="118">
        <v>13200</v>
      </c>
      <c r="T4134" s="119"/>
      <c r="U4134" s="118">
        <f t="shared" ref="U4134" si="4246">SUM(K4134:T4135)</f>
        <v>1560740</v>
      </c>
      <c r="V4134" s="122"/>
      <c r="W4134" s="124"/>
      <c r="X4134" s="126" t="s">
        <v>13182</v>
      </c>
      <c r="Y4134" s="127"/>
      <c r="Z4134" s="127"/>
      <c r="AA4134" s="127"/>
      <c r="AB4134" s="128"/>
      <c r="AC4134" s="15" t="s">
        <v>20</v>
      </c>
      <c r="AD4134" s="129" t="s">
        <v>2385</v>
      </c>
      <c r="AE4134" s="130"/>
      <c r="AF4134" s="130"/>
      <c r="AG4134" s="130"/>
      <c r="AH4134" s="130"/>
      <c r="AI4134" s="131"/>
      <c r="AJ4134" s="132"/>
      <c r="AK4134" s="127"/>
      <c r="AL4134" s="128"/>
      <c r="AM4134" s="21" t="s">
        <v>15344</v>
      </c>
      <c r="AN4134" s="133">
        <v>46081</v>
      </c>
      <c r="AO4134" s="134"/>
      <c r="AP4134" s="135">
        <v>1290</v>
      </c>
      <c r="AQ4134" s="136"/>
      <c r="AR4134" s="118">
        <v>1415000</v>
      </c>
      <c r="AS4134" s="119"/>
      <c r="AT4134" s="118">
        <f t="shared" ref="AT4134" si="4247">AR4134*0.1</f>
        <v>141500</v>
      </c>
      <c r="AU4134" s="119"/>
      <c r="AV4134" s="118">
        <v>10620</v>
      </c>
      <c r="AW4134" s="119"/>
      <c r="AX4134" s="118">
        <f t="shared" ref="AX4134" si="4248">SUM(AR4134:AW4134)</f>
        <v>1567120</v>
      </c>
      <c r="AY4134" s="119"/>
      <c r="AZ4134" s="137">
        <v>46084</v>
      </c>
    </row>
    <row r="4135" spans="1:52" ht="17.100000000000001" customHeight="1" thickBot="1">
      <c r="A4135" s="110"/>
      <c r="B4135" s="27" t="s">
        <v>2641</v>
      </c>
      <c r="C4135" s="27">
        <v>3161</v>
      </c>
      <c r="D4135" s="14" t="s">
        <v>275</v>
      </c>
      <c r="E4135" s="112"/>
      <c r="F4135" s="139" t="s">
        <v>12614</v>
      </c>
      <c r="G4135" s="140"/>
      <c r="H4135" s="141"/>
      <c r="I4135" s="26">
        <v>140651</v>
      </c>
      <c r="J4135" s="117"/>
      <c r="K4135" s="120"/>
      <c r="L4135" s="121"/>
      <c r="M4135" s="120"/>
      <c r="N4135" s="121"/>
      <c r="O4135" s="120"/>
      <c r="P4135" s="121"/>
      <c r="Q4135" s="120"/>
      <c r="R4135" s="121"/>
      <c r="S4135" s="120"/>
      <c r="T4135" s="121"/>
      <c r="U4135" s="120"/>
      <c r="V4135" s="123"/>
      <c r="W4135" s="125"/>
      <c r="X4135" s="142" t="s">
        <v>13183</v>
      </c>
      <c r="Y4135" s="143"/>
      <c r="Z4135" s="143"/>
      <c r="AA4135" s="143"/>
      <c r="AB4135" s="144"/>
      <c r="AC4135" s="16" t="s">
        <v>21</v>
      </c>
      <c r="AD4135" s="17" t="s">
        <v>13052</v>
      </c>
      <c r="AE4135" s="145" t="s">
        <v>10730</v>
      </c>
      <c r="AF4135" s="146"/>
      <c r="AG4135" s="146"/>
      <c r="AH4135" s="146"/>
      <c r="AI4135" s="147"/>
      <c r="AJ4135" s="148"/>
      <c r="AK4135" s="143"/>
      <c r="AL4135" s="144"/>
      <c r="AM4135" s="22"/>
      <c r="AN4135" s="149" t="s">
        <v>2511</v>
      </c>
      <c r="AO4135" s="144"/>
      <c r="AP4135" s="148">
        <v>50119</v>
      </c>
      <c r="AQ4135" s="144"/>
      <c r="AR4135" s="120"/>
      <c r="AS4135" s="121"/>
      <c r="AT4135" s="120"/>
      <c r="AU4135" s="121"/>
      <c r="AV4135" s="120"/>
      <c r="AW4135" s="121"/>
      <c r="AX4135" s="120"/>
      <c r="AY4135" s="121"/>
      <c r="AZ4135" s="138"/>
    </row>
    <row r="4136" spans="1:52" ht="17.100000000000001" customHeight="1" thickTop="1">
      <c r="A4136" s="109" t="s">
        <v>12591</v>
      </c>
      <c r="B4136" s="28">
        <v>45996</v>
      </c>
      <c r="C4136" s="25">
        <v>1397</v>
      </c>
      <c r="D4136" s="13" t="s">
        <v>2494</v>
      </c>
      <c r="E4136" s="111"/>
      <c r="F4136" s="113" t="s">
        <v>12616</v>
      </c>
      <c r="G4136" s="114"/>
      <c r="H4136" s="115"/>
      <c r="I4136" s="24" t="s">
        <v>12618</v>
      </c>
      <c r="J4136" s="116">
        <v>5</v>
      </c>
      <c r="K4136" s="118">
        <v>1217000</v>
      </c>
      <c r="L4136" s="119"/>
      <c r="M4136" s="118">
        <f t="shared" ref="M4136" si="4249">K4136*0.1</f>
        <v>121700</v>
      </c>
      <c r="N4136" s="119"/>
      <c r="O4136" s="118">
        <v>0</v>
      </c>
      <c r="P4136" s="119"/>
      <c r="Q4136" s="118">
        <v>8450</v>
      </c>
      <c r="R4136" s="119"/>
      <c r="S4136" s="118">
        <v>13200</v>
      </c>
      <c r="T4136" s="119"/>
      <c r="U4136" s="118">
        <f t="shared" ref="U4136" si="4250">SUM(K4136:T4137)</f>
        <v>1360350</v>
      </c>
      <c r="V4136" s="122"/>
      <c r="W4136" s="124"/>
      <c r="X4136" s="126" t="s">
        <v>13078</v>
      </c>
      <c r="Y4136" s="127"/>
      <c r="Z4136" s="127"/>
      <c r="AA4136" s="127"/>
      <c r="AB4136" s="128"/>
      <c r="AC4136" s="15" t="s">
        <v>20</v>
      </c>
      <c r="AD4136" s="129" t="s">
        <v>12619</v>
      </c>
      <c r="AE4136" s="130"/>
      <c r="AF4136" s="130"/>
      <c r="AG4136" s="130"/>
      <c r="AH4136" s="130"/>
      <c r="AI4136" s="131"/>
      <c r="AJ4136" s="132"/>
      <c r="AK4136" s="127"/>
      <c r="AL4136" s="128"/>
      <c r="AM4136" s="21"/>
      <c r="AN4136" s="133">
        <v>46008</v>
      </c>
      <c r="AO4136" s="134"/>
      <c r="AP4136" s="135">
        <v>997</v>
      </c>
      <c r="AQ4136" s="136"/>
      <c r="AR4136" s="118">
        <v>1290000</v>
      </c>
      <c r="AS4136" s="119"/>
      <c r="AT4136" s="118">
        <f t="shared" ref="AT4136" si="4251">AR4136*0.1</f>
        <v>129000</v>
      </c>
      <c r="AU4136" s="119"/>
      <c r="AV4136" s="118">
        <v>8450</v>
      </c>
      <c r="AW4136" s="119"/>
      <c r="AX4136" s="118">
        <f t="shared" ref="AX4136" si="4252">SUM(AR4136:AW4136)</f>
        <v>1427450</v>
      </c>
      <c r="AY4136" s="119"/>
      <c r="AZ4136" s="137">
        <v>46013</v>
      </c>
    </row>
    <row r="4137" spans="1:52" ht="17.100000000000001" customHeight="1" thickBot="1">
      <c r="A4137" s="110"/>
      <c r="B4137" s="27" t="s">
        <v>2641</v>
      </c>
      <c r="C4137" s="27">
        <v>3209</v>
      </c>
      <c r="D4137" s="14" t="s">
        <v>904</v>
      </c>
      <c r="E4137" s="112"/>
      <c r="F4137" s="139" t="s">
        <v>12617</v>
      </c>
      <c r="G4137" s="140"/>
      <c r="H4137" s="141"/>
      <c r="I4137" s="26">
        <v>677</v>
      </c>
      <c r="J4137" s="117"/>
      <c r="K4137" s="120"/>
      <c r="L4137" s="121"/>
      <c r="M4137" s="120"/>
      <c r="N4137" s="121"/>
      <c r="O4137" s="120"/>
      <c r="P4137" s="121"/>
      <c r="Q4137" s="120"/>
      <c r="R4137" s="121"/>
      <c r="S4137" s="120"/>
      <c r="T4137" s="121"/>
      <c r="U4137" s="120"/>
      <c r="V4137" s="123"/>
      <c r="W4137" s="125"/>
      <c r="X4137" s="142" t="s">
        <v>13079</v>
      </c>
      <c r="Y4137" s="143"/>
      <c r="Z4137" s="143"/>
      <c r="AA4137" s="143"/>
      <c r="AB4137" s="144"/>
      <c r="AC4137" s="16" t="s">
        <v>21</v>
      </c>
      <c r="AD4137" s="17" t="s">
        <v>12921</v>
      </c>
      <c r="AE4137" s="145" t="s">
        <v>9484</v>
      </c>
      <c r="AF4137" s="146"/>
      <c r="AG4137" s="146"/>
      <c r="AH4137" s="146"/>
      <c r="AI4137" s="147"/>
      <c r="AJ4137" s="148"/>
      <c r="AK4137" s="143"/>
      <c r="AL4137" s="144"/>
      <c r="AM4137" s="22"/>
      <c r="AN4137" s="149" t="s">
        <v>2794</v>
      </c>
      <c r="AO4137" s="144"/>
      <c r="AP4137" s="148">
        <v>2086</v>
      </c>
      <c r="AQ4137" s="144"/>
      <c r="AR4137" s="120"/>
      <c r="AS4137" s="121"/>
      <c r="AT4137" s="120"/>
      <c r="AU4137" s="121"/>
      <c r="AV4137" s="120"/>
      <c r="AW4137" s="121"/>
      <c r="AX4137" s="120"/>
      <c r="AY4137" s="121"/>
      <c r="AZ4137" s="138"/>
    </row>
    <row r="4138" spans="1:52" ht="17.100000000000001" customHeight="1" thickTop="1">
      <c r="A4138" s="109" t="s">
        <v>12592</v>
      </c>
      <c r="B4138" s="28">
        <v>45996</v>
      </c>
      <c r="C4138" s="25">
        <v>1397</v>
      </c>
      <c r="D4138" s="13" t="s">
        <v>1845</v>
      </c>
      <c r="E4138" s="111"/>
      <c r="F4138" s="113" t="s">
        <v>12620</v>
      </c>
      <c r="G4138" s="114"/>
      <c r="H4138" s="115"/>
      <c r="I4138" s="24"/>
      <c r="J4138" s="116">
        <v>4</v>
      </c>
      <c r="K4138" s="118">
        <v>810000</v>
      </c>
      <c r="L4138" s="119"/>
      <c r="M4138" s="118">
        <f t="shared" ref="M4138" si="4253">K4138*0.1</f>
        <v>81000</v>
      </c>
      <c r="N4138" s="119"/>
      <c r="O4138" s="118">
        <v>0</v>
      </c>
      <c r="P4138" s="119"/>
      <c r="Q4138" s="118">
        <v>7950</v>
      </c>
      <c r="R4138" s="119"/>
      <c r="S4138" s="118">
        <v>13200</v>
      </c>
      <c r="T4138" s="119"/>
      <c r="U4138" s="118">
        <f t="shared" ref="U4138" si="4254">SUM(K4138:T4139)</f>
        <v>912150</v>
      </c>
      <c r="V4138" s="122"/>
      <c r="W4138" s="124"/>
      <c r="X4138" s="126" t="s">
        <v>13181</v>
      </c>
      <c r="Y4138" s="127"/>
      <c r="Z4138" s="127"/>
      <c r="AA4138" s="127"/>
      <c r="AB4138" s="128"/>
      <c r="AC4138" s="15" t="s">
        <v>20</v>
      </c>
      <c r="AD4138" s="129" t="s">
        <v>171</v>
      </c>
      <c r="AE4138" s="130"/>
      <c r="AF4138" s="130"/>
      <c r="AG4138" s="130"/>
      <c r="AH4138" s="130"/>
      <c r="AI4138" s="131"/>
      <c r="AJ4138" s="132"/>
      <c r="AK4138" s="127"/>
      <c r="AL4138" s="128"/>
      <c r="AM4138" s="21"/>
      <c r="AN4138" s="133">
        <v>46004</v>
      </c>
      <c r="AO4138" s="134"/>
      <c r="AP4138" s="135">
        <v>1280</v>
      </c>
      <c r="AQ4138" s="136"/>
      <c r="AR4138" s="118">
        <v>1015000</v>
      </c>
      <c r="AS4138" s="119"/>
      <c r="AT4138" s="118">
        <f t="shared" ref="AT4138" si="4255">AR4138*0.1</f>
        <v>101500</v>
      </c>
      <c r="AU4138" s="119"/>
      <c r="AV4138" s="118">
        <v>7950</v>
      </c>
      <c r="AW4138" s="119"/>
      <c r="AX4138" s="118">
        <f t="shared" ref="AX4138" si="4256">SUM(AR4138:AW4138)</f>
        <v>1124450</v>
      </c>
      <c r="AY4138" s="119"/>
      <c r="AZ4138" s="137">
        <v>46008</v>
      </c>
    </row>
    <row r="4139" spans="1:52" ht="17.100000000000001" customHeight="1" thickBot="1">
      <c r="A4139" s="110"/>
      <c r="B4139" s="27" t="s">
        <v>2641</v>
      </c>
      <c r="C4139" s="27">
        <v>7530</v>
      </c>
      <c r="D4139" s="14" t="s">
        <v>1576</v>
      </c>
      <c r="E4139" s="112"/>
      <c r="F4139" s="139" t="s">
        <v>12621</v>
      </c>
      <c r="G4139" s="140"/>
      <c r="H4139" s="141"/>
      <c r="I4139" s="26">
        <v>28627</v>
      </c>
      <c r="J4139" s="117"/>
      <c r="K4139" s="120"/>
      <c r="L4139" s="121"/>
      <c r="M4139" s="120"/>
      <c r="N4139" s="121"/>
      <c r="O4139" s="120"/>
      <c r="P4139" s="121"/>
      <c r="Q4139" s="120"/>
      <c r="R4139" s="121"/>
      <c r="S4139" s="120"/>
      <c r="T4139" s="121"/>
      <c r="U4139" s="120"/>
      <c r="V4139" s="123"/>
      <c r="W4139" s="125"/>
      <c r="X4139" s="142" t="s">
        <v>9862</v>
      </c>
      <c r="Y4139" s="143"/>
      <c r="Z4139" s="143"/>
      <c r="AA4139" s="143"/>
      <c r="AB4139" s="144"/>
      <c r="AC4139" s="16" t="s">
        <v>21</v>
      </c>
      <c r="AD4139" s="17" t="s">
        <v>13052</v>
      </c>
      <c r="AE4139" s="145" t="s">
        <v>7841</v>
      </c>
      <c r="AF4139" s="146"/>
      <c r="AG4139" s="146"/>
      <c r="AH4139" s="146"/>
      <c r="AI4139" s="147"/>
      <c r="AJ4139" s="148"/>
      <c r="AK4139" s="143"/>
      <c r="AL4139" s="144"/>
      <c r="AM4139" s="22"/>
      <c r="AN4139" s="149" t="s">
        <v>2511</v>
      </c>
      <c r="AO4139" s="144"/>
      <c r="AP4139" s="148">
        <v>60370</v>
      </c>
      <c r="AQ4139" s="144"/>
      <c r="AR4139" s="120"/>
      <c r="AS4139" s="121"/>
      <c r="AT4139" s="120"/>
      <c r="AU4139" s="121"/>
      <c r="AV4139" s="120"/>
      <c r="AW4139" s="121"/>
      <c r="AX4139" s="120"/>
      <c r="AY4139" s="121"/>
      <c r="AZ4139" s="138"/>
    </row>
    <row r="4140" spans="1:52" ht="17.100000000000001" customHeight="1" thickTop="1">
      <c r="A4140" s="109" t="s">
        <v>12593</v>
      </c>
      <c r="B4140" s="28">
        <v>45996</v>
      </c>
      <c r="C4140" s="25">
        <v>1397</v>
      </c>
      <c r="D4140" s="13" t="s">
        <v>2508</v>
      </c>
      <c r="E4140" s="111"/>
      <c r="F4140" s="113" t="s">
        <v>12622</v>
      </c>
      <c r="G4140" s="114"/>
      <c r="H4140" s="115"/>
      <c r="I4140" s="24" t="s">
        <v>12624</v>
      </c>
      <c r="J4140" s="116">
        <v>5</v>
      </c>
      <c r="K4140" s="118">
        <v>1278000</v>
      </c>
      <c r="L4140" s="119"/>
      <c r="M4140" s="118">
        <f t="shared" ref="M4140" si="4257">K4140*0.1</f>
        <v>127800</v>
      </c>
      <c r="N4140" s="119"/>
      <c r="O4140" s="118">
        <v>0</v>
      </c>
      <c r="P4140" s="119"/>
      <c r="Q4140" s="118">
        <v>8200</v>
      </c>
      <c r="R4140" s="119"/>
      <c r="S4140" s="118">
        <v>13200</v>
      </c>
      <c r="T4140" s="119"/>
      <c r="U4140" s="118">
        <f t="shared" ref="U4140" si="4258">SUM(K4140:T4141)</f>
        <v>1427200</v>
      </c>
      <c r="V4140" s="122"/>
      <c r="W4140" s="124"/>
      <c r="X4140" s="126" t="s">
        <v>13080</v>
      </c>
      <c r="Y4140" s="127"/>
      <c r="Z4140" s="127"/>
      <c r="AA4140" s="127"/>
      <c r="AB4140" s="128"/>
      <c r="AC4140" s="15" t="s">
        <v>20</v>
      </c>
      <c r="AD4140" s="129" t="s">
        <v>171</v>
      </c>
      <c r="AE4140" s="130"/>
      <c r="AF4140" s="130"/>
      <c r="AG4140" s="130"/>
      <c r="AH4140" s="130"/>
      <c r="AI4140" s="131"/>
      <c r="AJ4140" s="132"/>
      <c r="AK4140" s="127"/>
      <c r="AL4140" s="128"/>
      <c r="AM4140" s="21"/>
      <c r="AN4140" s="133">
        <v>46015</v>
      </c>
      <c r="AO4140" s="134"/>
      <c r="AP4140" s="135">
        <v>998</v>
      </c>
      <c r="AQ4140" s="136"/>
      <c r="AR4140" s="118">
        <v>1285000</v>
      </c>
      <c r="AS4140" s="119"/>
      <c r="AT4140" s="118">
        <f t="shared" ref="AT4140" si="4259">AR4140*0.1</f>
        <v>128500</v>
      </c>
      <c r="AU4140" s="119"/>
      <c r="AV4140" s="118">
        <v>8200</v>
      </c>
      <c r="AW4140" s="119"/>
      <c r="AX4140" s="118">
        <f t="shared" ref="AX4140" si="4260">SUM(AR4140:AW4140)</f>
        <v>1421700</v>
      </c>
      <c r="AY4140" s="119"/>
      <c r="AZ4140" s="137">
        <v>46027</v>
      </c>
    </row>
    <row r="4141" spans="1:52" ht="17.100000000000001" customHeight="1" thickBot="1">
      <c r="A4141" s="110"/>
      <c r="B4141" s="27" t="s">
        <v>2641</v>
      </c>
      <c r="C4141" s="27">
        <v>7557</v>
      </c>
      <c r="D4141" s="14" t="s">
        <v>1592</v>
      </c>
      <c r="E4141" s="112"/>
      <c r="F4141" s="139" t="s">
        <v>12623</v>
      </c>
      <c r="G4141" s="140"/>
      <c r="H4141" s="141"/>
      <c r="I4141" s="26">
        <v>2736</v>
      </c>
      <c r="J4141" s="117"/>
      <c r="K4141" s="120"/>
      <c r="L4141" s="121"/>
      <c r="M4141" s="120"/>
      <c r="N4141" s="121"/>
      <c r="O4141" s="120"/>
      <c r="P4141" s="121"/>
      <c r="Q4141" s="120"/>
      <c r="R4141" s="121"/>
      <c r="S4141" s="120"/>
      <c r="T4141" s="121"/>
      <c r="U4141" s="120"/>
      <c r="V4141" s="123"/>
      <c r="W4141" s="125"/>
      <c r="X4141" s="142" t="s">
        <v>8531</v>
      </c>
      <c r="Y4141" s="143"/>
      <c r="Z4141" s="143"/>
      <c r="AA4141" s="143"/>
      <c r="AB4141" s="144"/>
      <c r="AC4141" s="16" t="s">
        <v>21</v>
      </c>
      <c r="AD4141" s="17" t="s">
        <v>12921</v>
      </c>
      <c r="AE4141" s="145" t="s">
        <v>171</v>
      </c>
      <c r="AF4141" s="146"/>
      <c r="AG4141" s="146"/>
      <c r="AH4141" s="146"/>
      <c r="AI4141" s="147"/>
      <c r="AJ4141" s="148"/>
      <c r="AK4141" s="143"/>
      <c r="AL4141" s="144"/>
      <c r="AM4141" s="22"/>
      <c r="AN4141" s="149" t="s">
        <v>2794</v>
      </c>
      <c r="AO4141" s="144"/>
      <c r="AP4141" s="148">
        <v>2022</v>
      </c>
      <c r="AQ4141" s="144"/>
      <c r="AR4141" s="120"/>
      <c r="AS4141" s="121"/>
      <c r="AT4141" s="120"/>
      <c r="AU4141" s="121"/>
      <c r="AV4141" s="120"/>
      <c r="AW4141" s="121"/>
      <c r="AX4141" s="120"/>
      <c r="AY4141" s="121"/>
      <c r="AZ4141" s="138"/>
    </row>
    <row r="4142" spans="1:52" ht="17.100000000000001" customHeight="1" thickTop="1">
      <c r="A4142" s="109" t="s">
        <v>12594</v>
      </c>
      <c r="B4142" s="28">
        <v>45996</v>
      </c>
      <c r="C4142" s="25">
        <v>1397</v>
      </c>
      <c r="D4142" s="13" t="s">
        <v>2359</v>
      </c>
      <c r="E4142" s="111"/>
      <c r="F4142" s="113" t="s">
        <v>10231</v>
      </c>
      <c r="G4142" s="114"/>
      <c r="H4142" s="115"/>
      <c r="I4142" s="24" t="s">
        <v>11996</v>
      </c>
      <c r="J4142" s="116">
        <v>3.5</v>
      </c>
      <c r="K4142" s="118">
        <v>358000</v>
      </c>
      <c r="L4142" s="119"/>
      <c r="M4142" s="118">
        <f t="shared" ref="M4142" si="4261">K4142*0.1</f>
        <v>35800</v>
      </c>
      <c r="N4142" s="119"/>
      <c r="O4142" s="118">
        <v>0</v>
      </c>
      <c r="P4142" s="119"/>
      <c r="Q4142" s="118">
        <v>6960</v>
      </c>
      <c r="R4142" s="119"/>
      <c r="S4142" s="118">
        <v>13200</v>
      </c>
      <c r="T4142" s="119"/>
      <c r="U4142" s="118">
        <f t="shared" ref="U4142" si="4262">SUM(K4142:T4143)</f>
        <v>413960</v>
      </c>
      <c r="V4142" s="122"/>
      <c r="W4142" s="124"/>
      <c r="X4142" s="126" t="s">
        <v>13096</v>
      </c>
      <c r="Y4142" s="127"/>
      <c r="Z4142" s="127"/>
      <c r="AA4142" s="127"/>
      <c r="AB4142" s="128"/>
      <c r="AC4142" s="15" t="s">
        <v>20</v>
      </c>
      <c r="AD4142" s="129"/>
      <c r="AE4142" s="130"/>
      <c r="AF4142" s="130"/>
      <c r="AG4142" s="130"/>
      <c r="AH4142" s="130"/>
      <c r="AI4142" s="131"/>
      <c r="AJ4142" s="132"/>
      <c r="AK4142" s="127"/>
      <c r="AL4142" s="128"/>
      <c r="AM4142" s="21"/>
      <c r="AN4142" s="133">
        <v>46018</v>
      </c>
      <c r="AO4142" s="134"/>
      <c r="AP4142" s="135">
        <v>1282</v>
      </c>
      <c r="AQ4142" s="136"/>
      <c r="AR4142" s="118">
        <v>365000</v>
      </c>
      <c r="AS4142" s="119"/>
      <c r="AT4142" s="118">
        <f t="shared" ref="AT4142" si="4263">AR4142*0.1</f>
        <v>36500</v>
      </c>
      <c r="AU4142" s="119"/>
      <c r="AV4142" s="118">
        <v>6960</v>
      </c>
      <c r="AW4142" s="119"/>
      <c r="AX4142" s="118">
        <f t="shared" ref="AX4142" si="4264">SUM(AR4142:AW4142)</f>
        <v>408460</v>
      </c>
      <c r="AY4142" s="119"/>
      <c r="AZ4142" s="137">
        <v>46028</v>
      </c>
    </row>
    <row r="4143" spans="1:52" ht="17.100000000000001" customHeight="1" thickBot="1">
      <c r="A4143" s="110"/>
      <c r="B4143" s="27" t="s">
        <v>2641</v>
      </c>
      <c r="C4143" s="27">
        <v>9013</v>
      </c>
      <c r="D4143" s="14" t="s">
        <v>12120</v>
      </c>
      <c r="E4143" s="112"/>
      <c r="F4143" s="139" t="s">
        <v>12625</v>
      </c>
      <c r="G4143" s="140"/>
      <c r="H4143" s="141"/>
      <c r="I4143" s="26">
        <v>39160</v>
      </c>
      <c r="J4143" s="117"/>
      <c r="K4143" s="120"/>
      <c r="L4143" s="121"/>
      <c r="M4143" s="120"/>
      <c r="N4143" s="121"/>
      <c r="O4143" s="120"/>
      <c r="P4143" s="121"/>
      <c r="Q4143" s="120"/>
      <c r="R4143" s="121"/>
      <c r="S4143" s="120"/>
      <c r="T4143" s="121"/>
      <c r="U4143" s="120"/>
      <c r="V4143" s="123"/>
      <c r="W4143" s="125"/>
      <c r="X4143" s="142" t="s">
        <v>13097</v>
      </c>
      <c r="Y4143" s="143"/>
      <c r="Z4143" s="143"/>
      <c r="AA4143" s="143"/>
      <c r="AB4143" s="144"/>
      <c r="AC4143" s="16" t="s">
        <v>21</v>
      </c>
      <c r="AD4143" s="17" t="s">
        <v>12921</v>
      </c>
      <c r="AE4143" s="145"/>
      <c r="AF4143" s="146"/>
      <c r="AG4143" s="146"/>
      <c r="AH4143" s="146"/>
      <c r="AI4143" s="147"/>
      <c r="AJ4143" s="148"/>
      <c r="AK4143" s="143"/>
      <c r="AL4143" s="144"/>
      <c r="AM4143" s="22"/>
      <c r="AN4143" s="149" t="s">
        <v>2511</v>
      </c>
      <c r="AO4143" s="144"/>
      <c r="AP4143" s="148">
        <v>60045</v>
      </c>
      <c r="AQ4143" s="144"/>
      <c r="AR4143" s="120"/>
      <c r="AS4143" s="121"/>
      <c r="AT4143" s="120"/>
      <c r="AU4143" s="121"/>
      <c r="AV4143" s="120"/>
      <c r="AW4143" s="121"/>
      <c r="AX4143" s="120"/>
      <c r="AY4143" s="121"/>
      <c r="AZ4143" s="138"/>
    </row>
    <row r="4144" spans="1:52" ht="17.100000000000001" customHeight="1" thickTop="1">
      <c r="A4144" s="109" t="s">
        <v>12595</v>
      </c>
      <c r="B4144" s="28">
        <v>45996</v>
      </c>
      <c r="C4144" s="25">
        <v>1397</v>
      </c>
      <c r="D4144" s="13" t="s">
        <v>2157</v>
      </c>
      <c r="E4144" s="111"/>
      <c r="F4144" s="113" t="s">
        <v>12626</v>
      </c>
      <c r="G4144" s="114"/>
      <c r="H4144" s="115"/>
      <c r="I4144" s="24" t="s">
        <v>11990</v>
      </c>
      <c r="J4144" s="116">
        <v>4</v>
      </c>
      <c r="K4144" s="118">
        <v>283000</v>
      </c>
      <c r="L4144" s="119"/>
      <c r="M4144" s="118">
        <f t="shared" ref="M4144" si="4265">K4144*0.1</f>
        <v>28300</v>
      </c>
      <c r="N4144" s="119"/>
      <c r="O4144" s="118">
        <v>0</v>
      </c>
      <c r="P4144" s="119"/>
      <c r="Q4144" s="118">
        <v>9070</v>
      </c>
      <c r="R4144" s="119"/>
      <c r="S4144" s="118">
        <v>13200</v>
      </c>
      <c r="T4144" s="119"/>
      <c r="U4144" s="118">
        <f t="shared" ref="U4144" si="4266">SUM(K4144:T4145)</f>
        <v>333570</v>
      </c>
      <c r="V4144" s="122"/>
      <c r="W4144" s="124"/>
      <c r="X4144" s="126" t="s">
        <v>13098</v>
      </c>
      <c r="Y4144" s="127"/>
      <c r="Z4144" s="127"/>
      <c r="AA4144" s="127"/>
      <c r="AB4144" s="128"/>
      <c r="AC4144" s="15" t="s">
        <v>20</v>
      </c>
      <c r="AD4144" s="129"/>
      <c r="AE4144" s="130"/>
      <c r="AF4144" s="130"/>
      <c r="AG4144" s="130"/>
      <c r="AH4144" s="130"/>
      <c r="AI4144" s="131"/>
      <c r="AJ4144" s="132"/>
      <c r="AK4144" s="127"/>
      <c r="AL4144" s="128"/>
      <c r="AM4144" s="21" t="s">
        <v>15351</v>
      </c>
      <c r="AN4144" s="133">
        <v>46046</v>
      </c>
      <c r="AO4144" s="134"/>
      <c r="AP4144" s="135">
        <v>1285</v>
      </c>
      <c r="AQ4144" s="136"/>
      <c r="AR4144" s="118">
        <v>275000</v>
      </c>
      <c r="AS4144" s="119"/>
      <c r="AT4144" s="118">
        <f t="shared" ref="AT4144" si="4267">AR4144*0.1</f>
        <v>27500</v>
      </c>
      <c r="AU4144" s="119"/>
      <c r="AV4144" s="118">
        <v>9070</v>
      </c>
      <c r="AW4144" s="119"/>
      <c r="AX4144" s="118">
        <f t="shared" ref="AX4144" si="4268">SUM(AR4144:AW4144)</f>
        <v>311570</v>
      </c>
      <c r="AY4144" s="119"/>
      <c r="AZ4144" s="137">
        <v>46049</v>
      </c>
    </row>
    <row r="4145" spans="1:52" ht="17.100000000000001" customHeight="1" thickBot="1">
      <c r="A4145" s="110"/>
      <c r="B4145" s="27" t="s">
        <v>2641</v>
      </c>
      <c r="C4145" s="27">
        <v>9025</v>
      </c>
      <c r="D4145" s="14" t="s">
        <v>3855</v>
      </c>
      <c r="E4145" s="112"/>
      <c r="F4145" s="139" t="s">
        <v>12627</v>
      </c>
      <c r="G4145" s="140"/>
      <c r="H4145" s="141"/>
      <c r="I4145" s="26">
        <v>81820</v>
      </c>
      <c r="J4145" s="117"/>
      <c r="K4145" s="120"/>
      <c r="L4145" s="121"/>
      <c r="M4145" s="120"/>
      <c r="N4145" s="121"/>
      <c r="O4145" s="120"/>
      <c r="P4145" s="121"/>
      <c r="Q4145" s="120"/>
      <c r="R4145" s="121"/>
      <c r="S4145" s="120"/>
      <c r="T4145" s="121"/>
      <c r="U4145" s="120"/>
      <c r="V4145" s="123"/>
      <c r="W4145" s="125"/>
      <c r="X4145" s="142" t="s">
        <v>13099</v>
      </c>
      <c r="Y4145" s="143"/>
      <c r="Z4145" s="143"/>
      <c r="AA4145" s="143"/>
      <c r="AB4145" s="144"/>
      <c r="AC4145" s="16" t="s">
        <v>21</v>
      </c>
      <c r="AD4145" s="17" t="s">
        <v>12921</v>
      </c>
      <c r="AE4145" s="145" t="s">
        <v>171</v>
      </c>
      <c r="AF4145" s="146"/>
      <c r="AG4145" s="146"/>
      <c r="AH4145" s="146"/>
      <c r="AI4145" s="147"/>
      <c r="AJ4145" s="148"/>
      <c r="AK4145" s="143"/>
      <c r="AL4145" s="144"/>
      <c r="AM4145" s="22"/>
      <c r="AN4145" s="149" t="s">
        <v>2511</v>
      </c>
      <c r="AO4145" s="144"/>
      <c r="AP4145" s="148">
        <v>60083</v>
      </c>
      <c r="AQ4145" s="144"/>
      <c r="AR4145" s="120"/>
      <c r="AS4145" s="121"/>
      <c r="AT4145" s="120"/>
      <c r="AU4145" s="121"/>
      <c r="AV4145" s="120"/>
      <c r="AW4145" s="121"/>
      <c r="AX4145" s="120"/>
      <c r="AY4145" s="121"/>
      <c r="AZ4145" s="138"/>
    </row>
    <row r="4146" spans="1:52" ht="17.100000000000001" customHeight="1" thickTop="1">
      <c r="A4146" s="109" t="s">
        <v>12596</v>
      </c>
      <c r="B4146" s="28">
        <v>45996</v>
      </c>
      <c r="C4146" s="25">
        <v>1397</v>
      </c>
      <c r="D4146" s="13" t="s">
        <v>1675</v>
      </c>
      <c r="E4146" s="111"/>
      <c r="F4146" s="113" t="s">
        <v>4383</v>
      </c>
      <c r="G4146" s="114"/>
      <c r="H4146" s="115"/>
      <c r="I4146" s="24"/>
      <c r="J4146" s="116">
        <v>3.5</v>
      </c>
      <c r="K4146" s="118">
        <v>277000</v>
      </c>
      <c r="L4146" s="119"/>
      <c r="M4146" s="118">
        <f t="shared" ref="M4146" si="4269">K4146*0.1</f>
        <v>27700</v>
      </c>
      <c r="N4146" s="119"/>
      <c r="O4146" s="118">
        <v>0</v>
      </c>
      <c r="P4146" s="119"/>
      <c r="Q4146" s="118">
        <v>9070</v>
      </c>
      <c r="R4146" s="119"/>
      <c r="S4146" s="118">
        <v>13200</v>
      </c>
      <c r="T4146" s="119"/>
      <c r="U4146" s="118">
        <f t="shared" ref="U4146" si="4270">SUM(K4146:T4147)</f>
        <v>326970</v>
      </c>
      <c r="V4146" s="122"/>
      <c r="W4146" s="124"/>
      <c r="X4146" s="126" t="s">
        <v>13100</v>
      </c>
      <c r="Y4146" s="127"/>
      <c r="Z4146" s="127"/>
      <c r="AA4146" s="127"/>
      <c r="AB4146" s="128"/>
      <c r="AC4146" s="15" t="s">
        <v>20</v>
      </c>
      <c r="AD4146" s="129"/>
      <c r="AE4146" s="130"/>
      <c r="AF4146" s="130"/>
      <c r="AG4146" s="130"/>
      <c r="AH4146" s="130"/>
      <c r="AI4146" s="131"/>
      <c r="AJ4146" s="132"/>
      <c r="AK4146" s="127"/>
      <c r="AL4146" s="128"/>
      <c r="AM4146" s="21"/>
      <c r="AN4146" s="133">
        <v>46039</v>
      </c>
      <c r="AO4146" s="134"/>
      <c r="AP4146" s="135">
        <v>1284</v>
      </c>
      <c r="AQ4146" s="136"/>
      <c r="AR4146" s="118">
        <v>350000</v>
      </c>
      <c r="AS4146" s="119"/>
      <c r="AT4146" s="118">
        <f t="shared" ref="AT4146" si="4271">AR4146*0.1</f>
        <v>35000</v>
      </c>
      <c r="AU4146" s="119"/>
      <c r="AV4146" s="118">
        <v>9070</v>
      </c>
      <c r="AW4146" s="119"/>
      <c r="AX4146" s="118">
        <f t="shared" ref="AX4146" si="4272">SUM(AR4146:AW4146)</f>
        <v>394070</v>
      </c>
      <c r="AY4146" s="119"/>
      <c r="AZ4146" s="137">
        <v>46043</v>
      </c>
    </row>
    <row r="4147" spans="1:52" ht="17.100000000000001" customHeight="1" thickBot="1">
      <c r="A4147" s="110"/>
      <c r="B4147" s="27" t="s">
        <v>2641</v>
      </c>
      <c r="C4147" s="27">
        <v>9034</v>
      </c>
      <c r="D4147" s="14" t="s">
        <v>1576</v>
      </c>
      <c r="E4147" s="112"/>
      <c r="F4147" s="139" t="s">
        <v>12628</v>
      </c>
      <c r="G4147" s="140"/>
      <c r="H4147" s="141"/>
      <c r="I4147" s="26">
        <v>34499</v>
      </c>
      <c r="J4147" s="117"/>
      <c r="K4147" s="120"/>
      <c r="L4147" s="121"/>
      <c r="M4147" s="120"/>
      <c r="N4147" s="121"/>
      <c r="O4147" s="120"/>
      <c r="P4147" s="121"/>
      <c r="Q4147" s="120"/>
      <c r="R4147" s="121"/>
      <c r="S4147" s="120"/>
      <c r="T4147" s="121"/>
      <c r="U4147" s="120"/>
      <c r="V4147" s="123"/>
      <c r="W4147" s="125"/>
      <c r="X4147" s="142" t="s">
        <v>1997</v>
      </c>
      <c r="Y4147" s="143"/>
      <c r="Z4147" s="143"/>
      <c r="AA4147" s="143"/>
      <c r="AB4147" s="144"/>
      <c r="AC4147" s="16" t="s">
        <v>21</v>
      </c>
      <c r="AD4147" s="17" t="s">
        <v>12921</v>
      </c>
      <c r="AE4147" s="145" t="s">
        <v>4488</v>
      </c>
      <c r="AF4147" s="146"/>
      <c r="AG4147" s="146"/>
      <c r="AH4147" s="146"/>
      <c r="AI4147" s="147"/>
      <c r="AJ4147" s="148"/>
      <c r="AK4147" s="143"/>
      <c r="AL4147" s="144"/>
      <c r="AM4147" s="22"/>
      <c r="AN4147" s="149" t="s">
        <v>6748</v>
      </c>
      <c r="AO4147" s="144"/>
      <c r="AP4147" s="148">
        <v>60074</v>
      </c>
      <c r="AQ4147" s="144"/>
      <c r="AR4147" s="120"/>
      <c r="AS4147" s="121"/>
      <c r="AT4147" s="120"/>
      <c r="AU4147" s="121"/>
      <c r="AV4147" s="120"/>
      <c r="AW4147" s="121"/>
      <c r="AX4147" s="120"/>
      <c r="AY4147" s="121"/>
      <c r="AZ4147" s="138"/>
    </row>
    <row r="4148" spans="1:52" ht="17.100000000000001" customHeight="1" thickTop="1">
      <c r="A4148" s="109" t="s">
        <v>12597</v>
      </c>
      <c r="B4148" s="28">
        <v>45996</v>
      </c>
      <c r="C4148" s="25">
        <v>1397</v>
      </c>
      <c r="D4148" s="13" t="s">
        <v>7495</v>
      </c>
      <c r="E4148" s="111"/>
      <c r="F4148" s="113" t="s">
        <v>3846</v>
      </c>
      <c r="G4148" s="114"/>
      <c r="H4148" s="115"/>
      <c r="I4148" s="24"/>
      <c r="J4148" s="116">
        <v>3.5</v>
      </c>
      <c r="K4148" s="118">
        <v>67000</v>
      </c>
      <c r="L4148" s="119"/>
      <c r="M4148" s="118">
        <f t="shared" ref="M4148" si="4273">K4148*0.1</f>
        <v>6700</v>
      </c>
      <c r="N4148" s="119"/>
      <c r="O4148" s="118">
        <v>0</v>
      </c>
      <c r="P4148" s="119"/>
      <c r="Q4148" s="118">
        <v>9790</v>
      </c>
      <c r="R4148" s="119"/>
      <c r="S4148" s="118">
        <v>13200</v>
      </c>
      <c r="T4148" s="119"/>
      <c r="U4148" s="118">
        <f t="shared" ref="U4148" si="4274">SUM(K4148:T4149)</f>
        <v>96690</v>
      </c>
      <c r="V4148" s="122"/>
      <c r="W4148" s="124"/>
      <c r="X4148" s="126" t="s">
        <v>13076</v>
      </c>
      <c r="Y4148" s="127"/>
      <c r="Z4148" s="127"/>
      <c r="AA4148" s="127"/>
      <c r="AB4148" s="128"/>
      <c r="AC4148" s="15" t="s">
        <v>20</v>
      </c>
      <c r="AD4148" s="129"/>
      <c r="AE4148" s="130"/>
      <c r="AF4148" s="130"/>
      <c r="AG4148" s="130"/>
      <c r="AH4148" s="130"/>
      <c r="AI4148" s="131"/>
      <c r="AJ4148" s="132"/>
      <c r="AK4148" s="127"/>
      <c r="AL4148" s="128"/>
      <c r="AM4148" s="21"/>
      <c r="AN4148" s="133">
        <v>46004</v>
      </c>
      <c r="AO4148" s="134"/>
      <c r="AP4148" s="135">
        <v>1280</v>
      </c>
      <c r="AQ4148" s="136"/>
      <c r="AR4148" s="118">
        <v>61000</v>
      </c>
      <c r="AS4148" s="119"/>
      <c r="AT4148" s="118">
        <f t="shared" ref="AT4148" si="4275">AR4148*0.1</f>
        <v>6100</v>
      </c>
      <c r="AU4148" s="119"/>
      <c r="AV4148" s="118">
        <v>9790</v>
      </c>
      <c r="AW4148" s="119"/>
      <c r="AX4148" s="118">
        <f t="shared" ref="AX4148" si="4276">SUM(AR4148:AW4148)</f>
        <v>76890</v>
      </c>
      <c r="AY4148" s="119"/>
      <c r="AZ4148" s="137">
        <v>46008</v>
      </c>
    </row>
    <row r="4149" spans="1:52" ht="17.100000000000001" customHeight="1" thickBot="1">
      <c r="A4149" s="110"/>
      <c r="B4149" s="27" t="s">
        <v>2641</v>
      </c>
      <c r="C4149" s="27">
        <v>9100</v>
      </c>
      <c r="D4149" s="14" t="s">
        <v>2800</v>
      </c>
      <c r="E4149" s="112"/>
      <c r="F4149" s="139" t="s">
        <v>12629</v>
      </c>
      <c r="G4149" s="140"/>
      <c r="H4149" s="141"/>
      <c r="I4149" s="26">
        <v>145274</v>
      </c>
      <c r="J4149" s="117"/>
      <c r="K4149" s="120"/>
      <c r="L4149" s="121"/>
      <c r="M4149" s="120"/>
      <c r="N4149" s="121"/>
      <c r="O4149" s="120"/>
      <c r="P4149" s="121"/>
      <c r="Q4149" s="120"/>
      <c r="R4149" s="121"/>
      <c r="S4149" s="120"/>
      <c r="T4149" s="121"/>
      <c r="U4149" s="120"/>
      <c r="V4149" s="123"/>
      <c r="W4149" s="125"/>
      <c r="X4149" s="142" t="s">
        <v>13077</v>
      </c>
      <c r="Y4149" s="143"/>
      <c r="Z4149" s="143"/>
      <c r="AA4149" s="143"/>
      <c r="AB4149" s="144"/>
      <c r="AC4149" s="16" t="s">
        <v>21</v>
      </c>
      <c r="AD4149" s="17" t="s">
        <v>12921</v>
      </c>
      <c r="AE4149" s="145" t="s">
        <v>171</v>
      </c>
      <c r="AF4149" s="146"/>
      <c r="AG4149" s="146"/>
      <c r="AH4149" s="146"/>
      <c r="AI4149" s="147"/>
      <c r="AJ4149" s="148"/>
      <c r="AK4149" s="143"/>
      <c r="AL4149" s="144"/>
      <c r="AM4149" s="22"/>
      <c r="AN4149" s="149" t="s">
        <v>2511</v>
      </c>
      <c r="AO4149" s="144"/>
      <c r="AP4149" s="148">
        <v>90242</v>
      </c>
      <c r="AQ4149" s="144"/>
      <c r="AR4149" s="120"/>
      <c r="AS4149" s="121"/>
      <c r="AT4149" s="120"/>
      <c r="AU4149" s="121"/>
      <c r="AV4149" s="120"/>
      <c r="AW4149" s="121"/>
      <c r="AX4149" s="120"/>
      <c r="AY4149" s="121"/>
      <c r="AZ4149" s="138"/>
    </row>
    <row r="4150" spans="1:52" ht="17.100000000000001" customHeight="1" thickTop="1">
      <c r="A4150" s="109" t="s">
        <v>12650</v>
      </c>
      <c r="B4150" s="28">
        <v>45997</v>
      </c>
      <c r="C4150" s="25"/>
      <c r="D4150" s="13" t="s">
        <v>2390</v>
      </c>
      <c r="E4150" s="111"/>
      <c r="F4150" s="113" t="s">
        <v>12646</v>
      </c>
      <c r="G4150" s="114"/>
      <c r="H4150" s="115"/>
      <c r="I4150" s="24" t="s">
        <v>12510</v>
      </c>
      <c r="J4150" s="116"/>
      <c r="K4150" s="118">
        <v>40000</v>
      </c>
      <c r="L4150" s="119"/>
      <c r="M4150" s="118">
        <v>0</v>
      </c>
      <c r="N4150" s="119"/>
      <c r="O4150" s="118">
        <v>0</v>
      </c>
      <c r="P4150" s="119"/>
      <c r="Q4150" s="118">
        <v>0</v>
      </c>
      <c r="R4150" s="119"/>
      <c r="S4150" s="118">
        <v>0</v>
      </c>
      <c r="T4150" s="119"/>
      <c r="U4150" s="118">
        <f t="shared" ref="U4150" si="4277">SUM(K4150:T4151)</f>
        <v>40000</v>
      </c>
      <c r="V4150" s="122"/>
      <c r="W4150" s="124"/>
      <c r="X4150" s="126" t="s">
        <v>12648</v>
      </c>
      <c r="Y4150" s="127"/>
      <c r="Z4150" s="127"/>
      <c r="AA4150" s="127"/>
      <c r="AB4150" s="128"/>
      <c r="AC4150" s="15" t="s">
        <v>20</v>
      </c>
      <c r="AD4150" s="129"/>
      <c r="AE4150" s="130"/>
      <c r="AF4150" s="130"/>
      <c r="AG4150" s="130"/>
      <c r="AH4150" s="130"/>
      <c r="AI4150" s="131"/>
      <c r="AJ4150" s="132"/>
      <c r="AK4150" s="127"/>
      <c r="AL4150" s="128"/>
      <c r="AM4150" s="21"/>
      <c r="AN4150" s="133">
        <v>46004</v>
      </c>
      <c r="AO4150" s="134"/>
      <c r="AP4150" s="135">
        <v>1280</v>
      </c>
      <c r="AQ4150" s="136"/>
      <c r="AR4150" s="118">
        <v>115000</v>
      </c>
      <c r="AS4150" s="119"/>
      <c r="AT4150" s="118">
        <f t="shared" ref="AT4150" si="4278">AR4150*0.1</f>
        <v>11500</v>
      </c>
      <c r="AU4150" s="119"/>
      <c r="AV4150" s="118">
        <v>17490</v>
      </c>
      <c r="AW4150" s="119"/>
      <c r="AX4150" s="118">
        <f t="shared" ref="AX4150" si="4279">SUM(AR4150:AW4150)</f>
        <v>143990</v>
      </c>
      <c r="AY4150" s="119"/>
      <c r="AZ4150" s="137">
        <v>46007</v>
      </c>
    </row>
    <row r="4151" spans="1:52" ht="17.100000000000001" customHeight="1" thickBot="1">
      <c r="A4151" s="110"/>
      <c r="B4151" s="27" t="s">
        <v>12645</v>
      </c>
      <c r="C4151" s="27"/>
      <c r="D4151" s="14"/>
      <c r="E4151" s="112"/>
      <c r="F4151" s="139" t="s">
        <v>12647</v>
      </c>
      <c r="G4151" s="140"/>
      <c r="H4151" s="141"/>
      <c r="I4151" s="26">
        <v>102520</v>
      </c>
      <c r="J4151" s="117"/>
      <c r="K4151" s="120"/>
      <c r="L4151" s="121"/>
      <c r="M4151" s="120"/>
      <c r="N4151" s="121"/>
      <c r="O4151" s="120"/>
      <c r="P4151" s="121"/>
      <c r="Q4151" s="120"/>
      <c r="R4151" s="121"/>
      <c r="S4151" s="120"/>
      <c r="T4151" s="121"/>
      <c r="U4151" s="120"/>
      <c r="V4151" s="123"/>
      <c r="W4151" s="125"/>
      <c r="X4151" s="142" t="s">
        <v>12649</v>
      </c>
      <c r="Y4151" s="143"/>
      <c r="Z4151" s="143"/>
      <c r="AA4151" s="143"/>
      <c r="AB4151" s="144"/>
      <c r="AC4151" s="16" t="s">
        <v>21</v>
      </c>
      <c r="AD4151" s="17" t="s">
        <v>3439</v>
      </c>
      <c r="AE4151" s="145" t="s">
        <v>171</v>
      </c>
      <c r="AF4151" s="146"/>
      <c r="AG4151" s="146"/>
      <c r="AH4151" s="146"/>
      <c r="AI4151" s="147"/>
      <c r="AJ4151" s="148"/>
      <c r="AK4151" s="143"/>
      <c r="AL4151" s="144"/>
      <c r="AM4151" s="22"/>
      <c r="AN4151" s="149" t="s">
        <v>2511</v>
      </c>
      <c r="AO4151" s="144"/>
      <c r="AP4151" s="148">
        <v>90113</v>
      </c>
      <c r="AQ4151" s="144"/>
      <c r="AR4151" s="120"/>
      <c r="AS4151" s="121"/>
      <c r="AT4151" s="120"/>
      <c r="AU4151" s="121"/>
      <c r="AV4151" s="120"/>
      <c r="AW4151" s="121"/>
      <c r="AX4151" s="120"/>
      <c r="AY4151" s="121"/>
      <c r="AZ4151" s="138"/>
    </row>
    <row r="4152" spans="1:52" ht="17.100000000000001" customHeight="1" thickTop="1">
      <c r="A4152" s="109" t="s">
        <v>12709</v>
      </c>
      <c r="B4152" s="28">
        <v>45997</v>
      </c>
      <c r="C4152" s="25">
        <v>290</v>
      </c>
      <c r="D4152" s="13" t="s">
        <v>2530</v>
      </c>
      <c r="E4152" s="111"/>
      <c r="F4152" s="113" t="s">
        <v>5196</v>
      </c>
      <c r="G4152" s="114"/>
      <c r="H4152" s="115"/>
      <c r="I4152" s="24" t="s">
        <v>3733</v>
      </c>
      <c r="J4152" s="116">
        <v>5</v>
      </c>
      <c r="K4152" s="118">
        <v>875000</v>
      </c>
      <c r="L4152" s="119"/>
      <c r="M4152" s="118">
        <f t="shared" ref="M4152" si="4280">K4152*0.1</f>
        <v>87500</v>
      </c>
      <c r="N4152" s="119"/>
      <c r="O4152" s="118">
        <v>0</v>
      </c>
      <c r="P4152" s="119"/>
      <c r="Q4152" s="118">
        <v>7200</v>
      </c>
      <c r="R4152" s="119"/>
      <c r="S4152" s="118">
        <v>15950</v>
      </c>
      <c r="T4152" s="119"/>
      <c r="U4152" s="118">
        <f t="shared" ref="U4152" si="4281">SUM(K4152:T4153)</f>
        <v>985650</v>
      </c>
      <c r="V4152" s="122"/>
      <c r="W4152" s="124"/>
      <c r="X4152" s="126" t="s">
        <v>12599</v>
      </c>
      <c r="Y4152" s="127"/>
      <c r="Z4152" s="127"/>
      <c r="AA4152" s="127"/>
      <c r="AB4152" s="128"/>
      <c r="AC4152" s="15" t="s">
        <v>20</v>
      </c>
      <c r="AD4152" s="129" t="s">
        <v>1670</v>
      </c>
      <c r="AE4152" s="130"/>
      <c r="AF4152" s="130"/>
      <c r="AG4152" s="130"/>
      <c r="AH4152" s="130"/>
      <c r="AI4152" s="131"/>
      <c r="AJ4152" s="132"/>
      <c r="AK4152" s="127"/>
      <c r="AL4152" s="128"/>
      <c r="AM4152" s="21"/>
      <c r="AN4152" s="133">
        <v>46011</v>
      </c>
      <c r="AO4152" s="134"/>
      <c r="AP4152" s="135">
        <v>1281</v>
      </c>
      <c r="AQ4152" s="136"/>
      <c r="AR4152" s="118">
        <v>1000000</v>
      </c>
      <c r="AS4152" s="119"/>
      <c r="AT4152" s="118">
        <f t="shared" ref="AT4152" si="4282">AR4152*0.1</f>
        <v>100000</v>
      </c>
      <c r="AU4152" s="119"/>
      <c r="AV4152" s="118">
        <v>7200</v>
      </c>
      <c r="AW4152" s="119"/>
      <c r="AX4152" s="118">
        <f t="shared" ref="AX4152" si="4283">SUM(AR4152:AW4152)</f>
        <v>1107200</v>
      </c>
      <c r="AY4152" s="119"/>
      <c r="AZ4152" s="137">
        <v>46014</v>
      </c>
    </row>
    <row r="4153" spans="1:52" ht="17.100000000000001" customHeight="1" thickBot="1">
      <c r="A4153" s="110"/>
      <c r="B4153" s="27" t="s">
        <v>3574</v>
      </c>
      <c r="C4153" s="27">
        <v>3091</v>
      </c>
      <c r="D4153" s="14" t="s">
        <v>2601</v>
      </c>
      <c r="E4153" s="112"/>
      <c r="F4153" s="139" t="s">
        <v>12598</v>
      </c>
      <c r="G4153" s="140"/>
      <c r="H4153" s="141"/>
      <c r="I4153" s="26">
        <v>1955</v>
      </c>
      <c r="J4153" s="117"/>
      <c r="K4153" s="120"/>
      <c r="L4153" s="121"/>
      <c r="M4153" s="120"/>
      <c r="N4153" s="121"/>
      <c r="O4153" s="120"/>
      <c r="P4153" s="121"/>
      <c r="Q4153" s="120"/>
      <c r="R4153" s="121"/>
      <c r="S4153" s="120"/>
      <c r="T4153" s="121"/>
      <c r="U4153" s="120"/>
      <c r="V4153" s="123"/>
      <c r="W4153" s="125"/>
      <c r="X4153" s="142" t="s">
        <v>12861</v>
      </c>
      <c r="Y4153" s="143"/>
      <c r="Z4153" s="143"/>
      <c r="AA4153" s="143"/>
      <c r="AB4153" s="144"/>
      <c r="AC4153" s="16" t="s">
        <v>21</v>
      </c>
      <c r="AD4153" s="17" t="s">
        <v>12856</v>
      </c>
      <c r="AE4153" s="145" t="s">
        <v>11427</v>
      </c>
      <c r="AF4153" s="146"/>
      <c r="AG4153" s="146"/>
      <c r="AH4153" s="146"/>
      <c r="AI4153" s="147"/>
      <c r="AJ4153" s="148"/>
      <c r="AK4153" s="143"/>
      <c r="AL4153" s="144"/>
      <c r="AM4153" s="22"/>
      <c r="AN4153" s="149" t="s">
        <v>2511</v>
      </c>
      <c r="AO4153" s="144"/>
      <c r="AP4153" s="148">
        <v>60178</v>
      </c>
      <c r="AQ4153" s="144"/>
      <c r="AR4153" s="120"/>
      <c r="AS4153" s="121"/>
      <c r="AT4153" s="120"/>
      <c r="AU4153" s="121"/>
      <c r="AV4153" s="120"/>
      <c r="AW4153" s="121"/>
      <c r="AX4153" s="120"/>
      <c r="AY4153" s="121"/>
      <c r="AZ4153" s="138"/>
    </row>
    <row r="4154" spans="1:52" ht="17.100000000000001" customHeight="1" thickTop="1">
      <c r="A4154" s="109" t="s">
        <v>12710</v>
      </c>
      <c r="B4154" s="28">
        <v>45997</v>
      </c>
      <c r="C4154" s="25">
        <v>1444</v>
      </c>
      <c r="D4154" s="13" t="s">
        <v>4824</v>
      </c>
      <c r="E4154" s="111"/>
      <c r="F4154" s="113" t="s">
        <v>12651</v>
      </c>
      <c r="G4154" s="114"/>
      <c r="H4154" s="115"/>
      <c r="I4154" s="24" t="s">
        <v>12653</v>
      </c>
      <c r="J4154" s="116">
        <v>4.5</v>
      </c>
      <c r="K4154" s="118">
        <v>665000</v>
      </c>
      <c r="L4154" s="119"/>
      <c r="M4154" s="118">
        <f t="shared" ref="M4154" si="4284">K4154*0.1</f>
        <v>66500</v>
      </c>
      <c r="N4154" s="119"/>
      <c r="O4154" s="118">
        <f>9800+980</f>
        <v>10780</v>
      </c>
      <c r="P4154" s="119"/>
      <c r="Q4154" s="118">
        <v>11810</v>
      </c>
      <c r="R4154" s="119"/>
      <c r="S4154" s="118">
        <v>16500</v>
      </c>
      <c r="T4154" s="119"/>
      <c r="U4154" s="118">
        <f t="shared" ref="U4154" si="4285">SUM(K4154:T4155)</f>
        <v>770590</v>
      </c>
      <c r="V4154" s="122"/>
      <c r="W4154" s="124"/>
      <c r="X4154" s="126" t="s">
        <v>12654</v>
      </c>
      <c r="Y4154" s="127"/>
      <c r="Z4154" s="127"/>
      <c r="AA4154" s="127"/>
      <c r="AB4154" s="128"/>
      <c r="AC4154" s="15" t="s">
        <v>20</v>
      </c>
      <c r="AD4154" s="129" t="s">
        <v>12655</v>
      </c>
      <c r="AE4154" s="130"/>
      <c r="AF4154" s="130"/>
      <c r="AG4154" s="130"/>
      <c r="AH4154" s="130"/>
      <c r="AI4154" s="131"/>
      <c r="AJ4154" s="132"/>
      <c r="AK4154" s="127"/>
      <c r="AL4154" s="128"/>
      <c r="AM4154" s="21" t="s">
        <v>15347</v>
      </c>
      <c r="AN4154" s="133">
        <v>46099</v>
      </c>
      <c r="AO4154" s="134"/>
      <c r="AP4154" s="135">
        <v>1009</v>
      </c>
      <c r="AQ4154" s="136"/>
      <c r="AR4154" s="118">
        <v>660000</v>
      </c>
      <c r="AS4154" s="119"/>
      <c r="AT4154" s="118">
        <f t="shared" ref="AT4154" si="4286">AR4154*0.1</f>
        <v>66000</v>
      </c>
      <c r="AU4154" s="119"/>
      <c r="AV4154" s="118">
        <v>11810</v>
      </c>
      <c r="AW4154" s="119"/>
      <c r="AX4154" s="118">
        <f t="shared" ref="AX4154" si="4287">SUM(AR4154:AW4154)</f>
        <v>737810</v>
      </c>
      <c r="AY4154" s="119"/>
      <c r="AZ4154" s="137">
        <v>46105</v>
      </c>
    </row>
    <row r="4155" spans="1:52" ht="17.100000000000001" customHeight="1" thickBot="1">
      <c r="A4155" s="110"/>
      <c r="B4155" s="27" t="s">
        <v>1779</v>
      </c>
      <c r="C4155" s="27">
        <v>7195</v>
      </c>
      <c r="D4155" s="14" t="s">
        <v>2601</v>
      </c>
      <c r="E4155" s="112"/>
      <c r="F4155" s="139" t="s">
        <v>12652</v>
      </c>
      <c r="G4155" s="140"/>
      <c r="H4155" s="141"/>
      <c r="I4155" s="26">
        <v>78983</v>
      </c>
      <c r="J4155" s="117"/>
      <c r="K4155" s="120"/>
      <c r="L4155" s="121"/>
      <c r="M4155" s="120"/>
      <c r="N4155" s="121"/>
      <c r="O4155" s="120"/>
      <c r="P4155" s="121"/>
      <c r="Q4155" s="120"/>
      <c r="R4155" s="121"/>
      <c r="S4155" s="120"/>
      <c r="T4155" s="121"/>
      <c r="U4155" s="120"/>
      <c r="V4155" s="123"/>
      <c r="W4155" s="125"/>
      <c r="X4155" s="142" t="s">
        <v>13173</v>
      </c>
      <c r="Y4155" s="143"/>
      <c r="Z4155" s="143"/>
      <c r="AA4155" s="143"/>
      <c r="AB4155" s="144"/>
      <c r="AC4155" s="16" t="s">
        <v>21</v>
      </c>
      <c r="AD4155" s="17" t="s">
        <v>13052</v>
      </c>
      <c r="AE4155" s="145" t="s">
        <v>10730</v>
      </c>
      <c r="AF4155" s="146"/>
      <c r="AG4155" s="146"/>
      <c r="AH4155" s="146"/>
      <c r="AI4155" s="147"/>
      <c r="AJ4155" s="148"/>
      <c r="AK4155" s="143"/>
      <c r="AL4155" s="144"/>
      <c r="AM4155" s="22"/>
      <c r="AN4155" s="149" t="s">
        <v>9053</v>
      </c>
      <c r="AO4155" s="144"/>
      <c r="AP4155" s="148">
        <v>6071</v>
      </c>
      <c r="AQ4155" s="144"/>
      <c r="AR4155" s="120"/>
      <c r="AS4155" s="121"/>
      <c r="AT4155" s="120"/>
      <c r="AU4155" s="121"/>
      <c r="AV4155" s="120"/>
      <c r="AW4155" s="121"/>
      <c r="AX4155" s="120"/>
      <c r="AY4155" s="121"/>
      <c r="AZ4155" s="138"/>
    </row>
    <row r="4156" spans="1:52" ht="17.100000000000001" customHeight="1" thickTop="1">
      <c r="A4156" s="109" t="s">
        <v>12711</v>
      </c>
      <c r="B4156" s="28">
        <v>45997</v>
      </c>
      <c r="C4156" s="25">
        <v>1522</v>
      </c>
      <c r="D4156" s="13" t="s">
        <v>1695</v>
      </c>
      <c r="E4156" s="111"/>
      <c r="F4156" s="113" t="s">
        <v>12656</v>
      </c>
      <c r="G4156" s="114"/>
      <c r="H4156" s="115"/>
      <c r="I4156" s="24" t="s">
        <v>12658</v>
      </c>
      <c r="J4156" s="116">
        <v>4.5</v>
      </c>
      <c r="K4156" s="118">
        <v>1555000</v>
      </c>
      <c r="L4156" s="119"/>
      <c r="M4156" s="118">
        <f t="shared" ref="M4156" si="4288">K4156*0.1</f>
        <v>155500</v>
      </c>
      <c r="N4156" s="119"/>
      <c r="O4156" s="118">
        <f>9800+980</f>
        <v>10780</v>
      </c>
      <c r="P4156" s="119"/>
      <c r="Q4156" s="118">
        <v>14760</v>
      </c>
      <c r="R4156" s="119"/>
      <c r="S4156" s="118">
        <v>16500</v>
      </c>
      <c r="T4156" s="119"/>
      <c r="U4156" s="118">
        <f t="shared" ref="U4156" si="4289">SUM(K4156:T4157)</f>
        <v>1752540</v>
      </c>
      <c r="V4156" s="122"/>
      <c r="W4156" s="124"/>
      <c r="X4156" s="126" t="s">
        <v>12659</v>
      </c>
      <c r="Y4156" s="127"/>
      <c r="Z4156" s="127"/>
      <c r="AA4156" s="127"/>
      <c r="AB4156" s="128"/>
      <c r="AC4156" s="15" t="s">
        <v>20</v>
      </c>
      <c r="AD4156" s="129"/>
      <c r="AE4156" s="130"/>
      <c r="AF4156" s="130"/>
      <c r="AG4156" s="130"/>
      <c r="AH4156" s="130"/>
      <c r="AI4156" s="131"/>
      <c r="AJ4156" s="132"/>
      <c r="AK4156" s="127"/>
      <c r="AL4156" s="128"/>
      <c r="AM4156" s="21"/>
      <c r="AN4156" s="133">
        <v>46016</v>
      </c>
      <c r="AO4156" s="134"/>
      <c r="AP4156" s="135">
        <v>1312</v>
      </c>
      <c r="AQ4156" s="136"/>
      <c r="AR4156" s="118">
        <v>1525000</v>
      </c>
      <c r="AS4156" s="119"/>
      <c r="AT4156" s="118">
        <f t="shared" ref="AT4156" si="4290">AR4156*0.1</f>
        <v>152500</v>
      </c>
      <c r="AU4156" s="119"/>
      <c r="AV4156" s="118">
        <v>14760</v>
      </c>
      <c r="AW4156" s="119"/>
      <c r="AX4156" s="118">
        <f t="shared" ref="AX4156" si="4291">SUM(AR4156:AW4156)</f>
        <v>1692260</v>
      </c>
      <c r="AY4156" s="119"/>
      <c r="AZ4156" s="137">
        <v>46017</v>
      </c>
    </row>
    <row r="4157" spans="1:52" ht="17.100000000000001" customHeight="1" thickBot="1">
      <c r="A4157" s="110"/>
      <c r="B4157" s="27" t="s">
        <v>1555</v>
      </c>
      <c r="C4157" s="27">
        <v>83027</v>
      </c>
      <c r="D4157" s="14" t="s">
        <v>1592</v>
      </c>
      <c r="E4157" s="112"/>
      <c r="F4157" s="139" t="s">
        <v>12657</v>
      </c>
      <c r="G4157" s="140"/>
      <c r="H4157" s="141"/>
      <c r="I4157" s="26">
        <v>52997</v>
      </c>
      <c r="J4157" s="117"/>
      <c r="K4157" s="120"/>
      <c r="L4157" s="121"/>
      <c r="M4157" s="120"/>
      <c r="N4157" s="121"/>
      <c r="O4157" s="120"/>
      <c r="P4157" s="121"/>
      <c r="Q4157" s="120"/>
      <c r="R4157" s="121"/>
      <c r="S4157" s="120"/>
      <c r="T4157" s="121"/>
      <c r="U4157" s="120"/>
      <c r="V4157" s="123"/>
      <c r="W4157" s="125"/>
      <c r="X4157" s="142" t="s">
        <v>13198</v>
      </c>
      <c r="Y4157" s="143"/>
      <c r="Z4157" s="143"/>
      <c r="AA4157" s="143"/>
      <c r="AB4157" s="144"/>
      <c r="AC4157" s="16" t="s">
        <v>21</v>
      </c>
      <c r="AD4157" s="17" t="s">
        <v>13052</v>
      </c>
      <c r="AE4157" s="145" t="s">
        <v>2832</v>
      </c>
      <c r="AF4157" s="146"/>
      <c r="AG4157" s="146"/>
      <c r="AH4157" s="146"/>
      <c r="AI4157" s="147"/>
      <c r="AJ4157" s="148"/>
      <c r="AK4157" s="143"/>
      <c r="AL4157" s="144"/>
      <c r="AM4157" s="22"/>
      <c r="AN4157" s="149" t="s">
        <v>13663</v>
      </c>
      <c r="AO4157" s="144"/>
      <c r="AP4157" s="148">
        <v>31</v>
      </c>
      <c r="AQ4157" s="144"/>
      <c r="AR4157" s="120"/>
      <c r="AS4157" s="121"/>
      <c r="AT4157" s="120"/>
      <c r="AU4157" s="121"/>
      <c r="AV4157" s="120"/>
      <c r="AW4157" s="121"/>
      <c r="AX4157" s="120"/>
      <c r="AY4157" s="121"/>
      <c r="AZ4157" s="138"/>
    </row>
    <row r="4158" spans="1:52" ht="17.100000000000001" customHeight="1" thickTop="1">
      <c r="A4158" s="109" t="s">
        <v>12712</v>
      </c>
      <c r="B4158" s="28">
        <v>45997</v>
      </c>
      <c r="C4158" s="25">
        <v>1522</v>
      </c>
      <c r="D4158" s="13" t="s">
        <v>1606</v>
      </c>
      <c r="E4158" s="111"/>
      <c r="F4158" s="113" t="s">
        <v>12660</v>
      </c>
      <c r="G4158" s="114"/>
      <c r="H4158" s="115"/>
      <c r="I4158" s="24"/>
      <c r="J4158" s="116">
        <v>4</v>
      </c>
      <c r="K4158" s="118">
        <v>945000</v>
      </c>
      <c r="L4158" s="119"/>
      <c r="M4158" s="118">
        <f t="shared" ref="M4158" si="4292">K4158*0.1</f>
        <v>94500</v>
      </c>
      <c r="N4158" s="119"/>
      <c r="O4158" s="118">
        <v>0</v>
      </c>
      <c r="P4158" s="119"/>
      <c r="Q4158" s="118">
        <v>16640</v>
      </c>
      <c r="R4158" s="119"/>
      <c r="S4158" s="118">
        <v>16500</v>
      </c>
      <c r="T4158" s="119"/>
      <c r="U4158" s="118">
        <f t="shared" ref="U4158" si="4293">SUM(K4158:T4159)</f>
        <v>1072640</v>
      </c>
      <c r="V4158" s="122"/>
      <c r="W4158" s="124"/>
      <c r="X4158" s="126" t="s">
        <v>13322</v>
      </c>
      <c r="Y4158" s="127"/>
      <c r="Z4158" s="127"/>
      <c r="AA4158" s="127"/>
      <c r="AB4158" s="128"/>
      <c r="AC4158" s="15" t="s">
        <v>20</v>
      </c>
      <c r="AD4158" s="129"/>
      <c r="AE4158" s="130"/>
      <c r="AF4158" s="130"/>
      <c r="AG4158" s="130"/>
      <c r="AH4158" s="130"/>
      <c r="AI4158" s="131"/>
      <c r="AJ4158" s="132"/>
      <c r="AK4158" s="127"/>
      <c r="AL4158" s="128"/>
      <c r="AM4158" s="21"/>
      <c r="AN4158" s="133">
        <v>46053</v>
      </c>
      <c r="AO4158" s="134"/>
      <c r="AP4158" s="135">
        <v>1286</v>
      </c>
      <c r="AQ4158" s="136"/>
      <c r="AR4158" s="118">
        <v>1035000</v>
      </c>
      <c r="AS4158" s="119"/>
      <c r="AT4158" s="118">
        <f t="shared" ref="AT4158" si="4294">AR4158*0.1</f>
        <v>103500</v>
      </c>
      <c r="AU4158" s="119"/>
      <c r="AV4158" s="118">
        <v>16640</v>
      </c>
      <c r="AW4158" s="119"/>
      <c r="AX4158" s="118">
        <f t="shared" ref="AX4158" si="4295">SUM(AR4158:AW4158)</f>
        <v>1155140</v>
      </c>
      <c r="AY4158" s="119"/>
      <c r="AZ4158" s="137">
        <v>46056</v>
      </c>
    </row>
    <row r="4159" spans="1:52" ht="17.100000000000001" customHeight="1" thickBot="1">
      <c r="A4159" s="110"/>
      <c r="B4159" s="27" t="s">
        <v>1555</v>
      </c>
      <c r="C4159" s="27">
        <v>83252</v>
      </c>
      <c r="D4159" s="14" t="s">
        <v>2601</v>
      </c>
      <c r="E4159" s="112"/>
      <c r="F4159" s="139" t="s">
        <v>12661</v>
      </c>
      <c r="G4159" s="140"/>
      <c r="H4159" s="141"/>
      <c r="I4159" s="26">
        <v>42942</v>
      </c>
      <c r="J4159" s="117"/>
      <c r="K4159" s="120"/>
      <c r="L4159" s="121"/>
      <c r="M4159" s="120"/>
      <c r="N4159" s="121"/>
      <c r="O4159" s="120"/>
      <c r="P4159" s="121"/>
      <c r="Q4159" s="120"/>
      <c r="R4159" s="121"/>
      <c r="S4159" s="120"/>
      <c r="T4159" s="121"/>
      <c r="U4159" s="120"/>
      <c r="V4159" s="123"/>
      <c r="W4159" s="125"/>
      <c r="X4159" s="142" t="s">
        <v>13323</v>
      </c>
      <c r="Y4159" s="143"/>
      <c r="Z4159" s="143"/>
      <c r="AA4159" s="143"/>
      <c r="AB4159" s="144"/>
      <c r="AC4159" s="16" t="s">
        <v>21</v>
      </c>
      <c r="AD4159" s="17" t="s">
        <v>2268</v>
      </c>
      <c r="AE4159" s="145" t="s">
        <v>171</v>
      </c>
      <c r="AF4159" s="146"/>
      <c r="AG4159" s="146"/>
      <c r="AH4159" s="146"/>
      <c r="AI4159" s="147"/>
      <c r="AJ4159" s="148"/>
      <c r="AK4159" s="143"/>
      <c r="AL4159" s="144"/>
      <c r="AM4159" s="22"/>
      <c r="AN4159" s="149" t="s">
        <v>2511</v>
      </c>
      <c r="AO4159" s="144"/>
      <c r="AP4159" s="148">
        <v>80180</v>
      </c>
      <c r="AQ4159" s="144"/>
      <c r="AR4159" s="120"/>
      <c r="AS4159" s="121"/>
      <c r="AT4159" s="120"/>
      <c r="AU4159" s="121"/>
      <c r="AV4159" s="120"/>
      <c r="AW4159" s="121"/>
      <c r="AX4159" s="120"/>
      <c r="AY4159" s="121"/>
      <c r="AZ4159" s="138"/>
    </row>
    <row r="4160" spans="1:52" ht="17.100000000000001" customHeight="1" thickTop="1">
      <c r="A4160" s="109" t="s">
        <v>12713</v>
      </c>
      <c r="B4160" s="28">
        <v>45997</v>
      </c>
      <c r="C4160" s="25">
        <v>1522</v>
      </c>
      <c r="D4160" s="13" t="s">
        <v>2100</v>
      </c>
      <c r="E4160" s="111"/>
      <c r="F4160" s="113" t="s">
        <v>9659</v>
      </c>
      <c r="G4160" s="114"/>
      <c r="H4160" s="115"/>
      <c r="I4160" s="24" t="s">
        <v>4314</v>
      </c>
      <c r="J4160" s="116">
        <v>4.5</v>
      </c>
      <c r="K4160" s="118">
        <v>800000</v>
      </c>
      <c r="L4160" s="119"/>
      <c r="M4160" s="118">
        <f t="shared" ref="M4160" si="4296">K4160*0.1</f>
        <v>80000</v>
      </c>
      <c r="N4160" s="119"/>
      <c r="O4160" s="118">
        <f>8600+860</f>
        <v>9460</v>
      </c>
      <c r="P4160" s="119"/>
      <c r="Q4160" s="118">
        <v>12370</v>
      </c>
      <c r="R4160" s="119"/>
      <c r="S4160" s="118">
        <v>16500</v>
      </c>
      <c r="T4160" s="119"/>
      <c r="U4160" s="118">
        <f t="shared" ref="U4160" si="4297">SUM(K4160:T4161)</f>
        <v>918330</v>
      </c>
      <c r="V4160" s="122"/>
      <c r="W4160" s="124"/>
      <c r="X4160" s="126" t="s">
        <v>12663</v>
      </c>
      <c r="Y4160" s="127"/>
      <c r="Z4160" s="127"/>
      <c r="AA4160" s="127"/>
      <c r="AB4160" s="128"/>
      <c r="AC4160" s="15" t="s">
        <v>20</v>
      </c>
      <c r="AD4160" s="129" t="s">
        <v>1670</v>
      </c>
      <c r="AE4160" s="130"/>
      <c r="AF4160" s="130"/>
      <c r="AG4160" s="130"/>
      <c r="AH4160" s="130"/>
      <c r="AI4160" s="131"/>
      <c r="AJ4160" s="132"/>
      <c r="AK4160" s="127"/>
      <c r="AL4160" s="128"/>
      <c r="AM4160" s="21"/>
      <c r="AN4160" s="133">
        <v>46009</v>
      </c>
      <c r="AO4160" s="134"/>
      <c r="AP4160" s="135">
        <v>1311</v>
      </c>
      <c r="AQ4160" s="136"/>
      <c r="AR4160" s="118">
        <v>990000</v>
      </c>
      <c r="AS4160" s="119"/>
      <c r="AT4160" s="118">
        <f t="shared" ref="AT4160" si="4298">AR4160*0.1</f>
        <v>99000</v>
      </c>
      <c r="AU4160" s="119"/>
      <c r="AV4160" s="118">
        <v>12370</v>
      </c>
      <c r="AW4160" s="119"/>
      <c r="AX4160" s="118">
        <f t="shared" ref="AX4160" si="4299">SUM(AR4160:AW4160)</f>
        <v>1101370</v>
      </c>
      <c r="AY4160" s="119"/>
      <c r="AZ4160" s="137">
        <v>46010</v>
      </c>
    </row>
    <row r="4161" spans="1:52" ht="17.100000000000001" customHeight="1" thickBot="1">
      <c r="A4161" s="110"/>
      <c r="B4161" s="27" t="s">
        <v>1555</v>
      </c>
      <c r="C4161" s="27">
        <v>83265</v>
      </c>
      <c r="D4161" s="14" t="s">
        <v>133</v>
      </c>
      <c r="E4161" s="112"/>
      <c r="F4161" s="139" t="s">
        <v>12662</v>
      </c>
      <c r="G4161" s="140"/>
      <c r="H4161" s="141"/>
      <c r="I4161" s="26">
        <v>35700</v>
      </c>
      <c r="J4161" s="117"/>
      <c r="K4161" s="120"/>
      <c r="L4161" s="121"/>
      <c r="M4161" s="120"/>
      <c r="N4161" s="121"/>
      <c r="O4161" s="120"/>
      <c r="P4161" s="121"/>
      <c r="Q4161" s="120"/>
      <c r="R4161" s="121"/>
      <c r="S4161" s="120"/>
      <c r="T4161" s="121"/>
      <c r="U4161" s="120"/>
      <c r="V4161" s="123"/>
      <c r="W4161" s="125"/>
      <c r="X4161" s="142" t="s">
        <v>13199</v>
      </c>
      <c r="Y4161" s="143"/>
      <c r="Z4161" s="143"/>
      <c r="AA4161" s="143"/>
      <c r="AB4161" s="144"/>
      <c r="AC4161" s="16" t="s">
        <v>21</v>
      </c>
      <c r="AD4161" s="17" t="s">
        <v>13052</v>
      </c>
      <c r="AE4161" s="145" t="s">
        <v>13447</v>
      </c>
      <c r="AF4161" s="146"/>
      <c r="AG4161" s="146"/>
      <c r="AH4161" s="146"/>
      <c r="AI4161" s="147"/>
      <c r="AJ4161" s="148"/>
      <c r="AK4161" s="143"/>
      <c r="AL4161" s="144"/>
      <c r="AM4161" s="22"/>
      <c r="AN4161" s="149" t="s">
        <v>13663</v>
      </c>
      <c r="AO4161" s="144"/>
      <c r="AP4161" s="148">
        <v>106</v>
      </c>
      <c r="AQ4161" s="144"/>
      <c r="AR4161" s="120"/>
      <c r="AS4161" s="121"/>
      <c r="AT4161" s="120"/>
      <c r="AU4161" s="121"/>
      <c r="AV4161" s="120"/>
      <c r="AW4161" s="121"/>
      <c r="AX4161" s="120"/>
      <c r="AY4161" s="121"/>
      <c r="AZ4161" s="138"/>
    </row>
    <row r="4162" spans="1:52" ht="17.100000000000001" customHeight="1" thickTop="1">
      <c r="A4162" s="109" t="s">
        <v>12714</v>
      </c>
      <c r="B4162" s="28">
        <v>45997</v>
      </c>
      <c r="C4162" s="25">
        <v>1279</v>
      </c>
      <c r="D4162" s="13" t="s">
        <v>1825</v>
      </c>
      <c r="E4162" s="111"/>
      <c r="F4162" s="113" t="s">
        <v>12664</v>
      </c>
      <c r="G4162" s="114"/>
      <c r="H4162" s="115"/>
      <c r="I4162" s="24" t="s">
        <v>3931</v>
      </c>
      <c r="J4162" s="116">
        <v>4.5</v>
      </c>
      <c r="K4162" s="118">
        <v>2065000</v>
      </c>
      <c r="L4162" s="119"/>
      <c r="M4162" s="118">
        <f t="shared" ref="M4162" si="4300">K4162*0.1</f>
        <v>206500</v>
      </c>
      <c r="N4162" s="119"/>
      <c r="O4162" s="118">
        <f>7600+760</f>
        <v>8360</v>
      </c>
      <c r="P4162" s="119"/>
      <c r="Q4162" s="118">
        <v>8600</v>
      </c>
      <c r="R4162" s="119"/>
      <c r="S4162" s="118">
        <v>12100</v>
      </c>
      <c r="T4162" s="119"/>
      <c r="U4162" s="118">
        <f t="shared" ref="U4162" si="4301">SUM(K4162:T4163)</f>
        <v>2300560</v>
      </c>
      <c r="V4162" s="122"/>
      <c r="W4162" s="124"/>
      <c r="X4162" s="126" t="s">
        <v>12666</v>
      </c>
      <c r="Y4162" s="127"/>
      <c r="Z4162" s="127"/>
      <c r="AA4162" s="127"/>
      <c r="AB4162" s="128"/>
      <c r="AC4162" s="15" t="s">
        <v>20</v>
      </c>
      <c r="AD4162" s="129" t="s">
        <v>9403</v>
      </c>
      <c r="AE4162" s="130"/>
      <c r="AF4162" s="130"/>
      <c r="AG4162" s="130"/>
      <c r="AH4162" s="130"/>
      <c r="AI4162" s="131"/>
      <c r="AJ4162" s="132"/>
      <c r="AK4162" s="127"/>
      <c r="AL4162" s="128"/>
      <c r="AM4162" s="21" t="s">
        <v>15410</v>
      </c>
      <c r="AN4162" s="133">
        <v>46095</v>
      </c>
      <c r="AO4162" s="134"/>
      <c r="AP4162" s="135">
        <v>1292</v>
      </c>
      <c r="AQ4162" s="136"/>
      <c r="AR4162" s="118">
        <v>2035000</v>
      </c>
      <c r="AS4162" s="119"/>
      <c r="AT4162" s="118">
        <f t="shared" ref="AT4162" si="4302">AR4162*0.1</f>
        <v>203500</v>
      </c>
      <c r="AU4162" s="119"/>
      <c r="AV4162" s="118">
        <v>8600</v>
      </c>
      <c r="AW4162" s="119"/>
      <c r="AX4162" s="118">
        <f t="shared" ref="AX4162" si="4303">SUM(AR4162:AW4162)</f>
        <v>2247100</v>
      </c>
      <c r="AY4162" s="119"/>
      <c r="AZ4162" s="137">
        <v>46098</v>
      </c>
    </row>
    <row r="4163" spans="1:52" ht="17.100000000000001" customHeight="1" thickBot="1">
      <c r="A4163" s="110"/>
      <c r="B4163" s="27" t="s">
        <v>2511</v>
      </c>
      <c r="C4163" s="27">
        <v>31016</v>
      </c>
      <c r="D4163" s="14" t="s">
        <v>2601</v>
      </c>
      <c r="E4163" s="112"/>
      <c r="F4163" s="139" t="s">
        <v>12665</v>
      </c>
      <c r="G4163" s="140"/>
      <c r="H4163" s="141"/>
      <c r="I4163" s="26">
        <v>7663</v>
      </c>
      <c r="J4163" s="117"/>
      <c r="K4163" s="120"/>
      <c r="L4163" s="121"/>
      <c r="M4163" s="120"/>
      <c r="N4163" s="121"/>
      <c r="O4163" s="120"/>
      <c r="P4163" s="121"/>
      <c r="Q4163" s="120"/>
      <c r="R4163" s="121"/>
      <c r="S4163" s="120"/>
      <c r="T4163" s="121"/>
      <c r="U4163" s="120"/>
      <c r="V4163" s="123"/>
      <c r="W4163" s="125"/>
      <c r="X4163" s="142" t="s">
        <v>13396</v>
      </c>
      <c r="Y4163" s="143"/>
      <c r="Z4163" s="143"/>
      <c r="AA4163" s="143"/>
      <c r="AB4163" s="144"/>
      <c r="AC4163" s="16" t="s">
        <v>21</v>
      </c>
      <c r="AD4163" s="17" t="s">
        <v>3445</v>
      </c>
      <c r="AE4163" s="145" t="s">
        <v>2892</v>
      </c>
      <c r="AF4163" s="146"/>
      <c r="AG4163" s="146"/>
      <c r="AH4163" s="146"/>
      <c r="AI4163" s="147"/>
      <c r="AJ4163" s="148"/>
      <c r="AK4163" s="143"/>
      <c r="AL4163" s="144"/>
      <c r="AM4163" s="22"/>
      <c r="AN4163" s="149" t="s">
        <v>2511</v>
      </c>
      <c r="AO4163" s="144"/>
      <c r="AP4163" s="148">
        <v>55060</v>
      </c>
      <c r="AQ4163" s="144"/>
      <c r="AR4163" s="120"/>
      <c r="AS4163" s="121"/>
      <c r="AT4163" s="120"/>
      <c r="AU4163" s="121"/>
      <c r="AV4163" s="120"/>
      <c r="AW4163" s="121"/>
      <c r="AX4163" s="120"/>
      <c r="AY4163" s="121"/>
      <c r="AZ4163" s="138"/>
    </row>
    <row r="4164" spans="1:52" ht="17.100000000000001" customHeight="1" thickTop="1">
      <c r="A4164" s="109" t="s">
        <v>12715</v>
      </c>
      <c r="B4164" s="28">
        <v>45997</v>
      </c>
      <c r="C4164" s="25">
        <v>1279</v>
      </c>
      <c r="D4164" s="13" t="s">
        <v>1697</v>
      </c>
      <c r="E4164" s="111"/>
      <c r="F4164" s="113" t="s">
        <v>12667</v>
      </c>
      <c r="G4164" s="114"/>
      <c r="H4164" s="115"/>
      <c r="I4164" s="24" t="s">
        <v>3714</v>
      </c>
      <c r="J4164" s="116">
        <v>6</v>
      </c>
      <c r="K4164" s="118">
        <v>2285000</v>
      </c>
      <c r="L4164" s="119"/>
      <c r="M4164" s="118">
        <f t="shared" ref="M4164" si="4304">K4164*0.1</f>
        <v>228500</v>
      </c>
      <c r="N4164" s="119"/>
      <c r="O4164" s="118">
        <f>7600+760</f>
        <v>8360</v>
      </c>
      <c r="P4164" s="119"/>
      <c r="Q4164" s="118">
        <v>10720</v>
      </c>
      <c r="R4164" s="119"/>
      <c r="S4164" s="118">
        <v>12100</v>
      </c>
      <c r="T4164" s="119"/>
      <c r="U4164" s="118">
        <f t="shared" ref="U4164" si="4305">SUM(K4164:T4165)</f>
        <v>2544680</v>
      </c>
      <c r="V4164" s="122"/>
      <c r="W4164" s="124"/>
      <c r="X4164" s="126" t="s">
        <v>12669</v>
      </c>
      <c r="Y4164" s="127"/>
      <c r="Z4164" s="127"/>
      <c r="AA4164" s="127"/>
      <c r="AB4164" s="128"/>
      <c r="AC4164" s="15" t="s">
        <v>20</v>
      </c>
      <c r="AD4164" s="129" t="s">
        <v>1945</v>
      </c>
      <c r="AE4164" s="130"/>
      <c r="AF4164" s="130"/>
      <c r="AG4164" s="130"/>
      <c r="AH4164" s="130"/>
      <c r="AI4164" s="131"/>
      <c r="AJ4164" s="132"/>
      <c r="AK4164" s="127"/>
      <c r="AL4164" s="128"/>
      <c r="AM4164" s="21"/>
      <c r="AN4164" s="133">
        <v>46036</v>
      </c>
      <c r="AO4164" s="134"/>
      <c r="AP4164" s="135">
        <v>1000</v>
      </c>
      <c r="AQ4164" s="136"/>
      <c r="AR4164" s="118">
        <v>2295000</v>
      </c>
      <c r="AS4164" s="119"/>
      <c r="AT4164" s="118">
        <f t="shared" ref="AT4164" si="4306">AR4164*0.1</f>
        <v>229500</v>
      </c>
      <c r="AU4164" s="119"/>
      <c r="AV4164" s="118">
        <v>10720</v>
      </c>
      <c r="AW4164" s="119"/>
      <c r="AX4164" s="118">
        <f t="shared" ref="AX4164" si="4307">SUM(AR4164:AW4164)</f>
        <v>2535220</v>
      </c>
      <c r="AY4164" s="119"/>
      <c r="AZ4164" s="137">
        <v>46041</v>
      </c>
    </row>
    <row r="4165" spans="1:52" ht="17.100000000000001" customHeight="1" thickBot="1">
      <c r="A4165" s="110"/>
      <c r="B4165" s="27" t="s">
        <v>2511</v>
      </c>
      <c r="C4165" s="27">
        <v>31196</v>
      </c>
      <c r="D4165" s="14" t="s">
        <v>2601</v>
      </c>
      <c r="E4165" s="112"/>
      <c r="F4165" s="139" t="s">
        <v>12668</v>
      </c>
      <c r="G4165" s="140"/>
      <c r="H4165" s="141"/>
      <c r="I4165" s="26">
        <v>5079</v>
      </c>
      <c r="J4165" s="117"/>
      <c r="K4165" s="120"/>
      <c r="L4165" s="121"/>
      <c r="M4165" s="120"/>
      <c r="N4165" s="121"/>
      <c r="O4165" s="120"/>
      <c r="P4165" s="121"/>
      <c r="Q4165" s="120"/>
      <c r="R4165" s="121"/>
      <c r="S4165" s="120"/>
      <c r="T4165" s="121"/>
      <c r="U4165" s="120"/>
      <c r="V4165" s="123"/>
      <c r="W4165" s="125"/>
      <c r="X4165" s="142" t="s">
        <v>13397</v>
      </c>
      <c r="Y4165" s="143"/>
      <c r="Z4165" s="143"/>
      <c r="AA4165" s="143"/>
      <c r="AB4165" s="144"/>
      <c r="AC4165" s="16" t="s">
        <v>21</v>
      </c>
      <c r="AD4165" s="17" t="s">
        <v>3445</v>
      </c>
      <c r="AE4165" s="145" t="s">
        <v>9403</v>
      </c>
      <c r="AF4165" s="146"/>
      <c r="AG4165" s="146"/>
      <c r="AH4165" s="146"/>
      <c r="AI4165" s="147"/>
      <c r="AJ4165" s="148"/>
      <c r="AK4165" s="143"/>
      <c r="AL4165" s="144"/>
      <c r="AM4165" s="22"/>
      <c r="AN4165" s="149" t="s">
        <v>2794</v>
      </c>
      <c r="AO4165" s="144"/>
      <c r="AP4165" s="148">
        <v>5011</v>
      </c>
      <c r="AQ4165" s="144"/>
      <c r="AR4165" s="120"/>
      <c r="AS4165" s="121"/>
      <c r="AT4165" s="120"/>
      <c r="AU4165" s="121"/>
      <c r="AV4165" s="120"/>
      <c r="AW4165" s="121"/>
      <c r="AX4165" s="120"/>
      <c r="AY4165" s="121"/>
      <c r="AZ4165" s="138"/>
    </row>
    <row r="4166" spans="1:52" ht="17.100000000000001" customHeight="1" thickTop="1">
      <c r="A4166" s="109" t="s">
        <v>12716</v>
      </c>
      <c r="B4166" s="28">
        <v>45997</v>
      </c>
      <c r="C4166" s="25">
        <v>1279</v>
      </c>
      <c r="D4166" s="13" t="s">
        <v>3610</v>
      </c>
      <c r="E4166" s="111"/>
      <c r="F4166" s="113" t="s">
        <v>12670</v>
      </c>
      <c r="G4166" s="114"/>
      <c r="H4166" s="115"/>
      <c r="I4166" s="24"/>
      <c r="J4166" s="116">
        <v>4</v>
      </c>
      <c r="K4166" s="118">
        <v>390000</v>
      </c>
      <c r="L4166" s="119"/>
      <c r="M4166" s="118">
        <f t="shared" ref="M4166" si="4308">K4166*0.1</f>
        <v>39000</v>
      </c>
      <c r="N4166" s="119"/>
      <c r="O4166" s="118">
        <v>0</v>
      </c>
      <c r="P4166" s="119"/>
      <c r="Q4166" s="118">
        <v>10400</v>
      </c>
      <c r="R4166" s="119"/>
      <c r="S4166" s="118">
        <v>12100</v>
      </c>
      <c r="T4166" s="119"/>
      <c r="U4166" s="118">
        <f t="shared" ref="U4166" si="4309">SUM(K4166:T4167)</f>
        <v>451500</v>
      </c>
      <c r="V4166" s="122"/>
      <c r="W4166" s="124"/>
      <c r="X4166" s="126" t="s">
        <v>13393</v>
      </c>
      <c r="Y4166" s="127"/>
      <c r="Z4166" s="127"/>
      <c r="AA4166" s="127"/>
      <c r="AB4166" s="128"/>
      <c r="AC4166" s="15" t="s">
        <v>20</v>
      </c>
      <c r="AD4166" s="129" t="s">
        <v>171</v>
      </c>
      <c r="AE4166" s="130"/>
      <c r="AF4166" s="130"/>
      <c r="AG4166" s="130"/>
      <c r="AH4166" s="130"/>
      <c r="AI4166" s="131"/>
      <c r="AJ4166" s="132"/>
      <c r="AK4166" s="127"/>
      <c r="AL4166" s="128"/>
      <c r="AM4166" s="21"/>
      <c r="AN4166" s="133">
        <v>46029</v>
      </c>
      <c r="AO4166" s="134"/>
      <c r="AP4166" s="135">
        <v>999</v>
      </c>
      <c r="AQ4166" s="136"/>
      <c r="AR4166" s="118">
        <v>450000</v>
      </c>
      <c r="AS4166" s="119"/>
      <c r="AT4166" s="118">
        <f t="shared" ref="AT4166" si="4310">AR4166*0.1</f>
        <v>45000</v>
      </c>
      <c r="AU4166" s="119"/>
      <c r="AV4166" s="118">
        <v>10400</v>
      </c>
      <c r="AW4166" s="119"/>
      <c r="AX4166" s="118">
        <f t="shared" ref="AX4166" si="4311">SUM(AR4166:AW4166)</f>
        <v>505400</v>
      </c>
      <c r="AY4166" s="119"/>
      <c r="AZ4166" s="137">
        <v>46036</v>
      </c>
    </row>
    <row r="4167" spans="1:52" ht="17.100000000000001" customHeight="1" thickBot="1">
      <c r="A4167" s="110"/>
      <c r="B4167" s="27" t="s">
        <v>2511</v>
      </c>
      <c r="C4167" s="27">
        <v>37212</v>
      </c>
      <c r="D4167" s="14" t="s">
        <v>2601</v>
      </c>
      <c r="E4167" s="112"/>
      <c r="F4167" s="139" t="s">
        <v>12671</v>
      </c>
      <c r="G4167" s="140"/>
      <c r="H4167" s="141"/>
      <c r="I4167" s="26">
        <v>69200</v>
      </c>
      <c r="J4167" s="117"/>
      <c r="K4167" s="120"/>
      <c r="L4167" s="121"/>
      <c r="M4167" s="120"/>
      <c r="N4167" s="121"/>
      <c r="O4167" s="120"/>
      <c r="P4167" s="121"/>
      <c r="Q4167" s="120"/>
      <c r="R4167" s="121"/>
      <c r="S4167" s="120"/>
      <c r="T4167" s="121"/>
      <c r="U4167" s="120"/>
      <c r="V4167" s="123"/>
      <c r="W4167" s="125"/>
      <c r="X4167" s="142" t="s">
        <v>13394</v>
      </c>
      <c r="Y4167" s="143"/>
      <c r="Z4167" s="143"/>
      <c r="AA4167" s="143"/>
      <c r="AB4167" s="144"/>
      <c r="AC4167" s="16" t="s">
        <v>21</v>
      </c>
      <c r="AD4167" s="17" t="s">
        <v>3445</v>
      </c>
      <c r="AE4167" s="145" t="s">
        <v>13395</v>
      </c>
      <c r="AF4167" s="146"/>
      <c r="AG4167" s="146"/>
      <c r="AH4167" s="146"/>
      <c r="AI4167" s="147"/>
      <c r="AJ4167" s="148"/>
      <c r="AK4167" s="143"/>
      <c r="AL4167" s="144"/>
      <c r="AM4167" s="22"/>
      <c r="AN4167" s="149" t="s">
        <v>7285</v>
      </c>
      <c r="AO4167" s="144"/>
      <c r="AP4167" s="148">
        <v>6104</v>
      </c>
      <c r="AQ4167" s="144"/>
      <c r="AR4167" s="120"/>
      <c r="AS4167" s="121"/>
      <c r="AT4167" s="120"/>
      <c r="AU4167" s="121"/>
      <c r="AV4167" s="120"/>
      <c r="AW4167" s="121"/>
      <c r="AX4167" s="120"/>
      <c r="AY4167" s="121"/>
      <c r="AZ4167" s="138"/>
    </row>
    <row r="4168" spans="1:52" ht="17.100000000000001" customHeight="1" thickTop="1">
      <c r="A4168" s="109" t="s">
        <v>12717</v>
      </c>
      <c r="B4168" s="28">
        <v>45997</v>
      </c>
      <c r="C4168" s="25">
        <v>1279</v>
      </c>
      <c r="D4168" s="13" t="s">
        <v>1853</v>
      </c>
      <c r="E4168" s="111"/>
      <c r="F4168" s="113" t="s">
        <v>12672</v>
      </c>
      <c r="G4168" s="114"/>
      <c r="H4168" s="115"/>
      <c r="I4168" s="24"/>
      <c r="J4168" s="116">
        <v>4.5</v>
      </c>
      <c r="K4168" s="118">
        <v>755000</v>
      </c>
      <c r="L4168" s="119"/>
      <c r="M4168" s="118">
        <v>75500</v>
      </c>
      <c r="N4168" s="119"/>
      <c r="O4168" s="118">
        <v>0</v>
      </c>
      <c r="P4168" s="119"/>
      <c r="Q4168" s="118">
        <v>6560</v>
      </c>
      <c r="R4168" s="119"/>
      <c r="S4168" s="118">
        <v>9900</v>
      </c>
      <c r="T4168" s="119"/>
      <c r="U4168" s="118">
        <f t="shared" ref="U4168" si="4312">SUM(K4168:T4169)</f>
        <v>846960</v>
      </c>
      <c r="V4168" s="122"/>
      <c r="W4168" s="124"/>
      <c r="X4168" s="126" t="s">
        <v>13372</v>
      </c>
      <c r="Y4168" s="127"/>
      <c r="Z4168" s="127"/>
      <c r="AA4168" s="127"/>
      <c r="AB4168" s="128"/>
      <c r="AC4168" s="15" t="s">
        <v>20</v>
      </c>
      <c r="AD4168" s="129"/>
      <c r="AE4168" s="130"/>
      <c r="AF4168" s="130"/>
      <c r="AG4168" s="130"/>
      <c r="AH4168" s="130"/>
      <c r="AI4168" s="131"/>
      <c r="AJ4168" s="132"/>
      <c r="AK4168" s="127"/>
      <c r="AL4168" s="128"/>
      <c r="AM4168" s="21"/>
      <c r="AN4168" s="133">
        <v>46001</v>
      </c>
      <c r="AO4168" s="134"/>
      <c r="AP4168" s="135">
        <v>996</v>
      </c>
      <c r="AQ4168" s="136"/>
      <c r="AR4168" s="118">
        <v>990000</v>
      </c>
      <c r="AS4168" s="119"/>
      <c r="AT4168" s="118">
        <f t="shared" ref="AT4168" si="4313">AR4168*0.1</f>
        <v>99000</v>
      </c>
      <c r="AU4168" s="119"/>
      <c r="AV4168" s="118">
        <v>6560</v>
      </c>
      <c r="AW4168" s="119"/>
      <c r="AX4168" s="118">
        <f t="shared" ref="AX4168" si="4314">SUM(AR4168:AW4168)</f>
        <v>1095560</v>
      </c>
      <c r="AY4168" s="119"/>
      <c r="AZ4168" s="137">
        <v>46008</v>
      </c>
    </row>
    <row r="4169" spans="1:52" ht="17.100000000000001" customHeight="1" thickBot="1">
      <c r="A4169" s="110"/>
      <c r="B4169" s="27" t="s">
        <v>2511</v>
      </c>
      <c r="C4169" s="27">
        <v>60467</v>
      </c>
      <c r="D4169" s="14" t="s">
        <v>1576</v>
      </c>
      <c r="E4169" s="112"/>
      <c r="F4169" s="139" t="s">
        <v>12673</v>
      </c>
      <c r="G4169" s="140"/>
      <c r="H4169" s="141"/>
      <c r="I4169" s="26">
        <v>36280</v>
      </c>
      <c r="J4169" s="117"/>
      <c r="K4169" s="120"/>
      <c r="L4169" s="121"/>
      <c r="M4169" s="120"/>
      <c r="N4169" s="121"/>
      <c r="O4169" s="120"/>
      <c r="P4169" s="121"/>
      <c r="Q4169" s="120"/>
      <c r="R4169" s="121"/>
      <c r="S4169" s="120"/>
      <c r="T4169" s="121"/>
      <c r="U4169" s="120"/>
      <c r="V4169" s="123"/>
      <c r="W4169" s="125"/>
      <c r="X4169" s="142" t="s">
        <v>13373</v>
      </c>
      <c r="Y4169" s="143"/>
      <c r="Z4169" s="143"/>
      <c r="AA4169" s="143"/>
      <c r="AB4169" s="144"/>
      <c r="AC4169" s="16" t="s">
        <v>21</v>
      </c>
      <c r="AD4169" s="17" t="s">
        <v>3445</v>
      </c>
      <c r="AE4169" s="145" t="s">
        <v>5302</v>
      </c>
      <c r="AF4169" s="146"/>
      <c r="AG4169" s="146"/>
      <c r="AH4169" s="146"/>
      <c r="AI4169" s="147"/>
      <c r="AJ4169" s="148"/>
      <c r="AK4169" s="143"/>
      <c r="AL4169" s="144"/>
      <c r="AM4169" s="22"/>
      <c r="AN4169" s="149" t="s">
        <v>2794</v>
      </c>
      <c r="AO4169" s="144"/>
      <c r="AP4169" s="148">
        <v>2099</v>
      </c>
      <c r="AQ4169" s="144"/>
      <c r="AR4169" s="120"/>
      <c r="AS4169" s="121"/>
      <c r="AT4169" s="120"/>
      <c r="AU4169" s="121"/>
      <c r="AV4169" s="120"/>
      <c r="AW4169" s="121"/>
      <c r="AX4169" s="120"/>
      <c r="AY4169" s="121"/>
      <c r="AZ4169" s="138"/>
    </row>
    <row r="4170" spans="1:52" ht="17.100000000000001" customHeight="1" thickTop="1">
      <c r="A4170" s="109" t="s">
        <v>12718</v>
      </c>
      <c r="B4170" s="28">
        <v>45997</v>
      </c>
      <c r="C4170" s="25">
        <v>1279</v>
      </c>
      <c r="D4170" s="13" t="s">
        <v>2477</v>
      </c>
      <c r="E4170" s="111"/>
      <c r="F4170" s="113" t="s">
        <v>5196</v>
      </c>
      <c r="G4170" s="114"/>
      <c r="H4170" s="115"/>
      <c r="I4170" s="24" t="s">
        <v>2152</v>
      </c>
      <c r="J4170" s="116">
        <v>5</v>
      </c>
      <c r="K4170" s="118">
        <v>855000</v>
      </c>
      <c r="L4170" s="119"/>
      <c r="M4170" s="118">
        <f t="shared" ref="M4170" si="4315">K4170*0.1</f>
        <v>85500</v>
      </c>
      <c r="N4170" s="119"/>
      <c r="O4170" s="118">
        <v>0</v>
      </c>
      <c r="P4170" s="119"/>
      <c r="Q4170" s="118">
        <v>7200</v>
      </c>
      <c r="R4170" s="119"/>
      <c r="S4170" s="118">
        <v>11000</v>
      </c>
      <c r="T4170" s="119"/>
      <c r="U4170" s="118">
        <f t="shared" ref="U4170" si="4316">SUM(K4170:T4171)</f>
        <v>958700</v>
      </c>
      <c r="V4170" s="122"/>
      <c r="W4170" s="124"/>
      <c r="X4170" s="126" t="s">
        <v>12675</v>
      </c>
      <c r="Y4170" s="127"/>
      <c r="Z4170" s="127"/>
      <c r="AA4170" s="127"/>
      <c r="AB4170" s="128"/>
      <c r="AC4170" s="15" t="s">
        <v>20</v>
      </c>
      <c r="AD4170" s="129" t="s">
        <v>1670</v>
      </c>
      <c r="AE4170" s="130"/>
      <c r="AF4170" s="130"/>
      <c r="AG4170" s="130"/>
      <c r="AH4170" s="130"/>
      <c r="AI4170" s="131"/>
      <c r="AJ4170" s="132"/>
      <c r="AK4170" s="127"/>
      <c r="AL4170" s="128"/>
      <c r="AM4170" s="21"/>
      <c r="AN4170" s="133">
        <v>46004</v>
      </c>
      <c r="AO4170" s="134"/>
      <c r="AP4170" s="135">
        <v>1280</v>
      </c>
      <c r="AQ4170" s="136"/>
      <c r="AR4170" s="118">
        <v>910000</v>
      </c>
      <c r="AS4170" s="119"/>
      <c r="AT4170" s="118">
        <f t="shared" ref="AT4170" si="4317">AR4170*0.1</f>
        <v>91000</v>
      </c>
      <c r="AU4170" s="119"/>
      <c r="AV4170" s="118">
        <v>7200</v>
      </c>
      <c r="AW4170" s="119"/>
      <c r="AX4170" s="118">
        <f t="shared" ref="AX4170" si="4318">SUM(AR4170:AW4170)</f>
        <v>1008200</v>
      </c>
      <c r="AY4170" s="119"/>
      <c r="AZ4170" s="137">
        <v>46008</v>
      </c>
    </row>
    <row r="4171" spans="1:52" ht="17.100000000000001" customHeight="1" thickBot="1">
      <c r="A4171" s="110"/>
      <c r="B4171" s="27" t="s">
        <v>2511</v>
      </c>
      <c r="C4171" s="27">
        <v>62050</v>
      </c>
      <c r="D4171" s="14" t="s">
        <v>2601</v>
      </c>
      <c r="E4171" s="112"/>
      <c r="F4171" s="139" t="s">
        <v>12674</v>
      </c>
      <c r="G4171" s="140"/>
      <c r="H4171" s="141"/>
      <c r="I4171" s="26">
        <v>1651</v>
      </c>
      <c r="J4171" s="117"/>
      <c r="K4171" s="120"/>
      <c r="L4171" s="121"/>
      <c r="M4171" s="120"/>
      <c r="N4171" s="121"/>
      <c r="O4171" s="120"/>
      <c r="P4171" s="121"/>
      <c r="Q4171" s="120"/>
      <c r="R4171" s="121"/>
      <c r="S4171" s="120"/>
      <c r="T4171" s="121"/>
      <c r="U4171" s="120"/>
      <c r="V4171" s="123"/>
      <c r="W4171" s="125"/>
      <c r="X4171" s="142" t="s">
        <v>10732</v>
      </c>
      <c r="Y4171" s="143"/>
      <c r="Z4171" s="143"/>
      <c r="AA4171" s="143"/>
      <c r="AB4171" s="144"/>
      <c r="AC4171" s="16" t="s">
        <v>21</v>
      </c>
      <c r="AD4171" s="17" t="s">
        <v>3445</v>
      </c>
      <c r="AE4171" s="145" t="s">
        <v>1670</v>
      </c>
      <c r="AF4171" s="146"/>
      <c r="AG4171" s="146"/>
      <c r="AH4171" s="146"/>
      <c r="AI4171" s="147"/>
      <c r="AJ4171" s="148"/>
      <c r="AK4171" s="143"/>
      <c r="AL4171" s="144"/>
      <c r="AM4171" s="22"/>
      <c r="AN4171" s="149" t="s">
        <v>2511</v>
      </c>
      <c r="AO4171" s="144"/>
      <c r="AP4171" s="148">
        <v>60240</v>
      </c>
      <c r="AQ4171" s="144"/>
      <c r="AR4171" s="120"/>
      <c r="AS4171" s="121"/>
      <c r="AT4171" s="120"/>
      <c r="AU4171" s="121"/>
      <c r="AV4171" s="120"/>
      <c r="AW4171" s="121"/>
      <c r="AX4171" s="120"/>
      <c r="AY4171" s="121"/>
      <c r="AZ4171" s="138"/>
    </row>
    <row r="4172" spans="1:52" ht="17.100000000000001" customHeight="1" thickTop="1">
      <c r="A4172" s="109" t="s">
        <v>12719</v>
      </c>
      <c r="B4172" s="28">
        <v>45997</v>
      </c>
      <c r="C4172" s="25">
        <v>1279</v>
      </c>
      <c r="D4172" s="13" t="s">
        <v>1695</v>
      </c>
      <c r="E4172" s="111"/>
      <c r="F4172" s="113" t="s">
        <v>1641</v>
      </c>
      <c r="G4172" s="114"/>
      <c r="H4172" s="115"/>
      <c r="I4172" s="24" t="s">
        <v>12676</v>
      </c>
      <c r="J4172" s="116">
        <v>4.5</v>
      </c>
      <c r="K4172" s="118">
        <v>3045000</v>
      </c>
      <c r="L4172" s="119"/>
      <c r="M4172" s="118">
        <f t="shared" ref="M4172" si="4319">K4172*0.1</f>
        <v>304500</v>
      </c>
      <c r="N4172" s="119"/>
      <c r="O4172" s="118">
        <f>12700+1270</f>
        <v>13970</v>
      </c>
      <c r="P4172" s="119"/>
      <c r="Q4172" s="118">
        <v>20990</v>
      </c>
      <c r="R4172" s="119"/>
      <c r="S4172" s="118">
        <v>16500</v>
      </c>
      <c r="T4172" s="119"/>
      <c r="U4172" s="118">
        <f t="shared" ref="U4172" si="4320">SUM(K4172:T4173)</f>
        <v>3400960</v>
      </c>
      <c r="V4172" s="122"/>
      <c r="W4172" s="124"/>
      <c r="X4172" s="126" t="s">
        <v>12677</v>
      </c>
      <c r="Y4172" s="127"/>
      <c r="Z4172" s="127"/>
      <c r="AA4172" s="127"/>
      <c r="AB4172" s="128"/>
      <c r="AC4172" s="15" t="s">
        <v>20</v>
      </c>
      <c r="AD4172" s="129"/>
      <c r="AE4172" s="130"/>
      <c r="AF4172" s="130"/>
      <c r="AG4172" s="130"/>
      <c r="AH4172" s="130"/>
      <c r="AI4172" s="131"/>
      <c r="AJ4172" s="132"/>
      <c r="AK4172" s="127"/>
      <c r="AL4172" s="128"/>
      <c r="AM4172" s="21" t="s">
        <v>16243</v>
      </c>
      <c r="AN4172" s="133"/>
      <c r="AO4172" s="134"/>
      <c r="AP4172" s="135"/>
      <c r="AQ4172" s="136"/>
      <c r="AR4172" s="118"/>
      <c r="AS4172" s="119"/>
      <c r="AT4172" s="118">
        <f t="shared" ref="AT4172" si="4321">AR4172*0.1</f>
        <v>0</v>
      </c>
      <c r="AU4172" s="119"/>
      <c r="AV4172" s="118"/>
      <c r="AW4172" s="119"/>
      <c r="AX4172" s="118">
        <f t="shared" ref="AX4172" si="4322">SUM(AR4172:AW4172)</f>
        <v>0</v>
      </c>
      <c r="AY4172" s="119"/>
      <c r="AZ4172" s="137"/>
    </row>
    <row r="4173" spans="1:52" ht="17.100000000000001" customHeight="1" thickBot="1">
      <c r="A4173" s="110"/>
      <c r="B4173" s="27" t="s">
        <v>2511</v>
      </c>
      <c r="C4173" s="27">
        <v>81025</v>
      </c>
      <c r="D4173" s="14" t="s">
        <v>1720</v>
      </c>
      <c r="E4173" s="112"/>
      <c r="F4173" s="139" t="s">
        <v>23445</v>
      </c>
      <c r="G4173" s="140"/>
      <c r="H4173" s="141"/>
      <c r="I4173" s="26">
        <v>45238</v>
      </c>
      <c r="J4173" s="117"/>
      <c r="K4173" s="120"/>
      <c r="L4173" s="121"/>
      <c r="M4173" s="120"/>
      <c r="N4173" s="121"/>
      <c r="O4173" s="120"/>
      <c r="P4173" s="121"/>
      <c r="Q4173" s="120"/>
      <c r="R4173" s="121"/>
      <c r="S4173" s="120"/>
      <c r="T4173" s="121"/>
      <c r="U4173" s="120"/>
      <c r="V4173" s="123"/>
      <c r="W4173" s="125"/>
      <c r="X4173" s="142" t="s">
        <v>3410</v>
      </c>
      <c r="Y4173" s="143"/>
      <c r="Z4173" s="143"/>
      <c r="AA4173" s="143"/>
      <c r="AB4173" s="144"/>
      <c r="AC4173" s="16" t="s">
        <v>21</v>
      </c>
      <c r="AD4173" s="17" t="s">
        <v>3445</v>
      </c>
      <c r="AE4173" s="145" t="s">
        <v>171</v>
      </c>
      <c r="AF4173" s="146"/>
      <c r="AG4173" s="146"/>
      <c r="AH4173" s="146"/>
      <c r="AI4173" s="147"/>
      <c r="AJ4173" s="148"/>
      <c r="AK4173" s="143"/>
      <c r="AL4173" s="144"/>
      <c r="AM4173" s="22"/>
      <c r="AN4173" s="149"/>
      <c r="AO4173" s="144"/>
      <c r="AP4173" s="148"/>
      <c r="AQ4173" s="144"/>
      <c r="AR4173" s="120"/>
      <c r="AS4173" s="121"/>
      <c r="AT4173" s="120"/>
      <c r="AU4173" s="121"/>
      <c r="AV4173" s="120"/>
      <c r="AW4173" s="121"/>
      <c r="AX4173" s="120"/>
      <c r="AY4173" s="121"/>
      <c r="AZ4173" s="138"/>
    </row>
    <row r="4174" spans="1:52" ht="17.100000000000001" customHeight="1" thickTop="1">
      <c r="A4174" s="109" t="s">
        <v>12720</v>
      </c>
      <c r="B4174" s="28">
        <v>45997</v>
      </c>
      <c r="C4174" s="25">
        <v>1279</v>
      </c>
      <c r="D4174" s="13" t="s">
        <v>2359</v>
      </c>
      <c r="E4174" s="111"/>
      <c r="F4174" s="113" t="s">
        <v>12431</v>
      </c>
      <c r="G4174" s="114"/>
      <c r="H4174" s="115"/>
      <c r="I4174" s="24" t="s">
        <v>3399</v>
      </c>
      <c r="J4174" s="116">
        <v>4.5</v>
      </c>
      <c r="K4174" s="118">
        <v>905000</v>
      </c>
      <c r="L4174" s="119"/>
      <c r="M4174" s="118">
        <f t="shared" ref="M4174" si="4323">K4174*0.1</f>
        <v>90500</v>
      </c>
      <c r="N4174" s="119"/>
      <c r="O4174" s="118">
        <f>7600+760</f>
        <v>8360</v>
      </c>
      <c r="P4174" s="119"/>
      <c r="Q4174" s="118">
        <v>17310</v>
      </c>
      <c r="R4174" s="119"/>
      <c r="S4174" s="118">
        <v>16500</v>
      </c>
      <c r="T4174" s="119"/>
      <c r="U4174" s="118">
        <f t="shared" ref="U4174" si="4324">SUM(K4174:T4175)</f>
        <v>1037670</v>
      </c>
      <c r="V4174" s="122"/>
      <c r="W4174" s="124"/>
      <c r="X4174" s="126" t="s">
        <v>12679</v>
      </c>
      <c r="Y4174" s="127"/>
      <c r="Z4174" s="127"/>
      <c r="AA4174" s="127"/>
      <c r="AB4174" s="128"/>
      <c r="AC4174" s="15" t="s">
        <v>20</v>
      </c>
      <c r="AD4174" s="129" t="s">
        <v>12680</v>
      </c>
      <c r="AE4174" s="130"/>
      <c r="AF4174" s="130"/>
      <c r="AG4174" s="130"/>
      <c r="AH4174" s="130"/>
      <c r="AI4174" s="131"/>
      <c r="AJ4174" s="132"/>
      <c r="AK4174" s="127"/>
      <c r="AL4174" s="128"/>
      <c r="AM4174" s="21"/>
      <c r="AN4174" s="133">
        <v>46009</v>
      </c>
      <c r="AO4174" s="134"/>
      <c r="AP4174" s="135">
        <v>1311</v>
      </c>
      <c r="AQ4174" s="136"/>
      <c r="AR4174" s="118">
        <v>1075000</v>
      </c>
      <c r="AS4174" s="119"/>
      <c r="AT4174" s="118">
        <f t="shared" ref="AT4174" si="4325">AR4174*0.1</f>
        <v>107500</v>
      </c>
      <c r="AU4174" s="119"/>
      <c r="AV4174" s="118">
        <v>17310</v>
      </c>
      <c r="AW4174" s="119"/>
      <c r="AX4174" s="118">
        <f t="shared" ref="AX4174" si="4326">SUM(AR4174:AW4174)</f>
        <v>1199810</v>
      </c>
      <c r="AY4174" s="119"/>
      <c r="AZ4174" s="137">
        <v>46010</v>
      </c>
    </row>
    <row r="4175" spans="1:52" ht="17.100000000000001" customHeight="1" thickBot="1">
      <c r="A4175" s="110"/>
      <c r="B4175" s="27" t="s">
        <v>2511</v>
      </c>
      <c r="C4175" s="27">
        <v>82167</v>
      </c>
      <c r="D4175" s="14" t="s">
        <v>1556</v>
      </c>
      <c r="E4175" s="112"/>
      <c r="F4175" s="139" t="s">
        <v>12678</v>
      </c>
      <c r="G4175" s="140"/>
      <c r="H4175" s="141"/>
      <c r="I4175" s="26">
        <v>40724</v>
      </c>
      <c r="J4175" s="117"/>
      <c r="K4175" s="120"/>
      <c r="L4175" s="121"/>
      <c r="M4175" s="120"/>
      <c r="N4175" s="121"/>
      <c r="O4175" s="120"/>
      <c r="P4175" s="121"/>
      <c r="Q4175" s="120"/>
      <c r="R4175" s="121"/>
      <c r="S4175" s="120"/>
      <c r="T4175" s="121"/>
      <c r="U4175" s="120"/>
      <c r="V4175" s="123"/>
      <c r="W4175" s="125"/>
      <c r="X4175" s="142" t="s">
        <v>13399</v>
      </c>
      <c r="Y4175" s="143"/>
      <c r="Z4175" s="143"/>
      <c r="AA4175" s="143"/>
      <c r="AB4175" s="144"/>
      <c r="AC4175" s="16" t="s">
        <v>21</v>
      </c>
      <c r="AD4175" s="17" t="s">
        <v>3445</v>
      </c>
      <c r="AE4175" s="145" t="s">
        <v>1742</v>
      </c>
      <c r="AF4175" s="146"/>
      <c r="AG4175" s="146"/>
      <c r="AH4175" s="146"/>
      <c r="AI4175" s="147"/>
      <c r="AJ4175" s="148"/>
      <c r="AK4175" s="143"/>
      <c r="AL4175" s="144"/>
      <c r="AM4175" s="22"/>
      <c r="AN4175" s="149" t="s">
        <v>13663</v>
      </c>
      <c r="AO4175" s="144"/>
      <c r="AP4175" s="148">
        <v>68</v>
      </c>
      <c r="AQ4175" s="144"/>
      <c r="AR4175" s="120"/>
      <c r="AS4175" s="121"/>
      <c r="AT4175" s="120"/>
      <c r="AU4175" s="121"/>
      <c r="AV4175" s="120"/>
      <c r="AW4175" s="121"/>
      <c r="AX4175" s="120"/>
      <c r="AY4175" s="121"/>
      <c r="AZ4175" s="138"/>
    </row>
    <row r="4176" spans="1:52" ht="17.100000000000001" customHeight="1" thickTop="1">
      <c r="A4176" s="109" t="s">
        <v>12721</v>
      </c>
      <c r="B4176" s="28">
        <v>45997</v>
      </c>
      <c r="C4176" s="25">
        <v>1279</v>
      </c>
      <c r="D4176" s="13" t="s">
        <v>2616</v>
      </c>
      <c r="E4176" s="111"/>
      <c r="F4176" s="113" t="s">
        <v>12681</v>
      </c>
      <c r="G4176" s="114"/>
      <c r="H4176" s="115"/>
      <c r="I4176" s="24" t="s">
        <v>7528</v>
      </c>
      <c r="J4176" s="116">
        <v>4.5</v>
      </c>
      <c r="K4176" s="118">
        <v>2205000</v>
      </c>
      <c r="L4176" s="119"/>
      <c r="M4176" s="118">
        <f t="shared" ref="M4176" si="4327">K4176*0.1</f>
        <v>220500</v>
      </c>
      <c r="N4176" s="119"/>
      <c r="O4176" s="118">
        <f>9000+900</f>
        <v>9900</v>
      </c>
      <c r="P4176" s="119"/>
      <c r="Q4176" s="118">
        <v>21720</v>
      </c>
      <c r="R4176" s="119"/>
      <c r="S4176" s="118">
        <v>16500</v>
      </c>
      <c r="T4176" s="119"/>
      <c r="U4176" s="118">
        <f t="shared" ref="U4176" si="4328">SUM(K4176:T4177)</f>
        <v>2473620</v>
      </c>
      <c r="V4176" s="122"/>
      <c r="W4176" s="124"/>
      <c r="X4176" s="126" t="s">
        <v>12683</v>
      </c>
      <c r="Y4176" s="127"/>
      <c r="Z4176" s="127"/>
      <c r="AA4176" s="127"/>
      <c r="AB4176" s="128"/>
      <c r="AC4176" s="15" t="s">
        <v>20</v>
      </c>
      <c r="AD4176" s="129"/>
      <c r="AE4176" s="130"/>
      <c r="AF4176" s="130"/>
      <c r="AG4176" s="130"/>
      <c r="AH4176" s="130"/>
      <c r="AI4176" s="131"/>
      <c r="AJ4176" s="132"/>
      <c r="AK4176" s="127"/>
      <c r="AL4176" s="128"/>
      <c r="AM4176" s="21"/>
      <c r="AN4176" s="133">
        <v>46011</v>
      </c>
      <c r="AO4176" s="134"/>
      <c r="AP4176" s="135">
        <v>1281</v>
      </c>
      <c r="AQ4176" s="136"/>
      <c r="AR4176" s="118">
        <v>2285000</v>
      </c>
      <c r="AS4176" s="119"/>
      <c r="AT4176" s="118">
        <f t="shared" ref="AT4176" si="4329">AR4176*0.1</f>
        <v>228500</v>
      </c>
      <c r="AU4176" s="119"/>
      <c r="AV4176" s="118">
        <v>21720</v>
      </c>
      <c r="AW4176" s="119"/>
      <c r="AX4176" s="118">
        <f t="shared" ref="AX4176" si="4330">SUM(AR4176:AW4176)</f>
        <v>2535220</v>
      </c>
      <c r="AY4176" s="119"/>
      <c r="AZ4176" s="137">
        <v>46014</v>
      </c>
    </row>
    <row r="4177" spans="1:52" ht="17.100000000000001" customHeight="1" thickBot="1">
      <c r="A4177" s="110"/>
      <c r="B4177" s="27" t="s">
        <v>2511</v>
      </c>
      <c r="C4177" s="27">
        <v>82292</v>
      </c>
      <c r="D4177" s="14" t="s">
        <v>1592</v>
      </c>
      <c r="E4177" s="112"/>
      <c r="F4177" s="139" t="s">
        <v>12682</v>
      </c>
      <c r="G4177" s="140"/>
      <c r="H4177" s="141"/>
      <c r="I4177" s="26">
        <v>60433</v>
      </c>
      <c r="J4177" s="117"/>
      <c r="K4177" s="120"/>
      <c r="L4177" s="121"/>
      <c r="M4177" s="120"/>
      <c r="N4177" s="121"/>
      <c r="O4177" s="120"/>
      <c r="P4177" s="121"/>
      <c r="Q4177" s="120"/>
      <c r="R4177" s="121"/>
      <c r="S4177" s="120"/>
      <c r="T4177" s="121"/>
      <c r="U4177" s="120"/>
      <c r="V4177" s="123"/>
      <c r="W4177" s="125"/>
      <c r="X4177" s="142" t="s">
        <v>13398</v>
      </c>
      <c r="Y4177" s="143"/>
      <c r="Z4177" s="143"/>
      <c r="AA4177" s="143"/>
      <c r="AB4177" s="144"/>
      <c r="AC4177" s="16" t="s">
        <v>21</v>
      </c>
      <c r="AD4177" s="17" t="s">
        <v>3445</v>
      </c>
      <c r="AE4177" s="145" t="s">
        <v>2920</v>
      </c>
      <c r="AF4177" s="146"/>
      <c r="AG4177" s="146"/>
      <c r="AH4177" s="146"/>
      <c r="AI4177" s="147"/>
      <c r="AJ4177" s="148"/>
      <c r="AK4177" s="143"/>
      <c r="AL4177" s="144"/>
      <c r="AM4177" s="22"/>
      <c r="AN4177" s="149" t="s">
        <v>2511</v>
      </c>
      <c r="AO4177" s="144"/>
      <c r="AP4177" s="148">
        <v>80192</v>
      </c>
      <c r="AQ4177" s="144"/>
      <c r="AR4177" s="120"/>
      <c r="AS4177" s="121"/>
      <c r="AT4177" s="120"/>
      <c r="AU4177" s="121"/>
      <c r="AV4177" s="120"/>
      <c r="AW4177" s="121"/>
      <c r="AX4177" s="120"/>
      <c r="AY4177" s="121"/>
      <c r="AZ4177" s="138"/>
    </row>
    <row r="4178" spans="1:52" ht="17.100000000000001" customHeight="1" thickTop="1">
      <c r="A4178" s="109" t="s">
        <v>12722</v>
      </c>
      <c r="B4178" s="28">
        <v>45997</v>
      </c>
      <c r="C4178" s="25">
        <v>1279</v>
      </c>
      <c r="D4178" s="13" t="s">
        <v>2359</v>
      </c>
      <c r="E4178" s="111"/>
      <c r="F4178" s="113" t="s">
        <v>1938</v>
      </c>
      <c r="G4178" s="114"/>
      <c r="H4178" s="115"/>
      <c r="I4178" s="24" t="s">
        <v>3399</v>
      </c>
      <c r="J4178" s="116">
        <v>4.5</v>
      </c>
      <c r="K4178" s="118">
        <v>1160000</v>
      </c>
      <c r="L4178" s="119"/>
      <c r="M4178" s="118">
        <f t="shared" ref="M4178" si="4331">K4178*0.1</f>
        <v>116000</v>
      </c>
      <c r="N4178" s="119"/>
      <c r="O4178" s="118">
        <f>7600+760</f>
        <v>8360</v>
      </c>
      <c r="P4178" s="119"/>
      <c r="Q4178" s="118">
        <v>16240</v>
      </c>
      <c r="R4178" s="119"/>
      <c r="S4178" s="118">
        <v>23100</v>
      </c>
      <c r="T4178" s="119"/>
      <c r="U4178" s="118">
        <f t="shared" ref="U4178" si="4332">SUM(K4178:T4179)</f>
        <v>1323700</v>
      </c>
      <c r="V4178" s="122"/>
      <c r="W4178" s="124"/>
      <c r="X4178" s="126" t="s">
        <v>12724</v>
      </c>
      <c r="Y4178" s="127"/>
      <c r="Z4178" s="127"/>
      <c r="AA4178" s="127"/>
      <c r="AB4178" s="128"/>
      <c r="AC4178" s="15" t="s">
        <v>20</v>
      </c>
      <c r="AD4178" s="129" t="s">
        <v>12725</v>
      </c>
      <c r="AE4178" s="130"/>
      <c r="AF4178" s="130"/>
      <c r="AG4178" s="130"/>
      <c r="AH4178" s="130"/>
      <c r="AI4178" s="131"/>
      <c r="AJ4178" s="132"/>
      <c r="AK4178" s="127"/>
      <c r="AL4178" s="128"/>
      <c r="AM4178" s="21"/>
      <c r="AN4178" s="133">
        <v>46004</v>
      </c>
      <c r="AO4178" s="134"/>
      <c r="AP4178" s="135">
        <v>1280</v>
      </c>
      <c r="AQ4178" s="136"/>
      <c r="AR4178" s="118">
        <v>1315000</v>
      </c>
      <c r="AS4178" s="119"/>
      <c r="AT4178" s="118">
        <f t="shared" ref="AT4178" si="4333">AR4178*0.1</f>
        <v>131500</v>
      </c>
      <c r="AU4178" s="119"/>
      <c r="AV4178" s="118">
        <v>16240</v>
      </c>
      <c r="AW4178" s="119"/>
      <c r="AX4178" s="118">
        <f t="shared" ref="AX4178" si="4334">SUM(AR4178:AW4178)</f>
        <v>1462740</v>
      </c>
      <c r="AY4178" s="119"/>
      <c r="AZ4178" s="137">
        <v>46008</v>
      </c>
    </row>
    <row r="4179" spans="1:52" ht="17.100000000000001" customHeight="1" thickBot="1">
      <c r="A4179" s="110"/>
      <c r="B4179" s="27" t="s">
        <v>2511</v>
      </c>
      <c r="C4179" s="27">
        <v>82389</v>
      </c>
      <c r="D4179" s="14" t="s">
        <v>904</v>
      </c>
      <c r="E4179" s="112"/>
      <c r="F4179" s="139" t="s">
        <v>12723</v>
      </c>
      <c r="G4179" s="140"/>
      <c r="H4179" s="141"/>
      <c r="I4179" s="26">
        <v>37810</v>
      </c>
      <c r="J4179" s="117"/>
      <c r="K4179" s="120"/>
      <c r="L4179" s="121"/>
      <c r="M4179" s="120"/>
      <c r="N4179" s="121"/>
      <c r="O4179" s="120"/>
      <c r="P4179" s="121"/>
      <c r="Q4179" s="120"/>
      <c r="R4179" s="121"/>
      <c r="S4179" s="120"/>
      <c r="T4179" s="121"/>
      <c r="U4179" s="120"/>
      <c r="V4179" s="123"/>
      <c r="W4179" s="125"/>
      <c r="X4179" s="142" t="s">
        <v>1594</v>
      </c>
      <c r="Y4179" s="143"/>
      <c r="Z4179" s="143"/>
      <c r="AA4179" s="143"/>
      <c r="AB4179" s="144"/>
      <c r="AC4179" s="16" t="s">
        <v>21</v>
      </c>
      <c r="AD4179" s="17" t="s">
        <v>3445</v>
      </c>
      <c r="AE4179" s="145" t="s">
        <v>1732</v>
      </c>
      <c r="AF4179" s="146"/>
      <c r="AG4179" s="146"/>
      <c r="AH4179" s="146"/>
      <c r="AI4179" s="147"/>
      <c r="AJ4179" s="148"/>
      <c r="AK4179" s="143"/>
      <c r="AL4179" s="144"/>
      <c r="AM4179" s="22"/>
      <c r="AN4179" s="149" t="s">
        <v>2511</v>
      </c>
      <c r="AO4179" s="144"/>
      <c r="AP4179" s="148">
        <v>80068</v>
      </c>
      <c r="AQ4179" s="144"/>
      <c r="AR4179" s="120"/>
      <c r="AS4179" s="121"/>
      <c r="AT4179" s="120"/>
      <c r="AU4179" s="121"/>
      <c r="AV4179" s="120"/>
      <c r="AW4179" s="121"/>
      <c r="AX4179" s="120"/>
      <c r="AY4179" s="121"/>
      <c r="AZ4179" s="138"/>
    </row>
    <row r="4180" spans="1:52" ht="17.100000000000001" customHeight="1" thickTop="1">
      <c r="A4180" s="109" t="s">
        <v>12729</v>
      </c>
      <c r="B4180" s="28">
        <v>45997</v>
      </c>
      <c r="C4180" s="25"/>
      <c r="D4180" s="13" t="s">
        <v>3832</v>
      </c>
      <c r="E4180" s="111"/>
      <c r="F4180" s="113" t="s">
        <v>12727</v>
      </c>
      <c r="G4180" s="114"/>
      <c r="H4180" s="115"/>
      <c r="I4180" s="24" t="s">
        <v>8873</v>
      </c>
      <c r="J4180" s="116">
        <v>4.5</v>
      </c>
      <c r="K4180" s="118">
        <f>1474000/1.1</f>
        <v>1340000</v>
      </c>
      <c r="L4180" s="119"/>
      <c r="M4180" s="118">
        <f t="shared" ref="M4180" si="4335">K4180*0.1</f>
        <v>134000</v>
      </c>
      <c r="N4180" s="119"/>
      <c r="O4180" s="118">
        <v>0</v>
      </c>
      <c r="P4180" s="119"/>
      <c r="Q4180" s="118">
        <v>6830</v>
      </c>
      <c r="R4180" s="119"/>
      <c r="S4180" s="118">
        <v>0</v>
      </c>
      <c r="T4180" s="119"/>
      <c r="U4180" s="118">
        <f t="shared" ref="U4180" si="4336">SUM(K4180:T4181)</f>
        <v>1480830</v>
      </c>
      <c r="V4180" s="122"/>
      <c r="W4180" s="124"/>
      <c r="X4180" s="126" t="s">
        <v>13769</v>
      </c>
      <c r="Y4180" s="127"/>
      <c r="Z4180" s="127"/>
      <c r="AA4180" s="127"/>
      <c r="AB4180" s="128"/>
      <c r="AC4180" s="15" t="s">
        <v>20</v>
      </c>
      <c r="AD4180" s="129" t="s">
        <v>1732</v>
      </c>
      <c r="AE4180" s="130"/>
      <c r="AF4180" s="130"/>
      <c r="AG4180" s="130"/>
      <c r="AH4180" s="130"/>
      <c r="AI4180" s="131"/>
      <c r="AJ4180" s="132"/>
      <c r="AK4180" s="127"/>
      <c r="AL4180" s="128"/>
      <c r="AM4180" s="21" t="s">
        <v>14635</v>
      </c>
      <c r="AN4180" s="133">
        <v>46035</v>
      </c>
      <c r="AO4180" s="134"/>
      <c r="AP4180" s="135">
        <v>1924</v>
      </c>
      <c r="AQ4180" s="136"/>
      <c r="AR4180" s="118">
        <v>1490000</v>
      </c>
      <c r="AS4180" s="119"/>
      <c r="AT4180" s="118">
        <f t="shared" ref="AT4180" si="4337">AR4180*0.1</f>
        <v>149000</v>
      </c>
      <c r="AU4180" s="119"/>
      <c r="AV4180" s="118">
        <v>6830</v>
      </c>
      <c r="AW4180" s="119"/>
      <c r="AX4180" s="118">
        <f t="shared" ref="AX4180" si="4338">SUM(AR4180:AW4180)</f>
        <v>1645830</v>
      </c>
      <c r="AY4180" s="119"/>
      <c r="AZ4180" s="137"/>
    </row>
    <row r="4181" spans="1:52" ht="17.100000000000001" customHeight="1" thickBot="1">
      <c r="A4181" s="110"/>
      <c r="B4181" s="27" t="s">
        <v>1718</v>
      </c>
      <c r="C4181" s="27" t="s">
        <v>12726</v>
      </c>
      <c r="D4181" s="14" t="s">
        <v>275</v>
      </c>
      <c r="E4181" s="112"/>
      <c r="F4181" s="139" t="s">
        <v>12728</v>
      </c>
      <c r="G4181" s="140"/>
      <c r="H4181" s="141"/>
      <c r="I4181" s="26">
        <v>14604</v>
      </c>
      <c r="J4181" s="117"/>
      <c r="K4181" s="120"/>
      <c r="L4181" s="121"/>
      <c r="M4181" s="120"/>
      <c r="N4181" s="121"/>
      <c r="O4181" s="120"/>
      <c r="P4181" s="121"/>
      <c r="Q4181" s="120"/>
      <c r="R4181" s="121"/>
      <c r="S4181" s="120"/>
      <c r="T4181" s="121"/>
      <c r="U4181" s="120"/>
      <c r="V4181" s="123"/>
      <c r="W4181" s="125"/>
      <c r="X4181" s="142" t="s">
        <v>13770</v>
      </c>
      <c r="Y4181" s="143"/>
      <c r="Z4181" s="143"/>
      <c r="AA4181" s="143"/>
      <c r="AB4181" s="144"/>
      <c r="AC4181" s="16" t="s">
        <v>21</v>
      </c>
      <c r="AD4181" s="17" t="s">
        <v>3476</v>
      </c>
      <c r="AE4181" s="145" t="s">
        <v>1614</v>
      </c>
      <c r="AF4181" s="146"/>
      <c r="AG4181" s="146"/>
      <c r="AH4181" s="146"/>
      <c r="AI4181" s="147"/>
      <c r="AJ4181" s="148"/>
      <c r="AK4181" s="143"/>
      <c r="AL4181" s="144"/>
      <c r="AM4181" s="22"/>
      <c r="AN4181" s="149" t="s">
        <v>2131</v>
      </c>
      <c r="AO4181" s="144"/>
      <c r="AP4181" s="148">
        <v>3033</v>
      </c>
      <c r="AQ4181" s="144"/>
      <c r="AR4181" s="120"/>
      <c r="AS4181" s="121"/>
      <c r="AT4181" s="120"/>
      <c r="AU4181" s="121"/>
      <c r="AV4181" s="120"/>
      <c r="AW4181" s="121"/>
      <c r="AX4181" s="120"/>
      <c r="AY4181" s="121"/>
      <c r="AZ4181" s="138"/>
    </row>
    <row r="4182" spans="1:52" ht="17.100000000000001" customHeight="1" thickTop="1">
      <c r="A4182" s="151" t="s">
        <v>12781</v>
      </c>
      <c r="B4182" s="28">
        <v>45999</v>
      </c>
      <c r="C4182" s="25">
        <v>2072</v>
      </c>
      <c r="D4182" s="13" t="s">
        <v>2949</v>
      </c>
      <c r="E4182" s="111"/>
      <c r="F4182" s="113" t="s">
        <v>12730</v>
      </c>
      <c r="G4182" s="114"/>
      <c r="H4182" s="115"/>
      <c r="I4182" s="24"/>
      <c r="J4182" s="116">
        <v>4.5</v>
      </c>
      <c r="K4182" s="118">
        <v>1890000</v>
      </c>
      <c r="L4182" s="119"/>
      <c r="M4182" s="118">
        <f t="shared" ref="M4182" si="4339">K4182*0.1</f>
        <v>189000</v>
      </c>
      <c r="N4182" s="119"/>
      <c r="O4182" s="118">
        <v>0</v>
      </c>
      <c r="P4182" s="119"/>
      <c r="Q4182" s="118">
        <v>15790</v>
      </c>
      <c r="R4182" s="119"/>
      <c r="S4182" s="118">
        <v>11000</v>
      </c>
      <c r="T4182" s="119"/>
      <c r="U4182" s="118">
        <f t="shared" ref="U4182" si="4340">SUM(K4182:T4183)</f>
        <v>2105790</v>
      </c>
      <c r="V4182" s="122"/>
      <c r="W4182" s="124"/>
      <c r="X4182" s="126" t="s">
        <v>13200</v>
      </c>
      <c r="Y4182" s="127"/>
      <c r="Z4182" s="127"/>
      <c r="AA4182" s="127"/>
      <c r="AB4182" s="128"/>
      <c r="AC4182" s="15" t="s">
        <v>20</v>
      </c>
      <c r="AD4182" s="129" t="s">
        <v>171</v>
      </c>
      <c r="AE4182" s="130"/>
      <c r="AF4182" s="130"/>
      <c r="AG4182" s="130"/>
      <c r="AH4182" s="130"/>
      <c r="AI4182" s="131"/>
      <c r="AJ4182" s="132"/>
      <c r="AK4182" s="127"/>
      <c r="AL4182" s="128"/>
      <c r="AM4182" s="21"/>
      <c r="AN4182" s="133">
        <v>46039</v>
      </c>
      <c r="AO4182" s="134"/>
      <c r="AP4182" s="135">
        <v>1284</v>
      </c>
      <c r="AQ4182" s="136"/>
      <c r="AR4182" s="118">
        <v>1995000</v>
      </c>
      <c r="AS4182" s="119"/>
      <c r="AT4182" s="118">
        <f t="shared" ref="AT4182" si="4341">AR4182*0.1</f>
        <v>199500</v>
      </c>
      <c r="AU4182" s="119"/>
      <c r="AV4182" s="118">
        <v>15790</v>
      </c>
      <c r="AW4182" s="119"/>
      <c r="AX4182" s="118">
        <f t="shared" ref="AX4182" si="4342">SUM(AR4182:AW4182)</f>
        <v>2210290</v>
      </c>
      <c r="AY4182" s="119"/>
      <c r="AZ4182" s="137">
        <v>46042</v>
      </c>
    </row>
    <row r="4183" spans="1:52" ht="17.100000000000001" customHeight="1" thickBot="1">
      <c r="A4183" s="152"/>
      <c r="B4183" s="27" t="s">
        <v>83</v>
      </c>
      <c r="C4183" s="27">
        <v>31005</v>
      </c>
      <c r="D4183" s="14" t="s">
        <v>1576</v>
      </c>
      <c r="E4183" s="112"/>
      <c r="F4183" s="139" t="s">
        <v>12731</v>
      </c>
      <c r="G4183" s="140"/>
      <c r="H4183" s="141"/>
      <c r="I4183" s="26">
        <v>49941</v>
      </c>
      <c r="J4183" s="117"/>
      <c r="K4183" s="120"/>
      <c r="L4183" s="121"/>
      <c r="M4183" s="120"/>
      <c r="N4183" s="121"/>
      <c r="O4183" s="120"/>
      <c r="P4183" s="121"/>
      <c r="Q4183" s="120"/>
      <c r="R4183" s="121"/>
      <c r="S4183" s="120"/>
      <c r="T4183" s="121"/>
      <c r="U4183" s="120"/>
      <c r="V4183" s="123"/>
      <c r="W4183" s="125"/>
      <c r="X4183" s="142" t="s">
        <v>9685</v>
      </c>
      <c r="Y4183" s="143"/>
      <c r="Z4183" s="143"/>
      <c r="AA4183" s="143"/>
      <c r="AB4183" s="144"/>
      <c r="AC4183" s="16" t="s">
        <v>21</v>
      </c>
      <c r="AD4183" s="17" t="s">
        <v>13052</v>
      </c>
      <c r="AE4183" s="145" t="s">
        <v>1614</v>
      </c>
      <c r="AF4183" s="146"/>
      <c r="AG4183" s="146"/>
      <c r="AH4183" s="146"/>
      <c r="AI4183" s="147"/>
      <c r="AJ4183" s="148"/>
      <c r="AK4183" s="143"/>
      <c r="AL4183" s="144"/>
      <c r="AM4183" s="22"/>
      <c r="AN4183" s="149" t="s">
        <v>2511</v>
      </c>
      <c r="AO4183" s="144"/>
      <c r="AP4183" s="148">
        <v>80109</v>
      </c>
      <c r="AQ4183" s="144"/>
      <c r="AR4183" s="120"/>
      <c r="AS4183" s="121"/>
      <c r="AT4183" s="120"/>
      <c r="AU4183" s="121"/>
      <c r="AV4183" s="120"/>
      <c r="AW4183" s="121"/>
      <c r="AX4183" s="120"/>
      <c r="AY4183" s="121"/>
      <c r="AZ4183" s="138"/>
    </row>
    <row r="4184" spans="1:52" ht="17.100000000000001" customHeight="1" thickTop="1">
      <c r="A4184" s="109" t="s">
        <v>12782</v>
      </c>
      <c r="B4184" s="28">
        <v>45999</v>
      </c>
      <c r="C4184" s="25">
        <v>2072</v>
      </c>
      <c r="D4184" s="13" t="s">
        <v>1853</v>
      </c>
      <c r="E4184" s="111"/>
      <c r="F4184" s="113" t="s">
        <v>12732</v>
      </c>
      <c r="G4184" s="114"/>
      <c r="H4184" s="115"/>
      <c r="I4184" s="24"/>
      <c r="J4184" s="116">
        <v>4.5</v>
      </c>
      <c r="K4184" s="118">
        <v>1195000</v>
      </c>
      <c r="L4184" s="119"/>
      <c r="M4184" s="118">
        <f t="shared" ref="M4184" si="4343">K4184*0.1</f>
        <v>119500</v>
      </c>
      <c r="N4184" s="119"/>
      <c r="O4184" s="118">
        <v>0</v>
      </c>
      <c r="P4184" s="119"/>
      <c r="Q4184" s="118">
        <v>15160</v>
      </c>
      <c r="R4184" s="119"/>
      <c r="S4184" s="118">
        <v>11000</v>
      </c>
      <c r="T4184" s="119"/>
      <c r="U4184" s="118">
        <f t="shared" ref="U4184" si="4344">SUM(K4184:T4185)</f>
        <v>1340660</v>
      </c>
      <c r="V4184" s="122"/>
      <c r="W4184" s="124"/>
      <c r="X4184" s="126" t="s">
        <v>13321</v>
      </c>
      <c r="Y4184" s="127"/>
      <c r="Z4184" s="127"/>
      <c r="AA4184" s="127"/>
      <c r="AB4184" s="128"/>
      <c r="AC4184" s="15" t="s">
        <v>20</v>
      </c>
      <c r="AD4184" s="129" t="s">
        <v>171</v>
      </c>
      <c r="AE4184" s="130"/>
      <c r="AF4184" s="130"/>
      <c r="AG4184" s="130"/>
      <c r="AH4184" s="130"/>
      <c r="AI4184" s="131"/>
      <c r="AJ4184" s="132"/>
      <c r="AK4184" s="127"/>
      <c r="AL4184" s="128"/>
      <c r="AM4184" s="21"/>
      <c r="AN4184" s="133">
        <v>46018</v>
      </c>
      <c r="AO4184" s="134"/>
      <c r="AP4184" s="135">
        <v>1282</v>
      </c>
      <c r="AQ4184" s="136"/>
      <c r="AR4184" s="118">
        <v>1260000</v>
      </c>
      <c r="AS4184" s="119"/>
      <c r="AT4184" s="118">
        <f t="shared" ref="AT4184" si="4345">AR4184*0.1</f>
        <v>126000</v>
      </c>
      <c r="AU4184" s="119"/>
      <c r="AV4184" s="118">
        <v>15160</v>
      </c>
      <c r="AW4184" s="119"/>
      <c r="AX4184" s="118">
        <f t="shared" ref="AX4184" si="4346">SUM(AR4184:AW4184)</f>
        <v>1401160</v>
      </c>
      <c r="AY4184" s="119"/>
      <c r="AZ4184" s="137">
        <v>46028</v>
      </c>
    </row>
    <row r="4185" spans="1:52" ht="17.100000000000001" customHeight="1" thickBot="1">
      <c r="A4185" s="110"/>
      <c r="B4185" s="27" t="s">
        <v>83</v>
      </c>
      <c r="C4185" s="27">
        <v>33519</v>
      </c>
      <c r="D4185" s="14" t="s">
        <v>275</v>
      </c>
      <c r="E4185" s="112"/>
      <c r="F4185" s="139" t="s">
        <v>12733</v>
      </c>
      <c r="G4185" s="140"/>
      <c r="H4185" s="141"/>
      <c r="I4185" s="26">
        <v>72015</v>
      </c>
      <c r="J4185" s="117"/>
      <c r="K4185" s="120"/>
      <c r="L4185" s="121"/>
      <c r="M4185" s="120"/>
      <c r="N4185" s="121"/>
      <c r="O4185" s="120"/>
      <c r="P4185" s="121"/>
      <c r="Q4185" s="120"/>
      <c r="R4185" s="121"/>
      <c r="S4185" s="120"/>
      <c r="T4185" s="121"/>
      <c r="U4185" s="120"/>
      <c r="V4185" s="123"/>
      <c r="W4185" s="125"/>
      <c r="X4185" s="142" t="s">
        <v>4820</v>
      </c>
      <c r="Y4185" s="143"/>
      <c r="Z4185" s="143"/>
      <c r="AA4185" s="143"/>
      <c r="AB4185" s="144"/>
      <c r="AC4185" s="16" t="s">
        <v>21</v>
      </c>
      <c r="AD4185" s="17" t="s">
        <v>2268</v>
      </c>
      <c r="AE4185" s="145" t="s">
        <v>5275</v>
      </c>
      <c r="AF4185" s="146"/>
      <c r="AG4185" s="146"/>
      <c r="AH4185" s="146"/>
      <c r="AI4185" s="147"/>
      <c r="AJ4185" s="148"/>
      <c r="AK4185" s="143"/>
      <c r="AL4185" s="144"/>
      <c r="AM4185" s="22"/>
      <c r="AN4185" s="149" t="s">
        <v>2511</v>
      </c>
      <c r="AO4185" s="144"/>
      <c r="AP4185" s="148">
        <v>80210</v>
      </c>
      <c r="AQ4185" s="144"/>
      <c r="AR4185" s="120"/>
      <c r="AS4185" s="121"/>
      <c r="AT4185" s="120"/>
      <c r="AU4185" s="121"/>
      <c r="AV4185" s="120"/>
      <c r="AW4185" s="121"/>
      <c r="AX4185" s="120"/>
      <c r="AY4185" s="121"/>
      <c r="AZ4185" s="138"/>
    </row>
    <row r="4186" spans="1:52" ht="17.100000000000001" customHeight="1" thickTop="1">
      <c r="A4186" s="151" t="s">
        <v>12783</v>
      </c>
      <c r="B4186" s="28">
        <v>45999</v>
      </c>
      <c r="C4186" s="25">
        <v>2072</v>
      </c>
      <c r="D4186" s="13" t="s">
        <v>3381</v>
      </c>
      <c r="E4186" s="111"/>
      <c r="F4186" s="113" t="s">
        <v>12734</v>
      </c>
      <c r="G4186" s="114"/>
      <c r="H4186" s="115"/>
      <c r="I4186" s="24"/>
      <c r="J4186" s="116">
        <v>4.5</v>
      </c>
      <c r="K4186" s="118">
        <v>815000</v>
      </c>
      <c r="L4186" s="119"/>
      <c r="M4186" s="118">
        <f t="shared" ref="M4186" si="4347">K4186*0.1</f>
        <v>81500</v>
      </c>
      <c r="N4186" s="119"/>
      <c r="O4186" s="118">
        <v>0</v>
      </c>
      <c r="P4186" s="119"/>
      <c r="Q4186" s="118">
        <v>11850</v>
      </c>
      <c r="R4186" s="119"/>
      <c r="S4186" s="118">
        <v>11000</v>
      </c>
      <c r="T4186" s="119"/>
      <c r="U4186" s="118">
        <f t="shared" ref="U4186" si="4348">SUM(K4186:T4187)</f>
        <v>919350</v>
      </c>
      <c r="V4186" s="122"/>
      <c r="W4186" s="124"/>
      <c r="X4186" s="126" t="s">
        <v>13319</v>
      </c>
      <c r="Y4186" s="127"/>
      <c r="Z4186" s="127"/>
      <c r="AA4186" s="127"/>
      <c r="AB4186" s="128"/>
      <c r="AC4186" s="15" t="s">
        <v>20</v>
      </c>
      <c r="AD4186" s="129" t="s">
        <v>1633</v>
      </c>
      <c r="AE4186" s="130"/>
      <c r="AF4186" s="130"/>
      <c r="AG4186" s="130"/>
      <c r="AH4186" s="130"/>
      <c r="AI4186" s="131"/>
      <c r="AJ4186" s="132"/>
      <c r="AK4186" s="127"/>
      <c r="AL4186" s="128"/>
      <c r="AM4186" s="21"/>
      <c r="AN4186" s="133">
        <v>46032</v>
      </c>
      <c r="AO4186" s="134"/>
      <c r="AP4186" s="135">
        <v>1283</v>
      </c>
      <c r="AQ4186" s="136"/>
      <c r="AR4186" s="118">
        <v>920000</v>
      </c>
      <c r="AS4186" s="119"/>
      <c r="AT4186" s="118">
        <f t="shared" ref="AT4186" si="4349">AR4186*0.1</f>
        <v>92000</v>
      </c>
      <c r="AU4186" s="119"/>
      <c r="AV4186" s="118">
        <v>11850</v>
      </c>
      <c r="AW4186" s="119"/>
      <c r="AX4186" s="118">
        <f t="shared" ref="AX4186" si="4350">SUM(AR4186:AW4186)</f>
        <v>1023850</v>
      </c>
      <c r="AY4186" s="119"/>
      <c r="AZ4186" s="137">
        <v>46036</v>
      </c>
    </row>
    <row r="4187" spans="1:52" ht="17.100000000000001" customHeight="1" thickBot="1">
      <c r="A4187" s="152"/>
      <c r="B4187" s="27" t="s">
        <v>83</v>
      </c>
      <c r="C4187" s="27">
        <v>36014</v>
      </c>
      <c r="D4187" s="14" t="s">
        <v>2601</v>
      </c>
      <c r="E4187" s="112"/>
      <c r="F4187" s="139" t="s">
        <v>12735</v>
      </c>
      <c r="G4187" s="140"/>
      <c r="H4187" s="141"/>
      <c r="I4187" s="26">
        <v>37076</v>
      </c>
      <c r="J4187" s="117"/>
      <c r="K4187" s="120"/>
      <c r="L4187" s="121"/>
      <c r="M4187" s="120"/>
      <c r="N4187" s="121"/>
      <c r="O4187" s="120"/>
      <c r="P4187" s="121"/>
      <c r="Q4187" s="120"/>
      <c r="R4187" s="121"/>
      <c r="S4187" s="120"/>
      <c r="T4187" s="121"/>
      <c r="U4187" s="120"/>
      <c r="V4187" s="123"/>
      <c r="W4187" s="125"/>
      <c r="X4187" s="142" t="s">
        <v>13320</v>
      </c>
      <c r="Y4187" s="143"/>
      <c r="Z4187" s="143"/>
      <c r="AA4187" s="143"/>
      <c r="AB4187" s="144"/>
      <c r="AC4187" s="16" t="s">
        <v>21</v>
      </c>
      <c r="AD4187" s="17" t="s">
        <v>2268</v>
      </c>
      <c r="AE4187" s="145" t="s">
        <v>1742</v>
      </c>
      <c r="AF4187" s="146"/>
      <c r="AG4187" s="146"/>
      <c r="AH4187" s="146"/>
      <c r="AI4187" s="147"/>
      <c r="AJ4187" s="148"/>
      <c r="AK4187" s="143"/>
      <c r="AL4187" s="144"/>
      <c r="AM4187" s="22"/>
      <c r="AN4187" s="149" t="s">
        <v>2511</v>
      </c>
      <c r="AO4187" s="144"/>
      <c r="AP4187" s="148">
        <v>80121</v>
      </c>
      <c r="AQ4187" s="144"/>
      <c r="AR4187" s="120"/>
      <c r="AS4187" s="121"/>
      <c r="AT4187" s="120"/>
      <c r="AU4187" s="121"/>
      <c r="AV4187" s="120"/>
      <c r="AW4187" s="121"/>
      <c r="AX4187" s="120"/>
      <c r="AY4187" s="121"/>
      <c r="AZ4187" s="138"/>
    </row>
    <row r="4188" spans="1:52" ht="17.100000000000001" customHeight="1" thickTop="1">
      <c r="A4188" s="109" t="s">
        <v>12784</v>
      </c>
      <c r="B4188" s="28">
        <v>45999</v>
      </c>
      <c r="C4188" s="25"/>
      <c r="D4188" s="13" t="s">
        <v>2100</v>
      </c>
      <c r="E4188" s="111"/>
      <c r="F4188" s="113" t="s">
        <v>12750</v>
      </c>
      <c r="G4188" s="114"/>
      <c r="H4188" s="115"/>
      <c r="I4188" s="24" t="s">
        <v>4314</v>
      </c>
      <c r="J4188" s="116">
        <v>4</v>
      </c>
      <c r="K4188" s="118">
        <v>672000</v>
      </c>
      <c r="L4188" s="119"/>
      <c r="M4188" s="118">
        <f t="shared" ref="M4188" si="4351">K4188*0.1</f>
        <v>67200</v>
      </c>
      <c r="N4188" s="119"/>
      <c r="O4188" s="118">
        <f>9800+980</f>
        <v>10780</v>
      </c>
      <c r="P4188" s="119"/>
      <c r="Q4188" s="118">
        <v>17700</v>
      </c>
      <c r="R4188" s="119"/>
      <c r="S4188" s="118">
        <v>14850</v>
      </c>
      <c r="T4188" s="119"/>
      <c r="U4188" s="118">
        <f t="shared" ref="U4188" si="4352">SUM(K4188:T4189)</f>
        <v>782530</v>
      </c>
      <c r="V4188" s="122"/>
      <c r="W4188" s="124"/>
      <c r="X4188" s="126" t="s">
        <v>12751</v>
      </c>
      <c r="Y4188" s="127"/>
      <c r="Z4188" s="127"/>
      <c r="AA4188" s="127"/>
      <c r="AB4188" s="128"/>
      <c r="AC4188" s="15" t="s">
        <v>20</v>
      </c>
      <c r="AD4188" s="129"/>
      <c r="AE4188" s="130"/>
      <c r="AF4188" s="130"/>
      <c r="AG4188" s="130"/>
      <c r="AH4188" s="130"/>
      <c r="AI4188" s="131"/>
      <c r="AJ4188" s="132"/>
      <c r="AK4188" s="127"/>
      <c r="AL4188" s="128"/>
      <c r="AM4188" s="21"/>
      <c r="AN4188" s="133">
        <v>46004</v>
      </c>
      <c r="AO4188" s="134"/>
      <c r="AP4188" s="135">
        <v>1280</v>
      </c>
      <c r="AQ4188" s="136"/>
      <c r="AR4188" s="118">
        <v>820000</v>
      </c>
      <c r="AS4188" s="119"/>
      <c r="AT4188" s="118">
        <f t="shared" ref="AT4188" si="4353">AR4188*0.1</f>
        <v>82000</v>
      </c>
      <c r="AU4188" s="119"/>
      <c r="AV4188" s="118">
        <v>17700</v>
      </c>
      <c r="AW4188" s="119"/>
      <c r="AX4188" s="118">
        <f t="shared" ref="AX4188" si="4354">SUM(AR4188:AW4188)</f>
        <v>919700</v>
      </c>
      <c r="AY4188" s="119"/>
      <c r="AZ4188" s="137">
        <v>46008</v>
      </c>
    </row>
    <row r="4189" spans="1:52" ht="17.100000000000001" customHeight="1" thickBot="1">
      <c r="A4189" s="110"/>
      <c r="B4189" s="27" t="s">
        <v>2774</v>
      </c>
      <c r="C4189" s="27">
        <v>70409</v>
      </c>
      <c r="D4189" s="14" t="s">
        <v>1576</v>
      </c>
      <c r="E4189" s="112"/>
      <c r="F4189" s="139" t="s">
        <v>13368</v>
      </c>
      <c r="G4189" s="140"/>
      <c r="H4189" s="141"/>
      <c r="I4189" s="26">
        <v>66681</v>
      </c>
      <c r="J4189" s="117"/>
      <c r="K4189" s="120"/>
      <c r="L4189" s="121"/>
      <c r="M4189" s="120"/>
      <c r="N4189" s="121"/>
      <c r="O4189" s="120"/>
      <c r="P4189" s="121"/>
      <c r="Q4189" s="120"/>
      <c r="R4189" s="121"/>
      <c r="S4189" s="120"/>
      <c r="T4189" s="121"/>
      <c r="U4189" s="120"/>
      <c r="V4189" s="123"/>
      <c r="W4189" s="125"/>
      <c r="X4189" s="142" t="s">
        <v>2538</v>
      </c>
      <c r="Y4189" s="143"/>
      <c r="Z4189" s="143"/>
      <c r="AA4189" s="143"/>
      <c r="AB4189" s="144"/>
      <c r="AC4189" s="16" t="s">
        <v>21</v>
      </c>
      <c r="AD4189" s="17" t="s">
        <v>3445</v>
      </c>
      <c r="AE4189" s="145" t="s">
        <v>7861</v>
      </c>
      <c r="AF4189" s="146"/>
      <c r="AG4189" s="146"/>
      <c r="AH4189" s="146"/>
      <c r="AI4189" s="147"/>
      <c r="AJ4189" s="148"/>
      <c r="AK4189" s="143"/>
      <c r="AL4189" s="144"/>
      <c r="AM4189" s="22"/>
      <c r="AN4189" s="149" t="s">
        <v>2511</v>
      </c>
      <c r="AO4189" s="144"/>
      <c r="AP4189" s="148">
        <v>80094</v>
      </c>
      <c r="AQ4189" s="144"/>
      <c r="AR4189" s="120"/>
      <c r="AS4189" s="121"/>
      <c r="AT4189" s="120"/>
      <c r="AU4189" s="121"/>
      <c r="AV4189" s="120"/>
      <c r="AW4189" s="121"/>
      <c r="AX4189" s="120"/>
      <c r="AY4189" s="121"/>
      <c r="AZ4189" s="138"/>
    </row>
    <row r="4190" spans="1:52" ht="17.100000000000001" customHeight="1" thickTop="1">
      <c r="A4190" s="109" t="s">
        <v>12785</v>
      </c>
      <c r="B4190" s="28">
        <v>45999</v>
      </c>
      <c r="C4190" s="25"/>
      <c r="D4190" s="13" t="s">
        <v>2298</v>
      </c>
      <c r="E4190" s="111"/>
      <c r="F4190" s="113" t="s">
        <v>4559</v>
      </c>
      <c r="G4190" s="114"/>
      <c r="H4190" s="115"/>
      <c r="I4190" s="24"/>
      <c r="J4190" s="116">
        <v>4</v>
      </c>
      <c r="K4190" s="118">
        <v>1003000</v>
      </c>
      <c r="L4190" s="119"/>
      <c r="M4190" s="118">
        <f t="shared" ref="M4190" si="4355">K4190*0.1</f>
        <v>100300</v>
      </c>
      <c r="N4190" s="119"/>
      <c r="O4190" s="118">
        <v>0</v>
      </c>
      <c r="P4190" s="119"/>
      <c r="Q4190" s="118">
        <v>17600</v>
      </c>
      <c r="R4190" s="119"/>
      <c r="S4190" s="118">
        <v>14850</v>
      </c>
      <c r="T4190" s="119"/>
      <c r="U4190" s="118">
        <f t="shared" ref="U4190" si="4356">SUM(K4190:T4191)</f>
        <v>1135750</v>
      </c>
      <c r="V4190" s="122"/>
      <c r="W4190" s="124"/>
      <c r="X4190" s="126" t="s">
        <v>13382</v>
      </c>
      <c r="Y4190" s="127"/>
      <c r="Z4190" s="127"/>
      <c r="AA4190" s="127"/>
      <c r="AB4190" s="128"/>
      <c r="AC4190" s="15" t="s">
        <v>20</v>
      </c>
      <c r="AD4190" s="129"/>
      <c r="AE4190" s="130"/>
      <c r="AF4190" s="130"/>
      <c r="AG4190" s="130"/>
      <c r="AH4190" s="130"/>
      <c r="AI4190" s="131"/>
      <c r="AJ4190" s="132"/>
      <c r="AK4190" s="127"/>
      <c r="AL4190" s="128"/>
      <c r="AM4190" s="21"/>
      <c r="AN4190" s="133">
        <v>46004</v>
      </c>
      <c r="AO4190" s="134"/>
      <c r="AP4190" s="135">
        <v>1280</v>
      </c>
      <c r="AQ4190" s="136"/>
      <c r="AR4190" s="118">
        <v>1285000</v>
      </c>
      <c r="AS4190" s="119"/>
      <c r="AT4190" s="118">
        <f t="shared" ref="AT4190" si="4357">AR4190*0.1</f>
        <v>128500</v>
      </c>
      <c r="AU4190" s="119"/>
      <c r="AV4190" s="118">
        <v>17600</v>
      </c>
      <c r="AW4190" s="119"/>
      <c r="AX4190" s="118">
        <f t="shared" ref="AX4190" si="4358">SUM(AR4190:AW4190)</f>
        <v>1431100</v>
      </c>
      <c r="AY4190" s="119"/>
      <c r="AZ4190" s="137">
        <v>46008</v>
      </c>
    </row>
    <row r="4191" spans="1:52" ht="17.100000000000001" customHeight="1" thickBot="1">
      <c r="A4191" s="110"/>
      <c r="B4191" s="27" t="s">
        <v>2774</v>
      </c>
      <c r="C4191" s="27">
        <v>80253</v>
      </c>
      <c r="D4191" s="14" t="s">
        <v>1592</v>
      </c>
      <c r="E4191" s="112"/>
      <c r="F4191" s="139" t="s">
        <v>13367</v>
      </c>
      <c r="G4191" s="140"/>
      <c r="H4191" s="141"/>
      <c r="I4191" s="26">
        <v>59038</v>
      </c>
      <c r="J4191" s="117"/>
      <c r="K4191" s="120"/>
      <c r="L4191" s="121"/>
      <c r="M4191" s="120"/>
      <c r="N4191" s="121"/>
      <c r="O4191" s="120"/>
      <c r="P4191" s="121"/>
      <c r="Q4191" s="120"/>
      <c r="R4191" s="121"/>
      <c r="S4191" s="120"/>
      <c r="T4191" s="121"/>
      <c r="U4191" s="120"/>
      <c r="V4191" s="123"/>
      <c r="W4191" s="125"/>
      <c r="X4191" s="142" t="s">
        <v>13383</v>
      </c>
      <c r="Y4191" s="143"/>
      <c r="Z4191" s="143"/>
      <c r="AA4191" s="143"/>
      <c r="AB4191" s="144"/>
      <c r="AC4191" s="16" t="s">
        <v>21</v>
      </c>
      <c r="AD4191" s="17" t="s">
        <v>3445</v>
      </c>
      <c r="AE4191" s="145" t="s">
        <v>1690</v>
      </c>
      <c r="AF4191" s="146"/>
      <c r="AG4191" s="146"/>
      <c r="AH4191" s="146"/>
      <c r="AI4191" s="147"/>
      <c r="AJ4191" s="148"/>
      <c r="AK4191" s="143"/>
      <c r="AL4191" s="144"/>
      <c r="AM4191" s="22"/>
      <c r="AN4191" s="149" t="s">
        <v>2511</v>
      </c>
      <c r="AO4191" s="144"/>
      <c r="AP4191" s="148">
        <v>80092</v>
      </c>
      <c r="AQ4191" s="144"/>
      <c r="AR4191" s="120"/>
      <c r="AS4191" s="121"/>
      <c r="AT4191" s="120"/>
      <c r="AU4191" s="121"/>
      <c r="AV4191" s="120"/>
      <c r="AW4191" s="121"/>
      <c r="AX4191" s="120"/>
      <c r="AY4191" s="121"/>
      <c r="AZ4191" s="138"/>
    </row>
    <row r="4192" spans="1:52" ht="17.100000000000001" customHeight="1" thickTop="1">
      <c r="A4192" s="109" t="s">
        <v>12786</v>
      </c>
      <c r="B4192" s="28">
        <v>45999</v>
      </c>
      <c r="C4192" s="25"/>
      <c r="D4192" s="13" t="s">
        <v>1853</v>
      </c>
      <c r="E4192" s="111"/>
      <c r="F4192" s="113" t="s">
        <v>12736</v>
      </c>
      <c r="G4192" s="114"/>
      <c r="H4192" s="115"/>
      <c r="I4192" s="24"/>
      <c r="J4192" s="116">
        <v>4</v>
      </c>
      <c r="K4192" s="118">
        <v>1422000</v>
      </c>
      <c r="L4192" s="119"/>
      <c r="M4192" s="118">
        <f t="shared" ref="M4192" si="4359">K4192*0.1</f>
        <v>142200</v>
      </c>
      <c r="N4192" s="119"/>
      <c r="O4192" s="118">
        <v>0</v>
      </c>
      <c r="P4192" s="119"/>
      <c r="Q4192" s="118">
        <v>15420</v>
      </c>
      <c r="R4192" s="119"/>
      <c r="S4192" s="118">
        <v>14850</v>
      </c>
      <c r="T4192" s="119"/>
      <c r="U4192" s="118">
        <f t="shared" ref="U4192" si="4360">SUM(K4192:T4193)</f>
        <v>1594470</v>
      </c>
      <c r="V4192" s="122"/>
      <c r="W4192" s="124"/>
      <c r="X4192" s="126" t="s">
        <v>13380</v>
      </c>
      <c r="Y4192" s="127"/>
      <c r="Z4192" s="127"/>
      <c r="AA4192" s="127"/>
      <c r="AB4192" s="128"/>
      <c r="AC4192" s="15" t="s">
        <v>20</v>
      </c>
      <c r="AD4192" s="129"/>
      <c r="AE4192" s="130"/>
      <c r="AF4192" s="130"/>
      <c r="AG4192" s="130"/>
      <c r="AH4192" s="130"/>
      <c r="AI4192" s="131"/>
      <c r="AJ4192" s="132"/>
      <c r="AK4192" s="127"/>
      <c r="AL4192" s="128"/>
      <c r="AM4192" s="21"/>
      <c r="AN4192" s="133">
        <v>46004</v>
      </c>
      <c r="AO4192" s="134"/>
      <c r="AP4192" s="135">
        <v>1280</v>
      </c>
      <c r="AQ4192" s="136"/>
      <c r="AR4192" s="118">
        <v>1565000</v>
      </c>
      <c r="AS4192" s="119"/>
      <c r="AT4192" s="118">
        <f t="shared" ref="AT4192" si="4361">AR4192*0.1</f>
        <v>156500</v>
      </c>
      <c r="AU4192" s="119"/>
      <c r="AV4192" s="118">
        <v>15420</v>
      </c>
      <c r="AW4192" s="119"/>
      <c r="AX4192" s="118">
        <f t="shared" ref="AX4192" si="4362">SUM(AR4192:AW4192)</f>
        <v>1736920</v>
      </c>
      <c r="AY4192" s="119"/>
      <c r="AZ4192" s="137">
        <v>46008</v>
      </c>
    </row>
    <row r="4193" spans="1:52" ht="17.100000000000001" customHeight="1" thickBot="1">
      <c r="A4193" s="110"/>
      <c r="B4193" s="27" t="s">
        <v>2774</v>
      </c>
      <c r="C4193" s="27">
        <v>80260</v>
      </c>
      <c r="D4193" s="14" t="s">
        <v>1592</v>
      </c>
      <c r="E4193" s="112"/>
      <c r="F4193" s="139" t="s">
        <v>13366</v>
      </c>
      <c r="G4193" s="140"/>
      <c r="H4193" s="141"/>
      <c r="I4193" s="26">
        <v>53129</v>
      </c>
      <c r="J4193" s="117"/>
      <c r="K4193" s="120"/>
      <c r="L4193" s="121"/>
      <c r="M4193" s="120"/>
      <c r="N4193" s="121"/>
      <c r="O4193" s="120"/>
      <c r="P4193" s="121"/>
      <c r="Q4193" s="120"/>
      <c r="R4193" s="121"/>
      <c r="S4193" s="120"/>
      <c r="T4193" s="121"/>
      <c r="U4193" s="120"/>
      <c r="V4193" s="123"/>
      <c r="W4193" s="125"/>
      <c r="X4193" s="142" t="s">
        <v>2776</v>
      </c>
      <c r="Y4193" s="143"/>
      <c r="Z4193" s="143"/>
      <c r="AA4193" s="143"/>
      <c r="AB4193" s="144"/>
      <c r="AC4193" s="16" t="s">
        <v>21</v>
      </c>
      <c r="AD4193" s="17" t="s">
        <v>3445</v>
      </c>
      <c r="AE4193" s="145" t="s">
        <v>1690</v>
      </c>
      <c r="AF4193" s="146"/>
      <c r="AG4193" s="146"/>
      <c r="AH4193" s="146"/>
      <c r="AI4193" s="147"/>
      <c r="AJ4193" s="148"/>
      <c r="AK4193" s="143"/>
      <c r="AL4193" s="144"/>
      <c r="AM4193" s="22"/>
      <c r="AN4193" s="149" t="s">
        <v>2511</v>
      </c>
      <c r="AO4193" s="144"/>
      <c r="AP4193" s="148">
        <v>80087</v>
      </c>
      <c r="AQ4193" s="144"/>
      <c r="AR4193" s="120"/>
      <c r="AS4193" s="121"/>
      <c r="AT4193" s="120"/>
      <c r="AU4193" s="121"/>
      <c r="AV4193" s="120"/>
      <c r="AW4193" s="121"/>
      <c r="AX4193" s="120"/>
      <c r="AY4193" s="121"/>
      <c r="AZ4193" s="138"/>
    </row>
    <row r="4194" spans="1:52" ht="17.100000000000001" customHeight="1" thickTop="1">
      <c r="A4194" s="109" t="s">
        <v>12787</v>
      </c>
      <c r="B4194" s="28">
        <v>45999</v>
      </c>
      <c r="C4194" s="25"/>
      <c r="D4194" s="13" t="s">
        <v>859</v>
      </c>
      <c r="E4194" s="111"/>
      <c r="F4194" s="113" t="s">
        <v>12737</v>
      </c>
      <c r="G4194" s="114"/>
      <c r="H4194" s="115"/>
      <c r="I4194" s="24"/>
      <c r="J4194" s="116">
        <v>4.5</v>
      </c>
      <c r="K4194" s="118">
        <v>1219000</v>
      </c>
      <c r="L4194" s="119"/>
      <c r="M4194" s="118">
        <f t="shared" ref="M4194" si="4363">K4194*0.1</f>
        <v>121900</v>
      </c>
      <c r="N4194" s="119"/>
      <c r="O4194" s="118">
        <v>0</v>
      </c>
      <c r="P4194" s="119"/>
      <c r="Q4194" s="118">
        <v>11810</v>
      </c>
      <c r="R4194" s="119"/>
      <c r="S4194" s="118">
        <v>14850</v>
      </c>
      <c r="T4194" s="119"/>
      <c r="U4194" s="118">
        <f t="shared" ref="U4194" si="4364">SUM(K4194:T4195)</f>
        <v>1367560</v>
      </c>
      <c r="V4194" s="122"/>
      <c r="W4194" s="124"/>
      <c r="X4194" s="126" t="s">
        <v>13385</v>
      </c>
      <c r="Y4194" s="127"/>
      <c r="Z4194" s="127"/>
      <c r="AA4194" s="127"/>
      <c r="AB4194" s="128"/>
      <c r="AC4194" s="15" t="s">
        <v>20</v>
      </c>
      <c r="AD4194" s="129" t="s">
        <v>1670</v>
      </c>
      <c r="AE4194" s="130"/>
      <c r="AF4194" s="130"/>
      <c r="AG4194" s="130"/>
      <c r="AH4194" s="130"/>
      <c r="AI4194" s="131"/>
      <c r="AJ4194" s="132"/>
      <c r="AK4194" s="127"/>
      <c r="AL4194" s="128"/>
      <c r="AM4194" s="21"/>
      <c r="AN4194" s="133">
        <v>46004</v>
      </c>
      <c r="AO4194" s="134"/>
      <c r="AP4194" s="135">
        <v>1280</v>
      </c>
      <c r="AQ4194" s="136"/>
      <c r="AR4194" s="118">
        <v>1530000</v>
      </c>
      <c r="AS4194" s="119"/>
      <c r="AT4194" s="118">
        <f t="shared" ref="AT4194" si="4365">AR4194*0.1</f>
        <v>153000</v>
      </c>
      <c r="AU4194" s="119"/>
      <c r="AV4194" s="118">
        <v>11810</v>
      </c>
      <c r="AW4194" s="119"/>
      <c r="AX4194" s="118">
        <f t="shared" ref="AX4194" si="4366">SUM(AR4194:AW4194)</f>
        <v>1694810</v>
      </c>
      <c r="AY4194" s="119"/>
      <c r="AZ4194" s="137">
        <v>46008</v>
      </c>
    </row>
    <row r="4195" spans="1:52" ht="17.100000000000001" customHeight="1" thickBot="1">
      <c r="A4195" s="110"/>
      <c r="B4195" s="27" t="s">
        <v>2774</v>
      </c>
      <c r="C4195" s="27">
        <v>80263</v>
      </c>
      <c r="D4195" s="14" t="s">
        <v>1592</v>
      </c>
      <c r="E4195" s="112"/>
      <c r="F4195" s="139" t="s">
        <v>13384</v>
      </c>
      <c r="G4195" s="140"/>
      <c r="H4195" s="141"/>
      <c r="I4195" s="26">
        <v>25153</v>
      </c>
      <c r="J4195" s="117"/>
      <c r="K4195" s="120"/>
      <c r="L4195" s="121"/>
      <c r="M4195" s="120"/>
      <c r="N4195" s="121"/>
      <c r="O4195" s="120"/>
      <c r="P4195" s="121"/>
      <c r="Q4195" s="120"/>
      <c r="R4195" s="121"/>
      <c r="S4195" s="120"/>
      <c r="T4195" s="121"/>
      <c r="U4195" s="120"/>
      <c r="V4195" s="123"/>
      <c r="W4195" s="125"/>
      <c r="X4195" s="142" t="s">
        <v>3300</v>
      </c>
      <c r="Y4195" s="143"/>
      <c r="Z4195" s="143"/>
      <c r="AA4195" s="143"/>
      <c r="AB4195" s="144"/>
      <c r="AC4195" s="16" t="s">
        <v>21</v>
      </c>
      <c r="AD4195" s="17" t="s">
        <v>3445</v>
      </c>
      <c r="AE4195" s="145" t="s">
        <v>1633</v>
      </c>
      <c r="AF4195" s="146"/>
      <c r="AG4195" s="146"/>
      <c r="AH4195" s="146"/>
      <c r="AI4195" s="147"/>
      <c r="AJ4195" s="148"/>
      <c r="AK4195" s="143"/>
      <c r="AL4195" s="144"/>
      <c r="AM4195" s="22"/>
      <c r="AN4195" s="149" t="s">
        <v>2511</v>
      </c>
      <c r="AO4195" s="144"/>
      <c r="AP4195" s="148">
        <v>80366</v>
      </c>
      <c r="AQ4195" s="144"/>
      <c r="AR4195" s="120"/>
      <c r="AS4195" s="121"/>
      <c r="AT4195" s="120"/>
      <c r="AU4195" s="121"/>
      <c r="AV4195" s="120"/>
      <c r="AW4195" s="121"/>
      <c r="AX4195" s="120"/>
      <c r="AY4195" s="121"/>
      <c r="AZ4195" s="138"/>
    </row>
    <row r="4196" spans="1:52" ht="17.100000000000001" customHeight="1" thickTop="1">
      <c r="A4196" s="109" t="s">
        <v>12788</v>
      </c>
      <c r="B4196" s="28">
        <v>45999</v>
      </c>
      <c r="C4196" s="25"/>
      <c r="D4196" s="13" t="s">
        <v>2348</v>
      </c>
      <c r="E4196" s="111"/>
      <c r="F4196" s="113" t="s">
        <v>12741</v>
      </c>
      <c r="G4196" s="114"/>
      <c r="H4196" s="115"/>
      <c r="I4196" s="24"/>
      <c r="J4196" s="116">
        <v>4</v>
      </c>
      <c r="K4196" s="118">
        <v>1283000</v>
      </c>
      <c r="L4196" s="119"/>
      <c r="M4196" s="118">
        <f t="shared" ref="M4196" si="4367">K4196*0.1</f>
        <v>128300</v>
      </c>
      <c r="N4196" s="119"/>
      <c r="O4196" s="118">
        <v>0</v>
      </c>
      <c r="P4196" s="119"/>
      <c r="Q4196" s="118">
        <v>15280</v>
      </c>
      <c r="R4196" s="119"/>
      <c r="S4196" s="118">
        <v>15950</v>
      </c>
      <c r="T4196" s="119"/>
      <c r="U4196" s="118">
        <f t="shared" ref="U4196" si="4368">SUM(K4196:T4197)</f>
        <v>1442530</v>
      </c>
      <c r="V4196" s="122"/>
      <c r="W4196" s="124"/>
      <c r="X4196" s="126" t="s">
        <v>13535</v>
      </c>
      <c r="Y4196" s="127"/>
      <c r="Z4196" s="127"/>
      <c r="AA4196" s="127"/>
      <c r="AB4196" s="128"/>
      <c r="AC4196" s="15" t="s">
        <v>20</v>
      </c>
      <c r="AD4196" s="129"/>
      <c r="AE4196" s="130"/>
      <c r="AF4196" s="130"/>
      <c r="AG4196" s="130"/>
      <c r="AH4196" s="130"/>
      <c r="AI4196" s="131"/>
      <c r="AJ4196" s="132"/>
      <c r="AK4196" s="127"/>
      <c r="AL4196" s="128"/>
      <c r="AM4196" s="21"/>
      <c r="AN4196" s="133">
        <v>46053</v>
      </c>
      <c r="AO4196" s="134"/>
      <c r="AP4196" s="135">
        <v>1286</v>
      </c>
      <c r="AQ4196" s="136"/>
      <c r="AR4196" s="118">
        <v>1380000</v>
      </c>
      <c r="AS4196" s="119"/>
      <c r="AT4196" s="118">
        <f t="shared" ref="AT4196" si="4369">AR4196*0.1</f>
        <v>138000</v>
      </c>
      <c r="AU4196" s="119"/>
      <c r="AV4196" s="118">
        <v>15200</v>
      </c>
      <c r="AW4196" s="119"/>
      <c r="AX4196" s="118">
        <f t="shared" ref="AX4196" si="4370">SUM(AR4196:AW4196)</f>
        <v>1533200</v>
      </c>
      <c r="AY4196" s="119"/>
      <c r="AZ4196" s="137">
        <v>46056</v>
      </c>
    </row>
    <row r="4197" spans="1:52" ht="17.100000000000001" customHeight="1" thickBot="1">
      <c r="A4197" s="110"/>
      <c r="B4197" s="27" t="s">
        <v>12740</v>
      </c>
      <c r="C4197" s="27">
        <v>30031</v>
      </c>
      <c r="D4197" s="14" t="s">
        <v>904</v>
      </c>
      <c r="E4197" s="112"/>
      <c r="F4197" s="139" t="s">
        <v>13534</v>
      </c>
      <c r="G4197" s="140"/>
      <c r="H4197" s="141"/>
      <c r="I4197" s="26">
        <v>44738</v>
      </c>
      <c r="J4197" s="117"/>
      <c r="K4197" s="120"/>
      <c r="L4197" s="121"/>
      <c r="M4197" s="120"/>
      <c r="N4197" s="121"/>
      <c r="O4197" s="120"/>
      <c r="P4197" s="121"/>
      <c r="Q4197" s="120"/>
      <c r="R4197" s="121"/>
      <c r="S4197" s="120"/>
      <c r="T4197" s="121"/>
      <c r="U4197" s="120"/>
      <c r="V4197" s="123"/>
      <c r="W4197" s="125"/>
      <c r="X4197" s="142" t="s">
        <v>13536</v>
      </c>
      <c r="Y4197" s="143"/>
      <c r="Z4197" s="143"/>
      <c r="AA4197" s="143"/>
      <c r="AB4197" s="144"/>
      <c r="AC4197" s="16" t="s">
        <v>21</v>
      </c>
      <c r="AD4197" s="17" t="s">
        <v>1757</v>
      </c>
      <c r="AE4197" s="145" t="s">
        <v>7861</v>
      </c>
      <c r="AF4197" s="146"/>
      <c r="AG4197" s="146"/>
      <c r="AH4197" s="146"/>
      <c r="AI4197" s="147"/>
      <c r="AJ4197" s="148"/>
      <c r="AK4197" s="143"/>
      <c r="AL4197" s="144"/>
      <c r="AM4197" s="22"/>
      <c r="AN4197" s="149" t="s">
        <v>2511</v>
      </c>
      <c r="AO4197" s="144"/>
      <c r="AP4197" s="148">
        <v>80182</v>
      </c>
      <c r="AQ4197" s="144"/>
      <c r="AR4197" s="120"/>
      <c r="AS4197" s="121"/>
      <c r="AT4197" s="120"/>
      <c r="AU4197" s="121"/>
      <c r="AV4197" s="120"/>
      <c r="AW4197" s="121"/>
      <c r="AX4197" s="120"/>
      <c r="AY4197" s="121"/>
      <c r="AZ4197" s="138"/>
    </row>
    <row r="4198" spans="1:52" ht="17.100000000000001" customHeight="1" thickTop="1">
      <c r="A4198" s="109" t="s">
        <v>12789</v>
      </c>
      <c r="B4198" s="28">
        <v>45999</v>
      </c>
      <c r="C4198" s="25"/>
      <c r="D4198" s="13" t="s">
        <v>1977</v>
      </c>
      <c r="E4198" s="111"/>
      <c r="F4198" s="113" t="s">
        <v>12738</v>
      </c>
      <c r="G4198" s="114"/>
      <c r="H4198" s="115"/>
      <c r="I4198" s="24" t="s">
        <v>4109</v>
      </c>
      <c r="J4198" s="116">
        <v>4</v>
      </c>
      <c r="K4198" s="118">
        <v>861000</v>
      </c>
      <c r="L4198" s="119"/>
      <c r="M4198" s="118">
        <f t="shared" ref="M4198" si="4371">K4198*0.1</f>
        <v>86100</v>
      </c>
      <c r="N4198" s="119"/>
      <c r="O4198" s="118">
        <f>8600+860</f>
        <v>9460</v>
      </c>
      <c r="P4198" s="119"/>
      <c r="Q4198" s="118">
        <v>11810</v>
      </c>
      <c r="R4198" s="119"/>
      <c r="S4198" s="118">
        <v>15950</v>
      </c>
      <c r="T4198" s="119"/>
      <c r="U4198" s="118">
        <f t="shared" ref="U4198" si="4372">SUM(K4198:T4199)</f>
        <v>984320</v>
      </c>
      <c r="V4198" s="122"/>
      <c r="W4198" s="124"/>
      <c r="X4198" s="126" t="s">
        <v>12739</v>
      </c>
      <c r="Y4198" s="127"/>
      <c r="Z4198" s="127"/>
      <c r="AA4198" s="127"/>
      <c r="AB4198" s="128"/>
      <c r="AC4198" s="15" t="s">
        <v>20</v>
      </c>
      <c r="AD4198" s="129" t="s">
        <v>1670</v>
      </c>
      <c r="AE4198" s="130"/>
      <c r="AF4198" s="130"/>
      <c r="AG4198" s="130"/>
      <c r="AH4198" s="130"/>
      <c r="AI4198" s="131"/>
      <c r="AJ4198" s="132"/>
      <c r="AK4198" s="127"/>
      <c r="AL4198" s="128"/>
      <c r="AM4198" s="21"/>
      <c r="AN4198" s="133">
        <v>46004</v>
      </c>
      <c r="AO4198" s="134"/>
      <c r="AP4198" s="135">
        <v>1280</v>
      </c>
      <c r="AQ4198" s="136"/>
      <c r="AR4198" s="118">
        <v>1080000</v>
      </c>
      <c r="AS4198" s="119"/>
      <c r="AT4198" s="118">
        <f t="shared" ref="AT4198" si="4373">AR4198*0.1</f>
        <v>108000</v>
      </c>
      <c r="AU4198" s="119"/>
      <c r="AV4198" s="118">
        <v>11810</v>
      </c>
      <c r="AW4198" s="119"/>
      <c r="AX4198" s="118">
        <f t="shared" ref="AX4198" si="4374">SUM(AR4198:AW4198)</f>
        <v>1199810</v>
      </c>
      <c r="AY4198" s="119"/>
      <c r="AZ4198" s="137">
        <v>46008</v>
      </c>
    </row>
    <row r="4199" spans="1:52" ht="17.100000000000001" customHeight="1" thickBot="1">
      <c r="A4199" s="110"/>
      <c r="B4199" s="27" t="s">
        <v>3724</v>
      </c>
      <c r="C4199" s="27">
        <v>50055</v>
      </c>
      <c r="D4199" s="14" t="s">
        <v>1592</v>
      </c>
      <c r="E4199" s="112"/>
      <c r="F4199" s="139" t="s">
        <v>13386</v>
      </c>
      <c r="G4199" s="140"/>
      <c r="H4199" s="141"/>
      <c r="I4199" s="26">
        <v>47167</v>
      </c>
      <c r="J4199" s="117"/>
      <c r="K4199" s="120"/>
      <c r="L4199" s="121"/>
      <c r="M4199" s="120"/>
      <c r="N4199" s="121"/>
      <c r="O4199" s="120"/>
      <c r="P4199" s="121"/>
      <c r="Q4199" s="120"/>
      <c r="R4199" s="121"/>
      <c r="S4199" s="120"/>
      <c r="T4199" s="121"/>
      <c r="U4199" s="120"/>
      <c r="V4199" s="123"/>
      <c r="W4199" s="125"/>
      <c r="X4199" s="142" t="s">
        <v>13387</v>
      </c>
      <c r="Y4199" s="143"/>
      <c r="Z4199" s="143"/>
      <c r="AA4199" s="143"/>
      <c r="AB4199" s="144"/>
      <c r="AC4199" s="16" t="s">
        <v>21</v>
      </c>
      <c r="AD4199" s="17" t="s">
        <v>3445</v>
      </c>
      <c r="AE4199" s="145" t="s">
        <v>1633</v>
      </c>
      <c r="AF4199" s="146"/>
      <c r="AG4199" s="146"/>
      <c r="AH4199" s="146"/>
      <c r="AI4199" s="147"/>
      <c r="AJ4199" s="148"/>
      <c r="AK4199" s="143"/>
      <c r="AL4199" s="144"/>
      <c r="AM4199" s="22"/>
      <c r="AN4199" s="149" t="s">
        <v>2511</v>
      </c>
      <c r="AO4199" s="144"/>
      <c r="AP4199" s="148">
        <v>80262</v>
      </c>
      <c r="AQ4199" s="144"/>
      <c r="AR4199" s="120"/>
      <c r="AS4199" s="121"/>
      <c r="AT4199" s="120"/>
      <c r="AU4199" s="121"/>
      <c r="AV4199" s="120"/>
      <c r="AW4199" s="121"/>
      <c r="AX4199" s="120"/>
      <c r="AY4199" s="121"/>
      <c r="AZ4199" s="138"/>
    </row>
    <row r="4200" spans="1:52" ht="17.100000000000001" customHeight="1" thickTop="1">
      <c r="A4200" s="109" t="s">
        <v>12790</v>
      </c>
      <c r="B4200" s="28">
        <v>45999</v>
      </c>
      <c r="C4200" s="25"/>
      <c r="D4200" s="13" t="s">
        <v>1831</v>
      </c>
      <c r="E4200" s="111"/>
      <c r="F4200" s="113" t="s">
        <v>1938</v>
      </c>
      <c r="G4200" s="114"/>
      <c r="H4200" s="115"/>
      <c r="I4200" s="24"/>
      <c r="J4200" s="116">
        <v>4</v>
      </c>
      <c r="K4200" s="118">
        <v>381000</v>
      </c>
      <c r="L4200" s="119"/>
      <c r="M4200" s="118">
        <f t="shared" ref="M4200" si="4375">K4200*0.1</f>
        <v>38100</v>
      </c>
      <c r="N4200" s="119"/>
      <c r="O4200" s="118">
        <v>0</v>
      </c>
      <c r="P4200" s="119"/>
      <c r="Q4200" s="118">
        <v>17700</v>
      </c>
      <c r="R4200" s="119"/>
      <c r="S4200" s="118">
        <v>15950</v>
      </c>
      <c r="T4200" s="119"/>
      <c r="U4200" s="118">
        <f t="shared" ref="U4200" si="4376">SUM(K4200:T4201)</f>
        <v>452750</v>
      </c>
      <c r="V4200" s="122"/>
      <c r="W4200" s="124"/>
      <c r="X4200" s="126" t="s">
        <v>13530</v>
      </c>
      <c r="Y4200" s="127"/>
      <c r="Z4200" s="127"/>
      <c r="AA4200" s="127"/>
      <c r="AB4200" s="128"/>
      <c r="AC4200" s="15" t="s">
        <v>20</v>
      </c>
      <c r="AD4200" s="129" t="s">
        <v>1575</v>
      </c>
      <c r="AE4200" s="130"/>
      <c r="AF4200" s="130"/>
      <c r="AG4200" s="130"/>
      <c r="AH4200" s="130"/>
      <c r="AI4200" s="131"/>
      <c r="AJ4200" s="132"/>
      <c r="AK4200" s="127"/>
      <c r="AL4200" s="128"/>
      <c r="AM4200" s="21"/>
      <c r="AN4200" s="133">
        <v>46004</v>
      </c>
      <c r="AO4200" s="134"/>
      <c r="AP4200" s="135">
        <v>1280</v>
      </c>
      <c r="AQ4200" s="136"/>
      <c r="AR4200" s="118">
        <v>535000</v>
      </c>
      <c r="AS4200" s="119"/>
      <c r="AT4200" s="118">
        <f t="shared" ref="AT4200" si="4377">AR4200*0.1</f>
        <v>53500</v>
      </c>
      <c r="AU4200" s="119"/>
      <c r="AV4200" s="118">
        <v>17700</v>
      </c>
      <c r="AW4200" s="119"/>
      <c r="AX4200" s="118">
        <f t="shared" ref="AX4200" si="4378">SUM(AR4200:AW4200)</f>
        <v>606200</v>
      </c>
      <c r="AY4200" s="119"/>
      <c r="AZ4200" s="137">
        <v>46009</v>
      </c>
    </row>
    <row r="4201" spans="1:52" ht="17.100000000000001" customHeight="1" thickBot="1">
      <c r="A4201" s="110"/>
      <c r="B4201" s="27" t="s">
        <v>3724</v>
      </c>
      <c r="C4201" s="27">
        <v>55247</v>
      </c>
      <c r="D4201" s="14" t="s">
        <v>275</v>
      </c>
      <c r="E4201" s="112"/>
      <c r="F4201" s="139" t="s">
        <v>13529</v>
      </c>
      <c r="G4201" s="140"/>
      <c r="H4201" s="141"/>
      <c r="I4201" s="26">
        <v>48403</v>
      </c>
      <c r="J4201" s="117"/>
      <c r="K4201" s="120"/>
      <c r="L4201" s="121"/>
      <c r="M4201" s="120"/>
      <c r="N4201" s="121"/>
      <c r="O4201" s="120"/>
      <c r="P4201" s="121"/>
      <c r="Q4201" s="120"/>
      <c r="R4201" s="121"/>
      <c r="S4201" s="120"/>
      <c r="T4201" s="121"/>
      <c r="U4201" s="120"/>
      <c r="V4201" s="123"/>
      <c r="W4201" s="125"/>
      <c r="X4201" s="142" t="s">
        <v>4167</v>
      </c>
      <c r="Y4201" s="143"/>
      <c r="Z4201" s="143"/>
      <c r="AA4201" s="143"/>
      <c r="AB4201" s="144"/>
      <c r="AC4201" s="16" t="s">
        <v>21</v>
      </c>
      <c r="AD4201" s="17" t="s">
        <v>1757</v>
      </c>
      <c r="AE4201" s="145" t="s">
        <v>13531</v>
      </c>
      <c r="AF4201" s="146"/>
      <c r="AG4201" s="146"/>
      <c r="AH4201" s="146"/>
      <c r="AI4201" s="147"/>
      <c r="AJ4201" s="148"/>
      <c r="AK4201" s="143"/>
      <c r="AL4201" s="144"/>
      <c r="AM4201" s="22"/>
      <c r="AN4201" s="149" t="s">
        <v>2511</v>
      </c>
      <c r="AO4201" s="144"/>
      <c r="AP4201" s="148">
        <v>80337</v>
      </c>
      <c r="AQ4201" s="144"/>
      <c r="AR4201" s="120"/>
      <c r="AS4201" s="121"/>
      <c r="AT4201" s="120"/>
      <c r="AU4201" s="121"/>
      <c r="AV4201" s="120"/>
      <c r="AW4201" s="121"/>
      <c r="AX4201" s="120"/>
      <c r="AY4201" s="121"/>
      <c r="AZ4201" s="138"/>
    </row>
    <row r="4202" spans="1:52" ht="17.100000000000001" customHeight="1" thickTop="1">
      <c r="A4202" s="109" t="s">
        <v>12791</v>
      </c>
      <c r="B4202" s="28">
        <v>45999</v>
      </c>
      <c r="C4202" s="25">
        <v>75</v>
      </c>
      <c r="D4202" s="13" t="s">
        <v>2458</v>
      </c>
      <c r="E4202" s="111"/>
      <c r="F4202" s="113" t="s">
        <v>4894</v>
      </c>
      <c r="G4202" s="114"/>
      <c r="H4202" s="115"/>
      <c r="I4202" s="24" t="s">
        <v>4096</v>
      </c>
      <c r="J4202" s="116">
        <v>4</v>
      </c>
      <c r="K4202" s="118">
        <v>805000</v>
      </c>
      <c r="L4202" s="119"/>
      <c r="M4202" s="118">
        <f t="shared" ref="M4202" si="4379">K4202*0.1</f>
        <v>80500</v>
      </c>
      <c r="N4202" s="119"/>
      <c r="O4202" s="118">
        <v>0</v>
      </c>
      <c r="P4202" s="119"/>
      <c r="Q4202" s="118">
        <v>9200</v>
      </c>
      <c r="R4202" s="119"/>
      <c r="S4202" s="118">
        <v>33000</v>
      </c>
      <c r="T4202" s="119"/>
      <c r="U4202" s="118">
        <f t="shared" ref="U4202" si="4380">SUM(K4202:T4203)</f>
        <v>927700</v>
      </c>
      <c r="V4202" s="122"/>
      <c r="W4202" s="124"/>
      <c r="X4202" s="126" t="s">
        <v>14406</v>
      </c>
      <c r="Y4202" s="127"/>
      <c r="Z4202" s="127"/>
      <c r="AA4202" s="127"/>
      <c r="AB4202" s="128"/>
      <c r="AC4202" s="15" t="s">
        <v>20</v>
      </c>
      <c r="AD4202" s="129" t="s">
        <v>11929</v>
      </c>
      <c r="AE4202" s="130"/>
      <c r="AF4202" s="130"/>
      <c r="AG4202" s="130"/>
      <c r="AH4202" s="130"/>
      <c r="AI4202" s="131"/>
      <c r="AJ4202" s="132"/>
      <c r="AK4202" s="127"/>
      <c r="AL4202" s="128"/>
      <c r="AM4202" s="21" t="s">
        <v>14515</v>
      </c>
      <c r="AN4202" s="133">
        <v>46035</v>
      </c>
      <c r="AO4202" s="134"/>
      <c r="AP4202" s="135">
        <v>1924</v>
      </c>
      <c r="AQ4202" s="136"/>
      <c r="AR4202" s="118">
        <v>1070000</v>
      </c>
      <c r="AS4202" s="119"/>
      <c r="AT4202" s="118">
        <f t="shared" ref="AT4202" si="4381">AR4202*0.1</f>
        <v>107000</v>
      </c>
      <c r="AU4202" s="119"/>
      <c r="AV4202" s="118">
        <v>9200</v>
      </c>
      <c r="AW4202" s="119"/>
      <c r="AX4202" s="118">
        <f t="shared" ref="AX4202" si="4382">SUM(AR4202:AW4202)</f>
        <v>1186200</v>
      </c>
      <c r="AY4202" s="119"/>
      <c r="AZ4202" s="137"/>
    </row>
    <row r="4203" spans="1:52" ht="17.100000000000001" customHeight="1" thickBot="1">
      <c r="A4203" s="110"/>
      <c r="B4203" s="27" t="s">
        <v>4544</v>
      </c>
      <c r="C4203" s="27">
        <v>1001</v>
      </c>
      <c r="D4203" s="14" t="s">
        <v>275</v>
      </c>
      <c r="E4203" s="112"/>
      <c r="F4203" s="139" t="s">
        <v>12745</v>
      </c>
      <c r="G4203" s="140"/>
      <c r="H4203" s="141"/>
      <c r="I4203" s="26">
        <v>54466</v>
      </c>
      <c r="J4203" s="117"/>
      <c r="K4203" s="120"/>
      <c r="L4203" s="121"/>
      <c r="M4203" s="120"/>
      <c r="N4203" s="121"/>
      <c r="O4203" s="120"/>
      <c r="P4203" s="121"/>
      <c r="Q4203" s="120"/>
      <c r="R4203" s="121"/>
      <c r="S4203" s="120"/>
      <c r="T4203" s="121"/>
      <c r="U4203" s="120"/>
      <c r="V4203" s="123"/>
      <c r="W4203" s="125"/>
      <c r="X4203" s="142" t="s">
        <v>14407</v>
      </c>
      <c r="Y4203" s="143"/>
      <c r="Z4203" s="143"/>
      <c r="AA4203" s="143"/>
      <c r="AB4203" s="144"/>
      <c r="AC4203" s="16" t="s">
        <v>21</v>
      </c>
      <c r="AD4203" s="17" t="s">
        <v>14399</v>
      </c>
      <c r="AE4203" s="145" t="s">
        <v>14408</v>
      </c>
      <c r="AF4203" s="146"/>
      <c r="AG4203" s="146"/>
      <c r="AH4203" s="146"/>
      <c r="AI4203" s="147"/>
      <c r="AJ4203" s="148"/>
      <c r="AK4203" s="143"/>
      <c r="AL4203" s="144"/>
      <c r="AM4203" s="22"/>
      <c r="AN4203" s="149" t="s">
        <v>2131</v>
      </c>
      <c r="AO4203" s="144"/>
      <c r="AP4203" s="148">
        <v>3039</v>
      </c>
      <c r="AQ4203" s="144"/>
      <c r="AR4203" s="120"/>
      <c r="AS4203" s="121"/>
      <c r="AT4203" s="120"/>
      <c r="AU4203" s="121"/>
      <c r="AV4203" s="120"/>
      <c r="AW4203" s="121"/>
      <c r="AX4203" s="120"/>
      <c r="AY4203" s="121"/>
      <c r="AZ4203" s="138"/>
    </row>
    <row r="4204" spans="1:52" ht="17.100000000000001" customHeight="1" thickTop="1">
      <c r="A4204" s="109" t="s">
        <v>12792</v>
      </c>
      <c r="B4204" s="28">
        <v>45999</v>
      </c>
      <c r="C4204" s="25">
        <v>75</v>
      </c>
      <c r="D4204" s="13" t="s">
        <v>2179</v>
      </c>
      <c r="E4204" s="111"/>
      <c r="F4204" s="113" t="s">
        <v>12752</v>
      </c>
      <c r="G4204" s="114"/>
      <c r="H4204" s="115"/>
      <c r="I4204" s="24" t="s">
        <v>1547</v>
      </c>
      <c r="J4204" s="116">
        <v>4</v>
      </c>
      <c r="K4204" s="118">
        <v>940000</v>
      </c>
      <c r="L4204" s="119"/>
      <c r="M4204" s="118">
        <f t="shared" ref="M4204" si="4383">K4204*0.1</f>
        <v>94000</v>
      </c>
      <c r="N4204" s="119"/>
      <c r="O4204" s="118">
        <v>0</v>
      </c>
      <c r="P4204" s="119"/>
      <c r="Q4204" s="118">
        <v>9010</v>
      </c>
      <c r="R4204" s="119"/>
      <c r="S4204" s="118">
        <v>33000</v>
      </c>
      <c r="T4204" s="119"/>
      <c r="U4204" s="118">
        <f t="shared" ref="U4204" si="4384">SUM(K4204:T4205)</f>
        <v>1076010</v>
      </c>
      <c r="V4204" s="122"/>
      <c r="W4204" s="124"/>
      <c r="X4204" s="126" t="s">
        <v>14688</v>
      </c>
      <c r="Y4204" s="127"/>
      <c r="Z4204" s="127"/>
      <c r="AA4204" s="127"/>
      <c r="AB4204" s="128"/>
      <c r="AC4204" s="15" t="s">
        <v>20</v>
      </c>
      <c r="AD4204" s="129" t="s">
        <v>11397</v>
      </c>
      <c r="AE4204" s="130"/>
      <c r="AF4204" s="130"/>
      <c r="AG4204" s="130"/>
      <c r="AH4204" s="130"/>
      <c r="AI4204" s="131"/>
      <c r="AJ4204" s="132"/>
      <c r="AK4204" s="127"/>
      <c r="AL4204" s="128"/>
      <c r="AM4204" s="21" t="s">
        <v>15676</v>
      </c>
      <c r="AN4204" s="133">
        <v>46036</v>
      </c>
      <c r="AO4204" s="134"/>
      <c r="AP4204" s="135">
        <v>1000</v>
      </c>
      <c r="AQ4204" s="136"/>
      <c r="AR4204" s="118">
        <v>1030000</v>
      </c>
      <c r="AS4204" s="119"/>
      <c r="AT4204" s="118">
        <f t="shared" ref="AT4204" si="4385">AR4204*0.1</f>
        <v>103000</v>
      </c>
      <c r="AU4204" s="119"/>
      <c r="AV4204" s="118">
        <v>9010</v>
      </c>
      <c r="AW4204" s="119"/>
      <c r="AX4204" s="118">
        <f t="shared" ref="AX4204" si="4386">SUM(AR4204:AW4204)</f>
        <v>1142010</v>
      </c>
      <c r="AY4204" s="119"/>
      <c r="AZ4204" s="137">
        <v>46048</v>
      </c>
    </row>
    <row r="4205" spans="1:52" ht="17.100000000000001" customHeight="1" thickBot="1">
      <c r="A4205" s="110"/>
      <c r="B4205" s="27" t="s">
        <v>4544</v>
      </c>
      <c r="C4205" s="27">
        <v>1022</v>
      </c>
      <c r="D4205" s="14" t="s">
        <v>275</v>
      </c>
      <c r="E4205" s="112"/>
      <c r="F4205" s="139" t="s">
        <v>12746</v>
      </c>
      <c r="G4205" s="140"/>
      <c r="H4205" s="141"/>
      <c r="I4205" s="26">
        <v>84712</v>
      </c>
      <c r="J4205" s="117"/>
      <c r="K4205" s="120"/>
      <c r="L4205" s="121"/>
      <c r="M4205" s="120"/>
      <c r="N4205" s="121"/>
      <c r="O4205" s="120"/>
      <c r="P4205" s="121"/>
      <c r="Q4205" s="120"/>
      <c r="R4205" s="121"/>
      <c r="S4205" s="120"/>
      <c r="T4205" s="121"/>
      <c r="U4205" s="120"/>
      <c r="V4205" s="123"/>
      <c r="W4205" s="125"/>
      <c r="X4205" s="142" t="s">
        <v>14689</v>
      </c>
      <c r="Y4205" s="143"/>
      <c r="Z4205" s="143"/>
      <c r="AA4205" s="143"/>
      <c r="AB4205" s="144"/>
      <c r="AC4205" s="16" t="s">
        <v>21</v>
      </c>
      <c r="AD4205" s="17" t="s">
        <v>2949</v>
      </c>
      <c r="AE4205" s="145" t="s">
        <v>1633</v>
      </c>
      <c r="AF4205" s="146"/>
      <c r="AG4205" s="146"/>
      <c r="AH4205" s="146"/>
      <c r="AI4205" s="147"/>
      <c r="AJ4205" s="148"/>
      <c r="AK4205" s="143"/>
      <c r="AL4205" s="144"/>
      <c r="AM4205" s="22"/>
      <c r="AN4205" s="149" t="s">
        <v>2794</v>
      </c>
      <c r="AO4205" s="144"/>
      <c r="AP4205" s="148">
        <v>4007</v>
      </c>
      <c r="AQ4205" s="144"/>
      <c r="AR4205" s="120"/>
      <c r="AS4205" s="121"/>
      <c r="AT4205" s="120"/>
      <c r="AU4205" s="121"/>
      <c r="AV4205" s="120"/>
      <c r="AW4205" s="121"/>
      <c r="AX4205" s="120"/>
      <c r="AY4205" s="121"/>
      <c r="AZ4205" s="138"/>
    </row>
    <row r="4206" spans="1:52" ht="17.100000000000001" customHeight="1" thickTop="1">
      <c r="A4206" s="109" t="s">
        <v>12793</v>
      </c>
      <c r="B4206" s="28">
        <v>45999</v>
      </c>
      <c r="C4206" s="25">
        <v>75</v>
      </c>
      <c r="D4206" s="13" t="s">
        <v>1059</v>
      </c>
      <c r="E4206" s="111"/>
      <c r="F4206" s="113" t="s">
        <v>12747</v>
      </c>
      <c r="G4206" s="114"/>
      <c r="H4206" s="115"/>
      <c r="I4206" s="24" t="s">
        <v>4314</v>
      </c>
      <c r="J4206" s="116">
        <v>3.5</v>
      </c>
      <c r="K4206" s="118">
        <v>4195000</v>
      </c>
      <c r="L4206" s="119"/>
      <c r="M4206" s="118">
        <f t="shared" ref="M4206" si="4387">K4206*0.1</f>
        <v>419500</v>
      </c>
      <c r="N4206" s="119"/>
      <c r="O4206" s="118">
        <f>10800+1080</f>
        <v>11880</v>
      </c>
      <c r="P4206" s="119"/>
      <c r="Q4206" s="118">
        <v>14900</v>
      </c>
      <c r="R4206" s="119"/>
      <c r="S4206" s="118">
        <v>110000</v>
      </c>
      <c r="T4206" s="119"/>
      <c r="U4206" s="118">
        <f t="shared" ref="U4206" si="4388">SUM(K4206:T4207)</f>
        <v>4751280</v>
      </c>
      <c r="V4206" s="122"/>
      <c r="W4206" s="124"/>
      <c r="X4206" s="126" t="s">
        <v>14098</v>
      </c>
      <c r="Y4206" s="127"/>
      <c r="Z4206" s="127"/>
      <c r="AA4206" s="127"/>
      <c r="AB4206" s="128"/>
      <c r="AC4206" s="15" t="s">
        <v>20</v>
      </c>
      <c r="AD4206" s="129" t="s">
        <v>171</v>
      </c>
      <c r="AE4206" s="130"/>
      <c r="AF4206" s="130"/>
      <c r="AG4206" s="130"/>
      <c r="AH4206" s="130"/>
      <c r="AI4206" s="131"/>
      <c r="AJ4206" s="132"/>
      <c r="AK4206" s="127"/>
      <c r="AL4206" s="128"/>
      <c r="AM4206" s="21"/>
      <c r="AN4206" s="133">
        <v>46008</v>
      </c>
      <c r="AO4206" s="134"/>
      <c r="AP4206" s="135">
        <v>997</v>
      </c>
      <c r="AQ4206" s="136"/>
      <c r="AR4206" s="118">
        <v>4565000</v>
      </c>
      <c r="AS4206" s="119"/>
      <c r="AT4206" s="118">
        <f t="shared" ref="AT4206" si="4389">AR4206*0.1</f>
        <v>456500</v>
      </c>
      <c r="AU4206" s="119"/>
      <c r="AV4206" s="118">
        <v>14900</v>
      </c>
      <c r="AW4206" s="119"/>
      <c r="AX4206" s="118">
        <f t="shared" ref="AX4206" si="4390">SUM(AR4206:AW4206)</f>
        <v>5036400</v>
      </c>
      <c r="AY4206" s="119"/>
      <c r="AZ4206" s="137">
        <v>46017</v>
      </c>
    </row>
    <row r="4207" spans="1:52" ht="17.100000000000001" customHeight="1" thickBot="1">
      <c r="A4207" s="110"/>
      <c r="B4207" s="27" t="s">
        <v>4544</v>
      </c>
      <c r="C4207" s="27">
        <v>1024</v>
      </c>
      <c r="D4207" s="14" t="s">
        <v>275</v>
      </c>
      <c r="E4207" s="112"/>
      <c r="F4207" s="139" t="s">
        <v>12748</v>
      </c>
      <c r="G4207" s="140"/>
      <c r="H4207" s="141"/>
      <c r="I4207" s="26">
        <v>55887</v>
      </c>
      <c r="J4207" s="117"/>
      <c r="K4207" s="120"/>
      <c r="L4207" s="121"/>
      <c r="M4207" s="120"/>
      <c r="N4207" s="121"/>
      <c r="O4207" s="120"/>
      <c r="P4207" s="121"/>
      <c r="Q4207" s="120"/>
      <c r="R4207" s="121"/>
      <c r="S4207" s="120"/>
      <c r="T4207" s="121"/>
      <c r="U4207" s="120"/>
      <c r="V4207" s="123"/>
      <c r="W4207" s="125"/>
      <c r="X4207" s="142" t="s">
        <v>5250</v>
      </c>
      <c r="Y4207" s="143"/>
      <c r="Z4207" s="143"/>
      <c r="AA4207" s="143"/>
      <c r="AB4207" s="144"/>
      <c r="AC4207" s="16" t="s">
        <v>21</v>
      </c>
      <c r="AD4207" s="17" t="s">
        <v>3980</v>
      </c>
      <c r="AE4207" s="145" t="s">
        <v>8818</v>
      </c>
      <c r="AF4207" s="146"/>
      <c r="AG4207" s="146"/>
      <c r="AH4207" s="146"/>
      <c r="AI4207" s="147"/>
      <c r="AJ4207" s="148"/>
      <c r="AK4207" s="143"/>
      <c r="AL4207" s="144"/>
      <c r="AM4207" s="22"/>
      <c r="AN4207" s="149" t="s">
        <v>2794</v>
      </c>
      <c r="AO4207" s="144"/>
      <c r="AP4207" s="148">
        <v>1099</v>
      </c>
      <c r="AQ4207" s="144"/>
      <c r="AR4207" s="120"/>
      <c r="AS4207" s="121"/>
      <c r="AT4207" s="120"/>
      <c r="AU4207" s="121"/>
      <c r="AV4207" s="120"/>
      <c r="AW4207" s="121"/>
      <c r="AX4207" s="120"/>
      <c r="AY4207" s="121"/>
      <c r="AZ4207" s="138"/>
    </row>
    <row r="4208" spans="1:52" ht="17.100000000000001" customHeight="1" thickTop="1">
      <c r="A4208" s="151" t="s">
        <v>12794</v>
      </c>
      <c r="B4208" s="28">
        <v>45999</v>
      </c>
      <c r="C4208" s="25">
        <v>75</v>
      </c>
      <c r="D4208" s="13" t="s">
        <v>1640</v>
      </c>
      <c r="E4208" s="111"/>
      <c r="F4208" s="113" t="s">
        <v>7158</v>
      </c>
      <c r="G4208" s="114"/>
      <c r="H4208" s="115"/>
      <c r="I4208" s="24" t="s">
        <v>3399</v>
      </c>
      <c r="J4208" s="116">
        <v>4.5</v>
      </c>
      <c r="K4208" s="118">
        <v>720000</v>
      </c>
      <c r="L4208" s="119"/>
      <c r="M4208" s="118">
        <f t="shared" ref="M4208" si="4391">K4208*0.1</f>
        <v>72000</v>
      </c>
      <c r="N4208" s="119"/>
      <c r="O4208" s="118">
        <v>0</v>
      </c>
      <c r="P4208" s="119"/>
      <c r="Q4208" s="118">
        <v>8230</v>
      </c>
      <c r="R4208" s="119"/>
      <c r="S4208" s="118">
        <v>33000</v>
      </c>
      <c r="T4208" s="119"/>
      <c r="U4208" s="118">
        <f t="shared" ref="U4208" si="4392">SUM(K4208:T4209)</f>
        <v>833230</v>
      </c>
      <c r="V4208" s="122"/>
      <c r="W4208" s="124"/>
      <c r="X4208" s="126" t="s">
        <v>14690</v>
      </c>
      <c r="Y4208" s="127"/>
      <c r="Z4208" s="127"/>
      <c r="AA4208" s="127"/>
      <c r="AB4208" s="128"/>
      <c r="AC4208" s="15" t="s">
        <v>20</v>
      </c>
      <c r="AD4208" s="129" t="s">
        <v>11397</v>
      </c>
      <c r="AE4208" s="130"/>
      <c r="AF4208" s="130"/>
      <c r="AG4208" s="130"/>
      <c r="AH4208" s="130"/>
      <c r="AI4208" s="131"/>
      <c r="AJ4208" s="132"/>
      <c r="AK4208" s="127"/>
      <c r="AL4208" s="128"/>
      <c r="AM4208" s="21"/>
      <c r="AN4208" s="133">
        <v>46032</v>
      </c>
      <c r="AO4208" s="134"/>
      <c r="AP4208" s="135">
        <v>1283</v>
      </c>
      <c r="AQ4208" s="136"/>
      <c r="AR4208" s="118">
        <v>880000</v>
      </c>
      <c r="AS4208" s="119"/>
      <c r="AT4208" s="118">
        <f t="shared" ref="AT4208" si="4393">AR4208*0.1</f>
        <v>88000</v>
      </c>
      <c r="AU4208" s="119"/>
      <c r="AV4208" s="118">
        <v>8230</v>
      </c>
      <c r="AW4208" s="119"/>
      <c r="AX4208" s="118">
        <f t="shared" ref="AX4208" si="4394">SUM(AR4208:AW4208)</f>
        <v>976230</v>
      </c>
      <c r="AY4208" s="119"/>
      <c r="AZ4208" s="137">
        <v>46042</v>
      </c>
    </row>
    <row r="4209" spans="1:52" ht="17.100000000000001" customHeight="1" thickBot="1">
      <c r="A4209" s="152"/>
      <c r="B4209" s="27" t="s">
        <v>4544</v>
      </c>
      <c r="C4209" s="27">
        <v>1028</v>
      </c>
      <c r="D4209" s="14" t="s">
        <v>2601</v>
      </c>
      <c r="E4209" s="112"/>
      <c r="F4209" s="139" t="s">
        <v>12749</v>
      </c>
      <c r="G4209" s="140"/>
      <c r="H4209" s="141"/>
      <c r="I4209" s="26">
        <v>45672</v>
      </c>
      <c r="J4209" s="117"/>
      <c r="K4209" s="120"/>
      <c r="L4209" s="121"/>
      <c r="M4209" s="120"/>
      <c r="N4209" s="121"/>
      <c r="O4209" s="120"/>
      <c r="P4209" s="121"/>
      <c r="Q4209" s="120"/>
      <c r="R4209" s="121"/>
      <c r="S4209" s="120"/>
      <c r="T4209" s="121"/>
      <c r="U4209" s="120"/>
      <c r="V4209" s="123"/>
      <c r="W4209" s="125"/>
      <c r="X4209" s="142" t="s">
        <v>14691</v>
      </c>
      <c r="Y4209" s="143"/>
      <c r="Z4209" s="143"/>
      <c r="AA4209" s="143"/>
      <c r="AB4209" s="144"/>
      <c r="AC4209" s="16" t="s">
        <v>21</v>
      </c>
      <c r="AD4209" s="17" t="s">
        <v>2949</v>
      </c>
      <c r="AE4209" s="145" t="s">
        <v>9504</v>
      </c>
      <c r="AF4209" s="146"/>
      <c r="AG4209" s="146"/>
      <c r="AH4209" s="146"/>
      <c r="AI4209" s="147"/>
      <c r="AJ4209" s="148"/>
      <c r="AK4209" s="143"/>
      <c r="AL4209" s="144"/>
      <c r="AM4209" s="22"/>
      <c r="AN4209" s="149" t="s">
        <v>2511</v>
      </c>
      <c r="AO4209" s="144"/>
      <c r="AP4209" s="148">
        <v>65101</v>
      </c>
      <c r="AQ4209" s="144"/>
      <c r="AR4209" s="120"/>
      <c r="AS4209" s="121"/>
      <c r="AT4209" s="120"/>
      <c r="AU4209" s="121"/>
      <c r="AV4209" s="120"/>
      <c r="AW4209" s="121"/>
      <c r="AX4209" s="120"/>
      <c r="AY4209" s="121"/>
      <c r="AZ4209" s="138"/>
    </row>
    <row r="4210" spans="1:52" ht="17.100000000000001" customHeight="1" thickTop="1">
      <c r="A4210" s="109" t="s">
        <v>12795</v>
      </c>
      <c r="B4210" s="28">
        <v>45999</v>
      </c>
      <c r="C4210" s="25">
        <v>75</v>
      </c>
      <c r="D4210" s="13" t="s">
        <v>2355</v>
      </c>
      <c r="E4210" s="111"/>
      <c r="F4210" s="113" t="s">
        <v>5435</v>
      </c>
      <c r="G4210" s="114"/>
      <c r="H4210" s="115"/>
      <c r="I4210" s="24" t="s">
        <v>3931</v>
      </c>
      <c r="J4210" s="116">
        <v>4.5</v>
      </c>
      <c r="K4210" s="118">
        <v>1150000</v>
      </c>
      <c r="L4210" s="119"/>
      <c r="M4210" s="118">
        <f t="shared" ref="M4210" si="4395">K4210*0.1</f>
        <v>115000</v>
      </c>
      <c r="N4210" s="119"/>
      <c r="O4210" s="118">
        <v>0</v>
      </c>
      <c r="P4210" s="119"/>
      <c r="Q4210" s="118">
        <v>5670</v>
      </c>
      <c r="R4210" s="119"/>
      <c r="S4210" s="118">
        <v>44000</v>
      </c>
      <c r="T4210" s="119"/>
      <c r="U4210" s="118">
        <f t="shared" ref="U4210" si="4396">SUM(K4210:T4211)</f>
        <v>1314670</v>
      </c>
      <c r="V4210" s="122"/>
      <c r="W4210" s="124"/>
      <c r="X4210" s="126" t="s">
        <v>14402</v>
      </c>
      <c r="Y4210" s="127"/>
      <c r="Z4210" s="127"/>
      <c r="AA4210" s="127"/>
      <c r="AB4210" s="128"/>
      <c r="AC4210" s="15" t="s">
        <v>20</v>
      </c>
      <c r="AD4210" s="129" t="s">
        <v>11397</v>
      </c>
      <c r="AE4210" s="130"/>
      <c r="AF4210" s="130"/>
      <c r="AG4210" s="130"/>
      <c r="AH4210" s="130"/>
      <c r="AI4210" s="131"/>
      <c r="AJ4210" s="132"/>
      <c r="AK4210" s="127"/>
      <c r="AL4210" s="128"/>
      <c r="AM4210" s="21" t="s">
        <v>14513</v>
      </c>
      <c r="AN4210" s="133">
        <v>46035</v>
      </c>
      <c r="AO4210" s="134"/>
      <c r="AP4210" s="135">
        <v>1924</v>
      </c>
      <c r="AQ4210" s="136"/>
      <c r="AR4210" s="118">
        <v>1204000</v>
      </c>
      <c r="AS4210" s="119"/>
      <c r="AT4210" s="118">
        <f t="shared" ref="AT4210" si="4397">AR4210*0.1</f>
        <v>120400</v>
      </c>
      <c r="AU4210" s="119"/>
      <c r="AV4210" s="118">
        <v>5670</v>
      </c>
      <c r="AW4210" s="119"/>
      <c r="AX4210" s="118">
        <f t="shared" ref="AX4210" si="4398">SUM(AR4210:AW4210)</f>
        <v>1330070</v>
      </c>
      <c r="AY4210" s="119"/>
      <c r="AZ4210" s="137"/>
    </row>
    <row r="4211" spans="1:52" ht="17.100000000000001" customHeight="1" thickBot="1">
      <c r="A4211" s="110"/>
      <c r="B4211" s="27" t="s">
        <v>4544</v>
      </c>
      <c r="C4211" s="27">
        <v>1033</v>
      </c>
      <c r="D4211" s="14" t="s">
        <v>3855</v>
      </c>
      <c r="E4211" s="112"/>
      <c r="F4211" s="139" t="s">
        <v>12742</v>
      </c>
      <c r="G4211" s="140"/>
      <c r="H4211" s="141"/>
      <c r="I4211" s="26">
        <v>4188</v>
      </c>
      <c r="J4211" s="117"/>
      <c r="K4211" s="120"/>
      <c r="L4211" s="121"/>
      <c r="M4211" s="120"/>
      <c r="N4211" s="121"/>
      <c r="O4211" s="120"/>
      <c r="P4211" s="121"/>
      <c r="Q4211" s="120"/>
      <c r="R4211" s="121"/>
      <c r="S4211" s="120"/>
      <c r="T4211" s="121"/>
      <c r="U4211" s="120"/>
      <c r="V4211" s="123"/>
      <c r="W4211" s="125"/>
      <c r="X4211" s="142" t="s">
        <v>14403</v>
      </c>
      <c r="Y4211" s="143"/>
      <c r="Z4211" s="143"/>
      <c r="AA4211" s="143"/>
      <c r="AB4211" s="144"/>
      <c r="AC4211" s="16" t="s">
        <v>21</v>
      </c>
      <c r="AD4211" s="17" t="s">
        <v>14399</v>
      </c>
      <c r="AE4211" s="145" t="s">
        <v>1614</v>
      </c>
      <c r="AF4211" s="146"/>
      <c r="AG4211" s="146"/>
      <c r="AH4211" s="146"/>
      <c r="AI4211" s="147"/>
      <c r="AJ4211" s="148"/>
      <c r="AK4211" s="143"/>
      <c r="AL4211" s="144"/>
      <c r="AM4211" s="22"/>
      <c r="AN4211" s="149" t="s">
        <v>2131</v>
      </c>
      <c r="AO4211" s="144"/>
      <c r="AP4211" s="148">
        <v>3053</v>
      </c>
      <c r="AQ4211" s="144"/>
      <c r="AR4211" s="120"/>
      <c r="AS4211" s="121"/>
      <c r="AT4211" s="120"/>
      <c r="AU4211" s="121"/>
      <c r="AV4211" s="120"/>
      <c r="AW4211" s="121"/>
      <c r="AX4211" s="120"/>
      <c r="AY4211" s="121"/>
      <c r="AZ4211" s="138"/>
    </row>
    <row r="4212" spans="1:52" ht="17.100000000000001" customHeight="1" thickTop="1">
      <c r="A4212" s="109" t="s">
        <v>12796</v>
      </c>
      <c r="B4212" s="28">
        <v>45999</v>
      </c>
      <c r="C4212" s="25">
        <v>75</v>
      </c>
      <c r="D4212" s="13" t="s">
        <v>2442</v>
      </c>
      <c r="E4212" s="111"/>
      <c r="F4212" s="113" t="s">
        <v>12753</v>
      </c>
      <c r="G4212" s="114"/>
      <c r="H4212" s="115"/>
      <c r="I4212" s="24" t="s">
        <v>2858</v>
      </c>
      <c r="J4212" s="116">
        <v>4</v>
      </c>
      <c r="K4212" s="118">
        <v>1290000</v>
      </c>
      <c r="L4212" s="119"/>
      <c r="M4212" s="118">
        <f t="shared" ref="M4212" si="4399">K4212*0.1</f>
        <v>129000</v>
      </c>
      <c r="N4212" s="119"/>
      <c r="O4212" s="118">
        <v>0</v>
      </c>
      <c r="P4212" s="119"/>
      <c r="Q4212" s="118">
        <v>8360</v>
      </c>
      <c r="R4212" s="119"/>
      <c r="S4212" s="118">
        <v>44000</v>
      </c>
      <c r="T4212" s="119"/>
      <c r="U4212" s="118">
        <f t="shared" ref="U4212" si="4400">SUM(K4212:T4213)</f>
        <v>1471360</v>
      </c>
      <c r="V4212" s="122"/>
      <c r="W4212" s="124"/>
      <c r="X4212" s="126" t="s">
        <v>13925</v>
      </c>
      <c r="Y4212" s="127"/>
      <c r="Z4212" s="127"/>
      <c r="AA4212" s="127"/>
      <c r="AB4212" s="128"/>
      <c r="AC4212" s="15" t="s">
        <v>20</v>
      </c>
      <c r="AD4212" s="129" t="s">
        <v>11397</v>
      </c>
      <c r="AE4212" s="130"/>
      <c r="AF4212" s="130"/>
      <c r="AG4212" s="130"/>
      <c r="AH4212" s="130"/>
      <c r="AI4212" s="131"/>
      <c r="AJ4212" s="132"/>
      <c r="AK4212" s="127"/>
      <c r="AL4212" s="128"/>
      <c r="AM4212" s="21"/>
      <c r="AN4212" s="133">
        <v>46014</v>
      </c>
      <c r="AO4212" s="134"/>
      <c r="AP4212" s="135">
        <v>1923</v>
      </c>
      <c r="AQ4212" s="136"/>
      <c r="AR4212" s="118">
        <v>1527000</v>
      </c>
      <c r="AS4212" s="119"/>
      <c r="AT4212" s="118">
        <f t="shared" ref="AT4212" si="4401">AR4212*0.1</f>
        <v>152700</v>
      </c>
      <c r="AU4212" s="119"/>
      <c r="AV4212" s="118">
        <v>8360</v>
      </c>
      <c r="AW4212" s="119"/>
      <c r="AX4212" s="118">
        <f t="shared" ref="AX4212" si="4402">SUM(AR4212:AW4212)</f>
        <v>1688060</v>
      </c>
      <c r="AY4212" s="119"/>
      <c r="AZ4212" s="137">
        <v>46020</v>
      </c>
    </row>
    <row r="4213" spans="1:52" ht="17.100000000000001" customHeight="1" thickBot="1">
      <c r="A4213" s="110"/>
      <c r="B4213" s="27" t="s">
        <v>4544</v>
      </c>
      <c r="C4213" s="27">
        <v>1038</v>
      </c>
      <c r="D4213" s="14" t="s">
        <v>133</v>
      </c>
      <c r="E4213" s="112"/>
      <c r="F4213" s="139" t="s">
        <v>12743</v>
      </c>
      <c r="G4213" s="140"/>
      <c r="H4213" s="141"/>
      <c r="I4213" s="26">
        <v>81296</v>
      </c>
      <c r="J4213" s="117"/>
      <c r="K4213" s="120"/>
      <c r="L4213" s="121"/>
      <c r="M4213" s="120"/>
      <c r="N4213" s="121"/>
      <c r="O4213" s="120"/>
      <c r="P4213" s="121"/>
      <c r="Q4213" s="120"/>
      <c r="R4213" s="121"/>
      <c r="S4213" s="120"/>
      <c r="T4213" s="121"/>
      <c r="U4213" s="120"/>
      <c r="V4213" s="123"/>
      <c r="W4213" s="125"/>
      <c r="X4213" s="142" t="s">
        <v>13926</v>
      </c>
      <c r="Y4213" s="143"/>
      <c r="Z4213" s="143"/>
      <c r="AA4213" s="143"/>
      <c r="AB4213" s="144"/>
      <c r="AC4213" s="16" t="s">
        <v>21</v>
      </c>
      <c r="AD4213" s="17" t="s">
        <v>1809</v>
      </c>
      <c r="AE4213" s="145" t="s">
        <v>14006</v>
      </c>
      <c r="AF4213" s="146"/>
      <c r="AG4213" s="146"/>
      <c r="AH4213" s="146"/>
      <c r="AI4213" s="147"/>
      <c r="AJ4213" s="148"/>
      <c r="AK4213" s="143"/>
      <c r="AL4213" s="144"/>
      <c r="AM4213" s="22" t="s">
        <v>3483</v>
      </c>
      <c r="AN4213" s="149" t="s">
        <v>2131</v>
      </c>
      <c r="AO4213" s="144"/>
      <c r="AP4213" s="148">
        <v>3093</v>
      </c>
      <c r="AQ4213" s="144"/>
      <c r="AR4213" s="120"/>
      <c r="AS4213" s="121"/>
      <c r="AT4213" s="120"/>
      <c r="AU4213" s="121"/>
      <c r="AV4213" s="120"/>
      <c r="AW4213" s="121"/>
      <c r="AX4213" s="120"/>
      <c r="AY4213" s="121"/>
      <c r="AZ4213" s="138"/>
    </row>
    <row r="4214" spans="1:52" ht="17.100000000000001" customHeight="1" thickTop="1">
      <c r="A4214" s="151" t="s">
        <v>12797</v>
      </c>
      <c r="B4214" s="28">
        <v>45999</v>
      </c>
      <c r="C4214" s="25">
        <v>75</v>
      </c>
      <c r="D4214" s="13" t="s">
        <v>2814</v>
      </c>
      <c r="E4214" s="111"/>
      <c r="F4214" s="113" t="s">
        <v>8263</v>
      </c>
      <c r="G4214" s="114"/>
      <c r="H4214" s="115"/>
      <c r="I4214" s="24" t="s">
        <v>2943</v>
      </c>
      <c r="J4214" s="116">
        <v>4</v>
      </c>
      <c r="K4214" s="118">
        <v>2570000</v>
      </c>
      <c r="L4214" s="119"/>
      <c r="M4214" s="118">
        <f t="shared" ref="M4214" si="4403">K4214*0.1</f>
        <v>257000</v>
      </c>
      <c r="N4214" s="119"/>
      <c r="O4214" s="118">
        <v>4400</v>
      </c>
      <c r="P4214" s="119"/>
      <c r="Q4214" s="118">
        <v>9550</v>
      </c>
      <c r="R4214" s="119"/>
      <c r="S4214" s="118">
        <v>66000</v>
      </c>
      <c r="T4214" s="119"/>
      <c r="U4214" s="118">
        <f t="shared" ref="U4214" si="4404">SUM(K4214:T4215)</f>
        <v>2906950</v>
      </c>
      <c r="V4214" s="122"/>
      <c r="W4214" s="124"/>
      <c r="X4214" s="126" t="s">
        <v>14416</v>
      </c>
      <c r="Y4214" s="127"/>
      <c r="Z4214" s="127"/>
      <c r="AA4214" s="127"/>
      <c r="AB4214" s="128"/>
      <c r="AC4214" s="15" t="s">
        <v>20</v>
      </c>
      <c r="AD4214" s="129" t="s">
        <v>11397</v>
      </c>
      <c r="AE4214" s="130"/>
      <c r="AF4214" s="130"/>
      <c r="AG4214" s="130"/>
      <c r="AH4214" s="130"/>
      <c r="AI4214" s="131"/>
      <c r="AJ4214" s="132"/>
      <c r="AK4214" s="127"/>
      <c r="AL4214" s="128"/>
      <c r="AM4214" s="21" t="s">
        <v>14567</v>
      </c>
      <c r="AN4214" s="133">
        <v>46032</v>
      </c>
      <c r="AO4214" s="134"/>
      <c r="AP4214" s="135">
        <v>1283</v>
      </c>
      <c r="AQ4214" s="136"/>
      <c r="AR4214" s="118">
        <v>2750000</v>
      </c>
      <c r="AS4214" s="119"/>
      <c r="AT4214" s="118">
        <f t="shared" ref="AT4214" si="4405">AR4214*0.1</f>
        <v>275000</v>
      </c>
      <c r="AU4214" s="119"/>
      <c r="AV4214" s="118">
        <v>9550</v>
      </c>
      <c r="AW4214" s="119"/>
      <c r="AX4214" s="118">
        <f t="shared" ref="AX4214" si="4406">SUM(AR4214:AW4214)</f>
        <v>3034550</v>
      </c>
      <c r="AY4214" s="119"/>
      <c r="AZ4214" s="137">
        <v>46036</v>
      </c>
    </row>
    <row r="4215" spans="1:52" ht="17.100000000000001" customHeight="1" thickBot="1">
      <c r="A4215" s="152"/>
      <c r="B4215" s="27" t="s">
        <v>4544</v>
      </c>
      <c r="C4215" s="27">
        <v>1052</v>
      </c>
      <c r="D4215" s="14" t="s">
        <v>2601</v>
      </c>
      <c r="E4215" s="112"/>
      <c r="F4215" s="139" t="s">
        <v>12744</v>
      </c>
      <c r="G4215" s="140"/>
      <c r="H4215" s="141"/>
      <c r="I4215" s="26">
        <v>102748</v>
      </c>
      <c r="J4215" s="117"/>
      <c r="K4215" s="120"/>
      <c r="L4215" s="121"/>
      <c r="M4215" s="120"/>
      <c r="N4215" s="121"/>
      <c r="O4215" s="120"/>
      <c r="P4215" s="121"/>
      <c r="Q4215" s="120"/>
      <c r="R4215" s="121"/>
      <c r="S4215" s="120"/>
      <c r="T4215" s="121"/>
      <c r="U4215" s="120"/>
      <c r="V4215" s="123"/>
      <c r="W4215" s="125"/>
      <c r="X4215" s="142" t="s">
        <v>14417</v>
      </c>
      <c r="Y4215" s="143"/>
      <c r="Z4215" s="143"/>
      <c r="AA4215" s="143"/>
      <c r="AB4215" s="144"/>
      <c r="AC4215" s="16" t="s">
        <v>21</v>
      </c>
      <c r="AD4215" s="17" t="s">
        <v>14399</v>
      </c>
      <c r="AE4215" s="145" t="s">
        <v>1742</v>
      </c>
      <c r="AF4215" s="146"/>
      <c r="AG4215" s="146"/>
      <c r="AH4215" s="146"/>
      <c r="AI4215" s="147"/>
      <c r="AJ4215" s="148"/>
      <c r="AK4215" s="143"/>
      <c r="AL4215" s="144"/>
      <c r="AM4215" s="22"/>
      <c r="AN4215" s="149" t="s">
        <v>2511</v>
      </c>
      <c r="AO4215" s="144"/>
      <c r="AP4215" s="148">
        <v>40106</v>
      </c>
      <c r="AQ4215" s="144"/>
      <c r="AR4215" s="120"/>
      <c r="AS4215" s="121"/>
      <c r="AT4215" s="120"/>
      <c r="AU4215" s="121"/>
      <c r="AV4215" s="120"/>
      <c r="AW4215" s="121"/>
      <c r="AX4215" s="120"/>
      <c r="AY4215" s="121"/>
      <c r="AZ4215" s="138"/>
    </row>
    <row r="4216" spans="1:52" ht="17.100000000000001" customHeight="1" thickTop="1">
      <c r="A4216" s="109" t="s">
        <v>12798</v>
      </c>
      <c r="B4216" s="28">
        <v>45999</v>
      </c>
      <c r="C4216" s="25"/>
      <c r="D4216" s="13" t="s">
        <v>2226</v>
      </c>
      <c r="E4216" s="111"/>
      <c r="F4216" s="113" t="s">
        <v>12807</v>
      </c>
      <c r="G4216" s="114"/>
      <c r="H4216" s="115"/>
      <c r="I4216" s="24" t="s">
        <v>12808</v>
      </c>
      <c r="J4216" s="116">
        <v>5</v>
      </c>
      <c r="K4216" s="118">
        <f>5665000/1.1</f>
        <v>5150000</v>
      </c>
      <c r="L4216" s="119"/>
      <c r="M4216" s="118">
        <f t="shared" ref="M4216" si="4407">K4216*0.1</f>
        <v>515000</v>
      </c>
      <c r="N4216" s="119"/>
      <c r="O4216" s="118">
        <v>10800</v>
      </c>
      <c r="P4216" s="119"/>
      <c r="Q4216" s="118">
        <v>16370</v>
      </c>
      <c r="R4216" s="119"/>
      <c r="S4216" s="118">
        <v>0</v>
      </c>
      <c r="T4216" s="119"/>
      <c r="U4216" s="118">
        <f t="shared" ref="U4216" si="4408">SUM(K4216:T4217)</f>
        <v>5692170</v>
      </c>
      <c r="V4216" s="122"/>
      <c r="W4216" s="124"/>
      <c r="X4216" s="126" t="s">
        <v>14347</v>
      </c>
      <c r="Y4216" s="127"/>
      <c r="Z4216" s="127"/>
      <c r="AA4216" s="127"/>
      <c r="AB4216" s="128"/>
      <c r="AC4216" s="15" t="s">
        <v>20</v>
      </c>
      <c r="AD4216" s="129" t="s">
        <v>1945</v>
      </c>
      <c r="AE4216" s="130"/>
      <c r="AF4216" s="130"/>
      <c r="AG4216" s="130"/>
      <c r="AH4216" s="130"/>
      <c r="AI4216" s="131"/>
      <c r="AJ4216" s="132"/>
      <c r="AK4216" s="127"/>
      <c r="AL4216" s="128"/>
      <c r="AM4216" s="21"/>
      <c r="AN4216" s="133">
        <v>46018</v>
      </c>
      <c r="AO4216" s="134"/>
      <c r="AP4216" s="135">
        <v>1282</v>
      </c>
      <c r="AQ4216" s="136"/>
      <c r="AR4216" s="118">
        <v>5160000</v>
      </c>
      <c r="AS4216" s="119"/>
      <c r="AT4216" s="118">
        <f t="shared" ref="AT4216" si="4409">AR4216*0.1</f>
        <v>516000</v>
      </c>
      <c r="AU4216" s="119"/>
      <c r="AV4216" s="118">
        <v>16370</v>
      </c>
      <c r="AW4216" s="119"/>
      <c r="AX4216" s="118">
        <f t="shared" ref="AX4216" si="4410">SUM(AR4216:AW4216)</f>
        <v>5692370</v>
      </c>
      <c r="AY4216" s="119"/>
      <c r="AZ4216" s="137">
        <v>46028</v>
      </c>
    </row>
    <row r="4217" spans="1:52" ht="17.100000000000001" customHeight="1" thickBot="1">
      <c r="A4217" s="110"/>
      <c r="B4217" s="27" t="s">
        <v>1718</v>
      </c>
      <c r="C4217" s="27" t="s">
        <v>12801</v>
      </c>
      <c r="D4217" s="14" t="s">
        <v>2601</v>
      </c>
      <c r="E4217" s="112"/>
      <c r="F4217" s="139" t="s">
        <v>12802</v>
      </c>
      <c r="G4217" s="140"/>
      <c r="H4217" s="141"/>
      <c r="I4217" s="26">
        <v>19598</v>
      </c>
      <c r="J4217" s="117"/>
      <c r="K4217" s="120"/>
      <c r="L4217" s="121"/>
      <c r="M4217" s="120"/>
      <c r="N4217" s="121"/>
      <c r="O4217" s="120"/>
      <c r="P4217" s="121"/>
      <c r="Q4217" s="120"/>
      <c r="R4217" s="121"/>
      <c r="S4217" s="120"/>
      <c r="T4217" s="121"/>
      <c r="U4217" s="120"/>
      <c r="V4217" s="123"/>
      <c r="W4217" s="125"/>
      <c r="X4217" s="142" t="s">
        <v>4663</v>
      </c>
      <c r="Y4217" s="143"/>
      <c r="Z4217" s="143"/>
      <c r="AA4217" s="143"/>
      <c r="AB4217" s="144"/>
      <c r="AC4217" s="16" t="s">
        <v>21</v>
      </c>
      <c r="AD4217" s="17" t="s">
        <v>14344</v>
      </c>
      <c r="AE4217" s="145" t="s">
        <v>1614</v>
      </c>
      <c r="AF4217" s="146"/>
      <c r="AG4217" s="146"/>
      <c r="AH4217" s="146"/>
      <c r="AI4217" s="147"/>
      <c r="AJ4217" s="148"/>
      <c r="AK4217" s="143"/>
      <c r="AL4217" s="144"/>
      <c r="AM4217" s="22"/>
      <c r="AN4217" s="149" t="s">
        <v>2511</v>
      </c>
      <c r="AO4217" s="144"/>
      <c r="AP4217" s="148">
        <v>31162</v>
      </c>
      <c r="AQ4217" s="144"/>
      <c r="AR4217" s="120"/>
      <c r="AS4217" s="121"/>
      <c r="AT4217" s="120"/>
      <c r="AU4217" s="121"/>
      <c r="AV4217" s="120"/>
      <c r="AW4217" s="121"/>
      <c r="AX4217" s="120"/>
      <c r="AY4217" s="121"/>
      <c r="AZ4217" s="138"/>
    </row>
    <row r="4218" spans="1:52" ht="17.100000000000001" customHeight="1" thickTop="1">
      <c r="A4218" s="109" t="s">
        <v>12799</v>
      </c>
      <c r="B4218" s="28">
        <v>45999</v>
      </c>
      <c r="C4218" s="25"/>
      <c r="D4218" s="13" t="s">
        <v>2363</v>
      </c>
      <c r="E4218" s="111"/>
      <c r="F4218" s="113" t="s">
        <v>12809</v>
      </c>
      <c r="G4218" s="114"/>
      <c r="H4218" s="115"/>
      <c r="I4218" s="24" t="s">
        <v>12810</v>
      </c>
      <c r="J4218" s="116">
        <v>4.5</v>
      </c>
      <c r="K4218" s="118">
        <f>4697000/1.1</f>
        <v>4270000</v>
      </c>
      <c r="L4218" s="119"/>
      <c r="M4218" s="118">
        <f t="shared" ref="M4218" si="4411">K4218*0.1</f>
        <v>427000</v>
      </c>
      <c r="N4218" s="119"/>
      <c r="O4218" s="118">
        <v>7200</v>
      </c>
      <c r="P4218" s="119"/>
      <c r="Q4218" s="118">
        <v>13110</v>
      </c>
      <c r="R4218" s="119"/>
      <c r="S4218" s="118">
        <v>0</v>
      </c>
      <c r="T4218" s="119"/>
      <c r="U4218" s="118">
        <f t="shared" ref="U4218" si="4412">SUM(K4218:T4219)</f>
        <v>4717310</v>
      </c>
      <c r="V4218" s="122"/>
      <c r="W4218" s="124"/>
      <c r="X4218" s="126" t="s">
        <v>14999</v>
      </c>
      <c r="Y4218" s="127"/>
      <c r="Z4218" s="127"/>
      <c r="AA4218" s="127"/>
      <c r="AB4218" s="128"/>
      <c r="AC4218" s="15" t="s">
        <v>20</v>
      </c>
      <c r="AD4218" s="129" t="s">
        <v>1732</v>
      </c>
      <c r="AE4218" s="130"/>
      <c r="AF4218" s="130"/>
      <c r="AG4218" s="130"/>
      <c r="AH4218" s="130"/>
      <c r="AI4218" s="131"/>
      <c r="AJ4218" s="132"/>
      <c r="AK4218" s="127"/>
      <c r="AL4218" s="128"/>
      <c r="AM4218" s="21" t="s">
        <v>17474</v>
      </c>
      <c r="AN4218" s="133">
        <v>46095</v>
      </c>
      <c r="AO4218" s="134"/>
      <c r="AP4218" s="135">
        <v>1292</v>
      </c>
      <c r="AQ4218" s="136"/>
      <c r="AR4218" s="118">
        <v>4085000</v>
      </c>
      <c r="AS4218" s="119"/>
      <c r="AT4218" s="118">
        <f t="shared" ref="AT4218" si="4413">AR4218*0.1</f>
        <v>408500</v>
      </c>
      <c r="AU4218" s="119"/>
      <c r="AV4218" s="118">
        <v>13110</v>
      </c>
      <c r="AW4218" s="119"/>
      <c r="AX4218" s="118">
        <f t="shared" ref="AX4218" si="4414">SUM(AR4218:AW4218)</f>
        <v>4506610</v>
      </c>
      <c r="AY4218" s="119"/>
      <c r="AZ4218" s="137">
        <v>46098</v>
      </c>
    </row>
    <row r="4219" spans="1:52" ht="17.100000000000001" customHeight="1" thickBot="1">
      <c r="A4219" s="110"/>
      <c r="B4219" s="27" t="s">
        <v>1718</v>
      </c>
      <c r="C4219" s="27" t="s">
        <v>12803</v>
      </c>
      <c r="D4219" s="14" t="s">
        <v>275</v>
      </c>
      <c r="E4219" s="112"/>
      <c r="F4219" s="139" t="s">
        <v>12804</v>
      </c>
      <c r="G4219" s="140"/>
      <c r="H4219" s="141"/>
      <c r="I4219" s="26">
        <v>22298</v>
      </c>
      <c r="J4219" s="117"/>
      <c r="K4219" s="120"/>
      <c r="L4219" s="121"/>
      <c r="M4219" s="120"/>
      <c r="N4219" s="121"/>
      <c r="O4219" s="120"/>
      <c r="P4219" s="121"/>
      <c r="Q4219" s="120"/>
      <c r="R4219" s="121"/>
      <c r="S4219" s="120"/>
      <c r="T4219" s="121"/>
      <c r="U4219" s="120"/>
      <c r="V4219" s="123"/>
      <c r="W4219" s="125"/>
      <c r="X4219" s="142" t="s">
        <v>15000</v>
      </c>
      <c r="Y4219" s="143"/>
      <c r="Z4219" s="143"/>
      <c r="AA4219" s="143"/>
      <c r="AB4219" s="144"/>
      <c r="AC4219" s="16" t="s">
        <v>21</v>
      </c>
      <c r="AD4219" s="17" t="s">
        <v>1815</v>
      </c>
      <c r="AE4219" s="145" t="s">
        <v>1614</v>
      </c>
      <c r="AF4219" s="146"/>
      <c r="AG4219" s="146"/>
      <c r="AH4219" s="146"/>
      <c r="AI4219" s="147"/>
      <c r="AJ4219" s="148"/>
      <c r="AK4219" s="143"/>
      <c r="AL4219" s="144"/>
      <c r="AM4219" s="22"/>
      <c r="AN4219" s="149" t="s">
        <v>2511</v>
      </c>
      <c r="AO4219" s="144"/>
      <c r="AP4219" s="148">
        <v>13019</v>
      </c>
      <c r="AQ4219" s="144"/>
      <c r="AR4219" s="120"/>
      <c r="AS4219" s="121"/>
      <c r="AT4219" s="120"/>
      <c r="AU4219" s="121"/>
      <c r="AV4219" s="120"/>
      <c r="AW4219" s="121"/>
      <c r="AX4219" s="120"/>
      <c r="AY4219" s="121"/>
      <c r="AZ4219" s="138"/>
    </row>
    <row r="4220" spans="1:52" ht="17.100000000000001" customHeight="1" thickTop="1">
      <c r="A4220" s="109" t="s">
        <v>12800</v>
      </c>
      <c r="B4220" s="28">
        <v>45999</v>
      </c>
      <c r="C4220" s="25"/>
      <c r="D4220" s="13" t="s">
        <v>2001</v>
      </c>
      <c r="E4220" s="111"/>
      <c r="F4220" s="113" t="s">
        <v>4026</v>
      </c>
      <c r="G4220" s="114"/>
      <c r="H4220" s="115"/>
      <c r="I4220" s="24" t="s">
        <v>3838</v>
      </c>
      <c r="J4220" s="116">
        <v>4.5</v>
      </c>
      <c r="K4220" s="118">
        <f>1122000/1.1</f>
        <v>1019999.9999999999</v>
      </c>
      <c r="L4220" s="119"/>
      <c r="M4220" s="118">
        <f t="shared" ref="M4220" si="4415">K4220*0.1</f>
        <v>102000</v>
      </c>
      <c r="N4220" s="119"/>
      <c r="O4220" s="118">
        <v>0</v>
      </c>
      <c r="P4220" s="119"/>
      <c r="Q4220" s="118">
        <v>6850</v>
      </c>
      <c r="R4220" s="119"/>
      <c r="S4220" s="118">
        <v>0</v>
      </c>
      <c r="T4220" s="119"/>
      <c r="U4220" s="118">
        <f t="shared" ref="U4220" si="4416">SUM(K4220:T4221)</f>
        <v>1128850</v>
      </c>
      <c r="V4220" s="122"/>
      <c r="W4220" s="124"/>
      <c r="X4220" s="126" t="s">
        <v>14602</v>
      </c>
      <c r="Y4220" s="127"/>
      <c r="Z4220" s="127"/>
      <c r="AA4220" s="127"/>
      <c r="AB4220" s="128"/>
      <c r="AC4220" s="15" t="s">
        <v>20</v>
      </c>
      <c r="AD4220" s="129" t="s">
        <v>1945</v>
      </c>
      <c r="AE4220" s="130"/>
      <c r="AF4220" s="130"/>
      <c r="AG4220" s="130"/>
      <c r="AH4220" s="130"/>
      <c r="AI4220" s="131"/>
      <c r="AJ4220" s="132"/>
      <c r="AK4220" s="127"/>
      <c r="AL4220" s="128"/>
      <c r="AM4220" s="21"/>
      <c r="AN4220" s="133">
        <v>46042</v>
      </c>
      <c r="AO4220" s="134"/>
      <c r="AP4220" s="135">
        <v>1925</v>
      </c>
      <c r="AQ4220" s="136"/>
      <c r="AR4220" s="118">
        <v>1107000</v>
      </c>
      <c r="AS4220" s="119"/>
      <c r="AT4220" s="118">
        <f t="shared" ref="AT4220" si="4417">AR4220*0.1</f>
        <v>110700</v>
      </c>
      <c r="AU4220" s="119"/>
      <c r="AV4220" s="118">
        <v>6850</v>
      </c>
      <c r="AW4220" s="119"/>
      <c r="AX4220" s="118">
        <f t="shared" ref="AX4220" si="4418">SUM(AR4220:AW4220)</f>
        <v>1224550</v>
      </c>
      <c r="AY4220" s="119"/>
      <c r="AZ4220" s="137"/>
    </row>
    <row r="4221" spans="1:52" ht="17.100000000000001" customHeight="1" thickBot="1">
      <c r="A4221" s="110"/>
      <c r="B4221" s="27" t="s">
        <v>1718</v>
      </c>
      <c r="C4221" s="27" t="s">
        <v>12805</v>
      </c>
      <c r="D4221" s="14" t="s">
        <v>1812</v>
      </c>
      <c r="E4221" s="112"/>
      <c r="F4221" s="139" t="s">
        <v>12806</v>
      </c>
      <c r="G4221" s="140"/>
      <c r="H4221" s="141"/>
      <c r="I4221" s="26">
        <v>46837</v>
      </c>
      <c r="J4221" s="117"/>
      <c r="K4221" s="120"/>
      <c r="L4221" s="121"/>
      <c r="M4221" s="120"/>
      <c r="N4221" s="121"/>
      <c r="O4221" s="120"/>
      <c r="P4221" s="121"/>
      <c r="Q4221" s="120"/>
      <c r="R4221" s="121"/>
      <c r="S4221" s="120"/>
      <c r="T4221" s="121"/>
      <c r="U4221" s="120"/>
      <c r="V4221" s="123"/>
      <c r="W4221" s="125"/>
      <c r="X4221" s="142" t="s">
        <v>14603</v>
      </c>
      <c r="Y4221" s="143"/>
      <c r="Z4221" s="143"/>
      <c r="AA4221" s="143"/>
      <c r="AB4221" s="144"/>
      <c r="AC4221" s="16" t="s">
        <v>21</v>
      </c>
      <c r="AD4221" s="17" t="s">
        <v>3921</v>
      </c>
      <c r="AE4221" s="145" t="s">
        <v>2347</v>
      </c>
      <c r="AF4221" s="146"/>
      <c r="AG4221" s="146"/>
      <c r="AH4221" s="146"/>
      <c r="AI4221" s="147"/>
      <c r="AJ4221" s="148"/>
      <c r="AK4221" s="143"/>
      <c r="AL4221" s="144"/>
      <c r="AM4221" s="22"/>
      <c r="AN4221" s="149" t="s">
        <v>2131</v>
      </c>
      <c r="AO4221" s="144"/>
      <c r="AP4221" s="148">
        <v>3363</v>
      </c>
      <c r="AQ4221" s="144"/>
      <c r="AR4221" s="120"/>
      <c r="AS4221" s="121"/>
      <c r="AT4221" s="120"/>
      <c r="AU4221" s="121"/>
      <c r="AV4221" s="120"/>
      <c r="AW4221" s="121"/>
      <c r="AX4221" s="120"/>
      <c r="AY4221" s="121"/>
      <c r="AZ4221" s="138"/>
    </row>
    <row r="4222" spans="1:52" ht="17.100000000000001" customHeight="1" thickTop="1">
      <c r="A4222" s="109" t="s">
        <v>12926</v>
      </c>
      <c r="B4222" s="28">
        <v>46000</v>
      </c>
      <c r="C4222" s="25">
        <v>1921</v>
      </c>
      <c r="D4222" s="13" t="s">
        <v>1758</v>
      </c>
      <c r="E4222" s="111"/>
      <c r="F4222" s="113" t="s">
        <v>8367</v>
      </c>
      <c r="G4222" s="114"/>
      <c r="H4222" s="115"/>
      <c r="I4222" s="24"/>
      <c r="J4222" s="116">
        <v>3</v>
      </c>
      <c r="K4222" s="118">
        <v>303000</v>
      </c>
      <c r="L4222" s="119"/>
      <c r="M4222" s="118">
        <f t="shared" ref="M4222" si="4419">K4222*0.1</f>
        <v>30300</v>
      </c>
      <c r="N4222" s="119"/>
      <c r="O4222" s="118">
        <v>0</v>
      </c>
      <c r="P4222" s="119"/>
      <c r="Q4222" s="118">
        <v>8140</v>
      </c>
      <c r="R4222" s="119"/>
      <c r="S4222" s="118">
        <v>15950</v>
      </c>
      <c r="T4222" s="119"/>
      <c r="U4222" s="118">
        <f t="shared" ref="U4222" si="4420">SUM(K4222:T4223)</f>
        <v>357390</v>
      </c>
      <c r="V4222" s="122"/>
      <c r="W4222" s="124"/>
      <c r="X4222" s="126" t="s">
        <v>13344</v>
      </c>
      <c r="Y4222" s="127"/>
      <c r="Z4222" s="127"/>
      <c r="AA4222" s="127"/>
      <c r="AB4222" s="128"/>
      <c r="AC4222" s="15" t="s">
        <v>20</v>
      </c>
      <c r="AD4222" s="129" t="s">
        <v>12821</v>
      </c>
      <c r="AE4222" s="130"/>
      <c r="AF4222" s="130"/>
      <c r="AG4222" s="130"/>
      <c r="AH4222" s="130"/>
      <c r="AI4222" s="131"/>
      <c r="AJ4222" s="132"/>
      <c r="AK4222" s="127"/>
      <c r="AL4222" s="128"/>
      <c r="AM4222" s="21"/>
      <c r="AN4222" s="133">
        <v>46011</v>
      </c>
      <c r="AO4222" s="134"/>
      <c r="AP4222" s="135">
        <v>1281</v>
      </c>
      <c r="AQ4222" s="136"/>
      <c r="AR4222" s="118">
        <v>340000</v>
      </c>
      <c r="AS4222" s="119"/>
      <c r="AT4222" s="118">
        <f t="shared" ref="AT4222" si="4421">AR4222*0.1</f>
        <v>34000</v>
      </c>
      <c r="AU4222" s="119"/>
      <c r="AV4222" s="118">
        <v>8140</v>
      </c>
      <c r="AW4222" s="119"/>
      <c r="AX4222" s="118">
        <f t="shared" ref="AX4222" si="4422">SUM(AR4222:AW4222)</f>
        <v>382140</v>
      </c>
      <c r="AY4222" s="119"/>
      <c r="AZ4222" s="137">
        <v>46014</v>
      </c>
    </row>
    <row r="4223" spans="1:52" ht="17.100000000000001" customHeight="1" thickBot="1">
      <c r="A4223" s="110"/>
      <c r="B4223" s="27" t="s">
        <v>2131</v>
      </c>
      <c r="C4223" s="27">
        <v>3166</v>
      </c>
      <c r="D4223" s="14" t="s">
        <v>1576</v>
      </c>
      <c r="E4223" s="112"/>
      <c r="F4223" s="139" t="s">
        <v>12820</v>
      </c>
      <c r="G4223" s="140"/>
      <c r="H4223" s="141"/>
      <c r="I4223" s="26">
        <v>58762</v>
      </c>
      <c r="J4223" s="117"/>
      <c r="K4223" s="120"/>
      <c r="L4223" s="121"/>
      <c r="M4223" s="120"/>
      <c r="N4223" s="121"/>
      <c r="O4223" s="120"/>
      <c r="P4223" s="121"/>
      <c r="Q4223" s="120"/>
      <c r="R4223" s="121"/>
      <c r="S4223" s="120"/>
      <c r="T4223" s="121"/>
      <c r="U4223" s="120"/>
      <c r="V4223" s="123"/>
      <c r="W4223" s="125"/>
      <c r="X4223" s="142" t="s">
        <v>13345</v>
      </c>
      <c r="Y4223" s="143"/>
      <c r="Z4223" s="143"/>
      <c r="AA4223" s="143"/>
      <c r="AB4223" s="144"/>
      <c r="AC4223" s="16" t="s">
        <v>21</v>
      </c>
      <c r="AD4223" s="17" t="s">
        <v>2268</v>
      </c>
      <c r="AE4223" s="145" t="s">
        <v>1565</v>
      </c>
      <c r="AF4223" s="146"/>
      <c r="AG4223" s="146"/>
      <c r="AH4223" s="146"/>
      <c r="AI4223" s="147"/>
      <c r="AJ4223" s="148"/>
      <c r="AK4223" s="143"/>
      <c r="AL4223" s="144"/>
      <c r="AM4223" s="22"/>
      <c r="AN4223" s="149" t="s">
        <v>2511</v>
      </c>
      <c r="AO4223" s="144"/>
      <c r="AP4223" s="148">
        <v>60125</v>
      </c>
      <c r="AQ4223" s="144"/>
      <c r="AR4223" s="120"/>
      <c r="AS4223" s="121"/>
      <c r="AT4223" s="120"/>
      <c r="AU4223" s="121"/>
      <c r="AV4223" s="120"/>
      <c r="AW4223" s="121"/>
      <c r="AX4223" s="120"/>
      <c r="AY4223" s="121"/>
      <c r="AZ4223" s="138"/>
    </row>
    <row r="4224" spans="1:52" ht="17.100000000000001" customHeight="1" thickTop="1">
      <c r="A4224" s="109" t="s">
        <v>12927</v>
      </c>
      <c r="B4224" s="28">
        <v>46000</v>
      </c>
      <c r="C4224" s="25">
        <v>1921</v>
      </c>
      <c r="D4224" s="13" t="s">
        <v>1998</v>
      </c>
      <c r="E4224" s="111"/>
      <c r="F4224" s="113" t="s">
        <v>10019</v>
      </c>
      <c r="G4224" s="114"/>
      <c r="H4224" s="115"/>
      <c r="I4224" s="24"/>
      <c r="J4224" s="116">
        <v>4.5</v>
      </c>
      <c r="K4224" s="118">
        <v>1283000</v>
      </c>
      <c r="L4224" s="119"/>
      <c r="M4224" s="118">
        <f t="shared" ref="M4224" si="4423">K4224*0.1</f>
        <v>128300</v>
      </c>
      <c r="N4224" s="119"/>
      <c r="O4224" s="118">
        <v>0</v>
      </c>
      <c r="P4224" s="119"/>
      <c r="Q4224" s="118">
        <v>7230</v>
      </c>
      <c r="R4224" s="119"/>
      <c r="S4224" s="118">
        <v>15950</v>
      </c>
      <c r="T4224" s="119"/>
      <c r="U4224" s="118">
        <f t="shared" ref="U4224" si="4424">SUM(K4224:T4225)</f>
        <v>1434480</v>
      </c>
      <c r="V4224" s="122"/>
      <c r="W4224" s="124"/>
      <c r="X4224" s="126" t="s">
        <v>13343</v>
      </c>
      <c r="Y4224" s="127"/>
      <c r="Z4224" s="127"/>
      <c r="AA4224" s="127"/>
      <c r="AB4224" s="128"/>
      <c r="AC4224" s="15" t="s">
        <v>20</v>
      </c>
      <c r="AD4224" s="129" t="s">
        <v>1670</v>
      </c>
      <c r="AE4224" s="130"/>
      <c r="AF4224" s="130"/>
      <c r="AG4224" s="130"/>
      <c r="AH4224" s="130"/>
      <c r="AI4224" s="131"/>
      <c r="AJ4224" s="132"/>
      <c r="AK4224" s="127"/>
      <c r="AL4224" s="128"/>
      <c r="AM4224" s="21"/>
      <c r="AN4224" s="133">
        <v>46011</v>
      </c>
      <c r="AO4224" s="134"/>
      <c r="AP4224" s="135">
        <v>1281</v>
      </c>
      <c r="AQ4224" s="136"/>
      <c r="AR4224" s="118">
        <v>1450000</v>
      </c>
      <c r="AS4224" s="119"/>
      <c r="AT4224" s="118">
        <f t="shared" ref="AT4224" si="4425">AR4224*0.1</f>
        <v>145000</v>
      </c>
      <c r="AU4224" s="119"/>
      <c r="AV4224" s="118">
        <v>7230</v>
      </c>
      <c r="AW4224" s="119"/>
      <c r="AX4224" s="118">
        <f t="shared" ref="AX4224" si="4426">SUM(AR4224:AW4224)</f>
        <v>1602230</v>
      </c>
      <c r="AY4224" s="119"/>
      <c r="AZ4224" s="137">
        <v>46014</v>
      </c>
    </row>
    <row r="4225" spans="1:52" ht="17.100000000000001" customHeight="1" thickBot="1">
      <c r="A4225" s="110"/>
      <c r="B4225" s="27" t="s">
        <v>2131</v>
      </c>
      <c r="C4225" s="27">
        <v>3207</v>
      </c>
      <c r="D4225" s="14" t="s">
        <v>1720</v>
      </c>
      <c r="E4225" s="112"/>
      <c r="F4225" s="139" t="s">
        <v>12822</v>
      </c>
      <c r="G4225" s="140"/>
      <c r="H4225" s="141"/>
      <c r="I4225" s="26">
        <v>44453</v>
      </c>
      <c r="J4225" s="117"/>
      <c r="K4225" s="120"/>
      <c r="L4225" s="121"/>
      <c r="M4225" s="120"/>
      <c r="N4225" s="121"/>
      <c r="O4225" s="120"/>
      <c r="P4225" s="121"/>
      <c r="Q4225" s="120"/>
      <c r="R4225" s="121"/>
      <c r="S4225" s="120"/>
      <c r="T4225" s="121"/>
      <c r="U4225" s="120"/>
      <c r="V4225" s="123"/>
      <c r="W4225" s="125"/>
      <c r="X4225" s="142" t="s">
        <v>4025</v>
      </c>
      <c r="Y4225" s="143"/>
      <c r="Z4225" s="143"/>
      <c r="AA4225" s="143"/>
      <c r="AB4225" s="144"/>
      <c r="AC4225" s="16" t="s">
        <v>21</v>
      </c>
      <c r="AD4225" s="17" t="s">
        <v>2268</v>
      </c>
      <c r="AE4225" s="145" t="s">
        <v>1670</v>
      </c>
      <c r="AF4225" s="146"/>
      <c r="AG4225" s="146"/>
      <c r="AH4225" s="146"/>
      <c r="AI4225" s="147"/>
      <c r="AJ4225" s="148"/>
      <c r="AK4225" s="143"/>
      <c r="AL4225" s="144"/>
      <c r="AM4225" s="22"/>
      <c r="AN4225" s="149" t="s">
        <v>2511</v>
      </c>
      <c r="AO4225" s="144"/>
      <c r="AP4225" s="148">
        <v>60051</v>
      </c>
      <c r="AQ4225" s="144"/>
      <c r="AR4225" s="120"/>
      <c r="AS4225" s="121"/>
      <c r="AT4225" s="120"/>
      <c r="AU4225" s="121"/>
      <c r="AV4225" s="120"/>
      <c r="AW4225" s="121"/>
      <c r="AX4225" s="120"/>
      <c r="AY4225" s="121"/>
      <c r="AZ4225" s="138"/>
    </row>
    <row r="4226" spans="1:52" ht="17.100000000000001" customHeight="1" thickTop="1">
      <c r="A4226" s="109" t="s">
        <v>12928</v>
      </c>
      <c r="B4226" s="28">
        <v>46000</v>
      </c>
      <c r="C4226" s="25">
        <v>1921</v>
      </c>
      <c r="D4226" s="13" t="s">
        <v>2036</v>
      </c>
      <c r="E4226" s="111"/>
      <c r="F4226" s="113" t="s">
        <v>12824</v>
      </c>
      <c r="G4226" s="114"/>
      <c r="H4226" s="115"/>
      <c r="I4226" s="24"/>
      <c r="J4226" s="116">
        <v>4</v>
      </c>
      <c r="K4226" s="118">
        <v>883000</v>
      </c>
      <c r="L4226" s="119"/>
      <c r="M4226" s="118">
        <f t="shared" ref="M4226" si="4427">K4226*0.1</f>
        <v>88300</v>
      </c>
      <c r="N4226" s="119"/>
      <c r="O4226" s="118">
        <v>0</v>
      </c>
      <c r="P4226" s="119"/>
      <c r="Q4226" s="118">
        <v>8100</v>
      </c>
      <c r="R4226" s="119"/>
      <c r="S4226" s="118">
        <v>15950</v>
      </c>
      <c r="T4226" s="119"/>
      <c r="U4226" s="118">
        <f t="shared" ref="U4226" si="4428">SUM(K4226:T4227)</f>
        <v>995350</v>
      </c>
      <c r="V4226" s="122"/>
      <c r="W4226" s="124"/>
      <c r="X4226" s="126" t="s">
        <v>13342</v>
      </c>
      <c r="Y4226" s="127"/>
      <c r="Z4226" s="127"/>
      <c r="AA4226" s="127"/>
      <c r="AB4226" s="128"/>
      <c r="AC4226" s="15" t="s">
        <v>20</v>
      </c>
      <c r="AD4226" s="129" t="s">
        <v>1670</v>
      </c>
      <c r="AE4226" s="130"/>
      <c r="AF4226" s="130"/>
      <c r="AG4226" s="130"/>
      <c r="AH4226" s="130"/>
      <c r="AI4226" s="131"/>
      <c r="AJ4226" s="132"/>
      <c r="AK4226" s="127"/>
      <c r="AL4226" s="128"/>
      <c r="AM4226" s="21"/>
      <c r="AN4226" s="133">
        <v>46011</v>
      </c>
      <c r="AO4226" s="134"/>
      <c r="AP4226" s="135">
        <v>1281</v>
      </c>
      <c r="AQ4226" s="136"/>
      <c r="AR4226" s="118">
        <v>975000</v>
      </c>
      <c r="AS4226" s="119"/>
      <c r="AT4226" s="118">
        <f t="shared" ref="AT4226" si="4429">AR4226*0.1</f>
        <v>97500</v>
      </c>
      <c r="AU4226" s="119"/>
      <c r="AV4226" s="118">
        <v>8100</v>
      </c>
      <c r="AW4226" s="119"/>
      <c r="AX4226" s="118">
        <f t="shared" ref="AX4226" si="4430">SUM(AR4226:AW4226)</f>
        <v>1080600</v>
      </c>
      <c r="AY4226" s="119"/>
      <c r="AZ4226" s="137">
        <v>46014</v>
      </c>
    </row>
    <row r="4227" spans="1:52" ht="17.100000000000001" customHeight="1" thickBot="1">
      <c r="A4227" s="110"/>
      <c r="B4227" s="27" t="s">
        <v>2131</v>
      </c>
      <c r="C4227" s="27">
        <v>3400</v>
      </c>
      <c r="D4227" s="14" t="s">
        <v>904</v>
      </c>
      <c r="E4227" s="112"/>
      <c r="F4227" s="139" t="s">
        <v>12823</v>
      </c>
      <c r="G4227" s="140"/>
      <c r="H4227" s="141"/>
      <c r="I4227" s="26">
        <v>41828</v>
      </c>
      <c r="J4227" s="117"/>
      <c r="K4227" s="120"/>
      <c r="L4227" s="121"/>
      <c r="M4227" s="120"/>
      <c r="N4227" s="121"/>
      <c r="O4227" s="120"/>
      <c r="P4227" s="121"/>
      <c r="Q4227" s="120"/>
      <c r="R4227" s="121"/>
      <c r="S4227" s="120"/>
      <c r="T4227" s="121"/>
      <c r="U4227" s="120"/>
      <c r="V4227" s="123"/>
      <c r="W4227" s="125"/>
      <c r="X4227" s="142" t="s">
        <v>8523</v>
      </c>
      <c r="Y4227" s="143"/>
      <c r="Z4227" s="143"/>
      <c r="AA4227" s="143"/>
      <c r="AB4227" s="144"/>
      <c r="AC4227" s="16" t="s">
        <v>21</v>
      </c>
      <c r="AD4227" s="17" t="s">
        <v>2268</v>
      </c>
      <c r="AE4227" s="145" t="s">
        <v>9947</v>
      </c>
      <c r="AF4227" s="146"/>
      <c r="AG4227" s="146"/>
      <c r="AH4227" s="146"/>
      <c r="AI4227" s="147"/>
      <c r="AJ4227" s="148"/>
      <c r="AK4227" s="143"/>
      <c r="AL4227" s="144"/>
      <c r="AM4227" s="22"/>
      <c r="AN4227" s="149" t="s">
        <v>2511</v>
      </c>
      <c r="AO4227" s="144"/>
      <c r="AP4227" s="148">
        <v>60069</v>
      </c>
      <c r="AQ4227" s="144"/>
      <c r="AR4227" s="120"/>
      <c r="AS4227" s="121"/>
      <c r="AT4227" s="120"/>
      <c r="AU4227" s="121"/>
      <c r="AV4227" s="120"/>
      <c r="AW4227" s="121"/>
      <c r="AX4227" s="120"/>
      <c r="AY4227" s="121"/>
      <c r="AZ4227" s="138"/>
    </row>
    <row r="4228" spans="1:52" ht="17.100000000000001" customHeight="1" thickTop="1">
      <c r="A4228" s="109" t="s">
        <v>12929</v>
      </c>
      <c r="B4228" s="28">
        <v>46000</v>
      </c>
      <c r="C4228" s="25">
        <v>1921</v>
      </c>
      <c r="D4228" s="13" t="s">
        <v>1712</v>
      </c>
      <c r="E4228" s="111"/>
      <c r="F4228" s="113" t="s">
        <v>10635</v>
      </c>
      <c r="G4228" s="114"/>
      <c r="H4228" s="115"/>
      <c r="I4228" s="24"/>
      <c r="J4228" s="116">
        <v>4</v>
      </c>
      <c r="K4228" s="118">
        <v>1155000</v>
      </c>
      <c r="L4228" s="119"/>
      <c r="M4228" s="118">
        <f t="shared" ref="M4228" si="4431">K4228*0.1</f>
        <v>115500</v>
      </c>
      <c r="N4228" s="119"/>
      <c r="O4228" s="118">
        <v>0</v>
      </c>
      <c r="P4228" s="119"/>
      <c r="Q4228" s="118">
        <v>22590</v>
      </c>
      <c r="R4228" s="119"/>
      <c r="S4228" s="118">
        <v>19250</v>
      </c>
      <c r="T4228" s="119"/>
      <c r="U4228" s="118">
        <f t="shared" ref="U4228" si="4432">SUM(K4228:T4229)</f>
        <v>1312340</v>
      </c>
      <c r="V4228" s="122"/>
      <c r="W4228" s="124"/>
      <c r="X4228" s="126" t="s">
        <v>13379</v>
      </c>
      <c r="Y4228" s="127"/>
      <c r="Z4228" s="127"/>
      <c r="AA4228" s="127"/>
      <c r="AB4228" s="128"/>
      <c r="AC4228" s="15" t="s">
        <v>20</v>
      </c>
      <c r="AD4228" s="129"/>
      <c r="AE4228" s="130"/>
      <c r="AF4228" s="130"/>
      <c r="AG4228" s="130"/>
      <c r="AH4228" s="130"/>
      <c r="AI4228" s="131"/>
      <c r="AJ4228" s="132"/>
      <c r="AK4228" s="127"/>
      <c r="AL4228" s="128"/>
      <c r="AM4228" s="21"/>
      <c r="AN4228" s="133">
        <v>46004</v>
      </c>
      <c r="AO4228" s="134"/>
      <c r="AP4228" s="135">
        <v>1280</v>
      </c>
      <c r="AQ4228" s="136"/>
      <c r="AR4228" s="118">
        <v>1360000</v>
      </c>
      <c r="AS4228" s="119"/>
      <c r="AT4228" s="118">
        <f t="shared" ref="AT4228" si="4433">AR4228*0.1</f>
        <v>136000</v>
      </c>
      <c r="AU4228" s="119"/>
      <c r="AV4228" s="118">
        <v>22590</v>
      </c>
      <c r="AW4228" s="119"/>
      <c r="AX4228" s="118">
        <f t="shared" ref="AX4228" si="4434">SUM(AR4228:AW4228)</f>
        <v>1518590</v>
      </c>
      <c r="AY4228" s="119"/>
      <c r="AZ4228" s="137">
        <v>46008</v>
      </c>
    </row>
    <row r="4229" spans="1:52" ht="17.100000000000001" customHeight="1" thickBot="1">
      <c r="A4229" s="110"/>
      <c r="B4229" s="27" t="s">
        <v>2131</v>
      </c>
      <c r="C4229" s="27">
        <v>5012</v>
      </c>
      <c r="D4229" s="14" t="s">
        <v>1592</v>
      </c>
      <c r="E4229" s="112"/>
      <c r="F4229" s="139" t="s">
        <v>12825</v>
      </c>
      <c r="G4229" s="140"/>
      <c r="H4229" s="141"/>
      <c r="I4229" s="26">
        <v>56076</v>
      </c>
      <c r="J4229" s="117"/>
      <c r="K4229" s="120"/>
      <c r="L4229" s="121"/>
      <c r="M4229" s="120"/>
      <c r="N4229" s="121"/>
      <c r="O4229" s="120"/>
      <c r="P4229" s="121"/>
      <c r="Q4229" s="120"/>
      <c r="R4229" s="121"/>
      <c r="S4229" s="120"/>
      <c r="T4229" s="121"/>
      <c r="U4229" s="120"/>
      <c r="V4229" s="123"/>
      <c r="W4229" s="125"/>
      <c r="X4229" s="142" t="s">
        <v>9553</v>
      </c>
      <c r="Y4229" s="143"/>
      <c r="Z4229" s="143"/>
      <c r="AA4229" s="143"/>
      <c r="AB4229" s="144"/>
      <c r="AC4229" s="16" t="s">
        <v>21</v>
      </c>
      <c r="AD4229" s="17" t="s">
        <v>3445</v>
      </c>
      <c r="AE4229" s="145" t="s">
        <v>1633</v>
      </c>
      <c r="AF4229" s="146"/>
      <c r="AG4229" s="146"/>
      <c r="AH4229" s="146"/>
      <c r="AI4229" s="147"/>
      <c r="AJ4229" s="148"/>
      <c r="AK4229" s="143"/>
      <c r="AL4229" s="144"/>
      <c r="AM4229" s="22"/>
      <c r="AN4229" s="149" t="s">
        <v>2511</v>
      </c>
      <c r="AO4229" s="144"/>
      <c r="AP4229" s="148">
        <v>80336</v>
      </c>
      <c r="AQ4229" s="144"/>
      <c r="AR4229" s="120"/>
      <c r="AS4229" s="121"/>
      <c r="AT4229" s="120"/>
      <c r="AU4229" s="121"/>
      <c r="AV4229" s="120"/>
      <c r="AW4229" s="121"/>
      <c r="AX4229" s="120"/>
      <c r="AY4229" s="121"/>
      <c r="AZ4229" s="138"/>
    </row>
    <row r="4230" spans="1:52" ht="17.100000000000001" customHeight="1" thickTop="1">
      <c r="A4230" s="109" t="s">
        <v>12930</v>
      </c>
      <c r="B4230" s="28">
        <v>46000</v>
      </c>
      <c r="C4230" s="25">
        <v>1921</v>
      </c>
      <c r="D4230" s="13" t="s">
        <v>1758</v>
      </c>
      <c r="E4230" s="111"/>
      <c r="F4230" s="113" t="s">
        <v>2993</v>
      </c>
      <c r="G4230" s="114"/>
      <c r="H4230" s="115"/>
      <c r="I4230" s="24"/>
      <c r="J4230" s="116">
        <v>3.5</v>
      </c>
      <c r="K4230" s="118">
        <v>409000</v>
      </c>
      <c r="L4230" s="119"/>
      <c r="M4230" s="118">
        <f t="shared" ref="M4230" si="4435">K4230*0.1</f>
        <v>40900</v>
      </c>
      <c r="N4230" s="119"/>
      <c r="O4230" s="118">
        <v>0</v>
      </c>
      <c r="P4230" s="119"/>
      <c r="Q4230" s="118">
        <v>8400</v>
      </c>
      <c r="R4230" s="119"/>
      <c r="S4230" s="118">
        <v>15950</v>
      </c>
      <c r="T4230" s="119"/>
      <c r="U4230" s="118">
        <f t="shared" ref="U4230" si="4436">SUM(K4230:T4231)</f>
        <v>474250</v>
      </c>
      <c r="V4230" s="122"/>
      <c r="W4230" s="124"/>
      <c r="X4230" s="126" t="s">
        <v>13388</v>
      </c>
      <c r="Y4230" s="127"/>
      <c r="Z4230" s="127"/>
      <c r="AA4230" s="127"/>
      <c r="AB4230" s="128"/>
      <c r="AC4230" s="15" t="s">
        <v>20</v>
      </c>
      <c r="AD4230" s="129" t="s">
        <v>7512</v>
      </c>
      <c r="AE4230" s="130"/>
      <c r="AF4230" s="130"/>
      <c r="AG4230" s="130"/>
      <c r="AH4230" s="130"/>
      <c r="AI4230" s="131"/>
      <c r="AJ4230" s="132"/>
      <c r="AK4230" s="127"/>
      <c r="AL4230" s="128"/>
      <c r="AM4230" s="21"/>
      <c r="AN4230" s="133">
        <v>46004</v>
      </c>
      <c r="AO4230" s="134"/>
      <c r="AP4230" s="135">
        <v>1280</v>
      </c>
      <c r="AQ4230" s="136"/>
      <c r="AR4230" s="118">
        <v>480000</v>
      </c>
      <c r="AS4230" s="119"/>
      <c r="AT4230" s="118">
        <f t="shared" ref="AT4230" si="4437">AR4230*0.1</f>
        <v>48000</v>
      </c>
      <c r="AU4230" s="119"/>
      <c r="AV4230" s="118">
        <v>8400</v>
      </c>
      <c r="AW4230" s="119"/>
      <c r="AX4230" s="118">
        <f t="shared" ref="AX4230" si="4438">SUM(AR4230:AW4230)</f>
        <v>536400</v>
      </c>
      <c r="AY4230" s="119"/>
      <c r="AZ4230" s="137">
        <v>46008</v>
      </c>
    </row>
    <row r="4231" spans="1:52" ht="17.100000000000001" customHeight="1" thickBot="1">
      <c r="A4231" s="110"/>
      <c r="B4231" s="27" t="s">
        <v>2131</v>
      </c>
      <c r="C4231" s="27">
        <v>30004</v>
      </c>
      <c r="D4231" s="14" t="s">
        <v>1576</v>
      </c>
      <c r="E4231" s="112"/>
      <c r="F4231" s="139" t="s">
        <v>12826</v>
      </c>
      <c r="G4231" s="140"/>
      <c r="H4231" s="141"/>
      <c r="I4231" s="26">
        <v>36442</v>
      </c>
      <c r="J4231" s="117"/>
      <c r="K4231" s="120"/>
      <c r="L4231" s="121"/>
      <c r="M4231" s="120"/>
      <c r="N4231" s="121"/>
      <c r="O4231" s="120"/>
      <c r="P4231" s="121"/>
      <c r="Q4231" s="120"/>
      <c r="R4231" s="121"/>
      <c r="S4231" s="120"/>
      <c r="T4231" s="121"/>
      <c r="U4231" s="120"/>
      <c r="V4231" s="123"/>
      <c r="W4231" s="125"/>
      <c r="X4231" s="142" t="s">
        <v>13389</v>
      </c>
      <c r="Y4231" s="143"/>
      <c r="Z4231" s="143"/>
      <c r="AA4231" s="143"/>
      <c r="AB4231" s="144"/>
      <c r="AC4231" s="16" t="s">
        <v>21</v>
      </c>
      <c r="AD4231" s="17" t="s">
        <v>3445</v>
      </c>
      <c r="AE4231" s="145" t="s">
        <v>1633</v>
      </c>
      <c r="AF4231" s="146"/>
      <c r="AG4231" s="146"/>
      <c r="AH4231" s="146"/>
      <c r="AI4231" s="147"/>
      <c r="AJ4231" s="148"/>
      <c r="AK4231" s="143"/>
      <c r="AL4231" s="144"/>
      <c r="AM4231" s="22"/>
      <c r="AN4231" s="149" t="s">
        <v>2511</v>
      </c>
      <c r="AO4231" s="144"/>
      <c r="AP4231" s="148">
        <v>60432</v>
      </c>
      <c r="AQ4231" s="144"/>
      <c r="AR4231" s="120"/>
      <c r="AS4231" s="121"/>
      <c r="AT4231" s="120"/>
      <c r="AU4231" s="121"/>
      <c r="AV4231" s="120"/>
      <c r="AW4231" s="121"/>
      <c r="AX4231" s="120"/>
      <c r="AY4231" s="121"/>
      <c r="AZ4231" s="138"/>
    </row>
    <row r="4232" spans="1:52" ht="17.100000000000001" customHeight="1" thickTop="1">
      <c r="A4232" s="109" t="s">
        <v>12931</v>
      </c>
      <c r="B4232" s="28">
        <v>46000</v>
      </c>
      <c r="C4232" s="25">
        <v>1921</v>
      </c>
      <c r="D4232" s="13" t="s">
        <v>2616</v>
      </c>
      <c r="E4232" s="111"/>
      <c r="F4232" s="113" t="s">
        <v>10136</v>
      </c>
      <c r="G4232" s="114"/>
      <c r="H4232" s="115"/>
      <c r="I4232" s="24"/>
      <c r="J4232" s="116">
        <v>4</v>
      </c>
      <c r="K4232" s="118">
        <v>692000</v>
      </c>
      <c r="L4232" s="119"/>
      <c r="M4232" s="118">
        <f t="shared" ref="M4232" si="4439">K4232*0.1</f>
        <v>69200</v>
      </c>
      <c r="N4232" s="119"/>
      <c r="O4232" s="118">
        <v>0</v>
      </c>
      <c r="P4232" s="119"/>
      <c r="Q4232" s="118">
        <v>7150</v>
      </c>
      <c r="R4232" s="119"/>
      <c r="S4232" s="118">
        <v>15950</v>
      </c>
      <c r="T4232" s="119"/>
      <c r="U4232" s="118">
        <f t="shared" ref="U4232" si="4440">SUM(K4232:T4233)</f>
        <v>784300</v>
      </c>
      <c r="V4232" s="122"/>
      <c r="W4232" s="124"/>
      <c r="X4232" s="126" t="s">
        <v>13634</v>
      </c>
      <c r="Y4232" s="127"/>
      <c r="Z4232" s="127"/>
      <c r="AA4232" s="127"/>
      <c r="AB4232" s="128"/>
      <c r="AC4232" s="15" t="s">
        <v>20</v>
      </c>
      <c r="AD4232" s="129"/>
      <c r="AE4232" s="130"/>
      <c r="AF4232" s="130"/>
      <c r="AG4232" s="130"/>
      <c r="AH4232" s="130"/>
      <c r="AI4232" s="131"/>
      <c r="AJ4232" s="132"/>
      <c r="AK4232" s="127"/>
      <c r="AL4232" s="128"/>
      <c r="AM4232" s="21"/>
      <c r="AN4232" s="133">
        <v>46004</v>
      </c>
      <c r="AO4232" s="134"/>
      <c r="AP4232" s="135">
        <v>1280</v>
      </c>
      <c r="AQ4232" s="136"/>
      <c r="AR4232" s="118">
        <v>780000</v>
      </c>
      <c r="AS4232" s="119"/>
      <c r="AT4232" s="118">
        <f t="shared" ref="AT4232" si="4441">AR4232*0.1</f>
        <v>78000</v>
      </c>
      <c r="AU4232" s="119"/>
      <c r="AV4232" s="118">
        <v>7150</v>
      </c>
      <c r="AW4232" s="119"/>
      <c r="AX4232" s="118">
        <f t="shared" ref="AX4232" si="4442">SUM(AR4232:AW4232)</f>
        <v>865150</v>
      </c>
      <c r="AY4232" s="119"/>
      <c r="AZ4232" s="137">
        <v>46014</v>
      </c>
    </row>
    <row r="4233" spans="1:52" ht="17.100000000000001" customHeight="1" thickBot="1">
      <c r="A4233" s="110"/>
      <c r="B4233" s="27" t="s">
        <v>2131</v>
      </c>
      <c r="C4233" s="27">
        <v>70015</v>
      </c>
      <c r="D4233" s="14" t="s">
        <v>1635</v>
      </c>
      <c r="E4233" s="112"/>
      <c r="F4233" s="139" t="s">
        <v>12827</v>
      </c>
      <c r="G4233" s="140"/>
      <c r="H4233" s="141"/>
      <c r="I4233" s="26">
        <v>56926</v>
      </c>
      <c r="J4233" s="117"/>
      <c r="K4233" s="120"/>
      <c r="L4233" s="121"/>
      <c r="M4233" s="120"/>
      <c r="N4233" s="121"/>
      <c r="O4233" s="120"/>
      <c r="P4233" s="121"/>
      <c r="Q4233" s="120"/>
      <c r="R4233" s="121"/>
      <c r="S4233" s="120"/>
      <c r="T4233" s="121"/>
      <c r="U4233" s="120"/>
      <c r="V4233" s="123"/>
      <c r="W4233" s="125"/>
      <c r="X4233" s="142" t="s">
        <v>5250</v>
      </c>
      <c r="Y4233" s="143"/>
      <c r="Z4233" s="143"/>
      <c r="AA4233" s="143"/>
      <c r="AB4233" s="144"/>
      <c r="AC4233" s="16" t="s">
        <v>21</v>
      </c>
      <c r="AD4233" s="17" t="s">
        <v>1783</v>
      </c>
      <c r="AE4233" s="145"/>
      <c r="AF4233" s="146"/>
      <c r="AG4233" s="146"/>
      <c r="AH4233" s="146"/>
      <c r="AI4233" s="147"/>
      <c r="AJ4233" s="148"/>
      <c r="AK4233" s="143"/>
      <c r="AL4233" s="144"/>
      <c r="AM4233" s="22"/>
      <c r="AN4233" s="149" t="s">
        <v>2511</v>
      </c>
      <c r="AO4233" s="144"/>
      <c r="AP4233" s="148">
        <v>60451</v>
      </c>
      <c r="AQ4233" s="144"/>
      <c r="AR4233" s="120"/>
      <c r="AS4233" s="121"/>
      <c r="AT4233" s="120"/>
      <c r="AU4233" s="121"/>
      <c r="AV4233" s="120"/>
      <c r="AW4233" s="121"/>
      <c r="AX4233" s="120"/>
      <c r="AY4233" s="121"/>
      <c r="AZ4233" s="138"/>
    </row>
    <row r="4234" spans="1:52" ht="17.100000000000001" customHeight="1" thickTop="1">
      <c r="A4234" s="109" t="s">
        <v>12932</v>
      </c>
      <c r="B4234" s="28">
        <v>46000</v>
      </c>
      <c r="C4234" s="25">
        <v>799</v>
      </c>
      <c r="D4234" s="13" t="s">
        <v>2009</v>
      </c>
      <c r="E4234" s="111"/>
      <c r="F4234" s="113" t="s">
        <v>11603</v>
      </c>
      <c r="G4234" s="114"/>
      <c r="H4234" s="115"/>
      <c r="I4234" s="24"/>
      <c r="J4234" s="116">
        <v>4</v>
      </c>
      <c r="K4234" s="118">
        <v>750000</v>
      </c>
      <c r="L4234" s="119"/>
      <c r="M4234" s="118">
        <f t="shared" ref="M4234" si="4443">K4234*0.1</f>
        <v>75000</v>
      </c>
      <c r="N4234" s="119"/>
      <c r="O4234" s="118">
        <v>0</v>
      </c>
      <c r="P4234" s="119"/>
      <c r="Q4234" s="118">
        <v>8510</v>
      </c>
      <c r="R4234" s="119"/>
      <c r="S4234" s="118">
        <v>15950</v>
      </c>
      <c r="T4234" s="119"/>
      <c r="U4234" s="118">
        <f t="shared" ref="U4234" si="4444">SUM(K4234:T4235)</f>
        <v>849460</v>
      </c>
      <c r="V4234" s="122"/>
      <c r="W4234" s="124"/>
      <c r="X4234" s="126" t="s">
        <v>13346</v>
      </c>
      <c r="Y4234" s="127"/>
      <c r="Z4234" s="127"/>
      <c r="AA4234" s="127"/>
      <c r="AB4234" s="128"/>
      <c r="AC4234" s="15" t="s">
        <v>20</v>
      </c>
      <c r="AD4234" s="129"/>
      <c r="AE4234" s="130"/>
      <c r="AF4234" s="130"/>
      <c r="AG4234" s="130"/>
      <c r="AH4234" s="130"/>
      <c r="AI4234" s="131"/>
      <c r="AJ4234" s="132"/>
      <c r="AK4234" s="127"/>
      <c r="AL4234" s="128"/>
      <c r="AM4234" s="21"/>
      <c r="AN4234" s="133">
        <v>46011</v>
      </c>
      <c r="AO4234" s="134"/>
      <c r="AP4234" s="135">
        <v>1281</v>
      </c>
      <c r="AQ4234" s="136"/>
      <c r="AR4234" s="118">
        <v>850000</v>
      </c>
      <c r="AS4234" s="119"/>
      <c r="AT4234" s="118">
        <f t="shared" ref="AT4234" si="4445">AR4234*0.1</f>
        <v>85000</v>
      </c>
      <c r="AU4234" s="119"/>
      <c r="AV4234" s="118">
        <v>8510</v>
      </c>
      <c r="AW4234" s="119"/>
      <c r="AX4234" s="118">
        <f t="shared" ref="AX4234" si="4446">SUM(AR4234:AW4234)</f>
        <v>943510</v>
      </c>
      <c r="AY4234" s="119"/>
      <c r="AZ4234" s="137">
        <v>46014</v>
      </c>
    </row>
    <row r="4235" spans="1:52" ht="17.100000000000001" customHeight="1" thickBot="1">
      <c r="A4235" s="110"/>
      <c r="B4235" s="27" t="s">
        <v>3367</v>
      </c>
      <c r="C4235" s="27">
        <v>3077</v>
      </c>
      <c r="D4235" s="14" t="s">
        <v>1592</v>
      </c>
      <c r="E4235" s="112"/>
      <c r="F4235" s="139" t="s">
        <v>12828</v>
      </c>
      <c r="G4235" s="140"/>
      <c r="H4235" s="141"/>
      <c r="I4235" s="26">
        <v>59353</v>
      </c>
      <c r="J4235" s="117"/>
      <c r="K4235" s="120"/>
      <c r="L4235" s="121"/>
      <c r="M4235" s="120"/>
      <c r="N4235" s="121"/>
      <c r="O4235" s="120"/>
      <c r="P4235" s="121"/>
      <c r="Q4235" s="120"/>
      <c r="R4235" s="121"/>
      <c r="S4235" s="120"/>
      <c r="T4235" s="121"/>
      <c r="U4235" s="120"/>
      <c r="V4235" s="123"/>
      <c r="W4235" s="125"/>
      <c r="X4235" s="142" t="s">
        <v>3986</v>
      </c>
      <c r="Y4235" s="143"/>
      <c r="Z4235" s="143"/>
      <c r="AA4235" s="143"/>
      <c r="AB4235" s="144"/>
      <c r="AC4235" s="16" t="s">
        <v>21</v>
      </c>
      <c r="AD4235" s="17" t="s">
        <v>2268</v>
      </c>
      <c r="AE4235" s="145"/>
      <c r="AF4235" s="146"/>
      <c r="AG4235" s="146"/>
      <c r="AH4235" s="146"/>
      <c r="AI4235" s="147"/>
      <c r="AJ4235" s="148"/>
      <c r="AK4235" s="143"/>
      <c r="AL4235" s="144"/>
      <c r="AM4235" s="22"/>
      <c r="AN4235" s="149" t="s">
        <v>2511</v>
      </c>
      <c r="AO4235" s="144"/>
      <c r="AP4235" s="148">
        <v>60047</v>
      </c>
      <c r="AQ4235" s="144"/>
      <c r="AR4235" s="120"/>
      <c r="AS4235" s="121"/>
      <c r="AT4235" s="120"/>
      <c r="AU4235" s="121"/>
      <c r="AV4235" s="120"/>
      <c r="AW4235" s="121"/>
      <c r="AX4235" s="120"/>
      <c r="AY4235" s="121"/>
      <c r="AZ4235" s="138"/>
    </row>
    <row r="4236" spans="1:52" ht="17.100000000000001" customHeight="1" thickTop="1">
      <c r="A4236" s="109" t="s">
        <v>12933</v>
      </c>
      <c r="B4236" s="28">
        <v>46000</v>
      </c>
      <c r="C4236" s="25">
        <v>919</v>
      </c>
      <c r="D4236" s="13" t="s">
        <v>1744</v>
      </c>
      <c r="E4236" s="111"/>
      <c r="F4236" s="113" t="s">
        <v>12829</v>
      </c>
      <c r="G4236" s="114"/>
      <c r="H4236" s="115"/>
      <c r="I4236" s="24"/>
      <c r="J4236" s="116">
        <v>3.5</v>
      </c>
      <c r="K4236" s="118">
        <v>558000</v>
      </c>
      <c r="L4236" s="119"/>
      <c r="M4236" s="118">
        <f t="shared" ref="M4236" si="4447">K4236*0.1</f>
        <v>55800</v>
      </c>
      <c r="N4236" s="119"/>
      <c r="O4236" s="118">
        <v>0</v>
      </c>
      <c r="P4236" s="119"/>
      <c r="Q4236" s="118">
        <v>9770</v>
      </c>
      <c r="R4236" s="119"/>
      <c r="S4236" s="118">
        <v>15950</v>
      </c>
      <c r="T4236" s="119"/>
      <c r="U4236" s="118">
        <f t="shared" ref="U4236" si="4448">SUM(K4236:T4237)</f>
        <v>639520</v>
      </c>
      <c r="V4236" s="122"/>
      <c r="W4236" s="124"/>
      <c r="X4236" s="126" t="s">
        <v>13341</v>
      </c>
      <c r="Y4236" s="127"/>
      <c r="Z4236" s="127"/>
      <c r="AA4236" s="127"/>
      <c r="AB4236" s="128"/>
      <c r="AC4236" s="15" t="s">
        <v>20</v>
      </c>
      <c r="AD4236" s="129"/>
      <c r="AE4236" s="130"/>
      <c r="AF4236" s="130"/>
      <c r="AG4236" s="130"/>
      <c r="AH4236" s="130"/>
      <c r="AI4236" s="131"/>
      <c r="AJ4236" s="132"/>
      <c r="AK4236" s="127"/>
      <c r="AL4236" s="128"/>
      <c r="AM4236" s="21"/>
      <c r="AN4236" s="133">
        <v>46018</v>
      </c>
      <c r="AO4236" s="134"/>
      <c r="AP4236" s="135">
        <v>1282</v>
      </c>
      <c r="AQ4236" s="136"/>
      <c r="AR4236" s="118">
        <v>625000</v>
      </c>
      <c r="AS4236" s="119"/>
      <c r="AT4236" s="118">
        <f t="shared" ref="AT4236" si="4449">AR4236*0.1</f>
        <v>62500</v>
      </c>
      <c r="AU4236" s="119"/>
      <c r="AV4236" s="118">
        <v>9770</v>
      </c>
      <c r="AW4236" s="119"/>
      <c r="AX4236" s="118">
        <f t="shared" ref="AX4236" si="4450">SUM(AR4236:AW4236)</f>
        <v>697270</v>
      </c>
      <c r="AY4236" s="119"/>
      <c r="AZ4236" s="137">
        <v>46028</v>
      </c>
    </row>
    <row r="4237" spans="1:52" ht="17.100000000000001" customHeight="1" thickBot="1">
      <c r="A4237" s="110"/>
      <c r="B4237" s="27" t="s">
        <v>2699</v>
      </c>
      <c r="C4237" s="27">
        <v>3042</v>
      </c>
      <c r="D4237" s="14" t="s">
        <v>3855</v>
      </c>
      <c r="E4237" s="112"/>
      <c r="F4237" s="139" t="s">
        <v>12830</v>
      </c>
      <c r="G4237" s="140"/>
      <c r="H4237" s="141"/>
      <c r="I4237" s="26">
        <v>48881</v>
      </c>
      <c r="J4237" s="117"/>
      <c r="K4237" s="120"/>
      <c r="L4237" s="121"/>
      <c r="M4237" s="120"/>
      <c r="N4237" s="121"/>
      <c r="O4237" s="120"/>
      <c r="P4237" s="121"/>
      <c r="Q4237" s="120"/>
      <c r="R4237" s="121"/>
      <c r="S4237" s="120"/>
      <c r="T4237" s="121"/>
      <c r="U4237" s="120"/>
      <c r="V4237" s="123"/>
      <c r="W4237" s="125"/>
      <c r="X4237" s="142" t="s">
        <v>4628</v>
      </c>
      <c r="Y4237" s="143"/>
      <c r="Z4237" s="143"/>
      <c r="AA4237" s="143"/>
      <c r="AB4237" s="144"/>
      <c r="AC4237" s="16" t="s">
        <v>21</v>
      </c>
      <c r="AD4237" s="17" t="s">
        <v>2268</v>
      </c>
      <c r="AE4237" s="145" t="s">
        <v>2195</v>
      </c>
      <c r="AF4237" s="146"/>
      <c r="AG4237" s="146"/>
      <c r="AH4237" s="146"/>
      <c r="AI4237" s="147"/>
      <c r="AJ4237" s="148"/>
      <c r="AK4237" s="143"/>
      <c r="AL4237" s="144"/>
      <c r="AM4237" s="22"/>
      <c r="AN4237" s="149" t="s">
        <v>2511</v>
      </c>
      <c r="AO4237" s="144"/>
      <c r="AP4237" s="148">
        <v>60124</v>
      </c>
      <c r="AQ4237" s="144"/>
      <c r="AR4237" s="120"/>
      <c r="AS4237" s="121"/>
      <c r="AT4237" s="120"/>
      <c r="AU4237" s="121"/>
      <c r="AV4237" s="120"/>
      <c r="AW4237" s="121"/>
      <c r="AX4237" s="120"/>
      <c r="AY4237" s="121"/>
      <c r="AZ4237" s="138"/>
    </row>
    <row r="4238" spans="1:52" ht="17.100000000000001" customHeight="1" thickTop="1">
      <c r="A4238" s="109" t="s">
        <v>12934</v>
      </c>
      <c r="B4238" s="28">
        <v>46000</v>
      </c>
      <c r="C4238" s="25">
        <v>919</v>
      </c>
      <c r="D4238" s="13" t="s">
        <v>2442</v>
      </c>
      <c r="E4238" s="111"/>
      <c r="F4238" s="113" t="s">
        <v>12576</v>
      </c>
      <c r="G4238" s="114"/>
      <c r="H4238" s="115"/>
      <c r="I4238" s="24"/>
      <c r="J4238" s="116">
        <v>4</v>
      </c>
      <c r="K4238" s="118">
        <v>800000</v>
      </c>
      <c r="L4238" s="119"/>
      <c r="M4238" s="118">
        <f t="shared" ref="M4238" si="4451">K4238*0.1</f>
        <v>80000</v>
      </c>
      <c r="N4238" s="119"/>
      <c r="O4238" s="118">
        <v>0</v>
      </c>
      <c r="P4238" s="119"/>
      <c r="Q4238" s="118">
        <v>8400</v>
      </c>
      <c r="R4238" s="119"/>
      <c r="S4238" s="118">
        <v>15950</v>
      </c>
      <c r="T4238" s="119"/>
      <c r="U4238" s="118">
        <f t="shared" ref="U4238" si="4452">SUM(K4238:T4239)</f>
        <v>904350</v>
      </c>
      <c r="V4238" s="122"/>
      <c r="W4238" s="124"/>
      <c r="X4238" s="126" t="s">
        <v>13340</v>
      </c>
      <c r="Y4238" s="127"/>
      <c r="Z4238" s="127"/>
      <c r="AA4238" s="127"/>
      <c r="AB4238" s="128"/>
      <c r="AC4238" s="15" t="s">
        <v>20</v>
      </c>
      <c r="AD4238" s="129"/>
      <c r="AE4238" s="130"/>
      <c r="AF4238" s="130"/>
      <c r="AG4238" s="130"/>
      <c r="AH4238" s="130"/>
      <c r="AI4238" s="131"/>
      <c r="AJ4238" s="132"/>
      <c r="AK4238" s="127"/>
      <c r="AL4238" s="128"/>
      <c r="AM4238" s="21"/>
      <c r="AN4238" s="133">
        <v>46004</v>
      </c>
      <c r="AO4238" s="134"/>
      <c r="AP4238" s="135">
        <v>1280</v>
      </c>
      <c r="AQ4238" s="136"/>
      <c r="AR4238" s="118">
        <v>905000</v>
      </c>
      <c r="AS4238" s="119"/>
      <c r="AT4238" s="118">
        <f t="shared" ref="AT4238" si="4453">AR4238*0.1</f>
        <v>90500</v>
      </c>
      <c r="AU4238" s="119"/>
      <c r="AV4238" s="118">
        <v>8400</v>
      </c>
      <c r="AW4238" s="119"/>
      <c r="AX4238" s="118">
        <f t="shared" ref="AX4238" si="4454">SUM(AR4238:AW4238)</f>
        <v>1003900</v>
      </c>
      <c r="AY4238" s="119"/>
      <c r="AZ4238" s="137">
        <v>46008</v>
      </c>
    </row>
    <row r="4239" spans="1:52" ht="17.100000000000001" customHeight="1" thickBot="1">
      <c r="A4239" s="110"/>
      <c r="B4239" s="27" t="s">
        <v>2699</v>
      </c>
      <c r="C4239" s="27">
        <v>3100</v>
      </c>
      <c r="D4239" s="14" t="s">
        <v>275</v>
      </c>
      <c r="E4239" s="112"/>
      <c r="F4239" s="139" t="s">
        <v>12831</v>
      </c>
      <c r="G4239" s="140"/>
      <c r="H4239" s="141"/>
      <c r="I4239" s="26">
        <v>21766</v>
      </c>
      <c r="J4239" s="117"/>
      <c r="K4239" s="120"/>
      <c r="L4239" s="121"/>
      <c r="M4239" s="120"/>
      <c r="N4239" s="121"/>
      <c r="O4239" s="120"/>
      <c r="P4239" s="121"/>
      <c r="Q4239" s="120"/>
      <c r="R4239" s="121"/>
      <c r="S4239" s="120"/>
      <c r="T4239" s="121"/>
      <c r="U4239" s="120"/>
      <c r="V4239" s="123"/>
      <c r="W4239" s="125"/>
      <c r="X4239" s="142" t="s">
        <v>3562</v>
      </c>
      <c r="Y4239" s="143"/>
      <c r="Z4239" s="143"/>
      <c r="AA4239" s="143"/>
      <c r="AB4239" s="144"/>
      <c r="AC4239" s="16" t="s">
        <v>21</v>
      </c>
      <c r="AD4239" s="17" t="s">
        <v>2268</v>
      </c>
      <c r="AE4239" s="145" t="s">
        <v>7860</v>
      </c>
      <c r="AF4239" s="146"/>
      <c r="AG4239" s="146"/>
      <c r="AH4239" s="146"/>
      <c r="AI4239" s="147"/>
      <c r="AJ4239" s="148"/>
      <c r="AK4239" s="143"/>
      <c r="AL4239" s="144"/>
      <c r="AM4239" s="22"/>
      <c r="AN4239" s="149" t="s">
        <v>2511</v>
      </c>
      <c r="AO4239" s="144"/>
      <c r="AP4239" s="148">
        <v>60435</v>
      </c>
      <c r="AQ4239" s="144"/>
      <c r="AR4239" s="120"/>
      <c r="AS4239" s="121"/>
      <c r="AT4239" s="120"/>
      <c r="AU4239" s="121"/>
      <c r="AV4239" s="120"/>
      <c r="AW4239" s="121"/>
      <c r="AX4239" s="120"/>
      <c r="AY4239" s="121"/>
      <c r="AZ4239" s="138"/>
    </row>
    <row r="4240" spans="1:52" ht="17.100000000000001" customHeight="1" thickTop="1">
      <c r="A4240" s="109" t="s">
        <v>12935</v>
      </c>
      <c r="B4240" s="28">
        <v>46000</v>
      </c>
      <c r="C4240" s="25">
        <v>919</v>
      </c>
      <c r="D4240" s="13" t="s">
        <v>4121</v>
      </c>
      <c r="E4240" s="111"/>
      <c r="F4240" s="113" t="s">
        <v>4683</v>
      </c>
      <c r="G4240" s="114"/>
      <c r="H4240" s="115"/>
      <c r="I4240" s="24"/>
      <c r="J4240" s="116">
        <v>4.5</v>
      </c>
      <c r="K4240" s="118">
        <v>1033000</v>
      </c>
      <c r="L4240" s="119"/>
      <c r="M4240" s="118">
        <f t="shared" ref="M4240" si="4455">K4240*0.1</f>
        <v>103300</v>
      </c>
      <c r="N4240" s="119"/>
      <c r="O4240" s="118">
        <v>0</v>
      </c>
      <c r="P4240" s="119"/>
      <c r="Q4240" s="118">
        <v>7150</v>
      </c>
      <c r="R4240" s="119"/>
      <c r="S4240" s="118">
        <v>15950</v>
      </c>
      <c r="T4240" s="119"/>
      <c r="U4240" s="118">
        <f t="shared" ref="U4240" si="4456">SUM(K4240:T4241)</f>
        <v>1159400</v>
      </c>
      <c r="V4240" s="122"/>
      <c r="W4240" s="124"/>
      <c r="X4240" s="126" t="s">
        <v>13392</v>
      </c>
      <c r="Y4240" s="127"/>
      <c r="Z4240" s="127"/>
      <c r="AA4240" s="127"/>
      <c r="AB4240" s="128"/>
      <c r="AC4240" s="15" t="s">
        <v>20</v>
      </c>
      <c r="AD4240" s="129"/>
      <c r="AE4240" s="130"/>
      <c r="AF4240" s="130"/>
      <c r="AG4240" s="130"/>
      <c r="AH4240" s="130"/>
      <c r="AI4240" s="131"/>
      <c r="AJ4240" s="132"/>
      <c r="AK4240" s="127"/>
      <c r="AL4240" s="128"/>
      <c r="AM4240" s="21"/>
      <c r="AN4240" s="133">
        <v>46011</v>
      </c>
      <c r="AO4240" s="134"/>
      <c r="AP4240" s="135">
        <v>1281</v>
      </c>
      <c r="AQ4240" s="136"/>
      <c r="AR4240" s="118">
        <v>1155000</v>
      </c>
      <c r="AS4240" s="119"/>
      <c r="AT4240" s="118">
        <f t="shared" ref="AT4240" si="4457">AR4240*0.1</f>
        <v>115500</v>
      </c>
      <c r="AU4240" s="119"/>
      <c r="AV4240" s="118">
        <v>7150</v>
      </c>
      <c r="AW4240" s="119"/>
      <c r="AX4240" s="118">
        <f t="shared" ref="AX4240" si="4458">SUM(AR4240:AW4240)</f>
        <v>1277650</v>
      </c>
      <c r="AY4240" s="119"/>
      <c r="AZ4240" s="137">
        <v>46014</v>
      </c>
    </row>
    <row r="4241" spans="1:52" ht="17.100000000000001" customHeight="1" thickBot="1">
      <c r="A4241" s="110"/>
      <c r="B4241" s="27" t="s">
        <v>2699</v>
      </c>
      <c r="C4241" s="27">
        <v>3129</v>
      </c>
      <c r="D4241" s="14" t="s">
        <v>275</v>
      </c>
      <c r="E4241" s="112"/>
      <c r="F4241" s="139" t="s">
        <v>12832</v>
      </c>
      <c r="G4241" s="140"/>
      <c r="H4241" s="141"/>
      <c r="I4241" s="26">
        <v>32265</v>
      </c>
      <c r="J4241" s="117"/>
      <c r="K4241" s="120"/>
      <c r="L4241" s="121"/>
      <c r="M4241" s="120"/>
      <c r="N4241" s="121"/>
      <c r="O4241" s="120"/>
      <c r="P4241" s="121"/>
      <c r="Q4241" s="120"/>
      <c r="R4241" s="121"/>
      <c r="S4241" s="120"/>
      <c r="T4241" s="121"/>
      <c r="U4241" s="120"/>
      <c r="V4241" s="123"/>
      <c r="W4241" s="125"/>
      <c r="X4241" s="142" t="s">
        <v>8383</v>
      </c>
      <c r="Y4241" s="143"/>
      <c r="Z4241" s="143"/>
      <c r="AA4241" s="143"/>
      <c r="AB4241" s="144"/>
      <c r="AC4241" s="16" t="s">
        <v>21</v>
      </c>
      <c r="AD4241" s="17" t="s">
        <v>3445</v>
      </c>
      <c r="AE4241" s="145"/>
      <c r="AF4241" s="146"/>
      <c r="AG4241" s="146"/>
      <c r="AH4241" s="146"/>
      <c r="AI4241" s="147"/>
      <c r="AJ4241" s="148"/>
      <c r="AK4241" s="143"/>
      <c r="AL4241" s="144"/>
      <c r="AM4241" s="22"/>
      <c r="AN4241" s="149" t="s">
        <v>2511</v>
      </c>
      <c r="AO4241" s="144"/>
      <c r="AP4241" s="148">
        <v>60091</v>
      </c>
      <c r="AQ4241" s="144"/>
      <c r="AR4241" s="120"/>
      <c r="AS4241" s="121"/>
      <c r="AT4241" s="120"/>
      <c r="AU4241" s="121"/>
      <c r="AV4241" s="120"/>
      <c r="AW4241" s="121"/>
      <c r="AX4241" s="120"/>
      <c r="AY4241" s="121"/>
      <c r="AZ4241" s="138"/>
    </row>
    <row r="4242" spans="1:52" ht="17.100000000000001" customHeight="1" thickTop="1">
      <c r="A4242" s="151" t="s">
        <v>12936</v>
      </c>
      <c r="B4242" s="28">
        <v>46000</v>
      </c>
      <c r="C4242" s="25">
        <v>919</v>
      </c>
      <c r="D4242" s="13" t="s">
        <v>1853</v>
      </c>
      <c r="E4242" s="111"/>
      <c r="F4242" s="113" t="s">
        <v>12833</v>
      </c>
      <c r="G4242" s="114"/>
      <c r="H4242" s="115"/>
      <c r="I4242" s="24"/>
      <c r="J4242" s="116">
        <v>4</v>
      </c>
      <c r="K4242" s="118">
        <v>972000</v>
      </c>
      <c r="L4242" s="119"/>
      <c r="M4242" s="118">
        <f t="shared" ref="M4242" si="4459">K4242*0.1</f>
        <v>97200</v>
      </c>
      <c r="N4242" s="119"/>
      <c r="O4242" s="118">
        <v>0</v>
      </c>
      <c r="P4242" s="119"/>
      <c r="Q4242" s="118">
        <v>8510</v>
      </c>
      <c r="R4242" s="119"/>
      <c r="S4242" s="118">
        <v>15950</v>
      </c>
      <c r="T4242" s="119"/>
      <c r="U4242" s="118">
        <f t="shared" ref="U4242" si="4460">SUM(K4242:T4243)</f>
        <v>1093660</v>
      </c>
      <c r="V4242" s="122"/>
      <c r="W4242" s="124"/>
      <c r="X4242" s="126" t="s">
        <v>13391</v>
      </c>
      <c r="Y4242" s="127"/>
      <c r="Z4242" s="127"/>
      <c r="AA4242" s="127"/>
      <c r="AB4242" s="128"/>
      <c r="AC4242" s="15" t="s">
        <v>20</v>
      </c>
      <c r="AD4242" s="129"/>
      <c r="AE4242" s="130"/>
      <c r="AF4242" s="130"/>
      <c r="AG4242" s="130"/>
      <c r="AH4242" s="130"/>
      <c r="AI4242" s="131"/>
      <c r="AJ4242" s="132"/>
      <c r="AK4242" s="127"/>
      <c r="AL4242" s="128"/>
      <c r="AM4242" s="21"/>
      <c r="AN4242" s="133">
        <v>46039</v>
      </c>
      <c r="AO4242" s="134"/>
      <c r="AP4242" s="135">
        <v>1284</v>
      </c>
      <c r="AQ4242" s="136"/>
      <c r="AR4242" s="118">
        <v>1020000</v>
      </c>
      <c r="AS4242" s="119"/>
      <c r="AT4242" s="118">
        <f t="shared" ref="AT4242" si="4461">AR4242*0.1</f>
        <v>102000</v>
      </c>
      <c r="AU4242" s="119"/>
      <c r="AV4242" s="118">
        <v>8510</v>
      </c>
      <c r="AW4242" s="119"/>
      <c r="AX4242" s="118">
        <f t="shared" ref="AX4242" si="4462">SUM(AR4242:AW4242)</f>
        <v>1130510</v>
      </c>
      <c r="AY4242" s="119"/>
      <c r="AZ4242" s="137">
        <v>46042</v>
      </c>
    </row>
    <row r="4243" spans="1:52" ht="17.100000000000001" customHeight="1" thickBot="1">
      <c r="A4243" s="152"/>
      <c r="B4243" s="27" t="s">
        <v>2699</v>
      </c>
      <c r="C4243" s="27">
        <v>3137</v>
      </c>
      <c r="D4243" s="14" t="s">
        <v>4023</v>
      </c>
      <c r="E4243" s="112"/>
      <c r="F4243" s="139" t="s">
        <v>12834</v>
      </c>
      <c r="G4243" s="140"/>
      <c r="H4243" s="141"/>
      <c r="I4243" s="26">
        <v>46891</v>
      </c>
      <c r="J4243" s="117"/>
      <c r="K4243" s="120"/>
      <c r="L4243" s="121"/>
      <c r="M4243" s="120"/>
      <c r="N4243" s="121"/>
      <c r="O4243" s="120"/>
      <c r="P4243" s="121"/>
      <c r="Q4243" s="120"/>
      <c r="R4243" s="121"/>
      <c r="S4243" s="120"/>
      <c r="T4243" s="121"/>
      <c r="U4243" s="120"/>
      <c r="V4243" s="123"/>
      <c r="W4243" s="125"/>
      <c r="X4243" s="142" t="s">
        <v>4633</v>
      </c>
      <c r="Y4243" s="143"/>
      <c r="Z4243" s="143"/>
      <c r="AA4243" s="143"/>
      <c r="AB4243" s="144"/>
      <c r="AC4243" s="16" t="s">
        <v>21</v>
      </c>
      <c r="AD4243" s="17" t="s">
        <v>3445</v>
      </c>
      <c r="AE4243" s="145"/>
      <c r="AF4243" s="146"/>
      <c r="AG4243" s="146"/>
      <c r="AH4243" s="146"/>
      <c r="AI4243" s="147"/>
      <c r="AJ4243" s="148"/>
      <c r="AK4243" s="143"/>
      <c r="AL4243" s="144"/>
      <c r="AM4243" s="22"/>
      <c r="AN4243" s="149" t="s">
        <v>2511</v>
      </c>
      <c r="AO4243" s="144"/>
      <c r="AP4243" s="148">
        <v>60077</v>
      </c>
      <c r="AQ4243" s="144"/>
      <c r="AR4243" s="120"/>
      <c r="AS4243" s="121"/>
      <c r="AT4243" s="120"/>
      <c r="AU4243" s="121"/>
      <c r="AV4243" s="120"/>
      <c r="AW4243" s="121"/>
      <c r="AX4243" s="120"/>
      <c r="AY4243" s="121"/>
      <c r="AZ4243" s="138"/>
    </row>
    <row r="4244" spans="1:52" ht="17.100000000000001" customHeight="1" thickTop="1">
      <c r="A4244" s="109" t="s">
        <v>12937</v>
      </c>
      <c r="B4244" s="28">
        <v>46000</v>
      </c>
      <c r="C4244" s="25">
        <v>919</v>
      </c>
      <c r="D4244" s="13" t="s">
        <v>1930</v>
      </c>
      <c r="E4244" s="111"/>
      <c r="F4244" s="113" t="s">
        <v>12616</v>
      </c>
      <c r="G4244" s="114"/>
      <c r="H4244" s="115"/>
      <c r="I4244" s="24" t="s">
        <v>2526</v>
      </c>
      <c r="J4244" s="116">
        <v>4</v>
      </c>
      <c r="K4244" s="118">
        <v>1024000</v>
      </c>
      <c r="L4244" s="119"/>
      <c r="M4244" s="118">
        <f t="shared" ref="M4244" si="4463">K4244*0.1</f>
        <v>102400</v>
      </c>
      <c r="N4244" s="119"/>
      <c r="O4244" s="118">
        <v>0</v>
      </c>
      <c r="P4244" s="119"/>
      <c r="Q4244" s="118">
        <v>6860</v>
      </c>
      <c r="R4244" s="119"/>
      <c r="S4244" s="118">
        <v>15950</v>
      </c>
      <c r="T4244" s="119"/>
      <c r="U4244" s="118">
        <f t="shared" ref="U4244" si="4464">SUM(K4244:T4245)</f>
        <v>1149210</v>
      </c>
      <c r="V4244" s="122"/>
      <c r="W4244" s="124"/>
      <c r="X4244" s="126" t="s">
        <v>12836</v>
      </c>
      <c r="Y4244" s="127"/>
      <c r="Z4244" s="127"/>
      <c r="AA4244" s="127"/>
      <c r="AB4244" s="128"/>
      <c r="AC4244" s="15" t="s">
        <v>20</v>
      </c>
      <c r="AD4244" s="129"/>
      <c r="AE4244" s="130"/>
      <c r="AF4244" s="130"/>
      <c r="AG4244" s="130"/>
      <c r="AH4244" s="130"/>
      <c r="AI4244" s="131"/>
      <c r="AJ4244" s="132"/>
      <c r="AK4244" s="127"/>
      <c r="AL4244" s="128"/>
      <c r="AM4244" s="21"/>
      <c r="AN4244" s="133">
        <v>46011</v>
      </c>
      <c r="AO4244" s="134"/>
      <c r="AP4244" s="135">
        <v>1281</v>
      </c>
      <c r="AQ4244" s="136"/>
      <c r="AR4244" s="118">
        <v>1020000</v>
      </c>
      <c r="AS4244" s="119"/>
      <c r="AT4244" s="118">
        <f t="shared" ref="AT4244" si="4465">AR4244*0.1</f>
        <v>102000</v>
      </c>
      <c r="AU4244" s="119"/>
      <c r="AV4244" s="118">
        <v>6860</v>
      </c>
      <c r="AW4244" s="119"/>
      <c r="AX4244" s="118">
        <f t="shared" ref="AX4244" si="4466">SUM(AR4244:AW4244)</f>
        <v>1128860</v>
      </c>
      <c r="AY4244" s="119"/>
      <c r="AZ4244" s="137">
        <v>46014</v>
      </c>
    </row>
    <row r="4245" spans="1:52" ht="17.100000000000001" customHeight="1" thickBot="1">
      <c r="A4245" s="110"/>
      <c r="B4245" s="27" t="s">
        <v>2699</v>
      </c>
      <c r="C4245" s="27">
        <v>3141</v>
      </c>
      <c r="D4245" s="14" t="s">
        <v>2206</v>
      </c>
      <c r="E4245" s="112"/>
      <c r="F4245" s="139" t="s">
        <v>12835</v>
      </c>
      <c r="G4245" s="140"/>
      <c r="H4245" s="141"/>
      <c r="I4245" s="26">
        <v>15365</v>
      </c>
      <c r="J4245" s="117"/>
      <c r="K4245" s="120"/>
      <c r="L4245" s="121"/>
      <c r="M4245" s="120"/>
      <c r="N4245" s="121"/>
      <c r="O4245" s="120"/>
      <c r="P4245" s="121"/>
      <c r="Q4245" s="120"/>
      <c r="R4245" s="121"/>
      <c r="S4245" s="120"/>
      <c r="T4245" s="121"/>
      <c r="U4245" s="120"/>
      <c r="V4245" s="123"/>
      <c r="W4245" s="125"/>
      <c r="X4245" s="142" t="s">
        <v>13348</v>
      </c>
      <c r="Y4245" s="143"/>
      <c r="Z4245" s="143"/>
      <c r="AA4245" s="143"/>
      <c r="AB4245" s="144"/>
      <c r="AC4245" s="16" t="s">
        <v>21</v>
      </c>
      <c r="AD4245" s="17" t="s">
        <v>2268</v>
      </c>
      <c r="AE4245" s="145" t="s">
        <v>1732</v>
      </c>
      <c r="AF4245" s="146"/>
      <c r="AG4245" s="146"/>
      <c r="AH4245" s="146"/>
      <c r="AI4245" s="147"/>
      <c r="AJ4245" s="148"/>
      <c r="AK4245" s="143"/>
      <c r="AL4245" s="144"/>
      <c r="AM4245" s="22"/>
      <c r="AN4245" s="149" t="s">
        <v>2511</v>
      </c>
      <c r="AO4245" s="144"/>
      <c r="AP4245" s="148">
        <v>60061</v>
      </c>
      <c r="AQ4245" s="144"/>
      <c r="AR4245" s="120"/>
      <c r="AS4245" s="121"/>
      <c r="AT4245" s="120"/>
      <c r="AU4245" s="121"/>
      <c r="AV4245" s="120"/>
      <c r="AW4245" s="121"/>
      <c r="AX4245" s="120"/>
      <c r="AY4245" s="121"/>
      <c r="AZ4245" s="138"/>
    </row>
    <row r="4246" spans="1:52" ht="17.100000000000001" customHeight="1" thickTop="1">
      <c r="A4246" s="109" t="s">
        <v>12938</v>
      </c>
      <c r="B4246" s="28">
        <v>46000</v>
      </c>
      <c r="C4246" s="25">
        <v>919</v>
      </c>
      <c r="D4246" s="13" t="s">
        <v>3014</v>
      </c>
      <c r="E4246" s="111"/>
      <c r="F4246" s="113" t="s">
        <v>12837</v>
      </c>
      <c r="G4246" s="114"/>
      <c r="H4246" s="115"/>
      <c r="I4246" s="24"/>
      <c r="J4246" s="116">
        <v>4</v>
      </c>
      <c r="K4246" s="118">
        <v>2096000</v>
      </c>
      <c r="L4246" s="119"/>
      <c r="M4246" s="118">
        <f t="shared" ref="M4246" si="4467">K4246*0.1</f>
        <v>209600</v>
      </c>
      <c r="N4246" s="119"/>
      <c r="O4246" s="118">
        <v>0</v>
      </c>
      <c r="P4246" s="119"/>
      <c r="Q4246" s="118">
        <v>17060</v>
      </c>
      <c r="R4246" s="119"/>
      <c r="S4246" s="118">
        <v>15950</v>
      </c>
      <c r="T4246" s="119"/>
      <c r="U4246" s="118">
        <f t="shared" ref="U4246" si="4468">SUM(K4246:T4247)</f>
        <v>2338610</v>
      </c>
      <c r="V4246" s="122"/>
      <c r="W4246" s="124"/>
      <c r="X4246" s="126" t="s">
        <v>13330</v>
      </c>
      <c r="Y4246" s="127"/>
      <c r="Z4246" s="127"/>
      <c r="AA4246" s="127"/>
      <c r="AB4246" s="128"/>
      <c r="AC4246" s="15" t="s">
        <v>20</v>
      </c>
      <c r="AD4246" s="129"/>
      <c r="AE4246" s="130"/>
      <c r="AF4246" s="130"/>
      <c r="AG4246" s="130"/>
      <c r="AH4246" s="130"/>
      <c r="AI4246" s="131"/>
      <c r="AJ4246" s="132"/>
      <c r="AK4246" s="127"/>
      <c r="AL4246" s="128"/>
      <c r="AM4246" s="21"/>
      <c r="AN4246" s="133">
        <v>46018</v>
      </c>
      <c r="AO4246" s="134"/>
      <c r="AP4246" s="135">
        <v>1282</v>
      </c>
      <c r="AQ4246" s="136"/>
      <c r="AR4246" s="118">
        <v>2260000</v>
      </c>
      <c r="AS4246" s="119"/>
      <c r="AT4246" s="118">
        <f t="shared" ref="AT4246" si="4469">AR4246*0.1</f>
        <v>226000</v>
      </c>
      <c r="AU4246" s="119"/>
      <c r="AV4246" s="118">
        <v>17060</v>
      </c>
      <c r="AW4246" s="119"/>
      <c r="AX4246" s="118">
        <f t="shared" ref="AX4246" si="4470">SUM(AR4246:AW4246)</f>
        <v>2503060</v>
      </c>
      <c r="AY4246" s="119"/>
      <c r="AZ4246" s="137">
        <v>46028</v>
      </c>
    </row>
    <row r="4247" spans="1:52" ht="17.100000000000001" customHeight="1" thickBot="1">
      <c r="A4247" s="110"/>
      <c r="B4247" s="27" t="s">
        <v>2699</v>
      </c>
      <c r="C4247" s="27">
        <v>50016</v>
      </c>
      <c r="D4247" s="14" t="s">
        <v>275</v>
      </c>
      <c r="E4247" s="112"/>
      <c r="F4247" s="139" t="s">
        <v>12838</v>
      </c>
      <c r="G4247" s="140"/>
      <c r="H4247" s="141"/>
      <c r="I4247" s="26">
        <v>39355</v>
      </c>
      <c r="J4247" s="117"/>
      <c r="K4247" s="120"/>
      <c r="L4247" s="121"/>
      <c r="M4247" s="120"/>
      <c r="N4247" s="121"/>
      <c r="O4247" s="120"/>
      <c r="P4247" s="121"/>
      <c r="Q4247" s="120"/>
      <c r="R4247" s="121"/>
      <c r="S4247" s="120"/>
      <c r="T4247" s="121"/>
      <c r="U4247" s="120"/>
      <c r="V4247" s="123"/>
      <c r="W4247" s="125"/>
      <c r="X4247" s="142" t="s">
        <v>13331</v>
      </c>
      <c r="Y4247" s="143"/>
      <c r="Z4247" s="143"/>
      <c r="AA4247" s="143"/>
      <c r="AB4247" s="144"/>
      <c r="AC4247" s="16" t="s">
        <v>21</v>
      </c>
      <c r="AD4247" s="17" t="s">
        <v>2268</v>
      </c>
      <c r="AE4247" s="145" t="s">
        <v>2195</v>
      </c>
      <c r="AF4247" s="146"/>
      <c r="AG4247" s="146"/>
      <c r="AH4247" s="146"/>
      <c r="AI4247" s="147"/>
      <c r="AJ4247" s="148"/>
      <c r="AK4247" s="143"/>
      <c r="AL4247" s="144"/>
      <c r="AM4247" s="22"/>
      <c r="AN4247" s="149" t="s">
        <v>2511</v>
      </c>
      <c r="AO4247" s="144"/>
      <c r="AP4247" s="148">
        <v>80226</v>
      </c>
      <c r="AQ4247" s="144"/>
      <c r="AR4247" s="120"/>
      <c r="AS4247" s="121"/>
      <c r="AT4247" s="120"/>
      <c r="AU4247" s="121"/>
      <c r="AV4247" s="120"/>
      <c r="AW4247" s="121"/>
      <c r="AX4247" s="120"/>
      <c r="AY4247" s="121"/>
      <c r="AZ4247" s="138"/>
    </row>
    <row r="4248" spans="1:52" ht="17.100000000000001" customHeight="1" thickTop="1">
      <c r="A4248" s="109" t="s">
        <v>12939</v>
      </c>
      <c r="B4248" s="28">
        <v>46000</v>
      </c>
      <c r="C4248" s="25">
        <v>919</v>
      </c>
      <c r="D4248" s="13" t="s">
        <v>2298</v>
      </c>
      <c r="E4248" s="111"/>
      <c r="F4248" s="113" t="s">
        <v>4980</v>
      </c>
      <c r="G4248" s="114"/>
      <c r="H4248" s="115"/>
      <c r="I4248" s="24"/>
      <c r="J4248" s="116">
        <v>4</v>
      </c>
      <c r="K4248" s="118">
        <v>953000</v>
      </c>
      <c r="L4248" s="119"/>
      <c r="M4248" s="118">
        <f t="shared" ref="M4248" si="4471">K4248*0.1</f>
        <v>95300</v>
      </c>
      <c r="N4248" s="119"/>
      <c r="O4248" s="118">
        <v>0</v>
      </c>
      <c r="P4248" s="119"/>
      <c r="Q4248" s="118">
        <v>7440</v>
      </c>
      <c r="R4248" s="119"/>
      <c r="S4248" s="118">
        <v>15950</v>
      </c>
      <c r="T4248" s="119"/>
      <c r="U4248" s="118">
        <f t="shared" ref="U4248" si="4472">SUM(K4248:T4249)</f>
        <v>1071690</v>
      </c>
      <c r="V4248" s="122"/>
      <c r="W4248" s="124"/>
      <c r="X4248" s="126" t="s">
        <v>13339</v>
      </c>
      <c r="Y4248" s="127"/>
      <c r="Z4248" s="127"/>
      <c r="AA4248" s="127"/>
      <c r="AB4248" s="128"/>
      <c r="AC4248" s="15" t="s">
        <v>20</v>
      </c>
      <c r="AD4248" s="129"/>
      <c r="AE4248" s="130"/>
      <c r="AF4248" s="130"/>
      <c r="AG4248" s="130"/>
      <c r="AH4248" s="130"/>
      <c r="AI4248" s="131"/>
      <c r="AJ4248" s="132"/>
      <c r="AK4248" s="127"/>
      <c r="AL4248" s="128"/>
      <c r="AM4248" s="21"/>
      <c r="AN4248" s="133">
        <v>46043</v>
      </c>
      <c r="AO4248" s="134"/>
      <c r="AP4248" s="135">
        <v>1001</v>
      </c>
      <c r="AQ4248" s="136"/>
      <c r="AR4248" s="118">
        <v>1000000</v>
      </c>
      <c r="AS4248" s="119"/>
      <c r="AT4248" s="118">
        <f t="shared" ref="AT4248" si="4473">AR4248*0.1</f>
        <v>100000</v>
      </c>
      <c r="AU4248" s="119"/>
      <c r="AV4248" s="118">
        <v>7440</v>
      </c>
      <c r="AW4248" s="119"/>
      <c r="AX4248" s="118">
        <f t="shared" ref="AX4248" si="4474">SUM(AR4248:AW4248)</f>
        <v>1107440</v>
      </c>
      <c r="AY4248" s="119"/>
      <c r="AZ4248" s="137">
        <v>46048</v>
      </c>
    </row>
    <row r="4249" spans="1:52" ht="17.100000000000001" customHeight="1" thickBot="1">
      <c r="A4249" s="110"/>
      <c r="B4249" s="27" t="s">
        <v>2699</v>
      </c>
      <c r="C4249" s="27">
        <v>62044</v>
      </c>
      <c r="D4249" s="14" t="s">
        <v>1720</v>
      </c>
      <c r="E4249" s="112"/>
      <c r="F4249" s="139" t="s">
        <v>12839</v>
      </c>
      <c r="G4249" s="140"/>
      <c r="H4249" s="141"/>
      <c r="I4249" s="26">
        <v>16873</v>
      </c>
      <c r="J4249" s="117"/>
      <c r="K4249" s="120"/>
      <c r="L4249" s="121"/>
      <c r="M4249" s="120"/>
      <c r="N4249" s="121"/>
      <c r="O4249" s="120"/>
      <c r="P4249" s="121"/>
      <c r="Q4249" s="120"/>
      <c r="R4249" s="121"/>
      <c r="S4249" s="120"/>
      <c r="T4249" s="121"/>
      <c r="U4249" s="120"/>
      <c r="V4249" s="123"/>
      <c r="W4249" s="125"/>
      <c r="X4249" s="142" t="s">
        <v>8712</v>
      </c>
      <c r="Y4249" s="143"/>
      <c r="Z4249" s="143"/>
      <c r="AA4249" s="143"/>
      <c r="AB4249" s="144"/>
      <c r="AC4249" s="16" t="s">
        <v>21</v>
      </c>
      <c r="AD4249" s="17" t="s">
        <v>2268</v>
      </c>
      <c r="AE4249" s="145" t="s">
        <v>4938</v>
      </c>
      <c r="AF4249" s="146"/>
      <c r="AG4249" s="146"/>
      <c r="AH4249" s="146"/>
      <c r="AI4249" s="147"/>
      <c r="AJ4249" s="148"/>
      <c r="AK4249" s="143"/>
      <c r="AL4249" s="144"/>
      <c r="AM4249" s="22"/>
      <c r="AN4249" s="149" t="s">
        <v>2794</v>
      </c>
      <c r="AO4249" s="144"/>
      <c r="AP4249" s="148">
        <v>80033</v>
      </c>
      <c r="AQ4249" s="144"/>
      <c r="AR4249" s="120"/>
      <c r="AS4249" s="121"/>
      <c r="AT4249" s="120"/>
      <c r="AU4249" s="121"/>
      <c r="AV4249" s="120"/>
      <c r="AW4249" s="121"/>
      <c r="AX4249" s="120"/>
      <c r="AY4249" s="121"/>
      <c r="AZ4249" s="138"/>
    </row>
    <row r="4250" spans="1:52" ht="17.100000000000001" customHeight="1" thickTop="1">
      <c r="A4250" s="109" t="s">
        <v>12940</v>
      </c>
      <c r="B4250" s="28">
        <v>46000</v>
      </c>
      <c r="C4250" s="25">
        <v>1220</v>
      </c>
      <c r="D4250" s="13" t="s">
        <v>3322</v>
      </c>
      <c r="E4250" s="111"/>
      <c r="F4250" s="113" t="s">
        <v>5259</v>
      </c>
      <c r="G4250" s="114"/>
      <c r="H4250" s="115"/>
      <c r="I4250" s="24" t="s">
        <v>2571</v>
      </c>
      <c r="J4250" s="116">
        <v>4</v>
      </c>
      <c r="K4250" s="118">
        <v>812000</v>
      </c>
      <c r="L4250" s="119"/>
      <c r="M4250" s="118">
        <f t="shared" ref="M4250" si="4475">K4250*0.1</f>
        <v>81200</v>
      </c>
      <c r="N4250" s="119"/>
      <c r="O4250" s="118">
        <v>8360</v>
      </c>
      <c r="P4250" s="119"/>
      <c r="Q4250" s="118">
        <v>11810</v>
      </c>
      <c r="R4250" s="119"/>
      <c r="S4250" s="118">
        <v>19250</v>
      </c>
      <c r="T4250" s="119"/>
      <c r="U4250" s="118">
        <f t="shared" ref="U4250" si="4476">SUM(K4250:T4251)</f>
        <v>932620</v>
      </c>
      <c r="V4250" s="122"/>
      <c r="W4250" s="124"/>
      <c r="X4250" s="126" t="s">
        <v>12841</v>
      </c>
      <c r="Y4250" s="127"/>
      <c r="Z4250" s="127"/>
      <c r="AA4250" s="127"/>
      <c r="AB4250" s="128"/>
      <c r="AC4250" s="15" t="s">
        <v>20</v>
      </c>
      <c r="AD4250" s="129"/>
      <c r="AE4250" s="130"/>
      <c r="AF4250" s="130"/>
      <c r="AG4250" s="130"/>
      <c r="AH4250" s="130"/>
      <c r="AI4250" s="131"/>
      <c r="AJ4250" s="132"/>
      <c r="AK4250" s="127"/>
      <c r="AL4250" s="128"/>
      <c r="AM4250" s="21"/>
      <c r="AN4250" s="133">
        <v>46004</v>
      </c>
      <c r="AO4250" s="134"/>
      <c r="AP4250" s="135">
        <v>1280</v>
      </c>
      <c r="AQ4250" s="136"/>
      <c r="AR4250" s="118">
        <v>1220000</v>
      </c>
      <c r="AS4250" s="119"/>
      <c r="AT4250" s="118">
        <f t="shared" ref="AT4250" si="4477">AR4250*0.1</f>
        <v>122000</v>
      </c>
      <c r="AU4250" s="119"/>
      <c r="AV4250" s="118">
        <v>11810</v>
      </c>
      <c r="AW4250" s="119"/>
      <c r="AX4250" s="118">
        <f t="shared" ref="AX4250" si="4478">SUM(AR4250:AW4250)</f>
        <v>1353810</v>
      </c>
      <c r="AY4250" s="119"/>
      <c r="AZ4250" s="137">
        <v>46007</v>
      </c>
    </row>
    <row r="4251" spans="1:52" ht="17.100000000000001" customHeight="1" thickBot="1">
      <c r="A4251" s="110"/>
      <c r="B4251" s="27" t="s">
        <v>2379</v>
      </c>
      <c r="C4251" s="27">
        <v>32014</v>
      </c>
      <c r="D4251" s="14" t="s">
        <v>2206</v>
      </c>
      <c r="E4251" s="112"/>
      <c r="F4251" s="139" t="s">
        <v>12840</v>
      </c>
      <c r="G4251" s="140"/>
      <c r="H4251" s="141"/>
      <c r="I4251" s="26">
        <v>59337</v>
      </c>
      <c r="J4251" s="117"/>
      <c r="K4251" s="120"/>
      <c r="L4251" s="121"/>
      <c r="M4251" s="120"/>
      <c r="N4251" s="121"/>
      <c r="O4251" s="120"/>
      <c r="P4251" s="121"/>
      <c r="Q4251" s="120"/>
      <c r="R4251" s="121"/>
      <c r="S4251" s="120"/>
      <c r="T4251" s="121"/>
      <c r="U4251" s="120"/>
      <c r="V4251" s="123"/>
      <c r="W4251" s="125"/>
      <c r="X4251" s="142" t="s">
        <v>13316</v>
      </c>
      <c r="Y4251" s="143"/>
      <c r="Z4251" s="143"/>
      <c r="AA4251" s="143"/>
      <c r="AB4251" s="144"/>
      <c r="AC4251" s="16" t="s">
        <v>21</v>
      </c>
      <c r="AD4251" s="17" t="s">
        <v>2268</v>
      </c>
      <c r="AE4251" s="145" t="s">
        <v>13317</v>
      </c>
      <c r="AF4251" s="146"/>
      <c r="AG4251" s="146"/>
      <c r="AH4251" s="146"/>
      <c r="AI4251" s="147"/>
      <c r="AJ4251" s="148"/>
      <c r="AK4251" s="143"/>
      <c r="AL4251" s="144"/>
      <c r="AM4251" s="22"/>
      <c r="AN4251" s="149" t="s">
        <v>2511</v>
      </c>
      <c r="AO4251" s="144"/>
      <c r="AP4251" s="148">
        <v>80401</v>
      </c>
      <c r="AQ4251" s="144"/>
      <c r="AR4251" s="120"/>
      <c r="AS4251" s="121"/>
      <c r="AT4251" s="120"/>
      <c r="AU4251" s="121"/>
      <c r="AV4251" s="120"/>
      <c r="AW4251" s="121"/>
      <c r="AX4251" s="120"/>
      <c r="AY4251" s="121"/>
      <c r="AZ4251" s="138"/>
    </row>
    <row r="4252" spans="1:52" ht="17.100000000000001" customHeight="1" thickTop="1">
      <c r="A4252" s="151" t="s">
        <v>12941</v>
      </c>
      <c r="B4252" s="28">
        <v>46000</v>
      </c>
      <c r="C4252" s="25">
        <v>75</v>
      </c>
      <c r="D4252" s="13" t="s">
        <v>1853</v>
      </c>
      <c r="E4252" s="111"/>
      <c r="F4252" s="113" t="s">
        <v>12843</v>
      </c>
      <c r="G4252" s="114"/>
      <c r="H4252" s="115"/>
      <c r="I4252" s="24" t="s">
        <v>4487</v>
      </c>
      <c r="J4252" s="116">
        <v>5</v>
      </c>
      <c r="K4252" s="118">
        <v>2260000</v>
      </c>
      <c r="L4252" s="119"/>
      <c r="M4252" s="118">
        <f t="shared" ref="M4252" si="4479">K4252*0.1</f>
        <v>226000</v>
      </c>
      <c r="N4252" s="119"/>
      <c r="O4252" s="118">
        <v>9900</v>
      </c>
      <c r="P4252" s="119"/>
      <c r="Q4252" s="118">
        <v>10510</v>
      </c>
      <c r="R4252" s="119"/>
      <c r="S4252" s="118">
        <v>66000</v>
      </c>
      <c r="T4252" s="119"/>
      <c r="U4252" s="118">
        <f t="shared" ref="U4252" si="4480">SUM(K4252:T4253)</f>
        <v>2572410</v>
      </c>
      <c r="V4252" s="122"/>
      <c r="W4252" s="124"/>
      <c r="X4252" s="126" t="s">
        <v>14411</v>
      </c>
      <c r="Y4252" s="127"/>
      <c r="Z4252" s="127"/>
      <c r="AA4252" s="127"/>
      <c r="AB4252" s="128"/>
      <c r="AC4252" s="15" t="s">
        <v>20</v>
      </c>
      <c r="AD4252" s="129" t="s">
        <v>11397</v>
      </c>
      <c r="AE4252" s="130"/>
      <c r="AF4252" s="130"/>
      <c r="AG4252" s="130"/>
      <c r="AH4252" s="130"/>
      <c r="AI4252" s="131"/>
      <c r="AJ4252" s="132"/>
      <c r="AK4252" s="127"/>
      <c r="AL4252" s="128"/>
      <c r="AM4252" s="21" t="s">
        <v>14482</v>
      </c>
      <c r="AN4252" s="133">
        <v>46032</v>
      </c>
      <c r="AO4252" s="134"/>
      <c r="AP4252" s="135">
        <v>1283</v>
      </c>
      <c r="AQ4252" s="136"/>
      <c r="AR4252" s="118">
        <v>2340000</v>
      </c>
      <c r="AS4252" s="119"/>
      <c r="AT4252" s="118">
        <v>234000</v>
      </c>
      <c r="AU4252" s="119"/>
      <c r="AV4252" s="118">
        <v>10510</v>
      </c>
      <c r="AW4252" s="119"/>
      <c r="AX4252" s="118">
        <f t="shared" ref="AX4252" si="4481">SUM(AR4252:AW4252)</f>
        <v>2584510</v>
      </c>
      <c r="AY4252" s="119"/>
      <c r="AZ4252" s="137">
        <v>46036</v>
      </c>
    </row>
    <row r="4253" spans="1:52" ht="17.100000000000001" customHeight="1" thickBot="1">
      <c r="A4253" s="152"/>
      <c r="B4253" s="27" t="s">
        <v>4544</v>
      </c>
      <c r="C4253" s="27">
        <v>1063</v>
      </c>
      <c r="D4253" s="14" t="s">
        <v>904</v>
      </c>
      <c r="E4253" s="112"/>
      <c r="F4253" s="139" t="s">
        <v>12842</v>
      </c>
      <c r="G4253" s="140"/>
      <c r="H4253" s="141"/>
      <c r="I4253" s="26">
        <v>22001</v>
      </c>
      <c r="J4253" s="117"/>
      <c r="K4253" s="120"/>
      <c r="L4253" s="121"/>
      <c r="M4253" s="120"/>
      <c r="N4253" s="121"/>
      <c r="O4253" s="120"/>
      <c r="P4253" s="121"/>
      <c r="Q4253" s="120"/>
      <c r="R4253" s="121"/>
      <c r="S4253" s="120"/>
      <c r="T4253" s="121"/>
      <c r="U4253" s="120"/>
      <c r="V4253" s="123"/>
      <c r="W4253" s="125"/>
      <c r="X4253" s="142" t="s">
        <v>14412</v>
      </c>
      <c r="Y4253" s="143"/>
      <c r="Z4253" s="143"/>
      <c r="AA4253" s="143"/>
      <c r="AB4253" s="144"/>
      <c r="AC4253" s="16" t="s">
        <v>21</v>
      </c>
      <c r="AD4253" s="17" t="s">
        <v>14399</v>
      </c>
      <c r="AE4253" s="145" t="s">
        <v>14413</v>
      </c>
      <c r="AF4253" s="146"/>
      <c r="AG4253" s="146"/>
      <c r="AH4253" s="146"/>
      <c r="AI4253" s="147"/>
      <c r="AJ4253" s="148"/>
      <c r="AK4253" s="143"/>
      <c r="AL4253" s="144"/>
      <c r="AM4253" s="22"/>
      <c r="AN4253" s="149" t="s">
        <v>2511</v>
      </c>
      <c r="AO4253" s="144"/>
      <c r="AP4253" s="148">
        <v>37523</v>
      </c>
      <c r="AQ4253" s="144"/>
      <c r="AR4253" s="120"/>
      <c r="AS4253" s="121"/>
      <c r="AT4253" s="120"/>
      <c r="AU4253" s="121"/>
      <c r="AV4253" s="120"/>
      <c r="AW4253" s="121"/>
      <c r="AX4253" s="120"/>
      <c r="AY4253" s="121"/>
      <c r="AZ4253" s="138"/>
    </row>
    <row r="4254" spans="1:52" ht="17.100000000000001" customHeight="1" thickTop="1">
      <c r="A4254" s="109" t="s">
        <v>12942</v>
      </c>
      <c r="B4254" s="28">
        <v>46000</v>
      </c>
      <c r="C4254" s="25">
        <v>1268</v>
      </c>
      <c r="D4254" s="13" t="s">
        <v>3801</v>
      </c>
      <c r="E4254" s="111"/>
      <c r="F4254" s="113" t="s">
        <v>7110</v>
      </c>
      <c r="G4254" s="114"/>
      <c r="H4254" s="115"/>
      <c r="I4254" s="24"/>
      <c r="J4254" s="116">
        <v>4</v>
      </c>
      <c r="K4254" s="118">
        <v>1315000</v>
      </c>
      <c r="L4254" s="119"/>
      <c r="M4254" s="118">
        <f t="shared" ref="M4254" si="4482">K4254*0.1</f>
        <v>131500</v>
      </c>
      <c r="N4254" s="119"/>
      <c r="O4254" s="118">
        <v>0</v>
      </c>
      <c r="P4254" s="119"/>
      <c r="Q4254" s="118">
        <v>19090</v>
      </c>
      <c r="R4254" s="119"/>
      <c r="S4254" s="118">
        <v>18150</v>
      </c>
      <c r="T4254" s="119"/>
      <c r="U4254" s="118">
        <f t="shared" ref="U4254" si="4483">SUM(K4254:T4255)</f>
        <v>1483740</v>
      </c>
      <c r="V4254" s="122"/>
      <c r="W4254" s="124"/>
      <c r="X4254" s="126" t="s">
        <v>13834</v>
      </c>
      <c r="Y4254" s="127"/>
      <c r="Z4254" s="127"/>
      <c r="AA4254" s="127"/>
      <c r="AB4254" s="128"/>
      <c r="AC4254" s="15" t="s">
        <v>20</v>
      </c>
      <c r="AD4254" s="129"/>
      <c r="AE4254" s="130"/>
      <c r="AF4254" s="130"/>
      <c r="AG4254" s="130"/>
      <c r="AH4254" s="130"/>
      <c r="AI4254" s="131"/>
      <c r="AJ4254" s="132"/>
      <c r="AK4254" s="127"/>
      <c r="AL4254" s="128"/>
      <c r="AM4254" s="21"/>
      <c r="AN4254" s="133">
        <v>46011</v>
      </c>
      <c r="AO4254" s="134"/>
      <c r="AP4254" s="135">
        <v>1281</v>
      </c>
      <c r="AQ4254" s="136"/>
      <c r="AR4254" s="118">
        <v>1540000</v>
      </c>
      <c r="AS4254" s="119"/>
      <c r="AT4254" s="118">
        <f t="shared" ref="AT4254" si="4484">AR4254*0.1</f>
        <v>154000</v>
      </c>
      <c r="AU4254" s="119"/>
      <c r="AV4254" s="118">
        <v>19090</v>
      </c>
      <c r="AW4254" s="119"/>
      <c r="AX4254" s="118">
        <f t="shared" ref="AX4254" si="4485">SUM(AR4254:AW4254)</f>
        <v>1713090</v>
      </c>
      <c r="AY4254" s="119"/>
      <c r="AZ4254" s="137">
        <v>46028</v>
      </c>
    </row>
    <row r="4255" spans="1:52" ht="17.100000000000001" customHeight="1" thickBot="1">
      <c r="A4255" s="110"/>
      <c r="B4255" s="27" t="s">
        <v>3600</v>
      </c>
      <c r="C4255" s="27">
        <v>38040</v>
      </c>
      <c r="D4255" s="14" t="s">
        <v>2836</v>
      </c>
      <c r="E4255" s="112"/>
      <c r="F4255" s="139" t="s">
        <v>12953</v>
      </c>
      <c r="G4255" s="140"/>
      <c r="H4255" s="141"/>
      <c r="I4255" s="26">
        <v>57727</v>
      </c>
      <c r="J4255" s="117"/>
      <c r="K4255" s="120"/>
      <c r="L4255" s="121"/>
      <c r="M4255" s="120"/>
      <c r="N4255" s="121"/>
      <c r="O4255" s="120"/>
      <c r="P4255" s="121"/>
      <c r="Q4255" s="120"/>
      <c r="R4255" s="121"/>
      <c r="S4255" s="120"/>
      <c r="T4255" s="121"/>
      <c r="U4255" s="120"/>
      <c r="V4255" s="123"/>
      <c r="W4255" s="125"/>
      <c r="X4255" s="142" t="s">
        <v>10418</v>
      </c>
      <c r="Y4255" s="143"/>
      <c r="Z4255" s="143"/>
      <c r="AA4255" s="143"/>
      <c r="AB4255" s="144"/>
      <c r="AC4255" s="16" t="s">
        <v>21</v>
      </c>
      <c r="AD4255" s="17" t="s">
        <v>13826</v>
      </c>
      <c r="AE4255" s="145" t="s">
        <v>13974</v>
      </c>
      <c r="AF4255" s="146"/>
      <c r="AG4255" s="146"/>
      <c r="AH4255" s="146"/>
      <c r="AI4255" s="147"/>
      <c r="AJ4255" s="148"/>
      <c r="AK4255" s="143"/>
      <c r="AL4255" s="144"/>
      <c r="AM4255" s="22"/>
      <c r="AN4255" s="149" t="s">
        <v>6748</v>
      </c>
      <c r="AO4255" s="144"/>
      <c r="AP4255" s="148">
        <v>80008</v>
      </c>
      <c r="AQ4255" s="144"/>
      <c r="AR4255" s="120"/>
      <c r="AS4255" s="121"/>
      <c r="AT4255" s="120"/>
      <c r="AU4255" s="121"/>
      <c r="AV4255" s="120"/>
      <c r="AW4255" s="121"/>
      <c r="AX4255" s="120"/>
      <c r="AY4255" s="121"/>
      <c r="AZ4255" s="138"/>
    </row>
    <row r="4256" spans="1:52" ht="17.100000000000001" customHeight="1" thickTop="1">
      <c r="A4256" s="109" t="s">
        <v>12943</v>
      </c>
      <c r="B4256" s="28">
        <v>46000</v>
      </c>
      <c r="C4256" s="25">
        <v>969</v>
      </c>
      <c r="D4256" s="13" t="s">
        <v>3324</v>
      </c>
      <c r="E4256" s="111"/>
      <c r="F4256" s="113" t="s">
        <v>2719</v>
      </c>
      <c r="G4256" s="114"/>
      <c r="H4256" s="115"/>
      <c r="I4256" s="24"/>
      <c r="J4256" s="116">
        <v>4.5</v>
      </c>
      <c r="K4256" s="118">
        <v>1218000</v>
      </c>
      <c r="L4256" s="119"/>
      <c r="M4256" s="118">
        <f t="shared" ref="M4256" si="4486">K4256*0.1</f>
        <v>121800</v>
      </c>
      <c r="N4256" s="119"/>
      <c r="O4256" s="118">
        <v>0</v>
      </c>
      <c r="P4256" s="119"/>
      <c r="Q4256" s="118">
        <v>14200</v>
      </c>
      <c r="R4256" s="119"/>
      <c r="S4256" s="118">
        <v>22000</v>
      </c>
      <c r="T4256" s="119"/>
      <c r="U4256" s="118">
        <f t="shared" ref="U4256" si="4487">SUM(K4256:T4257)</f>
        <v>1376000</v>
      </c>
      <c r="V4256" s="122"/>
      <c r="W4256" s="124"/>
      <c r="X4256" s="126" t="s">
        <v>13752</v>
      </c>
      <c r="Y4256" s="127"/>
      <c r="Z4256" s="127"/>
      <c r="AA4256" s="127"/>
      <c r="AB4256" s="128"/>
      <c r="AC4256" s="15" t="s">
        <v>20</v>
      </c>
      <c r="AD4256" s="129" t="s">
        <v>1670</v>
      </c>
      <c r="AE4256" s="130"/>
      <c r="AF4256" s="130"/>
      <c r="AG4256" s="130"/>
      <c r="AH4256" s="130"/>
      <c r="AI4256" s="131"/>
      <c r="AJ4256" s="132"/>
      <c r="AK4256" s="127"/>
      <c r="AL4256" s="128"/>
      <c r="AM4256" s="21"/>
      <c r="AN4256" s="133">
        <v>46014</v>
      </c>
      <c r="AO4256" s="134"/>
      <c r="AP4256" s="135">
        <v>1923</v>
      </c>
      <c r="AQ4256" s="136"/>
      <c r="AR4256" s="118">
        <v>1295000</v>
      </c>
      <c r="AS4256" s="119"/>
      <c r="AT4256" s="118">
        <f t="shared" ref="AT4256" si="4488">AR4256*0.1</f>
        <v>129500</v>
      </c>
      <c r="AU4256" s="119"/>
      <c r="AV4256" s="118">
        <v>14200</v>
      </c>
      <c r="AW4256" s="119"/>
      <c r="AX4256" s="118">
        <f t="shared" ref="AX4256" si="4489">SUM(AR4256:AW4256)</f>
        <v>1438700</v>
      </c>
      <c r="AY4256" s="119"/>
      <c r="AZ4256" s="137">
        <v>46029</v>
      </c>
    </row>
    <row r="4257" spans="1:52" ht="17.100000000000001" customHeight="1" thickBot="1">
      <c r="A4257" s="110"/>
      <c r="B4257" s="27" t="s">
        <v>2055</v>
      </c>
      <c r="C4257" s="27">
        <v>75</v>
      </c>
      <c r="D4257" s="14" t="s">
        <v>1720</v>
      </c>
      <c r="E4257" s="112"/>
      <c r="F4257" s="139" t="s">
        <v>12954</v>
      </c>
      <c r="G4257" s="140"/>
      <c r="H4257" s="141"/>
      <c r="I4257" s="26">
        <v>4587</v>
      </c>
      <c r="J4257" s="117"/>
      <c r="K4257" s="120"/>
      <c r="L4257" s="121"/>
      <c r="M4257" s="120"/>
      <c r="N4257" s="121"/>
      <c r="O4257" s="120"/>
      <c r="P4257" s="121"/>
      <c r="Q4257" s="120"/>
      <c r="R4257" s="121"/>
      <c r="S4257" s="120"/>
      <c r="T4257" s="121"/>
      <c r="U4257" s="120"/>
      <c r="V4257" s="123"/>
      <c r="W4257" s="125"/>
      <c r="X4257" s="142" t="s">
        <v>2482</v>
      </c>
      <c r="Y4257" s="143"/>
      <c r="Z4257" s="143"/>
      <c r="AA4257" s="143"/>
      <c r="AB4257" s="144"/>
      <c r="AC4257" s="16" t="s">
        <v>21</v>
      </c>
      <c r="AD4257" s="17" t="s">
        <v>1783</v>
      </c>
      <c r="AE4257" s="145" t="s">
        <v>1670</v>
      </c>
      <c r="AF4257" s="146"/>
      <c r="AG4257" s="146"/>
      <c r="AH4257" s="146"/>
      <c r="AI4257" s="147"/>
      <c r="AJ4257" s="148"/>
      <c r="AK4257" s="143"/>
      <c r="AL4257" s="144"/>
      <c r="AM4257" s="22"/>
      <c r="AN4257" s="149" t="s">
        <v>7644</v>
      </c>
      <c r="AO4257" s="144"/>
      <c r="AP4257" s="148">
        <v>3051</v>
      </c>
      <c r="AQ4257" s="144"/>
      <c r="AR4257" s="120"/>
      <c r="AS4257" s="121"/>
      <c r="AT4257" s="120"/>
      <c r="AU4257" s="121"/>
      <c r="AV4257" s="120"/>
      <c r="AW4257" s="121"/>
      <c r="AX4257" s="120"/>
      <c r="AY4257" s="121"/>
      <c r="AZ4257" s="138"/>
    </row>
    <row r="4258" spans="1:52" ht="17.100000000000001" customHeight="1" thickTop="1">
      <c r="A4258" s="109" t="s">
        <v>12944</v>
      </c>
      <c r="B4258" s="28">
        <v>46000</v>
      </c>
      <c r="C4258" s="25">
        <v>969</v>
      </c>
      <c r="D4258" s="13" t="s">
        <v>2301</v>
      </c>
      <c r="E4258" s="111"/>
      <c r="F4258" s="113" t="s">
        <v>3908</v>
      </c>
      <c r="G4258" s="114"/>
      <c r="H4258" s="115"/>
      <c r="I4258" s="24"/>
      <c r="J4258" s="116">
        <v>3.5</v>
      </c>
      <c r="K4258" s="118">
        <v>448000</v>
      </c>
      <c r="L4258" s="119"/>
      <c r="M4258" s="118">
        <f t="shared" ref="M4258" si="4490">K4258*0.1</f>
        <v>44800</v>
      </c>
      <c r="N4258" s="119"/>
      <c r="O4258" s="118">
        <v>0</v>
      </c>
      <c r="P4258" s="119"/>
      <c r="Q4258" s="118">
        <v>7950</v>
      </c>
      <c r="R4258" s="119"/>
      <c r="S4258" s="118">
        <v>22000</v>
      </c>
      <c r="T4258" s="119"/>
      <c r="U4258" s="118">
        <f t="shared" ref="U4258" si="4491">SUM(K4258:T4259)</f>
        <v>522750</v>
      </c>
      <c r="V4258" s="122"/>
      <c r="W4258" s="124"/>
      <c r="X4258" s="126" t="s">
        <v>13753</v>
      </c>
      <c r="Y4258" s="127"/>
      <c r="Z4258" s="127"/>
      <c r="AA4258" s="127"/>
      <c r="AB4258" s="128"/>
      <c r="AC4258" s="15" t="s">
        <v>20</v>
      </c>
      <c r="AD4258" s="129" t="s">
        <v>2054</v>
      </c>
      <c r="AE4258" s="130"/>
      <c r="AF4258" s="130"/>
      <c r="AG4258" s="130"/>
      <c r="AH4258" s="130"/>
      <c r="AI4258" s="131"/>
      <c r="AJ4258" s="132"/>
      <c r="AK4258" s="127"/>
      <c r="AL4258" s="128"/>
      <c r="AM4258" s="21"/>
      <c r="AN4258" s="133">
        <v>46014</v>
      </c>
      <c r="AO4258" s="134"/>
      <c r="AP4258" s="135">
        <v>1923</v>
      </c>
      <c r="AQ4258" s="136"/>
      <c r="AR4258" s="118">
        <v>700000</v>
      </c>
      <c r="AS4258" s="119"/>
      <c r="AT4258" s="118">
        <f t="shared" ref="AT4258" si="4492">AR4258*0.1</f>
        <v>70000</v>
      </c>
      <c r="AU4258" s="119"/>
      <c r="AV4258" s="118">
        <v>7950</v>
      </c>
      <c r="AW4258" s="119"/>
      <c r="AX4258" s="118">
        <f t="shared" ref="AX4258" si="4493">SUM(AR4258:AW4258)</f>
        <v>777950</v>
      </c>
      <c r="AY4258" s="119"/>
      <c r="AZ4258" s="137">
        <v>46020</v>
      </c>
    </row>
    <row r="4259" spans="1:52" ht="17.100000000000001" customHeight="1" thickBot="1">
      <c r="A4259" s="110"/>
      <c r="B4259" s="27" t="s">
        <v>2055</v>
      </c>
      <c r="C4259" s="27">
        <v>125</v>
      </c>
      <c r="D4259" s="14" t="s">
        <v>3855</v>
      </c>
      <c r="E4259" s="112"/>
      <c r="F4259" s="139" t="s">
        <v>12955</v>
      </c>
      <c r="G4259" s="140"/>
      <c r="H4259" s="141"/>
      <c r="I4259" s="26">
        <v>32431</v>
      </c>
      <c r="J4259" s="117"/>
      <c r="K4259" s="120"/>
      <c r="L4259" s="121"/>
      <c r="M4259" s="120"/>
      <c r="N4259" s="121"/>
      <c r="O4259" s="120"/>
      <c r="P4259" s="121"/>
      <c r="Q4259" s="120"/>
      <c r="R4259" s="121"/>
      <c r="S4259" s="120"/>
      <c r="T4259" s="121"/>
      <c r="U4259" s="120"/>
      <c r="V4259" s="123"/>
      <c r="W4259" s="125"/>
      <c r="X4259" s="142" t="s">
        <v>2482</v>
      </c>
      <c r="Y4259" s="143"/>
      <c r="Z4259" s="143"/>
      <c r="AA4259" s="143"/>
      <c r="AB4259" s="144"/>
      <c r="AC4259" s="16" t="s">
        <v>21</v>
      </c>
      <c r="AD4259" s="17" t="s">
        <v>1783</v>
      </c>
      <c r="AE4259" s="145" t="s">
        <v>9056</v>
      </c>
      <c r="AF4259" s="146"/>
      <c r="AG4259" s="146"/>
      <c r="AH4259" s="146"/>
      <c r="AI4259" s="147"/>
      <c r="AJ4259" s="148"/>
      <c r="AK4259" s="143"/>
      <c r="AL4259" s="144"/>
      <c r="AM4259" s="22"/>
      <c r="AN4259" s="149" t="s">
        <v>2131</v>
      </c>
      <c r="AO4259" s="144"/>
      <c r="AP4259" s="148">
        <v>3105</v>
      </c>
      <c r="AQ4259" s="144"/>
      <c r="AR4259" s="120"/>
      <c r="AS4259" s="121"/>
      <c r="AT4259" s="120"/>
      <c r="AU4259" s="121"/>
      <c r="AV4259" s="120"/>
      <c r="AW4259" s="121"/>
      <c r="AX4259" s="120"/>
      <c r="AY4259" s="121"/>
      <c r="AZ4259" s="138"/>
    </row>
    <row r="4260" spans="1:52" ht="17.100000000000001" customHeight="1" thickTop="1">
      <c r="A4260" s="109" t="s">
        <v>12945</v>
      </c>
      <c r="B4260" s="28">
        <v>46000</v>
      </c>
      <c r="C4260" s="25">
        <v>969</v>
      </c>
      <c r="D4260" s="13" t="s">
        <v>2838</v>
      </c>
      <c r="E4260" s="111"/>
      <c r="F4260" s="113" t="s">
        <v>5196</v>
      </c>
      <c r="G4260" s="114"/>
      <c r="H4260" s="115"/>
      <c r="I4260" s="24"/>
      <c r="J4260" s="116">
        <v>4</v>
      </c>
      <c r="K4260" s="118">
        <v>778000</v>
      </c>
      <c r="L4260" s="119"/>
      <c r="M4260" s="118">
        <f t="shared" ref="M4260" si="4494">K4260*0.1</f>
        <v>77800</v>
      </c>
      <c r="N4260" s="119"/>
      <c r="O4260" s="118">
        <v>0</v>
      </c>
      <c r="P4260" s="119"/>
      <c r="Q4260" s="118">
        <v>7200</v>
      </c>
      <c r="R4260" s="119"/>
      <c r="S4260" s="118">
        <v>22000</v>
      </c>
      <c r="T4260" s="119"/>
      <c r="U4260" s="118">
        <f t="shared" ref="U4260" si="4495">SUM(K4260:T4261)</f>
        <v>885000</v>
      </c>
      <c r="V4260" s="122"/>
      <c r="W4260" s="124"/>
      <c r="X4260" s="126" t="s">
        <v>13647</v>
      </c>
      <c r="Y4260" s="127"/>
      <c r="Z4260" s="127"/>
      <c r="AA4260" s="127"/>
      <c r="AB4260" s="128"/>
      <c r="AC4260" s="15" t="s">
        <v>20</v>
      </c>
      <c r="AD4260" s="129" t="s">
        <v>1670</v>
      </c>
      <c r="AE4260" s="130"/>
      <c r="AF4260" s="130"/>
      <c r="AG4260" s="130"/>
      <c r="AH4260" s="130"/>
      <c r="AI4260" s="131"/>
      <c r="AJ4260" s="132"/>
      <c r="AK4260" s="127"/>
      <c r="AL4260" s="128"/>
      <c r="AM4260" s="21"/>
      <c r="AN4260" s="133">
        <v>46007</v>
      </c>
      <c r="AO4260" s="134"/>
      <c r="AP4260" s="135">
        <v>1922</v>
      </c>
      <c r="AQ4260" s="136"/>
      <c r="AR4260" s="118">
        <v>819000</v>
      </c>
      <c r="AS4260" s="119"/>
      <c r="AT4260" s="118">
        <v>81900</v>
      </c>
      <c r="AU4260" s="119"/>
      <c r="AV4260" s="118">
        <v>7200</v>
      </c>
      <c r="AW4260" s="119"/>
      <c r="AX4260" s="118">
        <f t="shared" ref="AX4260" si="4496">SUM(AR4260:AW4260)</f>
        <v>908100</v>
      </c>
      <c r="AY4260" s="119"/>
      <c r="AZ4260" s="137"/>
    </row>
    <row r="4261" spans="1:52" ht="17.100000000000001" customHeight="1" thickBot="1">
      <c r="A4261" s="110"/>
      <c r="B4261" s="27" t="s">
        <v>2055</v>
      </c>
      <c r="C4261" s="27">
        <v>156</v>
      </c>
      <c r="D4261" s="14" t="s">
        <v>275</v>
      </c>
      <c r="E4261" s="112"/>
      <c r="F4261" s="139" t="s">
        <v>12956</v>
      </c>
      <c r="G4261" s="140"/>
      <c r="H4261" s="141"/>
      <c r="I4261" s="26">
        <v>8114</v>
      </c>
      <c r="J4261" s="117"/>
      <c r="K4261" s="120"/>
      <c r="L4261" s="121"/>
      <c r="M4261" s="120"/>
      <c r="N4261" s="121"/>
      <c r="O4261" s="120"/>
      <c r="P4261" s="121"/>
      <c r="Q4261" s="120"/>
      <c r="R4261" s="121"/>
      <c r="S4261" s="120"/>
      <c r="T4261" s="121"/>
      <c r="U4261" s="120"/>
      <c r="V4261" s="123"/>
      <c r="W4261" s="125"/>
      <c r="X4261" s="142" t="s">
        <v>2482</v>
      </c>
      <c r="Y4261" s="143"/>
      <c r="Z4261" s="143"/>
      <c r="AA4261" s="143"/>
      <c r="AB4261" s="144"/>
      <c r="AC4261" s="16" t="s">
        <v>21</v>
      </c>
      <c r="AD4261" s="17" t="s">
        <v>1783</v>
      </c>
      <c r="AE4261" s="145" t="s">
        <v>1670</v>
      </c>
      <c r="AF4261" s="146"/>
      <c r="AG4261" s="146"/>
      <c r="AH4261" s="146"/>
      <c r="AI4261" s="147"/>
      <c r="AJ4261" s="148"/>
      <c r="AK4261" s="143"/>
      <c r="AL4261" s="144"/>
      <c r="AM4261" s="22"/>
      <c r="AN4261" s="149" t="s">
        <v>2131</v>
      </c>
      <c r="AO4261" s="144"/>
      <c r="AP4261" s="148">
        <v>3337</v>
      </c>
      <c r="AQ4261" s="144"/>
      <c r="AR4261" s="120"/>
      <c r="AS4261" s="121"/>
      <c r="AT4261" s="120"/>
      <c r="AU4261" s="121"/>
      <c r="AV4261" s="120"/>
      <c r="AW4261" s="121"/>
      <c r="AX4261" s="120"/>
      <c r="AY4261" s="121"/>
      <c r="AZ4261" s="138"/>
    </row>
    <row r="4262" spans="1:52" ht="17.100000000000001" customHeight="1" thickTop="1">
      <c r="A4262" s="109" t="s">
        <v>12946</v>
      </c>
      <c r="B4262" s="28">
        <v>46000</v>
      </c>
      <c r="C4262" s="25">
        <v>969</v>
      </c>
      <c r="D4262" s="13" t="s">
        <v>1930</v>
      </c>
      <c r="E4262" s="111"/>
      <c r="F4262" s="113" t="s">
        <v>2719</v>
      </c>
      <c r="G4262" s="114"/>
      <c r="H4262" s="115"/>
      <c r="I4262" s="24"/>
      <c r="J4262" s="116">
        <v>4</v>
      </c>
      <c r="K4262" s="118">
        <v>1098000</v>
      </c>
      <c r="L4262" s="119"/>
      <c r="M4262" s="118">
        <f t="shared" ref="M4262" si="4497">K4262*0.1</f>
        <v>109800</v>
      </c>
      <c r="N4262" s="119"/>
      <c r="O4262" s="118">
        <v>0</v>
      </c>
      <c r="P4262" s="119"/>
      <c r="Q4262" s="118">
        <v>11100</v>
      </c>
      <c r="R4262" s="119"/>
      <c r="S4262" s="118">
        <v>22000</v>
      </c>
      <c r="T4262" s="119"/>
      <c r="U4262" s="118">
        <f t="shared" ref="U4262" si="4498">SUM(K4262:T4263)</f>
        <v>1240900</v>
      </c>
      <c r="V4262" s="122"/>
      <c r="W4262" s="124"/>
      <c r="X4262" s="126" t="s">
        <v>13754</v>
      </c>
      <c r="Y4262" s="127"/>
      <c r="Z4262" s="127"/>
      <c r="AA4262" s="127"/>
      <c r="AB4262" s="128"/>
      <c r="AC4262" s="15" t="s">
        <v>20</v>
      </c>
      <c r="AD4262" s="129" t="s">
        <v>1670</v>
      </c>
      <c r="AE4262" s="130"/>
      <c r="AF4262" s="130"/>
      <c r="AG4262" s="130"/>
      <c r="AH4262" s="130"/>
      <c r="AI4262" s="131"/>
      <c r="AJ4262" s="132"/>
      <c r="AK4262" s="127"/>
      <c r="AL4262" s="128"/>
      <c r="AM4262" s="21"/>
      <c r="AN4262" s="133">
        <v>46035</v>
      </c>
      <c r="AO4262" s="134"/>
      <c r="AP4262" s="135">
        <v>1924</v>
      </c>
      <c r="AQ4262" s="136"/>
      <c r="AR4262" s="118">
        <v>1179000</v>
      </c>
      <c r="AS4262" s="119"/>
      <c r="AT4262" s="118">
        <f t="shared" ref="AT4262" si="4499">AR4262*0.1</f>
        <v>117900</v>
      </c>
      <c r="AU4262" s="119"/>
      <c r="AV4262" s="118">
        <v>11100</v>
      </c>
      <c r="AW4262" s="119"/>
      <c r="AX4262" s="118">
        <f t="shared" ref="AX4262" si="4500">SUM(AR4262:AW4262)</f>
        <v>1308000</v>
      </c>
      <c r="AY4262" s="119"/>
      <c r="AZ4262" s="137"/>
    </row>
    <row r="4263" spans="1:52" ht="17.100000000000001" customHeight="1" thickBot="1">
      <c r="A4263" s="110"/>
      <c r="B4263" s="27" t="s">
        <v>2055</v>
      </c>
      <c r="C4263" s="27">
        <v>243</v>
      </c>
      <c r="D4263" s="14" t="s">
        <v>2601</v>
      </c>
      <c r="E4263" s="112"/>
      <c r="F4263" s="139" t="s">
        <v>12957</v>
      </c>
      <c r="G4263" s="140"/>
      <c r="H4263" s="141"/>
      <c r="I4263" s="26">
        <v>34181</v>
      </c>
      <c r="J4263" s="117"/>
      <c r="K4263" s="120"/>
      <c r="L4263" s="121"/>
      <c r="M4263" s="120"/>
      <c r="N4263" s="121"/>
      <c r="O4263" s="120"/>
      <c r="P4263" s="121"/>
      <c r="Q4263" s="120"/>
      <c r="R4263" s="121"/>
      <c r="S4263" s="120"/>
      <c r="T4263" s="121"/>
      <c r="U4263" s="120"/>
      <c r="V4263" s="123"/>
      <c r="W4263" s="125"/>
      <c r="X4263" s="142" t="s">
        <v>2482</v>
      </c>
      <c r="Y4263" s="143"/>
      <c r="Z4263" s="143"/>
      <c r="AA4263" s="143"/>
      <c r="AB4263" s="144"/>
      <c r="AC4263" s="16" t="s">
        <v>21</v>
      </c>
      <c r="AD4263" s="17" t="s">
        <v>1783</v>
      </c>
      <c r="AE4263" s="145" t="s">
        <v>9056</v>
      </c>
      <c r="AF4263" s="146"/>
      <c r="AG4263" s="146"/>
      <c r="AH4263" s="146"/>
      <c r="AI4263" s="147"/>
      <c r="AJ4263" s="148"/>
      <c r="AK4263" s="143"/>
      <c r="AL4263" s="144"/>
      <c r="AM4263" s="22"/>
      <c r="AN4263" s="149" t="s">
        <v>2131</v>
      </c>
      <c r="AO4263" s="144"/>
      <c r="AP4263" s="148">
        <v>3065</v>
      </c>
      <c r="AQ4263" s="144"/>
      <c r="AR4263" s="120"/>
      <c r="AS4263" s="121"/>
      <c r="AT4263" s="120"/>
      <c r="AU4263" s="121"/>
      <c r="AV4263" s="120"/>
      <c r="AW4263" s="121"/>
      <c r="AX4263" s="120"/>
      <c r="AY4263" s="121"/>
      <c r="AZ4263" s="138"/>
    </row>
    <row r="4264" spans="1:52" ht="17.100000000000001" customHeight="1" thickTop="1">
      <c r="A4264" s="109" t="s">
        <v>12947</v>
      </c>
      <c r="B4264" s="28">
        <v>46001</v>
      </c>
      <c r="C4264" s="25">
        <v>1310</v>
      </c>
      <c r="D4264" s="13" t="s">
        <v>1786</v>
      </c>
      <c r="E4264" s="111"/>
      <c r="F4264" s="113" t="s">
        <v>1938</v>
      </c>
      <c r="G4264" s="114"/>
      <c r="H4264" s="115"/>
      <c r="I4264" s="24" t="s">
        <v>7058</v>
      </c>
      <c r="J4264" s="116">
        <v>4.5</v>
      </c>
      <c r="K4264" s="118">
        <v>2061000</v>
      </c>
      <c r="L4264" s="119"/>
      <c r="M4264" s="118">
        <f t="shared" ref="M4264" si="4501">K4264*0.1</f>
        <v>206100</v>
      </c>
      <c r="N4264" s="119"/>
      <c r="O4264" s="118">
        <f>7600+760</f>
        <v>8360</v>
      </c>
      <c r="P4264" s="119"/>
      <c r="Q4264" s="118">
        <v>17600</v>
      </c>
      <c r="R4264" s="119"/>
      <c r="S4264" s="118">
        <v>13200</v>
      </c>
      <c r="T4264" s="119"/>
      <c r="U4264" s="118">
        <f t="shared" ref="U4264" si="4502">SUM(K4264:T4265)</f>
        <v>2306260</v>
      </c>
      <c r="V4264" s="122"/>
      <c r="W4264" s="124"/>
      <c r="X4264" s="126" t="s">
        <v>13532</v>
      </c>
      <c r="Y4264" s="127"/>
      <c r="Z4264" s="127"/>
      <c r="AA4264" s="127"/>
      <c r="AB4264" s="128"/>
      <c r="AC4264" s="15" t="s">
        <v>20</v>
      </c>
      <c r="AD4264" s="129" t="s">
        <v>1633</v>
      </c>
      <c r="AE4264" s="130"/>
      <c r="AF4264" s="130"/>
      <c r="AG4264" s="130"/>
      <c r="AH4264" s="130"/>
      <c r="AI4264" s="131"/>
      <c r="AJ4264" s="132"/>
      <c r="AK4264" s="127"/>
      <c r="AL4264" s="128"/>
      <c r="AM4264" s="21"/>
      <c r="AN4264" s="133">
        <v>46004</v>
      </c>
      <c r="AO4264" s="134"/>
      <c r="AP4264" s="135">
        <v>1280</v>
      </c>
      <c r="AQ4264" s="136"/>
      <c r="AR4264" s="118">
        <v>2295000</v>
      </c>
      <c r="AS4264" s="119"/>
      <c r="AT4264" s="118">
        <f t="shared" ref="AT4264" si="4503">AR4264*0.1</f>
        <v>229500</v>
      </c>
      <c r="AU4264" s="119"/>
      <c r="AV4264" s="118">
        <v>17600</v>
      </c>
      <c r="AW4264" s="119"/>
      <c r="AX4264" s="118">
        <f t="shared" ref="AX4264" si="4504">SUM(AR4264:AW4264)</f>
        <v>2542100</v>
      </c>
      <c r="AY4264" s="119"/>
      <c r="AZ4264" s="137">
        <v>46009</v>
      </c>
    </row>
    <row r="4265" spans="1:52" ht="17.100000000000001" customHeight="1" thickBot="1">
      <c r="A4265" s="110"/>
      <c r="B4265" s="27" t="s">
        <v>5292</v>
      </c>
      <c r="C4265" s="27">
        <v>6011</v>
      </c>
      <c r="D4265" s="14" t="s">
        <v>275</v>
      </c>
      <c r="E4265" s="112"/>
      <c r="F4265" s="139" t="s">
        <v>12958</v>
      </c>
      <c r="G4265" s="140"/>
      <c r="H4265" s="141"/>
      <c r="I4265" s="26">
        <v>21444</v>
      </c>
      <c r="J4265" s="117"/>
      <c r="K4265" s="120"/>
      <c r="L4265" s="121"/>
      <c r="M4265" s="120"/>
      <c r="N4265" s="121"/>
      <c r="O4265" s="120"/>
      <c r="P4265" s="121"/>
      <c r="Q4265" s="120"/>
      <c r="R4265" s="121"/>
      <c r="S4265" s="120"/>
      <c r="T4265" s="121"/>
      <c r="U4265" s="120"/>
      <c r="V4265" s="123"/>
      <c r="W4265" s="125"/>
      <c r="X4265" s="142" t="s">
        <v>13533</v>
      </c>
      <c r="Y4265" s="143"/>
      <c r="Z4265" s="143"/>
      <c r="AA4265" s="143"/>
      <c r="AB4265" s="144"/>
      <c r="AC4265" s="16" t="s">
        <v>21</v>
      </c>
      <c r="AD4265" s="17" t="s">
        <v>1757</v>
      </c>
      <c r="AE4265" s="145" t="s">
        <v>1742</v>
      </c>
      <c r="AF4265" s="146"/>
      <c r="AG4265" s="146"/>
      <c r="AH4265" s="146"/>
      <c r="AI4265" s="147"/>
      <c r="AJ4265" s="148"/>
      <c r="AK4265" s="143"/>
      <c r="AL4265" s="144"/>
      <c r="AM4265" s="22"/>
      <c r="AN4265" s="149" t="s">
        <v>2511</v>
      </c>
      <c r="AO4265" s="144"/>
      <c r="AP4265" s="148">
        <v>80372</v>
      </c>
      <c r="AQ4265" s="144"/>
      <c r="AR4265" s="120"/>
      <c r="AS4265" s="121"/>
      <c r="AT4265" s="120"/>
      <c r="AU4265" s="121"/>
      <c r="AV4265" s="120"/>
      <c r="AW4265" s="121"/>
      <c r="AX4265" s="120"/>
      <c r="AY4265" s="121"/>
      <c r="AZ4265" s="138"/>
    </row>
    <row r="4266" spans="1:52" ht="17.100000000000001" customHeight="1" thickTop="1">
      <c r="A4266" s="109" t="s">
        <v>12948</v>
      </c>
      <c r="B4266" s="28">
        <v>46001</v>
      </c>
      <c r="C4266" s="25">
        <v>2334</v>
      </c>
      <c r="D4266" s="13" t="s">
        <v>3386</v>
      </c>
      <c r="E4266" s="111"/>
      <c r="F4266" s="113" t="s">
        <v>9856</v>
      </c>
      <c r="G4266" s="114"/>
      <c r="H4266" s="115"/>
      <c r="I4266" s="24"/>
      <c r="J4266" s="116">
        <v>4.5</v>
      </c>
      <c r="K4266" s="118">
        <v>645000</v>
      </c>
      <c r="L4266" s="119"/>
      <c r="M4266" s="118">
        <f t="shared" ref="M4266" si="4505">K4266*0.1</f>
        <v>64500</v>
      </c>
      <c r="N4266" s="119"/>
      <c r="O4266" s="118">
        <v>0</v>
      </c>
      <c r="P4266" s="119"/>
      <c r="Q4266" s="118">
        <v>7510</v>
      </c>
      <c r="R4266" s="119"/>
      <c r="S4266" s="118">
        <v>16500</v>
      </c>
      <c r="T4266" s="119"/>
      <c r="U4266" s="118">
        <f t="shared" ref="U4266" si="4506">SUM(K4266:T4267)</f>
        <v>733510</v>
      </c>
      <c r="V4266" s="122"/>
      <c r="W4266" s="124"/>
      <c r="X4266" s="126" t="s">
        <v>13764</v>
      </c>
      <c r="Y4266" s="127"/>
      <c r="Z4266" s="127"/>
      <c r="AA4266" s="127"/>
      <c r="AB4266" s="128"/>
      <c r="AC4266" s="15" t="s">
        <v>20</v>
      </c>
      <c r="AD4266" s="129" t="s">
        <v>1797</v>
      </c>
      <c r="AE4266" s="130"/>
      <c r="AF4266" s="130"/>
      <c r="AG4266" s="130"/>
      <c r="AH4266" s="130"/>
      <c r="AI4266" s="131"/>
      <c r="AJ4266" s="132"/>
      <c r="AK4266" s="127"/>
      <c r="AL4266" s="128"/>
      <c r="AM4266" s="21"/>
      <c r="AN4266" s="133">
        <v>46011</v>
      </c>
      <c r="AO4266" s="134"/>
      <c r="AP4266" s="135">
        <v>1281</v>
      </c>
      <c r="AQ4266" s="136"/>
      <c r="AR4266" s="118">
        <v>748000</v>
      </c>
      <c r="AS4266" s="119"/>
      <c r="AT4266" s="118">
        <f t="shared" ref="AT4266" si="4507">AR4266*0.1</f>
        <v>74800</v>
      </c>
      <c r="AU4266" s="119"/>
      <c r="AV4266" s="118">
        <v>7510</v>
      </c>
      <c r="AW4266" s="119"/>
      <c r="AX4266" s="118">
        <f t="shared" ref="AX4266" si="4508">SUM(AR4266:AW4266)</f>
        <v>830310</v>
      </c>
      <c r="AY4266" s="119"/>
      <c r="AZ4266" s="137">
        <v>46028</v>
      </c>
    </row>
    <row r="4267" spans="1:52" ht="17.100000000000001" customHeight="1" thickBot="1">
      <c r="A4267" s="110"/>
      <c r="B4267" s="27" t="s">
        <v>3422</v>
      </c>
      <c r="C4267" s="27">
        <v>20222</v>
      </c>
      <c r="D4267" s="14" t="s">
        <v>1592</v>
      </c>
      <c r="E4267" s="112"/>
      <c r="F4267" s="139" t="s">
        <v>12959</v>
      </c>
      <c r="G4267" s="140"/>
      <c r="H4267" s="141"/>
      <c r="I4267" s="26">
        <v>45566</v>
      </c>
      <c r="J4267" s="117"/>
      <c r="K4267" s="120"/>
      <c r="L4267" s="121"/>
      <c r="M4267" s="120"/>
      <c r="N4267" s="121"/>
      <c r="O4267" s="120"/>
      <c r="P4267" s="121"/>
      <c r="Q4267" s="120"/>
      <c r="R4267" s="121"/>
      <c r="S4267" s="120"/>
      <c r="T4267" s="121"/>
      <c r="U4267" s="120"/>
      <c r="V4267" s="123"/>
      <c r="W4267" s="125"/>
      <c r="X4267" s="142" t="s">
        <v>4389</v>
      </c>
      <c r="Y4267" s="143"/>
      <c r="Z4267" s="143"/>
      <c r="AA4267" s="143"/>
      <c r="AB4267" s="144"/>
      <c r="AC4267" s="16" t="s">
        <v>21</v>
      </c>
      <c r="AD4267" s="17" t="s">
        <v>3476</v>
      </c>
      <c r="AE4267" s="145" t="s">
        <v>13765</v>
      </c>
      <c r="AF4267" s="146"/>
      <c r="AG4267" s="146"/>
      <c r="AH4267" s="146"/>
      <c r="AI4267" s="147"/>
      <c r="AJ4267" s="148"/>
      <c r="AK4267" s="143"/>
      <c r="AL4267" s="144"/>
      <c r="AM4267" s="22"/>
      <c r="AN4267" s="149" t="s">
        <v>6748</v>
      </c>
      <c r="AO4267" s="144"/>
      <c r="AP4267" s="148">
        <v>60064</v>
      </c>
      <c r="AQ4267" s="144"/>
      <c r="AR4267" s="120"/>
      <c r="AS4267" s="121"/>
      <c r="AT4267" s="120"/>
      <c r="AU4267" s="121"/>
      <c r="AV4267" s="120"/>
      <c r="AW4267" s="121"/>
      <c r="AX4267" s="120"/>
      <c r="AY4267" s="121"/>
      <c r="AZ4267" s="138"/>
    </row>
    <row r="4268" spans="1:52" ht="17.100000000000001" customHeight="1" thickTop="1">
      <c r="A4268" s="109" t="s">
        <v>12949</v>
      </c>
      <c r="B4268" s="28">
        <v>46001</v>
      </c>
      <c r="C4268" s="25">
        <v>2334</v>
      </c>
      <c r="D4268" s="13" t="s">
        <v>3296</v>
      </c>
      <c r="E4268" s="111"/>
      <c r="F4268" s="113" t="s">
        <v>12961</v>
      </c>
      <c r="G4268" s="114"/>
      <c r="H4268" s="115"/>
      <c r="I4268" s="24" t="s">
        <v>2976</v>
      </c>
      <c r="J4268" s="116">
        <v>4</v>
      </c>
      <c r="K4268" s="118">
        <v>1380000</v>
      </c>
      <c r="L4268" s="119"/>
      <c r="M4268" s="118">
        <f t="shared" ref="M4268" si="4509">K4268*0.1</f>
        <v>138000</v>
      </c>
      <c r="N4268" s="119"/>
      <c r="O4268" s="118">
        <f>9800+980</f>
        <v>10780</v>
      </c>
      <c r="P4268" s="119"/>
      <c r="Q4268" s="118">
        <v>12030</v>
      </c>
      <c r="R4268" s="119"/>
      <c r="S4268" s="118">
        <v>16500</v>
      </c>
      <c r="T4268" s="119"/>
      <c r="U4268" s="118">
        <f t="shared" ref="U4268" si="4510">SUM(K4268:T4269)</f>
        <v>1557310</v>
      </c>
      <c r="V4268" s="122"/>
      <c r="W4268" s="124"/>
      <c r="X4268" s="126" t="s">
        <v>13178</v>
      </c>
      <c r="Y4268" s="127"/>
      <c r="Z4268" s="127"/>
      <c r="AA4268" s="127"/>
      <c r="AB4268" s="128"/>
      <c r="AC4268" s="15" t="s">
        <v>20</v>
      </c>
      <c r="AD4268" s="129" t="s">
        <v>12964</v>
      </c>
      <c r="AE4268" s="130"/>
      <c r="AF4268" s="130"/>
      <c r="AG4268" s="130"/>
      <c r="AH4268" s="130"/>
      <c r="AI4268" s="131"/>
      <c r="AJ4268" s="132"/>
      <c r="AK4268" s="127"/>
      <c r="AL4268" s="128"/>
      <c r="AM4268" s="21"/>
      <c r="AN4268" s="133">
        <v>46004</v>
      </c>
      <c r="AO4268" s="134"/>
      <c r="AP4268" s="135">
        <v>1280</v>
      </c>
      <c r="AQ4268" s="136"/>
      <c r="AR4268" s="118">
        <v>1505000</v>
      </c>
      <c r="AS4268" s="119"/>
      <c r="AT4268" s="118">
        <f t="shared" ref="AT4268" si="4511">AR4268*0.1</f>
        <v>150500</v>
      </c>
      <c r="AU4268" s="119"/>
      <c r="AV4268" s="118">
        <v>12030</v>
      </c>
      <c r="AW4268" s="119"/>
      <c r="AX4268" s="118">
        <f t="shared" ref="AX4268" si="4512">SUM(AR4268:AW4268)</f>
        <v>1667530</v>
      </c>
      <c r="AY4268" s="119"/>
      <c r="AZ4268" s="137">
        <v>46008</v>
      </c>
    </row>
    <row r="4269" spans="1:52" ht="17.100000000000001" customHeight="1" thickBot="1">
      <c r="A4269" s="110"/>
      <c r="B4269" s="27" t="s">
        <v>3422</v>
      </c>
      <c r="C4269" s="27">
        <v>60103</v>
      </c>
      <c r="D4269" s="14" t="s">
        <v>2601</v>
      </c>
      <c r="E4269" s="112"/>
      <c r="F4269" s="139" t="s">
        <v>12960</v>
      </c>
      <c r="G4269" s="140"/>
      <c r="H4269" s="141"/>
      <c r="I4269" s="26">
        <v>33207</v>
      </c>
      <c r="J4269" s="117"/>
      <c r="K4269" s="120"/>
      <c r="L4269" s="121"/>
      <c r="M4269" s="120"/>
      <c r="N4269" s="121"/>
      <c r="O4269" s="120"/>
      <c r="P4269" s="121"/>
      <c r="Q4269" s="120"/>
      <c r="R4269" s="121"/>
      <c r="S4269" s="120"/>
      <c r="T4269" s="121"/>
      <c r="U4269" s="120"/>
      <c r="V4269" s="123"/>
      <c r="W4269" s="125"/>
      <c r="X4269" s="142" t="s">
        <v>13179</v>
      </c>
      <c r="Y4269" s="143"/>
      <c r="Z4269" s="143"/>
      <c r="AA4269" s="143"/>
      <c r="AB4269" s="144"/>
      <c r="AC4269" s="16" t="s">
        <v>21</v>
      </c>
      <c r="AD4269" s="17" t="s">
        <v>13052</v>
      </c>
      <c r="AE4269" s="145" t="s">
        <v>13180</v>
      </c>
      <c r="AF4269" s="146"/>
      <c r="AG4269" s="146"/>
      <c r="AH4269" s="146"/>
      <c r="AI4269" s="147"/>
      <c r="AJ4269" s="148"/>
      <c r="AK4269" s="143"/>
      <c r="AL4269" s="144"/>
      <c r="AM4269" s="22"/>
      <c r="AN4269" s="149" t="s">
        <v>2511</v>
      </c>
      <c r="AO4269" s="144"/>
      <c r="AP4269" s="148">
        <v>139</v>
      </c>
      <c r="AQ4269" s="144"/>
      <c r="AR4269" s="120"/>
      <c r="AS4269" s="121"/>
      <c r="AT4269" s="120"/>
      <c r="AU4269" s="121"/>
      <c r="AV4269" s="120"/>
      <c r="AW4269" s="121"/>
      <c r="AX4269" s="120"/>
      <c r="AY4269" s="121"/>
      <c r="AZ4269" s="138"/>
    </row>
    <row r="4270" spans="1:52" ht="17.100000000000001" customHeight="1" thickTop="1">
      <c r="A4270" s="109" t="s">
        <v>12950</v>
      </c>
      <c r="B4270" s="28">
        <v>46001</v>
      </c>
      <c r="C4270" s="25">
        <v>2334</v>
      </c>
      <c r="D4270" s="13" t="s">
        <v>1586</v>
      </c>
      <c r="E4270" s="111"/>
      <c r="F4270" s="113" t="s">
        <v>12962</v>
      </c>
      <c r="G4270" s="114"/>
      <c r="H4270" s="115"/>
      <c r="I4270" s="24" t="s">
        <v>6785</v>
      </c>
      <c r="J4270" s="116">
        <v>4.5</v>
      </c>
      <c r="K4270" s="118">
        <v>1105000</v>
      </c>
      <c r="L4270" s="119"/>
      <c r="M4270" s="118">
        <f t="shared" ref="M4270" si="4513">K4270*0.1</f>
        <v>110500</v>
      </c>
      <c r="N4270" s="119"/>
      <c r="O4270" s="118">
        <f>8600+860</f>
        <v>9460</v>
      </c>
      <c r="P4270" s="119"/>
      <c r="Q4270" s="118">
        <v>20340</v>
      </c>
      <c r="R4270" s="119"/>
      <c r="S4270" s="118">
        <v>16500</v>
      </c>
      <c r="T4270" s="119"/>
      <c r="U4270" s="118">
        <f t="shared" ref="U4270" si="4514">SUM(K4270:T4271)</f>
        <v>1261800</v>
      </c>
      <c r="V4270" s="122"/>
      <c r="W4270" s="124"/>
      <c r="X4270" s="126" t="s">
        <v>13313</v>
      </c>
      <c r="Y4270" s="127"/>
      <c r="Z4270" s="127"/>
      <c r="AA4270" s="127"/>
      <c r="AB4270" s="128"/>
      <c r="AC4270" s="15" t="s">
        <v>20</v>
      </c>
      <c r="AD4270" s="129" t="s">
        <v>2198</v>
      </c>
      <c r="AE4270" s="130"/>
      <c r="AF4270" s="130"/>
      <c r="AG4270" s="130"/>
      <c r="AH4270" s="130"/>
      <c r="AI4270" s="131"/>
      <c r="AJ4270" s="132"/>
      <c r="AK4270" s="127"/>
      <c r="AL4270" s="128"/>
      <c r="AM4270" s="21"/>
      <c r="AN4270" s="133">
        <v>46011</v>
      </c>
      <c r="AO4270" s="134"/>
      <c r="AP4270" s="135">
        <v>1281</v>
      </c>
      <c r="AQ4270" s="136"/>
      <c r="AR4270" s="118">
        <v>1235000</v>
      </c>
      <c r="AS4270" s="119"/>
      <c r="AT4270" s="118">
        <f t="shared" ref="AT4270" si="4515">AR4270*0.1</f>
        <v>123500</v>
      </c>
      <c r="AU4270" s="119"/>
      <c r="AV4270" s="118">
        <v>20340</v>
      </c>
      <c r="AW4270" s="119"/>
      <c r="AX4270" s="118">
        <f t="shared" ref="AX4270" si="4516">SUM(AR4270:AW4270)</f>
        <v>1378840</v>
      </c>
      <c r="AY4270" s="119"/>
      <c r="AZ4270" s="137">
        <v>46014</v>
      </c>
    </row>
    <row r="4271" spans="1:52" ht="17.100000000000001" customHeight="1" thickBot="1">
      <c r="A4271" s="110"/>
      <c r="B4271" s="27" t="s">
        <v>3422</v>
      </c>
      <c r="C4271" s="27">
        <v>60173</v>
      </c>
      <c r="D4271" s="14" t="s">
        <v>1592</v>
      </c>
      <c r="E4271" s="112"/>
      <c r="F4271" s="139" t="s">
        <v>12963</v>
      </c>
      <c r="G4271" s="140"/>
      <c r="H4271" s="141"/>
      <c r="I4271" s="26">
        <v>44444</v>
      </c>
      <c r="J4271" s="117"/>
      <c r="K4271" s="120"/>
      <c r="L4271" s="121"/>
      <c r="M4271" s="120"/>
      <c r="N4271" s="121"/>
      <c r="O4271" s="120"/>
      <c r="P4271" s="121"/>
      <c r="Q4271" s="120"/>
      <c r="R4271" s="121"/>
      <c r="S4271" s="120"/>
      <c r="T4271" s="121"/>
      <c r="U4271" s="120"/>
      <c r="V4271" s="123"/>
      <c r="W4271" s="125"/>
      <c r="X4271" s="142" t="s">
        <v>13314</v>
      </c>
      <c r="Y4271" s="143"/>
      <c r="Z4271" s="143"/>
      <c r="AA4271" s="143"/>
      <c r="AB4271" s="144"/>
      <c r="AC4271" s="16" t="s">
        <v>21</v>
      </c>
      <c r="AD4271" s="17" t="s">
        <v>2268</v>
      </c>
      <c r="AE4271" s="145" t="s">
        <v>13315</v>
      </c>
      <c r="AF4271" s="146"/>
      <c r="AG4271" s="146"/>
      <c r="AH4271" s="146"/>
      <c r="AI4271" s="147"/>
      <c r="AJ4271" s="148"/>
      <c r="AK4271" s="143"/>
      <c r="AL4271" s="144"/>
      <c r="AM4271" s="22"/>
      <c r="AN4271" s="149" t="s">
        <v>2511</v>
      </c>
      <c r="AO4271" s="144"/>
      <c r="AP4271" s="148">
        <v>80010</v>
      </c>
      <c r="AQ4271" s="144"/>
      <c r="AR4271" s="120"/>
      <c r="AS4271" s="121"/>
      <c r="AT4271" s="120"/>
      <c r="AU4271" s="121"/>
      <c r="AV4271" s="120"/>
      <c r="AW4271" s="121"/>
      <c r="AX4271" s="120"/>
      <c r="AY4271" s="121"/>
      <c r="AZ4271" s="138"/>
    </row>
    <row r="4272" spans="1:52" ht="17.100000000000001" customHeight="1" thickTop="1">
      <c r="A4272" s="109" t="s">
        <v>12965</v>
      </c>
      <c r="B4272" s="28">
        <v>46001</v>
      </c>
      <c r="C4272" s="25">
        <v>1817</v>
      </c>
      <c r="D4272" s="13" t="s">
        <v>2092</v>
      </c>
      <c r="E4272" s="111"/>
      <c r="F4272" s="113" t="s">
        <v>2598</v>
      </c>
      <c r="G4272" s="114"/>
      <c r="H4272" s="115"/>
      <c r="I4272" s="24"/>
      <c r="J4272" s="116">
        <v>4.5</v>
      </c>
      <c r="K4272" s="118">
        <v>1248000</v>
      </c>
      <c r="L4272" s="119"/>
      <c r="M4272" s="118">
        <f t="shared" ref="M4272" si="4517">K4272*0.1</f>
        <v>124800</v>
      </c>
      <c r="N4272" s="119"/>
      <c r="O4272" s="118">
        <v>0</v>
      </c>
      <c r="P4272" s="119"/>
      <c r="Q4272" s="118">
        <v>6850</v>
      </c>
      <c r="R4272" s="119"/>
      <c r="S4272" s="118">
        <v>18150</v>
      </c>
      <c r="T4272" s="119"/>
      <c r="U4272" s="118">
        <f t="shared" ref="U4272" si="4518">SUM(K4272:T4273)</f>
        <v>1397800</v>
      </c>
      <c r="V4272" s="122"/>
      <c r="W4272" s="124"/>
      <c r="X4272" s="126" t="s">
        <v>13750</v>
      </c>
      <c r="Y4272" s="127"/>
      <c r="Z4272" s="127"/>
      <c r="AA4272" s="127"/>
      <c r="AB4272" s="128"/>
      <c r="AC4272" s="15" t="s">
        <v>20</v>
      </c>
      <c r="AD4272" s="129" t="s">
        <v>171</v>
      </c>
      <c r="AE4272" s="130"/>
      <c r="AF4272" s="130"/>
      <c r="AG4272" s="130"/>
      <c r="AH4272" s="130"/>
      <c r="AI4272" s="131"/>
      <c r="AJ4272" s="132"/>
      <c r="AK4272" s="127"/>
      <c r="AL4272" s="128"/>
      <c r="AM4272" s="21"/>
      <c r="AN4272" s="133">
        <v>46018</v>
      </c>
      <c r="AO4272" s="134"/>
      <c r="AP4272" s="135">
        <v>1282</v>
      </c>
      <c r="AQ4272" s="136"/>
      <c r="AR4272" s="118">
        <v>1390000</v>
      </c>
      <c r="AS4272" s="119"/>
      <c r="AT4272" s="118">
        <f t="shared" ref="AT4272" si="4519">AR4272*0.1</f>
        <v>139000</v>
      </c>
      <c r="AU4272" s="119"/>
      <c r="AV4272" s="118">
        <v>6850</v>
      </c>
      <c r="AW4272" s="119"/>
      <c r="AX4272" s="118">
        <f t="shared" ref="AX4272" si="4520">SUM(AR4272:AW4272)</f>
        <v>1535850</v>
      </c>
      <c r="AY4272" s="119"/>
      <c r="AZ4272" s="137">
        <v>46028</v>
      </c>
    </row>
    <row r="4273" spans="1:52" ht="17.100000000000001" customHeight="1" thickBot="1">
      <c r="A4273" s="110"/>
      <c r="B4273" s="27" t="s">
        <v>2559</v>
      </c>
      <c r="C4273" s="27">
        <v>3055</v>
      </c>
      <c r="D4273" s="14" t="s">
        <v>2601</v>
      </c>
      <c r="E4273" s="112"/>
      <c r="F4273" s="139" t="s">
        <v>12969</v>
      </c>
      <c r="G4273" s="140"/>
      <c r="H4273" s="141"/>
      <c r="I4273" s="26">
        <v>39486</v>
      </c>
      <c r="J4273" s="117"/>
      <c r="K4273" s="120"/>
      <c r="L4273" s="121"/>
      <c r="M4273" s="120"/>
      <c r="N4273" s="121"/>
      <c r="O4273" s="120"/>
      <c r="P4273" s="121"/>
      <c r="Q4273" s="120"/>
      <c r="R4273" s="121"/>
      <c r="S4273" s="120"/>
      <c r="T4273" s="121"/>
      <c r="U4273" s="120"/>
      <c r="V4273" s="123"/>
      <c r="W4273" s="125"/>
      <c r="X4273" s="142" t="s">
        <v>4500</v>
      </c>
      <c r="Y4273" s="143"/>
      <c r="Z4273" s="143"/>
      <c r="AA4273" s="143"/>
      <c r="AB4273" s="144"/>
      <c r="AC4273" s="16" t="s">
        <v>21</v>
      </c>
      <c r="AD4273" s="17" t="s">
        <v>1783</v>
      </c>
      <c r="AE4273" s="145" t="s">
        <v>3609</v>
      </c>
      <c r="AF4273" s="146"/>
      <c r="AG4273" s="146"/>
      <c r="AH4273" s="146"/>
      <c r="AI4273" s="147"/>
      <c r="AJ4273" s="148"/>
      <c r="AK4273" s="143"/>
      <c r="AL4273" s="144"/>
      <c r="AM4273" s="22"/>
      <c r="AN4273" s="149" t="s">
        <v>2511</v>
      </c>
      <c r="AO4273" s="144"/>
      <c r="AP4273" s="148">
        <v>60043</v>
      </c>
      <c r="AQ4273" s="144"/>
      <c r="AR4273" s="120"/>
      <c r="AS4273" s="121"/>
      <c r="AT4273" s="120"/>
      <c r="AU4273" s="121"/>
      <c r="AV4273" s="120"/>
      <c r="AW4273" s="121"/>
      <c r="AX4273" s="120"/>
      <c r="AY4273" s="121"/>
      <c r="AZ4273" s="138"/>
    </row>
    <row r="4274" spans="1:52" ht="17.100000000000001" customHeight="1" thickTop="1">
      <c r="A4274" s="109" t="s">
        <v>12966</v>
      </c>
      <c r="B4274" s="28">
        <v>46001</v>
      </c>
      <c r="C4274" s="25">
        <v>1817</v>
      </c>
      <c r="D4274" s="13" t="s">
        <v>1776</v>
      </c>
      <c r="E4274" s="111"/>
      <c r="F4274" s="113" t="s">
        <v>12973</v>
      </c>
      <c r="G4274" s="114"/>
      <c r="H4274" s="115"/>
      <c r="I4274" s="24"/>
      <c r="J4274" s="116">
        <v>4.5</v>
      </c>
      <c r="K4274" s="118">
        <v>634000</v>
      </c>
      <c r="L4274" s="119"/>
      <c r="M4274" s="118">
        <f t="shared" ref="M4274" si="4521">K4274*0.1</f>
        <v>63400</v>
      </c>
      <c r="N4274" s="119"/>
      <c r="O4274" s="118">
        <v>0</v>
      </c>
      <c r="P4274" s="119"/>
      <c r="Q4274" s="118">
        <v>9790</v>
      </c>
      <c r="R4274" s="119"/>
      <c r="S4274" s="118">
        <v>18150</v>
      </c>
      <c r="T4274" s="119"/>
      <c r="U4274" s="118">
        <f t="shared" ref="U4274" si="4522">SUM(K4274:T4275)</f>
        <v>725340</v>
      </c>
      <c r="V4274" s="122"/>
      <c r="W4274" s="124"/>
      <c r="X4274" s="126" t="s">
        <v>13751</v>
      </c>
      <c r="Y4274" s="127"/>
      <c r="Z4274" s="127"/>
      <c r="AA4274" s="127"/>
      <c r="AB4274" s="128"/>
      <c r="AC4274" s="15" t="s">
        <v>20</v>
      </c>
      <c r="AD4274" s="129"/>
      <c r="AE4274" s="130"/>
      <c r="AF4274" s="130"/>
      <c r="AG4274" s="130"/>
      <c r="AH4274" s="130"/>
      <c r="AI4274" s="131"/>
      <c r="AJ4274" s="132"/>
      <c r="AK4274" s="127"/>
      <c r="AL4274" s="128"/>
      <c r="AM4274" s="21"/>
      <c r="AN4274" s="133">
        <v>46011</v>
      </c>
      <c r="AO4274" s="134"/>
      <c r="AP4274" s="135">
        <v>1281</v>
      </c>
      <c r="AQ4274" s="136"/>
      <c r="AR4274" s="118">
        <v>680000</v>
      </c>
      <c r="AS4274" s="119"/>
      <c r="AT4274" s="118">
        <f t="shared" ref="AT4274" si="4523">AR4274*0.1</f>
        <v>68000</v>
      </c>
      <c r="AU4274" s="119"/>
      <c r="AV4274" s="118">
        <v>9790</v>
      </c>
      <c r="AW4274" s="119"/>
      <c r="AX4274" s="118">
        <f t="shared" ref="AX4274" si="4524">SUM(AR4274:AW4274)</f>
        <v>757790</v>
      </c>
      <c r="AY4274" s="119"/>
      <c r="AZ4274" s="137">
        <v>46014</v>
      </c>
    </row>
    <row r="4275" spans="1:52" ht="17.100000000000001" customHeight="1" thickBot="1">
      <c r="A4275" s="110"/>
      <c r="B4275" s="27" t="s">
        <v>2559</v>
      </c>
      <c r="C4275" s="27">
        <v>3382</v>
      </c>
      <c r="D4275" s="14" t="s">
        <v>275</v>
      </c>
      <c r="E4275" s="112"/>
      <c r="F4275" s="139" t="s">
        <v>12970</v>
      </c>
      <c r="G4275" s="140"/>
      <c r="H4275" s="141"/>
      <c r="I4275" s="26">
        <v>67709</v>
      </c>
      <c r="J4275" s="117"/>
      <c r="K4275" s="120"/>
      <c r="L4275" s="121"/>
      <c r="M4275" s="120"/>
      <c r="N4275" s="121"/>
      <c r="O4275" s="120"/>
      <c r="P4275" s="121"/>
      <c r="Q4275" s="120"/>
      <c r="R4275" s="121"/>
      <c r="S4275" s="120"/>
      <c r="T4275" s="121"/>
      <c r="U4275" s="120"/>
      <c r="V4275" s="123"/>
      <c r="W4275" s="125"/>
      <c r="X4275" s="142" t="s">
        <v>1997</v>
      </c>
      <c r="Y4275" s="143"/>
      <c r="Z4275" s="143"/>
      <c r="AA4275" s="143"/>
      <c r="AB4275" s="144"/>
      <c r="AC4275" s="16" t="s">
        <v>21</v>
      </c>
      <c r="AD4275" s="17" t="s">
        <v>1783</v>
      </c>
      <c r="AE4275" s="145" t="s">
        <v>1742</v>
      </c>
      <c r="AF4275" s="146"/>
      <c r="AG4275" s="146"/>
      <c r="AH4275" s="146"/>
      <c r="AI4275" s="147"/>
      <c r="AJ4275" s="148"/>
      <c r="AK4275" s="143"/>
      <c r="AL4275" s="144"/>
      <c r="AM4275" s="22"/>
      <c r="AN4275" s="149" t="s">
        <v>2511</v>
      </c>
      <c r="AO4275" s="144"/>
      <c r="AP4275" s="148">
        <v>60029</v>
      </c>
      <c r="AQ4275" s="144"/>
      <c r="AR4275" s="120"/>
      <c r="AS4275" s="121"/>
      <c r="AT4275" s="120"/>
      <c r="AU4275" s="121"/>
      <c r="AV4275" s="120"/>
      <c r="AW4275" s="121"/>
      <c r="AX4275" s="120"/>
      <c r="AY4275" s="121"/>
      <c r="AZ4275" s="138"/>
    </row>
    <row r="4276" spans="1:52" ht="17.100000000000001" customHeight="1" thickTop="1">
      <c r="A4276" s="109" t="s">
        <v>12967</v>
      </c>
      <c r="B4276" s="28">
        <v>46001</v>
      </c>
      <c r="C4276" s="25">
        <v>1817</v>
      </c>
      <c r="D4276" s="13" t="s">
        <v>2359</v>
      </c>
      <c r="E4276" s="111"/>
      <c r="F4276" s="113" t="s">
        <v>12974</v>
      </c>
      <c r="G4276" s="114"/>
      <c r="H4276" s="115"/>
      <c r="I4276" s="24"/>
      <c r="J4276" s="116">
        <v>4.5</v>
      </c>
      <c r="K4276" s="118">
        <v>1005000</v>
      </c>
      <c r="L4276" s="119"/>
      <c r="M4276" s="118">
        <f t="shared" ref="M4276" si="4525">K4276*0.1</f>
        <v>100500</v>
      </c>
      <c r="N4276" s="119"/>
      <c r="O4276" s="118">
        <v>0</v>
      </c>
      <c r="P4276" s="119"/>
      <c r="Q4276" s="118">
        <v>8190</v>
      </c>
      <c r="R4276" s="119"/>
      <c r="S4276" s="118">
        <v>18150</v>
      </c>
      <c r="T4276" s="119"/>
      <c r="U4276" s="118">
        <f t="shared" ref="U4276" si="4526">SUM(K4276:T4277)</f>
        <v>1131840</v>
      </c>
      <c r="V4276" s="122"/>
      <c r="W4276" s="124"/>
      <c r="X4276" s="126" t="s">
        <v>13390</v>
      </c>
      <c r="Y4276" s="127"/>
      <c r="Z4276" s="127"/>
      <c r="AA4276" s="127"/>
      <c r="AB4276" s="128"/>
      <c r="AC4276" s="15" t="s">
        <v>20</v>
      </c>
      <c r="AD4276" s="129" t="s">
        <v>1670</v>
      </c>
      <c r="AE4276" s="130"/>
      <c r="AF4276" s="130"/>
      <c r="AG4276" s="130"/>
      <c r="AH4276" s="130"/>
      <c r="AI4276" s="131"/>
      <c r="AJ4276" s="132"/>
      <c r="AK4276" s="127"/>
      <c r="AL4276" s="128"/>
      <c r="AM4276" s="21"/>
      <c r="AN4276" s="133">
        <v>46011</v>
      </c>
      <c r="AO4276" s="134"/>
      <c r="AP4276" s="135">
        <v>1281</v>
      </c>
      <c r="AQ4276" s="136"/>
      <c r="AR4276" s="118">
        <v>1100000</v>
      </c>
      <c r="AS4276" s="119"/>
      <c r="AT4276" s="118">
        <f t="shared" ref="AT4276" si="4527">AR4276*0.1</f>
        <v>110000</v>
      </c>
      <c r="AU4276" s="119"/>
      <c r="AV4276" s="118">
        <v>8190</v>
      </c>
      <c r="AW4276" s="119"/>
      <c r="AX4276" s="118">
        <f t="shared" ref="AX4276" si="4528">SUM(AR4276:AW4276)</f>
        <v>1218190</v>
      </c>
      <c r="AY4276" s="119"/>
      <c r="AZ4276" s="137">
        <v>46014</v>
      </c>
    </row>
    <row r="4277" spans="1:52" ht="17.100000000000001" customHeight="1" thickBot="1">
      <c r="A4277" s="110"/>
      <c r="B4277" s="27" t="s">
        <v>2559</v>
      </c>
      <c r="C4277" s="27">
        <v>36131</v>
      </c>
      <c r="D4277" s="14" t="s">
        <v>2601</v>
      </c>
      <c r="E4277" s="112"/>
      <c r="F4277" s="139" t="s">
        <v>12971</v>
      </c>
      <c r="G4277" s="140"/>
      <c r="H4277" s="141"/>
      <c r="I4277" s="26">
        <v>27635</v>
      </c>
      <c r="J4277" s="117"/>
      <c r="K4277" s="120"/>
      <c r="L4277" s="121"/>
      <c r="M4277" s="120"/>
      <c r="N4277" s="121"/>
      <c r="O4277" s="120"/>
      <c r="P4277" s="121"/>
      <c r="Q4277" s="120"/>
      <c r="R4277" s="121"/>
      <c r="S4277" s="120"/>
      <c r="T4277" s="121"/>
      <c r="U4277" s="120"/>
      <c r="V4277" s="123"/>
      <c r="W4277" s="125"/>
      <c r="X4277" s="142" t="s">
        <v>3455</v>
      </c>
      <c r="Y4277" s="143"/>
      <c r="Z4277" s="143"/>
      <c r="AA4277" s="143"/>
      <c r="AB4277" s="144"/>
      <c r="AC4277" s="16" t="s">
        <v>21</v>
      </c>
      <c r="AD4277" s="17" t="s">
        <v>3445</v>
      </c>
      <c r="AE4277" s="145" t="s">
        <v>13450</v>
      </c>
      <c r="AF4277" s="146"/>
      <c r="AG4277" s="146"/>
      <c r="AH4277" s="146"/>
      <c r="AI4277" s="147"/>
      <c r="AJ4277" s="148"/>
      <c r="AK4277" s="143"/>
      <c r="AL4277" s="144"/>
      <c r="AM4277" s="22"/>
      <c r="AN4277" s="149" t="s">
        <v>2511</v>
      </c>
      <c r="AO4277" s="144"/>
      <c r="AP4277" s="148">
        <v>55017</v>
      </c>
      <c r="AQ4277" s="144"/>
      <c r="AR4277" s="120"/>
      <c r="AS4277" s="121"/>
      <c r="AT4277" s="120"/>
      <c r="AU4277" s="121"/>
      <c r="AV4277" s="120"/>
      <c r="AW4277" s="121"/>
      <c r="AX4277" s="120"/>
      <c r="AY4277" s="121"/>
      <c r="AZ4277" s="138"/>
    </row>
    <row r="4278" spans="1:52" ht="17.100000000000001" customHeight="1" thickTop="1">
      <c r="A4278" s="109" t="s">
        <v>12968</v>
      </c>
      <c r="B4278" s="28">
        <v>46001</v>
      </c>
      <c r="C4278" s="25">
        <v>1817</v>
      </c>
      <c r="D4278" s="13" t="s">
        <v>1767</v>
      </c>
      <c r="E4278" s="111"/>
      <c r="F4278" s="113" t="s">
        <v>11543</v>
      </c>
      <c r="G4278" s="114"/>
      <c r="H4278" s="115"/>
      <c r="I4278" s="24"/>
      <c r="J4278" s="116">
        <v>4</v>
      </c>
      <c r="K4278" s="118">
        <v>850000</v>
      </c>
      <c r="L4278" s="119"/>
      <c r="M4278" s="118">
        <f t="shared" ref="M4278" si="4529">K4278*0.1</f>
        <v>85000</v>
      </c>
      <c r="N4278" s="119"/>
      <c r="O4278" s="118">
        <v>0</v>
      </c>
      <c r="P4278" s="119"/>
      <c r="Q4278" s="118">
        <v>22520</v>
      </c>
      <c r="R4278" s="119"/>
      <c r="S4278" s="118">
        <v>18150</v>
      </c>
      <c r="T4278" s="119"/>
      <c r="U4278" s="118">
        <f t="shared" ref="U4278" si="4530">SUM(K4278:T4279)</f>
        <v>975670</v>
      </c>
      <c r="V4278" s="122"/>
      <c r="W4278" s="124"/>
      <c r="X4278" s="126" t="s">
        <v>13381</v>
      </c>
      <c r="Y4278" s="127"/>
      <c r="Z4278" s="127"/>
      <c r="AA4278" s="127"/>
      <c r="AB4278" s="128"/>
      <c r="AC4278" s="15" t="s">
        <v>20</v>
      </c>
      <c r="AD4278" s="129"/>
      <c r="AE4278" s="130"/>
      <c r="AF4278" s="130"/>
      <c r="AG4278" s="130"/>
      <c r="AH4278" s="130"/>
      <c r="AI4278" s="131"/>
      <c r="AJ4278" s="132"/>
      <c r="AK4278" s="127"/>
      <c r="AL4278" s="128"/>
      <c r="AM4278" s="21"/>
      <c r="AN4278" s="133">
        <v>46004</v>
      </c>
      <c r="AO4278" s="134"/>
      <c r="AP4278" s="135">
        <v>1280</v>
      </c>
      <c r="AQ4278" s="136"/>
      <c r="AR4278" s="118">
        <v>1070000</v>
      </c>
      <c r="AS4278" s="119"/>
      <c r="AT4278" s="118">
        <f t="shared" ref="AT4278" si="4531">AR4278*0.1</f>
        <v>107000</v>
      </c>
      <c r="AU4278" s="119"/>
      <c r="AV4278" s="118">
        <v>22520</v>
      </c>
      <c r="AW4278" s="119"/>
      <c r="AX4278" s="118">
        <f t="shared" ref="AX4278" si="4532">SUM(AR4278:AW4278)</f>
        <v>1199520</v>
      </c>
      <c r="AY4278" s="119"/>
      <c r="AZ4278" s="137">
        <v>46008</v>
      </c>
    </row>
    <row r="4279" spans="1:52" ht="17.100000000000001" customHeight="1" thickBot="1">
      <c r="A4279" s="110"/>
      <c r="B4279" s="27" t="s">
        <v>2559</v>
      </c>
      <c r="C4279" s="27">
        <v>38012</v>
      </c>
      <c r="D4279" s="14" t="s">
        <v>2601</v>
      </c>
      <c r="E4279" s="112"/>
      <c r="F4279" s="139" t="s">
        <v>12972</v>
      </c>
      <c r="G4279" s="140"/>
      <c r="H4279" s="141"/>
      <c r="I4279" s="26">
        <v>44778</v>
      </c>
      <c r="J4279" s="117"/>
      <c r="K4279" s="120"/>
      <c r="L4279" s="121"/>
      <c r="M4279" s="120"/>
      <c r="N4279" s="121"/>
      <c r="O4279" s="120"/>
      <c r="P4279" s="121"/>
      <c r="Q4279" s="120"/>
      <c r="R4279" s="121"/>
      <c r="S4279" s="120"/>
      <c r="T4279" s="121"/>
      <c r="U4279" s="120"/>
      <c r="V4279" s="123"/>
      <c r="W4279" s="125"/>
      <c r="X4279" s="142" t="s">
        <v>3455</v>
      </c>
      <c r="Y4279" s="143"/>
      <c r="Z4279" s="143"/>
      <c r="AA4279" s="143"/>
      <c r="AB4279" s="144"/>
      <c r="AC4279" s="16" t="s">
        <v>21</v>
      </c>
      <c r="AD4279" s="17" t="s">
        <v>3445</v>
      </c>
      <c r="AE4279" s="145" t="s">
        <v>1633</v>
      </c>
      <c r="AF4279" s="146"/>
      <c r="AG4279" s="146"/>
      <c r="AH4279" s="146"/>
      <c r="AI4279" s="147"/>
      <c r="AJ4279" s="148"/>
      <c r="AK4279" s="143"/>
      <c r="AL4279" s="144"/>
      <c r="AM4279" s="22"/>
      <c r="AN4279" s="149" t="s">
        <v>2511</v>
      </c>
      <c r="AO4279" s="144"/>
      <c r="AP4279" s="148">
        <v>80335</v>
      </c>
      <c r="AQ4279" s="144"/>
      <c r="AR4279" s="120"/>
      <c r="AS4279" s="121"/>
      <c r="AT4279" s="120"/>
      <c r="AU4279" s="121"/>
      <c r="AV4279" s="120"/>
      <c r="AW4279" s="121"/>
      <c r="AX4279" s="120"/>
      <c r="AY4279" s="121"/>
      <c r="AZ4279" s="138"/>
    </row>
    <row r="4280" spans="1:52" ht="17.100000000000001" customHeight="1" thickTop="1">
      <c r="A4280" s="109" t="s">
        <v>13101</v>
      </c>
      <c r="B4280" s="28">
        <v>46002</v>
      </c>
      <c r="C4280" s="25">
        <v>2225</v>
      </c>
      <c r="D4280" s="13" t="s">
        <v>2298</v>
      </c>
      <c r="E4280" s="111"/>
      <c r="F4280" s="113" t="s">
        <v>12975</v>
      </c>
      <c r="G4280" s="114"/>
      <c r="H4280" s="115"/>
      <c r="I4280" s="24"/>
      <c r="J4280" s="116">
        <v>4</v>
      </c>
      <c r="K4280" s="118">
        <v>1426000</v>
      </c>
      <c r="L4280" s="119"/>
      <c r="M4280" s="118">
        <f t="shared" ref="M4280" si="4533">K4280*0.1</f>
        <v>142600</v>
      </c>
      <c r="N4280" s="119"/>
      <c r="O4280" s="118">
        <v>0</v>
      </c>
      <c r="P4280" s="119"/>
      <c r="Q4280" s="118">
        <v>17930</v>
      </c>
      <c r="R4280" s="119"/>
      <c r="S4280" s="118">
        <v>19250</v>
      </c>
      <c r="T4280" s="119"/>
      <c r="U4280" s="118">
        <f t="shared" ref="U4280" si="4534">SUM(K4280:T4281)</f>
        <v>1605780</v>
      </c>
      <c r="V4280" s="122"/>
      <c r="W4280" s="124"/>
      <c r="X4280" s="126" t="s">
        <v>13400</v>
      </c>
      <c r="Y4280" s="127"/>
      <c r="Z4280" s="127"/>
      <c r="AA4280" s="127"/>
      <c r="AB4280" s="128"/>
      <c r="AC4280" s="15" t="s">
        <v>20</v>
      </c>
      <c r="AD4280" s="129" t="s">
        <v>1670</v>
      </c>
      <c r="AE4280" s="130"/>
      <c r="AF4280" s="130"/>
      <c r="AG4280" s="130"/>
      <c r="AH4280" s="130"/>
      <c r="AI4280" s="131"/>
      <c r="AJ4280" s="132"/>
      <c r="AK4280" s="127"/>
      <c r="AL4280" s="128"/>
      <c r="AM4280" s="21"/>
      <c r="AN4280" s="133">
        <v>46046</v>
      </c>
      <c r="AO4280" s="134"/>
      <c r="AP4280" s="135">
        <v>1285</v>
      </c>
      <c r="AQ4280" s="136"/>
      <c r="AR4280" s="118">
        <v>1580000</v>
      </c>
      <c r="AS4280" s="119"/>
      <c r="AT4280" s="118">
        <f t="shared" ref="AT4280" si="4535">AR4280*0.1</f>
        <v>158000</v>
      </c>
      <c r="AU4280" s="119"/>
      <c r="AV4280" s="118">
        <v>17930</v>
      </c>
      <c r="AW4280" s="119"/>
      <c r="AX4280" s="118">
        <f t="shared" ref="AX4280" si="4536">SUM(AR4280:AW4280)</f>
        <v>1755930</v>
      </c>
      <c r="AY4280" s="119"/>
      <c r="AZ4280" s="137">
        <v>46051</v>
      </c>
    </row>
    <row r="4281" spans="1:52" ht="17.100000000000001" customHeight="1" thickBot="1">
      <c r="A4281" s="110"/>
      <c r="B4281" s="27" t="s">
        <v>3606</v>
      </c>
      <c r="C4281" s="27">
        <v>81006</v>
      </c>
      <c r="D4281" s="14" t="s">
        <v>1576</v>
      </c>
      <c r="E4281" s="112"/>
      <c r="F4281" s="139" t="s">
        <v>12976</v>
      </c>
      <c r="G4281" s="140"/>
      <c r="H4281" s="141"/>
      <c r="I4281" s="26">
        <v>58841</v>
      </c>
      <c r="J4281" s="117"/>
      <c r="K4281" s="120"/>
      <c r="L4281" s="121"/>
      <c r="M4281" s="120"/>
      <c r="N4281" s="121"/>
      <c r="O4281" s="120"/>
      <c r="P4281" s="121"/>
      <c r="Q4281" s="120"/>
      <c r="R4281" s="121"/>
      <c r="S4281" s="120"/>
      <c r="T4281" s="121"/>
      <c r="U4281" s="120"/>
      <c r="V4281" s="123"/>
      <c r="W4281" s="125"/>
      <c r="X4281" s="142" t="s">
        <v>13401</v>
      </c>
      <c r="Y4281" s="143"/>
      <c r="Z4281" s="143"/>
      <c r="AA4281" s="143"/>
      <c r="AB4281" s="144"/>
      <c r="AC4281" s="16" t="s">
        <v>21</v>
      </c>
      <c r="AD4281" s="17" t="s">
        <v>3445</v>
      </c>
      <c r="AE4281" s="145" t="s">
        <v>13842</v>
      </c>
      <c r="AF4281" s="146"/>
      <c r="AG4281" s="146"/>
      <c r="AH4281" s="146"/>
      <c r="AI4281" s="147"/>
      <c r="AJ4281" s="148"/>
      <c r="AK4281" s="143"/>
      <c r="AL4281" s="144"/>
      <c r="AM4281" s="22"/>
      <c r="AN4281" s="149" t="s">
        <v>6748</v>
      </c>
      <c r="AO4281" s="144"/>
      <c r="AP4281" s="148">
        <v>80091</v>
      </c>
      <c r="AQ4281" s="144"/>
      <c r="AR4281" s="120"/>
      <c r="AS4281" s="121"/>
      <c r="AT4281" s="120"/>
      <c r="AU4281" s="121"/>
      <c r="AV4281" s="120"/>
      <c r="AW4281" s="121"/>
      <c r="AX4281" s="120"/>
      <c r="AY4281" s="121"/>
      <c r="AZ4281" s="138"/>
    </row>
    <row r="4282" spans="1:52" ht="16.5" customHeight="1" thickTop="1">
      <c r="A4282" s="109" t="s">
        <v>13102</v>
      </c>
      <c r="B4282" s="28">
        <v>46002</v>
      </c>
      <c r="C4282" s="25">
        <v>1962</v>
      </c>
      <c r="D4282" s="13" t="s">
        <v>1929</v>
      </c>
      <c r="E4282" s="111"/>
      <c r="F4282" s="113" t="s">
        <v>4585</v>
      </c>
      <c r="G4282" s="114"/>
      <c r="H4282" s="115"/>
      <c r="I4282" s="24"/>
      <c r="J4282" s="116">
        <v>4</v>
      </c>
      <c r="K4282" s="118">
        <v>781000</v>
      </c>
      <c r="L4282" s="119"/>
      <c r="M4282" s="118">
        <f t="shared" ref="M4282" si="4537">K4282*0.1</f>
        <v>78100</v>
      </c>
      <c r="N4282" s="119"/>
      <c r="O4282" s="118">
        <v>0</v>
      </c>
      <c r="P4282" s="119"/>
      <c r="Q4282" s="118">
        <v>9010</v>
      </c>
      <c r="R4282" s="119"/>
      <c r="S4282" s="118">
        <v>15950</v>
      </c>
      <c r="T4282" s="119"/>
      <c r="U4282" s="118">
        <f t="shared" ref="U4282" si="4538">SUM(K4282:T4283)</f>
        <v>884060</v>
      </c>
      <c r="V4282" s="122"/>
      <c r="W4282" s="124"/>
      <c r="X4282" s="126" t="s">
        <v>13539</v>
      </c>
      <c r="Y4282" s="127"/>
      <c r="Z4282" s="127"/>
      <c r="AA4282" s="127"/>
      <c r="AB4282" s="128"/>
      <c r="AC4282" s="15" t="s">
        <v>20</v>
      </c>
      <c r="AD4282" s="129"/>
      <c r="AE4282" s="130"/>
      <c r="AF4282" s="130"/>
      <c r="AG4282" s="130"/>
      <c r="AH4282" s="130"/>
      <c r="AI4282" s="131"/>
      <c r="AJ4282" s="132"/>
      <c r="AK4282" s="127"/>
      <c r="AL4282" s="128"/>
      <c r="AM4282" s="21"/>
      <c r="AN4282" s="133">
        <v>46018</v>
      </c>
      <c r="AO4282" s="134"/>
      <c r="AP4282" s="135">
        <v>1282</v>
      </c>
      <c r="AQ4282" s="136"/>
      <c r="AR4282" s="118">
        <v>960000</v>
      </c>
      <c r="AS4282" s="119"/>
      <c r="AT4282" s="118">
        <f t="shared" ref="AT4282" si="4539">AR4282*0.1</f>
        <v>96000</v>
      </c>
      <c r="AU4282" s="119"/>
      <c r="AV4282" s="118">
        <v>9010</v>
      </c>
      <c r="AW4282" s="119"/>
      <c r="AX4282" s="118">
        <f t="shared" ref="AX4282" si="4540">SUM(AR4282:AW4282)</f>
        <v>1065010</v>
      </c>
      <c r="AY4282" s="119"/>
      <c r="AZ4282" s="137">
        <v>46028</v>
      </c>
    </row>
    <row r="4283" spans="1:52" ht="17.100000000000001" customHeight="1" thickBot="1">
      <c r="A4283" s="110"/>
      <c r="B4283" s="27" t="s">
        <v>3792</v>
      </c>
      <c r="C4283" s="27">
        <v>3547</v>
      </c>
      <c r="D4283" s="14" t="s">
        <v>275</v>
      </c>
      <c r="E4283" s="112"/>
      <c r="F4283" s="139" t="s">
        <v>12977</v>
      </c>
      <c r="G4283" s="140"/>
      <c r="H4283" s="141"/>
      <c r="I4283" s="26">
        <v>83782</v>
      </c>
      <c r="J4283" s="117"/>
      <c r="K4283" s="120"/>
      <c r="L4283" s="121"/>
      <c r="M4283" s="120"/>
      <c r="N4283" s="121"/>
      <c r="O4283" s="120"/>
      <c r="P4283" s="121"/>
      <c r="Q4283" s="120"/>
      <c r="R4283" s="121"/>
      <c r="S4283" s="120"/>
      <c r="T4283" s="121"/>
      <c r="U4283" s="120"/>
      <c r="V4283" s="123"/>
      <c r="W4283" s="125"/>
      <c r="X4283" s="142" t="s">
        <v>13540</v>
      </c>
      <c r="Y4283" s="143"/>
      <c r="Z4283" s="143"/>
      <c r="AA4283" s="143"/>
      <c r="AB4283" s="144"/>
      <c r="AC4283" s="16" t="s">
        <v>21</v>
      </c>
      <c r="AD4283" s="17" t="s">
        <v>1757</v>
      </c>
      <c r="AE4283" s="145"/>
      <c r="AF4283" s="146"/>
      <c r="AG4283" s="146"/>
      <c r="AH4283" s="146"/>
      <c r="AI4283" s="147"/>
      <c r="AJ4283" s="148"/>
      <c r="AK4283" s="143"/>
      <c r="AL4283" s="144"/>
      <c r="AM4283" s="22"/>
      <c r="AN4283" s="149" t="s">
        <v>2511</v>
      </c>
      <c r="AO4283" s="144"/>
      <c r="AP4283" s="148">
        <v>60173</v>
      </c>
      <c r="AQ4283" s="144"/>
      <c r="AR4283" s="120"/>
      <c r="AS4283" s="121"/>
      <c r="AT4283" s="120"/>
      <c r="AU4283" s="121"/>
      <c r="AV4283" s="120"/>
      <c r="AW4283" s="121"/>
      <c r="AX4283" s="120"/>
      <c r="AY4283" s="121"/>
      <c r="AZ4283" s="138"/>
    </row>
    <row r="4284" spans="1:52" ht="17.100000000000001" customHeight="1" thickTop="1">
      <c r="A4284" s="151" t="s">
        <v>13103</v>
      </c>
      <c r="B4284" s="28">
        <v>46002</v>
      </c>
      <c r="C4284" s="25">
        <v>1962</v>
      </c>
      <c r="D4284" s="13" t="s">
        <v>1853</v>
      </c>
      <c r="E4284" s="111"/>
      <c r="F4284" s="113" t="s">
        <v>4980</v>
      </c>
      <c r="G4284" s="114"/>
      <c r="H4284" s="115"/>
      <c r="I4284" s="24"/>
      <c r="J4284" s="116">
        <v>4.5</v>
      </c>
      <c r="K4284" s="118">
        <v>931000</v>
      </c>
      <c r="L4284" s="119"/>
      <c r="M4284" s="118">
        <f t="shared" ref="M4284" si="4541">K4284*0.1</f>
        <v>93100</v>
      </c>
      <c r="N4284" s="119"/>
      <c r="O4284" s="118">
        <v>0</v>
      </c>
      <c r="P4284" s="119"/>
      <c r="Q4284" s="118">
        <v>7440</v>
      </c>
      <c r="R4284" s="119"/>
      <c r="S4284" s="118">
        <v>15950</v>
      </c>
      <c r="T4284" s="119"/>
      <c r="U4284" s="118">
        <f t="shared" ref="U4284" si="4542">SUM(K4284:T4285)</f>
        <v>1047490</v>
      </c>
      <c r="V4284" s="122"/>
      <c r="W4284" s="124"/>
      <c r="X4284" s="126" t="s">
        <v>13541</v>
      </c>
      <c r="Y4284" s="127"/>
      <c r="Z4284" s="127"/>
      <c r="AA4284" s="127"/>
      <c r="AB4284" s="128"/>
      <c r="AC4284" s="15" t="s">
        <v>20</v>
      </c>
      <c r="AD4284" s="129"/>
      <c r="AE4284" s="130"/>
      <c r="AF4284" s="130"/>
      <c r="AG4284" s="130"/>
      <c r="AH4284" s="130"/>
      <c r="AI4284" s="131"/>
      <c r="AJ4284" s="132"/>
      <c r="AK4284" s="127"/>
      <c r="AL4284" s="128"/>
      <c r="AM4284" s="21"/>
      <c r="AN4284" s="133">
        <v>46032</v>
      </c>
      <c r="AO4284" s="134"/>
      <c r="AP4284" s="135">
        <v>1283</v>
      </c>
      <c r="AQ4284" s="136"/>
      <c r="AR4284" s="118">
        <v>1000000</v>
      </c>
      <c r="AS4284" s="119"/>
      <c r="AT4284" s="118">
        <f t="shared" ref="AT4284" si="4543">AR4284*0.1</f>
        <v>100000</v>
      </c>
      <c r="AU4284" s="119"/>
      <c r="AV4284" s="118">
        <v>7440</v>
      </c>
      <c r="AW4284" s="119"/>
      <c r="AX4284" s="118">
        <f t="shared" ref="AX4284" si="4544">SUM(AR4284:AW4284)</f>
        <v>1107440</v>
      </c>
      <c r="AY4284" s="119"/>
      <c r="AZ4284" s="137">
        <v>46036</v>
      </c>
    </row>
    <row r="4285" spans="1:52" ht="17.100000000000001" customHeight="1" thickBot="1">
      <c r="A4285" s="152"/>
      <c r="B4285" s="27" t="s">
        <v>3792</v>
      </c>
      <c r="C4285" s="27">
        <v>62005</v>
      </c>
      <c r="D4285" s="14" t="s">
        <v>1592</v>
      </c>
      <c r="E4285" s="112"/>
      <c r="F4285" s="139" t="s">
        <v>12978</v>
      </c>
      <c r="G4285" s="140"/>
      <c r="H4285" s="141"/>
      <c r="I4285" s="26">
        <v>36135</v>
      </c>
      <c r="J4285" s="117"/>
      <c r="K4285" s="120"/>
      <c r="L4285" s="121"/>
      <c r="M4285" s="120"/>
      <c r="N4285" s="121"/>
      <c r="O4285" s="120"/>
      <c r="P4285" s="121"/>
      <c r="Q4285" s="120"/>
      <c r="R4285" s="121"/>
      <c r="S4285" s="120"/>
      <c r="T4285" s="121"/>
      <c r="U4285" s="120"/>
      <c r="V4285" s="123"/>
      <c r="W4285" s="125"/>
      <c r="X4285" s="142" t="s">
        <v>13542</v>
      </c>
      <c r="Y4285" s="143"/>
      <c r="Z4285" s="143"/>
      <c r="AA4285" s="143"/>
      <c r="AB4285" s="144"/>
      <c r="AC4285" s="16" t="s">
        <v>13841</v>
      </c>
      <c r="AD4285" s="17" t="s">
        <v>1757</v>
      </c>
      <c r="AE4285" s="145" t="s">
        <v>10327</v>
      </c>
      <c r="AF4285" s="146"/>
      <c r="AG4285" s="146"/>
      <c r="AH4285" s="146"/>
      <c r="AI4285" s="147"/>
      <c r="AJ4285" s="148"/>
      <c r="AK4285" s="143"/>
      <c r="AL4285" s="144"/>
      <c r="AM4285" s="22"/>
      <c r="AN4285" s="149" t="s">
        <v>2511</v>
      </c>
      <c r="AO4285" s="144"/>
      <c r="AP4285" s="148">
        <v>41013</v>
      </c>
      <c r="AQ4285" s="144"/>
      <c r="AR4285" s="120"/>
      <c r="AS4285" s="121"/>
      <c r="AT4285" s="120"/>
      <c r="AU4285" s="121"/>
      <c r="AV4285" s="120"/>
      <c r="AW4285" s="121"/>
      <c r="AX4285" s="120"/>
      <c r="AY4285" s="121"/>
      <c r="AZ4285" s="138"/>
    </row>
    <row r="4286" spans="1:52" ht="17.100000000000001" customHeight="1" thickTop="1">
      <c r="A4286" s="109" t="s">
        <v>13104</v>
      </c>
      <c r="B4286" s="28">
        <v>46002</v>
      </c>
      <c r="C4286" s="25">
        <v>1962</v>
      </c>
      <c r="D4286" s="13" t="s">
        <v>1845</v>
      </c>
      <c r="E4286" s="111"/>
      <c r="F4286" s="113" t="s">
        <v>4980</v>
      </c>
      <c r="G4286" s="114"/>
      <c r="H4286" s="115"/>
      <c r="I4286" s="24" t="s">
        <v>2533</v>
      </c>
      <c r="J4286" s="116">
        <v>4</v>
      </c>
      <c r="K4286" s="118">
        <v>795000</v>
      </c>
      <c r="L4286" s="119"/>
      <c r="M4286" s="118">
        <f t="shared" ref="M4286" si="4545">K4286*0.1</f>
        <v>79500</v>
      </c>
      <c r="N4286" s="119"/>
      <c r="O4286" s="118">
        <v>3850</v>
      </c>
      <c r="P4286" s="119"/>
      <c r="Q4286" s="118">
        <v>7440</v>
      </c>
      <c r="R4286" s="119"/>
      <c r="S4286" s="118">
        <v>15950</v>
      </c>
      <c r="T4286" s="119"/>
      <c r="U4286" s="118">
        <f t="shared" ref="U4286" si="4546">SUM(K4286:T4287)</f>
        <v>901740</v>
      </c>
      <c r="V4286" s="122"/>
      <c r="W4286" s="124"/>
      <c r="X4286" s="126" t="s">
        <v>12980</v>
      </c>
      <c r="Y4286" s="127"/>
      <c r="Z4286" s="127"/>
      <c r="AA4286" s="127"/>
      <c r="AB4286" s="128"/>
      <c r="AC4286" s="15" t="s">
        <v>20</v>
      </c>
      <c r="AD4286" s="129"/>
      <c r="AE4286" s="130"/>
      <c r="AF4286" s="130"/>
      <c r="AG4286" s="130"/>
      <c r="AH4286" s="130"/>
      <c r="AI4286" s="131"/>
      <c r="AJ4286" s="132"/>
      <c r="AK4286" s="127"/>
      <c r="AL4286" s="128"/>
      <c r="AM4286" s="21"/>
      <c r="AN4286" s="133">
        <v>46011</v>
      </c>
      <c r="AO4286" s="134"/>
      <c r="AP4286" s="135">
        <v>1281</v>
      </c>
      <c r="AQ4286" s="136"/>
      <c r="AR4286" s="118">
        <v>850000</v>
      </c>
      <c r="AS4286" s="119"/>
      <c r="AT4286" s="118">
        <f t="shared" ref="AT4286" si="4547">AR4286*0.1</f>
        <v>85000</v>
      </c>
      <c r="AU4286" s="119"/>
      <c r="AV4286" s="118">
        <v>7440</v>
      </c>
      <c r="AW4286" s="119"/>
      <c r="AX4286" s="118">
        <f t="shared" ref="AX4286" si="4548">SUM(AR4286:AW4286)</f>
        <v>942440</v>
      </c>
      <c r="AY4286" s="119"/>
      <c r="AZ4286" s="137">
        <v>46014</v>
      </c>
    </row>
    <row r="4287" spans="1:52" ht="17.100000000000001" customHeight="1" thickBot="1">
      <c r="A4287" s="110"/>
      <c r="B4287" s="27" t="s">
        <v>3792</v>
      </c>
      <c r="C4287" s="27">
        <v>62081</v>
      </c>
      <c r="D4287" s="14" t="s">
        <v>1592</v>
      </c>
      <c r="E4287" s="112"/>
      <c r="F4287" s="139" t="s">
        <v>12979</v>
      </c>
      <c r="G4287" s="140"/>
      <c r="H4287" s="141"/>
      <c r="I4287" s="26">
        <v>32971</v>
      </c>
      <c r="J4287" s="117"/>
      <c r="K4287" s="120"/>
      <c r="L4287" s="121"/>
      <c r="M4287" s="120"/>
      <c r="N4287" s="121"/>
      <c r="O4287" s="120"/>
      <c r="P4287" s="121"/>
      <c r="Q4287" s="120"/>
      <c r="R4287" s="121"/>
      <c r="S4287" s="120"/>
      <c r="T4287" s="121"/>
      <c r="U4287" s="120"/>
      <c r="V4287" s="123"/>
      <c r="W4287" s="125"/>
      <c r="X4287" s="142" t="s">
        <v>13347</v>
      </c>
      <c r="Y4287" s="143"/>
      <c r="Z4287" s="143"/>
      <c r="AA4287" s="143"/>
      <c r="AB4287" s="144"/>
      <c r="AC4287" s="16" t="s">
        <v>21</v>
      </c>
      <c r="AD4287" s="17" t="s">
        <v>2268</v>
      </c>
      <c r="AE4287" s="145" t="s">
        <v>2269</v>
      </c>
      <c r="AF4287" s="146"/>
      <c r="AG4287" s="146"/>
      <c r="AH4287" s="146"/>
      <c r="AI4287" s="147"/>
      <c r="AJ4287" s="148"/>
      <c r="AK4287" s="143"/>
      <c r="AL4287" s="144"/>
      <c r="AM4287" s="22"/>
      <c r="AN4287" s="149" t="s">
        <v>2511</v>
      </c>
      <c r="AO4287" s="144"/>
      <c r="AP4287" s="148">
        <v>41005</v>
      </c>
      <c r="AQ4287" s="144"/>
      <c r="AR4287" s="120"/>
      <c r="AS4287" s="121"/>
      <c r="AT4287" s="120"/>
      <c r="AU4287" s="121"/>
      <c r="AV4287" s="120"/>
      <c r="AW4287" s="121"/>
      <c r="AX4287" s="120"/>
      <c r="AY4287" s="121"/>
      <c r="AZ4287" s="138"/>
    </row>
    <row r="4288" spans="1:52" ht="17.100000000000001" customHeight="1" thickTop="1">
      <c r="A4288" s="109" t="s">
        <v>13108</v>
      </c>
      <c r="B4288" s="28">
        <v>46002</v>
      </c>
      <c r="C4288" s="25">
        <v>2006</v>
      </c>
      <c r="D4288" s="13" t="s">
        <v>2970</v>
      </c>
      <c r="E4288" s="111"/>
      <c r="F4288" s="113" t="s">
        <v>12981</v>
      </c>
      <c r="G4288" s="114"/>
      <c r="H4288" s="115"/>
      <c r="I4288" s="24"/>
      <c r="J4288" s="116">
        <v>4.5</v>
      </c>
      <c r="K4288" s="118">
        <v>2386000</v>
      </c>
      <c r="L4288" s="119"/>
      <c r="M4288" s="118">
        <f t="shared" ref="M4288" si="4549">K4288*0.1</f>
        <v>238600</v>
      </c>
      <c r="N4288" s="119"/>
      <c r="O4288" s="118">
        <v>0</v>
      </c>
      <c r="P4288" s="119"/>
      <c r="Q4288" s="118">
        <v>11740</v>
      </c>
      <c r="R4288" s="119"/>
      <c r="S4288" s="118">
        <v>22000</v>
      </c>
      <c r="T4288" s="119"/>
      <c r="U4288" s="118">
        <f t="shared" ref="U4288" si="4550">SUM(K4288:T4289)</f>
        <v>2658340</v>
      </c>
      <c r="V4288" s="122"/>
      <c r="W4288" s="124"/>
      <c r="X4288" s="126" t="s">
        <v>13759</v>
      </c>
      <c r="Y4288" s="127"/>
      <c r="Z4288" s="127"/>
      <c r="AA4288" s="127"/>
      <c r="AB4288" s="128"/>
      <c r="AC4288" s="15" t="s">
        <v>20</v>
      </c>
      <c r="AD4288" s="129" t="s">
        <v>1797</v>
      </c>
      <c r="AE4288" s="130"/>
      <c r="AF4288" s="130"/>
      <c r="AG4288" s="130"/>
      <c r="AH4288" s="130"/>
      <c r="AI4288" s="131"/>
      <c r="AJ4288" s="132"/>
      <c r="AK4288" s="127"/>
      <c r="AL4288" s="128"/>
      <c r="AM4288" s="21"/>
      <c r="AN4288" s="133">
        <v>46029</v>
      </c>
      <c r="AO4288" s="134"/>
      <c r="AP4288" s="135">
        <v>999</v>
      </c>
      <c r="AQ4288" s="136"/>
      <c r="AR4288" s="118">
        <v>2375000</v>
      </c>
      <c r="AS4288" s="119"/>
      <c r="AT4288" s="118">
        <f t="shared" ref="AT4288" si="4551">AR4288*0.1</f>
        <v>237500</v>
      </c>
      <c r="AU4288" s="119"/>
      <c r="AV4288" s="118">
        <v>11740</v>
      </c>
      <c r="AW4288" s="119"/>
      <c r="AX4288" s="118">
        <f t="shared" ref="AX4288" si="4552">SUM(AR4288:AW4288)</f>
        <v>2624240</v>
      </c>
      <c r="AY4288" s="119"/>
      <c r="AZ4288" s="137">
        <v>46035</v>
      </c>
    </row>
    <row r="4289" spans="1:52" ht="17.100000000000001" customHeight="1" thickBot="1">
      <c r="A4289" s="110"/>
      <c r="B4289" s="27" t="s">
        <v>2200</v>
      </c>
      <c r="C4289" s="27">
        <v>10024</v>
      </c>
      <c r="D4289" s="14" t="s">
        <v>2601</v>
      </c>
      <c r="E4289" s="112"/>
      <c r="F4289" s="139" t="s">
        <v>12982</v>
      </c>
      <c r="G4289" s="140"/>
      <c r="H4289" s="141"/>
      <c r="I4289" s="26">
        <v>19462</v>
      </c>
      <c r="J4289" s="117"/>
      <c r="K4289" s="120"/>
      <c r="L4289" s="121"/>
      <c r="M4289" s="120"/>
      <c r="N4289" s="121"/>
      <c r="O4289" s="120"/>
      <c r="P4289" s="121"/>
      <c r="Q4289" s="120"/>
      <c r="R4289" s="121"/>
      <c r="S4289" s="120"/>
      <c r="T4289" s="121"/>
      <c r="U4289" s="120"/>
      <c r="V4289" s="123"/>
      <c r="W4289" s="125"/>
      <c r="X4289" s="142" t="s">
        <v>13760</v>
      </c>
      <c r="Y4289" s="143"/>
      <c r="Z4289" s="143"/>
      <c r="AA4289" s="143"/>
      <c r="AB4289" s="144"/>
      <c r="AC4289" s="16" t="s">
        <v>21</v>
      </c>
      <c r="AD4289" s="17" t="s">
        <v>3476</v>
      </c>
      <c r="AE4289" s="145" t="s">
        <v>1742</v>
      </c>
      <c r="AF4289" s="146"/>
      <c r="AG4289" s="146"/>
      <c r="AH4289" s="146"/>
      <c r="AI4289" s="147"/>
      <c r="AJ4289" s="148"/>
      <c r="AK4289" s="143"/>
      <c r="AL4289" s="144"/>
      <c r="AM4289" s="22"/>
      <c r="AN4289" s="149" t="s">
        <v>2794</v>
      </c>
      <c r="AO4289" s="144"/>
      <c r="AP4289" s="148">
        <v>6051</v>
      </c>
      <c r="AQ4289" s="144"/>
      <c r="AR4289" s="120"/>
      <c r="AS4289" s="121"/>
      <c r="AT4289" s="120"/>
      <c r="AU4289" s="121"/>
      <c r="AV4289" s="120"/>
      <c r="AW4289" s="121"/>
      <c r="AX4289" s="120"/>
      <c r="AY4289" s="121"/>
      <c r="AZ4289" s="138"/>
    </row>
    <row r="4290" spans="1:52" ht="17.100000000000001" customHeight="1" thickTop="1">
      <c r="A4290" s="109" t="s">
        <v>13109</v>
      </c>
      <c r="B4290" s="28">
        <v>46002</v>
      </c>
      <c r="C4290" s="25">
        <v>2006</v>
      </c>
      <c r="D4290" s="13" t="s">
        <v>3749</v>
      </c>
      <c r="E4290" s="111"/>
      <c r="F4290" s="113" t="s">
        <v>12983</v>
      </c>
      <c r="G4290" s="114"/>
      <c r="H4290" s="115"/>
      <c r="I4290" s="24"/>
      <c r="J4290" s="116">
        <v>4</v>
      </c>
      <c r="K4290" s="118">
        <v>1097000</v>
      </c>
      <c r="L4290" s="119"/>
      <c r="M4290" s="118">
        <f t="shared" ref="M4290" si="4553">K4290*0.1</f>
        <v>109700</v>
      </c>
      <c r="N4290" s="119"/>
      <c r="O4290" s="118">
        <v>0</v>
      </c>
      <c r="P4290" s="119"/>
      <c r="Q4290" s="118">
        <v>14930</v>
      </c>
      <c r="R4290" s="119"/>
      <c r="S4290" s="118">
        <v>22000</v>
      </c>
      <c r="T4290" s="119"/>
      <c r="U4290" s="118">
        <f t="shared" ref="U4290" si="4554">SUM(K4290:T4291)</f>
        <v>1243630</v>
      </c>
      <c r="V4290" s="122"/>
      <c r="W4290" s="124"/>
      <c r="X4290" s="126" t="s">
        <v>13743</v>
      </c>
      <c r="Y4290" s="127"/>
      <c r="Z4290" s="127"/>
      <c r="AA4290" s="127"/>
      <c r="AB4290" s="128"/>
      <c r="AC4290" s="15" t="s">
        <v>20</v>
      </c>
      <c r="AD4290" s="129" t="s">
        <v>12985</v>
      </c>
      <c r="AE4290" s="130"/>
      <c r="AF4290" s="130"/>
      <c r="AG4290" s="130"/>
      <c r="AH4290" s="130"/>
      <c r="AI4290" s="131"/>
      <c r="AJ4290" s="132"/>
      <c r="AK4290" s="127"/>
      <c r="AL4290" s="128"/>
      <c r="AM4290" s="21"/>
      <c r="AN4290" s="133">
        <v>46050</v>
      </c>
      <c r="AO4290" s="134"/>
      <c r="AP4290" s="135">
        <v>1002</v>
      </c>
      <c r="AQ4290" s="136"/>
      <c r="AR4290" s="118">
        <v>1200000</v>
      </c>
      <c r="AS4290" s="119"/>
      <c r="AT4290" s="118">
        <f t="shared" ref="AT4290" si="4555">AR4290*0.1</f>
        <v>120000</v>
      </c>
      <c r="AU4290" s="119"/>
      <c r="AV4290" s="118">
        <v>14930</v>
      </c>
      <c r="AW4290" s="119"/>
      <c r="AX4290" s="118">
        <f t="shared" ref="AX4290" si="4556">SUM(AR4290:AW4290)</f>
        <v>1334930</v>
      </c>
      <c r="AY4290" s="119"/>
      <c r="AZ4290" s="137">
        <v>46055</v>
      </c>
    </row>
    <row r="4291" spans="1:52" ht="17.100000000000001" customHeight="1" thickBot="1">
      <c r="A4291" s="110"/>
      <c r="B4291" s="27" t="s">
        <v>2200</v>
      </c>
      <c r="C4291" s="27">
        <v>30026</v>
      </c>
      <c r="D4291" s="14" t="s">
        <v>2601</v>
      </c>
      <c r="E4291" s="112"/>
      <c r="F4291" s="139" t="s">
        <v>12984</v>
      </c>
      <c r="G4291" s="140"/>
      <c r="H4291" s="141"/>
      <c r="I4291" s="26">
        <v>76841</v>
      </c>
      <c r="J4291" s="117"/>
      <c r="K4291" s="120"/>
      <c r="L4291" s="121"/>
      <c r="M4291" s="120"/>
      <c r="N4291" s="121"/>
      <c r="O4291" s="120"/>
      <c r="P4291" s="121"/>
      <c r="Q4291" s="120"/>
      <c r="R4291" s="121"/>
      <c r="S4291" s="120"/>
      <c r="T4291" s="121"/>
      <c r="U4291" s="120"/>
      <c r="V4291" s="123"/>
      <c r="W4291" s="125"/>
      <c r="X4291" s="142" t="s">
        <v>4566</v>
      </c>
      <c r="Y4291" s="143"/>
      <c r="Z4291" s="143"/>
      <c r="AA4291" s="143"/>
      <c r="AB4291" s="144"/>
      <c r="AC4291" s="16" t="s">
        <v>21</v>
      </c>
      <c r="AD4291" s="17" t="s">
        <v>1783</v>
      </c>
      <c r="AE4291" s="145" t="s">
        <v>13973</v>
      </c>
      <c r="AF4291" s="146"/>
      <c r="AG4291" s="146"/>
      <c r="AH4291" s="146"/>
      <c r="AI4291" s="147"/>
      <c r="AJ4291" s="148"/>
      <c r="AK4291" s="143"/>
      <c r="AL4291" s="144"/>
      <c r="AM4291" s="22"/>
      <c r="AN4291" s="149" t="s">
        <v>2794</v>
      </c>
      <c r="AO4291" s="144"/>
      <c r="AP4291" s="148">
        <v>6033</v>
      </c>
      <c r="AQ4291" s="144"/>
      <c r="AR4291" s="120"/>
      <c r="AS4291" s="121"/>
      <c r="AT4291" s="120"/>
      <c r="AU4291" s="121"/>
      <c r="AV4291" s="120"/>
      <c r="AW4291" s="121"/>
      <c r="AX4291" s="120"/>
      <c r="AY4291" s="121"/>
      <c r="AZ4291" s="138"/>
    </row>
    <row r="4292" spans="1:52" ht="17.100000000000001" customHeight="1" thickTop="1">
      <c r="A4292" s="109" t="s">
        <v>13110</v>
      </c>
      <c r="B4292" s="28">
        <v>46002</v>
      </c>
      <c r="C4292" s="25">
        <v>2006</v>
      </c>
      <c r="D4292" s="13" t="s">
        <v>1879</v>
      </c>
      <c r="E4292" s="111"/>
      <c r="F4292" s="113" t="s">
        <v>13105</v>
      </c>
      <c r="G4292" s="114"/>
      <c r="H4292" s="115"/>
      <c r="I4292" s="24"/>
      <c r="J4292" s="116">
        <v>3.5</v>
      </c>
      <c r="K4292" s="118">
        <v>324000</v>
      </c>
      <c r="L4292" s="119"/>
      <c r="M4292" s="118">
        <f t="shared" ref="M4292" si="4557">K4292*0.1</f>
        <v>32400</v>
      </c>
      <c r="N4292" s="119"/>
      <c r="O4292" s="118">
        <v>0</v>
      </c>
      <c r="P4292" s="119"/>
      <c r="Q4292" s="118">
        <v>18290</v>
      </c>
      <c r="R4292" s="119"/>
      <c r="S4292" s="118">
        <v>22000</v>
      </c>
      <c r="T4292" s="119"/>
      <c r="U4292" s="118">
        <f t="shared" ref="U4292" si="4558">SUM(K4292:T4293)</f>
        <v>396690</v>
      </c>
      <c r="V4292" s="122"/>
      <c r="W4292" s="124"/>
      <c r="X4292" s="126" t="s">
        <v>13761</v>
      </c>
      <c r="Y4292" s="127"/>
      <c r="Z4292" s="127"/>
      <c r="AA4292" s="127"/>
      <c r="AB4292" s="128"/>
      <c r="AC4292" s="15" t="s">
        <v>20</v>
      </c>
      <c r="AD4292" s="129" t="s">
        <v>13107</v>
      </c>
      <c r="AE4292" s="130"/>
      <c r="AF4292" s="130"/>
      <c r="AG4292" s="130"/>
      <c r="AH4292" s="130"/>
      <c r="AI4292" s="131"/>
      <c r="AJ4292" s="132"/>
      <c r="AK4292" s="127"/>
      <c r="AL4292" s="128"/>
      <c r="AM4292" s="21"/>
      <c r="AN4292" s="133">
        <v>46008</v>
      </c>
      <c r="AO4292" s="134"/>
      <c r="AP4292" s="135">
        <v>997</v>
      </c>
      <c r="AQ4292" s="136"/>
      <c r="AR4292" s="118">
        <v>480000</v>
      </c>
      <c r="AS4292" s="119"/>
      <c r="AT4292" s="118">
        <f t="shared" ref="AT4292" si="4559">AR4292*0.1</f>
        <v>48000</v>
      </c>
      <c r="AU4292" s="119"/>
      <c r="AV4292" s="118">
        <v>18290</v>
      </c>
      <c r="AW4292" s="119"/>
      <c r="AX4292" s="118">
        <f t="shared" ref="AX4292" si="4560">SUM(AR4292:AW4292)</f>
        <v>546290</v>
      </c>
      <c r="AY4292" s="119"/>
      <c r="AZ4292" s="137">
        <v>46014</v>
      </c>
    </row>
    <row r="4293" spans="1:52" ht="17.100000000000001" customHeight="1" thickBot="1">
      <c r="A4293" s="110"/>
      <c r="B4293" s="27" t="s">
        <v>2200</v>
      </c>
      <c r="C4293" s="27">
        <v>30115</v>
      </c>
      <c r="D4293" s="14" t="s">
        <v>275</v>
      </c>
      <c r="E4293" s="112"/>
      <c r="F4293" s="139" t="s">
        <v>13106</v>
      </c>
      <c r="G4293" s="140"/>
      <c r="H4293" s="141"/>
      <c r="I4293" s="26">
        <v>122751</v>
      </c>
      <c r="J4293" s="117"/>
      <c r="K4293" s="120"/>
      <c r="L4293" s="121"/>
      <c r="M4293" s="120"/>
      <c r="N4293" s="121"/>
      <c r="O4293" s="120"/>
      <c r="P4293" s="121"/>
      <c r="Q4293" s="120"/>
      <c r="R4293" s="121"/>
      <c r="S4293" s="120"/>
      <c r="T4293" s="121"/>
      <c r="U4293" s="120"/>
      <c r="V4293" s="123"/>
      <c r="W4293" s="125"/>
      <c r="X4293" s="142" t="s">
        <v>6904</v>
      </c>
      <c r="Y4293" s="143"/>
      <c r="Z4293" s="143"/>
      <c r="AA4293" s="143"/>
      <c r="AB4293" s="144"/>
      <c r="AC4293" s="16" t="s">
        <v>21</v>
      </c>
      <c r="AD4293" s="17" t="s">
        <v>3476</v>
      </c>
      <c r="AE4293" s="145" t="s">
        <v>13762</v>
      </c>
      <c r="AF4293" s="146"/>
      <c r="AG4293" s="146"/>
      <c r="AH4293" s="146"/>
      <c r="AI4293" s="147"/>
      <c r="AJ4293" s="148"/>
      <c r="AK4293" s="143"/>
      <c r="AL4293" s="144"/>
      <c r="AM4293" s="22"/>
      <c r="AN4293" s="149" t="s">
        <v>7285</v>
      </c>
      <c r="AO4293" s="144"/>
      <c r="AP4293" s="148">
        <v>5039</v>
      </c>
      <c r="AQ4293" s="144"/>
      <c r="AR4293" s="120"/>
      <c r="AS4293" s="121"/>
      <c r="AT4293" s="120"/>
      <c r="AU4293" s="121"/>
      <c r="AV4293" s="120"/>
      <c r="AW4293" s="121"/>
      <c r="AX4293" s="120"/>
      <c r="AY4293" s="121"/>
      <c r="AZ4293" s="138"/>
    </row>
    <row r="4294" spans="1:52" ht="17.100000000000001" customHeight="1" thickTop="1">
      <c r="A4294" s="109" t="s">
        <v>13111</v>
      </c>
      <c r="B4294" s="28">
        <v>46002</v>
      </c>
      <c r="C4294" s="25">
        <v>2006</v>
      </c>
      <c r="D4294" s="13" t="s">
        <v>3310</v>
      </c>
      <c r="E4294" s="111"/>
      <c r="F4294" s="113" t="s">
        <v>11261</v>
      </c>
      <c r="G4294" s="114"/>
      <c r="H4294" s="115"/>
      <c r="I4294" s="24"/>
      <c r="J4294" s="116">
        <v>4</v>
      </c>
      <c r="K4294" s="118">
        <v>620000</v>
      </c>
      <c r="L4294" s="119"/>
      <c r="M4294" s="118">
        <f t="shared" ref="M4294" si="4561">K4294*0.1</f>
        <v>62000</v>
      </c>
      <c r="N4294" s="119"/>
      <c r="O4294" s="118">
        <v>0</v>
      </c>
      <c r="P4294" s="119"/>
      <c r="Q4294" s="118">
        <v>8790</v>
      </c>
      <c r="R4294" s="119"/>
      <c r="S4294" s="118">
        <v>22000</v>
      </c>
      <c r="T4294" s="119"/>
      <c r="U4294" s="118">
        <f t="shared" ref="U4294" si="4562">SUM(K4294:T4295)</f>
        <v>712790</v>
      </c>
      <c r="V4294" s="122"/>
      <c r="W4294" s="124"/>
      <c r="X4294" s="126" t="s">
        <v>13644</v>
      </c>
      <c r="Y4294" s="127"/>
      <c r="Z4294" s="127"/>
      <c r="AA4294" s="127"/>
      <c r="AB4294" s="128"/>
      <c r="AC4294" s="15" t="s">
        <v>20</v>
      </c>
      <c r="AD4294" s="129" t="s">
        <v>9186</v>
      </c>
      <c r="AE4294" s="130"/>
      <c r="AF4294" s="130"/>
      <c r="AG4294" s="130"/>
      <c r="AH4294" s="130"/>
      <c r="AI4294" s="131"/>
      <c r="AJ4294" s="132"/>
      <c r="AK4294" s="127"/>
      <c r="AL4294" s="128"/>
      <c r="AM4294" s="21"/>
      <c r="AN4294" s="133">
        <v>46008</v>
      </c>
      <c r="AO4294" s="134"/>
      <c r="AP4294" s="135">
        <v>997</v>
      </c>
      <c r="AQ4294" s="136"/>
      <c r="AR4294" s="118">
        <v>630000</v>
      </c>
      <c r="AS4294" s="119"/>
      <c r="AT4294" s="118">
        <f t="shared" ref="AT4294" si="4563">AR4294*0.1</f>
        <v>63000</v>
      </c>
      <c r="AU4294" s="119"/>
      <c r="AV4294" s="118">
        <v>8790</v>
      </c>
      <c r="AW4294" s="119"/>
      <c r="AX4294" s="118">
        <f t="shared" ref="AX4294" si="4564">SUM(AR4294:AW4294)</f>
        <v>701790</v>
      </c>
      <c r="AY4294" s="119"/>
      <c r="AZ4294" s="137">
        <v>46013</v>
      </c>
    </row>
    <row r="4295" spans="1:52" ht="17.100000000000001" customHeight="1" thickBot="1">
      <c r="A4295" s="110"/>
      <c r="B4295" s="27" t="s">
        <v>2200</v>
      </c>
      <c r="C4295" s="27">
        <v>50043</v>
      </c>
      <c r="D4295" s="14" t="s">
        <v>3327</v>
      </c>
      <c r="E4295" s="112"/>
      <c r="F4295" s="139" t="s">
        <v>12986</v>
      </c>
      <c r="G4295" s="140"/>
      <c r="H4295" s="141"/>
      <c r="I4295" s="26">
        <v>44704</v>
      </c>
      <c r="J4295" s="117"/>
      <c r="K4295" s="120"/>
      <c r="L4295" s="121"/>
      <c r="M4295" s="120"/>
      <c r="N4295" s="121"/>
      <c r="O4295" s="120"/>
      <c r="P4295" s="121"/>
      <c r="Q4295" s="120"/>
      <c r="R4295" s="121"/>
      <c r="S4295" s="120"/>
      <c r="T4295" s="121"/>
      <c r="U4295" s="120"/>
      <c r="V4295" s="123"/>
      <c r="W4295" s="125"/>
      <c r="X4295" s="142" t="s">
        <v>1997</v>
      </c>
      <c r="Y4295" s="143"/>
      <c r="Z4295" s="143"/>
      <c r="AA4295" s="143"/>
      <c r="AB4295" s="144"/>
      <c r="AC4295" s="16" t="s">
        <v>21</v>
      </c>
      <c r="AD4295" s="17" t="s">
        <v>1783</v>
      </c>
      <c r="AE4295" s="145" t="s">
        <v>13645</v>
      </c>
      <c r="AF4295" s="146"/>
      <c r="AG4295" s="146"/>
      <c r="AH4295" s="146"/>
      <c r="AI4295" s="147"/>
      <c r="AJ4295" s="148"/>
      <c r="AK4295" s="143"/>
      <c r="AL4295" s="144"/>
      <c r="AM4295" s="22"/>
      <c r="AN4295" s="149" t="s">
        <v>2794</v>
      </c>
      <c r="AO4295" s="144"/>
      <c r="AP4295" s="148">
        <v>2030</v>
      </c>
      <c r="AQ4295" s="144"/>
      <c r="AR4295" s="120"/>
      <c r="AS4295" s="121"/>
      <c r="AT4295" s="120"/>
      <c r="AU4295" s="121"/>
      <c r="AV4295" s="120"/>
      <c r="AW4295" s="121"/>
      <c r="AX4295" s="120"/>
      <c r="AY4295" s="121"/>
      <c r="AZ4295" s="138"/>
    </row>
    <row r="4296" spans="1:52" ht="17.100000000000001" customHeight="1" thickTop="1">
      <c r="A4296" s="109" t="s">
        <v>13112</v>
      </c>
      <c r="B4296" s="28">
        <v>46002</v>
      </c>
      <c r="C4296" s="25">
        <v>2006</v>
      </c>
      <c r="D4296" s="13" t="s">
        <v>1714</v>
      </c>
      <c r="E4296" s="111"/>
      <c r="F4296" s="113" t="s">
        <v>12987</v>
      </c>
      <c r="G4296" s="114"/>
      <c r="H4296" s="115"/>
      <c r="I4296" s="24" t="s">
        <v>1547</v>
      </c>
      <c r="J4296" s="116">
        <v>4</v>
      </c>
      <c r="K4296" s="118">
        <v>577000</v>
      </c>
      <c r="L4296" s="119"/>
      <c r="M4296" s="118">
        <f t="shared" ref="M4296" si="4565">K4296*0.1</f>
        <v>57700</v>
      </c>
      <c r="N4296" s="119"/>
      <c r="O4296" s="118">
        <v>0</v>
      </c>
      <c r="P4296" s="119"/>
      <c r="Q4296" s="118">
        <v>6540</v>
      </c>
      <c r="R4296" s="119"/>
      <c r="S4296" s="118">
        <v>22000</v>
      </c>
      <c r="T4296" s="119"/>
      <c r="U4296" s="118">
        <f t="shared" ref="U4296" si="4566">SUM(K4296:T4297)</f>
        <v>663240</v>
      </c>
      <c r="V4296" s="122"/>
      <c r="W4296" s="124"/>
      <c r="X4296" s="126" t="s">
        <v>12989</v>
      </c>
      <c r="Y4296" s="127"/>
      <c r="Z4296" s="127"/>
      <c r="AA4296" s="127"/>
      <c r="AB4296" s="128"/>
      <c r="AC4296" s="15" t="s">
        <v>20</v>
      </c>
      <c r="AD4296" s="129" t="s">
        <v>1732</v>
      </c>
      <c r="AE4296" s="130"/>
      <c r="AF4296" s="130"/>
      <c r="AG4296" s="130"/>
      <c r="AH4296" s="130"/>
      <c r="AI4296" s="131"/>
      <c r="AJ4296" s="132"/>
      <c r="AK4296" s="127"/>
      <c r="AL4296" s="128"/>
      <c r="AM4296" s="21"/>
      <c r="AN4296" s="133">
        <v>46008</v>
      </c>
      <c r="AO4296" s="134"/>
      <c r="AP4296" s="135">
        <v>997</v>
      </c>
      <c r="AQ4296" s="136"/>
      <c r="AR4296" s="118">
        <v>650000</v>
      </c>
      <c r="AS4296" s="119"/>
      <c r="AT4296" s="118">
        <f t="shared" ref="AT4296" si="4567">AR4296*0.1</f>
        <v>65000</v>
      </c>
      <c r="AU4296" s="119"/>
      <c r="AV4296" s="118">
        <v>6540</v>
      </c>
      <c r="AW4296" s="119"/>
      <c r="AX4296" s="118">
        <f t="shared" ref="AX4296" si="4568">SUM(AR4296:AW4296)</f>
        <v>721540</v>
      </c>
      <c r="AY4296" s="119"/>
      <c r="AZ4296" s="137">
        <v>46016</v>
      </c>
    </row>
    <row r="4297" spans="1:52" ht="17.100000000000001" customHeight="1" thickBot="1">
      <c r="A4297" s="110"/>
      <c r="B4297" s="27" t="s">
        <v>2200</v>
      </c>
      <c r="C4297" s="27">
        <v>50123</v>
      </c>
      <c r="D4297" s="14" t="s">
        <v>1592</v>
      </c>
      <c r="E4297" s="112"/>
      <c r="F4297" s="139" t="s">
        <v>12988</v>
      </c>
      <c r="G4297" s="140"/>
      <c r="H4297" s="141"/>
      <c r="I4297" s="26">
        <v>5061</v>
      </c>
      <c r="J4297" s="117"/>
      <c r="K4297" s="120"/>
      <c r="L4297" s="121"/>
      <c r="M4297" s="120"/>
      <c r="N4297" s="121"/>
      <c r="O4297" s="120"/>
      <c r="P4297" s="121"/>
      <c r="Q4297" s="120"/>
      <c r="R4297" s="121"/>
      <c r="S4297" s="120"/>
      <c r="T4297" s="121"/>
      <c r="U4297" s="120"/>
      <c r="V4297" s="123"/>
      <c r="W4297" s="125"/>
      <c r="X4297" s="142" t="s">
        <v>13755</v>
      </c>
      <c r="Y4297" s="143"/>
      <c r="Z4297" s="143"/>
      <c r="AA4297" s="143"/>
      <c r="AB4297" s="144"/>
      <c r="AC4297" s="16" t="s">
        <v>21</v>
      </c>
      <c r="AD4297" s="17" t="s">
        <v>1783</v>
      </c>
      <c r="AE4297" s="145" t="s">
        <v>1732</v>
      </c>
      <c r="AF4297" s="146"/>
      <c r="AG4297" s="146"/>
      <c r="AH4297" s="146"/>
      <c r="AI4297" s="147"/>
      <c r="AJ4297" s="148"/>
      <c r="AK4297" s="143"/>
      <c r="AL4297" s="144"/>
      <c r="AM4297" s="22"/>
      <c r="AN4297" s="149" t="s">
        <v>7285</v>
      </c>
      <c r="AO4297" s="144"/>
      <c r="AP4297" s="148">
        <v>2025</v>
      </c>
      <c r="AQ4297" s="144"/>
      <c r="AR4297" s="120"/>
      <c r="AS4297" s="121"/>
      <c r="AT4297" s="120"/>
      <c r="AU4297" s="121"/>
      <c r="AV4297" s="120"/>
      <c r="AW4297" s="121"/>
      <c r="AX4297" s="120"/>
      <c r="AY4297" s="121"/>
      <c r="AZ4297" s="138"/>
    </row>
    <row r="4298" spans="1:52" ht="17.100000000000001" customHeight="1" thickTop="1">
      <c r="A4298" s="109" t="s">
        <v>13113</v>
      </c>
      <c r="B4298" s="28">
        <v>46002</v>
      </c>
      <c r="C4298" s="25">
        <v>2006</v>
      </c>
      <c r="D4298" s="13" t="s">
        <v>2272</v>
      </c>
      <c r="E4298" s="111"/>
      <c r="F4298" s="113" t="s">
        <v>8009</v>
      </c>
      <c r="G4298" s="114"/>
      <c r="H4298" s="115"/>
      <c r="I4298" s="24" t="s">
        <v>2976</v>
      </c>
      <c r="J4298" s="116">
        <v>4.5</v>
      </c>
      <c r="K4298" s="118">
        <v>1598000</v>
      </c>
      <c r="L4298" s="119"/>
      <c r="M4298" s="118">
        <f t="shared" ref="M4298" si="4569">K4298*0.1</f>
        <v>159800</v>
      </c>
      <c r="N4298" s="119"/>
      <c r="O4298" s="118">
        <v>0</v>
      </c>
      <c r="P4298" s="119"/>
      <c r="Q4298" s="118">
        <v>7230</v>
      </c>
      <c r="R4298" s="119"/>
      <c r="S4298" s="118">
        <v>22000</v>
      </c>
      <c r="T4298" s="119"/>
      <c r="U4298" s="118">
        <f t="shared" ref="U4298" si="4570">SUM(K4298:T4299)</f>
        <v>1787030</v>
      </c>
      <c r="V4298" s="122"/>
      <c r="W4298" s="124"/>
      <c r="X4298" s="126" t="s">
        <v>12991</v>
      </c>
      <c r="Y4298" s="127"/>
      <c r="Z4298" s="127"/>
      <c r="AA4298" s="127"/>
      <c r="AB4298" s="128"/>
      <c r="AC4298" s="15" t="s">
        <v>20</v>
      </c>
      <c r="AD4298" s="129"/>
      <c r="AE4298" s="130"/>
      <c r="AF4298" s="130"/>
      <c r="AG4298" s="130"/>
      <c r="AH4298" s="130"/>
      <c r="AI4298" s="131"/>
      <c r="AJ4298" s="132"/>
      <c r="AK4298" s="127"/>
      <c r="AL4298" s="128"/>
      <c r="AM4298" s="21" t="s">
        <v>15352</v>
      </c>
      <c r="AN4298" s="133">
        <v>46049</v>
      </c>
      <c r="AO4298" s="134"/>
      <c r="AP4298" s="135">
        <v>1926</v>
      </c>
      <c r="AQ4298" s="136"/>
      <c r="AR4298" s="118">
        <v>1657000</v>
      </c>
      <c r="AS4298" s="119"/>
      <c r="AT4298" s="118">
        <f t="shared" ref="AT4298" si="4571">AR4298*0.1</f>
        <v>165700</v>
      </c>
      <c r="AU4298" s="119"/>
      <c r="AV4298" s="118">
        <v>7230</v>
      </c>
      <c r="AW4298" s="119"/>
      <c r="AX4298" s="118">
        <f t="shared" ref="AX4298" si="4572">SUM(AR4298:AW4298)</f>
        <v>1829930</v>
      </c>
      <c r="AY4298" s="119"/>
      <c r="AZ4298" s="137"/>
    </row>
    <row r="4299" spans="1:52" ht="17.100000000000001" customHeight="1" thickBot="1">
      <c r="A4299" s="110"/>
      <c r="B4299" s="27" t="s">
        <v>2200</v>
      </c>
      <c r="C4299" s="27">
        <v>50133</v>
      </c>
      <c r="D4299" s="14" t="s">
        <v>1576</v>
      </c>
      <c r="E4299" s="112"/>
      <c r="F4299" s="139" t="s">
        <v>12990</v>
      </c>
      <c r="G4299" s="140"/>
      <c r="H4299" s="141"/>
      <c r="I4299" s="26">
        <v>4029</v>
      </c>
      <c r="J4299" s="117"/>
      <c r="K4299" s="120"/>
      <c r="L4299" s="121"/>
      <c r="M4299" s="120"/>
      <c r="N4299" s="121"/>
      <c r="O4299" s="120"/>
      <c r="P4299" s="121"/>
      <c r="Q4299" s="120"/>
      <c r="R4299" s="121"/>
      <c r="S4299" s="120"/>
      <c r="T4299" s="121"/>
      <c r="U4299" s="120"/>
      <c r="V4299" s="123"/>
      <c r="W4299" s="125"/>
      <c r="X4299" s="142" t="s">
        <v>11902</v>
      </c>
      <c r="Y4299" s="143"/>
      <c r="Z4299" s="143"/>
      <c r="AA4299" s="143"/>
      <c r="AB4299" s="144"/>
      <c r="AC4299" s="16" t="s">
        <v>21</v>
      </c>
      <c r="AD4299" s="17" t="s">
        <v>1783</v>
      </c>
      <c r="AE4299" s="145" t="s">
        <v>4106</v>
      </c>
      <c r="AF4299" s="146"/>
      <c r="AG4299" s="146"/>
      <c r="AH4299" s="146"/>
      <c r="AI4299" s="147"/>
      <c r="AJ4299" s="148" t="s">
        <v>15372</v>
      </c>
      <c r="AK4299" s="143"/>
      <c r="AL4299" s="144"/>
      <c r="AM4299" s="22"/>
      <c r="AN4299" s="149" t="s">
        <v>2131</v>
      </c>
      <c r="AO4299" s="144"/>
      <c r="AP4299" s="148">
        <v>3021</v>
      </c>
      <c r="AQ4299" s="144"/>
      <c r="AR4299" s="120"/>
      <c r="AS4299" s="121"/>
      <c r="AT4299" s="120"/>
      <c r="AU4299" s="121"/>
      <c r="AV4299" s="120"/>
      <c r="AW4299" s="121"/>
      <c r="AX4299" s="120"/>
      <c r="AY4299" s="121"/>
      <c r="AZ4299" s="138"/>
    </row>
    <row r="4300" spans="1:52" ht="17.100000000000001" customHeight="1" thickTop="1">
      <c r="A4300" s="109" t="s">
        <v>13114</v>
      </c>
      <c r="B4300" s="28">
        <v>46002</v>
      </c>
      <c r="C4300" s="25">
        <v>2006</v>
      </c>
      <c r="D4300" s="13" t="s">
        <v>1953</v>
      </c>
      <c r="E4300" s="111"/>
      <c r="F4300" s="113" t="s">
        <v>12992</v>
      </c>
      <c r="G4300" s="114"/>
      <c r="H4300" s="115"/>
      <c r="I4300" s="24" t="s">
        <v>3923</v>
      </c>
      <c r="J4300" s="116">
        <v>4.5</v>
      </c>
      <c r="K4300" s="118">
        <v>1220000</v>
      </c>
      <c r="L4300" s="119"/>
      <c r="M4300" s="118">
        <f t="shared" ref="M4300" si="4573">K4300*0.1</f>
        <v>122000</v>
      </c>
      <c r="N4300" s="119"/>
      <c r="O4300" s="118">
        <v>0</v>
      </c>
      <c r="P4300" s="119"/>
      <c r="Q4300" s="118">
        <v>8110</v>
      </c>
      <c r="R4300" s="119"/>
      <c r="S4300" s="118">
        <v>22000</v>
      </c>
      <c r="T4300" s="119"/>
      <c r="U4300" s="118">
        <f t="shared" ref="U4300" si="4574">SUM(K4300:T4301)</f>
        <v>1372110</v>
      </c>
      <c r="V4300" s="122"/>
      <c r="W4300" s="124"/>
      <c r="X4300" s="126" t="s">
        <v>12994</v>
      </c>
      <c r="Y4300" s="127"/>
      <c r="Z4300" s="127"/>
      <c r="AA4300" s="127"/>
      <c r="AB4300" s="128"/>
      <c r="AC4300" s="15" t="s">
        <v>20</v>
      </c>
      <c r="AD4300" s="129" t="s">
        <v>12995</v>
      </c>
      <c r="AE4300" s="130"/>
      <c r="AF4300" s="130"/>
      <c r="AG4300" s="130"/>
      <c r="AH4300" s="130"/>
      <c r="AI4300" s="131"/>
      <c r="AJ4300" s="132"/>
      <c r="AK4300" s="127"/>
      <c r="AL4300" s="128"/>
      <c r="AM4300" s="21"/>
      <c r="AN4300" s="133">
        <v>46007</v>
      </c>
      <c r="AO4300" s="134"/>
      <c r="AP4300" s="135">
        <v>1922</v>
      </c>
      <c r="AQ4300" s="136"/>
      <c r="AR4300" s="118">
        <v>1280000</v>
      </c>
      <c r="AS4300" s="119"/>
      <c r="AT4300" s="118">
        <f t="shared" ref="AT4300" si="4575">AR4300*0.1</f>
        <v>128000</v>
      </c>
      <c r="AU4300" s="119"/>
      <c r="AV4300" s="118">
        <v>8110</v>
      </c>
      <c r="AW4300" s="119"/>
      <c r="AX4300" s="118">
        <f t="shared" ref="AX4300" si="4576">SUM(AR4300:AW4300)</f>
        <v>1416110</v>
      </c>
      <c r="AY4300" s="119"/>
      <c r="AZ4300" s="137"/>
    </row>
    <row r="4301" spans="1:52" ht="17.100000000000001" customHeight="1" thickBot="1">
      <c r="A4301" s="110"/>
      <c r="B4301" s="27" t="s">
        <v>2200</v>
      </c>
      <c r="C4301" s="27">
        <v>50151</v>
      </c>
      <c r="D4301" s="14" t="s">
        <v>2601</v>
      </c>
      <c r="E4301" s="112"/>
      <c r="F4301" s="139" t="s">
        <v>12993</v>
      </c>
      <c r="G4301" s="140"/>
      <c r="H4301" s="141"/>
      <c r="I4301" s="26">
        <v>15366</v>
      </c>
      <c r="J4301" s="117"/>
      <c r="K4301" s="120"/>
      <c r="L4301" s="121"/>
      <c r="M4301" s="120"/>
      <c r="N4301" s="121"/>
      <c r="O4301" s="120"/>
      <c r="P4301" s="121"/>
      <c r="Q4301" s="120"/>
      <c r="R4301" s="121"/>
      <c r="S4301" s="120"/>
      <c r="T4301" s="121"/>
      <c r="U4301" s="120"/>
      <c r="V4301" s="123"/>
      <c r="W4301" s="125"/>
      <c r="X4301" s="142" t="s">
        <v>13646</v>
      </c>
      <c r="Y4301" s="143"/>
      <c r="Z4301" s="143"/>
      <c r="AA4301" s="143"/>
      <c r="AB4301" s="144"/>
      <c r="AC4301" s="16" t="s">
        <v>21</v>
      </c>
      <c r="AD4301" s="17" t="s">
        <v>1783</v>
      </c>
      <c r="AE4301" s="145" t="s">
        <v>5075</v>
      </c>
      <c r="AF4301" s="146"/>
      <c r="AG4301" s="146"/>
      <c r="AH4301" s="146"/>
      <c r="AI4301" s="147"/>
      <c r="AJ4301" s="148"/>
      <c r="AK4301" s="143"/>
      <c r="AL4301" s="144"/>
      <c r="AM4301" s="22"/>
      <c r="AN4301" s="149" t="s">
        <v>2131</v>
      </c>
      <c r="AO4301" s="144"/>
      <c r="AP4301" s="148">
        <v>3175</v>
      </c>
      <c r="AQ4301" s="144"/>
      <c r="AR4301" s="120"/>
      <c r="AS4301" s="121"/>
      <c r="AT4301" s="120"/>
      <c r="AU4301" s="121"/>
      <c r="AV4301" s="120"/>
      <c r="AW4301" s="121"/>
      <c r="AX4301" s="120"/>
      <c r="AY4301" s="121"/>
      <c r="AZ4301" s="138"/>
    </row>
    <row r="4302" spans="1:52" ht="17.100000000000001" customHeight="1" thickTop="1">
      <c r="A4302" s="109" t="s">
        <v>13115</v>
      </c>
      <c r="B4302" s="28">
        <v>46002</v>
      </c>
      <c r="C4302" s="25">
        <v>2006</v>
      </c>
      <c r="D4302" s="13" t="s">
        <v>2359</v>
      </c>
      <c r="E4302" s="111"/>
      <c r="F4302" s="113" t="s">
        <v>9187</v>
      </c>
      <c r="G4302" s="114"/>
      <c r="H4302" s="115"/>
      <c r="I4302" s="24"/>
      <c r="J4302" s="116">
        <v>4</v>
      </c>
      <c r="K4302" s="118">
        <v>602000</v>
      </c>
      <c r="L4302" s="119"/>
      <c r="M4302" s="118">
        <f t="shared" ref="M4302" si="4577">K4302*0.1</f>
        <v>60200</v>
      </c>
      <c r="N4302" s="119"/>
      <c r="O4302" s="118">
        <v>0</v>
      </c>
      <c r="P4302" s="119"/>
      <c r="Q4302" s="118">
        <v>8740</v>
      </c>
      <c r="R4302" s="119"/>
      <c r="S4302" s="118">
        <v>22000</v>
      </c>
      <c r="T4302" s="119"/>
      <c r="U4302" s="118">
        <f t="shared" ref="U4302" si="4578">SUM(K4302:T4303)</f>
        <v>692940</v>
      </c>
      <c r="V4302" s="122"/>
      <c r="W4302" s="124"/>
      <c r="X4302" s="126" t="s">
        <v>13756</v>
      </c>
      <c r="Y4302" s="127"/>
      <c r="Z4302" s="127"/>
      <c r="AA4302" s="127"/>
      <c r="AB4302" s="128"/>
      <c r="AC4302" s="15" t="s">
        <v>20</v>
      </c>
      <c r="AD4302" s="129" t="s">
        <v>1670</v>
      </c>
      <c r="AE4302" s="130"/>
      <c r="AF4302" s="130"/>
      <c r="AG4302" s="130"/>
      <c r="AH4302" s="130"/>
      <c r="AI4302" s="131"/>
      <c r="AJ4302" s="132"/>
      <c r="AK4302" s="127"/>
      <c r="AL4302" s="128"/>
      <c r="AM4302" s="21"/>
      <c r="AN4302" s="133">
        <v>46029</v>
      </c>
      <c r="AO4302" s="134"/>
      <c r="AP4302" s="135">
        <v>999</v>
      </c>
      <c r="AQ4302" s="136"/>
      <c r="AR4302" s="118">
        <v>740000</v>
      </c>
      <c r="AS4302" s="119"/>
      <c r="AT4302" s="118">
        <f t="shared" ref="AT4302" si="4579">AR4302*0.1</f>
        <v>74000</v>
      </c>
      <c r="AU4302" s="119"/>
      <c r="AV4302" s="118">
        <v>8740</v>
      </c>
      <c r="AW4302" s="119"/>
      <c r="AX4302" s="118">
        <f t="shared" ref="AX4302" si="4580">SUM(AR4302:AW4302)</f>
        <v>822740</v>
      </c>
      <c r="AY4302" s="119"/>
      <c r="AZ4302" s="137">
        <v>46035</v>
      </c>
    </row>
    <row r="4303" spans="1:52" ht="17.100000000000001" customHeight="1" thickBot="1">
      <c r="A4303" s="110"/>
      <c r="B4303" s="27" t="s">
        <v>2200</v>
      </c>
      <c r="C4303" s="27">
        <v>50164</v>
      </c>
      <c r="D4303" s="14" t="s">
        <v>1720</v>
      </c>
      <c r="E4303" s="112"/>
      <c r="F4303" s="139" t="s">
        <v>12996</v>
      </c>
      <c r="G4303" s="140"/>
      <c r="H4303" s="141"/>
      <c r="I4303" s="26">
        <v>59878</v>
      </c>
      <c r="J4303" s="117"/>
      <c r="K4303" s="120"/>
      <c r="L4303" s="121"/>
      <c r="M4303" s="120"/>
      <c r="N4303" s="121"/>
      <c r="O4303" s="120"/>
      <c r="P4303" s="121"/>
      <c r="Q4303" s="120"/>
      <c r="R4303" s="121"/>
      <c r="S4303" s="120"/>
      <c r="T4303" s="121"/>
      <c r="U4303" s="120"/>
      <c r="V4303" s="123"/>
      <c r="W4303" s="125"/>
      <c r="X4303" s="142" t="s">
        <v>3986</v>
      </c>
      <c r="Y4303" s="143"/>
      <c r="Z4303" s="143"/>
      <c r="AA4303" s="143"/>
      <c r="AB4303" s="144"/>
      <c r="AC4303" s="16" t="s">
        <v>21</v>
      </c>
      <c r="AD4303" s="17" t="s">
        <v>1783</v>
      </c>
      <c r="AE4303" s="145" t="s">
        <v>1670</v>
      </c>
      <c r="AF4303" s="146"/>
      <c r="AG4303" s="146"/>
      <c r="AH4303" s="146"/>
      <c r="AI4303" s="147"/>
      <c r="AJ4303" s="148"/>
      <c r="AK4303" s="143"/>
      <c r="AL4303" s="144"/>
      <c r="AM4303" s="22"/>
      <c r="AN4303" s="149" t="s">
        <v>7285</v>
      </c>
      <c r="AO4303" s="144"/>
      <c r="AP4303" s="148">
        <v>2021</v>
      </c>
      <c r="AQ4303" s="144"/>
      <c r="AR4303" s="120"/>
      <c r="AS4303" s="121"/>
      <c r="AT4303" s="120"/>
      <c r="AU4303" s="121"/>
      <c r="AV4303" s="120"/>
      <c r="AW4303" s="121"/>
      <c r="AX4303" s="120"/>
      <c r="AY4303" s="121"/>
      <c r="AZ4303" s="138"/>
    </row>
    <row r="4304" spans="1:52" ht="17.100000000000001" customHeight="1" thickTop="1">
      <c r="A4304" s="109" t="s">
        <v>13116</v>
      </c>
      <c r="B4304" s="28">
        <v>46002</v>
      </c>
      <c r="C4304" s="25">
        <v>2006</v>
      </c>
      <c r="D4304" s="13" t="s">
        <v>2322</v>
      </c>
      <c r="E4304" s="111"/>
      <c r="F4304" s="113" t="s">
        <v>12997</v>
      </c>
      <c r="G4304" s="114"/>
      <c r="H4304" s="115"/>
      <c r="I4304" s="24" t="s">
        <v>3923</v>
      </c>
      <c r="J4304" s="116">
        <v>4</v>
      </c>
      <c r="K4304" s="118">
        <v>615000</v>
      </c>
      <c r="L4304" s="119"/>
      <c r="M4304" s="118">
        <f t="shared" ref="M4304" si="4581">K4304*0.1</f>
        <v>61500</v>
      </c>
      <c r="N4304" s="119"/>
      <c r="O4304" s="118">
        <v>0</v>
      </c>
      <c r="P4304" s="119"/>
      <c r="Q4304" s="118">
        <v>8600</v>
      </c>
      <c r="R4304" s="119"/>
      <c r="S4304" s="118">
        <v>22000</v>
      </c>
      <c r="T4304" s="119"/>
      <c r="U4304" s="118">
        <f t="shared" ref="U4304" si="4582">SUM(K4304:T4305)</f>
        <v>707100</v>
      </c>
      <c r="V4304" s="122"/>
      <c r="W4304" s="124"/>
      <c r="X4304" s="126" t="s">
        <v>12999</v>
      </c>
      <c r="Y4304" s="127"/>
      <c r="Z4304" s="127"/>
      <c r="AA4304" s="127"/>
      <c r="AB4304" s="128"/>
      <c r="AC4304" s="15" t="s">
        <v>20</v>
      </c>
      <c r="AD4304" s="129" t="s">
        <v>13000</v>
      </c>
      <c r="AE4304" s="130"/>
      <c r="AF4304" s="130"/>
      <c r="AG4304" s="130"/>
      <c r="AH4304" s="130"/>
      <c r="AI4304" s="131"/>
      <c r="AJ4304" s="132"/>
      <c r="AK4304" s="127"/>
      <c r="AL4304" s="128"/>
      <c r="AM4304" s="21" t="s">
        <v>14883</v>
      </c>
      <c r="AN4304" s="133">
        <v>46032</v>
      </c>
      <c r="AO4304" s="134"/>
      <c r="AP4304" s="135"/>
      <c r="AQ4304" s="136"/>
      <c r="AR4304" s="118">
        <v>800000</v>
      </c>
      <c r="AS4304" s="119"/>
      <c r="AT4304" s="118">
        <f t="shared" ref="AT4304" si="4583">AR4304*0.1</f>
        <v>80000</v>
      </c>
      <c r="AU4304" s="119"/>
      <c r="AV4304" s="118">
        <v>8600</v>
      </c>
      <c r="AW4304" s="119"/>
      <c r="AX4304" s="118">
        <f t="shared" ref="AX4304" si="4584">SUM(AR4304:AW4304)</f>
        <v>888600</v>
      </c>
      <c r="AY4304" s="119"/>
      <c r="AZ4304" s="137"/>
    </row>
    <row r="4305" spans="1:52" ht="17.100000000000001" customHeight="1" thickBot="1">
      <c r="A4305" s="110"/>
      <c r="B4305" s="27" t="s">
        <v>2200</v>
      </c>
      <c r="C4305" s="27">
        <v>50185</v>
      </c>
      <c r="D4305" s="14" t="s">
        <v>904</v>
      </c>
      <c r="E4305" s="112"/>
      <c r="F4305" s="139" t="s">
        <v>12998</v>
      </c>
      <c r="G4305" s="140"/>
      <c r="H4305" s="141"/>
      <c r="I4305" s="26">
        <v>48840</v>
      </c>
      <c r="J4305" s="117"/>
      <c r="K4305" s="120"/>
      <c r="L4305" s="121"/>
      <c r="M4305" s="120"/>
      <c r="N4305" s="121"/>
      <c r="O4305" s="120"/>
      <c r="P4305" s="121"/>
      <c r="Q4305" s="120"/>
      <c r="R4305" s="121"/>
      <c r="S4305" s="120"/>
      <c r="T4305" s="121"/>
      <c r="U4305" s="120"/>
      <c r="V4305" s="123"/>
      <c r="W4305" s="125"/>
      <c r="X4305" s="142" t="s">
        <v>13389</v>
      </c>
      <c r="Y4305" s="143"/>
      <c r="Z4305" s="143"/>
      <c r="AA4305" s="143"/>
      <c r="AB4305" s="144"/>
      <c r="AC4305" s="16" t="s">
        <v>21</v>
      </c>
      <c r="AD4305" s="17" t="s">
        <v>1783</v>
      </c>
      <c r="AE4305" s="145" t="s">
        <v>13757</v>
      </c>
      <c r="AF4305" s="146"/>
      <c r="AG4305" s="146"/>
      <c r="AH4305" s="146"/>
      <c r="AI4305" s="147"/>
      <c r="AJ4305" s="148"/>
      <c r="AK4305" s="143"/>
      <c r="AL4305" s="144"/>
      <c r="AM4305" s="22"/>
      <c r="AN4305" s="149" t="s">
        <v>6789</v>
      </c>
      <c r="AO4305" s="144"/>
      <c r="AP4305" s="148">
        <v>53961</v>
      </c>
      <c r="AQ4305" s="144"/>
      <c r="AR4305" s="120"/>
      <c r="AS4305" s="121"/>
      <c r="AT4305" s="120"/>
      <c r="AU4305" s="121"/>
      <c r="AV4305" s="120"/>
      <c r="AW4305" s="121"/>
      <c r="AX4305" s="120"/>
      <c r="AY4305" s="121"/>
      <c r="AZ4305" s="138"/>
    </row>
    <row r="4306" spans="1:52" ht="17.100000000000001" customHeight="1" thickTop="1">
      <c r="A4306" s="109" t="s">
        <v>13117</v>
      </c>
      <c r="B4306" s="28">
        <v>46002</v>
      </c>
      <c r="C4306" s="25">
        <v>2138</v>
      </c>
      <c r="D4306" s="13" t="s">
        <v>1667</v>
      </c>
      <c r="E4306" s="111"/>
      <c r="F4306" s="113" t="s">
        <v>9371</v>
      </c>
      <c r="G4306" s="114"/>
      <c r="H4306" s="115"/>
      <c r="I4306" s="24" t="s">
        <v>4330</v>
      </c>
      <c r="J4306" s="150" t="s">
        <v>1715</v>
      </c>
      <c r="K4306" s="118">
        <v>179000</v>
      </c>
      <c r="L4306" s="119"/>
      <c r="M4306" s="118">
        <f t="shared" ref="M4306" si="4585">K4306*0.1</f>
        <v>17900</v>
      </c>
      <c r="N4306" s="119"/>
      <c r="O4306" s="118">
        <v>0</v>
      </c>
      <c r="P4306" s="119"/>
      <c r="Q4306" s="118">
        <v>9790</v>
      </c>
      <c r="R4306" s="119"/>
      <c r="S4306" s="118">
        <v>14300</v>
      </c>
      <c r="T4306" s="119"/>
      <c r="U4306" s="118">
        <f t="shared" ref="U4306" si="4586">SUM(K4306:T4307)</f>
        <v>220990</v>
      </c>
      <c r="V4306" s="122"/>
      <c r="W4306" s="124"/>
      <c r="X4306" s="126" t="s">
        <v>13002</v>
      </c>
      <c r="Y4306" s="127"/>
      <c r="Z4306" s="127"/>
      <c r="AA4306" s="127"/>
      <c r="AB4306" s="128"/>
      <c r="AC4306" s="15" t="s">
        <v>20</v>
      </c>
      <c r="AD4306" s="129" t="s">
        <v>1605</v>
      </c>
      <c r="AE4306" s="130"/>
      <c r="AF4306" s="130"/>
      <c r="AG4306" s="130"/>
      <c r="AH4306" s="130"/>
      <c r="AI4306" s="131"/>
      <c r="AJ4306" s="132" t="s">
        <v>13920</v>
      </c>
      <c r="AK4306" s="127"/>
      <c r="AL4306" s="128"/>
      <c r="AM4306" s="21"/>
      <c r="AN4306" s="133">
        <v>46011</v>
      </c>
      <c r="AO4306" s="134"/>
      <c r="AP4306" s="135">
        <v>1281</v>
      </c>
      <c r="AQ4306" s="136"/>
      <c r="AR4306" s="118">
        <v>155000</v>
      </c>
      <c r="AS4306" s="119"/>
      <c r="AT4306" s="118">
        <f t="shared" ref="AT4306" si="4587">AR4306*0.1</f>
        <v>15500</v>
      </c>
      <c r="AU4306" s="119"/>
      <c r="AV4306" s="118">
        <v>9790</v>
      </c>
      <c r="AW4306" s="119"/>
      <c r="AX4306" s="118">
        <f t="shared" ref="AX4306" si="4588">SUM(AR4306:AW4306)</f>
        <v>180290</v>
      </c>
      <c r="AY4306" s="119"/>
      <c r="AZ4306" s="137">
        <v>46016</v>
      </c>
    </row>
    <row r="4307" spans="1:52" ht="17.100000000000001" customHeight="1" thickBot="1">
      <c r="A4307" s="110"/>
      <c r="B4307" s="27" t="s">
        <v>3281</v>
      </c>
      <c r="C4307" s="27">
        <v>88</v>
      </c>
      <c r="D4307" s="14" t="s">
        <v>2601</v>
      </c>
      <c r="E4307" s="112"/>
      <c r="F4307" s="139" t="s">
        <v>13001</v>
      </c>
      <c r="G4307" s="140"/>
      <c r="H4307" s="141"/>
      <c r="I4307" s="26">
        <v>140570</v>
      </c>
      <c r="J4307" s="117"/>
      <c r="K4307" s="120"/>
      <c r="L4307" s="121"/>
      <c r="M4307" s="120"/>
      <c r="N4307" s="121"/>
      <c r="O4307" s="120"/>
      <c r="P4307" s="121"/>
      <c r="Q4307" s="120"/>
      <c r="R4307" s="121"/>
      <c r="S4307" s="120"/>
      <c r="T4307" s="121"/>
      <c r="U4307" s="120"/>
      <c r="V4307" s="123"/>
      <c r="W4307" s="125"/>
      <c r="X4307" s="142" t="s">
        <v>13725</v>
      </c>
      <c r="Y4307" s="143"/>
      <c r="Z4307" s="143"/>
      <c r="AA4307" s="143"/>
      <c r="AB4307" s="144"/>
      <c r="AC4307" s="16" t="s">
        <v>21</v>
      </c>
      <c r="AD4307" s="17" t="s">
        <v>1783</v>
      </c>
      <c r="AE4307" s="145" t="s">
        <v>13919</v>
      </c>
      <c r="AF4307" s="146"/>
      <c r="AG4307" s="146"/>
      <c r="AH4307" s="146"/>
      <c r="AI4307" s="147"/>
      <c r="AJ4307" s="148"/>
      <c r="AK4307" s="143"/>
      <c r="AL4307" s="144"/>
      <c r="AM4307" s="22"/>
      <c r="AN4307" s="149" t="s">
        <v>2511</v>
      </c>
      <c r="AO4307" s="144"/>
      <c r="AP4307" s="148">
        <v>60381</v>
      </c>
      <c r="AQ4307" s="144"/>
      <c r="AR4307" s="120"/>
      <c r="AS4307" s="121"/>
      <c r="AT4307" s="120"/>
      <c r="AU4307" s="121"/>
      <c r="AV4307" s="120"/>
      <c r="AW4307" s="121"/>
      <c r="AX4307" s="120"/>
      <c r="AY4307" s="121"/>
      <c r="AZ4307" s="138"/>
    </row>
    <row r="4308" spans="1:52" ht="17.100000000000001" customHeight="1" thickTop="1">
      <c r="A4308" s="151" t="s">
        <v>13118</v>
      </c>
      <c r="B4308" s="28">
        <v>46002</v>
      </c>
      <c r="C4308" s="25">
        <v>2138</v>
      </c>
      <c r="D4308" s="13" t="s">
        <v>1831</v>
      </c>
      <c r="E4308" s="111"/>
      <c r="F4308" s="113" t="s">
        <v>13003</v>
      </c>
      <c r="G4308" s="114"/>
      <c r="H4308" s="115"/>
      <c r="I4308" s="24"/>
      <c r="J4308" s="150" t="s">
        <v>1715</v>
      </c>
      <c r="K4308" s="118">
        <v>232000</v>
      </c>
      <c r="L4308" s="119"/>
      <c r="M4308" s="118">
        <f t="shared" ref="M4308" si="4589">K4308*0.1</f>
        <v>23200</v>
      </c>
      <c r="N4308" s="119"/>
      <c r="O4308" s="118">
        <v>0</v>
      </c>
      <c r="P4308" s="119"/>
      <c r="Q4308" s="118">
        <v>9790</v>
      </c>
      <c r="R4308" s="119"/>
      <c r="S4308" s="118">
        <v>14300</v>
      </c>
      <c r="T4308" s="119"/>
      <c r="U4308" s="118">
        <f t="shared" ref="U4308" si="4590">SUM(K4308:T4309)</f>
        <v>279290</v>
      </c>
      <c r="V4308" s="122"/>
      <c r="W4308" s="124"/>
      <c r="X4308" s="126" t="s">
        <v>13730</v>
      </c>
      <c r="Y4308" s="127"/>
      <c r="Z4308" s="127"/>
      <c r="AA4308" s="127"/>
      <c r="AB4308" s="128"/>
      <c r="AC4308" s="15" t="s">
        <v>20</v>
      </c>
      <c r="AD4308" s="129" t="s">
        <v>186</v>
      </c>
      <c r="AE4308" s="130"/>
      <c r="AF4308" s="130"/>
      <c r="AG4308" s="130"/>
      <c r="AH4308" s="130"/>
      <c r="AI4308" s="131"/>
      <c r="AJ4308" s="132"/>
      <c r="AK4308" s="127"/>
      <c r="AL4308" s="128"/>
      <c r="AM4308" s="21"/>
      <c r="AN4308" s="133">
        <v>46032</v>
      </c>
      <c r="AO4308" s="134"/>
      <c r="AP4308" s="135">
        <v>1283</v>
      </c>
      <c r="AQ4308" s="136"/>
      <c r="AR4308" s="118">
        <v>290000</v>
      </c>
      <c r="AS4308" s="119"/>
      <c r="AT4308" s="118">
        <f t="shared" ref="AT4308" si="4591">AR4308*0.1</f>
        <v>29000</v>
      </c>
      <c r="AU4308" s="119"/>
      <c r="AV4308" s="118">
        <v>9790</v>
      </c>
      <c r="AW4308" s="119"/>
      <c r="AX4308" s="118">
        <f t="shared" ref="AX4308" si="4592">SUM(AR4308:AW4308)</f>
        <v>328790</v>
      </c>
      <c r="AY4308" s="119"/>
      <c r="AZ4308" s="137">
        <v>46036</v>
      </c>
    </row>
    <row r="4309" spans="1:52" ht="17.100000000000001" customHeight="1" thickBot="1">
      <c r="A4309" s="152"/>
      <c r="B4309" s="27" t="s">
        <v>3281</v>
      </c>
      <c r="C4309" s="27">
        <v>102</v>
      </c>
      <c r="D4309" s="14" t="s">
        <v>275</v>
      </c>
      <c r="E4309" s="112"/>
      <c r="F4309" s="139" t="s">
        <v>13004</v>
      </c>
      <c r="G4309" s="140"/>
      <c r="H4309" s="141"/>
      <c r="I4309" s="26">
        <v>79967</v>
      </c>
      <c r="J4309" s="117"/>
      <c r="K4309" s="120"/>
      <c r="L4309" s="121"/>
      <c r="M4309" s="120"/>
      <c r="N4309" s="121"/>
      <c r="O4309" s="120"/>
      <c r="P4309" s="121"/>
      <c r="Q4309" s="120"/>
      <c r="R4309" s="121"/>
      <c r="S4309" s="120"/>
      <c r="T4309" s="121"/>
      <c r="U4309" s="120"/>
      <c r="V4309" s="123"/>
      <c r="W4309" s="125"/>
      <c r="X4309" s="142" t="s">
        <v>3410</v>
      </c>
      <c r="Y4309" s="143"/>
      <c r="Z4309" s="143"/>
      <c r="AA4309" s="143"/>
      <c r="AB4309" s="144"/>
      <c r="AC4309" s="16" t="s">
        <v>21</v>
      </c>
      <c r="AD4309" s="17" t="s">
        <v>1783</v>
      </c>
      <c r="AE4309" s="145" t="s">
        <v>13731</v>
      </c>
      <c r="AF4309" s="146"/>
      <c r="AG4309" s="146"/>
      <c r="AH4309" s="146"/>
      <c r="AI4309" s="147"/>
      <c r="AJ4309" s="148"/>
      <c r="AK4309" s="143"/>
      <c r="AL4309" s="144"/>
      <c r="AM4309" s="22"/>
      <c r="AN4309" s="149" t="s">
        <v>2511</v>
      </c>
      <c r="AO4309" s="144"/>
      <c r="AP4309" s="148">
        <v>60410</v>
      </c>
      <c r="AQ4309" s="144"/>
      <c r="AR4309" s="120"/>
      <c r="AS4309" s="121"/>
      <c r="AT4309" s="120"/>
      <c r="AU4309" s="121"/>
      <c r="AV4309" s="120"/>
      <c r="AW4309" s="121"/>
      <c r="AX4309" s="120"/>
      <c r="AY4309" s="121"/>
      <c r="AZ4309" s="138"/>
    </row>
    <row r="4310" spans="1:52" ht="17.100000000000001" customHeight="1" thickTop="1">
      <c r="A4310" s="109" t="s">
        <v>13119</v>
      </c>
      <c r="B4310" s="28">
        <v>46002</v>
      </c>
      <c r="C4310" s="25">
        <v>2138</v>
      </c>
      <c r="D4310" s="13" t="s">
        <v>1027</v>
      </c>
      <c r="E4310" s="111"/>
      <c r="F4310" s="113" t="s">
        <v>13005</v>
      </c>
      <c r="G4310" s="114"/>
      <c r="H4310" s="115"/>
      <c r="I4310" s="24"/>
      <c r="J4310" s="116">
        <v>4</v>
      </c>
      <c r="K4310" s="118">
        <v>305000</v>
      </c>
      <c r="L4310" s="119"/>
      <c r="M4310" s="118">
        <f t="shared" ref="M4310" si="4593">K4310*0.1</f>
        <v>30500</v>
      </c>
      <c r="N4310" s="119"/>
      <c r="O4310" s="118">
        <v>0</v>
      </c>
      <c r="P4310" s="119"/>
      <c r="Q4310" s="118">
        <v>8460</v>
      </c>
      <c r="R4310" s="119"/>
      <c r="S4310" s="118">
        <v>14300</v>
      </c>
      <c r="T4310" s="119"/>
      <c r="U4310" s="118">
        <f t="shared" ref="U4310" si="4594">SUM(K4310:T4311)</f>
        <v>358260</v>
      </c>
      <c r="V4310" s="122"/>
      <c r="W4310" s="124"/>
      <c r="X4310" s="126" t="s">
        <v>13728</v>
      </c>
      <c r="Y4310" s="127"/>
      <c r="Z4310" s="127"/>
      <c r="AA4310" s="127"/>
      <c r="AB4310" s="128"/>
      <c r="AC4310" s="15" t="s">
        <v>20</v>
      </c>
      <c r="AD4310" s="129"/>
      <c r="AE4310" s="130"/>
      <c r="AF4310" s="130"/>
      <c r="AG4310" s="130"/>
      <c r="AH4310" s="130"/>
      <c r="AI4310" s="131"/>
      <c r="AJ4310" s="132"/>
      <c r="AK4310" s="127"/>
      <c r="AL4310" s="128"/>
      <c r="AM4310" s="21"/>
      <c r="AN4310" s="133">
        <v>46050</v>
      </c>
      <c r="AO4310" s="134"/>
      <c r="AP4310" s="135">
        <v>1002</v>
      </c>
      <c r="AQ4310" s="136"/>
      <c r="AR4310" s="118">
        <v>315000</v>
      </c>
      <c r="AS4310" s="119"/>
      <c r="AT4310" s="118">
        <f t="shared" ref="AT4310" si="4595">AR4310*0.1</f>
        <v>31500</v>
      </c>
      <c r="AU4310" s="119"/>
      <c r="AV4310" s="118">
        <v>8460</v>
      </c>
      <c r="AW4310" s="119"/>
      <c r="AX4310" s="118">
        <f t="shared" ref="AX4310" si="4596">SUM(AR4310:AW4310)</f>
        <v>354960</v>
      </c>
      <c r="AY4310" s="119"/>
      <c r="AZ4310" s="137">
        <v>46055</v>
      </c>
    </row>
    <row r="4311" spans="1:52" ht="17.100000000000001" customHeight="1" thickBot="1">
      <c r="A4311" s="110"/>
      <c r="B4311" s="27" t="s">
        <v>3281</v>
      </c>
      <c r="C4311" s="27">
        <v>263</v>
      </c>
      <c r="D4311" s="14" t="s">
        <v>1720</v>
      </c>
      <c r="E4311" s="112"/>
      <c r="F4311" s="139" t="s">
        <v>13006</v>
      </c>
      <c r="G4311" s="140"/>
      <c r="H4311" s="141"/>
      <c r="I4311" s="26">
        <v>89493</v>
      </c>
      <c r="J4311" s="117"/>
      <c r="K4311" s="120"/>
      <c r="L4311" s="121"/>
      <c r="M4311" s="120"/>
      <c r="N4311" s="121"/>
      <c r="O4311" s="120"/>
      <c r="P4311" s="121"/>
      <c r="Q4311" s="120"/>
      <c r="R4311" s="121"/>
      <c r="S4311" s="120"/>
      <c r="T4311" s="121"/>
      <c r="U4311" s="120"/>
      <c r="V4311" s="123"/>
      <c r="W4311" s="125"/>
      <c r="X4311" s="142" t="s">
        <v>13729</v>
      </c>
      <c r="Y4311" s="143"/>
      <c r="Z4311" s="143"/>
      <c r="AA4311" s="143"/>
      <c r="AB4311" s="144"/>
      <c r="AC4311" s="16" t="s">
        <v>21</v>
      </c>
      <c r="AD4311" s="17" t="s">
        <v>1783</v>
      </c>
      <c r="AE4311" s="145" t="s">
        <v>2395</v>
      </c>
      <c r="AF4311" s="146"/>
      <c r="AG4311" s="146"/>
      <c r="AH4311" s="146"/>
      <c r="AI4311" s="147"/>
      <c r="AJ4311" s="148"/>
      <c r="AK4311" s="143"/>
      <c r="AL4311" s="144"/>
      <c r="AM4311" s="22"/>
      <c r="AN4311" s="149" t="s">
        <v>2794</v>
      </c>
      <c r="AO4311" s="144"/>
      <c r="AP4311" s="148">
        <v>2039</v>
      </c>
      <c r="AQ4311" s="144"/>
      <c r="AR4311" s="120"/>
      <c r="AS4311" s="121"/>
      <c r="AT4311" s="120"/>
      <c r="AU4311" s="121"/>
      <c r="AV4311" s="120"/>
      <c r="AW4311" s="121"/>
      <c r="AX4311" s="120"/>
      <c r="AY4311" s="121"/>
      <c r="AZ4311" s="138"/>
    </row>
    <row r="4312" spans="1:52" ht="17.100000000000001" customHeight="1" thickTop="1">
      <c r="A4312" s="109" t="s">
        <v>13120</v>
      </c>
      <c r="B4312" s="28">
        <v>46002</v>
      </c>
      <c r="C4312" s="25">
        <v>2138</v>
      </c>
      <c r="D4312" s="13" t="s">
        <v>1714</v>
      </c>
      <c r="E4312" s="111"/>
      <c r="F4312" s="113" t="s">
        <v>9038</v>
      </c>
      <c r="G4312" s="114"/>
      <c r="H4312" s="115"/>
      <c r="I4312" s="24"/>
      <c r="J4312" s="116">
        <v>4</v>
      </c>
      <c r="K4312" s="118">
        <v>1136000</v>
      </c>
      <c r="L4312" s="119"/>
      <c r="M4312" s="118">
        <f t="shared" ref="M4312" si="4597">K4312*0.1</f>
        <v>113600</v>
      </c>
      <c r="N4312" s="119"/>
      <c r="O4312" s="118">
        <v>0</v>
      </c>
      <c r="P4312" s="119"/>
      <c r="Q4312" s="118">
        <v>6830</v>
      </c>
      <c r="R4312" s="119"/>
      <c r="S4312" s="118">
        <v>14300</v>
      </c>
      <c r="T4312" s="119"/>
      <c r="U4312" s="118">
        <f t="shared" ref="U4312" si="4598">SUM(K4312:T4313)</f>
        <v>1270730</v>
      </c>
      <c r="V4312" s="122"/>
      <c r="W4312" s="124"/>
      <c r="X4312" s="126" t="s">
        <v>13837</v>
      </c>
      <c r="Y4312" s="127"/>
      <c r="Z4312" s="127"/>
      <c r="AA4312" s="127"/>
      <c r="AB4312" s="128"/>
      <c r="AC4312" s="15" t="s">
        <v>20</v>
      </c>
      <c r="AD4312" s="129" t="s">
        <v>1945</v>
      </c>
      <c r="AE4312" s="130"/>
      <c r="AF4312" s="130"/>
      <c r="AG4312" s="130"/>
      <c r="AH4312" s="130"/>
      <c r="AI4312" s="131"/>
      <c r="AJ4312" s="132"/>
      <c r="AK4312" s="127"/>
      <c r="AL4312" s="128"/>
      <c r="AM4312" s="21"/>
      <c r="AN4312" s="133">
        <v>46011</v>
      </c>
      <c r="AO4312" s="134"/>
      <c r="AP4312" s="135">
        <v>1281</v>
      </c>
      <c r="AQ4312" s="136"/>
      <c r="AR4312" s="118">
        <v>1190000</v>
      </c>
      <c r="AS4312" s="119"/>
      <c r="AT4312" s="118">
        <f t="shared" ref="AT4312" si="4599">AR4312*0.1</f>
        <v>119000</v>
      </c>
      <c r="AU4312" s="119"/>
      <c r="AV4312" s="118">
        <v>6830</v>
      </c>
      <c r="AW4312" s="119"/>
      <c r="AX4312" s="118">
        <f t="shared" ref="AX4312" si="4600">SUM(AR4312:AW4312)</f>
        <v>1315830</v>
      </c>
      <c r="AY4312" s="119"/>
      <c r="AZ4312" s="137">
        <v>46014</v>
      </c>
    </row>
    <row r="4313" spans="1:52" ht="17.100000000000001" customHeight="1" thickBot="1">
      <c r="A4313" s="110"/>
      <c r="B4313" s="27" t="s">
        <v>3281</v>
      </c>
      <c r="C4313" s="27">
        <v>2561</v>
      </c>
      <c r="D4313" s="14" t="s">
        <v>1576</v>
      </c>
      <c r="E4313" s="112"/>
      <c r="F4313" s="139" t="s">
        <v>13007</v>
      </c>
      <c r="G4313" s="140"/>
      <c r="H4313" s="141"/>
      <c r="I4313" s="26">
        <v>11059</v>
      </c>
      <c r="J4313" s="117"/>
      <c r="K4313" s="120"/>
      <c r="L4313" s="121"/>
      <c r="M4313" s="120"/>
      <c r="N4313" s="121"/>
      <c r="O4313" s="120"/>
      <c r="P4313" s="121"/>
      <c r="Q4313" s="120"/>
      <c r="R4313" s="121"/>
      <c r="S4313" s="120"/>
      <c r="T4313" s="121"/>
      <c r="U4313" s="120"/>
      <c r="V4313" s="123"/>
      <c r="W4313" s="125"/>
      <c r="X4313" s="142" t="s">
        <v>8699</v>
      </c>
      <c r="Y4313" s="143"/>
      <c r="Z4313" s="143"/>
      <c r="AA4313" s="143"/>
      <c r="AB4313" s="144"/>
      <c r="AC4313" s="16" t="s">
        <v>21</v>
      </c>
      <c r="AD4313" s="17" t="s">
        <v>13826</v>
      </c>
      <c r="AE4313" s="145" t="s">
        <v>13838</v>
      </c>
      <c r="AF4313" s="146"/>
      <c r="AG4313" s="146"/>
      <c r="AH4313" s="146"/>
      <c r="AI4313" s="147"/>
      <c r="AJ4313" s="148"/>
      <c r="AK4313" s="143"/>
      <c r="AL4313" s="144"/>
      <c r="AM4313" s="22"/>
      <c r="AN4313" s="149" t="s">
        <v>2511</v>
      </c>
      <c r="AO4313" s="144"/>
      <c r="AP4313" s="148">
        <v>60013</v>
      </c>
      <c r="AQ4313" s="144"/>
      <c r="AR4313" s="120"/>
      <c r="AS4313" s="121"/>
      <c r="AT4313" s="120"/>
      <c r="AU4313" s="121"/>
      <c r="AV4313" s="120"/>
      <c r="AW4313" s="121"/>
      <c r="AX4313" s="120"/>
      <c r="AY4313" s="121"/>
      <c r="AZ4313" s="138"/>
    </row>
    <row r="4314" spans="1:52" ht="17.100000000000001" customHeight="1" thickTop="1">
      <c r="A4314" s="109" t="s">
        <v>13121</v>
      </c>
      <c r="B4314" s="28">
        <v>46002</v>
      </c>
      <c r="C4314" s="25">
        <v>2138</v>
      </c>
      <c r="D4314" s="13" t="s">
        <v>1649</v>
      </c>
      <c r="E4314" s="111"/>
      <c r="F4314" s="113" t="s">
        <v>13008</v>
      </c>
      <c r="G4314" s="114"/>
      <c r="H4314" s="115"/>
      <c r="I4314" s="24" t="s">
        <v>9675</v>
      </c>
      <c r="J4314" s="116">
        <v>4</v>
      </c>
      <c r="K4314" s="118">
        <v>304000</v>
      </c>
      <c r="L4314" s="119"/>
      <c r="M4314" s="118">
        <f t="shared" ref="M4314" si="4601">K4314*0.1</f>
        <v>30400</v>
      </c>
      <c r="N4314" s="119"/>
      <c r="O4314" s="118">
        <v>0</v>
      </c>
      <c r="P4314" s="119"/>
      <c r="Q4314" s="118">
        <v>9470</v>
      </c>
      <c r="R4314" s="119"/>
      <c r="S4314" s="118">
        <v>14300</v>
      </c>
      <c r="T4314" s="119"/>
      <c r="U4314" s="118">
        <f t="shared" ref="U4314" si="4602">SUM(K4314:T4315)</f>
        <v>358170</v>
      </c>
      <c r="V4314" s="122"/>
      <c r="W4314" s="124"/>
      <c r="X4314" s="126" t="s">
        <v>13010</v>
      </c>
      <c r="Y4314" s="127"/>
      <c r="Z4314" s="127"/>
      <c r="AA4314" s="127"/>
      <c r="AB4314" s="128"/>
      <c r="AC4314" s="15" t="s">
        <v>20</v>
      </c>
      <c r="AD4314" s="129"/>
      <c r="AE4314" s="130"/>
      <c r="AF4314" s="130"/>
      <c r="AG4314" s="130"/>
      <c r="AH4314" s="130"/>
      <c r="AI4314" s="131"/>
      <c r="AJ4314" s="132"/>
      <c r="AK4314" s="127"/>
      <c r="AL4314" s="128"/>
      <c r="AM4314" s="21"/>
      <c r="AN4314" s="133">
        <v>46008</v>
      </c>
      <c r="AO4314" s="134"/>
      <c r="AP4314" s="135">
        <v>997</v>
      </c>
      <c r="AQ4314" s="136"/>
      <c r="AR4314" s="118">
        <v>420000</v>
      </c>
      <c r="AS4314" s="119"/>
      <c r="AT4314" s="118">
        <f t="shared" ref="AT4314" si="4603">AR4314*0.1</f>
        <v>42000</v>
      </c>
      <c r="AU4314" s="119"/>
      <c r="AV4314" s="118">
        <v>9470</v>
      </c>
      <c r="AW4314" s="119"/>
      <c r="AX4314" s="118">
        <f t="shared" ref="AX4314" si="4604">SUM(AR4314:AW4314)</f>
        <v>471470</v>
      </c>
      <c r="AY4314" s="119"/>
      <c r="AZ4314" s="137">
        <v>46013</v>
      </c>
    </row>
    <row r="4315" spans="1:52" ht="17.100000000000001" customHeight="1" thickBot="1">
      <c r="A4315" s="110"/>
      <c r="B4315" s="27" t="s">
        <v>3281</v>
      </c>
      <c r="C4315" s="27">
        <v>2564</v>
      </c>
      <c r="D4315" s="14" t="s">
        <v>3327</v>
      </c>
      <c r="E4315" s="112"/>
      <c r="F4315" s="139" t="s">
        <v>13009</v>
      </c>
      <c r="G4315" s="140"/>
      <c r="H4315" s="141"/>
      <c r="I4315" s="26">
        <v>45859</v>
      </c>
      <c r="J4315" s="117"/>
      <c r="K4315" s="120"/>
      <c r="L4315" s="121"/>
      <c r="M4315" s="120"/>
      <c r="N4315" s="121"/>
      <c r="O4315" s="120"/>
      <c r="P4315" s="121"/>
      <c r="Q4315" s="120"/>
      <c r="R4315" s="121"/>
      <c r="S4315" s="120"/>
      <c r="T4315" s="121"/>
      <c r="U4315" s="120"/>
      <c r="V4315" s="123"/>
      <c r="W4315" s="125"/>
      <c r="X4315" s="142" t="s">
        <v>13630</v>
      </c>
      <c r="Y4315" s="143"/>
      <c r="Z4315" s="143"/>
      <c r="AA4315" s="143"/>
      <c r="AB4315" s="144"/>
      <c r="AC4315" s="16" t="s">
        <v>21</v>
      </c>
      <c r="AD4315" s="17" t="s">
        <v>1783</v>
      </c>
      <c r="AE4315" s="145"/>
      <c r="AF4315" s="146"/>
      <c r="AG4315" s="146"/>
      <c r="AH4315" s="146"/>
      <c r="AI4315" s="147"/>
      <c r="AJ4315" s="148"/>
      <c r="AK4315" s="143"/>
      <c r="AL4315" s="144"/>
      <c r="AM4315" s="22"/>
      <c r="AN4315" s="149" t="s">
        <v>2794</v>
      </c>
      <c r="AO4315" s="144"/>
      <c r="AP4315" s="148">
        <v>2031</v>
      </c>
      <c r="AQ4315" s="144"/>
      <c r="AR4315" s="120"/>
      <c r="AS4315" s="121"/>
      <c r="AT4315" s="120"/>
      <c r="AU4315" s="121"/>
      <c r="AV4315" s="120"/>
      <c r="AW4315" s="121"/>
      <c r="AX4315" s="120"/>
      <c r="AY4315" s="121"/>
      <c r="AZ4315" s="138"/>
    </row>
    <row r="4316" spans="1:52" ht="17.100000000000001" customHeight="1" thickTop="1">
      <c r="A4316" s="109" t="s">
        <v>13122</v>
      </c>
      <c r="B4316" s="28">
        <v>46002</v>
      </c>
      <c r="C4316" s="25">
        <v>2138</v>
      </c>
      <c r="D4316" s="13" t="s">
        <v>1825</v>
      </c>
      <c r="E4316" s="111"/>
      <c r="F4316" s="113" t="s">
        <v>6960</v>
      </c>
      <c r="G4316" s="114"/>
      <c r="H4316" s="115"/>
      <c r="I4316" s="24"/>
      <c r="J4316" s="116">
        <v>4</v>
      </c>
      <c r="K4316" s="118">
        <v>1200000</v>
      </c>
      <c r="L4316" s="119"/>
      <c r="M4316" s="118">
        <f t="shared" ref="M4316" si="4605">K4316*0.1</f>
        <v>120000</v>
      </c>
      <c r="N4316" s="119"/>
      <c r="O4316" s="118">
        <v>0</v>
      </c>
      <c r="P4316" s="119"/>
      <c r="Q4316" s="118">
        <v>7040</v>
      </c>
      <c r="R4316" s="119"/>
      <c r="S4316" s="118">
        <v>14300</v>
      </c>
      <c r="T4316" s="119"/>
      <c r="U4316" s="118">
        <f t="shared" ref="U4316" si="4606">SUM(K4316:T4317)</f>
        <v>1341340</v>
      </c>
      <c r="V4316" s="122"/>
      <c r="W4316" s="124"/>
      <c r="X4316" s="126" t="s">
        <v>13732</v>
      </c>
      <c r="Y4316" s="127"/>
      <c r="Z4316" s="127"/>
      <c r="AA4316" s="127"/>
      <c r="AB4316" s="128"/>
      <c r="AC4316" s="15" t="s">
        <v>20</v>
      </c>
      <c r="AD4316" s="129"/>
      <c r="AE4316" s="130"/>
      <c r="AF4316" s="130"/>
      <c r="AG4316" s="130"/>
      <c r="AH4316" s="130"/>
      <c r="AI4316" s="131"/>
      <c r="AJ4316" s="132"/>
      <c r="AK4316" s="127"/>
      <c r="AL4316" s="128"/>
      <c r="AM4316" s="21"/>
      <c r="AN4316" s="133">
        <v>46015</v>
      </c>
      <c r="AO4316" s="134"/>
      <c r="AP4316" s="135">
        <v>998</v>
      </c>
      <c r="AQ4316" s="136"/>
      <c r="AR4316" s="118">
        <v>1300000</v>
      </c>
      <c r="AS4316" s="119"/>
      <c r="AT4316" s="118">
        <f t="shared" ref="AT4316" si="4607">AR4316*0.1</f>
        <v>130000</v>
      </c>
      <c r="AU4316" s="119"/>
      <c r="AV4316" s="118">
        <v>7040</v>
      </c>
      <c r="AW4316" s="119"/>
      <c r="AX4316" s="118">
        <f t="shared" ref="AX4316" si="4608">SUM(AR4316:AW4316)</f>
        <v>1437040</v>
      </c>
      <c r="AY4316" s="119"/>
      <c r="AZ4316" s="137">
        <v>46027</v>
      </c>
    </row>
    <row r="4317" spans="1:52" ht="17.100000000000001" customHeight="1" thickBot="1">
      <c r="A4317" s="110"/>
      <c r="B4317" s="27" t="s">
        <v>3281</v>
      </c>
      <c r="C4317" s="27">
        <v>2571</v>
      </c>
      <c r="D4317" s="14" t="s">
        <v>275</v>
      </c>
      <c r="E4317" s="112"/>
      <c r="F4317" s="139" t="s">
        <v>13011</v>
      </c>
      <c r="G4317" s="140"/>
      <c r="H4317" s="141"/>
      <c r="I4317" s="26">
        <v>28741</v>
      </c>
      <c r="J4317" s="117"/>
      <c r="K4317" s="120"/>
      <c r="L4317" s="121"/>
      <c r="M4317" s="120"/>
      <c r="N4317" s="121"/>
      <c r="O4317" s="120"/>
      <c r="P4317" s="121"/>
      <c r="Q4317" s="120"/>
      <c r="R4317" s="121"/>
      <c r="S4317" s="120"/>
      <c r="T4317" s="121"/>
      <c r="U4317" s="120"/>
      <c r="V4317" s="123"/>
      <c r="W4317" s="125"/>
      <c r="X4317" s="142" t="s">
        <v>2659</v>
      </c>
      <c r="Y4317" s="143"/>
      <c r="Z4317" s="143"/>
      <c r="AA4317" s="143"/>
      <c r="AB4317" s="144"/>
      <c r="AC4317" s="16" t="s">
        <v>21</v>
      </c>
      <c r="AD4317" s="17" t="s">
        <v>1783</v>
      </c>
      <c r="AE4317" s="145"/>
      <c r="AF4317" s="146"/>
      <c r="AG4317" s="146"/>
      <c r="AH4317" s="146"/>
      <c r="AI4317" s="147"/>
      <c r="AJ4317" s="148"/>
      <c r="AK4317" s="143"/>
      <c r="AL4317" s="144"/>
      <c r="AM4317" s="22"/>
      <c r="AN4317" s="149" t="s">
        <v>2794</v>
      </c>
      <c r="AO4317" s="144"/>
      <c r="AP4317" s="148">
        <v>2023</v>
      </c>
      <c r="AQ4317" s="144"/>
      <c r="AR4317" s="120"/>
      <c r="AS4317" s="121"/>
      <c r="AT4317" s="120"/>
      <c r="AU4317" s="121"/>
      <c r="AV4317" s="120"/>
      <c r="AW4317" s="121"/>
      <c r="AX4317" s="120"/>
      <c r="AY4317" s="121"/>
      <c r="AZ4317" s="138"/>
    </row>
    <row r="4318" spans="1:52" ht="17.100000000000001" customHeight="1" thickTop="1">
      <c r="A4318" s="109" t="s">
        <v>13123</v>
      </c>
      <c r="B4318" s="28">
        <v>46002</v>
      </c>
      <c r="C4318" s="25">
        <v>1545</v>
      </c>
      <c r="D4318" s="13" t="s">
        <v>3801</v>
      </c>
      <c r="E4318" s="111"/>
      <c r="F4318" s="113" t="s">
        <v>13127</v>
      </c>
      <c r="G4318" s="114"/>
      <c r="H4318" s="115"/>
      <c r="I4318" s="24" t="s">
        <v>5059</v>
      </c>
      <c r="J4318" s="116">
        <v>4.5</v>
      </c>
      <c r="K4318" s="118">
        <v>2410000</v>
      </c>
      <c r="L4318" s="119"/>
      <c r="M4318" s="118">
        <f t="shared" ref="M4318" si="4609">K4318*0.1</f>
        <v>241000</v>
      </c>
      <c r="N4318" s="119"/>
      <c r="O4318" s="118">
        <f>7600+760</f>
        <v>8360</v>
      </c>
      <c r="P4318" s="119"/>
      <c r="Q4318" s="118">
        <v>11740</v>
      </c>
      <c r="R4318" s="119"/>
      <c r="S4318" s="118">
        <v>16500</v>
      </c>
      <c r="T4318" s="119"/>
      <c r="U4318" s="118">
        <f t="shared" ref="U4318" si="4610">SUM(K4318:T4319)</f>
        <v>2687600</v>
      </c>
      <c r="V4318" s="122"/>
      <c r="W4318" s="124"/>
      <c r="X4318" s="126" t="s">
        <v>13749</v>
      </c>
      <c r="Y4318" s="127"/>
      <c r="Z4318" s="127"/>
      <c r="AA4318" s="127"/>
      <c r="AB4318" s="128"/>
      <c r="AC4318" s="15" t="s">
        <v>20</v>
      </c>
      <c r="AD4318" s="129" t="s">
        <v>1633</v>
      </c>
      <c r="AE4318" s="130"/>
      <c r="AF4318" s="130"/>
      <c r="AG4318" s="130"/>
      <c r="AH4318" s="130"/>
      <c r="AI4318" s="131"/>
      <c r="AJ4318" s="132"/>
      <c r="AK4318" s="127"/>
      <c r="AL4318" s="128"/>
      <c r="AM4318" s="21"/>
      <c r="AN4318" s="133"/>
      <c r="AO4318" s="134"/>
      <c r="AP4318" s="135"/>
      <c r="AQ4318" s="136"/>
      <c r="AR4318" s="118"/>
      <c r="AS4318" s="119"/>
      <c r="AT4318" s="118">
        <f t="shared" ref="AT4318" si="4611">AR4318*0.1</f>
        <v>0</v>
      </c>
      <c r="AU4318" s="119"/>
      <c r="AV4318" s="118"/>
      <c r="AW4318" s="119"/>
      <c r="AX4318" s="118">
        <f t="shared" ref="AX4318" si="4612">SUM(AR4318:AW4318)</f>
        <v>0</v>
      </c>
      <c r="AY4318" s="119"/>
      <c r="AZ4318" s="137"/>
    </row>
    <row r="4319" spans="1:52" ht="17.100000000000001" customHeight="1" thickBot="1">
      <c r="A4319" s="110"/>
      <c r="B4319" s="27" t="s">
        <v>1600</v>
      </c>
      <c r="C4319" s="27">
        <v>75783</v>
      </c>
      <c r="D4319" s="14" t="s">
        <v>1812</v>
      </c>
      <c r="E4319" s="112"/>
      <c r="F4319" s="139" t="s">
        <v>13128</v>
      </c>
      <c r="G4319" s="140"/>
      <c r="H4319" s="141"/>
      <c r="I4319" s="26">
        <v>23877</v>
      </c>
      <c r="J4319" s="117"/>
      <c r="K4319" s="120"/>
      <c r="L4319" s="121"/>
      <c r="M4319" s="120"/>
      <c r="N4319" s="121"/>
      <c r="O4319" s="120"/>
      <c r="P4319" s="121"/>
      <c r="Q4319" s="120"/>
      <c r="R4319" s="121"/>
      <c r="S4319" s="120"/>
      <c r="T4319" s="121"/>
      <c r="U4319" s="120"/>
      <c r="V4319" s="123"/>
      <c r="W4319" s="125"/>
      <c r="X4319" s="142" t="s">
        <v>2830</v>
      </c>
      <c r="Y4319" s="143"/>
      <c r="Z4319" s="143"/>
      <c r="AA4319" s="143"/>
      <c r="AB4319" s="144"/>
      <c r="AC4319" s="16" t="s">
        <v>21</v>
      </c>
      <c r="AD4319" s="17" t="s">
        <v>1783</v>
      </c>
      <c r="AE4319" s="145" t="s">
        <v>1633</v>
      </c>
      <c r="AF4319" s="146"/>
      <c r="AG4319" s="146"/>
      <c r="AH4319" s="146"/>
      <c r="AI4319" s="147"/>
      <c r="AJ4319" s="148"/>
      <c r="AK4319" s="143"/>
      <c r="AL4319" s="144"/>
      <c r="AM4319" s="22"/>
      <c r="AN4319" s="149"/>
      <c r="AO4319" s="144"/>
      <c r="AP4319" s="148"/>
      <c r="AQ4319" s="144"/>
      <c r="AR4319" s="120"/>
      <c r="AS4319" s="121"/>
      <c r="AT4319" s="120"/>
      <c r="AU4319" s="121"/>
      <c r="AV4319" s="120"/>
      <c r="AW4319" s="121"/>
      <c r="AX4319" s="120"/>
      <c r="AY4319" s="121"/>
      <c r="AZ4319" s="138"/>
    </row>
    <row r="4320" spans="1:52" ht="17.100000000000001" customHeight="1" thickTop="1">
      <c r="A4320" s="151" t="s">
        <v>13124</v>
      </c>
      <c r="B4320" s="28">
        <v>46002</v>
      </c>
      <c r="C4320" s="25">
        <v>1310</v>
      </c>
      <c r="D4320" s="13" t="s">
        <v>1937</v>
      </c>
      <c r="E4320" s="111"/>
      <c r="F4320" s="113" t="s">
        <v>13130</v>
      </c>
      <c r="G4320" s="114"/>
      <c r="H4320" s="115"/>
      <c r="I4320" s="24"/>
      <c r="J4320" s="116">
        <v>4.5</v>
      </c>
      <c r="K4320" s="118">
        <v>1580000</v>
      </c>
      <c r="L4320" s="119"/>
      <c r="M4320" s="118">
        <f t="shared" ref="M4320" si="4613">K4320*0.1</f>
        <v>158000</v>
      </c>
      <c r="N4320" s="119"/>
      <c r="O4320" s="118">
        <v>0</v>
      </c>
      <c r="P4320" s="119"/>
      <c r="Q4320" s="118">
        <v>21480</v>
      </c>
      <c r="R4320" s="119"/>
      <c r="S4320" s="118">
        <v>14300</v>
      </c>
      <c r="T4320" s="119"/>
      <c r="U4320" s="118">
        <f t="shared" ref="U4320" si="4614">SUM(K4320:T4321)</f>
        <v>1773780</v>
      </c>
      <c r="V4320" s="122"/>
      <c r="W4320" s="124"/>
      <c r="X4320" s="126" t="s">
        <v>13650</v>
      </c>
      <c r="Y4320" s="127"/>
      <c r="Z4320" s="127"/>
      <c r="AA4320" s="127"/>
      <c r="AB4320" s="128"/>
      <c r="AC4320" s="15" t="s">
        <v>20</v>
      </c>
      <c r="AD4320" s="129" t="s">
        <v>1633</v>
      </c>
      <c r="AE4320" s="130"/>
      <c r="AF4320" s="130"/>
      <c r="AG4320" s="130"/>
      <c r="AH4320" s="130"/>
      <c r="AI4320" s="131"/>
      <c r="AJ4320" s="132"/>
      <c r="AK4320" s="127"/>
      <c r="AL4320" s="128"/>
      <c r="AM4320" s="21"/>
      <c r="AN4320" s="133">
        <v>46039</v>
      </c>
      <c r="AO4320" s="134"/>
      <c r="AP4320" s="135">
        <v>1284</v>
      </c>
      <c r="AQ4320" s="136"/>
      <c r="AR4320" s="118">
        <v>1680000</v>
      </c>
      <c r="AS4320" s="119"/>
      <c r="AT4320" s="118">
        <f t="shared" ref="AT4320" si="4615">AR4320*0.1</f>
        <v>168000</v>
      </c>
      <c r="AU4320" s="119"/>
      <c r="AV4320" s="118">
        <v>21480</v>
      </c>
      <c r="AW4320" s="119"/>
      <c r="AX4320" s="118">
        <f t="shared" ref="AX4320" si="4616">SUM(AR4320:AW4320)</f>
        <v>1869480</v>
      </c>
      <c r="AY4320" s="119"/>
      <c r="AZ4320" s="137">
        <v>46042</v>
      </c>
    </row>
    <row r="4321" spans="1:52" ht="17.100000000000001" customHeight="1" thickBot="1">
      <c r="A4321" s="152"/>
      <c r="B4321" s="27" t="s">
        <v>1747</v>
      </c>
      <c r="C4321" s="27">
        <v>14</v>
      </c>
      <c r="D4321" s="14" t="s">
        <v>1592</v>
      </c>
      <c r="E4321" s="112"/>
      <c r="F4321" s="139" t="s">
        <v>13131</v>
      </c>
      <c r="G4321" s="140"/>
      <c r="H4321" s="141"/>
      <c r="I4321" s="26">
        <v>54188</v>
      </c>
      <c r="J4321" s="117"/>
      <c r="K4321" s="120"/>
      <c r="L4321" s="121"/>
      <c r="M4321" s="120"/>
      <c r="N4321" s="121"/>
      <c r="O4321" s="120"/>
      <c r="P4321" s="121"/>
      <c r="Q4321" s="120"/>
      <c r="R4321" s="121"/>
      <c r="S4321" s="120"/>
      <c r="T4321" s="121"/>
      <c r="U4321" s="120"/>
      <c r="V4321" s="123"/>
      <c r="W4321" s="125"/>
      <c r="X4321" s="142" t="s">
        <v>9059</v>
      </c>
      <c r="Y4321" s="143"/>
      <c r="Z4321" s="143"/>
      <c r="AA4321" s="143"/>
      <c r="AB4321" s="144"/>
      <c r="AC4321" s="16" t="s">
        <v>21</v>
      </c>
      <c r="AD4321" s="17" t="s">
        <v>1783</v>
      </c>
      <c r="AE4321" s="145" t="s">
        <v>1742</v>
      </c>
      <c r="AF4321" s="146"/>
      <c r="AG4321" s="146"/>
      <c r="AH4321" s="146"/>
      <c r="AI4321" s="147"/>
      <c r="AJ4321" s="148"/>
      <c r="AK4321" s="143"/>
      <c r="AL4321" s="144"/>
      <c r="AM4321" s="22"/>
      <c r="AN4321" s="149" t="s">
        <v>2511</v>
      </c>
      <c r="AO4321" s="144"/>
      <c r="AP4321" s="148">
        <v>80106</v>
      </c>
      <c r="AQ4321" s="144"/>
      <c r="AR4321" s="120"/>
      <c r="AS4321" s="121"/>
      <c r="AT4321" s="120"/>
      <c r="AU4321" s="121"/>
      <c r="AV4321" s="120"/>
      <c r="AW4321" s="121"/>
      <c r="AX4321" s="120"/>
      <c r="AY4321" s="121"/>
      <c r="AZ4321" s="138"/>
    </row>
    <row r="4322" spans="1:52" ht="17.100000000000001" customHeight="1" thickTop="1">
      <c r="A4322" s="151" t="s">
        <v>13125</v>
      </c>
      <c r="B4322" s="28">
        <v>46002</v>
      </c>
      <c r="C4322" s="25">
        <v>1310</v>
      </c>
      <c r="D4322" s="13" t="s">
        <v>1767</v>
      </c>
      <c r="E4322" s="111"/>
      <c r="F4322" s="113" t="s">
        <v>1938</v>
      </c>
      <c r="G4322" s="114"/>
      <c r="H4322" s="115"/>
      <c r="I4322" s="24" t="s">
        <v>4390</v>
      </c>
      <c r="J4322" s="116">
        <v>4</v>
      </c>
      <c r="K4322" s="118">
        <v>485000</v>
      </c>
      <c r="L4322" s="119"/>
      <c r="M4322" s="118">
        <f t="shared" ref="M4322" si="4617">K4322*0.1</f>
        <v>48500</v>
      </c>
      <c r="N4322" s="119"/>
      <c r="O4322" s="118">
        <f>8600+860</f>
        <v>9460</v>
      </c>
      <c r="P4322" s="119"/>
      <c r="Q4322" s="118">
        <v>18960</v>
      </c>
      <c r="R4322" s="119"/>
      <c r="S4322" s="118">
        <v>14300</v>
      </c>
      <c r="T4322" s="119"/>
      <c r="U4322" s="118">
        <f t="shared" ref="U4322" si="4618">SUM(K4322:T4323)</f>
        <v>576220</v>
      </c>
      <c r="V4322" s="122"/>
      <c r="W4322" s="124"/>
      <c r="X4322" s="126" t="s">
        <v>13134</v>
      </c>
      <c r="Y4322" s="127"/>
      <c r="Z4322" s="127"/>
      <c r="AA4322" s="127"/>
      <c r="AB4322" s="128"/>
      <c r="AC4322" s="15" t="s">
        <v>20</v>
      </c>
      <c r="AD4322" s="129" t="s">
        <v>1670</v>
      </c>
      <c r="AE4322" s="130"/>
      <c r="AF4322" s="130"/>
      <c r="AG4322" s="130"/>
      <c r="AH4322" s="130"/>
      <c r="AI4322" s="131"/>
      <c r="AJ4322" s="132"/>
      <c r="AK4322" s="127"/>
      <c r="AL4322" s="128"/>
      <c r="AM4322" s="21"/>
      <c r="AN4322" s="133">
        <v>46032</v>
      </c>
      <c r="AO4322" s="134"/>
      <c r="AP4322" s="135">
        <v>1283</v>
      </c>
      <c r="AQ4322" s="136"/>
      <c r="AR4322" s="118">
        <v>550000</v>
      </c>
      <c r="AS4322" s="119"/>
      <c r="AT4322" s="118">
        <f t="shared" ref="AT4322" si="4619">AR4322*0.1</f>
        <v>55000</v>
      </c>
      <c r="AU4322" s="119"/>
      <c r="AV4322" s="118">
        <v>18960</v>
      </c>
      <c r="AW4322" s="119"/>
      <c r="AX4322" s="118">
        <f t="shared" ref="AX4322" si="4620">SUM(AR4322:AW4322)</f>
        <v>623960</v>
      </c>
      <c r="AY4322" s="119"/>
      <c r="AZ4322" s="137">
        <v>46036</v>
      </c>
    </row>
    <row r="4323" spans="1:52" ht="17.100000000000001" customHeight="1" thickBot="1">
      <c r="A4323" s="152"/>
      <c r="B4323" s="27" t="s">
        <v>1747</v>
      </c>
      <c r="C4323" s="27">
        <v>207</v>
      </c>
      <c r="D4323" s="14" t="s">
        <v>1576</v>
      </c>
      <c r="E4323" s="112"/>
      <c r="F4323" s="139" t="s">
        <v>13132</v>
      </c>
      <c r="G4323" s="140"/>
      <c r="H4323" s="141"/>
      <c r="I4323" s="26">
        <v>51440</v>
      </c>
      <c r="J4323" s="117"/>
      <c r="K4323" s="120"/>
      <c r="L4323" s="121"/>
      <c r="M4323" s="120"/>
      <c r="N4323" s="121"/>
      <c r="O4323" s="120"/>
      <c r="P4323" s="121"/>
      <c r="Q4323" s="120"/>
      <c r="R4323" s="121"/>
      <c r="S4323" s="120"/>
      <c r="T4323" s="121"/>
      <c r="U4323" s="120"/>
      <c r="V4323" s="123"/>
      <c r="W4323" s="125"/>
      <c r="X4323" s="142" t="s">
        <v>3602</v>
      </c>
      <c r="Y4323" s="143"/>
      <c r="Z4323" s="143"/>
      <c r="AA4323" s="143"/>
      <c r="AB4323" s="144"/>
      <c r="AC4323" s="16" t="s">
        <v>21</v>
      </c>
      <c r="AD4323" s="17" t="s">
        <v>1757</v>
      </c>
      <c r="AE4323" s="145" t="s">
        <v>171</v>
      </c>
      <c r="AF4323" s="146"/>
      <c r="AG4323" s="146"/>
      <c r="AH4323" s="146"/>
      <c r="AI4323" s="147"/>
      <c r="AJ4323" s="148"/>
      <c r="AK4323" s="143"/>
      <c r="AL4323" s="144"/>
      <c r="AM4323" s="22"/>
      <c r="AN4323" s="149" t="s">
        <v>2511</v>
      </c>
      <c r="AO4323" s="144"/>
      <c r="AP4323" s="148">
        <v>80065</v>
      </c>
      <c r="AQ4323" s="144"/>
      <c r="AR4323" s="120"/>
      <c r="AS4323" s="121"/>
      <c r="AT4323" s="120"/>
      <c r="AU4323" s="121"/>
      <c r="AV4323" s="120"/>
      <c r="AW4323" s="121"/>
      <c r="AX4323" s="120"/>
      <c r="AY4323" s="121"/>
      <c r="AZ4323" s="138"/>
    </row>
    <row r="4324" spans="1:52" ht="17.100000000000001" customHeight="1" thickTop="1">
      <c r="A4324" s="109" t="s">
        <v>13126</v>
      </c>
      <c r="B4324" s="28">
        <v>46002</v>
      </c>
      <c r="C4324" s="25">
        <v>1310</v>
      </c>
      <c r="D4324" s="13" t="s">
        <v>1825</v>
      </c>
      <c r="E4324" s="111"/>
      <c r="F4324" s="113" t="s">
        <v>13133</v>
      </c>
      <c r="G4324" s="114"/>
      <c r="H4324" s="115"/>
      <c r="I4324" s="24"/>
      <c r="J4324" s="116">
        <v>4.5</v>
      </c>
      <c r="K4324" s="118">
        <v>2815000</v>
      </c>
      <c r="L4324" s="119"/>
      <c r="M4324" s="118">
        <f t="shared" ref="M4324" si="4621">K4324*0.1</f>
        <v>281500</v>
      </c>
      <c r="N4324" s="119"/>
      <c r="O4324" s="118">
        <v>0</v>
      </c>
      <c r="P4324" s="119"/>
      <c r="Q4324" s="118">
        <v>12550</v>
      </c>
      <c r="R4324" s="119"/>
      <c r="S4324" s="118">
        <v>14300</v>
      </c>
      <c r="T4324" s="119"/>
      <c r="U4324" s="118">
        <f t="shared" ref="U4324" si="4622">SUM(K4324:T4325)</f>
        <v>3123350</v>
      </c>
      <c r="V4324" s="122"/>
      <c r="W4324" s="124"/>
      <c r="X4324" s="126" t="s">
        <v>13659</v>
      </c>
      <c r="Y4324" s="127"/>
      <c r="Z4324" s="127"/>
      <c r="AA4324" s="127"/>
      <c r="AB4324" s="128"/>
      <c r="AC4324" s="15" t="s">
        <v>20</v>
      </c>
      <c r="AD4324" s="129" t="s">
        <v>1633</v>
      </c>
      <c r="AE4324" s="130"/>
      <c r="AF4324" s="130"/>
      <c r="AG4324" s="130"/>
      <c r="AH4324" s="130"/>
      <c r="AI4324" s="131"/>
      <c r="AJ4324" s="132"/>
      <c r="AK4324" s="127"/>
      <c r="AL4324" s="128"/>
      <c r="AM4324" s="21"/>
      <c r="AN4324" s="133">
        <v>46015</v>
      </c>
      <c r="AO4324" s="134"/>
      <c r="AP4324" s="135">
        <v>998</v>
      </c>
      <c r="AQ4324" s="136"/>
      <c r="AR4324" s="118">
        <v>2900000</v>
      </c>
      <c r="AS4324" s="119"/>
      <c r="AT4324" s="118">
        <f t="shared" ref="AT4324" si="4623">AR4324*0.1</f>
        <v>290000</v>
      </c>
      <c r="AU4324" s="119"/>
      <c r="AV4324" s="118">
        <v>12550</v>
      </c>
      <c r="AW4324" s="119"/>
      <c r="AX4324" s="118">
        <f t="shared" ref="AX4324" si="4624">SUM(AR4324:AW4324)</f>
        <v>3202550</v>
      </c>
      <c r="AY4324" s="119"/>
      <c r="AZ4324" s="137">
        <v>46027</v>
      </c>
    </row>
    <row r="4325" spans="1:52" ht="17.100000000000001" customHeight="1" thickBot="1">
      <c r="A4325" s="110"/>
      <c r="B4325" s="27" t="s">
        <v>1747</v>
      </c>
      <c r="C4325" s="27">
        <v>759</v>
      </c>
      <c r="D4325" s="14" t="s">
        <v>275</v>
      </c>
      <c r="E4325" s="112"/>
      <c r="F4325" s="139" t="s">
        <v>13135</v>
      </c>
      <c r="G4325" s="140"/>
      <c r="H4325" s="141"/>
      <c r="I4325" s="26">
        <v>28692</v>
      </c>
      <c r="J4325" s="117"/>
      <c r="K4325" s="120"/>
      <c r="L4325" s="121"/>
      <c r="M4325" s="120"/>
      <c r="N4325" s="121"/>
      <c r="O4325" s="120"/>
      <c r="P4325" s="121"/>
      <c r="Q4325" s="120"/>
      <c r="R4325" s="121"/>
      <c r="S4325" s="120"/>
      <c r="T4325" s="121"/>
      <c r="U4325" s="120"/>
      <c r="V4325" s="123"/>
      <c r="W4325" s="125"/>
      <c r="X4325" s="142" t="s">
        <v>9059</v>
      </c>
      <c r="Y4325" s="143"/>
      <c r="Z4325" s="143"/>
      <c r="AA4325" s="143"/>
      <c r="AB4325" s="144"/>
      <c r="AC4325" s="16" t="s">
        <v>21</v>
      </c>
      <c r="AD4325" s="17" t="s">
        <v>1783</v>
      </c>
      <c r="AE4325" s="145" t="s">
        <v>1742</v>
      </c>
      <c r="AF4325" s="146"/>
      <c r="AG4325" s="146"/>
      <c r="AH4325" s="146"/>
      <c r="AI4325" s="147"/>
      <c r="AJ4325" s="148"/>
      <c r="AK4325" s="143"/>
      <c r="AL4325" s="144"/>
      <c r="AM4325" s="22"/>
      <c r="AN4325" s="149" t="s">
        <v>2794</v>
      </c>
      <c r="AO4325" s="144"/>
      <c r="AP4325" s="148">
        <v>6057</v>
      </c>
      <c r="AQ4325" s="144"/>
      <c r="AR4325" s="120"/>
      <c r="AS4325" s="121"/>
      <c r="AT4325" s="120"/>
      <c r="AU4325" s="121"/>
      <c r="AV4325" s="120"/>
      <c r="AW4325" s="121"/>
      <c r="AX4325" s="120"/>
      <c r="AY4325" s="121"/>
      <c r="AZ4325" s="138"/>
    </row>
    <row r="4326" spans="1:52" ht="17.100000000000001" customHeight="1" thickTop="1">
      <c r="A4326" s="109" t="s">
        <v>13129</v>
      </c>
      <c r="B4326" s="28">
        <v>46002</v>
      </c>
      <c r="C4326" s="25">
        <v>1310</v>
      </c>
      <c r="D4326" s="13" t="s">
        <v>2036</v>
      </c>
      <c r="E4326" s="111"/>
      <c r="F4326" s="113" t="s">
        <v>13136</v>
      </c>
      <c r="G4326" s="114"/>
      <c r="H4326" s="115"/>
      <c r="I4326" s="24" t="s">
        <v>2526</v>
      </c>
      <c r="J4326" s="116">
        <v>4.5</v>
      </c>
      <c r="K4326" s="118">
        <v>3420000</v>
      </c>
      <c r="L4326" s="119"/>
      <c r="M4326" s="118">
        <f t="shared" ref="M4326" si="4625">K4326*0.1</f>
        <v>342000</v>
      </c>
      <c r="N4326" s="119"/>
      <c r="O4326" s="118">
        <f>10800+1080</f>
        <v>11880</v>
      </c>
      <c r="P4326" s="119"/>
      <c r="Q4326" s="118">
        <v>14930</v>
      </c>
      <c r="R4326" s="119"/>
      <c r="S4326" s="118">
        <v>14300</v>
      </c>
      <c r="T4326" s="119"/>
      <c r="U4326" s="118">
        <f t="shared" ref="U4326" si="4626">SUM(K4326:T4327)</f>
        <v>3803110</v>
      </c>
      <c r="V4326" s="122"/>
      <c r="W4326" s="124"/>
      <c r="X4326" s="126" t="s">
        <v>13138</v>
      </c>
      <c r="Y4326" s="127"/>
      <c r="Z4326" s="127"/>
      <c r="AA4326" s="127"/>
      <c r="AB4326" s="128"/>
      <c r="AC4326" s="15" t="s">
        <v>20</v>
      </c>
      <c r="AD4326" s="129" t="s">
        <v>1633</v>
      </c>
      <c r="AE4326" s="130"/>
      <c r="AF4326" s="130"/>
      <c r="AG4326" s="130"/>
      <c r="AH4326" s="130"/>
      <c r="AI4326" s="131"/>
      <c r="AJ4326" s="132"/>
      <c r="AK4326" s="127"/>
      <c r="AL4326" s="128"/>
      <c r="AM4326" s="21"/>
      <c r="AN4326" s="133">
        <v>46008</v>
      </c>
      <c r="AO4326" s="134"/>
      <c r="AP4326" s="135">
        <v>997</v>
      </c>
      <c r="AQ4326" s="136"/>
      <c r="AR4326" s="118">
        <v>3580000</v>
      </c>
      <c r="AS4326" s="119"/>
      <c r="AT4326" s="118">
        <f t="shared" ref="AT4326" si="4627">AR4326*0.1</f>
        <v>358000</v>
      </c>
      <c r="AU4326" s="119"/>
      <c r="AV4326" s="118">
        <v>14930</v>
      </c>
      <c r="AW4326" s="119"/>
      <c r="AX4326" s="118">
        <f t="shared" ref="AX4326" si="4628">SUM(AR4326:AW4326)</f>
        <v>3952930</v>
      </c>
      <c r="AY4326" s="119"/>
      <c r="AZ4326" s="137">
        <v>46013</v>
      </c>
    </row>
    <row r="4327" spans="1:52" ht="17.100000000000001" customHeight="1" thickBot="1">
      <c r="A4327" s="110"/>
      <c r="B4327" s="27" t="s">
        <v>1747</v>
      </c>
      <c r="C4327" s="27">
        <v>766</v>
      </c>
      <c r="D4327" s="14" t="s">
        <v>2601</v>
      </c>
      <c r="E4327" s="112"/>
      <c r="F4327" s="139" t="s">
        <v>13137</v>
      </c>
      <c r="G4327" s="140"/>
      <c r="H4327" s="141"/>
      <c r="I4327" s="26">
        <v>39667</v>
      </c>
      <c r="J4327" s="117"/>
      <c r="K4327" s="120"/>
      <c r="L4327" s="121"/>
      <c r="M4327" s="120"/>
      <c r="N4327" s="121"/>
      <c r="O4327" s="120"/>
      <c r="P4327" s="121"/>
      <c r="Q4327" s="120"/>
      <c r="R4327" s="121"/>
      <c r="S4327" s="120"/>
      <c r="T4327" s="121"/>
      <c r="U4327" s="120"/>
      <c r="V4327" s="123"/>
      <c r="W4327" s="125"/>
      <c r="X4327" s="142" t="s">
        <v>1861</v>
      </c>
      <c r="Y4327" s="143"/>
      <c r="Z4327" s="143"/>
      <c r="AA4327" s="143"/>
      <c r="AB4327" s="144"/>
      <c r="AC4327" s="16" t="s">
        <v>21</v>
      </c>
      <c r="AD4327" s="17" t="s">
        <v>1783</v>
      </c>
      <c r="AE4327" s="145" t="s">
        <v>13631</v>
      </c>
      <c r="AF4327" s="146"/>
      <c r="AG4327" s="146"/>
      <c r="AH4327" s="146"/>
      <c r="AI4327" s="147"/>
      <c r="AJ4327" s="148"/>
      <c r="AK4327" s="143"/>
      <c r="AL4327" s="144"/>
      <c r="AM4327" s="22"/>
      <c r="AN4327" s="149" t="s">
        <v>2794</v>
      </c>
      <c r="AO4327" s="144"/>
      <c r="AP4327" s="148">
        <v>5037</v>
      </c>
      <c r="AQ4327" s="144"/>
      <c r="AR4327" s="120"/>
      <c r="AS4327" s="121"/>
      <c r="AT4327" s="120"/>
      <c r="AU4327" s="121"/>
      <c r="AV4327" s="120"/>
      <c r="AW4327" s="121"/>
      <c r="AX4327" s="120"/>
      <c r="AY4327" s="121"/>
      <c r="AZ4327" s="138"/>
    </row>
    <row r="4328" spans="1:52" ht="17.100000000000001" customHeight="1" thickTop="1">
      <c r="A4328" s="109" t="s">
        <v>13186</v>
      </c>
      <c r="B4328" s="28">
        <v>46002</v>
      </c>
      <c r="C4328" s="25"/>
      <c r="D4328" s="13" t="s">
        <v>3705</v>
      </c>
      <c r="E4328" s="111"/>
      <c r="F4328" s="113" t="s">
        <v>13188</v>
      </c>
      <c r="G4328" s="114"/>
      <c r="H4328" s="115"/>
      <c r="I4328" s="24" t="s">
        <v>2943</v>
      </c>
      <c r="J4328" s="116"/>
      <c r="K4328" s="118">
        <v>0</v>
      </c>
      <c r="L4328" s="119"/>
      <c r="M4328" s="118">
        <f t="shared" ref="M4328" si="4629">K4328*0.1</f>
        <v>0</v>
      </c>
      <c r="N4328" s="119"/>
      <c r="O4328" s="118">
        <v>0</v>
      </c>
      <c r="P4328" s="119"/>
      <c r="Q4328" s="118">
        <v>0</v>
      </c>
      <c r="R4328" s="119"/>
      <c r="S4328" s="118">
        <v>0</v>
      </c>
      <c r="T4328" s="119"/>
      <c r="U4328" s="118">
        <f t="shared" ref="U4328" si="4630">SUM(K4328:T4329)</f>
        <v>0</v>
      </c>
      <c r="V4328" s="122"/>
      <c r="W4328" s="124"/>
      <c r="X4328" s="126" t="s">
        <v>13190</v>
      </c>
      <c r="Y4328" s="127"/>
      <c r="Z4328" s="127"/>
      <c r="AA4328" s="127"/>
      <c r="AB4328" s="128"/>
      <c r="AC4328" s="15" t="s">
        <v>20</v>
      </c>
      <c r="AD4328" s="129"/>
      <c r="AE4328" s="130"/>
      <c r="AF4328" s="130"/>
      <c r="AG4328" s="130"/>
      <c r="AH4328" s="130"/>
      <c r="AI4328" s="131"/>
      <c r="AJ4328" s="132"/>
      <c r="AK4328" s="127"/>
      <c r="AL4328" s="128"/>
      <c r="AM4328" s="21"/>
      <c r="AN4328" s="133">
        <v>46092</v>
      </c>
      <c r="AO4328" s="134"/>
      <c r="AP4328" s="135">
        <v>1008</v>
      </c>
      <c r="AQ4328" s="136"/>
      <c r="AR4328" s="118">
        <v>116000</v>
      </c>
      <c r="AS4328" s="119"/>
      <c r="AT4328" s="118">
        <f t="shared" ref="AT4328" si="4631">AR4328*0.1</f>
        <v>11600</v>
      </c>
      <c r="AU4328" s="119"/>
      <c r="AV4328" s="118">
        <v>16380</v>
      </c>
      <c r="AW4328" s="119"/>
      <c r="AX4328" s="118">
        <f t="shared" ref="AX4328" si="4632">SUM(AR4328:AW4328)</f>
        <v>143980</v>
      </c>
      <c r="AY4328" s="119"/>
      <c r="AZ4328" s="137">
        <v>46098</v>
      </c>
    </row>
    <row r="4329" spans="1:52" ht="17.100000000000001" customHeight="1" thickBot="1">
      <c r="A4329" s="110"/>
      <c r="B4329" s="27" t="s">
        <v>13187</v>
      </c>
      <c r="C4329" s="27"/>
      <c r="D4329" s="14"/>
      <c r="E4329" s="112"/>
      <c r="F4329" s="139" t="s">
        <v>13189</v>
      </c>
      <c r="G4329" s="140"/>
      <c r="H4329" s="141"/>
      <c r="I4329" s="26"/>
      <c r="J4329" s="117"/>
      <c r="K4329" s="120"/>
      <c r="L4329" s="121"/>
      <c r="M4329" s="120"/>
      <c r="N4329" s="121"/>
      <c r="O4329" s="120"/>
      <c r="P4329" s="121"/>
      <c r="Q4329" s="120"/>
      <c r="R4329" s="121"/>
      <c r="S4329" s="120"/>
      <c r="T4329" s="121"/>
      <c r="U4329" s="120"/>
      <c r="V4329" s="123"/>
      <c r="W4329" s="125"/>
      <c r="X4329" s="142" t="s">
        <v>13191</v>
      </c>
      <c r="Y4329" s="143"/>
      <c r="Z4329" s="143"/>
      <c r="AA4329" s="143"/>
      <c r="AB4329" s="144"/>
      <c r="AC4329" s="16" t="s">
        <v>21</v>
      </c>
      <c r="AD4329" s="17" t="s">
        <v>12921</v>
      </c>
      <c r="AE4329" s="145" t="s">
        <v>1605</v>
      </c>
      <c r="AF4329" s="146"/>
      <c r="AG4329" s="146"/>
      <c r="AH4329" s="146"/>
      <c r="AI4329" s="147"/>
      <c r="AJ4329" s="148"/>
      <c r="AK4329" s="143"/>
      <c r="AL4329" s="144"/>
      <c r="AM4329" s="22" t="s">
        <v>3483</v>
      </c>
      <c r="AN4329" s="149" t="s">
        <v>19938</v>
      </c>
      <c r="AO4329" s="144"/>
      <c r="AP4329" s="148">
        <v>9090</v>
      </c>
      <c r="AQ4329" s="144"/>
      <c r="AR4329" s="120"/>
      <c r="AS4329" s="121"/>
      <c r="AT4329" s="120"/>
      <c r="AU4329" s="121"/>
      <c r="AV4329" s="120"/>
      <c r="AW4329" s="121"/>
      <c r="AX4329" s="120"/>
      <c r="AY4329" s="121"/>
      <c r="AZ4329" s="138"/>
    </row>
    <row r="4330" spans="1:52" ht="17.100000000000001" customHeight="1" thickTop="1">
      <c r="A4330" s="109" t="s">
        <v>13201</v>
      </c>
      <c r="B4330" s="28">
        <v>46003</v>
      </c>
      <c r="C4330" s="25">
        <v>1771</v>
      </c>
      <c r="D4330" s="13" t="s">
        <v>2298</v>
      </c>
      <c r="E4330" s="111"/>
      <c r="F4330" s="113" t="s">
        <v>13130</v>
      </c>
      <c r="G4330" s="114"/>
      <c r="H4330" s="115"/>
      <c r="I4330" s="24"/>
      <c r="J4330" s="116">
        <v>4</v>
      </c>
      <c r="K4330" s="118">
        <v>1575000</v>
      </c>
      <c r="L4330" s="119"/>
      <c r="M4330" s="118">
        <f t="shared" ref="M4330" si="4633">K4330*0.1</f>
        <v>157500</v>
      </c>
      <c r="N4330" s="119"/>
      <c r="O4330" s="118">
        <v>0</v>
      </c>
      <c r="P4330" s="119"/>
      <c r="Q4330" s="118">
        <v>20630</v>
      </c>
      <c r="R4330" s="119"/>
      <c r="S4330" s="118">
        <v>16500</v>
      </c>
      <c r="T4330" s="119"/>
      <c r="U4330" s="118">
        <f t="shared" ref="U4330" si="4634">SUM(K4330:T4331)</f>
        <v>1769630</v>
      </c>
      <c r="V4330" s="122"/>
      <c r="W4330" s="124"/>
      <c r="X4330" s="126" t="s">
        <v>13656</v>
      </c>
      <c r="Y4330" s="127"/>
      <c r="Z4330" s="127"/>
      <c r="AA4330" s="127"/>
      <c r="AB4330" s="128"/>
      <c r="AC4330" s="15" t="s">
        <v>20</v>
      </c>
      <c r="AD4330" s="129" t="s">
        <v>2781</v>
      </c>
      <c r="AE4330" s="130"/>
      <c r="AF4330" s="130"/>
      <c r="AG4330" s="130"/>
      <c r="AH4330" s="130"/>
      <c r="AI4330" s="131"/>
      <c r="AJ4330" s="132"/>
      <c r="AK4330" s="127"/>
      <c r="AL4330" s="128"/>
      <c r="AM4330" s="21"/>
      <c r="AN4330" s="133">
        <v>46067</v>
      </c>
      <c r="AO4330" s="134"/>
      <c r="AP4330" s="135">
        <v>1288</v>
      </c>
      <c r="AQ4330" s="136"/>
      <c r="AR4330" s="118">
        <v>1700000</v>
      </c>
      <c r="AS4330" s="119"/>
      <c r="AT4330" s="118">
        <f t="shared" ref="AT4330" si="4635">AR4330*0.1</f>
        <v>170000</v>
      </c>
      <c r="AU4330" s="119"/>
      <c r="AV4330" s="118">
        <v>20630</v>
      </c>
      <c r="AW4330" s="119"/>
      <c r="AX4330" s="118">
        <f t="shared" ref="AX4330" si="4636">SUM(AR4330:AW4330)</f>
        <v>1890630</v>
      </c>
      <c r="AY4330" s="119"/>
      <c r="AZ4330" s="137">
        <v>46070</v>
      </c>
    </row>
    <row r="4331" spans="1:52" ht="17.100000000000001" customHeight="1" thickBot="1">
      <c r="A4331" s="110"/>
      <c r="B4331" s="27" t="s">
        <v>2492</v>
      </c>
      <c r="C4331" s="27">
        <v>3481</v>
      </c>
      <c r="D4331" s="14" t="s">
        <v>1720</v>
      </c>
      <c r="E4331" s="112"/>
      <c r="F4331" s="139" t="s">
        <v>13139</v>
      </c>
      <c r="G4331" s="140"/>
      <c r="H4331" s="141"/>
      <c r="I4331" s="26">
        <v>60170</v>
      </c>
      <c r="J4331" s="117"/>
      <c r="K4331" s="120"/>
      <c r="L4331" s="121"/>
      <c r="M4331" s="120"/>
      <c r="N4331" s="121"/>
      <c r="O4331" s="120"/>
      <c r="P4331" s="121"/>
      <c r="Q4331" s="120"/>
      <c r="R4331" s="121"/>
      <c r="S4331" s="120"/>
      <c r="T4331" s="121"/>
      <c r="U4331" s="120"/>
      <c r="V4331" s="123"/>
      <c r="W4331" s="125"/>
      <c r="X4331" s="142" t="s">
        <v>4711</v>
      </c>
      <c r="Y4331" s="143"/>
      <c r="Z4331" s="143"/>
      <c r="AA4331" s="143"/>
      <c r="AB4331" s="144"/>
      <c r="AC4331" s="16" t="s">
        <v>21</v>
      </c>
      <c r="AD4331" s="17" t="s">
        <v>1783</v>
      </c>
      <c r="AE4331" s="145" t="s">
        <v>1742</v>
      </c>
      <c r="AF4331" s="146"/>
      <c r="AG4331" s="146"/>
      <c r="AH4331" s="146"/>
      <c r="AI4331" s="147"/>
      <c r="AJ4331" s="148"/>
      <c r="AK4331" s="143"/>
      <c r="AL4331" s="144"/>
      <c r="AM4331" s="22"/>
      <c r="AN4331" s="149" t="s">
        <v>2511</v>
      </c>
      <c r="AO4331" s="144"/>
      <c r="AP4331" s="148">
        <v>80117</v>
      </c>
      <c r="AQ4331" s="144"/>
      <c r="AR4331" s="120"/>
      <c r="AS4331" s="121"/>
      <c r="AT4331" s="120"/>
      <c r="AU4331" s="121"/>
      <c r="AV4331" s="120"/>
      <c r="AW4331" s="121"/>
      <c r="AX4331" s="120"/>
      <c r="AY4331" s="121"/>
      <c r="AZ4331" s="138"/>
    </row>
    <row r="4332" spans="1:52" ht="17.100000000000001" customHeight="1" thickTop="1">
      <c r="A4332" s="109" t="s">
        <v>13202</v>
      </c>
      <c r="B4332" s="28">
        <v>46003</v>
      </c>
      <c r="C4332" s="25">
        <v>270</v>
      </c>
      <c r="D4332" s="13" t="s">
        <v>3386</v>
      </c>
      <c r="E4332" s="111"/>
      <c r="F4332" s="113" t="s">
        <v>13140</v>
      </c>
      <c r="G4332" s="114"/>
      <c r="H4332" s="115"/>
      <c r="I4332" s="24"/>
      <c r="J4332" s="116">
        <v>5</v>
      </c>
      <c r="K4332" s="118">
        <v>534000</v>
      </c>
      <c r="L4332" s="119"/>
      <c r="M4332" s="118">
        <f t="shared" ref="M4332" si="4637">K4332*0.1</f>
        <v>53400</v>
      </c>
      <c r="N4332" s="119"/>
      <c r="O4332" s="118">
        <v>0</v>
      </c>
      <c r="P4332" s="119"/>
      <c r="Q4332" s="118">
        <v>7140</v>
      </c>
      <c r="R4332" s="119"/>
      <c r="S4332" s="118">
        <v>22000</v>
      </c>
      <c r="T4332" s="119"/>
      <c r="U4332" s="118">
        <f t="shared" ref="U4332" si="4638">SUM(K4332:T4333)</f>
        <v>616540</v>
      </c>
      <c r="V4332" s="122"/>
      <c r="W4332" s="124"/>
      <c r="X4332" s="126" t="s">
        <v>13554</v>
      </c>
      <c r="Y4332" s="127"/>
      <c r="Z4332" s="127"/>
      <c r="AA4332" s="127"/>
      <c r="AB4332" s="128"/>
      <c r="AC4332" s="15" t="s">
        <v>20</v>
      </c>
      <c r="AD4332" s="129" t="s">
        <v>2259</v>
      </c>
      <c r="AE4332" s="130"/>
      <c r="AF4332" s="130"/>
      <c r="AG4332" s="130"/>
      <c r="AH4332" s="130"/>
      <c r="AI4332" s="131"/>
      <c r="AJ4332" s="132"/>
      <c r="AK4332" s="127"/>
      <c r="AL4332" s="128"/>
      <c r="AM4332" s="21"/>
      <c r="AN4332" s="133">
        <v>46050</v>
      </c>
      <c r="AO4332" s="134"/>
      <c r="AP4332" s="135">
        <v>1002</v>
      </c>
      <c r="AQ4332" s="136"/>
      <c r="AR4332" s="118">
        <v>585000</v>
      </c>
      <c r="AS4332" s="119"/>
      <c r="AT4332" s="118">
        <f t="shared" ref="AT4332" si="4639">AR4332*0.1</f>
        <v>58500</v>
      </c>
      <c r="AU4332" s="119"/>
      <c r="AV4332" s="118">
        <v>7140</v>
      </c>
      <c r="AW4332" s="119"/>
      <c r="AX4332" s="118">
        <f t="shared" ref="AX4332" si="4640">SUM(AR4332:AW4332)</f>
        <v>650640</v>
      </c>
      <c r="AY4332" s="119"/>
      <c r="AZ4332" s="137">
        <v>46055</v>
      </c>
    </row>
    <row r="4333" spans="1:52" ht="17.100000000000001" customHeight="1" thickBot="1">
      <c r="A4333" s="110"/>
      <c r="B4333" s="27" t="s">
        <v>3957</v>
      </c>
      <c r="C4333" s="27">
        <v>10</v>
      </c>
      <c r="D4333" s="14" t="s">
        <v>2601</v>
      </c>
      <c r="E4333" s="112"/>
      <c r="F4333" s="139" t="s">
        <v>13141</v>
      </c>
      <c r="G4333" s="140"/>
      <c r="H4333" s="141"/>
      <c r="I4333" s="26">
        <v>45941</v>
      </c>
      <c r="J4333" s="117"/>
      <c r="K4333" s="120"/>
      <c r="L4333" s="121"/>
      <c r="M4333" s="120"/>
      <c r="N4333" s="121"/>
      <c r="O4333" s="120"/>
      <c r="P4333" s="121"/>
      <c r="Q4333" s="120"/>
      <c r="R4333" s="121"/>
      <c r="S4333" s="120"/>
      <c r="T4333" s="121"/>
      <c r="U4333" s="120"/>
      <c r="V4333" s="123"/>
      <c r="W4333" s="125"/>
      <c r="X4333" s="142" t="s">
        <v>12403</v>
      </c>
      <c r="Y4333" s="143"/>
      <c r="Z4333" s="143"/>
      <c r="AA4333" s="143"/>
      <c r="AB4333" s="144"/>
      <c r="AC4333" s="16" t="s">
        <v>21</v>
      </c>
      <c r="AD4333" s="17" t="s">
        <v>1757</v>
      </c>
      <c r="AE4333" s="145" t="s">
        <v>15370</v>
      </c>
      <c r="AF4333" s="146"/>
      <c r="AG4333" s="146"/>
      <c r="AH4333" s="146"/>
      <c r="AI4333" s="147"/>
      <c r="AJ4333" s="148"/>
      <c r="AK4333" s="143"/>
      <c r="AL4333" s="144"/>
      <c r="AM4333" s="22"/>
      <c r="AN4333" s="149" t="s">
        <v>2794</v>
      </c>
      <c r="AO4333" s="144"/>
      <c r="AP4333" s="148">
        <v>2014</v>
      </c>
      <c r="AQ4333" s="144"/>
      <c r="AR4333" s="120"/>
      <c r="AS4333" s="121"/>
      <c r="AT4333" s="120"/>
      <c r="AU4333" s="121"/>
      <c r="AV4333" s="120"/>
      <c r="AW4333" s="121"/>
      <c r="AX4333" s="120"/>
      <c r="AY4333" s="121"/>
      <c r="AZ4333" s="138"/>
    </row>
    <row r="4334" spans="1:52" ht="17.100000000000001" customHeight="1" thickTop="1">
      <c r="A4334" s="109" t="s">
        <v>13203</v>
      </c>
      <c r="B4334" s="28">
        <v>46003</v>
      </c>
      <c r="C4334" s="25">
        <v>270</v>
      </c>
      <c r="D4334" s="13" t="s">
        <v>1823</v>
      </c>
      <c r="E4334" s="111"/>
      <c r="F4334" s="113" t="s">
        <v>13142</v>
      </c>
      <c r="G4334" s="114"/>
      <c r="H4334" s="115"/>
      <c r="I4334" s="24" t="s">
        <v>4193</v>
      </c>
      <c r="J4334" s="116">
        <v>4</v>
      </c>
      <c r="K4334" s="118">
        <v>180000</v>
      </c>
      <c r="L4334" s="119"/>
      <c r="M4334" s="118">
        <f t="shared" ref="M4334" si="4641">K4334*0.1</f>
        <v>18000</v>
      </c>
      <c r="N4334" s="119"/>
      <c r="O4334" s="118">
        <v>0</v>
      </c>
      <c r="P4334" s="119"/>
      <c r="Q4334" s="118">
        <v>9770</v>
      </c>
      <c r="R4334" s="119"/>
      <c r="S4334" s="118">
        <v>22000</v>
      </c>
      <c r="T4334" s="119"/>
      <c r="U4334" s="118">
        <f t="shared" ref="U4334" si="4642">SUM(K4334:T4335)</f>
        <v>229770</v>
      </c>
      <c r="V4334" s="122"/>
      <c r="W4334" s="124"/>
      <c r="X4334" s="126" t="s">
        <v>13144</v>
      </c>
      <c r="Y4334" s="127"/>
      <c r="Z4334" s="127"/>
      <c r="AA4334" s="127"/>
      <c r="AB4334" s="128"/>
      <c r="AC4334" s="15" t="s">
        <v>20</v>
      </c>
      <c r="AD4334" s="129"/>
      <c r="AE4334" s="130"/>
      <c r="AF4334" s="130"/>
      <c r="AG4334" s="130"/>
      <c r="AH4334" s="130"/>
      <c r="AI4334" s="131"/>
      <c r="AJ4334" s="132"/>
      <c r="AK4334" s="127"/>
      <c r="AL4334" s="128"/>
      <c r="AM4334" s="21"/>
      <c r="AN4334" s="133">
        <v>46008</v>
      </c>
      <c r="AO4334" s="134"/>
      <c r="AP4334" s="135">
        <v>997</v>
      </c>
      <c r="AQ4334" s="136"/>
      <c r="AR4334" s="118">
        <v>350000</v>
      </c>
      <c r="AS4334" s="119"/>
      <c r="AT4334" s="118">
        <f t="shared" ref="AT4334" si="4643">AR4334*0.1</f>
        <v>35000</v>
      </c>
      <c r="AU4334" s="119"/>
      <c r="AV4334" s="118">
        <v>9770</v>
      </c>
      <c r="AW4334" s="119"/>
      <c r="AX4334" s="118">
        <f t="shared" ref="AX4334" si="4644">SUM(AR4334:AW4334)</f>
        <v>394770</v>
      </c>
      <c r="AY4334" s="119"/>
      <c r="AZ4334" s="137">
        <v>46014</v>
      </c>
    </row>
    <row r="4335" spans="1:52" ht="17.100000000000001" customHeight="1" thickBot="1">
      <c r="A4335" s="110"/>
      <c r="B4335" s="27" t="s">
        <v>3957</v>
      </c>
      <c r="C4335" s="27">
        <v>35</v>
      </c>
      <c r="D4335" s="14" t="s">
        <v>1576</v>
      </c>
      <c r="E4335" s="112"/>
      <c r="F4335" s="139" t="s">
        <v>13143</v>
      </c>
      <c r="G4335" s="140"/>
      <c r="H4335" s="141"/>
      <c r="I4335" s="26">
        <v>62594</v>
      </c>
      <c r="J4335" s="117"/>
      <c r="K4335" s="120"/>
      <c r="L4335" s="121"/>
      <c r="M4335" s="120"/>
      <c r="N4335" s="121"/>
      <c r="O4335" s="120"/>
      <c r="P4335" s="121"/>
      <c r="Q4335" s="120"/>
      <c r="R4335" s="121"/>
      <c r="S4335" s="120"/>
      <c r="T4335" s="121"/>
      <c r="U4335" s="120"/>
      <c r="V4335" s="123"/>
      <c r="W4335" s="125"/>
      <c r="X4335" s="142" t="s">
        <v>13648</v>
      </c>
      <c r="Y4335" s="143"/>
      <c r="Z4335" s="143"/>
      <c r="AA4335" s="143"/>
      <c r="AB4335" s="144"/>
      <c r="AC4335" s="16" t="s">
        <v>21</v>
      </c>
      <c r="AD4335" s="17" t="s">
        <v>1783</v>
      </c>
      <c r="AE4335" s="145"/>
      <c r="AF4335" s="146"/>
      <c r="AG4335" s="146"/>
      <c r="AH4335" s="146"/>
      <c r="AI4335" s="147"/>
      <c r="AJ4335" s="148"/>
      <c r="AK4335" s="143"/>
      <c r="AL4335" s="144"/>
      <c r="AM4335" s="22"/>
      <c r="AN4335" s="149" t="s">
        <v>2794</v>
      </c>
      <c r="AO4335" s="144"/>
      <c r="AP4335" s="148">
        <v>2035</v>
      </c>
      <c r="AQ4335" s="144"/>
      <c r="AR4335" s="120"/>
      <c r="AS4335" s="121"/>
      <c r="AT4335" s="120"/>
      <c r="AU4335" s="121"/>
      <c r="AV4335" s="120"/>
      <c r="AW4335" s="121"/>
      <c r="AX4335" s="120"/>
      <c r="AY4335" s="121"/>
      <c r="AZ4335" s="138"/>
    </row>
    <row r="4336" spans="1:52" ht="17.100000000000001" customHeight="1" thickTop="1">
      <c r="A4336" s="109" t="s">
        <v>13204</v>
      </c>
      <c r="B4336" s="28">
        <v>46003</v>
      </c>
      <c r="C4336" s="25">
        <v>270</v>
      </c>
      <c r="D4336" s="13" t="s">
        <v>3324</v>
      </c>
      <c r="E4336" s="111"/>
      <c r="F4336" s="113" t="s">
        <v>9226</v>
      </c>
      <c r="G4336" s="114"/>
      <c r="H4336" s="115"/>
      <c r="I4336" s="24" t="s">
        <v>2584</v>
      </c>
      <c r="J4336" s="116">
        <v>4.5</v>
      </c>
      <c r="K4336" s="118">
        <v>1305000</v>
      </c>
      <c r="L4336" s="119"/>
      <c r="M4336" s="118">
        <f t="shared" ref="M4336" si="4645">K4336*0.1</f>
        <v>130500</v>
      </c>
      <c r="N4336" s="119"/>
      <c r="O4336" s="118">
        <v>0</v>
      </c>
      <c r="P4336" s="119"/>
      <c r="Q4336" s="118">
        <v>7230</v>
      </c>
      <c r="R4336" s="119"/>
      <c r="S4336" s="118">
        <v>22000</v>
      </c>
      <c r="T4336" s="119"/>
      <c r="U4336" s="118">
        <f t="shared" ref="U4336" si="4646">SUM(K4336:T4337)</f>
        <v>1464730</v>
      </c>
      <c r="V4336" s="122"/>
      <c r="W4336" s="124"/>
      <c r="X4336" s="126" t="s">
        <v>13146</v>
      </c>
      <c r="Y4336" s="127"/>
      <c r="Z4336" s="127"/>
      <c r="AA4336" s="127"/>
      <c r="AB4336" s="128"/>
      <c r="AC4336" s="15" t="s">
        <v>20</v>
      </c>
      <c r="AD4336" s="129"/>
      <c r="AE4336" s="130"/>
      <c r="AF4336" s="130"/>
      <c r="AG4336" s="130"/>
      <c r="AH4336" s="130"/>
      <c r="AI4336" s="131"/>
      <c r="AJ4336" s="132"/>
      <c r="AK4336" s="127"/>
      <c r="AL4336" s="128"/>
      <c r="AM4336" s="21" t="s">
        <v>14926</v>
      </c>
      <c r="AN4336" s="133">
        <v>46035</v>
      </c>
      <c r="AO4336" s="134"/>
      <c r="AP4336" s="135">
        <v>1924</v>
      </c>
      <c r="AQ4336" s="136"/>
      <c r="AR4336" s="118">
        <v>1376000</v>
      </c>
      <c r="AS4336" s="119"/>
      <c r="AT4336" s="118">
        <f t="shared" ref="AT4336" si="4647">AR4336*0.1</f>
        <v>137600</v>
      </c>
      <c r="AU4336" s="119"/>
      <c r="AV4336" s="118">
        <v>7230</v>
      </c>
      <c r="AW4336" s="119"/>
      <c r="AX4336" s="118">
        <f t="shared" ref="AX4336" si="4648">SUM(AR4336:AW4336)</f>
        <v>1520830</v>
      </c>
      <c r="AY4336" s="119"/>
      <c r="AZ4336" s="137"/>
    </row>
    <row r="4337" spans="1:52" ht="17.100000000000001" customHeight="1" thickBot="1">
      <c r="A4337" s="110"/>
      <c r="B4337" s="27" t="s">
        <v>3957</v>
      </c>
      <c r="C4337" s="27">
        <v>40</v>
      </c>
      <c r="D4337" s="14" t="s">
        <v>133</v>
      </c>
      <c r="E4337" s="112"/>
      <c r="F4337" s="139" t="s">
        <v>13145</v>
      </c>
      <c r="G4337" s="140"/>
      <c r="H4337" s="141"/>
      <c r="I4337" s="26">
        <v>3718</v>
      </c>
      <c r="J4337" s="117"/>
      <c r="K4337" s="120"/>
      <c r="L4337" s="121"/>
      <c r="M4337" s="120"/>
      <c r="N4337" s="121"/>
      <c r="O4337" s="120"/>
      <c r="P4337" s="121"/>
      <c r="Q4337" s="120"/>
      <c r="R4337" s="121"/>
      <c r="S4337" s="120"/>
      <c r="T4337" s="121"/>
      <c r="U4337" s="120"/>
      <c r="V4337" s="123"/>
      <c r="W4337" s="125"/>
      <c r="X4337" s="142" t="s">
        <v>13758</v>
      </c>
      <c r="Y4337" s="143"/>
      <c r="Z4337" s="143"/>
      <c r="AA4337" s="143"/>
      <c r="AB4337" s="144"/>
      <c r="AC4337" s="16" t="s">
        <v>21</v>
      </c>
      <c r="AD4337" s="17" t="s">
        <v>1783</v>
      </c>
      <c r="AE4337" s="145"/>
      <c r="AF4337" s="146"/>
      <c r="AG4337" s="146"/>
      <c r="AH4337" s="146"/>
      <c r="AI4337" s="147"/>
      <c r="AJ4337" s="148"/>
      <c r="AK4337" s="143"/>
      <c r="AL4337" s="144"/>
      <c r="AM4337" s="22"/>
      <c r="AN4337" s="149" t="s">
        <v>2131</v>
      </c>
      <c r="AO4337" s="144"/>
      <c r="AP4337" s="148">
        <v>3129</v>
      </c>
      <c r="AQ4337" s="144"/>
      <c r="AR4337" s="120"/>
      <c r="AS4337" s="121"/>
      <c r="AT4337" s="120"/>
      <c r="AU4337" s="121"/>
      <c r="AV4337" s="120"/>
      <c r="AW4337" s="121"/>
      <c r="AX4337" s="120"/>
      <c r="AY4337" s="121"/>
      <c r="AZ4337" s="138"/>
    </row>
    <row r="4338" spans="1:52" ht="17.100000000000001" customHeight="1" thickTop="1">
      <c r="A4338" s="109" t="s">
        <v>13207</v>
      </c>
      <c r="B4338" s="28">
        <v>46003</v>
      </c>
      <c r="C4338" s="25">
        <v>76</v>
      </c>
      <c r="D4338" s="13" t="s">
        <v>2689</v>
      </c>
      <c r="E4338" s="111"/>
      <c r="F4338" s="113" t="s">
        <v>13157</v>
      </c>
      <c r="G4338" s="114"/>
      <c r="H4338" s="115"/>
      <c r="I4338" s="24" t="s">
        <v>2533</v>
      </c>
      <c r="J4338" s="116">
        <v>4</v>
      </c>
      <c r="K4338" s="118">
        <v>555000</v>
      </c>
      <c r="L4338" s="119"/>
      <c r="M4338" s="118">
        <f t="shared" ref="M4338" si="4649">K4338*0.1</f>
        <v>55500</v>
      </c>
      <c r="N4338" s="119"/>
      <c r="O4338" s="118">
        <v>0</v>
      </c>
      <c r="P4338" s="119"/>
      <c r="Q4338" s="118">
        <v>7140</v>
      </c>
      <c r="R4338" s="119"/>
      <c r="S4338" s="118">
        <v>33000</v>
      </c>
      <c r="T4338" s="119"/>
      <c r="U4338" s="118">
        <f t="shared" ref="U4338" si="4650">SUM(K4338:T4339)</f>
        <v>650640</v>
      </c>
      <c r="V4338" s="122"/>
      <c r="W4338" s="124"/>
      <c r="X4338" s="126" t="s">
        <v>14985</v>
      </c>
      <c r="Y4338" s="127"/>
      <c r="Z4338" s="127"/>
      <c r="AA4338" s="127"/>
      <c r="AB4338" s="128"/>
      <c r="AC4338" s="15" t="s">
        <v>20</v>
      </c>
      <c r="AD4338" s="129" t="s">
        <v>11929</v>
      </c>
      <c r="AE4338" s="130"/>
      <c r="AF4338" s="130"/>
      <c r="AG4338" s="130"/>
      <c r="AH4338" s="130"/>
      <c r="AI4338" s="131"/>
      <c r="AJ4338" s="132"/>
      <c r="AK4338" s="127"/>
      <c r="AL4338" s="128"/>
      <c r="AM4338" s="21" t="s">
        <v>15050</v>
      </c>
      <c r="AN4338" s="133">
        <v>46035</v>
      </c>
      <c r="AO4338" s="134"/>
      <c r="AP4338" s="135">
        <v>1924</v>
      </c>
      <c r="AQ4338" s="136"/>
      <c r="AR4338" s="118">
        <v>692000</v>
      </c>
      <c r="AS4338" s="119"/>
      <c r="AT4338" s="118">
        <f t="shared" ref="AT4338" si="4651">AR4338*0.1</f>
        <v>69200</v>
      </c>
      <c r="AU4338" s="119"/>
      <c r="AV4338" s="118">
        <v>7140</v>
      </c>
      <c r="AW4338" s="119"/>
      <c r="AX4338" s="118">
        <f t="shared" ref="AX4338" si="4652">SUM(AR4338:AW4338)</f>
        <v>768340</v>
      </c>
      <c r="AY4338" s="119"/>
      <c r="AZ4338" s="137"/>
    </row>
    <row r="4339" spans="1:52" ht="17.100000000000001" customHeight="1" thickBot="1">
      <c r="A4339" s="110"/>
      <c r="B4339" s="27" t="s">
        <v>4544</v>
      </c>
      <c r="C4339" s="27">
        <v>1017</v>
      </c>
      <c r="D4339" s="14" t="s">
        <v>904</v>
      </c>
      <c r="E4339" s="112"/>
      <c r="F4339" s="139" t="s">
        <v>13147</v>
      </c>
      <c r="G4339" s="140"/>
      <c r="H4339" s="141"/>
      <c r="I4339" s="26">
        <v>16772</v>
      </c>
      <c r="J4339" s="117"/>
      <c r="K4339" s="120"/>
      <c r="L4339" s="121"/>
      <c r="M4339" s="120"/>
      <c r="N4339" s="121"/>
      <c r="O4339" s="120"/>
      <c r="P4339" s="121"/>
      <c r="Q4339" s="120"/>
      <c r="R4339" s="121"/>
      <c r="S4339" s="120"/>
      <c r="T4339" s="121"/>
      <c r="U4339" s="120"/>
      <c r="V4339" s="123"/>
      <c r="W4339" s="125"/>
      <c r="X4339" s="142" t="s">
        <v>14986</v>
      </c>
      <c r="Y4339" s="143"/>
      <c r="Z4339" s="143"/>
      <c r="AA4339" s="143"/>
      <c r="AB4339" s="144"/>
      <c r="AC4339" s="16" t="s">
        <v>21</v>
      </c>
      <c r="AD4339" s="17" t="s">
        <v>1815</v>
      </c>
      <c r="AE4339" s="145" t="s">
        <v>1633</v>
      </c>
      <c r="AF4339" s="146"/>
      <c r="AG4339" s="146"/>
      <c r="AH4339" s="146"/>
      <c r="AI4339" s="147"/>
      <c r="AJ4339" s="148"/>
      <c r="AK4339" s="143"/>
      <c r="AL4339" s="144"/>
      <c r="AM4339" s="22"/>
      <c r="AN4339" s="149" t="s">
        <v>2131</v>
      </c>
      <c r="AO4339" s="144"/>
      <c r="AP4339" s="148">
        <v>3025</v>
      </c>
      <c r="AQ4339" s="144"/>
      <c r="AR4339" s="120"/>
      <c r="AS4339" s="121"/>
      <c r="AT4339" s="120"/>
      <c r="AU4339" s="121"/>
      <c r="AV4339" s="120"/>
      <c r="AW4339" s="121"/>
      <c r="AX4339" s="120"/>
      <c r="AY4339" s="121"/>
      <c r="AZ4339" s="138"/>
    </row>
    <row r="4340" spans="1:52" ht="17.100000000000001" customHeight="1" thickTop="1">
      <c r="A4340" s="109" t="s">
        <v>13208</v>
      </c>
      <c r="B4340" s="28">
        <v>46003</v>
      </c>
      <c r="C4340" s="25">
        <v>76</v>
      </c>
      <c r="D4340" s="13" t="s">
        <v>1688</v>
      </c>
      <c r="E4340" s="111"/>
      <c r="F4340" s="113" t="s">
        <v>13206</v>
      </c>
      <c r="G4340" s="114"/>
      <c r="H4340" s="115"/>
      <c r="I4340" s="24" t="s">
        <v>3399</v>
      </c>
      <c r="J4340" s="116">
        <v>4</v>
      </c>
      <c r="K4340" s="118">
        <v>2260000</v>
      </c>
      <c r="L4340" s="119"/>
      <c r="M4340" s="118">
        <f t="shared" ref="M4340" si="4653">K4340*0.1</f>
        <v>226000</v>
      </c>
      <c r="N4340" s="119"/>
      <c r="O4340" s="118">
        <f>14200+1420</f>
        <v>15620</v>
      </c>
      <c r="P4340" s="119"/>
      <c r="Q4340" s="118">
        <v>15890</v>
      </c>
      <c r="R4340" s="119"/>
      <c r="S4340" s="118">
        <v>66000</v>
      </c>
      <c r="T4340" s="119"/>
      <c r="U4340" s="118">
        <f t="shared" ref="U4340" si="4654">SUM(K4340:T4341)</f>
        <v>2583510</v>
      </c>
      <c r="V4340" s="122"/>
      <c r="W4340" s="124"/>
      <c r="X4340" s="126" t="s">
        <v>16972</v>
      </c>
      <c r="Y4340" s="127"/>
      <c r="Z4340" s="127"/>
      <c r="AA4340" s="127"/>
      <c r="AB4340" s="128"/>
      <c r="AC4340" s="15" t="s">
        <v>20</v>
      </c>
      <c r="AD4340" s="129" t="s">
        <v>11397</v>
      </c>
      <c r="AE4340" s="130"/>
      <c r="AF4340" s="130"/>
      <c r="AG4340" s="130"/>
      <c r="AH4340" s="130"/>
      <c r="AI4340" s="131"/>
      <c r="AJ4340" s="132"/>
      <c r="AK4340" s="127"/>
      <c r="AL4340" s="128"/>
      <c r="AM4340" s="21"/>
      <c r="AN4340" s="133">
        <v>46074</v>
      </c>
      <c r="AO4340" s="134"/>
      <c r="AP4340" s="135">
        <v>1289</v>
      </c>
      <c r="AQ4340" s="136"/>
      <c r="AR4340" s="118">
        <v>2420000</v>
      </c>
      <c r="AS4340" s="119"/>
      <c r="AT4340" s="118">
        <f t="shared" ref="AT4340" si="4655">AR4340*0.1</f>
        <v>242000</v>
      </c>
      <c r="AU4340" s="119"/>
      <c r="AV4340" s="118">
        <v>15890</v>
      </c>
      <c r="AW4340" s="119"/>
      <c r="AX4340" s="118">
        <f t="shared" ref="AX4340" si="4656">SUM(AR4340:AW4340)</f>
        <v>2677890</v>
      </c>
      <c r="AY4340" s="119"/>
      <c r="AZ4340" s="137">
        <v>46079</v>
      </c>
    </row>
    <row r="4341" spans="1:52" ht="17.100000000000001" customHeight="1" thickBot="1">
      <c r="A4341" s="110"/>
      <c r="B4341" s="27" t="s">
        <v>13205</v>
      </c>
      <c r="C4341" s="27">
        <v>1033</v>
      </c>
      <c r="D4341" s="14" t="s">
        <v>133</v>
      </c>
      <c r="E4341" s="112"/>
      <c r="F4341" s="139" t="s">
        <v>13306</v>
      </c>
      <c r="G4341" s="140"/>
      <c r="H4341" s="141"/>
      <c r="I4341" s="26">
        <v>34847</v>
      </c>
      <c r="J4341" s="117"/>
      <c r="K4341" s="120"/>
      <c r="L4341" s="121"/>
      <c r="M4341" s="120"/>
      <c r="N4341" s="121"/>
      <c r="O4341" s="120"/>
      <c r="P4341" s="121"/>
      <c r="Q4341" s="120"/>
      <c r="R4341" s="121"/>
      <c r="S4341" s="120"/>
      <c r="T4341" s="121"/>
      <c r="U4341" s="120"/>
      <c r="V4341" s="123"/>
      <c r="W4341" s="125"/>
      <c r="X4341" s="142" t="s">
        <v>13389</v>
      </c>
      <c r="Y4341" s="143"/>
      <c r="Z4341" s="143"/>
      <c r="AA4341" s="143"/>
      <c r="AB4341" s="144"/>
      <c r="AC4341" s="16" t="s">
        <v>21</v>
      </c>
      <c r="AD4341" s="17" t="s">
        <v>3550</v>
      </c>
      <c r="AE4341" s="145" t="s">
        <v>4134</v>
      </c>
      <c r="AF4341" s="146"/>
      <c r="AG4341" s="146"/>
      <c r="AH4341" s="146"/>
      <c r="AI4341" s="147"/>
      <c r="AJ4341" s="148"/>
      <c r="AK4341" s="143"/>
      <c r="AL4341" s="144"/>
      <c r="AM4341" s="22"/>
      <c r="AN4341" s="149" t="s">
        <v>2511</v>
      </c>
      <c r="AO4341" s="144"/>
      <c r="AP4341" s="148">
        <v>127</v>
      </c>
      <c r="AQ4341" s="144"/>
      <c r="AR4341" s="120"/>
      <c r="AS4341" s="121"/>
      <c r="AT4341" s="120"/>
      <c r="AU4341" s="121"/>
      <c r="AV4341" s="120"/>
      <c r="AW4341" s="121"/>
      <c r="AX4341" s="120"/>
      <c r="AY4341" s="121"/>
      <c r="AZ4341" s="138"/>
    </row>
    <row r="4342" spans="1:52" ht="17.100000000000001" customHeight="1" thickTop="1">
      <c r="A4342" s="109" t="s">
        <v>13209</v>
      </c>
      <c r="B4342" s="28">
        <v>46003</v>
      </c>
      <c r="C4342" s="25">
        <v>76</v>
      </c>
      <c r="D4342" s="13" t="s">
        <v>859</v>
      </c>
      <c r="E4342" s="111"/>
      <c r="F4342" s="113" t="s">
        <v>13158</v>
      </c>
      <c r="G4342" s="114"/>
      <c r="H4342" s="115"/>
      <c r="I4342" s="24" t="s">
        <v>2976</v>
      </c>
      <c r="J4342" s="116">
        <v>4</v>
      </c>
      <c r="K4342" s="118">
        <v>1000000</v>
      </c>
      <c r="L4342" s="119"/>
      <c r="M4342" s="118">
        <f t="shared" ref="M4342" si="4657">K4342*0.1</f>
        <v>100000</v>
      </c>
      <c r="N4342" s="119"/>
      <c r="O4342" s="118">
        <v>0</v>
      </c>
      <c r="P4342" s="119"/>
      <c r="Q4342" s="118">
        <v>7510</v>
      </c>
      <c r="R4342" s="119"/>
      <c r="S4342" s="118">
        <v>44000</v>
      </c>
      <c r="T4342" s="119"/>
      <c r="U4342" s="118">
        <f t="shared" ref="U4342" si="4658">SUM(K4342:T4343)</f>
        <v>1151510</v>
      </c>
      <c r="V4342" s="122"/>
      <c r="W4342" s="124"/>
      <c r="X4342" s="126" t="s">
        <v>14693</v>
      </c>
      <c r="Y4342" s="127"/>
      <c r="Z4342" s="127"/>
      <c r="AA4342" s="127"/>
      <c r="AB4342" s="128"/>
      <c r="AC4342" s="15" t="s">
        <v>20</v>
      </c>
      <c r="AD4342" s="129" t="s">
        <v>11397</v>
      </c>
      <c r="AE4342" s="130"/>
      <c r="AF4342" s="130"/>
      <c r="AG4342" s="130"/>
      <c r="AH4342" s="130"/>
      <c r="AI4342" s="131"/>
      <c r="AJ4342" s="132"/>
      <c r="AK4342" s="127"/>
      <c r="AL4342" s="128"/>
      <c r="AM4342" s="21" t="s">
        <v>15051</v>
      </c>
      <c r="AN4342" s="133">
        <v>46035</v>
      </c>
      <c r="AO4342" s="134"/>
      <c r="AP4342" s="135">
        <v>1924</v>
      </c>
      <c r="AQ4342" s="136"/>
      <c r="AR4342" s="118">
        <v>1125000</v>
      </c>
      <c r="AS4342" s="119"/>
      <c r="AT4342" s="118">
        <f t="shared" ref="AT4342" si="4659">AR4342*0.1</f>
        <v>112500</v>
      </c>
      <c r="AU4342" s="119"/>
      <c r="AV4342" s="118">
        <v>7510</v>
      </c>
      <c r="AW4342" s="119"/>
      <c r="AX4342" s="118">
        <f t="shared" ref="AX4342" si="4660">SUM(AR4342:AW4342)</f>
        <v>1245010</v>
      </c>
      <c r="AY4342" s="119"/>
      <c r="AZ4342" s="137">
        <v>46042</v>
      </c>
    </row>
    <row r="4343" spans="1:52" ht="17.100000000000001" customHeight="1" thickBot="1">
      <c r="A4343" s="110"/>
      <c r="B4343" s="27" t="s">
        <v>4544</v>
      </c>
      <c r="C4343" s="27">
        <v>1062</v>
      </c>
      <c r="D4343" s="14" t="s">
        <v>275</v>
      </c>
      <c r="E4343" s="112"/>
      <c r="F4343" s="139" t="s">
        <v>13148</v>
      </c>
      <c r="G4343" s="140"/>
      <c r="H4343" s="141"/>
      <c r="I4343" s="26">
        <v>9570</v>
      </c>
      <c r="J4343" s="117"/>
      <c r="K4343" s="120"/>
      <c r="L4343" s="121"/>
      <c r="M4343" s="120"/>
      <c r="N4343" s="121"/>
      <c r="O4343" s="120"/>
      <c r="P4343" s="121"/>
      <c r="Q4343" s="120"/>
      <c r="R4343" s="121"/>
      <c r="S4343" s="120"/>
      <c r="T4343" s="121"/>
      <c r="U4343" s="120"/>
      <c r="V4343" s="123"/>
      <c r="W4343" s="125"/>
      <c r="X4343" s="142" t="s">
        <v>14694</v>
      </c>
      <c r="Y4343" s="143"/>
      <c r="Z4343" s="143"/>
      <c r="AA4343" s="143"/>
      <c r="AB4343" s="144"/>
      <c r="AC4343" s="16" t="s">
        <v>21</v>
      </c>
      <c r="AD4343" s="17" t="s">
        <v>2949</v>
      </c>
      <c r="AE4343" s="145" t="s">
        <v>1633</v>
      </c>
      <c r="AF4343" s="146"/>
      <c r="AG4343" s="146"/>
      <c r="AH4343" s="146"/>
      <c r="AI4343" s="147"/>
      <c r="AJ4343" s="148"/>
      <c r="AK4343" s="143"/>
      <c r="AL4343" s="144"/>
      <c r="AM4343" s="22"/>
      <c r="AN4343" s="149" t="s">
        <v>2131</v>
      </c>
      <c r="AO4343" s="144"/>
      <c r="AP4343" s="148">
        <v>3431</v>
      </c>
      <c r="AQ4343" s="144"/>
      <c r="AR4343" s="120"/>
      <c r="AS4343" s="121"/>
      <c r="AT4343" s="120"/>
      <c r="AU4343" s="121"/>
      <c r="AV4343" s="120"/>
      <c r="AW4343" s="121"/>
      <c r="AX4343" s="120"/>
      <c r="AY4343" s="121"/>
      <c r="AZ4343" s="138"/>
    </row>
    <row r="4344" spans="1:52" ht="17.100000000000001" customHeight="1" thickTop="1">
      <c r="A4344" s="109" t="s">
        <v>13210</v>
      </c>
      <c r="B4344" s="28">
        <v>46003</v>
      </c>
      <c r="C4344" s="25">
        <v>76</v>
      </c>
      <c r="D4344" s="13" t="s">
        <v>3296</v>
      </c>
      <c r="E4344" s="111"/>
      <c r="F4344" s="113" t="s">
        <v>4251</v>
      </c>
      <c r="G4344" s="114"/>
      <c r="H4344" s="115"/>
      <c r="I4344" s="24" t="s">
        <v>2976</v>
      </c>
      <c r="J4344" s="116">
        <v>4</v>
      </c>
      <c r="K4344" s="118">
        <v>455000</v>
      </c>
      <c r="L4344" s="119"/>
      <c r="M4344" s="118">
        <f t="shared" ref="M4344" si="4661">K4344*0.1</f>
        <v>45500</v>
      </c>
      <c r="N4344" s="119"/>
      <c r="O4344" s="118">
        <v>0</v>
      </c>
      <c r="P4344" s="119"/>
      <c r="Q4344" s="118">
        <v>9790</v>
      </c>
      <c r="R4344" s="119"/>
      <c r="S4344" s="118">
        <v>33000</v>
      </c>
      <c r="T4344" s="119"/>
      <c r="U4344" s="118">
        <f t="shared" ref="U4344" si="4662">SUM(K4344:T4345)</f>
        <v>543290</v>
      </c>
      <c r="V4344" s="122"/>
      <c r="W4344" s="124"/>
      <c r="X4344" s="126" t="s">
        <v>14404</v>
      </c>
      <c r="Y4344" s="127"/>
      <c r="Z4344" s="127"/>
      <c r="AA4344" s="127"/>
      <c r="AB4344" s="128"/>
      <c r="AC4344" s="15" t="s">
        <v>20</v>
      </c>
      <c r="AD4344" s="129" t="s">
        <v>11397</v>
      </c>
      <c r="AE4344" s="130"/>
      <c r="AF4344" s="130"/>
      <c r="AG4344" s="130"/>
      <c r="AH4344" s="130"/>
      <c r="AI4344" s="131"/>
      <c r="AJ4344" s="132"/>
      <c r="AK4344" s="127"/>
      <c r="AL4344" s="128"/>
      <c r="AM4344" s="21" t="s">
        <v>14514</v>
      </c>
      <c r="AN4344" s="133">
        <v>46035</v>
      </c>
      <c r="AO4344" s="134"/>
      <c r="AP4344" s="135">
        <v>1924</v>
      </c>
      <c r="AQ4344" s="136"/>
      <c r="AR4344" s="118">
        <v>652000</v>
      </c>
      <c r="AS4344" s="119"/>
      <c r="AT4344" s="118">
        <f t="shared" ref="AT4344" si="4663">AR4344*0.1</f>
        <v>65200</v>
      </c>
      <c r="AU4344" s="119"/>
      <c r="AV4344" s="118">
        <v>9790</v>
      </c>
      <c r="AW4344" s="119"/>
      <c r="AX4344" s="118">
        <f t="shared" ref="AX4344" si="4664">SUM(AR4344:AW4344)</f>
        <v>726990</v>
      </c>
      <c r="AY4344" s="119"/>
      <c r="AZ4344" s="137"/>
    </row>
    <row r="4345" spans="1:52" ht="17.100000000000001" customHeight="1" thickBot="1">
      <c r="A4345" s="110"/>
      <c r="B4345" s="27" t="s">
        <v>4544</v>
      </c>
      <c r="C4345" s="27">
        <v>1070</v>
      </c>
      <c r="D4345" s="14" t="s">
        <v>2601</v>
      </c>
      <c r="E4345" s="112"/>
      <c r="F4345" s="139" t="s">
        <v>13149</v>
      </c>
      <c r="G4345" s="140"/>
      <c r="H4345" s="141"/>
      <c r="I4345" s="26">
        <v>58536</v>
      </c>
      <c r="J4345" s="117"/>
      <c r="K4345" s="120"/>
      <c r="L4345" s="121"/>
      <c r="M4345" s="120"/>
      <c r="N4345" s="121"/>
      <c r="O4345" s="120"/>
      <c r="P4345" s="121"/>
      <c r="Q4345" s="120"/>
      <c r="R4345" s="121"/>
      <c r="S4345" s="120"/>
      <c r="T4345" s="121"/>
      <c r="U4345" s="120"/>
      <c r="V4345" s="123"/>
      <c r="W4345" s="125"/>
      <c r="X4345" s="142" t="s">
        <v>14405</v>
      </c>
      <c r="Y4345" s="143"/>
      <c r="Z4345" s="143"/>
      <c r="AA4345" s="143"/>
      <c r="AB4345" s="144"/>
      <c r="AC4345" s="16" t="s">
        <v>21</v>
      </c>
      <c r="AD4345" s="17" t="s">
        <v>14399</v>
      </c>
      <c r="AE4345" s="145" t="s">
        <v>2395</v>
      </c>
      <c r="AF4345" s="146"/>
      <c r="AG4345" s="146"/>
      <c r="AH4345" s="146"/>
      <c r="AI4345" s="147"/>
      <c r="AJ4345" s="148"/>
      <c r="AK4345" s="143"/>
      <c r="AL4345" s="144"/>
      <c r="AM4345" s="22"/>
      <c r="AN4345" s="149" t="s">
        <v>2131</v>
      </c>
      <c r="AO4345" s="144"/>
      <c r="AP4345" s="148">
        <v>3051</v>
      </c>
      <c r="AQ4345" s="144"/>
      <c r="AR4345" s="120"/>
      <c r="AS4345" s="121"/>
      <c r="AT4345" s="120"/>
      <c r="AU4345" s="121"/>
      <c r="AV4345" s="120"/>
      <c r="AW4345" s="121"/>
      <c r="AX4345" s="120"/>
      <c r="AY4345" s="121"/>
      <c r="AZ4345" s="138"/>
    </row>
    <row r="4346" spans="1:52" ht="17.100000000000001" customHeight="1" thickTop="1">
      <c r="A4346" s="109" t="s">
        <v>13211</v>
      </c>
      <c r="B4346" s="28">
        <v>46003</v>
      </c>
      <c r="C4346" s="25">
        <v>1185</v>
      </c>
      <c r="D4346" s="13" t="s">
        <v>2084</v>
      </c>
      <c r="E4346" s="111"/>
      <c r="F4346" s="113" t="s">
        <v>13150</v>
      </c>
      <c r="G4346" s="114"/>
      <c r="H4346" s="115"/>
      <c r="I4346" s="24" t="s">
        <v>3509</v>
      </c>
      <c r="J4346" s="116">
        <v>4.5</v>
      </c>
      <c r="K4346" s="118">
        <v>3415000</v>
      </c>
      <c r="L4346" s="119"/>
      <c r="M4346" s="118">
        <f t="shared" ref="M4346" si="4665">K4346*0.1</f>
        <v>341500</v>
      </c>
      <c r="N4346" s="119"/>
      <c r="O4346" s="118">
        <f>9000+900</f>
        <v>9900</v>
      </c>
      <c r="P4346" s="119"/>
      <c r="Q4346" s="118">
        <v>15290</v>
      </c>
      <c r="R4346" s="119"/>
      <c r="S4346" s="118">
        <v>16500</v>
      </c>
      <c r="T4346" s="119"/>
      <c r="U4346" s="118">
        <f t="shared" ref="U4346" si="4666">SUM(K4346:T4347)</f>
        <v>3798190</v>
      </c>
      <c r="V4346" s="122"/>
      <c r="W4346" s="124"/>
      <c r="X4346" s="126" t="s">
        <v>13152</v>
      </c>
      <c r="Y4346" s="127"/>
      <c r="Z4346" s="127"/>
      <c r="AA4346" s="127"/>
      <c r="AB4346" s="128"/>
      <c r="AC4346" s="15" t="s">
        <v>20</v>
      </c>
      <c r="AD4346" s="129" t="s">
        <v>171</v>
      </c>
      <c r="AE4346" s="130"/>
      <c r="AF4346" s="130"/>
      <c r="AG4346" s="130"/>
      <c r="AH4346" s="130"/>
      <c r="AI4346" s="131"/>
      <c r="AJ4346" s="132"/>
      <c r="AK4346" s="127"/>
      <c r="AL4346" s="128"/>
      <c r="AM4346" s="21"/>
      <c r="AN4346" s="133">
        <v>46032</v>
      </c>
      <c r="AO4346" s="134"/>
      <c r="AP4346" s="135"/>
      <c r="AQ4346" s="136"/>
      <c r="AR4346" s="118">
        <v>4200000</v>
      </c>
      <c r="AS4346" s="119"/>
      <c r="AT4346" s="118">
        <v>0</v>
      </c>
      <c r="AU4346" s="119"/>
      <c r="AV4346" s="118">
        <v>0</v>
      </c>
      <c r="AW4346" s="119"/>
      <c r="AX4346" s="118">
        <f t="shared" ref="AX4346" si="4667">SUM(AR4346:AW4346)</f>
        <v>4200000</v>
      </c>
      <c r="AY4346" s="119"/>
      <c r="AZ4346" s="137">
        <v>46058</v>
      </c>
    </row>
    <row r="4347" spans="1:52" ht="17.100000000000001" customHeight="1" thickBot="1">
      <c r="A4347" s="110"/>
      <c r="B4347" s="27" t="s">
        <v>1828</v>
      </c>
      <c r="C4347" s="27">
        <v>88070</v>
      </c>
      <c r="D4347" s="14" t="s">
        <v>275</v>
      </c>
      <c r="E4347" s="112"/>
      <c r="F4347" s="139" t="s">
        <v>13151</v>
      </c>
      <c r="G4347" s="140"/>
      <c r="H4347" s="141"/>
      <c r="I4347" s="26">
        <v>6184</v>
      </c>
      <c r="J4347" s="117"/>
      <c r="K4347" s="120"/>
      <c r="L4347" s="121"/>
      <c r="M4347" s="120"/>
      <c r="N4347" s="121"/>
      <c r="O4347" s="120"/>
      <c r="P4347" s="121"/>
      <c r="Q4347" s="120"/>
      <c r="R4347" s="121"/>
      <c r="S4347" s="120"/>
      <c r="T4347" s="121"/>
      <c r="U4347" s="120"/>
      <c r="V4347" s="123"/>
      <c r="W4347" s="125"/>
      <c r="X4347" s="142" t="s">
        <v>13651</v>
      </c>
      <c r="Y4347" s="143"/>
      <c r="Z4347" s="143"/>
      <c r="AA4347" s="143"/>
      <c r="AB4347" s="144"/>
      <c r="AC4347" s="16" t="s">
        <v>21</v>
      </c>
      <c r="AD4347" s="17" t="s">
        <v>1783</v>
      </c>
      <c r="AE4347" s="145" t="s">
        <v>1614</v>
      </c>
      <c r="AF4347" s="146"/>
      <c r="AG4347" s="146"/>
      <c r="AH4347" s="146"/>
      <c r="AI4347" s="147"/>
      <c r="AJ4347" s="148"/>
      <c r="AK4347" s="143"/>
      <c r="AL4347" s="144"/>
      <c r="AM4347" s="22"/>
      <c r="AN4347" s="149" t="s">
        <v>21628</v>
      </c>
      <c r="AO4347" s="144"/>
      <c r="AP4347" s="148"/>
      <c r="AQ4347" s="144"/>
      <c r="AR4347" s="120"/>
      <c r="AS4347" s="121"/>
      <c r="AT4347" s="120"/>
      <c r="AU4347" s="121"/>
      <c r="AV4347" s="120"/>
      <c r="AW4347" s="121"/>
      <c r="AX4347" s="120"/>
      <c r="AY4347" s="121"/>
      <c r="AZ4347" s="138"/>
    </row>
    <row r="4348" spans="1:52" ht="17.100000000000001" customHeight="1" thickTop="1">
      <c r="A4348" s="109" t="s">
        <v>13212</v>
      </c>
      <c r="B4348" s="28">
        <v>46003</v>
      </c>
      <c r="C4348" s="25">
        <v>2114</v>
      </c>
      <c r="D4348" s="13" t="s">
        <v>2298</v>
      </c>
      <c r="E4348" s="111"/>
      <c r="F4348" s="113" t="s">
        <v>13153</v>
      </c>
      <c r="G4348" s="114"/>
      <c r="H4348" s="115"/>
      <c r="I4348" s="24"/>
      <c r="J4348" s="116">
        <v>4</v>
      </c>
      <c r="K4348" s="118">
        <v>1790000</v>
      </c>
      <c r="L4348" s="119"/>
      <c r="M4348" s="118">
        <f t="shared" ref="M4348" si="4668">K4348*0.1</f>
        <v>179000</v>
      </c>
      <c r="N4348" s="119"/>
      <c r="O4348" s="118">
        <v>0</v>
      </c>
      <c r="P4348" s="119"/>
      <c r="Q4348" s="118">
        <v>21220</v>
      </c>
      <c r="R4348" s="119"/>
      <c r="S4348" s="118">
        <v>16500</v>
      </c>
      <c r="T4348" s="119"/>
      <c r="U4348" s="118">
        <f t="shared" ref="U4348" si="4669">SUM(K4348:T4349)</f>
        <v>2006720</v>
      </c>
      <c r="V4348" s="122"/>
      <c r="W4348" s="124"/>
      <c r="X4348" s="126" t="s">
        <v>13846</v>
      </c>
      <c r="Y4348" s="127"/>
      <c r="Z4348" s="127"/>
      <c r="AA4348" s="127"/>
      <c r="AB4348" s="128"/>
      <c r="AC4348" s="15" t="s">
        <v>20</v>
      </c>
      <c r="AD4348" s="129" t="s">
        <v>1565</v>
      </c>
      <c r="AE4348" s="130"/>
      <c r="AF4348" s="130"/>
      <c r="AG4348" s="130"/>
      <c r="AH4348" s="130"/>
      <c r="AI4348" s="131"/>
      <c r="AJ4348" s="132"/>
      <c r="AK4348" s="127"/>
      <c r="AL4348" s="128"/>
      <c r="AM4348" s="21"/>
      <c r="AN4348" s="133">
        <v>46009</v>
      </c>
      <c r="AO4348" s="134"/>
      <c r="AP4348" s="135">
        <v>1311</v>
      </c>
      <c r="AQ4348" s="136"/>
      <c r="AR4348" s="118">
        <v>1995000</v>
      </c>
      <c r="AS4348" s="119"/>
      <c r="AT4348" s="118">
        <f t="shared" ref="AT4348" si="4670">AR4348*0.1</f>
        <v>199500</v>
      </c>
      <c r="AU4348" s="119"/>
      <c r="AV4348" s="118">
        <v>21220</v>
      </c>
      <c r="AW4348" s="119"/>
      <c r="AX4348" s="118">
        <f t="shared" ref="AX4348" si="4671">SUM(AR4348:AW4348)</f>
        <v>2215720</v>
      </c>
      <c r="AY4348" s="119"/>
      <c r="AZ4348" s="137">
        <v>46010</v>
      </c>
    </row>
    <row r="4349" spans="1:52" ht="17.100000000000001" customHeight="1" thickBot="1">
      <c r="A4349" s="110"/>
      <c r="B4349" s="27" t="s">
        <v>1543</v>
      </c>
      <c r="C4349" s="27">
        <v>58240</v>
      </c>
      <c r="D4349" s="14" t="s">
        <v>133</v>
      </c>
      <c r="E4349" s="112"/>
      <c r="F4349" s="139" t="s">
        <v>13154</v>
      </c>
      <c r="G4349" s="140"/>
      <c r="H4349" s="141"/>
      <c r="I4349" s="26">
        <v>32315</v>
      </c>
      <c r="J4349" s="117"/>
      <c r="K4349" s="120"/>
      <c r="L4349" s="121"/>
      <c r="M4349" s="120"/>
      <c r="N4349" s="121"/>
      <c r="O4349" s="120"/>
      <c r="P4349" s="121"/>
      <c r="Q4349" s="120"/>
      <c r="R4349" s="121"/>
      <c r="S4349" s="120"/>
      <c r="T4349" s="121"/>
      <c r="U4349" s="120"/>
      <c r="V4349" s="123"/>
      <c r="W4349" s="125"/>
      <c r="X4349" s="142" t="s">
        <v>13847</v>
      </c>
      <c r="Y4349" s="143"/>
      <c r="Z4349" s="143"/>
      <c r="AA4349" s="143"/>
      <c r="AB4349" s="144"/>
      <c r="AC4349" s="16" t="s">
        <v>21</v>
      </c>
      <c r="AD4349" s="17" t="s">
        <v>13826</v>
      </c>
      <c r="AE4349" s="145" t="s">
        <v>13848</v>
      </c>
      <c r="AF4349" s="146"/>
      <c r="AG4349" s="146"/>
      <c r="AH4349" s="146"/>
      <c r="AI4349" s="147"/>
      <c r="AJ4349" s="148"/>
      <c r="AK4349" s="143"/>
      <c r="AL4349" s="144"/>
      <c r="AM4349" s="22"/>
      <c r="AN4349" s="149" t="s">
        <v>13663</v>
      </c>
      <c r="AO4349" s="144"/>
      <c r="AP4349" s="148">
        <v>50</v>
      </c>
      <c r="AQ4349" s="144"/>
      <c r="AR4349" s="120"/>
      <c r="AS4349" s="121"/>
      <c r="AT4349" s="120"/>
      <c r="AU4349" s="121"/>
      <c r="AV4349" s="120"/>
      <c r="AW4349" s="121"/>
      <c r="AX4349" s="120"/>
      <c r="AY4349" s="121"/>
      <c r="AZ4349" s="138"/>
    </row>
    <row r="4350" spans="1:52" ht="17.100000000000001" customHeight="1" thickTop="1">
      <c r="A4350" s="109" t="s">
        <v>13213</v>
      </c>
      <c r="B4350" s="28">
        <v>46003</v>
      </c>
      <c r="C4350" s="25">
        <v>2114</v>
      </c>
      <c r="D4350" s="13" t="s">
        <v>1902</v>
      </c>
      <c r="E4350" s="111"/>
      <c r="F4350" s="113" t="s">
        <v>13155</v>
      </c>
      <c r="G4350" s="114"/>
      <c r="H4350" s="115"/>
      <c r="I4350" s="24"/>
      <c r="J4350" s="116">
        <v>4.5</v>
      </c>
      <c r="K4350" s="118">
        <v>1500000</v>
      </c>
      <c r="L4350" s="119"/>
      <c r="M4350" s="118">
        <f t="shared" ref="M4350" si="4672">K4350*0.1</f>
        <v>150000</v>
      </c>
      <c r="N4350" s="119"/>
      <c r="O4350" s="118">
        <v>0</v>
      </c>
      <c r="P4350" s="119"/>
      <c r="Q4350" s="118">
        <v>20580</v>
      </c>
      <c r="R4350" s="119"/>
      <c r="S4350" s="118">
        <v>27500</v>
      </c>
      <c r="T4350" s="119"/>
      <c r="U4350" s="118">
        <f t="shared" ref="U4350" si="4673">SUM(K4350:T4351)</f>
        <v>1698080</v>
      </c>
      <c r="V4350" s="122"/>
      <c r="W4350" s="124"/>
      <c r="X4350" s="126" t="s">
        <v>13652</v>
      </c>
      <c r="Y4350" s="127"/>
      <c r="Z4350" s="127"/>
      <c r="AA4350" s="127"/>
      <c r="AB4350" s="128"/>
      <c r="AC4350" s="15" t="s">
        <v>20</v>
      </c>
      <c r="AD4350" s="129" t="s">
        <v>9484</v>
      </c>
      <c r="AE4350" s="130"/>
      <c r="AF4350" s="130"/>
      <c r="AG4350" s="130"/>
      <c r="AH4350" s="130"/>
      <c r="AI4350" s="131"/>
      <c r="AJ4350" s="132"/>
      <c r="AK4350" s="127"/>
      <c r="AL4350" s="128"/>
      <c r="AM4350" s="21"/>
      <c r="AN4350" s="133">
        <v>46074</v>
      </c>
      <c r="AO4350" s="134"/>
      <c r="AP4350" s="135">
        <v>1289</v>
      </c>
      <c r="AQ4350" s="136"/>
      <c r="AR4350" s="118">
        <v>1620000</v>
      </c>
      <c r="AS4350" s="119"/>
      <c r="AT4350" s="118">
        <f t="shared" ref="AT4350" si="4674">AR4350*0.1</f>
        <v>162000</v>
      </c>
      <c r="AU4350" s="119"/>
      <c r="AV4350" s="118">
        <v>20580</v>
      </c>
      <c r="AW4350" s="119"/>
      <c r="AX4350" s="118">
        <f t="shared" ref="AX4350" si="4675">SUM(AR4350:AW4350)</f>
        <v>1802580</v>
      </c>
      <c r="AY4350" s="119"/>
      <c r="AZ4350" s="137">
        <v>46077</v>
      </c>
    </row>
    <row r="4351" spans="1:52" ht="17.100000000000001" customHeight="1" thickBot="1">
      <c r="A4351" s="110"/>
      <c r="B4351" s="27" t="s">
        <v>1543</v>
      </c>
      <c r="C4351" s="27">
        <v>58389</v>
      </c>
      <c r="D4351" s="14" t="s">
        <v>55</v>
      </c>
      <c r="E4351" s="112"/>
      <c r="F4351" s="139" t="s">
        <v>13156</v>
      </c>
      <c r="G4351" s="140"/>
      <c r="H4351" s="141"/>
      <c r="I4351" s="26">
        <v>52652</v>
      </c>
      <c r="J4351" s="117"/>
      <c r="K4351" s="120"/>
      <c r="L4351" s="121"/>
      <c r="M4351" s="120"/>
      <c r="N4351" s="121"/>
      <c r="O4351" s="120"/>
      <c r="P4351" s="121"/>
      <c r="Q4351" s="120"/>
      <c r="R4351" s="121"/>
      <c r="S4351" s="120"/>
      <c r="T4351" s="121"/>
      <c r="U4351" s="120"/>
      <c r="V4351" s="123"/>
      <c r="W4351" s="125"/>
      <c r="X4351" s="142" t="s">
        <v>13653</v>
      </c>
      <c r="Y4351" s="143"/>
      <c r="Z4351" s="143"/>
      <c r="AA4351" s="143"/>
      <c r="AB4351" s="144"/>
      <c r="AC4351" s="16" t="s">
        <v>21</v>
      </c>
      <c r="AD4351" s="17" t="s">
        <v>1783</v>
      </c>
      <c r="AE4351" s="145" t="s">
        <v>13654</v>
      </c>
      <c r="AF4351" s="146"/>
      <c r="AG4351" s="146"/>
      <c r="AH4351" s="146"/>
      <c r="AI4351" s="147"/>
      <c r="AJ4351" s="148"/>
      <c r="AK4351" s="143"/>
      <c r="AL4351" s="144"/>
      <c r="AM4351" s="22"/>
      <c r="AN4351" s="149" t="s">
        <v>2511</v>
      </c>
      <c r="AO4351" s="144"/>
      <c r="AP4351" s="148">
        <v>80114</v>
      </c>
      <c r="AQ4351" s="144"/>
      <c r="AR4351" s="120"/>
      <c r="AS4351" s="121"/>
      <c r="AT4351" s="120"/>
      <c r="AU4351" s="121"/>
      <c r="AV4351" s="120"/>
      <c r="AW4351" s="121"/>
      <c r="AX4351" s="120"/>
      <c r="AY4351" s="121"/>
      <c r="AZ4351" s="138"/>
    </row>
    <row r="4352" spans="1:52" ht="17.100000000000001" customHeight="1" thickTop="1">
      <c r="A4352" s="151" t="s">
        <v>13214</v>
      </c>
      <c r="B4352" s="28">
        <v>46003</v>
      </c>
      <c r="C4352" s="25"/>
      <c r="D4352" s="13" t="s">
        <v>3461</v>
      </c>
      <c r="E4352" s="111"/>
      <c r="F4352" s="113" t="s">
        <v>13160</v>
      </c>
      <c r="G4352" s="114"/>
      <c r="H4352" s="115"/>
      <c r="I4352" s="24" t="s">
        <v>7686</v>
      </c>
      <c r="J4352" s="116">
        <v>4</v>
      </c>
      <c r="K4352" s="118">
        <f>2854500/1.1</f>
        <v>2595000</v>
      </c>
      <c r="L4352" s="119"/>
      <c r="M4352" s="118">
        <f t="shared" ref="M4352" si="4676">K4352*0.1</f>
        <v>259500</v>
      </c>
      <c r="N4352" s="119"/>
      <c r="O4352" s="118">
        <v>7200</v>
      </c>
      <c r="P4352" s="119"/>
      <c r="Q4352" s="118">
        <v>14660</v>
      </c>
      <c r="R4352" s="119"/>
      <c r="S4352" s="118">
        <v>0</v>
      </c>
      <c r="T4352" s="119"/>
      <c r="U4352" s="118">
        <f t="shared" ref="U4352" si="4677">SUM(K4352:T4353)</f>
        <v>2876360</v>
      </c>
      <c r="V4352" s="122"/>
      <c r="W4352" s="124"/>
      <c r="X4352" s="126" t="s">
        <v>15062</v>
      </c>
      <c r="Y4352" s="127"/>
      <c r="Z4352" s="127"/>
      <c r="AA4352" s="127"/>
      <c r="AB4352" s="128"/>
      <c r="AC4352" s="15" t="s">
        <v>20</v>
      </c>
      <c r="AD4352" s="129" t="s">
        <v>1945</v>
      </c>
      <c r="AE4352" s="130"/>
      <c r="AF4352" s="130"/>
      <c r="AG4352" s="130"/>
      <c r="AH4352" s="130"/>
      <c r="AI4352" s="131"/>
      <c r="AJ4352" s="132"/>
      <c r="AK4352" s="127"/>
      <c r="AL4352" s="128"/>
      <c r="AM4352" s="21"/>
      <c r="AN4352" s="133">
        <v>46032</v>
      </c>
      <c r="AO4352" s="134"/>
      <c r="AP4352" s="135">
        <v>1283</v>
      </c>
      <c r="AQ4352" s="136"/>
      <c r="AR4352" s="118">
        <v>2610000</v>
      </c>
      <c r="AS4352" s="119"/>
      <c r="AT4352" s="118">
        <v>261000</v>
      </c>
      <c r="AU4352" s="119"/>
      <c r="AV4352" s="118">
        <v>14660</v>
      </c>
      <c r="AW4352" s="119"/>
      <c r="AX4352" s="118">
        <f t="shared" ref="AX4352" si="4678">SUM(AR4352:AW4352)</f>
        <v>2885660</v>
      </c>
      <c r="AY4352" s="119"/>
      <c r="AZ4352" s="137">
        <v>46043</v>
      </c>
    </row>
    <row r="4353" spans="1:52" ht="17.100000000000001" customHeight="1" thickBot="1">
      <c r="A4353" s="152"/>
      <c r="B4353" s="27" t="s">
        <v>1718</v>
      </c>
      <c r="C4353" s="27" t="s">
        <v>13159</v>
      </c>
      <c r="D4353" s="14" t="s">
        <v>2601</v>
      </c>
      <c r="E4353" s="112"/>
      <c r="F4353" s="139" t="s">
        <v>13161</v>
      </c>
      <c r="G4353" s="140"/>
      <c r="H4353" s="141"/>
      <c r="I4353" s="26">
        <v>29717</v>
      </c>
      <c r="J4353" s="117"/>
      <c r="K4353" s="120"/>
      <c r="L4353" s="121"/>
      <c r="M4353" s="120"/>
      <c r="N4353" s="121"/>
      <c r="O4353" s="120"/>
      <c r="P4353" s="121"/>
      <c r="Q4353" s="120"/>
      <c r="R4353" s="121"/>
      <c r="S4353" s="120"/>
      <c r="T4353" s="121"/>
      <c r="U4353" s="120"/>
      <c r="V4353" s="123"/>
      <c r="W4353" s="125"/>
      <c r="X4353" s="142" t="s">
        <v>15063</v>
      </c>
      <c r="Y4353" s="143"/>
      <c r="Z4353" s="143"/>
      <c r="AA4353" s="143"/>
      <c r="AB4353" s="144"/>
      <c r="AC4353" s="16" t="s">
        <v>21</v>
      </c>
      <c r="AD4353" s="17" t="s">
        <v>15056</v>
      </c>
      <c r="AE4353" s="145" t="s">
        <v>15064</v>
      </c>
      <c r="AF4353" s="146"/>
      <c r="AG4353" s="146"/>
      <c r="AH4353" s="146"/>
      <c r="AI4353" s="147"/>
      <c r="AJ4353" s="148"/>
      <c r="AK4353" s="143"/>
      <c r="AL4353" s="144"/>
      <c r="AM4353" s="22"/>
      <c r="AN4353" s="149" t="s">
        <v>2511</v>
      </c>
      <c r="AO4353" s="144"/>
      <c r="AP4353" s="148">
        <v>37134</v>
      </c>
      <c r="AQ4353" s="144"/>
      <c r="AR4353" s="120"/>
      <c r="AS4353" s="121"/>
      <c r="AT4353" s="120"/>
      <c r="AU4353" s="121"/>
      <c r="AV4353" s="120"/>
      <c r="AW4353" s="121"/>
      <c r="AX4353" s="120"/>
      <c r="AY4353" s="121"/>
      <c r="AZ4353" s="138"/>
    </row>
    <row r="4354" spans="1:52" ht="17.100000000000001" customHeight="1" thickTop="1">
      <c r="A4354" s="109" t="s">
        <v>13215</v>
      </c>
      <c r="B4354" s="28">
        <v>46003</v>
      </c>
      <c r="C4354" s="25"/>
      <c r="D4354" s="13" t="s">
        <v>3921</v>
      </c>
      <c r="E4354" s="111"/>
      <c r="F4354" s="113" t="s">
        <v>13163</v>
      </c>
      <c r="G4354" s="114"/>
      <c r="H4354" s="115"/>
      <c r="I4354" s="24" t="s">
        <v>8874</v>
      </c>
      <c r="J4354" s="116">
        <v>4</v>
      </c>
      <c r="K4354" s="118">
        <f>2244000/1.1</f>
        <v>2039999.9999999998</v>
      </c>
      <c r="L4354" s="119"/>
      <c r="M4354" s="118">
        <f t="shared" ref="M4354" si="4679">K4354*0.1</f>
        <v>204000</v>
      </c>
      <c r="N4354" s="119"/>
      <c r="O4354" s="118">
        <v>5700</v>
      </c>
      <c r="P4354" s="119"/>
      <c r="Q4354" s="118">
        <v>10230</v>
      </c>
      <c r="R4354" s="119"/>
      <c r="S4354" s="118">
        <v>0</v>
      </c>
      <c r="T4354" s="119"/>
      <c r="U4354" s="118">
        <f t="shared" ref="U4354" si="4680">SUM(K4354:T4355)</f>
        <v>2259930</v>
      </c>
      <c r="V4354" s="122"/>
      <c r="W4354" s="124"/>
      <c r="X4354" s="126" t="s">
        <v>16720</v>
      </c>
      <c r="Y4354" s="127"/>
      <c r="Z4354" s="127"/>
      <c r="AA4354" s="127"/>
      <c r="AB4354" s="128"/>
      <c r="AC4354" s="15" t="s">
        <v>20</v>
      </c>
      <c r="AD4354" s="129" t="s">
        <v>1581</v>
      </c>
      <c r="AE4354" s="130"/>
      <c r="AF4354" s="130"/>
      <c r="AG4354" s="130"/>
      <c r="AH4354" s="130"/>
      <c r="AI4354" s="131"/>
      <c r="AJ4354" s="132"/>
      <c r="AK4354" s="127"/>
      <c r="AL4354" s="128"/>
      <c r="AM4354" s="21"/>
      <c r="AN4354" s="133">
        <v>46057</v>
      </c>
      <c r="AO4354" s="134"/>
      <c r="AP4354" s="135">
        <v>1003</v>
      </c>
      <c r="AQ4354" s="136"/>
      <c r="AR4354" s="118">
        <v>2335000</v>
      </c>
      <c r="AS4354" s="119"/>
      <c r="AT4354" s="118">
        <f t="shared" ref="AT4354" si="4681">AR4354*0.1</f>
        <v>233500</v>
      </c>
      <c r="AU4354" s="119"/>
      <c r="AV4354" s="118">
        <v>10230</v>
      </c>
      <c r="AW4354" s="119"/>
      <c r="AX4354" s="118">
        <f t="shared" ref="AX4354" si="4682">SUM(AR4354:AW4354)</f>
        <v>2578730</v>
      </c>
      <c r="AY4354" s="119"/>
      <c r="AZ4354" s="137">
        <v>46062</v>
      </c>
    </row>
    <row r="4355" spans="1:52" ht="17.100000000000001" customHeight="1" thickBot="1">
      <c r="A4355" s="110"/>
      <c r="B4355" s="27" t="s">
        <v>1718</v>
      </c>
      <c r="C4355" s="27" t="s">
        <v>13162</v>
      </c>
      <c r="D4355" s="14" t="s">
        <v>1592</v>
      </c>
      <c r="E4355" s="112"/>
      <c r="F4355" s="139" t="s">
        <v>13164</v>
      </c>
      <c r="G4355" s="140"/>
      <c r="H4355" s="141"/>
      <c r="I4355" s="26">
        <v>108133</v>
      </c>
      <c r="J4355" s="117"/>
      <c r="K4355" s="120"/>
      <c r="L4355" s="121"/>
      <c r="M4355" s="120"/>
      <c r="N4355" s="121"/>
      <c r="O4355" s="120"/>
      <c r="P4355" s="121"/>
      <c r="Q4355" s="120"/>
      <c r="R4355" s="121"/>
      <c r="S4355" s="120"/>
      <c r="T4355" s="121"/>
      <c r="U4355" s="120"/>
      <c r="V4355" s="123"/>
      <c r="W4355" s="125"/>
      <c r="X4355" s="142" t="s">
        <v>16721</v>
      </c>
      <c r="Y4355" s="143"/>
      <c r="Z4355" s="143"/>
      <c r="AA4355" s="143"/>
      <c r="AB4355" s="144"/>
      <c r="AC4355" s="16" t="s">
        <v>21</v>
      </c>
      <c r="AD4355" s="17" t="s">
        <v>2654</v>
      </c>
      <c r="AE4355" s="145" t="s">
        <v>1742</v>
      </c>
      <c r="AF4355" s="146"/>
      <c r="AG4355" s="146"/>
      <c r="AH4355" s="146"/>
      <c r="AI4355" s="147"/>
      <c r="AJ4355" s="148"/>
      <c r="AK4355" s="143"/>
      <c r="AL4355" s="144"/>
      <c r="AM4355" s="22"/>
      <c r="AN4355" s="149" t="s">
        <v>2794</v>
      </c>
      <c r="AO4355" s="144"/>
      <c r="AP4355" s="148">
        <v>1133</v>
      </c>
      <c r="AQ4355" s="144"/>
      <c r="AR4355" s="120"/>
      <c r="AS4355" s="121"/>
      <c r="AT4355" s="120"/>
      <c r="AU4355" s="121"/>
      <c r="AV4355" s="120"/>
      <c r="AW4355" s="121"/>
      <c r="AX4355" s="120"/>
      <c r="AY4355" s="121"/>
      <c r="AZ4355" s="138"/>
    </row>
    <row r="4356" spans="1:52" ht="17.100000000000001" customHeight="1" thickTop="1">
      <c r="A4356" s="109" t="s">
        <v>13216</v>
      </c>
      <c r="B4356" s="28">
        <v>46003</v>
      </c>
      <c r="C4356" s="25"/>
      <c r="D4356" s="13" t="s">
        <v>1902</v>
      </c>
      <c r="E4356" s="111"/>
      <c r="F4356" s="113" t="s">
        <v>7085</v>
      </c>
      <c r="G4356" s="114"/>
      <c r="H4356" s="115"/>
      <c r="I4356" s="24" t="s">
        <v>8676</v>
      </c>
      <c r="J4356" s="116">
        <v>4.5</v>
      </c>
      <c r="K4356" s="118">
        <f>1688500/1.1</f>
        <v>1534999.9999999998</v>
      </c>
      <c r="L4356" s="119"/>
      <c r="M4356" s="118">
        <f t="shared" ref="M4356" si="4683">K4356*0.1</f>
        <v>153499.99999999997</v>
      </c>
      <c r="N4356" s="119"/>
      <c r="O4356" s="118">
        <v>0</v>
      </c>
      <c r="P4356" s="119"/>
      <c r="Q4356" s="118">
        <v>8360</v>
      </c>
      <c r="R4356" s="119"/>
      <c r="S4356" s="118">
        <v>0</v>
      </c>
      <c r="T4356" s="119"/>
      <c r="U4356" s="118">
        <f t="shared" ref="U4356" si="4684">SUM(K4356:T4357)</f>
        <v>1696859.9999999998</v>
      </c>
      <c r="V4356" s="122"/>
      <c r="W4356" s="124"/>
      <c r="X4356" s="126" t="s">
        <v>15605</v>
      </c>
      <c r="Y4356" s="127"/>
      <c r="Z4356" s="127"/>
      <c r="AA4356" s="127"/>
      <c r="AB4356" s="128"/>
      <c r="AC4356" s="15" t="s">
        <v>20</v>
      </c>
      <c r="AD4356" s="129" t="s">
        <v>1945</v>
      </c>
      <c r="AE4356" s="130"/>
      <c r="AF4356" s="130"/>
      <c r="AG4356" s="130"/>
      <c r="AH4356" s="130"/>
      <c r="AI4356" s="131"/>
      <c r="AJ4356" s="132"/>
      <c r="AK4356" s="127"/>
      <c r="AL4356" s="128"/>
      <c r="AM4356" s="21"/>
      <c r="AN4356" s="133">
        <v>46049</v>
      </c>
      <c r="AO4356" s="134"/>
      <c r="AP4356" s="135">
        <v>1926</v>
      </c>
      <c r="AQ4356" s="136"/>
      <c r="AR4356" s="118">
        <v>1622000</v>
      </c>
      <c r="AS4356" s="119"/>
      <c r="AT4356" s="118">
        <f t="shared" ref="AT4356" si="4685">AR4356*0.1</f>
        <v>162200</v>
      </c>
      <c r="AU4356" s="119"/>
      <c r="AV4356" s="118">
        <v>8360</v>
      </c>
      <c r="AW4356" s="119"/>
      <c r="AX4356" s="118">
        <f t="shared" ref="AX4356" si="4686">SUM(AR4356:AW4356)</f>
        <v>1792560</v>
      </c>
      <c r="AY4356" s="119"/>
      <c r="AZ4356" s="137"/>
    </row>
    <row r="4357" spans="1:52" ht="17.100000000000001" customHeight="1" thickBot="1">
      <c r="A4357" s="110"/>
      <c r="B4357" s="27" t="s">
        <v>1718</v>
      </c>
      <c r="C4357" s="27" t="s">
        <v>13165</v>
      </c>
      <c r="D4357" s="14" t="s">
        <v>2800</v>
      </c>
      <c r="E4357" s="112"/>
      <c r="F4357" s="139" t="s">
        <v>13166</v>
      </c>
      <c r="G4357" s="140"/>
      <c r="H4357" s="141"/>
      <c r="I4357" s="26">
        <v>29425</v>
      </c>
      <c r="J4357" s="117"/>
      <c r="K4357" s="120"/>
      <c r="L4357" s="121"/>
      <c r="M4357" s="120"/>
      <c r="N4357" s="121"/>
      <c r="O4357" s="120"/>
      <c r="P4357" s="121"/>
      <c r="Q4357" s="120"/>
      <c r="R4357" s="121"/>
      <c r="S4357" s="120"/>
      <c r="T4357" s="121"/>
      <c r="U4357" s="120"/>
      <c r="V4357" s="123"/>
      <c r="W4357" s="125"/>
      <c r="X4357" s="142" t="s">
        <v>15606</v>
      </c>
      <c r="Y4357" s="143"/>
      <c r="Z4357" s="143"/>
      <c r="AA4357" s="143"/>
      <c r="AB4357" s="144"/>
      <c r="AC4357" s="16" t="s">
        <v>21</v>
      </c>
      <c r="AD4357" s="17" t="s">
        <v>15604</v>
      </c>
      <c r="AE4357" s="145" t="s">
        <v>1614</v>
      </c>
      <c r="AF4357" s="146"/>
      <c r="AG4357" s="146"/>
      <c r="AH4357" s="146"/>
      <c r="AI4357" s="147"/>
      <c r="AJ4357" s="148"/>
      <c r="AK4357" s="143"/>
      <c r="AL4357" s="144"/>
      <c r="AM4357" s="22"/>
      <c r="AN4357" s="149" t="s">
        <v>2131</v>
      </c>
      <c r="AO4357" s="144"/>
      <c r="AP4357" s="148">
        <v>3379</v>
      </c>
      <c r="AQ4357" s="144"/>
      <c r="AR4357" s="120"/>
      <c r="AS4357" s="121"/>
      <c r="AT4357" s="120"/>
      <c r="AU4357" s="121"/>
      <c r="AV4357" s="120"/>
      <c r="AW4357" s="121"/>
      <c r="AX4357" s="120"/>
      <c r="AY4357" s="121"/>
      <c r="AZ4357" s="138"/>
    </row>
    <row r="4358" spans="1:52" ht="17.100000000000001" customHeight="1" thickTop="1">
      <c r="A4358" s="109" t="s">
        <v>13217</v>
      </c>
      <c r="B4358" s="28">
        <v>46003</v>
      </c>
      <c r="C4358" s="25"/>
      <c r="D4358" s="13" t="s">
        <v>7408</v>
      </c>
      <c r="E4358" s="111"/>
      <c r="F4358" s="113" t="s">
        <v>13168</v>
      </c>
      <c r="G4358" s="114"/>
      <c r="H4358" s="115"/>
      <c r="I4358" s="24" t="s">
        <v>4408</v>
      </c>
      <c r="J4358" s="116">
        <v>4</v>
      </c>
      <c r="K4358" s="118">
        <f>713900/1.1</f>
        <v>649000</v>
      </c>
      <c r="L4358" s="119"/>
      <c r="M4358" s="118">
        <v>64900</v>
      </c>
      <c r="N4358" s="119"/>
      <c r="O4358" s="118">
        <v>0</v>
      </c>
      <c r="P4358" s="119"/>
      <c r="Q4358" s="118">
        <v>9200</v>
      </c>
      <c r="R4358" s="119"/>
      <c r="S4358" s="118">
        <v>0</v>
      </c>
      <c r="T4358" s="119"/>
      <c r="U4358" s="118">
        <f t="shared" ref="U4358" si="4687">SUM(K4358:T4359)</f>
        <v>723100</v>
      </c>
      <c r="V4358" s="122"/>
      <c r="W4358" s="124"/>
      <c r="X4358" s="126" t="s">
        <v>14604</v>
      </c>
      <c r="Y4358" s="127"/>
      <c r="Z4358" s="127"/>
      <c r="AA4358" s="127"/>
      <c r="AB4358" s="128"/>
      <c r="AC4358" s="15" t="s">
        <v>20</v>
      </c>
      <c r="AD4358" s="129" t="s">
        <v>1945</v>
      </c>
      <c r="AE4358" s="130"/>
      <c r="AF4358" s="130"/>
      <c r="AG4358" s="130"/>
      <c r="AH4358" s="130"/>
      <c r="AI4358" s="131"/>
      <c r="AJ4358" s="132"/>
      <c r="AK4358" s="127"/>
      <c r="AL4358" s="128"/>
      <c r="AM4358" s="21"/>
      <c r="AN4358" s="133">
        <v>46060</v>
      </c>
      <c r="AO4358" s="134"/>
      <c r="AP4358" s="135">
        <v>1287</v>
      </c>
      <c r="AQ4358" s="136"/>
      <c r="AR4358" s="118">
        <v>650000</v>
      </c>
      <c r="AS4358" s="119"/>
      <c r="AT4358" s="118">
        <f t="shared" ref="AT4358" si="4688">AR4358*0.1</f>
        <v>65000</v>
      </c>
      <c r="AU4358" s="119"/>
      <c r="AV4358" s="118">
        <v>9200</v>
      </c>
      <c r="AW4358" s="119"/>
      <c r="AX4358" s="118">
        <f t="shared" ref="AX4358" si="4689">SUM(AR4358:AW4358)</f>
        <v>724200</v>
      </c>
      <c r="AY4358" s="119"/>
      <c r="AZ4358" s="137">
        <v>46065</v>
      </c>
    </row>
    <row r="4359" spans="1:52" ht="17.100000000000001" customHeight="1" thickBot="1">
      <c r="A4359" s="110"/>
      <c r="B4359" s="27" t="s">
        <v>1718</v>
      </c>
      <c r="C4359" s="27" t="s">
        <v>13167</v>
      </c>
      <c r="D4359" s="14" t="s">
        <v>133</v>
      </c>
      <c r="E4359" s="112"/>
      <c r="F4359" s="139" t="s">
        <v>13169</v>
      </c>
      <c r="G4359" s="140"/>
      <c r="H4359" s="141"/>
      <c r="I4359" s="26">
        <v>35267</v>
      </c>
      <c r="J4359" s="117"/>
      <c r="K4359" s="120"/>
      <c r="L4359" s="121"/>
      <c r="M4359" s="120"/>
      <c r="N4359" s="121"/>
      <c r="O4359" s="120"/>
      <c r="P4359" s="121"/>
      <c r="Q4359" s="120"/>
      <c r="R4359" s="121"/>
      <c r="S4359" s="120"/>
      <c r="T4359" s="121"/>
      <c r="U4359" s="120"/>
      <c r="V4359" s="123"/>
      <c r="W4359" s="125"/>
      <c r="X4359" s="142" t="s">
        <v>14605</v>
      </c>
      <c r="Y4359" s="143"/>
      <c r="Z4359" s="143"/>
      <c r="AA4359" s="143"/>
      <c r="AB4359" s="144"/>
      <c r="AC4359" s="16" t="s">
        <v>21</v>
      </c>
      <c r="AD4359" s="17" t="s">
        <v>3921</v>
      </c>
      <c r="AE4359" s="145" t="s">
        <v>1732</v>
      </c>
      <c r="AF4359" s="146"/>
      <c r="AG4359" s="146"/>
      <c r="AH4359" s="146"/>
      <c r="AI4359" s="147"/>
      <c r="AJ4359" s="148"/>
      <c r="AK4359" s="143"/>
      <c r="AL4359" s="144"/>
      <c r="AM4359" s="22"/>
      <c r="AN4359" s="149" t="s">
        <v>2511</v>
      </c>
      <c r="AO4359" s="144"/>
      <c r="AP4359" s="148">
        <v>31355</v>
      </c>
      <c r="AQ4359" s="144"/>
      <c r="AR4359" s="120"/>
      <c r="AS4359" s="121"/>
      <c r="AT4359" s="120"/>
      <c r="AU4359" s="121"/>
      <c r="AV4359" s="120"/>
      <c r="AW4359" s="121"/>
      <c r="AX4359" s="120"/>
      <c r="AY4359" s="121"/>
      <c r="AZ4359" s="138"/>
    </row>
    <row r="4360" spans="1:52" ht="17.100000000000001" customHeight="1" thickTop="1">
      <c r="A4360" s="109" t="s">
        <v>13218</v>
      </c>
      <c r="B4360" s="28">
        <v>46003</v>
      </c>
      <c r="C4360" s="25">
        <v>1398</v>
      </c>
      <c r="D4360" s="13" t="s">
        <v>1929</v>
      </c>
      <c r="E4360" s="111"/>
      <c r="F4360" s="113" t="s">
        <v>9530</v>
      </c>
      <c r="G4360" s="114"/>
      <c r="H4360" s="115"/>
      <c r="I4360" s="24" t="s">
        <v>10314</v>
      </c>
      <c r="J4360" s="116">
        <v>3.5</v>
      </c>
      <c r="K4360" s="118">
        <v>609000</v>
      </c>
      <c r="L4360" s="119"/>
      <c r="M4360" s="118">
        <f t="shared" ref="M4360" si="4690">K4360*0.1</f>
        <v>60900</v>
      </c>
      <c r="N4360" s="119"/>
      <c r="O4360" s="118">
        <v>0</v>
      </c>
      <c r="P4360" s="119"/>
      <c r="Q4360" s="118">
        <v>9550</v>
      </c>
      <c r="R4360" s="119"/>
      <c r="S4360" s="118">
        <v>13200</v>
      </c>
      <c r="T4360" s="119"/>
      <c r="U4360" s="118">
        <f t="shared" ref="U4360" si="4691">SUM(K4360:T4361)</f>
        <v>692650</v>
      </c>
      <c r="V4360" s="122"/>
      <c r="W4360" s="124"/>
      <c r="X4360" s="126" t="s">
        <v>13737</v>
      </c>
      <c r="Y4360" s="127"/>
      <c r="Z4360" s="127"/>
      <c r="AA4360" s="127"/>
      <c r="AB4360" s="128"/>
      <c r="AC4360" s="15" t="s">
        <v>20</v>
      </c>
      <c r="AD4360" s="129"/>
      <c r="AE4360" s="130"/>
      <c r="AF4360" s="130"/>
      <c r="AG4360" s="130"/>
      <c r="AH4360" s="130"/>
      <c r="AI4360" s="131"/>
      <c r="AJ4360" s="132"/>
      <c r="AK4360" s="127"/>
      <c r="AL4360" s="128"/>
      <c r="AM4360" s="21"/>
      <c r="AN4360" s="133">
        <v>46011</v>
      </c>
      <c r="AO4360" s="134"/>
      <c r="AP4360" s="135">
        <v>1281</v>
      </c>
      <c r="AQ4360" s="136"/>
      <c r="AR4360" s="118">
        <v>790000</v>
      </c>
      <c r="AS4360" s="119"/>
      <c r="AT4360" s="118">
        <f t="shared" ref="AT4360" si="4692">AR4360*0.1</f>
        <v>79000</v>
      </c>
      <c r="AU4360" s="119"/>
      <c r="AV4360" s="118">
        <v>9550</v>
      </c>
      <c r="AW4360" s="119"/>
      <c r="AX4360" s="118">
        <f t="shared" ref="AX4360" si="4693">SUM(AR4360:AW4360)</f>
        <v>878550</v>
      </c>
      <c r="AY4360" s="119"/>
      <c r="AZ4360" s="137">
        <v>46014</v>
      </c>
    </row>
    <row r="4361" spans="1:52" ht="17.100000000000001" customHeight="1" thickBot="1">
      <c r="A4361" s="110"/>
      <c r="B4361" s="27" t="s">
        <v>2641</v>
      </c>
      <c r="C4361" s="27">
        <v>2009</v>
      </c>
      <c r="D4361" s="14" t="s">
        <v>2601</v>
      </c>
      <c r="E4361" s="112"/>
      <c r="F4361" s="139" t="s">
        <v>13236</v>
      </c>
      <c r="G4361" s="140"/>
      <c r="H4361" s="141"/>
      <c r="I4361" s="26">
        <v>46901</v>
      </c>
      <c r="J4361" s="117"/>
      <c r="K4361" s="120"/>
      <c r="L4361" s="121"/>
      <c r="M4361" s="120"/>
      <c r="N4361" s="121"/>
      <c r="O4361" s="120"/>
      <c r="P4361" s="121"/>
      <c r="Q4361" s="120"/>
      <c r="R4361" s="121"/>
      <c r="S4361" s="120"/>
      <c r="T4361" s="121"/>
      <c r="U4361" s="120"/>
      <c r="V4361" s="123"/>
      <c r="W4361" s="125"/>
      <c r="X4361" s="142" t="s">
        <v>13738</v>
      </c>
      <c r="Y4361" s="143"/>
      <c r="Z4361" s="143"/>
      <c r="AA4361" s="143"/>
      <c r="AB4361" s="144"/>
      <c r="AC4361" s="16" t="s">
        <v>21</v>
      </c>
      <c r="AD4361" s="17" t="s">
        <v>1783</v>
      </c>
      <c r="AE4361" s="145"/>
      <c r="AF4361" s="146"/>
      <c r="AG4361" s="146"/>
      <c r="AH4361" s="146"/>
      <c r="AI4361" s="147"/>
      <c r="AJ4361" s="148"/>
      <c r="AK4361" s="143"/>
      <c r="AL4361" s="144"/>
      <c r="AM4361" s="22"/>
      <c r="AN4361" s="149" t="s">
        <v>2511</v>
      </c>
      <c r="AO4361" s="144"/>
      <c r="AP4361" s="148">
        <v>60322</v>
      </c>
      <c r="AQ4361" s="144"/>
      <c r="AR4361" s="120"/>
      <c r="AS4361" s="121"/>
      <c r="AT4361" s="120"/>
      <c r="AU4361" s="121"/>
      <c r="AV4361" s="120"/>
      <c r="AW4361" s="121"/>
      <c r="AX4361" s="120"/>
      <c r="AY4361" s="121"/>
      <c r="AZ4361" s="138"/>
    </row>
    <row r="4362" spans="1:52" ht="17.100000000000001" customHeight="1" thickTop="1">
      <c r="A4362" s="109" t="s">
        <v>13219</v>
      </c>
      <c r="B4362" s="28">
        <v>46003</v>
      </c>
      <c r="C4362" s="25">
        <v>1398</v>
      </c>
      <c r="D4362" s="13" t="s">
        <v>1561</v>
      </c>
      <c r="E4362" s="111"/>
      <c r="F4362" s="113" t="s">
        <v>13237</v>
      </c>
      <c r="G4362" s="114"/>
      <c r="H4362" s="115"/>
      <c r="I4362" s="24"/>
      <c r="J4362" s="150" t="s">
        <v>1715</v>
      </c>
      <c r="K4362" s="118">
        <v>1356000</v>
      </c>
      <c r="L4362" s="119"/>
      <c r="M4362" s="118">
        <f t="shared" ref="M4362" si="4694">K4362*0.1</f>
        <v>135600</v>
      </c>
      <c r="N4362" s="119"/>
      <c r="O4362" s="118">
        <v>0</v>
      </c>
      <c r="P4362" s="119"/>
      <c r="Q4362" s="118">
        <v>12900</v>
      </c>
      <c r="R4362" s="119"/>
      <c r="S4362" s="118">
        <v>13200</v>
      </c>
      <c r="T4362" s="119"/>
      <c r="U4362" s="118">
        <f t="shared" ref="U4362" si="4695">SUM(K4362:T4363)</f>
        <v>1517700</v>
      </c>
      <c r="V4362" s="122"/>
      <c r="W4362" s="124"/>
      <c r="X4362" s="126" t="s">
        <v>13746</v>
      </c>
      <c r="Y4362" s="127"/>
      <c r="Z4362" s="127"/>
      <c r="AA4362" s="127"/>
      <c r="AB4362" s="128"/>
      <c r="AC4362" s="15" t="s">
        <v>20</v>
      </c>
      <c r="AD4362" s="129"/>
      <c r="AE4362" s="130"/>
      <c r="AF4362" s="130"/>
      <c r="AG4362" s="130"/>
      <c r="AH4362" s="130"/>
      <c r="AI4362" s="131"/>
      <c r="AJ4362" s="132"/>
      <c r="AK4362" s="127"/>
      <c r="AL4362" s="128"/>
      <c r="AM4362" s="21"/>
      <c r="AN4362" s="133"/>
      <c r="AO4362" s="134"/>
      <c r="AP4362" s="135"/>
      <c r="AQ4362" s="136"/>
      <c r="AR4362" s="118"/>
      <c r="AS4362" s="119"/>
      <c r="AT4362" s="118">
        <f t="shared" ref="AT4362" si="4696">AR4362*0.1</f>
        <v>0</v>
      </c>
      <c r="AU4362" s="119"/>
      <c r="AV4362" s="118"/>
      <c r="AW4362" s="119"/>
      <c r="AX4362" s="118">
        <f t="shared" ref="AX4362" si="4697">SUM(AR4362:AW4362)</f>
        <v>0</v>
      </c>
      <c r="AY4362" s="119"/>
      <c r="AZ4362" s="137"/>
    </row>
    <row r="4363" spans="1:52" ht="17.100000000000001" customHeight="1" thickBot="1">
      <c r="A4363" s="110"/>
      <c r="B4363" s="27" t="s">
        <v>2641</v>
      </c>
      <c r="C4363" s="27">
        <v>2193</v>
      </c>
      <c r="D4363" s="14" t="s">
        <v>275</v>
      </c>
      <c r="E4363" s="112"/>
      <c r="F4363" s="139" t="s">
        <v>13238</v>
      </c>
      <c r="G4363" s="140"/>
      <c r="H4363" s="141"/>
      <c r="I4363" s="26">
        <v>104610</v>
      </c>
      <c r="J4363" s="117"/>
      <c r="K4363" s="120"/>
      <c r="L4363" s="121"/>
      <c r="M4363" s="120"/>
      <c r="N4363" s="121"/>
      <c r="O4363" s="120"/>
      <c r="P4363" s="121"/>
      <c r="Q4363" s="120"/>
      <c r="R4363" s="121"/>
      <c r="S4363" s="120"/>
      <c r="T4363" s="121"/>
      <c r="U4363" s="120"/>
      <c r="V4363" s="123"/>
      <c r="W4363" s="125"/>
      <c r="X4363" s="142" t="s">
        <v>1997</v>
      </c>
      <c r="Y4363" s="143"/>
      <c r="Z4363" s="143"/>
      <c r="AA4363" s="143"/>
      <c r="AB4363" s="144"/>
      <c r="AC4363" s="16" t="s">
        <v>21</v>
      </c>
      <c r="AD4363" s="17" t="s">
        <v>1783</v>
      </c>
      <c r="AE4363" s="145" t="s">
        <v>3284</v>
      </c>
      <c r="AF4363" s="146"/>
      <c r="AG4363" s="146"/>
      <c r="AH4363" s="146"/>
      <c r="AI4363" s="147"/>
      <c r="AJ4363" s="148"/>
      <c r="AK4363" s="143"/>
      <c r="AL4363" s="144"/>
      <c r="AM4363" s="22"/>
      <c r="AN4363" s="149"/>
      <c r="AO4363" s="144"/>
      <c r="AP4363" s="148"/>
      <c r="AQ4363" s="144"/>
      <c r="AR4363" s="120"/>
      <c r="AS4363" s="121"/>
      <c r="AT4363" s="120"/>
      <c r="AU4363" s="121"/>
      <c r="AV4363" s="120"/>
      <c r="AW4363" s="121"/>
      <c r="AX4363" s="120"/>
      <c r="AY4363" s="121"/>
      <c r="AZ4363" s="138"/>
    </row>
    <row r="4364" spans="1:52" ht="17.100000000000001" customHeight="1" thickTop="1">
      <c r="A4364" s="109" t="s">
        <v>13220</v>
      </c>
      <c r="B4364" s="28">
        <v>46003</v>
      </c>
      <c r="C4364" s="25">
        <v>1398</v>
      </c>
      <c r="D4364" s="13" t="s">
        <v>3801</v>
      </c>
      <c r="E4364" s="111"/>
      <c r="F4364" s="113" t="s">
        <v>13239</v>
      </c>
      <c r="G4364" s="114"/>
      <c r="H4364" s="115"/>
      <c r="I4364" s="24"/>
      <c r="J4364" s="116">
        <v>4.5</v>
      </c>
      <c r="K4364" s="118">
        <v>2208000</v>
      </c>
      <c r="L4364" s="119"/>
      <c r="M4364" s="118">
        <f t="shared" ref="M4364" si="4698">K4364*0.1</f>
        <v>220800</v>
      </c>
      <c r="N4364" s="119"/>
      <c r="O4364" s="118">
        <v>0</v>
      </c>
      <c r="P4364" s="119"/>
      <c r="Q4364" s="118">
        <v>10750</v>
      </c>
      <c r="R4364" s="119"/>
      <c r="S4364" s="118">
        <v>13200</v>
      </c>
      <c r="T4364" s="119"/>
      <c r="U4364" s="118">
        <f t="shared" ref="U4364" si="4699">SUM(K4364:T4365)</f>
        <v>2452750</v>
      </c>
      <c r="V4364" s="122"/>
      <c r="W4364" s="124"/>
      <c r="X4364" s="126" t="s">
        <v>13632</v>
      </c>
      <c r="Y4364" s="127"/>
      <c r="Z4364" s="127"/>
      <c r="AA4364" s="127"/>
      <c r="AB4364" s="128"/>
      <c r="AC4364" s="15" t="s">
        <v>20</v>
      </c>
      <c r="AD4364" s="129" t="s">
        <v>13258</v>
      </c>
      <c r="AE4364" s="130"/>
      <c r="AF4364" s="130"/>
      <c r="AG4364" s="130"/>
      <c r="AH4364" s="130"/>
      <c r="AI4364" s="131"/>
      <c r="AJ4364" s="132"/>
      <c r="AK4364" s="127"/>
      <c r="AL4364" s="128"/>
      <c r="AM4364" s="21"/>
      <c r="AN4364" s="133">
        <v>46008</v>
      </c>
      <c r="AO4364" s="134"/>
      <c r="AP4364" s="135">
        <v>997</v>
      </c>
      <c r="AQ4364" s="136"/>
      <c r="AR4364" s="118">
        <v>2290000</v>
      </c>
      <c r="AS4364" s="119"/>
      <c r="AT4364" s="118">
        <f t="shared" ref="AT4364" si="4700">AR4364*0.1</f>
        <v>229000</v>
      </c>
      <c r="AU4364" s="119"/>
      <c r="AV4364" s="118">
        <v>10750</v>
      </c>
      <c r="AW4364" s="119"/>
      <c r="AX4364" s="118">
        <f t="shared" ref="AX4364" si="4701">SUM(AR4364:AW4364)</f>
        <v>2529750</v>
      </c>
      <c r="AY4364" s="119"/>
      <c r="AZ4364" s="137">
        <v>46013</v>
      </c>
    </row>
    <row r="4365" spans="1:52" ht="17.100000000000001" customHeight="1" thickBot="1">
      <c r="A4365" s="110"/>
      <c r="B4365" s="27" t="s">
        <v>2641</v>
      </c>
      <c r="C4365" s="27">
        <v>3036</v>
      </c>
      <c r="D4365" s="14" t="s">
        <v>275</v>
      </c>
      <c r="E4365" s="112"/>
      <c r="F4365" s="139" t="s">
        <v>13240</v>
      </c>
      <c r="G4365" s="140"/>
      <c r="H4365" s="141"/>
      <c r="I4365" s="26">
        <v>46449</v>
      </c>
      <c r="J4365" s="117"/>
      <c r="K4365" s="120"/>
      <c r="L4365" s="121"/>
      <c r="M4365" s="120"/>
      <c r="N4365" s="121"/>
      <c r="O4365" s="120"/>
      <c r="P4365" s="121"/>
      <c r="Q4365" s="120"/>
      <c r="R4365" s="121"/>
      <c r="S4365" s="120"/>
      <c r="T4365" s="121"/>
      <c r="U4365" s="120"/>
      <c r="V4365" s="123"/>
      <c r="W4365" s="125"/>
      <c r="X4365" s="142" t="s">
        <v>3334</v>
      </c>
      <c r="Y4365" s="143"/>
      <c r="Z4365" s="143"/>
      <c r="AA4365" s="143"/>
      <c r="AB4365" s="144"/>
      <c r="AC4365" s="16" t="s">
        <v>21</v>
      </c>
      <c r="AD4365" s="17" t="s">
        <v>1783</v>
      </c>
      <c r="AE4365" s="145" t="s">
        <v>13633</v>
      </c>
      <c r="AF4365" s="146"/>
      <c r="AG4365" s="146"/>
      <c r="AH4365" s="146"/>
      <c r="AI4365" s="147"/>
      <c r="AJ4365" s="148"/>
      <c r="AK4365" s="143"/>
      <c r="AL4365" s="144"/>
      <c r="AM4365" s="22"/>
      <c r="AN4365" s="149" t="s">
        <v>2794</v>
      </c>
      <c r="AO4365" s="144"/>
      <c r="AP4365" s="148">
        <v>5061</v>
      </c>
      <c r="AQ4365" s="144"/>
      <c r="AR4365" s="120"/>
      <c r="AS4365" s="121"/>
      <c r="AT4365" s="120"/>
      <c r="AU4365" s="121"/>
      <c r="AV4365" s="120"/>
      <c r="AW4365" s="121"/>
      <c r="AX4365" s="120"/>
      <c r="AY4365" s="121"/>
      <c r="AZ4365" s="138"/>
    </row>
    <row r="4366" spans="1:52" ht="17.100000000000001" customHeight="1" thickTop="1">
      <c r="A4366" s="109" t="s">
        <v>13221</v>
      </c>
      <c r="B4366" s="28">
        <v>46003</v>
      </c>
      <c r="C4366" s="25">
        <v>1398</v>
      </c>
      <c r="D4366" s="13" t="s">
        <v>2066</v>
      </c>
      <c r="E4366" s="111"/>
      <c r="F4366" s="113" t="s">
        <v>13241</v>
      </c>
      <c r="G4366" s="114"/>
      <c r="H4366" s="115"/>
      <c r="I4366" s="24" t="s">
        <v>13259</v>
      </c>
      <c r="J4366" s="116">
        <v>4</v>
      </c>
      <c r="K4366" s="118">
        <v>1666000</v>
      </c>
      <c r="L4366" s="119"/>
      <c r="M4366" s="118">
        <f t="shared" ref="M4366" si="4702">K4366*0.1</f>
        <v>166600</v>
      </c>
      <c r="N4366" s="119"/>
      <c r="O4366" s="118">
        <f>7600+760</f>
        <v>8360</v>
      </c>
      <c r="P4366" s="119"/>
      <c r="Q4366" s="118">
        <v>8170</v>
      </c>
      <c r="R4366" s="119"/>
      <c r="S4366" s="118">
        <v>13200</v>
      </c>
      <c r="T4366" s="119"/>
      <c r="U4366" s="118">
        <f t="shared" ref="U4366" si="4703">SUM(K4366:T4367)</f>
        <v>1862330</v>
      </c>
      <c r="V4366" s="122"/>
      <c r="W4366" s="124"/>
      <c r="X4366" s="126" t="s">
        <v>13744</v>
      </c>
      <c r="Y4366" s="127"/>
      <c r="Z4366" s="127"/>
      <c r="AA4366" s="127"/>
      <c r="AB4366" s="128"/>
      <c r="AC4366" s="15" t="s">
        <v>20</v>
      </c>
      <c r="AD4366" s="129" t="s">
        <v>171</v>
      </c>
      <c r="AE4366" s="130"/>
      <c r="AF4366" s="130"/>
      <c r="AG4366" s="130"/>
      <c r="AH4366" s="130"/>
      <c r="AI4366" s="131"/>
      <c r="AJ4366" s="132"/>
      <c r="AK4366" s="127"/>
      <c r="AL4366" s="128"/>
      <c r="AM4366" s="21"/>
      <c r="AN4366" s="133">
        <v>46029</v>
      </c>
      <c r="AO4366" s="134"/>
      <c r="AP4366" s="135">
        <v>999</v>
      </c>
      <c r="AQ4366" s="136"/>
      <c r="AR4366" s="118">
        <v>1710000</v>
      </c>
      <c r="AS4366" s="119"/>
      <c r="AT4366" s="118">
        <f t="shared" ref="AT4366" si="4704">AR4366*0.1</f>
        <v>171000</v>
      </c>
      <c r="AU4366" s="119"/>
      <c r="AV4366" s="118">
        <v>8170</v>
      </c>
      <c r="AW4366" s="119"/>
      <c r="AX4366" s="118">
        <f t="shared" ref="AX4366" si="4705">SUM(AR4366:AW4366)</f>
        <v>1889170</v>
      </c>
      <c r="AY4366" s="119"/>
      <c r="AZ4366" s="137">
        <v>46035</v>
      </c>
    </row>
    <row r="4367" spans="1:52" ht="17.100000000000001" customHeight="1" thickBot="1">
      <c r="A4367" s="110"/>
      <c r="B4367" s="27" t="s">
        <v>2641</v>
      </c>
      <c r="C4367" s="27">
        <v>3043</v>
      </c>
      <c r="D4367" s="14" t="s">
        <v>2601</v>
      </c>
      <c r="E4367" s="112"/>
      <c r="F4367" s="139" t="s">
        <v>13242</v>
      </c>
      <c r="G4367" s="140"/>
      <c r="H4367" s="141"/>
      <c r="I4367" s="26">
        <v>10269</v>
      </c>
      <c r="J4367" s="117"/>
      <c r="K4367" s="120"/>
      <c r="L4367" s="121"/>
      <c r="M4367" s="120"/>
      <c r="N4367" s="121"/>
      <c r="O4367" s="120"/>
      <c r="P4367" s="121"/>
      <c r="Q4367" s="120"/>
      <c r="R4367" s="121"/>
      <c r="S4367" s="120"/>
      <c r="T4367" s="121"/>
      <c r="U4367" s="120"/>
      <c r="V4367" s="123"/>
      <c r="W4367" s="125"/>
      <c r="X4367" s="142" t="s">
        <v>4234</v>
      </c>
      <c r="Y4367" s="143"/>
      <c r="Z4367" s="143"/>
      <c r="AA4367" s="143"/>
      <c r="AB4367" s="144"/>
      <c r="AC4367" s="16" t="s">
        <v>21</v>
      </c>
      <c r="AD4367" s="17" t="s">
        <v>1783</v>
      </c>
      <c r="AE4367" s="145" t="s">
        <v>13745</v>
      </c>
      <c r="AF4367" s="146"/>
      <c r="AG4367" s="146"/>
      <c r="AH4367" s="146"/>
      <c r="AI4367" s="147"/>
      <c r="AJ4367" s="148"/>
      <c r="AK4367" s="143"/>
      <c r="AL4367" s="144"/>
      <c r="AM4367" s="22"/>
      <c r="AN4367" s="149" t="s">
        <v>2794</v>
      </c>
      <c r="AO4367" s="144"/>
      <c r="AP4367" s="148">
        <v>6084</v>
      </c>
      <c r="AQ4367" s="144"/>
      <c r="AR4367" s="120"/>
      <c r="AS4367" s="121"/>
      <c r="AT4367" s="120"/>
      <c r="AU4367" s="121"/>
      <c r="AV4367" s="120"/>
      <c r="AW4367" s="121"/>
      <c r="AX4367" s="120"/>
      <c r="AY4367" s="121"/>
      <c r="AZ4367" s="138"/>
    </row>
    <row r="4368" spans="1:52" ht="17.100000000000001" customHeight="1" thickTop="1">
      <c r="A4368" s="109" t="s">
        <v>13222</v>
      </c>
      <c r="B4368" s="28">
        <v>46003</v>
      </c>
      <c r="C4368" s="25">
        <v>1398</v>
      </c>
      <c r="D4368" s="13" t="s">
        <v>4860</v>
      </c>
      <c r="E4368" s="111"/>
      <c r="F4368" s="113" t="s">
        <v>13243</v>
      </c>
      <c r="G4368" s="114"/>
      <c r="H4368" s="115"/>
      <c r="I4368" s="24" t="s">
        <v>4538</v>
      </c>
      <c r="J4368" s="116">
        <v>4</v>
      </c>
      <c r="K4368" s="118">
        <v>1470000</v>
      </c>
      <c r="L4368" s="119"/>
      <c r="M4368" s="118">
        <f t="shared" ref="M4368" si="4706">K4368*0.1</f>
        <v>147000</v>
      </c>
      <c r="N4368" s="119"/>
      <c r="O4368" s="118">
        <f>9800+980</f>
        <v>10780</v>
      </c>
      <c r="P4368" s="119"/>
      <c r="Q4368" s="118">
        <v>9320</v>
      </c>
      <c r="R4368" s="119"/>
      <c r="S4368" s="118">
        <v>13200</v>
      </c>
      <c r="T4368" s="119"/>
      <c r="U4368" s="118">
        <f t="shared" ref="U4368" si="4707">SUM(K4368:T4369)</f>
        <v>1650300</v>
      </c>
      <c r="V4368" s="122"/>
      <c r="W4368" s="124"/>
      <c r="X4368" s="126" t="s">
        <v>13747</v>
      </c>
      <c r="Y4368" s="127"/>
      <c r="Z4368" s="127"/>
      <c r="AA4368" s="127"/>
      <c r="AB4368" s="128"/>
      <c r="AC4368" s="15" t="s">
        <v>20</v>
      </c>
      <c r="AD4368" s="129" t="s">
        <v>13260</v>
      </c>
      <c r="AE4368" s="130"/>
      <c r="AF4368" s="130"/>
      <c r="AG4368" s="130"/>
      <c r="AH4368" s="130"/>
      <c r="AI4368" s="131"/>
      <c r="AJ4368" s="132"/>
      <c r="AK4368" s="127"/>
      <c r="AL4368" s="128"/>
      <c r="AM4368" s="21"/>
      <c r="AN4368" s="133">
        <v>46015</v>
      </c>
      <c r="AO4368" s="134"/>
      <c r="AP4368" s="135">
        <v>998</v>
      </c>
      <c r="AQ4368" s="136"/>
      <c r="AR4368" s="118">
        <v>1620000</v>
      </c>
      <c r="AS4368" s="119"/>
      <c r="AT4368" s="118">
        <f t="shared" ref="AT4368" si="4708">AR4368*0.1</f>
        <v>162000</v>
      </c>
      <c r="AU4368" s="119"/>
      <c r="AV4368" s="118">
        <v>9320</v>
      </c>
      <c r="AW4368" s="119"/>
      <c r="AX4368" s="118">
        <f t="shared" ref="AX4368" si="4709">SUM(AR4368:AW4368)</f>
        <v>1791320</v>
      </c>
      <c r="AY4368" s="119"/>
      <c r="AZ4368" s="137">
        <v>46027</v>
      </c>
    </row>
    <row r="4369" spans="1:52" ht="17.100000000000001" customHeight="1" thickBot="1">
      <c r="A4369" s="110"/>
      <c r="B4369" s="27" t="s">
        <v>2641</v>
      </c>
      <c r="C4369" s="27">
        <v>3160</v>
      </c>
      <c r="D4369" s="14" t="s">
        <v>7268</v>
      </c>
      <c r="E4369" s="112"/>
      <c r="F4369" s="139" t="s">
        <v>13244</v>
      </c>
      <c r="G4369" s="140"/>
      <c r="H4369" s="141"/>
      <c r="I4369" s="26">
        <v>38447</v>
      </c>
      <c r="J4369" s="117"/>
      <c r="K4369" s="120"/>
      <c r="L4369" s="121"/>
      <c r="M4369" s="120"/>
      <c r="N4369" s="121"/>
      <c r="O4369" s="120"/>
      <c r="P4369" s="121"/>
      <c r="Q4369" s="120"/>
      <c r="R4369" s="121"/>
      <c r="S4369" s="120"/>
      <c r="T4369" s="121"/>
      <c r="U4369" s="120"/>
      <c r="V4369" s="123"/>
      <c r="W4369" s="125"/>
      <c r="X4369" s="142" t="s">
        <v>13748</v>
      </c>
      <c r="Y4369" s="143"/>
      <c r="Z4369" s="143"/>
      <c r="AA4369" s="143"/>
      <c r="AB4369" s="144"/>
      <c r="AC4369" s="16" t="s">
        <v>21</v>
      </c>
      <c r="AD4369" s="17" t="s">
        <v>1783</v>
      </c>
      <c r="AE4369" s="145" t="s">
        <v>13449</v>
      </c>
      <c r="AF4369" s="146"/>
      <c r="AG4369" s="146"/>
      <c r="AH4369" s="146"/>
      <c r="AI4369" s="147"/>
      <c r="AJ4369" s="148"/>
      <c r="AK4369" s="143"/>
      <c r="AL4369" s="144"/>
      <c r="AM4369" s="22"/>
      <c r="AN4369" s="149" t="s">
        <v>2794</v>
      </c>
      <c r="AO4369" s="144"/>
      <c r="AP4369" s="148">
        <v>6061</v>
      </c>
      <c r="AQ4369" s="144"/>
      <c r="AR4369" s="120"/>
      <c r="AS4369" s="121"/>
      <c r="AT4369" s="120"/>
      <c r="AU4369" s="121"/>
      <c r="AV4369" s="120"/>
      <c r="AW4369" s="121"/>
      <c r="AX4369" s="120"/>
      <c r="AY4369" s="121"/>
      <c r="AZ4369" s="138"/>
    </row>
    <row r="4370" spans="1:52" ht="17.100000000000001" customHeight="1" thickTop="1">
      <c r="A4370" s="109" t="s">
        <v>13223</v>
      </c>
      <c r="B4370" s="28">
        <v>46003</v>
      </c>
      <c r="C4370" s="25">
        <v>1398</v>
      </c>
      <c r="D4370" s="13" t="s">
        <v>2036</v>
      </c>
      <c r="E4370" s="111"/>
      <c r="F4370" s="113" t="s">
        <v>13245</v>
      </c>
      <c r="G4370" s="114"/>
      <c r="H4370" s="115"/>
      <c r="I4370" s="24" t="s">
        <v>8018</v>
      </c>
      <c r="J4370" s="116">
        <v>4</v>
      </c>
      <c r="K4370" s="118">
        <v>769000</v>
      </c>
      <c r="L4370" s="119"/>
      <c r="M4370" s="118">
        <f t="shared" ref="M4370" si="4710">K4370*0.1</f>
        <v>76900</v>
      </c>
      <c r="N4370" s="119"/>
      <c r="O4370" s="118">
        <v>0</v>
      </c>
      <c r="P4370" s="119"/>
      <c r="Q4370" s="118">
        <v>8010</v>
      </c>
      <c r="R4370" s="119"/>
      <c r="S4370" s="118">
        <v>13200</v>
      </c>
      <c r="T4370" s="119"/>
      <c r="U4370" s="118">
        <f t="shared" ref="U4370" si="4711">SUM(K4370:T4371)</f>
        <v>867110</v>
      </c>
      <c r="V4370" s="122"/>
      <c r="W4370" s="124"/>
      <c r="X4370" s="126" t="s">
        <v>13741</v>
      </c>
      <c r="Y4370" s="127"/>
      <c r="Z4370" s="127"/>
      <c r="AA4370" s="127"/>
      <c r="AB4370" s="128"/>
      <c r="AC4370" s="15" t="s">
        <v>20</v>
      </c>
      <c r="AD4370" s="129" t="s">
        <v>1633</v>
      </c>
      <c r="AE4370" s="130"/>
      <c r="AF4370" s="130"/>
      <c r="AG4370" s="130"/>
      <c r="AH4370" s="130"/>
      <c r="AI4370" s="131"/>
      <c r="AJ4370" s="132"/>
      <c r="AK4370" s="127"/>
      <c r="AL4370" s="128"/>
      <c r="AM4370" s="21" t="s">
        <v>15353</v>
      </c>
      <c r="AN4370" s="133">
        <v>46043</v>
      </c>
      <c r="AO4370" s="134"/>
      <c r="AP4370" s="135">
        <v>1001</v>
      </c>
      <c r="AQ4370" s="136"/>
      <c r="AR4370" s="118">
        <v>875000</v>
      </c>
      <c r="AS4370" s="119"/>
      <c r="AT4370" s="118">
        <f t="shared" ref="AT4370" si="4712">AR4370*0.1</f>
        <v>87500</v>
      </c>
      <c r="AU4370" s="119"/>
      <c r="AV4370" s="118">
        <v>8010</v>
      </c>
      <c r="AW4370" s="119"/>
      <c r="AX4370" s="118">
        <f t="shared" ref="AX4370" si="4713">SUM(AR4370:AW4370)</f>
        <v>970510</v>
      </c>
      <c r="AY4370" s="119"/>
      <c r="AZ4370" s="137">
        <v>46048</v>
      </c>
    </row>
    <row r="4371" spans="1:52" ht="17.100000000000001" customHeight="1" thickBot="1">
      <c r="A4371" s="110"/>
      <c r="B4371" s="27" t="s">
        <v>2641</v>
      </c>
      <c r="C4371" s="27">
        <v>3209</v>
      </c>
      <c r="D4371" s="14" t="s">
        <v>1592</v>
      </c>
      <c r="E4371" s="112"/>
      <c r="F4371" s="139" t="s">
        <v>13246</v>
      </c>
      <c r="G4371" s="140"/>
      <c r="H4371" s="141"/>
      <c r="I4371" s="26">
        <v>21886</v>
      </c>
      <c r="J4371" s="117"/>
      <c r="K4371" s="120"/>
      <c r="L4371" s="121"/>
      <c r="M4371" s="120"/>
      <c r="N4371" s="121"/>
      <c r="O4371" s="120"/>
      <c r="P4371" s="121"/>
      <c r="Q4371" s="120"/>
      <c r="R4371" s="121"/>
      <c r="S4371" s="120"/>
      <c r="T4371" s="121"/>
      <c r="U4371" s="120"/>
      <c r="V4371" s="123"/>
      <c r="W4371" s="125"/>
      <c r="X4371" s="142" t="s">
        <v>13742</v>
      </c>
      <c r="Y4371" s="143"/>
      <c r="Z4371" s="143"/>
      <c r="AA4371" s="143"/>
      <c r="AB4371" s="144"/>
      <c r="AC4371" s="16" t="s">
        <v>21</v>
      </c>
      <c r="AD4371" s="17" t="s">
        <v>1783</v>
      </c>
      <c r="AE4371" s="145" t="s">
        <v>1633</v>
      </c>
      <c r="AF4371" s="146"/>
      <c r="AG4371" s="146"/>
      <c r="AH4371" s="146"/>
      <c r="AI4371" s="147"/>
      <c r="AJ4371" s="148"/>
      <c r="AK4371" s="143"/>
      <c r="AL4371" s="144"/>
      <c r="AM4371" s="22"/>
      <c r="AN4371" s="149" t="s">
        <v>2794</v>
      </c>
      <c r="AO4371" s="144"/>
      <c r="AP4371" s="148">
        <v>2050</v>
      </c>
      <c r="AQ4371" s="144"/>
      <c r="AR4371" s="120"/>
      <c r="AS4371" s="121"/>
      <c r="AT4371" s="120"/>
      <c r="AU4371" s="121"/>
      <c r="AV4371" s="120"/>
      <c r="AW4371" s="121"/>
      <c r="AX4371" s="120"/>
      <c r="AY4371" s="121"/>
      <c r="AZ4371" s="138"/>
    </row>
    <row r="4372" spans="1:52" ht="17.100000000000001" customHeight="1" thickTop="1">
      <c r="A4372" s="109" t="s">
        <v>13224</v>
      </c>
      <c r="B4372" s="28">
        <v>46003</v>
      </c>
      <c r="C4372" s="25">
        <v>1398</v>
      </c>
      <c r="D4372" s="13" t="s">
        <v>2298</v>
      </c>
      <c r="E4372" s="111"/>
      <c r="F4372" s="113" t="s">
        <v>9187</v>
      </c>
      <c r="G4372" s="114"/>
      <c r="H4372" s="115"/>
      <c r="I4372" s="24" t="s">
        <v>13261</v>
      </c>
      <c r="J4372" s="116">
        <v>4.5</v>
      </c>
      <c r="K4372" s="118">
        <v>753000</v>
      </c>
      <c r="L4372" s="119"/>
      <c r="M4372" s="118">
        <f t="shared" ref="M4372" si="4714">K4372*0.1</f>
        <v>75300</v>
      </c>
      <c r="N4372" s="119"/>
      <c r="O4372" s="118">
        <v>0</v>
      </c>
      <c r="P4372" s="119"/>
      <c r="Q4372" s="118">
        <v>8740</v>
      </c>
      <c r="R4372" s="119"/>
      <c r="S4372" s="118">
        <v>13200</v>
      </c>
      <c r="T4372" s="119"/>
      <c r="U4372" s="118">
        <f t="shared" ref="U4372" si="4715">SUM(K4372:T4373)</f>
        <v>850240</v>
      </c>
      <c r="V4372" s="122"/>
      <c r="W4372" s="124"/>
      <c r="X4372" s="126" t="s">
        <v>13739</v>
      </c>
      <c r="Y4372" s="127"/>
      <c r="Z4372" s="127"/>
      <c r="AA4372" s="127"/>
      <c r="AB4372" s="128"/>
      <c r="AC4372" s="15" t="s">
        <v>20</v>
      </c>
      <c r="AD4372" s="129" t="s">
        <v>4617</v>
      </c>
      <c r="AE4372" s="130"/>
      <c r="AF4372" s="130"/>
      <c r="AG4372" s="130"/>
      <c r="AH4372" s="130"/>
      <c r="AI4372" s="131"/>
      <c r="AJ4372" s="132"/>
      <c r="AK4372" s="127"/>
      <c r="AL4372" s="128"/>
      <c r="AM4372" s="21"/>
      <c r="AN4372" s="133">
        <v>46011</v>
      </c>
      <c r="AO4372" s="134"/>
      <c r="AP4372" s="135">
        <v>1281</v>
      </c>
      <c r="AQ4372" s="136"/>
      <c r="AR4372" s="118">
        <v>840000</v>
      </c>
      <c r="AS4372" s="119"/>
      <c r="AT4372" s="118">
        <f t="shared" ref="AT4372" si="4716">AR4372*0.1</f>
        <v>84000</v>
      </c>
      <c r="AU4372" s="119"/>
      <c r="AV4372" s="118">
        <v>8740</v>
      </c>
      <c r="AW4372" s="119"/>
      <c r="AX4372" s="118">
        <f t="shared" ref="AX4372" si="4717">SUM(AR4372:AW4372)</f>
        <v>932740</v>
      </c>
      <c r="AY4372" s="119"/>
      <c r="AZ4372" s="137">
        <v>46014</v>
      </c>
    </row>
    <row r="4373" spans="1:52" ht="17.100000000000001" customHeight="1" thickBot="1">
      <c r="A4373" s="110"/>
      <c r="B4373" s="27" t="s">
        <v>2641</v>
      </c>
      <c r="C4373" s="27">
        <v>7011</v>
      </c>
      <c r="D4373" s="14" t="s">
        <v>1720</v>
      </c>
      <c r="E4373" s="112"/>
      <c r="F4373" s="139" t="s">
        <v>13247</v>
      </c>
      <c r="G4373" s="140"/>
      <c r="H4373" s="141"/>
      <c r="I4373" s="26">
        <v>58888</v>
      </c>
      <c r="J4373" s="117"/>
      <c r="K4373" s="120"/>
      <c r="L4373" s="121"/>
      <c r="M4373" s="120"/>
      <c r="N4373" s="121"/>
      <c r="O4373" s="120"/>
      <c r="P4373" s="121"/>
      <c r="Q4373" s="120"/>
      <c r="R4373" s="121"/>
      <c r="S4373" s="120"/>
      <c r="T4373" s="121"/>
      <c r="U4373" s="120"/>
      <c r="V4373" s="123"/>
      <c r="W4373" s="125"/>
      <c r="X4373" s="142" t="s">
        <v>8807</v>
      </c>
      <c r="Y4373" s="143"/>
      <c r="Z4373" s="143"/>
      <c r="AA4373" s="143"/>
      <c r="AB4373" s="144"/>
      <c r="AC4373" s="16" t="s">
        <v>21</v>
      </c>
      <c r="AD4373" s="17" t="s">
        <v>1783</v>
      </c>
      <c r="AE4373" s="145" t="s">
        <v>13740</v>
      </c>
      <c r="AF4373" s="146"/>
      <c r="AG4373" s="146"/>
      <c r="AH4373" s="146"/>
      <c r="AI4373" s="147"/>
      <c r="AJ4373" s="148"/>
      <c r="AK4373" s="143"/>
      <c r="AL4373" s="144"/>
      <c r="AM4373" s="22"/>
      <c r="AN4373" s="149" t="s">
        <v>2511</v>
      </c>
      <c r="AO4373" s="144"/>
      <c r="AP4373" s="148">
        <v>60328</v>
      </c>
      <c r="AQ4373" s="144"/>
      <c r="AR4373" s="120"/>
      <c r="AS4373" s="121"/>
      <c r="AT4373" s="120"/>
      <c r="AU4373" s="121"/>
      <c r="AV4373" s="120"/>
      <c r="AW4373" s="121"/>
      <c r="AX4373" s="120"/>
      <c r="AY4373" s="121"/>
      <c r="AZ4373" s="138"/>
    </row>
    <row r="4374" spans="1:52" ht="17.100000000000001" customHeight="1" thickTop="1">
      <c r="A4374" s="109" t="s">
        <v>13225</v>
      </c>
      <c r="B4374" s="28">
        <v>46003</v>
      </c>
      <c r="C4374" s="25">
        <v>1398</v>
      </c>
      <c r="D4374" s="13" t="s">
        <v>2135</v>
      </c>
      <c r="E4374" s="111"/>
      <c r="F4374" s="113" t="s">
        <v>13248</v>
      </c>
      <c r="G4374" s="114"/>
      <c r="H4374" s="115"/>
      <c r="I4374" s="24" t="s">
        <v>13262</v>
      </c>
      <c r="J4374" s="116">
        <v>4</v>
      </c>
      <c r="K4374" s="118">
        <v>400000</v>
      </c>
      <c r="L4374" s="119"/>
      <c r="M4374" s="118">
        <f t="shared" ref="M4374" si="4718">K4374*0.1</f>
        <v>40000</v>
      </c>
      <c r="N4374" s="119"/>
      <c r="O4374" s="118">
        <v>0</v>
      </c>
      <c r="P4374" s="119"/>
      <c r="Q4374" s="118">
        <v>9190</v>
      </c>
      <c r="R4374" s="119"/>
      <c r="S4374" s="118">
        <v>13200</v>
      </c>
      <c r="T4374" s="119"/>
      <c r="U4374" s="118">
        <f t="shared" ref="U4374" si="4719">SUM(K4374:T4375)</f>
        <v>462390</v>
      </c>
      <c r="V4374" s="122"/>
      <c r="W4374" s="124"/>
      <c r="X4374" s="126" t="s">
        <v>13736</v>
      </c>
      <c r="Y4374" s="127"/>
      <c r="Z4374" s="127"/>
      <c r="AA4374" s="127"/>
      <c r="AB4374" s="128"/>
      <c r="AC4374" s="15" t="s">
        <v>20</v>
      </c>
      <c r="AD4374" s="129"/>
      <c r="AE4374" s="130"/>
      <c r="AF4374" s="130"/>
      <c r="AG4374" s="130"/>
      <c r="AH4374" s="130"/>
      <c r="AI4374" s="131"/>
      <c r="AJ4374" s="132"/>
      <c r="AK4374" s="127"/>
      <c r="AL4374" s="128"/>
      <c r="AM4374" s="21"/>
      <c r="AN4374" s="133">
        <v>46018</v>
      </c>
      <c r="AO4374" s="134"/>
      <c r="AP4374" s="135">
        <v>1282</v>
      </c>
      <c r="AQ4374" s="136"/>
      <c r="AR4374" s="118">
        <v>435000</v>
      </c>
      <c r="AS4374" s="119"/>
      <c r="AT4374" s="118">
        <f t="shared" ref="AT4374" si="4720">AR4374*0.1</f>
        <v>43500</v>
      </c>
      <c r="AU4374" s="119"/>
      <c r="AV4374" s="118">
        <v>9190</v>
      </c>
      <c r="AW4374" s="119"/>
      <c r="AX4374" s="118">
        <f t="shared" ref="AX4374" si="4721">SUM(AR4374:AW4374)</f>
        <v>487690</v>
      </c>
      <c r="AY4374" s="119"/>
      <c r="AZ4374" s="137">
        <v>46028</v>
      </c>
    </row>
    <row r="4375" spans="1:52" ht="17.100000000000001" customHeight="1" thickBot="1">
      <c r="A4375" s="110"/>
      <c r="B4375" s="27" t="s">
        <v>2641</v>
      </c>
      <c r="C4375" s="27">
        <v>7013</v>
      </c>
      <c r="D4375" s="14" t="s">
        <v>904</v>
      </c>
      <c r="E4375" s="112"/>
      <c r="F4375" s="139" t="s">
        <v>13249</v>
      </c>
      <c r="G4375" s="140"/>
      <c r="H4375" s="141"/>
      <c r="I4375" s="26">
        <v>78759</v>
      </c>
      <c r="J4375" s="117"/>
      <c r="K4375" s="120"/>
      <c r="L4375" s="121"/>
      <c r="M4375" s="120"/>
      <c r="N4375" s="121"/>
      <c r="O4375" s="120"/>
      <c r="P4375" s="121"/>
      <c r="Q4375" s="120"/>
      <c r="R4375" s="121"/>
      <c r="S4375" s="120"/>
      <c r="T4375" s="121"/>
      <c r="U4375" s="120"/>
      <c r="V4375" s="123"/>
      <c r="W4375" s="125"/>
      <c r="X4375" s="142" t="s">
        <v>13734</v>
      </c>
      <c r="Y4375" s="143"/>
      <c r="Z4375" s="143"/>
      <c r="AA4375" s="143"/>
      <c r="AB4375" s="144"/>
      <c r="AC4375" s="16" t="s">
        <v>21</v>
      </c>
      <c r="AD4375" s="17" t="s">
        <v>1783</v>
      </c>
      <c r="AE4375" s="145" t="s">
        <v>3624</v>
      </c>
      <c r="AF4375" s="146"/>
      <c r="AG4375" s="146"/>
      <c r="AH4375" s="146"/>
      <c r="AI4375" s="147"/>
      <c r="AJ4375" s="148"/>
      <c r="AK4375" s="143"/>
      <c r="AL4375" s="144"/>
      <c r="AM4375" s="22"/>
      <c r="AN4375" s="149" t="s">
        <v>2511</v>
      </c>
      <c r="AO4375" s="144"/>
      <c r="AP4375" s="148">
        <v>60181</v>
      </c>
      <c r="AQ4375" s="144"/>
      <c r="AR4375" s="120"/>
      <c r="AS4375" s="121"/>
      <c r="AT4375" s="120"/>
      <c r="AU4375" s="121"/>
      <c r="AV4375" s="120"/>
      <c r="AW4375" s="121"/>
      <c r="AX4375" s="120"/>
      <c r="AY4375" s="121"/>
      <c r="AZ4375" s="138"/>
    </row>
    <row r="4376" spans="1:52" ht="17.100000000000001" customHeight="1" thickTop="1">
      <c r="A4376" s="109" t="s">
        <v>13226</v>
      </c>
      <c r="B4376" s="28">
        <v>46003</v>
      </c>
      <c r="C4376" s="25">
        <v>1398</v>
      </c>
      <c r="D4376" s="13" t="s">
        <v>2036</v>
      </c>
      <c r="E4376" s="111"/>
      <c r="F4376" s="113" t="s">
        <v>11364</v>
      </c>
      <c r="G4376" s="114"/>
      <c r="H4376" s="115"/>
      <c r="I4376" s="24"/>
      <c r="J4376" s="116">
        <v>4</v>
      </c>
      <c r="K4376" s="118">
        <v>1090000</v>
      </c>
      <c r="L4376" s="119"/>
      <c r="M4376" s="118">
        <f t="shared" ref="M4376" si="4722">K4376*0.1</f>
        <v>109000</v>
      </c>
      <c r="N4376" s="119"/>
      <c r="O4376" s="118">
        <v>0</v>
      </c>
      <c r="P4376" s="119"/>
      <c r="Q4376" s="118">
        <v>6880</v>
      </c>
      <c r="R4376" s="119"/>
      <c r="S4376" s="118">
        <v>13200</v>
      </c>
      <c r="T4376" s="119"/>
      <c r="U4376" s="118">
        <f t="shared" ref="U4376" si="4723">SUM(K4376:T4377)</f>
        <v>1219080</v>
      </c>
      <c r="V4376" s="122"/>
      <c r="W4376" s="124"/>
      <c r="X4376" s="126" t="s">
        <v>13735</v>
      </c>
      <c r="Y4376" s="127"/>
      <c r="Z4376" s="127"/>
      <c r="AA4376" s="127"/>
      <c r="AB4376" s="128"/>
      <c r="AC4376" s="15" t="s">
        <v>20</v>
      </c>
      <c r="AD4376" s="129"/>
      <c r="AE4376" s="130"/>
      <c r="AF4376" s="130"/>
      <c r="AG4376" s="130"/>
      <c r="AH4376" s="130"/>
      <c r="AI4376" s="131"/>
      <c r="AJ4376" s="132"/>
      <c r="AK4376" s="127"/>
      <c r="AL4376" s="128"/>
      <c r="AM4376" s="21"/>
      <c r="AN4376" s="133">
        <v>46008</v>
      </c>
      <c r="AO4376" s="134"/>
      <c r="AP4376" s="135">
        <v>997</v>
      </c>
      <c r="AQ4376" s="136"/>
      <c r="AR4376" s="118">
        <v>1180000</v>
      </c>
      <c r="AS4376" s="119"/>
      <c r="AT4376" s="118">
        <f t="shared" ref="AT4376" si="4724">AR4376*0.1</f>
        <v>118000</v>
      </c>
      <c r="AU4376" s="119"/>
      <c r="AV4376" s="118">
        <v>6880</v>
      </c>
      <c r="AW4376" s="119"/>
      <c r="AX4376" s="118">
        <f t="shared" ref="AX4376" si="4725">SUM(AR4376:AW4376)</f>
        <v>1304880</v>
      </c>
      <c r="AY4376" s="119"/>
      <c r="AZ4376" s="137">
        <v>46014</v>
      </c>
    </row>
    <row r="4377" spans="1:52" ht="17.100000000000001" customHeight="1" thickBot="1">
      <c r="A4377" s="110"/>
      <c r="B4377" s="27" t="s">
        <v>2641</v>
      </c>
      <c r="C4377" s="27">
        <v>7017</v>
      </c>
      <c r="D4377" s="14" t="s">
        <v>1576</v>
      </c>
      <c r="E4377" s="112"/>
      <c r="F4377" s="139" t="s">
        <v>13250</v>
      </c>
      <c r="G4377" s="140"/>
      <c r="H4377" s="141"/>
      <c r="I4377" s="26">
        <v>39875</v>
      </c>
      <c r="J4377" s="117"/>
      <c r="K4377" s="120"/>
      <c r="L4377" s="121"/>
      <c r="M4377" s="120"/>
      <c r="N4377" s="121"/>
      <c r="O4377" s="120"/>
      <c r="P4377" s="121"/>
      <c r="Q4377" s="120"/>
      <c r="R4377" s="121"/>
      <c r="S4377" s="120"/>
      <c r="T4377" s="121"/>
      <c r="U4377" s="120"/>
      <c r="V4377" s="123"/>
      <c r="W4377" s="125"/>
      <c r="X4377" s="142" t="s">
        <v>8904</v>
      </c>
      <c r="Y4377" s="143"/>
      <c r="Z4377" s="143"/>
      <c r="AA4377" s="143"/>
      <c r="AB4377" s="144"/>
      <c r="AC4377" s="16" t="s">
        <v>21</v>
      </c>
      <c r="AD4377" s="17" t="s">
        <v>1783</v>
      </c>
      <c r="AE4377" s="145" t="s">
        <v>2269</v>
      </c>
      <c r="AF4377" s="146"/>
      <c r="AG4377" s="146"/>
      <c r="AH4377" s="146"/>
      <c r="AI4377" s="147"/>
      <c r="AJ4377" s="148"/>
      <c r="AK4377" s="143"/>
      <c r="AL4377" s="144"/>
      <c r="AM4377" s="22"/>
      <c r="AN4377" s="149" t="s">
        <v>7285</v>
      </c>
      <c r="AO4377" s="144"/>
      <c r="AP4377" s="148">
        <v>2037</v>
      </c>
      <c r="AQ4377" s="144"/>
      <c r="AR4377" s="120"/>
      <c r="AS4377" s="121"/>
      <c r="AT4377" s="120"/>
      <c r="AU4377" s="121"/>
      <c r="AV4377" s="120"/>
      <c r="AW4377" s="121"/>
      <c r="AX4377" s="120"/>
      <c r="AY4377" s="121"/>
      <c r="AZ4377" s="138"/>
    </row>
    <row r="4378" spans="1:52" ht="17.100000000000001" customHeight="1" thickTop="1">
      <c r="A4378" s="109" t="s">
        <v>13227</v>
      </c>
      <c r="B4378" s="28">
        <v>46003</v>
      </c>
      <c r="C4378" s="25">
        <v>1398</v>
      </c>
      <c r="D4378" s="13" t="s">
        <v>1902</v>
      </c>
      <c r="E4378" s="111"/>
      <c r="F4378" s="113" t="s">
        <v>13251</v>
      </c>
      <c r="G4378" s="114"/>
      <c r="H4378" s="115"/>
      <c r="I4378" s="24" t="s">
        <v>13263</v>
      </c>
      <c r="J4378" s="116">
        <v>4.5</v>
      </c>
      <c r="K4378" s="118">
        <v>1650000</v>
      </c>
      <c r="L4378" s="119"/>
      <c r="M4378" s="118">
        <f t="shared" ref="M4378" si="4726">K4378*0.1</f>
        <v>165000</v>
      </c>
      <c r="N4378" s="119"/>
      <c r="O4378" s="118">
        <f>9000+900</f>
        <v>9900</v>
      </c>
      <c r="P4378" s="119"/>
      <c r="Q4378" s="118">
        <v>20580</v>
      </c>
      <c r="R4378" s="119"/>
      <c r="S4378" s="118">
        <v>19800</v>
      </c>
      <c r="T4378" s="119"/>
      <c r="U4378" s="118">
        <f t="shared" ref="U4378" si="4727">SUM(K4378:T4379)</f>
        <v>1865280</v>
      </c>
      <c r="V4378" s="122"/>
      <c r="W4378" s="124"/>
      <c r="X4378" s="126" t="s">
        <v>13843</v>
      </c>
      <c r="Y4378" s="127"/>
      <c r="Z4378" s="127"/>
      <c r="AA4378" s="127"/>
      <c r="AB4378" s="128"/>
      <c r="AC4378" s="15" t="s">
        <v>20</v>
      </c>
      <c r="AD4378" s="129" t="s">
        <v>1945</v>
      </c>
      <c r="AE4378" s="130"/>
      <c r="AF4378" s="130"/>
      <c r="AG4378" s="130"/>
      <c r="AH4378" s="130"/>
      <c r="AI4378" s="131"/>
      <c r="AJ4378" s="132"/>
      <c r="AK4378" s="127"/>
      <c r="AL4378" s="128"/>
      <c r="AM4378" s="21"/>
      <c r="AN4378" s="133">
        <v>46009</v>
      </c>
      <c r="AO4378" s="134"/>
      <c r="AP4378" s="135">
        <v>1311</v>
      </c>
      <c r="AQ4378" s="136"/>
      <c r="AR4378" s="118">
        <v>1850000</v>
      </c>
      <c r="AS4378" s="119"/>
      <c r="AT4378" s="118">
        <f t="shared" ref="AT4378" si="4728">AR4378*0.1</f>
        <v>185000</v>
      </c>
      <c r="AU4378" s="119"/>
      <c r="AV4378" s="118">
        <v>20580</v>
      </c>
      <c r="AW4378" s="119"/>
      <c r="AX4378" s="118">
        <f t="shared" ref="AX4378" si="4729">SUM(AR4378:AW4378)</f>
        <v>2055580</v>
      </c>
      <c r="AY4378" s="119"/>
      <c r="AZ4378" s="137">
        <v>46010</v>
      </c>
    </row>
    <row r="4379" spans="1:52" ht="17.100000000000001" customHeight="1" thickBot="1">
      <c r="A4379" s="110"/>
      <c r="B4379" s="27" t="s">
        <v>2641</v>
      </c>
      <c r="C4379" s="27">
        <v>7088</v>
      </c>
      <c r="D4379" s="14" t="s">
        <v>1592</v>
      </c>
      <c r="E4379" s="112"/>
      <c r="F4379" s="139" t="s">
        <v>13252</v>
      </c>
      <c r="G4379" s="140"/>
      <c r="H4379" s="141"/>
      <c r="I4379" s="26">
        <v>54186</v>
      </c>
      <c r="J4379" s="117"/>
      <c r="K4379" s="120"/>
      <c r="L4379" s="121"/>
      <c r="M4379" s="120"/>
      <c r="N4379" s="121"/>
      <c r="O4379" s="120"/>
      <c r="P4379" s="121"/>
      <c r="Q4379" s="120"/>
      <c r="R4379" s="121"/>
      <c r="S4379" s="120"/>
      <c r="T4379" s="121"/>
      <c r="U4379" s="120"/>
      <c r="V4379" s="123"/>
      <c r="W4379" s="125"/>
      <c r="X4379" s="142" t="s">
        <v>13844</v>
      </c>
      <c r="Y4379" s="143"/>
      <c r="Z4379" s="143"/>
      <c r="AA4379" s="143"/>
      <c r="AB4379" s="144"/>
      <c r="AC4379" s="16" t="s">
        <v>21</v>
      </c>
      <c r="AD4379" s="17" t="s">
        <v>13826</v>
      </c>
      <c r="AE4379" s="145" t="s">
        <v>13845</v>
      </c>
      <c r="AF4379" s="146"/>
      <c r="AG4379" s="146"/>
      <c r="AH4379" s="146"/>
      <c r="AI4379" s="147"/>
      <c r="AJ4379" s="148"/>
      <c r="AK4379" s="143"/>
      <c r="AL4379" s="144"/>
      <c r="AM4379" s="22"/>
      <c r="AN4379" s="149" t="s">
        <v>13663</v>
      </c>
      <c r="AO4379" s="144"/>
      <c r="AP4379" s="148">
        <v>150</v>
      </c>
      <c r="AQ4379" s="144"/>
      <c r="AR4379" s="120"/>
      <c r="AS4379" s="121"/>
      <c r="AT4379" s="120"/>
      <c r="AU4379" s="121"/>
      <c r="AV4379" s="120"/>
      <c r="AW4379" s="121"/>
      <c r="AX4379" s="120"/>
      <c r="AY4379" s="121"/>
      <c r="AZ4379" s="138"/>
    </row>
    <row r="4380" spans="1:52" ht="17.100000000000001" customHeight="1" thickTop="1">
      <c r="A4380" s="109" t="s">
        <v>13228</v>
      </c>
      <c r="B4380" s="28">
        <v>46003</v>
      </c>
      <c r="C4380" s="25">
        <v>1398</v>
      </c>
      <c r="D4380" s="13" t="s">
        <v>3014</v>
      </c>
      <c r="E4380" s="111"/>
      <c r="F4380" s="113" t="s">
        <v>12043</v>
      </c>
      <c r="G4380" s="114"/>
      <c r="H4380" s="115"/>
      <c r="I4380" s="24"/>
      <c r="J4380" s="116">
        <v>4</v>
      </c>
      <c r="K4380" s="118">
        <v>1750000</v>
      </c>
      <c r="L4380" s="119"/>
      <c r="M4380" s="118">
        <f t="shared" ref="M4380" si="4730">K4380*0.1</f>
        <v>175000</v>
      </c>
      <c r="N4380" s="119"/>
      <c r="O4380" s="118">
        <v>0</v>
      </c>
      <c r="P4380" s="119"/>
      <c r="Q4380" s="118">
        <v>17930</v>
      </c>
      <c r="R4380" s="119"/>
      <c r="S4380" s="118">
        <v>19800</v>
      </c>
      <c r="T4380" s="119"/>
      <c r="U4380" s="118">
        <f t="shared" ref="U4380" si="4731">SUM(K4380:T4381)</f>
        <v>1962730</v>
      </c>
      <c r="V4380" s="122"/>
      <c r="W4380" s="124"/>
      <c r="X4380" s="126" t="s">
        <v>14049</v>
      </c>
      <c r="Y4380" s="127"/>
      <c r="Z4380" s="127"/>
      <c r="AA4380" s="127"/>
      <c r="AB4380" s="128"/>
      <c r="AC4380" s="15" t="s">
        <v>20</v>
      </c>
      <c r="AD4380" s="129" t="s">
        <v>1565</v>
      </c>
      <c r="AE4380" s="130"/>
      <c r="AF4380" s="130"/>
      <c r="AG4380" s="130"/>
      <c r="AH4380" s="130"/>
      <c r="AI4380" s="131"/>
      <c r="AJ4380" s="132" t="s">
        <v>14699</v>
      </c>
      <c r="AK4380" s="127"/>
      <c r="AL4380" s="128"/>
      <c r="AM4380" s="21"/>
      <c r="AN4380" s="133">
        <v>46060</v>
      </c>
      <c r="AO4380" s="134"/>
      <c r="AP4380" s="135">
        <v>1287</v>
      </c>
      <c r="AQ4380" s="136"/>
      <c r="AR4380" s="118">
        <v>1885000</v>
      </c>
      <c r="AS4380" s="119"/>
      <c r="AT4380" s="118">
        <f t="shared" ref="AT4380" si="4732">AR4380*0.1</f>
        <v>188500</v>
      </c>
      <c r="AU4380" s="119"/>
      <c r="AV4380" s="118">
        <v>17930</v>
      </c>
      <c r="AW4380" s="119"/>
      <c r="AX4380" s="118">
        <f t="shared" ref="AX4380" si="4733">SUM(AR4380:AW4380)</f>
        <v>2091430</v>
      </c>
      <c r="AY4380" s="119"/>
      <c r="AZ4380" s="137">
        <v>46063</v>
      </c>
    </row>
    <row r="4381" spans="1:52" ht="17.100000000000001" customHeight="1" thickBot="1">
      <c r="A4381" s="110"/>
      <c r="B4381" s="27" t="s">
        <v>2641</v>
      </c>
      <c r="C4381" s="27">
        <v>7136</v>
      </c>
      <c r="D4381" s="14" t="s">
        <v>13264</v>
      </c>
      <c r="E4381" s="112"/>
      <c r="F4381" s="139" t="s">
        <v>13253</v>
      </c>
      <c r="G4381" s="140"/>
      <c r="H4381" s="141"/>
      <c r="I4381" s="26">
        <v>44454</v>
      </c>
      <c r="J4381" s="117"/>
      <c r="K4381" s="120"/>
      <c r="L4381" s="121"/>
      <c r="M4381" s="120"/>
      <c r="N4381" s="121"/>
      <c r="O4381" s="120"/>
      <c r="P4381" s="121"/>
      <c r="Q4381" s="120"/>
      <c r="R4381" s="121"/>
      <c r="S4381" s="120"/>
      <c r="T4381" s="121"/>
      <c r="U4381" s="120"/>
      <c r="V4381" s="123"/>
      <c r="W4381" s="125"/>
      <c r="X4381" s="142" t="s">
        <v>14050</v>
      </c>
      <c r="Y4381" s="143"/>
      <c r="Z4381" s="143"/>
      <c r="AA4381" s="143"/>
      <c r="AB4381" s="144"/>
      <c r="AC4381" s="16" t="s">
        <v>21</v>
      </c>
      <c r="AD4381" s="17" t="s">
        <v>14041</v>
      </c>
      <c r="AE4381" s="145" t="s">
        <v>14698</v>
      </c>
      <c r="AF4381" s="146"/>
      <c r="AG4381" s="146"/>
      <c r="AH4381" s="146"/>
      <c r="AI4381" s="147"/>
      <c r="AJ4381" s="148"/>
      <c r="AK4381" s="143"/>
      <c r="AL4381" s="144"/>
      <c r="AM4381" s="22"/>
      <c r="AN4381" s="149" t="s">
        <v>2511</v>
      </c>
      <c r="AO4381" s="144"/>
      <c r="AP4381" s="148">
        <v>80185</v>
      </c>
      <c r="AQ4381" s="144"/>
      <c r="AR4381" s="120"/>
      <c r="AS4381" s="121"/>
      <c r="AT4381" s="120"/>
      <c r="AU4381" s="121"/>
      <c r="AV4381" s="120"/>
      <c r="AW4381" s="121"/>
      <c r="AX4381" s="120"/>
      <c r="AY4381" s="121"/>
      <c r="AZ4381" s="138"/>
    </row>
    <row r="4382" spans="1:52" ht="17.100000000000001" customHeight="1" thickTop="1">
      <c r="A4382" s="151" t="s">
        <v>13229</v>
      </c>
      <c r="B4382" s="28">
        <v>46003</v>
      </c>
      <c r="C4382" s="25">
        <v>1398</v>
      </c>
      <c r="D4382" s="13" t="s">
        <v>2606</v>
      </c>
      <c r="E4382" s="111"/>
      <c r="F4382" s="113" t="s">
        <v>4683</v>
      </c>
      <c r="G4382" s="114"/>
      <c r="H4382" s="115"/>
      <c r="I4382" s="24" t="s">
        <v>13265</v>
      </c>
      <c r="J4382" s="116">
        <v>4.5</v>
      </c>
      <c r="K4382" s="118">
        <v>941000</v>
      </c>
      <c r="L4382" s="119"/>
      <c r="M4382" s="118">
        <f t="shared" ref="M4382" si="4734">K4382*0.1</f>
        <v>94100</v>
      </c>
      <c r="N4382" s="119"/>
      <c r="O4382" s="118">
        <v>0</v>
      </c>
      <c r="P4382" s="119"/>
      <c r="Q4382" s="118">
        <v>7150</v>
      </c>
      <c r="R4382" s="119"/>
      <c r="S4382" s="118">
        <v>13200</v>
      </c>
      <c r="T4382" s="119"/>
      <c r="U4382" s="118">
        <f t="shared" ref="U4382" si="4735">SUM(K4382:T4383)</f>
        <v>1055450</v>
      </c>
      <c r="V4382" s="122"/>
      <c r="W4382" s="124"/>
      <c r="X4382" s="126" t="s">
        <v>13733</v>
      </c>
      <c r="Y4382" s="127"/>
      <c r="Z4382" s="127"/>
      <c r="AA4382" s="127"/>
      <c r="AB4382" s="128"/>
      <c r="AC4382" s="15" t="s">
        <v>20</v>
      </c>
      <c r="AD4382" s="129"/>
      <c r="AE4382" s="130"/>
      <c r="AF4382" s="130"/>
      <c r="AG4382" s="130"/>
      <c r="AH4382" s="130"/>
      <c r="AI4382" s="131"/>
      <c r="AJ4382" s="132" t="s">
        <v>13968</v>
      </c>
      <c r="AK4382" s="127"/>
      <c r="AL4382" s="128"/>
      <c r="AM4382" s="21"/>
      <c r="AN4382" s="133"/>
      <c r="AO4382" s="134"/>
      <c r="AP4382" s="135"/>
      <c r="AQ4382" s="136"/>
      <c r="AR4382" s="118"/>
      <c r="AS4382" s="119"/>
      <c r="AT4382" s="118">
        <f t="shared" ref="AT4382" si="4736">AR4382*0.1</f>
        <v>0</v>
      </c>
      <c r="AU4382" s="119"/>
      <c r="AV4382" s="118"/>
      <c r="AW4382" s="119"/>
      <c r="AX4382" s="118">
        <f t="shared" ref="AX4382" si="4737">SUM(AR4382:AW4382)</f>
        <v>0</v>
      </c>
      <c r="AY4382" s="119"/>
      <c r="AZ4382" s="137"/>
    </row>
    <row r="4383" spans="1:52" ht="17.100000000000001" customHeight="1" thickBot="1">
      <c r="A4383" s="152"/>
      <c r="B4383" s="27" t="s">
        <v>2641</v>
      </c>
      <c r="C4383" s="27">
        <v>7217</v>
      </c>
      <c r="D4383" s="14" t="s">
        <v>1576</v>
      </c>
      <c r="E4383" s="112"/>
      <c r="F4383" s="139" t="s">
        <v>13254</v>
      </c>
      <c r="G4383" s="140"/>
      <c r="H4383" s="141"/>
      <c r="I4383" s="26">
        <v>43593</v>
      </c>
      <c r="J4383" s="117"/>
      <c r="K4383" s="120"/>
      <c r="L4383" s="121"/>
      <c r="M4383" s="120"/>
      <c r="N4383" s="121"/>
      <c r="O4383" s="120"/>
      <c r="P4383" s="121"/>
      <c r="Q4383" s="120"/>
      <c r="R4383" s="121"/>
      <c r="S4383" s="120"/>
      <c r="T4383" s="121"/>
      <c r="U4383" s="120"/>
      <c r="V4383" s="123"/>
      <c r="W4383" s="125"/>
      <c r="X4383" s="142" t="s">
        <v>13734</v>
      </c>
      <c r="Y4383" s="143"/>
      <c r="Z4383" s="143"/>
      <c r="AA4383" s="143"/>
      <c r="AB4383" s="144"/>
      <c r="AC4383" s="16" t="s">
        <v>21</v>
      </c>
      <c r="AD4383" s="17" t="s">
        <v>1783</v>
      </c>
      <c r="AE4383" s="145"/>
      <c r="AF4383" s="146"/>
      <c r="AG4383" s="146"/>
      <c r="AH4383" s="146"/>
      <c r="AI4383" s="147"/>
      <c r="AJ4383" s="148"/>
      <c r="AK4383" s="143"/>
      <c r="AL4383" s="144"/>
      <c r="AM4383" s="22"/>
      <c r="AN4383" s="149"/>
      <c r="AO4383" s="144"/>
      <c r="AP4383" s="148"/>
      <c r="AQ4383" s="144"/>
      <c r="AR4383" s="120"/>
      <c r="AS4383" s="121"/>
      <c r="AT4383" s="120"/>
      <c r="AU4383" s="121"/>
      <c r="AV4383" s="120"/>
      <c r="AW4383" s="121"/>
      <c r="AX4383" s="120"/>
      <c r="AY4383" s="121"/>
      <c r="AZ4383" s="138"/>
    </row>
    <row r="4384" spans="1:52" ht="17.100000000000001" customHeight="1" thickTop="1">
      <c r="A4384" s="109" t="s">
        <v>13230</v>
      </c>
      <c r="B4384" s="28">
        <v>46003</v>
      </c>
      <c r="C4384" s="25">
        <v>1398</v>
      </c>
      <c r="D4384" s="13" t="s">
        <v>2737</v>
      </c>
      <c r="E4384" s="111"/>
      <c r="F4384" s="113" t="s">
        <v>9226</v>
      </c>
      <c r="G4384" s="114"/>
      <c r="H4384" s="115"/>
      <c r="I4384" s="24" t="s">
        <v>4521</v>
      </c>
      <c r="J4384" s="116">
        <v>4.5</v>
      </c>
      <c r="K4384" s="118">
        <v>877000</v>
      </c>
      <c r="L4384" s="119"/>
      <c r="M4384" s="118">
        <f t="shared" ref="M4384" si="4738">K4384*0.1</f>
        <v>87700</v>
      </c>
      <c r="N4384" s="119"/>
      <c r="O4384" s="118">
        <v>0</v>
      </c>
      <c r="P4384" s="119"/>
      <c r="Q4384" s="118">
        <v>8740</v>
      </c>
      <c r="R4384" s="119"/>
      <c r="S4384" s="118">
        <v>13200</v>
      </c>
      <c r="T4384" s="119"/>
      <c r="U4384" s="118">
        <f t="shared" ref="U4384" si="4739">SUM(K4384:T4385)</f>
        <v>986640</v>
      </c>
      <c r="V4384" s="122"/>
      <c r="W4384" s="124"/>
      <c r="X4384" s="126" t="s">
        <v>14053</v>
      </c>
      <c r="Y4384" s="127"/>
      <c r="Z4384" s="127"/>
      <c r="AA4384" s="127"/>
      <c r="AB4384" s="128"/>
      <c r="AC4384" s="15" t="s">
        <v>20</v>
      </c>
      <c r="AD4384" s="129" t="s">
        <v>1633</v>
      </c>
      <c r="AE4384" s="130"/>
      <c r="AF4384" s="130"/>
      <c r="AG4384" s="130"/>
      <c r="AH4384" s="130"/>
      <c r="AI4384" s="131"/>
      <c r="AJ4384" s="132"/>
      <c r="AK4384" s="127"/>
      <c r="AL4384" s="128"/>
      <c r="AM4384" s="21"/>
      <c r="AN4384" s="133">
        <v>46018</v>
      </c>
      <c r="AO4384" s="134"/>
      <c r="AP4384" s="135">
        <v>1282</v>
      </c>
      <c r="AQ4384" s="136"/>
      <c r="AR4384" s="118">
        <v>960000</v>
      </c>
      <c r="AS4384" s="119"/>
      <c r="AT4384" s="118">
        <f t="shared" ref="AT4384" si="4740">AR4384*0.1</f>
        <v>96000</v>
      </c>
      <c r="AU4384" s="119"/>
      <c r="AV4384" s="118">
        <v>8740</v>
      </c>
      <c r="AW4384" s="119"/>
      <c r="AX4384" s="118">
        <f t="shared" ref="AX4384" si="4741">SUM(AR4384:AW4384)</f>
        <v>1064740</v>
      </c>
      <c r="AY4384" s="119"/>
      <c r="AZ4384" s="137">
        <v>46028</v>
      </c>
    </row>
    <row r="4385" spans="1:52" ht="17.100000000000001" customHeight="1" thickBot="1">
      <c r="A4385" s="110"/>
      <c r="B4385" s="27" t="s">
        <v>2641</v>
      </c>
      <c r="C4385" s="27">
        <v>7225</v>
      </c>
      <c r="D4385" s="14" t="s">
        <v>1576</v>
      </c>
      <c r="E4385" s="112"/>
      <c r="F4385" s="139" t="s">
        <v>13255</v>
      </c>
      <c r="G4385" s="140"/>
      <c r="H4385" s="141"/>
      <c r="I4385" s="26">
        <v>63783</v>
      </c>
      <c r="J4385" s="117"/>
      <c r="K4385" s="120"/>
      <c r="L4385" s="121"/>
      <c r="M4385" s="120"/>
      <c r="N4385" s="121"/>
      <c r="O4385" s="120"/>
      <c r="P4385" s="121"/>
      <c r="Q4385" s="120"/>
      <c r="R4385" s="121"/>
      <c r="S4385" s="120"/>
      <c r="T4385" s="121"/>
      <c r="U4385" s="120"/>
      <c r="V4385" s="123"/>
      <c r="W4385" s="125"/>
      <c r="X4385" s="142" t="s">
        <v>4619</v>
      </c>
      <c r="Y4385" s="143"/>
      <c r="Z4385" s="143"/>
      <c r="AA4385" s="143"/>
      <c r="AB4385" s="144"/>
      <c r="AC4385" s="16" t="s">
        <v>21</v>
      </c>
      <c r="AD4385" s="17" t="s">
        <v>14041</v>
      </c>
      <c r="AE4385" s="145" t="s">
        <v>1658</v>
      </c>
      <c r="AF4385" s="146"/>
      <c r="AG4385" s="146"/>
      <c r="AH4385" s="146"/>
      <c r="AI4385" s="147"/>
      <c r="AJ4385" s="148"/>
      <c r="AK4385" s="143"/>
      <c r="AL4385" s="144"/>
      <c r="AM4385" s="22"/>
      <c r="AN4385" s="149" t="s">
        <v>2511</v>
      </c>
      <c r="AO4385" s="144"/>
      <c r="AP4385" s="148">
        <v>60134</v>
      </c>
      <c r="AQ4385" s="144"/>
      <c r="AR4385" s="120"/>
      <c r="AS4385" s="121"/>
      <c r="AT4385" s="120"/>
      <c r="AU4385" s="121"/>
      <c r="AV4385" s="120"/>
      <c r="AW4385" s="121"/>
      <c r="AX4385" s="120"/>
      <c r="AY4385" s="121"/>
      <c r="AZ4385" s="138"/>
    </row>
    <row r="4386" spans="1:52" ht="17.100000000000001" customHeight="1" thickTop="1">
      <c r="A4386" s="109" t="s">
        <v>13231</v>
      </c>
      <c r="B4386" s="28">
        <v>46003</v>
      </c>
      <c r="C4386" s="25">
        <v>1398</v>
      </c>
      <c r="D4386" s="13" t="s">
        <v>4609</v>
      </c>
      <c r="E4386" s="111"/>
      <c r="F4386" s="113" t="s">
        <v>13256</v>
      </c>
      <c r="G4386" s="114"/>
      <c r="H4386" s="115"/>
      <c r="I4386" s="24"/>
      <c r="J4386" s="116">
        <v>3.5</v>
      </c>
      <c r="K4386" s="118">
        <v>210000</v>
      </c>
      <c r="L4386" s="119"/>
      <c r="M4386" s="118">
        <f t="shared" ref="M4386" si="4742">K4386*0.1</f>
        <v>21000</v>
      </c>
      <c r="N4386" s="119"/>
      <c r="O4386" s="118">
        <v>0</v>
      </c>
      <c r="P4386" s="119"/>
      <c r="Q4386" s="118">
        <v>9200</v>
      </c>
      <c r="R4386" s="119"/>
      <c r="S4386" s="118">
        <v>13200</v>
      </c>
      <c r="T4386" s="119"/>
      <c r="U4386" s="118">
        <f t="shared" ref="U4386" si="4743">SUM(K4386:T4387)</f>
        <v>253400</v>
      </c>
      <c r="V4386" s="122"/>
      <c r="W4386" s="124"/>
      <c r="X4386" s="126" t="s">
        <v>13763</v>
      </c>
      <c r="Y4386" s="127"/>
      <c r="Z4386" s="127"/>
      <c r="AA4386" s="127"/>
      <c r="AB4386" s="128"/>
      <c r="AC4386" s="15" t="s">
        <v>20</v>
      </c>
      <c r="AD4386" s="129"/>
      <c r="AE4386" s="130"/>
      <c r="AF4386" s="130"/>
      <c r="AG4386" s="130"/>
      <c r="AH4386" s="130"/>
      <c r="AI4386" s="131"/>
      <c r="AJ4386" s="132"/>
      <c r="AK4386" s="127"/>
      <c r="AL4386" s="128"/>
      <c r="AM4386" s="21"/>
      <c r="AN4386" s="133">
        <v>46011</v>
      </c>
      <c r="AO4386" s="134"/>
      <c r="AP4386" s="135">
        <v>1281</v>
      </c>
      <c r="AQ4386" s="136"/>
      <c r="AR4386" s="118">
        <v>290000</v>
      </c>
      <c r="AS4386" s="119"/>
      <c r="AT4386" s="118">
        <f t="shared" ref="AT4386" si="4744">AR4386*0.1</f>
        <v>29000</v>
      </c>
      <c r="AU4386" s="119"/>
      <c r="AV4386" s="118">
        <v>9200</v>
      </c>
      <c r="AW4386" s="119"/>
      <c r="AX4386" s="118">
        <f t="shared" ref="AX4386" si="4745">SUM(AR4386:AW4386)</f>
        <v>328200</v>
      </c>
      <c r="AY4386" s="119"/>
      <c r="AZ4386" s="137">
        <v>46014</v>
      </c>
    </row>
    <row r="4387" spans="1:52" ht="17.100000000000001" customHeight="1" thickBot="1">
      <c r="A4387" s="110"/>
      <c r="B4387" s="27" t="s">
        <v>2641</v>
      </c>
      <c r="C4387" s="27">
        <v>9067</v>
      </c>
      <c r="D4387" s="14" t="s">
        <v>2040</v>
      </c>
      <c r="E4387" s="112"/>
      <c r="F4387" s="139" t="s">
        <v>13257</v>
      </c>
      <c r="G4387" s="140"/>
      <c r="H4387" s="141"/>
      <c r="I4387" s="26">
        <v>40650</v>
      </c>
      <c r="J4387" s="117"/>
      <c r="K4387" s="120"/>
      <c r="L4387" s="121"/>
      <c r="M4387" s="120"/>
      <c r="N4387" s="121"/>
      <c r="O4387" s="120"/>
      <c r="P4387" s="121"/>
      <c r="Q4387" s="120"/>
      <c r="R4387" s="121"/>
      <c r="S4387" s="120"/>
      <c r="T4387" s="121"/>
      <c r="U4387" s="120"/>
      <c r="V4387" s="123"/>
      <c r="W4387" s="125"/>
      <c r="X4387" s="142" t="s">
        <v>2918</v>
      </c>
      <c r="Y4387" s="143"/>
      <c r="Z4387" s="143"/>
      <c r="AA4387" s="143"/>
      <c r="AB4387" s="144"/>
      <c r="AC4387" s="16" t="s">
        <v>21</v>
      </c>
      <c r="AD4387" s="17" t="s">
        <v>3476</v>
      </c>
      <c r="AE4387" s="145"/>
      <c r="AF4387" s="146"/>
      <c r="AG4387" s="146"/>
      <c r="AH4387" s="146"/>
      <c r="AI4387" s="147"/>
      <c r="AJ4387" s="148"/>
      <c r="AK4387" s="143"/>
      <c r="AL4387" s="144"/>
      <c r="AM4387" s="22"/>
      <c r="AN4387" s="149" t="s">
        <v>2511</v>
      </c>
      <c r="AO4387" s="144"/>
      <c r="AP4387" s="148">
        <v>60320</v>
      </c>
      <c r="AQ4387" s="144"/>
      <c r="AR4387" s="120"/>
      <c r="AS4387" s="121"/>
      <c r="AT4387" s="120"/>
      <c r="AU4387" s="121"/>
      <c r="AV4387" s="120"/>
      <c r="AW4387" s="121"/>
      <c r="AX4387" s="120"/>
      <c r="AY4387" s="121"/>
      <c r="AZ4387" s="138"/>
    </row>
    <row r="4388" spans="1:52" ht="17.100000000000001" customHeight="1" thickTop="1">
      <c r="A4388" s="109" t="s">
        <v>13403</v>
      </c>
      <c r="B4388" s="28">
        <v>46004</v>
      </c>
      <c r="C4388" s="25"/>
      <c r="D4388" s="13" t="s">
        <v>2737</v>
      </c>
      <c r="E4388" s="111"/>
      <c r="F4388" s="113" t="s">
        <v>13233</v>
      </c>
      <c r="G4388" s="114"/>
      <c r="H4388" s="115"/>
      <c r="I4388" s="24" t="s">
        <v>5423</v>
      </c>
      <c r="J4388" s="116">
        <v>4.5</v>
      </c>
      <c r="K4388" s="118">
        <f>2893000/1.1</f>
        <v>2630000</v>
      </c>
      <c r="L4388" s="119"/>
      <c r="M4388" s="118">
        <f t="shared" ref="M4388" si="4746">K4388*0.1</f>
        <v>263000</v>
      </c>
      <c r="N4388" s="119"/>
      <c r="O4388" s="118">
        <v>6000</v>
      </c>
      <c r="P4388" s="119"/>
      <c r="Q4388" s="118">
        <v>14490</v>
      </c>
      <c r="R4388" s="119"/>
      <c r="S4388" s="118">
        <v>0</v>
      </c>
      <c r="T4388" s="119"/>
      <c r="U4388" s="118">
        <f t="shared" ref="U4388" si="4747">SUM(K4388:T4389)</f>
        <v>2913490</v>
      </c>
      <c r="V4388" s="122"/>
      <c r="W4388" s="124"/>
      <c r="X4388" s="126" t="s">
        <v>16171</v>
      </c>
      <c r="Y4388" s="127"/>
      <c r="Z4388" s="127"/>
      <c r="AA4388" s="127"/>
      <c r="AB4388" s="128"/>
      <c r="AC4388" s="15" t="s">
        <v>20</v>
      </c>
      <c r="AD4388" s="129" t="s">
        <v>1945</v>
      </c>
      <c r="AE4388" s="130"/>
      <c r="AF4388" s="130"/>
      <c r="AG4388" s="130"/>
      <c r="AH4388" s="130"/>
      <c r="AI4388" s="131"/>
      <c r="AJ4388" s="132"/>
      <c r="AK4388" s="127"/>
      <c r="AL4388" s="128"/>
      <c r="AM4388" s="21"/>
      <c r="AN4388" s="133">
        <v>46046</v>
      </c>
      <c r="AO4388" s="134"/>
      <c r="AP4388" s="135">
        <v>1285</v>
      </c>
      <c r="AQ4388" s="136"/>
      <c r="AR4388" s="118">
        <v>2755000</v>
      </c>
      <c r="AS4388" s="119"/>
      <c r="AT4388" s="118">
        <f t="shared" ref="AT4388" si="4748">AR4388*0.1</f>
        <v>275500</v>
      </c>
      <c r="AU4388" s="119"/>
      <c r="AV4388" s="118">
        <v>14490</v>
      </c>
      <c r="AW4388" s="119"/>
      <c r="AX4388" s="118">
        <f t="shared" ref="AX4388" si="4749">SUM(AR4388:AW4388)</f>
        <v>3044990</v>
      </c>
      <c r="AY4388" s="119"/>
      <c r="AZ4388" s="137">
        <v>46051</v>
      </c>
    </row>
    <row r="4389" spans="1:52" ht="17.100000000000001" customHeight="1" thickBot="1">
      <c r="A4389" s="110"/>
      <c r="B4389" s="27" t="s">
        <v>1718</v>
      </c>
      <c r="C4389" s="27" t="s">
        <v>13232</v>
      </c>
      <c r="D4389" s="14" t="s">
        <v>2601</v>
      </c>
      <c r="E4389" s="112"/>
      <c r="F4389" s="139" t="s">
        <v>13234</v>
      </c>
      <c r="G4389" s="140"/>
      <c r="H4389" s="141"/>
      <c r="I4389" s="26">
        <v>47961</v>
      </c>
      <c r="J4389" s="117"/>
      <c r="K4389" s="120"/>
      <c r="L4389" s="121"/>
      <c r="M4389" s="120"/>
      <c r="N4389" s="121"/>
      <c r="O4389" s="120"/>
      <c r="P4389" s="121"/>
      <c r="Q4389" s="120"/>
      <c r="R4389" s="121"/>
      <c r="S4389" s="120"/>
      <c r="T4389" s="121"/>
      <c r="U4389" s="120"/>
      <c r="V4389" s="123"/>
      <c r="W4389" s="125"/>
      <c r="X4389" s="142" t="s">
        <v>4285</v>
      </c>
      <c r="Y4389" s="143"/>
      <c r="Z4389" s="143"/>
      <c r="AA4389" s="143"/>
      <c r="AB4389" s="144"/>
      <c r="AC4389" s="16" t="s">
        <v>21</v>
      </c>
      <c r="AD4389" s="17" t="s">
        <v>16172</v>
      </c>
      <c r="AE4389" s="145" t="s">
        <v>1614</v>
      </c>
      <c r="AF4389" s="146"/>
      <c r="AG4389" s="146"/>
      <c r="AH4389" s="146"/>
      <c r="AI4389" s="147"/>
      <c r="AJ4389" s="148"/>
      <c r="AK4389" s="143"/>
      <c r="AL4389" s="144"/>
      <c r="AM4389" s="22"/>
      <c r="AN4389" s="149" t="s">
        <v>2511</v>
      </c>
      <c r="AO4389" s="144"/>
      <c r="AP4389" s="148">
        <v>37597</v>
      </c>
      <c r="AQ4389" s="144"/>
      <c r="AR4389" s="120"/>
      <c r="AS4389" s="121"/>
      <c r="AT4389" s="120"/>
      <c r="AU4389" s="121"/>
      <c r="AV4389" s="120"/>
      <c r="AW4389" s="121"/>
      <c r="AX4389" s="120"/>
      <c r="AY4389" s="121"/>
      <c r="AZ4389" s="138"/>
    </row>
    <row r="4390" spans="1:52" ht="17.100000000000001" customHeight="1" thickTop="1">
      <c r="A4390" s="109" t="s">
        <v>13404</v>
      </c>
      <c r="B4390" s="28">
        <v>46004</v>
      </c>
      <c r="C4390" s="25">
        <v>291</v>
      </c>
      <c r="D4390" s="13" t="s">
        <v>1920</v>
      </c>
      <c r="E4390" s="111"/>
      <c r="F4390" s="113" t="s">
        <v>16876</v>
      </c>
      <c r="G4390" s="114"/>
      <c r="H4390" s="115"/>
      <c r="I4390" s="24"/>
      <c r="J4390" s="116">
        <v>4</v>
      </c>
      <c r="K4390" s="118">
        <v>1101000</v>
      </c>
      <c r="L4390" s="119"/>
      <c r="M4390" s="118">
        <f t="shared" ref="M4390" si="4750">K4390*0.1</f>
        <v>110100</v>
      </c>
      <c r="N4390" s="119"/>
      <c r="O4390" s="118">
        <v>0</v>
      </c>
      <c r="P4390" s="119"/>
      <c r="Q4390" s="118">
        <v>13610</v>
      </c>
      <c r="R4390" s="119"/>
      <c r="S4390" s="118">
        <v>15950</v>
      </c>
      <c r="T4390" s="119"/>
      <c r="U4390" s="118">
        <f t="shared" ref="U4390" si="4751">SUM(K4390:T4391)</f>
        <v>1240660</v>
      </c>
      <c r="V4390" s="122"/>
      <c r="W4390" s="124"/>
      <c r="X4390" s="126" t="s">
        <v>13660</v>
      </c>
      <c r="Y4390" s="127"/>
      <c r="Z4390" s="127"/>
      <c r="AA4390" s="127"/>
      <c r="AB4390" s="128"/>
      <c r="AC4390" s="15" t="s">
        <v>20</v>
      </c>
      <c r="AD4390" s="129" t="s">
        <v>171</v>
      </c>
      <c r="AE4390" s="130"/>
      <c r="AF4390" s="130"/>
      <c r="AG4390" s="130"/>
      <c r="AH4390" s="130"/>
      <c r="AI4390" s="131"/>
      <c r="AJ4390" s="132"/>
      <c r="AK4390" s="127"/>
      <c r="AL4390" s="128"/>
      <c r="AM4390" s="21"/>
      <c r="AN4390" s="133">
        <v>46057</v>
      </c>
      <c r="AO4390" s="134"/>
      <c r="AP4390" s="135">
        <v>1003</v>
      </c>
      <c r="AQ4390" s="136"/>
      <c r="AR4390" s="118">
        <v>1185000</v>
      </c>
      <c r="AS4390" s="119"/>
      <c r="AT4390" s="118">
        <f t="shared" ref="AT4390" si="4752">AR4390*0.1</f>
        <v>118500</v>
      </c>
      <c r="AU4390" s="119"/>
      <c r="AV4390" s="118">
        <v>13610</v>
      </c>
      <c r="AW4390" s="119"/>
      <c r="AX4390" s="118">
        <f t="shared" ref="AX4390" si="4753">SUM(AR4390:AW4390)</f>
        <v>1317110</v>
      </c>
      <c r="AY4390" s="119"/>
      <c r="AZ4390" s="137">
        <v>46062</v>
      </c>
    </row>
    <row r="4391" spans="1:52" ht="17.100000000000001" customHeight="1" thickBot="1">
      <c r="A4391" s="110"/>
      <c r="B4391" s="27" t="s">
        <v>3574</v>
      </c>
      <c r="C4391" s="27">
        <v>80072</v>
      </c>
      <c r="D4391" s="14" t="s">
        <v>2601</v>
      </c>
      <c r="E4391" s="112"/>
      <c r="F4391" s="139" t="s">
        <v>13235</v>
      </c>
      <c r="G4391" s="140"/>
      <c r="H4391" s="141"/>
      <c r="I4391" s="26">
        <v>29922</v>
      </c>
      <c r="J4391" s="117"/>
      <c r="K4391" s="120"/>
      <c r="L4391" s="121"/>
      <c r="M4391" s="120"/>
      <c r="N4391" s="121"/>
      <c r="O4391" s="120"/>
      <c r="P4391" s="121"/>
      <c r="Q4391" s="120"/>
      <c r="R4391" s="121"/>
      <c r="S4391" s="120"/>
      <c r="T4391" s="121"/>
      <c r="U4391" s="120"/>
      <c r="V4391" s="123"/>
      <c r="W4391" s="125"/>
      <c r="X4391" s="142" t="s">
        <v>3576</v>
      </c>
      <c r="Y4391" s="143"/>
      <c r="Z4391" s="143"/>
      <c r="AA4391" s="143"/>
      <c r="AB4391" s="144"/>
      <c r="AC4391" s="16" t="s">
        <v>21</v>
      </c>
      <c r="AD4391" s="17" t="s">
        <v>1783</v>
      </c>
      <c r="AE4391" s="145" t="s">
        <v>3609</v>
      </c>
      <c r="AF4391" s="146"/>
      <c r="AG4391" s="146"/>
      <c r="AH4391" s="146"/>
      <c r="AI4391" s="147"/>
      <c r="AJ4391" s="148"/>
      <c r="AK4391" s="143"/>
      <c r="AL4391" s="144"/>
      <c r="AM4391" s="22"/>
      <c r="AN4391" s="149" t="s">
        <v>2794</v>
      </c>
      <c r="AO4391" s="144"/>
      <c r="AP4391" s="148">
        <v>6124</v>
      </c>
      <c r="AQ4391" s="144"/>
      <c r="AR4391" s="120"/>
      <c r="AS4391" s="121"/>
      <c r="AT4391" s="120"/>
      <c r="AU4391" s="121"/>
      <c r="AV4391" s="120"/>
      <c r="AW4391" s="121"/>
      <c r="AX4391" s="120"/>
      <c r="AY4391" s="121"/>
      <c r="AZ4391" s="138"/>
    </row>
    <row r="4392" spans="1:52" ht="17.100000000000001" customHeight="1" thickTop="1">
      <c r="A4392" s="109" t="s">
        <v>13405</v>
      </c>
      <c r="B4392" s="28">
        <v>46004</v>
      </c>
      <c r="C4392" s="25">
        <v>1002</v>
      </c>
      <c r="D4392" s="13" t="s">
        <v>1649</v>
      </c>
      <c r="E4392" s="111"/>
      <c r="F4392" s="113" t="s">
        <v>1938</v>
      </c>
      <c r="G4392" s="114"/>
      <c r="H4392" s="115"/>
      <c r="I4392" s="24"/>
      <c r="J4392" s="116">
        <v>4</v>
      </c>
      <c r="K4392" s="118">
        <v>535000</v>
      </c>
      <c r="L4392" s="119"/>
      <c r="M4392" s="118">
        <f t="shared" ref="M4392" si="4754">K4392*0.1</f>
        <v>53500</v>
      </c>
      <c r="N4392" s="119"/>
      <c r="O4392" s="118">
        <v>0</v>
      </c>
      <c r="P4392" s="119"/>
      <c r="Q4392" s="118">
        <v>18960</v>
      </c>
      <c r="R4392" s="119"/>
      <c r="S4392" s="118">
        <v>19250</v>
      </c>
      <c r="T4392" s="119"/>
      <c r="U4392" s="118">
        <f t="shared" ref="U4392" si="4755">SUM(K4392:T4393)</f>
        <v>626710</v>
      </c>
      <c r="V4392" s="122"/>
      <c r="W4392" s="124"/>
      <c r="X4392" s="126" t="s">
        <v>13835</v>
      </c>
      <c r="Y4392" s="127"/>
      <c r="Z4392" s="127"/>
      <c r="AA4392" s="127"/>
      <c r="AB4392" s="128"/>
      <c r="AC4392" s="15" t="s">
        <v>20</v>
      </c>
      <c r="AD4392" s="129" t="s">
        <v>1581</v>
      </c>
      <c r="AE4392" s="130"/>
      <c r="AF4392" s="130"/>
      <c r="AG4392" s="130"/>
      <c r="AH4392" s="130"/>
      <c r="AI4392" s="131"/>
      <c r="AJ4392" s="132"/>
      <c r="AK4392" s="127"/>
      <c r="AL4392" s="128"/>
      <c r="AM4392" s="21"/>
      <c r="AN4392" s="133">
        <v>46011</v>
      </c>
      <c r="AO4392" s="134"/>
      <c r="AP4392" s="135">
        <v>1281</v>
      </c>
      <c r="AQ4392" s="136"/>
      <c r="AR4392" s="118">
        <v>675000</v>
      </c>
      <c r="AS4392" s="119"/>
      <c r="AT4392" s="118">
        <f t="shared" ref="AT4392" si="4756">AR4392*0.1</f>
        <v>67500</v>
      </c>
      <c r="AU4392" s="119"/>
      <c r="AV4392" s="118">
        <v>18960</v>
      </c>
      <c r="AW4392" s="119"/>
      <c r="AX4392" s="118">
        <f t="shared" ref="AX4392" si="4757">SUM(AR4392:AW4392)</f>
        <v>761460</v>
      </c>
      <c r="AY4392" s="119"/>
      <c r="AZ4392" s="137">
        <v>46014</v>
      </c>
    </row>
    <row r="4393" spans="1:52" ht="17.100000000000001" customHeight="1" thickBot="1">
      <c r="A4393" s="110"/>
      <c r="B4393" s="27" t="s">
        <v>1707</v>
      </c>
      <c r="C4393" s="27">
        <v>5106</v>
      </c>
      <c r="D4393" s="14" t="s">
        <v>133</v>
      </c>
      <c r="E4393" s="112"/>
      <c r="F4393" s="139" t="s">
        <v>13402</v>
      </c>
      <c r="G4393" s="140"/>
      <c r="H4393" s="141"/>
      <c r="I4393" s="26">
        <v>44677</v>
      </c>
      <c r="J4393" s="117"/>
      <c r="K4393" s="120"/>
      <c r="L4393" s="121"/>
      <c r="M4393" s="120"/>
      <c r="N4393" s="121"/>
      <c r="O4393" s="120"/>
      <c r="P4393" s="121"/>
      <c r="Q4393" s="120"/>
      <c r="R4393" s="121"/>
      <c r="S4393" s="120"/>
      <c r="T4393" s="121"/>
      <c r="U4393" s="120"/>
      <c r="V4393" s="123"/>
      <c r="W4393" s="125"/>
      <c r="X4393" s="142" t="s">
        <v>13836</v>
      </c>
      <c r="Y4393" s="143"/>
      <c r="Z4393" s="143"/>
      <c r="AA4393" s="143"/>
      <c r="AB4393" s="144"/>
      <c r="AC4393" s="16" t="s">
        <v>21</v>
      </c>
      <c r="AD4393" s="17" t="s">
        <v>13826</v>
      </c>
      <c r="AE4393" s="145" t="s">
        <v>5275</v>
      </c>
      <c r="AF4393" s="146"/>
      <c r="AG4393" s="146"/>
      <c r="AH4393" s="146"/>
      <c r="AI4393" s="147"/>
      <c r="AJ4393" s="148"/>
      <c r="AK4393" s="143"/>
      <c r="AL4393" s="144"/>
      <c r="AM4393" s="22"/>
      <c r="AN4393" s="149" t="s">
        <v>2511</v>
      </c>
      <c r="AO4393" s="144"/>
      <c r="AP4393" s="148">
        <v>80328</v>
      </c>
      <c r="AQ4393" s="144"/>
      <c r="AR4393" s="120"/>
      <c r="AS4393" s="121"/>
      <c r="AT4393" s="120"/>
      <c r="AU4393" s="121"/>
      <c r="AV4393" s="120"/>
      <c r="AW4393" s="121"/>
      <c r="AX4393" s="120"/>
      <c r="AY4393" s="121"/>
      <c r="AZ4393" s="138"/>
    </row>
    <row r="4394" spans="1:52" ht="17.100000000000001" customHeight="1" thickTop="1">
      <c r="A4394" s="109" t="s">
        <v>13406</v>
      </c>
      <c r="B4394" s="28">
        <v>46004</v>
      </c>
      <c r="C4394" s="25">
        <v>1280</v>
      </c>
      <c r="D4394" s="13" t="s">
        <v>1988</v>
      </c>
      <c r="E4394" s="111"/>
      <c r="F4394" s="113" t="s">
        <v>13266</v>
      </c>
      <c r="G4394" s="114"/>
      <c r="H4394" s="115"/>
      <c r="I4394" s="24" t="s">
        <v>13268</v>
      </c>
      <c r="J4394" s="116">
        <v>4.5</v>
      </c>
      <c r="K4394" s="118">
        <v>1805000</v>
      </c>
      <c r="L4394" s="119"/>
      <c r="M4394" s="118">
        <f t="shared" ref="M4394" si="4758">K4394*0.1</f>
        <v>180500</v>
      </c>
      <c r="N4394" s="119"/>
      <c r="O4394" s="118">
        <f>7600+760</f>
        <v>8360</v>
      </c>
      <c r="P4394" s="119"/>
      <c r="Q4394" s="118">
        <v>11650</v>
      </c>
      <c r="R4394" s="119"/>
      <c r="S4394" s="118">
        <v>12100</v>
      </c>
      <c r="T4394" s="119"/>
      <c r="U4394" s="118">
        <f t="shared" ref="U4394" si="4759">SUM(K4394:T4395)</f>
        <v>2017610</v>
      </c>
      <c r="V4394" s="122"/>
      <c r="W4394" s="124"/>
      <c r="X4394" s="126" t="s">
        <v>13269</v>
      </c>
      <c r="Y4394" s="127"/>
      <c r="Z4394" s="127"/>
      <c r="AA4394" s="127"/>
      <c r="AB4394" s="128"/>
      <c r="AC4394" s="15" t="s">
        <v>20</v>
      </c>
      <c r="AD4394" s="129" t="s">
        <v>4420</v>
      </c>
      <c r="AE4394" s="130"/>
      <c r="AF4394" s="130"/>
      <c r="AG4394" s="130"/>
      <c r="AH4394" s="130"/>
      <c r="AI4394" s="131"/>
      <c r="AJ4394" s="132"/>
      <c r="AK4394" s="127"/>
      <c r="AL4394" s="128"/>
      <c r="AM4394" s="21"/>
      <c r="AN4394" s="133">
        <v>46029</v>
      </c>
      <c r="AO4394" s="134"/>
      <c r="AP4394" s="135">
        <v>999</v>
      </c>
      <c r="AQ4394" s="136"/>
      <c r="AR4394" s="118">
        <v>1825000</v>
      </c>
      <c r="AS4394" s="119"/>
      <c r="AT4394" s="118">
        <f t="shared" ref="AT4394" si="4760">AR4394*0.1</f>
        <v>182500</v>
      </c>
      <c r="AU4394" s="119"/>
      <c r="AV4394" s="118">
        <v>11650</v>
      </c>
      <c r="AW4394" s="119"/>
      <c r="AX4394" s="118">
        <f t="shared" ref="AX4394" si="4761">SUM(AR4394:AW4394)</f>
        <v>2019150</v>
      </c>
      <c r="AY4394" s="119"/>
      <c r="AZ4394" s="137">
        <v>46035</v>
      </c>
    </row>
    <row r="4395" spans="1:52" ht="17.100000000000001" customHeight="1" thickBot="1">
      <c r="A4395" s="110"/>
      <c r="B4395" s="27" t="s">
        <v>2511</v>
      </c>
      <c r="C4395" s="27">
        <v>31099</v>
      </c>
      <c r="D4395" s="14" t="s">
        <v>904</v>
      </c>
      <c r="E4395" s="112"/>
      <c r="F4395" s="139" t="s">
        <v>13267</v>
      </c>
      <c r="G4395" s="140"/>
      <c r="H4395" s="141"/>
      <c r="I4395" s="26">
        <v>40295</v>
      </c>
      <c r="J4395" s="117"/>
      <c r="K4395" s="120"/>
      <c r="L4395" s="121"/>
      <c r="M4395" s="120"/>
      <c r="N4395" s="121"/>
      <c r="O4395" s="120"/>
      <c r="P4395" s="121"/>
      <c r="Q4395" s="120"/>
      <c r="R4395" s="121"/>
      <c r="S4395" s="120"/>
      <c r="T4395" s="121"/>
      <c r="U4395" s="120"/>
      <c r="V4395" s="123"/>
      <c r="W4395" s="125"/>
      <c r="X4395" s="142" t="s">
        <v>13931</v>
      </c>
      <c r="Y4395" s="143"/>
      <c r="Z4395" s="143"/>
      <c r="AA4395" s="143"/>
      <c r="AB4395" s="144"/>
      <c r="AC4395" s="16" t="s">
        <v>21</v>
      </c>
      <c r="AD4395" s="17" t="s">
        <v>1809</v>
      </c>
      <c r="AE4395" s="145" t="s">
        <v>3641</v>
      </c>
      <c r="AF4395" s="146"/>
      <c r="AG4395" s="146"/>
      <c r="AH4395" s="146"/>
      <c r="AI4395" s="147"/>
      <c r="AJ4395" s="148"/>
      <c r="AK4395" s="143"/>
      <c r="AL4395" s="144"/>
      <c r="AM4395" s="22"/>
      <c r="AN4395" s="149" t="s">
        <v>2794</v>
      </c>
      <c r="AO4395" s="144"/>
      <c r="AP4395" s="148">
        <v>6089</v>
      </c>
      <c r="AQ4395" s="144"/>
      <c r="AR4395" s="120"/>
      <c r="AS4395" s="121"/>
      <c r="AT4395" s="120"/>
      <c r="AU4395" s="121"/>
      <c r="AV4395" s="120"/>
      <c r="AW4395" s="121"/>
      <c r="AX4395" s="120"/>
      <c r="AY4395" s="121"/>
      <c r="AZ4395" s="138"/>
    </row>
    <row r="4396" spans="1:52" ht="17.100000000000001" customHeight="1" thickTop="1">
      <c r="A4396" s="109" t="s">
        <v>13407</v>
      </c>
      <c r="B4396" s="28">
        <v>46004</v>
      </c>
      <c r="C4396" s="25">
        <v>1280</v>
      </c>
      <c r="D4396" s="13" t="s">
        <v>1902</v>
      </c>
      <c r="E4396" s="111"/>
      <c r="F4396" s="113" t="s">
        <v>13270</v>
      </c>
      <c r="G4396" s="114"/>
      <c r="H4396" s="115"/>
      <c r="I4396" s="24"/>
      <c r="J4396" s="116">
        <v>4</v>
      </c>
      <c r="K4396" s="118">
        <v>1935000</v>
      </c>
      <c r="L4396" s="119"/>
      <c r="M4396" s="118">
        <f t="shared" ref="M4396" si="4762">K4396*0.1</f>
        <v>193500</v>
      </c>
      <c r="N4396" s="119"/>
      <c r="O4396" s="118">
        <v>0</v>
      </c>
      <c r="P4396" s="119"/>
      <c r="Q4396" s="118">
        <v>10060</v>
      </c>
      <c r="R4396" s="119"/>
      <c r="S4396" s="118">
        <v>12100</v>
      </c>
      <c r="T4396" s="119"/>
      <c r="U4396" s="118">
        <f t="shared" ref="U4396" si="4763">SUM(K4396:T4397)</f>
        <v>2150660</v>
      </c>
      <c r="V4396" s="122"/>
      <c r="W4396" s="124"/>
      <c r="X4396" s="126" t="s">
        <v>13921</v>
      </c>
      <c r="Y4396" s="127"/>
      <c r="Z4396" s="127"/>
      <c r="AA4396" s="127"/>
      <c r="AB4396" s="128"/>
      <c r="AC4396" s="15" t="s">
        <v>20</v>
      </c>
      <c r="AD4396" s="129" t="s">
        <v>12995</v>
      </c>
      <c r="AE4396" s="130"/>
      <c r="AF4396" s="130"/>
      <c r="AG4396" s="130"/>
      <c r="AH4396" s="130"/>
      <c r="AI4396" s="131"/>
      <c r="AJ4396" s="132"/>
      <c r="AK4396" s="127"/>
      <c r="AL4396" s="128"/>
      <c r="AM4396" s="21"/>
      <c r="AN4396" s="133">
        <v>46015</v>
      </c>
      <c r="AO4396" s="134"/>
      <c r="AP4396" s="135">
        <v>998</v>
      </c>
      <c r="AQ4396" s="136"/>
      <c r="AR4396" s="118">
        <v>2060000</v>
      </c>
      <c r="AS4396" s="119"/>
      <c r="AT4396" s="118">
        <f t="shared" ref="AT4396" si="4764">AR4396*0.1</f>
        <v>206000</v>
      </c>
      <c r="AU4396" s="119"/>
      <c r="AV4396" s="118">
        <v>10060</v>
      </c>
      <c r="AW4396" s="119"/>
      <c r="AX4396" s="118">
        <f t="shared" ref="AX4396" si="4765">SUM(AR4396:AW4396)</f>
        <v>2276060</v>
      </c>
      <c r="AY4396" s="119"/>
      <c r="AZ4396" s="137">
        <v>46027</v>
      </c>
    </row>
    <row r="4397" spans="1:52" ht="17.100000000000001" customHeight="1" thickBot="1">
      <c r="A4397" s="110"/>
      <c r="B4397" s="27" t="s">
        <v>2511</v>
      </c>
      <c r="C4397" s="27">
        <v>31110</v>
      </c>
      <c r="D4397" s="14" t="s">
        <v>2601</v>
      </c>
      <c r="E4397" s="112"/>
      <c r="F4397" s="139" t="s">
        <v>13271</v>
      </c>
      <c r="G4397" s="140"/>
      <c r="H4397" s="141"/>
      <c r="I4397" s="26">
        <v>43401</v>
      </c>
      <c r="J4397" s="117"/>
      <c r="K4397" s="120"/>
      <c r="L4397" s="121"/>
      <c r="M4397" s="120"/>
      <c r="N4397" s="121"/>
      <c r="O4397" s="120"/>
      <c r="P4397" s="121"/>
      <c r="Q4397" s="120"/>
      <c r="R4397" s="121"/>
      <c r="S4397" s="120"/>
      <c r="T4397" s="121"/>
      <c r="U4397" s="120"/>
      <c r="V4397" s="123"/>
      <c r="W4397" s="125"/>
      <c r="X4397" s="142" t="s">
        <v>13922</v>
      </c>
      <c r="Y4397" s="143"/>
      <c r="Z4397" s="143"/>
      <c r="AA4397" s="143"/>
      <c r="AB4397" s="144"/>
      <c r="AC4397" s="16" t="s">
        <v>21</v>
      </c>
      <c r="AD4397" s="17" t="s">
        <v>1809</v>
      </c>
      <c r="AE4397" s="145" t="s">
        <v>14528</v>
      </c>
      <c r="AF4397" s="146"/>
      <c r="AG4397" s="146"/>
      <c r="AH4397" s="146"/>
      <c r="AI4397" s="147"/>
      <c r="AJ4397" s="148"/>
      <c r="AK4397" s="143"/>
      <c r="AL4397" s="144"/>
      <c r="AM4397" s="22"/>
      <c r="AN4397" s="149" t="s">
        <v>2794</v>
      </c>
      <c r="AO4397" s="144"/>
      <c r="AP4397" s="148">
        <v>6067</v>
      </c>
      <c r="AQ4397" s="144"/>
      <c r="AR4397" s="120"/>
      <c r="AS4397" s="121"/>
      <c r="AT4397" s="120"/>
      <c r="AU4397" s="121"/>
      <c r="AV4397" s="120"/>
      <c r="AW4397" s="121"/>
      <c r="AX4397" s="120"/>
      <c r="AY4397" s="121"/>
      <c r="AZ4397" s="138"/>
    </row>
    <row r="4398" spans="1:52" ht="17.100000000000001" customHeight="1" thickTop="1">
      <c r="A4398" s="109" t="s">
        <v>13408</v>
      </c>
      <c r="B4398" s="28">
        <v>46004</v>
      </c>
      <c r="C4398" s="25">
        <v>1280</v>
      </c>
      <c r="D4398" s="13" t="s">
        <v>2298</v>
      </c>
      <c r="E4398" s="111"/>
      <c r="F4398" s="113" t="s">
        <v>13272</v>
      </c>
      <c r="G4398" s="114"/>
      <c r="H4398" s="115"/>
      <c r="I4398" s="24"/>
      <c r="J4398" s="116">
        <v>5</v>
      </c>
      <c r="K4398" s="118">
        <v>630000</v>
      </c>
      <c r="L4398" s="119"/>
      <c r="M4398" s="118">
        <f t="shared" ref="M4398" si="4766">K4398*0.1</f>
        <v>63000</v>
      </c>
      <c r="N4398" s="119"/>
      <c r="O4398" s="118">
        <v>0</v>
      </c>
      <c r="P4398" s="119"/>
      <c r="Q4398" s="118">
        <v>8190</v>
      </c>
      <c r="R4398" s="119"/>
      <c r="S4398" s="118">
        <v>12100</v>
      </c>
      <c r="T4398" s="119"/>
      <c r="U4398" s="118">
        <f t="shared" ref="U4398" si="4767">SUM(K4398:T4399)</f>
        <v>713290</v>
      </c>
      <c r="V4398" s="122"/>
      <c r="W4398" s="124"/>
      <c r="X4398" s="126" t="s">
        <v>13932</v>
      </c>
      <c r="Y4398" s="127"/>
      <c r="Z4398" s="127"/>
      <c r="AA4398" s="127"/>
      <c r="AB4398" s="128"/>
      <c r="AC4398" s="15" t="s">
        <v>20</v>
      </c>
      <c r="AD4398" s="129" t="s">
        <v>13274</v>
      </c>
      <c r="AE4398" s="130"/>
      <c r="AF4398" s="130"/>
      <c r="AG4398" s="130"/>
      <c r="AH4398" s="130"/>
      <c r="AI4398" s="131"/>
      <c r="AJ4398" s="132"/>
      <c r="AK4398" s="127"/>
      <c r="AL4398" s="128"/>
      <c r="AM4398" s="21"/>
      <c r="AN4398" s="133">
        <v>46029</v>
      </c>
      <c r="AO4398" s="134"/>
      <c r="AP4398" s="135">
        <v>999</v>
      </c>
      <c r="AQ4398" s="136"/>
      <c r="AR4398" s="118">
        <v>690000</v>
      </c>
      <c r="AS4398" s="119"/>
      <c r="AT4398" s="118">
        <f t="shared" ref="AT4398" si="4768">AR4398*0.1</f>
        <v>69000</v>
      </c>
      <c r="AU4398" s="119"/>
      <c r="AV4398" s="118">
        <v>8190</v>
      </c>
      <c r="AW4398" s="119"/>
      <c r="AX4398" s="118">
        <f t="shared" ref="AX4398" si="4769">SUM(AR4398:AW4398)</f>
        <v>767190</v>
      </c>
      <c r="AY4398" s="119"/>
      <c r="AZ4398" s="137">
        <v>46035</v>
      </c>
    </row>
    <row r="4399" spans="1:52" ht="17.100000000000001" customHeight="1" thickBot="1">
      <c r="A4399" s="110"/>
      <c r="B4399" s="27" t="s">
        <v>2511</v>
      </c>
      <c r="C4399" s="27">
        <v>31115</v>
      </c>
      <c r="D4399" s="14" t="s">
        <v>2800</v>
      </c>
      <c r="E4399" s="112"/>
      <c r="F4399" s="139" t="s">
        <v>13273</v>
      </c>
      <c r="G4399" s="140"/>
      <c r="H4399" s="141"/>
      <c r="I4399" s="26">
        <v>4286</v>
      </c>
      <c r="J4399" s="117"/>
      <c r="K4399" s="120"/>
      <c r="L4399" s="121"/>
      <c r="M4399" s="120"/>
      <c r="N4399" s="121"/>
      <c r="O4399" s="120"/>
      <c r="P4399" s="121"/>
      <c r="Q4399" s="120"/>
      <c r="R4399" s="121"/>
      <c r="S4399" s="120"/>
      <c r="T4399" s="121"/>
      <c r="U4399" s="120"/>
      <c r="V4399" s="123"/>
      <c r="W4399" s="125"/>
      <c r="X4399" s="142" t="s">
        <v>13933</v>
      </c>
      <c r="Y4399" s="143"/>
      <c r="Z4399" s="143"/>
      <c r="AA4399" s="143"/>
      <c r="AB4399" s="144"/>
      <c r="AC4399" s="16" t="s">
        <v>21</v>
      </c>
      <c r="AD4399" s="17" t="s">
        <v>1809</v>
      </c>
      <c r="AE4399" s="145" t="s">
        <v>10515</v>
      </c>
      <c r="AF4399" s="146"/>
      <c r="AG4399" s="146"/>
      <c r="AH4399" s="146"/>
      <c r="AI4399" s="147"/>
      <c r="AJ4399" s="148" t="s">
        <v>13456</v>
      </c>
      <c r="AK4399" s="143"/>
      <c r="AL4399" s="144"/>
      <c r="AM4399" s="22"/>
      <c r="AN4399" s="149" t="s">
        <v>2794</v>
      </c>
      <c r="AO4399" s="144"/>
      <c r="AP4399" s="148">
        <v>6088</v>
      </c>
      <c r="AQ4399" s="144"/>
      <c r="AR4399" s="120"/>
      <c r="AS4399" s="121"/>
      <c r="AT4399" s="120"/>
      <c r="AU4399" s="121"/>
      <c r="AV4399" s="120"/>
      <c r="AW4399" s="121"/>
      <c r="AX4399" s="120"/>
      <c r="AY4399" s="121"/>
      <c r="AZ4399" s="138"/>
    </row>
    <row r="4400" spans="1:52" ht="17.100000000000001" customHeight="1" thickTop="1">
      <c r="A4400" s="109" t="s">
        <v>13409</v>
      </c>
      <c r="B4400" s="28">
        <v>46004</v>
      </c>
      <c r="C4400" s="25">
        <v>1280</v>
      </c>
      <c r="D4400" s="13" t="s">
        <v>4287</v>
      </c>
      <c r="E4400" s="111"/>
      <c r="F4400" s="113" t="s">
        <v>13275</v>
      </c>
      <c r="G4400" s="114"/>
      <c r="H4400" s="115"/>
      <c r="I4400" s="24" t="s">
        <v>13277</v>
      </c>
      <c r="J4400" s="116">
        <v>4.5</v>
      </c>
      <c r="K4400" s="118">
        <v>1930000</v>
      </c>
      <c r="L4400" s="119"/>
      <c r="M4400" s="118">
        <f t="shared" ref="M4400" si="4770">K4400*0.1</f>
        <v>193000</v>
      </c>
      <c r="N4400" s="119"/>
      <c r="O4400" s="118">
        <f>7600+760</f>
        <v>8360</v>
      </c>
      <c r="P4400" s="119"/>
      <c r="Q4400" s="118">
        <v>6450</v>
      </c>
      <c r="R4400" s="119"/>
      <c r="S4400" s="118">
        <v>12100</v>
      </c>
      <c r="T4400" s="119"/>
      <c r="U4400" s="118">
        <f t="shared" ref="U4400" si="4771">SUM(K4400:T4401)</f>
        <v>2149910</v>
      </c>
      <c r="V4400" s="122"/>
      <c r="W4400" s="124"/>
      <c r="X4400" s="126" t="s">
        <v>13278</v>
      </c>
      <c r="Y4400" s="127"/>
      <c r="Z4400" s="127"/>
      <c r="AA4400" s="127"/>
      <c r="AB4400" s="128"/>
      <c r="AC4400" s="15" t="s">
        <v>20</v>
      </c>
      <c r="AD4400" s="129" t="s">
        <v>1670</v>
      </c>
      <c r="AE4400" s="130"/>
      <c r="AF4400" s="130"/>
      <c r="AG4400" s="130"/>
      <c r="AH4400" s="130"/>
      <c r="AI4400" s="131"/>
      <c r="AJ4400" s="132"/>
      <c r="AK4400" s="127"/>
      <c r="AL4400" s="128"/>
      <c r="AM4400" s="21"/>
      <c r="AN4400" s="133">
        <v>46015</v>
      </c>
      <c r="AO4400" s="134"/>
      <c r="AP4400" s="135">
        <v>998</v>
      </c>
      <c r="AQ4400" s="136"/>
      <c r="AR4400" s="118">
        <v>2000000</v>
      </c>
      <c r="AS4400" s="119"/>
      <c r="AT4400" s="118">
        <f t="shared" ref="AT4400" si="4772">AR4400*0.1</f>
        <v>200000</v>
      </c>
      <c r="AU4400" s="119"/>
      <c r="AV4400" s="118">
        <v>6450</v>
      </c>
      <c r="AW4400" s="119"/>
      <c r="AX4400" s="118">
        <f t="shared" ref="AX4400" si="4773">SUM(AR4400:AW4400)</f>
        <v>2206450</v>
      </c>
      <c r="AY4400" s="119"/>
      <c r="AZ4400" s="137">
        <v>46027</v>
      </c>
    </row>
    <row r="4401" spans="1:52" ht="17.100000000000001" customHeight="1" thickBot="1">
      <c r="A4401" s="110"/>
      <c r="B4401" s="27" t="s">
        <v>2511</v>
      </c>
      <c r="C4401" s="27">
        <v>31135</v>
      </c>
      <c r="D4401" s="14" t="s">
        <v>133</v>
      </c>
      <c r="E4401" s="112"/>
      <c r="F4401" s="139" t="s">
        <v>13276</v>
      </c>
      <c r="G4401" s="140"/>
      <c r="H4401" s="141"/>
      <c r="I4401" s="26">
        <v>55872</v>
      </c>
      <c r="J4401" s="117"/>
      <c r="K4401" s="120"/>
      <c r="L4401" s="121"/>
      <c r="M4401" s="120"/>
      <c r="N4401" s="121"/>
      <c r="O4401" s="120"/>
      <c r="P4401" s="121"/>
      <c r="Q4401" s="120"/>
      <c r="R4401" s="121"/>
      <c r="S4401" s="120"/>
      <c r="T4401" s="121"/>
      <c r="U4401" s="120"/>
      <c r="V4401" s="123"/>
      <c r="W4401" s="125"/>
      <c r="X4401" s="142" t="s">
        <v>2918</v>
      </c>
      <c r="Y4401" s="143"/>
      <c r="Z4401" s="143"/>
      <c r="AA4401" s="143"/>
      <c r="AB4401" s="144"/>
      <c r="AC4401" s="16" t="s">
        <v>21</v>
      </c>
      <c r="AD4401" s="17" t="s">
        <v>1809</v>
      </c>
      <c r="AE4401" s="145" t="s">
        <v>2395</v>
      </c>
      <c r="AF4401" s="146"/>
      <c r="AG4401" s="146"/>
      <c r="AH4401" s="146"/>
      <c r="AI4401" s="147"/>
      <c r="AJ4401" s="148"/>
      <c r="AK4401" s="143"/>
      <c r="AL4401" s="144"/>
      <c r="AM4401" s="22"/>
      <c r="AN4401" s="149" t="s">
        <v>2794</v>
      </c>
      <c r="AO4401" s="144"/>
      <c r="AP4401" s="148">
        <v>6062</v>
      </c>
      <c r="AQ4401" s="144"/>
      <c r="AR4401" s="120"/>
      <c r="AS4401" s="121"/>
      <c r="AT4401" s="120"/>
      <c r="AU4401" s="121"/>
      <c r="AV4401" s="120"/>
      <c r="AW4401" s="121"/>
      <c r="AX4401" s="120"/>
      <c r="AY4401" s="121"/>
      <c r="AZ4401" s="138"/>
    </row>
    <row r="4402" spans="1:52" ht="17.100000000000001" customHeight="1" thickTop="1">
      <c r="A4402" s="109" t="s">
        <v>13410</v>
      </c>
      <c r="B4402" s="28">
        <v>46004</v>
      </c>
      <c r="C4402" s="25">
        <v>1280</v>
      </c>
      <c r="D4402" s="13" t="s">
        <v>4860</v>
      </c>
      <c r="E4402" s="111"/>
      <c r="F4402" s="113" t="s">
        <v>13279</v>
      </c>
      <c r="G4402" s="114"/>
      <c r="H4402" s="115"/>
      <c r="I4402" s="24" t="s">
        <v>10274</v>
      </c>
      <c r="J4402" s="116">
        <v>4</v>
      </c>
      <c r="K4402" s="118">
        <v>890000</v>
      </c>
      <c r="L4402" s="119"/>
      <c r="M4402" s="118">
        <f t="shared" ref="M4402" si="4774">K4402*0.1</f>
        <v>89000</v>
      </c>
      <c r="N4402" s="119"/>
      <c r="O4402" s="118">
        <f>9800+980</f>
        <v>10780</v>
      </c>
      <c r="P4402" s="119"/>
      <c r="Q4402" s="118">
        <v>12030</v>
      </c>
      <c r="R4402" s="119"/>
      <c r="S4402" s="118">
        <v>12100</v>
      </c>
      <c r="T4402" s="119"/>
      <c r="U4402" s="118">
        <f t="shared" ref="U4402" si="4775">SUM(K4402:T4403)</f>
        <v>1013910</v>
      </c>
      <c r="V4402" s="122"/>
      <c r="W4402" s="124"/>
      <c r="X4402" s="126" t="s">
        <v>13281</v>
      </c>
      <c r="Y4402" s="127"/>
      <c r="Z4402" s="127"/>
      <c r="AA4402" s="127"/>
      <c r="AB4402" s="128"/>
      <c r="AC4402" s="15" t="s">
        <v>20</v>
      </c>
      <c r="AD4402" s="129" t="s">
        <v>7905</v>
      </c>
      <c r="AE4402" s="130"/>
      <c r="AF4402" s="130"/>
      <c r="AG4402" s="130"/>
      <c r="AH4402" s="130"/>
      <c r="AI4402" s="131"/>
      <c r="AJ4402" s="132"/>
      <c r="AK4402" s="127"/>
      <c r="AL4402" s="128"/>
      <c r="AM4402" s="21"/>
      <c r="AN4402" s="133">
        <v>46015</v>
      </c>
      <c r="AO4402" s="134"/>
      <c r="AP4402" s="135">
        <v>998</v>
      </c>
      <c r="AQ4402" s="136"/>
      <c r="AR4402" s="118">
        <v>920000</v>
      </c>
      <c r="AS4402" s="119"/>
      <c r="AT4402" s="118">
        <f t="shared" ref="AT4402" si="4776">AR4402*0.1</f>
        <v>92000</v>
      </c>
      <c r="AU4402" s="119"/>
      <c r="AV4402" s="118">
        <v>12030</v>
      </c>
      <c r="AW4402" s="119"/>
      <c r="AX4402" s="118">
        <f t="shared" ref="AX4402" si="4777">SUM(AR4402:AW4402)</f>
        <v>1024030</v>
      </c>
      <c r="AY4402" s="119"/>
      <c r="AZ4402" s="137">
        <v>46027</v>
      </c>
    </row>
    <row r="4403" spans="1:52" ht="17.100000000000001" customHeight="1" thickBot="1">
      <c r="A4403" s="110"/>
      <c r="B4403" s="27" t="s">
        <v>2511</v>
      </c>
      <c r="C4403" s="27">
        <v>31248</v>
      </c>
      <c r="D4403" s="14" t="s">
        <v>904</v>
      </c>
      <c r="E4403" s="112"/>
      <c r="F4403" s="139" t="s">
        <v>13280</v>
      </c>
      <c r="G4403" s="140"/>
      <c r="H4403" s="141"/>
      <c r="I4403" s="26">
        <v>74199</v>
      </c>
      <c r="J4403" s="117"/>
      <c r="K4403" s="120"/>
      <c r="L4403" s="121"/>
      <c r="M4403" s="120"/>
      <c r="N4403" s="121"/>
      <c r="O4403" s="120"/>
      <c r="P4403" s="121"/>
      <c r="Q4403" s="120"/>
      <c r="R4403" s="121"/>
      <c r="S4403" s="120"/>
      <c r="T4403" s="121"/>
      <c r="U4403" s="120"/>
      <c r="V4403" s="123"/>
      <c r="W4403" s="125"/>
      <c r="X4403" s="142" t="s">
        <v>13928</v>
      </c>
      <c r="Y4403" s="143"/>
      <c r="Z4403" s="143"/>
      <c r="AA4403" s="143"/>
      <c r="AB4403" s="144"/>
      <c r="AC4403" s="16" t="s">
        <v>21</v>
      </c>
      <c r="AD4403" s="17" t="s">
        <v>1809</v>
      </c>
      <c r="AE4403" s="145" t="s">
        <v>13929</v>
      </c>
      <c r="AF4403" s="146"/>
      <c r="AG4403" s="146"/>
      <c r="AH4403" s="146"/>
      <c r="AI4403" s="147"/>
      <c r="AJ4403" s="148" t="s">
        <v>13454</v>
      </c>
      <c r="AK4403" s="143"/>
      <c r="AL4403" s="144"/>
      <c r="AM4403" s="22"/>
      <c r="AN4403" s="149" t="s">
        <v>2794</v>
      </c>
      <c r="AO4403" s="144"/>
      <c r="AP4403" s="148">
        <v>6065</v>
      </c>
      <c r="AQ4403" s="144"/>
      <c r="AR4403" s="120"/>
      <c r="AS4403" s="121"/>
      <c r="AT4403" s="120"/>
      <c r="AU4403" s="121"/>
      <c r="AV4403" s="120"/>
      <c r="AW4403" s="121"/>
      <c r="AX4403" s="120"/>
      <c r="AY4403" s="121"/>
      <c r="AZ4403" s="138"/>
    </row>
    <row r="4404" spans="1:52" ht="17.100000000000001" customHeight="1" thickTop="1">
      <c r="A4404" s="109" t="s">
        <v>13411</v>
      </c>
      <c r="B4404" s="28">
        <v>46004</v>
      </c>
      <c r="C4404" s="25">
        <v>1280</v>
      </c>
      <c r="D4404" s="13" t="s">
        <v>2001</v>
      </c>
      <c r="E4404" s="111"/>
      <c r="F4404" s="113" t="s">
        <v>4047</v>
      </c>
      <c r="G4404" s="114"/>
      <c r="H4404" s="115"/>
      <c r="I4404" s="24"/>
      <c r="J4404" s="116">
        <v>4</v>
      </c>
      <c r="K4404" s="118">
        <v>1500000</v>
      </c>
      <c r="L4404" s="119"/>
      <c r="M4404" s="118">
        <f t="shared" ref="M4404" si="4778">K4404*0.1</f>
        <v>150000</v>
      </c>
      <c r="N4404" s="119"/>
      <c r="O4404" s="118">
        <v>0</v>
      </c>
      <c r="P4404" s="119"/>
      <c r="Q4404" s="118">
        <v>10720</v>
      </c>
      <c r="R4404" s="119"/>
      <c r="S4404" s="118">
        <v>23100</v>
      </c>
      <c r="T4404" s="119"/>
      <c r="U4404" s="118">
        <f t="shared" ref="U4404" si="4779">SUM(K4404:T4405)</f>
        <v>1683820</v>
      </c>
      <c r="V4404" s="122"/>
      <c r="W4404" s="124"/>
      <c r="X4404" s="126" t="s">
        <v>13881</v>
      </c>
      <c r="Y4404" s="127"/>
      <c r="Z4404" s="127"/>
      <c r="AA4404" s="127"/>
      <c r="AB4404" s="128"/>
      <c r="AC4404" s="15" t="s">
        <v>20</v>
      </c>
      <c r="AD4404" s="129" t="s">
        <v>1945</v>
      </c>
      <c r="AE4404" s="130"/>
      <c r="AF4404" s="130"/>
      <c r="AG4404" s="130"/>
      <c r="AH4404" s="130"/>
      <c r="AI4404" s="131"/>
      <c r="AJ4404" s="132"/>
      <c r="AK4404" s="127"/>
      <c r="AL4404" s="128"/>
      <c r="AM4404" s="21"/>
      <c r="AN4404" s="133">
        <v>46008</v>
      </c>
      <c r="AO4404" s="134"/>
      <c r="AP4404" s="135">
        <v>997</v>
      </c>
      <c r="AQ4404" s="136"/>
      <c r="AR4404" s="118">
        <v>1590000</v>
      </c>
      <c r="AS4404" s="119"/>
      <c r="AT4404" s="118">
        <f t="shared" ref="AT4404" si="4780">AR4404*0.1</f>
        <v>159000</v>
      </c>
      <c r="AU4404" s="119"/>
      <c r="AV4404" s="118">
        <v>10720</v>
      </c>
      <c r="AW4404" s="119"/>
      <c r="AX4404" s="118">
        <f t="shared" ref="AX4404" si="4781">SUM(AR4404:AW4404)</f>
        <v>1759720</v>
      </c>
      <c r="AY4404" s="119"/>
      <c r="AZ4404" s="137">
        <v>46014</v>
      </c>
    </row>
    <row r="4405" spans="1:52" ht="17.100000000000001" customHeight="1" thickBot="1">
      <c r="A4405" s="110"/>
      <c r="B4405" s="27" t="s">
        <v>2511</v>
      </c>
      <c r="C4405" s="27">
        <v>31270</v>
      </c>
      <c r="D4405" s="14" t="s">
        <v>275</v>
      </c>
      <c r="E4405" s="112"/>
      <c r="F4405" s="139" t="s">
        <v>13282</v>
      </c>
      <c r="G4405" s="140"/>
      <c r="H4405" s="141"/>
      <c r="I4405" s="26">
        <v>39634</v>
      </c>
      <c r="J4405" s="117"/>
      <c r="K4405" s="120"/>
      <c r="L4405" s="121"/>
      <c r="M4405" s="120"/>
      <c r="N4405" s="121"/>
      <c r="O4405" s="120"/>
      <c r="P4405" s="121"/>
      <c r="Q4405" s="120"/>
      <c r="R4405" s="121"/>
      <c r="S4405" s="120"/>
      <c r="T4405" s="121"/>
      <c r="U4405" s="120"/>
      <c r="V4405" s="123"/>
      <c r="W4405" s="125"/>
      <c r="X4405" s="142" t="s">
        <v>3410</v>
      </c>
      <c r="Y4405" s="143"/>
      <c r="Z4405" s="143"/>
      <c r="AA4405" s="143"/>
      <c r="AB4405" s="144"/>
      <c r="AC4405" s="16" t="s">
        <v>21</v>
      </c>
      <c r="AD4405" s="17" t="s">
        <v>1809</v>
      </c>
      <c r="AE4405" s="145" t="s">
        <v>4435</v>
      </c>
      <c r="AF4405" s="146"/>
      <c r="AG4405" s="146"/>
      <c r="AH4405" s="146"/>
      <c r="AI4405" s="147"/>
      <c r="AJ4405" s="148"/>
      <c r="AK4405" s="143"/>
      <c r="AL4405" s="144"/>
      <c r="AM4405" s="22"/>
      <c r="AN4405" s="149" t="s">
        <v>2794</v>
      </c>
      <c r="AO4405" s="144"/>
      <c r="AP4405" s="148">
        <v>5132</v>
      </c>
      <c r="AQ4405" s="144"/>
      <c r="AR4405" s="120"/>
      <c r="AS4405" s="121"/>
      <c r="AT4405" s="120"/>
      <c r="AU4405" s="121"/>
      <c r="AV4405" s="120"/>
      <c r="AW4405" s="121"/>
      <c r="AX4405" s="120"/>
      <c r="AY4405" s="121"/>
      <c r="AZ4405" s="138"/>
    </row>
    <row r="4406" spans="1:52" ht="17.100000000000001" customHeight="1" thickTop="1">
      <c r="A4406" s="151" t="s">
        <v>13412</v>
      </c>
      <c r="B4406" s="28">
        <v>46004</v>
      </c>
      <c r="C4406" s="25">
        <v>1280</v>
      </c>
      <c r="D4406" s="13" t="s">
        <v>1863</v>
      </c>
      <c r="E4406" s="111"/>
      <c r="F4406" s="113" t="s">
        <v>13283</v>
      </c>
      <c r="G4406" s="114"/>
      <c r="H4406" s="115"/>
      <c r="I4406" s="24" t="s">
        <v>2943</v>
      </c>
      <c r="J4406" s="116">
        <v>4.5</v>
      </c>
      <c r="K4406" s="118">
        <v>1115000</v>
      </c>
      <c r="L4406" s="119"/>
      <c r="M4406" s="118">
        <f t="shared" ref="M4406" si="4782">K4406*0.1</f>
        <v>111500</v>
      </c>
      <c r="N4406" s="119"/>
      <c r="O4406" s="118">
        <f>8600+860</f>
        <v>9460</v>
      </c>
      <c r="P4406" s="119"/>
      <c r="Q4406" s="118">
        <v>11010</v>
      </c>
      <c r="R4406" s="119"/>
      <c r="S4406" s="118">
        <v>12100</v>
      </c>
      <c r="T4406" s="119"/>
      <c r="U4406" s="118">
        <f t="shared" ref="U4406" si="4783">SUM(K4406:T4407)</f>
        <v>1259070</v>
      </c>
      <c r="V4406" s="122"/>
      <c r="W4406" s="124"/>
      <c r="X4406" s="126" t="s">
        <v>13285</v>
      </c>
      <c r="Y4406" s="127"/>
      <c r="Z4406" s="127"/>
      <c r="AA4406" s="127"/>
      <c r="AB4406" s="128"/>
      <c r="AC4406" s="15" t="s">
        <v>20</v>
      </c>
      <c r="AD4406" s="129" t="s">
        <v>1670</v>
      </c>
      <c r="AE4406" s="130"/>
      <c r="AF4406" s="130"/>
      <c r="AG4406" s="130"/>
      <c r="AH4406" s="130"/>
      <c r="AI4406" s="131"/>
      <c r="AJ4406" s="132"/>
      <c r="AK4406" s="127"/>
      <c r="AL4406" s="128"/>
      <c r="AM4406" s="21"/>
      <c r="AN4406" s="133">
        <v>46039</v>
      </c>
      <c r="AO4406" s="134"/>
      <c r="AP4406" s="135">
        <v>1284</v>
      </c>
      <c r="AQ4406" s="136"/>
      <c r="AR4406" s="118">
        <v>1200000</v>
      </c>
      <c r="AS4406" s="119"/>
      <c r="AT4406" s="118">
        <f t="shared" ref="AT4406" si="4784">AR4406*0.1</f>
        <v>120000</v>
      </c>
      <c r="AU4406" s="119"/>
      <c r="AV4406" s="118">
        <v>11010</v>
      </c>
      <c r="AW4406" s="119"/>
      <c r="AX4406" s="118">
        <f t="shared" ref="AX4406" si="4785">SUM(AR4406:AW4406)</f>
        <v>1331010</v>
      </c>
      <c r="AY4406" s="119"/>
      <c r="AZ4406" s="137">
        <v>46042</v>
      </c>
    </row>
    <row r="4407" spans="1:52" ht="17.100000000000001" customHeight="1" thickBot="1">
      <c r="A4407" s="152"/>
      <c r="B4407" s="27" t="s">
        <v>2511</v>
      </c>
      <c r="C4407" s="27">
        <v>37140</v>
      </c>
      <c r="D4407" s="14" t="s">
        <v>1592</v>
      </c>
      <c r="E4407" s="112"/>
      <c r="F4407" s="139" t="s">
        <v>13284</v>
      </c>
      <c r="G4407" s="140"/>
      <c r="H4407" s="141"/>
      <c r="I4407" s="26">
        <v>46446</v>
      </c>
      <c r="J4407" s="117"/>
      <c r="K4407" s="120"/>
      <c r="L4407" s="121"/>
      <c r="M4407" s="120"/>
      <c r="N4407" s="121"/>
      <c r="O4407" s="120"/>
      <c r="P4407" s="121"/>
      <c r="Q4407" s="120"/>
      <c r="R4407" s="121"/>
      <c r="S4407" s="120"/>
      <c r="T4407" s="121"/>
      <c r="U4407" s="120"/>
      <c r="V4407" s="123"/>
      <c r="W4407" s="125"/>
      <c r="X4407" s="142" t="s">
        <v>13934</v>
      </c>
      <c r="Y4407" s="143"/>
      <c r="Z4407" s="143"/>
      <c r="AA4407" s="143"/>
      <c r="AB4407" s="144"/>
      <c r="AC4407" s="16" t="s">
        <v>21</v>
      </c>
      <c r="AD4407" s="17" t="s">
        <v>1809</v>
      </c>
      <c r="AE4407" s="145" t="s">
        <v>13976</v>
      </c>
      <c r="AF4407" s="146"/>
      <c r="AG4407" s="146"/>
      <c r="AH4407" s="146"/>
      <c r="AI4407" s="147"/>
      <c r="AJ4407" s="148"/>
      <c r="AK4407" s="143"/>
      <c r="AL4407" s="144"/>
      <c r="AM4407" s="22"/>
      <c r="AN4407" s="149" t="s">
        <v>2511</v>
      </c>
      <c r="AO4407" s="144"/>
      <c r="AP4407" s="148">
        <v>182</v>
      </c>
      <c r="AQ4407" s="144"/>
      <c r="AR4407" s="120"/>
      <c r="AS4407" s="121"/>
      <c r="AT4407" s="120"/>
      <c r="AU4407" s="121"/>
      <c r="AV4407" s="120"/>
      <c r="AW4407" s="121"/>
      <c r="AX4407" s="120"/>
      <c r="AY4407" s="121"/>
      <c r="AZ4407" s="138"/>
    </row>
    <row r="4408" spans="1:52" ht="17.100000000000001" customHeight="1" thickTop="1">
      <c r="A4408" s="151" t="s">
        <v>13413</v>
      </c>
      <c r="B4408" s="28">
        <v>46004</v>
      </c>
      <c r="C4408" s="25">
        <v>1280</v>
      </c>
      <c r="D4408" s="13" t="s">
        <v>1971</v>
      </c>
      <c r="E4408" s="111"/>
      <c r="F4408" s="113" t="s">
        <v>12527</v>
      </c>
      <c r="G4408" s="114"/>
      <c r="H4408" s="115"/>
      <c r="I4408" s="24" t="s">
        <v>13429</v>
      </c>
      <c r="J4408" s="116">
        <v>4.5</v>
      </c>
      <c r="K4408" s="118">
        <v>2165000</v>
      </c>
      <c r="L4408" s="119"/>
      <c r="M4408" s="118">
        <f t="shared" ref="M4408" si="4786">K4408*0.1</f>
        <v>216500</v>
      </c>
      <c r="N4408" s="119"/>
      <c r="O4408" s="118">
        <f>7600+760</f>
        <v>8360</v>
      </c>
      <c r="P4408" s="119"/>
      <c r="Q4408" s="118">
        <v>10470</v>
      </c>
      <c r="R4408" s="119"/>
      <c r="S4408" s="118">
        <v>12100</v>
      </c>
      <c r="T4408" s="119"/>
      <c r="U4408" s="118">
        <f t="shared" ref="U4408" si="4787">SUM(K4408:T4409)</f>
        <v>2412430</v>
      </c>
      <c r="V4408" s="122"/>
      <c r="W4408" s="124"/>
      <c r="X4408" s="126" t="s">
        <v>13430</v>
      </c>
      <c r="Y4408" s="127"/>
      <c r="Z4408" s="127"/>
      <c r="AA4408" s="127"/>
      <c r="AB4408" s="128"/>
      <c r="AC4408" s="15" t="s">
        <v>20</v>
      </c>
      <c r="AD4408" s="129" t="s">
        <v>1575</v>
      </c>
      <c r="AE4408" s="130"/>
      <c r="AF4408" s="130"/>
      <c r="AG4408" s="130"/>
      <c r="AH4408" s="130"/>
      <c r="AI4408" s="131"/>
      <c r="AJ4408" s="132" t="s">
        <v>8040</v>
      </c>
      <c r="AK4408" s="127"/>
      <c r="AL4408" s="128"/>
      <c r="AM4408" s="21"/>
      <c r="AN4408" s="133"/>
      <c r="AO4408" s="134"/>
      <c r="AP4408" s="135"/>
      <c r="AQ4408" s="136"/>
      <c r="AR4408" s="118"/>
      <c r="AS4408" s="119"/>
      <c r="AT4408" s="118">
        <f t="shared" ref="AT4408" si="4788">AR4408*0.1</f>
        <v>0</v>
      </c>
      <c r="AU4408" s="119"/>
      <c r="AV4408" s="118"/>
      <c r="AW4408" s="119"/>
      <c r="AX4408" s="118">
        <f t="shared" ref="AX4408" si="4789">SUM(AR4408:AW4408)</f>
        <v>0</v>
      </c>
      <c r="AY4408" s="119"/>
      <c r="AZ4408" s="137"/>
    </row>
    <row r="4409" spans="1:52" ht="17.100000000000001" customHeight="1" thickBot="1">
      <c r="A4409" s="152"/>
      <c r="B4409" s="27" t="s">
        <v>2511</v>
      </c>
      <c r="C4409" s="27">
        <v>37397</v>
      </c>
      <c r="D4409" s="14" t="s">
        <v>275</v>
      </c>
      <c r="E4409" s="112"/>
      <c r="F4409" s="139" t="s">
        <v>13428</v>
      </c>
      <c r="G4409" s="140"/>
      <c r="H4409" s="141"/>
      <c r="I4409" s="26">
        <v>71920</v>
      </c>
      <c r="J4409" s="117"/>
      <c r="K4409" s="120"/>
      <c r="L4409" s="121"/>
      <c r="M4409" s="120"/>
      <c r="N4409" s="121"/>
      <c r="O4409" s="120"/>
      <c r="P4409" s="121"/>
      <c r="Q4409" s="120"/>
      <c r="R4409" s="121"/>
      <c r="S4409" s="120"/>
      <c r="T4409" s="121"/>
      <c r="U4409" s="120"/>
      <c r="V4409" s="123"/>
      <c r="W4409" s="125"/>
      <c r="X4409" s="142"/>
      <c r="Y4409" s="143"/>
      <c r="Z4409" s="143"/>
      <c r="AA4409" s="143"/>
      <c r="AB4409" s="144"/>
      <c r="AC4409" s="16" t="s">
        <v>21</v>
      </c>
      <c r="AD4409" s="17" t="s">
        <v>10540</v>
      </c>
      <c r="AE4409" s="145"/>
      <c r="AF4409" s="146"/>
      <c r="AG4409" s="146"/>
      <c r="AH4409" s="146"/>
      <c r="AI4409" s="147"/>
      <c r="AJ4409" s="148"/>
      <c r="AK4409" s="143"/>
      <c r="AL4409" s="144"/>
      <c r="AM4409" s="22"/>
      <c r="AN4409" s="149"/>
      <c r="AO4409" s="144"/>
      <c r="AP4409" s="148"/>
      <c r="AQ4409" s="144"/>
      <c r="AR4409" s="120"/>
      <c r="AS4409" s="121"/>
      <c r="AT4409" s="120"/>
      <c r="AU4409" s="121"/>
      <c r="AV4409" s="120"/>
      <c r="AW4409" s="121"/>
      <c r="AX4409" s="120"/>
      <c r="AY4409" s="121"/>
      <c r="AZ4409" s="138"/>
    </row>
    <row r="4410" spans="1:52" ht="17.100000000000001" customHeight="1" thickTop="1">
      <c r="A4410" s="109" t="s">
        <v>13414</v>
      </c>
      <c r="B4410" s="28">
        <v>46004</v>
      </c>
      <c r="C4410" s="25">
        <v>1280</v>
      </c>
      <c r="D4410" s="13" t="s">
        <v>1847</v>
      </c>
      <c r="E4410" s="111"/>
      <c r="F4410" s="113" t="s">
        <v>13353</v>
      </c>
      <c r="G4410" s="114"/>
      <c r="H4410" s="115"/>
      <c r="I4410" s="24" t="s">
        <v>13355</v>
      </c>
      <c r="J4410" s="116">
        <v>4.5</v>
      </c>
      <c r="K4410" s="118">
        <v>1580000</v>
      </c>
      <c r="L4410" s="119"/>
      <c r="M4410" s="118">
        <f t="shared" ref="M4410" si="4790">K4410*0.1</f>
        <v>158000</v>
      </c>
      <c r="N4410" s="119"/>
      <c r="O4410" s="118">
        <f>7600+760</f>
        <v>8360</v>
      </c>
      <c r="P4410" s="119"/>
      <c r="Q4410" s="118">
        <v>11890</v>
      </c>
      <c r="R4410" s="119"/>
      <c r="S4410" s="118">
        <v>13200</v>
      </c>
      <c r="T4410" s="119"/>
      <c r="U4410" s="118">
        <f t="shared" ref="U4410" si="4791">SUM(K4410:T4411)</f>
        <v>1771450</v>
      </c>
      <c r="V4410" s="122"/>
      <c r="W4410" s="124"/>
      <c r="X4410" s="126" t="s">
        <v>13356</v>
      </c>
      <c r="Y4410" s="127"/>
      <c r="Z4410" s="127"/>
      <c r="AA4410" s="127"/>
      <c r="AB4410" s="128"/>
      <c r="AC4410" s="15" t="s">
        <v>20</v>
      </c>
      <c r="AD4410" s="129" t="s">
        <v>5120</v>
      </c>
      <c r="AE4410" s="130"/>
      <c r="AF4410" s="130"/>
      <c r="AG4410" s="130"/>
      <c r="AH4410" s="130"/>
      <c r="AI4410" s="131"/>
      <c r="AJ4410" s="132"/>
      <c r="AK4410" s="127"/>
      <c r="AL4410" s="128"/>
      <c r="AM4410" s="21" t="s">
        <v>15345</v>
      </c>
      <c r="AN4410" s="133">
        <v>46050</v>
      </c>
      <c r="AO4410" s="134"/>
      <c r="AP4410" s="135">
        <v>1002</v>
      </c>
      <c r="AQ4410" s="136"/>
      <c r="AR4410" s="118">
        <v>1630000</v>
      </c>
      <c r="AS4410" s="119"/>
      <c r="AT4410" s="118">
        <f t="shared" ref="AT4410" si="4792">AR4410*0.1</f>
        <v>163000</v>
      </c>
      <c r="AU4410" s="119"/>
      <c r="AV4410" s="118">
        <v>11890</v>
      </c>
      <c r="AW4410" s="119"/>
      <c r="AX4410" s="118">
        <f t="shared" ref="AX4410" si="4793">SUM(AR4410:AW4410)</f>
        <v>1804890</v>
      </c>
      <c r="AY4410" s="119"/>
      <c r="AZ4410" s="137">
        <v>46055</v>
      </c>
    </row>
    <row r="4411" spans="1:52" ht="17.100000000000001" customHeight="1" thickBot="1">
      <c r="A4411" s="110"/>
      <c r="B4411" s="27" t="s">
        <v>2511</v>
      </c>
      <c r="C4411" s="27">
        <v>37762</v>
      </c>
      <c r="D4411" s="14" t="s">
        <v>1592</v>
      </c>
      <c r="E4411" s="112"/>
      <c r="F4411" s="139" t="s">
        <v>13354</v>
      </c>
      <c r="G4411" s="140"/>
      <c r="H4411" s="141"/>
      <c r="I4411" s="26">
        <v>31700</v>
      </c>
      <c r="J4411" s="117"/>
      <c r="K4411" s="120"/>
      <c r="L4411" s="121"/>
      <c r="M4411" s="120"/>
      <c r="N4411" s="121"/>
      <c r="O4411" s="120"/>
      <c r="P4411" s="121"/>
      <c r="Q4411" s="120"/>
      <c r="R4411" s="121"/>
      <c r="S4411" s="120"/>
      <c r="T4411" s="121"/>
      <c r="U4411" s="120"/>
      <c r="V4411" s="123"/>
      <c r="W4411" s="125"/>
      <c r="X4411" s="142" t="s">
        <v>13930</v>
      </c>
      <c r="Y4411" s="143"/>
      <c r="Z4411" s="143"/>
      <c r="AA4411" s="143"/>
      <c r="AB4411" s="144"/>
      <c r="AC4411" s="16" t="s">
        <v>21</v>
      </c>
      <c r="AD4411" s="17" t="s">
        <v>1809</v>
      </c>
      <c r="AE4411" s="145" t="s">
        <v>5120</v>
      </c>
      <c r="AF4411" s="146"/>
      <c r="AG4411" s="146"/>
      <c r="AH4411" s="146"/>
      <c r="AI4411" s="147"/>
      <c r="AJ4411" s="148"/>
      <c r="AK4411" s="143"/>
      <c r="AL4411" s="144"/>
      <c r="AM4411" s="22"/>
      <c r="AN4411" s="149" t="s">
        <v>2794</v>
      </c>
      <c r="AO4411" s="144"/>
      <c r="AP4411" s="148">
        <v>6058</v>
      </c>
      <c r="AQ4411" s="144"/>
      <c r="AR4411" s="120"/>
      <c r="AS4411" s="121"/>
      <c r="AT4411" s="120"/>
      <c r="AU4411" s="121"/>
      <c r="AV4411" s="120"/>
      <c r="AW4411" s="121"/>
      <c r="AX4411" s="120"/>
      <c r="AY4411" s="121"/>
      <c r="AZ4411" s="138"/>
    </row>
    <row r="4412" spans="1:52" ht="17.100000000000001" customHeight="1" thickTop="1">
      <c r="A4412" s="109" t="s">
        <v>13415</v>
      </c>
      <c r="B4412" s="28">
        <v>46004</v>
      </c>
      <c r="C4412" s="25">
        <v>1280</v>
      </c>
      <c r="D4412" s="13" t="s">
        <v>1597</v>
      </c>
      <c r="E4412" s="111"/>
      <c r="F4412" s="113" t="s">
        <v>7164</v>
      </c>
      <c r="G4412" s="114"/>
      <c r="H4412" s="115"/>
      <c r="I4412" s="24"/>
      <c r="J4412" s="116">
        <v>4.5</v>
      </c>
      <c r="K4412" s="118">
        <v>760000</v>
      </c>
      <c r="L4412" s="119"/>
      <c r="M4412" s="118">
        <f t="shared" ref="M4412" si="4794">K4412*0.1</f>
        <v>76000</v>
      </c>
      <c r="N4412" s="119"/>
      <c r="O4412" s="118">
        <v>0</v>
      </c>
      <c r="P4412" s="119"/>
      <c r="Q4412" s="118">
        <v>9200</v>
      </c>
      <c r="R4412" s="119"/>
      <c r="S4412" s="118">
        <v>9900</v>
      </c>
      <c r="T4412" s="119"/>
      <c r="U4412" s="118">
        <f t="shared" ref="U4412" si="4795">SUM(K4412:T4413)</f>
        <v>855100</v>
      </c>
      <c r="V4412" s="122"/>
      <c r="W4412" s="124"/>
      <c r="X4412" s="126" t="s">
        <v>13937</v>
      </c>
      <c r="Y4412" s="127"/>
      <c r="Z4412" s="127"/>
      <c r="AA4412" s="127"/>
      <c r="AB4412" s="128"/>
      <c r="AC4412" s="15" t="s">
        <v>20</v>
      </c>
      <c r="AD4412" s="129"/>
      <c r="AE4412" s="130"/>
      <c r="AF4412" s="130"/>
      <c r="AG4412" s="130"/>
      <c r="AH4412" s="130"/>
      <c r="AI4412" s="131"/>
      <c r="AJ4412" s="132"/>
      <c r="AK4412" s="127"/>
      <c r="AL4412" s="128"/>
      <c r="AM4412" s="21"/>
      <c r="AN4412" s="133">
        <v>46015</v>
      </c>
      <c r="AO4412" s="134"/>
      <c r="AP4412" s="135">
        <v>998</v>
      </c>
      <c r="AQ4412" s="136"/>
      <c r="AR4412" s="118">
        <v>850000</v>
      </c>
      <c r="AS4412" s="119"/>
      <c r="AT4412" s="118">
        <f t="shared" ref="AT4412" si="4796">AR4412*0.1</f>
        <v>85000</v>
      </c>
      <c r="AU4412" s="119"/>
      <c r="AV4412" s="118">
        <v>9200</v>
      </c>
      <c r="AW4412" s="119"/>
      <c r="AX4412" s="118">
        <f t="shared" ref="AX4412" si="4797">SUM(AR4412:AW4412)</f>
        <v>944200</v>
      </c>
      <c r="AY4412" s="119"/>
      <c r="AZ4412" s="137">
        <v>46027</v>
      </c>
    </row>
    <row r="4413" spans="1:52" ht="17.100000000000001" customHeight="1" thickBot="1">
      <c r="A4413" s="110"/>
      <c r="B4413" s="27" t="s">
        <v>2511</v>
      </c>
      <c r="C4413" s="27">
        <v>60010</v>
      </c>
      <c r="D4413" s="14" t="s">
        <v>275</v>
      </c>
      <c r="E4413" s="112"/>
      <c r="F4413" s="139" t="s">
        <v>13357</v>
      </c>
      <c r="G4413" s="140"/>
      <c r="H4413" s="141"/>
      <c r="I4413" s="26">
        <v>59809</v>
      </c>
      <c r="J4413" s="117"/>
      <c r="K4413" s="120"/>
      <c r="L4413" s="121"/>
      <c r="M4413" s="120"/>
      <c r="N4413" s="121"/>
      <c r="O4413" s="120"/>
      <c r="P4413" s="121"/>
      <c r="Q4413" s="120"/>
      <c r="R4413" s="121"/>
      <c r="S4413" s="120"/>
      <c r="T4413" s="121"/>
      <c r="U4413" s="120"/>
      <c r="V4413" s="123"/>
      <c r="W4413" s="125"/>
      <c r="X4413" s="142" t="s">
        <v>13938</v>
      </c>
      <c r="Y4413" s="143"/>
      <c r="Z4413" s="143"/>
      <c r="AA4413" s="143"/>
      <c r="AB4413" s="144"/>
      <c r="AC4413" s="16" t="s">
        <v>21</v>
      </c>
      <c r="AD4413" s="17" t="s">
        <v>1809</v>
      </c>
      <c r="AE4413" s="145" t="s">
        <v>13975</v>
      </c>
      <c r="AF4413" s="146"/>
      <c r="AG4413" s="146"/>
      <c r="AH4413" s="146"/>
      <c r="AI4413" s="147"/>
      <c r="AJ4413" s="148" t="s">
        <v>13453</v>
      </c>
      <c r="AK4413" s="143"/>
      <c r="AL4413" s="144"/>
      <c r="AM4413" s="22"/>
      <c r="AN4413" s="149" t="s">
        <v>2794</v>
      </c>
      <c r="AO4413" s="144"/>
      <c r="AP4413" s="148">
        <v>2035</v>
      </c>
      <c r="AQ4413" s="144"/>
      <c r="AR4413" s="120"/>
      <c r="AS4413" s="121"/>
      <c r="AT4413" s="120"/>
      <c r="AU4413" s="121"/>
      <c r="AV4413" s="120"/>
      <c r="AW4413" s="121"/>
      <c r="AX4413" s="120"/>
      <c r="AY4413" s="121"/>
      <c r="AZ4413" s="138"/>
    </row>
    <row r="4414" spans="1:52" ht="17.100000000000001" customHeight="1" thickTop="1">
      <c r="A4414" s="109" t="s">
        <v>13416</v>
      </c>
      <c r="B4414" s="28">
        <v>46004</v>
      </c>
      <c r="C4414" s="25">
        <v>1280</v>
      </c>
      <c r="D4414" s="13" t="s">
        <v>1586</v>
      </c>
      <c r="E4414" s="111"/>
      <c r="F4414" s="113" t="s">
        <v>13286</v>
      </c>
      <c r="G4414" s="114"/>
      <c r="H4414" s="115"/>
      <c r="I4414" s="24" t="s">
        <v>2526</v>
      </c>
      <c r="J4414" s="116">
        <v>4.5</v>
      </c>
      <c r="K4414" s="118">
        <v>950000</v>
      </c>
      <c r="L4414" s="119"/>
      <c r="M4414" s="118">
        <f t="shared" ref="M4414" si="4798">K4414*0.1</f>
        <v>95000</v>
      </c>
      <c r="N4414" s="119"/>
      <c r="O4414" s="118">
        <v>0</v>
      </c>
      <c r="P4414" s="119"/>
      <c r="Q4414" s="118">
        <v>8790</v>
      </c>
      <c r="R4414" s="119"/>
      <c r="S4414" s="118">
        <v>13200</v>
      </c>
      <c r="T4414" s="119"/>
      <c r="U4414" s="118">
        <f t="shared" ref="U4414" si="4799">SUM(K4414:T4415)</f>
        <v>1066990</v>
      </c>
      <c r="V4414" s="122"/>
      <c r="W4414" s="124"/>
      <c r="X4414" s="126" t="s">
        <v>13288</v>
      </c>
      <c r="Y4414" s="127"/>
      <c r="Z4414" s="127"/>
      <c r="AA4414" s="127"/>
      <c r="AB4414" s="128"/>
      <c r="AC4414" s="15" t="s">
        <v>20</v>
      </c>
      <c r="AD4414" s="129" t="s">
        <v>1565</v>
      </c>
      <c r="AE4414" s="130"/>
      <c r="AF4414" s="130"/>
      <c r="AG4414" s="130"/>
      <c r="AH4414" s="130"/>
      <c r="AI4414" s="131"/>
      <c r="AJ4414" s="132"/>
      <c r="AK4414" s="127"/>
      <c r="AL4414" s="128"/>
      <c r="AM4414" s="21"/>
      <c r="AN4414" s="133">
        <v>46057</v>
      </c>
      <c r="AO4414" s="134"/>
      <c r="AP4414" s="135">
        <v>1003</v>
      </c>
      <c r="AQ4414" s="136"/>
      <c r="AR4414" s="118">
        <v>1000000</v>
      </c>
      <c r="AS4414" s="119"/>
      <c r="AT4414" s="118">
        <v>100000</v>
      </c>
      <c r="AU4414" s="119"/>
      <c r="AV4414" s="118">
        <v>8790</v>
      </c>
      <c r="AW4414" s="119"/>
      <c r="AX4414" s="118">
        <f t="shared" ref="AX4414" si="4800">SUM(AR4414:AW4414)</f>
        <v>1108790</v>
      </c>
      <c r="AY4414" s="119"/>
      <c r="AZ4414" s="137">
        <v>46062</v>
      </c>
    </row>
    <row r="4415" spans="1:52" ht="17.100000000000001" customHeight="1" thickBot="1">
      <c r="A4415" s="110"/>
      <c r="B4415" s="27" t="s">
        <v>2511</v>
      </c>
      <c r="C4415" s="27">
        <v>65030</v>
      </c>
      <c r="D4415" s="14" t="s">
        <v>275</v>
      </c>
      <c r="E4415" s="112"/>
      <c r="F4415" s="139" t="s">
        <v>13287</v>
      </c>
      <c r="G4415" s="140"/>
      <c r="H4415" s="141"/>
      <c r="I4415" s="26">
        <v>56799</v>
      </c>
      <c r="J4415" s="117"/>
      <c r="K4415" s="120"/>
      <c r="L4415" s="121"/>
      <c r="M4415" s="120"/>
      <c r="N4415" s="121"/>
      <c r="O4415" s="120"/>
      <c r="P4415" s="121"/>
      <c r="Q4415" s="120"/>
      <c r="R4415" s="121"/>
      <c r="S4415" s="120"/>
      <c r="T4415" s="121"/>
      <c r="U4415" s="120"/>
      <c r="V4415" s="123"/>
      <c r="W4415" s="125"/>
      <c r="X4415" s="142" t="s">
        <v>13936</v>
      </c>
      <c r="Y4415" s="143"/>
      <c r="Z4415" s="143"/>
      <c r="AA4415" s="143"/>
      <c r="AB4415" s="144"/>
      <c r="AC4415" s="16" t="s">
        <v>21</v>
      </c>
      <c r="AD4415" s="17" t="s">
        <v>1809</v>
      </c>
      <c r="AE4415" s="145" t="s">
        <v>10559</v>
      </c>
      <c r="AF4415" s="146"/>
      <c r="AG4415" s="146"/>
      <c r="AH4415" s="146"/>
      <c r="AI4415" s="147"/>
      <c r="AJ4415" s="148" t="s">
        <v>13455</v>
      </c>
      <c r="AK4415" s="143"/>
      <c r="AL4415" s="144"/>
      <c r="AM4415" s="22"/>
      <c r="AN4415" s="149" t="s">
        <v>2794</v>
      </c>
      <c r="AO4415" s="144"/>
      <c r="AP4415" s="148">
        <v>2005</v>
      </c>
      <c r="AQ4415" s="144"/>
      <c r="AR4415" s="120"/>
      <c r="AS4415" s="121"/>
      <c r="AT4415" s="120"/>
      <c r="AU4415" s="121"/>
      <c r="AV4415" s="120"/>
      <c r="AW4415" s="121"/>
      <c r="AX4415" s="120"/>
      <c r="AY4415" s="121"/>
      <c r="AZ4415" s="138"/>
    </row>
    <row r="4416" spans="1:52" ht="17.100000000000001" customHeight="1" thickTop="1">
      <c r="A4416" s="109" t="s">
        <v>13417</v>
      </c>
      <c r="B4416" s="28">
        <v>46004</v>
      </c>
      <c r="C4416" s="25">
        <v>1280</v>
      </c>
      <c r="D4416" s="13" t="s">
        <v>13289</v>
      </c>
      <c r="E4416" s="111"/>
      <c r="F4416" s="113" t="s">
        <v>5320</v>
      </c>
      <c r="G4416" s="114"/>
      <c r="H4416" s="115"/>
      <c r="I4416" s="24" t="s">
        <v>13291</v>
      </c>
      <c r="J4416" s="116">
        <v>4</v>
      </c>
      <c r="K4416" s="118">
        <v>500000</v>
      </c>
      <c r="L4416" s="119"/>
      <c r="M4416" s="118">
        <f t="shared" ref="M4416" si="4801">K4416*0.1</f>
        <v>50000</v>
      </c>
      <c r="N4416" s="119"/>
      <c r="O4416" s="118">
        <v>0</v>
      </c>
      <c r="P4416" s="119"/>
      <c r="Q4416" s="118">
        <v>8540</v>
      </c>
      <c r="R4416" s="119"/>
      <c r="S4416" s="118">
        <v>12100</v>
      </c>
      <c r="T4416" s="119"/>
      <c r="U4416" s="118">
        <f t="shared" ref="U4416" si="4802">SUM(K4416:T4417)</f>
        <v>570640</v>
      </c>
      <c r="V4416" s="122"/>
      <c r="W4416" s="124"/>
      <c r="X4416" s="126" t="s">
        <v>13292</v>
      </c>
      <c r="Y4416" s="127"/>
      <c r="Z4416" s="127"/>
      <c r="AA4416" s="127"/>
      <c r="AB4416" s="128"/>
      <c r="AC4416" s="15" t="s">
        <v>20</v>
      </c>
      <c r="AD4416" s="129" t="s">
        <v>1690</v>
      </c>
      <c r="AE4416" s="130"/>
      <c r="AF4416" s="130"/>
      <c r="AG4416" s="130"/>
      <c r="AH4416" s="130"/>
      <c r="AI4416" s="131"/>
      <c r="AJ4416" s="132"/>
      <c r="AK4416" s="127"/>
      <c r="AL4416" s="128"/>
      <c r="AM4416" s="21" t="s">
        <v>15354</v>
      </c>
      <c r="AN4416" s="133">
        <v>46043</v>
      </c>
      <c r="AO4416" s="134"/>
      <c r="AP4416" s="135">
        <v>1001</v>
      </c>
      <c r="AQ4416" s="136"/>
      <c r="AR4416" s="118">
        <v>560000</v>
      </c>
      <c r="AS4416" s="119"/>
      <c r="AT4416" s="118">
        <f t="shared" ref="AT4416" si="4803">AR4416*0.1</f>
        <v>56000</v>
      </c>
      <c r="AU4416" s="119"/>
      <c r="AV4416" s="118">
        <v>8540</v>
      </c>
      <c r="AW4416" s="119"/>
      <c r="AX4416" s="118">
        <f t="shared" ref="AX4416" si="4804">SUM(AR4416:AW4416)</f>
        <v>624540</v>
      </c>
      <c r="AY4416" s="119"/>
      <c r="AZ4416" s="137">
        <v>46048</v>
      </c>
    </row>
    <row r="4417" spans="1:52" ht="17.100000000000001" customHeight="1" thickBot="1">
      <c r="A4417" s="110"/>
      <c r="B4417" s="27" t="s">
        <v>2511</v>
      </c>
      <c r="C4417" s="27">
        <v>65059</v>
      </c>
      <c r="D4417" s="14" t="s">
        <v>1592</v>
      </c>
      <c r="E4417" s="112"/>
      <c r="F4417" s="139" t="s">
        <v>13290</v>
      </c>
      <c r="G4417" s="140"/>
      <c r="H4417" s="141"/>
      <c r="I4417" s="26">
        <v>84414</v>
      </c>
      <c r="J4417" s="117"/>
      <c r="K4417" s="120"/>
      <c r="L4417" s="121"/>
      <c r="M4417" s="120"/>
      <c r="N4417" s="121"/>
      <c r="O4417" s="120"/>
      <c r="P4417" s="121"/>
      <c r="Q4417" s="120"/>
      <c r="R4417" s="121"/>
      <c r="S4417" s="120"/>
      <c r="T4417" s="121"/>
      <c r="U4417" s="120"/>
      <c r="V4417" s="123"/>
      <c r="W4417" s="125"/>
      <c r="X4417" s="142" t="s">
        <v>13935</v>
      </c>
      <c r="Y4417" s="143"/>
      <c r="Z4417" s="143"/>
      <c r="AA4417" s="143"/>
      <c r="AB4417" s="144"/>
      <c r="AC4417" s="16" t="s">
        <v>21</v>
      </c>
      <c r="AD4417" s="17" t="s">
        <v>1809</v>
      </c>
      <c r="AE4417" s="145" t="s">
        <v>1690</v>
      </c>
      <c r="AF4417" s="146"/>
      <c r="AG4417" s="146"/>
      <c r="AH4417" s="146"/>
      <c r="AI4417" s="147"/>
      <c r="AJ4417" s="148"/>
      <c r="AK4417" s="143"/>
      <c r="AL4417" s="144"/>
      <c r="AM4417" s="22"/>
      <c r="AN4417" s="149" t="s">
        <v>2794</v>
      </c>
      <c r="AO4417" s="144"/>
      <c r="AP4417" s="148">
        <v>2023</v>
      </c>
      <c r="AQ4417" s="144"/>
      <c r="AR4417" s="120"/>
      <c r="AS4417" s="121"/>
      <c r="AT4417" s="120"/>
      <c r="AU4417" s="121"/>
      <c r="AV4417" s="120"/>
      <c r="AW4417" s="121"/>
      <c r="AX4417" s="120"/>
      <c r="AY4417" s="121"/>
      <c r="AZ4417" s="138"/>
    </row>
    <row r="4418" spans="1:52" ht="17.100000000000001" customHeight="1" thickTop="1">
      <c r="A4418" s="109" t="s">
        <v>13418</v>
      </c>
      <c r="B4418" s="28">
        <v>46004</v>
      </c>
      <c r="C4418" s="25">
        <v>1280</v>
      </c>
      <c r="D4418" s="13" t="s">
        <v>2179</v>
      </c>
      <c r="E4418" s="111"/>
      <c r="F4418" s="113" t="s">
        <v>13293</v>
      </c>
      <c r="G4418" s="114"/>
      <c r="H4418" s="115"/>
      <c r="I4418" s="24" t="s">
        <v>1547</v>
      </c>
      <c r="J4418" s="116">
        <v>4</v>
      </c>
      <c r="K4418" s="118">
        <v>540000</v>
      </c>
      <c r="L4418" s="119"/>
      <c r="M4418" s="118">
        <v>0</v>
      </c>
      <c r="N4418" s="119"/>
      <c r="O4418" s="118">
        <v>0</v>
      </c>
      <c r="P4418" s="119"/>
      <c r="Q4418" s="118">
        <v>9200</v>
      </c>
      <c r="R4418" s="119"/>
      <c r="S4418" s="118">
        <v>13200</v>
      </c>
      <c r="T4418" s="119"/>
      <c r="U4418" s="118">
        <f t="shared" ref="U4418" si="4805">SUM(K4418:T4419)</f>
        <v>562400</v>
      </c>
      <c r="V4418" s="122"/>
      <c r="W4418" s="124"/>
      <c r="X4418" s="126" t="s">
        <v>13295</v>
      </c>
      <c r="Y4418" s="127"/>
      <c r="Z4418" s="127"/>
      <c r="AA4418" s="127"/>
      <c r="AB4418" s="128"/>
      <c r="AC4418" s="15" t="s">
        <v>20</v>
      </c>
      <c r="AD4418" s="129" t="s">
        <v>13296</v>
      </c>
      <c r="AE4418" s="130"/>
      <c r="AF4418" s="130"/>
      <c r="AG4418" s="130"/>
      <c r="AH4418" s="130"/>
      <c r="AI4418" s="131"/>
      <c r="AJ4418" s="132"/>
      <c r="AK4418" s="127"/>
      <c r="AL4418" s="128"/>
      <c r="AM4418" s="21"/>
      <c r="AN4418" s="133">
        <v>46018</v>
      </c>
      <c r="AO4418" s="134"/>
      <c r="AP4418" s="135">
        <v>1282</v>
      </c>
      <c r="AQ4418" s="136"/>
      <c r="AR4418" s="118">
        <v>625000</v>
      </c>
      <c r="AS4418" s="119"/>
      <c r="AT4418" s="118">
        <f t="shared" ref="AT4418" si="4806">AR4418*0.1</f>
        <v>62500</v>
      </c>
      <c r="AU4418" s="119"/>
      <c r="AV4418" s="118">
        <v>9200</v>
      </c>
      <c r="AW4418" s="119"/>
      <c r="AX4418" s="118">
        <f t="shared" ref="AX4418" si="4807">SUM(AR4418:AW4418)</f>
        <v>696700</v>
      </c>
      <c r="AY4418" s="119"/>
      <c r="AZ4418" s="137">
        <v>46028</v>
      </c>
    </row>
    <row r="4419" spans="1:52" ht="17.100000000000001" customHeight="1" thickBot="1">
      <c r="A4419" s="110"/>
      <c r="B4419" s="27" t="s">
        <v>2511</v>
      </c>
      <c r="C4419" s="27">
        <v>65206</v>
      </c>
      <c r="D4419" s="14" t="s">
        <v>1720</v>
      </c>
      <c r="E4419" s="112"/>
      <c r="F4419" s="139" t="s">
        <v>13294</v>
      </c>
      <c r="G4419" s="140"/>
      <c r="H4419" s="141"/>
      <c r="I4419" s="26">
        <v>50606</v>
      </c>
      <c r="J4419" s="117"/>
      <c r="K4419" s="120"/>
      <c r="L4419" s="121"/>
      <c r="M4419" s="120"/>
      <c r="N4419" s="121"/>
      <c r="O4419" s="120"/>
      <c r="P4419" s="121"/>
      <c r="Q4419" s="120"/>
      <c r="R4419" s="121"/>
      <c r="S4419" s="120"/>
      <c r="T4419" s="121"/>
      <c r="U4419" s="120"/>
      <c r="V4419" s="123"/>
      <c r="W4419" s="125"/>
      <c r="X4419" s="142" t="s">
        <v>13940</v>
      </c>
      <c r="Y4419" s="143"/>
      <c r="Z4419" s="143"/>
      <c r="AA4419" s="143"/>
      <c r="AB4419" s="144"/>
      <c r="AC4419" s="16" t="s">
        <v>21</v>
      </c>
      <c r="AD4419" s="17" t="s">
        <v>1809</v>
      </c>
      <c r="AE4419" s="145" t="s">
        <v>14243</v>
      </c>
      <c r="AF4419" s="146"/>
      <c r="AG4419" s="146"/>
      <c r="AH4419" s="146"/>
      <c r="AI4419" s="147"/>
      <c r="AJ4419" s="148"/>
      <c r="AK4419" s="143"/>
      <c r="AL4419" s="144"/>
      <c r="AM4419" s="22"/>
      <c r="AN4419" s="149" t="s">
        <v>2511</v>
      </c>
      <c r="AO4419" s="144"/>
      <c r="AP4419" s="148">
        <v>60247</v>
      </c>
      <c r="AQ4419" s="144"/>
      <c r="AR4419" s="120"/>
      <c r="AS4419" s="121"/>
      <c r="AT4419" s="120"/>
      <c r="AU4419" s="121"/>
      <c r="AV4419" s="120"/>
      <c r="AW4419" s="121"/>
      <c r="AX4419" s="120"/>
      <c r="AY4419" s="121"/>
      <c r="AZ4419" s="138"/>
    </row>
    <row r="4420" spans="1:52" ht="17.100000000000001" customHeight="1" thickTop="1">
      <c r="A4420" s="109" t="s">
        <v>13419</v>
      </c>
      <c r="B4420" s="28">
        <v>46004</v>
      </c>
      <c r="C4420" s="25">
        <v>1280</v>
      </c>
      <c r="D4420" s="13" t="s">
        <v>1845</v>
      </c>
      <c r="E4420" s="111"/>
      <c r="F4420" s="113" t="s">
        <v>12185</v>
      </c>
      <c r="G4420" s="114"/>
      <c r="H4420" s="115"/>
      <c r="I4420" s="24"/>
      <c r="J4420" s="116">
        <v>4.5</v>
      </c>
      <c r="K4420" s="118">
        <v>755000</v>
      </c>
      <c r="L4420" s="119"/>
      <c r="M4420" s="118">
        <f t="shared" ref="M4420" si="4808">K4420*0.1</f>
        <v>75500</v>
      </c>
      <c r="N4420" s="119"/>
      <c r="O4420" s="118">
        <v>0</v>
      </c>
      <c r="P4420" s="119"/>
      <c r="Q4420" s="118">
        <v>8510</v>
      </c>
      <c r="R4420" s="119"/>
      <c r="S4420" s="118">
        <v>13200</v>
      </c>
      <c r="T4420" s="119"/>
      <c r="U4420" s="118">
        <f t="shared" ref="U4420" si="4809">SUM(K4420:T4421)</f>
        <v>852210</v>
      </c>
      <c r="V4420" s="122"/>
      <c r="W4420" s="124"/>
      <c r="X4420" s="126" t="s">
        <v>13939</v>
      </c>
      <c r="Y4420" s="127"/>
      <c r="Z4420" s="127"/>
      <c r="AA4420" s="127"/>
      <c r="AB4420" s="128"/>
      <c r="AC4420" s="15" t="s">
        <v>20</v>
      </c>
      <c r="AD4420" s="129" t="s">
        <v>171</v>
      </c>
      <c r="AE4420" s="130"/>
      <c r="AF4420" s="130"/>
      <c r="AG4420" s="130"/>
      <c r="AH4420" s="130"/>
      <c r="AI4420" s="131"/>
      <c r="AJ4420" s="132"/>
      <c r="AK4420" s="127"/>
      <c r="AL4420" s="128"/>
      <c r="AM4420" s="21"/>
      <c r="AN4420" s="133">
        <v>46046</v>
      </c>
      <c r="AO4420" s="134"/>
      <c r="AP4420" s="135">
        <v>1285</v>
      </c>
      <c r="AQ4420" s="136"/>
      <c r="AR4420" s="118">
        <v>830000</v>
      </c>
      <c r="AS4420" s="119"/>
      <c r="AT4420" s="118">
        <f t="shared" ref="AT4420" si="4810">AR4420*0.1</f>
        <v>83000</v>
      </c>
      <c r="AU4420" s="119"/>
      <c r="AV4420" s="118">
        <v>8510</v>
      </c>
      <c r="AW4420" s="119"/>
      <c r="AX4420" s="118">
        <f t="shared" ref="AX4420" si="4811">SUM(AR4420:AW4420)</f>
        <v>921510</v>
      </c>
      <c r="AY4420" s="119"/>
      <c r="AZ4420" s="137">
        <v>46049</v>
      </c>
    </row>
    <row r="4421" spans="1:52" ht="17.100000000000001" customHeight="1" thickBot="1">
      <c r="A4421" s="110"/>
      <c r="B4421" s="27" t="s">
        <v>2511</v>
      </c>
      <c r="C4421" s="27">
        <v>65492</v>
      </c>
      <c r="D4421" s="14" t="s">
        <v>275</v>
      </c>
      <c r="E4421" s="112"/>
      <c r="F4421" s="139" t="s">
        <v>13358</v>
      </c>
      <c r="G4421" s="140"/>
      <c r="H4421" s="141"/>
      <c r="I4421" s="26">
        <v>65490</v>
      </c>
      <c r="J4421" s="117"/>
      <c r="K4421" s="120"/>
      <c r="L4421" s="121"/>
      <c r="M4421" s="120"/>
      <c r="N4421" s="121"/>
      <c r="O4421" s="120"/>
      <c r="P4421" s="121"/>
      <c r="Q4421" s="120"/>
      <c r="R4421" s="121"/>
      <c r="S4421" s="120"/>
      <c r="T4421" s="121"/>
      <c r="U4421" s="120"/>
      <c r="V4421" s="123"/>
      <c r="W4421" s="125"/>
      <c r="X4421" s="142" t="s">
        <v>5258</v>
      </c>
      <c r="Y4421" s="143"/>
      <c r="Z4421" s="143"/>
      <c r="AA4421" s="143"/>
      <c r="AB4421" s="144"/>
      <c r="AC4421" s="16" t="s">
        <v>21</v>
      </c>
      <c r="AD4421" s="17" t="s">
        <v>1809</v>
      </c>
      <c r="AE4421" s="145" t="s">
        <v>3609</v>
      </c>
      <c r="AF4421" s="146"/>
      <c r="AG4421" s="146"/>
      <c r="AH4421" s="146"/>
      <c r="AI4421" s="147"/>
      <c r="AJ4421" s="148"/>
      <c r="AK4421" s="143"/>
      <c r="AL4421" s="144"/>
      <c r="AM4421" s="22"/>
      <c r="AN4421" s="149" t="s">
        <v>2511</v>
      </c>
      <c r="AO4421" s="144"/>
      <c r="AP4421" s="148">
        <v>60003</v>
      </c>
      <c r="AQ4421" s="144"/>
      <c r="AR4421" s="120"/>
      <c r="AS4421" s="121"/>
      <c r="AT4421" s="120"/>
      <c r="AU4421" s="121"/>
      <c r="AV4421" s="120"/>
      <c r="AW4421" s="121"/>
      <c r="AX4421" s="120"/>
      <c r="AY4421" s="121"/>
      <c r="AZ4421" s="138"/>
    </row>
    <row r="4422" spans="1:52" ht="16.5" customHeight="1" thickTop="1">
      <c r="A4422" s="109" t="s">
        <v>13420</v>
      </c>
      <c r="B4422" s="28">
        <v>46004</v>
      </c>
      <c r="C4422" s="25">
        <v>1280</v>
      </c>
      <c r="D4422" s="13" t="s">
        <v>2759</v>
      </c>
      <c r="E4422" s="111"/>
      <c r="F4422" s="113" t="s">
        <v>4078</v>
      </c>
      <c r="G4422" s="114"/>
      <c r="H4422" s="115"/>
      <c r="I4422" s="24"/>
      <c r="J4422" s="116">
        <v>4</v>
      </c>
      <c r="K4422" s="118">
        <v>915000</v>
      </c>
      <c r="L4422" s="119"/>
      <c r="M4422" s="118">
        <f t="shared" ref="M4422" si="4812">K4422*0.1</f>
        <v>91500</v>
      </c>
      <c r="N4422" s="119"/>
      <c r="O4422" s="118">
        <v>0</v>
      </c>
      <c r="P4422" s="119"/>
      <c r="Q4422" s="118">
        <v>16580</v>
      </c>
      <c r="R4422" s="119"/>
      <c r="S4422" s="118">
        <v>16500</v>
      </c>
      <c r="T4422" s="119"/>
      <c r="U4422" s="118">
        <f t="shared" ref="U4422" si="4813">SUM(K4422:T4423)</f>
        <v>1039580</v>
      </c>
      <c r="V4422" s="122"/>
      <c r="W4422" s="124"/>
      <c r="X4422" s="126" t="s">
        <v>13882</v>
      </c>
      <c r="Y4422" s="127"/>
      <c r="Z4422" s="127"/>
      <c r="AA4422" s="127"/>
      <c r="AB4422" s="128"/>
      <c r="AC4422" s="15" t="s">
        <v>20</v>
      </c>
      <c r="AD4422" s="129" t="s">
        <v>3412</v>
      </c>
      <c r="AE4422" s="130"/>
      <c r="AF4422" s="130"/>
      <c r="AG4422" s="130"/>
      <c r="AH4422" s="130"/>
      <c r="AI4422" s="131"/>
      <c r="AJ4422" s="132"/>
      <c r="AK4422" s="127"/>
      <c r="AL4422" s="128"/>
      <c r="AM4422" s="21"/>
      <c r="AN4422" s="133">
        <v>46011</v>
      </c>
      <c r="AO4422" s="134"/>
      <c r="AP4422" s="135">
        <v>1281</v>
      </c>
      <c r="AQ4422" s="136"/>
      <c r="AR4422" s="118">
        <v>1030000</v>
      </c>
      <c r="AS4422" s="119"/>
      <c r="AT4422" s="118">
        <f t="shared" ref="AT4422" si="4814">AR4422*0.1</f>
        <v>103000</v>
      </c>
      <c r="AU4422" s="119"/>
      <c r="AV4422" s="118">
        <v>16580</v>
      </c>
      <c r="AW4422" s="119"/>
      <c r="AX4422" s="118">
        <f t="shared" ref="AX4422" si="4815">SUM(AR4422:AW4422)</f>
        <v>1149580</v>
      </c>
      <c r="AY4422" s="119"/>
      <c r="AZ4422" s="137">
        <v>46014</v>
      </c>
    </row>
    <row r="4423" spans="1:52" ht="17.100000000000001" customHeight="1" thickBot="1">
      <c r="A4423" s="110"/>
      <c r="B4423" s="27" t="s">
        <v>2511</v>
      </c>
      <c r="C4423" s="27">
        <v>82166</v>
      </c>
      <c r="D4423" s="14" t="s">
        <v>1592</v>
      </c>
      <c r="E4423" s="112"/>
      <c r="F4423" s="139" t="s">
        <v>13297</v>
      </c>
      <c r="G4423" s="140"/>
      <c r="H4423" s="141"/>
      <c r="I4423" s="26">
        <v>55880</v>
      </c>
      <c r="J4423" s="117"/>
      <c r="K4423" s="120"/>
      <c r="L4423" s="121"/>
      <c r="M4423" s="120"/>
      <c r="N4423" s="121"/>
      <c r="O4423" s="120"/>
      <c r="P4423" s="121"/>
      <c r="Q4423" s="120"/>
      <c r="R4423" s="121"/>
      <c r="S4423" s="120"/>
      <c r="T4423" s="121"/>
      <c r="U4423" s="120"/>
      <c r="V4423" s="123"/>
      <c r="W4423" s="125"/>
      <c r="X4423" s="142" t="s">
        <v>1594</v>
      </c>
      <c r="Y4423" s="143"/>
      <c r="Z4423" s="143"/>
      <c r="AA4423" s="143"/>
      <c r="AB4423" s="144"/>
      <c r="AC4423" s="16" t="s">
        <v>21</v>
      </c>
      <c r="AD4423" s="17" t="s">
        <v>1809</v>
      </c>
      <c r="AE4423" s="145" t="s">
        <v>1633</v>
      </c>
      <c r="AF4423" s="146"/>
      <c r="AG4423" s="146"/>
      <c r="AH4423" s="146"/>
      <c r="AI4423" s="147"/>
      <c r="AJ4423" s="148"/>
      <c r="AK4423" s="143"/>
      <c r="AL4423" s="144"/>
      <c r="AM4423" s="22"/>
      <c r="AN4423" s="149" t="s">
        <v>2511</v>
      </c>
      <c r="AO4423" s="144"/>
      <c r="AP4423" s="148">
        <v>80082</v>
      </c>
      <c r="AQ4423" s="144"/>
      <c r="AR4423" s="120"/>
      <c r="AS4423" s="121"/>
      <c r="AT4423" s="120"/>
      <c r="AU4423" s="121"/>
      <c r="AV4423" s="120"/>
      <c r="AW4423" s="121"/>
      <c r="AX4423" s="120"/>
      <c r="AY4423" s="121"/>
      <c r="AZ4423" s="138"/>
    </row>
    <row r="4424" spans="1:52" ht="17.100000000000001" customHeight="1" thickTop="1">
      <c r="A4424" s="109" t="s">
        <v>13421</v>
      </c>
      <c r="B4424" s="28">
        <v>46004</v>
      </c>
      <c r="C4424" s="25">
        <v>1280</v>
      </c>
      <c r="D4424" s="13" t="s">
        <v>1586</v>
      </c>
      <c r="E4424" s="111"/>
      <c r="F4424" s="113" t="s">
        <v>13298</v>
      </c>
      <c r="G4424" s="114"/>
      <c r="H4424" s="115"/>
      <c r="I4424" s="24" t="s">
        <v>2526</v>
      </c>
      <c r="J4424" s="116">
        <v>4.5</v>
      </c>
      <c r="K4424" s="118">
        <v>2095000</v>
      </c>
      <c r="L4424" s="119"/>
      <c r="M4424" s="118">
        <f t="shared" ref="M4424" si="4816">K4424*0.1</f>
        <v>209500</v>
      </c>
      <c r="N4424" s="119"/>
      <c r="O4424" s="118">
        <f>9800+980</f>
        <v>10780</v>
      </c>
      <c r="P4424" s="119"/>
      <c r="Q4424" s="118">
        <v>19090</v>
      </c>
      <c r="R4424" s="119"/>
      <c r="S4424" s="118">
        <v>16500</v>
      </c>
      <c r="T4424" s="119"/>
      <c r="U4424" s="118">
        <f t="shared" ref="U4424" si="4817">SUM(K4424:T4425)</f>
        <v>2350870</v>
      </c>
      <c r="V4424" s="122"/>
      <c r="W4424" s="124"/>
      <c r="X4424" s="126" t="s">
        <v>13300</v>
      </c>
      <c r="Y4424" s="127"/>
      <c r="Z4424" s="127"/>
      <c r="AA4424" s="127"/>
      <c r="AB4424" s="128"/>
      <c r="AC4424" s="15" t="s">
        <v>20</v>
      </c>
      <c r="AD4424" s="129" t="s">
        <v>1732</v>
      </c>
      <c r="AE4424" s="130"/>
      <c r="AF4424" s="130"/>
      <c r="AG4424" s="130"/>
      <c r="AH4424" s="130"/>
      <c r="AI4424" s="131"/>
      <c r="AJ4424" s="132"/>
      <c r="AK4424" s="127"/>
      <c r="AL4424" s="128"/>
      <c r="AM4424" s="21"/>
      <c r="AN4424" s="133">
        <v>46067</v>
      </c>
      <c r="AO4424" s="134"/>
      <c r="AP4424" s="135">
        <v>1288</v>
      </c>
      <c r="AQ4424" s="136"/>
      <c r="AR4424" s="118">
        <v>2185000</v>
      </c>
      <c r="AS4424" s="119"/>
      <c r="AT4424" s="118">
        <f t="shared" ref="AT4424" si="4818">AR4424*0.1</f>
        <v>218500</v>
      </c>
      <c r="AU4424" s="119"/>
      <c r="AV4424" s="118">
        <v>19090</v>
      </c>
      <c r="AW4424" s="119"/>
      <c r="AX4424" s="118">
        <f t="shared" ref="AX4424" si="4819">SUM(AR4424:AW4424)</f>
        <v>2422590</v>
      </c>
      <c r="AY4424" s="119"/>
      <c r="AZ4424" s="137">
        <v>46070</v>
      </c>
    </row>
    <row r="4425" spans="1:52" ht="17.100000000000001" customHeight="1" thickBot="1">
      <c r="A4425" s="110"/>
      <c r="B4425" s="27" t="s">
        <v>2511</v>
      </c>
      <c r="C4425" s="27">
        <v>82172</v>
      </c>
      <c r="D4425" s="14" t="s">
        <v>1635</v>
      </c>
      <c r="E4425" s="112"/>
      <c r="F4425" s="139" t="s">
        <v>13299</v>
      </c>
      <c r="G4425" s="140"/>
      <c r="H4425" s="141"/>
      <c r="I4425" s="26">
        <v>38294</v>
      </c>
      <c r="J4425" s="117"/>
      <c r="K4425" s="120"/>
      <c r="L4425" s="121"/>
      <c r="M4425" s="120"/>
      <c r="N4425" s="121"/>
      <c r="O4425" s="120"/>
      <c r="P4425" s="121"/>
      <c r="Q4425" s="120"/>
      <c r="R4425" s="121"/>
      <c r="S4425" s="120"/>
      <c r="T4425" s="121"/>
      <c r="U4425" s="120"/>
      <c r="V4425" s="123"/>
      <c r="W4425" s="125"/>
      <c r="X4425" s="142" t="s">
        <v>1594</v>
      </c>
      <c r="Y4425" s="143"/>
      <c r="Z4425" s="143"/>
      <c r="AA4425" s="143"/>
      <c r="AB4425" s="144"/>
      <c r="AC4425" s="16" t="s">
        <v>21</v>
      </c>
      <c r="AD4425" s="17" t="s">
        <v>1809</v>
      </c>
      <c r="AE4425" s="145" t="s">
        <v>1614</v>
      </c>
      <c r="AF4425" s="146"/>
      <c r="AG4425" s="146"/>
      <c r="AH4425" s="146"/>
      <c r="AI4425" s="147"/>
      <c r="AJ4425" s="148"/>
      <c r="AK4425" s="143"/>
      <c r="AL4425" s="144"/>
      <c r="AM4425" s="22"/>
      <c r="AN4425" s="149" t="s">
        <v>2511</v>
      </c>
      <c r="AO4425" s="144"/>
      <c r="AP4425" s="148">
        <v>80118</v>
      </c>
      <c r="AQ4425" s="144"/>
      <c r="AR4425" s="120"/>
      <c r="AS4425" s="121"/>
      <c r="AT4425" s="120"/>
      <c r="AU4425" s="121"/>
      <c r="AV4425" s="120"/>
      <c r="AW4425" s="121"/>
      <c r="AX4425" s="120"/>
      <c r="AY4425" s="121"/>
      <c r="AZ4425" s="138"/>
    </row>
    <row r="4426" spans="1:52" ht="17.100000000000001" customHeight="1" thickTop="1">
      <c r="A4426" s="151" t="s">
        <v>13422</v>
      </c>
      <c r="B4426" s="28">
        <v>46004</v>
      </c>
      <c r="C4426" s="25">
        <v>1280</v>
      </c>
      <c r="D4426" s="13" t="s">
        <v>2301</v>
      </c>
      <c r="E4426" s="111"/>
      <c r="F4426" s="113" t="s">
        <v>1938</v>
      </c>
      <c r="G4426" s="114"/>
      <c r="H4426" s="115"/>
      <c r="I4426" s="24"/>
      <c r="J4426" s="116">
        <v>4.5</v>
      </c>
      <c r="K4426" s="118">
        <v>1145000</v>
      </c>
      <c r="L4426" s="119"/>
      <c r="M4426" s="118">
        <f t="shared" ref="M4426" si="4820">K4426*0.1</f>
        <v>114500</v>
      </c>
      <c r="N4426" s="119"/>
      <c r="O4426" s="118">
        <v>0</v>
      </c>
      <c r="P4426" s="119"/>
      <c r="Q4426" s="118">
        <v>17600</v>
      </c>
      <c r="R4426" s="119"/>
      <c r="S4426" s="118">
        <v>16500</v>
      </c>
      <c r="T4426" s="119"/>
      <c r="U4426" s="118">
        <f t="shared" ref="U4426" si="4821">SUM(K4426:T4427)</f>
        <v>1293600</v>
      </c>
      <c r="V4426" s="122"/>
      <c r="W4426" s="124"/>
      <c r="X4426" s="126" t="s">
        <v>13946</v>
      </c>
      <c r="Y4426" s="127"/>
      <c r="Z4426" s="127"/>
      <c r="AA4426" s="127"/>
      <c r="AB4426" s="128"/>
      <c r="AC4426" s="15" t="s">
        <v>20</v>
      </c>
      <c r="AD4426" s="129" t="s">
        <v>186</v>
      </c>
      <c r="AE4426" s="130"/>
      <c r="AF4426" s="130"/>
      <c r="AG4426" s="130"/>
      <c r="AH4426" s="130"/>
      <c r="AI4426" s="131"/>
      <c r="AJ4426" s="132"/>
      <c r="AK4426" s="127"/>
      <c r="AL4426" s="128"/>
      <c r="AM4426" s="21"/>
      <c r="AN4426" s="133">
        <v>46032</v>
      </c>
      <c r="AO4426" s="134"/>
      <c r="AP4426" s="135">
        <v>1283</v>
      </c>
      <c r="AQ4426" s="136"/>
      <c r="AR4426" s="118">
        <v>1280000</v>
      </c>
      <c r="AS4426" s="119"/>
      <c r="AT4426" s="118">
        <f t="shared" ref="AT4426" si="4822">AR4426*0.1</f>
        <v>128000</v>
      </c>
      <c r="AU4426" s="119"/>
      <c r="AV4426" s="118">
        <v>17600</v>
      </c>
      <c r="AW4426" s="119"/>
      <c r="AX4426" s="118">
        <f t="shared" ref="AX4426" si="4823">SUM(AR4426:AW4426)</f>
        <v>1425600</v>
      </c>
      <c r="AY4426" s="119"/>
      <c r="AZ4426" s="137">
        <v>46036</v>
      </c>
    </row>
    <row r="4427" spans="1:52" ht="17.100000000000001" customHeight="1" thickBot="1">
      <c r="A4427" s="152"/>
      <c r="B4427" s="27" t="s">
        <v>2511</v>
      </c>
      <c r="C4427" s="27">
        <v>82195</v>
      </c>
      <c r="D4427" s="14" t="s">
        <v>904</v>
      </c>
      <c r="E4427" s="112"/>
      <c r="F4427" s="139" t="s">
        <v>13301</v>
      </c>
      <c r="G4427" s="140"/>
      <c r="H4427" s="141"/>
      <c r="I4427" s="26">
        <v>24537</v>
      </c>
      <c r="J4427" s="117"/>
      <c r="K4427" s="120"/>
      <c r="L4427" s="121"/>
      <c r="M4427" s="120"/>
      <c r="N4427" s="121"/>
      <c r="O4427" s="120"/>
      <c r="P4427" s="121"/>
      <c r="Q4427" s="120"/>
      <c r="R4427" s="121"/>
      <c r="S4427" s="120"/>
      <c r="T4427" s="121"/>
      <c r="U4427" s="120"/>
      <c r="V4427" s="123"/>
      <c r="W4427" s="125"/>
      <c r="X4427" s="142" t="s">
        <v>5250</v>
      </c>
      <c r="Y4427" s="143"/>
      <c r="Z4427" s="143"/>
      <c r="AA4427" s="143"/>
      <c r="AB4427" s="144"/>
      <c r="AC4427" s="16" t="s">
        <v>21</v>
      </c>
      <c r="AD4427" s="17" t="s">
        <v>1809</v>
      </c>
      <c r="AE4427" s="145" t="s">
        <v>13947</v>
      </c>
      <c r="AF4427" s="146"/>
      <c r="AG4427" s="146"/>
      <c r="AH4427" s="146"/>
      <c r="AI4427" s="147"/>
      <c r="AJ4427" s="148"/>
      <c r="AK4427" s="143"/>
      <c r="AL4427" s="144"/>
      <c r="AM4427" s="22"/>
      <c r="AN4427" s="149" t="s">
        <v>2511</v>
      </c>
      <c r="AO4427" s="144"/>
      <c r="AP4427" s="148">
        <v>80114</v>
      </c>
      <c r="AQ4427" s="144"/>
      <c r="AR4427" s="120"/>
      <c r="AS4427" s="121"/>
      <c r="AT4427" s="120"/>
      <c r="AU4427" s="121"/>
      <c r="AV4427" s="120"/>
      <c r="AW4427" s="121"/>
      <c r="AX4427" s="120"/>
      <c r="AY4427" s="121"/>
      <c r="AZ4427" s="138"/>
    </row>
    <row r="4428" spans="1:52" ht="17.100000000000001" customHeight="1" thickTop="1">
      <c r="A4428" s="109" t="s">
        <v>13423</v>
      </c>
      <c r="B4428" s="28">
        <v>46004</v>
      </c>
      <c r="C4428" s="25">
        <v>1280</v>
      </c>
      <c r="D4428" s="13" t="s">
        <v>4121</v>
      </c>
      <c r="E4428" s="111"/>
      <c r="F4428" s="113" t="s">
        <v>4659</v>
      </c>
      <c r="G4428" s="114"/>
      <c r="H4428" s="115"/>
      <c r="I4428" s="24"/>
      <c r="J4428" s="116">
        <v>4.5</v>
      </c>
      <c r="K4428" s="118">
        <v>1520000</v>
      </c>
      <c r="L4428" s="119"/>
      <c r="M4428" s="118">
        <f t="shared" ref="M4428" si="4824">K4428*0.1</f>
        <v>152000</v>
      </c>
      <c r="N4428" s="119"/>
      <c r="O4428" s="118">
        <v>0</v>
      </c>
      <c r="P4428" s="119"/>
      <c r="Q4428" s="118">
        <v>20950</v>
      </c>
      <c r="R4428" s="119"/>
      <c r="S4428" s="118">
        <v>16500</v>
      </c>
      <c r="T4428" s="119"/>
      <c r="U4428" s="118">
        <f t="shared" ref="U4428" si="4825">SUM(K4428:T4429)</f>
        <v>1709450</v>
      </c>
      <c r="V4428" s="122"/>
      <c r="W4428" s="124"/>
      <c r="X4428" s="126" t="s">
        <v>13883</v>
      </c>
      <c r="Y4428" s="127"/>
      <c r="Z4428" s="127"/>
      <c r="AA4428" s="127"/>
      <c r="AB4428" s="128"/>
      <c r="AC4428" s="15" t="s">
        <v>20</v>
      </c>
      <c r="AD4428" s="129"/>
      <c r="AE4428" s="130"/>
      <c r="AF4428" s="130"/>
      <c r="AG4428" s="130"/>
      <c r="AH4428" s="130"/>
      <c r="AI4428" s="131"/>
      <c r="AJ4428" s="132"/>
      <c r="AK4428" s="127"/>
      <c r="AL4428" s="128"/>
      <c r="AM4428" s="21"/>
      <c r="AN4428" s="133">
        <v>46011</v>
      </c>
      <c r="AO4428" s="134"/>
      <c r="AP4428" s="135">
        <v>1281</v>
      </c>
      <c r="AQ4428" s="136"/>
      <c r="AR4428" s="118">
        <v>1660000</v>
      </c>
      <c r="AS4428" s="119"/>
      <c r="AT4428" s="118">
        <f t="shared" ref="AT4428" si="4826">AR4428*0.1</f>
        <v>166000</v>
      </c>
      <c r="AU4428" s="119"/>
      <c r="AV4428" s="118">
        <v>20950</v>
      </c>
      <c r="AW4428" s="119"/>
      <c r="AX4428" s="118">
        <f t="shared" ref="AX4428" si="4827">SUM(AR4428:AW4428)</f>
        <v>1846950</v>
      </c>
      <c r="AY4428" s="119"/>
      <c r="AZ4428" s="137">
        <v>46014</v>
      </c>
    </row>
    <row r="4429" spans="1:52" ht="17.100000000000001" customHeight="1" thickBot="1">
      <c r="A4429" s="110"/>
      <c r="B4429" s="27" t="s">
        <v>2511</v>
      </c>
      <c r="C4429" s="27">
        <v>82441</v>
      </c>
      <c r="D4429" s="14" t="s">
        <v>1592</v>
      </c>
      <c r="E4429" s="112"/>
      <c r="F4429" s="139" t="s">
        <v>13359</v>
      </c>
      <c r="G4429" s="140"/>
      <c r="H4429" s="141"/>
      <c r="I4429" s="26">
        <v>21590</v>
      </c>
      <c r="J4429" s="117"/>
      <c r="K4429" s="120"/>
      <c r="L4429" s="121"/>
      <c r="M4429" s="120"/>
      <c r="N4429" s="121"/>
      <c r="O4429" s="120"/>
      <c r="P4429" s="121"/>
      <c r="Q4429" s="120"/>
      <c r="R4429" s="121"/>
      <c r="S4429" s="120"/>
      <c r="T4429" s="121"/>
      <c r="U4429" s="120"/>
      <c r="V4429" s="123"/>
      <c r="W4429" s="125"/>
      <c r="X4429" s="142" t="s">
        <v>5250</v>
      </c>
      <c r="Y4429" s="143"/>
      <c r="Z4429" s="143"/>
      <c r="AA4429" s="143"/>
      <c r="AB4429" s="144"/>
      <c r="AC4429" s="16" t="s">
        <v>21</v>
      </c>
      <c r="AD4429" s="17" t="s">
        <v>1809</v>
      </c>
      <c r="AE4429" s="145" t="s">
        <v>1633</v>
      </c>
      <c r="AF4429" s="146"/>
      <c r="AG4429" s="146"/>
      <c r="AH4429" s="146"/>
      <c r="AI4429" s="147"/>
      <c r="AJ4429" s="148"/>
      <c r="AK4429" s="143"/>
      <c r="AL4429" s="144"/>
      <c r="AM4429" s="22"/>
      <c r="AN4429" s="149" t="s">
        <v>2511</v>
      </c>
      <c r="AO4429" s="144"/>
      <c r="AP4429" s="148">
        <v>80090</v>
      </c>
      <c r="AQ4429" s="144"/>
      <c r="AR4429" s="120"/>
      <c r="AS4429" s="121"/>
      <c r="AT4429" s="120"/>
      <c r="AU4429" s="121"/>
      <c r="AV4429" s="120"/>
      <c r="AW4429" s="121"/>
      <c r="AX4429" s="120"/>
      <c r="AY4429" s="121"/>
      <c r="AZ4429" s="138"/>
    </row>
    <row r="4430" spans="1:52" ht="17.100000000000001" customHeight="1" thickTop="1">
      <c r="A4430" s="109" t="s">
        <v>13424</v>
      </c>
      <c r="B4430" s="28">
        <v>46004</v>
      </c>
      <c r="C4430" s="25">
        <v>1280</v>
      </c>
      <c r="D4430" s="13" t="s">
        <v>2359</v>
      </c>
      <c r="E4430" s="111"/>
      <c r="F4430" s="113" t="s">
        <v>13360</v>
      </c>
      <c r="G4430" s="114"/>
      <c r="H4430" s="115"/>
      <c r="I4430" s="24" t="s">
        <v>6785</v>
      </c>
      <c r="J4430" s="116">
        <v>4.5</v>
      </c>
      <c r="K4430" s="118">
        <v>1280000</v>
      </c>
      <c r="L4430" s="119"/>
      <c r="M4430" s="118">
        <f t="shared" ref="M4430" si="4828">K4430*0.1</f>
        <v>128000</v>
      </c>
      <c r="N4430" s="119"/>
      <c r="O4430" s="118">
        <f>7600+760</f>
        <v>8360</v>
      </c>
      <c r="P4430" s="119"/>
      <c r="Q4430" s="118">
        <v>15100</v>
      </c>
      <c r="R4430" s="119"/>
      <c r="S4430" s="118">
        <v>16500</v>
      </c>
      <c r="T4430" s="119"/>
      <c r="U4430" s="118">
        <f t="shared" ref="U4430" si="4829">SUM(K4430:T4431)</f>
        <v>1447960</v>
      </c>
      <c r="V4430" s="122"/>
      <c r="W4430" s="124"/>
      <c r="X4430" s="126" t="s">
        <v>13362</v>
      </c>
      <c r="Y4430" s="127"/>
      <c r="Z4430" s="127"/>
      <c r="AA4430" s="127"/>
      <c r="AB4430" s="128"/>
      <c r="AC4430" s="15" t="s">
        <v>20</v>
      </c>
      <c r="AD4430" s="129" t="s">
        <v>13363</v>
      </c>
      <c r="AE4430" s="130"/>
      <c r="AF4430" s="130"/>
      <c r="AG4430" s="130"/>
      <c r="AH4430" s="130"/>
      <c r="AI4430" s="131"/>
      <c r="AJ4430" s="132"/>
      <c r="AK4430" s="127"/>
      <c r="AL4430" s="128"/>
      <c r="AM4430" s="21"/>
      <c r="AN4430" s="133"/>
      <c r="AO4430" s="134"/>
      <c r="AP4430" s="135"/>
      <c r="AQ4430" s="136"/>
      <c r="AR4430" s="118"/>
      <c r="AS4430" s="119"/>
      <c r="AT4430" s="118">
        <f t="shared" ref="AT4430" si="4830">AR4430*0.1</f>
        <v>0</v>
      </c>
      <c r="AU4430" s="119"/>
      <c r="AV4430" s="118"/>
      <c r="AW4430" s="119"/>
      <c r="AX4430" s="118">
        <f t="shared" ref="AX4430" si="4831">SUM(AR4430:AW4430)</f>
        <v>0</v>
      </c>
      <c r="AY4430" s="119"/>
      <c r="AZ4430" s="137"/>
    </row>
    <row r="4431" spans="1:52" ht="17.100000000000001" customHeight="1" thickBot="1">
      <c r="A4431" s="110"/>
      <c r="B4431" s="27" t="s">
        <v>2511</v>
      </c>
      <c r="C4431" s="27">
        <v>82575</v>
      </c>
      <c r="D4431" s="14" t="s">
        <v>1576</v>
      </c>
      <c r="E4431" s="112"/>
      <c r="F4431" s="139" t="s">
        <v>13361</v>
      </c>
      <c r="G4431" s="140"/>
      <c r="H4431" s="141"/>
      <c r="I4431" s="26">
        <v>31240</v>
      </c>
      <c r="J4431" s="117"/>
      <c r="K4431" s="120"/>
      <c r="L4431" s="121"/>
      <c r="M4431" s="120"/>
      <c r="N4431" s="121"/>
      <c r="O4431" s="120"/>
      <c r="P4431" s="121"/>
      <c r="Q4431" s="120"/>
      <c r="R4431" s="121"/>
      <c r="S4431" s="120"/>
      <c r="T4431" s="121"/>
      <c r="U4431" s="120"/>
      <c r="V4431" s="123"/>
      <c r="W4431" s="125"/>
      <c r="X4431" s="142" t="s">
        <v>13948</v>
      </c>
      <c r="Y4431" s="143"/>
      <c r="Z4431" s="143"/>
      <c r="AA4431" s="143"/>
      <c r="AB4431" s="144"/>
      <c r="AC4431" s="16" t="s">
        <v>21</v>
      </c>
      <c r="AD4431" s="17" t="s">
        <v>1809</v>
      </c>
      <c r="AE4431" s="145" t="s">
        <v>13972</v>
      </c>
      <c r="AF4431" s="146"/>
      <c r="AG4431" s="146"/>
      <c r="AH4431" s="146"/>
      <c r="AI4431" s="147"/>
      <c r="AJ4431" s="148"/>
      <c r="AK4431" s="143"/>
      <c r="AL4431" s="144"/>
      <c r="AM4431" s="22"/>
      <c r="AN4431" s="149"/>
      <c r="AO4431" s="144"/>
      <c r="AP4431" s="148"/>
      <c r="AQ4431" s="144"/>
      <c r="AR4431" s="120"/>
      <c r="AS4431" s="121"/>
      <c r="AT4431" s="120"/>
      <c r="AU4431" s="121"/>
      <c r="AV4431" s="120"/>
      <c r="AW4431" s="121"/>
      <c r="AX4431" s="120"/>
      <c r="AY4431" s="121"/>
      <c r="AZ4431" s="138"/>
    </row>
    <row r="4432" spans="1:52" ht="17.100000000000001" customHeight="1" thickTop="1">
      <c r="A4432" s="109" t="s">
        <v>13425</v>
      </c>
      <c r="B4432" s="28">
        <v>46004</v>
      </c>
      <c r="C4432" s="25">
        <v>1280</v>
      </c>
      <c r="D4432" s="13" t="s">
        <v>1776</v>
      </c>
      <c r="E4432" s="111"/>
      <c r="F4432" s="113" t="s">
        <v>13364</v>
      </c>
      <c r="G4432" s="114"/>
      <c r="H4432" s="115"/>
      <c r="I4432" s="24"/>
      <c r="J4432" s="116">
        <v>4.5</v>
      </c>
      <c r="K4432" s="118">
        <v>635000</v>
      </c>
      <c r="L4432" s="119"/>
      <c r="M4432" s="118">
        <f t="shared" ref="M4432" si="4832">K4432*0.1</f>
        <v>63500</v>
      </c>
      <c r="N4432" s="119"/>
      <c r="O4432" s="118">
        <v>0</v>
      </c>
      <c r="P4432" s="119"/>
      <c r="Q4432" s="118">
        <v>22520</v>
      </c>
      <c r="R4432" s="119"/>
      <c r="S4432" s="118">
        <v>16500</v>
      </c>
      <c r="T4432" s="119"/>
      <c r="U4432" s="118">
        <f t="shared" ref="U4432" si="4833">SUM(K4432:T4433)</f>
        <v>737520</v>
      </c>
      <c r="V4432" s="122"/>
      <c r="W4432" s="124"/>
      <c r="X4432" s="126" t="s">
        <v>13945</v>
      </c>
      <c r="Y4432" s="127"/>
      <c r="Z4432" s="127"/>
      <c r="AA4432" s="127"/>
      <c r="AB4432" s="128"/>
      <c r="AC4432" s="15" t="s">
        <v>20</v>
      </c>
      <c r="AD4432" s="129"/>
      <c r="AE4432" s="130"/>
      <c r="AF4432" s="130"/>
      <c r="AG4432" s="130"/>
      <c r="AH4432" s="130"/>
      <c r="AI4432" s="131"/>
      <c r="AJ4432" s="132"/>
      <c r="AK4432" s="127"/>
      <c r="AL4432" s="128"/>
      <c r="AM4432" s="21"/>
      <c r="AN4432" s="133">
        <v>46018</v>
      </c>
      <c r="AO4432" s="134"/>
      <c r="AP4432" s="135">
        <v>1282</v>
      </c>
      <c r="AQ4432" s="136"/>
      <c r="AR4432" s="118">
        <v>615000</v>
      </c>
      <c r="AS4432" s="119"/>
      <c r="AT4432" s="118">
        <f t="shared" ref="AT4432" si="4834">AR4432*0.1</f>
        <v>61500</v>
      </c>
      <c r="AU4432" s="119"/>
      <c r="AV4432" s="118">
        <v>22520</v>
      </c>
      <c r="AW4432" s="119"/>
      <c r="AX4432" s="118">
        <f t="shared" ref="AX4432" si="4835">SUM(AR4432:AW4432)</f>
        <v>699020</v>
      </c>
      <c r="AY4432" s="119"/>
      <c r="AZ4432" s="137">
        <v>46028</v>
      </c>
    </row>
    <row r="4433" spans="1:52" ht="17.100000000000001" customHeight="1" thickBot="1">
      <c r="A4433" s="110"/>
      <c r="B4433" s="27" t="s">
        <v>2511</v>
      </c>
      <c r="C4433" s="27">
        <v>82658</v>
      </c>
      <c r="D4433" s="14" t="s">
        <v>275</v>
      </c>
      <c r="E4433" s="112"/>
      <c r="F4433" s="139" t="s">
        <v>13365</v>
      </c>
      <c r="G4433" s="140"/>
      <c r="H4433" s="141"/>
      <c r="I4433" s="26">
        <v>70974</v>
      </c>
      <c r="J4433" s="117"/>
      <c r="K4433" s="120"/>
      <c r="L4433" s="121"/>
      <c r="M4433" s="120"/>
      <c r="N4433" s="121"/>
      <c r="O4433" s="120"/>
      <c r="P4433" s="121"/>
      <c r="Q4433" s="120"/>
      <c r="R4433" s="121"/>
      <c r="S4433" s="120"/>
      <c r="T4433" s="121"/>
      <c r="U4433" s="120"/>
      <c r="V4433" s="123"/>
      <c r="W4433" s="125"/>
      <c r="X4433" s="142" t="s">
        <v>2776</v>
      </c>
      <c r="Y4433" s="143"/>
      <c r="Z4433" s="143"/>
      <c r="AA4433" s="143"/>
      <c r="AB4433" s="144"/>
      <c r="AC4433" s="16" t="s">
        <v>21</v>
      </c>
      <c r="AD4433" s="17" t="s">
        <v>1809</v>
      </c>
      <c r="AE4433" s="145" t="s">
        <v>2195</v>
      </c>
      <c r="AF4433" s="146"/>
      <c r="AG4433" s="146"/>
      <c r="AH4433" s="146"/>
      <c r="AI4433" s="147"/>
      <c r="AJ4433" s="148"/>
      <c r="AK4433" s="143"/>
      <c r="AL4433" s="144"/>
      <c r="AM4433" s="22"/>
      <c r="AN4433" s="149" t="s">
        <v>2511</v>
      </c>
      <c r="AO4433" s="144"/>
      <c r="AP4433" s="148">
        <v>80109</v>
      </c>
      <c r="AQ4433" s="144"/>
      <c r="AR4433" s="120"/>
      <c r="AS4433" s="121"/>
      <c r="AT4433" s="120"/>
      <c r="AU4433" s="121"/>
      <c r="AV4433" s="120"/>
      <c r="AW4433" s="121"/>
      <c r="AX4433" s="120"/>
      <c r="AY4433" s="121"/>
      <c r="AZ4433" s="138"/>
    </row>
    <row r="4434" spans="1:52" ht="17.100000000000001" customHeight="1" thickTop="1">
      <c r="A4434" s="109" t="s">
        <v>13426</v>
      </c>
      <c r="B4434" s="28">
        <v>46004</v>
      </c>
      <c r="C4434" s="25">
        <v>1445</v>
      </c>
      <c r="D4434" s="13" t="s">
        <v>2814</v>
      </c>
      <c r="E4434" s="111"/>
      <c r="F4434" s="113" t="s">
        <v>13302</v>
      </c>
      <c r="G4434" s="114"/>
      <c r="H4434" s="115"/>
      <c r="I4434" s="24" t="s">
        <v>13304</v>
      </c>
      <c r="J4434" s="116">
        <v>4.5</v>
      </c>
      <c r="K4434" s="118">
        <v>910000</v>
      </c>
      <c r="L4434" s="119"/>
      <c r="M4434" s="118">
        <f t="shared" ref="M4434" si="4836">K4434*0.1</f>
        <v>91000</v>
      </c>
      <c r="N4434" s="119"/>
      <c r="O4434" s="118">
        <f>8600+860</f>
        <v>9460</v>
      </c>
      <c r="P4434" s="119"/>
      <c r="Q4434" s="118">
        <v>18960</v>
      </c>
      <c r="R4434" s="119"/>
      <c r="S4434" s="118">
        <v>16500</v>
      </c>
      <c r="T4434" s="119"/>
      <c r="U4434" s="118">
        <f t="shared" ref="U4434" si="4837">SUM(K4434:T4435)</f>
        <v>1045920</v>
      </c>
      <c r="V4434" s="122"/>
      <c r="W4434" s="124"/>
      <c r="X4434" s="126" t="s">
        <v>13305</v>
      </c>
      <c r="Y4434" s="127"/>
      <c r="Z4434" s="127"/>
      <c r="AA4434" s="127"/>
      <c r="AB4434" s="128"/>
      <c r="AC4434" s="15" t="s">
        <v>20</v>
      </c>
      <c r="AD4434" s="129" t="s">
        <v>1670</v>
      </c>
      <c r="AE4434" s="130"/>
      <c r="AF4434" s="130"/>
      <c r="AG4434" s="130"/>
      <c r="AH4434" s="130"/>
      <c r="AI4434" s="131"/>
      <c r="AJ4434" s="132"/>
      <c r="AK4434" s="127"/>
      <c r="AL4434" s="128"/>
      <c r="AM4434" s="21"/>
      <c r="AN4434" s="133">
        <v>46008</v>
      </c>
      <c r="AO4434" s="134"/>
      <c r="AP4434" s="135">
        <v>997</v>
      </c>
      <c r="AQ4434" s="136"/>
      <c r="AR4434" s="118">
        <v>1050000</v>
      </c>
      <c r="AS4434" s="119"/>
      <c r="AT4434" s="118">
        <f t="shared" ref="AT4434" si="4838">AR4434*0.1</f>
        <v>105000</v>
      </c>
      <c r="AU4434" s="119"/>
      <c r="AV4434" s="118">
        <v>18960</v>
      </c>
      <c r="AW4434" s="119"/>
      <c r="AX4434" s="118">
        <f t="shared" ref="AX4434" si="4839">SUM(AR4434:AW4434)</f>
        <v>1173960</v>
      </c>
      <c r="AY4434" s="119"/>
      <c r="AZ4434" s="137">
        <v>46014</v>
      </c>
    </row>
    <row r="4435" spans="1:52" ht="17.100000000000001" customHeight="1" thickBot="1">
      <c r="A4435" s="110"/>
      <c r="B4435" s="27" t="s">
        <v>1779</v>
      </c>
      <c r="C4435" s="27">
        <v>5062</v>
      </c>
      <c r="D4435" s="14" t="s">
        <v>904</v>
      </c>
      <c r="E4435" s="112"/>
      <c r="F4435" s="139" t="s">
        <v>13303</v>
      </c>
      <c r="G4435" s="140"/>
      <c r="H4435" s="141"/>
      <c r="I4435" s="26">
        <v>23495</v>
      </c>
      <c r="J4435" s="117"/>
      <c r="K4435" s="120"/>
      <c r="L4435" s="121"/>
      <c r="M4435" s="120"/>
      <c r="N4435" s="121"/>
      <c r="O4435" s="120"/>
      <c r="P4435" s="121"/>
      <c r="Q4435" s="120"/>
      <c r="R4435" s="121"/>
      <c r="S4435" s="120"/>
      <c r="T4435" s="121"/>
      <c r="U4435" s="120"/>
      <c r="V4435" s="123"/>
      <c r="W4435" s="125"/>
      <c r="X4435" s="142" t="s">
        <v>3438</v>
      </c>
      <c r="Y4435" s="143"/>
      <c r="Z4435" s="143"/>
      <c r="AA4435" s="143"/>
      <c r="AB4435" s="144"/>
      <c r="AC4435" s="16" t="s">
        <v>21</v>
      </c>
      <c r="AD4435" s="17" t="s">
        <v>13826</v>
      </c>
      <c r="AE4435" s="145" t="s">
        <v>1878</v>
      </c>
      <c r="AF4435" s="146"/>
      <c r="AG4435" s="146"/>
      <c r="AH4435" s="146"/>
      <c r="AI4435" s="147"/>
      <c r="AJ4435" s="148"/>
      <c r="AK4435" s="143"/>
      <c r="AL4435" s="144"/>
      <c r="AM4435" s="22"/>
      <c r="AN4435" s="149" t="s">
        <v>2794</v>
      </c>
      <c r="AO4435" s="144"/>
      <c r="AP4435" s="148">
        <v>5174</v>
      </c>
      <c r="AQ4435" s="144"/>
      <c r="AR4435" s="120"/>
      <c r="AS4435" s="121"/>
      <c r="AT4435" s="120"/>
      <c r="AU4435" s="121"/>
      <c r="AV4435" s="120"/>
      <c r="AW4435" s="121"/>
      <c r="AX4435" s="120"/>
      <c r="AY4435" s="121"/>
      <c r="AZ4435" s="138"/>
    </row>
    <row r="4436" spans="1:52" ht="16.5" customHeight="1" thickTop="1">
      <c r="A4436" s="109" t="s">
        <v>13427</v>
      </c>
      <c r="B4436" s="28">
        <v>46004</v>
      </c>
      <c r="C4436" s="25">
        <v>1523</v>
      </c>
      <c r="D4436" s="13" t="s">
        <v>2970</v>
      </c>
      <c r="E4436" s="111"/>
      <c r="F4436" s="113" t="s">
        <v>13349</v>
      </c>
      <c r="G4436" s="114"/>
      <c r="H4436" s="115"/>
      <c r="I4436" s="24" t="s">
        <v>13351</v>
      </c>
      <c r="J4436" s="116">
        <v>4.5</v>
      </c>
      <c r="K4436" s="118">
        <v>1135000</v>
      </c>
      <c r="L4436" s="119"/>
      <c r="M4436" s="118">
        <f t="shared" ref="M4436" si="4840">K4436*0.1</f>
        <v>113500</v>
      </c>
      <c r="N4436" s="119"/>
      <c r="O4436" s="118">
        <f>6200+620</f>
        <v>6820</v>
      </c>
      <c r="P4436" s="119"/>
      <c r="Q4436" s="118">
        <v>12470</v>
      </c>
      <c r="R4436" s="119"/>
      <c r="S4436" s="118">
        <v>16500</v>
      </c>
      <c r="T4436" s="119"/>
      <c r="U4436" s="118">
        <f t="shared" ref="U4436" si="4841">SUM(K4436:T4437)</f>
        <v>1284290</v>
      </c>
      <c r="V4436" s="122"/>
      <c r="W4436" s="124"/>
      <c r="X4436" s="126" t="s">
        <v>13352</v>
      </c>
      <c r="Y4436" s="127"/>
      <c r="Z4436" s="127"/>
      <c r="AA4436" s="127"/>
      <c r="AB4436" s="128"/>
      <c r="AC4436" s="15" t="s">
        <v>20</v>
      </c>
      <c r="AD4436" s="129" t="s">
        <v>1565</v>
      </c>
      <c r="AE4436" s="130"/>
      <c r="AF4436" s="130"/>
      <c r="AG4436" s="130"/>
      <c r="AH4436" s="130"/>
      <c r="AI4436" s="131"/>
      <c r="AJ4436" s="132"/>
      <c r="AK4436" s="127"/>
      <c r="AL4436" s="128"/>
      <c r="AM4436" s="21"/>
      <c r="AN4436" s="133">
        <v>46060</v>
      </c>
      <c r="AO4436" s="134"/>
      <c r="AP4436" s="135">
        <v>1287</v>
      </c>
      <c r="AQ4436" s="136"/>
      <c r="AR4436" s="118">
        <v>1280000</v>
      </c>
      <c r="AS4436" s="119"/>
      <c r="AT4436" s="118">
        <f t="shared" ref="AT4436" si="4842">AR4436*0.1</f>
        <v>128000</v>
      </c>
      <c r="AU4436" s="119"/>
      <c r="AV4436" s="118">
        <v>12470</v>
      </c>
      <c r="AW4436" s="119"/>
      <c r="AX4436" s="118">
        <f t="shared" ref="AX4436" si="4843">SUM(AR4436:AW4436)</f>
        <v>1420470</v>
      </c>
      <c r="AY4436" s="119"/>
      <c r="AZ4436" s="137">
        <v>46063</v>
      </c>
    </row>
    <row r="4437" spans="1:52" ht="17.100000000000001" customHeight="1" thickBot="1">
      <c r="A4437" s="110"/>
      <c r="B4437" s="27" t="s">
        <v>1555</v>
      </c>
      <c r="C4437" s="27">
        <v>83106</v>
      </c>
      <c r="D4437" s="14" t="s">
        <v>2601</v>
      </c>
      <c r="E4437" s="112"/>
      <c r="F4437" s="139" t="s">
        <v>13350</v>
      </c>
      <c r="G4437" s="140"/>
      <c r="H4437" s="141"/>
      <c r="I4437" s="26">
        <v>26493</v>
      </c>
      <c r="J4437" s="117"/>
      <c r="K4437" s="120"/>
      <c r="L4437" s="121"/>
      <c r="M4437" s="120"/>
      <c r="N4437" s="121"/>
      <c r="O4437" s="120"/>
      <c r="P4437" s="121"/>
      <c r="Q4437" s="120"/>
      <c r="R4437" s="121"/>
      <c r="S4437" s="120"/>
      <c r="T4437" s="121"/>
      <c r="U4437" s="120"/>
      <c r="V4437" s="123"/>
      <c r="W4437" s="125"/>
      <c r="X4437" s="142" t="s">
        <v>13655</v>
      </c>
      <c r="Y4437" s="143"/>
      <c r="Z4437" s="143"/>
      <c r="AA4437" s="143"/>
      <c r="AB4437" s="144"/>
      <c r="AC4437" s="16" t="s">
        <v>21</v>
      </c>
      <c r="AD4437" s="17" t="s">
        <v>1783</v>
      </c>
      <c r="AE4437" s="145" t="s">
        <v>7432</v>
      </c>
      <c r="AF4437" s="146"/>
      <c r="AG4437" s="146"/>
      <c r="AH4437" s="146"/>
      <c r="AI4437" s="147"/>
      <c r="AJ4437" s="148"/>
      <c r="AK4437" s="143"/>
      <c r="AL4437" s="144"/>
      <c r="AM4437" s="22"/>
      <c r="AN4437" s="149" t="s">
        <v>2511</v>
      </c>
      <c r="AO4437" s="144"/>
      <c r="AP4437" s="148">
        <v>80156</v>
      </c>
      <c r="AQ4437" s="144"/>
      <c r="AR4437" s="120"/>
      <c r="AS4437" s="121"/>
      <c r="AT4437" s="120"/>
      <c r="AU4437" s="121"/>
      <c r="AV4437" s="120"/>
      <c r="AW4437" s="121"/>
      <c r="AX4437" s="120"/>
      <c r="AY4437" s="121"/>
      <c r="AZ4437" s="138"/>
    </row>
    <row r="4438" spans="1:52" ht="17.100000000000001" customHeight="1" thickTop="1">
      <c r="A4438" s="151" t="s">
        <v>13433</v>
      </c>
      <c r="B4438" s="28">
        <v>46004</v>
      </c>
      <c r="C4438" s="25">
        <v>1702</v>
      </c>
      <c r="D4438" s="13" t="s">
        <v>2759</v>
      </c>
      <c r="E4438" s="111"/>
      <c r="F4438" s="113" t="s">
        <v>13431</v>
      </c>
      <c r="G4438" s="114"/>
      <c r="H4438" s="115"/>
      <c r="I4438" s="24"/>
      <c r="J4438" s="116">
        <v>4.5</v>
      </c>
      <c r="K4438" s="118">
        <v>1850000</v>
      </c>
      <c r="L4438" s="119"/>
      <c r="M4438" s="118">
        <f t="shared" ref="M4438" si="4844">K4438*0.1</f>
        <v>185000</v>
      </c>
      <c r="N4438" s="119"/>
      <c r="O4438" s="118">
        <v>0</v>
      </c>
      <c r="P4438" s="119"/>
      <c r="Q4438" s="118">
        <v>20460</v>
      </c>
      <c r="R4438" s="119"/>
      <c r="S4438" s="118">
        <v>14300</v>
      </c>
      <c r="T4438" s="119"/>
      <c r="U4438" s="118">
        <f t="shared" ref="U4438" si="4845">SUM(K4438:T4439)</f>
        <v>2069760</v>
      </c>
      <c r="V4438" s="122"/>
      <c r="W4438" s="124"/>
      <c r="X4438" s="126" t="s">
        <v>13851</v>
      </c>
      <c r="Y4438" s="127"/>
      <c r="Z4438" s="127"/>
      <c r="AA4438" s="127"/>
      <c r="AB4438" s="128"/>
      <c r="AC4438" s="15" t="s">
        <v>20</v>
      </c>
      <c r="AD4438" s="129" t="s">
        <v>1633</v>
      </c>
      <c r="AE4438" s="130"/>
      <c r="AF4438" s="130"/>
      <c r="AG4438" s="130"/>
      <c r="AH4438" s="130"/>
      <c r="AI4438" s="131"/>
      <c r="AJ4438" s="132"/>
      <c r="AK4438" s="127"/>
      <c r="AL4438" s="128"/>
      <c r="AM4438" s="21"/>
      <c r="AN4438" s="133">
        <v>46039</v>
      </c>
      <c r="AO4438" s="134"/>
      <c r="AP4438" s="135">
        <v>1284</v>
      </c>
      <c r="AQ4438" s="136"/>
      <c r="AR4438" s="118">
        <v>2150000</v>
      </c>
      <c r="AS4438" s="119"/>
      <c r="AT4438" s="118">
        <f t="shared" ref="AT4438" si="4846">AR4438*0.1</f>
        <v>215000</v>
      </c>
      <c r="AU4438" s="119"/>
      <c r="AV4438" s="118">
        <v>20460</v>
      </c>
      <c r="AW4438" s="119"/>
      <c r="AX4438" s="118">
        <f t="shared" ref="AX4438" si="4847">SUM(AR4438:AW4438)</f>
        <v>2385460</v>
      </c>
      <c r="AY4438" s="119"/>
      <c r="AZ4438" s="137">
        <v>46042</v>
      </c>
    </row>
    <row r="4439" spans="1:52" ht="17.100000000000001" customHeight="1" thickBot="1">
      <c r="A4439" s="152"/>
      <c r="B4439" s="27" t="s">
        <v>1859</v>
      </c>
      <c r="C4439" s="27">
        <v>554</v>
      </c>
      <c r="D4439" s="14" t="s">
        <v>904</v>
      </c>
      <c r="E4439" s="112"/>
      <c r="F4439" s="139" t="s">
        <v>13432</v>
      </c>
      <c r="G4439" s="140"/>
      <c r="H4439" s="141"/>
      <c r="I4439" s="26">
        <v>13066</v>
      </c>
      <c r="J4439" s="117"/>
      <c r="K4439" s="120"/>
      <c r="L4439" s="121"/>
      <c r="M4439" s="120"/>
      <c r="N4439" s="121"/>
      <c r="O4439" s="120"/>
      <c r="P4439" s="121"/>
      <c r="Q4439" s="120"/>
      <c r="R4439" s="121"/>
      <c r="S4439" s="120"/>
      <c r="T4439" s="121"/>
      <c r="U4439" s="120"/>
      <c r="V4439" s="123"/>
      <c r="W4439" s="125"/>
      <c r="X4439" s="142" t="s">
        <v>2440</v>
      </c>
      <c r="Y4439" s="143"/>
      <c r="Z4439" s="143"/>
      <c r="AA4439" s="143"/>
      <c r="AB4439" s="144"/>
      <c r="AC4439" s="16" t="s">
        <v>21</v>
      </c>
      <c r="AD4439" s="17" t="s">
        <v>13826</v>
      </c>
      <c r="AE4439" s="145" t="s">
        <v>1742</v>
      </c>
      <c r="AF4439" s="146"/>
      <c r="AG4439" s="146"/>
      <c r="AH4439" s="146"/>
      <c r="AI4439" s="147"/>
      <c r="AJ4439" s="148"/>
      <c r="AK4439" s="143"/>
      <c r="AL4439" s="144"/>
      <c r="AM4439" s="22"/>
      <c r="AN4439" s="149" t="s">
        <v>2511</v>
      </c>
      <c r="AO4439" s="144"/>
      <c r="AP4439" s="148">
        <v>80113</v>
      </c>
      <c r="AQ4439" s="144"/>
      <c r="AR4439" s="120"/>
      <c r="AS4439" s="121"/>
      <c r="AT4439" s="120"/>
      <c r="AU4439" s="121"/>
      <c r="AV4439" s="120"/>
      <c r="AW4439" s="121"/>
      <c r="AX4439" s="120"/>
      <c r="AY4439" s="121"/>
      <c r="AZ4439" s="138"/>
    </row>
    <row r="4440" spans="1:52" ht="17.100000000000001" customHeight="1" thickTop="1">
      <c r="A4440" s="109" t="s">
        <v>13467</v>
      </c>
      <c r="B4440" s="28">
        <v>46006</v>
      </c>
      <c r="C4440" s="25"/>
      <c r="D4440" s="13" t="s">
        <v>1977</v>
      </c>
      <c r="E4440" s="111"/>
      <c r="F4440" s="113" t="s">
        <v>1938</v>
      </c>
      <c r="G4440" s="114"/>
      <c r="H4440" s="115"/>
      <c r="I4440" s="24"/>
      <c r="J4440" s="116">
        <v>4.5</v>
      </c>
      <c r="K4440" s="118">
        <v>1372000</v>
      </c>
      <c r="L4440" s="119"/>
      <c r="M4440" s="118">
        <f t="shared" ref="M4440" si="4848">K4440*0.1</f>
        <v>137200</v>
      </c>
      <c r="N4440" s="119"/>
      <c r="O4440" s="118">
        <v>0</v>
      </c>
      <c r="P4440" s="119"/>
      <c r="Q4440" s="118">
        <v>17600</v>
      </c>
      <c r="R4440" s="119"/>
      <c r="S4440" s="118">
        <v>14850</v>
      </c>
      <c r="T4440" s="119"/>
      <c r="U4440" s="118">
        <f t="shared" ref="U4440" si="4849">SUM(K4440:T4441)</f>
        <v>1541650</v>
      </c>
      <c r="V4440" s="122"/>
      <c r="W4440" s="124"/>
      <c r="X4440" s="126" t="s">
        <v>13827</v>
      </c>
      <c r="Y4440" s="127"/>
      <c r="Z4440" s="127"/>
      <c r="AA4440" s="127"/>
      <c r="AB4440" s="128"/>
      <c r="AC4440" s="15" t="s">
        <v>20</v>
      </c>
      <c r="AD4440" s="129" t="s">
        <v>1670</v>
      </c>
      <c r="AE4440" s="130"/>
      <c r="AF4440" s="130"/>
      <c r="AG4440" s="130"/>
      <c r="AH4440" s="130"/>
      <c r="AI4440" s="131"/>
      <c r="AJ4440" s="132"/>
      <c r="AK4440" s="127"/>
      <c r="AL4440" s="128"/>
      <c r="AM4440" s="21"/>
      <c r="AN4440" s="133">
        <v>46032</v>
      </c>
      <c r="AO4440" s="134"/>
      <c r="AP4440" s="135">
        <v>1283</v>
      </c>
      <c r="AQ4440" s="136"/>
      <c r="AR4440" s="118">
        <v>1485000</v>
      </c>
      <c r="AS4440" s="119"/>
      <c r="AT4440" s="118">
        <f t="shared" ref="AT4440" si="4850">AR4440*0.1</f>
        <v>148500</v>
      </c>
      <c r="AU4440" s="119"/>
      <c r="AV4440" s="118">
        <v>17600</v>
      </c>
      <c r="AW4440" s="119"/>
      <c r="AX4440" s="118">
        <f t="shared" ref="AX4440" si="4851">SUM(AR4440:AW4440)</f>
        <v>1651100</v>
      </c>
      <c r="AY4440" s="119"/>
      <c r="AZ4440" s="137">
        <v>46036</v>
      </c>
    </row>
    <row r="4441" spans="1:52" ht="17.100000000000001" customHeight="1" thickBot="1">
      <c r="A4441" s="110"/>
      <c r="B4441" s="27" t="s">
        <v>9959</v>
      </c>
      <c r="C4441" s="27">
        <v>28042</v>
      </c>
      <c r="D4441" s="14" t="s">
        <v>904</v>
      </c>
      <c r="E4441" s="112"/>
      <c r="F4441" s="139" t="s">
        <v>13434</v>
      </c>
      <c r="G4441" s="140"/>
      <c r="H4441" s="141"/>
      <c r="I4441" s="26">
        <v>26689</v>
      </c>
      <c r="J4441" s="117"/>
      <c r="K4441" s="120"/>
      <c r="L4441" s="121"/>
      <c r="M4441" s="120"/>
      <c r="N4441" s="121"/>
      <c r="O4441" s="120"/>
      <c r="P4441" s="121"/>
      <c r="Q4441" s="120"/>
      <c r="R4441" s="121"/>
      <c r="S4441" s="120"/>
      <c r="T4441" s="121"/>
      <c r="U4441" s="120"/>
      <c r="V4441" s="123"/>
      <c r="W4441" s="125"/>
      <c r="X4441" s="142" t="s">
        <v>12642</v>
      </c>
      <c r="Y4441" s="143"/>
      <c r="Z4441" s="143"/>
      <c r="AA4441" s="143"/>
      <c r="AB4441" s="144"/>
      <c r="AC4441" s="16" t="s">
        <v>21</v>
      </c>
      <c r="AD4441" s="17" t="s">
        <v>13826</v>
      </c>
      <c r="AE4441" s="145" t="s">
        <v>1614</v>
      </c>
      <c r="AF4441" s="146"/>
      <c r="AG4441" s="146"/>
      <c r="AH4441" s="146"/>
      <c r="AI4441" s="147"/>
      <c r="AJ4441" s="148"/>
      <c r="AK4441" s="143"/>
      <c r="AL4441" s="144"/>
      <c r="AM4441" s="22"/>
      <c r="AN4441" s="149" t="s">
        <v>2511</v>
      </c>
      <c r="AO4441" s="144"/>
      <c r="AP4441" s="148">
        <v>80083</v>
      </c>
      <c r="AQ4441" s="144"/>
      <c r="AR4441" s="120"/>
      <c r="AS4441" s="121"/>
      <c r="AT4441" s="120"/>
      <c r="AU4441" s="121"/>
      <c r="AV4441" s="120"/>
      <c r="AW4441" s="121"/>
      <c r="AX4441" s="120"/>
      <c r="AY4441" s="121"/>
      <c r="AZ4441" s="138"/>
    </row>
    <row r="4442" spans="1:52" ht="17.100000000000001" customHeight="1" thickTop="1">
      <c r="A4442" s="109" t="s">
        <v>13468</v>
      </c>
      <c r="B4442" s="28">
        <v>46006</v>
      </c>
      <c r="C4442" s="25"/>
      <c r="D4442" s="13" t="s">
        <v>1953</v>
      </c>
      <c r="E4442" s="111"/>
      <c r="F4442" s="113" t="s">
        <v>13900</v>
      </c>
      <c r="G4442" s="114"/>
      <c r="H4442" s="115"/>
      <c r="I4442" s="24" t="s">
        <v>3923</v>
      </c>
      <c r="J4442" s="116">
        <v>4</v>
      </c>
      <c r="K4442" s="118">
        <v>960000</v>
      </c>
      <c r="L4442" s="119"/>
      <c r="M4442" s="118">
        <f t="shared" ref="M4442" si="4852">K4442*0.1</f>
        <v>96000</v>
      </c>
      <c r="N4442" s="119"/>
      <c r="O4442" s="118">
        <f>8600+860</f>
        <v>9460</v>
      </c>
      <c r="P4442" s="119"/>
      <c r="Q4442" s="118">
        <v>11810</v>
      </c>
      <c r="R4442" s="119"/>
      <c r="S4442" s="118">
        <v>14850</v>
      </c>
      <c r="T4442" s="119"/>
      <c r="U4442" s="118">
        <f t="shared" ref="U4442" si="4853">SUM(K4442:T4443)</f>
        <v>1092120</v>
      </c>
      <c r="V4442" s="122"/>
      <c r="W4442" s="124"/>
      <c r="X4442" s="126" t="s">
        <v>13441</v>
      </c>
      <c r="Y4442" s="127"/>
      <c r="Z4442" s="127"/>
      <c r="AA4442" s="127"/>
      <c r="AB4442" s="128"/>
      <c r="AC4442" s="15" t="s">
        <v>20</v>
      </c>
      <c r="AD4442" s="129" t="s">
        <v>1575</v>
      </c>
      <c r="AE4442" s="130"/>
      <c r="AF4442" s="130"/>
      <c r="AG4442" s="130"/>
      <c r="AH4442" s="130"/>
      <c r="AI4442" s="131"/>
      <c r="AJ4442" s="132"/>
      <c r="AK4442" s="127"/>
      <c r="AL4442" s="128"/>
      <c r="AM4442" s="21"/>
      <c r="AN4442" s="133"/>
      <c r="AO4442" s="134"/>
      <c r="AP4442" s="135"/>
      <c r="AQ4442" s="136"/>
      <c r="AR4442" s="118"/>
      <c r="AS4442" s="119"/>
      <c r="AT4442" s="118">
        <f t="shared" ref="AT4442" si="4854">AR4442*0.1</f>
        <v>0</v>
      </c>
      <c r="AU4442" s="119"/>
      <c r="AV4442" s="118"/>
      <c r="AW4442" s="119"/>
      <c r="AX4442" s="118">
        <f t="shared" ref="AX4442" si="4855">SUM(AR4442:AW4442)</f>
        <v>0</v>
      </c>
      <c r="AY4442" s="119"/>
      <c r="AZ4442" s="137"/>
    </row>
    <row r="4443" spans="1:52" ht="17.100000000000001" customHeight="1" thickBot="1">
      <c r="A4443" s="110"/>
      <c r="B4443" s="27" t="s">
        <v>4862</v>
      </c>
      <c r="C4443" s="27">
        <v>55211</v>
      </c>
      <c r="D4443" s="14" t="s">
        <v>1592</v>
      </c>
      <c r="E4443" s="112"/>
      <c r="F4443" s="139" t="s">
        <v>13440</v>
      </c>
      <c r="G4443" s="140"/>
      <c r="H4443" s="141"/>
      <c r="I4443" s="26">
        <v>39336</v>
      </c>
      <c r="J4443" s="117"/>
      <c r="K4443" s="120"/>
      <c r="L4443" s="121"/>
      <c r="M4443" s="120"/>
      <c r="N4443" s="121"/>
      <c r="O4443" s="120"/>
      <c r="P4443" s="121"/>
      <c r="Q4443" s="120"/>
      <c r="R4443" s="121"/>
      <c r="S4443" s="120"/>
      <c r="T4443" s="121"/>
      <c r="U4443" s="120"/>
      <c r="V4443" s="123"/>
      <c r="W4443" s="125"/>
      <c r="X4443" s="142" t="s">
        <v>4167</v>
      </c>
      <c r="Y4443" s="143"/>
      <c r="Z4443" s="143"/>
      <c r="AA4443" s="143"/>
      <c r="AB4443" s="144"/>
      <c r="AC4443" s="16" t="s">
        <v>21</v>
      </c>
      <c r="AD4443" s="17" t="s">
        <v>1809</v>
      </c>
      <c r="AE4443" s="145" t="s">
        <v>13901</v>
      </c>
      <c r="AF4443" s="146"/>
      <c r="AG4443" s="146"/>
      <c r="AH4443" s="146"/>
      <c r="AI4443" s="147"/>
      <c r="AJ4443" s="148"/>
      <c r="AK4443" s="143"/>
      <c r="AL4443" s="144"/>
      <c r="AM4443" s="22"/>
      <c r="AN4443" s="149"/>
      <c r="AO4443" s="144"/>
      <c r="AP4443" s="148"/>
      <c r="AQ4443" s="144"/>
      <c r="AR4443" s="120"/>
      <c r="AS4443" s="121"/>
      <c r="AT4443" s="120"/>
      <c r="AU4443" s="121"/>
      <c r="AV4443" s="120"/>
      <c r="AW4443" s="121"/>
      <c r="AX4443" s="120"/>
      <c r="AY4443" s="121"/>
      <c r="AZ4443" s="138"/>
    </row>
    <row r="4444" spans="1:52" ht="17.100000000000001" customHeight="1" thickTop="1">
      <c r="A4444" s="151" t="s">
        <v>13469</v>
      </c>
      <c r="B4444" s="28">
        <v>46006</v>
      </c>
      <c r="C4444" s="25"/>
      <c r="D4444" s="13" t="s">
        <v>1667</v>
      </c>
      <c r="E4444" s="111"/>
      <c r="F4444" s="113" t="s">
        <v>1938</v>
      </c>
      <c r="G4444" s="114"/>
      <c r="H4444" s="115"/>
      <c r="I4444" s="24" t="s">
        <v>2112</v>
      </c>
      <c r="J4444" s="116">
        <v>4</v>
      </c>
      <c r="K4444" s="118">
        <v>542000</v>
      </c>
      <c r="L4444" s="119"/>
      <c r="M4444" s="118">
        <f t="shared" ref="M4444" si="4856">K4444*0.1</f>
        <v>54200</v>
      </c>
      <c r="N4444" s="119"/>
      <c r="O4444" s="118">
        <f>8600+860</f>
        <v>9460</v>
      </c>
      <c r="P4444" s="119"/>
      <c r="Q4444" s="118">
        <v>17700</v>
      </c>
      <c r="R4444" s="119"/>
      <c r="S4444" s="118">
        <v>14850</v>
      </c>
      <c r="T4444" s="119"/>
      <c r="U4444" s="118">
        <f t="shared" ref="U4444" si="4857">SUM(K4444:T4445)</f>
        <v>638210</v>
      </c>
      <c r="V4444" s="122"/>
      <c r="W4444" s="124"/>
      <c r="X4444" s="126" t="s">
        <v>13442</v>
      </c>
      <c r="Y4444" s="127"/>
      <c r="Z4444" s="127"/>
      <c r="AA4444" s="127"/>
      <c r="AB4444" s="128"/>
      <c r="AC4444" s="15" t="s">
        <v>20</v>
      </c>
      <c r="AD4444" s="129"/>
      <c r="AE4444" s="130"/>
      <c r="AF4444" s="130"/>
      <c r="AG4444" s="130"/>
      <c r="AH4444" s="130"/>
      <c r="AI4444" s="131"/>
      <c r="AJ4444" s="132"/>
      <c r="AK4444" s="127"/>
      <c r="AL4444" s="128"/>
      <c r="AM4444" s="21"/>
      <c r="AN4444" s="133">
        <v>46032</v>
      </c>
      <c r="AO4444" s="134"/>
      <c r="AP4444" s="135">
        <v>1283</v>
      </c>
      <c r="AQ4444" s="136"/>
      <c r="AR4444" s="118">
        <v>675000</v>
      </c>
      <c r="AS4444" s="119"/>
      <c r="AT4444" s="118">
        <f t="shared" ref="AT4444" si="4858">AR4444*0.1</f>
        <v>67500</v>
      </c>
      <c r="AU4444" s="119"/>
      <c r="AV4444" s="118">
        <v>17700</v>
      </c>
      <c r="AW4444" s="119"/>
      <c r="AX4444" s="118">
        <f t="shared" ref="AX4444" si="4859">SUM(AR4444:AW4444)</f>
        <v>760200</v>
      </c>
      <c r="AY4444" s="119"/>
      <c r="AZ4444" s="137">
        <v>46036</v>
      </c>
    </row>
    <row r="4445" spans="1:52" ht="17.100000000000001" customHeight="1" thickBot="1">
      <c r="A4445" s="152"/>
      <c r="B4445" s="27" t="s">
        <v>2774</v>
      </c>
      <c r="C4445" s="27">
        <v>70381</v>
      </c>
      <c r="D4445" s="14" t="s">
        <v>3809</v>
      </c>
      <c r="E4445" s="112"/>
      <c r="F4445" s="139" t="s">
        <v>13828</v>
      </c>
      <c r="G4445" s="140"/>
      <c r="H4445" s="141"/>
      <c r="I4445" s="26">
        <v>55603</v>
      </c>
      <c r="J4445" s="117"/>
      <c r="K4445" s="120"/>
      <c r="L4445" s="121"/>
      <c r="M4445" s="120"/>
      <c r="N4445" s="121"/>
      <c r="O4445" s="120"/>
      <c r="P4445" s="121"/>
      <c r="Q4445" s="120"/>
      <c r="R4445" s="121"/>
      <c r="S4445" s="120"/>
      <c r="T4445" s="121"/>
      <c r="U4445" s="120"/>
      <c r="V4445" s="123"/>
      <c r="W4445" s="125"/>
      <c r="X4445" s="142" t="s">
        <v>3300</v>
      </c>
      <c r="Y4445" s="143"/>
      <c r="Z4445" s="143"/>
      <c r="AA4445" s="143"/>
      <c r="AB4445" s="144"/>
      <c r="AC4445" s="16" t="s">
        <v>21</v>
      </c>
      <c r="AD4445" s="17" t="s">
        <v>13826</v>
      </c>
      <c r="AE4445" s="145"/>
      <c r="AF4445" s="146"/>
      <c r="AG4445" s="146"/>
      <c r="AH4445" s="146"/>
      <c r="AI4445" s="147"/>
      <c r="AJ4445" s="148"/>
      <c r="AK4445" s="143"/>
      <c r="AL4445" s="144"/>
      <c r="AM4445" s="22"/>
      <c r="AN4445" s="149" t="s">
        <v>2511</v>
      </c>
      <c r="AO4445" s="144"/>
      <c r="AP4445" s="148">
        <v>80112</v>
      </c>
      <c r="AQ4445" s="144"/>
      <c r="AR4445" s="120"/>
      <c r="AS4445" s="121"/>
      <c r="AT4445" s="120"/>
      <c r="AU4445" s="121"/>
      <c r="AV4445" s="120"/>
      <c r="AW4445" s="121"/>
      <c r="AX4445" s="120"/>
      <c r="AY4445" s="121"/>
      <c r="AZ4445" s="138"/>
    </row>
    <row r="4446" spans="1:52" ht="17.100000000000001" customHeight="1" thickTop="1">
      <c r="A4446" s="109" t="s">
        <v>13470</v>
      </c>
      <c r="B4446" s="28">
        <v>46006</v>
      </c>
      <c r="C4446" s="25"/>
      <c r="D4446" s="13" t="s">
        <v>1640</v>
      </c>
      <c r="E4446" s="111"/>
      <c r="F4446" s="113" t="s">
        <v>13436</v>
      </c>
      <c r="G4446" s="114"/>
      <c r="H4446" s="115"/>
      <c r="I4446" s="24"/>
      <c r="J4446" s="116">
        <v>4</v>
      </c>
      <c r="K4446" s="118">
        <v>1056000</v>
      </c>
      <c r="L4446" s="119"/>
      <c r="M4446" s="118">
        <f t="shared" ref="M4446" si="4860">K4446*0.1</f>
        <v>105600</v>
      </c>
      <c r="N4446" s="119"/>
      <c r="O4446" s="118">
        <v>0</v>
      </c>
      <c r="P4446" s="119"/>
      <c r="Q4446" s="118">
        <v>15010</v>
      </c>
      <c r="R4446" s="119"/>
      <c r="S4446" s="118">
        <v>14850</v>
      </c>
      <c r="T4446" s="119"/>
      <c r="U4446" s="118">
        <f t="shared" ref="U4446" si="4861">SUM(K4446:T4447)</f>
        <v>1191460</v>
      </c>
      <c r="V4446" s="122"/>
      <c r="W4446" s="124"/>
      <c r="X4446" s="126" t="s">
        <v>13830</v>
      </c>
      <c r="Y4446" s="127"/>
      <c r="Z4446" s="127"/>
      <c r="AA4446" s="127"/>
      <c r="AB4446" s="128"/>
      <c r="AC4446" s="15" t="s">
        <v>20</v>
      </c>
      <c r="AD4446" s="129"/>
      <c r="AE4446" s="130"/>
      <c r="AF4446" s="130"/>
      <c r="AG4446" s="130"/>
      <c r="AH4446" s="130"/>
      <c r="AI4446" s="131"/>
      <c r="AJ4446" s="132"/>
      <c r="AK4446" s="127"/>
      <c r="AL4446" s="128"/>
      <c r="AM4446" s="21"/>
      <c r="AN4446" s="133">
        <v>46011</v>
      </c>
      <c r="AO4446" s="134"/>
      <c r="AP4446" s="135">
        <v>1281</v>
      </c>
      <c r="AQ4446" s="136"/>
      <c r="AR4446" s="118">
        <v>1180000</v>
      </c>
      <c r="AS4446" s="119"/>
      <c r="AT4446" s="118">
        <f t="shared" ref="AT4446" si="4862">AR4446*0.1</f>
        <v>118000</v>
      </c>
      <c r="AU4446" s="119"/>
      <c r="AV4446" s="118">
        <v>15010</v>
      </c>
      <c r="AW4446" s="119"/>
      <c r="AX4446" s="118">
        <f t="shared" ref="AX4446" si="4863">SUM(AR4446:AW4446)</f>
        <v>1313010</v>
      </c>
      <c r="AY4446" s="119"/>
      <c r="AZ4446" s="137">
        <v>46014</v>
      </c>
    </row>
    <row r="4447" spans="1:52" ht="17.100000000000001" customHeight="1" thickBot="1">
      <c r="A4447" s="110"/>
      <c r="B4447" s="27" t="s">
        <v>2774</v>
      </c>
      <c r="C4447" s="27">
        <v>80259</v>
      </c>
      <c r="D4447" s="14" t="s">
        <v>1592</v>
      </c>
      <c r="E4447" s="112"/>
      <c r="F4447" s="139" t="s">
        <v>13829</v>
      </c>
      <c r="G4447" s="140"/>
      <c r="H4447" s="141"/>
      <c r="I4447" s="26">
        <v>53829</v>
      </c>
      <c r="J4447" s="117"/>
      <c r="K4447" s="120"/>
      <c r="L4447" s="121"/>
      <c r="M4447" s="120"/>
      <c r="N4447" s="121"/>
      <c r="O4447" s="120"/>
      <c r="P4447" s="121"/>
      <c r="Q4447" s="120"/>
      <c r="R4447" s="121"/>
      <c r="S4447" s="120"/>
      <c r="T4447" s="121"/>
      <c r="U4447" s="120"/>
      <c r="V4447" s="123"/>
      <c r="W4447" s="125"/>
      <c r="X4447" s="142" t="s">
        <v>2776</v>
      </c>
      <c r="Y4447" s="143"/>
      <c r="Z4447" s="143"/>
      <c r="AA4447" s="143"/>
      <c r="AB4447" s="144"/>
      <c r="AC4447" s="16" t="s">
        <v>21</v>
      </c>
      <c r="AD4447" s="17" t="s">
        <v>13826</v>
      </c>
      <c r="AE4447" s="145" t="s">
        <v>7859</v>
      </c>
      <c r="AF4447" s="146"/>
      <c r="AG4447" s="146"/>
      <c r="AH4447" s="146"/>
      <c r="AI4447" s="147"/>
      <c r="AJ4447" s="148"/>
      <c r="AK4447" s="143"/>
      <c r="AL4447" s="144"/>
      <c r="AM4447" s="22"/>
      <c r="AN4447" s="149" t="s">
        <v>2511</v>
      </c>
      <c r="AO4447" s="144"/>
      <c r="AP4447" s="148">
        <v>80124</v>
      </c>
      <c r="AQ4447" s="144"/>
      <c r="AR4447" s="120"/>
      <c r="AS4447" s="121"/>
      <c r="AT4447" s="120"/>
      <c r="AU4447" s="121"/>
      <c r="AV4447" s="120"/>
      <c r="AW4447" s="121"/>
      <c r="AX4447" s="120"/>
      <c r="AY4447" s="121"/>
      <c r="AZ4447" s="138"/>
    </row>
    <row r="4448" spans="1:52" ht="17.100000000000001" customHeight="1" thickTop="1">
      <c r="A4448" s="109" t="s">
        <v>13471</v>
      </c>
      <c r="B4448" s="28">
        <v>46006</v>
      </c>
      <c r="C4448" s="25"/>
      <c r="D4448" s="13" t="s">
        <v>2442</v>
      </c>
      <c r="E4448" s="111"/>
      <c r="F4448" s="113" t="s">
        <v>1616</v>
      </c>
      <c r="G4448" s="114"/>
      <c r="H4448" s="115"/>
      <c r="I4448" s="24"/>
      <c r="J4448" s="116">
        <v>4.5</v>
      </c>
      <c r="K4448" s="118">
        <v>715000</v>
      </c>
      <c r="L4448" s="119"/>
      <c r="M4448" s="118">
        <f t="shared" ref="M4448" si="4864">K4448*0.1</f>
        <v>71500</v>
      </c>
      <c r="N4448" s="119"/>
      <c r="O4448" s="118">
        <v>0</v>
      </c>
      <c r="P4448" s="119"/>
      <c r="Q4448" s="118">
        <v>17250</v>
      </c>
      <c r="R4448" s="119"/>
      <c r="S4448" s="118">
        <v>14850</v>
      </c>
      <c r="T4448" s="119"/>
      <c r="U4448" s="118">
        <f t="shared" ref="U4448" si="4865">SUM(K4448:T4449)</f>
        <v>818600</v>
      </c>
      <c r="V4448" s="122"/>
      <c r="W4448" s="124"/>
      <c r="X4448" s="126" t="s">
        <v>13832</v>
      </c>
      <c r="Y4448" s="127"/>
      <c r="Z4448" s="127"/>
      <c r="AA4448" s="127"/>
      <c r="AB4448" s="128"/>
      <c r="AC4448" s="15" t="s">
        <v>20</v>
      </c>
      <c r="AD4448" s="129"/>
      <c r="AE4448" s="130"/>
      <c r="AF4448" s="130"/>
      <c r="AG4448" s="130"/>
      <c r="AH4448" s="130"/>
      <c r="AI4448" s="131"/>
      <c r="AJ4448" s="132"/>
      <c r="AK4448" s="127"/>
      <c r="AL4448" s="128"/>
      <c r="AM4448" s="21"/>
      <c r="AN4448" s="133">
        <v>46095</v>
      </c>
      <c r="AO4448" s="134"/>
      <c r="AP4448" s="135">
        <v>1292</v>
      </c>
      <c r="AQ4448" s="136"/>
      <c r="AR4448" s="118">
        <v>800000</v>
      </c>
      <c r="AS4448" s="119"/>
      <c r="AT4448" s="118">
        <f t="shared" ref="AT4448" si="4866">AR4448*0.1</f>
        <v>80000</v>
      </c>
      <c r="AU4448" s="119"/>
      <c r="AV4448" s="118">
        <v>17250</v>
      </c>
      <c r="AW4448" s="119"/>
      <c r="AX4448" s="118">
        <f t="shared" ref="AX4448" si="4867">SUM(AR4448:AW4448)</f>
        <v>897250</v>
      </c>
      <c r="AY4448" s="119"/>
      <c r="AZ4448" s="137">
        <v>46098</v>
      </c>
    </row>
    <row r="4449" spans="1:52" ht="17.100000000000001" customHeight="1" thickBot="1">
      <c r="A4449" s="110"/>
      <c r="B4449" s="27" t="s">
        <v>2774</v>
      </c>
      <c r="C4449" s="27">
        <v>80292</v>
      </c>
      <c r="D4449" s="14" t="s">
        <v>904</v>
      </c>
      <c r="E4449" s="112"/>
      <c r="F4449" s="139" t="s">
        <v>13831</v>
      </c>
      <c r="G4449" s="140"/>
      <c r="H4449" s="141"/>
      <c r="I4449" s="26">
        <v>13568</v>
      </c>
      <c r="J4449" s="117"/>
      <c r="K4449" s="120"/>
      <c r="L4449" s="121"/>
      <c r="M4449" s="120"/>
      <c r="N4449" s="121"/>
      <c r="O4449" s="120"/>
      <c r="P4449" s="121"/>
      <c r="Q4449" s="120"/>
      <c r="R4449" s="121"/>
      <c r="S4449" s="120"/>
      <c r="T4449" s="121"/>
      <c r="U4449" s="120"/>
      <c r="V4449" s="123"/>
      <c r="W4449" s="125"/>
      <c r="X4449" s="142" t="s">
        <v>13833</v>
      </c>
      <c r="Y4449" s="143"/>
      <c r="Z4449" s="143"/>
      <c r="AA4449" s="143"/>
      <c r="AB4449" s="144"/>
      <c r="AC4449" s="16" t="s">
        <v>21</v>
      </c>
      <c r="AD4449" s="17" t="s">
        <v>13826</v>
      </c>
      <c r="AE4449" s="145" t="s">
        <v>7859</v>
      </c>
      <c r="AF4449" s="146"/>
      <c r="AG4449" s="146"/>
      <c r="AH4449" s="146"/>
      <c r="AI4449" s="147"/>
      <c r="AJ4449" s="148"/>
      <c r="AK4449" s="143"/>
      <c r="AL4449" s="144"/>
      <c r="AM4449" s="22"/>
      <c r="AN4449" s="149" t="s">
        <v>2511</v>
      </c>
      <c r="AO4449" s="144"/>
      <c r="AP4449" s="148">
        <v>80180</v>
      </c>
      <c r="AQ4449" s="144"/>
      <c r="AR4449" s="120"/>
      <c r="AS4449" s="121"/>
      <c r="AT4449" s="120"/>
      <c r="AU4449" s="121"/>
      <c r="AV4449" s="120"/>
      <c r="AW4449" s="121"/>
      <c r="AX4449" s="120"/>
      <c r="AY4449" s="121"/>
      <c r="AZ4449" s="138"/>
    </row>
    <row r="4450" spans="1:52" ht="17.100000000000001" customHeight="1" thickTop="1">
      <c r="A4450" s="109" t="s">
        <v>13472</v>
      </c>
      <c r="B4450" s="28">
        <v>46006</v>
      </c>
      <c r="C4450" s="25"/>
      <c r="D4450" s="13" t="s">
        <v>2298</v>
      </c>
      <c r="E4450" s="111"/>
      <c r="F4450" s="113" t="s">
        <v>9986</v>
      </c>
      <c r="G4450" s="114"/>
      <c r="H4450" s="115"/>
      <c r="I4450" s="24"/>
      <c r="J4450" s="116">
        <v>4</v>
      </c>
      <c r="K4450" s="118">
        <v>1368000</v>
      </c>
      <c r="L4450" s="119"/>
      <c r="M4450" s="118">
        <f t="shared" ref="M4450" si="4868">K4450*0.1</f>
        <v>136800</v>
      </c>
      <c r="N4450" s="119"/>
      <c r="O4450" s="118">
        <v>0</v>
      </c>
      <c r="P4450" s="119"/>
      <c r="Q4450" s="118">
        <v>17800</v>
      </c>
      <c r="R4450" s="119"/>
      <c r="S4450" s="118">
        <v>14850</v>
      </c>
      <c r="T4450" s="119"/>
      <c r="U4450" s="118">
        <f t="shared" ref="U4450" si="4869">SUM(K4450:T4451)</f>
        <v>1537450</v>
      </c>
      <c r="V4450" s="122"/>
      <c r="W4450" s="124"/>
      <c r="X4450" s="126" t="s">
        <v>13949</v>
      </c>
      <c r="Y4450" s="127"/>
      <c r="Z4450" s="127"/>
      <c r="AA4450" s="127"/>
      <c r="AB4450" s="128"/>
      <c r="AC4450" s="15" t="s">
        <v>20</v>
      </c>
      <c r="AD4450" s="129"/>
      <c r="AE4450" s="130"/>
      <c r="AF4450" s="130"/>
      <c r="AG4450" s="130"/>
      <c r="AH4450" s="130"/>
      <c r="AI4450" s="131"/>
      <c r="AJ4450" s="132"/>
      <c r="AK4450" s="127"/>
      <c r="AL4450" s="128"/>
      <c r="AM4450" s="21"/>
      <c r="AN4450" s="133">
        <v>46018</v>
      </c>
      <c r="AO4450" s="134"/>
      <c r="AP4450" s="135">
        <v>1282</v>
      </c>
      <c r="AQ4450" s="136"/>
      <c r="AR4450" s="118">
        <v>1675000</v>
      </c>
      <c r="AS4450" s="119"/>
      <c r="AT4450" s="118">
        <f t="shared" ref="AT4450" si="4870">AR4450*0.1</f>
        <v>167500</v>
      </c>
      <c r="AU4450" s="119"/>
      <c r="AV4450" s="118">
        <v>17800</v>
      </c>
      <c r="AW4450" s="119"/>
      <c r="AX4450" s="118">
        <f t="shared" ref="AX4450" si="4871">SUM(AR4450:AW4450)</f>
        <v>1860300</v>
      </c>
      <c r="AY4450" s="119"/>
      <c r="AZ4450" s="137">
        <v>46028</v>
      </c>
    </row>
    <row r="4451" spans="1:52" ht="17.100000000000001" customHeight="1" thickBot="1">
      <c r="A4451" s="110"/>
      <c r="B4451" s="27" t="s">
        <v>8858</v>
      </c>
      <c r="C4451" s="27">
        <v>60116</v>
      </c>
      <c r="D4451" s="14" t="s">
        <v>904</v>
      </c>
      <c r="E4451" s="112"/>
      <c r="F4451" s="139" t="s">
        <v>13435</v>
      </c>
      <c r="G4451" s="140"/>
      <c r="H4451" s="141"/>
      <c r="I4451" s="26">
        <v>38346</v>
      </c>
      <c r="J4451" s="117"/>
      <c r="K4451" s="120"/>
      <c r="L4451" s="121"/>
      <c r="M4451" s="120"/>
      <c r="N4451" s="121"/>
      <c r="O4451" s="120"/>
      <c r="P4451" s="121"/>
      <c r="Q4451" s="120"/>
      <c r="R4451" s="121"/>
      <c r="S4451" s="120"/>
      <c r="T4451" s="121"/>
      <c r="U4451" s="120"/>
      <c r="V4451" s="123"/>
      <c r="W4451" s="125"/>
      <c r="X4451" s="142" t="s">
        <v>2947</v>
      </c>
      <c r="Y4451" s="143"/>
      <c r="Z4451" s="143"/>
      <c r="AA4451" s="143"/>
      <c r="AB4451" s="144"/>
      <c r="AC4451" s="16" t="s">
        <v>21</v>
      </c>
      <c r="AD4451" s="17" t="s">
        <v>1809</v>
      </c>
      <c r="AE4451" s="145" t="s">
        <v>7859</v>
      </c>
      <c r="AF4451" s="146"/>
      <c r="AG4451" s="146"/>
      <c r="AH4451" s="146"/>
      <c r="AI4451" s="147"/>
      <c r="AJ4451" s="148"/>
      <c r="AK4451" s="143"/>
      <c r="AL4451" s="144"/>
      <c r="AM4451" s="22"/>
      <c r="AN4451" s="149" t="s">
        <v>2511</v>
      </c>
      <c r="AO4451" s="144"/>
      <c r="AP4451" s="148">
        <v>80008</v>
      </c>
      <c r="AQ4451" s="144"/>
      <c r="AR4451" s="120"/>
      <c r="AS4451" s="121"/>
      <c r="AT4451" s="120"/>
      <c r="AU4451" s="121"/>
      <c r="AV4451" s="120"/>
      <c r="AW4451" s="121"/>
      <c r="AX4451" s="120"/>
      <c r="AY4451" s="121"/>
      <c r="AZ4451" s="138"/>
    </row>
    <row r="4452" spans="1:52" ht="17.100000000000001" customHeight="1" thickTop="1">
      <c r="A4452" s="109" t="s">
        <v>13473</v>
      </c>
      <c r="B4452" s="28">
        <v>46006</v>
      </c>
      <c r="C4452" s="25">
        <v>2073</v>
      </c>
      <c r="D4452" s="13" t="s">
        <v>1795</v>
      </c>
      <c r="E4452" s="111"/>
      <c r="F4452" s="113" t="s">
        <v>13437</v>
      </c>
      <c r="G4452" s="114"/>
      <c r="H4452" s="115"/>
      <c r="I4452" s="24" t="s">
        <v>2577</v>
      </c>
      <c r="J4452" s="116">
        <v>4.5</v>
      </c>
      <c r="K4452" s="118">
        <v>1795000</v>
      </c>
      <c r="L4452" s="119"/>
      <c r="M4452" s="118">
        <f t="shared" ref="M4452" si="4872">K4452*0.1</f>
        <v>179500</v>
      </c>
      <c r="N4452" s="119"/>
      <c r="O4452" s="118">
        <f>7600+760</f>
        <v>8360</v>
      </c>
      <c r="P4452" s="119"/>
      <c r="Q4452" s="118">
        <v>11810</v>
      </c>
      <c r="R4452" s="119"/>
      <c r="S4452" s="118">
        <v>11000</v>
      </c>
      <c r="T4452" s="119"/>
      <c r="U4452" s="118">
        <f t="shared" ref="U4452" si="4873">SUM(K4452:T4453)</f>
        <v>2005670</v>
      </c>
      <c r="V4452" s="122"/>
      <c r="W4452" s="124"/>
      <c r="X4452" s="126" t="s">
        <v>13439</v>
      </c>
      <c r="Y4452" s="127"/>
      <c r="Z4452" s="127"/>
      <c r="AA4452" s="127"/>
      <c r="AB4452" s="128"/>
      <c r="AC4452" s="15" t="s">
        <v>20</v>
      </c>
      <c r="AD4452" s="129" t="s">
        <v>1945</v>
      </c>
      <c r="AE4452" s="130"/>
      <c r="AF4452" s="130"/>
      <c r="AG4452" s="130"/>
      <c r="AH4452" s="130"/>
      <c r="AI4452" s="131"/>
      <c r="AJ4452" s="132"/>
      <c r="AK4452" s="127"/>
      <c r="AL4452" s="128"/>
      <c r="AM4452" s="21" t="s">
        <v>14896</v>
      </c>
      <c r="AN4452" s="133">
        <v>46053</v>
      </c>
      <c r="AO4452" s="134"/>
      <c r="AP4452" s="135">
        <v>1286</v>
      </c>
      <c r="AQ4452" s="136"/>
      <c r="AR4452" s="118">
        <v>1920000</v>
      </c>
      <c r="AS4452" s="119"/>
      <c r="AT4452" s="118">
        <f t="shared" ref="AT4452" si="4874">AR4452*0.1</f>
        <v>192000</v>
      </c>
      <c r="AU4452" s="119"/>
      <c r="AV4452" s="118">
        <v>11810</v>
      </c>
      <c r="AW4452" s="119"/>
      <c r="AX4452" s="118">
        <f t="shared" ref="AX4452" si="4875">SUM(AR4452:AW4452)</f>
        <v>2123810</v>
      </c>
      <c r="AY4452" s="119"/>
      <c r="AZ4452" s="137">
        <v>46056</v>
      </c>
    </row>
    <row r="4453" spans="1:52" ht="17.100000000000001" customHeight="1" thickBot="1">
      <c r="A4453" s="110"/>
      <c r="B4453" s="27" t="s">
        <v>83</v>
      </c>
      <c r="C4453" s="27">
        <v>32011</v>
      </c>
      <c r="D4453" s="14" t="s">
        <v>1592</v>
      </c>
      <c r="E4453" s="112"/>
      <c r="F4453" s="139" t="s">
        <v>13438</v>
      </c>
      <c r="G4453" s="140"/>
      <c r="H4453" s="141"/>
      <c r="I4453" s="26">
        <v>27149</v>
      </c>
      <c r="J4453" s="117"/>
      <c r="K4453" s="120"/>
      <c r="L4453" s="121"/>
      <c r="M4453" s="120"/>
      <c r="N4453" s="121"/>
      <c r="O4453" s="120"/>
      <c r="P4453" s="121"/>
      <c r="Q4453" s="120"/>
      <c r="R4453" s="121"/>
      <c r="S4453" s="120"/>
      <c r="T4453" s="121"/>
      <c r="U4453" s="120"/>
      <c r="V4453" s="123"/>
      <c r="W4453" s="125"/>
      <c r="X4453" s="142" t="s">
        <v>13787</v>
      </c>
      <c r="Y4453" s="143"/>
      <c r="Z4453" s="143"/>
      <c r="AA4453" s="143"/>
      <c r="AB4453" s="144"/>
      <c r="AC4453" s="16" t="s">
        <v>21</v>
      </c>
      <c r="AD4453" s="17" t="s">
        <v>3476</v>
      </c>
      <c r="AE4453" s="145" t="s">
        <v>10929</v>
      </c>
      <c r="AF4453" s="146"/>
      <c r="AG4453" s="146"/>
      <c r="AH4453" s="146"/>
      <c r="AI4453" s="147"/>
      <c r="AJ4453" s="148"/>
      <c r="AK4453" s="143"/>
      <c r="AL4453" s="144"/>
      <c r="AM4453" s="22"/>
      <c r="AN4453" s="149" t="s">
        <v>2511</v>
      </c>
      <c r="AO4453" s="144"/>
      <c r="AP4453" s="148">
        <v>80097</v>
      </c>
      <c r="AQ4453" s="144"/>
      <c r="AR4453" s="120"/>
      <c r="AS4453" s="121"/>
      <c r="AT4453" s="120"/>
      <c r="AU4453" s="121"/>
      <c r="AV4453" s="120"/>
      <c r="AW4453" s="121"/>
      <c r="AX4453" s="120"/>
      <c r="AY4453" s="121"/>
      <c r="AZ4453" s="138"/>
    </row>
    <row r="4454" spans="1:52" ht="17.100000000000001" customHeight="1" thickTop="1">
      <c r="A4454" s="151" t="s">
        <v>13475</v>
      </c>
      <c r="B4454" s="28">
        <v>46006</v>
      </c>
      <c r="C4454" s="25">
        <v>77</v>
      </c>
      <c r="D4454" s="13" t="s">
        <v>1725</v>
      </c>
      <c r="E4454" s="111"/>
      <c r="F4454" s="113" t="s">
        <v>13478</v>
      </c>
      <c r="G4454" s="114"/>
      <c r="H4454" s="115"/>
      <c r="I4454" s="24" t="s">
        <v>2526</v>
      </c>
      <c r="J4454" s="116">
        <v>4</v>
      </c>
      <c r="K4454" s="118">
        <v>700000</v>
      </c>
      <c r="L4454" s="119"/>
      <c r="M4454" s="118">
        <f t="shared" ref="M4454" si="4876">K4454*0.1</f>
        <v>70000</v>
      </c>
      <c r="N4454" s="119"/>
      <c r="O4454" s="118">
        <v>0</v>
      </c>
      <c r="P4454" s="119"/>
      <c r="Q4454" s="118">
        <v>8110</v>
      </c>
      <c r="R4454" s="119"/>
      <c r="S4454" s="118">
        <v>33000</v>
      </c>
      <c r="T4454" s="119"/>
      <c r="U4454" s="118">
        <f t="shared" ref="U4454" si="4877">SUM(K4454:T4455)</f>
        <v>811110</v>
      </c>
      <c r="V4454" s="122"/>
      <c r="W4454" s="124"/>
      <c r="X4454" s="126" t="s">
        <v>14414</v>
      </c>
      <c r="Y4454" s="127"/>
      <c r="Z4454" s="127"/>
      <c r="AA4454" s="127"/>
      <c r="AB4454" s="128"/>
      <c r="AC4454" s="15" t="s">
        <v>20</v>
      </c>
      <c r="AD4454" s="129" t="s">
        <v>11416</v>
      </c>
      <c r="AE4454" s="130"/>
      <c r="AF4454" s="130"/>
      <c r="AG4454" s="130"/>
      <c r="AH4454" s="130"/>
      <c r="AI4454" s="131"/>
      <c r="AJ4454" s="132"/>
      <c r="AK4454" s="127"/>
      <c r="AL4454" s="128"/>
      <c r="AM4454" s="21" t="s">
        <v>14512</v>
      </c>
      <c r="AN4454" s="133">
        <v>46039</v>
      </c>
      <c r="AO4454" s="134"/>
      <c r="AP4454" s="135">
        <v>1284</v>
      </c>
      <c r="AQ4454" s="136"/>
      <c r="AR4454" s="118">
        <v>705000</v>
      </c>
      <c r="AS4454" s="119"/>
      <c r="AT4454" s="118">
        <f t="shared" ref="AT4454" si="4878">AR4454*0.1</f>
        <v>70500</v>
      </c>
      <c r="AU4454" s="119"/>
      <c r="AV4454" s="118">
        <v>8110</v>
      </c>
      <c r="AW4454" s="119"/>
      <c r="AX4454" s="118">
        <f t="shared" ref="AX4454" si="4879">SUM(AR4454:AW4454)</f>
        <v>783610</v>
      </c>
      <c r="AY4454" s="119"/>
      <c r="AZ4454" s="137">
        <v>46042</v>
      </c>
    </row>
    <row r="4455" spans="1:52" ht="17.100000000000001" customHeight="1" thickBot="1">
      <c r="A4455" s="152"/>
      <c r="B4455" s="27" t="s">
        <v>4544</v>
      </c>
      <c r="C4455" s="27">
        <v>1001</v>
      </c>
      <c r="D4455" s="14" t="s">
        <v>2836</v>
      </c>
      <c r="E4455" s="112"/>
      <c r="F4455" s="139" t="s">
        <v>13474</v>
      </c>
      <c r="G4455" s="140"/>
      <c r="H4455" s="141"/>
      <c r="I4455" s="26">
        <v>29215</v>
      </c>
      <c r="J4455" s="117"/>
      <c r="K4455" s="120"/>
      <c r="L4455" s="121"/>
      <c r="M4455" s="120"/>
      <c r="N4455" s="121"/>
      <c r="O4455" s="120"/>
      <c r="P4455" s="121"/>
      <c r="Q4455" s="120"/>
      <c r="R4455" s="121"/>
      <c r="S4455" s="120"/>
      <c r="T4455" s="121"/>
      <c r="U4455" s="120"/>
      <c r="V4455" s="123"/>
      <c r="W4455" s="125"/>
      <c r="X4455" s="142" t="s">
        <v>14415</v>
      </c>
      <c r="Y4455" s="143"/>
      <c r="Z4455" s="143"/>
      <c r="AA4455" s="143"/>
      <c r="AB4455" s="144"/>
      <c r="AC4455" s="16" t="s">
        <v>21</v>
      </c>
      <c r="AD4455" s="17" t="s">
        <v>14399</v>
      </c>
      <c r="AE4455" s="145" t="s">
        <v>1742</v>
      </c>
      <c r="AF4455" s="146"/>
      <c r="AG4455" s="146"/>
      <c r="AH4455" s="146"/>
      <c r="AI4455" s="147"/>
      <c r="AJ4455" s="148"/>
      <c r="AK4455" s="143"/>
      <c r="AL4455" s="144"/>
      <c r="AM4455" s="22"/>
      <c r="AN4455" s="149" t="s">
        <v>2511</v>
      </c>
      <c r="AO4455" s="144"/>
      <c r="AP4455" s="148">
        <v>31091</v>
      </c>
      <c r="AQ4455" s="144"/>
      <c r="AR4455" s="120"/>
      <c r="AS4455" s="121"/>
      <c r="AT4455" s="120"/>
      <c r="AU4455" s="121"/>
      <c r="AV4455" s="120"/>
      <c r="AW4455" s="121"/>
      <c r="AX4455" s="120"/>
      <c r="AY4455" s="121"/>
      <c r="AZ4455" s="138"/>
    </row>
    <row r="4456" spans="1:52" ht="17.100000000000001" customHeight="1" thickTop="1">
      <c r="A4456" s="151" t="s">
        <v>13476</v>
      </c>
      <c r="B4456" s="28">
        <v>46006</v>
      </c>
      <c r="C4456" s="25">
        <v>77</v>
      </c>
      <c r="D4456" s="13" t="s">
        <v>1688</v>
      </c>
      <c r="E4456" s="111"/>
      <c r="F4456" s="113" t="s">
        <v>10642</v>
      </c>
      <c r="G4456" s="114"/>
      <c r="H4456" s="115"/>
      <c r="I4456" s="24" t="s">
        <v>3399</v>
      </c>
      <c r="J4456" s="116">
        <v>3.5</v>
      </c>
      <c r="K4456" s="118">
        <v>1295000</v>
      </c>
      <c r="L4456" s="119"/>
      <c r="M4456" s="118">
        <f t="shared" ref="M4456" si="4880">K4456*0.1</f>
        <v>129500</v>
      </c>
      <c r="N4456" s="119"/>
      <c r="O4456" s="118">
        <f>7600+760</f>
        <v>8360</v>
      </c>
      <c r="P4456" s="119"/>
      <c r="Q4456" s="118">
        <v>10720</v>
      </c>
      <c r="R4456" s="119"/>
      <c r="S4456" s="118">
        <v>44000</v>
      </c>
      <c r="T4456" s="119"/>
      <c r="U4456" s="118">
        <f t="shared" ref="U4456" si="4881">SUM(K4456:T4457)</f>
        <v>1487580</v>
      </c>
      <c r="V4456" s="122"/>
      <c r="W4456" s="124"/>
      <c r="X4456" s="126" t="s">
        <v>14418</v>
      </c>
      <c r="Y4456" s="127"/>
      <c r="Z4456" s="127"/>
      <c r="AA4456" s="127"/>
      <c r="AB4456" s="128"/>
      <c r="AC4456" s="15" t="s">
        <v>20</v>
      </c>
      <c r="AD4456" s="129" t="s">
        <v>11929</v>
      </c>
      <c r="AE4456" s="130"/>
      <c r="AF4456" s="130"/>
      <c r="AG4456" s="130"/>
      <c r="AH4456" s="130"/>
      <c r="AI4456" s="131"/>
      <c r="AJ4456" s="132"/>
      <c r="AK4456" s="127"/>
      <c r="AL4456" s="128"/>
      <c r="AM4456" s="21"/>
      <c r="AN4456" s="133">
        <v>46032</v>
      </c>
      <c r="AO4456" s="134"/>
      <c r="AP4456" s="135">
        <v>1283</v>
      </c>
      <c r="AQ4456" s="136"/>
      <c r="AR4456" s="118">
        <v>1350000</v>
      </c>
      <c r="AS4456" s="119"/>
      <c r="AT4456" s="118">
        <f t="shared" ref="AT4456" si="4882">AR4456*0.1</f>
        <v>135000</v>
      </c>
      <c r="AU4456" s="119"/>
      <c r="AV4456" s="118">
        <v>10720</v>
      </c>
      <c r="AW4456" s="119"/>
      <c r="AX4456" s="118">
        <f t="shared" ref="AX4456" si="4883">SUM(AR4456:AW4456)</f>
        <v>1495720</v>
      </c>
      <c r="AY4456" s="119"/>
      <c r="AZ4456" s="137">
        <v>46036</v>
      </c>
    </row>
    <row r="4457" spans="1:52" ht="17.100000000000001" customHeight="1" thickBot="1">
      <c r="A4457" s="152"/>
      <c r="B4457" s="27" t="s">
        <v>4544</v>
      </c>
      <c r="C4457" s="27">
        <v>1013</v>
      </c>
      <c r="D4457" s="14" t="s">
        <v>2800</v>
      </c>
      <c r="E4457" s="112"/>
      <c r="F4457" s="139" t="s">
        <v>13477</v>
      </c>
      <c r="G4457" s="140"/>
      <c r="H4457" s="141"/>
      <c r="I4457" s="26">
        <v>51804</v>
      </c>
      <c r="J4457" s="117"/>
      <c r="K4457" s="120"/>
      <c r="L4457" s="121"/>
      <c r="M4457" s="120"/>
      <c r="N4457" s="121"/>
      <c r="O4457" s="120"/>
      <c r="P4457" s="121"/>
      <c r="Q4457" s="120"/>
      <c r="R4457" s="121"/>
      <c r="S4457" s="120"/>
      <c r="T4457" s="121"/>
      <c r="U4457" s="120"/>
      <c r="V4457" s="123"/>
      <c r="W4457" s="125"/>
      <c r="X4457" s="142" t="s">
        <v>14419</v>
      </c>
      <c r="Y4457" s="143"/>
      <c r="Z4457" s="143"/>
      <c r="AA4457" s="143"/>
      <c r="AB4457" s="144"/>
      <c r="AC4457" s="16" t="s">
        <v>21</v>
      </c>
      <c r="AD4457" s="17" t="s">
        <v>14399</v>
      </c>
      <c r="AE4457" s="145" t="s">
        <v>3123</v>
      </c>
      <c r="AF4457" s="146"/>
      <c r="AG4457" s="146"/>
      <c r="AH4457" s="146"/>
      <c r="AI4457" s="147"/>
      <c r="AJ4457" s="148"/>
      <c r="AK4457" s="143"/>
      <c r="AL4457" s="144"/>
      <c r="AM4457" s="22"/>
      <c r="AN4457" s="149" t="s">
        <v>2511</v>
      </c>
      <c r="AO4457" s="144"/>
      <c r="AP4457" s="148">
        <v>37203</v>
      </c>
      <c r="AQ4457" s="144"/>
      <c r="AR4457" s="120"/>
      <c r="AS4457" s="121"/>
      <c r="AT4457" s="120"/>
      <c r="AU4457" s="121"/>
      <c r="AV4457" s="120"/>
      <c r="AW4457" s="121"/>
      <c r="AX4457" s="120"/>
      <c r="AY4457" s="121"/>
      <c r="AZ4457" s="138"/>
    </row>
    <row r="4458" spans="1:52" ht="17.100000000000001" customHeight="1" thickTop="1">
      <c r="A4458" s="109" t="s">
        <v>13479</v>
      </c>
      <c r="B4458" s="28">
        <v>46006</v>
      </c>
      <c r="C4458" s="25"/>
      <c r="D4458" s="13" t="s">
        <v>3530</v>
      </c>
      <c r="E4458" s="111"/>
      <c r="F4458" s="113" t="s">
        <v>13500</v>
      </c>
      <c r="G4458" s="114"/>
      <c r="H4458" s="115"/>
      <c r="I4458" s="24" t="s">
        <v>13501</v>
      </c>
      <c r="J4458" s="116">
        <v>4.5</v>
      </c>
      <c r="K4458" s="118">
        <f>4268000/1.1</f>
        <v>3879999.9999999995</v>
      </c>
      <c r="L4458" s="119"/>
      <c r="M4458" s="118">
        <f t="shared" ref="M4458" si="4884">K4458*0.1</f>
        <v>388000</v>
      </c>
      <c r="N4458" s="119"/>
      <c r="O4458" s="118">
        <v>0</v>
      </c>
      <c r="P4458" s="119"/>
      <c r="Q4458" s="118">
        <v>14140</v>
      </c>
      <c r="R4458" s="119"/>
      <c r="S4458" s="118">
        <v>0</v>
      </c>
      <c r="T4458" s="119"/>
      <c r="U4458" s="118">
        <f t="shared" ref="U4458" si="4885">SUM(K4458:T4459)</f>
        <v>4282140</v>
      </c>
      <c r="V4458" s="122"/>
      <c r="W4458" s="124"/>
      <c r="X4458" s="126" t="s">
        <v>17610</v>
      </c>
      <c r="Y4458" s="127"/>
      <c r="Z4458" s="127"/>
      <c r="AA4458" s="127"/>
      <c r="AB4458" s="128"/>
      <c r="AC4458" s="15" t="s">
        <v>20</v>
      </c>
      <c r="AD4458" s="129" t="s">
        <v>1732</v>
      </c>
      <c r="AE4458" s="130"/>
      <c r="AF4458" s="130"/>
      <c r="AG4458" s="130"/>
      <c r="AH4458" s="130"/>
      <c r="AI4458" s="131"/>
      <c r="AJ4458" s="132"/>
      <c r="AK4458" s="127"/>
      <c r="AL4458" s="128"/>
      <c r="AM4458" s="21"/>
      <c r="AN4458" s="133">
        <v>46060</v>
      </c>
      <c r="AO4458" s="134"/>
      <c r="AP4458" s="135">
        <v>1287</v>
      </c>
      <c r="AQ4458" s="136"/>
      <c r="AR4458" s="118">
        <v>3850000</v>
      </c>
      <c r="AS4458" s="119"/>
      <c r="AT4458" s="118">
        <f t="shared" ref="AT4458" si="4886">AR4458*0.1</f>
        <v>385000</v>
      </c>
      <c r="AU4458" s="119"/>
      <c r="AV4458" s="118">
        <v>14140</v>
      </c>
      <c r="AW4458" s="119"/>
      <c r="AX4458" s="118">
        <f t="shared" ref="AX4458" si="4887">SUM(AR4458:AW4458)</f>
        <v>4249140</v>
      </c>
      <c r="AY4458" s="119"/>
      <c r="AZ4458" s="137">
        <v>46065</v>
      </c>
    </row>
    <row r="4459" spans="1:52" ht="17.100000000000001" customHeight="1" thickBot="1">
      <c r="A4459" s="110"/>
      <c r="B4459" s="27" t="s">
        <v>1718</v>
      </c>
      <c r="C4459" s="27" t="s">
        <v>13484</v>
      </c>
      <c r="D4459" s="14" t="s">
        <v>275</v>
      </c>
      <c r="E4459" s="112"/>
      <c r="F4459" s="139" t="s">
        <v>13485</v>
      </c>
      <c r="G4459" s="140"/>
      <c r="H4459" s="141"/>
      <c r="I4459" s="26">
        <v>19992</v>
      </c>
      <c r="J4459" s="117"/>
      <c r="K4459" s="120"/>
      <c r="L4459" s="121"/>
      <c r="M4459" s="120"/>
      <c r="N4459" s="121"/>
      <c r="O4459" s="120"/>
      <c r="P4459" s="121"/>
      <c r="Q4459" s="120"/>
      <c r="R4459" s="121"/>
      <c r="S4459" s="120"/>
      <c r="T4459" s="121"/>
      <c r="U4459" s="120"/>
      <c r="V4459" s="123"/>
      <c r="W4459" s="125"/>
      <c r="X4459" s="142" t="s">
        <v>1656</v>
      </c>
      <c r="Y4459" s="143"/>
      <c r="Z4459" s="143"/>
      <c r="AA4459" s="143"/>
      <c r="AB4459" s="144"/>
      <c r="AC4459" s="16" t="s">
        <v>21</v>
      </c>
      <c r="AD4459" s="17" t="s">
        <v>3980</v>
      </c>
      <c r="AE4459" s="145" t="s">
        <v>1614</v>
      </c>
      <c r="AF4459" s="146"/>
      <c r="AG4459" s="146"/>
      <c r="AH4459" s="146"/>
      <c r="AI4459" s="147"/>
      <c r="AJ4459" s="148"/>
      <c r="AK4459" s="143"/>
      <c r="AL4459" s="144"/>
      <c r="AM4459" s="22"/>
      <c r="AN4459" s="149" t="s">
        <v>2511</v>
      </c>
      <c r="AO4459" s="144"/>
      <c r="AP4459" s="148">
        <v>37138</v>
      </c>
      <c r="AQ4459" s="144"/>
      <c r="AR4459" s="120"/>
      <c r="AS4459" s="121"/>
      <c r="AT4459" s="120"/>
      <c r="AU4459" s="121"/>
      <c r="AV4459" s="120"/>
      <c r="AW4459" s="121"/>
      <c r="AX4459" s="120"/>
      <c r="AY4459" s="121"/>
      <c r="AZ4459" s="138"/>
    </row>
    <row r="4460" spans="1:52" ht="17.100000000000001" customHeight="1" thickTop="1">
      <c r="A4460" s="109" t="s">
        <v>13480</v>
      </c>
      <c r="B4460" s="28">
        <v>46006</v>
      </c>
      <c r="C4460" s="25"/>
      <c r="D4460" s="13" t="s">
        <v>2359</v>
      </c>
      <c r="E4460" s="111"/>
      <c r="F4460" s="113" t="s">
        <v>13502</v>
      </c>
      <c r="G4460" s="114"/>
      <c r="H4460" s="115"/>
      <c r="I4460" s="24" t="s">
        <v>3674</v>
      </c>
      <c r="J4460" s="116">
        <v>4</v>
      </c>
      <c r="K4460" s="118">
        <f>1716000/1.1</f>
        <v>1559999.9999999998</v>
      </c>
      <c r="L4460" s="119"/>
      <c r="M4460" s="118">
        <f t="shared" ref="M4460" si="4888">K4460*0.1</f>
        <v>155999.99999999997</v>
      </c>
      <c r="N4460" s="119"/>
      <c r="O4460" s="118">
        <v>6000</v>
      </c>
      <c r="P4460" s="119"/>
      <c r="Q4460" s="118">
        <v>10120</v>
      </c>
      <c r="R4460" s="119"/>
      <c r="S4460" s="118">
        <v>0</v>
      </c>
      <c r="T4460" s="119"/>
      <c r="U4460" s="118">
        <f t="shared" ref="U4460" si="4889">SUM(K4460:T4461)</f>
        <v>1732119.9999999998</v>
      </c>
      <c r="V4460" s="122"/>
      <c r="W4460" s="124"/>
      <c r="X4460" s="126" t="s">
        <v>15374</v>
      </c>
      <c r="Y4460" s="127"/>
      <c r="Z4460" s="127"/>
      <c r="AA4460" s="127"/>
      <c r="AB4460" s="128"/>
      <c r="AC4460" s="15" t="s">
        <v>20</v>
      </c>
      <c r="AD4460" s="129" t="s">
        <v>1732</v>
      </c>
      <c r="AE4460" s="130"/>
      <c r="AF4460" s="130"/>
      <c r="AG4460" s="130"/>
      <c r="AH4460" s="130"/>
      <c r="AI4460" s="131"/>
      <c r="AJ4460" s="132"/>
      <c r="AK4460" s="127"/>
      <c r="AL4460" s="128"/>
      <c r="AM4460" s="21"/>
      <c r="AN4460" s="133">
        <v>46036</v>
      </c>
      <c r="AO4460" s="134"/>
      <c r="AP4460" s="135">
        <v>1000</v>
      </c>
      <c r="AQ4460" s="136"/>
      <c r="AR4460" s="118">
        <v>1675000</v>
      </c>
      <c r="AS4460" s="119"/>
      <c r="AT4460" s="118">
        <f t="shared" ref="AT4460" si="4890">AR4460*0.1</f>
        <v>167500</v>
      </c>
      <c r="AU4460" s="119"/>
      <c r="AV4460" s="118">
        <v>10120</v>
      </c>
      <c r="AW4460" s="119"/>
      <c r="AX4460" s="118">
        <f t="shared" ref="AX4460" si="4891">SUM(AR4460:AW4460)</f>
        <v>1852620</v>
      </c>
      <c r="AY4460" s="119"/>
      <c r="AZ4460" s="137">
        <v>46043</v>
      </c>
    </row>
    <row r="4461" spans="1:52" ht="17.100000000000001" customHeight="1" thickBot="1">
      <c r="A4461" s="110"/>
      <c r="B4461" s="27" t="s">
        <v>1718</v>
      </c>
      <c r="C4461" s="27" t="s">
        <v>13486</v>
      </c>
      <c r="D4461" s="14" t="s">
        <v>275</v>
      </c>
      <c r="E4461" s="112"/>
      <c r="F4461" s="139" t="s">
        <v>13487</v>
      </c>
      <c r="G4461" s="140"/>
      <c r="H4461" s="141"/>
      <c r="I4461" s="26">
        <v>53539</v>
      </c>
      <c r="J4461" s="117"/>
      <c r="K4461" s="120"/>
      <c r="L4461" s="121"/>
      <c r="M4461" s="120"/>
      <c r="N4461" s="121"/>
      <c r="O4461" s="120"/>
      <c r="P4461" s="121"/>
      <c r="Q4461" s="120"/>
      <c r="R4461" s="121"/>
      <c r="S4461" s="120"/>
      <c r="T4461" s="121"/>
      <c r="U4461" s="120"/>
      <c r="V4461" s="123"/>
      <c r="W4461" s="125"/>
      <c r="X4461" s="142" t="s">
        <v>15375</v>
      </c>
      <c r="Y4461" s="143"/>
      <c r="Z4461" s="143"/>
      <c r="AA4461" s="143"/>
      <c r="AB4461" s="144"/>
      <c r="AC4461" s="16" t="s">
        <v>21</v>
      </c>
      <c r="AD4461" s="17" t="s">
        <v>3980</v>
      </c>
      <c r="AE4461" s="145" t="s">
        <v>15376</v>
      </c>
      <c r="AF4461" s="146"/>
      <c r="AG4461" s="146"/>
      <c r="AH4461" s="146"/>
      <c r="AI4461" s="147"/>
      <c r="AJ4461" s="148"/>
      <c r="AK4461" s="143"/>
      <c r="AL4461" s="144"/>
      <c r="AM4461" s="22"/>
      <c r="AN4461" s="149" t="s">
        <v>2794</v>
      </c>
      <c r="AO4461" s="144"/>
      <c r="AP4461" s="148">
        <v>1124</v>
      </c>
      <c r="AQ4461" s="144"/>
      <c r="AR4461" s="120"/>
      <c r="AS4461" s="121"/>
      <c r="AT4461" s="120"/>
      <c r="AU4461" s="121"/>
      <c r="AV4461" s="120"/>
      <c r="AW4461" s="121"/>
      <c r="AX4461" s="120"/>
      <c r="AY4461" s="121"/>
      <c r="AZ4461" s="138"/>
    </row>
    <row r="4462" spans="1:52" ht="17.100000000000001" customHeight="1" thickTop="1">
      <c r="A4462" s="109" t="s">
        <v>13481</v>
      </c>
      <c r="B4462" s="28">
        <v>46006</v>
      </c>
      <c r="C4462" s="25"/>
      <c r="D4462" s="13" t="s">
        <v>2298</v>
      </c>
      <c r="E4462" s="111"/>
      <c r="F4462" s="113" t="s">
        <v>13503</v>
      </c>
      <c r="G4462" s="114"/>
      <c r="H4462" s="115"/>
      <c r="I4462" s="24" t="s">
        <v>13504</v>
      </c>
      <c r="J4462" s="116">
        <v>4</v>
      </c>
      <c r="K4462" s="118">
        <f>3338500/1.1</f>
        <v>3034999.9999999995</v>
      </c>
      <c r="L4462" s="119"/>
      <c r="M4462" s="118">
        <f t="shared" ref="M4462" si="4892">K4462*0.1</f>
        <v>303499.99999999994</v>
      </c>
      <c r="N4462" s="119"/>
      <c r="O4462" s="118">
        <v>2600</v>
      </c>
      <c r="P4462" s="119"/>
      <c r="Q4462" s="118">
        <v>9550</v>
      </c>
      <c r="R4462" s="119"/>
      <c r="S4462" s="118">
        <v>0</v>
      </c>
      <c r="T4462" s="119"/>
      <c r="U4462" s="118">
        <f t="shared" ref="U4462" si="4893">SUM(K4462:T4463)</f>
        <v>3350649.9999999995</v>
      </c>
      <c r="V4462" s="122"/>
      <c r="W4462" s="124"/>
      <c r="X4462" s="126" t="s">
        <v>16909</v>
      </c>
      <c r="Y4462" s="127"/>
      <c r="Z4462" s="127"/>
      <c r="AA4462" s="127"/>
      <c r="AB4462" s="128"/>
      <c r="AC4462" s="15" t="s">
        <v>20</v>
      </c>
      <c r="AD4462" s="129" t="s">
        <v>1945</v>
      </c>
      <c r="AE4462" s="130"/>
      <c r="AF4462" s="130"/>
      <c r="AG4462" s="130"/>
      <c r="AH4462" s="130"/>
      <c r="AI4462" s="131"/>
      <c r="AJ4462" s="132"/>
      <c r="AK4462" s="127"/>
      <c r="AL4462" s="128"/>
      <c r="AM4462" s="21"/>
      <c r="AN4462" s="133">
        <v>46057</v>
      </c>
      <c r="AO4462" s="134"/>
      <c r="AP4462" s="135">
        <v>1003</v>
      </c>
      <c r="AQ4462" s="136"/>
      <c r="AR4462" s="118">
        <v>3110000</v>
      </c>
      <c r="AS4462" s="119"/>
      <c r="AT4462" s="118">
        <f t="shared" ref="AT4462" si="4894">AR4462*0.1</f>
        <v>311000</v>
      </c>
      <c r="AU4462" s="119"/>
      <c r="AV4462" s="118">
        <v>9550</v>
      </c>
      <c r="AW4462" s="119"/>
      <c r="AX4462" s="118">
        <f t="shared" ref="AX4462" si="4895">SUM(AR4462:AW4462)</f>
        <v>3430550</v>
      </c>
      <c r="AY4462" s="119"/>
      <c r="AZ4462" s="137">
        <v>46063</v>
      </c>
    </row>
    <row r="4463" spans="1:52" ht="17.100000000000001" customHeight="1" thickBot="1">
      <c r="A4463" s="110"/>
      <c r="B4463" s="27" t="s">
        <v>1718</v>
      </c>
      <c r="C4463" s="27" t="s">
        <v>13488</v>
      </c>
      <c r="D4463" s="14" t="s">
        <v>1592</v>
      </c>
      <c r="E4463" s="112"/>
      <c r="F4463" s="139" t="s">
        <v>13489</v>
      </c>
      <c r="G4463" s="140"/>
      <c r="H4463" s="141"/>
      <c r="I4463" s="26">
        <v>43144</v>
      </c>
      <c r="J4463" s="117"/>
      <c r="K4463" s="120"/>
      <c r="L4463" s="121"/>
      <c r="M4463" s="120"/>
      <c r="N4463" s="121"/>
      <c r="O4463" s="120"/>
      <c r="P4463" s="121"/>
      <c r="Q4463" s="120"/>
      <c r="R4463" s="121"/>
      <c r="S4463" s="120"/>
      <c r="T4463" s="121"/>
      <c r="U4463" s="120"/>
      <c r="V4463" s="123"/>
      <c r="W4463" s="125"/>
      <c r="X4463" s="142" t="s">
        <v>1656</v>
      </c>
      <c r="Y4463" s="143"/>
      <c r="Z4463" s="143"/>
      <c r="AA4463" s="143"/>
      <c r="AB4463" s="144"/>
      <c r="AC4463" s="16" t="s">
        <v>21</v>
      </c>
      <c r="AD4463" s="17" t="s">
        <v>3801</v>
      </c>
      <c r="AE4463" s="145" t="s">
        <v>2347</v>
      </c>
      <c r="AF4463" s="146"/>
      <c r="AG4463" s="146"/>
      <c r="AH4463" s="146"/>
      <c r="AI4463" s="147"/>
      <c r="AJ4463" s="148"/>
      <c r="AK4463" s="143"/>
      <c r="AL4463" s="144"/>
      <c r="AM4463" s="22"/>
      <c r="AN4463" s="149" t="s">
        <v>9053</v>
      </c>
      <c r="AO4463" s="144"/>
      <c r="AP4463" s="148">
        <v>8010</v>
      </c>
      <c r="AQ4463" s="144"/>
      <c r="AR4463" s="120"/>
      <c r="AS4463" s="121"/>
      <c r="AT4463" s="120"/>
      <c r="AU4463" s="121"/>
      <c r="AV4463" s="120"/>
      <c r="AW4463" s="121"/>
      <c r="AX4463" s="120"/>
      <c r="AY4463" s="121"/>
      <c r="AZ4463" s="138"/>
    </row>
    <row r="4464" spans="1:52" ht="17.100000000000001" customHeight="1" thickTop="1">
      <c r="A4464" s="151" t="s">
        <v>13482</v>
      </c>
      <c r="B4464" s="28">
        <v>46006</v>
      </c>
      <c r="C4464" s="25"/>
      <c r="D4464" s="13" t="s">
        <v>4824</v>
      </c>
      <c r="E4464" s="111"/>
      <c r="F4464" s="113" t="s">
        <v>13491</v>
      </c>
      <c r="G4464" s="114"/>
      <c r="H4464" s="115"/>
      <c r="I4464" s="24" t="s">
        <v>12516</v>
      </c>
      <c r="J4464" s="116">
        <v>4.5</v>
      </c>
      <c r="K4464" s="118">
        <f>6006000/1.1</f>
        <v>5460000</v>
      </c>
      <c r="L4464" s="119"/>
      <c r="M4464" s="118">
        <f t="shared" ref="M4464" si="4896">K4464*0.1</f>
        <v>546000</v>
      </c>
      <c r="N4464" s="119"/>
      <c r="O4464" s="118">
        <v>14600</v>
      </c>
      <c r="P4464" s="119"/>
      <c r="Q4464" s="118">
        <v>13340</v>
      </c>
      <c r="R4464" s="119"/>
      <c r="S4464" s="118">
        <v>0</v>
      </c>
      <c r="T4464" s="119"/>
      <c r="U4464" s="118">
        <f t="shared" ref="U4464" si="4897">SUM(K4464:T4465)</f>
        <v>6033940</v>
      </c>
      <c r="V4464" s="122"/>
      <c r="W4464" s="124"/>
      <c r="X4464" s="126" t="s">
        <v>13766</v>
      </c>
      <c r="Y4464" s="127"/>
      <c r="Z4464" s="127"/>
      <c r="AA4464" s="127"/>
      <c r="AB4464" s="128"/>
      <c r="AC4464" s="15" t="s">
        <v>20</v>
      </c>
      <c r="AD4464" s="129" t="s">
        <v>171</v>
      </c>
      <c r="AE4464" s="130"/>
      <c r="AF4464" s="130"/>
      <c r="AG4464" s="130"/>
      <c r="AH4464" s="130"/>
      <c r="AI4464" s="131"/>
      <c r="AJ4464" s="132"/>
      <c r="AK4464" s="127"/>
      <c r="AL4464" s="128"/>
      <c r="AM4464" s="21"/>
      <c r="AN4464" s="133">
        <v>46032</v>
      </c>
      <c r="AO4464" s="134"/>
      <c r="AP4464" s="135">
        <v>1283</v>
      </c>
      <c r="AQ4464" s="136"/>
      <c r="AR4464" s="118">
        <v>5665000</v>
      </c>
      <c r="AS4464" s="119"/>
      <c r="AT4464" s="118">
        <f t="shared" ref="AT4464" si="4898">AR4464*0.1</f>
        <v>566500</v>
      </c>
      <c r="AU4464" s="119"/>
      <c r="AV4464" s="118">
        <v>13340</v>
      </c>
      <c r="AW4464" s="119"/>
      <c r="AX4464" s="118">
        <f t="shared" ref="AX4464" si="4899">SUM(AR4464:AW4464)</f>
        <v>6244840</v>
      </c>
      <c r="AY4464" s="119"/>
      <c r="AZ4464" s="137">
        <v>46036</v>
      </c>
    </row>
    <row r="4465" spans="1:52" ht="17.100000000000001" customHeight="1" thickBot="1">
      <c r="A4465" s="152"/>
      <c r="B4465" s="27" t="s">
        <v>1718</v>
      </c>
      <c r="C4465" s="27" t="s">
        <v>13490</v>
      </c>
      <c r="D4465" s="14" t="s">
        <v>275</v>
      </c>
      <c r="E4465" s="112"/>
      <c r="F4465" s="139" t="s">
        <v>13492</v>
      </c>
      <c r="G4465" s="140"/>
      <c r="H4465" s="141"/>
      <c r="I4465" s="26">
        <v>39796</v>
      </c>
      <c r="J4465" s="117"/>
      <c r="K4465" s="120"/>
      <c r="L4465" s="121"/>
      <c r="M4465" s="120"/>
      <c r="N4465" s="121"/>
      <c r="O4465" s="120"/>
      <c r="P4465" s="121"/>
      <c r="Q4465" s="120"/>
      <c r="R4465" s="121"/>
      <c r="S4465" s="120"/>
      <c r="T4465" s="121"/>
      <c r="U4465" s="120"/>
      <c r="V4465" s="123"/>
      <c r="W4465" s="125"/>
      <c r="X4465" s="142" t="s">
        <v>13767</v>
      </c>
      <c r="Y4465" s="143"/>
      <c r="Z4465" s="143"/>
      <c r="AA4465" s="143"/>
      <c r="AB4465" s="144"/>
      <c r="AC4465" s="16" t="s">
        <v>21</v>
      </c>
      <c r="AD4465" s="17" t="s">
        <v>3476</v>
      </c>
      <c r="AE4465" s="145" t="s">
        <v>13768</v>
      </c>
      <c r="AF4465" s="146"/>
      <c r="AG4465" s="146"/>
      <c r="AH4465" s="146"/>
      <c r="AI4465" s="147"/>
      <c r="AJ4465" s="148"/>
      <c r="AK4465" s="143"/>
      <c r="AL4465" s="144"/>
      <c r="AM4465" s="22"/>
      <c r="AN4465" s="149" t="s">
        <v>2511</v>
      </c>
      <c r="AO4465" s="144"/>
      <c r="AP4465" s="148">
        <v>37195</v>
      </c>
      <c r="AQ4465" s="144"/>
      <c r="AR4465" s="120"/>
      <c r="AS4465" s="121"/>
      <c r="AT4465" s="120"/>
      <c r="AU4465" s="121"/>
      <c r="AV4465" s="120"/>
      <c r="AW4465" s="121"/>
      <c r="AX4465" s="120"/>
      <c r="AY4465" s="121"/>
      <c r="AZ4465" s="138"/>
    </row>
    <row r="4466" spans="1:52" ht="17.100000000000001" customHeight="1" thickTop="1">
      <c r="A4466" s="151" t="s">
        <v>13483</v>
      </c>
      <c r="B4466" s="28">
        <v>46006</v>
      </c>
      <c r="C4466" s="25"/>
      <c r="D4466" s="13" t="s">
        <v>2359</v>
      </c>
      <c r="E4466" s="111"/>
      <c r="F4466" s="113" t="s">
        <v>13505</v>
      </c>
      <c r="G4466" s="114"/>
      <c r="H4466" s="115"/>
      <c r="I4466" s="24" t="s">
        <v>10017</v>
      </c>
      <c r="J4466" s="116">
        <v>4.5</v>
      </c>
      <c r="K4466" s="118">
        <f>3927000/1.1</f>
        <v>3569999.9999999995</v>
      </c>
      <c r="L4466" s="119"/>
      <c r="M4466" s="118">
        <f t="shared" ref="M4466" si="4900">K4466*0.1</f>
        <v>357000</v>
      </c>
      <c r="N4466" s="119"/>
      <c r="O4466" s="118">
        <v>7200</v>
      </c>
      <c r="P4466" s="119"/>
      <c r="Q4466" s="118">
        <v>14900</v>
      </c>
      <c r="R4466" s="119"/>
      <c r="S4466" s="118">
        <v>0</v>
      </c>
      <c r="T4466" s="119"/>
      <c r="U4466" s="118">
        <f t="shared" ref="U4466" si="4901">SUM(K4466:T4467)</f>
        <v>3949099.9999999995</v>
      </c>
      <c r="V4466" s="122"/>
      <c r="W4466" s="124"/>
      <c r="X4466" s="126" t="s">
        <v>14750</v>
      </c>
      <c r="Y4466" s="127"/>
      <c r="Z4466" s="127"/>
      <c r="AA4466" s="127"/>
      <c r="AB4466" s="128"/>
      <c r="AC4466" s="15" t="s">
        <v>20</v>
      </c>
      <c r="AD4466" s="129" t="s">
        <v>1633</v>
      </c>
      <c r="AE4466" s="130"/>
      <c r="AF4466" s="130"/>
      <c r="AG4466" s="130"/>
      <c r="AH4466" s="130"/>
      <c r="AI4466" s="131"/>
      <c r="AJ4466" s="132"/>
      <c r="AK4466" s="127"/>
      <c r="AL4466" s="128"/>
      <c r="AM4466" s="21"/>
      <c r="AN4466" s="133">
        <v>46039</v>
      </c>
      <c r="AO4466" s="134"/>
      <c r="AP4466" s="135">
        <v>1284</v>
      </c>
      <c r="AQ4466" s="136"/>
      <c r="AR4466" s="118">
        <v>3610000</v>
      </c>
      <c r="AS4466" s="119"/>
      <c r="AT4466" s="118">
        <f t="shared" ref="AT4466" si="4902">AR4466*0.1</f>
        <v>361000</v>
      </c>
      <c r="AU4466" s="119"/>
      <c r="AV4466" s="118">
        <v>14900</v>
      </c>
      <c r="AW4466" s="119"/>
      <c r="AX4466" s="118">
        <f t="shared" ref="AX4466" si="4903">SUM(AR4466:AW4466)</f>
        <v>3985900</v>
      </c>
      <c r="AY4466" s="119"/>
      <c r="AZ4466" s="137">
        <v>46042</v>
      </c>
    </row>
    <row r="4467" spans="1:52" ht="17.100000000000001" customHeight="1" thickBot="1">
      <c r="A4467" s="152"/>
      <c r="B4467" s="27" t="s">
        <v>1718</v>
      </c>
      <c r="C4467" s="27" t="s">
        <v>13493</v>
      </c>
      <c r="D4467" s="14" t="s">
        <v>2601</v>
      </c>
      <c r="E4467" s="112"/>
      <c r="F4467" s="139" t="s">
        <v>13494</v>
      </c>
      <c r="G4467" s="140"/>
      <c r="H4467" s="141"/>
      <c r="I4467" s="26">
        <v>68874</v>
      </c>
      <c r="J4467" s="117"/>
      <c r="K4467" s="120"/>
      <c r="L4467" s="121"/>
      <c r="M4467" s="120"/>
      <c r="N4467" s="121"/>
      <c r="O4467" s="120"/>
      <c r="P4467" s="121"/>
      <c r="Q4467" s="120"/>
      <c r="R4467" s="121"/>
      <c r="S4467" s="120"/>
      <c r="T4467" s="121"/>
      <c r="U4467" s="120"/>
      <c r="V4467" s="123"/>
      <c r="W4467" s="125"/>
      <c r="X4467" s="142" t="s">
        <v>14751</v>
      </c>
      <c r="Y4467" s="143"/>
      <c r="Z4467" s="143"/>
      <c r="AA4467" s="143"/>
      <c r="AB4467" s="144"/>
      <c r="AC4467" s="16" t="s">
        <v>21</v>
      </c>
      <c r="AD4467" s="17" t="s">
        <v>2616</v>
      </c>
      <c r="AE4467" s="145" t="s">
        <v>4106</v>
      </c>
      <c r="AF4467" s="146"/>
      <c r="AG4467" s="146"/>
      <c r="AH4467" s="146"/>
      <c r="AI4467" s="147"/>
      <c r="AJ4467" s="148"/>
      <c r="AK4467" s="143"/>
      <c r="AL4467" s="144"/>
      <c r="AM4467" s="22"/>
      <c r="AN4467" s="149" t="s">
        <v>2511</v>
      </c>
      <c r="AO4467" s="144"/>
      <c r="AP4467" s="148">
        <v>37423</v>
      </c>
      <c r="AQ4467" s="144"/>
      <c r="AR4467" s="120"/>
      <c r="AS4467" s="121"/>
      <c r="AT4467" s="120"/>
      <c r="AU4467" s="121"/>
      <c r="AV4467" s="120"/>
      <c r="AW4467" s="121"/>
      <c r="AX4467" s="120"/>
      <c r="AY4467" s="121"/>
      <c r="AZ4467" s="138"/>
    </row>
    <row r="4468" spans="1:52" ht="17.100000000000001" customHeight="1" thickTop="1">
      <c r="A4468" s="109" t="s">
        <v>13495</v>
      </c>
      <c r="B4468" s="28">
        <v>46006</v>
      </c>
      <c r="C4468" s="25"/>
      <c r="D4468" s="13" t="s">
        <v>2970</v>
      </c>
      <c r="E4468" s="111"/>
      <c r="F4468" s="113" t="s">
        <v>13500</v>
      </c>
      <c r="G4468" s="114"/>
      <c r="H4468" s="115"/>
      <c r="I4468" s="24" t="s">
        <v>13506</v>
      </c>
      <c r="J4468" s="116">
        <v>4.5</v>
      </c>
      <c r="K4468" s="118">
        <f>4004000/1.1</f>
        <v>3639999.9999999995</v>
      </c>
      <c r="L4468" s="119"/>
      <c r="M4468" s="118">
        <f t="shared" ref="M4468" si="4904">K4468*0.1</f>
        <v>364000</v>
      </c>
      <c r="N4468" s="119"/>
      <c r="O4468" s="118">
        <v>8300</v>
      </c>
      <c r="P4468" s="119"/>
      <c r="Q4468" s="118">
        <v>12490</v>
      </c>
      <c r="R4468" s="119"/>
      <c r="S4468" s="118">
        <v>0</v>
      </c>
      <c r="T4468" s="119"/>
      <c r="U4468" s="118">
        <f t="shared" ref="U4468" si="4905">SUM(K4468:T4469)</f>
        <v>4024789.9999999995</v>
      </c>
      <c r="V4468" s="122"/>
      <c r="W4468" s="124"/>
      <c r="X4468" s="126" t="s">
        <v>16232</v>
      </c>
      <c r="Y4468" s="127"/>
      <c r="Z4468" s="127"/>
      <c r="AA4468" s="127"/>
      <c r="AB4468" s="128"/>
      <c r="AC4468" s="15" t="s">
        <v>20</v>
      </c>
      <c r="AD4468" s="129" t="s">
        <v>1945</v>
      </c>
      <c r="AE4468" s="130"/>
      <c r="AF4468" s="130"/>
      <c r="AG4468" s="130"/>
      <c r="AH4468" s="130"/>
      <c r="AI4468" s="131"/>
      <c r="AJ4468" s="132"/>
      <c r="AK4468" s="127"/>
      <c r="AL4468" s="128"/>
      <c r="AM4468" s="21"/>
      <c r="AN4468" s="133">
        <v>46057</v>
      </c>
      <c r="AO4468" s="134"/>
      <c r="AP4468" s="135">
        <v>1003</v>
      </c>
      <c r="AQ4468" s="136"/>
      <c r="AR4468" s="118">
        <v>3710000</v>
      </c>
      <c r="AS4468" s="119"/>
      <c r="AT4468" s="118">
        <f t="shared" ref="AT4468" si="4906">AR4468*0.1</f>
        <v>371000</v>
      </c>
      <c r="AU4468" s="119"/>
      <c r="AV4468" s="118">
        <v>12490</v>
      </c>
      <c r="AW4468" s="119"/>
      <c r="AX4468" s="118">
        <f t="shared" ref="AX4468" si="4907">SUM(AR4468:AW4468)</f>
        <v>4093490</v>
      </c>
      <c r="AY4468" s="119"/>
      <c r="AZ4468" s="137">
        <v>46062</v>
      </c>
    </row>
    <row r="4469" spans="1:52" ht="17.100000000000001" customHeight="1" thickBot="1">
      <c r="A4469" s="110"/>
      <c r="B4469" s="27" t="s">
        <v>1718</v>
      </c>
      <c r="C4469" s="27" t="s">
        <v>13496</v>
      </c>
      <c r="D4469" s="14" t="s">
        <v>2601</v>
      </c>
      <c r="E4469" s="112"/>
      <c r="F4469" s="139" t="s">
        <v>13497</v>
      </c>
      <c r="G4469" s="140"/>
      <c r="H4469" s="141"/>
      <c r="I4469" s="26">
        <v>53052</v>
      </c>
      <c r="J4469" s="117"/>
      <c r="K4469" s="120"/>
      <c r="L4469" s="121"/>
      <c r="M4469" s="120"/>
      <c r="N4469" s="121"/>
      <c r="O4469" s="120"/>
      <c r="P4469" s="121"/>
      <c r="Q4469" s="120"/>
      <c r="R4469" s="121"/>
      <c r="S4469" s="120"/>
      <c r="T4469" s="121"/>
      <c r="U4469" s="120"/>
      <c r="V4469" s="123"/>
      <c r="W4469" s="125"/>
      <c r="X4469" s="142" t="s">
        <v>16233</v>
      </c>
      <c r="Y4469" s="143"/>
      <c r="Z4469" s="143"/>
      <c r="AA4469" s="143"/>
      <c r="AB4469" s="144"/>
      <c r="AC4469" s="16" t="s">
        <v>21</v>
      </c>
      <c r="AD4469" s="17" t="s">
        <v>16172</v>
      </c>
      <c r="AE4469" s="145" t="s">
        <v>17010</v>
      </c>
      <c r="AF4469" s="146"/>
      <c r="AG4469" s="146"/>
      <c r="AH4469" s="146"/>
      <c r="AI4469" s="147"/>
      <c r="AJ4469" s="148"/>
      <c r="AK4469" s="143"/>
      <c r="AL4469" s="144"/>
      <c r="AM4469" s="22"/>
      <c r="AN4469" s="149" t="s">
        <v>2794</v>
      </c>
      <c r="AO4469" s="144"/>
      <c r="AP4469" s="148">
        <v>1115</v>
      </c>
      <c r="AQ4469" s="144"/>
      <c r="AR4469" s="120"/>
      <c r="AS4469" s="121"/>
      <c r="AT4469" s="120"/>
      <c r="AU4469" s="121"/>
      <c r="AV4469" s="120"/>
      <c r="AW4469" s="121"/>
      <c r="AX4469" s="120"/>
      <c r="AY4469" s="121"/>
      <c r="AZ4469" s="138"/>
    </row>
    <row r="4470" spans="1:52" ht="17.100000000000001" customHeight="1" thickTop="1">
      <c r="A4470" s="109" t="s">
        <v>13556</v>
      </c>
      <c r="B4470" s="28">
        <v>46007</v>
      </c>
      <c r="C4470" s="25">
        <v>1074</v>
      </c>
      <c r="D4470" s="13" t="s">
        <v>1795</v>
      </c>
      <c r="E4470" s="111"/>
      <c r="F4470" s="113" t="s">
        <v>13498</v>
      </c>
      <c r="G4470" s="114"/>
      <c r="H4470" s="115"/>
      <c r="I4470" s="24"/>
      <c r="J4470" s="116">
        <v>4.5</v>
      </c>
      <c r="K4470" s="118">
        <v>1725000</v>
      </c>
      <c r="L4470" s="119"/>
      <c r="M4470" s="118">
        <f t="shared" ref="M4470" si="4908">K4470*0.1</f>
        <v>172500</v>
      </c>
      <c r="N4470" s="119"/>
      <c r="O4470" s="118">
        <v>0</v>
      </c>
      <c r="P4470" s="119"/>
      <c r="Q4470" s="118">
        <v>11810</v>
      </c>
      <c r="R4470" s="119"/>
      <c r="S4470" s="118">
        <v>16500</v>
      </c>
      <c r="T4470" s="119"/>
      <c r="U4470" s="118">
        <f t="shared" ref="U4470" si="4909">SUM(K4470:T4471)</f>
        <v>1925810</v>
      </c>
      <c r="V4470" s="122"/>
      <c r="W4470" s="124"/>
      <c r="X4470" s="126" t="s">
        <v>13857</v>
      </c>
      <c r="Y4470" s="127"/>
      <c r="Z4470" s="127"/>
      <c r="AA4470" s="127"/>
      <c r="AB4470" s="128"/>
      <c r="AC4470" s="15" t="s">
        <v>20</v>
      </c>
      <c r="AD4470" s="129" t="s">
        <v>3517</v>
      </c>
      <c r="AE4470" s="130"/>
      <c r="AF4470" s="130"/>
      <c r="AG4470" s="130"/>
      <c r="AH4470" s="130"/>
      <c r="AI4470" s="131"/>
      <c r="AJ4470" s="132"/>
      <c r="AK4470" s="127"/>
      <c r="AL4470" s="128"/>
      <c r="AM4470" s="21"/>
      <c r="AN4470" s="133">
        <v>46053</v>
      </c>
      <c r="AO4470" s="134"/>
      <c r="AP4470" s="135">
        <v>1286</v>
      </c>
      <c r="AQ4470" s="136"/>
      <c r="AR4470" s="118">
        <v>1785000</v>
      </c>
      <c r="AS4470" s="119"/>
      <c r="AT4470" s="118">
        <f t="shared" ref="AT4470" si="4910">AR4470*0.1</f>
        <v>178500</v>
      </c>
      <c r="AU4470" s="119"/>
      <c r="AV4470" s="118">
        <v>11810</v>
      </c>
      <c r="AW4470" s="119"/>
      <c r="AX4470" s="118">
        <f t="shared" ref="AX4470" si="4911">SUM(AR4470:AW4470)</f>
        <v>1975310</v>
      </c>
      <c r="AY4470" s="119"/>
      <c r="AZ4470" s="137">
        <v>46056</v>
      </c>
    </row>
    <row r="4471" spans="1:52" ht="17.100000000000001" customHeight="1" thickBot="1">
      <c r="A4471" s="110"/>
      <c r="B4471" s="27" t="s">
        <v>1591</v>
      </c>
      <c r="C4471" s="27">
        <v>82037</v>
      </c>
      <c r="D4471" s="14" t="s">
        <v>904</v>
      </c>
      <c r="E4471" s="112"/>
      <c r="F4471" s="139" t="s">
        <v>13499</v>
      </c>
      <c r="G4471" s="140"/>
      <c r="H4471" s="141"/>
      <c r="I4471" s="26">
        <v>29209</v>
      </c>
      <c r="J4471" s="117"/>
      <c r="K4471" s="120"/>
      <c r="L4471" s="121"/>
      <c r="M4471" s="120"/>
      <c r="N4471" s="121"/>
      <c r="O4471" s="120"/>
      <c r="P4471" s="121"/>
      <c r="Q4471" s="120"/>
      <c r="R4471" s="121"/>
      <c r="S4471" s="120"/>
      <c r="T4471" s="121"/>
      <c r="U4471" s="120"/>
      <c r="V4471" s="123"/>
      <c r="W4471" s="125"/>
      <c r="X4471" s="142" t="s">
        <v>1861</v>
      </c>
      <c r="Y4471" s="143"/>
      <c r="Z4471" s="143"/>
      <c r="AA4471" s="143"/>
      <c r="AB4471" s="144"/>
      <c r="AC4471" s="16" t="s">
        <v>21</v>
      </c>
      <c r="AD4471" s="17" t="s">
        <v>13826</v>
      </c>
      <c r="AE4471" s="145" t="s">
        <v>1633</v>
      </c>
      <c r="AF4471" s="146"/>
      <c r="AG4471" s="146"/>
      <c r="AH4471" s="146"/>
      <c r="AI4471" s="147"/>
      <c r="AJ4471" s="148"/>
      <c r="AK4471" s="143"/>
      <c r="AL4471" s="144"/>
      <c r="AM4471" s="22"/>
      <c r="AN4471" s="149" t="s">
        <v>2511</v>
      </c>
      <c r="AO4471" s="144"/>
      <c r="AP4471" s="148">
        <v>80113</v>
      </c>
      <c r="AQ4471" s="144"/>
      <c r="AR4471" s="120"/>
      <c r="AS4471" s="121"/>
      <c r="AT4471" s="120"/>
      <c r="AU4471" s="121"/>
      <c r="AV4471" s="120"/>
      <c r="AW4471" s="121"/>
      <c r="AX4471" s="120"/>
      <c r="AY4471" s="121"/>
      <c r="AZ4471" s="138"/>
    </row>
    <row r="4472" spans="1:52" ht="17.100000000000001" customHeight="1" thickTop="1">
      <c r="A4472" s="109" t="s">
        <v>13557</v>
      </c>
      <c r="B4472" s="28">
        <v>46007</v>
      </c>
      <c r="C4472" s="25">
        <v>1074</v>
      </c>
      <c r="D4472" s="13" t="s">
        <v>1853</v>
      </c>
      <c r="E4472" s="111"/>
      <c r="F4472" s="113" t="s">
        <v>1871</v>
      </c>
      <c r="G4472" s="114"/>
      <c r="H4472" s="115"/>
      <c r="I4472" s="24"/>
      <c r="J4472" s="116">
        <v>4</v>
      </c>
      <c r="K4472" s="118">
        <v>1460000</v>
      </c>
      <c r="L4472" s="119"/>
      <c r="M4472" s="118">
        <f t="shared" ref="M4472" si="4912">K4472*0.1</f>
        <v>146000</v>
      </c>
      <c r="N4472" s="119"/>
      <c r="O4472" s="118">
        <v>0</v>
      </c>
      <c r="P4472" s="119"/>
      <c r="Q4472" s="118">
        <v>16240</v>
      </c>
      <c r="R4472" s="119"/>
      <c r="S4472" s="118">
        <v>16500</v>
      </c>
      <c r="T4472" s="119"/>
      <c r="U4472" s="118">
        <f t="shared" ref="U4472" si="4913">SUM(K4472:T4473)</f>
        <v>1638740</v>
      </c>
      <c r="V4472" s="122"/>
      <c r="W4472" s="124"/>
      <c r="X4472" s="126" t="s">
        <v>13858</v>
      </c>
      <c r="Y4472" s="127"/>
      <c r="Z4472" s="127"/>
      <c r="AA4472" s="127"/>
      <c r="AB4472" s="128"/>
      <c r="AC4472" s="15" t="s">
        <v>20</v>
      </c>
      <c r="AD4472" s="129" t="s">
        <v>1670</v>
      </c>
      <c r="AE4472" s="130"/>
      <c r="AF4472" s="130"/>
      <c r="AG4472" s="130"/>
      <c r="AH4472" s="130"/>
      <c r="AI4472" s="131"/>
      <c r="AJ4472" s="132"/>
      <c r="AK4472" s="127"/>
      <c r="AL4472" s="128"/>
      <c r="AM4472" s="21"/>
      <c r="AN4472" s="133">
        <v>46011</v>
      </c>
      <c r="AO4472" s="134"/>
      <c r="AP4472" s="135">
        <v>1281</v>
      </c>
      <c r="AQ4472" s="136"/>
      <c r="AR4472" s="118">
        <v>1620000</v>
      </c>
      <c r="AS4472" s="119"/>
      <c r="AT4472" s="118">
        <f t="shared" ref="AT4472" si="4914">AR4472*0.1</f>
        <v>162000</v>
      </c>
      <c r="AU4472" s="119"/>
      <c r="AV4472" s="118">
        <v>16240</v>
      </c>
      <c r="AW4472" s="119"/>
      <c r="AX4472" s="118">
        <f t="shared" ref="AX4472" si="4915">SUM(AR4472:AW4472)</f>
        <v>1798240</v>
      </c>
      <c r="AY4472" s="119"/>
      <c r="AZ4472" s="137">
        <v>46014</v>
      </c>
    </row>
    <row r="4473" spans="1:52" ht="17.100000000000001" customHeight="1" thickBot="1">
      <c r="A4473" s="110"/>
      <c r="B4473" s="27" t="s">
        <v>1591</v>
      </c>
      <c r="C4473" s="27">
        <v>84144</v>
      </c>
      <c r="D4473" s="14" t="s">
        <v>275</v>
      </c>
      <c r="E4473" s="112"/>
      <c r="F4473" s="139" t="s">
        <v>13547</v>
      </c>
      <c r="G4473" s="140"/>
      <c r="H4473" s="141"/>
      <c r="I4473" s="26">
        <v>38300</v>
      </c>
      <c r="J4473" s="117"/>
      <c r="K4473" s="120"/>
      <c r="L4473" s="121"/>
      <c r="M4473" s="120"/>
      <c r="N4473" s="121"/>
      <c r="O4473" s="120"/>
      <c r="P4473" s="121"/>
      <c r="Q4473" s="120"/>
      <c r="R4473" s="121"/>
      <c r="S4473" s="120"/>
      <c r="T4473" s="121"/>
      <c r="U4473" s="120"/>
      <c r="V4473" s="123"/>
      <c r="W4473" s="125"/>
      <c r="X4473" s="142" t="s">
        <v>1612</v>
      </c>
      <c r="Y4473" s="143"/>
      <c r="Z4473" s="143"/>
      <c r="AA4473" s="143"/>
      <c r="AB4473" s="144"/>
      <c r="AC4473" s="16" t="s">
        <v>21</v>
      </c>
      <c r="AD4473" s="17" t="s">
        <v>13826</v>
      </c>
      <c r="AE4473" s="145" t="s">
        <v>171</v>
      </c>
      <c r="AF4473" s="146"/>
      <c r="AG4473" s="146"/>
      <c r="AH4473" s="146"/>
      <c r="AI4473" s="147"/>
      <c r="AJ4473" s="148"/>
      <c r="AK4473" s="143"/>
      <c r="AL4473" s="144"/>
      <c r="AM4473" s="22"/>
      <c r="AN4473" s="149" t="s">
        <v>2511</v>
      </c>
      <c r="AO4473" s="144"/>
      <c r="AP4473" s="148">
        <v>80378</v>
      </c>
      <c r="AQ4473" s="144"/>
      <c r="AR4473" s="120"/>
      <c r="AS4473" s="121"/>
      <c r="AT4473" s="120"/>
      <c r="AU4473" s="121"/>
      <c r="AV4473" s="120"/>
      <c r="AW4473" s="121"/>
      <c r="AX4473" s="120"/>
      <c r="AY4473" s="121"/>
      <c r="AZ4473" s="138"/>
    </row>
    <row r="4474" spans="1:52" ht="17.100000000000001" customHeight="1" thickTop="1">
      <c r="A4474" s="109" t="s">
        <v>13567</v>
      </c>
      <c r="B4474" s="28">
        <v>46007</v>
      </c>
      <c r="C4474" s="25">
        <v>1922</v>
      </c>
      <c r="D4474" s="13" t="s">
        <v>1986</v>
      </c>
      <c r="E4474" s="111"/>
      <c r="F4474" s="113" t="s">
        <v>13507</v>
      </c>
      <c r="G4474" s="114"/>
      <c r="H4474" s="115"/>
      <c r="I4474" s="24" t="s">
        <v>2943</v>
      </c>
      <c r="J4474" s="116">
        <v>4</v>
      </c>
      <c r="K4474" s="118">
        <v>1161000</v>
      </c>
      <c r="L4474" s="119"/>
      <c r="M4474" s="118">
        <f t="shared" ref="M4474" si="4916">K4474*0.1</f>
        <v>116100</v>
      </c>
      <c r="N4474" s="119"/>
      <c r="O4474" s="118">
        <v>0</v>
      </c>
      <c r="P4474" s="119"/>
      <c r="Q4474" s="118">
        <v>8740</v>
      </c>
      <c r="R4474" s="119"/>
      <c r="S4474" s="118">
        <v>15950</v>
      </c>
      <c r="T4474" s="119"/>
      <c r="U4474" s="118">
        <f t="shared" ref="U4474" si="4917">SUM(K4474:T4475)</f>
        <v>1301790</v>
      </c>
      <c r="V4474" s="122"/>
      <c r="W4474" s="124"/>
      <c r="X4474" s="126" t="s">
        <v>13509</v>
      </c>
      <c r="Y4474" s="127"/>
      <c r="Z4474" s="127"/>
      <c r="AA4474" s="127"/>
      <c r="AB4474" s="128"/>
      <c r="AC4474" s="15" t="s">
        <v>20</v>
      </c>
      <c r="AD4474" s="129" t="s">
        <v>12995</v>
      </c>
      <c r="AE4474" s="130"/>
      <c r="AF4474" s="130"/>
      <c r="AG4474" s="130"/>
      <c r="AH4474" s="130"/>
      <c r="AI4474" s="131"/>
      <c r="AJ4474" s="132"/>
      <c r="AK4474" s="127"/>
      <c r="AL4474" s="128"/>
      <c r="AM4474" s="21"/>
      <c r="AN4474" s="133">
        <v>46011</v>
      </c>
      <c r="AO4474" s="134"/>
      <c r="AP4474" s="135">
        <v>1281</v>
      </c>
      <c r="AQ4474" s="136"/>
      <c r="AR4474" s="118">
        <v>1195000</v>
      </c>
      <c r="AS4474" s="119"/>
      <c r="AT4474" s="118">
        <f t="shared" ref="AT4474" si="4918">AR4474*0.1</f>
        <v>119500</v>
      </c>
      <c r="AU4474" s="119"/>
      <c r="AV4474" s="118">
        <v>8740</v>
      </c>
      <c r="AW4474" s="119"/>
      <c r="AX4474" s="118">
        <f t="shared" ref="AX4474" si="4919">SUM(AR4474:AW4474)</f>
        <v>1323240</v>
      </c>
      <c r="AY4474" s="119"/>
      <c r="AZ4474" s="137">
        <v>46016</v>
      </c>
    </row>
    <row r="4475" spans="1:52" ht="17.100000000000001" customHeight="1" thickBot="1">
      <c r="A4475" s="110"/>
      <c r="B4475" s="27" t="s">
        <v>2131</v>
      </c>
      <c r="C4475" s="27">
        <v>3005</v>
      </c>
      <c r="D4475" s="14" t="s">
        <v>275</v>
      </c>
      <c r="E4475" s="112"/>
      <c r="F4475" s="139" t="s">
        <v>13508</v>
      </c>
      <c r="G4475" s="140"/>
      <c r="H4475" s="141"/>
      <c r="I4475" s="26">
        <v>35806</v>
      </c>
      <c r="J4475" s="117"/>
      <c r="K4475" s="120"/>
      <c r="L4475" s="121"/>
      <c r="M4475" s="120"/>
      <c r="N4475" s="121"/>
      <c r="O4475" s="120"/>
      <c r="P4475" s="121"/>
      <c r="Q4475" s="120"/>
      <c r="R4475" s="121"/>
      <c r="S4475" s="120"/>
      <c r="T4475" s="121"/>
      <c r="U4475" s="120"/>
      <c r="V4475" s="123"/>
      <c r="W4475" s="125"/>
      <c r="X4475" s="142" t="s">
        <v>9364</v>
      </c>
      <c r="Y4475" s="143"/>
      <c r="Z4475" s="143"/>
      <c r="AA4475" s="143"/>
      <c r="AB4475" s="144"/>
      <c r="AC4475" s="16" t="s">
        <v>21</v>
      </c>
      <c r="AD4475" s="17" t="s">
        <v>14041</v>
      </c>
      <c r="AE4475" s="145" t="s">
        <v>1633</v>
      </c>
      <c r="AF4475" s="146"/>
      <c r="AG4475" s="146"/>
      <c r="AH4475" s="146"/>
      <c r="AI4475" s="147"/>
      <c r="AJ4475" s="148"/>
      <c r="AK4475" s="143"/>
      <c r="AL4475" s="144"/>
      <c r="AM4475" s="22"/>
      <c r="AN4475" s="149" t="s">
        <v>2511</v>
      </c>
      <c r="AO4475" s="144"/>
      <c r="AP4475" s="148">
        <v>60417</v>
      </c>
      <c r="AQ4475" s="144"/>
      <c r="AR4475" s="120"/>
      <c r="AS4475" s="121"/>
      <c r="AT4475" s="120"/>
      <c r="AU4475" s="121"/>
      <c r="AV4475" s="120"/>
      <c r="AW4475" s="121"/>
      <c r="AX4475" s="120"/>
      <c r="AY4475" s="121"/>
      <c r="AZ4475" s="138"/>
    </row>
    <row r="4476" spans="1:52" ht="17.100000000000001" customHeight="1" thickTop="1">
      <c r="A4476" s="109" t="s">
        <v>13568</v>
      </c>
      <c r="B4476" s="28">
        <v>46007</v>
      </c>
      <c r="C4476" s="25">
        <v>1922</v>
      </c>
      <c r="D4476" s="13" t="s">
        <v>2681</v>
      </c>
      <c r="E4476" s="111"/>
      <c r="F4476" s="113" t="s">
        <v>10810</v>
      </c>
      <c r="G4476" s="114"/>
      <c r="H4476" s="115"/>
      <c r="I4476" s="24"/>
      <c r="J4476" s="116">
        <v>4</v>
      </c>
      <c r="K4476" s="118">
        <v>1012000</v>
      </c>
      <c r="L4476" s="119"/>
      <c r="M4476" s="118">
        <f t="shared" ref="M4476" si="4920">K4476*0.1</f>
        <v>101200</v>
      </c>
      <c r="N4476" s="119"/>
      <c r="O4476" s="118">
        <v>0</v>
      </c>
      <c r="P4476" s="119"/>
      <c r="Q4476" s="118">
        <v>8640</v>
      </c>
      <c r="R4476" s="119"/>
      <c r="S4476" s="118">
        <v>15950</v>
      </c>
      <c r="T4476" s="119"/>
      <c r="U4476" s="118">
        <f t="shared" ref="U4476" si="4921">SUM(K4476:T4477)</f>
        <v>1137790</v>
      </c>
      <c r="V4476" s="122"/>
      <c r="W4476" s="124"/>
      <c r="X4476" s="126" t="s">
        <v>14065</v>
      </c>
      <c r="Y4476" s="127"/>
      <c r="Z4476" s="127"/>
      <c r="AA4476" s="127"/>
      <c r="AB4476" s="128"/>
      <c r="AC4476" s="15" t="s">
        <v>20</v>
      </c>
      <c r="AD4476" s="129" t="s">
        <v>1670</v>
      </c>
      <c r="AE4476" s="130"/>
      <c r="AF4476" s="130"/>
      <c r="AG4476" s="130"/>
      <c r="AH4476" s="130"/>
      <c r="AI4476" s="131"/>
      <c r="AJ4476" s="132"/>
      <c r="AK4476" s="127"/>
      <c r="AL4476" s="128"/>
      <c r="AM4476" s="21"/>
      <c r="AN4476" s="133">
        <v>46018</v>
      </c>
      <c r="AO4476" s="134"/>
      <c r="AP4476" s="135">
        <v>1282</v>
      </c>
      <c r="AQ4476" s="136"/>
      <c r="AR4476" s="118">
        <v>1125000</v>
      </c>
      <c r="AS4476" s="119"/>
      <c r="AT4476" s="118">
        <f t="shared" ref="AT4476" si="4922">AR4476*0.1</f>
        <v>112500</v>
      </c>
      <c r="AU4476" s="119"/>
      <c r="AV4476" s="118">
        <v>8640</v>
      </c>
      <c r="AW4476" s="119"/>
      <c r="AX4476" s="118">
        <f t="shared" ref="AX4476" si="4923">SUM(AR4476:AW4476)</f>
        <v>1246140</v>
      </c>
      <c r="AY4476" s="119"/>
      <c r="AZ4476" s="137">
        <v>46028</v>
      </c>
    </row>
    <row r="4477" spans="1:52" ht="17.100000000000001" customHeight="1" thickBot="1">
      <c r="A4477" s="110"/>
      <c r="B4477" s="27" t="s">
        <v>2131</v>
      </c>
      <c r="C4477" s="27">
        <v>3045</v>
      </c>
      <c r="D4477" s="14" t="s">
        <v>2601</v>
      </c>
      <c r="E4477" s="112"/>
      <c r="F4477" s="139" t="s">
        <v>13510</v>
      </c>
      <c r="G4477" s="140"/>
      <c r="H4477" s="141"/>
      <c r="I4477" s="26">
        <v>65322</v>
      </c>
      <c r="J4477" s="117"/>
      <c r="K4477" s="120"/>
      <c r="L4477" s="121"/>
      <c r="M4477" s="120"/>
      <c r="N4477" s="121"/>
      <c r="O4477" s="120"/>
      <c r="P4477" s="121"/>
      <c r="Q4477" s="120"/>
      <c r="R4477" s="121"/>
      <c r="S4477" s="120"/>
      <c r="T4477" s="121"/>
      <c r="U4477" s="120"/>
      <c r="V4477" s="123"/>
      <c r="W4477" s="125"/>
      <c r="X4477" s="142" t="s">
        <v>4025</v>
      </c>
      <c r="Y4477" s="143"/>
      <c r="Z4477" s="143"/>
      <c r="AA4477" s="143"/>
      <c r="AB4477" s="144"/>
      <c r="AC4477" s="16" t="s">
        <v>21</v>
      </c>
      <c r="AD4477" s="17" t="s">
        <v>14041</v>
      </c>
      <c r="AE4477" s="145" t="s">
        <v>14182</v>
      </c>
      <c r="AF4477" s="146"/>
      <c r="AG4477" s="146"/>
      <c r="AH4477" s="146"/>
      <c r="AI4477" s="147"/>
      <c r="AJ4477" s="148"/>
      <c r="AK4477" s="143"/>
      <c r="AL4477" s="144"/>
      <c r="AM4477" s="22"/>
      <c r="AN4477" s="149" t="s">
        <v>2511</v>
      </c>
      <c r="AO4477" s="144"/>
      <c r="AP4477" s="148">
        <v>60066</v>
      </c>
      <c r="AQ4477" s="144"/>
      <c r="AR4477" s="120"/>
      <c r="AS4477" s="121"/>
      <c r="AT4477" s="120"/>
      <c r="AU4477" s="121"/>
      <c r="AV4477" s="120"/>
      <c r="AW4477" s="121"/>
      <c r="AX4477" s="120"/>
      <c r="AY4477" s="121"/>
      <c r="AZ4477" s="138"/>
    </row>
    <row r="4478" spans="1:52" ht="17.100000000000001" customHeight="1" thickTop="1">
      <c r="A4478" s="109" t="s">
        <v>13569</v>
      </c>
      <c r="B4478" s="28">
        <v>46007</v>
      </c>
      <c r="C4478" s="25">
        <v>1922</v>
      </c>
      <c r="D4478" s="13" t="s">
        <v>2322</v>
      </c>
      <c r="E4478" s="111"/>
      <c r="F4478" s="113" t="s">
        <v>8682</v>
      </c>
      <c r="G4478" s="114"/>
      <c r="H4478" s="115"/>
      <c r="I4478" s="24" t="s">
        <v>3509</v>
      </c>
      <c r="J4478" s="116">
        <v>4.5</v>
      </c>
      <c r="K4478" s="118">
        <v>811000</v>
      </c>
      <c r="L4478" s="119"/>
      <c r="M4478" s="118">
        <f t="shared" ref="M4478" si="4924">K4478*0.1</f>
        <v>81100</v>
      </c>
      <c r="N4478" s="119"/>
      <c r="O4478" s="118">
        <v>0</v>
      </c>
      <c r="P4478" s="119"/>
      <c r="Q4478" s="118">
        <v>9200</v>
      </c>
      <c r="R4478" s="119"/>
      <c r="S4478" s="118">
        <v>15950</v>
      </c>
      <c r="T4478" s="119"/>
      <c r="U4478" s="118">
        <f t="shared" ref="U4478" si="4925">SUM(K4478:T4479)</f>
        <v>917250</v>
      </c>
      <c r="V4478" s="122"/>
      <c r="W4478" s="124"/>
      <c r="X4478" s="126" t="s">
        <v>13512</v>
      </c>
      <c r="Y4478" s="127"/>
      <c r="Z4478" s="127"/>
      <c r="AA4478" s="127"/>
      <c r="AB4478" s="128"/>
      <c r="AC4478" s="15" t="s">
        <v>20</v>
      </c>
      <c r="AD4478" s="129"/>
      <c r="AE4478" s="130"/>
      <c r="AF4478" s="130"/>
      <c r="AG4478" s="130"/>
      <c r="AH4478" s="130"/>
      <c r="AI4478" s="131"/>
      <c r="AJ4478" s="132"/>
      <c r="AK4478" s="127"/>
      <c r="AL4478" s="128"/>
      <c r="AM4478" s="21"/>
      <c r="AN4478" s="133">
        <v>46011</v>
      </c>
      <c r="AO4478" s="134"/>
      <c r="AP4478" s="135">
        <v>1281</v>
      </c>
      <c r="AQ4478" s="136"/>
      <c r="AR4478" s="118">
        <v>938000</v>
      </c>
      <c r="AS4478" s="119"/>
      <c r="AT4478" s="118">
        <f t="shared" ref="AT4478" si="4926">AR4478*0.1</f>
        <v>93800</v>
      </c>
      <c r="AU4478" s="119"/>
      <c r="AV4478" s="118">
        <v>9200</v>
      </c>
      <c r="AW4478" s="119"/>
      <c r="AX4478" s="118">
        <f t="shared" ref="AX4478" si="4927">SUM(AR4478:AW4478)</f>
        <v>1041000</v>
      </c>
      <c r="AY4478" s="119"/>
      <c r="AZ4478" s="137">
        <v>46016</v>
      </c>
    </row>
    <row r="4479" spans="1:52" ht="17.100000000000001" customHeight="1" thickBot="1">
      <c r="A4479" s="110"/>
      <c r="B4479" s="27" t="s">
        <v>2131</v>
      </c>
      <c r="C4479" s="27">
        <v>3066</v>
      </c>
      <c r="D4479" s="14" t="s">
        <v>275</v>
      </c>
      <c r="E4479" s="112"/>
      <c r="F4479" s="139" t="s">
        <v>13511</v>
      </c>
      <c r="G4479" s="140"/>
      <c r="H4479" s="141"/>
      <c r="I4479" s="26">
        <v>45039</v>
      </c>
      <c r="J4479" s="117"/>
      <c r="K4479" s="120"/>
      <c r="L4479" s="121"/>
      <c r="M4479" s="120"/>
      <c r="N4479" s="121"/>
      <c r="O4479" s="120"/>
      <c r="P4479" s="121"/>
      <c r="Q4479" s="120"/>
      <c r="R4479" s="121"/>
      <c r="S4479" s="120"/>
      <c r="T4479" s="121"/>
      <c r="U4479" s="120"/>
      <c r="V4479" s="123"/>
      <c r="W4479" s="125"/>
      <c r="X4479" s="142" t="s">
        <v>2776</v>
      </c>
      <c r="Y4479" s="143"/>
      <c r="Z4479" s="143"/>
      <c r="AA4479" s="143"/>
      <c r="AB4479" s="144"/>
      <c r="AC4479" s="16" t="s">
        <v>21</v>
      </c>
      <c r="AD4479" s="17" t="s">
        <v>14041</v>
      </c>
      <c r="AE4479" s="145" t="s">
        <v>7842</v>
      </c>
      <c r="AF4479" s="146"/>
      <c r="AG4479" s="146"/>
      <c r="AH4479" s="146"/>
      <c r="AI4479" s="147"/>
      <c r="AJ4479" s="148"/>
      <c r="AK4479" s="143"/>
      <c r="AL4479" s="144"/>
      <c r="AM4479" s="22"/>
      <c r="AN4479" s="149" t="s">
        <v>6748</v>
      </c>
      <c r="AO4479" s="144"/>
      <c r="AP4479" s="148">
        <v>60437</v>
      </c>
      <c r="AQ4479" s="144"/>
      <c r="AR4479" s="120"/>
      <c r="AS4479" s="121"/>
      <c r="AT4479" s="120"/>
      <c r="AU4479" s="121"/>
      <c r="AV4479" s="120"/>
      <c r="AW4479" s="121"/>
      <c r="AX4479" s="120"/>
      <c r="AY4479" s="121"/>
      <c r="AZ4479" s="138"/>
    </row>
    <row r="4480" spans="1:52" ht="17.100000000000001" customHeight="1" thickTop="1">
      <c r="A4480" s="151" t="s">
        <v>13570</v>
      </c>
      <c r="B4480" s="28">
        <v>46007</v>
      </c>
      <c r="C4480" s="25">
        <v>1922</v>
      </c>
      <c r="D4480" s="13" t="s">
        <v>1760</v>
      </c>
      <c r="E4480" s="111"/>
      <c r="F4480" s="113" t="s">
        <v>12319</v>
      </c>
      <c r="G4480" s="114"/>
      <c r="H4480" s="115"/>
      <c r="I4480" s="24"/>
      <c r="J4480" s="116">
        <v>4</v>
      </c>
      <c r="K4480" s="118">
        <v>1109000</v>
      </c>
      <c r="L4480" s="119"/>
      <c r="M4480" s="118">
        <f t="shared" ref="M4480" si="4928">K4480*0.1</f>
        <v>110900</v>
      </c>
      <c r="N4480" s="119"/>
      <c r="O4480" s="118">
        <v>0</v>
      </c>
      <c r="P4480" s="119"/>
      <c r="Q4480" s="118">
        <v>6880</v>
      </c>
      <c r="R4480" s="119"/>
      <c r="S4480" s="118">
        <v>15950</v>
      </c>
      <c r="T4480" s="119"/>
      <c r="U4480" s="118">
        <f t="shared" ref="U4480" si="4929">SUM(K4480:T4481)</f>
        <v>1242730</v>
      </c>
      <c r="V4480" s="122"/>
      <c r="W4480" s="124"/>
      <c r="X4480" s="126" t="s">
        <v>14063</v>
      </c>
      <c r="Y4480" s="127"/>
      <c r="Z4480" s="127"/>
      <c r="AA4480" s="127"/>
      <c r="AB4480" s="128"/>
      <c r="AC4480" s="15" t="s">
        <v>20</v>
      </c>
      <c r="AD4480" s="129" t="s">
        <v>1670</v>
      </c>
      <c r="AE4480" s="130"/>
      <c r="AF4480" s="130"/>
      <c r="AG4480" s="130"/>
      <c r="AH4480" s="130"/>
      <c r="AI4480" s="131"/>
      <c r="AJ4480" s="132"/>
      <c r="AK4480" s="127"/>
      <c r="AL4480" s="128"/>
      <c r="AM4480" s="21"/>
      <c r="AN4480" s="133">
        <v>46032</v>
      </c>
      <c r="AO4480" s="134"/>
      <c r="AP4480" s="135">
        <v>1283</v>
      </c>
      <c r="AQ4480" s="136"/>
      <c r="AR4480" s="118">
        <v>1155000</v>
      </c>
      <c r="AS4480" s="119"/>
      <c r="AT4480" s="118">
        <v>115500</v>
      </c>
      <c r="AU4480" s="119"/>
      <c r="AV4480" s="118">
        <v>6880</v>
      </c>
      <c r="AW4480" s="119"/>
      <c r="AX4480" s="118">
        <f t="shared" ref="AX4480" si="4930">SUM(AR4480:AW4480)</f>
        <v>1277380</v>
      </c>
      <c r="AY4480" s="119"/>
      <c r="AZ4480" s="137">
        <v>46036</v>
      </c>
    </row>
    <row r="4481" spans="1:52" ht="17.100000000000001" customHeight="1" thickBot="1">
      <c r="A4481" s="152"/>
      <c r="B4481" s="27" t="s">
        <v>2131</v>
      </c>
      <c r="C4481" s="27">
        <v>3137</v>
      </c>
      <c r="D4481" s="14" t="s">
        <v>1576</v>
      </c>
      <c r="E4481" s="112"/>
      <c r="F4481" s="139" t="s">
        <v>13513</v>
      </c>
      <c r="G4481" s="140"/>
      <c r="H4481" s="141"/>
      <c r="I4481" s="26">
        <v>9844</v>
      </c>
      <c r="J4481" s="117"/>
      <c r="K4481" s="120"/>
      <c r="L4481" s="121"/>
      <c r="M4481" s="120"/>
      <c r="N4481" s="121"/>
      <c r="O4481" s="120"/>
      <c r="P4481" s="121"/>
      <c r="Q4481" s="120"/>
      <c r="R4481" s="121"/>
      <c r="S4481" s="120"/>
      <c r="T4481" s="121"/>
      <c r="U4481" s="120"/>
      <c r="V4481" s="123"/>
      <c r="W4481" s="125"/>
      <c r="X4481" s="142" t="s">
        <v>5250</v>
      </c>
      <c r="Y4481" s="143"/>
      <c r="Z4481" s="143"/>
      <c r="AA4481" s="143"/>
      <c r="AB4481" s="144"/>
      <c r="AC4481" s="16" t="s">
        <v>21</v>
      </c>
      <c r="AD4481" s="17" t="s">
        <v>14041</v>
      </c>
      <c r="AE4481" s="145" t="s">
        <v>14064</v>
      </c>
      <c r="AF4481" s="146"/>
      <c r="AG4481" s="146"/>
      <c r="AH4481" s="146"/>
      <c r="AI4481" s="147"/>
      <c r="AJ4481" s="148"/>
      <c r="AK4481" s="143"/>
      <c r="AL4481" s="144"/>
      <c r="AM4481" s="22"/>
      <c r="AN4481" s="149" t="s">
        <v>2511</v>
      </c>
      <c r="AO4481" s="144"/>
      <c r="AP4481" s="148">
        <v>60039</v>
      </c>
      <c r="AQ4481" s="144"/>
      <c r="AR4481" s="120"/>
      <c r="AS4481" s="121"/>
      <c r="AT4481" s="120"/>
      <c r="AU4481" s="121"/>
      <c r="AV4481" s="120"/>
      <c r="AW4481" s="121"/>
      <c r="AX4481" s="120"/>
      <c r="AY4481" s="121"/>
      <c r="AZ4481" s="138"/>
    </row>
    <row r="4482" spans="1:52" ht="17.100000000000001" customHeight="1" thickTop="1">
      <c r="A4482" s="109" t="s">
        <v>13571</v>
      </c>
      <c r="B4482" s="28">
        <v>46007</v>
      </c>
      <c r="C4482" s="25">
        <v>1922</v>
      </c>
      <c r="D4482" s="13" t="s">
        <v>2322</v>
      </c>
      <c r="E4482" s="111"/>
      <c r="F4482" s="113" t="s">
        <v>13518</v>
      </c>
      <c r="G4482" s="114"/>
      <c r="H4482" s="115"/>
      <c r="I4482" s="24"/>
      <c r="J4482" s="116">
        <v>4.5</v>
      </c>
      <c r="K4482" s="118">
        <v>1072000</v>
      </c>
      <c r="L4482" s="119"/>
      <c r="M4482" s="118">
        <f t="shared" ref="M4482" si="4931">K4482*0.1</f>
        <v>107200</v>
      </c>
      <c r="N4482" s="119"/>
      <c r="O4482" s="118">
        <v>0</v>
      </c>
      <c r="P4482" s="119"/>
      <c r="Q4482" s="118">
        <v>20540</v>
      </c>
      <c r="R4482" s="119"/>
      <c r="S4482" s="118">
        <v>15950</v>
      </c>
      <c r="T4482" s="119"/>
      <c r="U4482" s="118">
        <f t="shared" ref="U4482" si="4932">SUM(K4482:T4483)</f>
        <v>1215690</v>
      </c>
      <c r="V4482" s="122"/>
      <c r="W4482" s="124"/>
      <c r="X4482" s="126" t="s">
        <v>14051</v>
      </c>
      <c r="Y4482" s="127"/>
      <c r="Z4482" s="127"/>
      <c r="AA4482" s="127"/>
      <c r="AB4482" s="128"/>
      <c r="AC4482" s="15" t="s">
        <v>20</v>
      </c>
      <c r="AD4482" s="129"/>
      <c r="AE4482" s="130"/>
      <c r="AF4482" s="130"/>
      <c r="AG4482" s="130"/>
      <c r="AH4482" s="130"/>
      <c r="AI4482" s="131"/>
      <c r="AJ4482" s="132"/>
      <c r="AK4482" s="127"/>
      <c r="AL4482" s="128"/>
      <c r="AM4482" s="21"/>
      <c r="AN4482" s="133">
        <v>46011</v>
      </c>
      <c r="AO4482" s="134"/>
      <c r="AP4482" s="135">
        <v>1281</v>
      </c>
      <c r="AQ4482" s="136"/>
      <c r="AR4482" s="118">
        <v>1220000</v>
      </c>
      <c r="AS4482" s="119"/>
      <c r="AT4482" s="118">
        <f t="shared" ref="AT4482" si="4933">AR4482*0.1</f>
        <v>122000</v>
      </c>
      <c r="AU4482" s="119"/>
      <c r="AV4482" s="118">
        <v>20540</v>
      </c>
      <c r="AW4482" s="119"/>
      <c r="AX4482" s="118">
        <f t="shared" ref="AX4482" si="4934">SUM(AR4482:AW4482)</f>
        <v>1362540</v>
      </c>
      <c r="AY4482" s="119"/>
      <c r="AZ4482" s="137">
        <v>46028</v>
      </c>
    </row>
    <row r="4483" spans="1:52" ht="17.100000000000001" customHeight="1" thickBot="1">
      <c r="A4483" s="110"/>
      <c r="B4483" s="27" t="s">
        <v>2131</v>
      </c>
      <c r="C4483" s="27">
        <v>5003</v>
      </c>
      <c r="D4483" s="14" t="s">
        <v>2601</v>
      </c>
      <c r="E4483" s="112"/>
      <c r="F4483" s="139" t="s">
        <v>13519</v>
      </c>
      <c r="G4483" s="140"/>
      <c r="H4483" s="141"/>
      <c r="I4483" s="26">
        <v>78909</v>
      </c>
      <c r="J4483" s="117"/>
      <c r="K4483" s="120"/>
      <c r="L4483" s="121"/>
      <c r="M4483" s="120"/>
      <c r="N4483" s="121"/>
      <c r="O4483" s="120"/>
      <c r="P4483" s="121"/>
      <c r="Q4483" s="120"/>
      <c r="R4483" s="121"/>
      <c r="S4483" s="120"/>
      <c r="T4483" s="121"/>
      <c r="U4483" s="120"/>
      <c r="V4483" s="123"/>
      <c r="W4483" s="125"/>
      <c r="X4483" s="142" t="s">
        <v>5250</v>
      </c>
      <c r="Y4483" s="143"/>
      <c r="Z4483" s="143"/>
      <c r="AA4483" s="143"/>
      <c r="AB4483" s="144"/>
      <c r="AC4483" s="16" t="s">
        <v>21</v>
      </c>
      <c r="AD4483" s="17" t="s">
        <v>14041</v>
      </c>
      <c r="AE4483" s="145" t="s">
        <v>2195</v>
      </c>
      <c r="AF4483" s="146"/>
      <c r="AG4483" s="146"/>
      <c r="AH4483" s="146"/>
      <c r="AI4483" s="147"/>
      <c r="AJ4483" s="148"/>
      <c r="AK4483" s="143"/>
      <c r="AL4483" s="144"/>
      <c r="AM4483" s="22"/>
      <c r="AN4483" s="149" t="s">
        <v>6748</v>
      </c>
      <c r="AO4483" s="144"/>
      <c r="AP4483" s="148">
        <v>80315</v>
      </c>
      <c r="AQ4483" s="144"/>
      <c r="AR4483" s="120"/>
      <c r="AS4483" s="121"/>
      <c r="AT4483" s="120"/>
      <c r="AU4483" s="121"/>
      <c r="AV4483" s="120"/>
      <c r="AW4483" s="121"/>
      <c r="AX4483" s="120"/>
      <c r="AY4483" s="121"/>
      <c r="AZ4483" s="138"/>
    </row>
    <row r="4484" spans="1:52" ht="17.100000000000001" customHeight="1" thickTop="1">
      <c r="A4484" s="109" t="s">
        <v>13572</v>
      </c>
      <c r="B4484" s="28">
        <v>46007</v>
      </c>
      <c r="C4484" s="25">
        <v>1922</v>
      </c>
      <c r="D4484" s="13" t="s">
        <v>2442</v>
      </c>
      <c r="E4484" s="111"/>
      <c r="F4484" s="113" t="s">
        <v>13520</v>
      </c>
      <c r="G4484" s="114"/>
      <c r="H4484" s="115"/>
      <c r="I4484" s="24"/>
      <c r="J4484" s="116">
        <v>3.5</v>
      </c>
      <c r="K4484" s="118">
        <v>1271000</v>
      </c>
      <c r="L4484" s="119"/>
      <c r="M4484" s="118">
        <f t="shared" ref="M4484" si="4935">K4484*0.1</f>
        <v>127100</v>
      </c>
      <c r="N4484" s="119"/>
      <c r="O4484" s="118">
        <v>0</v>
      </c>
      <c r="P4484" s="119"/>
      <c r="Q4484" s="118">
        <v>12450</v>
      </c>
      <c r="R4484" s="119"/>
      <c r="S4484" s="118">
        <v>15950</v>
      </c>
      <c r="T4484" s="119"/>
      <c r="U4484" s="118">
        <f t="shared" ref="U4484" si="4936">SUM(K4484:T4485)</f>
        <v>1426500</v>
      </c>
      <c r="V4484" s="122"/>
      <c r="W4484" s="124"/>
      <c r="X4484" s="126" t="s">
        <v>14052</v>
      </c>
      <c r="Y4484" s="127"/>
      <c r="Z4484" s="127"/>
      <c r="AA4484" s="127"/>
      <c r="AB4484" s="128"/>
      <c r="AC4484" s="15" t="s">
        <v>20</v>
      </c>
      <c r="AD4484" s="129"/>
      <c r="AE4484" s="130"/>
      <c r="AF4484" s="130"/>
      <c r="AG4484" s="130"/>
      <c r="AH4484" s="130"/>
      <c r="AI4484" s="131"/>
      <c r="AJ4484" s="132"/>
      <c r="AK4484" s="127"/>
      <c r="AL4484" s="128"/>
      <c r="AM4484" s="21"/>
      <c r="AN4484" s="133">
        <v>46123</v>
      </c>
      <c r="AO4484" s="134"/>
      <c r="AP4484" s="135">
        <v>1296</v>
      </c>
      <c r="AQ4484" s="136"/>
      <c r="AR4484" s="118">
        <v>1370000</v>
      </c>
      <c r="AS4484" s="119"/>
      <c r="AT4484" s="118">
        <f t="shared" ref="AT4484" si="4937">AR4484*0.1</f>
        <v>137000</v>
      </c>
      <c r="AU4484" s="119"/>
      <c r="AV4484" s="118">
        <v>12450</v>
      </c>
      <c r="AW4484" s="119"/>
      <c r="AX4484" s="118">
        <f t="shared" ref="AX4484" si="4938">SUM(AR4484:AW4484)</f>
        <v>1519450</v>
      </c>
      <c r="AY4484" s="119"/>
      <c r="AZ4484" s="137">
        <v>46126</v>
      </c>
    </row>
    <row r="4485" spans="1:52" ht="17.100000000000001" customHeight="1" thickBot="1">
      <c r="A4485" s="110"/>
      <c r="B4485" s="27" t="s">
        <v>2131</v>
      </c>
      <c r="C4485" s="27">
        <v>32005</v>
      </c>
      <c r="D4485" s="14" t="s">
        <v>1592</v>
      </c>
      <c r="E4485" s="112"/>
      <c r="F4485" s="139" t="s">
        <v>13521</v>
      </c>
      <c r="G4485" s="140"/>
      <c r="H4485" s="141"/>
      <c r="I4485" s="26">
        <v>48419</v>
      </c>
      <c r="J4485" s="117"/>
      <c r="K4485" s="120"/>
      <c r="L4485" s="121"/>
      <c r="M4485" s="120"/>
      <c r="N4485" s="121"/>
      <c r="O4485" s="120"/>
      <c r="P4485" s="121"/>
      <c r="Q4485" s="120"/>
      <c r="R4485" s="121"/>
      <c r="S4485" s="120"/>
      <c r="T4485" s="121"/>
      <c r="U4485" s="120"/>
      <c r="V4485" s="123"/>
      <c r="W4485" s="125"/>
      <c r="X4485" s="142" t="s">
        <v>8085</v>
      </c>
      <c r="Y4485" s="143"/>
      <c r="Z4485" s="143"/>
      <c r="AA4485" s="143"/>
      <c r="AB4485" s="144"/>
      <c r="AC4485" s="16" t="s">
        <v>21</v>
      </c>
      <c r="AD4485" s="17" t="s">
        <v>14041</v>
      </c>
      <c r="AE4485" s="145" t="s">
        <v>13977</v>
      </c>
      <c r="AF4485" s="146"/>
      <c r="AG4485" s="146"/>
      <c r="AH4485" s="146"/>
      <c r="AI4485" s="147"/>
      <c r="AJ4485" s="148"/>
      <c r="AK4485" s="143"/>
      <c r="AL4485" s="144"/>
      <c r="AM4485" s="22"/>
      <c r="AN4485" s="149" t="s">
        <v>2511</v>
      </c>
      <c r="AO4485" s="144"/>
      <c r="AP4485" s="148">
        <v>80148</v>
      </c>
      <c r="AQ4485" s="144"/>
      <c r="AR4485" s="120"/>
      <c r="AS4485" s="121"/>
      <c r="AT4485" s="120"/>
      <c r="AU4485" s="121"/>
      <c r="AV4485" s="120"/>
      <c r="AW4485" s="121"/>
      <c r="AX4485" s="120"/>
      <c r="AY4485" s="121"/>
      <c r="AZ4485" s="138"/>
    </row>
    <row r="4486" spans="1:52" ht="17.100000000000001" customHeight="1" thickTop="1">
      <c r="A4486" s="109" t="s">
        <v>13573</v>
      </c>
      <c r="B4486" s="28">
        <v>46007</v>
      </c>
      <c r="C4486" s="25">
        <v>1922</v>
      </c>
      <c r="D4486" s="13" t="s">
        <v>1712</v>
      </c>
      <c r="E4486" s="111"/>
      <c r="F4486" s="113" t="s">
        <v>2724</v>
      </c>
      <c r="G4486" s="114"/>
      <c r="H4486" s="115"/>
      <c r="I4486" s="24"/>
      <c r="J4486" s="116">
        <v>3.5</v>
      </c>
      <c r="K4486" s="118">
        <v>343000</v>
      </c>
      <c r="L4486" s="119"/>
      <c r="M4486" s="118">
        <f t="shared" ref="M4486" si="4939">K4486*0.1</f>
        <v>34300</v>
      </c>
      <c r="N4486" s="119"/>
      <c r="O4486" s="118">
        <v>0</v>
      </c>
      <c r="P4486" s="119"/>
      <c r="Q4486" s="118">
        <v>17700</v>
      </c>
      <c r="R4486" s="119"/>
      <c r="S4486" s="118">
        <v>15950</v>
      </c>
      <c r="T4486" s="119"/>
      <c r="U4486" s="118">
        <f t="shared" ref="U4486" si="4940">SUM(K4486:T4487)</f>
        <v>410950</v>
      </c>
      <c r="V4486" s="122"/>
      <c r="W4486" s="124"/>
      <c r="X4486" s="126" t="s">
        <v>14067</v>
      </c>
      <c r="Y4486" s="127"/>
      <c r="Z4486" s="127"/>
      <c r="AA4486" s="127"/>
      <c r="AB4486" s="128"/>
      <c r="AC4486" s="15" t="s">
        <v>20</v>
      </c>
      <c r="AD4486" s="129"/>
      <c r="AE4486" s="130"/>
      <c r="AF4486" s="130"/>
      <c r="AG4486" s="130"/>
      <c r="AH4486" s="130"/>
      <c r="AI4486" s="131"/>
      <c r="AJ4486" s="132"/>
      <c r="AK4486" s="127"/>
      <c r="AL4486" s="128"/>
      <c r="AM4486" s="21"/>
      <c r="AN4486" s="133">
        <v>46011</v>
      </c>
      <c r="AO4486" s="134"/>
      <c r="AP4486" s="135">
        <v>1281</v>
      </c>
      <c r="AQ4486" s="136"/>
      <c r="AR4486" s="118">
        <v>385000</v>
      </c>
      <c r="AS4486" s="119"/>
      <c r="AT4486" s="118">
        <f t="shared" ref="AT4486" si="4941">AR4486*0.1</f>
        <v>38500</v>
      </c>
      <c r="AU4486" s="119"/>
      <c r="AV4486" s="118">
        <v>17700</v>
      </c>
      <c r="AW4486" s="119"/>
      <c r="AX4486" s="118">
        <f t="shared" ref="AX4486" si="4942">SUM(AR4486:AW4486)</f>
        <v>441200</v>
      </c>
      <c r="AY4486" s="119"/>
      <c r="AZ4486" s="137">
        <v>46016</v>
      </c>
    </row>
    <row r="4487" spans="1:52" ht="17.100000000000001" customHeight="1" thickBot="1">
      <c r="A4487" s="110"/>
      <c r="B4487" s="27" t="s">
        <v>2131</v>
      </c>
      <c r="C4487" s="27">
        <v>32031</v>
      </c>
      <c r="D4487" s="14" t="s">
        <v>1592</v>
      </c>
      <c r="E4487" s="112"/>
      <c r="F4487" s="139" t="s">
        <v>13522</v>
      </c>
      <c r="G4487" s="140"/>
      <c r="H4487" s="141"/>
      <c r="I4487" s="26">
        <v>75039</v>
      </c>
      <c r="J4487" s="117"/>
      <c r="K4487" s="120"/>
      <c r="L4487" s="121"/>
      <c r="M4487" s="120"/>
      <c r="N4487" s="121"/>
      <c r="O4487" s="120"/>
      <c r="P4487" s="121"/>
      <c r="Q4487" s="120"/>
      <c r="R4487" s="121"/>
      <c r="S4487" s="120"/>
      <c r="T4487" s="121"/>
      <c r="U4487" s="120"/>
      <c r="V4487" s="123"/>
      <c r="W4487" s="125"/>
      <c r="X4487" s="142" t="s">
        <v>3390</v>
      </c>
      <c r="Y4487" s="143"/>
      <c r="Z4487" s="143"/>
      <c r="AA4487" s="143"/>
      <c r="AB4487" s="144"/>
      <c r="AC4487" s="16" t="s">
        <v>21</v>
      </c>
      <c r="AD4487" s="17" t="s">
        <v>14041</v>
      </c>
      <c r="AE4487" s="145" t="s">
        <v>7861</v>
      </c>
      <c r="AF4487" s="146"/>
      <c r="AG4487" s="146"/>
      <c r="AH4487" s="146"/>
      <c r="AI4487" s="147"/>
      <c r="AJ4487" s="148"/>
      <c r="AK4487" s="143"/>
      <c r="AL4487" s="144"/>
      <c r="AM4487" s="22"/>
      <c r="AN4487" s="149" t="s">
        <v>2511</v>
      </c>
      <c r="AO4487" s="144"/>
      <c r="AP4487" s="148">
        <v>80316</v>
      </c>
      <c r="AQ4487" s="144"/>
      <c r="AR4487" s="120"/>
      <c r="AS4487" s="121"/>
      <c r="AT4487" s="120"/>
      <c r="AU4487" s="121"/>
      <c r="AV4487" s="120"/>
      <c r="AW4487" s="121"/>
      <c r="AX4487" s="120"/>
      <c r="AY4487" s="121"/>
      <c r="AZ4487" s="138"/>
    </row>
    <row r="4488" spans="1:52" ht="17.100000000000001" customHeight="1" thickTop="1">
      <c r="A4488" s="109" t="s">
        <v>13574</v>
      </c>
      <c r="B4488" s="28">
        <v>46007</v>
      </c>
      <c r="C4488" s="25">
        <v>1922</v>
      </c>
      <c r="D4488" s="13" t="s">
        <v>1977</v>
      </c>
      <c r="E4488" s="111"/>
      <c r="F4488" s="113" t="s">
        <v>13523</v>
      </c>
      <c r="G4488" s="114"/>
      <c r="H4488" s="115"/>
      <c r="I4488" s="24"/>
      <c r="J4488" s="116">
        <v>4.5</v>
      </c>
      <c r="K4488" s="118">
        <v>1379000</v>
      </c>
      <c r="L4488" s="119"/>
      <c r="M4488" s="118">
        <f t="shared" ref="M4488" si="4943">K4488*0.1</f>
        <v>137900</v>
      </c>
      <c r="N4488" s="119"/>
      <c r="O4488" s="118">
        <v>0</v>
      </c>
      <c r="P4488" s="119"/>
      <c r="Q4488" s="118">
        <v>9810</v>
      </c>
      <c r="R4488" s="119"/>
      <c r="S4488" s="118">
        <v>15950</v>
      </c>
      <c r="T4488" s="119"/>
      <c r="U4488" s="118">
        <f t="shared" ref="U4488" si="4944">SUM(K4488:T4489)</f>
        <v>1542660</v>
      </c>
      <c r="V4488" s="122"/>
      <c r="W4488" s="124"/>
      <c r="X4488" s="126" t="s">
        <v>14069</v>
      </c>
      <c r="Y4488" s="127"/>
      <c r="Z4488" s="127"/>
      <c r="AA4488" s="127"/>
      <c r="AB4488" s="128"/>
      <c r="AC4488" s="15" t="s">
        <v>20</v>
      </c>
      <c r="AD4488" s="129" t="s">
        <v>1670</v>
      </c>
      <c r="AE4488" s="130"/>
      <c r="AF4488" s="130"/>
      <c r="AG4488" s="130"/>
      <c r="AH4488" s="130"/>
      <c r="AI4488" s="131"/>
      <c r="AJ4488" s="132"/>
      <c r="AK4488" s="127"/>
      <c r="AL4488" s="128"/>
      <c r="AM4488" s="21"/>
      <c r="AN4488" s="133">
        <v>46011</v>
      </c>
      <c r="AO4488" s="134"/>
      <c r="AP4488" s="135">
        <v>1281</v>
      </c>
      <c r="AQ4488" s="136"/>
      <c r="AR4488" s="118">
        <v>1500000</v>
      </c>
      <c r="AS4488" s="119"/>
      <c r="AT4488" s="118">
        <f t="shared" ref="AT4488" si="4945">AR4488*0.1</f>
        <v>150000</v>
      </c>
      <c r="AU4488" s="119"/>
      <c r="AV4488" s="118">
        <v>9810</v>
      </c>
      <c r="AW4488" s="119"/>
      <c r="AX4488" s="118">
        <f t="shared" ref="AX4488" si="4946">SUM(AR4488:AW4488)</f>
        <v>1659810</v>
      </c>
      <c r="AY4488" s="119"/>
      <c r="AZ4488" s="137">
        <v>46016</v>
      </c>
    </row>
    <row r="4489" spans="1:52" ht="17.100000000000001" customHeight="1" thickBot="1">
      <c r="A4489" s="110"/>
      <c r="B4489" s="27" t="s">
        <v>2131</v>
      </c>
      <c r="C4489" s="27">
        <v>32058</v>
      </c>
      <c r="D4489" s="14" t="s">
        <v>2601</v>
      </c>
      <c r="E4489" s="112"/>
      <c r="F4489" s="139" t="s">
        <v>13524</v>
      </c>
      <c r="G4489" s="140"/>
      <c r="H4489" s="141"/>
      <c r="I4489" s="26">
        <v>57686</v>
      </c>
      <c r="J4489" s="117"/>
      <c r="K4489" s="120"/>
      <c r="L4489" s="121"/>
      <c r="M4489" s="120"/>
      <c r="N4489" s="121"/>
      <c r="O4489" s="120"/>
      <c r="P4489" s="121"/>
      <c r="Q4489" s="120"/>
      <c r="R4489" s="121"/>
      <c r="S4489" s="120"/>
      <c r="T4489" s="121"/>
      <c r="U4489" s="120"/>
      <c r="V4489" s="123"/>
      <c r="W4489" s="125"/>
      <c r="X4489" s="142" t="s">
        <v>3731</v>
      </c>
      <c r="Y4489" s="143"/>
      <c r="Z4489" s="143"/>
      <c r="AA4489" s="143"/>
      <c r="AB4489" s="144"/>
      <c r="AC4489" s="16" t="s">
        <v>21</v>
      </c>
      <c r="AD4489" s="17" t="s">
        <v>14041</v>
      </c>
      <c r="AE4489" s="145" t="s">
        <v>14070</v>
      </c>
      <c r="AF4489" s="146"/>
      <c r="AG4489" s="146"/>
      <c r="AH4489" s="146"/>
      <c r="AI4489" s="147"/>
      <c r="AJ4489" s="148"/>
      <c r="AK4489" s="143"/>
      <c r="AL4489" s="144"/>
      <c r="AM4489" s="22"/>
      <c r="AN4489" s="149" t="s">
        <v>2511</v>
      </c>
      <c r="AO4489" s="144"/>
      <c r="AP4489" s="148">
        <v>126</v>
      </c>
      <c r="AQ4489" s="144"/>
      <c r="AR4489" s="120"/>
      <c r="AS4489" s="121"/>
      <c r="AT4489" s="120"/>
      <c r="AU4489" s="121"/>
      <c r="AV4489" s="120"/>
      <c r="AW4489" s="121"/>
      <c r="AX4489" s="120"/>
      <c r="AY4489" s="121"/>
      <c r="AZ4489" s="138"/>
    </row>
    <row r="4490" spans="1:52" ht="17.100000000000001" customHeight="1" thickTop="1">
      <c r="A4490" s="109" t="s">
        <v>13575</v>
      </c>
      <c r="B4490" s="28">
        <v>46007</v>
      </c>
      <c r="C4490" s="25">
        <v>1922</v>
      </c>
      <c r="D4490" s="13" t="s">
        <v>2689</v>
      </c>
      <c r="E4490" s="111"/>
      <c r="F4490" s="113" t="s">
        <v>13525</v>
      </c>
      <c r="G4490" s="114"/>
      <c r="H4490" s="115"/>
      <c r="I4490" s="24"/>
      <c r="J4490" s="116">
        <v>4.5</v>
      </c>
      <c r="K4490" s="118">
        <v>2130000</v>
      </c>
      <c r="L4490" s="119"/>
      <c r="M4490" s="118">
        <f t="shared" ref="M4490" si="4947">K4490*0.1</f>
        <v>213000</v>
      </c>
      <c r="N4490" s="119"/>
      <c r="O4490" s="118">
        <v>0</v>
      </c>
      <c r="P4490" s="119"/>
      <c r="Q4490" s="118">
        <v>21340</v>
      </c>
      <c r="R4490" s="119"/>
      <c r="S4490" s="118">
        <v>19250</v>
      </c>
      <c r="T4490" s="119"/>
      <c r="U4490" s="118">
        <f t="shared" ref="U4490" si="4948">SUM(K4490:T4491)</f>
        <v>2383590</v>
      </c>
      <c r="V4490" s="122"/>
      <c r="W4490" s="124"/>
      <c r="X4490" s="126" t="s">
        <v>14066</v>
      </c>
      <c r="Y4490" s="127"/>
      <c r="Z4490" s="127"/>
      <c r="AA4490" s="127"/>
      <c r="AB4490" s="128"/>
      <c r="AC4490" s="15" t="s">
        <v>20</v>
      </c>
      <c r="AD4490" s="129"/>
      <c r="AE4490" s="130"/>
      <c r="AF4490" s="130"/>
      <c r="AG4490" s="130"/>
      <c r="AH4490" s="130"/>
      <c r="AI4490" s="131"/>
      <c r="AJ4490" s="132"/>
      <c r="AK4490" s="127"/>
      <c r="AL4490" s="128"/>
      <c r="AM4490" s="21"/>
      <c r="AN4490" s="133">
        <v>46011</v>
      </c>
      <c r="AO4490" s="134"/>
      <c r="AP4490" s="135">
        <v>1281</v>
      </c>
      <c r="AQ4490" s="136"/>
      <c r="AR4490" s="118">
        <v>2255000</v>
      </c>
      <c r="AS4490" s="119"/>
      <c r="AT4490" s="118">
        <f t="shared" ref="AT4490" si="4949">AR4490*0.1</f>
        <v>225500</v>
      </c>
      <c r="AU4490" s="119"/>
      <c r="AV4490" s="118">
        <v>21340</v>
      </c>
      <c r="AW4490" s="119"/>
      <c r="AX4490" s="118">
        <f t="shared" ref="AX4490" si="4950">SUM(AR4490:AW4490)</f>
        <v>2501840</v>
      </c>
      <c r="AY4490" s="119"/>
      <c r="AZ4490" s="137">
        <v>46016</v>
      </c>
    </row>
    <row r="4491" spans="1:52" ht="17.100000000000001" customHeight="1" thickBot="1">
      <c r="A4491" s="110"/>
      <c r="B4491" s="27" t="s">
        <v>2131</v>
      </c>
      <c r="C4491" s="27">
        <v>32090</v>
      </c>
      <c r="D4491" s="14" t="s">
        <v>1576</v>
      </c>
      <c r="E4491" s="112"/>
      <c r="F4491" s="139" t="s">
        <v>13526</v>
      </c>
      <c r="G4491" s="140"/>
      <c r="H4491" s="141"/>
      <c r="I4491" s="26">
        <v>11552</v>
      </c>
      <c r="J4491" s="117"/>
      <c r="K4491" s="120"/>
      <c r="L4491" s="121"/>
      <c r="M4491" s="120"/>
      <c r="N4491" s="121"/>
      <c r="O4491" s="120"/>
      <c r="P4491" s="121"/>
      <c r="Q4491" s="120"/>
      <c r="R4491" s="121"/>
      <c r="S4491" s="120"/>
      <c r="T4491" s="121"/>
      <c r="U4491" s="120"/>
      <c r="V4491" s="123"/>
      <c r="W4491" s="125"/>
      <c r="X4491" s="142" t="s">
        <v>3390</v>
      </c>
      <c r="Y4491" s="143"/>
      <c r="Z4491" s="143"/>
      <c r="AA4491" s="143"/>
      <c r="AB4491" s="144"/>
      <c r="AC4491" s="16" t="s">
        <v>21</v>
      </c>
      <c r="AD4491" s="17" t="s">
        <v>14041</v>
      </c>
      <c r="AE4491" s="145"/>
      <c r="AF4491" s="146"/>
      <c r="AG4491" s="146"/>
      <c r="AH4491" s="146"/>
      <c r="AI4491" s="147"/>
      <c r="AJ4491" s="148"/>
      <c r="AK4491" s="143"/>
      <c r="AL4491" s="144"/>
      <c r="AM4491" s="22"/>
      <c r="AN4491" s="149" t="s">
        <v>2511</v>
      </c>
      <c r="AO4491" s="144"/>
      <c r="AP4491" s="148">
        <v>80418</v>
      </c>
      <c r="AQ4491" s="144"/>
      <c r="AR4491" s="120"/>
      <c r="AS4491" s="121"/>
      <c r="AT4491" s="120"/>
      <c r="AU4491" s="121"/>
      <c r="AV4491" s="120"/>
      <c r="AW4491" s="121"/>
      <c r="AX4491" s="120"/>
      <c r="AY4491" s="121"/>
      <c r="AZ4491" s="138"/>
    </row>
    <row r="4492" spans="1:52" ht="17.100000000000001" customHeight="1" thickTop="1">
      <c r="A4492" s="109" t="s">
        <v>13576</v>
      </c>
      <c r="B4492" s="28">
        <v>46007</v>
      </c>
      <c r="C4492" s="25">
        <v>1922</v>
      </c>
      <c r="D4492" s="13" t="s">
        <v>2187</v>
      </c>
      <c r="E4492" s="111"/>
      <c r="F4492" s="113" t="s">
        <v>9187</v>
      </c>
      <c r="G4492" s="114"/>
      <c r="H4492" s="115"/>
      <c r="I4492" s="24"/>
      <c r="J4492" s="116">
        <v>3.5</v>
      </c>
      <c r="K4492" s="118">
        <v>572000</v>
      </c>
      <c r="L4492" s="119"/>
      <c r="M4492" s="118">
        <f t="shared" ref="M4492" si="4951">K4492*0.1</f>
        <v>57200</v>
      </c>
      <c r="N4492" s="119"/>
      <c r="O4492" s="118">
        <v>0</v>
      </c>
      <c r="P4492" s="119"/>
      <c r="Q4492" s="118">
        <v>8740</v>
      </c>
      <c r="R4492" s="119"/>
      <c r="S4492" s="118">
        <v>15950</v>
      </c>
      <c r="T4492" s="119"/>
      <c r="U4492" s="118">
        <f t="shared" ref="U4492" si="4952">SUM(K4492:T4493)</f>
        <v>653890</v>
      </c>
      <c r="V4492" s="122"/>
      <c r="W4492" s="124"/>
      <c r="X4492" s="126" t="s">
        <v>14068</v>
      </c>
      <c r="Y4492" s="127"/>
      <c r="Z4492" s="127"/>
      <c r="AA4492" s="127"/>
      <c r="AB4492" s="128"/>
      <c r="AC4492" s="15" t="s">
        <v>20</v>
      </c>
      <c r="AD4492" s="129"/>
      <c r="AE4492" s="130"/>
      <c r="AF4492" s="130"/>
      <c r="AG4492" s="130"/>
      <c r="AH4492" s="130"/>
      <c r="AI4492" s="131"/>
      <c r="AJ4492" s="132"/>
      <c r="AK4492" s="127"/>
      <c r="AL4492" s="128"/>
      <c r="AM4492" s="21"/>
      <c r="AN4492" s="133">
        <v>46011</v>
      </c>
      <c r="AO4492" s="134"/>
      <c r="AP4492" s="135">
        <v>1281</v>
      </c>
      <c r="AQ4492" s="136"/>
      <c r="AR4492" s="118">
        <v>720000</v>
      </c>
      <c r="AS4492" s="119"/>
      <c r="AT4492" s="118">
        <f t="shared" ref="AT4492" si="4953">AR4492*0.1</f>
        <v>72000</v>
      </c>
      <c r="AU4492" s="119"/>
      <c r="AV4492" s="118">
        <v>8740</v>
      </c>
      <c r="AW4492" s="119"/>
      <c r="AX4492" s="118">
        <f t="shared" ref="AX4492" si="4954">SUM(AR4492:AW4492)</f>
        <v>800740</v>
      </c>
      <c r="AY4492" s="119"/>
      <c r="AZ4492" s="137">
        <v>46016</v>
      </c>
    </row>
    <row r="4493" spans="1:52" ht="17.100000000000001" customHeight="1" thickBot="1">
      <c r="A4493" s="110"/>
      <c r="B4493" s="27" t="s">
        <v>2131</v>
      </c>
      <c r="C4493" s="27">
        <v>70044</v>
      </c>
      <c r="D4493" s="14" t="s">
        <v>275</v>
      </c>
      <c r="E4493" s="112"/>
      <c r="F4493" s="139" t="s">
        <v>13546</v>
      </c>
      <c r="G4493" s="140"/>
      <c r="H4493" s="141"/>
      <c r="I4493" s="26">
        <v>59932</v>
      </c>
      <c r="J4493" s="117"/>
      <c r="K4493" s="120"/>
      <c r="L4493" s="121"/>
      <c r="M4493" s="120"/>
      <c r="N4493" s="121"/>
      <c r="O4493" s="120"/>
      <c r="P4493" s="121"/>
      <c r="Q4493" s="120"/>
      <c r="R4493" s="121"/>
      <c r="S4493" s="120"/>
      <c r="T4493" s="121"/>
      <c r="U4493" s="120"/>
      <c r="V4493" s="123"/>
      <c r="W4493" s="125"/>
      <c r="X4493" s="142" t="s">
        <v>5250</v>
      </c>
      <c r="Y4493" s="143"/>
      <c r="Z4493" s="143"/>
      <c r="AA4493" s="143"/>
      <c r="AB4493" s="144"/>
      <c r="AC4493" s="16" t="s">
        <v>21</v>
      </c>
      <c r="AD4493" s="17" t="s">
        <v>14041</v>
      </c>
      <c r="AE4493" s="145" t="s">
        <v>11026</v>
      </c>
      <c r="AF4493" s="146"/>
      <c r="AG4493" s="146"/>
      <c r="AH4493" s="146"/>
      <c r="AI4493" s="147"/>
      <c r="AJ4493" s="148"/>
      <c r="AK4493" s="143"/>
      <c r="AL4493" s="144"/>
      <c r="AM4493" s="22"/>
      <c r="AN4493" s="149" t="s">
        <v>2511</v>
      </c>
      <c r="AO4493" s="144"/>
      <c r="AP4493" s="148">
        <v>60445</v>
      </c>
      <c r="AQ4493" s="144"/>
      <c r="AR4493" s="120"/>
      <c r="AS4493" s="121"/>
      <c r="AT4493" s="120"/>
      <c r="AU4493" s="121"/>
      <c r="AV4493" s="120"/>
      <c r="AW4493" s="121"/>
      <c r="AX4493" s="120"/>
      <c r="AY4493" s="121"/>
      <c r="AZ4493" s="138"/>
    </row>
    <row r="4494" spans="1:52" ht="17.100000000000001" customHeight="1" thickTop="1">
      <c r="A4494" s="109" t="s">
        <v>13577</v>
      </c>
      <c r="B4494" s="28">
        <v>46007</v>
      </c>
      <c r="C4494" s="25">
        <v>1922</v>
      </c>
      <c r="D4494" s="13" t="s">
        <v>2036</v>
      </c>
      <c r="E4494" s="111"/>
      <c r="F4494" s="113" t="s">
        <v>9530</v>
      </c>
      <c r="G4494" s="114"/>
      <c r="H4494" s="115"/>
      <c r="I4494" s="24"/>
      <c r="J4494" s="116">
        <v>4.5</v>
      </c>
      <c r="K4494" s="118">
        <v>1382000</v>
      </c>
      <c r="L4494" s="119"/>
      <c r="M4494" s="118">
        <f t="shared" ref="M4494" si="4955">K4494*0.1</f>
        <v>138200</v>
      </c>
      <c r="N4494" s="119"/>
      <c r="O4494" s="118">
        <v>0</v>
      </c>
      <c r="P4494" s="119"/>
      <c r="Q4494" s="118">
        <v>8630</v>
      </c>
      <c r="R4494" s="119"/>
      <c r="S4494" s="118">
        <v>15950</v>
      </c>
      <c r="T4494" s="119"/>
      <c r="U4494" s="118">
        <f t="shared" ref="U4494" si="4956">SUM(K4494:T4495)</f>
        <v>1544780</v>
      </c>
      <c r="V4494" s="122"/>
      <c r="W4494" s="124"/>
      <c r="X4494" s="126" t="s">
        <v>14056</v>
      </c>
      <c r="Y4494" s="127"/>
      <c r="Z4494" s="127"/>
      <c r="AA4494" s="127"/>
      <c r="AB4494" s="128"/>
      <c r="AC4494" s="15" t="s">
        <v>20</v>
      </c>
      <c r="AD4494" s="129"/>
      <c r="AE4494" s="130"/>
      <c r="AF4494" s="130"/>
      <c r="AG4494" s="130"/>
      <c r="AH4494" s="130"/>
      <c r="AI4494" s="131"/>
      <c r="AJ4494" s="132"/>
      <c r="AK4494" s="127"/>
      <c r="AL4494" s="128"/>
      <c r="AM4494" s="21"/>
      <c r="AN4494" s="133">
        <v>46050</v>
      </c>
      <c r="AO4494" s="134"/>
      <c r="AP4494" s="135">
        <v>1002</v>
      </c>
      <c r="AQ4494" s="136"/>
      <c r="AR4494" s="118">
        <v>1450000</v>
      </c>
      <c r="AS4494" s="119"/>
      <c r="AT4494" s="118">
        <f t="shared" ref="AT4494" si="4957">AR4494*0.1</f>
        <v>145000</v>
      </c>
      <c r="AU4494" s="119"/>
      <c r="AV4494" s="118">
        <v>8630</v>
      </c>
      <c r="AW4494" s="119"/>
      <c r="AX4494" s="118">
        <f t="shared" ref="AX4494" si="4958">SUM(AR4494:AW4494)</f>
        <v>1603630</v>
      </c>
      <c r="AY4494" s="119"/>
      <c r="AZ4494" s="137">
        <v>46056</v>
      </c>
    </row>
    <row r="4495" spans="1:52" ht="17.100000000000001" customHeight="1" thickBot="1">
      <c r="A4495" s="110"/>
      <c r="B4495" s="27" t="s">
        <v>2131</v>
      </c>
      <c r="C4495" s="27">
        <v>70072</v>
      </c>
      <c r="D4495" s="14" t="s">
        <v>275</v>
      </c>
      <c r="E4495" s="112"/>
      <c r="F4495" s="139" t="s">
        <v>13969</v>
      </c>
      <c r="G4495" s="140"/>
      <c r="H4495" s="141"/>
      <c r="I4495" s="26">
        <v>48466</v>
      </c>
      <c r="J4495" s="117"/>
      <c r="K4495" s="120"/>
      <c r="L4495" s="121"/>
      <c r="M4495" s="120"/>
      <c r="N4495" s="121"/>
      <c r="O4495" s="120"/>
      <c r="P4495" s="121"/>
      <c r="Q4495" s="120"/>
      <c r="R4495" s="121"/>
      <c r="S4495" s="120"/>
      <c r="T4495" s="121"/>
      <c r="U4495" s="120"/>
      <c r="V4495" s="123"/>
      <c r="W4495" s="125"/>
      <c r="X4495" s="142" t="s">
        <v>5000</v>
      </c>
      <c r="Y4495" s="143"/>
      <c r="Z4495" s="143"/>
      <c r="AA4495" s="143"/>
      <c r="AB4495" s="144"/>
      <c r="AC4495" s="16" t="s">
        <v>21</v>
      </c>
      <c r="AD4495" s="17" t="s">
        <v>14041</v>
      </c>
      <c r="AE4495" s="145" t="s">
        <v>2195</v>
      </c>
      <c r="AF4495" s="146"/>
      <c r="AG4495" s="146"/>
      <c r="AH4495" s="146"/>
      <c r="AI4495" s="147"/>
      <c r="AJ4495" s="148"/>
      <c r="AK4495" s="143"/>
      <c r="AL4495" s="144"/>
      <c r="AM4495" s="22"/>
      <c r="AN4495" s="149" t="s">
        <v>8809</v>
      </c>
      <c r="AO4495" s="144"/>
      <c r="AP4495" s="148">
        <v>5158</v>
      </c>
      <c r="AQ4495" s="144"/>
      <c r="AR4495" s="120"/>
      <c r="AS4495" s="121"/>
      <c r="AT4495" s="120"/>
      <c r="AU4495" s="121"/>
      <c r="AV4495" s="120"/>
      <c r="AW4495" s="121"/>
      <c r="AX4495" s="120"/>
      <c r="AY4495" s="121"/>
      <c r="AZ4495" s="138"/>
    </row>
    <row r="4496" spans="1:52" ht="17.100000000000001" customHeight="1" thickTop="1">
      <c r="A4496" s="151" t="s">
        <v>13578</v>
      </c>
      <c r="B4496" s="28">
        <v>46007</v>
      </c>
      <c r="C4496" s="25">
        <v>800</v>
      </c>
      <c r="D4496" s="13" t="s">
        <v>1597</v>
      </c>
      <c r="E4496" s="111"/>
      <c r="F4496" s="113" t="s">
        <v>13558</v>
      </c>
      <c r="G4496" s="114"/>
      <c r="H4496" s="115"/>
      <c r="I4496" s="24"/>
      <c r="J4496" s="116">
        <v>4.5</v>
      </c>
      <c r="K4496" s="118">
        <v>859000</v>
      </c>
      <c r="L4496" s="119"/>
      <c r="M4496" s="118">
        <f t="shared" ref="M4496" si="4959">K4496*0.1</f>
        <v>85900</v>
      </c>
      <c r="N4496" s="119"/>
      <c r="O4496" s="118">
        <v>0</v>
      </c>
      <c r="P4496" s="119"/>
      <c r="Q4496" s="118">
        <v>9140</v>
      </c>
      <c r="R4496" s="119"/>
      <c r="S4496" s="118">
        <v>15950</v>
      </c>
      <c r="T4496" s="119"/>
      <c r="U4496" s="118">
        <f t="shared" ref="U4496" si="4960">SUM(K4496:T4497)</f>
        <v>969990</v>
      </c>
      <c r="V4496" s="122"/>
      <c r="W4496" s="124"/>
      <c r="X4496" s="126" t="s">
        <v>14237</v>
      </c>
      <c r="Y4496" s="127"/>
      <c r="Z4496" s="127"/>
      <c r="AA4496" s="127"/>
      <c r="AB4496" s="128"/>
      <c r="AC4496" s="15" t="s">
        <v>20</v>
      </c>
      <c r="AD4496" s="129" t="s">
        <v>9018</v>
      </c>
      <c r="AE4496" s="130"/>
      <c r="AF4496" s="130"/>
      <c r="AG4496" s="130"/>
      <c r="AH4496" s="130"/>
      <c r="AI4496" s="131"/>
      <c r="AJ4496" s="132"/>
      <c r="AK4496" s="127"/>
      <c r="AL4496" s="128"/>
      <c r="AM4496" s="21"/>
      <c r="AN4496" s="133">
        <v>46039</v>
      </c>
      <c r="AO4496" s="134"/>
      <c r="AP4496" s="135">
        <v>1284</v>
      </c>
      <c r="AQ4496" s="136"/>
      <c r="AR4496" s="118">
        <v>955000</v>
      </c>
      <c r="AS4496" s="119"/>
      <c r="AT4496" s="118">
        <f t="shared" ref="AT4496" si="4961">AR4496*0.1</f>
        <v>95500</v>
      </c>
      <c r="AU4496" s="119"/>
      <c r="AV4496" s="118">
        <v>9140</v>
      </c>
      <c r="AW4496" s="119"/>
      <c r="AX4496" s="118">
        <f t="shared" ref="AX4496" si="4962">SUM(AR4496:AW4496)</f>
        <v>1059640</v>
      </c>
      <c r="AY4496" s="119"/>
      <c r="AZ4496" s="137">
        <v>46042</v>
      </c>
    </row>
    <row r="4497" spans="1:52" ht="17.100000000000001" customHeight="1" thickBot="1">
      <c r="A4497" s="152"/>
      <c r="B4497" s="27" t="s">
        <v>3367</v>
      </c>
      <c r="C4497" s="27">
        <v>3018</v>
      </c>
      <c r="D4497" s="14" t="s">
        <v>2601</v>
      </c>
      <c r="E4497" s="112"/>
      <c r="F4497" s="139" t="s">
        <v>13559</v>
      </c>
      <c r="G4497" s="140"/>
      <c r="H4497" s="141"/>
      <c r="I4497" s="26">
        <v>59282</v>
      </c>
      <c r="J4497" s="117"/>
      <c r="K4497" s="120"/>
      <c r="L4497" s="121"/>
      <c r="M4497" s="120"/>
      <c r="N4497" s="121"/>
      <c r="O4497" s="120"/>
      <c r="P4497" s="121"/>
      <c r="Q4497" s="120"/>
      <c r="R4497" s="121"/>
      <c r="S4497" s="120"/>
      <c r="T4497" s="121"/>
      <c r="U4497" s="120"/>
      <c r="V4497" s="123"/>
      <c r="W4497" s="125"/>
      <c r="X4497" s="142" t="s">
        <v>14238</v>
      </c>
      <c r="Y4497" s="143"/>
      <c r="Z4497" s="143"/>
      <c r="AA4497" s="143"/>
      <c r="AB4497" s="144"/>
      <c r="AC4497" s="16" t="s">
        <v>21</v>
      </c>
      <c r="AD4497" s="17" t="s">
        <v>14134</v>
      </c>
      <c r="AE4497" s="145" t="s">
        <v>14239</v>
      </c>
      <c r="AF4497" s="146"/>
      <c r="AG4497" s="146"/>
      <c r="AH4497" s="146"/>
      <c r="AI4497" s="147"/>
      <c r="AJ4497" s="148"/>
      <c r="AK4497" s="143"/>
      <c r="AL4497" s="144"/>
      <c r="AM4497" s="22"/>
      <c r="AN4497" s="149" t="s">
        <v>2511</v>
      </c>
      <c r="AO4497" s="144"/>
      <c r="AP4497" s="148">
        <v>60067</v>
      </c>
      <c r="AQ4497" s="144"/>
      <c r="AR4497" s="120"/>
      <c r="AS4497" s="121"/>
      <c r="AT4497" s="120"/>
      <c r="AU4497" s="121"/>
      <c r="AV4497" s="120"/>
      <c r="AW4497" s="121"/>
      <c r="AX4497" s="120"/>
      <c r="AY4497" s="121"/>
      <c r="AZ4497" s="138"/>
    </row>
    <row r="4498" spans="1:52" ht="17.100000000000001" customHeight="1" thickTop="1">
      <c r="A4498" s="151" t="s">
        <v>13579</v>
      </c>
      <c r="B4498" s="28">
        <v>46007</v>
      </c>
      <c r="C4498" s="25">
        <v>800</v>
      </c>
      <c r="D4498" s="13" t="s">
        <v>2949</v>
      </c>
      <c r="E4498" s="111"/>
      <c r="F4498" s="113" t="s">
        <v>13157</v>
      </c>
      <c r="G4498" s="114"/>
      <c r="H4498" s="115"/>
      <c r="I4498" s="24" t="s">
        <v>2919</v>
      </c>
      <c r="J4498" s="116">
        <v>4</v>
      </c>
      <c r="K4498" s="118">
        <v>430000</v>
      </c>
      <c r="L4498" s="119"/>
      <c r="M4498" s="118">
        <f t="shared" ref="M4498" si="4963">K4498*0.1</f>
        <v>43000</v>
      </c>
      <c r="N4498" s="119"/>
      <c r="O4498" s="118">
        <v>0</v>
      </c>
      <c r="P4498" s="119"/>
      <c r="Q4498" s="118">
        <v>7140</v>
      </c>
      <c r="R4498" s="119"/>
      <c r="S4498" s="118">
        <v>15950</v>
      </c>
      <c r="T4498" s="119"/>
      <c r="U4498" s="118">
        <f t="shared" ref="U4498" si="4964">SUM(K4498:T4499)</f>
        <v>496090</v>
      </c>
      <c r="V4498" s="122"/>
      <c r="W4498" s="124"/>
      <c r="X4498" s="126" t="s">
        <v>13561</v>
      </c>
      <c r="Y4498" s="127"/>
      <c r="Z4498" s="127"/>
      <c r="AA4498" s="127"/>
      <c r="AB4498" s="128"/>
      <c r="AC4498" s="15" t="s">
        <v>20</v>
      </c>
      <c r="AD4498" s="129" t="s">
        <v>171</v>
      </c>
      <c r="AE4498" s="130"/>
      <c r="AF4498" s="130"/>
      <c r="AG4498" s="130"/>
      <c r="AH4498" s="130"/>
      <c r="AI4498" s="131"/>
      <c r="AJ4498" s="132"/>
      <c r="AK4498" s="127"/>
      <c r="AL4498" s="128"/>
      <c r="AM4498" s="21" t="s">
        <v>15361</v>
      </c>
      <c r="AN4498" s="133">
        <v>46039</v>
      </c>
      <c r="AO4498" s="134"/>
      <c r="AP4498" s="135">
        <v>1284</v>
      </c>
      <c r="AQ4498" s="136"/>
      <c r="AR4498" s="118">
        <v>490000</v>
      </c>
      <c r="AS4498" s="119"/>
      <c r="AT4498" s="118">
        <f t="shared" ref="AT4498" si="4965">AR4498*0.1</f>
        <v>49000</v>
      </c>
      <c r="AU4498" s="119"/>
      <c r="AV4498" s="118">
        <v>7140</v>
      </c>
      <c r="AW4498" s="119"/>
      <c r="AX4498" s="118">
        <f t="shared" ref="AX4498" si="4966">SUM(AR4498:AW4498)</f>
        <v>546140</v>
      </c>
      <c r="AY4498" s="119"/>
      <c r="AZ4498" s="137">
        <v>46043</v>
      </c>
    </row>
    <row r="4499" spans="1:52" ht="17.100000000000001" customHeight="1" thickBot="1">
      <c r="A4499" s="152"/>
      <c r="B4499" s="27" t="s">
        <v>3367</v>
      </c>
      <c r="C4499" s="27">
        <v>3082</v>
      </c>
      <c r="D4499" s="14" t="s">
        <v>1576</v>
      </c>
      <c r="E4499" s="112"/>
      <c r="F4499" s="139" t="s">
        <v>13560</v>
      </c>
      <c r="G4499" s="140"/>
      <c r="H4499" s="141"/>
      <c r="I4499" s="26">
        <v>43265</v>
      </c>
      <c r="J4499" s="117"/>
      <c r="K4499" s="120"/>
      <c r="L4499" s="121"/>
      <c r="M4499" s="120"/>
      <c r="N4499" s="121"/>
      <c r="O4499" s="120"/>
      <c r="P4499" s="121"/>
      <c r="Q4499" s="120"/>
      <c r="R4499" s="121"/>
      <c r="S4499" s="120"/>
      <c r="T4499" s="121"/>
      <c r="U4499" s="120"/>
      <c r="V4499" s="123"/>
      <c r="W4499" s="125"/>
      <c r="X4499" s="142" t="s">
        <v>14062</v>
      </c>
      <c r="Y4499" s="143"/>
      <c r="Z4499" s="143"/>
      <c r="AA4499" s="143"/>
      <c r="AB4499" s="144"/>
      <c r="AC4499" s="16" t="s">
        <v>21</v>
      </c>
      <c r="AD4499" s="17" t="s">
        <v>14041</v>
      </c>
      <c r="AE4499" s="145" t="s">
        <v>171</v>
      </c>
      <c r="AF4499" s="146"/>
      <c r="AG4499" s="146"/>
      <c r="AH4499" s="146"/>
      <c r="AI4499" s="147"/>
      <c r="AJ4499" s="148"/>
      <c r="AK4499" s="143"/>
      <c r="AL4499" s="144"/>
      <c r="AM4499" s="22"/>
      <c r="AN4499" s="149" t="s">
        <v>2511</v>
      </c>
      <c r="AO4499" s="144"/>
      <c r="AP4499" s="148">
        <v>60125</v>
      </c>
      <c r="AQ4499" s="144"/>
      <c r="AR4499" s="120"/>
      <c r="AS4499" s="121"/>
      <c r="AT4499" s="120"/>
      <c r="AU4499" s="121"/>
      <c r="AV4499" s="120"/>
      <c r="AW4499" s="121"/>
      <c r="AX4499" s="120"/>
      <c r="AY4499" s="121"/>
      <c r="AZ4499" s="138"/>
    </row>
    <row r="4500" spans="1:52" ht="17.100000000000001" customHeight="1" thickTop="1">
      <c r="A4500" s="109" t="s">
        <v>13580</v>
      </c>
      <c r="B4500" s="28">
        <v>46007</v>
      </c>
      <c r="C4500" s="25">
        <v>800</v>
      </c>
      <c r="D4500" s="13" t="s">
        <v>2442</v>
      </c>
      <c r="E4500" s="111"/>
      <c r="F4500" s="113" t="s">
        <v>5369</v>
      </c>
      <c r="G4500" s="114"/>
      <c r="H4500" s="115"/>
      <c r="I4500" s="24"/>
      <c r="J4500" s="116">
        <v>4</v>
      </c>
      <c r="K4500" s="118">
        <v>428000</v>
      </c>
      <c r="L4500" s="119"/>
      <c r="M4500" s="118">
        <f t="shared" ref="M4500" si="4967">K4500*0.1</f>
        <v>42800</v>
      </c>
      <c r="N4500" s="119"/>
      <c r="O4500" s="118">
        <v>0</v>
      </c>
      <c r="P4500" s="119"/>
      <c r="Q4500" s="118">
        <v>8850</v>
      </c>
      <c r="R4500" s="119"/>
      <c r="S4500" s="118">
        <v>15950</v>
      </c>
      <c r="T4500" s="119"/>
      <c r="U4500" s="118">
        <f t="shared" ref="U4500" si="4968">SUM(K4500:T4501)</f>
        <v>495600</v>
      </c>
      <c r="V4500" s="122"/>
      <c r="W4500" s="124"/>
      <c r="X4500" s="126" t="s">
        <v>14057</v>
      </c>
      <c r="Y4500" s="127"/>
      <c r="Z4500" s="127"/>
      <c r="AA4500" s="127"/>
      <c r="AB4500" s="128"/>
      <c r="AC4500" s="15" t="s">
        <v>20</v>
      </c>
      <c r="AD4500" s="129"/>
      <c r="AE4500" s="130"/>
      <c r="AF4500" s="130"/>
      <c r="AG4500" s="130"/>
      <c r="AH4500" s="130"/>
      <c r="AI4500" s="131"/>
      <c r="AJ4500" s="132"/>
      <c r="AK4500" s="127"/>
      <c r="AL4500" s="128"/>
      <c r="AM4500" s="21"/>
      <c r="AN4500" s="133">
        <v>46018</v>
      </c>
      <c r="AO4500" s="134"/>
      <c r="AP4500" s="135">
        <v>1282</v>
      </c>
      <c r="AQ4500" s="136"/>
      <c r="AR4500" s="118">
        <v>480000</v>
      </c>
      <c r="AS4500" s="119"/>
      <c r="AT4500" s="118">
        <f t="shared" ref="AT4500" si="4969">AR4500*0.1</f>
        <v>48000</v>
      </c>
      <c r="AU4500" s="119"/>
      <c r="AV4500" s="118">
        <v>8850</v>
      </c>
      <c r="AW4500" s="119"/>
      <c r="AX4500" s="118">
        <f t="shared" ref="AX4500" si="4970">SUM(AR4500:AW4500)</f>
        <v>536850</v>
      </c>
      <c r="AY4500" s="119"/>
      <c r="AZ4500" s="137">
        <v>46028</v>
      </c>
    </row>
    <row r="4501" spans="1:52" ht="17.100000000000001" customHeight="1" thickBot="1">
      <c r="A4501" s="110"/>
      <c r="B4501" s="27" t="s">
        <v>3367</v>
      </c>
      <c r="C4501" s="27">
        <v>3088</v>
      </c>
      <c r="D4501" s="14" t="s">
        <v>275</v>
      </c>
      <c r="E4501" s="112"/>
      <c r="F4501" s="139" t="s">
        <v>13562</v>
      </c>
      <c r="G4501" s="140"/>
      <c r="H4501" s="141"/>
      <c r="I4501" s="26">
        <v>49604</v>
      </c>
      <c r="J4501" s="117"/>
      <c r="K4501" s="120"/>
      <c r="L4501" s="121"/>
      <c r="M4501" s="120"/>
      <c r="N4501" s="121"/>
      <c r="O4501" s="120"/>
      <c r="P4501" s="121"/>
      <c r="Q4501" s="120"/>
      <c r="R4501" s="121"/>
      <c r="S4501" s="120"/>
      <c r="T4501" s="121"/>
      <c r="U4501" s="120"/>
      <c r="V4501" s="123"/>
      <c r="W4501" s="125"/>
      <c r="X4501" s="142" t="s">
        <v>8531</v>
      </c>
      <c r="Y4501" s="143"/>
      <c r="Z4501" s="143"/>
      <c r="AA4501" s="143"/>
      <c r="AB4501" s="144"/>
      <c r="AC4501" s="16" t="s">
        <v>21</v>
      </c>
      <c r="AD4501" s="17" t="s">
        <v>14041</v>
      </c>
      <c r="AE4501" s="145" t="s">
        <v>12126</v>
      </c>
      <c r="AF4501" s="146"/>
      <c r="AG4501" s="146"/>
      <c r="AH4501" s="146"/>
      <c r="AI4501" s="147"/>
      <c r="AJ4501" s="148"/>
      <c r="AK4501" s="143"/>
      <c r="AL4501" s="144"/>
      <c r="AM4501" s="22"/>
      <c r="AN4501" s="149" t="s">
        <v>2511</v>
      </c>
      <c r="AO4501" s="144"/>
      <c r="AP4501" s="148">
        <v>60025</v>
      </c>
      <c r="AQ4501" s="144"/>
      <c r="AR4501" s="120"/>
      <c r="AS4501" s="121"/>
      <c r="AT4501" s="120"/>
      <c r="AU4501" s="121"/>
      <c r="AV4501" s="120"/>
      <c r="AW4501" s="121"/>
      <c r="AX4501" s="120"/>
      <c r="AY4501" s="121"/>
      <c r="AZ4501" s="138"/>
    </row>
    <row r="4502" spans="1:52" ht="17.100000000000001" customHeight="1" thickTop="1">
      <c r="A4502" s="109" t="s">
        <v>13581</v>
      </c>
      <c r="B4502" s="28">
        <v>46007</v>
      </c>
      <c r="C4502" s="25">
        <v>800</v>
      </c>
      <c r="D4502" s="13" t="s">
        <v>3832</v>
      </c>
      <c r="E4502" s="111"/>
      <c r="F4502" s="113" t="s">
        <v>6960</v>
      </c>
      <c r="G4502" s="114"/>
      <c r="H4502" s="115"/>
      <c r="I4502" s="24"/>
      <c r="J4502" s="116">
        <v>5</v>
      </c>
      <c r="K4502" s="118">
        <v>1327000</v>
      </c>
      <c r="L4502" s="119"/>
      <c r="M4502" s="118">
        <f t="shared" ref="M4502" si="4971">K4502*0.1</f>
        <v>132700</v>
      </c>
      <c r="N4502" s="119"/>
      <c r="O4502" s="118">
        <v>0</v>
      </c>
      <c r="P4502" s="119"/>
      <c r="Q4502" s="118">
        <v>7040</v>
      </c>
      <c r="R4502" s="119"/>
      <c r="S4502" s="118">
        <v>15950</v>
      </c>
      <c r="T4502" s="119"/>
      <c r="U4502" s="118">
        <f t="shared" ref="U4502" si="4972">SUM(K4502:T4503)</f>
        <v>1482690</v>
      </c>
      <c r="V4502" s="122"/>
      <c r="W4502" s="124"/>
      <c r="X4502" s="126" t="s">
        <v>14058</v>
      </c>
      <c r="Y4502" s="127"/>
      <c r="Z4502" s="127"/>
      <c r="AA4502" s="127"/>
      <c r="AB4502" s="128"/>
      <c r="AC4502" s="15" t="s">
        <v>20</v>
      </c>
      <c r="AD4502" s="129" t="s">
        <v>171</v>
      </c>
      <c r="AE4502" s="130"/>
      <c r="AF4502" s="130"/>
      <c r="AG4502" s="130"/>
      <c r="AH4502" s="130"/>
      <c r="AI4502" s="131"/>
      <c r="AJ4502" s="132"/>
      <c r="AK4502" s="127"/>
      <c r="AL4502" s="128"/>
      <c r="AM4502" s="21"/>
      <c r="AN4502" s="133">
        <v>46018</v>
      </c>
      <c r="AO4502" s="134"/>
      <c r="AP4502" s="135">
        <v>1282</v>
      </c>
      <c r="AQ4502" s="136"/>
      <c r="AR4502" s="118">
        <v>1415000</v>
      </c>
      <c r="AS4502" s="119"/>
      <c r="AT4502" s="118">
        <f t="shared" ref="AT4502" si="4973">AR4502*0.1</f>
        <v>141500</v>
      </c>
      <c r="AU4502" s="119"/>
      <c r="AV4502" s="118">
        <v>7040</v>
      </c>
      <c r="AW4502" s="119"/>
      <c r="AX4502" s="118">
        <f t="shared" ref="AX4502" si="4974">SUM(AR4502:AW4502)</f>
        <v>1563540</v>
      </c>
      <c r="AY4502" s="119"/>
      <c r="AZ4502" s="137">
        <v>46028</v>
      </c>
    </row>
    <row r="4503" spans="1:52" ht="17.100000000000001" customHeight="1" thickBot="1">
      <c r="A4503" s="110"/>
      <c r="B4503" s="27" t="s">
        <v>3367</v>
      </c>
      <c r="C4503" s="27">
        <v>3110</v>
      </c>
      <c r="D4503" s="14" t="s">
        <v>2206</v>
      </c>
      <c r="E4503" s="112"/>
      <c r="F4503" s="139" t="s">
        <v>13563</v>
      </c>
      <c r="G4503" s="140"/>
      <c r="H4503" s="141"/>
      <c r="I4503" s="26">
        <v>230</v>
      </c>
      <c r="J4503" s="117"/>
      <c r="K4503" s="120"/>
      <c r="L4503" s="121"/>
      <c r="M4503" s="120"/>
      <c r="N4503" s="121"/>
      <c r="O4503" s="120"/>
      <c r="P4503" s="121"/>
      <c r="Q4503" s="120"/>
      <c r="R4503" s="121"/>
      <c r="S4503" s="120"/>
      <c r="T4503" s="121"/>
      <c r="U4503" s="120"/>
      <c r="V4503" s="123"/>
      <c r="W4503" s="125"/>
      <c r="X4503" s="142" t="s">
        <v>14059</v>
      </c>
      <c r="Y4503" s="143"/>
      <c r="Z4503" s="143"/>
      <c r="AA4503" s="143"/>
      <c r="AB4503" s="144"/>
      <c r="AC4503" s="16" t="s">
        <v>21</v>
      </c>
      <c r="AD4503" s="17" t="s">
        <v>14041</v>
      </c>
      <c r="AE4503" s="145" t="s">
        <v>3609</v>
      </c>
      <c r="AF4503" s="146"/>
      <c r="AG4503" s="146"/>
      <c r="AH4503" s="146"/>
      <c r="AI4503" s="147"/>
      <c r="AJ4503" s="148"/>
      <c r="AK4503" s="143"/>
      <c r="AL4503" s="144"/>
      <c r="AM4503" s="22"/>
      <c r="AN4503" s="149" t="s">
        <v>2511</v>
      </c>
      <c r="AO4503" s="144"/>
      <c r="AP4503" s="148">
        <v>60203</v>
      </c>
      <c r="AQ4503" s="144"/>
      <c r="AR4503" s="120"/>
      <c r="AS4503" s="121"/>
      <c r="AT4503" s="120"/>
      <c r="AU4503" s="121"/>
      <c r="AV4503" s="120"/>
      <c r="AW4503" s="121"/>
      <c r="AX4503" s="120"/>
      <c r="AY4503" s="121"/>
      <c r="AZ4503" s="138"/>
    </row>
    <row r="4504" spans="1:52" ht="17.100000000000001" customHeight="1" thickTop="1">
      <c r="A4504" s="109" t="s">
        <v>13582</v>
      </c>
      <c r="B4504" s="28">
        <v>46007</v>
      </c>
      <c r="C4504" s="25">
        <v>800</v>
      </c>
      <c r="D4504" s="13" t="s">
        <v>2654</v>
      </c>
      <c r="E4504" s="111"/>
      <c r="F4504" s="113" t="s">
        <v>13564</v>
      </c>
      <c r="G4504" s="114"/>
      <c r="H4504" s="115"/>
      <c r="I4504" s="24" t="s">
        <v>4314</v>
      </c>
      <c r="J4504" s="116">
        <v>4.5</v>
      </c>
      <c r="K4504" s="118">
        <v>1453000</v>
      </c>
      <c r="L4504" s="119"/>
      <c r="M4504" s="118">
        <f t="shared" ref="M4504" si="4975">K4504*0.1</f>
        <v>145300</v>
      </c>
      <c r="N4504" s="119"/>
      <c r="O4504" s="118">
        <v>6820</v>
      </c>
      <c r="P4504" s="119"/>
      <c r="Q4504" s="118">
        <v>11930</v>
      </c>
      <c r="R4504" s="119"/>
      <c r="S4504" s="118">
        <v>15950</v>
      </c>
      <c r="T4504" s="119"/>
      <c r="U4504" s="118">
        <f t="shared" ref="U4504" si="4976">SUM(K4504:T4505)</f>
        <v>1633000</v>
      </c>
      <c r="V4504" s="122"/>
      <c r="W4504" s="124"/>
      <c r="X4504" s="126" t="s">
        <v>13566</v>
      </c>
      <c r="Y4504" s="127"/>
      <c r="Z4504" s="127"/>
      <c r="AA4504" s="127"/>
      <c r="AB4504" s="128"/>
      <c r="AC4504" s="15" t="s">
        <v>20</v>
      </c>
      <c r="AD4504" s="129" t="s">
        <v>171</v>
      </c>
      <c r="AE4504" s="130"/>
      <c r="AF4504" s="130"/>
      <c r="AG4504" s="130"/>
      <c r="AH4504" s="130"/>
      <c r="AI4504" s="131"/>
      <c r="AJ4504" s="132"/>
      <c r="AK4504" s="127"/>
      <c r="AL4504" s="128"/>
      <c r="AM4504" s="21"/>
      <c r="AN4504" s="133">
        <v>46018</v>
      </c>
      <c r="AO4504" s="134"/>
      <c r="AP4504" s="135">
        <v>1282</v>
      </c>
      <c r="AQ4504" s="136"/>
      <c r="AR4504" s="118">
        <v>1630000</v>
      </c>
      <c r="AS4504" s="119"/>
      <c r="AT4504" s="118">
        <f t="shared" ref="AT4504" si="4977">AR4504*0.1</f>
        <v>163000</v>
      </c>
      <c r="AU4504" s="119"/>
      <c r="AV4504" s="118">
        <v>11930</v>
      </c>
      <c r="AW4504" s="119"/>
      <c r="AX4504" s="118">
        <f t="shared" ref="AX4504" si="4978">SUM(AR4504:AW4504)</f>
        <v>1804930</v>
      </c>
      <c r="AY4504" s="119"/>
      <c r="AZ4504" s="137">
        <v>46028</v>
      </c>
    </row>
    <row r="4505" spans="1:52" ht="17.100000000000001" customHeight="1" thickBot="1">
      <c r="A4505" s="110"/>
      <c r="B4505" s="27" t="s">
        <v>3367</v>
      </c>
      <c r="C4505" s="27">
        <v>70122</v>
      </c>
      <c r="D4505" s="14" t="s">
        <v>3855</v>
      </c>
      <c r="E4505" s="112"/>
      <c r="F4505" s="139" t="s">
        <v>13565</v>
      </c>
      <c r="G4505" s="140"/>
      <c r="H4505" s="141"/>
      <c r="I4505" s="26">
        <v>52908</v>
      </c>
      <c r="J4505" s="117"/>
      <c r="K4505" s="120"/>
      <c r="L4505" s="121"/>
      <c r="M4505" s="120"/>
      <c r="N4505" s="121"/>
      <c r="O4505" s="120"/>
      <c r="P4505" s="121"/>
      <c r="Q4505" s="120"/>
      <c r="R4505" s="121"/>
      <c r="S4505" s="120"/>
      <c r="T4505" s="121"/>
      <c r="U4505" s="120"/>
      <c r="V4505" s="123"/>
      <c r="W4505" s="125"/>
      <c r="X4505" s="142" t="s">
        <v>14043</v>
      </c>
      <c r="Y4505" s="143"/>
      <c r="Z4505" s="143"/>
      <c r="AA4505" s="143"/>
      <c r="AB4505" s="144"/>
      <c r="AC4505" s="16" t="s">
        <v>21</v>
      </c>
      <c r="AD4505" s="17" t="s">
        <v>14041</v>
      </c>
      <c r="AE4505" s="145" t="s">
        <v>171</v>
      </c>
      <c r="AF4505" s="146"/>
      <c r="AG4505" s="146"/>
      <c r="AH4505" s="146"/>
      <c r="AI4505" s="147"/>
      <c r="AJ4505" s="148"/>
      <c r="AK4505" s="143"/>
      <c r="AL4505" s="144"/>
      <c r="AM4505" s="22"/>
      <c r="AN4505" s="149" t="s">
        <v>2511</v>
      </c>
      <c r="AO4505" s="144"/>
      <c r="AP4505" s="148">
        <v>80060</v>
      </c>
      <c r="AQ4505" s="144"/>
      <c r="AR4505" s="120"/>
      <c r="AS4505" s="121"/>
      <c r="AT4505" s="120"/>
      <c r="AU4505" s="121"/>
      <c r="AV4505" s="120"/>
      <c r="AW4505" s="121"/>
      <c r="AX4505" s="120"/>
      <c r="AY4505" s="121"/>
      <c r="AZ4505" s="138"/>
    </row>
    <row r="4506" spans="1:52" ht="17.100000000000001" customHeight="1" thickTop="1">
      <c r="A4506" s="151" t="s">
        <v>13583</v>
      </c>
      <c r="B4506" s="28">
        <v>46007</v>
      </c>
      <c r="C4506" s="25">
        <v>800</v>
      </c>
      <c r="D4506" s="13" t="s">
        <v>1586</v>
      </c>
      <c r="E4506" s="111"/>
      <c r="F4506" s="113" t="s">
        <v>13514</v>
      </c>
      <c r="G4506" s="114"/>
      <c r="H4506" s="115"/>
      <c r="I4506" s="24"/>
      <c r="J4506" s="116">
        <v>4</v>
      </c>
      <c r="K4506" s="118">
        <v>1389000</v>
      </c>
      <c r="L4506" s="119"/>
      <c r="M4506" s="118">
        <f t="shared" ref="M4506" si="4979">K4506*0.1</f>
        <v>138900</v>
      </c>
      <c r="N4506" s="119"/>
      <c r="O4506" s="118">
        <v>0</v>
      </c>
      <c r="P4506" s="119"/>
      <c r="Q4506" s="118">
        <v>12030</v>
      </c>
      <c r="R4506" s="119"/>
      <c r="S4506" s="118">
        <v>17050</v>
      </c>
      <c r="T4506" s="119"/>
      <c r="U4506" s="118">
        <f t="shared" ref="U4506" si="4980">SUM(K4506:T4507)</f>
        <v>1556980</v>
      </c>
      <c r="V4506" s="122"/>
      <c r="W4506" s="124"/>
      <c r="X4506" s="126" t="s">
        <v>14060</v>
      </c>
      <c r="Y4506" s="127"/>
      <c r="Z4506" s="127"/>
      <c r="AA4506" s="127"/>
      <c r="AB4506" s="128"/>
      <c r="AC4506" s="15" t="s">
        <v>20</v>
      </c>
      <c r="AD4506" s="129"/>
      <c r="AE4506" s="130"/>
      <c r="AF4506" s="130"/>
      <c r="AG4506" s="130"/>
      <c r="AH4506" s="130"/>
      <c r="AI4506" s="131"/>
      <c r="AJ4506" s="132"/>
      <c r="AK4506" s="127"/>
      <c r="AL4506" s="128"/>
      <c r="AM4506" s="21"/>
      <c r="AN4506" s="133">
        <v>46032</v>
      </c>
      <c r="AO4506" s="134"/>
      <c r="AP4506" s="135">
        <v>1283</v>
      </c>
      <c r="AQ4506" s="136"/>
      <c r="AR4506" s="118">
        <v>1575000</v>
      </c>
      <c r="AS4506" s="119"/>
      <c r="AT4506" s="118">
        <v>157500</v>
      </c>
      <c r="AU4506" s="119"/>
      <c r="AV4506" s="118">
        <v>12030</v>
      </c>
      <c r="AW4506" s="119"/>
      <c r="AX4506" s="118">
        <f t="shared" ref="AX4506" si="4981">SUM(AR4506:AW4506)</f>
        <v>1744530</v>
      </c>
      <c r="AY4506" s="119"/>
      <c r="AZ4506" s="137">
        <v>46036</v>
      </c>
    </row>
    <row r="4507" spans="1:52" ht="17.100000000000001" customHeight="1" thickBot="1">
      <c r="A4507" s="152"/>
      <c r="B4507" s="27" t="s">
        <v>3367</v>
      </c>
      <c r="C4507" s="27">
        <v>72033</v>
      </c>
      <c r="D4507" s="14" t="s">
        <v>275</v>
      </c>
      <c r="E4507" s="112"/>
      <c r="F4507" s="139" t="s">
        <v>13515</v>
      </c>
      <c r="G4507" s="140"/>
      <c r="H4507" s="141"/>
      <c r="I4507" s="26">
        <v>72996</v>
      </c>
      <c r="J4507" s="117"/>
      <c r="K4507" s="120"/>
      <c r="L4507" s="121"/>
      <c r="M4507" s="120"/>
      <c r="N4507" s="121"/>
      <c r="O4507" s="120"/>
      <c r="P4507" s="121"/>
      <c r="Q4507" s="120"/>
      <c r="R4507" s="121"/>
      <c r="S4507" s="120"/>
      <c r="T4507" s="121"/>
      <c r="U4507" s="120"/>
      <c r="V4507" s="123"/>
      <c r="W4507" s="125"/>
      <c r="X4507" s="142" t="s">
        <v>14061</v>
      </c>
      <c r="Y4507" s="143"/>
      <c r="Z4507" s="143"/>
      <c r="AA4507" s="143"/>
      <c r="AB4507" s="144"/>
      <c r="AC4507" s="16" t="s">
        <v>21</v>
      </c>
      <c r="AD4507" s="17" t="s">
        <v>14041</v>
      </c>
      <c r="AE4507" s="145" t="s">
        <v>2195</v>
      </c>
      <c r="AF4507" s="146"/>
      <c r="AG4507" s="146"/>
      <c r="AH4507" s="146"/>
      <c r="AI4507" s="147"/>
      <c r="AJ4507" s="148"/>
      <c r="AK4507" s="143"/>
      <c r="AL4507" s="144"/>
      <c r="AM4507" s="22"/>
      <c r="AN4507" s="149" t="s">
        <v>2511</v>
      </c>
      <c r="AO4507" s="144"/>
      <c r="AP4507" s="148">
        <v>50076</v>
      </c>
      <c r="AQ4507" s="144"/>
      <c r="AR4507" s="120"/>
      <c r="AS4507" s="121"/>
      <c r="AT4507" s="120"/>
      <c r="AU4507" s="121"/>
      <c r="AV4507" s="120"/>
      <c r="AW4507" s="121"/>
      <c r="AX4507" s="120"/>
      <c r="AY4507" s="121"/>
      <c r="AZ4507" s="138"/>
    </row>
    <row r="4508" spans="1:52" ht="17.100000000000001" customHeight="1" thickTop="1">
      <c r="A4508" s="109" t="s">
        <v>13584</v>
      </c>
      <c r="B4508" s="28">
        <v>46007</v>
      </c>
      <c r="C4508" s="25">
        <v>920</v>
      </c>
      <c r="D4508" s="13" t="s">
        <v>2009</v>
      </c>
      <c r="E4508" s="111"/>
      <c r="F4508" s="113" t="s">
        <v>13527</v>
      </c>
      <c r="G4508" s="114"/>
      <c r="H4508" s="115"/>
      <c r="I4508" s="24"/>
      <c r="J4508" s="116">
        <v>4.5</v>
      </c>
      <c r="K4508" s="118">
        <v>1426000</v>
      </c>
      <c r="L4508" s="119"/>
      <c r="M4508" s="118">
        <f t="shared" ref="M4508" si="4982">K4508*0.1</f>
        <v>142600</v>
      </c>
      <c r="N4508" s="119"/>
      <c r="O4508" s="118">
        <v>0</v>
      </c>
      <c r="P4508" s="119"/>
      <c r="Q4508" s="118">
        <v>12270</v>
      </c>
      <c r="R4508" s="119"/>
      <c r="S4508" s="118">
        <v>15950</v>
      </c>
      <c r="T4508" s="119"/>
      <c r="U4508" s="118">
        <f t="shared" ref="U4508" si="4983">SUM(K4508:T4509)</f>
        <v>1596820</v>
      </c>
      <c r="V4508" s="122"/>
      <c r="W4508" s="124"/>
      <c r="X4508" s="126" t="s">
        <v>14071</v>
      </c>
      <c r="Y4508" s="127"/>
      <c r="Z4508" s="127"/>
      <c r="AA4508" s="127"/>
      <c r="AB4508" s="128"/>
      <c r="AC4508" s="15" t="s">
        <v>20</v>
      </c>
      <c r="AD4508" s="129"/>
      <c r="AE4508" s="130"/>
      <c r="AF4508" s="130"/>
      <c r="AG4508" s="130"/>
      <c r="AH4508" s="130"/>
      <c r="AI4508" s="131"/>
      <c r="AJ4508" s="132"/>
      <c r="AK4508" s="127"/>
      <c r="AL4508" s="128"/>
      <c r="AM4508" s="21"/>
      <c r="AN4508" s="133">
        <v>46011</v>
      </c>
      <c r="AO4508" s="134"/>
      <c r="AP4508" s="135">
        <v>1281</v>
      </c>
      <c r="AQ4508" s="136"/>
      <c r="AR4508" s="118">
        <v>1580000</v>
      </c>
      <c r="AS4508" s="119"/>
      <c r="AT4508" s="118">
        <f t="shared" ref="AT4508" si="4984">AR4508*0.1</f>
        <v>158000</v>
      </c>
      <c r="AU4508" s="119"/>
      <c r="AV4508" s="118">
        <v>12270</v>
      </c>
      <c r="AW4508" s="119"/>
      <c r="AX4508" s="118">
        <f t="shared" ref="AX4508" si="4985">SUM(AR4508:AW4508)</f>
        <v>1750270</v>
      </c>
      <c r="AY4508" s="119"/>
      <c r="AZ4508" s="137">
        <v>46016</v>
      </c>
    </row>
    <row r="4509" spans="1:52" ht="17.100000000000001" customHeight="1" thickBot="1">
      <c r="A4509" s="110"/>
      <c r="B4509" s="27" t="s">
        <v>2699</v>
      </c>
      <c r="C4509" s="27">
        <v>5016</v>
      </c>
      <c r="D4509" s="14" t="s">
        <v>1592</v>
      </c>
      <c r="E4509" s="112"/>
      <c r="F4509" s="139" t="s">
        <v>13528</v>
      </c>
      <c r="G4509" s="140"/>
      <c r="H4509" s="141"/>
      <c r="I4509" s="26">
        <v>7270</v>
      </c>
      <c r="J4509" s="117"/>
      <c r="K4509" s="120"/>
      <c r="L4509" s="121"/>
      <c r="M4509" s="120"/>
      <c r="N4509" s="121"/>
      <c r="O4509" s="120"/>
      <c r="P4509" s="121"/>
      <c r="Q4509" s="120"/>
      <c r="R4509" s="121"/>
      <c r="S4509" s="120"/>
      <c r="T4509" s="121"/>
      <c r="U4509" s="120"/>
      <c r="V4509" s="123"/>
      <c r="W4509" s="125"/>
      <c r="X4509" s="142" t="s">
        <v>13331</v>
      </c>
      <c r="Y4509" s="143"/>
      <c r="Z4509" s="143"/>
      <c r="AA4509" s="143"/>
      <c r="AB4509" s="144"/>
      <c r="AC4509" s="16" t="s">
        <v>21</v>
      </c>
      <c r="AD4509" s="17" t="s">
        <v>14041</v>
      </c>
      <c r="AE4509" s="145" t="s">
        <v>2195</v>
      </c>
      <c r="AF4509" s="146"/>
      <c r="AG4509" s="146"/>
      <c r="AH4509" s="146"/>
      <c r="AI4509" s="147"/>
      <c r="AJ4509" s="148"/>
      <c r="AK4509" s="143"/>
      <c r="AL4509" s="144"/>
      <c r="AM4509" s="22"/>
      <c r="AN4509" s="149" t="s">
        <v>2511</v>
      </c>
      <c r="AO4509" s="144"/>
      <c r="AP4509" s="148">
        <v>80402</v>
      </c>
      <c r="AQ4509" s="144"/>
      <c r="AR4509" s="120"/>
      <c r="AS4509" s="121"/>
      <c r="AT4509" s="120"/>
      <c r="AU4509" s="121"/>
      <c r="AV4509" s="120"/>
      <c r="AW4509" s="121"/>
      <c r="AX4509" s="120"/>
      <c r="AY4509" s="121"/>
      <c r="AZ4509" s="138"/>
    </row>
    <row r="4510" spans="1:52" ht="17.100000000000001" customHeight="1" thickTop="1">
      <c r="A4510" s="109" t="s">
        <v>13585</v>
      </c>
      <c r="B4510" s="28">
        <v>46007</v>
      </c>
      <c r="C4510" s="25">
        <v>970</v>
      </c>
      <c r="D4510" s="13" t="s">
        <v>1697</v>
      </c>
      <c r="E4510" s="111"/>
      <c r="F4510" s="113" t="s">
        <v>5135</v>
      </c>
      <c r="G4510" s="114"/>
      <c r="H4510" s="115"/>
      <c r="I4510" s="24"/>
      <c r="J4510" s="116">
        <v>4</v>
      </c>
      <c r="K4510" s="118">
        <v>1398000</v>
      </c>
      <c r="L4510" s="119"/>
      <c r="M4510" s="118">
        <f t="shared" ref="M4510" si="4986">K4510*0.1</f>
        <v>139800</v>
      </c>
      <c r="N4510" s="119"/>
      <c r="O4510" s="118">
        <v>0</v>
      </c>
      <c r="P4510" s="119"/>
      <c r="Q4510" s="118">
        <v>8630</v>
      </c>
      <c r="R4510" s="119"/>
      <c r="S4510" s="118">
        <v>22000</v>
      </c>
      <c r="T4510" s="119"/>
      <c r="U4510" s="118">
        <f t="shared" ref="U4510" si="4987">SUM(K4510:T4511)</f>
        <v>1568430</v>
      </c>
      <c r="V4510" s="122"/>
      <c r="W4510" s="124"/>
      <c r="X4510" s="126" t="s">
        <v>14223</v>
      </c>
      <c r="Y4510" s="127"/>
      <c r="Z4510" s="127"/>
      <c r="AA4510" s="127"/>
      <c r="AB4510" s="128"/>
      <c r="AC4510" s="15" t="s">
        <v>20</v>
      </c>
      <c r="AD4510" s="129"/>
      <c r="AE4510" s="130"/>
      <c r="AF4510" s="130"/>
      <c r="AG4510" s="130"/>
      <c r="AH4510" s="130"/>
      <c r="AI4510" s="131"/>
      <c r="AJ4510" s="132"/>
      <c r="AK4510" s="127"/>
      <c r="AL4510" s="128"/>
      <c r="AM4510" s="21"/>
      <c r="AN4510" s="133">
        <v>46042</v>
      </c>
      <c r="AO4510" s="134"/>
      <c r="AP4510" s="135">
        <v>1925</v>
      </c>
      <c r="AQ4510" s="136"/>
      <c r="AR4510" s="118">
        <v>1371000</v>
      </c>
      <c r="AS4510" s="119"/>
      <c r="AT4510" s="118">
        <f t="shared" ref="AT4510" si="4988">AR4510*0.1</f>
        <v>137100</v>
      </c>
      <c r="AU4510" s="119"/>
      <c r="AV4510" s="118">
        <v>8630</v>
      </c>
      <c r="AW4510" s="119"/>
      <c r="AX4510" s="118">
        <f t="shared" ref="AX4510" si="4989">SUM(AR4510:AW4510)</f>
        <v>1516730</v>
      </c>
      <c r="AY4510" s="119"/>
      <c r="AZ4510" s="137"/>
    </row>
    <row r="4511" spans="1:52" ht="17.100000000000001" customHeight="1" thickBot="1">
      <c r="A4511" s="110"/>
      <c r="B4511" s="27" t="s">
        <v>2055</v>
      </c>
      <c r="C4511" s="27">
        <v>298</v>
      </c>
      <c r="D4511" s="14" t="s">
        <v>4023</v>
      </c>
      <c r="E4511" s="112"/>
      <c r="F4511" s="139" t="s">
        <v>13592</v>
      </c>
      <c r="G4511" s="140"/>
      <c r="H4511" s="141"/>
      <c r="I4511" s="26">
        <v>28427</v>
      </c>
      <c r="J4511" s="117"/>
      <c r="K4511" s="120"/>
      <c r="L4511" s="121"/>
      <c r="M4511" s="120"/>
      <c r="N4511" s="121"/>
      <c r="O4511" s="120"/>
      <c r="P4511" s="121"/>
      <c r="Q4511" s="120"/>
      <c r="R4511" s="121"/>
      <c r="S4511" s="120"/>
      <c r="T4511" s="121"/>
      <c r="U4511" s="120"/>
      <c r="V4511" s="123"/>
      <c r="W4511" s="125"/>
      <c r="X4511" s="142" t="s">
        <v>11156</v>
      </c>
      <c r="Y4511" s="143"/>
      <c r="Z4511" s="143"/>
      <c r="AA4511" s="143"/>
      <c r="AB4511" s="144"/>
      <c r="AC4511" s="16" t="s">
        <v>21</v>
      </c>
      <c r="AD4511" s="17" t="s">
        <v>14134</v>
      </c>
      <c r="AE4511" s="145"/>
      <c r="AF4511" s="146"/>
      <c r="AG4511" s="146"/>
      <c r="AH4511" s="146"/>
      <c r="AI4511" s="147"/>
      <c r="AJ4511" s="148"/>
      <c r="AK4511" s="143"/>
      <c r="AL4511" s="144"/>
      <c r="AM4511" s="22"/>
      <c r="AN4511" s="149" t="s">
        <v>2131</v>
      </c>
      <c r="AO4511" s="144"/>
      <c r="AP4511" s="148">
        <v>3155</v>
      </c>
      <c r="AQ4511" s="144"/>
      <c r="AR4511" s="120"/>
      <c r="AS4511" s="121"/>
      <c r="AT4511" s="120"/>
      <c r="AU4511" s="121"/>
      <c r="AV4511" s="120"/>
      <c r="AW4511" s="121"/>
      <c r="AX4511" s="120"/>
      <c r="AY4511" s="121"/>
      <c r="AZ4511" s="138"/>
    </row>
    <row r="4512" spans="1:52" ht="17.100000000000001" customHeight="1" thickTop="1">
      <c r="A4512" s="109" t="s">
        <v>13586</v>
      </c>
      <c r="B4512" s="28">
        <v>46008</v>
      </c>
      <c r="C4512" s="25">
        <v>1818</v>
      </c>
      <c r="D4512" s="13" t="s">
        <v>2465</v>
      </c>
      <c r="E4512" s="111"/>
      <c r="F4512" s="113" t="s">
        <v>5430</v>
      </c>
      <c r="G4512" s="114"/>
      <c r="H4512" s="115"/>
      <c r="I4512" s="24" t="s">
        <v>3923</v>
      </c>
      <c r="J4512" s="116">
        <v>4</v>
      </c>
      <c r="K4512" s="118">
        <v>702000</v>
      </c>
      <c r="L4512" s="119"/>
      <c r="M4512" s="118">
        <f t="shared" ref="M4512" si="4990">K4512*0.1</f>
        <v>70200</v>
      </c>
      <c r="N4512" s="119"/>
      <c r="O4512" s="118">
        <v>0</v>
      </c>
      <c r="P4512" s="119"/>
      <c r="Q4512" s="118">
        <v>9790</v>
      </c>
      <c r="R4512" s="119"/>
      <c r="S4512" s="118">
        <v>18150</v>
      </c>
      <c r="T4512" s="119"/>
      <c r="U4512" s="118">
        <f t="shared" ref="U4512" si="4991">SUM(K4512:T4513)</f>
        <v>800140</v>
      </c>
      <c r="V4512" s="122"/>
      <c r="W4512" s="124"/>
      <c r="X4512" s="126" t="s">
        <v>13594</v>
      </c>
      <c r="Y4512" s="127"/>
      <c r="Z4512" s="127"/>
      <c r="AA4512" s="127"/>
      <c r="AB4512" s="128"/>
      <c r="AC4512" s="15" t="s">
        <v>20</v>
      </c>
      <c r="AD4512" s="129" t="s">
        <v>171</v>
      </c>
      <c r="AE4512" s="130"/>
      <c r="AF4512" s="130"/>
      <c r="AG4512" s="130"/>
      <c r="AH4512" s="130"/>
      <c r="AI4512" s="131"/>
      <c r="AJ4512" s="132"/>
      <c r="AK4512" s="127"/>
      <c r="AL4512" s="128"/>
      <c r="AM4512" s="21"/>
      <c r="AN4512" s="133">
        <v>46011</v>
      </c>
      <c r="AO4512" s="134"/>
      <c r="AP4512" s="135">
        <v>1281</v>
      </c>
      <c r="AQ4512" s="136"/>
      <c r="AR4512" s="118">
        <v>795000</v>
      </c>
      <c r="AS4512" s="119"/>
      <c r="AT4512" s="118">
        <f t="shared" ref="AT4512" si="4992">AR4512*0.1</f>
        <v>79500</v>
      </c>
      <c r="AU4512" s="119"/>
      <c r="AV4512" s="118">
        <v>9790</v>
      </c>
      <c r="AW4512" s="119"/>
      <c r="AX4512" s="118">
        <f t="shared" ref="AX4512" si="4993">SUM(AR4512:AW4512)</f>
        <v>884290</v>
      </c>
      <c r="AY4512" s="119"/>
      <c r="AZ4512" s="137">
        <v>46028</v>
      </c>
    </row>
    <row r="4513" spans="1:52" ht="17.100000000000001" customHeight="1" thickBot="1">
      <c r="A4513" s="110"/>
      <c r="B4513" s="27" t="s">
        <v>2559</v>
      </c>
      <c r="C4513" s="27">
        <v>3038</v>
      </c>
      <c r="D4513" s="14" t="s">
        <v>275</v>
      </c>
      <c r="E4513" s="112"/>
      <c r="F4513" s="139" t="s">
        <v>13593</v>
      </c>
      <c r="G4513" s="140"/>
      <c r="H4513" s="141"/>
      <c r="I4513" s="26">
        <v>58035</v>
      </c>
      <c r="J4513" s="117"/>
      <c r="K4513" s="120"/>
      <c r="L4513" s="121"/>
      <c r="M4513" s="120"/>
      <c r="N4513" s="121"/>
      <c r="O4513" s="120"/>
      <c r="P4513" s="121"/>
      <c r="Q4513" s="120"/>
      <c r="R4513" s="121"/>
      <c r="S4513" s="120"/>
      <c r="T4513" s="121"/>
      <c r="U4513" s="120"/>
      <c r="V4513" s="123"/>
      <c r="W4513" s="125"/>
      <c r="X4513" s="142" t="s">
        <v>12250</v>
      </c>
      <c r="Y4513" s="143"/>
      <c r="Z4513" s="143"/>
      <c r="AA4513" s="143"/>
      <c r="AB4513" s="144"/>
      <c r="AC4513" s="16" t="s">
        <v>21</v>
      </c>
      <c r="AD4513" s="17" t="s">
        <v>3488</v>
      </c>
      <c r="AE4513" s="145" t="s">
        <v>171</v>
      </c>
      <c r="AF4513" s="146"/>
      <c r="AG4513" s="146"/>
      <c r="AH4513" s="146"/>
      <c r="AI4513" s="147"/>
      <c r="AJ4513" s="148"/>
      <c r="AK4513" s="143"/>
      <c r="AL4513" s="144"/>
      <c r="AM4513" s="22"/>
      <c r="AN4513" s="149" t="s">
        <v>2511</v>
      </c>
      <c r="AO4513" s="144"/>
      <c r="AP4513" s="148">
        <v>60413</v>
      </c>
      <c r="AQ4513" s="144"/>
      <c r="AR4513" s="120"/>
      <c r="AS4513" s="121"/>
      <c r="AT4513" s="120"/>
      <c r="AU4513" s="121"/>
      <c r="AV4513" s="120"/>
      <c r="AW4513" s="121"/>
      <c r="AX4513" s="120"/>
      <c r="AY4513" s="121"/>
      <c r="AZ4513" s="138"/>
    </row>
    <row r="4514" spans="1:52" ht="17.100000000000001" customHeight="1" thickTop="1">
      <c r="A4514" s="109" t="s">
        <v>13587</v>
      </c>
      <c r="B4514" s="28">
        <v>46008</v>
      </c>
      <c r="C4514" s="25">
        <v>1818</v>
      </c>
      <c r="D4514" s="13" t="s">
        <v>1549</v>
      </c>
      <c r="E4514" s="111"/>
      <c r="F4514" s="113" t="s">
        <v>1938</v>
      </c>
      <c r="G4514" s="114"/>
      <c r="H4514" s="115"/>
      <c r="I4514" s="24" t="s">
        <v>2943</v>
      </c>
      <c r="J4514" s="116">
        <v>4.5</v>
      </c>
      <c r="K4514" s="118">
        <v>450000</v>
      </c>
      <c r="L4514" s="119"/>
      <c r="M4514" s="118">
        <f t="shared" ref="M4514" si="4994">K4514*0.1</f>
        <v>45000</v>
      </c>
      <c r="N4514" s="119"/>
      <c r="O4514" s="118">
        <f>8600+860</f>
        <v>9460</v>
      </c>
      <c r="P4514" s="119"/>
      <c r="Q4514" s="118">
        <v>18960</v>
      </c>
      <c r="R4514" s="119"/>
      <c r="S4514" s="118">
        <v>18150</v>
      </c>
      <c r="T4514" s="119"/>
      <c r="U4514" s="118">
        <f t="shared" ref="U4514" si="4995">SUM(K4514:T4515)</f>
        <v>541570</v>
      </c>
      <c r="V4514" s="122"/>
      <c r="W4514" s="124"/>
      <c r="X4514" s="126" t="s">
        <v>13596</v>
      </c>
      <c r="Y4514" s="127"/>
      <c r="Z4514" s="127"/>
      <c r="AA4514" s="127"/>
      <c r="AB4514" s="128"/>
      <c r="AC4514" s="15" t="s">
        <v>20</v>
      </c>
      <c r="AD4514" s="129"/>
      <c r="AE4514" s="130"/>
      <c r="AF4514" s="130"/>
      <c r="AG4514" s="130"/>
      <c r="AH4514" s="130"/>
      <c r="AI4514" s="131"/>
      <c r="AJ4514" s="132"/>
      <c r="AK4514" s="127"/>
      <c r="AL4514" s="128"/>
      <c r="AM4514" s="21"/>
      <c r="AN4514" s="133">
        <v>46067</v>
      </c>
      <c r="AO4514" s="134"/>
      <c r="AP4514" s="135">
        <v>1288</v>
      </c>
      <c r="AQ4514" s="136"/>
      <c r="AR4514" s="118">
        <v>550000</v>
      </c>
      <c r="AS4514" s="119"/>
      <c r="AT4514" s="118">
        <f t="shared" ref="AT4514" si="4996">AR4514*0.1</f>
        <v>55000</v>
      </c>
      <c r="AU4514" s="119"/>
      <c r="AV4514" s="118">
        <v>18960</v>
      </c>
      <c r="AW4514" s="119"/>
      <c r="AX4514" s="118">
        <f t="shared" ref="AX4514" si="4997">SUM(AR4514:AW4514)</f>
        <v>623960</v>
      </c>
      <c r="AY4514" s="119"/>
      <c r="AZ4514" s="137">
        <v>46070</v>
      </c>
    </row>
    <row r="4515" spans="1:52" ht="17.100000000000001" customHeight="1" thickBot="1">
      <c r="A4515" s="110"/>
      <c r="B4515" s="27" t="s">
        <v>2559</v>
      </c>
      <c r="C4515" s="27">
        <v>38150</v>
      </c>
      <c r="D4515" s="14" t="s">
        <v>904</v>
      </c>
      <c r="E4515" s="112"/>
      <c r="F4515" s="139" t="s">
        <v>13595</v>
      </c>
      <c r="G4515" s="140"/>
      <c r="H4515" s="141"/>
      <c r="I4515" s="26">
        <v>48149</v>
      </c>
      <c r="J4515" s="117"/>
      <c r="K4515" s="120"/>
      <c r="L4515" s="121"/>
      <c r="M4515" s="120"/>
      <c r="N4515" s="121"/>
      <c r="O4515" s="120"/>
      <c r="P4515" s="121"/>
      <c r="Q4515" s="120"/>
      <c r="R4515" s="121"/>
      <c r="S4515" s="120"/>
      <c r="T4515" s="121"/>
      <c r="U4515" s="120"/>
      <c r="V4515" s="123"/>
      <c r="W4515" s="125"/>
      <c r="X4515" s="142" t="s">
        <v>14213</v>
      </c>
      <c r="Y4515" s="143"/>
      <c r="Z4515" s="143"/>
      <c r="AA4515" s="143"/>
      <c r="AB4515" s="144"/>
      <c r="AC4515" s="16" t="s">
        <v>21</v>
      </c>
      <c r="AD4515" s="17" t="s">
        <v>14134</v>
      </c>
      <c r="AE4515" s="145" t="s">
        <v>7861</v>
      </c>
      <c r="AF4515" s="146"/>
      <c r="AG4515" s="146"/>
      <c r="AH4515" s="146"/>
      <c r="AI4515" s="147"/>
      <c r="AJ4515" s="148"/>
      <c r="AK4515" s="143"/>
      <c r="AL4515" s="144"/>
      <c r="AM4515" s="22"/>
      <c r="AN4515" s="149" t="s">
        <v>2511</v>
      </c>
      <c r="AO4515" s="144"/>
      <c r="AP4515" s="148">
        <v>80104</v>
      </c>
      <c r="AQ4515" s="144"/>
      <c r="AR4515" s="120"/>
      <c r="AS4515" s="121"/>
      <c r="AT4515" s="120"/>
      <c r="AU4515" s="121"/>
      <c r="AV4515" s="120"/>
      <c r="AW4515" s="121"/>
      <c r="AX4515" s="120"/>
      <c r="AY4515" s="121"/>
      <c r="AZ4515" s="138"/>
    </row>
    <row r="4516" spans="1:52" ht="17.100000000000001" customHeight="1" thickTop="1">
      <c r="A4516" s="109" t="s">
        <v>13588</v>
      </c>
      <c r="B4516" s="28">
        <v>46008</v>
      </c>
      <c r="C4516" s="25">
        <v>2335</v>
      </c>
      <c r="D4516" s="13" t="s">
        <v>2465</v>
      </c>
      <c r="E4516" s="111"/>
      <c r="F4516" s="113" t="s">
        <v>13597</v>
      </c>
      <c r="G4516" s="114"/>
      <c r="H4516" s="115"/>
      <c r="I4516" s="24"/>
      <c r="J4516" s="116">
        <v>4</v>
      </c>
      <c r="K4516" s="118">
        <v>565000</v>
      </c>
      <c r="L4516" s="119"/>
      <c r="M4516" s="118">
        <f t="shared" ref="M4516" si="4998">K4516*0.1</f>
        <v>56500</v>
      </c>
      <c r="N4516" s="119"/>
      <c r="O4516" s="118">
        <v>0</v>
      </c>
      <c r="P4516" s="119"/>
      <c r="Q4516" s="118">
        <v>7900</v>
      </c>
      <c r="R4516" s="119"/>
      <c r="S4516" s="118">
        <v>16500</v>
      </c>
      <c r="T4516" s="119"/>
      <c r="U4516" s="118">
        <f t="shared" ref="U4516" si="4999">SUM(K4516:T4517)</f>
        <v>645900</v>
      </c>
      <c r="V4516" s="122"/>
      <c r="W4516" s="124"/>
      <c r="X4516" s="126" t="s">
        <v>13856</v>
      </c>
      <c r="Y4516" s="127"/>
      <c r="Z4516" s="127"/>
      <c r="AA4516" s="127"/>
      <c r="AB4516" s="128"/>
      <c r="AC4516" s="15" t="s">
        <v>20</v>
      </c>
      <c r="AD4516" s="129"/>
      <c r="AE4516" s="130"/>
      <c r="AF4516" s="130"/>
      <c r="AG4516" s="130"/>
      <c r="AH4516" s="130"/>
      <c r="AI4516" s="131"/>
      <c r="AJ4516" s="132"/>
      <c r="AK4516" s="127"/>
      <c r="AL4516" s="128"/>
      <c r="AM4516" s="21"/>
      <c r="AN4516" s="133">
        <v>46383</v>
      </c>
      <c r="AO4516" s="134"/>
      <c r="AP4516" s="135">
        <v>1282</v>
      </c>
      <c r="AQ4516" s="136"/>
      <c r="AR4516" s="118">
        <v>650000</v>
      </c>
      <c r="AS4516" s="119"/>
      <c r="AT4516" s="118">
        <f t="shared" ref="AT4516" si="5000">AR4516*0.1</f>
        <v>65000</v>
      </c>
      <c r="AU4516" s="119"/>
      <c r="AV4516" s="118">
        <v>7900</v>
      </c>
      <c r="AW4516" s="119"/>
      <c r="AX4516" s="118">
        <f t="shared" ref="AX4516" si="5001">SUM(AR4516:AW4516)</f>
        <v>722900</v>
      </c>
      <c r="AY4516" s="119"/>
      <c r="AZ4516" s="137">
        <v>46030</v>
      </c>
    </row>
    <row r="4517" spans="1:52" ht="17.100000000000001" customHeight="1" thickBot="1">
      <c r="A4517" s="110"/>
      <c r="B4517" s="27" t="s">
        <v>3422</v>
      </c>
      <c r="C4517" s="27">
        <v>20092</v>
      </c>
      <c r="D4517" s="14" t="s">
        <v>2601</v>
      </c>
      <c r="E4517" s="112"/>
      <c r="F4517" s="139" t="s">
        <v>13598</v>
      </c>
      <c r="G4517" s="140"/>
      <c r="H4517" s="141"/>
      <c r="I4517" s="26">
        <v>46849</v>
      </c>
      <c r="J4517" s="117"/>
      <c r="K4517" s="120"/>
      <c r="L4517" s="121"/>
      <c r="M4517" s="120"/>
      <c r="N4517" s="121"/>
      <c r="O4517" s="120"/>
      <c r="P4517" s="121"/>
      <c r="Q4517" s="120"/>
      <c r="R4517" s="121"/>
      <c r="S4517" s="120"/>
      <c r="T4517" s="121"/>
      <c r="U4517" s="120"/>
      <c r="V4517" s="123"/>
      <c r="W4517" s="125"/>
      <c r="X4517" s="142" t="s">
        <v>4796</v>
      </c>
      <c r="Y4517" s="143"/>
      <c r="Z4517" s="143"/>
      <c r="AA4517" s="143"/>
      <c r="AB4517" s="144"/>
      <c r="AC4517" s="16" t="s">
        <v>21</v>
      </c>
      <c r="AD4517" s="17" t="s">
        <v>13826</v>
      </c>
      <c r="AE4517" s="145" t="s">
        <v>5044</v>
      </c>
      <c r="AF4517" s="146"/>
      <c r="AG4517" s="146"/>
      <c r="AH4517" s="146"/>
      <c r="AI4517" s="147"/>
      <c r="AJ4517" s="148"/>
      <c r="AK4517" s="143"/>
      <c r="AL4517" s="144"/>
      <c r="AM4517" s="22"/>
      <c r="AN4517" s="149" t="s">
        <v>6748</v>
      </c>
      <c r="AO4517" s="144"/>
      <c r="AP4517" s="148">
        <v>60037</v>
      </c>
      <c r="AQ4517" s="144"/>
      <c r="AR4517" s="120"/>
      <c r="AS4517" s="121"/>
      <c r="AT4517" s="120"/>
      <c r="AU4517" s="121"/>
      <c r="AV4517" s="120"/>
      <c r="AW4517" s="121"/>
      <c r="AX4517" s="120"/>
      <c r="AY4517" s="121"/>
      <c r="AZ4517" s="138"/>
    </row>
    <row r="4518" spans="1:52" ht="17.100000000000001" customHeight="1" thickTop="1">
      <c r="A4518" s="151" t="s">
        <v>13589</v>
      </c>
      <c r="B4518" s="28">
        <v>46008</v>
      </c>
      <c r="C4518" s="25">
        <v>2335</v>
      </c>
      <c r="D4518" s="13" t="s">
        <v>2329</v>
      </c>
      <c r="E4518" s="111"/>
      <c r="F4518" s="113" t="s">
        <v>13599</v>
      </c>
      <c r="G4518" s="114"/>
      <c r="H4518" s="115"/>
      <c r="I4518" s="24" t="s">
        <v>1547</v>
      </c>
      <c r="J4518" s="116">
        <v>4.5</v>
      </c>
      <c r="K4518" s="118">
        <v>1070000</v>
      </c>
      <c r="L4518" s="119"/>
      <c r="M4518" s="118">
        <f t="shared" ref="M4518" si="5002">K4518*0.1</f>
        <v>107000</v>
      </c>
      <c r="N4518" s="119"/>
      <c r="O4518" s="118">
        <f>7600+760</f>
        <v>8360</v>
      </c>
      <c r="P4518" s="119"/>
      <c r="Q4518" s="118">
        <v>11810</v>
      </c>
      <c r="R4518" s="119"/>
      <c r="S4518" s="118">
        <v>16500</v>
      </c>
      <c r="T4518" s="119"/>
      <c r="U4518" s="118">
        <f t="shared" ref="U4518" si="5003">SUM(K4518:T4519)</f>
        <v>1213670</v>
      </c>
      <c r="V4518" s="122"/>
      <c r="W4518" s="124"/>
      <c r="X4518" s="126" t="s">
        <v>13849</v>
      </c>
      <c r="Y4518" s="127"/>
      <c r="Z4518" s="127"/>
      <c r="AA4518" s="127"/>
      <c r="AB4518" s="128"/>
      <c r="AC4518" s="15" t="s">
        <v>20</v>
      </c>
      <c r="AD4518" s="129" t="s">
        <v>3178</v>
      </c>
      <c r="AE4518" s="130"/>
      <c r="AF4518" s="130"/>
      <c r="AG4518" s="130"/>
      <c r="AH4518" s="130"/>
      <c r="AI4518" s="131"/>
      <c r="AJ4518" s="132"/>
      <c r="AK4518" s="127"/>
      <c r="AL4518" s="128"/>
      <c r="AM4518" s="21" t="s">
        <v>14895</v>
      </c>
      <c r="AN4518" s="133">
        <v>46039</v>
      </c>
      <c r="AO4518" s="134"/>
      <c r="AP4518" s="135">
        <v>1284</v>
      </c>
      <c r="AQ4518" s="136"/>
      <c r="AR4518" s="118">
        <v>1185000</v>
      </c>
      <c r="AS4518" s="119"/>
      <c r="AT4518" s="118">
        <f t="shared" ref="AT4518" si="5004">AR4518*0.1</f>
        <v>118500</v>
      </c>
      <c r="AU4518" s="119"/>
      <c r="AV4518" s="118">
        <v>11810</v>
      </c>
      <c r="AW4518" s="119"/>
      <c r="AX4518" s="118">
        <f t="shared" ref="AX4518" si="5005">SUM(AR4518:AW4518)</f>
        <v>1315310</v>
      </c>
      <c r="AY4518" s="119"/>
      <c r="AZ4518" s="137">
        <v>46042</v>
      </c>
    </row>
    <row r="4519" spans="1:52" ht="17.100000000000001" customHeight="1" thickBot="1">
      <c r="A4519" s="152"/>
      <c r="B4519" s="27" t="s">
        <v>3422</v>
      </c>
      <c r="C4519" s="27">
        <v>60107</v>
      </c>
      <c r="D4519" s="14" t="s">
        <v>904</v>
      </c>
      <c r="E4519" s="112"/>
      <c r="F4519" s="139" t="s">
        <v>13600</v>
      </c>
      <c r="G4519" s="140"/>
      <c r="H4519" s="141"/>
      <c r="I4519" s="26">
        <v>14522</v>
      </c>
      <c r="J4519" s="117"/>
      <c r="K4519" s="120"/>
      <c r="L4519" s="121"/>
      <c r="M4519" s="120"/>
      <c r="N4519" s="121"/>
      <c r="O4519" s="120"/>
      <c r="P4519" s="121"/>
      <c r="Q4519" s="120"/>
      <c r="R4519" s="121"/>
      <c r="S4519" s="120"/>
      <c r="T4519" s="121"/>
      <c r="U4519" s="120"/>
      <c r="V4519" s="123"/>
      <c r="W4519" s="125"/>
      <c r="X4519" s="142" t="s">
        <v>13850</v>
      </c>
      <c r="Y4519" s="143"/>
      <c r="Z4519" s="143"/>
      <c r="AA4519" s="143"/>
      <c r="AB4519" s="144"/>
      <c r="AC4519" s="16" t="s">
        <v>21</v>
      </c>
      <c r="AD4519" s="17" t="s">
        <v>13826</v>
      </c>
      <c r="AE4519" s="145" t="s">
        <v>171</v>
      </c>
      <c r="AF4519" s="146"/>
      <c r="AG4519" s="146"/>
      <c r="AH4519" s="146"/>
      <c r="AI4519" s="147"/>
      <c r="AJ4519" s="148"/>
      <c r="AK4519" s="143"/>
      <c r="AL4519" s="144"/>
      <c r="AM4519" s="22"/>
      <c r="AN4519" s="149" t="s">
        <v>2511</v>
      </c>
      <c r="AO4519" s="144"/>
      <c r="AP4519" s="148">
        <v>80307</v>
      </c>
      <c r="AQ4519" s="144"/>
      <c r="AR4519" s="120"/>
      <c r="AS4519" s="121"/>
      <c r="AT4519" s="120"/>
      <c r="AU4519" s="121"/>
      <c r="AV4519" s="120"/>
      <c r="AW4519" s="121"/>
      <c r="AX4519" s="120"/>
      <c r="AY4519" s="121"/>
      <c r="AZ4519" s="138"/>
    </row>
    <row r="4520" spans="1:52" ht="17.100000000000001" customHeight="1" thickTop="1">
      <c r="A4520" s="109" t="s">
        <v>13590</v>
      </c>
      <c r="B4520" s="28">
        <v>46008</v>
      </c>
      <c r="C4520" s="25">
        <v>2335</v>
      </c>
      <c r="D4520" s="13" t="s">
        <v>1929</v>
      </c>
      <c r="E4520" s="111"/>
      <c r="F4520" s="113" t="s">
        <v>13601</v>
      </c>
      <c r="G4520" s="114"/>
      <c r="H4520" s="115"/>
      <c r="I4520" s="24" t="s">
        <v>2526</v>
      </c>
      <c r="J4520" s="116">
        <v>4.5</v>
      </c>
      <c r="K4520" s="118">
        <v>845000</v>
      </c>
      <c r="L4520" s="119"/>
      <c r="M4520" s="118">
        <f t="shared" ref="M4520" si="5006">K4520*0.1</f>
        <v>84500</v>
      </c>
      <c r="N4520" s="119"/>
      <c r="O4520" s="118">
        <f>9800+980</f>
        <v>10780</v>
      </c>
      <c r="P4520" s="119"/>
      <c r="Q4520" s="118">
        <v>10830</v>
      </c>
      <c r="R4520" s="119"/>
      <c r="S4520" s="118">
        <v>16500</v>
      </c>
      <c r="T4520" s="119"/>
      <c r="U4520" s="118">
        <f t="shared" ref="U4520" si="5007">SUM(K4520:T4521)</f>
        <v>967610</v>
      </c>
      <c r="V4520" s="122"/>
      <c r="W4520" s="124"/>
      <c r="X4520" s="126" t="s">
        <v>13853</v>
      </c>
      <c r="Y4520" s="127"/>
      <c r="Z4520" s="127"/>
      <c r="AA4520" s="127"/>
      <c r="AB4520" s="128"/>
      <c r="AC4520" s="15" t="s">
        <v>20</v>
      </c>
      <c r="AD4520" s="129" t="s">
        <v>13852</v>
      </c>
      <c r="AE4520" s="130"/>
      <c r="AF4520" s="130"/>
      <c r="AG4520" s="130"/>
      <c r="AH4520" s="130"/>
      <c r="AI4520" s="131"/>
      <c r="AJ4520" s="132"/>
      <c r="AK4520" s="127"/>
      <c r="AL4520" s="128"/>
      <c r="AM4520" s="21"/>
      <c r="AN4520" s="133">
        <v>46018</v>
      </c>
      <c r="AO4520" s="134"/>
      <c r="AP4520" s="135">
        <v>1282</v>
      </c>
      <c r="AQ4520" s="136"/>
      <c r="AR4520" s="118">
        <v>935000</v>
      </c>
      <c r="AS4520" s="119"/>
      <c r="AT4520" s="118">
        <f t="shared" ref="AT4520" si="5008">AR4520*0.1</f>
        <v>93500</v>
      </c>
      <c r="AU4520" s="119"/>
      <c r="AV4520" s="118">
        <v>10830</v>
      </c>
      <c r="AW4520" s="119"/>
      <c r="AX4520" s="118">
        <f t="shared" ref="AX4520" si="5009">SUM(AR4520:AW4520)</f>
        <v>1039330</v>
      </c>
      <c r="AY4520" s="119"/>
      <c r="AZ4520" s="137">
        <v>46028</v>
      </c>
    </row>
    <row r="4521" spans="1:52" ht="17.100000000000001" customHeight="1" thickBot="1">
      <c r="A4521" s="110"/>
      <c r="B4521" s="27" t="s">
        <v>3422</v>
      </c>
      <c r="C4521" s="27">
        <v>60175</v>
      </c>
      <c r="D4521" s="14" t="s">
        <v>2601</v>
      </c>
      <c r="E4521" s="112"/>
      <c r="F4521" s="139" t="s">
        <v>13602</v>
      </c>
      <c r="G4521" s="140"/>
      <c r="H4521" s="141"/>
      <c r="I4521" s="26">
        <v>90403</v>
      </c>
      <c r="J4521" s="117"/>
      <c r="K4521" s="120"/>
      <c r="L4521" s="121"/>
      <c r="M4521" s="120"/>
      <c r="N4521" s="121"/>
      <c r="O4521" s="120"/>
      <c r="P4521" s="121"/>
      <c r="Q4521" s="120"/>
      <c r="R4521" s="121"/>
      <c r="S4521" s="120"/>
      <c r="T4521" s="121"/>
      <c r="U4521" s="120"/>
      <c r="V4521" s="123"/>
      <c r="W4521" s="125"/>
      <c r="X4521" s="142" t="s">
        <v>13854</v>
      </c>
      <c r="Y4521" s="143"/>
      <c r="Z4521" s="143"/>
      <c r="AA4521" s="143"/>
      <c r="AB4521" s="144"/>
      <c r="AC4521" s="16" t="s">
        <v>21</v>
      </c>
      <c r="AD4521" s="17" t="s">
        <v>13826</v>
      </c>
      <c r="AE4521" s="145" t="s">
        <v>13855</v>
      </c>
      <c r="AF4521" s="146"/>
      <c r="AG4521" s="146"/>
      <c r="AH4521" s="146"/>
      <c r="AI4521" s="147"/>
      <c r="AJ4521" s="148"/>
      <c r="AK4521" s="143"/>
      <c r="AL4521" s="144"/>
      <c r="AM4521" s="22"/>
      <c r="AN4521" s="149" t="s">
        <v>2511</v>
      </c>
      <c r="AO4521" s="144"/>
      <c r="AP4521" s="148">
        <v>50012</v>
      </c>
      <c r="AQ4521" s="144"/>
      <c r="AR4521" s="120"/>
      <c r="AS4521" s="121"/>
      <c r="AT4521" s="120"/>
      <c r="AU4521" s="121"/>
      <c r="AV4521" s="120"/>
      <c r="AW4521" s="121"/>
      <c r="AX4521" s="120"/>
      <c r="AY4521" s="121"/>
      <c r="AZ4521" s="138"/>
    </row>
    <row r="4522" spans="1:52" ht="17.100000000000001" customHeight="1" thickTop="1">
      <c r="A4522" s="109" t="s">
        <v>13591</v>
      </c>
      <c r="B4522" s="28">
        <v>46008</v>
      </c>
      <c r="C4522" s="25">
        <v>997</v>
      </c>
      <c r="D4522" s="13" t="s">
        <v>3478</v>
      </c>
      <c r="E4522" s="111"/>
      <c r="F4522" s="113" t="s">
        <v>13605</v>
      </c>
      <c r="G4522" s="114"/>
      <c r="H4522" s="115"/>
      <c r="I4522" s="24"/>
      <c r="J4522" s="116">
        <v>4</v>
      </c>
      <c r="K4522" s="118">
        <v>750000</v>
      </c>
      <c r="L4522" s="119"/>
      <c r="M4522" s="118">
        <f t="shared" ref="M4522" si="5010">K4522*0.1</f>
        <v>75000</v>
      </c>
      <c r="N4522" s="119"/>
      <c r="O4522" s="118">
        <v>0</v>
      </c>
      <c r="P4522" s="119"/>
      <c r="Q4522" s="118">
        <v>8160</v>
      </c>
      <c r="R4522" s="119"/>
      <c r="S4522" s="118">
        <v>12100</v>
      </c>
      <c r="T4522" s="119"/>
      <c r="U4522" s="118">
        <f t="shared" ref="U4522" si="5011">SUM(K4522:T4523)</f>
        <v>845260</v>
      </c>
      <c r="V4522" s="122"/>
      <c r="W4522" s="124"/>
      <c r="X4522" s="126" t="s">
        <v>14149</v>
      </c>
      <c r="Y4522" s="127"/>
      <c r="Z4522" s="127"/>
      <c r="AA4522" s="127"/>
      <c r="AB4522" s="128"/>
      <c r="AC4522" s="15" t="s">
        <v>20</v>
      </c>
      <c r="AD4522" s="129"/>
      <c r="AE4522" s="130"/>
      <c r="AF4522" s="130"/>
      <c r="AG4522" s="130"/>
      <c r="AH4522" s="130"/>
      <c r="AI4522" s="131"/>
      <c r="AJ4522" s="132"/>
      <c r="AK4522" s="127"/>
      <c r="AL4522" s="128"/>
      <c r="AM4522" s="21"/>
      <c r="AN4522" s="133">
        <v>46011</v>
      </c>
      <c r="AO4522" s="134"/>
      <c r="AP4522" s="135">
        <v>1281</v>
      </c>
      <c r="AQ4522" s="136"/>
      <c r="AR4522" s="118">
        <v>800000</v>
      </c>
      <c r="AS4522" s="119"/>
      <c r="AT4522" s="118">
        <f t="shared" ref="AT4522" si="5012">AR4522*0.1</f>
        <v>80000</v>
      </c>
      <c r="AU4522" s="119"/>
      <c r="AV4522" s="118">
        <v>8160</v>
      </c>
      <c r="AW4522" s="119"/>
      <c r="AX4522" s="118">
        <f t="shared" ref="AX4522" si="5013">SUM(AR4522:AW4522)</f>
        <v>888160</v>
      </c>
      <c r="AY4522" s="119"/>
      <c r="AZ4522" s="137">
        <v>46014</v>
      </c>
    </row>
    <row r="4523" spans="1:52" ht="17.100000000000001" customHeight="1" thickBot="1">
      <c r="A4523" s="110"/>
      <c r="B4523" s="27" t="s">
        <v>2794</v>
      </c>
      <c r="C4523" s="27">
        <v>1081</v>
      </c>
      <c r="D4523" s="14" t="s">
        <v>1812</v>
      </c>
      <c r="E4523" s="112"/>
      <c r="F4523" s="139" t="s">
        <v>13606</v>
      </c>
      <c r="G4523" s="140"/>
      <c r="H4523" s="141"/>
      <c r="I4523" s="26">
        <v>27000</v>
      </c>
      <c r="J4523" s="117"/>
      <c r="K4523" s="120"/>
      <c r="L4523" s="121"/>
      <c r="M4523" s="120"/>
      <c r="N4523" s="121"/>
      <c r="O4523" s="120"/>
      <c r="P4523" s="121"/>
      <c r="Q4523" s="120"/>
      <c r="R4523" s="121"/>
      <c r="S4523" s="120"/>
      <c r="T4523" s="121"/>
      <c r="U4523" s="120"/>
      <c r="V4523" s="123"/>
      <c r="W4523" s="125"/>
      <c r="X4523" s="142" t="s">
        <v>14150</v>
      </c>
      <c r="Y4523" s="143"/>
      <c r="Z4523" s="143"/>
      <c r="AA4523" s="143"/>
      <c r="AB4523" s="144"/>
      <c r="AC4523" s="16" t="s">
        <v>21</v>
      </c>
      <c r="AD4523" s="17" t="s">
        <v>3980</v>
      </c>
      <c r="AE4523" s="145"/>
      <c r="AF4523" s="146"/>
      <c r="AG4523" s="146"/>
      <c r="AH4523" s="146"/>
      <c r="AI4523" s="147"/>
      <c r="AJ4523" s="148"/>
      <c r="AK4523" s="143"/>
      <c r="AL4523" s="144"/>
      <c r="AM4523" s="22"/>
      <c r="AN4523" s="149" t="s">
        <v>2511</v>
      </c>
      <c r="AO4523" s="144"/>
      <c r="AP4523" s="148">
        <v>151</v>
      </c>
      <c r="AQ4523" s="144"/>
      <c r="AR4523" s="120"/>
      <c r="AS4523" s="121"/>
      <c r="AT4523" s="120"/>
      <c r="AU4523" s="121"/>
      <c r="AV4523" s="120"/>
      <c r="AW4523" s="121"/>
      <c r="AX4523" s="120"/>
      <c r="AY4523" s="121"/>
      <c r="AZ4523" s="138"/>
    </row>
    <row r="4524" spans="1:52" ht="17.100000000000001" customHeight="1" thickTop="1">
      <c r="A4524" s="109" t="s">
        <v>13603</v>
      </c>
      <c r="B4524" s="28">
        <v>46008</v>
      </c>
      <c r="C4524" s="25">
        <v>997</v>
      </c>
      <c r="D4524" s="13" t="s">
        <v>859</v>
      </c>
      <c r="E4524" s="111"/>
      <c r="F4524" s="113" t="s">
        <v>4892</v>
      </c>
      <c r="G4524" s="114"/>
      <c r="H4524" s="115"/>
      <c r="I4524" s="24" t="s">
        <v>3585</v>
      </c>
      <c r="J4524" s="116">
        <v>5</v>
      </c>
      <c r="K4524" s="118">
        <v>2170000</v>
      </c>
      <c r="L4524" s="119"/>
      <c r="M4524" s="118">
        <f t="shared" ref="M4524" si="5014">K4524*0.1</f>
        <v>217000</v>
      </c>
      <c r="N4524" s="119"/>
      <c r="O4524" s="118">
        <f>7600+760</f>
        <v>8360</v>
      </c>
      <c r="P4524" s="119"/>
      <c r="Q4524" s="118">
        <v>8340</v>
      </c>
      <c r="R4524" s="119"/>
      <c r="S4524" s="118">
        <v>12100</v>
      </c>
      <c r="T4524" s="119"/>
      <c r="U4524" s="118">
        <f t="shared" ref="U4524" si="5015">SUM(K4524:T4525)</f>
        <v>2415800</v>
      </c>
      <c r="V4524" s="122"/>
      <c r="W4524" s="124"/>
      <c r="X4524" s="126" t="s">
        <v>13608</v>
      </c>
      <c r="Y4524" s="127"/>
      <c r="Z4524" s="127"/>
      <c r="AA4524" s="127"/>
      <c r="AB4524" s="128"/>
      <c r="AC4524" s="15" t="s">
        <v>20</v>
      </c>
      <c r="AD4524" s="129" t="s">
        <v>13609</v>
      </c>
      <c r="AE4524" s="130"/>
      <c r="AF4524" s="130"/>
      <c r="AG4524" s="130"/>
      <c r="AH4524" s="130"/>
      <c r="AI4524" s="131"/>
      <c r="AJ4524" s="132"/>
      <c r="AK4524" s="127"/>
      <c r="AL4524" s="128"/>
      <c r="AM4524" s="21"/>
      <c r="AN4524" s="133">
        <v>46018</v>
      </c>
      <c r="AO4524" s="134"/>
      <c r="AP4524" s="135">
        <v>1282</v>
      </c>
      <c r="AQ4524" s="136"/>
      <c r="AR4524" s="118">
        <v>2220000</v>
      </c>
      <c r="AS4524" s="119"/>
      <c r="AT4524" s="118">
        <f t="shared" ref="AT4524" si="5016">AR4524*0.1</f>
        <v>222000</v>
      </c>
      <c r="AU4524" s="119"/>
      <c r="AV4524" s="118">
        <v>8340</v>
      </c>
      <c r="AW4524" s="119"/>
      <c r="AX4524" s="118">
        <f t="shared" ref="AX4524" si="5017">SUM(AR4524:AW4524)</f>
        <v>2450340</v>
      </c>
      <c r="AY4524" s="119"/>
      <c r="AZ4524" s="137">
        <v>46028</v>
      </c>
    </row>
    <row r="4525" spans="1:52" ht="17.100000000000001" customHeight="1" thickBot="1">
      <c r="A4525" s="110"/>
      <c r="B4525" s="27" t="s">
        <v>2794</v>
      </c>
      <c r="C4525" s="27">
        <v>1114</v>
      </c>
      <c r="D4525" s="14" t="s">
        <v>275</v>
      </c>
      <c r="E4525" s="112"/>
      <c r="F4525" s="139" t="s">
        <v>13607</v>
      </c>
      <c r="G4525" s="140"/>
      <c r="H4525" s="141"/>
      <c r="I4525" s="26">
        <v>40988</v>
      </c>
      <c r="J4525" s="117"/>
      <c r="K4525" s="120"/>
      <c r="L4525" s="121"/>
      <c r="M4525" s="120"/>
      <c r="N4525" s="121"/>
      <c r="O4525" s="120"/>
      <c r="P4525" s="121"/>
      <c r="Q4525" s="120"/>
      <c r="R4525" s="121"/>
      <c r="S4525" s="120"/>
      <c r="T4525" s="121"/>
      <c r="U4525" s="120"/>
      <c r="V4525" s="123"/>
      <c r="W4525" s="125"/>
      <c r="X4525" s="142" t="s">
        <v>14256</v>
      </c>
      <c r="Y4525" s="143"/>
      <c r="Z4525" s="143"/>
      <c r="AA4525" s="143"/>
      <c r="AB4525" s="144"/>
      <c r="AC4525" s="16" t="s">
        <v>21</v>
      </c>
      <c r="AD4525" s="17" t="s">
        <v>3488</v>
      </c>
      <c r="AE4525" s="145" t="s">
        <v>5140</v>
      </c>
      <c r="AF4525" s="146"/>
      <c r="AG4525" s="146"/>
      <c r="AH4525" s="146"/>
      <c r="AI4525" s="147"/>
      <c r="AJ4525" s="148"/>
      <c r="AK4525" s="143"/>
      <c r="AL4525" s="144"/>
      <c r="AM4525" s="22"/>
      <c r="AN4525" s="149" t="s">
        <v>2511</v>
      </c>
      <c r="AO4525" s="144"/>
      <c r="AP4525" s="148">
        <v>55045</v>
      </c>
      <c r="AQ4525" s="144"/>
      <c r="AR4525" s="120"/>
      <c r="AS4525" s="121"/>
      <c r="AT4525" s="120"/>
      <c r="AU4525" s="121"/>
      <c r="AV4525" s="120"/>
      <c r="AW4525" s="121"/>
      <c r="AX4525" s="120"/>
      <c r="AY4525" s="121"/>
      <c r="AZ4525" s="138"/>
    </row>
    <row r="4526" spans="1:52" ht="17.100000000000001" customHeight="1" thickTop="1">
      <c r="A4526" s="151" t="s">
        <v>13604</v>
      </c>
      <c r="B4526" s="28">
        <v>46008</v>
      </c>
      <c r="C4526" s="25">
        <v>997</v>
      </c>
      <c r="D4526" s="13" t="s">
        <v>859</v>
      </c>
      <c r="E4526" s="111"/>
      <c r="F4526" s="113" t="s">
        <v>4892</v>
      </c>
      <c r="G4526" s="114"/>
      <c r="H4526" s="115"/>
      <c r="I4526" s="24" t="s">
        <v>12603</v>
      </c>
      <c r="J4526" s="116">
        <v>4.5</v>
      </c>
      <c r="K4526" s="118">
        <v>2085000</v>
      </c>
      <c r="L4526" s="119"/>
      <c r="M4526" s="118">
        <f t="shared" ref="M4526" si="5018">K4526*0.1</f>
        <v>208500</v>
      </c>
      <c r="N4526" s="119"/>
      <c r="O4526" s="118">
        <f>7600+760</f>
        <v>8360</v>
      </c>
      <c r="P4526" s="119"/>
      <c r="Q4526" s="118">
        <v>8340</v>
      </c>
      <c r="R4526" s="119"/>
      <c r="S4526" s="118">
        <v>12100</v>
      </c>
      <c r="T4526" s="119"/>
      <c r="U4526" s="118">
        <f t="shared" ref="U4526" si="5019">SUM(K4526:T4527)</f>
        <v>2322300</v>
      </c>
      <c r="V4526" s="122"/>
      <c r="W4526" s="124"/>
      <c r="X4526" s="126" t="s">
        <v>13611</v>
      </c>
      <c r="Y4526" s="127"/>
      <c r="Z4526" s="127"/>
      <c r="AA4526" s="127"/>
      <c r="AB4526" s="128"/>
      <c r="AC4526" s="15" t="s">
        <v>20</v>
      </c>
      <c r="AD4526" s="129" t="s">
        <v>7905</v>
      </c>
      <c r="AE4526" s="130"/>
      <c r="AF4526" s="130"/>
      <c r="AG4526" s="130"/>
      <c r="AH4526" s="130"/>
      <c r="AI4526" s="131"/>
      <c r="AJ4526" s="132"/>
      <c r="AK4526" s="127"/>
      <c r="AL4526" s="128"/>
      <c r="AM4526" s="21"/>
      <c r="AN4526" s="133">
        <v>46032</v>
      </c>
      <c r="AO4526" s="134"/>
      <c r="AP4526" s="135">
        <v>1283</v>
      </c>
      <c r="AQ4526" s="136"/>
      <c r="AR4526" s="118">
        <v>2200000</v>
      </c>
      <c r="AS4526" s="119"/>
      <c r="AT4526" s="118">
        <f t="shared" ref="AT4526" si="5020">AR4526*0.1</f>
        <v>220000</v>
      </c>
      <c r="AU4526" s="119"/>
      <c r="AV4526" s="118">
        <v>8340</v>
      </c>
      <c r="AW4526" s="119"/>
      <c r="AX4526" s="118">
        <f t="shared" ref="AX4526" si="5021">SUM(AR4526:AW4526)</f>
        <v>2428340</v>
      </c>
      <c r="AY4526" s="119"/>
      <c r="AZ4526" s="137">
        <v>46036</v>
      </c>
    </row>
    <row r="4527" spans="1:52" ht="17.100000000000001" customHeight="1" thickBot="1">
      <c r="A4527" s="152"/>
      <c r="B4527" s="27" t="s">
        <v>2794</v>
      </c>
      <c r="C4527" s="27">
        <v>1123</v>
      </c>
      <c r="D4527" s="14" t="s">
        <v>275</v>
      </c>
      <c r="E4527" s="112"/>
      <c r="F4527" s="139" t="s">
        <v>13610</v>
      </c>
      <c r="G4527" s="140"/>
      <c r="H4527" s="141"/>
      <c r="I4527" s="26">
        <v>17134</v>
      </c>
      <c r="J4527" s="117"/>
      <c r="K4527" s="120"/>
      <c r="L4527" s="121"/>
      <c r="M4527" s="120"/>
      <c r="N4527" s="121"/>
      <c r="O4527" s="120"/>
      <c r="P4527" s="121"/>
      <c r="Q4527" s="120"/>
      <c r="R4527" s="121"/>
      <c r="S4527" s="120"/>
      <c r="T4527" s="121"/>
      <c r="U4527" s="120"/>
      <c r="V4527" s="123"/>
      <c r="W4527" s="125"/>
      <c r="X4527" s="142" t="s">
        <v>14251</v>
      </c>
      <c r="Y4527" s="143"/>
      <c r="Z4527" s="143"/>
      <c r="AA4527" s="143"/>
      <c r="AB4527" s="144"/>
      <c r="AC4527" s="16" t="s">
        <v>21</v>
      </c>
      <c r="AD4527" s="17" t="s">
        <v>3488</v>
      </c>
      <c r="AE4527" s="145" t="s">
        <v>1742</v>
      </c>
      <c r="AF4527" s="146"/>
      <c r="AG4527" s="146"/>
      <c r="AH4527" s="146"/>
      <c r="AI4527" s="147"/>
      <c r="AJ4527" s="148"/>
      <c r="AK4527" s="143"/>
      <c r="AL4527" s="144"/>
      <c r="AM4527" s="22"/>
      <c r="AN4527" s="149" t="s">
        <v>2511</v>
      </c>
      <c r="AO4527" s="144"/>
      <c r="AP4527" s="148">
        <v>55075</v>
      </c>
      <c r="AQ4527" s="144"/>
      <c r="AR4527" s="120"/>
      <c r="AS4527" s="121"/>
      <c r="AT4527" s="120"/>
      <c r="AU4527" s="121"/>
      <c r="AV4527" s="120"/>
      <c r="AW4527" s="121"/>
      <c r="AX4527" s="120"/>
      <c r="AY4527" s="121"/>
      <c r="AZ4527" s="138"/>
    </row>
    <row r="4528" spans="1:52" ht="17.100000000000001" customHeight="1" thickTop="1">
      <c r="A4528" s="109" t="s">
        <v>13666</v>
      </c>
      <c r="B4528" s="28">
        <v>46005</v>
      </c>
      <c r="C4528" s="25"/>
      <c r="D4528" s="13" t="s">
        <v>1725</v>
      </c>
      <c r="E4528" s="111"/>
      <c r="F4528" s="113" t="s">
        <v>4122</v>
      </c>
      <c r="G4528" s="114"/>
      <c r="H4528" s="115"/>
      <c r="I4528" s="24" t="s">
        <v>2533</v>
      </c>
      <c r="J4528" s="116"/>
      <c r="K4528" s="118">
        <v>2000000</v>
      </c>
      <c r="L4528" s="119"/>
      <c r="M4528" s="118">
        <v>0</v>
      </c>
      <c r="N4528" s="119"/>
      <c r="O4528" s="118">
        <v>0</v>
      </c>
      <c r="P4528" s="119"/>
      <c r="Q4528" s="118">
        <v>0</v>
      </c>
      <c r="R4528" s="119"/>
      <c r="S4528" s="118">
        <v>0</v>
      </c>
      <c r="T4528" s="119"/>
      <c r="U4528" s="118">
        <f t="shared" ref="U4528" si="5022">SUM(K4528:T4529)</f>
        <v>2000000</v>
      </c>
      <c r="V4528" s="122"/>
      <c r="W4528" s="124"/>
      <c r="X4528" s="126" t="s">
        <v>13669</v>
      </c>
      <c r="Y4528" s="127"/>
      <c r="Z4528" s="127"/>
      <c r="AA4528" s="127"/>
      <c r="AB4528" s="128"/>
      <c r="AC4528" s="15" t="s">
        <v>20</v>
      </c>
      <c r="AD4528" s="129"/>
      <c r="AE4528" s="130"/>
      <c r="AF4528" s="130"/>
      <c r="AG4528" s="130"/>
      <c r="AH4528" s="130"/>
      <c r="AI4528" s="131"/>
      <c r="AJ4528" s="132"/>
      <c r="AK4528" s="127"/>
      <c r="AL4528" s="128"/>
      <c r="AM4528" s="21"/>
      <c r="AN4528" s="133"/>
      <c r="AO4528" s="134"/>
      <c r="AP4528" s="135"/>
      <c r="AQ4528" s="136"/>
      <c r="AR4528" s="118"/>
      <c r="AS4528" s="119"/>
      <c r="AT4528" s="118">
        <f t="shared" ref="AT4528" si="5023">AR4528*0.1</f>
        <v>0</v>
      </c>
      <c r="AU4528" s="119"/>
      <c r="AV4528" s="118"/>
      <c r="AW4528" s="119"/>
      <c r="AX4528" s="118">
        <f t="shared" ref="AX4528" si="5024">SUM(AR4528:AW4528)</f>
        <v>0</v>
      </c>
      <c r="AY4528" s="119"/>
      <c r="AZ4528" s="137"/>
    </row>
    <row r="4529" spans="1:52" ht="17.100000000000001" customHeight="1" thickBot="1">
      <c r="A4529" s="110"/>
      <c r="B4529" s="27" t="s">
        <v>13667</v>
      </c>
      <c r="C4529" s="27"/>
      <c r="D4529" s="14"/>
      <c r="E4529" s="112"/>
      <c r="F4529" s="139" t="s">
        <v>13668</v>
      </c>
      <c r="G4529" s="140"/>
      <c r="H4529" s="141"/>
      <c r="I4529" s="26"/>
      <c r="J4529" s="117"/>
      <c r="K4529" s="120"/>
      <c r="L4529" s="121"/>
      <c r="M4529" s="120"/>
      <c r="N4529" s="121"/>
      <c r="O4529" s="120"/>
      <c r="P4529" s="121"/>
      <c r="Q4529" s="120"/>
      <c r="R4529" s="121"/>
      <c r="S4529" s="120"/>
      <c r="T4529" s="121"/>
      <c r="U4529" s="120"/>
      <c r="V4529" s="123"/>
      <c r="W4529" s="125"/>
      <c r="X4529" s="142" t="s">
        <v>13670</v>
      </c>
      <c r="Y4529" s="143"/>
      <c r="Z4529" s="143"/>
      <c r="AA4529" s="143"/>
      <c r="AB4529" s="144"/>
      <c r="AC4529" s="16" t="s">
        <v>21</v>
      </c>
      <c r="AD4529" s="17" t="s">
        <v>3445</v>
      </c>
      <c r="AE4529" s="145" t="s">
        <v>1742</v>
      </c>
      <c r="AF4529" s="146"/>
      <c r="AG4529" s="146"/>
      <c r="AH4529" s="146"/>
      <c r="AI4529" s="147"/>
      <c r="AJ4529" s="148"/>
      <c r="AK4529" s="143"/>
      <c r="AL4529" s="144"/>
      <c r="AM4529" s="22"/>
      <c r="AN4529" s="149"/>
      <c r="AO4529" s="144"/>
      <c r="AP4529" s="148"/>
      <c r="AQ4529" s="144"/>
      <c r="AR4529" s="120"/>
      <c r="AS4529" s="121"/>
      <c r="AT4529" s="120"/>
      <c r="AU4529" s="121"/>
      <c r="AV4529" s="120"/>
      <c r="AW4529" s="121"/>
      <c r="AX4529" s="120"/>
      <c r="AY4529" s="121"/>
      <c r="AZ4529" s="138"/>
    </row>
    <row r="4530" spans="1:52" ht="17.100000000000001" customHeight="1" thickTop="1">
      <c r="A4530" s="109" t="s">
        <v>13671</v>
      </c>
      <c r="B4530" s="28">
        <v>46009</v>
      </c>
      <c r="C4530" s="25">
        <v>2007</v>
      </c>
      <c r="D4530" s="13" t="s">
        <v>2226</v>
      </c>
      <c r="E4530" s="111"/>
      <c r="F4530" s="113" t="s">
        <v>13612</v>
      </c>
      <c r="G4530" s="114"/>
      <c r="H4530" s="115"/>
      <c r="I4530" s="24" t="s">
        <v>2919</v>
      </c>
      <c r="J4530" s="116">
        <v>3.5</v>
      </c>
      <c r="K4530" s="118">
        <v>735000</v>
      </c>
      <c r="L4530" s="119"/>
      <c r="M4530" s="118">
        <f t="shared" ref="M4530" si="5025">K4530*0.1</f>
        <v>73500</v>
      </c>
      <c r="N4530" s="119"/>
      <c r="O4530" s="118">
        <v>0</v>
      </c>
      <c r="P4530" s="119"/>
      <c r="Q4530" s="118">
        <v>11130</v>
      </c>
      <c r="R4530" s="119"/>
      <c r="S4530" s="118">
        <v>22000</v>
      </c>
      <c r="T4530" s="119"/>
      <c r="U4530" s="118">
        <f t="shared" ref="U4530" si="5026">SUM(K4530:T4531)</f>
        <v>841630</v>
      </c>
      <c r="V4530" s="122"/>
      <c r="W4530" s="124"/>
      <c r="X4530" s="126" t="s">
        <v>13614</v>
      </c>
      <c r="Y4530" s="127"/>
      <c r="Z4530" s="127"/>
      <c r="AA4530" s="127"/>
      <c r="AB4530" s="128"/>
      <c r="AC4530" s="15" t="s">
        <v>20</v>
      </c>
      <c r="AD4530" s="129" t="s">
        <v>171</v>
      </c>
      <c r="AE4530" s="130"/>
      <c r="AF4530" s="130"/>
      <c r="AG4530" s="130"/>
      <c r="AH4530" s="130"/>
      <c r="AI4530" s="131"/>
      <c r="AJ4530" s="132"/>
      <c r="AK4530" s="127"/>
      <c r="AL4530" s="128"/>
      <c r="AM4530" s="21"/>
      <c r="AN4530" s="133">
        <v>46015</v>
      </c>
      <c r="AO4530" s="134"/>
      <c r="AP4530" s="135">
        <v>998</v>
      </c>
      <c r="AQ4530" s="136"/>
      <c r="AR4530" s="118">
        <v>1260000</v>
      </c>
      <c r="AS4530" s="119"/>
      <c r="AT4530" s="118">
        <f t="shared" ref="AT4530" si="5027">AR4530*0.1</f>
        <v>126000</v>
      </c>
      <c r="AU4530" s="119"/>
      <c r="AV4530" s="118">
        <v>11130</v>
      </c>
      <c r="AW4530" s="119"/>
      <c r="AX4530" s="118">
        <f t="shared" ref="AX4530" si="5028">SUM(AR4530:AW4530)</f>
        <v>1397130</v>
      </c>
      <c r="AY4530" s="119"/>
      <c r="AZ4530" s="137">
        <v>46027</v>
      </c>
    </row>
    <row r="4531" spans="1:52" ht="17.100000000000001" customHeight="1" thickBot="1">
      <c r="A4531" s="110"/>
      <c r="B4531" s="27" t="s">
        <v>2200</v>
      </c>
      <c r="C4531" s="27">
        <v>50042</v>
      </c>
      <c r="D4531" s="14" t="s">
        <v>275</v>
      </c>
      <c r="E4531" s="112"/>
      <c r="F4531" s="139" t="s">
        <v>13613</v>
      </c>
      <c r="G4531" s="140"/>
      <c r="H4531" s="141"/>
      <c r="I4531" s="26">
        <v>14190</v>
      </c>
      <c r="J4531" s="117"/>
      <c r="K4531" s="120"/>
      <c r="L4531" s="121"/>
      <c r="M4531" s="120"/>
      <c r="N4531" s="121"/>
      <c r="O4531" s="120"/>
      <c r="P4531" s="121"/>
      <c r="Q4531" s="120"/>
      <c r="R4531" s="121"/>
      <c r="S4531" s="120"/>
      <c r="T4531" s="121"/>
      <c r="U4531" s="120"/>
      <c r="V4531" s="123"/>
      <c r="W4531" s="125"/>
      <c r="X4531" s="142" t="s">
        <v>2321</v>
      </c>
      <c r="Y4531" s="143"/>
      <c r="Z4531" s="143"/>
      <c r="AA4531" s="143"/>
      <c r="AB4531" s="144"/>
      <c r="AC4531" s="16" t="s">
        <v>21</v>
      </c>
      <c r="AD4531" s="17" t="s">
        <v>14134</v>
      </c>
      <c r="AE4531" s="145" t="s">
        <v>9715</v>
      </c>
      <c r="AF4531" s="146"/>
      <c r="AG4531" s="146"/>
      <c r="AH4531" s="146"/>
      <c r="AI4531" s="147"/>
      <c r="AJ4531" s="148"/>
      <c r="AK4531" s="143"/>
      <c r="AL4531" s="144"/>
      <c r="AM4531" s="22"/>
      <c r="AN4531" s="149" t="s">
        <v>2794</v>
      </c>
      <c r="AO4531" s="144"/>
      <c r="AP4531" s="148">
        <v>2056</v>
      </c>
      <c r="AQ4531" s="144"/>
      <c r="AR4531" s="120"/>
      <c r="AS4531" s="121"/>
      <c r="AT4531" s="120"/>
      <c r="AU4531" s="121"/>
      <c r="AV4531" s="120"/>
      <c r="AW4531" s="121"/>
      <c r="AX4531" s="120"/>
      <c r="AY4531" s="121"/>
      <c r="AZ4531" s="138"/>
    </row>
    <row r="4532" spans="1:52" ht="17.100000000000001" customHeight="1" thickTop="1">
      <c r="A4532" s="109" t="s">
        <v>13672</v>
      </c>
      <c r="B4532" s="28">
        <v>46009</v>
      </c>
      <c r="C4532" s="25">
        <v>2007</v>
      </c>
      <c r="D4532" s="13" t="s">
        <v>3386</v>
      </c>
      <c r="E4532" s="111"/>
      <c r="F4532" s="113" t="s">
        <v>12302</v>
      </c>
      <c r="G4532" s="114"/>
      <c r="H4532" s="115"/>
      <c r="I4532" s="24" t="s">
        <v>4096</v>
      </c>
      <c r="J4532" s="116">
        <v>4</v>
      </c>
      <c r="K4532" s="118">
        <v>1121000</v>
      </c>
      <c r="L4532" s="119"/>
      <c r="M4532" s="118">
        <f t="shared" ref="M4532" si="5029">K4532*0.1</f>
        <v>112100</v>
      </c>
      <c r="N4532" s="119"/>
      <c r="O4532" s="118">
        <v>0</v>
      </c>
      <c r="P4532" s="119"/>
      <c r="Q4532" s="118">
        <v>7040</v>
      </c>
      <c r="R4532" s="119"/>
      <c r="S4532" s="118">
        <v>22000</v>
      </c>
      <c r="T4532" s="119"/>
      <c r="U4532" s="118">
        <f t="shared" ref="U4532" si="5030">SUM(K4532:T4533)</f>
        <v>1262140</v>
      </c>
      <c r="V4532" s="122"/>
      <c r="W4532" s="124"/>
      <c r="X4532" s="126" t="s">
        <v>13616</v>
      </c>
      <c r="Y4532" s="127"/>
      <c r="Z4532" s="127"/>
      <c r="AA4532" s="127"/>
      <c r="AB4532" s="128"/>
      <c r="AC4532" s="15" t="s">
        <v>20</v>
      </c>
      <c r="AD4532" s="129" t="s">
        <v>8788</v>
      </c>
      <c r="AE4532" s="130"/>
      <c r="AF4532" s="130"/>
      <c r="AG4532" s="130"/>
      <c r="AH4532" s="130"/>
      <c r="AI4532" s="131"/>
      <c r="AJ4532" s="132"/>
      <c r="AK4532" s="127"/>
      <c r="AL4532" s="128"/>
      <c r="AM4532" s="85" t="s">
        <v>13616</v>
      </c>
      <c r="AN4532" s="133">
        <v>46063</v>
      </c>
      <c r="AO4532" s="134"/>
      <c r="AP4532" s="135">
        <v>1928</v>
      </c>
      <c r="AQ4532" s="136"/>
      <c r="AR4532" s="118">
        <v>1170000</v>
      </c>
      <c r="AS4532" s="119"/>
      <c r="AT4532" s="118">
        <f t="shared" ref="AT4532" si="5031">AR4532*0.1</f>
        <v>117000</v>
      </c>
      <c r="AU4532" s="119"/>
      <c r="AV4532" s="118">
        <v>7040</v>
      </c>
      <c r="AW4532" s="119"/>
      <c r="AX4532" s="118">
        <f t="shared" ref="AX4532" si="5032">SUM(AR4532:AW4532)</f>
        <v>1294040</v>
      </c>
      <c r="AY4532" s="119"/>
      <c r="AZ4532" s="137"/>
    </row>
    <row r="4533" spans="1:52" ht="17.100000000000001" customHeight="1" thickBot="1">
      <c r="A4533" s="110"/>
      <c r="B4533" s="27" t="s">
        <v>2200</v>
      </c>
      <c r="C4533" s="27">
        <v>50106</v>
      </c>
      <c r="D4533" s="14" t="s">
        <v>904</v>
      </c>
      <c r="E4533" s="112"/>
      <c r="F4533" s="139" t="s">
        <v>13615</v>
      </c>
      <c r="G4533" s="140"/>
      <c r="H4533" s="141"/>
      <c r="I4533" s="26">
        <v>54713</v>
      </c>
      <c r="J4533" s="117"/>
      <c r="K4533" s="120"/>
      <c r="L4533" s="121"/>
      <c r="M4533" s="120"/>
      <c r="N4533" s="121"/>
      <c r="O4533" s="120"/>
      <c r="P4533" s="121"/>
      <c r="Q4533" s="120"/>
      <c r="R4533" s="121"/>
      <c r="S4533" s="120"/>
      <c r="T4533" s="121"/>
      <c r="U4533" s="120"/>
      <c r="V4533" s="123"/>
      <c r="W4533" s="125"/>
      <c r="X4533" s="142" t="s">
        <v>14231</v>
      </c>
      <c r="Y4533" s="143"/>
      <c r="Z4533" s="143"/>
      <c r="AA4533" s="143"/>
      <c r="AB4533" s="144"/>
      <c r="AC4533" s="16" t="s">
        <v>21</v>
      </c>
      <c r="AD4533" s="17" t="s">
        <v>14134</v>
      </c>
      <c r="AE4533" s="145" t="s">
        <v>171</v>
      </c>
      <c r="AF4533" s="146"/>
      <c r="AG4533" s="146"/>
      <c r="AH4533" s="146"/>
      <c r="AI4533" s="147"/>
      <c r="AJ4533" s="148"/>
      <c r="AK4533" s="143"/>
      <c r="AL4533" s="144"/>
      <c r="AM4533" s="22"/>
      <c r="AN4533" s="149" t="s">
        <v>2131</v>
      </c>
      <c r="AO4533" s="144"/>
      <c r="AP4533" s="148">
        <v>3073</v>
      </c>
      <c r="AQ4533" s="144"/>
      <c r="AR4533" s="120"/>
      <c r="AS4533" s="121"/>
      <c r="AT4533" s="120"/>
      <c r="AU4533" s="121"/>
      <c r="AV4533" s="120"/>
      <c r="AW4533" s="121"/>
      <c r="AX4533" s="120"/>
      <c r="AY4533" s="121"/>
      <c r="AZ4533" s="138"/>
    </row>
    <row r="4534" spans="1:52" ht="17.100000000000001" customHeight="1" thickTop="1">
      <c r="A4534" s="109" t="s">
        <v>13673</v>
      </c>
      <c r="B4534" s="28">
        <v>46009</v>
      </c>
      <c r="C4534" s="25">
        <v>2007</v>
      </c>
      <c r="D4534" s="13" t="s">
        <v>1744</v>
      </c>
      <c r="E4534" s="111"/>
      <c r="F4534" s="113" t="s">
        <v>3323</v>
      </c>
      <c r="G4534" s="114"/>
      <c r="H4534" s="115"/>
      <c r="I4534" s="24"/>
      <c r="J4534" s="116">
        <v>4</v>
      </c>
      <c r="K4534" s="118">
        <v>937000</v>
      </c>
      <c r="L4534" s="119"/>
      <c r="M4534" s="118">
        <f t="shared" ref="M4534" si="5033">K4534*0.1</f>
        <v>93700</v>
      </c>
      <c r="N4534" s="119"/>
      <c r="O4534" s="118">
        <v>0</v>
      </c>
      <c r="P4534" s="119"/>
      <c r="Q4534" s="118">
        <v>8110</v>
      </c>
      <c r="R4534" s="119"/>
      <c r="S4534" s="118">
        <v>22000</v>
      </c>
      <c r="T4534" s="119"/>
      <c r="U4534" s="118">
        <f t="shared" ref="U4534" si="5034">SUM(K4534:T4535)</f>
        <v>1060810</v>
      </c>
      <c r="V4534" s="122"/>
      <c r="W4534" s="124"/>
      <c r="X4534" s="126" t="s">
        <v>13941</v>
      </c>
      <c r="Y4534" s="127"/>
      <c r="Z4534" s="127"/>
      <c r="AA4534" s="127"/>
      <c r="AB4534" s="128"/>
      <c r="AC4534" s="15" t="s">
        <v>20</v>
      </c>
      <c r="AD4534" s="129" t="s">
        <v>13618</v>
      </c>
      <c r="AE4534" s="130"/>
      <c r="AF4534" s="130"/>
      <c r="AG4534" s="130"/>
      <c r="AH4534" s="130"/>
      <c r="AI4534" s="131"/>
      <c r="AJ4534" s="132"/>
      <c r="AK4534" s="127"/>
      <c r="AL4534" s="128"/>
      <c r="AM4534" s="21"/>
      <c r="AN4534" s="133">
        <v>46036</v>
      </c>
      <c r="AO4534" s="134"/>
      <c r="AP4534" s="135">
        <v>1000</v>
      </c>
      <c r="AQ4534" s="136"/>
      <c r="AR4534" s="118">
        <v>990000</v>
      </c>
      <c r="AS4534" s="119"/>
      <c r="AT4534" s="118">
        <f t="shared" ref="AT4534" si="5035">AR4534*0.1</f>
        <v>99000</v>
      </c>
      <c r="AU4534" s="119"/>
      <c r="AV4534" s="118">
        <v>8110</v>
      </c>
      <c r="AW4534" s="119"/>
      <c r="AX4534" s="118">
        <f t="shared" ref="AX4534" si="5036">SUM(AR4534:AW4534)</f>
        <v>1097110</v>
      </c>
      <c r="AY4534" s="119"/>
      <c r="AZ4534" s="137">
        <v>46041</v>
      </c>
    </row>
    <row r="4535" spans="1:52" ht="17.100000000000001" customHeight="1" thickBot="1">
      <c r="A4535" s="110"/>
      <c r="B4535" s="27" t="s">
        <v>2200</v>
      </c>
      <c r="C4535" s="27">
        <v>50118</v>
      </c>
      <c r="D4535" s="14" t="s">
        <v>2601</v>
      </c>
      <c r="E4535" s="112"/>
      <c r="F4535" s="139" t="s">
        <v>13617</v>
      </c>
      <c r="G4535" s="140"/>
      <c r="H4535" s="141"/>
      <c r="I4535" s="26">
        <v>54878</v>
      </c>
      <c r="J4535" s="117"/>
      <c r="K4535" s="120"/>
      <c r="L4535" s="121"/>
      <c r="M4535" s="120"/>
      <c r="N4535" s="121"/>
      <c r="O4535" s="120"/>
      <c r="P4535" s="121"/>
      <c r="Q4535" s="120"/>
      <c r="R4535" s="121"/>
      <c r="S4535" s="120"/>
      <c r="T4535" s="121"/>
      <c r="U4535" s="120"/>
      <c r="V4535" s="123"/>
      <c r="W4535" s="125"/>
      <c r="X4535" s="142" t="s">
        <v>13942</v>
      </c>
      <c r="Y4535" s="143"/>
      <c r="Z4535" s="143"/>
      <c r="AA4535" s="143"/>
      <c r="AB4535" s="144"/>
      <c r="AC4535" s="16" t="s">
        <v>21</v>
      </c>
      <c r="AD4535" s="17" t="s">
        <v>1809</v>
      </c>
      <c r="AE4535" s="145" t="s">
        <v>13943</v>
      </c>
      <c r="AF4535" s="146"/>
      <c r="AG4535" s="146"/>
      <c r="AH4535" s="146"/>
      <c r="AI4535" s="147"/>
      <c r="AJ4535" s="148"/>
      <c r="AK4535" s="143"/>
      <c r="AL4535" s="144"/>
      <c r="AM4535" s="22"/>
      <c r="AN4535" s="149" t="s">
        <v>2794</v>
      </c>
      <c r="AO4535" s="144"/>
      <c r="AP4535" s="148">
        <v>2048</v>
      </c>
      <c r="AQ4535" s="144"/>
      <c r="AR4535" s="120"/>
      <c r="AS4535" s="121"/>
      <c r="AT4535" s="120"/>
      <c r="AU4535" s="121"/>
      <c r="AV4535" s="120"/>
      <c r="AW4535" s="121"/>
      <c r="AX4535" s="120"/>
      <c r="AY4535" s="121"/>
      <c r="AZ4535" s="138"/>
    </row>
    <row r="4536" spans="1:52" ht="17.100000000000001" customHeight="1" thickTop="1">
      <c r="A4536" s="109" t="s">
        <v>13674</v>
      </c>
      <c r="B4536" s="28">
        <v>46009</v>
      </c>
      <c r="C4536" s="25">
        <v>2007</v>
      </c>
      <c r="D4536" s="13" t="s">
        <v>1597</v>
      </c>
      <c r="E4536" s="111"/>
      <c r="F4536" s="113" t="s">
        <v>13478</v>
      </c>
      <c r="G4536" s="114"/>
      <c r="H4536" s="115"/>
      <c r="I4536" s="24"/>
      <c r="J4536" s="116">
        <v>4</v>
      </c>
      <c r="K4536" s="118">
        <v>555000</v>
      </c>
      <c r="L4536" s="119"/>
      <c r="M4536" s="118">
        <f t="shared" ref="M4536" si="5037">K4536*0.1</f>
        <v>55500</v>
      </c>
      <c r="N4536" s="119"/>
      <c r="O4536" s="118">
        <v>0</v>
      </c>
      <c r="P4536" s="119"/>
      <c r="Q4536" s="118">
        <v>8110</v>
      </c>
      <c r="R4536" s="119"/>
      <c r="S4536" s="118">
        <v>22000</v>
      </c>
      <c r="T4536" s="119"/>
      <c r="U4536" s="118">
        <f t="shared" ref="U4536" si="5038">SUM(K4536:T4537)</f>
        <v>640610</v>
      </c>
      <c r="V4536" s="122"/>
      <c r="W4536" s="124"/>
      <c r="X4536" s="126" t="s">
        <v>14228</v>
      </c>
      <c r="Y4536" s="127"/>
      <c r="Z4536" s="127"/>
      <c r="AA4536" s="127"/>
      <c r="AB4536" s="128"/>
      <c r="AC4536" s="15" t="s">
        <v>20</v>
      </c>
      <c r="AD4536" s="129" t="s">
        <v>1732</v>
      </c>
      <c r="AE4536" s="130"/>
      <c r="AF4536" s="130"/>
      <c r="AG4536" s="130"/>
      <c r="AH4536" s="130"/>
      <c r="AI4536" s="131"/>
      <c r="AJ4536" s="132"/>
      <c r="AK4536" s="127"/>
      <c r="AL4536" s="128"/>
      <c r="AM4536" s="21"/>
      <c r="AN4536" s="133">
        <v>46029</v>
      </c>
      <c r="AO4536" s="134"/>
      <c r="AP4536" s="135">
        <v>999</v>
      </c>
      <c r="AQ4536" s="136"/>
      <c r="AR4536" s="118">
        <v>660000</v>
      </c>
      <c r="AS4536" s="119"/>
      <c r="AT4536" s="118">
        <f t="shared" ref="AT4536" si="5039">AR4536*0.1</f>
        <v>66000</v>
      </c>
      <c r="AU4536" s="119"/>
      <c r="AV4536" s="118">
        <v>8110</v>
      </c>
      <c r="AW4536" s="119"/>
      <c r="AX4536" s="118">
        <f t="shared" ref="AX4536" si="5040">SUM(AR4536:AW4536)</f>
        <v>734110</v>
      </c>
      <c r="AY4536" s="119"/>
      <c r="AZ4536" s="137">
        <v>46036</v>
      </c>
    </row>
    <row r="4537" spans="1:52" ht="17.100000000000001" customHeight="1" thickBot="1">
      <c r="A4537" s="110"/>
      <c r="B4537" s="27" t="s">
        <v>2200</v>
      </c>
      <c r="C4537" s="27">
        <v>50156</v>
      </c>
      <c r="D4537" s="14" t="s">
        <v>1576</v>
      </c>
      <c r="E4537" s="112"/>
      <c r="F4537" s="139" t="s">
        <v>13619</v>
      </c>
      <c r="G4537" s="140"/>
      <c r="H4537" s="141"/>
      <c r="I4537" s="26">
        <v>58211</v>
      </c>
      <c r="J4537" s="117"/>
      <c r="K4537" s="120"/>
      <c r="L4537" s="121"/>
      <c r="M4537" s="120"/>
      <c r="N4537" s="121"/>
      <c r="O4537" s="120"/>
      <c r="P4537" s="121"/>
      <c r="Q4537" s="120"/>
      <c r="R4537" s="121"/>
      <c r="S4537" s="120"/>
      <c r="T4537" s="121"/>
      <c r="U4537" s="120"/>
      <c r="V4537" s="123"/>
      <c r="W4537" s="125"/>
      <c r="X4537" s="142" t="s">
        <v>14229</v>
      </c>
      <c r="Y4537" s="143"/>
      <c r="Z4537" s="143"/>
      <c r="AA4537" s="143"/>
      <c r="AB4537" s="144"/>
      <c r="AC4537" s="16" t="s">
        <v>21</v>
      </c>
      <c r="AD4537" s="17" t="s">
        <v>14134</v>
      </c>
      <c r="AE4537" s="145" t="s">
        <v>14230</v>
      </c>
      <c r="AF4537" s="146"/>
      <c r="AG4537" s="146"/>
      <c r="AH4537" s="146"/>
      <c r="AI4537" s="147"/>
      <c r="AJ4537" s="148"/>
      <c r="AK4537" s="143"/>
      <c r="AL4537" s="144"/>
      <c r="AM4537" s="22"/>
      <c r="AN4537" s="149" t="s">
        <v>7285</v>
      </c>
      <c r="AO4537" s="144"/>
      <c r="AP4537" s="148">
        <v>2034</v>
      </c>
      <c r="AQ4537" s="144"/>
      <c r="AR4537" s="120"/>
      <c r="AS4537" s="121"/>
      <c r="AT4537" s="120"/>
      <c r="AU4537" s="121"/>
      <c r="AV4537" s="120"/>
      <c r="AW4537" s="121"/>
      <c r="AX4537" s="120"/>
      <c r="AY4537" s="121"/>
      <c r="AZ4537" s="138"/>
    </row>
    <row r="4538" spans="1:52" ht="17.100000000000001" customHeight="1" thickTop="1">
      <c r="A4538" s="151" t="s">
        <v>13675</v>
      </c>
      <c r="B4538" s="28">
        <v>46009</v>
      </c>
      <c r="C4538" s="25">
        <v>2007</v>
      </c>
      <c r="D4538" s="13" t="s">
        <v>2859</v>
      </c>
      <c r="E4538" s="111"/>
      <c r="F4538" s="113" t="s">
        <v>13620</v>
      </c>
      <c r="G4538" s="114"/>
      <c r="H4538" s="115"/>
      <c r="I4538" s="24"/>
      <c r="J4538" s="116">
        <v>4</v>
      </c>
      <c r="K4538" s="118">
        <v>722000</v>
      </c>
      <c r="L4538" s="119"/>
      <c r="M4538" s="118">
        <f t="shared" ref="M4538" si="5041">K4538*0.1</f>
        <v>72200</v>
      </c>
      <c r="N4538" s="119"/>
      <c r="O4538" s="118">
        <v>0</v>
      </c>
      <c r="P4538" s="119"/>
      <c r="Q4538" s="118">
        <v>8430</v>
      </c>
      <c r="R4538" s="119"/>
      <c r="S4538" s="118">
        <v>22000</v>
      </c>
      <c r="T4538" s="119"/>
      <c r="U4538" s="118">
        <f t="shared" ref="U4538" si="5042">SUM(K4538:T4539)</f>
        <v>824630</v>
      </c>
      <c r="V4538" s="122"/>
      <c r="W4538" s="124"/>
      <c r="X4538" s="126" t="s">
        <v>14232</v>
      </c>
      <c r="Y4538" s="127"/>
      <c r="Z4538" s="127"/>
      <c r="AA4538" s="127"/>
      <c r="AB4538" s="128"/>
      <c r="AC4538" s="15" t="s">
        <v>20</v>
      </c>
      <c r="AD4538" s="129" t="s">
        <v>171</v>
      </c>
      <c r="AE4538" s="130"/>
      <c r="AF4538" s="130"/>
      <c r="AG4538" s="130"/>
      <c r="AH4538" s="130"/>
      <c r="AI4538" s="131"/>
      <c r="AJ4538" s="132"/>
      <c r="AK4538" s="127"/>
      <c r="AL4538" s="128"/>
      <c r="AM4538" s="21"/>
      <c r="AN4538" s="133">
        <v>46039</v>
      </c>
      <c r="AO4538" s="134"/>
      <c r="AP4538" s="135">
        <v>1284</v>
      </c>
      <c r="AQ4538" s="136"/>
      <c r="AR4538" s="118">
        <v>795000</v>
      </c>
      <c r="AS4538" s="119"/>
      <c r="AT4538" s="118">
        <f t="shared" ref="AT4538" si="5043">AR4538*0.1</f>
        <v>79500</v>
      </c>
      <c r="AU4538" s="119"/>
      <c r="AV4538" s="118">
        <v>8430</v>
      </c>
      <c r="AW4538" s="119"/>
      <c r="AX4538" s="118">
        <f t="shared" ref="AX4538" si="5044">SUM(AR4538:AW4538)</f>
        <v>882930</v>
      </c>
      <c r="AY4538" s="119"/>
      <c r="AZ4538" s="137">
        <v>46042</v>
      </c>
    </row>
    <row r="4539" spans="1:52" ht="17.100000000000001" customHeight="1" thickBot="1">
      <c r="A4539" s="152"/>
      <c r="B4539" s="27" t="s">
        <v>2200</v>
      </c>
      <c r="C4539" s="27">
        <v>50167</v>
      </c>
      <c r="D4539" s="14" t="s">
        <v>275</v>
      </c>
      <c r="E4539" s="112"/>
      <c r="F4539" s="139" t="s">
        <v>13621</v>
      </c>
      <c r="G4539" s="140"/>
      <c r="H4539" s="141"/>
      <c r="I4539" s="26">
        <v>59066</v>
      </c>
      <c r="J4539" s="117"/>
      <c r="K4539" s="120"/>
      <c r="L4539" s="121"/>
      <c r="M4539" s="120"/>
      <c r="N4539" s="121"/>
      <c r="O4539" s="120"/>
      <c r="P4539" s="121"/>
      <c r="Q4539" s="120"/>
      <c r="R4539" s="121"/>
      <c r="S4539" s="120"/>
      <c r="T4539" s="121"/>
      <c r="U4539" s="120"/>
      <c r="V4539" s="123"/>
      <c r="W4539" s="125"/>
      <c r="X4539" s="142" t="s">
        <v>14233</v>
      </c>
      <c r="Y4539" s="143"/>
      <c r="Z4539" s="143"/>
      <c r="AA4539" s="143"/>
      <c r="AB4539" s="144"/>
      <c r="AC4539" s="16" t="s">
        <v>21</v>
      </c>
      <c r="AD4539" s="17" t="s">
        <v>14134</v>
      </c>
      <c r="AE4539" s="145" t="s">
        <v>1609</v>
      </c>
      <c r="AF4539" s="146"/>
      <c r="AG4539" s="146"/>
      <c r="AH4539" s="146"/>
      <c r="AI4539" s="147"/>
      <c r="AJ4539" s="148"/>
      <c r="AK4539" s="143"/>
      <c r="AL4539" s="144"/>
      <c r="AM4539" s="22"/>
      <c r="AN4539" s="149" t="s">
        <v>2511</v>
      </c>
      <c r="AO4539" s="144"/>
      <c r="AP4539" s="148">
        <v>60076</v>
      </c>
      <c r="AQ4539" s="144"/>
      <c r="AR4539" s="120"/>
      <c r="AS4539" s="121"/>
      <c r="AT4539" s="120"/>
      <c r="AU4539" s="121"/>
      <c r="AV4539" s="120"/>
      <c r="AW4539" s="121"/>
      <c r="AX4539" s="120"/>
      <c r="AY4539" s="121"/>
      <c r="AZ4539" s="138"/>
    </row>
    <row r="4540" spans="1:52" ht="17.100000000000001" customHeight="1" thickTop="1">
      <c r="A4540" s="109" t="s">
        <v>13676</v>
      </c>
      <c r="B4540" s="28">
        <v>46009</v>
      </c>
      <c r="C4540" s="25">
        <v>2007</v>
      </c>
      <c r="D4540" s="13" t="s">
        <v>1597</v>
      </c>
      <c r="E4540" s="111"/>
      <c r="F4540" s="113" t="s">
        <v>13622</v>
      </c>
      <c r="G4540" s="114"/>
      <c r="H4540" s="115"/>
      <c r="I4540" s="24"/>
      <c r="J4540" s="116">
        <v>4</v>
      </c>
      <c r="K4540" s="118">
        <v>883000</v>
      </c>
      <c r="L4540" s="119"/>
      <c r="M4540" s="118">
        <f t="shared" ref="M4540" si="5045">K4540*0.1</f>
        <v>88300</v>
      </c>
      <c r="N4540" s="119"/>
      <c r="O4540" s="118">
        <v>0</v>
      </c>
      <c r="P4540" s="119"/>
      <c r="Q4540" s="118">
        <v>8790</v>
      </c>
      <c r="R4540" s="119"/>
      <c r="S4540" s="118">
        <v>22000</v>
      </c>
      <c r="T4540" s="119"/>
      <c r="U4540" s="118">
        <f t="shared" ref="U4540" si="5046">SUM(K4540:T4541)</f>
        <v>1002090</v>
      </c>
      <c r="V4540" s="122"/>
      <c r="W4540" s="124"/>
      <c r="X4540" s="126" t="s">
        <v>14224</v>
      </c>
      <c r="Y4540" s="127"/>
      <c r="Z4540" s="127"/>
      <c r="AA4540" s="127"/>
      <c r="AB4540" s="128"/>
      <c r="AC4540" s="15" t="s">
        <v>20</v>
      </c>
      <c r="AD4540" s="129" t="s">
        <v>1670</v>
      </c>
      <c r="AE4540" s="130"/>
      <c r="AF4540" s="130"/>
      <c r="AG4540" s="130"/>
      <c r="AH4540" s="130"/>
      <c r="AI4540" s="131"/>
      <c r="AJ4540" s="132"/>
      <c r="AK4540" s="127"/>
      <c r="AL4540" s="128"/>
      <c r="AM4540" s="21"/>
      <c r="AN4540" s="133">
        <v>46064</v>
      </c>
      <c r="AO4540" s="134"/>
      <c r="AP4540" s="135">
        <v>1004</v>
      </c>
      <c r="AQ4540" s="136"/>
      <c r="AR4540" s="118">
        <v>960000</v>
      </c>
      <c r="AS4540" s="119"/>
      <c r="AT4540" s="118">
        <f t="shared" ref="AT4540" si="5047">AR4540*0.1</f>
        <v>96000</v>
      </c>
      <c r="AU4540" s="119"/>
      <c r="AV4540" s="118">
        <v>8790</v>
      </c>
      <c r="AW4540" s="119"/>
      <c r="AX4540" s="118">
        <f t="shared" ref="AX4540" si="5048">SUM(AR4540:AW4540)</f>
        <v>1064790</v>
      </c>
      <c r="AY4540" s="119"/>
      <c r="AZ4540" s="137">
        <v>46070</v>
      </c>
    </row>
    <row r="4541" spans="1:52" ht="17.100000000000001" customHeight="1" thickBot="1">
      <c r="A4541" s="110"/>
      <c r="B4541" s="27" t="s">
        <v>2200</v>
      </c>
      <c r="C4541" s="27">
        <v>50173</v>
      </c>
      <c r="D4541" s="14" t="s">
        <v>904</v>
      </c>
      <c r="E4541" s="112"/>
      <c r="F4541" s="139" t="s">
        <v>13623</v>
      </c>
      <c r="G4541" s="140"/>
      <c r="H4541" s="141"/>
      <c r="I4541" s="26">
        <v>20777</v>
      </c>
      <c r="J4541" s="117"/>
      <c r="K4541" s="120"/>
      <c r="L4541" s="121"/>
      <c r="M4541" s="120"/>
      <c r="N4541" s="121"/>
      <c r="O4541" s="120"/>
      <c r="P4541" s="121"/>
      <c r="Q4541" s="120"/>
      <c r="R4541" s="121"/>
      <c r="S4541" s="120"/>
      <c r="T4541" s="121"/>
      <c r="U4541" s="120"/>
      <c r="V4541" s="123"/>
      <c r="W4541" s="125"/>
      <c r="X4541" s="142" t="s">
        <v>1997</v>
      </c>
      <c r="Y4541" s="143"/>
      <c r="Z4541" s="143"/>
      <c r="AA4541" s="143"/>
      <c r="AB4541" s="144"/>
      <c r="AC4541" s="16" t="s">
        <v>21</v>
      </c>
      <c r="AD4541" s="17" t="s">
        <v>14134</v>
      </c>
      <c r="AE4541" s="145" t="s">
        <v>1670</v>
      </c>
      <c r="AF4541" s="146"/>
      <c r="AG4541" s="146"/>
      <c r="AH4541" s="146"/>
      <c r="AI4541" s="147"/>
      <c r="AJ4541" s="148"/>
      <c r="AK4541" s="143"/>
      <c r="AL4541" s="144"/>
      <c r="AM4541" s="22"/>
      <c r="AN4541" s="149" t="s">
        <v>7285</v>
      </c>
      <c r="AO4541" s="144"/>
      <c r="AP4541" s="148">
        <v>2049</v>
      </c>
      <c r="AQ4541" s="144"/>
      <c r="AR4541" s="120"/>
      <c r="AS4541" s="121"/>
      <c r="AT4541" s="120"/>
      <c r="AU4541" s="121"/>
      <c r="AV4541" s="120"/>
      <c r="AW4541" s="121"/>
      <c r="AX4541" s="120"/>
      <c r="AY4541" s="121"/>
      <c r="AZ4541" s="138"/>
    </row>
    <row r="4542" spans="1:52" ht="17.100000000000001" customHeight="1" thickTop="1">
      <c r="A4542" s="151" t="s">
        <v>13677</v>
      </c>
      <c r="B4542" s="28">
        <v>46009</v>
      </c>
      <c r="C4542" s="25">
        <v>2007</v>
      </c>
      <c r="D4542" s="13" t="s">
        <v>1712</v>
      </c>
      <c r="E4542" s="111"/>
      <c r="F4542" s="113" t="s">
        <v>5435</v>
      </c>
      <c r="G4542" s="114"/>
      <c r="H4542" s="115"/>
      <c r="I4542" s="24"/>
      <c r="J4542" s="116">
        <v>4</v>
      </c>
      <c r="K4542" s="118">
        <v>609000</v>
      </c>
      <c r="L4542" s="119"/>
      <c r="M4542" s="118">
        <f t="shared" ref="M4542" si="5049">K4542*0.1</f>
        <v>60900</v>
      </c>
      <c r="N4542" s="119"/>
      <c r="O4542" s="118">
        <v>0</v>
      </c>
      <c r="P4542" s="119"/>
      <c r="Q4542" s="118">
        <v>7950</v>
      </c>
      <c r="R4542" s="119"/>
      <c r="S4542" s="118">
        <v>22000</v>
      </c>
      <c r="T4542" s="119"/>
      <c r="U4542" s="118">
        <f t="shared" ref="U4542" si="5050">SUM(K4542:T4543)</f>
        <v>699850</v>
      </c>
      <c r="V4542" s="122"/>
      <c r="W4542" s="124"/>
      <c r="X4542" s="126" t="s">
        <v>14222</v>
      </c>
      <c r="Y4542" s="127"/>
      <c r="Z4542" s="127"/>
      <c r="AA4542" s="127"/>
      <c r="AB4542" s="128"/>
      <c r="AC4542" s="15" t="s">
        <v>20</v>
      </c>
      <c r="AD4542" s="129" t="s">
        <v>2781</v>
      </c>
      <c r="AE4542" s="130"/>
      <c r="AF4542" s="130"/>
      <c r="AG4542" s="130"/>
      <c r="AH4542" s="130"/>
      <c r="AI4542" s="131"/>
      <c r="AJ4542" s="132"/>
      <c r="AK4542" s="127"/>
      <c r="AL4542" s="128"/>
      <c r="AM4542" s="21"/>
      <c r="AN4542" s="133">
        <v>46032</v>
      </c>
      <c r="AO4542" s="134"/>
      <c r="AP4542" s="135">
        <v>1283</v>
      </c>
      <c r="AQ4542" s="136"/>
      <c r="AR4542" s="118">
        <v>745000</v>
      </c>
      <c r="AS4542" s="119"/>
      <c r="AT4542" s="118">
        <f t="shared" ref="AT4542" si="5051">AR4542*0.1</f>
        <v>74500</v>
      </c>
      <c r="AU4542" s="119"/>
      <c r="AV4542" s="118">
        <v>7950</v>
      </c>
      <c r="AW4542" s="119"/>
      <c r="AX4542" s="118">
        <f t="shared" ref="AX4542" si="5052">SUM(AR4542:AW4542)</f>
        <v>827450</v>
      </c>
      <c r="AY4542" s="119"/>
      <c r="AZ4542" s="137">
        <v>46036</v>
      </c>
    </row>
    <row r="4543" spans="1:52" ht="17.100000000000001" customHeight="1" thickBot="1">
      <c r="A4543" s="152"/>
      <c r="B4543" s="27" t="s">
        <v>2200</v>
      </c>
      <c r="C4543" s="27">
        <v>50207</v>
      </c>
      <c r="D4543" s="14" t="s">
        <v>3327</v>
      </c>
      <c r="E4543" s="112"/>
      <c r="F4543" s="139" t="s">
        <v>13624</v>
      </c>
      <c r="G4543" s="140"/>
      <c r="H4543" s="141"/>
      <c r="I4543" s="26">
        <v>57336</v>
      </c>
      <c r="J4543" s="117"/>
      <c r="K4543" s="120"/>
      <c r="L4543" s="121"/>
      <c r="M4543" s="120"/>
      <c r="N4543" s="121"/>
      <c r="O4543" s="120"/>
      <c r="P4543" s="121"/>
      <c r="Q4543" s="120"/>
      <c r="R4543" s="121"/>
      <c r="S4543" s="120"/>
      <c r="T4543" s="121"/>
      <c r="U4543" s="120"/>
      <c r="V4543" s="123"/>
      <c r="W4543" s="125"/>
      <c r="X4543" s="142" t="s">
        <v>1673</v>
      </c>
      <c r="Y4543" s="143"/>
      <c r="Z4543" s="143"/>
      <c r="AA4543" s="143"/>
      <c r="AB4543" s="144"/>
      <c r="AC4543" s="16" t="s">
        <v>21</v>
      </c>
      <c r="AD4543" s="17" t="s">
        <v>14134</v>
      </c>
      <c r="AE4543" s="145" t="s">
        <v>14221</v>
      </c>
      <c r="AF4543" s="146"/>
      <c r="AG4543" s="146"/>
      <c r="AH4543" s="146"/>
      <c r="AI4543" s="147"/>
      <c r="AJ4543" s="148"/>
      <c r="AK4543" s="143"/>
      <c r="AL4543" s="144"/>
      <c r="AM4543" s="22"/>
      <c r="AN4543" s="149" t="s">
        <v>2511</v>
      </c>
      <c r="AO4543" s="144"/>
      <c r="AP4543" s="148">
        <v>60073</v>
      </c>
      <c r="AQ4543" s="144"/>
      <c r="AR4543" s="120"/>
      <c r="AS4543" s="121"/>
      <c r="AT4543" s="120"/>
      <c r="AU4543" s="121"/>
      <c r="AV4543" s="120"/>
      <c r="AW4543" s="121"/>
      <c r="AX4543" s="120"/>
      <c r="AY4543" s="121"/>
      <c r="AZ4543" s="138"/>
    </row>
    <row r="4544" spans="1:52" ht="17.100000000000001" customHeight="1" thickTop="1">
      <c r="A4544" s="109" t="s">
        <v>13678</v>
      </c>
      <c r="B4544" s="28">
        <v>46009</v>
      </c>
      <c r="C4544" s="25">
        <v>2007</v>
      </c>
      <c r="D4544" s="13" t="s">
        <v>2001</v>
      </c>
      <c r="E4544" s="111"/>
      <c r="F4544" s="113" t="s">
        <v>13625</v>
      </c>
      <c r="G4544" s="114"/>
      <c r="H4544" s="115"/>
      <c r="I4544" s="24"/>
      <c r="J4544" s="116">
        <v>4</v>
      </c>
      <c r="K4544" s="118">
        <v>937000</v>
      </c>
      <c r="L4544" s="119"/>
      <c r="M4544" s="118">
        <f t="shared" ref="M4544" si="5053">K4544*0.1</f>
        <v>93700</v>
      </c>
      <c r="N4544" s="119"/>
      <c r="O4544" s="118">
        <v>0</v>
      </c>
      <c r="P4544" s="119"/>
      <c r="Q4544" s="118">
        <v>7040</v>
      </c>
      <c r="R4544" s="119"/>
      <c r="S4544" s="118">
        <v>22000</v>
      </c>
      <c r="T4544" s="119"/>
      <c r="U4544" s="118">
        <f t="shared" ref="U4544" si="5054">SUM(K4544:T4545)</f>
        <v>1059740</v>
      </c>
      <c r="V4544" s="122"/>
      <c r="W4544" s="124"/>
      <c r="X4544" s="126" t="s">
        <v>14220</v>
      </c>
      <c r="Y4544" s="127"/>
      <c r="Z4544" s="127"/>
      <c r="AA4544" s="127"/>
      <c r="AB4544" s="128"/>
      <c r="AC4544" s="15" t="s">
        <v>20</v>
      </c>
      <c r="AD4544" s="129" t="s">
        <v>2781</v>
      </c>
      <c r="AE4544" s="130"/>
      <c r="AF4544" s="130"/>
      <c r="AG4544" s="130"/>
      <c r="AH4544" s="130"/>
      <c r="AI4544" s="131"/>
      <c r="AJ4544" s="132"/>
      <c r="AK4544" s="127"/>
      <c r="AL4544" s="128"/>
      <c r="AM4544" s="21"/>
      <c r="AN4544" s="133">
        <v>46029</v>
      </c>
      <c r="AO4544" s="134"/>
      <c r="AP4544" s="135">
        <v>999</v>
      </c>
      <c r="AQ4544" s="136"/>
      <c r="AR4544" s="118">
        <v>995000</v>
      </c>
      <c r="AS4544" s="119"/>
      <c r="AT4544" s="118">
        <f t="shared" ref="AT4544" si="5055">AR4544*0.1</f>
        <v>99500</v>
      </c>
      <c r="AU4544" s="119"/>
      <c r="AV4544" s="118">
        <v>7040</v>
      </c>
      <c r="AW4544" s="119"/>
      <c r="AX4544" s="118">
        <f t="shared" ref="AX4544" si="5056">SUM(AR4544:AW4544)</f>
        <v>1101540</v>
      </c>
      <c r="AY4544" s="119"/>
      <c r="AZ4544" s="137">
        <v>46035</v>
      </c>
    </row>
    <row r="4545" spans="1:52" ht="17.100000000000001" customHeight="1" thickBot="1">
      <c r="A4545" s="110"/>
      <c r="B4545" s="27" t="s">
        <v>2200</v>
      </c>
      <c r="C4545" s="27">
        <v>50213</v>
      </c>
      <c r="D4545" s="14" t="s">
        <v>3327</v>
      </c>
      <c r="E4545" s="112"/>
      <c r="F4545" s="139" t="s">
        <v>13626</v>
      </c>
      <c r="G4545" s="140"/>
      <c r="H4545" s="141"/>
      <c r="I4545" s="26">
        <v>8567</v>
      </c>
      <c r="J4545" s="117"/>
      <c r="K4545" s="120"/>
      <c r="L4545" s="121"/>
      <c r="M4545" s="120"/>
      <c r="N4545" s="121"/>
      <c r="O4545" s="120"/>
      <c r="P4545" s="121"/>
      <c r="Q4545" s="120"/>
      <c r="R4545" s="121"/>
      <c r="S4545" s="120"/>
      <c r="T4545" s="121"/>
      <c r="U4545" s="120"/>
      <c r="V4545" s="123"/>
      <c r="W4545" s="125"/>
      <c r="X4545" s="142" t="s">
        <v>1673</v>
      </c>
      <c r="Y4545" s="143"/>
      <c r="Z4545" s="143"/>
      <c r="AA4545" s="143"/>
      <c r="AB4545" s="144"/>
      <c r="AC4545" s="16" t="s">
        <v>21</v>
      </c>
      <c r="AD4545" s="17" t="s">
        <v>14134</v>
      </c>
      <c r="AE4545" s="145" t="s">
        <v>14221</v>
      </c>
      <c r="AF4545" s="146"/>
      <c r="AG4545" s="146"/>
      <c r="AH4545" s="146"/>
      <c r="AI4545" s="147"/>
      <c r="AJ4545" s="148"/>
      <c r="AK4545" s="143"/>
      <c r="AL4545" s="144"/>
      <c r="AM4545" s="22"/>
      <c r="AN4545" s="149" t="s">
        <v>2794</v>
      </c>
      <c r="AO4545" s="144"/>
      <c r="AP4545" s="148">
        <v>2048</v>
      </c>
      <c r="AQ4545" s="144"/>
      <c r="AR4545" s="120"/>
      <c r="AS4545" s="121"/>
      <c r="AT4545" s="120"/>
      <c r="AU4545" s="121"/>
      <c r="AV4545" s="120"/>
      <c r="AW4545" s="121"/>
      <c r="AX4545" s="120"/>
      <c r="AY4545" s="121"/>
      <c r="AZ4545" s="138"/>
    </row>
    <row r="4546" spans="1:52" ht="17.100000000000001" customHeight="1" thickTop="1">
      <c r="A4546" s="151" t="s">
        <v>13679</v>
      </c>
      <c r="B4546" s="28">
        <v>46009</v>
      </c>
      <c r="C4546" s="25">
        <v>2007</v>
      </c>
      <c r="D4546" s="13" t="s">
        <v>11273</v>
      </c>
      <c r="E4546" s="111"/>
      <c r="F4546" s="113" t="s">
        <v>4914</v>
      </c>
      <c r="G4546" s="114"/>
      <c r="H4546" s="115"/>
      <c r="I4546" s="24"/>
      <c r="J4546" s="116">
        <v>4</v>
      </c>
      <c r="K4546" s="118">
        <v>315000</v>
      </c>
      <c r="L4546" s="119"/>
      <c r="M4546" s="118">
        <f t="shared" ref="M4546" si="5057">K4546*0.1</f>
        <v>31500</v>
      </c>
      <c r="N4546" s="119"/>
      <c r="O4546" s="118">
        <v>0</v>
      </c>
      <c r="P4546" s="119"/>
      <c r="Q4546" s="118">
        <v>9170</v>
      </c>
      <c r="R4546" s="119"/>
      <c r="S4546" s="118">
        <v>22000</v>
      </c>
      <c r="T4546" s="119"/>
      <c r="U4546" s="118">
        <f t="shared" ref="U4546" si="5058">SUM(K4546:T4547)</f>
        <v>377670</v>
      </c>
      <c r="V4546" s="122"/>
      <c r="W4546" s="124"/>
      <c r="X4546" s="126" t="s">
        <v>14225</v>
      </c>
      <c r="Y4546" s="127"/>
      <c r="Z4546" s="127"/>
      <c r="AA4546" s="127"/>
      <c r="AB4546" s="128"/>
      <c r="AC4546" s="15" t="s">
        <v>20</v>
      </c>
      <c r="AD4546" s="129"/>
      <c r="AE4546" s="130"/>
      <c r="AF4546" s="130"/>
      <c r="AG4546" s="130"/>
      <c r="AH4546" s="130"/>
      <c r="AI4546" s="131"/>
      <c r="AJ4546" s="132"/>
      <c r="AK4546" s="127"/>
      <c r="AL4546" s="128"/>
      <c r="AM4546" s="21"/>
      <c r="AN4546" s="133">
        <v>46032</v>
      </c>
      <c r="AO4546" s="134"/>
      <c r="AP4546" s="135">
        <v>1283</v>
      </c>
      <c r="AQ4546" s="136"/>
      <c r="AR4546" s="118">
        <v>380000</v>
      </c>
      <c r="AS4546" s="119"/>
      <c r="AT4546" s="118">
        <f t="shared" ref="AT4546" si="5059">AR4546*0.1</f>
        <v>38000</v>
      </c>
      <c r="AU4546" s="119"/>
      <c r="AV4546" s="118">
        <v>9170</v>
      </c>
      <c r="AW4546" s="119"/>
      <c r="AX4546" s="118">
        <f t="shared" ref="AX4546" si="5060">SUM(AR4546:AW4546)</f>
        <v>427170</v>
      </c>
      <c r="AY4546" s="119"/>
      <c r="AZ4546" s="137">
        <v>46036</v>
      </c>
    </row>
    <row r="4547" spans="1:52" ht="17.100000000000001" customHeight="1" thickBot="1">
      <c r="A4547" s="152"/>
      <c r="B4547" s="27" t="s">
        <v>2200</v>
      </c>
      <c r="C4547" s="27">
        <v>90068</v>
      </c>
      <c r="D4547" s="14" t="s">
        <v>3327</v>
      </c>
      <c r="E4547" s="112"/>
      <c r="F4547" s="139" t="s">
        <v>13627</v>
      </c>
      <c r="G4547" s="140"/>
      <c r="H4547" s="141"/>
      <c r="I4547" s="26">
        <v>40366</v>
      </c>
      <c r="J4547" s="117"/>
      <c r="K4547" s="120"/>
      <c r="L4547" s="121"/>
      <c r="M4547" s="120"/>
      <c r="N4547" s="121"/>
      <c r="O4547" s="120"/>
      <c r="P4547" s="121"/>
      <c r="Q4547" s="120"/>
      <c r="R4547" s="121"/>
      <c r="S4547" s="120"/>
      <c r="T4547" s="121"/>
      <c r="U4547" s="120"/>
      <c r="V4547" s="123"/>
      <c r="W4547" s="125"/>
      <c r="X4547" s="142" t="s">
        <v>14226</v>
      </c>
      <c r="Y4547" s="143"/>
      <c r="Z4547" s="143"/>
      <c r="AA4547" s="143"/>
      <c r="AB4547" s="144"/>
      <c r="AC4547" s="16" t="s">
        <v>21</v>
      </c>
      <c r="AD4547" s="17" t="s">
        <v>14134</v>
      </c>
      <c r="AE4547" s="145" t="s">
        <v>14227</v>
      </c>
      <c r="AF4547" s="146"/>
      <c r="AG4547" s="146"/>
      <c r="AH4547" s="146"/>
      <c r="AI4547" s="147"/>
      <c r="AJ4547" s="148"/>
      <c r="AK4547" s="143"/>
      <c r="AL4547" s="144"/>
      <c r="AM4547" s="22"/>
      <c r="AN4547" s="149" t="s">
        <v>2511</v>
      </c>
      <c r="AO4547" s="144"/>
      <c r="AP4547" s="148">
        <v>60055</v>
      </c>
      <c r="AQ4547" s="144"/>
      <c r="AR4547" s="120"/>
      <c r="AS4547" s="121"/>
      <c r="AT4547" s="120"/>
      <c r="AU4547" s="121"/>
      <c r="AV4547" s="120"/>
      <c r="AW4547" s="121"/>
      <c r="AX4547" s="120"/>
      <c r="AY4547" s="121"/>
      <c r="AZ4547" s="138"/>
    </row>
    <row r="4548" spans="1:52" ht="17.100000000000001" customHeight="1" thickTop="1" thickBot="1">
      <c r="A4548" s="109" t="s">
        <v>13680</v>
      </c>
      <c r="B4548" s="28">
        <v>46009</v>
      </c>
      <c r="C4548" s="25">
        <v>1963</v>
      </c>
      <c r="D4548" s="13" t="s">
        <v>2298</v>
      </c>
      <c r="E4548" s="111"/>
      <c r="F4548" s="113" t="s">
        <v>13628</v>
      </c>
      <c r="G4548" s="114"/>
      <c r="H4548" s="115"/>
      <c r="I4548" s="24"/>
      <c r="J4548" s="116">
        <v>4.5</v>
      </c>
      <c r="K4548" s="118">
        <v>1132000</v>
      </c>
      <c r="L4548" s="119"/>
      <c r="M4548" s="118">
        <f t="shared" ref="M4548" si="5061">K4548*0.1</f>
        <v>113200</v>
      </c>
      <c r="N4548" s="119"/>
      <c r="O4548" s="118">
        <v>0</v>
      </c>
      <c r="P4548" s="119"/>
      <c r="Q4548" s="118">
        <v>9810</v>
      </c>
      <c r="R4548" s="119"/>
      <c r="S4548" s="118">
        <v>17050</v>
      </c>
      <c r="T4548" s="119"/>
      <c r="U4548" s="118">
        <f t="shared" ref="U4548" si="5062">SUM(K4548:T4549)</f>
        <v>1272060</v>
      </c>
      <c r="V4548" s="122"/>
      <c r="W4548" s="124"/>
      <c r="X4548" s="126" t="s">
        <v>13944</v>
      </c>
      <c r="Y4548" s="127"/>
      <c r="Z4548" s="127"/>
      <c r="AA4548" s="127"/>
      <c r="AB4548" s="128"/>
      <c r="AC4548" s="15" t="s">
        <v>20</v>
      </c>
      <c r="AD4548" s="129"/>
      <c r="AE4548" s="130"/>
      <c r="AF4548" s="130"/>
      <c r="AG4548" s="130"/>
      <c r="AH4548" s="130"/>
      <c r="AI4548" s="131"/>
      <c r="AJ4548" s="132"/>
      <c r="AK4548" s="127"/>
      <c r="AL4548" s="128"/>
      <c r="AM4548" s="21"/>
      <c r="AN4548" s="133">
        <v>46064</v>
      </c>
      <c r="AO4548" s="134"/>
      <c r="AP4548" s="135">
        <v>1004</v>
      </c>
      <c r="AQ4548" s="136"/>
      <c r="AR4548" s="118">
        <v>1305000</v>
      </c>
      <c r="AS4548" s="119"/>
      <c r="AT4548" s="118">
        <f t="shared" ref="AT4548" si="5063">AR4548*0.1</f>
        <v>130500</v>
      </c>
      <c r="AU4548" s="119"/>
      <c r="AV4548" s="118">
        <v>9810</v>
      </c>
      <c r="AW4548" s="119"/>
      <c r="AX4548" s="118">
        <f t="shared" ref="AX4548" si="5064">SUM(AR4548:AW4548)</f>
        <v>1445310</v>
      </c>
      <c r="AY4548" s="119"/>
      <c r="AZ4548" s="137">
        <v>46069</v>
      </c>
    </row>
    <row r="4549" spans="1:52" ht="17.100000000000001" customHeight="1" thickBot="1">
      <c r="A4549" s="110"/>
      <c r="B4549" s="27" t="s">
        <v>3792</v>
      </c>
      <c r="C4549" s="27">
        <v>2065</v>
      </c>
      <c r="D4549" s="14" t="s">
        <v>1720</v>
      </c>
      <c r="E4549" s="112"/>
      <c r="F4549" s="139" t="s">
        <v>13629</v>
      </c>
      <c r="G4549" s="140"/>
      <c r="H4549" s="141"/>
      <c r="I4549" s="26">
        <v>47904</v>
      </c>
      <c r="J4549" s="117"/>
      <c r="K4549" s="120"/>
      <c r="L4549" s="121"/>
      <c r="M4549" s="120"/>
      <c r="N4549" s="121"/>
      <c r="O4549" s="120"/>
      <c r="P4549" s="121"/>
      <c r="Q4549" s="120"/>
      <c r="R4549" s="121"/>
      <c r="S4549" s="120"/>
      <c r="T4549" s="121"/>
      <c r="U4549" s="120"/>
      <c r="V4549" s="123"/>
      <c r="W4549" s="125"/>
      <c r="X4549" s="142" t="s">
        <v>3795</v>
      </c>
      <c r="Y4549" s="143"/>
      <c r="Z4549" s="143"/>
      <c r="AA4549" s="143"/>
      <c r="AB4549" s="144"/>
      <c r="AC4549" s="16" t="s">
        <v>21</v>
      </c>
      <c r="AD4549" s="17" t="s">
        <v>1809</v>
      </c>
      <c r="AE4549" s="129" t="s">
        <v>14165</v>
      </c>
      <c r="AF4549" s="130"/>
      <c r="AG4549" s="130"/>
      <c r="AH4549" s="130"/>
      <c r="AI4549" s="130"/>
      <c r="AJ4549" s="148"/>
      <c r="AK4549" s="143"/>
      <c r="AL4549" s="144"/>
      <c r="AM4549" s="22"/>
      <c r="AN4549" s="149" t="s">
        <v>9053</v>
      </c>
      <c r="AO4549" s="144"/>
      <c r="AP4549" s="148">
        <v>6054</v>
      </c>
      <c r="AQ4549" s="144"/>
      <c r="AR4549" s="120"/>
      <c r="AS4549" s="121"/>
      <c r="AT4549" s="120"/>
      <c r="AU4549" s="121"/>
      <c r="AV4549" s="120"/>
      <c r="AW4549" s="121"/>
      <c r="AX4549" s="120"/>
      <c r="AY4549" s="121"/>
      <c r="AZ4549" s="138"/>
    </row>
    <row r="4550" spans="1:52" ht="17.100000000000001" customHeight="1" thickTop="1">
      <c r="A4550" s="109" t="s">
        <v>13681</v>
      </c>
      <c r="B4550" s="28">
        <v>46009</v>
      </c>
      <c r="C4550" s="25">
        <v>2139</v>
      </c>
      <c r="D4550" s="13" t="s">
        <v>2415</v>
      </c>
      <c r="E4550" s="111"/>
      <c r="F4550" s="113" t="s">
        <v>9828</v>
      </c>
      <c r="G4550" s="114"/>
      <c r="H4550" s="115"/>
      <c r="I4550" s="24" t="s">
        <v>13636</v>
      </c>
      <c r="J4550" s="116">
        <v>5</v>
      </c>
      <c r="K4550" s="118">
        <v>1479000</v>
      </c>
      <c r="L4550" s="119"/>
      <c r="M4550" s="118">
        <f t="shared" ref="M4550" si="5065">K4550*0.1</f>
        <v>147900</v>
      </c>
      <c r="N4550" s="119"/>
      <c r="O4550" s="118">
        <v>0</v>
      </c>
      <c r="P4550" s="119"/>
      <c r="Q4550" s="118">
        <v>14200</v>
      </c>
      <c r="R4550" s="119"/>
      <c r="S4550" s="118">
        <v>14300</v>
      </c>
      <c r="T4550" s="119"/>
      <c r="U4550" s="118">
        <f t="shared" ref="U4550" si="5066">SUM(K4550:T4551)</f>
        <v>1655400</v>
      </c>
      <c r="V4550" s="122"/>
      <c r="W4550" s="124"/>
      <c r="X4550" s="126" t="s">
        <v>14400</v>
      </c>
      <c r="Y4550" s="127"/>
      <c r="Z4550" s="127"/>
      <c r="AA4550" s="127"/>
      <c r="AB4550" s="128"/>
      <c r="AC4550" s="15" t="s">
        <v>20</v>
      </c>
      <c r="AD4550" s="129"/>
      <c r="AE4550" s="130"/>
      <c r="AF4550" s="130"/>
      <c r="AG4550" s="130"/>
      <c r="AH4550" s="130"/>
      <c r="AI4550" s="131"/>
      <c r="AJ4550" s="132"/>
      <c r="AK4550" s="127"/>
      <c r="AL4550" s="128"/>
      <c r="AM4550" s="21" t="s">
        <v>14924</v>
      </c>
      <c r="AN4550" s="133">
        <v>46035</v>
      </c>
      <c r="AO4550" s="134"/>
      <c r="AP4550" s="135">
        <v>1924</v>
      </c>
      <c r="AQ4550" s="136"/>
      <c r="AR4550" s="118">
        <v>1504000</v>
      </c>
      <c r="AS4550" s="119"/>
      <c r="AT4550" s="118">
        <f t="shared" ref="AT4550" si="5067">AR4550*0.1</f>
        <v>150400</v>
      </c>
      <c r="AU4550" s="119"/>
      <c r="AV4550" s="118">
        <v>14200</v>
      </c>
      <c r="AW4550" s="119"/>
      <c r="AX4550" s="118">
        <f t="shared" ref="AX4550" si="5068">SUM(AR4550:AW4550)</f>
        <v>1668600</v>
      </c>
      <c r="AY4550" s="119"/>
      <c r="AZ4550" s="137"/>
    </row>
    <row r="4551" spans="1:52" ht="17.100000000000001" customHeight="1" thickBot="1">
      <c r="A4551" s="110"/>
      <c r="B4551" s="27" t="s">
        <v>3281</v>
      </c>
      <c r="C4551" s="27">
        <v>2526</v>
      </c>
      <c r="D4551" s="14" t="s">
        <v>2601</v>
      </c>
      <c r="E4551" s="112"/>
      <c r="F4551" s="139" t="s">
        <v>13635</v>
      </c>
      <c r="G4551" s="140"/>
      <c r="H4551" s="141"/>
      <c r="I4551" s="26">
        <v>3584</v>
      </c>
      <c r="J4551" s="117"/>
      <c r="K4551" s="120"/>
      <c r="L4551" s="121"/>
      <c r="M4551" s="120"/>
      <c r="N4551" s="121"/>
      <c r="O4551" s="120"/>
      <c r="P4551" s="121"/>
      <c r="Q4551" s="120"/>
      <c r="R4551" s="121"/>
      <c r="S4551" s="120"/>
      <c r="T4551" s="121"/>
      <c r="U4551" s="120"/>
      <c r="V4551" s="123"/>
      <c r="W4551" s="125"/>
      <c r="X4551" s="142" t="s">
        <v>14401</v>
      </c>
      <c r="Y4551" s="143"/>
      <c r="Z4551" s="143"/>
      <c r="AA4551" s="143"/>
      <c r="AB4551" s="144"/>
      <c r="AC4551" s="16" t="s">
        <v>21</v>
      </c>
      <c r="AD4551" s="17" t="s">
        <v>14399</v>
      </c>
      <c r="AE4551" s="145" t="s">
        <v>3123</v>
      </c>
      <c r="AF4551" s="146"/>
      <c r="AG4551" s="146"/>
      <c r="AH4551" s="146"/>
      <c r="AI4551" s="147"/>
      <c r="AJ4551" s="148"/>
      <c r="AK4551" s="143"/>
      <c r="AL4551" s="144"/>
      <c r="AM4551" s="22"/>
      <c r="AN4551" s="149" t="s">
        <v>2131</v>
      </c>
      <c r="AO4551" s="144"/>
      <c r="AP4551" s="148">
        <v>3061</v>
      </c>
      <c r="AQ4551" s="144"/>
      <c r="AR4551" s="120"/>
      <c r="AS4551" s="121"/>
      <c r="AT4551" s="120"/>
      <c r="AU4551" s="121"/>
      <c r="AV4551" s="120"/>
      <c r="AW4551" s="121"/>
      <c r="AX4551" s="120"/>
      <c r="AY4551" s="121"/>
      <c r="AZ4551" s="138"/>
    </row>
    <row r="4552" spans="1:52" ht="17.100000000000001" customHeight="1" thickTop="1">
      <c r="A4552" s="109" t="s">
        <v>13682</v>
      </c>
      <c r="B4552" s="28">
        <v>46009</v>
      </c>
      <c r="C4552" s="25">
        <v>2139</v>
      </c>
      <c r="D4552" s="13" t="s">
        <v>4670</v>
      </c>
      <c r="E4552" s="111"/>
      <c r="F4552" s="113" t="s">
        <v>13637</v>
      </c>
      <c r="G4552" s="114"/>
      <c r="H4552" s="115"/>
      <c r="I4552" s="24"/>
      <c r="J4552" s="116">
        <v>4</v>
      </c>
      <c r="K4552" s="118">
        <v>660000</v>
      </c>
      <c r="L4552" s="119"/>
      <c r="M4552" s="118">
        <f t="shared" ref="M4552" si="5069">K4552*0.1</f>
        <v>66000</v>
      </c>
      <c r="N4552" s="119"/>
      <c r="O4552" s="118">
        <v>0</v>
      </c>
      <c r="P4552" s="119"/>
      <c r="Q4552" s="118">
        <v>8440</v>
      </c>
      <c r="R4552" s="119"/>
      <c r="S4552" s="118">
        <v>14300</v>
      </c>
      <c r="T4552" s="119"/>
      <c r="U4552" s="118">
        <f t="shared" ref="U4552" si="5070">SUM(K4552:T4553)</f>
        <v>748740</v>
      </c>
      <c r="V4552" s="122"/>
      <c r="W4552" s="124"/>
      <c r="X4552" s="126" t="s">
        <v>14240</v>
      </c>
      <c r="Y4552" s="127"/>
      <c r="Z4552" s="127"/>
      <c r="AA4552" s="127"/>
      <c r="AB4552" s="128"/>
      <c r="AC4552" s="15" t="s">
        <v>20</v>
      </c>
      <c r="AD4552" s="129"/>
      <c r="AE4552" s="130"/>
      <c r="AF4552" s="130"/>
      <c r="AG4552" s="130"/>
      <c r="AH4552" s="130"/>
      <c r="AI4552" s="131"/>
      <c r="AJ4552" s="132"/>
      <c r="AK4552" s="127"/>
      <c r="AL4552" s="128"/>
      <c r="AM4552" s="21"/>
      <c r="AN4552" s="133">
        <v>46029</v>
      </c>
      <c r="AO4552" s="134"/>
      <c r="AP4552" s="135">
        <v>999</v>
      </c>
      <c r="AQ4552" s="136"/>
      <c r="AR4552" s="118">
        <v>700000</v>
      </c>
      <c r="AS4552" s="119"/>
      <c r="AT4552" s="118">
        <f t="shared" ref="AT4552" si="5071">AR4552*0.1</f>
        <v>70000</v>
      </c>
      <c r="AU4552" s="119"/>
      <c r="AV4552" s="118">
        <v>8440</v>
      </c>
      <c r="AW4552" s="119"/>
      <c r="AX4552" s="118">
        <f t="shared" ref="AX4552" si="5072">SUM(AR4552:AW4552)</f>
        <v>778440</v>
      </c>
      <c r="AY4552" s="119"/>
      <c r="AZ4552" s="137">
        <v>46035</v>
      </c>
    </row>
    <row r="4553" spans="1:52" ht="17.100000000000001" customHeight="1" thickBot="1">
      <c r="A4553" s="110"/>
      <c r="B4553" s="27" t="s">
        <v>3281</v>
      </c>
      <c r="C4553" s="27">
        <v>2563</v>
      </c>
      <c r="D4553" s="14" t="s">
        <v>1720</v>
      </c>
      <c r="E4553" s="112"/>
      <c r="F4553" s="139" t="s">
        <v>13638</v>
      </c>
      <c r="G4553" s="140"/>
      <c r="H4553" s="141"/>
      <c r="I4553" s="26">
        <v>51789</v>
      </c>
      <c r="J4553" s="117"/>
      <c r="K4553" s="120"/>
      <c r="L4553" s="121"/>
      <c r="M4553" s="120"/>
      <c r="N4553" s="121"/>
      <c r="O4553" s="120"/>
      <c r="P4553" s="121"/>
      <c r="Q4553" s="120"/>
      <c r="R4553" s="121"/>
      <c r="S4553" s="120"/>
      <c r="T4553" s="121"/>
      <c r="U4553" s="120"/>
      <c r="V4553" s="123"/>
      <c r="W4553" s="125"/>
      <c r="X4553" s="142" t="s">
        <v>14241</v>
      </c>
      <c r="Y4553" s="143"/>
      <c r="Z4553" s="143"/>
      <c r="AA4553" s="143"/>
      <c r="AB4553" s="144"/>
      <c r="AC4553" s="16" t="s">
        <v>21</v>
      </c>
      <c r="AD4553" s="17" t="s">
        <v>14134</v>
      </c>
      <c r="AE4553" s="145" t="s">
        <v>3859</v>
      </c>
      <c r="AF4553" s="146"/>
      <c r="AG4553" s="146"/>
      <c r="AH4553" s="146"/>
      <c r="AI4553" s="147"/>
      <c r="AJ4553" s="148"/>
      <c r="AK4553" s="143"/>
      <c r="AL4553" s="144"/>
      <c r="AM4553" s="22"/>
      <c r="AN4553" s="149" t="s">
        <v>2794</v>
      </c>
      <c r="AO4553" s="144"/>
      <c r="AP4553" s="148">
        <v>2024</v>
      </c>
      <c r="AQ4553" s="144"/>
      <c r="AR4553" s="120"/>
      <c r="AS4553" s="121"/>
      <c r="AT4553" s="120"/>
      <c r="AU4553" s="121"/>
      <c r="AV4553" s="120"/>
      <c r="AW4553" s="121"/>
      <c r="AX4553" s="120"/>
      <c r="AY4553" s="121"/>
      <c r="AZ4553" s="138"/>
    </row>
    <row r="4554" spans="1:52" ht="17.100000000000001" customHeight="1" thickTop="1">
      <c r="A4554" s="109" t="s">
        <v>13683</v>
      </c>
      <c r="B4554" s="28">
        <v>46009</v>
      </c>
      <c r="C4554" s="25">
        <v>2139</v>
      </c>
      <c r="D4554" s="13" t="s">
        <v>2355</v>
      </c>
      <c r="E4554" s="111"/>
      <c r="F4554" s="113" t="s">
        <v>13639</v>
      </c>
      <c r="G4554" s="114"/>
      <c r="H4554" s="115"/>
      <c r="I4554" s="24"/>
      <c r="J4554" s="116">
        <v>4.5</v>
      </c>
      <c r="K4554" s="118">
        <v>1205000</v>
      </c>
      <c r="L4554" s="119"/>
      <c r="M4554" s="118">
        <f t="shared" ref="M4554" si="5073">K4554*0.1</f>
        <v>120500</v>
      </c>
      <c r="N4554" s="119"/>
      <c r="O4554" s="118">
        <v>0</v>
      </c>
      <c r="P4554" s="119"/>
      <c r="Q4554" s="118">
        <v>8350</v>
      </c>
      <c r="R4554" s="119"/>
      <c r="S4554" s="118">
        <v>14300</v>
      </c>
      <c r="T4554" s="119"/>
      <c r="U4554" s="118">
        <f t="shared" ref="U4554" si="5074">SUM(K4554:T4555)</f>
        <v>1348150</v>
      </c>
      <c r="V4554" s="122"/>
      <c r="W4554" s="124"/>
      <c r="X4554" s="126" t="s">
        <v>14133</v>
      </c>
      <c r="Y4554" s="127"/>
      <c r="Z4554" s="127"/>
      <c r="AA4554" s="127"/>
      <c r="AB4554" s="128"/>
      <c r="AC4554" s="15" t="s">
        <v>20</v>
      </c>
      <c r="AD4554" s="129"/>
      <c r="AE4554" s="130"/>
      <c r="AF4554" s="130"/>
      <c r="AG4554" s="130"/>
      <c r="AH4554" s="130"/>
      <c r="AI4554" s="131"/>
      <c r="AJ4554" s="132"/>
      <c r="AK4554" s="127"/>
      <c r="AL4554" s="128"/>
      <c r="AM4554" s="21"/>
      <c r="AN4554" s="133">
        <v>46014</v>
      </c>
      <c r="AO4554" s="134"/>
      <c r="AP4554" s="135">
        <v>1923</v>
      </c>
      <c r="AQ4554" s="136"/>
      <c r="AR4554" s="118">
        <v>1252000</v>
      </c>
      <c r="AS4554" s="119"/>
      <c r="AT4554" s="118">
        <f t="shared" ref="AT4554" si="5075">AR4554*0.1</f>
        <v>125200</v>
      </c>
      <c r="AU4554" s="119"/>
      <c r="AV4554" s="118">
        <v>8350</v>
      </c>
      <c r="AW4554" s="119"/>
      <c r="AX4554" s="118">
        <f t="shared" ref="AX4554" si="5076">SUM(AR4554:AW4554)</f>
        <v>1385550</v>
      </c>
      <c r="AY4554" s="119"/>
      <c r="AZ4554" s="137">
        <v>46020</v>
      </c>
    </row>
    <row r="4555" spans="1:52" ht="17.100000000000001" customHeight="1" thickBot="1">
      <c r="A4555" s="110"/>
      <c r="B4555" s="27" t="s">
        <v>3281</v>
      </c>
      <c r="C4555" s="27">
        <v>2595</v>
      </c>
      <c r="D4555" s="14" t="s">
        <v>2601</v>
      </c>
      <c r="E4555" s="112"/>
      <c r="F4555" s="139" t="s">
        <v>13640</v>
      </c>
      <c r="G4555" s="140"/>
      <c r="H4555" s="141"/>
      <c r="I4555" s="26">
        <v>6691</v>
      </c>
      <c r="J4555" s="117"/>
      <c r="K4555" s="120"/>
      <c r="L4555" s="121"/>
      <c r="M4555" s="120"/>
      <c r="N4555" s="121"/>
      <c r="O4555" s="120"/>
      <c r="P4555" s="121"/>
      <c r="Q4555" s="120"/>
      <c r="R4555" s="121"/>
      <c r="S4555" s="120"/>
      <c r="T4555" s="121"/>
      <c r="U4555" s="120"/>
      <c r="V4555" s="123"/>
      <c r="W4555" s="125"/>
      <c r="X4555" s="142" t="s">
        <v>2440</v>
      </c>
      <c r="Y4555" s="143"/>
      <c r="Z4555" s="143"/>
      <c r="AA4555" s="143"/>
      <c r="AB4555" s="144"/>
      <c r="AC4555" s="16" t="s">
        <v>21</v>
      </c>
      <c r="AD4555" s="17" t="s">
        <v>14134</v>
      </c>
      <c r="AE4555" s="145"/>
      <c r="AF4555" s="146"/>
      <c r="AG4555" s="146"/>
      <c r="AH4555" s="146"/>
      <c r="AI4555" s="147"/>
      <c r="AJ4555" s="148"/>
      <c r="AK4555" s="143"/>
      <c r="AL4555" s="144"/>
      <c r="AM4555" s="22"/>
      <c r="AN4555" s="149" t="s">
        <v>2131</v>
      </c>
      <c r="AO4555" s="144"/>
      <c r="AP4555" s="148">
        <v>3073</v>
      </c>
      <c r="AQ4555" s="144"/>
      <c r="AR4555" s="120"/>
      <c r="AS4555" s="121"/>
      <c r="AT4555" s="120"/>
      <c r="AU4555" s="121"/>
      <c r="AV4555" s="120"/>
      <c r="AW4555" s="121"/>
      <c r="AX4555" s="120"/>
      <c r="AY4555" s="121"/>
      <c r="AZ4555" s="138"/>
    </row>
    <row r="4556" spans="1:52" ht="17.100000000000001" customHeight="1" thickTop="1">
      <c r="A4556" s="109" t="s">
        <v>13684</v>
      </c>
      <c r="B4556" s="28">
        <v>46009</v>
      </c>
      <c r="C4556" s="25">
        <v>2139</v>
      </c>
      <c r="D4556" s="13" t="s">
        <v>3014</v>
      </c>
      <c r="E4556" s="111"/>
      <c r="F4556" s="113" t="s">
        <v>13641</v>
      </c>
      <c r="G4556" s="114"/>
      <c r="H4556" s="115"/>
      <c r="I4556" s="24"/>
      <c r="J4556" s="116">
        <v>4</v>
      </c>
      <c r="K4556" s="118">
        <v>413000</v>
      </c>
      <c r="L4556" s="119"/>
      <c r="M4556" s="118">
        <f t="shared" ref="M4556" si="5077">K4556*0.1</f>
        <v>41300</v>
      </c>
      <c r="N4556" s="119"/>
      <c r="O4556" s="118">
        <v>0</v>
      </c>
      <c r="P4556" s="119"/>
      <c r="Q4556" s="118">
        <v>7140</v>
      </c>
      <c r="R4556" s="119"/>
      <c r="S4556" s="118">
        <v>14300</v>
      </c>
      <c r="T4556" s="119"/>
      <c r="U4556" s="118">
        <f t="shared" ref="U4556" si="5078">SUM(K4556:T4557)</f>
        <v>475740</v>
      </c>
      <c r="V4556" s="122"/>
      <c r="W4556" s="124"/>
      <c r="X4556" s="126" t="s">
        <v>14177</v>
      </c>
      <c r="Y4556" s="127"/>
      <c r="Z4556" s="127"/>
      <c r="AA4556" s="127"/>
      <c r="AB4556" s="128"/>
      <c r="AC4556" s="15" t="s">
        <v>20</v>
      </c>
      <c r="AD4556" s="129"/>
      <c r="AE4556" s="130"/>
      <c r="AF4556" s="130"/>
      <c r="AG4556" s="130"/>
      <c r="AH4556" s="130"/>
      <c r="AI4556" s="131"/>
      <c r="AJ4556" s="132"/>
      <c r="AK4556" s="127"/>
      <c r="AL4556" s="128"/>
      <c r="AM4556" s="21"/>
      <c r="AN4556" s="133">
        <v>46015</v>
      </c>
      <c r="AO4556" s="134"/>
      <c r="AP4556" s="135">
        <v>998</v>
      </c>
      <c r="AQ4556" s="136"/>
      <c r="AR4556" s="118">
        <v>535000</v>
      </c>
      <c r="AS4556" s="119"/>
      <c r="AT4556" s="118">
        <f t="shared" ref="AT4556" si="5079">AR4556*0.1</f>
        <v>53500</v>
      </c>
      <c r="AU4556" s="119"/>
      <c r="AV4556" s="118">
        <v>7140</v>
      </c>
      <c r="AW4556" s="119"/>
      <c r="AX4556" s="118">
        <f t="shared" ref="AX4556" si="5080">SUM(AR4556:AW4556)</f>
        <v>595640</v>
      </c>
      <c r="AY4556" s="119"/>
      <c r="AZ4556" s="137">
        <v>46027</v>
      </c>
    </row>
    <row r="4557" spans="1:52" ht="17.100000000000001" customHeight="1" thickBot="1">
      <c r="A4557" s="110"/>
      <c r="B4557" s="27" t="s">
        <v>3281</v>
      </c>
      <c r="C4557" s="27">
        <v>35249</v>
      </c>
      <c r="D4557" s="14" t="s">
        <v>1576</v>
      </c>
      <c r="E4557" s="112"/>
      <c r="F4557" s="139" t="s">
        <v>13642</v>
      </c>
      <c r="G4557" s="140"/>
      <c r="H4557" s="141"/>
      <c r="I4557" s="26">
        <v>18287</v>
      </c>
      <c r="J4557" s="117"/>
      <c r="K4557" s="120"/>
      <c r="L4557" s="121"/>
      <c r="M4557" s="120"/>
      <c r="N4557" s="121"/>
      <c r="O4557" s="120"/>
      <c r="P4557" s="121"/>
      <c r="Q4557" s="120"/>
      <c r="R4557" s="121"/>
      <c r="S4557" s="120"/>
      <c r="T4557" s="121"/>
      <c r="U4557" s="120"/>
      <c r="V4557" s="123"/>
      <c r="W4557" s="125"/>
      <c r="X4557" s="142" t="s">
        <v>13172</v>
      </c>
      <c r="Y4557" s="143"/>
      <c r="Z4557" s="143"/>
      <c r="AA4557" s="143"/>
      <c r="AB4557" s="144"/>
      <c r="AC4557" s="16" t="s">
        <v>21</v>
      </c>
      <c r="AD4557" s="17" t="s">
        <v>14134</v>
      </c>
      <c r="AE4557" s="145"/>
      <c r="AF4557" s="146"/>
      <c r="AG4557" s="146"/>
      <c r="AH4557" s="146"/>
      <c r="AI4557" s="147"/>
      <c r="AJ4557" s="148"/>
      <c r="AK4557" s="143"/>
      <c r="AL4557" s="144"/>
      <c r="AM4557" s="22"/>
      <c r="AN4557" s="149" t="s">
        <v>2794</v>
      </c>
      <c r="AO4557" s="144"/>
      <c r="AP4557" s="148">
        <v>2054</v>
      </c>
      <c r="AQ4557" s="144"/>
      <c r="AR4557" s="120"/>
      <c r="AS4557" s="121"/>
      <c r="AT4557" s="120"/>
      <c r="AU4557" s="121"/>
      <c r="AV4557" s="120"/>
      <c r="AW4557" s="121"/>
      <c r="AX4557" s="120"/>
      <c r="AY4557" s="121"/>
      <c r="AZ4557" s="138"/>
    </row>
    <row r="4558" spans="1:52" ht="17.100000000000001" customHeight="1" thickTop="1">
      <c r="A4558" s="109" t="s">
        <v>13685</v>
      </c>
      <c r="B4558" s="28">
        <v>46009</v>
      </c>
      <c r="C4558" s="25">
        <v>1311</v>
      </c>
      <c r="D4558" s="13" t="s">
        <v>2737</v>
      </c>
      <c r="E4558" s="111"/>
      <c r="F4558" s="113" t="s">
        <v>4781</v>
      </c>
      <c r="G4558" s="114"/>
      <c r="H4558" s="115"/>
      <c r="I4558" s="24" t="s">
        <v>3509</v>
      </c>
      <c r="J4558" s="116">
        <v>5</v>
      </c>
      <c r="K4558" s="118">
        <v>1310000</v>
      </c>
      <c r="L4558" s="119"/>
      <c r="M4558" s="118">
        <f t="shared" ref="M4558" si="5081">K4558*0.1</f>
        <v>131000</v>
      </c>
      <c r="N4558" s="119"/>
      <c r="O4558" s="118">
        <f>7600+760</f>
        <v>8360</v>
      </c>
      <c r="P4558" s="119"/>
      <c r="Q4558" s="118">
        <v>12650</v>
      </c>
      <c r="R4558" s="119"/>
      <c r="S4558" s="118">
        <v>16500</v>
      </c>
      <c r="T4558" s="119"/>
      <c r="U4558" s="118">
        <f t="shared" ref="U4558" si="5082">SUM(K4558:T4559)</f>
        <v>1478510</v>
      </c>
      <c r="V4558" s="122"/>
      <c r="W4558" s="124"/>
      <c r="X4558" s="126" t="s">
        <v>13694</v>
      </c>
      <c r="Y4558" s="127"/>
      <c r="Z4558" s="127"/>
      <c r="AA4558" s="127"/>
      <c r="AB4558" s="128"/>
      <c r="AC4558" s="15" t="s">
        <v>20</v>
      </c>
      <c r="AD4558" s="129" t="s">
        <v>2781</v>
      </c>
      <c r="AE4558" s="130"/>
      <c r="AF4558" s="130"/>
      <c r="AG4558" s="130"/>
      <c r="AH4558" s="130"/>
      <c r="AI4558" s="131"/>
      <c r="AJ4558" s="132"/>
      <c r="AK4558" s="127"/>
      <c r="AL4558" s="128"/>
      <c r="AM4558" s="21" t="s">
        <v>14897</v>
      </c>
      <c r="AN4558" s="133">
        <v>46034</v>
      </c>
      <c r="AO4558" s="134"/>
      <c r="AP4558" s="135"/>
      <c r="AQ4558" s="136"/>
      <c r="AR4558" s="118">
        <v>1590000</v>
      </c>
      <c r="AS4558" s="119"/>
      <c r="AT4558" s="118">
        <f t="shared" ref="AT4558" si="5083">AR4558*0.1</f>
        <v>159000</v>
      </c>
      <c r="AU4558" s="119"/>
      <c r="AV4558" s="118">
        <v>16250</v>
      </c>
      <c r="AW4558" s="119"/>
      <c r="AX4558" s="118">
        <f t="shared" ref="AX4558" si="5084">SUM(AR4558:AW4558)</f>
        <v>1765250</v>
      </c>
      <c r="AY4558" s="119"/>
      <c r="AZ4558" s="137"/>
    </row>
    <row r="4559" spans="1:52" ht="17.100000000000001" customHeight="1" thickBot="1">
      <c r="A4559" s="110"/>
      <c r="B4559" s="27" t="s">
        <v>13663</v>
      </c>
      <c r="C4559" s="27">
        <v>126</v>
      </c>
      <c r="D4559" s="14" t="s">
        <v>2836</v>
      </c>
      <c r="E4559" s="112"/>
      <c r="F4559" s="139" t="s">
        <v>13693</v>
      </c>
      <c r="G4559" s="140"/>
      <c r="H4559" s="141"/>
      <c r="I4559" s="26">
        <v>11954</v>
      </c>
      <c r="J4559" s="117"/>
      <c r="K4559" s="120"/>
      <c r="L4559" s="121"/>
      <c r="M4559" s="120"/>
      <c r="N4559" s="121"/>
      <c r="O4559" s="120"/>
      <c r="P4559" s="121"/>
      <c r="Q4559" s="120"/>
      <c r="R4559" s="121"/>
      <c r="S4559" s="120"/>
      <c r="T4559" s="121"/>
      <c r="U4559" s="120"/>
      <c r="V4559" s="123"/>
      <c r="W4559" s="125"/>
      <c r="X4559" s="142" t="s">
        <v>14040</v>
      </c>
      <c r="Y4559" s="143"/>
      <c r="Z4559" s="143"/>
      <c r="AA4559" s="143"/>
      <c r="AB4559" s="144"/>
      <c r="AC4559" s="16" t="s">
        <v>21</v>
      </c>
      <c r="AD4559" s="17" t="s">
        <v>14041</v>
      </c>
      <c r="AE4559" s="145" t="s">
        <v>14042</v>
      </c>
      <c r="AF4559" s="146"/>
      <c r="AG4559" s="146"/>
      <c r="AH4559" s="146"/>
      <c r="AI4559" s="147"/>
      <c r="AJ4559" s="148"/>
      <c r="AK4559" s="143"/>
      <c r="AL4559" s="144"/>
      <c r="AM4559" s="22"/>
      <c r="AN4559" s="149" t="s">
        <v>6789</v>
      </c>
      <c r="AO4559" s="144"/>
      <c r="AP4559" s="148">
        <v>53994</v>
      </c>
      <c r="AQ4559" s="144"/>
      <c r="AR4559" s="120"/>
      <c r="AS4559" s="121"/>
      <c r="AT4559" s="120"/>
      <c r="AU4559" s="121"/>
      <c r="AV4559" s="120"/>
      <c r="AW4559" s="121"/>
      <c r="AX4559" s="120"/>
      <c r="AY4559" s="121"/>
      <c r="AZ4559" s="138"/>
    </row>
    <row r="4560" spans="1:52" ht="17.100000000000001" customHeight="1" thickTop="1">
      <c r="A4560" s="109" t="s">
        <v>13686</v>
      </c>
      <c r="B4560" s="28">
        <v>46009</v>
      </c>
      <c r="C4560" s="25">
        <v>1311</v>
      </c>
      <c r="D4560" s="13" t="s">
        <v>2442</v>
      </c>
      <c r="E4560" s="111"/>
      <c r="F4560" s="113" t="s">
        <v>13695</v>
      </c>
      <c r="G4560" s="114"/>
      <c r="H4560" s="115"/>
      <c r="I4560" s="24"/>
      <c r="J4560" s="116">
        <v>4.5</v>
      </c>
      <c r="K4560" s="118">
        <v>1675000</v>
      </c>
      <c r="L4560" s="119"/>
      <c r="M4560" s="118">
        <f t="shared" ref="M4560" si="5085">K4560*0.1</f>
        <v>167500</v>
      </c>
      <c r="N4560" s="119"/>
      <c r="O4560" s="118">
        <v>0</v>
      </c>
      <c r="P4560" s="119"/>
      <c r="Q4560" s="118">
        <v>19040</v>
      </c>
      <c r="R4560" s="119"/>
      <c r="S4560" s="118">
        <v>16500</v>
      </c>
      <c r="T4560" s="119"/>
      <c r="U4560" s="118">
        <v>1878040</v>
      </c>
      <c r="V4560" s="122"/>
      <c r="W4560" s="124"/>
      <c r="X4560" s="126" t="s">
        <v>14047</v>
      </c>
      <c r="Y4560" s="127"/>
      <c r="Z4560" s="127"/>
      <c r="AA4560" s="127"/>
      <c r="AB4560" s="128"/>
      <c r="AC4560" s="15" t="s">
        <v>20</v>
      </c>
      <c r="AD4560" s="129" t="s">
        <v>12452</v>
      </c>
      <c r="AE4560" s="130"/>
      <c r="AF4560" s="130"/>
      <c r="AG4560" s="130"/>
      <c r="AH4560" s="130"/>
      <c r="AI4560" s="131"/>
      <c r="AJ4560" s="132"/>
      <c r="AK4560" s="127"/>
      <c r="AL4560" s="128"/>
      <c r="AM4560" s="21"/>
      <c r="AN4560" s="133">
        <v>46015</v>
      </c>
      <c r="AO4560" s="134"/>
      <c r="AP4560" s="135"/>
      <c r="AQ4560" s="136"/>
      <c r="AR4560" s="118">
        <v>1850000</v>
      </c>
      <c r="AS4560" s="119"/>
      <c r="AT4560" s="118">
        <f t="shared" ref="AT4560" si="5086">AR4560*0.1</f>
        <v>185000</v>
      </c>
      <c r="AU4560" s="119"/>
      <c r="AV4560" s="118">
        <v>19040</v>
      </c>
      <c r="AW4560" s="119"/>
      <c r="AX4560" s="118">
        <f t="shared" ref="AX4560" si="5087">SUM(AR4560:AW4560)</f>
        <v>2054040</v>
      </c>
      <c r="AY4560" s="119"/>
      <c r="AZ4560" s="137"/>
    </row>
    <row r="4561" spans="1:52" ht="17.100000000000001" customHeight="1" thickBot="1">
      <c r="A4561" s="110"/>
      <c r="B4561" s="27" t="s">
        <v>13663</v>
      </c>
      <c r="C4561" s="27">
        <v>502</v>
      </c>
      <c r="D4561" s="14" t="s">
        <v>1592</v>
      </c>
      <c r="E4561" s="112"/>
      <c r="F4561" s="139" t="s">
        <v>13696</v>
      </c>
      <c r="G4561" s="140"/>
      <c r="H4561" s="141"/>
      <c r="I4561" s="26">
        <v>58794</v>
      </c>
      <c r="J4561" s="117"/>
      <c r="K4561" s="120"/>
      <c r="L4561" s="121"/>
      <c r="M4561" s="120"/>
      <c r="N4561" s="121"/>
      <c r="O4561" s="120"/>
      <c r="P4561" s="121"/>
      <c r="Q4561" s="120"/>
      <c r="R4561" s="121"/>
      <c r="S4561" s="120"/>
      <c r="T4561" s="121"/>
      <c r="U4561" s="120"/>
      <c r="V4561" s="123"/>
      <c r="W4561" s="125"/>
      <c r="X4561" s="142" t="s">
        <v>1861</v>
      </c>
      <c r="Y4561" s="143"/>
      <c r="Z4561" s="143"/>
      <c r="AA4561" s="143"/>
      <c r="AB4561" s="144"/>
      <c r="AC4561" s="16" t="s">
        <v>21</v>
      </c>
      <c r="AD4561" s="17" t="s">
        <v>14041</v>
      </c>
      <c r="AE4561" s="145" t="s">
        <v>1742</v>
      </c>
      <c r="AF4561" s="146"/>
      <c r="AG4561" s="146"/>
      <c r="AH4561" s="146"/>
      <c r="AI4561" s="147"/>
      <c r="AJ4561" s="148"/>
      <c r="AK4561" s="143"/>
      <c r="AL4561" s="144"/>
      <c r="AM4561" s="22"/>
      <c r="AN4561" s="149" t="s">
        <v>6789</v>
      </c>
      <c r="AO4561" s="144"/>
      <c r="AP4561" s="148">
        <v>87357</v>
      </c>
      <c r="AQ4561" s="144"/>
      <c r="AR4561" s="120"/>
      <c r="AS4561" s="121"/>
      <c r="AT4561" s="120"/>
      <c r="AU4561" s="121"/>
      <c r="AV4561" s="120"/>
      <c r="AW4561" s="121"/>
      <c r="AX4561" s="120"/>
      <c r="AY4561" s="121"/>
      <c r="AZ4561" s="138"/>
    </row>
    <row r="4562" spans="1:52" ht="17.100000000000001" customHeight="1" thickTop="1">
      <c r="A4562" s="151" t="s">
        <v>13687</v>
      </c>
      <c r="B4562" s="28">
        <v>46009</v>
      </c>
      <c r="C4562" s="25">
        <v>1311</v>
      </c>
      <c r="D4562" s="13" t="s">
        <v>1597</v>
      </c>
      <c r="E4562" s="111"/>
      <c r="F4562" s="113" t="s">
        <v>13697</v>
      </c>
      <c r="G4562" s="114"/>
      <c r="H4562" s="115"/>
      <c r="I4562" s="24" t="s">
        <v>2526</v>
      </c>
      <c r="J4562" s="116">
        <v>4</v>
      </c>
      <c r="K4562" s="118">
        <v>2145000</v>
      </c>
      <c r="L4562" s="119"/>
      <c r="M4562" s="118">
        <f t="shared" ref="M4562" si="5088">K4562*0.1</f>
        <v>214500</v>
      </c>
      <c r="N4562" s="119"/>
      <c r="O4562" s="118">
        <f>9800+980</f>
        <v>10780</v>
      </c>
      <c r="P4562" s="119"/>
      <c r="Q4562" s="118">
        <v>21650</v>
      </c>
      <c r="R4562" s="119"/>
      <c r="S4562" s="118">
        <v>16500</v>
      </c>
      <c r="T4562" s="119"/>
      <c r="U4562" s="118">
        <f t="shared" ref="U4562" si="5089">SUM(K4562:T4563)</f>
        <v>2408430</v>
      </c>
      <c r="V4562" s="122"/>
      <c r="W4562" s="124"/>
      <c r="X4562" s="126" t="s">
        <v>13699</v>
      </c>
      <c r="Y4562" s="127"/>
      <c r="Z4562" s="127"/>
      <c r="AA4562" s="127"/>
      <c r="AB4562" s="128"/>
      <c r="AC4562" s="15" t="s">
        <v>20</v>
      </c>
      <c r="AD4562" s="129" t="s">
        <v>1670</v>
      </c>
      <c r="AE4562" s="130"/>
      <c r="AF4562" s="130"/>
      <c r="AG4562" s="130"/>
      <c r="AH4562" s="130"/>
      <c r="AI4562" s="131"/>
      <c r="AJ4562" s="132"/>
      <c r="AK4562" s="127"/>
      <c r="AL4562" s="128"/>
      <c r="AM4562" s="21"/>
      <c r="AN4562" s="133">
        <v>46039</v>
      </c>
      <c r="AO4562" s="134"/>
      <c r="AP4562" s="135">
        <v>1284</v>
      </c>
      <c r="AQ4562" s="136"/>
      <c r="AR4562" s="118">
        <v>2300000</v>
      </c>
      <c r="AS4562" s="119"/>
      <c r="AT4562" s="118">
        <f t="shared" ref="AT4562" si="5090">AR4562*0.1</f>
        <v>230000</v>
      </c>
      <c r="AU4562" s="119"/>
      <c r="AV4562" s="118">
        <v>21650</v>
      </c>
      <c r="AW4562" s="119"/>
      <c r="AX4562" s="118">
        <f t="shared" ref="AX4562" si="5091">SUM(AR4562:AW4562)</f>
        <v>2551650</v>
      </c>
      <c r="AY4562" s="119"/>
      <c r="AZ4562" s="137">
        <v>46044</v>
      </c>
    </row>
    <row r="4563" spans="1:52" ht="17.100000000000001" customHeight="1" thickBot="1">
      <c r="A4563" s="152"/>
      <c r="B4563" s="27" t="s">
        <v>13663</v>
      </c>
      <c r="C4563" s="27">
        <v>515</v>
      </c>
      <c r="D4563" s="14" t="s">
        <v>133</v>
      </c>
      <c r="E4563" s="112"/>
      <c r="F4563" s="139" t="s">
        <v>13698</v>
      </c>
      <c r="G4563" s="140"/>
      <c r="H4563" s="141"/>
      <c r="I4563" s="26">
        <v>28739</v>
      </c>
      <c r="J4563" s="117"/>
      <c r="K4563" s="120"/>
      <c r="L4563" s="121"/>
      <c r="M4563" s="120"/>
      <c r="N4563" s="121"/>
      <c r="O4563" s="120"/>
      <c r="P4563" s="121"/>
      <c r="Q4563" s="120"/>
      <c r="R4563" s="121"/>
      <c r="S4563" s="120"/>
      <c r="T4563" s="121"/>
      <c r="U4563" s="120"/>
      <c r="V4563" s="123"/>
      <c r="W4563" s="125"/>
      <c r="X4563" s="142" t="s">
        <v>5009</v>
      </c>
      <c r="Y4563" s="143"/>
      <c r="Z4563" s="143"/>
      <c r="AA4563" s="143"/>
      <c r="AB4563" s="144"/>
      <c r="AC4563" s="16" t="s">
        <v>21</v>
      </c>
      <c r="AD4563" s="17" t="s">
        <v>14041</v>
      </c>
      <c r="AE4563" s="145" t="s">
        <v>1742</v>
      </c>
      <c r="AF4563" s="146"/>
      <c r="AG4563" s="146"/>
      <c r="AH4563" s="146"/>
      <c r="AI4563" s="147"/>
      <c r="AJ4563" s="148"/>
      <c r="AK4563" s="143"/>
      <c r="AL4563" s="144"/>
      <c r="AM4563" s="22"/>
      <c r="AN4563" s="149" t="s">
        <v>2511</v>
      </c>
      <c r="AO4563" s="144"/>
      <c r="AP4563" s="148">
        <v>80069</v>
      </c>
      <c r="AQ4563" s="144"/>
      <c r="AR4563" s="120"/>
      <c r="AS4563" s="121"/>
      <c r="AT4563" s="120"/>
      <c r="AU4563" s="121"/>
      <c r="AV4563" s="120"/>
      <c r="AW4563" s="121"/>
      <c r="AX4563" s="120"/>
      <c r="AY4563" s="121"/>
      <c r="AZ4563" s="138"/>
    </row>
    <row r="4564" spans="1:52" ht="17.100000000000001" customHeight="1" thickTop="1">
      <c r="A4564" s="109" t="s">
        <v>13688</v>
      </c>
      <c r="B4564" s="28">
        <v>46009</v>
      </c>
      <c r="C4564" s="25">
        <v>1311</v>
      </c>
      <c r="D4564" s="13" t="s">
        <v>3478</v>
      </c>
      <c r="E4564" s="111"/>
      <c r="F4564" s="113" t="s">
        <v>13700</v>
      </c>
      <c r="G4564" s="114"/>
      <c r="H4564" s="115"/>
      <c r="I4564" s="24"/>
      <c r="J4564" s="116">
        <v>4</v>
      </c>
      <c r="K4564" s="118">
        <v>2785000</v>
      </c>
      <c r="L4564" s="119"/>
      <c r="M4564" s="118">
        <f t="shared" ref="M4564" si="5092">K4564*0.1</f>
        <v>278500</v>
      </c>
      <c r="N4564" s="119"/>
      <c r="O4564" s="118">
        <v>0</v>
      </c>
      <c r="P4564" s="119"/>
      <c r="Q4564" s="118">
        <v>16550</v>
      </c>
      <c r="R4564" s="119"/>
      <c r="S4564" s="118">
        <v>16500</v>
      </c>
      <c r="T4564" s="119"/>
      <c r="U4564" s="118">
        <f t="shared" ref="U4564" si="5093">SUM(K4564:T4565)</f>
        <v>3096550</v>
      </c>
      <c r="V4564" s="122"/>
      <c r="W4564" s="124"/>
      <c r="X4564" s="126" t="s">
        <v>14054</v>
      </c>
      <c r="Y4564" s="127"/>
      <c r="Z4564" s="127"/>
      <c r="AA4564" s="127"/>
      <c r="AB4564" s="128"/>
      <c r="AC4564" s="15" t="s">
        <v>20</v>
      </c>
      <c r="AD4564" s="129" t="s">
        <v>13702</v>
      </c>
      <c r="AE4564" s="130"/>
      <c r="AF4564" s="130"/>
      <c r="AG4564" s="130"/>
      <c r="AH4564" s="130"/>
      <c r="AI4564" s="131"/>
      <c r="AJ4564" s="132"/>
      <c r="AK4564" s="127"/>
      <c r="AL4564" s="128"/>
      <c r="AM4564" s="21"/>
      <c r="AN4564" s="133">
        <v>46380</v>
      </c>
      <c r="AO4564" s="134"/>
      <c r="AP4564" s="135">
        <v>998</v>
      </c>
      <c r="AQ4564" s="136"/>
      <c r="AR4564" s="118">
        <v>2940000</v>
      </c>
      <c r="AS4564" s="119"/>
      <c r="AT4564" s="118">
        <f t="shared" ref="AT4564" si="5094">AR4564*0.1</f>
        <v>294000</v>
      </c>
      <c r="AU4564" s="119"/>
      <c r="AV4564" s="368">
        <v>16550</v>
      </c>
      <c r="AW4564" s="369"/>
      <c r="AX4564" s="118">
        <f t="shared" ref="AX4564" si="5095">SUM(AR4564:AW4564)</f>
        <v>3250550</v>
      </c>
      <c r="AY4564" s="119"/>
      <c r="AZ4564" s="137">
        <v>46028</v>
      </c>
    </row>
    <row r="4565" spans="1:52" ht="17.100000000000001" customHeight="1" thickBot="1">
      <c r="A4565" s="110"/>
      <c r="B4565" s="27" t="s">
        <v>13663</v>
      </c>
      <c r="C4565" s="27">
        <v>516</v>
      </c>
      <c r="D4565" s="14" t="s">
        <v>2601</v>
      </c>
      <c r="E4565" s="112"/>
      <c r="F4565" s="139" t="s">
        <v>13701</v>
      </c>
      <c r="G4565" s="140"/>
      <c r="H4565" s="141"/>
      <c r="I4565" s="26">
        <v>58452</v>
      </c>
      <c r="J4565" s="117"/>
      <c r="K4565" s="120"/>
      <c r="L4565" s="121"/>
      <c r="M4565" s="120"/>
      <c r="N4565" s="121"/>
      <c r="O4565" s="120"/>
      <c r="P4565" s="121"/>
      <c r="Q4565" s="120"/>
      <c r="R4565" s="121"/>
      <c r="S4565" s="120"/>
      <c r="T4565" s="121"/>
      <c r="U4565" s="120"/>
      <c r="V4565" s="123"/>
      <c r="W4565" s="125"/>
      <c r="X4565" s="142" t="s">
        <v>5009</v>
      </c>
      <c r="Y4565" s="143"/>
      <c r="Z4565" s="143"/>
      <c r="AA4565" s="143"/>
      <c r="AB4565" s="144"/>
      <c r="AC4565" s="16" t="s">
        <v>21</v>
      </c>
      <c r="AD4565" s="17" t="s">
        <v>14041</v>
      </c>
      <c r="AE4565" s="145" t="s">
        <v>14055</v>
      </c>
      <c r="AF4565" s="146"/>
      <c r="AG4565" s="146"/>
      <c r="AH4565" s="146"/>
      <c r="AI4565" s="147"/>
      <c r="AJ4565" s="148"/>
      <c r="AK4565" s="143"/>
      <c r="AL4565" s="144"/>
      <c r="AM4565" s="22"/>
      <c r="AN4565" s="149" t="s">
        <v>7285</v>
      </c>
      <c r="AO4565" s="144"/>
      <c r="AP4565" s="148">
        <v>5066</v>
      </c>
      <c r="AQ4565" s="144"/>
      <c r="AR4565" s="120"/>
      <c r="AS4565" s="121"/>
      <c r="AT4565" s="120"/>
      <c r="AU4565" s="121"/>
      <c r="AV4565" s="370"/>
      <c r="AW4565" s="371"/>
      <c r="AX4565" s="120"/>
      <c r="AY4565" s="121"/>
      <c r="AZ4565" s="138"/>
    </row>
    <row r="4566" spans="1:52" ht="17.100000000000001" customHeight="1" thickTop="1">
      <c r="A4566" s="151" t="s">
        <v>13689</v>
      </c>
      <c r="B4566" s="28">
        <v>46009</v>
      </c>
      <c r="C4566" s="25">
        <v>1311</v>
      </c>
      <c r="D4566" s="13" t="s">
        <v>2298</v>
      </c>
      <c r="E4566" s="111"/>
      <c r="F4566" s="113" t="s">
        <v>13703</v>
      </c>
      <c r="G4566" s="114"/>
      <c r="H4566" s="115"/>
      <c r="I4566" s="24"/>
      <c r="J4566" s="116">
        <v>4.5</v>
      </c>
      <c r="K4566" s="118">
        <v>2280000</v>
      </c>
      <c r="L4566" s="119"/>
      <c r="M4566" s="118">
        <f t="shared" ref="M4566" si="5096">K4566*0.1</f>
        <v>228000</v>
      </c>
      <c r="N4566" s="119"/>
      <c r="O4566" s="118">
        <v>0</v>
      </c>
      <c r="P4566" s="119"/>
      <c r="Q4566" s="118">
        <v>18170</v>
      </c>
      <c r="R4566" s="119"/>
      <c r="S4566" s="118">
        <v>16500</v>
      </c>
      <c r="T4566" s="119"/>
      <c r="U4566" s="118">
        <f t="shared" ref="U4566" si="5097">SUM(K4566:T4567)</f>
        <v>2542670</v>
      </c>
      <c r="V4566" s="122"/>
      <c r="W4566" s="124"/>
      <c r="X4566" s="126" t="s">
        <v>14048</v>
      </c>
      <c r="Y4566" s="127"/>
      <c r="Z4566" s="127"/>
      <c r="AA4566" s="127"/>
      <c r="AB4566" s="128"/>
      <c r="AC4566" s="15" t="s">
        <v>20</v>
      </c>
      <c r="AD4566" s="129"/>
      <c r="AE4566" s="130"/>
      <c r="AF4566" s="130"/>
      <c r="AG4566" s="130"/>
      <c r="AH4566" s="130"/>
      <c r="AI4566" s="131"/>
      <c r="AJ4566" s="132"/>
      <c r="AK4566" s="127"/>
      <c r="AL4566" s="128"/>
      <c r="AM4566" s="21"/>
      <c r="AN4566" s="133">
        <v>46039</v>
      </c>
      <c r="AO4566" s="134"/>
      <c r="AP4566" s="135">
        <v>1284</v>
      </c>
      <c r="AQ4566" s="136"/>
      <c r="AR4566" s="118">
        <v>2425000</v>
      </c>
      <c r="AS4566" s="119"/>
      <c r="AT4566" s="118">
        <f t="shared" ref="AT4566" si="5098">AR4566*0.1</f>
        <v>242500</v>
      </c>
      <c r="AU4566" s="119"/>
      <c r="AV4566" s="118">
        <v>18170</v>
      </c>
      <c r="AW4566" s="119"/>
      <c r="AX4566" s="118">
        <f t="shared" ref="AX4566" si="5099">SUM(AR4566:AW4566)</f>
        <v>2685670</v>
      </c>
      <c r="AY4566" s="119"/>
      <c r="AZ4566" s="137">
        <v>46042</v>
      </c>
    </row>
    <row r="4567" spans="1:52" ht="17.100000000000001" customHeight="1" thickBot="1">
      <c r="A4567" s="152"/>
      <c r="B4567" s="27" t="s">
        <v>13663</v>
      </c>
      <c r="C4567" s="27">
        <v>531</v>
      </c>
      <c r="D4567" s="14" t="s">
        <v>275</v>
      </c>
      <c r="E4567" s="112"/>
      <c r="F4567" s="139" t="s">
        <v>13704</v>
      </c>
      <c r="G4567" s="140"/>
      <c r="H4567" s="141"/>
      <c r="I4567" s="26">
        <v>51683</v>
      </c>
      <c r="J4567" s="117"/>
      <c r="K4567" s="120"/>
      <c r="L4567" s="121"/>
      <c r="M4567" s="120"/>
      <c r="N4567" s="121"/>
      <c r="O4567" s="120"/>
      <c r="P4567" s="121"/>
      <c r="Q4567" s="120"/>
      <c r="R4567" s="121"/>
      <c r="S4567" s="120"/>
      <c r="T4567" s="121"/>
      <c r="U4567" s="120"/>
      <c r="V4567" s="123"/>
      <c r="W4567" s="125"/>
      <c r="X4567" s="142" t="s">
        <v>5009</v>
      </c>
      <c r="Y4567" s="143"/>
      <c r="Z4567" s="143"/>
      <c r="AA4567" s="143"/>
      <c r="AB4567" s="144"/>
      <c r="AC4567" s="16" t="s">
        <v>21</v>
      </c>
      <c r="AD4567" s="17" t="s">
        <v>14041</v>
      </c>
      <c r="AE4567" s="145" t="s">
        <v>2832</v>
      </c>
      <c r="AF4567" s="146"/>
      <c r="AG4567" s="146"/>
      <c r="AH4567" s="146"/>
      <c r="AI4567" s="147"/>
      <c r="AJ4567" s="148"/>
      <c r="AK4567" s="143"/>
      <c r="AL4567" s="144"/>
      <c r="AM4567" s="22"/>
      <c r="AN4567" s="149" t="s">
        <v>2511</v>
      </c>
      <c r="AO4567" s="144"/>
      <c r="AP4567" s="148">
        <v>80116</v>
      </c>
      <c r="AQ4567" s="144"/>
      <c r="AR4567" s="120"/>
      <c r="AS4567" s="121"/>
      <c r="AT4567" s="120"/>
      <c r="AU4567" s="121"/>
      <c r="AV4567" s="120"/>
      <c r="AW4567" s="121"/>
      <c r="AX4567" s="120"/>
      <c r="AY4567" s="121"/>
      <c r="AZ4567" s="138"/>
    </row>
    <row r="4568" spans="1:52" ht="17.100000000000001" customHeight="1" thickTop="1">
      <c r="A4568" s="109" t="s">
        <v>13690</v>
      </c>
      <c r="B4568" s="28">
        <v>46009</v>
      </c>
      <c r="C4568" s="25">
        <v>1311</v>
      </c>
      <c r="D4568" s="13" t="s">
        <v>2759</v>
      </c>
      <c r="E4568" s="111"/>
      <c r="F4568" s="113" t="s">
        <v>13705</v>
      </c>
      <c r="G4568" s="114"/>
      <c r="H4568" s="115"/>
      <c r="I4568" s="24"/>
      <c r="J4568" s="116">
        <v>4.5</v>
      </c>
      <c r="K4568" s="118">
        <v>1755000</v>
      </c>
      <c r="L4568" s="119"/>
      <c r="M4568" s="118">
        <f t="shared" ref="M4568" si="5100">K4568*0.1</f>
        <v>175500</v>
      </c>
      <c r="N4568" s="119"/>
      <c r="O4568" s="118">
        <v>0</v>
      </c>
      <c r="P4568" s="119"/>
      <c r="Q4568" s="118">
        <v>21650</v>
      </c>
      <c r="R4568" s="119"/>
      <c r="S4568" s="118">
        <v>16500</v>
      </c>
      <c r="T4568" s="119"/>
      <c r="U4568" s="118">
        <f t="shared" ref="U4568" si="5101">SUM(K4568:T4569)</f>
        <v>1968650</v>
      </c>
      <c r="V4568" s="122"/>
      <c r="W4568" s="124"/>
      <c r="X4568" s="126" t="s">
        <v>14044</v>
      </c>
      <c r="Y4568" s="127"/>
      <c r="Z4568" s="127"/>
      <c r="AA4568" s="127"/>
      <c r="AB4568" s="128"/>
      <c r="AC4568" s="15" t="s">
        <v>20</v>
      </c>
      <c r="AD4568" s="129" t="s">
        <v>1633</v>
      </c>
      <c r="AE4568" s="130"/>
      <c r="AF4568" s="130"/>
      <c r="AG4568" s="130"/>
      <c r="AH4568" s="130"/>
      <c r="AI4568" s="131"/>
      <c r="AJ4568" s="132"/>
      <c r="AK4568" s="127"/>
      <c r="AL4568" s="128"/>
      <c r="AM4568" s="21"/>
      <c r="AN4568" s="133">
        <v>46053</v>
      </c>
      <c r="AO4568" s="134"/>
      <c r="AP4568" s="135">
        <v>1286</v>
      </c>
      <c r="AQ4568" s="136"/>
      <c r="AR4568" s="118">
        <v>1920000</v>
      </c>
      <c r="AS4568" s="119"/>
      <c r="AT4568" s="118">
        <f t="shared" ref="AT4568" si="5102">AR4568*0.1</f>
        <v>192000</v>
      </c>
      <c r="AU4568" s="119"/>
      <c r="AV4568" s="118">
        <v>21650</v>
      </c>
      <c r="AW4568" s="119"/>
      <c r="AX4568" s="118">
        <f t="shared" ref="AX4568" si="5103">SUM(AR4568:AW4568)</f>
        <v>2133650</v>
      </c>
      <c r="AY4568" s="119"/>
      <c r="AZ4568" s="137">
        <v>46056</v>
      </c>
    </row>
    <row r="4569" spans="1:52" ht="17.100000000000001" customHeight="1" thickBot="1">
      <c r="A4569" s="110"/>
      <c r="B4569" s="27" t="s">
        <v>13663</v>
      </c>
      <c r="C4569" s="27">
        <v>564</v>
      </c>
      <c r="D4569" s="14" t="s">
        <v>904</v>
      </c>
      <c r="E4569" s="112"/>
      <c r="F4569" s="139" t="s">
        <v>13706</v>
      </c>
      <c r="G4569" s="140"/>
      <c r="H4569" s="141"/>
      <c r="I4569" s="26">
        <v>61970</v>
      </c>
      <c r="J4569" s="117"/>
      <c r="K4569" s="120"/>
      <c r="L4569" s="121"/>
      <c r="M4569" s="120"/>
      <c r="N4569" s="121"/>
      <c r="O4569" s="120"/>
      <c r="P4569" s="121"/>
      <c r="Q4569" s="120"/>
      <c r="R4569" s="121"/>
      <c r="S4569" s="120"/>
      <c r="T4569" s="121"/>
      <c r="U4569" s="120"/>
      <c r="V4569" s="123"/>
      <c r="W4569" s="125"/>
      <c r="X4569" s="142" t="s">
        <v>1861</v>
      </c>
      <c r="Y4569" s="143"/>
      <c r="Z4569" s="143"/>
      <c r="AA4569" s="143"/>
      <c r="AB4569" s="144"/>
      <c r="AC4569" s="16" t="s">
        <v>21</v>
      </c>
      <c r="AD4569" s="17" t="s">
        <v>14041</v>
      </c>
      <c r="AE4569" s="145" t="s">
        <v>1742</v>
      </c>
      <c r="AF4569" s="146"/>
      <c r="AG4569" s="146"/>
      <c r="AH4569" s="146"/>
      <c r="AI4569" s="147"/>
      <c r="AJ4569" s="148"/>
      <c r="AK4569" s="143"/>
      <c r="AL4569" s="144"/>
      <c r="AM4569" s="22"/>
      <c r="AN4569" s="149" t="s">
        <v>2511</v>
      </c>
      <c r="AO4569" s="144"/>
      <c r="AP4569" s="148">
        <v>80101</v>
      </c>
      <c r="AQ4569" s="144"/>
      <c r="AR4569" s="120"/>
      <c r="AS4569" s="121"/>
      <c r="AT4569" s="120"/>
      <c r="AU4569" s="121"/>
      <c r="AV4569" s="120"/>
      <c r="AW4569" s="121"/>
      <c r="AX4569" s="120"/>
      <c r="AY4569" s="121"/>
      <c r="AZ4569" s="138"/>
    </row>
    <row r="4570" spans="1:52" ht="17.100000000000001" customHeight="1" thickTop="1">
      <c r="A4570" s="109" t="s">
        <v>13691</v>
      </c>
      <c r="B4570" s="28">
        <v>46009</v>
      </c>
      <c r="C4570" s="25">
        <v>1311</v>
      </c>
      <c r="D4570" s="13" t="s">
        <v>1902</v>
      </c>
      <c r="E4570" s="111"/>
      <c r="F4570" s="113" t="s">
        <v>13707</v>
      </c>
      <c r="G4570" s="114"/>
      <c r="H4570" s="115"/>
      <c r="I4570" s="24"/>
      <c r="J4570" s="116">
        <v>4.5</v>
      </c>
      <c r="K4570" s="118">
        <v>3935000</v>
      </c>
      <c r="L4570" s="119"/>
      <c r="M4570" s="118">
        <f t="shared" ref="M4570" si="5104">K4570*0.1</f>
        <v>393500</v>
      </c>
      <c r="N4570" s="119"/>
      <c r="O4570" s="118">
        <v>0</v>
      </c>
      <c r="P4570" s="119"/>
      <c r="Q4570" s="118">
        <v>17760</v>
      </c>
      <c r="R4570" s="119"/>
      <c r="S4570" s="118">
        <v>16500</v>
      </c>
      <c r="T4570" s="119"/>
      <c r="U4570" s="118">
        <f t="shared" ref="U4570" si="5105">SUM(K4570:T4571)</f>
        <v>4362760</v>
      </c>
      <c r="V4570" s="122"/>
      <c r="W4570" s="124"/>
      <c r="X4570" s="126" t="s">
        <v>14045</v>
      </c>
      <c r="Y4570" s="127"/>
      <c r="Z4570" s="127"/>
      <c r="AA4570" s="127"/>
      <c r="AB4570" s="128"/>
      <c r="AC4570" s="15" t="s">
        <v>20</v>
      </c>
      <c r="AD4570" s="129" t="s">
        <v>1633</v>
      </c>
      <c r="AE4570" s="130"/>
      <c r="AF4570" s="130"/>
      <c r="AG4570" s="130"/>
      <c r="AH4570" s="130"/>
      <c r="AI4570" s="131"/>
      <c r="AJ4570" s="132"/>
      <c r="AK4570" s="127"/>
      <c r="AL4570" s="128"/>
      <c r="AM4570" s="21"/>
      <c r="AN4570" s="133">
        <v>46074</v>
      </c>
      <c r="AO4570" s="134"/>
      <c r="AP4570" s="135">
        <v>1289</v>
      </c>
      <c r="AQ4570" s="136"/>
      <c r="AR4570" s="118">
        <v>3950000</v>
      </c>
      <c r="AS4570" s="119"/>
      <c r="AT4570" s="118">
        <f t="shared" ref="AT4570" si="5106">AR4570*0.1</f>
        <v>395000</v>
      </c>
      <c r="AU4570" s="119"/>
      <c r="AV4570" s="118">
        <v>17760</v>
      </c>
      <c r="AW4570" s="119"/>
      <c r="AX4570" s="118">
        <f t="shared" ref="AX4570" si="5107">SUM(AR4570:AW4570)</f>
        <v>4362760</v>
      </c>
      <c r="AY4570" s="119"/>
      <c r="AZ4570" s="137">
        <v>46077</v>
      </c>
    </row>
    <row r="4571" spans="1:52" ht="17.100000000000001" customHeight="1" thickBot="1">
      <c r="A4571" s="110"/>
      <c r="B4571" s="27" t="s">
        <v>13663</v>
      </c>
      <c r="C4571" s="27">
        <v>595</v>
      </c>
      <c r="D4571" s="14" t="s">
        <v>275</v>
      </c>
      <c r="E4571" s="112"/>
      <c r="F4571" s="139" t="s">
        <v>13708</v>
      </c>
      <c r="G4571" s="140"/>
      <c r="H4571" s="141"/>
      <c r="I4571" s="26">
        <v>56561</v>
      </c>
      <c r="J4571" s="117"/>
      <c r="K4571" s="120"/>
      <c r="L4571" s="121"/>
      <c r="M4571" s="120"/>
      <c r="N4571" s="121"/>
      <c r="O4571" s="120"/>
      <c r="P4571" s="121"/>
      <c r="Q4571" s="120"/>
      <c r="R4571" s="121"/>
      <c r="S4571" s="120"/>
      <c r="T4571" s="121"/>
      <c r="U4571" s="120"/>
      <c r="V4571" s="123"/>
      <c r="W4571" s="125"/>
      <c r="X4571" s="142" t="s">
        <v>1861</v>
      </c>
      <c r="Y4571" s="143"/>
      <c r="Z4571" s="143"/>
      <c r="AA4571" s="143"/>
      <c r="AB4571" s="144"/>
      <c r="AC4571" s="16" t="s">
        <v>21</v>
      </c>
      <c r="AD4571" s="17" t="s">
        <v>14041</v>
      </c>
      <c r="AE4571" s="145" t="s">
        <v>1742</v>
      </c>
      <c r="AF4571" s="146"/>
      <c r="AG4571" s="146"/>
      <c r="AH4571" s="146"/>
      <c r="AI4571" s="147"/>
      <c r="AJ4571" s="148"/>
      <c r="AK4571" s="143"/>
      <c r="AL4571" s="144"/>
      <c r="AM4571" s="22"/>
      <c r="AN4571" s="149" t="s">
        <v>2511</v>
      </c>
      <c r="AO4571" s="144"/>
      <c r="AP4571" s="148">
        <v>80038</v>
      </c>
      <c r="AQ4571" s="144"/>
      <c r="AR4571" s="120"/>
      <c r="AS4571" s="121"/>
      <c r="AT4571" s="120"/>
      <c r="AU4571" s="121"/>
      <c r="AV4571" s="120"/>
      <c r="AW4571" s="121"/>
      <c r="AX4571" s="120"/>
      <c r="AY4571" s="121"/>
      <c r="AZ4571" s="138"/>
    </row>
    <row r="4572" spans="1:52" ht="17.100000000000001" customHeight="1" thickTop="1">
      <c r="A4572" s="109" t="s">
        <v>13692</v>
      </c>
      <c r="B4572" s="28">
        <v>46009</v>
      </c>
      <c r="C4572" s="25">
        <v>1311</v>
      </c>
      <c r="D4572" s="13" t="s">
        <v>2759</v>
      </c>
      <c r="E4572" s="111"/>
      <c r="F4572" s="113" t="s">
        <v>13709</v>
      </c>
      <c r="G4572" s="114"/>
      <c r="H4572" s="115"/>
      <c r="I4572" s="24"/>
      <c r="J4572" s="116">
        <v>4.5</v>
      </c>
      <c r="K4572" s="118">
        <v>2640000</v>
      </c>
      <c r="L4572" s="119"/>
      <c r="M4572" s="118">
        <f t="shared" ref="M4572" si="5108">K4572*0.1</f>
        <v>264000</v>
      </c>
      <c r="N4572" s="119"/>
      <c r="O4572" s="118">
        <v>0</v>
      </c>
      <c r="P4572" s="119"/>
      <c r="Q4572" s="118">
        <v>21570</v>
      </c>
      <c r="R4572" s="119"/>
      <c r="S4572" s="118">
        <v>16500</v>
      </c>
      <c r="T4572" s="119"/>
      <c r="U4572" s="118">
        <f t="shared" ref="U4572" si="5109">SUM(K4572:T4573)</f>
        <v>2942070</v>
      </c>
      <c r="V4572" s="122"/>
      <c r="W4572" s="124"/>
      <c r="X4572" s="126" t="s">
        <v>14046</v>
      </c>
      <c r="Y4572" s="127"/>
      <c r="Z4572" s="127"/>
      <c r="AA4572" s="127"/>
      <c r="AB4572" s="128"/>
      <c r="AC4572" s="15" t="s">
        <v>20</v>
      </c>
      <c r="AD4572" s="129" t="s">
        <v>1633</v>
      </c>
      <c r="AE4572" s="130"/>
      <c r="AF4572" s="130"/>
      <c r="AG4572" s="130"/>
      <c r="AH4572" s="130"/>
      <c r="AI4572" s="131"/>
      <c r="AJ4572" s="132"/>
      <c r="AK4572" s="127"/>
      <c r="AL4572" s="128"/>
      <c r="AM4572" s="21"/>
      <c r="AN4572" s="133">
        <v>46018</v>
      </c>
      <c r="AO4572" s="134"/>
      <c r="AP4572" s="135">
        <v>1282</v>
      </c>
      <c r="AQ4572" s="136"/>
      <c r="AR4572" s="118">
        <v>2760000</v>
      </c>
      <c r="AS4572" s="119"/>
      <c r="AT4572" s="118">
        <f t="shared" ref="AT4572" si="5110">AR4572*0.1</f>
        <v>276000</v>
      </c>
      <c r="AU4572" s="119"/>
      <c r="AV4572" s="118">
        <v>21570</v>
      </c>
      <c r="AW4572" s="119"/>
      <c r="AX4572" s="118">
        <f t="shared" ref="AX4572" si="5111">SUM(AR4572:AW4572)</f>
        <v>3057570</v>
      </c>
      <c r="AY4572" s="119"/>
      <c r="AZ4572" s="137">
        <v>46028</v>
      </c>
    </row>
    <row r="4573" spans="1:52" ht="17.100000000000001" customHeight="1" thickBot="1">
      <c r="A4573" s="110"/>
      <c r="B4573" s="27" t="s">
        <v>13663</v>
      </c>
      <c r="C4573" s="27">
        <v>607</v>
      </c>
      <c r="D4573" s="14" t="s">
        <v>1592</v>
      </c>
      <c r="E4573" s="112"/>
      <c r="F4573" s="139" t="s">
        <v>13710</v>
      </c>
      <c r="G4573" s="140"/>
      <c r="H4573" s="141"/>
      <c r="I4573" s="26">
        <v>49715</v>
      </c>
      <c r="J4573" s="117"/>
      <c r="K4573" s="120"/>
      <c r="L4573" s="121"/>
      <c r="M4573" s="120"/>
      <c r="N4573" s="121"/>
      <c r="O4573" s="120"/>
      <c r="P4573" s="121"/>
      <c r="Q4573" s="120"/>
      <c r="R4573" s="121"/>
      <c r="S4573" s="120"/>
      <c r="T4573" s="121"/>
      <c r="U4573" s="120"/>
      <c r="V4573" s="123"/>
      <c r="W4573" s="125"/>
      <c r="X4573" s="142" t="s">
        <v>1861</v>
      </c>
      <c r="Y4573" s="143"/>
      <c r="Z4573" s="143"/>
      <c r="AA4573" s="143"/>
      <c r="AB4573" s="144"/>
      <c r="AC4573" s="16" t="s">
        <v>21</v>
      </c>
      <c r="AD4573" s="17" t="s">
        <v>14041</v>
      </c>
      <c r="AE4573" s="145" t="s">
        <v>1742</v>
      </c>
      <c r="AF4573" s="146"/>
      <c r="AG4573" s="146"/>
      <c r="AH4573" s="146"/>
      <c r="AI4573" s="147"/>
      <c r="AJ4573" s="148"/>
      <c r="AK4573" s="143"/>
      <c r="AL4573" s="144"/>
      <c r="AM4573" s="22"/>
      <c r="AN4573" s="149" t="s">
        <v>2511</v>
      </c>
      <c r="AO4573" s="144"/>
      <c r="AP4573" s="148">
        <v>80013</v>
      </c>
      <c r="AQ4573" s="144"/>
      <c r="AR4573" s="120"/>
      <c r="AS4573" s="121"/>
      <c r="AT4573" s="120"/>
      <c r="AU4573" s="121"/>
      <c r="AV4573" s="120"/>
      <c r="AW4573" s="121"/>
      <c r="AX4573" s="120"/>
      <c r="AY4573" s="121"/>
      <c r="AZ4573" s="138"/>
    </row>
    <row r="4574" spans="1:52" ht="17.100000000000001" customHeight="1" thickTop="1">
      <c r="A4574" s="109" t="s">
        <v>13788</v>
      </c>
      <c r="B4574" s="28">
        <v>46010</v>
      </c>
      <c r="C4574" s="25">
        <v>271</v>
      </c>
      <c r="D4574" s="13" t="s">
        <v>1971</v>
      </c>
      <c r="E4574" s="111"/>
      <c r="F4574" s="113" t="s">
        <v>13711</v>
      </c>
      <c r="G4574" s="114"/>
      <c r="H4574" s="115"/>
      <c r="I4574" s="24" t="s">
        <v>2584</v>
      </c>
      <c r="J4574" s="116">
        <v>4.5</v>
      </c>
      <c r="K4574" s="118">
        <v>1434000</v>
      </c>
      <c r="L4574" s="119"/>
      <c r="M4574" s="118">
        <f t="shared" ref="M4574" si="5112">K4574*0.1</f>
        <v>143400</v>
      </c>
      <c r="N4574" s="119"/>
      <c r="O4574" s="118">
        <v>0</v>
      </c>
      <c r="P4574" s="119"/>
      <c r="Q4574" s="118">
        <v>7040</v>
      </c>
      <c r="R4574" s="119"/>
      <c r="S4574" s="118">
        <v>22000</v>
      </c>
      <c r="T4574" s="119"/>
      <c r="U4574" s="118">
        <f t="shared" ref="U4574" si="5113">SUM(K4574:T4575)</f>
        <v>1606440</v>
      </c>
      <c r="V4574" s="122"/>
      <c r="W4574" s="124"/>
      <c r="X4574" s="126" t="s">
        <v>13713</v>
      </c>
      <c r="Y4574" s="127"/>
      <c r="Z4574" s="127"/>
      <c r="AA4574" s="127"/>
      <c r="AB4574" s="128"/>
      <c r="AC4574" s="15" t="s">
        <v>20</v>
      </c>
      <c r="AD4574" s="129" t="s">
        <v>2385</v>
      </c>
      <c r="AE4574" s="130"/>
      <c r="AF4574" s="130"/>
      <c r="AG4574" s="130"/>
      <c r="AH4574" s="130"/>
      <c r="AI4574" s="131"/>
      <c r="AJ4574" s="132"/>
      <c r="AK4574" s="127"/>
      <c r="AL4574" s="128"/>
      <c r="AM4574" s="21"/>
      <c r="AN4574" s="133">
        <v>46014</v>
      </c>
      <c r="AO4574" s="134"/>
      <c r="AP4574" s="135">
        <v>1923</v>
      </c>
      <c r="AQ4574" s="136"/>
      <c r="AR4574" s="118">
        <v>1525000</v>
      </c>
      <c r="AS4574" s="119"/>
      <c r="AT4574" s="118">
        <f t="shared" ref="AT4574" si="5114">AR4574*0.1</f>
        <v>152500</v>
      </c>
      <c r="AU4574" s="119"/>
      <c r="AV4574" s="118">
        <v>7040</v>
      </c>
      <c r="AW4574" s="119"/>
      <c r="AX4574" s="118">
        <f t="shared" ref="AX4574" si="5115">SUM(AR4574:AW4574)</f>
        <v>1684540</v>
      </c>
      <c r="AY4574" s="119"/>
      <c r="AZ4574" s="137">
        <v>46029</v>
      </c>
    </row>
    <row r="4575" spans="1:52" ht="17.100000000000001" customHeight="1" thickBot="1">
      <c r="A4575" s="110"/>
      <c r="B4575" s="27" t="s">
        <v>5050</v>
      </c>
      <c r="C4575" s="27">
        <v>4</v>
      </c>
      <c r="D4575" s="14" t="s">
        <v>2601</v>
      </c>
      <c r="E4575" s="112"/>
      <c r="F4575" s="139" t="s">
        <v>13712</v>
      </c>
      <c r="G4575" s="140"/>
      <c r="H4575" s="141"/>
      <c r="I4575" s="26">
        <v>13613</v>
      </c>
      <c r="J4575" s="117"/>
      <c r="K4575" s="120"/>
      <c r="L4575" s="121"/>
      <c r="M4575" s="120"/>
      <c r="N4575" s="121"/>
      <c r="O4575" s="120"/>
      <c r="P4575" s="121"/>
      <c r="Q4575" s="120"/>
      <c r="R4575" s="121"/>
      <c r="S4575" s="120"/>
      <c r="T4575" s="121"/>
      <c r="U4575" s="120"/>
      <c r="V4575" s="123"/>
      <c r="W4575" s="125"/>
      <c r="X4575" s="142" t="s">
        <v>9569</v>
      </c>
      <c r="Y4575" s="143"/>
      <c r="Z4575" s="143"/>
      <c r="AA4575" s="143"/>
      <c r="AB4575" s="144"/>
      <c r="AC4575" s="16" t="s">
        <v>21</v>
      </c>
      <c r="AD4575" s="17" t="s">
        <v>14041</v>
      </c>
      <c r="AE4575" s="145" t="s">
        <v>5140</v>
      </c>
      <c r="AF4575" s="146"/>
      <c r="AG4575" s="146"/>
      <c r="AH4575" s="146"/>
      <c r="AI4575" s="147"/>
      <c r="AJ4575" s="148"/>
      <c r="AK4575" s="143"/>
      <c r="AL4575" s="144"/>
      <c r="AM4575" s="22"/>
      <c r="AN4575" s="149" t="s">
        <v>7644</v>
      </c>
      <c r="AO4575" s="144"/>
      <c r="AP4575" s="148">
        <v>3267</v>
      </c>
      <c r="AQ4575" s="144"/>
      <c r="AR4575" s="120"/>
      <c r="AS4575" s="121"/>
      <c r="AT4575" s="120"/>
      <c r="AU4575" s="121"/>
      <c r="AV4575" s="120"/>
      <c r="AW4575" s="121"/>
      <c r="AX4575" s="120"/>
      <c r="AY4575" s="121"/>
      <c r="AZ4575" s="138"/>
    </row>
    <row r="4576" spans="1:52" ht="17.100000000000001" customHeight="1" thickTop="1">
      <c r="A4576" s="151" t="s">
        <v>13789</v>
      </c>
      <c r="B4576" s="28">
        <v>46010</v>
      </c>
      <c r="C4576" s="25">
        <v>271</v>
      </c>
      <c r="D4576" s="13" t="s">
        <v>4913</v>
      </c>
      <c r="E4576" s="111"/>
      <c r="F4576" s="113" t="s">
        <v>4683</v>
      </c>
      <c r="G4576" s="114"/>
      <c r="H4576" s="115"/>
      <c r="I4576" s="24" t="s">
        <v>3509</v>
      </c>
      <c r="J4576" s="116">
        <v>3.5</v>
      </c>
      <c r="K4576" s="118">
        <v>150000</v>
      </c>
      <c r="L4576" s="119"/>
      <c r="M4576" s="118">
        <f t="shared" ref="M4576" si="5116">K4576*0.1</f>
        <v>15000</v>
      </c>
      <c r="N4576" s="119"/>
      <c r="O4576" s="118">
        <v>0</v>
      </c>
      <c r="P4576" s="119"/>
      <c r="Q4576" s="118">
        <v>9790</v>
      </c>
      <c r="R4576" s="119"/>
      <c r="S4576" s="118">
        <v>22000</v>
      </c>
      <c r="T4576" s="119"/>
      <c r="U4576" s="118">
        <f t="shared" ref="U4576" si="5117">SUM(K4576:T4577)</f>
        <v>196790</v>
      </c>
      <c r="V4576" s="122"/>
      <c r="W4576" s="124"/>
      <c r="X4576" s="126" t="s">
        <v>13715</v>
      </c>
      <c r="Y4576" s="127"/>
      <c r="Z4576" s="127"/>
      <c r="AA4576" s="127"/>
      <c r="AB4576" s="128"/>
      <c r="AC4576" s="15" t="s">
        <v>20</v>
      </c>
      <c r="AD4576" s="129"/>
      <c r="AE4576" s="130"/>
      <c r="AF4576" s="130"/>
      <c r="AG4576" s="130"/>
      <c r="AH4576" s="130"/>
      <c r="AI4576" s="131"/>
      <c r="AJ4576" s="132"/>
      <c r="AK4576" s="127"/>
      <c r="AL4576" s="128"/>
      <c r="AM4576" s="21" t="s">
        <v>15362</v>
      </c>
      <c r="AN4576" s="133">
        <v>46039</v>
      </c>
      <c r="AO4576" s="134"/>
      <c r="AP4576" s="135">
        <v>1284</v>
      </c>
      <c r="AQ4576" s="136"/>
      <c r="AR4576" s="118">
        <v>180000</v>
      </c>
      <c r="AS4576" s="119"/>
      <c r="AT4576" s="118">
        <f t="shared" ref="AT4576" si="5118">AR4576*0.1</f>
        <v>18000</v>
      </c>
      <c r="AU4576" s="119"/>
      <c r="AV4576" s="118">
        <v>9790</v>
      </c>
      <c r="AW4576" s="119"/>
      <c r="AX4576" s="118">
        <f t="shared" ref="AX4576" si="5119">SUM(AR4576:AW4576)</f>
        <v>207790</v>
      </c>
      <c r="AY4576" s="119"/>
      <c r="AZ4576" s="137">
        <v>46043</v>
      </c>
    </row>
    <row r="4577" spans="1:52" ht="17.100000000000001" customHeight="1" thickBot="1">
      <c r="A4577" s="152"/>
      <c r="B4577" s="27" t="s">
        <v>5050</v>
      </c>
      <c r="C4577" s="27">
        <v>49</v>
      </c>
      <c r="D4577" s="14" t="s">
        <v>133</v>
      </c>
      <c r="E4577" s="112"/>
      <c r="F4577" s="139" t="s">
        <v>13714</v>
      </c>
      <c r="G4577" s="140"/>
      <c r="H4577" s="141"/>
      <c r="I4577" s="26">
        <v>60386</v>
      </c>
      <c r="J4577" s="117"/>
      <c r="K4577" s="120"/>
      <c r="L4577" s="121"/>
      <c r="M4577" s="120"/>
      <c r="N4577" s="121"/>
      <c r="O4577" s="120"/>
      <c r="P4577" s="121"/>
      <c r="Q4577" s="120"/>
      <c r="R4577" s="121"/>
      <c r="S4577" s="120"/>
      <c r="T4577" s="121"/>
      <c r="U4577" s="120"/>
      <c r="V4577" s="123"/>
      <c r="W4577" s="125"/>
      <c r="X4577" s="142" t="s">
        <v>4423</v>
      </c>
      <c r="Y4577" s="143"/>
      <c r="Z4577" s="143"/>
      <c r="AA4577" s="143"/>
      <c r="AB4577" s="144"/>
      <c r="AC4577" s="16" t="s">
        <v>21</v>
      </c>
      <c r="AD4577" s="17" t="s">
        <v>14134</v>
      </c>
      <c r="AE4577" s="145" t="s">
        <v>14166</v>
      </c>
      <c r="AF4577" s="146"/>
      <c r="AG4577" s="146"/>
      <c r="AH4577" s="146"/>
      <c r="AI4577" s="147"/>
      <c r="AJ4577" s="148"/>
      <c r="AK4577" s="143"/>
      <c r="AL4577" s="144"/>
      <c r="AM4577" s="22"/>
      <c r="AN4577" s="149" t="s">
        <v>2511</v>
      </c>
      <c r="AO4577" s="144"/>
      <c r="AP4577" s="148">
        <v>60122</v>
      </c>
      <c r="AQ4577" s="144"/>
      <c r="AR4577" s="120"/>
      <c r="AS4577" s="121"/>
      <c r="AT4577" s="120"/>
      <c r="AU4577" s="121"/>
      <c r="AV4577" s="120"/>
      <c r="AW4577" s="121"/>
      <c r="AX4577" s="120"/>
      <c r="AY4577" s="121"/>
      <c r="AZ4577" s="138"/>
    </row>
    <row r="4578" spans="1:52" ht="17.100000000000001" customHeight="1" thickTop="1">
      <c r="A4578" s="109" t="s">
        <v>13790</v>
      </c>
      <c r="B4578" s="28">
        <v>46010</v>
      </c>
      <c r="C4578" s="25">
        <v>271</v>
      </c>
      <c r="D4578" s="13" t="s">
        <v>2838</v>
      </c>
      <c r="E4578" s="111"/>
      <c r="F4578" s="113" t="s">
        <v>13716</v>
      </c>
      <c r="G4578" s="114"/>
      <c r="H4578" s="115"/>
      <c r="I4578" s="24" t="s">
        <v>2584</v>
      </c>
      <c r="J4578" s="116">
        <v>6</v>
      </c>
      <c r="K4578" s="118">
        <v>1305000</v>
      </c>
      <c r="L4578" s="119"/>
      <c r="M4578" s="118">
        <f t="shared" ref="M4578" si="5120">K4578*0.1</f>
        <v>130500</v>
      </c>
      <c r="N4578" s="119"/>
      <c r="O4578" s="118">
        <v>0</v>
      </c>
      <c r="P4578" s="119"/>
      <c r="Q4578" s="118">
        <v>8200</v>
      </c>
      <c r="R4578" s="119"/>
      <c r="S4578" s="118">
        <v>22000</v>
      </c>
      <c r="T4578" s="119"/>
      <c r="U4578" s="118">
        <f t="shared" ref="U4578" si="5121">SUM(K4578:T4579)</f>
        <v>1465700</v>
      </c>
      <c r="V4578" s="122"/>
      <c r="W4578" s="124"/>
      <c r="X4578" s="126" t="s">
        <v>13718</v>
      </c>
      <c r="Y4578" s="127"/>
      <c r="Z4578" s="127"/>
      <c r="AA4578" s="127"/>
      <c r="AB4578" s="128"/>
      <c r="AC4578" s="15" t="s">
        <v>20</v>
      </c>
      <c r="AD4578" s="129"/>
      <c r="AE4578" s="130"/>
      <c r="AF4578" s="130"/>
      <c r="AG4578" s="130"/>
      <c r="AH4578" s="130"/>
      <c r="AI4578" s="131"/>
      <c r="AJ4578" s="132"/>
      <c r="AK4578" s="127"/>
      <c r="AL4578" s="128"/>
      <c r="AM4578" s="21"/>
      <c r="AN4578" s="133">
        <v>46014</v>
      </c>
      <c r="AO4578" s="134"/>
      <c r="AP4578" s="135">
        <v>1923</v>
      </c>
      <c r="AQ4578" s="136"/>
      <c r="AR4578" s="118">
        <v>1319000</v>
      </c>
      <c r="AS4578" s="119"/>
      <c r="AT4578" s="118">
        <f t="shared" ref="AT4578" si="5122">AR4578*0.1</f>
        <v>131900</v>
      </c>
      <c r="AU4578" s="119"/>
      <c r="AV4578" s="118">
        <v>8200</v>
      </c>
      <c r="AW4578" s="119"/>
      <c r="AX4578" s="118">
        <f t="shared" ref="AX4578" si="5123">SUM(AR4578:AW4578)</f>
        <v>1459100</v>
      </c>
      <c r="AY4578" s="119"/>
      <c r="AZ4578" s="137">
        <v>46020</v>
      </c>
    </row>
    <row r="4579" spans="1:52" ht="17.100000000000001" customHeight="1" thickBot="1">
      <c r="A4579" s="110"/>
      <c r="B4579" s="27" t="s">
        <v>5050</v>
      </c>
      <c r="C4579" s="27">
        <v>55</v>
      </c>
      <c r="D4579" s="14" t="s">
        <v>133</v>
      </c>
      <c r="E4579" s="112"/>
      <c r="F4579" s="139" t="s">
        <v>13717</v>
      </c>
      <c r="G4579" s="140"/>
      <c r="H4579" s="141"/>
      <c r="I4579" s="26">
        <v>3984</v>
      </c>
      <c r="J4579" s="117"/>
      <c r="K4579" s="120"/>
      <c r="L4579" s="121"/>
      <c r="M4579" s="120"/>
      <c r="N4579" s="121"/>
      <c r="O4579" s="120"/>
      <c r="P4579" s="121"/>
      <c r="Q4579" s="120"/>
      <c r="R4579" s="121"/>
      <c r="S4579" s="120"/>
      <c r="T4579" s="121"/>
      <c r="U4579" s="120"/>
      <c r="V4579" s="123"/>
      <c r="W4579" s="125"/>
      <c r="X4579" s="142" t="s">
        <v>9569</v>
      </c>
      <c r="Y4579" s="143"/>
      <c r="Z4579" s="143"/>
      <c r="AA4579" s="143"/>
      <c r="AB4579" s="144"/>
      <c r="AC4579" s="16" t="s">
        <v>21</v>
      </c>
      <c r="AD4579" s="17" t="s">
        <v>14041</v>
      </c>
      <c r="AE4579" s="145"/>
      <c r="AF4579" s="146"/>
      <c r="AG4579" s="146"/>
      <c r="AH4579" s="146"/>
      <c r="AI4579" s="147"/>
      <c r="AJ4579" s="148"/>
      <c r="AK4579" s="143"/>
      <c r="AL4579" s="144"/>
      <c r="AM4579" s="22"/>
      <c r="AN4579" s="149" t="s">
        <v>2131</v>
      </c>
      <c r="AO4579" s="144"/>
      <c r="AP4579" s="148">
        <v>3171</v>
      </c>
      <c r="AQ4579" s="144"/>
      <c r="AR4579" s="120"/>
      <c r="AS4579" s="121"/>
      <c r="AT4579" s="120"/>
      <c r="AU4579" s="121"/>
      <c r="AV4579" s="120"/>
      <c r="AW4579" s="121"/>
      <c r="AX4579" s="120"/>
      <c r="AY4579" s="121"/>
      <c r="AZ4579" s="138"/>
    </row>
    <row r="4580" spans="1:52" ht="17.100000000000001" customHeight="1" thickTop="1">
      <c r="A4580" s="109" t="s">
        <v>13791</v>
      </c>
      <c r="B4580" s="28">
        <v>46010</v>
      </c>
      <c r="C4580" s="25">
        <v>2115</v>
      </c>
      <c r="D4580" s="13" t="s">
        <v>2022</v>
      </c>
      <c r="E4580" s="111"/>
      <c r="F4580" s="113" t="s">
        <v>13719</v>
      </c>
      <c r="G4580" s="114"/>
      <c r="H4580" s="115"/>
      <c r="I4580" s="24" t="s">
        <v>4678</v>
      </c>
      <c r="J4580" s="116">
        <v>4.5</v>
      </c>
      <c r="K4580" s="118">
        <v>700000</v>
      </c>
      <c r="L4580" s="119"/>
      <c r="M4580" s="118">
        <f t="shared" ref="M4580" si="5124">K4580*0.1</f>
        <v>70000</v>
      </c>
      <c r="N4580" s="119"/>
      <c r="O4580" s="118">
        <f>9800+980</f>
        <v>10780</v>
      </c>
      <c r="P4580" s="119"/>
      <c r="Q4580" s="118">
        <v>19120</v>
      </c>
      <c r="R4580" s="119"/>
      <c r="S4580" s="118">
        <v>16500</v>
      </c>
      <c r="T4580" s="119"/>
      <c r="U4580" s="118">
        <f t="shared" ref="U4580" si="5125">SUM(K4580:T4581)</f>
        <v>816400</v>
      </c>
      <c r="V4580" s="122"/>
      <c r="W4580" s="124"/>
      <c r="X4580" s="126" t="s">
        <v>13721</v>
      </c>
      <c r="Y4580" s="127"/>
      <c r="Z4580" s="127"/>
      <c r="AA4580" s="127"/>
      <c r="AB4580" s="128"/>
      <c r="AC4580" s="15" t="s">
        <v>20</v>
      </c>
      <c r="AD4580" s="129" t="s">
        <v>1565</v>
      </c>
      <c r="AE4580" s="130"/>
      <c r="AF4580" s="130"/>
      <c r="AG4580" s="130"/>
      <c r="AH4580" s="130"/>
      <c r="AI4580" s="131"/>
      <c r="AJ4580" s="132"/>
      <c r="AK4580" s="127"/>
      <c r="AL4580" s="128"/>
      <c r="AM4580" s="21" t="s">
        <v>14636</v>
      </c>
      <c r="AN4580" s="133">
        <v>46053</v>
      </c>
      <c r="AO4580" s="134"/>
      <c r="AP4580" s="135">
        <v>1286</v>
      </c>
      <c r="AQ4580" s="136"/>
      <c r="AR4580" s="118">
        <v>790000</v>
      </c>
      <c r="AS4580" s="119"/>
      <c r="AT4580" s="118">
        <f t="shared" ref="AT4580" si="5126">AR4580*0.1</f>
        <v>79000</v>
      </c>
      <c r="AU4580" s="119"/>
      <c r="AV4580" s="118">
        <v>19120</v>
      </c>
      <c r="AW4580" s="119"/>
      <c r="AX4580" s="118">
        <f t="shared" ref="AX4580" si="5127">SUM(AR4580:AW4580)</f>
        <v>888120</v>
      </c>
      <c r="AY4580" s="119"/>
      <c r="AZ4580" s="137">
        <v>46056</v>
      </c>
    </row>
    <row r="4581" spans="1:52" ht="17.100000000000001" customHeight="1" thickBot="1">
      <c r="A4581" s="110"/>
      <c r="B4581" s="27" t="s">
        <v>1543</v>
      </c>
      <c r="C4581" s="27">
        <v>13199</v>
      </c>
      <c r="D4581" s="14" t="s">
        <v>1576</v>
      </c>
      <c r="E4581" s="112"/>
      <c r="F4581" s="139" t="s">
        <v>13720</v>
      </c>
      <c r="G4581" s="140"/>
      <c r="H4581" s="141"/>
      <c r="I4581" s="26">
        <v>65855</v>
      </c>
      <c r="J4581" s="117"/>
      <c r="K4581" s="120"/>
      <c r="L4581" s="121"/>
      <c r="M4581" s="120"/>
      <c r="N4581" s="121"/>
      <c r="O4581" s="120"/>
      <c r="P4581" s="121"/>
      <c r="Q4581" s="120"/>
      <c r="R4581" s="121"/>
      <c r="S4581" s="120"/>
      <c r="T4581" s="121"/>
      <c r="U4581" s="120"/>
      <c r="V4581" s="123"/>
      <c r="W4581" s="125"/>
      <c r="X4581" s="142" t="s">
        <v>14185</v>
      </c>
      <c r="Y4581" s="143"/>
      <c r="Z4581" s="143"/>
      <c r="AA4581" s="143"/>
      <c r="AB4581" s="144"/>
      <c r="AC4581" s="16" t="s">
        <v>21</v>
      </c>
      <c r="AD4581" s="17" t="s">
        <v>14134</v>
      </c>
      <c r="AE4581" s="145" t="s">
        <v>2750</v>
      </c>
      <c r="AF4581" s="146"/>
      <c r="AG4581" s="146"/>
      <c r="AH4581" s="146"/>
      <c r="AI4581" s="147"/>
      <c r="AJ4581" s="148"/>
      <c r="AK4581" s="143"/>
      <c r="AL4581" s="144"/>
      <c r="AM4581" s="22"/>
      <c r="AN4581" s="149" t="s">
        <v>2511</v>
      </c>
      <c r="AO4581" s="144"/>
      <c r="AP4581" s="148">
        <v>80138</v>
      </c>
      <c r="AQ4581" s="144"/>
      <c r="AR4581" s="120"/>
      <c r="AS4581" s="121"/>
      <c r="AT4581" s="120"/>
      <c r="AU4581" s="121"/>
      <c r="AV4581" s="120"/>
      <c r="AW4581" s="121"/>
      <c r="AX4581" s="120"/>
      <c r="AY4581" s="121"/>
      <c r="AZ4581" s="138"/>
    </row>
    <row r="4582" spans="1:52" ht="17.100000000000001" customHeight="1" thickTop="1">
      <c r="A4582" s="151" t="s">
        <v>13792</v>
      </c>
      <c r="B4582" s="28">
        <v>46010</v>
      </c>
      <c r="C4582" s="25">
        <v>2115</v>
      </c>
      <c r="D4582" s="13" t="s">
        <v>2970</v>
      </c>
      <c r="E4582" s="111"/>
      <c r="F4582" s="113" t="s">
        <v>13722</v>
      </c>
      <c r="G4582" s="114"/>
      <c r="H4582" s="115"/>
      <c r="I4582" s="24"/>
      <c r="J4582" s="116">
        <v>4</v>
      </c>
      <c r="K4582" s="118">
        <v>1690000</v>
      </c>
      <c r="L4582" s="119"/>
      <c r="M4582" s="118">
        <f t="shared" ref="M4582" si="5128">K4582*0.1</f>
        <v>169000</v>
      </c>
      <c r="N4582" s="119"/>
      <c r="O4582" s="118">
        <v>0</v>
      </c>
      <c r="P4582" s="119"/>
      <c r="Q4582" s="118">
        <v>12370</v>
      </c>
      <c r="R4582" s="119"/>
      <c r="S4582" s="118">
        <v>16500</v>
      </c>
      <c r="T4582" s="119"/>
      <c r="U4582" s="118">
        <f t="shared" ref="U4582" si="5129">SUM(K4582:T4583)</f>
        <v>1887870</v>
      </c>
      <c r="V4582" s="122"/>
      <c r="W4582" s="124"/>
      <c r="X4582" s="126" t="s">
        <v>14246</v>
      </c>
      <c r="Y4582" s="127"/>
      <c r="Z4582" s="127"/>
      <c r="AA4582" s="127"/>
      <c r="AB4582" s="128"/>
      <c r="AC4582" s="15" t="s">
        <v>20</v>
      </c>
      <c r="AD4582" s="129" t="s">
        <v>171</v>
      </c>
      <c r="AE4582" s="130"/>
      <c r="AF4582" s="130"/>
      <c r="AG4582" s="130"/>
      <c r="AH4582" s="130"/>
      <c r="AI4582" s="131"/>
      <c r="AJ4582" s="132" t="s">
        <v>16537</v>
      </c>
      <c r="AK4582" s="127"/>
      <c r="AL4582" s="128"/>
      <c r="AM4582" s="21"/>
      <c r="AN4582" s="133"/>
      <c r="AO4582" s="134"/>
      <c r="AP4582" s="135"/>
      <c r="AQ4582" s="136"/>
      <c r="AR4582" s="118"/>
      <c r="AS4582" s="119"/>
      <c r="AT4582" s="118">
        <f t="shared" ref="AT4582" si="5130">AR4582*0.1</f>
        <v>0</v>
      </c>
      <c r="AU4582" s="119"/>
      <c r="AV4582" s="118"/>
      <c r="AW4582" s="119"/>
      <c r="AX4582" s="118">
        <f t="shared" ref="AX4582" si="5131">SUM(AR4582:AW4582)</f>
        <v>0</v>
      </c>
      <c r="AY4582" s="119"/>
      <c r="AZ4582" s="137"/>
    </row>
    <row r="4583" spans="1:52" ht="17.100000000000001" customHeight="1" thickBot="1">
      <c r="A4583" s="152"/>
      <c r="B4583" s="27" t="s">
        <v>1543</v>
      </c>
      <c r="C4583" s="27">
        <v>35174</v>
      </c>
      <c r="D4583" s="14" t="s">
        <v>275</v>
      </c>
      <c r="E4583" s="112"/>
      <c r="F4583" s="139" t="s">
        <v>13723</v>
      </c>
      <c r="G4583" s="140"/>
      <c r="H4583" s="141"/>
      <c r="I4583" s="26">
        <v>14550</v>
      </c>
      <c r="J4583" s="117"/>
      <c r="K4583" s="120"/>
      <c r="L4583" s="121"/>
      <c r="M4583" s="120"/>
      <c r="N4583" s="121"/>
      <c r="O4583" s="120"/>
      <c r="P4583" s="121"/>
      <c r="Q4583" s="120"/>
      <c r="R4583" s="121"/>
      <c r="S4583" s="120"/>
      <c r="T4583" s="121"/>
      <c r="U4583" s="120"/>
      <c r="V4583" s="123"/>
      <c r="W4583" s="125"/>
      <c r="X4583" s="142" t="s">
        <v>2918</v>
      </c>
      <c r="Y4583" s="143"/>
      <c r="Z4583" s="143"/>
      <c r="AA4583" s="143"/>
      <c r="AB4583" s="144"/>
      <c r="AC4583" s="16" t="s">
        <v>21</v>
      </c>
      <c r="AD4583" s="17" t="s">
        <v>3488</v>
      </c>
      <c r="AE4583" s="145" t="s">
        <v>14247</v>
      </c>
      <c r="AF4583" s="146"/>
      <c r="AG4583" s="146"/>
      <c r="AH4583" s="146"/>
      <c r="AI4583" s="147"/>
      <c r="AJ4583" s="148"/>
      <c r="AK4583" s="143"/>
      <c r="AL4583" s="144"/>
      <c r="AM4583" s="22"/>
      <c r="AN4583" s="149"/>
      <c r="AO4583" s="144"/>
      <c r="AP4583" s="148"/>
      <c r="AQ4583" s="144"/>
      <c r="AR4583" s="120"/>
      <c r="AS4583" s="121"/>
      <c r="AT4583" s="120"/>
      <c r="AU4583" s="121"/>
      <c r="AV4583" s="120"/>
      <c r="AW4583" s="121"/>
      <c r="AX4583" s="120"/>
      <c r="AY4583" s="121"/>
      <c r="AZ4583" s="138"/>
    </row>
    <row r="4584" spans="1:52" ht="17.100000000000001" customHeight="1" thickTop="1">
      <c r="A4584" s="109" t="s">
        <v>13793</v>
      </c>
      <c r="B4584" s="28">
        <v>46010</v>
      </c>
      <c r="C4584" s="25">
        <v>2115</v>
      </c>
      <c r="D4584" s="13" t="s">
        <v>1870</v>
      </c>
      <c r="E4584" s="111"/>
      <c r="F4584" s="113" t="s">
        <v>1871</v>
      </c>
      <c r="G4584" s="114"/>
      <c r="H4584" s="115"/>
      <c r="I4584" s="24"/>
      <c r="J4584" s="116">
        <v>4</v>
      </c>
      <c r="K4584" s="118">
        <v>980000</v>
      </c>
      <c r="L4584" s="119"/>
      <c r="M4584" s="118">
        <f t="shared" ref="M4584" si="5132">K4584*0.1</f>
        <v>98000</v>
      </c>
      <c r="N4584" s="119"/>
      <c r="O4584" s="118">
        <v>0</v>
      </c>
      <c r="P4584" s="119"/>
      <c r="Q4584" s="118">
        <v>17700</v>
      </c>
      <c r="R4584" s="119"/>
      <c r="S4584" s="118">
        <v>16500</v>
      </c>
      <c r="T4584" s="119"/>
      <c r="U4584" s="118">
        <f t="shared" ref="U4584" si="5133">SUM(K4584:T4585)</f>
        <v>1112200</v>
      </c>
      <c r="V4584" s="122"/>
      <c r="W4584" s="124"/>
      <c r="X4584" s="126" t="s">
        <v>14215</v>
      </c>
      <c r="Y4584" s="127"/>
      <c r="Z4584" s="127"/>
      <c r="AA4584" s="127"/>
      <c r="AB4584" s="128"/>
      <c r="AC4584" s="15" t="s">
        <v>20</v>
      </c>
      <c r="AD4584" s="129"/>
      <c r="AE4584" s="130"/>
      <c r="AF4584" s="130"/>
      <c r="AG4584" s="130"/>
      <c r="AH4584" s="130"/>
      <c r="AI4584" s="131"/>
      <c r="AJ4584" s="132"/>
      <c r="AK4584" s="127"/>
      <c r="AL4584" s="128"/>
      <c r="AM4584" s="21"/>
      <c r="AN4584" s="133">
        <v>46037</v>
      </c>
      <c r="AO4584" s="134"/>
      <c r="AP4584" s="135">
        <v>1314</v>
      </c>
      <c r="AQ4584" s="136"/>
      <c r="AR4584" s="118">
        <v>1095000</v>
      </c>
      <c r="AS4584" s="119"/>
      <c r="AT4584" s="118">
        <f t="shared" ref="AT4584" si="5134">AR4584*0.1</f>
        <v>109500</v>
      </c>
      <c r="AU4584" s="119"/>
      <c r="AV4584" s="118">
        <v>17700</v>
      </c>
      <c r="AW4584" s="119"/>
      <c r="AX4584" s="118">
        <f t="shared" ref="AX4584" si="5135">SUM(AR4584:AW4584)</f>
        <v>1222200</v>
      </c>
      <c r="AY4584" s="119"/>
      <c r="AZ4584" s="137">
        <v>46038</v>
      </c>
    </row>
    <row r="4585" spans="1:52" ht="17.100000000000001" customHeight="1" thickBot="1">
      <c r="A4585" s="110"/>
      <c r="B4585" s="27" t="s">
        <v>1543</v>
      </c>
      <c r="C4585" s="27">
        <v>58224</v>
      </c>
      <c r="D4585" s="14" t="s">
        <v>1576</v>
      </c>
      <c r="E4585" s="112"/>
      <c r="F4585" s="139" t="s">
        <v>13724</v>
      </c>
      <c r="G4585" s="140"/>
      <c r="H4585" s="141"/>
      <c r="I4585" s="26">
        <v>56080</v>
      </c>
      <c r="J4585" s="117"/>
      <c r="K4585" s="120"/>
      <c r="L4585" s="121"/>
      <c r="M4585" s="120"/>
      <c r="N4585" s="121"/>
      <c r="O4585" s="120"/>
      <c r="P4585" s="121"/>
      <c r="Q4585" s="120"/>
      <c r="R4585" s="121"/>
      <c r="S4585" s="120"/>
      <c r="T4585" s="121"/>
      <c r="U4585" s="120"/>
      <c r="V4585" s="123"/>
      <c r="W4585" s="125"/>
      <c r="X4585" s="142" t="s">
        <v>2659</v>
      </c>
      <c r="Y4585" s="143"/>
      <c r="Z4585" s="143"/>
      <c r="AA4585" s="143"/>
      <c r="AB4585" s="144"/>
      <c r="AC4585" s="16" t="s">
        <v>21</v>
      </c>
      <c r="AD4585" s="17" t="s">
        <v>14134</v>
      </c>
      <c r="AE4585" s="145"/>
      <c r="AF4585" s="146"/>
      <c r="AG4585" s="146"/>
      <c r="AH4585" s="146"/>
      <c r="AI4585" s="147"/>
      <c r="AJ4585" s="148"/>
      <c r="AK4585" s="143"/>
      <c r="AL4585" s="144"/>
      <c r="AM4585" s="22"/>
      <c r="AN4585" s="149" t="s">
        <v>13663</v>
      </c>
      <c r="AO4585" s="144"/>
      <c r="AP4585" s="148">
        <v>70</v>
      </c>
      <c r="AQ4585" s="144"/>
      <c r="AR4585" s="120"/>
      <c r="AS4585" s="121"/>
      <c r="AT4585" s="120"/>
      <c r="AU4585" s="121"/>
      <c r="AV4585" s="120"/>
      <c r="AW4585" s="121"/>
      <c r="AX4585" s="120"/>
      <c r="AY4585" s="121"/>
      <c r="AZ4585" s="138"/>
    </row>
    <row r="4586" spans="1:52" ht="17.100000000000001" customHeight="1" thickTop="1">
      <c r="A4586" s="109" t="s">
        <v>13794</v>
      </c>
      <c r="B4586" s="28">
        <v>46010</v>
      </c>
      <c r="C4586" s="25">
        <v>2115</v>
      </c>
      <c r="D4586" s="13" t="s">
        <v>5332</v>
      </c>
      <c r="E4586" s="111"/>
      <c r="F4586" s="113" t="s">
        <v>2219</v>
      </c>
      <c r="G4586" s="114"/>
      <c r="H4586" s="115"/>
      <c r="I4586" s="24" t="s">
        <v>13773</v>
      </c>
      <c r="J4586" s="116">
        <v>4.5</v>
      </c>
      <c r="K4586" s="118">
        <v>2240000</v>
      </c>
      <c r="L4586" s="119"/>
      <c r="M4586" s="118">
        <f t="shared" ref="M4586" si="5136">K4586*0.1</f>
        <v>224000</v>
      </c>
      <c r="N4586" s="119"/>
      <c r="O4586" s="118">
        <f>25300+2530</f>
        <v>27830</v>
      </c>
      <c r="P4586" s="119"/>
      <c r="Q4586" s="118">
        <v>20100</v>
      </c>
      <c r="R4586" s="119"/>
      <c r="S4586" s="118">
        <v>16500</v>
      </c>
      <c r="T4586" s="119"/>
      <c r="U4586" s="118">
        <f t="shared" ref="U4586" si="5137">SUM(K4586:T4587)</f>
        <v>2528430</v>
      </c>
      <c r="V4586" s="122"/>
      <c r="W4586" s="124"/>
      <c r="X4586" s="126" t="s">
        <v>13774</v>
      </c>
      <c r="Y4586" s="127"/>
      <c r="Z4586" s="127"/>
      <c r="AA4586" s="127"/>
      <c r="AB4586" s="128"/>
      <c r="AC4586" s="15" t="s">
        <v>20</v>
      </c>
      <c r="AD4586" s="129" t="s">
        <v>1633</v>
      </c>
      <c r="AE4586" s="130"/>
      <c r="AF4586" s="130"/>
      <c r="AG4586" s="130"/>
      <c r="AH4586" s="130"/>
      <c r="AI4586" s="131"/>
      <c r="AJ4586" s="132"/>
      <c r="AK4586" s="127"/>
      <c r="AL4586" s="128"/>
      <c r="AM4586" s="21"/>
      <c r="AN4586" s="133"/>
      <c r="AO4586" s="134"/>
      <c r="AP4586" s="135"/>
      <c r="AQ4586" s="136"/>
      <c r="AR4586" s="118"/>
      <c r="AS4586" s="119"/>
      <c r="AT4586" s="118">
        <f t="shared" ref="AT4586" si="5138">AR4586*0.1</f>
        <v>0</v>
      </c>
      <c r="AU4586" s="119"/>
      <c r="AV4586" s="118"/>
      <c r="AW4586" s="119"/>
      <c r="AX4586" s="118">
        <f t="shared" ref="AX4586" si="5139">SUM(AR4586:AW4586)</f>
        <v>0</v>
      </c>
      <c r="AY4586" s="119"/>
      <c r="AZ4586" s="137"/>
    </row>
    <row r="4587" spans="1:52" ht="17.100000000000001" customHeight="1" thickBot="1">
      <c r="A4587" s="110"/>
      <c r="B4587" s="27" t="s">
        <v>1543</v>
      </c>
      <c r="C4587" s="27">
        <v>58514</v>
      </c>
      <c r="D4587" s="14" t="s">
        <v>5293</v>
      </c>
      <c r="E4587" s="112"/>
      <c r="F4587" s="139" t="s">
        <v>13772</v>
      </c>
      <c r="G4587" s="140"/>
      <c r="H4587" s="141"/>
      <c r="I4587" s="26">
        <v>51673</v>
      </c>
      <c r="J4587" s="117"/>
      <c r="K4587" s="120"/>
      <c r="L4587" s="121"/>
      <c r="M4587" s="120"/>
      <c r="N4587" s="121"/>
      <c r="O4587" s="120"/>
      <c r="P4587" s="121"/>
      <c r="Q4587" s="120"/>
      <c r="R4587" s="121"/>
      <c r="S4587" s="120"/>
      <c r="T4587" s="121"/>
      <c r="U4587" s="120"/>
      <c r="V4587" s="123"/>
      <c r="W4587" s="125"/>
      <c r="X4587" s="142" t="s">
        <v>14186</v>
      </c>
      <c r="Y4587" s="143"/>
      <c r="Z4587" s="143"/>
      <c r="AA4587" s="143"/>
      <c r="AB4587" s="144"/>
      <c r="AC4587" s="16" t="s">
        <v>21</v>
      </c>
      <c r="AD4587" s="17" t="s">
        <v>14134</v>
      </c>
      <c r="AE4587" s="145" t="s">
        <v>4106</v>
      </c>
      <c r="AF4587" s="146"/>
      <c r="AG4587" s="146"/>
      <c r="AH4587" s="146"/>
      <c r="AI4587" s="147"/>
      <c r="AJ4587" s="148"/>
      <c r="AK4587" s="143"/>
      <c r="AL4587" s="144"/>
      <c r="AM4587" s="22"/>
      <c r="AN4587" s="149"/>
      <c r="AO4587" s="144"/>
      <c r="AP4587" s="148"/>
      <c r="AQ4587" s="144"/>
      <c r="AR4587" s="120"/>
      <c r="AS4587" s="121"/>
      <c r="AT4587" s="120"/>
      <c r="AU4587" s="121"/>
      <c r="AV4587" s="120"/>
      <c r="AW4587" s="121"/>
      <c r="AX4587" s="120"/>
      <c r="AY4587" s="121"/>
      <c r="AZ4587" s="138"/>
    </row>
    <row r="4588" spans="1:52" ht="17.100000000000001" customHeight="1" thickTop="1">
      <c r="A4588" s="151" t="s">
        <v>13795</v>
      </c>
      <c r="B4588" s="28">
        <v>46010</v>
      </c>
      <c r="C4588" s="25">
        <v>78</v>
      </c>
      <c r="D4588" s="13" t="s">
        <v>1549</v>
      </c>
      <c r="E4588" s="111"/>
      <c r="F4588" s="113" t="s">
        <v>13781</v>
      </c>
      <c r="G4588" s="114"/>
      <c r="H4588" s="115"/>
      <c r="I4588" s="24" t="s">
        <v>3399</v>
      </c>
      <c r="J4588" s="116">
        <v>4</v>
      </c>
      <c r="K4588" s="118">
        <v>1895000</v>
      </c>
      <c r="L4588" s="119"/>
      <c r="M4588" s="118">
        <f t="shared" ref="M4588" si="5140">K4588*0.1</f>
        <v>189500</v>
      </c>
      <c r="N4588" s="119"/>
      <c r="O4588" s="118">
        <f>11200+1120</f>
        <v>12320</v>
      </c>
      <c r="P4588" s="119"/>
      <c r="Q4588" s="118">
        <v>12840</v>
      </c>
      <c r="R4588" s="119"/>
      <c r="S4588" s="118">
        <v>44000</v>
      </c>
      <c r="T4588" s="119"/>
      <c r="U4588" s="118">
        <f t="shared" ref="U4588" si="5141">SUM(K4588:T4589)</f>
        <v>2153660</v>
      </c>
      <c r="V4588" s="122"/>
      <c r="W4588" s="124"/>
      <c r="X4588" s="126"/>
      <c r="Y4588" s="127"/>
      <c r="Z4588" s="127"/>
      <c r="AA4588" s="127"/>
      <c r="AB4588" s="128"/>
      <c r="AC4588" s="15" t="s">
        <v>20</v>
      </c>
      <c r="AD4588" s="129" t="s">
        <v>11416</v>
      </c>
      <c r="AE4588" s="130"/>
      <c r="AF4588" s="130"/>
      <c r="AG4588" s="130"/>
      <c r="AH4588" s="130"/>
      <c r="AI4588" s="131"/>
      <c r="AJ4588" s="132" t="s">
        <v>8040</v>
      </c>
      <c r="AK4588" s="127"/>
      <c r="AL4588" s="128"/>
      <c r="AM4588" s="21"/>
      <c r="AN4588" s="133"/>
      <c r="AO4588" s="134"/>
      <c r="AP4588" s="135"/>
      <c r="AQ4588" s="136"/>
      <c r="AR4588" s="118"/>
      <c r="AS4588" s="119"/>
      <c r="AT4588" s="118">
        <f t="shared" ref="AT4588" si="5142">AR4588*0.1</f>
        <v>0</v>
      </c>
      <c r="AU4588" s="119"/>
      <c r="AV4588" s="118"/>
      <c r="AW4588" s="119"/>
      <c r="AX4588" s="118">
        <f t="shared" ref="AX4588" si="5143">SUM(AR4588:AW4588)</f>
        <v>0</v>
      </c>
      <c r="AY4588" s="119"/>
      <c r="AZ4588" s="137"/>
    </row>
    <row r="4589" spans="1:52" ht="17.100000000000001" customHeight="1" thickBot="1">
      <c r="A4589" s="152"/>
      <c r="B4589" s="27" t="s">
        <v>4544</v>
      </c>
      <c r="C4589" s="27">
        <v>1011</v>
      </c>
      <c r="D4589" s="14" t="s">
        <v>133</v>
      </c>
      <c r="E4589" s="112"/>
      <c r="F4589" s="139" t="s">
        <v>13777</v>
      </c>
      <c r="G4589" s="140"/>
      <c r="H4589" s="141"/>
      <c r="I4589" s="26">
        <v>77054</v>
      </c>
      <c r="J4589" s="117"/>
      <c r="K4589" s="120"/>
      <c r="L4589" s="121"/>
      <c r="M4589" s="120"/>
      <c r="N4589" s="121"/>
      <c r="O4589" s="120"/>
      <c r="P4589" s="121"/>
      <c r="Q4589" s="120"/>
      <c r="R4589" s="121"/>
      <c r="S4589" s="120"/>
      <c r="T4589" s="121"/>
      <c r="U4589" s="120"/>
      <c r="V4589" s="123"/>
      <c r="W4589" s="125"/>
      <c r="X4589" s="142"/>
      <c r="Y4589" s="143"/>
      <c r="Z4589" s="143"/>
      <c r="AA4589" s="143"/>
      <c r="AB4589" s="144"/>
      <c r="AC4589" s="16" t="s">
        <v>21</v>
      </c>
      <c r="AD4589" s="17" t="s">
        <v>10540</v>
      </c>
      <c r="AE4589" s="145"/>
      <c r="AF4589" s="146"/>
      <c r="AG4589" s="146"/>
      <c r="AH4589" s="146"/>
      <c r="AI4589" s="147"/>
      <c r="AJ4589" s="148"/>
      <c r="AK4589" s="143"/>
      <c r="AL4589" s="144"/>
      <c r="AM4589" s="22"/>
      <c r="AN4589" s="149"/>
      <c r="AO4589" s="144"/>
      <c r="AP4589" s="148"/>
      <c r="AQ4589" s="144"/>
      <c r="AR4589" s="120"/>
      <c r="AS4589" s="121"/>
      <c r="AT4589" s="120"/>
      <c r="AU4589" s="121"/>
      <c r="AV4589" s="120"/>
      <c r="AW4589" s="121"/>
      <c r="AX4589" s="120"/>
      <c r="AY4589" s="121"/>
      <c r="AZ4589" s="138"/>
    </row>
    <row r="4590" spans="1:52" ht="17.100000000000001" customHeight="1" thickTop="1">
      <c r="A4590" s="109" t="s">
        <v>13796</v>
      </c>
      <c r="B4590" s="28">
        <v>46010</v>
      </c>
      <c r="C4590" s="25">
        <v>78</v>
      </c>
      <c r="D4590" s="13" t="s">
        <v>2234</v>
      </c>
      <c r="E4590" s="111"/>
      <c r="F4590" s="113" t="s">
        <v>13782</v>
      </c>
      <c r="G4590" s="114"/>
      <c r="H4590" s="115"/>
      <c r="I4590" s="24" t="s">
        <v>2533</v>
      </c>
      <c r="J4590" s="116">
        <v>3.5</v>
      </c>
      <c r="K4590" s="118">
        <v>665000</v>
      </c>
      <c r="L4590" s="119"/>
      <c r="M4590" s="118">
        <f t="shared" ref="M4590" si="5144">K4590*0.1</f>
        <v>66500</v>
      </c>
      <c r="N4590" s="119"/>
      <c r="O4590" s="118">
        <v>0</v>
      </c>
      <c r="P4590" s="119"/>
      <c r="Q4590" s="118">
        <v>8400</v>
      </c>
      <c r="R4590" s="119"/>
      <c r="S4590" s="118">
        <v>33000</v>
      </c>
      <c r="T4590" s="119"/>
      <c r="U4590" s="118">
        <f t="shared" ref="U4590" si="5145">SUM(K4590:T4591)</f>
        <v>772900</v>
      </c>
      <c r="V4590" s="122"/>
      <c r="W4590" s="124"/>
      <c r="X4590" s="126" t="s">
        <v>16339</v>
      </c>
      <c r="Y4590" s="127"/>
      <c r="Z4590" s="127"/>
      <c r="AA4590" s="127"/>
      <c r="AB4590" s="128"/>
      <c r="AC4590" s="15" t="s">
        <v>20</v>
      </c>
      <c r="AD4590" s="129" t="s">
        <v>13783</v>
      </c>
      <c r="AE4590" s="130"/>
      <c r="AF4590" s="130"/>
      <c r="AG4590" s="130"/>
      <c r="AH4590" s="130"/>
      <c r="AI4590" s="131"/>
      <c r="AJ4590" s="132"/>
      <c r="AK4590" s="127"/>
      <c r="AL4590" s="128"/>
      <c r="AM4590" s="21" t="s">
        <v>16536</v>
      </c>
      <c r="AN4590" s="133">
        <v>46064</v>
      </c>
      <c r="AO4590" s="134"/>
      <c r="AP4590" s="135">
        <v>1004</v>
      </c>
      <c r="AQ4590" s="136"/>
      <c r="AR4590" s="118">
        <v>940000</v>
      </c>
      <c r="AS4590" s="119"/>
      <c r="AT4590" s="118">
        <f t="shared" ref="AT4590" si="5146">AR4590*0.1</f>
        <v>94000</v>
      </c>
      <c r="AU4590" s="119"/>
      <c r="AV4590" s="118">
        <v>8400</v>
      </c>
      <c r="AW4590" s="119"/>
      <c r="AX4590" s="118">
        <f t="shared" ref="AX4590" si="5147">SUM(AR4590:AW4590)</f>
        <v>1042400</v>
      </c>
      <c r="AY4590" s="119"/>
      <c r="AZ4590" s="137">
        <v>46069</v>
      </c>
    </row>
    <row r="4591" spans="1:52" ht="17.100000000000001" customHeight="1" thickBot="1">
      <c r="A4591" s="110"/>
      <c r="B4591" s="27" t="s">
        <v>4544</v>
      </c>
      <c r="C4591" s="27">
        <v>1018</v>
      </c>
      <c r="D4591" s="14" t="s">
        <v>2601</v>
      </c>
      <c r="E4591" s="112"/>
      <c r="F4591" s="139" t="s">
        <v>13778</v>
      </c>
      <c r="G4591" s="140"/>
      <c r="H4591" s="141"/>
      <c r="I4591" s="26">
        <v>44295</v>
      </c>
      <c r="J4591" s="117"/>
      <c r="K4591" s="120"/>
      <c r="L4591" s="121"/>
      <c r="M4591" s="120"/>
      <c r="N4591" s="121"/>
      <c r="O4591" s="120"/>
      <c r="P4591" s="121"/>
      <c r="Q4591" s="120"/>
      <c r="R4591" s="121"/>
      <c r="S4591" s="120"/>
      <c r="T4591" s="121"/>
      <c r="U4591" s="120"/>
      <c r="V4591" s="123"/>
      <c r="W4591" s="125"/>
      <c r="X4591" s="142" t="s">
        <v>16340</v>
      </c>
      <c r="Y4591" s="143"/>
      <c r="Z4591" s="143"/>
      <c r="AA4591" s="143"/>
      <c r="AB4591" s="144"/>
      <c r="AC4591" s="16" t="s">
        <v>21</v>
      </c>
      <c r="AD4591" s="17" t="s">
        <v>1837</v>
      </c>
      <c r="AE4591" s="145"/>
      <c r="AF4591" s="146"/>
      <c r="AG4591" s="146"/>
      <c r="AH4591" s="146"/>
      <c r="AI4591" s="147"/>
      <c r="AJ4591" s="148"/>
      <c r="AK4591" s="143"/>
      <c r="AL4591" s="144"/>
      <c r="AM4591" s="22"/>
      <c r="AN4591" s="149" t="s">
        <v>2794</v>
      </c>
      <c r="AO4591" s="144"/>
      <c r="AP4591" s="148">
        <v>1044</v>
      </c>
      <c r="AQ4591" s="144"/>
      <c r="AR4591" s="120"/>
      <c r="AS4591" s="121"/>
      <c r="AT4591" s="120"/>
      <c r="AU4591" s="121"/>
      <c r="AV4591" s="120"/>
      <c r="AW4591" s="121"/>
      <c r="AX4591" s="120"/>
      <c r="AY4591" s="121"/>
      <c r="AZ4591" s="138"/>
    </row>
    <row r="4592" spans="1:52" ht="17.100000000000001" customHeight="1" thickTop="1">
      <c r="A4592" s="151" t="s">
        <v>13797</v>
      </c>
      <c r="B4592" s="28">
        <v>46010</v>
      </c>
      <c r="C4592" s="25">
        <v>78</v>
      </c>
      <c r="D4592" s="13" t="s">
        <v>3832</v>
      </c>
      <c r="E4592" s="111"/>
      <c r="F4592" s="113" t="s">
        <v>13711</v>
      </c>
      <c r="G4592" s="114"/>
      <c r="H4592" s="115"/>
      <c r="I4592" s="24" t="s">
        <v>4314</v>
      </c>
      <c r="J4592" s="116">
        <v>4</v>
      </c>
      <c r="K4592" s="118">
        <v>1185000</v>
      </c>
      <c r="L4592" s="119"/>
      <c r="M4592" s="118">
        <f t="shared" ref="M4592" si="5148">K4592*0.1</f>
        <v>118500</v>
      </c>
      <c r="N4592" s="119"/>
      <c r="O4592" s="118">
        <v>0</v>
      </c>
      <c r="P4592" s="119"/>
      <c r="Q4592" s="118">
        <v>7040</v>
      </c>
      <c r="R4592" s="119"/>
      <c r="S4592" s="118">
        <v>44000</v>
      </c>
      <c r="T4592" s="119"/>
      <c r="U4592" s="118">
        <f t="shared" ref="U4592" si="5149">SUM(K4592:T4593)</f>
        <v>1354540</v>
      </c>
      <c r="V4592" s="122"/>
      <c r="W4592" s="124"/>
      <c r="X4592" s="126" t="s">
        <v>14711</v>
      </c>
      <c r="Y4592" s="127"/>
      <c r="Z4592" s="127"/>
      <c r="AA4592" s="127"/>
      <c r="AB4592" s="128"/>
      <c r="AC4592" s="15" t="s">
        <v>20</v>
      </c>
      <c r="AD4592" s="129" t="s">
        <v>13784</v>
      </c>
      <c r="AE4592" s="130"/>
      <c r="AF4592" s="130"/>
      <c r="AG4592" s="130"/>
      <c r="AH4592" s="130"/>
      <c r="AI4592" s="131"/>
      <c r="AJ4592" s="132"/>
      <c r="AK4592" s="127"/>
      <c r="AL4592" s="128"/>
      <c r="AM4592" s="21"/>
      <c r="AN4592" s="133">
        <v>46032</v>
      </c>
      <c r="AO4592" s="134"/>
      <c r="AP4592" s="135">
        <v>1283</v>
      </c>
      <c r="AQ4592" s="136"/>
      <c r="AR4592" s="118">
        <v>1355000</v>
      </c>
      <c r="AS4592" s="119"/>
      <c r="AT4592" s="118">
        <f t="shared" ref="AT4592" si="5150">AR4592*0.1</f>
        <v>135500</v>
      </c>
      <c r="AU4592" s="119"/>
      <c r="AV4592" s="118">
        <v>7040</v>
      </c>
      <c r="AW4592" s="119"/>
      <c r="AX4592" s="118">
        <f t="shared" ref="AX4592" si="5151">SUM(AR4592:AW4592)</f>
        <v>1497540</v>
      </c>
      <c r="AY4592" s="119"/>
      <c r="AZ4592" s="137">
        <v>46036</v>
      </c>
    </row>
    <row r="4593" spans="1:52" ht="17.100000000000001" customHeight="1" thickBot="1">
      <c r="A4593" s="152"/>
      <c r="B4593" s="27" t="s">
        <v>4544</v>
      </c>
      <c r="C4593" s="27">
        <v>1041</v>
      </c>
      <c r="D4593" s="14" t="s">
        <v>275</v>
      </c>
      <c r="E4593" s="112"/>
      <c r="F4593" s="139" t="s">
        <v>13779</v>
      </c>
      <c r="G4593" s="140"/>
      <c r="H4593" s="141"/>
      <c r="I4593" s="26">
        <v>18243</v>
      </c>
      <c r="J4593" s="117"/>
      <c r="K4593" s="120"/>
      <c r="L4593" s="121"/>
      <c r="M4593" s="120"/>
      <c r="N4593" s="121"/>
      <c r="O4593" s="120"/>
      <c r="P4593" s="121"/>
      <c r="Q4593" s="120"/>
      <c r="R4593" s="121"/>
      <c r="S4593" s="120"/>
      <c r="T4593" s="121"/>
      <c r="U4593" s="120"/>
      <c r="V4593" s="123"/>
      <c r="W4593" s="125"/>
      <c r="X4593" s="142" t="s">
        <v>14712</v>
      </c>
      <c r="Y4593" s="143"/>
      <c r="Z4593" s="143"/>
      <c r="AA4593" s="143"/>
      <c r="AB4593" s="144"/>
      <c r="AC4593" s="16" t="s">
        <v>21</v>
      </c>
      <c r="AD4593" s="17" t="s">
        <v>2949</v>
      </c>
      <c r="AE4593" s="145" t="s">
        <v>8409</v>
      </c>
      <c r="AF4593" s="146"/>
      <c r="AG4593" s="146"/>
      <c r="AH4593" s="146"/>
      <c r="AI4593" s="147"/>
      <c r="AJ4593" s="148"/>
      <c r="AK4593" s="143"/>
      <c r="AL4593" s="144"/>
      <c r="AM4593" s="22"/>
      <c r="AN4593" s="149" t="s">
        <v>2511</v>
      </c>
      <c r="AO4593" s="144"/>
      <c r="AP4593" s="148">
        <v>65431</v>
      </c>
      <c r="AQ4593" s="144"/>
      <c r="AR4593" s="120"/>
      <c r="AS4593" s="121"/>
      <c r="AT4593" s="120"/>
      <c r="AU4593" s="121"/>
      <c r="AV4593" s="120"/>
      <c r="AW4593" s="121"/>
      <c r="AX4593" s="120"/>
      <c r="AY4593" s="121"/>
      <c r="AZ4593" s="138"/>
    </row>
    <row r="4594" spans="1:52" ht="17.100000000000001" customHeight="1" thickTop="1">
      <c r="A4594" s="109" t="s">
        <v>13798</v>
      </c>
      <c r="B4594" s="28">
        <v>46010</v>
      </c>
      <c r="C4594" s="25">
        <v>78</v>
      </c>
      <c r="D4594" s="13" t="s">
        <v>3478</v>
      </c>
      <c r="E4594" s="111"/>
      <c r="F4594" s="113" t="s">
        <v>13785</v>
      </c>
      <c r="G4594" s="114"/>
      <c r="H4594" s="115"/>
      <c r="I4594" s="24" t="s">
        <v>4487</v>
      </c>
      <c r="J4594" s="116">
        <v>4</v>
      </c>
      <c r="K4594" s="118">
        <v>2695000</v>
      </c>
      <c r="L4594" s="119"/>
      <c r="M4594" s="118">
        <f t="shared" ref="M4594" si="5152">K4594*0.1</f>
        <v>269500</v>
      </c>
      <c r="N4594" s="119"/>
      <c r="O4594" s="118">
        <f>7500+750</f>
        <v>8250</v>
      </c>
      <c r="P4594" s="119"/>
      <c r="Q4594" s="118">
        <v>16550</v>
      </c>
      <c r="R4594" s="119"/>
      <c r="S4594" s="118">
        <v>66000</v>
      </c>
      <c r="T4594" s="119"/>
      <c r="U4594" s="118">
        <f t="shared" ref="U4594" si="5153">SUM(K4594:T4595)</f>
        <v>3055300</v>
      </c>
      <c r="V4594" s="122"/>
      <c r="W4594" s="124"/>
      <c r="X4594" s="126" t="s">
        <v>15003</v>
      </c>
      <c r="Y4594" s="127"/>
      <c r="Z4594" s="127"/>
      <c r="AA4594" s="127"/>
      <c r="AB4594" s="128"/>
      <c r="AC4594" s="15" t="s">
        <v>20</v>
      </c>
      <c r="AD4594" s="129" t="s">
        <v>13786</v>
      </c>
      <c r="AE4594" s="130"/>
      <c r="AF4594" s="130"/>
      <c r="AG4594" s="130"/>
      <c r="AH4594" s="130"/>
      <c r="AI4594" s="131"/>
      <c r="AJ4594" s="132"/>
      <c r="AK4594" s="127"/>
      <c r="AL4594" s="128"/>
      <c r="AM4594" s="21" t="s">
        <v>16519</v>
      </c>
      <c r="AN4594" s="133">
        <v>46071</v>
      </c>
      <c r="AO4594" s="134"/>
      <c r="AP4594" s="135">
        <v>1005</v>
      </c>
      <c r="AQ4594" s="136"/>
      <c r="AR4594" s="118">
        <v>2755000</v>
      </c>
      <c r="AS4594" s="119"/>
      <c r="AT4594" s="118">
        <f t="shared" ref="AT4594" si="5154">AR4594*0.1</f>
        <v>275500</v>
      </c>
      <c r="AU4594" s="119"/>
      <c r="AV4594" s="118">
        <v>16550</v>
      </c>
      <c r="AW4594" s="119"/>
      <c r="AX4594" s="118">
        <f t="shared" ref="AX4594" si="5155">SUM(AR4594:AW4594)</f>
        <v>3047050</v>
      </c>
      <c r="AY4594" s="119"/>
      <c r="AZ4594" s="137">
        <v>46073</v>
      </c>
    </row>
    <row r="4595" spans="1:52" ht="17.100000000000001" customHeight="1" thickBot="1">
      <c r="A4595" s="110"/>
      <c r="B4595" s="27" t="s">
        <v>4544</v>
      </c>
      <c r="C4595" s="27">
        <v>1070</v>
      </c>
      <c r="D4595" s="14" t="s">
        <v>275</v>
      </c>
      <c r="E4595" s="112"/>
      <c r="F4595" s="139" t="s">
        <v>13780</v>
      </c>
      <c r="G4595" s="140"/>
      <c r="H4595" s="141"/>
      <c r="I4595" s="26">
        <v>40474</v>
      </c>
      <c r="J4595" s="117"/>
      <c r="K4595" s="120"/>
      <c r="L4595" s="121"/>
      <c r="M4595" s="120"/>
      <c r="N4595" s="121"/>
      <c r="O4595" s="120"/>
      <c r="P4595" s="121"/>
      <c r="Q4595" s="120"/>
      <c r="R4595" s="121"/>
      <c r="S4595" s="120"/>
      <c r="T4595" s="121"/>
      <c r="U4595" s="120"/>
      <c r="V4595" s="123"/>
      <c r="W4595" s="125"/>
      <c r="X4595" s="142" t="s">
        <v>15004</v>
      </c>
      <c r="Y4595" s="143"/>
      <c r="Z4595" s="143"/>
      <c r="AA4595" s="143"/>
      <c r="AB4595" s="144"/>
      <c r="AC4595" s="16" t="s">
        <v>21</v>
      </c>
      <c r="AD4595" s="17" t="s">
        <v>1815</v>
      </c>
      <c r="AE4595" s="145" t="s">
        <v>17007</v>
      </c>
      <c r="AF4595" s="146"/>
      <c r="AG4595" s="146"/>
      <c r="AH4595" s="146"/>
      <c r="AI4595" s="147"/>
      <c r="AJ4595" s="148"/>
      <c r="AK4595" s="143"/>
      <c r="AL4595" s="144"/>
      <c r="AM4595" s="22"/>
      <c r="AN4595" s="149" t="s">
        <v>9053</v>
      </c>
      <c r="AO4595" s="144"/>
      <c r="AP4595" s="148">
        <v>4020</v>
      </c>
      <c r="AQ4595" s="144"/>
      <c r="AR4595" s="120"/>
      <c r="AS4595" s="121"/>
      <c r="AT4595" s="120"/>
      <c r="AU4595" s="121"/>
      <c r="AV4595" s="120"/>
      <c r="AW4595" s="121"/>
      <c r="AX4595" s="120"/>
      <c r="AY4595" s="121"/>
      <c r="AZ4595" s="138"/>
    </row>
    <row r="4596" spans="1:52" ht="17.100000000000001" customHeight="1" thickTop="1">
      <c r="A4596" s="151" t="s">
        <v>13799</v>
      </c>
      <c r="B4596" s="28">
        <v>46010</v>
      </c>
      <c r="C4596" s="25">
        <v>1399</v>
      </c>
      <c r="D4596" s="13" t="s">
        <v>900</v>
      </c>
      <c r="E4596" s="111"/>
      <c r="F4596" s="113" t="s">
        <v>13812</v>
      </c>
      <c r="G4596" s="114"/>
      <c r="H4596" s="115"/>
      <c r="I4596" s="24" t="s">
        <v>10851</v>
      </c>
      <c r="J4596" s="116">
        <v>4</v>
      </c>
      <c r="K4596" s="118">
        <v>279000</v>
      </c>
      <c r="L4596" s="119"/>
      <c r="M4596" s="118">
        <f t="shared" ref="M4596" si="5156">K4596*0.1</f>
        <v>27900</v>
      </c>
      <c r="N4596" s="119"/>
      <c r="O4596" s="118">
        <v>0</v>
      </c>
      <c r="P4596" s="119"/>
      <c r="Q4596" s="118">
        <v>8490</v>
      </c>
      <c r="R4596" s="119"/>
      <c r="S4596" s="118">
        <v>13200</v>
      </c>
      <c r="T4596" s="119"/>
      <c r="U4596" s="118">
        <f t="shared" ref="U4596" si="5157">SUM(K4596:T4597)</f>
        <v>328590</v>
      </c>
      <c r="V4596" s="122"/>
      <c r="W4596" s="124"/>
      <c r="X4596" s="126" t="s">
        <v>14218</v>
      </c>
      <c r="Y4596" s="127"/>
      <c r="Z4596" s="127"/>
      <c r="AA4596" s="127"/>
      <c r="AB4596" s="128"/>
      <c r="AC4596" s="15" t="s">
        <v>20</v>
      </c>
      <c r="AD4596" s="129"/>
      <c r="AE4596" s="130"/>
      <c r="AF4596" s="130"/>
      <c r="AG4596" s="130"/>
      <c r="AH4596" s="130"/>
      <c r="AI4596" s="131"/>
      <c r="AJ4596" s="132"/>
      <c r="AK4596" s="127"/>
      <c r="AL4596" s="128"/>
      <c r="AM4596" s="21" t="s">
        <v>14886</v>
      </c>
      <c r="AN4596" s="133">
        <v>46032</v>
      </c>
      <c r="AO4596" s="134"/>
      <c r="AP4596" s="135">
        <v>1283</v>
      </c>
      <c r="AQ4596" s="136"/>
      <c r="AR4596" s="118">
        <v>315000</v>
      </c>
      <c r="AS4596" s="119"/>
      <c r="AT4596" s="118">
        <f t="shared" ref="AT4596" si="5158">AR4596*0.1</f>
        <v>31500</v>
      </c>
      <c r="AU4596" s="119"/>
      <c r="AV4596" s="118">
        <v>8490</v>
      </c>
      <c r="AW4596" s="119"/>
      <c r="AX4596" s="118">
        <f t="shared" ref="AX4596" si="5159">SUM(AR4596:AW4596)</f>
        <v>354990</v>
      </c>
      <c r="AY4596" s="119"/>
      <c r="AZ4596" s="137">
        <v>46037</v>
      </c>
    </row>
    <row r="4597" spans="1:52" ht="17.100000000000001" customHeight="1" thickBot="1">
      <c r="A4597" s="152"/>
      <c r="B4597" s="27" t="s">
        <v>2641</v>
      </c>
      <c r="C4597" s="27">
        <v>2193</v>
      </c>
      <c r="D4597" s="14" t="s">
        <v>4023</v>
      </c>
      <c r="E4597" s="112"/>
      <c r="F4597" s="139" t="s">
        <v>13813</v>
      </c>
      <c r="G4597" s="140"/>
      <c r="H4597" s="141"/>
      <c r="I4597" s="26">
        <v>44647</v>
      </c>
      <c r="J4597" s="117"/>
      <c r="K4597" s="120"/>
      <c r="L4597" s="121"/>
      <c r="M4597" s="120"/>
      <c r="N4597" s="121"/>
      <c r="O4597" s="120"/>
      <c r="P4597" s="121"/>
      <c r="Q4597" s="120"/>
      <c r="R4597" s="121"/>
      <c r="S4597" s="120"/>
      <c r="T4597" s="121"/>
      <c r="U4597" s="120"/>
      <c r="V4597" s="123"/>
      <c r="W4597" s="125"/>
      <c r="X4597" s="142" t="s">
        <v>14219</v>
      </c>
      <c r="Y4597" s="143"/>
      <c r="Z4597" s="143"/>
      <c r="AA4597" s="143"/>
      <c r="AB4597" s="144"/>
      <c r="AC4597" s="16" t="s">
        <v>21</v>
      </c>
      <c r="AD4597" s="17" t="s">
        <v>14134</v>
      </c>
      <c r="AE4597" s="145" t="s">
        <v>171</v>
      </c>
      <c r="AF4597" s="146"/>
      <c r="AG4597" s="146"/>
      <c r="AH4597" s="146"/>
      <c r="AI4597" s="147"/>
      <c r="AJ4597" s="148"/>
      <c r="AK4597" s="143"/>
      <c r="AL4597" s="144"/>
      <c r="AM4597" s="22"/>
      <c r="AN4597" s="149" t="s">
        <v>2511</v>
      </c>
      <c r="AO4597" s="144"/>
      <c r="AP4597" s="148">
        <v>60234</v>
      </c>
      <c r="AQ4597" s="144"/>
      <c r="AR4597" s="120"/>
      <c r="AS4597" s="121"/>
      <c r="AT4597" s="120"/>
      <c r="AU4597" s="121"/>
      <c r="AV4597" s="120"/>
      <c r="AW4597" s="121"/>
      <c r="AX4597" s="120"/>
      <c r="AY4597" s="121"/>
      <c r="AZ4597" s="138"/>
    </row>
    <row r="4598" spans="1:52" ht="17.100000000000001" customHeight="1" thickTop="1">
      <c r="A4598" s="109" t="s">
        <v>13800</v>
      </c>
      <c r="B4598" s="28">
        <v>46010</v>
      </c>
      <c r="C4598" s="25">
        <v>1399</v>
      </c>
      <c r="D4598" s="13" t="s">
        <v>2970</v>
      </c>
      <c r="E4598" s="111"/>
      <c r="F4598" s="113" t="s">
        <v>3590</v>
      </c>
      <c r="G4598" s="114"/>
      <c r="H4598" s="115"/>
      <c r="I4598" s="24" t="s">
        <v>10644</v>
      </c>
      <c r="J4598" s="116">
        <v>5</v>
      </c>
      <c r="K4598" s="118">
        <v>1065000</v>
      </c>
      <c r="L4598" s="119"/>
      <c r="M4598" s="118">
        <f t="shared" ref="M4598" si="5160">K4598*0.1</f>
        <v>106500</v>
      </c>
      <c r="N4598" s="119"/>
      <c r="O4598" s="118">
        <v>0</v>
      </c>
      <c r="P4598" s="119"/>
      <c r="Q4598" s="118">
        <v>5340</v>
      </c>
      <c r="R4598" s="119"/>
      <c r="S4598" s="118">
        <v>13200</v>
      </c>
      <c r="T4598" s="119"/>
      <c r="U4598" s="118">
        <f t="shared" ref="U4598" si="5161">SUM(K4598:T4599)</f>
        <v>1190040</v>
      </c>
      <c r="V4598" s="122"/>
      <c r="W4598" s="124"/>
      <c r="X4598" s="126" t="s">
        <v>14368</v>
      </c>
      <c r="Y4598" s="127"/>
      <c r="Z4598" s="127"/>
      <c r="AA4598" s="127"/>
      <c r="AB4598" s="128"/>
      <c r="AC4598" s="15" t="s">
        <v>20</v>
      </c>
      <c r="AD4598" s="129" t="s">
        <v>1945</v>
      </c>
      <c r="AE4598" s="130"/>
      <c r="AF4598" s="130"/>
      <c r="AG4598" s="130"/>
      <c r="AH4598" s="130"/>
      <c r="AI4598" s="131"/>
      <c r="AJ4598" s="132"/>
      <c r="AK4598" s="127"/>
      <c r="AL4598" s="128"/>
      <c r="AM4598" s="21" t="s">
        <v>15355</v>
      </c>
      <c r="AN4598" s="133">
        <v>46046</v>
      </c>
      <c r="AO4598" s="134"/>
      <c r="AP4598" s="135">
        <v>1285</v>
      </c>
      <c r="AQ4598" s="136"/>
      <c r="AR4598" s="118">
        <v>1125000</v>
      </c>
      <c r="AS4598" s="119"/>
      <c r="AT4598" s="118">
        <f t="shared" ref="AT4598" si="5162">AR4598*0.1</f>
        <v>112500</v>
      </c>
      <c r="AU4598" s="119"/>
      <c r="AV4598" s="118">
        <v>5340</v>
      </c>
      <c r="AW4598" s="119"/>
      <c r="AX4598" s="118">
        <f t="shared" ref="AX4598" si="5163">SUM(AR4598:AW4598)</f>
        <v>1242840</v>
      </c>
      <c r="AY4598" s="119"/>
      <c r="AZ4598" s="137">
        <v>46049</v>
      </c>
    </row>
    <row r="4599" spans="1:52" ht="17.100000000000001" customHeight="1" thickBot="1">
      <c r="A4599" s="110"/>
      <c r="B4599" s="27" t="s">
        <v>2641</v>
      </c>
      <c r="C4599" s="27">
        <v>3013</v>
      </c>
      <c r="D4599" s="14" t="s">
        <v>1576</v>
      </c>
      <c r="E4599" s="112"/>
      <c r="F4599" s="139" t="s">
        <v>13814</v>
      </c>
      <c r="G4599" s="140"/>
      <c r="H4599" s="141"/>
      <c r="I4599" s="26">
        <v>9911</v>
      </c>
      <c r="J4599" s="117"/>
      <c r="K4599" s="120"/>
      <c r="L4599" s="121"/>
      <c r="M4599" s="120"/>
      <c r="N4599" s="121"/>
      <c r="O4599" s="120"/>
      <c r="P4599" s="121"/>
      <c r="Q4599" s="120"/>
      <c r="R4599" s="121"/>
      <c r="S4599" s="120"/>
      <c r="T4599" s="121"/>
      <c r="U4599" s="120"/>
      <c r="V4599" s="123"/>
      <c r="W4599" s="125"/>
      <c r="X4599" s="142" t="s">
        <v>14369</v>
      </c>
      <c r="Y4599" s="143"/>
      <c r="Z4599" s="143"/>
      <c r="AA4599" s="143"/>
      <c r="AB4599" s="144"/>
      <c r="AC4599" s="16" t="s">
        <v>21</v>
      </c>
      <c r="AD4599" s="17" t="s">
        <v>14344</v>
      </c>
      <c r="AE4599" s="145" t="s">
        <v>14370</v>
      </c>
      <c r="AF4599" s="146"/>
      <c r="AG4599" s="146"/>
      <c r="AH4599" s="146"/>
      <c r="AI4599" s="147"/>
      <c r="AJ4599" s="148"/>
      <c r="AK4599" s="143"/>
      <c r="AL4599" s="144"/>
      <c r="AM4599" s="22"/>
      <c r="AN4599" s="149" t="s">
        <v>2511</v>
      </c>
      <c r="AO4599" s="144"/>
      <c r="AP4599" s="148">
        <v>60045</v>
      </c>
      <c r="AQ4599" s="144"/>
      <c r="AR4599" s="120"/>
      <c r="AS4599" s="121"/>
      <c r="AT4599" s="120"/>
      <c r="AU4599" s="121"/>
      <c r="AV4599" s="120"/>
      <c r="AW4599" s="121"/>
      <c r="AX4599" s="120"/>
      <c r="AY4599" s="121"/>
      <c r="AZ4599" s="138"/>
    </row>
    <row r="4600" spans="1:52" ht="17.100000000000001" customHeight="1" thickTop="1">
      <c r="A4600" s="151" t="s">
        <v>13801</v>
      </c>
      <c r="B4600" s="28">
        <v>46010</v>
      </c>
      <c r="C4600" s="25">
        <v>1399</v>
      </c>
      <c r="D4600" s="13" t="s">
        <v>1767</v>
      </c>
      <c r="E4600" s="111"/>
      <c r="F4600" s="113" t="s">
        <v>13815</v>
      </c>
      <c r="G4600" s="114"/>
      <c r="H4600" s="115"/>
      <c r="I4600" s="24"/>
      <c r="J4600" s="116">
        <v>4.5</v>
      </c>
      <c r="K4600" s="118">
        <v>953000</v>
      </c>
      <c r="L4600" s="119"/>
      <c r="M4600" s="118">
        <f t="shared" ref="M4600" si="5164">K4600*0.1</f>
        <v>95300</v>
      </c>
      <c r="N4600" s="119"/>
      <c r="O4600" s="118">
        <v>0</v>
      </c>
      <c r="P4600" s="119"/>
      <c r="Q4600" s="118">
        <v>19330</v>
      </c>
      <c r="R4600" s="119"/>
      <c r="S4600" s="118">
        <v>13200</v>
      </c>
      <c r="T4600" s="119"/>
      <c r="U4600" s="118">
        <f t="shared" ref="U4600" si="5165">SUM(K4600:T4601)</f>
        <v>1080830</v>
      </c>
      <c r="V4600" s="122"/>
      <c r="W4600" s="124"/>
      <c r="X4600" s="126" t="s">
        <v>14214</v>
      </c>
      <c r="Y4600" s="127"/>
      <c r="Z4600" s="127"/>
      <c r="AA4600" s="127"/>
      <c r="AB4600" s="128"/>
      <c r="AC4600" s="15" t="s">
        <v>20</v>
      </c>
      <c r="AD4600" s="129" t="s">
        <v>1670</v>
      </c>
      <c r="AE4600" s="130"/>
      <c r="AF4600" s="130"/>
      <c r="AG4600" s="130"/>
      <c r="AH4600" s="130"/>
      <c r="AI4600" s="131"/>
      <c r="AJ4600" s="132"/>
      <c r="AK4600" s="127"/>
      <c r="AL4600" s="128"/>
      <c r="AM4600" s="21"/>
      <c r="AN4600" s="133">
        <v>46032</v>
      </c>
      <c r="AO4600" s="134"/>
      <c r="AP4600" s="135">
        <v>1283</v>
      </c>
      <c r="AQ4600" s="136"/>
      <c r="AR4600" s="118">
        <v>1080000</v>
      </c>
      <c r="AS4600" s="119"/>
      <c r="AT4600" s="118">
        <f t="shared" ref="AT4600" si="5166">AR4600*0.1</f>
        <v>108000</v>
      </c>
      <c r="AU4600" s="119"/>
      <c r="AV4600" s="118">
        <v>19330</v>
      </c>
      <c r="AW4600" s="119"/>
      <c r="AX4600" s="118">
        <f t="shared" ref="AX4600" si="5167">SUM(AR4600:AW4600)</f>
        <v>1207330</v>
      </c>
      <c r="AY4600" s="119"/>
      <c r="AZ4600" s="137">
        <v>46036</v>
      </c>
    </row>
    <row r="4601" spans="1:52" ht="17.100000000000001" customHeight="1" thickBot="1">
      <c r="A4601" s="152"/>
      <c r="B4601" s="27" t="s">
        <v>2641</v>
      </c>
      <c r="C4601" s="27">
        <v>7163</v>
      </c>
      <c r="D4601" s="14" t="s">
        <v>1576</v>
      </c>
      <c r="E4601" s="112"/>
      <c r="F4601" s="139" t="s">
        <v>13816</v>
      </c>
      <c r="G4601" s="140"/>
      <c r="H4601" s="141"/>
      <c r="I4601" s="26">
        <v>28886</v>
      </c>
      <c r="J4601" s="117"/>
      <c r="K4601" s="120"/>
      <c r="L4601" s="121"/>
      <c r="M4601" s="120"/>
      <c r="N4601" s="121"/>
      <c r="O4601" s="120"/>
      <c r="P4601" s="121"/>
      <c r="Q4601" s="120"/>
      <c r="R4601" s="121"/>
      <c r="S4601" s="120"/>
      <c r="T4601" s="121"/>
      <c r="U4601" s="120"/>
      <c r="V4601" s="123"/>
      <c r="W4601" s="125"/>
      <c r="X4601" s="142" t="s">
        <v>8807</v>
      </c>
      <c r="Y4601" s="143"/>
      <c r="Z4601" s="143"/>
      <c r="AA4601" s="143"/>
      <c r="AB4601" s="144"/>
      <c r="AC4601" s="16" t="s">
        <v>21</v>
      </c>
      <c r="AD4601" s="17" t="s">
        <v>14134</v>
      </c>
      <c r="AE4601" s="145" t="s">
        <v>3123</v>
      </c>
      <c r="AF4601" s="146"/>
      <c r="AG4601" s="146"/>
      <c r="AH4601" s="146"/>
      <c r="AI4601" s="147"/>
      <c r="AJ4601" s="148"/>
      <c r="AK4601" s="143"/>
      <c r="AL4601" s="144"/>
      <c r="AM4601" s="22"/>
      <c r="AN4601" s="149" t="s">
        <v>2511</v>
      </c>
      <c r="AO4601" s="144"/>
      <c r="AP4601" s="148">
        <v>80375</v>
      </c>
      <c r="AQ4601" s="144"/>
      <c r="AR4601" s="120"/>
      <c r="AS4601" s="121"/>
      <c r="AT4601" s="120"/>
      <c r="AU4601" s="121"/>
      <c r="AV4601" s="120"/>
      <c r="AW4601" s="121"/>
      <c r="AX4601" s="120"/>
      <c r="AY4601" s="121"/>
      <c r="AZ4601" s="138"/>
    </row>
    <row r="4602" spans="1:52" ht="17.100000000000001" customHeight="1" thickTop="1">
      <c r="A4602" s="109" t="s">
        <v>13802</v>
      </c>
      <c r="B4602" s="28">
        <v>46010</v>
      </c>
      <c r="C4602" s="25">
        <v>1399</v>
      </c>
      <c r="D4602" s="13" t="s">
        <v>1586</v>
      </c>
      <c r="E4602" s="111"/>
      <c r="F4602" s="113" t="s">
        <v>13817</v>
      </c>
      <c r="G4602" s="114"/>
      <c r="H4602" s="115"/>
      <c r="I4602" s="24" t="s">
        <v>3538</v>
      </c>
      <c r="J4602" s="150" t="s">
        <v>1715</v>
      </c>
      <c r="K4602" s="118">
        <v>442000</v>
      </c>
      <c r="L4602" s="119"/>
      <c r="M4602" s="118">
        <f t="shared" ref="M4602" si="5168">K4602*0.1</f>
        <v>44200</v>
      </c>
      <c r="N4602" s="119"/>
      <c r="O4602" s="118">
        <f>7300+730</f>
        <v>8030</v>
      </c>
      <c r="P4602" s="119"/>
      <c r="Q4602" s="118">
        <v>9630</v>
      </c>
      <c r="R4602" s="119"/>
      <c r="S4602" s="118">
        <v>13200</v>
      </c>
      <c r="T4602" s="119"/>
      <c r="U4602" s="118">
        <f t="shared" ref="U4602" si="5169">SUM(K4602:T4603)</f>
        <v>517060</v>
      </c>
      <c r="V4602" s="122"/>
      <c r="W4602" s="124"/>
      <c r="X4602" s="126" t="s">
        <v>14366</v>
      </c>
      <c r="Y4602" s="127"/>
      <c r="Z4602" s="127"/>
      <c r="AA4602" s="127"/>
      <c r="AB4602" s="128"/>
      <c r="AC4602" s="15" t="s">
        <v>20</v>
      </c>
      <c r="AD4602" s="129"/>
      <c r="AE4602" s="130"/>
      <c r="AF4602" s="130"/>
      <c r="AG4602" s="130"/>
      <c r="AH4602" s="130"/>
      <c r="AI4602" s="131"/>
      <c r="AJ4602" s="132"/>
      <c r="AK4602" s="127"/>
      <c r="AL4602" s="128"/>
      <c r="AM4602" s="21"/>
      <c r="AN4602" s="133">
        <v>46046</v>
      </c>
      <c r="AO4602" s="134"/>
      <c r="AP4602" s="135">
        <v>1285</v>
      </c>
      <c r="AQ4602" s="136"/>
      <c r="AR4602" s="118">
        <v>545000</v>
      </c>
      <c r="AS4602" s="119"/>
      <c r="AT4602" s="118">
        <f t="shared" ref="AT4602" si="5170">AR4602*0.1</f>
        <v>54500</v>
      </c>
      <c r="AU4602" s="119"/>
      <c r="AV4602" s="118">
        <v>9630</v>
      </c>
      <c r="AW4602" s="119"/>
      <c r="AX4602" s="118">
        <f t="shared" ref="AX4602" si="5171">SUM(AR4602:AW4602)</f>
        <v>609130</v>
      </c>
      <c r="AY4602" s="119"/>
      <c r="AZ4602" s="137">
        <v>46049</v>
      </c>
    </row>
    <row r="4603" spans="1:52" ht="17.100000000000001" customHeight="1" thickBot="1">
      <c r="A4603" s="110"/>
      <c r="B4603" s="27" t="s">
        <v>2641</v>
      </c>
      <c r="C4603" s="27">
        <v>9044</v>
      </c>
      <c r="D4603" s="14" t="s">
        <v>1576</v>
      </c>
      <c r="E4603" s="112"/>
      <c r="F4603" s="139" t="s">
        <v>13818</v>
      </c>
      <c r="G4603" s="140"/>
      <c r="H4603" s="141"/>
      <c r="I4603" s="26">
        <v>57545</v>
      </c>
      <c r="J4603" s="117"/>
      <c r="K4603" s="120"/>
      <c r="L4603" s="121"/>
      <c r="M4603" s="120"/>
      <c r="N4603" s="121"/>
      <c r="O4603" s="120"/>
      <c r="P4603" s="121"/>
      <c r="Q4603" s="120"/>
      <c r="R4603" s="121"/>
      <c r="S4603" s="120"/>
      <c r="T4603" s="121"/>
      <c r="U4603" s="120"/>
      <c r="V4603" s="123"/>
      <c r="W4603" s="125"/>
      <c r="X4603" s="142" t="s">
        <v>14367</v>
      </c>
      <c r="Y4603" s="143"/>
      <c r="Z4603" s="143"/>
      <c r="AA4603" s="143"/>
      <c r="AB4603" s="144"/>
      <c r="AC4603" s="16" t="s">
        <v>21</v>
      </c>
      <c r="AD4603" s="17" t="s">
        <v>14344</v>
      </c>
      <c r="AE4603" s="145" t="s">
        <v>10730</v>
      </c>
      <c r="AF4603" s="146"/>
      <c r="AG4603" s="146"/>
      <c r="AH4603" s="146"/>
      <c r="AI4603" s="147"/>
      <c r="AJ4603" s="148"/>
      <c r="AK4603" s="143"/>
      <c r="AL4603" s="144"/>
      <c r="AM4603" s="22"/>
      <c r="AN4603" s="149" t="s">
        <v>2511</v>
      </c>
      <c r="AO4603" s="144"/>
      <c r="AP4603" s="148">
        <v>55125</v>
      </c>
      <c r="AQ4603" s="144"/>
      <c r="AR4603" s="120"/>
      <c r="AS4603" s="121"/>
      <c r="AT4603" s="120"/>
      <c r="AU4603" s="121"/>
      <c r="AV4603" s="120"/>
      <c r="AW4603" s="121"/>
      <c r="AX4603" s="120"/>
      <c r="AY4603" s="121"/>
      <c r="AZ4603" s="138"/>
    </row>
    <row r="4604" spans="1:52" ht="17.100000000000001" customHeight="1" thickTop="1">
      <c r="A4604" s="151" t="s">
        <v>13803</v>
      </c>
      <c r="B4604" s="28">
        <v>46010</v>
      </c>
      <c r="C4604" s="25">
        <v>1399</v>
      </c>
      <c r="D4604" s="13" t="s">
        <v>13819</v>
      </c>
      <c r="E4604" s="111"/>
      <c r="F4604" s="113" t="s">
        <v>4585</v>
      </c>
      <c r="G4604" s="114"/>
      <c r="H4604" s="115"/>
      <c r="I4604" s="24" t="s">
        <v>13821</v>
      </c>
      <c r="J4604" s="116">
        <v>4</v>
      </c>
      <c r="K4604" s="118">
        <v>460000</v>
      </c>
      <c r="L4604" s="119"/>
      <c r="M4604" s="118">
        <f t="shared" ref="M4604" si="5172">K4604*0.1</f>
        <v>46000</v>
      </c>
      <c r="N4604" s="119"/>
      <c r="O4604" s="118">
        <v>0</v>
      </c>
      <c r="P4604" s="119"/>
      <c r="Q4604" s="118">
        <v>8540</v>
      </c>
      <c r="R4604" s="119"/>
      <c r="S4604" s="118">
        <v>13200</v>
      </c>
      <c r="T4604" s="119"/>
      <c r="U4604" s="118">
        <f t="shared" ref="U4604" si="5173">SUM(K4604:T4605)</f>
        <v>527740</v>
      </c>
      <c r="V4604" s="122"/>
      <c r="W4604" s="124"/>
      <c r="X4604" s="126" t="s">
        <v>14216</v>
      </c>
      <c r="Y4604" s="127"/>
      <c r="Z4604" s="127"/>
      <c r="AA4604" s="127"/>
      <c r="AB4604" s="128"/>
      <c r="AC4604" s="15" t="s">
        <v>20</v>
      </c>
      <c r="AD4604" s="129"/>
      <c r="AE4604" s="130"/>
      <c r="AF4604" s="130"/>
      <c r="AG4604" s="130"/>
      <c r="AH4604" s="130"/>
      <c r="AI4604" s="131"/>
      <c r="AJ4604" s="132"/>
      <c r="AK4604" s="127"/>
      <c r="AL4604" s="128"/>
      <c r="AM4604" s="21" t="s">
        <v>14887</v>
      </c>
      <c r="AN4604" s="133">
        <v>46032</v>
      </c>
      <c r="AO4604" s="134"/>
      <c r="AP4604" s="135">
        <v>1283</v>
      </c>
      <c r="AQ4604" s="136"/>
      <c r="AR4604" s="118">
        <v>590000</v>
      </c>
      <c r="AS4604" s="119"/>
      <c r="AT4604" s="118">
        <f t="shared" ref="AT4604" si="5174">AR4604*0.1</f>
        <v>59000</v>
      </c>
      <c r="AU4604" s="119"/>
      <c r="AV4604" s="118">
        <v>8540</v>
      </c>
      <c r="AW4604" s="119"/>
      <c r="AX4604" s="118">
        <f t="shared" ref="AX4604" si="5175">SUM(AR4604:AW4604)</f>
        <v>657540</v>
      </c>
      <c r="AY4604" s="119"/>
      <c r="AZ4604" s="137">
        <v>46037</v>
      </c>
    </row>
    <row r="4605" spans="1:52" ht="17.100000000000001" customHeight="1" thickBot="1">
      <c r="A4605" s="152"/>
      <c r="B4605" s="27" t="s">
        <v>2641</v>
      </c>
      <c r="C4605" s="27">
        <v>9219</v>
      </c>
      <c r="D4605" s="14" t="s">
        <v>2601</v>
      </c>
      <c r="E4605" s="112"/>
      <c r="F4605" s="139" t="s">
        <v>13820</v>
      </c>
      <c r="G4605" s="140"/>
      <c r="H4605" s="141"/>
      <c r="I4605" s="26">
        <v>72374</v>
      </c>
      <c r="J4605" s="117"/>
      <c r="K4605" s="120"/>
      <c r="L4605" s="121"/>
      <c r="M4605" s="120"/>
      <c r="N4605" s="121"/>
      <c r="O4605" s="120"/>
      <c r="P4605" s="121"/>
      <c r="Q4605" s="120"/>
      <c r="R4605" s="121"/>
      <c r="S4605" s="120"/>
      <c r="T4605" s="121"/>
      <c r="U4605" s="120"/>
      <c r="V4605" s="123"/>
      <c r="W4605" s="125"/>
      <c r="X4605" s="142" t="s">
        <v>14217</v>
      </c>
      <c r="Y4605" s="143"/>
      <c r="Z4605" s="143"/>
      <c r="AA4605" s="143"/>
      <c r="AB4605" s="144"/>
      <c r="AC4605" s="16" t="s">
        <v>21</v>
      </c>
      <c r="AD4605" s="17" t="s">
        <v>14134</v>
      </c>
      <c r="AE4605" s="145"/>
      <c r="AF4605" s="146"/>
      <c r="AG4605" s="146"/>
      <c r="AH4605" s="146"/>
      <c r="AI4605" s="147"/>
      <c r="AJ4605" s="148"/>
      <c r="AK4605" s="143"/>
      <c r="AL4605" s="144"/>
      <c r="AM4605" s="22"/>
      <c r="AN4605" s="149" t="s">
        <v>2511</v>
      </c>
      <c r="AO4605" s="144"/>
      <c r="AP4605" s="148">
        <v>60232</v>
      </c>
      <c r="AQ4605" s="144"/>
      <c r="AR4605" s="120"/>
      <c r="AS4605" s="121"/>
      <c r="AT4605" s="120"/>
      <c r="AU4605" s="121"/>
      <c r="AV4605" s="120"/>
      <c r="AW4605" s="121"/>
      <c r="AX4605" s="120"/>
      <c r="AY4605" s="121"/>
      <c r="AZ4605" s="138"/>
    </row>
    <row r="4606" spans="1:52" ht="17.100000000000001" customHeight="1" thickTop="1">
      <c r="A4606" s="109" t="s">
        <v>13804</v>
      </c>
      <c r="B4606" s="28">
        <v>46010</v>
      </c>
      <c r="C4606" s="25">
        <v>1399</v>
      </c>
      <c r="D4606" s="13" t="s">
        <v>1649</v>
      </c>
      <c r="E4606" s="111"/>
      <c r="F4606" s="113" t="s">
        <v>2993</v>
      </c>
      <c r="G4606" s="114"/>
      <c r="H4606" s="115"/>
      <c r="I4606" s="24"/>
      <c r="J4606" s="150" t="s">
        <v>1715</v>
      </c>
      <c r="K4606" s="118">
        <v>250000</v>
      </c>
      <c r="L4606" s="119"/>
      <c r="M4606" s="118">
        <f t="shared" ref="M4606" si="5176">K4606*0.1</f>
        <v>25000</v>
      </c>
      <c r="N4606" s="119"/>
      <c r="O4606" s="118">
        <v>0</v>
      </c>
      <c r="P4606" s="119"/>
      <c r="Q4606" s="118">
        <v>8860</v>
      </c>
      <c r="R4606" s="119"/>
      <c r="S4606" s="118">
        <v>13200</v>
      </c>
      <c r="T4606" s="119"/>
      <c r="U4606" s="118">
        <f t="shared" ref="U4606" si="5177">SUM(K4606:T4607)</f>
        <v>297060</v>
      </c>
      <c r="V4606" s="122"/>
      <c r="W4606" s="124"/>
      <c r="X4606" s="126" t="s">
        <v>14234</v>
      </c>
      <c r="Y4606" s="127"/>
      <c r="Z4606" s="127"/>
      <c r="AA4606" s="127"/>
      <c r="AB4606" s="128"/>
      <c r="AC4606" s="15" t="s">
        <v>20</v>
      </c>
      <c r="AD4606" s="129" t="s">
        <v>13823</v>
      </c>
      <c r="AE4606" s="130"/>
      <c r="AF4606" s="130"/>
      <c r="AG4606" s="130"/>
      <c r="AH4606" s="130"/>
      <c r="AI4606" s="131"/>
      <c r="AJ4606" s="132"/>
      <c r="AK4606" s="127"/>
      <c r="AL4606" s="128"/>
      <c r="AM4606" s="21"/>
      <c r="AN4606" s="133">
        <v>46018</v>
      </c>
      <c r="AO4606" s="134"/>
      <c r="AP4606" s="135">
        <v>1282</v>
      </c>
      <c r="AQ4606" s="136"/>
      <c r="AR4606" s="118">
        <v>270000</v>
      </c>
      <c r="AS4606" s="119"/>
      <c r="AT4606" s="118">
        <f t="shared" ref="AT4606" si="5178">AR4606*0.1</f>
        <v>27000</v>
      </c>
      <c r="AU4606" s="119"/>
      <c r="AV4606" s="118">
        <v>8860</v>
      </c>
      <c r="AW4606" s="119"/>
      <c r="AX4606" s="118">
        <f t="shared" ref="AX4606" si="5179">SUM(AR4606:AW4606)</f>
        <v>305860</v>
      </c>
      <c r="AY4606" s="119"/>
      <c r="AZ4606" s="137">
        <v>46028</v>
      </c>
    </row>
    <row r="4607" spans="1:52" ht="17.100000000000001" customHeight="1" thickBot="1">
      <c r="A4607" s="110"/>
      <c r="B4607" s="27" t="s">
        <v>2641</v>
      </c>
      <c r="C4607" s="27">
        <v>9265</v>
      </c>
      <c r="D4607" s="14" t="s">
        <v>904</v>
      </c>
      <c r="E4607" s="112"/>
      <c r="F4607" s="139" t="s">
        <v>13822</v>
      </c>
      <c r="G4607" s="140"/>
      <c r="H4607" s="141"/>
      <c r="I4607" s="26">
        <v>77746</v>
      </c>
      <c r="J4607" s="117"/>
      <c r="K4607" s="120"/>
      <c r="L4607" s="121"/>
      <c r="M4607" s="120"/>
      <c r="N4607" s="121"/>
      <c r="O4607" s="120"/>
      <c r="P4607" s="121"/>
      <c r="Q4607" s="120"/>
      <c r="R4607" s="121"/>
      <c r="S4607" s="120"/>
      <c r="T4607" s="121"/>
      <c r="U4607" s="120"/>
      <c r="V4607" s="123"/>
      <c r="W4607" s="125"/>
      <c r="X4607" s="142" t="s">
        <v>3334</v>
      </c>
      <c r="Y4607" s="143"/>
      <c r="Z4607" s="143"/>
      <c r="AA4607" s="143"/>
      <c r="AB4607" s="144"/>
      <c r="AC4607" s="16" t="s">
        <v>21</v>
      </c>
      <c r="AD4607" s="17" t="s">
        <v>14134</v>
      </c>
      <c r="AE4607" s="145" t="s">
        <v>14235</v>
      </c>
      <c r="AF4607" s="146"/>
      <c r="AG4607" s="146"/>
      <c r="AH4607" s="146"/>
      <c r="AI4607" s="147"/>
      <c r="AJ4607" s="148"/>
      <c r="AK4607" s="143"/>
      <c r="AL4607" s="144"/>
      <c r="AM4607" s="22"/>
      <c r="AN4607" s="149" t="s">
        <v>2511</v>
      </c>
      <c r="AO4607" s="144"/>
      <c r="AP4607" s="148">
        <v>60220</v>
      </c>
      <c r="AQ4607" s="144"/>
      <c r="AR4607" s="120"/>
      <c r="AS4607" s="121"/>
      <c r="AT4607" s="120"/>
      <c r="AU4607" s="121"/>
      <c r="AV4607" s="120"/>
      <c r="AW4607" s="121"/>
      <c r="AX4607" s="120"/>
      <c r="AY4607" s="121"/>
      <c r="AZ4607" s="138"/>
    </row>
    <row r="4608" spans="1:52" ht="17.100000000000001" customHeight="1" thickTop="1">
      <c r="A4608" s="109" t="s">
        <v>13886</v>
      </c>
      <c r="B4608" s="28">
        <v>46011</v>
      </c>
      <c r="C4608" s="25">
        <v>1524</v>
      </c>
      <c r="D4608" s="13" t="s">
        <v>2914</v>
      </c>
      <c r="E4608" s="111"/>
      <c r="F4608" s="113" t="s">
        <v>13805</v>
      </c>
      <c r="G4608" s="114"/>
      <c r="H4608" s="115"/>
      <c r="I4608" s="24" t="s">
        <v>8510</v>
      </c>
      <c r="J4608" s="116">
        <v>4.5</v>
      </c>
      <c r="K4608" s="118">
        <v>3190000</v>
      </c>
      <c r="L4608" s="119"/>
      <c r="M4608" s="118">
        <f t="shared" ref="M4608" si="5180">K4608*0.1</f>
        <v>319000</v>
      </c>
      <c r="N4608" s="119"/>
      <c r="O4608" s="118">
        <f>9800+980</f>
        <v>10780</v>
      </c>
      <c r="P4608" s="119"/>
      <c r="Q4608" s="118">
        <v>21530</v>
      </c>
      <c r="R4608" s="119"/>
      <c r="S4608" s="118">
        <v>16500</v>
      </c>
      <c r="T4608" s="119"/>
      <c r="U4608" s="118">
        <f t="shared" ref="U4608" si="5181">SUM(K4608:T4609)</f>
        <v>3557810</v>
      </c>
      <c r="V4608" s="122"/>
      <c r="W4608" s="124"/>
      <c r="X4608" s="126" t="s">
        <v>13807</v>
      </c>
      <c r="Y4608" s="127"/>
      <c r="Z4608" s="127"/>
      <c r="AA4608" s="127"/>
      <c r="AB4608" s="128"/>
      <c r="AC4608" s="15" t="s">
        <v>20</v>
      </c>
      <c r="AD4608" s="129" t="s">
        <v>1732</v>
      </c>
      <c r="AE4608" s="130"/>
      <c r="AF4608" s="130"/>
      <c r="AG4608" s="130"/>
      <c r="AH4608" s="130"/>
      <c r="AI4608" s="131"/>
      <c r="AJ4608" s="132"/>
      <c r="AK4608" s="127"/>
      <c r="AL4608" s="128"/>
      <c r="AM4608" s="21"/>
      <c r="AN4608" s="133">
        <v>46384</v>
      </c>
      <c r="AO4608" s="134"/>
      <c r="AP4608" s="135"/>
      <c r="AQ4608" s="136"/>
      <c r="AR4608" s="118">
        <v>4919000</v>
      </c>
      <c r="AS4608" s="119"/>
      <c r="AT4608" s="118">
        <v>0</v>
      </c>
      <c r="AU4608" s="119"/>
      <c r="AV4608" s="118">
        <v>0</v>
      </c>
      <c r="AW4608" s="119"/>
      <c r="AX4608" s="118">
        <f t="shared" ref="AX4608" si="5182">SUM(AR4608:AW4608)</f>
        <v>4919000</v>
      </c>
      <c r="AY4608" s="119"/>
      <c r="AZ4608" s="137">
        <v>46082</v>
      </c>
    </row>
    <row r="4609" spans="1:52" ht="17.100000000000001" customHeight="1" thickBot="1">
      <c r="A4609" s="110"/>
      <c r="B4609" s="27" t="s">
        <v>1555</v>
      </c>
      <c r="C4609" s="27">
        <v>73014</v>
      </c>
      <c r="D4609" s="14" t="s">
        <v>1592</v>
      </c>
      <c r="E4609" s="112"/>
      <c r="F4609" s="139" t="s">
        <v>13806</v>
      </c>
      <c r="G4609" s="140"/>
      <c r="H4609" s="141"/>
      <c r="I4609" s="26">
        <v>48635</v>
      </c>
      <c r="J4609" s="117"/>
      <c r="K4609" s="120"/>
      <c r="L4609" s="121"/>
      <c r="M4609" s="120"/>
      <c r="N4609" s="121"/>
      <c r="O4609" s="120"/>
      <c r="P4609" s="121"/>
      <c r="Q4609" s="120"/>
      <c r="R4609" s="121"/>
      <c r="S4609" s="120"/>
      <c r="T4609" s="121"/>
      <c r="U4609" s="120"/>
      <c r="V4609" s="123"/>
      <c r="W4609" s="125"/>
      <c r="X4609" s="142" t="s">
        <v>14194</v>
      </c>
      <c r="Y4609" s="143"/>
      <c r="Z4609" s="143"/>
      <c r="AA4609" s="143"/>
      <c r="AB4609" s="144"/>
      <c r="AC4609" s="16" t="s">
        <v>21</v>
      </c>
      <c r="AD4609" s="17" t="s">
        <v>14134</v>
      </c>
      <c r="AE4609" s="145" t="s">
        <v>1614</v>
      </c>
      <c r="AF4609" s="146"/>
      <c r="AG4609" s="146"/>
      <c r="AH4609" s="146"/>
      <c r="AI4609" s="147"/>
      <c r="AJ4609" s="148"/>
      <c r="AK4609" s="143"/>
      <c r="AL4609" s="144"/>
      <c r="AM4609" s="22"/>
      <c r="AN4609" s="149" t="s">
        <v>24624</v>
      </c>
      <c r="AO4609" s="144"/>
      <c r="AP4609" s="148"/>
      <c r="AQ4609" s="144"/>
      <c r="AR4609" s="120"/>
      <c r="AS4609" s="121"/>
      <c r="AT4609" s="120"/>
      <c r="AU4609" s="121"/>
      <c r="AV4609" s="120"/>
      <c r="AW4609" s="121"/>
      <c r="AX4609" s="120"/>
      <c r="AY4609" s="121"/>
      <c r="AZ4609" s="138"/>
    </row>
    <row r="4610" spans="1:52" ht="17.100000000000001" customHeight="1" thickTop="1">
      <c r="A4610" s="109" t="s">
        <v>13887</v>
      </c>
      <c r="B4610" s="28">
        <v>46011</v>
      </c>
      <c r="C4610" s="25">
        <v>1524</v>
      </c>
      <c r="D4610" s="13" t="s">
        <v>1597</v>
      </c>
      <c r="E4610" s="111"/>
      <c r="F4610" s="113" t="s">
        <v>13861</v>
      </c>
      <c r="G4610" s="114"/>
      <c r="H4610" s="115"/>
      <c r="I4610" s="24" t="s">
        <v>13863</v>
      </c>
      <c r="J4610" s="116">
        <v>4.5</v>
      </c>
      <c r="K4610" s="118">
        <v>3375000</v>
      </c>
      <c r="L4610" s="119"/>
      <c r="M4610" s="118">
        <f t="shared" ref="M4610" si="5183">K4610*0.1</f>
        <v>337500</v>
      </c>
      <c r="N4610" s="119"/>
      <c r="O4610" s="118">
        <f>12700+1270</f>
        <v>13970</v>
      </c>
      <c r="P4610" s="119"/>
      <c r="Q4610" s="118">
        <v>23430</v>
      </c>
      <c r="R4610" s="119"/>
      <c r="S4610" s="118">
        <v>16500</v>
      </c>
      <c r="T4610" s="119"/>
      <c r="U4610" s="118">
        <f t="shared" ref="U4610" si="5184">SUM(K4610:T4611)</f>
        <v>3766400</v>
      </c>
      <c r="V4610" s="122"/>
      <c r="W4610" s="124"/>
      <c r="X4610" s="126" t="s">
        <v>13864</v>
      </c>
      <c r="Y4610" s="127"/>
      <c r="Z4610" s="127"/>
      <c r="AA4610" s="127"/>
      <c r="AB4610" s="128"/>
      <c r="AC4610" s="15" t="s">
        <v>20</v>
      </c>
      <c r="AD4610" s="129"/>
      <c r="AE4610" s="130"/>
      <c r="AF4610" s="130"/>
      <c r="AG4610" s="130"/>
      <c r="AH4610" s="130"/>
      <c r="AI4610" s="131"/>
      <c r="AJ4610" s="132" t="s">
        <v>15373</v>
      </c>
      <c r="AK4610" s="127"/>
      <c r="AL4610" s="128"/>
      <c r="AM4610" s="21" t="s">
        <v>15341</v>
      </c>
      <c r="AN4610" s="133"/>
      <c r="AO4610" s="134"/>
      <c r="AP4610" s="135"/>
      <c r="AQ4610" s="136"/>
      <c r="AR4610" s="118"/>
      <c r="AS4610" s="119"/>
      <c r="AT4610" s="118">
        <f t="shared" ref="AT4610" si="5185">AR4610*0.1</f>
        <v>0</v>
      </c>
      <c r="AU4610" s="119"/>
      <c r="AV4610" s="118"/>
      <c r="AW4610" s="119"/>
      <c r="AX4610" s="118">
        <f t="shared" ref="AX4610" si="5186">SUM(AR4610:AW4610)</f>
        <v>0</v>
      </c>
      <c r="AY4610" s="119"/>
      <c r="AZ4610" s="137"/>
    </row>
    <row r="4611" spans="1:52" ht="17.100000000000001" customHeight="1" thickBot="1">
      <c r="A4611" s="110"/>
      <c r="B4611" s="27" t="s">
        <v>1555</v>
      </c>
      <c r="C4611" s="27">
        <v>83018</v>
      </c>
      <c r="D4611" s="14" t="s">
        <v>275</v>
      </c>
      <c r="E4611" s="112"/>
      <c r="F4611" s="139" t="s">
        <v>13862</v>
      </c>
      <c r="G4611" s="140"/>
      <c r="H4611" s="141"/>
      <c r="I4611" s="26">
        <v>60194</v>
      </c>
      <c r="J4611" s="117"/>
      <c r="K4611" s="120"/>
      <c r="L4611" s="121"/>
      <c r="M4611" s="120"/>
      <c r="N4611" s="121"/>
      <c r="O4611" s="120"/>
      <c r="P4611" s="121"/>
      <c r="Q4611" s="120"/>
      <c r="R4611" s="121"/>
      <c r="S4611" s="120"/>
      <c r="T4611" s="121"/>
      <c r="U4611" s="120"/>
      <c r="V4611" s="123"/>
      <c r="W4611" s="125"/>
      <c r="X4611" s="142" t="s">
        <v>2321</v>
      </c>
      <c r="Y4611" s="143"/>
      <c r="Z4611" s="143"/>
      <c r="AA4611" s="143"/>
      <c r="AB4611" s="144"/>
      <c r="AC4611" s="16" t="s">
        <v>21</v>
      </c>
      <c r="AD4611" s="17" t="s">
        <v>14134</v>
      </c>
      <c r="AE4611" s="145" t="s">
        <v>1742</v>
      </c>
      <c r="AF4611" s="146"/>
      <c r="AG4611" s="146"/>
      <c r="AH4611" s="146"/>
      <c r="AI4611" s="147"/>
      <c r="AJ4611" s="148"/>
      <c r="AK4611" s="143"/>
      <c r="AL4611" s="144"/>
      <c r="AM4611" s="22"/>
      <c r="AN4611" s="149"/>
      <c r="AO4611" s="144"/>
      <c r="AP4611" s="148"/>
      <c r="AQ4611" s="144"/>
      <c r="AR4611" s="120"/>
      <c r="AS4611" s="121"/>
      <c r="AT4611" s="120"/>
      <c r="AU4611" s="121"/>
      <c r="AV4611" s="120"/>
      <c r="AW4611" s="121"/>
      <c r="AX4611" s="120"/>
      <c r="AY4611" s="121"/>
      <c r="AZ4611" s="138"/>
    </row>
    <row r="4612" spans="1:52" ht="17.100000000000001" customHeight="1" thickTop="1">
      <c r="A4612" s="109" t="s">
        <v>13905</v>
      </c>
      <c r="B4612" s="28">
        <v>46011</v>
      </c>
      <c r="C4612" s="25">
        <v>1281</v>
      </c>
      <c r="D4612" s="13" t="s">
        <v>1929</v>
      </c>
      <c r="E4612" s="111"/>
      <c r="F4612" s="113" t="s">
        <v>13808</v>
      </c>
      <c r="G4612" s="114"/>
      <c r="H4612" s="115"/>
      <c r="I4612" s="24" t="s">
        <v>13810</v>
      </c>
      <c r="J4612" s="116">
        <v>4.5</v>
      </c>
      <c r="K4612" s="118">
        <v>321000</v>
      </c>
      <c r="L4612" s="119"/>
      <c r="M4612" s="118">
        <f t="shared" ref="M4612" si="5187">K4612*0.1</f>
        <v>32100</v>
      </c>
      <c r="N4612" s="119"/>
      <c r="O4612" s="118">
        <f>7300+730</f>
        <v>8030</v>
      </c>
      <c r="P4612" s="119"/>
      <c r="Q4612" s="118">
        <v>14520</v>
      </c>
      <c r="R4612" s="119"/>
      <c r="S4612" s="118">
        <v>16500</v>
      </c>
      <c r="T4612" s="119"/>
      <c r="U4612" s="118">
        <f t="shared" ref="U4612" si="5188">SUM(K4612:T4613)</f>
        <v>392150</v>
      </c>
      <c r="V4612" s="122"/>
      <c r="W4612" s="124"/>
      <c r="X4612" s="126" t="s">
        <v>13811</v>
      </c>
      <c r="Y4612" s="127"/>
      <c r="Z4612" s="127"/>
      <c r="AA4612" s="127"/>
      <c r="AB4612" s="128"/>
      <c r="AC4612" s="15" t="s">
        <v>20</v>
      </c>
      <c r="AD4612" s="129" t="s">
        <v>1633</v>
      </c>
      <c r="AE4612" s="130"/>
      <c r="AF4612" s="130"/>
      <c r="AG4612" s="130"/>
      <c r="AH4612" s="130"/>
      <c r="AI4612" s="131"/>
      <c r="AJ4612" s="132"/>
      <c r="AK4612" s="127"/>
      <c r="AL4612" s="128"/>
      <c r="AM4612" s="21"/>
      <c r="AN4612" s="133">
        <v>46030</v>
      </c>
      <c r="AO4612" s="134"/>
      <c r="AP4612" s="135">
        <v>1313</v>
      </c>
      <c r="AQ4612" s="136"/>
      <c r="AR4612" s="118">
        <v>460000</v>
      </c>
      <c r="AS4612" s="119"/>
      <c r="AT4612" s="118">
        <f t="shared" ref="AT4612" si="5189">AR4612*0.1</f>
        <v>46000</v>
      </c>
      <c r="AU4612" s="119"/>
      <c r="AV4612" s="118">
        <v>14520</v>
      </c>
      <c r="AW4612" s="119"/>
      <c r="AX4612" s="118">
        <f t="shared" ref="AX4612" si="5190">SUM(AR4612:AW4612)</f>
        <v>520520</v>
      </c>
      <c r="AY4612" s="119"/>
      <c r="AZ4612" s="137">
        <v>46031</v>
      </c>
    </row>
    <row r="4613" spans="1:52" ht="17.100000000000001" customHeight="1" thickBot="1">
      <c r="A4613" s="110"/>
      <c r="B4613" s="27" t="s">
        <v>2511</v>
      </c>
      <c r="C4613" s="27">
        <v>53075</v>
      </c>
      <c r="D4613" s="14" t="s">
        <v>1576</v>
      </c>
      <c r="E4613" s="112"/>
      <c r="F4613" s="139" t="s">
        <v>13809</v>
      </c>
      <c r="G4613" s="140"/>
      <c r="H4613" s="141"/>
      <c r="I4613" s="26">
        <v>49283</v>
      </c>
      <c r="J4613" s="117"/>
      <c r="K4613" s="120"/>
      <c r="L4613" s="121"/>
      <c r="M4613" s="120"/>
      <c r="N4613" s="121"/>
      <c r="O4613" s="120"/>
      <c r="P4613" s="121"/>
      <c r="Q4613" s="120"/>
      <c r="R4613" s="121"/>
      <c r="S4613" s="120"/>
      <c r="T4613" s="121"/>
      <c r="U4613" s="120"/>
      <c r="V4613" s="123"/>
      <c r="W4613" s="125"/>
      <c r="X4613" s="142" t="s">
        <v>1656</v>
      </c>
      <c r="Y4613" s="143"/>
      <c r="Z4613" s="143"/>
      <c r="AA4613" s="143"/>
      <c r="AB4613" s="144"/>
      <c r="AC4613" s="16" t="s">
        <v>21</v>
      </c>
      <c r="AD4613" s="17" t="s">
        <v>2284</v>
      </c>
      <c r="AE4613" s="145" t="s">
        <v>14430</v>
      </c>
      <c r="AF4613" s="146"/>
      <c r="AG4613" s="146"/>
      <c r="AH4613" s="146"/>
      <c r="AI4613" s="147"/>
      <c r="AJ4613" s="148"/>
      <c r="AK4613" s="143"/>
      <c r="AL4613" s="144"/>
      <c r="AM4613" s="22"/>
      <c r="AN4613" s="149" t="s">
        <v>13663</v>
      </c>
      <c r="AO4613" s="144"/>
      <c r="AP4613" s="148">
        <v>98</v>
      </c>
      <c r="AQ4613" s="144"/>
      <c r="AR4613" s="120"/>
      <c r="AS4613" s="121"/>
      <c r="AT4613" s="120"/>
      <c r="AU4613" s="121"/>
      <c r="AV4613" s="120"/>
      <c r="AW4613" s="121"/>
      <c r="AX4613" s="120"/>
      <c r="AY4613" s="121"/>
      <c r="AZ4613" s="138"/>
    </row>
    <row r="4614" spans="1:52" ht="17.100000000000001" customHeight="1" thickTop="1">
      <c r="A4614" s="109" t="s">
        <v>13906</v>
      </c>
      <c r="B4614" s="28">
        <v>46011</v>
      </c>
      <c r="C4614" s="25">
        <v>1281</v>
      </c>
      <c r="D4614" s="13" t="s">
        <v>2359</v>
      </c>
      <c r="E4614" s="111"/>
      <c r="F4614" s="113" t="s">
        <v>13888</v>
      </c>
      <c r="G4614" s="114"/>
      <c r="H4614" s="115"/>
      <c r="I4614" s="24" t="s">
        <v>1559</v>
      </c>
      <c r="J4614" s="116">
        <v>4.5</v>
      </c>
      <c r="K4614" s="118">
        <v>890000</v>
      </c>
      <c r="L4614" s="119"/>
      <c r="M4614" s="118">
        <f t="shared" ref="M4614" si="5191">K4614*0.1</f>
        <v>89000</v>
      </c>
      <c r="N4614" s="119"/>
      <c r="O4614" s="118">
        <v>0</v>
      </c>
      <c r="P4614" s="119"/>
      <c r="Q4614" s="118">
        <v>7510</v>
      </c>
      <c r="R4614" s="119"/>
      <c r="S4614" s="118">
        <v>20900</v>
      </c>
      <c r="T4614" s="119"/>
      <c r="U4614" s="118">
        <f t="shared" ref="U4614" si="5192">SUM(K4614:T4615)</f>
        <v>1007410</v>
      </c>
      <c r="V4614" s="122"/>
      <c r="W4614" s="124"/>
      <c r="X4614" s="126" t="s">
        <v>13890</v>
      </c>
      <c r="Y4614" s="127"/>
      <c r="Z4614" s="127"/>
      <c r="AA4614" s="127"/>
      <c r="AB4614" s="128"/>
      <c r="AC4614" s="15" t="s">
        <v>20</v>
      </c>
      <c r="AD4614" s="129" t="s">
        <v>1732</v>
      </c>
      <c r="AE4614" s="130"/>
      <c r="AF4614" s="130"/>
      <c r="AG4614" s="130"/>
      <c r="AH4614" s="130"/>
      <c r="AI4614" s="131"/>
      <c r="AJ4614" s="132"/>
      <c r="AK4614" s="127"/>
      <c r="AL4614" s="128"/>
      <c r="AM4614" s="21" t="s">
        <v>15046</v>
      </c>
      <c r="AN4614" s="133">
        <v>46029</v>
      </c>
      <c r="AO4614" s="134"/>
      <c r="AP4614" s="135">
        <v>999</v>
      </c>
      <c r="AQ4614" s="136"/>
      <c r="AR4614" s="118">
        <v>1090000</v>
      </c>
      <c r="AS4614" s="119"/>
      <c r="AT4614" s="118">
        <f t="shared" ref="AT4614" si="5193">AR4614*0.1</f>
        <v>109000</v>
      </c>
      <c r="AU4614" s="119"/>
      <c r="AV4614" s="118">
        <v>7510</v>
      </c>
      <c r="AW4614" s="119"/>
      <c r="AX4614" s="118">
        <f t="shared" ref="AX4614" si="5194">SUM(AR4614:AW4614)</f>
        <v>1206510</v>
      </c>
      <c r="AY4614" s="119"/>
      <c r="AZ4614" s="137">
        <v>46037</v>
      </c>
    </row>
    <row r="4615" spans="1:52" ht="17.100000000000001" customHeight="1" thickBot="1">
      <c r="A4615" s="110"/>
      <c r="B4615" s="27" t="s">
        <v>2511</v>
      </c>
      <c r="C4615" s="27">
        <v>60347</v>
      </c>
      <c r="D4615" s="14" t="s">
        <v>275</v>
      </c>
      <c r="E4615" s="112"/>
      <c r="F4615" s="139" t="s">
        <v>13889</v>
      </c>
      <c r="G4615" s="140"/>
      <c r="H4615" s="141"/>
      <c r="I4615" s="26">
        <v>3609</v>
      </c>
      <c r="J4615" s="117"/>
      <c r="K4615" s="120"/>
      <c r="L4615" s="121"/>
      <c r="M4615" s="120"/>
      <c r="N4615" s="121"/>
      <c r="O4615" s="120"/>
      <c r="P4615" s="121"/>
      <c r="Q4615" s="120"/>
      <c r="R4615" s="121"/>
      <c r="S4615" s="120"/>
      <c r="T4615" s="121"/>
      <c r="U4615" s="120"/>
      <c r="V4615" s="123"/>
      <c r="W4615" s="125"/>
      <c r="X4615" s="142" t="s">
        <v>14431</v>
      </c>
      <c r="Y4615" s="143"/>
      <c r="Z4615" s="143"/>
      <c r="AA4615" s="143"/>
      <c r="AB4615" s="144"/>
      <c r="AC4615" s="16" t="s">
        <v>21</v>
      </c>
      <c r="AD4615" s="17" t="s">
        <v>2284</v>
      </c>
      <c r="AE4615" s="145" t="s">
        <v>1732</v>
      </c>
      <c r="AF4615" s="146"/>
      <c r="AG4615" s="146"/>
      <c r="AH4615" s="146"/>
      <c r="AI4615" s="147"/>
      <c r="AJ4615" s="148"/>
      <c r="AK4615" s="143"/>
      <c r="AL4615" s="144"/>
      <c r="AM4615" s="22"/>
      <c r="AN4615" s="149" t="s">
        <v>2794</v>
      </c>
      <c r="AO4615" s="144"/>
      <c r="AP4615" s="148">
        <v>2025</v>
      </c>
      <c r="AQ4615" s="144"/>
      <c r="AR4615" s="120"/>
      <c r="AS4615" s="121"/>
      <c r="AT4615" s="120"/>
      <c r="AU4615" s="121"/>
      <c r="AV4615" s="120"/>
      <c r="AW4615" s="121"/>
      <c r="AX4615" s="120"/>
      <c r="AY4615" s="121"/>
      <c r="AZ4615" s="138"/>
    </row>
    <row r="4616" spans="1:52" ht="17.100000000000001" customHeight="1" thickTop="1">
      <c r="A4616" s="109" t="s">
        <v>13907</v>
      </c>
      <c r="B4616" s="28">
        <v>46011</v>
      </c>
      <c r="C4616" s="25">
        <v>1281</v>
      </c>
      <c r="D4616" s="13" t="s">
        <v>1586</v>
      </c>
      <c r="E4616" s="111"/>
      <c r="F4616" s="113" t="s">
        <v>3323</v>
      </c>
      <c r="G4616" s="114"/>
      <c r="H4616" s="115"/>
      <c r="I4616" s="24" t="s">
        <v>3538</v>
      </c>
      <c r="J4616" s="116">
        <v>4</v>
      </c>
      <c r="K4616" s="118">
        <v>990000</v>
      </c>
      <c r="L4616" s="119"/>
      <c r="M4616" s="118">
        <f t="shared" ref="M4616" si="5195">K4616*0.1</f>
        <v>99000</v>
      </c>
      <c r="N4616" s="119"/>
      <c r="O4616" s="118">
        <v>0</v>
      </c>
      <c r="P4616" s="119"/>
      <c r="Q4616" s="118">
        <v>8110</v>
      </c>
      <c r="R4616" s="119"/>
      <c r="S4616" s="118">
        <v>12100</v>
      </c>
      <c r="T4616" s="119"/>
      <c r="U4616" s="118">
        <f t="shared" ref="U4616" si="5196">SUM(K4616:T4617)</f>
        <v>1109210</v>
      </c>
      <c r="V4616" s="122"/>
      <c r="W4616" s="124"/>
      <c r="X4616" s="126" t="s">
        <v>13892</v>
      </c>
      <c r="Y4616" s="127"/>
      <c r="Z4616" s="127"/>
      <c r="AA4616" s="127"/>
      <c r="AB4616" s="128"/>
      <c r="AC4616" s="15" t="s">
        <v>20</v>
      </c>
      <c r="AD4616" s="129" t="s">
        <v>1633</v>
      </c>
      <c r="AE4616" s="130"/>
      <c r="AF4616" s="130"/>
      <c r="AG4616" s="130"/>
      <c r="AH4616" s="130"/>
      <c r="AI4616" s="131"/>
      <c r="AJ4616" s="132"/>
      <c r="AK4616" s="127"/>
      <c r="AL4616" s="128"/>
      <c r="AM4616" s="21"/>
      <c r="AN4616" s="133">
        <v>46043</v>
      </c>
      <c r="AO4616" s="134"/>
      <c r="AP4616" s="135">
        <v>1001</v>
      </c>
      <c r="AQ4616" s="136"/>
      <c r="AR4616" s="118">
        <v>1070000</v>
      </c>
      <c r="AS4616" s="119"/>
      <c r="AT4616" s="118">
        <f t="shared" ref="AT4616" si="5197">AR4616*0.1</f>
        <v>107000</v>
      </c>
      <c r="AU4616" s="119"/>
      <c r="AV4616" s="118">
        <v>8110</v>
      </c>
      <c r="AW4616" s="119"/>
      <c r="AX4616" s="118">
        <f t="shared" ref="AX4616" si="5198">SUM(AR4616:AW4616)</f>
        <v>1185110</v>
      </c>
      <c r="AY4616" s="119"/>
      <c r="AZ4616" s="137">
        <v>46048</v>
      </c>
    </row>
    <row r="4617" spans="1:52" ht="17.100000000000001" customHeight="1" thickBot="1">
      <c r="A4617" s="110"/>
      <c r="B4617" s="27" t="s">
        <v>2511</v>
      </c>
      <c r="C4617" s="27">
        <v>65026</v>
      </c>
      <c r="D4617" s="14" t="s">
        <v>2601</v>
      </c>
      <c r="E4617" s="112"/>
      <c r="F4617" s="139" t="s">
        <v>13891</v>
      </c>
      <c r="G4617" s="140"/>
      <c r="H4617" s="141"/>
      <c r="I4617" s="26">
        <v>34454</v>
      </c>
      <c r="J4617" s="117"/>
      <c r="K4617" s="120"/>
      <c r="L4617" s="121"/>
      <c r="M4617" s="120"/>
      <c r="N4617" s="121"/>
      <c r="O4617" s="120"/>
      <c r="P4617" s="121"/>
      <c r="Q4617" s="120"/>
      <c r="R4617" s="121"/>
      <c r="S4617" s="120"/>
      <c r="T4617" s="121"/>
      <c r="U4617" s="120"/>
      <c r="V4617" s="123"/>
      <c r="W4617" s="125"/>
      <c r="X4617" s="142" t="s">
        <v>2321</v>
      </c>
      <c r="Y4617" s="143"/>
      <c r="Z4617" s="143"/>
      <c r="AA4617" s="143"/>
      <c r="AB4617" s="144"/>
      <c r="AC4617" s="16" t="s">
        <v>21</v>
      </c>
      <c r="AD4617" s="17" t="s">
        <v>2284</v>
      </c>
      <c r="AE4617" s="145" t="s">
        <v>5140</v>
      </c>
      <c r="AF4617" s="146"/>
      <c r="AG4617" s="146"/>
      <c r="AH4617" s="146"/>
      <c r="AI4617" s="147"/>
      <c r="AJ4617" s="148"/>
      <c r="AK4617" s="143"/>
      <c r="AL4617" s="144"/>
      <c r="AM4617" s="22"/>
      <c r="AN4617" s="149" t="s">
        <v>2794</v>
      </c>
      <c r="AO4617" s="144"/>
      <c r="AP4617" s="148">
        <v>2018</v>
      </c>
      <c r="AQ4617" s="144"/>
      <c r="AR4617" s="120"/>
      <c r="AS4617" s="121"/>
      <c r="AT4617" s="120"/>
      <c r="AU4617" s="121"/>
      <c r="AV4617" s="120"/>
      <c r="AW4617" s="121"/>
      <c r="AX4617" s="120"/>
      <c r="AY4617" s="121"/>
      <c r="AZ4617" s="138"/>
    </row>
    <row r="4618" spans="1:52" ht="17.100000000000001" customHeight="1" thickTop="1">
      <c r="A4618" s="109" t="s">
        <v>13908</v>
      </c>
      <c r="B4618" s="28">
        <v>46011</v>
      </c>
      <c r="C4618" s="25">
        <v>1281</v>
      </c>
      <c r="D4618" s="13" t="s">
        <v>1563</v>
      </c>
      <c r="E4618" s="111"/>
      <c r="F4618" s="113" t="s">
        <v>13865</v>
      </c>
      <c r="G4618" s="114"/>
      <c r="H4618" s="115"/>
      <c r="I4618" s="24" t="s">
        <v>13867</v>
      </c>
      <c r="J4618" s="116">
        <v>4</v>
      </c>
      <c r="K4618" s="118">
        <v>570000</v>
      </c>
      <c r="L4618" s="119"/>
      <c r="M4618" s="118">
        <f t="shared" ref="M4618" si="5199">K4618*0.1</f>
        <v>57000</v>
      </c>
      <c r="N4618" s="119"/>
      <c r="O4618" s="118">
        <v>0</v>
      </c>
      <c r="P4618" s="119"/>
      <c r="Q4618" s="118">
        <v>5990</v>
      </c>
      <c r="R4618" s="119"/>
      <c r="S4618" s="118">
        <v>12100</v>
      </c>
      <c r="T4618" s="119"/>
      <c r="U4618" s="118">
        <f t="shared" ref="U4618" si="5200">SUM(K4618:T4619)</f>
        <v>645090</v>
      </c>
      <c r="V4618" s="122"/>
      <c r="W4618" s="124"/>
      <c r="X4618" s="126" t="s">
        <v>13868</v>
      </c>
      <c r="Y4618" s="127"/>
      <c r="Z4618" s="127"/>
      <c r="AA4618" s="127"/>
      <c r="AB4618" s="128"/>
      <c r="AC4618" s="15" t="s">
        <v>20</v>
      </c>
      <c r="AD4618" s="129" t="s">
        <v>186</v>
      </c>
      <c r="AE4618" s="130"/>
      <c r="AF4618" s="130"/>
      <c r="AG4618" s="130"/>
      <c r="AH4618" s="130"/>
      <c r="AI4618" s="131"/>
      <c r="AJ4618" s="132"/>
      <c r="AK4618" s="127"/>
      <c r="AL4618" s="128"/>
      <c r="AM4618" s="21" t="s">
        <v>15047</v>
      </c>
      <c r="AN4618" s="133">
        <v>46095</v>
      </c>
      <c r="AO4618" s="134"/>
      <c r="AP4618" s="135">
        <v>1292</v>
      </c>
      <c r="AQ4618" s="136"/>
      <c r="AR4618" s="118">
        <v>610000</v>
      </c>
      <c r="AS4618" s="119"/>
      <c r="AT4618" s="118">
        <f t="shared" ref="AT4618" si="5201">AR4618*0.1</f>
        <v>61000</v>
      </c>
      <c r="AU4618" s="119"/>
      <c r="AV4618" s="118">
        <v>5990</v>
      </c>
      <c r="AW4618" s="119"/>
      <c r="AX4618" s="118">
        <f t="shared" ref="AX4618" si="5202">SUM(AR4618:AW4618)</f>
        <v>676990</v>
      </c>
      <c r="AY4618" s="119"/>
      <c r="AZ4618" s="137">
        <v>46098</v>
      </c>
    </row>
    <row r="4619" spans="1:52" ht="16.5" customHeight="1" thickBot="1">
      <c r="A4619" s="110"/>
      <c r="B4619" s="27" t="s">
        <v>2511</v>
      </c>
      <c r="C4619" s="27">
        <v>65117</v>
      </c>
      <c r="D4619" s="14" t="s">
        <v>1720</v>
      </c>
      <c r="E4619" s="112"/>
      <c r="F4619" s="139" t="s">
        <v>13866</v>
      </c>
      <c r="G4619" s="140"/>
      <c r="H4619" s="141"/>
      <c r="I4619" s="26">
        <v>68966</v>
      </c>
      <c r="J4619" s="117"/>
      <c r="K4619" s="120"/>
      <c r="L4619" s="121"/>
      <c r="M4619" s="120"/>
      <c r="N4619" s="121"/>
      <c r="O4619" s="120"/>
      <c r="P4619" s="121"/>
      <c r="Q4619" s="120"/>
      <c r="R4619" s="121"/>
      <c r="S4619" s="120"/>
      <c r="T4619" s="121"/>
      <c r="U4619" s="120"/>
      <c r="V4619" s="123"/>
      <c r="W4619" s="125"/>
      <c r="X4619" s="142" t="s">
        <v>14432</v>
      </c>
      <c r="Y4619" s="143"/>
      <c r="Z4619" s="143"/>
      <c r="AA4619" s="143"/>
      <c r="AB4619" s="144"/>
      <c r="AC4619" s="16" t="s">
        <v>21</v>
      </c>
      <c r="AD4619" s="17" t="s">
        <v>2284</v>
      </c>
      <c r="AE4619" s="145" t="s">
        <v>14433</v>
      </c>
      <c r="AF4619" s="146"/>
      <c r="AG4619" s="146"/>
      <c r="AH4619" s="146"/>
      <c r="AI4619" s="147"/>
      <c r="AJ4619" s="148"/>
      <c r="AK4619" s="143"/>
      <c r="AL4619" s="144"/>
      <c r="AM4619" s="22"/>
      <c r="AN4619" s="149" t="s">
        <v>2511</v>
      </c>
      <c r="AO4619" s="144"/>
      <c r="AP4619" s="148">
        <v>60073</v>
      </c>
      <c r="AQ4619" s="144"/>
      <c r="AR4619" s="120"/>
      <c r="AS4619" s="121"/>
      <c r="AT4619" s="120"/>
      <c r="AU4619" s="121"/>
      <c r="AV4619" s="120"/>
      <c r="AW4619" s="121"/>
      <c r="AX4619" s="120"/>
      <c r="AY4619" s="121"/>
      <c r="AZ4619" s="138"/>
    </row>
    <row r="4620" spans="1:52" ht="17.100000000000001" customHeight="1" thickTop="1">
      <c r="A4620" s="109" t="s">
        <v>13909</v>
      </c>
      <c r="B4620" s="28">
        <v>46011</v>
      </c>
      <c r="C4620" s="25">
        <v>1281</v>
      </c>
      <c r="D4620" s="13" t="s">
        <v>2298</v>
      </c>
      <c r="E4620" s="111"/>
      <c r="F4620" s="113" t="s">
        <v>2598</v>
      </c>
      <c r="G4620" s="114"/>
      <c r="H4620" s="115"/>
      <c r="I4620" s="24"/>
      <c r="J4620" s="116">
        <v>4.5</v>
      </c>
      <c r="K4620" s="118">
        <v>1030000</v>
      </c>
      <c r="L4620" s="119"/>
      <c r="M4620" s="118">
        <f t="shared" ref="M4620" si="5203">K4620*0.1</f>
        <v>103000</v>
      </c>
      <c r="N4620" s="119"/>
      <c r="O4620" s="118">
        <v>0</v>
      </c>
      <c r="P4620" s="119"/>
      <c r="Q4620" s="118">
        <v>8390</v>
      </c>
      <c r="R4620" s="119"/>
      <c r="S4620" s="118">
        <v>12100</v>
      </c>
      <c r="T4620" s="119"/>
      <c r="U4620" s="118">
        <f t="shared" ref="U4620" si="5204">SUM(K4620:T4621)</f>
        <v>1153490</v>
      </c>
      <c r="V4620" s="122"/>
      <c r="W4620" s="124"/>
      <c r="X4620" s="126" t="s">
        <v>14434</v>
      </c>
      <c r="Y4620" s="127"/>
      <c r="Z4620" s="127"/>
      <c r="AA4620" s="127"/>
      <c r="AB4620" s="128"/>
      <c r="AC4620" s="15" t="s">
        <v>20</v>
      </c>
      <c r="AD4620" s="129" t="s">
        <v>1633</v>
      </c>
      <c r="AE4620" s="130"/>
      <c r="AF4620" s="130"/>
      <c r="AG4620" s="130"/>
      <c r="AH4620" s="130"/>
      <c r="AI4620" s="131"/>
      <c r="AJ4620" s="132"/>
      <c r="AK4620" s="127"/>
      <c r="AL4620" s="128"/>
      <c r="AM4620" s="21"/>
      <c r="AN4620" s="133">
        <v>46057</v>
      </c>
      <c r="AO4620" s="134"/>
      <c r="AP4620" s="135">
        <v>1003</v>
      </c>
      <c r="AQ4620" s="136"/>
      <c r="AR4620" s="118">
        <v>1110000</v>
      </c>
      <c r="AS4620" s="119"/>
      <c r="AT4620" s="118">
        <f t="shared" ref="AT4620" si="5205">AR4620*0.1</f>
        <v>111000</v>
      </c>
      <c r="AU4620" s="119"/>
      <c r="AV4620" s="118">
        <v>8390</v>
      </c>
      <c r="AW4620" s="119"/>
      <c r="AX4620" s="118">
        <f t="shared" ref="AX4620" si="5206">SUM(AR4620:AW4620)</f>
        <v>1229390</v>
      </c>
      <c r="AY4620" s="119"/>
      <c r="AZ4620" s="137">
        <v>46062</v>
      </c>
    </row>
    <row r="4621" spans="1:52" ht="17.100000000000001" customHeight="1" thickBot="1">
      <c r="A4621" s="110"/>
      <c r="B4621" s="27" t="s">
        <v>2511</v>
      </c>
      <c r="C4621" s="27">
        <v>65125</v>
      </c>
      <c r="D4621" s="14" t="s">
        <v>2601</v>
      </c>
      <c r="E4621" s="112"/>
      <c r="F4621" s="139" t="s">
        <v>13869</v>
      </c>
      <c r="G4621" s="140"/>
      <c r="H4621" s="141"/>
      <c r="I4621" s="26">
        <v>60720</v>
      </c>
      <c r="J4621" s="117"/>
      <c r="K4621" s="120"/>
      <c r="L4621" s="121"/>
      <c r="M4621" s="120"/>
      <c r="N4621" s="121"/>
      <c r="O4621" s="120"/>
      <c r="P4621" s="121"/>
      <c r="Q4621" s="120"/>
      <c r="R4621" s="121"/>
      <c r="S4621" s="120"/>
      <c r="T4621" s="121"/>
      <c r="U4621" s="120"/>
      <c r="V4621" s="123"/>
      <c r="W4621" s="125"/>
      <c r="X4621" s="142" t="s">
        <v>6879</v>
      </c>
      <c r="Y4621" s="143"/>
      <c r="Z4621" s="143"/>
      <c r="AA4621" s="143"/>
      <c r="AB4621" s="144"/>
      <c r="AC4621" s="16" t="s">
        <v>21</v>
      </c>
      <c r="AD4621" s="17" t="s">
        <v>2284</v>
      </c>
      <c r="AE4621" s="145" t="s">
        <v>4106</v>
      </c>
      <c r="AF4621" s="146"/>
      <c r="AG4621" s="146"/>
      <c r="AH4621" s="146"/>
      <c r="AI4621" s="147"/>
      <c r="AJ4621" s="148"/>
      <c r="AK4621" s="143"/>
      <c r="AL4621" s="144"/>
      <c r="AM4621" s="22"/>
      <c r="AN4621" s="149" t="s">
        <v>2794</v>
      </c>
      <c r="AO4621" s="144"/>
      <c r="AP4621" s="148">
        <v>2011</v>
      </c>
      <c r="AQ4621" s="144"/>
      <c r="AR4621" s="120"/>
      <c r="AS4621" s="121"/>
      <c r="AT4621" s="120"/>
      <c r="AU4621" s="121"/>
      <c r="AV4621" s="120"/>
      <c r="AW4621" s="121"/>
      <c r="AX4621" s="120"/>
      <c r="AY4621" s="121"/>
      <c r="AZ4621" s="138"/>
    </row>
    <row r="4622" spans="1:52" ht="17.100000000000001" customHeight="1" thickTop="1">
      <c r="A4622" s="151" t="s">
        <v>13910</v>
      </c>
      <c r="B4622" s="28">
        <v>46011</v>
      </c>
      <c r="C4622" s="25">
        <v>1281</v>
      </c>
      <c r="D4622" s="13" t="s">
        <v>2477</v>
      </c>
      <c r="E4622" s="111"/>
      <c r="F4622" s="113" t="s">
        <v>6960</v>
      </c>
      <c r="G4622" s="114"/>
      <c r="H4622" s="115"/>
      <c r="I4622" s="24" t="s">
        <v>2584</v>
      </c>
      <c r="J4622" s="116">
        <v>5</v>
      </c>
      <c r="K4622" s="118">
        <v>1635000</v>
      </c>
      <c r="L4622" s="119"/>
      <c r="M4622" s="118">
        <f t="shared" ref="M4622" si="5207">K4622*0.1</f>
        <v>163500</v>
      </c>
      <c r="N4622" s="119"/>
      <c r="O4622" s="118">
        <v>0</v>
      </c>
      <c r="P4622" s="119"/>
      <c r="Q4622" s="118">
        <v>9130</v>
      </c>
      <c r="R4622" s="119"/>
      <c r="S4622" s="118">
        <v>12100</v>
      </c>
      <c r="T4622" s="119"/>
      <c r="U4622" s="118">
        <f t="shared" ref="U4622" si="5208">SUM(K4622:T4623)</f>
        <v>1819730</v>
      </c>
      <c r="V4622" s="122"/>
      <c r="W4622" s="124"/>
      <c r="X4622" s="126" t="s">
        <v>13871</v>
      </c>
      <c r="Y4622" s="127"/>
      <c r="Z4622" s="127"/>
      <c r="AA4622" s="127"/>
      <c r="AB4622" s="128"/>
      <c r="AC4622" s="15" t="s">
        <v>20</v>
      </c>
      <c r="AD4622" s="129" t="s">
        <v>23794</v>
      </c>
      <c r="AE4622" s="130"/>
      <c r="AF4622" s="130"/>
      <c r="AG4622" s="130"/>
      <c r="AH4622" s="130"/>
      <c r="AI4622" s="131"/>
      <c r="AJ4622" s="132" t="s">
        <v>23771</v>
      </c>
      <c r="AK4622" s="127"/>
      <c r="AL4622" s="128"/>
      <c r="AM4622" s="21" t="s">
        <v>15349</v>
      </c>
      <c r="AN4622" s="133"/>
      <c r="AO4622" s="134"/>
      <c r="AP4622" s="135"/>
      <c r="AQ4622" s="136"/>
      <c r="AR4622" s="118"/>
      <c r="AS4622" s="119"/>
      <c r="AT4622" s="118">
        <f t="shared" ref="AT4622" si="5209">AR4622*0.1</f>
        <v>0</v>
      </c>
      <c r="AU4622" s="119"/>
      <c r="AV4622" s="118"/>
      <c r="AW4622" s="119"/>
      <c r="AX4622" s="118">
        <f t="shared" ref="AX4622" si="5210">SUM(AR4622:AW4622)</f>
        <v>0</v>
      </c>
      <c r="AY4622" s="119"/>
      <c r="AZ4622" s="137"/>
    </row>
    <row r="4623" spans="1:52" ht="17.100000000000001" customHeight="1" thickBot="1">
      <c r="A4623" s="152"/>
      <c r="B4623" s="27" t="s">
        <v>2511</v>
      </c>
      <c r="C4623" s="27">
        <v>65272</v>
      </c>
      <c r="D4623" s="14" t="s">
        <v>1576</v>
      </c>
      <c r="E4623" s="112"/>
      <c r="F4623" s="139" t="s">
        <v>13870</v>
      </c>
      <c r="G4623" s="140"/>
      <c r="H4623" s="141"/>
      <c r="I4623" s="26">
        <v>2715</v>
      </c>
      <c r="J4623" s="117"/>
      <c r="K4623" s="120"/>
      <c r="L4623" s="121"/>
      <c r="M4623" s="120"/>
      <c r="N4623" s="121"/>
      <c r="O4623" s="120"/>
      <c r="P4623" s="121"/>
      <c r="Q4623" s="120"/>
      <c r="R4623" s="121"/>
      <c r="S4623" s="120"/>
      <c r="T4623" s="121"/>
      <c r="U4623" s="120"/>
      <c r="V4623" s="123"/>
      <c r="W4623" s="125"/>
      <c r="X4623" s="142" t="s">
        <v>14435</v>
      </c>
      <c r="Y4623" s="143"/>
      <c r="Z4623" s="143"/>
      <c r="AA4623" s="143"/>
      <c r="AB4623" s="144"/>
      <c r="AC4623" s="16" t="s">
        <v>21</v>
      </c>
      <c r="AD4623" s="17" t="s">
        <v>2284</v>
      </c>
      <c r="AE4623" s="145" t="s">
        <v>9186</v>
      </c>
      <c r="AF4623" s="146"/>
      <c r="AG4623" s="146"/>
      <c r="AH4623" s="146"/>
      <c r="AI4623" s="147"/>
      <c r="AJ4623" s="148" t="s">
        <v>25296</v>
      </c>
      <c r="AK4623" s="143"/>
      <c r="AL4623" s="144"/>
      <c r="AM4623" s="22"/>
      <c r="AN4623" s="149"/>
      <c r="AO4623" s="144"/>
      <c r="AP4623" s="148"/>
      <c r="AQ4623" s="144"/>
      <c r="AR4623" s="120"/>
      <c r="AS4623" s="121"/>
      <c r="AT4623" s="120"/>
      <c r="AU4623" s="121"/>
      <c r="AV4623" s="120"/>
      <c r="AW4623" s="121"/>
      <c r="AX4623" s="120"/>
      <c r="AY4623" s="121"/>
      <c r="AZ4623" s="138"/>
    </row>
    <row r="4624" spans="1:52" ht="17.100000000000001" customHeight="1" thickTop="1">
      <c r="A4624" s="109" t="s">
        <v>13911</v>
      </c>
      <c r="B4624" s="28">
        <v>46011</v>
      </c>
      <c r="C4624" s="25">
        <v>1281</v>
      </c>
      <c r="D4624" s="13" t="s">
        <v>2465</v>
      </c>
      <c r="E4624" s="111"/>
      <c r="F4624" s="113" t="s">
        <v>4585</v>
      </c>
      <c r="G4624" s="114"/>
      <c r="H4624" s="115"/>
      <c r="I4624" s="24"/>
      <c r="J4624" s="116">
        <v>4.5</v>
      </c>
      <c r="K4624" s="118">
        <v>1210000</v>
      </c>
      <c r="L4624" s="119"/>
      <c r="M4624" s="118">
        <f t="shared" ref="M4624" si="5211">K4624*0.1</f>
        <v>121000</v>
      </c>
      <c r="N4624" s="119"/>
      <c r="O4624" s="118">
        <v>0</v>
      </c>
      <c r="P4624" s="119"/>
      <c r="Q4624" s="118">
        <v>9010</v>
      </c>
      <c r="R4624" s="119"/>
      <c r="S4624" s="118">
        <v>12100</v>
      </c>
      <c r="T4624" s="119"/>
      <c r="U4624" s="118">
        <f t="shared" ref="U4624" si="5212">SUM(K4624:T4625)</f>
        <v>1352110</v>
      </c>
      <c r="V4624" s="122"/>
      <c r="W4624" s="124"/>
      <c r="X4624" s="126" t="s">
        <v>14436</v>
      </c>
      <c r="Y4624" s="127"/>
      <c r="Z4624" s="127"/>
      <c r="AA4624" s="127"/>
      <c r="AB4624" s="128"/>
      <c r="AC4624" s="15" t="s">
        <v>20</v>
      </c>
      <c r="AD4624" s="129"/>
      <c r="AE4624" s="130"/>
      <c r="AF4624" s="130"/>
      <c r="AG4624" s="130"/>
      <c r="AH4624" s="130"/>
      <c r="AI4624" s="131"/>
      <c r="AJ4624" s="132"/>
      <c r="AK4624" s="127"/>
      <c r="AL4624" s="128"/>
      <c r="AM4624" s="21"/>
      <c r="AN4624" s="133">
        <v>46383</v>
      </c>
      <c r="AO4624" s="134"/>
      <c r="AP4624" s="135">
        <v>1282</v>
      </c>
      <c r="AQ4624" s="136"/>
      <c r="AR4624" s="118">
        <v>1295000</v>
      </c>
      <c r="AS4624" s="119"/>
      <c r="AT4624" s="118">
        <f t="shared" ref="AT4624" si="5213">AR4624*0.1</f>
        <v>129500</v>
      </c>
      <c r="AU4624" s="119"/>
      <c r="AV4624" s="118">
        <v>9010</v>
      </c>
      <c r="AW4624" s="119"/>
      <c r="AX4624" s="118">
        <f t="shared" ref="AX4624" si="5214">SUM(AR4624:AW4624)</f>
        <v>1433510</v>
      </c>
      <c r="AY4624" s="119"/>
      <c r="AZ4624" s="137">
        <v>46036</v>
      </c>
    </row>
    <row r="4625" spans="1:52" ht="17.100000000000001" customHeight="1" thickBot="1">
      <c r="A4625" s="110"/>
      <c r="B4625" s="27" t="s">
        <v>2511</v>
      </c>
      <c r="C4625" s="27">
        <v>65287</v>
      </c>
      <c r="D4625" s="14" t="s">
        <v>275</v>
      </c>
      <c r="E4625" s="112"/>
      <c r="F4625" s="139" t="s">
        <v>13872</v>
      </c>
      <c r="G4625" s="140"/>
      <c r="H4625" s="141"/>
      <c r="I4625" s="26">
        <v>48115</v>
      </c>
      <c r="J4625" s="117"/>
      <c r="K4625" s="120"/>
      <c r="L4625" s="121"/>
      <c r="M4625" s="120"/>
      <c r="N4625" s="121"/>
      <c r="O4625" s="120"/>
      <c r="P4625" s="121"/>
      <c r="Q4625" s="120"/>
      <c r="R4625" s="121"/>
      <c r="S4625" s="120"/>
      <c r="T4625" s="121"/>
      <c r="U4625" s="120"/>
      <c r="V4625" s="123"/>
      <c r="W4625" s="125"/>
      <c r="X4625" s="142" t="s">
        <v>3410</v>
      </c>
      <c r="Y4625" s="143"/>
      <c r="Z4625" s="143"/>
      <c r="AA4625" s="143"/>
      <c r="AB4625" s="144"/>
      <c r="AC4625" s="16" t="s">
        <v>21</v>
      </c>
      <c r="AD4625" s="17" t="s">
        <v>2284</v>
      </c>
      <c r="AE4625" s="145" t="s">
        <v>6911</v>
      </c>
      <c r="AF4625" s="146"/>
      <c r="AG4625" s="146"/>
      <c r="AH4625" s="146"/>
      <c r="AI4625" s="147"/>
      <c r="AJ4625" s="148"/>
      <c r="AK4625" s="143"/>
      <c r="AL4625" s="144"/>
      <c r="AM4625" s="22"/>
      <c r="AN4625" s="149" t="s">
        <v>6748</v>
      </c>
      <c r="AO4625" s="144"/>
      <c r="AP4625" s="148">
        <v>60005</v>
      </c>
      <c r="AQ4625" s="144"/>
      <c r="AR4625" s="120"/>
      <c r="AS4625" s="121"/>
      <c r="AT4625" s="120"/>
      <c r="AU4625" s="121"/>
      <c r="AV4625" s="120"/>
      <c r="AW4625" s="121"/>
      <c r="AX4625" s="120"/>
      <c r="AY4625" s="121"/>
      <c r="AZ4625" s="138"/>
    </row>
    <row r="4626" spans="1:52" ht="17.100000000000001" customHeight="1" thickTop="1">
      <c r="A4626" s="109" t="s">
        <v>13912</v>
      </c>
      <c r="B4626" s="28">
        <v>46011</v>
      </c>
      <c r="C4626" s="25">
        <v>1281</v>
      </c>
      <c r="D4626" s="13" t="s">
        <v>1902</v>
      </c>
      <c r="E4626" s="111"/>
      <c r="F4626" s="113" t="s">
        <v>13893</v>
      </c>
      <c r="G4626" s="114"/>
      <c r="H4626" s="115"/>
      <c r="I4626" s="24" t="s">
        <v>2152</v>
      </c>
      <c r="J4626" s="116">
        <v>4</v>
      </c>
      <c r="K4626" s="118">
        <v>1085000</v>
      </c>
      <c r="L4626" s="119"/>
      <c r="M4626" s="118">
        <f t="shared" ref="M4626" si="5215">K4626*0.1</f>
        <v>108500</v>
      </c>
      <c r="N4626" s="119"/>
      <c r="O4626" s="118">
        <v>0</v>
      </c>
      <c r="P4626" s="119"/>
      <c r="Q4626" s="118">
        <v>8740</v>
      </c>
      <c r="R4626" s="119"/>
      <c r="S4626" s="118">
        <v>12100</v>
      </c>
      <c r="T4626" s="119"/>
      <c r="U4626" s="118">
        <f t="shared" ref="U4626" si="5216">SUM(K4626:T4627)</f>
        <v>1214340</v>
      </c>
      <c r="V4626" s="122"/>
      <c r="W4626" s="124"/>
      <c r="X4626" s="126" t="s">
        <v>13895</v>
      </c>
      <c r="Y4626" s="127"/>
      <c r="Z4626" s="127"/>
      <c r="AA4626" s="127"/>
      <c r="AB4626" s="128"/>
      <c r="AC4626" s="15" t="s">
        <v>20</v>
      </c>
      <c r="AD4626" s="129" t="s">
        <v>1633</v>
      </c>
      <c r="AE4626" s="130"/>
      <c r="AF4626" s="130"/>
      <c r="AG4626" s="130"/>
      <c r="AH4626" s="130"/>
      <c r="AI4626" s="131"/>
      <c r="AJ4626" s="132"/>
      <c r="AK4626" s="127"/>
      <c r="AL4626" s="128"/>
      <c r="AM4626" s="21" t="s">
        <v>15356</v>
      </c>
      <c r="AN4626" s="133">
        <v>46050</v>
      </c>
      <c r="AO4626" s="134"/>
      <c r="AP4626" s="135">
        <v>1002</v>
      </c>
      <c r="AQ4626" s="136"/>
      <c r="AR4626" s="118">
        <v>1145000</v>
      </c>
      <c r="AS4626" s="119"/>
      <c r="AT4626" s="118">
        <f t="shared" ref="AT4626" si="5217">AR4626*0.1</f>
        <v>114500</v>
      </c>
      <c r="AU4626" s="119"/>
      <c r="AV4626" s="118">
        <v>8740</v>
      </c>
      <c r="AW4626" s="119"/>
      <c r="AX4626" s="118">
        <f t="shared" ref="AX4626" si="5218">SUM(AR4626:AW4626)</f>
        <v>1268240</v>
      </c>
      <c r="AY4626" s="119"/>
      <c r="AZ4626" s="137">
        <v>46055</v>
      </c>
    </row>
    <row r="4627" spans="1:52" ht="17.100000000000001" customHeight="1" thickBot="1">
      <c r="A4627" s="110"/>
      <c r="B4627" s="27" t="s">
        <v>2511</v>
      </c>
      <c r="C4627" s="27">
        <v>65301</v>
      </c>
      <c r="D4627" s="14" t="s">
        <v>904</v>
      </c>
      <c r="E4627" s="112"/>
      <c r="F4627" s="139" t="s">
        <v>13894</v>
      </c>
      <c r="G4627" s="140"/>
      <c r="H4627" s="141"/>
      <c r="I4627" s="26">
        <v>26080</v>
      </c>
      <c r="J4627" s="117"/>
      <c r="K4627" s="120"/>
      <c r="L4627" s="121"/>
      <c r="M4627" s="120"/>
      <c r="N4627" s="121"/>
      <c r="O4627" s="120"/>
      <c r="P4627" s="121"/>
      <c r="Q4627" s="120"/>
      <c r="R4627" s="121"/>
      <c r="S4627" s="120"/>
      <c r="T4627" s="121"/>
      <c r="U4627" s="120"/>
      <c r="V4627" s="123"/>
      <c r="W4627" s="125"/>
      <c r="X4627" s="142" t="s">
        <v>14437</v>
      </c>
      <c r="Y4627" s="143"/>
      <c r="Z4627" s="143"/>
      <c r="AA4627" s="143"/>
      <c r="AB4627" s="144"/>
      <c r="AC4627" s="16" t="s">
        <v>21</v>
      </c>
      <c r="AD4627" s="17" t="s">
        <v>2284</v>
      </c>
      <c r="AE4627" s="145" t="s">
        <v>4453</v>
      </c>
      <c r="AF4627" s="146"/>
      <c r="AG4627" s="146"/>
      <c r="AH4627" s="146"/>
      <c r="AI4627" s="147"/>
      <c r="AJ4627" s="148"/>
      <c r="AK4627" s="143"/>
      <c r="AL4627" s="144"/>
      <c r="AM4627" s="22"/>
      <c r="AN4627" s="149" t="s">
        <v>2794</v>
      </c>
      <c r="AO4627" s="144"/>
      <c r="AP4627" s="148">
        <v>2038</v>
      </c>
      <c r="AQ4627" s="144"/>
      <c r="AR4627" s="120"/>
      <c r="AS4627" s="121"/>
      <c r="AT4627" s="120"/>
      <c r="AU4627" s="121"/>
      <c r="AV4627" s="120"/>
      <c r="AW4627" s="121"/>
      <c r="AX4627" s="120"/>
      <c r="AY4627" s="121"/>
      <c r="AZ4627" s="138"/>
    </row>
    <row r="4628" spans="1:52" ht="17.100000000000001" customHeight="1" thickTop="1">
      <c r="A4628" s="109" t="s">
        <v>13913</v>
      </c>
      <c r="B4628" s="28">
        <v>46011</v>
      </c>
      <c r="C4628" s="25">
        <v>1281</v>
      </c>
      <c r="D4628" s="13" t="s">
        <v>1853</v>
      </c>
      <c r="E4628" s="111"/>
      <c r="F4628" s="113" t="s">
        <v>13896</v>
      </c>
      <c r="G4628" s="114"/>
      <c r="H4628" s="115"/>
      <c r="I4628" s="24"/>
      <c r="J4628" s="116">
        <v>4.5</v>
      </c>
      <c r="K4628" s="118">
        <v>975000</v>
      </c>
      <c r="L4628" s="119"/>
      <c r="M4628" s="118">
        <f t="shared" ref="M4628" si="5219">K4628*0.1</f>
        <v>97500</v>
      </c>
      <c r="N4628" s="119"/>
      <c r="O4628" s="118">
        <v>0</v>
      </c>
      <c r="P4628" s="119"/>
      <c r="Q4628" s="118">
        <v>8790</v>
      </c>
      <c r="R4628" s="119"/>
      <c r="S4628" s="118">
        <v>12100</v>
      </c>
      <c r="T4628" s="119"/>
      <c r="U4628" s="118">
        <f t="shared" ref="U4628" si="5220">SUM(K4628:T4629)</f>
        <v>1093390</v>
      </c>
      <c r="V4628" s="122"/>
      <c r="W4628" s="124"/>
      <c r="X4628" s="126" t="s">
        <v>14438</v>
      </c>
      <c r="Y4628" s="127"/>
      <c r="Z4628" s="127"/>
      <c r="AA4628" s="127"/>
      <c r="AB4628" s="128"/>
      <c r="AC4628" s="15" t="s">
        <v>20</v>
      </c>
      <c r="AD4628" s="129" t="s">
        <v>171</v>
      </c>
      <c r="AE4628" s="130"/>
      <c r="AF4628" s="130"/>
      <c r="AG4628" s="130"/>
      <c r="AH4628" s="130"/>
      <c r="AI4628" s="131"/>
      <c r="AJ4628" s="132"/>
      <c r="AK4628" s="127"/>
      <c r="AL4628" s="128"/>
      <c r="AM4628" s="21"/>
      <c r="AN4628" s="133">
        <v>46050</v>
      </c>
      <c r="AO4628" s="134"/>
      <c r="AP4628" s="135">
        <v>1002</v>
      </c>
      <c r="AQ4628" s="136"/>
      <c r="AR4628" s="118">
        <v>1080000</v>
      </c>
      <c r="AS4628" s="119"/>
      <c r="AT4628" s="118">
        <f t="shared" ref="AT4628" si="5221">AR4628*0.1</f>
        <v>108000</v>
      </c>
      <c r="AU4628" s="119"/>
      <c r="AV4628" s="118">
        <v>8790</v>
      </c>
      <c r="AW4628" s="119"/>
      <c r="AX4628" s="118">
        <f t="shared" ref="AX4628" si="5222">SUM(AR4628:AW4628)</f>
        <v>1196790</v>
      </c>
      <c r="AY4628" s="119"/>
      <c r="AZ4628" s="137">
        <v>46055</v>
      </c>
    </row>
    <row r="4629" spans="1:52" ht="17.100000000000001" customHeight="1" thickBot="1">
      <c r="A4629" s="110"/>
      <c r="B4629" s="27" t="s">
        <v>2511</v>
      </c>
      <c r="C4629" s="27">
        <v>65385</v>
      </c>
      <c r="D4629" s="14" t="s">
        <v>2601</v>
      </c>
      <c r="E4629" s="112"/>
      <c r="F4629" s="139" t="s">
        <v>13897</v>
      </c>
      <c r="G4629" s="140"/>
      <c r="H4629" s="141"/>
      <c r="I4629" s="26">
        <v>48120</v>
      </c>
      <c r="J4629" s="117"/>
      <c r="K4629" s="120"/>
      <c r="L4629" s="121"/>
      <c r="M4629" s="120"/>
      <c r="N4629" s="121"/>
      <c r="O4629" s="120"/>
      <c r="P4629" s="121"/>
      <c r="Q4629" s="120"/>
      <c r="R4629" s="121"/>
      <c r="S4629" s="120"/>
      <c r="T4629" s="121"/>
      <c r="U4629" s="120"/>
      <c r="V4629" s="123"/>
      <c r="W4629" s="125"/>
      <c r="X4629" s="142" t="s">
        <v>8095</v>
      </c>
      <c r="Y4629" s="143"/>
      <c r="Z4629" s="143"/>
      <c r="AA4629" s="143"/>
      <c r="AB4629" s="144"/>
      <c r="AC4629" s="16" t="s">
        <v>21</v>
      </c>
      <c r="AD4629" s="17" t="s">
        <v>2284</v>
      </c>
      <c r="AE4629" s="145" t="s">
        <v>4608</v>
      </c>
      <c r="AF4629" s="146"/>
      <c r="AG4629" s="146"/>
      <c r="AH4629" s="146"/>
      <c r="AI4629" s="147"/>
      <c r="AJ4629" s="148"/>
      <c r="AK4629" s="143"/>
      <c r="AL4629" s="144"/>
      <c r="AM4629" s="22"/>
      <c r="AN4629" s="149" t="s">
        <v>2794</v>
      </c>
      <c r="AO4629" s="144"/>
      <c r="AP4629" s="148">
        <v>2057</v>
      </c>
      <c r="AQ4629" s="144"/>
      <c r="AR4629" s="120"/>
      <c r="AS4629" s="121"/>
      <c r="AT4629" s="120"/>
      <c r="AU4629" s="121"/>
      <c r="AV4629" s="120"/>
      <c r="AW4629" s="121"/>
      <c r="AX4629" s="120"/>
      <c r="AY4629" s="121"/>
      <c r="AZ4629" s="138"/>
    </row>
    <row r="4630" spans="1:52" ht="17.100000000000001" customHeight="1" thickTop="1">
      <c r="A4630" s="109" t="s">
        <v>13914</v>
      </c>
      <c r="B4630" s="28">
        <v>46011</v>
      </c>
      <c r="C4630" s="25">
        <v>1281</v>
      </c>
      <c r="D4630" s="13" t="s">
        <v>2092</v>
      </c>
      <c r="E4630" s="111"/>
      <c r="F4630" s="113" t="s">
        <v>13898</v>
      </c>
      <c r="G4630" s="114"/>
      <c r="H4630" s="115"/>
      <c r="I4630" s="24"/>
      <c r="J4630" s="116">
        <v>4.5</v>
      </c>
      <c r="K4630" s="118">
        <v>970000</v>
      </c>
      <c r="L4630" s="119"/>
      <c r="M4630" s="118">
        <f t="shared" ref="M4630" si="5223">K4630*0.1</f>
        <v>97000</v>
      </c>
      <c r="N4630" s="119"/>
      <c r="O4630" s="118">
        <v>0</v>
      </c>
      <c r="P4630" s="119"/>
      <c r="Q4630" s="118">
        <v>6470</v>
      </c>
      <c r="R4630" s="119"/>
      <c r="S4630" s="118">
        <v>12100</v>
      </c>
      <c r="T4630" s="119"/>
      <c r="U4630" s="118">
        <f t="shared" ref="U4630" si="5224">SUM(K4630:T4631)</f>
        <v>1085570</v>
      </c>
      <c r="V4630" s="122"/>
      <c r="W4630" s="124"/>
      <c r="X4630" s="126" t="s">
        <v>14439</v>
      </c>
      <c r="Y4630" s="127"/>
      <c r="Z4630" s="127"/>
      <c r="AA4630" s="127"/>
      <c r="AB4630" s="128"/>
      <c r="AC4630" s="15" t="s">
        <v>20</v>
      </c>
      <c r="AD4630" s="129" t="s">
        <v>171</v>
      </c>
      <c r="AE4630" s="130"/>
      <c r="AF4630" s="130"/>
      <c r="AG4630" s="130"/>
      <c r="AH4630" s="130"/>
      <c r="AI4630" s="131"/>
      <c r="AJ4630" s="132"/>
      <c r="AK4630" s="127"/>
      <c r="AL4630" s="128"/>
      <c r="AM4630" s="21"/>
      <c r="AN4630" s="133">
        <v>46036</v>
      </c>
      <c r="AO4630" s="134"/>
      <c r="AP4630" s="135">
        <v>1000</v>
      </c>
      <c r="AQ4630" s="136"/>
      <c r="AR4630" s="118">
        <v>1100000</v>
      </c>
      <c r="AS4630" s="119"/>
      <c r="AT4630" s="118">
        <f t="shared" ref="AT4630" si="5225">AR4630*0.1</f>
        <v>110000</v>
      </c>
      <c r="AU4630" s="119"/>
      <c r="AV4630" s="118">
        <v>6470</v>
      </c>
      <c r="AW4630" s="119"/>
      <c r="AX4630" s="118">
        <f t="shared" ref="AX4630" si="5226">SUM(AR4630:AW4630)</f>
        <v>1216470</v>
      </c>
      <c r="AY4630" s="119"/>
      <c r="AZ4630" s="137">
        <v>46042</v>
      </c>
    </row>
    <row r="4631" spans="1:52" ht="17.100000000000001" customHeight="1" thickBot="1">
      <c r="A4631" s="110"/>
      <c r="B4631" s="27" t="s">
        <v>2511</v>
      </c>
      <c r="C4631" s="27">
        <v>65419</v>
      </c>
      <c r="D4631" s="14" t="s">
        <v>1576</v>
      </c>
      <c r="E4631" s="112"/>
      <c r="F4631" s="139" t="s">
        <v>13899</v>
      </c>
      <c r="G4631" s="140"/>
      <c r="H4631" s="141"/>
      <c r="I4631" s="26">
        <v>12340</v>
      </c>
      <c r="J4631" s="117"/>
      <c r="K4631" s="120"/>
      <c r="L4631" s="121"/>
      <c r="M4631" s="120"/>
      <c r="N4631" s="121"/>
      <c r="O4631" s="120"/>
      <c r="P4631" s="121"/>
      <c r="Q4631" s="120"/>
      <c r="R4631" s="121"/>
      <c r="S4631" s="120"/>
      <c r="T4631" s="121"/>
      <c r="U4631" s="120"/>
      <c r="V4631" s="123"/>
      <c r="W4631" s="125"/>
      <c r="X4631" s="142" t="s">
        <v>14440</v>
      </c>
      <c r="Y4631" s="143"/>
      <c r="Z4631" s="143"/>
      <c r="AA4631" s="143"/>
      <c r="AB4631" s="144"/>
      <c r="AC4631" s="16" t="s">
        <v>21</v>
      </c>
      <c r="AD4631" s="17" t="s">
        <v>2284</v>
      </c>
      <c r="AE4631" s="145" t="s">
        <v>2395</v>
      </c>
      <c r="AF4631" s="146"/>
      <c r="AG4631" s="146"/>
      <c r="AH4631" s="146"/>
      <c r="AI4631" s="147"/>
      <c r="AJ4631" s="148"/>
      <c r="AK4631" s="143"/>
      <c r="AL4631" s="144"/>
      <c r="AM4631" s="22"/>
      <c r="AN4631" s="149" t="s">
        <v>7285</v>
      </c>
      <c r="AO4631" s="144"/>
      <c r="AP4631" s="148">
        <v>2009</v>
      </c>
      <c r="AQ4631" s="144"/>
      <c r="AR4631" s="120"/>
      <c r="AS4631" s="121"/>
      <c r="AT4631" s="120"/>
      <c r="AU4631" s="121"/>
      <c r="AV4631" s="120"/>
      <c r="AW4631" s="121"/>
      <c r="AX4631" s="120"/>
      <c r="AY4631" s="121"/>
      <c r="AZ4631" s="138"/>
    </row>
    <row r="4632" spans="1:52" ht="17.100000000000001" customHeight="1" thickTop="1">
      <c r="A4632" s="109" t="s">
        <v>13915</v>
      </c>
      <c r="B4632" s="28">
        <v>46011</v>
      </c>
      <c r="C4632" s="25">
        <v>1281</v>
      </c>
      <c r="D4632" s="13" t="s">
        <v>2226</v>
      </c>
      <c r="E4632" s="111"/>
      <c r="F4632" s="113" t="s">
        <v>9828</v>
      </c>
      <c r="G4632" s="114"/>
      <c r="H4632" s="115"/>
      <c r="I4632" s="24"/>
      <c r="J4632" s="116">
        <v>5</v>
      </c>
      <c r="K4632" s="118">
        <v>1365000</v>
      </c>
      <c r="L4632" s="119"/>
      <c r="M4632" s="118">
        <f t="shared" ref="M4632" si="5227">K4632*0.1</f>
        <v>136500</v>
      </c>
      <c r="N4632" s="119"/>
      <c r="O4632" s="118">
        <v>0</v>
      </c>
      <c r="P4632" s="119"/>
      <c r="Q4632" s="118">
        <v>14200</v>
      </c>
      <c r="R4632" s="119"/>
      <c r="S4632" s="118">
        <v>12100</v>
      </c>
      <c r="T4632" s="119"/>
      <c r="U4632" s="118">
        <f t="shared" ref="U4632" si="5228">SUM(K4632:T4633)</f>
        <v>1527800</v>
      </c>
      <c r="V4632" s="122"/>
      <c r="W4632" s="124"/>
      <c r="X4632" s="126" t="s">
        <v>14397</v>
      </c>
      <c r="Y4632" s="127"/>
      <c r="Z4632" s="127"/>
      <c r="AA4632" s="127"/>
      <c r="AB4632" s="128"/>
      <c r="AC4632" s="15" t="s">
        <v>20</v>
      </c>
      <c r="AD4632" s="129"/>
      <c r="AE4632" s="130"/>
      <c r="AF4632" s="130"/>
      <c r="AG4632" s="130"/>
      <c r="AH4632" s="130"/>
      <c r="AI4632" s="131"/>
      <c r="AJ4632" s="132"/>
      <c r="AK4632" s="127"/>
      <c r="AL4632" s="128"/>
      <c r="AM4632" s="21"/>
      <c r="AN4632" s="133">
        <v>46014</v>
      </c>
      <c r="AO4632" s="134"/>
      <c r="AP4632" s="135">
        <v>1923</v>
      </c>
      <c r="AQ4632" s="136"/>
      <c r="AR4632" s="118">
        <v>1431000</v>
      </c>
      <c r="AS4632" s="119"/>
      <c r="AT4632" s="118">
        <f t="shared" ref="AT4632" si="5229">AR4632*0.1</f>
        <v>143100</v>
      </c>
      <c r="AU4632" s="119"/>
      <c r="AV4632" s="118">
        <v>14200</v>
      </c>
      <c r="AW4632" s="119"/>
      <c r="AX4632" s="118">
        <f t="shared" ref="AX4632" si="5230">SUM(AR4632:AW4632)</f>
        <v>1588300</v>
      </c>
      <c r="AY4632" s="119"/>
      <c r="AZ4632" s="137">
        <v>46029</v>
      </c>
    </row>
    <row r="4633" spans="1:52" ht="17.100000000000001" customHeight="1" thickBot="1">
      <c r="A4633" s="110"/>
      <c r="B4633" s="27" t="s">
        <v>2511</v>
      </c>
      <c r="C4633" s="27">
        <v>65473</v>
      </c>
      <c r="D4633" s="14" t="s">
        <v>1635</v>
      </c>
      <c r="E4633" s="112"/>
      <c r="F4633" s="139" t="s">
        <v>13873</v>
      </c>
      <c r="G4633" s="140"/>
      <c r="H4633" s="141"/>
      <c r="I4633" s="26">
        <v>8722</v>
      </c>
      <c r="J4633" s="117"/>
      <c r="K4633" s="120"/>
      <c r="L4633" s="121"/>
      <c r="M4633" s="120"/>
      <c r="N4633" s="121"/>
      <c r="O4633" s="120"/>
      <c r="P4633" s="121"/>
      <c r="Q4633" s="120"/>
      <c r="R4633" s="121"/>
      <c r="S4633" s="120"/>
      <c r="T4633" s="121"/>
      <c r="U4633" s="120"/>
      <c r="V4633" s="123"/>
      <c r="W4633" s="125"/>
      <c r="X4633" s="142" t="s">
        <v>2659</v>
      </c>
      <c r="Y4633" s="143"/>
      <c r="Z4633" s="143"/>
      <c r="AA4633" s="143"/>
      <c r="AB4633" s="144"/>
      <c r="AC4633" s="16" t="s">
        <v>21</v>
      </c>
      <c r="AD4633" s="17" t="s">
        <v>2284</v>
      </c>
      <c r="AE4633" s="145"/>
      <c r="AF4633" s="146"/>
      <c r="AG4633" s="146"/>
      <c r="AH4633" s="146"/>
      <c r="AI4633" s="147"/>
      <c r="AJ4633" s="148"/>
      <c r="AK4633" s="143"/>
      <c r="AL4633" s="144"/>
      <c r="AM4633" s="22"/>
      <c r="AN4633" s="149" t="s">
        <v>2131</v>
      </c>
      <c r="AO4633" s="144"/>
      <c r="AP4633" s="148">
        <v>3305</v>
      </c>
      <c r="AQ4633" s="144"/>
      <c r="AR4633" s="120"/>
      <c r="AS4633" s="121"/>
      <c r="AT4633" s="120"/>
      <c r="AU4633" s="121"/>
      <c r="AV4633" s="120"/>
      <c r="AW4633" s="121"/>
      <c r="AX4633" s="120"/>
      <c r="AY4633" s="121"/>
      <c r="AZ4633" s="138"/>
    </row>
    <row r="4634" spans="1:52" ht="17.100000000000001" customHeight="1" thickTop="1">
      <c r="A4634" s="151" t="s">
        <v>13916</v>
      </c>
      <c r="B4634" s="28">
        <v>46011</v>
      </c>
      <c r="C4634" s="25">
        <v>1281</v>
      </c>
      <c r="D4634" s="13" t="s">
        <v>1623</v>
      </c>
      <c r="E4634" s="111"/>
      <c r="F4634" s="113" t="s">
        <v>13874</v>
      </c>
      <c r="G4634" s="114"/>
      <c r="H4634" s="115"/>
      <c r="I4634" s="24" t="s">
        <v>13876</v>
      </c>
      <c r="J4634" s="116">
        <v>4</v>
      </c>
      <c r="K4634" s="118">
        <v>2775000</v>
      </c>
      <c r="L4634" s="119"/>
      <c r="M4634" s="118">
        <f t="shared" ref="M4634" si="5231">K4634*0.1</f>
        <v>277500</v>
      </c>
      <c r="N4634" s="119"/>
      <c r="O4634" s="118">
        <f>12700+1270</f>
        <v>13970</v>
      </c>
      <c r="P4634" s="119"/>
      <c r="Q4634" s="118">
        <v>23490</v>
      </c>
      <c r="R4634" s="119"/>
      <c r="S4634" s="118">
        <v>16500</v>
      </c>
      <c r="T4634" s="119"/>
      <c r="U4634" s="118">
        <f t="shared" ref="U4634" si="5232">SUM(K4634:T4635)</f>
        <v>3106460</v>
      </c>
      <c r="V4634" s="122"/>
      <c r="W4634" s="124"/>
      <c r="X4634" s="126" t="s">
        <v>13877</v>
      </c>
      <c r="Y4634" s="127"/>
      <c r="Z4634" s="127"/>
      <c r="AA4634" s="127"/>
      <c r="AB4634" s="128"/>
      <c r="AC4634" s="15" t="s">
        <v>20</v>
      </c>
      <c r="AD4634" s="129" t="s">
        <v>1670</v>
      </c>
      <c r="AE4634" s="130"/>
      <c r="AF4634" s="130"/>
      <c r="AG4634" s="130"/>
      <c r="AH4634" s="130"/>
      <c r="AI4634" s="131"/>
      <c r="AJ4634" s="132" t="s">
        <v>14510</v>
      </c>
      <c r="AK4634" s="127"/>
      <c r="AL4634" s="128"/>
      <c r="AM4634" s="21"/>
      <c r="AN4634" s="133"/>
      <c r="AO4634" s="134"/>
      <c r="AP4634" s="135"/>
      <c r="AQ4634" s="136"/>
      <c r="AR4634" s="118"/>
      <c r="AS4634" s="119"/>
      <c r="AT4634" s="118">
        <f t="shared" ref="AT4634" si="5233">AR4634*0.1</f>
        <v>0</v>
      </c>
      <c r="AU4634" s="119"/>
      <c r="AV4634" s="118"/>
      <c r="AW4634" s="119"/>
      <c r="AX4634" s="118">
        <f t="shared" ref="AX4634" si="5234">SUM(AR4634:AW4634)</f>
        <v>0</v>
      </c>
      <c r="AY4634" s="119"/>
      <c r="AZ4634" s="137"/>
    </row>
    <row r="4635" spans="1:52" ht="17.100000000000001" customHeight="1" thickBot="1">
      <c r="A4635" s="152"/>
      <c r="B4635" s="27" t="s">
        <v>2511</v>
      </c>
      <c r="C4635" s="27">
        <v>82521</v>
      </c>
      <c r="D4635" s="14" t="s">
        <v>1720</v>
      </c>
      <c r="E4635" s="112"/>
      <c r="F4635" s="139" t="s">
        <v>13875</v>
      </c>
      <c r="G4635" s="140"/>
      <c r="H4635" s="141"/>
      <c r="I4635" s="26">
        <v>50806</v>
      </c>
      <c r="J4635" s="117"/>
      <c r="K4635" s="120"/>
      <c r="L4635" s="121"/>
      <c r="M4635" s="120"/>
      <c r="N4635" s="121"/>
      <c r="O4635" s="120"/>
      <c r="P4635" s="121"/>
      <c r="Q4635" s="120"/>
      <c r="R4635" s="121"/>
      <c r="S4635" s="120"/>
      <c r="T4635" s="121"/>
      <c r="U4635" s="120"/>
      <c r="V4635" s="123"/>
      <c r="W4635" s="125"/>
      <c r="X4635" s="142" t="s">
        <v>14429</v>
      </c>
      <c r="Y4635" s="143"/>
      <c r="Z4635" s="143"/>
      <c r="AA4635" s="143"/>
      <c r="AB4635" s="144"/>
      <c r="AC4635" s="16" t="s">
        <v>21</v>
      </c>
      <c r="AD4635" s="17" t="s">
        <v>2284</v>
      </c>
      <c r="AE4635" s="145" t="s">
        <v>3123</v>
      </c>
      <c r="AF4635" s="146"/>
      <c r="AG4635" s="146"/>
      <c r="AH4635" s="146"/>
      <c r="AI4635" s="147"/>
      <c r="AJ4635" s="148"/>
      <c r="AK4635" s="143"/>
      <c r="AL4635" s="144"/>
      <c r="AM4635" s="22"/>
      <c r="AN4635" s="149"/>
      <c r="AO4635" s="144"/>
      <c r="AP4635" s="148"/>
      <c r="AQ4635" s="144"/>
      <c r="AR4635" s="120"/>
      <c r="AS4635" s="121"/>
      <c r="AT4635" s="120"/>
      <c r="AU4635" s="121"/>
      <c r="AV4635" s="120"/>
      <c r="AW4635" s="121"/>
      <c r="AX4635" s="120"/>
      <c r="AY4635" s="121"/>
      <c r="AZ4635" s="138"/>
    </row>
    <row r="4636" spans="1:52" ht="17.100000000000001" customHeight="1" thickTop="1">
      <c r="A4636" s="151" t="s">
        <v>13917</v>
      </c>
      <c r="B4636" s="28">
        <v>46011</v>
      </c>
      <c r="C4636" s="25">
        <v>1281</v>
      </c>
      <c r="D4636" s="13" t="s">
        <v>2066</v>
      </c>
      <c r="E4636" s="111"/>
      <c r="F4636" s="113" t="s">
        <v>13878</v>
      </c>
      <c r="G4636" s="114"/>
      <c r="H4636" s="115"/>
      <c r="I4636" s="24" t="s">
        <v>5495</v>
      </c>
      <c r="J4636" s="116">
        <v>4.5</v>
      </c>
      <c r="K4636" s="118">
        <v>2580000</v>
      </c>
      <c r="L4636" s="119"/>
      <c r="M4636" s="118">
        <f t="shared" ref="M4636" si="5235">K4636*0.1</f>
        <v>258000</v>
      </c>
      <c r="N4636" s="119"/>
      <c r="O4636" s="118">
        <f>7600+760</f>
        <v>8360</v>
      </c>
      <c r="P4636" s="119"/>
      <c r="Q4636" s="118">
        <v>15910</v>
      </c>
      <c r="R4636" s="119"/>
      <c r="S4636" s="118">
        <v>16500</v>
      </c>
      <c r="T4636" s="119"/>
      <c r="U4636" s="118">
        <f t="shared" ref="U4636" si="5236">SUM(K4636:T4637)</f>
        <v>2878770</v>
      </c>
      <c r="V4636" s="122"/>
      <c r="W4636" s="124"/>
      <c r="X4636" s="126" t="s">
        <v>13880</v>
      </c>
      <c r="Y4636" s="127"/>
      <c r="Z4636" s="127"/>
      <c r="AA4636" s="127"/>
      <c r="AB4636" s="128"/>
      <c r="AC4636" s="15" t="s">
        <v>20</v>
      </c>
      <c r="AD4636" s="129" t="s">
        <v>12725</v>
      </c>
      <c r="AE4636" s="130"/>
      <c r="AF4636" s="130"/>
      <c r="AG4636" s="130"/>
      <c r="AH4636" s="130"/>
      <c r="AI4636" s="131"/>
      <c r="AJ4636" s="132" t="s">
        <v>8040</v>
      </c>
      <c r="AK4636" s="127"/>
      <c r="AL4636" s="128"/>
      <c r="AM4636" s="21"/>
      <c r="AN4636" s="133"/>
      <c r="AO4636" s="134"/>
      <c r="AP4636" s="135"/>
      <c r="AQ4636" s="136"/>
      <c r="AR4636" s="118"/>
      <c r="AS4636" s="119"/>
      <c r="AT4636" s="118">
        <f t="shared" ref="AT4636" si="5237">AR4636*0.1</f>
        <v>0</v>
      </c>
      <c r="AU4636" s="119"/>
      <c r="AV4636" s="118"/>
      <c r="AW4636" s="119"/>
      <c r="AX4636" s="118">
        <f t="shared" ref="AX4636" si="5238">SUM(AR4636:AW4636)</f>
        <v>0</v>
      </c>
      <c r="AY4636" s="119"/>
      <c r="AZ4636" s="137"/>
    </row>
    <row r="4637" spans="1:52" ht="17.100000000000001" customHeight="1" thickBot="1">
      <c r="A4637" s="152"/>
      <c r="B4637" s="27" t="s">
        <v>2511</v>
      </c>
      <c r="C4637" s="27">
        <v>82574</v>
      </c>
      <c r="D4637" s="14" t="s">
        <v>275</v>
      </c>
      <c r="E4637" s="112"/>
      <c r="F4637" s="139" t="s">
        <v>13879</v>
      </c>
      <c r="G4637" s="140"/>
      <c r="H4637" s="141"/>
      <c r="I4637" s="26">
        <v>22546</v>
      </c>
      <c r="J4637" s="117"/>
      <c r="K4637" s="120"/>
      <c r="L4637" s="121"/>
      <c r="M4637" s="120"/>
      <c r="N4637" s="121"/>
      <c r="O4637" s="120"/>
      <c r="P4637" s="121"/>
      <c r="Q4637" s="120"/>
      <c r="R4637" s="121"/>
      <c r="S4637" s="120"/>
      <c r="T4637" s="121"/>
      <c r="U4637" s="120"/>
      <c r="V4637" s="123"/>
      <c r="W4637" s="125"/>
      <c r="X4637" s="142"/>
      <c r="Y4637" s="143"/>
      <c r="Z4637" s="143"/>
      <c r="AA4637" s="143"/>
      <c r="AB4637" s="144"/>
      <c r="AC4637" s="16" t="s">
        <v>21</v>
      </c>
      <c r="AD4637" s="17" t="s">
        <v>10540</v>
      </c>
      <c r="AE4637" s="145"/>
      <c r="AF4637" s="146"/>
      <c r="AG4637" s="146"/>
      <c r="AH4637" s="146"/>
      <c r="AI4637" s="147"/>
      <c r="AJ4637" s="148"/>
      <c r="AK4637" s="143"/>
      <c r="AL4637" s="144"/>
      <c r="AM4637" s="22"/>
      <c r="AN4637" s="149"/>
      <c r="AO4637" s="144"/>
      <c r="AP4637" s="148"/>
      <c r="AQ4637" s="144"/>
      <c r="AR4637" s="120"/>
      <c r="AS4637" s="121"/>
      <c r="AT4637" s="120"/>
      <c r="AU4637" s="121"/>
      <c r="AV4637" s="120"/>
      <c r="AW4637" s="121"/>
      <c r="AX4637" s="120"/>
      <c r="AY4637" s="121"/>
      <c r="AZ4637" s="138"/>
    </row>
    <row r="4638" spans="1:52" ht="17.100000000000001" customHeight="1" thickTop="1">
      <c r="A4638" s="109" t="s">
        <v>13981</v>
      </c>
      <c r="B4638" s="28">
        <v>46012</v>
      </c>
      <c r="C4638" s="25"/>
      <c r="D4638" s="13" t="s">
        <v>1896</v>
      </c>
      <c r="E4638" s="111"/>
      <c r="F4638" s="113" t="s">
        <v>13984</v>
      </c>
      <c r="G4638" s="114"/>
      <c r="H4638" s="115"/>
      <c r="I4638" s="24" t="s">
        <v>2861</v>
      </c>
      <c r="J4638" s="116"/>
      <c r="K4638" s="118">
        <v>300000</v>
      </c>
      <c r="L4638" s="119"/>
      <c r="M4638" s="118">
        <v>0</v>
      </c>
      <c r="N4638" s="119"/>
      <c r="O4638" s="118">
        <v>0</v>
      </c>
      <c r="P4638" s="119"/>
      <c r="Q4638" s="118">
        <v>0</v>
      </c>
      <c r="R4638" s="119"/>
      <c r="S4638" s="118">
        <v>0</v>
      </c>
      <c r="T4638" s="119"/>
      <c r="U4638" s="118">
        <f t="shared" ref="U4638" si="5239">SUM(K4638:T4639)</f>
        <v>300000</v>
      </c>
      <c r="V4638" s="122"/>
      <c r="W4638" s="124"/>
      <c r="X4638" s="126" t="s">
        <v>13986</v>
      </c>
      <c r="Y4638" s="127"/>
      <c r="Z4638" s="127"/>
      <c r="AA4638" s="127"/>
      <c r="AB4638" s="128"/>
      <c r="AC4638" s="15" t="s">
        <v>20</v>
      </c>
      <c r="AD4638" s="129"/>
      <c r="AE4638" s="130"/>
      <c r="AF4638" s="130"/>
      <c r="AG4638" s="130"/>
      <c r="AH4638" s="130"/>
      <c r="AI4638" s="131"/>
      <c r="AJ4638" s="132"/>
      <c r="AK4638" s="127"/>
      <c r="AL4638" s="128"/>
      <c r="AM4638" s="21"/>
      <c r="AN4638" s="133">
        <v>46053</v>
      </c>
      <c r="AO4638" s="134"/>
      <c r="AP4638" s="135">
        <v>1286</v>
      </c>
      <c r="AQ4638" s="136"/>
      <c r="AR4638" s="118">
        <v>360000</v>
      </c>
      <c r="AS4638" s="119"/>
      <c r="AT4638" s="118">
        <f t="shared" ref="AT4638" si="5240">AR4638*0.1</f>
        <v>36000</v>
      </c>
      <c r="AU4638" s="119"/>
      <c r="AV4638" s="118">
        <v>13300</v>
      </c>
      <c r="AW4638" s="119"/>
      <c r="AX4638" s="118">
        <f t="shared" ref="AX4638" si="5241">SUM(AR4638:AW4638)</f>
        <v>409300</v>
      </c>
      <c r="AY4638" s="119"/>
      <c r="AZ4638" s="137">
        <v>46056</v>
      </c>
    </row>
    <row r="4639" spans="1:52" ht="17.100000000000001" customHeight="1" thickBot="1">
      <c r="A4639" s="110"/>
      <c r="B4639" s="27" t="s">
        <v>13983</v>
      </c>
      <c r="C4639" s="27"/>
      <c r="D4639" s="14" t="s">
        <v>1720</v>
      </c>
      <c r="E4639" s="112"/>
      <c r="F4639" s="139" t="s">
        <v>13985</v>
      </c>
      <c r="G4639" s="140"/>
      <c r="H4639" s="141"/>
      <c r="I4639" s="26">
        <v>148862</v>
      </c>
      <c r="J4639" s="117"/>
      <c r="K4639" s="120"/>
      <c r="L4639" s="121"/>
      <c r="M4639" s="120"/>
      <c r="N4639" s="121"/>
      <c r="O4639" s="120"/>
      <c r="P4639" s="121"/>
      <c r="Q4639" s="120"/>
      <c r="R4639" s="121"/>
      <c r="S4639" s="120"/>
      <c r="T4639" s="121"/>
      <c r="U4639" s="120"/>
      <c r="V4639" s="123"/>
      <c r="W4639" s="125"/>
      <c r="X4639" s="142" t="s">
        <v>13987</v>
      </c>
      <c r="Y4639" s="143"/>
      <c r="Z4639" s="143"/>
      <c r="AA4639" s="143"/>
      <c r="AB4639" s="144"/>
      <c r="AC4639" s="16" t="s">
        <v>21</v>
      </c>
      <c r="AD4639" s="17" t="s">
        <v>1809</v>
      </c>
      <c r="AE4639" s="145" t="s">
        <v>15369</v>
      </c>
      <c r="AF4639" s="146"/>
      <c r="AG4639" s="146"/>
      <c r="AH4639" s="146"/>
      <c r="AI4639" s="147"/>
      <c r="AJ4639" s="148"/>
      <c r="AK4639" s="143"/>
      <c r="AL4639" s="144"/>
      <c r="AM4639" s="22"/>
      <c r="AN4639" s="149" t="s">
        <v>2511</v>
      </c>
      <c r="AO4639" s="144"/>
      <c r="AP4639" s="148">
        <v>37120</v>
      </c>
      <c r="AQ4639" s="144"/>
      <c r="AR4639" s="120"/>
      <c r="AS4639" s="121"/>
      <c r="AT4639" s="120"/>
      <c r="AU4639" s="121"/>
      <c r="AV4639" s="120"/>
      <c r="AW4639" s="121"/>
      <c r="AX4639" s="120"/>
      <c r="AY4639" s="121"/>
      <c r="AZ4639" s="138"/>
    </row>
    <row r="4640" spans="1:52" ht="17.100000000000001" customHeight="1" thickTop="1">
      <c r="A4640" s="109" t="s">
        <v>13982</v>
      </c>
      <c r="B4640" s="28">
        <v>46012</v>
      </c>
      <c r="C4640" s="25"/>
      <c r="D4640" s="13" t="s">
        <v>2022</v>
      </c>
      <c r="E4640" s="111"/>
      <c r="F4640" s="113" t="s">
        <v>13989</v>
      </c>
      <c r="G4640" s="114"/>
      <c r="H4640" s="115"/>
      <c r="I4640" s="24"/>
      <c r="J4640" s="116"/>
      <c r="K4640" s="118"/>
      <c r="L4640" s="119"/>
      <c r="M4640" s="118">
        <f t="shared" ref="M4640" si="5242">K4640*0.1</f>
        <v>0</v>
      </c>
      <c r="N4640" s="119"/>
      <c r="O4640" s="118">
        <v>0</v>
      </c>
      <c r="P4640" s="119"/>
      <c r="Q4640" s="118"/>
      <c r="R4640" s="119"/>
      <c r="S4640" s="118"/>
      <c r="T4640" s="119"/>
      <c r="U4640" s="118">
        <f t="shared" ref="U4640" si="5243">SUM(K4640:T4641)</f>
        <v>0</v>
      </c>
      <c r="V4640" s="122"/>
      <c r="W4640" s="124"/>
      <c r="X4640" s="126" t="s">
        <v>13991</v>
      </c>
      <c r="Y4640" s="127"/>
      <c r="Z4640" s="127"/>
      <c r="AA4640" s="127"/>
      <c r="AB4640" s="128"/>
      <c r="AC4640" s="15" t="s">
        <v>20</v>
      </c>
      <c r="AD4640" s="129"/>
      <c r="AE4640" s="130"/>
      <c r="AF4640" s="130"/>
      <c r="AG4640" s="130"/>
      <c r="AH4640" s="130"/>
      <c r="AI4640" s="131"/>
      <c r="AJ4640" s="132"/>
      <c r="AK4640" s="127"/>
      <c r="AL4640" s="128"/>
      <c r="AM4640" s="21"/>
      <c r="AN4640" s="133">
        <v>46046</v>
      </c>
      <c r="AO4640" s="134"/>
      <c r="AP4640" s="135">
        <v>1285</v>
      </c>
      <c r="AQ4640" s="136"/>
      <c r="AR4640" s="118">
        <v>1165000</v>
      </c>
      <c r="AS4640" s="119"/>
      <c r="AT4640" s="118">
        <f t="shared" ref="AT4640" si="5244">AR4640*0.1</f>
        <v>116500</v>
      </c>
      <c r="AU4640" s="119"/>
      <c r="AV4640" s="118">
        <v>21460</v>
      </c>
      <c r="AW4640" s="119"/>
      <c r="AX4640" s="118">
        <f t="shared" ref="AX4640" si="5245">SUM(AR4640:AW4640)</f>
        <v>1302960</v>
      </c>
      <c r="AY4640" s="119"/>
      <c r="AZ4640" s="137">
        <v>46049</v>
      </c>
    </row>
    <row r="4641" spans="1:52" ht="17.100000000000001" customHeight="1" thickBot="1">
      <c r="A4641" s="110"/>
      <c r="B4641" s="27" t="s">
        <v>13988</v>
      </c>
      <c r="C4641" s="27"/>
      <c r="D4641" s="14"/>
      <c r="E4641" s="112"/>
      <c r="F4641" s="139" t="s">
        <v>13990</v>
      </c>
      <c r="G4641" s="140"/>
      <c r="H4641" s="141"/>
      <c r="I4641" s="26"/>
      <c r="J4641" s="117"/>
      <c r="K4641" s="120"/>
      <c r="L4641" s="121"/>
      <c r="M4641" s="120"/>
      <c r="N4641" s="121"/>
      <c r="O4641" s="120"/>
      <c r="P4641" s="121"/>
      <c r="Q4641" s="120"/>
      <c r="R4641" s="121"/>
      <c r="S4641" s="120"/>
      <c r="T4641" s="121"/>
      <c r="U4641" s="120"/>
      <c r="V4641" s="123"/>
      <c r="W4641" s="125"/>
      <c r="X4641" s="142" t="s">
        <v>13992</v>
      </c>
      <c r="Y4641" s="143"/>
      <c r="Z4641" s="143"/>
      <c r="AA4641" s="143"/>
      <c r="AB4641" s="144"/>
      <c r="AC4641" s="16" t="s">
        <v>21</v>
      </c>
      <c r="AD4641" s="17" t="s">
        <v>1809</v>
      </c>
      <c r="AE4641" s="145" t="s">
        <v>4102</v>
      </c>
      <c r="AF4641" s="146"/>
      <c r="AG4641" s="146"/>
      <c r="AH4641" s="146"/>
      <c r="AI4641" s="147"/>
      <c r="AJ4641" s="148"/>
      <c r="AK4641" s="143"/>
      <c r="AL4641" s="144"/>
      <c r="AM4641" s="22"/>
      <c r="AN4641" s="149" t="s">
        <v>2511</v>
      </c>
      <c r="AO4641" s="144"/>
      <c r="AP4641" s="148">
        <v>82253</v>
      </c>
      <c r="AQ4641" s="144"/>
      <c r="AR4641" s="120"/>
      <c r="AS4641" s="121"/>
      <c r="AT4641" s="120"/>
      <c r="AU4641" s="121"/>
      <c r="AV4641" s="120"/>
      <c r="AW4641" s="121"/>
      <c r="AX4641" s="120"/>
      <c r="AY4641" s="121"/>
      <c r="AZ4641" s="138"/>
    </row>
    <row r="4642" spans="1:52" ht="17.100000000000001" customHeight="1" thickTop="1">
      <c r="A4642" s="151" t="s">
        <v>13993</v>
      </c>
      <c r="B4642" s="28">
        <v>46013</v>
      </c>
      <c r="C4642" s="25">
        <v>79</v>
      </c>
      <c r="D4642" s="13" t="s">
        <v>1640</v>
      </c>
      <c r="E4642" s="111"/>
      <c r="F4642" s="113" t="s">
        <v>5448</v>
      </c>
      <c r="G4642" s="114"/>
      <c r="H4642" s="115"/>
      <c r="I4642" s="24" t="s">
        <v>2526</v>
      </c>
      <c r="J4642" s="116">
        <v>4</v>
      </c>
      <c r="K4642" s="118">
        <v>565000</v>
      </c>
      <c r="L4642" s="119"/>
      <c r="M4642" s="118">
        <f t="shared" ref="M4642" si="5246">K4642*0.1</f>
        <v>56500</v>
      </c>
      <c r="N4642" s="119"/>
      <c r="O4642" s="118">
        <v>0</v>
      </c>
      <c r="P4642" s="119"/>
      <c r="Q4642" s="118">
        <v>8400</v>
      </c>
      <c r="R4642" s="119"/>
      <c r="S4642" s="118">
        <v>33000</v>
      </c>
      <c r="T4642" s="119"/>
      <c r="U4642" s="118">
        <f t="shared" ref="U4642" si="5247">SUM(K4642:T4643)</f>
        <v>662900</v>
      </c>
      <c r="V4642" s="122"/>
      <c r="W4642" s="124"/>
      <c r="X4642" s="126"/>
      <c r="Y4642" s="127"/>
      <c r="Z4642" s="127"/>
      <c r="AA4642" s="127"/>
      <c r="AB4642" s="128"/>
      <c r="AC4642" s="15" t="s">
        <v>20</v>
      </c>
      <c r="AD4642" s="129" t="s">
        <v>13786</v>
      </c>
      <c r="AE4642" s="130"/>
      <c r="AF4642" s="130"/>
      <c r="AG4642" s="130"/>
      <c r="AH4642" s="130"/>
      <c r="AI4642" s="131"/>
      <c r="AJ4642" s="132" t="s">
        <v>8040</v>
      </c>
      <c r="AK4642" s="127"/>
      <c r="AL4642" s="128"/>
      <c r="AM4642" s="21"/>
      <c r="AN4642" s="133"/>
      <c r="AO4642" s="134"/>
      <c r="AP4642" s="135"/>
      <c r="AQ4642" s="136"/>
      <c r="AR4642" s="118"/>
      <c r="AS4642" s="119"/>
      <c r="AT4642" s="118">
        <f t="shared" ref="AT4642" si="5248">AR4642*0.1</f>
        <v>0</v>
      </c>
      <c r="AU4642" s="119"/>
      <c r="AV4642" s="118"/>
      <c r="AW4642" s="119"/>
      <c r="AX4642" s="118">
        <f t="shared" ref="AX4642" si="5249">SUM(AR4642:AW4642)</f>
        <v>0</v>
      </c>
      <c r="AY4642" s="119"/>
      <c r="AZ4642" s="137"/>
    </row>
    <row r="4643" spans="1:52" ht="17.100000000000001" customHeight="1" thickBot="1">
      <c r="A4643" s="152"/>
      <c r="B4643" s="27" t="s">
        <v>4544</v>
      </c>
      <c r="C4643" s="27">
        <v>1056</v>
      </c>
      <c r="D4643" s="14" t="s">
        <v>2836</v>
      </c>
      <c r="E4643" s="112"/>
      <c r="F4643" s="139" t="s">
        <v>13953</v>
      </c>
      <c r="G4643" s="140"/>
      <c r="H4643" s="141"/>
      <c r="I4643" s="26">
        <v>51725</v>
      </c>
      <c r="J4643" s="117"/>
      <c r="K4643" s="120"/>
      <c r="L4643" s="121"/>
      <c r="M4643" s="120"/>
      <c r="N4643" s="121"/>
      <c r="O4643" s="120"/>
      <c r="P4643" s="121"/>
      <c r="Q4643" s="120"/>
      <c r="R4643" s="121"/>
      <c r="S4643" s="120"/>
      <c r="T4643" s="121"/>
      <c r="U4643" s="120"/>
      <c r="V4643" s="123"/>
      <c r="W4643" s="125"/>
      <c r="X4643" s="142"/>
      <c r="Y4643" s="143"/>
      <c r="Z4643" s="143"/>
      <c r="AA4643" s="143"/>
      <c r="AB4643" s="144"/>
      <c r="AC4643" s="16" t="s">
        <v>21</v>
      </c>
      <c r="AD4643" s="17" t="s">
        <v>10540</v>
      </c>
      <c r="AE4643" s="145"/>
      <c r="AF4643" s="146"/>
      <c r="AG4643" s="146"/>
      <c r="AH4643" s="146"/>
      <c r="AI4643" s="147"/>
      <c r="AJ4643" s="148"/>
      <c r="AK4643" s="143"/>
      <c r="AL4643" s="144"/>
      <c r="AM4643" s="22"/>
      <c r="AN4643" s="149"/>
      <c r="AO4643" s="144"/>
      <c r="AP4643" s="148"/>
      <c r="AQ4643" s="144"/>
      <c r="AR4643" s="120"/>
      <c r="AS4643" s="121"/>
      <c r="AT4643" s="120"/>
      <c r="AU4643" s="121"/>
      <c r="AV4643" s="120"/>
      <c r="AW4643" s="121"/>
      <c r="AX4643" s="120"/>
      <c r="AY4643" s="121"/>
      <c r="AZ4643" s="138"/>
    </row>
    <row r="4644" spans="1:52" ht="16.5" customHeight="1" thickTop="1">
      <c r="A4644" s="109" t="s">
        <v>13994</v>
      </c>
      <c r="B4644" s="28">
        <v>46013</v>
      </c>
      <c r="C4644" s="25"/>
      <c r="D4644" s="13" t="s">
        <v>2100</v>
      </c>
      <c r="E4644" s="111"/>
      <c r="F4644" s="113" t="s">
        <v>5448</v>
      </c>
      <c r="G4644" s="114"/>
      <c r="H4644" s="115"/>
      <c r="I4644" s="24" t="s">
        <v>10274</v>
      </c>
      <c r="J4644" s="116">
        <v>4</v>
      </c>
      <c r="K4644" s="118">
        <f>746900/1.1</f>
        <v>679000</v>
      </c>
      <c r="L4644" s="119"/>
      <c r="M4644" s="118">
        <f t="shared" ref="M4644" si="5250">K4644*0.1</f>
        <v>67900</v>
      </c>
      <c r="N4644" s="119"/>
      <c r="O4644" s="118">
        <v>0</v>
      </c>
      <c r="P4644" s="119"/>
      <c r="Q4644" s="118">
        <v>8400</v>
      </c>
      <c r="R4644" s="119"/>
      <c r="S4644" s="118">
        <v>0</v>
      </c>
      <c r="T4644" s="119"/>
      <c r="U4644" s="118">
        <f t="shared" ref="U4644" si="5251">SUM(K4644:T4645)</f>
        <v>755300</v>
      </c>
      <c r="V4644" s="122"/>
      <c r="W4644" s="124"/>
      <c r="X4644" s="126" t="s">
        <v>14752</v>
      </c>
      <c r="Y4644" s="127"/>
      <c r="Z4644" s="127"/>
      <c r="AA4644" s="127"/>
      <c r="AB4644" s="128"/>
      <c r="AC4644" s="15" t="s">
        <v>20</v>
      </c>
      <c r="AD4644" s="129" t="s">
        <v>1945</v>
      </c>
      <c r="AE4644" s="130"/>
      <c r="AF4644" s="130"/>
      <c r="AG4644" s="130"/>
      <c r="AH4644" s="130"/>
      <c r="AI4644" s="131"/>
      <c r="AJ4644" s="132"/>
      <c r="AK4644" s="127"/>
      <c r="AL4644" s="128"/>
      <c r="AM4644" s="21"/>
      <c r="AN4644" s="133">
        <v>46116</v>
      </c>
      <c r="AO4644" s="134"/>
      <c r="AP4644" s="135">
        <v>1295</v>
      </c>
      <c r="AQ4644" s="136"/>
      <c r="AR4644" s="118">
        <v>750000</v>
      </c>
      <c r="AS4644" s="119"/>
      <c r="AT4644" s="118">
        <f t="shared" ref="AT4644" si="5252">AR4644*0.1</f>
        <v>75000</v>
      </c>
      <c r="AU4644" s="119"/>
      <c r="AV4644" s="118">
        <v>8400</v>
      </c>
      <c r="AW4644" s="119"/>
      <c r="AX4644" s="118">
        <f t="shared" ref="AX4644" si="5253">SUM(AR4644:AW4644)</f>
        <v>833400</v>
      </c>
      <c r="AY4644" s="119"/>
      <c r="AZ4644" s="137">
        <v>46119</v>
      </c>
    </row>
    <row r="4645" spans="1:52" ht="17.100000000000001" customHeight="1" thickBot="1">
      <c r="A4645" s="110"/>
      <c r="B4645" s="27" t="s">
        <v>1718</v>
      </c>
      <c r="C4645" s="27" t="s">
        <v>13954</v>
      </c>
      <c r="D4645" s="14" t="s">
        <v>1556</v>
      </c>
      <c r="E4645" s="112"/>
      <c r="F4645" s="139" t="s">
        <v>13955</v>
      </c>
      <c r="G4645" s="140"/>
      <c r="H4645" s="141"/>
      <c r="I4645" s="26">
        <v>44607</v>
      </c>
      <c r="J4645" s="117"/>
      <c r="K4645" s="120"/>
      <c r="L4645" s="121"/>
      <c r="M4645" s="120"/>
      <c r="N4645" s="121"/>
      <c r="O4645" s="120"/>
      <c r="P4645" s="121"/>
      <c r="Q4645" s="120"/>
      <c r="R4645" s="121"/>
      <c r="S4645" s="120"/>
      <c r="T4645" s="121"/>
      <c r="U4645" s="120"/>
      <c r="V4645" s="123"/>
      <c r="W4645" s="125"/>
      <c r="X4645" s="142" t="s">
        <v>14753</v>
      </c>
      <c r="Y4645" s="143"/>
      <c r="Z4645" s="143"/>
      <c r="AA4645" s="143"/>
      <c r="AB4645" s="144"/>
      <c r="AC4645" s="16" t="s">
        <v>21</v>
      </c>
      <c r="AD4645" s="17" t="s">
        <v>2616</v>
      </c>
      <c r="AE4645" s="145" t="s">
        <v>13449</v>
      </c>
      <c r="AF4645" s="146"/>
      <c r="AG4645" s="146"/>
      <c r="AH4645" s="146"/>
      <c r="AI4645" s="147"/>
      <c r="AJ4645" s="148"/>
      <c r="AK4645" s="143"/>
      <c r="AL4645" s="144"/>
      <c r="AM4645" s="22"/>
      <c r="AN4645" s="149" t="s">
        <v>2511</v>
      </c>
      <c r="AO4645" s="144"/>
      <c r="AP4645" s="148">
        <v>60204</v>
      </c>
      <c r="AQ4645" s="144"/>
      <c r="AR4645" s="120"/>
      <c r="AS4645" s="121"/>
      <c r="AT4645" s="120"/>
      <c r="AU4645" s="121"/>
      <c r="AV4645" s="120"/>
      <c r="AW4645" s="121"/>
      <c r="AX4645" s="120"/>
      <c r="AY4645" s="121"/>
      <c r="AZ4645" s="138"/>
    </row>
    <row r="4646" spans="1:52" ht="17.100000000000001" customHeight="1" thickTop="1">
      <c r="A4646" s="151" t="s">
        <v>13995</v>
      </c>
      <c r="B4646" s="28">
        <v>46013</v>
      </c>
      <c r="C4646" s="25"/>
      <c r="D4646" s="13" t="s">
        <v>2359</v>
      </c>
      <c r="E4646" s="111"/>
      <c r="F4646" s="113" t="s">
        <v>13997</v>
      </c>
      <c r="G4646" s="114"/>
      <c r="H4646" s="115"/>
      <c r="I4646" s="24" t="s">
        <v>5136</v>
      </c>
      <c r="J4646" s="116">
        <v>4</v>
      </c>
      <c r="K4646" s="118">
        <f>2260500/1.1</f>
        <v>2054999.9999999998</v>
      </c>
      <c r="L4646" s="119"/>
      <c r="M4646" s="118">
        <f t="shared" ref="M4646" si="5254">K4646*0.1</f>
        <v>205500</v>
      </c>
      <c r="N4646" s="119"/>
      <c r="O4646" s="118">
        <v>6000</v>
      </c>
      <c r="P4646" s="119"/>
      <c r="Q4646" s="118">
        <v>12470</v>
      </c>
      <c r="R4646" s="119"/>
      <c r="S4646" s="118">
        <v>0</v>
      </c>
      <c r="T4646" s="119"/>
      <c r="U4646" s="118">
        <f t="shared" ref="U4646" si="5255">SUM(K4646:T4647)</f>
        <v>2278970</v>
      </c>
      <c r="V4646" s="122"/>
      <c r="W4646" s="124"/>
      <c r="X4646" s="126" t="s">
        <v>14726</v>
      </c>
      <c r="Y4646" s="127"/>
      <c r="Z4646" s="127"/>
      <c r="AA4646" s="127"/>
      <c r="AB4646" s="128"/>
      <c r="AC4646" s="15" t="s">
        <v>20</v>
      </c>
      <c r="AD4646" s="129" t="s">
        <v>1732</v>
      </c>
      <c r="AE4646" s="130"/>
      <c r="AF4646" s="130"/>
      <c r="AG4646" s="130"/>
      <c r="AH4646" s="130"/>
      <c r="AI4646" s="131"/>
      <c r="AJ4646" s="132"/>
      <c r="AK4646" s="127"/>
      <c r="AL4646" s="128"/>
      <c r="AM4646" s="21"/>
      <c r="AN4646" s="133">
        <v>46039</v>
      </c>
      <c r="AO4646" s="134"/>
      <c r="AP4646" s="135">
        <v>1284</v>
      </c>
      <c r="AQ4646" s="136"/>
      <c r="AR4646" s="118">
        <v>2200000</v>
      </c>
      <c r="AS4646" s="119"/>
      <c r="AT4646" s="118">
        <f t="shared" ref="AT4646" si="5256">AR4646*0.1</f>
        <v>220000</v>
      </c>
      <c r="AU4646" s="119"/>
      <c r="AV4646" s="118">
        <v>12470</v>
      </c>
      <c r="AW4646" s="119"/>
      <c r="AX4646" s="118">
        <f t="shared" ref="AX4646" si="5257">SUM(AR4646:AW4646)</f>
        <v>2432470</v>
      </c>
      <c r="AY4646" s="119"/>
      <c r="AZ4646" s="137">
        <v>46042</v>
      </c>
    </row>
    <row r="4647" spans="1:52" ht="17.100000000000001" customHeight="1" thickBot="1">
      <c r="A4647" s="152"/>
      <c r="B4647" s="27" t="s">
        <v>1718</v>
      </c>
      <c r="C4647" s="27" t="s">
        <v>13996</v>
      </c>
      <c r="D4647" s="14" t="s">
        <v>2601</v>
      </c>
      <c r="E4647" s="112"/>
      <c r="F4647" s="139" t="s">
        <v>13998</v>
      </c>
      <c r="G4647" s="140"/>
      <c r="H4647" s="141"/>
      <c r="I4647" s="26">
        <v>76995</v>
      </c>
      <c r="J4647" s="117"/>
      <c r="K4647" s="120"/>
      <c r="L4647" s="121"/>
      <c r="M4647" s="120"/>
      <c r="N4647" s="121"/>
      <c r="O4647" s="120"/>
      <c r="P4647" s="121"/>
      <c r="Q4647" s="120"/>
      <c r="R4647" s="121"/>
      <c r="S4647" s="120"/>
      <c r="T4647" s="121"/>
      <c r="U4647" s="120"/>
      <c r="V4647" s="123"/>
      <c r="W4647" s="125"/>
      <c r="X4647" s="142" t="s">
        <v>14727</v>
      </c>
      <c r="Y4647" s="143"/>
      <c r="Z4647" s="143"/>
      <c r="AA4647" s="143"/>
      <c r="AB4647" s="144"/>
      <c r="AC4647" s="16" t="s">
        <v>21</v>
      </c>
      <c r="AD4647" s="17" t="s">
        <v>2949</v>
      </c>
      <c r="AE4647" s="145" t="s">
        <v>14728</v>
      </c>
      <c r="AF4647" s="146"/>
      <c r="AG4647" s="146"/>
      <c r="AH4647" s="146"/>
      <c r="AI4647" s="147"/>
      <c r="AJ4647" s="148"/>
      <c r="AK4647" s="143"/>
      <c r="AL4647" s="144"/>
      <c r="AM4647" s="22"/>
      <c r="AN4647" s="149" t="s">
        <v>2511</v>
      </c>
      <c r="AO4647" s="144"/>
      <c r="AP4647" s="148">
        <v>37791</v>
      </c>
      <c r="AQ4647" s="144"/>
      <c r="AR4647" s="120"/>
      <c r="AS4647" s="121"/>
      <c r="AT4647" s="120"/>
      <c r="AU4647" s="121"/>
      <c r="AV4647" s="120"/>
      <c r="AW4647" s="121"/>
      <c r="AX4647" s="120"/>
      <c r="AY4647" s="121"/>
      <c r="AZ4647" s="138"/>
    </row>
    <row r="4648" spans="1:52" ht="17.100000000000001" customHeight="1" thickTop="1">
      <c r="A4648" s="109" t="s">
        <v>13999</v>
      </c>
      <c r="B4648" s="28">
        <v>46013</v>
      </c>
      <c r="C4648" s="25">
        <v>2074</v>
      </c>
      <c r="D4648" s="13" t="s">
        <v>2187</v>
      </c>
      <c r="E4648" s="111"/>
      <c r="F4648" s="113" t="s">
        <v>13956</v>
      </c>
      <c r="G4648" s="114"/>
      <c r="H4648" s="115"/>
      <c r="I4648" s="24"/>
      <c r="J4648" s="116">
        <v>4</v>
      </c>
      <c r="K4648" s="118">
        <v>1930000</v>
      </c>
      <c r="L4648" s="119"/>
      <c r="M4648" s="118">
        <f t="shared" ref="M4648" si="5258">K4648*0.1</f>
        <v>193000</v>
      </c>
      <c r="N4648" s="119"/>
      <c r="O4648" s="118">
        <v>0</v>
      </c>
      <c r="P4648" s="119"/>
      <c r="Q4648" s="118">
        <v>21020</v>
      </c>
      <c r="R4648" s="119"/>
      <c r="S4648" s="118">
        <v>11000</v>
      </c>
      <c r="T4648" s="119"/>
      <c r="U4648" s="118">
        <f t="shared" ref="U4648" si="5259">SUM(K4648:T4649)</f>
        <v>2155020</v>
      </c>
      <c r="V4648" s="122"/>
      <c r="W4648" s="124"/>
      <c r="X4648" s="126" t="s">
        <v>14212</v>
      </c>
      <c r="Y4648" s="127"/>
      <c r="Z4648" s="127"/>
      <c r="AA4648" s="127"/>
      <c r="AB4648" s="128"/>
      <c r="AC4648" s="15" t="s">
        <v>20</v>
      </c>
      <c r="AD4648" s="129" t="s">
        <v>171</v>
      </c>
      <c r="AE4648" s="130"/>
      <c r="AF4648" s="130"/>
      <c r="AG4648" s="130"/>
      <c r="AH4648" s="130"/>
      <c r="AI4648" s="131"/>
      <c r="AJ4648" s="132"/>
      <c r="AK4648" s="127"/>
      <c r="AL4648" s="128"/>
      <c r="AM4648" s="21"/>
      <c r="AN4648" s="133">
        <v>46081</v>
      </c>
      <c r="AO4648" s="134"/>
      <c r="AP4648" s="135">
        <v>1290</v>
      </c>
      <c r="AQ4648" s="136"/>
      <c r="AR4648" s="118">
        <v>2170000</v>
      </c>
      <c r="AS4648" s="119"/>
      <c r="AT4648" s="118">
        <f t="shared" ref="AT4648" si="5260">AR4648*0.1</f>
        <v>217000</v>
      </c>
      <c r="AU4648" s="119"/>
      <c r="AV4648" s="118">
        <v>21020</v>
      </c>
      <c r="AW4648" s="119"/>
      <c r="AX4648" s="118">
        <f t="shared" ref="AX4648" si="5261">SUM(AR4648:AW4648)</f>
        <v>2408020</v>
      </c>
      <c r="AY4648" s="119"/>
      <c r="AZ4648" s="137">
        <v>46084</v>
      </c>
    </row>
    <row r="4649" spans="1:52" ht="17.100000000000001" customHeight="1" thickBot="1">
      <c r="A4649" s="110"/>
      <c r="B4649" s="27" t="s">
        <v>83</v>
      </c>
      <c r="C4649" s="27">
        <v>32002</v>
      </c>
      <c r="D4649" s="14" t="s">
        <v>904</v>
      </c>
      <c r="E4649" s="112"/>
      <c r="F4649" s="139" t="s">
        <v>13957</v>
      </c>
      <c r="G4649" s="140"/>
      <c r="H4649" s="141"/>
      <c r="I4649" s="26">
        <v>45902</v>
      </c>
      <c r="J4649" s="117"/>
      <c r="K4649" s="120"/>
      <c r="L4649" s="121"/>
      <c r="M4649" s="120"/>
      <c r="N4649" s="121"/>
      <c r="O4649" s="120"/>
      <c r="P4649" s="121"/>
      <c r="Q4649" s="120"/>
      <c r="R4649" s="121"/>
      <c r="S4649" s="120"/>
      <c r="T4649" s="121"/>
      <c r="U4649" s="120"/>
      <c r="V4649" s="123"/>
      <c r="W4649" s="125"/>
      <c r="X4649" s="142" t="s">
        <v>4058</v>
      </c>
      <c r="Y4649" s="143"/>
      <c r="Z4649" s="143"/>
      <c r="AA4649" s="143"/>
      <c r="AB4649" s="144"/>
      <c r="AC4649" s="16" t="s">
        <v>21</v>
      </c>
      <c r="AD4649" s="17" t="s">
        <v>14134</v>
      </c>
      <c r="AE4649" s="145" t="s">
        <v>1614</v>
      </c>
      <c r="AF4649" s="146"/>
      <c r="AG4649" s="146"/>
      <c r="AH4649" s="146"/>
      <c r="AI4649" s="147"/>
      <c r="AJ4649" s="148"/>
      <c r="AK4649" s="143"/>
      <c r="AL4649" s="144"/>
      <c r="AM4649" s="22"/>
      <c r="AN4649" s="149" t="s">
        <v>2511</v>
      </c>
      <c r="AO4649" s="144"/>
      <c r="AP4649" s="148">
        <v>80208</v>
      </c>
      <c r="AQ4649" s="144"/>
      <c r="AR4649" s="120"/>
      <c r="AS4649" s="121"/>
      <c r="AT4649" s="120"/>
      <c r="AU4649" s="121"/>
      <c r="AV4649" s="120"/>
      <c r="AW4649" s="121"/>
      <c r="AX4649" s="120"/>
      <c r="AY4649" s="121"/>
      <c r="AZ4649" s="138"/>
    </row>
    <row r="4650" spans="1:52" ht="17.100000000000001" customHeight="1" thickTop="1">
      <c r="A4650" s="151" t="s">
        <v>14000</v>
      </c>
      <c r="B4650" s="28">
        <v>46013</v>
      </c>
      <c r="C4650" s="25">
        <v>2074</v>
      </c>
      <c r="D4650" s="13" t="s">
        <v>1929</v>
      </c>
      <c r="E4650" s="111"/>
      <c r="F4650" s="113" t="s">
        <v>13958</v>
      </c>
      <c r="G4650" s="114"/>
      <c r="H4650" s="115"/>
      <c r="I4650" s="24"/>
      <c r="J4650" s="116">
        <v>4</v>
      </c>
      <c r="K4650" s="118">
        <v>797000</v>
      </c>
      <c r="L4650" s="119"/>
      <c r="M4650" s="118">
        <f t="shared" ref="M4650" si="5262">K4650*0.1</f>
        <v>79700</v>
      </c>
      <c r="N4650" s="119"/>
      <c r="O4650" s="118">
        <v>0</v>
      </c>
      <c r="P4650" s="119"/>
      <c r="Q4650" s="118">
        <v>20250</v>
      </c>
      <c r="R4650" s="119"/>
      <c r="S4650" s="118">
        <v>11000</v>
      </c>
      <c r="T4650" s="119"/>
      <c r="U4650" s="118">
        <f t="shared" ref="U4650" si="5263">SUM(K4650:T4651)</f>
        <v>907950</v>
      </c>
      <c r="V4650" s="122"/>
      <c r="W4650" s="124"/>
      <c r="X4650" s="126" t="s">
        <v>14519</v>
      </c>
      <c r="Y4650" s="127"/>
      <c r="Z4650" s="127"/>
      <c r="AA4650" s="127"/>
      <c r="AB4650" s="128"/>
      <c r="AC4650" s="15" t="s">
        <v>20</v>
      </c>
      <c r="AD4650" s="129" t="s">
        <v>171</v>
      </c>
      <c r="AE4650" s="130"/>
      <c r="AF4650" s="130"/>
      <c r="AG4650" s="130"/>
      <c r="AH4650" s="130"/>
      <c r="AI4650" s="131"/>
      <c r="AJ4650" s="132"/>
      <c r="AK4650" s="127"/>
      <c r="AL4650" s="128"/>
      <c r="AM4650" s="21"/>
      <c r="AN4650" s="133">
        <v>46039</v>
      </c>
      <c r="AO4650" s="134"/>
      <c r="AP4650" s="135">
        <v>1284</v>
      </c>
      <c r="AQ4650" s="136"/>
      <c r="AR4650" s="118">
        <v>950000</v>
      </c>
      <c r="AS4650" s="119"/>
      <c r="AT4650" s="118">
        <f t="shared" ref="AT4650" si="5264">AR4650*0.1</f>
        <v>95000</v>
      </c>
      <c r="AU4650" s="119"/>
      <c r="AV4650" s="118">
        <v>20250</v>
      </c>
      <c r="AW4650" s="119"/>
      <c r="AX4650" s="118">
        <f t="shared" ref="AX4650" si="5265">SUM(AR4650:AW4650)</f>
        <v>1065250</v>
      </c>
      <c r="AY4650" s="119"/>
      <c r="AZ4650" s="137">
        <v>46042</v>
      </c>
    </row>
    <row r="4651" spans="1:52" ht="17.100000000000001" customHeight="1" thickBot="1">
      <c r="A4651" s="152"/>
      <c r="B4651" s="27" t="s">
        <v>83</v>
      </c>
      <c r="C4651" s="27">
        <v>34511</v>
      </c>
      <c r="D4651" s="14" t="s">
        <v>275</v>
      </c>
      <c r="E4651" s="112"/>
      <c r="F4651" s="139" t="s">
        <v>13959</v>
      </c>
      <c r="G4651" s="140"/>
      <c r="H4651" s="141"/>
      <c r="I4651" s="26">
        <v>54894</v>
      </c>
      <c r="J4651" s="117"/>
      <c r="K4651" s="120"/>
      <c r="L4651" s="121"/>
      <c r="M4651" s="120"/>
      <c r="N4651" s="121"/>
      <c r="O4651" s="120"/>
      <c r="P4651" s="121"/>
      <c r="Q4651" s="120"/>
      <c r="R4651" s="121"/>
      <c r="S4651" s="120"/>
      <c r="T4651" s="121"/>
      <c r="U4651" s="120"/>
      <c r="V4651" s="123"/>
      <c r="W4651" s="125"/>
      <c r="X4651" s="142" t="s">
        <v>1844</v>
      </c>
      <c r="Y4651" s="143"/>
      <c r="Z4651" s="143"/>
      <c r="AA4651" s="143"/>
      <c r="AB4651" s="144"/>
      <c r="AC4651" s="16" t="s">
        <v>21</v>
      </c>
      <c r="AD4651" s="17" t="s">
        <v>1977</v>
      </c>
      <c r="AE4651" s="145" t="s">
        <v>1742</v>
      </c>
      <c r="AF4651" s="146"/>
      <c r="AG4651" s="146"/>
      <c r="AH4651" s="146"/>
      <c r="AI4651" s="147"/>
      <c r="AJ4651" s="148"/>
      <c r="AK4651" s="143"/>
      <c r="AL4651" s="144"/>
      <c r="AM4651" s="22"/>
      <c r="AN4651" s="149" t="s">
        <v>2511</v>
      </c>
      <c r="AO4651" s="144"/>
      <c r="AP4651" s="148">
        <v>80070</v>
      </c>
      <c r="AQ4651" s="144"/>
      <c r="AR4651" s="120"/>
      <c r="AS4651" s="121"/>
      <c r="AT4651" s="120"/>
      <c r="AU4651" s="121"/>
      <c r="AV4651" s="120"/>
      <c r="AW4651" s="121"/>
      <c r="AX4651" s="120"/>
      <c r="AY4651" s="121"/>
      <c r="AZ4651" s="138"/>
    </row>
    <row r="4652" spans="1:52" ht="17.100000000000001" customHeight="1" thickTop="1">
      <c r="A4652" s="151" t="s">
        <v>14001</v>
      </c>
      <c r="B4652" s="28">
        <v>46013</v>
      </c>
      <c r="C4652" s="25">
        <v>2074</v>
      </c>
      <c r="D4652" s="13" t="s">
        <v>2564</v>
      </c>
      <c r="E4652" s="111"/>
      <c r="F4652" s="113" t="s">
        <v>13960</v>
      </c>
      <c r="G4652" s="114"/>
      <c r="H4652" s="115"/>
      <c r="I4652" s="24" t="s">
        <v>4193</v>
      </c>
      <c r="J4652" s="116">
        <v>4</v>
      </c>
      <c r="K4652" s="118">
        <v>700000</v>
      </c>
      <c r="L4652" s="119"/>
      <c r="M4652" s="118">
        <f t="shared" ref="M4652" si="5266">K4652*0.1</f>
        <v>70000</v>
      </c>
      <c r="N4652" s="119"/>
      <c r="O4652" s="118">
        <f>9800+980</f>
        <v>10780</v>
      </c>
      <c r="P4652" s="119"/>
      <c r="Q4652" s="118">
        <v>15920</v>
      </c>
      <c r="R4652" s="119"/>
      <c r="S4652" s="118">
        <v>17600</v>
      </c>
      <c r="T4652" s="119"/>
      <c r="U4652" s="118">
        <f t="shared" ref="U4652" si="5267">SUM(K4652:T4653)</f>
        <v>814300</v>
      </c>
      <c r="V4652" s="122"/>
      <c r="W4652" s="124"/>
      <c r="X4652" s="126" t="s">
        <v>14358</v>
      </c>
      <c r="Y4652" s="127"/>
      <c r="Z4652" s="127"/>
      <c r="AA4652" s="127"/>
      <c r="AB4652" s="128"/>
      <c r="AC4652" s="15" t="s">
        <v>20</v>
      </c>
      <c r="AD4652" s="129" t="s">
        <v>171</v>
      </c>
      <c r="AE4652" s="130"/>
      <c r="AF4652" s="130"/>
      <c r="AG4652" s="130"/>
      <c r="AH4652" s="130"/>
      <c r="AI4652" s="131"/>
      <c r="AJ4652" s="132"/>
      <c r="AK4652" s="127"/>
      <c r="AL4652" s="128"/>
      <c r="AM4652" s="21"/>
      <c r="AN4652" s="133">
        <v>46032</v>
      </c>
      <c r="AO4652" s="134"/>
      <c r="AP4652" s="135">
        <v>1283</v>
      </c>
      <c r="AQ4652" s="136"/>
      <c r="AR4652" s="118">
        <v>1040000</v>
      </c>
      <c r="AS4652" s="119"/>
      <c r="AT4652" s="118">
        <f t="shared" ref="AT4652" si="5268">AR4652*0.1</f>
        <v>104000</v>
      </c>
      <c r="AU4652" s="119"/>
      <c r="AV4652" s="118">
        <v>15920</v>
      </c>
      <c r="AW4652" s="119"/>
      <c r="AX4652" s="118">
        <f t="shared" ref="AX4652" si="5269">SUM(AR4652:AW4652)</f>
        <v>1159920</v>
      </c>
      <c r="AY4652" s="119"/>
      <c r="AZ4652" s="137">
        <v>46036</v>
      </c>
    </row>
    <row r="4653" spans="1:52" ht="17.100000000000001" customHeight="1" thickBot="1">
      <c r="A4653" s="152"/>
      <c r="B4653" s="27" t="s">
        <v>83</v>
      </c>
      <c r="C4653" s="27">
        <v>34514</v>
      </c>
      <c r="D4653" s="14" t="s">
        <v>275</v>
      </c>
      <c r="E4653" s="112"/>
      <c r="F4653" s="139" t="s">
        <v>13961</v>
      </c>
      <c r="G4653" s="140"/>
      <c r="H4653" s="141"/>
      <c r="I4653" s="26">
        <v>25980</v>
      </c>
      <c r="J4653" s="117"/>
      <c r="K4653" s="120"/>
      <c r="L4653" s="121"/>
      <c r="M4653" s="120"/>
      <c r="N4653" s="121"/>
      <c r="O4653" s="120"/>
      <c r="P4653" s="121"/>
      <c r="Q4653" s="120"/>
      <c r="R4653" s="121"/>
      <c r="S4653" s="120"/>
      <c r="T4653" s="121"/>
      <c r="U4653" s="120"/>
      <c r="V4653" s="123"/>
      <c r="W4653" s="125"/>
      <c r="X4653" s="142" t="s">
        <v>14359</v>
      </c>
      <c r="Y4653" s="143"/>
      <c r="Z4653" s="143"/>
      <c r="AA4653" s="143"/>
      <c r="AB4653" s="144"/>
      <c r="AC4653" s="16" t="s">
        <v>21</v>
      </c>
      <c r="AD4653" s="17" t="s">
        <v>14344</v>
      </c>
      <c r="AE4653" s="145" t="s">
        <v>3609</v>
      </c>
      <c r="AF4653" s="146"/>
      <c r="AG4653" s="146"/>
      <c r="AH4653" s="146"/>
      <c r="AI4653" s="147"/>
      <c r="AJ4653" s="148"/>
      <c r="AK4653" s="143"/>
      <c r="AL4653" s="144"/>
      <c r="AM4653" s="22"/>
      <c r="AN4653" s="149" t="s">
        <v>2511</v>
      </c>
      <c r="AO4653" s="144"/>
      <c r="AP4653" s="148">
        <v>80055</v>
      </c>
      <c r="AQ4653" s="144"/>
      <c r="AR4653" s="120"/>
      <c r="AS4653" s="121"/>
      <c r="AT4653" s="120"/>
      <c r="AU4653" s="121"/>
      <c r="AV4653" s="120"/>
      <c r="AW4653" s="121"/>
      <c r="AX4653" s="120"/>
      <c r="AY4653" s="121"/>
      <c r="AZ4653" s="138"/>
    </row>
    <row r="4654" spans="1:52" ht="17.100000000000001" customHeight="1" thickTop="1">
      <c r="A4654" s="109" t="s">
        <v>14002</v>
      </c>
      <c r="B4654" s="28">
        <v>46013</v>
      </c>
      <c r="C4654" s="25">
        <v>2074</v>
      </c>
      <c r="D4654" s="13" t="s">
        <v>2949</v>
      </c>
      <c r="E4654" s="111"/>
      <c r="F4654" s="113" t="s">
        <v>5542</v>
      </c>
      <c r="G4654" s="114"/>
      <c r="H4654" s="115"/>
      <c r="I4654" s="24" t="s">
        <v>2919</v>
      </c>
      <c r="J4654" s="116">
        <v>4.5</v>
      </c>
      <c r="K4654" s="118">
        <v>1385000</v>
      </c>
      <c r="L4654" s="119"/>
      <c r="M4654" s="118">
        <f t="shared" ref="M4654" si="5270">K4654*0.1</f>
        <v>138500</v>
      </c>
      <c r="N4654" s="119"/>
      <c r="O4654" s="118">
        <f>7600+760</f>
        <v>8360</v>
      </c>
      <c r="P4654" s="119"/>
      <c r="Q4654" s="118">
        <v>17800</v>
      </c>
      <c r="R4654" s="119"/>
      <c r="S4654" s="118">
        <v>11000</v>
      </c>
      <c r="T4654" s="119"/>
      <c r="U4654" s="118">
        <f t="shared" ref="U4654" si="5271">SUM(K4654:T4655)</f>
        <v>1560660</v>
      </c>
      <c r="V4654" s="122"/>
      <c r="W4654" s="124"/>
      <c r="X4654" s="126" t="s">
        <v>13963</v>
      </c>
      <c r="Y4654" s="127"/>
      <c r="Z4654" s="127"/>
      <c r="AA4654" s="127"/>
      <c r="AB4654" s="128"/>
      <c r="AC4654" s="15" t="s">
        <v>20</v>
      </c>
      <c r="AD4654" s="129"/>
      <c r="AE4654" s="130"/>
      <c r="AF4654" s="130"/>
      <c r="AG4654" s="130"/>
      <c r="AH4654" s="130"/>
      <c r="AI4654" s="131"/>
      <c r="AJ4654" s="132"/>
      <c r="AK4654" s="127"/>
      <c r="AL4654" s="128"/>
      <c r="AM4654" s="21"/>
      <c r="AN4654" s="133">
        <v>46018</v>
      </c>
      <c r="AO4654" s="134"/>
      <c r="AP4654" s="135">
        <v>1282</v>
      </c>
      <c r="AQ4654" s="136"/>
      <c r="AR4654" s="118">
        <v>1555000</v>
      </c>
      <c r="AS4654" s="119"/>
      <c r="AT4654" s="118">
        <f t="shared" ref="AT4654" si="5272">AR4654*0.1</f>
        <v>155500</v>
      </c>
      <c r="AU4654" s="119"/>
      <c r="AV4654" s="118">
        <v>17800</v>
      </c>
      <c r="AW4654" s="119"/>
      <c r="AX4654" s="118">
        <f t="shared" ref="AX4654" si="5273">SUM(AR4654:AW4654)</f>
        <v>1728300</v>
      </c>
      <c r="AY4654" s="119"/>
      <c r="AZ4654" s="137">
        <v>46028</v>
      </c>
    </row>
    <row r="4655" spans="1:52" ht="17.100000000000001" customHeight="1" thickBot="1">
      <c r="A4655" s="110"/>
      <c r="B4655" s="27" t="s">
        <v>83</v>
      </c>
      <c r="C4655" s="27">
        <v>34529</v>
      </c>
      <c r="D4655" s="14" t="s">
        <v>1635</v>
      </c>
      <c r="E4655" s="112"/>
      <c r="F4655" s="139" t="s">
        <v>13962</v>
      </c>
      <c r="G4655" s="140"/>
      <c r="H4655" s="141"/>
      <c r="I4655" s="26">
        <v>64396</v>
      </c>
      <c r="J4655" s="117"/>
      <c r="K4655" s="120"/>
      <c r="L4655" s="121"/>
      <c r="M4655" s="120"/>
      <c r="N4655" s="121"/>
      <c r="O4655" s="120"/>
      <c r="P4655" s="121"/>
      <c r="Q4655" s="120"/>
      <c r="R4655" s="121"/>
      <c r="S4655" s="120"/>
      <c r="T4655" s="121"/>
      <c r="U4655" s="120"/>
      <c r="V4655" s="123"/>
      <c r="W4655" s="125"/>
      <c r="X4655" s="142" t="s">
        <v>4828</v>
      </c>
      <c r="Y4655" s="143"/>
      <c r="Z4655" s="143"/>
      <c r="AA4655" s="143"/>
      <c r="AB4655" s="144"/>
      <c r="AC4655" s="16" t="s">
        <v>21</v>
      </c>
      <c r="AD4655" s="17" t="s">
        <v>3488</v>
      </c>
      <c r="AE4655" s="145" t="s">
        <v>3609</v>
      </c>
      <c r="AF4655" s="146"/>
      <c r="AG4655" s="146"/>
      <c r="AH4655" s="146"/>
      <c r="AI4655" s="147"/>
      <c r="AJ4655" s="148"/>
      <c r="AK4655" s="143"/>
      <c r="AL4655" s="144"/>
      <c r="AM4655" s="22"/>
      <c r="AN4655" s="149" t="s">
        <v>2511</v>
      </c>
      <c r="AO4655" s="144"/>
      <c r="AP4655" s="148">
        <v>80338</v>
      </c>
      <c r="AQ4655" s="144"/>
      <c r="AR4655" s="120"/>
      <c r="AS4655" s="121"/>
      <c r="AT4655" s="120"/>
      <c r="AU4655" s="121"/>
      <c r="AV4655" s="120"/>
      <c r="AW4655" s="121"/>
      <c r="AX4655" s="120"/>
      <c r="AY4655" s="121"/>
      <c r="AZ4655" s="138"/>
    </row>
    <row r="4656" spans="1:52" ht="17.100000000000001" customHeight="1" thickTop="1">
      <c r="A4656" s="109" t="s">
        <v>14003</v>
      </c>
      <c r="B4656" s="28">
        <v>46013</v>
      </c>
      <c r="C4656" s="25">
        <v>2074</v>
      </c>
      <c r="D4656" s="13" t="s">
        <v>2322</v>
      </c>
      <c r="E4656" s="111"/>
      <c r="F4656" s="113" t="s">
        <v>13964</v>
      </c>
      <c r="G4656" s="114"/>
      <c r="H4656" s="115"/>
      <c r="I4656" s="24" t="s">
        <v>3509</v>
      </c>
      <c r="J4656" s="116">
        <v>4</v>
      </c>
      <c r="K4656" s="118">
        <v>1740000</v>
      </c>
      <c r="L4656" s="119"/>
      <c r="M4656" s="118">
        <f t="shared" ref="M4656" si="5274">K4656*0.1</f>
        <v>174000</v>
      </c>
      <c r="N4656" s="119"/>
      <c r="O4656" s="118">
        <f>9800+980</f>
        <v>10780</v>
      </c>
      <c r="P4656" s="119"/>
      <c r="Q4656" s="118">
        <v>15180</v>
      </c>
      <c r="R4656" s="119"/>
      <c r="S4656" s="118">
        <v>11000</v>
      </c>
      <c r="T4656" s="119"/>
      <c r="U4656" s="118">
        <f t="shared" ref="U4656" si="5275">SUM(K4656:T4657)</f>
        <v>1950960</v>
      </c>
      <c r="V4656" s="122"/>
      <c r="W4656" s="124"/>
      <c r="X4656" s="126" t="s">
        <v>13966</v>
      </c>
      <c r="Y4656" s="127"/>
      <c r="Z4656" s="127"/>
      <c r="AA4656" s="127"/>
      <c r="AB4656" s="128"/>
      <c r="AC4656" s="15" t="s">
        <v>20</v>
      </c>
      <c r="AD4656" s="129" t="s">
        <v>1742</v>
      </c>
      <c r="AE4656" s="130"/>
      <c r="AF4656" s="130"/>
      <c r="AG4656" s="130"/>
      <c r="AH4656" s="130"/>
      <c r="AI4656" s="131"/>
      <c r="AJ4656" s="132"/>
      <c r="AK4656" s="127"/>
      <c r="AL4656" s="128"/>
      <c r="AM4656" s="21"/>
      <c r="AN4656" s="133">
        <v>46018</v>
      </c>
      <c r="AO4656" s="134"/>
      <c r="AP4656" s="135">
        <v>1282</v>
      </c>
      <c r="AQ4656" s="136"/>
      <c r="AR4656" s="118">
        <v>1905000</v>
      </c>
      <c r="AS4656" s="119"/>
      <c r="AT4656" s="118">
        <f t="shared" ref="AT4656" si="5276">AR4656*0.1</f>
        <v>190500</v>
      </c>
      <c r="AU4656" s="119"/>
      <c r="AV4656" s="118">
        <v>15180</v>
      </c>
      <c r="AW4656" s="119"/>
      <c r="AX4656" s="118">
        <f t="shared" ref="AX4656" si="5277">SUM(AR4656:AW4656)</f>
        <v>2110680</v>
      </c>
      <c r="AY4656" s="119"/>
      <c r="AZ4656" s="137">
        <v>46036</v>
      </c>
    </row>
    <row r="4657" spans="1:52" ht="17.100000000000001" customHeight="1" thickBot="1">
      <c r="A4657" s="110"/>
      <c r="B4657" s="27" t="s">
        <v>83</v>
      </c>
      <c r="C4657" s="27">
        <v>36031</v>
      </c>
      <c r="D4657" s="14" t="s">
        <v>2601</v>
      </c>
      <c r="E4657" s="112"/>
      <c r="F4657" s="139" t="s">
        <v>13965</v>
      </c>
      <c r="G4657" s="140"/>
      <c r="H4657" s="141"/>
      <c r="I4657" s="26">
        <v>40664</v>
      </c>
      <c r="J4657" s="117"/>
      <c r="K4657" s="120"/>
      <c r="L4657" s="121"/>
      <c r="M4657" s="120"/>
      <c r="N4657" s="121"/>
      <c r="O4657" s="120"/>
      <c r="P4657" s="121"/>
      <c r="Q4657" s="120"/>
      <c r="R4657" s="121"/>
      <c r="S4657" s="120"/>
      <c r="T4657" s="121"/>
      <c r="U4657" s="120"/>
      <c r="V4657" s="123"/>
      <c r="W4657" s="125"/>
      <c r="X4657" s="142" t="s">
        <v>14518</v>
      </c>
      <c r="Y4657" s="143"/>
      <c r="Z4657" s="143"/>
      <c r="AA4657" s="143"/>
      <c r="AB4657" s="144"/>
      <c r="AC4657" s="16" t="s">
        <v>21</v>
      </c>
      <c r="AD4657" s="17" t="s">
        <v>1977</v>
      </c>
      <c r="AE4657" s="145" t="s">
        <v>1742</v>
      </c>
      <c r="AF4657" s="146"/>
      <c r="AG4657" s="146"/>
      <c r="AH4657" s="146"/>
      <c r="AI4657" s="147"/>
      <c r="AJ4657" s="148"/>
      <c r="AK4657" s="143"/>
      <c r="AL4657" s="144"/>
      <c r="AM4657" s="22"/>
      <c r="AN4657" s="149" t="s">
        <v>2511</v>
      </c>
      <c r="AO4657" s="144"/>
      <c r="AP4657" s="148">
        <v>80329</v>
      </c>
      <c r="AQ4657" s="144"/>
      <c r="AR4657" s="120"/>
      <c r="AS4657" s="121"/>
      <c r="AT4657" s="120"/>
      <c r="AU4657" s="121"/>
      <c r="AV4657" s="120"/>
      <c r="AW4657" s="121"/>
      <c r="AX4657" s="120"/>
      <c r="AY4657" s="121"/>
      <c r="AZ4657" s="138"/>
    </row>
    <row r="4658" spans="1:52" ht="17.100000000000001" customHeight="1" thickTop="1">
      <c r="A4658" s="109" t="s">
        <v>14004</v>
      </c>
      <c r="B4658" s="28">
        <v>46013</v>
      </c>
      <c r="C4658" s="25"/>
      <c r="D4658" s="13" t="s">
        <v>4835</v>
      </c>
      <c r="E4658" s="111"/>
      <c r="F4658" s="113" t="s">
        <v>1938</v>
      </c>
      <c r="G4658" s="114"/>
      <c r="H4658" s="115"/>
      <c r="I4658" s="24"/>
      <c r="J4658" s="116">
        <v>4</v>
      </c>
      <c r="K4658" s="118">
        <v>386000</v>
      </c>
      <c r="L4658" s="119"/>
      <c r="M4658" s="118">
        <f t="shared" ref="M4658" si="5278">K4658*0.1</f>
        <v>38600</v>
      </c>
      <c r="N4658" s="119"/>
      <c r="O4658" s="118">
        <v>0</v>
      </c>
      <c r="P4658" s="119"/>
      <c r="Q4658" s="118">
        <v>17700</v>
      </c>
      <c r="R4658" s="119"/>
      <c r="S4658" s="118">
        <v>15950</v>
      </c>
      <c r="T4658" s="119"/>
      <c r="U4658" s="118">
        <f t="shared" ref="U4658" si="5279">SUM(K4658:T4659)</f>
        <v>458250</v>
      </c>
      <c r="V4658" s="122"/>
      <c r="W4658" s="124"/>
      <c r="X4658" s="126" t="s">
        <v>14524</v>
      </c>
      <c r="Y4658" s="127"/>
      <c r="Z4658" s="127"/>
      <c r="AA4658" s="127"/>
      <c r="AB4658" s="128"/>
      <c r="AC4658" s="15" t="s">
        <v>20</v>
      </c>
      <c r="AD4658" s="129"/>
      <c r="AE4658" s="130"/>
      <c r="AF4658" s="130"/>
      <c r="AG4658" s="130"/>
      <c r="AH4658" s="130"/>
      <c r="AI4658" s="131"/>
      <c r="AJ4658" s="132"/>
      <c r="AK4658" s="127"/>
      <c r="AL4658" s="128"/>
      <c r="AM4658" s="21"/>
      <c r="AN4658" s="133">
        <v>46046</v>
      </c>
      <c r="AO4658" s="134"/>
      <c r="AP4658" s="135">
        <v>1285</v>
      </c>
      <c r="AQ4658" s="136"/>
      <c r="AR4658" s="118">
        <v>510000</v>
      </c>
      <c r="AS4658" s="119"/>
      <c r="AT4658" s="118">
        <f t="shared" ref="AT4658" si="5280">AR4658*0.1</f>
        <v>51000</v>
      </c>
      <c r="AU4658" s="119"/>
      <c r="AV4658" s="118">
        <v>17700</v>
      </c>
      <c r="AW4658" s="119"/>
      <c r="AX4658" s="118">
        <f t="shared" ref="AX4658" si="5281">SUM(AR4658:AW4658)</f>
        <v>578700</v>
      </c>
      <c r="AY4658" s="119"/>
      <c r="AZ4658" s="137">
        <v>46049</v>
      </c>
    </row>
    <row r="4659" spans="1:52" ht="17.100000000000001" customHeight="1" thickBot="1">
      <c r="A4659" s="110"/>
      <c r="B4659" s="27" t="s">
        <v>3724</v>
      </c>
      <c r="C4659" s="27">
        <v>55194</v>
      </c>
      <c r="D4659" s="14" t="s">
        <v>1592</v>
      </c>
      <c r="E4659" s="112"/>
      <c r="F4659" s="139" t="s">
        <v>13967</v>
      </c>
      <c r="G4659" s="140"/>
      <c r="H4659" s="141"/>
      <c r="I4659" s="26">
        <v>49944</v>
      </c>
      <c r="J4659" s="117"/>
      <c r="K4659" s="120"/>
      <c r="L4659" s="121"/>
      <c r="M4659" s="120"/>
      <c r="N4659" s="121"/>
      <c r="O4659" s="120"/>
      <c r="P4659" s="121"/>
      <c r="Q4659" s="120"/>
      <c r="R4659" s="121"/>
      <c r="S4659" s="120"/>
      <c r="T4659" s="121"/>
      <c r="U4659" s="120"/>
      <c r="V4659" s="123"/>
      <c r="W4659" s="125"/>
      <c r="X4659" s="142" t="s">
        <v>4167</v>
      </c>
      <c r="Y4659" s="143"/>
      <c r="Z4659" s="143"/>
      <c r="AA4659" s="143"/>
      <c r="AB4659" s="144"/>
      <c r="AC4659" s="16" t="s">
        <v>21</v>
      </c>
      <c r="AD4659" s="17" t="s">
        <v>1977</v>
      </c>
      <c r="AE4659" s="145" t="s">
        <v>14164</v>
      </c>
      <c r="AF4659" s="146"/>
      <c r="AG4659" s="146"/>
      <c r="AH4659" s="146"/>
      <c r="AI4659" s="147"/>
      <c r="AJ4659" s="148"/>
      <c r="AK4659" s="143"/>
      <c r="AL4659" s="144"/>
      <c r="AM4659" s="22"/>
      <c r="AN4659" s="149" t="s">
        <v>2511</v>
      </c>
      <c r="AO4659" s="144"/>
      <c r="AP4659" s="148">
        <v>80084</v>
      </c>
      <c r="AQ4659" s="144"/>
      <c r="AR4659" s="120"/>
      <c r="AS4659" s="121"/>
      <c r="AT4659" s="120"/>
      <c r="AU4659" s="121"/>
      <c r="AV4659" s="120"/>
      <c r="AW4659" s="121"/>
      <c r="AX4659" s="120"/>
      <c r="AY4659" s="121"/>
      <c r="AZ4659" s="138"/>
    </row>
    <row r="4660" spans="1:52" ht="17.100000000000001" customHeight="1" thickTop="1">
      <c r="A4660" s="109" t="s">
        <v>14005</v>
      </c>
      <c r="B4660" s="28">
        <v>46013</v>
      </c>
      <c r="C4660" s="25"/>
      <c r="D4660" s="13" t="s">
        <v>2941</v>
      </c>
      <c r="E4660" s="111"/>
      <c r="F4660" s="113" t="s">
        <v>13970</v>
      </c>
      <c r="G4660" s="114"/>
      <c r="H4660" s="115"/>
      <c r="I4660" s="24"/>
      <c r="J4660" s="116">
        <v>4</v>
      </c>
      <c r="K4660" s="118">
        <v>1457000</v>
      </c>
      <c r="L4660" s="119"/>
      <c r="M4660" s="118">
        <f t="shared" ref="M4660" si="5282">K4660*0.1</f>
        <v>145700</v>
      </c>
      <c r="N4660" s="119"/>
      <c r="O4660" s="118">
        <v>0</v>
      </c>
      <c r="P4660" s="119"/>
      <c r="Q4660" s="118">
        <v>16970</v>
      </c>
      <c r="R4660" s="119"/>
      <c r="S4660" s="118">
        <v>15950</v>
      </c>
      <c r="T4660" s="119"/>
      <c r="U4660" s="118">
        <f t="shared" ref="U4660" si="5283">SUM(K4660:T4661)</f>
        <v>1635620</v>
      </c>
      <c r="V4660" s="122"/>
      <c r="W4660" s="124"/>
      <c r="X4660" s="126" t="s">
        <v>14520</v>
      </c>
      <c r="Y4660" s="127"/>
      <c r="Z4660" s="127"/>
      <c r="AA4660" s="127"/>
      <c r="AB4660" s="128"/>
      <c r="AC4660" s="15" t="s">
        <v>20</v>
      </c>
      <c r="AD4660" s="129" t="s">
        <v>1670</v>
      </c>
      <c r="AE4660" s="130"/>
      <c r="AF4660" s="130"/>
      <c r="AG4660" s="130"/>
      <c r="AH4660" s="130"/>
      <c r="AI4660" s="131"/>
      <c r="AJ4660" s="132"/>
      <c r="AK4660" s="127"/>
      <c r="AL4660" s="128"/>
      <c r="AM4660" s="21"/>
      <c r="AN4660" s="133">
        <v>46032</v>
      </c>
      <c r="AO4660" s="134"/>
      <c r="AP4660" s="135">
        <v>1283</v>
      </c>
      <c r="AQ4660" s="136"/>
      <c r="AR4660" s="118">
        <v>1680000</v>
      </c>
      <c r="AS4660" s="119"/>
      <c r="AT4660" s="118">
        <f t="shared" ref="AT4660" si="5284">AR4660*0.1</f>
        <v>168000</v>
      </c>
      <c r="AU4660" s="119"/>
      <c r="AV4660" s="118">
        <v>16970</v>
      </c>
      <c r="AW4660" s="119"/>
      <c r="AX4660" s="118">
        <f t="shared" ref="AX4660" si="5285">SUM(AR4660:AW4660)</f>
        <v>1864970</v>
      </c>
      <c r="AY4660" s="119"/>
      <c r="AZ4660" s="137">
        <v>46036</v>
      </c>
    </row>
    <row r="4661" spans="1:52" ht="17.100000000000001" customHeight="1" thickBot="1">
      <c r="A4661" s="110"/>
      <c r="B4661" s="27" t="s">
        <v>3724</v>
      </c>
      <c r="C4661" s="27">
        <v>55300</v>
      </c>
      <c r="D4661" s="14" t="s">
        <v>133</v>
      </c>
      <c r="E4661" s="112"/>
      <c r="F4661" s="139" t="s">
        <v>13971</v>
      </c>
      <c r="G4661" s="140"/>
      <c r="H4661" s="141"/>
      <c r="I4661" s="26">
        <v>50099</v>
      </c>
      <c r="J4661" s="117"/>
      <c r="K4661" s="120"/>
      <c r="L4661" s="121"/>
      <c r="M4661" s="120"/>
      <c r="N4661" s="121"/>
      <c r="O4661" s="120"/>
      <c r="P4661" s="121"/>
      <c r="Q4661" s="120"/>
      <c r="R4661" s="121"/>
      <c r="S4661" s="120"/>
      <c r="T4661" s="121"/>
      <c r="U4661" s="120"/>
      <c r="V4661" s="123"/>
      <c r="W4661" s="125"/>
      <c r="X4661" s="142" t="s">
        <v>14521</v>
      </c>
      <c r="Y4661" s="143"/>
      <c r="Z4661" s="143"/>
      <c r="AA4661" s="143"/>
      <c r="AB4661" s="144"/>
      <c r="AC4661" s="16" t="s">
        <v>21</v>
      </c>
      <c r="AD4661" s="17" t="s">
        <v>1977</v>
      </c>
      <c r="AE4661" s="145" t="s">
        <v>14522</v>
      </c>
      <c r="AF4661" s="146"/>
      <c r="AG4661" s="146"/>
      <c r="AH4661" s="146"/>
      <c r="AI4661" s="147"/>
      <c r="AJ4661" s="148"/>
      <c r="AK4661" s="143"/>
      <c r="AL4661" s="144"/>
      <c r="AM4661" s="22"/>
      <c r="AN4661" s="149" t="s">
        <v>2511</v>
      </c>
      <c r="AO4661" s="144"/>
      <c r="AP4661" s="148">
        <v>80084</v>
      </c>
      <c r="AQ4661" s="144"/>
      <c r="AR4661" s="120"/>
      <c r="AS4661" s="121"/>
      <c r="AT4661" s="120"/>
      <c r="AU4661" s="121"/>
      <c r="AV4661" s="120"/>
      <c r="AW4661" s="121"/>
      <c r="AX4661" s="120"/>
      <c r="AY4661" s="121"/>
      <c r="AZ4661" s="138"/>
    </row>
    <row r="4662" spans="1:52" ht="17.100000000000001" customHeight="1" thickTop="1">
      <c r="A4662" s="109" t="s">
        <v>14073</v>
      </c>
      <c r="B4662" s="28">
        <v>46014</v>
      </c>
      <c r="C4662" s="25">
        <v>1075</v>
      </c>
      <c r="D4662" s="13" t="s">
        <v>2859</v>
      </c>
      <c r="E4662" s="111"/>
      <c r="F4662" s="113" t="s">
        <v>10549</v>
      </c>
      <c r="G4662" s="114"/>
      <c r="H4662" s="115"/>
      <c r="I4662" s="24"/>
      <c r="J4662" s="116">
        <v>4</v>
      </c>
      <c r="K4662" s="118">
        <v>1210000</v>
      </c>
      <c r="L4662" s="119"/>
      <c r="M4662" s="118">
        <f t="shared" ref="M4662" si="5286">K4662*0.1</f>
        <v>121000</v>
      </c>
      <c r="N4662" s="119"/>
      <c r="O4662" s="118">
        <v>0</v>
      </c>
      <c r="P4662" s="119"/>
      <c r="Q4662" s="118">
        <v>12680</v>
      </c>
      <c r="R4662" s="119"/>
      <c r="S4662" s="118">
        <v>16500</v>
      </c>
      <c r="T4662" s="119"/>
      <c r="U4662" s="118">
        <f t="shared" ref="U4662" si="5287">SUM(K4662:T4663)</f>
        <v>1360180</v>
      </c>
      <c r="V4662" s="122"/>
      <c r="W4662" s="124"/>
      <c r="X4662" s="126" t="s">
        <v>14380</v>
      </c>
      <c r="Y4662" s="127"/>
      <c r="Z4662" s="127"/>
      <c r="AA4662" s="127"/>
      <c r="AB4662" s="128"/>
      <c r="AC4662" s="15" t="s">
        <v>20</v>
      </c>
      <c r="AD4662" s="129" t="s">
        <v>7064</v>
      </c>
      <c r="AE4662" s="130"/>
      <c r="AF4662" s="130"/>
      <c r="AG4662" s="130"/>
      <c r="AH4662" s="130"/>
      <c r="AI4662" s="131"/>
      <c r="AJ4662" s="132"/>
      <c r="AK4662" s="127"/>
      <c r="AL4662" s="128"/>
      <c r="AM4662" s="21"/>
      <c r="AN4662" s="133">
        <v>46043</v>
      </c>
      <c r="AO4662" s="134"/>
      <c r="AP4662" s="135">
        <v>1001</v>
      </c>
      <c r="AQ4662" s="136"/>
      <c r="AR4662" s="118">
        <v>1380000</v>
      </c>
      <c r="AS4662" s="119"/>
      <c r="AT4662" s="118">
        <f t="shared" ref="AT4662" si="5288">AR4662*0.1</f>
        <v>138000</v>
      </c>
      <c r="AU4662" s="119"/>
      <c r="AV4662" s="118">
        <v>12680</v>
      </c>
      <c r="AW4662" s="119"/>
      <c r="AX4662" s="118">
        <f t="shared" ref="AX4662" si="5289">SUM(AR4662:AW4662)</f>
        <v>1530680</v>
      </c>
      <c r="AY4662" s="119"/>
      <c r="AZ4662" s="137">
        <v>46048</v>
      </c>
    </row>
    <row r="4663" spans="1:52" ht="17.100000000000001" customHeight="1" thickBot="1">
      <c r="A4663" s="110"/>
      <c r="B4663" s="27" t="s">
        <v>1591</v>
      </c>
      <c r="C4663" s="27">
        <v>82001</v>
      </c>
      <c r="D4663" s="14" t="s">
        <v>1556</v>
      </c>
      <c r="E4663" s="112"/>
      <c r="F4663" s="139" t="s">
        <v>14014</v>
      </c>
      <c r="G4663" s="140"/>
      <c r="H4663" s="141"/>
      <c r="I4663" s="26">
        <v>57033</v>
      </c>
      <c r="J4663" s="117"/>
      <c r="K4663" s="120"/>
      <c r="L4663" s="121"/>
      <c r="M4663" s="120"/>
      <c r="N4663" s="121"/>
      <c r="O4663" s="120"/>
      <c r="P4663" s="121"/>
      <c r="Q4663" s="120"/>
      <c r="R4663" s="121"/>
      <c r="S4663" s="120"/>
      <c r="T4663" s="121"/>
      <c r="U4663" s="120"/>
      <c r="V4663" s="123"/>
      <c r="W4663" s="125"/>
      <c r="X4663" s="142" t="s">
        <v>14381</v>
      </c>
      <c r="Y4663" s="143"/>
      <c r="Z4663" s="143"/>
      <c r="AA4663" s="143"/>
      <c r="AB4663" s="144"/>
      <c r="AC4663" s="16" t="s">
        <v>21</v>
      </c>
      <c r="AD4663" s="17" t="s">
        <v>14344</v>
      </c>
      <c r="AE4663" s="145" t="s">
        <v>14382</v>
      </c>
      <c r="AF4663" s="146"/>
      <c r="AG4663" s="146"/>
      <c r="AH4663" s="146"/>
      <c r="AI4663" s="147"/>
      <c r="AJ4663" s="148"/>
      <c r="AK4663" s="143"/>
      <c r="AL4663" s="144"/>
      <c r="AM4663" s="22"/>
      <c r="AN4663" s="149" t="s">
        <v>2794</v>
      </c>
      <c r="AO4663" s="144"/>
      <c r="AP4663" s="148">
        <v>5025</v>
      </c>
      <c r="AQ4663" s="144"/>
      <c r="AR4663" s="120"/>
      <c r="AS4663" s="121"/>
      <c r="AT4663" s="120"/>
      <c r="AU4663" s="121"/>
      <c r="AV4663" s="120"/>
      <c r="AW4663" s="121"/>
      <c r="AX4663" s="120"/>
      <c r="AY4663" s="121"/>
      <c r="AZ4663" s="138"/>
    </row>
    <row r="4664" spans="1:52" ht="17.100000000000001" customHeight="1" thickTop="1">
      <c r="A4664" s="109" t="s">
        <v>14074</v>
      </c>
      <c r="B4664" s="28">
        <v>46014</v>
      </c>
      <c r="C4664" s="25">
        <v>1075</v>
      </c>
      <c r="D4664" s="13" t="s">
        <v>1712</v>
      </c>
      <c r="E4664" s="111"/>
      <c r="F4664" s="113" t="s">
        <v>14015</v>
      </c>
      <c r="G4664" s="114"/>
      <c r="H4664" s="115"/>
      <c r="I4664" s="24" t="s">
        <v>2526</v>
      </c>
      <c r="J4664" s="116">
        <v>4.5</v>
      </c>
      <c r="K4664" s="118">
        <v>700000</v>
      </c>
      <c r="L4664" s="119"/>
      <c r="M4664" s="118">
        <f t="shared" ref="M4664" si="5290">K4664*0.1</f>
        <v>70000</v>
      </c>
      <c r="N4664" s="119"/>
      <c r="O4664" s="118">
        <f>9800+980</f>
        <v>10780</v>
      </c>
      <c r="P4664" s="119"/>
      <c r="Q4664" s="118">
        <v>18930</v>
      </c>
      <c r="R4664" s="119"/>
      <c r="S4664" s="118">
        <v>27500</v>
      </c>
      <c r="T4664" s="119"/>
      <c r="U4664" s="118">
        <f t="shared" ref="U4664" si="5291">SUM(K4664:T4665)</f>
        <v>827210</v>
      </c>
      <c r="V4664" s="122"/>
      <c r="W4664" s="124"/>
      <c r="X4664" s="126" t="s">
        <v>14017</v>
      </c>
      <c r="Y4664" s="127"/>
      <c r="Z4664" s="127"/>
      <c r="AA4664" s="127"/>
      <c r="AB4664" s="128"/>
      <c r="AC4664" s="15" t="s">
        <v>20</v>
      </c>
      <c r="AD4664" s="129" t="s">
        <v>1575</v>
      </c>
      <c r="AE4664" s="130"/>
      <c r="AF4664" s="130"/>
      <c r="AG4664" s="130"/>
      <c r="AH4664" s="130"/>
      <c r="AI4664" s="131"/>
      <c r="AJ4664" s="132"/>
      <c r="AK4664" s="127"/>
      <c r="AL4664" s="128"/>
      <c r="AM4664" s="21"/>
      <c r="AN4664" s="133">
        <v>46030</v>
      </c>
      <c r="AO4664" s="134"/>
      <c r="AP4664" s="135">
        <v>1313</v>
      </c>
      <c r="AQ4664" s="136"/>
      <c r="AR4664" s="118">
        <v>880000</v>
      </c>
      <c r="AS4664" s="119"/>
      <c r="AT4664" s="118">
        <f t="shared" ref="AT4664" si="5292">AR4664*0.1</f>
        <v>88000</v>
      </c>
      <c r="AU4664" s="119"/>
      <c r="AV4664" s="118">
        <v>18930</v>
      </c>
      <c r="AW4664" s="119"/>
      <c r="AX4664" s="118">
        <f t="shared" ref="AX4664" si="5293">SUM(AR4664:AW4664)</f>
        <v>986930</v>
      </c>
      <c r="AY4664" s="119"/>
      <c r="AZ4664" s="137">
        <v>46031</v>
      </c>
    </row>
    <row r="4665" spans="1:52" ht="17.100000000000001" customHeight="1" thickBot="1">
      <c r="A4665" s="110"/>
      <c r="B4665" s="27" t="s">
        <v>1591</v>
      </c>
      <c r="C4665" s="27">
        <v>84024</v>
      </c>
      <c r="D4665" s="14" t="s">
        <v>3327</v>
      </c>
      <c r="E4665" s="112"/>
      <c r="F4665" s="139" t="s">
        <v>14016</v>
      </c>
      <c r="G4665" s="140"/>
      <c r="H4665" s="141"/>
      <c r="I4665" s="26">
        <v>43066</v>
      </c>
      <c r="J4665" s="117"/>
      <c r="K4665" s="120"/>
      <c r="L4665" s="121"/>
      <c r="M4665" s="120"/>
      <c r="N4665" s="121"/>
      <c r="O4665" s="120"/>
      <c r="P4665" s="121"/>
      <c r="Q4665" s="120"/>
      <c r="R4665" s="121"/>
      <c r="S4665" s="120"/>
      <c r="T4665" s="121"/>
      <c r="U4665" s="120"/>
      <c r="V4665" s="123"/>
      <c r="W4665" s="125"/>
      <c r="X4665" s="142" t="s">
        <v>2321</v>
      </c>
      <c r="Y4665" s="143"/>
      <c r="Z4665" s="143"/>
      <c r="AA4665" s="143"/>
      <c r="AB4665" s="144"/>
      <c r="AC4665" s="16" t="s">
        <v>21</v>
      </c>
      <c r="AD4665" s="17" t="s">
        <v>14344</v>
      </c>
      <c r="AE4665" s="145" t="s">
        <v>1614</v>
      </c>
      <c r="AF4665" s="146"/>
      <c r="AG4665" s="146"/>
      <c r="AH4665" s="146"/>
      <c r="AI4665" s="147"/>
      <c r="AJ4665" s="148"/>
      <c r="AK4665" s="143"/>
      <c r="AL4665" s="144"/>
      <c r="AM4665" s="22"/>
      <c r="AN4665" s="149" t="s">
        <v>14586</v>
      </c>
      <c r="AO4665" s="144"/>
      <c r="AP4665" s="148" t="s">
        <v>14587</v>
      </c>
      <c r="AQ4665" s="144"/>
      <c r="AR4665" s="120"/>
      <c r="AS4665" s="121"/>
      <c r="AT4665" s="120"/>
      <c r="AU4665" s="121"/>
      <c r="AV4665" s="120"/>
      <c r="AW4665" s="121"/>
      <c r="AX4665" s="120"/>
      <c r="AY4665" s="121"/>
      <c r="AZ4665" s="138"/>
    </row>
    <row r="4666" spans="1:52" ht="17.100000000000001" customHeight="1" thickTop="1">
      <c r="A4666" s="151" t="s">
        <v>14075</v>
      </c>
      <c r="B4666" s="28">
        <v>46014</v>
      </c>
      <c r="C4666" s="25">
        <v>1923</v>
      </c>
      <c r="D4666" s="13" t="s">
        <v>4443</v>
      </c>
      <c r="E4666" s="111"/>
      <c r="F4666" s="113" t="s">
        <v>14018</v>
      </c>
      <c r="G4666" s="114"/>
      <c r="H4666" s="115"/>
      <c r="I4666" s="24"/>
      <c r="J4666" s="116">
        <v>4</v>
      </c>
      <c r="K4666" s="118">
        <v>325000</v>
      </c>
      <c r="L4666" s="119"/>
      <c r="M4666" s="118">
        <f t="shared" ref="M4666" si="5294">K4666*0.1</f>
        <v>32500</v>
      </c>
      <c r="N4666" s="119"/>
      <c r="O4666" s="118">
        <v>0</v>
      </c>
      <c r="P4666" s="119"/>
      <c r="Q4666" s="118">
        <v>9470</v>
      </c>
      <c r="R4666" s="119"/>
      <c r="S4666" s="118">
        <v>15950</v>
      </c>
      <c r="T4666" s="119"/>
      <c r="U4666" s="118">
        <f t="shared" ref="U4666" si="5295">SUM(K4666:T4667)</f>
        <v>382920</v>
      </c>
      <c r="V4666" s="122"/>
      <c r="W4666" s="124"/>
      <c r="X4666" s="126" t="s">
        <v>14599</v>
      </c>
      <c r="Y4666" s="127"/>
      <c r="Z4666" s="127"/>
      <c r="AA4666" s="127"/>
      <c r="AB4666" s="128"/>
      <c r="AC4666" s="15" t="s">
        <v>20</v>
      </c>
      <c r="AD4666" s="129"/>
      <c r="AE4666" s="130"/>
      <c r="AF4666" s="130"/>
      <c r="AG4666" s="130"/>
      <c r="AH4666" s="130"/>
      <c r="AI4666" s="131"/>
      <c r="AJ4666" s="132"/>
      <c r="AK4666" s="127"/>
      <c r="AL4666" s="128"/>
      <c r="AM4666" s="21"/>
      <c r="AN4666" s="133">
        <v>46032</v>
      </c>
      <c r="AO4666" s="134"/>
      <c r="AP4666" s="135">
        <v>1283</v>
      </c>
      <c r="AQ4666" s="136"/>
      <c r="AR4666" s="118">
        <v>365000</v>
      </c>
      <c r="AS4666" s="119"/>
      <c r="AT4666" s="118">
        <f t="shared" ref="AT4666" si="5296">AR4666*0.1</f>
        <v>36500</v>
      </c>
      <c r="AU4666" s="119"/>
      <c r="AV4666" s="118">
        <v>9470</v>
      </c>
      <c r="AW4666" s="119"/>
      <c r="AX4666" s="118">
        <f t="shared" ref="AX4666" si="5297">SUM(AR4666:AW4666)</f>
        <v>410970</v>
      </c>
      <c r="AY4666" s="119"/>
      <c r="AZ4666" s="137">
        <v>46036</v>
      </c>
    </row>
    <row r="4667" spans="1:52" ht="17.100000000000001" customHeight="1" thickBot="1">
      <c r="A4667" s="152"/>
      <c r="B4667" s="27" t="s">
        <v>2131</v>
      </c>
      <c r="C4667" s="27">
        <v>3103</v>
      </c>
      <c r="D4667" s="14" t="s">
        <v>2206</v>
      </c>
      <c r="E4667" s="112"/>
      <c r="F4667" s="139" t="s">
        <v>14019</v>
      </c>
      <c r="G4667" s="140"/>
      <c r="H4667" s="141"/>
      <c r="I4667" s="26">
        <v>57291</v>
      </c>
      <c r="J4667" s="117"/>
      <c r="K4667" s="120"/>
      <c r="L4667" s="121"/>
      <c r="M4667" s="120"/>
      <c r="N4667" s="121"/>
      <c r="O4667" s="120"/>
      <c r="P4667" s="121"/>
      <c r="Q4667" s="120"/>
      <c r="R4667" s="121"/>
      <c r="S4667" s="120"/>
      <c r="T4667" s="121"/>
      <c r="U4667" s="120"/>
      <c r="V4667" s="123"/>
      <c r="W4667" s="125"/>
      <c r="X4667" s="142" t="s">
        <v>14600</v>
      </c>
      <c r="Y4667" s="143"/>
      <c r="Z4667" s="143"/>
      <c r="AA4667" s="143"/>
      <c r="AB4667" s="144"/>
      <c r="AC4667" s="16" t="s">
        <v>21</v>
      </c>
      <c r="AD4667" s="17" t="s">
        <v>3921</v>
      </c>
      <c r="AE4667" s="145" t="s">
        <v>12126</v>
      </c>
      <c r="AF4667" s="146"/>
      <c r="AG4667" s="146"/>
      <c r="AH4667" s="146"/>
      <c r="AI4667" s="147"/>
      <c r="AJ4667" s="148"/>
      <c r="AK4667" s="143"/>
      <c r="AL4667" s="144"/>
      <c r="AM4667" s="22"/>
      <c r="AN4667" s="149" t="s">
        <v>2511</v>
      </c>
      <c r="AO4667" s="144"/>
      <c r="AP4667" s="148">
        <v>60098</v>
      </c>
      <c r="AQ4667" s="144"/>
      <c r="AR4667" s="120"/>
      <c r="AS4667" s="121"/>
      <c r="AT4667" s="120"/>
      <c r="AU4667" s="121"/>
      <c r="AV4667" s="120"/>
      <c r="AW4667" s="121"/>
      <c r="AX4667" s="120"/>
      <c r="AY4667" s="121"/>
      <c r="AZ4667" s="138"/>
    </row>
    <row r="4668" spans="1:52" ht="17.100000000000001" customHeight="1" thickTop="1">
      <c r="A4668" s="109" t="s">
        <v>14076</v>
      </c>
      <c r="B4668" s="28">
        <v>46014</v>
      </c>
      <c r="C4668" s="25">
        <v>1923</v>
      </c>
      <c r="D4668" s="13" t="s">
        <v>1922</v>
      </c>
      <c r="E4668" s="111"/>
      <c r="F4668" s="113" t="s">
        <v>4677</v>
      </c>
      <c r="G4668" s="114"/>
      <c r="H4668" s="115"/>
      <c r="I4668" s="24" t="s">
        <v>2064</v>
      </c>
      <c r="J4668" s="116">
        <v>4.5</v>
      </c>
      <c r="K4668" s="118">
        <v>681000</v>
      </c>
      <c r="L4668" s="119"/>
      <c r="M4668" s="118">
        <f t="shared" ref="M4668" si="5298">K4668*0.1</f>
        <v>68100</v>
      </c>
      <c r="N4668" s="119"/>
      <c r="O4668" s="118">
        <v>0</v>
      </c>
      <c r="P4668" s="119"/>
      <c r="Q4668" s="118">
        <v>7150</v>
      </c>
      <c r="R4668" s="119"/>
      <c r="S4668" s="118">
        <v>15950</v>
      </c>
      <c r="T4668" s="119"/>
      <c r="U4668" s="118">
        <f t="shared" ref="U4668" si="5299">SUM(K4668:T4669)</f>
        <v>772200</v>
      </c>
      <c r="V4668" s="122"/>
      <c r="W4668" s="124"/>
      <c r="X4668" s="126" t="s">
        <v>14021</v>
      </c>
      <c r="Y4668" s="127"/>
      <c r="Z4668" s="127"/>
      <c r="AA4668" s="127"/>
      <c r="AB4668" s="128"/>
      <c r="AC4668" s="15" t="s">
        <v>20</v>
      </c>
      <c r="AD4668" s="129" t="s">
        <v>4982</v>
      </c>
      <c r="AE4668" s="130"/>
      <c r="AF4668" s="130"/>
      <c r="AG4668" s="130"/>
      <c r="AH4668" s="130"/>
      <c r="AI4668" s="131"/>
      <c r="AJ4668" s="132"/>
      <c r="AK4668" s="127"/>
      <c r="AL4668" s="128"/>
      <c r="AM4668" s="21" t="s">
        <v>15054</v>
      </c>
      <c r="AN4668" s="133">
        <v>46032</v>
      </c>
      <c r="AO4668" s="134"/>
      <c r="AP4668" s="135">
        <v>1283</v>
      </c>
      <c r="AQ4668" s="136"/>
      <c r="AR4668" s="118">
        <v>840000</v>
      </c>
      <c r="AS4668" s="119"/>
      <c r="AT4668" s="118">
        <f t="shared" ref="AT4668" si="5300">AR4668*0.1</f>
        <v>84000</v>
      </c>
      <c r="AU4668" s="119"/>
      <c r="AV4668" s="118">
        <v>7150</v>
      </c>
      <c r="AW4668" s="119"/>
      <c r="AX4668" s="118">
        <f t="shared" ref="AX4668" si="5301">SUM(AR4668:AW4668)</f>
        <v>931150</v>
      </c>
      <c r="AY4668" s="119"/>
      <c r="AZ4668" s="137">
        <v>46042</v>
      </c>
    </row>
    <row r="4669" spans="1:52" ht="17.100000000000001" customHeight="1" thickBot="1">
      <c r="A4669" s="110"/>
      <c r="B4669" s="27" t="s">
        <v>2131</v>
      </c>
      <c r="C4669" s="27">
        <v>3229</v>
      </c>
      <c r="D4669" s="14" t="s">
        <v>2601</v>
      </c>
      <c r="E4669" s="112"/>
      <c r="F4669" s="139" t="s">
        <v>14020</v>
      </c>
      <c r="G4669" s="140"/>
      <c r="H4669" s="141"/>
      <c r="I4669" s="26">
        <v>54723</v>
      </c>
      <c r="J4669" s="117"/>
      <c r="K4669" s="120"/>
      <c r="L4669" s="121"/>
      <c r="M4669" s="120"/>
      <c r="N4669" s="121"/>
      <c r="O4669" s="120"/>
      <c r="P4669" s="121"/>
      <c r="Q4669" s="120"/>
      <c r="R4669" s="121"/>
      <c r="S4669" s="120"/>
      <c r="T4669" s="121"/>
      <c r="U4669" s="120"/>
      <c r="V4669" s="123"/>
      <c r="W4669" s="125"/>
      <c r="X4669" s="142" t="s">
        <v>11198</v>
      </c>
      <c r="Y4669" s="143"/>
      <c r="Z4669" s="143"/>
      <c r="AA4669" s="143"/>
      <c r="AB4669" s="144"/>
      <c r="AC4669" s="16" t="s">
        <v>21</v>
      </c>
      <c r="AD4669" s="17" t="s">
        <v>14344</v>
      </c>
      <c r="AE4669" s="145" t="s">
        <v>14353</v>
      </c>
      <c r="AF4669" s="146"/>
      <c r="AG4669" s="146"/>
      <c r="AH4669" s="146"/>
      <c r="AI4669" s="147"/>
      <c r="AJ4669" s="148"/>
      <c r="AK4669" s="143"/>
      <c r="AL4669" s="144"/>
      <c r="AM4669" s="22"/>
      <c r="AN4669" s="149" t="s">
        <v>6748</v>
      </c>
      <c r="AO4669" s="144"/>
      <c r="AP4669" s="148">
        <v>60407</v>
      </c>
      <c r="AQ4669" s="144"/>
      <c r="AR4669" s="120"/>
      <c r="AS4669" s="121"/>
      <c r="AT4669" s="120"/>
      <c r="AU4669" s="121"/>
      <c r="AV4669" s="120"/>
      <c r="AW4669" s="121"/>
      <c r="AX4669" s="120"/>
      <c r="AY4669" s="121"/>
      <c r="AZ4669" s="138"/>
    </row>
    <row r="4670" spans="1:52" ht="17.100000000000001" customHeight="1" thickTop="1">
      <c r="A4670" s="151" t="s">
        <v>14077</v>
      </c>
      <c r="B4670" s="28">
        <v>46014</v>
      </c>
      <c r="C4670" s="25">
        <v>1923</v>
      </c>
      <c r="D4670" s="13" t="s">
        <v>1922</v>
      </c>
      <c r="E4670" s="111"/>
      <c r="F4670" s="113" t="s">
        <v>14022</v>
      </c>
      <c r="G4670" s="114"/>
      <c r="H4670" s="115"/>
      <c r="I4670" s="24"/>
      <c r="J4670" s="116">
        <v>4.5</v>
      </c>
      <c r="K4670" s="118">
        <v>796000</v>
      </c>
      <c r="L4670" s="119"/>
      <c r="M4670" s="118">
        <v>0</v>
      </c>
      <c r="N4670" s="119"/>
      <c r="O4670" s="118">
        <v>0</v>
      </c>
      <c r="P4670" s="119"/>
      <c r="Q4670" s="118">
        <v>8430</v>
      </c>
      <c r="R4670" s="119"/>
      <c r="S4670" s="118">
        <v>15950</v>
      </c>
      <c r="T4670" s="119"/>
      <c r="U4670" s="118">
        <f t="shared" ref="U4670" si="5302">SUM(K4670:T4671)</f>
        <v>820380</v>
      </c>
      <c r="V4670" s="122"/>
      <c r="W4670" s="124"/>
      <c r="X4670" s="126" t="s">
        <v>14351</v>
      </c>
      <c r="Y4670" s="127"/>
      <c r="Z4670" s="127"/>
      <c r="AA4670" s="127"/>
      <c r="AB4670" s="128"/>
      <c r="AC4670" s="15" t="s">
        <v>20</v>
      </c>
      <c r="AD4670" s="129" t="s">
        <v>171</v>
      </c>
      <c r="AE4670" s="130"/>
      <c r="AF4670" s="130"/>
      <c r="AG4670" s="130"/>
      <c r="AH4670" s="130"/>
      <c r="AI4670" s="131"/>
      <c r="AJ4670" s="132"/>
      <c r="AK4670" s="127"/>
      <c r="AL4670" s="128"/>
      <c r="AM4670" s="21"/>
      <c r="AN4670" s="133">
        <v>46039</v>
      </c>
      <c r="AO4670" s="134"/>
      <c r="AP4670" s="135">
        <v>1284</v>
      </c>
      <c r="AQ4670" s="136"/>
      <c r="AR4670" s="118">
        <v>810000</v>
      </c>
      <c r="AS4670" s="119"/>
      <c r="AT4670" s="118">
        <f t="shared" ref="AT4670" si="5303">AR4670*0.1</f>
        <v>81000</v>
      </c>
      <c r="AU4670" s="119"/>
      <c r="AV4670" s="118">
        <v>8430</v>
      </c>
      <c r="AW4670" s="119"/>
      <c r="AX4670" s="118">
        <f t="shared" ref="AX4670" si="5304">SUM(AR4670:AW4670)</f>
        <v>899430</v>
      </c>
      <c r="AY4670" s="119"/>
      <c r="AZ4670" s="137">
        <v>46042</v>
      </c>
    </row>
    <row r="4671" spans="1:52" ht="17.100000000000001" customHeight="1" thickBot="1">
      <c r="A4671" s="152"/>
      <c r="B4671" s="27" t="s">
        <v>2131</v>
      </c>
      <c r="C4671" s="27">
        <v>5416</v>
      </c>
      <c r="D4671" s="14" t="s">
        <v>2800</v>
      </c>
      <c r="E4671" s="112"/>
      <c r="F4671" s="139" t="s">
        <v>14023</v>
      </c>
      <c r="G4671" s="140"/>
      <c r="H4671" s="141"/>
      <c r="I4671" s="26">
        <v>9766</v>
      </c>
      <c r="J4671" s="117"/>
      <c r="K4671" s="120"/>
      <c r="L4671" s="121"/>
      <c r="M4671" s="120"/>
      <c r="N4671" s="121"/>
      <c r="O4671" s="120"/>
      <c r="P4671" s="121"/>
      <c r="Q4671" s="120"/>
      <c r="R4671" s="121"/>
      <c r="S4671" s="120"/>
      <c r="T4671" s="121"/>
      <c r="U4671" s="120"/>
      <c r="V4671" s="123"/>
      <c r="W4671" s="125"/>
      <c r="X4671" s="142" t="s">
        <v>14352</v>
      </c>
      <c r="Y4671" s="143"/>
      <c r="Z4671" s="143"/>
      <c r="AA4671" s="143"/>
      <c r="AB4671" s="144"/>
      <c r="AC4671" s="16" t="s">
        <v>21</v>
      </c>
      <c r="AD4671" s="17" t="s">
        <v>14344</v>
      </c>
      <c r="AE4671" s="145" t="s">
        <v>3604</v>
      </c>
      <c r="AF4671" s="146"/>
      <c r="AG4671" s="146"/>
      <c r="AH4671" s="146"/>
      <c r="AI4671" s="147"/>
      <c r="AJ4671" s="148"/>
      <c r="AK4671" s="143"/>
      <c r="AL4671" s="144"/>
      <c r="AM4671" s="22"/>
      <c r="AN4671" s="149" t="s">
        <v>2511</v>
      </c>
      <c r="AO4671" s="144"/>
      <c r="AP4671" s="148">
        <v>60088</v>
      </c>
      <c r="AQ4671" s="144"/>
      <c r="AR4671" s="120"/>
      <c r="AS4671" s="121"/>
      <c r="AT4671" s="120"/>
      <c r="AU4671" s="121"/>
      <c r="AV4671" s="120"/>
      <c r="AW4671" s="121"/>
      <c r="AX4671" s="120"/>
      <c r="AY4671" s="121"/>
      <c r="AZ4671" s="138"/>
    </row>
    <row r="4672" spans="1:52" ht="17.100000000000001" customHeight="1" thickTop="1">
      <c r="A4672" s="109" t="s">
        <v>14078</v>
      </c>
      <c r="B4672" s="28">
        <v>46014</v>
      </c>
      <c r="C4672" s="25">
        <v>921</v>
      </c>
      <c r="D4672" s="13" t="s">
        <v>5614</v>
      </c>
      <c r="E4672" s="111"/>
      <c r="F4672" s="113" t="s">
        <v>4378</v>
      </c>
      <c r="G4672" s="114"/>
      <c r="H4672" s="115"/>
      <c r="I4672" s="24"/>
      <c r="J4672" s="116">
        <v>4.5</v>
      </c>
      <c r="K4672" s="118">
        <v>859000</v>
      </c>
      <c r="L4672" s="119"/>
      <c r="M4672" s="118">
        <f t="shared" ref="M4672" si="5305">K4672*0.1</f>
        <v>85900</v>
      </c>
      <c r="N4672" s="119"/>
      <c r="O4672" s="118">
        <v>0</v>
      </c>
      <c r="P4672" s="119"/>
      <c r="Q4672" s="118">
        <v>16260</v>
      </c>
      <c r="R4672" s="119"/>
      <c r="S4672" s="118">
        <v>15950</v>
      </c>
      <c r="T4672" s="119"/>
      <c r="U4672" s="118">
        <f t="shared" ref="U4672" si="5306">SUM(K4672:T4673)</f>
        <v>977110</v>
      </c>
      <c r="V4672" s="122"/>
      <c r="W4672" s="124"/>
      <c r="X4672" s="126" t="s">
        <v>14350</v>
      </c>
      <c r="Y4672" s="127"/>
      <c r="Z4672" s="127"/>
      <c r="AA4672" s="127"/>
      <c r="AB4672" s="128"/>
      <c r="AC4672" s="15" t="s">
        <v>20</v>
      </c>
      <c r="AD4672" s="129"/>
      <c r="AE4672" s="130"/>
      <c r="AF4672" s="130"/>
      <c r="AG4672" s="130"/>
      <c r="AH4672" s="130"/>
      <c r="AI4672" s="131"/>
      <c r="AJ4672" s="132"/>
      <c r="AK4672" s="127"/>
      <c r="AL4672" s="128"/>
      <c r="AM4672" s="21"/>
      <c r="AN4672" s="133">
        <v>46018</v>
      </c>
      <c r="AO4672" s="134"/>
      <c r="AP4672" s="135">
        <v>1282</v>
      </c>
      <c r="AQ4672" s="136"/>
      <c r="AR4672" s="118">
        <v>980000</v>
      </c>
      <c r="AS4672" s="119"/>
      <c r="AT4672" s="118">
        <f t="shared" ref="AT4672" si="5307">AR4672*0.1</f>
        <v>98000</v>
      </c>
      <c r="AU4672" s="119"/>
      <c r="AV4672" s="118">
        <v>16260</v>
      </c>
      <c r="AW4672" s="119"/>
      <c r="AX4672" s="118">
        <f t="shared" ref="AX4672" si="5308">SUM(AR4672:AW4672)</f>
        <v>1094260</v>
      </c>
      <c r="AY4672" s="119"/>
      <c r="AZ4672" s="137">
        <v>46028</v>
      </c>
    </row>
    <row r="4673" spans="1:52" ht="17.100000000000001" customHeight="1" thickBot="1">
      <c r="A4673" s="110"/>
      <c r="B4673" s="27" t="s">
        <v>2699</v>
      </c>
      <c r="C4673" s="27">
        <v>208</v>
      </c>
      <c r="D4673" s="14" t="s">
        <v>2601</v>
      </c>
      <c r="E4673" s="112"/>
      <c r="F4673" s="139" t="s">
        <v>14024</v>
      </c>
      <c r="G4673" s="140"/>
      <c r="H4673" s="141"/>
      <c r="I4673" s="26">
        <v>92106</v>
      </c>
      <c r="J4673" s="117"/>
      <c r="K4673" s="120"/>
      <c r="L4673" s="121"/>
      <c r="M4673" s="120"/>
      <c r="N4673" s="121"/>
      <c r="O4673" s="120"/>
      <c r="P4673" s="121"/>
      <c r="Q4673" s="120"/>
      <c r="R4673" s="121"/>
      <c r="S4673" s="120"/>
      <c r="T4673" s="121"/>
      <c r="U4673" s="120"/>
      <c r="V4673" s="123"/>
      <c r="W4673" s="125"/>
      <c r="X4673" s="142" t="s">
        <v>3562</v>
      </c>
      <c r="Y4673" s="143"/>
      <c r="Z4673" s="143"/>
      <c r="AA4673" s="143"/>
      <c r="AB4673" s="144"/>
      <c r="AC4673" s="16" t="s">
        <v>21</v>
      </c>
      <c r="AD4673" s="17" t="s">
        <v>14344</v>
      </c>
      <c r="AE4673" s="145"/>
      <c r="AF4673" s="146"/>
      <c r="AG4673" s="146"/>
      <c r="AH4673" s="146"/>
      <c r="AI4673" s="147"/>
      <c r="AJ4673" s="148"/>
      <c r="AK4673" s="143"/>
      <c r="AL4673" s="144"/>
      <c r="AM4673" s="22"/>
      <c r="AN4673" s="149" t="s">
        <v>2511</v>
      </c>
      <c r="AO4673" s="144"/>
      <c r="AP4673" s="148">
        <v>180</v>
      </c>
      <c r="AQ4673" s="144"/>
      <c r="AR4673" s="120"/>
      <c r="AS4673" s="121"/>
      <c r="AT4673" s="120"/>
      <c r="AU4673" s="121"/>
      <c r="AV4673" s="120"/>
      <c r="AW4673" s="121"/>
      <c r="AX4673" s="120"/>
      <c r="AY4673" s="121"/>
      <c r="AZ4673" s="138"/>
    </row>
    <row r="4674" spans="1:52" ht="17.100000000000001" customHeight="1" thickTop="1">
      <c r="A4674" s="151" t="s">
        <v>14079</v>
      </c>
      <c r="B4674" s="28">
        <v>46014</v>
      </c>
      <c r="C4674" s="25">
        <v>921</v>
      </c>
      <c r="D4674" s="13" t="s">
        <v>1712</v>
      </c>
      <c r="E4674" s="111"/>
      <c r="F4674" s="113" t="s">
        <v>14025</v>
      </c>
      <c r="G4674" s="114"/>
      <c r="H4674" s="115"/>
      <c r="I4674" s="24"/>
      <c r="J4674" s="116">
        <v>4</v>
      </c>
      <c r="K4674" s="118">
        <v>601000</v>
      </c>
      <c r="L4674" s="119"/>
      <c r="M4674" s="118">
        <f t="shared" ref="M4674" si="5309">K4674*0.1</f>
        <v>60100</v>
      </c>
      <c r="N4674" s="119"/>
      <c r="O4674" s="118">
        <v>0</v>
      </c>
      <c r="P4674" s="119"/>
      <c r="Q4674" s="118">
        <v>8550</v>
      </c>
      <c r="R4674" s="119"/>
      <c r="S4674" s="118">
        <v>15950</v>
      </c>
      <c r="T4674" s="119"/>
      <c r="U4674" s="118">
        <f t="shared" ref="U4674" si="5310">SUM(K4674:T4675)</f>
        <v>685600</v>
      </c>
      <c r="V4674" s="122"/>
      <c r="W4674" s="124"/>
      <c r="X4674" s="126" t="s">
        <v>14354</v>
      </c>
      <c r="Y4674" s="127"/>
      <c r="Z4674" s="127"/>
      <c r="AA4674" s="127"/>
      <c r="AB4674" s="128"/>
      <c r="AC4674" s="15" t="s">
        <v>20</v>
      </c>
      <c r="AD4674" s="129"/>
      <c r="AE4674" s="130"/>
      <c r="AF4674" s="130"/>
      <c r="AG4674" s="130"/>
      <c r="AH4674" s="130"/>
      <c r="AI4674" s="131"/>
      <c r="AJ4674" s="132"/>
      <c r="AK4674" s="127"/>
      <c r="AL4674" s="128"/>
      <c r="AM4674" s="21"/>
      <c r="AN4674" s="133">
        <v>46032</v>
      </c>
      <c r="AO4674" s="134"/>
      <c r="AP4674" s="135">
        <v>1283</v>
      </c>
      <c r="AQ4674" s="136"/>
      <c r="AR4674" s="118">
        <v>705000</v>
      </c>
      <c r="AS4674" s="119"/>
      <c r="AT4674" s="118">
        <v>70500</v>
      </c>
      <c r="AU4674" s="119"/>
      <c r="AV4674" s="118">
        <v>8550</v>
      </c>
      <c r="AW4674" s="119"/>
      <c r="AX4674" s="118">
        <f t="shared" ref="AX4674" si="5311">SUM(AR4674:AW4674)</f>
        <v>784050</v>
      </c>
      <c r="AY4674" s="119"/>
      <c r="AZ4674" s="137">
        <v>46036</v>
      </c>
    </row>
    <row r="4675" spans="1:52" ht="17.100000000000001" customHeight="1" thickBot="1">
      <c r="A4675" s="152"/>
      <c r="B4675" s="27" t="s">
        <v>2699</v>
      </c>
      <c r="C4675" s="27">
        <v>3035</v>
      </c>
      <c r="D4675" s="14" t="s">
        <v>1576</v>
      </c>
      <c r="E4675" s="112"/>
      <c r="F4675" s="139" t="s">
        <v>14026</v>
      </c>
      <c r="G4675" s="140"/>
      <c r="H4675" s="141"/>
      <c r="I4675" s="26">
        <v>51049</v>
      </c>
      <c r="J4675" s="117"/>
      <c r="K4675" s="120"/>
      <c r="L4675" s="121"/>
      <c r="M4675" s="120"/>
      <c r="N4675" s="121"/>
      <c r="O4675" s="120"/>
      <c r="P4675" s="121"/>
      <c r="Q4675" s="120"/>
      <c r="R4675" s="121"/>
      <c r="S4675" s="120"/>
      <c r="T4675" s="121"/>
      <c r="U4675" s="120"/>
      <c r="V4675" s="123"/>
      <c r="W4675" s="125"/>
      <c r="X4675" s="142" t="s">
        <v>4928</v>
      </c>
      <c r="Y4675" s="143"/>
      <c r="Z4675" s="143"/>
      <c r="AA4675" s="143"/>
      <c r="AB4675" s="144"/>
      <c r="AC4675" s="16" t="s">
        <v>21</v>
      </c>
      <c r="AD4675" s="17" t="s">
        <v>14344</v>
      </c>
      <c r="AE4675" s="145" t="s">
        <v>4929</v>
      </c>
      <c r="AF4675" s="146"/>
      <c r="AG4675" s="146"/>
      <c r="AH4675" s="146"/>
      <c r="AI4675" s="147"/>
      <c r="AJ4675" s="148"/>
      <c r="AK4675" s="143"/>
      <c r="AL4675" s="144"/>
      <c r="AM4675" s="22"/>
      <c r="AN4675" s="149" t="s">
        <v>2511</v>
      </c>
      <c r="AO4675" s="144"/>
      <c r="AP4675" s="148">
        <v>60090</v>
      </c>
      <c r="AQ4675" s="144"/>
      <c r="AR4675" s="120"/>
      <c r="AS4675" s="121"/>
      <c r="AT4675" s="120"/>
      <c r="AU4675" s="121"/>
      <c r="AV4675" s="120"/>
      <c r="AW4675" s="121"/>
      <c r="AX4675" s="120"/>
      <c r="AY4675" s="121"/>
      <c r="AZ4675" s="138"/>
    </row>
    <row r="4676" spans="1:52" ht="17.100000000000001" customHeight="1" thickTop="1">
      <c r="A4676" s="151" t="s">
        <v>14080</v>
      </c>
      <c r="B4676" s="28">
        <v>46014</v>
      </c>
      <c r="C4676" s="25">
        <v>921</v>
      </c>
      <c r="D4676" s="13" t="s">
        <v>4287</v>
      </c>
      <c r="E4676" s="111"/>
      <c r="F4676" s="113" t="s">
        <v>14027</v>
      </c>
      <c r="G4676" s="114"/>
      <c r="H4676" s="115"/>
      <c r="I4676" s="24" t="s">
        <v>4193</v>
      </c>
      <c r="J4676" s="116">
        <v>4</v>
      </c>
      <c r="K4676" s="118">
        <v>1134000</v>
      </c>
      <c r="L4676" s="119"/>
      <c r="M4676" s="118">
        <f t="shared" ref="M4676" si="5312">K4676*0.1</f>
        <v>113400</v>
      </c>
      <c r="N4676" s="119"/>
      <c r="O4676" s="118">
        <v>0</v>
      </c>
      <c r="P4676" s="119"/>
      <c r="Q4676" s="118">
        <v>6850</v>
      </c>
      <c r="R4676" s="119"/>
      <c r="S4676" s="118">
        <v>15950</v>
      </c>
      <c r="T4676" s="119"/>
      <c r="U4676" s="118">
        <f t="shared" ref="U4676" si="5313">SUM(K4676:T4677)</f>
        <v>1270200</v>
      </c>
      <c r="V4676" s="122"/>
      <c r="W4676" s="124"/>
      <c r="X4676" s="126" t="s">
        <v>14029</v>
      </c>
      <c r="Y4676" s="127"/>
      <c r="Z4676" s="127"/>
      <c r="AA4676" s="127"/>
      <c r="AB4676" s="128"/>
      <c r="AC4676" s="15" t="s">
        <v>20</v>
      </c>
      <c r="AD4676" s="129" t="s">
        <v>171</v>
      </c>
      <c r="AE4676" s="130"/>
      <c r="AF4676" s="130"/>
      <c r="AG4676" s="130"/>
      <c r="AH4676" s="130"/>
      <c r="AI4676" s="131"/>
      <c r="AJ4676" s="132"/>
      <c r="AK4676" s="127"/>
      <c r="AL4676" s="128"/>
      <c r="AM4676" s="21" t="s">
        <v>14885</v>
      </c>
      <c r="AN4676" s="133">
        <v>46032</v>
      </c>
      <c r="AO4676" s="134"/>
      <c r="AP4676" s="135">
        <v>1283</v>
      </c>
      <c r="AQ4676" s="136"/>
      <c r="AR4676" s="118">
        <v>1220000</v>
      </c>
      <c r="AS4676" s="119"/>
      <c r="AT4676" s="118">
        <f t="shared" ref="AT4676" si="5314">AR4676*0.1</f>
        <v>122000</v>
      </c>
      <c r="AU4676" s="119"/>
      <c r="AV4676" s="118">
        <v>6850</v>
      </c>
      <c r="AW4676" s="119"/>
      <c r="AX4676" s="118">
        <f t="shared" ref="AX4676" si="5315">SUM(AR4676:AW4676)</f>
        <v>1348850</v>
      </c>
      <c r="AY4676" s="119"/>
      <c r="AZ4676" s="137">
        <v>46037</v>
      </c>
    </row>
    <row r="4677" spans="1:52" ht="17.100000000000001" customHeight="1" thickBot="1">
      <c r="A4677" s="152"/>
      <c r="B4677" s="27" t="s">
        <v>2699</v>
      </c>
      <c r="C4677" s="27">
        <v>3036</v>
      </c>
      <c r="D4677" s="14" t="s">
        <v>4023</v>
      </c>
      <c r="E4677" s="112"/>
      <c r="F4677" s="139" t="s">
        <v>14028</v>
      </c>
      <c r="G4677" s="140"/>
      <c r="H4677" s="141"/>
      <c r="I4677" s="26">
        <v>31446</v>
      </c>
      <c r="J4677" s="117"/>
      <c r="K4677" s="120"/>
      <c r="L4677" s="121"/>
      <c r="M4677" s="120"/>
      <c r="N4677" s="121"/>
      <c r="O4677" s="120"/>
      <c r="P4677" s="121"/>
      <c r="Q4677" s="120"/>
      <c r="R4677" s="121"/>
      <c r="S4677" s="120"/>
      <c r="T4677" s="121"/>
      <c r="U4677" s="120"/>
      <c r="V4677" s="123"/>
      <c r="W4677" s="125"/>
      <c r="X4677" s="142" t="s">
        <v>14357</v>
      </c>
      <c r="Y4677" s="143"/>
      <c r="Z4677" s="143"/>
      <c r="AA4677" s="143"/>
      <c r="AB4677" s="144"/>
      <c r="AC4677" s="16" t="s">
        <v>21</v>
      </c>
      <c r="AD4677" s="17" t="s">
        <v>14344</v>
      </c>
      <c r="AE4677" s="145" t="s">
        <v>2395</v>
      </c>
      <c r="AF4677" s="146"/>
      <c r="AG4677" s="146"/>
      <c r="AH4677" s="146"/>
      <c r="AI4677" s="147"/>
      <c r="AJ4677" s="148"/>
      <c r="AK4677" s="143"/>
      <c r="AL4677" s="144"/>
      <c r="AM4677" s="22"/>
      <c r="AN4677" s="149" t="s">
        <v>2511</v>
      </c>
      <c r="AO4677" s="144"/>
      <c r="AP4677" s="148">
        <v>60295</v>
      </c>
      <c r="AQ4677" s="144"/>
      <c r="AR4677" s="120"/>
      <c r="AS4677" s="121"/>
      <c r="AT4677" s="120"/>
      <c r="AU4677" s="121"/>
      <c r="AV4677" s="120"/>
      <c r="AW4677" s="121"/>
      <c r="AX4677" s="120"/>
      <c r="AY4677" s="121"/>
      <c r="AZ4677" s="138"/>
    </row>
    <row r="4678" spans="1:52" ht="17.100000000000001" customHeight="1" thickTop="1">
      <c r="A4678" s="109" t="s">
        <v>14081</v>
      </c>
      <c r="B4678" s="28">
        <v>46014</v>
      </c>
      <c r="C4678" s="25">
        <v>921</v>
      </c>
      <c r="D4678" s="13" t="s">
        <v>2941</v>
      </c>
      <c r="E4678" s="111"/>
      <c r="F4678" s="113" t="s">
        <v>14030</v>
      </c>
      <c r="G4678" s="114"/>
      <c r="H4678" s="115"/>
      <c r="I4678" s="24" t="s">
        <v>2943</v>
      </c>
      <c r="J4678" s="116">
        <v>4</v>
      </c>
      <c r="K4678" s="118">
        <v>994000</v>
      </c>
      <c r="L4678" s="119"/>
      <c r="M4678" s="118">
        <f t="shared" ref="M4678" si="5316">K4678*0.1</f>
        <v>99400</v>
      </c>
      <c r="N4678" s="119"/>
      <c r="O4678" s="118">
        <v>0</v>
      </c>
      <c r="P4678" s="119"/>
      <c r="Q4678" s="118">
        <v>9310</v>
      </c>
      <c r="R4678" s="119"/>
      <c r="S4678" s="118">
        <v>15950</v>
      </c>
      <c r="T4678" s="119"/>
      <c r="U4678" s="118">
        <f t="shared" ref="U4678" si="5317">SUM(K4678:T4679)</f>
        <v>1118660</v>
      </c>
      <c r="V4678" s="122"/>
      <c r="W4678" s="124"/>
      <c r="X4678" s="126" t="s">
        <v>14032</v>
      </c>
      <c r="Y4678" s="127"/>
      <c r="Z4678" s="127"/>
      <c r="AA4678" s="127"/>
      <c r="AB4678" s="128"/>
      <c r="AC4678" s="15" t="s">
        <v>20</v>
      </c>
      <c r="AD4678" s="129" t="s">
        <v>14033</v>
      </c>
      <c r="AE4678" s="130"/>
      <c r="AF4678" s="130"/>
      <c r="AG4678" s="130"/>
      <c r="AH4678" s="130"/>
      <c r="AI4678" s="131"/>
      <c r="AJ4678" s="132"/>
      <c r="AK4678" s="127"/>
      <c r="AL4678" s="128"/>
      <c r="AM4678" s="21" t="s">
        <v>15052</v>
      </c>
      <c r="AN4678" s="133">
        <v>46032</v>
      </c>
      <c r="AO4678" s="134"/>
      <c r="AP4678" s="135">
        <v>1283</v>
      </c>
      <c r="AQ4678" s="136"/>
      <c r="AR4678" s="118">
        <v>1140000</v>
      </c>
      <c r="AS4678" s="119"/>
      <c r="AT4678" s="118">
        <f t="shared" ref="AT4678" si="5318">AR4678*0.1</f>
        <v>114000</v>
      </c>
      <c r="AU4678" s="119"/>
      <c r="AV4678" s="118">
        <v>9310</v>
      </c>
      <c r="AW4678" s="119"/>
      <c r="AX4678" s="118">
        <f t="shared" ref="AX4678" si="5319">SUM(AR4678:AW4678)</f>
        <v>1263310</v>
      </c>
      <c r="AY4678" s="119"/>
      <c r="AZ4678" s="137">
        <v>46042</v>
      </c>
    </row>
    <row r="4679" spans="1:52" ht="17.100000000000001" customHeight="1" thickBot="1">
      <c r="A4679" s="110"/>
      <c r="B4679" s="27" t="s">
        <v>2699</v>
      </c>
      <c r="C4679" s="27">
        <v>3048</v>
      </c>
      <c r="D4679" s="14" t="s">
        <v>1576</v>
      </c>
      <c r="E4679" s="112"/>
      <c r="F4679" s="139" t="s">
        <v>14031</v>
      </c>
      <c r="G4679" s="140"/>
      <c r="H4679" s="141"/>
      <c r="I4679" s="26">
        <v>48070</v>
      </c>
      <c r="J4679" s="117"/>
      <c r="K4679" s="120"/>
      <c r="L4679" s="121"/>
      <c r="M4679" s="120"/>
      <c r="N4679" s="121"/>
      <c r="O4679" s="120"/>
      <c r="P4679" s="121"/>
      <c r="Q4679" s="120"/>
      <c r="R4679" s="121"/>
      <c r="S4679" s="120"/>
      <c r="T4679" s="121"/>
      <c r="U4679" s="120"/>
      <c r="V4679" s="123"/>
      <c r="W4679" s="125"/>
      <c r="X4679" s="142" t="s">
        <v>14355</v>
      </c>
      <c r="Y4679" s="143"/>
      <c r="Z4679" s="143"/>
      <c r="AA4679" s="143"/>
      <c r="AB4679" s="144"/>
      <c r="AC4679" s="16" t="s">
        <v>21</v>
      </c>
      <c r="AD4679" s="17" t="s">
        <v>14344</v>
      </c>
      <c r="AE4679" s="145" t="s">
        <v>9915</v>
      </c>
      <c r="AF4679" s="146"/>
      <c r="AG4679" s="146"/>
      <c r="AH4679" s="146"/>
      <c r="AI4679" s="147"/>
      <c r="AJ4679" s="148"/>
      <c r="AK4679" s="143"/>
      <c r="AL4679" s="144"/>
      <c r="AM4679" s="22"/>
      <c r="AN4679" s="149" t="s">
        <v>6748</v>
      </c>
      <c r="AO4679" s="144"/>
      <c r="AP4679" s="148">
        <v>60247</v>
      </c>
      <c r="AQ4679" s="144"/>
      <c r="AR4679" s="120"/>
      <c r="AS4679" s="121"/>
      <c r="AT4679" s="120"/>
      <c r="AU4679" s="121"/>
      <c r="AV4679" s="120"/>
      <c r="AW4679" s="121"/>
      <c r="AX4679" s="120"/>
      <c r="AY4679" s="121"/>
      <c r="AZ4679" s="138"/>
    </row>
    <row r="4680" spans="1:52" ht="17.100000000000001" customHeight="1" thickTop="1">
      <c r="A4680" s="109" t="s">
        <v>14082</v>
      </c>
      <c r="B4680" s="28">
        <v>46014</v>
      </c>
      <c r="C4680" s="25">
        <v>921</v>
      </c>
      <c r="D4680" s="13" t="s">
        <v>3832</v>
      </c>
      <c r="E4680" s="111"/>
      <c r="F4680" s="113" t="s">
        <v>4026</v>
      </c>
      <c r="G4680" s="114"/>
      <c r="H4680" s="115"/>
      <c r="I4680" s="24" t="s">
        <v>2112</v>
      </c>
      <c r="J4680" s="116">
        <v>4</v>
      </c>
      <c r="K4680" s="118">
        <v>1095000</v>
      </c>
      <c r="L4680" s="119"/>
      <c r="M4680" s="118">
        <f t="shared" ref="M4680" si="5320">K4680*0.1</f>
        <v>109500</v>
      </c>
      <c r="N4680" s="119"/>
      <c r="O4680" s="118">
        <v>0</v>
      </c>
      <c r="P4680" s="119"/>
      <c r="Q4680" s="118">
        <v>6830</v>
      </c>
      <c r="R4680" s="119"/>
      <c r="S4680" s="118">
        <v>15950</v>
      </c>
      <c r="T4680" s="119"/>
      <c r="U4680" s="118">
        <f t="shared" ref="U4680" si="5321">SUM(K4680:T4681)</f>
        <v>1227280</v>
      </c>
      <c r="V4680" s="122"/>
      <c r="W4680" s="124"/>
      <c r="X4680" s="126" t="s">
        <v>14035</v>
      </c>
      <c r="Y4680" s="127"/>
      <c r="Z4680" s="127"/>
      <c r="AA4680" s="127"/>
      <c r="AB4680" s="128"/>
      <c r="AC4680" s="15" t="s">
        <v>20</v>
      </c>
      <c r="AD4680" s="129" t="s">
        <v>2051</v>
      </c>
      <c r="AE4680" s="130"/>
      <c r="AF4680" s="130"/>
      <c r="AG4680" s="130"/>
      <c r="AH4680" s="130"/>
      <c r="AI4680" s="131"/>
      <c r="AJ4680" s="132"/>
      <c r="AK4680" s="127"/>
      <c r="AL4680" s="128"/>
      <c r="AM4680" s="21"/>
      <c r="AN4680" s="133">
        <v>46018</v>
      </c>
      <c r="AO4680" s="134"/>
      <c r="AP4680" s="135">
        <v>1282</v>
      </c>
      <c r="AQ4680" s="136"/>
      <c r="AR4680" s="118">
        <v>1160000</v>
      </c>
      <c r="AS4680" s="119"/>
      <c r="AT4680" s="118">
        <f t="shared" ref="AT4680" si="5322">AR4680*0.1</f>
        <v>116000</v>
      </c>
      <c r="AU4680" s="119"/>
      <c r="AV4680" s="118">
        <v>6830</v>
      </c>
      <c r="AW4680" s="119"/>
      <c r="AX4680" s="118">
        <f t="shared" ref="AX4680" si="5323">SUM(AR4680:AW4680)</f>
        <v>1282830</v>
      </c>
      <c r="AY4680" s="119"/>
      <c r="AZ4680" s="137">
        <v>46028</v>
      </c>
    </row>
    <row r="4681" spans="1:52" ht="17.100000000000001" customHeight="1" thickBot="1">
      <c r="A4681" s="110"/>
      <c r="B4681" s="27" t="s">
        <v>2699</v>
      </c>
      <c r="C4681" s="27">
        <v>3062</v>
      </c>
      <c r="D4681" s="14" t="s">
        <v>2836</v>
      </c>
      <c r="E4681" s="112"/>
      <c r="F4681" s="139" t="s">
        <v>14034</v>
      </c>
      <c r="G4681" s="140"/>
      <c r="H4681" s="141"/>
      <c r="I4681" s="26">
        <v>33492</v>
      </c>
      <c r="J4681" s="117"/>
      <c r="K4681" s="120"/>
      <c r="L4681" s="121"/>
      <c r="M4681" s="120"/>
      <c r="N4681" s="121"/>
      <c r="O4681" s="120"/>
      <c r="P4681" s="121"/>
      <c r="Q4681" s="120"/>
      <c r="R4681" s="121"/>
      <c r="S4681" s="120"/>
      <c r="T4681" s="121"/>
      <c r="U4681" s="120"/>
      <c r="V4681" s="123"/>
      <c r="W4681" s="125"/>
      <c r="X4681" s="142" t="s">
        <v>14356</v>
      </c>
      <c r="Y4681" s="143"/>
      <c r="Z4681" s="143"/>
      <c r="AA4681" s="143"/>
      <c r="AB4681" s="144"/>
      <c r="AC4681" s="16" t="s">
        <v>21</v>
      </c>
      <c r="AD4681" s="17" t="s">
        <v>14344</v>
      </c>
      <c r="AE4681" s="145" t="s">
        <v>4106</v>
      </c>
      <c r="AF4681" s="146"/>
      <c r="AG4681" s="146"/>
      <c r="AH4681" s="146"/>
      <c r="AI4681" s="147"/>
      <c r="AJ4681" s="148"/>
      <c r="AK4681" s="143"/>
      <c r="AL4681" s="144"/>
      <c r="AM4681" s="22"/>
      <c r="AN4681" s="149" t="s">
        <v>2511</v>
      </c>
      <c r="AO4681" s="144"/>
      <c r="AP4681" s="148">
        <v>60389</v>
      </c>
      <c r="AQ4681" s="144"/>
      <c r="AR4681" s="120"/>
      <c r="AS4681" s="121"/>
      <c r="AT4681" s="120"/>
      <c r="AU4681" s="121"/>
      <c r="AV4681" s="120"/>
      <c r="AW4681" s="121"/>
      <c r="AX4681" s="120"/>
      <c r="AY4681" s="121"/>
      <c r="AZ4681" s="138"/>
    </row>
    <row r="4682" spans="1:52" ht="17.100000000000001" customHeight="1" thickTop="1">
      <c r="A4682" s="151" t="s">
        <v>14083</v>
      </c>
      <c r="B4682" s="28">
        <v>46014</v>
      </c>
      <c r="C4682" s="25">
        <v>1222</v>
      </c>
      <c r="D4682" s="13" t="s">
        <v>1615</v>
      </c>
      <c r="E4682" s="111"/>
      <c r="F4682" s="113" t="s">
        <v>14036</v>
      </c>
      <c r="G4682" s="114"/>
      <c r="H4682" s="115"/>
      <c r="I4682" s="24"/>
      <c r="J4682" s="116">
        <v>4.5</v>
      </c>
      <c r="K4682" s="118">
        <v>1820000</v>
      </c>
      <c r="L4682" s="119"/>
      <c r="M4682" s="118">
        <f t="shared" ref="M4682" si="5324">K4682*0.1</f>
        <v>182000</v>
      </c>
      <c r="N4682" s="119"/>
      <c r="O4682" s="118">
        <v>0</v>
      </c>
      <c r="P4682" s="119"/>
      <c r="Q4682" s="118">
        <v>15790</v>
      </c>
      <c r="R4682" s="119"/>
      <c r="S4682" s="118">
        <v>15950</v>
      </c>
      <c r="T4682" s="119"/>
      <c r="U4682" s="118">
        <f t="shared" ref="U4682" si="5325">SUM(K4682:T4683)</f>
        <v>2033740</v>
      </c>
      <c r="V4682" s="122"/>
      <c r="W4682" s="124"/>
      <c r="X4682" s="126" t="s">
        <v>14343</v>
      </c>
      <c r="Y4682" s="127"/>
      <c r="Z4682" s="127"/>
      <c r="AA4682" s="127"/>
      <c r="AB4682" s="128"/>
      <c r="AC4682" s="15" t="s">
        <v>20</v>
      </c>
      <c r="AD4682" s="129"/>
      <c r="AE4682" s="130"/>
      <c r="AF4682" s="130"/>
      <c r="AG4682" s="130"/>
      <c r="AH4682" s="130"/>
      <c r="AI4682" s="131"/>
      <c r="AJ4682" s="132"/>
      <c r="AK4682" s="127"/>
      <c r="AL4682" s="128"/>
      <c r="AM4682" s="21"/>
      <c r="AN4682" s="133">
        <v>46032</v>
      </c>
      <c r="AO4682" s="134"/>
      <c r="AP4682" s="135">
        <v>1283</v>
      </c>
      <c r="AQ4682" s="136"/>
      <c r="AR4682" s="118">
        <v>1970000</v>
      </c>
      <c r="AS4682" s="119"/>
      <c r="AT4682" s="118">
        <f t="shared" ref="AT4682" si="5326">AR4682*0.1</f>
        <v>197000</v>
      </c>
      <c r="AU4682" s="119"/>
      <c r="AV4682" s="118">
        <v>15790</v>
      </c>
      <c r="AW4682" s="119"/>
      <c r="AX4682" s="118">
        <f t="shared" ref="AX4682" si="5327">SUM(AR4682:AW4682)</f>
        <v>2182790</v>
      </c>
      <c r="AY4682" s="119"/>
      <c r="AZ4682" s="137">
        <v>46036</v>
      </c>
    </row>
    <row r="4683" spans="1:52" ht="17.100000000000001" customHeight="1" thickBot="1">
      <c r="A4683" s="152"/>
      <c r="B4683" s="27" t="s">
        <v>2379</v>
      </c>
      <c r="C4683" s="27">
        <v>5036</v>
      </c>
      <c r="D4683" s="14" t="s">
        <v>1592</v>
      </c>
      <c r="E4683" s="112"/>
      <c r="F4683" s="139" t="s">
        <v>14037</v>
      </c>
      <c r="G4683" s="140"/>
      <c r="H4683" s="141"/>
      <c r="I4683" s="26">
        <v>40374</v>
      </c>
      <c r="J4683" s="117"/>
      <c r="K4683" s="120"/>
      <c r="L4683" s="121"/>
      <c r="M4683" s="120"/>
      <c r="N4683" s="121"/>
      <c r="O4683" s="120"/>
      <c r="P4683" s="121"/>
      <c r="Q4683" s="120"/>
      <c r="R4683" s="121"/>
      <c r="S4683" s="120"/>
      <c r="T4683" s="121"/>
      <c r="U4683" s="120"/>
      <c r="V4683" s="123"/>
      <c r="W4683" s="125"/>
      <c r="X4683" s="142" t="s">
        <v>5278</v>
      </c>
      <c r="Y4683" s="143"/>
      <c r="Z4683" s="143"/>
      <c r="AA4683" s="143"/>
      <c r="AB4683" s="144"/>
      <c r="AC4683" s="16" t="s">
        <v>21</v>
      </c>
      <c r="AD4683" s="17" t="s">
        <v>14344</v>
      </c>
      <c r="AE4683" s="145" t="s">
        <v>5319</v>
      </c>
      <c r="AF4683" s="146"/>
      <c r="AG4683" s="146"/>
      <c r="AH4683" s="146"/>
      <c r="AI4683" s="147"/>
      <c r="AJ4683" s="148"/>
      <c r="AK4683" s="143"/>
      <c r="AL4683" s="144"/>
      <c r="AM4683" s="22"/>
      <c r="AN4683" s="149" t="s">
        <v>2511</v>
      </c>
      <c r="AO4683" s="144"/>
      <c r="AP4683" s="148">
        <v>80054</v>
      </c>
      <c r="AQ4683" s="144"/>
      <c r="AR4683" s="120"/>
      <c r="AS4683" s="121"/>
      <c r="AT4683" s="120"/>
      <c r="AU4683" s="121"/>
      <c r="AV4683" s="120"/>
      <c r="AW4683" s="121"/>
      <c r="AX4683" s="120"/>
      <c r="AY4683" s="121"/>
      <c r="AZ4683" s="138"/>
    </row>
    <row r="4684" spans="1:52" ht="17.100000000000001" customHeight="1" thickTop="1">
      <c r="A4684" s="151" t="s">
        <v>14084</v>
      </c>
      <c r="B4684" s="28">
        <v>46014</v>
      </c>
      <c r="C4684" s="25">
        <v>1222</v>
      </c>
      <c r="D4684" s="13" t="s">
        <v>2298</v>
      </c>
      <c r="E4684" s="111"/>
      <c r="F4684" s="113" t="s">
        <v>14038</v>
      </c>
      <c r="G4684" s="114"/>
      <c r="H4684" s="115"/>
      <c r="I4684" s="24"/>
      <c r="J4684" s="116">
        <v>4</v>
      </c>
      <c r="K4684" s="118">
        <v>1291000</v>
      </c>
      <c r="L4684" s="119"/>
      <c r="M4684" s="118">
        <f t="shared" ref="M4684" si="5328">K4684*0.1</f>
        <v>129100</v>
      </c>
      <c r="N4684" s="119"/>
      <c r="O4684" s="118">
        <v>0</v>
      </c>
      <c r="P4684" s="119"/>
      <c r="Q4684" s="118">
        <v>20170</v>
      </c>
      <c r="R4684" s="119"/>
      <c r="S4684" s="118">
        <v>15950</v>
      </c>
      <c r="T4684" s="119"/>
      <c r="U4684" s="118">
        <f t="shared" ref="U4684" si="5329">SUM(K4684:T4685)</f>
        <v>1456220</v>
      </c>
      <c r="V4684" s="122"/>
      <c r="W4684" s="124"/>
      <c r="X4684" s="126" t="s">
        <v>14345</v>
      </c>
      <c r="Y4684" s="127"/>
      <c r="Z4684" s="127"/>
      <c r="AA4684" s="127"/>
      <c r="AB4684" s="128"/>
      <c r="AC4684" s="15" t="s">
        <v>20</v>
      </c>
      <c r="AD4684" s="129" t="s">
        <v>4622</v>
      </c>
      <c r="AE4684" s="130"/>
      <c r="AF4684" s="130"/>
      <c r="AG4684" s="130"/>
      <c r="AH4684" s="130"/>
      <c r="AI4684" s="131"/>
      <c r="AJ4684" s="132"/>
      <c r="AK4684" s="127"/>
      <c r="AL4684" s="128"/>
      <c r="AM4684" s="21"/>
      <c r="AN4684" s="133">
        <v>46039</v>
      </c>
      <c r="AO4684" s="134"/>
      <c r="AP4684" s="135">
        <v>1284</v>
      </c>
      <c r="AQ4684" s="136"/>
      <c r="AR4684" s="118">
        <v>1455000</v>
      </c>
      <c r="AS4684" s="119"/>
      <c r="AT4684" s="118">
        <f t="shared" ref="AT4684" si="5330">AR4684*0.1</f>
        <v>145500</v>
      </c>
      <c r="AU4684" s="119"/>
      <c r="AV4684" s="118">
        <v>20170</v>
      </c>
      <c r="AW4684" s="119"/>
      <c r="AX4684" s="118">
        <f t="shared" ref="AX4684" si="5331">SUM(AR4684:AW4684)</f>
        <v>1620670</v>
      </c>
      <c r="AY4684" s="119"/>
      <c r="AZ4684" s="137">
        <v>46042</v>
      </c>
    </row>
    <row r="4685" spans="1:52" ht="17.100000000000001" customHeight="1" thickBot="1">
      <c r="A4685" s="152"/>
      <c r="B4685" s="27" t="s">
        <v>2379</v>
      </c>
      <c r="C4685" s="27">
        <v>5044</v>
      </c>
      <c r="D4685" s="14" t="s">
        <v>275</v>
      </c>
      <c r="E4685" s="112"/>
      <c r="F4685" s="139" t="s">
        <v>14039</v>
      </c>
      <c r="G4685" s="140"/>
      <c r="H4685" s="141"/>
      <c r="I4685" s="26">
        <v>24069</v>
      </c>
      <c r="J4685" s="117"/>
      <c r="K4685" s="120"/>
      <c r="L4685" s="121"/>
      <c r="M4685" s="120"/>
      <c r="N4685" s="121"/>
      <c r="O4685" s="120"/>
      <c r="P4685" s="121"/>
      <c r="Q4685" s="120"/>
      <c r="R4685" s="121"/>
      <c r="S4685" s="120"/>
      <c r="T4685" s="121"/>
      <c r="U4685" s="120"/>
      <c r="V4685" s="123"/>
      <c r="W4685" s="125"/>
      <c r="X4685" s="142" t="s">
        <v>14346</v>
      </c>
      <c r="Y4685" s="143"/>
      <c r="Z4685" s="143"/>
      <c r="AA4685" s="143"/>
      <c r="AB4685" s="144"/>
      <c r="AC4685" s="16" t="s">
        <v>21</v>
      </c>
      <c r="AD4685" s="17" t="s">
        <v>14344</v>
      </c>
      <c r="AE4685" s="145" t="s">
        <v>4622</v>
      </c>
      <c r="AF4685" s="146"/>
      <c r="AG4685" s="146"/>
      <c r="AH4685" s="146"/>
      <c r="AI4685" s="147"/>
      <c r="AJ4685" s="148"/>
      <c r="AK4685" s="143"/>
      <c r="AL4685" s="144"/>
      <c r="AM4685" s="22"/>
      <c r="AN4685" s="149" t="s">
        <v>2511</v>
      </c>
      <c r="AO4685" s="144"/>
      <c r="AP4685" s="148">
        <v>80123</v>
      </c>
      <c r="AQ4685" s="144"/>
      <c r="AR4685" s="120"/>
      <c r="AS4685" s="121"/>
      <c r="AT4685" s="120"/>
      <c r="AU4685" s="121"/>
      <c r="AV4685" s="120"/>
      <c r="AW4685" s="121"/>
      <c r="AX4685" s="120"/>
      <c r="AY4685" s="121"/>
      <c r="AZ4685" s="138"/>
    </row>
    <row r="4686" spans="1:52" ht="17.100000000000001" customHeight="1" thickTop="1">
      <c r="A4686" s="109" t="s">
        <v>14085</v>
      </c>
      <c r="B4686" s="28">
        <v>46014</v>
      </c>
      <c r="C4686" s="25">
        <v>971</v>
      </c>
      <c r="D4686" s="13" t="s">
        <v>2298</v>
      </c>
      <c r="E4686" s="111"/>
      <c r="F4686" s="113" t="s">
        <v>14112</v>
      </c>
      <c r="G4686" s="114"/>
      <c r="H4686" s="115"/>
      <c r="I4686" s="24"/>
      <c r="J4686" s="116">
        <v>4</v>
      </c>
      <c r="K4686" s="118">
        <v>558000</v>
      </c>
      <c r="L4686" s="119"/>
      <c r="M4686" s="118">
        <f t="shared" ref="M4686" si="5332">K4686*0.1</f>
        <v>55800</v>
      </c>
      <c r="N4686" s="119"/>
      <c r="O4686" s="118">
        <v>0</v>
      </c>
      <c r="P4686" s="119"/>
      <c r="Q4686" s="118">
        <v>6470</v>
      </c>
      <c r="R4686" s="119"/>
      <c r="S4686" s="118">
        <v>22000</v>
      </c>
      <c r="T4686" s="119"/>
      <c r="U4686" s="118">
        <f t="shared" ref="U4686" si="5333">SUM(K4686:T4687)</f>
        <v>642270</v>
      </c>
      <c r="V4686" s="122"/>
      <c r="W4686" s="124"/>
      <c r="X4686" s="126" t="s">
        <v>14590</v>
      </c>
      <c r="Y4686" s="127"/>
      <c r="Z4686" s="127"/>
      <c r="AA4686" s="127"/>
      <c r="AB4686" s="128"/>
      <c r="AC4686" s="15" t="s">
        <v>20</v>
      </c>
      <c r="AD4686" s="129" t="s">
        <v>2054</v>
      </c>
      <c r="AE4686" s="130"/>
      <c r="AF4686" s="130"/>
      <c r="AG4686" s="130"/>
      <c r="AH4686" s="130"/>
      <c r="AI4686" s="131"/>
      <c r="AJ4686" s="132"/>
      <c r="AK4686" s="127"/>
      <c r="AL4686" s="128"/>
      <c r="AM4686" s="21"/>
      <c r="AN4686" s="133">
        <v>46035</v>
      </c>
      <c r="AO4686" s="134"/>
      <c r="AP4686" s="135">
        <v>1924</v>
      </c>
      <c r="AQ4686" s="136"/>
      <c r="AR4686" s="118">
        <v>694000</v>
      </c>
      <c r="AS4686" s="119"/>
      <c r="AT4686" s="118">
        <f t="shared" ref="AT4686" si="5334">AR4686*0.1</f>
        <v>69400</v>
      </c>
      <c r="AU4686" s="119"/>
      <c r="AV4686" s="118">
        <v>6470</v>
      </c>
      <c r="AW4686" s="119"/>
      <c r="AX4686" s="118">
        <f t="shared" ref="AX4686" si="5335">SUM(AR4686:AW4686)</f>
        <v>769870</v>
      </c>
      <c r="AY4686" s="119"/>
      <c r="AZ4686" s="137"/>
    </row>
    <row r="4687" spans="1:52" ht="17.100000000000001" customHeight="1" thickBot="1">
      <c r="A4687" s="110"/>
      <c r="B4687" s="27" t="s">
        <v>2055</v>
      </c>
      <c r="C4687" s="27">
        <v>95</v>
      </c>
      <c r="D4687" s="14" t="s">
        <v>1592</v>
      </c>
      <c r="E4687" s="112"/>
      <c r="F4687" s="139" t="s">
        <v>14095</v>
      </c>
      <c r="G4687" s="140"/>
      <c r="H4687" s="141"/>
      <c r="I4687" s="26">
        <v>50446</v>
      </c>
      <c r="J4687" s="117"/>
      <c r="K4687" s="120"/>
      <c r="L4687" s="121"/>
      <c r="M4687" s="120"/>
      <c r="N4687" s="121"/>
      <c r="O4687" s="120"/>
      <c r="P4687" s="121"/>
      <c r="Q4687" s="120"/>
      <c r="R4687" s="121"/>
      <c r="S4687" s="120"/>
      <c r="T4687" s="121"/>
      <c r="U4687" s="120"/>
      <c r="V4687" s="123"/>
      <c r="W4687" s="125"/>
      <c r="X4687" s="142" t="s">
        <v>2482</v>
      </c>
      <c r="Y4687" s="143"/>
      <c r="Z4687" s="143"/>
      <c r="AA4687" s="143"/>
      <c r="AB4687" s="144"/>
      <c r="AC4687" s="16" t="s">
        <v>21</v>
      </c>
      <c r="AD4687" s="17" t="s">
        <v>3921</v>
      </c>
      <c r="AE4687" s="145" t="s">
        <v>9056</v>
      </c>
      <c r="AF4687" s="146"/>
      <c r="AG4687" s="146"/>
      <c r="AH4687" s="146"/>
      <c r="AI4687" s="147"/>
      <c r="AJ4687" s="148"/>
      <c r="AK4687" s="143"/>
      <c r="AL4687" s="144"/>
      <c r="AM4687" s="22"/>
      <c r="AN4687" s="149" t="s">
        <v>2131</v>
      </c>
      <c r="AO4687" s="144"/>
      <c r="AP4687" s="148">
        <v>3415</v>
      </c>
      <c r="AQ4687" s="144"/>
      <c r="AR4687" s="120"/>
      <c r="AS4687" s="121"/>
      <c r="AT4687" s="120"/>
      <c r="AU4687" s="121"/>
      <c r="AV4687" s="120"/>
      <c r="AW4687" s="121"/>
      <c r="AX4687" s="120"/>
      <c r="AY4687" s="121"/>
      <c r="AZ4687" s="138"/>
    </row>
    <row r="4688" spans="1:52" ht="17.100000000000001" customHeight="1" thickTop="1">
      <c r="A4688" s="151" t="s">
        <v>14086</v>
      </c>
      <c r="B4688" s="28">
        <v>46014</v>
      </c>
      <c r="C4688" s="25">
        <v>971</v>
      </c>
      <c r="D4688" s="13" t="s">
        <v>2298</v>
      </c>
      <c r="E4688" s="111"/>
      <c r="F4688" s="113" t="s">
        <v>5196</v>
      </c>
      <c r="G4688" s="114"/>
      <c r="H4688" s="115"/>
      <c r="I4688" s="24"/>
      <c r="J4688" s="116">
        <v>3.5</v>
      </c>
      <c r="K4688" s="118">
        <v>338000</v>
      </c>
      <c r="L4688" s="119"/>
      <c r="M4688" s="118">
        <f t="shared" ref="M4688" si="5336">K4688*0.1</f>
        <v>33800</v>
      </c>
      <c r="N4688" s="119"/>
      <c r="O4688" s="118">
        <v>0</v>
      </c>
      <c r="P4688" s="119"/>
      <c r="Q4688" s="118">
        <v>7140</v>
      </c>
      <c r="R4688" s="119"/>
      <c r="S4688" s="118">
        <v>22000</v>
      </c>
      <c r="T4688" s="119"/>
      <c r="U4688" s="118">
        <f t="shared" ref="U4688" si="5337">SUM(K4688:T4689)</f>
        <v>400940</v>
      </c>
      <c r="V4688" s="122"/>
      <c r="W4688" s="124"/>
      <c r="X4688" s="126" t="s">
        <v>14589</v>
      </c>
      <c r="Y4688" s="127"/>
      <c r="Z4688" s="127"/>
      <c r="AA4688" s="127"/>
      <c r="AB4688" s="128"/>
      <c r="AC4688" s="15" t="s">
        <v>20</v>
      </c>
      <c r="AD4688" s="129" t="s">
        <v>2054</v>
      </c>
      <c r="AE4688" s="130"/>
      <c r="AF4688" s="130"/>
      <c r="AG4688" s="130"/>
      <c r="AH4688" s="130"/>
      <c r="AI4688" s="131"/>
      <c r="AJ4688" s="132"/>
      <c r="AK4688" s="127"/>
      <c r="AL4688" s="128"/>
      <c r="AM4688" s="21"/>
      <c r="AN4688" s="133">
        <v>46039</v>
      </c>
      <c r="AO4688" s="134"/>
      <c r="AP4688" s="135">
        <v>1284</v>
      </c>
      <c r="AQ4688" s="136"/>
      <c r="AR4688" s="118">
        <v>420000</v>
      </c>
      <c r="AS4688" s="119"/>
      <c r="AT4688" s="118">
        <f t="shared" ref="AT4688" si="5338">AR4688*0.1</f>
        <v>42000</v>
      </c>
      <c r="AU4688" s="119"/>
      <c r="AV4688" s="118">
        <v>7140</v>
      </c>
      <c r="AW4688" s="119"/>
      <c r="AX4688" s="118">
        <f t="shared" ref="AX4688" si="5339">SUM(AR4688:AW4688)</f>
        <v>469140</v>
      </c>
      <c r="AY4688" s="119"/>
      <c r="AZ4688" s="137">
        <v>46042</v>
      </c>
    </row>
    <row r="4689" spans="1:52" ht="17.100000000000001" customHeight="1" thickBot="1">
      <c r="A4689" s="152"/>
      <c r="B4689" s="27" t="s">
        <v>2055</v>
      </c>
      <c r="C4689" s="27">
        <v>208</v>
      </c>
      <c r="D4689" s="14" t="s">
        <v>1592</v>
      </c>
      <c r="E4689" s="112"/>
      <c r="F4689" s="139" t="s">
        <v>14096</v>
      </c>
      <c r="G4689" s="140"/>
      <c r="H4689" s="141"/>
      <c r="I4689" s="26">
        <v>39836</v>
      </c>
      <c r="J4689" s="117"/>
      <c r="K4689" s="120"/>
      <c r="L4689" s="121"/>
      <c r="M4689" s="120"/>
      <c r="N4689" s="121"/>
      <c r="O4689" s="120"/>
      <c r="P4689" s="121"/>
      <c r="Q4689" s="120"/>
      <c r="R4689" s="121"/>
      <c r="S4689" s="120"/>
      <c r="T4689" s="121"/>
      <c r="U4689" s="120"/>
      <c r="V4689" s="123"/>
      <c r="W4689" s="125"/>
      <c r="X4689" s="142" t="s">
        <v>2482</v>
      </c>
      <c r="Y4689" s="143"/>
      <c r="Z4689" s="143"/>
      <c r="AA4689" s="143"/>
      <c r="AB4689" s="144"/>
      <c r="AC4689" s="16" t="s">
        <v>21</v>
      </c>
      <c r="AD4689" s="17" t="s">
        <v>3921</v>
      </c>
      <c r="AE4689" s="145" t="s">
        <v>11427</v>
      </c>
      <c r="AF4689" s="146"/>
      <c r="AG4689" s="146"/>
      <c r="AH4689" s="146"/>
      <c r="AI4689" s="147"/>
      <c r="AJ4689" s="148"/>
      <c r="AK4689" s="143"/>
      <c r="AL4689" s="144"/>
      <c r="AM4689" s="22"/>
      <c r="AN4689" s="149" t="s">
        <v>2511</v>
      </c>
      <c r="AO4689" s="144"/>
      <c r="AP4689" s="148">
        <v>62066</v>
      </c>
      <c r="AQ4689" s="144"/>
      <c r="AR4689" s="120"/>
      <c r="AS4689" s="121"/>
      <c r="AT4689" s="120"/>
      <c r="AU4689" s="121"/>
      <c r="AV4689" s="120"/>
      <c r="AW4689" s="121"/>
      <c r="AX4689" s="120"/>
      <c r="AY4689" s="121"/>
      <c r="AZ4689" s="138"/>
    </row>
    <row r="4690" spans="1:52" ht="17.100000000000001" customHeight="1" thickTop="1">
      <c r="A4690" s="109" t="s">
        <v>14087</v>
      </c>
      <c r="B4690" s="28">
        <v>46014</v>
      </c>
      <c r="C4690" s="25">
        <v>971</v>
      </c>
      <c r="D4690" s="13" t="s">
        <v>2606</v>
      </c>
      <c r="E4690" s="111"/>
      <c r="F4690" s="113" t="s">
        <v>14113</v>
      </c>
      <c r="G4690" s="114"/>
      <c r="H4690" s="115"/>
      <c r="I4690" s="24"/>
      <c r="J4690" s="116">
        <v>4</v>
      </c>
      <c r="K4690" s="118">
        <v>829000</v>
      </c>
      <c r="L4690" s="119"/>
      <c r="M4690" s="118">
        <f t="shared" ref="M4690" si="5340">K4690*0.1</f>
        <v>82900</v>
      </c>
      <c r="N4690" s="119"/>
      <c r="O4690" s="118">
        <v>0</v>
      </c>
      <c r="P4690" s="119"/>
      <c r="Q4690" s="118">
        <v>7590</v>
      </c>
      <c r="R4690" s="119"/>
      <c r="S4690" s="118">
        <v>22000</v>
      </c>
      <c r="T4690" s="119"/>
      <c r="U4690" s="118">
        <f t="shared" ref="U4690" si="5341">SUM(K4690:T4691)</f>
        <v>941490</v>
      </c>
      <c r="V4690" s="122"/>
      <c r="W4690" s="124"/>
      <c r="X4690" s="126" t="s">
        <v>14588</v>
      </c>
      <c r="Y4690" s="127"/>
      <c r="Z4690" s="127"/>
      <c r="AA4690" s="127"/>
      <c r="AB4690" s="128"/>
      <c r="AC4690" s="15" t="s">
        <v>20</v>
      </c>
      <c r="AD4690" s="129" t="s">
        <v>6730</v>
      </c>
      <c r="AE4690" s="130"/>
      <c r="AF4690" s="130"/>
      <c r="AG4690" s="130"/>
      <c r="AH4690" s="130"/>
      <c r="AI4690" s="131"/>
      <c r="AJ4690" s="132"/>
      <c r="AK4690" s="127"/>
      <c r="AL4690" s="128"/>
      <c r="AM4690" s="21"/>
      <c r="AN4690" s="133">
        <v>46035</v>
      </c>
      <c r="AO4690" s="134"/>
      <c r="AP4690" s="135">
        <v>1924</v>
      </c>
      <c r="AQ4690" s="136"/>
      <c r="AR4690" s="118">
        <v>867000</v>
      </c>
      <c r="AS4690" s="119"/>
      <c r="AT4690" s="118">
        <f t="shared" ref="AT4690" si="5342">AR4690*0.1</f>
        <v>86700</v>
      </c>
      <c r="AU4690" s="119"/>
      <c r="AV4690" s="118">
        <v>7590</v>
      </c>
      <c r="AW4690" s="119"/>
      <c r="AX4690" s="118">
        <f t="shared" ref="AX4690" si="5343">SUM(AR4690:AW4690)</f>
        <v>961290</v>
      </c>
      <c r="AY4690" s="119"/>
      <c r="AZ4690" s="137"/>
    </row>
    <row r="4691" spans="1:52" ht="17.100000000000001" customHeight="1" thickBot="1">
      <c r="A4691" s="110"/>
      <c r="B4691" s="27" t="s">
        <v>2055</v>
      </c>
      <c r="C4691" s="27">
        <v>1038</v>
      </c>
      <c r="D4691" s="14" t="s">
        <v>275</v>
      </c>
      <c r="E4691" s="112"/>
      <c r="F4691" s="139" t="s">
        <v>14097</v>
      </c>
      <c r="G4691" s="140"/>
      <c r="H4691" s="141"/>
      <c r="I4691" s="26">
        <v>45462</v>
      </c>
      <c r="J4691" s="117"/>
      <c r="K4691" s="120"/>
      <c r="L4691" s="121"/>
      <c r="M4691" s="120"/>
      <c r="N4691" s="121"/>
      <c r="O4691" s="120"/>
      <c r="P4691" s="121"/>
      <c r="Q4691" s="120"/>
      <c r="R4691" s="121"/>
      <c r="S4691" s="120"/>
      <c r="T4691" s="121"/>
      <c r="U4691" s="120"/>
      <c r="V4691" s="123"/>
      <c r="W4691" s="125"/>
      <c r="X4691" s="142" t="s">
        <v>5035</v>
      </c>
      <c r="Y4691" s="143"/>
      <c r="Z4691" s="143"/>
      <c r="AA4691" s="143"/>
      <c r="AB4691" s="144"/>
      <c r="AC4691" s="16" t="s">
        <v>21</v>
      </c>
      <c r="AD4691" s="17" t="s">
        <v>3921</v>
      </c>
      <c r="AE4691" s="145" t="s">
        <v>14569</v>
      </c>
      <c r="AF4691" s="146"/>
      <c r="AG4691" s="146"/>
      <c r="AH4691" s="146"/>
      <c r="AI4691" s="147"/>
      <c r="AJ4691" s="148"/>
      <c r="AK4691" s="143"/>
      <c r="AL4691" s="144"/>
      <c r="AM4691" s="22"/>
      <c r="AN4691" s="149" t="s">
        <v>2131</v>
      </c>
      <c r="AO4691" s="144"/>
      <c r="AP4691" s="148">
        <v>3417</v>
      </c>
      <c r="AQ4691" s="144"/>
      <c r="AR4691" s="120"/>
      <c r="AS4691" s="121"/>
      <c r="AT4691" s="120"/>
      <c r="AU4691" s="121"/>
      <c r="AV4691" s="120"/>
      <c r="AW4691" s="121"/>
      <c r="AX4691" s="120"/>
      <c r="AY4691" s="121"/>
      <c r="AZ4691" s="138"/>
    </row>
    <row r="4692" spans="1:52" ht="17.100000000000001" customHeight="1" thickTop="1">
      <c r="A4692" s="151" t="s">
        <v>14088</v>
      </c>
      <c r="B4692" s="28">
        <v>46014</v>
      </c>
      <c r="C4692" s="25">
        <v>971</v>
      </c>
      <c r="D4692" s="13" t="s">
        <v>2606</v>
      </c>
      <c r="E4692" s="111"/>
      <c r="F4692" s="113" t="s">
        <v>14114</v>
      </c>
      <c r="G4692" s="114"/>
      <c r="H4692" s="115"/>
      <c r="I4692" s="24"/>
      <c r="J4692" s="116">
        <v>4.5</v>
      </c>
      <c r="K4692" s="118">
        <v>752000</v>
      </c>
      <c r="L4692" s="119"/>
      <c r="M4692" s="118">
        <f t="shared" ref="M4692" si="5344">K4692*0.1</f>
        <v>75200</v>
      </c>
      <c r="N4692" s="119"/>
      <c r="O4692" s="118">
        <v>0</v>
      </c>
      <c r="P4692" s="119"/>
      <c r="Q4692" s="118">
        <v>20170</v>
      </c>
      <c r="R4692" s="119"/>
      <c r="S4692" s="118">
        <v>22000</v>
      </c>
      <c r="T4692" s="119"/>
      <c r="U4692" s="118">
        <f t="shared" ref="U4692" si="5345">SUM(K4692:T4693)</f>
        <v>869370</v>
      </c>
      <c r="V4692" s="122"/>
      <c r="W4692" s="124"/>
      <c r="X4692" s="126" t="s">
        <v>14568</v>
      </c>
      <c r="Y4692" s="127"/>
      <c r="Z4692" s="127"/>
      <c r="AA4692" s="127"/>
      <c r="AB4692" s="128"/>
      <c r="AC4692" s="15" t="s">
        <v>20</v>
      </c>
      <c r="AD4692" s="129" t="s">
        <v>6730</v>
      </c>
      <c r="AE4692" s="130"/>
      <c r="AF4692" s="130"/>
      <c r="AG4692" s="130"/>
      <c r="AH4692" s="130"/>
      <c r="AI4692" s="131"/>
      <c r="AJ4692" s="132"/>
      <c r="AK4692" s="127"/>
      <c r="AL4692" s="128"/>
      <c r="AM4692" s="21"/>
      <c r="AN4692" s="133">
        <v>46039</v>
      </c>
      <c r="AO4692" s="134"/>
      <c r="AP4692" s="135">
        <v>1284</v>
      </c>
      <c r="AQ4692" s="136"/>
      <c r="AR4692" s="118">
        <v>870000</v>
      </c>
      <c r="AS4692" s="119"/>
      <c r="AT4692" s="118">
        <f t="shared" ref="AT4692" si="5346">AR4692*0.1</f>
        <v>87000</v>
      </c>
      <c r="AU4692" s="119"/>
      <c r="AV4692" s="118">
        <v>20170</v>
      </c>
      <c r="AW4692" s="119"/>
      <c r="AX4692" s="118">
        <f t="shared" ref="AX4692" si="5347">SUM(AR4692:AW4692)</f>
        <v>977170</v>
      </c>
      <c r="AY4692" s="119"/>
      <c r="AZ4692" s="137">
        <v>46042</v>
      </c>
    </row>
    <row r="4693" spans="1:52" ht="17.100000000000001" customHeight="1" thickBot="1">
      <c r="A4693" s="152"/>
      <c r="B4693" s="27" t="s">
        <v>2055</v>
      </c>
      <c r="C4693" s="27">
        <v>1024</v>
      </c>
      <c r="D4693" s="14" t="s">
        <v>1592</v>
      </c>
      <c r="E4693" s="112"/>
      <c r="F4693" s="139" t="s">
        <v>14244</v>
      </c>
      <c r="G4693" s="140"/>
      <c r="H4693" s="141"/>
      <c r="I4693" s="26">
        <v>34550</v>
      </c>
      <c r="J4693" s="117"/>
      <c r="K4693" s="120"/>
      <c r="L4693" s="121"/>
      <c r="M4693" s="120"/>
      <c r="N4693" s="121"/>
      <c r="O4693" s="120"/>
      <c r="P4693" s="121"/>
      <c r="Q4693" s="120"/>
      <c r="R4693" s="121"/>
      <c r="S4693" s="120"/>
      <c r="T4693" s="121"/>
      <c r="U4693" s="120"/>
      <c r="V4693" s="123"/>
      <c r="W4693" s="125"/>
      <c r="X4693" s="142" t="s">
        <v>5035</v>
      </c>
      <c r="Y4693" s="143"/>
      <c r="Z4693" s="143"/>
      <c r="AA4693" s="143"/>
      <c r="AB4693" s="144"/>
      <c r="AC4693" s="16" t="s">
        <v>21</v>
      </c>
      <c r="AD4693" s="17" t="s">
        <v>3921</v>
      </c>
      <c r="AE4693" s="145" t="s">
        <v>9773</v>
      </c>
      <c r="AF4693" s="146"/>
      <c r="AG4693" s="146"/>
      <c r="AH4693" s="146"/>
      <c r="AI4693" s="147"/>
      <c r="AJ4693" s="148"/>
      <c r="AK4693" s="143"/>
      <c r="AL4693" s="144"/>
      <c r="AM4693" s="22"/>
      <c r="AN4693" s="149" t="s">
        <v>2511</v>
      </c>
      <c r="AO4693" s="144"/>
      <c r="AP4693" s="148">
        <v>80100</v>
      </c>
      <c r="AQ4693" s="144"/>
      <c r="AR4693" s="120"/>
      <c r="AS4693" s="121"/>
      <c r="AT4693" s="120"/>
      <c r="AU4693" s="121"/>
      <c r="AV4693" s="120"/>
      <c r="AW4693" s="121"/>
      <c r="AX4693" s="120"/>
      <c r="AY4693" s="121"/>
      <c r="AZ4693" s="138"/>
    </row>
    <row r="4694" spans="1:52" ht="17.100000000000001" customHeight="1" thickTop="1">
      <c r="A4694" s="151" t="s">
        <v>14089</v>
      </c>
      <c r="B4694" s="28">
        <v>46014</v>
      </c>
      <c r="C4694" s="25">
        <v>1270</v>
      </c>
      <c r="D4694" s="13" t="s">
        <v>2359</v>
      </c>
      <c r="E4694" s="111"/>
      <c r="F4694" s="113" t="s">
        <v>1871</v>
      </c>
      <c r="G4694" s="114"/>
      <c r="H4694" s="115"/>
      <c r="I4694" s="24"/>
      <c r="J4694" s="116">
        <v>5</v>
      </c>
      <c r="K4694" s="118">
        <v>1779000</v>
      </c>
      <c r="L4694" s="119"/>
      <c r="M4694" s="118">
        <f t="shared" ref="M4694" si="5348">K4694*0.1</f>
        <v>177900</v>
      </c>
      <c r="N4694" s="119"/>
      <c r="O4694" s="118">
        <v>0</v>
      </c>
      <c r="P4694" s="119"/>
      <c r="Q4694" s="118">
        <v>16240</v>
      </c>
      <c r="R4694" s="119"/>
      <c r="S4694" s="118">
        <v>18150</v>
      </c>
      <c r="T4694" s="119"/>
      <c r="U4694" s="118">
        <f t="shared" ref="U4694" si="5349">SUM(K4694:T4695)</f>
        <v>1991290</v>
      </c>
      <c r="V4694" s="122"/>
      <c r="W4694" s="124"/>
      <c r="X4694" s="126" t="s">
        <v>14398</v>
      </c>
      <c r="Y4694" s="127"/>
      <c r="Z4694" s="127"/>
      <c r="AA4694" s="127"/>
      <c r="AB4694" s="128"/>
      <c r="AC4694" s="15" t="s">
        <v>20</v>
      </c>
      <c r="AD4694" s="129" t="s">
        <v>3412</v>
      </c>
      <c r="AE4694" s="130"/>
      <c r="AF4694" s="130"/>
      <c r="AG4694" s="130"/>
      <c r="AH4694" s="130"/>
      <c r="AI4694" s="131"/>
      <c r="AJ4694" s="132"/>
      <c r="AK4694" s="127"/>
      <c r="AL4694" s="128"/>
      <c r="AM4694" s="21"/>
      <c r="AN4694" s="133">
        <v>46032</v>
      </c>
      <c r="AO4694" s="134"/>
      <c r="AP4694" s="135">
        <v>1283</v>
      </c>
      <c r="AQ4694" s="136"/>
      <c r="AR4694" s="118">
        <v>1925000</v>
      </c>
      <c r="AS4694" s="119"/>
      <c r="AT4694" s="118">
        <f t="shared" ref="AT4694" si="5350">AR4694*0.1</f>
        <v>192500</v>
      </c>
      <c r="AU4694" s="119"/>
      <c r="AV4694" s="118">
        <v>16240</v>
      </c>
      <c r="AW4694" s="119"/>
      <c r="AX4694" s="118">
        <f t="shared" ref="AX4694" si="5351">SUM(AR4694:AW4694)</f>
        <v>2133740</v>
      </c>
      <c r="AY4694" s="119"/>
      <c r="AZ4694" s="137">
        <v>46036</v>
      </c>
    </row>
    <row r="4695" spans="1:52" ht="17.100000000000001" customHeight="1" thickBot="1">
      <c r="A4695" s="152"/>
      <c r="B4695" s="27" t="s">
        <v>7478</v>
      </c>
      <c r="C4695" s="27">
        <v>38004</v>
      </c>
      <c r="D4695" s="14" t="s">
        <v>1720</v>
      </c>
      <c r="E4695" s="112"/>
      <c r="F4695" s="139" t="s">
        <v>14099</v>
      </c>
      <c r="G4695" s="140"/>
      <c r="H4695" s="141"/>
      <c r="I4695" s="26">
        <v>29597</v>
      </c>
      <c r="J4695" s="117"/>
      <c r="K4695" s="120"/>
      <c r="L4695" s="121"/>
      <c r="M4695" s="120"/>
      <c r="N4695" s="121"/>
      <c r="O4695" s="120"/>
      <c r="P4695" s="121"/>
      <c r="Q4695" s="120"/>
      <c r="R4695" s="121"/>
      <c r="S4695" s="120"/>
      <c r="T4695" s="121"/>
      <c r="U4695" s="120"/>
      <c r="V4695" s="123"/>
      <c r="W4695" s="125"/>
      <c r="X4695" s="142" t="s">
        <v>2918</v>
      </c>
      <c r="Y4695" s="143"/>
      <c r="Z4695" s="143"/>
      <c r="AA4695" s="143"/>
      <c r="AB4695" s="144"/>
      <c r="AC4695" s="16" t="s">
        <v>21</v>
      </c>
      <c r="AD4695" s="17" t="s">
        <v>14399</v>
      </c>
      <c r="AE4695" s="158" t="s">
        <v>1321</v>
      </c>
      <c r="AF4695" s="146"/>
      <c r="AG4695" s="146"/>
      <c r="AH4695" s="146"/>
      <c r="AI4695" s="147"/>
      <c r="AJ4695" s="148"/>
      <c r="AK4695" s="143"/>
      <c r="AL4695" s="144"/>
      <c r="AM4695" s="22"/>
      <c r="AN4695" s="149" t="s">
        <v>2511</v>
      </c>
      <c r="AO4695" s="144"/>
      <c r="AP4695" s="148">
        <v>80148</v>
      </c>
      <c r="AQ4695" s="144"/>
      <c r="AR4695" s="120"/>
      <c r="AS4695" s="121"/>
      <c r="AT4695" s="120"/>
      <c r="AU4695" s="121"/>
      <c r="AV4695" s="120"/>
      <c r="AW4695" s="121"/>
      <c r="AX4695" s="120"/>
      <c r="AY4695" s="121"/>
      <c r="AZ4695" s="138"/>
    </row>
    <row r="4696" spans="1:52" ht="17.100000000000001" customHeight="1" thickTop="1">
      <c r="A4696" s="109" t="s">
        <v>14090</v>
      </c>
      <c r="B4696" s="28">
        <v>46014</v>
      </c>
      <c r="C4696" s="25">
        <v>1270</v>
      </c>
      <c r="D4696" s="13" t="s">
        <v>1767</v>
      </c>
      <c r="E4696" s="111"/>
      <c r="F4696" s="113" t="s">
        <v>14115</v>
      </c>
      <c r="G4696" s="114"/>
      <c r="H4696" s="115"/>
      <c r="I4696" s="24" t="s">
        <v>2533</v>
      </c>
      <c r="J4696" s="116">
        <v>4.5</v>
      </c>
      <c r="K4696" s="118">
        <v>927000</v>
      </c>
      <c r="L4696" s="119"/>
      <c r="M4696" s="118">
        <f t="shared" ref="M4696" si="5352">K4696*0.1</f>
        <v>92700</v>
      </c>
      <c r="N4696" s="119"/>
      <c r="O4696" s="118">
        <f>9800+980</f>
        <v>10780</v>
      </c>
      <c r="P4696" s="119"/>
      <c r="Q4696" s="118">
        <v>20310</v>
      </c>
      <c r="R4696" s="119"/>
      <c r="S4696" s="118">
        <v>18150</v>
      </c>
      <c r="T4696" s="119"/>
      <c r="U4696" s="118">
        <f t="shared" ref="U4696" si="5353">SUM(K4696:T4697)</f>
        <v>1068940</v>
      </c>
      <c r="V4696" s="122"/>
      <c r="W4696" s="124"/>
      <c r="X4696" s="126" t="s">
        <v>14526</v>
      </c>
      <c r="Y4696" s="127"/>
      <c r="Z4696" s="127"/>
      <c r="AA4696" s="127"/>
      <c r="AB4696" s="128"/>
      <c r="AC4696" s="15" t="s">
        <v>20</v>
      </c>
      <c r="AD4696" s="129"/>
      <c r="AE4696" s="130"/>
      <c r="AF4696" s="130"/>
      <c r="AG4696" s="130"/>
      <c r="AH4696" s="130"/>
      <c r="AI4696" s="131"/>
      <c r="AJ4696" s="132"/>
      <c r="AK4696" s="127"/>
      <c r="AL4696" s="128"/>
      <c r="AM4696" s="21"/>
      <c r="AN4696" s="133">
        <v>46046</v>
      </c>
      <c r="AO4696" s="134"/>
      <c r="AP4696" s="135">
        <v>1285</v>
      </c>
      <c r="AQ4696" s="136"/>
      <c r="AR4696" s="118">
        <v>1100000</v>
      </c>
      <c r="AS4696" s="119"/>
      <c r="AT4696" s="118">
        <f t="shared" ref="AT4696" si="5354">AR4696*0.1</f>
        <v>110000</v>
      </c>
      <c r="AU4696" s="119"/>
      <c r="AV4696" s="118">
        <v>20310</v>
      </c>
      <c r="AW4696" s="119"/>
      <c r="AX4696" s="118">
        <f t="shared" ref="AX4696" si="5355">SUM(AR4696:AW4696)</f>
        <v>1230310</v>
      </c>
      <c r="AY4696" s="119"/>
      <c r="AZ4696" s="137">
        <v>46049</v>
      </c>
    </row>
    <row r="4697" spans="1:52" ht="17.100000000000001" customHeight="1" thickBot="1">
      <c r="A4697" s="110"/>
      <c r="B4697" s="27" t="s">
        <v>7478</v>
      </c>
      <c r="C4697" s="27">
        <v>38041</v>
      </c>
      <c r="D4697" s="14" t="s">
        <v>1592</v>
      </c>
      <c r="E4697" s="112"/>
      <c r="F4697" s="139" t="s">
        <v>14100</v>
      </c>
      <c r="G4697" s="140"/>
      <c r="H4697" s="141"/>
      <c r="I4697" s="26">
        <v>40363</v>
      </c>
      <c r="J4697" s="117"/>
      <c r="K4697" s="120"/>
      <c r="L4697" s="121"/>
      <c r="M4697" s="120"/>
      <c r="N4697" s="121"/>
      <c r="O4697" s="120"/>
      <c r="P4697" s="121"/>
      <c r="Q4697" s="120"/>
      <c r="R4697" s="121"/>
      <c r="S4697" s="120"/>
      <c r="T4697" s="121"/>
      <c r="U4697" s="120"/>
      <c r="V4697" s="123"/>
      <c r="W4697" s="125"/>
      <c r="X4697" s="142" t="s">
        <v>14527</v>
      </c>
      <c r="Y4697" s="143"/>
      <c r="Z4697" s="143"/>
      <c r="AA4697" s="143"/>
      <c r="AB4697" s="144"/>
      <c r="AC4697" s="16" t="s">
        <v>21</v>
      </c>
      <c r="AD4697" s="17" t="s">
        <v>1977</v>
      </c>
      <c r="AE4697" s="145" t="s">
        <v>3796</v>
      </c>
      <c r="AF4697" s="146"/>
      <c r="AG4697" s="146"/>
      <c r="AH4697" s="146"/>
      <c r="AI4697" s="147"/>
      <c r="AJ4697" s="148"/>
      <c r="AK4697" s="143"/>
      <c r="AL4697" s="144"/>
      <c r="AM4697" s="22"/>
      <c r="AN4697" s="149" t="s">
        <v>2511</v>
      </c>
      <c r="AO4697" s="144"/>
      <c r="AP4697" s="148">
        <v>80076</v>
      </c>
      <c r="AQ4697" s="144"/>
      <c r="AR4697" s="120"/>
      <c r="AS4697" s="121"/>
      <c r="AT4697" s="120"/>
      <c r="AU4697" s="121"/>
      <c r="AV4697" s="120"/>
      <c r="AW4697" s="121"/>
      <c r="AX4697" s="120"/>
      <c r="AY4697" s="121"/>
      <c r="AZ4697" s="138"/>
    </row>
    <row r="4698" spans="1:52" ht="17.100000000000001" customHeight="1" thickTop="1">
      <c r="A4698" s="109" t="s">
        <v>14091</v>
      </c>
      <c r="B4698" s="28">
        <v>46015</v>
      </c>
      <c r="C4698" s="25"/>
      <c r="D4698" s="13" t="s">
        <v>2859</v>
      </c>
      <c r="E4698" s="111"/>
      <c r="F4698" s="113" t="s">
        <v>4288</v>
      </c>
      <c r="G4698" s="114"/>
      <c r="H4698" s="115"/>
      <c r="I4698" s="24" t="s">
        <v>9318</v>
      </c>
      <c r="J4698" s="116">
        <v>4.5</v>
      </c>
      <c r="K4698" s="118">
        <v>960000</v>
      </c>
      <c r="L4698" s="119"/>
      <c r="M4698" s="118">
        <f t="shared" ref="M4698" si="5356">K4698*0.1</f>
        <v>96000</v>
      </c>
      <c r="N4698" s="119"/>
      <c r="O4698" s="118">
        <f>15000</f>
        <v>15000</v>
      </c>
      <c r="P4698" s="119"/>
      <c r="Q4698" s="118">
        <v>9200</v>
      </c>
      <c r="R4698" s="119"/>
      <c r="S4698" s="118">
        <v>16500</v>
      </c>
      <c r="T4698" s="119"/>
      <c r="U4698" s="118">
        <f t="shared" ref="U4698" si="5357">SUM(K4698:T4699)</f>
        <v>1096700</v>
      </c>
      <c r="V4698" s="122"/>
      <c r="W4698" s="124"/>
      <c r="X4698" s="126" t="s">
        <v>14360</v>
      </c>
      <c r="Y4698" s="127"/>
      <c r="Z4698" s="127"/>
      <c r="AA4698" s="127"/>
      <c r="AB4698" s="128"/>
      <c r="AC4698" s="15" t="s">
        <v>20</v>
      </c>
      <c r="AD4698" s="129" t="s">
        <v>14109</v>
      </c>
      <c r="AE4698" s="130"/>
      <c r="AF4698" s="130"/>
      <c r="AG4698" s="130"/>
      <c r="AH4698" s="130"/>
      <c r="AI4698" s="131"/>
      <c r="AJ4698" s="132"/>
      <c r="AK4698" s="127"/>
      <c r="AL4698" s="128"/>
      <c r="AM4698" s="21"/>
      <c r="AN4698" s="133">
        <v>46383</v>
      </c>
      <c r="AO4698" s="134"/>
      <c r="AP4698" s="135">
        <v>1282</v>
      </c>
      <c r="AQ4698" s="136"/>
      <c r="AR4698" s="118">
        <v>1050000</v>
      </c>
      <c r="AS4698" s="119"/>
      <c r="AT4698" s="118">
        <f t="shared" ref="AT4698" si="5358">AR4698*0.1</f>
        <v>105000</v>
      </c>
      <c r="AU4698" s="119"/>
      <c r="AV4698" s="118">
        <v>9200</v>
      </c>
      <c r="AW4698" s="119"/>
      <c r="AX4698" s="118">
        <f t="shared" ref="AX4698" si="5359">SUM(AR4698:AW4698)</f>
        <v>1164200</v>
      </c>
      <c r="AY4698" s="119"/>
      <c r="AZ4698" s="137">
        <v>46036</v>
      </c>
    </row>
    <row r="4699" spans="1:52" ht="17.100000000000001" customHeight="1" thickBot="1">
      <c r="A4699" s="110"/>
      <c r="B4699" s="27" t="s">
        <v>3422</v>
      </c>
      <c r="C4699" s="27">
        <v>20151</v>
      </c>
      <c r="D4699" s="14" t="s">
        <v>1576</v>
      </c>
      <c r="E4699" s="112"/>
      <c r="F4699" s="139" t="s">
        <v>14101</v>
      </c>
      <c r="G4699" s="140"/>
      <c r="H4699" s="141"/>
      <c r="I4699" s="26">
        <v>33458</v>
      </c>
      <c r="J4699" s="117"/>
      <c r="K4699" s="120"/>
      <c r="L4699" s="121"/>
      <c r="M4699" s="120"/>
      <c r="N4699" s="121"/>
      <c r="O4699" s="120"/>
      <c r="P4699" s="121"/>
      <c r="Q4699" s="120"/>
      <c r="R4699" s="121"/>
      <c r="S4699" s="120"/>
      <c r="T4699" s="121"/>
      <c r="U4699" s="120"/>
      <c r="V4699" s="123"/>
      <c r="W4699" s="125"/>
      <c r="X4699" s="142" t="s">
        <v>14361</v>
      </c>
      <c r="Y4699" s="143"/>
      <c r="Z4699" s="143"/>
      <c r="AA4699" s="143"/>
      <c r="AB4699" s="144"/>
      <c r="AC4699" s="16" t="s">
        <v>21</v>
      </c>
      <c r="AD4699" s="17" t="s">
        <v>14344</v>
      </c>
      <c r="AE4699" s="145" t="s">
        <v>14362</v>
      </c>
      <c r="AF4699" s="146"/>
      <c r="AG4699" s="146"/>
      <c r="AH4699" s="146"/>
      <c r="AI4699" s="147"/>
      <c r="AJ4699" s="148"/>
      <c r="AK4699" s="143"/>
      <c r="AL4699" s="144"/>
      <c r="AM4699" s="22"/>
      <c r="AN4699" s="149" t="s">
        <v>6748</v>
      </c>
      <c r="AO4699" s="144"/>
      <c r="AP4699" s="148">
        <v>60371</v>
      </c>
      <c r="AQ4699" s="144"/>
      <c r="AR4699" s="120"/>
      <c r="AS4699" s="121"/>
      <c r="AT4699" s="120"/>
      <c r="AU4699" s="121"/>
      <c r="AV4699" s="120"/>
      <c r="AW4699" s="121"/>
      <c r="AX4699" s="120"/>
      <c r="AY4699" s="121"/>
      <c r="AZ4699" s="138"/>
    </row>
    <row r="4700" spans="1:52" ht="17.100000000000001" customHeight="1" thickTop="1">
      <c r="A4700" s="109" t="s">
        <v>14092</v>
      </c>
      <c r="B4700" s="28">
        <v>46015</v>
      </c>
      <c r="C4700" s="25"/>
      <c r="D4700" s="13" t="s">
        <v>1686</v>
      </c>
      <c r="E4700" s="111"/>
      <c r="F4700" s="113" t="s">
        <v>8722</v>
      </c>
      <c r="G4700" s="114"/>
      <c r="H4700" s="115"/>
      <c r="I4700" s="24" t="s">
        <v>1559</v>
      </c>
      <c r="J4700" s="116">
        <v>4.5</v>
      </c>
      <c r="K4700" s="118">
        <v>935000</v>
      </c>
      <c r="L4700" s="119"/>
      <c r="M4700" s="118">
        <f t="shared" ref="M4700" si="5360">K4700*0.1</f>
        <v>93500</v>
      </c>
      <c r="N4700" s="119"/>
      <c r="O4700" s="118">
        <f>8600+860</f>
        <v>9460</v>
      </c>
      <c r="P4700" s="119"/>
      <c r="Q4700" s="118">
        <v>10780</v>
      </c>
      <c r="R4700" s="119"/>
      <c r="S4700" s="118">
        <v>16500</v>
      </c>
      <c r="T4700" s="119"/>
      <c r="U4700" s="118">
        <f t="shared" ref="U4700" si="5361">SUM(K4700:T4701)</f>
        <v>1065240</v>
      </c>
      <c r="V4700" s="122"/>
      <c r="W4700" s="124"/>
      <c r="X4700" s="126" t="s">
        <v>14363</v>
      </c>
      <c r="Y4700" s="127"/>
      <c r="Z4700" s="127"/>
      <c r="AA4700" s="127"/>
      <c r="AB4700" s="128"/>
      <c r="AC4700" s="15" t="s">
        <v>20</v>
      </c>
      <c r="AD4700" s="129" t="s">
        <v>14110</v>
      </c>
      <c r="AE4700" s="130"/>
      <c r="AF4700" s="130"/>
      <c r="AG4700" s="130"/>
      <c r="AH4700" s="130"/>
      <c r="AI4700" s="131"/>
      <c r="AJ4700" s="132"/>
      <c r="AK4700" s="127"/>
      <c r="AL4700" s="128"/>
      <c r="AM4700" s="21" t="s">
        <v>15346</v>
      </c>
      <c r="AN4700" s="133">
        <v>46057</v>
      </c>
      <c r="AO4700" s="134"/>
      <c r="AP4700" s="135">
        <v>1003</v>
      </c>
      <c r="AQ4700" s="136"/>
      <c r="AR4700" s="118">
        <v>1000000</v>
      </c>
      <c r="AS4700" s="119"/>
      <c r="AT4700" s="118">
        <f t="shared" ref="AT4700" si="5362">AR4700*0.1</f>
        <v>100000</v>
      </c>
      <c r="AU4700" s="119"/>
      <c r="AV4700" s="118">
        <v>10780</v>
      </c>
      <c r="AW4700" s="119"/>
      <c r="AX4700" s="118">
        <f t="shared" ref="AX4700" si="5363">SUM(AR4700:AW4700)</f>
        <v>1110780</v>
      </c>
      <c r="AY4700" s="119"/>
      <c r="AZ4700" s="137">
        <v>46065</v>
      </c>
    </row>
    <row r="4701" spans="1:52" ht="17.100000000000001" customHeight="1" thickBot="1">
      <c r="A4701" s="110"/>
      <c r="B4701" s="27" t="s">
        <v>3422</v>
      </c>
      <c r="C4701" s="27">
        <v>60007</v>
      </c>
      <c r="D4701" s="14" t="s">
        <v>7268</v>
      </c>
      <c r="E4701" s="112"/>
      <c r="F4701" s="139" t="s">
        <v>14102</v>
      </c>
      <c r="G4701" s="140"/>
      <c r="H4701" s="141"/>
      <c r="I4701" s="26">
        <v>50406</v>
      </c>
      <c r="J4701" s="117"/>
      <c r="K4701" s="120"/>
      <c r="L4701" s="121"/>
      <c r="M4701" s="120"/>
      <c r="N4701" s="121"/>
      <c r="O4701" s="120"/>
      <c r="P4701" s="121"/>
      <c r="Q4701" s="120"/>
      <c r="R4701" s="121"/>
      <c r="S4701" s="120"/>
      <c r="T4701" s="121"/>
      <c r="U4701" s="120"/>
      <c r="V4701" s="123"/>
      <c r="W4701" s="125"/>
      <c r="X4701" s="142" t="s">
        <v>14364</v>
      </c>
      <c r="Y4701" s="143"/>
      <c r="Z4701" s="143"/>
      <c r="AA4701" s="143"/>
      <c r="AB4701" s="144"/>
      <c r="AC4701" s="16" t="s">
        <v>21</v>
      </c>
      <c r="AD4701" s="17" t="s">
        <v>14344</v>
      </c>
      <c r="AE4701" s="145" t="s">
        <v>14365</v>
      </c>
      <c r="AF4701" s="146"/>
      <c r="AG4701" s="146"/>
      <c r="AH4701" s="146"/>
      <c r="AI4701" s="147"/>
      <c r="AJ4701" s="148"/>
      <c r="AK4701" s="143"/>
      <c r="AL4701" s="144"/>
      <c r="AM4701" s="22"/>
      <c r="AN4701" s="149" t="s">
        <v>7285</v>
      </c>
      <c r="AO4701" s="144"/>
      <c r="AP4701" s="148">
        <v>6053</v>
      </c>
      <c r="AQ4701" s="144"/>
      <c r="AR4701" s="120"/>
      <c r="AS4701" s="121"/>
      <c r="AT4701" s="120"/>
      <c r="AU4701" s="121"/>
      <c r="AV4701" s="120"/>
      <c r="AW4701" s="121"/>
      <c r="AX4701" s="120"/>
      <c r="AY4701" s="121"/>
      <c r="AZ4701" s="138"/>
    </row>
    <row r="4702" spans="1:52" ht="17.100000000000001" customHeight="1" thickTop="1">
      <c r="A4702" s="151" t="s">
        <v>14093</v>
      </c>
      <c r="B4702" s="28">
        <v>46015</v>
      </c>
      <c r="C4702" s="25"/>
      <c r="D4702" s="13" t="s">
        <v>2322</v>
      </c>
      <c r="E4702" s="111"/>
      <c r="F4702" s="113" t="s">
        <v>14103</v>
      </c>
      <c r="G4702" s="114"/>
      <c r="H4702" s="115"/>
      <c r="I4702" s="24" t="s">
        <v>1559</v>
      </c>
      <c r="J4702" s="116">
        <v>4.5</v>
      </c>
      <c r="K4702" s="118">
        <v>1300000</v>
      </c>
      <c r="L4702" s="119"/>
      <c r="M4702" s="118">
        <f t="shared" ref="M4702" si="5364">K4702*0.1</f>
        <v>130000</v>
      </c>
      <c r="N4702" s="119"/>
      <c r="O4702" s="118">
        <f>9800+980</f>
        <v>10780</v>
      </c>
      <c r="P4702" s="119"/>
      <c r="Q4702" s="118">
        <v>11480</v>
      </c>
      <c r="R4702" s="119"/>
      <c r="S4702" s="118">
        <v>16500</v>
      </c>
      <c r="T4702" s="119"/>
      <c r="U4702" s="118">
        <f t="shared" ref="U4702" si="5365">SUM(K4702:T4703)</f>
        <v>1468760</v>
      </c>
      <c r="V4702" s="122"/>
      <c r="W4702" s="124"/>
      <c r="X4702" s="126" t="s">
        <v>14441</v>
      </c>
      <c r="Y4702" s="127"/>
      <c r="Z4702" s="127"/>
      <c r="AA4702" s="127"/>
      <c r="AB4702" s="128"/>
      <c r="AC4702" s="15" t="s">
        <v>20</v>
      </c>
      <c r="AD4702" s="129" t="s">
        <v>4608</v>
      </c>
      <c r="AE4702" s="130"/>
      <c r="AF4702" s="130"/>
      <c r="AG4702" s="130"/>
      <c r="AH4702" s="130"/>
      <c r="AI4702" s="131"/>
      <c r="AJ4702" s="132"/>
      <c r="AK4702" s="127"/>
      <c r="AL4702" s="128"/>
      <c r="AM4702" s="21"/>
      <c r="AN4702" s="133">
        <v>46032</v>
      </c>
      <c r="AO4702" s="134"/>
      <c r="AP4702" s="135">
        <v>1283</v>
      </c>
      <c r="AQ4702" s="136"/>
      <c r="AR4702" s="118">
        <v>1655000</v>
      </c>
      <c r="AS4702" s="119"/>
      <c r="AT4702" s="118">
        <f t="shared" ref="AT4702" si="5366">AR4702*0.1</f>
        <v>165500</v>
      </c>
      <c r="AU4702" s="119"/>
      <c r="AV4702" s="118">
        <v>11480</v>
      </c>
      <c r="AW4702" s="119"/>
      <c r="AX4702" s="118">
        <f t="shared" ref="AX4702" si="5367">SUM(AR4702:AW4702)</f>
        <v>1831980</v>
      </c>
      <c r="AY4702" s="119"/>
      <c r="AZ4702" s="137">
        <v>46036</v>
      </c>
    </row>
    <row r="4703" spans="1:52" ht="17.100000000000001" customHeight="1" thickBot="1">
      <c r="A4703" s="152"/>
      <c r="B4703" s="27" t="s">
        <v>3422</v>
      </c>
      <c r="C4703" s="27">
        <v>60244</v>
      </c>
      <c r="D4703" s="14" t="s">
        <v>2601</v>
      </c>
      <c r="E4703" s="112"/>
      <c r="F4703" s="139" t="s">
        <v>14104</v>
      </c>
      <c r="G4703" s="140"/>
      <c r="H4703" s="141"/>
      <c r="I4703" s="26">
        <v>88562</v>
      </c>
      <c r="J4703" s="117"/>
      <c r="K4703" s="120"/>
      <c r="L4703" s="121"/>
      <c r="M4703" s="120"/>
      <c r="N4703" s="121"/>
      <c r="O4703" s="120"/>
      <c r="P4703" s="121"/>
      <c r="Q4703" s="120"/>
      <c r="R4703" s="121"/>
      <c r="S4703" s="120"/>
      <c r="T4703" s="121"/>
      <c r="U4703" s="120"/>
      <c r="V4703" s="123"/>
      <c r="W4703" s="125"/>
      <c r="X4703" s="142" t="s">
        <v>14442</v>
      </c>
      <c r="Y4703" s="143"/>
      <c r="Z4703" s="143"/>
      <c r="AA4703" s="143"/>
      <c r="AB4703" s="144"/>
      <c r="AC4703" s="16" t="s">
        <v>21</v>
      </c>
      <c r="AD4703" s="17" t="s">
        <v>1953</v>
      </c>
      <c r="AE4703" s="145" t="s">
        <v>14443</v>
      </c>
      <c r="AF4703" s="146"/>
      <c r="AG4703" s="146"/>
      <c r="AH4703" s="146"/>
      <c r="AI4703" s="147"/>
      <c r="AJ4703" s="148"/>
      <c r="AK4703" s="143"/>
      <c r="AL4703" s="144"/>
      <c r="AM4703" s="22"/>
      <c r="AN4703" s="149" t="s">
        <v>2511</v>
      </c>
      <c r="AO4703" s="144"/>
      <c r="AP4703" s="148">
        <v>50111</v>
      </c>
      <c r="AQ4703" s="144"/>
      <c r="AR4703" s="120"/>
      <c r="AS4703" s="121"/>
      <c r="AT4703" s="120"/>
      <c r="AU4703" s="121"/>
      <c r="AV4703" s="120"/>
      <c r="AW4703" s="121"/>
      <c r="AX4703" s="120"/>
      <c r="AY4703" s="121"/>
      <c r="AZ4703" s="138"/>
    </row>
    <row r="4704" spans="1:52" ht="17.100000000000001" customHeight="1" thickTop="1">
      <c r="A4704" s="151" t="s">
        <v>14094</v>
      </c>
      <c r="B4704" s="28">
        <v>46015</v>
      </c>
      <c r="C4704" s="25"/>
      <c r="D4704" s="13" t="s">
        <v>3381</v>
      </c>
      <c r="E4704" s="111"/>
      <c r="F4704" s="113" t="s">
        <v>14105</v>
      </c>
      <c r="G4704" s="114"/>
      <c r="H4704" s="115"/>
      <c r="I4704" s="24"/>
      <c r="J4704" s="116">
        <v>4.5</v>
      </c>
      <c r="K4704" s="118">
        <v>1115000</v>
      </c>
      <c r="L4704" s="119"/>
      <c r="M4704" s="118">
        <f t="shared" ref="M4704" si="5368">K4704*0.1</f>
        <v>111500</v>
      </c>
      <c r="N4704" s="119"/>
      <c r="O4704" s="118">
        <v>0</v>
      </c>
      <c r="P4704" s="119"/>
      <c r="Q4704" s="118">
        <v>9810</v>
      </c>
      <c r="R4704" s="119"/>
      <c r="S4704" s="118">
        <v>16500</v>
      </c>
      <c r="T4704" s="119"/>
      <c r="U4704" s="118">
        <f t="shared" ref="U4704" si="5369">SUM(K4704:T4705)</f>
        <v>1252810</v>
      </c>
      <c r="V4704" s="122"/>
      <c r="W4704" s="124"/>
      <c r="X4704" s="126" t="s">
        <v>14616</v>
      </c>
      <c r="Y4704" s="127"/>
      <c r="Z4704" s="127"/>
      <c r="AA4704" s="127"/>
      <c r="AB4704" s="128"/>
      <c r="AC4704" s="15" t="s">
        <v>20</v>
      </c>
      <c r="AD4704" s="129" t="s">
        <v>8003</v>
      </c>
      <c r="AE4704" s="130"/>
      <c r="AF4704" s="130"/>
      <c r="AG4704" s="130"/>
      <c r="AH4704" s="130"/>
      <c r="AI4704" s="131"/>
      <c r="AJ4704" s="132"/>
      <c r="AK4704" s="127"/>
      <c r="AL4704" s="128"/>
      <c r="AM4704" s="21"/>
      <c r="AN4704" s="133">
        <v>46032</v>
      </c>
      <c r="AO4704" s="134"/>
      <c r="AP4704" s="135">
        <v>1283</v>
      </c>
      <c r="AQ4704" s="136"/>
      <c r="AR4704" s="118">
        <v>1200000</v>
      </c>
      <c r="AS4704" s="119"/>
      <c r="AT4704" s="118">
        <f t="shared" ref="AT4704" si="5370">AR4704*0.1</f>
        <v>120000</v>
      </c>
      <c r="AU4704" s="119"/>
      <c r="AV4704" s="118">
        <v>9810</v>
      </c>
      <c r="AW4704" s="119"/>
      <c r="AX4704" s="118">
        <f t="shared" ref="AX4704" si="5371">SUM(AR4704:AW4704)</f>
        <v>1329810</v>
      </c>
      <c r="AY4704" s="119"/>
      <c r="AZ4704" s="137">
        <v>46036</v>
      </c>
    </row>
    <row r="4705" spans="1:52" ht="17.100000000000001" customHeight="1" thickBot="1">
      <c r="A4705" s="152"/>
      <c r="B4705" s="27" t="s">
        <v>3422</v>
      </c>
      <c r="C4705" s="27">
        <v>60302</v>
      </c>
      <c r="D4705" s="14" t="s">
        <v>2601</v>
      </c>
      <c r="E4705" s="112"/>
      <c r="F4705" s="139" t="s">
        <v>14106</v>
      </c>
      <c r="G4705" s="140"/>
      <c r="H4705" s="141"/>
      <c r="I4705" s="26">
        <v>63990</v>
      </c>
      <c r="J4705" s="117"/>
      <c r="K4705" s="120"/>
      <c r="L4705" s="121"/>
      <c r="M4705" s="120"/>
      <c r="N4705" s="121"/>
      <c r="O4705" s="120"/>
      <c r="P4705" s="121"/>
      <c r="Q4705" s="120"/>
      <c r="R4705" s="121"/>
      <c r="S4705" s="120"/>
      <c r="T4705" s="121"/>
      <c r="U4705" s="120"/>
      <c r="V4705" s="123"/>
      <c r="W4705" s="125"/>
      <c r="X4705" s="142" t="s">
        <v>4796</v>
      </c>
      <c r="Y4705" s="143"/>
      <c r="Z4705" s="143"/>
      <c r="AA4705" s="143"/>
      <c r="AB4705" s="144"/>
      <c r="AC4705" s="16" t="s">
        <v>21</v>
      </c>
      <c r="AD4705" s="17" t="s">
        <v>3921</v>
      </c>
      <c r="AE4705" s="145" t="s">
        <v>14617</v>
      </c>
      <c r="AF4705" s="146"/>
      <c r="AG4705" s="146"/>
      <c r="AH4705" s="146"/>
      <c r="AI4705" s="147"/>
      <c r="AJ4705" s="148" t="s">
        <v>10068</v>
      </c>
      <c r="AK4705" s="143"/>
      <c r="AL4705" s="144"/>
      <c r="AM4705" s="22"/>
      <c r="AN4705" s="149" t="s">
        <v>2511</v>
      </c>
      <c r="AO4705" s="144"/>
      <c r="AP4705" s="148">
        <v>55111</v>
      </c>
      <c r="AQ4705" s="144"/>
      <c r="AR4705" s="120"/>
      <c r="AS4705" s="121"/>
      <c r="AT4705" s="120"/>
      <c r="AU4705" s="121"/>
      <c r="AV4705" s="120"/>
      <c r="AW4705" s="121"/>
      <c r="AX4705" s="120"/>
      <c r="AY4705" s="121"/>
      <c r="AZ4705" s="138"/>
    </row>
    <row r="4706" spans="1:52" ht="17.100000000000001" customHeight="1" thickTop="1">
      <c r="A4706" s="151" t="s">
        <v>14108</v>
      </c>
      <c r="B4706" s="28">
        <v>46015</v>
      </c>
      <c r="C4706" s="25">
        <v>1312</v>
      </c>
      <c r="D4706" s="13" t="s">
        <v>3386</v>
      </c>
      <c r="E4706" s="111"/>
      <c r="F4706" s="113" t="s">
        <v>9986</v>
      </c>
      <c r="G4706" s="114"/>
      <c r="H4706" s="115"/>
      <c r="I4706" s="24" t="s">
        <v>14111</v>
      </c>
      <c r="J4706" s="116">
        <v>4.5</v>
      </c>
      <c r="K4706" s="118">
        <v>2012000</v>
      </c>
      <c r="L4706" s="119"/>
      <c r="M4706" s="118">
        <f t="shared" ref="M4706" si="5372">K4706*0.1</f>
        <v>201200</v>
      </c>
      <c r="N4706" s="119"/>
      <c r="O4706" s="118">
        <f>9000+900</f>
        <v>9900</v>
      </c>
      <c r="P4706" s="119"/>
      <c r="Q4706" s="118">
        <v>17800</v>
      </c>
      <c r="R4706" s="119"/>
      <c r="S4706" s="118">
        <v>13200</v>
      </c>
      <c r="T4706" s="119"/>
      <c r="U4706" s="118">
        <f t="shared" ref="U4706" si="5373">SUM(K4706:T4707)</f>
        <v>2254100</v>
      </c>
      <c r="V4706" s="122"/>
      <c r="W4706" s="124"/>
      <c r="X4706" s="126" t="s">
        <v>14644</v>
      </c>
      <c r="Y4706" s="127"/>
      <c r="Z4706" s="127"/>
      <c r="AA4706" s="127"/>
      <c r="AB4706" s="128"/>
      <c r="AC4706" s="15" t="s">
        <v>20</v>
      </c>
      <c r="AD4706" s="129" t="s">
        <v>7698</v>
      </c>
      <c r="AE4706" s="130"/>
      <c r="AF4706" s="130"/>
      <c r="AG4706" s="130"/>
      <c r="AH4706" s="130"/>
      <c r="AI4706" s="131"/>
      <c r="AJ4706" s="132"/>
      <c r="AK4706" s="127"/>
      <c r="AL4706" s="128"/>
      <c r="AM4706" s="21"/>
      <c r="AN4706" s="133">
        <v>46032</v>
      </c>
      <c r="AO4706" s="134"/>
      <c r="AP4706" s="135">
        <v>1283</v>
      </c>
      <c r="AQ4706" s="136"/>
      <c r="AR4706" s="118">
        <v>2190000</v>
      </c>
      <c r="AS4706" s="119"/>
      <c r="AT4706" s="118">
        <v>219000</v>
      </c>
      <c r="AU4706" s="119"/>
      <c r="AV4706" s="118">
        <v>17800</v>
      </c>
      <c r="AW4706" s="119"/>
      <c r="AX4706" s="118">
        <f t="shared" ref="AX4706" si="5374">SUM(AR4706:AW4706)</f>
        <v>2426800</v>
      </c>
      <c r="AY4706" s="119"/>
      <c r="AZ4706" s="137">
        <v>46036</v>
      </c>
    </row>
    <row r="4707" spans="1:52" ht="17.100000000000001" customHeight="1" thickBot="1">
      <c r="A4707" s="152"/>
      <c r="B4707" s="27" t="s">
        <v>5292</v>
      </c>
      <c r="C4707" s="27">
        <v>3063</v>
      </c>
      <c r="D4707" s="14" t="s">
        <v>1635</v>
      </c>
      <c r="E4707" s="112"/>
      <c r="F4707" s="139" t="s">
        <v>14107</v>
      </c>
      <c r="G4707" s="140"/>
      <c r="H4707" s="141"/>
      <c r="I4707" s="26">
        <v>36498</v>
      </c>
      <c r="J4707" s="117"/>
      <c r="K4707" s="120"/>
      <c r="L4707" s="121"/>
      <c r="M4707" s="120"/>
      <c r="N4707" s="121"/>
      <c r="O4707" s="120"/>
      <c r="P4707" s="121"/>
      <c r="Q4707" s="120"/>
      <c r="R4707" s="121"/>
      <c r="S4707" s="120"/>
      <c r="T4707" s="121"/>
      <c r="U4707" s="120"/>
      <c r="V4707" s="123"/>
      <c r="W4707" s="125"/>
      <c r="X4707" s="142" t="s">
        <v>1594</v>
      </c>
      <c r="Y4707" s="143"/>
      <c r="Z4707" s="143"/>
      <c r="AA4707" s="143"/>
      <c r="AB4707" s="144"/>
      <c r="AC4707" s="16" t="s">
        <v>21</v>
      </c>
      <c r="AD4707" s="17" t="s">
        <v>4121</v>
      </c>
      <c r="AE4707" s="145" t="s">
        <v>14645</v>
      </c>
      <c r="AF4707" s="146"/>
      <c r="AG4707" s="146"/>
      <c r="AH4707" s="146"/>
      <c r="AI4707" s="147"/>
      <c r="AJ4707" s="148"/>
      <c r="AK4707" s="143"/>
      <c r="AL4707" s="144"/>
      <c r="AM4707" s="22"/>
      <c r="AN4707" s="149" t="s">
        <v>2511</v>
      </c>
      <c r="AO4707" s="144"/>
      <c r="AP4707" s="148">
        <v>80051</v>
      </c>
      <c r="AQ4707" s="144"/>
      <c r="AR4707" s="120"/>
      <c r="AS4707" s="121"/>
      <c r="AT4707" s="120"/>
      <c r="AU4707" s="121"/>
      <c r="AV4707" s="120"/>
      <c r="AW4707" s="121"/>
      <c r="AX4707" s="120"/>
      <c r="AY4707" s="121"/>
      <c r="AZ4707" s="138"/>
    </row>
    <row r="4708" spans="1:52" ht="17.100000000000001" customHeight="1" thickTop="1">
      <c r="A4708" s="151" t="s">
        <v>14167</v>
      </c>
      <c r="B4708" s="28">
        <v>46015</v>
      </c>
      <c r="C4708" s="25">
        <v>998</v>
      </c>
      <c r="D4708" s="13" t="s">
        <v>4670</v>
      </c>
      <c r="E4708" s="111"/>
      <c r="F4708" s="113" t="s">
        <v>14153</v>
      </c>
      <c r="G4708" s="114"/>
      <c r="H4708" s="115"/>
      <c r="I4708" s="24" t="s">
        <v>14155</v>
      </c>
      <c r="J4708" s="116">
        <v>4</v>
      </c>
      <c r="K4708" s="118">
        <v>355000</v>
      </c>
      <c r="L4708" s="119"/>
      <c r="M4708" s="118">
        <f t="shared" ref="M4708" si="5375">K4708*0.1</f>
        <v>35500</v>
      </c>
      <c r="N4708" s="119"/>
      <c r="O4708" s="118">
        <f>9800+980</f>
        <v>10780</v>
      </c>
      <c r="P4708" s="119"/>
      <c r="Q4708" s="118">
        <v>11820</v>
      </c>
      <c r="R4708" s="119"/>
      <c r="S4708" s="118">
        <v>12100</v>
      </c>
      <c r="T4708" s="119"/>
      <c r="U4708" s="118">
        <f t="shared" ref="U4708" si="5376">SUM(K4708:T4709)</f>
        <v>425200</v>
      </c>
      <c r="V4708" s="122"/>
      <c r="W4708" s="124"/>
      <c r="X4708" s="126" t="s">
        <v>14156</v>
      </c>
      <c r="Y4708" s="127"/>
      <c r="Z4708" s="127"/>
      <c r="AA4708" s="127"/>
      <c r="AB4708" s="128"/>
      <c r="AC4708" s="15" t="s">
        <v>20</v>
      </c>
      <c r="AD4708" s="129"/>
      <c r="AE4708" s="130"/>
      <c r="AF4708" s="130"/>
      <c r="AG4708" s="130"/>
      <c r="AH4708" s="130"/>
      <c r="AI4708" s="131"/>
      <c r="AJ4708" s="132" t="s">
        <v>8040</v>
      </c>
      <c r="AK4708" s="127"/>
      <c r="AL4708" s="128"/>
      <c r="AM4708" s="21"/>
      <c r="AN4708" s="133"/>
      <c r="AO4708" s="134"/>
      <c r="AP4708" s="135"/>
      <c r="AQ4708" s="136"/>
      <c r="AR4708" s="118"/>
      <c r="AS4708" s="119"/>
      <c r="AT4708" s="118">
        <f t="shared" ref="AT4708" si="5377">AR4708*0.1</f>
        <v>0</v>
      </c>
      <c r="AU4708" s="119"/>
      <c r="AV4708" s="118"/>
      <c r="AW4708" s="119"/>
      <c r="AX4708" s="118">
        <f t="shared" ref="AX4708" si="5378">SUM(AR4708:AW4708)</f>
        <v>0</v>
      </c>
      <c r="AY4708" s="119"/>
      <c r="AZ4708" s="137"/>
    </row>
    <row r="4709" spans="1:52" ht="17.100000000000001" customHeight="1" thickBot="1">
      <c r="A4709" s="152"/>
      <c r="B4709" s="27" t="s">
        <v>2794</v>
      </c>
      <c r="C4709" s="27">
        <v>1001</v>
      </c>
      <c r="D4709" s="14" t="s">
        <v>275</v>
      </c>
      <c r="E4709" s="112"/>
      <c r="F4709" s="139" t="s">
        <v>14154</v>
      </c>
      <c r="G4709" s="140"/>
      <c r="H4709" s="141"/>
      <c r="I4709" s="26">
        <v>149644</v>
      </c>
      <c r="J4709" s="117"/>
      <c r="K4709" s="120"/>
      <c r="L4709" s="121"/>
      <c r="M4709" s="120"/>
      <c r="N4709" s="121"/>
      <c r="O4709" s="120"/>
      <c r="P4709" s="121"/>
      <c r="Q4709" s="120"/>
      <c r="R4709" s="121"/>
      <c r="S4709" s="120"/>
      <c r="T4709" s="121"/>
      <c r="U4709" s="120"/>
      <c r="V4709" s="123"/>
      <c r="W4709" s="125"/>
      <c r="X4709" s="142"/>
      <c r="Y4709" s="143"/>
      <c r="Z4709" s="143"/>
      <c r="AA4709" s="143"/>
      <c r="AB4709" s="144"/>
      <c r="AC4709" s="16" t="s">
        <v>21</v>
      </c>
      <c r="AD4709" s="17" t="s">
        <v>10540</v>
      </c>
      <c r="AE4709" s="145"/>
      <c r="AF4709" s="146"/>
      <c r="AG4709" s="146"/>
      <c r="AH4709" s="146"/>
      <c r="AI4709" s="147"/>
      <c r="AJ4709" s="148"/>
      <c r="AK4709" s="143"/>
      <c r="AL4709" s="144"/>
      <c r="AM4709" s="22"/>
      <c r="AN4709" s="149"/>
      <c r="AO4709" s="144"/>
      <c r="AP4709" s="148"/>
      <c r="AQ4709" s="144"/>
      <c r="AR4709" s="120"/>
      <c r="AS4709" s="121"/>
      <c r="AT4709" s="120"/>
      <c r="AU4709" s="121"/>
      <c r="AV4709" s="120"/>
      <c r="AW4709" s="121"/>
      <c r="AX4709" s="120"/>
      <c r="AY4709" s="121"/>
      <c r="AZ4709" s="138"/>
    </row>
    <row r="4710" spans="1:52" ht="17.100000000000001" customHeight="1" thickTop="1">
      <c r="A4710" s="151" t="s">
        <v>14168</v>
      </c>
      <c r="B4710" s="28">
        <v>46015</v>
      </c>
      <c r="C4710" s="25">
        <v>998</v>
      </c>
      <c r="D4710" s="13" t="s">
        <v>2906</v>
      </c>
      <c r="E4710" s="111"/>
      <c r="F4710" s="113" t="s">
        <v>14157</v>
      </c>
      <c r="G4710" s="114"/>
      <c r="H4710" s="115"/>
      <c r="I4710" s="24"/>
      <c r="J4710" s="116">
        <v>4</v>
      </c>
      <c r="K4710" s="118">
        <v>825000</v>
      </c>
      <c r="L4710" s="119"/>
      <c r="M4710" s="118">
        <f t="shared" ref="M4710" si="5379">K4710*0.1</f>
        <v>82500</v>
      </c>
      <c r="N4710" s="119"/>
      <c r="O4710" s="118">
        <v>0</v>
      </c>
      <c r="P4710" s="119"/>
      <c r="Q4710" s="118">
        <v>17060</v>
      </c>
      <c r="R4710" s="119"/>
      <c r="S4710" s="118">
        <v>12100</v>
      </c>
      <c r="T4710" s="119"/>
      <c r="U4710" s="118">
        <f t="shared" ref="U4710" si="5380">SUM(K4710:T4711)</f>
        <v>936660</v>
      </c>
      <c r="V4710" s="122"/>
      <c r="W4710" s="124"/>
      <c r="X4710" s="126" t="s">
        <v>14611</v>
      </c>
      <c r="Y4710" s="127"/>
      <c r="Z4710" s="127"/>
      <c r="AA4710" s="127"/>
      <c r="AB4710" s="128"/>
      <c r="AC4710" s="15" t="s">
        <v>20</v>
      </c>
      <c r="AD4710" s="129" t="s">
        <v>11783</v>
      </c>
      <c r="AE4710" s="130"/>
      <c r="AF4710" s="130"/>
      <c r="AG4710" s="130"/>
      <c r="AH4710" s="130"/>
      <c r="AI4710" s="131"/>
      <c r="AJ4710" s="132"/>
      <c r="AK4710" s="127"/>
      <c r="AL4710" s="128"/>
      <c r="AM4710" s="21"/>
      <c r="AN4710" s="133">
        <v>46032</v>
      </c>
      <c r="AO4710" s="134"/>
      <c r="AP4710" s="135">
        <v>1283</v>
      </c>
      <c r="AQ4710" s="136"/>
      <c r="AR4710" s="118">
        <v>915000</v>
      </c>
      <c r="AS4710" s="119"/>
      <c r="AT4710" s="118">
        <f t="shared" ref="AT4710" si="5381">AR4710*0.1</f>
        <v>91500</v>
      </c>
      <c r="AU4710" s="119"/>
      <c r="AV4710" s="118">
        <v>17060</v>
      </c>
      <c r="AW4710" s="119"/>
      <c r="AX4710" s="118">
        <f t="shared" ref="AX4710" si="5382">SUM(AR4710:AW4710)</f>
        <v>1023560</v>
      </c>
      <c r="AY4710" s="119"/>
      <c r="AZ4710" s="137">
        <v>46036</v>
      </c>
    </row>
    <row r="4711" spans="1:52" ht="17.100000000000001" customHeight="1" thickBot="1">
      <c r="A4711" s="152"/>
      <c r="B4711" s="27" t="s">
        <v>2794</v>
      </c>
      <c r="C4711" s="27">
        <v>1159</v>
      </c>
      <c r="D4711" s="14" t="s">
        <v>275</v>
      </c>
      <c r="E4711" s="112"/>
      <c r="F4711" s="139" t="s">
        <v>14158</v>
      </c>
      <c r="G4711" s="140"/>
      <c r="H4711" s="141"/>
      <c r="I4711" s="26">
        <v>138760</v>
      </c>
      <c r="J4711" s="117"/>
      <c r="K4711" s="120"/>
      <c r="L4711" s="121"/>
      <c r="M4711" s="120"/>
      <c r="N4711" s="121"/>
      <c r="O4711" s="120"/>
      <c r="P4711" s="121"/>
      <c r="Q4711" s="120"/>
      <c r="R4711" s="121"/>
      <c r="S4711" s="120"/>
      <c r="T4711" s="121"/>
      <c r="U4711" s="120"/>
      <c r="V4711" s="123"/>
      <c r="W4711" s="125"/>
      <c r="X4711" s="142" t="s">
        <v>2918</v>
      </c>
      <c r="Y4711" s="143"/>
      <c r="Z4711" s="143"/>
      <c r="AA4711" s="143"/>
      <c r="AB4711" s="144"/>
      <c r="AC4711" s="16" t="s">
        <v>21</v>
      </c>
      <c r="AD4711" s="17" t="s">
        <v>3921</v>
      </c>
      <c r="AE4711" s="145" t="s">
        <v>11783</v>
      </c>
      <c r="AF4711" s="146"/>
      <c r="AG4711" s="146"/>
      <c r="AH4711" s="146"/>
      <c r="AI4711" s="147"/>
      <c r="AJ4711" s="148"/>
      <c r="AK4711" s="143"/>
      <c r="AL4711" s="144"/>
      <c r="AM4711" s="22"/>
      <c r="AN4711" s="149" t="s">
        <v>2511</v>
      </c>
      <c r="AO4711" s="144"/>
      <c r="AP4711" s="148">
        <v>50103</v>
      </c>
      <c r="AQ4711" s="144"/>
      <c r="AR4711" s="120"/>
      <c r="AS4711" s="121"/>
      <c r="AT4711" s="120"/>
      <c r="AU4711" s="121"/>
      <c r="AV4711" s="120"/>
      <c r="AW4711" s="121"/>
      <c r="AX4711" s="120"/>
      <c r="AY4711" s="121"/>
      <c r="AZ4711" s="138"/>
    </row>
    <row r="4712" spans="1:52" ht="17.100000000000001" customHeight="1" thickTop="1">
      <c r="A4712" s="151" t="s">
        <v>14169</v>
      </c>
      <c r="B4712" s="28">
        <v>46015</v>
      </c>
      <c r="C4712" s="25">
        <v>998</v>
      </c>
      <c r="D4712" s="13" t="s">
        <v>2066</v>
      </c>
      <c r="E4712" s="111"/>
      <c r="F4712" s="113" t="s">
        <v>14159</v>
      </c>
      <c r="G4712" s="114"/>
      <c r="H4712" s="115"/>
      <c r="I4712" s="24" t="s">
        <v>2584</v>
      </c>
      <c r="J4712" s="116">
        <v>4.5</v>
      </c>
      <c r="K4712" s="118">
        <v>1075000</v>
      </c>
      <c r="L4712" s="119"/>
      <c r="M4712" s="118">
        <f t="shared" ref="M4712" si="5383">K4712*0.1</f>
        <v>107500</v>
      </c>
      <c r="N4712" s="119"/>
      <c r="O4712" s="118">
        <v>0</v>
      </c>
      <c r="P4712" s="119"/>
      <c r="Q4712" s="118">
        <v>8130</v>
      </c>
      <c r="R4712" s="119"/>
      <c r="S4712" s="118">
        <v>12100</v>
      </c>
      <c r="T4712" s="119"/>
      <c r="U4712" s="118">
        <f t="shared" ref="U4712" si="5384">SUM(K4712:T4713)</f>
        <v>1202730</v>
      </c>
      <c r="V4712" s="122"/>
      <c r="W4712" s="124"/>
      <c r="X4712" s="126" t="s">
        <v>14161</v>
      </c>
      <c r="Y4712" s="127"/>
      <c r="Z4712" s="127"/>
      <c r="AA4712" s="127"/>
      <c r="AB4712" s="128"/>
      <c r="AC4712" s="15" t="s">
        <v>20</v>
      </c>
      <c r="AD4712" s="129"/>
      <c r="AE4712" s="130"/>
      <c r="AF4712" s="130"/>
      <c r="AG4712" s="130"/>
      <c r="AH4712" s="130"/>
      <c r="AI4712" s="131"/>
      <c r="AJ4712" s="132" t="s">
        <v>16717</v>
      </c>
      <c r="AK4712" s="127"/>
      <c r="AL4712" s="128"/>
      <c r="AM4712" s="21" t="s">
        <v>15053</v>
      </c>
      <c r="AN4712" s="133"/>
      <c r="AO4712" s="134"/>
      <c r="AP4712" s="135"/>
      <c r="AQ4712" s="136"/>
      <c r="AR4712" s="118"/>
      <c r="AS4712" s="119"/>
      <c r="AT4712" s="118">
        <f t="shared" ref="AT4712" si="5385">AR4712*0.1</f>
        <v>0</v>
      </c>
      <c r="AU4712" s="119"/>
      <c r="AV4712" s="118"/>
      <c r="AW4712" s="119"/>
      <c r="AX4712" s="118">
        <f t="shared" ref="AX4712" si="5386">SUM(AR4712:AW4712)</f>
        <v>0</v>
      </c>
      <c r="AY4712" s="119"/>
      <c r="AZ4712" s="137"/>
    </row>
    <row r="4713" spans="1:52" ht="17.100000000000001" customHeight="1" thickBot="1">
      <c r="A4713" s="152"/>
      <c r="B4713" s="27" t="s">
        <v>2794</v>
      </c>
      <c r="C4713" s="27">
        <v>1182</v>
      </c>
      <c r="D4713" s="14" t="s">
        <v>1635</v>
      </c>
      <c r="E4713" s="112"/>
      <c r="F4713" s="139" t="s">
        <v>14160</v>
      </c>
      <c r="G4713" s="140"/>
      <c r="H4713" s="141"/>
      <c r="I4713" s="26">
        <v>4451</v>
      </c>
      <c r="J4713" s="117"/>
      <c r="K4713" s="120"/>
      <c r="L4713" s="121"/>
      <c r="M4713" s="120"/>
      <c r="N4713" s="121"/>
      <c r="O4713" s="120"/>
      <c r="P4713" s="121"/>
      <c r="Q4713" s="120"/>
      <c r="R4713" s="121"/>
      <c r="S4713" s="120"/>
      <c r="T4713" s="121"/>
      <c r="U4713" s="120"/>
      <c r="V4713" s="123"/>
      <c r="W4713" s="125"/>
      <c r="X4713" s="142" t="s">
        <v>14435</v>
      </c>
      <c r="Y4713" s="143"/>
      <c r="Z4713" s="143"/>
      <c r="AA4713" s="143"/>
      <c r="AB4713" s="144"/>
      <c r="AC4713" s="16" t="s">
        <v>21</v>
      </c>
      <c r="AD4713" s="17" t="s">
        <v>3921</v>
      </c>
      <c r="AE4713" s="145"/>
      <c r="AF4713" s="146"/>
      <c r="AG4713" s="146"/>
      <c r="AH4713" s="146"/>
      <c r="AI4713" s="147"/>
      <c r="AJ4713" s="148" t="s">
        <v>16718</v>
      </c>
      <c r="AK4713" s="143"/>
      <c r="AL4713" s="144"/>
      <c r="AM4713" s="22"/>
      <c r="AN4713" s="149"/>
      <c r="AO4713" s="144"/>
      <c r="AP4713" s="148"/>
      <c r="AQ4713" s="144"/>
      <c r="AR4713" s="120"/>
      <c r="AS4713" s="121"/>
      <c r="AT4713" s="120"/>
      <c r="AU4713" s="121"/>
      <c r="AV4713" s="120"/>
      <c r="AW4713" s="121"/>
      <c r="AX4713" s="120"/>
      <c r="AY4713" s="121"/>
      <c r="AZ4713" s="138"/>
    </row>
    <row r="4714" spans="1:52" ht="17.100000000000001" customHeight="1" thickTop="1">
      <c r="A4714" s="151" t="s">
        <v>14170</v>
      </c>
      <c r="B4714" s="28">
        <v>46015</v>
      </c>
      <c r="C4714" s="25">
        <v>998</v>
      </c>
      <c r="D4714" s="13" t="s">
        <v>1697</v>
      </c>
      <c r="E4714" s="111"/>
      <c r="F4714" s="113" t="s">
        <v>14162</v>
      </c>
      <c r="G4714" s="114"/>
      <c r="H4714" s="115"/>
      <c r="I4714" s="24"/>
      <c r="J4714" s="116">
        <v>4.5</v>
      </c>
      <c r="K4714" s="118">
        <v>2795000</v>
      </c>
      <c r="L4714" s="119"/>
      <c r="M4714" s="118">
        <f t="shared" ref="M4714" si="5387">K4714*0.1</f>
        <v>279500</v>
      </c>
      <c r="N4714" s="119"/>
      <c r="O4714" s="118">
        <v>0</v>
      </c>
      <c r="P4714" s="119"/>
      <c r="Q4714" s="118">
        <v>12550</v>
      </c>
      <c r="R4714" s="119"/>
      <c r="S4714" s="118">
        <v>12100</v>
      </c>
      <c r="T4714" s="119"/>
      <c r="U4714" s="118">
        <f t="shared" ref="U4714" si="5388">SUM(K4714:T4715)</f>
        <v>3099150</v>
      </c>
      <c r="V4714" s="122"/>
      <c r="W4714" s="124"/>
      <c r="X4714" s="126" t="s">
        <v>14612</v>
      </c>
      <c r="Y4714" s="127"/>
      <c r="Z4714" s="127"/>
      <c r="AA4714" s="127"/>
      <c r="AB4714" s="128"/>
      <c r="AC4714" s="15" t="s">
        <v>20</v>
      </c>
      <c r="AD4714" s="129" t="s">
        <v>1670</v>
      </c>
      <c r="AE4714" s="130"/>
      <c r="AF4714" s="130"/>
      <c r="AG4714" s="130"/>
      <c r="AH4714" s="130"/>
      <c r="AI4714" s="131"/>
      <c r="AJ4714" s="132"/>
      <c r="AK4714" s="127"/>
      <c r="AL4714" s="128"/>
      <c r="AM4714" s="21"/>
      <c r="AN4714" s="133">
        <v>46032</v>
      </c>
      <c r="AO4714" s="134"/>
      <c r="AP4714" s="135">
        <v>1283</v>
      </c>
      <c r="AQ4714" s="136"/>
      <c r="AR4714" s="118">
        <v>2905000</v>
      </c>
      <c r="AS4714" s="119"/>
      <c r="AT4714" s="118">
        <f t="shared" ref="AT4714" si="5389">AR4714*0.1</f>
        <v>290500</v>
      </c>
      <c r="AU4714" s="119"/>
      <c r="AV4714" s="118">
        <v>12550</v>
      </c>
      <c r="AW4714" s="119"/>
      <c r="AX4714" s="118">
        <f t="shared" ref="AX4714" si="5390">SUM(AR4714:AW4714)</f>
        <v>3208050</v>
      </c>
      <c r="AY4714" s="119"/>
      <c r="AZ4714" s="137">
        <v>46036</v>
      </c>
    </row>
    <row r="4715" spans="1:52" ht="17.100000000000001" customHeight="1" thickBot="1">
      <c r="A4715" s="152"/>
      <c r="B4715" s="27" t="s">
        <v>2794</v>
      </c>
      <c r="C4715" s="27">
        <v>1201</v>
      </c>
      <c r="D4715" s="14" t="s">
        <v>2601</v>
      </c>
      <c r="E4715" s="112"/>
      <c r="F4715" s="139" t="s">
        <v>14163</v>
      </c>
      <c r="G4715" s="140"/>
      <c r="H4715" s="141"/>
      <c r="I4715" s="26">
        <v>38841</v>
      </c>
      <c r="J4715" s="117"/>
      <c r="K4715" s="120"/>
      <c r="L4715" s="121"/>
      <c r="M4715" s="120"/>
      <c r="N4715" s="121"/>
      <c r="O4715" s="120"/>
      <c r="P4715" s="121"/>
      <c r="Q4715" s="120"/>
      <c r="R4715" s="121"/>
      <c r="S4715" s="120"/>
      <c r="T4715" s="121"/>
      <c r="U4715" s="120"/>
      <c r="V4715" s="123"/>
      <c r="W4715" s="125"/>
      <c r="X4715" s="142" t="s">
        <v>2659</v>
      </c>
      <c r="Y4715" s="143"/>
      <c r="Z4715" s="143"/>
      <c r="AA4715" s="143"/>
      <c r="AB4715" s="144"/>
      <c r="AC4715" s="16" t="s">
        <v>21</v>
      </c>
      <c r="AD4715" s="17" t="s">
        <v>3921</v>
      </c>
      <c r="AE4715" s="145" t="s">
        <v>1670</v>
      </c>
      <c r="AF4715" s="146"/>
      <c r="AG4715" s="146"/>
      <c r="AH4715" s="146"/>
      <c r="AI4715" s="147"/>
      <c r="AJ4715" s="148"/>
      <c r="AK4715" s="143"/>
      <c r="AL4715" s="144"/>
      <c r="AM4715" s="22"/>
      <c r="AN4715" s="149" t="s">
        <v>2511</v>
      </c>
      <c r="AO4715" s="144"/>
      <c r="AP4715" s="148">
        <v>55114</v>
      </c>
      <c r="AQ4715" s="144"/>
      <c r="AR4715" s="120"/>
      <c r="AS4715" s="121"/>
      <c r="AT4715" s="120"/>
      <c r="AU4715" s="121"/>
      <c r="AV4715" s="120"/>
      <c r="AW4715" s="121"/>
      <c r="AX4715" s="120"/>
      <c r="AY4715" s="121"/>
      <c r="AZ4715" s="138"/>
    </row>
    <row r="4716" spans="1:52" ht="17.100000000000001" customHeight="1" thickTop="1">
      <c r="A4716" s="109" t="s">
        <v>14178</v>
      </c>
      <c r="B4716" s="28">
        <v>46015</v>
      </c>
      <c r="C4716" s="25">
        <v>1819</v>
      </c>
      <c r="D4716" s="13" t="s">
        <v>2179</v>
      </c>
      <c r="E4716" s="111"/>
      <c r="F4716" s="113" t="s">
        <v>14193</v>
      </c>
      <c r="G4716" s="114"/>
      <c r="H4716" s="115"/>
      <c r="I4716" s="24"/>
      <c r="J4716" s="116">
        <v>4</v>
      </c>
      <c r="K4716" s="118">
        <v>695000</v>
      </c>
      <c r="L4716" s="119"/>
      <c r="M4716" s="118">
        <f t="shared" ref="M4716" si="5391">K4716*0.1</f>
        <v>69500</v>
      </c>
      <c r="N4716" s="119"/>
      <c r="O4716" s="118">
        <v>0</v>
      </c>
      <c r="P4716" s="119"/>
      <c r="Q4716" s="118">
        <v>9810</v>
      </c>
      <c r="R4716" s="119"/>
      <c r="S4716" s="118">
        <v>18150</v>
      </c>
      <c r="T4716" s="119"/>
      <c r="U4716" s="118">
        <f t="shared" ref="U4716" si="5392">SUM(K4716:T4717)</f>
        <v>792460</v>
      </c>
      <c r="V4716" s="122"/>
      <c r="W4716" s="124"/>
      <c r="X4716" s="126" t="s">
        <v>14500</v>
      </c>
      <c r="Y4716" s="127"/>
      <c r="Z4716" s="127"/>
      <c r="AA4716" s="127"/>
      <c r="AB4716" s="128"/>
      <c r="AC4716" s="15" t="s">
        <v>20</v>
      </c>
      <c r="AD4716" s="129"/>
      <c r="AE4716" s="130"/>
      <c r="AF4716" s="130"/>
      <c r="AG4716" s="130"/>
      <c r="AH4716" s="130"/>
      <c r="AI4716" s="131"/>
      <c r="AJ4716" s="132"/>
      <c r="AK4716" s="127"/>
      <c r="AL4716" s="128"/>
      <c r="AM4716" s="21"/>
      <c r="AN4716" s="133">
        <v>46127</v>
      </c>
      <c r="AO4716" s="134"/>
      <c r="AP4716" s="135">
        <v>1013</v>
      </c>
      <c r="AQ4716" s="136"/>
      <c r="AR4716" s="118">
        <v>680000</v>
      </c>
      <c r="AS4716" s="119"/>
      <c r="AT4716" s="118">
        <f t="shared" ref="AT4716" si="5393">AR4716*0.1</f>
        <v>68000</v>
      </c>
      <c r="AU4716" s="119"/>
      <c r="AV4716" s="118">
        <v>9810</v>
      </c>
      <c r="AW4716" s="119"/>
      <c r="AX4716" s="118">
        <f t="shared" ref="AX4716" si="5394">SUM(AR4716:AW4716)</f>
        <v>757810</v>
      </c>
      <c r="AY4716" s="119"/>
      <c r="AZ4716" s="137">
        <v>46132</v>
      </c>
    </row>
    <row r="4717" spans="1:52" ht="17.100000000000001" customHeight="1" thickBot="1">
      <c r="A4717" s="110"/>
      <c r="B4717" s="27" t="s">
        <v>2559</v>
      </c>
      <c r="C4717" s="27">
        <v>30121</v>
      </c>
      <c r="D4717" s="14" t="s">
        <v>904</v>
      </c>
      <c r="E4717" s="112"/>
      <c r="F4717" s="139" t="s">
        <v>14190</v>
      </c>
      <c r="G4717" s="140"/>
      <c r="H4717" s="141"/>
      <c r="I4717" s="26">
        <v>100855</v>
      </c>
      <c r="J4717" s="117"/>
      <c r="K4717" s="120"/>
      <c r="L4717" s="121"/>
      <c r="M4717" s="120"/>
      <c r="N4717" s="121"/>
      <c r="O4717" s="120"/>
      <c r="P4717" s="121"/>
      <c r="Q4717" s="120"/>
      <c r="R4717" s="121"/>
      <c r="S4717" s="120"/>
      <c r="T4717" s="121"/>
      <c r="U4717" s="120"/>
      <c r="V4717" s="123"/>
      <c r="W4717" s="125"/>
      <c r="X4717" s="142" t="s">
        <v>4497</v>
      </c>
      <c r="Y4717" s="143"/>
      <c r="Z4717" s="143"/>
      <c r="AA4717" s="143"/>
      <c r="AB4717" s="144"/>
      <c r="AC4717" s="16" t="s">
        <v>21</v>
      </c>
      <c r="AD4717" s="17" t="s">
        <v>1977</v>
      </c>
      <c r="AE4717" s="145" t="s">
        <v>9186</v>
      </c>
      <c r="AF4717" s="146"/>
      <c r="AG4717" s="146"/>
      <c r="AH4717" s="146"/>
      <c r="AI4717" s="147"/>
      <c r="AJ4717" s="148"/>
      <c r="AK4717" s="143"/>
      <c r="AL4717" s="144"/>
      <c r="AM4717" s="22"/>
      <c r="AN4717" s="149" t="s">
        <v>2794</v>
      </c>
      <c r="AO4717" s="144"/>
      <c r="AP4717" s="148">
        <v>6027</v>
      </c>
      <c r="AQ4717" s="144"/>
      <c r="AR4717" s="120"/>
      <c r="AS4717" s="121"/>
      <c r="AT4717" s="120"/>
      <c r="AU4717" s="121"/>
      <c r="AV4717" s="120"/>
      <c r="AW4717" s="121"/>
      <c r="AX4717" s="120"/>
      <c r="AY4717" s="121"/>
      <c r="AZ4717" s="138"/>
    </row>
    <row r="4718" spans="1:52" ht="17.100000000000001" customHeight="1" thickTop="1">
      <c r="A4718" s="151" t="s">
        <v>14179</v>
      </c>
      <c r="B4718" s="28">
        <v>46015</v>
      </c>
      <c r="C4718" s="25">
        <v>1819</v>
      </c>
      <c r="D4718" s="13" t="s">
        <v>2022</v>
      </c>
      <c r="E4718" s="111"/>
      <c r="F4718" s="113" t="s">
        <v>1938</v>
      </c>
      <c r="G4718" s="114"/>
      <c r="H4718" s="115"/>
      <c r="I4718" s="24" t="s">
        <v>1547</v>
      </c>
      <c r="J4718" s="116">
        <v>4.5</v>
      </c>
      <c r="K4718" s="118">
        <v>760000</v>
      </c>
      <c r="L4718" s="119"/>
      <c r="M4718" s="118">
        <f t="shared" ref="M4718" si="5395">K4718*0.1</f>
        <v>76000</v>
      </c>
      <c r="N4718" s="119"/>
      <c r="O4718" s="118">
        <f>8600+860</f>
        <v>9460</v>
      </c>
      <c r="P4718" s="119"/>
      <c r="Q4718" s="118">
        <v>18960</v>
      </c>
      <c r="R4718" s="119"/>
      <c r="S4718" s="118">
        <v>18150</v>
      </c>
      <c r="T4718" s="119"/>
      <c r="U4718" s="118">
        <f t="shared" ref="U4718" si="5396">SUM(K4718:T4719)</f>
        <v>882570</v>
      </c>
      <c r="V4718" s="122"/>
      <c r="W4718" s="124"/>
      <c r="X4718" s="126" t="s">
        <v>14281</v>
      </c>
      <c r="Y4718" s="127"/>
      <c r="Z4718" s="127"/>
      <c r="AA4718" s="127"/>
      <c r="AB4718" s="128"/>
      <c r="AC4718" s="15" t="s">
        <v>20</v>
      </c>
      <c r="AD4718" s="129"/>
      <c r="AE4718" s="130"/>
      <c r="AF4718" s="130"/>
      <c r="AG4718" s="130"/>
      <c r="AH4718" s="130"/>
      <c r="AI4718" s="131"/>
      <c r="AJ4718" s="132"/>
      <c r="AK4718" s="127"/>
      <c r="AL4718" s="128"/>
      <c r="AM4718" s="21"/>
      <c r="AN4718" s="133">
        <v>46032</v>
      </c>
      <c r="AO4718" s="134"/>
      <c r="AP4718" s="135">
        <v>1283</v>
      </c>
      <c r="AQ4718" s="136"/>
      <c r="AR4718" s="118">
        <v>905000</v>
      </c>
      <c r="AS4718" s="119"/>
      <c r="AT4718" s="118">
        <f t="shared" ref="AT4718" si="5397">AR4718*0.1</f>
        <v>90500</v>
      </c>
      <c r="AU4718" s="119"/>
      <c r="AV4718" s="118">
        <v>18960</v>
      </c>
      <c r="AW4718" s="119"/>
      <c r="AX4718" s="118">
        <f t="shared" ref="AX4718" si="5398">SUM(AR4718:AW4718)</f>
        <v>1014460</v>
      </c>
      <c r="AY4718" s="119"/>
      <c r="AZ4718" s="137">
        <v>46036</v>
      </c>
    </row>
    <row r="4719" spans="1:52" ht="17.100000000000001" customHeight="1" thickBot="1">
      <c r="A4719" s="152"/>
      <c r="B4719" s="27" t="s">
        <v>2559</v>
      </c>
      <c r="C4719" s="27">
        <v>38057</v>
      </c>
      <c r="D4719" s="14" t="s">
        <v>904</v>
      </c>
      <c r="E4719" s="112"/>
      <c r="F4719" s="139" t="s">
        <v>14191</v>
      </c>
      <c r="G4719" s="140"/>
      <c r="H4719" s="141"/>
      <c r="I4719" s="26">
        <v>32617</v>
      </c>
      <c r="J4719" s="117"/>
      <c r="K4719" s="120"/>
      <c r="L4719" s="121"/>
      <c r="M4719" s="120"/>
      <c r="N4719" s="121"/>
      <c r="O4719" s="120"/>
      <c r="P4719" s="121"/>
      <c r="Q4719" s="120"/>
      <c r="R4719" s="121"/>
      <c r="S4719" s="120"/>
      <c r="T4719" s="121"/>
      <c r="U4719" s="120"/>
      <c r="V4719" s="123"/>
      <c r="W4719" s="125"/>
      <c r="X4719" s="142" t="s">
        <v>14523</v>
      </c>
      <c r="Y4719" s="143"/>
      <c r="Z4719" s="143"/>
      <c r="AA4719" s="143"/>
      <c r="AB4719" s="144"/>
      <c r="AC4719" s="16" t="s">
        <v>21</v>
      </c>
      <c r="AD4719" s="17" t="s">
        <v>1977</v>
      </c>
      <c r="AE4719" s="145" t="s">
        <v>7855</v>
      </c>
      <c r="AF4719" s="146"/>
      <c r="AG4719" s="146"/>
      <c r="AH4719" s="146"/>
      <c r="AI4719" s="147"/>
      <c r="AJ4719" s="148"/>
      <c r="AK4719" s="143"/>
      <c r="AL4719" s="144"/>
      <c r="AM4719" s="22"/>
      <c r="AN4719" s="149" t="s">
        <v>2511</v>
      </c>
      <c r="AO4719" s="144"/>
      <c r="AP4719" s="148">
        <v>80063</v>
      </c>
      <c r="AQ4719" s="144"/>
      <c r="AR4719" s="120"/>
      <c r="AS4719" s="121"/>
      <c r="AT4719" s="120"/>
      <c r="AU4719" s="121"/>
      <c r="AV4719" s="120"/>
      <c r="AW4719" s="121"/>
      <c r="AX4719" s="120"/>
      <c r="AY4719" s="121"/>
      <c r="AZ4719" s="138"/>
    </row>
    <row r="4720" spans="1:52" ht="17.100000000000001" customHeight="1" thickTop="1">
      <c r="A4720" s="109" t="s">
        <v>14187</v>
      </c>
      <c r="B4720" s="28">
        <v>46015</v>
      </c>
      <c r="C4720" s="25">
        <v>1819</v>
      </c>
      <c r="D4720" s="13" t="s">
        <v>2234</v>
      </c>
      <c r="E4720" s="111"/>
      <c r="F4720" s="113" t="s">
        <v>2732</v>
      </c>
      <c r="G4720" s="114"/>
      <c r="H4720" s="115"/>
      <c r="I4720" s="24"/>
      <c r="J4720" s="116">
        <v>4.5</v>
      </c>
      <c r="K4720" s="118">
        <v>915000</v>
      </c>
      <c r="L4720" s="119"/>
      <c r="M4720" s="118">
        <f t="shared" ref="M4720" si="5399">K4720*0.1</f>
        <v>91500</v>
      </c>
      <c r="N4720" s="119"/>
      <c r="O4720" s="118">
        <v>0</v>
      </c>
      <c r="P4720" s="119"/>
      <c r="Q4720" s="118">
        <v>19090</v>
      </c>
      <c r="R4720" s="119"/>
      <c r="S4720" s="118">
        <v>18150</v>
      </c>
      <c r="T4720" s="119"/>
      <c r="U4720" s="118">
        <f t="shared" ref="U4720" si="5400">SUM(K4720:T4721)</f>
        <v>1043740</v>
      </c>
      <c r="V4720" s="122"/>
      <c r="W4720" s="124"/>
      <c r="X4720" s="126" t="s">
        <v>14525</v>
      </c>
      <c r="Y4720" s="127"/>
      <c r="Z4720" s="127"/>
      <c r="AA4720" s="127"/>
      <c r="AB4720" s="128"/>
      <c r="AC4720" s="15" t="s">
        <v>20</v>
      </c>
      <c r="AD4720" s="129"/>
      <c r="AE4720" s="130"/>
      <c r="AF4720" s="130"/>
      <c r="AG4720" s="130"/>
      <c r="AH4720" s="130"/>
      <c r="AI4720" s="131"/>
      <c r="AJ4720" s="132"/>
      <c r="AK4720" s="127"/>
      <c r="AL4720" s="128"/>
      <c r="AM4720" s="21"/>
      <c r="AN4720" s="133">
        <v>46032</v>
      </c>
      <c r="AO4720" s="134"/>
      <c r="AP4720" s="135">
        <v>1283</v>
      </c>
      <c r="AQ4720" s="136"/>
      <c r="AR4720" s="118">
        <v>1080000</v>
      </c>
      <c r="AS4720" s="119"/>
      <c r="AT4720" s="118">
        <f t="shared" ref="AT4720" si="5401">AR4720*0.1</f>
        <v>108000</v>
      </c>
      <c r="AU4720" s="119"/>
      <c r="AV4720" s="118">
        <v>19090</v>
      </c>
      <c r="AW4720" s="119"/>
      <c r="AX4720" s="118">
        <f t="shared" ref="AX4720" si="5402">SUM(AR4720:AW4720)</f>
        <v>1207090</v>
      </c>
      <c r="AY4720" s="119"/>
      <c r="AZ4720" s="137">
        <v>46042</v>
      </c>
    </row>
    <row r="4721" spans="1:52" ht="17.100000000000001" customHeight="1" thickBot="1">
      <c r="A4721" s="110"/>
      <c r="B4721" s="27" t="s">
        <v>2559</v>
      </c>
      <c r="C4721" s="27">
        <v>38079</v>
      </c>
      <c r="D4721" s="14" t="s">
        <v>3327</v>
      </c>
      <c r="E4721" s="112"/>
      <c r="F4721" s="139" t="s">
        <v>14192</v>
      </c>
      <c r="G4721" s="140"/>
      <c r="H4721" s="141"/>
      <c r="I4721" s="26">
        <v>67966</v>
      </c>
      <c r="J4721" s="117"/>
      <c r="K4721" s="120"/>
      <c r="L4721" s="121"/>
      <c r="M4721" s="120"/>
      <c r="N4721" s="121"/>
      <c r="O4721" s="120"/>
      <c r="P4721" s="121"/>
      <c r="Q4721" s="120"/>
      <c r="R4721" s="121"/>
      <c r="S4721" s="120"/>
      <c r="T4721" s="121"/>
      <c r="U4721" s="120"/>
      <c r="V4721" s="123"/>
      <c r="W4721" s="125"/>
      <c r="X4721" s="142" t="s">
        <v>2918</v>
      </c>
      <c r="Y4721" s="143"/>
      <c r="Z4721" s="143"/>
      <c r="AA4721" s="143"/>
      <c r="AB4721" s="144"/>
      <c r="AC4721" s="16" t="s">
        <v>21</v>
      </c>
      <c r="AD4721" s="17" t="s">
        <v>1977</v>
      </c>
      <c r="AE4721" s="145" t="s">
        <v>7861</v>
      </c>
      <c r="AF4721" s="146"/>
      <c r="AG4721" s="146"/>
      <c r="AH4721" s="146"/>
      <c r="AI4721" s="147"/>
      <c r="AJ4721" s="148"/>
      <c r="AK4721" s="143"/>
      <c r="AL4721" s="144"/>
      <c r="AM4721" s="22"/>
      <c r="AN4721" s="149" t="s">
        <v>6748</v>
      </c>
      <c r="AO4721" s="144"/>
      <c r="AP4721" s="148">
        <v>80058</v>
      </c>
      <c r="AQ4721" s="144"/>
      <c r="AR4721" s="120"/>
      <c r="AS4721" s="121"/>
      <c r="AT4721" s="120"/>
      <c r="AU4721" s="121"/>
      <c r="AV4721" s="120"/>
      <c r="AW4721" s="121"/>
      <c r="AX4721" s="120"/>
      <c r="AY4721" s="121"/>
      <c r="AZ4721" s="138"/>
    </row>
    <row r="4722" spans="1:52" ht="17.100000000000001" customHeight="1" thickTop="1">
      <c r="A4722" s="151" t="s">
        <v>14188</v>
      </c>
      <c r="B4722" s="28">
        <v>46016</v>
      </c>
      <c r="C4722" s="25">
        <v>1312</v>
      </c>
      <c r="D4722" s="13" t="s">
        <v>2458</v>
      </c>
      <c r="E4722" s="111"/>
      <c r="F4722" s="113" t="s">
        <v>14180</v>
      </c>
      <c r="G4722" s="114"/>
      <c r="H4722" s="115"/>
      <c r="I4722" s="24" t="s">
        <v>4096</v>
      </c>
      <c r="J4722" s="116">
        <v>4.5</v>
      </c>
      <c r="K4722" s="118">
        <v>1505000</v>
      </c>
      <c r="L4722" s="119"/>
      <c r="M4722" s="118">
        <f t="shared" ref="M4722" si="5403">K4722*0.1</f>
        <v>150500</v>
      </c>
      <c r="N4722" s="119"/>
      <c r="O4722" s="118">
        <f>9800+980</f>
        <v>10780</v>
      </c>
      <c r="P4722" s="119"/>
      <c r="Q4722" s="118">
        <v>19610</v>
      </c>
      <c r="R4722" s="119"/>
      <c r="S4722" s="118">
        <v>14300</v>
      </c>
      <c r="T4722" s="119"/>
      <c r="U4722" s="118">
        <f t="shared" ref="U4722" si="5404">SUM(K4722:T4723)</f>
        <v>1700190</v>
      </c>
      <c r="V4722" s="122"/>
      <c r="W4722" s="124"/>
      <c r="X4722" s="126" t="s">
        <v>14184</v>
      </c>
      <c r="Y4722" s="127"/>
      <c r="Z4722" s="127"/>
      <c r="AA4722" s="127"/>
      <c r="AB4722" s="128"/>
      <c r="AC4722" s="15" t="s">
        <v>20</v>
      </c>
      <c r="AD4722" s="129" t="s">
        <v>1565</v>
      </c>
      <c r="AE4722" s="130"/>
      <c r="AF4722" s="130"/>
      <c r="AG4722" s="130"/>
      <c r="AH4722" s="130"/>
      <c r="AI4722" s="131"/>
      <c r="AJ4722" s="132"/>
      <c r="AK4722" s="127"/>
      <c r="AL4722" s="128"/>
      <c r="AM4722" s="21"/>
      <c r="AN4722" s="133">
        <v>46032</v>
      </c>
      <c r="AO4722" s="134"/>
      <c r="AP4722" s="135">
        <v>1283</v>
      </c>
      <c r="AQ4722" s="136"/>
      <c r="AR4722" s="118">
        <v>1600000</v>
      </c>
      <c r="AS4722" s="119"/>
      <c r="AT4722" s="118">
        <f t="shared" ref="AT4722" si="5405">AR4722*0.1</f>
        <v>160000</v>
      </c>
      <c r="AU4722" s="119"/>
      <c r="AV4722" s="118">
        <v>19610</v>
      </c>
      <c r="AW4722" s="119"/>
      <c r="AX4722" s="118">
        <f t="shared" ref="AX4722" si="5406">SUM(AR4722:AW4722)</f>
        <v>1779610</v>
      </c>
      <c r="AY4722" s="119"/>
      <c r="AZ4722" s="137">
        <v>46036</v>
      </c>
    </row>
    <row r="4723" spans="1:52" ht="17.100000000000001" customHeight="1" thickBot="1">
      <c r="A4723" s="152"/>
      <c r="B4723" s="27" t="s">
        <v>13663</v>
      </c>
      <c r="C4723" s="27">
        <v>59</v>
      </c>
      <c r="D4723" s="14" t="s">
        <v>1592</v>
      </c>
      <c r="E4723" s="112"/>
      <c r="F4723" s="139" t="s">
        <v>14646</v>
      </c>
      <c r="G4723" s="140"/>
      <c r="H4723" s="141"/>
      <c r="I4723" s="26">
        <v>32009</v>
      </c>
      <c r="J4723" s="117"/>
      <c r="K4723" s="120"/>
      <c r="L4723" s="121"/>
      <c r="M4723" s="120"/>
      <c r="N4723" s="121"/>
      <c r="O4723" s="120"/>
      <c r="P4723" s="121"/>
      <c r="Q4723" s="120"/>
      <c r="R4723" s="121"/>
      <c r="S4723" s="120"/>
      <c r="T4723" s="121"/>
      <c r="U4723" s="120"/>
      <c r="V4723" s="123"/>
      <c r="W4723" s="125"/>
      <c r="X4723" s="142" t="s">
        <v>2883</v>
      </c>
      <c r="Y4723" s="143"/>
      <c r="Z4723" s="143"/>
      <c r="AA4723" s="143"/>
      <c r="AB4723" s="144"/>
      <c r="AC4723" s="16" t="s">
        <v>21</v>
      </c>
      <c r="AD4723" s="17" t="s">
        <v>4121</v>
      </c>
      <c r="AE4723" s="145" t="s">
        <v>1742</v>
      </c>
      <c r="AF4723" s="146"/>
      <c r="AG4723" s="146"/>
      <c r="AH4723" s="146"/>
      <c r="AI4723" s="147"/>
      <c r="AJ4723" s="148"/>
      <c r="AK4723" s="143"/>
      <c r="AL4723" s="144"/>
      <c r="AM4723" s="22"/>
      <c r="AN4723" s="149" t="s">
        <v>2511</v>
      </c>
      <c r="AO4723" s="144"/>
      <c r="AP4723" s="148">
        <v>80057</v>
      </c>
      <c r="AQ4723" s="144"/>
      <c r="AR4723" s="120"/>
      <c r="AS4723" s="121"/>
      <c r="AT4723" s="120"/>
      <c r="AU4723" s="121"/>
      <c r="AV4723" s="120"/>
      <c r="AW4723" s="121"/>
      <c r="AX4723" s="120"/>
      <c r="AY4723" s="121"/>
      <c r="AZ4723" s="138"/>
    </row>
    <row r="4724" spans="1:52" ht="17.100000000000001" customHeight="1" thickTop="1">
      <c r="A4724" s="151" t="s">
        <v>14189</v>
      </c>
      <c r="B4724" s="28">
        <v>46016</v>
      </c>
      <c r="C4724" s="25">
        <v>1312</v>
      </c>
      <c r="D4724" s="13" t="s">
        <v>2970</v>
      </c>
      <c r="E4724" s="111"/>
      <c r="F4724" s="113" t="s">
        <v>13709</v>
      </c>
      <c r="G4724" s="114"/>
      <c r="H4724" s="115"/>
      <c r="I4724" s="24" t="s">
        <v>4109</v>
      </c>
      <c r="J4724" s="116">
        <v>4.5</v>
      </c>
      <c r="K4724" s="118">
        <v>2955000</v>
      </c>
      <c r="L4724" s="119"/>
      <c r="M4724" s="118">
        <f t="shared" ref="M4724" si="5407">K4724*0.1</f>
        <v>295500</v>
      </c>
      <c r="N4724" s="119"/>
      <c r="O4724" s="118">
        <f>9000+900</f>
        <v>9900</v>
      </c>
      <c r="P4724" s="119"/>
      <c r="Q4724" s="118">
        <v>22030</v>
      </c>
      <c r="R4724" s="119"/>
      <c r="S4724" s="118">
        <v>14300</v>
      </c>
      <c r="T4724" s="119"/>
      <c r="U4724" s="118">
        <f t="shared" ref="U4724" si="5408">SUM(K4724:T4725)</f>
        <v>3296730</v>
      </c>
      <c r="V4724" s="122"/>
      <c r="W4724" s="124"/>
      <c r="X4724" s="126" t="s">
        <v>14183</v>
      </c>
      <c r="Y4724" s="127"/>
      <c r="Z4724" s="127"/>
      <c r="AA4724" s="127"/>
      <c r="AB4724" s="128"/>
      <c r="AC4724" s="15" t="s">
        <v>20</v>
      </c>
      <c r="AD4724" s="129" t="s">
        <v>1670</v>
      </c>
      <c r="AE4724" s="130"/>
      <c r="AF4724" s="130"/>
      <c r="AG4724" s="130"/>
      <c r="AH4724" s="130"/>
      <c r="AI4724" s="131"/>
      <c r="AJ4724" s="132"/>
      <c r="AK4724" s="127"/>
      <c r="AL4724" s="128"/>
      <c r="AM4724" s="21"/>
      <c r="AN4724" s="133">
        <v>46032</v>
      </c>
      <c r="AO4724" s="134"/>
      <c r="AP4724" s="135">
        <v>1283</v>
      </c>
      <c r="AQ4724" s="136"/>
      <c r="AR4724" s="118">
        <v>3130000</v>
      </c>
      <c r="AS4724" s="119"/>
      <c r="AT4724" s="118">
        <f t="shared" ref="AT4724" si="5409">AR4724*0.1</f>
        <v>313000</v>
      </c>
      <c r="AU4724" s="119"/>
      <c r="AV4724" s="118">
        <v>22030</v>
      </c>
      <c r="AW4724" s="119"/>
      <c r="AX4724" s="118">
        <f t="shared" ref="AX4724" si="5410">SUM(AR4724:AW4724)</f>
        <v>3465030</v>
      </c>
      <c r="AY4724" s="119"/>
      <c r="AZ4724" s="137">
        <v>46036</v>
      </c>
    </row>
    <row r="4725" spans="1:52" ht="17.100000000000001" customHeight="1" thickBot="1">
      <c r="A4725" s="152"/>
      <c r="B4725" s="27" t="s">
        <v>13663</v>
      </c>
      <c r="C4725" s="27">
        <v>516</v>
      </c>
      <c r="D4725" s="14" t="s">
        <v>1592</v>
      </c>
      <c r="E4725" s="112"/>
      <c r="F4725" s="139" t="s">
        <v>14181</v>
      </c>
      <c r="G4725" s="140"/>
      <c r="H4725" s="141"/>
      <c r="I4725" s="26">
        <v>61989</v>
      </c>
      <c r="J4725" s="117"/>
      <c r="K4725" s="120"/>
      <c r="L4725" s="121"/>
      <c r="M4725" s="120"/>
      <c r="N4725" s="121"/>
      <c r="O4725" s="120"/>
      <c r="P4725" s="121"/>
      <c r="Q4725" s="120"/>
      <c r="R4725" s="121"/>
      <c r="S4725" s="120"/>
      <c r="T4725" s="121"/>
      <c r="U4725" s="120"/>
      <c r="V4725" s="123"/>
      <c r="W4725" s="125"/>
      <c r="X4725" s="142" t="s">
        <v>1861</v>
      </c>
      <c r="Y4725" s="143"/>
      <c r="Z4725" s="143"/>
      <c r="AA4725" s="143"/>
      <c r="AB4725" s="144"/>
      <c r="AC4725" s="16" t="s">
        <v>21</v>
      </c>
      <c r="AD4725" s="17" t="s">
        <v>3921</v>
      </c>
      <c r="AE4725" s="145" t="s">
        <v>1742</v>
      </c>
      <c r="AF4725" s="146"/>
      <c r="AG4725" s="146"/>
      <c r="AH4725" s="146"/>
      <c r="AI4725" s="147"/>
      <c r="AJ4725" s="148"/>
      <c r="AK4725" s="143"/>
      <c r="AL4725" s="144"/>
      <c r="AM4725" s="22"/>
      <c r="AN4725" s="149" t="s">
        <v>2511</v>
      </c>
      <c r="AO4725" s="144"/>
      <c r="AP4725" s="148">
        <v>80066</v>
      </c>
      <c r="AQ4725" s="144"/>
      <c r="AR4725" s="120"/>
      <c r="AS4725" s="121"/>
      <c r="AT4725" s="120"/>
      <c r="AU4725" s="121"/>
      <c r="AV4725" s="120"/>
      <c r="AW4725" s="121"/>
      <c r="AX4725" s="120"/>
      <c r="AY4725" s="121"/>
      <c r="AZ4725" s="138"/>
    </row>
    <row r="4726" spans="1:52" ht="17.100000000000001" customHeight="1" thickTop="1">
      <c r="A4726" s="151" t="s">
        <v>14195</v>
      </c>
      <c r="B4726" s="28">
        <v>46016</v>
      </c>
      <c r="C4726" s="25">
        <v>1964</v>
      </c>
      <c r="D4726" s="13" t="s">
        <v>1795</v>
      </c>
      <c r="E4726" s="111"/>
      <c r="F4726" s="113" t="s">
        <v>14117</v>
      </c>
      <c r="G4726" s="114"/>
      <c r="H4726" s="115"/>
      <c r="I4726" s="24" t="s">
        <v>2919</v>
      </c>
      <c r="J4726" s="116">
        <v>5</v>
      </c>
      <c r="K4726" s="118">
        <v>830000</v>
      </c>
      <c r="L4726" s="119"/>
      <c r="M4726" s="118">
        <f t="shared" ref="M4726" si="5411">K4726*0.1</f>
        <v>83000</v>
      </c>
      <c r="N4726" s="119"/>
      <c r="O4726" s="118">
        <v>0</v>
      </c>
      <c r="P4726" s="119"/>
      <c r="Q4726" s="118">
        <v>6860</v>
      </c>
      <c r="R4726" s="119"/>
      <c r="S4726" s="118">
        <v>17050</v>
      </c>
      <c r="T4726" s="119"/>
      <c r="U4726" s="118">
        <f t="shared" ref="U4726" si="5412">SUM(K4726:T4727)</f>
        <v>936910</v>
      </c>
      <c r="V4726" s="122"/>
      <c r="W4726" s="124"/>
      <c r="X4726" s="126" t="s">
        <v>14119</v>
      </c>
      <c r="Y4726" s="127"/>
      <c r="Z4726" s="127"/>
      <c r="AA4726" s="127"/>
      <c r="AB4726" s="128"/>
      <c r="AC4726" s="15" t="s">
        <v>20</v>
      </c>
      <c r="AD4726" s="129" t="s">
        <v>3485</v>
      </c>
      <c r="AE4726" s="130"/>
      <c r="AF4726" s="130"/>
      <c r="AG4726" s="130"/>
      <c r="AH4726" s="130"/>
      <c r="AI4726" s="131"/>
      <c r="AJ4726" s="132"/>
      <c r="AK4726" s="127"/>
      <c r="AL4726" s="128"/>
      <c r="AM4726" s="21" t="s">
        <v>14878</v>
      </c>
      <c r="AN4726" s="133">
        <v>46032</v>
      </c>
      <c r="AO4726" s="134"/>
      <c r="AP4726" s="135">
        <v>1283</v>
      </c>
      <c r="AQ4726" s="136"/>
      <c r="AR4726" s="118">
        <v>925000</v>
      </c>
      <c r="AS4726" s="119"/>
      <c r="AT4726" s="118">
        <f t="shared" ref="AT4726" si="5413">AR4726*0.1</f>
        <v>92500</v>
      </c>
      <c r="AU4726" s="119"/>
      <c r="AV4726" s="118">
        <v>6860</v>
      </c>
      <c r="AW4726" s="119"/>
      <c r="AX4726" s="118">
        <f t="shared" ref="AX4726" si="5414">SUM(AR4726:AW4726)</f>
        <v>1024360</v>
      </c>
      <c r="AY4726" s="119"/>
      <c r="AZ4726" s="137">
        <v>46037</v>
      </c>
    </row>
    <row r="4727" spans="1:52" ht="17.100000000000001" customHeight="1" thickBot="1">
      <c r="A4727" s="152"/>
      <c r="B4727" s="27" t="s">
        <v>3792</v>
      </c>
      <c r="C4727" s="27">
        <v>3039</v>
      </c>
      <c r="D4727" s="14" t="s">
        <v>1592</v>
      </c>
      <c r="E4727" s="112"/>
      <c r="F4727" s="139" t="s">
        <v>14118</v>
      </c>
      <c r="G4727" s="140"/>
      <c r="H4727" s="141"/>
      <c r="I4727" s="26">
        <v>2755</v>
      </c>
      <c r="J4727" s="117"/>
      <c r="K4727" s="120"/>
      <c r="L4727" s="121"/>
      <c r="M4727" s="120"/>
      <c r="N4727" s="121"/>
      <c r="O4727" s="120"/>
      <c r="P4727" s="121"/>
      <c r="Q4727" s="120"/>
      <c r="R4727" s="121"/>
      <c r="S4727" s="120"/>
      <c r="T4727" s="121"/>
      <c r="U4727" s="120"/>
      <c r="V4727" s="123"/>
      <c r="W4727" s="125"/>
      <c r="X4727" s="142" t="s">
        <v>13825</v>
      </c>
      <c r="Y4727" s="143"/>
      <c r="Z4727" s="143"/>
      <c r="AA4727" s="143"/>
      <c r="AB4727" s="144"/>
      <c r="AC4727" s="16" t="s">
        <v>21</v>
      </c>
      <c r="AD4727" s="17" t="s">
        <v>1977</v>
      </c>
      <c r="AE4727" s="145" t="s">
        <v>14499</v>
      </c>
      <c r="AF4727" s="146"/>
      <c r="AG4727" s="146"/>
      <c r="AH4727" s="146"/>
      <c r="AI4727" s="147"/>
      <c r="AJ4727" s="148"/>
      <c r="AK4727" s="143"/>
      <c r="AL4727" s="144"/>
      <c r="AM4727" s="22"/>
      <c r="AN4727" s="149" t="s">
        <v>2511</v>
      </c>
      <c r="AO4727" s="144"/>
      <c r="AP4727" s="148">
        <v>60208</v>
      </c>
      <c r="AQ4727" s="144"/>
      <c r="AR4727" s="120"/>
      <c r="AS4727" s="121"/>
      <c r="AT4727" s="120"/>
      <c r="AU4727" s="121"/>
      <c r="AV4727" s="120"/>
      <c r="AW4727" s="121"/>
      <c r="AX4727" s="120"/>
      <c r="AY4727" s="121"/>
      <c r="AZ4727" s="138"/>
    </row>
    <row r="4728" spans="1:52" ht="17.100000000000001" customHeight="1" thickTop="1">
      <c r="A4728" s="109" t="s">
        <v>14196</v>
      </c>
      <c r="B4728" s="28">
        <v>46016</v>
      </c>
      <c r="C4728" s="25">
        <v>1964</v>
      </c>
      <c r="D4728" s="13" t="s">
        <v>1606</v>
      </c>
      <c r="E4728" s="111"/>
      <c r="F4728" s="113" t="s">
        <v>14120</v>
      </c>
      <c r="G4728" s="114"/>
      <c r="H4728" s="115"/>
      <c r="I4728" s="24"/>
      <c r="J4728" s="116">
        <v>4</v>
      </c>
      <c r="K4728" s="118">
        <v>1240000</v>
      </c>
      <c r="L4728" s="119"/>
      <c r="M4728" s="118">
        <f t="shared" ref="M4728" si="5415">K4728*0.1</f>
        <v>124000</v>
      </c>
      <c r="N4728" s="119"/>
      <c r="O4728" s="118">
        <v>0</v>
      </c>
      <c r="P4728" s="119"/>
      <c r="Q4728" s="118">
        <v>12030</v>
      </c>
      <c r="R4728" s="119"/>
      <c r="S4728" s="118">
        <v>15950</v>
      </c>
      <c r="T4728" s="119"/>
      <c r="U4728" s="118">
        <f t="shared" ref="U4728" si="5416">SUM(K4728:T4729)</f>
        <v>1391980</v>
      </c>
      <c r="V4728" s="122"/>
      <c r="W4728" s="124"/>
      <c r="X4728" s="126" t="s">
        <v>14614</v>
      </c>
      <c r="Y4728" s="127"/>
      <c r="Z4728" s="127"/>
      <c r="AA4728" s="127"/>
      <c r="AB4728" s="128"/>
      <c r="AC4728" s="15" t="s">
        <v>20</v>
      </c>
      <c r="AD4728" s="129" t="s">
        <v>171</v>
      </c>
      <c r="AE4728" s="130"/>
      <c r="AF4728" s="130"/>
      <c r="AG4728" s="130"/>
      <c r="AH4728" s="130"/>
      <c r="AI4728" s="131"/>
      <c r="AJ4728" s="132"/>
      <c r="AK4728" s="127"/>
      <c r="AL4728" s="128"/>
      <c r="AM4728" s="21"/>
      <c r="AN4728" s="133">
        <v>46050</v>
      </c>
      <c r="AO4728" s="134"/>
      <c r="AP4728" s="135">
        <v>1002</v>
      </c>
      <c r="AQ4728" s="136"/>
      <c r="AR4728" s="118">
        <v>1360000</v>
      </c>
      <c r="AS4728" s="119"/>
      <c r="AT4728" s="118">
        <f t="shared" ref="AT4728" si="5417">AR4728*0.1</f>
        <v>136000</v>
      </c>
      <c r="AU4728" s="119"/>
      <c r="AV4728" s="118">
        <v>12030</v>
      </c>
      <c r="AW4728" s="119"/>
      <c r="AX4728" s="118">
        <f t="shared" ref="AX4728" si="5418">SUM(AR4728:AW4728)</f>
        <v>1508030</v>
      </c>
      <c r="AY4728" s="119"/>
      <c r="AZ4728" s="137">
        <v>46055</v>
      </c>
    </row>
    <row r="4729" spans="1:52" ht="17.100000000000001" customHeight="1" thickBot="1">
      <c r="A4729" s="110"/>
      <c r="B4729" s="27" t="s">
        <v>3792</v>
      </c>
      <c r="C4729" s="27">
        <v>8112</v>
      </c>
      <c r="D4729" s="14" t="s">
        <v>2601</v>
      </c>
      <c r="E4729" s="112"/>
      <c r="F4729" s="139" t="s">
        <v>14121</v>
      </c>
      <c r="G4729" s="140"/>
      <c r="H4729" s="141"/>
      <c r="I4729" s="26">
        <v>71567</v>
      </c>
      <c r="J4729" s="117"/>
      <c r="K4729" s="120"/>
      <c r="L4729" s="121"/>
      <c r="M4729" s="120"/>
      <c r="N4729" s="121"/>
      <c r="O4729" s="120"/>
      <c r="P4729" s="121"/>
      <c r="Q4729" s="120"/>
      <c r="R4729" s="121"/>
      <c r="S4729" s="120"/>
      <c r="T4729" s="121"/>
      <c r="U4729" s="120"/>
      <c r="V4729" s="123"/>
      <c r="W4729" s="125"/>
      <c r="X4729" s="142" t="s">
        <v>14615</v>
      </c>
      <c r="Y4729" s="143"/>
      <c r="Z4729" s="143"/>
      <c r="AA4729" s="143"/>
      <c r="AB4729" s="144"/>
      <c r="AC4729" s="16" t="s">
        <v>21</v>
      </c>
      <c r="AD4729" s="17" t="s">
        <v>3921</v>
      </c>
      <c r="AE4729" s="145" t="s">
        <v>5275</v>
      </c>
      <c r="AF4729" s="146"/>
      <c r="AG4729" s="146"/>
      <c r="AH4729" s="146"/>
      <c r="AI4729" s="147"/>
      <c r="AJ4729" s="148"/>
      <c r="AK4729" s="143"/>
      <c r="AL4729" s="144"/>
      <c r="AM4729" s="22"/>
      <c r="AN4729" s="149" t="s">
        <v>9053</v>
      </c>
      <c r="AO4729" s="144"/>
      <c r="AP4729" s="148">
        <v>6042</v>
      </c>
      <c r="AQ4729" s="144"/>
      <c r="AR4729" s="120"/>
      <c r="AS4729" s="121"/>
      <c r="AT4729" s="120"/>
      <c r="AU4729" s="121"/>
      <c r="AV4729" s="120"/>
      <c r="AW4729" s="121"/>
      <c r="AX4729" s="120"/>
      <c r="AY4729" s="121"/>
      <c r="AZ4729" s="138"/>
    </row>
    <row r="4730" spans="1:52" ht="17.100000000000001" customHeight="1" thickTop="1">
      <c r="A4730" s="151" t="s">
        <v>14197</v>
      </c>
      <c r="B4730" s="28">
        <v>46016</v>
      </c>
      <c r="C4730" s="25">
        <v>2008</v>
      </c>
      <c r="D4730" s="13" t="s">
        <v>2949</v>
      </c>
      <c r="E4730" s="111"/>
      <c r="F4730" s="113" t="s">
        <v>11423</v>
      </c>
      <c r="G4730" s="114"/>
      <c r="H4730" s="115"/>
      <c r="I4730" s="24" t="s">
        <v>2919</v>
      </c>
      <c r="J4730" s="116">
        <v>4</v>
      </c>
      <c r="K4730" s="118">
        <v>3291000</v>
      </c>
      <c r="L4730" s="119"/>
      <c r="M4730" s="118">
        <f t="shared" ref="M4730" si="5419">K4730*0.1</f>
        <v>329100</v>
      </c>
      <c r="N4730" s="119"/>
      <c r="O4730" s="118">
        <f>10800+1080</f>
        <v>11880</v>
      </c>
      <c r="P4730" s="119"/>
      <c r="Q4730" s="118">
        <v>16550</v>
      </c>
      <c r="R4730" s="119"/>
      <c r="S4730" s="118">
        <v>22000</v>
      </c>
      <c r="T4730" s="119"/>
      <c r="U4730" s="118">
        <f t="shared" ref="U4730" si="5420">SUM(K4730:T4731)</f>
        <v>3670530</v>
      </c>
      <c r="V4730" s="122"/>
      <c r="W4730" s="124"/>
      <c r="X4730" s="126" t="s">
        <v>14618</v>
      </c>
      <c r="Y4730" s="127"/>
      <c r="Z4730" s="127"/>
      <c r="AA4730" s="127"/>
      <c r="AB4730" s="128"/>
      <c r="AC4730" s="15" t="s">
        <v>20</v>
      </c>
      <c r="AD4730" s="129" t="s">
        <v>4608</v>
      </c>
      <c r="AE4730" s="130"/>
      <c r="AF4730" s="130"/>
      <c r="AG4730" s="130"/>
      <c r="AH4730" s="130"/>
      <c r="AI4730" s="131"/>
      <c r="AJ4730" s="132"/>
      <c r="AK4730" s="127"/>
      <c r="AL4730" s="128"/>
      <c r="AM4730" s="21"/>
      <c r="AN4730" s="133">
        <v>46032</v>
      </c>
      <c r="AO4730" s="134"/>
      <c r="AP4730" s="135">
        <v>1283</v>
      </c>
      <c r="AQ4730" s="136"/>
      <c r="AR4730" s="118">
        <v>3465000</v>
      </c>
      <c r="AS4730" s="119"/>
      <c r="AT4730" s="118">
        <f t="shared" ref="AT4730" si="5421">AR4730*0.1</f>
        <v>346500</v>
      </c>
      <c r="AU4730" s="119"/>
      <c r="AV4730" s="118">
        <v>16550</v>
      </c>
      <c r="AW4730" s="119"/>
      <c r="AX4730" s="118">
        <f t="shared" ref="AX4730" si="5422">SUM(AR4730:AW4730)</f>
        <v>3828050</v>
      </c>
      <c r="AY4730" s="119"/>
      <c r="AZ4730" s="137">
        <v>46036</v>
      </c>
    </row>
    <row r="4731" spans="1:52" ht="17.100000000000001" customHeight="1" thickBot="1">
      <c r="A4731" s="152"/>
      <c r="B4731" s="27" t="s">
        <v>2200</v>
      </c>
      <c r="C4731" s="27">
        <v>30035</v>
      </c>
      <c r="D4731" s="14" t="s">
        <v>275</v>
      </c>
      <c r="E4731" s="112"/>
      <c r="F4731" s="139" t="s">
        <v>14122</v>
      </c>
      <c r="G4731" s="140"/>
      <c r="H4731" s="141"/>
      <c r="I4731" s="26">
        <v>42547</v>
      </c>
      <c r="J4731" s="117"/>
      <c r="K4731" s="120"/>
      <c r="L4731" s="121"/>
      <c r="M4731" s="120"/>
      <c r="N4731" s="121"/>
      <c r="O4731" s="120"/>
      <c r="P4731" s="121"/>
      <c r="Q4731" s="120"/>
      <c r="R4731" s="121"/>
      <c r="S4731" s="120"/>
      <c r="T4731" s="121"/>
      <c r="U4731" s="120"/>
      <c r="V4731" s="123"/>
      <c r="W4731" s="125"/>
      <c r="X4731" s="142" t="s">
        <v>2321</v>
      </c>
      <c r="Y4731" s="143"/>
      <c r="Z4731" s="143"/>
      <c r="AA4731" s="143"/>
      <c r="AB4731" s="144"/>
      <c r="AC4731" s="16" t="s">
        <v>21</v>
      </c>
      <c r="AD4731" s="17" t="s">
        <v>3921</v>
      </c>
      <c r="AE4731" s="145" t="s">
        <v>14619</v>
      </c>
      <c r="AF4731" s="146"/>
      <c r="AG4731" s="146"/>
      <c r="AH4731" s="146"/>
      <c r="AI4731" s="147"/>
      <c r="AJ4731" s="148"/>
      <c r="AK4731" s="143"/>
      <c r="AL4731" s="144"/>
      <c r="AM4731" s="22"/>
      <c r="AN4731" s="149" t="s">
        <v>2511</v>
      </c>
      <c r="AO4731" s="144"/>
      <c r="AP4731" s="148">
        <v>13</v>
      </c>
      <c r="AQ4731" s="144"/>
      <c r="AR4731" s="120"/>
      <c r="AS4731" s="121"/>
      <c r="AT4731" s="120"/>
      <c r="AU4731" s="121"/>
      <c r="AV4731" s="120"/>
      <c r="AW4731" s="121"/>
      <c r="AX4731" s="120"/>
      <c r="AY4731" s="121"/>
      <c r="AZ4731" s="138"/>
    </row>
    <row r="4732" spans="1:52" ht="17.100000000000001" customHeight="1" thickTop="1">
      <c r="A4732" s="109" t="s">
        <v>14198</v>
      </c>
      <c r="B4732" s="28">
        <v>46016</v>
      </c>
      <c r="C4732" s="25">
        <v>2008</v>
      </c>
      <c r="D4732" s="13" t="s">
        <v>2022</v>
      </c>
      <c r="E4732" s="111"/>
      <c r="F4732" s="113" t="s">
        <v>14123</v>
      </c>
      <c r="G4732" s="114"/>
      <c r="H4732" s="115"/>
      <c r="I4732" s="24" t="s">
        <v>3931</v>
      </c>
      <c r="J4732" s="116">
        <v>4</v>
      </c>
      <c r="K4732" s="118">
        <v>1349000</v>
      </c>
      <c r="L4732" s="119"/>
      <c r="M4732" s="118">
        <f t="shared" ref="M4732" si="5423">K4732*0.1</f>
        <v>134900</v>
      </c>
      <c r="N4732" s="119"/>
      <c r="O4732" s="118">
        <f>9800+980</f>
        <v>10780</v>
      </c>
      <c r="P4732" s="119"/>
      <c r="Q4732" s="118">
        <v>12470</v>
      </c>
      <c r="R4732" s="119"/>
      <c r="S4732" s="118">
        <v>22000</v>
      </c>
      <c r="T4732" s="119"/>
      <c r="U4732" s="118">
        <f t="shared" ref="U4732" si="5424">SUM(K4732:T4733)</f>
        <v>1529150</v>
      </c>
      <c r="V4732" s="122"/>
      <c r="W4732" s="124"/>
      <c r="X4732" s="126" t="s">
        <v>14125</v>
      </c>
      <c r="Y4732" s="127"/>
      <c r="Z4732" s="127"/>
      <c r="AA4732" s="127"/>
      <c r="AB4732" s="128"/>
      <c r="AC4732" s="15" t="s">
        <v>20</v>
      </c>
      <c r="AD4732" s="129" t="s">
        <v>171</v>
      </c>
      <c r="AE4732" s="130"/>
      <c r="AF4732" s="130"/>
      <c r="AG4732" s="130"/>
      <c r="AH4732" s="130"/>
      <c r="AI4732" s="131"/>
      <c r="AJ4732" s="132"/>
      <c r="AK4732" s="127"/>
      <c r="AL4732" s="128"/>
      <c r="AM4732" s="21" t="s">
        <v>15348</v>
      </c>
      <c r="AN4732" s="133">
        <v>46057</v>
      </c>
      <c r="AO4732" s="134"/>
      <c r="AP4732" s="135">
        <v>1003</v>
      </c>
      <c r="AQ4732" s="136"/>
      <c r="AR4732" s="118">
        <v>1430000</v>
      </c>
      <c r="AS4732" s="119"/>
      <c r="AT4732" s="118">
        <v>143000</v>
      </c>
      <c r="AU4732" s="119"/>
      <c r="AV4732" s="118">
        <v>12470</v>
      </c>
      <c r="AW4732" s="119"/>
      <c r="AX4732" s="118">
        <f t="shared" ref="AX4732" si="5425">SUM(AR4732:AW4732)</f>
        <v>1585470</v>
      </c>
      <c r="AY4732" s="119"/>
      <c r="AZ4732" s="137">
        <v>46062</v>
      </c>
    </row>
    <row r="4733" spans="1:52" ht="17.100000000000001" customHeight="1" thickBot="1">
      <c r="A4733" s="110"/>
      <c r="B4733" s="27" t="s">
        <v>2200</v>
      </c>
      <c r="C4733" s="27">
        <v>30140</v>
      </c>
      <c r="D4733" s="14" t="s">
        <v>2601</v>
      </c>
      <c r="E4733" s="112"/>
      <c r="F4733" s="139" t="s">
        <v>14124</v>
      </c>
      <c r="G4733" s="140"/>
      <c r="H4733" s="141"/>
      <c r="I4733" s="26">
        <v>103230</v>
      </c>
      <c r="J4733" s="117"/>
      <c r="K4733" s="120"/>
      <c r="L4733" s="121"/>
      <c r="M4733" s="120"/>
      <c r="N4733" s="121"/>
      <c r="O4733" s="120"/>
      <c r="P4733" s="121"/>
      <c r="Q4733" s="120"/>
      <c r="R4733" s="121"/>
      <c r="S4733" s="120"/>
      <c r="T4733" s="121"/>
      <c r="U4733" s="120"/>
      <c r="V4733" s="123"/>
      <c r="W4733" s="125"/>
      <c r="X4733" s="142" t="s">
        <v>2321</v>
      </c>
      <c r="Y4733" s="143"/>
      <c r="Z4733" s="143"/>
      <c r="AA4733" s="143"/>
      <c r="AB4733" s="144"/>
      <c r="AC4733" s="16" t="s">
        <v>21</v>
      </c>
      <c r="AD4733" s="17" t="s">
        <v>3921</v>
      </c>
      <c r="AE4733" s="145" t="s">
        <v>14613</v>
      </c>
      <c r="AF4733" s="146"/>
      <c r="AG4733" s="146"/>
      <c r="AH4733" s="146"/>
      <c r="AI4733" s="147"/>
      <c r="AJ4733" s="148"/>
      <c r="AK4733" s="143"/>
      <c r="AL4733" s="144"/>
      <c r="AM4733" s="22"/>
      <c r="AN4733" s="149" t="s">
        <v>2794</v>
      </c>
      <c r="AO4733" s="144"/>
      <c r="AP4733" s="148">
        <v>6020</v>
      </c>
      <c r="AQ4733" s="144"/>
      <c r="AR4733" s="120"/>
      <c r="AS4733" s="121"/>
      <c r="AT4733" s="120"/>
      <c r="AU4733" s="121"/>
      <c r="AV4733" s="120"/>
      <c r="AW4733" s="121"/>
      <c r="AX4733" s="120"/>
      <c r="AY4733" s="121"/>
      <c r="AZ4733" s="138"/>
    </row>
    <row r="4734" spans="1:52" ht="17.100000000000001" customHeight="1" thickTop="1">
      <c r="A4734" s="151" t="s">
        <v>14199</v>
      </c>
      <c r="B4734" s="28">
        <v>46016</v>
      </c>
      <c r="C4734" s="25">
        <v>2008</v>
      </c>
      <c r="D4734" s="13" t="s">
        <v>1667</v>
      </c>
      <c r="E4734" s="111"/>
      <c r="F4734" s="113" t="s">
        <v>12314</v>
      </c>
      <c r="G4734" s="114"/>
      <c r="H4734" s="115"/>
      <c r="I4734" s="24" t="s">
        <v>2943</v>
      </c>
      <c r="J4734" s="116">
        <v>4</v>
      </c>
      <c r="K4734" s="118">
        <v>609000</v>
      </c>
      <c r="L4734" s="119"/>
      <c r="M4734" s="118">
        <f t="shared" ref="M4734" si="5426">K4734*0.1</f>
        <v>60900</v>
      </c>
      <c r="N4734" s="119"/>
      <c r="O4734" s="118">
        <v>0</v>
      </c>
      <c r="P4734" s="119"/>
      <c r="Q4734" s="118">
        <v>8400</v>
      </c>
      <c r="R4734" s="119"/>
      <c r="S4734" s="118">
        <v>22000</v>
      </c>
      <c r="T4734" s="119"/>
      <c r="U4734" s="118">
        <f t="shared" ref="U4734" si="5427">SUM(K4734:T4735)</f>
        <v>700300</v>
      </c>
      <c r="V4734" s="122"/>
      <c r="W4734" s="124"/>
      <c r="X4734" s="126" t="s">
        <v>14127</v>
      </c>
      <c r="Y4734" s="127"/>
      <c r="Z4734" s="127"/>
      <c r="AA4734" s="127"/>
      <c r="AB4734" s="128"/>
      <c r="AC4734" s="15" t="s">
        <v>20</v>
      </c>
      <c r="AD4734" s="129" t="s">
        <v>3412</v>
      </c>
      <c r="AE4734" s="130"/>
      <c r="AF4734" s="130"/>
      <c r="AG4734" s="130"/>
      <c r="AH4734" s="130"/>
      <c r="AI4734" s="131"/>
      <c r="AJ4734" s="132"/>
      <c r="AK4734" s="127"/>
      <c r="AL4734" s="128"/>
      <c r="AM4734" s="21" t="s">
        <v>14879</v>
      </c>
      <c r="AN4734" s="133">
        <v>46032</v>
      </c>
      <c r="AO4734" s="134"/>
      <c r="AP4734" s="135">
        <v>1283</v>
      </c>
      <c r="AQ4734" s="136"/>
      <c r="AR4734" s="118">
        <v>720000</v>
      </c>
      <c r="AS4734" s="119"/>
      <c r="AT4734" s="118">
        <f t="shared" ref="AT4734" si="5428">AR4734*0.1</f>
        <v>72000</v>
      </c>
      <c r="AU4734" s="119"/>
      <c r="AV4734" s="118">
        <v>8400</v>
      </c>
      <c r="AW4734" s="119"/>
      <c r="AX4734" s="118">
        <f t="shared" ref="AX4734" si="5429">SUM(AR4734:AW4734)</f>
        <v>800400</v>
      </c>
      <c r="AY4734" s="119"/>
      <c r="AZ4734" s="137">
        <v>46037</v>
      </c>
    </row>
    <row r="4735" spans="1:52" ht="17.100000000000001" customHeight="1" thickBot="1">
      <c r="A4735" s="152"/>
      <c r="B4735" s="27" t="s">
        <v>2200</v>
      </c>
      <c r="C4735" s="27">
        <v>50004</v>
      </c>
      <c r="D4735" s="14" t="s">
        <v>1720</v>
      </c>
      <c r="E4735" s="112"/>
      <c r="F4735" s="139" t="s">
        <v>14126</v>
      </c>
      <c r="G4735" s="140"/>
      <c r="H4735" s="141"/>
      <c r="I4735" s="26">
        <v>51232</v>
      </c>
      <c r="J4735" s="117"/>
      <c r="K4735" s="120"/>
      <c r="L4735" s="121"/>
      <c r="M4735" s="120"/>
      <c r="N4735" s="121"/>
      <c r="O4735" s="120"/>
      <c r="P4735" s="121"/>
      <c r="Q4735" s="120"/>
      <c r="R4735" s="121"/>
      <c r="S4735" s="120"/>
      <c r="T4735" s="121"/>
      <c r="U4735" s="120"/>
      <c r="V4735" s="123"/>
      <c r="W4735" s="125"/>
      <c r="X4735" s="142" t="s">
        <v>14601</v>
      </c>
      <c r="Y4735" s="143"/>
      <c r="Z4735" s="143"/>
      <c r="AA4735" s="143"/>
      <c r="AB4735" s="144"/>
      <c r="AC4735" s="16" t="s">
        <v>21</v>
      </c>
      <c r="AD4735" s="17" t="s">
        <v>3921</v>
      </c>
      <c r="AE4735" s="145" t="s">
        <v>3412</v>
      </c>
      <c r="AF4735" s="146"/>
      <c r="AG4735" s="146"/>
      <c r="AH4735" s="146"/>
      <c r="AI4735" s="147"/>
      <c r="AJ4735" s="148"/>
      <c r="AK4735" s="143"/>
      <c r="AL4735" s="144"/>
      <c r="AM4735" s="22"/>
      <c r="AN4735" s="149" t="s">
        <v>2511</v>
      </c>
      <c r="AO4735" s="144"/>
      <c r="AP4735" s="148">
        <v>60361</v>
      </c>
      <c r="AQ4735" s="144"/>
      <c r="AR4735" s="120"/>
      <c r="AS4735" s="121"/>
      <c r="AT4735" s="120"/>
      <c r="AU4735" s="121"/>
      <c r="AV4735" s="120"/>
      <c r="AW4735" s="121"/>
      <c r="AX4735" s="120"/>
      <c r="AY4735" s="121"/>
      <c r="AZ4735" s="138"/>
    </row>
    <row r="4736" spans="1:52" ht="17.100000000000001" customHeight="1" thickTop="1">
      <c r="A4736" s="109" t="s">
        <v>14200</v>
      </c>
      <c r="B4736" s="28">
        <v>46016</v>
      </c>
      <c r="C4736" s="25">
        <v>2008</v>
      </c>
      <c r="D4736" s="13" t="s">
        <v>2009</v>
      </c>
      <c r="E4736" s="111"/>
      <c r="F4736" s="113" t="s">
        <v>6960</v>
      </c>
      <c r="G4736" s="114"/>
      <c r="H4736" s="115"/>
      <c r="I4736" s="24" t="s">
        <v>2064</v>
      </c>
      <c r="J4736" s="116">
        <v>5</v>
      </c>
      <c r="K4736" s="118">
        <v>1371000</v>
      </c>
      <c r="L4736" s="119"/>
      <c r="M4736" s="118">
        <f t="shared" ref="M4736" si="5430">K4736*0.1</f>
        <v>137100</v>
      </c>
      <c r="N4736" s="119"/>
      <c r="O4736" s="118">
        <v>0</v>
      </c>
      <c r="P4736" s="119"/>
      <c r="Q4736" s="118">
        <v>7040</v>
      </c>
      <c r="R4736" s="119"/>
      <c r="S4736" s="118">
        <v>22000</v>
      </c>
      <c r="T4736" s="119"/>
      <c r="U4736" s="118">
        <f t="shared" ref="U4736" si="5431">SUM(K4736:T4737)</f>
        <v>1537140</v>
      </c>
      <c r="V4736" s="122"/>
      <c r="W4736" s="124"/>
      <c r="X4736" s="126" t="s">
        <v>14129</v>
      </c>
      <c r="Y4736" s="127"/>
      <c r="Z4736" s="127"/>
      <c r="AA4736" s="127"/>
      <c r="AB4736" s="128"/>
      <c r="AC4736" s="15" t="s">
        <v>20</v>
      </c>
      <c r="AD4736" s="129" t="s">
        <v>14130</v>
      </c>
      <c r="AE4736" s="130"/>
      <c r="AF4736" s="130"/>
      <c r="AG4736" s="130"/>
      <c r="AH4736" s="130"/>
      <c r="AI4736" s="131"/>
      <c r="AJ4736" s="132"/>
      <c r="AK4736" s="127"/>
      <c r="AL4736" s="128"/>
      <c r="AM4736" s="21" t="s">
        <v>15357</v>
      </c>
      <c r="AN4736" s="133">
        <v>46042</v>
      </c>
      <c r="AO4736" s="134"/>
      <c r="AP4736" s="135">
        <v>1925</v>
      </c>
      <c r="AQ4736" s="136"/>
      <c r="AR4736" s="118">
        <v>1400000</v>
      </c>
      <c r="AS4736" s="119"/>
      <c r="AT4736" s="118">
        <f t="shared" ref="AT4736" si="5432">AR4736*0.1</f>
        <v>140000</v>
      </c>
      <c r="AU4736" s="119"/>
      <c r="AV4736" s="118">
        <v>7040</v>
      </c>
      <c r="AW4736" s="119"/>
      <c r="AX4736" s="118">
        <f t="shared" ref="AX4736" si="5433">SUM(AR4736:AW4736)</f>
        <v>1547040</v>
      </c>
      <c r="AY4736" s="119"/>
      <c r="AZ4736" s="137"/>
    </row>
    <row r="4737" spans="1:52" ht="17.100000000000001" customHeight="1" thickBot="1">
      <c r="A4737" s="110"/>
      <c r="B4737" s="27" t="s">
        <v>2200</v>
      </c>
      <c r="C4737" s="27">
        <v>50053</v>
      </c>
      <c r="D4737" s="14" t="s">
        <v>2800</v>
      </c>
      <c r="E4737" s="112"/>
      <c r="F4737" s="139" t="s">
        <v>14128</v>
      </c>
      <c r="G4737" s="140"/>
      <c r="H4737" s="141"/>
      <c r="I4737" s="26">
        <v>10816</v>
      </c>
      <c r="J4737" s="117"/>
      <c r="K4737" s="120"/>
      <c r="L4737" s="121"/>
      <c r="M4737" s="120"/>
      <c r="N4737" s="121"/>
      <c r="O4737" s="120"/>
      <c r="P4737" s="121"/>
      <c r="Q4737" s="120"/>
      <c r="R4737" s="121"/>
      <c r="S4737" s="120"/>
      <c r="T4737" s="121"/>
      <c r="U4737" s="120"/>
      <c r="V4737" s="123"/>
      <c r="W4737" s="125"/>
      <c r="X4737" s="142" t="s">
        <v>14597</v>
      </c>
      <c r="Y4737" s="143"/>
      <c r="Z4737" s="143"/>
      <c r="AA4737" s="143"/>
      <c r="AB4737" s="144"/>
      <c r="AC4737" s="16" t="s">
        <v>21</v>
      </c>
      <c r="AD4737" s="17" t="s">
        <v>3921</v>
      </c>
      <c r="AE4737" s="145" t="s">
        <v>14598</v>
      </c>
      <c r="AF4737" s="146"/>
      <c r="AG4737" s="146"/>
      <c r="AH4737" s="146"/>
      <c r="AI4737" s="147"/>
      <c r="AJ4737" s="148"/>
      <c r="AK4737" s="143"/>
      <c r="AL4737" s="144"/>
      <c r="AM4737" s="22"/>
      <c r="AN4737" s="149" t="s">
        <v>2131</v>
      </c>
      <c r="AO4737" s="144"/>
      <c r="AP4737" s="148">
        <v>3079</v>
      </c>
      <c r="AQ4737" s="144"/>
      <c r="AR4737" s="120"/>
      <c r="AS4737" s="121"/>
      <c r="AT4737" s="120"/>
      <c r="AU4737" s="121"/>
      <c r="AV4737" s="120"/>
      <c r="AW4737" s="121"/>
      <c r="AX4737" s="120"/>
      <c r="AY4737" s="121"/>
      <c r="AZ4737" s="138"/>
    </row>
    <row r="4738" spans="1:52" ht="17.100000000000001" customHeight="1" thickTop="1">
      <c r="A4738" s="151" t="s">
        <v>14201</v>
      </c>
      <c r="B4738" s="28">
        <v>46016</v>
      </c>
      <c r="C4738" s="25">
        <v>2008</v>
      </c>
      <c r="D4738" s="13" t="s">
        <v>1977</v>
      </c>
      <c r="E4738" s="111"/>
      <c r="F4738" s="113" t="s">
        <v>3908</v>
      </c>
      <c r="G4738" s="114"/>
      <c r="H4738" s="115"/>
      <c r="I4738" s="24" t="s">
        <v>4109</v>
      </c>
      <c r="J4738" s="116">
        <v>4</v>
      </c>
      <c r="K4738" s="118">
        <v>700000</v>
      </c>
      <c r="L4738" s="119"/>
      <c r="M4738" s="118">
        <f t="shared" ref="M4738" si="5434">K4738*0.1</f>
        <v>70000</v>
      </c>
      <c r="N4738" s="119"/>
      <c r="O4738" s="118">
        <v>0</v>
      </c>
      <c r="P4738" s="119"/>
      <c r="Q4738" s="118">
        <v>7950</v>
      </c>
      <c r="R4738" s="119"/>
      <c r="S4738" s="118">
        <v>22000</v>
      </c>
      <c r="T4738" s="119"/>
      <c r="U4738" s="118">
        <f t="shared" ref="U4738" si="5435">SUM(K4738:T4739)</f>
        <v>799950</v>
      </c>
      <c r="V4738" s="122"/>
      <c r="W4738" s="124"/>
      <c r="X4738" s="126" t="s">
        <v>14132</v>
      </c>
      <c r="Y4738" s="127"/>
      <c r="Z4738" s="127"/>
      <c r="AA4738" s="127"/>
      <c r="AB4738" s="128"/>
      <c r="AC4738" s="15" t="s">
        <v>20</v>
      </c>
      <c r="AD4738" s="129" t="s">
        <v>1690</v>
      </c>
      <c r="AE4738" s="130"/>
      <c r="AF4738" s="130"/>
      <c r="AG4738" s="130"/>
      <c r="AH4738" s="130"/>
      <c r="AI4738" s="131"/>
      <c r="AJ4738" s="132"/>
      <c r="AK4738" s="127"/>
      <c r="AL4738" s="128"/>
      <c r="AM4738" s="21" t="s">
        <v>14882</v>
      </c>
      <c r="AN4738" s="133">
        <v>46032</v>
      </c>
      <c r="AO4738" s="134"/>
      <c r="AP4738" s="135">
        <v>1283</v>
      </c>
      <c r="AQ4738" s="136"/>
      <c r="AR4738" s="118">
        <v>775000</v>
      </c>
      <c r="AS4738" s="119"/>
      <c r="AT4738" s="118">
        <f t="shared" ref="AT4738" si="5436">AR4738*0.1</f>
        <v>77500</v>
      </c>
      <c r="AU4738" s="119"/>
      <c r="AV4738" s="118">
        <v>7950</v>
      </c>
      <c r="AW4738" s="119"/>
      <c r="AX4738" s="118">
        <f t="shared" ref="AX4738" si="5437">SUM(AR4738:AW4738)</f>
        <v>860450</v>
      </c>
      <c r="AY4738" s="119"/>
      <c r="AZ4738" s="137">
        <v>46037</v>
      </c>
    </row>
    <row r="4739" spans="1:52" ht="17.100000000000001" customHeight="1" thickBot="1">
      <c r="A4739" s="152"/>
      <c r="B4739" s="27" t="s">
        <v>2200</v>
      </c>
      <c r="C4739" s="27">
        <v>50163</v>
      </c>
      <c r="D4739" s="14" t="s">
        <v>1635</v>
      </c>
      <c r="E4739" s="112"/>
      <c r="F4739" s="139" t="s">
        <v>14131</v>
      </c>
      <c r="G4739" s="140"/>
      <c r="H4739" s="141"/>
      <c r="I4739" s="26">
        <v>16860</v>
      </c>
      <c r="J4739" s="117"/>
      <c r="K4739" s="120"/>
      <c r="L4739" s="121"/>
      <c r="M4739" s="120"/>
      <c r="N4739" s="121"/>
      <c r="O4739" s="120"/>
      <c r="P4739" s="121"/>
      <c r="Q4739" s="120"/>
      <c r="R4739" s="121"/>
      <c r="S4739" s="120"/>
      <c r="T4739" s="121"/>
      <c r="U4739" s="120"/>
      <c r="V4739" s="123"/>
      <c r="W4739" s="125"/>
      <c r="X4739" s="142" t="s">
        <v>3329</v>
      </c>
      <c r="Y4739" s="143"/>
      <c r="Z4739" s="143"/>
      <c r="AA4739" s="143"/>
      <c r="AB4739" s="144"/>
      <c r="AC4739" s="16" t="s">
        <v>21</v>
      </c>
      <c r="AD4739" s="17" t="s">
        <v>3921</v>
      </c>
      <c r="AE4739" s="145" t="s">
        <v>2051</v>
      </c>
      <c r="AF4739" s="146"/>
      <c r="AG4739" s="146"/>
      <c r="AH4739" s="146"/>
      <c r="AI4739" s="147"/>
      <c r="AJ4739" s="148"/>
      <c r="AK4739" s="143"/>
      <c r="AL4739" s="144"/>
      <c r="AM4739" s="22"/>
      <c r="AN4739" s="149" t="s">
        <v>2511</v>
      </c>
      <c r="AO4739" s="144"/>
      <c r="AP4739" s="148">
        <v>60248</v>
      </c>
      <c r="AQ4739" s="144"/>
      <c r="AR4739" s="120"/>
      <c r="AS4739" s="121"/>
      <c r="AT4739" s="120"/>
      <c r="AU4739" s="121"/>
      <c r="AV4739" s="120"/>
      <c r="AW4739" s="121"/>
      <c r="AX4739" s="120"/>
      <c r="AY4739" s="121"/>
      <c r="AZ4739" s="138"/>
    </row>
    <row r="4740" spans="1:52" ht="17.100000000000001" customHeight="1" thickTop="1">
      <c r="A4740" s="109" t="s">
        <v>14202</v>
      </c>
      <c r="B4740" s="28">
        <v>46016</v>
      </c>
      <c r="C4740" s="25">
        <v>2140</v>
      </c>
      <c r="D4740" s="13" t="s">
        <v>2036</v>
      </c>
      <c r="E4740" s="111"/>
      <c r="F4740" s="113" t="s">
        <v>14135</v>
      </c>
      <c r="G4740" s="114"/>
      <c r="H4740" s="115"/>
      <c r="I4740" s="24"/>
      <c r="J4740" s="116">
        <v>4.5</v>
      </c>
      <c r="K4740" s="118">
        <v>697000</v>
      </c>
      <c r="L4740" s="119"/>
      <c r="M4740" s="118">
        <f t="shared" ref="M4740" si="5438">K4740*0.1</f>
        <v>69700</v>
      </c>
      <c r="N4740" s="119"/>
      <c r="O4740" s="118">
        <v>0</v>
      </c>
      <c r="P4740" s="119"/>
      <c r="Q4740" s="118">
        <v>7860</v>
      </c>
      <c r="R4740" s="119"/>
      <c r="S4740" s="118">
        <v>14300</v>
      </c>
      <c r="T4740" s="119"/>
      <c r="U4740" s="118">
        <f t="shared" ref="U4740" si="5439">SUM(K4740:T4741)</f>
        <v>788860</v>
      </c>
      <c r="V4740" s="122"/>
      <c r="W4740" s="124"/>
      <c r="X4740" s="126" t="s">
        <v>15048</v>
      </c>
      <c r="Y4740" s="127"/>
      <c r="Z4740" s="127"/>
      <c r="AA4740" s="127"/>
      <c r="AB4740" s="128"/>
      <c r="AC4740" s="15" t="s">
        <v>20</v>
      </c>
      <c r="AD4740" s="129"/>
      <c r="AE4740" s="130"/>
      <c r="AF4740" s="130"/>
      <c r="AG4740" s="130"/>
      <c r="AH4740" s="130"/>
      <c r="AI4740" s="131"/>
      <c r="AJ4740" s="132"/>
      <c r="AK4740" s="127"/>
      <c r="AL4740" s="128"/>
      <c r="AM4740" s="21"/>
      <c r="AN4740" s="133">
        <v>46018</v>
      </c>
      <c r="AO4740" s="134"/>
      <c r="AP4740" s="135">
        <v>1282</v>
      </c>
      <c r="AQ4740" s="136"/>
      <c r="AR4740" s="118">
        <v>760000</v>
      </c>
      <c r="AS4740" s="119"/>
      <c r="AT4740" s="118">
        <f t="shared" ref="AT4740" si="5440">AR4740*0.1</f>
        <v>76000</v>
      </c>
      <c r="AU4740" s="119"/>
      <c r="AV4740" s="118">
        <v>7860</v>
      </c>
      <c r="AW4740" s="119"/>
      <c r="AX4740" s="118">
        <f t="shared" ref="AX4740" si="5441">SUM(AR4740:AW4740)</f>
        <v>843860</v>
      </c>
      <c r="AY4740" s="119"/>
      <c r="AZ4740" s="137">
        <v>46042</v>
      </c>
    </row>
    <row r="4741" spans="1:52" ht="17.100000000000001" customHeight="1" thickBot="1">
      <c r="A4741" s="110"/>
      <c r="B4741" s="27" t="s">
        <v>3281</v>
      </c>
      <c r="C4741" s="27">
        <v>2108</v>
      </c>
      <c r="D4741" s="14" t="s">
        <v>1592</v>
      </c>
      <c r="E4741" s="112"/>
      <c r="F4741" s="139" t="s">
        <v>14136</v>
      </c>
      <c r="G4741" s="140"/>
      <c r="H4741" s="141"/>
      <c r="I4741" s="26">
        <v>3555</v>
      </c>
      <c r="J4741" s="117"/>
      <c r="K4741" s="120"/>
      <c r="L4741" s="121"/>
      <c r="M4741" s="120"/>
      <c r="N4741" s="121"/>
      <c r="O4741" s="120"/>
      <c r="P4741" s="121"/>
      <c r="Q4741" s="120"/>
      <c r="R4741" s="121"/>
      <c r="S4741" s="120"/>
      <c r="T4741" s="121"/>
      <c r="U4741" s="120"/>
      <c r="V4741" s="123"/>
      <c r="W4741" s="125"/>
      <c r="X4741" s="142" t="s">
        <v>15049</v>
      </c>
      <c r="Y4741" s="143"/>
      <c r="Z4741" s="143"/>
      <c r="AA4741" s="143"/>
      <c r="AB4741" s="144"/>
      <c r="AC4741" s="16" t="s">
        <v>21</v>
      </c>
      <c r="AD4741" s="17" t="s">
        <v>3980</v>
      </c>
      <c r="AE4741" s="145"/>
      <c r="AF4741" s="146"/>
      <c r="AG4741" s="146"/>
      <c r="AH4741" s="146"/>
      <c r="AI4741" s="147"/>
      <c r="AJ4741" s="148"/>
      <c r="AK4741" s="143"/>
      <c r="AL4741" s="144"/>
      <c r="AM4741" s="22"/>
      <c r="AN4741" s="149" t="s">
        <v>2511</v>
      </c>
      <c r="AO4741" s="144"/>
      <c r="AP4741" s="148">
        <v>60423</v>
      </c>
      <c r="AQ4741" s="144"/>
      <c r="AR4741" s="120"/>
      <c r="AS4741" s="121"/>
      <c r="AT4741" s="120"/>
      <c r="AU4741" s="121"/>
      <c r="AV4741" s="120"/>
      <c r="AW4741" s="121"/>
      <c r="AX4741" s="120"/>
      <c r="AY4741" s="121"/>
      <c r="AZ4741" s="138"/>
    </row>
    <row r="4742" spans="1:52" ht="17.100000000000001" customHeight="1" thickTop="1">
      <c r="A4742" s="109" t="s">
        <v>14203</v>
      </c>
      <c r="B4742" s="28">
        <v>46016</v>
      </c>
      <c r="C4742" s="25">
        <v>2140</v>
      </c>
      <c r="D4742" s="13" t="s">
        <v>1825</v>
      </c>
      <c r="E4742" s="111"/>
      <c r="F4742" s="113" t="s">
        <v>6994</v>
      </c>
      <c r="G4742" s="114"/>
      <c r="H4742" s="115"/>
      <c r="I4742" s="24"/>
      <c r="J4742" s="116">
        <v>5</v>
      </c>
      <c r="K4742" s="118">
        <v>1127000</v>
      </c>
      <c r="L4742" s="119"/>
      <c r="M4742" s="118">
        <f t="shared" ref="M4742" si="5442">K4742*0.1</f>
        <v>112700</v>
      </c>
      <c r="N4742" s="119"/>
      <c r="O4742" s="118">
        <v>0</v>
      </c>
      <c r="P4742" s="119"/>
      <c r="Q4742" s="118">
        <v>8640</v>
      </c>
      <c r="R4742" s="119"/>
      <c r="S4742" s="118">
        <v>14300</v>
      </c>
      <c r="T4742" s="119"/>
      <c r="U4742" s="118">
        <f t="shared" ref="U4742" si="5443">SUM(K4742:T4743)</f>
        <v>1262640</v>
      </c>
      <c r="V4742" s="122"/>
      <c r="W4742" s="124"/>
      <c r="X4742" s="126" t="s">
        <v>14709</v>
      </c>
      <c r="Y4742" s="127"/>
      <c r="Z4742" s="127"/>
      <c r="AA4742" s="127"/>
      <c r="AB4742" s="128"/>
      <c r="AC4742" s="15" t="s">
        <v>20</v>
      </c>
      <c r="AD4742" s="129" t="s">
        <v>14138</v>
      </c>
      <c r="AE4742" s="130"/>
      <c r="AF4742" s="130"/>
      <c r="AG4742" s="130"/>
      <c r="AH4742" s="130"/>
      <c r="AI4742" s="131"/>
      <c r="AJ4742" s="132"/>
      <c r="AK4742" s="127"/>
      <c r="AL4742" s="128"/>
      <c r="AM4742" s="21"/>
      <c r="AN4742" s="133">
        <v>46046</v>
      </c>
      <c r="AO4742" s="134"/>
      <c r="AP4742" s="135">
        <v>1285</v>
      </c>
      <c r="AQ4742" s="136"/>
      <c r="AR4742" s="118">
        <v>1175000</v>
      </c>
      <c r="AS4742" s="119"/>
      <c r="AT4742" s="118">
        <f t="shared" ref="AT4742" si="5444">AR4742*0.1</f>
        <v>117500</v>
      </c>
      <c r="AU4742" s="119"/>
      <c r="AV4742" s="118">
        <v>8640</v>
      </c>
      <c r="AW4742" s="119"/>
      <c r="AX4742" s="118">
        <f t="shared" ref="AX4742" si="5445">SUM(AR4742:AW4742)</f>
        <v>1301140</v>
      </c>
      <c r="AY4742" s="119"/>
      <c r="AZ4742" s="137">
        <v>46049</v>
      </c>
    </row>
    <row r="4743" spans="1:52" ht="17.100000000000001" customHeight="1" thickBot="1">
      <c r="A4743" s="110"/>
      <c r="B4743" s="27" t="s">
        <v>3281</v>
      </c>
      <c r="C4743" s="27">
        <v>2502</v>
      </c>
      <c r="D4743" s="14" t="s">
        <v>2560</v>
      </c>
      <c r="E4743" s="112"/>
      <c r="F4743" s="139" t="s">
        <v>14137</v>
      </c>
      <c r="G4743" s="140"/>
      <c r="H4743" s="141"/>
      <c r="I4743" s="26">
        <v>39721</v>
      </c>
      <c r="J4743" s="117"/>
      <c r="K4743" s="120"/>
      <c r="L4743" s="121"/>
      <c r="M4743" s="120"/>
      <c r="N4743" s="121"/>
      <c r="O4743" s="120"/>
      <c r="P4743" s="121"/>
      <c r="Q4743" s="120"/>
      <c r="R4743" s="121"/>
      <c r="S4743" s="120"/>
      <c r="T4743" s="121"/>
      <c r="U4743" s="120"/>
      <c r="V4743" s="123"/>
      <c r="W4743" s="125"/>
      <c r="X4743" s="142" t="s">
        <v>2992</v>
      </c>
      <c r="Y4743" s="143"/>
      <c r="Z4743" s="143"/>
      <c r="AA4743" s="143"/>
      <c r="AB4743" s="144"/>
      <c r="AC4743" s="16" t="s">
        <v>21</v>
      </c>
      <c r="AD4743" s="17" t="s">
        <v>2949</v>
      </c>
      <c r="AE4743" s="145" t="s">
        <v>2615</v>
      </c>
      <c r="AF4743" s="146"/>
      <c r="AG4743" s="146"/>
      <c r="AH4743" s="146"/>
      <c r="AI4743" s="147"/>
      <c r="AJ4743" s="148"/>
      <c r="AK4743" s="143"/>
      <c r="AL4743" s="144"/>
      <c r="AM4743" s="22"/>
      <c r="AN4743" s="149" t="s">
        <v>2511</v>
      </c>
      <c r="AO4743" s="144"/>
      <c r="AP4743" s="148">
        <v>60129</v>
      </c>
      <c r="AQ4743" s="144"/>
      <c r="AR4743" s="120"/>
      <c r="AS4743" s="121"/>
      <c r="AT4743" s="120"/>
      <c r="AU4743" s="121"/>
      <c r="AV4743" s="120"/>
      <c r="AW4743" s="121"/>
      <c r="AX4743" s="120"/>
      <c r="AY4743" s="121"/>
      <c r="AZ4743" s="138"/>
    </row>
    <row r="4744" spans="1:52" ht="17.100000000000001" customHeight="1" thickTop="1">
      <c r="A4744" s="109" t="s">
        <v>14204</v>
      </c>
      <c r="B4744" s="28">
        <v>46016</v>
      </c>
      <c r="C4744" s="25">
        <v>2140</v>
      </c>
      <c r="D4744" s="13" t="s">
        <v>1651</v>
      </c>
      <c r="E4744" s="111"/>
      <c r="F4744" s="113" t="s">
        <v>13478</v>
      </c>
      <c r="G4744" s="114"/>
      <c r="H4744" s="115"/>
      <c r="I4744" s="24" t="s">
        <v>2943</v>
      </c>
      <c r="J4744" s="116">
        <v>4.5</v>
      </c>
      <c r="K4744" s="118">
        <v>708000</v>
      </c>
      <c r="L4744" s="119"/>
      <c r="M4744" s="118">
        <f t="shared" ref="M4744" si="5446">K4744*0.1</f>
        <v>70800</v>
      </c>
      <c r="N4744" s="119"/>
      <c r="O4744" s="118">
        <v>0</v>
      </c>
      <c r="P4744" s="119"/>
      <c r="Q4744" s="118">
        <v>7590</v>
      </c>
      <c r="R4744" s="119"/>
      <c r="S4744" s="118">
        <v>14300</v>
      </c>
      <c r="T4744" s="119"/>
      <c r="U4744" s="118">
        <f t="shared" ref="U4744" si="5447">SUM(K4744:T4745)</f>
        <v>800690</v>
      </c>
      <c r="V4744" s="122"/>
      <c r="W4744" s="124"/>
      <c r="X4744" s="126" t="s">
        <v>14702</v>
      </c>
      <c r="Y4744" s="127"/>
      <c r="Z4744" s="127"/>
      <c r="AA4744" s="127"/>
      <c r="AB4744" s="128"/>
      <c r="AC4744" s="15" t="s">
        <v>20</v>
      </c>
      <c r="AD4744" s="129" t="s">
        <v>4617</v>
      </c>
      <c r="AE4744" s="130"/>
      <c r="AF4744" s="130"/>
      <c r="AG4744" s="130"/>
      <c r="AH4744" s="130"/>
      <c r="AI4744" s="131"/>
      <c r="AJ4744" s="132"/>
      <c r="AK4744" s="127"/>
      <c r="AL4744" s="128"/>
      <c r="AM4744" s="21"/>
      <c r="AN4744" s="133">
        <v>46057</v>
      </c>
      <c r="AO4744" s="134"/>
      <c r="AP4744" s="135">
        <v>1003</v>
      </c>
      <c r="AQ4744" s="136"/>
      <c r="AR4744" s="118">
        <v>695000</v>
      </c>
      <c r="AS4744" s="119"/>
      <c r="AT4744" s="118">
        <f t="shared" ref="AT4744" si="5448">AR4744*0.1</f>
        <v>69500</v>
      </c>
      <c r="AU4744" s="119"/>
      <c r="AV4744" s="118">
        <v>7590</v>
      </c>
      <c r="AW4744" s="119"/>
      <c r="AX4744" s="118">
        <f t="shared" ref="AX4744" si="5449">SUM(AR4744:AW4744)</f>
        <v>772090</v>
      </c>
      <c r="AY4744" s="119"/>
      <c r="AZ4744" s="137">
        <v>46062</v>
      </c>
    </row>
    <row r="4745" spans="1:52" ht="17.100000000000001" customHeight="1" thickBot="1">
      <c r="A4745" s="110"/>
      <c r="B4745" s="27" t="s">
        <v>3281</v>
      </c>
      <c r="C4745" s="27">
        <v>2512</v>
      </c>
      <c r="D4745" s="14" t="s">
        <v>1720</v>
      </c>
      <c r="E4745" s="112"/>
      <c r="F4745" s="139" t="s">
        <v>14139</v>
      </c>
      <c r="G4745" s="140"/>
      <c r="H4745" s="141"/>
      <c r="I4745" s="26">
        <v>23537</v>
      </c>
      <c r="J4745" s="117"/>
      <c r="K4745" s="120"/>
      <c r="L4745" s="121"/>
      <c r="M4745" s="120"/>
      <c r="N4745" s="121"/>
      <c r="O4745" s="120"/>
      <c r="P4745" s="121"/>
      <c r="Q4745" s="120"/>
      <c r="R4745" s="121"/>
      <c r="S4745" s="120"/>
      <c r="T4745" s="121"/>
      <c r="U4745" s="120"/>
      <c r="V4745" s="123"/>
      <c r="W4745" s="125"/>
      <c r="X4745" s="142" t="s">
        <v>4300</v>
      </c>
      <c r="Y4745" s="143"/>
      <c r="Z4745" s="143"/>
      <c r="AA4745" s="143"/>
      <c r="AB4745" s="144"/>
      <c r="AC4745" s="16" t="s">
        <v>21</v>
      </c>
      <c r="AD4745" s="17" t="s">
        <v>2949</v>
      </c>
      <c r="AE4745" s="145" t="s">
        <v>4617</v>
      </c>
      <c r="AF4745" s="146"/>
      <c r="AG4745" s="146"/>
      <c r="AH4745" s="146"/>
      <c r="AI4745" s="147"/>
      <c r="AJ4745" s="148"/>
      <c r="AK4745" s="143"/>
      <c r="AL4745" s="144"/>
      <c r="AM4745" s="22"/>
      <c r="AN4745" s="149" t="s">
        <v>2794</v>
      </c>
      <c r="AO4745" s="144"/>
      <c r="AP4745" s="148">
        <v>5133</v>
      </c>
      <c r="AQ4745" s="144"/>
      <c r="AR4745" s="120"/>
      <c r="AS4745" s="121"/>
      <c r="AT4745" s="120"/>
      <c r="AU4745" s="121"/>
      <c r="AV4745" s="120"/>
      <c r="AW4745" s="121"/>
      <c r="AX4745" s="120"/>
      <c r="AY4745" s="121"/>
      <c r="AZ4745" s="138"/>
    </row>
    <row r="4746" spans="1:52" ht="17.100000000000001" customHeight="1" thickTop="1">
      <c r="A4746" s="151" t="s">
        <v>14205</v>
      </c>
      <c r="B4746" s="28">
        <v>46016</v>
      </c>
      <c r="C4746" s="25">
        <v>2140</v>
      </c>
      <c r="D4746" s="13" t="s">
        <v>818</v>
      </c>
      <c r="E4746" s="111"/>
      <c r="F4746" s="113" t="s">
        <v>14211</v>
      </c>
      <c r="G4746" s="114"/>
      <c r="H4746" s="115"/>
      <c r="I4746" s="24"/>
      <c r="J4746" s="116">
        <v>4</v>
      </c>
      <c r="K4746" s="118">
        <v>1002000</v>
      </c>
      <c r="L4746" s="119"/>
      <c r="M4746" s="118">
        <f t="shared" ref="M4746" si="5450">K4746*0.1</f>
        <v>100200</v>
      </c>
      <c r="N4746" s="119"/>
      <c r="O4746" s="118">
        <v>0</v>
      </c>
      <c r="P4746" s="119"/>
      <c r="Q4746" s="118">
        <v>8110</v>
      </c>
      <c r="R4746" s="119"/>
      <c r="S4746" s="118">
        <v>14300</v>
      </c>
      <c r="T4746" s="119"/>
      <c r="U4746" s="118">
        <f t="shared" ref="U4746" si="5451">SUM(K4746:T4747)</f>
        <v>1124610</v>
      </c>
      <c r="V4746" s="122"/>
      <c r="W4746" s="124"/>
      <c r="X4746" s="126" t="s">
        <v>14710</v>
      </c>
      <c r="Y4746" s="127"/>
      <c r="Z4746" s="127"/>
      <c r="AA4746" s="127"/>
      <c r="AB4746" s="128"/>
      <c r="AC4746" s="15" t="s">
        <v>20</v>
      </c>
      <c r="AD4746" s="129"/>
      <c r="AE4746" s="130"/>
      <c r="AF4746" s="130"/>
      <c r="AG4746" s="130"/>
      <c r="AH4746" s="130"/>
      <c r="AI4746" s="131"/>
      <c r="AJ4746" s="132"/>
      <c r="AK4746" s="127"/>
      <c r="AL4746" s="128"/>
      <c r="AM4746" s="21"/>
      <c r="AN4746" s="133">
        <v>46032</v>
      </c>
      <c r="AO4746" s="134"/>
      <c r="AP4746" s="135">
        <v>1283</v>
      </c>
      <c r="AQ4746" s="136"/>
      <c r="AR4746" s="118">
        <v>1055000</v>
      </c>
      <c r="AS4746" s="119"/>
      <c r="AT4746" s="118">
        <f t="shared" ref="AT4746" si="5452">AR4746*0.1</f>
        <v>105500</v>
      </c>
      <c r="AU4746" s="119"/>
      <c r="AV4746" s="118">
        <v>8110</v>
      </c>
      <c r="AW4746" s="119"/>
      <c r="AX4746" s="118">
        <f t="shared" ref="AX4746" si="5453">SUM(AR4746:AW4746)</f>
        <v>1168610</v>
      </c>
      <c r="AY4746" s="119"/>
      <c r="AZ4746" s="137">
        <v>46036</v>
      </c>
    </row>
    <row r="4747" spans="1:52" ht="17.100000000000001" customHeight="1" thickBot="1">
      <c r="A4747" s="152"/>
      <c r="B4747" s="27" t="s">
        <v>3281</v>
      </c>
      <c r="C4747" s="27">
        <v>2532</v>
      </c>
      <c r="D4747" s="14" t="s">
        <v>2040</v>
      </c>
      <c r="E4747" s="112"/>
      <c r="F4747" s="139" t="s">
        <v>14210</v>
      </c>
      <c r="G4747" s="140"/>
      <c r="H4747" s="141"/>
      <c r="I4747" s="26">
        <v>44260</v>
      </c>
      <c r="J4747" s="117"/>
      <c r="K4747" s="120"/>
      <c r="L4747" s="121"/>
      <c r="M4747" s="120"/>
      <c r="N4747" s="121"/>
      <c r="O4747" s="120"/>
      <c r="P4747" s="121"/>
      <c r="Q4747" s="120"/>
      <c r="R4747" s="121"/>
      <c r="S4747" s="120"/>
      <c r="T4747" s="121"/>
      <c r="U4747" s="120"/>
      <c r="V4747" s="123"/>
      <c r="W4747" s="125"/>
      <c r="X4747" s="142" t="s">
        <v>3884</v>
      </c>
      <c r="Y4747" s="143"/>
      <c r="Z4747" s="143"/>
      <c r="AA4747" s="143"/>
      <c r="AB4747" s="144"/>
      <c r="AC4747" s="16" t="s">
        <v>21</v>
      </c>
      <c r="AD4747" s="17" t="s">
        <v>2949</v>
      </c>
      <c r="AE4747" s="145"/>
      <c r="AF4747" s="146"/>
      <c r="AG4747" s="146"/>
      <c r="AH4747" s="146"/>
      <c r="AI4747" s="147"/>
      <c r="AJ4747" s="148"/>
      <c r="AK4747" s="143"/>
      <c r="AL4747" s="144"/>
      <c r="AM4747" s="22"/>
      <c r="AN4747" s="149" t="s">
        <v>2511</v>
      </c>
      <c r="AO4747" s="144"/>
      <c r="AP4747" s="148">
        <v>60052</v>
      </c>
      <c r="AQ4747" s="144"/>
      <c r="AR4747" s="120"/>
      <c r="AS4747" s="121"/>
      <c r="AT4747" s="120"/>
      <c r="AU4747" s="121"/>
      <c r="AV4747" s="120"/>
      <c r="AW4747" s="121"/>
      <c r="AX4747" s="120"/>
      <c r="AY4747" s="121"/>
      <c r="AZ4747" s="138"/>
    </row>
    <row r="4748" spans="1:52" ht="17.100000000000001" customHeight="1" thickTop="1">
      <c r="A4748" s="151" t="s">
        <v>14206</v>
      </c>
      <c r="B4748" s="28">
        <v>46016</v>
      </c>
      <c r="C4748" s="25">
        <v>2140</v>
      </c>
      <c r="D4748" s="13" t="s">
        <v>2442</v>
      </c>
      <c r="E4748" s="111"/>
      <c r="F4748" s="113" t="s">
        <v>14140</v>
      </c>
      <c r="G4748" s="114"/>
      <c r="H4748" s="115"/>
      <c r="I4748" s="24" t="s">
        <v>8233</v>
      </c>
      <c r="J4748" s="116">
        <v>4.5</v>
      </c>
      <c r="K4748" s="118">
        <v>1038000</v>
      </c>
      <c r="L4748" s="119"/>
      <c r="M4748" s="118">
        <f t="shared" ref="M4748" si="5454">K4748*0.1</f>
        <v>103800</v>
      </c>
      <c r="N4748" s="119"/>
      <c r="O4748" s="118">
        <v>0</v>
      </c>
      <c r="P4748" s="119"/>
      <c r="Q4748" s="118">
        <v>9200</v>
      </c>
      <c r="R4748" s="119"/>
      <c r="S4748" s="118">
        <v>14300</v>
      </c>
      <c r="T4748" s="119"/>
      <c r="U4748" s="118">
        <f t="shared" ref="U4748" si="5455">SUM(K4748:T4749)</f>
        <v>1165300</v>
      </c>
      <c r="V4748" s="122"/>
      <c r="W4748" s="124"/>
      <c r="X4748" s="126" t="s">
        <v>14142</v>
      </c>
      <c r="Y4748" s="127"/>
      <c r="Z4748" s="127"/>
      <c r="AA4748" s="127"/>
      <c r="AB4748" s="128"/>
      <c r="AC4748" s="15" t="s">
        <v>20</v>
      </c>
      <c r="AD4748" s="129" t="s">
        <v>171</v>
      </c>
      <c r="AE4748" s="130"/>
      <c r="AF4748" s="130"/>
      <c r="AG4748" s="130"/>
      <c r="AH4748" s="130"/>
      <c r="AI4748" s="131"/>
      <c r="AJ4748" s="132"/>
      <c r="AK4748" s="127"/>
      <c r="AL4748" s="128"/>
      <c r="AM4748" s="21" t="s">
        <v>14881</v>
      </c>
      <c r="AN4748" s="133">
        <v>46032</v>
      </c>
      <c r="AO4748" s="134"/>
      <c r="AP4748" s="135">
        <v>1283</v>
      </c>
      <c r="AQ4748" s="136"/>
      <c r="AR4748" s="118">
        <v>1075000</v>
      </c>
      <c r="AS4748" s="119"/>
      <c r="AT4748" s="118">
        <f t="shared" ref="AT4748" si="5456">AR4748*0.1</f>
        <v>107500</v>
      </c>
      <c r="AU4748" s="119"/>
      <c r="AV4748" s="118">
        <v>9200</v>
      </c>
      <c r="AW4748" s="119"/>
      <c r="AX4748" s="118">
        <f t="shared" ref="AX4748" si="5457">SUM(AR4748:AW4748)</f>
        <v>1191700</v>
      </c>
      <c r="AY4748" s="119"/>
      <c r="AZ4748" s="137">
        <v>46037</v>
      </c>
    </row>
    <row r="4749" spans="1:52" ht="17.100000000000001" customHeight="1" thickBot="1">
      <c r="A4749" s="152"/>
      <c r="B4749" s="27" t="s">
        <v>3281</v>
      </c>
      <c r="C4749" s="27">
        <v>2535</v>
      </c>
      <c r="D4749" s="14" t="s">
        <v>2601</v>
      </c>
      <c r="E4749" s="112"/>
      <c r="F4749" s="139" t="s">
        <v>14141</v>
      </c>
      <c r="G4749" s="140"/>
      <c r="H4749" s="141"/>
      <c r="I4749" s="26">
        <v>23797</v>
      </c>
      <c r="J4749" s="117"/>
      <c r="K4749" s="120"/>
      <c r="L4749" s="121"/>
      <c r="M4749" s="120"/>
      <c r="N4749" s="121"/>
      <c r="O4749" s="120"/>
      <c r="P4749" s="121"/>
      <c r="Q4749" s="120"/>
      <c r="R4749" s="121"/>
      <c r="S4749" s="120"/>
      <c r="T4749" s="121"/>
      <c r="U4749" s="120"/>
      <c r="V4749" s="123"/>
      <c r="W4749" s="125"/>
      <c r="X4749" s="142" t="s">
        <v>14703</v>
      </c>
      <c r="Y4749" s="143"/>
      <c r="Z4749" s="143"/>
      <c r="AA4749" s="143"/>
      <c r="AB4749" s="144"/>
      <c r="AC4749" s="16" t="s">
        <v>21</v>
      </c>
      <c r="AD4749" s="17" t="s">
        <v>2949</v>
      </c>
      <c r="AE4749" s="145" t="s">
        <v>14704</v>
      </c>
      <c r="AF4749" s="146"/>
      <c r="AG4749" s="146"/>
      <c r="AH4749" s="146"/>
      <c r="AI4749" s="147"/>
      <c r="AJ4749" s="148"/>
      <c r="AK4749" s="143"/>
      <c r="AL4749" s="144"/>
      <c r="AM4749" s="22"/>
      <c r="AN4749" s="149" t="s">
        <v>2511</v>
      </c>
      <c r="AO4749" s="144"/>
      <c r="AP4749" s="148">
        <v>60360</v>
      </c>
      <c r="AQ4749" s="144"/>
      <c r="AR4749" s="120"/>
      <c r="AS4749" s="121"/>
      <c r="AT4749" s="120"/>
      <c r="AU4749" s="121"/>
      <c r="AV4749" s="120"/>
      <c r="AW4749" s="121"/>
      <c r="AX4749" s="120"/>
      <c r="AY4749" s="121"/>
      <c r="AZ4749" s="138"/>
    </row>
    <row r="4750" spans="1:52" ht="17.100000000000001" customHeight="1" thickTop="1">
      <c r="A4750" s="151" t="s">
        <v>14207</v>
      </c>
      <c r="B4750" s="28">
        <v>46016</v>
      </c>
      <c r="C4750" s="25">
        <v>2140</v>
      </c>
      <c r="D4750" s="13" t="s">
        <v>3461</v>
      </c>
      <c r="E4750" s="111"/>
      <c r="F4750" s="113" t="s">
        <v>9530</v>
      </c>
      <c r="G4750" s="114"/>
      <c r="H4750" s="115"/>
      <c r="I4750" s="24"/>
      <c r="J4750" s="116">
        <v>4.5</v>
      </c>
      <c r="K4750" s="118">
        <v>1361000</v>
      </c>
      <c r="L4750" s="119"/>
      <c r="M4750" s="118">
        <f t="shared" ref="M4750" si="5458">K4750*0.1</f>
        <v>136100</v>
      </c>
      <c r="N4750" s="119"/>
      <c r="O4750" s="118">
        <v>0</v>
      </c>
      <c r="P4750" s="119"/>
      <c r="Q4750" s="118">
        <v>8630</v>
      </c>
      <c r="R4750" s="119"/>
      <c r="S4750" s="118">
        <v>14300</v>
      </c>
      <c r="T4750" s="119"/>
      <c r="U4750" s="118">
        <f t="shared" ref="U4750" si="5459">SUM(K4750:T4751)</f>
        <v>1520030</v>
      </c>
      <c r="V4750" s="122"/>
      <c r="W4750" s="124"/>
      <c r="X4750" s="126" t="s">
        <v>14144</v>
      </c>
      <c r="Y4750" s="127"/>
      <c r="Z4750" s="127"/>
      <c r="AA4750" s="127"/>
      <c r="AB4750" s="128"/>
      <c r="AC4750" s="15" t="s">
        <v>20</v>
      </c>
      <c r="AD4750" s="129" t="s">
        <v>14145</v>
      </c>
      <c r="AE4750" s="130"/>
      <c r="AF4750" s="130"/>
      <c r="AG4750" s="130"/>
      <c r="AH4750" s="130"/>
      <c r="AI4750" s="131"/>
      <c r="AJ4750" s="132"/>
      <c r="AK4750" s="127"/>
      <c r="AL4750" s="128"/>
      <c r="AM4750" s="21"/>
      <c r="AN4750" s="133">
        <v>46032</v>
      </c>
      <c r="AO4750" s="134"/>
      <c r="AP4750" s="135">
        <v>1283</v>
      </c>
      <c r="AQ4750" s="136"/>
      <c r="AR4750" s="118">
        <v>1410000</v>
      </c>
      <c r="AS4750" s="119"/>
      <c r="AT4750" s="118">
        <f t="shared" ref="AT4750" si="5460">AR4750*0.1</f>
        <v>141000</v>
      </c>
      <c r="AU4750" s="119"/>
      <c r="AV4750" s="118">
        <v>8630</v>
      </c>
      <c r="AW4750" s="119"/>
      <c r="AX4750" s="118">
        <f t="shared" ref="AX4750" si="5461">SUM(AR4750:AW4750)</f>
        <v>1559630</v>
      </c>
      <c r="AY4750" s="119"/>
      <c r="AZ4750" s="137">
        <v>46042</v>
      </c>
    </row>
    <row r="4751" spans="1:52" ht="17.100000000000001" customHeight="1" thickBot="1">
      <c r="A4751" s="152"/>
      <c r="B4751" s="27" t="s">
        <v>3281</v>
      </c>
      <c r="C4751" s="27">
        <v>2542</v>
      </c>
      <c r="D4751" s="14" t="s">
        <v>2601</v>
      </c>
      <c r="E4751" s="112"/>
      <c r="F4751" s="139" t="s">
        <v>14143</v>
      </c>
      <c r="G4751" s="140"/>
      <c r="H4751" s="141"/>
      <c r="I4751" s="26">
        <v>16701</v>
      </c>
      <c r="J4751" s="117"/>
      <c r="K4751" s="120"/>
      <c r="L4751" s="121"/>
      <c r="M4751" s="120"/>
      <c r="N4751" s="121"/>
      <c r="O4751" s="120"/>
      <c r="P4751" s="121"/>
      <c r="Q4751" s="120"/>
      <c r="R4751" s="121"/>
      <c r="S4751" s="120"/>
      <c r="T4751" s="121"/>
      <c r="U4751" s="120"/>
      <c r="V4751" s="123"/>
      <c r="W4751" s="125"/>
      <c r="X4751" s="142" t="s">
        <v>14708</v>
      </c>
      <c r="Y4751" s="143"/>
      <c r="Z4751" s="143"/>
      <c r="AA4751" s="143"/>
      <c r="AB4751" s="144"/>
      <c r="AC4751" s="16" t="s">
        <v>21</v>
      </c>
      <c r="AD4751" s="17" t="s">
        <v>2949</v>
      </c>
      <c r="AE4751" s="145" t="s">
        <v>1742</v>
      </c>
      <c r="AF4751" s="146"/>
      <c r="AG4751" s="146"/>
      <c r="AH4751" s="146"/>
      <c r="AI4751" s="147"/>
      <c r="AJ4751" s="148"/>
      <c r="AK4751" s="143"/>
      <c r="AL4751" s="144"/>
      <c r="AM4751" s="22"/>
      <c r="AN4751" s="149" t="s">
        <v>2511</v>
      </c>
      <c r="AO4751" s="144"/>
      <c r="AP4751" s="148">
        <v>60049</v>
      </c>
      <c r="AQ4751" s="144"/>
      <c r="AR4751" s="120"/>
      <c r="AS4751" s="121"/>
      <c r="AT4751" s="120"/>
      <c r="AU4751" s="121"/>
      <c r="AV4751" s="120"/>
      <c r="AW4751" s="121"/>
      <c r="AX4751" s="120"/>
      <c r="AY4751" s="121"/>
      <c r="AZ4751" s="138"/>
    </row>
    <row r="4752" spans="1:52" ht="17.100000000000001" customHeight="1" thickTop="1">
      <c r="A4752" s="151" t="s">
        <v>14208</v>
      </c>
      <c r="B4752" s="28">
        <v>46016</v>
      </c>
      <c r="C4752" s="25">
        <v>2140</v>
      </c>
      <c r="D4752" s="13" t="s">
        <v>2970</v>
      </c>
      <c r="E4752" s="111"/>
      <c r="F4752" s="113" t="s">
        <v>14146</v>
      </c>
      <c r="G4752" s="114"/>
      <c r="H4752" s="115"/>
      <c r="I4752" s="24"/>
      <c r="J4752" s="116">
        <v>4</v>
      </c>
      <c r="K4752" s="118">
        <v>984000</v>
      </c>
      <c r="L4752" s="119"/>
      <c r="M4752" s="118">
        <f t="shared" ref="M4752" si="5462">K4752*0.1</f>
        <v>98400</v>
      </c>
      <c r="N4752" s="119"/>
      <c r="O4752" s="118">
        <v>0</v>
      </c>
      <c r="P4752" s="119"/>
      <c r="Q4752" s="118">
        <v>6830</v>
      </c>
      <c r="R4752" s="119"/>
      <c r="S4752" s="118">
        <v>14300</v>
      </c>
      <c r="T4752" s="119"/>
      <c r="U4752" s="118">
        <f t="shared" ref="U4752" si="5463">SUM(K4752:T4753)</f>
        <v>1103530</v>
      </c>
      <c r="V4752" s="122"/>
      <c r="W4752" s="124"/>
      <c r="X4752" s="126" t="s">
        <v>14705</v>
      </c>
      <c r="Y4752" s="127"/>
      <c r="Z4752" s="127"/>
      <c r="AA4752" s="127"/>
      <c r="AB4752" s="128"/>
      <c r="AC4752" s="15" t="s">
        <v>20</v>
      </c>
      <c r="AD4752" s="129" t="s">
        <v>171</v>
      </c>
      <c r="AE4752" s="130"/>
      <c r="AF4752" s="130"/>
      <c r="AG4752" s="130"/>
      <c r="AH4752" s="130"/>
      <c r="AI4752" s="131"/>
      <c r="AJ4752" s="132"/>
      <c r="AK4752" s="127"/>
      <c r="AL4752" s="128"/>
      <c r="AM4752" s="21"/>
      <c r="AN4752" s="133">
        <v>46032</v>
      </c>
      <c r="AO4752" s="134"/>
      <c r="AP4752" s="135">
        <v>1283</v>
      </c>
      <c r="AQ4752" s="136"/>
      <c r="AR4752" s="118">
        <v>1055000</v>
      </c>
      <c r="AS4752" s="119"/>
      <c r="AT4752" s="118">
        <f t="shared" ref="AT4752" si="5464">AR4752*0.1</f>
        <v>105500</v>
      </c>
      <c r="AU4752" s="119"/>
      <c r="AV4752" s="118">
        <v>6830</v>
      </c>
      <c r="AW4752" s="119"/>
      <c r="AX4752" s="118">
        <f t="shared" ref="AX4752" si="5465">SUM(AR4752:AW4752)</f>
        <v>1167330</v>
      </c>
      <c r="AY4752" s="119"/>
      <c r="AZ4752" s="137">
        <v>46036</v>
      </c>
    </row>
    <row r="4753" spans="1:52" ht="17.100000000000001" customHeight="1" thickBot="1">
      <c r="A4753" s="152"/>
      <c r="B4753" s="27" t="s">
        <v>3281</v>
      </c>
      <c r="C4753" s="27">
        <v>2546</v>
      </c>
      <c r="D4753" s="14" t="s">
        <v>904</v>
      </c>
      <c r="E4753" s="112"/>
      <c r="F4753" s="139" t="s">
        <v>14147</v>
      </c>
      <c r="G4753" s="140"/>
      <c r="H4753" s="141"/>
      <c r="I4753" s="26">
        <v>23515</v>
      </c>
      <c r="J4753" s="117"/>
      <c r="K4753" s="120"/>
      <c r="L4753" s="121"/>
      <c r="M4753" s="120"/>
      <c r="N4753" s="121"/>
      <c r="O4753" s="120"/>
      <c r="P4753" s="121"/>
      <c r="Q4753" s="120"/>
      <c r="R4753" s="121"/>
      <c r="S4753" s="120"/>
      <c r="T4753" s="121"/>
      <c r="U4753" s="120"/>
      <c r="V4753" s="123"/>
      <c r="W4753" s="125"/>
      <c r="X4753" s="142" t="s">
        <v>4300</v>
      </c>
      <c r="Y4753" s="143"/>
      <c r="Z4753" s="143"/>
      <c r="AA4753" s="143"/>
      <c r="AB4753" s="144"/>
      <c r="AC4753" s="16" t="s">
        <v>21</v>
      </c>
      <c r="AD4753" s="17" t="s">
        <v>2949</v>
      </c>
      <c r="AE4753" s="145" t="s">
        <v>1670</v>
      </c>
      <c r="AF4753" s="146"/>
      <c r="AG4753" s="146"/>
      <c r="AH4753" s="146"/>
      <c r="AI4753" s="147"/>
      <c r="AJ4753" s="148"/>
      <c r="AK4753" s="143"/>
      <c r="AL4753" s="144"/>
      <c r="AM4753" s="22"/>
      <c r="AN4753" s="149" t="s">
        <v>2511</v>
      </c>
      <c r="AO4753" s="144"/>
      <c r="AP4753" s="148">
        <v>60050</v>
      </c>
      <c r="AQ4753" s="144"/>
      <c r="AR4753" s="120"/>
      <c r="AS4753" s="121"/>
      <c r="AT4753" s="120"/>
      <c r="AU4753" s="121"/>
      <c r="AV4753" s="120"/>
      <c r="AW4753" s="121"/>
      <c r="AX4753" s="120"/>
      <c r="AY4753" s="121"/>
      <c r="AZ4753" s="138"/>
    </row>
    <row r="4754" spans="1:52" ht="17.100000000000001" customHeight="1" thickTop="1">
      <c r="A4754" s="151" t="s">
        <v>14209</v>
      </c>
      <c r="B4754" s="28">
        <v>46016</v>
      </c>
      <c r="C4754" s="25">
        <v>2140</v>
      </c>
      <c r="D4754" s="13" t="s">
        <v>2689</v>
      </c>
      <c r="E4754" s="111"/>
      <c r="F4754" s="113" t="s">
        <v>2719</v>
      </c>
      <c r="G4754" s="114"/>
      <c r="H4754" s="115"/>
      <c r="I4754" s="24" t="s">
        <v>5662</v>
      </c>
      <c r="J4754" s="116">
        <v>5</v>
      </c>
      <c r="K4754" s="118">
        <v>1008000</v>
      </c>
      <c r="L4754" s="119"/>
      <c r="M4754" s="118">
        <f t="shared" ref="M4754" si="5466">K4754*0.1</f>
        <v>100800</v>
      </c>
      <c r="N4754" s="119"/>
      <c r="O4754" s="118">
        <v>0</v>
      </c>
      <c r="P4754" s="119"/>
      <c r="Q4754" s="118">
        <v>8550</v>
      </c>
      <c r="R4754" s="119"/>
      <c r="S4754" s="118">
        <v>14300</v>
      </c>
      <c r="T4754" s="119"/>
      <c r="U4754" s="118">
        <f t="shared" ref="U4754" si="5467">SUM(K4754:T4755)</f>
        <v>1131650</v>
      </c>
      <c r="V4754" s="122"/>
      <c r="W4754" s="124"/>
      <c r="X4754" s="126" t="s">
        <v>14706</v>
      </c>
      <c r="Y4754" s="127"/>
      <c r="Z4754" s="127"/>
      <c r="AA4754" s="127"/>
      <c r="AB4754" s="128"/>
      <c r="AC4754" s="15" t="s">
        <v>20</v>
      </c>
      <c r="AD4754" s="129" t="s">
        <v>1670</v>
      </c>
      <c r="AE4754" s="130"/>
      <c r="AF4754" s="130"/>
      <c r="AG4754" s="130"/>
      <c r="AH4754" s="130"/>
      <c r="AI4754" s="131"/>
      <c r="AJ4754" s="132"/>
      <c r="AK4754" s="127"/>
      <c r="AL4754" s="128"/>
      <c r="AM4754" s="21" t="s">
        <v>14880</v>
      </c>
      <c r="AN4754" s="133">
        <v>46032</v>
      </c>
      <c r="AO4754" s="134"/>
      <c r="AP4754" s="135">
        <v>1283</v>
      </c>
      <c r="AQ4754" s="136"/>
      <c r="AR4754" s="118">
        <v>1085000</v>
      </c>
      <c r="AS4754" s="119"/>
      <c r="AT4754" s="118">
        <f t="shared" ref="AT4754" si="5468">AR4754*0.1</f>
        <v>108500</v>
      </c>
      <c r="AU4754" s="119"/>
      <c r="AV4754" s="118">
        <v>8550</v>
      </c>
      <c r="AW4754" s="119"/>
      <c r="AX4754" s="118">
        <f t="shared" ref="AX4754" si="5469">SUM(AR4754:AW4754)</f>
        <v>1202050</v>
      </c>
      <c r="AY4754" s="119"/>
      <c r="AZ4754" s="137">
        <v>46037</v>
      </c>
    </row>
    <row r="4755" spans="1:52" ht="17.100000000000001" customHeight="1" thickBot="1">
      <c r="A4755" s="152"/>
      <c r="B4755" s="27" t="s">
        <v>3281</v>
      </c>
      <c r="C4755" s="27">
        <v>2552</v>
      </c>
      <c r="D4755" s="14" t="s">
        <v>1576</v>
      </c>
      <c r="E4755" s="112"/>
      <c r="F4755" s="139" t="s">
        <v>14148</v>
      </c>
      <c r="G4755" s="140"/>
      <c r="H4755" s="141"/>
      <c r="I4755" s="26">
        <v>12523</v>
      </c>
      <c r="J4755" s="117"/>
      <c r="K4755" s="120"/>
      <c r="L4755" s="121"/>
      <c r="M4755" s="120"/>
      <c r="N4755" s="121"/>
      <c r="O4755" s="120"/>
      <c r="P4755" s="121"/>
      <c r="Q4755" s="120"/>
      <c r="R4755" s="121"/>
      <c r="S4755" s="120"/>
      <c r="T4755" s="121"/>
      <c r="U4755" s="120"/>
      <c r="V4755" s="123"/>
      <c r="W4755" s="125"/>
      <c r="X4755" s="142" t="s">
        <v>14707</v>
      </c>
      <c r="Y4755" s="143"/>
      <c r="Z4755" s="143"/>
      <c r="AA4755" s="143"/>
      <c r="AB4755" s="144"/>
      <c r="AC4755" s="16" t="s">
        <v>21</v>
      </c>
      <c r="AD4755" s="17" t="s">
        <v>2949</v>
      </c>
      <c r="AE4755" s="145" t="s">
        <v>2395</v>
      </c>
      <c r="AF4755" s="146"/>
      <c r="AG4755" s="146"/>
      <c r="AH4755" s="146"/>
      <c r="AI4755" s="147"/>
      <c r="AJ4755" s="148"/>
      <c r="AK4755" s="143"/>
      <c r="AL4755" s="144"/>
      <c r="AM4755" s="22"/>
      <c r="AN4755" s="149" t="s">
        <v>2511</v>
      </c>
      <c r="AO4755" s="144"/>
      <c r="AP4755" s="148">
        <v>60250</v>
      </c>
      <c r="AQ4755" s="144"/>
      <c r="AR4755" s="120"/>
      <c r="AS4755" s="121"/>
      <c r="AT4755" s="120"/>
      <c r="AU4755" s="121"/>
      <c r="AV4755" s="120"/>
      <c r="AW4755" s="121"/>
      <c r="AX4755" s="120"/>
      <c r="AY4755" s="121"/>
      <c r="AZ4755" s="138"/>
    </row>
    <row r="4756" spans="1:52" ht="17.100000000000001" customHeight="1" thickTop="1">
      <c r="A4756" s="109" t="s">
        <v>14257</v>
      </c>
      <c r="B4756" s="28">
        <v>46017</v>
      </c>
      <c r="C4756" s="25">
        <v>272</v>
      </c>
      <c r="D4756" s="13" t="s">
        <v>1027</v>
      </c>
      <c r="E4756" s="111"/>
      <c r="F4756" s="113" t="s">
        <v>14313</v>
      </c>
      <c r="G4756" s="114"/>
      <c r="H4756" s="115"/>
      <c r="I4756" s="24"/>
      <c r="J4756" s="116">
        <v>4.5</v>
      </c>
      <c r="K4756" s="118">
        <v>315000</v>
      </c>
      <c r="L4756" s="119"/>
      <c r="M4756" s="118">
        <f t="shared" ref="M4756" si="5470">K4756*0.1</f>
        <v>31500</v>
      </c>
      <c r="N4756" s="119"/>
      <c r="O4756" s="118">
        <v>0</v>
      </c>
      <c r="P4756" s="119"/>
      <c r="Q4756" s="118">
        <v>8490</v>
      </c>
      <c r="R4756" s="119"/>
      <c r="S4756" s="118">
        <v>22000</v>
      </c>
      <c r="T4756" s="119"/>
      <c r="U4756" s="118">
        <f t="shared" ref="U4756" si="5471">SUM(K4756:T4757)</f>
        <v>376990</v>
      </c>
      <c r="V4756" s="122"/>
      <c r="W4756" s="124"/>
      <c r="X4756" s="126" t="s">
        <v>14502</v>
      </c>
      <c r="Y4756" s="127"/>
      <c r="Z4756" s="127"/>
      <c r="AA4756" s="127"/>
      <c r="AB4756" s="128"/>
      <c r="AC4756" s="15" t="s">
        <v>20</v>
      </c>
      <c r="AD4756" s="129" t="s">
        <v>171</v>
      </c>
      <c r="AE4756" s="130"/>
      <c r="AF4756" s="130"/>
      <c r="AG4756" s="130"/>
      <c r="AH4756" s="130"/>
      <c r="AI4756" s="131"/>
      <c r="AJ4756" s="132"/>
      <c r="AK4756" s="127"/>
      <c r="AL4756" s="128"/>
      <c r="AM4756" s="21"/>
      <c r="AN4756" s="133">
        <v>46029</v>
      </c>
      <c r="AO4756" s="134"/>
      <c r="AP4756" s="135">
        <v>999</v>
      </c>
      <c r="AQ4756" s="136"/>
      <c r="AR4756" s="118">
        <v>370000</v>
      </c>
      <c r="AS4756" s="119"/>
      <c r="AT4756" s="118">
        <f t="shared" ref="AT4756" si="5472">AR4756*0.1</f>
        <v>37000</v>
      </c>
      <c r="AU4756" s="119"/>
      <c r="AV4756" s="118">
        <v>8490</v>
      </c>
      <c r="AW4756" s="119"/>
      <c r="AX4756" s="118">
        <f t="shared" ref="AX4756" si="5473">SUM(AR4756:AW4756)</f>
        <v>415490</v>
      </c>
      <c r="AY4756" s="119"/>
      <c r="AZ4756" s="137">
        <v>46035</v>
      </c>
    </row>
    <row r="4757" spans="1:52" ht="17.100000000000001" customHeight="1" thickBot="1">
      <c r="A4757" s="110"/>
      <c r="B4757" s="27" t="s">
        <v>3957</v>
      </c>
      <c r="C4757" s="27">
        <v>17</v>
      </c>
      <c r="D4757" s="14" t="s">
        <v>275</v>
      </c>
      <c r="E4757" s="112"/>
      <c r="F4757" s="139" t="s">
        <v>14273</v>
      </c>
      <c r="G4757" s="140"/>
      <c r="H4757" s="141"/>
      <c r="I4757" s="26">
        <v>58250</v>
      </c>
      <c r="J4757" s="117"/>
      <c r="K4757" s="120"/>
      <c r="L4757" s="121"/>
      <c r="M4757" s="120"/>
      <c r="N4757" s="121"/>
      <c r="O4757" s="120"/>
      <c r="P4757" s="121"/>
      <c r="Q4757" s="120"/>
      <c r="R4757" s="121"/>
      <c r="S4757" s="120"/>
      <c r="T4757" s="121"/>
      <c r="U4757" s="120"/>
      <c r="V4757" s="123"/>
      <c r="W4757" s="125"/>
      <c r="X4757" s="142" t="s">
        <v>5052</v>
      </c>
      <c r="Y4757" s="143"/>
      <c r="Z4757" s="143"/>
      <c r="AA4757" s="143"/>
      <c r="AB4757" s="144"/>
      <c r="AC4757" s="16" t="s">
        <v>21</v>
      </c>
      <c r="AD4757" s="17" t="s">
        <v>1977</v>
      </c>
      <c r="AE4757" s="145" t="s">
        <v>171</v>
      </c>
      <c r="AF4757" s="146"/>
      <c r="AG4757" s="146"/>
      <c r="AH4757" s="146"/>
      <c r="AI4757" s="147"/>
      <c r="AJ4757" s="148"/>
      <c r="AK4757" s="143"/>
      <c r="AL4757" s="144"/>
      <c r="AM4757" s="22"/>
      <c r="AN4757" s="149" t="s">
        <v>2794</v>
      </c>
      <c r="AO4757" s="144"/>
      <c r="AP4757" s="148">
        <v>2064</v>
      </c>
      <c r="AQ4757" s="144"/>
      <c r="AR4757" s="120"/>
      <c r="AS4757" s="121"/>
      <c r="AT4757" s="120"/>
      <c r="AU4757" s="121"/>
      <c r="AV4757" s="120"/>
      <c r="AW4757" s="121"/>
      <c r="AX4757" s="120"/>
      <c r="AY4757" s="121"/>
      <c r="AZ4757" s="138"/>
    </row>
    <row r="4758" spans="1:52" ht="17.100000000000001" customHeight="1" thickTop="1">
      <c r="A4758" s="109" t="s">
        <v>14258</v>
      </c>
      <c r="B4758" s="28">
        <v>46017</v>
      </c>
      <c r="C4758" s="25">
        <v>272</v>
      </c>
      <c r="D4758" s="13" t="s">
        <v>4609</v>
      </c>
      <c r="E4758" s="111"/>
      <c r="F4758" s="113" t="s">
        <v>7076</v>
      </c>
      <c r="G4758" s="114"/>
      <c r="H4758" s="115"/>
      <c r="I4758" s="24" t="s">
        <v>3399</v>
      </c>
      <c r="J4758" s="116">
        <v>3.5</v>
      </c>
      <c r="K4758" s="118">
        <v>407000</v>
      </c>
      <c r="L4758" s="119"/>
      <c r="M4758" s="118">
        <f t="shared" ref="M4758" si="5474">K4758*0.1</f>
        <v>40700</v>
      </c>
      <c r="N4758" s="119"/>
      <c r="O4758" s="118">
        <v>0</v>
      </c>
      <c r="P4758" s="119"/>
      <c r="Q4758" s="118">
        <v>9910</v>
      </c>
      <c r="R4758" s="119"/>
      <c r="S4758" s="118">
        <v>22000</v>
      </c>
      <c r="T4758" s="119"/>
      <c r="U4758" s="118">
        <f t="shared" ref="U4758" si="5475">SUM(K4758:T4759)</f>
        <v>479610</v>
      </c>
      <c r="V4758" s="122"/>
      <c r="W4758" s="124"/>
      <c r="X4758" s="126" t="s">
        <v>14314</v>
      </c>
      <c r="Y4758" s="127"/>
      <c r="Z4758" s="127"/>
      <c r="AA4758" s="127"/>
      <c r="AB4758" s="128"/>
      <c r="AC4758" s="15" t="s">
        <v>20</v>
      </c>
      <c r="AD4758" s="129" t="s">
        <v>1670</v>
      </c>
      <c r="AE4758" s="130"/>
      <c r="AF4758" s="130"/>
      <c r="AG4758" s="130"/>
      <c r="AH4758" s="130"/>
      <c r="AI4758" s="131"/>
      <c r="AJ4758" s="132"/>
      <c r="AK4758" s="127"/>
      <c r="AL4758" s="128"/>
      <c r="AM4758" s="21"/>
      <c r="AN4758" s="133">
        <v>46043</v>
      </c>
      <c r="AO4758" s="134"/>
      <c r="AP4758" s="135">
        <v>1001</v>
      </c>
      <c r="AQ4758" s="136"/>
      <c r="AR4758" s="118">
        <v>560000</v>
      </c>
      <c r="AS4758" s="119"/>
      <c r="AT4758" s="118">
        <f t="shared" ref="AT4758" si="5476">AR4758*0.1</f>
        <v>56000</v>
      </c>
      <c r="AU4758" s="119"/>
      <c r="AV4758" s="118">
        <v>9910</v>
      </c>
      <c r="AW4758" s="119"/>
      <c r="AX4758" s="118">
        <f t="shared" ref="AX4758" si="5477">SUM(AR4758:AW4758)</f>
        <v>625910</v>
      </c>
      <c r="AY4758" s="119"/>
      <c r="AZ4758" s="137">
        <v>46048</v>
      </c>
    </row>
    <row r="4759" spans="1:52" ht="17.100000000000001" customHeight="1" thickBot="1">
      <c r="A4759" s="110"/>
      <c r="B4759" s="27" t="s">
        <v>3957</v>
      </c>
      <c r="C4759" s="27">
        <v>84</v>
      </c>
      <c r="D4759" s="14" t="s">
        <v>2040</v>
      </c>
      <c r="E4759" s="112"/>
      <c r="F4759" s="139" t="s">
        <v>14274</v>
      </c>
      <c r="G4759" s="140"/>
      <c r="H4759" s="141"/>
      <c r="I4759" s="26">
        <v>61971</v>
      </c>
      <c r="J4759" s="117"/>
      <c r="K4759" s="120"/>
      <c r="L4759" s="121"/>
      <c r="M4759" s="120"/>
      <c r="N4759" s="121"/>
      <c r="O4759" s="120"/>
      <c r="P4759" s="121"/>
      <c r="Q4759" s="120"/>
      <c r="R4759" s="121"/>
      <c r="S4759" s="120"/>
      <c r="T4759" s="121"/>
      <c r="U4759" s="120"/>
      <c r="V4759" s="123"/>
      <c r="W4759" s="125"/>
      <c r="X4759" s="142" t="s">
        <v>14503</v>
      </c>
      <c r="Y4759" s="143"/>
      <c r="Z4759" s="143"/>
      <c r="AA4759" s="143"/>
      <c r="AB4759" s="144"/>
      <c r="AC4759" s="16" t="s">
        <v>21</v>
      </c>
      <c r="AD4759" s="17" t="s">
        <v>1977</v>
      </c>
      <c r="AE4759" s="145" t="s">
        <v>2395</v>
      </c>
      <c r="AF4759" s="146"/>
      <c r="AG4759" s="146"/>
      <c r="AH4759" s="146"/>
      <c r="AI4759" s="147"/>
      <c r="AJ4759" s="148"/>
      <c r="AK4759" s="143"/>
      <c r="AL4759" s="144"/>
      <c r="AM4759" s="22"/>
      <c r="AN4759" s="149" t="s">
        <v>2794</v>
      </c>
      <c r="AO4759" s="144"/>
      <c r="AP4759" s="148">
        <v>2048</v>
      </c>
      <c r="AQ4759" s="144"/>
      <c r="AR4759" s="120"/>
      <c r="AS4759" s="121"/>
      <c r="AT4759" s="120"/>
      <c r="AU4759" s="121"/>
      <c r="AV4759" s="120"/>
      <c r="AW4759" s="121"/>
      <c r="AX4759" s="120"/>
      <c r="AY4759" s="121"/>
      <c r="AZ4759" s="138"/>
    </row>
    <row r="4760" spans="1:52" ht="17.100000000000001" customHeight="1" thickTop="1">
      <c r="A4760" s="109" t="s">
        <v>14259</v>
      </c>
      <c r="B4760" s="28">
        <v>46017</v>
      </c>
      <c r="C4760" s="25">
        <v>272</v>
      </c>
      <c r="D4760" s="13" t="s">
        <v>2340</v>
      </c>
      <c r="E4760" s="111"/>
      <c r="F4760" s="113" t="s">
        <v>14315</v>
      </c>
      <c r="G4760" s="114"/>
      <c r="H4760" s="115"/>
      <c r="I4760" s="24"/>
      <c r="J4760" s="116">
        <v>4</v>
      </c>
      <c r="K4760" s="118">
        <v>714000</v>
      </c>
      <c r="L4760" s="119"/>
      <c r="M4760" s="118">
        <f t="shared" ref="M4760" si="5478">K4760*0.1</f>
        <v>71400</v>
      </c>
      <c r="N4760" s="119"/>
      <c r="O4760" s="118">
        <v>0</v>
      </c>
      <c r="P4760" s="119"/>
      <c r="Q4760" s="118">
        <v>10010</v>
      </c>
      <c r="R4760" s="119"/>
      <c r="S4760" s="118">
        <v>22000</v>
      </c>
      <c r="T4760" s="119"/>
      <c r="U4760" s="118">
        <f t="shared" ref="U4760" si="5479">SUM(K4760:T4761)</f>
        <v>817410</v>
      </c>
      <c r="V4760" s="122"/>
      <c r="W4760" s="124"/>
      <c r="X4760" s="126" t="s">
        <v>14504</v>
      </c>
      <c r="Y4760" s="127"/>
      <c r="Z4760" s="127"/>
      <c r="AA4760" s="127"/>
      <c r="AB4760" s="128"/>
      <c r="AC4760" s="15" t="s">
        <v>20</v>
      </c>
      <c r="AD4760" s="129"/>
      <c r="AE4760" s="130"/>
      <c r="AF4760" s="130"/>
      <c r="AG4760" s="130"/>
      <c r="AH4760" s="130"/>
      <c r="AI4760" s="131"/>
      <c r="AJ4760" s="132"/>
      <c r="AK4760" s="127"/>
      <c r="AL4760" s="128"/>
      <c r="AM4760" s="21"/>
      <c r="AN4760" s="133">
        <v>46057</v>
      </c>
      <c r="AO4760" s="134"/>
      <c r="AP4760" s="135">
        <v>1003</v>
      </c>
      <c r="AQ4760" s="136"/>
      <c r="AR4760" s="118">
        <v>850000</v>
      </c>
      <c r="AS4760" s="119"/>
      <c r="AT4760" s="118">
        <f t="shared" ref="AT4760" si="5480">AR4760*0.1</f>
        <v>85000</v>
      </c>
      <c r="AU4760" s="119"/>
      <c r="AV4760" s="118">
        <v>10010</v>
      </c>
      <c r="AW4760" s="119"/>
      <c r="AX4760" s="118">
        <f t="shared" ref="AX4760" si="5481">SUM(AR4760:AW4760)</f>
        <v>945010</v>
      </c>
      <c r="AY4760" s="119"/>
      <c r="AZ4760" s="137">
        <v>46065</v>
      </c>
    </row>
    <row r="4761" spans="1:52" ht="17.100000000000001" customHeight="1" thickBot="1">
      <c r="A4761" s="110"/>
      <c r="B4761" s="27" t="s">
        <v>3957</v>
      </c>
      <c r="C4761" s="27">
        <v>86</v>
      </c>
      <c r="D4761" s="14" t="s">
        <v>275</v>
      </c>
      <c r="E4761" s="112"/>
      <c r="F4761" s="139" t="s">
        <v>14275</v>
      </c>
      <c r="G4761" s="140"/>
      <c r="H4761" s="141"/>
      <c r="I4761" s="26">
        <v>7711</v>
      </c>
      <c r="J4761" s="117"/>
      <c r="K4761" s="120"/>
      <c r="L4761" s="121"/>
      <c r="M4761" s="120"/>
      <c r="N4761" s="121"/>
      <c r="O4761" s="120"/>
      <c r="P4761" s="121"/>
      <c r="Q4761" s="120"/>
      <c r="R4761" s="121"/>
      <c r="S4761" s="120"/>
      <c r="T4761" s="121"/>
      <c r="U4761" s="120"/>
      <c r="V4761" s="123"/>
      <c r="W4761" s="125"/>
      <c r="X4761" s="142" t="s">
        <v>14505</v>
      </c>
      <c r="Y4761" s="143"/>
      <c r="Z4761" s="143"/>
      <c r="AA4761" s="143"/>
      <c r="AB4761" s="144"/>
      <c r="AC4761" s="16" t="s">
        <v>21</v>
      </c>
      <c r="AD4761" s="17" t="s">
        <v>1977</v>
      </c>
      <c r="AE4761" s="145"/>
      <c r="AF4761" s="146"/>
      <c r="AG4761" s="146"/>
      <c r="AH4761" s="146"/>
      <c r="AI4761" s="147"/>
      <c r="AJ4761" s="148"/>
      <c r="AK4761" s="143"/>
      <c r="AL4761" s="144"/>
      <c r="AM4761" s="22"/>
      <c r="AN4761" s="149" t="s">
        <v>8809</v>
      </c>
      <c r="AO4761" s="144"/>
      <c r="AP4761" s="148">
        <v>2041</v>
      </c>
      <c r="AQ4761" s="144"/>
      <c r="AR4761" s="120"/>
      <c r="AS4761" s="121"/>
      <c r="AT4761" s="120"/>
      <c r="AU4761" s="121"/>
      <c r="AV4761" s="120"/>
      <c r="AW4761" s="121"/>
      <c r="AX4761" s="120"/>
      <c r="AY4761" s="121"/>
      <c r="AZ4761" s="138"/>
    </row>
    <row r="4762" spans="1:52" ht="17.100000000000001" customHeight="1" thickTop="1">
      <c r="A4762" s="109" t="s">
        <v>14260</v>
      </c>
      <c r="B4762" s="28">
        <v>46017</v>
      </c>
      <c r="C4762" s="25">
        <v>272</v>
      </c>
      <c r="D4762" s="13" t="s">
        <v>2415</v>
      </c>
      <c r="E4762" s="111"/>
      <c r="F4762" s="113" t="s">
        <v>13711</v>
      </c>
      <c r="G4762" s="114"/>
      <c r="H4762" s="115"/>
      <c r="I4762" s="24" t="s">
        <v>2584</v>
      </c>
      <c r="J4762" s="116">
        <v>5</v>
      </c>
      <c r="K4762" s="118">
        <v>1617000</v>
      </c>
      <c r="L4762" s="119"/>
      <c r="M4762" s="118">
        <f t="shared" ref="M4762" si="5482">K4762*0.1</f>
        <v>161700</v>
      </c>
      <c r="N4762" s="119"/>
      <c r="O4762" s="118">
        <v>0</v>
      </c>
      <c r="P4762" s="119"/>
      <c r="Q4762" s="118">
        <v>7230</v>
      </c>
      <c r="R4762" s="119"/>
      <c r="S4762" s="118">
        <v>22000</v>
      </c>
      <c r="T4762" s="119"/>
      <c r="U4762" s="118">
        <f t="shared" ref="U4762" si="5483">SUM(K4762:T4763)</f>
        <v>1807930</v>
      </c>
      <c r="V4762" s="122"/>
      <c r="W4762" s="124"/>
      <c r="X4762" s="126" t="s">
        <v>14316</v>
      </c>
      <c r="Y4762" s="127"/>
      <c r="Z4762" s="127"/>
      <c r="AA4762" s="127"/>
      <c r="AB4762" s="128"/>
      <c r="AC4762" s="15" t="s">
        <v>20</v>
      </c>
      <c r="AD4762" s="129" t="s">
        <v>1670</v>
      </c>
      <c r="AE4762" s="130"/>
      <c r="AF4762" s="130"/>
      <c r="AG4762" s="130"/>
      <c r="AH4762" s="130"/>
      <c r="AI4762" s="131"/>
      <c r="AJ4762" s="132"/>
      <c r="AK4762" s="127"/>
      <c r="AL4762" s="128"/>
      <c r="AM4762" s="21" t="s">
        <v>15366</v>
      </c>
      <c r="AN4762" s="133">
        <v>46049</v>
      </c>
      <c r="AO4762" s="134"/>
      <c r="AP4762" s="135">
        <v>1926</v>
      </c>
      <c r="AQ4762" s="136"/>
      <c r="AR4762" s="118">
        <v>1684000</v>
      </c>
      <c r="AS4762" s="119"/>
      <c r="AT4762" s="118">
        <f t="shared" ref="AT4762" si="5484">AR4762*0.1</f>
        <v>168400</v>
      </c>
      <c r="AU4762" s="119"/>
      <c r="AV4762" s="118">
        <v>7230</v>
      </c>
      <c r="AW4762" s="119"/>
      <c r="AX4762" s="118">
        <f t="shared" ref="AX4762" si="5485">SUM(AR4762:AW4762)</f>
        <v>1859630</v>
      </c>
      <c r="AY4762" s="119"/>
      <c r="AZ4762" s="137"/>
    </row>
    <row r="4763" spans="1:52" ht="17.100000000000001" customHeight="1" thickBot="1">
      <c r="A4763" s="110"/>
      <c r="B4763" s="27" t="s">
        <v>3957</v>
      </c>
      <c r="C4763" s="27">
        <v>99</v>
      </c>
      <c r="D4763" s="14" t="s">
        <v>275</v>
      </c>
      <c r="E4763" s="112"/>
      <c r="F4763" s="139" t="s">
        <v>14276</v>
      </c>
      <c r="G4763" s="140"/>
      <c r="H4763" s="141"/>
      <c r="I4763" s="26">
        <v>25852</v>
      </c>
      <c r="J4763" s="117"/>
      <c r="K4763" s="120"/>
      <c r="L4763" s="121"/>
      <c r="M4763" s="120"/>
      <c r="N4763" s="121"/>
      <c r="O4763" s="120"/>
      <c r="P4763" s="121"/>
      <c r="Q4763" s="120"/>
      <c r="R4763" s="121"/>
      <c r="S4763" s="120"/>
      <c r="T4763" s="121"/>
      <c r="U4763" s="120"/>
      <c r="V4763" s="123"/>
      <c r="W4763" s="125"/>
      <c r="X4763" s="142" t="s">
        <v>14506</v>
      </c>
      <c r="Y4763" s="143"/>
      <c r="Z4763" s="143"/>
      <c r="AA4763" s="143"/>
      <c r="AB4763" s="144"/>
      <c r="AC4763" s="16" t="s">
        <v>21</v>
      </c>
      <c r="AD4763" s="17" t="s">
        <v>1977</v>
      </c>
      <c r="AE4763" s="145" t="s">
        <v>1670</v>
      </c>
      <c r="AF4763" s="146"/>
      <c r="AG4763" s="146"/>
      <c r="AH4763" s="146"/>
      <c r="AI4763" s="147"/>
      <c r="AJ4763" s="148"/>
      <c r="AK4763" s="143"/>
      <c r="AL4763" s="144"/>
      <c r="AM4763" s="22"/>
      <c r="AN4763" s="149" t="s">
        <v>2131</v>
      </c>
      <c r="AO4763" s="144"/>
      <c r="AP4763" s="148">
        <v>3017</v>
      </c>
      <c r="AQ4763" s="144"/>
      <c r="AR4763" s="120"/>
      <c r="AS4763" s="121"/>
      <c r="AT4763" s="120"/>
      <c r="AU4763" s="121"/>
      <c r="AV4763" s="120"/>
      <c r="AW4763" s="121"/>
      <c r="AX4763" s="120"/>
      <c r="AY4763" s="121"/>
      <c r="AZ4763" s="138"/>
    </row>
    <row r="4764" spans="1:52" ht="17.100000000000001" customHeight="1" thickTop="1">
      <c r="A4764" s="109" t="s">
        <v>14261</v>
      </c>
      <c r="B4764" s="28">
        <v>46017</v>
      </c>
      <c r="C4764" s="25">
        <v>272</v>
      </c>
      <c r="D4764" s="13" t="s">
        <v>4121</v>
      </c>
      <c r="E4764" s="111"/>
      <c r="F4764" s="113" t="s">
        <v>14025</v>
      </c>
      <c r="G4764" s="114"/>
      <c r="H4764" s="115"/>
      <c r="I4764" s="24"/>
      <c r="J4764" s="116">
        <v>4.5</v>
      </c>
      <c r="K4764" s="118">
        <v>915000</v>
      </c>
      <c r="L4764" s="119"/>
      <c r="M4764" s="118">
        <f t="shared" ref="M4764" si="5486">K4764*0.1</f>
        <v>91500</v>
      </c>
      <c r="N4764" s="119"/>
      <c r="O4764" s="118">
        <v>0</v>
      </c>
      <c r="P4764" s="119"/>
      <c r="Q4764" s="118">
        <v>8550</v>
      </c>
      <c r="R4764" s="119"/>
      <c r="S4764" s="118">
        <v>22000</v>
      </c>
      <c r="T4764" s="119"/>
      <c r="U4764" s="118">
        <f t="shared" ref="U4764" si="5487">SUM(K4764:T4765)</f>
        <v>1037050</v>
      </c>
      <c r="V4764" s="122"/>
      <c r="W4764" s="124"/>
      <c r="X4764" s="126" t="s">
        <v>14562</v>
      </c>
      <c r="Y4764" s="127"/>
      <c r="Z4764" s="127"/>
      <c r="AA4764" s="127"/>
      <c r="AB4764" s="128"/>
      <c r="AC4764" s="15" t="s">
        <v>20</v>
      </c>
      <c r="AD4764" s="129"/>
      <c r="AE4764" s="130"/>
      <c r="AF4764" s="130"/>
      <c r="AG4764" s="130"/>
      <c r="AH4764" s="130"/>
      <c r="AI4764" s="131"/>
      <c r="AJ4764" s="132"/>
      <c r="AK4764" s="127"/>
      <c r="AL4764" s="128"/>
      <c r="AM4764" s="21"/>
      <c r="AN4764" s="133">
        <v>46029</v>
      </c>
      <c r="AO4764" s="134"/>
      <c r="AP4764" s="135">
        <v>999</v>
      </c>
      <c r="AQ4764" s="136"/>
      <c r="AR4764" s="118">
        <v>1010000</v>
      </c>
      <c r="AS4764" s="119"/>
      <c r="AT4764" s="118">
        <f t="shared" ref="AT4764" si="5488">AR4764*0.1</f>
        <v>101000</v>
      </c>
      <c r="AU4764" s="119"/>
      <c r="AV4764" s="118">
        <v>8550</v>
      </c>
      <c r="AW4764" s="119"/>
      <c r="AX4764" s="118">
        <f t="shared" ref="AX4764" si="5489">SUM(AR4764:AW4764)</f>
        <v>1119550</v>
      </c>
      <c r="AY4764" s="119"/>
      <c r="AZ4764" s="137">
        <v>46035</v>
      </c>
    </row>
    <row r="4765" spans="1:52" ht="17.100000000000001" customHeight="1" thickBot="1">
      <c r="A4765" s="110"/>
      <c r="B4765" s="27" t="s">
        <v>3957</v>
      </c>
      <c r="C4765" s="27">
        <v>116</v>
      </c>
      <c r="D4765" s="14" t="s">
        <v>1812</v>
      </c>
      <c r="E4765" s="112"/>
      <c r="F4765" s="139" t="s">
        <v>14277</v>
      </c>
      <c r="G4765" s="140"/>
      <c r="H4765" s="141"/>
      <c r="I4765" s="26">
        <v>4104</v>
      </c>
      <c r="J4765" s="117"/>
      <c r="K4765" s="120"/>
      <c r="L4765" s="121"/>
      <c r="M4765" s="120"/>
      <c r="N4765" s="121"/>
      <c r="O4765" s="120"/>
      <c r="P4765" s="121"/>
      <c r="Q4765" s="120"/>
      <c r="R4765" s="121"/>
      <c r="S4765" s="120"/>
      <c r="T4765" s="121"/>
      <c r="U4765" s="120"/>
      <c r="V4765" s="123"/>
      <c r="W4765" s="125"/>
      <c r="X4765" s="142" t="s">
        <v>13172</v>
      </c>
      <c r="Y4765" s="143"/>
      <c r="Z4765" s="143"/>
      <c r="AA4765" s="143"/>
      <c r="AB4765" s="144"/>
      <c r="AC4765" s="16" t="s">
        <v>21</v>
      </c>
      <c r="AD4765" s="17" t="s">
        <v>3921</v>
      </c>
      <c r="AE4765" s="145"/>
      <c r="AF4765" s="146"/>
      <c r="AG4765" s="146"/>
      <c r="AH4765" s="146"/>
      <c r="AI4765" s="147"/>
      <c r="AJ4765" s="148"/>
      <c r="AK4765" s="143"/>
      <c r="AL4765" s="144"/>
      <c r="AM4765" s="22"/>
      <c r="AN4765" s="149" t="s">
        <v>2794</v>
      </c>
      <c r="AO4765" s="144"/>
      <c r="AP4765" s="148">
        <v>2060</v>
      </c>
      <c r="AQ4765" s="144"/>
      <c r="AR4765" s="120"/>
      <c r="AS4765" s="121"/>
      <c r="AT4765" s="120"/>
      <c r="AU4765" s="121"/>
      <c r="AV4765" s="120"/>
      <c r="AW4765" s="121"/>
      <c r="AX4765" s="120"/>
      <c r="AY4765" s="121"/>
      <c r="AZ4765" s="138"/>
    </row>
    <row r="4766" spans="1:52" ht="17.100000000000001" customHeight="1" thickTop="1">
      <c r="A4766" s="109" t="s">
        <v>14262</v>
      </c>
      <c r="B4766" s="28">
        <v>46017</v>
      </c>
      <c r="C4766" s="25">
        <v>272</v>
      </c>
      <c r="D4766" s="13" t="s">
        <v>1586</v>
      </c>
      <c r="E4766" s="111"/>
      <c r="F4766" s="113" t="s">
        <v>14315</v>
      </c>
      <c r="G4766" s="114"/>
      <c r="H4766" s="115"/>
      <c r="I4766" s="24" t="s">
        <v>2584</v>
      </c>
      <c r="J4766" s="116">
        <v>4</v>
      </c>
      <c r="K4766" s="118">
        <v>970000</v>
      </c>
      <c r="L4766" s="119"/>
      <c r="M4766" s="118">
        <f t="shared" ref="M4766" si="5490">K4766*0.1</f>
        <v>97000</v>
      </c>
      <c r="N4766" s="119"/>
      <c r="O4766" s="118">
        <v>0</v>
      </c>
      <c r="P4766" s="119"/>
      <c r="Q4766" s="118">
        <v>9080</v>
      </c>
      <c r="R4766" s="119"/>
      <c r="S4766" s="118">
        <v>22000</v>
      </c>
      <c r="T4766" s="119"/>
      <c r="U4766" s="118">
        <f t="shared" ref="U4766" si="5491">SUM(K4766:T4767)</f>
        <v>1098080</v>
      </c>
      <c r="V4766" s="122"/>
      <c r="W4766" s="124"/>
      <c r="X4766" s="126" t="s">
        <v>14317</v>
      </c>
      <c r="Y4766" s="127"/>
      <c r="Z4766" s="127"/>
      <c r="AA4766" s="127"/>
      <c r="AB4766" s="128"/>
      <c r="AC4766" s="15" t="s">
        <v>20</v>
      </c>
      <c r="AD4766" s="129"/>
      <c r="AE4766" s="130"/>
      <c r="AF4766" s="130"/>
      <c r="AG4766" s="130"/>
      <c r="AH4766" s="130"/>
      <c r="AI4766" s="131"/>
      <c r="AJ4766" s="132"/>
      <c r="AK4766" s="127"/>
      <c r="AL4766" s="128"/>
      <c r="AM4766" s="21" t="s">
        <v>14634</v>
      </c>
      <c r="AN4766" s="133">
        <v>46029</v>
      </c>
      <c r="AO4766" s="134"/>
      <c r="AP4766" s="135">
        <v>999</v>
      </c>
      <c r="AQ4766" s="136"/>
      <c r="AR4766" s="118">
        <v>1095000</v>
      </c>
      <c r="AS4766" s="119"/>
      <c r="AT4766" s="118">
        <v>109500</v>
      </c>
      <c r="AU4766" s="119"/>
      <c r="AV4766" s="118">
        <v>9080</v>
      </c>
      <c r="AW4766" s="119"/>
      <c r="AX4766" s="118">
        <f t="shared" ref="AX4766" si="5492">SUM(AR4766:AW4766)</f>
        <v>1213580</v>
      </c>
      <c r="AY4766" s="119"/>
      <c r="AZ4766" s="137">
        <v>46035</v>
      </c>
    </row>
    <row r="4767" spans="1:52" ht="17.100000000000001" customHeight="1" thickBot="1">
      <c r="A4767" s="110"/>
      <c r="B4767" s="27" t="s">
        <v>3957</v>
      </c>
      <c r="C4767" s="27">
        <v>119</v>
      </c>
      <c r="D4767" s="14" t="s">
        <v>2601</v>
      </c>
      <c r="E4767" s="112"/>
      <c r="F4767" s="139" t="s">
        <v>14278</v>
      </c>
      <c r="G4767" s="140"/>
      <c r="H4767" s="141"/>
      <c r="I4767" s="26">
        <v>58511</v>
      </c>
      <c r="J4767" s="117"/>
      <c r="K4767" s="120"/>
      <c r="L4767" s="121"/>
      <c r="M4767" s="120"/>
      <c r="N4767" s="121"/>
      <c r="O4767" s="120"/>
      <c r="P4767" s="121"/>
      <c r="Q4767" s="120"/>
      <c r="R4767" s="121"/>
      <c r="S4767" s="120"/>
      <c r="T4767" s="121"/>
      <c r="U4767" s="120"/>
      <c r="V4767" s="123"/>
      <c r="W4767" s="125"/>
      <c r="X4767" s="142" t="s">
        <v>14507</v>
      </c>
      <c r="Y4767" s="143"/>
      <c r="Z4767" s="143"/>
      <c r="AA4767" s="143"/>
      <c r="AB4767" s="144"/>
      <c r="AC4767" s="16" t="s">
        <v>21</v>
      </c>
      <c r="AD4767" s="17" t="s">
        <v>1977</v>
      </c>
      <c r="AE4767" s="145"/>
      <c r="AF4767" s="146"/>
      <c r="AG4767" s="146"/>
      <c r="AH4767" s="146"/>
      <c r="AI4767" s="147"/>
      <c r="AJ4767" s="148"/>
      <c r="AK4767" s="143"/>
      <c r="AL4767" s="144"/>
      <c r="AM4767" s="22"/>
      <c r="AN4767" s="149" t="s">
        <v>2794</v>
      </c>
      <c r="AO4767" s="144"/>
      <c r="AP4767" s="148">
        <v>2005</v>
      </c>
      <c r="AQ4767" s="144"/>
      <c r="AR4767" s="120"/>
      <c r="AS4767" s="121"/>
      <c r="AT4767" s="120"/>
      <c r="AU4767" s="121"/>
      <c r="AV4767" s="120"/>
      <c r="AW4767" s="121"/>
      <c r="AX4767" s="120"/>
      <c r="AY4767" s="121"/>
      <c r="AZ4767" s="138"/>
    </row>
    <row r="4768" spans="1:52" ht="17.100000000000001" customHeight="1" thickTop="1">
      <c r="A4768" s="109" t="s">
        <v>14263</v>
      </c>
      <c r="B4768" s="28">
        <v>46017</v>
      </c>
      <c r="C4768" s="25">
        <v>272</v>
      </c>
      <c r="D4768" s="13" t="s">
        <v>1958</v>
      </c>
      <c r="E4768" s="111"/>
      <c r="F4768" s="113" t="s">
        <v>2993</v>
      </c>
      <c r="G4768" s="114"/>
      <c r="H4768" s="115"/>
      <c r="I4768" s="24" t="s">
        <v>2584</v>
      </c>
      <c r="J4768" s="116">
        <v>4.5</v>
      </c>
      <c r="K4768" s="118">
        <v>649000</v>
      </c>
      <c r="L4768" s="119"/>
      <c r="M4768" s="118">
        <f t="shared" ref="M4768" si="5493">K4768*0.1</f>
        <v>64900</v>
      </c>
      <c r="N4768" s="119"/>
      <c r="O4768" s="118">
        <v>0</v>
      </c>
      <c r="P4768" s="119"/>
      <c r="Q4768" s="118">
        <v>8400</v>
      </c>
      <c r="R4768" s="119"/>
      <c r="S4768" s="118">
        <v>22000</v>
      </c>
      <c r="T4768" s="119"/>
      <c r="U4768" s="118">
        <f t="shared" ref="U4768" si="5494">SUM(K4768:T4769)</f>
        <v>744300</v>
      </c>
      <c r="V4768" s="122"/>
      <c r="W4768" s="124"/>
      <c r="X4768" s="126" t="s">
        <v>14508</v>
      </c>
      <c r="Y4768" s="127"/>
      <c r="Z4768" s="127"/>
      <c r="AA4768" s="127"/>
      <c r="AB4768" s="128"/>
      <c r="AC4768" s="15" t="s">
        <v>20</v>
      </c>
      <c r="AD4768" s="129"/>
      <c r="AE4768" s="130"/>
      <c r="AF4768" s="130"/>
      <c r="AG4768" s="130"/>
      <c r="AH4768" s="130"/>
      <c r="AI4768" s="131"/>
      <c r="AJ4768" s="132"/>
      <c r="AK4768" s="127"/>
      <c r="AL4768" s="128"/>
      <c r="AM4768" s="21" t="s">
        <v>15358</v>
      </c>
      <c r="AN4768" s="133">
        <v>46036</v>
      </c>
      <c r="AO4768" s="134"/>
      <c r="AP4768" s="135">
        <v>1000</v>
      </c>
      <c r="AQ4768" s="136"/>
      <c r="AR4768" s="118">
        <v>720000</v>
      </c>
      <c r="AS4768" s="119"/>
      <c r="AT4768" s="118">
        <f t="shared" ref="AT4768" si="5495">AR4768*0.1</f>
        <v>72000</v>
      </c>
      <c r="AU4768" s="119"/>
      <c r="AV4768" s="118">
        <v>8400</v>
      </c>
      <c r="AW4768" s="119"/>
      <c r="AX4768" s="118">
        <f t="shared" ref="AX4768" si="5496">SUM(AR4768:AW4768)</f>
        <v>800400</v>
      </c>
      <c r="AY4768" s="119"/>
      <c r="AZ4768" s="137">
        <v>46044</v>
      </c>
    </row>
    <row r="4769" spans="1:52" ht="17.100000000000001" customHeight="1" thickBot="1">
      <c r="A4769" s="110"/>
      <c r="B4769" s="27" t="s">
        <v>3957</v>
      </c>
      <c r="C4769" s="27">
        <v>122</v>
      </c>
      <c r="D4769" s="14" t="s">
        <v>904</v>
      </c>
      <c r="E4769" s="112"/>
      <c r="F4769" s="139" t="s">
        <v>14279</v>
      </c>
      <c r="G4769" s="140"/>
      <c r="H4769" s="141"/>
      <c r="I4769" s="26">
        <v>29613</v>
      </c>
      <c r="J4769" s="117"/>
      <c r="K4769" s="120"/>
      <c r="L4769" s="121"/>
      <c r="M4769" s="120"/>
      <c r="N4769" s="121"/>
      <c r="O4769" s="120"/>
      <c r="P4769" s="121"/>
      <c r="Q4769" s="120"/>
      <c r="R4769" s="121"/>
      <c r="S4769" s="120"/>
      <c r="T4769" s="121"/>
      <c r="U4769" s="120"/>
      <c r="V4769" s="123"/>
      <c r="W4769" s="125"/>
      <c r="X4769" s="142" t="s">
        <v>14509</v>
      </c>
      <c r="Y4769" s="143"/>
      <c r="Z4769" s="143"/>
      <c r="AA4769" s="143"/>
      <c r="AB4769" s="144"/>
      <c r="AC4769" s="16" t="s">
        <v>21</v>
      </c>
      <c r="AD4769" s="17" t="s">
        <v>1977</v>
      </c>
      <c r="AE4769" s="145"/>
      <c r="AF4769" s="146"/>
      <c r="AG4769" s="146"/>
      <c r="AH4769" s="146"/>
      <c r="AI4769" s="147"/>
      <c r="AJ4769" s="148"/>
      <c r="AK4769" s="143"/>
      <c r="AL4769" s="144"/>
      <c r="AM4769" s="22"/>
      <c r="AN4769" s="149" t="s">
        <v>8809</v>
      </c>
      <c r="AO4769" s="144"/>
      <c r="AP4769" s="148">
        <v>2043</v>
      </c>
      <c r="AQ4769" s="144"/>
      <c r="AR4769" s="120"/>
      <c r="AS4769" s="121"/>
      <c r="AT4769" s="120"/>
      <c r="AU4769" s="121"/>
      <c r="AV4769" s="120"/>
      <c r="AW4769" s="121"/>
      <c r="AX4769" s="120"/>
      <c r="AY4769" s="121"/>
      <c r="AZ4769" s="138"/>
    </row>
    <row r="4770" spans="1:52" ht="17.100000000000001" customHeight="1" thickTop="1">
      <c r="A4770" s="109" t="s">
        <v>14264</v>
      </c>
      <c r="B4770" s="28">
        <v>46017</v>
      </c>
      <c r="C4770" s="25">
        <v>272</v>
      </c>
      <c r="D4770" s="13" t="s">
        <v>2681</v>
      </c>
      <c r="E4770" s="111"/>
      <c r="F4770" s="113" t="s">
        <v>9226</v>
      </c>
      <c r="G4770" s="114"/>
      <c r="H4770" s="115"/>
      <c r="I4770" s="24" t="s">
        <v>2064</v>
      </c>
      <c r="J4770" s="116">
        <v>4.5</v>
      </c>
      <c r="K4770" s="118">
        <v>1125000</v>
      </c>
      <c r="L4770" s="119"/>
      <c r="M4770" s="118">
        <f t="shared" ref="M4770" si="5497">K4770*0.1</f>
        <v>112500</v>
      </c>
      <c r="N4770" s="119"/>
      <c r="O4770" s="118">
        <v>0</v>
      </c>
      <c r="P4770" s="119"/>
      <c r="Q4770" s="118">
        <v>8740</v>
      </c>
      <c r="R4770" s="119"/>
      <c r="S4770" s="118">
        <v>22000</v>
      </c>
      <c r="T4770" s="119"/>
      <c r="U4770" s="118">
        <f t="shared" ref="U4770" si="5498">SUM(K4770:T4771)</f>
        <v>1268240</v>
      </c>
      <c r="V4770" s="122"/>
      <c r="W4770" s="124"/>
      <c r="X4770" s="126" t="s">
        <v>14318</v>
      </c>
      <c r="Y4770" s="127"/>
      <c r="Z4770" s="127"/>
      <c r="AA4770" s="127"/>
      <c r="AB4770" s="128"/>
      <c r="AC4770" s="15" t="s">
        <v>20</v>
      </c>
      <c r="AD4770" s="129" t="s">
        <v>1633</v>
      </c>
      <c r="AE4770" s="130"/>
      <c r="AF4770" s="130"/>
      <c r="AG4770" s="130"/>
      <c r="AH4770" s="130"/>
      <c r="AI4770" s="131"/>
      <c r="AJ4770" s="132"/>
      <c r="AK4770" s="127"/>
      <c r="AL4770" s="128"/>
      <c r="AM4770" s="21" t="s">
        <v>14631</v>
      </c>
      <c r="AN4770" s="133">
        <v>46029</v>
      </c>
      <c r="AO4770" s="134"/>
      <c r="AP4770" s="135">
        <v>999</v>
      </c>
      <c r="AQ4770" s="136"/>
      <c r="AR4770" s="118">
        <v>1205000</v>
      </c>
      <c r="AS4770" s="119"/>
      <c r="AT4770" s="118">
        <f t="shared" ref="AT4770" si="5499">AR4770*0.1</f>
        <v>120500</v>
      </c>
      <c r="AU4770" s="119"/>
      <c r="AV4770" s="118">
        <v>8740</v>
      </c>
      <c r="AW4770" s="119"/>
      <c r="AX4770" s="118">
        <f t="shared" ref="AX4770" si="5500">SUM(AR4770:AW4770)</f>
        <v>1334240</v>
      </c>
      <c r="AY4770" s="119"/>
      <c r="AZ4770" s="137">
        <v>46035</v>
      </c>
    </row>
    <row r="4771" spans="1:52" ht="17.100000000000001" customHeight="1" thickBot="1">
      <c r="A4771" s="110"/>
      <c r="B4771" s="27" t="s">
        <v>3957</v>
      </c>
      <c r="C4771" s="27">
        <v>20098</v>
      </c>
      <c r="D4771" s="14" t="s">
        <v>1576</v>
      </c>
      <c r="E4771" s="112"/>
      <c r="F4771" s="139" t="s">
        <v>14280</v>
      </c>
      <c r="G4771" s="140"/>
      <c r="H4771" s="141"/>
      <c r="I4771" s="26">
        <v>27301</v>
      </c>
      <c r="J4771" s="117"/>
      <c r="K4771" s="120"/>
      <c r="L4771" s="121"/>
      <c r="M4771" s="120"/>
      <c r="N4771" s="121"/>
      <c r="O4771" s="120"/>
      <c r="P4771" s="121"/>
      <c r="Q4771" s="120"/>
      <c r="R4771" s="121"/>
      <c r="S4771" s="120"/>
      <c r="T4771" s="121"/>
      <c r="U4771" s="120"/>
      <c r="V4771" s="123"/>
      <c r="W4771" s="125"/>
      <c r="X4771" s="142" t="s">
        <v>14565</v>
      </c>
      <c r="Y4771" s="143"/>
      <c r="Z4771" s="143"/>
      <c r="AA4771" s="143"/>
      <c r="AB4771" s="144"/>
      <c r="AC4771" s="16" t="s">
        <v>21</v>
      </c>
      <c r="AD4771" s="17" t="s">
        <v>3921</v>
      </c>
      <c r="AE4771" s="145" t="s">
        <v>14566</v>
      </c>
      <c r="AF4771" s="146"/>
      <c r="AG4771" s="146"/>
      <c r="AH4771" s="146"/>
      <c r="AI4771" s="147"/>
      <c r="AJ4771" s="148"/>
      <c r="AK4771" s="143"/>
      <c r="AL4771" s="144"/>
      <c r="AM4771" s="22"/>
      <c r="AN4771" s="149" t="s">
        <v>2794</v>
      </c>
      <c r="AO4771" s="144"/>
      <c r="AP4771" s="148">
        <v>2062</v>
      </c>
      <c r="AQ4771" s="144"/>
      <c r="AR4771" s="120"/>
      <c r="AS4771" s="121"/>
      <c r="AT4771" s="120"/>
      <c r="AU4771" s="121"/>
      <c r="AV4771" s="120"/>
      <c r="AW4771" s="121"/>
      <c r="AX4771" s="120"/>
      <c r="AY4771" s="121"/>
      <c r="AZ4771" s="138"/>
    </row>
    <row r="4772" spans="1:52" ht="17.100000000000001" customHeight="1" thickTop="1">
      <c r="A4772" s="109" t="s">
        <v>14265</v>
      </c>
      <c r="B4772" s="28">
        <v>46017</v>
      </c>
      <c r="C4772" s="25">
        <v>1187</v>
      </c>
      <c r="D4772" s="13" t="s">
        <v>2681</v>
      </c>
      <c r="E4772" s="111"/>
      <c r="F4772" s="113" t="s">
        <v>14311</v>
      </c>
      <c r="G4772" s="114"/>
      <c r="H4772" s="115"/>
      <c r="I4772" s="24"/>
      <c r="J4772" s="116">
        <v>4.5</v>
      </c>
      <c r="K4772" s="118">
        <v>4420000</v>
      </c>
      <c r="L4772" s="119"/>
      <c r="M4772" s="118">
        <f t="shared" ref="M4772" si="5501">K4772*0.1</f>
        <v>442000</v>
      </c>
      <c r="N4772" s="119"/>
      <c r="O4772" s="118">
        <v>0</v>
      </c>
      <c r="P4772" s="119"/>
      <c r="Q4772" s="118">
        <v>22360</v>
      </c>
      <c r="R4772" s="119"/>
      <c r="S4772" s="118">
        <v>16500</v>
      </c>
      <c r="T4772" s="119"/>
      <c r="U4772" s="118">
        <f t="shared" ref="U4772" si="5502">SUM(K4772:T4773)</f>
        <v>4900860</v>
      </c>
      <c r="V4772" s="122"/>
      <c r="W4772" s="124"/>
      <c r="X4772" s="126" t="s">
        <v>14501</v>
      </c>
      <c r="Y4772" s="127"/>
      <c r="Z4772" s="127"/>
      <c r="AA4772" s="127"/>
      <c r="AB4772" s="128"/>
      <c r="AC4772" s="15" t="s">
        <v>20</v>
      </c>
      <c r="AD4772" s="129" t="s">
        <v>1633</v>
      </c>
      <c r="AE4772" s="130"/>
      <c r="AF4772" s="130"/>
      <c r="AG4772" s="130"/>
      <c r="AH4772" s="130"/>
      <c r="AI4772" s="131"/>
      <c r="AJ4772" s="132"/>
      <c r="AK4772" s="127"/>
      <c r="AL4772" s="128"/>
      <c r="AM4772" s="21"/>
      <c r="AN4772" s="133"/>
      <c r="AO4772" s="134"/>
      <c r="AP4772" s="135"/>
      <c r="AQ4772" s="136"/>
      <c r="AR4772" s="118"/>
      <c r="AS4772" s="119"/>
      <c r="AT4772" s="118">
        <f t="shared" ref="AT4772" si="5503">AR4772*0.1</f>
        <v>0</v>
      </c>
      <c r="AU4772" s="119"/>
      <c r="AV4772" s="118"/>
      <c r="AW4772" s="119"/>
      <c r="AX4772" s="118">
        <f t="shared" ref="AX4772" si="5504">SUM(AR4772:AW4772)</f>
        <v>0</v>
      </c>
      <c r="AY4772" s="119"/>
      <c r="AZ4772" s="137"/>
    </row>
    <row r="4773" spans="1:52" ht="17.100000000000001" customHeight="1" thickBot="1">
      <c r="A4773" s="110"/>
      <c r="B4773" s="27" t="s">
        <v>1828</v>
      </c>
      <c r="C4773" s="27">
        <v>88037</v>
      </c>
      <c r="D4773" s="14" t="s">
        <v>275</v>
      </c>
      <c r="E4773" s="112"/>
      <c r="F4773" s="139" t="s">
        <v>14312</v>
      </c>
      <c r="G4773" s="140"/>
      <c r="H4773" s="141"/>
      <c r="I4773" s="26">
        <v>25607</v>
      </c>
      <c r="J4773" s="117"/>
      <c r="K4773" s="120"/>
      <c r="L4773" s="121"/>
      <c r="M4773" s="120"/>
      <c r="N4773" s="121"/>
      <c r="O4773" s="120"/>
      <c r="P4773" s="121"/>
      <c r="Q4773" s="120"/>
      <c r="R4773" s="121"/>
      <c r="S4773" s="120"/>
      <c r="T4773" s="121"/>
      <c r="U4773" s="120"/>
      <c r="V4773" s="123"/>
      <c r="W4773" s="125"/>
      <c r="X4773" s="142" t="s">
        <v>3640</v>
      </c>
      <c r="Y4773" s="143"/>
      <c r="Z4773" s="143"/>
      <c r="AA4773" s="143"/>
      <c r="AB4773" s="144"/>
      <c r="AC4773" s="16" t="s">
        <v>21</v>
      </c>
      <c r="AD4773" s="17" t="s">
        <v>1977</v>
      </c>
      <c r="AE4773" s="145" t="s">
        <v>1742</v>
      </c>
      <c r="AF4773" s="146"/>
      <c r="AG4773" s="146"/>
      <c r="AH4773" s="146"/>
      <c r="AI4773" s="147"/>
      <c r="AJ4773" s="148"/>
      <c r="AK4773" s="143"/>
      <c r="AL4773" s="144"/>
      <c r="AM4773" s="22"/>
      <c r="AN4773" s="149"/>
      <c r="AO4773" s="144"/>
      <c r="AP4773" s="148"/>
      <c r="AQ4773" s="144"/>
      <c r="AR4773" s="120"/>
      <c r="AS4773" s="121"/>
      <c r="AT4773" s="120"/>
      <c r="AU4773" s="121"/>
      <c r="AV4773" s="120"/>
      <c r="AW4773" s="121"/>
      <c r="AX4773" s="120"/>
      <c r="AY4773" s="121"/>
      <c r="AZ4773" s="138"/>
    </row>
    <row r="4774" spans="1:52" ht="17.100000000000001" customHeight="1" thickTop="1">
      <c r="A4774" s="109" t="s">
        <v>14266</v>
      </c>
      <c r="B4774" s="28">
        <v>46017</v>
      </c>
      <c r="C4774" s="25">
        <v>1400</v>
      </c>
      <c r="D4774" s="13" t="s">
        <v>2914</v>
      </c>
      <c r="E4774" s="111"/>
      <c r="F4774" s="113" t="s">
        <v>14286</v>
      </c>
      <c r="G4774" s="114"/>
      <c r="H4774" s="115"/>
      <c r="I4774" s="24" t="s">
        <v>8647</v>
      </c>
      <c r="J4774" s="116">
        <v>4.5</v>
      </c>
      <c r="K4774" s="118">
        <v>1179000</v>
      </c>
      <c r="L4774" s="119"/>
      <c r="M4774" s="118">
        <f t="shared" ref="M4774" si="5505">K4774*0.1</f>
        <v>117900</v>
      </c>
      <c r="N4774" s="119"/>
      <c r="O4774" s="118">
        <f>8600+860</f>
        <v>9460</v>
      </c>
      <c r="P4774" s="119"/>
      <c r="Q4774" s="118">
        <v>9950</v>
      </c>
      <c r="R4774" s="119"/>
      <c r="S4774" s="118">
        <v>13200</v>
      </c>
      <c r="T4774" s="119"/>
      <c r="U4774" s="118">
        <f t="shared" ref="U4774" si="5506">SUM(K4774:T4775)</f>
        <v>1329510</v>
      </c>
      <c r="V4774" s="122"/>
      <c r="W4774" s="124"/>
      <c r="X4774" s="126" t="s">
        <v>14563</v>
      </c>
      <c r="Y4774" s="127"/>
      <c r="Z4774" s="127"/>
      <c r="AA4774" s="127"/>
      <c r="AB4774" s="128"/>
      <c r="AC4774" s="15" t="s">
        <v>20</v>
      </c>
      <c r="AD4774" s="129" t="s">
        <v>1732</v>
      </c>
      <c r="AE4774" s="130"/>
      <c r="AF4774" s="130"/>
      <c r="AG4774" s="130"/>
      <c r="AH4774" s="130"/>
      <c r="AI4774" s="131"/>
      <c r="AJ4774" s="132"/>
      <c r="AK4774" s="127"/>
      <c r="AL4774" s="128"/>
      <c r="AM4774" s="21"/>
      <c r="AN4774" s="133">
        <v>46029</v>
      </c>
      <c r="AO4774" s="134"/>
      <c r="AP4774" s="135">
        <v>999</v>
      </c>
      <c r="AQ4774" s="136"/>
      <c r="AR4774" s="118">
        <v>1240000</v>
      </c>
      <c r="AS4774" s="119"/>
      <c r="AT4774" s="118">
        <f t="shared" ref="AT4774" si="5507">AR4774*0.1</f>
        <v>124000</v>
      </c>
      <c r="AU4774" s="119"/>
      <c r="AV4774" s="118">
        <v>9950</v>
      </c>
      <c r="AW4774" s="119"/>
      <c r="AX4774" s="118">
        <f t="shared" ref="AX4774" si="5508">SUM(AR4774:AW4774)</f>
        <v>1373950</v>
      </c>
      <c r="AY4774" s="119"/>
      <c r="AZ4774" s="137">
        <v>46035</v>
      </c>
    </row>
    <row r="4775" spans="1:52" ht="17.100000000000001" customHeight="1" thickBot="1">
      <c r="A4775" s="110"/>
      <c r="B4775" s="27" t="s">
        <v>2641</v>
      </c>
      <c r="C4775" s="27">
        <v>3103</v>
      </c>
      <c r="D4775" s="14" t="s">
        <v>2836</v>
      </c>
      <c r="E4775" s="112"/>
      <c r="F4775" s="139" t="s">
        <v>14287</v>
      </c>
      <c r="G4775" s="140"/>
      <c r="H4775" s="141"/>
      <c r="I4775" s="26">
        <v>56202</v>
      </c>
      <c r="J4775" s="117"/>
      <c r="K4775" s="120"/>
      <c r="L4775" s="121"/>
      <c r="M4775" s="120"/>
      <c r="N4775" s="121"/>
      <c r="O4775" s="120"/>
      <c r="P4775" s="121"/>
      <c r="Q4775" s="120"/>
      <c r="R4775" s="121"/>
      <c r="S4775" s="120"/>
      <c r="T4775" s="121"/>
      <c r="U4775" s="120"/>
      <c r="V4775" s="123"/>
      <c r="W4775" s="125"/>
      <c r="X4775" s="142" t="s">
        <v>14564</v>
      </c>
      <c r="Y4775" s="143"/>
      <c r="Z4775" s="143"/>
      <c r="AA4775" s="143"/>
      <c r="AB4775" s="144"/>
      <c r="AC4775" s="16" t="s">
        <v>21</v>
      </c>
      <c r="AD4775" s="17" t="s">
        <v>3921</v>
      </c>
      <c r="AE4775" s="145" t="s">
        <v>10057</v>
      </c>
      <c r="AF4775" s="146"/>
      <c r="AG4775" s="146"/>
      <c r="AH4775" s="146"/>
      <c r="AI4775" s="147"/>
      <c r="AJ4775" s="148"/>
      <c r="AK4775" s="143"/>
      <c r="AL4775" s="144"/>
      <c r="AM4775" s="22"/>
      <c r="AN4775" s="149" t="s">
        <v>2794</v>
      </c>
      <c r="AO4775" s="144"/>
      <c r="AP4775" s="148">
        <v>5029</v>
      </c>
      <c r="AQ4775" s="144"/>
      <c r="AR4775" s="120"/>
      <c r="AS4775" s="121"/>
      <c r="AT4775" s="120"/>
      <c r="AU4775" s="121"/>
      <c r="AV4775" s="120"/>
      <c r="AW4775" s="121"/>
      <c r="AX4775" s="120"/>
      <c r="AY4775" s="121"/>
      <c r="AZ4775" s="138"/>
    </row>
    <row r="4776" spans="1:52" ht="17.100000000000001" customHeight="1" thickTop="1">
      <c r="A4776" s="151" t="s">
        <v>14267</v>
      </c>
      <c r="B4776" s="28">
        <v>46017</v>
      </c>
      <c r="C4776" s="25">
        <v>1400</v>
      </c>
      <c r="D4776" s="13" t="s">
        <v>5614</v>
      </c>
      <c r="E4776" s="111"/>
      <c r="F4776" s="113" t="s">
        <v>14288</v>
      </c>
      <c r="G4776" s="114"/>
      <c r="H4776" s="115"/>
      <c r="I4776" s="24" t="s">
        <v>14323</v>
      </c>
      <c r="J4776" s="116">
        <v>4</v>
      </c>
      <c r="K4776" s="118">
        <v>173000</v>
      </c>
      <c r="L4776" s="119"/>
      <c r="M4776" s="118">
        <f t="shared" ref="M4776" si="5509">K4776*0.1</f>
        <v>17300</v>
      </c>
      <c r="N4776" s="119"/>
      <c r="O4776" s="118">
        <v>0</v>
      </c>
      <c r="P4776" s="119"/>
      <c r="Q4776" s="118">
        <v>8490</v>
      </c>
      <c r="R4776" s="119"/>
      <c r="S4776" s="118">
        <v>13200</v>
      </c>
      <c r="T4776" s="119"/>
      <c r="U4776" s="118">
        <f t="shared" ref="U4776" si="5510">SUM(K4776:T4777)</f>
        <v>211990</v>
      </c>
      <c r="V4776" s="122"/>
      <c r="W4776" s="124"/>
      <c r="X4776" s="126" t="s">
        <v>14594</v>
      </c>
      <c r="Y4776" s="127"/>
      <c r="Z4776" s="127"/>
      <c r="AA4776" s="127"/>
      <c r="AB4776" s="128"/>
      <c r="AC4776" s="15" t="s">
        <v>20</v>
      </c>
      <c r="AD4776" s="129" t="s">
        <v>9186</v>
      </c>
      <c r="AE4776" s="130"/>
      <c r="AF4776" s="130"/>
      <c r="AG4776" s="130"/>
      <c r="AH4776" s="130"/>
      <c r="AI4776" s="131"/>
      <c r="AJ4776" s="132" t="s">
        <v>16314</v>
      </c>
      <c r="AK4776" s="127"/>
      <c r="AL4776" s="128"/>
      <c r="AM4776" s="21" t="s">
        <v>15367</v>
      </c>
      <c r="AN4776" s="133"/>
      <c r="AO4776" s="134"/>
      <c r="AP4776" s="135"/>
      <c r="AQ4776" s="136"/>
      <c r="AR4776" s="118"/>
      <c r="AS4776" s="119"/>
      <c r="AT4776" s="118">
        <f t="shared" ref="AT4776" si="5511">AR4776*0.1</f>
        <v>0</v>
      </c>
      <c r="AU4776" s="119"/>
      <c r="AV4776" s="118"/>
      <c r="AW4776" s="119"/>
      <c r="AX4776" s="118">
        <f t="shared" ref="AX4776" si="5512">SUM(AR4776:AW4776)</f>
        <v>0</v>
      </c>
      <c r="AY4776" s="119"/>
      <c r="AZ4776" s="137"/>
    </row>
    <row r="4777" spans="1:52" ht="17.100000000000001" customHeight="1" thickBot="1">
      <c r="A4777" s="152"/>
      <c r="B4777" s="27" t="s">
        <v>2641</v>
      </c>
      <c r="C4777" s="27">
        <v>3104</v>
      </c>
      <c r="D4777" s="14" t="s">
        <v>904</v>
      </c>
      <c r="E4777" s="112"/>
      <c r="F4777" s="139" t="s">
        <v>14289</v>
      </c>
      <c r="G4777" s="140"/>
      <c r="H4777" s="141"/>
      <c r="I4777" s="26">
        <v>56294</v>
      </c>
      <c r="J4777" s="117"/>
      <c r="K4777" s="120"/>
      <c r="L4777" s="121"/>
      <c r="M4777" s="120"/>
      <c r="N4777" s="121"/>
      <c r="O4777" s="120"/>
      <c r="P4777" s="121"/>
      <c r="Q4777" s="120"/>
      <c r="R4777" s="121"/>
      <c r="S4777" s="120"/>
      <c r="T4777" s="121"/>
      <c r="U4777" s="120"/>
      <c r="V4777" s="123"/>
      <c r="W4777" s="125"/>
      <c r="X4777" s="142" t="s">
        <v>14595</v>
      </c>
      <c r="Y4777" s="143"/>
      <c r="Z4777" s="143"/>
      <c r="AA4777" s="143"/>
      <c r="AB4777" s="144"/>
      <c r="AC4777" s="16" t="s">
        <v>21</v>
      </c>
      <c r="AD4777" s="17" t="s">
        <v>3921</v>
      </c>
      <c r="AE4777" s="145" t="s">
        <v>14596</v>
      </c>
      <c r="AF4777" s="146"/>
      <c r="AG4777" s="146"/>
      <c r="AH4777" s="146"/>
      <c r="AI4777" s="147"/>
      <c r="AJ4777" s="148"/>
      <c r="AK4777" s="143"/>
      <c r="AL4777" s="144"/>
      <c r="AM4777" s="22"/>
      <c r="AN4777" s="149"/>
      <c r="AO4777" s="144"/>
      <c r="AP4777" s="148"/>
      <c r="AQ4777" s="144"/>
      <c r="AR4777" s="120"/>
      <c r="AS4777" s="121"/>
      <c r="AT4777" s="120"/>
      <c r="AU4777" s="121"/>
      <c r="AV4777" s="120"/>
      <c r="AW4777" s="121"/>
      <c r="AX4777" s="120"/>
      <c r="AY4777" s="121"/>
      <c r="AZ4777" s="138"/>
    </row>
    <row r="4778" spans="1:52" ht="17.100000000000001" customHeight="1" thickTop="1">
      <c r="A4778" s="109" t="s">
        <v>14268</v>
      </c>
      <c r="B4778" s="28">
        <v>46017</v>
      </c>
      <c r="C4778" s="25">
        <v>1400</v>
      </c>
      <c r="D4778" s="13" t="s">
        <v>11997</v>
      </c>
      <c r="E4778" s="111"/>
      <c r="F4778" s="113" t="s">
        <v>14290</v>
      </c>
      <c r="G4778" s="114"/>
      <c r="H4778" s="115"/>
      <c r="I4778" s="24"/>
      <c r="J4778" s="116">
        <v>4</v>
      </c>
      <c r="K4778" s="118">
        <v>195000</v>
      </c>
      <c r="L4778" s="119"/>
      <c r="M4778" s="118">
        <f t="shared" ref="M4778" si="5513">K4778*0.1</f>
        <v>19500</v>
      </c>
      <c r="N4778" s="119"/>
      <c r="O4778" s="118">
        <v>0</v>
      </c>
      <c r="P4778" s="119"/>
      <c r="Q4778" s="118">
        <v>9470</v>
      </c>
      <c r="R4778" s="119"/>
      <c r="S4778" s="118">
        <v>13200</v>
      </c>
      <c r="T4778" s="119"/>
      <c r="U4778" s="118">
        <f t="shared" ref="U4778" si="5514">SUM(K4778:T4779)</f>
        <v>237170</v>
      </c>
      <c r="V4778" s="122"/>
      <c r="W4778" s="124"/>
      <c r="X4778" s="126" t="s">
        <v>14639</v>
      </c>
      <c r="Y4778" s="127"/>
      <c r="Z4778" s="127"/>
      <c r="AA4778" s="127"/>
      <c r="AB4778" s="128"/>
      <c r="AC4778" s="15" t="s">
        <v>20</v>
      </c>
      <c r="AD4778" s="129" t="s">
        <v>171</v>
      </c>
      <c r="AE4778" s="130"/>
      <c r="AF4778" s="130"/>
      <c r="AG4778" s="130"/>
      <c r="AH4778" s="130"/>
      <c r="AI4778" s="131"/>
      <c r="AJ4778" s="132"/>
      <c r="AK4778" s="127"/>
      <c r="AL4778" s="128"/>
      <c r="AM4778" s="21"/>
      <c r="AN4778" s="133">
        <v>46029</v>
      </c>
      <c r="AO4778" s="134"/>
      <c r="AP4778" s="135">
        <v>999</v>
      </c>
      <c r="AQ4778" s="136"/>
      <c r="AR4778" s="118">
        <v>280000</v>
      </c>
      <c r="AS4778" s="119"/>
      <c r="AT4778" s="118">
        <f t="shared" ref="AT4778" si="5515">AR4778*0.1</f>
        <v>28000</v>
      </c>
      <c r="AU4778" s="119"/>
      <c r="AV4778" s="118">
        <v>9470</v>
      </c>
      <c r="AW4778" s="119"/>
      <c r="AX4778" s="118">
        <f t="shared" ref="AX4778" si="5516">SUM(AR4778:AW4778)</f>
        <v>317470</v>
      </c>
      <c r="AY4778" s="119"/>
      <c r="AZ4778" s="137">
        <v>46035</v>
      </c>
    </row>
    <row r="4779" spans="1:52" ht="17.100000000000001" customHeight="1" thickBot="1">
      <c r="A4779" s="110"/>
      <c r="B4779" s="27" t="s">
        <v>2641</v>
      </c>
      <c r="C4779" s="27">
        <v>3125</v>
      </c>
      <c r="D4779" s="14" t="s">
        <v>4023</v>
      </c>
      <c r="E4779" s="112"/>
      <c r="F4779" s="139" t="s">
        <v>14291</v>
      </c>
      <c r="G4779" s="140"/>
      <c r="H4779" s="141"/>
      <c r="I4779" s="26">
        <v>35128</v>
      </c>
      <c r="J4779" s="117"/>
      <c r="K4779" s="120"/>
      <c r="L4779" s="121"/>
      <c r="M4779" s="120"/>
      <c r="N4779" s="121"/>
      <c r="O4779" s="120"/>
      <c r="P4779" s="121"/>
      <c r="Q4779" s="120"/>
      <c r="R4779" s="121"/>
      <c r="S4779" s="120"/>
      <c r="T4779" s="121"/>
      <c r="U4779" s="120"/>
      <c r="V4779" s="123"/>
      <c r="W4779" s="125"/>
      <c r="X4779" s="142" t="s">
        <v>14640</v>
      </c>
      <c r="Y4779" s="143"/>
      <c r="Z4779" s="143"/>
      <c r="AA4779" s="143"/>
      <c r="AB4779" s="144"/>
      <c r="AC4779" s="16" t="s">
        <v>21</v>
      </c>
      <c r="AD4779" s="17" t="s">
        <v>4121</v>
      </c>
      <c r="AE4779" s="145" t="s">
        <v>171</v>
      </c>
      <c r="AF4779" s="146"/>
      <c r="AG4779" s="146"/>
      <c r="AH4779" s="146"/>
      <c r="AI4779" s="147"/>
      <c r="AJ4779" s="148"/>
      <c r="AK4779" s="143"/>
      <c r="AL4779" s="144"/>
      <c r="AM4779" s="22"/>
      <c r="AN4779" s="149" t="s">
        <v>2794</v>
      </c>
      <c r="AO4779" s="144"/>
      <c r="AP4779" s="148">
        <v>2065</v>
      </c>
      <c r="AQ4779" s="144"/>
      <c r="AR4779" s="120"/>
      <c r="AS4779" s="121"/>
      <c r="AT4779" s="120"/>
      <c r="AU4779" s="121"/>
      <c r="AV4779" s="120"/>
      <c r="AW4779" s="121"/>
      <c r="AX4779" s="120"/>
      <c r="AY4779" s="121"/>
      <c r="AZ4779" s="138"/>
    </row>
    <row r="4780" spans="1:52" ht="17.100000000000001" customHeight="1" thickTop="1">
      <c r="A4780" s="109" t="s">
        <v>14269</v>
      </c>
      <c r="B4780" s="28">
        <v>46017</v>
      </c>
      <c r="C4780" s="25">
        <v>1400</v>
      </c>
      <c r="D4780" s="13" t="s">
        <v>1823</v>
      </c>
      <c r="E4780" s="111"/>
      <c r="F4780" s="113" t="s">
        <v>14324</v>
      </c>
      <c r="G4780" s="114"/>
      <c r="H4780" s="115"/>
      <c r="I4780" s="24" t="s">
        <v>4123</v>
      </c>
      <c r="J4780" s="116">
        <v>4</v>
      </c>
      <c r="K4780" s="118">
        <v>1513000</v>
      </c>
      <c r="L4780" s="119"/>
      <c r="M4780" s="118">
        <f t="shared" ref="M4780" si="5517">K4780*0.1</f>
        <v>151300</v>
      </c>
      <c r="N4780" s="119"/>
      <c r="O4780" s="118">
        <f>14500+1450</f>
        <v>15950</v>
      </c>
      <c r="P4780" s="119"/>
      <c r="Q4780" s="118">
        <v>12980</v>
      </c>
      <c r="R4780" s="119"/>
      <c r="S4780" s="118">
        <v>13200</v>
      </c>
      <c r="T4780" s="119"/>
      <c r="U4780" s="118">
        <f t="shared" ref="U4780" si="5518">SUM(K4780:T4781)</f>
        <v>1706430</v>
      </c>
      <c r="V4780" s="122"/>
      <c r="W4780" s="124"/>
      <c r="X4780" s="126" t="s">
        <v>14609</v>
      </c>
      <c r="Y4780" s="127"/>
      <c r="Z4780" s="127"/>
      <c r="AA4780" s="127"/>
      <c r="AB4780" s="128"/>
      <c r="AC4780" s="15" t="s">
        <v>20</v>
      </c>
      <c r="AD4780" s="129" t="s">
        <v>4883</v>
      </c>
      <c r="AE4780" s="130"/>
      <c r="AF4780" s="130"/>
      <c r="AG4780" s="130"/>
      <c r="AH4780" s="130"/>
      <c r="AI4780" s="131"/>
      <c r="AJ4780" s="132"/>
      <c r="AK4780" s="127"/>
      <c r="AL4780" s="128"/>
      <c r="AM4780" s="21" t="s">
        <v>15343</v>
      </c>
      <c r="AN4780" s="133">
        <v>46043</v>
      </c>
      <c r="AO4780" s="134"/>
      <c r="AP4780" s="135">
        <v>1001</v>
      </c>
      <c r="AQ4780" s="136"/>
      <c r="AR4780" s="118">
        <v>1620000</v>
      </c>
      <c r="AS4780" s="119"/>
      <c r="AT4780" s="118">
        <f t="shared" ref="AT4780" si="5519">AR4780*0.1</f>
        <v>162000</v>
      </c>
      <c r="AU4780" s="119"/>
      <c r="AV4780" s="118">
        <v>12980</v>
      </c>
      <c r="AW4780" s="119"/>
      <c r="AX4780" s="118">
        <f t="shared" ref="AX4780" si="5520">SUM(AR4780:AW4780)</f>
        <v>1794980</v>
      </c>
      <c r="AY4780" s="119"/>
      <c r="AZ4780" s="137">
        <v>46049</v>
      </c>
    </row>
    <row r="4781" spans="1:52" ht="17.100000000000001" customHeight="1" thickBot="1">
      <c r="A4781" s="110"/>
      <c r="B4781" s="27" t="s">
        <v>2641</v>
      </c>
      <c r="C4781" s="27">
        <v>3133</v>
      </c>
      <c r="D4781" s="14" t="s">
        <v>275</v>
      </c>
      <c r="E4781" s="112"/>
      <c r="F4781" s="139" t="s">
        <v>14292</v>
      </c>
      <c r="G4781" s="140"/>
      <c r="H4781" s="141"/>
      <c r="I4781" s="26">
        <v>76823</v>
      </c>
      <c r="J4781" s="117"/>
      <c r="K4781" s="120"/>
      <c r="L4781" s="121"/>
      <c r="M4781" s="120"/>
      <c r="N4781" s="121"/>
      <c r="O4781" s="120"/>
      <c r="P4781" s="121"/>
      <c r="Q4781" s="120"/>
      <c r="R4781" s="121"/>
      <c r="S4781" s="120"/>
      <c r="T4781" s="121"/>
      <c r="U4781" s="120"/>
      <c r="V4781" s="123"/>
      <c r="W4781" s="125"/>
      <c r="X4781" s="142" t="s">
        <v>14610</v>
      </c>
      <c r="Y4781" s="143"/>
      <c r="Z4781" s="143"/>
      <c r="AA4781" s="143"/>
      <c r="AB4781" s="144"/>
      <c r="AC4781" s="16" t="s">
        <v>21</v>
      </c>
      <c r="AD4781" s="17" t="s">
        <v>3921</v>
      </c>
      <c r="AE4781" s="145" t="s">
        <v>2051</v>
      </c>
      <c r="AF4781" s="146"/>
      <c r="AG4781" s="146"/>
      <c r="AH4781" s="146"/>
      <c r="AI4781" s="147"/>
      <c r="AJ4781" s="148"/>
      <c r="AK4781" s="143"/>
      <c r="AL4781" s="144"/>
      <c r="AM4781" s="22"/>
      <c r="AN4781" s="149" t="s">
        <v>7285</v>
      </c>
      <c r="AO4781" s="144"/>
      <c r="AP4781" s="148">
        <v>5151</v>
      </c>
      <c r="AQ4781" s="144"/>
      <c r="AR4781" s="120"/>
      <c r="AS4781" s="121"/>
      <c r="AT4781" s="120"/>
      <c r="AU4781" s="121"/>
      <c r="AV4781" s="120"/>
      <c r="AW4781" s="121"/>
      <c r="AX4781" s="120"/>
      <c r="AY4781" s="121"/>
      <c r="AZ4781" s="138"/>
    </row>
    <row r="4782" spans="1:52" ht="17.100000000000001" customHeight="1" thickTop="1">
      <c r="A4782" s="109" t="s">
        <v>14270</v>
      </c>
      <c r="B4782" s="28">
        <v>46017</v>
      </c>
      <c r="C4782" s="25">
        <v>1400</v>
      </c>
      <c r="D4782" s="13" t="s">
        <v>2298</v>
      </c>
      <c r="E4782" s="111"/>
      <c r="F4782" s="113" t="s">
        <v>14325</v>
      </c>
      <c r="G4782" s="114"/>
      <c r="H4782" s="115"/>
      <c r="I4782" s="24"/>
      <c r="J4782" s="116">
        <v>4</v>
      </c>
      <c r="K4782" s="118">
        <v>943000</v>
      </c>
      <c r="L4782" s="119"/>
      <c r="M4782" s="118">
        <f t="shared" ref="M4782" si="5521">K4782*0.1</f>
        <v>94300</v>
      </c>
      <c r="N4782" s="119"/>
      <c r="O4782" s="118">
        <v>0</v>
      </c>
      <c r="P4782" s="119"/>
      <c r="Q4782" s="118">
        <v>8950</v>
      </c>
      <c r="R4782" s="119"/>
      <c r="S4782" s="118">
        <v>13200</v>
      </c>
      <c r="T4782" s="119"/>
      <c r="U4782" s="118">
        <f t="shared" ref="U4782" si="5522">SUM(K4782:T4783)</f>
        <v>1059450</v>
      </c>
      <c r="V4782" s="122"/>
      <c r="W4782" s="124"/>
      <c r="X4782" s="126" t="s">
        <v>14637</v>
      </c>
      <c r="Y4782" s="127"/>
      <c r="Z4782" s="127"/>
      <c r="AA4782" s="127"/>
      <c r="AB4782" s="128"/>
      <c r="AC4782" s="15" t="s">
        <v>20</v>
      </c>
      <c r="AD4782" s="129" t="s">
        <v>2198</v>
      </c>
      <c r="AE4782" s="130"/>
      <c r="AF4782" s="130"/>
      <c r="AG4782" s="130"/>
      <c r="AH4782" s="130"/>
      <c r="AI4782" s="131"/>
      <c r="AJ4782" s="132"/>
      <c r="AK4782" s="127"/>
      <c r="AL4782" s="128"/>
      <c r="AM4782" s="21"/>
      <c r="AN4782" s="133">
        <v>46029</v>
      </c>
      <c r="AO4782" s="134"/>
      <c r="AP4782" s="135">
        <v>999</v>
      </c>
      <c r="AQ4782" s="136"/>
      <c r="AR4782" s="118">
        <v>1120000</v>
      </c>
      <c r="AS4782" s="119"/>
      <c r="AT4782" s="118">
        <f t="shared" ref="AT4782" si="5523">AR4782*0.1</f>
        <v>112000</v>
      </c>
      <c r="AU4782" s="119"/>
      <c r="AV4782" s="118">
        <v>8950</v>
      </c>
      <c r="AW4782" s="119"/>
      <c r="AX4782" s="118">
        <f t="shared" ref="AX4782" si="5524">SUM(AR4782:AW4782)</f>
        <v>1240950</v>
      </c>
      <c r="AY4782" s="119"/>
      <c r="AZ4782" s="137">
        <v>46035</v>
      </c>
    </row>
    <row r="4783" spans="1:52" ht="17.100000000000001" customHeight="1" thickBot="1">
      <c r="A4783" s="110"/>
      <c r="B4783" s="27" t="s">
        <v>2641</v>
      </c>
      <c r="C4783" s="27">
        <v>3203</v>
      </c>
      <c r="D4783" s="14" t="s">
        <v>7268</v>
      </c>
      <c r="E4783" s="112"/>
      <c r="F4783" s="139" t="s">
        <v>14293</v>
      </c>
      <c r="G4783" s="140"/>
      <c r="H4783" s="141"/>
      <c r="I4783" s="26">
        <v>53634</v>
      </c>
      <c r="J4783" s="117"/>
      <c r="K4783" s="120"/>
      <c r="L4783" s="121"/>
      <c r="M4783" s="120"/>
      <c r="N4783" s="121"/>
      <c r="O4783" s="120"/>
      <c r="P4783" s="121"/>
      <c r="Q4783" s="120"/>
      <c r="R4783" s="121"/>
      <c r="S4783" s="120"/>
      <c r="T4783" s="121"/>
      <c r="U4783" s="120"/>
      <c r="V4783" s="123"/>
      <c r="W4783" s="125"/>
      <c r="X4783" s="142" t="s">
        <v>14638</v>
      </c>
      <c r="Y4783" s="143"/>
      <c r="Z4783" s="143"/>
      <c r="AA4783" s="143"/>
      <c r="AB4783" s="144"/>
      <c r="AC4783" s="16" t="s">
        <v>21</v>
      </c>
      <c r="AD4783" s="17" t="s">
        <v>4121</v>
      </c>
      <c r="AE4783" s="145" t="s">
        <v>7429</v>
      </c>
      <c r="AF4783" s="146"/>
      <c r="AG4783" s="146"/>
      <c r="AH4783" s="146"/>
      <c r="AI4783" s="147"/>
      <c r="AJ4783" s="148"/>
      <c r="AK4783" s="143"/>
      <c r="AL4783" s="144"/>
      <c r="AM4783" s="22"/>
      <c r="AN4783" s="149" t="s">
        <v>2794</v>
      </c>
      <c r="AO4783" s="144"/>
      <c r="AP4783" s="148">
        <v>5031</v>
      </c>
      <c r="AQ4783" s="144"/>
      <c r="AR4783" s="120"/>
      <c r="AS4783" s="121"/>
      <c r="AT4783" s="120"/>
      <c r="AU4783" s="121"/>
      <c r="AV4783" s="120"/>
      <c r="AW4783" s="121"/>
      <c r="AX4783" s="120"/>
      <c r="AY4783" s="121"/>
      <c r="AZ4783" s="138"/>
    </row>
    <row r="4784" spans="1:52" ht="17.100000000000001" customHeight="1" thickTop="1">
      <c r="A4784" s="109" t="s">
        <v>14271</v>
      </c>
      <c r="B4784" s="28">
        <v>46017</v>
      </c>
      <c r="C4784" s="25">
        <v>1400</v>
      </c>
      <c r="D4784" s="13" t="s">
        <v>1623</v>
      </c>
      <c r="E4784" s="111"/>
      <c r="F4784" s="113" t="s">
        <v>14326</v>
      </c>
      <c r="G4784" s="114"/>
      <c r="H4784" s="115"/>
      <c r="I4784" s="24" t="s">
        <v>14327</v>
      </c>
      <c r="J4784" s="116">
        <v>4</v>
      </c>
      <c r="K4784" s="118">
        <v>394000</v>
      </c>
      <c r="L4784" s="119"/>
      <c r="M4784" s="118">
        <f t="shared" ref="M4784" si="5525">K4784*0.1</f>
        <v>39400</v>
      </c>
      <c r="N4784" s="119"/>
      <c r="O4784" s="118">
        <v>0</v>
      </c>
      <c r="P4784" s="119"/>
      <c r="Q4784" s="118">
        <v>8860</v>
      </c>
      <c r="R4784" s="119"/>
      <c r="S4784" s="118">
        <v>13200</v>
      </c>
      <c r="T4784" s="119"/>
      <c r="U4784" s="118">
        <f t="shared" ref="U4784" si="5526">SUM(K4784:T4785)</f>
        <v>455460</v>
      </c>
      <c r="V4784" s="122"/>
      <c r="W4784" s="124"/>
      <c r="X4784" s="126" t="s">
        <v>14718</v>
      </c>
      <c r="Y4784" s="127"/>
      <c r="Z4784" s="127"/>
      <c r="AA4784" s="127"/>
      <c r="AB4784" s="128"/>
      <c r="AC4784" s="15" t="s">
        <v>20</v>
      </c>
      <c r="AD4784" s="129" t="s">
        <v>1633</v>
      </c>
      <c r="AE4784" s="130"/>
      <c r="AF4784" s="130"/>
      <c r="AG4784" s="130"/>
      <c r="AH4784" s="130"/>
      <c r="AI4784" s="131"/>
      <c r="AJ4784" s="132"/>
      <c r="AK4784" s="127"/>
      <c r="AL4784" s="128"/>
      <c r="AM4784" s="21" t="s">
        <v>14884</v>
      </c>
      <c r="AN4784" s="133">
        <v>46029</v>
      </c>
      <c r="AO4784" s="134"/>
      <c r="AP4784" s="135">
        <v>999</v>
      </c>
      <c r="AQ4784" s="136"/>
      <c r="AR4784" s="118">
        <v>460000</v>
      </c>
      <c r="AS4784" s="119"/>
      <c r="AT4784" s="118">
        <f t="shared" ref="AT4784" si="5527">AR4784*0.1</f>
        <v>46000</v>
      </c>
      <c r="AU4784" s="119"/>
      <c r="AV4784" s="118">
        <v>8860</v>
      </c>
      <c r="AW4784" s="119"/>
      <c r="AX4784" s="118">
        <f t="shared" ref="AX4784" si="5528">SUM(AR4784:AW4784)</f>
        <v>514860</v>
      </c>
      <c r="AY4784" s="119"/>
      <c r="AZ4784" s="137">
        <v>46037</v>
      </c>
    </row>
    <row r="4785" spans="1:52" ht="17.100000000000001" customHeight="1" thickBot="1">
      <c r="A4785" s="110"/>
      <c r="B4785" s="27" t="s">
        <v>2641</v>
      </c>
      <c r="C4785" s="27">
        <v>3207</v>
      </c>
      <c r="D4785" s="14" t="s">
        <v>4023</v>
      </c>
      <c r="E4785" s="112"/>
      <c r="F4785" s="139" t="s">
        <v>14294</v>
      </c>
      <c r="G4785" s="140"/>
      <c r="H4785" s="141"/>
      <c r="I4785" s="26">
        <v>46425</v>
      </c>
      <c r="J4785" s="117"/>
      <c r="K4785" s="120"/>
      <c r="L4785" s="121"/>
      <c r="M4785" s="120"/>
      <c r="N4785" s="121"/>
      <c r="O4785" s="120"/>
      <c r="P4785" s="121"/>
      <c r="Q4785" s="120"/>
      <c r="R4785" s="121"/>
      <c r="S4785" s="120"/>
      <c r="T4785" s="121"/>
      <c r="U4785" s="120"/>
      <c r="V4785" s="123"/>
      <c r="W4785" s="125"/>
      <c r="X4785" s="142" t="s">
        <v>14719</v>
      </c>
      <c r="Y4785" s="143"/>
      <c r="Z4785" s="143"/>
      <c r="AA4785" s="143"/>
      <c r="AB4785" s="144"/>
      <c r="AC4785" s="16" t="s">
        <v>21</v>
      </c>
      <c r="AD4785" s="17" t="s">
        <v>2949</v>
      </c>
      <c r="AE4785" s="145" t="s">
        <v>12123</v>
      </c>
      <c r="AF4785" s="146"/>
      <c r="AG4785" s="146"/>
      <c r="AH4785" s="146"/>
      <c r="AI4785" s="147"/>
      <c r="AJ4785" s="148"/>
      <c r="AK4785" s="143"/>
      <c r="AL4785" s="144"/>
      <c r="AM4785" s="22"/>
      <c r="AN4785" s="149" t="s">
        <v>2794</v>
      </c>
      <c r="AO4785" s="144"/>
      <c r="AP4785" s="148">
        <v>2004</v>
      </c>
      <c r="AQ4785" s="144"/>
      <c r="AR4785" s="120"/>
      <c r="AS4785" s="121"/>
      <c r="AT4785" s="120"/>
      <c r="AU4785" s="121"/>
      <c r="AV4785" s="120"/>
      <c r="AW4785" s="121"/>
      <c r="AX4785" s="120"/>
      <c r="AY4785" s="121"/>
      <c r="AZ4785" s="138"/>
    </row>
    <row r="4786" spans="1:52" ht="17.100000000000001" customHeight="1" thickTop="1">
      <c r="A4786" s="109" t="s">
        <v>14272</v>
      </c>
      <c r="B4786" s="28">
        <v>46017</v>
      </c>
      <c r="C4786" s="25">
        <v>1400</v>
      </c>
      <c r="D4786" s="13" t="s">
        <v>4287</v>
      </c>
      <c r="E4786" s="111"/>
      <c r="F4786" s="113" t="s">
        <v>10262</v>
      </c>
      <c r="G4786" s="114"/>
      <c r="H4786" s="115"/>
      <c r="I4786" s="24" t="s">
        <v>13277</v>
      </c>
      <c r="J4786" s="116">
        <v>4.5</v>
      </c>
      <c r="K4786" s="118">
        <v>3031000</v>
      </c>
      <c r="L4786" s="119"/>
      <c r="M4786" s="118">
        <f t="shared" ref="M4786" si="5529">K4786*0.1</f>
        <v>303100</v>
      </c>
      <c r="N4786" s="119"/>
      <c r="O4786" s="118">
        <f>9000+900</f>
        <v>9900</v>
      </c>
      <c r="P4786" s="119"/>
      <c r="Q4786" s="118">
        <v>12160</v>
      </c>
      <c r="R4786" s="119"/>
      <c r="S4786" s="118">
        <v>13200</v>
      </c>
      <c r="T4786" s="119"/>
      <c r="U4786" s="118">
        <f t="shared" ref="U4786" si="5530">SUM(K4786:T4787)</f>
        <v>3369360</v>
      </c>
      <c r="V4786" s="122"/>
      <c r="W4786" s="124"/>
      <c r="X4786" s="126" t="s">
        <v>14606</v>
      </c>
      <c r="Y4786" s="127"/>
      <c r="Z4786" s="127"/>
      <c r="AA4786" s="127"/>
      <c r="AB4786" s="128"/>
      <c r="AC4786" s="15" t="s">
        <v>20</v>
      </c>
      <c r="AD4786" s="129" t="s">
        <v>14328</v>
      </c>
      <c r="AE4786" s="130"/>
      <c r="AF4786" s="130"/>
      <c r="AG4786" s="130"/>
      <c r="AH4786" s="130"/>
      <c r="AI4786" s="131"/>
      <c r="AJ4786" s="132"/>
      <c r="AK4786" s="127"/>
      <c r="AL4786" s="128"/>
      <c r="AM4786" s="21" t="s">
        <v>15342</v>
      </c>
      <c r="AN4786" s="133">
        <v>46109</v>
      </c>
      <c r="AO4786" s="134"/>
      <c r="AP4786" s="135">
        <v>1294</v>
      </c>
      <c r="AQ4786" s="136"/>
      <c r="AR4786" s="118">
        <v>2980000</v>
      </c>
      <c r="AS4786" s="119"/>
      <c r="AT4786" s="118">
        <f t="shared" ref="AT4786" si="5531">AR4786*0.1</f>
        <v>298000</v>
      </c>
      <c r="AU4786" s="119"/>
      <c r="AV4786" s="118">
        <v>12160</v>
      </c>
      <c r="AW4786" s="119"/>
      <c r="AX4786" s="118">
        <f t="shared" ref="AX4786" si="5532">SUM(AR4786:AW4786)</f>
        <v>3290160</v>
      </c>
      <c r="AY4786" s="119"/>
      <c r="AZ4786" s="137">
        <v>46112</v>
      </c>
    </row>
    <row r="4787" spans="1:52" ht="17.100000000000001" customHeight="1" thickBot="1">
      <c r="A4787" s="110"/>
      <c r="B4787" s="27" t="s">
        <v>2641</v>
      </c>
      <c r="C4787" s="27">
        <v>3230</v>
      </c>
      <c r="D4787" s="14" t="s">
        <v>275</v>
      </c>
      <c r="E4787" s="112"/>
      <c r="F4787" s="139" t="s">
        <v>14295</v>
      </c>
      <c r="G4787" s="140"/>
      <c r="H4787" s="141"/>
      <c r="I4787" s="26">
        <v>11240</v>
      </c>
      <c r="J4787" s="117"/>
      <c r="K4787" s="120"/>
      <c r="L4787" s="121"/>
      <c r="M4787" s="120"/>
      <c r="N4787" s="121"/>
      <c r="O4787" s="120"/>
      <c r="P4787" s="121"/>
      <c r="Q4787" s="120"/>
      <c r="R4787" s="121"/>
      <c r="S4787" s="120"/>
      <c r="T4787" s="121"/>
      <c r="U4787" s="120"/>
      <c r="V4787" s="123"/>
      <c r="W4787" s="125"/>
      <c r="X4787" s="142" t="s">
        <v>14607</v>
      </c>
      <c r="Y4787" s="143"/>
      <c r="Z4787" s="143"/>
      <c r="AA4787" s="143"/>
      <c r="AB4787" s="144"/>
      <c r="AC4787" s="16" t="s">
        <v>21</v>
      </c>
      <c r="AD4787" s="17" t="s">
        <v>3921</v>
      </c>
      <c r="AE4787" s="145" t="s">
        <v>14608</v>
      </c>
      <c r="AF4787" s="146"/>
      <c r="AG4787" s="146"/>
      <c r="AH4787" s="146"/>
      <c r="AI4787" s="147"/>
      <c r="AJ4787" s="148"/>
      <c r="AK4787" s="143"/>
      <c r="AL4787" s="144"/>
      <c r="AM4787" s="22"/>
      <c r="AN4787" s="149" t="s">
        <v>21802</v>
      </c>
      <c r="AO4787" s="144"/>
      <c r="AP4787" s="148">
        <v>13017</v>
      </c>
      <c r="AQ4787" s="144"/>
      <c r="AR4787" s="120"/>
      <c r="AS4787" s="121"/>
      <c r="AT4787" s="120"/>
      <c r="AU4787" s="121"/>
      <c r="AV4787" s="120"/>
      <c r="AW4787" s="121"/>
      <c r="AX4787" s="120"/>
      <c r="AY4787" s="121"/>
      <c r="AZ4787" s="138"/>
    </row>
    <row r="4788" spans="1:52" ht="17.100000000000001" customHeight="1" thickTop="1">
      <c r="A4788" s="109" t="s">
        <v>14282</v>
      </c>
      <c r="B4788" s="28">
        <v>46017</v>
      </c>
      <c r="C4788" s="25">
        <v>1400</v>
      </c>
      <c r="D4788" s="13" t="s">
        <v>2859</v>
      </c>
      <c r="E4788" s="111"/>
      <c r="F4788" s="113" t="s">
        <v>6960</v>
      </c>
      <c r="G4788" s="114"/>
      <c r="H4788" s="115"/>
      <c r="I4788" s="24"/>
      <c r="J4788" s="116">
        <v>4</v>
      </c>
      <c r="K4788" s="118">
        <v>989000</v>
      </c>
      <c r="L4788" s="119"/>
      <c r="M4788" s="118">
        <f t="shared" ref="M4788" si="5533">K4788*0.1</f>
        <v>98900</v>
      </c>
      <c r="N4788" s="119"/>
      <c r="O4788" s="118">
        <v>0</v>
      </c>
      <c r="P4788" s="119"/>
      <c r="Q4788" s="118">
        <v>9310</v>
      </c>
      <c r="R4788" s="119"/>
      <c r="S4788" s="118">
        <v>13200</v>
      </c>
      <c r="T4788" s="119"/>
      <c r="U4788" s="118">
        <f t="shared" ref="U4788" si="5534">SUM(K4788:T4789)</f>
        <v>1110410</v>
      </c>
      <c r="V4788" s="122"/>
      <c r="W4788" s="124"/>
      <c r="X4788" s="126" t="s">
        <v>14888</v>
      </c>
      <c r="Y4788" s="127"/>
      <c r="Z4788" s="127"/>
      <c r="AA4788" s="127"/>
      <c r="AB4788" s="128"/>
      <c r="AC4788" s="15" t="s">
        <v>20</v>
      </c>
      <c r="AD4788" s="129" t="s">
        <v>14145</v>
      </c>
      <c r="AE4788" s="130"/>
      <c r="AF4788" s="130"/>
      <c r="AG4788" s="130"/>
      <c r="AH4788" s="130"/>
      <c r="AI4788" s="131"/>
      <c r="AJ4788" s="132"/>
      <c r="AK4788" s="127"/>
      <c r="AL4788" s="128"/>
      <c r="AM4788" s="21"/>
      <c r="AN4788" s="133">
        <v>46029</v>
      </c>
      <c r="AO4788" s="134"/>
      <c r="AP4788" s="135">
        <v>999</v>
      </c>
      <c r="AQ4788" s="136"/>
      <c r="AR4788" s="118">
        <v>1070000</v>
      </c>
      <c r="AS4788" s="119"/>
      <c r="AT4788" s="118">
        <f t="shared" ref="AT4788" si="5535">AR4788*0.1</f>
        <v>107000</v>
      </c>
      <c r="AU4788" s="119"/>
      <c r="AV4788" s="118">
        <v>9310</v>
      </c>
      <c r="AW4788" s="119"/>
      <c r="AX4788" s="118">
        <f t="shared" ref="AX4788" si="5536">SUM(AR4788:AW4788)</f>
        <v>1186310</v>
      </c>
      <c r="AY4788" s="119"/>
      <c r="AZ4788" s="137">
        <v>46037</v>
      </c>
    </row>
    <row r="4789" spans="1:52" ht="17.100000000000001" customHeight="1" thickBot="1">
      <c r="A4789" s="110"/>
      <c r="B4789" s="27" t="s">
        <v>2641</v>
      </c>
      <c r="C4789" s="27">
        <v>3234</v>
      </c>
      <c r="D4789" s="14" t="s">
        <v>1576</v>
      </c>
      <c r="E4789" s="112"/>
      <c r="F4789" s="139" t="s">
        <v>14296</v>
      </c>
      <c r="G4789" s="140"/>
      <c r="H4789" s="141"/>
      <c r="I4789" s="26">
        <v>55706</v>
      </c>
      <c r="J4789" s="117"/>
      <c r="K4789" s="120"/>
      <c r="L4789" s="121"/>
      <c r="M4789" s="120"/>
      <c r="N4789" s="121"/>
      <c r="O4789" s="120"/>
      <c r="P4789" s="121"/>
      <c r="Q4789" s="120"/>
      <c r="R4789" s="121"/>
      <c r="S4789" s="120"/>
      <c r="T4789" s="121"/>
      <c r="U4789" s="120"/>
      <c r="V4789" s="123"/>
      <c r="W4789" s="125"/>
      <c r="X4789" s="142" t="s">
        <v>3334</v>
      </c>
      <c r="Y4789" s="143"/>
      <c r="Z4789" s="143"/>
      <c r="AA4789" s="143"/>
      <c r="AB4789" s="144"/>
      <c r="AC4789" s="16" t="s">
        <v>21</v>
      </c>
      <c r="AD4789" s="17" t="s">
        <v>14889</v>
      </c>
      <c r="AE4789" s="145" t="s">
        <v>1742</v>
      </c>
      <c r="AF4789" s="146"/>
      <c r="AG4789" s="146"/>
      <c r="AH4789" s="146"/>
      <c r="AI4789" s="147"/>
      <c r="AJ4789" s="148"/>
      <c r="AK4789" s="143"/>
      <c r="AL4789" s="144"/>
      <c r="AM4789" s="22"/>
      <c r="AN4789" s="149" t="s">
        <v>2794</v>
      </c>
      <c r="AO4789" s="144"/>
      <c r="AP4789" s="148">
        <v>2056</v>
      </c>
      <c r="AQ4789" s="144"/>
      <c r="AR4789" s="120"/>
      <c r="AS4789" s="121"/>
      <c r="AT4789" s="120"/>
      <c r="AU4789" s="121"/>
      <c r="AV4789" s="120"/>
      <c r="AW4789" s="121"/>
      <c r="AX4789" s="120"/>
      <c r="AY4789" s="121"/>
      <c r="AZ4789" s="138"/>
    </row>
    <row r="4790" spans="1:52" ht="17.100000000000001" customHeight="1" thickTop="1">
      <c r="A4790" s="109" t="s">
        <v>14283</v>
      </c>
      <c r="B4790" s="28">
        <v>46017</v>
      </c>
      <c r="C4790" s="25">
        <v>1400</v>
      </c>
      <c r="D4790" s="13" t="s">
        <v>2465</v>
      </c>
      <c r="E4790" s="111"/>
      <c r="F4790" s="113" t="s">
        <v>14297</v>
      </c>
      <c r="G4790" s="114"/>
      <c r="H4790" s="115"/>
      <c r="I4790" s="24"/>
      <c r="J4790" s="116">
        <v>4</v>
      </c>
      <c r="K4790" s="118">
        <v>1183000</v>
      </c>
      <c r="L4790" s="119"/>
      <c r="M4790" s="118">
        <f t="shared" ref="M4790" si="5537">K4790*0.1</f>
        <v>118300</v>
      </c>
      <c r="N4790" s="119"/>
      <c r="O4790" s="118">
        <v>0</v>
      </c>
      <c r="P4790" s="119"/>
      <c r="Q4790" s="118">
        <v>11270</v>
      </c>
      <c r="R4790" s="119"/>
      <c r="S4790" s="118">
        <v>13200</v>
      </c>
      <c r="T4790" s="119"/>
      <c r="U4790" s="118">
        <f t="shared" ref="U4790" si="5538">SUM(K4790:T4791)</f>
        <v>1325770</v>
      </c>
      <c r="V4790" s="122"/>
      <c r="W4790" s="124"/>
      <c r="X4790" s="126" t="s">
        <v>14641</v>
      </c>
      <c r="Y4790" s="127"/>
      <c r="Z4790" s="127"/>
      <c r="AA4790" s="127"/>
      <c r="AB4790" s="128"/>
      <c r="AC4790" s="15" t="s">
        <v>20</v>
      </c>
      <c r="AD4790" s="129"/>
      <c r="AE4790" s="130"/>
      <c r="AF4790" s="130"/>
      <c r="AG4790" s="130"/>
      <c r="AH4790" s="130"/>
      <c r="AI4790" s="131"/>
      <c r="AJ4790" s="132"/>
      <c r="AK4790" s="127"/>
      <c r="AL4790" s="128"/>
      <c r="AM4790" s="21"/>
      <c r="AN4790" s="133">
        <v>46036</v>
      </c>
      <c r="AO4790" s="134"/>
      <c r="AP4790" s="135">
        <v>1000</v>
      </c>
      <c r="AQ4790" s="136"/>
      <c r="AR4790" s="118">
        <v>1245000</v>
      </c>
      <c r="AS4790" s="119"/>
      <c r="AT4790" s="118">
        <f t="shared" ref="AT4790" si="5539">AR4790*0.1</f>
        <v>124500</v>
      </c>
      <c r="AU4790" s="119"/>
      <c r="AV4790" s="118">
        <v>11270</v>
      </c>
      <c r="AW4790" s="119"/>
      <c r="AX4790" s="118">
        <f t="shared" ref="AX4790" si="5540">SUM(AR4790:AW4790)</f>
        <v>1380770</v>
      </c>
      <c r="AY4790" s="119"/>
      <c r="AZ4790" s="137">
        <v>46041</v>
      </c>
    </row>
    <row r="4791" spans="1:52" ht="17.100000000000001" customHeight="1" thickBot="1">
      <c r="A4791" s="110"/>
      <c r="B4791" s="27" t="s">
        <v>2641</v>
      </c>
      <c r="C4791" s="27">
        <v>9003</v>
      </c>
      <c r="D4791" s="14" t="s">
        <v>275</v>
      </c>
      <c r="E4791" s="112"/>
      <c r="F4791" s="139" t="s">
        <v>14298</v>
      </c>
      <c r="G4791" s="140"/>
      <c r="H4791" s="141"/>
      <c r="I4791" s="26">
        <v>103561</v>
      </c>
      <c r="J4791" s="117"/>
      <c r="K4791" s="120"/>
      <c r="L4791" s="121"/>
      <c r="M4791" s="120"/>
      <c r="N4791" s="121"/>
      <c r="O4791" s="120"/>
      <c r="P4791" s="121"/>
      <c r="Q4791" s="120"/>
      <c r="R4791" s="121"/>
      <c r="S4791" s="120"/>
      <c r="T4791" s="121"/>
      <c r="U4791" s="120"/>
      <c r="V4791" s="123"/>
      <c r="W4791" s="125"/>
      <c r="X4791" s="142" t="s">
        <v>1997</v>
      </c>
      <c r="Y4791" s="143"/>
      <c r="Z4791" s="143"/>
      <c r="AA4791" s="143"/>
      <c r="AB4791" s="144"/>
      <c r="AC4791" s="16" t="s">
        <v>21</v>
      </c>
      <c r="AD4791" s="17" t="s">
        <v>4121</v>
      </c>
      <c r="AE4791" s="145" t="s">
        <v>14642</v>
      </c>
      <c r="AF4791" s="146"/>
      <c r="AG4791" s="146"/>
      <c r="AH4791" s="146"/>
      <c r="AI4791" s="147"/>
      <c r="AJ4791" s="148"/>
      <c r="AK4791" s="143"/>
      <c r="AL4791" s="144"/>
      <c r="AM4791" s="22"/>
      <c r="AN4791" s="149" t="s">
        <v>2794</v>
      </c>
      <c r="AO4791" s="144"/>
      <c r="AP4791" s="148">
        <v>6012</v>
      </c>
      <c r="AQ4791" s="144"/>
      <c r="AR4791" s="120"/>
      <c r="AS4791" s="121"/>
      <c r="AT4791" s="120"/>
      <c r="AU4791" s="121"/>
      <c r="AV4791" s="120"/>
      <c r="AW4791" s="121"/>
      <c r="AX4791" s="120"/>
      <c r="AY4791" s="121"/>
      <c r="AZ4791" s="138"/>
    </row>
    <row r="4792" spans="1:52" ht="17.100000000000001" customHeight="1" thickTop="1">
      <c r="A4792" s="109" t="s">
        <v>14284</v>
      </c>
      <c r="B4792" s="28">
        <v>46017</v>
      </c>
      <c r="C4792" s="25">
        <v>1400</v>
      </c>
      <c r="D4792" s="13" t="s">
        <v>3610</v>
      </c>
      <c r="E4792" s="111"/>
      <c r="F4792" s="113" t="s">
        <v>14329</v>
      </c>
      <c r="G4792" s="114"/>
      <c r="H4792" s="115"/>
      <c r="I4792" s="24" t="s">
        <v>14330</v>
      </c>
      <c r="J4792" s="116">
        <v>3.5</v>
      </c>
      <c r="K4792" s="118">
        <v>370000</v>
      </c>
      <c r="L4792" s="119"/>
      <c r="M4792" s="118">
        <f t="shared" ref="M4792" si="5541">K4792*0.1</f>
        <v>37000</v>
      </c>
      <c r="N4792" s="119"/>
      <c r="O4792" s="118">
        <v>0</v>
      </c>
      <c r="P4792" s="119"/>
      <c r="Q4792" s="118">
        <v>9790</v>
      </c>
      <c r="R4792" s="119"/>
      <c r="S4792" s="118">
        <v>13200</v>
      </c>
      <c r="T4792" s="119"/>
      <c r="U4792" s="118">
        <f t="shared" ref="U4792" si="5542">SUM(K4792:T4793)</f>
        <v>429990</v>
      </c>
      <c r="V4792" s="122"/>
      <c r="W4792" s="124"/>
      <c r="X4792" s="126" t="s">
        <v>14592</v>
      </c>
      <c r="Y4792" s="127"/>
      <c r="Z4792" s="127"/>
      <c r="AA4792" s="127"/>
      <c r="AB4792" s="128"/>
      <c r="AC4792" s="15" t="s">
        <v>20</v>
      </c>
      <c r="AD4792" s="129"/>
      <c r="AE4792" s="130"/>
      <c r="AF4792" s="130"/>
      <c r="AG4792" s="130"/>
      <c r="AH4792" s="130"/>
      <c r="AI4792" s="131"/>
      <c r="AJ4792" s="132"/>
      <c r="AK4792" s="127"/>
      <c r="AL4792" s="128"/>
      <c r="AM4792" s="21" t="s">
        <v>15364</v>
      </c>
      <c r="AN4792" s="133">
        <v>46036</v>
      </c>
      <c r="AO4792" s="134"/>
      <c r="AP4792" s="135">
        <v>1000</v>
      </c>
      <c r="AQ4792" s="136"/>
      <c r="AR4792" s="118">
        <v>500000</v>
      </c>
      <c r="AS4792" s="119"/>
      <c r="AT4792" s="118">
        <f t="shared" ref="AT4792" si="5543">AR4792*0.1</f>
        <v>50000</v>
      </c>
      <c r="AU4792" s="119"/>
      <c r="AV4792" s="118">
        <v>9790</v>
      </c>
      <c r="AW4792" s="119"/>
      <c r="AX4792" s="118">
        <f t="shared" ref="AX4792" si="5544">SUM(AR4792:AW4792)</f>
        <v>559790</v>
      </c>
      <c r="AY4792" s="119"/>
      <c r="AZ4792" s="137">
        <v>46044</v>
      </c>
    </row>
    <row r="4793" spans="1:52" ht="17.100000000000001" customHeight="1" thickBot="1">
      <c r="A4793" s="110"/>
      <c r="B4793" s="27" t="s">
        <v>2641</v>
      </c>
      <c r="C4793" s="27">
        <v>9022</v>
      </c>
      <c r="D4793" s="14" t="s">
        <v>3327</v>
      </c>
      <c r="E4793" s="112"/>
      <c r="F4793" s="139" t="s">
        <v>14299</v>
      </c>
      <c r="G4793" s="140"/>
      <c r="H4793" s="141"/>
      <c r="I4793" s="26">
        <v>57667</v>
      </c>
      <c r="J4793" s="117"/>
      <c r="K4793" s="120"/>
      <c r="L4793" s="121"/>
      <c r="M4793" s="120"/>
      <c r="N4793" s="121"/>
      <c r="O4793" s="120"/>
      <c r="P4793" s="121"/>
      <c r="Q4793" s="120"/>
      <c r="R4793" s="121"/>
      <c r="S4793" s="120"/>
      <c r="T4793" s="121"/>
      <c r="U4793" s="120"/>
      <c r="V4793" s="123"/>
      <c r="W4793" s="125"/>
      <c r="X4793" s="142" t="s">
        <v>14593</v>
      </c>
      <c r="Y4793" s="143"/>
      <c r="Z4793" s="143"/>
      <c r="AA4793" s="143"/>
      <c r="AB4793" s="144"/>
      <c r="AC4793" s="16" t="s">
        <v>21</v>
      </c>
      <c r="AD4793" s="17" t="s">
        <v>3921</v>
      </c>
      <c r="AE4793" s="145" t="s">
        <v>13451</v>
      </c>
      <c r="AF4793" s="146"/>
      <c r="AG4793" s="146"/>
      <c r="AH4793" s="146"/>
      <c r="AI4793" s="147"/>
      <c r="AJ4793" s="148"/>
      <c r="AK4793" s="143"/>
      <c r="AL4793" s="144"/>
      <c r="AM4793" s="22"/>
      <c r="AN4793" s="149" t="s">
        <v>8809</v>
      </c>
      <c r="AO4793" s="144"/>
      <c r="AP4793" s="148">
        <v>2052</v>
      </c>
      <c r="AQ4793" s="144"/>
      <c r="AR4793" s="120"/>
      <c r="AS4793" s="121"/>
      <c r="AT4793" s="120"/>
      <c r="AU4793" s="121"/>
      <c r="AV4793" s="120"/>
      <c r="AW4793" s="121"/>
      <c r="AX4793" s="120"/>
      <c r="AY4793" s="121"/>
      <c r="AZ4793" s="138"/>
    </row>
    <row r="4794" spans="1:52" ht="17.100000000000001" customHeight="1" thickTop="1">
      <c r="A4794" s="109" t="s">
        <v>14285</v>
      </c>
      <c r="B4794" s="28">
        <v>46017</v>
      </c>
      <c r="C4794" s="25">
        <v>1400</v>
      </c>
      <c r="D4794" s="13" t="s">
        <v>14331</v>
      </c>
      <c r="E4794" s="111"/>
      <c r="F4794" s="113" t="s">
        <v>9530</v>
      </c>
      <c r="G4794" s="114"/>
      <c r="H4794" s="115"/>
      <c r="I4794" s="24"/>
      <c r="J4794" s="116">
        <v>4</v>
      </c>
      <c r="K4794" s="118">
        <v>157000</v>
      </c>
      <c r="L4794" s="119"/>
      <c r="M4794" s="118">
        <f t="shared" ref="M4794" si="5545">K4794*0.1</f>
        <v>15700</v>
      </c>
      <c r="N4794" s="119"/>
      <c r="O4794" s="118">
        <v>0</v>
      </c>
      <c r="P4794" s="119"/>
      <c r="Q4794" s="118">
        <v>9790</v>
      </c>
      <c r="R4794" s="119"/>
      <c r="S4794" s="118">
        <v>13200</v>
      </c>
      <c r="T4794" s="119"/>
      <c r="U4794" s="118">
        <f t="shared" ref="U4794" si="5546">SUM(K4794:T4795)</f>
        <v>195690</v>
      </c>
      <c r="V4794" s="122"/>
      <c r="W4794" s="124"/>
      <c r="X4794" s="126" t="s">
        <v>14591</v>
      </c>
      <c r="Y4794" s="127"/>
      <c r="Z4794" s="127"/>
      <c r="AA4794" s="127"/>
      <c r="AB4794" s="128"/>
      <c r="AC4794" s="15" t="s">
        <v>20</v>
      </c>
      <c r="AD4794" s="129"/>
      <c r="AE4794" s="130"/>
      <c r="AF4794" s="130"/>
      <c r="AG4794" s="130"/>
      <c r="AH4794" s="130"/>
      <c r="AI4794" s="131"/>
      <c r="AJ4794" s="132"/>
      <c r="AK4794" s="127"/>
      <c r="AL4794" s="128"/>
      <c r="AM4794" s="21"/>
      <c r="AN4794" s="133">
        <v>46043</v>
      </c>
      <c r="AO4794" s="134"/>
      <c r="AP4794" s="135">
        <v>1001</v>
      </c>
      <c r="AQ4794" s="136"/>
      <c r="AR4794" s="118">
        <v>210000</v>
      </c>
      <c r="AS4794" s="119"/>
      <c r="AT4794" s="118">
        <f t="shared" ref="AT4794" si="5547">AR4794*0.1</f>
        <v>21000</v>
      </c>
      <c r="AU4794" s="119"/>
      <c r="AV4794" s="118">
        <v>9790</v>
      </c>
      <c r="AW4794" s="119"/>
      <c r="AX4794" s="118">
        <f t="shared" ref="AX4794" si="5548">SUM(AR4794:AW4794)</f>
        <v>240790</v>
      </c>
      <c r="AY4794" s="119"/>
      <c r="AZ4794" s="137">
        <v>46048</v>
      </c>
    </row>
    <row r="4795" spans="1:52" ht="17.100000000000001" customHeight="1" thickBot="1">
      <c r="A4795" s="110"/>
      <c r="B4795" s="27" t="s">
        <v>2641</v>
      </c>
      <c r="C4795" s="27">
        <v>9068</v>
      </c>
      <c r="D4795" s="14" t="s">
        <v>1576</v>
      </c>
      <c r="E4795" s="112"/>
      <c r="F4795" s="139" t="s">
        <v>14300</v>
      </c>
      <c r="G4795" s="140"/>
      <c r="H4795" s="141"/>
      <c r="I4795" s="26">
        <v>35767</v>
      </c>
      <c r="J4795" s="117"/>
      <c r="K4795" s="120"/>
      <c r="L4795" s="121"/>
      <c r="M4795" s="120"/>
      <c r="N4795" s="121"/>
      <c r="O4795" s="120"/>
      <c r="P4795" s="121"/>
      <c r="Q4795" s="120"/>
      <c r="R4795" s="121"/>
      <c r="S4795" s="120"/>
      <c r="T4795" s="121"/>
      <c r="U4795" s="120"/>
      <c r="V4795" s="123"/>
      <c r="W4795" s="125"/>
      <c r="X4795" s="142" t="s">
        <v>1997</v>
      </c>
      <c r="Y4795" s="143"/>
      <c r="Z4795" s="143"/>
      <c r="AA4795" s="143"/>
      <c r="AB4795" s="144"/>
      <c r="AC4795" s="16" t="s">
        <v>21</v>
      </c>
      <c r="AD4795" s="17" t="s">
        <v>3921</v>
      </c>
      <c r="AE4795" s="145"/>
      <c r="AF4795" s="146"/>
      <c r="AG4795" s="146"/>
      <c r="AH4795" s="146"/>
      <c r="AI4795" s="147"/>
      <c r="AJ4795" s="148"/>
      <c r="AK4795" s="143"/>
      <c r="AL4795" s="144"/>
      <c r="AM4795" s="22"/>
      <c r="AN4795" s="149" t="s">
        <v>2794</v>
      </c>
      <c r="AO4795" s="144"/>
      <c r="AP4795" s="148">
        <v>2046</v>
      </c>
      <c r="AQ4795" s="144"/>
      <c r="AR4795" s="120"/>
      <c r="AS4795" s="121"/>
      <c r="AT4795" s="120"/>
      <c r="AU4795" s="121"/>
      <c r="AV4795" s="120"/>
      <c r="AW4795" s="121"/>
      <c r="AX4795" s="120"/>
      <c r="AY4795" s="121"/>
      <c r="AZ4795" s="138"/>
    </row>
    <row r="4796" spans="1:52" ht="17.100000000000001" customHeight="1" thickTop="1">
      <c r="A4796" s="109" t="s">
        <v>14301</v>
      </c>
      <c r="B4796" s="28">
        <v>46017</v>
      </c>
      <c r="C4796" s="25">
        <v>80</v>
      </c>
      <c r="D4796" s="13" t="s">
        <v>1597</v>
      </c>
      <c r="E4796" s="111"/>
      <c r="F4796" s="113" t="s">
        <v>10430</v>
      </c>
      <c r="G4796" s="114"/>
      <c r="H4796" s="115"/>
      <c r="I4796" s="24" t="s">
        <v>2956</v>
      </c>
      <c r="J4796" s="116">
        <v>4</v>
      </c>
      <c r="K4796" s="118">
        <v>930000</v>
      </c>
      <c r="L4796" s="119"/>
      <c r="M4796" s="118">
        <f t="shared" ref="M4796" si="5549">K4796*0.1</f>
        <v>93000</v>
      </c>
      <c r="N4796" s="119"/>
      <c r="O4796" s="118">
        <v>0</v>
      </c>
      <c r="P4796" s="119"/>
      <c r="Q4796" s="118">
        <v>9140</v>
      </c>
      <c r="R4796" s="119"/>
      <c r="S4796" s="118">
        <v>33000</v>
      </c>
      <c r="T4796" s="119"/>
      <c r="U4796" s="118">
        <f t="shared" ref="U4796" si="5550">SUM(K4796:T4797)</f>
        <v>1065140</v>
      </c>
      <c r="V4796" s="122"/>
      <c r="W4796" s="124"/>
      <c r="X4796" s="126" t="s">
        <v>15013</v>
      </c>
      <c r="Y4796" s="127"/>
      <c r="Z4796" s="127"/>
      <c r="AA4796" s="127"/>
      <c r="AB4796" s="128"/>
      <c r="AC4796" s="15" t="s">
        <v>20</v>
      </c>
      <c r="AD4796" s="129" t="s">
        <v>13784</v>
      </c>
      <c r="AE4796" s="130"/>
      <c r="AF4796" s="130"/>
      <c r="AG4796" s="130"/>
      <c r="AH4796" s="130"/>
      <c r="AI4796" s="131"/>
      <c r="AJ4796" s="132"/>
      <c r="AK4796" s="127"/>
      <c r="AL4796" s="128"/>
      <c r="AM4796" s="21"/>
      <c r="AN4796" s="133">
        <v>46049</v>
      </c>
      <c r="AO4796" s="134"/>
      <c r="AP4796" s="135">
        <v>1926</v>
      </c>
      <c r="AQ4796" s="136"/>
      <c r="AR4796" s="118">
        <v>1052000</v>
      </c>
      <c r="AS4796" s="119"/>
      <c r="AT4796" s="118">
        <f t="shared" ref="AT4796" si="5551">AR4796*0.1</f>
        <v>105200</v>
      </c>
      <c r="AU4796" s="119"/>
      <c r="AV4796" s="118">
        <v>9140</v>
      </c>
      <c r="AW4796" s="119"/>
      <c r="AX4796" s="118">
        <f t="shared" ref="AX4796" si="5552">SUM(AR4796:AW4796)</f>
        <v>1166340</v>
      </c>
      <c r="AY4796" s="119"/>
      <c r="AZ4796" s="137"/>
    </row>
    <row r="4797" spans="1:52" ht="17.100000000000001" customHeight="1" thickBot="1">
      <c r="A4797" s="110"/>
      <c r="B4797" s="27" t="s">
        <v>4544</v>
      </c>
      <c r="C4797" s="27">
        <v>1018</v>
      </c>
      <c r="D4797" s="14" t="s">
        <v>3793</v>
      </c>
      <c r="E4797" s="112"/>
      <c r="F4797" s="139" t="s">
        <v>14306</v>
      </c>
      <c r="G4797" s="140"/>
      <c r="H4797" s="141"/>
      <c r="I4797" s="26">
        <v>48865</v>
      </c>
      <c r="J4797" s="117"/>
      <c r="K4797" s="120"/>
      <c r="L4797" s="121"/>
      <c r="M4797" s="120"/>
      <c r="N4797" s="121"/>
      <c r="O4797" s="120"/>
      <c r="P4797" s="121"/>
      <c r="Q4797" s="120"/>
      <c r="R4797" s="121"/>
      <c r="S4797" s="120"/>
      <c r="T4797" s="121"/>
      <c r="U4797" s="120"/>
      <c r="V4797" s="123"/>
      <c r="W4797" s="125"/>
      <c r="X4797" s="142" t="s">
        <v>15014</v>
      </c>
      <c r="Y4797" s="143"/>
      <c r="Z4797" s="143"/>
      <c r="AA4797" s="143"/>
      <c r="AB4797" s="144"/>
      <c r="AC4797" s="16" t="s">
        <v>21</v>
      </c>
      <c r="AD4797" s="17" t="s">
        <v>1815</v>
      </c>
      <c r="AE4797" s="145" t="s">
        <v>1609</v>
      </c>
      <c r="AF4797" s="146"/>
      <c r="AG4797" s="146"/>
      <c r="AH4797" s="146"/>
      <c r="AI4797" s="147"/>
      <c r="AJ4797" s="148"/>
      <c r="AK4797" s="143"/>
      <c r="AL4797" s="144"/>
      <c r="AM4797" s="22"/>
      <c r="AN4797" s="149" t="s">
        <v>2131</v>
      </c>
      <c r="AO4797" s="144"/>
      <c r="AP4797" s="148">
        <v>3049</v>
      </c>
      <c r="AQ4797" s="144"/>
      <c r="AR4797" s="120"/>
      <c r="AS4797" s="121"/>
      <c r="AT4797" s="120"/>
      <c r="AU4797" s="121"/>
      <c r="AV4797" s="120"/>
      <c r="AW4797" s="121"/>
      <c r="AX4797" s="120"/>
      <c r="AY4797" s="121"/>
      <c r="AZ4797" s="138"/>
    </row>
    <row r="4798" spans="1:52" ht="17.100000000000001" customHeight="1" thickTop="1">
      <c r="A4798" s="109" t="s">
        <v>14302</v>
      </c>
      <c r="B4798" s="28">
        <v>46017</v>
      </c>
      <c r="C4798" s="25">
        <v>80</v>
      </c>
      <c r="D4798" s="13" t="s">
        <v>2415</v>
      </c>
      <c r="E4798" s="111"/>
      <c r="F4798" s="113" t="s">
        <v>2719</v>
      </c>
      <c r="G4798" s="114"/>
      <c r="H4798" s="115"/>
      <c r="I4798" s="24" t="s">
        <v>2584</v>
      </c>
      <c r="J4798" s="116">
        <v>5</v>
      </c>
      <c r="K4798" s="118">
        <v>1150000</v>
      </c>
      <c r="L4798" s="119"/>
      <c r="M4798" s="118">
        <f t="shared" ref="M4798" si="5553">K4798*0.1</f>
        <v>115000</v>
      </c>
      <c r="N4798" s="119"/>
      <c r="O4798" s="118">
        <v>0</v>
      </c>
      <c r="P4798" s="119"/>
      <c r="Q4798" s="118">
        <v>14200</v>
      </c>
      <c r="R4798" s="119"/>
      <c r="S4798" s="118">
        <v>44000</v>
      </c>
      <c r="T4798" s="119"/>
      <c r="U4798" s="118">
        <f t="shared" ref="U4798" si="5554">SUM(K4798:T4799)</f>
        <v>1323200</v>
      </c>
      <c r="V4798" s="122"/>
      <c r="W4798" s="124"/>
      <c r="X4798" s="126" t="s">
        <v>15011</v>
      </c>
      <c r="Y4798" s="127"/>
      <c r="Z4798" s="127"/>
      <c r="AA4798" s="127"/>
      <c r="AB4798" s="128"/>
      <c r="AC4798" s="15" t="s">
        <v>20</v>
      </c>
      <c r="AD4798" s="129" t="s">
        <v>13786</v>
      </c>
      <c r="AE4798" s="130"/>
      <c r="AF4798" s="130"/>
      <c r="AG4798" s="130"/>
      <c r="AH4798" s="130"/>
      <c r="AI4798" s="131"/>
      <c r="AJ4798" s="132"/>
      <c r="AK4798" s="127"/>
      <c r="AL4798" s="128"/>
      <c r="AM4798" s="21"/>
      <c r="AN4798" s="133">
        <v>46042</v>
      </c>
      <c r="AO4798" s="134"/>
      <c r="AP4798" s="135">
        <v>1925</v>
      </c>
      <c r="AQ4798" s="136"/>
      <c r="AR4798" s="118">
        <v>1220000</v>
      </c>
      <c r="AS4798" s="119"/>
      <c r="AT4798" s="118">
        <f t="shared" ref="AT4798" si="5555">AR4798*0.1</f>
        <v>122000</v>
      </c>
      <c r="AU4798" s="119"/>
      <c r="AV4798" s="118">
        <v>14200</v>
      </c>
      <c r="AW4798" s="119"/>
      <c r="AX4798" s="118">
        <f t="shared" ref="AX4798" si="5556">SUM(AR4798:AW4798)</f>
        <v>1356200</v>
      </c>
      <c r="AY4798" s="119"/>
      <c r="AZ4798" s="137"/>
    </row>
    <row r="4799" spans="1:52" ht="17.100000000000001" customHeight="1" thickBot="1">
      <c r="A4799" s="110"/>
      <c r="B4799" s="27" t="s">
        <v>4544</v>
      </c>
      <c r="C4799" s="27">
        <v>1031</v>
      </c>
      <c r="D4799" s="14" t="s">
        <v>1720</v>
      </c>
      <c r="E4799" s="112"/>
      <c r="F4799" s="139" t="s">
        <v>14307</v>
      </c>
      <c r="G4799" s="140"/>
      <c r="H4799" s="141"/>
      <c r="I4799" s="26">
        <v>4409</v>
      </c>
      <c r="J4799" s="117"/>
      <c r="K4799" s="120"/>
      <c r="L4799" s="121"/>
      <c r="M4799" s="120"/>
      <c r="N4799" s="121"/>
      <c r="O4799" s="120"/>
      <c r="P4799" s="121"/>
      <c r="Q4799" s="120"/>
      <c r="R4799" s="121"/>
      <c r="S4799" s="120"/>
      <c r="T4799" s="121"/>
      <c r="U4799" s="120"/>
      <c r="V4799" s="123"/>
      <c r="W4799" s="125"/>
      <c r="X4799" s="142" t="s">
        <v>15012</v>
      </c>
      <c r="Y4799" s="143"/>
      <c r="Z4799" s="143"/>
      <c r="AA4799" s="143"/>
      <c r="AB4799" s="144"/>
      <c r="AC4799" s="16" t="s">
        <v>21</v>
      </c>
      <c r="AD4799" s="17" t="s">
        <v>1815</v>
      </c>
      <c r="AE4799" s="145" t="s">
        <v>1609</v>
      </c>
      <c r="AF4799" s="146"/>
      <c r="AG4799" s="146"/>
      <c r="AH4799" s="146"/>
      <c r="AI4799" s="147"/>
      <c r="AJ4799" s="148"/>
      <c r="AK4799" s="143"/>
      <c r="AL4799" s="144"/>
      <c r="AM4799" s="22"/>
      <c r="AN4799" s="149" t="s">
        <v>2131</v>
      </c>
      <c r="AO4799" s="144"/>
      <c r="AP4799" s="148">
        <v>3195</v>
      </c>
      <c r="AQ4799" s="144"/>
      <c r="AR4799" s="120"/>
      <c r="AS4799" s="121"/>
      <c r="AT4799" s="120"/>
      <c r="AU4799" s="121"/>
      <c r="AV4799" s="120"/>
      <c r="AW4799" s="121"/>
      <c r="AX4799" s="120"/>
      <c r="AY4799" s="121"/>
      <c r="AZ4799" s="138"/>
    </row>
    <row r="4800" spans="1:52" ht="17.100000000000001" customHeight="1" thickTop="1">
      <c r="A4800" s="109" t="s">
        <v>14303</v>
      </c>
      <c r="B4800" s="28">
        <v>46017</v>
      </c>
      <c r="C4800" s="25">
        <v>80</v>
      </c>
      <c r="D4800" s="13" t="s">
        <v>1958</v>
      </c>
      <c r="E4800" s="111"/>
      <c r="F4800" s="113" t="s">
        <v>14319</v>
      </c>
      <c r="G4800" s="114"/>
      <c r="H4800" s="115"/>
      <c r="I4800" s="24" t="s">
        <v>2919</v>
      </c>
      <c r="J4800" s="116">
        <v>4.5</v>
      </c>
      <c r="K4800" s="118">
        <v>725000</v>
      </c>
      <c r="L4800" s="119"/>
      <c r="M4800" s="118">
        <f t="shared" ref="M4800" si="5557">K4800*0.1</f>
        <v>72500</v>
      </c>
      <c r="N4800" s="119"/>
      <c r="O4800" s="118">
        <v>0</v>
      </c>
      <c r="P4800" s="119"/>
      <c r="Q4800" s="118">
        <v>7570</v>
      </c>
      <c r="R4800" s="119"/>
      <c r="S4800" s="118">
        <v>33000</v>
      </c>
      <c r="T4800" s="119"/>
      <c r="U4800" s="118">
        <f t="shared" ref="U4800" si="5558">SUM(K4800:T4801)</f>
        <v>838070</v>
      </c>
      <c r="V4800" s="122"/>
      <c r="W4800" s="124"/>
      <c r="X4800" s="126" t="s">
        <v>15602</v>
      </c>
      <c r="Y4800" s="127"/>
      <c r="Z4800" s="127"/>
      <c r="AA4800" s="127"/>
      <c r="AB4800" s="128"/>
      <c r="AC4800" s="15" t="s">
        <v>20</v>
      </c>
      <c r="AD4800" s="129" t="s">
        <v>13783</v>
      </c>
      <c r="AE4800" s="130"/>
      <c r="AF4800" s="130"/>
      <c r="AG4800" s="130"/>
      <c r="AH4800" s="130"/>
      <c r="AI4800" s="131"/>
      <c r="AJ4800" s="132"/>
      <c r="AK4800" s="127"/>
      <c r="AL4800" s="128"/>
      <c r="AM4800" s="21"/>
      <c r="AN4800" s="133">
        <v>46050</v>
      </c>
      <c r="AO4800" s="134"/>
      <c r="AP4800" s="135">
        <v>1002</v>
      </c>
      <c r="AQ4800" s="136"/>
      <c r="AR4800" s="118">
        <v>850000</v>
      </c>
      <c r="AS4800" s="119"/>
      <c r="AT4800" s="118">
        <f t="shared" ref="AT4800" si="5559">AR4800*0.1</f>
        <v>85000</v>
      </c>
      <c r="AU4800" s="119"/>
      <c r="AV4800" s="118">
        <v>7570</v>
      </c>
      <c r="AW4800" s="119"/>
      <c r="AX4800" s="118">
        <f t="shared" ref="AX4800" si="5560">SUM(AR4800:AW4800)</f>
        <v>942570</v>
      </c>
      <c r="AY4800" s="119"/>
      <c r="AZ4800" s="137">
        <v>46055</v>
      </c>
    </row>
    <row r="4801" spans="1:52" ht="17.100000000000001" customHeight="1" thickBot="1">
      <c r="A4801" s="110"/>
      <c r="B4801" s="27" t="s">
        <v>4544</v>
      </c>
      <c r="C4801" s="27">
        <v>1056</v>
      </c>
      <c r="D4801" s="14" t="s">
        <v>275</v>
      </c>
      <c r="E4801" s="112"/>
      <c r="F4801" s="139" t="s">
        <v>14308</v>
      </c>
      <c r="G4801" s="140"/>
      <c r="H4801" s="141"/>
      <c r="I4801" s="26">
        <v>55843</v>
      </c>
      <c r="J4801" s="117"/>
      <c r="K4801" s="120"/>
      <c r="L4801" s="121"/>
      <c r="M4801" s="120"/>
      <c r="N4801" s="121"/>
      <c r="O4801" s="120"/>
      <c r="P4801" s="121"/>
      <c r="Q4801" s="120"/>
      <c r="R4801" s="121"/>
      <c r="S4801" s="120"/>
      <c r="T4801" s="121"/>
      <c r="U4801" s="120"/>
      <c r="V4801" s="123"/>
      <c r="W4801" s="125"/>
      <c r="X4801" s="142" t="s">
        <v>15603</v>
      </c>
      <c r="Y4801" s="143"/>
      <c r="Z4801" s="143"/>
      <c r="AA4801" s="143"/>
      <c r="AB4801" s="144"/>
      <c r="AC4801" s="16" t="s">
        <v>21</v>
      </c>
      <c r="AD4801" s="17" t="s">
        <v>15604</v>
      </c>
      <c r="AE4801" s="145" t="s">
        <v>10730</v>
      </c>
      <c r="AF4801" s="146"/>
      <c r="AG4801" s="146"/>
      <c r="AH4801" s="146"/>
      <c r="AI4801" s="147"/>
      <c r="AJ4801" s="148"/>
      <c r="AK4801" s="143"/>
      <c r="AL4801" s="144"/>
      <c r="AM4801" s="22"/>
      <c r="AN4801" s="149" t="s">
        <v>2794</v>
      </c>
      <c r="AO4801" s="144"/>
      <c r="AP4801" s="148">
        <v>1267</v>
      </c>
      <c r="AQ4801" s="144"/>
      <c r="AR4801" s="120"/>
      <c r="AS4801" s="121"/>
      <c r="AT4801" s="120"/>
      <c r="AU4801" s="121"/>
      <c r="AV4801" s="120"/>
      <c r="AW4801" s="121"/>
      <c r="AX4801" s="120"/>
      <c r="AY4801" s="121"/>
      <c r="AZ4801" s="138"/>
    </row>
    <row r="4802" spans="1:52" ht="17.100000000000001" customHeight="1" thickTop="1">
      <c r="A4802" s="109" t="s">
        <v>14304</v>
      </c>
      <c r="B4802" s="28">
        <v>46017</v>
      </c>
      <c r="C4802" s="25">
        <v>80</v>
      </c>
      <c r="D4802" s="13" t="s">
        <v>1929</v>
      </c>
      <c r="E4802" s="111"/>
      <c r="F4802" s="113" t="s">
        <v>14320</v>
      </c>
      <c r="G4802" s="114"/>
      <c r="H4802" s="115"/>
      <c r="I4802" s="24" t="s">
        <v>3923</v>
      </c>
      <c r="J4802" s="150" t="s">
        <v>1715</v>
      </c>
      <c r="K4802" s="118">
        <v>405000</v>
      </c>
      <c r="L4802" s="119"/>
      <c r="M4802" s="118">
        <f t="shared" ref="M4802" si="5561">K4802*0.1</f>
        <v>40500</v>
      </c>
      <c r="N4802" s="119"/>
      <c r="O4802" s="118">
        <f>6500+650</f>
        <v>7150</v>
      </c>
      <c r="P4802" s="119"/>
      <c r="Q4802" s="118">
        <v>10830</v>
      </c>
      <c r="R4802" s="119"/>
      <c r="S4802" s="118">
        <v>33000</v>
      </c>
      <c r="T4802" s="119"/>
      <c r="U4802" s="118">
        <f t="shared" ref="U4802" si="5562">SUM(K4802:T4803)</f>
        <v>496480</v>
      </c>
      <c r="V4802" s="122"/>
      <c r="W4802" s="124"/>
      <c r="X4802" s="126" t="s">
        <v>15401</v>
      </c>
      <c r="Y4802" s="127"/>
      <c r="Z4802" s="127"/>
      <c r="AA4802" s="127"/>
      <c r="AB4802" s="128"/>
      <c r="AC4802" s="15" t="s">
        <v>20</v>
      </c>
      <c r="AD4802" s="129" t="s">
        <v>13784</v>
      </c>
      <c r="AE4802" s="130"/>
      <c r="AF4802" s="130"/>
      <c r="AG4802" s="130"/>
      <c r="AH4802" s="130"/>
      <c r="AI4802" s="131"/>
      <c r="AJ4802" s="132"/>
      <c r="AK4802" s="127"/>
      <c r="AL4802" s="128"/>
      <c r="AM4802" s="21"/>
      <c r="AN4802" s="133">
        <v>46057</v>
      </c>
      <c r="AO4802" s="134"/>
      <c r="AP4802" s="135">
        <v>1003</v>
      </c>
      <c r="AQ4802" s="136"/>
      <c r="AR4802" s="118">
        <v>485000</v>
      </c>
      <c r="AS4802" s="119"/>
      <c r="AT4802" s="118">
        <f t="shared" ref="AT4802" si="5563">AR4802*0.1</f>
        <v>48500</v>
      </c>
      <c r="AU4802" s="119"/>
      <c r="AV4802" s="118">
        <v>10830</v>
      </c>
      <c r="AW4802" s="119"/>
      <c r="AX4802" s="118">
        <f t="shared" ref="AX4802" si="5564">SUM(AR4802:AW4802)</f>
        <v>544330</v>
      </c>
      <c r="AY4802" s="119"/>
      <c r="AZ4802" s="137">
        <v>46062</v>
      </c>
    </row>
    <row r="4803" spans="1:52" ht="17.100000000000001" customHeight="1" thickBot="1">
      <c r="A4803" s="110"/>
      <c r="B4803" s="27" t="s">
        <v>4544</v>
      </c>
      <c r="C4803" s="27">
        <v>1081</v>
      </c>
      <c r="D4803" s="14" t="s">
        <v>2601</v>
      </c>
      <c r="E4803" s="112"/>
      <c r="F4803" s="139" t="s">
        <v>14309</v>
      </c>
      <c r="G4803" s="140"/>
      <c r="H4803" s="141"/>
      <c r="I4803" s="26">
        <v>116448</v>
      </c>
      <c r="J4803" s="117"/>
      <c r="K4803" s="120"/>
      <c r="L4803" s="121"/>
      <c r="M4803" s="120"/>
      <c r="N4803" s="121"/>
      <c r="O4803" s="120"/>
      <c r="P4803" s="121"/>
      <c r="Q4803" s="120"/>
      <c r="R4803" s="121"/>
      <c r="S4803" s="120"/>
      <c r="T4803" s="121"/>
      <c r="U4803" s="120"/>
      <c r="V4803" s="123"/>
      <c r="W4803" s="125"/>
      <c r="X4803" s="142" t="s">
        <v>15402</v>
      </c>
      <c r="Y4803" s="143"/>
      <c r="Z4803" s="143"/>
      <c r="AA4803" s="143"/>
      <c r="AB4803" s="144"/>
      <c r="AC4803" s="16" t="s">
        <v>21</v>
      </c>
      <c r="AD4803" s="17" t="s">
        <v>15379</v>
      </c>
      <c r="AE4803" s="145" t="s">
        <v>14182</v>
      </c>
      <c r="AF4803" s="146"/>
      <c r="AG4803" s="146"/>
      <c r="AH4803" s="146"/>
      <c r="AI4803" s="147"/>
      <c r="AJ4803" s="148"/>
      <c r="AK4803" s="143"/>
      <c r="AL4803" s="144"/>
      <c r="AM4803" s="22"/>
      <c r="AN4803" s="149" t="s">
        <v>2794</v>
      </c>
      <c r="AO4803" s="144"/>
      <c r="AP4803" s="148">
        <v>1015</v>
      </c>
      <c r="AQ4803" s="144"/>
      <c r="AR4803" s="120"/>
      <c r="AS4803" s="121"/>
      <c r="AT4803" s="120"/>
      <c r="AU4803" s="121"/>
      <c r="AV4803" s="120"/>
      <c r="AW4803" s="121"/>
      <c r="AX4803" s="120"/>
      <c r="AY4803" s="121"/>
      <c r="AZ4803" s="138"/>
    </row>
    <row r="4804" spans="1:52" ht="17.100000000000001" customHeight="1" thickTop="1">
      <c r="A4804" s="109" t="s">
        <v>14305</v>
      </c>
      <c r="B4804" s="28">
        <v>46017</v>
      </c>
      <c r="C4804" s="25">
        <v>80</v>
      </c>
      <c r="D4804" s="13" t="s">
        <v>3550</v>
      </c>
      <c r="E4804" s="111"/>
      <c r="F4804" s="113" t="s">
        <v>14321</v>
      </c>
      <c r="G4804" s="114"/>
      <c r="H4804" s="115"/>
      <c r="I4804" s="24" t="s">
        <v>2112</v>
      </c>
      <c r="J4804" s="116">
        <v>4</v>
      </c>
      <c r="K4804" s="118">
        <v>3700000</v>
      </c>
      <c r="L4804" s="119"/>
      <c r="M4804" s="118">
        <f t="shared" ref="M4804" si="5565">K4804*0.1</f>
        <v>370000</v>
      </c>
      <c r="N4804" s="119"/>
      <c r="O4804" s="118">
        <v>0</v>
      </c>
      <c r="P4804" s="119"/>
      <c r="Q4804" s="118">
        <v>14900</v>
      </c>
      <c r="R4804" s="119"/>
      <c r="S4804" s="118">
        <v>88000</v>
      </c>
      <c r="T4804" s="119"/>
      <c r="U4804" s="118">
        <f t="shared" ref="U4804" si="5566">SUM(K4804:T4805)</f>
        <v>4172900</v>
      </c>
      <c r="V4804" s="122"/>
      <c r="W4804" s="124"/>
      <c r="X4804" s="126" t="s">
        <v>14987</v>
      </c>
      <c r="Y4804" s="127"/>
      <c r="Z4804" s="127"/>
      <c r="AA4804" s="127"/>
      <c r="AB4804" s="128"/>
      <c r="AC4804" s="15" t="s">
        <v>20</v>
      </c>
      <c r="AD4804" s="129" t="s">
        <v>14322</v>
      </c>
      <c r="AE4804" s="130"/>
      <c r="AF4804" s="130"/>
      <c r="AG4804" s="130"/>
      <c r="AH4804" s="130"/>
      <c r="AI4804" s="131"/>
      <c r="AJ4804" s="132"/>
      <c r="AK4804" s="127"/>
      <c r="AL4804" s="128"/>
      <c r="AM4804" s="21"/>
      <c r="AN4804" s="133">
        <v>46036</v>
      </c>
      <c r="AO4804" s="134"/>
      <c r="AP4804" s="135">
        <v>1000</v>
      </c>
      <c r="AQ4804" s="136"/>
      <c r="AR4804" s="118">
        <v>3960000</v>
      </c>
      <c r="AS4804" s="119"/>
      <c r="AT4804" s="118">
        <f t="shared" ref="AT4804" si="5567">AR4804*0.1</f>
        <v>396000</v>
      </c>
      <c r="AU4804" s="119"/>
      <c r="AV4804" s="118">
        <v>14900</v>
      </c>
      <c r="AW4804" s="119"/>
      <c r="AX4804" s="118">
        <f t="shared" ref="AX4804" si="5568">SUM(AR4804:AW4804)</f>
        <v>4370900</v>
      </c>
      <c r="AY4804" s="119"/>
      <c r="AZ4804" s="137">
        <v>46041</v>
      </c>
    </row>
    <row r="4805" spans="1:52" ht="17.100000000000001" customHeight="1" thickBot="1">
      <c r="A4805" s="110"/>
      <c r="B4805" s="27" t="s">
        <v>4544</v>
      </c>
      <c r="C4805" s="27">
        <v>1083</v>
      </c>
      <c r="D4805" s="14" t="s">
        <v>275</v>
      </c>
      <c r="E4805" s="112"/>
      <c r="F4805" s="139" t="s">
        <v>14310</v>
      </c>
      <c r="G4805" s="140"/>
      <c r="H4805" s="141"/>
      <c r="I4805" s="26">
        <v>39592</v>
      </c>
      <c r="J4805" s="117"/>
      <c r="K4805" s="120"/>
      <c r="L4805" s="121"/>
      <c r="M4805" s="120"/>
      <c r="N4805" s="121"/>
      <c r="O4805" s="120"/>
      <c r="P4805" s="121"/>
      <c r="Q4805" s="120"/>
      <c r="R4805" s="121"/>
      <c r="S4805" s="120"/>
      <c r="T4805" s="121"/>
      <c r="U4805" s="120"/>
      <c r="V4805" s="123"/>
      <c r="W4805" s="125"/>
      <c r="X4805" s="142" t="s">
        <v>14988</v>
      </c>
      <c r="Y4805" s="143"/>
      <c r="Z4805" s="143"/>
      <c r="AA4805" s="143"/>
      <c r="AB4805" s="144"/>
      <c r="AC4805" s="16" t="s">
        <v>21</v>
      </c>
      <c r="AD4805" s="17" t="s">
        <v>1815</v>
      </c>
      <c r="AE4805" s="145" t="s">
        <v>2051</v>
      </c>
      <c r="AF4805" s="146"/>
      <c r="AG4805" s="146"/>
      <c r="AH4805" s="146"/>
      <c r="AI4805" s="147"/>
      <c r="AJ4805" s="148"/>
      <c r="AK4805" s="143"/>
      <c r="AL4805" s="144"/>
      <c r="AM4805" s="22"/>
      <c r="AN4805" s="149" t="s">
        <v>2794</v>
      </c>
      <c r="AO4805" s="144"/>
      <c r="AP4805" s="148">
        <v>1149</v>
      </c>
      <c r="AQ4805" s="144"/>
      <c r="AR4805" s="120"/>
      <c r="AS4805" s="121"/>
      <c r="AT4805" s="120"/>
      <c r="AU4805" s="121"/>
      <c r="AV4805" s="120"/>
      <c r="AW4805" s="121"/>
      <c r="AX4805" s="120"/>
      <c r="AY4805" s="121"/>
      <c r="AZ4805" s="138"/>
    </row>
    <row r="4806" spans="1:52" ht="17.100000000000001" customHeight="1" thickTop="1">
      <c r="A4806" s="109" t="s">
        <v>14383</v>
      </c>
      <c r="B4806" s="28">
        <v>46018</v>
      </c>
      <c r="C4806" s="25"/>
      <c r="D4806" s="13" t="s">
        <v>14387</v>
      </c>
      <c r="E4806" s="111"/>
      <c r="F4806" s="113" t="s">
        <v>3242</v>
      </c>
      <c r="G4806" s="114"/>
      <c r="H4806" s="115"/>
      <c r="I4806" s="24" t="s">
        <v>3894</v>
      </c>
      <c r="J4806" s="116"/>
      <c r="K4806" s="118">
        <v>700000</v>
      </c>
      <c r="L4806" s="119"/>
      <c r="M4806" s="118">
        <v>0</v>
      </c>
      <c r="N4806" s="119"/>
      <c r="O4806" s="118">
        <v>0</v>
      </c>
      <c r="P4806" s="119"/>
      <c r="Q4806" s="118">
        <v>0</v>
      </c>
      <c r="R4806" s="119"/>
      <c r="S4806" s="118">
        <v>0</v>
      </c>
      <c r="T4806" s="119"/>
      <c r="U4806" s="118">
        <f t="shared" ref="U4806" si="5569">SUM(K4806:T4807)</f>
        <v>700000</v>
      </c>
      <c r="V4806" s="122"/>
      <c r="W4806" s="124"/>
      <c r="X4806" s="126" t="s">
        <v>14389</v>
      </c>
      <c r="Y4806" s="127"/>
      <c r="Z4806" s="127"/>
      <c r="AA4806" s="127"/>
      <c r="AB4806" s="128"/>
      <c r="AC4806" s="15" t="s">
        <v>20</v>
      </c>
      <c r="AD4806" s="129"/>
      <c r="AE4806" s="130"/>
      <c r="AF4806" s="130"/>
      <c r="AG4806" s="130"/>
      <c r="AH4806" s="130"/>
      <c r="AI4806" s="131"/>
      <c r="AJ4806" s="132"/>
      <c r="AK4806" s="127"/>
      <c r="AL4806" s="128"/>
      <c r="AM4806" s="21"/>
      <c r="AN4806" s="133"/>
      <c r="AO4806" s="134"/>
      <c r="AP4806" s="135"/>
      <c r="AQ4806" s="136"/>
      <c r="AR4806" s="118"/>
      <c r="AS4806" s="119"/>
      <c r="AT4806" s="118">
        <f t="shared" ref="AT4806" si="5570">AR4806*0.1</f>
        <v>0</v>
      </c>
      <c r="AU4806" s="119"/>
      <c r="AV4806" s="118"/>
      <c r="AW4806" s="119"/>
      <c r="AX4806" s="118">
        <f t="shared" ref="AX4806" si="5571">SUM(AR4806:AW4806)</f>
        <v>0</v>
      </c>
      <c r="AY4806" s="119"/>
      <c r="AZ4806" s="137"/>
    </row>
    <row r="4807" spans="1:52" ht="17.100000000000001" customHeight="1" thickBot="1">
      <c r="A4807" s="110"/>
      <c r="B4807" s="27" t="s">
        <v>14386</v>
      </c>
      <c r="C4807" s="27"/>
      <c r="D4807" s="14"/>
      <c r="E4807" s="112"/>
      <c r="F4807" s="139" t="s">
        <v>14388</v>
      </c>
      <c r="G4807" s="140"/>
      <c r="H4807" s="141"/>
      <c r="I4807" s="26">
        <v>43371</v>
      </c>
      <c r="J4807" s="117"/>
      <c r="K4807" s="120"/>
      <c r="L4807" s="121"/>
      <c r="M4807" s="120"/>
      <c r="N4807" s="121"/>
      <c r="O4807" s="120"/>
      <c r="P4807" s="121"/>
      <c r="Q4807" s="120"/>
      <c r="R4807" s="121"/>
      <c r="S4807" s="120"/>
      <c r="T4807" s="121"/>
      <c r="U4807" s="120"/>
      <c r="V4807" s="123"/>
      <c r="W4807" s="125"/>
      <c r="X4807" s="142" t="s">
        <v>14390</v>
      </c>
      <c r="Y4807" s="143"/>
      <c r="Z4807" s="143"/>
      <c r="AA4807" s="143"/>
      <c r="AB4807" s="144"/>
      <c r="AC4807" s="16" t="s">
        <v>21</v>
      </c>
      <c r="AD4807" s="17" t="s">
        <v>14344</v>
      </c>
      <c r="AE4807" s="145" t="s">
        <v>1670</v>
      </c>
      <c r="AF4807" s="146"/>
      <c r="AG4807" s="146"/>
      <c r="AH4807" s="146"/>
      <c r="AI4807" s="147"/>
      <c r="AJ4807" s="148"/>
      <c r="AK4807" s="143"/>
      <c r="AL4807" s="144"/>
      <c r="AM4807" s="22"/>
      <c r="AN4807" s="149"/>
      <c r="AO4807" s="144"/>
      <c r="AP4807" s="148"/>
      <c r="AQ4807" s="144"/>
      <c r="AR4807" s="120"/>
      <c r="AS4807" s="121"/>
      <c r="AT4807" s="120"/>
      <c r="AU4807" s="121"/>
      <c r="AV4807" s="120"/>
      <c r="AW4807" s="121"/>
      <c r="AX4807" s="120"/>
      <c r="AY4807" s="121"/>
      <c r="AZ4807" s="138"/>
    </row>
    <row r="4808" spans="1:52" ht="17.100000000000001" customHeight="1" thickTop="1">
      <c r="A4808" s="151" t="s">
        <v>14384</v>
      </c>
      <c r="B4808" s="28">
        <v>46018</v>
      </c>
      <c r="C4808" s="25">
        <v>1525</v>
      </c>
      <c r="D4808" s="13" t="s">
        <v>859</v>
      </c>
      <c r="E4808" s="111"/>
      <c r="F4808" s="113" t="s">
        <v>14372</v>
      </c>
      <c r="G4808" s="114"/>
      <c r="H4808" s="115"/>
      <c r="I4808" s="24" t="s">
        <v>3618</v>
      </c>
      <c r="J4808" s="116">
        <v>4.5</v>
      </c>
      <c r="K4808" s="118">
        <v>1130000</v>
      </c>
      <c r="L4808" s="119"/>
      <c r="M4808" s="118">
        <f t="shared" ref="M4808" si="5572">K4808*0.1</f>
        <v>113000</v>
      </c>
      <c r="N4808" s="119"/>
      <c r="O4808" s="118">
        <f>7600+760</f>
        <v>8360</v>
      </c>
      <c r="P4808" s="119"/>
      <c r="Q4808" s="118">
        <v>16250</v>
      </c>
      <c r="R4808" s="119"/>
      <c r="S4808" s="118">
        <v>16500</v>
      </c>
      <c r="T4808" s="119"/>
      <c r="U4808" s="118">
        <f t="shared" ref="U4808" si="5573">SUM(K4808:T4809)</f>
        <v>1284110</v>
      </c>
      <c r="V4808" s="122"/>
      <c r="W4808" s="124"/>
      <c r="X4808" s="126" t="s">
        <v>14374</v>
      </c>
      <c r="Y4808" s="127"/>
      <c r="Z4808" s="127"/>
      <c r="AA4808" s="127"/>
      <c r="AB4808" s="128"/>
      <c r="AC4808" s="15" t="s">
        <v>20</v>
      </c>
      <c r="AD4808" s="129" t="s">
        <v>1633</v>
      </c>
      <c r="AE4808" s="130"/>
      <c r="AF4808" s="130"/>
      <c r="AG4808" s="130"/>
      <c r="AH4808" s="130"/>
      <c r="AI4808" s="131"/>
      <c r="AJ4808" s="132"/>
      <c r="AK4808" s="127"/>
      <c r="AL4808" s="128"/>
      <c r="AM4808" s="21"/>
      <c r="AN4808" s="133">
        <v>46039</v>
      </c>
      <c r="AO4808" s="134"/>
      <c r="AP4808" s="135">
        <v>1284</v>
      </c>
      <c r="AQ4808" s="136"/>
      <c r="AR4808" s="118">
        <v>1280000</v>
      </c>
      <c r="AS4808" s="119"/>
      <c r="AT4808" s="118">
        <f t="shared" ref="AT4808" si="5574">AR4808*0.1</f>
        <v>128000</v>
      </c>
      <c r="AU4808" s="119"/>
      <c r="AV4808" s="118">
        <v>16250</v>
      </c>
      <c r="AW4808" s="119"/>
      <c r="AX4808" s="118">
        <f t="shared" ref="AX4808" si="5575">SUM(AR4808:AW4808)</f>
        <v>1424250</v>
      </c>
      <c r="AY4808" s="119"/>
      <c r="AZ4808" s="137">
        <v>46044</v>
      </c>
    </row>
    <row r="4809" spans="1:52" ht="17.100000000000001" customHeight="1" thickBot="1">
      <c r="A4809" s="152"/>
      <c r="B4809" s="27" t="s">
        <v>1555</v>
      </c>
      <c r="C4809" s="27">
        <v>83064</v>
      </c>
      <c r="D4809" s="14" t="s">
        <v>904</v>
      </c>
      <c r="E4809" s="112"/>
      <c r="F4809" s="139" t="s">
        <v>14373</v>
      </c>
      <c r="G4809" s="140"/>
      <c r="H4809" s="141"/>
      <c r="I4809" s="26">
        <v>46457</v>
      </c>
      <c r="J4809" s="117"/>
      <c r="K4809" s="120"/>
      <c r="L4809" s="121"/>
      <c r="M4809" s="120"/>
      <c r="N4809" s="121"/>
      <c r="O4809" s="120"/>
      <c r="P4809" s="121"/>
      <c r="Q4809" s="120"/>
      <c r="R4809" s="121"/>
      <c r="S4809" s="120"/>
      <c r="T4809" s="121"/>
      <c r="U4809" s="120"/>
      <c r="V4809" s="123"/>
      <c r="W4809" s="125"/>
      <c r="X4809" s="142" t="s">
        <v>3410</v>
      </c>
      <c r="Y4809" s="143"/>
      <c r="Z4809" s="143"/>
      <c r="AA4809" s="143"/>
      <c r="AB4809" s="144"/>
      <c r="AC4809" s="16" t="s">
        <v>21</v>
      </c>
      <c r="AD4809" s="17" t="s">
        <v>3921</v>
      </c>
      <c r="AE4809" s="145" t="s">
        <v>1742</v>
      </c>
      <c r="AF4809" s="146"/>
      <c r="AG4809" s="146"/>
      <c r="AH4809" s="146"/>
      <c r="AI4809" s="147"/>
      <c r="AJ4809" s="148"/>
      <c r="AK4809" s="143"/>
      <c r="AL4809" s="144"/>
      <c r="AM4809" s="22"/>
      <c r="AN4809" s="149" t="s">
        <v>2511</v>
      </c>
      <c r="AO4809" s="144"/>
      <c r="AP4809" s="148">
        <v>80014</v>
      </c>
      <c r="AQ4809" s="144"/>
      <c r="AR4809" s="120"/>
      <c r="AS4809" s="121"/>
      <c r="AT4809" s="120"/>
      <c r="AU4809" s="121"/>
      <c r="AV4809" s="120"/>
      <c r="AW4809" s="121"/>
      <c r="AX4809" s="120"/>
      <c r="AY4809" s="121"/>
      <c r="AZ4809" s="138"/>
    </row>
    <row r="4810" spans="1:52" ht="17.100000000000001" customHeight="1" thickTop="1">
      <c r="A4810" s="151" t="s">
        <v>14385</v>
      </c>
      <c r="B4810" s="28">
        <v>46018</v>
      </c>
      <c r="C4810" s="25">
        <v>1525</v>
      </c>
      <c r="D4810" s="13" t="s">
        <v>1586</v>
      </c>
      <c r="E4810" s="111"/>
      <c r="F4810" s="113" t="s">
        <v>2732</v>
      </c>
      <c r="G4810" s="114"/>
      <c r="H4810" s="115"/>
      <c r="I4810" s="24"/>
      <c r="J4810" s="116">
        <v>4.5</v>
      </c>
      <c r="K4810" s="118">
        <v>1195000</v>
      </c>
      <c r="L4810" s="119"/>
      <c r="M4810" s="118">
        <f t="shared" ref="M4810" si="5576">K4810*0.1</f>
        <v>119500</v>
      </c>
      <c r="N4810" s="119"/>
      <c r="O4810" s="118">
        <v>0</v>
      </c>
      <c r="P4810" s="119"/>
      <c r="Q4810" s="118">
        <v>19090</v>
      </c>
      <c r="R4810" s="119"/>
      <c r="S4810" s="118">
        <v>16500</v>
      </c>
      <c r="T4810" s="119"/>
      <c r="U4810" s="118">
        <f t="shared" ref="U4810" si="5577">SUM(K4810:T4811)</f>
        <v>1350090</v>
      </c>
      <c r="V4810" s="122"/>
      <c r="W4810" s="124"/>
      <c r="X4810" s="126" t="s">
        <v>14717</v>
      </c>
      <c r="Y4810" s="127"/>
      <c r="Z4810" s="127"/>
      <c r="AA4810" s="127"/>
      <c r="AB4810" s="128"/>
      <c r="AC4810" s="15" t="s">
        <v>20</v>
      </c>
      <c r="AD4810" s="129" t="s">
        <v>1633</v>
      </c>
      <c r="AE4810" s="130"/>
      <c r="AF4810" s="130"/>
      <c r="AG4810" s="130"/>
      <c r="AH4810" s="130"/>
      <c r="AI4810" s="131"/>
      <c r="AJ4810" s="132"/>
      <c r="AK4810" s="127"/>
      <c r="AL4810" s="128"/>
      <c r="AM4810" s="21"/>
      <c r="AN4810" s="133">
        <v>46039</v>
      </c>
      <c r="AO4810" s="134"/>
      <c r="AP4810" s="135">
        <v>1284</v>
      </c>
      <c r="AQ4810" s="136"/>
      <c r="AR4810" s="118">
        <v>1360000</v>
      </c>
      <c r="AS4810" s="119"/>
      <c r="AT4810" s="118">
        <f t="shared" ref="AT4810" si="5578">AR4810*0.1</f>
        <v>136000</v>
      </c>
      <c r="AU4810" s="119"/>
      <c r="AV4810" s="118">
        <v>19090</v>
      </c>
      <c r="AW4810" s="119"/>
      <c r="AX4810" s="118">
        <f t="shared" ref="AX4810" si="5579">SUM(AR4810:AW4810)</f>
        <v>1515090</v>
      </c>
      <c r="AY4810" s="119"/>
      <c r="AZ4810" s="137">
        <v>46042</v>
      </c>
    </row>
    <row r="4811" spans="1:52" ht="17.100000000000001" customHeight="1" thickBot="1">
      <c r="A4811" s="152"/>
      <c r="B4811" s="27" t="s">
        <v>1555</v>
      </c>
      <c r="C4811" s="27">
        <v>83075</v>
      </c>
      <c r="D4811" s="14" t="s">
        <v>275</v>
      </c>
      <c r="E4811" s="112"/>
      <c r="F4811" s="139" t="s">
        <v>14375</v>
      </c>
      <c r="G4811" s="140"/>
      <c r="H4811" s="141"/>
      <c r="I4811" s="26">
        <v>55087</v>
      </c>
      <c r="J4811" s="117"/>
      <c r="K4811" s="120"/>
      <c r="L4811" s="121"/>
      <c r="M4811" s="120"/>
      <c r="N4811" s="121"/>
      <c r="O4811" s="120"/>
      <c r="P4811" s="121"/>
      <c r="Q4811" s="120"/>
      <c r="R4811" s="121"/>
      <c r="S4811" s="120"/>
      <c r="T4811" s="121"/>
      <c r="U4811" s="120"/>
      <c r="V4811" s="123"/>
      <c r="W4811" s="125"/>
      <c r="X4811" s="142" t="s">
        <v>2918</v>
      </c>
      <c r="Y4811" s="143"/>
      <c r="Z4811" s="143"/>
      <c r="AA4811" s="143"/>
      <c r="AB4811" s="144"/>
      <c r="AC4811" s="16" t="s">
        <v>21</v>
      </c>
      <c r="AD4811" s="17" t="s">
        <v>2949</v>
      </c>
      <c r="AE4811" s="145" t="s">
        <v>1742</v>
      </c>
      <c r="AF4811" s="146"/>
      <c r="AG4811" s="146"/>
      <c r="AH4811" s="146"/>
      <c r="AI4811" s="147"/>
      <c r="AJ4811" s="148"/>
      <c r="AK4811" s="143"/>
      <c r="AL4811" s="144"/>
      <c r="AM4811" s="22"/>
      <c r="AN4811" s="149" t="s">
        <v>2511</v>
      </c>
      <c r="AO4811" s="144"/>
      <c r="AP4811" s="148">
        <v>80124</v>
      </c>
      <c r="AQ4811" s="144"/>
      <c r="AR4811" s="120"/>
      <c r="AS4811" s="121"/>
      <c r="AT4811" s="120"/>
      <c r="AU4811" s="121"/>
      <c r="AV4811" s="120"/>
      <c r="AW4811" s="121"/>
      <c r="AX4811" s="120"/>
      <c r="AY4811" s="121"/>
      <c r="AZ4811" s="138"/>
    </row>
    <row r="4812" spans="1:52" ht="17.100000000000001" customHeight="1" thickTop="1">
      <c r="A4812" s="151" t="s">
        <v>14391</v>
      </c>
      <c r="B4812" s="28">
        <v>46018</v>
      </c>
      <c r="C4812" s="25">
        <v>1282</v>
      </c>
      <c r="D4812" s="13" t="s">
        <v>1803</v>
      </c>
      <c r="E4812" s="111"/>
      <c r="F4812" s="113" t="s">
        <v>14153</v>
      </c>
      <c r="G4812" s="114"/>
      <c r="H4812" s="115"/>
      <c r="I4812" s="24" t="s">
        <v>4109</v>
      </c>
      <c r="J4812" s="116">
        <v>4.5</v>
      </c>
      <c r="K4812" s="118">
        <v>1020000</v>
      </c>
      <c r="L4812" s="119"/>
      <c r="M4812" s="118">
        <f t="shared" ref="M4812" si="5580">K4812*0.1</f>
        <v>102000</v>
      </c>
      <c r="N4812" s="119"/>
      <c r="O4812" s="118">
        <f>9800+980</f>
        <v>10780</v>
      </c>
      <c r="P4812" s="119"/>
      <c r="Q4812" s="118">
        <v>11480</v>
      </c>
      <c r="R4812" s="119"/>
      <c r="S4812" s="118">
        <v>12100</v>
      </c>
      <c r="T4812" s="119"/>
      <c r="U4812" s="118">
        <f t="shared" ref="U4812" si="5581">SUM(K4812:T4813)</f>
        <v>1156360</v>
      </c>
      <c r="V4812" s="122"/>
      <c r="W4812" s="124"/>
      <c r="X4812" s="126" t="s">
        <v>14333</v>
      </c>
      <c r="Y4812" s="127"/>
      <c r="Z4812" s="127"/>
      <c r="AA4812" s="127"/>
      <c r="AB4812" s="128"/>
      <c r="AC4812" s="15" t="s">
        <v>20</v>
      </c>
      <c r="AD4812" s="129" t="s">
        <v>1575</v>
      </c>
      <c r="AE4812" s="130"/>
      <c r="AF4812" s="130"/>
      <c r="AG4812" s="130"/>
      <c r="AH4812" s="130"/>
      <c r="AI4812" s="131"/>
      <c r="AJ4812" s="132"/>
      <c r="AK4812" s="127"/>
      <c r="AL4812" s="128"/>
      <c r="AM4812" s="21"/>
      <c r="AN4812" s="133">
        <v>46039</v>
      </c>
      <c r="AO4812" s="134"/>
      <c r="AP4812" s="135">
        <v>1284</v>
      </c>
      <c r="AQ4812" s="136"/>
      <c r="AR4812" s="118">
        <v>1100000</v>
      </c>
      <c r="AS4812" s="119"/>
      <c r="AT4812" s="118">
        <f t="shared" ref="AT4812" si="5582">AR4812*0.1</f>
        <v>110000</v>
      </c>
      <c r="AU4812" s="119"/>
      <c r="AV4812" s="118">
        <v>11480</v>
      </c>
      <c r="AW4812" s="119"/>
      <c r="AX4812" s="118">
        <f t="shared" ref="AX4812" si="5583">SUM(AR4812:AW4812)</f>
        <v>1221480</v>
      </c>
      <c r="AY4812" s="119"/>
      <c r="AZ4812" s="137">
        <v>46044</v>
      </c>
    </row>
    <row r="4813" spans="1:52" ht="17.100000000000001" customHeight="1" thickBot="1">
      <c r="A4813" s="152"/>
      <c r="B4813" s="27" t="s">
        <v>2511</v>
      </c>
      <c r="C4813" s="27">
        <v>31004</v>
      </c>
      <c r="D4813" s="14" t="s">
        <v>55</v>
      </c>
      <c r="E4813" s="112"/>
      <c r="F4813" s="139" t="s">
        <v>14332</v>
      </c>
      <c r="G4813" s="140"/>
      <c r="H4813" s="141"/>
      <c r="I4813" s="26">
        <v>97870</v>
      </c>
      <c r="J4813" s="117"/>
      <c r="K4813" s="120"/>
      <c r="L4813" s="121"/>
      <c r="M4813" s="120"/>
      <c r="N4813" s="121"/>
      <c r="O4813" s="120"/>
      <c r="P4813" s="121"/>
      <c r="Q4813" s="120"/>
      <c r="R4813" s="121"/>
      <c r="S4813" s="120"/>
      <c r="T4813" s="121"/>
      <c r="U4813" s="120"/>
      <c r="V4813" s="123"/>
      <c r="W4813" s="125"/>
      <c r="X4813" s="142" t="s">
        <v>15066</v>
      </c>
      <c r="Y4813" s="143"/>
      <c r="Z4813" s="143"/>
      <c r="AA4813" s="143"/>
      <c r="AB4813" s="144"/>
      <c r="AC4813" s="16" t="s">
        <v>21</v>
      </c>
      <c r="AD4813" s="17" t="s">
        <v>15056</v>
      </c>
      <c r="AE4813" s="145" t="s">
        <v>15067</v>
      </c>
      <c r="AF4813" s="146"/>
      <c r="AG4813" s="146"/>
      <c r="AH4813" s="146"/>
      <c r="AI4813" s="147"/>
      <c r="AJ4813" s="148" t="s">
        <v>14444</v>
      </c>
      <c r="AK4813" s="143"/>
      <c r="AL4813" s="144"/>
      <c r="AM4813" s="22"/>
      <c r="AN4813" s="149" t="s">
        <v>2511</v>
      </c>
      <c r="AO4813" s="144"/>
      <c r="AP4813" s="148">
        <v>50161</v>
      </c>
      <c r="AQ4813" s="144"/>
      <c r="AR4813" s="120"/>
      <c r="AS4813" s="121"/>
      <c r="AT4813" s="120"/>
      <c r="AU4813" s="121"/>
      <c r="AV4813" s="120"/>
      <c r="AW4813" s="121"/>
      <c r="AX4813" s="120"/>
      <c r="AY4813" s="121"/>
      <c r="AZ4813" s="138"/>
    </row>
    <row r="4814" spans="1:52" ht="17.100000000000001" customHeight="1" thickTop="1">
      <c r="A4814" s="151" t="s">
        <v>14392</v>
      </c>
      <c r="B4814" s="28">
        <v>46018</v>
      </c>
      <c r="C4814" s="25">
        <v>1282</v>
      </c>
      <c r="D4814" s="13" t="s">
        <v>2036</v>
      </c>
      <c r="E4814" s="111"/>
      <c r="F4814" s="113" t="s">
        <v>14376</v>
      </c>
      <c r="G4814" s="114"/>
      <c r="H4814" s="115"/>
      <c r="I4814" s="24" t="s">
        <v>2526</v>
      </c>
      <c r="J4814" s="116">
        <v>4.5</v>
      </c>
      <c r="K4814" s="118">
        <v>3005000</v>
      </c>
      <c r="L4814" s="119"/>
      <c r="M4814" s="118">
        <f t="shared" ref="M4814" si="5584">K4814*0.1</f>
        <v>300500</v>
      </c>
      <c r="N4814" s="119"/>
      <c r="O4814" s="118">
        <v>9900</v>
      </c>
      <c r="P4814" s="119"/>
      <c r="Q4814" s="118">
        <v>14040</v>
      </c>
      <c r="R4814" s="119"/>
      <c r="S4814" s="118">
        <v>12100</v>
      </c>
      <c r="T4814" s="119"/>
      <c r="U4814" s="118">
        <f t="shared" ref="U4814" si="5585">SUM(K4814:T4815)</f>
        <v>3341540</v>
      </c>
      <c r="V4814" s="122"/>
      <c r="W4814" s="124"/>
      <c r="X4814" s="126" t="s">
        <v>14378</v>
      </c>
      <c r="Y4814" s="127"/>
      <c r="Z4814" s="127"/>
      <c r="AA4814" s="127"/>
      <c r="AB4814" s="128"/>
      <c r="AC4814" s="15" t="s">
        <v>20</v>
      </c>
      <c r="AD4814" s="129" t="s">
        <v>1575</v>
      </c>
      <c r="AE4814" s="130"/>
      <c r="AF4814" s="130"/>
      <c r="AG4814" s="130"/>
      <c r="AH4814" s="130"/>
      <c r="AI4814" s="131"/>
      <c r="AJ4814" s="132" t="s">
        <v>8040</v>
      </c>
      <c r="AK4814" s="127"/>
      <c r="AL4814" s="128"/>
      <c r="AM4814" s="21"/>
      <c r="AN4814" s="133"/>
      <c r="AO4814" s="134"/>
      <c r="AP4814" s="135"/>
      <c r="AQ4814" s="136"/>
      <c r="AR4814" s="118"/>
      <c r="AS4814" s="119"/>
      <c r="AT4814" s="118">
        <f t="shared" ref="AT4814" si="5586">AR4814*0.1</f>
        <v>0</v>
      </c>
      <c r="AU4814" s="119"/>
      <c r="AV4814" s="118"/>
      <c r="AW4814" s="119"/>
      <c r="AX4814" s="118">
        <f t="shared" ref="AX4814" si="5587">SUM(AR4814:AW4814)</f>
        <v>0</v>
      </c>
      <c r="AY4814" s="119"/>
      <c r="AZ4814" s="137"/>
    </row>
    <row r="4815" spans="1:52" ht="17.100000000000001" customHeight="1" thickBot="1">
      <c r="A4815" s="152"/>
      <c r="B4815" s="27" t="s">
        <v>2511</v>
      </c>
      <c r="C4815" s="27">
        <v>31242</v>
      </c>
      <c r="D4815" s="14" t="s">
        <v>275</v>
      </c>
      <c r="E4815" s="112"/>
      <c r="F4815" s="139" t="s">
        <v>14377</v>
      </c>
      <c r="G4815" s="140"/>
      <c r="H4815" s="141"/>
      <c r="I4815" s="26">
        <v>14464</v>
      </c>
      <c r="J4815" s="117"/>
      <c r="K4815" s="120"/>
      <c r="L4815" s="121"/>
      <c r="M4815" s="120"/>
      <c r="N4815" s="121"/>
      <c r="O4815" s="120"/>
      <c r="P4815" s="121"/>
      <c r="Q4815" s="120"/>
      <c r="R4815" s="121"/>
      <c r="S4815" s="120"/>
      <c r="T4815" s="121"/>
      <c r="U4815" s="120"/>
      <c r="V4815" s="123"/>
      <c r="W4815" s="125"/>
      <c r="X4815" s="142"/>
      <c r="Y4815" s="143"/>
      <c r="Z4815" s="143"/>
      <c r="AA4815" s="143"/>
      <c r="AB4815" s="144"/>
      <c r="AC4815" s="16" t="s">
        <v>21</v>
      </c>
      <c r="AD4815" s="17" t="s">
        <v>10540</v>
      </c>
      <c r="AE4815" s="145"/>
      <c r="AF4815" s="146"/>
      <c r="AG4815" s="146"/>
      <c r="AH4815" s="146"/>
      <c r="AI4815" s="147"/>
      <c r="AJ4815" s="148"/>
      <c r="AK4815" s="143"/>
      <c r="AL4815" s="144"/>
      <c r="AM4815" s="22"/>
      <c r="AN4815" s="149"/>
      <c r="AO4815" s="144"/>
      <c r="AP4815" s="148"/>
      <c r="AQ4815" s="144"/>
      <c r="AR4815" s="120"/>
      <c r="AS4815" s="121"/>
      <c r="AT4815" s="120"/>
      <c r="AU4815" s="121"/>
      <c r="AV4815" s="120"/>
      <c r="AW4815" s="121"/>
      <c r="AX4815" s="120"/>
      <c r="AY4815" s="121"/>
      <c r="AZ4815" s="138"/>
    </row>
    <row r="4816" spans="1:52" ht="17.100000000000001" customHeight="1" thickTop="1">
      <c r="A4816" s="109" t="s">
        <v>14393</v>
      </c>
      <c r="B4816" s="28">
        <v>46018</v>
      </c>
      <c r="C4816" s="25">
        <v>1282</v>
      </c>
      <c r="D4816" s="13" t="s">
        <v>1537</v>
      </c>
      <c r="E4816" s="111"/>
      <c r="F4816" s="113" t="s">
        <v>14334</v>
      </c>
      <c r="G4816" s="114"/>
      <c r="H4816" s="115"/>
      <c r="I4816" s="24" t="s">
        <v>5495</v>
      </c>
      <c r="J4816" s="116">
        <v>4</v>
      </c>
      <c r="K4816" s="118">
        <v>580000</v>
      </c>
      <c r="L4816" s="119"/>
      <c r="M4816" s="118">
        <f t="shared" ref="M4816" si="5588">K4816*0.1</f>
        <v>58000</v>
      </c>
      <c r="N4816" s="119"/>
      <c r="O4816" s="118">
        <f>8600+860</f>
        <v>9460</v>
      </c>
      <c r="P4816" s="119"/>
      <c r="Q4816" s="118">
        <v>9940</v>
      </c>
      <c r="R4816" s="119"/>
      <c r="S4816" s="118">
        <v>12100</v>
      </c>
      <c r="T4816" s="119"/>
      <c r="U4816" s="118">
        <f t="shared" ref="U4816" si="5589">SUM(K4816:T4817)</f>
        <v>669500</v>
      </c>
      <c r="V4816" s="122"/>
      <c r="W4816" s="124"/>
      <c r="X4816" s="126" t="s">
        <v>14336</v>
      </c>
      <c r="Y4816" s="127"/>
      <c r="Z4816" s="127"/>
      <c r="AA4816" s="127"/>
      <c r="AB4816" s="128"/>
      <c r="AC4816" s="15" t="s">
        <v>20</v>
      </c>
      <c r="AD4816" s="129" t="s">
        <v>5078</v>
      </c>
      <c r="AE4816" s="130"/>
      <c r="AF4816" s="130"/>
      <c r="AG4816" s="130"/>
      <c r="AH4816" s="130"/>
      <c r="AI4816" s="131"/>
      <c r="AJ4816" s="132"/>
      <c r="AK4816" s="127"/>
      <c r="AL4816" s="128"/>
      <c r="AM4816" s="21"/>
      <c r="AN4816" s="133">
        <v>46050</v>
      </c>
      <c r="AO4816" s="134"/>
      <c r="AP4816" s="135">
        <v>1002</v>
      </c>
      <c r="AQ4816" s="136"/>
      <c r="AR4816" s="118">
        <v>615000</v>
      </c>
      <c r="AS4816" s="119"/>
      <c r="AT4816" s="118">
        <f t="shared" ref="AT4816" si="5590">AR4816*0.1</f>
        <v>61500</v>
      </c>
      <c r="AU4816" s="119"/>
      <c r="AV4816" s="118">
        <v>9940</v>
      </c>
      <c r="AW4816" s="119"/>
      <c r="AX4816" s="118">
        <f t="shared" ref="AX4816" si="5591">SUM(AR4816:AW4816)</f>
        <v>686440</v>
      </c>
      <c r="AY4816" s="119"/>
      <c r="AZ4816" s="137">
        <v>46055</v>
      </c>
    </row>
    <row r="4817" spans="1:52" ht="17.100000000000001" customHeight="1" thickBot="1">
      <c r="A4817" s="110"/>
      <c r="B4817" s="27" t="s">
        <v>2511</v>
      </c>
      <c r="C4817" s="27">
        <v>37066</v>
      </c>
      <c r="D4817" s="14" t="s">
        <v>2601</v>
      </c>
      <c r="E4817" s="112"/>
      <c r="F4817" s="139" t="s">
        <v>14335</v>
      </c>
      <c r="G4817" s="140"/>
      <c r="H4817" s="141"/>
      <c r="I4817" s="26">
        <v>48108</v>
      </c>
      <c r="J4817" s="117"/>
      <c r="K4817" s="120"/>
      <c r="L4817" s="121"/>
      <c r="M4817" s="120"/>
      <c r="N4817" s="121"/>
      <c r="O4817" s="120"/>
      <c r="P4817" s="121"/>
      <c r="Q4817" s="120"/>
      <c r="R4817" s="121"/>
      <c r="S4817" s="120"/>
      <c r="T4817" s="121"/>
      <c r="U4817" s="120"/>
      <c r="V4817" s="123"/>
      <c r="W4817" s="125"/>
      <c r="X4817" s="142" t="s">
        <v>3535</v>
      </c>
      <c r="Y4817" s="143"/>
      <c r="Z4817" s="143"/>
      <c r="AA4817" s="143"/>
      <c r="AB4817" s="144"/>
      <c r="AC4817" s="16" t="s">
        <v>21</v>
      </c>
      <c r="AD4817" s="17" t="s">
        <v>15056</v>
      </c>
      <c r="AE4817" s="145" t="s">
        <v>9504</v>
      </c>
      <c r="AF4817" s="146"/>
      <c r="AG4817" s="146"/>
      <c r="AH4817" s="146"/>
      <c r="AI4817" s="147"/>
      <c r="AJ4817" s="148"/>
      <c r="AK4817" s="143"/>
      <c r="AL4817" s="144"/>
      <c r="AM4817" s="22"/>
      <c r="AN4817" s="149" t="s">
        <v>2794</v>
      </c>
      <c r="AO4817" s="144"/>
      <c r="AP4817" s="148">
        <v>6015</v>
      </c>
      <c r="AQ4817" s="144"/>
      <c r="AR4817" s="120"/>
      <c r="AS4817" s="121"/>
      <c r="AT4817" s="120"/>
      <c r="AU4817" s="121"/>
      <c r="AV4817" s="120"/>
      <c r="AW4817" s="121"/>
      <c r="AX4817" s="120"/>
      <c r="AY4817" s="121"/>
      <c r="AZ4817" s="138"/>
    </row>
    <row r="4818" spans="1:52" ht="17.100000000000001" customHeight="1" thickTop="1">
      <c r="A4818" s="151" t="s">
        <v>14394</v>
      </c>
      <c r="B4818" s="28">
        <v>46018</v>
      </c>
      <c r="C4818" s="25">
        <v>1282</v>
      </c>
      <c r="D4818" s="13" t="s">
        <v>3836</v>
      </c>
      <c r="E4818" s="111"/>
      <c r="F4818" s="113" t="s">
        <v>14337</v>
      </c>
      <c r="G4818" s="114"/>
      <c r="H4818" s="115"/>
      <c r="I4818" s="24"/>
      <c r="J4818" s="116">
        <v>4</v>
      </c>
      <c r="K4818" s="118">
        <v>770000</v>
      </c>
      <c r="L4818" s="119"/>
      <c r="M4818" s="118">
        <f t="shared" ref="M4818" si="5592">K4818*0.1</f>
        <v>77000</v>
      </c>
      <c r="N4818" s="119"/>
      <c r="O4818" s="118">
        <v>0</v>
      </c>
      <c r="P4818" s="119"/>
      <c r="Q4818" s="118">
        <v>16260</v>
      </c>
      <c r="R4818" s="119"/>
      <c r="S4818" s="118">
        <v>12100</v>
      </c>
      <c r="T4818" s="119"/>
      <c r="U4818" s="118">
        <f t="shared" ref="U4818" si="5593">SUM(K4818:T4819)</f>
        <v>875360</v>
      </c>
      <c r="V4818" s="122"/>
      <c r="W4818" s="124"/>
      <c r="X4818" s="126" t="s">
        <v>15044</v>
      </c>
      <c r="Y4818" s="127"/>
      <c r="Z4818" s="127"/>
      <c r="AA4818" s="127"/>
      <c r="AB4818" s="128"/>
      <c r="AC4818" s="15" t="s">
        <v>20</v>
      </c>
      <c r="AD4818" s="129"/>
      <c r="AE4818" s="130"/>
      <c r="AF4818" s="130"/>
      <c r="AG4818" s="130"/>
      <c r="AH4818" s="130"/>
      <c r="AI4818" s="131"/>
      <c r="AJ4818" s="132"/>
      <c r="AK4818" s="127"/>
      <c r="AL4818" s="128"/>
      <c r="AM4818" s="21"/>
      <c r="AN4818" s="133">
        <v>46032</v>
      </c>
      <c r="AO4818" s="134"/>
      <c r="AP4818" s="135">
        <v>1283</v>
      </c>
      <c r="AQ4818" s="136"/>
      <c r="AR4818" s="118">
        <v>810000</v>
      </c>
      <c r="AS4818" s="119"/>
      <c r="AT4818" s="118">
        <f t="shared" ref="AT4818" si="5594">AR4818*0.1</f>
        <v>81000</v>
      </c>
      <c r="AU4818" s="119"/>
      <c r="AV4818" s="118">
        <v>16260</v>
      </c>
      <c r="AW4818" s="119"/>
      <c r="AX4818" s="118">
        <f t="shared" ref="AX4818" si="5595">SUM(AR4818:AW4818)</f>
        <v>907260</v>
      </c>
      <c r="AY4818" s="119"/>
      <c r="AZ4818" s="137">
        <v>46042</v>
      </c>
    </row>
    <row r="4819" spans="1:52" ht="17.100000000000001" customHeight="1" thickBot="1">
      <c r="A4819" s="152"/>
      <c r="B4819" s="27" t="s">
        <v>2511</v>
      </c>
      <c r="C4819" s="27">
        <v>37071</v>
      </c>
      <c r="D4819" s="14" t="s">
        <v>275</v>
      </c>
      <c r="E4819" s="112"/>
      <c r="F4819" s="139" t="s">
        <v>14338</v>
      </c>
      <c r="G4819" s="140"/>
      <c r="H4819" s="141"/>
      <c r="I4819" s="26">
        <v>101056</v>
      </c>
      <c r="J4819" s="117"/>
      <c r="K4819" s="120"/>
      <c r="L4819" s="121"/>
      <c r="M4819" s="120"/>
      <c r="N4819" s="121"/>
      <c r="O4819" s="120"/>
      <c r="P4819" s="121"/>
      <c r="Q4819" s="120"/>
      <c r="R4819" s="121"/>
      <c r="S4819" s="120"/>
      <c r="T4819" s="121"/>
      <c r="U4819" s="120"/>
      <c r="V4819" s="123"/>
      <c r="W4819" s="125"/>
      <c r="X4819" s="142" t="s">
        <v>15045</v>
      </c>
      <c r="Y4819" s="143"/>
      <c r="Z4819" s="143"/>
      <c r="AA4819" s="143"/>
      <c r="AB4819" s="144"/>
      <c r="AC4819" s="16" t="s">
        <v>21</v>
      </c>
      <c r="AD4819" s="17" t="s">
        <v>3980</v>
      </c>
      <c r="AE4819" s="145" t="s">
        <v>1581</v>
      </c>
      <c r="AF4819" s="146"/>
      <c r="AG4819" s="146"/>
      <c r="AH4819" s="146"/>
      <c r="AI4819" s="147"/>
      <c r="AJ4819" s="148"/>
      <c r="AK4819" s="143"/>
      <c r="AL4819" s="144"/>
      <c r="AM4819" s="22"/>
      <c r="AN4819" s="149" t="s">
        <v>2511</v>
      </c>
      <c r="AO4819" s="144"/>
      <c r="AP4819" s="148">
        <v>50147</v>
      </c>
      <c r="AQ4819" s="144"/>
      <c r="AR4819" s="120"/>
      <c r="AS4819" s="121"/>
      <c r="AT4819" s="120"/>
      <c r="AU4819" s="121"/>
      <c r="AV4819" s="120"/>
      <c r="AW4819" s="121"/>
      <c r="AX4819" s="120"/>
      <c r="AY4819" s="121"/>
      <c r="AZ4819" s="138"/>
    </row>
    <row r="4820" spans="1:52" ht="17.100000000000001" customHeight="1" thickTop="1">
      <c r="A4820" s="151" t="s">
        <v>14395</v>
      </c>
      <c r="B4820" s="28">
        <v>46018</v>
      </c>
      <c r="C4820" s="25">
        <v>1282</v>
      </c>
      <c r="D4820" s="13" t="s">
        <v>1642</v>
      </c>
      <c r="E4820" s="111"/>
      <c r="F4820" s="113" t="s">
        <v>14339</v>
      </c>
      <c r="G4820" s="114"/>
      <c r="H4820" s="115"/>
      <c r="I4820" s="24" t="s">
        <v>4061</v>
      </c>
      <c r="J4820" s="116">
        <v>4.5</v>
      </c>
      <c r="K4820" s="118">
        <v>1320000</v>
      </c>
      <c r="L4820" s="119"/>
      <c r="M4820" s="118">
        <f t="shared" ref="M4820" si="5596">K4820*0.1</f>
        <v>132000</v>
      </c>
      <c r="N4820" s="119"/>
      <c r="O4820" s="118">
        <f>6200+620</f>
        <v>6820</v>
      </c>
      <c r="P4820" s="119"/>
      <c r="Q4820" s="118">
        <v>11930</v>
      </c>
      <c r="R4820" s="119"/>
      <c r="S4820" s="118">
        <v>16500</v>
      </c>
      <c r="T4820" s="119"/>
      <c r="U4820" s="118">
        <f t="shared" ref="U4820" si="5597">SUM(K4820:T4821)</f>
        <v>1487250</v>
      </c>
      <c r="V4820" s="122"/>
      <c r="W4820" s="124"/>
      <c r="X4820" s="126" t="s">
        <v>14341</v>
      </c>
      <c r="Y4820" s="127"/>
      <c r="Z4820" s="127"/>
      <c r="AA4820" s="127"/>
      <c r="AB4820" s="128"/>
      <c r="AC4820" s="15" t="s">
        <v>20</v>
      </c>
      <c r="AD4820" s="129" t="s">
        <v>14342</v>
      </c>
      <c r="AE4820" s="130"/>
      <c r="AF4820" s="130"/>
      <c r="AG4820" s="130"/>
      <c r="AH4820" s="130"/>
      <c r="AI4820" s="131"/>
      <c r="AJ4820" s="132"/>
      <c r="AK4820" s="127"/>
      <c r="AL4820" s="128"/>
      <c r="AM4820" s="21"/>
      <c r="AN4820" s="133">
        <v>46032</v>
      </c>
      <c r="AO4820" s="134"/>
      <c r="AP4820" s="135">
        <v>1283</v>
      </c>
      <c r="AQ4820" s="136"/>
      <c r="AR4820" s="118">
        <v>1545000</v>
      </c>
      <c r="AS4820" s="119"/>
      <c r="AT4820" s="118">
        <f t="shared" ref="AT4820" si="5598">AR4820*0.1</f>
        <v>154500</v>
      </c>
      <c r="AU4820" s="119"/>
      <c r="AV4820" s="118">
        <v>11930</v>
      </c>
      <c r="AW4820" s="119"/>
      <c r="AX4820" s="118">
        <f t="shared" ref="AX4820" si="5599">SUM(AR4820:AW4820)</f>
        <v>1711430</v>
      </c>
      <c r="AY4820" s="119"/>
      <c r="AZ4820" s="137">
        <v>46038</v>
      </c>
    </row>
    <row r="4821" spans="1:52" ht="17.100000000000001" customHeight="1" thickBot="1">
      <c r="A4821" s="152"/>
      <c r="B4821" s="27" t="s">
        <v>2511</v>
      </c>
      <c r="C4821" s="27">
        <v>81069</v>
      </c>
      <c r="D4821" s="14" t="s">
        <v>1556</v>
      </c>
      <c r="E4821" s="112"/>
      <c r="F4821" s="139" t="s">
        <v>14340</v>
      </c>
      <c r="G4821" s="140"/>
      <c r="H4821" s="141"/>
      <c r="I4821" s="26">
        <v>34560</v>
      </c>
      <c r="J4821" s="117"/>
      <c r="K4821" s="120"/>
      <c r="L4821" s="121"/>
      <c r="M4821" s="120"/>
      <c r="N4821" s="121"/>
      <c r="O4821" s="120"/>
      <c r="P4821" s="121"/>
      <c r="Q4821" s="120"/>
      <c r="R4821" s="121"/>
      <c r="S4821" s="120"/>
      <c r="T4821" s="121"/>
      <c r="U4821" s="120"/>
      <c r="V4821" s="123"/>
      <c r="W4821" s="125"/>
      <c r="X4821" s="142" t="s">
        <v>15042</v>
      </c>
      <c r="Y4821" s="143"/>
      <c r="Z4821" s="143"/>
      <c r="AA4821" s="143"/>
      <c r="AB4821" s="144"/>
      <c r="AC4821" s="16" t="s">
        <v>21</v>
      </c>
      <c r="AD4821" s="17" t="s">
        <v>3980</v>
      </c>
      <c r="AE4821" s="145" t="s">
        <v>15043</v>
      </c>
      <c r="AF4821" s="146"/>
      <c r="AG4821" s="146"/>
      <c r="AH4821" s="146"/>
      <c r="AI4821" s="147"/>
      <c r="AJ4821" s="148"/>
      <c r="AK4821" s="143"/>
      <c r="AL4821" s="144"/>
      <c r="AM4821" s="22"/>
      <c r="AN4821" s="149" t="s">
        <v>2511</v>
      </c>
      <c r="AO4821" s="144"/>
      <c r="AP4821" s="148">
        <v>80191</v>
      </c>
      <c r="AQ4821" s="144"/>
      <c r="AR4821" s="120"/>
      <c r="AS4821" s="121"/>
      <c r="AT4821" s="120"/>
      <c r="AU4821" s="121"/>
      <c r="AV4821" s="120"/>
      <c r="AW4821" s="121"/>
      <c r="AX4821" s="120"/>
      <c r="AY4821" s="121"/>
      <c r="AZ4821" s="138"/>
    </row>
    <row r="4822" spans="1:52" ht="17.100000000000001" customHeight="1" thickTop="1">
      <c r="A4822" s="151" t="s">
        <v>14396</v>
      </c>
      <c r="B4822" s="28">
        <v>46018</v>
      </c>
      <c r="C4822" s="25">
        <v>1282</v>
      </c>
      <c r="D4822" s="13" t="s">
        <v>2814</v>
      </c>
      <c r="E4822" s="111"/>
      <c r="F4822" s="113" t="s">
        <v>1147</v>
      </c>
      <c r="G4822" s="114"/>
      <c r="H4822" s="115"/>
      <c r="I4822" s="24"/>
      <c r="J4822" s="116">
        <v>4.5</v>
      </c>
      <c r="K4822" s="118">
        <v>725000</v>
      </c>
      <c r="L4822" s="119"/>
      <c r="M4822" s="118">
        <f t="shared" ref="M4822" si="5600">K4822*0.1</f>
        <v>72500</v>
      </c>
      <c r="N4822" s="119"/>
      <c r="O4822" s="118">
        <v>0</v>
      </c>
      <c r="P4822" s="119"/>
      <c r="Q4822" s="118">
        <v>17700</v>
      </c>
      <c r="R4822" s="119"/>
      <c r="S4822" s="118">
        <v>16500</v>
      </c>
      <c r="T4822" s="119"/>
      <c r="U4822" s="118">
        <f t="shared" ref="U4822" si="5601">SUM(K4822:T4823)</f>
        <v>831700</v>
      </c>
      <c r="V4822" s="122"/>
      <c r="W4822" s="124"/>
      <c r="X4822" s="126" t="s">
        <v>15065</v>
      </c>
      <c r="Y4822" s="127"/>
      <c r="Z4822" s="127"/>
      <c r="AA4822" s="127"/>
      <c r="AB4822" s="128"/>
      <c r="AC4822" s="15" t="s">
        <v>20</v>
      </c>
      <c r="AD4822" s="129" t="s">
        <v>171</v>
      </c>
      <c r="AE4822" s="130"/>
      <c r="AF4822" s="130"/>
      <c r="AG4822" s="130"/>
      <c r="AH4822" s="130"/>
      <c r="AI4822" s="131"/>
      <c r="AJ4822" s="132"/>
      <c r="AK4822" s="127"/>
      <c r="AL4822" s="128"/>
      <c r="AM4822" s="21"/>
      <c r="AN4822" s="133">
        <v>46039</v>
      </c>
      <c r="AO4822" s="134"/>
      <c r="AP4822" s="135">
        <v>1284</v>
      </c>
      <c r="AQ4822" s="136"/>
      <c r="AR4822" s="118">
        <v>840000</v>
      </c>
      <c r="AS4822" s="119"/>
      <c r="AT4822" s="118">
        <f t="shared" ref="AT4822" si="5602">AR4822*0.1</f>
        <v>84000</v>
      </c>
      <c r="AU4822" s="119"/>
      <c r="AV4822" s="118">
        <v>17700</v>
      </c>
      <c r="AW4822" s="119"/>
      <c r="AX4822" s="118">
        <f t="shared" ref="AX4822" si="5603">SUM(AR4822:AW4822)</f>
        <v>941700</v>
      </c>
      <c r="AY4822" s="119"/>
      <c r="AZ4822" s="137">
        <v>46042</v>
      </c>
    </row>
    <row r="4823" spans="1:52" ht="17.100000000000001" customHeight="1" thickBot="1">
      <c r="A4823" s="152"/>
      <c r="B4823" s="27" t="s">
        <v>2511</v>
      </c>
      <c r="C4823" s="27">
        <v>82133</v>
      </c>
      <c r="D4823" s="14" t="s">
        <v>1812</v>
      </c>
      <c r="E4823" s="112"/>
      <c r="F4823" s="139" t="s">
        <v>14371</v>
      </c>
      <c r="G4823" s="140"/>
      <c r="H4823" s="141"/>
      <c r="I4823" s="26">
        <v>57839</v>
      </c>
      <c r="J4823" s="117"/>
      <c r="K4823" s="120"/>
      <c r="L4823" s="121"/>
      <c r="M4823" s="120"/>
      <c r="N4823" s="121"/>
      <c r="O4823" s="120"/>
      <c r="P4823" s="121"/>
      <c r="Q4823" s="120"/>
      <c r="R4823" s="121"/>
      <c r="S4823" s="120"/>
      <c r="T4823" s="121"/>
      <c r="U4823" s="120"/>
      <c r="V4823" s="123"/>
      <c r="W4823" s="125"/>
      <c r="X4823" s="142" t="s">
        <v>2918</v>
      </c>
      <c r="Y4823" s="143"/>
      <c r="Z4823" s="143"/>
      <c r="AA4823" s="143"/>
      <c r="AB4823" s="144"/>
      <c r="AC4823" s="16" t="s">
        <v>21</v>
      </c>
      <c r="AD4823" s="17" t="s">
        <v>15056</v>
      </c>
      <c r="AE4823" s="145" t="s">
        <v>171</v>
      </c>
      <c r="AF4823" s="146"/>
      <c r="AG4823" s="146"/>
      <c r="AH4823" s="146"/>
      <c r="AI4823" s="147"/>
      <c r="AJ4823" s="148"/>
      <c r="AK4823" s="143"/>
      <c r="AL4823" s="144"/>
      <c r="AM4823" s="22"/>
      <c r="AN4823" s="149" t="s">
        <v>2511</v>
      </c>
      <c r="AO4823" s="144"/>
      <c r="AP4823" s="148">
        <v>80137</v>
      </c>
      <c r="AQ4823" s="144"/>
      <c r="AR4823" s="120"/>
      <c r="AS4823" s="121"/>
      <c r="AT4823" s="120"/>
      <c r="AU4823" s="121"/>
      <c r="AV4823" s="120"/>
      <c r="AW4823" s="121"/>
      <c r="AX4823" s="120"/>
      <c r="AY4823" s="121"/>
      <c r="AZ4823" s="138"/>
    </row>
    <row r="4824" spans="1:52" ht="17.100000000000001" customHeight="1" thickTop="1">
      <c r="A4824" s="151" t="s">
        <v>14423</v>
      </c>
      <c r="B4824" s="28">
        <v>46020</v>
      </c>
      <c r="C4824" s="25"/>
      <c r="D4824" s="13" t="s">
        <v>2500</v>
      </c>
      <c r="E4824" s="111"/>
      <c r="F4824" s="113" t="s">
        <v>14425</v>
      </c>
      <c r="G4824" s="114"/>
      <c r="H4824" s="115"/>
      <c r="I4824" s="24" t="s">
        <v>8224</v>
      </c>
      <c r="J4824" s="116"/>
      <c r="K4824" s="118">
        <v>400000</v>
      </c>
      <c r="L4824" s="119"/>
      <c r="M4824" s="118">
        <v>0</v>
      </c>
      <c r="N4824" s="119"/>
      <c r="O4824" s="118">
        <v>0</v>
      </c>
      <c r="P4824" s="119"/>
      <c r="Q4824" s="118">
        <v>0</v>
      </c>
      <c r="R4824" s="119"/>
      <c r="S4824" s="118">
        <v>0</v>
      </c>
      <c r="T4824" s="119"/>
      <c r="U4824" s="118">
        <f t="shared" ref="U4824" si="5604">SUM(K4824:T4825)</f>
        <v>400000</v>
      </c>
      <c r="V4824" s="122"/>
      <c r="W4824" s="124"/>
      <c r="X4824" s="126" t="s">
        <v>14427</v>
      </c>
      <c r="Y4824" s="127"/>
      <c r="Z4824" s="127"/>
      <c r="AA4824" s="127"/>
      <c r="AB4824" s="128"/>
      <c r="AC4824" s="15" t="s">
        <v>20</v>
      </c>
      <c r="AD4824" s="129"/>
      <c r="AE4824" s="130"/>
      <c r="AF4824" s="130"/>
      <c r="AG4824" s="130"/>
      <c r="AH4824" s="130"/>
      <c r="AI4824" s="131"/>
      <c r="AJ4824" s="132"/>
      <c r="AK4824" s="127"/>
      <c r="AL4824" s="128"/>
      <c r="AM4824" s="21"/>
      <c r="AN4824" s="133">
        <v>46032</v>
      </c>
      <c r="AO4824" s="134"/>
      <c r="AP4824" s="135">
        <v>1283</v>
      </c>
      <c r="AQ4824" s="136"/>
      <c r="AR4824" s="118">
        <v>515000</v>
      </c>
      <c r="AS4824" s="119"/>
      <c r="AT4824" s="118">
        <f t="shared" ref="AT4824" si="5605">AR4824*0.1</f>
        <v>51500</v>
      </c>
      <c r="AU4824" s="119"/>
      <c r="AV4824" s="118">
        <v>9070</v>
      </c>
      <c r="AW4824" s="119"/>
      <c r="AX4824" s="118">
        <f t="shared" ref="AX4824" si="5606">SUM(AR4824:AW4824)</f>
        <v>575570</v>
      </c>
      <c r="AY4824" s="119"/>
      <c r="AZ4824" s="137">
        <v>46036</v>
      </c>
    </row>
    <row r="4825" spans="1:52" ht="17.100000000000001" customHeight="1" thickBot="1">
      <c r="A4825" s="152"/>
      <c r="B4825" s="27" t="s">
        <v>14424</v>
      </c>
      <c r="C4825" s="27"/>
      <c r="D4825" s="14"/>
      <c r="E4825" s="112"/>
      <c r="F4825" s="139" t="s">
        <v>14426</v>
      </c>
      <c r="G4825" s="140"/>
      <c r="H4825" s="141"/>
      <c r="I4825" s="26">
        <v>58487</v>
      </c>
      <c r="J4825" s="117"/>
      <c r="K4825" s="120"/>
      <c r="L4825" s="121"/>
      <c r="M4825" s="120"/>
      <c r="N4825" s="121"/>
      <c r="O4825" s="120"/>
      <c r="P4825" s="121"/>
      <c r="Q4825" s="120"/>
      <c r="R4825" s="121"/>
      <c r="S4825" s="120"/>
      <c r="T4825" s="121"/>
      <c r="U4825" s="120"/>
      <c r="V4825" s="123"/>
      <c r="W4825" s="125"/>
      <c r="X4825" s="142" t="s">
        <v>14428</v>
      </c>
      <c r="Y4825" s="143"/>
      <c r="Z4825" s="143"/>
      <c r="AA4825" s="143"/>
      <c r="AB4825" s="144"/>
      <c r="AC4825" s="16" t="s">
        <v>21</v>
      </c>
      <c r="AD4825" s="17" t="s">
        <v>2284</v>
      </c>
      <c r="AE4825" s="145" t="s">
        <v>3609</v>
      </c>
      <c r="AF4825" s="146"/>
      <c r="AG4825" s="146"/>
      <c r="AH4825" s="146"/>
      <c r="AI4825" s="147"/>
      <c r="AJ4825" s="148"/>
      <c r="AK4825" s="143"/>
      <c r="AL4825" s="144"/>
      <c r="AM4825" s="22"/>
      <c r="AN4825" s="149" t="s">
        <v>2511</v>
      </c>
      <c r="AO4825" s="144"/>
      <c r="AP4825" s="148">
        <v>65358</v>
      </c>
      <c r="AQ4825" s="144"/>
      <c r="AR4825" s="120"/>
      <c r="AS4825" s="121"/>
      <c r="AT4825" s="120"/>
      <c r="AU4825" s="121"/>
      <c r="AV4825" s="120"/>
      <c r="AW4825" s="121"/>
      <c r="AX4825" s="120"/>
      <c r="AY4825" s="121"/>
      <c r="AZ4825" s="138"/>
    </row>
    <row r="4826" spans="1:52" ht="17.100000000000001" customHeight="1" thickTop="1">
      <c r="A4826" s="109" t="s">
        <v>14484</v>
      </c>
      <c r="B4826" s="28">
        <v>46027</v>
      </c>
      <c r="C4826" s="25">
        <v>81</v>
      </c>
      <c r="D4826" s="13" t="s">
        <v>1760</v>
      </c>
      <c r="E4826" s="111"/>
      <c r="F4826" s="113" t="s">
        <v>14453</v>
      </c>
      <c r="G4826" s="114"/>
      <c r="H4826" s="115"/>
      <c r="I4826" s="24" t="s">
        <v>2577</v>
      </c>
      <c r="J4826" s="116">
        <v>4</v>
      </c>
      <c r="K4826" s="118">
        <v>2605000</v>
      </c>
      <c r="L4826" s="119"/>
      <c r="M4826" s="118">
        <f t="shared" ref="M4826" si="5607">K4826*0.1</f>
        <v>260500</v>
      </c>
      <c r="N4826" s="119"/>
      <c r="O4826" s="118">
        <v>6600</v>
      </c>
      <c r="P4826" s="119"/>
      <c r="Q4826" s="118">
        <v>12160</v>
      </c>
      <c r="R4826" s="119"/>
      <c r="S4826" s="118">
        <v>66000</v>
      </c>
      <c r="T4826" s="119"/>
      <c r="U4826" s="118">
        <f t="shared" ref="U4826" si="5608">SUM(K4826:T4827)</f>
        <v>2950260</v>
      </c>
      <c r="V4826" s="122"/>
      <c r="W4826" s="124"/>
      <c r="X4826" s="126" t="s">
        <v>14695</v>
      </c>
      <c r="Y4826" s="127"/>
      <c r="Z4826" s="127"/>
      <c r="AA4826" s="127"/>
      <c r="AB4826" s="128"/>
      <c r="AC4826" s="15" t="s">
        <v>20</v>
      </c>
      <c r="AD4826" s="129" t="s">
        <v>13783</v>
      </c>
      <c r="AE4826" s="130"/>
      <c r="AF4826" s="130"/>
      <c r="AG4826" s="130"/>
      <c r="AH4826" s="130"/>
      <c r="AI4826" s="131"/>
      <c r="AJ4826" s="132"/>
      <c r="AK4826" s="127"/>
      <c r="AL4826" s="128"/>
      <c r="AM4826" s="21" t="s">
        <v>18040</v>
      </c>
      <c r="AN4826" s="133">
        <v>46081</v>
      </c>
      <c r="AO4826" s="134"/>
      <c r="AP4826" s="135">
        <v>1290</v>
      </c>
      <c r="AQ4826" s="136"/>
      <c r="AR4826" s="118">
        <v>2700000</v>
      </c>
      <c r="AS4826" s="119"/>
      <c r="AT4826" s="118">
        <f t="shared" ref="AT4826" si="5609">AR4826*0.1</f>
        <v>270000</v>
      </c>
      <c r="AU4826" s="119"/>
      <c r="AV4826" s="118">
        <v>12160</v>
      </c>
      <c r="AW4826" s="119"/>
      <c r="AX4826" s="118">
        <f t="shared" ref="AX4826" si="5610">SUM(AR4826:AW4826)</f>
        <v>2982160</v>
      </c>
      <c r="AY4826" s="119"/>
      <c r="AZ4826" s="137">
        <v>46084</v>
      </c>
    </row>
    <row r="4827" spans="1:52" ht="17.100000000000001" customHeight="1" thickBot="1">
      <c r="A4827" s="110"/>
      <c r="B4827" s="27" t="s">
        <v>4544</v>
      </c>
      <c r="C4827" s="27">
        <v>1001</v>
      </c>
      <c r="D4827" s="14" t="s">
        <v>2601</v>
      </c>
      <c r="E4827" s="112"/>
      <c r="F4827" s="139" t="s">
        <v>14445</v>
      </c>
      <c r="G4827" s="140"/>
      <c r="H4827" s="141"/>
      <c r="I4827" s="26">
        <v>49222</v>
      </c>
      <c r="J4827" s="117"/>
      <c r="K4827" s="120"/>
      <c r="L4827" s="121"/>
      <c r="M4827" s="120"/>
      <c r="N4827" s="121"/>
      <c r="O4827" s="120"/>
      <c r="P4827" s="121"/>
      <c r="Q4827" s="120"/>
      <c r="R4827" s="121"/>
      <c r="S4827" s="120"/>
      <c r="T4827" s="121"/>
      <c r="U4827" s="120"/>
      <c r="V4827" s="123"/>
      <c r="W4827" s="125"/>
      <c r="X4827" s="142" t="s">
        <v>12819</v>
      </c>
      <c r="Y4827" s="143"/>
      <c r="Z4827" s="143"/>
      <c r="AA4827" s="143"/>
      <c r="AB4827" s="144"/>
      <c r="AC4827" s="16" t="s">
        <v>21</v>
      </c>
      <c r="AD4827" s="17" t="s">
        <v>2949</v>
      </c>
      <c r="AE4827" s="145" t="s">
        <v>17533</v>
      </c>
      <c r="AF4827" s="372"/>
      <c r="AG4827" s="372"/>
      <c r="AH4827" s="372"/>
      <c r="AI4827" s="373"/>
      <c r="AJ4827" s="161" t="s">
        <v>17534</v>
      </c>
      <c r="AK4827" s="168"/>
      <c r="AL4827" s="169"/>
      <c r="AM4827" s="22"/>
      <c r="AN4827" s="149" t="s">
        <v>2511</v>
      </c>
      <c r="AO4827" s="144"/>
      <c r="AP4827" s="148">
        <v>31179</v>
      </c>
      <c r="AQ4827" s="144"/>
      <c r="AR4827" s="120"/>
      <c r="AS4827" s="121"/>
      <c r="AT4827" s="120"/>
      <c r="AU4827" s="121"/>
      <c r="AV4827" s="120"/>
      <c r="AW4827" s="121"/>
      <c r="AX4827" s="120"/>
      <c r="AY4827" s="121"/>
      <c r="AZ4827" s="138"/>
    </row>
    <row r="4828" spans="1:52" ht="17.100000000000001" customHeight="1" thickTop="1">
      <c r="A4828" s="109" t="s">
        <v>14485</v>
      </c>
      <c r="B4828" s="28">
        <v>46027</v>
      </c>
      <c r="C4828" s="25">
        <v>81</v>
      </c>
      <c r="D4828" s="13" t="s">
        <v>2036</v>
      </c>
      <c r="E4828" s="111"/>
      <c r="F4828" s="113" t="s">
        <v>14478</v>
      </c>
      <c r="G4828" s="114"/>
      <c r="H4828" s="115"/>
      <c r="I4828" s="24" t="s">
        <v>2526</v>
      </c>
      <c r="J4828" s="116">
        <v>4.5</v>
      </c>
      <c r="K4828" s="118">
        <v>2450000</v>
      </c>
      <c r="L4828" s="119"/>
      <c r="M4828" s="118">
        <f t="shared" ref="M4828" si="5611">K4828*0.1</f>
        <v>245000</v>
      </c>
      <c r="N4828" s="119"/>
      <c r="O4828" s="118">
        <v>5500</v>
      </c>
      <c r="P4828" s="119"/>
      <c r="Q4828" s="118">
        <v>11740</v>
      </c>
      <c r="R4828" s="119"/>
      <c r="S4828" s="118">
        <v>66000</v>
      </c>
      <c r="T4828" s="119"/>
      <c r="U4828" s="118">
        <f t="shared" ref="U4828" si="5612">SUM(K4828:T4829)</f>
        <v>2778240</v>
      </c>
      <c r="V4828" s="122"/>
      <c r="W4828" s="124"/>
      <c r="X4828" s="126" t="s">
        <v>16209</v>
      </c>
      <c r="Y4828" s="127"/>
      <c r="Z4828" s="127"/>
      <c r="AA4828" s="127"/>
      <c r="AB4828" s="128"/>
      <c r="AC4828" s="15" t="s">
        <v>20</v>
      </c>
      <c r="AD4828" s="129" t="s">
        <v>13783</v>
      </c>
      <c r="AE4828" s="130"/>
      <c r="AF4828" s="130"/>
      <c r="AG4828" s="130"/>
      <c r="AH4828" s="130"/>
      <c r="AI4828" s="131"/>
      <c r="AJ4828" s="132"/>
      <c r="AK4828" s="127"/>
      <c r="AL4828" s="128"/>
      <c r="AM4828" s="21"/>
      <c r="AN4828" s="133">
        <v>46053</v>
      </c>
      <c r="AO4828" s="134"/>
      <c r="AP4828" s="135">
        <v>1286</v>
      </c>
      <c r="AQ4828" s="136"/>
      <c r="AR4828" s="118">
        <v>2570000</v>
      </c>
      <c r="AS4828" s="119"/>
      <c r="AT4828" s="118">
        <f t="shared" ref="AT4828" si="5613">AR4828*0.1</f>
        <v>257000</v>
      </c>
      <c r="AU4828" s="119"/>
      <c r="AV4828" s="118">
        <v>11740</v>
      </c>
      <c r="AW4828" s="119"/>
      <c r="AX4828" s="118">
        <f t="shared" ref="AX4828" si="5614">SUM(AR4828:AW4828)</f>
        <v>2838740</v>
      </c>
      <c r="AY4828" s="119"/>
      <c r="AZ4828" s="137">
        <v>46056</v>
      </c>
    </row>
    <row r="4829" spans="1:52" ht="17.100000000000001" customHeight="1" thickBot="1">
      <c r="A4829" s="110"/>
      <c r="B4829" s="27" t="s">
        <v>13205</v>
      </c>
      <c r="C4829" s="27">
        <v>1022</v>
      </c>
      <c r="D4829" s="14" t="s">
        <v>133</v>
      </c>
      <c r="E4829" s="112"/>
      <c r="F4829" s="139" t="s">
        <v>14511</v>
      </c>
      <c r="G4829" s="140"/>
      <c r="H4829" s="141"/>
      <c r="I4829" s="26">
        <v>7377</v>
      </c>
      <c r="J4829" s="117"/>
      <c r="K4829" s="120"/>
      <c r="L4829" s="121"/>
      <c r="M4829" s="120"/>
      <c r="N4829" s="121"/>
      <c r="O4829" s="120"/>
      <c r="P4829" s="121"/>
      <c r="Q4829" s="120"/>
      <c r="R4829" s="121"/>
      <c r="S4829" s="120"/>
      <c r="T4829" s="121"/>
      <c r="U4829" s="120"/>
      <c r="V4829" s="123"/>
      <c r="W4829" s="125"/>
      <c r="X4829" s="142" t="s">
        <v>16210</v>
      </c>
      <c r="Y4829" s="143"/>
      <c r="Z4829" s="143"/>
      <c r="AA4829" s="143"/>
      <c r="AB4829" s="144"/>
      <c r="AC4829" s="16" t="s">
        <v>21</v>
      </c>
      <c r="AD4829" s="17" t="s">
        <v>16172</v>
      </c>
      <c r="AE4829" s="145" t="s">
        <v>1742</v>
      </c>
      <c r="AF4829" s="146"/>
      <c r="AG4829" s="146"/>
      <c r="AH4829" s="146"/>
      <c r="AI4829" s="147"/>
      <c r="AJ4829" s="148"/>
      <c r="AK4829" s="143"/>
      <c r="AL4829" s="144"/>
      <c r="AM4829" s="22"/>
      <c r="AN4829" s="149" t="s">
        <v>2511</v>
      </c>
      <c r="AO4829" s="144"/>
      <c r="AP4829" s="148">
        <v>37692</v>
      </c>
      <c r="AQ4829" s="144"/>
      <c r="AR4829" s="120"/>
      <c r="AS4829" s="121"/>
      <c r="AT4829" s="120"/>
      <c r="AU4829" s="121"/>
      <c r="AV4829" s="120"/>
      <c r="AW4829" s="121"/>
      <c r="AX4829" s="120"/>
      <c r="AY4829" s="121"/>
      <c r="AZ4829" s="138"/>
    </row>
    <row r="4830" spans="1:52" ht="17.100000000000001" customHeight="1" thickTop="1">
      <c r="A4830" s="109" t="s">
        <v>14486</v>
      </c>
      <c r="B4830" s="28">
        <v>46027</v>
      </c>
      <c r="C4830" s="25">
        <v>81</v>
      </c>
      <c r="D4830" s="13" t="s">
        <v>2272</v>
      </c>
      <c r="E4830" s="111"/>
      <c r="F4830" s="113" t="s">
        <v>14454</v>
      </c>
      <c r="G4830" s="114"/>
      <c r="H4830" s="115"/>
      <c r="I4830" s="24" t="s">
        <v>2976</v>
      </c>
      <c r="J4830" s="116">
        <v>4.5</v>
      </c>
      <c r="K4830" s="118">
        <v>860000</v>
      </c>
      <c r="L4830" s="119"/>
      <c r="M4830" s="118">
        <f t="shared" ref="M4830" si="5615">K4830*0.1</f>
        <v>86000</v>
      </c>
      <c r="N4830" s="119"/>
      <c r="O4830" s="118">
        <v>0</v>
      </c>
      <c r="P4830" s="119"/>
      <c r="Q4830" s="118">
        <v>6880</v>
      </c>
      <c r="R4830" s="119"/>
      <c r="S4830" s="118">
        <v>33000</v>
      </c>
      <c r="T4830" s="119"/>
      <c r="U4830" s="118">
        <f t="shared" ref="U4830" si="5616">SUM(K4830:T4831)</f>
        <v>985880</v>
      </c>
      <c r="V4830" s="122"/>
      <c r="W4830" s="124"/>
      <c r="X4830" s="126" t="s">
        <v>17631</v>
      </c>
      <c r="Y4830" s="127"/>
      <c r="Z4830" s="127"/>
      <c r="AA4830" s="127"/>
      <c r="AB4830" s="128"/>
      <c r="AC4830" s="15" t="s">
        <v>20</v>
      </c>
      <c r="AD4830" s="129" t="s">
        <v>13786</v>
      </c>
      <c r="AE4830" s="130"/>
      <c r="AF4830" s="130"/>
      <c r="AG4830" s="130"/>
      <c r="AH4830" s="130"/>
      <c r="AI4830" s="131"/>
      <c r="AJ4830" s="132"/>
      <c r="AK4830" s="127"/>
      <c r="AL4830" s="128"/>
      <c r="AM4830" s="21" t="s">
        <v>17752</v>
      </c>
      <c r="AN4830" s="133">
        <v>46056</v>
      </c>
      <c r="AO4830" s="134"/>
      <c r="AP4830" s="135">
        <v>1927</v>
      </c>
      <c r="AQ4830" s="136"/>
      <c r="AR4830" s="118">
        <v>924000</v>
      </c>
      <c r="AS4830" s="119"/>
      <c r="AT4830" s="118">
        <f t="shared" ref="AT4830" si="5617">AR4830*0.1</f>
        <v>92400</v>
      </c>
      <c r="AU4830" s="119"/>
      <c r="AV4830" s="118">
        <v>6880</v>
      </c>
      <c r="AW4830" s="119"/>
      <c r="AX4830" s="118">
        <f t="shared" ref="AX4830" si="5618">SUM(AR4830:AW4830)</f>
        <v>1023280</v>
      </c>
      <c r="AY4830" s="119"/>
      <c r="AZ4830" s="137"/>
    </row>
    <row r="4831" spans="1:52" ht="17.100000000000001" customHeight="1" thickBot="1">
      <c r="A4831" s="110"/>
      <c r="B4831" s="27" t="s">
        <v>4544</v>
      </c>
      <c r="C4831" s="27">
        <v>1025</v>
      </c>
      <c r="D4831" s="14" t="s">
        <v>1576</v>
      </c>
      <c r="E4831" s="112"/>
      <c r="F4831" s="139" t="s">
        <v>14446</v>
      </c>
      <c r="G4831" s="140"/>
      <c r="H4831" s="141"/>
      <c r="I4831" s="26">
        <v>17447</v>
      </c>
      <c r="J4831" s="117"/>
      <c r="K4831" s="120"/>
      <c r="L4831" s="121"/>
      <c r="M4831" s="120"/>
      <c r="N4831" s="121"/>
      <c r="O4831" s="120"/>
      <c r="P4831" s="121"/>
      <c r="Q4831" s="120"/>
      <c r="R4831" s="121"/>
      <c r="S4831" s="120"/>
      <c r="T4831" s="121"/>
      <c r="U4831" s="120"/>
      <c r="V4831" s="123"/>
      <c r="W4831" s="125"/>
      <c r="X4831" s="142" t="s">
        <v>17632</v>
      </c>
      <c r="Y4831" s="143"/>
      <c r="Z4831" s="143"/>
      <c r="AA4831" s="143"/>
      <c r="AB4831" s="144"/>
      <c r="AC4831" s="16" t="s">
        <v>21</v>
      </c>
      <c r="AD4831" s="17" t="s">
        <v>3577</v>
      </c>
      <c r="AE4831" s="145" t="s">
        <v>1742</v>
      </c>
      <c r="AF4831" s="146"/>
      <c r="AG4831" s="146"/>
      <c r="AH4831" s="146"/>
      <c r="AI4831" s="147"/>
      <c r="AJ4831" s="148"/>
      <c r="AK4831" s="143"/>
      <c r="AL4831" s="144"/>
      <c r="AM4831" s="22"/>
      <c r="AN4831" s="149" t="s">
        <v>2131</v>
      </c>
      <c r="AO4831" s="144"/>
      <c r="AP4831" s="148">
        <v>3267</v>
      </c>
      <c r="AQ4831" s="144"/>
      <c r="AR4831" s="120"/>
      <c r="AS4831" s="121"/>
      <c r="AT4831" s="120"/>
      <c r="AU4831" s="121"/>
      <c r="AV4831" s="120"/>
      <c r="AW4831" s="121"/>
      <c r="AX4831" s="120"/>
      <c r="AY4831" s="121"/>
      <c r="AZ4831" s="138"/>
    </row>
    <row r="4832" spans="1:52" ht="17.100000000000001" customHeight="1" thickTop="1">
      <c r="A4832" s="151" t="s">
        <v>14487</v>
      </c>
      <c r="B4832" s="28">
        <v>46027</v>
      </c>
      <c r="C4832" s="25">
        <v>81</v>
      </c>
      <c r="D4832" s="13" t="s">
        <v>1752</v>
      </c>
      <c r="E4832" s="111"/>
      <c r="F4832" s="113" t="s">
        <v>5375</v>
      </c>
      <c r="G4832" s="114"/>
      <c r="H4832" s="115"/>
      <c r="I4832" s="24" t="s">
        <v>2861</v>
      </c>
      <c r="J4832" s="150" t="s">
        <v>1715</v>
      </c>
      <c r="K4832" s="118">
        <v>135000</v>
      </c>
      <c r="L4832" s="119"/>
      <c r="M4832" s="118">
        <f t="shared" ref="M4832" si="5619">K4832*0.1</f>
        <v>13500</v>
      </c>
      <c r="N4832" s="119"/>
      <c r="O4832" s="118">
        <v>0</v>
      </c>
      <c r="P4832" s="119"/>
      <c r="Q4832" s="118">
        <v>9770</v>
      </c>
      <c r="R4832" s="119"/>
      <c r="S4832" s="118">
        <v>33000</v>
      </c>
      <c r="T4832" s="119"/>
      <c r="U4832" s="118">
        <f t="shared" ref="U4832" si="5620">SUM(K4832:T4833)</f>
        <v>191270</v>
      </c>
      <c r="V4832" s="122"/>
      <c r="W4832" s="124"/>
      <c r="X4832" s="126"/>
      <c r="Y4832" s="127"/>
      <c r="Z4832" s="127"/>
      <c r="AA4832" s="127"/>
      <c r="AB4832" s="128"/>
      <c r="AC4832" s="15" t="s">
        <v>20</v>
      </c>
      <c r="AD4832" s="129" t="s">
        <v>13783</v>
      </c>
      <c r="AE4832" s="130"/>
      <c r="AF4832" s="130"/>
      <c r="AG4832" s="130"/>
      <c r="AH4832" s="130"/>
      <c r="AI4832" s="131"/>
      <c r="AJ4832" s="132" t="s">
        <v>8040</v>
      </c>
      <c r="AK4832" s="127"/>
      <c r="AL4832" s="128"/>
      <c r="AM4832" s="21"/>
      <c r="AN4832" s="133"/>
      <c r="AO4832" s="134"/>
      <c r="AP4832" s="135"/>
      <c r="AQ4832" s="136"/>
      <c r="AR4832" s="118"/>
      <c r="AS4832" s="119"/>
      <c r="AT4832" s="118">
        <f t="shared" ref="AT4832" si="5621">AR4832*0.1</f>
        <v>0</v>
      </c>
      <c r="AU4832" s="119"/>
      <c r="AV4832" s="118"/>
      <c r="AW4832" s="119"/>
      <c r="AX4832" s="118">
        <f t="shared" ref="AX4832" si="5622">SUM(AR4832:AW4832)</f>
        <v>0</v>
      </c>
      <c r="AY4832" s="119"/>
      <c r="AZ4832" s="137"/>
    </row>
    <row r="4833" spans="1:52" ht="17.100000000000001" customHeight="1" thickBot="1">
      <c r="A4833" s="152"/>
      <c r="B4833" s="27" t="s">
        <v>4544</v>
      </c>
      <c r="C4833" s="27">
        <v>1028</v>
      </c>
      <c r="D4833" s="14" t="s">
        <v>275</v>
      </c>
      <c r="E4833" s="112"/>
      <c r="F4833" s="139" t="s">
        <v>14447</v>
      </c>
      <c r="G4833" s="140"/>
      <c r="H4833" s="141"/>
      <c r="I4833" s="26">
        <v>67007</v>
      </c>
      <c r="J4833" s="117"/>
      <c r="K4833" s="120"/>
      <c r="L4833" s="121"/>
      <c r="M4833" s="120"/>
      <c r="N4833" s="121"/>
      <c r="O4833" s="120"/>
      <c r="P4833" s="121"/>
      <c r="Q4833" s="120"/>
      <c r="R4833" s="121"/>
      <c r="S4833" s="120"/>
      <c r="T4833" s="121"/>
      <c r="U4833" s="120"/>
      <c r="V4833" s="123"/>
      <c r="W4833" s="125"/>
      <c r="X4833" s="142"/>
      <c r="Y4833" s="143"/>
      <c r="Z4833" s="143"/>
      <c r="AA4833" s="143"/>
      <c r="AB4833" s="144"/>
      <c r="AC4833" s="16" t="s">
        <v>21</v>
      </c>
      <c r="AD4833" s="17" t="s">
        <v>10540</v>
      </c>
      <c r="AE4833" s="145"/>
      <c r="AF4833" s="146"/>
      <c r="AG4833" s="146"/>
      <c r="AH4833" s="146"/>
      <c r="AI4833" s="147"/>
      <c r="AJ4833" s="148"/>
      <c r="AK4833" s="143"/>
      <c r="AL4833" s="144"/>
      <c r="AM4833" s="22"/>
      <c r="AN4833" s="149"/>
      <c r="AO4833" s="144"/>
      <c r="AP4833" s="148"/>
      <c r="AQ4833" s="144"/>
      <c r="AR4833" s="120"/>
      <c r="AS4833" s="121"/>
      <c r="AT4833" s="120"/>
      <c r="AU4833" s="121"/>
      <c r="AV4833" s="120"/>
      <c r="AW4833" s="121"/>
      <c r="AX4833" s="120"/>
      <c r="AY4833" s="121"/>
      <c r="AZ4833" s="138"/>
    </row>
    <row r="4834" spans="1:52" ht="17.100000000000001" customHeight="1" thickTop="1">
      <c r="A4834" s="109" t="s">
        <v>14488</v>
      </c>
      <c r="B4834" s="28">
        <v>46027</v>
      </c>
      <c r="C4834" s="25">
        <v>81</v>
      </c>
      <c r="D4834" s="13" t="s">
        <v>818</v>
      </c>
      <c r="E4834" s="111"/>
      <c r="F4834" s="113" t="s">
        <v>14455</v>
      </c>
      <c r="G4834" s="114"/>
      <c r="H4834" s="115"/>
      <c r="I4834" s="24" t="s">
        <v>1559</v>
      </c>
      <c r="J4834" s="116">
        <v>4.5</v>
      </c>
      <c r="K4834" s="118">
        <v>2725000</v>
      </c>
      <c r="L4834" s="119"/>
      <c r="M4834" s="118">
        <f t="shared" ref="M4834" si="5623">K4834*0.1</f>
        <v>272500</v>
      </c>
      <c r="N4834" s="119"/>
      <c r="O4834" s="118">
        <f>7200+720</f>
        <v>7920</v>
      </c>
      <c r="P4834" s="119"/>
      <c r="Q4834" s="118">
        <v>10750</v>
      </c>
      <c r="R4834" s="119"/>
      <c r="S4834" s="118">
        <v>66000</v>
      </c>
      <c r="T4834" s="119"/>
      <c r="U4834" s="118">
        <f t="shared" ref="U4834" si="5624">SUM(K4834:T4835)</f>
        <v>3082170</v>
      </c>
      <c r="V4834" s="122"/>
      <c r="W4834" s="124"/>
      <c r="X4834" s="126" t="s">
        <v>15005</v>
      </c>
      <c r="Y4834" s="127"/>
      <c r="Z4834" s="127"/>
      <c r="AA4834" s="127"/>
      <c r="AB4834" s="128"/>
      <c r="AC4834" s="15" t="s">
        <v>20</v>
      </c>
      <c r="AD4834" s="129" t="s">
        <v>13786</v>
      </c>
      <c r="AE4834" s="130"/>
      <c r="AF4834" s="130"/>
      <c r="AG4834" s="130"/>
      <c r="AH4834" s="130"/>
      <c r="AI4834" s="131"/>
      <c r="AJ4834" s="132"/>
      <c r="AK4834" s="127"/>
      <c r="AL4834" s="128"/>
      <c r="AM4834" s="21"/>
      <c r="AN4834" s="133">
        <v>46046</v>
      </c>
      <c r="AO4834" s="134"/>
      <c r="AP4834" s="135">
        <v>1285</v>
      </c>
      <c r="AQ4834" s="136"/>
      <c r="AR4834" s="118">
        <v>2840000</v>
      </c>
      <c r="AS4834" s="119"/>
      <c r="AT4834" s="118">
        <f t="shared" ref="AT4834" si="5625">AR4834*0.1</f>
        <v>284000</v>
      </c>
      <c r="AU4834" s="119"/>
      <c r="AV4834" s="118">
        <v>10750</v>
      </c>
      <c r="AW4834" s="119"/>
      <c r="AX4834" s="118">
        <f t="shared" ref="AX4834" si="5626">SUM(AR4834:AW4834)</f>
        <v>3134750</v>
      </c>
      <c r="AY4834" s="119"/>
      <c r="AZ4834" s="137">
        <v>46049</v>
      </c>
    </row>
    <row r="4835" spans="1:52" ht="17.100000000000001" customHeight="1" thickBot="1">
      <c r="A4835" s="110"/>
      <c r="B4835" s="27" t="s">
        <v>4544</v>
      </c>
      <c r="C4835" s="27">
        <v>1034</v>
      </c>
      <c r="D4835" s="14" t="s">
        <v>2601</v>
      </c>
      <c r="E4835" s="112"/>
      <c r="F4835" s="139" t="s">
        <v>14448</v>
      </c>
      <c r="G4835" s="140"/>
      <c r="H4835" s="141"/>
      <c r="I4835" s="26">
        <v>47453</v>
      </c>
      <c r="J4835" s="117"/>
      <c r="K4835" s="120"/>
      <c r="L4835" s="121"/>
      <c r="M4835" s="120"/>
      <c r="N4835" s="121"/>
      <c r="O4835" s="120"/>
      <c r="P4835" s="121"/>
      <c r="Q4835" s="120"/>
      <c r="R4835" s="121"/>
      <c r="S4835" s="120"/>
      <c r="T4835" s="121"/>
      <c r="U4835" s="120"/>
      <c r="V4835" s="123"/>
      <c r="W4835" s="125"/>
      <c r="X4835" s="142" t="s">
        <v>15006</v>
      </c>
      <c r="Y4835" s="143"/>
      <c r="Z4835" s="143"/>
      <c r="AA4835" s="143"/>
      <c r="AB4835" s="144"/>
      <c r="AC4835" s="16" t="s">
        <v>21</v>
      </c>
      <c r="AD4835" s="17" t="s">
        <v>1815</v>
      </c>
      <c r="AE4835" s="145" t="s">
        <v>1609</v>
      </c>
      <c r="AF4835" s="146"/>
      <c r="AG4835" s="146"/>
      <c r="AH4835" s="146"/>
      <c r="AI4835" s="147"/>
      <c r="AJ4835" s="148"/>
      <c r="AK4835" s="143"/>
      <c r="AL4835" s="144"/>
      <c r="AM4835" s="22"/>
      <c r="AN4835" s="149" t="s">
        <v>2511</v>
      </c>
      <c r="AO4835" s="144"/>
      <c r="AP4835" s="148">
        <v>37766</v>
      </c>
      <c r="AQ4835" s="144"/>
      <c r="AR4835" s="120"/>
      <c r="AS4835" s="121"/>
      <c r="AT4835" s="120"/>
      <c r="AU4835" s="121"/>
      <c r="AV4835" s="120"/>
      <c r="AW4835" s="121"/>
      <c r="AX4835" s="120"/>
      <c r="AY4835" s="121"/>
      <c r="AZ4835" s="138"/>
    </row>
    <row r="4836" spans="1:52" ht="17.100000000000001" customHeight="1" thickTop="1">
      <c r="A4836" s="109" t="s">
        <v>14489</v>
      </c>
      <c r="B4836" s="28">
        <v>46027</v>
      </c>
      <c r="C4836" s="25">
        <v>81</v>
      </c>
      <c r="D4836" s="13" t="s">
        <v>2009</v>
      </c>
      <c r="E4836" s="111"/>
      <c r="F4836" s="113" t="s">
        <v>14456</v>
      </c>
      <c r="G4836" s="114"/>
      <c r="H4836" s="115"/>
      <c r="I4836" s="24" t="s">
        <v>2064</v>
      </c>
      <c r="J4836" s="116">
        <v>4.5</v>
      </c>
      <c r="K4836" s="118">
        <v>3605000</v>
      </c>
      <c r="L4836" s="119"/>
      <c r="M4836" s="118">
        <f t="shared" ref="M4836" si="5627">K4836*0.1</f>
        <v>360500</v>
      </c>
      <c r="N4836" s="119"/>
      <c r="O4836" s="118">
        <v>6600</v>
      </c>
      <c r="P4836" s="119"/>
      <c r="Q4836" s="118">
        <v>14040</v>
      </c>
      <c r="R4836" s="119"/>
      <c r="S4836" s="118">
        <v>88000</v>
      </c>
      <c r="T4836" s="119"/>
      <c r="U4836" s="118">
        <f t="shared" ref="U4836" si="5628">SUM(K4836:T4837)</f>
        <v>4074140</v>
      </c>
      <c r="V4836" s="122"/>
      <c r="W4836" s="124"/>
      <c r="X4836" s="126" t="s">
        <v>15001</v>
      </c>
      <c r="Y4836" s="127"/>
      <c r="Z4836" s="127"/>
      <c r="AA4836" s="127"/>
      <c r="AB4836" s="128"/>
      <c r="AC4836" s="15" t="s">
        <v>20</v>
      </c>
      <c r="AD4836" s="129" t="s">
        <v>13786</v>
      </c>
      <c r="AE4836" s="130"/>
      <c r="AF4836" s="130"/>
      <c r="AG4836" s="130"/>
      <c r="AH4836" s="130"/>
      <c r="AI4836" s="131"/>
      <c r="AJ4836" s="132"/>
      <c r="AK4836" s="127"/>
      <c r="AL4836" s="128"/>
      <c r="AM4836" s="21"/>
      <c r="AN4836" s="133">
        <v>46050</v>
      </c>
      <c r="AO4836" s="134"/>
      <c r="AP4836" s="135">
        <v>1002</v>
      </c>
      <c r="AQ4836" s="136"/>
      <c r="AR4836" s="118">
        <v>3850000</v>
      </c>
      <c r="AS4836" s="119"/>
      <c r="AT4836" s="118">
        <f t="shared" ref="AT4836" si="5629">AR4836*0.1</f>
        <v>385000</v>
      </c>
      <c r="AU4836" s="119"/>
      <c r="AV4836" s="118">
        <v>14040</v>
      </c>
      <c r="AW4836" s="119"/>
      <c r="AX4836" s="118">
        <f t="shared" ref="AX4836" si="5630">SUM(AR4836:AW4836)</f>
        <v>4249040</v>
      </c>
      <c r="AY4836" s="119"/>
      <c r="AZ4836" s="137">
        <v>46056</v>
      </c>
    </row>
    <row r="4837" spans="1:52" ht="17.100000000000001" customHeight="1" thickBot="1">
      <c r="A4837" s="110"/>
      <c r="B4837" s="27" t="s">
        <v>4544</v>
      </c>
      <c r="C4837" s="27">
        <v>1040</v>
      </c>
      <c r="D4837" s="14" t="s">
        <v>275</v>
      </c>
      <c r="E4837" s="112"/>
      <c r="F4837" s="139" t="s">
        <v>14449</v>
      </c>
      <c r="G4837" s="140"/>
      <c r="H4837" s="141"/>
      <c r="I4837" s="26">
        <v>4481</v>
      </c>
      <c r="J4837" s="117"/>
      <c r="K4837" s="120"/>
      <c r="L4837" s="121"/>
      <c r="M4837" s="120"/>
      <c r="N4837" s="121"/>
      <c r="O4837" s="120"/>
      <c r="P4837" s="121"/>
      <c r="Q4837" s="120"/>
      <c r="R4837" s="121"/>
      <c r="S4837" s="120"/>
      <c r="T4837" s="121"/>
      <c r="U4837" s="120"/>
      <c r="V4837" s="123"/>
      <c r="W4837" s="125"/>
      <c r="X4837" s="142" t="s">
        <v>15002</v>
      </c>
      <c r="Y4837" s="143"/>
      <c r="Z4837" s="143"/>
      <c r="AA4837" s="143"/>
      <c r="AB4837" s="144"/>
      <c r="AC4837" s="16" t="s">
        <v>21</v>
      </c>
      <c r="AD4837" s="17" t="s">
        <v>1815</v>
      </c>
      <c r="AE4837" s="145" t="s">
        <v>1609</v>
      </c>
      <c r="AF4837" s="146"/>
      <c r="AG4837" s="146"/>
      <c r="AH4837" s="146"/>
      <c r="AI4837" s="147"/>
      <c r="AJ4837" s="148"/>
      <c r="AK4837" s="143"/>
      <c r="AL4837" s="144"/>
      <c r="AM4837" s="22"/>
      <c r="AN4837" s="149" t="s">
        <v>8809</v>
      </c>
      <c r="AO4837" s="144"/>
      <c r="AP4837" s="148">
        <v>1265</v>
      </c>
      <c r="AQ4837" s="144"/>
      <c r="AR4837" s="120"/>
      <c r="AS4837" s="121"/>
      <c r="AT4837" s="120"/>
      <c r="AU4837" s="121"/>
      <c r="AV4837" s="120"/>
      <c r="AW4837" s="121"/>
      <c r="AX4837" s="120"/>
      <c r="AY4837" s="121"/>
      <c r="AZ4837" s="138"/>
    </row>
    <row r="4838" spans="1:52" ht="17.100000000000001" customHeight="1" thickTop="1">
      <c r="A4838" s="109" t="s">
        <v>14490</v>
      </c>
      <c r="B4838" s="28">
        <v>46027</v>
      </c>
      <c r="C4838" s="25">
        <v>81</v>
      </c>
      <c r="D4838" s="13" t="s">
        <v>2528</v>
      </c>
      <c r="E4838" s="111"/>
      <c r="F4838" s="113" t="s">
        <v>14457</v>
      </c>
      <c r="G4838" s="114"/>
      <c r="H4838" s="115"/>
      <c r="I4838" s="24" t="s">
        <v>2956</v>
      </c>
      <c r="J4838" s="116">
        <v>4</v>
      </c>
      <c r="K4838" s="118">
        <v>2640000</v>
      </c>
      <c r="L4838" s="119"/>
      <c r="M4838" s="118">
        <f t="shared" ref="M4838" si="5631">K4838*0.1</f>
        <v>264000</v>
      </c>
      <c r="N4838" s="119"/>
      <c r="O4838" s="118">
        <f>11000+1100</f>
        <v>12100</v>
      </c>
      <c r="P4838" s="119"/>
      <c r="Q4838" s="118">
        <v>9300</v>
      </c>
      <c r="R4838" s="119"/>
      <c r="S4838" s="118">
        <v>66000</v>
      </c>
      <c r="T4838" s="119"/>
      <c r="U4838" s="118">
        <f t="shared" ref="U4838" si="5632">SUM(K4838:T4839)</f>
        <v>2991400</v>
      </c>
      <c r="V4838" s="122"/>
      <c r="W4838" s="124"/>
      <c r="X4838" s="126" t="s">
        <v>15007</v>
      </c>
      <c r="Y4838" s="127"/>
      <c r="Z4838" s="127"/>
      <c r="AA4838" s="127"/>
      <c r="AB4838" s="128"/>
      <c r="AC4838" s="15" t="s">
        <v>20</v>
      </c>
      <c r="AD4838" s="129" t="s">
        <v>13783</v>
      </c>
      <c r="AE4838" s="130"/>
      <c r="AF4838" s="130"/>
      <c r="AG4838" s="130"/>
      <c r="AH4838" s="130"/>
      <c r="AI4838" s="131"/>
      <c r="AJ4838" s="132"/>
      <c r="AK4838" s="127"/>
      <c r="AL4838" s="128"/>
      <c r="AM4838" s="21" t="s">
        <v>17476</v>
      </c>
      <c r="AN4838" s="133">
        <v>46064</v>
      </c>
      <c r="AO4838" s="134"/>
      <c r="AP4838" s="135">
        <v>1004</v>
      </c>
      <c r="AQ4838" s="136"/>
      <c r="AR4838" s="118">
        <v>2625000</v>
      </c>
      <c r="AS4838" s="119"/>
      <c r="AT4838" s="118">
        <f t="shared" ref="AT4838" si="5633">AR4838*0.1</f>
        <v>262500</v>
      </c>
      <c r="AU4838" s="119"/>
      <c r="AV4838" s="118">
        <v>9300</v>
      </c>
      <c r="AW4838" s="119"/>
      <c r="AX4838" s="118">
        <f t="shared" ref="AX4838" si="5634">SUM(AR4838:AW4838)</f>
        <v>2896800</v>
      </c>
      <c r="AY4838" s="119"/>
      <c r="AZ4838" s="137">
        <v>46069</v>
      </c>
    </row>
    <row r="4839" spans="1:52" ht="17.100000000000001" customHeight="1" thickBot="1">
      <c r="A4839" s="110"/>
      <c r="B4839" s="27" t="s">
        <v>4544</v>
      </c>
      <c r="C4839" s="27">
        <v>1045</v>
      </c>
      <c r="D4839" s="14" t="s">
        <v>1720</v>
      </c>
      <c r="E4839" s="112"/>
      <c r="F4839" s="139" t="s">
        <v>14450</v>
      </c>
      <c r="G4839" s="140"/>
      <c r="H4839" s="141"/>
      <c r="I4839" s="26">
        <v>79252</v>
      </c>
      <c r="J4839" s="117"/>
      <c r="K4839" s="120"/>
      <c r="L4839" s="121"/>
      <c r="M4839" s="120"/>
      <c r="N4839" s="121"/>
      <c r="O4839" s="120"/>
      <c r="P4839" s="121"/>
      <c r="Q4839" s="120"/>
      <c r="R4839" s="121"/>
      <c r="S4839" s="120"/>
      <c r="T4839" s="121"/>
      <c r="U4839" s="120"/>
      <c r="V4839" s="123"/>
      <c r="W4839" s="125"/>
      <c r="X4839" s="142" t="s">
        <v>15008</v>
      </c>
      <c r="Y4839" s="143"/>
      <c r="Z4839" s="143"/>
      <c r="AA4839" s="143"/>
      <c r="AB4839" s="144"/>
      <c r="AC4839" s="16" t="s">
        <v>21</v>
      </c>
      <c r="AD4839" s="17" t="s">
        <v>1815</v>
      </c>
      <c r="AE4839" s="145" t="s">
        <v>1609</v>
      </c>
      <c r="AF4839" s="146"/>
      <c r="AG4839" s="146"/>
      <c r="AH4839" s="146"/>
      <c r="AI4839" s="147"/>
      <c r="AJ4839" s="148"/>
      <c r="AK4839" s="143"/>
      <c r="AL4839" s="144"/>
      <c r="AM4839" s="22"/>
      <c r="AN4839" s="149" t="s">
        <v>2794</v>
      </c>
      <c r="AO4839" s="144"/>
      <c r="AP4839" s="148">
        <v>5176</v>
      </c>
      <c r="AQ4839" s="144"/>
      <c r="AR4839" s="120"/>
      <c r="AS4839" s="121"/>
      <c r="AT4839" s="120"/>
      <c r="AU4839" s="121"/>
      <c r="AV4839" s="120"/>
      <c r="AW4839" s="121"/>
      <c r="AX4839" s="120"/>
      <c r="AY4839" s="121"/>
      <c r="AZ4839" s="138"/>
    </row>
    <row r="4840" spans="1:52" ht="17.100000000000001" customHeight="1" thickTop="1">
      <c r="A4840" s="151" t="s">
        <v>14491</v>
      </c>
      <c r="B4840" s="28">
        <v>46027</v>
      </c>
      <c r="C4840" s="25">
        <v>81</v>
      </c>
      <c r="D4840" s="13" t="s">
        <v>2211</v>
      </c>
      <c r="E4840" s="111"/>
      <c r="F4840" s="113" t="s">
        <v>14458</v>
      </c>
      <c r="G4840" s="114"/>
      <c r="H4840" s="115"/>
      <c r="I4840" s="24" t="s">
        <v>3931</v>
      </c>
      <c r="J4840" s="116">
        <v>5</v>
      </c>
      <c r="K4840" s="118">
        <v>2550000</v>
      </c>
      <c r="L4840" s="119"/>
      <c r="M4840" s="118">
        <f t="shared" ref="M4840" si="5635">K4840*0.1</f>
        <v>255000</v>
      </c>
      <c r="N4840" s="119"/>
      <c r="O4840" s="118">
        <v>5500</v>
      </c>
      <c r="P4840" s="119"/>
      <c r="Q4840" s="118">
        <v>14190</v>
      </c>
      <c r="R4840" s="119"/>
      <c r="S4840" s="118">
        <v>66000</v>
      </c>
      <c r="T4840" s="119"/>
      <c r="U4840" s="118">
        <f t="shared" ref="U4840" si="5636">SUM(K4840:T4841)</f>
        <v>2890690</v>
      </c>
      <c r="V4840" s="122"/>
      <c r="W4840" s="124"/>
      <c r="X4840" s="126" t="s">
        <v>15009</v>
      </c>
      <c r="Y4840" s="127"/>
      <c r="Z4840" s="127"/>
      <c r="AA4840" s="127"/>
      <c r="AB4840" s="128"/>
      <c r="AC4840" s="15" t="s">
        <v>20</v>
      </c>
      <c r="AD4840" s="129" t="s">
        <v>13786</v>
      </c>
      <c r="AE4840" s="130"/>
      <c r="AF4840" s="130"/>
      <c r="AG4840" s="130"/>
      <c r="AH4840" s="130"/>
      <c r="AI4840" s="131"/>
      <c r="AJ4840" s="132"/>
      <c r="AK4840" s="127"/>
      <c r="AL4840" s="128"/>
      <c r="AM4840" s="21"/>
      <c r="AN4840" s="133">
        <v>46039</v>
      </c>
      <c r="AO4840" s="134"/>
      <c r="AP4840" s="135">
        <v>1284</v>
      </c>
      <c r="AQ4840" s="136"/>
      <c r="AR4840" s="118">
        <v>2860000</v>
      </c>
      <c r="AS4840" s="119"/>
      <c r="AT4840" s="118">
        <f t="shared" ref="AT4840" si="5637">AR4840*0.1</f>
        <v>286000</v>
      </c>
      <c r="AU4840" s="119"/>
      <c r="AV4840" s="118">
        <v>14190</v>
      </c>
      <c r="AW4840" s="119"/>
      <c r="AX4840" s="118">
        <f t="shared" ref="AX4840" si="5638">SUM(AR4840:AW4840)</f>
        <v>3160190</v>
      </c>
      <c r="AY4840" s="119"/>
      <c r="AZ4840" s="137">
        <v>46042</v>
      </c>
    </row>
    <row r="4841" spans="1:52" ht="17.100000000000001" customHeight="1" thickBot="1">
      <c r="A4841" s="152"/>
      <c r="B4841" s="27" t="s">
        <v>4544</v>
      </c>
      <c r="C4841" s="27">
        <v>1046</v>
      </c>
      <c r="D4841" s="14" t="s">
        <v>2601</v>
      </c>
      <c r="E4841" s="112"/>
      <c r="F4841" s="139" t="s">
        <v>14451</v>
      </c>
      <c r="G4841" s="140"/>
      <c r="H4841" s="141"/>
      <c r="I4841" s="26">
        <v>17852</v>
      </c>
      <c r="J4841" s="117"/>
      <c r="K4841" s="120"/>
      <c r="L4841" s="121"/>
      <c r="M4841" s="120"/>
      <c r="N4841" s="121"/>
      <c r="O4841" s="120"/>
      <c r="P4841" s="121"/>
      <c r="Q4841" s="120"/>
      <c r="R4841" s="121"/>
      <c r="S4841" s="120"/>
      <c r="T4841" s="121"/>
      <c r="U4841" s="120"/>
      <c r="V4841" s="123"/>
      <c r="W4841" s="125"/>
      <c r="X4841" s="142" t="s">
        <v>15010</v>
      </c>
      <c r="Y4841" s="143"/>
      <c r="Z4841" s="143"/>
      <c r="AA4841" s="143"/>
      <c r="AB4841" s="144"/>
      <c r="AC4841" s="16" t="s">
        <v>21</v>
      </c>
      <c r="AD4841" s="17" t="s">
        <v>1815</v>
      </c>
      <c r="AE4841" s="145" t="s">
        <v>2692</v>
      </c>
      <c r="AF4841" s="146"/>
      <c r="AG4841" s="146"/>
      <c r="AH4841" s="146"/>
      <c r="AI4841" s="147"/>
      <c r="AJ4841" s="148"/>
      <c r="AK4841" s="143"/>
      <c r="AL4841" s="144"/>
      <c r="AM4841" s="22"/>
      <c r="AN4841" s="149" t="s">
        <v>2511</v>
      </c>
      <c r="AO4841" s="144"/>
      <c r="AP4841" s="148">
        <v>37433</v>
      </c>
      <c r="AQ4841" s="144"/>
      <c r="AR4841" s="120"/>
      <c r="AS4841" s="121"/>
      <c r="AT4841" s="120"/>
      <c r="AU4841" s="121"/>
      <c r="AV4841" s="120"/>
      <c r="AW4841" s="121"/>
      <c r="AX4841" s="120"/>
      <c r="AY4841" s="121"/>
      <c r="AZ4841" s="138"/>
    </row>
    <row r="4842" spans="1:52" ht="17.100000000000001" customHeight="1" thickTop="1">
      <c r="A4842" s="109" t="s">
        <v>14492</v>
      </c>
      <c r="B4842" s="28">
        <v>46027</v>
      </c>
      <c r="C4842" s="25">
        <v>81</v>
      </c>
      <c r="D4842" s="13" t="s">
        <v>1906</v>
      </c>
      <c r="E4842" s="111"/>
      <c r="F4842" s="113" t="s">
        <v>14459</v>
      </c>
      <c r="G4842" s="114"/>
      <c r="H4842" s="115"/>
      <c r="I4842" s="24" t="s">
        <v>2976</v>
      </c>
      <c r="J4842" s="116">
        <v>4.5</v>
      </c>
      <c r="K4842" s="118">
        <v>1025000</v>
      </c>
      <c r="L4842" s="119"/>
      <c r="M4842" s="118">
        <f t="shared" ref="M4842" si="5639">K4842*0.1</f>
        <v>102500</v>
      </c>
      <c r="N4842" s="119"/>
      <c r="O4842" s="118">
        <v>0</v>
      </c>
      <c r="P4842" s="119"/>
      <c r="Q4842" s="118">
        <v>8010</v>
      </c>
      <c r="R4842" s="119"/>
      <c r="S4842" s="118">
        <v>44000</v>
      </c>
      <c r="T4842" s="119"/>
      <c r="U4842" s="118">
        <f t="shared" ref="U4842" si="5640">SUM(K4842:T4843)</f>
        <v>1179510</v>
      </c>
      <c r="V4842" s="122"/>
      <c r="W4842" s="124"/>
      <c r="X4842" s="126" t="s">
        <v>16357</v>
      </c>
      <c r="Y4842" s="127"/>
      <c r="Z4842" s="127"/>
      <c r="AA4842" s="127"/>
      <c r="AB4842" s="128"/>
      <c r="AC4842" s="15" t="s">
        <v>20</v>
      </c>
      <c r="AD4842" s="129" t="s">
        <v>13786</v>
      </c>
      <c r="AE4842" s="130"/>
      <c r="AF4842" s="130"/>
      <c r="AG4842" s="130"/>
      <c r="AH4842" s="130"/>
      <c r="AI4842" s="131"/>
      <c r="AJ4842" s="132"/>
      <c r="AK4842" s="127"/>
      <c r="AL4842" s="128"/>
      <c r="AM4842" s="21" t="s">
        <v>16919</v>
      </c>
      <c r="AN4842" s="133">
        <v>46056</v>
      </c>
      <c r="AO4842" s="134"/>
      <c r="AP4842" s="135">
        <v>1927</v>
      </c>
      <c r="AQ4842" s="136"/>
      <c r="AR4842" s="118">
        <v>1110000</v>
      </c>
      <c r="AS4842" s="119"/>
      <c r="AT4842" s="118">
        <f t="shared" ref="AT4842" si="5641">AR4842*0.1</f>
        <v>111000</v>
      </c>
      <c r="AU4842" s="119"/>
      <c r="AV4842" s="118">
        <v>8010</v>
      </c>
      <c r="AW4842" s="119"/>
      <c r="AX4842" s="118">
        <f t="shared" ref="AX4842" si="5642">SUM(AR4842:AW4842)</f>
        <v>1229010</v>
      </c>
      <c r="AY4842" s="119"/>
      <c r="AZ4842" s="137">
        <v>46063</v>
      </c>
    </row>
    <row r="4843" spans="1:52" ht="17.100000000000001" customHeight="1" thickBot="1">
      <c r="A4843" s="110"/>
      <c r="B4843" s="27" t="s">
        <v>4544</v>
      </c>
      <c r="C4843" s="27">
        <v>1054</v>
      </c>
      <c r="D4843" s="14" t="s">
        <v>1812</v>
      </c>
      <c r="E4843" s="112"/>
      <c r="F4843" s="139" t="s">
        <v>14452</v>
      </c>
      <c r="G4843" s="140"/>
      <c r="H4843" s="141"/>
      <c r="I4843" s="26">
        <v>21263</v>
      </c>
      <c r="J4843" s="117"/>
      <c r="K4843" s="120"/>
      <c r="L4843" s="121"/>
      <c r="M4843" s="120"/>
      <c r="N4843" s="121"/>
      <c r="O4843" s="120"/>
      <c r="P4843" s="121"/>
      <c r="Q4843" s="120"/>
      <c r="R4843" s="121"/>
      <c r="S4843" s="120"/>
      <c r="T4843" s="121"/>
      <c r="U4843" s="120"/>
      <c r="V4843" s="123"/>
      <c r="W4843" s="125"/>
      <c r="X4843" s="142" t="s">
        <v>16358</v>
      </c>
      <c r="Y4843" s="143"/>
      <c r="Z4843" s="143"/>
      <c r="AA4843" s="143"/>
      <c r="AB4843" s="144"/>
      <c r="AC4843" s="16" t="s">
        <v>21</v>
      </c>
      <c r="AD4843" s="17" t="s">
        <v>1837</v>
      </c>
      <c r="AE4843" s="145" t="s">
        <v>1742</v>
      </c>
      <c r="AF4843" s="146"/>
      <c r="AG4843" s="146"/>
      <c r="AH4843" s="146"/>
      <c r="AI4843" s="147"/>
      <c r="AJ4843" s="148"/>
      <c r="AK4843" s="143"/>
      <c r="AL4843" s="144"/>
      <c r="AM4843" s="22"/>
      <c r="AN4843" s="149" t="s">
        <v>2131</v>
      </c>
      <c r="AO4843" s="144"/>
      <c r="AP4843" s="148">
        <v>3411</v>
      </c>
      <c r="AQ4843" s="144"/>
      <c r="AR4843" s="120"/>
      <c r="AS4843" s="121"/>
      <c r="AT4843" s="120"/>
      <c r="AU4843" s="121"/>
      <c r="AV4843" s="120"/>
      <c r="AW4843" s="121"/>
      <c r="AX4843" s="120"/>
      <c r="AY4843" s="121"/>
      <c r="AZ4843" s="138"/>
    </row>
    <row r="4844" spans="1:52" ht="17.100000000000001" customHeight="1" thickTop="1">
      <c r="A4844" s="109" t="s">
        <v>14493</v>
      </c>
      <c r="B4844" s="28">
        <v>46027</v>
      </c>
      <c r="C4844" s="25"/>
      <c r="D4844" s="13" t="s">
        <v>2508</v>
      </c>
      <c r="E4844" s="111"/>
      <c r="F4844" s="113" t="s">
        <v>14461</v>
      </c>
      <c r="G4844" s="114"/>
      <c r="H4844" s="115"/>
      <c r="I4844" s="24" t="s">
        <v>6834</v>
      </c>
      <c r="J4844" s="116">
        <v>5</v>
      </c>
      <c r="K4844" s="118">
        <f>2810500/1.1</f>
        <v>2555000</v>
      </c>
      <c r="L4844" s="119"/>
      <c r="M4844" s="118">
        <f t="shared" ref="M4844" si="5643">K4844*0.1</f>
        <v>255500</v>
      </c>
      <c r="N4844" s="119"/>
      <c r="O4844" s="118">
        <v>6000</v>
      </c>
      <c r="P4844" s="119"/>
      <c r="Q4844" s="118">
        <v>11900</v>
      </c>
      <c r="R4844" s="119"/>
      <c r="S4844" s="118">
        <v>0</v>
      </c>
      <c r="T4844" s="119"/>
      <c r="U4844" s="118">
        <f t="shared" ref="U4844" si="5644">SUM(K4844:T4845)</f>
        <v>2828400</v>
      </c>
      <c r="V4844" s="122"/>
      <c r="W4844" s="124"/>
      <c r="X4844" s="126" t="s">
        <v>15332</v>
      </c>
      <c r="Y4844" s="127"/>
      <c r="Z4844" s="127"/>
      <c r="AA4844" s="127"/>
      <c r="AB4844" s="128"/>
      <c r="AC4844" s="15" t="s">
        <v>20</v>
      </c>
      <c r="AD4844" s="129" t="s">
        <v>1732</v>
      </c>
      <c r="AE4844" s="130"/>
      <c r="AF4844" s="130"/>
      <c r="AG4844" s="130"/>
      <c r="AH4844" s="130"/>
      <c r="AI4844" s="131"/>
      <c r="AJ4844" s="132"/>
      <c r="AK4844" s="127"/>
      <c r="AL4844" s="128"/>
      <c r="AM4844" s="21"/>
      <c r="AN4844" s="133">
        <v>46046</v>
      </c>
      <c r="AO4844" s="134"/>
      <c r="AP4844" s="135">
        <v>1285</v>
      </c>
      <c r="AQ4844" s="136"/>
      <c r="AR4844" s="118">
        <v>2625000</v>
      </c>
      <c r="AS4844" s="119"/>
      <c r="AT4844" s="118">
        <f t="shared" ref="AT4844" si="5645">AR4844*0.1</f>
        <v>262500</v>
      </c>
      <c r="AU4844" s="119"/>
      <c r="AV4844" s="118">
        <v>11900</v>
      </c>
      <c r="AW4844" s="119"/>
      <c r="AX4844" s="118">
        <f t="shared" ref="AX4844" si="5646">SUM(AR4844:AW4844)</f>
        <v>2899400</v>
      </c>
      <c r="AY4844" s="119"/>
      <c r="AZ4844" s="137">
        <v>46049</v>
      </c>
    </row>
    <row r="4845" spans="1:52" ht="17.100000000000001" customHeight="1" thickBot="1">
      <c r="A4845" s="110"/>
      <c r="B4845" s="27" t="s">
        <v>1718</v>
      </c>
      <c r="C4845" s="27" t="s">
        <v>14460</v>
      </c>
      <c r="D4845" s="14" t="s">
        <v>1592</v>
      </c>
      <c r="E4845" s="112"/>
      <c r="F4845" s="139" t="s">
        <v>14462</v>
      </c>
      <c r="G4845" s="140"/>
      <c r="H4845" s="141"/>
      <c r="I4845" s="26">
        <v>3404</v>
      </c>
      <c r="J4845" s="117"/>
      <c r="K4845" s="120"/>
      <c r="L4845" s="121"/>
      <c r="M4845" s="120"/>
      <c r="N4845" s="121"/>
      <c r="O4845" s="120"/>
      <c r="P4845" s="121"/>
      <c r="Q4845" s="120"/>
      <c r="R4845" s="121"/>
      <c r="S4845" s="120"/>
      <c r="T4845" s="121"/>
      <c r="U4845" s="120"/>
      <c r="V4845" s="123"/>
      <c r="W4845" s="125"/>
      <c r="X4845" s="142" t="s">
        <v>15333</v>
      </c>
      <c r="Y4845" s="143"/>
      <c r="Z4845" s="143"/>
      <c r="AA4845" s="143"/>
      <c r="AB4845" s="144"/>
      <c r="AC4845" s="16" t="s">
        <v>21</v>
      </c>
      <c r="AD4845" s="17" t="s">
        <v>1822</v>
      </c>
      <c r="AE4845" s="145" t="s">
        <v>1614</v>
      </c>
      <c r="AF4845" s="146"/>
      <c r="AG4845" s="146"/>
      <c r="AH4845" s="146"/>
      <c r="AI4845" s="147"/>
      <c r="AJ4845" s="148"/>
      <c r="AK4845" s="143"/>
      <c r="AL4845" s="144"/>
      <c r="AM4845" s="22"/>
      <c r="AN4845" s="149" t="s">
        <v>2511</v>
      </c>
      <c r="AO4845" s="144"/>
      <c r="AP4845" s="148">
        <v>37710</v>
      </c>
      <c r="AQ4845" s="144"/>
      <c r="AR4845" s="120"/>
      <c r="AS4845" s="121"/>
      <c r="AT4845" s="120"/>
      <c r="AU4845" s="121"/>
      <c r="AV4845" s="120"/>
      <c r="AW4845" s="121"/>
      <c r="AX4845" s="120"/>
      <c r="AY4845" s="121"/>
      <c r="AZ4845" s="138"/>
    </row>
    <row r="4846" spans="1:52" ht="17.100000000000001" customHeight="1" thickTop="1">
      <c r="A4846" s="151" t="s">
        <v>14494</v>
      </c>
      <c r="B4846" s="28">
        <v>46027</v>
      </c>
      <c r="C4846" s="25"/>
      <c r="D4846" s="13" t="s">
        <v>1958</v>
      </c>
      <c r="E4846" s="111"/>
      <c r="F4846" s="113" t="s">
        <v>5141</v>
      </c>
      <c r="G4846" s="114"/>
      <c r="H4846" s="115"/>
      <c r="I4846" s="24" t="s">
        <v>11269</v>
      </c>
      <c r="J4846" s="116">
        <v>4</v>
      </c>
      <c r="K4846" s="118">
        <f>587400/1.1</f>
        <v>534000</v>
      </c>
      <c r="L4846" s="119"/>
      <c r="M4846" s="118">
        <f t="shared" ref="M4846" si="5647">K4846*0.1</f>
        <v>53400</v>
      </c>
      <c r="N4846" s="119"/>
      <c r="O4846" s="118">
        <v>0</v>
      </c>
      <c r="P4846" s="119"/>
      <c r="Q4846" s="118">
        <v>7950</v>
      </c>
      <c r="R4846" s="119"/>
      <c r="S4846" s="118">
        <v>0</v>
      </c>
      <c r="T4846" s="119"/>
      <c r="U4846" s="118">
        <f t="shared" ref="U4846" si="5648">SUM(K4846:T4847)</f>
        <v>595350</v>
      </c>
      <c r="V4846" s="122"/>
      <c r="W4846" s="124"/>
      <c r="X4846" s="126" t="s">
        <v>15415</v>
      </c>
      <c r="Y4846" s="127"/>
      <c r="Z4846" s="127"/>
      <c r="AA4846" s="127"/>
      <c r="AB4846" s="128"/>
      <c r="AC4846" s="15" t="s">
        <v>20</v>
      </c>
      <c r="AD4846" s="129"/>
      <c r="AE4846" s="130"/>
      <c r="AF4846" s="130"/>
      <c r="AG4846" s="130"/>
      <c r="AH4846" s="130"/>
      <c r="AI4846" s="131"/>
      <c r="AJ4846" s="132"/>
      <c r="AK4846" s="127"/>
      <c r="AL4846" s="128"/>
      <c r="AM4846" s="21"/>
      <c r="AN4846" s="133">
        <v>46050</v>
      </c>
      <c r="AO4846" s="134"/>
      <c r="AP4846" s="135">
        <v>1002</v>
      </c>
      <c r="AQ4846" s="136"/>
      <c r="AR4846" s="118">
        <v>675000</v>
      </c>
      <c r="AS4846" s="119"/>
      <c r="AT4846" s="118">
        <f t="shared" ref="AT4846" si="5649">AR4846*0.1</f>
        <v>67500</v>
      </c>
      <c r="AU4846" s="119"/>
      <c r="AV4846" s="118">
        <v>7950</v>
      </c>
      <c r="AW4846" s="119"/>
      <c r="AX4846" s="118">
        <f t="shared" ref="AX4846" si="5650">SUM(AR4846:AW4846)</f>
        <v>750450</v>
      </c>
      <c r="AY4846" s="119"/>
      <c r="AZ4846" s="137">
        <v>46055</v>
      </c>
    </row>
    <row r="4847" spans="1:52" ht="17.100000000000001" customHeight="1" thickBot="1">
      <c r="A4847" s="152"/>
      <c r="B4847" s="27" t="s">
        <v>1718</v>
      </c>
      <c r="C4847" s="27" t="s">
        <v>14463</v>
      </c>
      <c r="D4847" s="14" t="s">
        <v>14464</v>
      </c>
      <c r="E4847" s="112"/>
      <c r="F4847" s="139" t="s">
        <v>14465</v>
      </c>
      <c r="G4847" s="140"/>
      <c r="H4847" s="141"/>
      <c r="I4847" s="26">
        <v>59041</v>
      </c>
      <c r="J4847" s="117"/>
      <c r="K4847" s="120"/>
      <c r="L4847" s="121"/>
      <c r="M4847" s="120"/>
      <c r="N4847" s="121"/>
      <c r="O4847" s="120"/>
      <c r="P4847" s="121"/>
      <c r="Q4847" s="120"/>
      <c r="R4847" s="121"/>
      <c r="S4847" s="120"/>
      <c r="T4847" s="121"/>
      <c r="U4847" s="120"/>
      <c r="V4847" s="123"/>
      <c r="W4847" s="125"/>
      <c r="X4847" s="142" t="s">
        <v>15416</v>
      </c>
      <c r="Y4847" s="143"/>
      <c r="Z4847" s="143"/>
      <c r="AA4847" s="143"/>
      <c r="AB4847" s="144"/>
      <c r="AC4847" s="16" t="s">
        <v>21</v>
      </c>
      <c r="AD4847" s="17" t="s">
        <v>15379</v>
      </c>
      <c r="AE4847" s="145" t="s">
        <v>15417</v>
      </c>
      <c r="AF4847" s="146"/>
      <c r="AG4847" s="146"/>
      <c r="AH4847" s="146"/>
      <c r="AI4847" s="147"/>
      <c r="AJ4847" s="148"/>
      <c r="AK4847" s="143"/>
      <c r="AL4847" s="144"/>
      <c r="AM4847" s="22"/>
      <c r="AN4847" s="149" t="s">
        <v>9053</v>
      </c>
      <c r="AO4847" s="144"/>
      <c r="AP4847" s="148">
        <v>1170</v>
      </c>
      <c r="AQ4847" s="144"/>
      <c r="AR4847" s="120"/>
      <c r="AS4847" s="121"/>
      <c r="AT4847" s="120"/>
      <c r="AU4847" s="121"/>
      <c r="AV4847" s="120"/>
      <c r="AW4847" s="121"/>
      <c r="AX4847" s="120"/>
      <c r="AY4847" s="121"/>
      <c r="AZ4847" s="138"/>
    </row>
    <row r="4848" spans="1:52" ht="17.100000000000001" customHeight="1" thickTop="1">
      <c r="A4848" s="109" t="s">
        <v>14495</v>
      </c>
      <c r="B4848" s="28">
        <v>46027</v>
      </c>
      <c r="C4848" s="25"/>
      <c r="D4848" s="13" t="s">
        <v>2187</v>
      </c>
      <c r="E4848" s="111"/>
      <c r="F4848" s="113" t="s">
        <v>14467</v>
      </c>
      <c r="G4848" s="114"/>
      <c r="H4848" s="115"/>
      <c r="I4848" s="24" t="s">
        <v>14469</v>
      </c>
      <c r="J4848" s="116">
        <v>4.5</v>
      </c>
      <c r="K4848" s="118">
        <f>4020500/1.1</f>
        <v>3654999.9999999995</v>
      </c>
      <c r="L4848" s="119"/>
      <c r="M4848" s="118">
        <f t="shared" ref="M4848" si="5651">K4848*0.1</f>
        <v>365500</v>
      </c>
      <c r="N4848" s="119"/>
      <c r="O4848" s="118">
        <v>0</v>
      </c>
      <c r="P4848" s="119"/>
      <c r="Q4848" s="118">
        <v>14900</v>
      </c>
      <c r="R4848" s="119"/>
      <c r="S4848" s="118">
        <v>0</v>
      </c>
      <c r="T4848" s="119"/>
      <c r="U4848" s="118">
        <f t="shared" ref="U4848" si="5652">SUM(K4848:T4849)</f>
        <v>4035399.9999999995</v>
      </c>
      <c r="V4848" s="122"/>
      <c r="W4848" s="124"/>
      <c r="X4848" s="126" t="s">
        <v>16376</v>
      </c>
      <c r="Y4848" s="127"/>
      <c r="Z4848" s="127"/>
      <c r="AA4848" s="127"/>
      <c r="AB4848" s="128"/>
      <c r="AC4848" s="15" t="s">
        <v>20</v>
      </c>
      <c r="AD4848" s="129" t="s">
        <v>1633</v>
      </c>
      <c r="AE4848" s="130"/>
      <c r="AF4848" s="130"/>
      <c r="AG4848" s="130"/>
      <c r="AH4848" s="130"/>
      <c r="AI4848" s="131"/>
      <c r="AJ4848" s="132"/>
      <c r="AK4848" s="127"/>
      <c r="AL4848" s="128"/>
      <c r="AM4848" s="21"/>
      <c r="AN4848" s="133">
        <v>46046</v>
      </c>
      <c r="AO4848" s="134"/>
      <c r="AP4848" s="135">
        <v>1285</v>
      </c>
      <c r="AQ4848" s="136"/>
      <c r="AR4848" s="118">
        <v>3680000</v>
      </c>
      <c r="AS4848" s="119"/>
      <c r="AT4848" s="118">
        <f t="shared" ref="AT4848" si="5653">AR4848*0.1</f>
        <v>368000</v>
      </c>
      <c r="AU4848" s="119"/>
      <c r="AV4848" s="118">
        <v>14900</v>
      </c>
      <c r="AW4848" s="119"/>
      <c r="AX4848" s="118">
        <f t="shared" ref="AX4848" si="5654">SUM(AR4848:AW4848)</f>
        <v>4062900</v>
      </c>
      <c r="AY4848" s="119"/>
      <c r="AZ4848" s="137">
        <v>46052</v>
      </c>
    </row>
    <row r="4849" spans="1:52" ht="17.100000000000001" customHeight="1" thickBot="1">
      <c r="A4849" s="110"/>
      <c r="B4849" s="27" t="s">
        <v>1718</v>
      </c>
      <c r="C4849" s="27" t="s">
        <v>14466</v>
      </c>
      <c r="D4849" s="14" t="s">
        <v>275</v>
      </c>
      <c r="E4849" s="112"/>
      <c r="F4849" s="139" t="s">
        <v>14468</v>
      </c>
      <c r="G4849" s="140"/>
      <c r="H4849" s="141"/>
      <c r="I4849" s="26">
        <v>82297</v>
      </c>
      <c r="J4849" s="117"/>
      <c r="K4849" s="120"/>
      <c r="L4849" s="121"/>
      <c r="M4849" s="120"/>
      <c r="N4849" s="121"/>
      <c r="O4849" s="120"/>
      <c r="P4849" s="121"/>
      <c r="Q4849" s="120"/>
      <c r="R4849" s="121"/>
      <c r="S4849" s="120"/>
      <c r="T4849" s="121"/>
      <c r="U4849" s="120"/>
      <c r="V4849" s="123"/>
      <c r="W4849" s="125"/>
      <c r="X4849" s="142" t="s">
        <v>14998</v>
      </c>
      <c r="Y4849" s="143"/>
      <c r="Z4849" s="143"/>
      <c r="AA4849" s="143"/>
      <c r="AB4849" s="144"/>
      <c r="AC4849" s="16" t="s">
        <v>21</v>
      </c>
      <c r="AD4849" s="17" t="s">
        <v>3980</v>
      </c>
      <c r="AE4849" s="145" t="s">
        <v>5075</v>
      </c>
      <c r="AF4849" s="146"/>
      <c r="AG4849" s="146"/>
      <c r="AH4849" s="146"/>
      <c r="AI4849" s="147"/>
      <c r="AJ4849" s="148"/>
      <c r="AK4849" s="143"/>
      <c r="AL4849" s="144"/>
      <c r="AM4849" s="22"/>
      <c r="AN4849" s="149" t="s">
        <v>2511</v>
      </c>
      <c r="AO4849" s="144"/>
      <c r="AP4849" s="148">
        <v>37432</v>
      </c>
      <c r="AQ4849" s="144"/>
      <c r="AR4849" s="120"/>
      <c r="AS4849" s="121"/>
      <c r="AT4849" s="120"/>
      <c r="AU4849" s="121"/>
      <c r="AV4849" s="120"/>
      <c r="AW4849" s="121"/>
      <c r="AX4849" s="120"/>
      <c r="AY4849" s="121"/>
      <c r="AZ4849" s="138"/>
    </row>
    <row r="4850" spans="1:52" ht="17.100000000000001" customHeight="1" thickTop="1">
      <c r="A4850" s="109" t="s">
        <v>14496</v>
      </c>
      <c r="B4850" s="28">
        <v>46027</v>
      </c>
      <c r="C4850" s="25"/>
      <c r="D4850" s="13" t="s">
        <v>2697</v>
      </c>
      <c r="E4850" s="111"/>
      <c r="F4850" s="113" t="s">
        <v>14471</v>
      </c>
      <c r="G4850" s="114"/>
      <c r="H4850" s="115"/>
      <c r="I4850" s="24" t="s">
        <v>14473</v>
      </c>
      <c r="J4850" s="116">
        <v>5</v>
      </c>
      <c r="K4850" s="118">
        <f>5401000/1.1</f>
        <v>4910000</v>
      </c>
      <c r="L4850" s="119"/>
      <c r="M4850" s="118">
        <f t="shared" ref="M4850" si="5655">K4850*0.1</f>
        <v>491000</v>
      </c>
      <c r="N4850" s="119"/>
      <c r="O4850" s="118">
        <v>7200</v>
      </c>
      <c r="P4850" s="119"/>
      <c r="Q4850" s="118">
        <v>15470</v>
      </c>
      <c r="R4850" s="119"/>
      <c r="S4850" s="118">
        <v>0</v>
      </c>
      <c r="T4850" s="119"/>
      <c r="U4850" s="118">
        <f t="shared" ref="U4850" si="5656">SUM(K4850:T4851)</f>
        <v>5423670</v>
      </c>
      <c r="V4850" s="122"/>
      <c r="W4850" s="124"/>
      <c r="X4850" s="126" t="s">
        <v>17062</v>
      </c>
      <c r="Y4850" s="127"/>
      <c r="Z4850" s="127"/>
      <c r="AA4850" s="127"/>
      <c r="AB4850" s="128"/>
      <c r="AC4850" s="15" t="s">
        <v>20</v>
      </c>
      <c r="AD4850" s="129" t="s">
        <v>1945</v>
      </c>
      <c r="AE4850" s="130"/>
      <c r="AF4850" s="130"/>
      <c r="AG4850" s="130"/>
      <c r="AH4850" s="130"/>
      <c r="AI4850" s="131"/>
      <c r="AJ4850" s="132"/>
      <c r="AK4850" s="127"/>
      <c r="AL4850" s="128"/>
      <c r="AM4850" s="21"/>
      <c r="AN4850" s="133">
        <v>46057</v>
      </c>
      <c r="AO4850" s="134"/>
      <c r="AP4850" s="135">
        <v>1003</v>
      </c>
      <c r="AQ4850" s="136"/>
      <c r="AR4850" s="118">
        <v>4915000</v>
      </c>
      <c r="AS4850" s="119"/>
      <c r="AT4850" s="118">
        <f t="shared" ref="AT4850" si="5657">AR4850*0.1</f>
        <v>491500</v>
      </c>
      <c r="AU4850" s="119"/>
      <c r="AV4850" s="118">
        <v>15470</v>
      </c>
      <c r="AW4850" s="119"/>
      <c r="AX4850" s="118">
        <f t="shared" ref="AX4850" si="5658">SUM(AR4850:AW4850)</f>
        <v>5421970</v>
      </c>
      <c r="AY4850" s="119"/>
      <c r="AZ4850" s="137">
        <v>46063</v>
      </c>
    </row>
    <row r="4851" spans="1:52" ht="17.100000000000001" customHeight="1" thickBot="1">
      <c r="A4851" s="110"/>
      <c r="B4851" s="27" t="s">
        <v>1718</v>
      </c>
      <c r="C4851" s="27" t="s">
        <v>14470</v>
      </c>
      <c r="D4851" s="14" t="s">
        <v>1592</v>
      </c>
      <c r="E4851" s="112"/>
      <c r="F4851" s="139" t="s">
        <v>14472</v>
      </c>
      <c r="G4851" s="140"/>
      <c r="H4851" s="141"/>
      <c r="I4851" s="26">
        <v>12761</v>
      </c>
      <c r="J4851" s="117"/>
      <c r="K4851" s="120"/>
      <c r="L4851" s="121"/>
      <c r="M4851" s="120"/>
      <c r="N4851" s="121"/>
      <c r="O4851" s="120"/>
      <c r="P4851" s="121"/>
      <c r="Q4851" s="120"/>
      <c r="R4851" s="121"/>
      <c r="S4851" s="120"/>
      <c r="T4851" s="121"/>
      <c r="U4851" s="120"/>
      <c r="V4851" s="123"/>
      <c r="W4851" s="125"/>
      <c r="X4851" s="142" t="s">
        <v>10378</v>
      </c>
      <c r="Y4851" s="143"/>
      <c r="Z4851" s="143"/>
      <c r="AA4851" s="143"/>
      <c r="AB4851" s="144"/>
      <c r="AC4851" s="16" t="s">
        <v>21</v>
      </c>
      <c r="AD4851" s="17" t="s">
        <v>3980</v>
      </c>
      <c r="AE4851" s="145" t="s">
        <v>1945</v>
      </c>
      <c r="AF4851" s="146"/>
      <c r="AG4851" s="146"/>
      <c r="AH4851" s="146"/>
      <c r="AI4851" s="147"/>
      <c r="AJ4851" s="148"/>
      <c r="AK4851" s="143"/>
      <c r="AL4851" s="144"/>
      <c r="AM4851" s="22"/>
      <c r="AN4851" s="149" t="s">
        <v>2794</v>
      </c>
      <c r="AO4851" s="144"/>
      <c r="AP4851" s="148">
        <v>1053</v>
      </c>
      <c r="AQ4851" s="144"/>
      <c r="AR4851" s="120"/>
      <c r="AS4851" s="121"/>
      <c r="AT4851" s="120"/>
      <c r="AU4851" s="121"/>
      <c r="AV4851" s="120"/>
      <c r="AW4851" s="121"/>
      <c r="AX4851" s="120"/>
      <c r="AY4851" s="121"/>
      <c r="AZ4851" s="138"/>
    </row>
    <row r="4852" spans="1:52" ht="17.100000000000001" customHeight="1" thickTop="1">
      <c r="A4852" s="109" t="s">
        <v>14497</v>
      </c>
      <c r="B4852" s="28">
        <v>46027</v>
      </c>
      <c r="C4852" s="25"/>
      <c r="D4852" s="13" t="s">
        <v>2036</v>
      </c>
      <c r="E4852" s="111"/>
      <c r="F4852" s="113" t="s">
        <v>9253</v>
      </c>
      <c r="G4852" s="114"/>
      <c r="H4852" s="115"/>
      <c r="I4852" s="24" t="s">
        <v>4774</v>
      </c>
      <c r="J4852" s="116">
        <v>4</v>
      </c>
      <c r="K4852" s="118">
        <f>2832500/1.1</f>
        <v>2575000</v>
      </c>
      <c r="L4852" s="119"/>
      <c r="M4852" s="118">
        <f t="shared" ref="M4852" si="5659">K4852*0.1</f>
        <v>257500</v>
      </c>
      <c r="N4852" s="119"/>
      <c r="O4852" s="118">
        <v>7200</v>
      </c>
      <c r="P4852" s="119"/>
      <c r="Q4852" s="118">
        <v>10660</v>
      </c>
      <c r="R4852" s="119"/>
      <c r="S4852" s="118">
        <v>0</v>
      </c>
      <c r="T4852" s="119"/>
      <c r="U4852" s="118">
        <f t="shared" ref="U4852" si="5660">SUM(K4852:T4853)</f>
        <v>2850360</v>
      </c>
      <c r="V4852" s="122"/>
      <c r="W4852" s="124"/>
      <c r="X4852" s="126" t="s">
        <v>15685</v>
      </c>
      <c r="Y4852" s="127"/>
      <c r="Z4852" s="127"/>
      <c r="AA4852" s="127"/>
      <c r="AB4852" s="128"/>
      <c r="AC4852" s="15" t="s">
        <v>20</v>
      </c>
      <c r="AD4852" s="129" t="s">
        <v>1797</v>
      </c>
      <c r="AE4852" s="130"/>
      <c r="AF4852" s="130"/>
      <c r="AG4852" s="130"/>
      <c r="AH4852" s="130"/>
      <c r="AI4852" s="131"/>
      <c r="AJ4852" s="132"/>
      <c r="AK4852" s="127"/>
      <c r="AL4852" s="128"/>
      <c r="AM4852" s="21"/>
      <c r="AN4852" s="133">
        <v>46046</v>
      </c>
      <c r="AO4852" s="134"/>
      <c r="AP4852" s="135">
        <v>1285</v>
      </c>
      <c r="AQ4852" s="136"/>
      <c r="AR4852" s="118">
        <v>2780000</v>
      </c>
      <c r="AS4852" s="119"/>
      <c r="AT4852" s="118">
        <f t="shared" ref="AT4852" si="5661">AR4852*0.1</f>
        <v>278000</v>
      </c>
      <c r="AU4852" s="119"/>
      <c r="AV4852" s="118">
        <v>10660</v>
      </c>
      <c r="AW4852" s="119"/>
      <c r="AX4852" s="118">
        <f t="shared" ref="AX4852" si="5662">SUM(AR4852:AW4852)</f>
        <v>3068660</v>
      </c>
      <c r="AY4852" s="119"/>
      <c r="AZ4852" s="137">
        <v>46049</v>
      </c>
    </row>
    <row r="4853" spans="1:52" ht="17.100000000000001" customHeight="1" thickBot="1">
      <c r="A4853" s="110"/>
      <c r="B4853" s="27" t="s">
        <v>1718</v>
      </c>
      <c r="C4853" s="27" t="s">
        <v>14474</v>
      </c>
      <c r="D4853" s="14" t="s">
        <v>2601</v>
      </c>
      <c r="E4853" s="112"/>
      <c r="F4853" s="139" t="s">
        <v>14475</v>
      </c>
      <c r="G4853" s="140"/>
      <c r="H4853" s="141"/>
      <c r="I4853" s="26">
        <v>46235</v>
      </c>
      <c r="J4853" s="117"/>
      <c r="K4853" s="120"/>
      <c r="L4853" s="121"/>
      <c r="M4853" s="120"/>
      <c r="N4853" s="121"/>
      <c r="O4853" s="120"/>
      <c r="P4853" s="121"/>
      <c r="Q4853" s="120"/>
      <c r="R4853" s="121"/>
      <c r="S4853" s="120"/>
      <c r="T4853" s="121"/>
      <c r="U4853" s="120"/>
      <c r="V4853" s="123"/>
      <c r="W4853" s="125"/>
      <c r="X4853" s="142" t="s">
        <v>15686</v>
      </c>
      <c r="Y4853" s="143"/>
      <c r="Z4853" s="143"/>
      <c r="AA4853" s="143"/>
      <c r="AB4853" s="144"/>
      <c r="AC4853" s="16" t="s">
        <v>21</v>
      </c>
      <c r="AD4853" s="17" t="s">
        <v>15687</v>
      </c>
      <c r="AE4853" s="145" t="s">
        <v>1670</v>
      </c>
      <c r="AF4853" s="146"/>
      <c r="AG4853" s="146"/>
      <c r="AH4853" s="146"/>
      <c r="AI4853" s="147"/>
      <c r="AJ4853" s="148"/>
      <c r="AK4853" s="143"/>
      <c r="AL4853" s="144"/>
      <c r="AM4853" s="22"/>
      <c r="AN4853" s="149" t="s">
        <v>2511</v>
      </c>
      <c r="AO4853" s="144"/>
      <c r="AP4853" s="148">
        <v>37595</v>
      </c>
      <c r="AQ4853" s="144"/>
      <c r="AR4853" s="120"/>
      <c r="AS4853" s="121"/>
      <c r="AT4853" s="120"/>
      <c r="AU4853" s="121"/>
      <c r="AV4853" s="120"/>
      <c r="AW4853" s="121"/>
      <c r="AX4853" s="120"/>
      <c r="AY4853" s="121"/>
      <c r="AZ4853" s="138"/>
    </row>
    <row r="4854" spans="1:52" ht="17.100000000000001" customHeight="1" thickTop="1">
      <c r="A4854" s="151" t="s">
        <v>14498</v>
      </c>
      <c r="B4854" s="28">
        <v>46027</v>
      </c>
      <c r="C4854" s="25"/>
      <c r="D4854" s="13" t="s">
        <v>1649</v>
      </c>
      <c r="E4854" s="111"/>
      <c r="F4854" s="113" t="s">
        <v>7065</v>
      </c>
      <c r="G4854" s="114"/>
      <c r="H4854" s="115"/>
      <c r="I4854" s="24"/>
      <c r="J4854" s="116">
        <v>4</v>
      </c>
      <c r="K4854" s="118">
        <f>319000/1.1</f>
        <v>290000</v>
      </c>
      <c r="L4854" s="119"/>
      <c r="M4854" s="118">
        <f t="shared" ref="M4854" si="5663">K4854*0.1</f>
        <v>29000</v>
      </c>
      <c r="N4854" s="119"/>
      <c r="O4854" s="118">
        <v>0</v>
      </c>
      <c r="P4854" s="119"/>
      <c r="Q4854" s="118">
        <v>8460</v>
      </c>
      <c r="R4854" s="119"/>
      <c r="S4854" s="118">
        <v>0</v>
      </c>
      <c r="T4854" s="119"/>
      <c r="U4854" s="118">
        <f t="shared" ref="U4854" si="5664">SUM(K4854:T4855)</f>
        <v>327460</v>
      </c>
      <c r="V4854" s="122"/>
      <c r="W4854" s="124"/>
      <c r="X4854" s="126" t="s">
        <v>15024</v>
      </c>
      <c r="Y4854" s="127"/>
      <c r="Z4854" s="127"/>
      <c r="AA4854" s="127"/>
      <c r="AB4854" s="128"/>
      <c r="AC4854" s="15" t="s">
        <v>20</v>
      </c>
      <c r="AD4854" s="129" t="s">
        <v>1605</v>
      </c>
      <c r="AE4854" s="130"/>
      <c r="AF4854" s="130"/>
      <c r="AG4854" s="130"/>
      <c r="AH4854" s="130"/>
      <c r="AI4854" s="131"/>
      <c r="AJ4854" s="132"/>
      <c r="AK4854" s="127"/>
      <c r="AL4854" s="128"/>
      <c r="AM4854" s="21"/>
      <c r="AN4854" s="133">
        <v>46039</v>
      </c>
      <c r="AO4854" s="134"/>
      <c r="AP4854" s="135">
        <v>1284</v>
      </c>
      <c r="AQ4854" s="136"/>
      <c r="AR4854" s="118">
        <v>440000</v>
      </c>
      <c r="AS4854" s="119"/>
      <c r="AT4854" s="118">
        <f t="shared" ref="AT4854" si="5665">AR4854*0.1</f>
        <v>44000</v>
      </c>
      <c r="AU4854" s="119"/>
      <c r="AV4854" s="118">
        <v>8460</v>
      </c>
      <c r="AW4854" s="119"/>
      <c r="AX4854" s="118">
        <f t="shared" ref="AX4854" si="5666">SUM(AR4854:AW4854)</f>
        <v>492460</v>
      </c>
      <c r="AY4854" s="119"/>
      <c r="AZ4854" s="137">
        <v>46044</v>
      </c>
    </row>
    <row r="4855" spans="1:52" ht="17.100000000000001" customHeight="1" thickBot="1">
      <c r="A4855" s="152"/>
      <c r="B4855" s="27" t="s">
        <v>1718</v>
      </c>
      <c r="C4855" s="27" t="s">
        <v>14476</v>
      </c>
      <c r="D4855" s="14" t="s">
        <v>275</v>
      </c>
      <c r="E4855" s="112"/>
      <c r="F4855" s="139" t="s">
        <v>14477</v>
      </c>
      <c r="G4855" s="140"/>
      <c r="H4855" s="141"/>
      <c r="I4855" s="26">
        <v>61465</v>
      </c>
      <c r="J4855" s="117"/>
      <c r="K4855" s="120"/>
      <c r="L4855" s="121"/>
      <c r="M4855" s="120"/>
      <c r="N4855" s="121"/>
      <c r="O4855" s="120"/>
      <c r="P4855" s="121"/>
      <c r="Q4855" s="120"/>
      <c r="R4855" s="121"/>
      <c r="S4855" s="120"/>
      <c r="T4855" s="121"/>
      <c r="U4855" s="120"/>
      <c r="V4855" s="123"/>
      <c r="W4855" s="125"/>
      <c r="X4855" s="142" t="s">
        <v>15025</v>
      </c>
      <c r="Y4855" s="143"/>
      <c r="Z4855" s="143"/>
      <c r="AA4855" s="143"/>
      <c r="AB4855" s="144"/>
      <c r="AC4855" s="16" t="s">
        <v>21</v>
      </c>
      <c r="AD4855" s="17" t="s">
        <v>15026</v>
      </c>
      <c r="AE4855" s="145" t="s">
        <v>171</v>
      </c>
      <c r="AF4855" s="146"/>
      <c r="AG4855" s="146"/>
      <c r="AH4855" s="146"/>
      <c r="AI4855" s="147"/>
      <c r="AJ4855" s="148"/>
      <c r="AK4855" s="143"/>
      <c r="AL4855" s="144"/>
      <c r="AM4855" s="22"/>
      <c r="AN4855" s="149" t="s">
        <v>2511</v>
      </c>
      <c r="AO4855" s="144"/>
      <c r="AP4855" s="148">
        <v>65457</v>
      </c>
      <c r="AQ4855" s="144"/>
      <c r="AR4855" s="120"/>
      <c r="AS4855" s="121"/>
      <c r="AT4855" s="120"/>
      <c r="AU4855" s="121"/>
      <c r="AV4855" s="120"/>
      <c r="AW4855" s="121"/>
      <c r="AX4855" s="120"/>
      <c r="AY4855" s="121"/>
      <c r="AZ4855" s="138"/>
    </row>
    <row r="4856" spans="1:52" ht="17.100000000000001" customHeight="1" thickTop="1">
      <c r="A4856" s="109" t="s">
        <v>14529</v>
      </c>
      <c r="B4856" s="28">
        <v>46028</v>
      </c>
      <c r="C4856" s="25">
        <v>972</v>
      </c>
      <c r="D4856" s="13" t="s">
        <v>3386</v>
      </c>
      <c r="E4856" s="111"/>
      <c r="F4856" s="113" t="s">
        <v>14454</v>
      </c>
      <c r="G4856" s="114"/>
      <c r="H4856" s="115"/>
      <c r="I4856" s="24"/>
      <c r="J4856" s="116">
        <v>4</v>
      </c>
      <c r="K4856" s="118">
        <v>1058000</v>
      </c>
      <c r="L4856" s="119"/>
      <c r="M4856" s="118">
        <f t="shared" ref="M4856" si="5667">K4856*0.1</f>
        <v>105800</v>
      </c>
      <c r="N4856" s="119"/>
      <c r="O4856" s="118">
        <v>0</v>
      </c>
      <c r="P4856" s="119"/>
      <c r="Q4856" s="118">
        <v>6880</v>
      </c>
      <c r="R4856" s="119"/>
      <c r="S4856" s="118">
        <v>22000</v>
      </c>
      <c r="T4856" s="119"/>
      <c r="U4856" s="118">
        <f t="shared" ref="U4856" si="5668">SUM(K4856:T4857)</f>
        <v>1192680</v>
      </c>
      <c r="V4856" s="122"/>
      <c r="W4856" s="124"/>
      <c r="X4856" s="126" t="s">
        <v>15033</v>
      </c>
      <c r="Y4856" s="127"/>
      <c r="Z4856" s="127"/>
      <c r="AA4856" s="127"/>
      <c r="AB4856" s="128"/>
      <c r="AC4856" s="15" t="s">
        <v>20</v>
      </c>
      <c r="AD4856" s="129" t="s">
        <v>4982</v>
      </c>
      <c r="AE4856" s="130"/>
      <c r="AF4856" s="130"/>
      <c r="AG4856" s="130"/>
      <c r="AH4856" s="130"/>
      <c r="AI4856" s="131"/>
      <c r="AJ4856" s="132"/>
      <c r="AK4856" s="127"/>
      <c r="AL4856" s="128"/>
      <c r="AM4856" s="21"/>
      <c r="AN4856" s="133">
        <v>46049</v>
      </c>
      <c r="AO4856" s="134"/>
      <c r="AP4856" s="135">
        <v>1926</v>
      </c>
      <c r="AQ4856" s="136"/>
      <c r="AR4856" s="118">
        <v>1080000</v>
      </c>
      <c r="AS4856" s="119"/>
      <c r="AT4856" s="118">
        <f t="shared" ref="AT4856" si="5669">AR4856*0.1</f>
        <v>108000</v>
      </c>
      <c r="AU4856" s="119"/>
      <c r="AV4856" s="118">
        <v>6880</v>
      </c>
      <c r="AW4856" s="119"/>
      <c r="AX4856" s="118">
        <f t="shared" ref="AX4856" si="5670">SUM(AR4856:AW4856)</f>
        <v>1194880</v>
      </c>
      <c r="AY4856" s="119"/>
      <c r="AZ4856" s="137"/>
    </row>
    <row r="4857" spans="1:52" ht="17.100000000000001" customHeight="1" thickBot="1">
      <c r="A4857" s="110"/>
      <c r="B4857" s="27" t="s">
        <v>2055</v>
      </c>
      <c r="C4857" s="27">
        <v>121</v>
      </c>
      <c r="D4857" s="14" t="s">
        <v>1635</v>
      </c>
      <c r="E4857" s="112"/>
      <c r="F4857" s="139" t="s">
        <v>14535</v>
      </c>
      <c r="G4857" s="140"/>
      <c r="H4857" s="141"/>
      <c r="I4857" s="26">
        <v>47697</v>
      </c>
      <c r="J4857" s="117"/>
      <c r="K4857" s="120"/>
      <c r="L4857" s="121"/>
      <c r="M4857" s="120"/>
      <c r="N4857" s="121"/>
      <c r="O4857" s="120"/>
      <c r="P4857" s="121"/>
      <c r="Q4857" s="120"/>
      <c r="R4857" s="121"/>
      <c r="S4857" s="120"/>
      <c r="T4857" s="121"/>
      <c r="U4857" s="120"/>
      <c r="V4857" s="123"/>
      <c r="W4857" s="125"/>
      <c r="X4857" s="142" t="s">
        <v>2482</v>
      </c>
      <c r="Y4857" s="143"/>
      <c r="Z4857" s="143"/>
      <c r="AA4857" s="143"/>
      <c r="AB4857" s="144"/>
      <c r="AC4857" s="16" t="s">
        <v>21</v>
      </c>
      <c r="AD4857" s="17" t="s">
        <v>15026</v>
      </c>
      <c r="AE4857" s="145" t="s">
        <v>9807</v>
      </c>
      <c r="AF4857" s="146"/>
      <c r="AG4857" s="146"/>
      <c r="AH4857" s="146"/>
      <c r="AI4857" s="147"/>
      <c r="AJ4857" s="148"/>
      <c r="AK4857" s="143"/>
      <c r="AL4857" s="144"/>
      <c r="AM4857" s="22"/>
      <c r="AN4857" s="149" t="s">
        <v>2131</v>
      </c>
      <c r="AO4857" s="144"/>
      <c r="AP4857" s="148">
        <v>3075</v>
      </c>
      <c r="AQ4857" s="144"/>
      <c r="AR4857" s="120"/>
      <c r="AS4857" s="121"/>
      <c r="AT4857" s="120"/>
      <c r="AU4857" s="121"/>
      <c r="AV4857" s="120"/>
      <c r="AW4857" s="121"/>
      <c r="AX4857" s="120"/>
      <c r="AY4857" s="121"/>
      <c r="AZ4857" s="138"/>
    </row>
    <row r="4858" spans="1:52" ht="17.100000000000001" customHeight="1" thickTop="1">
      <c r="A4858" s="151" t="s">
        <v>14530</v>
      </c>
      <c r="B4858" s="28">
        <v>46029</v>
      </c>
      <c r="C4858" s="25"/>
      <c r="D4858" s="13" t="s">
        <v>1853</v>
      </c>
      <c r="E4858" s="111"/>
      <c r="F4858" s="113" t="s">
        <v>10113</v>
      </c>
      <c r="G4858" s="114"/>
      <c r="H4858" s="115"/>
      <c r="I4858" s="24" t="s">
        <v>14559</v>
      </c>
      <c r="J4858" s="116">
        <v>4</v>
      </c>
      <c r="K4858" s="118">
        <v>580000</v>
      </c>
      <c r="L4858" s="119"/>
      <c r="M4858" s="118">
        <f t="shared" ref="M4858" si="5671">K4858*0.1</f>
        <v>58000</v>
      </c>
      <c r="N4858" s="119"/>
      <c r="O4858" s="118">
        <v>15000</v>
      </c>
      <c r="P4858" s="119"/>
      <c r="Q4858" s="118">
        <v>8400</v>
      </c>
      <c r="R4858" s="119"/>
      <c r="S4858" s="118">
        <v>16500</v>
      </c>
      <c r="T4858" s="119"/>
      <c r="U4858" s="118">
        <f t="shared" ref="U4858" si="5672">SUM(K4858:T4859)</f>
        <v>677900</v>
      </c>
      <c r="V4858" s="122"/>
      <c r="W4858" s="124"/>
      <c r="X4858" s="126" t="s">
        <v>14715</v>
      </c>
      <c r="Y4858" s="127"/>
      <c r="Z4858" s="127"/>
      <c r="AA4858" s="127"/>
      <c r="AB4858" s="128"/>
      <c r="AC4858" s="15" t="s">
        <v>20</v>
      </c>
      <c r="AD4858" s="129"/>
      <c r="AE4858" s="130"/>
      <c r="AF4858" s="130"/>
      <c r="AG4858" s="130"/>
      <c r="AH4858" s="130"/>
      <c r="AI4858" s="131"/>
      <c r="AJ4858" s="132"/>
      <c r="AK4858" s="127"/>
      <c r="AL4858" s="128"/>
      <c r="AM4858" s="21"/>
      <c r="AN4858" s="133">
        <v>46032</v>
      </c>
      <c r="AO4858" s="134"/>
      <c r="AP4858" s="135">
        <v>1283</v>
      </c>
      <c r="AQ4858" s="136"/>
      <c r="AR4858" s="118">
        <v>660000</v>
      </c>
      <c r="AS4858" s="119"/>
      <c r="AT4858" s="118">
        <f t="shared" ref="AT4858" si="5673">AR4858*0.1</f>
        <v>66000</v>
      </c>
      <c r="AU4858" s="119"/>
      <c r="AV4858" s="118">
        <v>8400</v>
      </c>
      <c r="AW4858" s="119"/>
      <c r="AX4858" s="118">
        <f t="shared" ref="AX4858" si="5674">SUM(AR4858:AW4858)</f>
        <v>734400</v>
      </c>
      <c r="AY4858" s="119"/>
      <c r="AZ4858" s="137">
        <v>46036</v>
      </c>
    </row>
    <row r="4859" spans="1:52" ht="17.100000000000001" customHeight="1" thickBot="1">
      <c r="A4859" s="152"/>
      <c r="B4859" s="27" t="s">
        <v>3422</v>
      </c>
      <c r="C4859" s="27">
        <v>20231</v>
      </c>
      <c r="D4859" s="14" t="s">
        <v>1592</v>
      </c>
      <c r="E4859" s="112"/>
      <c r="F4859" s="139" t="s">
        <v>14536</v>
      </c>
      <c r="G4859" s="140"/>
      <c r="H4859" s="141"/>
      <c r="I4859" s="26">
        <v>54478</v>
      </c>
      <c r="J4859" s="117"/>
      <c r="K4859" s="120"/>
      <c r="L4859" s="121"/>
      <c r="M4859" s="120"/>
      <c r="N4859" s="121"/>
      <c r="O4859" s="120"/>
      <c r="P4859" s="121"/>
      <c r="Q4859" s="120"/>
      <c r="R4859" s="121"/>
      <c r="S4859" s="120"/>
      <c r="T4859" s="121"/>
      <c r="U4859" s="120"/>
      <c r="V4859" s="123"/>
      <c r="W4859" s="125"/>
      <c r="X4859" s="142" t="s">
        <v>14716</v>
      </c>
      <c r="Y4859" s="143"/>
      <c r="Z4859" s="143"/>
      <c r="AA4859" s="143"/>
      <c r="AB4859" s="144"/>
      <c r="AC4859" s="16" t="s">
        <v>21</v>
      </c>
      <c r="AD4859" s="17" t="s">
        <v>2949</v>
      </c>
      <c r="AE4859" s="145" t="s">
        <v>2401</v>
      </c>
      <c r="AF4859" s="146"/>
      <c r="AG4859" s="146"/>
      <c r="AH4859" s="146"/>
      <c r="AI4859" s="147"/>
      <c r="AJ4859" s="148"/>
      <c r="AK4859" s="143"/>
      <c r="AL4859" s="144"/>
      <c r="AM4859" s="22"/>
      <c r="AN4859" s="149" t="s">
        <v>2511</v>
      </c>
      <c r="AO4859" s="144"/>
      <c r="AP4859" s="148">
        <v>60442</v>
      </c>
      <c r="AQ4859" s="144"/>
      <c r="AR4859" s="120"/>
      <c r="AS4859" s="121"/>
      <c r="AT4859" s="120"/>
      <c r="AU4859" s="121"/>
      <c r="AV4859" s="120"/>
      <c r="AW4859" s="121"/>
      <c r="AX4859" s="120"/>
      <c r="AY4859" s="121"/>
      <c r="AZ4859" s="138"/>
    </row>
    <row r="4860" spans="1:52" ht="17.100000000000001" customHeight="1" thickTop="1">
      <c r="A4860" s="151" t="s">
        <v>14531</v>
      </c>
      <c r="B4860" s="28">
        <v>46029</v>
      </c>
      <c r="C4860" s="25"/>
      <c r="D4860" s="13" t="s">
        <v>1776</v>
      </c>
      <c r="E4860" s="111"/>
      <c r="F4860" s="113" t="s">
        <v>5484</v>
      </c>
      <c r="G4860" s="114"/>
      <c r="H4860" s="115"/>
      <c r="I4860" s="24"/>
      <c r="J4860" s="116">
        <v>4</v>
      </c>
      <c r="K4860" s="118">
        <v>830000</v>
      </c>
      <c r="L4860" s="119"/>
      <c r="M4860" s="118">
        <f t="shared" ref="M4860" si="5675">K4860*0.1</f>
        <v>83000</v>
      </c>
      <c r="N4860" s="119"/>
      <c r="O4860" s="118">
        <v>0</v>
      </c>
      <c r="P4860" s="119"/>
      <c r="Q4860" s="118">
        <v>10190</v>
      </c>
      <c r="R4860" s="119"/>
      <c r="S4860" s="118">
        <v>16500</v>
      </c>
      <c r="T4860" s="119"/>
      <c r="U4860" s="118">
        <f t="shared" ref="U4860" si="5676">SUM(K4860:T4861)</f>
        <v>939690</v>
      </c>
      <c r="V4860" s="122"/>
      <c r="W4860" s="124"/>
      <c r="X4860" s="126" t="s">
        <v>14713</v>
      </c>
      <c r="Y4860" s="127"/>
      <c r="Z4860" s="127"/>
      <c r="AA4860" s="127"/>
      <c r="AB4860" s="128"/>
      <c r="AC4860" s="15" t="s">
        <v>20</v>
      </c>
      <c r="AD4860" s="129" t="s">
        <v>5302</v>
      </c>
      <c r="AE4860" s="130"/>
      <c r="AF4860" s="130"/>
      <c r="AG4860" s="130"/>
      <c r="AH4860" s="130"/>
      <c r="AI4860" s="131"/>
      <c r="AJ4860" s="132"/>
      <c r="AK4860" s="127"/>
      <c r="AL4860" s="128"/>
      <c r="AM4860" s="21"/>
      <c r="AN4860" s="133">
        <v>46032</v>
      </c>
      <c r="AO4860" s="134"/>
      <c r="AP4860" s="135">
        <v>1283</v>
      </c>
      <c r="AQ4860" s="136"/>
      <c r="AR4860" s="118">
        <v>940000</v>
      </c>
      <c r="AS4860" s="119"/>
      <c r="AT4860" s="118">
        <f t="shared" ref="AT4860" si="5677">AR4860*0.1</f>
        <v>94000</v>
      </c>
      <c r="AU4860" s="119"/>
      <c r="AV4860" s="118">
        <v>10190</v>
      </c>
      <c r="AW4860" s="119"/>
      <c r="AX4860" s="118">
        <f t="shared" ref="AX4860" si="5678">SUM(AR4860:AW4860)</f>
        <v>1044190</v>
      </c>
      <c r="AY4860" s="119"/>
      <c r="AZ4860" s="137">
        <v>46036</v>
      </c>
    </row>
    <row r="4861" spans="1:52" ht="17.100000000000001" customHeight="1" thickBot="1">
      <c r="A4861" s="152"/>
      <c r="B4861" s="27" t="s">
        <v>3422</v>
      </c>
      <c r="C4861" s="27">
        <v>60253</v>
      </c>
      <c r="D4861" s="14" t="s">
        <v>1720</v>
      </c>
      <c r="E4861" s="112"/>
      <c r="F4861" s="139" t="s">
        <v>14537</v>
      </c>
      <c r="G4861" s="140"/>
      <c r="H4861" s="141"/>
      <c r="I4861" s="26">
        <v>74998</v>
      </c>
      <c r="J4861" s="117"/>
      <c r="K4861" s="120"/>
      <c r="L4861" s="121"/>
      <c r="M4861" s="120"/>
      <c r="N4861" s="121"/>
      <c r="O4861" s="120"/>
      <c r="P4861" s="121"/>
      <c r="Q4861" s="120"/>
      <c r="R4861" s="121"/>
      <c r="S4861" s="120"/>
      <c r="T4861" s="121"/>
      <c r="U4861" s="120"/>
      <c r="V4861" s="123"/>
      <c r="W4861" s="125"/>
      <c r="X4861" s="142" t="s">
        <v>14714</v>
      </c>
      <c r="Y4861" s="143"/>
      <c r="Z4861" s="143"/>
      <c r="AA4861" s="143"/>
      <c r="AB4861" s="144"/>
      <c r="AC4861" s="16" t="s">
        <v>21</v>
      </c>
      <c r="AD4861" s="17" t="s">
        <v>2949</v>
      </c>
      <c r="AE4861" s="145" t="s">
        <v>9186</v>
      </c>
      <c r="AF4861" s="146"/>
      <c r="AG4861" s="146"/>
      <c r="AH4861" s="146"/>
      <c r="AI4861" s="147"/>
      <c r="AJ4861" s="148"/>
      <c r="AK4861" s="143"/>
      <c r="AL4861" s="144"/>
      <c r="AM4861" s="22"/>
      <c r="AN4861" s="149" t="s">
        <v>2511</v>
      </c>
      <c r="AO4861" s="144"/>
      <c r="AP4861" s="148">
        <v>99</v>
      </c>
      <c r="AQ4861" s="144"/>
      <c r="AR4861" s="120"/>
      <c r="AS4861" s="121"/>
      <c r="AT4861" s="120"/>
      <c r="AU4861" s="121"/>
      <c r="AV4861" s="120"/>
      <c r="AW4861" s="121"/>
      <c r="AX4861" s="120"/>
      <c r="AY4861" s="121"/>
      <c r="AZ4861" s="138"/>
    </row>
    <row r="4862" spans="1:52" ht="17.100000000000001" customHeight="1" thickTop="1">
      <c r="A4862" s="109" t="s">
        <v>14532</v>
      </c>
      <c r="B4862" s="28">
        <v>46029</v>
      </c>
      <c r="C4862" s="25">
        <v>1820</v>
      </c>
      <c r="D4862" s="13" t="s">
        <v>1640</v>
      </c>
      <c r="E4862" s="111"/>
      <c r="F4862" s="113" t="s">
        <v>14545</v>
      </c>
      <c r="G4862" s="114"/>
      <c r="H4862" s="115"/>
      <c r="I4862" s="24" t="s">
        <v>3399</v>
      </c>
      <c r="J4862" s="116">
        <v>4.5</v>
      </c>
      <c r="K4862" s="118">
        <v>804000</v>
      </c>
      <c r="L4862" s="119"/>
      <c r="M4862" s="118">
        <f t="shared" ref="M4862" si="5679">K4862*0.1</f>
        <v>80400</v>
      </c>
      <c r="N4862" s="119"/>
      <c r="O4862" s="118">
        <v>0</v>
      </c>
      <c r="P4862" s="119"/>
      <c r="Q4862" s="118">
        <v>9790</v>
      </c>
      <c r="R4862" s="119"/>
      <c r="S4862" s="118">
        <v>18150</v>
      </c>
      <c r="T4862" s="119"/>
      <c r="U4862" s="118">
        <f t="shared" ref="U4862" si="5680">SUM(K4862:T4863)</f>
        <v>912340</v>
      </c>
      <c r="V4862" s="122"/>
      <c r="W4862" s="124"/>
      <c r="X4862" s="126" t="s">
        <v>14546</v>
      </c>
      <c r="Y4862" s="127"/>
      <c r="Z4862" s="127"/>
      <c r="AA4862" s="127"/>
      <c r="AB4862" s="128"/>
      <c r="AC4862" s="15" t="s">
        <v>20</v>
      </c>
      <c r="AD4862" s="129" t="s">
        <v>1614</v>
      </c>
      <c r="AE4862" s="130"/>
      <c r="AF4862" s="130"/>
      <c r="AG4862" s="130"/>
      <c r="AH4862" s="130"/>
      <c r="AI4862" s="131"/>
      <c r="AJ4862" s="132"/>
      <c r="AK4862" s="127"/>
      <c r="AL4862" s="128"/>
      <c r="AM4862" s="21"/>
      <c r="AN4862" s="133">
        <v>46053</v>
      </c>
      <c r="AO4862" s="134"/>
      <c r="AP4862" s="135">
        <v>1286</v>
      </c>
      <c r="AQ4862" s="136"/>
      <c r="AR4862" s="118">
        <v>825000</v>
      </c>
      <c r="AS4862" s="119"/>
      <c r="AT4862" s="118">
        <f t="shared" ref="AT4862" si="5681">AR4862*0.1</f>
        <v>82500</v>
      </c>
      <c r="AU4862" s="119"/>
      <c r="AV4862" s="118">
        <v>9790</v>
      </c>
      <c r="AW4862" s="119"/>
      <c r="AX4862" s="118">
        <f t="shared" ref="AX4862" si="5682">SUM(AR4862:AW4862)</f>
        <v>917290</v>
      </c>
      <c r="AY4862" s="119"/>
      <c r="AZ4862" s="137">
        <v>46056</v>
      </c>
    </row>
    <row r="4863" spans="1:52" ht="17.100000000000001" customHeight="1" thickBot="1">
      <c r="A4863" s="110"/>
      <c r="B4863" s="27" t="s">
        <v>2559</v>
      </c>
      <c r="C4863" s="27">
        <v>3074</v>
      </c>
      <c r="D4863" s="14" t="s">
        <v>2601</v>
      </c>
      <c r="E4863" s="112"/>
      <c r="F4863" s="139" t="s">
        <v>14541</v>
      </c>
      <c r="G4863" s="140"/>
      <c r="H4863" s="141"/>
      <c r="I4863" s="26">
        <v>55587</v>
      </c>
      <c r="J4863" s="117"/>
      <c r="K4863" s="120"/>
      <c r="L4863" s="121"/>
      <c r="M4863" s="120"/>
      <c r="N4863" s="121"/>
      <c r="O4863" s="120"/>
      <c r="P4863" s="121"/>
      <c r="Q4863" s="120"/>
      <c r="R4863" s="121"/>
      <c r="S4863" s="120"/>
      <c r="T4863" s="121"/>
      <c r="U4863" s="120"/>
      <c r="V4863" s="123"/>
      <c r="W4863" s="125"/>
      <c r="X4863" s="142" t="s">
        <v>14898</v>
      </c>
      <c r="Y4863" s="143"/>
      <c r="Z4863" s="143"/>
      <c r="AA4863" s="143"/>
      <c r="AB4863" s="144"/>
      <c r="AC4863" s="16" t="s">
        <v>21</v>
      </c>
      <c r="AD4863" s="17" t="s">
        <v>14889</v>
      </c>
      <c r="AE4863" s="145" t="s">
        <v>1614</v>
      </c>
      <c r="AF4863" s="146"/>
      <c r="AG4863" s="146"/>
      <c r="AH4863" s="146"/>
      <c r="AI4863" s="147"/>
      <c r="AJ4863" s="148"/>
      <c r="AK4863" s="143"/>
      <c r="AL4863" s="144"/>
      <c r="AM4863" s="22"/>
      <c r="AN4863" s="149" t="s">
        <v>2511</v>
      </c>
      <c r="AO4863" s="144"/>
      <c r="AP4863" s="148">
        <v>60073</v>
      </c>
      <c r="AQ4863" s="144"/>
      <c r="AR4863" s="120"/>
      <c r="AS4863" s="121"/>
      <c r="AT4863" s="120"/>
      <c r="AU4863" s="121"/>
      <c r="AV4863" s="120"/>
      <c r="AW4863" s="121"/>
      <c r="AX4863" s="120"/>
      <c r="AY4863" s="121"/>
      <c r="AZ4863" s="138"/>
    </row>
    <row r="4864" spans="1:52" ht="17.100000000000001" customHeight="1" thickTop="1">
      <c r="A4864" s="151" t="s">
        <v>14533</v>
      </c>
      <c r="B4864" s="28">
        <v>46029</v>
      </c>
      <c r="C4864" s="25">
        <v>1820</v>
      </c>
      <c r="D4864" s="13" t="s">
        <v>1863</v>
      </c>
      <c r="E4864" s="111"/>
      <c r="F4864" s="113" t="s">
        <v>14547</v>
      </c>
      <c r="G4864" s="114"/>
      <c r="H4864" s="115"/>
      <c r="I4864" s="24" t="s">
        <v>1559</v>
      </c>
      <c r="J4864" s="116">
        <v>4</v>
      </c>
      <c r="K4864" s="118">
        <v>1083000</v>
      </c>
      <c r="L4864" s="119"/>
      <c r="M4864" s="118">
        <f t="shared" ref="M4864" si="5683">K4864*0.1</f>
        <v>108300</v>
      </c>
      <c r="N4864" s="119"/>
      <c r="O4864" s="118">
        <v>0</v>
      </c>
      <c r="P4864" s="119"/>
      <c r="Q4864" s="118">
        <v>9010</v>
      </c>
      <c r="R4864" s="119"/>
      <c r="S4864" s="118">
        <v>18150</v>
      </c>
      <c r="T4864" s="119"/>
      <c r="U4864" s="118">
        <f t="shared" ref="U4864" si="5684">SUM(K4864:T4865)</f>
        <v>1218460</v>
      </c>
      <c r="V4864" s="122"/>
      <c r="W4864" s="124"/>
      <c r="X4864" s="126" t="s">
        <v>14548</v>
      </c>
      <c r="Y4864" s="127"/>
      <c r="Z4864" s="127"/>
      <c r="AA4864" s="127"/>
      <c r="AB4864" s="128"/>
      <c r="AC4864" s="15" t="s">
        <v>20</v>
      </c>
      <c r="AD4864" s="129"/>
      <c r="AE4864" s="130"/>
      <c r="AF4864" s="130"/>
      <c r="AG4864" s="130"/>
      <c r="AH4864" s="130"/>
      <c r="AI4864" s="131"/>
      <c r="AJ4864" s="132"/>
      <c r="AK4864" s="127"/>
      <c r="AL4864" s="128"/>
      <c r="AM4864" s="21"/>
      <c r="AN4864" s="133">
        <v>46039</v>
      </c>
      <c r="AO4864" s="134"/>
      <c r="AP4864" s="135">
        <v>1284</v>
      </c>
      <c r="AQ4864" s="136"/>
      <c r="AR4864" s="118">
        <v>1120000</v>
      </c>
      <c r="AS4864" s="119"/>
      <c r="AT4864" s="118">
        <f t="shared" ref="AT4864" si="5685">AR4864*0.1</f>
        <v>112000</v>
      </c>
      <c r="AU4864" s="119"/>
      <c r="AV4864" s="118">
        <v>9010</v>
      </c>
      <c r="AW4864" s="119"/>
      <c r="AX4864" s="118">
        <f t="shared" ref="AX4864" si="5686">SUM(AR4864:AW4864)</f>
        <v>1241010</v>
      </c>
      <c r="AY4864" s="119"/>
      <c r="AZ4864" s="137">
        <v>46042</v>
      </c>
    </row>
    <row r="4865" spans="1:52" ht="17.100000000000001" customHeight="1" thickBot="1">
      <c r="A4865" s="152"/>
      <c r="B4865" s="27" t="s">
        <v>2559</v>
      </c>
      <c r="C4865" s="27">
        <v>3325</v>
      </c>
      <c r="D4865" s="14" t="s">
        <v>275</v>
      </c>
      <c r="E4865" s="112"/>
      <c r="F4865" s="139" t="s">
        <v>14542</v>
      </c>
      <c r="G4865" s="140"/>
      <c r="H4865" s="141"/>
      <c r="I4865" s="26">
        <v>61350</v>
      </c>
      <c r="J4865" s="117"/>
      <c r="K4865" s="120"/>
      <c r="L4865" s="121"/>
      <c r="M4865" s="120"/>
      <c r="N4865" s="121"/>
      <c r="O4865" s="120"/>
      <c r="P4865" s="121"/>
      <c r="Q4865" s="120"/>
      <c r="R4865" s="121"/>
      <c r="S4865" s="120"/>
      <c r="T4865" s="121"/>
      <c r="U4865" s="120"/>
      <c r="V4865" s="123"/>
      <c r="W4865" s="125"/>
      <c r="X4865" s="142" t="s">
        <v>1997</v>
      </c>
      <c r="Y4865" s="143"/>
      <c r="Z4865" s="143"/>
      <c r="AA4865" s="143"/>
      <c r="AB4865" s="144"/>
      <c r="AC4865" s="16" t="s">
        <v>21</v>
      </c>
      <c r="AD4865" s="17" t="s">
        <v>15026</v>
      </c>
      <c r="AE4865" s="145" t="s">
        <v>4608</v>
      </c>
      <c r="AF4865" s="146"/>
      <c r="AG4865" s="146"/>
      <c r="AH4865" s="146"/>
      <c r="AI4865" s="147"/>
      <c r="AJ4865" s="148"/>
      <c r="AK4865" s="143"/>
      <c r="AL4865" s="144"/>
      <c r="AM4865" s="22"/>
      <c r="AN4865" s="149" t="s">
        <v>2511</v>
      </c>
      <c r="AO4865" s="144"/>
      <c r="AP4865" s="148">
        <v>60019</v>
      </c>
      <c r="AQ4865" s="144"/>
      <c r="AR4865" s="120"/>
      <c r="AS4865" s="121"/>
      <c r="AT4865" s="120"/>
      <c r="AU4865" s="121"/>
      <c r="AV4865" s="120"/>
      <c r="AW4865" s="121"/>
      <c r="AX4865" s="120"/>
      <c r="AY4865" s="121"/>
      <c r="AZ4865" s="138"/>
    </row>
    <row r="4866" spans="1:52" ht="17.100000000000001" customHeight="1" thickTop="1">
      <c r="A4866" s="109" t="s">
        <v>14534</v>
      </c>
      <c r="B4866" s="28">
        <v>46029</v>
      </c>
      <c r="C4866" s="25">
        <v>1820</v>
      </c>
      <c r="D4866" s="13" t="s">
        <v>1863</v>
      </c>
      <c r="E4866" s="111"/>
      <c r="F4866" s="113" t="s">
        <v>7513</v>
      </c>
      <c r="G4866" s="114"/>
      <c r="H4866" s="115"/>
      <c r="I4866" s="24" t="s">
        <v>2943</v>
      </c>
      <c r="J4866" s="116">
        <v>4.5</v>
      </c>
      <c r="K4866" s="118">
        <v>410000</v>
      </c>
      <c r="L4866" s="119"/>
      <c r="M4866" s="118">
        <f t="shared" ref="M4866" si="5687">K4866*0.1</f>
        <v>41000</v>
      </c>
      <c r="N4866" s="119"/>
      <c r="O4866" s="118">
        <f>5700+570</f>
        <v>6270</v>
      </c>
      <c r="P4866" s="119"/>
      <c r="Q4866" s="118">
        <v>17940</v>
      </c>
      <c r="R4866" s="119"/>
      <c r="S4866" s="118">
        <v>18150</v>
      </c>
      <c r="T4866" s="119"/>
      <c r="U4866" s="118">
        <f t="shared" ref="U4866" si="5688">SUM(K4866:T4867)</f>
        <v>493360</v>
      </c>
      <c r="V4866" s="122"/>
      <c r="W4866" s="124"/>
      <c r="X4866" s="126" t="s">
        <v>14549</v>
      </c>
      <c r="Y4866" s="127"/>
      <c r="Z4866" s="127"/>
      <c r="AA4866" s="127"/>
      <c r="AB4866" s="128"/>
      <c r="AC4866" s="15" t="s">
        <v>20</v>
      </c>
      <c r="AD4866" s="129" t="s">
        <v>14550</v>
      </c>
      <c r="AE4866" s="130"/>
      <c r="AF4866" s="130"/>
      <c r="AG4866" s="130"/>
      <c r="AH4866" s="130"/>
      <c r="AI4866" s="131"/>
      <c r="AJ4866" s="132"/>
      <c r="AK4866" s="127"/>
      <c r="AL4866" s="128"/>
      <c r="AM4866" s="21"/>
      <c r="AN4866" s="133">
        <v>46046</v>
      </c>
      <c r="AO4866" s="134"/>
      <c r="AP4866" s="135">
        <v>1285</v>
      </c>
      <c r="AQ4866" s="136"/>
      <c r="AR4866" s="118">
        <v>485000</v>
      </c>
      <c r="AS4866" s="119"/>
      <c r="AT4866" s="118">
        <f t="shared" ref="AT4866" si="5689">AR4866*0.1</f>
        <v>48500</v>
      </c>
      <c r="AU4866" s="119"/>
      <c r="AV4866" s="118">
        <v>17940</v>
      </c>
      <c r="AW4866" s="119"/>
      <c r="AX4866" s="118">
        <f t="shared" ref="AX4866" si="5690">SUM(AR4866:AW4866)</f>
        <v>551440</v>
      </c>
      <c r="AY4866" s="119"/>
      <c r="AZ4866" s="137">
        <v>46049</v>
      </c>
    </row>
    <row r="4867" spans="1:52" ht="17.100000000000001" customHeight="1" thickBot="1">
      <c r="A4867" s="110"/>
      <c r="B4867" s="27" t="s">
        <v>2559</v>
      </c>
      <c r="C4867" s="27">
        <v>38157</v>
      </c>
      <c r="D4867" s="14" t="s">
        <v>904</v>
      </c>
      <c r="E4867" s="112"/>
      <c r="F4867" s="139" t="s">
        <v>14543</v>
      </c>
      <c r="G4867" s="140"/>
      <c r="H4867" s="141"/>
      <c r="I4867" s="26">
        <v>56478</v>
      </c>
      <c r="J4867" s="117"/>
      <c r="K4867" s="120"/>
      <c r="L4867" s="121"/>
      <c r="M4867" s="120"/>
      <c r="N4867" s="121"/>
      <c r="O4867" s="120"/>
      <c r="P4867" s="121"/>
      <c r="Q4867" s="120"/>
      <c r="R4867" s="121"/>
      <c r="S4867" s="120"/>
      <c r="T4867" s="121"/>
      <c r="U4867" s="120"/>
      <c r="V4867" s="123"/>
      <c r="W4867" s="125"/>
      <c r="X4867" s="142" t="s">
        <v>14993</v>
      </c>
      <c r="Y4867" s="143"/>
      <c r="Z4867" s="143"/>
      <c r="AA4867" s="143"/>
      <c r="AB4867" s="144"/>
      <c r="AC4867" s="16" t="s">
        <v>21</v>
      </c>
      <c r="AD4867" s="17" t="s">
        <v>1815</v>
      </c>
      <c r="AE4867" s="145" t="s">
        <v>4077</v>
      </c>
      <c r="AF4867" s="146"/>
      <c r="AG4867" s="146"/>
      <c r="AH4867" s="146"/>
      <c r="AI4867" s="147"/>
      <c r="AJ4867" s="148"/>
      <c r="AK4867" s="143"/>
      <c r="AL4867" s="144"/>
      <c r="AM4867" s="22"/>
      <c r="AN4867" s="149" t="s">
        <v>2511</v>
      </c>
      <c r="AO4867" s="144"/>
      <c r="AP4867" s="148">
        <v>80066</v>
      </c>
      <c r="AQ4867" s="144"/>
      <c r="AR4867" s="120"/>
      <c r="AS4867" s="121"/>
      <c r="AT4867" s="120"/>
      <c r="AU4867" s="121"/>
      <c r="AV4867" s="120"/>
      <c r="AW4867" s="121"/>
      <c r="AX4867" s="120"/>
      <c r="AY4867" s="121"/>
      <c r="AZ4867" s="138"/>
    </row>
    <row r="4868" spans="1:52" ht="17.100000000000001" customHeight="1" thickTop="1">
      <c r="A4868" s="151" t="s">
        <v>14538</v>
      </c>
      <c r="B4868" s="28">
        <v>46029</v>
      </c>
      <c r="C4868" s="25">
        <v>1820</v>
      </c>
      <c r="D4868" s="13" t="s">
        <v>2906</v>
      </c>
      <c r="E4868" s="111"/>
      <c r="F4868" s="113" t="s">
        <v>14551</v>
      </c>
      <c r="G4868" s="114"/>
      <c r="H4868" s="115"/>
      <c r="I4868" s="24" t="s">
        <v>2571</v>
      </c>
      <c r="J4868" s="116">
        <v>5</v>
      </c>
      <c r="K4868" s="118">
        <v>470000</v>
      </c>
      <c r="L4868" s="119"/>
      <c r="M4868" s="118">
        <f t="shared" ref="M4868" si="5691">K4868*0.1</f>
        <v>47000</v>
      </c>
      <c r="N4868" s="119"/>
      <c r="O4868" s="118">
        <f>5700+570</f>
        <v>6270</v>
      </c>
      <c r="P4868" s="119"/>
      <c r="Q4868" s="118">
        <v>14580</v>
      </c>
      <c r="R4868" s="119"/>
      <c r="S4868" s="118">
        <v>18150</v>
      </c>
      <c r="T4868" s="119"/>
      <c r="U4868" s="118">
        <f t="shared" ref="U4868" si="5692">SUM(K4868:T4869)</f>
        <v>556000</v>
      </c>
      <c r="V4868" s="122"/>
      <c r="W4868" s="124"/>
      <c r="X4868" s="126" t="s">
        <v>14552</v>
      </c>
      <c r="Y4868" s="127"/>
      <c r="Z4868" s="127"/>
      <c r="AA4868" s="127"/>
      <c r="AB4868" s="128"/>
      <c r="AC4868" s="15" t="s">
        <v>20</v>
      </c>
      <c r="AD4868" s="129" t="s">
        <v>1670</v>
      </c>
      <c r="AE4868" s="130"/>
      <c r="AF4868" s="130"/>
      <c r="AG4868" s="130"/>
      <c r="AH4868" s="130"/>
      <c r="AI4868" s="131"/>
      <c r="AJ4868" s="132"/>
      <c r="AK4868" s="127"/>
      <c r="AL4868" s="128"/>
      <c r="AM4868" s="21"/>
      <c r="AN4868" s="133">
        <v>46039</v>
      </c>
      <c r="AO4868" s="134"/>
      <c r="AP4868" s="135">
        <v>1284</v>
      </c>
      <c r="AQ4868" s="136"/>
      <c r="AR4868" s="118">
        <v>600000</v>
      </c>
      <c r="AS4868" s="119"/>
      <c r="AT4868" s="118">
        <f t="shared" ref="AT4868" si="5693">AR4868*0.1</f>
        <v>60000</v>
      </c>
      <c r="AU4868" s="119"/>
      <c r="AV4868" s="118">
        <v>14580</v>
      </c>
      <c r="AW4868" s="119"/>
      <c r="AX4868" s="118">
        <f t="shared" ref="AX4868" si="5694">SUM(AR4868:AW4868)</f>
        <v>674580</v>
      </c>
      <c r="AY4868" s="119"/>
      <c r="AZ4868" s="137">
        <v>46042</v>
      </c>
    </row>
    <row r="4869" spans="1:52" ht="17.100000000000001" customHeight="1" thickBot="1">
      <c r="A4869" s="152"/>
      <c r="B4869" s="27" t="s">
        <v>2559</v>
      </c>
      <c r="C4869" s="27">
        <v>38206</v>
      </c>
      <c r="D4869" s="14" t="s">
        <v>1720</v>
      </c>
      <c r="E4869" s="112"/>
      <c r="F4869" s="139" t="s">
        <v>14544</v>
      </c>
      <c r="G4869" s="140"/>
      <c r="H4869" s="141"/>
      <c r="I4869" s="26">
        <v>33810</v>
      </c>
      <c r="J4869" s="117"/>
      <c r="K4869" s="120"/>
      <c r="L4869" s="121"/>
      <c r="M4869" s="120"/>
      <c r="N4869" s="121"/>
      <c r="O4869" s="120"/>
      <c r="P4869" s="121"/>
      <c r="Q4869" s="120"/>
      <c r="R4869" s="121"/>
      <c r="S4869" s="120"/>
      <c r="T4869" s="121"/>
      <c r="U4869" s="120"/>
      <c r="V4869" s="123"/>
      <c r="W4869" s="125"/>
      <c r="X4869" s="142" t="s">
        <v>14894</v>
      </c>
      <c r="Y4869" s="143"/>
      <c r="Z4869" s="143"/>
      <c r="AA4869" s="143"/>
      <c r="AB4869" s="144"/>
      <c r="AC4869" s="16" t="s">
        <v>21</v>
      </c>
      <c r="AD4869" s="17" t="s">
        <v>14889</v>
      </c>
      <c r="AE4869" s="145" t="s">
        <v>1742</v>
      </c>
      <c r="AF4869" s="146"/>
      <c r="AG4869" s="146"/>
      <c r="AH4869" s="146"/>
      <c r="AI4869" s="147"/>
      <c r="AJ4869" s="148"/>
      <c r="AK4869" s="143"/>
      <c r="AL4869" s="144"/>
      <c r="AM4869" s="22"/>
      <c r="AN4869" s="149" t="s">
        <v>2511</v>
      </c>
      <c r="AO4869" s="144"/>
      <c r="AP4869" s="148">
        <v>80010</v>
      </c>
      <c r="AQ4869" s="144"/>
      <c r="AR4869" s="120"/>
      <c r="AS4869" s="121"/>
      <c r="AT4869" s="120"/>
      <c r="AU4869" s="121"/>
      <c r="AV4869" s="120"/>
      <c r="AW4869" s="121"/>
      <c r="AX4869" s="120"/>
      <c r="AY4869" s="121"/>
      <c r="AZ4869" s="138"/>
    </row>
    <row r="4870" spans="1:52" ht="17.100000000000001" customHeight="1" thickTop="1">
      <c r="A4870" s="151" t="s">
        <v>14539</v>
      </c>
      <c r="B4870" s="28">
        <v>46029</v>
      </c>
      <c r="C4870" s="25">
        <v>999</v>
      </c>
      <c r="D4870" s="13" t="s">
        <v>1839</v>
      </c>
      <c r="E4870" s="111"/>
      <c r="F4870" s="113" t="s">
        <v>14553</v>
      </c>
      <c r="G4870" s="114"/>
      <c r="H4870" s="115"/>
      <c r="I4870" s="24" t="s">
        <v>5100</v>
      </c>
      <c r="J4870" s="116">
        <v>4.5</v>
      </c>
      <c r="K4870" s="118">
        <v>355000</v>
      </c>
      <c r="L4870" s="119"/>
      <c r="M4870" s="118">
        <f t="shared" ref="M4870" si="5695">K4870*0.1</f>
        <v>35500</v>
      </c>
      <c r="N4870" s="119"/>
      <c r="O4870" s="118">
        <v>0</v>
      </c>
      <c r="P4870" s="119"/>
      <c r="Q4870" s="118">
        <v>8930</v>
      </c>
      <c r="R4870" s="119"/>
      <c r="S4870" s="118">
        <v>12100</v>
      </c>
      <c r="T4870" s="119"/>
      <c r="U4870" s="118">
        <f t="shared" ref="U4870" si="5696">SUM(K4870:T4871)</f>
        <v>411530</v>
      </c>
      <c r="V4870" s="122"/>
      <c r="W4870" s="124"/>
      <c r="X4870" s="126" t="s">
        <v>14555</v>
      </c>
      <c r="Y4870" s="127"/>
      <c r="Z4870" s="127"/>
      <c r="AA4870" s="127"/>
      <c r="AB4870" s="128"/>
      <c r="AC4870" s="15" t="s">
        <v>20</v>
      </c>
      <c r="AD4870" s="129" t="s">
        <v>1670</v>
      </c>
      <c r="AE4870" s="130"/>
      <c r="AF4870" s="130"/>
      <c r="AG4870" s="130"/>
      <c r="AH4870" s="130"/>
      <c r="AI4870" s="131"/>
      <c r="AJ4870" s="132"/>
      <c r="AK4870" s="127"/>
      <c r="AL4870" s="128"/>
      <c r="AM4870" s="21"/>
      <c r="AN4870" s="133">
        <v>46039</v>
      </c>
      <c r="AO4870" s="134"/>
      <c r="AP4870" s="135">
        <v>1284</v>
      </c>
      <c r="AQ4870" s="136"/>
      <c r="AR4870" s="118">
        <v>410000</v>
      </c>
      <c r="AS4870" s="119"/>
      <c r="AT4870" s="118">
        <f t="shared" ref="AT4870" si="5697">AR4870*0.1</f>
        <v>41000</v>
      </c>
      <c r="AU4870" s="119"/>
      <c r="AV4870" s="118">
        <v>8930</v>
      </c>
      <c r="AW4870" s="119"/>
      <c r="AX4870" s="118">
        <f t="shared" ref="AX4870" si="5698">SUM(AR4870:AW4870)</f>
        <v>459930</v>
      </c>
      <c r="AY4870" s="119"/>
      <c r="AZ4870" s="137">
        <v>46042</v>
      </c>
    </row>
    <row r="4871" spans="1:52" ht="17.100000000000001" customHeight="1" thickBot="1">
      <c r="A4871" s="152"/>
      <c r="B4871" s="27" t="s">
        <v>2794</v>
      </c>
      <c r="C4871" s="27">
        <v>1001</v>
      </c>
      <c r="D4871" s="14" t="s">
        <v>2040</v>
      </c>
      <c r="E4871" s="112"/>
      <c r="F4871" s="139" t="s">
        <v>14554</v>
      </c>
      <c r="G4871" s="140"/>
      <c r="H4871" s="141"/>
      <c r="I4871" s="26">
        <v>48941</v>
      </c>
      <c r="J4871" s="117"/>
      <c r="K4871" s="120"/>
      <c r="L4871" s="121"/>
      <c r="M4871" s="120"/>
      <c r="N4871" s="121"/>
      <c r="O4871" s="120"/>
      <c r="P4871" s="121"/>
      <c r="Q4871" s="120"/>
      <c r="R4871" s="121"/>
      <c r="S4871" s="120"/>
      <c r="T4871" s="121"/>
      <c r="U4871" s="120"/>
      <c r="V4871" s="123"/>
      <c r="W4871" s="125"/>
      <c r="X4871" s="142" t="s">
        <v>15015</v>
      </c>
      <c r="Y4871" s="143"/>
      <c r="Z4871" s="143"/>
      <c r="AA4871" s="143"/>
      <c r="AB4871" s="144"/>
      <c r="AC4871" s="16" t="s">
        <v>21</v>
      </c>
      <c r="AD4871" s="17" t="s">
        <v>1815</v>
      </c>
      <c r="AE4871" s="145" t="s">
        <v>15016</v>
      </c>
      <c r="AF4871" s="146"/>
      <c r="AG4871" s="146"/>
      <c r="AH4871" s="146"/>
      <c r="AI4871" s="147"/>
      <c r="AJ4871" s="148"/>
      <c r="AK4871" s="143"/>
      <c r="AL4871" s="144"/>
      <c r="AM4871" s="22"/>
      <c r="AN4871" s="149" t="s">
        <v>2511</v>
      </c>
      <c r="AO4871" s="144"/>
      <c r="AP4871" s="148">
        <v>60300</v>
      </c>
      <c r="AQ4871" s="144"/>
      <c r="AR4871" s="120"/>
      <c r="AS4871" s="121"/>
      <c r="AT4871" s="120"/>
      <c r="AU4871" s="121"/>
      <c r="AV4871" s="120"/>
      <c r="AW4871" s="121"/>
      <c r="AX4871" s="120"/>
      <c r="AY4871" s="121"/>
      <c r="AZ4871" s="138"/>
    </row>
    <row r="4872" spans="1:52" ht="17.100000000000001" customHeight="1" thickTop="1">
      <c r="A4872" s="109" t="s">
        <v>14540</v>
      </c>
      <c r="B4872" s="28">
        <v>46029</v>
      </c>
      <c r="C4872" s="25">
        <v>999</v>
      </c>
      <c r="D4872" s="13" t="s">
        <v>3381</v>
      </c>
      <c r="E4872" s="111"/>
      <c r="F4872" s="113" t="s">
        <v>14556</v>
      </c>
      <c r="G4872" s="114"/>
      <c r="H4872" s="115"/>
      <c r="I4872" s="24"/>
      <c r="J4872" s="116">
        <v>4</v>
      </c>
      <c r="K4872" s="118">
        <v>2570000</v>
      </c>
      <c r="L4872" s="119"/>
      <c r="M4872" s="118">
        <f t="shared" ref="M4872" si="5699">K4872*0.1</f>
        <v>257000</v>
      </c>
      <c r="N4872" s="119"/>
      <c r="O4872" s="118">
        <v>0</v>
      </c>
      <c r="P4872" s="119"/>
      <c r="Q4872" s="118">
        <v>16550</v>
      </c>
      <c r="R4872" s="119"/>
      <c r="S4872" s="118">
        <v>12100</v>
      </c>
      <c r="T4872" s="119"/>
      <c r="U4872" s="118">
        <f t="shared" ref="U4872" si="5700">SUM(K4872:T4873)</f>
        <v>2855650</v>
      </c>
      <c r="V4872" s="122"/>
      <c r="W4872" s="124"/>
      <c r="X4872" s="126" t="s">
        <v>15017</v>
      </c>
      <c r="Y4872" s="127"/>
      <c r="Z4872" s="127"/>
      <c r="AA4872" s="127"/>
      <c r="AB4872" s="128"/>
      <c r="AC4872" s="15" t="s">
        <v>20</v>
      </c>
      <c r="AD4872" s="129" t="s">
        <v>14558</v>
      </c>
      <c r="AE4872" s="130"/>
      <c r="AF4872" s="130"/>
      <c r="AG4872" s="130"/>
      <c r="AH4872" s="130"/>
      <c r="AI4872" s="131"/>
      <c r="AJ4872" s="132"/>
      <c r="AK4872" s="127"/>
      <c r="AL4872" s="128"/>
      <c r="AM4872" s="21"/>
      <c r="AN4872" s="133"/>
      <c r="AO4872" s="134"/>
      <c r="AP4872" s="135"/>
      <c r="AQ4872" s="136"/>
      <c r="AR4872" s="118"/>
      <c r="AS4872" s="119"/>
      <c r="AT4872" s="118">
        <f t="shared" ref="AT4872" si="5701">AR4872*0.1</f>
        <v>0</v>
      </c>
      <c r="AU4872" s="119"/>
      <c r="AV4872" s="118"/>
      <c r="AW4872" s="119"/>
      <c r="AX4872" s="118">
        <f t="shared" ref="AX4872" si="5702">SUM(AR4872:AW4872)</f>
        <v>0</v>
      </c>
      <c r="AY4872" s="119"/>
      <c r="AZ4872" s="137"/>
    </row>
    <row r="4873" spans="1:52" ht="17.100000000000001" customHeight="1" thickBot="1">
      <c r="A4873" s="110"/>
      <c r="B4873" s="27" t="s">
        <v>2794</v>
      </c>
      <c r="C4873" s="27">
        <v>1105</v>
      </c>
      <c r="D4873" s="14" t="s">
        <v>275</v>
      </c>
      <c r="E4873" s="112"/>
      <c r="F4873" s="139" t="s">
        <v>14557</v>
      </c>
      <c r="G4873" s="140"/>
      <c r="H4873" s="141"/>
      <c r="I4873" s="26">
        <v>55433</v>
      </c>
      <c r="J4873" s="117"/>
      <c r="K4873" s="120"/>
      <c r="L4873" s="121"/>
      <c r="M4873" s="120"/>
      <c r="N4873" s="121"/>
      <c r="O4873" s="120"/>
      <c r="P4873" s="121"/>
      <c r="Q4873" s="120"/>
      <c r="R4873" s="121"/>
      <c r="S4873" s="120"/>
      <c r="T4873" s="121"/>
      <c r="U4873" s="120"/>
      <c r="V4873" s="123"/>
      <c r="W4873" s="125"/>
      <c r="X4873" s="142" t="s">
        <v>15019</v>
      </c>
      <c r="Y4873" s="143"/>
      <c r="Z4873" s="143"/>
      <c r="AA4873" s="143"/>
      <c r="AB4873" s="144"/>
      <c r="AC4873" s="16" t="s">
        <v>21</v>
      </c>
      <c r="AD4873" s="17" t="s">
        <v>1815</v>
      </c>
      <c r="AE4873" s="145" t="s">
        <v>15018</v>
      </c>
      <c r="AF4873" s="146"/>
      <c r="AG4873" s="146"/>
      <c r="AH4873" s="146"/>
      <c r="AI4873" s="147"/>
      <c r="AJ4873" s="148"/>
      <c r="AK4873" s="143"/>
      <c r="AL4873" s="144"/>
      <c r="AM4873" s="22"/>
      <c r="AN4873" s="149"/>
      <c r="AO4873" s="144"/>
      <c r="AP4873" s="148"/>
      <c r="AQ4873" s="144"/>
      <c r="AR4873" s="120"/>
      <c r="AS4873" s="121"/>
      <c r="AT4873" s="120"/>
      <c r="AU4873" s="121"/>
      <c r="AV4873" s="120"/>
      <c r="AW4873" s="121"/>
      <c r="AX4873" s="120"/>
      <c r="AY4873" s="121"/>
      <c r="AZ4873" s="138"/>
    </row>
    <row r="4874" spans="1:52" ht="17.100000000000001" customHeight="1" thickTop="1">
      <c r="A4874" s="109" t="s">
        <v>14570</v>
      </c>
      <c r="B4874" s="28">
        <v>46030</v>
      </c>
      <c r="C4874" s="25">
        <v>1548</v>
      </c>
      <c r="D4874" s="13" t="s">
        <v>1853</v>
      </c>
      <c r="E4874" s="111"/>
      <c r="F4874" s="113" t="s">
        <v>9590</v>
      </c>
      <c r="G4874" s="114"/>
      <c r="H4874" s="115"/>
      <c r="I4874" s="24" t="s">
        <v>14577</v>
      </c>
      <c r="J4874" s="116">
        <v>4.5</v>
      </c>
      <c r="K4874" s="118">
        <v>1250000</v>
      </c>
      <c r="L4874" s="119"/>
      <c r="M4874" s="118">
        <f t="shared" ref="M4874" si="5703">K4874*0.1</f>
        <v>125000</v>
      </c>
      <c r="N4874" s="119"/>
      <c r="O4874" s="118">
        <f>5000+500</f>
        <v>5500</v>
      </c>
      <c r="P4874" s="119"/>
      <c r="Q4874" s="118">
        <v>12370</v>
      </c>
      <c r="R4874" s="119"/>
      <c r="S4874" s="118">
        <v>27500</v>
      </c>
      <c r="T4874" s="119"/>
      <c r="U4874" s="118">
        <f t="shared" ref="U4874" si="5704">SUM(K4874:T4875)</f>
        <v>1420370</v>
      </c>
      <c r="V4874" s="122"/>
      <c r="W4874" s="124"/>
      <c r="X4874" s="126" t="s">
        <v>14578</v>
      </c>
      <c r="Y4874" s="127"/>
      <c r="Z4874" s="127"/>
      <c r="AA4874" s="127"/>
      <c r="AB4874" s="128"/>
      <c r="AC4874" s="15" t="s">
        <v>20</v>
      </c>
      <c r="AD4874" s="129" t="s">
        <v>14579</v>
      </c>
      <c r="AE4874" s="130"/>
      <c r="AF4874" s="130"/>
      <c r="AG4874" s="130"/>
      <c r="AH4874" s="130"/>
      <c r="AI4874" s="131"/>
      <c r="AJ4874" s="132" t="s">
        <v>8387</v>
      </c>
      <c r="AK4874" s="127"/>
      <c r="AL4874" s="128"/>
      <c r="AM4874" s="21" t="s">
        <v>16813</v>
      </c>
      <c r="AN4874" s="133">
        <v>46078</v>
      </c>
      <c r="AO4874" s="134"/>
      <c r="AP4874" s="135">
        <v>1006</v>
      </c>
      <c r="AQ4874" s="136"/>
      <c r="AR4874" s="118">
        <v>1475000</v>
      </c>
      <c r="AS4874" s="119"/>
      <c r="AT4874" s="118">
        <f t="shared" ref="AT4874" si="5705">AR4874*0.1</f>
        <v>147500</v>
      </c>
      <c r="AU4874" s="119"/>
      <c r="AV4874" s="118">
        <v>12370</v>
      </c>
      <c r="AW4874" s="119"/>
      <c r="AX4874" s="118">
        <f t="shared" ref="AX4874" si="5706">SUM(AR4874:AW4874)</f>
        <v>1634870</v>
      </c>
      <c r="AY4874" s="119"/>
      <c r="AZ4874" s="137">
        <v>46083</v>
      </c>
    </row>
    <row r="4875" spans="1:52" ht="17.100000000000001" customHeight="1" thickBot="1">
      <c r="A4875" s="110"/>
      <c r="B4875" s="27" t="s">
        <v>1600</v>
      </c>
      <c r="C4875" s="27">
        <v>78069</v>
      </c>
      <c r="D4875" s="14" t="s">
        <v>133</v>
      </c>
      <c r="E4875" s="112"/>
      <c r="F4875" s="139" t="s">
        <v>14576</v>
      </c>
      <c r="G4875" s="140"/>
      <c r="H4875" s="141"/>
      <c r="I4875" s="26">
        <v>27424</v>
      </c>
      <c r="J4875" s="117"/>
      <c r="K4875" s="120"/>
      <c r="L4875" s="121"/>
      <c r="M4875" s="120"/>
      <c r="N4875" s="121"/>
      <c r="O4875" s="120"/>
      <c r="P4875" s="121"/>
      <c r="Q4875" s="120"/>
      <c r="R4875" s="121"/>
      <c r="S4875" s="120"/>
      <c r="T4875" s="121"/>
      <c r="U4875" s="120"/>
      <c r="V4875" s="123"/>
      <c r="W4875" s="125"/>
      <c r="X4875" s="142" t="s">
        <v>2321</v>
      </c>
      <c r="Y4875" s="143"/>
      <c r="Z4875" s="143"/>
      <c r="AA4875" s="143"/>
      <c r="AB4875" s="144"/>
      <c r="AC4875" s="16" t="s">
        <v>21</v>
      </c>
      <c r="AD4875" s="17" t="s">
        <v>1815</v>
      </c>
      <c r="AE4875" s="145" t="s">
        <v>12244</v>
      </c>
      <c r="AF4875" s="146"/>
      <c r="AG4875" s="146"/>
      <c r="AH4875" s="146"/>
      <c r="AI4875" s="147"/>
      <c r="AJ4875" s="148"/>
      <c r="AK4875" s="143"/>
      <c r="AL4875" s="144"/>
      <c r="AM4875" s="22"/>
      <c r="AN4875" s="149" t="s">
        <v>2794</v>
      </c>
      <c r="AO4875" s="144"/>
      <c r="AP4875" s="148">
        <v>5051</v>
      </c>
      <c r="AQ4875" s="144"/>
      <c r="AR4875" s="120"/>
      <c r="AS4875" s="121"/>
      <c r="AT4875" s="120"/>
      <c r="AU4875" s="121"/>
      <c r="AV4875" s="120"/>
      <c r="AW4875" s="121"/>
      <c r="AX4875" s="120"/>
      <c r="AY4875" s="121"/>
      <c r="AZ4875" s="138"/>
    </row>
    <row r="4876" spans="1:52" ht="17.100000000000001" customHeight="1" thickTop="1">
      <c r="A4876" s="109" t="s">
        <v>14573</v>
      </c>
      <c r="B4876" s="28">
        <v>46030</v>
      </c>
      <c r="C4876" s="25">
        <v>2009</v>
      </c>
      <c r="D4876" s="13" t="s">
        <v>4287</v>
      </c>
      <c r="E4876" s="111"/>
      <c r="F4876" s="113" t="s">
        <v>5217</v>
      </c>
      <c r="G4876" s="114"/>
      <c r="H4876" s="115"/>
      <c r="I4876" s="24"/>
      <c r="J4876" s="116">
        <v>4</v>
      </c>
      <c r="K4876" s="118">
        <v>2647000</v>
      </c>
      <c r="L4876" s="119"/>
      <c r="M4876" s="118">
        <f t="shared" ref="M4876" si="5707">K4876*0.1</f>
        <v>264700</v>
      </c>
      <c r="N4876" s="119"/>
      <c r="O4876" s="118">
        <v>0</v>
      </c>
      <c r="P4876" s="119"/>
      <c r="Q4876" s="118">
        <v>12250</v>
      </c>
      <c r="R4876" s="119"/>
      <c r="S4876" s="118">
        <v>22000</v>
      </c>
      <c r="T4876" s="119"/>
      <c r="U4876" s="118">
        <f t="shared" ref="U4876" si="5708">SUM(K4876:T4877)</f>
        <v>2945950</v>
      </c>
      <c r="V4876" s="122"/>
      <c r="W4876" s="124"/>
      <c r="X4876" s="126" t="s">
        <v>15030</v>
      </c>
      <c r="Y4876" s="127"/>
      <c r="Z4876" s="127"/>
      <c r="AA4876" s="127"/>
      <c r="AB4876" s="128"/>
      <c r="AC4876" s="15" t="s">
        <v>20</v>
      </c>
      <c r="AD4876" s="129"/>
      <c r="AE4876" s="130"/>
      <c r="AF4876" s="130"/>
      <c r="AG4876" s="130"/>
      <c r="AH4876" s="130"/>
      <c r="AI4876" s="131"/>
      <c r="AJ4876" s="132"/>
      <c r="AK4876" s="127"/>
      <c r="AL4876" s="128"/>
      <c r="AM4876" s="21"/>
      <c r="AN4876" s="133">
        <v>46036</v>
      </c>
      <c r="AO4876" s="134"/>
      <c r="AP4876" s="135">
        <v>1000</v>
      </c>
      <c r="AQ4876" s="136"/>
      <c r="AR4876" s="118">
        <v>2790000</v>
      </c>
      <c r="AS4876" s="119"/>
      <c r="AT4876" s="118">
        <f t="shared" ref="AT4876" si="5709">AR4876*0.1</f>
        <v>279000</v>
      </c>
      <c r="AU4876" s="119"/>
      <c r="AV4876" s="118">
        <v>12250</v>
      </c>
      <c r="AW4876" s="119"/>
      <c r="AX4876" s="118">
        <f t="shared" ref="AX4876" si="5710">SUM(AR4876:AW4876)</f>
        <v>3081250</v>
      </c>
      <c r="AY4876" s="119"/>
      <c r="AZ4876" s="137">
        <v>46042</v>
      </c>
    </row>
    <row r="4877" spans="1:52" ht="17.100000000000001" customHeight="1" thickBot="1">
      <c r="A4877" s="110"/>
      <c r="B4877" s="27" t="s">
        <v>2200</v>
      </c>
      <c r="C4877" s="27">
        <v>30088</v>
      </c>
      <c r="D4877" s="14" t="s">
        <v>275</v>
      </c>
      <c r="E4877" s="112"/>
      <c r="F4877" s="139" t="s">
        <v>14560</v>
      </c>
      <c r="G4877" s="140"/>
      <c r="H4877" s="141"/>
      <c r="I4877" s="26">
        <v>38646</v>
      </c>
      <c r="J4877" s="117"/>
      <c r="K4877" s="120"/>
      <c r="L4877" s="121"/>
      <c r="M4877" s="120"/>
      <c r="N4877" s="121"/>
      <c r="O4877" s="120"/>
      <c r="P4877" s="121"/>
      <c r="Q4877" s="120"/>
      <c r="R4877" s="121"/>
      <c r="S4877" s="120"/>
      <c r="T4877" s="121"/>
      <c r="U4877" s="120"/>
      <c r="V4877" s="123"/>
      <c r="W4877" s="125"/>
      <c r="X4877" s="142" t="s">
        <v>7096</v>
      </c>
      <c r="Y4877" s="143"/>
      <c r="Z4877" s="143"/>
      <c r="AA4877" s="143"/>
      <c r="AB4877" s="144"/>
      <c r="AC4877" s="16" t="s">
        <v>21</v>
      </c>
      <c r="AD4877" s="17" t="s">
        <v>15026</v>
      </c>
      <c r="AE4877" s="145"/>
      <c r="AF4877" s="146"/>
      <c r="AG4877" s="146"/>
      <c r="AH4877" s="146"/>
      <c r="AI4877" s="147"/>
      <c r="AJ4877" s="148"/>
      <c r="AK4877" s="143"/>
      <c r="AL4877" s="144"/>
      <c r="AM4877" s="22"/>
      <c r="AN4877" s="149" t="s">
        <v>2794</v>
      </c>
      <c r="AO4877" s="144"/>
      <c r="AP4877" s="148">
        <v>5065</v>
      </c>
      <c r="AQ4877" s="144"/>
      <c r="AR4877" s="120"/>
      <c r="AS4877" s="121"/>
      <c r="AT4877" s="120"/>
      <c r="AU4877" s="121"/>
      <c r="AV4877" s="120"/>
      <c r="AW4877" s="121"/>
      <c r="AX4877" s="120"/>
      <c r="AY4877" s="121"/>
      <c r="AZ4877" s="138"/>
    </row>
    <row r="4878" spans="1:52" ht="17.100000000000001" customHeight="1" thickTop="1">
      <c r="A4878" s="109" t="s">
        <v>14574</v>
      </c>
      <c r="B4878" s="28">
        <v>46030</v>
      </c>
      <c r="C4878" s="25">
        <v>2009</v>
      </c>
      <c r="D4878" s="13" t="s">
        <v>4860</v>
      </c>
      <c r="E4878" s="111"/>
      <c r="F4878" s="113" t="s">
        <v>14571</v>
      </c>
      <c r="G4878" s="114"/>
      <c r="H4878" s="115"/>
      <c r="I4878" s="24"/>
      <c r="J4878" s="116">
        <v>4</v>
      </c>
      <c r="K4878" s="118">
        <v>2825000</v>
      </c>
      <c r="L4878" s="119"/>
      <c r="M4878" s="118">
        <f t="shared" ref="M4878" si="5711">K4878*0.1</f>
        <v>282500</v>
      </c>
      <c r="N4878" s="119"/>
      <c r="O4878" s="118">
        <v>0</v>
      </c>
      <c r="P4878" s="119"/>
      <c r="Q4878" s="118">
        <v>14330</v>
      </c>
      <c r="R4878" s="119"/>
      <c r="S4878" s="118">
        <v>22000</v>
      </c>
      <c r="T4878" s="119"/>
      <c r="U4878" s="118">
        <f t="shared" ref="U4878" si="5712">SUM(K4878:T4879)</f>
        <v>3143830</v>
      </c>
      <c r="V4878" s="122"/>
      <c r="W4878" s="124"/>
      <c r="X4878" s="126" t="s">
        <v>15031</v>
      </c>
      <c r="Y4878" s="127"/>
      <c r="Z4878" s="127"/>
      <c r="AA4878" s="127"/>
      <c r="AB4878" s="128"/>
      <c r="AC4878" s="15" t="s">
        <v>20</v>
      </c>
      <c r="AD4878" s="129" t="s">
        <v>171</v>
      </c>
      <c r="AE4878" s="130"/>
      <c r="AF4878" s="130"/>
      <c r="AG4878" s="130"/>
      <c r="AH4878" s="130"/>
      <c r="AI4878" s="131"/>
      <c r="AJ4878" s="132"/>
      <c r="AK4878" s="127"/>
      <c r="AL4878" s="128"/>
      <c r="AM4878" s="21"/>
      <c r="AN4878" s="133">
        <v>46050</v>
      </c>
      <c r="AO4878" s="134"/>
      <c r="AP4878" s="135">
        <v>1002</v>
      </c>
      <c r="AQ4878" s="136"/>
      <c r="AR4878" s="118">
        <v>2890000</v>
      </c>
      <c r="AS4878" s="119"/>
      <c r="AT4878" s="118">
        <f t="shared" ref="AT4878" si="5713">AR4878*0.1</f>
        <v>289000</v>
      </c>
      <c r="AU4878" s="119"/>
      <c r="AV4878" s="118">
        <v>14330</v>
      </c>
      <c r="AW4878" s="119"/>
      <c r="AX4878" s="118">
        <f t="shared" ref="AX4878" si="5714">SUM(AR4878:AW4878)</f>
        <v>3193330</v>
      </c>
      <c r="AY4878" s="119"/>
      <c r="AZ4878" s="137">
        <v>46055</v>
      </c>
    </row>
    <row r="4879" spans="1:52" ht="17.100000000000001" customHeight="1" thickBot="1">
      <c r="A4879" s="110"/>
      <c r="B4879" s="27" t="s">
        <v>2200</v>
      </c>
      <c r="C4879" s="27">
        <v>30142</v>
      </c>
      <c r="D4879" s="14" t="s">
        <v>275</v>
      </c>
      <c r="E4879" s="112"/>
      <c r="F4879" s="139" t="s">
        <v>14572</v>
      </c>
      <c r="G4879" s="140"/>
      <c r="H4879" s="141"/>
      <c r="I4879" s="26">
        <v>39819</v>
      </c>
      <c r="J4879" s="117"/>
      <c r="K4879" s="120"/>
      <c r="L4879" s="121"/>
      <c r="M4879" s="120"/>
      <c r="N4879" s="121"/>
      <c r="O4879" s="120"/>
      <c r="P4879" s="121"/>
      <c r="Q4879" s="120"/>
      <c r="R4879" s="121"/>
      <c r="S4879" s="120"/>
      <c r="T4879" s="121"/>
      <c r="U4879" s="120"/>
      <c r="V4879" s="123"/>
      <c r="W4879" s="125"/>
      <c r="X4879" s="142" t="s">
        <v>15032</v>
      </c>
      <c r="Y4879" s="143"/>
      <c r="Z4879" s="143"/>
      <c r="AA4879" s="143"/>
      <c r="AB4879" s="144"/>
      <c r="AC4879" s="16" t="s">
        <v>21</v>
      </c>
      <c r="AD4879" s="17" t="s">
        <v>15026</v>
      </c>
      <c r="AE4879" s="145" t="s">
        <v>10697</v>
      </c>
      <c r="AF4879" s="146"/>
      <c r="AG4879" s="146"/>
      <c r="AH4879" s="146"/>
      <c r="AI4879" s="147"/>
      <c r="AJ4879" s="148"/>
      <c r="AK4879" s="143"/>
      <c r="AL4879" s="144"/>
      <c r="AM4879" s="22"/>
      <c r="AN4879" s="149" t="s">
        <v>2794</v>
      </c>
      <c r="AO4879" s="144"/>
      <c r="AP4879" s="148">
        <v>6018</v>
      </c>
      <c r="AQ4879" s="144"/>
      <c r="AR4879" s="120"/>
      <c r="AS4879" s="121"/>
      <c r="AT4879" s="120"/>
      <c r="AU4879" s="121"/>
      <c r="AV4879" s="120"/>
      <c r="AW4879" s="121"/>
      <c r="AX4879" s="120"/>
      <c r="AY4879" s="121"/>
      <c r="AZ4879" s="138"/>
    </row>
    <row r="4880" spans="1:52" ht="17.100000000000001" customHeight="1" thickTop="1">
      <c r="A4880" s="109" t="s">
        <v>14575</v>
      </c>
      <c r="B4880" s="28">
        <v>46030</v>
      </c>
      <c r="C4880" s="25">
        <v>2009</v>
      </c>
      <c r="D4880" s="13" t="s">
        <v>2066</v>
      </c>
      <c r="E4880" s="111"/>
      <c r="F4880" s="113" t="s">
        <v>4683</v>
      </c>
      <c r="G4880" s="114"/>
      <c r="H4880" s="115"/>
      <c r="I4880" s="24"/>
      <c r="J4880" s="116">
        <v>4</v>
      </c>
      <c r="K4880" s="118">
        <v>1126000</v>
      </c>
      <c r="L4880" s="119"/>
      <c r="M4880" s="118">
        <f t="shared" ref="M4880" si="5715">K4880*0.1</f>
        <v>112600</v>
      </c>
      <c r="N4880" s="119"/>
      <c r="O4880" s="118">
        <v>0</v>
      </c>
      <c r="P4880" s="119"/>
      <c r="Q4880" s="118">
        <v>8630</v>
      </c>
      <c r="R4880" s="119"/>
      <c r="S4880" s="118">
        <v>22000</v>
      </c>
      <c r="T4880" s="119"/>
      <c r="U4880" s="118">
        <f t="shared" ref="U4880" si="5716">SUM(K4880:T4881)</f>
        <v>1269230</v>
      </c>
      <c r="V4880" s="122"/>
      <c r="W4880" s="124"/>
      <c r="X4880" s="126" t="s">
        <v>15034</v>
      </c>
      <c r="Y4880" s="127"/>
      <c r="Z4880" s="127"/>
      <c r="AA4880" s="127"/>
      <c r="AB4880" s="128"/>
      <c r="AC4880" s="15" t="s">
        <v>20</v>
      </c>
      <c r="AD4880" s="129" t="s">
        <v>1670</v>
      </c>
      <c r="AE4880" s="130"/>
      <c r="AF4880" s="130"/>
      <c r="AG4880" s="130"/>
      <c r="AH4880" s="130"/>
      <c r="AI4880" s="131"/>
      <c r="AJ4880" s="132"/>
      <c r="AK4880" s="127"/>
      <c r="AL4880" s="128"/>
      <c r="AM4880" s="21"/>
      <c r="AN4880" s="133">
        <v>46064</v>
      </c>
      <c r="AO4880" s="134"/>
      <c r="AP4880" s="135">
        <v>1004</v>
      </c>
      <c r="AQ4880" s="136"/>
      <c r="AR4880" s="118">
        <v>1205000</v>
      </c>
      <c r="AS4880" s="119"/>
      <c r="AT4880" s="118">
        <f t="shared" ref="AT4880" si="5717">AR4880*0.1</f>
        <v>120500</v>
      </c>
      <c r="AU4880" s="119"/>
      <c r="AV4880" s="118">
        <v>8630</v>
      </c>
      <c r="AW4880" s="119"/>
      <c r="AX4880" s="118">
        <f t="shared" ref="AX4880" si="5718">SUM(AR4880:AW4880)</f>
        <v>1334130</v>
      </c>
      <c r="AY4880" s="119"/>
      <c r="AZ4880" s="137">
        <v>46069</v>
      </c>
    </row>
    <row r="4881" spans="1:52" ht="17.100000000000001" customHeight="1" thickBot="1">
      <c r="A4881" s="110"/>
      <c r="B4881" s="27" t="s">
        <v>2200</v>
      </c>
      <c r="C4881" s="27">
        <v>50180</v>
      </c>
      <c r="D4881" s="14" t="s">
        <v>2601</v>
      </c>
      <c r="E4881" s="112"/>
      <c r="F4881" s="139" t="s">
        <v>14561</v>
      </c>
      <c r="G4881" s="140"/>
      <c r="H4881" s="141"/>
      <c r="I4881" s="26">
        <v>45068</v>
      </c>
      <c r="J4881" s="117"/>
      <c r="K4881" s="120"/>
      <c r="L4881" s="121"/>
      <c r="M4881" s="120"/>
      <c r="N4881" s="121"/>
      <c r="O4881" s="120"/>
      <c r="P4881" s="121"/>
      <c r="Q4881" s="120"/>
      <c r="R4881" s="121"/>
      <c r="S4881" s="120"/>
      <c r="T4881" s="121"/>
      <c r="U4881" s="120"/>
      <c r="V4881" s="123"/>
      <c r="W4881" s="125"/>
      <c r="X4881" s="142" t="s">
        <v>15032</v>
      </c>
      <c r="Y4881" s="143"/>
      <c r="Z4881" s="143"/>
      <c r="AA4881" s="143"/>
      <c r="AB4881" s="144"/>
      <c r="AC4881" s="16" t="s">
        <v>21</v>
      </c>
      <c r="AD4881" s="17" t="s">
        <v>15026</v>
      </c>
      <c r="AE4881" s="145" t="s">
        <v>1742</v>
      </c>
      <c r="AF4881" s="146"/>
      <c r="AG4881" s="146"/>
      <c r="AH4881" s="146"/>
      <c r="AI4881" s="147"/>
      <c r="AJ4881" s="148"/>
      <c r="AK4881" s="143"/>
      <c r="AL4881" s="144"/>
      <c r="AM4881" s="22"/>
      <c r="AN4881" s="149" t="s">
        <v>2794</v>
      </c>
      <c r="AO4881" s="144"/>
      <c r="AP4881" s="148">
        <v>2023</v>
      </c>
      <c r="AQ4881" s="144"/>
      <c r="AR4881" s="120"/>
      <c r="AS4881" s="121"/>
      <c r="AT4881" s="120"/>
      <c r="AU4881" s="121"/>
      <c r="AV4881" s="120"/>
      <c r="AW4881" s="121"/>
      <c r="AX4881" s="120"/>
      <c r="AY4881" s="121"/>
      <c r="AZ4881" s="138"/>
    </row>
    <row r="4882" spans="1:52" ht="17.100000000000001" customHeight="1" thickTop="1">
      <c r="A4882" s="151" t="s">
        <v>14580</v>
      </c>
      <c r="B4882" s="28">
        <v>46030</v>
      </c>
      <c r="C4882" s="25">
        <v>1313</v>
      </c>
      <c r="D4882" s="13" t="s">
        <v>3461</v>
      </c>
      <c r="E4882" s="111"/>
      <c r="F4882" s="113" t="s">
        <v>14582</v>
      </c>
      <c r="G4882" s="114"/>
      <c r="H4882" s="115"/>
      <c r="I4882" s="24"/>
      <c r="J4882" s="116">
        <v>4.5</v>
      </c>
      <c r="K4882" s="118">
        <v>1820000</v>
      </c>
      <c r="L4882" s="119"/>
      <c r="M4882" s="118">
        <f t="shared" ref="M4882" si="5719">K4882*0.1</f>
        <v>182000</v>
      </c>
      <c r="N4882" s="119"/>
      <c r="O4882" s="118">
        <v>0</v>
      </c>
      <c r="P4882" s="119"/>
      <c r="Q4882" s="118">
        <v>17600</v>
      </c>
      <c r="R4882" s="119"/>
      <c r="S4882" s="118">
        <v>18700</v>
      </c>
      <c r="T4882" s="119"/>
      <c r="U4882" s="118">
        <f t="shared" ref="U4882" si="5720">SUM(K4882:T4883)</f>
        <v>2038300</v>
      </c>
      <c r="V4882" s="122"/>
      <c r="W4882" s="124"/>
      <c r="X4882" s="126" t="s">
        <v>14892</v>
      </c>
      <c r="Y4882" s="127"/>
      <c r="Z4882" s="127"/>
      <c r="AA4882" s="127"/>
      <c r="AB4882" s="128"/>
      <c r="AC4882" s="15" t="s">
        <v>20</v>
      </c>
      <c r="AD4882" s="129" t="s">
        <v>4420</v>
      </c>
      <c r="AE4882" s="130"/>
      <c r="AF4882" s="130"/>
      <c r="AG4882" s="130"/>
      <c r="AH4882" s="130"/>
      <c r="AI4882" s="131"/>
      <c r="AJ4882" s="132"/>
      <c r="AK4882" s="127"/>
      <c r="AL4882" s="128"/>
      <c r="AM4882" s="21"/>
      <c r="AN4882" s="133">
        <v>46032</v>
      </c>
      <c r="AO4882" s="134"/>
      <c r="AP4882" s="135">
        <v>1283</v>
      </c>
      <c r="AQ4882" s="136"/>
      <c r="AR4882" s="118">
        <v>1960000</v>
      </c>
      <c r="AS4882" s="119"/>
      <c r="AT4882" s="118">
        <f t="shared" ref="AT4882" si="5721">AR4882*0.1</f>
        <v>196000</v>
      </c>
      <c r="AU4882" s="119"/>
      <c r="AV4882" s="118">
        <v>17600</v>
      </c>
      <c r="AW4882" s="119"/>
      <c r="AX4882" s="118">
        <f t="shared" ref="AX4882" si="5722">SUM(AR4882:AW4882)</f>
        <v>2173600</v>
      </c>
      <c r="AY4882" s="119"/>
      <c r="AZ4882" s="137">
        <v>46037</v>
      </c>
    </row>
    <row r="4883" spans="1:52" ht="17.100000000000001" customHeight="1" thickBot="1">
      <c r="A4883" s="152"/>
      <c r="B4883" s="27" t="s">
        <v>13663</v>
      </c>
      <c r="C4883" s="27">
        <v>47</v>
      </c>
      <c r="D4883" s="14" t="s">
        <v>275</v>
      </c>
      <c r="E4883" s="112"/>
      <c r="F4883" s="139" t="s">
        <v>14583</v>
      </c>
      <c r="G4883" s="140"/>
      <c r="H4883" s="141"/>
      <c r="I4883" s="26">
        <v>20300</v>
      </c>
      <c r="J4883" s="117"/>
      <c r="K4883" s="120"/>
      <c r="L4883" s="121"/>
      <c r="M4883" s="120"/>
      <c r="N4883" s="121"/>
      <c r="O4883" s="120"/>
      <c r="P4883" s="121"/>
      <c r="Q4883" s="120"/>
      <c r="R4883" s="121"/>
      <c r="S4883" s="120"/>
      <c r="T4883" s="121"/>
      <c r="U4883" s="120"/>
      <c r="V4883" s="123"/>
      <c r="W4883" s="125"/>
      <c r="X4883" s="142" t="s">
        <v>10748</v>
      </c>
      <c r="Y4883" s="143"/>
      <c r="Z4883" s="143"/>
      <c r="AA4883" s="143"/>
      <c r="AB4883" s="144"/>
      <c r="AC4883" s="16" t="s">
        <v>21</v>
      </c>
      <c r="AD4883" s="17" t="s">
        <v>14889</v>
      </c>
      <c r="AE4883" s="145" t="s">
        <v>14893</v>
      </c>
      <c r="AF4883" s="146"/>
      <c r="AG4883" s="146"/>
      <c r="AH4883" s="146"/>
      <c r="AI4883" s="147"/>
      <c r="AJ4883" s="148"/>
      <c r="AK4883" s="143"/>
      <c r="AL4883" s="144"/>
      <c r="AM4883" s="22"/>
      <c r="AN4883" s="149" t="s">
        <v>2511</v>
      </c>
      <c r="AO4883" s="144"/>
      <c r="AP4883" s="148">
        <v>80374</v>
      </c>
      <c r="AQ4883" s="144"/>
      <c r="AR4883" s="120"/>
      <c r="AS4883" s="121"/>
      <c r="AT4883" s="120"/>
      <c r="AU4883" s="121"/>
      <c r="AV4883" s="120"/>
      <c r="AW4883" s="121"/>
      <c r="AX4883" s="120"/>
      <c r="AY4883" s="121"/>
      <c r="AZ4883" s="138"/>
    </row>
    <row r="4884" spans="1:52" ht="17.100000000000001" customHeight="1" thickTop="1">
      <c r="A4884" s="151" t="s">
        <v>14581</v>
      </c>
      <c r="B4884" s="28">
        <v>46030</v>
      </c>
      <c r="C4884" s="25">
        <v>1313</v>
      </c>
      <c r="D4884" s="13" t="s">
        <v>1561</v>
      </c>
      <c r="E4884" s="111"/>
      <c r="F4884" s="113" t="s">
        <v>14584</v>
      </c>
      <c r="G4884" s="114"/>
      <c r="H4884" s="115"/>
      <c r="I4884" s="24"/>
      <c r="J4884" s="116">
        <v>4</v>
      </c>
      <c r="K4884" s="118">
        <v>425000</v>
      </c>
      <c r="L4884" s="119"/>
      <c r="M4884" s="118">
        <f t="shared" ref="M4884" si="5723">K4884*0.1</f>
        <v>42500</v>
      </c>
      <c r="N4884" s="119"/>
      <c r="O4884" s="118">
        <v>0</v>
      </c>
      <c r="P4884" s="119"/>
      <c r="Q4884" s="118">
        <v>17700</v>
      </c>
      <c r="R4884" s="119"/>
      <c r="S4884" s="118">
        <v>18700</v>
      </c>
      <c r="T4884" s="119"/>
      <c r="U4884" s="118">
        <f t="shared" ref="U4884" si="5724">SUM(K4884:T4885)</f>
        <v>503900</v>
      </c>
      <c r="V4884" s="122"/>
      <c r="W4884" s="124"/>
      <c r="X4884" s="126" t="s">
        <v>14890</v>
      </c>
      <c r="Y4884" s="127"/>
      <c r="Z4884" s="127"/>
      <c r="AA4884" s="127"/>
      <c r="AB4884" s="128"/>
      <c r="AC4884" s="15" t="s">
        <v>20</v>
      </c>
      <c r="AD4884" s="129" t="s">
        <v>1565</v>
      </c>
      <c r="AE4884" s="130"/>
      <c r="AF4884" s="130"/>
      <c r="AG4884" s="130"/>
      <c r="AH4884" s="130"/>
      <c r="AI4884" s="131"/>
      <c r="AJ4884" s="132"/>
      <c r="AK4884" s="127"/>
      <c r="AL4884" s="128"/>
      <c r="AM4884" s="21"/>
      <c r="AN4884" s="133">
        <v>46032</v>
      </c>
      <c r="AO4884" s="134"/>
      <c r="AP4884" s="135">
        <v>1283</v>
      </c>
      <c r="AQ4884" s="136"/>
      <c r="AR4884" s="118">
        <v>545000</v>
      </c>
      <c r="AS4884" s="119"/>
      <c r="AT4884" s="118">
        <f t="shared" ref="AT4884" si="5725">AR4884*0.1</f>
        <v>54500</v>
      </c>
      <c r="AU4884" s="119"/>
      <c r="AV4884" s="118">
        <v>17700</v>
      </c>
      <c r="AW4884" s="119"/>
      <c r="AX4884" s="118">
        <f t="shared" ref="AX4884" si="5726">SUM(AR4884:AW4884)</f>
        <v>617200</v>
      </c>
      <c r="AY4884" s="119"/>
      <c r="AZ4884" s="137">
        <v>46037</v>
      </c>
    </row>
    <row r="4885" spans="1:52" ht="17.100000000000001" customHeight="1" thickBot="1">
      <c r="A4885" s="152"/>
      <c r="B4885" s="27" t="s">
        <v>13663</v>
      </c>
      <c r="C4885" s="27">
        <v>104</v>
      </c>
      <c r="D4885" s="14" t="s">
        <v>1592</v>
      </c>
      <c r="E4885" s="112"/>
      <c r="F4885" s="139" t="s">
        <v>14585</v>
      </c>
      <c r="G4885" s="140"/>
      <c r="H4885" s="141"/>
      <c r="I4885" s="26">
        <v>53688</v>
      </c>
      <c r="J4885" s="117"/>
      <c r="K4885" s="120"/>
      <c r="L4885" s="121"/>
      <c r="M4885" s="120"/>
      <c r="N4885" s="121"/>
      <c r="O4885" s="120"/>
      <c r="P4885" s="121"/>
      <c r="Q4885" s="120"/>
      <c r="R4885" s="121"/>
      <c r="S4885" s="120"/>
      <c r="T4885" s="121"/>
      <c r="U4885" s="120"/>
      <c r="V4885" s="123"/>
      <c r="W4885" s="125"/>
      <c r="X4885" s="142" t="s">
        <v>14891</v>
      </c>
      <c r="Y4885" s="143"/>
      <c r="Z4885" s="143"/>
      <c r="AA4885" s="143"/>
      <c r="AB4885" s="144"/>
      <c r="AC4885" s="16" t="s">
        <v>21</v>
      </c>
      <c r="AD4885" s="17" t="s">
        <v>14889</v>
      </c>
      <c r="AE4885" s="145" t="s">
        <v>1742</v>
      </c>
      <c r="AF4885" s="146"/>
      <c r="AG4885" s="146"/>
      <c r="AH4885" s="146"/>
      <c r="AI4885" s="147"/>
      <c r="AJ4885" s="148"/>
      <c r="AK4885" s="143"/>
      <c r="AL4885" s="144"/>
      <c r="AM4885" s="22"/>
      <c r="AN4885" s="149" t="s">
        <v>2511</v>
      </c>
      <c r="AO4885" s="144"/>
      <c r="AP4885" s="148">
        <v>80372</v>
      </c>
      <c r="AQ4885" s="144"/>
      <c r="AR4885" s="120"/>
      <c r="AS4885" s="121"/>
      <c r="AT4885" s="120"/>
      <c r="AU4885" s="121"/>
      <c r="AV4885" s="120"/>
      <c r="AW4885" s="121"/>
      <c r="AX4885" s="120"/>
      <c r="AY4885" s="121"/>
      <c r="AZ4885" s="138"/>
    </row>
    <row r="4886" spans="1:52" ht="17.100000000000001" customHeight="1" thickTop="1">
      <c r="A4886" s="151" t="s">
        <v>14666</v>
      </c>
      <c r="B4886" s="28">
        <v>46031</v>
      </c>
      <c r="C4886" s="25">
        <v>2117</v>
      </c>
      <c r="D4886" s="13" t="s">
        <v>2949</v>
      </c>
      <c r="E4886" s="111"/>
      <c r="F4886" s="113" t="s">
        <v>3780</v>
      </c>
      <c r="G4886" s="114"/>
      <c r="H4886" s="115"/>
      <c r="I4886" s="24"/>
      <c r="J4886" s="116">
        <v>4.5</v>
      </c>
      <c r="K4886" s="118">
        <v>1090000</v>
      </c>
      <c r="L4886" s="119"/>
      <c r="M4886" s="118">
        <f t="shared" ref="M4886" si="5727">K4886*0.1</f>
        <v>109000</v>
      </c>
      <c r="N4886" s="119"/>
      <c r="O4886" s="118">
        <v>0</v>
      </c>
      <c r="P4886" s="119"/>
      <c r="Q4886" s="118">
        <v>12370</v>
      </c>
      <c r="R4886" s="119"/>
      <c r="S4886" s="118">
        <v>16500</v>
      </c>
      <c r="T4886" s="119"/>
      <c r="U4886" s="118">
        <v>1227870</v>
      </c>
      <c r="V4886" s="122"/>
      <c r="W4886" s="124"/>
      <c r="X4886" s="126" t="s">
        <v>14991</v>
      </c>
      <c r="Y4886" s="127"/>
      <c r="Z4886" s="127"/>
      <c r="AA4886" s="127"/>
      <c r="AB4886" s="128"/>
      <c r="AC4886" s="15" t="s">
        <v>20</v>
      </c>
      <c r="AD4886" s="129"/>
      <c r="AE4886" s="130"/>
      <c r="AF4886" s="130"/>
      <c r="AG4886" s="130"/>
      <c r="AH4886" s="130"/>
      <c r="AI4886" s="131"/>
      <c r="AJ4886" s="132" t="s">
        <v>15039</v>
      </c>
      <c r="AK4886" s="127"/>
      <c r="AL4886" s="128"/>
      <c r="AM4886" s="21"/>
      <c r="AN4886" s="133"/>
      <c r="AO4886" s="134"/>
      <c r="AP4886" s="135"/>
      <c r="AQ4886" s="136"/>
      <c r="AR4886" s="118"/>
      <c r="AS4886" s="119"/>
      <c r="AT4886" s="118">
        <f t="shared" ref="AT4886" si="5728">AR4886*0.1</f>
        <v>0</v>
      </c>
      <c r="AU4886" s="119"/>
      <c r="AV4886" s="118"/>
      <c r="AW4886" s="119"/>
      <c r="AX4886" s="118">
        <f t="shared" ref="AX4886" si="5729">SUM(AR4886:AW4886)</f>
        <v>0</v>
      </c>
      <c r="AY4886" s="119"/>
      <c r="AZ4886" s="137"/>
    </row>
    <row r="4887" spans="1:52" ht="17.100000000000001" customHeight="1" thickBot="1">
      <c r="A4887" s="152"/>
      <c r="B4887" s="27" t="s">
        <v>1543</v>
      </c>
      <c r="C4887" s="27">
        <v>13078</v>
      </c>
      <c r="D4887" s="14" t="s">
        <v>904</v>
      </c>
      <c r="E4887" s="112"/>
      <c r="F4887" s="139" t="s">
        <v>14624</v>
      </c>
      <c r="G4887" s="140"/>
      <c r="H4887" s="141"/>
      <c r="I4887" s="26">
        <v>56678</v>
      </c>
      <c r="J4887" s="117"/>
      <c r="K4887" s="120"/>
      <c r="L4887" s="121"/>
      <c r="M4887" s="120"/>
      <c r="N4887" s="121"/>
      <c r="O4887" s="120"/>
      <c r="P4887" s="121"/>
      <c r="Q4887" s="120"/>
      <c r="R4887" s="121"/>
      <c r="S4887" s="120"/>
      <c r="T4887" s="121"/>
      <c r="U4887" s="120"/>
      <c r="V4887" s="123"/>
      <c r="W4887" s="125"/>
      <c r="X4887" s="142" t="s">
        <v>14992</v>
      </c>
      <c r="Y4887" s="143"/>
      <c r="Z4887" s="143"/>
      <c r="AA4887" s="143"/>
      <c r="AB4887" s="144"/>
      <c r="AC4887" s="16" t="s">
        <v>21</v>
      </c>
      <c r="AD4887" s="17" t="s">
        <v>1815</v>
      </c>
      <c r="AE4887" s="145"/>
      <c r="AF4887" s="146"/>
      <c r="AG4887" s="146"/>
      <c r="AH4887" s="146"/>
      <c r="AI4887" s="147"/>
      <c r="AJ4887" s="148"/>
      <c r="AK4887" s="143"/>
      <c r="AL4887" s="144"/>
      <c r="AM4887" s="22"/>
      <c r="AN4887" s="149"/>
      <c r="AO4887" s="144"/>
      <c r="AP4887" s="148"/>
      <c r="AQ4887" s="144"/>
      <c r="AR4887" s="120"/>
      <c r="AS4887" s="121"/>
      <c r="AT4887" s="120"/>
      <c r="AU4887" s="121"/>
      <c r="AV4887" s="120"/>
      <c r="AW4887" s="121"/>
      <c r="AX4887" s="120"/>
      <c r="AY4887" s="121"/>
      <c r="AZ4887" s="138"/>
    </row>
    <row r="4888" spans="1:52" ht="17.100000000000001" customHeight="1" thickTop="1">
      <c r="A4888" s="109" t="s">
        <v>14667</v>
      </c>
      <c r="B4888" s="28">
        <v>46031</v>
      </c>
      <c r="C4888" s="25">
        <v>2117</v>
      </c>
      <c r="D4888" s="13" t="s">
        <v>2689</v>
      </c>
      <c r="E4888" s="111"/>
      <c r="F4888" s="113" t="s">
        <v>7513</v>
      </c>
      <c r="G4888" s="114"/>
      <c r="H4888" s="115"/>
      <c r="I4888" s="24" t="s">
        <v>9920</v>
      </c>
      <c r="J4888" s="116">
        <v>4.5</v>
      </c>
      <c r="K4888" s="118">
        <v>1720000</v>
      </c>
      <c r="L4888" s="119"/>
      <c r="M4888" s="118">
        <f t="shared" ref="M4888" si="5730">K4888*0.1</f>
        <v>172000</v>
      </c>
      <c r="N4888" s="119"/>
      <c r="O4888" s="118">
        <v>5500</v>
      </c>
      <c r="P4888" s="119"/>
      <c r="Q4888" s="118">
        <v>16580</v>
      </c>
      <c r="R4888" s="119"/>
      <c r="S4888" s="118">
        <v>16500</v>
      </c>
      <c r="T4888" s="119"/>
      <c r="U4888" s="118">
        <f t="shared" ref="U4888" si="5731">SUM(K4888:T4889)</f>
        <v>1930580</v>
      </c>
      <c r="V4888" s="122"/>
      <c r="W4888" s="124"/>
      <c r="X4888" s="126" t="s">
        <v>14648</v>
      </c>
      <c r="Y4888" s="127"/>
      <c r="Z4888" s="127"/>
      <c r="AA4888" s="127"/>
      <c r="AB4888" s="128"/>
      <c r="AC4888" s="15" t="s">
        <v>20</v>
      </c>
      <c r="AD4888" s="129" t="s">
        <v>1565</v>
      </c>
      <c r="AE4888" s="130"/>
      <c r="AF4888" s="130"/>
      <c r="AG4888" s="130"/>
      <c r="AH4888" s="130"/>
      <c r="AI4888" s="131"/>
      <c r="AJ4888" s="132" t="s">
        <v>15682</v>
      </c>
      <c r="AK4888" s="127"/>
      <c r="AL4888" s="128"/>
      <c r="AM4888" s="21"/>
      <c r="AN4888" s="133">
        <v>46044</v>
      </c>
      <c r="AO4888" s="134"/>
      <c r="AP4888" s="135">
        <v>1315</v>
      </c>
      <c r="AQ4888" s="136"/>
      <c r="AR4888" s="118">
        <v>1815000</v>
      </c>
      <c r="AS4888" s="119"/>
      <c r="AT4888" s="118">
        <f t="shared" ref="AT4888" si="5732">AR4888*0.1</f>
        <v>181500</v>
      </c>
      <c r="AU4888" s="119"/>
      <c r="AV4888" s="118">
        <v>16580</v>
      </c>
      <c r="AW4888" s="119"/>
      <c r="AX4888" s="118">
        <f t="shared" ref="AX4888" si="5733">SUM(AR4888:AW4888)</f>
        <v>2013080</v>
      </c>
      <c r="AY4888" s="119"/>
      <c r="AZ4888" s="137">
        <v>46045</v>
      </c>
    </row>
    <row r="4889" spans="1:52" ht="17.100000000000001" customHeight="1" thickBot="1">
      <c r="A4889" s="110"/>
      <c r="B4889" s="27" t="s">
        <v>1543</v>
      </c>
      <c r="C4889" s="27">
        <v>58225</v>
      </c>
      <c r="D4889" s="14" t="s">
        <v>1592</v>
      </c>
      <c r="E4889" s="112"/>
      <c r="F4889" s="139" t="s">
        <v>14647</v>
      </c>
      <c r="G4889" s="140"/>
      <c r="H4889" s="141"/>
      <c r="I4889" s="26">
        <v>19918</v>
      </c>
      <c r="J4889" s="117"/>
      <c r="K4889" s="120"/>
      <c r="L4889" s="121"/>
      <c r="M4889" s="120"/>
      <c r="N4889" s="121"/>
      <c r="O4889" s="120"/>
      <c r="P4889" s="121"/>
      <c r="Q4889" s="120"/>
      <c r="R4889" s="121"/>
      <c r="S4889" s="120"/>
      <c r="T4889" s="121"/>
      <c r="U4889" s="120"/>
      <c r="V4889" s="123"/>
      <c r="W4889" s="125"/>
      <c r="X4889" s="142" t="s">
        <v>14990</v>
      </c>
      <c r="Y4889" s="143"/>
      <c r="Z4889" s="143"/>
      <c r="AA4889" s="143"/>
      <c r="AB4889" s="144"/>
      <c r="AC4889" s="16" t="s">
        <v>21</v>
      </c>
      <c r="AD4889" s="17" t="s">
        <v>1815</v>
      </c>
      <c r="AE4889" s="145" t="s">
        <v>15770</v>
      </c>
      <c r="AF4889" s="146"/>
      <c r="AG4889" s="146"/>
      <c r="AH4889" s="146"/>
      <c r="AI4889" s="147"/>
      <c r="AJ4889" s="148" t="s">
        <v>15681</v>
      </c>
      <c r="AK4889" s="143"/>
      <c r="AL4889" s="144"/>
      <c r="AM4889" s="22"/>
      <c r="AN4889" s="149" t="s">
        <v>13663</v>
      </c>
      <c r="AO4889" s="144"/>
      <c r="AP4889" s="148">
        <v>112</v>
      </c>
      <c r="AQ4889" s="144"/>
      <c r="AR4889" s="120"/>
      <c r="AS4889" s="121"/>
      <c r="AT4889" s="120"/>
      <c r="AU4889" s="121"/>
      <c r="AV4889" s="120"/>
      <c r="AW4889" s="121"/>
      <c r="AX4889" s="120"/>
      <c r="AY4889" s="121"/>
      <c r="AZ4889" s="138"/>
    </row>
    <row r="4890" spans="1:52" ht="17.100000000000001" customHeight="1" thickTop="1">
      <c r="A4890" s="151" t="s">
        <v>14668</v>
      </c>
      <c r="B4890" s="28">
        <v>46031</v>
      </c>
      <c r="C4890" s="25">
        <v>273</v>
      </c>
      <c r="D4890" s="13" t="s">
        <v>2014</v>
      </c>
      <c r="E4890" s="111"/>
      <c r="F4890" s="113" t="s">
        <v>4026</v>
      </c>
      <c r="G4890" s="114"/>
      <c r="H4890" s="115"/>
      <c r="I4890" s="24" t="s">
        <v>2956</v>
      </c>
      <c r="J4890" s="116">
        <v>4.5</v>
      </c>
      <c r="K4890" s="118">
        <v>1160000</v>
      </c>
      <c r="L4890" s="119"/>
      <c r="M4890" s="118">
        <f t="shared" ref="M4890" si="5734">K4890*0.1</f>
        <v>116000</v>
      </c>
      <c r="N4890" s="119"/>
      <c r="O4890" s="118">
        <v>0</v>
      </c>
      <c r="P4890" s="119"/>
      <c r="Q4890" s="118">
        <v>8350</v>
      </c>
      <c r="R4890" s="119"/>
      <c r="S4890" s="118">
        <v>22000</v>
      </c>
      <c r="T4890" s="119"/>
      <c r="U4890" s="118">
        <f t="shared" ref="U4890" si="5735">SUM(K4890:T4891)</f>
        <v>1306350</v>
      </c>
      <c r="V4890" s="122"/>
      <c r="W4890" s="124"/>
      <c r="X4890" s="126" t="s">
        <v>14626</v>
      </c>
      <c r="Y4890" s="127"/>
      <c r="Z4890" s="127"/>
      <c r="AA4890" s="127"/>
      <c r="AB4890" s="128"/>
      <c r="AC4890" s="15" t="s">
        <v>20</v>
      </c>
      <c r="AD4890" s="129" t="s">
        <v>15769</v>
      </c>
      <c r="AE4890" s="130"/>
      <c r="AF4890" s="130"/>
      <c r="AG4890" s="130"/>
      <c r="AH4890" s="130"/>
      <c r="AI4890" s="131"/>
      <c r="AJ4890" s="132"/>
      <c r="AK4890" s="127"/>
      <c r="AL4890" s="128"/>
      <c r="AM4890" s="21"/>
      <c r="AN4890" s="133">
        <v>46039</v>
      </c>
      <c r="AO4890" s="134"/>
      <c r="AP4890" s="135">
        <v>1284</v>
      </c>
      <c r="AQ4890" s="136"/>
      <c r="AR4890" s="118">
        <v>1245000</v>
      </c>
      <c r="AS4890" s="119"/>
      <c r="AT4890" s="118">
        <f t="shared" ref="AT4890" si="5736">AR4890*0.1</f>
        <v>124500</v>
      </c>
      <c r="AU4890" s="119"/>
      <c r="AV4890" s="118">
        <v>8350</v>
      </c>
      <c r="AW4890" s="119"/>
      <c r="AX4890" s="118">
        <f t="shared" ref="AX4890" si="5737">SUM(AR4890:AW4890)</f>
        <v>1377850</v>
      </c>
      <c r="AY4890" s="119"/>
      <c r="AZ4890" s="137">
        <v>46042</v>
      </c>
    </row>
    <row r="4891" spans="1:52" ht="17.100000000000001" customHeight="1" thickBot="1">
      <c r="A4891" s="152"/>
      <c r="B4891" s="27" t="s">
        <v>3957</v>
      </c>
      <c r="C4891" s="27">
        <v>4</v>
      </c>
      <c r="D4891" s="14" t="s">
        <v>1576</v>
      </c>
      <c r="E4891" s="112"/>
      <c r="F4891" s="139" t="s">
        <v>14625</v>
      </c>
      <c r="G4891" s="140"/>
      <c r="H4891" s="141"/>
      <c r="I4891" s="26">
        <v>6340</v>
      </c>
      <c r="J4891" s="117"/>
      <c r="K4891" s="120"/>
      <c r="L4891" s="121"/>
      <c r="M4891" s="120"/>
      <c r="N4891" s="121"/>
      <c r="O4891" s="120"/>
      <c r="P4891" s="121"/>
      <c r="Q4891" s="120"/>
      <c r="R4891" s="121"/>
      <c r="S4891" s="120"/>
      <c r="T4891" s="121"/>
      <c r="U4891" s="120"/>
      <c r="V4891" s="123"/>
      <c r="W4891" s="125"/>
      <c r="X4891" s="142" t="s">
        <v>2321</v>
      </c>
      <c r="Y4891" s="143"/>
      <c r="Z4891" s="143"/>
      <c r="AA4891" s="143"/>
      <c r="AB4891" s="144"/>
      <c r="AC4891" s="16" t="s">
        <v>21</v>
      </c>
      <c r="AD4891" s="17" t="s">
        <v>1815</v>
      </c>
      <c r="AE4891" s="145" t="s">
        <v>171</v>
      </c>
      <c r="AF4891" s="146"/>
      <c r="AG4891" s="146"/>
      <c r="AH4891" s="146"/>
      <c r="AI4891" s="147"/>
      <c r="AJ4891" s="148"/>
      <c r="AK4891" s="143"/>
      <c r="AL4891" s="144"/>
      <c r="AM4891" s="22"/>
      <c r="AN4891" s="149" t="s">
        <v>2511</v>
      </c>
      <c r="AO4891" s="144"/>
      <c r="AP4891" s="148">
        <v>60001</v>
      </c>
      <c r="AQ4891" s="144"/>
      <c r="AR4891" s="120"/>
      <c r="AS4891" s="121"/>
      <c r="AT4891" s="120"/>
      <c r="AU4891" s="121"/>
      <c r="AV4891" s="120"/>
      <c r="AW4891" s="121"/>
      <c r="AX4891" s="120"/>
      <c r="AY4891" s="121"/>
      <c r="AZ4891" s="138"/>
    </row>
    <row r="4892" spans="1:52" ht="17.100000000000001" customHeight="1" thickTop="1">
      <c r="A4892" s="109" t="s">
        <v>14669</v>
      </c>
      <c r="B4892" s="28">
        <v>46031</v>
      </c>
      <c r="C4892" s="25">
        <v>273</v>
      </c>
      <c r="D4892" s="13" t="s">
        <v>3324</v>
      </c>
      <c r="E4892" s="111"/>
      <c r="F4892" s="113" t="s">
        <v>14627</v>
      </c>
      <c r="G4892" s="114"/>
      <c r="H4892" s="115"/>
      <c r="I4892" s="24" t="s">
        <v>2571</v>
      </c>
      <c r="J4892" s="116">
        <v>4.5</v>
      </c>
      <c r="K4892" s="118">
        <v>1454000</v>
      </c>
      <c r="L4892" s="119"/>
      <c r="M4892" s="118">
        <f t="shared" ref="M4892" si="5738">K4892*0.1</f>
        <v>145400</v>
      </c>
      <c r="N4892" s="119"/>
      <c r="O4892" s="118">
        <v>0</v>
      </c>
      <c r="P4892" s="119"/>
      <c r="Q4892" s="118">
        <v>10360</v>
      </c>
      <c r="R4892" s="119"/>
      <c r="S4892" s="118">
        <v>22000</v>
      </c>
      <c r="T4892" s="119"/>
      <c r="U4892" s="118">
        <f t="shared" ref="U4892" si="5739">SUM(K4892:T4893)</f>
        <v>1631760</v>
      </c>
      <c r="V4892" s="122"/>
      <c r="W4892" s="124"/>
      <c r="X4892" s="126" t="s">
        <v>14629</v>
      </c>
      <c r="Y4892" s="127"/>
      <c r="Z4892" s="127"/>
      <c r="AA4892" s="127"/>
      <c r="AB4892" s="128"/>
      <c r="AC4892" s="15" t="s">
        <v>20</v>
      </c>
      <c r="AD4892" s="129" t="s">
        <v>2385</v>
      </c>
      <c r="AE4892" s="130"/>
      <c r="AF4892" s="130"/>
      <c r="AG4892" s="130"/>
      <c r="AH4892" s="130"/>
      <c r="AI4892" s="131"/>
      <c r="AJ4892" s="132"/>
      <c r="AK4892" s="127"/>
      <c r="AL4892" s="128"/>
      <c r="AM4892" s="21"/>
      <c r="AN4892" s="133">
        <v>46036</v>
      </c>
      <c r="AO4892" s="134"/>
      <c r="AP4892" s="135">
        <v>1000</v>
      </c>
      <c r="AQ4892" s="136"/>
      <c r="AR4892" s="118">
        <v>1550000</v>
      </c>
      <c r="AS4892" s="119"/>
      <c r="AT4892" s="118">
        <f t="shared" ref="AT4892" si="5740">AR4892*0.1</f>
        <v>155000</v>
      </c>
      <c r="AU4892" s="119"/>
      <c r="AV4892" s="118">
        <v>10360</v>
      </c>
      <c r="AW4892" s="119"/>
      <c r="AX4892" s="118">
        <f t="shared" ref="AX4892" si="5741">SUM(AR4892:AW4892)</f>
        <v>1715360</v>
      </c>
      <c r="AY4892" s="119"/>
      <c r="AZ4892" s="137">
        <v>46042</v>
      </c>
    </row>
    <row r="4893" spans="1:52" ht="17.100000000000001" customHeight="1" thickBot="1">
      <c r="A4893" s="110"/>
      <c r="B4893" s="27" t="s">
        <v>3957</v>
      </c>
      <c r="C4893" s="27">
        <v>66</v>
      </c>
      <c r="D4893" s="14" t="s">
        <v>2601</v>
      </c>
      <c r="E4893" s="112"/>
      <c r="F4893" s="139" t="s">
        <v>14628</v>
      </c>
      <c r="G4893" s="140"/>
      <c r="H4893" s="141"/>
      <c r="I4893" s="26">
        <v>3735</v>
      </c>
      <c r="J4893" s="117"/>
      <c r="K4893" s="120"/>
      <c r="L4893" s="121"/>
      <c r="M4893" s="120"/>
      <c r="N4893" s="121"/>
      <c r="O4893" s="120"/>
      <c r="P4893" s="121"/>
      <c r="Q4893" s="120"/>
      <c r="R4893" s="121"/>
      <c r="S4893" s="120"/>
      <c r="T4893" s="121"/>
      <c r="U4893" s="120"/>
      <c r="V4893" s="123"/>
      <c r="W4893" s="125"/>
      <c r="X4893" s="142" t="s">
        <v>2321</v>
      </c>
      <c r="Y4893" s="143"/>
      <c r="Z4893" s="143"/>
      <c r="AA4893" s="143"/>
      <c r="AB4893" s="144"/>
      <c r="AC4893" s="16" t="s">
        <v>21</v>
      </c>
      <c r="AD4893" s="17" t="s">
        <v>1815</v>
      </c>
      <c r="AE4893" s="145" t="s">
        <v>7904</v>
      </c>
      <c r="AF4893" s="146"/>
      <c r="AG4893" s="146"/>
      <c r="AH4893" s="146"/>
      <c r="AI4893" s="147"/>
      <c r="AJ4893" s="148"/>
      <c r="AK4893" s="143"/>
      <c r="AL4893" s="144"/>
      <c r="AM4893" s="22"/>
      <c r="AN4893" s="149" t="s">
        <v>8809</v>
      </c>
      <c r="AO4893" s="144"/>
      <c r="AP4893" s="148">
        <v>2084</v>
      </c>
      <c r="AQ4893" s="144"/>
      <c r="AR4893" s="120"/>
      <c r="AS4893" s="121"/>
      <c r="AT4893" s="120"/>
      <c r="AU4893" s="121"/>
      <c r="AV4893" s="120"/>
      <c r="AW4893" s="121"/>
      <c r="AX4893" s="120"/>
      <c r="AY4893" s="121"/>
      <c r="AZ4893" s="138"/>
    </row>
    <row r="4894" spans="1:52" ht="17.100000000000001" customHeight="1" thickTop="1">
      <c r="A4894" s="109" t="s">
        <v>14670</v>
      </c>
      <c r="B4894" s="28">
        <v>46031</v>
      </c>
      <c r="C4894" s="25">
        <v>82</v>
      </c>
      <c r="D4894" s="13" t="s">
        <v>1986</v>
      </c>
      <c r="E4894" s="111"/>
      <c r="F4894" s="113" t="s">
        <v>14649</v>
      </c>
      <c r="G4894" s="114"/>
      <c r="H4894" s="115"/>
      <c r="I4894" s="24" t="s">
        <v>2943</v>
      </c>
      <c r="J4894" s="116">
        <v>4.5</v>
      </c>
      <c r="K4894" s="118">
        <v>1105000</v>
      </c>
      <c r="L4894" s="119"/>
      <c r="M4894" s="118">
        <f t="shared" ref="M4894" si="5742">K4894*0.1</f>
        <v>110500</v>
      </c>
      <c r="N4894" s="119"/>
      <c r="O4894" s="118">
        <v>0</v>
      </c>
      <c r="P4894" s="119"/>
      <c r="Q4894" s="118">
        <v>8790</v>
      </c>
      <c r="R4894" s="119"/>
      <c r="S4894" s="118">
        <v>44000</v>
      </c>
      <c r="T4894" s="119"/>
      <c r="U4894" s="118">
        <f t="shared" ref="U4894" si="5743">SUM(K4894:T4895)</f>
        <v>1268290</v>
      </c>
      <c r="V4894" s="122"/>
      <c r="W4894" s="124"/>
      <c r="X4894" s="126" t="s">
        <v>17977</v>
      </c>
      <c r="Y4894" s="127"/>
      <c r="Z4894" s="127"/>
      <c r="AA4894" s="127"/>
      <c r="AB4894" s="128"/>
      <c r="AC4894" s="15" t="s">
        <v>20</v>
      </c>
      <c r="AD4894" s="129" t="s">
        <v>171</v>
      </c>
      <c r="AE4894" s="130"/>
      <c r="AF4894" s="130"/>
      <c r="AG4894" s="130"/>
      <c r="AH4894" s="130"/>
      <c r="AI4894" s="131"/>
      <c r="AJ4894" s="132"/>
      <c r="AK4894" s="127"/>
      <c r="AL4894" s="128"/>
      <c r="AM4894" s="21"/>
      <c r="AN4894" s="133"/>
      <c r="AO4894" s="134"/>
      <c r="AP4894" s="135"/>
      <c r="AQ4894" s="136"/>
      <c r="AR4894" s="118"/>
      <c r="AS4894" s="119"/>
      <c r="AT4894" s="118">
        <f t="shared" ref="AT4894" si="5744">AR4894*0.1</f>
        <v>0</v>
      </c>
      <c r="AU4894" s="119"/>
      <c r="AV4894" s="118"/>
      <c r="AW4894" s="119"/>
      <c r="AX4894" s="118">
        <f t="shared" ref="AX4894" si="5745">SUM(AR4894:AW4894)</f>
        <v>0</v>
      </c>
      <c r="AY4894" s="119"/>
      <c r="AZ4894" s="137"/>
    </row>
    <row r="4895" spans="1:52" ht="17.100000000000001" customHeight="1" thickBot="1">
      <c r="A4895" s="110"/>
      <c r="B4895" s="27" t="s">
        <v>4544</v>
      </c>
      <c r="C4895" s="27">
        <v>1019</v>
      </c>
      <c r="D4895" s="14" t="s">
        <v>3327</v>
      </c>
      <c r="E4895" s="112"/>
      <c r="F4895" s="139" t="s">
        <v>14643</v>
      </c>
      <c r="G4895" s="140"/>
      <c r="H4895" s="141"/>
      <c r="I4895" s="26">
        <v>35882</v>
      </c>
      <c r="J4895" s="117"/>
      <c r="K4895" s="120"/>
      <c r="L4895" s="121"/>
      <c r="M4895" s="120"/>
      <c r="N4895" s="121"/>
      <c r="O4895" s="120"/>
      <c r="P4895" s="121"/>
      <c r="Q4895" s="120"/>
      <c r="R4895" s="121"/>
      <c r="S4895" s="120"/>
      <c r="T4895" s="121"/>
      <c r="U4895" s="120"/>
      <c r="V4895" s="123"/>
      <c r="W4895" s="125"/>
      <c r="X4895" s="142" t="s">
        <v>17978</v>
      </c>
      <c r="Y4895" s="143"/>
      <c r="Z4895" s="143"/>
      <c r="AA4895" s="143"/>
      <c r="AB4895" s="144"/>
      <c r="AC4895" s="16" t="s">
        <v>21</v>
      </c>
      <c r="AD4895" s="17" t="s">
        <v>2339</v>
      </c>
      <c r="AE4895" s="145" t="s">
        <v>1742</v>
      </c>
      <c r="AF4895" s="146"/>
      <c r="AG4895" s="146"/>
      <c r="AH4895" s="146"/>
      <c r="AI4895" s="147"/>
      <c r="AJ4895" s="148"/>
      <c r="AK4895" s="143"/>
      <c r="AL4895" s="144"/>
      <c r="AM4895" s="22"/>
      <c r="AN4895" s="149"/>
      <c r="AO4895" s="144"/>
      <c r="AP4895" s="148"/>
      <c r="AQ4895" s="144"/>
      <c r="AR4895" s="120"/>
      <c r="AS4895" s="121"/>
      <c r="AT4895" s="120"/>
      <c r="AU4895" s="121"/>
      <c r="AV4895" s="120"/>
      <c r="AW4895" s="121"/>
      <c r="AX4895" s="120"/>
      <c r="AY4895" s="121"/>
      <c r="AZ4895" s="138"/>
    </row>
    <row r="4896" spans="1:52" ht="17.100000000000001" customHeight="1" thickTop="1">
      <c r="A4896" s="109" t="s">
        <v>14671</v>
      </c>
      <c r="B4896" s="28">
        <v>46031</v>
      </c>
      <c r="C4896" s="25"/>
      <c r="D4896" s="13" t="s">
        <v>1714</v>
      </c>
      <c r="E4896" s="111"/>
      <c r="F4896" s="113" t="s">
        <v>14651</v>
      </c>
      <c r="G4896" s="114"/>
      <c r="H4896" s="115"/>
      <c r="I4896" s="24" t="s">
        <v>7828</v>
      </c>
      <c r="J4896" s="116">
        <v>4.5</v>
      </c>
      <c r="K4896" s="118">
        <f>2673000/1.1</f>
        <v>2430000</v>
      </c>
      <c r="L4896" s="119"/>
      <c r="M4896" s="118">
        <f t="shared" ref="M4896" si="5746">K4896*0.1</f>
        <v>243000</v>
      </c>
      <c r="N4896" s="119"/>
      <c r="O4896" s="118">
        <v>7200</v>
      </c>
      <c r="P4896" s="119"/>
      <c r="Q4896" s="118">
        <v>14660</v>
      </c>
      <c r="R4896" s="119"/>
      <c r="S4896" s="118">
        <v>0</v>
      </c>
      <c r="T4896" s="119"/>
      <c r="U4896" s="118">
        <f t="shared" ref="U4896" si="5747">SUM(K4896:T4897)</f>
        <v>2694860</v>
      </c>
      <c r="V4896" s="122"/>
      <c r="W4896" s="124"/>
      <c r="X4896" s="126" t="s">
        <v>16906</v>
      </c>
      <c r="Y4896" s="127"/>
      <c r="Z4896" s="127"/>
      <c r="AA4896" s="127"/>
      <c r="AB4896" s="128"/>
      <c r="AC4896" s="15" t="s">
        <v>20</v>
      </c>
      <c r="AD4896" s="129" t="s">
        <v>1945</v>
      </c>
      <c r="AE4896" s="130"/>
      <c r="AF4896" s="130"/>
      <c r="AG4896" s="130"/>
      <c r="AH4896" s="130"/>
      <c r="AI4896" s="131"/>
      <c r="AJ4896" s="132"/>
      <c r="AK4896" s="127"/>
      <c r="AL4896" s="128"/>
      <c r="AM4896" s="21"/>
      <c r="AN4896" s="133">
        <v>46057</v>
      </c>
      <c r="AO4896" s="134"/>
      <c r="AP4896" s="135">
        <v>1003</v>
      </c>
      <c r="AQ4896" s="136"/>
      <c r="AR4896" s="118">
        <v>2670000</v>
      </c>
      <c r="AS4896" s="119"/>
      <c r="AT4896" s="118">
        <f t="shared" ref="AT4896" si="5748">AR4896*0.1</f>
        <v>267000</v>
      </c>
      <c r="AU4896" s="119"/>
      <c r="AV4896" s="118">
        <v>14660</v>
      </c>
      <c r="AW4896" s="119"/>
      <c r="AX4896" s="118">
        <f t="shared" ref="AX4896" si="5749">SUM(AR4896:AW4896)</f>
        <v>2951660</v>
      </c>
      <c r="AY4896" s="119"/>
      <c r="AZ4896" s="137">
        <v>46062</v>
      </c>
    </row>
    <row r="4897" spans="1:52" ht="17.100000000000001" customHeight="1" thickBot="1">
      <c r="A4897" s="110"/>
      <c r="B4897" s="27" t="s">
        <v>1718</v>
      </c>
      <c r="C4897" s="27" t="s">
        <v>14650</v>
      </c>
      <c r="D4897" s="14" t="s">
        <v>2601</v>
      </c>
      <c r="E4897" s="112"/>
      <c r="F4897" s="139" t="s">
        <v>14652</v>
      </c>
      <c r="G4897" s="140"/>
      <c r="H4897" s="141"/>
      <c r="I4897" s="26">
        <v>56319</v>
      </c>
      <c r="J4897" s="117"/>
      <c r="K4897" s="120"/>
      <c r="L4897" s="121"/>
      <c r="M4897" s="120"/>
      <c r="N4897" s="121"/>
      <c r="O4897" s="120"/>
      <c r="P4897" s="121"/>
      <c r="Q4897" s="120"/>
      <c r="R4897" s="121"/>
      <c r="S4897" s="120"/>
      <c r="T4897" s="121"/>
      <c r="U4897" s="120"/>
      <c r="V4897" s="123"/>
      <c r="W4897" s="125"/>
      <c r="X4897" s="142" t="s">
        <v>16907</v>
      </c>
      <c r="Y4897" s="143"/>
      <c r="Z4897" s="143"/>
      <c r="AA4897" s="143"/>
      <c r="AB4897" s="144"/>
      <c r="AC4897" s="16" t="s">
        <v>21</v>
      </c>
      <c r="AD4897" s="17" t="s">
        <v>3801</v>
      </c>
      <c r="AE4897" s="145" t="s">
        <v>16908</v>
      </c>
      <c r="AF4897" s="146"/>
      <c r="AG4897" s="146"/>
      <c r="AH4897" s="146"/>
      <c r="AI4897" s="147"/>
      <c r="AJ4897" s="148"/>
      <c r="AK4897" s="143"/>
      <c r="AL4897" s="144"/>
      <c r="AM4897" s="22"/>
      <c r="AN4897" s="149" t="s">
        <v>2794</v>
      </c>
      <c r="AO4897" s="144"/>
      <c r="AP4897" s="148">
        <v>1095</v>
      </c>
      <c r="AQ4897" s="144"/>
      <c r="AR4897" s="120"/>
      <c r="AS4897" s="121"/>
      <c r="AT4897" s="120"/>
      <c r="AU4897" s="121"/>
      <c r="AV4897" s="120"/>
      <c r="AW4897" s="121"/>
      <c r="AX4897" s="120"/>
      <c r="AY4897" s="121"/>
      <c r="AZ4897" s="138"/>
    </row>
    <row r="4898" spans="1:52" ht="17.100000000000001" customHeight="1" thickTop="1">
      <c r="A4898" s="109" t="s">
        <v>14672</v>
      </c>
      <c r="B4898" s="28">
        <v>46031</v>
      </c>
      <c r="C4898" s="25"/>
      <c r="D4898" s="13" t="s">
        <v>1712</v>
      </c>
      <c r="E4898" s="111"/>
      <c r="F4898" s="113" t="s">
        <v>14654</v>
      </c>
      <c r="G4898" s="114"/>
      <c r="H4898" s="115"/>
      <c r="I4898" s="24" t="s">
        <v>14656</v>
      </c>
      <c r="J4898" s="116">
        <v>4</v>
      </c>
      <c r="K4898" s="118">
        <f>1897500/1.1</f>
        <v>1724999.9999999998</v>
      </c>
      <c r="L4898" s="119"/>
      <c r="M4898" s="118">
        <f t="shared" ref="M4898" si="5750">K4898*0.1</f>
        <v>172500</v>
      </c>
      <c r="N4898" s="119"/>
      <c r="O4898" s="118">
        <v>9600</v>
      </c>
      <c r="P4898" s="119"/>
      <c r="Q4898" s="118">
        <v>12960</v>
      </c>
      <c r="R4898" s="119"/>
      <c r="S4898" s="118">
        <v>0</v>
      </c>
      <c r="T4898" s="119"/>
      <c r="U4898" s="118">
        <f t="shared" ref="U4898" si="5751">SUM(K4898:T4899)</f>
        <v>1920059.9999999998</v>
      </c>
      <c r="V4898" s="122"/>
      <c r="W4898" s="124"/>
      <c r="X4898" s="126" t="s">
        <v>15412</v>
      </c>
      <c r="Y4898" s="127"/>
      <c r="Z4898" s="127"/>
      <c r="AA4898" s="127"/>
      <c r="AB4898" s="128"/>
      <c r="AC4898" s="15" t="s">
        <v>20</v>
      </c>
      <c r="AD4898" s="129" t="s">
        <v>171</v>
      </c>
      <c r="AE4898" s="130"/>
      <c r="AF4898" s="130"/>
      <c r="AG4898" s="130"/>
      <c r="AH4898" s="130"/>
      <c r="AI4898" s="131"/>
      <c r="AJ4898" s="132"/>
      <c r="AK4898" s="127"/>
      <c r="AL4898" s="128"/>
      <c r="AM4898" s="21"/>
      <c r="AN4898" s="133">
        <v>46050</v>
      </c>
      <c r="AO4898" s="134"/>
      <c r="AP4898" s="135">
        <v>1002</v>
      </c>
      <c r="AQ4898" s="136"/>
      <c r="AR4898" s="118">
        <v>1730000</v>
      </c>
      <c r="AS4898" s="119"/>
      <c r="AT4898" s="118">
        <f t="shared" ref="AT4898" si="5752">AR4898*0.1</f>
        <v>173000</v>
      </c>
      <c r="AU4898" s="119"/>
      <c r="AV4898" s="118">
        <v>12960</v>
      </c>
      <c r="AW4898" s="119"/>
      <c r="AX4898" s="118">
        <f t="shared" ref="AX4898" si="5753">SUM(AR4898:AW4898)</f>
        <v>1915960</v>
      </c>
      <c r="AY4898" s="119"/>
      <c r="AZ4898" s="137">
        <v>46055</v>
      </c>
    </row>
    <row r="4899" spans="1:52" ht="17.100000000000001" customHeight="1" thickBot="1">
      <c r="A4899" s="110"/>
      <c r="B4899" s="27" t="s">
        <v>1718</v>
      </c>
      <c r="C4899" s="27" t="s">
        <v>14653</v>
      </c>
      <c r="D4899" s="14" t="s">
        <v>1720</v>
      </c>
      <c r="E4899" s="112"/>
      <c r="F4899" s="139" t="s">
        <v>14655</v>
      </c>
      <c r="G4899" s="140"/>
      <c r="H4899" s="141"/>
      <c r="I4899" s="26">
        <v>74108</v>
      </c>
      <c r="J4899" s="117"/>
      <c r="K4899" s="120"/>
      <c r="L4899" s="121"/>
      <c r="M4899" s="120"/>
      <c r="N4899" s="121"/>
      <c r="O4899" s="120"/>
      <c r="P4899" s="121"/>
      <c r="Q4899" s="120"/>
      <c r="R4899" s="121"/>
      <c r="S4899" s="120"/>
      <c r="T4899" s="121"/>
      <c r="U4899" s="120"/>
      <c r="V4899" s="123"/>
      <c r="W4899" s="125"/>
      <c r="X4899" s="142" t="s">
        <v>15413</v>
      </c>
      <c r="Y4899" s="143"/>
      <c r="Z4899" s="143"/>
      <c r="AA4899" s="143"/>
      <c r="AB4899" s="144"/>
      <c r="AC4899" s="16" t="s">
        <v>21</v>
      </c>
      <c r="AD4899" s="17" t="s">
        <v>15379</v>
      </c>
      <c r="AE4899" s="145" t="s">
        <v>15414</v>
      </c>
      <c r="AF4899" s="146"/>
      <c r="AG4899" s="146"/>
      <c r="AH4899" s="146"/>
      <c r="AI4899" s="147"/>
      <c r="AJ4899" s="148"/>
      <c r="AK4899" s="143"/>
      <c r="AL4899" s="144"/>
      <c r="AM4899" s="22"/>
      <c r="AN4899" s="149" t="s">
        <v>2794</v>
      </c>
      <c r="AO4899" s="144"/>
      <c r="AP4899" s="148">
        <v>1177</v>
      </c>
      <c r="AQ4899" s="144"/>
      <c r="AR4899" s="120"/>
      <c r="AS4899" s="121"/>
      <c r="AT4899" s="120"/>
      <c r="AU4899" s="121"/>
      <c r="AV4899" s="120"/>
      <c r="AW4899" s="121"/>
      <c r="AX4899" s="120"/>
      <c r="AY4899" s="121"/>
      <c r="AZ4899" s="138"/>
    </row>
    <row r="4900" spans="1:52" ht="17.100000000000001" customHeight="1" thickTop="1">
      <c r="A4900" s="109" t="s">
        <v>14673</v>
      </c>
      <c r="B4900" s="28">
        <v>46031</v>
      </c>
      <c r="C4900" s="25"/>
      <c r="D4900" s="13" t="s">
        <v>1795</v>
      </c>
      <c r="E4900" s="111"/>
      <c r="F4900" s="113" t="s">
        <v>14658</v>
      </c>
      <c r="G4900" s="114"/>
      <c r="H4900" s="115"/>
      <c r="I4900" s="24" t="s">
        <v>14660</v>
      </c>
      <c r="J4900" s="116">
        <v>4.5</v>
      </c>
      <c r="K4900" s="118">
        <f>2315500/1.1</f>
        <v>2105000</v>
      </c>
      <c r="L4900" s="119"/>
      <c r="M4900" s="118">
        <f t="shared" ref="M4900" si="5754">K4900*0.1</f>
        <v>210500</v>
      </c>
      <c r="N4900" s="119"/>
      <c r="O4900" s="118">
        <v>5000</v>
      </c>
      <c r="P4900" s="119"/>
      <c r="Q4900" s="118">
        <v>8600</v>
      </c>
      <c r="R4900" s="119"/>
      <c r="S4900" s="118">
        <v>0</v>
      </c>
      <c r="T4900" s="119"/>
      <c r="U4900" s="118">
        <f t="shared" ref="U4900" si="5755">SUM(K4900:T4901)</f>
        <v>2329100</v>
      </c>
      <c r="V4900" s="122"/>
      <c r="W4900" s="124"/>
      <c r="X4900" s="126" t="s">
        <v>15027</v>
      </c>
      <c r="Y4900" s="127"/>
      <c r="Z4900" s="127"/>
      <c r="AA4900" s="127"/>
      <c r="AB4900" s="128"/>
      <c r="AC4900" s="15" t="s">
        <v>20</v>
      </c>
      <c r="AD4900" s="129" t="s">
        <v>171</v>
      </c>
      <c r="AE4900" s="130"/>
      <c r="AF4900" s="130"/>
      <c r="AG4900" s="130"/>
      <c r="AH4900" s="130"/>
      <c r="AI4900" s="131"/>
      <c r="AJ4900" s="132"/>
      <c r="AK4900" s="127"/>
      <c r="AL4900" s="128"/>
      <c r="AM4900" s="21"/>
      <c r="AN4900" s="133">
        <v>46053</v>
      </c>
      <c r="AO4900" s="134"/>
      <c r="AP4900" s="135">
        <v>1286</v>
      </c>
      <c r="AQ4900" s="136"/>
      <c r="AR4900" s="118">
        <v>2190000</v>
      </c>
      <c r="AS4900" s="119"/>
      <c r="AT4900" s="118">
        <f t="shared" ref="AT4900" si="5756">AR4900*0.1</f>
        <v>219000</v>
      </c>
      <c r="AU4900" s="119"/>
      <c r="AV4900" s="118">
        <v>8600</v>
      </c>
      <c r="AW4900" s="119"/>
      <c r="AX4900" s="118">
        <f t="shared" ref="AX4900" si="5757">SUM(AR4900:AW4900)</f>
        <v>2417600</v>
      </c>
      <c r="AY4900" s="119"/>
      <c r="AZ4900" s="137">
        <v>46056</v>
      </c>
    </row>
    <row r="4901" spans="1:52" ht="17.100000000000001" customHeight="1" thickBot="1">
      <c r="A4901" s="110"/>
      <c r="B4901" s="27" t="s">
        <v>1718</v>
      </c>
      <c r="C4901" s="27" t="s">
        <v>14657</v>
      </c>
      <c r="D4901" s="14" t="s">
        <v>2601</v>
      </c>
      <c r="E4901" s="112"/>
      <c r="F4901" s="139" t="s">
        <v>14659</v>
      </c>
      <c r="G4901" s="140"/>
      <c r="H4901" s="141"/>
      <c r="I4901" s="26">
        <v>18927</v>
      </c>
      <c r="J4901" s="117"/>
      <c r="K4901" s="120"/>
      <c r="L4901" s="121"/>
      <c r="M4901" s="120"/>
      <c r="N4901" s="121"/>
      <c r="O4901" s="120"/>
      <c r="P4901" s="121"/>
      <c r="Q4901" s="120"/>
      <c r="R4901" s="121"/>
      <c r="S4901" s="120"/>
      <c r="T4901" s="121"/>
      <c r="U4901" s="120"/>
      <c r="V4901" s="123"/>
      <c r="W4901" s="125"/>
      <c r="X4901" s="142" t="s">
        <v>15028</v>
      </c>
      <c r="Y4901" s="143"/>
      <c r="Z4901" s="143"/>
      <c r="AA4901" s="143"/>
      <c r="AB4901" s="144"/>
      <c r="AC4901" s="16" t="s">
        <v>21</v>
      </c>
      <c r="AD4901" s="17" t="s">
        <v>15026</v>
      </c>
      <c r="AE4901" s="145" t="s">
        <v>2395</v>
      </c>
      <c r="AF4901" s="146"/>
      <c r="AG4901" s="146"/>
      <c r="AH4901" s="146"/>
      <c r="AI4901" s="147"/>
      <c r="AJ4901" s="148"/>
      <c r="AK4901" s="143"/>
      <c r="AL4901" s="144"/>
      <c r="AM4901" s="22"/>
      <c r="AN4901" s="149" t="s">
        <v>2511</v>
      </c>
      <c r="AO4901" s="144"/>
      <c r="AP4901" s="148">
        <v>37239</v>
      </c>
      <c r="AQ4901" s="144"/>
      <c r="AR4901" s="120"/>
      <c r="AS4901" s="121"/>
      <c r="AT4901" s="120"/>
      <c r="AU4901" s="121"/>
      <c r="AV4901" s="120"/>
      <c r="AW4901" s="121"/>
      <c r="AX4901" s="120"/>
      <c r="AY4901" s="121"/>
      <c r="AZ4901" s="138"/>
    </row>
    <row r="4902" spans="1:52" ht="17.100000000000001" customHeight="1" thickTop="1">
      <c r="A4902" s="109" t="s">
        <v>14674</v>
      </c>
      <c r="B4902" s="28">
        <v>46031</v>
      </c>
      <c r="C4902" s="25"/>
      <c r="D4902" s="13" t="s">
        <v>2681</v>
      </c>
      <c r="E4902" s="111"/>
      <c r="F4902" s="113" t="s">
        <v>12492</v>
      </c>
      <c r="G4902" s="114"/>
      <c r="H4902" s="115"/>
      <c r="I4902" s="24" t="s">
        <v>14663</v>
      </c>
      <c r="J4902" s="116">
        <v>4.5</v>
      </c>
      <c r="K4902" s="118">
        <f>1358500/1.1</f>
        <v>1235000</v>
      </c>
      <c r="L4902" s="119"/>
      <c r="M4902" s="118">
        <f t="shared" ref="M4902" si="5758">K4902*0.1</f>
        <v>123500</v>
      </c>
      <c r="N4902" s="119"/>
      <c r="O4902" s="118">
        <v>0</v>
      </c>
      <c r="P4902" s="119"/>
      <c r="Q4902" s="118">
        <v>6830</v>
      </c>
      <c r="R4902" s="119"/>
      <c r="S4902" s="118">
        <v>0</v>
      </c>
      <c r="T4902" s="119"/>
      <c r="U4902" s="118">
        <f t="shared" ref="U4902" si="5759">SUM(K4902:T4903)</f>
        <v>1365330</v>
      </c>
      <c r="V4902" s="122"/>
      <c r="W4902" s="124"/>
      <c r="X4902" s="126" t="s">
        <v>14994</v>
      </c>
      <c r="Y4902" s="127"/>
      <c r="Z4902" s="127"/>
      <c r="AA4902" s="127"/>
      <c r="AB4902" s="128"/>
      <c r="AC4902" s="15" t="s">
        <v>20</v>
      </c>
      <c r="AD4902" s="129" t="s">
        <v>1605</v>
      </c>
      <c r="AE4902" s="130"/>
      <c r="AF4902" s="130"/>
      <c r="AG4902" s="130"/>
      <c r="AH4902" s="130"/>
      <c r="AI4902" s="131"/>
      <c r="AJ4902" s="132"/>
      <c r="AK4902" s="127"/>
      <c r="AL4902" s="128"/>
      <c r="AM4902" s="21"/>
      <c r="AN4902" s="133">
        <v>46049</v>
      </c>
      <c r="AO4902" s="134"/>
      <c r="AP4902" s="135">
        <v>1926</v>
      </c>
      <c r="AQ4902" s="136"/>
      <c r="AR4902" s="118">
        <v>1438000</v>
      </c>
      <c r="AS4902" s="119"/>
      <c r="AT4902" s="118">
        <f t="shared" ref="AT4902" si="5760">AR4902*0.1</f>
        <v>143800</v>
      </c>
      <c r="AU4902" s="119"/>
      <c r="AV4902" s="118">
        <v>6830</v>
      </c>
      <c r="AW4902" s="119"/>
      <c r="AX4902" s="118">
        <f t="shared" ref="AX4902" si="5761">SUM(AR4902:AW4902)</f>
        <v>1588630</v>
      </c>
      <c r="AY4902" s="119"/>
      <c r="AZ4902" s="137"/>
    </row>
    <row r="4903" spans="1:52" ht="17.100000000000001" customHeight="1" thickBot="1">
      <c r="A4903" s="110"/>
      <c r="B4903" s="27" t="s">
        <v>1718</v>
      </c>
      <c r="C4903" s="27" t="s">
        <v>14661</v>
      </c>
      <c r="D4903" s="14" t="s">
        <v>1812</v>
      </c>
      <c r="E4903" s="112"/>
      <c r="F4903" s="139" t="s">
        <v>14662</v>
      </c>
      <c r="G4903" s="140"/>
      <c r="H4903" s="141"/>
      <c r="I4903" s="26">
        <v>40381</v>
      </c>
      <c r="J4903" s="117"/>
      <c r="K4903" s="120"/>
      <c r="L4903" s="121"/>
      <c r="M4903" s="120"/>
      <c r="N4903" s="121"/>
      <c r="O4903" s="120"/>
      <c r="P4903" s="121"/>
      <c r="Q4903" s="120"/>
      <c r="R4903" s="121"/>
      <c r="S4903" s="120"/>
      <c r="T4903" s="121"/>
      <c r="U4903" s="120"/>
      <c r="V4903" s="123"/>
      <c r="W4903" s="125"/>
      <c r="X4903" s="142" t="s">
        <v>14995</v>
      </c>
      <c r="Y4903" s="143"/>
      <c r="Z4903" s="143"/>
      <c r="AA4903" s="143"/>
      <c r="AB4903" s="144"/>
      <c r="AC4903" s="16" t="s">
        <v>21</v>
      </c>
      <c r="AD4903" s="17" t="s">
        <v>1815</v>
      </c>
      <c r="AE4903" s="145" t="s">
        <v>14996</v>
      </c>
      <c r="AF4903" s="146"/>
      <c r="AG4903" s="146"/>
      <c r="AH4903" s="146"/>
      <c r="AI4903" s="147"/>
      <c r="AJ4903" s="148"/>
      <c r="AK4903" s="143"/>
      <c r="AL4903" s="144"/>
      <c r="AM4903" s="22"/>
      <c r="AN4903" s="149" t="s">
        <v>2131</v>
      </c>
      <c r="AO4903" s="144"/>
      <c r="AP4903" s="148">
        <v>3269</v>
      </c>
      <c r="AQ4903" s="144"/>
      <c r="AR4903" s="120"/>
      <c r="AS4903" s="121"/>
      <c r="AT4903" s="120"/>
      <c r="AU4903" s="121"/>
      <c r="AV4903" s="120"/>
      <c r="AW4903" s="121"/>
      <c r="AX4903" s="120"/>
      <c r="AY4903" s="121"/>
      <c r="AZ4903" s="138"/>
    </row>
    <row r="4904" spans="1:52" ht="17.100000000000001" customHeight="1" thickTop="1">
      <c r="A4904" s="109" t="s">
        <v>14675</v>
      </c>
      <c r="B4904" s="28">
        <v>46031</v>
      </c>
      <c r="C4904" s="25"/>
      <c r="D4904" s="13" t="s">
        <v>2508</v>
      </c>
      <c r="E4904" s="111"/>
      <c r="F4904" s="113" t="s">
        <v>4363</v>
      </c>
      <c r="G4904" s="114"/>
      <c r="H4904" s="115"/>
      <c r="I4904" s="24" t="s">
        <v>3811</v>
      </c>
      <c r="J4904" s="116">
        <v>4.5</v>
      </c>
      <c r="K4904" s="118">
        <f>4152500/1.1</f>
        <v>3774999.9999999995</v>
      </c>
      <c r="L4904" s="119"/>
      <c r="M4904" s="118">
        <f t="shared" ref="M4904" si="5762">K4904*0.1</f>
        <v>377500</v>
      </c>
      <c r="N4904" s="119"/>
      <c r="O4904" s="118">
        <v>2600</v>
      </c>
      <c r="P4904" s="119"/>
      <c r="Q4904" s="118">
        <v>11570</v>
      </c>
      <c r="R4904" s="119"/>
      <c r="S4904" s="118">
        <v>0</v>
      </c>
      <c r="T4904" s="119"/>
      <c r="U4904" s="118">
        <f t="shared" ref="U4904" si="5763">SUM(K4904:T4905)</f>
        <v>4166669.9999999995</v>
      </c>
      <c r="V4904" s="122"/>
      <c r="W4904" s="124"/>
      <c r="X4904" s="126" t="s">
        <v>16606</v>
      </c>
      <c r="Y4904" s="127"/>
      <c r="Z4904" s="127"/>
      <c r="AA4904" s="127"/>
      <c r="AB4904" s="128"/>
      <c r="AC4904" s="15" t="s">
        <v>20</v>
      </c>
      <c r="AD4904" s="129" t="s">
        <v>1945</v>
      </c>
      <c r="AE4904" s="130"/>
      <c r="AF4904" s="130"/>
      <c r="AG4904" s="130"/>
      <c r="AH4904" s="130"/>
      <c r="AI4904" s="131"/>
      <c r="AJ4904" s="132"/>
      <c r="AK4904" s="127"/>
      <c r="AL4904" s="128"/>
      <c r="AM4904" s="21"/>
      <c r="AN4904" s="133">
        <v>46050</v>
      </c>
      <c r="AO4904" s="134"/>
      <c r="AP4904" s="135">
        <v>1002</v>
      </c>
      <c r="AQ4904" s="136"/>
      <c r="AR4904" s="118">
        <v>3925000</v>
      </c>
      <c r="AS4904" s="119"/>
      <c r="AT4904" s="118">
        <f t="shared" ref="AT4904" si="5764">AR4904*0.1</f>
        <v>392500</v>
      </c>
      <c r="AU4904" s="119"/>
      <c r="AV4904" s="118">
        <v>11570</v>
      </c>
      <c r="AW4904" s="119"/>
      <c r="AX4904" s="118">
        <f t="shared" ref="AX4904" si="5765">SUM(AR4904:AW4904)</f>
        <v>4329070</v>
      </c>
      <c r="AY4904" s="119"/>
      <c r="AZ4904" s="137">
        <v>46055</v>
      </c>
    </row>
    <row r="4905" spans="1:52" ht="17.100000000000001" customHeight="1" thickBot="1">
      <c r="A4905" s="110"/>
      <c r="B4905" s="27" t="s">
        <v>1718</v>
      </c>
      <c r="C4905" s="27" t="s">
        <v>14664</v>
      </c>
      <c r="D4905" s="14" t="s">
        <v>2601</v>
      </c>
      <c r="E4905" s="112"/>
      <c r="F4905" s="139" t="s">
        <v>14665</v>
      </c>
      <c r="G4905" s="140"/>
      <c r="H4905" s="141"/>
      <c r="I4905" s="26">
        <v>21384</v>
      </c>
      <c r="J4905" s="117"/>
      <c r="K4905" s="120"/>
      <c r="L4905" s="121"/>
      <c r="M4905" s="120"/>
      <c r="N4905" s="121"/>
      <c r="O4905" s="120"/>
      <c r="P4905" s="121"/>
      <c r="Q4905" s="120"/>
      <c r="R4905" s="121"/>
      <c r="S4905" s="120"/>
      <c r="T4905" s="121"/>
      <c r="U4905" s="120"/>
      <c r="V4905" s="123"/>
      <c r="W4905" s="125"/>
      <c r="X4905" s="142" t="s">
        <v>16607</v>
      </c>
      <c r="Y4905" s="143"/>
      <c r="Z4905" s="143"/>
      <c r="AA4905" s="143"/>
      <c r="AB4905" s="144"/>
      <c r="AC4905" s="16" t="s">
        <v>21</v>
      </c>
      <c r="AD4905" s="17" t="s">
        <v>3980</v>
      </c>
      <c r="AE4905" s="145" t="s">
        <v>16608</v>
      </c>
      <c r="AF4905" s="146"/>
      <c r="AG4905" s="146"/>
      <c r="AH4905" s="146"/>
      <c r="AI4905" s="147"/>
      <c r="AJ4905" s="148"/>
      <c r="AK4905" s="143"/>
      <c r="AL4905" s="144"/>
      <c r="AM4905" s="22"/>
      <c r="AN4905" s="149" t="s">
        <v>2794</v>
      </c>
      <c r="AO4905" s="144"/>
      <c r="AP4905" s="148">
        <v>8014</v>
      </c>
      <c r="AQ4905" s="144"/>
      <c r="AR4905" s="120"/>
      <c r="AS4905" s="121"/>
      <c r="AT4905" s="120"/>
      <c r="AU4905" s="121"/>
      <c r="AV4905" s="120"/>
      <c r="AW4905" s="121"/>
      <c r="AX4905" s="120"/>
      <c r="AY4905" s="121"/>
      <c r="AZ4905" s="138"/>
    </row>
    <row r="4906" spans="1:52" ht="17.100000000000001" customHeight="1" thickTop="1">
      <c r="A4906" s="109" t="s">
        <v>14676</v>
      </c>
      <c r="B4906" s="28">
        <v>46031</v>
      </c>
      <c r="C4906" s="25">
        <v>1401</v>
      </c>
      <c r="D4906" s="13" t="s">
        <v>1786</v>
      </c>
      <c r="E4906" s="111"/>
      <c r="F4906" s="113" t="s">
        <v>5369</v>
      </c>
      <c r="G4906" s="114"/>
      <c r="H4906" s="115"/>
      <c r="I4906" s="24" t="s">
        <v>14681</v>
      </c>
      <c r="J4906" s="116">
        <v>4.5</v>
      </c>
      <c r="K4906" s="118">
        <v>700000</v>
      </c>
      <c r="L4906" s="119"/>
      <c r="M4906" s="118">
        <f t="shared" ref="M4906" si="5766">K4906*0.1</f>
        <v>70000</v>
      </c>
      <c r="N4906" s="119"/>
      <c r="O4906" s="118">
        <v>0</v>
      </c>
      <c r="P4906" s="119"/>
      <c r="Q4906" s="118">
        <v>6470</v>
      </c>
      <c r="R4906" s="119"/>
      <c r="S4906" s="118">
        <v>15400</v>
      </c>
      <c r="T4906" s="119"/>
      <c r="U4906" s="118">
        <f t="shared" ref="U4906" si="5767">SUM(K4906:T4907)</f>
        <v>791870</v>
      </c>
      <c r="V4906" s="122"/>
      <c r="W4906" s="124"/>
      <c r="X4906" s="126" t="s">
        <v>15020</v>
      </c>
      <c r="Y4906" s="127"/>
      <c r="Z4906" s="127"/>
      <c r="AA4906" s="127"/>
      <c r="AB4906" s="128"/>
      <c r="AC4906" s="15" t="s">
        <v>20</v>
      </c>
      <c r="AD4906" s="129" t="s">
        <v>1945</v>
      </c>
      <c r="AE4906" s="130"/>
      <c r="AF4906" s="130"/>
      <c r="AG4906" s="130"/>
      <c r="AH4906" s="130"/>
      <c r="AI4906" s="131"/>
      <c r="AJ4906" s="132"/>
      <c r="AK4906" s="127"/>
      <c r="AL4906" s="128"/>
      <c r="AM4906" s="21"/>
      <c r="AN4906" s="133">
        <v>46043</v>
      </c>
      <c r="AO4906" s="134"/>
      <c r="AP4906" s="135">
        <v>1001</v>
      </c>
      <c r="AQ4906" s="136"/>
      <c r="AR4906" s="118">
        <v>770000</v>
      </c>
      <c r="AS4906" s="119"/>
      <c r="AT4906" s="118">
        <f t="shared" ref="AT4906" si="5768">AR4906*0.1</f>
        <v>77000</v>
      </c>
      <c r="AU4906" s="119"/>
      <c r="AV4906" s="118">
        <v>6470</v>
      </c>
      <c r="AW4906" s="119"/>
      <c r="AX4906" s="118">
        <f t="shared" ref="AX4906" si="5769">SUM(AR4906:AW4906)</f>
        <v>853470</v>
      </c>
      <c r="AY4906" s="119"/>
      <c r="AZ4906" s="137">
        <v>46049</v>
      </c>
    </row>
    <row r="4907" spans="1:52" ht="17.100000000000001" customHeight="1" thickBot="1">
      <c r="A4907" s="110"/>
      <c r="B4907" s="27" t="s">
        <v>2641</v>
      </c>
      <c r="C4907" s="27">
        <v>3038</v>
      </c>
      <c r="D4907" s="14" t="s">
        <v>275</v>
      </c>
      <c r="E4907" s="112"/>
      <c r="F4907" s="139" t="s">
        <v>14680</v>
      </c>
      <c r="G4907" s="140"/>
      <c r="H4907" s="141"/>
      <c r="I4907" s="26">
        <v>13529</v>
      </c>
      <c r="J4907" s="117"/>
      <c r="K4907" s="120"/>
      <c r="L4907" s="121"/>
      <c r="M4907" s="120"/>
      <c r="N4907" s="121"/>
      <c r="O4907" s="120"/>
      <c r="P4907" s="121"/>
      <c r="Q4907" s="120"/>
      <c r="R4907" s="121"/>
      <c r="S4907" s="120"/>
      <c r="T4907" s="121"/>
      <c r="U4907" s="120"/>
      <c r="V4907" s="123"/>
      <c r="W4907" s="125"/>
      <c r="X4907" s="142" t="s">
        <v>2394</v>
      </c>
      <c r="Y4907" s="143"/>
      <c r="Z4907" s="143"/>
      <c r="AA4907" s="143"/>
      <c r="AB4907" s="144"/>
      <c r="AC4907" s="16" t="s">
        <v>21</v>
      </c>
      <c r="AD4907" s="17" t="s">
        <v>1815</v>
      </c>
      <c r="AE4907" s="145" t="s">
        <v>171</v>
      </c>
      <c r="AF4907" s="146"/>
      <c r="AG4907" s="146"/>
      <c r="AH4907" s="146"/>
      <c r="AI4907" s="147"/>
      <c r="AJ4907" s="148"/>
      <c r="AK4907" s="143"/>
      <c r="AL4907" s="144"/>
      <c r="AM4907" s="22"/>
      <c r="AN4907" s="149" t="s">
        <v>7285</v>
      </c>
      <c r="AO4907" s="144"/>
      <c r="AP4907" s="148">
        <v>2009</v>
      </c>
      <c r="AQ4907" s="144"/>
      <c r="AR4907" s="120"/>
      <c r="AS4907" s="121"/>
      <c r="AT4907" s="120"/>
      <c r="AU4907" s="121"/>
      <c r="AV4907" s="120"/>
      <c r="AW4907" s="121"/>
      <c r="AX4907" s="120"/>
      <c r="AY4907" s="121"/>
      <c r="AZ4907" s="138"/>
    </row>
    <row r="4908" spans="1:52" ht="17.100000000000001" customHeight="1" thickTop="1">
      <c r="A4908" s="109" t="s">
        <v>14677</v>
      </c>
      <c r="B4908" s="28">
        <v>46031</v>
      </c>
      <c r="C4908" s="25">
        <v>1401</v>
      </c>
      <c r="D4908" s="13" t="s">
        <v>1758</v>
      </c>
      <c r="E4908" s="111"/>
      <c r="F4908" s="113" t="s">
        <v>14682</v>
      </c>
      <c r="G4908" s="114"/>
      <c r="H4908" s="115"/>
      <c r="I4908" s="24" t="s">
        <v>8874</v>
      </c>
      <c r="J4908" s="116">
        <v>4</v>
      </c>
      <c r="K4908" s="118">
        <v>574000</v>
      </c>
      <c r="L4908" s="119"/>
      <c r="M4908" s="118">
        <f t="shared" ref="M4908" si="5770">K4908*0.1</f>
        <v>57400</v>
      </c>
      <c r="N4908" s="119"/>
      <c r="O4908" s="118">
        <v>0</v>
      </c>
      <c r="P4908" s="119"/>
      <c r="Q4908" s="118">
        <v>8780</v>
      </c>
      <c r="R4908" s="119"/>
      <c r="S4908" s="118">
        <v>15400</v>
      </c>
      <c r="T4908" s="119"/>
      <c r="U4908" s="118">
        <f t="shared" ref="U4908" si="5771">SUM(K4908:T4909)</f>
        <v>655580</v>
      </c>
      <c r="V4908" s="122"/>
      <c r="W4908" s="124"/>
      <c r="X4908" s="126" t="s">
        <v>15035</v>
      </c>
      <c r="Y4908" s="127"/>
      <c r="Z4908" s="127"/>
      <c r="AA4908" s="127"/>
      <c r="AB4908" s="128"/>
      <c r="AC4908" s="15" t="s">
        <v>20</v>
      </c>
      <c r="AD4908" s="129" t="s">
        <v>14684</v>
      </c>
      <c r="AE4908" s="130"/>
      <c r="AF4908" s="130"/>
      <c r="AG4908" s="130"/>
      <c r="AH4908" s="130"/>
      <c r="AI4908" s="131"/>
      <c r="AJ4908" s="132"/>
      <c r="AK4908" s="127"/>
      <c r="AL4908" s="128"/>
      <c r="AM4908" s="21"/>
      <c r="AN4908" s="133">
        <v>46043</v>
      </c>
      <c r="AO4908" s="134"/>
      <c r="AP4908" s="135">
        <v>1001</v>
      </c>
      <c r="AQ4908" s="136"/>
      <c r="AR4908" s="118">
        <v>635000</v>
      </c>
      <c r="AS4908" s="119"/>
      <c r="AT4908" s="118">
        <f t="shared" ref="AT4908" si="5772">AR4908*0.1</f>
        <v>63500</v>
      </c>
      <c r="AU4908" s="119"/>
      <c r="AV4908" s="118">
        <v>8780</v>
      </c>
      <c r="AW4908" s="119"/>
      <c r="AX4908" s="118">
        <f t="shared" ref="AX4908" si="5773">SUM(AR4908:AW4908)</f>
        <v>707280</v>
      </c>
      <c r="AY4908" s="119"/>
      <c r="AZ4908" s="137">
        <v>46048</v>
      </c>
    </row>
    <row r="4909" spans="1:52" ht="17.100000000000001" customHeight="1" thickBot="1">
      <c r="A4909" s="110"/>
      <c r="B4909" s="27" t="s">
        <v>2641</v>
      </c>
      <c r="C4909" s="27">
        <v>3084</v>
      </c>
      <c r="D4909" s="14" t="s">
        <v>2040</v>
      </c>
      <c r="E4909" s="112"/>
      <c r="F4909" s="139" t="s">
        <v>14683</v>
      </c>
      <c r="G4909" s="140"/>
      <c r="H4909" s="141"/>
      <c r="I4909" s="26">
        <v>51959</v>
      </c>
      <c r="J4909" s="117"/>
      <c r="K4909" s="120"/>
      <c r="L4909" s="121"/>
      <c r="M4909" s="120"/>
      <c r="N4909" s="121"/>
      <c r="O4909" s="120"/>
      <c r="P4909" s="121"/>
      <c r="Q4909" s="120"/>
      <c r="R4909" s="121"/>
      <c r="S4909" s="120"/>
      <c r="T4909" s="121"/>
      <c r="U4909" s="120"/>
      <c r="V4909" s="123"/>
      <c r="W4909" s="125"/>
      <c r="X4909" s="142" t="s">
        <v>15036</v>
      </c>
      <c r="Y4909" s="143"/>
      <c r="Z4909" s="143"/>
      <c r="AA4909" s="143"/>
      <c r="AB4909" s="144"/>
      <c r="AC4909" s="16" t="s">
        <v>21</v>
      </c>
      <c r="AD4909" s="17" t="s">
        <v>15026</v>
      </c>
      <c r="AE4909" s="145" t="s">
        <v>15037</v>
      </c>
      <c r="AF4909" s="146"/>
      <c r="AG4909" s="146"/>
      <c r="AH4909" s="146"/>
      <c r="AI4909" s="147"/>
      <c r="AJ4909" s="148"/>
      <c r="AK4909" s="143"/>
      <c r="AL4909" s="144"/>
      <c r="AM4909" s="22"/>
      <c r="AN4909" s="149" t="s">
        <v>2794</v>
      </c>
      <c r="AO4909" s="144"/>
      <c r="AP4909" s="148">
        <v>2024</v>
      </c>
      <c r="AQ4909" s="144"/>
      <c r="AR4909" s="120"/>
      <c r="AS4909" s="121"/>
      <c r="AT4909" s="120"/>
      <c r="AU4909" s="121"/>
      <c r="AV4909" s="120"/>
      <c r="AW4909" s="121"/>
      <c r="AX4909" s="120"/>
      <c r="AY4909" s="121"/>
      <c r="AZ4909" s="138"/>
    </row>
    <row r="4910" spans="1:52" ht="17.100000000000001" customHeight="1" thickTop="1">
      <c r="A4910" s="109" t="s">
        <v>14678</v>
      </c>
      <c r="B4910" s="28">
        <v>46031</v>
      </c>
      <c r="C4910" s="25">
        <v>1401</v>
      </c>
      <c r="D4910" s="13" t="s">
        <v>1714</v>
      </c>
      <c r="E4910" s="111"/>
      <c r="F4910" s="113" t="s">
        <v>14685</v>
      </c>
      <c r="G4910" s="114"/>
      <c r="H4910" s="115"/>
      <c r="I4910" s="24" t="s">
        <v>8219</v>
      </c>
      <c r="J4910" s="116">
        <v>4.5</v>
      </c>
      <c r="K4910" s="118">
        <v>1053000</v>
      </c>
      <c r="L4910" s="119"/>
      <c r="M4910" s="118">
        <f t="shared" ref="M4910" si="5774">K4910*0.1</f>
        <v>105300</v>
      </c>
      <c r="N4910" s="119"/>
      <c r="O4910" s="118">
        <v>0</v>
      </c>
      <c r="P4910" s="119"/>
      <c r="Q4910" s="118">
        <v>9140</v>
      </c>
      <c r="R4910" s="119"/>
      <c r="S4910" s="118">
        <v>15400</v>
      </c>
      <c r="T4910" s="119"/>
      <c r="U4910" s="118">
        <f t="shared" ref="U4910" si="5775">SUM(K4910:T4911)</f>
        <v>1182840</v>
      </c>
      <c r="V4910" s="122"/>
      <c r="W4910" s="124"/>
      <c r="X4910" s="126" t="s">
        <v>15022</v>
      </c>
      <c r="Y4910" s="127"/>
      <c r="Z4910" s="127"/>
      <c r="AA4910" s="127"/>
      <c r="AB4910" s="128"/>
      <c r="AC4910" s="15" t="s">
        <v>20</v>
      </c>
      <c r="AD4910" s="129"/>
      <c r="AE4910" s="130"/>
      <c r="AF4910" s="130"/>
      <c r="AG4910" s="130"/>
      <c r="AH4910" s="130"/>
      <c r="AI4910" s="131"/>
      <c r="AJ4910" s="132"/>
      <c r="AK4910" s="127"/>
      <c r="AL4910" s="128"/>
      <c r="AM4910" s="21"/>
      <c r="AN4910" s="133">
        <v>46043</v>
      </c>
      <c r="AO4910" s="134"/>
      <c r="AP4910" s="135">
        <v>1001</v>
      </c>
      <c r="AQ4910" s="136"/>
      <c r="AR4910" s="118">
        <v>1150000</v>
      </c>
      <c r="AS4910" s="119"/>
      <c r="AT4910" s="118">
        <f t="shared" ref="AT4910" si="5776">AR4910*0.1</f>
        <v>115000</v>
      </c>
      <c r="AU4910" s="119"/>
      <c r="AV4910" s="118">
        <v>9140</v>
      </c>
      <c r="AW4910" s="119"/>
      <c r="AX4910" s="118">
        <f t="shared" ref="AX4910" si="5777">SUM(AR4910:AW4910)</f>
        <v>1274140</v>
      </c>
      <c r="AY4910" s="119"/>
      <c r="AZ4910" s="137">
        <v>46048</v>
      </c>
    </row>
    <row r="4911" spans="1:52" ht="17.100000000000001" customHeight="1" thickBot="1">
      <c r="A4911" s="110"/>
      <c r="B4911" s="27" t="s">
        <v>2641</v>
      </c>
      <c r="C4911" s="27">
        <v>7019</v>
      </c>
      <c r="D4911" s="14" t="s">
        <v>2601</v>
      </c>
      <c r="E4911" s="112"/>
      <c r="F4911" s="139" t="s">
        <v>14686</v>
      </c>
      <c r="G4911" s="140"/>
      <c r="H4911" s="141"/>
      <c r="I4911" s="26">
        <v>56115</v>
      </c>
      <c r="J4911" s="117"/>
      <c r="K4911" s="120"/>
      <c r="L4911" s="121"/>
      <c r="M4911" s="120"/>
      <c r="N4911" s="121"/>
      <c r="O4911" s="120"/>
      <c r="P4911" s="121"/>
      <c r="Q4911" s="120"/>
      <c r="R4911" s="121"/>
      <c r="S4911" s="120"/>
      <c r="T4911" s="121"/>
      <c r="U4911" s="120"/>
      <c r="V4911" s="123"/>
      <c r="W4911" s="125"/>
      <c r="X4911" s="142" t="s">
        <v>15023</v>
      </c>
      <c r="Y4911" s="143"/>
      <c r="Z4911" s="143"/>
      <c r="AA4911" s="143"/>
      <c r="AB4911" s="144"/>
      <c r="AC4911" s="16" t="s">
        <v>21</v>
      </c>
      <c r="AD4911" s="17" t="s">
        <v>1815</v>
      </c>
      <c r="AE4911" s="145" t="s">
        <v>8250</v>
      </c>
      <c r="AF4911" s="146"/>
      <c r="AG4911" s="146"/>
      <c r="AH4911" s="146"/>
      <c r="AI4911" s="147"/>
      <c r="AJ4911" s="148"/>
      <c r="AK4911" s="143"/>
      <c r="AL4911" s="144"/>
      <c r="AM4911" s="22"/>
      <c r="AN4911" s="149" t="s">
        <v>9053</v>
      </c>
      <c r="AO4911" s="144"/>
      <c r="AP4911" s="148">
        <v>2042</v>
      </c>
      <c r="AQ4911" s="144"/>
      <c r="AR4911" s="120"/>
      <c r="AS4911" s="121"/>
      <c r="AT4911" s="120"/>
      <c r="AU4911" s="121"/>
      <c r="AV4911" s="120"/>
      <c r="AW4911" s="121"/>
      <c r="AX4911" s="120"/>
      <c r="AY4911" s="121"/>
      <c r="AZ4911" s="138"/>
    </row>
    <row r="4912" spans="1:52" ht="17.100000000000001" customHeight="1" thickTop="1">
      <c r="A4912" s="109" t="s">
        <v>14679</v>
      </c>
      <c r="B4912" s="28">
        <v>46031</v>
      </c>
      <c r="C4912" s="25">
        <v>1401</v>
      </c>
      <c r="D4912" s="13" t="s">
        <v>1863</v>
      </c>
      <c r="E4912" s="111"/>
      <c r="F4912" s="113" t="s">
        <v>8153</v>
      </c>
      <c r="G4912" s="114"/>
      <c r="H4912" s="115"/>
      <c r="I4912" s="24"/>
      <c r="J4912" s="116">
        <v>4</v>
      </c>
      <c r="K4912" s="118">
        <v>411000</v>
      </c>
      <c r="L4912" s="119"/>
      <c r="M4912" s="118">
        <f t="shared" ref="M4912" si="5778">K4912*0.1</f>
        <v>41100</v>
      </c>
      <c r="N4912" s="119"/>
      <c r="O4912" s="118">
        <v>0</v>
      </c>
      <c r="P4912" s="119"/>
      <c r="Q4912" s="118">
        <v>8850</v>
      </c>
      <c r="R4912" s="119"/>
      <c r="S4912" s="118">
        <v>15400</v>
      </c>
      <c r="T4912" s="119"/>
      <c r="U4912" s="118">
        <f t="shared" ref="U4912" si="5779">SUM(K4912:T4913)</f>
        <v>476350</v>
      </c>
      <c r="V4912" s="122"/>
      <c r="W4912" s="124"/>
      <c r="X4912" s="126" t="s">
        <v>15021</v>
      </c>
      <c r="Y4912" s="127"/>
      <c r="Z4912" s="127"/>
      <c r="AA4912" s="127"/>
      <c r="AB4912" s="128"/>
      <c r="AC4912" s="15" t="s">
        <v>20</v>
      </c>
      <c r="AD4912" s="129"/>
      <c r="AE4912" s="130"/>
      <c r="AF4912" s="130"/>
      <c r="AG4912" s="130"/>
      <c r="AH4912" s="130"/>
      <c r="AI4912" s="131"/>
      <c r="AJ4912" s="132"/>
      <c r="AK4912" s="127"/>
      <c r="AL4912" s="128"/>
      <c r="AM4912" s="21"/>
      <c r="AN4912" s="133">
        <v>46057</v>
      </c>
      <c r="AO4912" s="134"/>
      <c r="AP4912" s="135">
        <v>1003</v>
      </c>
      <c r="AQ4912" s="136"/>
      <c r="AR4912" s="118">
        <v>465000</v>
      </c>
      <c r="AS4912" s="119"/>
      <c r="AT4912" s="118">
        <f t="shared" ref="AT4912" si="5780">AR4912*0.1</f>
        <v>46500</v>
      </c>
      <c r="AU4912" s="119"/>
      <c r="AV4912" s="118">
        <v>8850</v>
      </c>
      <c r="AW4912" s="119"/>
      <c r="AX4912" s="118">
        <f t="shared" ref="AX4912" si="5781">SUM(AR4912:AW4912)</f>
        <v>520350</v>
      </c>
      <c r="AY4912" s="119"/>
      <c r="AZ4912" s="137">
        <v>46062</v>
      </c>
    </row>
    <row r="4913" spans="1:52" ht="17.100000000000001" customHeight="1" thickBot="1">
      <c r="A4913" s="110"/>
      <c r="B4913" s="27" t="s">
        <v>2641</v>
      </c>
      <c r="C4913" s="27">
        <v>7158</v>
      </c>
      <c r="D4913" s="14" t="s">
        <v>1576</v>
      </c>
      <c r="E4913" s="112"/>
      <c r="F4913" s="139" t="s">
        <v>14687</v>
      </c>
      <c r="G4913" s="140"/>
      <c r="H4913" s="141"/>
      <c r="I4913" s="26">
        <v>37465</v>
      </c>
      <c r="J4913" s="117"/>
      <c r="K4913" s="120"/>
      <c r="L4913" s="121"/>
      <c r="M4913" s="120"/>
      <c r="N4913" s="121"/>
      <c r="O4913" s="120"/>
      <c r="P4913" s="121"/>
      <c r="Q4913" s="120"/>
      <c r="R4913" s="121"/>
      <c r="S4913" s="120"/>
      <c r="T4913" s="121"/>
      <c r="U4913" s="120"/>
      <c r="V4913" s="123"/>
      <c r="W4913" s="125"/>
      <c r="X4913" s="142" t="s">
        <v>3300</v>
      </c>
      <c r="Y4913" s="143"/>
      <c r="Z4913" s="143"/>
      <c r="AA4913" s="143"/>
      <c r="AB4913" s="144"/>
      <c r="AC4913" s="16" t="s">
        <v>21</v>
      </c>
      <c r="AD4913" s="17" t="s">
        <v>1815</v>
      </c>
      <c r="AE4913" s="145"/>
      <c r="AF4913" s="146"/>
      <c r="AG4913" s="146"/>
      <c r="AH4913" s="146"/>
      <c r="AI4913" s="147"/>
      <c r="AJ4913" s="148"/>
      <c r="AK4913" s="143"/>
      <c r="AL4913" s="144"/>
      <c r="AM4913" s="22"/>
      <c r="AN4913" s="149" t="s">
        <v>2794</v>
      </c>
      <c r="AO4913" s="144"/>
      <c r="AP4913" s="148">
        <v>2013</v>
      </c>
      <c r="AQ4913" s="144"/>
      <c r="AR4913" s="120"/>
      <c r="AS4913" s="121"/>
      <c r="AT4913" s="120"/>
      <c r="AU4913" s="121"/>
      <c r="AV4913" s="120"/>
      <c r="AW4913" s="121"/>
      <c r="AX4913" s="120"/>
      <c r="AY4913" s="121"/>
      <c r="AZ4913" s="138"/>
    </row>
    <row r="4914" spans="1:52" ht="17.100000000000001" customHeight="1" thickTop="1">
      <c r="A4914" s="151" t="s">
        <v>14754</v>
      </c>
      <c r="B4914" s="28">
        <v>46032</v>
      </c>
      <c r="C4914" s="25">
        <v>294</v>
      </c>
      <c r="D4914" s="13" t="s">
        <v>2564</v>
      </c>
      <c r="E4914" s="111"/>
      <c r="F4914" s="113" t="s">
        <v>14700</v>
      </c>
      <c r="G4914" s="114"/>
      <c r="H4914" s="115"/>
      <c r="I4914" s="24"/>
      <c r="J4914" s="116">
        <v>4</v>
      </c>
      <c r="K4914" s="118">
        <v>602000</v>
      </c>
      <c r="L4914" s="119"/>
      <c r="M4914" s="118">
        <f t="shared" ref="M4914" si="5782">K4914*0.1</f>
        <v>60200</v>
      </c>
      <c r="N4914" s="119"/>
      <c r="O4914" s="118">
        <v>0</v>
      </c>
      <c r="P4914" s="119"/>
      <c r="Q4914" s="118">
        <v>14340</v>
      </c>
      <c r="R4914" s="119"/>
      <c r="S4914" s="118">
        <v>15950</v>
      </c>
      <c r="T4914" s="119"/>
      <c r="U4914" s="118">
        <f t="shared" ref="U4914" si="5783">SUM(K4914:T4915)</f>
        <v>692490</v>
      </c>
      <c r="V4914" s="122"/>
      <c r="W4914" s="124"/>
      <c r="X4914" s="126" t="s">
        <v>14997</v>
      </c>
      <c r="Y4914" s="127"/>
      <c r="Z4914" s="127"/>
      <c r="AA4914" s="127"/>
      <c r="AB4914" s="128"/>
      <c r="AC4914" s="15" t="s">
        <v>20</v>
      </c>
      <c r="AD4914" s="129"/>
      <c r="AE4914" s="130"/>
      <c r="AF4914" s="130"/>
      <c r="AG4914" s="130"/>
      <c r="AH4914" s="130"/>
      <c r="AI4914" s="131"/>
      <c r="AJ4914" s="132"/>
      <c r="AK4914" s="127"/>
      <c r="AL4914" s="128"/>
      <c r="AM4914" s="21"/>
      <c r="AN4914" s="133">
        <v>46039</v>
      </c>
      <c r="AO4914" s="134"/>
      <c r="AP4914" s="135">
        <v>1284</v>
      </c>
      <c r="AQ4914" s="136"/>
      <c r="AR4914" s="118">
        <v>755000</v>
      </c>
      <c r="AS4914" s="119"/>
      <c r="AT4914" s="118">
        <f t="shared" ref="AT4914" si="5784">AR4914*0.1</f>
        <v>75500</v>
      </c>
      <c r="AU4914" s="119"/>
      <c r="AV4914" s="118">
        <v>14340</v>
      </c>
      <c r="AW4914" s="119"/>
      <c r="AX4914" s="118">
        <f t="shared" ref="AX4914" si="5785">SUM(AR4914:AW4914)</f>
        <v>844840</v>
      </c>
      <c r="AY4914" s="119"/>
      <c r="AZ4914" s="137">
        <v>46042</v>
      </c>
    </row>
    <row r="4915" spans="1:52" ht="17.100000000000001" customHeight="1" thickBot="1">
      <c r="A4915" s="152"/>
      <c r="B4915" s="27" t="s">
        <v>3574</v>
      </c>
      <c r="C4915" s="27">
        <v>424</v>
      </c>
      <c r="D4915" s="14" t="s">
        <v>275</v>
      </c>
      <c r="E4915" s="112"/>
      <c r="F4915" s="139" t="s">
        <v>14701</v>
      </c>
      <c r="G4915" s="140"/>
      <c r="H4915" s="141"/>
      <c r="I4915" s="26">
        <v>106262</v>
      </c>
      <c r="J4915" s="117"/>
      <c r="K4915" s="120"/>
      <c r="L4915" s="121"/>
      <c r="M4915" s="120"/>
      <c r="N4915" s="121"/>
      <c r="O4915" s="120"/>
      <c r="P4915" s="121"/>
      <c r="Q4915" s="120"/>
      <c r="R4915" s="121"/>
      <c r="S4915" s="120"/>
      <c r="T4915" s="121"/>
      <c r="U4915" s="120"/>
      <c r="V4915" s="123"/>
      <c r="W4915" s="125"/>
      <c r="X4915" s="142" t="s">
        <v>14998</v>
      </c>
      <c r="Y4915" s="143"/>
      <c r="Z4915" s="143"/>
      <c r="AA4915" s="143"/>
      <c r="AB4915" s="144"/>
      <c r="AC4915" s="16" t="s">
        <v>21</v>
      </c>
      <c r="AD4915" s="17" t="s">
        <v>1815</v>
      </c>
      <c r="AE4915" s="145" t="s">
        <v>3796</v>
      </c>
      <c r="AF4915" s="146"/>
      <c r="AG4915" s="146"/>
      <c r="AH4915" s="146"/>
      <c r="AI4915" s="147"/>
      <c r="AJ4915" s="148"/>
      <c r="AK4915" s="143"/>
      <c r="AL4915" s="144"/>
      <c r="AM4915" s="22"/>
      <c r="AN4915" s="149" t="s">
        <v>2511</v>
      </c>
      <c r="AO4915" s="144"/>
      <c r="AP4915" s="148">
        <v>74</v>
      </c>
      <c r="AQ4915" s="144"/>
      <c r="AR4915" s="120"/>
      <c r="AS4915" s="121"/>
      <c r="AT4915" s="120"/>
      <c r="AU4915" s="121"/>
      <c r="AV4915" s="120"/>
      <c r="AW4915" s="121"/>
      <c r="AX4915" s="120"/>
      <c r="AY4915" s="121"/>
      <c r="AZ4915" s="138"/>
    </row>
    <row r="4916" spans="1:52" ht="17.100000000000001" customHeight="1" thickTop="1">
      <c r="A4916" s="151" t="s">
        <v>14755</v>
      </c>
      <c r="B4916" s="28">
        <v>46032</v>
      </c>
      <c r="C4916" s="25">
        <v>294</v>
      </c>
      <c r="D4916" s="13" t="s">
        <v>1675</v>
      </c>
      <c r="E4916" s="111"/>
      <c r="F4916" s="113" t="s">
        <v>14738</v>
      </c>
      <c r="G4916" s="114"/>
      <c r="H4916" s="115"/>
      <c r="I4916" s="24"/>
      <c r="J4916" s="116">
        <v>4</v>
      </c>
      <c r="K4916" s="118">
        <v>1145000</v>
      </c>
      <c r="L4916" s="119"/>
      <c r="M4916" s="118">
        <f t="shared" ref="M4916" si="5786">K4916*0.1</f>
        <v>114500</v>
      </c>
      <c r="N4916" s="119"/>
      <c r="O4916" s="118">
        <v>0</v>
      </c>
      <c r="P4916" s="119"/>
      <c r="Q4916" s="118">
        <v>12470</v>
      </c>
      <c r="R4916" s="119"/>
      <c r="S4916" s="118">
        <v>17050</v>
      </c>
      <c r="T4916" s="119"/>
      <c r="U4916" s="118">
        <f t="shared" ref="U4916" si="5787">SUM(K4916:T4917)</f>
        <v>1289020</v>
      </c>
      <c r="V4916" s="122"/>
      <c r="W4916" s="124"/>
      <c r="X4916" s="126" t="s">
        <v>15326</v>
      </c>
      <c r="Y4916" s="127"/>
      <c r="Z4916" s="127"/>
      <c r="AA4916" s="127"/>
      <c r="AB4916" s="128"/>
      <c r="AC4916" s="15" t="s">
        <v>20</v>
      </c>
      <c r="AD4916" s="129"/>
      <c r="AE4916" s="130"/>
      <c r="AF4916" s="130"/>
      <c r="AG4916" s="130"/>
      <c r="AH4916" s="130"/>
      <c r="AI4916" s="131"/>
      <c r="AJ4916" s="132"/>
      <c r="AK4916" s="127"/>
      <c r="AL4916" s="128"/>
      <c r="AM4916" s="21"/>
      <c r="AN4916" s="133">
        <v>46039</v>
      </c>
      <c r="AO4916" s="134"/>
      <c r="AP4916" s="135">
        <v>1284</v>
      </c>
      <c r="AQ4916" s="136"/>
      <c r="AR4916" s="118">
        <v>1330000</v>
      </c>
      <c r="AS4916" s="119"/>
      <c r="AT4916" s="118">
        <f t="shared" ref="AT4916" si="5788">AR4916*0.1</f>
        <v>133000</v>
      </c>
      <c r="AU4916" s="119"/>
      <c r="AV4916" s="118">
        <v>12470</v>
      </c>
      <c r="AW4916" s="119"/>
      <c r="AX4916" s="118">
        <f t="shared" ref="AX4916" si="5789">SUM(AR4916:AW4916)</f>
        <v>1475470</v>
      </c>
      <c r="AY4916" s="119"/>
      <c r="AZ4916" s="137">
        <v>46042</v>
      </c>
    </row>
    <row r="4917" spans="1:52" ht="17.100000000000001" customHeight="1" thickBot="1">
      <c r="A4917" s="152"/>
      <c r="B4917" s="27" t="s">
        <v>3574</v>
      </c>
      <c r="C4917" s="27">
        <v>2112</v>
      </c>
      <c r="D4917" s="14" t="s">
        <v>275</v>
      </c>
      <c r="E4917" s="112"/>
      <c r="F4917" s="139" t="s">
        <v>14739</v>
      </c>
      <c r="G4917" s="140"/>
      <c r="H4917" s="141"/>
      <c r="I4917" s="26">
        <v>79864</v>
      </c>
      <c r="J4917" s="117"/>
      <c r="K4917" s="120"/>
      <c r="L4917" s="121"/>
      <c r="M4917" s="120"/>
      <c r="N4917" s="121"/>
      <c r="O4917" s="120"/>
      <c r="P4917" s="121"/>
      <c r="Q4917" s="120"/>
      <c r="R4917" s="121"/>
      <c r="S4917" s="120"/>
      <c r="T4917" s="121"/>
      <c r="U4917" s="120"/>
      <c r="V4917" s="123"/>
      <c r="W4917" s="125"/>
      <c r="X4917" s="142" t="s">
        <v>5000</v>
      </c>
      <c r="Y4917" s="143"/>
      <c r="Z4917" s="143"/>
      <c r="AA4917" s="143"/>
      <c r="AB4917" s="144"/>
      <c r="AC4917" s="16" t="s">
        <v>21</v>
      </c>
      <c r="AD4917" s="17" t="s">
        <v>1822</v>
      </c>
      <c r="AE4917" s="145" t="s">
        <v>14923</v>
      </c>
      <c r="AF4917" s="146"/>
      <c r="AG4917" s="146"/>
      <c r="AH4917" s="146"/>
      <c r="AI4917" s="147"/>
      <c r="AJ4917" s="148"/>
      <c r="AK4917" s="143"/>
      <c r="AL4917" s="144"/>
      <c r="AM4917" s="22"/>
      <c r="AN4917" s="149" t="s">
        <v>2511</v>
      </c>
      <c r="AO4917" s="144"/>
      <c r="AP4917" s="148">
        <v>76</v>
      </c>
      <c r="AQ4917" s="144"/>
      <c r="AR4917" s="120"/>
      <c r="AS4917" s="121"/>
      <c r="AT4917" s="120"/>
      <c r="AU4917" s="121"/>
      <c r="AV4917" s="120"/>
      <c r="AW4917" s="121"/>
      <c r="AX4917" s="120"/>
      <c r="AY4917" s="121"/>
      <c r="AZ4917" s="138"/>
    </row>
    <row r="4918" spans="1:52" ht="17.100000000000001" customHeight="1" thickTop="1">
      <c r="A4918" s="151" t="s">
        <v>14756</v>
      </c>
      <c r="B4918" s="28">
        <v>46032</v>
      </c>
      <c r="C4918" s="25">
        <v>294</v>
      </c>
      <c r="D4918" s="13" t="s">
        <v>3461</v>
      </c>
      <c r="E4918" s="111"/>
      <c r="F4918" s="113" t="s">
        <v>4930</v>
      </c>
      <c r="G4918" s="114"/>
      <c r="H4918" s="115"/>
      <c r="I4918" s="24"/>
      <c r="J4918" s="116">
        <v>4.5</v>
      </c>
      <c r="K4918" s="118">
        <v>565000</v>
      </c>
      <c r="L4918" s="119"/>
      <c r="M4918" s="118">
        <f t="shared" ref="M4918" si="5790">K4918*0.1</f>
        <v>56500</v>
      </c>
      <c r="N4918" s="119"/>
      <c r="O4918" s="118">
        <v>0</v>
      </c>
      <c r="P4918" s="119"/>
      <c r="Q4918" s="118">
        <v>6550</v>
      </c>
      <c r="R4918" s="119"/>
      <c r="S4918" s="118">
        <v>15950</v>
      </c>
      <c r="T4918" s="119"/>
      <c r="U4918" s="118">
        <f t="shared" ref="U4918" si="5791">SUM(K4918:T4919)</f>
        <v>644000</v>
      </c>
      <c r="V4918" s="122"/>
      <c r="W4918" s="124"/>
      <c r="X4918" s="126" t="s">
        <v>15029</v>
      </c>
      <c r="Y4918" s="127"/>
      <c r="Z4918" s="127"/>
      <c r="AA4918" s="127"/>
      <c r="AB4918" s="128"/>
      <c r="AC4918" s="15" t="s">
        <v>20</v>
      </c>
      <c r="AD4918" s="129" t="s">
        <v>1670</v>
      </c>
      <c r="AE4918" s="130"/>
      <c r="AF4918" s="130"/>
      <c r="AG4918" s="130"/>
      <c r="AH4918" s="130"/>
      <c r="AI4918" s="131"/>
      <c r="AJ4918" s="132"/>
      <c r="AK4918" s="127"/>
      <c r="AL4918" s="128"/>
      <c r="AM4918" s="21"/>
      <c r="AN4918" s="133">
        <v>46039</v>
      </c>
      <c r="AO4918" s="134"/>
      <c r="AP4918" s="135">
        <v>1284</v>
      </c>
      <c r="AQ4918" s="136"/>
      <c r="AR4918" s="118">
        <v>690000</v>
      </c>
      <c r="AS4918" s="119"/>
      <c r="AT4918" s="118">
        <f t="shared" ref="AT4918" si="5792">AR4918*0.1</f>
        <v>69000</v>
      </c>
      <c r="AU4918" s="119"/>
      <c r="AV4918" s="118">
        <v>6550</v>
      </c>
      <c r="AW4918" s="119"/>
      <c r="AX4918" s="118">
        <f t="shared" ref="AX4918" si="5793">SUM(AR4918:AW4918)</f>
        <v>765550</v>
      </c>
      <c r="AY4918" s="119"/>
      <c r="AZ4918" s="137">
        <v>46042</v>
      </c>
    </row>
    <row r="4919" spans="1:52" ht="17.100000000000001" customHeight="1" thickBot="1">
      <c r="A4919" s="152"/>
      <c r="B4919" s="27" t="s">
        <v>3574</v>
      </c>
      <c r="C4919" s="27">
        <v>3008</v>
      </c>
      <c r="D4919" s="14" t="s">
        <v>1720</v>
      </c>
      <c r="E4919" s="112"/>
      <c r="F4919" s="139" t="s">
        <v>14697</v>
      </c>
      <c r="G4919" s="140"/>
      <c r="H4919" s="141"/>
      <c r="I4919" s="26">
        <v>19201</v>
      </c>
      <c r="J4919" s="117"/>
      <c r="K4919" s="120"/>
      <c r="L4919" s="121"/>
      <c r="M4919" s="120"/>
      <c r="N4919" s="121"/>
      <c r="O4919" s="120"/>
      <c r="P4919" s="121"/>
      <c r="Q4919" s="120"/>
      <c r="R4919" s="121"/>
      <c r="S4919" s="120"/>
      <c r="T4919" s="121"/>
      <c r="U4919" s="120"/>
      <c r="V4919" s="123"/>
      <c r="W4919" s="125"/>
      <c r="X4919" s="142" t="s">
        <v>7450</v>
      </c>
      <c r="Y4919" s="143"/>
      <c r="Z4919" s="143"/>
      <c r="AA4919" s="143"/>
      <c r="AB4919" s="144"/>
      <c r="AC4919" s="16" t="s">
        <v>21</v>
      </c>
      <c r="AD4919" s="17" t="s">
        <v>15026</v>
      </c>
      <c r="AE4919" s="145" t="s">
        <v>13765</v>
      </c>
      <c r="AF4919" s="146"/>
      <c r="AG4919" s="146"/>
      <c r="AH4919" s="146"/>
      <c r="AI4919" s="147"/>
      <c r="AJ4919" s="148"/>
      <c r="AK4919" s="143"/>
      <c r="AL4919" s="144"/>
      <c r="AM4919" s="22"/>
      <c r="AN4919" s="149" t="s">
        <v>2511</v>
      </c>
      <c r="AO4919" s="144"/>
      <c r="AP4919" s="148">
        <v>60167</v>
      </c>
      <c r="AQ4919" s="144"/>
      <c r="AR4919" s="120"/>
      <c r="AS4919" s="121"/>
      <c r="AT4919" s="120"/>
      <c r="AU4919" s="121"/>
      <c r="AV4919" s="120"/>
      <c r="AW4919" s="121"/>
      <c r="AX4919" s="120"/>
      <c r="AY4919" s="121"/>
      <c r="AZ4919" s="138"/>
    </row>
    <row r="4920" spans="1:52" ht="17.100000000000001" customHeight="1" thickTop="1">
      <c r="A4920" s="109" t="s">
        <v>14757</v>
      </c>
      <c r="B4920" s="28">
        <v>46032</v>
      </c>
      <c r="C4920" s="25">
        <v>1283</v>
      </c>
      <c r="D4920" s="13" t="s">
        <v>2458</v>
      </c>
      <c r="E4920" s="111"/>
      <c r="F4920" s="113" t="s">
        <v>14547</v>
      </c>
      <c r="G4920" s="114"/>
      <c r="H4920" s="115"/>
      <c r="I4920" s="24"/>
      <c r="J4920" s="116">
        <v>4.5</v>
      </c>
      <c r="K4920" s="118">
        <v>1205000</v>
      </c>
      <c r="L4920" s="119"/>
      <c r="M4920" s="118">
        <f t="shared" ref="M4920" si="5794">K4920*0.1</f>
        <v>120500</v>
      </c>
      <c r="N4920" s="119"/>
      <c r="O4920" s="118">
        <v>0</v>
      </c>
      <c r="P4920" s="119"/>
      <c r="Q4920" s="118">
        <v>9010</v>
      </c>
      <c r="R4920" s="119"/>
      <c r="S4920" s="118">
        <v>12100</v>
      </c>
      <c r="T4920" s="119"/>
      <c r="U4920" s="118">
        <f t="shared" ref="U4920" si="5795">SUM(K4920:T4921)</f>
        <v>1346610</v>
      </c>
      <c r="V4920" s="122"/>
      <c r="W4920" s="124"/>
      <c r="X4920" s="126" t="s">
        <v>15627</v>
      </c>
      <c r="Y4920" s="127"/>
      <c r="Z4920" s="127"/>
      <c r="AA4920" s="127"/>
      <c r="AB4920" s="128"/>
      <c r="AC4920" s="15" t="s">
        <v>20</v>
      </c>
      <c r="AD4920" s="129" t="s">
        <v>1633</v>
      </c>
      <c r="AE4920" s="130"/>
      <c r="AF4920" s="130"/>
      <c r="AG4920" s="130"/>
      <c r="AH4920" s="130"/>
      <c r="AI4920" s="131"/>
      <c r="AJ4920" s="132"/>
      <c r="AK4920" s="127"/>
      <c r="AL4920" s="128"/>
      <c r="AM4920" s="21"/>
      <c r="AN4920" s="133">
        <v>46039</v>
      </c>
      <c r="AO4920" s="134"/>
      <c r="AP4920" s="135">
        <v>1284</v>
      </c>
      <c r="AQ4920" s="136"/>
      <c r="AR4920" s="118">
        <v>1295000</v>
      </c>
      <c r="AS4920" s="119"/>
      <c r="AT4920" s="118">
        <f t="shared" ref="AT4920" si="5796">AR4920*0.1</f>
        <v>129500</v>
      </c>
      <c r="AU4920" s="119"/>
      <c r="AV4920" s="118">
        <v>9010</v>
      </c>
      <c r="AW4920" s="119"/>
      <c r="AX4920" s="118">
        <f t="shared" ref="AX4920" si="5797">SUM(AR4920:AW4920)</f>
        <v>1433510</v>
      </c>
      <c r="AY4920" s="119"/>
      <c r="AZ4920" s="137">
        <v>46049</v>
      </c>
    </row>
    <row r="4921" spans="1:52" ht="17.100000000000001" customHeight="1" thickBot="1">
      <c r="A4921" s="110"/>
      <c r="B4921" s="27" t="s">
        <v>2511</v>
      </c>
      <c r="C4921" s="27">
        <v>31151</v>
      </c>
      <c r="D4921" s="14" t="s">
        <v>1720</v>
      </c>
      <c r="E4921" s="112"/>
      <c r="F4921" s="139" t="s">
        <v>14696</v>
      </c>
      <c r="G4921" s="140"/>
      <c r="H4921" s="141"/>
      <c r="I4921" s="26">
        <v>32608</v>
      </c>
      <c r="J4921" s="117"/>
      <c r="K4921" s="120"/>
      <c r="L4921" s="121"/>
      <c r="M4921" s="120"/>
      <c r="N4921" s="121"/>
      <c r="O4921" s="120"/>
      <c r="P4921" s="121"/>
      <c r="Q4921" s="120"/>
      <c r="R4921" s="121"/>
      <c r="S4921" s="120"/>
      <c r="T4921" s="121"/>
      <c r="U4921" s="120"/>
      <c r="V4921" s="123"/>
      <c r="W4921" s="125"/>
      <c r="X4921" s="142" t="s">
        <v>15628</v>
      </c>
      <c r="Y4921" s="143"/>
      <c r="Z4921" s="143"/>
      <c r="AA4921" s="143"/>
      <c r="AB4921" s="144"/>
      <c r="AC4921" s="16" t="s">
        <v>21</v>
      </c>
      <c r="AD4921" s="17" t="s">
        <v>15604</v>
      </c>
      <c r="AE4921" s="145" t="s">
        <v>15629</v>
      </c>
      <c r="AF4921" s="146"/>
      <c r="AG4921" s="146"/>
      <c r="AH4921" s="146"/>
      <c r="AI4921" s="147"/>
      <c r="AJ4921" s="148" t="s">
        <v>14922</v>
      </c>
      <c r="AK4921" s="143"/>
      <c r="AL4921" s="144"/>
      <c r="AM4921" s="22"/>
      <c r="AN4921" s="149" t="s">
        <v>6748</v>
      </c>
      <c r="AO4921" s="144"/>
      <c r="AP4921" s="148">
        <v>60196</v>
      </c>
      <c r="AQ4921" s="144"/>
      <c r="AR4921" s="120"/>
      <c r="AS4921" s="121"/>
      <c r="AT4921" s="120"/>
      <c r="AU4921" s="121"/>
      <c r="AV4921" s="120"/>
      <c r="AW4921" s="121"/>
      <c r="AX4921" s="120"/>
      <c r="AY4921" s="121"/>
      <c r="AZ4921" s="138"/>
    </row>
    <row r="4922" spans="1:52" ht="17.100000000000001" customHeight="1" thickTop="1">
      <c r="A4922" s="109" t="s">
        <v>14758</v>
      </c>
      <c r="B4922" s="28">
        <v>46032</v>
      </c>
      <c r="C4922" s="25">
        <v>1283</v>
      </c>
      <c r="D4922" s="13" t="s">
        <v>2187</v>
      </c>
      <c r="E4922" s="111"/>
      <c r="F4922" s="113" t="s">
        <v>4363</v>
      </c>
      <c r="G4922" s="114"/>
      <c r="H4922" s="115"/>
      <c r="I4922" s="24" t="s">
        <v>2919</v>
      </c>
      <c r="J4922" s="116">
        <v>4</v>
      </c>
      <c r="K4922" s="118">
        <v>2165000</v>
      </c>
      <c r="L4922" s="119"/>
      <c r="M4922" s="118">
        <f t="shared" ref="M4922" si="5798">K4922*0.1</f>
        <v>216500</v>
      </c>
      <c r="N4922" s="119"/>
      <c r="O4922" s="118">
        <f>2600+260</f>
        <v>2860</v>
      </c>
      <c r="P4922" s="119"/>
      <c r="Q4922" s="118">
        <v>9550</v>
      </c>
      <c r="R4922" s="119"/>
      <c r="S4922" s="118">
        <v>11000</v>
      </c>
      <c r="T4922" s="119"/>
      <c r="U4922" s="118">
        <f t="shared" ref="U4922" si="5799">SUM(K4922:T4923)</f>
        <v>2404910</v>
      </c>
      <c r="V4922" s="122"/>
      <c r="W4922" s="124"/>
      <c r="X4922" s="126" t="s">
        <v>14741</v>
      </c>
      <c r="Y4922" s="127"/>
      <c r="Z4922" s="127"/>
      <c r="AA4922" s="127"/>
      <c r="AB4922" s="128"/>
      <c r="AC4922" s="15" t="s">
        <v>20</v>
      </c>
      <c r="AD4922" s="129" t="s">
        <v>1732</v>
      </c>
      <c r="AE4922" s="130"/>
      <c r="AF4922" s="130"/>
      <c r="AG4922" s="130"/>
      <c r="AH4922" s="130"/>
      <c r="AI4922" s="131"/>
      <c r="AJ4922" s="132"/>
      <c r="AK4922" s="127"/>
      <c r="AL4922" s="128"/>
      <c r="AM4922" s="21"/>
      <c r="AN4922" s="133">
        <v>46060</v>
      </c>
      <c r="AO4922" s="134"/>
      <c r="AP4922" s="135">
        <v>1287</v>
      </c>
      <c r="AQ4922" s="136"/>
      <c r="AR4922" s="118">
        <v>2185000</v>
      </c>
      <c r="AS4922" s="119"/>
      <c r="AT4922" s="118">
        <f t="shared" ref="AT4922" si="5800">AR4922*0.1</f>
        <v>218500</v>
      </c>
      <c r="AU4922" s="119"/>
      <c r="AV4922" s="118">
        <v>9550</v>
      </c>
      <c r="AW4922" s="119"/>
      <c r="AX4922" s="118">
        <f t="shared" ref="AX4922" si="5801">SUM(AR4922:AW4922)</f>
        <v>2413050</v>
      </c>
      <c r="AY4922" s="119"/>
      <c r="AZ4922" s="137">
        <v>46063</v>
      </c>
    </row>
    <row r="4923" spans="1:52" ht="17.100000000000001" customHeight="1" thickBot="1">
      <c r="A4923" s="110"/>
      <c r="B4923" s="27" t="s">
        <v>2511</v>
      </c>
      <c r="C4923" s="27">
        <v>40104</v>
      </c>
      <c r="D4923" s="14" t="s">
        <v>2601</v>
      </c>
      <c r="E4923" s="112"/>
      <c r="F4923" s="139" t="s">
        <v>14740</v>
      </c>
      <c r="G4923" s="140"/>
      <c r="H4923" s="141"/>
      <c r="I4923" s="26">
        <v>147934</v>
      </c>
      <c r="J4923" s="117"/>
      <c r="K4923" s="120"/>
      <c r="L4923" s="121"/>
      <c r="M4923" s="120"/>
      <c r="N4923" s="121"/>
      <c r="O4923" s="120"/>
      <c r="P4923" s="121"/>
      <c r="Q4923" s="120"/>
      <c r="R4923" s="121"/>
      <c r="S4923" s="120"/>
      <c r="T4923" s="121"/>
      <c r="U4923" s="120"/>
      <c r="V4923" s="123"/>
      <c r="W4923" s="125"/>
      <c r="X4923" s="142" t="s">
        <v>3602</v>
      </c>
      <c r="Y4923" s="143"/>
      <c r="Z4923" s="143"/>
      <c r="AA4923" s="143"/>
      <c r="AB4923" s="144"/>
      <c r="AC4923" s="16" t="s">
        <v>21</v>
      </c>
      <c r="AD4923" s="17" t="s">
        <v>15604</v>
      </c>
      <c r="AE4923" s="145" t="s">
        <v>10057</v>
      </c>
      <c r="AF4923" s="146"/>
      <c r="AG4923" s="146"/>
      <c r="AH4923" s="146"/>
      <c r="AI4923" s="147"/>
      <c r="AJ4923" s="148"/>
      <c r="AK4923" s="143"/>
      <c r="AL4923" s="144"/>
      <c r="AM4923" s="22"/>
      <c r="AN4923" s="149" t="s">
        <v>2511</v>
      </c>
      <c r="AO4923" s="144"/>
      <c r="AP4923" s="148">
        <v>41046</v>
      </c>
      <c r="AQ4923" s="144"/>
      <c r="AR4923" s="120"/>
      <c r="AS4923" s="121"/>
      <c r="AT4923" s="120"/>
      <c r="AU4923" s="121"/>
      <c r="AV4923" s="120"/>
      <c r="AW4923" s="121"/>
      <c r="AX4923" s="120"/>
      <c r="AY4923" s="121"/>
      <c r="AZ4923" s="138"/>
    </row>
    <row r="4924" spans="1:52" ht="17.100000000000001" customHeight="1" thickTop="1">
      <c r="A4924" s="109" t="s">
        <v>14759</v>
      </c>
      <c r="B4924" s="28">
        <v>46032</v>
      </c>
      <c r="C4924" s="25">
        <v>1283</v>
      </c>
      <c r="D4924" s="13" t="s">
        <v>1776</v>
      </c>
      <c r="E4924" s="111"/>
      <c r="F4924" s="113" t="s">
        <v>4585</v>
      </c>
      <c r="G4924" s="114"/>
      <c r="H4924" s="115"/>
      <c r="I4924" s="24"/>
      <c r="J4924" s="116">
        <v>4.5</v>
      </c>
      <c r="K4924" s="118">
        <v>1055000</v>
      </c>
      <c r="L4924" s="119"/>
      <c r="M4924" s="118">
        <f t="shared" ref="M4924" si="5802">K4924*0.1</f>
        <v>105500</v>
      </c>
      <c r="N4924" s="119"/>
      <c r="O4924" s="118">
        <v>0</v>
      </c>
      <c r="P4924" s="119"/>
      <c r="Q4924" s="118">
        <v>9010</v>
      </c>
      <c r="R4924" s="119"/>
      <c r="S4924" s="118">
        <v>11000</v>
      </c>
      <c r="T4924" s="119"/>
      <c r="U4924" s="118">
        <f t="shared" ref="U4924" si="5803">SUM(K4924:T4925)</f>
        <v>1180510</v>
      </c>
      <c r="V4924" s="122"/>
      <c r="W4924" s="124"/>
      <c r="X4924" s="126" t="s">
        <v>15667</v>
      </c>
      <c r="Y4924" s="127"/>
      <c r="Z4924" s="127"/>
      <c r="AA4924" s="127"/>
      <c r="AB4924" s="128"/>
      <c r="AC4924" s="15" t="s">
        <v>20</v>
      </c>
      <c r="AD4924" s="129" t="s">
        <v>14736</v>
      </c>
      <c r="AE4924" s="130"/>
      <c r="AF4924" s="130"/>
      <c r="AG4924" s="130"/>
      <c r="AH4924" s="130"/>
      <c r="AI4924" s="131"/>
      <c r="AJ4924" s="132"/>
      <c r="AK4924" s="127"/>
      <c r="AL4924" s="128"/>
      <c r="AM4924" s="21"/>
      <c r="AN4924" s="133">
        <v>46064</v>
      </c>
      <c r="AO4924" s="134"/>
      <c r="AP4924" s="135">
        <v>1004</v>
      </c>
      <c r="AQ4924" s="136"/>
      <c r="AR4924" s="118">
        <v>1150000</v>
      </c>
      <c r="AS4924" s="119"/>
      <c r="AT4924" s="118">
        <f t="shared" ref="AT4924" si="5804">AR4924*0.1</f>
        <v>115000</v>
      </c>
      <c r="AU4924" s="119"/>
      <c r="AV4924" s="118">
        <v>9010</v>
      </c>
      <c r="AW4924" s="119"/>
      <c r="AX4924" s="118">
        <f t="shared" ref="AX4924" si="5805">SUM(AR4924:AW4924)</f>
        <v>1274010</v>
      </c>
      <c r="AY4924" s="119"/>
      <c r="AZ4924" s="137">
        <v>46069</v>
      </c>
    </row>
    <row r="4925" spans="1:52" ht="17.100000000000001" customHeight="1" thickBot="1">
      <c r="A4925" s="110"/>
      <c r="B4925" s="27" t="s">
        <v>2511</v>
      </c>
      <c r="C4925" s="27">
        <v>62046</v>
      </c>
      <c r="D4925" s="14" t="s">
        <v>1812</v>
      </c>
      <c r="E4925" s="112"/>
      <c r="F4925" s="139" t="s">
        <v>14729</v>
      </c>
      <c r="G4925" s="140"/>
      <c r="H4925" s="141"/>
      <c r="I4925" s="26">
        <v>70650</v>
      </c>
      <c r="J4925" s="117"/>
      <c r="K4925" s="120"/>
      <c r="L4925" s="121"/>
      <c r="M4925" s="120"/>
      <c r="N4925" s="121"/>
      <c r="O4925" s="120"/>
      <c r="P4925" s="121"/>
      <c r="Q4925" s="120"/>
      <c r="R4925" s="121"/>
      <c r="S4925" s="120"/>
      <c r="T4925" s="121"/>
      <c r="U4925" s="120"/>
      <c r="V4925" s="123"/>
      <c r="W4925" s="125"/>
      <c r="X4925" s="142" t="s">
        <v>15668</v>
      </c>
      <c r="Y4925" s="143"/>
      <c r="Z4925" s="143"/>
      <c r="AA4925" s="143"/>
      <c r="AB4925" s="144"/>
      <c r="AC4925" s="16" t="s">
        <v>21</v>
      </c>
      <c r="AD4925" s="17" t="s">
        <v>15604</v>
      </c>
      <c r="AE4925" s="145" t="s">
        <v>15669</v>
      </c>
      <c r="AF4925" s="146"/>
      <c r="AG4925" s="146"/>
      <c r="AH4925" s="146"/>
      <c r="AI4925" s="147"/>
      <c r="AJ4925" s="148"/>
      <c r="AK4925" s="143"/>
      <c r="AL4925" s="144"/>
      <c r="AM4925" s="22"/>
      <c r="AN4925" s="149" t="s">
        <v>2794</v>
      </c>
      <c r="AO4925" s="144"/>
      <c r="AP4925" s="148">
        <v>2047</v>
      </c>
      <c r="AQ4925" s="144"/>
      <c r="AR4925" s="120"/>
      <c r="AS4925" s="121"/>
      <c r="AT4925" s="120"/>
      <c r="AU4925" s="121"/>
      <c r="AV4925" s="120"/>
      <c r="AW4925" s="121"/>
      <c r="AX4925" s="120"/>
      <c r="AY4925" s="121"/>
      <c r="AZ4925" s="138"/>
    </row>
    <row r="4926" spans="1:52" ht="17.100000000000001" customHeight="1" thickTop="1">
      <c r="A4926" s="109" t="s">
        <v>14760</v>
      </c>
      <c r="B4926" s="28">
        <v>46032</v>
      </c>
      <c r="C4926" s="25">
        <v>1283</v>
      </c>
      <c r="D4926" s="13" t="s">
        <v>1971</v>
      </c>
      <c r="E4926" s="111"/>
      <c r="F4926" s="113" t="s">
        <v>5481</v>
      </c>
      <c r="G4926" s="114"/>
      <c r="H4926" s="115"/>
      <c r="I4926" s="24" t="s">
        <v>14743</v>
      </c>
      <c r="J4926" s="116">
        <v>4</v>
      </c>
      <c r="K4926" s="118">
        <v>1340000</v>
      </c>
      <c r="L4926" s="119"/>
      <c r="M4926" s="118">
        <f t="shared" ref="M4926" si="5806">K4926*0.1</f>
        <v>134000</v>
      </c>
      <c r="N4926" s="119"/>
      <c r="O4926" s="118">
        <v>0</v>
      </c>
      <c r="P4926" s="119"/>
      <c r="Q4926" s="118">
        <v>11100</v>
      </c>
      <c r="R4926" s="119"/>
      <c r="S4926" s="118">
        <v>12100</v>
      </c>
      <c r="T4926" s="119"/>
      <c r="U4926" s="118">
        <f t="shared" ref="U4926" si="5807">SUM(K4926:T4927)</f>
        <v>1497200</v>
      </c>
      <c r="V4926" s="122"/>
      <c r="W4926" s="124"/>
      <c r="X4926" s="126" t="s">
        <v>14744</v>
      </c>
      <c r="Y4926" s="127"/>
      <c r="Z4926" s="127"/>
      <c r="AA4926" s="127"/>
      <c r="AB4926" s="128"/>
      <c r="AC4926" s="15" t="s">
        <v>20</v>
      </c>
      <c r="AD4926" s="129" t="s">
        <v>186</v>
      </c>
      <c r="AE4926" s="130"/>
      <c r="AF4926" s="130"/>
      <c r="AG4926" s="130"/>
      <c r="AH4926" s="130"/>
      <c r="AI4926" s="131"/>
      <c r="AJ4926" s="132"/>
      <c r="AK4926" s="127"/>
      <c r="AL4926" s="128"/>
      <c r="AM4926" s="21"/>
      <c r="AN4926" s="133">
        <v>46043</v>
      </c>
      <c r="AO4926" s="134"/>
      <c r="AP4926" s="135">
        <v>1001</v>
      </c>
      <c r="AQ4926" s="136"/>
      <c r="AR4926" s="118">
        <v>1410000</v>
      </c>
      <c r="AS4926" s="119"/>
      <c r="AT4926" s="118">
        <f t="shared" ref="AT4926" si="5808">AR4926*0.1</f>
        <v>141000</v>
      </c>
      <c r="AU4926" s="119"/>
      <c r="AV4926" s="118">
        <v>11100</v>
      </c>
      <c r="AW4926" s="119"/>
      <c r="AX4926" s="118">
        <f t="shared" ref="AX4926" si="5809">SUM(AR4926:AW4926)</f>
        <v>1562100</v>
      </c>
      <c r="AY4926" s="119"/>
      <c r="AZ4926" s="137">
        <v>46048</v>
      </c>
    </row>
    <row r="4927" spans="1:52" ht="17.100000000000001" customHeight="1" thickBot="1">
      <c r="A4927" s="110"/>
      <c r="B4927" s="27" t="s">
        <v>2511</v>
      </c>
      <c r="C4927" s="27">
        <v>65161</v>
      </c>
      <c r="D4927" s="14" t="s">
        <v>133</v>
      </c>
      <c r="E4927" s="112"/>
      <c r="F4927" s="139" t="s">
        <v>14742</v>
      </c>
      <c r="G4927" s="140"/>
      <c r="H4927" s="141"/>
      <c r="I4927" s="26">
        <v>18152</v>
      </c>
      <c r="J4927" s="117"/>
      <c r="K4927" s="120"/>
      <c r="L4927" s="121"/>
      <c r="M4927" s="120"/>
      <c r="N4927" s="121"/>
      <c r="O4927" s="120"/>
      <c r="P4927" s="121"/>
      <c r="Q4927" s="120"/>
      <c r="R4927" s="121"/>
      <c r="S4927" s="120"/>
      <c r="T4927" s="121"/>
      <c r="U4927" s="120"/>
      <c r="V4927" s="123"/>
      <c r="W4927" s="125"/>
      <c r="X4927" s="142" t="s">
        <v>4285</v>
      </c>
      <c r="Y4927" s="143"/>
      <c r="Z4927" s="143"/>
      <c r="AA4927" s="143"/>
      <c r="AB4927" s="144"/>
      <c r="AC4927" s="16" t="s">
        <v>21</v>
      </c>
      <c r="AD4927" s="17" t="s">
        <v>15604</v>
      </c>
      <c r="AE4927" s="145" t="s">
        <v>15634</v>
      </c>
      <c r="AF4927" s="146"/>
      <c r="AG4927" s="146"/>
      <c r="AH4927" s="146"/>
      <c r="AI4927" s="147"/>
      <c r="AJ4927" s="148"/>
      <c r="AK4927" s="143"/>
      <c r="AL4927" s="144"/>
      <c r="AM4927" s="22"/>
      <c r="AN4927" s="149" t="s">
        <v>2794</v>
      </c>
      <c r="AO4927" s="144"/>
      <c r="AP4927" s="148">
        <v>2008</v>
      </c>
      <c r="AQ4927" s="144"/>
      <c r="AR4927" s="120"/>
      <c r="AS4927" s="121"/>
      <c r="AT4927" s="120"/>
      <c r="AU4927" s="121"/>
      <c r="AV4927" s="120"/>
      <c r="AW4927" s="121"/>
      <c r="AX4927" s="120"/>
      <c r="AY4927" s="121"/>
      <c r="AZ4927" s="138"/>
    </row>
    <row r="4928" spans="1:52" ht="17.100000000000001" customHeight="1" thickTop="1">
      <c r="A4928" s="109" t="s">
        <v>14761</v>
      </c>
      <c r="B4928" s="28">
        <v>46032</v>
      </c>
      <c r="C4928" s="25">
        <v>1283</v>
      </c>
      <c r="D4928" s="13" t="s">
        <v>2329</v>
      </c>
      <c r="E4928" s="111"/>
      <c r="F4928" s="113" t="s">
        <v>9226</v>
      </c>
      <c r="G4928" s="114"/>
      <c r="H4928" s="115"/>
      <c r="I4928" s="24" t="s">
        <v>14746</v>
      </c>
      <c r="J4928" s="116">
        <v>4.5</v>
      </c>
      <c r="K4928" s="118">
        <v>955000</v>
      </c>
      <c r="L4928" s="119"/>
      <c r="M4928" s="118">
        <f t="shared" ref="M4928" si="5810">K4928*0.1</f>
        <v>95500</v>
      </c>
      <c r="N4928" s="119"/>
      <c r="O4928" s="118">
        <v>0</v>
      </c>
      <c r="P4928" s="119"/>
      <c r="Q4928" s="118">
        <v>9310</v>
      </c>
      <c r="R4928" s="119"/>
      <c r="S4928" s="118">
        <v>12100</v>
      </c>
      <c r="T4928" s="119"/>
      <c r="U4928" s="118">
        <f t="shared" ref="U4928" si="5811">SUM(K4928:T4929)</f>
        <v>1071910</v>
      </c>
      <c r="V4928" s="122"/>
      <c r="W4928" s="124"/>
      <c r="X4928" s="126" t="s">
        <v>14747</v>
      </c>
      <c r="Y4928" s="127"/>
      <c r="Z4928" s="127"/>
      <c r="AA4928" s="127"/>
      <c r="AB4928" s="128"/>
      <c r="AC4928" s="15" t="s">
        <v>20</v>
      </c>
      <c r="AD4928" s="129" t="s">
        <v>1732</v>
      </c>
      <c r="AE4928" s="130"/>
      <c r="AF4928" s="130"/>
      <c r="AG4928" s="130"/>
      <c r="AH4928" s="130"/>
      <c r="AI4928" s="131"/>
      <c r="AJ4928" s="132" t="s">
        <v>16913</v>
      </c>
      <c r="AK4928" s="127"/>
      <c r="AL4928" s="128"/>
      <c r="AM4928" s="21"/>
      <c r="AN4928" s="133">
        <v>46050</v>
      </c>
      <c r="AO4928" s="134"/>
      <c r="AP4928" s="135">
        <v>1002</v>
      </c>
      <c r="AQ4928" s="136"/>
      <c r="AR4928" s="118">
        <v>1080000</v>
      </c>
      <c r="AS4928" s="119"/>
      <c r="AT4928" s="118">
        <f t="shared" ref="AT4928" si="5812">AR4928*0.1</f>
        <v>108000</v>
      </c>
      <c r="AU4928" s="119"/>
      <c r="AV4928" s="118">
        <v>9310</v>
      </c>
      <c r="AW4928" s="119"/>
      <c r="AX4928" s="118">
        <f t="shared" ref="AX4928" si="5813">SUM(AR4928:AW4928)</f>
        <v>1197310</v>
      </c>
      <c r="AY4928" s="119"/>
      <c r="AZ4928" s="137">
        <v>46056</v>
      </c>
    </row>
    <row r="4929" spans="1:52" ht="17.100000000000001" customHeight="1" thickBot="1">
      <c r="A4929" s="110"/>
      <c r="B4929" s="27" t="s">
        <v>2511</v>
      </c>
      <c r="C4929" s="27">
        <v>65250</v>
      </c>
      <c r="D4929" s="14" t="s">
        <v>3793</v>
      </c>
      <c r="E4929" s="112"/>
      <c r="F4929" s="139" t="s">
        <v>14745</v>
      </c>
      <c r="G4929" s="140"/>
      <c r="H4929" s="141"/>
      <c r="I4929" s="26">
        <v>52756</v>
      </c>
      <c r="J4929" s="117"/>
      <c r="K4929" s="120"/>
      <c r="L4929" s="121"/>
      <c r="M4929" s="120"/>
      <c r="N4929" s="121"/>
      <c r="O4929" s="120"/>
      <c r="P4929" s="121"/>
      <c r="Q4929" s="120"/>
      <c r="R4929" s="121"/>
      <c r="S4929" s="120"/>
      <c r="T4929" s="121"/>
      <c r="U4929" s="120"/>
      <c r="V4929" s="123"/>
      <c r="W4929" s="125"/>
      <c r="X4929" s="142" t="s">
        <v>15665</v>
      </c>
      <c r="Y4929" s="143"/>
      <c r="Z4929" s="143"/>
      <c r="AA4929" s="143"/>
      <c r="AB4929" s="144"/>
      <c r="AC4929" s="16" t="s">
        <v>21</v>
      </c>
      <c r="AD4929" s="17" t="s">
        <v>15604</v>
      </c>
      <c r="AE4929" s="145" t="s">
        <v>15666</v>
      </c>
      <c r="AF4929" s="146"/>
      <c r="AG4929" s="146"/>
      <c r="AH4929" s="146"/>
      <c r="AI4929" s="147"/>
      <c r="AJ4929" s="148"/>
      <c r="AK4929" s="143"/>
      <c r="AL4929" s="144"/>
      <c r="AM4929" s="22"/>
      <c r="AN4929" s="149" t="s">
        <v>7285</v>
      </c>
      <c r="AO4929" s="144"/>
      <c r="AP4929" s="148">
        <v>2040</v>
      </c>
      <c r="AQ4929" s="144"/>
      <c r="AR4929" s="120"/>
      <c r="AS4929" s="121"/>
      <c r="AT4929" s="120"/>
      <c r="AU4929" s="121"/>
      <c r="AV4929" s="120"/>
      <c r="AW4929" s="121"/>
      <c r="AX4929" s="120"/>
      <c r="AY4929" s="121"/>
      <c r="AZ4929" s="138"/>
    </row>
    <row r="4930" spans="1:52" ht="17.100000000000001" customHeight="1" thickTop="1">
      <c r="A4930" s="109" t="s">
        <v>14762</v>
      </c>
      <c r="B4930" s="28">
        <v>46032</v>
      </c>
      <c r="C4930" s="25">
        <v>1283</v>
      </c>
      <c r="D4930" s="13" t="s">
        <v>1725</v>
      </c>
      <c r="E4930" s="111"/>
      <c r="F4930" s="113" t="s">
        <v>2993</v>
      </c>
      <c r="G4930" s="114"/>
      <c r="H4930" s="115"/>
      <c r="I4930" s="24"/>
      <c r="J4930" s="116">
        <v>4</v>
      </c>
      <c r="K4930" s="118">
        <v>595000</v>
      </c>
      <c r="L4930" s="119"/>
      <c r="M4930" s="118">
        <f t="shared" ref="M4930" si="5814">K4930*0.1</f>
        <v>59500</v>
      </c>
      <c r="N4930" s="119"/>
      <c r="O4930" s="118">
        <v>0</v>
      </c>
      <c r="P4930" s="119"/>
      <c r="Q4930" s="118">
        <v>8400</v>
      </c>
      <c r="R4930" s="119"/>
      <c r="S4930" s="118">
        <v>12100</v>
      </c>
      <c r="T4930" s="119"/>
      <c r="U4930" s="118">
        <f t="shared" ref="U4930" si="5815">SUM(K4930:T4931)</f>
        <v>675000</v>
      </c>
      <c r="V4930" s="122"/>
      <c r="W4930" s="124"/>
      <c r="X4930" s="126" t="s">
        <v>15670</v>
      </c>
      <c r="Y4930" s="127"/>
      <c r="Z4930" s="127"/>
      <c r="AA4930" s="127"/>
      <c r="AB4930" s="128"/>
      <c r="AC4930" s="15" t="s">
        <v>20</v>
      </c>
      <c r="AD4930" s="129"/>
      <c r="AE4930" s="130"/>
      <c r="AF4930" s="130"/>
      <c r="AG4930" s="130"/>
      <c r="AH4930" s="130"/>
      <c r="AI4930" s="131"/>
      <c r="AJ4930" s="132"/>
      <c r="AK4930" s="127"/>
      <c r="AL4930" s="128"/>
      <c r="AM4930" s="21"/>
      <c r="AN4930" s="133">
        <v>46067</v>
      </c>
      <c r="AO4930" s="134"/>
      <c r="AP4930" s="135">
        <v>1288</v>
      </c>
      <c r="AQ4930" s="136"/>
      <c r="AR4930" s="118">
        <v>690000</v>
      </c>
      <c r="AS4930" s="119"/>
      <c r="AT4930" s="118">
        <f t="shared" ref="AT4930" si="5816">AR4930*0.1</f>
        <v>69000</v>
      </c>
      <c r="AU4930" s="119"/>
      <c r="AV4930" s="118">
        <v>8400</v>
      </c>
      <c r="AW4930" s="119"/>
      <c r="AX4930" s="118">
        <f t="shared" ref="AX4930" si="5817">SUM(AR4930:AW4930)</f>
        <v>767400</v>
      </c>
      <c r="AY4930" s="119"/>
      <c r="AZ4930" s="137">
        <v>46070</v>
      </c>
    </row>
    <row r="4931" spans="1:52" ht="17.100000000000001" customHeight="1" thickBot="1">
      <c r="A4931" s="110"/>
      <c r="B4931" s="27" t="s">
        <v>2511</v>
      </c>
      <c r="C4931" s="27">
        <v>65374</v>
      </c>
      <c r="D4931" s="14" t="s">
        <v>1812</v>
      </c>
      <c r="E4931" s="112"/>
      <c r="F4931" s="139" t="s">
        <v>14748</v>
      </c>
      <c r="G4931" s="140"/>
      <c r="H4931" s="141"/>
      <c r="I4931" s="26">
        <v>55600</v>
      </c>
      <c r="J4931" s="117"/>
      <c r="K4931" s="120"/>
      <c r="L4931" s="121"/>
      <c r="M4931" s="120"/>
      <c r="N4931" s="121"/>
      <c r="O4931" s="120"/>
      <c r="P4931" s="121"/>
      <c r="Q4931" s="120"/>
      <c r="R4931" s="121"/>
      <c r="S4931" s="120"/>
      <c r="T4931" s="121"/>
      <c r="U4931" s="120"/>
      <c r="V4931" s="123"/>
      <c r="W4931" s="125"/>
      <c r="X4931" s="142" t="s">
        <v>2918</v>
      </c>
      <c r="Y4931" s="143"/>
      <c r="Z4931" s="143"/>
      <c r="AA4931" s="143"/>
      <c r="AB4931" s="144"/>
      <c r="AC4931" s="16" t="s">
        <v>21</v>
      </c>
      <c r="AD4931" s="17" t="s">
        <v>15604</v>
      </c>
      <c r="AE4931" s="145" t="s">
        <v>11026</v>
      </c>
      <c r="AF4931" s="146"/>
      <c r="AG4931" s="146"/>
      <c r="AH4931" s="146"/>
      <c r="AI4931" s="147"/>
      <c r="AJ4931" s="148"/>
      <c r="AK4931" s="143"/>
      <c r="AL4931" s="144"/>
      <c r="AM4931" s="22"/>
      <c r="AN4931" s="149" t="s">
        <v>2511</v>
      </c>
      <c r="AO4931" s="144"/>
      <c r="AP4931" s="148">
        <v>60185</v>
      </c>
      <c r="AQ4931" s="144"/>
      <c r="AR4931" s="120"/>
      <c r="AS4931" s="121"/>
      <c r="AT4931" s="120"/>
      <c r="AU4931" s="121"/>
      <c r="AV4931" s="120"/>
      <c r="AW4931" s="121"/>
      <c r="AX4931" s="120"/>
      <c r="AY4931" s="121"/>
      <c r="AZ4931" s="138"/>
    </row>
    <row r="4932" spans="1:52" ht="17.100000000000001" customHeight="1" thickTop="1">
      <c r="A4932" s="109" t="s">
        <v>14763</v>
      </c>
      <c r="B4932" s="28">
        <v>46032</v>
      </c>
      <c r="C4932" s="25">
        <v>1283</v>
      </c>
      <c r="D4932" s="13" t="s">
        <v>2949</v>
      </c>
      <c r="E4932" s="111"/>
      <c r="F4932" s="113" t="s">
        <v>14732</v>
      </c>
      <c r="G4932" s="114"/>
      <c r="H4932" s="115"/>
      <c r="I4932" s="24"/>
      <c r="J4932" s="116">
        <v>4.5</v>
      </c>
      <c r="K4932" s="118">
        <v>1235000</v>
      </c>
      <c r="L4932" s="119"/>
      <c r="M4932" s="118">
        <f t="shared" ref="M4932" si="5818">K4932*0.1</f>
        <v>123500</v>
      </c>
      <c r="N4932" s="119"/>
      <c r="O4932" s="118">
        <v>0</v>
      </c>
      <c r="P4932" s="119"/>
      <c r="Q4932" s="118">
        <v>14590</v>
      </c>
      <c r="R4932" s="119"/>
      <c r="S4932" s="118">
        <v>16500</v>
      </c>
      <c r="T4932" s="119"/>
      <c r="U4932" s="118">
        <f t="shared" ref="U4932" si="5819">SUM(K4932:T4933)</f>
        <v>1389590</v>
      </c>
      <c r="V4932" s="122"/>
      <c r="W4932" s="124"/>
      <c r="X4932" s="126" t="s">
        <v>15611</v>
      </c>
      <c r="Y4932" s="127"/>
      <c r="Z4932" s="127"/>
      <c r="AA4932" s="127"/>
      <c r="AB4932" s="128"/>
      <c r="AC4932" s="15" t="s">
        <v>20</v>
      </c>
      <c r="AD4932" s="129" t="s">
        <v>1633</v>
      </c>
      <c r="AE4932" s="130"/>
      <c r="AF4932" s="130"/>
      <c r="AG4932" s="130"/>
      <c r="AH4932" s="130"/>
      <c r="AI4932" s="131"/>
      <c r="AJ4932" s="132"/>
      <c r="AK4932" s="127"/>
      <c r="AL4932" s="128"/>
      <c r="AM4932" s="21"/>
      <c r="AN4932" s="133">
        <v>46044</v>
      </c>
      <c r="AO4932" s="134"/>
      <c r="AP4932" s="135">
        <v>1315</v>
      </c>
      <c r="AQ4932" s="136"/>
      <c r="AR4932" s="118">
        <v>1645000</v>
      </c>
      <c r="AS4932" s="119"/>
      <c r="AT4932" s="118">
        <f t="shared" ref="AT4932" si="5820">AR4932*0.1</f>
        <v>164500</v>
      </c>
      <c r="AU4932" s="119"/>
      <c r="AV4932" s="118">
        <v>14590</v>
      </c>
      <c r="AW4932" s="119"/>
      <c r="AX4932" s="118">
        <f t="shared" ref="AX4932" si="5821">SUM(AR4932:AW4932)</f>
        <v>1824090</v>
      </c>
      <c r="AY4932" s="119"/>
      <c r="AZ4932" s="137">
        <v>46045</v>
      </c>
    </row>
    <row r="4933" spans="1:52" ht="17.100000000000001" customHeight="1" thickBot="1">
      <c r="A4933" s="110"/>
      <c r="B4933" s="27" t="s">
        <v>2511</v>
      </c>
      <c r="C4933" s="27">
        <v>80195</v>
      </c>
      <c r="D4933" s="14" t="s">
        <v>1576</v>
      </c>
      <c r="E4933" s="112"/>
      <c r="F4933" s="139" t="s">
        <v>14733</v>
      </c>
      <c r="G4933" s="140"/>
      <c r="H4933" s="141"/>
      <c r="I4933" s="26">
        <v>18099</v>
      </c>
      <c r="J4933" s="117"/>
      <c r="K4933" s="120"/>
      <c r="L4933" s="121"/>
      <c r="M4933" s="120"/>
      <c r="N4933" s="121"/>
      <c r="O4933" s="120"/>
      <c r="P4933" s="121"/>
      <c r="Q4933" s="120"/>
      <c r="R4933" s="121"/>
      <c r="S4933" s="120"/>
      <c r="T4933" s="121"/>
      <c r="U4933" s="120"/>
      <c r="V4933" s="123"/>
      <c r="W4933" s="125"/>
      <c r="X4933" s="142" t="s">
        <v>15612</v>
      </c>
      <c r="Y4933" s="143"/>
      <c r="Z4933" s="143"/>
      <c r="AA4933" s="143"/>
      <c r="AB4933" s="144"/>
      <c r="AC4933" s="16" t="s">
        <v>21</v>
      </c>
      <c r="AD4933" s="17" t="s">
        <v>15604</v>
      </c>
      <c r="AE4933" s="145" t="s">
        <v>1742</v>
      </c>
      <c r="AF4933" s="146"/>
      <c r="AG4933" s="146"/>
      <c r="AH4933" s="146"/>
      <c r="AI4933" s="147"/>
      <c r="AJ4933" s="148"/>
      <c r="AK4933" s="143"/>
      <c r="AL4933" s="144"/>
      <c r="AM4933" s="22"/>
      <c r="AN4933" s="149" t="s">
        <v>13663</v>
      </c>
      <c r="AO4933" s="144"/>
      <c r="AP4933" s="148">
        <v>52</v>
      </c>
      <c r="AQ4933" s="144"/>
      <c r="AR4933" s="120"/>
      <c r="AS4933" s="121"/>
      <c r="AT4933" s="120"/>
      <c r="AU4933" s="121"/>
      <c r="AV4933" s="120"/>
      <c r="AW4933" s="121"/>
      <c r="AX4933" s="120"/>
      <c r="AY4933" s="121"/>
      <c r="AZ4933" s="138"/>
    </row>
    <row r="4934" spans="1:52" ht="17.100000000000001" customHeight="1" thickTop="1">
      <c r="A4934" s="151" t="s">
        <v>14764</v>
      </c>
      <c r="B4934" s="28">
        <v>46032</v>
      </c>
      <c r="C4934" s="25">
        <v>1283</v>
      </c>
      <c r="D4934" s="13" t="s">
        <v>1977</v>
      </c>
      <c r="E4934" s="111"/>
      <c r="F4934" s="113" t="s">
        <v>14720</v>
      </c>
      <c r="G4934" s="114"/>
      <c r="H4934" s="115"/>
      <c r="I4934" s="24" t="s">
        <v>4109</v>
      </c>
      <c r="J4934" s="116">
        <v>4.5</v>
      </c>
      <c r="K4934" s="118">
        <v>2045000</v>
      </c>
      <c r="L4934" s="119"/>
      <c r="M4934" s="118">
        <f t="shared" ref="M4934" si="5822">K4934*0.1</f>
        <v>204500</v>
      </c>
      <c r="N4934" s="119"/>
      <c r="O4934" s="118">
        <f>6500+650</f>
        <v>7150</v>
      </c>
      <c r="P4934" s="119"/>
      <c r="Q4934" s="118">
        <v>21720</v>
      </c>
      <c r="R4934" s="119"/>
      <c r="S4934" s="118">
        <v>16500</v>
      </c>
      <c r="T4934" s="119"/>
      <c r="U4934" s="118">
        <f t="shared" ref="U4934" si="5823">SUM(K4934:T4935)</f>
        <v>2294870</v>
      </c>
      <c r="V4934" s="122"/>
      <c r="W4934" s="124"/>
      <c r="X4934" s="126" t="s">
        <v>14722</v>
      </c>
      <c r="Y4934" s="127"/>
      <c r="Z4934" s="127"/>
      <c r="AA4934" s="127"/>
      <c r="AB4934" s="128"/>
      <c r="AC4934" s="15" t="s">
        <v>20</v>
      </c>
      <c r="AD4934" s="129" t="s">
        <v>14723</v>
      </c>
      <c r="AE4934" s="130"/>
      <c r="AF4934" s="130"/>
      <c r="AG4934" s="130"/>
      <c r="AH4934" s="130"/>
      <c r="AI4934" s="131"/>
      <c r="AJ4934" s="132"/>
      <c r="AK4934" s="127"/>
      <c r="AL4934" s="128"/>
      <c r="AM4934" s="21"/>
      <c r="AN4934" s="133">
        <v>46039</v>
      </c>
      <c r="AO4934" s="134"/>
      <c r="AP4934" s="135">
        <v>1284</v>
      </c>
      <c r="AQ4934" s="136"/>
      <c r="AR4934" s="118">
        <v>2200000</v>
      </c>
      <c r="AS4934" s="119"/>
      <c r="AT4934" s="118">
        <f t="shared" ref="AT4934" si="5824">AR4934*0.1</f>
        <v>220000</v>
      </c>
      <c r="AU4934" s="119"/>
      <c r="AV4934" s="118">
        <v>21720</v>
      </c>
      <c r="AW4934" s="119"/>
      <c r="AX4934" s="118">
        <f t="shared" ref="AX4934" si="5825">SUM(AR4934:AW4934)</f>
        <v>2441720</v>
      </c>
      <c r="AY4934" s="119"/>
      <c r="AZ4934" s="137">
        <v>46049</v>
      </c>
    </row>
    <row r="4935" spans="1:52" ht="17.100000000000001" customHeight="1" thickBot="1">
      <c r="A4935" s="152"/>
      <c r="B4935" s="27" t="s">
        <v>2511</v>
      </c>
      <c r="C4935" s="27">
        <v>81075</v>
      </c>
      <c r="D4935" s="14" t="s">
        <v>1592</v>
      </c>
      <c r="E4935" s="112"/>
      <c r="F4935" s="139" t="s">
        <v>14721</v>
      </c>
      <c r="G4935" s="140"/>
      <c r="H4935" s="141"/>
      <c r="I4935" s="26">
        <v>69386</v>
      </c>
      <c r="J4935" s="117"/>
      <c r="K4935" s="120"/>
      <c r="L4935" s="121"/>
      <c r="M4935" s="120"/>
      <c r="N4935" s="121"/>
      <c r="O4935" s="120"/>
      <c r="P4935" s="121"/>
      <c r="Q4935" s="120"/>
      <c r="R4935" s="121"/>
      <c r="S4935" s="120"/>
      <c r="T4935" s="121"/>
      <c r="U4935" s="120"/>
      <c r="V4935" s="123"/>
      <c r="W4935" s="125"/>
      <c r="X4935" s="142" t="s">
        <v>15631</v>
      </c>
      <c r="Y4935" s="143"/>
      <c r="Z4935" s="143"/>
      <c r="AA4935" s="143"/>
      <c r="AB4935" s="144"/>
      <c r="AC4935" s="16" t="s">
        <v>21</v>
      </c>
      <c r="AD4935" s="17" t="s">
        <v>15604</v>
      </c>
      <c r="AE4935" s="145" t="s">
        <v>4883</v>
      </c>
      <c r="AF4935" s="146"/>
      <c r="AG4935" s="146"/>
      <c r="AH4935" s="146"/>
      <c r="AI4935" s="147"/>
      <c r="AJ4935" s="148"/>
      <c r="AK4935" s="143"/>
      <c r="AL4935" s="144"/>
      <c r="AM4935" s="22"/>
      <c r="AN4935" s="149" t="s">
        <v>2511</v>
      </c>
      <c r="AO4935" s="144"/>
      <c r="AP4935" s="148">
        <v>80097</v>
      </c>
      <c r="AQ4935" s="144"/>
      <c r="AR4935" s="120"/>
      <c r="AS4935" s="121"/>
      <c r="AT4935" s="120"/>
      <c r="AU4935" s="121"/>
      <c r="AV4935" s="120"/>
      <c r="AW4935" s="121"/>
      <c r="AX4935" s="120"/>
      <c r="AY4935" s="121"/>
      <c r="AZ4935" s="138"/>
    </row>
    <row r="4936" spans="1:52" ht="17.100000000000001" customHeight="1" thickTop="1">
      <c r="A4936" s="109" t="s">
        <v>14765</v>
      </c>
      <c r="B4936" s="28">
        <v>46032</v>
      </c>
      <c r="C4936" s="25">
        <v>1283</v>
      </c>
      <c r="D4936" s="13" t="s">
        <v>1986</v>
      </c>
      <c r="E4936" s="111"/>
      <c r="F4936" s="113" t="s">
        <v>14724</v>
      </c>
      <c r="G4936" s="114"/>
      <c r="H4936" s="115"/>
      <c r="I4936" s="24"/>
      <c r="J4936" s="116">
        <v>4</v>
      </c>
      <c r="K4936" s="118">
        <v>725000</v>
      </c>
      <c r="L4936" s="119"/>
      <c r="M4936" s="118">
        <f t="shared" ref="M4936" si="5826">K4936*0.1</f>
        <v>72500</v>
      </c>
      <c r="N4936" s="119"/>
      <c r="O4936" s="118">
        <v>0</v>
      </c>
      <c r="P4936" s="119"/>
      <c r="Q4936" s="118">
        <v>17250</v>
      </c>
      <c r="R4936" s="119"/>
      <c r="S4936" s="118">
        <v>16500</v>
      </c>
      <c r="T4936" s="119"/>
      <c r="U4936" s="118">
        <f t="shared" ref="U4936" si="5827">SUM(K4936:T4937)</f>
        <v>831250</v>
      </c>
      <c r="V4936" s="122"/>
      <c r="W4936" s="124"/>
      <c r="X4936" s="126" t="s">
        <v>15610</v>
      </c>
      <c r="Y4936" s="127"/>
      <c r="Z4936" s="127"/>
      <c r="AA4936" s="127"/>
      <c r="AB4936" s="128"/>
      <c r="AC4936" s="15" t="s">
        <v>20</v>
      </c>
      <c r="AD4936" s="129"/>
      <c r="AE4936" s="130"/>
      <c r="AF4936" s="130"/>
      <c r="AG4936" s="130"/>
      <c r="AH4936" s="130"/>
      <c r="AI4936" s="131"/>
      <c r="AJ4936" s="132"/>
      <c r="AK4936" s="127"/>
      <c r="AL4936" s="128"/>
      <c r="AM4936" s="21"/>
      <c r="AN4936" s="133">
        <v>46060</v>
      </c>
      <c r="AO4936" s="134"/>
      <c r="AP4936" s="135">
        <v>1287</v>
      </c>
      <c r="AQ4936" s="136"/>
      <c r="AR4936" s="118">
        <v>870000</v>
      </c>
      <c r="AS4936" s="119"/>
      <c r="AT4936" s="118">
        <f t="shared" ref="AT4936" si="5828">AR4936*0.1</f>
        <v>87000</v>
      </c>
      <c r="AU4936" s="119"/>
      <c r="AV4936" s="118">
        <v>17250</v>
      </c>
      <c r="AW4936" s="119"/>
      <c r="AX4936" s="118">
        <f t="shared" ref="AX4936" si="5829">SUM(AR4936:AW4936)</f>
        <v>974250</v>
      </c>
      <c r="AY4936" s="119"/>
      <c r="AZ4936" s="137">
        <v>46065</v>
      </c>
    </row>
    <row r="4937" spans="1:52" ht="17.100000000000001" customHeight="1" thickBot="1">
      <c r="A4937" s="110"/>
      <c r="B4937" s="27" t="s">
        <v>2511</v>
      </c>
      <c r="C4937" s="27">
        <v>82043</v>
      </c>
      <c r="D4937" s="14" t="s">
        <v>1592</v>
      </c>
      <c r="E4937" s="112"/>
      <c r="F4937" s="139" t="s">
        <v>14737</v>
      </c>
      <c r="G4937" s="140"/>
      <c r="H4937" s="141"/>
      <c r="I4937" s="26">
        <v>27821</v>
      </c>
      <c r="J4937" s="117"/>
      <c r="K4937" s="120"/>
      <c r="L4937" s="121"/>
      <c r="M4937" s="120"/>
      <c r="N4937" s="121"/>
      <c r="O4937" s="120"/>
      <c r="P4937" s="121"/>
      <c r="Q4937" s="120"/>
      <c r="R4937" s="121"/>
      <c r="S4937" s="120"/>
      <c r="T4937" s="121"/>
      <c r="U4937" s="120"/>
      <c r="V4937" s="123"/>
      <c r="W4937" s="125"/>
      <c r="X4937" s="142" t="s">
        <v>7100</v>
      </c>
      <c r="Y4937" s="143"/>
      <c r="Z4937" s="143"/>
      <c r="AA4937" s="143"/>
      <c r="AB4937" s="144"/>
      <c r="AC4937" s="16" t="s">
        <v>21</v>
      </c>
      <c r="AD4937" s="17" t="s">
        <v>15604</v>
      </c>
      <c r="AE4937" s="145" t="s">
        <v>17540</v>
      </c>
      <c r="AF4937" s="146"/>
      <c r="AG4937" s="146"/>
      <c r="AH4937" s="146"/>
      <c r="AI4937" s="147"/>
      <c r="AJ4937" s="148"/>
      <c r="AK4937" s="143"/>
      <c r="AL4937" s="144"/>
      <c r="AM4937" s="22"/>
      <c r="AN4937" s="149" t="s">
        <v>6748</v>
      </c>
      <c r="AO4937" s="144"/>
      <c r="AP4937" s="148">
        <v>80064</v>
      </c>
      <c r="AQ4937" s="144"/>
      <c r="AR4937" s="120"/>
      <c r="AS4937" s="121"/>
      <c r="AT4937" s="120"/>
      <c r="AU4937" s="121"/>
      <c r="AV4937" s="120"/>
      <c r="AW4937" s="121"/>
      <c r="AX4937" s="120"/>
      <c r="AY4937" s="121"/>
      <c r="AZ4937" s="138"/>
    </row>
    <row r="4938" spans="1:52" ht="17.100000000000001" customHeight="1" thickTop="1">
      <c r="A4938" s="109" t="s">
        <v>14766</v>
      </c>
      <c r="B4938" s="28">
        <v>46032</v>
      </c>
      <c r="C4938" s="25">
        <v>1283</v>
      </c>
      <c r="D4938" s="13" t="s">
        <v>1937</v>
      </c>
      <c r="E4938" s="111"/>
      <c r="F4938" s="113" t="s">
        <v>1871</v>
      </c>
      <c r="G4938" s="114"/>
      <c r="H4938" s="115"/>
      <c r="I4938" s="24"/>
      <c r="J4938" s="116">
        <v>4.5</v>
      </c>
      <c r="K4938" s="118">
        <v>850000</v>
      </c>
      <c r="L4938" s="119"/>
      <c r="M4938" s="118">
        <f t="shared" ref="M4938" si="5830">K4938*0.1</f>
        <v>85000</v>
      </c>
      <c r="N4938" s="119"/>
      <c r="O4938" s="118">
        <v>0</v>
      </c>
      <c r="P4938" s="119"/>
      <c r="Q4938" s="118">
        <v>18960</v>
      </c>
      <c r="R4938" s="119"/>
      <c r="S4938" s="118">
        <v>16500</v>
      </c>
      <c r="T4938" s="119"/>
      <c r="U4938" s="118">
        <f t="shared" ref="U4938" si="5831">SUM(K4938:T4939)</f>
        <v>970460</v>
      </c>
      <c r="V4938" s="122"/>
      <c r="W4938" s="124"/>
      <c r="X4938" s="126" t="s">
        <v>15615</v>
      </c>
      <c r="Y4938" s="127"/>
      <c r="Z4938" s="127"/>
      <c r="AA4938" s="127"/>
      <c r="AB4938" s="128"/>
      <c r="AC4938" s="15" t="s">
        <v>20</v>
      </c>
      <c r="AD4938" s="129" t="s">
        <v>1732</v>
      </c>
      <c r="AE4938" s="130"/>
      <c r="AF4938" s="130"/>
      <c r="AG4938" s="130"/>
      <c r="AH4938" s="130"/>
      <c r="AI4938" s="131"/>
      <c r="AJ4938" s="132"/>
      <c r="AK4938" s="127"/>
      <c r="AL4938" s="128"/>
      <c r="AM4938" s="21"/>
      <c r="AN4938" s="133">
        <v>46046</v>
      </c>
      <c r="AO4938" s="134"/>
      <c r="AP4938" s="135">
        <v>1285</v>
      </c>
      <c r="AQ4938" s="136"/>
      <c r="AR4938" s="118">
        <v>980000</v>
      </c>
      <c r="AS4938" s="119"/>
      <c r="AT4938" s="118">
        <f t="shared" ref="AT4938" si="5832">AR4938*0.1</f>
        <v>98000</v>
      </c>
      <c r="AU4938" s="119"/>
      <c r="AV4938" s="118">
        <v>18960</v>
      </c>
      <c r="AW4938" s="119"/>
      <c r="AX4938" s="118">
        <f t="shared" ref="AX4938" si="5833">SUM(AR4938:AW4938)</f>
        <v>1096960</v>
      </c>
      <c r="AY4938" s="119"/>
      <c r="AZ4938" s="137">
        <v>46049</v>
      </c>
    </row>
    <row r="4939" spans="1:52" ht="17.100000000000001" customHeight="1" thickBot="1">
      <c r="A4939" s="110"/>
      <c r="B4939" s="27" t="s">
        <v>2511</v>
      </c>
      <c r="C4939" s="27">
        <v>82070</v>
      </c>
      <c r="D4939" s="14" t="s">
        <v>1812</v>
      </c>
      <c r="E4939" s="112"/>
      <c r="F4939" s="139" t="s">
        <v>14725</v>
      </c>
      <c r="G4939" s="140"/>
      <c r="H4939" s="141"/>
      <c r="I4939" s="26">
        <v>20681</v>
      </c>
      <c r="J4939" s="117"/>
      <c r="K4939" s="120"/>
      <c r="L4939" s="121"/>
      <c r="M4939" s="120"/>
      <c r="N4939" s="121"/>
      <c r="O4939" s="120"/>
      <c r="P4939" s="121"/>
      <c r="Q4939" s="120"/>
      <c r="R4939" s="121"/>
      <c r="S4939" s="120"/>
      <c r="T4939" s="121"/>
      <c r="U4939" s="120"/>
      <c r="V4939" s="123"/>
      <c r="W4939" s="125"/>
      <c r="X4939" s="142" t="s">
        <v>15616</v>
      </c>
      <c r="Y4939" s="143"/>
      <c r="Z4939" s="143"/>
      <c r="AA4939" s="143"/>
      <c r="AB4939" s="144"/>
      <c r="AC4939" s="16" t="s">
        <v>21</v>
      </c>
      <c r="AD4939" s="17" t="s">
        <v>15604</v>
      </c>
      <c r="AE4939" s="145" t="s">
        <v>15617</v>
      </c>
      <c r="AF4939" s="146"/>
      <c r="AG4939" s="146"/>
      <c r="AH4939" s="146"/>
      <c r="AI4939" s="147"/>
      <c r="AJ4939" s="148"/>
      <c r="AK4939" s="143"/>
      <c r="AL4939" s="144"/>
      <c r="AM4939" s="22"/>
      <c r="AN4939" s="149" t="s">
        <v>2511</v>
      </c>
      <c r="AO4939" s="144"/>
      <c r="AP4939" s="148">
        <v>80078</v>
      </c>
      <c r="AQ4939" s="144"/>
      <c r="AR4939" s="120"/>
      <c r="AS4939" s="121"/>
      <c r="AT4939" s="120"/>
      <c r="AU4939" s="121"/>
      <c r="AV4939" s="120"/>
      <c r="AW4939" s="121"/>
      <c r="AX4939" s="120"/>
      <c r="AY4939" s="121"/>
      <c r="AZ4939" s="138"/>
    </row>
    <row r="4940" spans="1:52" ht="17.100000000000001" customHeight="1" thickTop="1">
      <c r="A4940" s="151" t="s">
        <v>14767</v>
      </c>
      <c r="B4940" s="28">
        <v>46032</v>
      </c>
      <c r="C4940" s="25">
        <v>1283</v>
      </c>
      <c r="D4940" s="13" t="s">
        <v>1714</v>
      </c>
      <c r="E4940" s="111"/>
      <c r="F4940" s="113" t="s">
        <v>14730</v>
      </c>
      <c r="G4940" s="114"/>
      <c r="H4940" s="115"/>
      <c r="I4940" s="24"/>
      <c r="J4940" s="116">
        <v>4.5</v>
      </c>
      <c r="K4940" s="118">
        <v>2770000</v>
      </c>
      <c r="L4940" s="119"/>
      <c r="M4940" s="118">
        <f t="shared" ref="M4940" si="5834">K4940*0.1</f>
        <v>277000</v>
      </c>
      <c r="N4940" s="119"/>
      <c r="O4940" s="118">
        <v>0</v>
      </c>
      <c r="P4940" s="119"/>
      <c r="Q4940" s="118">
        <v>21570</v>
      </c>
      <c r="R4940" s="119"/>
      <c r="S4940" s="118">
        <v>16500</v>
      </c>
      <c r="T4940" s="119"/>
      <c r="U4940" s="118">
        <f t="shared" ref="U4940" si="5835">SUM(K4940:T4941)</f>
        <v>3085070</v>
      </c>
      <c r="V4940" s="122"/>
      <c r="W4940" s="124"/>
      <c r="X4940" s="126" t="s">
        <v>15630</v>
      </c>
      <c r="Y4940" s="127"/>
      <c r="Z4940" s="127"/>
      <c r="AA4940" s="127"/>
      <c r="AB4940" s="128"/>
      <c r="AC4940" s="15" t="s">
        <v>20</v>
      </c>
      <c r="AD4940" s="129" t="s">
        <v>1633</v>
      </c>
      <c r="AE4940" s="130"/>
      <c r="AF4940" s="130"/>
      <c r="AG4940" s="130"/>
      <c r="AH4940" s="130"/>
      <c r="AI4940" s="131"/>
      <c r="AJ4940" s="132"/>
      <c r="AK4940" s="127"/>
      <c r="AL4940" s="128"/>
      <c r="AM4940" s="21"/>
      <c r="AN4940" s="133">
        <v>46039</v>
      </c>
      <c r="AO4940" s="134"/>
      <c r="AP4940" s="135">
        <v>1284</v>
      </c>
      <c r="AQ4940" s="136"/>
      <c r="AR4940" s="118">
        <v>3155000</v>
      </c>
      <c r="AS4940" s="119"/>
      <c r="AT4940" s="118">
        <f t="shared" ref="AT4940" si="5836">AR4940*0.1</f>
        <v>315500</v>
      </c>
      <c r="AU4940" s="119"/>
      <c r="AV4940" s="118">
        <v>21570</v>
      </c>
      <c r="AW4940" s="119"/>
      <c r="AX4940" s="118">
        <f t="shared" ref="AX4940" si="5837">SUM(AR4940:AW4940)</f>
        <v>3492070</v>
      </c>
      <c r="AY4940" s="119"/>
      <c r="AZ4940" s="137">
        <v>46049</v>
      </c>
    </row>
    <row r="4941" spans="1:52" ht="17.100000000000001" customHeight="1" thickBot="1">
      <c r="A4941" s="152"/>
      <c r="B4941" s="27" t="s">
        <v>2511</v>
      </c>
      <c r="C4941" s="27">
        <v>82442</v>
      </c>
      <c r="D4941" s="14" t="s">
        <v>1576</v>
      </c>
      <c r="E4941" s="112"/>
      <c r="F4941" s="139" t="s">
        <v>14731</v>
      </c>
      <c r="G4941" s="140"/>
      <c r="H4941" s="141"/>
      <c r="I4941" s="26">
        <v>49217</v>
      </c>
      <c r="J4941" s="117"/>
      <c r="K4941" s="120"/>
      <c r="L4941" s="121"/>
      <c r="M4941" s="120"/>
      <c r="N4941" s="121"/>
      <c r="O4941" s="120"/>
      <c r="P4941" s="121"/>
      <c r="Q4941" s="120"/>
      <c r="R4941" s="121"/>
      <c r="S4941" s="120"/>
      <c r="T4941" s="121"/>
      <c r="U4941" s="120"/>
      <c r="V4941" s="123"/>
      <c r="W4941" s="125"/>
      <c r="X4941" s="142" t="s">
        <v>1997</v>
      </c>
      <c r="Y4941" s="143"/>
      <c r="Z4941" s="143"/>
      <c r="AA4941" s="143"/>
      <c r="AB4941" s="144"/>
      <c r="AC4941" s="16" t="s">
        <v>21</v>
      </c>
      <c r="AD4941" s="17" t="s">
        <v>15604</v>
      </c>
      <c r="AE4941" s="145" t="s">
        <v>1633</v>
      </c>
      <c r="AF4941" s="146"/>
      <c r="AG4941" s="146"/>
      <c r="AH4941" s="146"/>
      <c r="AI4941" s="147"/>
      <c r="AJ4941" s="148"/>
      <c r="AK4941" s="143"/>
      <c r="AL4941" s="144"/>
      <c r="AM4941" s="22"/>
      <c r="AN4941" s="149" t="s">
        <v>2511</v>
      </c>
      <c r="AO4941" s="144"/>
      <c r="AP4941" s="148">
        <v>80066</v>
      </c>
      <c r="AQ4941" s="144"/>
      <c r="AR4941" s="120"/>
      <c r="AS4941" s="121"/>
      <c r="AT4941" s="120"/>
      <c r="AU4941" s="121"/>
      <c r="AV4941" s="120"/>
      <c r="AW4941" s="121"/>
      <c r="AX4941" s="120"/>
      <c r="AY4941" s="121"/>
      <c r="AZ4941" s="138"/>
    </row>
    <row r="4942" spans="1:52" ht="17.100000000000001" customHeight="1" thickTop="1">
      <c r="A4942" s="109" t="s">
        <v>14768</v>
      </c>
      <c r="B4942" s="28">
        <v>46032</v>
      </c>
      <c r="C4942" s="25">
        <v>1283</v>
      </c>
      <c r="D4942" s="13" t="s">
        <v>1563</v>
      </c>
      <c r="E4942" s="111"/>
      <c r="F4942" s="113" t="s">
        <v>9965</v>
      </c>
      <c r="G4942" s="114"/>
      <c r="H4942" s="115"/>
      <c r="I4942" s="24" t="s">
        <v>2976</v>
      </c>
      <c r="J4942" s="116">
        <v>4</v>
      </c>
      <c r="K4942" s="118">
        <v>1730000</v>
      </c>
      <c r="L4942" s="119"/>
      <c r="M4942" s="118">
        <f t="shared" ref="M4942" si="5838">K4942*0.1</f>
        <v>173000</v>
      </c>
      <c r="N4942" s="119"/>
      <c r="O4942" s="118">
        <v>6600</v>
      </c>
      <c r="P4942" s="119"/>
      <c r="Q4942" s="118">
        <v>17800</v>
      </c>
      <c r="R4942" s="119"/>
      <c r="S4942" s="118">
        <v>23100</v>
      </c>
      <c r="T4942" s="119"/>
      <c r="U4942" s="118">
        <f t="shared" ref="U4942" si="5839">SUM(K4942:T4943)</f>
        <v>1950500</v>
      </c>
      <c r="V4942" s="122"/>
      <c r="W4942" s="124"/>
      <c r="X4942" s="126" t="s">
        <v>14735</v>
      </c>
      <c r="Y4942" s="127"/>
      <c r="Z4942" s="127"/>
      <c r="AA4942" s="127"/>
      <c r="AB4942" s="128"/>
      <c r="AC4942" s="15" t="s">
        <v>20</v>
      </c>
      <c r="AD4942" s="129" t="s">
        <v>3412</v>
      </c>
      <c r="AE4942" s="130"/>
      <c r="AF4942" s="130"/>
      <c r="AG4942" s="130"/>
      <c r="AH4942" s="130"/>
      <c r="AI4942" s="131"/>
      <c r="AJ4942" s="132"/>
      <c r="AK4942" s="127"/>
      <c r="AL4942" s="128"/>
      <c r="AM4942" s="21"/>
      <c r="AN4942" s="133">
        <v>46044</v>
      </c>
      <c r="AO4942" s="134"/>
      <c r="AP4942" s="135">
        <v>1315</v>
      </c>
      <c r="AQ4942" s="136"/>
      <c r="AR4942" s="118">
        <v>2015000</v>
      </c>
      <c r="AS4942" s="119"/>
      <c r="AT4942" s="118">
        <f t="shared" ref="AT4942" si="5840">AR4942*0.1</f>
        <v>201500</v>
      </c>
      <c r="AU4942" s="119"/>
      <c r="AV4942" s="118">
        <v>17800</v>
      </c>
      <c r="AW4942" s="119"/>
      <c r="AX4942" s="118">
        <f t="shared" ref="AX4942" si="5841">SUM(AR4942:AW4942)</f>
        <v>2234300</v>
      </c>
      <c r="AY4942" s="119"/>
      <c r="AZ4942" s="137">
        <v>46045</v>
      </c>
    </row>
    <row r="4943" spans="1:52" ht="17.100000000000001" customHeight="1" thickBot="1">
      <c r="A4943" s="110"/>
      <c r="B4943" s="27" t="s">
        <v>2511</v>
      </c>
      <c r="C4943" s="27">
        <v>82447</v>
      </c>
      <c r="D4943" s="14" t="s">
        <v>275</v>
      </c>
      <c r="E4943" s="112"/>
      <c r="F4943" s="139" t="s">
        <v>14734</v>
      </c>
      <c r="G4943" s="140"/>
      <c r="H4943" s="141"/>
      <c r="I4943" s="26">
        <v>50549</v>
      </c>
      <c r="J4943" s="117"/>
      <c r="K4943" s="120"/>
      <c r="L4943" s="121"/>
      <c r="M4943" s="120"/>
      <c r="N4943" s="121"/>
      <c r="O4943" s="120"/>
      <c r="P4943" s="121"/>
      <c r="Q4943" s="120"/>
      <c r="R4943" s="121"/>
      <c r="S4943" s="120"/>
      <c r="T4943" s="121"/>
      <c r="U4943" s="120"/>
      <c r="V4943" s="123"/>
      <c r="W4943" s="125"/>
      <c r="X4943" s="142" t="s">
        <v>1594</v>
      </c>
      <c r="Y4943" s="143"/>
      <c r="Z4943" s="143"/>
      <c r="AA4943" s="143"/>
      <c r="AB4943" s="144"/>
      <c r="AC4943" s="16" t="s">
        <v>21</v>
      </c>
      <c r="AD4943" s="17" t="s">
        <v>15604</v>
      </c>
      <c r="AE4943" s="145" t="s">
        <v>14645</v>
      </c>
      <c r="AF4943" s="146"/>
      <c r="AG4943" s="146"/>
      <c r="AH4943" s="146"/>
      <c r="AI4943" s="147"/>
      <c r="AJ4943" s="148"/>
      <c r="AK4943" s="143"/>
      <c r="AL4943" s="144"/>
      <c r="AM4943" s="22"/>
      <c r="AN4943" s="149" t="s">
        <v>13663</v>
      </c>
      <c r="AO4943" s="144"/>
      <c r="AP4943" s="148">
        <v>326</v>
      </c>
      <c r="AQ4943" s="144"/>
      <c r="AR4943" s="120"/>
      <c r="AS4943" s="121"/>
      <c r="AT4943" s="120"/>
      <c r="AU4943" s="121"/>
      <c r="AV4943" s="120"/>
      <c r="AW4943" s="121"/>
      <c r="AX4943" s="120"/>
      <c r="AY4943" s="121"/>
      <c r="AZ4943" s="138"/>
    </row>
    <row r="4944" spans="1:52" ht="17.100000000000001" customHeight="1" thickTop="1">
      <c r="A4944" s="109" t="s">
        <v>14769</v>
      </c>
      <c r="B4944" s="28">
        <v>46034</v>
      </c>
      <c r="C4944" s="25">
        <v>83</v>
      </c>
      <c r="D4944" s="13" t="s">
        <v>2963</v>
      </c>
      <c r="E4944" s="111"/>
      <c r="F4944" s="113" t="s">
        <v>14796</v>
      </c>
      <c r="G4944" s="114"/>
      <c r="H4944" s="115"/>
      <c r="I4944" s="24" t="s">
        <v>1547</v>
      </c>
      <c r="J4944" s="116">
        <v>4.5</v>
      </c>
      <c r="K4944" s="118">
        <v>1700000</v>
      </c>
      <c r="L4944" s="119"/>
      <c r="M4944" s="118">
        <f t="shared" ref="M4944" si="5842">K4944*0.1</f>
        <v>170000</v>
      </c>
      <c r="N4944" s="119"/>
      <c r="O4944" s="118">
        <v>3300</v>
      </c>
      <c r="P4944" s="119"/>
      <c r="Q4944" s="118">
        <v>10220</v>
      </c>
      <c r="R4944" s="119"/>
      <c r="S4944" s="118">
        <v>44000</v>
      </c>
      <c r="T4944" s="119"/>
      <c r="U4944" s="118">
        <f t="shared" ref="U4944" si="5843">SUM(K4944:T4945)</f>
        <v>1927520</v>
      </c>
      <c r="V4944" s="122"/>
      <c r="W4944" s="124"/>
      <c r="X4944" s="126" t="s">
        <v>17723</v>
      </c>
      <c r="Y4944" s="127"/>
      <c r="Z4944" s="127"/>
      <c r="AA4944" s="127"/>
      <c r="AB4944" s="128"/>
      <c r="AC4944" s="15" t="s">
        <v>20</v>
      </c>
      <c r="AD4944" s="129" t="s">
        <v>14797</v>
      </c>
      <c r="AE4944" s="130"/>
      <c r="AF4944" s="130"/>
      <c r="AG4944" s="130"/>
      <c r="AH4944" s="130"/>
      <c r="AI4944" s="131"/>
      <c r="AJ4944" s="132"/>
      <c r="AK4944" s="127"/>
      <c r="AL4944" s="128"/>
      <c r="AM4944" s="21"/>
      <c r="AN4944" s="133">
        <v>46088</v>
      </c>
      <c r="AO4944" s="134"/>
      <c r="AP4944" s="135">
        <v>1291</v>
      </c>
      <c r="AQ4944" s="136"/>
      <c r="AR4944" s="118">
        <v>1750000</v>
      </c>
      <c r="AS4944" s="119"/>
      <c r="AT4944" s="118">
        <f t="shared" ref="AT4944" si="5844">AR4944*0.1</f>
        <v>175000</v>
      </c>
      <c r="AU4944" s="119"/>
      <c r="AV4944" s="118">
        <v>10220</v>
      </c>
      <c r="AW4944" s="119"/>
      <c r="AX4944" s="118">
        <f t="shared" ref="AX4944" si="5845">SUM(AR4944:AW4944)</f>
        <v>1935220</v>
      </c>
      <c r="AY4944" s="119"/>
      <c r="AZ4944" s="137">
        <v>46091</v>
      </c>
    </row>
    <row r="4945" spans="1:52" ht="17.100000000000001" customHeight="1" thickBot="1">
      <c r="A4945" s="110"/>
      <c r="B4945" s="27" t="s">
        <v>4544</v>
      </c>
      <c r="C4945" s="27">
        <v>1009</v>
      </c>
      <c r="D4945" s="14" t="s">
        <v>2800</v>
      </c>
      <c r="E4945" s="112"/>
      <c r="F4945" s="139" t="s">
        <v>14774</v>
      </c>
      <c r="G4945" s="140"/>
      <c r="H4945" s="141"/>
      <c r="I4945" s="26">
        <v>35492</v>
      </c>
      <c r="J4945" s="117"/>
      <c r="K4945" s="120"/>
      <c r="L4945" s="121"/>
      <c r="M4945" s="120"/>
      <c r="N4945" s="121"/>
      <c r="O4945" s="120"/>
      <c r="P4945" s="121"/>
      <c r="Q4945" s="120"/>
      <c r="R4945" s="121"/>
      <c r="S4945" s="120"/>
      <c r="T4945" s="121"/>
      <c r="U4945" s="120"/>
      <c r="V4945" s="123"/>
      <c r="W4945" s="125"/>
      <c r="X4945" s="142" t="s">
        <v>17724</v>
      </c>
      <c r="Y4945" s="143"/>
      <c r="Z4945" s="143"/>
      <c r="AA4945" s="143"/>
      <c r="AB4945" s="144"/>
      <c r="AC4945" s="16" t="s">
        <v>21</v>
      </c>
      <c r="AD4945" s="17" t="s">
        <v>2298</v>
      </c>
      <c r="AE4945" s="145" t="s">
        <v>8039</v>
      </c>
      <c r="AF4945" s="146"/>
      <c r="AG4945" s="146"/>
      <c r="AH4945" s="146"/>
      <c r="AI4945" s="147"/>
      <c r="AJ4945" s="148"/>
      <c r="AK4945" s="143"/>
      <c r="AL4945" s="144"/>
      <c r="AM4945" s="22"/>
      <c r="AN4945" s="149" t="s">
        <v>2511</v>
      </c>
      <c r="AO4945" s="144"/>
      <c r="AP4945" s="148">
        <v>31004</v>
      </c>
      <c r="AQ4945" s="144"/>
      <c r="AR4945" s="120"/>
      <c r="AS4945" s="121"/>
      <c r="AT4945" s="120"/>
      <c r="AU4945" s="121"/>
      <c r="AV4945" s="120"/>
      <c r="AW4945" s="121"/>
      <c r="AX4945" s="120"/>
      <c r="AY4945" s="121"/>
      <c r="AZ4945" s="138"/>
    </row>
    <row r="4946" spans="1:52" ht="17.100000000000001" customHeight="1" thickTop="1">
      <c r="A4946" s="109" t="s">
        <v>14770</v>
      </c>
      <c r="B4946" s="28">
        <v>46034</v>
      </c>
      <c r="C4946" s="25">
        <v>83</v>
      </c>
      <c r="D4946" s="13" t="s">
        <v>1855</v>
      </c>
      <c r="E4946" s="111"/>
      <c r="F4946" s="113" t="s">
        <v>3973</v>
      </c>
      <c r="G4946" s="114"/>
      <c r="H4946" s="115"/>
      <c r="I4946" s="24" t="s">
        <v>4109</v>
      </c>
      <c r="J4946" s="150" t="s">
        <v>1715</v>
      </c>
      <c r="K4946" s="118">
        <v>655000</v>
      </c>
      <c r="L4946" s="119"/>
      <c r="M4946" s="118">
        <f t="shared" ref="M4946" si="5846">K4946*0.1</f>
        <v>65500</v>
      </c>
      <c r="N4946" s="119"/>
      <c r="O4946" s="118">
        <f>6500+650</f>
        <v>7150</v>
      </c>
      <c r="P4946" s="119"/>
      <c r="Q4946" s="118">
        <v>12470</v>
      </c>
      <c r="R4946" s="119"/>
      <c r="S4946" s="118">
        <v>33000</v>
      </c>
      <c r="T4946" s="119"/>
      <c r="U4946" s="118">
        <f t="shared" ref="U4946" si="5847">SUM(K4946:T4947)</f>
        <v>773120</v>
      </c>
      <c r="V4946" s="122"/>
      <c r="W4946" s="124"/>
      <c r="X4946" s="126" t="s">
        <v>16334</v>
      </c>
      <c r="Y4946" s="127"/>
      <c r="Z4946" s="127"/>
      <c r="AA4946" s="127"/>
      <c r="AB4946" s="128"/>
      <c r="AC4946" s="15" t="s">
        <v>20</v>
      </c>
      <c r="AD4946" s="129" t="s">
        <v>14798</v>
      </c>
      <c r="AE4946" s="130"/>
      <c r="AF4946" s="130"/>
      <c r="AG4946" s="130"/>
      <c r="AH4946" s="130"/>
      <c r="AI4946" s="131"/>
      <c r="AJ4946" s="132"/>
      <c r="AK4946" s="127"/>
      <c r="AL4946" s="128"/>
      <c r="AM4946" s="21"/>
      <c r="AN4946" s="133">
        <v>46046</v>
      </c>
      <c r="AO4946" s="134"/>
      <c r="AP4946" s="135">
        <v>1285</v>
      </c>
      <c r="AQ4946" s="136"/>
      <c r="AR4946" s="118">
        <v>815000</v>
      </c>
      <c r="AS4946" s="119"/>
      <c r="AT4946" s="118">
        <f t="shared" ref="AT4946" si="5848">AR4946*0.1</f>
        <v>81500</v>
      </c>
      <c r="AU4946" s="119"/>
      <c r="AV4946" s="118">
        <v>12470</v>
      </c>
      <c r="AW4946" s="119"/>
      <c r="AX4946" s="118">
        <f t="shared" ref="AX4946" si="5849">SUM(AR4946:AW4946)</f>
        <v>908970</v>
      </c>
      <c r="AY4946" s="119"/>
      <c r="AZ4946" s="137">
        <v>46056</v>
      </c>
    </row>
    <row r="4947" spans="1:52" ht="17.100000000000001" customHeight="1" thickBot="1">
      <c r="A4947" s="110"/>
      <c r="B4947" s="27" t="s">
        <v>4544</v>
      </c>
      <c r="C4947" s="27">
        <v>1010</v>
      </c>
      <c r="D4947" s="14" t="s">
        <v>2040</v>
      </c>
      <c r="E4947" s="112"/>
      <c r="F4947" s="139" t="s">
        <v>14775</v>
      </c>
      <c r="G4947" s="140"/>
      <c r="H4947" s="141"/>
      <c r="I4947" s="26">
        <v>129334</v>
      </c>
      <c r="J4947" s="117"/>
      <c r="K4947" s="120"/>
      <c r="L4947" s="121"/>
      <c r="M4947" s="120"/>
      <c r="N4947" s="121"/>
      <c r="O4947" s="120"/>
      <c r="P4947" s="121"/>
      <c r="Q4947" s="120"/>
      <c r="R4947" s="121"/>
      <c r="S4947" s="120"/>
      <c r="T4947" s="121"/>
      <c r="U4947" s="120"/>
      <c r="V4947" s="123"/>
      <c r="W4947" s="125"/>
      <c r="X4947" s="142" t="s">
        <v>8523</v>
      </c>
      <c r="Y4947" s="143"/>
      <c r="Z4947" s="143"/>
      <c r="AA4947" s="143"/>
      <c r="AB4947" s="144"/>
      <c r="AC4947" s="16" t="s">
        <v>21</v>
      </c>
      <c r="AD4947" s="17" t="s">
        <v>1837</v>
      </c>
      <c r="AE4947" s="145" t="s">
        <v>10730</v>
      </c>
      <c r="AF4947" s="146"/>
      <c r="AG4947" s="146"/>
      <c r="AH4947" s="146"/>
      <c r="AI4947" s="147"/>
      <c r="AJ4947" s="148"/>
      <c r="AK4947" s="143"/>
      <c r="AL4947" s="144"/>
      <c r="AM4947" s="22"/>
      <c r="AN4947" s="149" t="s">
        <v>2511</v>
      </c>
      <c r="AO4947" s="144"/>
      <c r="AP4947" s="148">
        <v>33094</v>
      </c>
      <c r="AQ4947" s="144"/>
      <c r="AR4947" s="120"/>
      <c r="AS4947" s="121"/>
      <c r="AT4947" s="120"/>
      <c r="AU4947" s="121"/>
      <c r="AV4947" s="120"/>
      <c r="AW4947" s="121"/>
      <c r="AX4947" s="120"/>
      <c r="AY4947" s="121"/>
      <c r="AZ4947" s="138"/>
    </row>
    <row r="4948" spans="1:52" ht="17.100000000000001" customHeight="1" thickTop="1">
      <c r="A4948" s="109" t="s">
        <v>14771</v>
      </c>
      <c r="B4948" s="28">
        <v>46034</v>
      </c>
      <c r="C4948" s="25">
        <v>2076</v>
      </c>
      <c r="D4948" s="13" t="s">
        <v>1888</v>
      </c>
      <c r="E4948" s="111"/>
      <c r="F4948" s="113" t="s">
        <v>2732</v>
      </c>
      <c r="G4948" s="114"/>
      <c r="H4948" s="115"/>
      <c r="I4948" s="24"/>
      <c r="J4948" s="116">
        <v>4.5</v>
      </c>
      <c r="K4948" s="118">
        <v>620000</v>
      </c>
      <c r="L4948" s="119"/>
      <c r="M4948" s="118">
        <f t="shared" ref="M4948" si="5850">K4948*0.1</f>
        <v>62000</v>
      </c>
      <c r="N4948" s="119"/>
      <c r="O4948" s="118">
        <v>0</v>
      </c>
      <c r="P4948" s="119"/>
      <c r="Q4948" s="118">
        <v>17700</v>
      </c>
      <c r="R4948" s="119"/>
      <c r="S4948" s="118">
        <v>17600</v>
      </c>
      <c r="T4948" s="119"/>
      <c r="U4948" s="118">
        <f t="shared" ref="U4948" si="5851">SUM(K4948:T4949)</f>
        <v>717300</v>
      </c>
      <c r="V4948" s="122"/>
      <c r="W4948" s="124"/>
      <c r="X4948" s="126" t="s">
        <v>15313</v>
      </c>
      <c r="Y4948" s="127"/>
      <c r="Z4948" s="127"/>
      <c r="AA4948" s="127"/>
      <c r="AB4948" s="128"/>
      <c r="AC4948" s="15" t="s">
        <v>20</v>
      </c>
      <c r="AD4948" s="129" t="s">
        <v>171</v>
      </c>
      <c r="AE4948" s="130"/>
      <c r="AF4948" s="130"/>
      <c r="AG4948" s="130"/>
      <c r="AH4948" s="130"/>
      <c r="AI4948" s="131"/>
      <c r="AJ4948" s="132"/>
      <c r="AK4948" s="127"/>
      <c r="AL4948" s="128"/>
      <c r="AM4948" s="21"/>
      <c r="AN4948" s="133">
        <v>46046</v>
      </c>
      <c r="AO4948" s="134"/>
      <c r="AP4948" s="135">
        <v>1285</v>
      </c>
      <c r="AQ4948" s="136"/>
      <c r="AR4948" s="118">
        <v>840000</v>
      </c>
      <c r="AS4948" s="119"/>
      <c r="AT4948" s="118">
        <f t="shared" ref="AT4948" si="5852">AR4948*0.1</f>
        <v>84000</v>
      </c>
      <c r="AU4948" s="119"/>
      <c r="AV4948" s="118">
        <v>17700</v>
      </c>
      <c r="AW4948" s="119"/>
      <c r="AX4948" s="118">
        <f t="shared" ref="AX4948" si="5853">SUM(AR4948:AW4948)</f>
        <v>941700</v>
      </c>
      <c r="AY4948" s="119"/>
      <c r="AZ4948" s="137">
        <v>46049</v>
      </c>
    </row>
    <row r="4949" spans="1:52" ht="17.100000000000001" customHeight="1" thickBot="1">
      <c r="A4949" s="110"/>
      <c r="B4949" s="27" t="s">
        <v>83</v>
      </c>
      <c r="C4949" s="27">
        <v>32013</v>
      </c>
      <c r="D4949" s="14" t="s">
        <v>275</v>
      </c>
      <c r="E4949" s="112"/>
      <c r="F4949" s="139" t="s">
        <v>14779</v>
      </c>
      <c r="G4949" s="140"/>
      <c r="H4949" s="141"/>
      <c r="I4949" s="26">
        <v>51403</v>
      </c>
      <c r="J4949" s="117"/>
      <c r="K4949" s="120"/>
      <c r="L4949" s="121"/>
      <c r="M4949" s="120"/>
      <c r="N4949" s="121"/>
      <c r="O4949" s="120"/>
      <c r="P4949" s="121"/>
      <c r="Q4949" s="120"/>
      <c r="R4949" s="121"/>
      <c r="S4949" s="120"/>
      <c r="T4949" s="121"/>
      <c r="U4949" s="120"/>
      <c r="V4949" s="123"/>
      <c r="W4949" s="125"/>
      <c r="X4949" s="142" t="s">
        <v>15314</v>
      </c>
      <c r="Y4949" s="143"/>
      <c r="Z4949" s="143"/>
      <c r="AA4949" s="143"/>
      <c r="AB4949" s="144"/>
      <c r="AC4949" s="16" t="s">
        <v>21</v>
      </c>
      <c r="AD4949" s="17" t="s">
        <v>15315</v>
      </c>
      <c r="AE4949" s="145" t="s">
        <v>15316</v>
      </c>
      <c r="AF4949" s="146"/>
      <c r="AG4949" s="146"/>
      <c r="AH4949" s="146"/>
      <c r="AI4949" s="147"/>
      <c r="AJ4949" s="148"/>
      <c r="AK4949" s="143"/>
      <c r="AL4949" s="144"/>
      <c r="AM4949" s="22"/>
      <c r="AN4949" s="149" t="s">
        <v>2511</v>
      </c>
      <c r="AO4949" s="144"/>
      <c r="AP4949" s="148">
        <v>80068</v>
      </c>
      <c r="AQ4949" s="144"/>
      <c r="AR4949" s="120"/>
      <c r="AS4949" s="121"/>
      <c r="AT4949" s="120"/>
      <c r="AU4949" s="121"/>
      <c r="AV4949" s="120"/>
      <c r="AW4949" s="121"/>
      <c r="AX4949" s="120"/>
      <c r="AY4949" s="121"/>
      <c r="AZ4949" s="138"/>
    </row>
    <row r="4950" spans="1:52" ht="17.100000000000001" customHeight="1" thickTop="1">
      <c r="A4950" s="109" t="s">
        <v>14772</v>
      </c>
      <c r="B4950" s="28">
        <v>46034</v>
      </c>
      <c r="C4950" s="25">
        <v>2076</v>
      </c>
      <c r="D4950" s="13" t="s">
        <v>3832</v>
      </c>
      <c r="E4950" s="111"/>
      <c r="F4950" s="113" t="s">
        <v>8274</v>
      </c>
      <c r="G4950" s="114"/>
      <c r="H4950" s="115"/>
      <c r="I4950" s="24" t="s">
        <v>2976</v>
      </c>
      <c r="J4950" s="116">
        <v>5</v>
      </c>
      <c r="K4950" s="118">
        <v>2865000</v>
      </c>
      <c r="L4950" s="119"/>
      <c r="M4950" s="118">
        <f t="shared" ref="M4950" si="5854">K4950*0.1</f>
        <v>286500</v>
      </c>
      <c r="N4950" s="119"/>
      <c r="O4950" s="118">
        <v>6600</v>
      </c>
      <c r="P4950" s="119"/>
      <c r="Q4950" s="118">
        <v>13770</v>
      </c>
      <c r="R4950" s="119"/>
      <c r="S4950" s="118">
        <v>11000</v>
      </c>
      <c r="T4950" s="119"/>
      <c r="U4950" s="118">
        <f t="shared" ref="U4950" si="5855">SUM(K4950:T4951)</f>
        <v>3182870</v>
      </c>
      <c r="V4950" s="122"/>
      <c r="W4950" s="124"/>
      <c r="X4950" s="126" t="s">
        <v>14793</v>
      </c>
      <c r="Y4950" s="127"/>
      <c r="Z4950" s="127"/>
      <c r="AA4950" s="127"/>
      <c r="AB4950" s="128"/>
      <c r="AC4950" s="15" t="s">
        <v>20</v>
      </c>
      <c r="AD4950" s="129" t="s">
        <v>171</v>
      </c>
      <c r="AE4950" s="130"/>
      <c r="AF4950" s="130"/>
      <c r="AG4950" s="130"/>
      <c r="AH4950" s="130"/>
      <c r="AI4950" s="131"/>
      <c r="AJ4950" s="132"/>
      <c r="AK4950" s="127"/>
      <c r="AL4950" s="128"/>
      <c r="AM4950" s="21"/>
      <c r="AN4950" s="133">
        <v>46046</v>
      </c>
      <c r="AO4950" s="134"/>
      <c r="AP4950" s="135">
        <v>1285</v>
      </c>
      <c r="AQ4950" s="136"/>
      <c r="AR4950" s="118">
        <v>3050000</v>
      </c>
      <c r="AS4950" s="119"/>
      <c r="AT4950" s="118">
        <f t="shared" ref="AT4950" si="5856">AR4950*0.1</f>
        <v>305000</v>
      </c>
      <c r="AU4950" s="119"/>
      <c r="AV4950" s="118">
        <v>13770</v>
      </c>
      <c r="AW4950" s="119"/>
      <c r="AX4950" s="118">
        <f t="shared" ref="AX4950" si="5857">SUM(AR4950:AW4950)</f>
        <v>3368770</v>
      </c>
      <c r="AY4950" s="119"/>
      <c r="AZ4950" s="137">
        <v>46049</v>
      </c>
    </row>
    <row r="4951" spans="1:52" ht="17.100000000000001" customHeight="1" thickBot="1">
      <c r="A4951" s="110"/>
      <c r="B4951" s="27" t="s">
        <v>83</v>
      </c>
      <c r="C4951" s="27">
        <v>33543</v>
      </c>
      <c r="D4951" s="14" t="s">
        <v>275</v>
      </c>
      <c r="E4951" s="112"/>
      <c r="F4951" s="139" t="s">
        <v>14780</v>
      </c>
      <c r="G4951" s="140"/>
      <c r="H4951" s="141"/>
      <c r="I4951" s="26">
        <v>28346</v>
      </c>
      <c r="J4951" s="117"/>
      <c r="K4951" s="120"/>
      <c r="L4951" s="121"/>
      <c r="M4951" s="120"/>
      <c r="N4951" s="121"/>
      <c r="O4951" s="120"/>
      <c r="P4951" s="121"/>
      <c r="Q4951" s="120"/>
      <c r="R4951" s="121"/>
      <c r="S4951" s="120"/>
      <c r="T4951" s="121"/>
      <c r="U4951" s="120"/>
      <c r="V4951" s="123"/>
      <c r="W4951" s="125"/>
      <c r="X4951" s="142" t="s">
        <v>4820</v>
      </c>
      <c r="Y4951" s="143"/>
      <c r="Z4951" s="143"/>
      <c r="AA4951" s="143"/>
      <c r="AB4951" s="144"/>
      <c r="AC4951" s="16" t="s">
        <v>21</v>
      </c>
      <c r="AD4951" s="17" t="s">
        <v>15379</v>
      </c>
      <c r="AE4951" s="145" t="s">
        <v>15059</v>
      </c>
      <c r="AF4951" s="146"/>
      <c r="AG4951" s="146"/>
      <c r="AH4951" s="146"/>
      <c r="AI4951" s="147"/>
      <c r="AJ4951" s="148"/>
      <c r="AK4951" s="143"/>
      <c r="AL4951" s="144"/>
      <c r="AM4951" s="22"/>
      <c r="AN4951" s="149" t="s">
        <v>2511</v>
      </c>
      <c r="AO4951" s="144"/>
      <c r="AP4951" s="148">
        <v>80039</v>
      </c>
      <c r="AQ4951" s="144"/>
      <c r="AR4951" s="120"/>
      <c r="AS4951" s="121"/>
      <c r="AT4951" s="120"/>
      <c r="AU4951" s="121"/>
      <c r="AV4951" s="120"/>
      <c r="AW4951" s="121"/>
      <c r="AX4951" s="120"/>
      <c r="AY4951" s="121"/>
      <c r="AZ4951" s="138"/>
    </row>
    <row r="4952" spans="1:52" ht="17.100000000000001" customHeight="1" thickTop="1">
      <c r="A4952" s="151" t="s">
        <v>14773</v>
      </c>
      <c r="B4952" s="28">
        <v>46034</v>
      </c>
      <c r="C4952" s="25">
        <v>2076</v>
      </c>
      <c r="D4952" s="13" t="s">
        <v>2442</v>
      </c>
      <c r="E4952" s="111"/>
      <c r="F4952" s="113" t="s">
        <v>14794</v>
      </c>
      <c r="G4952" s="114"/>
      <c r="H4952" s="115"/>
      <c r="I4952" s="24"/>
      <c r="J4952" s="116">
        <v>4</v>
      </c>
      <c r="K4952" s="118">
        <v>504000</v>
      </c>
      <c r="L4952" s="119"/>
      <c r="M4952" s="118">
        <f t="shared" ref="M4952" si="5858">K4952*0.1</f>
        <v>50400</v>
      </c>
      <c r="N4952" s="119"/>
      <c r="O4952" s="118">
        <v>0</v>
      </c>
      <c r="P4952" s="119"/>
      <c r="Q4952" s="118">
        <v>14500</v>
      </c>
      <c r="R4952" s="119"/>
      <c r="S4952" s="118">
        <v>11000</v>
      </c>
      <c r="T4952" s="119"/>
      <c r="U4952" s="118">
        <f t="shared" ref="U4952" si="5859">SUM(K4952:T4953)</f>
        <v>579900</v>
      </c>
      <c r="V4952" s="122"/>
      <c r="W4952" s="124"/>
      <c r="X4952" s="126" t="s">
        <v>14989</v>
      </c>
      <c r="Y4952" s="127"/>
      <c r="Z4952" s="127"/>
      <c r="AA4952" s="127"/>
      <c r="AB4952" s="128"/>
      <c r="AC4952" s="15" t="s">
        <v>20</v>
      </c>
      <c r="AD4952" s="129" t="s">
        <v>171</v>
      </c>
      <c r="AE4952" s="130"/>
      <c r="AF4952" s="130"/>
      <c r="AG4952" s="130"/>
      <c r="AH4952" s="130"/>
      <c r="AI4952" s="131"/>
      <c r="AJ4952" s="132"/>
      <c r="AK4952" s="127"/>
      <c r="AL4952" s="128"/>
      <c r="AM4952" s="21"/>
      <c r="AN4952" s="133">
        <v>46039</v>
      </c>
      <c r="AO4952" s="134"/>
      <c r="AP4952" s="135">
        <v>1284</v>
      </c>
      <c r="AQ4952" s="136"/>
      <c r="AR4952" s="118">
        <v>630000</v>
      </c>
      <c r="AS4952" s="119"/>
      <c r="AT4952" s="118">
        <f t="shared" ref="AT4952" si="5860">AR4952*0.1</f>
        <v>63000</v>
      </c>
      <c r="AU4952" s="119"/>
      <c r="AV4952" s="118">
        <v>14500</v>
      </c>
      <c r="AW4952" s="119"/>
      <c r="AX4952" s="118">
        <f t="shared" ref="AX4952" si="5861">SUM(AR4952:AW4952)</f>
        <v>707500</v>
      </c>
      <c r="AY4952" s="119"/>
      <c r="AZ4952" s="137">
        <v>46042</v>
      </c>
    </row>
    <row r="4953" spans="1:52" ht="17.100000000000001" customHeight="1" thickBot="1">
      <c r="A4953" s="152"/>
      <c r="B4953" s="27" t="s">
        <v>83</v>
      </c>
      <c r="C4953" s="27">
        <v>34512</v>
      </c>
      <c r="D4953" s="14" t="s">
        <v>14781</v>
      </c>
      <c r="E4953" s="112"/>
      <c r="F4953" s="139" t="s">
        <v>14782</v>
      </c>
      <c r="G4953" s="140"/>
      <c r="H4953" s="141"/>
      <c r="I4953" s="26">
        <v>54023</v>
      </c>
      <c r="J4953" s="117"/>
      <c r="K4953" s="120"/>
      <c r="L4953" s="121"/>
      <c r="M4953" s="120"/>
      <c r="N4953" s="121"/>
      <c r="O4953" s="120"/>
      <c r="P4953" s="121"/>
      <c r="Q4953" s="120"/>
      <c r="R4953" s="121"/>
      <c r="S4953" s="120"/>
      <c r="T4953" s="121"/>
      <c r="U4953" s="120"/>
      <c r="V4953" s="123"/>
      <c r="W4953" s="125"/>
      <c r="X4953" s="142" t="s">
        <v>293</v>
      </c>
      <c r="Y4953" s="143"/>
      <c r="Z4953" s="143"/>
      <c r="AA4953" s="143"/>
      <c r="AB4953" s="144"/>
      <c r="AC4953" s="16" t="s">
        <v>21</v>
      </c>
      <c r="AD4953" s="17" t="s">
        <v>1815</v>
      </c>
      <c r="AE4953" s="145" t="s">
        <v>15060</v>
      </c>
      <c r="AF4953" s="146"/>
      <c r="AG4953" s="146"/>
      <c r="AH4953" s="146"/>
      <c r="AI4953" s="147"/>
      <c r="AJ4953" s="148"/>
      <c r="AK4953" s="143"/>
      <c r="AL4953" s="144"/>
      <c r="AM4953" s="22"/>
      <c r="AN4953" s="149" t="s">
        <v>2511</v>
      </c>
      <c r="AO4953" s="144"/>
      <c r="AP4953" s="148">
        <v>80331</v>
      </c>
      <c r="AQ4953" s="144"/>
      <c r="AR4953" s="120"/>
      <c r="AS4953" s="121"/>
      <c r="AT4953" s="120"/>
      <c r="AU4953" s="121"/>
      <c r="AV4953" s="120"/>
      <c r="AW4953" s="121"/>
      <c r="AX4953" s="120"/>
      <c r="AY4953" s="121"/>
      <c r="AZ4953" s="138"/>
    </row>
    <row r="4954" spans="1:52" ht="17.100000000000001" customHeight="1" thickTop="1">
      <c r="A4954" s="109" t="s">
        <v>14776</v>
      </c>
      <c r="B4954" s="28">
        <v>46034</v>
      </c>
      <c r="C4954" s="25">
        <v>2076</v>
      </c>
      <c r="D4954" s="13" t="s">
        <v>2329</v>
      </c>
      <c r="E4954" s="111"/>
      <c r="F4954" s="113" t="s">
        <v>14795</v>
      </c>
      <c r="G4954" s="114"/>
      <c r="H4954" s="115"/>
      <c r="I4954" s="24" t="s">
        <v>1547</v>
      </c>
      <c r="J4954" s="116">
        <v>4.5</v>
      </c>
      <c r="K4954" s="118">
        <v>2145000</v>
      </c>
      <c r="L4954" s="119"/>
      <c r="M4954" s="118">
        <f t="shared" ref="M4954" si="5862">K4954*0.1</f>
        <v>214500</v>
      </c>
      <c r="N4954" s="119"/>
      <c r="O4954" s="118">
        <v>6600</v>
      </c>
      <c r="P4954" s="119"/>
      <c r="Q4954" s="118">
        <v>19090</v>
      </c>
      <c r="R4954" s="119"/>
      <c r="S4954" s="118">
        <v>11000</v>
      </c>
      <c r="T4954" s="119"/>
      <c r="U4954" s="118">
        <f t="shared" ref="U4954" si="5863">SUM(K4954:T4955)</f>
        <v>2396190</v>
      </c>
      <c r="V4954" s="122"/>
      <c r="W4954" s="124"/>
      <c r="X4954" s="126" t="s">
        <v>15328</v>
      </c>
      <c r="Y4954" s="127"/>
      <c r="Z4954" s="127"/>
      <c r="AA4954" s="127"/>
      <c r="AB4954" s="128"/>
      <c r="AC4954" s="15" t="s">
        <v>20</v>
      </c>
      <c r="AD4954" s="129"/>
      <c r="AE4954" s="130"/>
      <c r="AF4954" s="130"/>
      <c r="AG4954" s="130"/>
      <c r="AH4954" s="130"/>
      <c r="AI4954" s="131"/>
      <c r="AJ4954" s="132"/>
      <c r="AK4954" s="127"/>
      <c r="AL4954" s="128"/>
      <c r="AM4954" s="21"/>
      <c r="AN4954" s="133">
        <v>46046</v>
      </c>
      <c r="AO4954" s="134"/>
      <c r="AP4954" s="135">
        <v>1285</v>
      </c>
      <c r="AQ4954" s="136"/>
      <c r="AR4954" s="118">
        <v>2370000</v>
      </c>
      <c r="AS4954" s="119"/>
      <c r="AT4954" s="118">
        <f t="shared" ref="AT4954" si="5864">AR4954*0.1</f>
        <v>237000</v>
      </c>
      <c r="AU4954" s="119"/>
      <c r="AV4954" s="118">
        <v>19090</v>
      </c>
      <c r="AW4954" s="119"/>
      <c r="AX4954" s="118">
        <f t="shared" ref="AX4954" si="5865">SUM(AR4954:AW4954)</f>
        <v>2626090</v>
      </c>
      <c r="AY4954" s="119"/>
      <c r="AZ4954" s="137">
        <v>46049</v>
      </c>
    </row>
    <row r="4955" spans="1:52" ht="17.100000000000001" customHeight="1" thickBot="1">
      <c r="A4955" s="110"/>
      <c r="B4955" s="27" t="s">
        <v>83</v>
      </c>
      <c r="C4955" s="27">
        <v>34525</v>
      </c>
      <c r="D4955" s="14" t="s">
        <v>1576</v>
      </c>
      <c r="E4955" s="112"/>
      <c r="F4955" s="139" t="s">
        <v>14783</v>
      </c>
      <c r="G4955" s="140"/>
      <c r="H4955" s="141"/>
      <c r="I4955" s="26">
        <v>40251</v>
      </c>
      <c r="J4955" s="117"/>
      <c r="K4955" s="120"/>
      <c r="L4955" s="121"/>
      <c r="M4955" s="120"/>
      <c r="N4955" s="121"/>
      <c r="O4955" s="120"/>
      <c r="P4955" s="121"/>
      <c r="Q4955" s="120"/>
      <c r="R4955" s="121"/>
      <c r="S4955" s="120"/>
      <c r="T4955" s="121"/>
      <c r="U4955" s="120"/>
      <c r="V4955" s="123"/>
      <c r="W4955" s="125"/>
      <c r="X4955" s="142" t="s">
        <v>4058</v>
      </c>
      <c r="Y4955" s="143"/>
      <c r="Z4955" s="143"/>
      <c r="AA4955" s="143"/>
      <c r="AB4955" s="144"/>
      <c r="AC4955" s="16" t="s">
        <v>21</v>
      </c>
      <c r="AD4955" s="17" t="s">
        <v>1822</v>
      </c>
      <c r="AE4955" s="145" t="s">
        <v>15329</v>
      </c>
      <c r="AF4955" s="146"/>
      <c r="AG4955" s="146"/>
      <c r="AH4955" s="146"/>
      <c r="AI4955" s="147"/>
      <c r="AJ4955" s="148"/>
      <c r="AK4955" s="143"/>
      <c r="AL4955" s="144"/>
      <c r="AM4955" s="22"/>
      <c r="AN4955" s="149" t="s">
        <v>2511</v>
      </c>
      <c r="AO4955" s="144"/>
      <c r="AP4955" s="148">
        <v>80122</v>
      </c>
      <c r="AQ4955" s="144"/>
      <c r="AR4955" s="120"/>
      <c r="AS4955" s="121"/>
      <c r="AT4955" s="120"/>
      <c r="AU4955" s="121"/>
      <c r="AV4955" s="120"/>
      <c r="AW4955" s="121"/>
      <c r="AX4955" s="120"/>
      <c r="AY4955" s="121"/>
      <c r="AZ4955" s="138"/>
    </row>
    <row r="4956" spans="1:52" ht="17.100000000000001" customHeight="1" thickTop="1">
      <c r="A4956" s="109" t="s">
        <v>14777</v>
      </c>
      <c r="B4956" s="28">
        <v>46034</v>
      </c>
      <c r="C4956" s="25">
        <v>2076</v>
      </c>
      <c r="D4956" s="13" t="s">
        <v>3478</v>
      </c>
      <c r="E4956" s="111"/>
      <c r="F4956" s="113" t="s">
        <v>4559</v>
      </c>
      <c r="G4956" s="114"/>
      <c r="H4956" s="115"/>
      <c r="I4956" s="24"/>
      <c r="J4956" s="116">
        <v>4</v>
      </c>
      <c r="K4956" s="118">
        <v>1085000</v>
      </c>
      <c r="L4956" s="119"/>
      <c r="M4956" s="118">
        <f t="shared" ref="M4956" si="5866">K4956*0.1</f>
        <v>108500</v>
      </c>
      <c r="N4956" s="119"/>
      <c r="O4956" s="118">
        <v>0</v>
      </c>
      <c r="P4956" s="119"/>
      <c r="Q4956" s="118">
        <v>17600</v>
      </c>
      <c r="R4956" s="119"/>
      <c r="S4956" s="118">
        <v>11000</v>
      </c>
      <c r="T4956" s="119"/>
      <c r="U4956" s="118">
        <f t="shared" ref="U4956" si="5867">SUM(K4956:T4957)</f>
        <v>1222100</v>
      </c>
      <c r="V4956" s="122"/>
      <c r="W4956" s="124"/>
      <c r="X4956" s="126" t="s">
        <v>15317</v>
      </c>
      <c r="Y4956" s="127"/>
      <c r="Z4956" s="127"/>
      <c r="AA4956" s="127"/>
      <c r="AB4956" s="128"/>
      <c r="AC4956" s="15" t="s">
        <v>20</v>
      </c>
      <c r="AD4956" s="129" t="s">
        <v>171</v>
      </c>
      <c r="AE4956" s="130"/>
      <c r="AF4956" s="130"/>
      <c r="AG4956" s="130"/>
      <c r="AH4956" s="130"/>
      <c r="AI4956" s="131"/>
      <c r="AJ4956" s="132"/>
      <c r="AK4956" s="127"/>
      <c r="AL4956" s="128"/>
      <c r="AM4956" s="21"/>
      <c r="AN4956" s="133">
        <v>46046</v>
      </c>
      <c r="AO4956" s="134"/>
      <c r="AP4956" s="135">
        <v>1285</v>
      </c>
      <c r="AQ4956" s="136"/>
      <c r="AR4956" s="118">
        <v>1230000</v>
      </c>
      <c r="AS4956" s="119"/>
      <c r="AT4956" s="118">
        <f t="shared" ref="AT4956" si="5868">AR4956*0.1</f>
        <v>123000</v>
      </c>
      <c r="AU4956" s="119"/>
      <c r="AV4956" s="118">
        <v>17600</v>
      </c>
      <c r="AW4956" s="119"/>
      <c r="AX4956" s="118">
        <f t="shared" ref="AX4956" si="5869">SUM(AR4956:AW4956)</f>
        <v>1370600</v>
      </c>
      <c r="AY4956" s="119"/>
      <c r="AZ4956" s="137">
        <v>46049</v>
      </c>
    </row>
    <row r="4957" spans="1:52" ht="17.100000000000001" customHeight="1" thickBot="1">
      <c r="A4957" s="110"/>
      <c r="B4957" s="27" t="s">
        <v>83</v>
      </c>
      <c r="C4957" s="27">
        <v>34536</v>
      </c>
      <c r="D4957" s="14" t="s">
        <v>1592</v>
      </c>
      <c r="E4957" s="112"/>
      <c r="F4957" s="139" t="s">
        <v>14784</v>
      </c>
      <c r="G4957" s="140"/>
      <c r="H4957" s="141"/>
      <c r="I4957" s="26">
        <v>58210</v>
      </c>
      <c r="J4957" s="117"/>
      <c r="K4957" s="120"/>
      <c r="L4957" s="121"/>
      <c r="M4957" s="120"/>
      <c r="N4957" s="121"/>
      <c r="O4957" s="120"/>
      <c r="P4957" s="121"/>
      <c r="Q4957" s="120"/>
      <c r="R4957" s="121"/>
      <c r="S4957" s="120"/>
      <c r="T4957" s="121"/>
      <c r="U4957" s="120"/>
      <c r="V4957" s="123"/>
      <c r="W4957" s="125"/>
      <c r="X4957" s="142" t="s">
        <v>15318</v>
      </c>
      <c r="Y4957" s="143"/>
      <c r="Z4957" s="143"/>
      <c r="AA4957" s="143"/>
      <c r="AB4957" s="144"/>
      <c r="AC4957" s="16" t="s">
        <v>21</v>
      </c>
      <c r="AD4957" s="17" t="s">
        <v>15315</v>
      </c>
      <c r="AE4957" s="145" t="s">
        <v>15319</v>
      </c>
      <c r="AF4957" s="146"/>
      <c r="AG4957" s="146"/>
      <c r="AH4957" s="146"/>
      <c r="AI4957" s="147"/>
      <c r="AJ4957" s="148"/>
      <c r="AK4957" s="143"/>
      <c r="AL4957" s="144"/>
      <c r="AM4957" s="22"/>
      <c r="AN4957" s="149" t="s">
        <v>2511</v>
      </c>
      <c r="AO4957" s="144"/>
      <c r="AP4957" s="148">
        <v>80050</v>
      </c>
      <c r="AQ4957" s="144"/>
      <c r="AR4957" s="120"/>
      <c r="AS4957" s="121"/>
      <c r="AT4957" s="120"/>
      <c r="AU4957" s="121"/>
      <c r="AV4957" s="120"/>
      <c r="AW4957" s="121"/>
      <c r="AX4957" s="120"/>
      <c r="AY4957" s="121"/>
      <c r="AZ4957" s="138"/>
    </row>
    <row r="4958" spans="1:52" ht="17.100000000000001" customHeight="1" thickTop="1">
      <c r="A4958" s="151" t="s">
        <v>14778</v>
      </c>
      <c r="B4958" s="28">
        <v>46034</v>
      </c>
      <c r="C4958" s="25">
        <v>2076</v>
      </c>
      <c r="D4958" s="13" t="s">
        <v>1776</v>
      </c>
      <c r="E4958" s="111"/>
      <c r="F4958" s="113" t="s">
        <v>9986</v>
      </c>
      <c r="G4958" s="114"/>
      <c r="H4958" s="115"/>
      <c r="I4958" s="24"/>
      <c r="J4958" s="116">
        <v>4</v>
      </c>
      <c r="K4958" s="118">
        <v>600000</v>
      </c>
      <c r="L4958" s="119"/>
      <c r="M4958" s="118">
        <f t="shared" ref="M4958" si="5870">K4958*0.1</f>
        <v>60000</v>
      </c>
      <c r="N4958" s="119"/>
      <c r="O4958" s="118">
        <v>0</v>
      </c>
      <c r="P4958" s="119"/>
      <c r="Q4958" s="118">
        <v>19440</v>
      </c>
      <c r="R4958" s="119"/>
      <c r="S4958" s="118">
        <v>11000</v>
      </c>
      <c r="T4958" s="119"/>
      <c r="U4958" s="118">
        <f t="shared" ref="U4958" si="5871">SUM(K4958:T4959)</f>
        <v>690440</v>
      </c>
      <c r="V4958" s="122"/>
      <c r="W4958" s="124"/>
      <c r="X4958" s="126" t="s">
        <v>15327</v>
      </c>
      <c r="Y4958" s="127"/>
      <c r="Z4958" s="127"/>
      <c r="AA4958" s="127"/>
      <c r="AB4958" s="128"/>
      <c r="AC4958" s="15" t="s">
        <v>20</v>
      </c>
      <c r="AD4958" s="129" t="s">
        <v>7327</v>
      </c>
      <c r="AE4958" s="130"/>
      <c r="AF4958" s="130"/>
      <c r="AG4958" s="130"/>
      <c r="AH4958" s="130"/>
      <c r="AI4958" s="131"/>
      <c r="AJ4958" s="132"/>
      <c r="AK4958" s="127"/>
      <c r="AL4958" s="128"/>
      <c r="AM4958" s="21"/>
      <c r="AN4958" s="133">
        <v>46039</v>
      </c>
      <c r="AO4958" s="134"/>
      <c r="AP4958" s="135">
        <v>1284</v>
      </c>
      <c r="AQ4958" s="136"/>
      <c r="AR4958" s="118">
        <v>850000</v>
      </c>
      <c r="AS4958" s="119"/>
      <c r="AT4958" s="118">
        <f t="shared" ref="AT4958" si="5872">AR4958*0.1</f>
        <v>85000</v>
      </c>
      <c r="AU4958" s="119"/>
      <c r="AV4958" s="118">
        <v>19440</v>
      </c>
      <c r="AW4958" s="119"/>
      <c r="AX4958" s="118">
        <f t="shared" ref="AX4958" si="5873">SUM(AR4958:AW4958)</f>
        <v>954440</v>
      </c>
      <c r="AY4958" s="119"/>
      <c r="AZ4958" s="137">
        <v>46042</v>
      </c>
    </row>
    <row r="4959" spans="1:52" ht="17.100000000000001" customHeight="1" thickBot="1">
      <c r="A4959" s="152"/>
      <c r="B4959" s="27" t="s">
        <v>83</v>
      </c>
      <c r="C4959" s="27">
        <v>34537</v>
      </c>
      <c r="D4959" s="14" t="s">
        <v>133</v>
      </c>
      <c r="E4959" s="112"/>
      <c r="F4959" s="139" t="s">
        <v>14785</v>
      </c>
      <c r="G4959" s="140"/>
      <c r="H4959" s="141"/>
      <c r="I4959" s="26">
        <v>54720</v>
      </c>
      <c r="J4959" s="117"/>
      <c r="K4959" s="120"/>
      <c r="L4959" s="121"/>
      <c r="M4959" s="120"/>
      <c r="N4959" s="121"/>
      <c r="O4959" s="120"/>
      <c r="P4959" s="121"/>
      <c r="Q4959" s="120"/>
      <c r="R4959" s="121"/>
      <c r="S4959" s="120"/>
      <c r="T4959" s="121"/>
      <c r="U4959" s="120"/>
      <c r="V4959" s="123"/>
      <c r="W4959" s="125"/>
      <c r="X4959" s="142" t="s">
        <v>8044</v>
      </c>
      <c r="Y4959" s="143"/>
      <c r="Z4959" s="143"/>
      <c r="AA4959" s="143"/>
      <c r="AB4959" s="144"/>
      <c r="AC4959" s="16" t="s">
        <v>21</v>
      </c>
      <c r="AD4959" s="17" t="s">
        <v>1822</v>
      </c>
      <c r="AE4959" s="145" t="s">
        <v>1742</v>
      </c>
      <c r="AF4959" s="146"/>
      <c r="AG4959" s="146"/>
      <c r="AH4959" s="146"/>
      <c r="AI4959" s="147"/>
      <c r="AJ4959" s="148"/>
      <c r="AK4959" s="143"/>
      <c r="AL4959" s="144"/>
      <c r="AM4959" s="22"/>
      <c r="AN4959" s="149" t="s">
        <v>2511</v>
      </c>
      <c r="AO4959" s="144"/>
      <c r="AP4959" s="148">
        <v>80309</v>
      </c>
      <c r="AQ4959" s="144"/>
      <c r="AR4959" s="120"/>
      <c r="AS4959" s="121"/>
      <c r="AT4959" s="120"/>
      <c r="AU4959" s="121"/>
      <c r="AV4959" s="120"/>
      <c r="AW4959" s="121"/>
      <c r="AX4959" s="120"/>
      <c r="AY4959" s="121"/>
      <c r="AZ4959" s="138"/>
    </row>
    <row r="4960" spans="1:52" ht="17.100000000000001" customHeight="1" thickTop="1">
      <c r="A4960" s="109" t="s">
        <v>14786</v>
      </c>
      <c r="B4960" s="28">
        <v>46034</v>
      </c>
      <c r="C4960" s="25"/>
      <c r="D4960" s="13" t="s">
        <v>900</v>
      </c>
      <c r="E4960" s="111"/>
      <c r="F4960" s="113" t="s">
        <v>1871</v>
      </c>
      <c r="G4960" s="114"/>
      <c r="H4960" s="115"/>
      <c r="I4960" s="24" t="s">
        <v>3923</v>
      </c>
      <c r="J4960" s="116">
        <v>4</v>
      </c>
      <c r="K4960" s="118">
        <v>377000</v>
      </c>
      <c r="L4960" s="119"/>
      <c r="M4960" s="118">
        <f t="shared" ref="M4960" si="5874">K4960*0.1</f>
        <v>37700</v>
      </c>
      <c r="N4960" s="119"/>
      <c r="O4960" s="118">
        <f>6500+650</f>
        <v>7150</v>
      </c>
      <c r="P4960" s="119"/>
      <c r="Q4960" s="118">
        <v>16090</v>
      </c>
      <c r="R4960" s="119"/>
      <c r="S4960" s="118">
        <v>14850</v>
      </c>
      <c r="T4960" s="119"/>
      <c r="U4960" s="118">
        <f t="shared" ref="U4960" si="5875">SUM(K4960:T4961)</f>
        <v>452790</v>
      </c>
      <c r="V4960" s="122"/>
      <c r="W4960" s="124"/>
      <c r="X4960" s="126" t="s">
        <v>14791</v>
      </c>
      <c r="Y4960" s="127"/>
      <c r="Z4960" s="127"/>
      <c r="AA4960" s="127"/>
      <c r="AB4960" s="128"/>
      <c r="AC4960" s="15" t="s">
        <v>20</v>
      </c>
      <c r="AD4960" s="129" t="s">
        <v>1670</v>
      </c>
      <c r="AE4960" s="130"/>
      <c r="AF4960" s="130"/>
      <c r="AG4960" s="130"/>
      <c r="AH4960" s="130"/>
      <c r="AI4960" s="131"/>
      <c r="AJ4960" s="132"/>
      <c r="AK4960" s="127"/>
      <c r="AL4960" s="128"/>
      <c r="AM4960" s="21"/>
      <c r="AN4960" s="133">
        <v>46046</v>
      </c>
      <c r="AO4960" s="134"/>
      <c r="AP4960" s="135">
        <v>1285</v>
      </c>
      <c r="AQ4960" s="136"/>
      <c r="AR4960" s="118">
        <v>510000</v>
      </c>
      <c r="AS4960" s="119"/>
      <c r="AT4960" s="118">
        <f t="shared" ref="AT4960" si="5876">AR4960*0.1</f>
        <v>51000</v>
      </c>
      <c r="AU4960" s="119"/>
      <c r="AV4960" s="118">
        <v>16090</v>
      </c>
      <c r="AW4960" s="119"/>
      <c r="AX4960" s="118">
        <f t="shared" ref="AX4960" si="5877">SUM(AR4960:AW4960)</f>
        <v>577090</v>
      </c>
      <c r="AY4960" s="119"/>
      <c r="AZ4960" s="137">
        <v>46049</v>
      </c>
    </row>
    <row r="4961" spans="1:52" ht="17.100000000000001" customHeight="1" thickBot="1">
      <c r="A4961" s="110"/>
      <c r="B4961" s="27" t="s">
        <v>9959</v>
      </c>
      <c r="C4961" s="27">
        <v>20274</v>
      </c>
      <c r="D4961" s="14" t="s">
        <v>133</v>
      </c>
      <c r="E4961" s="112"/>
      <c r="F4961" s="139" t="s">
        <v>14790</v>
      </c>
      <c r="G4961" s="140"/>
      <c r="H4961" s="141"/>
      <c r="I4961" s="26">
        <v>44838</v>
      </c>
      <c r="J4961" s="117"/>
      <c r="K4961" s="120"/>
      <c r="L4961" s="121"/>
      <c r="M4961" s="120"/>
      <c r="N4961" s="121"/>
      <c r="O4961" s="120"/>
      <c r="P4961" s="121"/>
      <c r="Q4961" s="120"/>
      <c r="R4961" s="121"/>
      <c r="S4961" s="120"/>
      <c r="T4961" s="121"/>
      <c r="U4961" s="120"/>
      <c r="V4961" s="123"/>
      <c r="W4961" s="125"/>
      <c r="X4961" s="142" t="s">
        <v>15038</v>
      </c>
      <c r="Y4961" s="143"/>
      <c r="Z4961" s="143"/>
      <c r="AA4961" s="143"/>
      <c r="AB4961" s="144"/>
      <c r="AC4961" s="16" t="s">
        <v>21</v>
      </c>
      <c r="AD4961" s="17" t="s">
        <v>15026</v>
      </c>
      <c r="AE4961" s="145" t="s">
        <v>15059</v>
      </c>
      <c r="AF4961" s="146"/>
      <c r="AG4961" s="146"/>
      <c r="AH4961" s="146"/>
      <c r="AI4961" s="147"/>
      <c r="AJ4961" s="148"/>
      <c r="AK4961" s="143"/>
      <c r="AL4961" s="144"/>
      <c r="AM4961" s="22"/>
      <c r="AN4961" s="149" t="s">
        <v>2511</v>
      </c>
      <c r="AO4961" s="144"/>
      <c r="AP4961" s="148">
        <v>80118</v>
      </c>
      <c r="AQ4961" s="144"/>
      <c r="AR4961" s="120"/>
      <c r="AS4961" s="121"/>
      <c r="AT4961" s="120"/>
      <c r="AU4961" s="121"/>
      <c r="AV4961" s="120"/>
      <c r="AW4961" s="121"/>
      <c r="AX4961" s="120"/>
      <c r="AY4961" s="121"/>
      <c r="AZ4961" s="138"/>
    </row>
    <row r="4962" spans="1:52" ht="17.100000000000001" customHeight="1" thickTop="1">
      <c r="A4962" s="151" t="s">
        <v>14787</v>
      </c>
      <c r="B4962" s="28">
        <v>46034</v>
      </c>
      <c r="C4962" s="25"/>
      <c r="D4962" s="13" t="s">
        <v>1758</v>
      </c>
      <c r="E4962" s="111"/>
      <c r="F4962" s="113" t="s">
        <v>1938</v>
      </c>
      <c r="G4962" s="114"/>
      <c r="H4962" s="115"/>
      <c r="I4962" s="24"/>
      <c r="J4962" s="116">
        <v>3.5</v>
      </c>
      <c r="K4962" s="118">
        <v>290000</v>
      </c>
      <c r="L4962" s="119"/>
      <c r="M4962" s="118">
        <f t="shared" ref="M4962" si="5878">K4962*0.1</f>
        <v>29000</v>
      </c>
      <c r="N4962" s="119"/>
      <c r="O4962" s="118">
        <v>0</v>
      </c>
      <c r="P4962" s="119"/>
      <c r="Q4962" s="118">
        <v>18960</v>
      </c>
      <c r="R4962" s="119"/>
      <c r="S4962" s="118">
        <v>14850</v>
      </c>
      <c r="T4962" s="119"/>
      <c r="U4962" s="118">
        <f t="shared" ref="U4962" si="5879">SUM(K4962:T4963)</f>
        <v>352810</v>
      </c>
      <c r="V4962" s="122"/>
      <c r="W4962" s="124"/>
      <c r="X4962" s="126" t="s">
        <v>15335</v>
      </c>
      <c r="Y4962" s="127"/>
      <c r="Z4962" s="127"/>
      <c r="AA4962" s="127"/>
      <c r="AB4962" s="128"/>
      <c r="AC4962" s="15" t="s">
        <v>20</v>
      </c>
      <c r="AD4962" s="129"/>
      <c r="AE4962" s="130"/>
      <c r="AF4962" s="130"/>
      <c r="AG4962" s="130"/>
      <c r="AH4962" s="130"/>
      <c r="AI4962" s="131"/>
      <c r="AJ4962" s="132"/>
      <c r="AK4962" s="127"/>
      <c r="AL4962" s="128"/>
      <c r="AM4962" s="21"/>
      <c r="AN4962" s="133">
        <v>46039</v>
      </c>
      <c r="AO4962" s="134"/>
      <c r="AP4962" s="135">
        <v>1284</v>
      </c>
      <c r="AQ4962" s="136"/>
      <c r="AR4962" s="118">
        <v>380000</v>
      </c>
      <c r="AS4962" s="119"/>
      <c r="AT4962" s="118">
        <f t="shared" ref="AT4962" si="5880">AR4962*0.1</f>
        <v>38000</v>
      </c>
      <c r="AU4962" s="119"/>
      <c r="AV4962" s="118">
        <v>18960</v>
      </c>
      <c r="AW4962" s="119"/>
      <c r="AX4962" s="118">
        <f t="shared" ref="AX4962" si="5881">SUM(AR4962:AW4962)</f>
        <v>436960</v>
      </c>
      <c r="AY4962" s="119"/>
      <c r="AZ4962" s="137">
        <v>46043</v>
      </c>
    </row>
    <row r="4963" spans="1:52" ht="17.100000000000001" customHeight="1" thickBot="1">
      <c r="A4963" s="152"/>
      <c r="B4963" s="27" t="s">
        <v>2774</v>
      </c>
      <c r="C4963" s="27">
        <v>70047</v>
      </c>
      <c r="D4963" s="14" t="s">
        <v>3809</v>
      </c>
      <c r="E4963" s="112"/>
      <c r="F4963" s="139" t="s">
        <v>15074</v>
      </c>
      <c r="G4963" s="140"/>
      <c r="H4963" s="141"/>
      <c r="I4963" s="26">
        <v>82973</v>
      </c>
      <c r="J4963" s="117"/>
      <c r="K4963" s="120"/>
      <c r="L4963" s="121"/>
      <c r="M4963" s="120"/>
      <c r="N4963" s="121"/>
      <c r="O4963" s="120"/>
      <c r="P4963" s="121"/>
      <c r="Q4963" s="120"/>
      <c r="R4963" s="121"/>
      <c r="S4963" s="120"/>
      <c r="T4963" s="121"/>
      <c r="U4963" s="120"/>
      <c r="V4963" s="123"/>
      <c r="W4963" s="125"/>
      <c r="X4963" s="142" t="s">
        <v>2776</v>
      </c>
      <c r="Y4963" s="143"/>
      <c r="Z4963" s="143"/>
      <c r="AA4963" s="143"/>
      <c r="AB4963" s="144"/>
      <c r="AC4963" s="16" t="s">
        <v>21</v>
      </c>
      <c r="AD4963" s="17" t="s">
        <v>2310</v>
      </c>
      <c r="AE4963" s="145" t="s">
        <v>7859</v>
      </c>
      <c r="AF4963" s="146"/>
      <c r="AG4963" s="146"/>
      <c r="AH4963" s="146"/>
      <c r="AI4963" s="147"/>
      <c r="AJ4963" s="148"/>
      <c r="AK4963" s="143"/>
      <c r="AL4963" s="144"/>
      <c r="AM4963" s="22"/>
      <c r="AN4963" s="149" t="s">
        <v>2511</v>
      </c>
      <c r="AO4963" s="144"/>
      <c r="AP4963" s="148">
        <v>80098</v>
      </c>
      <c r="AQ4963" s="144"/>
      <c r="AR4963" s="120"/>
      <c r="AS4963" s="121"/>
      <c r="AT4963" s="120"/>
      <c r="AU4963" s="121"/>
      <c r="AV4963" s="120"/>
      <c r="AW4963" s="121"/>
      <c r="AX4963" s="120"/>
      <c r="AY4963" s="121"/>
      <c r="AZ4963" s="138"/>
    </row>
    <row r="4964" spans="1:52" ht="17.100000000000001" customHeight="1" thickTop="1">
      <c r="A4964" s="151" t="s">
        <v>14788</v>
      </c>
      <c r="B4964" s="28">
        <v>46034</v>
      </c>
      <c r="C4964" s="25"/>
      <c r="D4964" s="13" t="s">
        <v>1586</v>
      </c>
      <c r="E4964" s="111"/>
      <c r="F4964" s="113" t="s">
        <v>14792</v>
      </c>
      <c r="G4964" s="114"/>
      <c r="H4964" s="115"/>
      <c r="I4964" s="24"/>
      <c r="J4964" s="116">
        <v>4.5</v>
      </c>
      <c r="K4964" s="118">
        <v>1016000</v>
      </c>
      <c r="L4964" s="119"/>
      <c r="M4964" s="118">
        <f t="shared" ref="M4964" si="5882">K4964*0.1</f>
        <v>101600</v>
      </c>
      <c r="N4964" s="119"/>
      <c r="O4964" s="118">
        <v>0</v>
      </c>
      <c r="P4964" s="119"/>
      <c r="Q4964" s="118">
        <v>19440</v>
      </c>
      <c r="R4964" s="119"/>
      <c r="S4964" s="118">
        <v>14850</v>
      </c>
      <c r="T4964" s="119"/>
      <c r="U4964" s="118">
        <f t="shared" ref="U4964" si="5883">SUM(K4964:T4965)</f>
        <v>1151890</v>
      </c>
      <c r="V4964" s="122"/>
      <c r="W4964" s="124"/>
      <c r="X4964" s="126" t="s">
        <v>15336</v>
      </c>
      <c r="Y4964" s="127"/>
      <c r="Z4964" s="127"/>
      <c r="AA4964" s="127"/>
      <c r="AB4964" s="128"/>
      <c r="AC4964" s="15" t="s">
        <v>20</v>
      </c>
      <c r="AD4964" s="129"/>
      <c r="AE4964" s="130"/>
      <c r="AF4964" s="130"/>
      <c r="AG4964" s="130"/>
      <c r="AH4964" s="130"/>
      <c r="AI4964" s="131"/>
      <c r="AJ4964" s="132"/>
      <c r="AK4964" s="127"/>
      <c r="AL4964" s="128"/>
      <c r="AM4964" s="21"/>
      <c r="AN4964" s="133">
        <v>46039</v>
      </c>
      <c r="AO4964" s="134"/>
      <c r="AP4964" s="135">
        <v>1284</v>
      </c>
      <c r="AQ4964" s="136"/>
      <c r="AR4964" s="118">
        <v>1205000</v>
      </c>
      <c r="AS4964" s="119"/>
      <c r="AT4964" s="118">
        <f t="shared" ref="AT4964" si="5884">AR4964*0.1</f>
        <v>120500</v>
      </c>
      <c r="AU4964" s="119"/>
      <c r="AV4964" s="118">
        <v>19440</v>
      </c>
      <c r="AW4964" s="119"/>
      <c r="AX4964" s="118">
        <f t="shared" ref="AX4964" si="5885">SUM(AR4964:AW4964)</f>
        <v>1344940</v>
      </c>
      <c r="AY4964" s="119"/>
      <c r="AZ4964" s="137">
        <v>46043</v>
      </c>
    </row>
    <row r="4965" spans="1:52" ht="17.100000000000001" customHeight="1" thickBot="1">
      <c r="A4965" s="152"/>
      <c r="B4965" s="27" t="s">
        <v>2774</v>
      </c>
      <c r="C4965" s="27">
        <v>80258</v>
      </c>
      <c r="D4965" s="14" t="s">
        <v>1812</v>
      </c>
      <c r="E4965" s="112"/>
      <c r="F4965" s="139" t="s">
        <v>15073</v>
      </c>
      <c r="G4965" s="140"/>
      <c r="H4965" s="141"/>
      <c r="I4965" s="26">
        <v>61861</v>
      </c>
      <c r="J4965" s="117"/>
      <c r="K4965" s="120"/>
      <c r="L4965" s="121"/>
      <c r="M4965" s="120"/>
      <c r="N4965" s="121"/>
      <c r="O4965" s="120"/>
      <c r="P4965" s="121"/>
      <c r="Q4965" s="120"/>
      <c r="R4965" s="121"/>
      <c r="S4965" s="120"/>
      <c r="T4965" s="121"/>
      <c r="U4965" s="120"/>
      <c r="V4965" s="123"/>
      <c r="W4965" s="125"/>
      <c r="X4965" s="142" t="s">
        <v>15337</v>
      </c>
      <c r="Y4965" s="143"/>
      <c r="Z4965" s="143"/>
      <c r="AA4965" s="143"/>
      <c r="AB4965" s="144"/>
      <c r="AC4965" s="16" t="s">
        <v>21</v>
      </c>
      <c r="AD4965" s="17" t="s">
        <v>2310</v>
      </c>
      <c r="AE4965" s="145" t="s">
        <v>7861</v>
      </c>
      <c r="AF4965" s="146"/>
      <c r="AG4965" s="146"/>
      <c r="AH4965" s="146"/>
      <c r="AI4965" s="147"/>
      <c r="AJ4965" s="148"/>
      <c r="AK4965" s="143"/>
      <c r="AL4965" s="144"/>
      <c r="AM4965" s="22"/>
      <c r="AN4965" s="149" t="s">
        <v>2511</v>
      </c>
      <c r="AO4965" s="144"/>
      <c r="AP4965" s="148">
        <v>80093</v>
      </c>
      <c r="AQ4965" s="144"/>
      <c r="AR4965" s="120"/>
      <c r="AS4965" s="121"/>
      <c r="AT4965" s="120"/>
      <c r="AU4965" s="121"/>
      <c r="AV4965" s="120"/>
      <c r="AW4965" s="121"/>
      <c r="AX4965" s="120"/>
      <c r="AY4965" s="121"/>
      <c r="AZ4965" s="138"/>
    </row>
    <row r="4966" spans="1:52" ht="17.100000000000001" customHeight="1" thickTop="1">
      <c r="A4966" s="159" t="s">
        <v>14789</v>
      </c>
      <c r="B4966" s="28">
        <v>46034</v>
      </c>
      <c r="C4966" s="25"/>
      <c r="D4966" s="13" t="s">
        <v>5614</v>
      </c>
      <c r="E4966" s="111"/>
      <c r="F4966" s="113" t="s">
        <v>14551</v>
      </c>
      <c r="G4966" s="114"/>
      <c r="H4966" s="115"/>
      <c r="I4966" s="24"/>
      <c r="J4966" s="116">
        <v>4</v>
      </c>
      <c r="K4966" s="118">
        <v>287000</v>
      </c>
      <c r="L4966" s="119"/>
      <c r="M4966" s="118">
        <f t="shared" ref="M4966" si="5886">K4966*0.1</f>
        <v>28700</v>
      </c>
      <c r="N4966" s="119"/>
      <c r="O4966" s="118">
        <v>0</v>
      </c>
      <c r="P4966" s="119"/>
      <c r="Q4966" s="118">
        <v>14580</v>
      </c>
      <c r="R4966" s="119"/>
      <c r="S4966" s="118">
        <v>14850</v>
      </c>
      <c r="T4966" s="119"/>
      <c r="U4966" s="118">
        <f t="shared" ref="U4966" si="5887">SUM(K4966:T4967)</f>
        <v>345130</v>
      </c>
      <c r="V4966" s="122"/>
      <c r="W4966" s="124"/>
      <c r="X4966" s="126" t="s">
        <v>15339</v>
      </c>
      <c r="Y4966" s="127"/>
      <c r="Z4966" s="127"/>
      <c r="AA4966" s="127"/>
      <c r="AB4966" s="128"/>
      <c r="AC4966" s="15" t="s">
        <v>20</v>
      </c>
      <c r="AD4966" s="129"/>
      <c r="AE4966" s="130"/>
      <c r="AF4966" s="130"/>
      <c r="AG4966" s="130"/>
      <c r="AH4966" s="130"/>
      <c r="AI4966" s="131"/>
      <c r="AJ4966" s="132" t="s">
        <v>16185</v>
      </c>
      <c r="AK4966" s="127"/>
      <c r="AL4966" s="128"/>
      <c r="AM4966" s="21"/>
      <c r="AN4966" s="133">
        <v>46053</v>
      </c>
      <c r="AO4966" s="134"/>
      <c r="AP4966" s="135">
        <v>1286</v>
      </c>
      <c r="AQ4966" s="136"/>
      <c r="AR4966" s="118">
        <v>415000</v>
      </c>
      <c r="AS4966" s="119"/>
      <c r="AT4966" s="118">
        <f t="shared" ref="AT4966" si="5888">AR4966*0.1</f>
        <v>41500</v>
      </c>
      <c r="AU4966" s="119"/>
      <c r="AV4966" s="118">
        <v>14500</v>
      </c>
      <c r="AW4966" s="119"/>
      <c r="AX4966" s="118">
        <f t="shared" ref="AX4966" si="5889">SUM(AR4966:AW4966)</f>
        <v>471000</v>
      </c>
      <c r="AY4966" s="119"/>
      <c r="AZ4966" s="137">
        <v>46056</v>
      </c>
    </row>
    <row r="4967" spans="1:52" ht="17.100000000000001" customHeight="1" thickBot="1">
      <c r="A4967" s="160"/>
      <c r="B4967" s="27" t="s">
        <v>2774</v>
      </c>
      <c r="C4967" s="27">
        <v>80268</v>
      </c>
      <c r="D4967" s="14" t="s">
        <v>1592</v>
      </c>
      <c r="E4967" s="112"/>
      <c r="F4967" s="139" t="s">
        <v>15338</v>
      </c>
      <c r="G4967" s="140"/>
      <c r="H4967" s="141"/>
      <c r="I4967" s="26">
        <v>61963</v>
      </c>
      <c r="J4967" s="117"/>
      <c r="K4967" s="120"/>
      <c r="L4967" s="121"/>
      <c r="M4967" s="120"/>
      <c r="N4967" s="121"/>
      <c r="O4967" s="120"/>
      <c r="P4967" s="121"/>
      <c r="Q4967" s="120"/>
      <c r="R4967" s="121"/>
      <c r="S4967" s="120"/>
      <c r="T4967" s="121"/>
      <c r="U4967" s="120"/>
      <c r="V4967" s="123"/>
      <c r="W4967" s="125"/>
      <c r="X4967" s="142" t="s">
        <v>15340</v>
      </c>
      <c r="Y4967" s="143"/>
      <c r="Z4967" s="143"/>
      <c r="AA4967" s="143"/>
      <c r="AB4967" s="144"/>
      <c r="AC4967" s="16" t="s">
        <v>21</v>
      </c>
      <c r="AD4967" s="17" t="s">
        <v>2310</v>
      </c>
      <c r="AE4967" s="145"/>
      <c r="AF4967" s="146"/>
      <c r="AG4967" s="146"/>
      <c r="AH4967" s="146"/>
      <c r="AI4967" s="147"/>
      <c r="AJ4967" s="148"/>
      <c r="AK4967" s="143"/>
      <c r="AL4967" s="144"/>
      <c r="AM4967" s="22"/>
      <c r="AN4967" s="149" t="s">
        <v>2511</v>
      </c>
      <c r="AO4967" s="144"/>
      <c r="AP4967" s="148">
        <v>80017</v>
      </c>
      <c r="AQ4967" s="144"/>
      <c r="AR4967" s="120"/>
      <c r="AS4967" s="121"/>
      <c r="AT4967" s="120"/>
      <c r="AU4967" s="121"/>
      <c r="AV4967" s="120"/>
      <c r="AW4967" s="121"/>
      <c r="AX4967" s="120"/>
      <c r="AY4967" s="121"/>
      <c r="AZ4967" s="138"/>
    </row>
    <row r="4968" spans="1:52" ht="17.100000000000001" customHeight="1" thickTop="1">
      <c r="A4968" s="109" t="s">
        <v>14799</v>
      </c>
      <c r="B4968" s="28">
        <v>46034</v>
      </c>
      <c r="C4968" s="25"/>
      <c r="D4968" s="13" t="s">
        <v>3550</v>
      </c>
      <c r="E4968" s="111"/>
      <c r="F4968" s="113" t="s">
        <v>14815</v>
      </c>
      <c r="G4968" s="114"/>
      <c r="H4968" s="115"/>
      <c r="I4968" s="24" t="s">
        <v>14817</v>
      </c>
      <c r="J4968" s="116">
        <v>4</v>
      </c>
      <c r="K4968" s="118">
        <f>1650000/1.1</f>
        <v>1499999.9999999998</v>
      </c>
      <c r="L4968" s="119"/>
      <c r="M4968" s="118">
        <f t="shared" ref="M4968" si="5890">K4968*0.1</f>
        <v>149999.99999999997</v>
      </c>
      <c r="N4968" s="119"/>
      <c r="O4968" s="118">
        <v>2500</v>
      </c>
      <c r="P4968" s="119"/>
      <c r="Q4968" s="118">
        <v>9830</v>
      </c>
      <c r="R4968" s="119"/>
      <c r="S4968" s="118">
        <v>0</v>
      </c>
      <c r="T4968" s="119"/>
      <c r="U4968" s="118">
        <f t="shared" ref="U4968" si="5891">SUM(K4968:T4969)</f>
        <v>1662329.9999999998</v>
      </c>
      <c r="V4968" s="122"/>
      <c r="W4968" s="124"/>
      <c r="X4968" s="126" t="s">
        <v>16808</v>
      </c>
      <c r="Y4968" s="127"/>
      <c r="Z4968" s="127"/>
      <c r="AA4968" s="127"/>
      <c r="AB4968" s="128"/>
      <c r="AC4968" s="15" t="s">
        <v>20</v>
      </c>
      <c r="AD4968" s="129" t="s">
        <v>1605</v>
      </c>
      <c r="AE4968" s="130"/>
      <c r="AF4968" s="130"/>
      <c r="AG4968" s="130"/>
      <c r="AH4968" s="130"/>
      <c r="AI4968" s="131"/>
      <c r="AJ4968" s="132"/>
      <c r="AK4968" s="127"/>
      <c r="AL4968" s="128"/>
      <c r="AM4968" s="21" t="s">
        <v>19976</v>
      </c>
      <c r="AN4968" s="133">
        <v>46123</v>
      </c>
      <c r="AO4968" s="134"/>
      <c r="AP4968" s="135">
        <v>1296</v>
      </c>
      <c r="AQ4968" s="136"/>
      <c r="AR4968" s="118">
        <v>1515000</v>
      </c>
      <c r="AS4968" s="119"/>
      <c r="AT4968" s="118">
        <f t="shared" ref="AT4968" si="5892">AR4968*0.1</f>
        <v>151500</v>
      </c>
      <c r="AU4968" s="119"/>
      <c r="AV4968" s="118">
        <v>9830</v>
      </c>
      <c r="AW4968" s="119"/>
      <c r="AX4968" s="118">
        <f t="shared" ref="AX4968" si="5893">SUM(AR4968:AW4968)</f>
        <v>1676330</v>
      </c>
      <c r="AY4968" s="119"/>
      <c r="AZ4968" s="137">
        <v>46126</v>
      </c>
    </row>
    <row r="4969" spans="1:52" ht="17.100000000000001" customHeight="1" thickBot="1">
      <c r="A4969" s="110"/>
      <c r="B4969" s="27" t="s">
        <v>1718</v>
      </c>
      <c r="C4969" s="27" t="s">
        <v>14814</v>
      </c>
      <c r="D4969" s="14" t="s">
        <v>2601</v>
      </c>
      <c r="E4969" s="112"/>
      <c r="F4969" s="139" t="s">
        <v>14816</v>
      </c>
      <c r="G4969" s="140"/>
      <c r="H4969" s="141"/>
      <c r="I4969" s="26">
        <v>45074</v>
      </c>
      <c r="J4969" s="117"/>
      <c r="K4969" s="120"/>
      <c r="L4969" s="121"/>
      <c r="M4969" s="120"/>
      <c r="N4969" s="121"/>
      <c r="O4969" s="120"/>
      <c r="P4969" s="121"/>
      <c r="Q4969" s="120"/>
      <c r="R4969" s="121"/>
      <c r="S4969" s="120"/>
      <c r="T4969" s="121"/>
      <c r="U4969" s="120"/>
      <c r="V4969" s="123"/>
      <c r="W4969" s="125"/>
      <c r="X4969" s="142" t="s">
        <v>16809</v>
      </c>
      <c r="Y4969" s="143"/>
      <c r="Z4969" s="143"/>
      <c r="AA4969" s="143"/>
      <c r="AB4969" s="144"/>
      <c r="AC4969" s="16" t="s">
        <v>21</v>
      </c>
      <c r="AD4969" s="17" t="s">
        <v>2329</v>
      </c>
      <c r="AE4969" s="145" t="s">
        <v>17008</v>
      </c>
      <c r="AF4969" s="146"/>
      <c r="AG4969" s="146"/>
      <c r="AH4969" s="146"/>
      <c r="AI4969" s="147"/>
      <c r="AJ4969" s="148"/>
      <c r="AK4969" s="143"/>
      <c r="AL4969" s="144"/>
      <c r="AM4969" s="22"/>
      <c r="AN4969" s="149" t="s">
        <v>2511</v>
      </c>
      <c r="AO4969" s="144"/>
      <c r="AP4969" s="148">
        <v>55072</v>
      </c>
      <c r="AQ4969" s="144"/>
      <c r="AR4969" s="120"/>
      <c r="AS4969" s="121"/>
      <c r="AT4969" s="120"/>
      <c r="AU4969" s="121"/>
      <c r="AV4969" s="120"/>
      <c r="AW4969" s="121"/>
      <c r="AX4969" s="120"/>
      <c r="AY4969" s="121"/>
      <c r="AZ4969" s="138"/>
    </row>
    <row r="4970" spans="1:52" ht="17.100000000000001" customHeight="1" thickTop="1">
      <c r="A4970" s="109" t="s">
        <v>14800</v>
      </c>
      <c r="B4970" s="28">
        <v>46034</v>
      </c>
      <c r="C4970" s="25"/>
      <c r="D4970" s="13" t="s">
        <v>1714</v>
      </c>
      <c r="E4970" s="111"/>
      <c r="F4970" s="113" t="s">
        <v>4297</v>
      </c>
      <c r="G4970" s="114"/>
      <c r="H4970" s="115"/>
      <c r="I4970" s="24" t="s">
        <v>8219</v>
      </c>
      <c r="J4970" s="116">
        <v>4</v>
      </c>
      <c r="K4970" s="118">
        <f>1358500/1.1</f>
        <v>1235000</v>
      </c>
      <c r="L4970" s="119"/>
      <c r="M4970" s="118">
        <f t="shared" ref="M4970" si="5894">K4970*0.1</f>
        <v>123500</v>
      </c>
      <c r="N4970" s="119"/>
      <c r="O4970" s="118">
        <v>0</v>
      </c>
      <c r="P4970" s="119"/>
      <c r="Q4970" s="118">
        <v>8550</v>
      </c>
      <c r="R4970" s="119"/>
      <c r="S4970" s="118">
        <v>0</v>
      </c>
      <c r="T4970" s="119"/>
      <c r="U4970" s="118">
        <f t="shared" ref="U4970" si="5895">SUM(K4970:T4971)</f>
        <v>1367050</v>
      </c>
      <c r="V4970" s="122"/>
      <c r="W4970" s="124"/>
      <c r="X4970" s="126" t="s">
        <v>17000</v>
      </c>
      <c r="Y4970" s="127"/>
      <c r="Z4970" s="127"/>
      <c r="AA4970" s="127"/>
      <c r="AB4970" s="128"/>
      <c r="AC4970" s="15" t="s">
        <v>20</v>
      </c>
      <c r="AD4970" s="129" t="s">
        <v>1732</v>
      </c>
      <c r="AE4970" s="130"/>
      <c r="AF4970" s="130"/>
      <c r="AG4970" s="130"/>
      <c r="AH4970" s="130"/>
      <c r="AI4970" s="131"/>
      <c r="AJ4970" s="132"/>
      <c r="AK4970" s="127"/>
      <c r="AL4970" s="128"/>
      <c r="AM4970" s="21"/>
      <c r="AN4970" s="133">
        <v>46071</v>
      </c>
      <c r="AO4970" s="134"/>
      <c r="AP4970" s="135">
        <v>1005</v>
      </c>
      <c r="AQ4970" s="136"/>
      <c r="AR4970" s="118">
        <v>1240000</v>
      </c>
      <c r="AS4970" s="119"/>
      <c r="AT4970" s="118">
        <f t="shared" ref="AT4970" si="5896">AR4970*0.1</f>
        <v>124000</v>
      </c>
      <c r="AU4970" s="119"/>
      <c r="AV4970" s="118">
        <v>8550</v>
      </c>
      <c r="AW4970" s="119"/>
      <c r="AX4970" s="118">
        <f t="shared" ref="AX4970" si="5897">SUM(AR4970:AW4970)</f>
        <v>1372550</v>
      </c>
      <c r="AY4970" s="119"/>
      <c r="AZ4970" s="137">
        <v>46077</v>
      </c>
    </row>
    <row r="4971" spans="1:52" ht="17.100000000000001" customHeight="1" thickBot="1">
      <c r="A4971" s="110"/>
      <c r="B4971" s="27" t="s">
        <v>1718</v>
      </c>
      <c r="C4971" s="27" t="s">
        <v>14818</v>
      </c>
      <c r="D4971" s="14">
        <v>0</v>
      </c>
      <c r="E4971" s="112"/>
      <c r="F4971" s="139" t="s">
        <v>14819</v>
      </c>
      <c r="G4971" s="140"/>
      <c r="H4971" s="141"/>
      <c r="I4971" s="26">
        <v>40126</v>
      </c>
      <c r="J4971" s="117"/>
      <c r="K4971" s="120"/>
      <c r="L4971" s="121"/>
      <c r="M4971" s="120"/>
      <c r="N4971" s="121"/>
      <c r="O4971" s="120"/>
      <c r="P4971" s="121"/>
      <c r="Q4971" s="120"/>
      <c r="R4971" s="121"/>
      <c r="S4971" s="120"/>
      <c r="T4971" s="121"/>
      <c r="U4971" s="120"/>
      <c r="V4971" s="123"/>
      <c r="W4971" s="125"/>
      <c r="X4971" s="142" t="s">
        <v>17001</v>
      </c>
      <c r="Y4971" s="143"/>
      <c r="Z4971" s="143"/>
      <c r="AA4971" s="143"/>
      <c r="AB4971" s="144"/>
      <c r="AC4971" s="16" t="s">
        <v>21</v>
      </c>
      <c r="AD4971" s="17" t="s">
        <v>3322</v>
      </c>
      <c r="AE4971" s="145" t="s">
        <v>2347</v>
      </c>
      <c r="AF4971" s="146"/>
      <c r="AG4971" s="146"/>
      <c r="AH4971" s="146"/>
      <c r="AI4971" s="147"/>
      <c r="AJ4971" s="148"/>
      <c r="AK4971" s="143"/>
      <c r="AL4971" s="144"/>
      <c r="AM4971" s="22"/>
      <c r="AN4971" s="149" t="s">
        <v>9053</v>
      </c>
      <c r="AO4971" s="144"/>
      <c r="AP4971" s="148">
        <v>1107</v>
      </c>
      <c r="AQ4971" s="144"/>
      <c r="AR4971" s="120"/>
      <c r="AS4971" s="121"/>
      <c r="AT4971" s="120"/>
      <c r="AU4971" s="121"/>
      <c r="AV4971" s="120"/>
      <c r="AW4971" s="121"/>
      <c r="AX4971" s="120"/>
      <c r="AY4971" s="121"/>
      <c r="AZ4971" s="138"/>
    </row>
    <row r="4972" spans="1:52" ht="17.100000000000001" customHeight="1" thickTop="1">
      <c r="A4972" s="109" t="s">
        <v>14801</v>
      </c>
      <c r="B4972" s="28">
        <v>46034</v>
      </c>
      <c r="C4972" s="25"/>
      <c r="D4972" s="13" t="s">
        <v>3461</v>
      </c>
      <c r="E4972" s="111"/>
      <c r="F4972" s="113" t="s">
        <v>14821</v>
      </c>
      <c r="G4972" s="114"/>
      <c r="H4972" s="115"/>
      <c r="I4972" s="24" t="s">
        <v>14823</v>
      </c>
      <c r="J4972" s="116">
        <v>4.5</v>
      </c>
      <c r="K4972" s="118">
        <f>2370500/1.1</f>
        <v>2155000</v>
      </c>
      <c r="L4972" s="119"/>
      <c r="M4972" s="118">
        <f t="shared" ref="M4972" si="5898">K4972*0.1</f>
        <v>215500</v>
      </c>
      <c r="N4972" s="119"/>
      <c r="O4972" s="118">
        <v>5000</v>
      </c>
      <c r="P4972" s="119"/>
      <c r="Q4972" s="118">
        <v>11650</v>
      </c>
      <c r="R4972" s="119"/>
      <c r="S4972" s="118">
        <v>0</v>
      </c>
      <c r="T4972" s="119"/>
      <c r="U4972" s="118">
        <f t="shared" ref="U4972" si="5899">SUM(K4972:T4973)</f>
        <v>2387150</v>
      </c>
      <c r="V4972" s="122"/>
      <c r="W4972" s="124"/>
      <c r="X4972" s="126" t="s">
        <v>16104</v>
      </c>
      <c r="Y4972" s="127"/>
      <c r="Z4972" s="127"/>
      <c r="AA4972" s="127"/>
      <c r="AB4972" s="128"/>
      <c r="AC4972" s="15" t="s">
        <v>20</v>
      </c>
      <c r="AD4972" s="129" t="s">
        <v>1945</v>
      </c>
      <c r="AE4972" s="130"/>
      <c r="AF4972" s="130"/>
      <c r="AG4972" s="130"/>
      <c r="AH4972" s="130"/>
      <c r="AI4972" s="131"/>
      <c r="AJ4972" s="132"/>
      <c r="AK4972" s="127"/>
      <c r="AL4972" s="128"/>
      <c r="AM4972" s="21"/>
      <c r="AN4972" s="133">
        <v>46060</v>
      </c>
      <c r="AO4972" s="134"/>
      <c r="AP4972" s="135">
        <v>1287</v>
      </c>
      <c r="AQ4972" s="136"/>
      <c r="AR4972" s="118">
        <v>2245000</v>
      </c>
      <c r="AS4972" s="119"/>
      <c r="AT4972" s="118">
        <f t="shared" ref="AT4972" si="5900">AR4972*0.1</f>
        <v>224500</v>
      </c>
      <c r="AU4972" s="119"/>
      <c r="AV4972" s="118">
        <v>11650</v>
      </c>
      <c r="AW4972" s="119"/>
      <c r="AX4972" s="118">
        <f t="shared" ref="AX4972" si="5901">SUM(AR4972:AW4972)</f>
        <v>2481150</v>
      </c>
      <c r="AY4972" s="119"/>
      <c r="AZ4972" s="137">
        <v>46063</v>
      </c>
    </row>
    <row r="4973" spans="1:52" ht="17.100000000000001" customHeight="1" thickBot="1">
      <c r="A4973" s="110"/>
      <c r="B4973" s="27" t="s">
        <v>1718</v>
      </c>
      <c r="C4973" s="27" t="s">
        <v>14820</v>
      </c>
      <c r="D4973" s="14" t="s">
        <v>275</v>
      </c>
      <c r="E4973" s="112"/>
      <c r="F4973" s="139" t="s">
        <v>14822</v>
      </c>
      <c r="G4973" s="140"/>
      <c r="H4973" s="141"/>
      <c r="I4973" s="26">
        <v>9997</v>
      </c>
      <c r="J4973" s="117"/>
      <c r="K4973" s="120"/>
      <c r="L4973" s="121"/>
      <c r="M4973" s="120"/>
      <c r="N4973" s="121"/>
      <c r="O4973" s="120"/>
      <c r="P4973" s="121"/>
      <c r="Q4973" s="120"/>
      <c r="R4973" s="121"/>
      <c r="S4973" s="120"/>
      <c r="T4973" s="121"/>
      <c r="U4973" s="120"/>
      <c r="V4973" s="123"/>
      <c r="W4973" s="125"/>
      <c r="X4973" s="142" t="s">
        <v>16105</v>
      </c>
      <c r="Y4973" s="143"/>
      <c r="Z4973" s="143"/>
      <c r="AA4973" s="143"/>
      <c r="AB4973" s="144"/>
      <c r="AC4973" s="16" t="s">
        <v>21</v>
      </c>
      <c r="AD4973" s="17" t="s">
        <v>16106</v>
      </c>
      <c r="AE4973" s="145" t="s">
        <v>1614</v>
      </c>
      <c r="AF4973" s="146"/>
      <c r="AG4973" s="146"/>
      <c r="AH4973" s="146"/>
      <c r="AI4973" s="147"/>
      <c r="AJ4973" s="148"/>
      <c r="AK4973" s="143"/>
      <c r="AL4973" s="144"/>
      <c r="AM4973" s="22"/>
      <c r="AN4973" s="149" t="s">
        <v>2511</v>
      </c>
      <c r="AO4973" s="144"/>
      <c r="AP4973" s="148">
        <v>31275</v>
      </c>
      <c r="AQ4973" s="144"/>
      <c r="AR4973" s="120"/>
      <c r="AS4973" s="121"/>
      <c r="AT4973" s="120"/>
      <c r="AU4973" s="121"/>
      <c r="AV4973" s="120"/>
      <c r="AW4973" s="121"/>
      <c r="AX4973" s="120"/>
      <c r="AY4973" s="121"/>
      <c r="AZ4973" s="138"/>
    </row>
    <row r="4974" spans="1:52" ht="17.100000000000001" customHeight="1" thickTop="1">
      <c r="A4974" s="109" t="s">
        <v>14802</v>
      </c>
      <c r="B4974" s="28">
        <v>46034</v>
      </c>
      <c r="C4974" s="25"/>
      <c r="D4974" s="13" t="s">
        <v>1998</v>
      </c>
      <c r="E4974" s="111"/>
      <c r="F4974" s="113" t="s">
        <v>14825</v>
      </c>
      <c r="G4974" s="114"/>
      <c r="H4974" s="115"/>
      <c r="I4974" s="24" t="s">
        <v>10664</v>
      </c>
      <c r="J4974" s="116">
        <v>4.5</v>
      </c>
      <c r="K4974" s="118">
        <f>4955500/1.1</f>
        <v>4505000</v>
      </c>
      <c r="L4974" s="119"/>
      <c r="M4974" s="118">
        <f t="shared" ref="M4974" si="5902">K4974*0.1</f>
        <v>450500</v>
      </c>
      <c r="N4974" s="119"/>
      <c r="O4974" s="118">
        <v>8300</v>
      </c>
      <c r="P4974" s="119"/>
      <c r="Q4974" s="118">
        <v>10830</v>
      </c>
      <c r="R4974" s="119"/>
      <c r="S4974" s="118">
        <v>0</v>
      </c>
      <c r="T4974" s="119"/>
      <c r="U4974" s="118">
        <f t="shared" ref="U4974" si="5903">SUM(K4974:T4975)</f>
        <v>4974630</v>
      </c>
      <c r="V4974" s="122"/>
      <c r="W4974" s="124"/>
      <c r="X4974" s="126" t="s">
        <v>16089</v>
      </c>
      <c r="Y4974" s="127"/>
      <c r="Z4974" s="127"/>
      <c r="AA4974" s="127"/>
      <c r="AB4974" s="128"/>
      <c r="AC4974" s="15" t="s">
        <v>20</v>
      </c>
      <c r="AD4974" s="129" t="s">
        <v>2054</v>
      </c>
      <c r="AE4974" s="130"/>
      <c r="AF4974" s="130"/>
      <c r="AG4974" s="130"/>
      <c r="AH4974" s="130"/>
      <c r="AI4974" s="131"/>
      <c r="AJ4974" s="132"/>
      <c r="AK4974" s="127"/>
      <c r="AL4974" s="128"/>
      <c r="AM4974" s="21"/>
      <c r="AN4974" s="133">
        <v>46074</v>
      </c>
      <c r="AO4974" s="134"/>
      <c r="AP4974" s="135">
        <v>1289</v>
      </c>
      <c r="AQ4974" s="136"/>
      <c r="AR4974" s="118">
        <v>4610000</v>
      </c>
      <c r="AS4974" s="119"/>
      <c r="AT4974" s="118">
        <f t="shared" ref="AT4974" si="5904">AR4974*0.1</f>
        <v>461000</v>
      </c>
      <c r="AU4974" s="119"/>
      <c r="AV4974" s="118">
        <v>10830</v>
      </c>
      <c r="AW4974" s="119"/>
      <c r="AX4974" s="118">
        <f t="shared" ref="AX4974" si="5905">SUM(AR4974:AW4974)</f>
        <v>5081830</v>
      </c>
      <c r="AY4974" s="119"/>
      <c r="AZ4974" s="137">
        <v>46077</v>
      </c>
    </row>
    <row r="4975" spans="1:52" ht="17.100000000000001" customHeight="1" thickBot="1">
      <c r="A4975" s="110"/>
      <c r="B4975" s="27" t="s">
        <v>1718</v>
      </c>
      <c r="C4975" s="27" t="s">
        <v>14824</v>
      </c>
      <c r="D4975" s="14" t="s">
        <v>275</v>
      </c>
      <c r="E4975" s="112"/>
      <c r="F4975" s="139" t="s">
        <v>14826</v>
      </c>
      <c r="G4975" s="140"/>
      <c r="H4975" s="141"/>
      <c r="I4975" s="26">
        <v>9000</v>
      </c>
      <c r="J4975" s="117"/>
      <c r="K4975" s="120"/>
      <c r="L4975" s="121"/>
      <c r="M4975" s="120"/>
      <c r="N4975" s="121"/>
      <c r="O4975" s="120"/>
      <c r="P4975" s="121"/>
      <c r="Q4975" s="120"/>
      <c r="R4975" s="121"/>
      <c r="S4975" s="120"/>
      <c r="T4975" s="121"/>
      <c r="U4975" s="120"/>
      <c r="V4975" s="123"/>
      <c r="W4975" s="125"/>
      <c r="X4975" s="142" t="s">
        <v>16090</v>
      </c>
      <c r="Y4975" s="143"/>
      <c r="Z4975" s="143"/>
      <c r="AA4975" s="143"/>
      <c r="AB4975" s="144"/>
      <c r="AC4975" s="16" t="s">
        <v>21</v>
      </c>
      <c r="AD4975" s="17" t="s">
        <v>2644</v>
      </c>
      <c r="AE4975" s="145" t="s">
        <v>171</v>
      </c>
      <c r="AF4975" s="146"/>
      <c r="AG4975" s="146"/>
      <c r="AH4975" s="146"/>
      <c r="AI4975" s="147"/>
      <c r="AJ4975" s="148"/>
      <c r="AK4975" s="143"/>
      <c r="AL4975" s="144"/>
      <c r="AM4975" s="22"/>
      <c r="AN4975" s="149" t="s">
        <v>2511</v>
      </c>
      <c r="AO4975" s="144"/>
      <c r="AP4975" s="148">
        <v>35860</v>
      </c>
      <c r="AQ4975" s="144"/>
      <c r="AR4975" s="120"/>
      <c r="AS4975" s="121"/>
      <c r="AT4975" s="120"/>
      <c r="AU4975" s="121"/>
      <c r="AV4975" s="120"/>
      <c r="AW4975" s="121"/>
      <c r="AX4975" s="120"/>
      <c r="AY4975" s="121"/>
      <c r="AZ4975" s="138"/>
    </row>
    <row r="4976" spans="1:52" ht="17.100000000000001" customHeight="1" thickTop="1">
      <c r="A4976" s="109" t="s">
        <v>14803</v>
      </c>
      <c r="B4976" s="28">
        <v>46034</v>
      </c>
      <c r="C4976" s="25"/>
      <c r="D4976" s="13" t="s">
        <v>1760</v>
      </c>
      <c r="E4976" s="111"/>
      <c r="F4976" s="113" t="s">
        <v>10810</v>
      </c>
      <c r="G4976" s="114"/>
      <c r="H4976" s="115"/>
      <c r="I4976" s="24" t="s">
        <v>5282</v>
      </c>
      <c r="J4976" s="116">
        <v>4.5</v>
      </c>
      <c r="K4976" s="118">
        <f>1650000/1.1</f>
        <v>1499999.9999999998</v>
      </c>
      <c r="L4976" s="119"/>
      <c r="M4976" s="118">
        <f t="shared" ref="M4976" si="5906">K4976*0.1</f>
        <v>149999.99999999997</v>
      </c>
      <c r="N4976" s="119"/>
      <c r="O4976" s="118">
        <v>0</v>
      </c>
      <c r="P4976" s="119"/>
      <c r="Q4976" s="118">
        <v>8640</v>
      </c>
      <c r="R4976" s="119"/>
      <c r="S4976" s="118">
        <v>0</v>
      </c>
      <c r="T4976" s="119"/>
      <c r="U4976" s="118">
        <f t="shared" ref="U4976" si="5907">SUM(K4976:T4977)</f>
        <v>1658639.9999999998</v>
      </c>
      <c r="V4976" s="122"/>
      <c r="W4976" s="124"/>
      <c r="X4976" s="126" t="s">
        <v>16316</v>
      </c>
      <c r="Y4976" s="127"/>
      <c r="Z4976" s="127"/>
      <c r="AA4976" s="127"/>
      <c r="AB4976" s="128"/>
      <c r="AC4976" s="15" t="s">
        <v>20</v>
      </c>
      <c r="AD4976" s="129" t="s">
        <v>171</v>
      </c>
      <c r="AE4976" s="130"/>
      <c r="AF4976" s="130"/>
      <c r="AG4976" s="130"/>
      <c r="AH4976" s="130"/>
      <c r="AI4976" s="131"/>
      <c r="AJ4976" s="132"/>
      <c r="AK4976" s="127"/>
      <c r="AL4976" s="128"/>
      <c r="AM4976" s="21"/>
      <c r="AN4976" s="133">
        <v>46053</v>
      </c>
      <c r="AO4976" s="134"/>
      <c r="AP4976" s="135">
        <v>1286</v>
      </c>
      <c r="AQ4976" s="136"/>
      <c r="AR4976" s="118">
        <v>1595000</v>
      </c>
      <c r="AS4976" s="119"/>
      <c r="AT4976" s="118">
        <f t="shared" ref="AT4976" si="5908">AR4976*0.1</f>
        <v>159500</v>
      </c>
      <c r="AU4976" s="119"/>
      <c r="AV4976" s="118">
        <v>8640</v>
      </c>
      <c r="AW4976" s="119"/>
      <c r="AX4976" s="118">
        <f t="shared" ref="AX4976" si="5909">SUM(AR4976:AW4976)</f>
        <v>1763140</v>
      </c>
      <c r="AY4976" s="119"/>
      <c r="AZ4976" s="137">
        <v>46056</v>
      </c>
    </row>
    <row r="4977" spans="1:52" ht="17.100000000000001" customHeight="1" thickBot="1">
      <c r="A4977" s="110"/>
      <c r="B4977" s="27" t="s">
        <v>1718</v>
      </c>
      <c r="C4977" s="27" t="s">
        <v>14827</v>
      </c>
      <c r="D4977" s="14" t="s">
        <v>1576</v>
      </c>
      <c r="E4977" s="112"/>
      <c r="F4977" s="139" t="s">
        <v>14828</v>
      </c>
      <c r="G4977" s="140"/>
      <c r="H4977" s="141"/>
      <c r="I4977" s="26">
        <v>4477</v>
      </c>
      <c r="J4977" s="117"/>
      <c r="K4977" s="120"/>
      <c r="L4977" s="121"/>
      <c r="M4977" s="120"/>
      <c r="N4977" s="121"/>
      <c r="O4977" s="120"/>
      <c r="P4977" s="121"/>
      <c r="Q4977" s="120"/>
      <c r="R4977" s="121"/>
      <c r="S4977" s="120"/>
      <c r="T4977" s="121"/>
      <c r="U4977" s="120"/>
      <c r="V4977" s="123"/>
      <c r="W4977" s="125"/>
      <c r="X4977" s="142" t="s">
        <v>16317</v>
      </c>
      <c r="Y4977" s="143"/>
      <c r="Z4977" s="143"/>
      <c r="AA4977" s="143"/>
      <c r="AB4977" s="144"/>
      <c r="AC4977" s="16" t="s">
        <v>21</v>
      </c>
      <c r="AD4977" s="17" t="s">
        <v>1837</v>
      </c>
      <c r="AE4977" s="145" t="s">
        <v>16387</v>
      </c>
      <c r="AF4977" s="146"/>
      <c r="AG4977" s="146"/>
      <c r="AH4977" s="146"/>
      <c r="AI4977" s="147"/>
      <c r="AJ4977" s="148"/>
      <c r="AK4977" s="143"/>
      <c r="AL4977" s="144"/>
      <c r="AM4977" s="22"/>
      <c r="AN4977" s="149" t="s">
        <v>2511</v>
      </c>
      <c r="AO4977" s="144"/>
      <c r="AP4977" s="148">
        <v>65201</v>
      </c>
      <c r="AQ4977" s="144"/>
      <c r="AR4977" s="120"/>
      <c r="AS4977" s="121"/>
      <c r="AT4977" s="120"/>
      <c r="AU4977" s="121"/>
      <c r="AV4977" s="120"/>
      <c r="AW4977" s="121"/>
      <c r="AX4977" s="120"/>
      <c r="AY4977" s="121"/>
      <c r="AZ4977" s="138"/>
    </row>
    <row r="4978" spans="1:52" ht="17.100000000000001" customHeight="1" thickTop="1">
      <c r="A4978" s="151" t="s">
        <v>14804</v>
      </c>
      <c r="B4978" s="28">
        <v>46034</v>
      </c>
      <c r="C4978" s="25"/>
      <c r="D4978" s="13" t="s">
        <v>1640</v>
      </c>
      <c r="E4978" s="111"/>
      <c r="F4978" s="113" t="s">
        <v>14830</v>
      </c>
      <c r="G4978" s="114"/>
      <c r="H4978" s="115"/>
      <c r="I4978" s="24" t="s">
        <v>12312</v>
      </c>
      <c r="J4978" s="116">
        <v>4</v>
      </c>
      <c r="K4978" s="118">
        <f>1452000/1.1</f>
        <v>1320000</v>
      </c>
      <c r="L4978" s="119"/>
      <c r="M4978" s="118">
        <f t="shared" ref="M4978" si="5910">K4978*0.1</f>
        <v>132000</v>
      </c>
      <c r="N4978" s="119"/>
      <c r="O4978" s="118">
        <v>7500</v>
      </c>
      <c r="P4978" s="119"/>
      <c r="Q4978" s="118">
        <v>12480</v>
      </c>
      <c r="R4978" s="119"/>
      <c r="S4978" s="118">
        <v>0</v>
      </c>
      <c r="T4978" s="119"/>
      <c r="U4978" s="118">
        <f t="shared" ref="U4978" si="5911">SUM(K4978:T4979)</f>
        <v>1471980</v>
      </c>
      <c r="V4978" s="122"/>
      <c r="W4978" s="124"/>
      <c r="X4978" s="126" t="s">
        <v>15706</v>
      </c>
      <c r="Y4978" s="127"/>
      <c r="Z4978" s="127"/>
      <c r="AA4978" s="127"/>
      <c r="AB4978" s="128"/>
      <c r="AC4978" s="15" t="s">
        <v>20</v>
      </c>
      <c r="AD4978" s="129" t="s">
        <v>1670</v>
      </c>
      <c r="AE4978" s="130"/>
      <c r="AF4978" s="130"/>
      <c r="AG4978" s="130"/>
      <c r="AH4978" s="130"/>
      <c r="AI4978" s="131"/>
      <c r="AJ4978" s="132"/>
      <c r="AK4978" s="127"/>
      <c r="AL4978" s="128"/>
      <c r="AM4978" s="21"/>
      <c r="AN4978" s="133">
        <v>46050</v>
      </c>
      <c r="AO4978" s="134"/>
      <c r="AP4978" s="135">
        <v>1002</v>
      </c>
      <c r="AQ4978" s="136"/>
      <c r="AR4978" s="118">
        <v>1400000</v>
      </c>
      <c r="AS4978" s="119"/>
      <c r="AT4978" s="118">
        <f t="shared" ref="AT4978" si="5912">AR4978*0.1</f>
        <v>140000</v>
      </c>
      <c r="AU4978" s="119"/>
      <c r="AV4978" s="118">
        <v>12480</v>
      </c>
      <c r="AW4978" s="119"/>
      <c r="AX4978" s="118">
        <f t="shared" ref="AX4978" si="5913">SUM(AR4978:AW4978)</f>
        <v>1552480</v>
      </c>
      <c r="AY4978" s="119"/>
      <c r="AZ4978" s="137">
        <v>46056</v>
      </c>
    </row>
    <row r="4979" spans="1:52" ht="17.100000000000001" customHeight="1" thickBot="1">
      <c r="A4979" s="152"/>
      <c r="B4979" s="27" t="s">
        <v>1718</v>
      </c>
      <c r="C4979" s="27" t="s">
        <v>14829</v>
      </c>
      <c r="D4979" s="14" t="s">
        <v>904</v>
      </c>
      <c r="E4979" s="112"/>
      <c r="F4979" s="139" t="s">
        <v>14831</v>
      </c>
      <c r="G4979" s="140"/>
      <c r="H4979" s="141"/>
      <c r="I4979" s="26">
        <v>53067</v>
      </c>
      <c r="J4979" s="117"/>
      <c r="K4979" s="120"/>
      <c r="L4979" s="121"/>
      <c r="M4979" s="120"/>
      <c r="N4979" s="121"/>
      <c r="O4979" s="120"/>
      <c r="P4979" s="121"/>
      <c r="Q4979" s="120"/>
      <c r="R4979" s="121"/>
      <c r="S4979" s="120"/>
      <c r="T4979" s="121"/>
      <c r="U4979" s="120"/>
      <c r="V4979" s="123"/>
      <c r="W4979" s="125"/>
      <c r="X4979" s="142" t="s">
        <v>15707</v>
      </c>
      <c r="Y4979" s="143"/>
      <c r="Z4979" s="143"/>
      <c r="AA4979" s="143"/>
      <c r="AB4979" s="144"/>
      <c r="AC4979" s="16" t="s">
        <v>21</v>
      </c>
      <c r="AD4979" s="17" t="s">
        <v>15708</v>
      </c>
      <c r="AE4979" s="145" t="s">
        <v>15654</v>
      </c>
      <c r="AF4979" s="146"/>
      <c r="AG4979" s="146"/>
      <c r="AH4979" s="146"/>
      <c r="AI4979" s="147"/>
      <c r="AJ4979" s="148"/>
      <c r="AK4979" s="143"/>
      <c r="AL4979" s="144"/>
      <c r="AM4979" s="22"/>
      <c r="AN4979" s="149" t="s">
        <v>2794</v>
      </c>
      <c r="AO4979" s="144"/>
      <c r="AP4979" s="148">
        <v>1173</v>
      </c>
      <c r="AQ4979" s="144"/>
      <c r="AR4979" s="120"/>
      <c r="AS4979" s="121"/>
      <c r="AT4979" s="120"/>
      <c r="AU4979" s="121"/>
      <c r="AV4979" s="120"/>
      <c r="AW4979" s="121"/>
      <c r="AX4979" s="120"/>
      <c r="AY4979" s="121"/>
      <c r="AZ4979" s="138"/>
    </row>
    <row r="4980" spans="1:52" ht="17.100000000000001" customHeight="1" thickTop="1">
      <c r="A4980" s="109" t="s">
        <v>14805</v>
      </c>
      <c r="B4980" s="28">
        <v>46034</v>
      </c>
      <c r="C4980" s="25"/>
      <c r="D4980" s="13" t="s">
        <v>2036</v>
      </c>
      <c r="E4980" s="111"/>
      <c r="F4980" s="113" t="s">
        <v>14833</v>
      </c>
      <c r="G4980" s="114"/>
      <c r="H4980" s="115"/>
      <c r="I4980" s="24" t="s">
        <v>7828</v>
      </c>
      <c r="J4980" s="116">
        <v>4.5</v>
      </c>
      <c r="K4980" s="118">
        <f>3008500/1.1</f>
        <v>2735000</v>
      </c>
      <c r="L4980" s="119"/>
      <c r="M4980" s="118">
        <f t="shared" ref="M4980" si="5914">K4980*0.1</f>
        <v>273500</v>
      </c>
      <c r="N4980" s="119"/>
      <c r="O4980" s="118">
        <v>5000</v>
      </c>
      <c r="P4980" s="119"/>
      <c r="Q4980" s="118">
        <v>11740</v>
      </c>
      <c r="R4980" s="119"/>
      <c r="S4980" s="118">
        <v>0</v>
      </c>
      <c r="T4980" s="119"/>
      <c r="U4980" s="118">
        <f t="shared" ref="U4980" si="5915">SUM(K4980:T4981)</f>
        <v>3025240</v>
      </c>
      <c r="V4980" s="122"/>
      <c r="W4980" s="124"/>
      <c r="X4980" s="126" t="s">
        <v>15767</v>
      </c>
      <c r="Y4980" s="127"/>
      <c r="Z4980" s="127"/>
      <c r="AA4980" s="127"/>
      <c r="AB4980" s="128"/>
      <c r="AC4980" s="15" t="s">
        <v>20</v>
      </c>
      <c r="AD4980" s="129" t="s">
        <v>1633</v>
      </c>
      <c r="AE4980" s="130"/>
      <c r="AF4980" s="130"/>
      <c r="AG4980" s="130"/>
      <c r="AH4980" s="130"/>
      <c r="AI4980" s="131"/>
      <c r="AJ4980" s="132"/>
      <c r="AK4980" s="127"/>
      <c r="AL4980" s="128"/>
      <c r="AM4980" s="21"/>
      <c r="AN4980" s="133">
        <v>46053</v>
      </c>
      <c r="AO4980" s="134"/>
      <c r="AP4980" s="135">
        <v>1286</v>
      </c>
      <c r="AQ4980" s="136"/>
      <c r="AR4980" s="118">
        <v>3110000</v>
      </c>
      <c r="AS4980" s="119"/>
      <c r="AT4980" s="118">
        <f t="shared" ref="AT4980" si="5916">AR4980*0.1</f>
        <v>311000</v>
      </c>
      <c r="AU4980" s="119"/>
      <c r="AV4980" s="118">
        <v>11740</v>
      </c>
      <c r="AW4980" s="119"/>
      <c r="AX4980" s="118">
        <f t="shared" ref="AX4980" si="5917">SUM(AR4980:AW4980)</f>
        <v>3432740</v>
      </c>
      <c r="AY4980" s="119"/>
      <c r="AZ4980" s="137">
        <v>46056</v>
      </c>
    </row>
    <row r="4981" spans="1:52" ht="17.100000000000001" customHeight="1" thickBot="1">
      <c r="A4981" s="110"/>
      <c r="B4981" s="27" t="s">
        <v>1718</v>
      </c>
      <c r="C4981" s="27" t="s">
        <v>14832</v>
      </c>
      <c r="D4981" s="14" t="s">
        <v>1592</v>
      </c>
      <c r="E4981" s="112"/>
      <c r="F4981" s="139" t="s">
        <v>14834</v>
      </c>
      <c r="G4981" s="140"/>
      <c r="H4981" s="141"/>
      <c r="I4981" s="26">
        <v>12737</v>
      </c>
      <c r="J4981" s="117"/>
      <c r="K4981" s="120"/>
      <c r="L4981" s="121"/>
      <c r="M4981" s="120"/>
      <c r="N4981" s="121"/>
      <c r="O4981" s="120"/>
      <c r="P4981" s="121"/>
      <c r="Q4981" s="120"/>
      <c r="R4981" s="121"/>
      <c r="S4981" s="120"/>
      <c r="T4981" s="121"/>
      <c r="U4981" s="120"/>
      <c r="V4981" s="123"/>
      <c r="W4981" s="125"/>
      <c r="X4981" s="142" t="s">
        <v>15768</v>
      </c>
      <c r="Y4981" s="143"/>
      <c r="Z4981" s="143"/>
      <c r="AA4981" s="143"/>
      <c r="AB4981" s="144"/>
      <c r="AC4981" s="16" t="s">
        <v>21</v>
      </c>
      <c r="AD4981" s="17" t="s">
        <v>15708</v>
      </c>
      <c r="AE4981" s="145" t="s">
        <v>1742</v>
      </c>
      <c r="AF4981" s="146"/>
      <c r="AG4981" s="146"/>
      <c r="AH4981" s="146"/>
      <c r="AI4981" s="147"/>
      <c r="AJ4981" s="148"/>
      <c r="AK4981" s="143"/>
      <c r="AL4981" s="144"/>
      <c r="AM4981" s="22"/>
      <c r="AN4981" s="149" t="s">
        <v>2511</v>
      </c>
      <c r="AO4981" s="144"/>
      <c r="AP4981" s="148">
        <v>37738</v>
      </c>
      <c r="AQ4981" s="144"/>
      <c r="AR4981" s="120"/>
      <c r="AS4981" s="121"/>
      <c r="AT4981" s="120"/>
      <c r="AU4981" s="121"/>
      <c r="AV4981" s="120"/>
      <c r="AW4981" s="121"/>
      <c r="AX4981" s="120"/>
      <c r="AY4981" s="121"/>
      <c r="AZ4981" s="138"/>
    </row>
    <row r="4982" spans="1:52" ht="17.100000000000001" customHeight="1" thickTop="1">
      <c r="A4982" s="151" t="s">
        <v>14806</v>
      </c>
      <c r="B4982" s="28">
        <v>46034</v>
      </c>
      <c r="C4982" s="25"/>
      <c r="D4982" s="13" t="s">
        <v>1902</v>
      </c>
      <c r="E4982" s="111"/>
      <c r="F4982" s="113" t="s">
        <v>2598</v>
      </c>
      <c r="G4982" s="114"/>
      <c r="H4982" s="115"/>
      <c r="I4982" s="24" t="s">
        <v>14837</v>
      </c>
      <c r="J4982" s="116">
        <v>4.5</v>
      </c>
      <c r="K4982" s="118">
        <f>1809500/1.1</f>
        <v>1644999.9999999998</v>
      </c>
      <c r="L4982" s="119"/>
      <c r="M4982" s="118">
        <f t="shared" ref="M4982" si="5918">K4982*0.1</f>
        <v>164500</v>
      </c>
      <c r="N4982" s="119"/>
      <c r="O4982" s="118">
        <v>0</v>
      </c>
      <c r="P4982" s="119"/>
      <c r="Q4982" s="118">
        <v>8390</v>
      </c>
      <c r="R4982" s="119"/>
      <c r="S4982" s="118">
        <v>0</v>
      </c>
      <c r="T4982" s="119"/>
      <c r="U4982" s="118">
        <f t="shared" ref="U4982" si="5919">SUM(K4982:T4983)</f>
        <v>1817889.9999999998</v>
      </c>
      <c r="V4982" s="122"/>
      <c r="W4982" s="124"/>
      <c r="X4982" s="126" t="s">
        <v>15678</v>
      </c>
      <c r="Y4982" s="127"/>
      <c r="Z4982" s="127"/>
      <c r="AA4982" s="127"/>
      <c r="AB4982" s="128"/>
      <c r="AC4982" s="15" t="s">
        <v>20</v>
      </c>
      <c r="AD4982" s="129" t="s">
        <v>171</v>
      </c>
      <c r="AE4982" s="130"/>
      <c r="AF4982" s="130"/>
      <c r="AG4982" s="130"/>
      <c r="AH4982" s="130"/>
      <c r="AI4982" s="131"/>
      <c r="AJ4982" s="132"/>
      <c r="AK4982" s="127"/>
      <c r="AL4982" s="128"/>
      <c r="AM4982" s="21"/>
      <c r="AN4982" s="133">
        <v>46050</v>
      </c>
      <c r="AO4982" s="134"/>
      <c r="AP4982" s="135">
        <v>1002</v>
      </c>
      <c r="AQ4982" s="136"/>
      <c r="AR4982" s="118">
        <v>1750000</v>
      </c>
      <c r="AS4982" s="119"/>
      <c r="AT4982" s="118">
        <f t="shared" ref="AT4982" si="5920">AR4982*0.1</f>
        <v>175000</v>
      </c>
      <c r="AU4982" s="119"/>
      <c r="AV4982" s="118">
        <v>8390</v>
      </c>
      <c r="AW4982" s="119"/>
      <c r="AX4982" s="118">
        <f t="shared" ref="AX4982" si="5921">SUM(AR4982:AW4982)</f>
        <v>1933390</v>
      </c>
      <c r="AY4982" s="119"/>
      <c r="AZ4982" s="137">
        <v>46055</v>
      </c>
    </row>
    <row r="4983" spans="1:52" ht="17.100000000000001" customHeight="1" thickBot="1">
      <c r="A4983" s="152"/>
      <c r="B4983" s="27" t="s">
        <v>1718</v>
      </c>
      <c r="C4983" s="27" t="s">
        <v>14835</v>
      </c>
      <c r="D4983" s="14" t="s">
        <v>1812</v>
      </c>
      <c r="E4983" s="112"/>
      <c r="F4983" s="139" t="s">
        <v>14836</v>
      </c>
      <c r="G4983" s="140"/>
      <c r="H4983" s="141"/>
      <c r="I4983" s="26">
        <v>27870</v>
      </c>
      <c r="J4983" s="117"/>
      <c r="K4983" s="120"/>
      <c r="L4983" s="121"/>
      <c r="M4983" s="120"/>
      <c r="N4983" s="121"/>
      <c r="O4983" s="120"/>
      <c r="P4983" s="121"/>
      <c r="Q4983" s="120"/>
      <c r="R4983" s="121"/>
      <c r="S4983" s="120"/>
      <c r="T4983" s="121"/>
      <c r="U4983" s="120"/>
      <c r="V4983" s="123"/>
      <c r="W4983" s="125"/>
      <c r="X4983" s="142" t="s">
        <v>15679</v>
      </c>
      <c r="Y4983" s="143"/>
      <c r="Z4983" s="143"/>
      <c r="AA4983" s="143"/>
      <c r="AB4983" s="144"/>
      <c r="AC4983" s="16" t="s">
        <v>21</v>
      </c>
      <c r="AD4983" s="17" t="s">
        <v>15604</v>
      </c>
      <c r="AE4983" s="145" t="s">
        <v>1878</v>
      </c>
      <c r="AF4983" s="146"/>
      <c r="AG4983" s="146"/>
      <c r="AH4983" s="146"/>
      <c r="AI4983" s="147"/>
      <c r="AJ4983" s="148"/>
      <c r="AK4983" s="143"/>
      <c r="AL4983" s="144"/>
      <c r="AM4983" s="22"/>
      <c r="AN4983" s="149" t="s">
        <v>2794</v>
      </c>
      <c r="AO4983" s="144"/>
      <c r="AP4983" s="148">
        <v>1169</v>
      </c>
      <c r="AQ4983" s="144"/>
      <c r="AR4983" s="120"/>
      <c r="AS4983" s="121"/>
      <c r="AT4983" s="120"/>
      <c r="AU4983" s="121"/>
      <c r="AV4983" s="120"/>
      <c r="AW4983" s="121"/>
      <c r="AX4983" s="120"/>
      <c r="AY4983" s="121"/>
      <c r="AZ4983" s="138"/>
    </row>
    <row r="4984" spans="1:52" ht="17.100000000000001" customHeight="1" thickTop="1">
      <c r="A4984" s="109" t="s">
        <v>14807</v>
      </c>
      <c r="B4984" s="28">
        <v>46034</v>
      </c>
      <c r="C4984" s="25"/>
      <c r="D4984" s="13" t="s">
        <v>1712</v>
      </c>
      <c r="E4984" s="111"/>
      <c r="F4984" s="113" t="s">
        <v>14839</v>
      </c>
      <c r="G4984" s="114"/>
      <c r="H4984" s="115"/>
      <c r="I4984" s="24" t="s">
        <v>4281</v>
      </c>
      <c r="J4984" s="116">
        <v>4</v>
      </c>
      <c r="K4984" s="118">
        <f>1269400/1.1</f>
        <v>1154000</v>
      </c>
      <c r="L4984" s="119"/>
      <c r="M4984" s="118">
        <f t="shared" ref="M4984" si="5922">K4984*0.1</f>
        <v>115400</v>
      </c>
      <c r="N4984" s="119"/>
      <c r="O4984" s="118">
        <v>5700</v>
      </c>
      <c r="P4984" s="119"/>
      <c r="Q4984" s="118">
        <v>10060</v>
      </c>
      <c r="R4984" s="119"/>
      <c r="S4984" s="118">
        <v>0</v>
      </c>
      <c r="T4984" s="119"/>
      <c r="U4984" s="118">
        <f t="shared" ref="U4984" si="5923">SUM(K4984:T4985)</f>
        <v>1285160</v>
      </c>
      <c r="V4984" s="122"/>
      <c r="W4984" s="124"/>
      <c r="X4984" s="126" t="s">
        <v>16173</v>
      </c>
      <c r="Y4984" s="127"/>
      <c r="Z4984" s="127"/>
      <c r="AA4984" s="127"/>
      <c r="AB4984" s="128"/>
      <c r="AC4984" s="15" t="s">
        <v>20</v>
      </c>
      <c r="AD4984" s="129"/>
      <c r="AE4984" s="130"/>
      <c r="AF4984" s="130"/>
      <c r="AG4984" s="130"/>
      <c r="AH4984" s="130"/>
      <c r="AI4984" s="131"/>
      <c r="AJ4984" s="132"/>
      <c r="AK4984" s="127"/>
      <c r="AL4984" s="128"/>
      <c r="AM4984" s="21"/>
      <c r="AN4984" s="133"/>
      <c r="AO4984" s="134"/>
      <c r="AP4984" s="135"/>
      <c r="AQ4984" s="136"/>
      <c r="AR4984" s="118"/>
      <c r="AS4984" s="119"/>
      <c r="AT4984" s="118">
        <f t="shared" ref="AT4984" si="5924">AR4984*0.1</f>
        <v>0</v>
      </c>
      <c r="AU4984" s="119"/>
      <c r="AV4984" s="118"/>
      <c r="AW4984" s="119"/>
      <c r="AX4984" s="118">
        <f t="shared" ref="AX4984" si="5925">SUM(AR4984:AW4984)</f>
        <v>0</v>
      </c>
      <c r="AY4984" s="119"/>
      <c r="AZ4984" s="137"/>
    </row>
    <row r="4985" spans="1:52" ht="17.100000000000001" customHeight="1" thickBot="1">
      <c r="A4985" s="110"/>
      <c r="B4985" s="27" t="s">
        <v>1718</v>
      </c>
      <c r="C4985" s="27" t="s">
        <v>14838</v>
      </c>
      <c r="D4985" s="14" t="s">
        <v>133</v>
      </c>
      <c r="E4985" s="112"/>
      <c r="F4985" s="139" t="s">
        <v>14840</v>
      </c>
      <c r="G4985" s="140"/>
      <c r="H4985" s="141"/>
      <c r="I4985" s="26">
        <v>25945</v>
      </c>
      <c r="J4985" s="117"/>
      <c r="K4985" s="120"/>
      <c r="L4985" s="121"/>
      <c r="M4985" s="120"/>
      <c r="N4985" s="121"/>
      <c r="O4985" s="120"/>
      <c r="P4985" s="121"/>
      <c r="Q4985" s="120"/>
      <c r="R4985" s="121"/>
      <c r="S4985" s="120"/>
      <c r="T4985" s="121"/>
      <c r="U4985" s="120"/>
      <c r="V4985" s="123"/>
      <c r="W4985" s="125"/>
      <c r="X4985" s="142" t="s">
        <v>16174</v>
      </c>
      <c r="Y4985" s="143"/>
      <c r="Z4985" s="143"/>
      <c r="AA4985" s="143"/>
      <c r="AB4985" s="144"/>
      <c r="AC4985" s="16" t="s">
        <v>21</v>
      </c>
      <c r="AD4985" s="17" t="s">
        <v>16172</v>
      </c>
      <c r="AE4985" s="145" t="s">
        <v>4493</v>
      </c>
      <c r="AF4985" s="146"/>
      <c r="AG4985" s="146"/>
      <c r="AH4985" s="146"/>
      <c r="AI4985" s="147"/>
      <c r="AJ4985" s="148"/>
      <c r="AK4985" s="143"/>
      <c r="AL4985" s="144"/>
      <c r="AM4985" s="22"/>
      <c r="AN4985" s="149"/>
      <c r="AO4985" s="144"/>
      <c r="AP4985" s="148"/>
      <c r="AQ4985" s="144"/>
      <c r="AR4985" s="120"/>
      <c r="AS4985" s="121"/>
      <c r="AT4985" s="120"/>
      <c r="AU4985" s="121"/>
      <c r="AV4985" s="120"/>
      <c r="AW4985" s="121"/>
      <c r="AX4985" s="120"/>
      <c r="AY4985" s="121"/>
      <c r="AZ4985" s="138"/>
    </row>
    <row r="4986" spans="1:52" ht="17.100000000000001" customHeight="1" thickTop="1">
      <c r="A4986" s="109" t="s">
        <v>14808</v>
      </c>
      <c r="B4986" s="28">
        <v>46034</v>
      </c>
      <c r="C4986" s="25"/>
      <c r="D4986" s="13" t="s">
        <v>5614</v>
      </c>
      <c r="E4986" s="111"/>
      <c r="F4986" s="113" t="s">
        <v>10118</v>
      </c>
      <c r="G4986" s="114"/>
      <c r="H4986" s="115"/>
      <c r="I4986" s="24" t="s">
        <v>5685</v>
      </c>
      <c r="J4986" s="116">
        <v>4</v>
      </c>
      <c r="K4986" s="118">
        <f>444400/1.1</f>
        <v>403999.99999999994</v>
      </c>
      <c r="L4986" s="119"/>
      <c r="M4986" s="118">
        <f t="shared" ref="M4986" si="5926">K4986*0.1</f>
        <v>40400</v>
      </c>
      <c r="N4986" s="119"/>
      <c r="O4986" s="118">
        <v>7500</v>
      </c>
      <c r="P4986" s="119"/>
      <c r="Q4986" s="118">
        <v>16260</v>
      </c>
      <c r="R4986" s="119"/>
      <c r="S4986" s="118">
        <v>0</v>
      </c>
      <c r="T4986" s="119"/>
      <c r="U4986" s="118">
        <f t="shared" ref="U4986" si="5927">SUM(K4986:T4987)</f>
        <v>468159.99999999994</v>
      </c>
      <c r="V4986" s="122"/>
      <c r="W4986" s="124"/>
      <c r="X4986" s="126" t="s">
        <v>16087</v>
      </c>
      <c r="Y4986" s="127"/>
      <c r="Z4986" s="127"/>
      <c r="AA4986" s="127"/>
      <c r="AB4986" s="128"/>
      <c r="AC4986" s="15" t="s">
        <v>20</v>
      </c>
      <c r="AD4986" s="129" t="s">
        <v>1605</v>
      </c>
      <c r="AE4986" s="130"/>
      <c r="AF4986" s="130"/>
      <c r="AG4986" s="130"/>
      <c r="AH4986" s="130"/>
      <c r="AI4986" s="131"/>
      <c r="AJ4986" s="132"/>
      <c r="AK4986" s="127"/>
      <c r="AL4986" s="128"/>
      <c r="AM4986" s="21"/>
      <c r="AN4986" s="133">
        <v>46057</v>
      </c>
      <c r="AO4986" s="134"/>
      <c r="AP4986" s="135">
        <v>1003</v>
      </c>
      <c r="AQ4986" s="136"/>
      <c r="AR4986" s="118">
        <v>530000</v>
      </c>
      <c r="AS4986" s="119"/>
      <c r="AT4986" s="118">
        <f t="shared" ref="AT4986" si="5928">AR4986*0.1</f>
        <v>53000</v>
      </c>
      <c r="AU4986" s="119"/>
      <c r="AV4986" s="118">
        <v>16260</v>
      </c>
      <c r="AW4986" s="119"/>
      <c r="AX4986" s="118">
        <f t="shared" ref="AX4986" si="5929">SUM(AR4986:AW4986)</f>
        <v>599260</v>
      </c>
      <c r="AY4986" s="119"/>
      <c r="AZ4986" s="137">
        <v>46062</v>
      </c>
    </row>
    <row r="4987" spans="1:52" ht="17.100000000000001" customHeight="1" thickBot="1">
      <c r="A4987" s="110"/>
      <c r="B4987" s="27" t="s">
        <v>1718</v>
      </c>
      <c r="C4987" s="27" t="s">
        <v>14841</v>
      </c>
      <c r="D4987" s="14" t="s">
        <v>1592</v>
      </c>
      <c r="E4987" s="112"/>
      <c r="F4987" s="139" t="s">
        <v>14842</v>
      </c>
      <c r="G4987" s="140"/>
      <c r="H4987" s="141"/>
      <c r="I4987" s="26">
        <v>148490</v>
      </c>
      <c r="J4987" s="117"/>
      <c r="K4987" s="120"/>
      <c r="L4987" s="121"/>
      <c r="M4987" s="120"/>
      <c r="N4987" s="121"/>
      <c r="O4987" s="120"/>
      <c r="P4987" s="121"/>
      <c r="Q4987" s="120"/>
      <c r="R4987" s="121"/>
      <c r="S4987" s="120"/>
      <c r="T4987" s="121"/>
      <c r="U4987" s="120"/>
      <c r="V4987" s="123"/>
      <c r="W4987" s="125"/>
      <c r="X4987" s="142" t="s">
        <v>16088</v>
      </c>
      <c r="Y4987" s="143"/>
      <c r="Z4987" s="143"/>
      <c r="AA4987" s="143"/>
      <c r="AB4987" s="144"/>
      <c r="AC4987" s="16" t="s">
        <v>21</v>
      </c>
      <c r="AD4987" s="17" t="s">
        <v>2644</v>
      </c>
      <c r="AE4987" s="145" t="s">
        <v>4488</v>
      </c>
      <c r="AF4987" s="146"/>
      <c r="AG4987" s="146"/>
      <c r="AH4987" s="146"/>
      <c r="AI4987" s="147"/>
      <c r="AJ4987" s="148"/>
      <c r="AK4987" s="143"/>
      <c r="AL4987" s="144"/>
      <c r="AM4987" s="22"/>
      <c r="AN4987" s="149" t="s">
        <v>2794</v>
      </c>
      <c r="AO4987" s="144"/>
      <c r="AP4987" s="148">
        <v>1114</v>
      </c>
      <c r="AQ4987" s="144"/>
      <c r="AR4987" s="120"/>
      <c r="AS4987" s="121"/>
      <c r="AT4987" s="120"/>
      <c r="AU4987" s="121"/>
      <c r="AV4987" s="120"/>
      <c r="AW4987" s="121"/>
      <c r="AX4987" s="120"/>
      <c r="AY4987" s="121"/>
      <c r="AZ4987" s="138"/>
    </row>
    <row r="4988" spans="1:52" ht="17.100000000000001" customHeight="1" thickTop="1">
      <c r="A4988" s="109" t="s">
        <v>14809</v>
      </c>
      <c r="B4988" s="28">
        <v>46034</v>
      </c>
      <c r="C4988" s="25"/>
      <c r="D4988" s="13" t="s">
        <v>1888</v>
      </c>
      <c r="E4988" s="111"/>
      <c r="F4988" s="113" t="s">
        <v>13243</v>
      </c>
      <c r="G4988" s="114"/>
      <c r="H4988" s="115"/>
      <c r="I4988" s="24" t="s">
        <v>14845</v>
      </c>
      <c r="J4988" s="116">
        <v>4</v>
      </c>
      <c r="K4988" s="118">
        <f>1864500/1.1</f>
        <v>1694999.9999999998</v>
      </c>
      <c r="L4988" s="119"/>
      <c r="M4988" s="118">
        <f t="shared" ref="M4988" si="5930">K4988*0.1</f>
        <v>169500</v>
      </c>
      <c r="N4988" s="119"/>
      <c r="O4988" s="118">
        <v>3200</v>
      </c>
      <c r="P4988" s="119"/>
      <c r="Q4988" s="118">
        <v>9320</v>
      </c>
      <c r="R4988" s="119"/>
      <c r="S4988" s="118">
        <v>0</v>
      </c>
      <c r="T4988" s="119"/>
      <c r="U4988" s="118">
        <f t="shared" ref="U4988" si="5931">SUM(K4988:T4989)</f>
        <v>1877019.9999999998</v>
      </c>
      <c r="V4988" s="122"/>
      <c r="W4988" s="124"/>
      <c r="X4988" s="126" t="s">
        <v>18409</v>
      </c>
      <c r="Y4988" s="127"/>
      <c r="Z4988" s="127"/>
      <c r="AA4988" s="127"/>
      <c r="AB4988" s="128"/>
      <c r="AC4988" s="15" t="s">
        <v>20</v>
      </c>
      <c r="AD4988" s="129" t="s">
        <v>1945</v>
      </c>
      <c r="AE4988" s="130"/>
      <c r="AF4988" s="130"/>
      <c r="AG4988" s="130"/>
      <c r="AH4988" s="130"/>
      <c r="AI4988" s="131"/>
      <c r="AJ4988" s="132"/>
      <c r="AK4988" s="127"/>
      <c r="AL4988" s="128"/>
      <c r="AM4988" s="21"/>
      <c r="AN4988" s="133">
        <v>46085</v>
      </c>
      <c r="AO4988" s="134"/>
      <c r="AP4988" s="135">
        <v>1007</v>
      </c>
      <c r="AQ4988" s="136"/>
      <c r="AR4988" s="118">
        <v>1730000</v>
      </c>
      <c r="AS4988" s="119"/>
      <c r="AT4988" s="118">
        <f t="shared" ref="AT4988" si="5932">AR4988*0.1</f>
        <v>173000</v>
      </c>
      <c r="AU4988" s="119"/>
      <c r="AV4988" s="118">
        <v>9320</v>
      </c>
      <c r="AW4988" s="119"/>
      <c r="AX4988" s="118">
        <f t="shared" ref="AX4988" si="5933">SUM(AR4988:AW4988)</f>
        <v>1912320</v>
      </c>
      <c r="AY4988" s="119"/>
      <c r="AZ4988" s="137">
        <v>46090</v>
      </c>
    </row>
    <row r="4989" spans="1:52" ht="17.100000000000001" customHeight="1" thickBot="1">
      <c r="A4989" s="110"/>
      <c r="B4989" s="27" t="s">
        <v>1718</v>
      </c>
      <c r="C4989" s="27" t="s">
        <v>14843</v>
      </c>
      <c r="D4989" s="14" t="s">
        <v>275</v>
      </c>
      <c r="E4989" s="112"/>
      <c r="F4989" s="139" t="s">
        <v>14844</v>
      </c>
      <c r="G4989" s="140"/>
      <c r="H4989" s="141"/>
      <c r="I4989" s="26">
        <v>67449</v>
      </c>
      <c r="J4989" s="117"/>
      <c r="K4989" s="120"/>
      <c r="L4989" s="121"/>
      <c r="M4989" s="120"/>
      <c r="N4989" s="121"/>
      <c r="O4989" s="120"/>
      <c r="P4989" s="121"/>
      <c r="Q4989" s="120"/>
      <c r="R4989" s="121"/>
      <c r="S4989" s="120"/>
      <c r="T4989" s="121"/>
      <c r="U4989" s="120"/>
      <c r="V4989" s="123"/>
      <c r="W4989" s="125"/>
      <c r="X4989" s="142" t="s">
        <v>18410</v>
      </c>
      <c r="Y4989" s="143"/>
      <c r="Z4989" s="143"/>
      <c r="AA4989" s="143"/>
      <c r="AB4989" s="144"/>
      <c r="AC4989" s="16" t="s">
        <v>21</v>
      </c>
      <c r="AD4989" s="17" t="s">
        <v>18390</v>
      </c>
      <c r="AE4989" s="145" t="s">
        <v>19162</v>
      </c>
      <c r="AF4989" s="146"/>
      <c r="AG4989" s="146"/>
      <c r="AH4989" s="146"/>
      <c r="AI4989" s="147"/>
      <c r="AJ4989" s="148"/>
      <c r="AK4989" s="143"/>
      <c r="AL4989" s="144"/>
      <c r="AM4989" s="22"/>
      <c r="AN4989" s="149" t="s">
        <v>9053</v>
      </c>
      <c r="AO4989" s="144"/>
      <c r="AP4989" s="148">
        <v>1061</v>
      </c>
      <c r="AQ4989" s="144"/>
      <c r="AR4989" s="120"/>
      <c r="AS4989" s="121"/>
      <c r="AT4989" s="120"/>
      <c r="AU4989" s="121"/>
      <c r="AV4989" s="120"/>
      <c r="AW4989" s="121"/>
      <c r="AX4989" s="120"/>
      <c r="AY4989" s="121"/>
      <c r="AZ4989" s="138"/>
    </row>
    <row r="4990" spans="1:52" ht="17.100000000000001" customHeight="1" thickTop="1">
      <c r="A4990" s="151" t="s">
        <v>14810</v>
      </c>
      <c r="B4990" s="28">
        <v>46034</v>
      </c>
      <c r="C4990" s="25"/>
      <c r="D4990" s="13" t="s">
        <v>1776</v>
      </c>
      <c r="E4990" s="111"/>
      <c r="F4990" s="113" t="s">
        <v>4585</v>
      </c>
      <c r="G4990" s="114"/>
      <c r="H4990" s="115"/>
      <c r="I4990" s="24" t="s">
        <v>14848</v>
      </c>
      <c r="J4990" s="116">
        <v>4</v>
      </c>
      <c r="K4990" s="118">
        <f>1380500/1.1</f>
        <v>1255000</v>
      </c>
      <c r="L4990" s="119"/>
      <c r="M4990" s="118">
        <f t="shared" ref="M4990" si="5934">K4990*0.1</f>
        <v>125500</v>
      </c>
      <c r="N4990" s="119"/>
      <c r="O4990" s="118">
        <v>0</v>
      </c>
      <c r="P4990" s="119"/>
      <c r="Q4990" s="118">
        <v>9010</v>
      </c>
      <c r="R4990" s="119"/>
      <c r="S4990" s="118">
        <v>0</v>
      </c>
      <c r="T4990" s="119"/>
      <c r="U4990" s="118">
        <f t="shared" ref="U4990" si="5935">SUM(K4990:T4991)</f>
        <v>1389510</v>
      </c>
      <c r="V4990" s="122"/>
      <c r="W4990" s="124"/>
      <c r="X4990" s="126"/>
      <c r="Y4990" s="127"/>
      <c r="Z4990" s="127"/>
      <c r="AA4990" s="127"/>
      <c r="AB4990" s="128"/>
      <c r="AC4990" s="15" t="s">
        <v>20</v>
      </c>
      <c r="AD4990" s="129" t="s">
        <v>171</v>
      </c>
      <c r="AE4990" s="130"/>
      <c r="AF4990" s="130"/>
      <c r="AG4990" s="130"/>
      <c r="AH4990" s="130"/>
      <c r="AI4990" s="131"/>
      <c r="AJ4990" s="132" t="s">
        <v>25298</v>
      </c>
      <c r="AK4990" s="127"/>
      <c r="AL4990" s="128"/>
      <c r="AM4990" s="21"/>
      <c r="AN4990" s="133"/>
      <c r="AO4990" s="134"/>
      <c r="AP4990" s="135"/>
      <c r="AQ4990" s="136"/>
      <c r="AR4990" s="118"/>
      <c r="AS4990" s="119"/>
      <c r="AT4990" s="118">
        <f t="shared" ref="AT4990" si="5936">AR4990*0.1</f>
        <v>0</v>
      </c>
      <c r="AU4990" s="119"/>
      <c r="AV4990" s="118"/>
      <c r="AW4990" s="119"/>
      <c r="AX4990" s="118">
        <f t="shared" ref="AX4990" si="5937">SUM(AR4990:AW4990)</f>
        <v>0</v>
      </c>
      <c r="AY4990" s="119"/>
      <c r="AZ4990" s="137"/>
    </row>
    <row r="4991" spans="1:52" ht="17.100000000000001" customHeight="1" thickBot="1">
      <c r="A4991" s="152"/>
      <c r="B4991" s="27" t="s">
        <v>1718</v>
      </c>
      <c r="C4991" s="27" t="s">
        <v>14846</v>
      </c>
      <c r="D4991" s="14" t="s">
        <v>2116</v>
      </c>
      <c r="E4991" s="112"/>
      <c r="F4991" s="139" t="s">
        <v>14847</v>
      </c>
      <c r="G4991" s="140"/>
      <c r="H4991" s="141"/>
      <c r="I4991" s="26">
        <v>55340</v>
      </c>
      <c r="J4991" s="117"/>
      <c r="K4991" s="120"/>
      <c r="L4991" s="121"/>
      <c r="M4991" s="120"/>
      <c r="N4991" s="121"/>
      <c r="O4991" s="120"/>
      <c r="P4991" s="121"/>
      <c r="Q4991" s="120"/>
      <c r="R4991" s="121"/>
      <c r="S4991" s="120"/>
      <c r="T4991" s="121"/>
      <c r="U4991" s="120"/>
      <c r="V4991" s="123"/>
      <c r="W4991" s="125"/>
      <c r="X4991" s="142"/>
      <c r="Y4991" s="143"/>
      <c r="Z4991" s="143"/>
      <c r="AA4991" s="143"/>
      <c r="AB4991" s="144"/>
      <c r="AC4991" s="16" t="s">
        <v>21</v>
      </c>
      <c r="AD4991" s="17" t="s">
        <v>25297</v>
      </c>
      <c r="AE4991" s="145"/>
      <c r="AF4991" s="146"/>
      <c r="AG4991" s="146"/>
      <c r="AH4991" s="146"/>
      <c r="AI4991" s="147"/>
      <c r="AJ4991" s="148"/>
      <c r="AK4991" s="143"/>
      <c r="AL4991" s="144"/>
      <c r="AM4991" s="22"/>
      <c r="AN4991" s="149"/>
      <c r="AO4991" s="144"/>
      <c r="AP4991" s="148"/>
      <c r="AQ4991" s="144"/>
      <c r="AR4991" s="120"/>
      <c r="AS4991" s="121"/>
      <c r="AT4991" s="120"/>
      <c r="AU4991" s="121"/>
      <c r="AV4991" s="120"/>
      <c r="AW4991" s="121"/>
      <c r="AX4991" s="120"/>
      <c r="AY4991" s="121"/>
      <c r="AZ4991" s="138"/>
    </row>
    <row r="4992" spans="1:52" ht="17.100000000000001" customHeight="1" thickTop="1">
      <c r="A4992" s="109" t="s">
        <v>14811</v>
      </c>
      <c r="B4992" s="28">
        <v>46034</v>
      </c>
      <c r="C4992" s="25"/>
      <c r="D4992" s="13" t="s">
        <v>4287</v>
      </c>
      <c r="E4992" s="111"/>
      <c r="F4992" s="113" t="s">
        <v>12667</v>
      </c>
      <c r="G4992" s="114"/>
      <c r="H4992" s="115"/>
      <c r="I4992" s="24" t="s">
        <v>8684</v>
      </c>
      <c r="J4992" s="116">
        <v>4.5</v>
      </c>
      <c r="K4992" s="118">
        <f>2106500/1.1</f>
        <v>1914999.9999999998</v>
      </c>
      <c r="L4992" s="119"/>
      <c r="M4992" s="118">
        <f t="shared" ref="M4992" si="5938">K4992*0.1</f>
        <v>191500</v>
      </c>
      <c r="N4992" s="119"/>
      <c r="O4992" s="118">
        <v>2500</v>
      </c>
      <c r="P4992" s="119"/>
      <c r="Q4992" s="118">
        <v>10720</v>
      </c>
      <c r="R4992" s="119"/>
      <c r="S4992" s="118">
        <v>0</v>
      </c>
      <c r="T4992" s="119"/>
      <c r="U4992" s="118">
        <f t="shared" ref="U4992" si="5939">SUM(K4992:T4993)</f>
        <v>2119720</v>
      </c>
      <c r="V4992" s="122"/>
      <c r="W4992" s="124"/>
      <c r="X4992" s="126" t="s">
        <v>18616</v>
      </c>
      <c r="Y4992" s="127"/>
      <c r="Z4992" s="127"/>
      <c r="AA4992" s="127"/>
      <c r="AB4992" s="128"/>
      <c r="AC4992" s="15" t="s">
        <v>20</v>
      </c>
      <c r="AD4992" s="129" t="s">
        <v>1945</v>
      </c>
      <c r="AE4992" s="130"/>
      <c r="AF4992" s="130"/>
      <c r="AG4992" s="130"/>
      <c r="AH4992" s="130"/>
      <c r="AI4992" s="131"/>
      <c r="AJ4992" s="132"/>
      <c r="AK4992" s="127"/>
      <c r="AL4992" s="128"/>
      <c r="AM4992" s="21"/>
      <c r="AN4992" s="133">
        <v>46071</v>
      </c>
      <c r="AO4992" s="134"/>
      <c r="AP4992" s="135">
        <v>1005</v>
      </c>
      <c r="AQ4992" s="136"/>
      <c r="AR4992" s="118">
        <v>1920000</v>
      </c>
      <c r="AS4992" s="119"/>
      <c r="AT4992" s="118">
        <f t="shared" ref="AT4992" si="5940">AR4992*0.1</f>
        <v>192000</v>
      </c>
      <c r="AU4992" s="119"/>
      <c r="AV4992" s="118">
        <v>10720</v>
      </c>
      <c r="AW4992" s="119"/>
      <c r="AX4992" s="118">
        <f t="shared" ref="AX4992" si="5941">SUM(AR4992:AW4992)</f>
        <v>2122720</v>
      </c>
      <c r="AY4992" s="119"/>
      <c r="AZ4992" s="137">
        <v>46078</v>
      </c>
    </row>
    <row r="4993" spans="1:52" ht="17.100000000000001" customHeight="1" thickBot="1">
      <c r="A4993" s="110"/>
      <c r="B4993" s="27" t="s">
        <v>1718</v>
      </c>
      <c r="C4993" s="27" t="s">
        <v>14849</v>
      </c>
      <c r="D4993" s="14" t="s">
        <v>1592</v>
      </c>
      <c r="E4993" s="112"/>
      <c r="F4993" s="139" t="s">
        <v>14850</v>
      </c>
      <c r="G4993" s="140"/>
      <c r="H4993" s="141"/>
      <c r="I4993" s="26">
        <v>55452</v>
      </c>
      <c r="J4993" s="117"/>
      <c r="K4993" s="120"/>
      <c r="L4993" s="121"/>
      <c r="M4993" s="120"/>
      <c r="N4993" s="121"/>
      <c r="O4993" s="120"/>
      <c r="P4993" s="121"/>
      <c r="Q4993" s="120"/>
      <c r="R4993" s="121"/>
      <c r="S4993" s="120"/>
      <c r="T4993" s="121"/>
      <c r="U4993" s="120"/>
      <c r="V4993" s="123"/>
      <c r="W4993" s="125"/>
      <c r="X4993" s="142" t="s">
        <v>5278</v>
      </c>
      <c r="Y4993" s="143"/>
      <c r="Z4993" s="143"/>
      <c r="AA4993" s="143"/>
      <c r="AB4993" s="144"/>
      <c r="AC4993" s="16" t="s">
        <v>21</v>
      </c>
      <c r="AD4993" s="17" t="s">
        <v>3980</v>
      </c>
      <c r="AE4993" s="145" t="s">
        <v>9403</v>
      </c>
      <c r="AF4993" s="146"/>
      <c r="AG4993" s="146"/>
      <c r="AH4993" s="146"/>
      <c r="AI4993" s="147"/>
      <c r="AJ4993" s="148"/>
      <c r="AK4993" s="143"/>
      <c r="AL4993" s="144"/>
      <c r="AM4993" s="22"/>
      <c r="AN4993" s="149" t="s">
        <v>2794</v>
      </c>
      <c r="AO4993" s="144"/>
      <c r="AP4993" s="148">
        <v>1063</v>
      </c>
      <c r="AQ4993" s="144"/>
      <c r="AR4993" s="120"/>
      <c r="AS4993" s="121"/>
      <c r="AT4993" s="120"/>
      <c r="AU4993" s="121"/>
      <c r="AV4993" s="120"/>
      <c r="AW4993" s="121"/>
      <c r="AX4993" s="120"/>
      <c r="AY4993" s="121"/>
      <c r="AZ4993" s="138"/>
    </row>
    <row r="4994" spans="1:52" ht="17.100000000000001" customHeight="1" thickTop="1">
      <c r="A4994" s="109" t="s">
        <v>14812</v>
      </c>
      <c r="B4994" s="28">
        <v>46034</v>
      </c>
      <c r="C4994" s="25"/>
      <c r="D4994" s="13" t="s">
        <v>1831</v>
      </c>
      <c r="E4994" s="111"/>
      <c r="F4994" s="113" t="s">
        <v>14852</v>
      </c>
      <c r="G4994" s="114"/>
      <c r="H4994" s="115"/>
      <c r="I4994" s="24" t="s">
        <v>13263</v>
      </c>
      <c r="J4994" s="116">
        <v>4</v>
      </c>
      <c r="K4994" s="118">
        <f>587400/1.1</f>
        <v>534000</v>
      </c>
      <c r="L4994" s="119"/>
      <c r="M4994" s="118">
        <f t="shared" ref="M4994" si="5942">K4994*0.1</f>
        <v>53400</v>
      </c>
      <c r="N4994" s="119"/>
      <c r="O4994" s="118">
        <v>0</v>
      </c>
      <c r="P4994" s="119"/>
      <c r="Q4994" s="118">
        <v>8780</v>
      </c>
      <c r="R4994" s="119"/>
      <c r="S4994" s="118">
        <v>0</v>
      </c>
      <c r="T4994" s="119"/>
      <c r="U4994" s="118">
        <f t="shared" ref="U4994" si="5943">SUM(K4994:T4995)</f>
        <v>596180</v>
      </c>
      <c r="V4994" s="122"/>
      <c r="W4994" s="124"/>
      <c r="X4994" s="126" t="s">
        <v>15607</v>
      </c>
      <c r="Y4994" s="127"/>
      <c r="Z4994" s="127"/>
      <c r="AA4994" s="127"/>
      <c r="AB4994" s="128"/>
      <c r="AC4994" s="15" t="s">
        <v>20</v>
      </c>
      <c r="AD4994" s="129" t="s">
        <v>1945</v>
      </c>
      <c r="AE4994" s="130"/>
      <c r="AF4994" s="130"/>
      <c r="AG4994" s="130"/>
      <c r="AH4994" s="130"/>
      <c r="AI4994" s="131"/>
      <c r="AJ4994" s="132"/>
      <c r="AK4994" s="127"/>
      <c r="AL4994" s="128"/>
      <c r="AM4994" s="21"/>
      <c r="AN4994" s="133">
        <v>46056</v>
      </c>
      <c r="AO4994" s="134"/>
      <c r="AP4994" s="135">
        <v>1927</v>
      </c>
      <c r="AQ4994" s="136"/>
      <c r="AR4994" s="118">
        <v>625000</v>
      </c>
      <c r="AS4994" s="119"/>
      <c r="AT4994" s="118">
        <f t="shared" ref="AT4994" si="5944">AR4994*0.1</f>
        <v>62500</v>
      </c>
      <c r="AU4994" s="119"/>
      <c r="AV4994" s="118">
        <v>8780</v>
      </c>
      <c r="AW4994" s="119"/>
      <c r="AX4994" s="118">
        <f t="shared" ref="AX4994" si="5945">SUM(AR4994:AW4994)</f>
        <v>696280</v>
      </c>
      <c r="AY4994" s="119"/>
      <c r="AZ4994" s="137">
        <v>46063</v>
      </c>
    </row>
    <row r="4995" spans="1:52" ht="17.100000000000001" customHeight="1" thickBot="1">
      <c r="A4995" s="110"/>
      <c r="B4995" s="27" t="s">
        <v>1718</v>
      </c>
      <c r="C4995" s="27" t="s">
        <v>14851</v>
      </c>
      <c r="D4995" s="14" t="s">
        <v>2040</v>
      </c>
      <c r="E4995" s="112"/>
      <c r="F4995" s="139" t="s">
        <v>14853</v>
      </c>
      <c r="G4995" s="140"/>
      <c r="H4995" s="141"/>
      <c r="I4995" s="26">
        <v>50686</v>
      </c>
      <c r="J4995" s="117"/>
      <c r="K4995" s="120"/>
      <c r="L4995" s="121"/>
      <c r="M4995" s="120"/>
      <c r="N4995" s="121"/>
      <c r="O4995" s="120"/>
      <c r="P4995" s="121"/>
      <c r="Q4995" s="120"/>
      <c r="R4995" s="121"/>
      <c r="S4995" s="120"/>
      <c r="T4995" s="121"/>
      <c r="U4995" s="120"/>
      <c r="V4995" s="123"/>
      <c r="W4995" s="125"/>
      <c r="X4995" s="142" t="s">
        <v>15608</v>
      </c>
      <c r="Y4995" s="143"/>
      <c r="Z4995" s="143"/>
      <c r="AA4995" s="143"/>
      <c r="AB4995" s="144"/>
      <c r="AC4995" s="16" t="s">
        <v>21</v>
      </c>
      <c r="AD4995" s="17" t="s">
        <v>15604</v>
      </c>
      <c r="AE4995" s="145" t="s">
        <v>13449</v>
      </c>
      <c r="AF4995" s="146"/>
      <c r="AG4995" s="146"/>
      <c r="AH4995" s="146"/>
      <c r="AI4995" s="147"/>
      <c r="AJ4995" s="148"/>
      <c r="AK4995" s="143"/>
      <c r="AL4995" s="144"/>
      <c r="AM4995" s="22"/>
      <c r="AN4995" s="149" t="s">
        <v>2131</v>
      </c>
      <c r="AO4995" s="144"/>
      <c r="AP4995" s="148">
        <v>3053</v>
      </c>
      <c r="AQ4995" s="144"/>
      <c r="AR4995" s="120"/>
      <c r="AS4995" s="121"/>
      <c r="AT4995" s="120"/>
      <c r="AU4995" s="121"/>
      <c r="AV4995" s="120"/>
      <c r="AW4995" s="121"/>
      <c r="AX4995" s="120"/>
      <c r="AY4995" s="121"/>
      <c r="AZ4995" s="138"/>
    </row>
    <row r="4996" spans="1:52" ht="17.100000000000001" customHeight="1" thickTop="1">
      <c r="A4996" s="109" t="s">
        <v>14813</v>
      </c>
      <c r="B4996" s="28">
        <v>46034</v>
      </c>
      <c r="C4996" s="25"/>
      <c r="D4996" s="13" t="s">
        <v>2477</v>
      </c>
      <c r="E4996" s="111"/>
      <c r="F4996" s="113" t="s">
        <v>6960</v>
      </c>
      <c r="G4996" s="114"/>
      <c r="H4996" s="115"/>
      <c r="I4996" s="24" t="s">
        <v>14856</v>
      </c>
      <c r="J4996" s="116">
        <v>5</v>
      </c>
      <c r="K4996" s="118">
        <f>1710500/1.1</f>
        <v>1554999.9999999998</v>
      </c>
      <c r="L4996" s="119"/>
      <c r="M4996" s="118">
        <f t="shared" ref="M4996" si="5946">K4996*0.1</f>
        <v>155499.99999999997</v>
      </c>
      <c r="N4996" s="119"/>
      <c r="O4996" s="118">
        <v>0</v>
      </c>
      <c r="P4996" s="119"/>
      <c r="Q4996" s="118">
        <v>9130</v>
      </c>
      <c r="R4996" s="119"/>
      <c r="S4996" s="118">
        <v>0</v>
      </c>
      <c r="T4996" s="119"/>
      <c r="U4996" s="118">
        <f t="shared" ref="U4996" si="5947">SUM(K4996:T4997)</f>
        <v>1719629.9999999998</v>
      </c>
      <c r="V4996" s="122"/>
      <c r="W4996" s="124"/>
      <c r="X4996" s="126" t="s">
        <v>15688</v>
      </c>
      <c r="Y4996" s="127"/>
      <c r="Z4996" s="127"/>
      <c r="AA4996" s="127"/>
      <c r="AB4996" s="128"/>
      <c r="AC4996" s="15" t="s">
        <v>20</v>
      </c>
      <c r="AD4996" s="129" t="s">
        <v>1945</v>
      </c>
      <c r="AE4996" s="130"/>
      <c r="AF4996" s="130"/>
      <c r="AG4996" s="130"/>
      <c r="AH4996" s="130"/>
      <c r="AI4996" s="131"/>
      <c r="AJ4996" s="132"/>
      <c r="AK4996" s="127"/>
      <c r="AL4996" s="128"/>
      <c r="AM4996" s="21" t="s">
        <v>16811</v>
      </c>
      <c r="AN4996" s="133">
        <v>46056</v>
      </c>
      <c r="AO4996" s="134"/>
      <c r="AP4996" s="135">
        <v>1927</v>
      </c>
      <c r="AQ4996" s="136"/>
      <c r="AR4996" s="118">
        <v>1679000</v>
      </c>
      <c r="AS4996" s="119"/>
      <c r="AT4996" s="118">
        <f t="shared" ref="AT4996" si="5948">AR4996*0.1</f>
        <v>167900</v>
      </c>
      <c r="AU4996" s="119"/>
      <c r="AV4996" s="118">
        <v>9130</v>
      </c>
      <c r="AW4996" s="119"/>
      <c r="AX4996" s="118">
        <f t="shared" ref="AX4996" si="5949">SUM(AR4996:AW4996)</f>
        <v>1856030</v>
      </c>
      <c r="AY4996" s="119"/>
      <c r="AZ4996" s="137">
        <v>46063</v>
      </c>
    </row>
    <row r="4997" spans="1:52" ht="17.100000000000001" customHeight="1" thickBot="1">
      <c r="A4997" s="110"/>
      <c r="B4997" s="27" t="s">
        <v>1718</v>
      </c>
      <c r="C4997" s="27" t="s">
        <v>14854</v>
      </c>
      <c r="D4997" s="14" t="s">
        <v>1812</v>
      </c>
      <c r="E4997" s="112"/>
      <c r="F4997" s="139" t="s">
        <v>14855</v>
      </c>
      <c r="G4997" s="140"/>
      <c r="H4997" s="141"/>
      <c r="I4997" s="26">
        <v>28498</v>
      </c>
      <c r="J4997" s="117"/>
      <c r="K4997" s="120"/>
      <c r="L4997" s="121"/>
      <c r="M4997" s="120"/>
      <c r="N4997" s="121"/>
      <c r="O4997" s="120"/>
      <c r="P4997" s="121"/>
      <c r="Q4997" s="120"/>
      <c r="R4997" s="121"/>
      <c r="S4997" s="120"/>
      <c r="T4997" s="121"/>
      <c r="U4997" s="120"/>
      <c r="V4997" s="123"/>
      <c r="W4997" s="125"/>
      <c r="X4997" s="142" t="s">
        <v>15689</v>
      </c>
      <c r="Y4997" s="143"/>
      <c r="Z4997" s="143"/>
      <c r="AA4997" s="143"/>
      <c r="AB4997" s="144"/>
      <c r="AC4997" s="16" t="s">
        <v>21</v>
      </c>
      <c r="AD4997" s="17" t="s">
        <v>15604</v>
      </c>
      <c r="AE4997" s="145" t="s">
        <v>4453</v>
      </c>
      <c r="AF4997" s="146"/>
      <c r="AG4997" s="146"/>
      <c r="AH4997" s="146"/>
      <c r="AI4997" s="147"/>
      <c r="AJ4997" s="148"/>
      <c r="AK4997" s="143"/>
      <c r="AL4997" s="144"/>
      <c r="AM4997" s="22"/>
      <c r="AN4997" s="149" t="s">
        <v>2131</v>
      </c>
      <c r="AO4997" s="144"/>
      <c r="AP4997" s="148">
        <v>3071</v>
      </c>
      <c r="AQ4997" s="144"/>
      <c r="AR4997" s="120"/>
      <c r="AS4997" s="121"/>
      <c r="AT4997" s="120"/>
      <c r="AU4997" s="121"/>
      <c r="AV4997" s="120"/>
      <c r="AW4997" s="121"/>
      <c r="AX4997" s="120"/>
      <c r="AY4997" s="121"/>
      <c r="AZ4997" s="138"/>
    </row>
    <row r="4998" spans="1:52" ht="17.100000000000001" customHeight="1" thickTop="1">
      <c r="A4998" s="109" t="s">
        <v>14930</v>
      </c>
      <c r="B4998" s="28">
        <v>46035</v>
      </c>
      <c r="C4998" s="25">
        <v>1924</v>
      </c>
      <c r="D4998" s="13" t="s">
        <v>3461</v>
      </c>
      <c r="E4998" s="111"/>
      <c r="F4998" s="113" t="s">
        <v>4930</v>
      </c>
      <c r="G4998" s="114"/>
      <c r="H4998" s="115"/>
      <c r="I4998" s="24"/>
      <c r="J4998" s="116">
        <v>4.5</v>
      </c>
      <c r="K4998" s="118">
        <v>501000</v>
      </c>
      <c r="L4998" s="119"/>
      <c r="M4998" s="118">
        <f t="shared" ref="M4998" si="5950">K4998*0.1</f>
        <v>50100</v>
      </c>
      <c r="N4998" s="119"/>
      <c r="O4998" s="118">
        <v>0</v>
      </c>
      <c r="P4998" s="119"/>
      <c r="Q4998" s="118">
        <v>6550</v>
      </c>
      <c r="R4998" s="119"/>
      <c r="S4998" s="118">
        <v>15950</v>
      </c>
      <c r="T4998" s="119"/>
      <c r="U4998" s="118">
        <f t="shared" ref="U4998" si="5951">SUM(K4998:T4999)</f>
        <v>573600</v>
      </c>
      <c r="V4998" s="122"/>
      <c r="W4998" s="124"/>
      <c r="X4998" s="126" t="s">
        <v>15396</v>
      </c>
      <c r="Y4998" s="127"/>
      <c r="Z4998" s="127"/>
      <c r="AA4998" s="127"/>
      <c r="AB4998" s="128"/>
      <c r="AC4998" s="15" t="s">
        <v>20</v>
      </c>
      <c r="AD4998" s="129" t="s">
        <v>1670</v>
      </c>
      <c r="AE4998" s="130"/>
      <c r="AF4998" s="130"/>
      <c r="AG4998" s="130"/>
      <c r="AH4998" s="130"/>
      <c r="AI4998" s="131"/>
      <c r="AJ4998" s="132"/>
      <c r="AK4998" s="127"/>
      <c r="AL4998" s="128"/>
      <c r="AM4998" s="21"/>
      <c r="AN4998" s="133">
        <v>46053</v>
      </c>
      <c r="AO4998" s="134"/>
      <c r="AP4998" s="135">
        <v>1286</v>
      </c>
      <c r="AQ4998" s="136"/>
      <c r="AR4998" s="118">
        <v>540000</v>
      </c>
      <c r="AS4998" s="119"/>
      <c r="AT4998" s="118">
        <f t="shared" ref="AT4998" si="5952">AR4998*0.1</f>
        <v>54000</v>
      </c>
      <c r="AU4998" s="119"/>
      <c r="AV4998" s="118">
        <v>6550</v>
      </c>
      <c r="AW4998" s="119"/>
      <c r="AX4998" s="118">
        <f t="shared" ref="AX4998" si="5953">SUM(AR4998:AW4998)</f>
        <v>600550</v>
      </c>
      <c r="AY4998" s="119"/>
      <c r="AZ4998" s="137">
        <v>46056</v>
      </c>
    </row>
    <row r="4999" spans="1:52" ht="17.100000000000001" customHeight="1" thickBot="1">
      <c r="A4999" s="110"/>
      <c r="B4999" s="27" t="s">
        <v>2131</v>
      </c>
      <c r="C4999" s="27">
        <v>3017</v>
      </c>
      <c r="D4999" s="14" t="s">
        <v>1720</v>
      </c>
      <c r="E4999" s="112"/>
      <c r="F4999" s="139" t="s">
        <v>14857</v>
      </c>
      <c r="G4999" s="140"/>
      <c r="H4999" s="141"/>
      <c r="I4999" s="26">
        <v>46755</v>
      </c>
      <c r="J4999" s="117"/>
      <c r="K4999" s="120"/>
      <c r="L4999" s="121"/>
      <c r="M4999" s="120"/>
      <c r="N4999" s="121"/>
      <c r="O4999" s="120"/>
      <c r="P4999" s="121"/>
      <c r="Q4999" s="120"/>
      <c r="R4999" s="121"/>
      <c r="S4999" s="120"/>
      <c r="T4999" s="121"/>
      <c r="U4999" s="120"/>
      <c r="V4999" s="123"/>
      <c r="W4999" s="125"/>
      <c r="X4999" s="142" t="s">
        <v>7450</v>
      </c>
      <c r="Y4999" s="143"/>
      <c r="Z4999" s="143"/>
      <c r="AA4999" s="143"/>
      <c r="AB4999" s="144"/>
      <c r="AC4999" s="16" t="s">
        <v>21</v>
      </c>
      <c r="AD4999" s="17" t="s">
        <v>15379</v>
      </c>
      <c r="AE4999" s="145" t="s">
        <v>11427</v>
      </c>
      <c r="AF4999" s="146"/>
      <c r="AG4999" s="146"/>
      <c r="AH4999" s="146"/>
      <c r="AI4999" s="147"/>
      <c r="AJ4999" s="148"/>
      <c r="AK4999" s="143"/>
      <c r="AL4999" s="144"/>
      <c r="AM4999" s="22"/>
      <c r="AN4999" s="149" t="s">
        <v>2511</v>
      </c>
      <c r="AO4999" s="144"/>
      <c r="AP4999" s="148">
        <v>60093</v>
      </c>
      <c r="AQ4999" s="144"/>
      <c r="AR4999" s="120"/>
      <c r="AS4999" s="121"/>
      <c r="AT4999" s="120"/>
      <c r="AU4999" s="121"/>
      <c r="AV4999" s="120"/>
      <c r="AW4999" s="121"/>
      <c r="AX4999" s="120"/>
      <c r="AY4999" s="121"/>
      <c r="AZ4999" s="138"/>
    </row>
    <row r="5000" spans="1:52" ht="17.100000000000001" customHeight="1" thickTop="1">
      <c r="A5000" s="109" t="s">
        <v>14931</v>
      </c>
      <c r="B5000" s="28">
        <v>46035</v>
      </c>
      <c r="C5000" s="25">
        <v>1924</v>
      </c>
      <c r="D5000" s="13" t="s">
        <v>1642</v>
      </c>
      <c r="E5000" s="111"/>
      <c r="F5000" s="113" t="s">
        <v>4603</v>
      </c>
      <c r="G5000" s="114"/>
      <c r="H5000" s="115"/>
      <c r="I5000" s="24" t="s">
        <v>1559</v>
      </c>
      <c r="J5000" s="116">
        <v>5</v>
      </c>
      <c r="K5000" s="118">
        <v>928000</v>
      </c>
      <c r="L5000" s="119"/>
      <c r="M5000" s="118">
        <f t="shared" ref="M5000" si="5954">K5000*0.1</f>
        <v>92800</v>
      </c>
      <c r="N5000" s="119"/>
      <c r="O5000" s="118">
        <v>0</v>
      </c>
      <c r="P5000" s="119"/>
      <c r="Q5000" s="118">
        <v>8640</v>
      </c>
      <c r="R5000" s="119"/>
      <c r="S5000" s="118">
        <v>15950</v>
      </c>
      <c r="T5000" s="119"/>
      <c r="U5000" s="118">
        <f t="shared" ref="U5000" si="5955">SUM(K5000:T5001)</f>
        <v>1045390</v>
      </c>
      <c r="V5000" s="122"/>
      <c r="W5000" s="124"/>
      <c r="X5000" s="126" t="s">
        <v>14859</v>
      </c>
      <c r="Y5000" s="127"/>
      <c r="Z5000" s="127"/>
      <c r="AA5000" s="127"/>
      <c r="AB5000" s="128"/>
      <c r="AC5000" s="15" t="s">
        <v>20</v>
      </c>
      <c r="AD5000" s="129" t="s">
        <v>12226</v>
      </c>
      <c r="AE5000" s="130"/>
      <c r="AF5000" s="130"/>
      <c r="AG5000" s="130"/>
      <c r="AH5000" s="130"/>
      <c r="AI5000" s="131"/>
      <c r="AJ5000" s="132"/>
      <c r="AK5000" s="127"/>
      <c r="AL5000" s="128"/>
      <c r="AM5000" s="21" t="s">
        <v>17473</v>
      </c>
      <c r="AN5000" s="133">
        <v>46060</v>
      </c>
      <c r="AO5000" s="134"/>
      <c r="AP5000" s="135">
        <v>1287</v>
      </c>
      <c r="AQ5000" s="136"/>
      <c r="AR5000" s="118">
        <v>980000</v>
      </c>
      <c r="AS5000" s="119"/>
      <c r="AT5000" s="118">
        <f t="shared" ref="AT5000" si="5956">AR5000*0.1</f>
        <v>98000</v>
      </c>
      <c r="AU5000" s="119"/>
      <c r="AV5000" s="118">
        <v>8640</v>
      </c>
      <c r="AW5000" s="119"/>
      <c r="AX5000" s="118">
        <f t="shared" ref="AX5000" si="5957">SUM(AR5000:AW5000)</f>
        <v>1086640</v>
      </c>
      <c r="AY5000" s="119"/>
      <c r="AZ5000" s="137">
        <v>46065</v>
      </c>
    </row>
    <row r="5001" spans="1:52" ht="17.100000000000001" customHeight="1" thickBot="1">
      <c r="A5001" s="110"/>
      <c r="B5001" s="27" t="s">
        <v>2131</v>
      </c>
      <c r="C5001" s="27">
        <v>3060</v>
      </c>
      <c r="D5001" s="14" t="s">
        <v>2836</v>
      </c>
      <c r="E5001" s="112"/>
      <c r="F5001" s="139" t="s">
        <v>14858</v>
      </c>
      <c r="G5001" s="140"/>
      <c r="H5001" s="141"/>
      <c r="I5001" s="26">
        <v>47727</v>
      </c>
      <c r="J5001" s="117"/>
      <c r="K5001" s="120"/>
      <c r="L5001" s="121"/>
      <c r="M5001" s="120"/>
      <c r="N5001" s="121"/>
      <c r="O5001" s="120"/>
      <c r="P5001" s="121"/>
      <c r="Q5001" s="120"/>
      <c r="R5001" s="121"/>
      <c r="S5001" s="120"/>
      <c r="T5001" s="121"/>
      <c r="U5001" s="120"/>
      <c r="V5001" s="123"/>
      <c r="W5001" s="125"/>
      <c r="X5001" s="142" t="s">
        <v>8254</v>
      </c>
      <c r="Y5001" s="143"/>
      <c r="Z5001" s="143"/>
      <c r="AA5001" s="143"/>
      <c r="AB5001" s="144"/>
      <c r="AC5001" s="16" t="s">
        <v>21</v>
      </c>
      <c r="AD5001" s="17" t="s">
        <v>15379</v>
      </c>
      <c r="AE5001" s="145" t="s">
        <v>9056</v>
      </c>
      <c r="AF5001" s="146"/>
      <c r="AG5001" s="146"/>
      <c r="AH5001" s="146"/>
      <c r="AI5001" s="147"/>
      <c r="AJ5001" s="148"/>
      <c r="AK5001" s="143"/>
      <c r="AL5001" s="144"/>
      <c r="AM5001" s="22"/>
      <c r="AN5001" s="149" t="s">
        <v>2511</v>
      </c>
      <c r="AO5001" s="144"/>
      <c r="AP5001" s="148">
        <v>60039</v>
      </c>
      <c r="AQ5001" s="144"/>
      <c r="AR5001" s="120"/>
      <c r="AS5001" s="121"/>
      <c r="AT5001" s="120"/>
      <c r="AU5001" s="121"/>
      <c r="AV5001" s="120"/>
      <c r="AW5001" s="121"/>
      <c r="AX5001" s="120"/>
      <c r="AY5001" s="121"/>
      <c r="AZ5001" s="138"/>
    </row>
    <row r="5002" spans="1:52" ht="17.100000000000001" customHeight="1" thickTop="1">
      <c r="A5002" s="109" t="s">
        <v>14932</v>
      </c>
      <c r="B5002" s="28">
        <v>46035</v>
      </c>
      <c r="C5002" s="25">
        <v>1924</v>
      </c>
      <c r="D5002" s="13" t="s">
        <v>1667</v>
      </c>
      <c r="E5002" s="111"/>
      <c r="F5002" s="113" t="s">
        <v>14860</v>
      </c>
      <c r="G5002" s="114"/>
      <c r="H5002" s="115"/>
      <c r="I5002" s="24"/>
      <c r="J5002" s="116">
        <v>4.5</v>
      </c>
      <c r="K5002" s="118">
        <v>490000</v>
      </c>
      <c r="L5002" s="119"/>
      <c r="M5002" s="118">
        <f t="shared" ref="M5002" si="5958">K5002*0.1</f>
        <v>49000</v>
      </c>
      <c r="N5002" s="119"/>
      <c r="O5002" s="118">
        <v>0</v>
      </c>
      <c r="P5002" s="119"/>
      <c r="Q5002" s="118">
        <v>8550</v>
      </c>
      <c r="R5002" s="119"/>
      <c r="S5002" s="118">
        <v>15950</v>
      </c>
      <c r="T5002" s="119"/>
      <c r="U5002" s="118">
        <f t="shared" ref="U5002" si="5959">SUM(K5002:T5003)</f>
        <v>563500</v>
      </c>
      <c r="V5002" s="122"/>
      <c r="W5002" s="124"/>
      <c r="X5002" s="126" t="s">
        <v>15398</v>
      </c>
      <c r="Y5002" s="127"/>
      <c r="Z5002" s="127"/>
      <c r="AA5002" s="127"/>
      <c r="AB5002" s="128"/>
      <c r="AC5002" s="15" t="s">
        <v>20</v>
      </c>
      <c r="AD5002" s="129"/>
      <c r="AE5002" s="130"/>
      <c r="AF5002" s="130"/>
      <c r="AG5002" s="130"/>
      <c r="AH5002" s="130"/>
      <c r="AI5002" s="131"/>
      <c r="AJ5002" s="132"/>
      <c r="AK5002" s="127"/>
      <c r="AL5002" s="128"/>
      <c r="AM5002" s="21"/>
      <c r="AN5002" s="133">
        <v>46046</v>
      </c>
      <c r="AO5002" s="134"/>
      <c r="AP5002" s="135">
        <v>1285</v>
      </c>
      <c r="AQ5002" s="136"/>
      <c r="AR5002" s="118">
        <v>530000</v>
      </c>
      <c r="AS5002" s="119"/>
      <c r="AT5002" s="118">
        <f t="shared" ref="AT5002" si="5960">AR5002*0.1</f>
        <v>53000</v>
      </c>
      <c r="AU5002" s="119"/>
      <c r="AV5002" s="118">
        <v>8550</v>
      </c>
      <c r="AW5002" s="119"/>
      <c r="AX5002" s="118">
        <f t="shared" ref="AX5002" si="5961">SUM(AR5002:AW5002)</f>
        <v>591550</v>
      </c>
      <c r="AY5002" s="119"/>
      <c r="AZ5002" s="137">
        <v>46049</v>
      </c>
    </row>
    <row r="5003" spans="1:52" ht="17.100000000000001" customHeight="1" thickBot="1">
      <c r="A5003" s="110"/>
      <c r="B5003" s="27" t="s">
        <v>2131</v>
      </c>
      <c r="C5003" s="27">
        <v>3165</v>
      </c>
      <c r="D5003" s="14" t="s">
        <v>3793</v>
      </c>
      <c r="E5003" s="112"/>
      <c r="F5003" s="139" t="s">
        <v>14861</v>
      </c>
      <c r="G5003" s="140"/>
      <c r="H5003" s="141"/>
      <c r="I5003" s="26">
        <v>31433</v>
      </c>
      <c r="J5003" s="117"/>
      <c r="K5003" s="120"/>
      <c r="L5003" s="121"/>
      <c r="M5003" s="120"/>
      <c r="N5003" s="121"/>
      <c r="O5003" s="120"/>
      <c r="P5003" s="121"/>
      <c r="Q5003" s="120"/>
      <c r="R5003" s="121"/>
      <c r="S5003" s="120"/>
      <c r="T5003" s="121"/>
      <c r="U5003" s="120"/>
      <c r="V5003" s="123"/>
      <c r="W5003" s="125"/>
      <c r="X5003" s="142" t="s">
        <v>13825</v>
      </c>
      <c r="Y5003" s="143"/>
      <c r="Z5003" s="143"/>
      <c r="AA5003" s="143"/>
      <c r="AB5003" s="144"/>
      <c r="AC5003" s="16" t="s">
        <v>21</v>
      </c>
      <c r="AD5003" s="17" t="s">
        <v>15379</v>
      </c>
      <c r="AE5003" s="145"/>
      <c r="AF5003" s="146"/>
      <c r="AG5003" s="146"/>
      <c r="AH5003" s="146"/>
      <c r="AI5003" s="147"/>
      <c r="AJ5003" s="148"/>
      <c r="AK5003" s="143"/>
      <c r="AL5003" s="144"/>
      <c r="AM5003" s="22"/>
      <c r="AN5003" s="149" t="s">
        <v>2511</v>
      </c>
      <c r="AO5003" s="144"/>
      <c r="AP5003" s="148">
        <v>60139</v>
      </c>
      <c r="AQ5003" s="144"/>
      <c r="AR5003" s="120"/>
      <c r="AS5003" s="121"/>
      <c r="AT5003" s="120"/>
      <c r="AU5003" s="121"/>
      <c r="AV5003" s="120"/>
      <c r="AW5003" s="121"/>
      <c r="AX5003" s="120"/>
      <c r="AY5003" s="121"/>
      <c r="AZ5003" s="138"/>
    </row>
    <row r="5004" spans="1:52" ht="16.5" customHeight="1" thickTop="1">
      <c r="A5004" s="151" t="s">
        <v>14933</v>
      </c>
      <c r="B5004" s="28">
        <v>46035</v>
      </c>
      <c r="C5004" s="25">
        <v>1924</v>
      </c>
      <c r="D5004" s="13" t="s">
        <v>3461</v>
      </c>
      <c r="E5004" s="111"/>
      <c r="F5004" s="113" t="s">
        <v>4930</v>
      </c>
      <c r="G5004" s="114"/>
      <c r="H5004" s="115"/>
      <c r="I5004" s="24"/>
      <c r="J5004" s="116">
        <v>4</v>
      </c>
      <c r="K5004" s="118">
        <v>559000</v>
      </c>
      <c r="L5004" s="119"/>
      <c r="M5004" s="118">
        <f t="shared" ref="M5004" si="5962">K5004*0.1</f>
        <v>55900</v>
      </c>
      <c r="N5004" s="119"/>
      <c r="O5004" s="118">
        <v>0</v>
      </c>
      <c r="P5004" s="119"/>
      <c r="Q5004" s="118">
        <v>6550</v>
      </c>
      <c r="R5004" s="119"/>
      <c r="S5004" s="118">
        <v>15950</v>
      </c>
      <c r="T5004" s="119"/>
      <c r="U5004" s="118">
        <f t="shared" ref="U5004" si="5963">SUM(K5004:T5005)</f>
        <v>637400</v>
      </c>
      <c r="V5004" s="122"/>
      <c r="W5004" s="124"/>
      <c r="X5004" s="126" t="s">
        <v>15405</v>
      </c>
      <c r="Y5004" s="127"/>
      <c r="Z5004" s="127"/>
      <c r="AA5004" s="127"/>
      <c r="AB5004" s="128"/>
      <c r="AC5004" s="15" t="s">
        <v>20</v>
      </c>
      <c r="AD5004" s="129" t="s">
        <v>1670</v>
      </c>
      <c r="AE5004" s="130"/>
      <c r="AF5004" s="130"/>
      <c r="AG5004" s="130"/>
      <c r="AH5004" s="130"/>
      <c r="AI5004" s="131"/>
      <c r="AJ5004" s="132"/>
      <c r="AK5004" s="127"/>
      <c r="AL5004" s="128"/>
      <c r="AM5004" s="21"/>
      <c r="AN5004" s="133">
        <v>46039</v>
      </c>
      <c r="AO5004" s="134"/>
      <c r="AP5004" s="135">
        <v>1284</v>
      </c>
      <c r="AQ5004" s="136"/>
      <c r="AR5004" s="118">
        <v>630000</v>
      </c>
      <c r="AS5004" s="119"/>
      <c r="AT5004" s="118">
        <f t="shared" ref="AT5004" si="5964">AR5004*0.1</f>
        <v>63000</v>
      </c>
      <c r="AU5004" s="119"/>
      <c r="AV5004" s="118">
        <v>6550</v>
      </c>
      <c r="AW5004" s="119"/>
      <c r="AX5004" s="118">
        <f t="shared" ref="AX5004" si="5965">SUM(AR5004:AW5004)</f>
        <v>699550</v>
      </c>
      <c r="AY5004" s="119"/>
      <c r="AZ5004" s="137">
        <v>46044</v>
      </c>
    </row>
    <row r="5005" spans="1:52" ht="17.100000000000001" customHeight="1" thickBot="1">
      <c r="A5005" s="152"/>
      <c r="B5005" s="27" t="s">
        <v>2131</v>
      </c>
      <c r="C5005" s="27">
        <v>3201</v>
      </c>
      <c r="D5005" s="14" t="s">
        <v>1720</v>
      </c>
      <c r="E5005" s="112"/>
      <c r="F5005" s="139" t="s">
        <v>14862</v>
      </c>
      <c r="G5005" s="140"/>
      <c r="H5005" s="141"/>
      <c r="I5005" s="26">
        <v>19482</v>
      </c>
      <c r="J5005" s="117"/>
      <c r="K5005" s="120"/>
      <c r="L5005" s="121"/>
      <c r="M5005" s="120"/>
      <c r="N5005" s="121"/>
      <c r="O5005" s="120"/>
      <c r="P5005" s="121"/>
      <c r="Q5005" s="120"/>
      <c r="R5005" s="121"/>
      <c r="S5005" s="120"/>
      <c r="T5005" s="121"/>
      <c r="U5005" s="120"/>
      <c r="V5005" s="123"/>
      <c r="W5005" s="125"/>
      <c r="X5005" s="142" t="s">
        <v>7450</v>
      </c>
      <c r="Y5005" s="143"/>
      <c r="Z5005" s="143"/>
      <c r="AA5005" s="143"/>
      <c r="AB5005" s="144"/>
      <c r="AC5005" s="16" t="s">
        <v>21</v>
      </c>
      <c r="AD5005" s="17" t="s">
        <v>15379</v>
      </c>
      <c r="AE5005" s="145" t="s">
        <v>1670</v>
      </c>
      <c r="AF5005" s="146"/>
      <c r="AG5005" s="146"/>
      <c r="AH5005" s="146"/>
      <c r="AI5005" s="147"/>
      <c r="AJ5005" s="148"/>
      <c r="AK5005" s="143"/>
      <c r="AL5005" s="144"/>
      <c r="AM5005" s="22"/>
      <c r="AN5005" s="149" t="s">
        <v>2511</v>
      </c>
      <c r="AO5005" s="144"/>
      <c r="AP5005" s="148">
        <v>60410</v>
      </c>
      <c r="AQ5005" s="144"/>
      <c r="AR5005" s="120"/>
      <c r="AS5005" s="121"/>
      <c r="AT5005" s="120"/>
      <c r="AU5005" s="121"/>
      <c r="AV5005" s="120"/>
      <c r="AW5005" s="121"/>
      <c r="AX5005" s="120"/>
      <c r="AY5005" s="121"/>
      <c r="AZ5005" s="138"/>
    </row>
    <row r="5006" spans="1:52" ht="17.100000000000001" customHeight="1" thickTop="1">
      <c r="A5006" s="109" t="s">
        <v>14934</v>
      </c>
      <c r="B5006" s="28">
        <v>46035</v>
      </c>
      <c r="C5006" s="25">
        <v>1924</v>
      </c>
      <c r="D5006" s="13" t="s">
        <v>2348</v>
      </c>
      <c r="E5006" s="111"/>
      <c r="F5006" s="113" t="s">
        <v>14863</v>
      </c>
      <c r="G5006" s="114"/>
      <c r="H5006" s="115"/>
      <c r="I5006" s="24" t="s">
        <v>3931</v>
      </c>
      <c r="J5006" s="116">
        <v>4.5</v>
      </c>
      <c r="K5006" s="118">
        <v>554000</v>
      </c>
      <c r="L5006" s="119"/>
      <c r="M5006" s="118">
        <f t="shared" ref="M5006" si="5966">K5006*0.1</f>
        <v>55400</v>
      </c>
      <c r="N5006" s="119"/>
      <c r="O5006" s="118">
        <v>0</v>
      </c>
      <c r="P5006" s="119"/>
      <c r="Q5006" s="118">
        <v>8550</v>
      </c>
      <c r="R5006" s="119"/>
      <c r="S5006" s="118">
        <v>15950</v>
      </c>
      <c r="T5006" s="119"/>
      <c r="U5006" s="118">
        <f t="shared" ref="U5006" si="5967">SUM(K5006:T5007)</f>
        <v>633900</v>
      </c>
      <c r="V5006" s="122"/>
      <c r="W5006" s="124"/>
      <c r="X5006" s="126" t="s">
        <v>14865</v>
      </c>
      <c r="Y5006" s="127"/>
      <c r="Z5006" s="127"/>
      <c r="AA5006" s="127"/>
      <c r="AB5006" s="128"/>
      <c r="AC5006" s="15" t="s">
        <v>20</v>
      </c>
      <c r="AD5006" s="129"/>
      <c r="AE5006" s="130"/>
      <c r="AF5006" s="130"/>
      <c r="AG5006" s="130"/>
      <c r="AH5006" s="130"/>
      <c r="AI5006" s="131"/>
      <c r="AJ5006" s="132"/>
      <c r="AK5006" s="127"/>
      <c r="AL5006" s="128"/>
      <c r="AM5006" s="21"/>
      <c r="AN5006" s="133">
        <v>46046</v>
      </c>
      <c r="AO5006" s="134"/>
      <c r="AP5006" s="135">
        <v>1285</v>
      </c>
      <c r="AQ5006" s="136"/>
      <c r="AR5006" s="118">
        <v>605000</v>
      </c>
      <c r="AS5006" s="119"/>
      <c r="AT5006" s="118">
        <f t="shared" ref="AT5006" si="5968">AR5006*0.1</f>
        <v>60500</v>
      </c>
      <c r="AU5006" s="119"/>
      <c r="AV5006" s="118">
        <v>8550</v>
      </c>
      <c r="AW5006" s="119"/>
      <c r="AX5006" s="118">
        <f t="shared" ref="AX5006" si="5969">SUM(AR5006:AW5006)</f>
        <v>674050</v>
      </c>
      <c r="AY5006" s="119"/>
      <c r="AZ5006" s="137">
        <v>46049</v>
      </c>
    </row>
    <row r="5007" spans="1:52" ht="17.100000000000001" customHeight="1" thickBot="1">
      <c r="A5007" s="110"/>
      <c r="B5007" s="27" t="s">
        <v>2131</v>
      </c>
      <c r="C5007" s="27">
        <v>3356</v>
      </c>
      <c r="D5007" s="14" t="s">
        <v>3855</v>
      </c>
      <c r="E5007" s="112"/>
      <c r="F5007" s="139" t="s">
        <v>14864</v>
      </c>
      <c r="G5007" s="140"/>
      <c r="H5007" s="141"/>
      <c r="I5007" s="26">
        <v>59819</v>
      </c>
      <c r="J5007" s="117"/>
      <c r="K5007" s="120"/>
      <c r="L5007" s="121"/>
      <c r="M5007" s="120"/>
      <c r="N5007" s="121"/>
      <c r="O5007" s="120"/>
      <c r="P5007" s="121"/>
      <c r="Q5007" s="120"/>
      <c r="R5007" s="121"/>
      <c r="S5007" s="120"/>
      <c r="T5007" s="121"/>
      <c r="U5007" s="120"/>
      <c r="V5007" s="123"/>
      <c r="W5007" s="125"/>
      <c r="X5007" s="142" t="s">
        <v>5250</v>
      </c>
      <c r="Y5007" s="143"/>
      <c r="Z5007" s="143"/>
      <c r="AA5007" s="143"/>
      <c r="AB5007" s="144"/>
      <c r="AC5007" s="16" t="s">
        <v>21</v>
      </c>
      <c r="AD5007" s="17" t="s">
        <v>15379</v>
      </c>
      <c r="AE5007" s="145" t="s">
        <v>15057</v>
      </c>
      <c r="AF5007" s="146"/>
      <c r="AG5007" s="146"/>
      <c r="AH5007" s="146"/>
      <c r="AI5007" s="147"/>
      <c r="AJ5007" s="148"/>
      <c r="AK5007" s="143"/>
      <c r="AL5007" s="144"/>
      <c r="AM5007" s="22"/>
      <c r="AN5007" s="149" t="s">
        <v>2511</v>
      </c>
      <c r="AO5007" s="144"/>
      <c r="AP5007" s="148">
        <v>60118</v>
      </c>
      <c r="AQ5007" s="144"/>
      <c r="AR5007" s="120"/>
      <c r="AS5007" s="121"/>
      <c r="AT5007" s="120"/>
      <c r="AU5007" s="121"/>
      <c r="AV5007" s="120"/>
      <c r="AW5007" s="121"/>
      <c r="AX5007" s="120"/>
      <c r="AY5007" s="121"/>
      <c r="AZ5007" s="138"/>
    </row>
    <row r="5008" spans="1:52" ht="17.100000000000001" customHeight="1" thickTop="1">
      <c r="A5008" s="109" t="s">
        <v>14935</v>
      </c>
      <c r="B5008" s="28">
        <v>46035</v>
      </c>
      <c r="C5008" s="25">
        <v>1924</v>
      </c>
      <c r="D5008" s="13" t="s">
        <v>2616</v>
      </c>
      <c r="E5008" s="111"/>
      <c r="F5008" s="113" t="s">
        <v>6779</v>
      </c>
      <c r="G5008" s="114"/>
      <c r="H5008" s="115"/>
      <c r="I5008" s="24"/>
      <c r="J5008" s="116">
        <v>4</v>
      </c>
      <c r="K5008" s="118">
        <v>1136000</v>
      </c>
      <c r="L5008" s="119"/>
      <c r="M5008" s="118">
        <f t="shared" ref="M5008" si="5970">K5008*0.1</f>
        <v>113600</v>
      </c>
      <c r="N5008" s="119"/>
      <c r="O5008" s="118">
        <v>0</v>
      </c>
      <c r="P5008" s="119"/>
      <c r="Q5008" s="118">
        <v>9080</v>
      </c>
      <c r="R5008" s="119"/>
      <c r="S5008" s="118">
        <v>15950</v>
      </c>
      <c r="T5008" s="119"/>
      <c r="U5008" s="118">
        <f t="shared" ref="U5008" si="5971">SUM(K5008:T5009)</f>
        <v>1274630</v>
      </c>
      <c r="V5008" s="122"/>
      <c r="W5008" s="124"/>
      <c r="X5008" s="126" t="s">
        <v>15391</v>
      </c>
      <c r="Y5008" s="127"/>
      <c r="Z5008" s="127"/>
      <c r="AA5008" s="127"/>
      <c r="AB5008" s="128"/>
      <c r="AC5008" s="15" t="s">
        <v>20</v>
      </c>
      <c r="AD5008" s="129" t="s">
        <v>4028</v>
      </c>
      <c r="AE5008" s="130"/>
      <c r="AF5008" s="130"/>
      <c r="AG5008" s="130"/>
      <c r="AH5008" s="130"/>
      <c r="AI5008" s="131"/>
      <c r="AJ5008" s="132"/>
      <c r="AK5008" s="127"/>
      <c r="AL5008" s="128"/>
      <c r="AM5008" s="21"/>
      <c r="AN5008" s="133">
        <v>46057</v>
      </c>
      <c r="AO5008" s="134"/>
      <c r="AP5008" s="135"/>
      <c r="AQ5008" s="136"/>
      <c r="AR5008" s="118">
        <v>1300000</v>
      </c>
      <c r="AS5008" s="119"/>
      <c r="AT5008" s="118">
        <f t="shared" ref="AT5008" si="5972">AR5008*0.1</f>
        <v>130000</v>
      </c>
      <c r="AU5008" s="119"/>
      <c r="AV5008" s="118">
        <v>9080</v>
      </c>
      <c r="AW5008" s="119"/>
      <c r="AX5008" s="118">
        <f t="shared" ref="AX5008" si="5973">SUM(AR5008:AW5008)</f>
        <v>1439080</v>
      </c>
      <c r="AY5008" s="119"/>
      <c r="AZ5008" s="137"/>
    </row>
    <row r="5009" spans="1:52" ht="17.100000000000001" customHeight="1" thickBot="1">
      <c r="A5009" s="110"/>
      <c r="B5009" s="27" t="s">
        <v>2131</v>
      </c>
      <c r="C5009" s="27">
        <v>3397</v>
      </c>
      <c r="D5009" s="14" t="s">
        <v>2601</v>
      </c>
      <c r="E5009" s="112"/>
      <c r="F5009" s="139" t="s">
        <v>14901</v>
      </c>
      <c r="G5009" s="140"/>
      <c r="H5009" s="141"/>
      <c r="I5009" s="26">
        <v>47122</v>
      </c>
      <c r="J5009" s="117"/>
      <c r="K5009" s="120"/>
      <c r="L5009" s="121"/>
      <c r="M5009" s="120"/>
      <c r="N5009" s="121"/>
      <c r="O5009" s="120"/>
      <c r="P5009" s="121"/>
      <c r="Q5009" s="120"/>
      <c r="R5009" s="121"/>
      <c r="S5009" s="120"/>
      <c r="T5009" s="121"/>
      <c r="U5009" s="120"/>
      <c r="V5009" s="123"/>
      <c r="W5009" s="125"/>
      <c r="X5009" s="142" t="s">
        <v>15392</v>
      </c>
      <c r="Y5009" s="143"/>
      <c r="Z5009" s="143"/>
      <c r="AA5009" s="143"/>
      <c r="AB5009" s="144"/>
      <c r="AC5009" s="16" t="s">
        <v>21</v>
      </c>
      <c r="AD5009" s="17" t="s">
        <v>15379</v>
      </c>
      <c r="AE5009" s="145" t="s">
        <v>3641</v>
      </c>
      <c r="AF5009" s="146"/>
      <c r="AG5009" s="146"/>
      <c r="AH5009" s="146"/>
      <c r="AI5009" s="147"/>
      <c r="AJ5009" s="148"/>
      <c r="AK5009" s="143"/>
      <c r="AL5009" s="144"/>
      <c r="AM5009" s="22"/>
      <c r="AN5009" s="149" t="s">
        <v>6789</v>
      </c>
      <c r="AO5009" s="144"/>
      <c r="AP5009" s="148">
        <v>50948</v>
      </c>
      <c r="AQ5009" s="144"/>
      <c r="AR5009" s="120"/>
      <c r="AS5009" s="121"/>
      <c r="AT5009" s="120"/>
      <c r="AU5009" s="121"/>
      <c r="AV5009" s="120"/>
      <c r="AW5009" s="121"/>
      <c r="AX5009" s="120"/>
      <c r="AY5009" s="121"/>
      <c r="AZ5009" s="138"/>
    </row>
    <row r="5010" spans="1:52" ht="17.100000000000001" customHeight="1" thickTop="1">
      <c r="A5010" s="109" t="s">
        <v>14936</v>
      </c>
      <c r="B5010" s="28">
        <v>46035</v>
      </c>
      <c r="C5010" s="25">
        <v>1924</v>
      </c>
      <c r="D5010" s="13" t="s">
        <v>2298</v>
      </c>
      <c r="E5010" s="111"/>
      <c r="F5010" s="113" t="s">
        <v>5494</v>
      </c>
      <c r="G5010" s="114"/>
      <c r="H5010" s="115"/>
      <c r="I5010" s="24" t="s">
        <v>4096</v>
      </c>
      <c r="J5010" s="116">
        <v>4</v>
      </c>
      <c r="K5010" s="118">
        <v>705000</v>
      </c>
      <c r="L5010" s="119"/>
      <c r="M5010" s="118">
        <f t="shared" ref="M5010" si="5974">K5010*0.1</f>
        <v>70500</v>
      </c>
      <c r="N5010" s="119"/>
      <c r="O5010" s="118">
        <v>0</v>
      </c>
      <c r="P5010" s="119"/>
      <c r="Q5010" s="118">
        <v>8400</v>
      </c>
      <c r="R5010" s="119"/>
      <c r="S5010" s="118">
        <v>15950</v>
      </c>
      <c r="T5010" s="119"/>
      <c r="U5010" s="118">
        <f t="shared" ref="U5010" si="5975">SUM(K5010:T5011)</f>
        <v>799850</v>
      </c>
      <c r="V5010" s="122"/>
      <c r="W5010" s="124"/>
      <c r="X5010" s="126" t="s">
        <v>14903</v>
      </c>
      <c r="Y5010" s="127"/>
      <c r="Z5010" s="127"/>
      <c r="AA5010" s="127"/>
      <c r="AB5010" s="128"/>
      <c r="AC5010" s="15" t="s">
        <v>20</v>
      </c>
      <c r="AD5010" s="129"/>
      <c r="AE5010" s="130"/>
      <c r="AF5010" s="130"/>
      <c r="AG5010" s="130"/>
      <c r="AH5010" s="130"/>
      <c r="AI5010" s="131"/>
      <c r="AJ5010" s="132"/>
      <c r="AK5010" s="127"/>
      <c r="AL5010" s="128"/>
      <c r="AM5010" s="21" t="s">
        <v>18036</v>
      </c>
      <c r="AN5010" s="133">
        <v>46067</v>
      </c>
      <c r="AO5010" s="134"/>
      <c r="AP5010" s="135">
        <v>1288</v>
      </c>
      <c r="AQ5010" s="136"/>
      <c r="AR5010" s="118">
        <v>770000</v>
      </c>
      <c r="AS5010" s="119"/>
      <c r="AT5010" s="118">
        <f t="shared" ref="AT5010" si="5976">AR5010*0.1</f>
        <v>77000</v>
      </c>
      <c r="AU5010" s="119"/>
      <c r="AV5010" s="118">
        <v>8400</v>
      </c>
      <c r="AW5010" s="119"/>
      <c r="AX5010" s="118">
        <f t="shared" ref="AX5010" si="5977">SUM(AR5010:AW5010)</f>
        <v>855400</v>
      </c>
      <c r="AY5010" s="119"/>
      <c r="AZ5010" s="137">
        <v>46071</v>
      </c>
    </row>
    <row r="5011" spans="1:52" ht="17.100000000000001" customHeight="1" thickBot="1">
      <c r="A5011" s="110"/>
      <c r="B5011" s="27" t="s">
        <v>2131</v>
      </c>
      <c r="C5011" s="27">
        <v>3471</v>
      </c>
      <c r="D5011" s="14" t="s">
        <v>1592</v>
      </c>
      <c r="E5011" s="112"/>
      <c r="F5011" s="139" t="s">
        <v>14902</v>
      </c>
      <c r="G5011" s="140"/>
      <c r="H5011" s="141"/>
      <c r="I5011" s="26">
        <v>37273</v>
      </c>
      <c r="J5011" s="117"/>
      <c r="K5011" s="120"/>
      <c r="L5011" s="121"/>
      <c r="M5011" s="120"/>
      <c r="N5011" s="121"/>
      <c r="O5011" s="120"/>
      <c r="P5011" s="121"/>
      <c r="Q5011" s="120"/>
      <c r="R5011" s="121"/>
      <c r="S5011" s="120"/>
      <c r="T5011" s="121"/>
      <c r="U5011" s="120"/>
      <c r="V5011" s="123"/>
      <c r="W5011" s="125"/>
      <c r="X5011" s="142" t="s">
        <v>15399</v>
      </c>
      <c r="Y5011" s="143"/>
      <c r="Z5011" s="143"/>
      <c r="AA5011" s="143"/>
      <c r="AB5011" s="144"/>
      <c r="AC5011" s="16" t="s">
        <v>21</v>
      </c>
      <c r="AD5011" s="17" t="s">
        <v>15379</v>
      </c>
      <c r="AE5011" s="145" t="s">
        <v>10327</v>
      </c>
      <c r="AF5011" s="146"/>
      <c r="AG5011" s="146"/>
      <c r="AH5011" s="146"/>
      <c r="AI5011" s="147"/>
      <c r="AJ5011" s="148"/>
      <c r="AK5011" s="143"/>
      <c r="AL5011" s="144"/>
      <c r="AM5011" s="22"/>
      <c r="AN5011" s="149" t="s">
        <v>2511</v>
      </c>
      <c r="AO5011" s="144"/>
      <c r="AP5011" s="148">
        <v>60153</v>
      </c>
      <c r="AQ5011" s="144"/>
      <c r="AR5011" s="120"/>
      <c r="AS5011" s="121"/>
      <c r="AT5011" s="120"/>
      <c r="AU5011" s="121"/>
      <c r="AV5011" s="120"/>
      <c r="AW5011" s="121"/>
      <c r="AX5011" s="120"/>
      <c r="AY5011" s="121"/>
      <c r="AZ5011" s="138"/>
    </row>
    <row r="5012" spans="1:52" ht="17.100000000000001" customHeight="1" thickTop="1">
      <c r="A5012" s="109" t="s">
        <v>14937</v>
      </c>
      <c r="B5012" s="28">
        <v>46035</v>
      </c>
      <c r="C5012" s="25">
        <v>1924</v>
      </c>
      <c r="D5012" s="13" t="s">
        <v>1906</v>
      </c>
      <c r="E5012" s="111"/>
      <c r="F5012" s="113" t="s">
        <v>7076</v>
      </c>
      <c r="G5012" s="114"/>
      <c r="H5012" s="115"/>
      <c r="I5012" s="24"/>
      <c r="J5012" s="116">
        <v>4</v>
      </c>
      <c r="K5012" s="118">
        <v>1123000</v>
      </c>
      <c r="L5012" s="119"/>
      <c r="M5012" s="118">
        <f t="shared" ref="M5012" si="5978">K5012*0.1</f>
        <v>112300</v>
      </c>
      <c r="N5012" s="119"/>
      <c r="O5012" s="118">
        <v>0</v>
      </c>
      <c r="P5012" s="119"/>
      <c r="Q5012" s="118">
        <v>6850</v>
      </c>
      <c r="R5012" s="119"/>
      <c r="S5012" s="118">
        <v>15950</v>
      </c>
      <c r="T5012" s="119"/>
      <c r="U5012" s="118">
        <f t="shared" ref="U5012" si="5979">SUM(K5012:T5013)</f>
        <v>1258100</v>
      </c>
      <c r="V5012" s="122"/>
      <c r="W5012" s="124"/>
      <c r="X5012" s="126" t="s">
        <v>15389</v>
      </c>
      <c r="Y5012" s="127"/>
      <c r="Z5012" s="127"/>
      <c r="AA5012" s="127"/>
      <c r="AB5012" s="128"/>
      <c r="AC5012" s="15" t="s">
        <v>20</v>
      </c>
      <c r="AD5012" s="129"/>
      <c r="AE5012" s="130"/>
      <c r="AF5012" s="130"/>
      <c r="AG5012" s="130"/>
      <c r="AH5012" s="130"/>
      <c r="AI5012" s="131"/>
      <c r="AJ5012" s="132"/>
      <c r="AK5012" s="127"/>
      <c r="AL5012" s="128"/>
      <c r="AM5012" s="21"/>
      <c r="AN5012" s="133">
        <v>46046</v>
      </c>
      <c r="AO5012" s="134"/>
      <c r="AP5012" s="135">
        <v>1285</v>
      </c>
      <c r="AQ5012" s="136"/>
      <c r="AR5012" s="118">
        <v>1175000</v>
      </c>
      <c r="AS5012" s="119"/>
      <c r="AT5012" s="118">
        <f t="shared" ref="AT5012" si="5980">AR5012*0.1</f>
        <v>117500</v>
      </c>
      <c r="AU5012" s="119"/>
      <c r="AV5012" s="118">
        <v>6850</v>
      </c>
      <c r="AW5012" s="119"/>
      <c r="AX5012" s="118">
        <f t="shared" ref="AX5012" si="5981">SUM(AR5012:AW5012)</f>
        <v>1299350</v>
      </c>
      <c r="AY5012" s="119"/>
      <c r="AZ5012" s="137">
        <v>46049</v>
      </c>
    </row>
    <row r="5013" spans="1:52" ht="17.100000000000001" customHeight="1" thickBot="1">
      <c r="A5013" s="110"/>
      <c r="B5013" s="27" t="s">
        <v>2131</v>
      </c>
      <c r="C5013" s="27">
        <v>3516</v>
      </c>
      <c r="D5013" s="14" t="s">
        <v>2206</v>
      </c>
      <c r="E5013" s="112"/>
      <c r="F5013" s="139" t="s">
        <v>14904</v>
      </c>
      <c r="G5013" s="140"/>
      <c r="H5013" s="141"/>
      <c r="I5013" s="26">
        <v>35352</v>
      </c>
      <c r="J5013" s="117"/>
      <c r="K5013" s="120"/>
      <c r="L5013" s="121"/>
      <c r="M5013" s="120"/>
      <c r="N5013" s="121"/>
      <c r="O5013" s="120"/>
      <c r="P5013" s="121"/>
      <c r="Q5013" s="120"/>
      <c r="R5013" s="121"/>
      <c r="S5013" s="120"/>
      <c r="T5013" s="121"/>
      <c r="U5013" s="120"/>
      <c r="V5013" s="123"/>
      <c r="W5013" s="125"/>
      <c r="X5013" s="142" t="s">
        <v>15390</v>
      </c>
      <c r="Y5013" s="143"/>
      <c r="Z5013" s="143"/>
      <c r="AA5013" s="143"/>
      <c r="AB5013" s="144"/>
      <c r="AC5013" s="16" t="s">
        <v>21</v>
      </c>
      <c r="AD5013" s="17" t="s">
        <v>15379</v>
      </c>
      <c r="AE5013" s="145" t="s">
        <v>171</v>
      </c>
      <c r="AF5013" s="146"/>
      <c r="AG5013" s="146"/>
      <c r="AH5013" s="146"/>
      <c r="AI5013" s="147"/>
      <c r="AJ5013" s="148"/>
      <c r="AK5013" s="143"/>
      <c r="AL5013" s="144"/>
      <c r="AM5013" s="22"/>
      <c r="AN5013" s="149" t="s">
        <v>2511</v>
      </c>
      <c r="AO5013" s="144"/>
      <c r="AP5013" s="148">
        <v>60165</v>
      </c>
      <c r="AQ5013" s="144"/>
      <c r="AR5013" s="120"/>
      <c r="AS5013" s="121"/>
      <c r="AT5013" s="120"/>
      <c r="AU5013" s="121"/>
      <c r="AV5013" s="120"/>
      <c r="AW5013" s="121"/>
      <c r="AX5013" s="120"/>
      <c r="AY5013" s="121"/>
      <c r="AZ5013" s="138"/>
    </row>
    <row r="5014" spans="1:52" ht="17.100000000000001" customHeight="1" thickTop="1">
      <c r="A5014" s="109" t="s">
        <v>14938</v>
      </c>
      <c r="B5014" s="28">
        <v>46035</v>
      </c>
      <c r="C5014" s="25">
        <v>1924</v>
      </c>
      <c r="D5014" s="13" t="s">
        <v>4121</v>
      </c>
      <c r="E5014" s="111"/>
      <c r="F5014" s="113" t="s">
        <v>14905</v>
      </c>
      <c r="G5014" s="114"/>
      <c r="H5014" s="115"/>
      <c r="I5014" s="24"/>
      <c r="J5014" s="116">
        <v>4.5</v>
      </c>
      <c r="K5014" s="118">
        <v>1221000</v>
      </c>
      <c r="L5014" s="119"/>
      <c r="M5014" s="118">
        <f t="shared" ref="M5014" si="5982">K5014*0.1</f>
        <v>122100</v>
      </c>
      <c r="N5014" s="119"/>
      <c r="O5014" s="118">
        <v>0</v>
      </c>
      <c r="P5014" s="119"/>
      <c r="Q5014" s="118">
        <v>20540</v>
      </c>
      <c r="R5014" s="119"/>
      <c r="S5014" s="118">
        <v>15950</v>
      </c>
      <c r="T5014" s="119"/>
      <c r="U5014" s="118">
        <f t="shared" ref="U5014" si="5983">SUM(K5014:T5015)</f>
        <v>1379590</v>
      </c>
      <c r="V5014" s="122"/>
      <c r="W5014" s="124"/>
      <c r="X5014" s="126" t="s">
        <v>15384</v>
      </c>
      <c r="Y5014" s="127"/>
      <c r="Z5014" s="127"/>
      <c r="AA5014" s="127"/>
      <c r="AB5014" s="128"/>
      <c r="AC5014" s="15" t="s">
        <v>20</v>
      </c>
      <c r="AD5014" s="129"/>
      <c r="AE5014" s="130"/>
      <c r="AF5014" s="130"/>
      <c r="AG5014" s="130"/>
      <c r="AH5014" s="130"/>
      <c r="AI5014" s="131"/>
      <c r="AJ5014" s="132"/>
      <c r="AK5014" s="127"/>
      <c r="AL5014" s="128"/>
      <c r="AM5014" s="21"/>
      <c r="AN5014" s="133">
        <v>46053</v>
      </c>
      <c r="AO5014" s="134"/>
      <c r="AP5014" s="135">
        <v>1286</v>
      </c>
      <c r="AQ5014" s="136"/>
      <c r="AR5014" s="118">
        <v>1365000</v>
      </c>
      <c r="AS5014" s="119"/>
      <c r="AT5014" s="118">
        <f t="shared" ref="AT5014" si="5984">AR5014*0.1</f>
        <v>136500</v>
      </c>
      <c r="AU5014" s="119"/>
      <c r="AV5014" s="118">
        <v>20540</v>
      </c>
      <c r="AW5014" s="119"/>
      <c r="AX5014" s="118">
        <f t="shared" ref="AX5014" si="5985">SUM(AR5014:AW5014)</f>
        <v>1522040</v>
      </c>
      <c r="AY5014" s="119"/>
      <c r="AZ5014" s="137">
        <v>46056</v>
      </c>
    </row>
    <row r="5015" spans="1:52" ht="17.100000000000001" customHeight="1" thickBot="1">
      <c r="A5015" s="110"/>
      <c r="B5015" s="27" t="s">
        <v>2131</v>
      </c>
      <c r="C5015" s="27">
        <v>5041</v>
      </c>
      <c r="D5015" s="14" t="s">
        <v>1592</v>
      </c>
      <c r="E5015" s="112"/>
      <c r="F5015" s="139" t="s">
        <v>14906</v>
      </c>
      <c r="G5015" s="140"/>
      <c r="H5015" s="141"/>
      <c r="I5015" s="26">
        <v>71995</v>
      </c>
      <c r="J5015" s="117"/>
      <c r="K5015" s="120"/>
      <c r="L5015" s="121"/>
      <c r="M5015" s="120"/>
      <c r="N5015" s="121"/>
      <c r="O5015" s="120"/>
      <c r="P5015" s="121"/>
      <c r="Q5015" s="120"/>
      <c r="R5015" s="121"/>
      <c r="S5015" s="120"/>
      <c r="T5015" s="121"/>
      <c r="U5015" s="120"/>
      <c r="V5015" s="123"/>
      <c r="W5015" s="125"/>
      <c r="X5015" s="142" t="s">
        <v>10154</v>
      </c>
      <c r="Y5015" s="143"/>
      <c r="Z5015" s="143"/>
      <c r="AA5015" s="143"/>
      <c r="AB5015" s="144"/>
      <c r="AC5015" s="16" t="s">
        <v>21</v>
      </c>
      <c r="AD5015" s="17" t="s">
        <v>15379</v>
      </c>
      <c r="AE5015" s="145" t="s">
        <v>2195</v>
      </c>
      <c r="AF5015" s="146"/>
      <c r="AG5015" s="146"/>
      <c r="AH5015" s="146"/>
      <c r="AI5015" s="147"/>
      <c r="AJ5015" s="148"/>
      <c r="AK5015" s="143"/>
      <c r="AL5015" s="144"/>
      <c r="AM5015" s="22"/>
      <c r="AN5015" s="149" t="s">
        <v>2511</v>
      </c>
      <c r="AO5015" s="144"/>
      <c r="AP5015" s="148">
        <v>80191</v>
      </c>
      <c r="AQ5015" s="144"/>
      <c r="AR5015" s="120"/>
      <c r="AS5015" s="121"/>
      <c r="AT5015" s="120"/>
      <c r="AU5015" s="121"/>
      <c r="AV5015" s="120"/>
      <c r="AW5015" s="121"/>
      <c r="AX5015" s="120"/>
      <c r="AY5015" s="121"/>
      <c r="AZ5015" s="138"/>
    </row>
    <row r="5016" spans="1:52" ht="17.100000000000001" customHeight="1" thickTop="1">
      <c r="A5016" s="151" t="s">
        <v>14939</v>
      </c>
      <c r="B5016" s="28">
        <v>46035</v>
      </c>
      <c r="C5016" s="25">
        <v>1924</v>
      </c>
      <c r="D5016" s="13" t="s">
        <v>3381</v>
      </c>
      <c r="E5016" s="111"/>
      <c r="F5016" s="113" t="s">
        <v>14907</v>
      </c>
      <c r="G5016" s="114"/>
      <c r="H5016" s="115"/>
      <c r="I5016" s="24"/>
      <c r="J5016" s="116">
        <v>4</v>
      </c>
      <c r="K5016" s="118">
        <v>1225000</v>
      </c>
      <c r="L5016" s="119"/>
      <c r="M5016" s="118">
        <f t="shared" ref="M5016" si="5986">K5016*0.1</f>
        <v>122500</v>
      </c>
      <c r="N5016" s="119"/>
      <c r="O5016" s="118">
        <v>0</v>
      </c>
      <c r="P5016" s="119"/>
      <c r="Q5016" s="118">
        <v>20540</v>
      </c>
      <c r="R5016" s="119"/>
      <c r="S5016" s="118">
        <v>15950</v>
      </c>
      <c r="T5016" s="119"/>
      <c r="U5016" s="118">
        <f t="shared" ref="U5016" si="5987">SUM(K5016:T5017)</f>
        <v>1383990</v>
      </c>
      <c r="V5016" s="122"/>
      <c r="W5016" s="124"/>
      <c r="X5016" s="126" t="s">
        <v>15406</v>
      </c>
      <c r="Y5016" s="127"/>
      <c r="Z5016" s="127"/>
      <c r="AA5016" s="127"/>
      <c r="AB5016" s="128"/>
      <c r="AC5016" s="15" t="s">
        <v>20</v>
      </c>
      <c r="AD5016" s="129"/>
      <c r="AE5016" s="130"/>
      <c r="AF5016" s="130"/>
      <c r="AG5016" s="130"/>
      <c r="AH5016" s="130"/>
      <c r="AI5016" s="131"/>
      <c r="AJ5016" s="132"/>
      <c r="AK5016" s="127"/>
      <c r="AL5016" s="128"/>
      <c r="AM5016" s="21"/>
      <c r="AN5016" s="133">
        <v>46039</v>
      </c>
      <c r="AO5016" s="134"/>
      <c r="AP5016" s="135">
        <v>1284</v>
      </c>
      <c r="AQ5016" s="136"/>
      <c r="AR5016" s="118">
        <v>1325000</v>
      </c>
      <c r="AS5016" s="119"/>
      <c r="AT5016" s="118">
        <f t="shared" ref="AT5016" si="5988">AR5016*0.1</f>
        <v>132500</v>
      </c>
      <c r="AU5016" s="119"/>
      <c r="AV5016" s="118">
        <v>20540</v>
      </c>
      <c r="AW5016" s="119"/>
      <c r="AX5016" s="118">
        <f t="shared" ref="AX5016" si="5989">SUM(AR5016:AW5016)</f>
        <v>1478040</v>
      </c>
      <c r="AY5016" s="119"/>
      <c r="AZ5016" s="137">
        <v>46044</v>
      </c>
    </row>
    <row r="5017" spans="1:52" ht="17.100000000000001" customHeight="1" thickBot="1">
      <c r="A5017" s="152"/>
      <c r="B5017" s="27" t="s">
        <v>2131</v>
      </c>
      <c r="C5017" s="27">
        <v>5046</v>
      </c>
      <c r="D5017" s="14" t="s">
        <v>1592</v>
      </c>
      <c r="E5017" s="112"/>
      <c r="F5017" s="139" t="s">
        <v>14908</v>
      </c>
      <c r="G5017" s="140"/>
      <c r="H5017" s="141"/>
      <c r="I5017" s="26">
        <v>80242</v>
      </c>
      <c r="J5017" s="117"/>
      <c r="K5017" s="120"/>
      <c r="L5017" s="121"/>
      <c r="M5017" s="120"/>
      <c r="N5017" s="121"/>
      <c r="O5017" s="120"/>
      <c r="P5017" s="121"/>
      <c r="Q5017" s="120"/>
      <c r="R5017" s="121"/>
      <c r="S5017" s="120"/>
      <c r="T5017" s="121"/>
      <c r="U5017" s="120"/>
      <c r="V5017" s="123"/>
      <c r="W5017" s="125"/>
      <c r="X5017" s="142" t="s">
        <v>12246</v>
      </c>
      <c r="Y5017" s="143"/>
      <c r="Z5017" s="143"/>
      <c r="AA5017" s="143"/>
      <c r="AB5017" s="144"/>
      <c r="AC5017" s="16" t="s">
        <v>21</v>
      </c>
      <c r="AD5017" s="17" t="s">
        <v>15379</v>
      </c>
      <c r="AE5017" s="145" t="s">
        <v>7855</v>
      </c>
      <c r="AF5017" s="146"/>
      <c r="AG5017" s="146"/>
      <c r="AH5017" s="146"/>
      <c r="AI5017" s="147"/>
      <c r="AJ5017" s="148"/>
      <c r="AK5017" s="143"/>
      <c r="AL5017" s="144"/>
      <c r="AM5017" s="22"/>
      <c r="AN5017" s="149" t="s">
        <v>2511</v>
      </c>
      <c r="AO5017" s="144"/>
      <c r="AP5017" s="148">
        <v>80342</v>
      </c>
      <c r="AQ5017" s="144"/>
      <c r="AR5017" s="120"/>
      <c r="AS5017" s="121"/>
      <c r="AT5017" s="120"/>
      <c r="AU5017" s="121"/>
      <c r="AV5017" s="120"/>
      <c r="AW5017" s="121"/>
      <c r="AX5017" s="120"/>
      <c r="AY5017" s="121"/>
      <c r="AZ5017" s="138"/>
    </row>
    <row r="5018" spans="1:52" ht="17.100000000000001" customHeight="1" thickTop="1">
      <c r="A5018" s="109" t="s">
        <v>14940</v>
      </c>
      <c r="B5018" s="28">
        <v>46035</v>
      </c>
      <c r="C5018" s="25">
        <v>1924</v>
      </c>
      <c r="D5018" s="13" t="s">
        <v>2001</v>
      </c>
      <c r="E5018" s="111"/>
      <c r="F5018" s="113" t="s">
        <v>13157</v>
      </c>
      <c r="G5018" s="114"/>
      <c r="H5018" s="115"/>
      <c r="I5018" s="24"/>
      <c r="J5018" s="116">
        <v>4.5</v>
      </c>
      <c r="K5018" s="118">
        <v>693000</v>
      </c>
      <c r="L5018" s="119"/>
      <c r="M5018" s="118">
        <f t="shared" ref="M5018" si="5990">K5018*0.1</f>
        <v>69300</v>
      </c>
      <c r="N5018" s="119"/>
      <c r="O5018" s="118">
        <v>0</v>
      </c>
      <c r="P5018" s="119"/>
      <c r="Q5018" s="118">
        <v>6550</v>
      </c>
      <c r="R5018" s="119"/>
      <c r="S5018" s="118">
        <v>15950</v>
      </c>
      <c r="T5018" s="119"/>
      <c r="U5018" s="118">
        <f t="shared" ref="U5018" si="5991">SUM(K5018:T5019)</f>
        <v>784800</v>
      </c>
      <c r="V5018" s="122"/>
      <c r="W5018" s="124"/>
      <c r="X5018" s="126" t="s">
        <v>15397</v>
      </c>
      <c r="Y5018" s="127"/>
      <c r="Z5018" s="127"/>
      <c r="AA5018" s="127"/>
      <c r="AB5018" s="128"/>
      <c r="AC5018" s="15" t="s">
        <v>20</v>
      </c>
      <c r="AD5018" s="129" t="s">
        <v>2395</v>
      </c>
      <c r="AE5018" s="130"/>
      <c r="AF5018" s="130"/>
      <c r="AG5018" s="130"/>
      <c r="AH5018" s="130"/>
      <c r="AI5018" s="131"/>
      <c r="AJ5018" s="132"/>
      <c r="AK5018" s="127"/>
      <c r="AL5018" s="128"/>
      <c r="AM5018" s="21"/>
      <c r="AN5018" s="133">
        <v>46067</v>
      </c>
      <c r="AO5018" s="134"/>
      <c r="AP5018" s="135">
        <v>1288</v>
      </c>
      <c r="AQ5018" s="136"/>
      <c r="AR5018" s="118">
        <v>850000</v>
      </c>
      <c r="AS5018" s="119"/>
      <c r="AT5018" s="118">
        <f t="shared" ref="AT5018" si="5992">AR5018*0.1</f>
        <v>85000</v>
      </c>
      <c r="AU5018" s="119"/>
      <c r="AV5018" s="118">
        <v>6550</v>
      </c>
      <c r="AW5018" s="119"/>
      <c r="AX5018" s="118">
        <f t="shared" ref="AX5018" si="5993">SUM(AR5018:AW5018)</f>
        <v>941550</v>
      </c>
      <c r="AY5018" s="119"/>
      <c r="AZ5018" s="137">
        <v>46070</v>
      </c>
    </row>
    <row r="5019" spans="1:52" ht="17.100000000000001" customHeight="1" thickBot="1">
      <c r="A5019" s="110"/>
      <c r="B5019" s="27" t="s">
        <v>2131</v>
      </c>
      <c r="C5019" s="27">
        <v>5442</v>
      </c>
      <c r="D5019" s="14" t="s">
        <v>1720</v>
      </c>
      <c r="E5019" s="112"/>
      <c r="F5019" s="139" t="s">
        <v>14866</v>
      </c>
      <c r="G5019" s="140"/>
      <c r="H5019" s="141"/>
      <c r="I5019" s="26">
        <v>17004</v>
      </c>
      <c r="J5019" s="117"/>
      <c r="K5019" s="120"/>
      <c r="L5019" s="121"/>
      <c r="M5019" s="120"/>
      <c r="N5019" s="121"/>
      <c r="O5019" s="120"/>
      <c r="P5019" s="121"/>
      <c r="Q5019" s="120"/>
      <c r="R5019" s="121"/>
      <c r="S5019" s="120"/>
      <c r="T5019" s="121"/>
      <c r="U5019" s="120"/>
      <c r="V5019" s="123"/>
      <c r="W5019" s="125"/>
      <c r="X5019" s="142" t="s">
        <v>5254</v>
      </c>
      <c r="Y5019" s="143"/>
      <c r="Z5019" s="143"/>
      <c r="AA5019" s="143"/>
      <c r="AB5019" s="144"/>
      <c r="AC5019" s="16" t="s">
        <v>21</v>
      </c>
      <c r="AD5019" s="17" t="s">
        <v>15379</v>
      </c>
      <c r="AE5019" s="145" t="s">
        <v>2395</v>
      </c>
      <c r="AF5019" s="146"/>
      <c r="AG5019" s="146"/>
      <c r="AH5019" s="146"/>
      <c r="AI5019" s="147"/>
      <c r="AJ5019" s="148"/>
      <c r="AK5019" s="143"/>
      <c r="AL5019" s="144"/>
      <c r="AM5019" s="22"/>
      <c r="AN5019" s="149" t="s">
        <v>2511</v>
      </c>
      <c r="AO5019" s="144"/>
      <c r="AP5019" s="148">
        <v>60071</v>
      </c>
      <c r="AQ5019" s="144"/>
      <c r="AR5019" s="120"/>
      <c r="AS5019" s="121"/>
      <c r="AT5019" s="120"/>
      <c r="AU5019" s="121"/>
      <c r="AV5019" s="120"/>
      <c r="AW5019" s="121"/>
      <c r="AX5019" s="120"/>
      <c r="AY5019" s="121"/>
      <c r="AZ5019" s="138"/>
    </row>
    <row r="5020" spans="1:52" ht="17.100000000000001" customHeight="1" thickTop="1">
      <c r="A5020" s="109" t="s">
        <v>14941</v>
      </c>
      <c r="B5020" s="28">
        <v>46035</v>
      </c>
      <c r="C5020" s="25">
        <v>1924</v>
      </c>
      <c r="D5020" s="13" t="s">
        <v>1549</v>
      </c>
      <c r="E5020" s="111"/>
      <c r="F5020" s="113" t="s">
        <v>14867</v>
      </c>
      <c r="G5020" s="114"/>
      <c r="H5020" s="115"/>
      <c r="I5020" s="24"/>
      <c r="J5020" s="116">
        <v>4</v>
      </c>
      <c r="K5020" s="118">
        <v>661000</v>
      </c>
      <c r="L5020" s="119"/>
      <c r="M5020" s="118">
        <f t="shared" ref="M5020" si="5994">K5020*0.1</f>
        <v>66100</v>
      </c>
      <c r="N5020" s="119"/>
      <c r="O5020" s="118">
        <v>0</v>
      </c>
      <c r="P5020" s="119"/>
      <c r="Q5020" s="118">
        <v>9810</v>
      </c>
      <c r="R5020" s="119"/>
      <c r="S5020" s="118">
        <v>15950</v>
      </c>
      <c r="T5020" s="119"/>
      <c r="U5020" s="118">
        <f t="shared" ref="U5020" si="5995">SUM(K5020:T5021)</f>
        <v>752860</v>
      </c>
      <c r="V5020" s="122"/>
      <c r="W5020" s="124"/>
      <c r="X5020" s="126" t="s">
        <v>15400</v>
      </c>
      <c r="Y5020" s="127"/>
      <c r="Z5020" s="127"/>
      <c r="AA5020" s="127"/>
      <c r="AB5020" s="128"/>
      <c r="AC5020" s="15" t="s">
        <v>20</v>
      </c>
      <c r="AD5020" s="129"/>
      <c r="AE5020" s="130"/>
      <c r="AF5020" s="130"/>
      <c r="AG5020" s="130"/>
      <c r="AH5020" s="130"/>
      <c r="AI5020" s="131"/>
      <c r="AJ5020" s="132"/>
      <c r="AK5020" s="127"/>
      <c r="AL5020" s="128"/>
      <c r="AM5020" s="21"/>
      <c r="AN5020" s="133">
        <v>46050</v>
      </c>
      <c r="AO5020" s="134"/>
      <c r="AP5020" s="135">
        <v>1002</v>
      </c>
      <c r="AQ5020" s="136"/>
      <c r="AR5020" s="118">
        <v>700000</v>
      </c>
      <c r="AS5020" s="119"/>
      <c r="AT5020" s="118">
        <f t="shared" ref="AT5020" si="5996">AR5020*0.1</f>
        <v>70000</v>
      </c>
      <c r="AU5020" s="119"/>
      <c r="AV5020" s="118">
        <v>9810</v>
      </c>
      <c r="AW5020" s="119"/>
      <c r="AX5020" s="118">
        <f t="shared" ref="AX5020" si="5997">SUM(AR5020:AW5020)</f>
        <v>779810</v>
      </c>
      <c r="AY5020" s="119"/>
      <c r="AZ5020" s="137">
        <v>46055</v>
      </c>
    </row>
    <row r="5021" spans="1:52" ht="17.100000000000001" customHeight="1" thickBot="1">
      <c r="A5021" s="110"/>
      <c r="B5021" s="27" t="s">
        <v>2131</v>
      </c>
      <c r="C5021" s="27">
        <v>5461</v>
      </c>
      <c r="D5021" s="14" t="s">
        <v>275</v>
      </c>
      <c r="E5021" s="112"/>
      <c r="F5021" s="139" t="s">
        <v>14868</v>
      </c>
      <c r="G5021" s="140"/>
      <c r="H5021" s="141"/>
      <c r="I5021" s="26">
        <v>94403</v>
      </c>
      <c r="J5021" s="117"/>
      <c r="K5021" s="120"/>
      <c r="L5021" s="121"/>
      <c r="M5021" s="120"/>
      <c r="N5021" s="121"/>
      <c r="O5021" s="120"/>
      <c r="P5021" s="121"/>
      <c r="Q5021" s="120"/>
      <c r="R5021" s="121"/>
      <c r="S5021" s="120"/>
      <c r="T5021" s="121"/>
      <c r="U5021" s="120"/>
      <c r="V5021" s="123"/>
      <c r="W5021" s="125"/>
      <c r="X5021" s="142" t="s">
        <v>10732</v>
      </c>
      <c r="Y5021" s="143"/>
      <c r="Z5021" s="143"/>
      <c r="AA5021" s="143"/>
      <c r="AB5021" s="144"/>
      <c r="AC5021" s="16" t="s">
        <v>21</v>
      </c>
      <c r="AD5021" s="17" t="s">
        <v>15379</v>
      </c>
      <c r="AE5021" s="145" t="s">
        <v>15058</v>
      </c>
      <c r="AF5021" s="146"/>
      <c r="AG5021" s="146"/>
      <c r="AH5021" s="146"/>
      <c r="AI5021" s="147"/>
      <c r="AJ5021" s="148"/>
      <c r="AK5021" s="143"/>
      <c r="AL5021" s="144"/>
      <c r="AM5021" s="22"/>
      <c r="AN5021" s="149" t="s">
        <v>2794</v>
      </c>
      <c r="AO5021" s="144"/>
      <c r="AP5021" s="148">
        <v>5176</v>
      </c>
      <c r="AQ5021" s="144"/>
      <c r="AR5021" s="120"/>
      <c r="AS5021" s="121"/>
      <c r="AT5021" s="120"/>
      <c r="AU5021" s="121"/>
      <c r="AV5021" s="120"/>
      <c r="AW5021" s="121"/>
      <c r="AX5021" s="120"/>
      <c r="AY5021" s="121"/>
      <c r="AZ5021" s="138"/>
    </row>
    <row r="5022" spans="1:52" ht="17.100000000000001" customHeight="1" thickTop="1">
      <c r="A5022" s="109" t="s">
        <v>14942</v>
      </c>
      <c r="B5022" s="28">
        <v>46035</v>
      </c>
      <c r="C5022" s="25">
        <v>802</v>
      </c>
      <c r="D5022" s="13" t="s">
        <v>2442</v>
      </c>
      <c r="E5022" s="111"/>
      <c r="F5022" s="113" t="s">
        <v>4483</v>
      </c>
      <c r="G5022" s="114"/>
      <c r="H5022" s="115"/>
      <c r="I5022" s="24"/>
      <c r="J5022" s="116">
        <v>4</v>
      </c>
      <c r="K5022" s="118">
        <v>701000</v>
      </c>
      <c r="L5022" s="119"/>
      <c r="M5022" s="118">
        <f t="shared" ref="M5022" si="5998">K5022*0.1</f>
        <v>70100</v>
      </c>
      <c r="N5022" s="119"/>
      <c r="O5022" s="118">
        <v>0</v>
      </c>
      <c r="P5022" s="119"/>
      <c r="Q5022" s="118">
        <v>8400</v>
      </c>
      <c r="R5022" s="119"/>
      <c r="S5022" s="118">
        <v>15950</v>
      </c>
      <c r="T5022" s="119"/>
      <c r="U5022" s="118">
        <f t="shared" ref="U5022" si="5999">SUM(K5022:T5023)</f>
        <v>795450</v>
      </c>
      <c r="V5022" s="122"/>
      <c r="W5022" s="124"/>
      <c r="X5022" s="126" t="s">
        <v>15387</v>
      </c>
      <c r="Y5022" s="127"/>
      <c r="Z5022" s="127"/>
      <c r="AA5022" s="127"/>
      <c r="AB5022" s="128"/>
      <c r="AC5022" s="15" t="s">
        <v>20</v>
      </c>
      <c r="AD5022" s="129" t="s">
        <v>2930</v>
      </c>
      <c r="AE5022" s="130"/>
      <c r="AF5022" s="130"/>
      <c r="AG5022" s="130"/>
      <c r="AH5022" s="130"/>
      <c r="AI5022" s="131"/>
      <c r="AJ5022" s="132"/>
      <c r="AK5022" s="127"/>
      <c r="AL5022" s="128"/>
      <c r="AM5022" s="21"/>
      <c r="AN5022" s="133">
        <v>46067</v>
      </c>
      <c r="AO5022" s="134"/>
      <c r="AP5022" s="135">
        <v>1288</v>
      </c>
      <c r="AQ5022" s="136"/>
      <c r="AR5022" s="118">
        <v>790000</v>
      </c>
      <c r="AS5022" s="119"/>
      <c r="AT5022" s="118">
        <f t="shared" ref="AT5022" si="6000">AR5022*0.1</f>
        <v>79000</v>
      </c>
      <c r="AU5022" s="119"/>
      <c r="AV5022" s="118">
        <v>8400</v>
      </c>
      <c r="AW5022" s="119"/>
      <c r="AX5022" s="118">
        <f t="shared" ref="AX5022" si="6001">SUM(AR5022:AW5022)</f>
        <v>877400</v>
      </c>
      <c r="AY5022" s="119"/>
      <c r="AZ5022" s="137">
        <v>46070</v>
      </c>
    </row>
    <row r="5023" spans="1:52" ht="17.100000000000001" customHeight="1" thickBot="1">
      <c r="A5023" s="110"/>
      <c r="B5023" s="27" t="s">
        <v>3367</v>
      </c>
      <c r="C5023" s="27">
        <v>3061</v>
      </c>
      <c r="D5023" s="14" t="s">
        <v>2206</v>
      </c>
      <c r="E5023" s="112"/>
      <c r="F5023" s="139" t="s">
        <v>14869</v>
      </c>
      <c r="G5023" s="140"/>
      <c r="H5023" s="141"/>
      <c r="I5023" s="26">
        <v>37759</v>
      </c>
      <c r="J5023" s="117"/>
      <c r="K5023" s="120"/>
      <c r="L5023" s="121"/>
      <c r="M5023" s="120"/>
      <c r="N5023" s="121"/>
      <c r="O5023" s="120"/>
      <c r="P5023" s="121"/>
      <c r="Q5023" s="120"/>
      <c r="R5023" s="121"/>
      <c r="S5023" s="120"/>
      <c r="T5023" s="121"/>
      <c r="U5023" s="120"/>
      <c r="V5023" s="123"/>
      <c r="W5023" s="125"/>
      <c r="X5023" s="142" t="s">
        <v>15388</v>
      </c>
      <c r="Y5023" s="143"/>
      <c r="Z5023" s="143"/>
      <c r="AA5023" s="143"/>
      <c r="AB5023" s="144"/>
      <c r="AC5023" s="16" t="s">
        <v>21</v>
      </c>
      <c r="AD5023" s="17" t="s">
        <v>15379</v>
      </c>
      <c r="AE5023" s="145" t="s">
        <v>1742</v>
      </c>
      <c r="AF5023" s="146"/>
      <c r="AG5023" s="146"/>
      <c r="AH5023" s="146"/>
      <c r="AI5023" s="147"/>
      <c r="AJ5023" s="148"/>
      <c r="AK5023" s="143"/>
      <c r="AL5023" s="144"/>
      <c r="AM5023" s="22"/>
      <c r="AN5023" s="149" t="s">
        <v>2511</v>
      </c>
      <c r="AO5023" s="144"/>
      <c r="AP5023" s="148">
        <v>60277</v>
      </c>
      <c r="AQ5023" s="144"/>
      <c r="AR5023" s="120"/>
      <c r="AS5023" s="121"/>
      <c r="AT5023" s="120"/>
      <c r="AU5023" s="121"/>
      <c r="AV5023" s="120"/>
      <c r="AW5023" s="121"/>
      <c r="AX5023" s="120"/>
      <c r="AY5023" s="121"/>
      <c r="AZ5023" s="138"/>
    </row>
    <row r="5024" spans="1:52" ht="17.100000000000001" customHeight="1" thickTop="1">
      <c r="A5024" s="109" t="s">
        <v>14943</v>
      </c>
      <c r="B5024" s="28">
        <v>46035</v>
      </c>
      <c r="C5024" s="25">
        <v>802</v>
      </c>
      <c r="D5024" s="13" t="s">
        <v>2606</v>
      </c>
      <c r="E5024" s="111"/>
      <c r="F5024" s="113" t="s">
        <v>14870</v>
      </c>
      <c r="G5024" s="114"/>
      <c r="H5024" s="115"/>
      <c r="I5024" s="24"/>
      <c r="J5024" s="116">
        <v>4</v>
      </c>
      <c r="K5024" s="118">
        <v>628000</v>
      </c>
      <c r="L5024" s="119"/>
      <c r="M5024" s="118">
        <f t="shared" ref="M5024" si="6002">K5024*0.1</f>
        <v>62800</v>
      </c>
      <c r="N5024" s="119"/>
      <c r="O5024" s="118">
        <v>0</v>
      </c>
      <c r="P5024" s="119"/>
      <c r="Q5024" s="118">
        <v>8400</v>
      </c>
      <c r="R5024" s="119"/>
      <c r="S5024" s="118">
        <v>15950</v>
      </c>
      <c r="T5024" s="119"/>
      <c r="U5024" s="118">
        <f t="shared" ref="U5024" si="6003">SUM(K5024:T5025)</f>
        <v>715150</v>
      </c>
      <c r="V5024" s="122"/>
      <c r="W5024" s="124"/>
      <c r="X5024" s="126" t="s">
        <v>15386</v>
      </c>
      <c r="Y5024" s="127"/>
      <c r="Z5024" s="127"/>
      <c r="AA5024" s="127"/>
      <c r="AB5024" s="128"/>
      <c r="AC5024" s="15" t="s">
        <v>20</v>
      </c>
      <c r="AD5024" s="129"/>
      <c r="AE5024" s="130"/>
      <c r="AF5024" s="130"/>
      <c r="AG5024" s="130"/>
      <c r="AH5024" s="130"/>
      <c r="AI5024" s="131"/>
      <c r="AJ5024" s="132"/>
      <c r="AK5024" s="127"/>
      <c r="AL5024" s="128"/>
      <c r="AM5024" s="21"/>
      <c r="AN5024" s="133">
        <v>46060</v>
      </c>
      <c r="AO5024" s="134"/>
      <c r="AP5024" s="135">
        <v>1287</v>
      </c>
      <c r="AQ5024" s="136"/>
      <c r="AR5024" s="118">
        <v>700000</v>
      </c>
      <c r="AS5024" s="119"/>
      <c r="AT5024" s="118">
        <f t="shared" ref="AT5024" si="6004">AR5024*0.1</f>
        <v>70000</v>
      </c>
      <c r="AU5024" s="119"/>
      <c r="AV5024" s="118">
        <v>8400</v>
      </c>
      <c r="AW5024" s="119"/>
      <c r="AX5024" s="118">
        <f t="shared" ref="AX5024" si="6005">SUM(AR5024:AW5024)</f>
        <v>778400</v>
      </c>
      <c r="AY5024" s="119"/>
      <c r="AZ5024" s="137">
        <v>46070</v>
      </c>
    </row>
    <row r="5025" spans="1:52" ht="17.100000000000001" customHeight="1" thickBot="1">
      <c r="A5025" s="110"/>
      <c r="B5025" s="27" t="s">
        <v>3367</v>
      </c>
      <c r="C5025" s="27">
        <v>3086</v>
      </c>
      <c r="D5025" s="14" t="s">
        <v>1592</v>
      </c>
      <c r="E5025" s="112"/>
      <c r="F5025" s="139" t="s">
        <v>14871</v>
      </c>
      <c r="G5025" s="140"/>
      <c r="H5025" s="141"/>
      <c r="I5025" s="26">
        <v>36623</v>
      </c>
      <c r="J5025" s="117"/>
      <c r="K5025" s="120"/>
      <c r="L5025" s="121"/>
      <c r="M5025" s="120"/>
      <c r="N5025" s="121"/>
      <c r="O5025" s="120"/>
      <c r="P5025" s="121"/>
      <c r="Q5025" s="120"/>
      <c r="R5025" s="121"/>
      <c r="S5025" s="120"/>
      <c r="T5025" s="121"/>
      <c r="U5025" s="120"/>
      <c r="V5025" s="123"/>
      <c r="W5025" s="125"/>
      <c r="X5025" s="142" t="s">
        <v>4912</v>
      </c>
      <c r="Y5025" s="143"/>
      <c r="Z5025" s="143"/>
      <c r="AA5025" s="143"/>
      <c r="AB5025" s="144"/>
      <c r="AC5025" s="16" t="s">
        <v>21</v>
      </c>
      <c r="AD5025" s="17" t="s">
        <v>15379</v>
      </c>
      <c r="AE5025" s="145"/>
      <c r="AF5025" s="146"/>
      <c r="AG5025" s="146"/>
      <c r="AH5025" s="146"/>
      <c r="AI5025" s="147"/>
      <c r="AJ5025" s="148"/>
      <c r="AK5025" s="143"/>
      <c r="AL5025" s="144"/>
      <c r="AM5025" s="22"/>
      <c r="AN5025" s="149" t="s">
        <v>17611</v>
      </c>
      <c r="AO5025" s="144"/>
      <c r="AP5025" s="148">
        <v>60064</v>
      </c>
      <c r="AQ5025" s="144"/>
      <c r="AR5025" s="120"/>
      <c r="AS5025" s="121"/>
      <c r="AT5025" s="120"/>
      <c r="AU5025" s="121"/>
      <c r="AV5025" s="120"/>
      <c r="AW5025" s="121"/>
      <c r="AX5025" s="120"/>
      <c r="AY5025" s="121"/>
      <c r="AZ5025" s="138"/>
    </row>
    <row r="5026" spans="1:52" ht="17.100000000000001" customHeight="1" thickTop="1">
      <c r="A5026" s="151" t="s">
        <v>14944</v>
      </c>
      <c r="B5026" s="28">
        <v>46035</v>
      </c>
      <c r="C5026" s="25">
        <v>802</v>
      </c>
      <c r="D5026" s="13" t="s">
        <v>818</v>
      </c>
      <c r="E5026" s="111"/>
      <c r="F5026" s="113" t="s">
        <v>14872</v>
      </c>
      <c r="G5026" s="114"/>
      <c r="H5026" s="115"/>
      <c r="I5026" s="24" t="s">
        <v>1559</v>
      </c>
      <c r="J5026" s="116">
        <v>4</v>
      </c>
      <c r="K5026" s="118">
        <v>2098000</v>
      </c>
      <c r="L5026" s="119"/>
      <c r="M5026" s="118">
        <f t="shared" ref="M5026" si="6006">K5026*0.1</f>
        <v>209800</v>
      </c>
      <c r="N5026" s="119"/>
      <c r="O5026" s="118">
        <v>6600</v>
      </c>
      <c r="P5026" s="119"/>
      <c r="Q5026" s="118">
        <v>13890</v>
      </c>
      <c r="R5026" s="119"/>
      <c r="S5026" s="118">
        <v>15950</v>
      </c>
      <c r="T5026" s="119"/>
      <c r="U5026" s="118">
        <f t="shared" ref="U5026" si="6007">SUM(K5026:T5027)</f>
        <v>2344240</v>
      </c>
      <c r="V5026" s="122"/>
      <c r="W5026" s="124"/>
      <c r="X5026" s="126" t="s">
        <v>14874</v>
      </c>
      <c r="Y5026" s="127"/>
      <c r="Z5026" s="127"/>
      <c r="AA5026" s="127"/>
      <c r="AB5026" s="128"/>
      <c r="AC5026" s="15" t="s">
        <v>20</v>
      </c>
      <c r="AD5026" s="129" t="s">
        <v>171</v>
      </c>
      <c r="AE5026" s="130"/>
      <c r="AF5026" s="130"/>
      <c r="AG5026" s="130"/>
      <c r="AH5026" s="130"/>
      <c r="AI5026" s="131"/>
      <c r="AJ5026" s="132"/>
      <c r="AK5026" s="127"/>
      <c r="AL5026" s="128"/>
      <c r="AM5026" s="21"/>
      <c r="AN5026" s="133">
        <v>46039</v>
      </c>
      <c r="AO5026" s="134"/>
      <c r="AP5026" s="135">
        <v>1284</v>
      </c>
      <c r="AQ5026" s="136"/>
      <c r="AR5026" s="118">
        <v>2215000</v>
      </c>
      <c r="AS5026" s="119"/>
      <c r="AT5026" s="118">
        <f t="shared" ref="AT5026" si="6008">AR5026*0.1</f>
        <v>221500</v>
      </c>
      <c r="AU5026" s="119"/>
      <c r="AV5026" s="118">
        <v>13890</v>
      </c>
      <c r="AW5026" s="119"/>
      <c r="AX5026" s="118">
        <f t="shared" ref="AX5026" si="6009">SUM(AR5026:AW5026)</f>
        <v>2450390</v>
      </c>
      <c r="AY5026" s="119"/>
      <c r="AZ5026" s="137">
        <v>46044</v>
      </c>
    </row>
    <row r="5027" spans="1:52" ht="17.100000000000001" customHeight="1" thickBot="1">
      <c r="A5027" s="152"/>
      <c r="B5027" s="27" t="s">
        <v>3367</v>
      </c>
      <c r="C5027" s="27">
        <v>70081</v>
      </c>
      <c r="D5027" s="14" t="s">
        <v>275</v>
      </c>
      <c r="E5027" s="112"/>
      <c r="F5027" s="139" t="s">
        <v>14873</v>
      </c>
      <c r="G5027" s="140"/>
      <c r="H5027" s="141"/>
      <c r="I5027" s="26">
        <v>18469</v>
      </c>
      <c r="J5027" s="117"/>
      <c r="K5027" s="120"/>
      <c r="L5027" s="121"/>
      <c r="M5027" s="120"/>
      <c r="N5027" s="121"/>
      <c r="O5027" s="120"/>
      <c r="P5027" s="121"/>
      <c r="Q5027" s="120"/>
      <c r="R5027" s="121"/>
      <c r="S5027" s="120"/>
      <c r="T5027" s="121"/>
      <c r="U5027" s="120"/>
      <c r="V5027" s="123"/>
      <c r="W5027" s="125"/>
      <c r="X5027" s="142" t="s">
        <v>14043</v>
      </c>
      <c r="Y5027" s="143"/>
      <c r="Z5027" s="143"/>
      <c r="AA5027" s="143"/>
      <c r="AB5027" s="144"/>
      <c r="AC5027" s="16" t="s">
        <v>21</v>
      </c>
      <c r="AD5027" s="17" t="s">
        <v>15379</v>
      </c>
      <c r="AE5027" s="145" t="s">
        <v>171</v>
      </c>
      <c r="AF5027" s="146"/>
      <c r="AG5027" s="146"/>
      <c r="AH5027" s="146"/>
      <c r="AI5027" s="147"/>
      <c r="AJ5027" s="148"/>
      <c r="AK5027" s="143"/>
      <c r="AL5027" s="144"/>
      <c r="AM5027" s="22"/>
      <c r="AN5027" s="149" t="s">
        <v>2511</v>
      </c>
      <c r="AO5027" s="144"/>
      <c r="AP5027" s="148">
        <v>80340</v>
      </c>
      <c r="AQ5027" s="144"/>
      <c r="AR5027" s="120"/>
      <c r="AS5027" s="121"/>
      <c r="AT5027" s="120"/>
      <c r="AU5027" s="121"/>
      <c r="AV5027" s="120"/>
      <c r="AW5027" s="121"/>
      <c r="AX5027" s="120"/>
      <c r="AY5027" s="121"/>
      <c r="AZ5027" s="138"/>
    </row>
    <row r="5028" spans="1:52" ht="17.100000000000001" customHeight="1" thickTop="1">
      <c r="A5028" s="151" t="s">
        <v>14945</v>
      </c>
      <c r="B5028" s="28">
        <v>46035</v>
      </c>
      <c r="C5028" s="25">
        <v>922</v>
      </c>
      <c r="D5028" s="13" t="s">
        <v>2681</v>
      </c>
      <c r="E5028" s="111"/>
      <c r="F5028" s="113" t="s">
        <v>5369</v>
      </c>
      <c r="G5028" s="114"/>
      <c r="H5028" s="115"/>
      <c r="I5028" s="24" t="s">
        <v>2064</v>
      </c>
      <c r="J5028" s="116">
        <v>4</v>
      </c>
      <c r="K5028" s="118">
        <v>510000</v>
      </c>
      <c r="L5028" s="119"/>
      <c r="M5028" s="118">
        <f t="shared" ref="M5028" si="6010">K5028*0.1</f>
        <v>51000</v>
      </c>
      <c r="N5028" s="119"/>
      <c r="O5028" s="118">
        <v>0</v>
      </c>
      <c r="P5028" s="119"/>
      <c r="Q5028" s="118">
        <v>6470</v>
      </c>
      <c r="R5028" s="119"/>
      <c r="S5028" s="118">
        <v>15950</v>
      </c>
      <c r="T5028" s="119"/>
      <c r="U5028" s="118">
        <f t="shared" ref="U5028" si="6011">SUM(K5028:T5029)</f>
        <v>583420</v>
      </c>
      <c r="V5028" s="122"/>
      <c r="W5028" s="124"/>
      <c r="X5028" s="126" t="s">
        <v>14910</v>
      </c>
      <c r="Y5028" s="127"/>
      <c r="Z5028" s="127"/>
      <c r="AA5028" s="127"/>
      <c r="AB5028" s="128"/>
      <c r="AC5028" s="15" t="s">
        <v>20</v>
      </c>
      <c r="AD5028" s="129" t="s">
        <v>1670</v>
      </c>
      <c r="AE5028" s="130"/>
      <c r="AF5028" s="130"/>
      <c r="AG5028" s="130"/>
      <c r="AH5028" s="130"/>
      <c r="AI5028" s="131"/>
      <c r="AJ5028" s="132"/>
      <c r="AK5028" s="127"/>
      <c r="AL5028" s="128"/>
      <c r="AM5028" s="21"/>
      <c r="AN5028" s="133">
        <v>46039</v>
      </c>
      <c r="AO5028" s="134"/>
      <c r="AP5028" s="135">
        <v>1284</v>
      </c>
      <c r="AQ5028" s="136"/>
      <c r="AR5028" s="118">
        <v>555000</v>
      </c>
      <c r="AS5028" s="119"/>
      <c r="AT5028" s="118">
        <f t="shared" ref="AT5028" si="6012">AR5028*0.1</f>
        <v>55500</v>
      </c>
      <c r="AU5028" s="119"/>
      <c r="AV5028" s="118">
        <v>6470</v>
      </c>
      <c r="AW5028" s="119"/>
      <c r="AX5028" s="118">
        <f t="shared" ref="AX5028" si="6013">SUM(AR5028:AW5028)</f>
        <v>616970</v>
      </c>
      <c r="AY5028" s="119"/>
      <c r="AZ5028" s="137">
        <v>46044</v>
      </c>
    </row>
    <row r="5029" spans="1:52" ht="17.100000000000001" customHeight="1" thickBot="1">
      <c r="A5029" s="152"/>
      <c r="B5029" s="27" t="s">
        <v>2699</v>
      </c>
      <c r="C5029" s="27">
        <v>3102</v>
      </c>
      <c r="D5029" s="14" t="s">
        <v>275</v>
      </c>
      <c r="E5029" s="112"/>
      <c r="F5029" s="139" t="s">
        <v>14909</v>
      </c>
      <c r="G5029" s="140"/>
      <c r="H5029" s="141"/>
      <c r="I5029" s="26">
        <v>51996</v>
      </c>
      <c r="J5029" s="117"/>
      <c r="K5029" s="120"/>
      <c r="L5029" s="121"/>
      <c r="M5029" s="120"/>
      <c r="N5029" s="121"/>
      <c r="O5029" s="120"/>
      <c r="P5029" s="121"/>
      <c r="Q5029" s="120"/>
      <c r="R5029" s="121"/>
      <c r="S5029" s="120"/>
      <c r="T5029" s="121"/>
      <c r="U5029" s="120"/>
      <c r="V5029" s="123"/>
      <c r="W5029" s="125"/>
      <c r="X5029" s="142" t="s">
        <v>15409</v>
      </c>
      <c r="Y5029" s="143"/>
      <c r="Z5029" s="143"/>
      <c r="AA5029" s="143"/>
      <c r="AB5029" s="144"/>
      <c r="AC5029" s="16" t="s">
        <v>21</v>
      </c>
      <c r="AD5029" s="17" t="s">
        <v>15379</v>
      </c>
      <c r="AE5029" s="145" t="s">
        <v>11427</v>
      </c>
      <c r="AF5029" s="146"/>
      <c r="AG5029" s="146"/>
      <c r="AH5029" s="146"/>
      <c r="AI5029" s="147"/>
      <c r="AJ5029" s="148"/>
      <c r="AK5029" s="143"/>
      <c r="AL5029" s="144"/>
      <c r="AM5029" s="22"/>
      <c r="AN5029" s="149" t="s">
        <v>2511</v>
      </c>
      <c r="AO5029" s="144"/>
      <c r="AP5029" s="148">
        <v>60356</v>
      </c>
      <c r="AQ5029" s="144"/>
      <c r="AR5029" s="120"/>
      <c r="AS5029" s="121"/>
      <c r="AT5029" s="120"/>
      <c r="AU5029" s="121"/>
      <c r="AV5029" s="120"/>
      <c r="AW5029" s="121"/>
      <c r="AX5029" s="120"/>
      <c r="AY5029" s="121"/>
      <c r="AZ5029" s="138"/>
    </row>
    <row r="5030" spans="1:52" ht="17.100000000000001" customHeight="1" thickTop="1">
      <c r="A5030" s="109" t="s">
        <v>14946</v>
      </c>
      <c r="B5030" s="28">
        <v>46035</v>
      </c>
      <c r="C5030" s="25">
        <v>922</v>
      </c>
      <c r="D5030" s="13" t="s">
        <v>859</v>
      </c>
      <c r="E5030" s="111"/>
      <c r="F5030" s="113" t="s">
        <v>3590</v>
      </c>
      <c r="G5030" s="114"/>
      <c r="H5030" s="115"/>
      <c r="I5030" s="24" t="s">
        <v>3923</v>
      </c>
      <c r="J5030" s="116">
        <v>5</v>
      </c>
      <c r="K5030" s="118">
        <v>1023000</v>
      </c>
      <c r="L5030" s="119"/>
      <c r="M5030" s="118">
        <f t="shared" ref="M5030" si="6014">K5030*0.1</f>
        <v>102300</v>
      </c>
      <c r="N5030" s="119"/>
      <c r="O5030" s="118">
        <v>0</v>
      </c>
      <c r="P5030" s="119"/>
      <c r="Q5030" s="118">
        <v>5340</v>
      </c>
      <c r="R5030" s="119"/>
      <c r="S5030" s="118">
        <v>15950</v>
      </c>
      <c r="T5030" s="119"/>
      <c r="U5030" s="118">
        <f t="shared" ref="U5030" si="6015">SUM(K5030:T5031)</f>
        <v>1146590</v>
      </c>
      <c r="V5030" s="122"/>
      <c r="W5030" s="124"/>
      <c r="X5030" s="126" t="s">
        <v>14913</v>
      </c>
      <c r="Y5030" s="127"/>
      <c r="Z5030" s="127"/>
      <c r="AA5030" s="127"/>
      <c r="AB5030" s="128"/>
      <c r="AC5030" s="15" t="s">
        <v>20</v>
      </c>
      <c r="AD5030" s="129" t="s">
        <v>171</v>
      </c>
      <c r="AE5030" s="130"/>
      <c r="AF5030" s="130"/>
      <c r="AG5030" s="130"/>
      <c r="AH5030" s="130"/>
      <c r="AI5030" s="131"/>
      <c r="AJ5030" s="132"/>
      <c r="AK5030" s="127"/>
      <c r="AL5030" s="128"/>
      <c r="AM5030" s="21"/>
      <c r="AN5030" s="133">
        <v>46050</v>
      </c>
      <c r="AO5030" s="134"/>
      <c r="AP5030" s="135">
        <v>1002</v>
      </c>
      <c r="AQ5030" s="136"/>
      <c r="AR5030" s="118">
        <v>1065000</v>
      </c>
      <c r="AS5030" s="119"/>
      <c r="AT5030" s="118">
        <f t="shared" ref="AT5030" si="6016">AR5030*0.1</f>
        <v>106500</v>
      </c>
      <c r="AU5030" s="119"/>
      <c r="AV5030" s="163">
        <v>5340</v>
      </c>
      <c r="AW5030" s="164"/>
      <c r="AX5030" s="118">
        <f t="shared" ref="AX5030" si="6017">SUM(AR5030:AW5030)</f>
        <v>1176840</v>
      </c>
      <c r="AY5030" s="119"/>
      <c r="AZ5030" s="137">
        <v>46055</v>
      </c>
    </row>
    <row r="5031" spans="1:52" ht="17.100000000000001" customHeight="1" thickBot="1">
      <c r="A5031" s="110"/>
      <c r="B5031" s="27" t="s">
        <v>2699</v>
      </c>
      <c r="C5031" s="27">
        <v>3129</v>
      </c>
      <c r="D5031" s="14" t="s">
        <v>14911</v>
      </c>
      <c r="E5031" s="112"/>
      <c r="F5031" s="139" t="s">
        <v>14912</v>
      </c>
      <c r="G5031" s="140"/>
      <c r="H5031" s="141"/>
      <c r="I5031" s="26">
        <v>27666</v>
      </c>
      <c r="J5031" s="117"/>
      <c r="K5031" s="120"/>
      <c r="L5031" s="121"/>
      <c r="M5031" s="120"/>
      <c r="N5031" s="121"/>
      <c r="O5031" s="120"/>
      <c r="P5031" s="121"/>
      <c r="Q5031" s="120"/>
      <c r="R5031" s="121"/>
      <c r="S5031" s="120"/>
      <c r="T5031" s="121"/>
      <c r="U5031" s="120"/>
      <c r="V5031" s="123"/>
      <c r="W5031" s="125"/>
      <c r="X5031" s="142" t="s">
        <v>4928</v>
      </c>
      <c r="Y5031" s="143"/>
      <c r="Z5031" s="143"/>
      <c r="AA5031" s="143"/>
      <c r="AB5031" s="144"/>
      <c r="AC5031" s="16" t="s">
        <v>21</v>
      </c>
      <c r="AD5031" s="17" t="s">
        <v>15379</v>
      </c>
      <c r="AE5031" s="145" t="s">
        <v>15059</v>
      </c>
      <c r="AF5031" s="146"/>
      <c r="AG5031" s="146"/>
      <c r="AH5031" s="146"/>
      <c r="AI5031" s="147"/>
      <c r="AJ5031" s="148"/>
      <c r="AK5031" s="143"/>
      <c r="AL5031" s="144"/>
      <c r="AM5031" s="22"/>
      <c r="AN5031" s="149" t="s">
        <v>2794</v>
      </c>
      <c r="AO5031" s="144"/>
      <c r="AP5031" s="148">
        <v>5091</v>
      </c>
      <c r="AQ5031" s="144"/>
      <c r="AR5031" s="120"/>
      <c r="AS5031" s="121"/>
      <c r="AT5031" s="120"/>
      <c r="AU5031" s="121"/>
      <c r="AV5031" s="165"/>
      <c r="AW5031" s="166"/>
      <c r="AX5031" s="120"/>
      <c r="AY5031" s="121"/>
      <c r="AZ5031" s="138"/>
    </row>
    <row r="5032" spans="1:52" ht="17.100000000000001" customHeight="1" thickTop="1">
      <c r="A5032" s="109" t="s">
        <v>14947</v>
      </c>
      <c r="B5032" s="28">
        <v>46035</v>
      </c>
      <c r="C5032" s="25">
        <v>922</v>
      </c>
      <c r="D5032" s="13" t="s">
        <v>1651</v>
      </c>
      <c r="E5032" s="111"/>
      <c r="F5032" s="113" t="s">
        <v>10136</v>
      </c>
      <c r="G5032" s="114"/>
      <c r="H5032" s="115"/>
      <c r="I5032" s="24" t="s">
        <v>2112</v>
      </c>
      <c r="J5032" s="116">
        <v>4</v>
      </c>
      <c r="K5032" s="118">
        <v>822000</v>
      </c>
      <c r="L5032" s="119"/>
      <c r="M5032" s="118">
        <f t="shared" ref="M5032" si="6018">K5032*0.1</f>
        <v>82200</v>
      </c>
      <c r="N5032" s="119"/>
      <c r="O5032" s="118">
        <v>0</v>
      </c>
      <c r="P5032" s="119"/>
      <c r="Q5032" s="118">
        <v>8630</v>
      </c>
      <c r="R5032" s="119"/>
      <c r="S5032" s="118">
        <v>15950</v>
      </c>
      <c r="T5032" s="119"/>
      <c r="U5032" s="118">
        <f t="shared" ref="U5032" si="6019">SUM(K5032:T5033)</f>
        <v>928780</v>
      </c>
      <c r="V5032" s="122"/>
      <c r="W5032" s="124"/>
      <c r="X5032" s="126" t="s">
        <v>14915</v>
      </c>
      <c r="Y5032" s="127"/>
      <c r="Z5032" s="127"/>
      <c r="AA5032" s="127"/>
      <c r="AB5032" s="128"/>
      <c r="AC5032" s="15" t="s">
        <v>20</v>
      </c>
      <c r="AD5032" s="129" t="s">
        <v>3485</v>
      </c>
      <c r="AE5032" s="130"/>
      <c r="AF5032" s="130"/>
      <c r="AG5032" s="130"/>
      <c r="AH5032" s="130"/>
      <c r="AI5032" s="131"/>
      <c r="AJ5032" s="132"/>
      <c r="AK5032" s="127"/>
      <c r="AL5032" s="128"/>
      <c r="AM5032" s="21" t="s">
        <v>16986</v>
      </c>
      <c r="AN5032" s="133">
        <v>46057</v>
      </c>
      <c r="AO5032" s="134"/>
      <c r="AP5032" s="135">
        <v>1003</v>
      </c>
      <c r="AQ5032" s="136"/>
      <c r="AR5032" s="118">
        <v>900000</v>
      </c>
      <c r="AS5032" s="119"/>
      <c r="AT5032" s="118">
        <f t="shared" ref="AT5032" si="6020">AR5032*0.1</f>
        <v>90000</v>
      </c>
      <c r="AU5032" s="119"/>
      <c r="AV5032" s="118">
        <v>8630</v>
      </c>
      <c r="AW5032" s="119"/>
      <c r="AX5032" s="118">
        <f t="shared" ref="AX5032" si="6021">SUM(AR5032:AW5032)</f>
        <v>998630</v>
      </c>
      <c r="AY5032" s="119"/>
      <c r="AZ5032" s="137">
        <v>46063</v>
      </c>
    </row>
    <row r="5033" spans="1:52" ht="17.100000000000001" customHeight="1" thickBot="1">
      <c r="A5033" s="110"/>
      <c r="B5033" s="27" t="s">
        <v>2699</v>
      </c>
      <c r="C5033" s="27">
        <v>3323</v>
      </c>
      <c r="D5033" s="14" t="s">
        <v>1720</v>
      </c>
      <c r="E5033" s="112"/>
      <c r="F5033" s="139" t="s">
        <v>14914</v>
      </c>
      <c r="G5033" s="140"/>
      <c r="H5033" s="141"/>
      <c r="I5033" s="26">
        <v>57630</v>
      </c>
      <c r="J5033" s="117"/>
      <c r="K5033" s="120"/>
      <c r="L5033" s="121"/>
      <c r="M5033" s="120"/>
      <c r="N5033" s="121"/>
      <c r="O5033" s="120"/>
      <c r="P5033" s="121"/>
      <c r="Q5033" s="120"/>
      <c r="R5033" s="121"/>
      <c r="S5033" s="120"/>
      <c r="T5033" s="121"/>
      <c r="U5033" s="120"/>
      <c r="V5033" s="123"/>
      <c r="W5033" s="125"/>
      <c r="X5033" s="142" t="s">
        <v>15395</v>
      </c>
      <c r="Y5033" s="143"/>
      <c r="Z5033" s="143"/>
      <c r="AA5033" s="143"/>
      <c r="AB5033" s="144"/>
      <c r="AC5033" s="16" t="s">
        <v>21</v>
      </c>
      <c r="AD5033" s="17" t="s">
        <v>15379</v>
      </c>
      <c r="AE5033" s="145" t="s">
        <v>3485</v>
      </c>
      <c r="AF5033" s="146"/>
      <c r="AG5033" s="146"/>
      <c r="AH5033" s="146"/>
      <c r="AI5033" s="147"/>
      <c r="AJ5033" s="148"/>
      <c r="AK5033" s="143"/>
      <c r="AL5033" s="144"/>
      <c r="AM5033" s="22"/>
      <c r="AN5033" s="149" t="s">
        <v>2794</v>
      </c>
      <c r="AO5033" s="144"/>
      <c r="AP5033" s="148">
        <v>2076</v>
      </c>
      <c r="AQ5033" s="144"/>
      <c r="AR5033" s="120"/>
      <c r="AS5033" s="121"/>
      <c r="AT5033" s="120"/>
      <c r="AU5033" s="121"/>
      <c r="AV5033" s="120"/>
      <c r="AW5033" s="121"/>
      <c r="AX5033" s="120"/>
      <c r="AY5033" s="121"/>
      <c r="AZ5033" s="138"/>
    </row>
    <row r="5034" spans="1:52" ht="17.100000000000001" customHeight="1" thickTop="1">
      <c r="A5034" s="151" t="s">
        <v>14948</v>
      </c>
      <c r="B5034" s="28">
        <v>46035</v>
      </c>
      <c r="C5034" s="25">
        <v>922</v>
      </c>
      <c r="D5034" s="13" t="s">
        <v>859</v>
      </c>
      <c r="E5034" s="111"/>
      <c r="F5034" s="113" t="s">
        <v>9226</v>
      </c>
      <c r="G5034" s="114"/>
      <c r="H5034" s="115"/>
      <c r="I5034" s="24" t="s">
        <v>3923</v>
      </c>
      <c r="J5034" s="116">
        <v>4</v>
      </c>
      <c r="K5034" s="118">
        <v>1000000</v>
      </c>
      <c r="L5034" s="119"/>
      <c r="M5034" s="118">
        <f t="shared" ref="M5034" si="6022">K5034*0.1</f>
        <v>100000</v>
      </c>
      <c r="N5034" s="119"/>
      <c r="O5034" s="118">
        <v>0</v>
      </c>
      <c r="P5034" s="119"/>
      <c r="Q5034" s="118">
        <v>8740</v>
      </c>
      <c r="R5034" s="119"/>
      <c r="S5034" s="118">
        <v>15950</v>
      </c>
      <c r="T5034" s="119"/>
      <c r="U5034" s="118">
        <f t="shared" ref="U5034" si="6023">SUM(K5034:T5035)</f>
        <v>1124690</v>
      </c>
      <c r="V5034" s="122"/>
      <c r="W5034" s="124"/>
      <c r="X5034" s="126" t="s">
        <v>14917</v>
      </c>
      <c r="Y5034" s="127"/>
      <c r="Z5034" s="127"/>
      <c r="AA5034" s="127"/>
      <c r="AB5034" s="128"/>
      <c r="AC5034" s="15" t="s">
        <v>20</v>
      </c>
      <c r="AD5034" s="129" t="s">
        <v>7361</v>
      </c>
      <c r="AE5034" s="130"/>
      <c r="AF5034" s="130"/>
      <c r="AG5034" s="130"/>
      <c r="AH5034" s="130"/>
      <c r="AI5034" s="131"/>
      <c r="AJ5034" s="132"/>
      <c r="AK5034" s="127"/>
      <c r="AL5034" s="128"/>
      <c r="AM5034" s="21"/>
      <c r="AN5034" s="133">
        <v>46039</v>
      </c>
      <c r="AO5034" s="134"/>
      <c r="AP5034" s="135">
        <v>1284</v>
      </c>
      <c r="AQ5034" s="136"/>
      <c r="AR5034" s="118">
        <v>1070000</v>
      </c>
      <c r="AS5034" s="119"/>
      <c r="AT5034" s="118">
        <f t="shared" ref="AT5034" si="6024">AR5034*0.1</f>
        <v>107000</v>
      </c>
      <c r="AU5034" s="119"/>
      <c r="AV5034" s="118">
        <v>8740</v>
      </c>
      <c r="AW5034" s="119"/>
      <c r="AX5034" s="118">
        <f t="shared" ref="AX5034" si="6025">SUM(AR5034:AW5034)</f>
        <v>1185740</v>
      </c>
      <c r="AY5034" s="119"/>
      <c r="AZ5034" s="137">
        <v>46044</v>
      </c>
    </row>
    <row r="5035" spans="1:52" ht="17.100000000000001" customHeight="1" thickBot="1">
      <c r="A5035" s="152"/>
      <c r="B5035" s="27" t="s">
        <v>2699</v>
      </c>
      <c r="C5035" s="27">
        <v>3326</v>
      </c>
      <c r="D5035" s="14" t="s">
        <v>3809</v>
      </c>
      <c r="E5035" s="112"/>
      <c r="F5035" s="139" t="s">
        <v>14916</v>
      </c>
      <c r="G5035" s="140"/>
      <c r="H5035" s="141"/>
      <c r="I5035" s="26">
        <v>36390</v>
      </c>
      <c r="J5035" s="117"/>
      <c r="K5035" s="120"/>
      <c r="L5035" s="121"/>
      <c r="M5035" s="120"/>
      <c r="N5035" s="121"/>
      <c r="O5035" s="120"/>
      <c r="P5035" s="121"/>
      <c r="Q5035" s="120"/>
      <c r="R5035" s="121"/>
      <c r="S5035" s="120"/>
      <c r="T5035" s="121"/>
      <c r="U5035" s="120"/>
      <c r="V5035" s="123"/>
      <c r="W5035" s="125"/>
      <c r="X5035" s="142" t="s">
        <v>15407</v>
      </c>
      <c r="Y5035" s="143"/>
      <c r="Z5035" s="143"/>
      <c r="AA5035" s="143"/>
      <c r="AB5035" s="144"/>
      <c r="AC5035" s="16" t="s">
        <v>21</v>
      </c>
      <c r="AD5035" s="17" t="s">
        <v>15379</v>
      </c>
      <c r="AE5035" s="145" t="s">
        <v>1633</v>
      </c>
      <c r="AF5035" s="146"/>
      <c r="AG5035" s="146"/>
      <c r="AH5035" s="146"/>
      <c r="AI5035" s="147"/>
      <c r="AJ5035" s="148"/>
      <c r="AK5035" s="143"/>
      <c r="AL5035" s="144"/>
      <c r="AM5035" s="22"/>
      <c r="AN5035" s="149" t="s">
        <v>2511</v>
      </c>
      <c r="AO5035" s="144"/>
      <c r="AP5035" s="148">
        <v>60398</v>
      </c>
      <c r="AQ5035" s="144"/>
      <c r="AR5035" s="120"/>
      <c r="AS5035" s="121"/>
      <c r="AT5035" s="120"/>
      <c r="AU5035" s="121"/>
      <c r="AV5035" s="120"/>
      <c r="AW5035" s="121"/>
      <c r="AX5035" s="120"/>
      <c r="AY5035" s="121"/>
      <c r="AZ5035" s="138"/>
    </row>
    <row r="5036" spans="1:52" ht="17.100000000000001" customHeight="1" thickTop="1">
      <c r="A5036" s="109" t="s">
        <v>14949</v>
      </c>
      <c r="B5036" s="28">
        <v>46035</v>
      </c>
      <c r="C5036" s="25">
        <v>922</v>
      </c>
      <c r="D5036" s="13" t="s">
        <v>2838</v>
      </c>
      <c r="E5036" s="111"/>
      <c r="F5036" s="113" t="s">
        <v>9038</v>
      </c>
      <c r="G5036" s="114"/>
      <c r="H5036" s="115"/>
      <c r="I5036" s="24" t="s">
        <v>3733</v>
      </c>
      <c r="J5036" s="150" t="s">
        <v>4203</v>
      </c>
      <c r="K5036" s="118">
        <v>1470000</v>
      </c>
      <c r="L5036" s="119"/>
      <c r="M5036" s="118">
        <f t="shared" ref="M5036" si="6026">K5036*0.1</f>
        <v>147000</v>
      </c>
      <c r="N5036" s="119"/>
      <c r="O5036" s="118">
        <v>0</v>
      </c>
      <c r="P5036" s="119"/>
      <c r="Q5036" s="118">
        <v>8350</v>
      </c>
      <c r="R5036" s="119"/>
      <c r="S5036" s="118">
        <v>15950</v>
      </c>
      <c r="T5036" s="119"/>
      <c r="U5036" s="118">
        <f t="shared" ref="U5036" si="6027">SUM(K5036:T5037)</f>
        <v>1641300</v>
      </c>
      <c r="V5036" s="122"/>
      <c r="W5036" s="124"/>
      <c r="X5036" s="126" t="s">
        <v>14919</v>
      </c>
      <c r="Y5036" s="127"/>
      <c r="Z5036" s="127"/>
      <c r="AA5036" s="127"/>
      <c r="AB5036" s="128"/>
      <c r="AC5036" s="15" t="s">
        <v>20</v>
      </c>
      <c r="AD5036" s="129" t="s">
        <v>1742</v>
      </c>
      <c r="AE5036" s="130"/>
      <c r="AF5036" s="130"/>
      <c r="AG5036" s="130"/>
      <c r="AH5036" s="130"/>
      <c r="AI5036" s="131"/>
      <c r="AJ5036" s="132"/>
      <c r="AK5036" s="127"/>
      <c r="AL5036" s="128"/>
      <c r="AM5036" s="21" t="s">
        <v>18035</v>
      </c>
      <c r="AN5036" s="133">
        <v>46063</v>
      </c>
      <c r="AO5036" s="134"/>
      <c r="AP5036" s="135">
        <v>1928</v>
      </c>
      <c r="AQ5036" s="136"/>
      <c r="AR5036" s="118">
        <v>1498000</v>
      </c>
      <c r="AS5036" s="119"/>
      <c r="AT5036" s="118">
        <f t="shared" ref="AT5036" si="6028">AR5036*0.1</f>
        <v>149800</v>
      </c>
      <c r="AU5036" s="119"/>
      <c r="AV5036" s="118">
        <v>8350</v>
      </c>
      <c r="AW5036" s="119"/>
      <c r="AX5036" s="118">
        <f t="shared" ref="AX5036" si="6029">SUM(AR5036:AW5036)</f>
        <v>1656150</v>
      </c>
      <c r="AY5036" s="119"/>
      <c r="AZ5036" s="137"/>
    </row>
    <row r="5037" spans="1:52" ht="17.100000000000001" customHeight="1" thickBot="1">
      <c r="A5037" s="110"/>
      <c r="B5037" s="27" t="s">
        <v>2699</v>
      </c>
      <c r="C5037" s="27">
        <v>3358</v>
      </c>
      <c r="D5037" s="14" t="s">
        <v>1556</v>
      </c>
      <c r="E5037" s="112"/>
      <c r="F5037" s="139" t="s">
        <v>14918</v>
      </c>
      <c r="G5037" s="140"/>
      <c r="H5037" s="141"/>
      <c r="I5037" s="26">
        <v>428</v>
      </c>
      <c r="J5037" s="117"/>
      <c r="K5037" s="120"/>
      <c r="L5037" s="121"/>
      <c r="M5037" s="120"/>
      <c r="N5037" s="121"/>
      <c r="O5037" s="120"/>
      <c r="P5037" s="121"/>
      <c r="Q5037" s="120"/>
      <c r="R5037" s="121"/>
      <c r="S5037" s="120"/>
      <c r="T5037" s="121"/>
      <c r="U5037" s="120"/>
      <c r="V5037" s="123"/>
      <c r="W5037" s="125"/>
      <c r="X5037" s="142" t="s">
        <v>15393</v>
      </c>
      <c r="Y5037" s="143"/>
      <c r="Z5037" s="143"/>
      <c r="AA5037" s="143"/>
      <c r="AB5037" s="144"/>
      <c r="AC5037" s="16" t="s">
        <v>21</v>
      </c>
      <c r="AD5037" s="17" t="s">
        <v>15379</v>
      </c>
      <c r="AE5037" s="145" t="s">
        <v>15394</v>
      </c>
      <c r="AF5037" s="146"/>
      <c r="AG5037" s="146"/>
      <c r="AH5037" s="146"/>
      <c r="AI5037" s="147"/>
      <c r="AJ5037" s="148"/>
      <c r="AK5037" s="143"/>
      <c r="AL5037" s="144"/>
      <c r="AM5037" s="22"/>
      <c r="AN5037" s="149" t="s">
        <v>7644</v>
      </c>
      <c r="AO5037" s="144"/>
      <c r="AP5037" s="148">
        <v>3067</v>
      </c>
      <c r="AQ5037" s="144"/>
      <c r="AR5037" s="120"/>
      <c r="AS5037" s="121"/>
      <c r="AT5037" s="120"/>
      <c r="AU5037" s="121"/>
      <c r="AV5037" s="120"/>
      <c r="AW5037" s="121"/>
      <c r="AX5037" s="120"/>
      <c r="AY5037" s="121"/>
      <c r="AZ5037" s="138"/>
    </row>
    <row r="5038" spans="1:52" ht="17.100000000000001" customHeight="1" thickTop="1">
      <c r="A5038" s="109" t="s">
        <v>14950</v>
      </c>
      <c r="B5038" s="28">
        <v>46035</v>
      </c>
      <c r="C5038" s="25">
        <v>922</v>
      </c>
      <c r="D5038" s="13" t="s">
        <v>3014</v>
      </c>
      <c r="E5038" s="111"/>
      <c r="F5038" s="113" t="s">
        <v>9038</v>
      </c>
      <c r="G5038" s="114"/>
      <c r="H5038" s="115"/>
      <c r="I5038" s="24" t="s">
        <v>4193</v>
      </c>
      <c r="J5038" s="116">
        <v>5</v>
      </c>
      <c r="K5038" s="118">
        <v>1091000</v>
      </c>
      <c r="L5038" s="119"/>
      <c r="M5038" s="118">
        <f t="shared" ref="M5038" si="6030">K5038*0.1</f>
        <v>109100</v>
      </c>
      <c r="N5038" s="119"/>
      <c r="O5038" s="118">
        <v>0</v>
      </c>
      <c r="P5038" s="119"/>
      <c r="Q5038" s="118">
        <v>6830</v>
      </c>
      <c r="R5038" s="119"/>
      <c r="S5038" s="118">
        <v>15950</v>
      </c>
      <c r="T5038" s="119"/>
      <c r="U5038" s="118">
        <f t="shared" ref="U5038" si="6031">SUM(K5038:T5039)</f>
        <v>1222880</v>
      </c>
      <c r="V5038" s="122"/>
      <c r="W5038" s="124"/>
      <c r="X5038" s="126" t="s">
        <v>14921</v>
      </c>
      <c r="Y5038" s="127"/>
      <c r="Z5038" s="127"/>
      <c r="AA5038" s="127"/>
      <c r="AB5038" s="128"/>
      <c r="AC5038" s="15" t="s">
        <v>20</v>
      </c>
      <c r="AD5038" s="129" t="s">
        <v>1670</v>
      </c>
      <c r="AE5038" s="130"/>
      <c r="AF5038" s="130"/>
      <c r="AG5038" s="130"/>
      <c r="AH5038" s="130"/>
      <c r="AI5038" s="131"/>
      <c r="AJ5038" s="132"/>
      <c r="AK5038" s="127"/>
      <c r="AL5038" s="128"/>
      <c r="AM5038" s="21"/>
      <c r="AN5038" s="133">
        <v>46046</v>
      </c>
      <c r="AO5038" s="134"/>
      <c r="AP5038" s="135">
        <v>1285</v>
      </c>
      <c r="AQ5038" s="136"/>
      <c r="AR5038" s="118">
        <v>1140000</v>
      </c>
      <c r="AS5038" s="119"/>
      <c r="AT5038" s="118">
        <f t="shared" ref="AT5038" si="6032">AR5038*0.1</f>
        <v>114000</v>
      </c>
      <c r="AU5038" s="119"/>
      <c r="AV5038" s="118">
        <v>6830</v>
      </c>
      <c r="AW5038" s="119"/>
      <c r="AX5038" s="118">
        <f t="shared" ref="AX5038" si="6033">SUM(AR5038:AW5038)</f>
        <v>1260830</v>
      </c>
      <c r="AY5038" s="119"/>
      <c r="AZ5038" s="137">
        <v>46049</v>
      </c>
    </row>
    <row r="5039" spans="1:52" ht="17.100000000000001" customHeight="1" thickBot="1">
      <c r="A5039" s="110"/>
      <c r="B5039" s="27" t="s">
        <v>2699</v>
      </c>
      <c r="C5039" s="27">
        <v>3363</v>
      </c>
      <c r="D5039" s="14" t="s">
        <v>3793</v>
      </c>
      <c r="E5039" s="112"/>
      <c r="F5039" s="139" t="s">
        <v>14920</v>
      </c>
      <c r="G5039" s="140"/>
      <c r="H5039" s="141"/>
      <c r="I5039" s="26">
        <v>11184</v>
      </c>
      <c r="J5039" s="117"/>
      <c r="K5039" s="120"/>
      <c r="L5039" s="121"/>
      <c r="M5039" s="120"/>
      <c r="N5039" s="121"/>
      <c r="O5039" s="120"/>
      <c r="P5039" s="121"/>
      <c r="Q5039" s="120"/>
      <c r="R5039" s="121"/>
      <c r="S5039" s="120"/>
      <c r="T5039" s="121"/>
      <c r="U5039" s="120"/>
      <c r="V5039" s="123"/>
      <c r="W5039" s="125"/>
      <c r="X5039" s="142" t="s">
        <v>3410</v>
      </c>
      <c r="Y5039" s="143"/>
      <c r="Z5039" s="143"/>
      <c r="AA5039" s="143"/>
      <c r="AB5039" s="144"/>
      <c r="AC5039" s="16" t="s">
        <v>21</v>
      </c>
      <c r="AD5039" s="17" t="s">
        <v>15379</v>
      </c>
      <c r="AE5039" s="145" t="s">
        <v>171</v>
      </c>
      <c r="AF5039" s="146"/>
      <c r="AG5039" s="146"/>
      <c r="AH5039" s="146"/>
      <c r="AI5039" s="147"/>
      <c r="AJ5039" s="148"/>
      <c r="AK5039" s="143"/>
      <c r="AL5039" s="144"/>
      <c r="AM5039" s="22"/>
      <c r="AN5039" s="149" t="s">
        <v>2511</v>
      </c>
      <c r="AO5039" s="144"/>
      <c r="AP5039" s="148">
        <v>60032</v>
      </c>
      <c r="AQ5039" s="144"/>
      <c r="AR5039" s="120"/>
      <c r="AS5039" s="121"/>
      <c r="AT5039" s="120"/>
      <c r="AU5039" s="121"/>
      <c r="AV5039" s="120"/>
      <c r="AW5039" s="121"/>
      <c r="AX5039" s="120"/>
      <c r="AY5039" s="121"/>
      <c r="AZ5039" s="138"/>
    </row>
    <row r="5040" spans="1:52" ht="17.100000000000001" customHeight="1" thickTop="1">
      <c r="A5040" s="109" t="s">
        <v>14951</v>
      </c>
      <c r="B5040" s="28">
        <v>46035</v>
      </c>
      <c r="C5040" s="25">
        <v>922</v>
      </c>
      <c r="D5040" s="13" t="s">
        <v>1758</v>
      </c>
      <c r="E5040" s="111"/>
      <c r="F5040" s="113" t="s">
        <v>4218</v>
      </c>
      <c r="G5040" s="114"/>
      <c r="H5040" s="115"/>
      <c r="I5040" s="24"/>
      <c r="J5040" s="116">
        <v>4</v>
      </c>
      <c r="K5040" s="118">
        <v>229000</v>
      </c>
      <c r="L5040" s="119"/>
      <c r="M5040" s="118">
        <f t="shared" ref="M5040" si="6034">K5040*0.1</f>
        <v>22900</v>
      </c>
      <c r="N5040" s="119"/>
      <c r="O5040" s="118">
        <v>0</v>
      </c>
      <c r="P5040" s="119"/>
      <c r="Q5040" s="118">
        <v>8460</v>
      </c>
      <c r="R5040" s="119"/>
      <c r="S5040" s="118">
        <v>15950</v>
      </c>
      <c r="T5040" s="119"/>
      <c r="U5040" s="118">
        <f t="shared" ref="U5040" si="6035">SUM(K5040:T5041)</f>
        <v>276310</v>
      </c>
      <c r="V5040" s="122"/>
      <c r="W5040" s="124"/>
      <c r="X5040" s="126" t="s">
        <v>15408</v>
      </c>
      <c r="Y5040" s="127"/>
      <c r="Z5040" s="127"/>
      <c r="AA5040" s="127"/>
      <c r="AB5040" s="128"/>
      <c r="AC5040" s="15" t="s">
        <v>20</v>
      </c>
      <c r="AD5040" s="129"/>
      <c r="AE5040" s="130"/>
      <c r="AF5040" s="130"/>
      <c r="AG5040" s="130"/>
      <c r="AH5040" s="130"/>
      <c r="AI5040" s="131"/>
      <c r="AJ5040" s="132"/>
      <c r="AK5040" s="127"/>
      <c r="AL5040" s="128"/>
      <c r="AM5040" s="21"/>
      <c r="AN5040" s="133">
        <v>46039</v>
      </c>
      <c r="AO5040" s="134"/>
      <c r="AP5040" s="135">
        <v>1284</v>
      </c>
      <c r="AQ5040" s="136"/>
      <c r="AR5040" s="118">
        <v>335000</v>
      </c>
      <c r="AS5040" s="119"/>
      <c r="AT5040" s="118">
        <f t="shared" ref="AT5040" si="6036">AR5040*0.1</f>
        <v>33500</v>
      </c>
      <c r="AU5040" s="119"/>
      <c r="AV5040" s="118">
        <v>8460</v>
      </c>
      <c r="AW5040" s="119"/>
      <c r="AX5040" s="118">
        <f t="shared" ref="AX5040" si="6037">SUM(AR5040:AW5040)</f>
        <v>376960</v>
      </c>
      <c r="AY5040" s="119"/>
      <c r="AZ5040" s="137">
        <v>46044</v>
      </c>
    </row>
    <row r="5041" spans="1:52" ht="17.100000000000001" customHeight="1" thickBot="1">
      <c r="A5041" s="110"/>
      <c r="B5041" s="27" t="s">
        <v>2699</v>
      </c>
      <c r="C5041" s="27">
        <v>4129</v>
      </c>
      <c r="D5041" s="14" t="s">
        <v>3327</v>
      </c>
      <c r="E5041" s="112"/>
      <c r="F5041" s="139" t="s">
        <v>14875</v>
      </c>
      <c r="G5041" s="140"/>
      <c r="H5041" s="141"/>
      <c r="I5041" s="26">
        <v>55386</v>
      </c>
      <c r="J5041" s="117"/>
      <c r="K5041" s="120"/>
      <c r="L5041" s="121"/>
      <c r="M5041" s="120"/>
      <c r="N5041" s="121"/>
      <c r="O5041" s="120"/>
      <c r="P5041" s="121"/>
      <c r="Q5041" s="120"/>
      <c r="R5041" s="121"/>
      <c r="S5041" s="120"/>
      <c r="T5041" s="121"/>
      <c r="U5041" s="120"/>
      <c r="V5041" s="123"/>
      <c r="W5041" s="125"/>
      <c r="X5041" s="142" t="s">
        <v>15409</v>
      </c>
      <c r="Y5041" s="143"/>
      <c r="Z5041" s="143"/>
      <c r="AA5041" s="143"/>
      <c r="AB5041" s="144"/>
      <c r="AC5041" s="16" t="s">
        <v>21</v>
      </c>
      <c r="AD5041" s="17" t="s">
        <v>15379</v>
      </c>
      <c r="AE5041" s="145"/>
      <c r="AF5041" s="146"/>
      <c r="AG5041" s="146"/>
      <c r="AH5041" s="146"/>
      <c r="AI5041" s="147"/>
      <c r="AJ5041" s="148"/>
      <c r="AK5041" s="143"/>
      <c r="AL5041" s="144"/>
      <c r="AM5041" s="22"/>
      <c r="AN5041" s="149" t="s">
        <v>2511</v>
      </c>
      <c r="AO5041" s="144"/>
      <c r="AP5041" s="148">
        <v>60417</v>
      </c>
      <c r="AQ5041" s="144"/>
      <c r="AR5041" s="120"/>
      <c r="AS5041" s="121"/>
      <c r="AT5041" s="120"/>
      <c r="AU5041" s="121"/>
      <c r="AV5041" s="120"/>
      <c r="AW5041" s="121"/>
      <c r="AX5041" s="120"/>
      <c r="AY5041" s="121"/>
      <c r="AZ5041" s="138"/>
    </row>
    <row r="5042" spans="1:52" ht="17.100000000000001" customHeight="1" thickTop="1">
      <c r="A5042" s="109" t="s">
        <v>14952</v>
      </c>
      <c r="B5042" s="28">
        <v>46035</v>
      </c>
      <c r="C5042" s="25">
        <v>922</v>
      </c>
      <c r="D5042" s="13" t="s">
        <v>1986</v>
      </c>
      <c r="E5042" s="111"/>
      <c r="F5042" s="113" t="s">
        <v>14928</v>
      </c>
      <c r="G5042" s="114"/>
      <c r="H5042" s="115"/>
      <c r="I5042" s="24"/>
      <c r="J5042" s="116">
        <v>4</v>
      </c>
      <c r="K5042" s="118">
        <v>630000</v>
      </c>
      <c r="L5042" s="119"/>
      <c r="M5042" s="118">
        <f t="shared" ref="M5042" si="6038">K5042*0.1</f>
        <v>63000</v>
      </c>
      <c r="N5042" s="119"/>
      <c r="O5042" s="118">
        <v>0</v>
      </c>
      <c r="P5042" s="119"/>
      <c r="Q5042" s="118">
        <v>17310</v>
      </c>
      <c r="R5042" s="119"/>
      <c r="S5042" s="118">
        <v>15950</v>
      </c>
      <c r="T5042" s="119"/>
      <c r="U5042" s="118">
        <f t="shared" ref="U5042" si="6039">SUM(K5042:T5043)</f>
        <v>726260</v>
      </c>
      <c r="V5042" s="122"/>
      <c r="W5042" s="124"/>
      <c r="X5042" s="126" t="s">
        <v>15382</v>
      </c>
      <c r="Y5042" s="127"/>
      <c r="Z5042" s="127"/>
      <c r="AA5042" s="127"/>
      <c r="AB5042" s="128"/>
      <c r="AC5042" s="15" t="s">
        <v>20</v>
      </c>
      <c r="AD5042" s="129" t="s">
        <v>2930</v>
      </c>
      <c r="AE5042" s="130"/>
      <c r="AF5042" s="130"/>
      <c r="AG5042" s="130"/>
      <c r="AH5042" s="130"/>
      <c r="AI5042" s="131"/>
      <c r="AJ5042" s="132"/>
      <c r="AK5042" s="127"/>
      <c r="AL5042" s="128"/>
      <c r="AM5042" s="21"/>
      <c r="AN5042" s="133">
        <v>46060</v>
      </c>
      <c r="AO5042" s="134"/>
      <c r="AP5042" s="135">
        <v>1287</v>
      </c>
      <c r="AQ5042" s="136"/>
      <c r="AR5042" s="118">
        <v>710000</v>
      </c>
      <c r="AS5042" s="119"/>
      <c r="AT5042" s="118">
        <f t="shared" ref="AT5042" si="6040">AR5042*0.1</f>
        <v>71000</v>
      </c>
      <c r="AU5042" s="119"/>
      <c r="AV5042" s="118">
        <v>17310</v>
      </c>
      <c r="AW5042" s="119"/>
      <c r="AX5042" s="118">
        <f t="shared" ref="AX5042" si="6041">SUM(AR5042:AW5042)</f>
        <v>798310</v>
      </c>
      <c r="AY5042" s="119"/>
      <c r="AZ5042" s="137">
        <v>46063</v>
      </c>
    </row>
    <row r="5043" spans="1:52" ht="17.100000000000001" customHeight="1" thickBot="1">
      <c r="A5043" s="110"/>
      <c r="B5043" s="27" t="s">
        <v>2699</v>
      </c>
      <c r="C5043" s="27">
        <v>5057</v>
      </c>
      <c r="D5043" s="14" t="s">
        <v>2800</v>
      </c>
      <c r="E5043" s="112"/>
      <c r="F5043" s="139" t="s">
        <v>14929</v>
      </c>
      <c r="G5043" s="140"/>
      <c r="H5043" s="141"/>
      <c r="I5043" s="26">
        <v>61840</v>
      </c>
      <c r="J5043" s="117"/>
      <c r="K5043" s="120"/>
      <c r="L5043" s="121"/>
      <c r="M5043" s="120"/>
      <c r="N5043" s="121"/>
      <c r="O5043" s="120"/>
      <c r="P5043" s="121"/>
      <c r="Q5043" s="120"/>
      <c r="R5043" s="121"/>
      <c r="S5043" s="120"/>
      <c r="T5043" s="121"/>
      <c r="U5043" s="120"/>
      <c r="V5043" s="123"/>
      <c r="W5043" s="125"/>
      <c r="X5043" s="142" t="s">
        <v>15383</v>
      </c>
      <c r="Y5043" s="143"/>
      <c r="Z5043" s="143"/>
      <c r="AA5043" s="143"/>
      <c r="AB5043" s="144"/>
      <c r="AC5043" s="16" t="s">
        <v>21</v>
      </c>
      <c r="AD5043" s="17" t="s">
        <v>15379</v>
      </c>
      <c r="AE5043" s="145" t="s">
        <v>6936</v>
      </c>
      <c r="AF5043" s="146"/>
      <c r="AG5043" s="146"/>
      <c r="AH5043" s="146"/>
      <c r="AI5043" s="147"/>
      <c r="AJ5043" s="148"/>
      <c r="AK5043" s="143"/>
      <c r="AL5043" s="144"/>
      <c r="AM5043" s="22"/>
      <c r="AN5043" s="149" t="s">
        <v>2511</v>
      </c>
      <c r="AO5043" s="144"/>
      <c r="AP5043" s="148">
        <v>80166</v>
      </c>
      <c r="AQ5043" s="144"/>
      <c r="AR5043" s="120"/>
      <c r="AS5043" s="121"/>
      <c r="AT5043" s="120"/>
      <c r="AU5043" s="121"/>
      <c r="AV5043" s="120"/>
      <c r="AW5043" s="121"/>
      <c r="AX5043" s="120"/>
      <c r="AY5043" s="121"/>
      <c r="AZ5043" s="138"/>
    </row>
    <row r="5044" spans="1:52" ht="17.100000000000001" customHeight="1" thickTop="1">
      <c r="A5044" s="151" t="s">
        <v>14953</v>
      </c>
      <c r="B5044" s="28">
        <v>46035</v>
      </c>
      <c r="C5044" s="25">
        <v>1223</v>
      </c>
      <c r="D5044" s="13" t="s">
        <v>1758</v>
      </c>
      <c r="E5044" s="111"/>
      <c r="F5044" s="113" t="s">
        <v>7177</v>
      </c>
      <c r="G5044" s="114"/>
      <c r="H5044" s="115"/>
      <c r="I5044" s="24"/>
      <c r="J5044" s="116">
        <v>4</v>
      </c>
      <c r="K5044" s="118">
        <v>523000</v>
      </c>
      <c r="L5044" s="119"/>
      <c r="M5044" s="118">
        <f t="shared" ref="M5044" si="6042">K5044*0.1</f>
        <v>52300</v>
      </c>
      <c r="N5044" s="119"/>
      <c r="O5044" s="118">
        <v>0</v>
      </c>
      <c r="P5044" s="119"/>
      <c r="Q5044" s="118">
        <v>12450</v>
      </c>
      <c r="R5044" s="119"/>
      <c r="S5044" s="118">
        <v>19250</v>
      </c>
      <c r="T5044" s="119"/>
      <c r="U5044" s="118">
        <f t="shared" ref="U5044" si="6043">SUM(K5044:T5045)</f>
        <v>607000</v>
      </c>
      <c r="V5044" s="122"/>
      <c r="W5044" s="124"/>
      <c r="X5044" s="126" t="s">
        <v>15403</v>
      </c>
      <c r="Y5044" s="127"/>
      <c r="Z5044" s="127"/>
      <c r="AA5044" s="127"/>
      <c r="AB5044" s="128"/>
      <c r="AC5044" s="15" t="s">
        <v>20</v>
      </c>
      <c r="AD5044" s="129"/>
      <c r="AE5044" s="130"/>
      <c r="AF5044" s="130"/>
      <c r="AG5044" s="130"/>
      <c r="AH5044" s="130"/>
      <c r="AI5044" s="131"/>
      <c r="AJ5044" s="132"/>
      <c r="AK5044" s="127"/>
      <c r="AL5044" s="128"/>
      <c r="AM5044" s="21"/>
      <c r="AN5044" s="133">
        <v>46039</v>
      </c>
      <c r="AO5044" s="134"/>
      <c r="AP5044" s="135">
        <v>1284</v>
      </c>
      <c r="AQ5044" s="136"/>
      <c r="AR5044" s="118">
        <v>665000</v>
      </c>
      <c r="AS5044" s="119"/>
      <c r="AT5044" s="118">
        <f t="shared" ref="AT5044" si="6044">AR5044*0.1</f>
        <v>66500</v>
      </c>
      <c r="AU5044" s="119"/>
      <c r="AV5044" s="118">
        <v>12450</v>
      </c>
      <c r="AW5044" s="119"/>
      <c r="AX5044" s="118">
        <f t="shared" ref="AX5044" si="6045">SUM(AR5044:AW5044)</f>
        <v>743950</v>
      </c>
      <c r="AY5044" s="119"/>
      <c r="AZ5044" s="137">
        <v>46044</v>
      </c>
    </row>
    <row r="5045" spans="1:52" ht="17.100000000000001" customHeight="1" thickBot="1">
      <c r="A5045" s="152"/>
      <c r="B5045" s="27" t="s">
        <v>2379</v>
      </c>
      <c r="C5045" s="27">
        <v>5005</v>
      </c>
      <c r="D5045" s="14" t="s">
        <v>275</v>
      </c>
      <c r="E5045" s="112"/>
      <c r="F5045" s="139" t="s">
        <v>14899</v>
      </c>
      <c r="G5045" s="140"/>
      <c r="H5045" s="141"/>
      <c r="I5045" s="26">
        <v>44356</v>
      </c>
      <c r="J5045" s="117"/>
      <c r="K5045" s="120"/>
      <c r="L5045" s="121"/>
      <c r="M5045" s="120"/>
      <c r="N5045" s="121"/>
      <c r="O5045" s="120"/>
      <c r="P5045" s="121"/>
      <c r="Q5045" s="120"/>
      <c r="R5045" s="121"/>
      <c r="S5045" s="120"/>
      <c r="T5045" s="121"/>
      <c r="U5045" s="120"/>
      <c r="V5045" s="123"/>
      <c r="W5045" s="125"/>
      <c r="X5045" s="142" t="s">
        <v>15404</v>
      </c>
      <c r="Y5045" s="143"/>
      <c r="Z5045" s="143"/>
      <c r="AA5045" s="143"/>
      <c r="AB5045" s="144"/>
      <c r="AC5045" s="16" t="s">
        <v>21</v>
      </c>
      <c r="AD5045" s="17" t="s">
        <v>15379</v>
      </c>
      <c r="AE5045" s="145" t="s">
        <v>4077</v>
      </c>
      <c r="AF5045" s="146"/>
      <c r="AG5045" s="146"/>
      <c r="AH5045" s="146"/>
      <c r="AI5045" s="147"/>
      <c r="AJ5045" s="148"/>
      <c r="AK5045" s="143"/>
      <c r="AL5045" s="144"/>
      <c r="AM5045" s="22"/>
      <c r="AN5045" s="149" t="s">
        <v>2511</v>
      </c>
      <c r="AO5045" s="144"/>
      <c r="AP5045" s="148">
        <v>80367</v>
      </c>
      <c r="AQ5045" s="144"/>
      <c r="AR5045" s="120"/>
      <c r="AS5045" s="121"/>
      <c r="AT5045" s="120"/>
      <c r="AU5045" s="121"/>
      <c r="AV5045" s="120"/>
      <c r="AW5045" s="121"/>
      <c r="AX5045" s="120"/>
      <c r="AY5045" s="121"/>
      <c r="AZ5045" s="138"/>
    </row>
    <row r="5046" spans="1:52" ht="16.5" customHeight="1" thickTop="1">
      <c r="A5046" s="109" t="s">
        <v>14954</v>
      </c>
      <c r="B5046" s="28">
        <v>46035</v>
      </c>
      <c r="C5046" s="25">
        <v>1223</v>
      </c>
      <c r="D5046" s="13" t="s">
        <v>1714</v>
      </c>
      <c r="E5046" s="111"/>
      <c r="F5046" s="113" t="s">
        <v>14876</v>
      </c>
      <c r="G5046" s="114"/>
      <c r="H5046" s="115"/>
      <c r="I5046" s="24"/>
      <c r="J5046" s="116">
        <v>4.5</v>
      </c>
      <c r="K5046" s="118">
        <v>1444000</v>
      </c>
      <c r="L5046" s="119"/>
      <c r="M5046" s="118">
        <f t="shared" ref="M5046" si="6046">K5046*0.1</f>
        <v>144400</v>
      </c>
      <c r="N5046" s="119"/>
      <c r="O5046" s="118">
        <v>0</v>
      </c>
      <c r="P5046" s="119"/>
      <c r="Q5046" s="118">
        <v>16250</v>
      </c>
      <c r="R5046" s="119"/>
      <c r="S5046" s="118">
        <v>20900</v>
      </c>
      <c r="T5046" s="119"/>
      <c r="U5046" s="118">
        <f t="shared" ref="U5046" si="6047">SUM(K5046:T5047)</f>
        <v>1625550</v>
      </c>
      <c r="V5046" s="122"/>
      <c r="W5046" s="124"/>
      <c r="X5046" s="126" t="s">
        <v>15385</v>
      </c>
      <c r="Y5046" s="127"/>
      <c r="Z5046" s="127"/>
      <c r="AA5046" s="127"/>
      <c r="AB5046" s="128"/>
      <c r="AC5046" s="15" t="s">
        <v>20</v>
      </c>
      <c r="AD5046" s="129"/>
      <c r="AE5046" s="130"/>
      <c r="AF5046" s="130"/>
      <c r="AG5046" s="130"/>
      <c r="AH5046" s="130"/>
      <c r="AI5046" s="131"/>
      <c r="AJ5046" s="132"/>
      <c r="AK5046" s="127"/>
      <c r="AL5046" s="128"/>
      <c r="AM5046" s="21"/>
      <c r="AN5046" s="133">
        <v>46109</v>
      </c>
      <c r="AO5046" s="134"/>
      <c r="AP5046" s="135">
        <v>1294</v>
      </c>
      <c r="AQ5046" s="136"/>
      <c r="AR5046" s="118">
        <v>1600000</v>
      </c>
      <c r="AS5046" s="119"/>
      <c r="AT5046" s="118">
        <f t="shared" ref="AT5046" si="6048">AR5046*0.1</f>
        <v>160000</v>
      </c>
      <c r="AU5046" s="119"/>
      <c r="AV5046" s="118">
        <v>16250</v>
      </c>
      <c r="AW5046" s="119"/>
      <c r="AX5046" s="118">
        <f t="shared" ref="AX5046" si="6049">SUM(AR5046:AW5046)</f>
        <v>1776250</v>
      </c>
      <c r="AY5046" s="119"/>
      <c r="AZ5046" s="137">
        <v>46112</v>
      </c>
    </row>
    <row r="5047" spans="1:52" ht="17.100000000000001" customHeight="1" thickBot="1">
      <c r="A5047" s="110"/>
      <c r="B5047" s="27" t="s">
        <v>2379</v>
      </c>
      <c r="C5047" s="27">
        <v>32040</v>
      </c>
      <c r="D5047" s="14" t="s">
        <v>2601</v>
      </c>
      <c r="E5047" s="112"/>
      <c r="F5047" s="139" t="s">
        <v>14877</v>
      </c>
      <c r="G5047" s="140"/>
      <c r="H5047" s="141"/>
      <c r="I5047" s="26">
        <v>29685</v>
      </c>
      <c r="J5047" s="117"/>
      <c r="K5047" s="120"/>
      <c r="L5047" s="121"/>
      <c r="M5047" s="120"/>
      <c r="N5047" s="121"/>
      <c r="O5047" s="120"/>
      <c r="P5047" s="121"/>
      <c r="Q5047" s="120"/>
      <c r="R5047" s="121"/>
      <c r="S5047" s="120"/>
      <c r="T5047" s="121"/>
      <c r="U5047" s="120"/>
      <c r="V5047" s="123"/>
      <c r="W5047" s="125"/>
      <c r="X5047" s="142" t="s">
        <v>5281</v>
      </c>
      <c r="Y5047" s="143"/>
      <c r="Z5047" s="143"/>
      <c r="AA5047" s="143"/>
      <c r="AB5047" s="144"/>
      <c r="AC5047" s="16" t="s">
        <v>21</v>
      </c>
      <c r="AD5047" s="17" t="s">
        <v>15379</v>
      </c>
      <c r="AE5047" s="145" t="s">
        <v>7859</v>
      </c>
      <c r="AF5047" s="146"/>
      <c r="AG5047" s="146"/>
      <c r="AH5047" s="146"/>
      <c r="AI5047" s="147"/>
      <c r="AJ5047" s="148"/>
      <c r="AK5047" s="143"/>
      <c r="AL5047" s="144"/>
      <c r="AM5047" s="22"/>
      <c r="AN5047" s="149" t="s">
        <v>21802</v>
      </c>
      <c r="AO5047" s="144"/>
      <c r="AP5047" s="148">
        <v>80251</v>
      </c>
      <c r="AQ5047" s="144"/>
      <c r="AR5047" s="120"/>
      <c r="AS5047" s="121"/>
      <c r="AT5047" s="120"/>
      <c r="AU5047" s="121"/>
      <c r="AV5047" s="120"/>
      <c r="AW5047" s="121"/>
      <c r="AX5047" s="120"/>
      <c r="AY5047" s="121"/>
      <c r="AZ5047" s="138"/>
    </row>
    <row r="5048" spans="1:52" ht="17.100000000000001" customHeight="1" thickTop="1">
      <c r="A5048" s="151" t="s">
        <v>14955</v>
      </c>
      <c r="B5048" s="28">
        <v>46035</v>
      </c>
      <c r="C5048" s="25">
        <v>958</v>
      </c>
      <c r="D5048" s="13" t="s">
        <v>2442</v>
      </c>
      <c r="E5048" s="111"/>
      <c r="F5048" s="113" t="s">
        <v>2724</v>
      </c>
      <c r="G5048" s="114"/>
      <c r="H5048" s="115"/>
      <c r="I5048" s="24"/>
      <c r="J5048" s="116">
        <v>4</v>
      </c>
      <c r="K5048" s="118">
        <v>1070000</v>
      </c>
      <c r="L5048" s="119"/>
      <c r="M5048" s="118">
        <f t="shared" ref="M5048" si="6050">K5048*0.1</f>
        <v>107000</v>
      </c>
      <c r="N5048" s="119"/>
      <c r="O5048" s="118">
        <v>0</v>
      </c>
      <c r="P5048" s="119"/>
      <c r="Q5048" s="118">
        <v>16240</v>
      </c>
      <c r="R5048" s="119"/>
      <c r="S5048" s="118">
        <v>15950</v>
      </c>
      <c r="T5048" s="119"/>
      <c r="U5048" s="118">
        <f t="shared" ref="U5048" si="6051">SUM(K5048:T5049)</f>
        <v>1209190</v>
      </c>
      <c r="V5048" s="122"/>
      <c r="W5048" s="124"/>
      <c r="X5048" s="126" t="s">
        <v>15411</v>
      </c>
      <c r="Y5048" s="127"/>
      <c r="Z5048" s="127"/>
      <c r="AA5048" s="127"/>
      <c r="AB5048" s="128"/>
      <c r="AC5048" s="15" t="s">
        <v>20</v>
      </c>
      <c r="AD5048" s="129"/>
      <c r="AE5048" s="130"/>
      <c r="AF5048" s="130"/>
      <c r="AG5048" s="130"/>
      <c r="AH5048" s="130"/>
      <c r="AI5048" s="131"/>
      <c r="AJ5048" s="132"/>
      <c r="AK5048" s="127"/>
      <c r="AL5048" s="128"/>
      <c r="AM5048" s="21"/>
      <c r="AN5048" s="133">
        <v>46039</v>
      </c>
      <c r="AO5048" s="134"/>
      <c r="AP5048" s="135">
        <v>1284</v>
      </c>
      <c r="AQ5048" s="136"/>
      <c r="AR5048" s="118">
        <v>1280000</v>
      </c>
      <c r="AS5048" s="119"/>
      <c r="AT5048" s="118">
        <f t="shared" ref="AT5048" si="6052">AR5048*0.1</f>
        <v>128000</v>
      </c>
      <c r="AU5048" s="119"/>
      <c r="AV5048" s="118">
        <v>16240</v>
      </c>
      <c r="AW5048" s="119"/>
      <c r="AX5048" s="118">
        <f t="shared" ref="AX5048" si="6053">SUM(AR5048:AW5048)</f>
        <v>1424240</v>
      </c>
      <c r="AY5048" s="119"/>
      <c r="AZ5048" s="137">
        <v>46044</v>
      </c>
    </row>
    <row r="5049" spans="1:52" ht="17.100000000000001" customHeight="1" thickBot="1">
      <c r="A5049" s="152"/>
      <c r="B5049" s="27" t="s">
        <v>2931</v>
      </c>
      <c r="C5049" s="27">
        <v>30020</v>
      </c>
      <c r="D5049" s="14" t="s">
        <v>1720</v>
      </c>
      <c r="E5049" s="112"/>
      <c r="F5049" s="139" t="s">
        <v>14900</v>
      </c>
      <c r="G5049" s="140"/>
      <c r="H5049" s="141"/>
      <c r="I5049" s="26">
        <v>39953</v>
      </c>
      <c r="J5049" s="117"/>
      <c r="K5049" s="120"/>
      <c r="L5049" s="121"/>
      <c r="M5049" s="120"/>
      <c r="N5049" s="121"/>
      <c r="O5049" s="120"/>
      <c r="P5049" s="121"/>
      <c r="Q5049" s="120"/>
      <c r="R5049" s="121"/>
      <c r="S5049" s="120"/>
      <c r="T5049" s="121"/>
      <c r="U5049" s="120"/>
      <c r="V5049" s="123"/>
      <c r="W5049" s="125"/>
      <c r="X5049" s="142" t="s">
        <v>10201</v>
      </c>
      <c r="Y5049" s="143"/>
      <c r="Z5049" s="143"/>
      <c r="AA5049" s="143"/>
      <c r="AB5049" s="144"/>
      <c r="AC5049" s="16" t="s">
        <v>21</v>
      </c>
      <c r="AD5049" s="17" t="s">
        <v>15379</v>
      </c>
      <c r="AE5049" s="145" t="s">
        <v>4077</v>
      </c>
      <c r="AF5049" s="146"/>
      <c r="AG5049" s="146"/>
      <c r="AH5049" s="146"/>
      <c r="AI5049" s="147"/>
      <c r="AJ5049" s="148"/>
      <c r="AK5049" s="143"/>
      <c r="AL5049" s="144"/>
      <c r="AM5049" s="22"/>
      <c r="AN5049" s="149" t="s">
        <v>2511</v>
      </c>
      <c r="AO5049" s="144"/>
      <c r="AP5049" s="148">
        <v>80365</v>
      </c>
      <c r="AQ5049" s="144"/>
      <c r="AR5049" s="120"/>
      <c r="AS5049" s="121"/>
      <c r="AT5049" s="120"/>
      <c r="AU5049" s="121"/>
      <c r="AV5049" s="120"/>
      <c r="AW5049" s="121"/>
      <c r="AX5049" s="120"/>
      <c r="AY5049" s="121"/>
      <c r="AZ5049" s="138"/>
    </row>
    <row r="5050" spans="1:52" ht="17.100000000000001" customHeight="1" thickTop="1">
      <c r="A5050" s="151" t="s">
        <v>14956</v>
      </c>
      <c r="B5050" s="28">
        <v>46035</v>
      </c>
      <c r="C5050" s="25">
        <v>1271</v>
      </c>
      <c r="D5050" s="13" t="s">
        <v>2001</v>
      </c>
      <c r="E5050" s="111"/>
      <c r="F5050" s="113" t="s">
        <v>12734</v>
      </c>
      <c r="G5050" s="114"/>
      <c r="H5050" s="115"/>
      <c r="I5050" s="24"/>
      <c r="J5050" s="116">
        <v>5</v>
      </c>
      <c r="K5050" s="118">
        <v>1640000</v>
      </c>
      <c r="L5050" s="119"/>
      <c r="M5050" s="118">
        <f t="shared" ref="M5050" si="6054">K5050*0.1</f>
        <v>164000</v>
      </c>
      <c r="N5050" s="119"/>
      <c r="O5050" s="118">
        <v>0</v>
      </c>
      <c r="P5050" s="119"/>
      <c r="Q5050" s="118">
        <v>11370</v>
      </c>
      <c r="R5050" s="119"/>
      <c r="S5050" s="118">
        <v>18150</v>
      </c>
      <c r="T5050" s="119"/>
      <c r="U5050" s="118">
        <f t="shared" ref="U5050" si="6055">SUM(K5050:T5051)</f>
        <v>1833520</v>
      </c>
      <c r="V5050" s="122"/>
      <c r="W5050" s="124"/>
      <c r="X5050" s="126" t="s">
        <v>15323</v>
      </c>
      <c r="Y5050" s="127"/>
      <c r="Z5050" s="127"/>
      <c r="AA5050" s="127"/>
      <c r="AB5050" s="128"/>
      <c r="AC5050" s="15" t="s">
        <v>20</v>
      </c>
      <c r="AD5050" s="129" t="s">
        <v>3178</v>
      </c>
      <c r="AE5050" s="130"/>
      <c r="AF5050" s="130"/>
      <c r="AG5050" s="130"/>
      <c r="AH5050" s="130"/>
      <c r="AI5050" s="131"/>
      <c r="AJ5050" s="132"/>
      <c r="AK5050" s="127"/>
      <c r="AL5050" s="128"/>
      <c r="AM5050" s="21"/>
      <c r="AN5050" s="133">
        <v>46039</v>
      </c>
      <c r="AO5050" s="134"/>
      <c r="AP5050" s="135">
        <v>1284</v>
      </c>
      <c r="AQ5050" s="136"/>
      <c r="AR5050" s="118">
        <v>1845000</v>
      </c>
      <c r="AS5050" s="119"/>
      <c r="AT5050" s="118">
        <v>184500</v>
      </c>
      <c r="AU5050" s="119"/>
      <c r="AV5050" s="118">
        <v>11370</v>
      </c>
      <c r="AW5050" s="119"/>
      <c r="AX5050" s="118">
        <f t="shared" ref="AX5050" si="6056">SUM(AR5050:AW5050)</f>
        <v>2040870</v>
      </c>
      <c r="AY5050" s="119"/>
      <c r="AZ5050" s="137">
        <v>46042</v>
      </c>
    </row>
    <row r="5051" spans="1:52" ht="17.100000000000001" customHeight="1" thickBot="1">
      <c r="A5051" s="152"/>
      <c r="B5051" s="27" t="s">
        <v>7478</v>
      </c>
      <c r="C5051" s="27">
        <v>38179</v>
      </c>
      <c r="D5051" s="14" t="s">
        <v>904</v>
      </c>
      <c r="E5051" s="112"/>
      <c r="F5051" s="139" t="s">
        <v>14961</v>
      </c>
      <c r="G5051" s="140"/>
      <c r="H5051" s="141"/>
      <c r="I5051" s="26">
        <v>9212</v>
      </c>
      <c r="J5051" s="117"/>
      <c r="K5051" s="120"/>
      <c r="L5051" s="121"/>
      <c r="M5051" s="120"/>
      <c r="N5051" s="121"/>
      <c r="O5051" s="120"/>
      <c r="P5051" s="121"/>
      <c r="Q5051" s="120"/>
      <c r="R5051" s="121"/>
      <c r="S5051" s="120"/>
      <c r="T5051" s="121"/>
      <c r="U5051" s="120"/>
      <c r="V5051" s="123"/>
      <c r="W5051" s="125"/>
      <c r="X5051" s="142" t="s">
        <v>15324</v>
      </c>
      <c r="Y5051" s="143"/>
      <c r="Z5051" s="143"/>
      <c r="AA5051" s="143"/>
      <c r="AB5051" s="144"/>
      <c r="AC5051" s="16" t="s">
        <v>21</v>
      </c>
      <c r="AD5051" s="17" t="s">
        <v>1822</v>
      </c>
      <c r="AE5051" s="145" t="s">
        <v>1670</v>
      </c>
      <c r="AF5051" s="146"/>
      <c r="AG5051" s="146"/>
      <c r="AH5051" s="146"/>
      <c r="AI5051" s="147"/>
      <c r="AJ5051" s="148"/>
      <c r="AK5051" s="143"/>
      <c r="AL5051" s="144"/>
      <c r="AM5051" s="22"/>
      <c r="AN5051" s="149" t="s">
        <v>2511</v>
      </c>
      <c r="AO5051" s="144"/>
      <c r="AP5051" s="148">
        <v>80311</v>
      </c>
      <c r="AQ5051" s="144"/>
      <c r="AR5051" s="120"/>
      <c r="AS5051" s="121"/>
      <c r="AT5051" s="120"/>
      <c r="AU5051" s="121"/>
      <c r="AV5051" s="120"/>
      <c r="AW5051" s="121"/>
      <c r="AX5051" s="120"/>
      <c r="AY5051" s="121"/>
      <c r="AZ5051" s="138"/>
    </row>
    <row r="5052" spans="1:52" ht="17.100000000000001" customHeight="1" thickTop="1">
      <c r="A5052" s="109" t="s">
        <v>14957</v>
      </c>
      <c r="B5052" s="28">
        <v>46035</v>
      </c>
      <c r="C5052" s="25">
        <v>1271</v>
      </c>
      <c r="D5052" s="13" t="s">
        <v>2941</v>
      </c>
      <c r="E5052" s="111"/>
      <c r="F5052" s="113" t="s">
        <v>14962</v>
      </c>
      <c r="G5052" s="114"/>
      <c r="H5052" s="115"/>
      <c r="I5052" s="24" t="s">
        <v>2943</v>
      </c>
      <c r="J5052" s="116">
        <v>5</v>
      </c>
      <c r="K5052" s="118">
        <v>1416000</v>
      </c>
      <c r="L5052" s="119"/>
      <c r="M5052" s="118">
        <f t="shared" ref="M5052" si="6057">K5052*0.1</f>
        <v>141600</v>
      </c>
      <c r="N5052" s="119"/>
      <c r="O5052" s="118">
        <f>6500+650</f>
        <v>7150</v>
      </c>
      <c r="P5052" s="119"/>
      <c r="Q5052" s="118">
        <v>19580</v>
      </c>
      <c r="R5052" s="119"/>
      <c r="S5052" s="118">
        <v>18150</v>
      </c>
      <c r="T5052" s="119"/>
      <c r="U5052" s="118">
        <f t="shared" ref="U5052" si="6058">SUM(K5052:T5053)</f>
        <v>1602480</v>
      </c>
      <c r="V5052" s="122"/>
      <c r="W5052" s="124"/>
      <c r="X5052" s="126" t="s">
        <v>15331</v>
      </c>
      <c r="Y5052" s="127"/>
      <c r="Z5052" s="127"/>
      <c r="AA5052" s="127"/>
      <c r="AB5052" s="128"/>
      <c r="AC5052" s="15" t="s">
        <v>20</v>
      </c>
      <c r="AD5052" s="129"/>
      <c r="AE5052" s="130"/>
      <c r="AF5052" s="130"/>
      <c r="AG5052" s="130"/>
      <c r="AH5052" s="130"/>
      <c r="AI5052" s="131"/>
      <c r="AJ5052" s="132"/>
      <c r="AK5052" s="127"/>
      <c r="AL5052" s="128"/>
      <c r="AM5052" s="21"/>
      <c r="AN5052" s="133">
        <v>46060</v>
      </c>
      <c r="AO5052" s="134"/>
      <c r="AP5052" s="135">
        <v>1287</v>
      </c>
      <c r="AQ5052" s="136"/>
      <c r="AR5052" s="118">
        <v>1550000</v>
      </c>
      <c r="AS5052" s="119"/>
      <c r="AT5052" s="118">
        <f t="shared" ref="AT5052" si="6059">AR5052*0.1</f>
        <v>155000</v>
      </c>
      <c r="AU5052" s="119"/>
      <c r="AV5052" s="118">
        <v>19580</v>
      </c>
      <c r="AW5052" s="119"/>
      <c r="AX5052" s="118">
        <f t="shared" ref="AX5052" si="6060">SUM(AR5052:AW5052)</f>
        <v>1724580</v>
      </c>
      <c r="AY5052" s="119"/>
      <c r="AZ5052" s="137">
        <v>46063</v>
      </c>
    </row>
    <row r="5053" spans="1:52" ht="17.100000000000001" customHeight="1" thickBot="1">
      <c r="A5053" s="110"/>
      <c r="B5053" s="27" t="s">
        <v>7478</v>
      </c>
      <c r="C5053" s="27">
        <v>38229</v>
      </c>
      <c r="D5053" s="14" t="s">
        <v>904</v>
      </c>
      <c r="E5053" s="112"/>
      <c r="F5053" s="139" t="s">
        <v>14963</v>
      </c>
      <c r="G5053" s="140"/>
      <c r="H5053" s="141"/>
      <c r="I5053" s="26">
        <v>20129</v>
      </c>
      <c r="J5053" s="117"/>
      <c r="K5053" s="120"/>
      <c r="L5053" s="121"/>
      <c r="M5053" s="120"/>
      <c r="N5053" s="121"/>
      <c r="O5053" s="120"/>
      <c r="P5053" s="121"/>
      <c r="Q5053" s="120"/>
      <c r="R5053" s="121"/>
      <c r="S5053" s="120"/>
      <c r="T5053" s="121"/>
      <c r="U5053" s="120"/>
      <c r="V5053" s="123"/>
      <c r="W5053" s="125"/>
      <c r="X5053" s="142" t="s">
        <v>2321</v>
      </c>
      <c r="Y5053" s="143"/>
      <c r="Z5053" s="143"/>
      <c r="AA5053" s="143"/>
      <c r="AB5053" s="144"/>
      <c r="AC5053" s="16" t="s">
        <v>21</v>
      </c>
      <c r="AD5053" s="17" t="s">
        <v>1822</v>
      </c>
      <c r="AE5053" s="145" t="s">
        <v>15061</v>
      </c>
      <c r="AF5053" s="146"/>
      <c r="AG5053" s="146"/>
      <c r="AH5053" s="146"/>
      <c r="AI5053" s="147"/>
      <c r="AJ5053" s="148"/>
      <c r="AK5053" s="143"/>
      <c r="AL5053" s="144"/>
      <c r="AM5053" s="22"/>
      <c r="AN5053" s="149" t="s">
        <v>2511</v>
      </c>
      <c r="AO5053" s="144"/>
      <c r="AP5053" s="148">
        <v>80159</v>
      </c>
      <c r="AQ5053" s="144"/>
      <c r="AR5053" s="120"/>
      <c r="AS5053" s="121"/>
      <c r="AT5053" s="120"/>
      <c r="AU5053" s="121"/>
      <c r="AV5053" s="120"/>
      <c r="AW5053" s="121"/>
      <c r="AX5053" s="120"/>
      <c r="AY5053" s="121"/>
      <c r="AZ5053" s="138"/>
    </row>
    <row r="5054" spans="1:52" ht="17.100000000000001" customHeight="1" thickTop="1">
      <c r="A5054" s="109" t="s">
        <v>14958</v>
      </c>
      <c r="B5054" s="28">
        <v>46035</v>
      </c>
      <c r="C5054" s="25">
        <v>973</v>
      </c>
      <c r="D5054" s="13" t="s">
        <v>2298</v>
      </c>
      <c r="E5054" s="111"/>
      <c r="F5054" s="113" t="s">
        <v>14977</v>
      </c>
      <c r="G5054" s="114"/>
      <c r="H5054" s="115"/>
      <c r="I5054" s="24"/>
      <c r="J5054" s="116">
        <v>4</v>
      </c>
      <c r="K5054" s="118">
        <v>448000</v>
      </c>
      <c r="L5054" s="119"/>
      <c r="M5054" s="118">
        <f t="shared" ref="M5054" si="6061">K5054*0.1</f>
        <v>44800</v>
      </c>
      <c r="N5054" s="119"/>
      <c r="O5054" s="118">
        <v>0</v>
      </c>
      <c r="P5054" s="119"/>
      <c r="Q5054" s="118">
        <v>7140</v>
      </c>
      <c r="R5054" s="119"/>
      <c r="S5054" s="118">
        <v>22000</v>
      </c>
      <c r="T5054" s="119"/>
      <c r="U5054" s="118">
        <f t="shared" ref="U5054" si="6062">SUM(K5054:T5055)</f>
        <v>521940</v>
      </c>
      <c r="V5054" s="122"/>
      <c r="W5054" s="124"/>
      <c r="X5054" s="126" t="s">
        <v>15626</v>
      </c>
      <c r="Y5054" s="127"/>
      <c r="Z5054" s="127"/>
      <c r="AA5054" s="127"/>
      <c r="AB5054" s="128"/>
      <c r="AC5054" s="15" t="s">
        <v>20</v>
      </c>
      <c r="AD5054" s="129" t="s">
        <v>2054</v>
      </c>
      <c r="AE5054" s="130"/>
      <c r="AF5054" s="130"/>
      <c r="AG5054" s="130"/>
      <c r="AH5054" s="130"/>
      <c r="AI5054" s="131"/>
      <c r="AJ5054" s="132"/>
      <c r="AK5054" s="127"/>
      <c r="AL5054" s="128"/>
      <c r="AM5054" s="21"/>
      <c r="AN5054" s="133">
        <v>46042</v>
      </c>
      <c r="AO5054" s="134"/>
      <c r="AP5054" s="135">
        <v>1925</v>
      </c>
      <c r="AQ5054" s="136"/>
      <c r="AR5054" s="118">
        <v>505000</v>
      </c>
      <c r="AS5054" s="119"/>
      <c r="AT5054" s="118">
        <f t="shared" ref="AT5054" si="6063">AR5054*0.1</f>
        <v>50500</v>
      </c>
      <c r="AU5054" s="119"/>
      <c r="AV5054" s="118">
        <v>7140</v>
      </c>
      <c r="AW5054" s="119"/>
      <c r="AX5054" s="118">
        <f t="shared" ref="AX5054" si="6064">SUM(AR5054:AW5054)</f>
        <v>562640</v>
      </c>
      <c r="AY5054" s="119"/>
      <c r="AZ5054" s="137"/>
    </row>
    <row r="5055" spans="1:52" ht="17.100000000000001" customHeight="1" thickBot="1">
      <c r="A5055" s="110"/>
      <c r="B5055" s="27" t="s">
        <v>2055</v>
      </c>
      <c r="C5055" s="27">
        <v>19</v>
      </c>
      <c r="D5055" s="14" t="s">
        <v>1592</v>
      </c>
      <c r="E5055" s="112"/>
      <c r="F5055" s="139" t="s">
        <v>14964</v>
      </c>
      <c r="G5055" s="140"/>
      <c r="H5055" s="141"/>
      <c r="I5055" s="26">
        <v>48396</v>
      </c>
      <c r="J5055" s="117"/>
      <c r="K5055" s="120"/>
      <c r="L5055" s="121"/>
      <c r="M5055" s="120"/>
      <c r="N5055" s="121"/>
      <c r="O5055" s="120"/>
      <c r="P5055" s="121"/>
      <c r="Q5055" s="120"/>
      <c r="R5055" s="121"/>
      <c r="S5055" s="120"/>
      <c r="T5055" s="121"/>
      <c r="U5055" s="120"/>
      <c r="V5055" s="123"/>
      <c r="W5055" s="125"/>
      <c r="X5055" s="142" t="s">
        <v>2057</v>
      </c>
      <c r="Y5055" s="143"/>
      <c r="Z5055" s="143"/>
      <c r="AA5055" s="143"/>
      <c r="AB5055" s="144"/>
      <c r="AC5055" s="16" t="s">
        <v>21</v>
      </c>
      <c r="AD5055" s="17" t="s">
        <v>15604</v>
      </c>
      <c r="AE5055" s="145" t="s">
        <v>1670</v>
      </c>
      <c r="AF5055" s="146"/>
      <c r="AG5055" s="146"/>
      <c r="AH5055" s="146"/>
      <c r="AI5055" s="147"/>
      <c r="AJ5055" s="148"/>
      <c r="AK5055" s="143"/>
      <c r="AL5055" s="144"/>
      <c r="AM5055" s="22"/>
      <c r="AN5055" s="149" t="s">
        <v>2131</v>
      </c>
      <c r="AO5055" s="144"/>
      <c r="AP5055" s="148">
        <v>3433</v>
      </c>
      <c r="AQ5055" s="144"/>
      <c r="AR5055" s="120"/>
      <c r="AS5055" s="121"/>
      <c r="AT5055" s="120"/>
      <c r="AU5055" s="121"/>
      <c r="AV5055" s="120"/>
      <c r="AW5055" s="121"/>
      <c r="AX5055" s="120"/>
      <c r="AY5055" s="121"/>
      <c r="AZ5055" s="138"/>
    </row>
    <row r="5056" spans="1:52" ht="17.100000000000001" customHeight="1" thickTop="1">
      <c r="A5056" s="109" t="s">
        <v>14959</v>
      </c>
      <c r="B5056" s="28">
        <v>46035</v>
      </c>
      <c r="C5056" s="25">
        <v>973</v>
      </c>
      <c r="D5056" s="13" t="s">
        <v>1776</v>
      </c>
      <c r="E5056" s="111"/>
      <c r="F5056" s="113" t="s">
        <v>14978</v>
      </c>
      <c r="G5056" s="114"/>
      <c r="H5056" s="115"/>
      <c r="I5056" s="24"/>
      <c r="J5056" s="116">
        <v>3.5</v>
      </c>
      <c r="K5056" s="118">
        <v>878000</v>
      </c>
      <c r="L5056" s="119"/>
      <c r="M5056" s="118">
        <v>0</v>
      </c>
      <c r="N5056" s="119"/>
      <c r="O5056" s="118">
        <v>0</v>
      </c>
      <c r="P5056" s="119"/>
      <c r="Q5056" s="118">
        <v>8950</v>
      </c>
      <c r="R5056" s="119"/>
      <c r="S5056" s="118">
        <v>22000</v>
      </c>
      <c r="T5056" s="119"/>
      <c r="U5056" s="118">
        <f t="shared" ref="U5056" si="6065">SUM(K5056:T5057)</f>
        <v>908950</v>
      </c>
      <c r="V5056" s="122"/>
      <c r="W5056" s="124"/>
      <c r="X5056" s="126" t="s">
        <v>15673</v>
      </c>
      <c r="Y5056" s="127"/>
      <c r="Z5056" s="127"/>
      <c r="AA5056" s="127"/>
      <c r="AB5056" s="128"/>
      <c r="AC5056" s="15" t="s">
        <v>20</v>
      </c>
      <c r="AD5056" s="129" t="s">
        <v>14979</v>
      </c>
      <c r="AE5056" s="130"/>
      <c r="AF5056" s="130"/>
      <c r="AG5056" s="130"/>
      <c r="AH5056" s="130"/>
      <c r="AI5056" s="131"/>
      <c r="AJ5056" s="132"/>
      <c r="AK5056" s="127"/>
      <c r="AL5056" s="128"/>
      <c r="AM5056" s="21"/>
      <c r="AN5056" s="133"/>
      <c r="AO5056" s="134"/>
      <c r="AP5056" s="135"/>
      <c r="AQ5056" s="136"/>
      <c r="AR5056" s="118"/>
      <c r="AS5056" s="119"/>
      <c r="AT5056" s="118">
        <f t="shared" ref="AT5056" si="6066">AR5056*0.1</f>
        <v>0</v>
      </c>
      <c r="AU5056" s="119"/>
      <c r="AV5056" s="118"/>
      <c r="AW5056" s="119"/>
      <c r="AX5056" s="118">
        <f t="shared" ref="AX5056" si="6067">SUM(AR5056:AW5056)</f>
        <v>0</v>
      </c>
      <c r="AY5056" s="119"/>
      <c r="AZ5056" s="137"/>
    </row>
    <row r="5057" spans="1:52" ht="17.100000000000001" customHeight="1" thickBot="1">
      <c r="A5057" s="110"/>
      <c r="B5057" s="27" t="s">
        <v>2055</v>
      </c>
      <c r="C5057" s="27">
        <v>79</v>
      </c>
      <c r="D5057" s="14" t="s">
        <v>1592</v>
      </c>
      <c r="E5057" s="112"/>
      <c r="F5057" s="139" t="s">
        <v>14965</v>
      </c>
      <c r="G5057" s="140"/>
      <c r="H5057" s="141"/>
      <c r="I5057" s="26">
        <v>21831</v>
      </c>
      <c r="J5057" s="117"/>
      <c r="K5057" s="120"/>
      <c r="L5057" s="121"/>
      <c r="M5057" s="120"/>
      <c r="N5057" s="121"/>
      <c r="O5057" s="120"/>
      <c r="P5057" s="121"/>
      <c r="Q5057" s="120"/>
      <c r="R5057" s="121"/>
      <c r="S5057" s="120"/>
      <c r="T5057" s="121"/>
      <c r="U5057" s="120"/>
      <c r="V5057" s="123"/>
      <c r="W5057" s="125"/>
      <c r="X5057" s="142" t="s">
        <v>2057</v>
      </c>
      <c r="Y5057" s="143"/>
      <c r="Z5057" s="143"/>
      <c r="AA5057" s="143"/>
      <c r="AB5057" s="144"/>
      <c r="AC5057" s="16" t="s">
        <v>21</v>
      </c>
      <c r="AD5057" s="17" t="s">
        <v>15604</v>
      </c>
      <c r="AE5057" s="145" t="s">
        <v>15695</v>
      </c>
      <c r="AF5057" s="146"/>
      <c r="AG5057" s="146"/>
      <c r="AH5057" s="146"/>
      <c r="AI5057" s="147"/>
      <c r="AJ5057" s="148"/>
      <c r="AK5057" s="143"/>
      <c r="AL5057" s="144"/>
      <c r="AM5057" s="22"/>
      <c r="AN5057" s="149"/>
      <c r="AO5057" s="144"/>
      <c r="AP5057" s="148"/>
      <c r="AQ5057" s="144"/>
      <c r="AR5057" s="120"/>
      <c r="AS5057" s="121"/>
      <c r="AT5057" s="120"/>
      <c r="AU5057" s="121"/>
      <c r="AV5057" s="120"/>
      <c r="AW5057" s="121"/>
      <c r="AX5057" s="120"/>
      <c r="AY5057" s="121"/>
      <c r="AZ5057" s="138"/>
    </row>
    <row r="5058" spans="1:52" ht="17.100000000000001" customHeight="1" thickTop="1">
      <c r="A5058" s="109" t="s">
        <v>14960</v>
      </c>
      <c r="B5058" s="28">
        <v>46035</v>
      </c>
      <c r="C5058" s="25">
        <v>973</v>
      </c>
      <c r="D5058" s="13" t="s">
        <v>2970</v>
      </c>
      <c r="E5058" s="111"/>
      <c r="F5058" s="113" t="s">
        <v>10136</v>
      </c>
      <c r="G5058" s="114"/>
      <c r="H5058" s="115"/>
      <c r="I5058" s="24"/>
      <c r="J5058" s="116">
        <v>3.5</v>
      </c>
      <c r="K5058" s="118">
        <v>628000</v>
      </c>
      <c r="L5058" s="119"/>
      <c r="M5058" s="118">
        <f t="shared" ref="M5058" si="6068">K5058*0.1</f>
        <v>62800</v>
      </c>
      <c r="N5058" s="119"/>
      <c r="O5058" s="118">
        <v>0</v>
      </c>
      <c r="P5058" s="119"/>
      <c r="Q5058" s="118">
        <v>7150</v>
      </c>
      <c r="R5058" s="119"/>
      <c r="S5058" s="118">
        <v>22000</v>
      </c>
      <c r="T5058" s="119"/>
      <c r="U5058" s="118">
        <f t="shared" ref="U5058" si="6069">SUM(K5058:T5059)</f>
        <v>719950</v>
      </c>
      <c r="V5058" s="122"/>
      <c r="W5058" s="124"/>
      <c r="X5058" s="126" t="s">
        <v>15672</v>
      </c>
      <c r="Y5058" s="127"/>
      <c r="Z5058" s="127"/>
      <c r="AA5058" s="127"/>
      <c r="AB5058" s="128"/>
      <c r="AC5058" s="15" t="s">
        <v>20</v>
      </c>
      <c r="AD5058" s="129" t="s">
        <v>14980</v>
      </c>
      <c r="AE5058" s="130"/>
      <c r="AF5058" s="130"/>
      <c r="AG5058" s="130"/>
      <c r="AH5058" s="130"/>
      <c r="AI5058" s="131"/>
      <c r="AJ5058" s="132"/>
      <c r="AK5058" s="127"/>
      <c r="AL5058" s="128"/>
      <c r="AM5058" s="21"/>
      <c r="AN5058" s="133">
        <v>46046</v>
      </c>
      <c r="AO5058" s="134"/>
      <c r="AP5058" s="135">
        <v>1285</v>
      </c>
      <c r="AQ5058" s="136"/>
      <c r="AR5058" s="118">
        <v>735000</v>
      </c>
      <c r="AS5058" s="119"/>
      <c r="AT5058" s="118">
        <f t="shared" ref="AT5058" si="6070">AR5058*0.1</f>
        <v>73500</v>
      </c>
      <c r="AU5058" s="119"/>
      <c r="AV5058" s="118">
        <v>7150</v>
      </c>
      <c r="AW5058" s="119"/>
      <c r="AX5058" s="118">
        <f t="shared" ref="AX5058" si="6071">SUM(AR5058:AW5058)</f>
        <v>815650</v>
      </c>
      <c r="AY5058" s="119"/>
      <c r="AZ5058" s="137">
        <v>46049</v>
      </c>
    </row>
    <row r="5059" spans="1:52" ht="17.100000000000001" customHeight="1" thickBot="1">
      <c r="A5059" s="110"/>
      <c r="B5059" s="27" t="s">
        <v>2055</v>
      </c>
      <c r="C5059" s="27">
        <v>204</v>
      </c>
      <c r="D5059" s="14" t="s">
        <v>1720</v>
      </c>
      <c r="E5059" s="112"/>
      <c r="F5059" s="139" t="s">
        <v>14966</v>
      </c>
      <c r="G5059" s="140"/>
      <c r="H5059" s="141"/>
      <c r="I5059" s="26">
        <v>55695</v>
      </c>
      <c r="J5059" s="117"/>
      <c r="K5059" s="120"/>
      <c r="L5059" s="121"/>
      <c r="M5059" s="120"/>
      <c r="N5059" s="121"/>
      <c r="O5059" s="120"/>
      <c r="P5059" s="121"/>
      <c r="Q5059" s="120"/>
      <c r="R5059" s="121"/>
      <c r="S5059" s="120"/>
      <c r="T5059" s="121"/>
      <c r="U5059" s="120"/>
      <c r="V5059" s="123"/>
      <c r="W5059" s="125"/>
      <c r="X5059" s="142" t="s">
        <v>2057</v>
      </c>
      <c r="Y5059" s="143"/>
      <c r="Z5059" s="143"/>
      <c r="AA5059" s="143"/>
      <c r="AB5059" s="144"/>
      <c r="AC5059" s="16" t="s">
        <v>21</v>
      </c>
      <c r="AD5059" s="17" t="s">
        <v>15604</v>
      </c>
      <c r="AE5059" s="145" t="s">
        <v>9807</v>
      </c>
      <c r="AF5059" s="146"/>
      <c r="AG5059" s="146"/>
      <c r="AH5059" s="146"/>
      <c r="AI5059" s="147"/>
      <c r="AJ5059" s="148"/>
      <c r="AK5059" s="143"/>
      <c r="AL5059" s="144"/>
      <c r="AM5059" s="22"/>
      <c r="AN5059" s="149" t="s">
        <v>2511</v>
      </c>
      <c r="AO5059" s="144"/>
      <c r="AP5059" s="148">
        <v>62019</v>
      </c>
      <c r="AQ5059" s="144"/>
      <c r="AR5059" s="120"/>
      <c r="AS5059" s="121"/>
      <c r="AT5059" s="120"/>
      <c r="AU5059" s="121"/>
      <c r="AV5059" s="120"/>
      <c r="AW5059" s="121"/>
      <c r="AX5059" s="120"/>
      <c r="AY5059" s="121"/>
      <c r="AZ5059" s="138"/>
    </row>
    <row r="5060" spans="1:52" ht="17.100000000000001" customHeight="1" thickTop="1">
      <c r="A5060" s="109" t="s">
        <v>14967</v>
      </c>
      <c r="B5060" s="28">
        <v>46035</v>
      </c>
      <c r="C5060" s="25">
        <v>791</v>
      </c>
      <c r="D5060" s="13" t="s">
        <v>2681</v>
      </c>
      <c r="E5060" s="111"/>
      <c r="F5060" s="113" t="s">
        <v>14982</v>
      </c>
      <c r="G5060" s="114"/>
      <c r="H5060" s="115"/>
      <c r="I5060" s="24"/>
      <c r="J5060" s="116">
        <v>4.5</v>
      </c>
      <c r="K5060" s="118">
        <v>1452000</v>
      </c>
      <c r="L5060" s="119"/>
      <c r="M5060" s="118">
        <f t="shared" ref="M5060" si="6072">K5060*0.1</f>
        <v>145200</v>
      </c>
      <c r="N5060" s="119"/>
      <c r="O5060" s="118">
        <v>0</v>
      </c>
      <c r="P5060" s="119"/>
      <c r="Q5060" s="118">
        <v>15100</v>
      </c>
      <c r="R5060" s="119"/>
      <c r="S5060" s="118">
        <v>22000</v>
      </c>
      <c r="T5060" s="119"/>
      <c r="U5060" s="118">
        <f t="shared" ref="U5060" si="6073">SUM(K5060:T5061)</f>
        <v>1634300</v>
      </c>
      <c r="V5060" s="122"/>
      <c r="W5060" s="124"/>
      <c r="X5060" s="126" t="s">
        <v>15632</v>
      </c>
      <c r="Y5060" s="127"/>
      <c r="Z5060" s="127"/>
      <c r="AA5060" s="127"/>
      <c r="AB5060" s="128"/>
      <c r="AC5060" s="15" t="s">
        <v>20</v>
      </c>
      <c r="AD5060" s="129" t="s">
        <v>14984</v>
      </c>
      <c r="AE5060" s="130"/>
      <c r="AF5060" s="130"/>
      <c r="AG5060" s="130"/>
      <c r="AH5060" s="130"/>
      <c r="AI5060" s="131"/>
      <c r="AJ5060" s="132"/>
      <c r="AK5060" s="127"/>
      <c r="AL5060" s="128"/>
      <c r="AM5060" s="21"/>
      <c r="AN5060" s="133">
        <v>46039</v>
      </c>
      <c r="AO5060" s="134"/>
      <c r="AP5060" s="135">
        <v>1284</v>
      </c>
      <c r="AQ5060" s="136"/>
      <c r="AR5060" s="118">
        <v>1670000</v>
      </c>
      <c r="AS5060" s="119"/>
      <c r="AT5060" s="118">
        <f t="shared" ref="AT5060" si="6074">AR5060*0.1</f>
        <v>167000</v>
      </c>
      <c r="AU5060" s="119"/>
      <c r="AV5060" s="118">
        <v>15100</v>
      </c>
      <c r="AW5060" s="119"/>
      <c r="AX5060" s="118">
        <f t="shared" ref="AX5060" si="6075">SUM(AR5060:AW5060)</f>
        <v>1852100</v>
      </c>
      <c r="AY5060" s="119"/>
      <c r="AZ5060" s="137">
        <v>46049</v>
      </c>
    </row>
    <row r="5061" spans="1:52" ht="17.100000000000001" customHeight="1" thickBot="1">
      <c r="A5061" s="110"/>
      <c r="B5061" s="27" t="s">
        <v>4491</v>
      </c>
      <c r="C5061" s="27">
        <v>220</v>
      </c>
      <c r="D5061" s="14" t="s">
        <v>2800</v>
      </c>
      <c r="E5061" s="112"/>
      <c r="F5061" s="139" t="s">
        <v>14983</v>
      </c>
      <c r="G5061" s="140"/>
      <c r="H5061" s="141"/>
      <c r="I5061" s="26">
        <v>27934</v>
      </c>
      <c r="J5061" s="117"/>
      <c r="K5061" s="120"/>
      <c r="L5061" s="121"/>
      <c r="M5061" s="120"/>
      <c r="N5061" s="121"/>
      <c r="O5061" s="120"/>
      <c r="P5061" s="121"/>
      <c r="Q5061" s="120"/>
      <c r="R5061" s="121"/>
      <c r="S5061" s="120"/>
      <c r="T5061" s="121"/>
      <c r="U5061" s="120"/>
      <c r="V5061" s="123"/>
      <c r="W5061" s="125"/>
      <c r="X5061" s="142" t="s">
        <v>15633</v>
      </c>
      <c r="Y5061" s="143"/>
      <c r="Z5061" s="143"/>
      <c r="AA5061" s="143"/>
      <c r="AB5061" s="144"/>
      <c r="AC5061" s="16" t="s">
        <v>21</v>
      </c>
      <c r="AD5061" s="17" t="s">
        <v>15604</v>
      </c>
      <c r="AE5061" s="145" t="s">
        <v>9056</v>
      </c>
      <c r="AF5061" s="146"/>
      <c r="AG5061" s="146"/>
      <c r="AH5061" s="146"/>
      <c r="AI5061" s="147"/>
      <c r="AJ5061" s="148"/>
      <c r="AK5061" s="143"/>
      <c r="AL5061" s="144"/>
      <c r="AM5061" s="22"/>
      <c r="AN5061" s="149" t="s">
        <v>6748</v>
      </c>
      <c r="AO5061" s="144"/>
      <c r="AP5061" s="148">
        <v>85026</v>
      </c>
      <c r="AQ5061" s="144"/>
      <c r="AR5061" s="120"/>
      <c r="AS5061" s="121"/>
      <c r="AT5061" s="120"/>
      <c r="AU5061" s="121"/>
      <c r="AV5061" s="120"/>
      <c r="AW5061" s="121"/>
      <c r="AX5061" s="120"/>
      <c r="AY5061" s="121"/>
      <c r="AZ5061" s="138"/>
    </row>
    <row r="5062" spans="1:52" ht="17.100000000000001" customHeight="1" thickTop="1">
      <c r="A5062" s="109" t="s">
        <v>14968</v>
      </c>
      <c r="B5062" s="28">
        <v>46036</v>
      </c>
      <c r="C5062" s="25">
        <v>2338</v>
      </c>
      <c r="D5062" s="13" t="s">
        <v>1825</v>
      </c>
      <c r="E5062" s="111"/>
      <c r="F5062" s="113" t="s">
        <v>5494</v>
      </c>
      <c r="G5062" s="114"/>
      <c r="H5062" s="115"/>
      <c r="I5062" s="24"/>
      <c r="J5062" s="116">
        <v>4.5</v>
      </c>
      <c r="K5062" s="118">
        <v>940000</v>
      </c>
      <c r="L5062" s="119"/>
      <c r="M5062" s="118">
        <f t="shared" ref="M5062" si="6076">K5062*0.1</f>
        <v>94000</v>
      </c>
      <c r="N5062" s="119"/>
      <c r="O5062" s="118">
        <v>0</v>
      </c>
      <c r="P5062" s="119"/>
      <c r="Q5062" s="118">
        <v>8010</v>
      </c>
      <c r="R5062" s="119"/>
      <c r="S5062" s="118">
        <v>16500</v>
      </c>
      <c r="T5062" s="119"/>
      <c r="U5062" s="118">
        <f t="shared" ref="U5062" si="6077">SUM(K5062:T5063)</f>
        <v>1058510</v>
      </c>
      <c r="V5062" s="122"/>
      <c r="W5062" s="124"/>
      <c r="X5062" s="126" t="s">
        <v>15070</v>
      </c>
      <c r="Y5062" s="127"/>
      <c r="Z5062" s="127"/>
      <c r="AA5062" s="127"/>
      <c r="AB5062" s="128"/>
      <c r="AC5062" s="15" t="s">
        <v>20</v>
      </c>
      <c r="AD5062" s="129"/>
      <c r="AE5062" s="130"/>
      <c r="AF5062" s="130"/>
      <c r="AG5062" s="130"/>
      <c r="AH5062" s="130"/>
      <c r="AI5062" s="131"/>
      <c r="AJ5062" s="132"/>
      <c r="AK5062" s="127"/>
      <c r="AL5062" s="128"/>
      <c r="AM5062" s="21"/>
      <c r="AN5062" s="133">
        <v>46053</v>
      </c>
      <c r="AO5062" s="134"/>
      <c r="AP5062" s="135">
        <v>1286</v>
      </c>
      <c r="AQ5062" s="136"/>
      <c r="AR5062" s="118">
        <v>1000000</v>
      </c>
      <c r="AS5062" s="119"/>
      <c r="AT5062" s="118">
        <v>100000</v>
      </c>
      <c r="AU5062" s="119"/>
      <c r="AV5062" s="118">
        <v>8010</v>
      </c>
      <c r="AW5062" s="119"/>
      <c r="AX5062" s="118">
        <f t="shared" ref="AX5062" si="6078">SUM(AR5062:AW5062)</f>
        <v>1108010</v>
      </c>
      <c r="AY5062" s="119"/>
      <c r="AZ5062" s="137">
        <v>46056</v>
      </c>
    </row>
    <row r="5063" spans="1:52" ht="17.100000000000001" customHeight="1" thickBot="1">
      <c r="A5063" s="110"/>
      <c r="B5063" s="27" t="s">
        <v>3422</v>
      </c>
      <c r="C5063" s="27">
        <v>20175</v>
      </c>
      <c r="D5063" s="14" t="s">
        <v>1812</v>
      </c>
      <c r="E5063" s="112"/>
      <c r="F5063" s="139" t="s">
        <v>14971</v>
      </c>
      <c r="G5063" s="140"/>
      <c r="H5063" s="141"/>
      <c r="I5063" s="26">
        <v>12511</v>
      </c>
      <c r="J5063" s="117"/>
      <c r="K5063" s="120"/>
      <c r="L5063" s="121"/>
      <c r="M5063" s="120"/>
      <c r="N5063" s="121"/>
      <c r="O5063" s="120"/>
      <c r="P5063" s="121"/>
      <c r="Q5063" s="120"/>
      <c r="R5063" s="121"/>
      <c r="S5063" s="120"/>
      <c r="T5063" s="121"/>
      <c r="U5063" s="120"/>
      <c r="V5063" s="123"/>
      <c r="W5063" s="125"/>
      <c r="X5063" s="142" t="s">
        <v>2440</v>
      </c>
      <c r="Y5063" s="143"/>
      <c r="Z5063" s="143"/>
      <c r="AA5063" s="143"/>
      <c r="AB5063" s="144"/>
      <c r="AC5063" s="16" t="s">
        <v>21</v>
      </c>
      <c r="AD5063" s="17" t="s">
        <v>15056</v>
      </c>
      <c r="AE5063" s="145" t="s">
        <v>1633</v>
      </c>
      <c r="AF5063" s="146"/>
      <c r="AG5063" s="146"/>
      <c r="AH5063" s="146"/>
      <c r="AI5063" s="147"/>
      <c r="AJ5063" s="148"/>
      <c r="AK5063" s="143"/>
      <c r="AL5063" s="144"/>
      <c r="AM5063" s="22"/>
      <c r="AN5063" s="149" t="s">
        <v>2511</v>
      </c>
      <c r="AO5063" s="144"/>
      <c r="AP5063" s="148">
        <v>60037</v>
      </c>
      <c r="AQ5063" s="144"/>
      <c r="AR5063" s="120"/>
      <c r="AS5063" s="121"/>
      <c r="AT5063" s="120"/>
      <c r="AU5063" s="121"/>
      <c r="AV5063" s="120"/>
      <c r="AW5063" s="121"/>
      <c r="AX5063" s="120"/>
      <c r="AY5063" s="121"/>
      <c r="AZ5063" s="138"/>
    </row>
    <row r="5064" spans="1:52" ht="17.100000000000001" customHeight="1" thickTop="1">
      <c r="A5064" s="109" t="s">
        <v>14969</v>
      </c>
      <c r="B5064" s="28">
        <v>46036</v>
      </c>
      <c r="C5064" s="25">
        <v>1821</v>
      </c>
      <c r="D5064" s="13" t="s">
        <v>1803</v>
      </c>
      <c r="E5064" s="111"/>
      <c r="F5064" s="113" t="s">
        <v>14981</v>
      </c>
      <c r="G5064" s="114"/>
      <c r="H5064" s="115"/>
      <c r="I5064" s="24"/>
      <c r="J5064" s="116">
        <v>4.5</v>
      </c>
      <c r="K5064" s="118">
        <v>1355000</v>
      </c>
      <c r="L5064" s="119"/>
      <c r="M5064" s="118">
        <f t="shared" ref="M5064" si="6079">K5064*0.1</f>
        <v>135500</v>
      </c>
      <c r="N5064" s="119"/>
      <c r="O5064" s="118">
        <v>0</v>
      </c>
      <c r="P5064" s="119"/>
      <c r="Q5064" s="118">
        <v>10190</v>
      </c>
      <c r="R5064" s="119"/>
      <c r="S5064" s="118">
        <v>18150</v>
      </c>
      <c r="T5064" s="119"/>
      <c r="U5064" s="118">
        <f t="shared" ref="U5064" si="6080">SUM(K5064:T5065)</f>
        <v>1518840</v>
      </c>
      <c r="V5064" s="122"/>
      <c r="W5064" s="124"/>
      <c r="X5064" s="126" t="s">
        <v>15320</v>
      </c>
      <c r="Y5064" s="127"/>
      <c r="Z5064" s="127"/>
      <c r="AA5064" s="127"/>
      <c r="AB5064" s="128"/>
      <c r="AC5064" s="15" t="s">
        <v>20</v>
      </c>
      <c r="AD5064" s="129"/>
      <c r="AE5064" s="130"/>
      <c r="AF5064" s="130"/>
      <c r="AG5064" s="130"/>
      <c r="AH5064" s="130"/>
      <c r="AI5064" s="131"/>
      <c r="AJ5064" s="132"/>
      <c r="AK5064" s="127"/>
      <c r="AL5064" s="128"/>
      <c r="AM5064" s="21"/>
      <c r="AN5064" s="133">
        <v>46046</v>
      </c>
      <c r="AO5064" s="134"/>
      <c r="AP5064" s="135">
        <v>1285</v>
      </c>
      <c r="AQ5064" s="136"/>
      <c r="AR5064" s="118">
        <v>1505000</v>
      </c>
      <c r="AS5064" s="119"/>
      <c r="AT5064" s="118">
        <f t="shared" ref="AT5064" si="6081">AR5064*0.1</f>
        <v>150500</v>
      </c>
      <c r="AU5064" s="119"/>
      <c r="AV5064" s="118">
        <v>10190</v>
      </c>
      <c r="AW5064" s="119"/>
      <c r="AX5064" s="118">
        <f t="shared" ref="AX5064" si="6082">SUM(AR5064:AW5064)</f>
        <v>1665690</v>
      </c>
      <c r="AY5064" s="119"/>
      <c r="AZ5064" s="137">
        <v>46049</v>
      </c>
    </row>
    <row r="5065" spans="1:52" ht="17.100000000000001" customHeight="1" thickBot="1">
      <c r="A5065" s="110"/>
      <c r="B5065" s="27" t="s">
        <v>2559</v>
      </c>
      <c r="C5065" s="27">
        <v>30244</v>
      </c>
      <c r="D5065" s="14" t="s">
        <v>2601</v>
      </c>
      <c r="E5065" s="112"/>
      <c r="F5065" s="139" t="s">
        <v>14973</v>
      </c>
      <c r="G5065" s="140"/>
      <c r="H5065" s="141"/>
      <c r="I5065" s="26">
        <v>66658</v>
      </c>
      <c r="J5065" s="117"/>
      <c r="K5065" s="120"/>
      <c r="L5065" s="121"/>
      <c r="M5065" s="120"/>
      <c r="N5065" s="121"/>
      <c r="O5065" s="120"/>
      <c r="P5065" s="121"/>
      <c r="Q5065" s="120"/>
      <c r="R5065" s="121"/>
      <c r="S5065" s="120"/>
      <c r="T5065" s="121"/>
      <c r="U5065" s="120"/>
      <c r="V5065" s="123"/>
      <c r="W5065" s="125"/>
      <c r="X5065" s="142" t="s">
        <v>15321</v>
      </c>
      <c r="Y5065" s="143"/>
      <c r="Z5065" s="143"/>
      <c r="AA5065" s="143"/>
      <c r="AB5065" s="144"/>
      <c r="AC5065" s="16" t="s">
        <v>21</v>
      </c>
      <c r="AD5065" s="17" t="s">
        <v>15315</v>
      </c>
      <c r="AE5065" s="145" t="s">
        <v>15322</v>
      </c>
      <c r="AF5065" s="146"/>
      <c r="AG5065" s="146"/>
      <c r="AH5065" s="146"/>
      <c r="AI5065" s="147"/>
      <c r="AJ5065" s="148"/>
      <c r="AK5065" s="143"/>
      <c r="AL5065" s="144"/>
      <c r="AM5065" s="22"/>
      <c r="AN5065" s="149" t="s">
        <v>2511</v>
      </c>
      <c r="AO5065" s="144"/>
      <c r="AP5065" s="148">
        <v>13045</v>
      </c>
      <c r="AQ5065" s="144"/>
      <c r="AR5065" s="120"/>
      <c r="AS5065" s="121"/>
      <c r="AT5065" s="120"/>
      <c r="AU5065" s="121"/>
      <c r="AV5065" s="120"/>
      <c r="AW5065" s="121"/>
      <c r="AX5065" s="120"/>
      <c r="AY5065" s="121"/>
      <c r="AZ5065" s="138"/>
    </row>
    <row r="5066" spans="1:52" ht="17.100000000000001" customHeight="1" thickTop="1">
      <c r="A5066" s="151" t="s">
        <v>14970</v>
      </c>
      <c r="B5066" s="28">
        <v>46036</v>
      </c>
      <c r="C5066" s="25">
        <v>1821</v>
      </c>
      <c r="D5066" s="13" t="s">
        <v>2606</v>
      </c>
      <c r="E5066" s="111"/>
      <c r="F5066" s="113" t="s">
        <v>14974</v>
      </c>
      <c r="G5066" s="114"/>
      <c r="H5066" s="115"/>
      <c r="I5066" s="24"/>
      <c r="J5066" s="116">
        <v>4.5</v>
      </c>
      <c r="K5066" s="118">
        <v>1455000</v>
      </c>
      <c r="L5066" s="119"/>
      <c r="M5066" s="118">
        <f t="shared" ref="M5066" si="6083">K5066*0.1</f>
        <v>145500</v>
      </c>
      <c r="N5066" s="119"/>
      <c r="O5066" s="118">
        <v>0</v>
      </c>
      <c r="P5066" s="119"/>
      <c r="Q5066" s="118">
        <v>18220</v>
      </c>
      <c r="R5066" s="119"/>
      <c r="S5066" s="118">
        <v>18150</v>
      </c>
      <c r="T5066" s="119"/>
      <c r="U5066" s="118">
        <f t="shared" ref="U5066" si="6084">SUM(K5066:T5067)</f>
        <v>1636870</v>
      </c>
      <c r="V5066" s="122"/>
      <c r="W5066" s="124"/>
      <c r="X5066" s="126" t="s">
        <v>15325</v>
      </c>
      <c r="Y5066" s="127"/>
      <c r="Z5066" s="127"/>
      <c r="AA5066" s="127"/>
      <c r="AB5066" s="128"/>
      <c r="AC5066" s="15" t="s">
        <v>20</v>
      </c>
      <c r="AD5066" s="129"/>
      <c r="AE5066" s="130"/>
      <c r="AF5066" s="130"/>
      <c r="AG5066" s="130"/>
      <c r="AH5066" s="130"/>
      <c r="AI5066" s="131"/>
      <c r="AJ5066" s="132"/>
      <c r="AK5066" s="127"/>
      <c r="AL5066" s="128"/>
      <c r="AM5066" s="21"/>
      <c r="AN5066" s="133">
        <v>46039</v>
      </c>
      <c r="AO5066" s="134"/>
      <c r="AP5066" s="135">
        <v>1284</v>
      </c>
      <c r="AQ5066" s="136"/>
      <c r="AR5066" s="118">
        <v>1720000</v>
      </c>
      <c r="AS5066" s="119"/>
      <c r="AT5066" s="118">
        <f t="shared" ref="AT5066" si="6085">AR5066*0.1</f>
        <v>172000</v>
      </c>
      <c r="AU5066" s="119"/>
      <c r="AV5066" s="118">
        <v>18220</v>
      </c>
      <c r="AW5066" s="119"/>
      <c r="AX5066" s="118">
        <f t="shared" ref="AX5066" si="6086">SUM(AR5066:AW5066)</f>
        <v>1910220</v>
      </c>
      <c r="AY5066" s="119"/>
      <c r="AZ5066" s="137">
        <v>46042</v>
      </c>
    </row>
    <row r="5067" spans="1:52" ht="17.100000000000001" customHeight="1" thickBot="1">
      <c r="A5067" s="152"/>
      <c r="B5067" s="27" t="s">
        <v>15075</v>
      </c>
      <c r="C5067" s="27">
        <v>38047</v>
      </c>
      <c r="D5067" s="14" t="s">
        <v>1592</v>
      </c>
      <c r="E5067" s="112"/>
      <c r="F5067" s="139" t="s">
        <v>14975</v>
      </c>
      <c r="G5067" s="140"/>
      <c r="H5067" s="141"/>
      <c r="I5067" s="26">
        <v>15996</v>
      </c>
      <c r="J5067" s="117"/>
      <c r="K5067" s="120"/>
      <c r="L5067" s="121"/>
      <c r="M5067" s="120"/>
      <c r="N5067" s="121"/>
      <c r="O5067" s="120"/>
      <c r="P5067" s="121"/>
      <c r="Q5067" s="120"/>
      <c r="R5067" s="121"/>
      <c r="S5067" s="120"/>
      <c r="T5067" s="121"/>
      <c r="U5067" s="120"/>
      <c r="V5067" s="123"/>
      <c r="W5067" s="125"/>
      <c r="X5067" s="142" t="s">
        <v>3455</v>
      </c>
      <c r="Y5067" s="143"/>
      <c r="Z5067" s="143"/>
      <c r="AA5067" s="143"/>
      <c r="AB5067" s="144"/>
      <c r="AC5067" s="16" t="s">
        <v>21</v>
      </c>
      <c r="AD5067" s="17" t="s">
        <v>1822</v>
      </c>
      <c r="AE5067" s="145" t="s">
        <v>4077</v>
      </c>
      <c r="AF5067" s="146"/>
      <c r="AG5067" s="146"/>
      <c r="AH5067" s="146"/>
      <c r="AI5067" s="147"/>
      <c r="AJ5067" s="148"/>
      <c r="AK5067" s="143"/>
      <c r="AL5067" s="144"/>
      <c r="AM5067" s="22"/>
      <c r="AN5067" s="149" t="s">
        <v>2511</v>
      </c>
      <c r="AO5067" s="144"/>
      <c r="AP5067" s="148">
        <v>80343</v>
      </c>
      <c r="AQ5067" s="144"/>
      <c r="AR5067" s="120"/>
      <c r="AS5067" s="121"/>
      <c r="AT5067" s="120"/>
      <c r="AU5067" s="121"/>
      <c r="AV5067" s="120"/>
      <c r="AW5067" s="121"/>
      <c r="AX5067" s="120"/>
      <c r="AY5067" s="121"/>
      <c r="AZ5067" s="138"/>
    </row>
    <row r="5068" spans="1:52" ht="17.100000000000001" customHeight="1" thickTop="1">
      <c r="A5068" s="109" t="s">
        <v>14972</v>
      </c>
      <c r="B5068" s="28">
        <v>46036</v>
      </c>
      <c r="C5068" s="25">
        <v>1821</v>
      </c>
      <c r="D5068" s="13" t="s">
        <v>1767</v>
      </c>
      <c r="E5068" s="111"/>
      <c r="F5068" s="113" t="s">
        <v>2724</v>
      </c>
      <c r="G5068" s="114"/>
      <c r="H5068" s="115"/>
      <c r="I5068" s="24"/>
      <c r="J5068" s="116">
        <v>4.5</v>
      </c>
      <c r="K5068" s="118">
        <v>740000</v>
      </c>
      <c r="L5068" s="119"/>
      <c r="M5068" s="118">
        <v>74000</v>
      </c>
      <c r="N5068" s="119"/>
      <c r="O5068" s="118">
        <v>0</v>
      </c>
      <c r="P5068" s="119"/>
      <c r="Q5068" s="118">
        <v>18960</v>
      </c>
      <c r="R5068" s="119"/>
      <c r="S5068" s="118">
        <v>18150</v>
      </c>
      <c r="T5068" s="119"/>
      <c r="U5068" s="118">
        <f t="shared" ref="U5068" si="6087">SUM(K5068:T5069)</f>
        <v>851110</v>
      </c>
      <c r="V5068" s="122"/>
      <c r="W5068" s="124"/>
      <c r="X5068" s="126" t="s">
        <v>15330</v>
      </c>
      <c r="Y5068" s="127"/>
      <c r="Z5068" s="127"/>
      <c r="AA5068" s="127"/>
      <c r="AB5068" s="128"/>
      <c r="AC5068" s="15" t="s">
        <v>20</v>
      </c>
      <c r="AD5068" s="129"/>
      <c r="AE5068" s="130"/>
      <c r="AF5068" s="130"/>
      <c r="AG5068" s="130"/>
      <c r="AH5068" s="130"/>
      <c r="AI5068" s="131"/>
      <c r="AJ5068" s="132"/>
      <c r="AK5068" s="127"/>
      <c r="AL5068" s="128"/>
      <c r="AM5068" s="21"/>
      <c r="AN5068" s="133">
        <v>46053</v>
      </c>
      <c r="AO5068" s="134"/>
      <c r="AP5068" s="135">
        <v>1286</v>
      </c>
      <c r="AQ5068" s="136"/>
      <c r="AR5068" s="118">
        <v>845000</v>
      </c>
      <c r="AS5068" s="119"/>
      <c r="AT5068" s="118">
        <f t="shared" ref="AT5068" si="6088">AR5068*0.1</f>
        <v>84500</v>
      </c>
      <c r="AU5068" s="119"/>
      <c r="AV5068" s="118">
        <v>18960</v>
      </c>
      <c r="AW5068" s="119"/>
      <c r="AX5068" s="118">
        <f t="shared" ref="AX5068" si="6089">SUM(AR5068:AW5068)</f>
        <v>948460</v>
      </c>
      <c r="AY5068" s="119"/>
      <c r="AZ5068" s="137">
        <v>46056</v>
      </c>
    </row>
    <row r="5069" spans="1:52" ht="17.100000000000001" customHeight="1" thickBot="1">
      <c r="A5069" s="110"/>
      <c r="B5069" s="27" t="s">
        <v>2559</v>
      </c>
      <c r="C5069" s="27">
        <v>38142</v>
      </c>
      <c r="D5069" s="14" t="s">
        <v>1601</v>
      </c>
      <c r="E5069" s="112"/>
      <c r="F5069" s="139" t="s">
        <v>14976</v>
      </c>
      <c r="G5069" s="140"/>
      <c r="H5069" s="141"/>
      <c r="I5069" s="26">
        <v>48131</v>
      </c>
      <c r="J5069" s="117"/>
      <c r="K5069" s="120"/>
      <c r="L5069" s="121"/>
      <c r="M5069" s="120"/>
      <c r="N5069" s="121"/>
      <c r="O5069" s="120"/>
      <c r="P5069" s="121"/>
      <c r="Q5069" s="120"/>
      <c r="R5069" s="121"/>
      <c r="S5069" s="120"/>
      <c r="T5069" s="121"/>
      <c r="U5069" s="120"/>
      <c r="V5069" s="123"/>
      <c r="W5069" s="125"/>
      <c r="X5069" s="142" t="s">
        <v>4377</v>
      </c>
      <c r="Y5069" s="143"/>
      <c r="Z5069" s="143"/>
      <c r="AA5069" s="143"/>
      <c r="AB5069" s="144"/>
      <c r="AC5069" s="16" t="s">
        <v>21</v>
      </c>
      <c r="AD5069" s="17" t="s">
        <v>1822</v>
      </c>
      <c r="AE5069" s="145" t="s">
        <v>12125</v>
      </c>
      <c r="AF5069" s="146"/>
      <c r="AG5069" s="146"/>
      <c r="AH5069" s="146"/>
      <c r="AI5069" s="147"/>
      <c r="AJ5069" s="148"/>
      <c r="AK5069" s="143"/>
      <c r="AL5069" s="144"/>
      <c r="AM5069" s="22"/>
      <c r="AN5069" s="149" t="s">
        <v>2511</v>
      </c>
      <c r="AO5069" s="144"/>
      <c r="AP5069" s="148">
        <v>80214</v>
      </c>
      <c r="AQ5069" s="144"/>
      <c r="AR5069" s="120"/>
      <c r="AS5069" s="121"/>
      <c r="AT5069" s="120"/>
      <c r="AU5069" s="121"/>
      <c r="AV5069" s="120"/>
      <c r="AW5069" s="121"/>
      <c r="AX5069" s="120"/>
      <c r="AY5069" s="121"/>
      <c r="AZ5069" s="138"/>
    </row>
    <row r="5070" spans="1:52" ht="17.100000000000001" customHeight="1" thickTop="1">
      <c r="A5070" s="109" t="s">
        <v>15077</v>
      </c>
      <c r="B5070" s="28">
        <v>46037</v>
      </c>
      <c r="C5070" s="25">
        <v>2010</v>
      </c>
      <c r="D5070" s="13" t="s">
        <v>2415</v>
      </c>
      <c r="E5070" s="111"/>
      <c r="F5070" s="113" t="s">
        <v>6960</v>
      </c>
      <c r="G5070" s="114"/>
      <c r="H5070" s="115"/>
      <c r="I5070" s="24" t="s">
        <v>2584</v>
      </c>
      <c r="J5070" s="116">
        <v>4.5</v>
      </c>
      <c r="K5070" s="118">
        <v>1563000</v>
      </c>
      <c r="L5070" s="119"/>
      <c r="M5070" s="118">
        <f t="shared" ref="M5070" si="6090">K5070*0.1</f>
        <v>156300</v>
      </c>
      <c r="N5070" s="119"/>
      <c r="O5070" s="118">
        <v>0</v>
      </c>
      <c r="P5070" s="119"/>
      <c r="Q5070" s="118">
        <v>9130</v>
      </c>
      <c r="R5070" s="119"/>
      <c r="S5070" s="118">
        <v>22000</v>
      </c>
      <c r="T5070" s="119"/>
      <c r="U5070" s="118">
        <f t="shared" ref="U5070" si="6091">SUM(K5070:T5071)</f>
        <v>1750430</v>
      </c>
      <c r="V5070" s="122"/>
      <c r="W5070" s="124"/>
      <c r="X5070" s="126" t="s">
        <v>15196</v>
      </c>
      <c r="Y5070" s="127"/>
      <c r="Z5070" s="127"/>
      <c r="AA5070" s="127"/>
      <c r="AB5070" s="128"/>
      <c r="AC5070" s="15" t="s">
        <v>20</v>
      </c>
      <c r="AD5070" s="129" t="s">
        <v>15197</v>
      </c>
      <c r="AE5070" s="130"/>
      <c r="AF5070" s="130"/>
      <c r="AG5070" s="130"/>
      <c r="AH5070" s="130"/>
      <c r="AI5070" s="131"/>
      <c r="AJ5070" s="132"/>
      <c r="AK5070" s="127"/>
      <c r="AL5070" s="128"/>
      <c r="AM5070" s="21"/>
      <c r="AN5070" s="133">
        <v>46049</v>
      </c>
      <c r="AO5070" s="134"/>
      <c r="AP5070" s="135">
        <v>1926</v>
      </c>
      <c r="AQ5070" s="136"/>
      <c r="AR5070" s="118">
        <v>1582000</v>
      </c>
      <c r="AS5070" s="119"/>
      <c r="AT5070" s="118">
        <f t="shared" ref="AT5070" si="6092">AR5070*0.1</f>
        <v>158200</v>
      </c>
      <c r="AU5070" s="119"/>
      <c r="AV5070" s="118">
        <v>9130</v>
      </c>
      <c r="AW5070" s="119"/>
      <c r="AX5070" s="118">
        <f t="shared" ref="AX5070" si="6093">SUM(AR5070:AW5070)</f>
        <v>1749330</v>
      </c>
      <c r="AY5070" s="119"/>
      <c r="AZ5070" s="137"/>
    </row>
    <row r="5071" spans="1:52" ht="17.100000000000001" customHeight="1" thickBot="1">
      <c r="A5071" s="110"/>
      <c r="B5071" s="27" t="s">
        <v>2727</v>
      </c>
      <c r="C5071" s="27">
        <v>50144</v>
      </c>
      <c r="D5071" s="14" t="s">
        <v>133</v>
      </c>
      <c r="E5071" s="112"/>
      <c r="F5071" s="139" t="s">
        <v>15076</v>
      </c>
      <c r="G5071" s="140"/>
      <c r="H5071" s="141"/>
      <c r="I5071" s="26">
        <v>14357</v>
      </c>
      <c r="J5071" s="117"/>
      <c r="K5071" s="120"/>
      <c r="L5071" s="121"/>
      <c r="M5071" s="120"/>
      <c r="N5071" s="121"/>
      <c r="O5071" s="120"/>
      <c r="P5071" s="121"/>
      <c r="Q5071" s="120"/>
      <c r="R5071" s="121"/>
      <c r="S5071" s="120"/>
      <c r="T5071" s="121"/>
      <c r="U5071" s="120"/>
      <c r="V5071" s="123"/>
      <c r="W5071" s="125"/>
      <c r="X5071" s="142" t="s">
        <v>15671</v>
      </c>
      <c r="Y5071" s="143"/>
      <c r="Z5071" s="143"/>
      <c r="AA5071" s="143"/>
      <c r="AB5071" s="144"/>
      <c r="AC5071" s="16" t="s">
        <v>21</v>
      </c>
      <c r="AD5071" s="17" t="s">
        <v>15604</v>
      </c>
      <c r="AE5071" s="145" t="s">
        <v>1609</v>
      </c>
      <c r="AF5071" s="146"/>
      <c r="AG5071" s="146"/>
      <c r="AH5071" s="146"/>
      <c r="AI5071" s="147"/>
      <c r="AJ5071" s="148"/>
      <c r="AK5071" s="143"/>
      <c r="AL5071" s="144"/>
      <c r="AM5071" s="22"/>
      <c r="AN5071" s="149" t="s">
        <v>2131</v>
      </c>
      <c r="AO5071" s="144"/>
      <c r="AP5071" s="148">
        <v>3067</v>
      </c>
      <c r="AQ5071" s="144"/>
      <c r="AR5071" s="120"/>
      <c r="AS5071" s="121"/>
      <c r="AT5071" s="120"/>
      <c r="AU5071" s="121"/>
      <c r="AV5071" s="120"/>
      <c r="AW5071" s="121"/>
      <c r="AX5071" s="120"/>
      <c r="AY5071" s="121"/>
      <c r="AZ5071" s="138"/>
    </row>
    <row r="5072" spans="1:52" ht="17.100000000000001" customHeight="1" thickTop="1">
      <c r="A5072" s="109" t="s">
        <v>15078</v>
      </c>
      <c r="B5072" s="28">
        <v>46037</v>
      </c>
      <c r="C5072" s="25">
        <v>1966</v>
      </c>
      <c r="D5072" s="13" t="s">
        <v>1712</v>
      </c>
      <c r="E5072" s="111"/>
      <c r="F5072" s="113" t="s">
        <v>15087</v>
      </c>
      <c r="G5072" s="114"/>
      <c r="H5072" s="115"/>
      <c r="I5072" s="24"/>
      <c r="J5072" s="116">
        <v>4</v>
      </c>
      <c r="K5072" s="118">
        <v>568000</v>
      </c>
      <c r="L5072" s="119"/>
      <c r="M5072" s="118">
        <f t="shared" ref="M5072" si="6094">K5072*0.1</f>
        <v>56800</v>
      </c>
      <c r="N5072" s="119"/>
      <c r="O5072" s="118">
        <v>0</v>
      </c>
      <c r="P5072" s="119"/>
      <c r="Q5072" s="118">
        <v>9790</v>
      </c>
      <c r="R5072" s="119"/>
      <c r="S5072" s="118">
        <v>17050</v>
      </c>
      <c r="T5072" s="119"/>
      <c r="U5072" s="118">
        <f t="shared" ref="U5072" si="6095">SUM(K5072:T5073)</f>
        <v>651640</v>
      </c>
      <c r="V5072" s="122"/>
      <c r="W5072" s="124"/>
      <c r="X5072" s="126" t="s">
        <v>15674</v>
      </c>
      <c r="Y5072" s="127"/>
      <c r="Z5072" s="127"/>
      <c r="AA5072" s="127"/>
      <c r="AB5072" s="128"/>
      <c r="AC5072" s="15" t="s">
        <v>20</v>
      </c>
      <c r="AD5072" s="129"/>
      <c r="AE5072" s="130"/>
      <c r="AF5072" s="130"/>
      <c r="AG5072" s="130"/>
      <c r="AH5072" s="130"/>
      <c r="AI5072" s="131"/>
      <c r="AJ5072" s="132"/>
      <c r="AK5072" s="127"/>
      <c r="AL5072" s="128"/>
      <c r="AM5072" s="21"/>
      <c r="AN5072" s="133">
        <v>46053</v>
      </c>
      <c r="AO5072" s="134"/>
      <c r="AP5072" s="135">
        <v>1286</v>
      </c>
      <c r="AQ5072" s="136"/>
      <c r="AR5072" s="118">
        <v>625000</v>
      </c>
      <c r="AS5072" s="119"/>
      <c r="AT5072" s="118">
        <f t="shared" ref="AT5072" si="6096">AR5072*0.1</f>
        <v>62500</v>
      </c>
      <c r="AU5072" s="119"/>
      <c r="AV5072" s="118">
        <v>9790</v>
      </c>
      <c r="AW5072" s="119"/>
      <c r="AX5072" s="118">
        <f t="shared" ref="AX5072" si="6097">SUM(AR5072:AW5072)</f>
        <v>697290</v>
      </c>
      <c r="AY5072" s="119"/>
      <c r="AZ5072" s="137">
        <v>46056</v>
      </c>
    </row>
    <row r="5073" spans="1:52" ht="17.100000000000001" customHeight="1" thickBot="1">
      <c r="A5073" s="110"/>
      <c r="B5073" s="27" t="s">
        <v>3792</v>
      </c>
      <c r="C5073" s="27">
        <v>3059</v>
      </c>
      <c r="D5073" s="14" t="s">
        <v>2601</v>
      </c>
      <c r="E5073" s="112"/>
      <c r="F5073" s="139" t="s">
        <v>15088</v>
      </c>
      <c r="G5073" s="140"/>
      <c r="H5073" s="141"/>
      <c r="I5073" s="26">
        <v>70607</v>
      </c>
      <c r="J5073" s="117"/>
      <c r="K5073" s="120"/>
      <c r="L5073" s="121"/>
      <c r="M5073" s="120"/>
      <c r="N5073" s="121"/>
      <c r="O5073" s="120"/>
      <c r="P5073" s="121"/>
      <c r="Q5073" s="120"/>
      <c r="R5073" s="121"/>
      <c r="S5073" s="120"/>
      <c r="T5073" s="121"/>
      <c r="U5073" s="120"/>
      <c r="V5073" s="123"/>
      <c r="W5073" s="125"/>
      <c r="X5073" s="142" t="s">
        <v>15675</v>
      </c>
      <c r="Y5073" s="143"/>
      <c r="Z5073" s="143"/>
      <c r="AA5073" s="143"/>
      <c r="AB5073" s="144"/>
      <c r="AC5073" s="16" t="s">
        <v>21</v>
      </c>
      <c r="AD5073" s="17" t="s">
        <v>15604</v>
      </c>
      <c r="AE5073" s="145"/>
      <c r="AF5073" s="146"/>
      <c r="AG5073" s="146"/>
      <c r="AH5073" s="146"/>
      <c r="AI5073" s="147"/>
      <c r="AJ5073" s="148"/>
      <c r="AK5073" s="143"/>
      <c r="AL5073" s="144"/>
      <c r="AM5073" s="22"/>
      <c r="AN5073" s="149" t="s">
        <v>2511</v>
      </c>
      <c r="AO5073" s="144"/>
      <c r="AP5073" s="148">
        <v>60226</v>
      </c>
      <c r="AQ5073" s="144"/>
      <c r="AR5073" s="120"/>
      <c r="AS5073" s="121"/>
      <c r="AT5073" s="120"/>
      <c r="AU5073" s="121"/>
      <c r="AV5073" s="120"/>
      <c r="AW5073" s="121"/>
      <c r="AX5073" s="120"/>
      <c r="AY5073" s="121"/>
      <c r="AZ5073" s="138"/>
    </row>
    <row r="5074" spans="1:52" ht="17.100000000000001" customHeight="1" thickTop="1">
      <c r="A5074" s="109" t="s">
        <v>15079</v>
      </c>
      <c r="B5074" s="28">
        <v>46037</v>
      </c>
      <c r="C5074" s="25">
        <v>1966</v>
      </c>
      <c r="D5074" s="13" t="s">
        <v>1059</v>
      </c>
      <c r="E5074" s="111"/>
      <c r="F5074" s="113" t="s">
        <v>15089</v>
      </c>
      <c r="G5074" s="114"/>
      <c r="H5074" s="115"/>
      <c r="I5074" s="24"/>
      <c r="J5074" s="116">
        <v>4.5</v>
      </c>
      <c r="K5074" s="118">
        <v>976000</v>
      </c>
      <c r="L5074" s="119"/>
      <c r="M5074" s="118">
        <f t="shared" ref="M5074" si="6098">K5074*0.1</f>
        <v>97600</v>
      </c>
      <c r="N5074" s="119"/>
      <c r="O5074" s="118">
        <v>0</v>
      </c>
      <c r="P5074" s="119"/>
      <c r="Q5074" s="118">
        <v>7440</v>
      </c>
      <c r="R5074" s="119"/>
      <c r="S5074" s="118">
        <v>15950</v>
      </c>
      <c r="T5074" s="119"/>
      <c r="U5074" s="118">
        <f t="shared" ref="U5074" si="6099">SUM(K5074:T5075)</f>
        <v>1096990</v>
      </c>
      <c r="V5074" s="122"/>
      <c r="W5074" s="124"/>
      <c r="X5074" s="126" t="s">
        <v>15642</v>
      </c>
      <c r="Y5074" s="127"/>
      <c r="Z5074" s="127"/>
      <c r="AA5074" s="127"/>
      <c r="AB5074" s="128"/>
      <c r="AC5074" s="15" t="s">
        <v>20</v>
      </c>
      <c r="AD5074" s="129" t="s">
        <v>1670</v>
      </c>
      <c r="AE5074" s="130"/>
      <c r="AF5074" s="130"/>
      <c r="AG5074" s="130"/>
      <c r="AH5074" s="130"/>
      <c r="AI5074" s="131"/>
      <c r="AJ5074" s="132"/>
      <c r="AK5074" s="127"/>
      <c r="AL5074" s="128"/>
      <c r="AM5074" s="21"/>
      <c r="AN5074" s="133">
        <v>46053</v>
      </c>
      <c r="AO5074" s="134"/>
      <c r="AP5074" s="135">
        <v>1286</v>
      </c>
      <c r="AQ5074" s="136"/>
      <c r="AR5074" s="118">
        <v>1155000</v>
      </c>
      <c r="AS5074" s="119"/>
      <c r="AT5074" s="118">
        <f t="shared" ref="AT5074" si="6100">AR5074*0.1</f>
        <v>115500</v>
      </c>
      <c r="AU5074" s="119"/>
      <c r="AV5074" s="118">
        <v>7440</v>
      </c>
      <c r="AW5074" s="119"/>
      <c r="AX5074" s="118">
        <f t="shared" ref="AX5074" si="6101">SUM(AR5074:AW5074)</f>
        <v>1277940</v>
      </c>
      <c r="AY5074" s="119"/>
      <c r="AZ5074" s="137">
        <v>46056</v>
      </c>
    </row>
    <row r="5075" spans="1:52" ht="17.100000000000001" customHeight="1" thickBot="1">
      <c r="A5075" s="110"/>
      <c r="B5075" s="27" t="s">
        <v>3792</v>
      </c>
      <c r="C5075" s="27">
        <v>62029</v>
      </c>
      <c r="D5075" s="14" t="s">
        <v>1592</v>
      </c>
      <c r="E5075" s="112"/>
      <c r="F5075" s="139" t="s">
        <v>15090</v>
      </c>
      <c r="G5075" s="140"/>
      <c r="H5075" s="141"/>
      <c r="I5075" s="26">
        <v>52335</v>
      </c>
      <c r="J5075" s="117"/>
      <c r="K5075" s="120"/>
      <c r="L5075" s="121"/>
      <c r="M5075" s="120"/>
      <c r="N5075" s="121"/>
      <c r="O5075" s="120"/>
      <c r="P5075" s="121"/>
      <c r="Q5075" s="120"/>
      <c r="R5075" s="121"/>
      <c r="S5075" s="120"/>
      <c r="T5075" s="121"/>
      <c r="U5075" s="120"/>
      <c r="V5075" s="123"/>
      <c r="W5075" s="125"/>
      <c r="X5075" s="142" t="s">
        <v>4377</v>
      </c>
      <c r="Y5075" s="143"/>
      <c r="Z5075" s="143"/>
      <c r="AA5075" s="143"/>
      <c r="AB5075" s="144"/>
      <c r="AC5075" s="16" t="s">
        <v>21</v>
      </c>
      <c r="AD5075" s="17" t="s">
        <v>15604</v>
      </c>
      <c r="AE5075" s="145" t="s">
        <v>8061</v>
      </c>
      <c r="AF5075" s="146"/>
      <c r="AG5075" s="146"/>
      <c r="AH5075" s="146"/>
      <c r="AI5075" s="147"/>
      <c r="AJ5075" s="148"/>
      <c r="AK5075" s="143"/>
      <c r="AL5075" s="144"/>
      <c r="AM5075" s="22"/>
      <c r="AN5075" s="149" t="s">
        <v>2511</v>
      </c>
      <c r="AO5075" s="144"/>
      <c r="AP5075" s="148">
        <v>41065</v>
      </c>
      <c r="AQ5075" s="144"/>
      <c r="AR5075" s="120"/>
      <c r="AS5075" s="121"/>
      <c r="AT5075" s="120"/>
      <c r="AU5075" s="121"/>
      <c r="AV5075" s="120"/>
      <c r="AW5075" s="121"/>
      <c r="AX5075" s="120"/>
      <c r="AY5075" s="121"/>
      <c r="AZ5075" s="138"/>
    </row>
    <row r="5076" spans="1:52" ht="17.100000000000001" customHeight="1" thickTop="1">
      <c r="A5076" s="109" t="s">
        <v>15080</v>
      </c>
      <c r="B5076" s="28">
        <v>46037</v>
      </c>
      <c r="C5076" s="25">
        <v>1314</v>
      </c>
      <c r="D5076" s="13" t="s">
        <v>1825</v>
      </c>
      <c r="E5076" s="111"/>
      <c r="F5076" s="113" t="s">
        <v>15091</v>
      </c>
      <c r="G5076" s="114"/>
      <c r="H5076" s="115"/>
      <c r="I5076" s="24"/>
      <c r="J5076" s="116">
        <v>4.5</v>
      </c>
      <c r="K5076" s="118">
        <v>1405000</v>
      </c>
      <c r="L5076" s="119"/>
      <c r="M5076" s="118">
        <f t="shared" ref="M5076" si="6102">K5076*0.1</f>
        <v>140500</v>
      </c>
      <c r="N5076" s="119"/>
      <c r="O5076" s="118">
        <v>0</v>
      </c>
      <c r="P5076" s="119"/>
      <c r="Q5076" s="118">
        <v>11810</v>
      </c>
      <c r="R5076" s="119"/>
      <c r="S5076" s="118">
        <v>16500</v>
      </c>
      <c r="T5076" s="119"/>
      <c r="U5076" s="118">
        <f t="shared" ref="U5076" si="6103">SUM(K5076:T5077)</f>
        <v>1573810</v>
      </c>
      <c r="V5076" s="122"/>
      <c r="W5076" s="124"/>
      <c r="X5076" s="126" t="s">
        <v>15381</v>
      </c>
      <c r="Y5076" s="127"/>
      <c r="Z5076" s="127"/>
      <c r="AA5076" s="127"/>
      <c r="AB5076" s="128"/>
      <c r="AC5076" s="15" t="s">
        <v>20</v>
      </c>
      <c r="AD5076" s="129" t="s">
        <v>15198</v>
      </c>
      <c r="AE5076" s="130"/>
      <c r="AF5076" s="130"/>
      <c r="AG5076" s="130"/>
      <c r="AH5076" s="130"/>
      <c r="AI5076" s="131"/>
      <c r="AJ5076" s="132"/>
      <c r="AK5076" s="127"/>
      <c r="AL5076" s="128"/>
      <c r="AM5076" s="21"/>
      <c r="AN5076" s="133">
        <v>46053</v>
      </c>
      <c r="AO5076" s="134"/>
      <c r="AP5076" s="135">
        <v>1286</v>
      </c>
      <c r="AQ5076" s="136"/>
      <c r="AR5076" s="118">
        <v>1550000</v>
      </c>
      <c r="AS5076" s="119"/>
      <c r="AT5076" s="118">
        <f t="shared" ref="AT5076" si="6104">AR5076*0.1</f>
        <v>155000</v>
      </c>
      <c r="AU5076" s="119"/>
      <c r="AV5076" s="118">
        <v>11810</v>
      </c>
      <c r="AW5076" s="119"/>
      <c r="AX5076" s="118">
        <f t="shared" ref="AX5076" si="6105">SUM(AR5076:AW5076)</f>
        <v>1716810</v>
      </c>
      <c r="AY5076" s="119"/>
      <c r="AZ5076" s="137">
        <v>46056</v>
      </c>
    </row>
    <row r="5077" spans="1:52" ht="17.100000000000001" customHeight="1" thickBot="1">
      <c r="A5077" s="110"/>
      <c r="B5077" s="27" t="s">
        <v>1747</v>
      </c>
      <c r="C5077" s="27">
        <v>341</v>
      </c>
      <c r="D5077" s="14" t="s">
        <v>133</v>
      </c>
      <c r="E5077" s="112"/>
      <c r="F5077" s="139" t="s">
        <v>15092</v>
      </c>
      <c r="G5077" s="140"/>
      <c r="H5077" s="141"/>
      <c r="I5077" s="26">
        <v>21866</v>
      </c>
      <c r="J5077" s="117"/>
      <c r="K5077" s="120"/>
      <c r="L5077" s="121"/>
      <c r="M5077" s="120"/>
      <c r="N5077" s="121"/>
      <c r="O5077" s="120"/>
      <c r="P5077" s="121"/>
      <c r="Q5077" s="120"/>
      <c r="R5077" s="121"/>
      <c r="S5077" s="120"/>
      <c r="T5077" s="121"/>
      <c r="U5077" s="120"/>
      <c r="V5077" s="123"/>
      <c r="W5077" s="125"/>
      <c r="X5077" s="142" t="s">
        <v>12246</v>
      </c>
      <c r="Y5077" s="143"/>
      <c r="Z5077" s="143"/>
      <c r="AA5077" s="143"/>
      <c r="AB5077" s="144"/>
      <c r="AC5077" s="16" t="s">
        <v>21</v>
      </c>
      <c r="AD5077" s="17" t="s">
        <v>15379</v>
      </c>
      <c r="AE5077" s="145" t="s">
        <v>1732</v>
      </c>
      <c r="AF5077" s="146"/>
      <c r="AG5077" s="146"/>
      <c r="AH5077" s="146"/>
      <c r="AI5077" s="147"/>
      <c r="AJ5077" s="148"/>
      <c r="AK5077" s="143"/>
      <c r="AL5077" s="144"/>
      <c r="AM5077" s="22"/>
      <c r="AN5077" s="149" t="s">
        <v>2511</v>
      </c>
      <c r="AO5077" s="144"/>
      <c r="AP5077" s="148">
        <v>80189</v>
      </c>
      <c r="AQ5077" s="144"/>
      <c r="AR5077" s="120"/>
      <c r="AS5077" s="121"/>
      <c r="AT5077" s="120"/>
      <c r="AU5077" s="121"/>
      <c r="AV5077" s="120"/>
      <c r="AW5077" s="121"/>
      <c r="AX5077" s="120"/>
      <c r="AY5077" s="121"/>
      <c r="AZ5077" s="138"/>
    </row>
    <row r="5078" spans="1:52" ht="17.100000000000001" customHeight="1" thickTop="1">
      <c r="A5078" s="109" t="s">
        <v>15081</v>
      </c>
      <c r="B5078" s="28">
        <v>46037</v>
      </c>
      <c r="C5078" s="25">
        <v>1314</v>
      </c>
      <c r="D5078" s="13" t="s">
        <v>1839</v>
      </c>
      <c r="E5078" s="111"/>
      <c r="F5078" s="113" t="s">
        <v>15199</v>
      </c>
      <c r="G5078" s="114"/>
      <c r="H5078" s="115"/>
      <c r="I5078" s="24"/>
      <c r="J5078" s="116">
        <v>4</v>
      </c>
      <c r="K5078" s="118">
        <v>600000</v>
      </c>
      <c r="L5078" s="119"/>
      <c r="M5078" s="118">
        <f t="shared" ref="M5078" si="6106">K5078*0.1</f>
        <v>60000</v>
      </c>
      <c r="N5078" s="119"/>
      <c r="O5078" s="118">
        <v>0</v>
      </c>
      <c r="P5078" s="119"/>
      <c r="Q5078" s="118">
        <v>26050</v>
      </c>
      <c r="R5078" s="119"/>
      <c r="S5078" s="118">
        <v>16500</v>
      </c>
      <c r="T5078" s="119"/>
      <c r="U5078" s="118">
        <f t="shared" ref="U5078" si="6107">SUM(K5078:T5079)</f>
        <v>702550</v>
      </c>
      <c r="V5078" s="122"/>
      <c r="W5078" s="124"/>
      <c r="X5078" s="126" t="s">
        <v>15378</v>
      </c>
      <c r="Y5078" s="127"/>
      <c r="Z5078" s="127"/>
      <c r="AA5078" s="127"/>
      <c r="AB5078" s="128"/>
      <c r="AC5078" s="15" t="s">
        <v>20</v>
      </c>
      <c r="AD5078" s="129" t="s">
        <v>15200</v>
      </c>
      <c r="AE5078" s="130"/>
      <c r="AF5078" s="130"/>
      <c r="AG5078" s="130"/>
      <c r="AH5078" s="130"/>
      <c r="AI5078" s="131"/>
      <c r="AJ5078" s="132"/>
      <c r="AK5078" s="127"/>
      <c r="AL5078" s="128"/>
      <c r="AM5078" s="21"/>
      <c r="AN5078" s="133">
        <v>46043</v>
      </c>
      <c r="AO5078" s="134"/>
      <c r="AP5078" s="135">
        <v>1001</v>
      </c>
      <c r="AQ5078" s="136"/>
      <c r="AR5078" s="118">
        <v>760000</v>
      </c>
      <c r="AS5078" s="119"/>
      <c r="AT5078" s="118">
        <f t="shared" ref="AT5078" si="6108">AR5078*0.1</f>
        <v>76000</v>
      </c>
      <c r="AU5078" s="119"/>
      <c r="AV5078" s="118">
        <v>26050</v>
      </c>
      <c r="AW5078" s="119"/>
      <c r="AX5078" s="118">
        <f t="shared" ref="AX5078" si="6109">SUM(AR5078:AW5078)</f>
        <v>862050</v>
      </c>
      <c r="AY5078" s="119"/>
      <c r="AZ5078" s="137">
        <v>46051</v>
      </c>
    </row>
    <row r="5079" spans="1:52" ht="17.100000000000001" customHeight="1" thickBot="1">
      <c r="A5079" s="110"/>
      <c r="B5079" s="27" t="s">
        <v>1747</v>
      </c>
      <c r="C5079" s="27">
        <v>806</v>
      </c>
      <c r="D5079" s="14" t="s">
        <v>1592</v>
      </c>
      <c r="E5079" s="112"/>
      <c r="F5079" s="139" t="s">
        <v>15093</v>
      </c>
      <c r="G5079" s="140"/>
      <c r="H5079" s="141"/>
      <c r="I5079" s="26">
        <v>55938</v>
      </c>
      <c r="J5079" s="117"/>
      <c r="K5079" s="120"/>
      <c r="L5079" s="121"/>
      <c r="M5079" s="120"/>
      <c r="N5079" s="121"/>
      <c r="O5079" s="120"/>
      <c r="P5079" s="121"/>
      <c r="Q5079" s="120"/>
      <c r="R5079" s="121"/>
      <c r="S5079" s="120"/>
      <c r="T5079" s="121"/>
      <c r="U5079" s="120"/>
      <c r="V5079" s="123"/>
      <c r="W5079" s="125"/>
      <c r="X5079" s="142" t="s">
        <v>1861</v>
      </c>
      <c r="Y5079" s="143"/>
      <c r="Z5079" s="143"/>
      <c r="AA5079" s="143"/>
      <c r="AB5079" s="144"/>
      <c r="AC5079" s="16" t="s">
        <v>21</v>
      </c>
      <c r="AD5079" s="17" t="s">
        <v>15379</v>
      </c>
      <c r="AE5079" s="145" t="s">
        <v>15380</v>
      </c>
      <c r="AF5079" s="146"/>
      <c r="AG5079" s="146"/>
      <c r="AH5079" s="146"/>
      <c r="AI5079" s="147"/>
      <c r="AJ5079" s="148"/>
      <c r="AK5079" s="143"/>
      <c r="AL5079" s="144"/>
      <c r="AM5079" s="22"/>
      <c r="AN5079" s="149" t="s">
        <v>7285</v>
      </c>
      <c r="AO5079" s="144"/>
      <c r="AP5079" s="148">
        <v>5052</v>
      </c>
      <c r="AQ5079" s="144"/>
      <c r="AR5079" s="120"/>
      <c r="AS5079" s="121"/>
      <c r="AT5079" s="120"/>
      <c r="AU5079" s="121"/>
      <c r="AV5079" s="120"/>
      <c r="AW5079" s="121"/>
      <c r="AX5079" s="120"/>
      <c r="AY5079" s="121"/>
      <c r="AZ5079" s="138"/>
    </row>
    <row r="5080" spans="1:52" ht="17.100000000000001" customHeight="1" thickTop="1">
      <c r="A5080" s="109" t="s">
        <v>15082</v>
      </c>
      <c r="B5080" s="28">
        <v>46037</v>
      </c>
      <c r="C5080" s="25">
        <v>2141</v>
      </c>
      <c r="D5080" s="13" t="s">
        <v>1688</v>
      </c>
      <c r="E5080" s="111"/>
      <c r="F5080" s="113" t="s">
        <v>15201</v>
      </c>
      <c r="G5080" s="114"/>
      <c r="H5080" s="115"/>
      <c r="I5080" s="24" t="s">
        <v>15202</v>
      </c>
      <c r="J5080" s="116">
        <v>4.5</v>
      </c>
      <c r="K5080" s="118">
        <v>2812000</v>
      </c>
      <c r="L5080" s="119"/>
      <c r="M5080" s="118">
        <f t="shared" ref="M5080" si="6110">K5080*0.1</f>
        <v>281200</v>
      </c>
      <c r="N5080" s="119"/>
      <c r="O5080" s="118">
        <v>9500</v>
      </c>
      <c r="P5080" s="119"/>
      <c r="Q5080" s="118">
        <v>15890</v>
      </c>
      <c r="R5080" s="119"/>
      <c r="S5080" s="118">
        <v>14300</v>
      </c>
      <c r="T5080" s="119"/>
      <c r="U5080" s="118">
        <f t="shared" ref="U5080" si="6111">SUM(K5080:T5081)</f>
        <v>3132890</v>
      </c>
      <c r="V5080" s="122"/>
      <c r="W5080" s="124"/>
      <c r="X5080" s="126" t="s">
        <v>15203</v>
      </c>
      <c r="Y5080" s="127"/>
      <c r="Z5080" s="127"/>
      <c r="AA5080" s="127"/>
      <c r="AB5080" s="128"/>
      <c r="AC5080" s="15" t="s">
        <v>20</v>
      </c>
      <c r="AD5080" s="129"/>
      <c r="AE5080" s="130"/>
      <c r="AF5080" s="130"/>
      <c r="AG5080" s="130"/>
      <c r="AH5080" s="130"/>
      <c r="AI5080" s="131"/>
      <c r="AJ5080" s="132"/>
      <c r="AK5080" s="127"/>
      <c r="AL5080" s="128"/>
      <c r="AM5080" s="21"/>
      <c r="AN5080" s="133">
        <v>46050</v>
      </c>
      <c r="AO5080" s="134"/>
      <c r="AP5080" s="135">
        <v>1002</v>
      </c>
      <c r="AQ5080" s="136"/>
      <c r="AR5080" s="118">
        <v>2920000</v>
      </c>
      <c r="AS5080" s="119"/>
      <c r="AT5080" s="118">
        <f t="shared" ref="AT5080" si="6112">AR5080*0.1</f>
        <v>292000</v>
      </c>
      <c r="AU5080" s="119"/>
      <c r="AV5080" s="118">
        <v>15890</v>
      </c>
      <c r="AW5080" s="119"/>
      <c r="AX5080" s="118">
        <f t="shared" ref="AX5080" si="6113">SUM(AR5080:AW5080)</f>
        <v>3227890</v>
      </c>
      <c r="AY5080" s="119"/>
      <c r="AZ5080" s="137">
        <v>46055</v>
      </c>
    </row>
    <row r="5081" spans="1:52" ht="17.100000000000001" customHeight="1" thickBot="1">
      <c r="A5081" s="110"/>
      <c r="B5081" s="27" t="s">
        <v>1940</v>
      </c>
      <c r="C5081" s="27">
        <v>100</v>
      </c>
      <c r="D5081" s="14" t="s">
        <v>2601</v>
      </c>
      <c r="E5081" s="112"/>
      <c r="F5081" s="139" t="s">
        <v>15112</v>
      </c>
      <c r="G5081" s="140"/>
      <c r="H5081" s="141"/>
      <c r="I5081" s="26">
        <v>40251</v>
      </c>
      <c r="J5081" s="117"/>
      <c r="K5081" s="120"/>
      <c r="L5081" s="121"/>
      <c r="M5081" s="120"/>
      <c r="N5081" s="121"/>
      <c r="O5081" s="120"/>
      <c r="P5081" s="121"/>
      <c r="Q5081" s="120"/>
      <c r="R5081" s="121"/>
      <c r="S5081" s="120"/>
      <c r="T5081" s="121"/>
      <c r="U5081" s="120"/>
      <c r="V5081" s="123"/>
      <c r="W5081" s="125"/>
      <c r="X5081" s="142" t="s">
        <v>15643</v>
      </c>
      <c r="Y5081" s="143"/>
      <c r="Z5081" s="143"/>
      <c r="AA5081" s="143"/>
      <c r="AB5081" s="144"/>
      <c r="AC5081" s="16" t="s">
        <v>21</v>
      </c>
      <c r="AD5081" s="17" t="s">
        <v>15604</v>
      </c>
      <c r="AE5081" s="145" t="s">
        <v>4430</v>
      </c>
      <c r="AF5081" s="146"/>
      <c r="AG5081" s="146"/>
      <c r="AH5081" s="146"/>
      <c r="AI5081" s="147"/>
      <c r="AJ5081" s="148"/>
      <c r="AK5081" s="143"/>
      <c r="AL5081" s="144"/>
      <c r="AM5081" s="22"/>
      <c r="AN5081" s="149" t="s">
        <v>2794</v>
      </c>
      <c r="AO5081" s="144"/>
      <c r="AP5081" s="148">
        <v>6012</v>
      </c>
      <c r="AQ5081" s="144"/>
      <c r="AR5081" s="120"/>
      <c r="AS5081" s="121"/>
      <c r="AT5081" s="120"/>
      <c r="AU5081" s="121"/>
      <c r="AV5081" s="120"/>
      <c r="AW5081" s="121"/>
      <c r="AX5081" s="120"/>
      <c r="AY5081" s="121"/>
      <c r="AZ5081" s="138"/>
    </row>
    <row r="5082" spans="1:52" ht="17.100000000000001" customHeight="1" thickTop="1">
      <c r="A5082" s="109" t="s">
        <v>15083</v>
      </c>
      <c r="B5082" s="28">
        <v>46037</v>
      </c>
      <c r="C5082" s="25">
        <v>2141</v>
      </c>
      <c r="D5082" s="13" t="s">
        <v>3381</v>
      </c>
      <c r="E5082" s="111"/>
      <c r="F5082" s="113" t="s">
        <v>15204</v>
      </c>
      <c r="G5082" s="114"/>
      <c r="H5082" s="115"/>
      <c r="I5082" s="24"/>
      <c r="J5082" s="116">
        <v>4</v>
      </c>
      <c r="K5082" s="118">
        <v>557000</v>
      </c>
      <c r="L5082" s="119"/>
      <c r="M5082" s="118">
        <f t="shared" ref="M5082" si="6114">K5082*0.1</f>
        <v>55700</v>
      </c>
      <c r="N5082" s="119"/>
      <c r="O5082" s="118">
        <v>0</v>
      </c>
      <c r="P5082" s="119"/>
      <c r="Q5082" s="118">
        <v>7950</v>
      </c>
      <c r="R5082" s="119"/>
      <c r="S5082" s="118">
        <v>14300</v>
      </c>
      <c r="T5082" s="119"/>
      <c r="U5082" s="118">
        <f t="shared" ref="U5082" si="6115">SUM(K5082:T5083)</f>
        <v>634950</v>
      </c>
      <c r="V5082" s="122"/>
      <c r="W5082" s="124"/>
      <c r="X5082" s="126" t="s">
        <v>15658</v>
      </c>
      <c r="Y5082" s="127"/>
      <c r="Z5082" s="127"/>
      <c r="AA5082" s="127"/>
      <c r="AB5082" s="128"/>
      <c r="AC5082" s="15" t="s">
        <v>20</v>
      </c>
      <c r="AD5082" s="129" t="s">
        <v>1670</v>
      </c>
      <c r="AE5082" s="130"/>
      <c r="AF5082" s="130"/>
      <c r="AG5082" s="130"/>
      <c r="AH5082" s="130"/>
      <c r="AI5082" s="131"/>
      <c r="AJ5082" s="132"/>
      <c r="AK5082" s="127"/>
      <c r="AL5082" s="128"/>
      <c r="AM5082" s="21"/>
      <c r="AN5082" s="133">
        <v>46081</v>
      </c>
      <c r="AO5082" s="134"/>
      <c r="AP5082" s="135">
        <v>1290</v>
      </c>
      <c r="AQ5082" s="136"/>
      <c r="AR5082" s="118">
        <v>650000</v>
      </c>
      <c r="AS5082" s="119"/>
      <c r="AT5082" s="118">
        <f t="shared" ref="AT5082" si="6116">AR5082*0.1</f>
        <v>65000</v>
      </c>
      <c r="AU5082" s="119"/>
      <c r="AV5082" s="118">
        <v>7950</v>
      </c>
      <c r="AW5082" s="119"/>
      <c r="AX5082" s="118">
        <f t="shared" ref="AX5082" si="6117">SUM(AR5082:AW5082)</f>
        <v>722950</v>
      </c>
      <c r="AY5082" s="119"/>
      <c r="AZ5082" s="137">
        <v>46084</v>
      </c>
    </row>
    <row r="5083" spans="1:52" ht="17.100000000000001" customHeight="1" thickBot="1">
      <c r="A5083" s="110"/>
      <c r="B5083" s="27" t="s">
        <v>1940</v>
      </c>
      <c r="C5083" s="27">
        <v>2006</v>
      </c>
      <c r="D5083" s="14" t="s">
        <v>904</v>
      </c>
      <c r="E5083" s="112"/>
      <c r="F5083" s="139" t="s">
        <v>15113</v>
      </c>
      <c r="G5083" s="140"/>
      <c r="H5083" s="141"/>
      <c r="I5083" s="26">
        <v>34880</v>
      </c>
      <c r="J5083" s="117"/>
      <c r="K5083" s="120"/>
      <c r="L5083" s="121"/>
      <c r="M5083" s="120"/>
      <c r="N5083" s="121"/>
      <c r="O5083" s="120"/>
      <c r="P5083" s="121"/>
      <c r="Q5083" s="120"/>
      <c r="R5083" s="121"/>
      <c r="S5083" s="120"/>
      <c r="T5083" s="121"/>
      <c r="U5083" s="120"/>
      <c r="V5083" s="123"/>
      <c r="W5083" s="125"/>
      <c r="X5083" s="142" t="s">
        <v>15659</v>
      </c>
      <c r="Y5083" s="143"/>
      <c r="Z5083" s="143"/>
      <c r="AA5083" s="143"/>
      <c r="AB5083" s="144"/>
      <c r="AC5083" s="16" t="s">
        <v>21</v>
      </c>
      <c r="AD5083" s="17" t="s">
        <v>15604</v>
      </c>
      <c r="AE5083" s="145" t="s">
        <v>4608</v>
      </c>
      <c r="AF5083" s="146"/>
      <c r="AG5083" s="146"/>
      <c r="AH5083" s="146"/>
      <c r="AI5083" s="147"/>
      <c r="AJ5083" s="148"/>
      <c r="AK5083" s="143"/>
      <c r="AL5083" s="144"/>
      <c r="AM5083" s="22"/>
      <c r="AN5083" s="149" t="s">
        <v>2511</v>
      </c>
      <c r="AO5083" s="144"/>
      <c r="AP5083" s="148">
        <v>60212</v>
      </c>
      <c r="AQ5083" s="144"/>
      <c r="AR5083" s="120"/>
      <c r="AS5083" s="121"/>
      <c r="AT5083" s="120"/>
      <c r="AU5083" s="121"/>
      <c r="AV5083" s="120"/>
      <c r="AW5083" s="121"/>
      <c r="AX5083" s="120"/>
      <c r="AY5083" s="121"/>
      <c r="AZ5083" s="138"/>
    </row>
    <row r="5084" spans="1:52" ht="17.100000000000001" customHeight="1" thickTop="1">
      <c r="A5084" s="109" t="s">
        <v>15084</v>
      </c>
      <c r="B5084" s="28">
        <v>46037</v>
      </c>
      <c r="C5084" s="25">
        <v>2141</v>
      </c>
      <c r="D5084" s="13" t="s">
        <v>2355</v>
      </c>
      <c r="E5084" s="111"/>
      <c r="F5084" s="113" t="s">
        <v>15114</v>
      </c>
      <c r="G5084" s="114"/>
      <c r="H5084" s="115"/>
      <c r="I5084" s="24" t="s">
        <v>8230</v>
      </c>
      <c r="J5084" s="116">
        <v>4.5</v>
      </c>
      <c r="K5084" s="118">
        <v>805000</v>
      </c>
      <c r="L5084" s="119"/>
      <c r="M5084" s="118">
        <f t="shared" ref="M5084" si="6118">K5084*0.1</f>
        <v>80500</v>
      </c>
      <c r="N5084" s="119"/>
      <c r="O5084" s="118">
        <v>0</v>
      </c>
      <c r="P5084" s="119"/>
      <c r="Q5084" s="118">
        <v>8510</v>
      </c>
      <c r="R5084" s="119"/>
      <c r="S5084" s="118">
        <v>14300</v>
      </c>
      <c r="T5084" s="119"/>
      <c r="U5084" s="118">
        <f t="shared" ref="U5084" si="6119">SUM(K5084:T5085)</f>
        <v>908310</v>
      </c>
      <c r="V5084" s="122"/>
      <c r="W5084" s="124"/>
      <c r="X5084" s="126" t="s">
        <v>15205</v>
      </c>
      <c r="Y5084" s="127"/>
      <c r="Z5084" s="127"/>
      <c r="AA5084" s="127"/>
      <c r="AB5084" s="128"/>
      <c r="AC5084" s="15" t="s">
        <v>20</v>
      </c>
      <c r="AD5084" s="129" t="s">
        <v>15231</v>
      </c>
      <c r="AE5084" s="130"/>
      <c r="AF5084" s="130"/>
      <c r="AG5084" s="130"/>
      <c r="AH5084" s="130"/>
      <c r="AI5084" s="131"/>
      <c r="AJ5084" s="132"/>
      <c r="AK5084" s="127"/>
      <c r="AL5084" s="128"/>
      <c r="AM5084" s="21"/>
      <c r="AN5084" s="133">
        <v>46043</v>
      </c>
      <c r="AO5084" s="134"/>
      <c r="AP5084" s="135">
        <v>1001</v>
      </c>
      <c r="AQ5084" s="136"/>
      <c r="AR5084" s="118">
        <v>955000</v>
      </c>
      <c r="AS5084" s="119"/>
      <c r="AT5084" s="118">
        <f t="shared" ref="AT5084" si="6120">AR5084*0.1</f>
        <v>95500</v>
      </c>
      <c r="AU5084" s="119"/>
      <c r="AV5084" s="118">
        <v>8510</v>
      </c>
      <c r="AW5084" s="119"/>
      <c r="AX5084" s="118">
        <f t="shared" ref="AX5084" si="6121">SUM(AR5084:AW5084)</f>
        <v>1059010</v>
      </c>
      <c r="AY5084" s="119"/>
      <c r="AZ5084" s="137">
        <v>46048</v>
      </c>
    </row>
    <row r="5085" spans="1:52" ht="17.100000000000001" customHeight="1" thickBot="1">
      <c r="A5085" s="110"/>
      <c r="B5085" s="27" t="s">
        <v>1940</v>
      </c>
      <c r="C5085" s="27">
        <v>2057</v>
      </c>
      <c r="D5085" s="14" t="s">
        <v>1592</v>
      </c>
      <c r="E5085" s="112"/>
      <c r="F5085" s="139" t="s">
        <v>15115</v>
      </c>
      <c r="G5085" s="140"/>
      <c r="H5085" s="141"/>
      <c r="I5085" s="26">
        <v>1249</v>
      </c>
      <c r="J5085" s="117"/>
      <c r="K5085" s="120"/>
      <c r="L5085" s="121"/>
      <c r="M5085" s="120"/>
      <c r="N5085" s="121"/>
      <c r="O5085" s="120"/>
      <c r="P5085" s="121"/>
      <c r="Q5085" s="120"/>
      <c r="R5085" s="121"/>
      <c r="S5085" s="120"/>
      <c r="T5085" s="121"/>
      <c r="U5085" s="120"/>
      <c r="V5085" s="123"/>
      <c r="W5085" s="125"/>
      <c r="X5085" s="142" t="s">
        <v>15639</v>
      </c>
      <c r="Y5085" s="143"/>
      <c r="Z5085" s="143"/>
      <c r="AA5085" s="143"/>
      <c r="AB5085" s="144"/>
      <c r="AC5085" s="16" t="s">
        <v>21</v>
      </c>
      <c r="AD5085" s="17" t="s">
        <v>15604</v>
      </c>
      <c r="AE5085" s="145" t="s">
        <v>15640</v>
      </c>
      <c r="AF5085" s="146"/>
      <c r="AG5085" s="146"/>
      <c r="AH5085" s="146"/>
      <c r="AI5085" s="147"/>
      <c r="AJ5085" s="148"/>
      <c r="AK5085" s="143"/>
      <c r="AL5085" s="144"/>
      <c r="AM5085" s="22"/>
      <c r="AN5085" s="149" t="s">
        <v>2794</v>
      </c>
      <c r="AO5085" s="144"/>
      <c r="AP5085" s="148">
        <v>5062</v>
      </c>
      <c r="AQ5085" s="144"/>
      <c r="AR5085" s="120"/>
      <c r="AS5085" s="121"/>
      <c r="AT5085" s="120"/>
      <c r="AU5085" s="121"/>
      <c r="AV5085" s="120"/>
      <c r="AW5085" s="121"/>
      <c r="AX5085" s="120"/>
      <c r="AY5085" s="121"/>
      <c r="AZ5085" s="138"/>
    </row>
    <row r="5086" spans="1:52" ht="17.100000000000001" customHeight="1" thickTop="1">
      <c r="A5086" s="109" t="s">
        <v>15085</v>
      </c>
      <c r="B5086" s="28">
        <v>46037</v>
      </c>
      <c r="C5086" s="25">
        <v>2141</v>
      </c>
      <c r="D5086" s="13" t="s">
        <v>3322</v>
      </c>
      <c r="E5086" s="111"/>
      <c r="F5086" s="113" t="s">
        <v>15206</v>
      </c>
      <c r="G5086" s="114"/>
      <c r="H5086" s="115"/>
      <c r="I5086" s="24" t="s">
        <v>5070</v>
      </c>
      <c r="J5086" s="116">
        <v>4.5</v>
      </c>
      <c r="K5086" s="118">
        <v>927000</v>
      </c>
      <c r="L5086" s="119"/>
      <c r="M5086" s="118">
        <f t="shared" ref="M5086" si="6122">K5086*0.1</f>
        <v>92700</v>
      </c>
      <c r="N5086" s="119"/>
      <c r="O5086" s="118">
        <v>0</v>
      </c>
      <c r="P5086" s="119"/>
      <c r="Q5086" s="118">
        <v>7150</v>
      </c>
      <c r="R5086" s="119"/>
      <c r="S5086" s="118">
        <v>14300</v>
      </c>
      <c r="T5086" s="119"/>
      <c r="U5086" s="118">
        <f t="shared" ref="U5086" si="6123">SUM(K5086:T5087)</f>
        <v>1041150</v>
      </c>
      <c r="V5086" s="122"/>
      <c r="W5086" s="124"/>
      <c r="X5086" s="126" t="s">
        <v>15207</v>
      </c>
      <c r="Y5086" s="127"/>
      <c r="Z5086" s="127"/>
      <c r="AA5086" s="127"/>
      <c r="AB5086" s="128"/>
      <c r="AC5086" s="15" t="s">
        <v>20</v>
      </c>
      <c r="AD5086" s="129" t="s">
        <v>15208</v>
      </c>
      <c r="AE5086" s="130"/>
      <c r="AF5086" s="130"/>
      <c r="AG5086" s="130"/>
      <c r="AH5086" s="130"/>
      <c r="AI5086" s="131"/>
      <c r="AJ5086" s="132"/>
      <c r="AK5086" s="127"/>
      <c r="AL5086" s="128"/>
      <c r="AM5086" s="21" t="s">
        <v>18087</v>
      </c>
      <c r="AN5086" s="133">
        <v>46158</v>
      </c>
      <c r="AO5086" s="134"/>
      <c r="AP5086" s="135">
        <v>1300</v>
      </c>
      <c r="AQ5086" s="136"/>
      <c r="AR5086" s="118">
        <v>925000</v>
      </c>
      <c r="AS5086" s="119"/>
      <c r="AT5086" s="118">
        <f t="shared" ref="AT5086" si="6124">AR5086*0.1</f>
        <v>92500</v>
      </c>
      <c r="AU5086" s="119"/>
      <c r="AV5086" s="118">
        <v>7150</v>
      </c>
      <c r="AW5086" s="119"/>
      <c r="AX5086" s="118">
        <f t="shared" ref="AX5086" si="6125">SUM(AR5086:AW5086)</f>
        <v>1024650</v>
      </c>
      <c r="AY5086" s="119"/>
      <c r="AZ5086" s="137">
        <v>46161</v>
      </c>
    </row>
    <row r="5087" spans="1:52" ht="17.100000000000001" customHeight="1" thickBot="1">
      <c r="A5087" s="110"/>
      <c r="B5087" s="27" t="s">
        <v>1940</v>
      </c>
      <c r="C5087" s="27">
        <v>2084</v>
      </c>
      <c r="D5087" s="14" t="s">
        <v>2601</v>
      </c>
      <c r="E5087" s="112"/>
      <c r="F5087" s="139" t="s">
        <v>15116</v>
      </c>
      <c r="G5087" s="140"/>
      <c r="H5087" s="141"/>
      <c r="I5087" s="26">
        <v>59686</v>
      </c>
      <c r="J5087" s="117"/>
      <c r="K5087" s="120"/>
      <c r="L5087" s="121"/>
      <c r="M5087" s="120"/>
      <c r="N5087" s="121"/>
      <c r="O5087" s="120"/>
      <c r="P5087" s="121"/>
      <c r="Q5087" s="120"/>
      <c r="R5087" s="121"/>
      <c r="S5087" s="120"/>
      <c r="T5087" s="121"/>
      <c r="U5087" s="120"/>
      <c r="V5087" s="123"/>
      <c r="W5087" s="125"/>
      <c r="X5087" s="142" t="s">
        <v>15655</v>
      </c>
      <c r="Y5087" s="143"/>
      <c r="Z5087" s="143"/>
      <c r="AA5087" s="143"/>
      <c r="AB5087" s="144"/>
      <c r="AC5087" s="16" t="s">
        <v>21</v>
      </c>
      <c r="AD5087" s="17" t="s">
        <v>15604</v>
      </c>
      <c r="AE5087" s="145" t="s">
        <v>1609</v>
      </c>
      <c r="AF5087" s="146"/>
      <c r="AG5087" s="146"/>
      <c r="AH5087" s="146"/>
      <c r="AI5087" s="147"/>
      <c r="AJ5087" s="148"/>
      <c r="AK5087" s="143"/>
      <c r="AL5087" s="144"/>
      <c r="AM5087" s="22"/>
      <c r="AN5087" s="149" t="s">
        <v>2511</v>
      </c>
      <c r="AO5087" s="144"/>
      <c r="AP5087" s="148">
        <v>60057</v>
      </c>
      <c r="AQ5087" s="144"/>
      <c r="AR5087" s="120"/>
      <c r="AS5087" s="121"/>
      <c r="AT5087" s="120"/>
      <c r="AU5087" s="121"/>
      <c r="AV5087" s="120"/>
      <c r="AW5087" s="121"/>
      <c r="AX5087" s="120"/>
      <c r="AY5087" s="121"/>
      <c r="AZ5087" s="138"/>
    </row>
    <row r="5088" spans="1:52" ht="17.100000000000001" customHeight="1" thickTop="1">
      <c r="A5088" s="109" t="s">
        <v>15086</v>
      </c>
      <c r="B5088" s="28">
        <v>46037</v>
      </c>
      <c r="C5088" s="25">
        <v>2141</v>
      </c>
      <c r="D5088" s="13" t="s">
        <v>1712</v>
      </c>
      <c r="E5088" s="111"/>
      <c r="F5088" s="113" t="s">
        <v>15209</v>
      </c>
      <c r="G5088" s="114"/>
      <c r="H5088" s="115"/>
      <c r="I5088" s="24" t="s">
        <v>2584</v>
      </c>
      <c r="J5088" s="116">
        <v>4</v>
      </c>
      <c r="K5088" s="118">
        <v>438000</v>
      </c>
      <c r="L5088" s="119"/>
      <c r="M5088" s="118">
        <v>0</v>
      </c>
      <c r="N5088" s="119"/>
      <c r="O5088" s="118">
        <v>0</v>
      </c>
      <c r="P5088" s="119"/>
      <c r="Q5088" s="118">
        <v>9200</v>
      </c>
      <c r="R5088" s="119"/>
      <c r="S5088" s="118">
        <v>14300</v>
      </c>
      <c r="T5088" s="119"/>
      <c r="U5088" s="118">
        <f t="shared" ref="U5088" si="6126">SUM(K5088:T5089)</f>
        <v>461500</v>
      </c>
      <c r="V5088" s="122"/>
      <c r="W5088" s="124"/>
      <c r="X5088" s="126" t="s">
        <v>15210</v>
      </c>
      <c r="Y5088" s="127"/>
      <c r="Z5088" s="127"/>
      <c r="AA5088" s="127"/>
      <c r="AB5088" s="128"/>
      <c r="AC5088" s="15" t="s">
        <v>20</v>
      </c>
      <c r="AD5088" s="129" t="s">
        <v>15211</v>
      </c>
      <c r="AE5088" s="130"/>
      <c r="AF5088" s="130"/>
      <c r="AG5088" s="130"/>
      <c r="AH5088" s="130"/>
      <c r="AI5088" s="131"/>
      <c r="AJ5088" s="132"/>
      <c r="AK5088" s="127"/>
      <c r="AL5088" s="128"/>
      <c r="AM5088" s="21"/>
      <c r="AN5088" s="133">
        <v>46043</v>
      </c>
      <c r="AO5088" s="134"/>
      <c r="AP5088" s="135">
        <v>1001</v>
      </c>
      <c r="AQ5088" s="136"/>
      <c r="AR5088" s="118">
        <v>610000</v>
      </c>
      <c r="AS5088" s="119"/>
      <c r="AT5088" s="118">
        <f t="shared" ref="AT5088" si="6127">AR5088*0.1</f>
        <v>61000</v>
      </c>
      <c r="AU5088" s="119"/>
      <c r="AV5088" s="118">
        <v>9200</v>
      </c>
      <c r="AW5088" s="119"/>
      <c r="AX5088" s="118">
        <f t="shared" ref="AX5088" si="6128">SUM(AR5088:AW5088)</f>
        <v>680200</v>
      </c>
      <c r="AY5088" s="119"/>
      <c r="AZ5088" s="137">
        <v>46048</v>
      </c>
    </row>
    <row r="5089" spans="1:52" ht="17.100000000000001" customHeight="1" thickBot="1">
      <c r="A5089" s="110"/>
      <c r="B5089" s="27" t="s">
        <v>1940</v>
      </c>
      <c r="C5089" s="27">
        <v>2088</v>
      </c>
      <c r="D5089" s="14" t="s">
        <v>1592</v>
      </c>
      <c r="E5089" s="112"/>
      <c r="F5089" s="139" t="s">
        <v>15117</v>
      </c>
      <c r="G5089" s="140"/>
      <c r="H5089" s="141"/>
      <c r="I5089" s="26">
        <v>59900</v>
      </c>
      <c r="J5089" s="117"/>
      <c r="K5089" s="120"/>
      <c r="L5089" s="121"/>
      <c r="M5089" s="120"/>
      <c r="N5089" s="121"/>
      <c r="O5089" s="120"/>
      <c r="P5089" s="121"/>
      <c r="Q5089" s="120"/>
      <c r="R5089" s="121"/>
      <c r="S5089" s="120"/>
      <c r="T5089" s="121"/>
      <c r="U5089" s="120"/>
      <c r="V5089" s="123"/>
      <c r="W5089" s="125"/>
      <c r="X5089" s="142" t="s">
        <v>15641</v>
      </c>
      <c r="Y5089" s="143"/>
      <c r="Z5089" s="143"/>
      <c r="AA5089" s="143"/>
      <c r="AB5089" s="144"/>
      <c r="AC5089" s="16" t="s">
        <v>21</v>
      </c>
      <c r="AD5089" s="17" t="s">
        <v>15604</v>
      </c>
      <c r="AE5089" s="145" t="s">
        <v>15684</v>
      </c>
      <c r="AF5089" s="146"/>
      <c r="AG5089" s="146"/>
      <c r="AH5089" s="146"/>
      <c r="AI5089" s="147"/>
      <c r="AJ5089" s="148"/>
      <c r="AK5089" s="143"/>
      <c r="AL5089" s="144"/>
      <c r="AM5089" s="22"/>
      <c r="AN5089" s="149" t="s">
        <v>2794</v>
      </c>
      <c r="AO5089" s="144"/>
      <c r="AP5089" s="148">
        <v>5056</v>
      </c>
      <c r="AQ5089" s="144"/>
      <c r="AR5089" s="120"/>
      <c r="AS5089" s="121"/>
      <c r="AT5089" s="120"/>
      <c r="AU5089" s="121"/>
      <c r="AV5089" s="120"/>
      <c r="AW5089" s="121"/>
      <c r="AX5089" s="120"/>
      <c r="AY5089" s="121"/>
      <c r="AZ5089" s="138"/>
    </row>
    <row r="5090" spans="1:52" ht="17.100000000000001" customHeight="1" thickTop="1">
      <c r="A5090" s="151" t="s">
        <v>15094</v>
      </c>
      <c r="B5090" s="28">
        <v>46037</v>
      </c>
      <c r="C5090" s="25">
        <v>2141</v>
      </c>
      <c r="D5090" s="13" t="s">
        <v>1929</v>
      </c>
      <c r="E5090" s="111"/>
      <c r="F5090" s="113" t="s">
        <v>15212</v>
      </c>
      <c r="G5090" s="114"/>
      <c r="H5090" s="115"/>
      <c r="I5090" s="24" t="s">
        <v>7168</v>
      </c>
      <c r="J5090" s="116">
        <v>4.5</v>
      </c>
      <c r="K5090" s="118">
        <v>704000</v>
      </c>
      <c r="L5090" s="119"/>
      <c r="M5090" s="118">
        <f t="shared" ref="M5090" si="6129">K5090*0.1</f>
        <v>70400</v>
      </c>
      <c r="N5090" s="119"/>
      <c r="O5090" s="118">
        <v>0</v>
      </c>
      <c r="P5090" s="119"/>
      <c r="Q5090" s="118">
        <v>8990</v>
      </c>
      <c r="R5090" s="119"/>
      <c r="S5090" s="118">
        <v>14300</v>
      </c>
      <c r="T5090" s="119"/>
      <c r="U5090" s="118">
        <f t="shared" ref="U5090" si="6130">SUM(K5090:T5091)</f>
        <v>797690</v>
      </c>
      <c r="V5090" s="122"/>
      <c r="W5090" s="124"/>
      <c r="X5090" s="126" t="s">
        <v>15213</v>
      </c>
      <c r="Y5090" s="127"/>
      <c r="Z5090" s="127"/>
      <c r="AA5090" s="127"/>
      <c r="AB5090" s="128"/>
      <c r="AC5090" s="15" t="s">
        <v>20</v>
      </c>
      <c r="AD5090" s="129" t="s">
        <v>1581</v>
      </c>
      <c r="AE5090" s="130"/>
      <c r="AF5090" s="130"/>
      <c r="AG5090" s="130"/>
      <c r="AH5090" s="130"/>
      <c r="AI5090" s="131"/>
      <c r="AJ5090" s="132" t="s">
        <v>16412</v>
      </c>
      <c r="AK5090" s="127"/>
      <c r="AL5090" s="128"/>
      <c r="AM5090" s="21"/>
      <c r="AN5090" s="133"/>
      <c r="AO5090" s="134"/>
      <c r="AP5090" s="135"/>
      <c r="AQ5090" s="136"/>
      <c r="AR5090" s="118"/>
      <c r="AS5090" s="119"/>
      <c r="AT5090" s="118">
        <f t="shared" ref="AT5090" si="6131">AR5090*0.1</f>
        <v>0</v>
      </c>
      <c r="AU5090" s="119"/>
      <c r="AV5090" s="118"/>
      <c r="AW5090" s="119"/>
      <c r="AX5090" s="118">
        <f t="shared" ref="AX5090" si="6132">SUM(AR5090:AW5090)</f>
        <v>0</v>
      </c>
      <c r="AY5090" s="119"/>
      <c r="AZ5090" s="137"/>
    </row>
    <row r="5091" spans="1:52" ht="17.100000000000001" customHeight="1" thickBot="1">
      <c r="A5091" s="152"/>
      <c r="B5091" s="27" t="s">
        <v>1940</v>
      </c>
      <c r="C5091" s="27">
        <v>2508</v>
      </c>
      <c r="D5091" s="14" t="s">
        <v>1610</v>
      </c>
      <c r="E5091" s="112"/>
      <c r="F5091" s="139" t="s">
        <v>15118</v>
      </c>
      <c r="G5091" s="140"/>
      <c r="H5091" s="141"/>
      <c r="I5091" s="26">
        <v>83759</v>
      </c>
      <c r="J5091" s="117"/>
      <c r="K5091" s="120"/>
      <c r="L5091" s="121"/>
      <c r="M5091" s="120"/>
      <c r="N5091" s="121"/>
      <c r="O5091" s="120"/>
      <c r="P5091" s="121"/>
      <c r="Q5091" s="120"/>
      <c r="R5091" s="121"/>
      <c r="S5091" s="120"/>
      <c r="T5091" s="121"/>
      <c r="U5091" s="120"/>
      <c r="V5091" s="123"/>
      <c r="W5091" s="125"/>
      <c r="X5091" s="142" t="s">
        <v>15662</v>
      </c>
      <c r="Y5091" s="143"/>
      <c r="Z5091" s="143"/>
      <c r="AA5091" s="143"/>
      <c r="AB5091" s="144"/>
      <c r="AC5091" s="16" t="s">
        <v>21</v>
      </c>
      <c r="AD5091" s="17" t="s">
        <v>15604</v>
      </c>
      <c r="AE5091" s="145" t="s">
        <v>15663</v>
      </c>
      <c r="AF5091" s="146"/>
      <c r="AG5091" s="146"/>
      <c r="AH5091" s="146"/>
      <c r="AI5091" s="147"/>
      <c r="AJ5091" s="148"/>
      <c r="AK5091" s="143"/>
      <c r="AL5091" s="144"/>
      <c r="AM5091" s="22"/>
      <c r="AN5091" s="149"/>
      <c r="AO5091" s="144"/>
      <c r="AP5091" s="148"/>
      <c r="AQ5091" s="144"/>
      <c r="AR5091" s="120"/>
      <c r="AS5091" s="121"/>
      <c r="AT5091" s="120"/>
      <c r="AU5091" s="121"/>
      <c r="AV5091" s="120"/>
      <c r="AW5091" s="121"/>
      <c r="AX5091" s="120"/>
      <c r="AY5091" s="121"/>
      <c r="AZ5091" s="138"/>
    </row>
    <row r="5092" spans="1:52" ht="17.100000000000001" customHeight="1" thickTop="1">
      <c r="A5092" s="109" t="s">
        <v>15095</v>
      </c>
      <c r="B5092" s="28">
        <v>46037</v>
      </c>
      <c r="C5092" s="25">
        <v>2141</v>
      </c>
      <c r="D5092" s="13" t="s">
        <v>4121</v>
      </c>
      <c r="E5092" s="111"/>
      <c r="F5092" s="113" t="s">
        <v>7340</v>
      </c>
      <c r="G5092" s="114"/>
      <c r="H5092" s="115"/>
      <c r="I5092" s="24"/>
      <c r="J5092" s="116">
        <v>4.5</v>
      </c>
      <c r="K5092" s="118">
        <v>795000</v>
      </c>
      <c r="L5092" s="119"/>
      <c r="M5092" s="118">
        <f t="shared" ref="M5092" si="6133">K5092*0.1</f>
        <v>79500</v>
      </c>
      <c r="N5092" s="119"/>
      <c r="O5092" s="118">
        <v>0</v>
      </c>
      <c r="P5092" s="119"/>
      <c r="Q5092" s="118">
        <v>8400</v>
      </c>
      <c r="R5092" s="119"/>
      <c r="S5092" s="118">
        <v>14300</v>
      </c>
      <c r="T5092" s="119"/>
      <c r="U5092" s="118">
        <f t="shared" ref="U5092" si="6134">SUM(K5092:T5093)</f>
        <v>897200</v>
      </c>
      <c r="V5092" s="122"/>
      <c r="W5092" s="124"/>
      <c r="X5092" s="126" t="s">
        <v>15664</v>
      </c>
      <c r="Y5092" s="127"/>
      <c r="Z5092" s="127"/>
      <c r="AA5092" s="127"/>
      <c r="AB5092" s="128"/>
      <c r="AC5092" s="15" t="s">
        <v>20</v>
      </c>
      <c r="AD5092" s="129" t="s">
        <v>3868</v>
      </c>
      <c r="AE5092" s="130"/>
      <c r="AF5092" s="130"/>
      <c r="AG5092" s="130"/>
      <c r="AH5092" s="130"/>
      <c r="AI5092" s="131"/>
      <c r="AJ5092" s="132"/>
      <c r="AK5092" s="127"/>
      <c r="AL5092" s="128"/>
      <c r="AM5092" s="21"/>
      <c r="AN5092" s="133">
        <v>46057</v>
      </c>
      <c r="AO5092" s="134"/>
      <c r="AP5092" s="135">
        <v>1003</v>
      </c>
      <c r="AQ5092" s="136"/>
      <c r="AR5092" s="118">
        <v>820000</v>
      </c>
      <c r="AS5092" s="119"/>
      <c r="AT5092" s="118">
        <f t="shared" ref="AT5092" si="6135">AR5092*0.1</f>
        <v>82000</v>
      </c>
      <c r="AU5092" s="119"/>
      <c r="AV5092" s="118">
        <v>8400</v>
      </c>
      <c r="AW5092" s="119"/>
      <c r="AX5092" s="118">
        <f t="shared" ref="AX5092" si="6136">SUM(AR5092:AW5092)</f>
        <v>910400</v>
      </c>
      <c r="AY5092" s="119"/>
      <c r="AZ5092" s="137">
        <v>46062</v>
      </c>
    </row>
    <row r="5093" spans="1:52" ht="17.100000000000001" customHeight="1" thickBot="1">
      <c r="A5093" s="110"/>
      <c r="B5093" s="27" t="s">
        <v>1940</v>
      </c>
      <c r="C5093" s="27">
        <v>2528</v>
      </c>
      <c r="D5093" s="14" t="s">
        <v>1812</v>
      </c>
      <c r="E5093" s="112"/>
      <c r="F5093" s="139" t="s">
        <v>15119</v>
      </c>
      <c r="G5093" s="140"/>
      <c r="H5093" s="141"/>
      <c r="I5093" s="26">
        <v>4186</v>
      </c>
      <c r="J5093" s="117"/>
      <c r="K5093" s="120"/>
      <c r="L5093" s="121"/>
      <c r="M5093" s="120"/>
      <c r="N5093" s="121"/>
      <c r="O5093" s="120"/>
      <c r="P5093" s="121"/>
      <c r="Q5093" s="120"/>
      <c r="R5093" s="121"/>
      <c r="S5093" s="120"/>
      <c r="T5093" s="121"/>
      <c r="U5093" s="120"/>
      <c r="V5093" s="123"/>
      <c r="W5093" s="125"/>
      <c r="X5093" s="142" t="s">
        <v>2997</v>
      </c>
      <c r="Y5093" s="143"/>
      <c r="Z5093" s="143"/>
      <c r="AA5093" s="143"/>
      <c r="AB5093" s="144"/>
      <c r="AC5093" s="16" t="s">
        <v>21</v>
      </c>
      <c r="AD5093" s="17" t="s">
        <v>15604</v>
      </c>
      <c r="AE5093" s="145" t="s">
        <v>171</v>
      </c>
      <c r="AF5093" s="146"/>
      <c r="AG5093" s="146"/>
      <c r="AH5093" s="146"/>
      <c r="AI5093" s="147"/>
      <c r="AJ5093" s="148"/>
      <c r="AK5093" s="143"/>
      <c r="AL5093" s="144"/>
      <c r="AM5093" s="22"/>
      <c r="AN5093" s="149" t="s">
        <v>2794</v>
      </c>
      <c r="AO5093" s="144"/>
      <c r="AP5093" s="148">
        <v>2015</v>
      </c>
      <c r="AQ5093" s="144"/>
      <c r="AR5093" s="120"/>
      <c r="AS5093" s="121"/>
      <c r="AT5093" s="120"/>
      <c r="AU5093" s="121"/>
      <c r="AV5093" s="120"/>
      <c r="AW5093" s="121"/>
      <c r="AX5093" s="120"/>
      <c r="AY5093" s="121"/>
      <c r="AZ5093" s="138"/>
    </row>
    <row r="5094" spans="1:52" ht="17.100000000000001" customHeight="1" thickTop="1">
      <c r="A5094" s="109" t="s">
        <v>15096</v>
      </c>
      <c r="B5094" s="28">
        <v>46037</v>
      </c>
      <c r="C5094" s="25">
        <v>2141</v>
      </c>
      <c r="D5094" s="13" t="s">
        <v>3386</v>
      </c>
      <c r="E5094" s="111"/>
      <c r="F5094" s="113" t="s">
        <v>15214</v>
      </c>
      <c r="G5094" s="114"/>
      <c r="H5094" s="115"/>
      <c r="I5094" s="24"/>
      <c r="J5094" s="116">
        <v>3.5</v>
      </c>
      <c r="K5094" s="118">
        <v>1092000</v>
      </c>
      <c r="L5094" s="119"/>
      <c r="M5094" s="118">
        <f t="shared" ref="M5094" si="6137">K5094*0.1</f>
        <v>109200</v>
      </c>
      <c r="N5094" s="119"/>
      <c r="O5094" s="118">
        <v>0</v>
      </c>
      <c r="P5094" s="119"/>
      <c r="Q5094" s="118">
        <v>8550</v>
      </c>
      <c r="R5094" s="119"/>
      <c r="S5094" s="118">
        <v>14300</v>
      </c>
      <c r="T5094" s="119"/>
      <c r="U5094" s="118">
        <f t="shared" ref="U5094" si="6138">SUM(K5094:T5095)</f>
        <v>1224050</v>
      </c>
      <c r="V5094" s="122"/>
      <c r="W5094" s="124"/>
      <c r="X5094" s="126" t="s">
        <v>15661</v>
      </c>
      <c r="Y5094" s="127"/>
      <c r="Z5094" s="127"/>
      <c r="AA5094" s="127"/>
      <c r="AB5094" s="128"/>
      <c r="AC5094" s="15" t="s">
        <v>20</v>
      </c>
      <c r="AD5094" s="129" t="s">
        <v>186</v>
      </c>
      <c r="AE5094" s="130"/>
      <c r="AF5094" s="130"/>
      <c r="AG5094" s="130"/>
      <c r="AH5094" s="130"/>
      <c r="AI5094" s="131"/>
      <c r="AJ5094" s="132"/>
      <c r="AK5094" s="127"/>
      <c r="AL5094" s="128"/>
      <c r="AM5094" s="21"/>
      <c r="AN5094" s="133">
        <v>46050</v>
      </c>
      <c r="AO5094" s="134"/>
      <c r="AP5094" s="135">
        <v>1002</v>
      </c>
      <c r="AQ5094" s="136"/>
      <c r="AR5094" s="118">
        <v>1180000</v>
      </c>
      <c r="AS5094" s="119"/>
      <c r="AT5094" s="118">
        <f t="shared" ref="AT5094" si="6139">AR5094*0.1</f>
        <v>118000</v>
      </c>
      <c r="AU5094" s="119"/>
      <c r="AV5094" s="118">
        <v>8550</v>
      </c>
      <c r="AW5094" s="119"/>
      <c r="AX5094" s="118">
        <f t="shared" ref="AX5094" si="6140">SUM(AR5094:AW5094)</f>
        <v>1306550</v>
      </c>
      <c r="AY5094" s="119"/>
      <c r="AZ5094" s="137">
        <v>46058</v>
      </c>
    </row>
    <row r="5095" spans="1:52" ht="17.100000000000001" customHeight="1" thickBot="1">
      <c r="A5095" s="110"/>
      <c r="B5095" s="27" t="s">
        <v>1940</v>
      </c>
      <c r="C5095" s="27">
        <v>2534</v>
      </c>
      <c r="D5095" s="14" t="s">
        <v>275</v>
      </c>
      <c r="E5095" s="112"/>
      <c r="F5095" s="139" t="s">
        <v>15120</v>
      </c>
      <c r="G5095" s="140"/>
      <c r="H5095" s="141"/>
      <c r="I5095" s="26">
        <v>21287</v>
      </c>
      <c r="J5095" s="117"/>
      <c r="K5095" s="120"/>
      <c r="L5095" s="121"/>
      <c r="M5095" s="120"/>
      <c r="N5095" s="121"/>
      <c r="O5095" s="120"/>
      <c r="P5095" s="121"/>
      <c r="Q5095" s="120"/>
      <c r="R5095" s="121"/>
      <c r="S5095" s="120"/>
      <c r="T5095" s="121"/>
      <c r="U5095" s="120"/>
      <c r="V5095" s="123"/>
      <c r="W5095" s="125"/>
      <c r="X5095" s="142" t="s">
        <v>2440</v>
      </c>
      <c r="Y5095" s="143"/>
      <c r="Z5095" s="143"/>
      <c r="AA5095" s="143"/>
      <c r="AB5095" s="144"/>
      <c r="AC5095" s="16" t="s">
        <v>21</v>
      </c>
      <c r="AD5095" s="17" t="s">
        <v>15604</v>
      </c>
      <c r="AE5095" s="145"/>
      <c r="AF5095" s="146"/>
      <c r="AG5095" s="146"/>
      <c r="AH5095" s="146"/>
      <c r="AI5095" s="147"/>
      <c r="AJ5095" s="148"/>
      <c r="AK5095" s="143"/>
      <c r="AL5095" s="144"/>
      <c r="AM5095" s="22"/>
      <c r="AN5095" s="149" t="s">
        <v>7285</v>
      </c>
      <c r="AO5095" s="144"/>
      <c r="AP5095" s="148">
        <v>2015</v>
      </c>
      <c r="AQ5095" s="144"/>
      <c r="AR5095" s="120"/>
      <c r="AS5095" s="121"/>
      <c r="AT5095" s="120"/>
      <c r="AU5095" s="121"/>
      <c r="AV5095" s="120"/>
      <c r="AW5095" s="121"/>
      <c r="AX5095" s="120"/>
      <c r="AY5095" s="121"/>
      <c r="AZ5095" s="138"/>
    </row>
    <row r="5096" spans="1:52" ht="17.100000000000001" customHeight="1" thickTop="1">
      <c r="A5096" s="109" t="s">
        <v>15097</v>
      </c>
      <c r="B5096" s="28">
        <v>46037</v>
      </c>
      <c r="C5096" s="25">
        <v>2141</v>
      </c>
      <c r="D5096" s="13" t="s">
        <v>2477</v>
      </c>
      <c r="E5096" s="111"/>
      <c r="F5096" s="113" t="s">
        <v>15215</v>
      </c>
      <c r="G5096" s="114"/>
      <c r="H5096" s="115"/>
      <c r="I5096" s="24"/>
      <c r="J5096" s="116">
        <v>5</v>
      </c>
      <c r="K5096" s="118">
        <v>1179000</v>
      </c>
      <c r="L5096" s="119"/>
      <c r="M5096" s="118">
        <f t="shared" ref="M5096" si="6141">K5096*0.1</f>
        <v>117900</v>
      </c>
      <c r="N5096" s="119"/>
      <c r="O5096" s="118">
        <v>0</v>
      </c>
      <c r="P5096" s="119"/>
      <c r="Q5096" s="118">
        <v>8350</v>
      </c>
      <c r="R5096" s="119"/>
      <c r="S5096" s="118">
        <v>14300</v>
      </c>
      <c r="T5096" s="119"/>
      <c r="U5096" s="118">
        <f t="shared" ref="U5096" si="6142">SUM(K5096:T5097)</f>
        <v>1319550</v>
      </c>
      <c r="V5096" s="122"/>
      <c r="W5096" s="124"/>
      <c r="X5096" s="126" t="s">
        <v>15623</v>
      </c>
      <c r="Y5096" s="127"/>
      <c r="Z5096" s="127"/>
      <c r="AA5096" s="127"/>
      <c r="AB5096" s="128"/>
      <c r="AC5096" s="15" t="s">
        <v>20</v>
      </c>
      <c r="AD5096" s="129" t="s">
        <v>1670</v>
      </c>
      <c r="AE5096" s="130"/>
      <c r="AF5096" s="130"/>
      <c r="AG5096" s="130"/>
      <c r="AH5096" s="130"/>
      <c r="AI5096" s="131"/>
      <c r="AJ5096" s="132"/>
      <c r="AK5096" s="127"/>
      <c r="AL5096" s="128"/>
      <c r="AM5096" s="21"/>
      <c r="AN5096" s="133">
        <v>46042</v>
      </c>
      <c r="AO5096" s="134"/>
      <c r="AP5096" s="135">
        <v>1925</v>
      </c>
      <c r="AQ5096" s="136"/>
      <c r="AR5096" s="118">
        <v>1216000</v>
      </c>
      <c r="AS5096" s="119"/>
      <c r="AT5096" s="118">
        <f t="shared" ref="AT5096" si="6143">AR5096*0.1</f>
        <v>121600</v>
      </c>
      <c r="AU5096" s="119"/>
      <c r="AV5096" s="118">
        <v>8350</v>
      </c>
      <c r="AW5096" s="119"/>
      <c r="AX5096" s="118">
        <f t="shared" ref="AX5096" si="6144">SUM(AR5096:AW5096)</f>
        <v>1345950</v>
      </c>
      <c r="AY5096" s="119"/>
      <c r="AZ5096" s="137"/>
    </row>
    <row r="5097" spans="1:52" ht="17.100000000000001" customHeight="1" thickBot="1">
      <c r="A5097" s="110"/>
      <c r="B5097" s="27" t="s">
        <v>1940</v>
      </c>
      <c r="C5097" s="27">
        <v>2583</v>
      </c>
      <c r="D5097" s="14" t="s">
        <v>1592</v>
      </c>
      <c r="E5097" s="112"/>
      <c r="F5097" s="139" t="s">
        <v>15121</v>
      </c>
      <c r="G5097" s="140"/>
      <c r="H5097" s="141"/>
      <c r="I5097" s="26">
        <v>3927</v>
      </c>
      <c r="J5097" s="117"/>
      <c r="K5097" s="120"/>
      <c r="L5097" s="121"/>
      <c r="M5097" s="120"/>
      <c r="N5097" s="121"/>
      <c r="O5097" s="120"/>
      <c r="P5097" s="121"/>
      <c r="Q5097" s="120"/>
      <c r="R5097" s="121"/>
      <c r="S5097" s="120"/>
      <c r="T5097" s="121"/>
      <c r="U5097" s="120"/>
      <c r="V5097" s="123"/>
      <c r="W5097" s="125"/>
      <c r="X5097" s="142" t="s">
        <v>2440</v>
      </c>
      <c r="Y5097" s="143"/>
      <c r="Z5097" s="143"/>
      <c r="AA5097" s="143"/>
      <c r="AB5097" s="144"/>
      <c r="AC5097" s="16" t="s">
        <v>21</v>
      </c>
      <c r="AD5097" s="17" t="s">
        <v>15604</v>
      </c>
      <c r="AE5097" s="145" t="s">
        <v>15601</v>
      </c>
      <c r="AF5097" s="146"/>
      <c r="AG5097" s="146"/>
      <c r="AH5097" s="146"/>
      <c r="AI5097" s="147"/>
      <c r="AJ5097" s="148"/>
      <c r="AK5097" s="143"/>
      <c r="AL5097" s="144"/>
      <c r="AM5097" s="22"/>
      <c r="AN5097" s="149" t="s">
        <v>2131</v>
      </c>
      <c r="AO5097" s="144"/>
      <c r="AP5097" s="148">
        <v>3243</v>
      </c>
      <c r="AQ5097" s="144"/>
      <c r="AR5097" s="120"/>
      <c r="AS5097" s="121"/>
      <c r="AT5097" s="120"/>
      <c r="AU5097" s="121"/>
      <c r="AV5097" s="120"/>
      <c r="AW5097" s="121"/>
      <c r="AX5097" s="120"/>
      <c r="AY5097" s="121"/>
      <c r="AZ5097" s="138"/>
    </row>
    <row r="5098" spans="1:52" ht="16.5" customHeight="1" thickTop="1">
      <c r="A5098" s="109" t="s">
        <v>15098</v>
      </c>
      <c r="B5098" s="28">
        <v>46037</v>
      </c>
      <c r="C5098" s="25">
        <v>2141</v>
      </c>
      <c r="D5098" s="13" t="s">
        <v>1586</v>
      </c>
      <c r="E5098" s="111"/>
      <c r="F5098" s="113" t="s">
        <v>15216</v>
      </c>
      <c r="G5098" s="114"/>
      <c r="H5098" s="115"/>
      <c r="I5098" s="24"/>
      <c r="J5098" s="116">
        <v>3.5</v>
      </c>
      <c r="K5098" s="118">
        <v>748000</v>
      </c>
      <c r="L5098" s="119"/>
      <c r="M5098" s="118">
        <f t="shared" ref="M5098" si="6145">K5098*0.1</f>
        <v>74800</v>
      </c>
      <c r="N5098" s="119"/>
      <c r="O5098" s="118">
        <v>0</v>
      </c>
      <c r="P5098" s="119"/>
      <c r="Q5098" s="118">
        <v>9200</v>
      </c>
      <c r="R5098" s="119"/>
      <c r="S5098" s="118">
        <v>14300</v>
      </c>
      <c r="T5098" s="119"/>
      <c r="U5098" s="118">
        <f t="shared" ref="U5098" si="6146">SUM(K5098:T5099)</f>
        <v>846300</v>
      </c>
      <c r="V5098" s="122"/>
      <c r="W5098" s="124"/>
      <c r="X5098" s="126" t="s">
        <v>15657</v>
      </c>
      <c r="Y5098" s="127"/>
      <c r="Z5098" s="127"/>
      <c r="AA5098" s="127"/>
      <c r="AB5098" s="128"/>
      <c r="AC5098" s="15" t="s">
        <v>20</v>
      </c>
      <c r="AD5098" s="129"/>
      <c r="AE5098" s="130"/>
      <c r="AF5098" s="130"/>
      <c r="AG5098" s="130"/>
      <c r="AH5098" s="130"/>
      <c r="AI5098" s="131"/>
      <c r="AJ5098" s="132"/>
      <c r="AK5098" s="127"/>
      <c r="AL5098" s="128"/>
      <c r="AM5098" s="21"/>
      <c r="AN5098" s="133"/>
      <c r="AO5098" s="134"/>
      <c r="AP5098" s="135"/>
      <c r="AQ5098" s="136"/>
      <c r="AR5098" s="118"/>
      <c r="AS5098" s="119"/>
      <c r="AT5098" s="118">
        <f t="shared" ref="AT5098" si="6147">AR5098*0.1</f>
        <v>0</v>
      </c>
      <c r="AU5098" s="119"/>
      <c r="AV5098" s="118"/>
      <c r="AW5098" s="119"/>
      <c r="AX5098" s="118">
        <f t="shared" ref="AX5098" si="6148">SUM(AR5098:AW5098)</f>
        <v>0</v>
      </c>
      <c r="AY5098" s="119"/>
      <c r="AZ5098" s="137"/>
    </row>
    <row r="5099" spans="1:52" ht="17.100000000000001" customHeight="1" thickBot="1">
      <c r="A5099" s="110"/>
      <c r="B5099" s="27" t="s">
        <v>1940</v>
      </c>
      <c r="C5099" s="27">
        <v>2586</v>
      </c>
      <c r="D5099" s="14" t="s">
        <v>275</v>
      </c>
      <c r="E5099" s="112"/>
      <c r="F5099" s="139" t="s">
        <v>15122</v>
      </c>
      <c r="G5099" s="140"/>
      <c r="H5099" s="141"/>
      <c r="I5099" s="26">
        <v>56848</v>
      </c>
      <c r="J5099" s="117"/>
      <c r="K5099" s="120"/>
      <c r="L5099" s="121"/>
      <c r="M5099" s="120"/>
      <c r="N5099" s="121"/>
      <c r="O5099" s="120"/>
      <c r="P5099" s="121"/>
      <c r="Q5099" s="120"/>
      <c r="R5099" s="121"/>
      <c r="S5099" s="120"/>
      <c r="T5099" s="121"/>
      <c r="U5099" s="120"/>
      <c r="V5099" s="123"/>
      <c r="W5099" s="125"/>
      <c r="X5099" s="142" t="s">
        <v>2997</v>
      </c>
      <c r="Y5099" s="143"/>
      <c r="Z5099" s="143"/>
      <c r="AA5099" s="143"/>
      <c r="AB5099" s="144"/>
      <c r="AC5099" s="16" t="s">
        <v>21</v>
      </c>
      <c r="AD5099" s="17" t="s">
        <v>15604</v>
      </c>
      <c r="AE5099" s="145" t="s">
        <v>10198</v>
      </c>
      <c r="AF5099" s="146"/>
      <c r="AG5099" s="146"/>
      <c r="AH5099" s="146"/>
      <c r="AI5099" s="147"/>
      <c r="AJ5099" s="148"/>
      <c r="AK5099" s="143"/>
      <c r="AL5099" s="144"/>
      <c r="AM5099" s="22"/>
      <c r="AN5099" s="149"/>
      <c r="AO5099" s="144"/>
      <c r="AP5099" s="148"/>
      <c r="AQ5099" s="144"/>
      <c r="AR5099" s="120"/>
      <c r="AS5099" s="121"/>
      <c r="AT5099" s="120"/>
      <c r="AU5099" s="121"/>
      <c r="AV5099" s="120"/>
      <c r="AW5099" s="121"/>
      <c r="AX5099" s="120"/>
      <c r="AY5099" s="121"/>
      <c r="AZ5099" s="138"/>
    </row>
    <row r="5100" spans="1:52" ht="17.100000000000001" customHeight="1" thickTop="1">
      <c r="A5100" s="109" t="s">
        <v>15099</v>
      </c>
      <c r="B5100" s="28">
        <v>46037</v>
      </c>
      <c r="C5100" s="25">
        <v>2141</v>
      </c>
      <c r="D5100" s="13" t="s">
        <v>1651</v>
      </c>
      <c r="E5100" s="111"/>
      <c r="F5100" s="113" t="s">
        <v>15217</v>
      </c>
      <c r="G5100" s="114"/>
      <c r="H5100" s="115"/>
      <c r="I5100" s="24"/>
      <c r="J5100" s="116">
        <v>4.5</v>
      </c>
      <c r="K5100" s="118">
        <v>1255000</v>
      </c>
      <c r="L5100" s="119"/>
      <c r="M5100" s="118">
        <f t="shared" ref="M5100" si="6149">K5100*0.1</f>
        <v>125500</v>
      </c>
      <c r="N5100" s="119"/>
      <c r="O5100" s="118">
        <v>0</v>
      </c>
      <c r="P5100" s="119"/>
      <c r="Q5100" s="118">
        <v>8630</v>
      </c>
      <c r="R5100" s="119"/>
      <c r="S5100" s="118">
        <v>14300</v>
      </c>
      <c r="T5100" s="119"/>
      <c r="U5100" s="118">
        <f t="shared" ref="U5100" si="6150">SUM(K5100:T5101)</f>
        <v>1403430</v>
      </c>
      <c r="V5100" s="122"/>
      <c r="W5100" s="124"/>
      <c r="X5100" s="126" t="s">
        <v>15625</v>
      </c>
      <c r="Y5100" s="127"/>
      <c r="Z5100" s="127"/>
      <c r="AA5100" s="127"/>
      <c r="AB5100" s="128"/>
      <c r="AC5100" s="15" t="s">
        <v>20</v>
      </c>
      <c r="AD5100" s="129" t="s">
        <v>1670</v>
      </c>
      <c r="AE5100" s="130"/>
      <c r="AF5100" s="130"/>
      <c r="AG5100" s="130"/>
      <c r="AH5100" s="130"/>
      <c r="AI5100" s="131"/>
      <c r="AJ5100" s="132"/>
      <c r="AK5100" s="127"/>
      <c r="AL5100" s="128"/>
      <c r="AM5100" s="21"/>
      <c r="AN5100" s="133">
        <v>46042</v>
      </c>
      <c r="AO5100" s="134"/>
      <c r="AP5100" s="135">
        <v>1925</v>
      </c>
      <c r="AQ5100" s="136"/>
      <c r="AR5100" s="118">
        <v>1343000</v>
      </c>
      <c r="AS5100" s="119"/>
      <c r="AT5100" s="118">
        <f t="shared" ref="AT5100" si="6151">AR5100*0.1</f>
        <v>134300</v>
      </c>
      <c r="AU5100" s="119"/>
      <c r="AV5100" s="118">
        <v>8630</v>
      </c>
      <c r="AW5100" s="119"/>
      <c r="AX5100" s="118">
        <f t="shared" ref="AX5100" si="6152">SUM(AR5100:AW5100)</f>
        <v>1485930</v>
      </c>
      <c r="AY5100" s="119"/>
      <c r="AZ5100" s="137"/>
    </row>
    <row r="5101" spans="1:52" ht="17.100000000000001" customHeight="1" thickBot="1">
      <c r="A5101" s="110"/>
      <c r="B5101" s="27" t="s">
        <v>1940</v>
      </c>
      <c r="C5101" s="27">
        <v>2594</v>
      </c>
      <c r="D5101" s="14" t="s">
        <v>2601</v>
      </c>
      <c r="E5101" s="112"/>
      <c r="F5101" s="139" t="s">
        <v>15123</v>
      </c>
      <c r="G5101" s="140"/>
      <c r="H5101" s="141"/>
      <c r="I5101" s="26">
        <v>19500</v>
      </c>
      <c r="J5101" s="117"/>
      <c r="K5101" s="120"/>
      <c r="L5101" s="121"/>
      <c r="M5101" s="120"/>
      <c r="N5101" s="121"/>
      <c r="O5101" s="120"/>
      <c r="P5101" s="121"/>
      <c r="Q5101" s="120"/>
      <c r="R5101" s="121"/>
      <c r="S5101" s="120"/>
      <c r="T5101" s="121"/>
      <c r="U5101" s="120"/>
      <c r="V5101" s="123"/>
      <c r="W5101" s="125"/>
      <c r="X5101" s="142" t="s">
        <v>2440</v>
      </c>
      <c r="Y5101" s="143"/>
      <c r="Z5101" s="143"/>
      <c r="AA5101" s="143"/>
      <c r="AB5101" s="144"/>
      <c r="AC5101" s="16" t="s">
        <v>21</v>
      </c>
      <c r="AD5101" s="17" t="s">
        <v>15604</v>
      </c>
      <c r="AE5101" s="145" t="s">
        <v>15601</v>
      </c>
      <c r="AF5101" s="146"/>
      <c r="AG5101" s="146"/>
      <c r="AH5101" s="146"/>
      <c r="AI5101" s="147"/>
      <c r="AJ5101" s="148"/>
      <c r="AK5101" s="143"/>
      <c r="AL5101" s="144"/>
      <c r="AM5101" s="22"/>
      <c r="AN5101" s="149" t="s">
        <v>2131</v>
      </c>
      <c r="AO5101" s="144"/>
      <c r="AP5101" s="148">
        <v>3377</v>
      </c>
      <c r="AQ5101" s="144"/>
      <c r="AR5101" s="120"/>
      <c r="AS5101" s="121"/>
      <c r="AT5101" s="120"/>
      <c r="AU5101" s="121"/>
      <c r="AV5101" s="120"/>
      <c r="AW5101" s="121"/>
      <c r="AX5101" s="120"/>
      <c r="AY5101" s="121"/>
      <c r="AZ5101" s="138"/>
    </row>
    <row r="5102" spans="1:52" ht="17.100000000000001" customHeight="1" thickTop="1">
      <c r="A5102" s="109" t="s">
        <v>15100</v>
      </c>
      <c r="B5102" s="28">
        <v>46037</v>
      </c>
      <c r="C5102" s="25">
        <v>2141</v>
      </c>
      <c r="D5102" s="13" t="s">
        <v>1853</v>
      </c>
      <c r="E5102" s="111"/>
      <c r="F5102" s="113" t="s">
        <v>7632</v>
      </c>
      <c r="G5102" s="114"/>
      <c r="H5102" s="115"/>
      <c r="I5102" s="24"/>
      <c r="J5102" s="116">
        <v>4</v>
      </c>
      <c r="K5102" s="118">
        <v>753000</v>
      </c>
      <c r="L5102" s="119"/>
      <c r="M5102" s="118">
        <f t="shared" ref="M5102" si="6153">K5102*0.1</f>
        <v>75300</v>
      </c>
      <c r="N5102" s="119"/>
      <c r="O5102" s="118">
        <v>0</v>
      </c>
      <c r="P5102" s="119"/>
      <c r="Q5102" s="118">
        <v>5340</v>
      </c>
      <c r="R5102" s="119"/>
      <c r="S5102" s="118">
        <v>14300</v>
      </c>
      <c r="T5102" s="119"/>
      <c r="U5102" s="118">
        <f t="shared" ref="U5102" si="6154">SUM(K5102:T5103)</f>
        <v>847940</v>
      </c>
      <c r="V5102" s="122"/>
      <c r="W5102" s="124"/>
      <c r="X5102" s="126" t="s">
        <v>15761</v>
      </c>
      <c r="Y5102" s="127"/>
      <c r="Z5102" s="127"/>
      <c r="AA5102" s="127"/>
      <c r="AB5102" s="128"/>
      <c r="AC5102" s="15" t="s">
        <v>20</v>
      </c>
      <c r="AD5102" s="129" t="s">
        <v>1581</v>
      </c>
      <c r="AE5102" s="130"/>
      <c r="AF5102" s="130"/>
      <c r="AG5102" s="130"/>
      <c r="AH5102" s="130"/>
      <c r="AI5102" s="131"/>
      <c r="AJ5102" s="132"/>
      <c r="AK5102" s="127"/>
      <c r="AL5102" s="128"/>
      <c r="AM5102" s="21"/>
      <c r="AN5102" s="133">
        <v>46043</v>
      </c>
      <c r="AO5102" s="134"/>
      <c r="AP5102" s="135">
        <v>1001</v>
      </c>
      <c r="AQ5102" s="136"/>
      <c r="AR5102" s="118">
        <v>910000</v>
      </c>
      <c r="AS5102" s="119"/>
      <c r="AT5102" s="118">
        <f t="shared" ref="AT5102" si="6155">AR5102*0.1</f>
        <v>91000</v>
      </c>
      <c r="AU5102" s="119"/>
      <c r="AV5102" s="118">
        <v>5340</v>
      </c>
      <c r="AW5102" s="119"/>
      <c r="AX5102" s="118">
        <f t="shared" ref="AX5102" si="6156">SUM(AR5102:AW5102)</f>
        <v>1006340</v>
      </c>
      <c r="AY5102" s="119"/>
      <c r="AZ5102" s="137">
        <v>46049</v>
      </c>
    </row>
    <row r="5103" spans="1:52" ht="17.100000000000001" customHeight="1" thickBot="1">
      <c r="A5103" s="110"/>
      <c r="B5103" s="27" t="s">
        <v>1940</v>
      </c>
      <c r="C5103" s="27">
        <v>2604</v>
      </c>
      <c r="D5103" s="14" t="s">
        <v>1635</v>
      </c>
      <c r="E5103" s="112"/>
      <c r="F5103" s="139" t="s">
        <v>15124</v>
      </c>
      <c r="G5103" s="140"/>
      <c r="H5103" s="141"/>
      <c r="I5103" s="26">
        <v>35249</v>
      </c>
      <c r="J5103" s="117"/>
      <c r="K5103" s="120"/>
      <c r="L5103" s="121"/>
      <c r="M5103" s="120"/>
      <c r="N5103" s="121"/>
      <c r="O5103" s="120"/>
      <c r="P5103" s="121"/>
      <c r="Q5103" s="120"/>
      <c r="R5103" s="121"/>
      <c r="S5103" s="120"/>
      <c r="T5103" s="121"/>
      <c r="U5103" s="120"/>
      <c r="V5103" s="123"/>
      <c r="W5103" s="125"/>
      <c r="X5103" s="142" t="s">
        <v>4300</v>
      </c>
      <c r="Y5103" s="143"/>
      <c r="Z5103" s="143"/>
      <c r="AA5103" s="143"/>
      <c r="AB5103" s="144"/>
      <c r="AC5103" s="16" t="s">
        <v>21</v>
      </c>
      <c r="AD5103" s="17" t="s">
        <v>15708</v>
      </c>
      <c r="AE5103" s="145" t="s">
        <v>15762</v>
      </c>
      <c r="AF5103" s="146"/>
      <c r="AG5103" s="146"/>
      <c r="AH5103" s="146"/>
      <c r="AI5103" s="147"/>
      <c r="AJ5103" s="148"/>
      <c r="AK5103" s="143"/>
      <c r="AL5103" s="144"/>
      <c r="AM5103" s="22"/>
      <c r="AN5103" s="149" t="s">
        <v>2794</v>
      </c>
      <c r="AO5103" s="144"/>
      <c r="AP5103" s="148">
        <v>5087</v>
      </c>
      <c r="AQ5103" s="144"/>
      <c r="AR5103" s="120"/>
      <c r="AS5103" s="121"/>
      <c r="AT5103" s="120"/>
      <c r="AU5103" s="121"/>
      <c r="AV5103" s="120"/>
      <c r="AW5103" s="121"/>
      <c r="AX5103" s="120"/>
      <c r="AY5103" s="121"/>
      <c r="AZ5103" s="138"/>
    </row>
    <row r="5104" spans="1:52" ht="17.100000000000001" customHeight="1" thickTop="1">
      <c r="A5104" s="109" t="s">
        <v>15101</v>
      </c>
      <c r="B5104" s="28">
        <v>46037</v>
      </c>
      <c r="C5104" s="25">
        <v>2141</v>
      </c>
      <c r="D5104" s="13" t="s">
        <v>1971</v>
      </c>
      <c r="E5104" s="111"/>
      <c r="F5104" s="113" t="s">
        <v>15218</v>
      </c>
      <c r="G5104" s="114"/>
      <c r="H5104" s="115"/>
      <c r="I5104" s="24" t="s">
        <v>2919</v>
      </c>
      <c r="J5104" s="116">
        <v>4</v>
      </c>
      <c r="K5104" s="118">
        <v>957000</v>
      </c>
      <c r="L5104" s="119"/>
      <c r="M5104" s="118">
        <f t="shared" ref="M5104" si="6157">K5104*0.1</f>
        <v>95700</v>
      </c>
      <c r="N5104" s="119"/>
      <c r="O5104" s="118">
        <v>0</v>
      </c>
      <c r="P5104" s="119"/>
      <c r="Q5104" s="118">
        <v>8630</v>
      </c>
      <c r="R5104" s="119"/>
      <c r="S5104" s="118">
        <v>14300</v>
      </c>
      <c r="T5104" s="119"/>
      <c r="U5104" s="118">
        <f t="shared" ref="U5104" si="6158">SUM(K5104:T5105)</f>
        <v>1075630</v>
      </c>
      <c r="V5104" s="122"/>
      <c r="W5104" s="124"/>
      <c r="X5104" s="126" t="s">
        <v>15759</v>
      </c>
      <c r="Y5104" s="127"/>
      <c r="Z5104" s="127"/>
      <c r="AA5104" s="127"/>
      <c r="AB5104" s="128"/>
      <c r="AC5104" s="15" t="s">
        <v>20</v>
      </c>
      <c r="AD5104" s="129" t="s">
        <v>15219</v>
      </c>
      <c r="AE5104" s="130"/>
      <c r="AF5104" s="130"/>
      <c r="AG5104" s="130"/>
      <c r="AH5104" s="130"/>
      <c r="AI5104" s="131"/>
      <c r="AJ5104" s="132"/>
      <c r="AK5104" s="127"/>
      <c r="AL5104" s="128"/>
      <c r="AM5104" s="21"/>
      <c r="AN5104" s="133">
        <v>46043</v>
      </c>
      <c r="AO5104" s="134"/>
      <c r="AP5104" s="135">
        <v>1001</v>
      </c>
      <c r="AQ5104" s="136"/>
      <c r="AR5104" s="118">
        <v>1190000</v>
      </c>
      <c r="AS5104" s="119"/>
      <c r="AT5104" s="118">
        <f t="shared" ref="AT5104" si="6159">AR5104*0.1</f>
        <v>119000</v>
      </c>
      <c r="AU5104" s="119"/>
      <c r="AV5104" s="118">
        <v>8630</v>
      </c>
      <c r="AW5104" s="119"/>
      <c r="AX5104" s="118">
        <f t="shared" ref="AX5104" si="6160">SUM(AR5104:AW5104)</f>
        <v>1317630</v>
      </c>
      <c r="AY5104" s="119"/>
      <c r="AZ5104" s="137">
        <v>46049</v>
      </c>
    </row>
    <row r="5105" spans="1:52" ht="17.100000000000001" customHeight="1" thickBot="1">
      <c r="A5105" s="110"/>
      <c r="B5105" s="27" t="s">
        <v>1940</v>
      </c>
      <c r="C5105" s="27">
        <v>2667</v>
      </c>
      <c r="D5105" s="14" t="s">
        <v>2601</v>
      </c>
      <c r="E5105" s="112"/>
      <c r="F5105" s="139" t="s">
        <v>15125</v>
      </c>
      <c r="G5105" s="140"/>
      <c r="H5105" s="141"/>
      <c r="I5105" s="26">
        <v>15071</v>
      </c>
      <c r="J5105" s="117"/>
      <c r="K5105" s="120"/>
      <c r="L5105" s="121"/>
      <c r="M5105" s="120"/>
      <c r="N5105" s="121"/>
      <c r="O5105" s="120"/>
      <c r="P5105" s="121"/>
      <c r="Q5105" s="120"/>
      <c r="R5105" s="121"/>
      <c r="S5105" s="120"/>
      <c r="T5105" s="121"/>
      <c r="U5105" s="120"/>
      <c r="V5105" s="123"/>
      <c r="W5105" s="125"/>
      <c r="X5105" s="142" t="s">
        <v>4300</v>
      </c>
      <c r="Y5105" s="143"/>
      <c r="Z5105" s="143"/>
      <c r="AA5105" s="143"/>
      <c r="AB5105" s="144"/>
      <c r="AC5105" s="16" t="s">
        <v>21</v>
      </c>
      <c r="AD5105" s="17" t="s">
        <v>15708</v>
      </c>
      <c r="AE5105" s="145" t="s">
        <v>15760</v>
      </c>
      <c r="AF5105" s="146"/>
      <c r="AG5105" s="146"/>
      <c r="AH5105" s="146"/>
      <c r="AI5105" s="147"/>
      <c r="AJ5105" s="148"/>
      <c r="AK5105" s="143"/>
      <c r="AL5105" s="144"/>
      <c r="AM5105" s="22"/>
      <c r="AN5105" s="149" t="s">
        <v>2794</v>
      </c>
      <c r="AO5105" s="144"/>
      <c r="AP5105" s="148">
        <v>5090</v>
      </c>
      <c r="AQ5105" s="144"/>
      <c r="AR5105" s="120"/>
      <c r="AS5105" s="121"/>
      <c r="AT5105" s="120"/>
      <c r="AU5105" s="121"/>
      <c r="AV5105" s="120"/>
      <c r="AW5105" s="121"/>
      <c r="AX5105" s="120"/>
      <c r="AY5105" s="121"/>
      <c r="AZ5105" s="138"/>
    </row>
    <row r="5106" spans="1:52" ht="17.100000000000001" customHeight="1" thickTop="1">
      <c r="A5106" s="109" t="s">
        <v>15102</v>
      </c>
      <c r="B5106" s="28">
        <v>46037</v>
      </c>
      <c r="C5106" s="25">
        <v>2141</v>
      </c>
      <c r="D5106" s="13" t="s">
        <v>2234</v>
      </c>
      <c r="E5106" s="111"/>
      <c r="F5106" s="113" t="s">
        <v>15220</v>
      </c>
      <c r="G5106" s="114"/>
      <c r="H5106" s="115"/>
      <c r="I5106" s="24" t="s">
        <v>3399</v>
      </c>
      <c r="J5106" s="116">
        <v>4.5</v>
      </c>
      <c r="K5106" s="118">
        <v>1030000</v>
      </c>
      <c r="L5106" s="119"/>
      <c r="M5106" s="118">
        <f t="shared" ref="M5106" si="6161">K5106*0.1</f>
        <v>103000</v>
      </c>
      <c r="N5106" s="119"/>
      <c r="O5106" s="118">
        <v>0</v>
      </c>
      <c r="P5106" s="119"/>
      <c r="Q5106" s="118">
        <v>7510</v>
      </c>
      <c r="R5106" s="119"/>
      <c r="S5106" s="118">
        <v>14300</v>
      </c>
      <c r="T5106" s="119"/>
      <c r="U5106" s="118">
        <f t="shared" ref="U5106" si="6162">SUM(K5106:T5107)</f>
        <v>1154810</v>
      </c>
      <c r="V5106" s="122"/>
      <c r="W5106" s="124"/>
      <c r="X5106" s="126" t="s">
        <v>15221</v>
      </c>
      <c r="Y5106" s="127"/>
      <c r="Z5106" s="127"/>
      <c r="AA5106" s="127"/>
      <c r="AB5106" s="128"/>
      <c r="AC5106" s="15" t="s">
        <v>20</v>
      </c>
      <c r="AD5106" s="129" t="s">
        <v>1670</v>
      </c>
      <c r="AE5106" s="130"/>
      <c r="AF5106" s="130"/>
      <c r="AG5106" s="130"/>
      <c r="AH5106" s="130"/>
      <c r="AI5106" s="131"/>
      <c r="AJ5106" s="132"/>
      <c r="AK5106" s="127"/>
      <c r="AL5106" s="128"/>
      <c r="AM5106" s="21"/>
      <c r="AN5106" s="133">
        <v>46095</v>
      </c>
      <c r="AO5106" s="134"/>
      <c r="AP5106" s="135">
        <v>1292</v>
      </c>
      <c r="AQ5106" s="136"/>
      <c r="AR5106" s="118">
        <v>1030000</v>
      </c>
      <c r="AS5106" s="119"/>
      <c r="AT5106" s="118">
        <f t="shared" ref="AT5106" si="6163">AR5106*0.1</f>
        <v>103000</v>
      </c>
      <c r="AU5106" s="119"/>
      <c r="AV5106" s="118">
        <v>7510</v>
      </c>
      <c r="AW5106" s="119"/>
      <c r="AX5106" s="118">
        <f t="shared" ref="AX5106" si="6164">SUM(AR5106:AW5106)</f>
        <v>1140510</v>
      </c>
      <c r="AY5106" s="119"/>
      <c r="AZ5106" s="137">
        <v>46098</v>
      </c>
    </row>
    <row r="5107" spans="1:52" ht="17.100000000000001" customHeight="1" thickBot="1">
      <c r="A5107" s="110"/>
      <c r="B5107" s="27" t="s">
        <v>1940</v>
      </c>
      <c r="C5107" s="27">
        <v>2738</v>
      </c>
      <c r="D5107" s="14" t="s">
        <v>2601</v>
      </c>
      <c r="E5107" s="112"/>
      <c r="F5107" s="139" t="s">
        <v>15126</v>
      </c>
      <c r="G5107" s="140"/>
      <c r="H5107" s="141"/>
      <c r="I5107" s="26">
        <v>26560</v>
      </c>
      <c r="J5107" s="117"/>
      <c r="K5107" s="120"/>
      <c r="L5107" s="121"/>
      <c r="M5107" s="120"/>
      <c r="N5107" s="121"/>
      <c r="O5107" s="120"/>
      <c r="P5107" s="121"/>
      <c r="Q5107" s="120"/>
      <c r="R5107" s="121"/>
      <c r="S5107" s="120"/>
      <c r="T5107" s="121"/>
      <c r="U5107" s="120"/>
      <c r="V5107" s="123"/>
      <c r="W5107" s="125"/>
      <c r="X5107" s="142" t="s">
        <v>15656</v>
      </c>
      <c r="Y5107" s="143"/>
      <c r="Z5107" s="143"/>
      <c r="AA5107" s="143"/>
      <c r="AB5107" s="144"/>
      <c r="AC5107" s="16" t="s">
        <v>21</v>
      </c>
      <c r="AD5107" s="17" t="s">
        <v>15604</v>
      </c>
      <c r="AE5107" s="145" t="s">
        <v>171</v>
      </c>
      <c r="AF5107" s="146"/>
      <c r="AG5107" s="146"/>
      <c r="AH5107" s="146"/>
      <c r="AI5107" s="147"/>
      <c r="AJ5107" s="148"/>
      <c r="AK5107" s="143"/>
      <c r="AL5107" s="144"/>
      <c r="AM5107" s="22"/>
      <c r="AN5107" s="149" t="s">
        <v>2511</v>
      </c>
      <c r="AO5107" s="144"/>
      <c r="AP5107" s="148">
        <v>60095</v>
      </c>
      <c r="AQ5107" s="144"/>
      <c r="AR5107" s="120"/>
      <c r="AS5107" s="121"/>
      <c r="AT5107" s="120"/>
      <c r="AU5107" s="121"/>
      <c r="AV5107" s="120"/>
      <c r="AW5107" s="121"/>
      <c r="AX5107" s="120"/>
      <c r="AY5107" s="121"/>
      <c r="AZ5107" s="138"/>
    </row>
    <row r="5108" spans="1:52" ht="17.100000000000001" customHeight="1" thickTop="1">
      <c r="A5108" s="109" t="s">
        <v>15103</v>
      </c>
      <c r="B5108" s="28">
        <v>46037</v>
      </c>
      <c r="C5108" s="25">
        <v>2141</v>
      </c>
      <c r="D5108" s="13" t="s">
        <v>3461</v>
      </c>
      <c r="E5108" s="111"/>
      <c r="F5108" s="113" t="s">
        <v>15222</v>
      </c>
      <c r="G5108" s="114"/>
      <c r="H5108" s="115"/>
      <c r="I5108" s="24"/>
      <c r="J5108" s="116">
        <v>4.5</v>
      </c>
      <c r="K5108" s="118">
        <v>1404000</v>
      </c>
      <c r="L5108" s="119"/>
      <c r="M5108" s="118">
        <f t="shared" ref="M5108" si="6165">K5108*0.1</f>
        <v>140400</v>
      </c>
      <c r="N5108" s="119"/>
      <c r="O5108" s="118">
        <v>0</v>
      </c>
      <c r="P5108" s="119"/>
      <c r="Q5108" s="118">
        <v>8630</v>
      </c>
      <c r="R5108" s="119"/>
      <c r="S5108" s="118">
        <v>14300</v>
      </c>
      <c r="T5108" s="119"/>
      <c r="U5108" s="118">
        <f t="shared" ref="U5108" si="6166">SUM(K5108:T5109)</f>
        <v>1567330</v>
      </c>
      <c r="V5108" s="122"/>
      <c r="W5108" s="124"/>
      <c r="X5108" s="126" t="s">
        <v>15624</v>
      </c>
      <c r="Y5108" s="127"/>
      <c r="Z5108" s="127"/>
      <c r="AA5108" s="127"/>
      <c r="AB5108" s="128"/>
      <c r="AC5108" s="15" t="s">
        <v>20</v>
      </c>
      <c r="AD5108" s="129" t="s">
        <v>15223</v>
      </c>
      <c r="AE5108" s="130"/>
      <c r="AF5108" s="130"/>
      <c r="AG5108" s="130"/>
      <c r="AH5108" s="130"/>
      <c r="AI5108" s="131"/>
      <c r="AJ5108" s="132"/>
      <c r="AK5108" s="127"/>
      <c r="AL5108" s="128"/>
      <c r="AM5108" s="21"/>
      <c r="AN5108" s="133">
        <v>46042</v>
      </c>
      <c r="AO5108" s="134"/>
      <c r="AP5108" s="135">
        <v>1925</v>
      </c>
      <c r="AQ5108" s="136"/>
      <c r="AR5108" s="118">
        <v>1440000</v>
      </c>
      <c r="AS5108" s="119"/>
      <c r="AT5108" s="118">
        <f t="shared" ref="AT5108" si="6167">AR5108*0.1</f>
        <v>144000</v>
      </c>
      <c r="AU5108" s="119"/>
      <c r="AV5108" s="118">
        <v>8630</v>
      </c>
      <c r="AW5108" s="119"/>
      <c r="AX5108" s="118">
        <f t="shared" ref="AX5108" si="6168">SUM(AR5108:AW5108)</f>
        <v>1592630</v>
      </c>
      <c r="AY5108" s="119"/>
      <c r="AZ5108" s="137"/>
    </row>
    <row r="5109" spans="1:52" ht="17.100000000000001" customHeight="1" thickBot="1">
      <c r="A5109" s="110"/>
      <c r="B5109" s="27" t="s">
        <v>1940</v>
      </c>
      <c r="C5109" s="27">
        <v>2739</v>
      </c>
      <c r="D5109" s="14" t="s">
        <v>2800</v>
      </c>
      <c r="E5109" s="112"/>
      <c r="F5109" s="139" t="s">
        <v>15127</v>
      </c>
      <c r="G5109" s="140"/>
      <c r="H5109" s="141"/>
      <c r="I5109" s="26">
        <v>9512</v>
      </c>
      <c r="J5109" s="117"/>
      <c r="K5109" s="120"/>
      <c r="L5109" s="121"/>
      <c r="M5109" s="120"/>
      <c r="N5109" s="121"/>
      <c r="O5109" s="120"/>
      <c r="P5109" s="121"/>
      <c r="Q5109" s="120"/>
      <c r="R5109" s="121"/>
      <c r="S5109" s="120"/>
      <c r="T5109" s="121"/>
      <c r="U5109" s="120"/>
      <c r="V5109" s="123"/>
      <c r="W5109" s="125"/>
      <c r="X5109" s="142" t="s">
        <v>4690</v>
      </c>
      <c r="Y5109" s="143"/>
      <c r="Z5109" s="143"/>
      <c r="AA5109" s="143"/>
      <c r="AB5109" s="144"/>
      <c r="AC5109" s="16" t="s">
        <v>21</v>
      </c>
      <c r="AD5109" s="17" t="s">
        <v>15604</v>
      </c>
      <c r="AE5109" s="145" t="s">
        <v>1670</v>
      </c>
      <c r="AF5109" s="146"/>
      <c r="AG5109" s="146"/>
      <c r="AH5109" s="146"/>
      <c r="AI5109" s="147"/>
      <c r="AJ5109" s="148"/>
      <c r="AK5109" s="143"/>
      <c r="AL5109" s="144"/>
      <c r="AM5109" s="22"/>
      <c r="AN5109" s="149" t="s">
        <v>2131</v>
      </c>
      <c r="AO5109" s="144"/>
      <c r="AP5109" s="148">
        <v>3245</v>
      </c>
      <c r="AQ5109" s="144"/>
      <c r="AR5109" s="120"/>
      <c r="AS5109" s="121"/>
      <c r="AT5109" s="120"/>
      <c r="AU5109" s="121"/>
      <c r="AV5109" s="120"/>
      <c r="AW5109" s="121"/>
      <c r="AX5109" s="120"/>
      <c r="AY5109" s="121"/>
      <c r="AZ5109" s="138"/>
    </row>
    <row r="5110" spans="1:52" ht="17.100000000000001" customHeight="1" thickTop="1">
      <c r="A5110" s="109" t="s">
        <v>15104</v>
      </c>
      <c r="B5110" s="28">
        <v>46037</v>
      </c>
      <c r="C5110" s="25">
        <v>2141</v>
      </c>
      <c r="D5110" s="13" t="s">
        <v>2226</v>
      </c>
      <c r="E5110" s="111"/>
      <c r="F5110" s="113" t="s">
        <v>15224</v>
      </c>
      <c r="G5110" s="114"/>
      <c r="H5110" s="115"/>
      <c r="I5110" s="24"/>
      <c r="J5110" s="116">
        <v>4.5</v>
      </c>
      <c r="K5110" s="118">
        <v>1375000</v>
      </c>
      <c r="L5110" s="119"/>
      <c r="M5110" s="118">
        <f t="shared" ref="M5110" si="6169">K5110*0.1</f>
        <v>137500</v>
      </c>
      <c r="N5110" s="119"/>
      <c r="O5110" s="118">
        <v>0</v>
      </c>
      <c r="P5110" s="119"/>
      <c r="Q5110" s="118">
        <v>8630</v>
      </c>
      <c r="R5110" s="119"/>
      <c r="S5110" s="118">
        <v>14300</v>
      </c>
      <c r="T5110" s="119"/>
      <c r="U5110" s="118">
        <f t="shared" ref="U5110" si="6170">SUM(K5110:T5111)</f>
        <v>1535430</v>
      </c>
      <c r="V5110" s="122"/>
      <c r="W5110" s="124"/>
      <c r="X5110" s="126" t="s">
        <v>15622</v>
      </c>
      <c r="Y5110" s="127"/>
      <c r="Z5110" s="127"/>
      <c r="AA5110" s="127"/>
      <c r="AB5110" s="128"/>
      <c r="AC5110" s="15" t="s">
        <v>20</v>
      </c>
      <c r="AD5110" s="129" t="s">
        <v>1670</v>
      </c>
      <c r="AE5110" s="130"/>
      <c r="AF5110" s="130"/>
      <c r="AG5110" s="130"/>
      <c r="AH5110" s="130"/>
      <c r="AI5110" s="131"/>
      <c r="AJ5110" s="132"/>
      <c r="AK5110" s="127"/>
      <c r="AL5110" s="128"/>
      <c r="AM5110" s="21"/>
      <c r="AN5110" s="133">
        <v>46042</v>
      </c>
      <c r="AO5110" s="134"/>
      <c r="AP5110" s="135">
        <v>1925</v>
      </c>
      <c r="AQ5110" s="136"/>
      <c r="AR5110" s="118">
        <v>1410000</v>
      </c>
      <c r="AS5110" s="119"/>
      <c r="AT5110" s="118">
        <f t="shared" ref="AT5110" si="6171">AR5110*0.1</f>
        <v>141000</v>
      </c>
      <c r="AU5110" s="119"/>
      <c r="AV5110" s="118">
        <v>8630</v>
      </c>
      <c r="AW5110" s="119"/>
      <c r="AX5110" s="118">
        <f t="shared" ref="AX5110" si="6172">SUM(AR5110:AW5110)</f>
        <v>1559630</v>
      </c>
      <c r="AY5110" s="119"/>
      <c r="AZ5110" s="137"/>
    </row>
    <row r="5111" spans="1:52" ht="17.100000000000001" customHeight="1" thickBot="1">
      <c r="A5111" s="110"/>
      <c r="B5111" s="27" t="s">
        <v>1940</v>
      </c>
      <c r="C5111" s="27">
        <v>2760</v>
      </c>
      <c r="D5111" s="14" t="s">
        <v>275</v>
      </c>
      <c r="E5111" s="112"/>
      <c r="F5111" s="139" t="s">
        <v>15128</v>
      </c>
      <c r="G5111" s="140"/>
      <c r="H5111" s="141"/>
      <c r="I5111" s="26">
        <v>15605</v>
      </c>
      <c r="J5111" s="117"/>
      <c r="K5111" s="120"/>
      <c r="L5111" s="121"/>
      <c r="M5111" s="120"/>
      <c r="N5111" s="121"/>
      <c r="O5111" s="120"/>
      <c r="P5111" s="121"/>
      <c r="Q5111" s="120"/>
      <c r="R5111" s="121"/>
      <c r="S5111" s="120"/>
      <c r="T5111" s="121"/>
      <c r="U5111" s="120"/>
      <c r="V5111" s="123"/>
      <c r="W5111" s="125"/>
      <c r="X5111" s="142" t="s">
        <v>2440</v>
      </c>
      <c r="Y5111" s="143"/>
      <c r="Z5111" s="143"/>
      <c r="AA5111" s="143"/>
      <c r="AB5111" s="144"/>
      <c r="AC5111" s="16" t="s">
        <v>21</v>
      </c>
      <c r="AD5111" s="17" t="s">
        <v>15604</v>
      </c>
      <c r="AE5111" s="145" t="s">
        <v>15601</v>
      </c>
      <c r="AF5111" s="146"/>
      <c r="AG5111" s="146"/>
      <c r="AH5111" s="146"/>
      <c r="AI5111" s="147"/>
      <c r="AJ5111" s="148"/>
      <c r="AK5111" s="143"/>
      <c r="AL5111" s="144"/>
      <c r="AM5111" s="22"/>
      <c r="AN5111" s="149" t="s">
        <v>2131</v>
      </c>
      <c r="AO5111" s="144"/>
      <c r="AP5111" s="148">
        <v>3241</v>
      </c>
      <c r="AQ5111" s="144"/>
      <c r="AR5111" s="120"/>
      <c r="AS5111" s="121"/>
      <c r="AT5111" s="120"/>
      <c r="AU5111" s="121"/>
      <c r="AV5111" s="120"/>
      <c r="AW5111" s="121"/>
      <c r="AX5111" s="120"/>
      <c r="AY5111" s="121"/>
      <c r="AZ5111" s="138"/>
    </row>
    <row r="5112" spans="1:52" ht="17.100000000000001" customHeight="1" thickTop="1">
      <c r="A5112" s="109" t="s">
        <v>15105</v>
      </c>
      <c r="B5112" s="28">
        <v>46037</v>
      </c>
      <c r="C5112" s="25">
        <v>2141</v>
      </c>
      <c r="D5112" s="13" t="s">
        <v>2970</v>
      </c>
      <c r="E5112" s="111"/>
      <c r="F5112" s="113" t="s">
        <v>15225</v>
      </c>
      <c r="G5112" s="114"/>
      <c r="H5112" s="115"/>
      <c r="I5112" s="24" t="s">
        <v>4109</v>
      </c>
      <c r="J5112" s="116">
        <v>4.5</v>
      </c>
      <c r="K5112" s="118">
        <v>913000</v>
      </c>
      <c r="L5112" s="119"/>
      <c r="M5112" s="118">
        <f t="shared" ref="M5112" si="6173">K5112*0.1</f>
        <v>91300</v>
      </c>
      <c r="N5112" s="119"/>
      <c r="O5112" s="118">
        <v>0</v>
      </c>
      <c r="P5112" s="119"/>
      <c r="Q5112" s="118">
        <v>7150</v>
      </c>
      <c r="R5112" s="119"/>
      <c r="S5112" s="118">
        <v>14300</v>
      </c>
      <c r="T5112" s="119"/>
      <c r="U5112" s="118">
        <f t="shared" ref="U5112" si="6174">SUM(K5112:T5113)</f>
        <v>1025750</v>
      </c>
      <c r="V5112" s="122"/>
      <c r="W5112" s="124"/>
      <c r="X5112" s="126" t="s">
        <v>15226</v>
      </c>
      <c r="Y5112" s="127"/>
      <c r="Z5112" s="127"/>
      <c r="AA5112" s="127"/>
      <c r="AB5112" s="128"/>
      <c r="AC5112" s="15" t="s">
        <v>20</v>
      </c>
      <c r="AD5112" s="129" t="s">
        <v>1670</v>
      </c>
      <c r="AE5112" s="130"/>
      <c r="AF5112" s="130"/>
      <c r="AG5112" s="130"/>
      <c r="AH5112" s="130"/>
      <c r="AI5112" s="131"/>
      <c r="AJ5112" s="132"/>
      <c r="AK5112" s="127"/>
      <c r="AL5112" s="128"/>
      <c r="AM5112" s="21" t="s">
        <v>18250</v>
      </c>
      <c r="AN5112" s="133">
        <v>46099</v>
      </c>
      <c r="AO5112" s="134"/>
      <c r="AP5112" s="135">
        <v>1009</v>
      </c>
      <c r="AQ5112" s="136"/>
      <c r="AR5112" s="118">
        <v>1050000</v>
      </c>
      <c r="AS5112" s="119"/>
      <c r="AT5112" s="118">
        <f t="shared" ref="AT5112" si="6175">AR5112*0.1</f>
        <v>105000</v>
      </c>
      <c r="AU5112" s="119"/>
      <c r="AV5112" s="118">
        <v>7150</v>
      </c>
      <c r="AW5112" s="119"/>
      <c r="AX5112" s="118">
        <f t="shared" ref="AX5112" si="6176">SUM(AR5112:AW5112)</f>
        <v>1162150</v>
      </c>
      <c r="AY5112" s="119"/>
      <c r="AZ5112" s="137">
        <v>46105</v>
      </c>
    </row>
    <row r="5113" spans="1:52" ht="17.100000000000001" customHeight="1" thickBot="1">
      <c r="A5113" s="110"/>
      <c r="B5113" s="27" t="s">
        <v>1940</v>
      </c>
      <c r="C5113" s="27">
        <v>2777</v>
      </c>
      <c r="D5113" s="14" t="s">
        <v>1812</v>
      </c>
      <c r="E5113" s="112"/>
      <c r="F5113" s="139" t="s">
        <v>15129</v>
      </c>
      <c r="G5113" s="140"/>
      <c r="H5113" s="141"/>
      <c r="I5113" s="26">
        <v>37128</v>
      </c>
      <c r="J5113" s="117"/>
      <c r="K5113" s="120"/>
      <c r="L5113" s="121"/>
      <c r="M5113" s="120"/>
      <c r="N5113" s="121"/>
      <c r="O5113" s="120"/>
      <c r="P5113" s="121"/>
      <c r="Q5113" s="120"/>
      <c r="R5113" s="121"/>
      <c r="S5113" s="120"/>
      <c r="T5113" s="121"/>
      <c r="U5113" s="120"/>
      <c r="V5113" s="123"/>
      <c r="W5113" s="125"/>
      <c r="X5113" s="142" t="s">
        <v>16091</v>
      </c>
      <c r="Y5113" s="143"/>
      <c r="Z5113" s="143"/>
      <c r="AA5113" s="143"/>
      <c r="AB5113" s="144"/>
      <c r="AC5113" s="16" t="s">
        <v>21</v>
      </c>
      <c r="AD5113" s="17" t="s">
        <v>2644</v>
      </c>
      <c r="AE5113" s="145" t="s">
        <v>18628</v>
      </c>
      <c r="AF5113" s="146"/>
      <c r="AG5113" s="146"/>
      <c r="AH5113" s="146"/>
      <c r="AI5113" s="147"/>
      <c r="AJ5113" s="148"/>
      <c r="AK5113" s="143"/>
      <c r="AL5113" s="144"/>
      <c r="AM5113" s="22"/>
      <c r="AN5113" s="149" t="s">
        <v>9053</v>
      </c>
      <c r="AO5113" s="144"/>
      <c r="AP5113" s="148">
        <v>2016</v>
      </c>
      <c r="AQ5113" s="144"/>
      <c r="AR5113" s="120"/>
      <c r="AS5113" s="121"/>
      <c r="AT5113" s="120"/>
      <c r="AU5113" s="121"/>
      <c r="AV5113" s="120"/>
      <c r="AW5113" s="121"/>
      <c r="AX5113" s="120"/>
      <c r="AY5113" s="121"/>
      <c r="AZ5113" s="138"/>
    </row>
    <row r="5114" spans="1:52" ht="17.100000000000001" customHeight="1" thickTop="1">
      <c r="A5114" s="109" t="s">
        <v>15106</v>
      </c>
      <c r="B5114" s="28">
        <v>46038</v>
      </c>
      <c r="C5114" s="25">
        <v>84</v>
      </c>
      <c r="D5114" s="13" t="s">
        <v>1606</v>
      </c>
      <c r="E5114" s="111"/>
      <c r="F5114" s="113" t="s">
        <v>7263</v>
      </c>
      <c r="G5114" s="114"/>
      <c r="H5114" s="115"/>
      <c r="I5114" s="24" t="s">
        <v>2577</v>
      </c>
      <c r="J5114" s="116">
        <v>4</v>
      </c>
      <c r="K5114" s="118">
        <v>745000</v>
      </c>
      <c r="L5114" s="119"/>
      <c r="M5114" s="118">
        <f t="shared" ref="M5114" si="6177">K5114*0.1</f>
        <v>74500</v>
      </c>
      <c r="N5114" s="119"/>
      <c r="O5114" s="118">
        <v>6270</v>
      </c>
      <c r="P5114" s="119"/>
      <c r="Q5114" s="118">
        <v>10360</v>
      </c>
      <c r="R5114" s="119"/>
      <c r="S5114" s="118">
        <v>33000</v>
      </c>
      <c r="T5114" s="119"/>
      <c r="U5114" s="118">
        <f t="shared" ref="U5114" si="6178">SUM(K5114:T5115)</f>
        <v>869130</v>
      </c>
      <c r="V5114" s="122"/>
      <c r="W5114" s="124"/>
      <c r="X5114" s="126" t="s">
        <v>15754</v>
      </c>
      <c r="Y5114" s="127"/>
      <c r="Z5114" s="127"/>
      <c r="AA5114" s="127"/>
      <c r="AB5114" s="128"/>
      <c r="AC5114" s="15" t="s">
        <v>20</v>
      </c>
      <c r="AD5114" s="129" t="s">
        <v>15232</v>
      </c>
      <c r="AE5114" s="130"/>
      <c r="AF5114" s="130"/>
      <c r="AG5114" s="130"/>
      <c r="AH5114" s="130"/>
      <c r="AI5114" s="131"/>
      <c r="AJ5114" s="132"/>
      <c r="AK5114" s="127"/>
      <c r="AL5114" s="128"/>
      <c r="AM5114" s="21"/>
      <c r="AN5114" s="133">
        <v>46050</v>
      </c>
      <c r="AO5114" s="134"/>
      <c r="AP5114" s="135">
        <v>1002</v>
      </c>
      <c r="AQ5114" s="136"/>
      <c r="AR5114" s="118">
        <v>865000</v>
      </c>
      <c r="AS5114" s="119"/>
      <c r="AT5114" s="118">
        <f t="shared" ref="AT5114" si="6179">AR5114*0.1</f>
        <v>86500</v>
      </c>
      <c r="AU5114" s="119"/>
      <c r="AV5114" s="118">
        <v>10360</v>
      </c>
      <c r="AW5114" s="119"/>
      <c r="AX5114" s="118">
        <f t="shared" ref="AX5114" si="6180">SUM(AR5114:AW5114)</f>
        <v>961860</v>
      </c>
      <c r="AY5114" s="119"/>
      <c r="AZ5114" s="137">
        <v>46055</v>
      </c>
    </row>
    <row r="5115" spans="1:52" ht="17.100000000000001" customHeight="1" thickBot="1">
      <c r="A5115" s="110"/>
      <c r="B5115" s="27" t="s">
        <v>4544</v>
      </c>
      <c r="C5115" s="27">
        <v>1034</v>
      </c>
      <c r="D5115" s="14" t="s">
        <v>1812</v>
      </c>
      <c r="E5115" s="112"/>
      <c r="F5115" s="139" t="s">
        <v>15147</v>
      </c>
      <c r="G5115" s="140"/>
      <c r="H5115" s="141"/>
      <c r="I5115" s="26">
        <v>49145</v>
      </c>
      <c r="J5115" s="117"/>
      <c r="K5115" s="120"/>
      <c r="L5115" s="121"/>
      <c r="M5115" s="120"/>
      <c r="N5115" s="121"/>
      <c r="O5115" s="120"/>
      <c r="P5115" s="121"/>
      <c r="Q5115" s="120"/>
      <c r="R5115" s="121"/>
      <c r="S5115" s="120"/>
      <c r="T5115" s="121"/>
      <c r="U5115" s="120"/>
      <c r="V5115" s="123"/>
      <c r="W5115" s="125"/>
      <c r="X5115" s="142" t="s">
        <v>15755</v>
      </c>
      <c r="Y5115" s="143"/>
      <c r="Z5115" s="143"/>
      <c r="AA5115" s="143"/>
      <c r="AB5115" s="144"/>
      <c r="AC5115" s="16" t="s">
        <v>21</v>
      </c>
      <c r="AD5115" s="17" t="s">
        <v>15708</v>
      </c>
      <c r="AE5115" s="145" t="s">
        <v>171</v>
      </c>
      <c r="AF5115" s="146"/>
      <c r="AG5115" s="146"/>
      <c r="AH5115" s="146"/>
      <c r="AI5115" s="147"/>
      <c r="AJ5115" s="148"/>
      <c r="AK5115" s="143"/>
      <c r="AL5115" s="144"/>
      <c r="AM5115" s="22"/>
      <c r="AN5115" s="149" t="s">
        <v>2794</v>
      </c>
      <c r="AO5115" s="144"/>
      <c r="AP5115" s="148">
        <v>1268</v>
      </c>
      <c r="AQ5115" s="144"/>
      <c r="AR5115" s="120"/>
      <c r="AS5115" s="121"/>
      <c r="AT5115" s="120"/>
      <c r="AU5115" s="121"/>
      <c r="AV5115" s="120"/>
      <c r="AW5115" s="121"/>
      <c r="AX5115" s="120"/>
      <c r="AY5115" s="121"/>
      <c r="AZ5115" s="138"/>
    </row>
    <row r="5116" spans="1:52" ht="17.100000000000001" customHeight="1" thickTop="1">
      <c r="A5116" s="109" t="s">
        <v>15107</v>
      </c>
      <c r="B5116" s="28">
        <v>46038</v>
      </c>
      <c r="C5116" s="25">
        <v>84</v>
      </c>
      <c r="D5116" s="13" t="s">
        <v>2059</v>
      </c>
      <c r="E5116" s="111"/>
      <c r="F5116" s="113" t="s">
        <v>15227</v>
      </c>
      <c r="G5116" s="114"/>
      <c r="H5116" s="115"/>
      <c r="I5116" s="24" t="s">
        <v>4096</v>
      </c>
      <c r="J5116" s="116">
        <v>3.5</v>
      </c>
      <c r="K5116" s="118">
        <v>1150000</v>
      </c>
      <c r="L5116" s="119"/>
      <c r="M5116" s="118">
        <f t="shared" ref="M5116" si="6181">K5116*0.1</f>
        <v>115000</v>
      </c>
      <c r="N5116" s="119"/>
      <c r="O5116" s="118">
        <v>4070</v>
      </c>
      <c r="P5116" s="119"/>
      <c r="Q5116" s="118">
        <v>15740</v>
      </c>
      <c r="R5116" s="119"/>
      <c r="S5116" s="118">
        <v>44000</v>
      </c>
      <c r="T5116" s="119"/>
      <c r="U5116" s="118">
        <f t="shared" ref="U5116" si="6182">SUM(K5116:T5117)</f>
        <v>1328810</v>
      </c>
      <c r="V5116" s="122"/>
      <c r="W5116" s="124"/>
      <c r="X5116" s="126" t="s">
        <v>16929</v>
      </c>
      <c r="Y5116" s="127"/>
      <c r="Z5116" s="127"/>
      <c r="AA5116" s="127"/>
      <c r="AB5116" s="128"/>
      <c r="AC5116" s="15" t="s">
        <v>20</v>
      </c>
      <c r="AD5116" s="129" t="s">
        <v>15234</v>
      </c>
      <c r="AE5116" s="130"/>
      <c r="AF5116" s="130"/>
      <c r="AG5116" s="130"/>
      <c r="AH5116" s="130"/>
      <c r="AI5116" s="131"/>
      <c r="AJ5116" s="132"/>
      <c r="AK5116" s="127"/>
      <c r="AL5116" s="128"/>
      <c r="AM5116" s="21"/>
      <c r="AN5116" s="133">
        <v>46064</v>
      </c>
      <c r="AO5116" s="134"/>
      <c r="AP5116" s="135">
        <v>1004</v>
      </c>
      <c r="AQ5116" s="136"/>
      <c r="AR5116" s="118">
        <v>1415000</v>
      </c>
      <c r="AS5116" s="119"/>
      <c r="AT5116" s="118">
        <f t="shared" ref="AT5116" si="6183">AR5116*0.1</f>
        <v>141500</v>
      </c>
      <c r="AU5116" s="119"/>
      <c r="AV5116" s="118">
        <v>15740</v>
      </c>
      <c r="AW5116" s="119"/>
      <c r="AX5116" s="118">
        <f t="shared" ref="AX5116" si="6184">SUM(AR5116:AW5116)</f>
        <v>1572240</v>
      </c>
      <c r="AY5116" s="119"/>
      <c r="AZ5116" s="137">
        <v>46069</v>
      </c>
    </row>
    <row r="5117" spans="1:52" ht="17.100000000000001" customHeight="1" thickBot="1">
      <c r="A5117" s="110"/>
      <c r="B5117" s="27" t="s">
        <v>4544</v>
      </c>
      <c r="C5117" s="27">
        <v>1042</v>
      </c>
      <c r="D5117" s="14" t="s">
        <v>275</v>
      </c>
      <c r="E5117" s="112"/>
      <c r="F5117" s="139" t="s">
        <v>15148</v>
      </c>
      <c r="G5117" s="140"/>
      <c r="H5117" s="141"/>
      <c r="I5117" s="26">
        <v>57874</v>
      </c>
      <c r="J5117" s="117"/>
      <c r="K5117" s="120"/>
      <c r="L5117" s="121"/>
      <c r="M5117" s="120"/>
      <c r="N5117" s="121"/>
      <c r="O5117" s="120"/>
      <c r="P5117" s="121"/>
      <c r="Q5117" s="120"/>
      <c r="R5117" s="121"/>
      <c r="S5117" s="120"/>
      <c r="T5117" s="121"/>
      <c r="U5117" s="120"/>
      <c r="V5117" s="123"/>
      <c r="W5117" s="125"/>
      <c r="X5117" s="142" t="s">
        <v>16930</v>
      </c>
      <c r="Y5117" s="143"/>
      <c r="Z5117" s="143"/>
      <c r="AA5117" s="143"/>
      <c r="AB5117" s="144"/>
      <c r="AC5117" s="16" t="s">
        <v>21</v>
      </c>
      <c r="AD5117" s="17" t="s">
        <v>3801</v>
      </c>
      <c r="AE5117" s="145" t="s">
        <v>2692</v>
      </c>
      <c r="AF5117" s="146"/>
      <c r="AG5117" s="146"/>
      <c r="AH5117" s="146"/>
      <c r="AI5117" s="147"/>
      <c r="AJ5117" s="148"/>
      <c r="AK5117" s="143"/>
      <c r="AL5117" s="144"/>
      <c r="AM5117" s="22"/>
      <c r="AN5117" s="149" t="s">
        <v>2794</v>
      </c>
      <c r="AO5117" s="144"/>
      <c r="AP5117" s="148">
        <v>1127</v>
      </c>
      <c r="AQ5117" s="144"/>
      <c r="AR5117" s="120"/>
      <c r="AS5117" s="121"/>
      <c r="AT5117" s="120"/>
      <c r="AU5117" s="121"/>
      <c r="AV5117" s="120"/>
      <c r="AW5117" s="121"/>
      <c r="AX5117" s="120"/>
      <c r="AY5117" s="121"/>
      <c r="AZ5117" s="138"/>
    </row>
    <row r="5118" spans="1:52" ht="17.100000000000001" customHeight="1" thickTop="1">
      <c r="A5118" s="109" t="s">
        <v>15108</v>
      </c>
      <c r="B5118" s="28">
        <v>46038</v>
      </c>
      <c r="C5118" s="25">
        <v>84</v>
      </c>
      <c r="D5118" s="13" t="s">
        <v>1688</v>
      </c>
      <c r="E5118" s="111"/>
      <c r="F5118" s="113" t="s">
        <v>15228</v>
      </c>
      <c r="G5118" s="114"/>
      <c r="H5118" s="115"/>
      <c r="I5118" s="24" t="s">
        <v>3399</v>
      </c>
      <c r="J5118" s="116">
        <v>4.5</v>
      </c>
      <c r="K5118" s="118">
        <v>2800000</v>
      </c>
      <c r="L5118" s="119"/>
      <c r="M5118" s="118">
        <f t="shared" ref="M5118" si="6185">K5118*0.1</f>
        <v>280000</v>
      </c>
      <c r="N5118" s="119"/>
      <c r="O5118" s="118">
        <v>5170</v>
      </c>
      <c r="P5118" s="119"/>
      <c r="Q5118" s="118">
        <v>15890</v>
      </c>
      <c r="R5118" s="119"/>
      <c r="S5118" s="118">
        <v>66000</v>
      </c>
      <c r="T5118" s="119"/>
      <c r="U5118" s="118">
        <f t="shared" ref="U5118" si="6186">SUM(K5118:T5119)</f>
        <v>3167060</v>
      </c>
      <c r="V5118" s="122"/>
      <c r="W5118" s="124"/>
      <c r="X5118" s="126" t="s">
        <v>18306</v>
      </c>
      <c r="Y5118" s="127"/>
      <c r="Z5118" s="127"/>
      <c r="AA5118" s="127"/>
      <c r="AB5118" s="128"/>
      <c r="AC5118" s="15" t="s">
        <v>20</v>
      </c>
      <c r="AD5118" s="129" t="s">
        <v>15235</v>
      </c>
      <c r="AE5118" s="130"/>
      <c r="AF5118" s="130"/>
      <c r="AG5118" s="130"/>
      <c r="AH5118" s="130"/>
      <c r="AI5118" s="131"/>
      <c r="AJ5118" s="132"/>
      <c r="AK5118" s="127"/>
      <c r="AL5118" s="128"/>
      <c r="AM5118" s="21"/>
      <c r="AN5118" s="133">
        <v>46078</v>
      </c>
      <c r="AO5118" s="134"/>
      <c r="AP5118" s="135">
        <v>1006</v>
      </c>
      <c r="AQ5118" s="136"/>
      <c r="AR5118" s="118">
        <v>2840000</v>
      </c>
      <c r="AS5118" s="119"/>
      <c r="AT5118" s="118">
        <f t="shared" ref="AT5118" si="6187">AR5118*0.1</f>
        <v>284000</v>
      </c>
      <c r="AU5118" s="119"/>
      <c r="AV5118" s="118">
        <v>15890</v>
      </c>
      <c r="AW5118" s="119"/>
      <c r="AX5118" s="118">
        <f t="shared" ref="AX5118" si="6188">SUM(AR5118:AW5118)</f>
        <v>3139890</v>
      </c>
      <c r="AY5118" s="119"/>
      <c r="AZ5118" s="137">
        <v>46083</v>
      </c>
    </row>
    <row r="5119" spans="1:52" ht="17.100000000000001" customHeight="1" thickBot="1">
      <c r="A5119" s="110"/>
      <c r="B5119" s="27" t="s">
        <v>4544</v>
      </c>
      <c r="C5119" s="27">
        <v>1059</v>
      </c>
      <c r="D5119" s="14" t="s">
        <v>275</v>
      </c>
      <c r="E5119" s="112"/>
      <c r="F5119" s="139" t="s">
        <v>15149</v>
      </c>
      <c r="G5119" s="140"/>
      <c r="H5119" s="141"/>
      <c r="I5119" s="26">
        <v>29208</v>
      </c>
      <c r="J5119" s="117"/>
      <c r="K5119" s="120"/>
      <c r="L5119" s="121"/>
      <c r="M5119" s="120"/>
      <c r="N5119" s="121"/>
      <c r="O5119" s="120"/>
      <c r="P5119" s="121"/>
      <c r="Q5119" s="120"/>
      <c r="R5119" s="121"/>
      <c r="S5119" s="120"/>
      <c r="T5119" s="121"/>
      <c r="U5119" s="120"/>
      <c r="V5119" s="123"/>
      <c r="W5119" s="125"/>
      <c r="X5119" s="142" t="s">
        <v>18307</v>
      </c>
      <c r="Y5119" s="143"/>
      <c r="Z5119" s="143"/>
      <c r="AA5119" s="143"/>
      <c r="AB5119" s="144"/>
      <c r="AC5119" s="16" t="s">
        <v>21</v>
      </c>
      <c r="AD5119" s="17" t="s">
        <v>18305</v>
      </c>
      <c r="AE5119" s="145" t="s">
        <v>9504</v>
      </c>
      <c r="AF5119" s="146"/>
      <c r="AG5119" s="146"/>
      <c r="AH5119" s="146"/>
      <c r="AI5119" s="147"/>
      <c r="AJ5119" s="148"/>
      <c r="AK5119" s="143"/>
      <c r="AL5119" s="144"/>
      <c r="AM5119" s="22"/>
      <c r="AN5119" s="149" t="s">
        <v>2794</v>
      </c>
      <c r="AO5119" s="144"/>
      <c r="AP5119" s="148">
        <v>1144</v>
      </c>
      <c r="AQ5119" s="144"/>
      <c r="AR5119" s="120"/>
      <c r="AS5119" s="121"/>
      <c r="AT5119" s="120"/>
      <c r="AU5119" s="121"/>
      <c r="AV5119" s="120"/>
      <c r="AW5119" s="121"/>
      <c r="AX5119" s="120"/>
      <c r="AY5119" s="121"/>
      <c r="AZ5119" s="138"/>
    </row>
    <row r="5120" spans="1:52" ht="17.100000000000001" customHeight="1" thickTop="1">
      <c r="A5120" s="151" t="s">
        <v>15109</v>
      </c>
      <c r="B5120" s="28">
        <v>46038</v>
      </c>
      <c r="C5120" s="25">
        <v>84</v>
      </c>
      <c r="D5120" s="13" t="s">
        <v>1697</v>
      </c>
      <c r="E5120" s="111"/>
      <c r="F5120" s="113" t="s">
        <v>19879</v>
      </c>
      <c r="G5120" s="114"/>
      <c r="H5120" s="115"/>
      <c r="I5120" s="24" t="s">
        <v>4109</v>
      </c>
      <c r="J5120" s="116">
        <v>4.5</v>
      </c>
      <c r="K5120" s="118">
        <v>1190000</v>
      </c>
      <c r="L5120" s="119"/>
      <c r="M5120" s="118">
        <f t="shared" ref="M5120" si="6189">K5120*0.1</f>
        <v>119000</v>
      </c>
      <c r="N5120" s="119"/>
      <c r="O5120" s="118">
        <v>0</v>
      </c>
      <c r="P5120" s="119"/>
      <c r="Q5120" s="118">
        <v>8130</v>
      </c>
      <c r="R5120" s="119"/>
      <c r="S5120" s="118">
        <v>44000</v>
      </c>
      <c r="T5120" s="119"/>
      <c r="U5120" s="118">
        <f t="shared" ref="U5120" si="6190">SUM(K5120:T5121)</f>
        <v>1361130</v>
      </c>
      <c r="V5120" s="122"/>
      <c r="W5120" s="124"/>
      <c r="X5120" s="126"/>
      <c r="Y5120" s="127"/>
      <c r="Z5120" s="127"/>
      <c r="AA5120" s="127"/>
      <c r="AB5120" s="128"/>
      <c r="AC5120" s="15" t="s">
        <v>20</v>
      </c>
      <c r="AD5120" s="129" t="s">
        <v>15233</v>
      </c>
      <c r="AE5120" s="130"/>
      <c r="AF5120" s="130"/>
      <c r="AG5120" s="130"/>
      <c r="AH5120" s="130"/>
      <c r="AI5120" s="131"/>
      <c r="AJ5120" s="132" t="s">
        <v>8040</v>
      </c>
      <c r="AK5120" s="127"/>
      <c r="AL5120" s="128"/>
      <c r="AM5120" s="21"/>
      <c r="AN5120" s="133"/>
      <c r="AO5120" s="134"/>
      <c r="AP5120" s="135"/>
      <c r="AQ5120" s="136"/>
      <c r="AR5120" s="118"/>
      <c r="AS5120" s="119"/>
      <c r="AT5120" s="118">
        <f t="shared" ref="AT5120" si="6191">AR5120*0.1</f>
        <v>0</v>
      </c>
      <c r="AU5120" s="119"/>
      <c r="AV5120" s="118"/>
      <c r="AW5120" s="119"/>
      <c r="AX5120" s="118">
        <f t="shared" ref="AX5120" si="6192">SUM(AR5120:AW5120)</f>
        <v>0</v>
      </c>
      <c r="AY5120" s="119"/>
      <c r="AZ5120" s="137"/>
    </row>
    <row r="5121" spans="1:52" ht="17.100000000000001" customHeight="1" thickBot="1">
      <c r="A5121" s="152"/>
      <c r="B5121" s="27" t="s">
        <v>4544</v>
      </c>
      <c r="C5121" s="27">
        <v>1091</v>
      </c>
      <c r="D5121" s="14" t="s">
        <v>1635</v>
      </c>
      <c r="E5121" s="112"/>
      <c r="F5121" s="139" t="s">
        <v>15150</v>
      </c>
      <c r="G5121" s="140"/>
      <c r="H5121" s="141"/>
      <c r="I5121" s="26">
        <v>7044</v>
      </c>
      <c r="J5121" s="117"/>
      <c r="K5121" s="120"/>
      <c r="L5121" s="121"/>
      <c r="M5121" s="120"/>
      <c r="N5121" s="121"/>
      <c r="O5121" s="120"/>
      <c r="P5121" s="121"/>
      <c r="Q5121" s="120"/>
      <c r="R5121" s="121"/>
      <c r="S5121" s="120"/>
      <c r="T5121" s="121"/>
      <c r="U5121" s="120"/>
      <c r="V5121" s="123"/>
      <c r="W5121" s="125"/>
      <c r="X5121" s="142"/>
      <c r="Y5121" s="143"/>
      <c r="Z5121" s="143"/>
      <c r="AA5121" s="143"/>
      <c r="AB5121" s="144"/>
      <c r="AC5121" s="16" t="s">
        <v>21</v>
      </c>
      <c r="AD5121" s="17" t="s">
        <v>10540</v>
      </c>
      <c r="AE5121" s="145"/>
      <c r="AF5121" s="146"/>
      <c r="AG5121" s="146"/>
      <c r="AH5121" s="146"/>
      <c r="AI5121" s="147"/>
      <c r="AJ5121" s="148"/>
      <c r="AK5121" s="143"/>
      <c r="AL5121" s="144"/>
      <c r="AM5121" s="22"/>
      <c r="AN5121" s="149"/>
      <c r="AO5121" s="144"/>
      <c r="AP5121" s="148"/>
      <c r="AQ5121" s="144"/>
      <c r="AR5121" s="120"/>
      <c r="AS5121" s="121"/>
      <c r="AT5121" s="120"/>
      <c r="AU5121" s="121"/>
      <c r="AV5121" s="120"/>
      <c r="AW5121" s="121"/>
      <c r="AX5121" s="120"/>
      <c r="AY5121" s="121"/>
      <c r="AZ5121" s="138"/>
    </row>
    <row r="5122" spans="1:52" ht="17.100000000000001" customHeight="1" thickTop="1">
      <c r="A5122" s="109" t="s">
        <v>15110</v>
      </c>
      <c r="B5122" s="28">
        <v>46038</v>
      </c>
      <c r="C5122" s="25">
        <v>84</v>
      </c>
      <c r="D5122" s="13" t="s">
        <v>2196</v>
      </c>
      <c r="E5122" s="111"/>
      <c r="F5122" s="113" t="s">
        <v>15151</v>
      </c>
      <c r="G5122" s="114"/>
      <c r="H5122" s="115"/>
      <c r="I5122" s="24" t="s">
        <v>2956</v>
      </c>
      <c r="J5122" s="116">
        <v>4</v>
      </c>
      <c r="K5122" s="118">
        <v>510000</v>
      </c>
      <c r="L5122" s="119"/>
      <c r="M5122" s="118">
        <f t="shared" ref="M5122" si="6193">K5122*0.1</f>
        <v>51000</v>
      </c>
      <c r="N5122" s="119"/>
      <c r="O5122" s="118">
        <v>0</v>
      </c>
      <c r="P5122" s="119"/>
      <c r="Q5122" s="118">
        <v>8060</v>
      </c>
      <c r="R5122" s="119"/>
      <c r="S5122" s="118">
        <v>33000</v>
      </c>
      <c r="T5122" s="119"/>
      <c r="U5122" s="118">
        <f t="shared" ref="U5122" si="6194">SUM(K5122:T5123)</f>
        <v>602060</v>
      </c>
      <c r="V5122" s="122"/>
      <c r="W5122" s="124"/>
      <c r="X5122" s="126" t="s">
        <v>18123</v>
      </c>
      <c r="Y5122" s="127"/>
      <c r="Z5122" s="127"/>
      <c r="AA5122" s="127"/>
      <c r="AB5122" s="128"/>
      <c r="AC5122" s="15" t="s">
        <v>20</v>
      </c>
      <c r="AD5122" s="129" t="s">
        <v>15236</v>
      </c>
      <c r="AE5122" s="130"/>
      <c r="AF5122" s="130"/>
      <c r="AG5122" s="130"/>
      <c r="AH5122" s="130"/>
      <c r="AI5122" s="131"/>
      <c r="AJ5122" s="132"/>
      <c r="AK5122" s="127"/>
      <c r="AL5122" s="128"/>
      <c r="AM5122" s="21" t="s">
        <v>18229</v>
      </c>
      <c r="AN5122" s="133">
        <v>46067</v>
      </c>
      <c r="AO5122" s="134"/>
      <c r="AP5122" s="135">
        <v>1288</v>
      </c>
      <c r="AQ5122" s="136"/>
      <c r="AR5122" s="118">
        <v>610000</v>
      </c>
      <c r="AS5122" s="119"/>
      <c r="AT5122" s="118">
        <f t="shared" ref="AT5122" si="6195">AR5122*0.1</f>
        <v>61000</v>
      </c>
      <c r="AU5122" s="119"/>
      <c r="AV5122" s="118">
        <v>8060</v>
      </c>
      <c r="AW5122" s="119"/>
      <c r="AX5122" s="118">
        <f t="shared" ref="AX5122" si="6196">SUM(AR5122:AW5122)</f>
        <v>679060</v>
      </c>
      <c r="AY5122" s="119"/>
      <c r="AZ5122" s="137">
        <v>46073</v>
      </c>
    </row>
    <row r="5123" spans="1:52" ht="17.100000000000001" customHeight="1" thickBot="1">
      <c r="A5123" s="110"/>
      <c r="B5123" s="27" t="s">
        <v>4544</v>
      </c>
      <c r="C5123" s="27">
        <v>1096</v>
      </c>
      <c r="D5123" s="14" t="s">
        <v>1720</v>
      </c>
      <c r="E5123" s="112"/>
      <c r="F5123" s="139" t="s">
        <v>15152</v>
      </c>
      <c r="G5123" s="140"/>
      <c r="H5123" s="141"/>
      <c r="I5123" s="26">
        <v>9782</v>
      </c>
      <c r="J5123" s="117"/>
      <c r="K5123" s="120"/>
      <c r="L5123" s="121"/>
      <c r="M5123" s="120"/>
      <c r="N5123" s="121"/>
      <c r="O5123" s="120"/>
      <c r="P5123" s="121"/>
      <c r="Q5123" s="120"/>
      <c r="R5123" s="121"/>
      <c r="S5123" s="120"/>
      <c r="T5123" s="121"/>
      <c r="U5123" s="120"/>
      <c r="V5123" s="123"/>
      <c r="W5123" s="125"/>
      <c r="X5123" s="142" t="s">
        <v>18124</v>
      </c>
      <c r="Y5123" s="143"/>
      <c r="Z5123" s="143"/>
      <c r="AA5123" s="143"/>
      <c r="AB5123" s="144"/>
      <c r="AC5123" s="16" t="s">
        <v>21</v>
      </c>
      <c r="AD5123" s="17" t="s">
        <v>1877</v>
      </c>
      <c r="AE5123" s="145" t="s">
        <v>4488</v>
      </c>
      <c r="AF5123" s="146"/>
      <c r="AG5123" s="146"/>
      <c r="AH5123" s="146"/>
      <c r="AI5123" s="147"/>
      <c r="AJ5123" s="148"/>
      <c r="AK5123" s="143"/>
      <c r="AL5123" s="144"/>
      <c r="AM5123" s="22"/>
      <c r="AN5123" s="149" t="s">
        <v>2511</v>
      </c>
      <c r="AO5123" s="144"/>
      <c r="AP5123" s="148">
        <v>31157</v>
      </c>
      <c r="AQ5123" s="144"/>
      <c r="AR5123" s="120"/>
      <c r="AS5123" s="121"/>
      <c r="AT5123" s="120"/>
      <c r="AU5123" s="121"/>
      <c r="AV5123" s="120"/>
      <c r="AW5123" s="121"/>
      <c r="AX5123" s="120"/>
      <c r="AY5123" s="121"/>
      <c r="AZ5123" s="138"/>
    </row>
    <row r="5124" spans="1:52" ht="17.100000000000001" customHeight="1" thickTop="1">
      <c r="A5124" s="109" t="s">
        <v>15111</v>
      </c>
      <c r="B5124" s="28">
        <v>46038</v>
      </c>
      <c r="C5124" s="25">
        <v>1402</v>
      </c>
      <c r="D5124" s="13" t="s">
        <v>2442</v>
      </c>
      <c r="E5124" s="111"/>
      <c r="F5124" s="113" t="s">
        <v>15153</v>
      </c>
      <c r="G5124" s="114"/>
      <c r="H5124" s="115"/>
      <c r="I5124" s="24"/>
      <c r="J5124" s="116">
        <v>3.5</v>
      </c>
      <c r="K5124" s="118">
        <v>702000</v>
      </c>
      <c r="L5124" s="119"/>
      <c r="M5124" s="118">
        <f t="shared" ref="M5124" si="6197">K5124*0.1</f>
        <v>70200</v>
      </c>
      <c r="N5124" s="119"/>
      <c r="O5124" s="118">
        <v>0</v>
      </c>
      <c r="P5124" s="119"/>
      <c r="Q5124" s="118">
        <v>8110</v>
      </c>
      <c r="R5124" s="119"/>
      <c r="S5124" s="118">
        <v>15400</v>
      </c>
      <c r="T5124" s="119"/>
      <c r="U5124" s="118">
        <f t="shared" ref="U5124" si="6198">SUM(K5124:T5125)</f>
        <v>795710</v>
      </c>
      <c r="V5124" s="122"/>
      <c r="W5124" s="124"/>
      <c r="X5124" s="126" t="s">
        <v>15652</v>
      </c>
      <c r="Y5124" s="127"/>
      <c r="Z5124" s="127"/>
      <c r="AA5124" s="127"/>
      <c r="AB5124" s="128"/>
      <c r="AC5124" s="15" t="s">
        <v>20</v>
      </c>
      <c r="AD5124" s="129" t="s">
        <v>4435</v>
      </c>
      <c r="AE5124" s="130"/>
      <c r="AF5124" s="130"/>
      <c r="AG5124" s="130"/>
      <c r="AH5124" s="130"/>
      <c r="AI5124" s="131"/>
      <c r="AJ5124" s="132"/>
      <c r="AK5124" s="127"/>
      <c r="AL5124" s="128"/>
      <c r="AM5124" s="21"/>
      <c r="AN5124" s="133">
        <v>46127</v>
      </c>
      <c r="AO5124" s="134"/>
      <c r="AP5124" s="135">
        <v>1013</v>
      </c>
      <c r="AQ5124" s="136"/>
      <c r="AR5124" s="118">
        <v>765000</v>
      </c>
      <c r="AS5124" s="119"/>
      <c r="AT5124" s="118">
        <f t="shared" ref="AT5124" si="6199">AR5124*0.1</f>
        <v>76500</v>
      </c>
      <c r="AU5124" s="119"/>
      <c r="AV5124" s="118">
        <v>8110</v>
      </c>
      <c r="AW5124" s="119"/>
      <c r="AX5124" s="118">
        <f t="shared" ref="AX5124" si="6200">SUM(AR5124:AW5124)</f>
        <v>849610</v>
      </c>
      <c r="AY5124" s="119"/>
      <c r="AZ5124" s="137">
        <v>46132</v>
      </c>
    </row>
    <row r="5125" spans="1:52" ht="17.100000000000001" customHeight="1" thickBot="1">
      <c r="A5125" s="110"/>
      <c r="B5125" s="27" t="s">
        <v>2641</v>
      </c>
      <c r="C5125" s="27">
        <v>2005</v>
      </c>
      <c r="D5125" s="14" t="s">
        <v>2325</v>
      </c>
      <c r="E5125" s="112"/>
      <c r="F5125" s="139" t="s">
        <v>15154</v>
      </c>
      <c r="G5125" s="140"/>
      <c r="H5125" s="141"/>
      <c r="I5125" s="26">
        <v>49481</v>
      </c>
      <c r="J5125" s="117"/>
      <c r="K5125" s="120"/>
      <c r="L5125" s="121"/>
      <c r="M5125" s="120"/>
      <c r="N5125" s="121"/>
      <c r="O5125" s="120"/>
      <c r="P5125" s="121"/>
      <c r="Q5125" s="120"/>
      <c r="R5125" s="121"/>
      <c r="S5125" s="120"/>
      <c r="T5125" s="121"/>
      <c r="U5125" s="120"/>
      <c r="V5125" s="123"/>
      <c r="W5125" s="125"/>
      <c r="X5125" s="142" t="s">
        <v>15653</v>
      </c>
      <c r="Y5125" s="143"/>
      <c r="Z5125" s="143"/>
      <c r="AA5125" s="143"/>
      <c r="AB5125" s="144"/>
      <c r="AC5125" s="16" t="s">
        <v>21</v>
      </c>
      <c r="AD5125" s="17" t="s">
        <v>15604</v>
      </c>
      <c r="AE5125" s="145" t="s">
        <v>15654</v>
      </c>
      <c r="AF5125" s="146"/>
      <c r="AG5125" s="146"/>
      <c r="AH5125" s="146"/>
      <c r="AI5125" s="147"/>
      <c r="AJ5125" s="148"/>
      <c r="AK5125" s="143"/>
      <c r="AL5125" s="144"/>
      <c r="AM5125" s="22"/>
      <c r="AN5125" s="149" t="s">
        <v>9053</v>
      </c>
      <c r="AO5125" s="144"/>
      <c r="AP5125" s="148">
        <v>5195</v>
      </c>
      <c r="AQ5125" s="144"/>
      <c r="AR5125" s="120"/>
      <c r="AS5125" s="121"/>
      <c r="AT5125" s="120"/>
      <c r="AU5125" s="121"/>
      <c r="AV5125" s="120"/>
      <c r="AW5125" s="121"/>
      <c r="AX5125" s="120"/>
      <c r="AY5125" s="121"/>
      <c r="AZ5125" s="138"/>
    </row>
    <row r="5126" spans="1:52" ht="17.100000000000001" customHeight="1" thickTop="1">
      <c r="A5126" s="109" t="s">
        <v>15130</v>
      </c>
      <c r="B5126" s="28">
        <v>46038</v>
      </c>
      <c r="C5126" s="25">
        <v>1402</v>
      </c>
      <c r="D5126" s="13" t="s">
        <v>1649</v>
      </c>
      <c r="E5126" s="111"/>
      <c r="F5126" s="113" t="s">
        <v>15155</v>
      </c>
      <c r="G5126" s="114"/>
      <c r="H5126" s="115"/>
      <c r="I5126" s="24" t="s">
        <v>7087</v>
      </c>
      <c r="J5126" s="116">
        <v>4</v>
      </c>
      <c r="K5126" s="118">
        <v>339000</v>
      </c>
      <c r="L5126" s="119"/>
      <c r="M5126" s="118">
        <f t="shared" ref="M5126" si="6201">K5126*0.1</f>
        <v>33900</v>
      </c>
      <c r="N5126" s="119"/>
      <c r="O5126" s="118">
        <v>7150</v>
      </c>
      <c r="P5126" s="119"/>
      <c r="Q5126" s="118">
        <v>13610</v>
      </c>
      <c r="R5126" s="119"/>
      <c r="S5126" s="118">
        <v>15400</v>
      </c>
      <c r="T5126" s="119"/>
      <c r="U5126" s="118">
        <f t="shared" ref="U5126" si="6202">SUM(K5126:T5127)</f>
        <v>409060</v>
      </c>
      <c r="V5126" s="122"/>
      <c r="W5126" s="124"/>
      <c r="X5126" s="126" t="s">
        <v>15645</v>
      </c>
      <c r="Y5126" s="127"/>
      <c r="Z5126" s="127"/>
      <c r="AA5126" s="127"/>
      <c r="AB5126" s="128"/>
      <c r="AC5126" s="15" t="s">
        <v>20</v>
      </c>
      <c r="AD5126" s="129"/>
      <c r="AE5126" s="130"/>
      <c r="AF5126" s="130"/>
      <c r="AG5126" s="130"/>
      <c r="AH5126" s="130"/>
      <c r="AI5126" s="131"/>
      <c r="AJ5126" s="132"/>
      <c r="AK5126" s="127"/>
      <c r="AL5126" s="128"/>
      <c r="AM5126" s="21" t="s">
        <v>18717</v>
      </c>
      <c r="AN5126" s="133">
        <v>46081</v>
      </c>
      <c r="AO5126" s="134"/>
      <c r="AP5126" s="135">
        <v>1290</v>
      </c>
      <c r="AQ5126" s="136"/>
      <c r="AR5126" s="118">
        <v>307000</v>
      </c>
      <c r="AS5126" s="119"/>
      <c r="AT5126" s="118">
        <f t="shared" ref="AT5126" si="6203">AR5126*0.1</f>
        <v>30700</v>
      </c>
      <c r="AU5126" s="119"/>
      <c r="AV5126" s="118">
        <v>13610</v>
      </c>
      <c r="AW5126" s="119"/>
      <c r="AX5126" s="118">
        <f t="shared" ref="AX5126" si="6204">SUM(AR5126:AW5126)</f>
        <v>351310</v>
      </c>
      <c r="AY5126" s="119"/>
      <c r="AZ5126" s="137">
        <v>46084</v>
      </c>
    </row>
    <row r="5127" spans="1:52" ht="17.100000000000001" customHeight="1" thickBot="1">
      <c r="A5127" s="110"/>
      <c r="B5127" s="27" t="s">
        <v>2641</v>
      </c>
      <c r="C5127" s="27">
        <v>2179</v>
      </c>
      <c r="D5127" s="14" t="s">
        <v>275</v>
      </c>
      <c r="E5127" s="112"/>
      <c r="F5127" s="139" t="s">
        <v>15156</v>
      </c>
      <c r="G5127" s="140"/>
      <c r="H5127" s="141"/>
      <c r="I5127" s="26">
        <v>134991</v>
      </c>
      <c r="J5127" s="117"/>
      <c r="K5127" s="120"/>
      <c r="L5127" s="121"/>
      <c r="M5127" s="120"/>
      <c r="N5127" s="121"/>
      <c r="O5127" s="120"/>
      <c r="P5127" s="121"/>
      <c r="Q5127" s="120"/>
      <c r="R5127" s="121"/>
      <c r="S5127" s="120"/>
      <c r="T5127" s="121"/>
      <c r="U5127" s="120"/>
      <c r="V5127" s="123"/>
      <c r="W5127" s="125"/>
      <c r="X5127" s="142" t="s">
        <v>1997</v>
      </c>
      <c r="Y5127" s="143"/>
      <c r="Z5127" s="143"/>
      <c r="AA5127" s="143"/>
      <c r="AB5127" s="144"/>
      <c r="AC5127" s="16" t="s">
        <v>21</v>
      </c>
      <c r="AD5127" s="17" t="s">
        <v>15604</v>
      </c>
      <c r="AE5127" s="145" t="s">
        <v>15646</v>
      </c>
      <c r="AF5127" s="146"/>
      <c r="AG5127" s="146"/>
      <c r="AH5127" s="146"/>
      <c r="AI5127" s="147"/>
      <c r="AJ5127" s="148"/>
      <c r="AK5127" s="143"/>
      <c r="AL5127" s="144"/>
      <c r="AM5127" s="22"/>
      <c r="AN5127" s="149" t="s">
        <v>2511</v>
      </c>
      <c r="AO5127" s="144"/>
      <c r="AP5127" s="148">
        <v>53381</v>
      </c>
      <c r="AQ5127" s="144"/>
      <c r="AR5127" s="120"/>
      <c r="AS5127" s="121"/>
      <c r="AT5127" s="120"/>
      <c r="AU5127" s="121"/>
      <c r="AV5127" s="120"/>
      <c r="AW5127" s="121"/>
      <c r="AX5127" s="120"/>
      <c r="AY5127" s="121"/>
      <c r="AZ5127" s="138"/>
    </row>
    <row r="5128" spans="1:52" ht="17.100000000000001" customHeight="1" thickTop="1">
      <c r="A5128" s="109" t="s">
        <v>15131</v>
      </c>
      <c r="B5128" s="28">
        <v>46038</v>
      </c>
      <c r="C5128" s="25">
        <v>1402</v>
      </c>
      <c r="D5128" s="13" t="s">
        <v>1863</v>
      </c>
      <c r="E5128" s="111"/>
      <c r="F5128" s="113" t="s">
        <v>15157</v>
      </c>
      <c r="G5128" s="114"/>
      <c r="H5128" s="115"/>
      <c r="I5128" s="24" t="s">
        <v>15229</v>
      </c>
      <c r="J5128" s="116">
        <v>4</v>
      </c>
      <c r="K5128" s="118">
        <v>793000</v>
      </c>
      <c r="L5128" s="119"/>
      <c r="M5128" s="118">
        <f t="shared" ref="M5128" si="6205">K5128*0.1</f>
        <v>79300</v>
      </c>
      <c r="N5128" s="119"/>
      <c r="O5128" s="118">
        <v>7150</v>
      </c>
      <c r="P5128" s="119"/>
      <c r="Q5128" s="118">
        <v>10850</v>
      </c>
      <c r="R5128" s="119"/>
      <c r="S5128" s="118">
        <v>15400</v>
      </c>
      <c r="T5128" s="119"/>
      <c r="U5128" s="118">
        <f t="shared" ref="U5128" si="6206">SUM(K5128:T5129)</f>
        <v>905700</v>
      </c>
      <c r="V5128" s="122"/>
      <c r="W5128" s="124"/>
      <c r="X5128" s="126" t="s">
        <v>15637</v>
      </c>
      <c r="Y5128" s="127"/>
      <c r="Z5128" s="127"/>
      <c r="AA5128" s="127"/>
      <c r="AB5128" s="128"/>
      <c r="AC5128" s="15" t="s">
        <v>20</v>
      </c>
      <c r="AD5128" s="129"/>
      <c r="AE5128" s="130"/>
      <c r="AF5128" s="130"/>
      <c r="AG5128" s="130"/>
      <c r="AH5128" s="130"/>
      <c r="AI5128" s="131"/>
      <c r="AJ5128" s="132"/>
      <c r="AK5128" s="127"/>
      <c r="AL5128" s="128"/>
      <c r="AM5128" s="21"/>
      <c r="AN5128" s="133">
        <v>46043</v>
      </c>
      <c r="AO5128" s="134"/>
      <c r="AP5128" s="135">
        <v>1001</v>
      </c>
      <c r="AQ5128" s="136"/>
      <c r="AR5128" s="118">
        <v>900000</v>
      </c>
      <c r="AS5128" s="119"/>
      <c r="AT5128" s="118">
        <f t="shared" ref="AT5128" si="6207">AR5128*0.1</f>
        <v>90000</v>
      </c>
      <c r="AU5128" s="119"/>
      <c r="AV5128" s="118">
        <v>10850</v>
      </c>
      <c r="AW5128" s="119"/>
      <c r="AX5128" s="118">
        <f t="shared" ref="AX5128" si="6208">SUM(AR5128:AW5128)</f>
        <v>1000850</v>
      </c>
      <c r="AY5128" s="119"/>
      <c r="AZ5128" s="137">
        <v>46048</v>
      </c>
    </row>
    <row r="5129" spans="1:52" ht="17.100000000000001" customHeight="1" thickBot="1">
      <c r="A5129" s="110"/>
      <c r="B5129" s="27" t="s">
        <v>2641</v>
      </c>
      <c r="C5129" s="27">
        <v>3107</v>
      </c>
      <c r="D5129" s="14" t="s">
        <v>904</v>
      </c>
      <c r="E5129" s="112"/>
      <c r="F5129" s="139" t="s">
        <v>15158</v>
      </c>
      <c r="G5129" s="140"/>
      <c r="H5129" s="141"/>
      <c r="I5129" s="26">
        <v>51767</v>
      </c>
      <c r="J5129" s="117"/>
      <c r="K5129" s="120"/>
      <c r="L5129" s="121"/>
      <c r="M5129" s="120"/>
      <c r="N5129" s="121"/>
      <c r="O5129" s="120"/>
      <c r="P5129" s="121"/>
      <c r="Q5129" s="120"/>
      <c r="R5129" s="121"/>
      <c r="S5129" s="120"/>
      <c r="T5129" s="121"/>
      <c r="U5129" s="120"/>
      <c r="V5129" s="123"/>
      <c r="W5129" s="125"/>
      <c r="X5129" s="142" t="s">
        <v>4234</v>
      </c>
      <c r="Y5129" s="143"/>
      <c r="Z5129" s="143"/>
      <c r="AA5129" s="143"/>
      <c r="AB5129" s="144"/>
      <c r="AC5129" s="16" t="s">
        <v>21</v>
      </c>
      <c r="AD5129" s="17" t="s">
        <v>15604</v>
      </c>
      <c r="AE5129" s="145" t="s">
        <v>15638</v>
      </c>
      <c r="AF5129" s="146"/>
      <c r="AG5129" s="146"/>
      <c r="AH5129" s="146"/>
      <c r="AI5129" s="147"/>
      <c r="AJ5129" s="148"/>
      <c r="AK5129" s="143"/>
      <c r="AL5129" s="144"/>
      <c r="AM5129" s="22"/>
      <c r="AN5129" s="149" t="s">
        <v>2794</v>
      </c>
      <c r="AO5129" s="144"/>
      <c r="AP5129" s="148">
        <v>5105</v>
      </c>
      <c r="AQ5129" s="144"/>
      <c r="AR5129" s="120"/>
      <c r="AS5129" s="121"/>
      <c r="AT5129" s="120"/>
      <c r="AU5129" s="121"/>
      <c r="AV5129" s="120"/>
      <c r="AW5129" s="121"/>
      <c r="AX5129" s="120"/>
      <c r="AY5129" s="121"/>
      <c r="AZ5129" s="138"/>
    </row>
    <row r="5130" spans="1:52" ht="17.100000000000001" customHeight="1" thickTop="1">
      <c r="A5130" s="109" t="s">
        <v>15132</v>
      </c>
      <c r="B5130" s="28">
        <v>46038</v>
      </c>
      <c r="C5130" s="25">
        <v>1402</v>
      </c>
      <c r="D5130" s="13" t="s">
        <v>2059</v>
      </c>
      <c r="E5130" s="111"/>
      <c r="F5130" s="113" t="s">
        <v>4763</v>
      </c>
      <c r="G5130" s="114"/>
      <c r="H5130" s="115"/>
      <c r="I5130" s="24" t="s">
        <v>4764</v>
      </c>
      <c r="J5130" s="116">
        <v>4</v>
      </c>
      <c r="K5130" s="118">
        <v>984000</v>
      </c>
      <c r="L5130" s="119"/>
      <c r="M5130" s="118">
        <f t="shared" ref="M5130" si="6209">K5130*0.1</f>
        <v>98400</v>
      </c>
      <c r="N5130" s="119"/>
      <c r="O5130" s="118">
        <v>0</v>
      </c>
      <c r="P5130" s="119"/>
      <c r="Q5130" s="118">
        <v>7500</v>
      </c>
      <c r="R5130" s="119"/>
      <c r="S5130" s="118">
        <v>15400</v>
      </c>
      <c r="T5130" s="119"/>
      <c r="U5130" s="118">
        <f t="shared" ref="U5130" si="6210">SUM(K5130:T5131)</f>
        <v>1105300</v>
      </c>
      <c r="V5130" s="122"/>
      <c r="W5130" s="124"/>
      <c r="X5130" s="126" t="s">
        <v>15636</v>
      </c>
      <c r="Y5130" s="127"/>
      <c r="Z5130" s="127"/>
      <c r="AA5130" s="127"/>
      <c r="AB5130" s="128"/>
      <c r="AC5130" s="15" t="s">
        <v>20</v>
      </c>
      <c r="AD5130" s="129"/>
      <c r="AE5130" s="130"/>
      <c r="AF5130" s="130"/>
      <c r="AG5130" s="130"/>
      <c r="AH5130" s="130"/>
      <c r="AI5130" s="131"/>
      <c r="AJ5130" s="132"/>
      <c r="AK5130" s="127"/>
      <c r="AL5130" s="128"/>
      <c r="AM5130" s="21"/>
      <c r="AN5130" s="133">
        <v>46043</v>
      </c>
      <c r="AO5130" s="134"/>
      <c r="AP5130" s="135">
        <v>1001</v>
      </c>
      <c r="AQ5130" s="136"/>
      <c r="AR5130" s="118">
        <v>1075000</v>
      </c>
      <c r="AS5130" s="119"/>
      <c r="AT5130" s="118">
        <f t="shared" ref="AT5130" si="6211">AR5130*0.1</f>
        <v>107500</v>
      </c>
      <c r="AU5130" s="119"/>
      <c r="AV5130" s="118">
        <v>7500</v>
      </c>
      <c r="AW5130" s="119"/>
      <c r="AX5130" s="118">
        <f t="shared" ref="AX5130" si="6212">SUM(AR5130:AW5130)</f>
        <v>1190000</v>
      </c>
      <c r="AY5130" s="119"/>
      <c r="AZ5130" s="137">
        <v>46048</v>
      </c>
    </row>
    <row r="5131" spans="1:52" ht="17.100000000000001" customHeight="1" thickBot="1">
      <c r="A5131" s="110"/>
      <c r="B5131" s="27" t="s">
        <v>2641</v>
      </c>
      <c r="C5131" s="27">
        <v>3176</v>
      </c>
      <c r="D5131" s="14" t="s">
        <v>2601</v>
      </c>
      <c r="E5131" s="112"/>
      <c r="F5131" s="139" t="s">
        <v>15159</v>
      </c>
      <c r="G5131" s="140"/>
      <c r="H5131" s="141"/>
      <c r="I5131" s="26">
        <v>51950</v>
      </c>
      <c r="J5131" s="117"/>
      <c r="K5131" s="120"/>
      <c r="L5131" s="121"/>
      <c r="M5131" s="120"/>
      <c r="N5131" s="121"/>
      <c r="O5131" s="120"/>
      <c r="P5131" s="121"/>
      <c r="Q5131" s="120"/>
      <c r="R5131" s="121"/>
      <c r="S5131" s="120"/>
      <c r="T5131" s="121"/>
      <c r="U5131" s="120"/>
      <c r="V5131" s="123"/>
      <c r="W5131" s="125"/>
      <c r="X5131" s="142" t="s">
        <v>1673</v>
      </c>
      <c r="Y5131" s="143"/>
      <c r="Z5131" s="143"/>
      <c r="AA5131" s="143"/>
      <c r="AB5131" s="144"/>
      <c r="AC5131" s="16" t="s">
        <v>21</v>
      </c>
      <c r="AD5131" s="17" t="s">
        <v>15604</v>
      </c>
      <c r="AE5131" s="145"/>
      <c r="AF5131" s="146"/>
      <c r="AG5131" s="146"/>
      <c r="AH5131" s="146"/>
      <c r="AI5131" s="147"/>
      <c r="AJ5131" s="148"/>
      <c r="AK5131" s="143"/>
      <c r="AL5131" s="144"/>
      <c r="AM5131" s="22"/>
      <c r="AN5131" s="149" t="s">
        <v>2794</v>
      </c>
      <c r="AO5131" s="144"/>
      <c r="AP5131" s="148">
        <v>5094</v>
      </c>
      <c r="AQ5131" s="144"/>
      <c r="AR5131" s="120"/>
      <c r="AS5131" s="121"/>
      <c r="AT5131" s="120"/>
      <c r="AU5131" s="121"/>
      <c r="AV5131" s="120"/>
      <c r="AW5131" s="121"/>
      <c r="AX5131" s="120"/>
      <c r="AY5131" s="121"/>
      <c r="AZ5131" s="138"/>
    </row>
    <row r="5132" spans="1:52" ht="17.100000000000001" customHeight="1" thickTop="1">
      <c r="A5132" s="109" t="s">
        <v>15133</v>
      </c>
      <c r="B5132" s="28">
        <v>46038</v>
      </c>
      <c r="C5132" s="25">
        <v>1402</v>
      </c>
      <c r="D5132" s="13" t="s">
        <v>1795</v>
      </c>
      <c r="E5132" s="111"/>
      <c r="F5132" s="113" t="s">
        <v>15160</v>
      </c>
      <c r="G5132" s="114"/>
      <c r="H5132" s="115"/>
      <c r="I5132" s="24"/>
      <c r="J5132" s="116">
        <v>4.5</v>
      </c>
      <c r="K5132" s="118">
        <v>1057000</v>
      </c>
      <c r="L5132" s="119"/>
      <c r="M5132" s="118">
        <f t="shared" ref="M5132" si="6213">K5132*0.1</f>
        <v>105700</v>
      </c>
      <c r="N5132" s="119"/>
      <c r="O5132" s="118">
        <v>0</v>
      </c>
      <c r="P5132" s="119"/>
      <c r="Q5132" s="118">
        <v>8270</v>
      </c>
      <c r="R5132" s="119"/>
      <c r="S5132" s="118">
        <v>15400</v>
      </c>
      <c r="T5132" s="119"/>
      <c r="U5132" s="118">
        <f t="shared" ref="U5132" si="6214">SUM(K5132:T5133)</f>
        <v>1186370</v>
      </c>
      <c r="V5132" s="122"/>
      <c r="W5132" s="124"/>
      <c r="X5132" s="126" t="s">
        <v>15647</v>
      </c>
      <c r="Y5132" s="127"/>
      <c r="Z5132" s="127"/>
      <c r="AA5132" s="127"/>
      <c r="AB5132" s="128"/>
      <c r="AC5132" s="15" t="s">
        <v>20</v>
      </c>
      <c r="AD5132" s="129" t="s">
        <v>1670</v>
      </c>
      <c r="AE5132" s="130"/>
      <c r="AF5132" s="130"/>
      <c r="AG5132" s="130"/>
      <c r="AH5132" s="130"/>
      <c r="AI5132" s="131"/>
      <c r="AJ5132" s="132"/>
      <c r="AK5132" s="127"/>
      <c r="AL5132" s="128"/>
      <c r="AM5132" s="21"/>
      <c r="AN5132" s="133">
        <v>46055</v>
      </c>
      <c r="AO5132" s="134"/>
      <c r="AP5132" s="135"/>
      <c r="AQ5132" s="136"/>
      <c r="AR5132" s="118">
        <v>1250000</v>
      </c>
      <c r="AS5132" s="119"/>
      <c r="AT5132" s="118">
        <f t="shared" ref="AT5132" si="6215">AR5132*0.1</f>
        <v>125000</v>
      </c>
      <c r="AU5132" s="119"/>
      <c r="AV5132" s="118">
        <v>8270</v>
      </c>
      <c r="AW5132" s="119"/>
      <c r="AX5132" s="118">
        <f t="shared" ref="AX5132" si="6216">SUM(AR5132:AW5132)</f>
        <v>1383270</v>
      </c>
      <c r="AY5132" s="119"/>
      <c r="AZ5132" s="137"/>
    </row>
    <row r="5133" spans="1:52" ht="17.100000000000001" customHeight="1" thickBot="1">
      <c r="A5133" s="110"/>
      <c r="B5133" s="27" t="s">
        <v>2641</v>
      </c>
      <c r="C5133" s="27">
        <v>3183</v>
      </c>
      <c r="D5133" s="14" t="s">
        <v>1812</v>
      </c>
      <c r="E5133" s="112"/>
      <c r="F5133" s="139" t="s">
        <v>15161</v>
      </c>
      <c r="G5133" s="140"/>
      <c r="H5133" s="141"/>
      <c r="I5133" s="26">
        <v>6184</v>
      </c>
      <c r="J5133" s="117"/>
      <c r="K5133" s="120"/>
      <c r="L5133" s="121"/>
      <c r="M5133" s="120"/>
      <c r="N5133" s="121"/>
      <c r="O5133" s="120"/>
      <c r="P5133" s="121"/>
      <c r="Q5133" s="120"/>
      <c r="R5133" s="121"/>
      <c r="S5133" s="120"/>
      <c r="T5133" s="121"/>
      <c r="U5133" s="120"/>
      <c r="V5133" s="123"/>
      <c r="W5133" s="125"/>
      <c r="X5133" s="142" t="s">
        <v>15648</v>
      </c>
      <c r="Y5133" s="143"/>
      <c r="Z5133" s="143"/>
      <c r="AA5133" s="143"/>
      <c r="AB5133" s="144"/>
      <c r="AC5133" s="16" t="s">
        <v>21</v>
      </c>
      <c r="AD5133" s="17" t="s">
        <v>15604</v>
      </c>
      <c r="AE5133" s="145" t="s">
        <v>15649</v>
      </c>
      <c r="AF5133" s="146"/>
      <c r="AG5133" s="146"/>
      <c r="AH5133" s="146"/>
      <c r="AI5133" s="147"/>
      <c r="AJ5133" s="148"/>
      <c r="AK5133" s="143"/>
      <c r="AL5133" s="144"/>
      <c r="AM5133" s="22"/>
      <c r="AN5133" s="149" t="s">
        <v>6789</v>
      </c>
      <c r="AO5133" s="144"/>
      <c r="AP5133" s="148">
        <v>50968</v>
      </c>
      <c r="AQ5133" s="144"/>
      <c r="AR5133" s="120"/>
      <c r="AS5133" s="121"/>
      <c r="AT5133" s="120"/>
      <c r="AU5133" s="121"/>
      <c r="AV5133" s="120"/>
      <c r="AW5133" s="121"/>
      <c r="AX5133" s="120"/>
      <c r="AY5133" s="121"/>
      <c r="AZ5133" s="138"/>
    </row>
    <row r="5134" spans="1:52" ht="17.100000000000001" customHeight="1" thickTop="1">
      <c r="A5134" s="109" t="s">
        <v>15134</v>
      </c>
      <c r="B5134" s="28">
        <v>46038</v>
      </c>
      <c r="C5134" s="25">
        <v>1402</v>
      </c>
      <c r="D5134" s="13" t="s">
        <v>1714</v>
      </c>
      <c r="E5134" s="111"/>
      <c r="F5134" s="113" t="s">
        <v>15162</v>
      </c>
      <c r="G5134" s="114"/>
      <c r="H5134" s="115"/>
      <c r="I5134" s="24"/>
      <c r="J5134" s="116">
        <v>4.5</v>
      </c>
      <c r="K5134" s="118">
        <v>3949000</v>
      </c>
      <c r="L5134" s="119"/>
      <c r="M5134" s="118">
        <f t="shared" ref="M5134" si="6217">K5134*0.1</f>
        <v>394900</v>
      </c>
      <c r="N5134" s="119"/>
      <c r="O5134" s="118">
        <v>0</v>
      </c>
      <c r="P5134" s="119"/>
      <c r="Q5134" s="118">
        <v>12490</v>
      </c>
      <c r="R5134" s="119"/>
      <c r="S5134" s="118">
        <v>15400</v>
      </c>
      <c r="T5134" s="119"/>
      <c r="U5134" s="118">
        <f t="shared" ref="U5134" si="6218">SUM(K5134:T5135)</f>
        <v>4371790</v>
      </c>
      <c r="V5134" s="122"/>
      <c r="W5134" s="124"/>
      <c r="X5134" s="126" t="s">
        <v>15756</v>
      </c>
      <c r="Y5134" s="127"/>
      <c r="Z5134" s="127"/>
      <c r="AA5134" s="127"/>
      <c r="AB5134" s="128"/>
      <c r="AC5134" s="15" t="s">
        <v>20</v>
      </c>
      <c r="AD5134" s="129" t="s">
        <v>15230</v>
      </c>
      <c r="AE5134" s="130"/>
      <c r="AF5134" s="130"/>
      <c r="AG5134" s="130"/>
      <c r="AH5134" s="130"/>
      <c r="AI5134" s="131"/>
      <c r="AJ5134" s="132"/>
      <c r="AK5134" s="127"/>
      <c r="AL5134" s="128"/>
      <c r="AM5134" s="21"/>
      <c r="AN5134" s="133">
        <v>46050</v>
      </c>
      <c r="AO5134" s="134"/>
      <c r="AP5134" s="135">
        <v>1002</v>
      </c>
      <c r="AQ5134" s="136"/>
      <c r="AR5134" s="118">
        <v>4005000</v>
      </c>
      <c r="AS5134" s="119"/>
      <c r="AT5134" s="118">
        <f t="shared" ref="AT5134" si="6219">AR5134*0.1</f>
        <v>400500</v>
      </c>
      <c r="AU5134" s="119"/>
      <c r="AV5134" s="118">
        <v>12490</v>
      </c>
      <c r="AW5134" s="119"/>
      <c r="AX5134" s="118">
        <f t="shared" ref="AX5134" si="6220">SUM(AR5134:AW5134)</f>
        <v>4417990</v>
      </c>
      <c r="AY5134" s="119"/>
      <c r="AZ5134" s="137">
        <v>46055</v>
      </c>
    </row>
    <row r="5135" spans="1:52" ht="17.100000000000001" customHeight="1" thickBot="1">
      <c r="A5135" s="110"/>
      <c r="B5135" s="27" t="s">
        <v>2641</v>
      </c>
      <c r="C5135" s="27">
        <v>3299</v>
      </c>
      <c r="D5135" s="14" t="s">
        <v>275</v>
      </c>
      <c r="E5135" s="112"/>
      <c r="F5135" s="139" t="s">
        <v>15163</v>
      </c>
      <c r="G5135" s="140"/>
      <c r="H5135" s="141"/>
      <c r="I5135" s="26">
        <v>40774</v>
      </c>
      <c r="J5135" s="117"/>
      <c r="K5135" s="120"/>
      <c r="L5135" s="121"/>
      <c r="M5135" s="120"/>
      <c r="N5135" s="121"/>
      <c r="O5135" s="120"/>
      <c r="P5135" s="121"/>
      <c r="Q5135" s="120"/>
      <c r="R5135" s="121"/>
      <c r="S5135" s="120"/>
      <c r="T5135" s="121"/>
      <c r="U5135" s="120"/>
      <c r="V5135" s="123"/>
      <c r="W5135" s="125"/>
      <c r="X5135" s="142" t="s">
        <v>3334</v>
      </c>
      <c r="Y5135" s="143"/>
      <c r="Z5135" s="143"/>
      <c r="AA5135" s="143"/>
      <c r="AB5135" s="144"/>
      <c r="AC5135" s="16" t="s">
        <v>21</v>
      </c>
      <c r="AD5135" s="17" t="s">
        <v>15708</v>
      </c>
      <c r="AE5135" s="145" t="s">
        <v>1614</v>
      </c>
      <c r="AF5135" s="146"/>
      <c r="AG5135" s="146"/>
      <c r="AH5135" s="146"/>
      <c r="AI5135" s="147"/>
      <c r="AJ5135" s="148"/>
      <c r="AK5135" s="143"/>
      <c r="AL5135" s="144"/>
      <c r="AM5135" s="22"/>
      <c r="AN5135" s="149" t="s">
        <v>2794</v>
      </c>
      <c r="AO5135" s="144"/>
      <c r="AP5135" s="148">
        <v>6021</v>
      </c>
      <c r="AQ5135" s="144"/>
      <c r="AR5135" s="120"/>
      <c r="AS5135" s="121"/>
      <c r="AT5135" s="120"/>
      <c r="AU5135" s="121"/>
      <c r="AV5135" s="120"/>
      <c r="AW5135" s="121"/>
      <c r="AX5135" s="120"/>
      <c r="AY5135" s="121"/>
      <c r="AZ5135" s="138"/>
    </row>
    <row r="5136" spans="1:52" ht="17.100000000000001" customHeight="1" thickTop="1">
      <c r="A5136" s="109" t="s">
        <v>15135</v>
      </c>
      <c r="B5136" s="28">
        <v>46038</v>
      </c>
      <c r="C5136" s="25">
        <v>1402</v>
      </c>
      <c r="D5136" s="13" t="s">
        <v>2009</v>
      </c>
      <c r="E5136" s="111"/>
      <c r="F5136" s="113" t="s">
        <v>15164</v>
      </c>
      <c r="G5136" s="114"/>
      <c r="H5136" s="115"/>
      <c r="I5136" s="24" t="s">
        <v>5685</v>
      </c>
      <c r="J5136" s="116">
        <v>4.5</v>
      </c>
      <c r="K5136" s="118">
        <v>2710000</v>
      </c>
      <c r="L5136" s="119"/>
      <c r="M5136" s="118">
        <f t="shared" ref="M5136" si="6221">K5136*0.1</f>
        <v>271000</v>
      </c>
      <c r="N5136" s="119"/>
      <c r="O5136" s="118">
        <v>6600</v>
      </c>
      <c r="P5136" s="119"/>
      <c r="Q5136" s="118">
        <v>12250</v>
      </c>
      <c r="R5136" s="119"/>
      <c r="S5136" s="118">
        <v>19800</v>
      </c>
      <c r="T5136" s="119"/>
      <c r="U5136" s="118">
        <f t="shared" ref="U5136" si="6222">SUM(K5136:T5137)</f>
        <v>3019650</v>
      </c>
      <c r="V5136" s="122"/>
      <c r="W5136" s="124"/>
      <c r="X5136" s="126" t="s">
        <v>15690</v>
      </c>
      <c r="Y5136" s="127"/>
      <c r="Z5136" s="127"/>
      <c r="AA5136" s="127"/>
      <c r="AB5136" s="128"/>
      <c r="AC5136" s="15" t="s">
        <v>20</v>
      </c>
      <c r="AD5136" s="129" t="s">
        <v>3828</v>
      </c>
      <c r="AE5136" s="130"/>
      <c r="AF5136" s="130"/>
      <c r="AG5136" s="130"/>
      <c r="AH5136" s="130"/>
      <c r="AI5136" s="131"/>
      <c r="AJ5136" s="132"/>
      <c r="AK5136" s="127"/>
      <c r="AL5136" s="128"/>
      <c r="AM5136" s="21"/>
      <c r="AN5136" s="133">
        <v>46050</v>
      </c>
      <c r="AO5136" s="134"/>
      <c r="AP5136" s="135">
        <v>1002</v>
      </c>
      <c r="AQ5136" s="136"/>
      <c r="AR5136" s="118">
        <v>2770000</v>
      </c>
      <c r="AS5136" s="119"/>
      <c r="AT5136" s="118">
        <f t="shared" ref="AT5136" si="6223">AR5136*0.1</f>
        <v>277000</v>
      </c>
      <c r="AU5136" s="119"/>
      <c r="AV5136" s="118">
        <v>12250</v>
      </c>
      <c r="AW5136" s="119"/>
      <c r="AX5136" s="118">
        <f t="shared" ref="AX5136" si="6224">SUM(AR5136:AW5136)</f>
        <v>3059250</v>
      </c>
      <c r="AY5136" s="119"/>
      <c r="AZ5136" s="137">
        <v>46055</v>
      </c>
    </row>
    <row r="5137" spans="1:52" ht="17.100000000000001" customHeight="1" thickBot="1">
      <c r="A5137" s="110"/>
      <c r="B5137" s="27" t="s">
        <v>2641</v>
      </c>
      <c r="C5137" s="27">
        <v>3310</v>
      </c>
      <c r="D5137" s="14" t="s">
        <v>2601</v>
      </c>
      <c r="E5137" s="112"/>
      <c r="F5137" s="139" t="s">
        <v>15165</v>
      </c>
      <c r="G5137" s="140"/>
      <c r="H5137" s="141"/>
      <c r="I5137" s="26">
        <v>51139</v>
      </c>
      <c r="J5137" s="117"/>
      <c r="K5137" s="120"/>
      <c r="L5137" s="121"/>
      <c r="M5137" s="120"/>
      <c r="N5137" s="121"/>
      <c r="O5137" s="120"/>
      <c r="P5137" s="121"/>
      <c r="Q5137" s="120"/>
      <c r="R5137" s="121"/>
      <c r="S5137" s="120"/>
      <c r="T5137" s="121"/>
      <c r="U5137" s="120"/>
      <c r="V5137" s="123"/>
      <c r="W5137" s="125"/>
      <c r="X5137" s="142" t="s">
        <v>3334</v>
      </c>
      <c r="Y5137" s="143"/>
      <c r="Z5137" s="143"/>
      <c r="AA5137" s="143"/>
      <c r="AB5137" s="144"/>
      <c r="AC5137" s="16" t="s">
        <v>21</v>
      </c>
      <c r="AD5137" s="17" t="s">
        <v>15687</v>
      </c>
      <c r="AE5137" s="145" t="s">
        <v>1742</v>
      </c>
      <c r="AF5137" s="146"/>
      <c r="AG5137" s="146"/>
      <c r="AH5137" s="146"/>
      <c r="AI5137" s="147"/>
      <c r="AJ5137" s="148"/>
      <c r="AK5137" s="143"/>
      <c r="AL5137" s="144"/>
      <c r="AM5137" s="22"/>
      <c r="AN5137" s="149" t="s">
        <v>2794</v>
      </c>
      <c r="AO5137" s="144"/>
      <c r="AP5137" s="148">
        <v>6028</v>
      </c>
      <c r="AQ5137" s="144"/>
      <c r="AR5137" s="120"/>
      <c r="AS5137" s="121"/>
      <c r="AT5137" s="120"/>
      <c r="AU5137" s="121"/>
      <c r="AV5137" s="120"/>
      <c r="AW5137" s="121"/>
      <c r="AX5137" s="120"/>
      <c r="AY5137" s="121"/>
      <c r="AZ5137" s="138"/>
    </row>
    <row r="5138" spans="1:52" ht="17.100000000000001" customHeight="1" thickTop="1">
      <c r="A5138" s="109" t="s">
        <v>15136</v>
      </c>
      <c r="B5138" s="28">
        <v>46038</v>
      </c>
      <c r="C5138" s="25">
        <v>1402</v>
      </c>
      <c r="D5138" s="13" t="s">
        <v>1855</v>
      </c>
      <c r="E5138" s="111"/>
      <c r="F5138" s="113" t="s">
        <v>15166</v>
      </c>
      <c r="G5138" s="114"/>
      <c r="H5138" s="115"/>
      <c r="I5138" s="24"/>
      <c r="J5138" s="116">
        <v>4</v>
      </c>
      <c r="K5138" s="118">
        <v>704000</v>
      </c>
      <c r="L5138" s="119"/>
      <c r="M5138" s="118">
        <f t="shared" ref="M5138" si="6225">K5138*0.1</f>
        <v>70400</v>
      </c>
      <c r="N5138" s="119"/>
      <c r="O5138" s="118">
        <v>0</v>
      </c>
      <c r="P5138" s="119"/>
      <c r="Q5138" s="118">
        <v>15740</v>
      </c>
      <c r="R5138" s="119"/>
      <c r="S5138" s="118">
        <v>15400</v>
      </c>
      <c r="T5138" s="119"/>
      <c r="U5138" s="118">
        <f t="shared" ref="U5138" si="6226">SUM(K5138:T5139)</f>
        <v>805540</v>
      </c>
      <c r="V5138" s="122"/>
      <c r="W5138" s="124"/>
      <c r="X5138" s="126" t="s">
        <v>15635</v>
      </c>
      <c r="Y5138" s="127"/>
      <c r="Z5138" s="127"/>
      <c r="AA5138" s="127"/>
      <c r="AB5138" s="128"/>
      <c r="AC5138" s="15" t="s">
        <v>20</v>
      </c>
      <c r="AD5138" s="129" t="s">
        <v>15237</v>
      </c>
      <c r="AE5138" s="130"/>
      <c r="AF5138" s="130"/>
      <c r="AG5138" s="130"/>
      <c r="AH5138" s="130"/>
      <c r="AI5138" s="131"/>
      <c r="AJ5138" s="132"/>
      <c r="AK5138" s="127"/>
      <c r="AL5138" s="128"/>
      <c r="AM5138" s="21"/>
      <c r="AN5138" s="133">
        <v>46043</v>
      </c>
      <c r="AO5138" s="134"/>
      <c r="AP5138" s="135">
        <v>1001</v>
      </c>
      <c r="AQ5138" s="136"/>
      <c r="AR5138" s="118">
        <v>780000</v>
      </c>
      <c r="AS5138" s="119"/>
      <c r="AT5138" s="118">
        <f t="shared" ref="AT5138" si="6227">AR5138*0.1</f>
        <v>78000</v>
      </c>
      <c r="AU5138" s="119"/>
      <c r="AV5138" s="118">
        <v>15740</v>
      </c>
      <c r="AW5138" s="119"/>
      <c r="AX5138" s="118">
        <f t="shared" ref="AX5138" si="6228">SUM(AR5138:AW5138)</f>
        <v>873740</v>
      </c>
      <c r="AY5138" s="119"/>
      <c r="AZ5138" s="137">
        <v>46048</v>
      </c>
    </row>
    <row r="5139" spans="1:52" ht="17.100000000000001" customHeight="1" thickBot="1">
      <c r="A5139" s="110"/>
      <c r="B5139" s="27" t="s">
        <v>2641</v>
      </c>
      <c r="C5139" s="27">
        <v>7156</v>
      </c>
      <c r="D5139" s="14" t="s">
        <v>275</v>
      </c>
      <c r="E5139" s="112"/>
      <c r="F5139" s="139" t="s">
        <v>15167</v>
      </c>
      <c r="G5139" s="140"/>
      <c r="H5139" s="141"/>
      <c r="I5139" s="26">
        <v>112935</v>
      </c>
      <c r="J5139" s="117"/>
      <c r="K5139" s="120"/>
      <c r="L5139" s="121"/>
      <c r="M5139" s="120"/>
      <c r="N5139" s="121"/>
      <c r="O5139" s="120"/>
      <c r="P5139" s="121"/>
      <c r="Q5139" s="120"/>
      <c r="R5139" s="121"/>
      <c r="S5139" s="120"/>
      <c r="T5139" s="121"/>
      <c r="U5139" s="120"/>
      <c r="V5139" s="123"/>
      <c r="W5139" s="125"/>
      <c r="X5139" s="142" t="s">
        <v>8807</v>
      </c>
      <c r="Y5139" s="143"/>
      <c r="Z5139" s="143"/>
      <c r="AA5139" s="143"/>
      <c r="AB5139" s="144"/>
      <c r="AC5139" s="16" t="s">
        <v>21</v>
      </c>
      <c r="AD5139" s="17" t="s">
        <v>15604</v>
      </c>
      <c r="AE5139" s="145" t="s">
        <v>1658</v>
      </c>
      <c r="AF5139" s="146"/>
      <c r="AG5139" s="146"/>
      <c r="AH5139" s="146"/>
      <c r="AI5139" s="147"/>
      <c r="AJ5139" s="148"/>
      <c r="AK5139" s="143"/>
      <c r="AL5139" s="144"/>
      <c r="AM5139" s="22"/>
      <c r="AN5139" s="149" t="s">
        <v>2794</v>
      </c>
      <c r="AO5139" s="144"/>
      <c r="AP5139" s="148">
        <v>5078</v>
      </c>
      <c r="AQ5139" s="144"/>
      <c r="AR5139" s="120"/>
      <c r="AS5139" s="121"/>
      <c r="AT5139" s="120"/>
      <c r="AU5139" s="121"/>
      <c r="AV5139" s="120"/>
      <c r="AW5139" s="121"/>
      <c r="AX5139" s="120"/>
      <c r="AY5139" s="121"/>
      <c r="AZ5139" s="138"/>
    </row>
    <row r="5140" spans="1:52" ht="16.5" customHeight="1" thickTop="1">
      <c r="A5140" s="109" t="s">
        <v>15137</v>
      </c>
      <c r="B5140" s="28">
        <v>46038</v>
      </c>
      <c r="C5140" s="25">
        <v>1402</v>
      </c>
      <c r="D5140" s="13" t="s">
        <v>1776</v>
      </c>
      <c r="E5140" s="111"/>
      <c r="F5140" s="113" t="s">
        <v>15368</v>
      </c>
      <c r="G5140" s="114"/>
      <c r="H5140" s="115"/>
      <c r="I5140" s="24"/>
      <c r="J5140" s="116">
        <v>4.5</v>
      </c>
      <c r="K5140" s="118">
        <v>1582000</v>
      </c>
      <c r="L5140" s="119"/>
      <c r="M5140" s="118">
        <f t="shared" ref="M5140" si="6229">K5140*0.1</f>
        <v>158200</v>
      </c>
      <c r="N5140" s="119"/>
      <c r="O5140" s="118">
        <v>0</v>
      </c>
      <c r="P5140" s="119"/>
      <c r="Q5140" s="118">
        <v>11560</v>
      </c>
      <c r="R5140" s="119"/>
      <c r="S5140" s="118">
        <v>15400</v>
      </c>
      <c r="T5140" s="119"/>
      <c r="U5140" s="118">
        <f t="shared" ref="U5140" si="6230">SUM(K5140:T5141)</f>
        <v>1767160</v>
      </c>
      <c r="V5140" s="122"/>
      <c r="W5140" s="124"/>
      <c r="X5140" s="126" t="s">
        <v>16223</v>
      </c>
      <c r="Y5140" s="127"/>
      <c r="Z5140" s="127"/>
      <c r="AA5140" s="127"/>
      <c r="AB5140" s="128"/>
      <c r="AC5140" s="15" t="s">
        <v>20</v>
      </c>
      <c r="AD5140" s="129"/>
      <c r="AE5140" s="130"/>
      <c r="AF5140" s="130"/>
      <c r="AG5140" s="130"/>
      <c r="AH5140" s="130"/>
      <c r="AI5140" s="131"/>
      <c r="AJ5140" s="132" t="s">
        <v>16505</v>
      </c>
      <c r="AK5140" s="127"/>
      <c r="AL5140" s="128"/>
      <c r="AM5140" s="21"/>
      <c r="AN5140" s="133">
        <v>46050</v>
      </c>
      <c r="AO5140" s="134"/>
      <c r="AP5140" s="135">
        <v>1002</v>
      </c>
      <c r="AQ5140" s="136"/>
      <c r="AR5140" s="118">
        <v>1640000</v>
      </c>
      <c r="AS5140" s="119"/>
      <c r="AT5140" s="118">
        <f t="shared" ref="AT5140" si="6231">AR5140*0.1</f>
        <v>164000</v>
      </c>
      <c r="AU5140" s="119"/>
      <c r="AV5140" s="118">
        <v>11560</v>
      </c>
      <c r="AW5140" s="119"/>
      <c r="AX5140" s="118">
        <f t="shared" ref="AX5140" si="6232">SUM(AR5140:AW5140)</f>
        <v>1815560</v>
      </c>
      <c r="AY5140" s="119"/>
      <c r="AZ5140" s="137">
        <v>46055</v>
      </c>
    </row>
    <row r="5141" spans="1:52" ht="17.100000000000001" customHeight="1" thickBot="1">
      <c r="A5141" s="110"/>
      <c r="B5141" s="27" t="s">
        <v>2641</v>
      </c>
      <c r="C5141" s="27">
        <v>7194</v>
      </c>
      <c r="D5141" s="14" t="s">
        <v>2601</v>
      </c>
      <c r="E5141" s="112"/>
      <c r="F5141" s="139" t="s">
        <v>15168</v>
      </c>
      <c r="G5141" s="140"/>
      <c r="H5141" s="141"/>
      <c r="I5141" s="26">
        <v>21457</v>
      </c>
      <c r="J5141" s="117"/>
      <c r="K5141" s="120"/>
      <c r="L5141" s="121"/>
      <c r="M5141" s="120"/>
      <c r="N5141" s="121"/>
      <c r="O5141" s="120"/>
      <c r="P5141" s="121"/>
      <c r="Q5141" s="120"/>
      <c r="R5141" s="121"/>
      <c r="S5141" s="120"/>
      <c r="T5141" s="121"/>
      <c r="U5141" s="120"/>
      <c r="V5141" s="123"/>
      <c r="W5141" s="125"/>
      <c r="X5141" s="142" t="s">
        <v>16224</v>
      </c>
      <c r="Y5141" s="143"/>
      <c r="Z5141" s="143"/>
      <c r="AA5141" s="143"/>
      <c r="AB5141" s="144"/>
      <c r="AC5141" s="16" t="s">
        <v>21</v>
      </c>
      <c r="AD5141" s="17" t="s">
        <v>16172</v>
      </c>
      <c r="AE5141" s="145" t="s">
        <v>15371</v>
      </c>
      <c r="AF5141" s="146"/>
      <c r="AG5141" s="146"/>
      <c r="AH5141" s="146"/>
      <c r="AI5141" s="147"/>
      <c r="AJ5141" s="148"/>
      <c r="AK5141" s="143"/>
      <c r="AL5141" s="144"/>
      <c r="AM5141" s="22"/>
      <c r="AN5141" s="149" t="s">
        <v>2794</v>
      </c>
      <c r="AO5141" s="144"/>
      <c r="AP5141" s="148">
        <v>6050</v>
      </c>
      <c r="AQ5141" s="144"/>
      <c r="AR5141" s="120"/>
      <c r="AS5141" s="121"/>
      <c r="AT5141" s="120"/>
      <c r="AU5141" s="121"/>
      <c r="AV5141" s="120"/>
      <c r="AW5141" s="121"/>
      <c r="AX5141" s="120"/>
      <c r="AY5141" s="121"/>
      <c r="AZ5141" s="138"/>
    </row>
    <row r="5142" spans="1:52" ht="17.100000000000001" customHeight="1" thickTop="1">
      <c r="A5142" s="109" t="s">
        <v>15138</v>
      </c>
      <c r="B5142" s="28">
        <v>46038</v>
      </c>
      <c r="C5142" s="25">
        <v>1402</v>
      </c>
      <c r="D5142" s="13" t="s">
        <v>2941</v>
      </c>
      <c r="E5142" s="111"/>
      <c r="F5142" s="113" t="s">
        <v>14981</v>
      </c>
      <c r="G5142" s="114"/>
      <c r="H5142" s="115"/>
      <c r="I5142" s="24"/>
      <c r="J5142" s="116">
        <v>4</v>
      </c>
      <c r="K5142" s="118">
        <v>871000</v>
      </c>
      <c r="L5142" s="119"/>
      <c r="M5142" s="118">
        <f t="shared" ref="M5142" si="6233">K5142*0.1</f>
        <v>87100</v>
      </c>
      <c r="N5142" s="119"/>
      <c r="O5142" s="118">
        <v>0</v>
      </c>
      <c r="P5142" s="119"/>
      <c r="Q5142" s="118">
        <v>10190</v>
      </c>
      <c r="R5142" s="119"/>
      <c r="S5142" s="118">
        <v>15400</v>
      </c>
      <c r="T5142" s="119"/>
      <c r="U5142" s="118">
        <f t="shared" ref="U5142" si="6234">SUM(K5142:T5143)</f>
        <v>983690</v>
      </c>
      <c r="V5142" s="122"/>
      <c r="W5142" s="124"/>
      <c r="X5142" s="126" t="s">
        <v>15644</v>
      </c>
      <c r="Y5142" s="127"/>
      <c r="Z5142" s="127"/>
      <c r="AA5142" s="127"/>
      <c r="AB5142" s="128"/>
      <c r="AC5142" s="15" t="s">
        <v>20</v>
      </c>
      <c r="AD5142" s="129"/>
      <c r="AE5142" s="130"/>
      <c r="AF5142" s="130"/>
      <c r="AG5142" s="130"/>
      <c r="AH5142" s="130"/>
      <c r="AI5142" s="131"/>
      <c r="AJ5142" s="132"/>
      <c r="AK5142" s="127"/>
      <c r="AL5142" s="128"/>
      <c r="AM5142" s="21"/>
      <c r="AN5142" s="133">
        <v>46050</v>
      </c>
      <c r="AO5142" s="134"/>
      <c r="AP5142" s="135">
        <v>1002</v>
      </c>
      <c r="AQ5142" s="136"/>
      <c r="AR5142" s="118">
        <v>1005000</v>
      </c>
      <c r="AS5142" s="119"/>
      <c r="AT5142" s="118">
        <f t="shared" ref="AT5142" si="6235">AR5142*0.1</f>
        <v>100500</v>
      </c>
      <c r="AU5142" s="119"/>
      <c r="AV5142" s="118">
        <v>10190</v>
      </c>
      <c r="AW5142" s="119"/>
      <c r="AX5142" s="118">
        <f t="shared" ref="AX5142" si="6236">SUM(AR5142:AW5142)</f>
        <v>1115690</v>
      </c>
      <c r="AY5142" s="119"/>
      <c r="AZ5142" s="137">
        <v>46055</v>
      </c>
    </row>
    <row r="5143" spans="1:52" ht="17.100000000000001" customHeight="1" thickBot="1">
      <c r="A5143" s="110"/>
      <c r="B5143" s="27" t="s">
        <v>2641</v>
      </c>
      <c r="C5143" s="27">
        <v>9002</v>
      </c>
      <c r="D5143" s="14" t="s">
        <v>1619</v>
      </c>
      <c r="E5143" s="112"/>
      <c r="F5143" s="139" t="s">
        <v>15169</v>
      </c>
      <c r="G5143" s="140"/>
      <c r="H5143" s="141"/>
      <c r="I5143" s="26">
        <v>78739</v>
      </c>
      <c r="J5143" s="117"/>
      <c r="K5143" s="120"/>
      <c r="L5143" s="121"/>
      <c r="M5143" s="120"/>
      <c r="N5143" s="121"/>
      <c r="O5143" s="120"/>
      <c r="P5143" s="121"/>
      <c r="Q5143" s="120"/>
      <c r="R5143" s="121"/>
      <c r="S5143" s="120"/>
      <c r="T5143" s="121"/>
      <c r="U5143" s="120"/>
      <c r="V5143" s="123"/>
      <c r="W5143" s="125"/>
      <c r="X5143" s="142" t="s">
        <v>1997</v>
      </c>
      <c r="Y5143" s="143"/>
      <c r="Z5143" s="143"/>
      <c r="AA5143" s="143"/>
      <c r="AB5143" s="144"/>
      <c r="AC5143" s="16" t="s">
        <v>21</v>
      </c>
      <c r="AD5143" s="17" t="s">
        <v>15604</v>
      </c>
      <c r="AE5143" s="145" t="s">
        <v>4929</v>
      </c>
      <c r="AF5143" s="146"/>
      <c r="AG5143" s="146"/>
      <c r="AH5143" s="146"/>
      <c r="AI5143" s="147"/>
      <c r="AJ5143" s="148"/>
      <c r="AK5143" s="143"/>
      <c r="AL5143" s="144"/>
      <c r="AM5143" s="22"/>
      <c r="AN5143" s="149" t="s">
        <v>2794</v>
      </c>
      <c r="AO5143" s="144"/>
      <c r="AP5143" s="148">
        <v>6019</v>
      </c>
      <c r="AQ5143" s="144"/>
      <c r="AR5143" s="120"/>
      <c r="AS5143" s="121"/>
      <c r="AT5143" s="120"/>
      <c r="AU5143" s="121"/>
      <c r="AV5143" s="120"/>
      <c r="AW5143" s="121"/>
      <c r="AX5143" s="120"/>
      <c r="AY5143" s="121"/>
      <c r="AZ5143" s="138"/>
    </row>
    <row r="5144" spans="1:52" ht="17.100000000000001" customHeight="1" thickTop="1">
      <c r="A5144" s="109" t="s">
        <v>15139</v>
      </c>
      <c r="B5144" s="28">
        <v>46038</v>
      </c>
      <c r="C5144" s="25">
        <v>1402</v>
      </c>
      <c r="D5144" s="13" t="s">
        <v>3801</v>
      </c>
      <c r="E5144" s="111"/>
      <c r="F5144" s="113" t="s">
        <v>15170</v>
      </c>
      <c r="G5144" s="114"/>
      <c r="H5144" s="115"/>
      <c r="I5144" s="24" t="s">
        <v>11259</v>
      </c>
      <c r="J5144" s="116">
        <v>4</v>
      </c>
      <c r="K5144" s="118">
        <v>676000</v>
      </c>
      <c r="L5144" s="119"/>
      <c r="M5144" s="118">
        <f t="shared" ref="M5144" si="6237">K5144*0.1</f>
        <v>67600</v>
      </c>
      <c r="N5144" s="119"/>
      <c r="O5144" s="118">
        <v>0</v>
      </c>
      <c r="P5144" s="119"/>
      <c r="Q5144" s="118">
        <v>8550</v>
      </c>
      <c r="R5144" s="119"/>
      <c r="S5144" s="118">
        <v>15400</v>
      </c>
      <c r="T5144" s="119"/>
      <c r="U5144" s="118">
        <f t="shared" ref="U5144" si="6238">SUM(K5144:T5145)</f>
        <v>767550</v>
      </c>
      <c r="V5144" s="122"/>
      <c r="W5144" s="124"/>
      <c r="X5144" s="126" t="s">
        <v>15650</v>
      </c>
      <c r="Y5144" s="127"/>
      <c r="Z5144" s="127"/>
      <c r="AA5144" s="127"/>
      <c r="AB5144" s="128"/>
      <c r="AC5144" s="15" t="s">
        <v>20</v>
      </c>
      <c r="AD5144" s="129"/>
      <c r="AE5144" s="130"/>
      <c r="AF5144" s="130"/>
      <c r="AG5144" s="130"/>
      <c r="AH5144" s="130"/>
      <c r="AI5144" s="131"/>
      <c r="AJ5144" s="132"/>
      <c r="AK5144" s="127"/>
      <c r="AL5144" s="128"/>
      <c r="AM5144" s="21" t="s">
        <v>17467</v>
      </c>
      <c r="AN5144" s="133">
        <v>46057</v>
      </c>
      <c r="AO5144" s="134"/>
      <c r="AP5144" s="135">
        <v>1003</v>
      </c>
      <c r="AQ5144" s="136"/>
      <c r="AR5144" s="118">
        <v>750000</v>
      </c>
      <c r="AS5144" s="119"/>
      <c r="AT5144" s="118">
        <f t="shared" ref="AT5144" si="6239">AR5144*0.1</f>
        <v>75000</v>
      </c>
      <c r="AU5144" s="119"/>
      <c r="AV5144" s="118">
        <v>8550</v>
      </c>
      <c r="AW5144" s="119"/>
      <c r="AX5144" s="118">
        <f t="shared" ref="AX5144" si="6240">SUM(AR5144:AW5144)</f>
        <v>833550</v>
      </c>
      <c r="AY5144" s="119"/>
      <c r="AZ5144" s="137">
        <v>46065</v>
      </c>
    </row>
    <row r="5145" spans="1:52" ht="17.100000000000001" customHeight="1" thickBot="1">
      <c r="A5145" s="110"/>
      <c r="B5145" s="27" t="s">
        <v>2641</v>
      </c>
      <c r="C5145" s="27">
        <v>9373</v>
      </c>
      <c r="D5145" s="14" t="s">
        <v>15238</v>
      </c>
      <c r="E5145" s="112"/>
      <c r="F5145" s="139" t="s">
        <v>15171</v>
      </c>
      <c r="G5145" s="140"/>
      <c r="H5145" s="141"/>
      <c r="I5145" s="26">
        <v>69472</v>
      </c>
      <c r="J5145" s="117"/>
      <c r="K5145" s="120"/>
      <c r="L5145" s="121"/>
      <c r="M5145" s="120"/>
      <c r="N5145" s="121"/>
      <c r="O5145" s="120"/>
      <c r="P5145" s="121"/>
      <c r="Q5145" s="120"/>
      <c r="R5145" s="121"/>
      <c r="S5145" s="120"/>
      <c r="T5145" s="121"/>
      <c r="U5145" s="120"/>
      <c r="V5145" s="123"/>
      <c r="W5145" s="125"/>
      <c r="X5145" s="142" t="s">
        <v>15651</v>
      </c>
      <c r="Y5145" s="143"/>
      <c r="Z5145" s="143"/>
      <c r="AA5145" s="143"/>
      <c r="AB5145" s="144"/>
      <c r="AC5145" s="16" t="s">
        <v>21</v>
      </c>
      <c r="AD5145" s="17" t="s">
        <v>15604</v>
      </c>
      <c r="AE5145" s="145" t="s">
        <v>7842</v>
      </c>
      <c r="AF5145" s="146"/>
      <c r="AG5145" s="146"/>
      <c r="AH5145" s="146"/>
      <c r="AI5145" s="147"/>
      <c r="AJ5145" s="148"/>
      <c r="AK5145" s="143"/>
      <c r="AL5145" s="144"/>
      <c r="AM5145" s="22"/>
      <c r="AN5145" s="149" t="s">
        <v>7285</v>
      </c>
      <c r="AO5145" s="144"/>
      <c r="AP5145" s="148">
        <v>2068</v>
      </c>
      <c r="AQ5145" s="144"/>
      <c r="AR5145" s="120"/>
      <c r="AS5145" s="121"/>
      <c r="AT5145" s="120"/>
      <c r="AU5145" s="121"/>
      <c r="AV5145" s="120"/>
      <c r="AW5145" s="121"/>
      <c r="AX5145" s="120"/>
      <c r="AY5145" s="121"/>
      <c r="AZ5145" s="138"/>
    </row>
    <row r="5146" spans="1:52" ht="17.100000000000001" customHeight="1" thickTop="1">
      <c r="A5146" s="109" t="s">
        <v>15140</v>
      </c>
      <c r="B5146" s="28">
        <v>46038</v>
      </c>
      <c r="C5146" s="25">
        <v>1189</v>
      </c>
      <c r="D5146" s="13" t="s">
        <v>1767</v>
      </c>
      <c r="E5146" s="111"/>
      <c r="F5146" s="113" t="s">
        <v>15172</v>
      </c>
      <c r="G5146" s="114"/>
      <c r="H5146" s="115"/>
      <c r="I5146" s="24" t="s">
        <v>12506</v>
      </c>
      <c r="J5146" s="116">
        <v>4.5</v>
      </c>
      <c r="K5146" s="118">
        <v>800000</v>
      </c>
      <c r="L5146" s="119"/>
      <c r="M5146" s="118">
        <f t="shared" ref="M5146" si="6241">K5146*0.1</f>
        <v>80000</v>
      </c>
      <c r="N5146" s="119"/>
      <c r="O5146" s="118">
        <v>7150</v>
      </c>
      <c r="P5146" s="119"/>
      <c r="Q5146" s="118">
        <v>22520</v>
      </c>
      <c r="R5146" s="119"/>
      <c r="S5146" s="118">
        <v>16500</v>
      </c>
      <c r="T5146" s="119"/>
      <c r="U5146" s="118">
        <f t="shared" ref="U5146" si="6242">SUM(K5146:T5147)</f>
        <v>926170</v>
      </c>
      <c r="V5146" s="122"/>
      <c r="W5146" s="124"/>
      <c r="X5146" s="126" t="s">
        <v>15239</v>
      </c>
      <c r="Y5146" s="127"/>
      <c r="Z5146" s="127"/>
      <c r="AA5146" s="127"/>
      <c r="AB5146" s="128"/>
      <c r="AC5146" s="15" t="s">
        <v>20</v>
      </c>
      <c r="AD5146" s="129" t="s">
        <v>15247</v>
      </c>
      <c r="AE5146" s="130"/>
      <c r="AF5146" s="130"/>
      <c r="AG5146" s="130"/>
      <c r="AH5146" s="130"/>
      <c r="AI5146" s="131"/>
      <c r="AJ5146" s="132"/>
      <c r="AK5146" s="127"/>
      <c r="AL5146" s="128"/>
      <c r="AM5146" s="21" t="s">
        <v>17436</v>
      </c>
      <c r="AN5146" s="133">
        <v>46067</v>
      </c>
      <c r="AO5146" s="134"/>
      <c r="AP5146" s="135">
        <v>1288</v>
      </c>
      <c r="AQ5146" s="136"/>
      <c r="AR5146" s="118">
        <v>930000</v>
      </c>
      <c r="AS5146" s="119"/>
      <c r="AT5146" s="118">
        <f t="shared" ref="AT5146" si="6243">AR5146*0.1</f>
        <v>93000</v>
      </c>
      <c r="AU5146" s="119"/>
      <c r="AV5146" s="118">
        <v>22520</v>
      </c>
      <c r="AW5146" s="119"/>
      <c r="AX5146" s="118">
        <f t="shared" ref="AX5146" si="6244">SUM(AR5146:AW5146)</f>
        <v>1045520</v>
      </c>
      <c r="AY5146" s="119"/>
      <c r="AZ5146" s="137">
        <v>46070</v>
      </c>
    </row>
    <row r="5147" spans="1:52" ht="17.100000000000001" customHeight="1" thickBot="1">
      <c r="A5147" s="110"/>
      <c r="B5147" s="27" t="s">
        <v>1828</v>
      </c>
      <c r="C5147" s="27">
        <v>88028</v>
      </c>
      <c r="D5147" s="14" t="s">
        <v>2800</v>
      </c>
      <c r="E5147" s="112"/>
      <c r="F5147" s="139" t="s">
        <v>15240</v>
      </c>
      <c r="G5147" s="140"/>
      <c r="H5147" s="141"/>
      <c r="I5147" s="26">
        <v>55975</v>
      </c>
      <c r="J5147" s="117"/>
      <c r="K5147" s="120"/>
      <c r="L5147" s="121"/>
      <c r="M5147" s="120"/>
      <c r="N5147" s="121"/>
      <c r="O5147" s="120"/>
      <c r="P5147" s="121"/>
      <c r="Q5147" s="120"/>
      <c r="R5147" s="121"/>
      <c r="S5147" s="120"/>
      <c r="T5147" s="121"/>
      <c r="U5147" s="120"/>
      <c r="V5147" s="123"/>
      <c r="W5147" s="125"/>
      <c r="X5147" s="142" t="s">
        <v>15621</v>
      </c>
      <c r="Y5147" s="143"/>
      <c r="Z5147" s="143"/>
      <c r="AA5147" s="143"/>
      <c r="AB5147" s="144"/>
      <c r="AC5147" s="16" t="s">
        <v>21</v>
      </c>
      <c r="AD5147" s="17" t="s">
        <v>15604</v>
      </c>
      <c r="AE5147" s="145" t="s">
        <v>16953</v>
      </c>
      <c r="AF5147" s="146"/>
      <c r="AG5147" s="146"/>
      <c r="AH5147" s="146"/>
      <c r="AI5147" s="147"/>
      <c r="AJ5147" s="148"/>
      <c r="AK5147" s="143"/>
      <c r="AL5147" s="144"/>
      <c r="AM5147" s="22"/>
      <c r="AN5147" s="149" t="s">
        <v>2511</v>
      </c>
      <c r="AO5147" s="144"/>
      <c r="AP5147" s="148">
        <v>80317</v>
      </c>
      <c r="AQ5147" s="144"/>
      <c r="AR5147" s="120"/>
      <c r="AS5147" s="121"/>
      <c r="AT5147" s="120"/>
      <c r="AU5147" s="121"/>
      <c r="AV5147" s="120"/>
      <c r="AW5147" s="121"/>
      <c r="AX5147" s="120"/>
      <c r="AY5147" s="121"/>
      <c r="AZ5147" s="138"/>
    </row>
    <row r="5148" spans="1:52" ht="17.100000000000001" customHeight="1" thickTop="1">
      <c r="A5148" s="109" t="s">
        <v>15141</v>
      </c>
      <c r="B5148" s="28">
        <v>46038</v>
      </c>
      <c r="C5148" s="25">
        <v>2118</v>
      </c>
      <c r="D5148" s="13" t="s">
        <v>1714</v>
      </c>
      <c r="E5148" s="111"/>
      <c r="F5148" s="113" t="s">
        <v>15173</v>
      </c>
      <c r="G5148" s="114"/>
      <c r="H5148" s="115"/>
      <c r="I5148" s="24"/>
      <c r="J5148" s="116">
        <v>4.5</v>
      </c>
      <c r="K5148" s="118">
        <v>800000</v>
      </c>
      <c r="L5148" s="119"/>
      <c r="M5148" s="118">
        <f t="shared" ref="M5148" si="6245">K5148*0.1</f>
        <v>80000</v>
      </c>
      <c r="N5148" s="119"/>
      <c r="O5148" s="118">
        <v>0</v>
      </c>
      <c r="P5148" s="119"/>
      <c r="Q5148" s="118">
        <v>17310</v>
      </c>
      <c r="R5148" s="119"/>
      <c r="S5148" s="118">
        <v>27500</v>
      </c>
      <c r="T5148" s="119"/>
      <c r="U5148" s="118">
        <f t="shared" ref="U5148" si="6246">SUM(K5148:T5149)</f>
        <v>924810</v>
      </c>
      <c r="V5148" s="122"/>
      <c r="W5148" s="124"/>
      <c r="X5148" s="126" t="s">
        <v>15618</v>
      </c>
      <c r="Y5148" s="127"/>
      <c r="Z5148" s="127"/>
      <c r="AA5148" s="127"/>
      <c r="AB5148" s="128"/>
      <c r="AC5148" s="15" t="s">
        <v>20</v>
      </c>
      <c r="AD5148" s="129" t="s">
        <v>1670</v>
      </c>
      <c r="AE5148" s="130"/>
      <c r="AF5148" s="130"/>
      <c r="AG5148" s="130"/>
      <c r="AH5148" s="130"/>
      <c r="AI5148" s="131"/>
      <c r="AJ5148" s="132"/>
      <c r="AK5148" s="127"/>
      <c r="AL5148" s="128"/>
      <c r="AM5148" s="21"/>
      <c r="AN5148" s="133">
        <v>46067</v>
      </c>
      <c r="AO5148" s="134"/>
      <c r="AP5148" s="135">
        <v>1288</v>
      </c>
      <c r="AQ5148" s="136"/>
      <c r="AR5148" s="118">
        <v>905000</v>
      </c>
      <c r="AS5148" s="119"/>
      <c r="AT5148" s="118">
        <f t="shared" ref="AT5148" si="6247">AR5148*0.1</f>
        <v>90500</v>
      </c>
      <c r="AU5148" s="119"/>
      <c r="AV5148" s="118">
        <v>17310</v>
      </c>
      <c r="AW5148" s="119"/>
      <c r="AX5148" s="118">
        <f t="shared" ref="AX5148" si="6248">SUM(AR5148:AW5148)</f>
        <v>1012810</v>
      </c>
      <c r="AY5148" s="119"/>
      <c r="AZ5148" s="137">
        <v>46070</v>
      </c>
    </row>
    <row r="5149" spans="1:52" ht="17.100000000000001" customHeight="1" thickBot="1">
      <c r="A5149" s="110"/>
      <c r="B5149" s="27" t="s">
        <v>1543</v>
      </c>
      <c r="C5149" s="27">
        <v>13197</v>
      </c>
      <c r="D5149" s="14" t="s">
        <v>1748</v>
      </c>
      <c r="E5149" s="112"/>
      <c r="F5149" s="139" t="s">
        <v>15241</v>
      </c>
      <c r="G5149" s="140"/>
      <c r="H5149" s="141"/>
      <c r="I5149" s="26">
        <v>35401</v>
      </c>
      <c r="J5149" s="117"/>
      <c r="K5149" s="120"/>
      <c r="L5149" s="121"/>
      <c r="M5149" s="120"/>
      <c r="N5149" s="121"/>
      <c r="O5149" s="120"/>
      <c r="P5149" s="121"/>
      <c r="Q5149" s="120"/>
      <c r="R5149" s="121"/>
      <c r="S5149" s="120"/>
      <c r="T5149" s="121"/>
      <c r="U5149" s="120"/>
      <c r="V5149" s="123"/>
      <c r="W5149" s="125"/>
      <c r="X5149" s="142" t="s">
        <v>4497</v>
      </c>
      <c r="Y5149" s="143"/>
      <c r="Z5149" s="143"/>
      <c r="AA5149" s="143"/>
      <c r="AB5149" s="144"/>
      <c r="AC5149" s="16" t="s">
        <v>21</v>
      </c>
      <c r="AD5149" s="17" t="s">
        <v>15604</v>
      </c>
      <c r="AE5149" s="145" t="s">
        <v>13842</v>
      </c>
      <c r="AF5149" s="146"/>
      <c r="AG5149" s="146"/>
      <c r="AH5149" s="146"/>
      <c r="AI5149" s="147"/>
      <c r="AJ5149" s="148"/>
      <c r="AK5149" s="143"/>
      <c r="AL5149" s="144"/>
      <c r="AM5149" s="22"/>
      <c r="AN5149" s="149" t="s">
        <v>2511</v>
      </c>
      <c r="AO5149" s="144"/>
      <c r="AP5149" s="148">
        <v>80162</v>
      </c>
      <c r="AQ5149" s="144"/>
      <c r="AR5149" s="120"/>
      <c r="AS5149" s="121"/>
      <c r="AT5149" s="120"/>
      <c r="AU5149" s="121"/>
      <c r="AV5149" s="120"/>
      <c r="AW5149" s="121"/>
      <c r="AX5149" s="120"/>
      <c r="AY5149" s="121"/>
      <c r="AZ5149" s="138"/>
    </row>
    <row r="5150" spans="1:52" ht="17.100000000000001" customHeight="1" thickTop="1">
      <c r="A5150" s="109" t="s">
        <v>15142</v>
      </c>
      <c r="B5150" s="28">
        <v>46038</v>
      </c>
      <c r="C5150" s="25">
        <v>2118</v>
      </c>
      <c r="D5150" s="13" t="s">
        <v>15242</v>
      </c>
      <c r="E5150" s="111"/>
      <c r="F5150" s="113" t="s">
        <v>15174</v>
      </c>
      <c r="G5150" s="114"/>
      <c r="H5150" s="115"/>
      <c r="I5150" s="24"/>
      <c r="J5150" s="116">
        <v>4.5</v>
      </c>
      <c r="K5150" s="118">
        <v>960000</v>
      </c>
      <c r="L5150" s="119"/>
      <c r="M5150" s="118">
        <f t="shared" ref="M5150" si="6249">K5150*0.1</f>
        <v>96000</v>
      </c>
      <c r="N5150" s="119"/>
      <c r="O5150" s="118">
        <v>0</v>
      </c>
      <c r="P5150" s="119"/>
      <c r="Q5150" s="118">
        <v>12470</v>
      </c>
      <c r="R5150" s="119"/>
      <c r="S5150" s="118">
        <v>16500</v>
      </c>
      <c r="T5150" s="119"/>
      <c r="U5150" s="118">
        <f t="shared" ref="U5150" si="6250">SUM(K5150:T5151)</f>
        <v>1084970</v>
      </c>
      <c r="V5150" s="122"/>
      <c r="W5150" s="124"/>
      <c r="X5150" s="126" t="s">
        <v>15609</v>
      </c>
      <c r="Y5150" s="127"/>
      <c r="Z5150" s="127"/>
      <c r="AA5150" s="127"/>
      <c r="AB5150" s="128"/>
      <c r="AC5150" s="15" t="s">
        <v>20</v>
      </c>
      <c r="AD5150" s="129"/>
      <c r="AE5150" s="130"/>
      <c r="AF5150" s="130"/>
      <c r="AG5150" s="130"/>
      <c r="AH5150" s="130"/>
      <c r="AI5150" s="131"/>
      <c r="AJ5150" s="132"/>
      <c r="AK5150" s="127"/>
      <c r="AL5150" s="128"/>
      <c r="AM5150" s="21"/>
      <c r="AN5150" s="133">
        <v>46130</v>
      </c>
      <c r="AO5150" s="134"/>
      <c r="AP5150" s="135">
        <v>1297</v>
      </c>
      <c r="AQ5150" s="136"/>
      <c r="AR5150" s="118">
        <v>1020000</v>
      </c>
      <c r="AS5150" s="119"/>
      <c r="AT5150" s="118">
        <f t="shared" ref="AT5150" si="6251">AR5150*0.1</f>
        <v>102000</v>
      </c>
      <c r="AU5150" s="119"/>
      <c r="AV5150" s="118">
        <v>12470</v>
      </c>
      <c r="AW5150" s="119"/>
      <c r="AX5150" s="118">
        <f t="shared" ref="AX5150" si="6252">SUM(AR5150:AW5150)</f>
        <v>1134470</v>
      </c>
      <c r="AY5150" s="119"/>
      <c r="AZ5150" s="137">
        <v>46139</v>
      </c>
    </row>
    <row r="5151" spans="1:52" ht="17.100000000000001" customHeight="1" thickBot="1">
      <c r="A5151" s="110"/>
      <c r="B5151" s="27" t="s">
        <v>1543</v>
      </c>
      <c r="C5151" s="27">
        <v>58368</v>
      </c>
      <c r="D5151" s="14" t="s">
        <v>1556</v>
      </c>
      <c r="E5151" s="112"/>
      <c r="F5151" s="139" t="s">
        <v>15243</v>
      </c>
      <c r="G5151" s="140"/>
      <c r="H5151" s="141"/>
      <c r="I5151" s="26">
        <v>28100</v>
      </c>
      <c r="J5151" s="117"/>
      <c r="K5151" s="120"/>
      <c r="L5151" s="121"/>
      <c r="M5151" s="120"/>
      <c r="N5151" s="121"/>
      <c r="O5151" s="120"/>
      <c r="P5151" s="121"/>
      <c r="Q5151" s="120"/>
      <c r="R5151" s="121"/>
      <c r="S5151" s="120"/>
      <c r="T5151" s="121"/>
      <c r="U5151" s="120"/>
      <c r="V5151" s="123"/>
      <c r="W5151" s="125"/>
      <c r="X5151" s="142" t="s">
        <v>2659</v>
      </c>
      <c r="Y5151" s="143"/>
      <c r="Z5151" s="143"/>
      <c r="AA5151" s="143"/>
      <c r="AB5151" s="144"/>
      <c r="AC5151" s="16" t="s">
        <v>21</v>
      </c>
      <c r="AD5151" s="17" t="s">
        <v>15604</v>
      </c>
      <c r="AE5151" s="145"/>
      <c r="AF5151" s="146"/>
      <c r="AG5151" s="146"/>
      <c r="AH5151" s="146"/>
      <c r="AI5151" s="147"/>
      <c r="AJ5151" s="148"/>
      <c r="AK5151" s="143"/>
      <c r="AL5151" s="144"/>
      <c r="AM5151" s="22"/>
      <c r="AN5151" s="149" t="s">
        <v>2511</v>
      </c>
      <c r="AO5151" s="144"/>
      <c r="AP5151" s="148">
        <v>80117</v>
      </c>
      <c r="AQ5151" s="144"/>
      <c r="AR5151" s="120"/>
      <c r="AS5151" s="121"/>
      <c r="AT5151" s="120"/>
      <c r="AU5151" s="121"/>
      <c r="AV5151" s="120"/>
      <c r="AW5151" s="121"/>
      <c r="AX5151" s="120"/>
      <c r="AY5151" s="121"/>
      <c r="AZ5151" s="138"/>
    </row>
    <row r="5152" spans="1:52" ht="17.100000000000001" customHeight="1" thickTop="1">
      <c r="A5152" s="109" t="s">
        <v>15143</v>
      </c>
      <c r="B5152" s="28">
        <v>46038</v>
      </c>
      <c r="C5152" s="25"/>
      <c r="D5152" s="13" t="s">
        <v>2092</v>
      </c>
      <c r="E5152" s="111"/>
      <c r="F5152" s="113" t="s">
        <v>15244</v>
      </c>
      <c r="G5152" s="114"/>
      <c r="H5152" s="115"/>
      <c r="I5152" s="24" t="s">
        <v>15245</v>
      </c>
      <c r="J5152" s="116">
        <v>4.5</v>
      </c>
      <c r="K5152" s="118">
        <v>2505000</v>
      </c>
      <c r="L5152" s="119"/>
      <c r="M5152" s="118">
        <f t="shared" ref="M5152" si="6253">K5152*0.1</f>
        <v>250500</v>
      </c>
      <c r="N5152" s="119"/>
      <c r="O5152" s="118">
        <v>0</v>
      </c>
      <c r="P5152" s="119"/>
      <c r="Q5152" s="118">
        <v>11740</v>
      </c>
      <c r="R5152" s="119"/>
      <c r="S5152" s="118">
        <v>0</v>
      </c>
      <c r="T5152" s="119"/>
      <c r="U5152" s="118">
        <f t="shared" ref="U5152" si="6254">SUM(K5152:T5153)</f>
        <v>2767240</v>
      </c>
      <c r="V5152" s="122"/>
      <c r="W5152" s="124"/>
      <c r="X5152" s="126" t="s">
        <v>16178</v>
      </c>
      <c r="Y5152" s="127"/>
      <c r="Z5152" s="127"/>
      <c r="AA5152" s="127"/>
      <c r="AB5152" s="128"/>
      <c r="AC5152" s="15" t="s">
        <v>20</v>
      </c>
      <c r="AD5152" s="129" t="s">
        <v>3828</v>
      </c>
      <c r="AE5152" s="130"/>
      <c r="AF5152" s="130"/>
      <c r="AG5152" s="130"/>
      <c r="AH5152" s="130"/>
      <c r="AI5152" s="131"/>
      <c r="AJ5152" s="132"/>
      <c r="AK5152" s="127"/>
      <c r="AL5152" s="128"/>
      <c r="AM5152" s="21"/>
      <c r="AN5152" s="133">
        <v>46053</v>
      </c>
      <c r="AO5152" s="134"/>
      <c r="AP5152" s="135">
        <v>1286</v>
      </c>
      <c r="AQ5152" s="136"/>
      <c r="AR5152" s="118">
        <v>2640000</v>
      </c>
      <c r="AS5152" s="119"/>
      <c r="AT5152" s="118">
        <f t="shared" ref="AT5152" si="6255">AR5152*0.1</f>
        <v>264000</v>
      </c>
      <c r="AU5152" s="119"/>
      <c r="AV5152" s="118">
        <v>11740</v>
      </c>
      <c r="AW5152" s="119"/>
      <c r="AX5152" s="118">
        <f t="shared" ref="AX5152" si="6256">SUM(AR5152:AW5152)</f>
        <v>2915740</v>
      </c>
      <c r="AY5152" s="119"/>
      <c r="AZ5152" s="137">
        <v>46058</v>
      </c>
    </row>
    <row r="5153" spans="1:52" ht="17.100000000000001" customHeight="1" thickBot="1">
      <c r="A5153" s="110"/>
      <c r="B5153" s="27" t="s">
        <v>1718</v>
      </c>
      <c r="C5153" s="27" t="s">
        <v>15179</v>
      </c>
      <c r="D5153" s="14" t="s">
        <v>2601</v>
      </c>
      <c r="E5153" s="112"/>
      <c r="F5153" s="139" t="s">
        <v>15180</v>
      </c>
      <c r="G5153" s="140"/>
      <c r="H5153" s="141"/>
      <c r="I5153" s="26">
        <v>20719</v>
      </c>
      <c r="J5153" s="117"/>
      <c r="K5153" s="120"/>
      <c r="L5153" s="121"/>
      <c r="M5153" s="120"/>
      <c r="N5153" s="121"/>
      <c r="O5153" s="120"/>
      <c r="P5153" s="121"/>
      <c r="Q5153" s="120"/>
      <c r="R5153" s="121"/>
      <c r="S5153" s="120"/>
      <c r="T5153" s="121"/>
      <c r="U5153" s="120"/>
      <c r="V5153" s="123"/>
      <c r="W5153" s="125"/>
      <c r="X5153" s="142" t="s">
        <v>16179</v>
      </c>
      <c r="Y5153" s="143"/>
      <c r="Z5153" s="143"/>
      <c r="AA5153" s="143"/>
      <c r="AB5153" s="144"/>
      <c r="AC5153" s="16" t="s">
        <v>21</v>
      </c>
      <c r="AD5153" s="17" t="s">
        <v>16172</v>
      </c>
      <c r="AE5153" s="162" t="s">
        <v>16719</v>
      </c>
      <c r="AF5153" s="146"/>
      <c r="AG5153" s="146"/>
      <c r="AH5153" s="146"/>
      <c r="AI5153" s="147"/>
      <c r="AJ5153" s="148"/>
      <c r="AK5153" s="143"/>
      <c r="AL5153" s="144"/>
      <c r="AM5153" s="22"/>
      <c r="AN5153" s="149" t="s">
        <v>2511</v>
      </c>
      <c r="AO5153" s="144"/>
      <c r="AP5153" s="148">
        <v>37378</v>
      </c>
      <c r="AQ5153" s="144"/>
      <c r="AR5153" s="120"/>
      <c r="AS5153" s="121"/>
      <c r="AT5153" s="120"/>
      <c r="AU5153" s="121"/>
      <c r="AV5153" s="120"/>
      <c r="AW5153" s="121"/>
      <c r="AX5153" s="120"/>
      <c r="AY5153" s="121"/>
      <c r="AZ5153" s="138"/>
    </row>
    <row r="5154" spans="1:52" ht="17.100000000000001" customHeight="1" thickTop="1">
      <c r="A5154" s="109" t="s">
        <v>15144</v>
      </c>
      <c r="B5154" s="28">
        <v>46038</v>
      </c>
      <c r="C5154" s="25"/>
      <c r="D5154" s="13" t="s">
        <v>859</v>
      </c>
      <c r="E5154" s="111"/>
      <c r="F5154" s="113" t="s">
        <v>15246</v>
      </c>
      <c r="G5154" s="114"/>
      <c r="H5154" s="115"/>
      <c r="I5154" s="24" t="s">
        <v>5599</v>
      </c>
      <c r="J5154" s="116">
        <v>4.5</v>
      </c>
      <c r="K5154" s="118">
        <v>3480000</v>
      </c>
      <c r="L5154" s="119"/>
      <c r="M5154" s="118">
        <f t="shared" ref="M5154" si="6257">K5154*0.1</f>
        <v>348000</v>
      </c>
      <c r="N5154" s="119"/>
      <c r="O5154" s="118">
        <v>7200</v>
      </c>
      <c r="P5154" s="119"/>
      <c r="Q5154" s="118">
        <v>14900</v>
      </c>
      <c r="R5154" s="119"/>
      <c r="S5154" s="118">
        <v>0</v>
      </c>
      <c r="T5154" s="119"/>
      <c r="U5154" s="118">
        <f t="shared" ref="U5154" si="6258">SUM(K5154:T5155)</f>
        <v>3850100</v>
      </c>
      <c r="V5154" s="122"/>
      <c r="W5154" s="124"/>
      <c r="X5154" s="126" t="s">
        <v>16175</v>
      </c>
      <c r="Y5154" s="127"/>
      <c r="Z5154" s="127"/>
      <c r="AA5154" s="127"/>
      <c r="AB5154" s="128"/>
      <c r="AC5154" s="15" t="s">
        <v>20</v>
      </c>
      <c r="AD5154" s="129" t="s">
        <v>3868</v>
      </c>
      <c r="AE5154" s="130"/>
      <c r="AF5154" s="130"/>
      <c r="AG5154" s="130"/>
      <c r="AH5154" s="130"/>
      <c r="AI5154" s="131"/>
      <c r="AJ5154" s="132"/>
      <c r="AK5154" s="127"/>
      <c r="AL5154" s="128"/>
      <c r="AM5154" s="21" t="s">
        <v>18716</v>
      </c>
      <c r="AN5154" s="133">
        <v>46109</v>
      </c>
      <c r="AO5154" s="134"/>
      <c r="AP5154" s="135">
        <v>1294</v>
      </c>
      <c r="AQ5154" s="136"/>
      <c r="AR5154" s="118">
        <v>2855000</v>
      </c>
      <c r="AS5154" s="119"/>
      <c r="AT5154" s="118">
        <f t="shared" ref="AT5154" si="6259">AR5154*0.1</f>
        <v>285500</v>
      </c>
      <c r="AU5154" s="119"/>
      <c r="AV5154" s="118">
        <v>14900</v>
      </c>
      <c r="AW5154" s="119"/>
      <c r="AX5154" s="118">
        <f t="shared" ref="AX5154" si="6260">SUM(AR5154:AW5154)</f>
        <v>3155400</v>
      </c>
      <c r="AY5154" s="119"/>
      <c r="AZ5154" s="137">
        <v>46112</v>
      </c>
    </row>
    <row r="5155" spans="1:52" ht="17.100000000000001" customHeight="1" thickBot="1">
      <c r="A5155" s="110"/>
      <c r="B5155" s="27" t="s">
        <v>1718</v>
      </c>
      <c r="C5155" s="27" t="s">
        <v>15181</v>
      </c>
      <c r="D5155" s="14" t="s">
        <v>2601</v>
      </c>
      <c r="E5155" s="112"/>
      <c r="F5155" s="139" t="s">
        <v>15182</v>
      </c>
      <c r="G5155" s="140"/>
      <c r="H5155" s="141"/>
      <c r="I5155" s="26">
        <v>46944</v>
      </c>
      <c r="J5155" s="117"/>
      <c r="K5155" s="120"/>
      <c r="L5155" s="121"/>
      <c r="M5155" s="120"/>
      <c r="N5155" s="121"/>
      <c r="O5155" s="120"/>
      <c r="P5155" s="121"/>
      <c r="Q5155" s="120"/>
      <c r="R5155" s="121"/>
      <c r="S5155" s="120"/>
      <c r="T5155" s="121"/>
      <c r="U5155" s="120"/>
      <c r="V5155" s="123"/>
      <c r="W5155" s="125"/>
      <c r="X5155" s="142" t="s">
        <v>16176</v>
      </c>
      <c r="Y5155" s="143"/>
      <c r="Z5155" s="143"/>
      <c r="AA5155" s="143"/>
      <c r="AB5155" s="144"/>
      <c r="AC5155" s="16" t="s">
        <v>21</v>
      </c>
      <c r="AD5155" s="17" t="s">
        <v>16172</v>
      </c>
      <c r="AE5155" s="145" t="s">
        <v>16177</v>
      </c>
      <c r="AF5155" s="146"/>
      <c r="AG5155" s="146"/>
      <c r="AH5155" s="146"/>
      <c r="AI5155" s="147"/>
      <c r="AJ5155" s="148"/>
      <c r="AK5155" s="143"/>
      <c r="AL5155" s="144"/>
      <c r="AM5155" s="22" t="s">
        <v>3178</v>
      </c>
      <c r="AN5155" s="149" t="s">
        <v>21802</v>
      </c>
      <c r="AO5155" s="144"/>
      <c r="AP5155" s="148">
        <v>33010</v>
      </c>
      <c r="AQ5155" s="144"/>
      <c r="AR5155" s="120"/>
      <c r="AS5155" s="121"/>
      <c r="AT5155" s="120"/>
      <c r="AU5155" s="121"/>
      <c r="AV5155" s="120"/>
      <c r="AW5155" s="121"/>
      <c r="AX5155" s="120"/>
      <c r="AY5155" s="121"/>
      <c r="AZ5155" s="138"/>
    </row>
    <row r="5156" spans="1:52" ht="17.100000000000001" customHeight="1" thickTop="1">
      <c r="A5156" s="109" t="s">
        <v>15145</v>
      </c>
      <c r="B5156" s="28">
        <v>46038</v>
      </c>
      <c r="C5156" s="25"/>
      <c r="D5156" s="13" t="s">
        <v>2606</v>
      </c>
      <c r="E5156" s="111"/>
      <c r="F5156" s="113" t="s">
        <v>15248</v>
      </c>
      <c r="G5156" s="114"/>
      <c r="H5156" s="115"/>
      <c r="I5156" s="24" t="s">
        <v>15249</v>
      </c>
      <c r="J5156" s="150" t="s">
        <v>1715</v>
      </c>
      <c r="K5156" s="118">
        <v>1155000</v>
      </c>
      <c r="L5156" s="119"/>
      <c r="M5156" s="118">
        <f t="shared" ref="M5156" si="6261">K5156*0.1</f>
        <v>115500</v>
      </c>
      <c r="N5156" s="119"/>
      <c r="O5156" s="118">
        <v>5000</v>
      </c>
      <c r="P5156" s="119"/>
      <c r="Q5156" s="118">
        <v>10360</v>
      </c>
      <c r="R5156" s="119"/>
      <c r="S5156" s="118">
        <v>0</v>
      </c>
      <c r="T5156" s="119"/>
      <c r="U5156" s="118">
        <f t="shared" ref="U5156" si="6262">SUM(K5156:T5157)</f>
        <v>1285860</v>
      </c>
      <c r="V5156" s="122"/>
      <c r="W5156" s="124"/>
      <c r="X5156" s="126" t="s">
        <v>16446</v>
      </c>
      <c r="Y5156" s="127"/>
      <c r="Z5156" s="127"/>
      <c r="AA5156" s="127"/>
      <c r="AB5156" s="128"/>
      <c r="AC5156" s="15" t="s">
        <v>20</v>
      </c>
      <c r="AD5156" s="129" t="s">
        <v>4435</v>
      </c>
      <c r="AE5156" s="130"/>
      <c r="AF5156" s="130"/>
      <c r="AG5156" s="130"/>
      <c r="AH5156" s="130"/>
      <c r="AI5156" s="131"/>
      <c r="AJ5156" s="132"/>
      <c r="AK5156" s="127"/>
      <c r="AL5156" s="128"/>
      <c r="AM5156" s="21"/>
      <c r="AN5156" s="133">
        <v>46057</v>
      </c>
      <c r="AO5156" s="134"/>
      <c r="AP5156" s="135">
        <v>1003</v>
      </c>
      <c r="AQ5156" s="136"/>
      <c r="AR5156" s="118">
        <v>1165000</v>
      </c>
      <c r="AS5156" s="119"/>
      <c r="AT5156" s="118">
        <f t="shared" ref="AT5156" si="6263">AR5156*0.1</f>
        <v>116500</v>
      </c>
      <c r="AU5156" s="119"/>
      <c r="AV5156" s="118">
        <v>10360</v>
      </c>
      <c r="AW5156" s="119"/>
      <c r="AX5156" s="118">
        <f t="shared" ref="AX5156" si="6264">SUM(AR5156:AW5156)</f>
        <v>1291860</v>
      </c>
      <c r="AY5156" s="119"/>
      <c r="AZ5156" s="137">
        <v>46062</v>
      </c>
    </row>
    <row r="5157" spans="1:52" ht="17.100000000000001" customHeight="1" thickBot="1">
      <c r="A5157" s="110"/>
      <c r="B5157" s="27" t="s">
        <v>1718</v>
      </c>
      <c r="C5157" s="27" t="s">
        <v>15183</v>
      </c>
      <c r="D5157" s="14" t="s">
        <v>904</v>
      </c>
      <c r="E5157" s="112"/>
      <c r="F5157" s="139" t="s">
        <v>15184</v>
      </c>
      <c r="G5157" s="140"/>
      <c r="H5157" s="141"/>
      <c r="I5157" s="26">
        <v>51366</v>
      </c>
      <c r="J5157" s="117"/>
      <c r="K5157" s="120"/>
      <c r="L5157" s="121"/>
      <c r="M5157" s="120"/>
      <c r="N5157" s="121"/>
      <c r="O5157" s="120"/>
      <c r="P5157" s="121"/>
      <c r="Q5157" s="120"/>
      <c r="R5157" s="121"/>
      <c r="S5157" s="120"/>
      <c r="T5157" s="121"/>
      <c r="U5157" s="120"/>
      <c r="V5157" s="123"/>
      <c r="W5157" s="125"/>
      <c r="X5157" s="142" t="s">
        <v>16447</v>
      </c>
      <c r="Y5157" s="143"/>
      <c r="Z5157" s="143"/>
      <c r="AA5157" s="143"/>
      <c r="AB5157" s="144"/>
      <c r="AC5157" s="16" t="s">
        <v>21</v>
      </c>
      <c r="AD5157" s="17" t="s">
        <v>16392</v>
      </c>
      <c r="AE5157" s="145" t="s">
        <v>7841</v>
      </c>
      <c r="AF5157" s="146"/>
      <c r="AG5157" s="146"/>
      <c r="AH5157" s="146"/>
      <c r="AI5157" s="147"/>
      <c r="AJ5157" s="148"/>
      <c r="AK5157" s="143"/>
      <c r="AL5157" s="144"/>
      <c r="AM5157" s="22"/>
      <c r="AN5157" s="149" t="s">
        <v>2794</v>
      </c>
      <c r="AO5157" s="144"/>
      <c r="AP5157" s="148">
        <v>1129</v>
      </c>
      <c r="AQ5157" s="144"/>
      <c r="AR5157" s="120"/>
      <c r="AS5157" s="121"/>
      <c r="AT5157" s="120"/>
      <c r="AU5157" s="121"/>
      <c r="AV5157" s="120"/>
      <c r="AW5157" s="121"/>
      <c r="AX5157" s="120"/>
      <c r="AY5157" s="121"/>
      <c r="AZ5157" s="138"/>
    </row>
    <row r="5158" spans="1:52" ht="17.100000000000001" customHeight="1" thickTop="1">
      <c r="A5158" s="109" t="s">
        <v>15146</v>
      </c>
      <c r="B5158" s="28">
        <v>46038</v>
      </c>
      <c r="C5158" s="25"/>
      <c r="D5158" s="13" t="s">
        <v>1922</v>
      </c>
      <c r="E5158" s="111"/>
      <c r="F5158" s="113" t="s">
        <v>15250</v>
      </c>
      <c r="G5158" s="114"/>
      <c r="H5158" s="115"/>
      <c r="I5158" s="24" t="s">
        <v>15251</v>
      </c>
      <c r="J5158" s="116">
        <v>4.5</v>
      </c>
      <c r="K5158" s="118">
        <v>3580000</v>
      </c>
      <c r="L5158" s="119"/>
      <c r="M5158" s="118">
        <f t="shared" ref="M5158" si="6265">K5158*0.1</f>
        <v>358000</v>
      </c>
      <c r="N5158" s="119"/>
      <c r="O5158" s="118">
        <v>2600</v>
      </c>
      <c r="P5158" s="119"/>
      <c r="Q5158" s="118">
        <v>13390</v>
      </c>
      <c r="R5158" s="119"/>
      <c r="S5158" s="118">
        <v>0</v>
      </c>
      <c r="T5158" s="119"/>
      <c r="U5158" s="118">
        <f t="shared" ref="U5158" si="6266">SUM(K5158:T5159)</f>
        <v>3953990</v>
      </c>
      <c r="V5158" s="122"/>
      <c r="W5158" s="124"/>
      <c r="X5158" s="126" t="s">
        <v>17431</v>
      </c>
      <c r="Y5158" s="127"/>
      <c r="Z5158" s="127"/>
      <c r="AA5158" s="127"/>
      <c r="AB5158" s="128"/>
      <c r="AC5158" s="15" t="s">
        <v>20</v>
      </c>
      <c r="AD5158" s="129" t="s">
        <v>3868</v>
      </c>
      <c r="AE5158" s="130"/>
      <c r="AF5158" s="130"/>
      <c r="AG5158" s="130"/>
      <c r="AH5158" s="130"/>
      <c r="AI5158" s="131"/>
      <c r="AJ5158" s="132"/>
      <c r="AK5158" s="127"/>
      <c r="AL5158" s="128"/>
      <c r="AM5158" s="21"/>
      <c r="AN5158" s="133">
        <v>46064</v>
      </c>
      <c r="AO5158" s="134"/>
      <c r="AP5158" s="135">
        <v>1004</v>
      </c>
      <c r="AQ5158" s="136"/>
      <c r="AR5158" s="118">
        <v>3710000</v>
      </c>
      <c r="AS5158" s="119"/>
      <c r="AT5158" s="118">
        <f t="shared" ref="AT5158" si="6267">AR5158*0.1</f>
        <v>371000</v>
      </c>
      <c r="AU5158" s="119"/>
      <c r="AV5158" s="118">
        <v>13390</v>
      </c>
      <c r="AW5158" s="119"/>
      <c r="AX5158" s="118">
        <f t="shared" ref="AX5158" si="6268">SUM(AR5158:AW5158)</f>
        <v>4094390</v>
      </c>
      <c r="AY5158" s="119"/>
      <c r="AZ5158" s="137">
        <v>46069</v>
      </c>
    </row>
    <row r="5159" spans="1:52" ht="17.100000000000001" customHeight="1" thickBot="1">
      <c r="A5159" s="110"/>
      <c r="B5159" s="27" t="s">
        <v>1718</v>
      </c>
      <c r="C5159" s="27" t="s">
        <v>15185</v>
      </c>
      <c r="D5159" s="14" t="s">
        <v>1700</v>
      </c>
      <c r="E5159" s="112"/>
      <c r="F5159" s="139" t="s">
        <v>15186</v>
      </c>
      <c r="G5159" s="140"/>
      <c r="H5159" s="141"/>
      <c r="I5159" s="26">
        <v>32508</v>
      </c>
      <c r="J5159" s="117"/>
      <c r="K5159" s="120"/>
      <c r="L5159" s="121"/>
      <c r="M5159" s="120"/>
      <c r="N5159" s="121"/>
      <c r="O5159" s="120"/>
      <c r="P5159" s="121"/>
      <c r="Q5159" s="120"/>
      <c r="R5159" s="121"/>
      <c r="S5159" s="120"/>
      <c r="T5159" s="121"/>
      <c r="U5159" s="120"/>
      <c r="V5159" s="123"/>
      <c r="W5159" s="125"/>
      <c r="X5159" s="142" t="s">
        <v>12060</v>
      </c>
      <c r="Y5159" s="143"/>
      <c r="Z5159" s="143"/>
      <c r="AA5159" s="143"/>
      <c r="AB5159" s="144"/>
      <c r="AC5159" s="16" t="s">
        <v>21</v>
      </c>
      <c r="AD5159" s="17" t="s">
        <v>1845</v>
      </c>
      <c r="AE5159" s="145" t="s">
        <v>13654</v>
      </c>
      <c r="AF5159" s="146"/>
      <c r="AG5159" s="146"/>
      <c r="AH5159" s="146"/>
      <c r="AI5159" s="147"/>
      <c r="AJ5159" s="148"/>
      <c r="AK5159" s="143"/>
      <c r="AL5159" s="144"/>
      <c r="AM5159" s="22"/>
      <c r="AN5159" s="149" t="s">
        <v>2794</v>
      </c>
      <c r="AO5159" s="144"/>
      <c r="AP5159" s="148">
        <v>8009</v>
      </c>
      <c r="AQ5159" s="144"/>
      <c r="AR5159" s="120"/>
      <c r="AS5159" s="121"/>
      <c r="AT5159" s="120"/>
      <c r="AU5159" s="121"/>
      <c r="AV5159" s="120"/>
      <c r="AW5159" s="121"/>
      <c r="AX5159" s="120"/>
      <c r="AY5159" s="121"/>
      <c r="AZ5159" s="138"/>
    </row>
    <row r="5160" spans="1:52" ht="17.100000000000001" customHeight="1" thickTop="1">
      <c r="A5160" s="109" t="s">
        <v>15175</v>
      </c>
      <c r="B5160" s="28">
        <v>46038</v>
      </c>
      <c r="C5160" s="25"/>
      <c r="D5160" s="13" t="s">
        <v>4287</v>
      </c>
      <c r="E5160" s="111"/>
      <c r="F5160" s="113" t="s">
        <v>15252</v>
      </c>
      <c r="G5160" s="114"/>
      <c r="H5160" s="115"/>
      <c r="I5160" s="24" t="s">
        <v>5091</v>
      </c>
      <c r="J5160" s="116">
        <v>4</v>
      </c>
      <c r="K5160" s="118">
        <v>2335000</v>
      </c>
      <c r="L5160" s="119"/>
      <c r="M5160" s="118">
        <f t="shared" ref="M5160" si="6269">K5160*0.1</f>
        <v>233500</v>
      </c>
      <c r="N5160" s="119"/>
      <c r="O5160" s="118">
        <v>7200</v>
      </c>
      <c r="P5160" s="119"/>
      <c r="Q5160" s="118">
        <v>11710</v>
      </c>
      <c r="R5160" s="119"/>
      <c r="S5160" s="118">
        <v>0</v>
      </c>
      <c r="T5160" s="119"/>
      <c r="U5160" s="118">
        <f t="shared" ref="U5160" si="6270">SUM(K5160:T5161)</f>
        <v>2587410</v>
      </c>
      <c r="V5160" s="122"/>
      <c r="W5160" s="124"/>
      <c r="X5160" s="126" t="s">
        <v>16569</v>
      </c>
      <c r="Y5160" s="127"/>
      <c r="Z5160" s="127"/>
      <c r="AA5160" s="127"/>
      <c r="AB5160" s="128"/>
      <c r="AC5160" s="15" t="s">
        <v>20</v>
      </c>
      <c r="AD5160" s="129" t="s">
        <v>3868</v>
      </c>
      <c r="AE5160" s="130"/>
      <c r="AF5160" s="130"/>
      <c r="AG5160" s="130"/>
      <c r="AH5160" s="130"/>
      <c r="AI5160" s="131"/>
      <c r="AJ5160" s="132"/>
      <c r="AK5160" s="127"/>
      <c r="AL5160" s="128"/>
      <c r="AM5160" s="21"/>
      <c r="AN5160" s="133">
        <v>46057</v>
      </c>
      <c r="AO5160" s="134"/>
      <c r="AP5160" s="135">
        <v>1003</v>
      </c>
      <c r="AQ5160" s="136"/>
      <c r="AR5160" s="118">
        <v>2490000</v>
      </c>
      <c r="AS5160" s="119"/>
      <c r="AT5160" s="118">
        <f t="shared" ref="AT5160" si="6271">AR5160*0.1</f>
        <v>249000</v>
      </c>
      <c r="AU5160" s="119"/>
      <c r="AV5160" s="118">
        <v>11710</v>
      </c>
      <c r="AW5160" s="119"/>
      <c r="AX5160" s="118">
        <f t="shared" ref="AX5160" si="6272">SUM(AR5160:AW5160)</f>
        <v>2750710</v>
      </c>
      <c r="AY5160" s="119"/>
      <c r="AZ5160" s="137">
        <v>46062</v>
      </c>
    </row>
    <row r="5161" spans="1:52" ht="17.100000000000001" customHeight="1" thickBot="1">
      <c r="A5161" s="110"/>
      <c r="B5161" s="27" t="s">
        <v>1718</v>
      </c>
      <c r="C5161" s="27" t="s">
        <v>15188</v>
      </c>
      <c r="D5161" s="14" t="s">
        <v>1592</v>
      </c>
      <c r="E5161" s="112"/>
      <c r="F5161" s="139" t="s">
        <v>15189</v>
      </c>
      <c r="G5161" s="140"/>
      <c r="H5161" s="141"/>
      <c r="I5161" s="26">
        <v>25272</v>
      </c>
      <c r="J5161" s="117"/>
      <c r="K5161" s="120"/>
      <c r="L5161" s="121"/>
      <c r="M5161" s="120"/>
      <c r="N5161" s="121"/>
      <c r="O5161" s="120"/>
      <c r="P5161" s="121"/>
      <c r="Q5161" s="120"/>
      <c r="R5161" s="121"/>
      <c r="S5161" s="120"/>
      <c r="T5161" s="121"/>
      <c r="U5161" s="120"/>
      <c r="V5161" s="123"/>
      <c r="W5161" s="125"/>
      <c r="X5161" s="142" t="s">
        <v>16570</v>
      </c>
      <c r="Y5161" s="143"/>
      <c r="Z5161" s="143"/>
      <c r="AA5161" s="143"/>
      <c r="AB5161" s="144"/>
      <c r="AC5161" s="16" t="s">
        <v>21</v>
      </c>
      <c r="AD5161" s="17" t="s">
        <v>2316</v>
      </c>
      <c r="AE5161" s="145" t="s">
        <v>16734</v>
      </c>
      <c r="AF5161" s="146"/>
      <c r="AG5161" s="146"/>
      <c r="AH5161" s="146"/>
      <c r="AI5161" s="147"/>
      <c r="AJ5161" s="148"/>
      <c r="AK5161" s="143"/>
      <c r="AL5161" s="144"/>
      <c r="AM5161" s="22"/>
      <c r="AN5161" s="149" t="s">
        <v>2794</v>
      </c>
      <c r="AO5161" s="144"/>
      <c r="AP5161" s="148">
        <v>1113</v>
      </c>
      <c r="AQ5161" s="144"/>
      <c r="AR5161" s="120"/>
      <c r="AS5161" s="121"/>
      <c r="AT5161" s="120"/>
      <c r="AU5161" s="121"/>
      <c r="AV5161" s="120"/>
      <c r="AW5161" s="121"/>
      <c r="AX5161" s="120"/>
      <c r="AY5161" s="121"/>
      <c r="AZ5161" s="138"/>
    </row>
    <row r="5162" spans="1:52" ht="17.100000000000001" customHeight="1" thickTop="1">
      <c r="A5162" s="109" t="s">
        <v>15176</v>
      </c>
      <c r="B5162" s="28">
        <v>46038</v>
      </c>
      <c r="C5162" s="25"/>
      <c r="D5162" s="13" t="s">
        <v>1606</v>
      </c>
      <c r="E5162" s="111"/>
      <c r="F5162" s="113" t="s">
        <v>15253</v>
      </c>
      <c r="G5162" s="114"/>
      <c r="H5162" s="115"/>
      <c r="I5162" s="24" t="s">
        <v>11263</v>
      </c>
      <c r="J5162" s="116">
        <v>4</v>
      </c>
      <c r="K5162" s="118">
        <v>2105000</v>
      </c>
      <c r="L5162" s="119"/>
      <c r="M5162" s="118">
        <f t="shared" ref="M5162" si="6273">K5162*0.1</f>
        <v>210500</v>
      </c>
      <c r="N5162" s="119"/>
      <c r="O5162" s="118">
        <v>6500</v>
      </c>
      <c r="P5162" s="119"/>
      <c r="Q5162" s="118">
        <v>14330</v>
      </c>
      <c r="R5162" s="119"/>
      <c r="S5162" s="118">
        <v>0</v>
      </c>
      <c r="T5162" s="119"/>
      <c r="U5162" s="118">
        <f t="shared" ref="U5162" si="6274">SUM(K5162:T5163)</f>
        <v>2336330</v>
      </c>
      <c r="V5162" s="122"/>
      <c r="W5162" s="124"/>
      <c r="X5162" s="126" t="s">
        <v>17004</v>
      </c>
      <c r="Y5162" s="127"/>
      <c r="Z5162" s="127"/>
      <c r="AA5162" s="127"/>
      <c r="AB5162" s="128"/>
      <c r="AC5162" s="15" t="s">
        <v>20</v>
      </c>
      <c r="AD5162" s="129" t="s">
        <v>15254</v>
      </c>
      <c r="AE5162" s="130"/>
      <c r="AF5162" s="130"/>
      <c r="AG5162" s="130"/>
      <c r="AH5162" s="130"/>
      <c r="AI5162" s="131"/>
      <c r="AJ5162" s="132"/>
      <c r="AK5162" s="127"/>
      <c r="AL5162" s="128"/>
      <c r="AM5162" s="21"/>
      <c r="AN5162" s="133">
        <v>46071</v>
      </c>
      <c r="AO5162" s="134"/>
      <c r="AP5162" s="135">
        <v>1005</v>
      </c>
      <c r="AQ5162" s="136"/>
      <c r="AR5162" s="118">
        <v>2155000</v>
      </c>
      <c r="AS5162" s="119"/>
      <c r="AT5162" s="118">
        <f t="shared" ref="AT5162" si="6275">AR5162*0.1</f>
        <v>215500</v>
      </c>
      <c r="AU5162" s="119"/>
      <c r="AV5162" s="118">
        <v>14330</v>
      </c>
      <c r="AW5162" s="119"/>
      <c r="AX5162" s="118">
        <f t="shared" ref="AX5162" si="6276">SUM(AR5162:AW5162)</f>
        <v>2384830</v>
      </c>
      <c r="AY5162" s="119"/>
      <c r="AZ5162" s="137">
        <v>46073</v>
      </c>
    </row>
    <row r="5163" spans="1:52" ht="17.100000000000001" customHeight="1" thickBot="1">
      <c r="A5163" s="110"/>
      <c r="B5163" s="27" t="s">
        <v>1718</v>
      </c>
      <c r="C5163" s="27" t="s">
        <v>15190</v>
      </c>
      <c r="D5163" s="14" t="s">
        <v>2116</v>
      </c>
      <c r="E5163" s="112"/>
      <c r="F5163" s="139" t="s">
        <v>15191</v>
      </c>
      <c r="G5163" s="140"/>
      <c r="H5163" s="141"/>
      <c r="I5163" s="26">
        <v>114517</v>
      </c>
      <c r="J5163" s="117"/>
      <c r="K5163" s="120"/>
      <c r="L5163" s="121"/>
      <c r="M5163" s="120"/>
      <c r="N5163" s="121"/>
      <c r="O5163" s="120"/>
      <c r="P5163" s="121"/>
      <c r="Q5163" s="120"/>
      <c r="R5163" s="121"/>
      <c r="S5163" s="120"/>
      <c r="T5163" s="121"/>
      <c r="U5163" s="120"/>
      <c r="V5163" s="123"/>
      <c r="W5163" s="125"/>
      <c r="X5163" s="142" t="s">
        <v>17005</v>
      </c>
      <c r="Y5163" s="143"/>
      <c r="Z5163" s="143"/>
      <c r="AA5163" s="143"/>
      <c r="AB5163" s="144"/>
      <c r="AC5163" s="16" t="s">
        <v>21</v>
      </c>
      <c r="AD5163" s="17" t="s">
        <v>3322</v>
      </c>
      <c r="AE5163" s="145" t="s">
        <v>17006</v>
      </c>
      <c r="AF5163" s="146"/>
      <c r="AG5163" s="146"/>
      <c r="AH5163" s="146"/>
      <c r="AI5163" s="147"/>
      <c r="AJ5163" s="148"/>
      <c r="AK5163" s="143"/>
      <c r="AL5163" s="144"/>
      <c r="AM5163" s="22"/>
      <c r="AN5163" s="149" t="s">
        <v>2794</v>
      </c>
      <c r="AO5163" s="144"/>
      <c r="AP5163" s="148">
        <v>4023</v>
      </c>
      <c r="AQ5163" s="144"/>
      <c r="AR5163" s="120"/>
      <c r="AS5163" s="121"/>
      <c r="AT5163" s="120"/>
      <c r="AU5163" s="121"/>
      <c r="AV5163" s="120"/>
      <c r="AW5163" s="121"/>
      <c r="AX5163" s="120"/>
      <c r="AY5163" s="121"/>
      <c r="AZ5163" s="138"/>
    </row>
    <row r="5164" spans="1:52" ht="17.100000000000001" customHeight="1" thickTop="1">
      <c r="A5164" s="109" t="s">
        <v>15177</v>
      </c>
      <c r="B5164" s="28">
        <v>46038</v>
      </c>
      <c r="C5164" s="25"/>
      <c r="D5164" s="13" t="s">
        <v>3921</v>
      </c>
      <c r="E5164" s="111"/>
      <c r="F5164" s="113" t="s">
        <v>15255</v>
      </c>
      <c r="G5164" s="114"/>
      <c r="H5164" s="115"/>
      <c r="I5164" s="24" t="s">
        <v>5495</v>
      </c>
      <c r="J5164" s="116">
        <v>4</v>
      </c>
      <c r="K5164" s="118">
        <v>1310000</v>
      </c>
      <c r="L5164" s="119"/>
      <c r="M5164" s="118">
        <f t="shared" ref="M5164" si="6277">K5164*0.1</f>
        <v>131000</v>
      </c>
      <c r="N5164" s="119"/>
      <c r="O5164" s="118">
        <v>0</v>
      </c>
      <c r="P5164" s="119"/>
      <c r="Q5164" s="118">
        <v>10190</v>
      </c>
      <c r="R5164" s="119"/>
      <c r="S5164" s="118">
        <v>0</v>
      </c>
      <c r="T5164" s="119"/>
      <c r="U5164" s="118">
        <f t="shared" ref="U5164" si="6278">SUM(K5164:T5165)</f>
        <v>1451190</v>
      </c>
      <c r="V5164" s="122"/>
      <c r="W5164" s="124"/>
      <c r="X5164" s="126" t="s">
        <v>19997</v>
      </c>
      <c r="Y5164" s="127"/>
      <c r="Z5164" s="127"/>
      <c r="AA5164" s="127"/>
      <c r="AB5164" s="128"/>
      <c r="AC5164" s="15" t="s">
        <v>20</v>
      </c>
      <c r="AD5164" s="129"/>
      <c r="AE5164" s="130"/>
      <c r="AF5164" s="130"/>
      <c r="AG5164" s="130"/>
      <c r="AH5164" s="130"/>
      <c r="AI5164" s="131"/>
      <c r="AJ5164" s="132"/>
      <c r="AK5164" s="127"/>
      <c r="AL5164" s="128"/>
      <c r="AM5164" s="21"/>
      <c r="AN5164" s="133">
        <v>46102</v>
      </c>
      <c r="AO5164" s="134"/>
      <c r="AP5164" s="135">
        <v>1293</v>
      </c>
      <c r="AQ5164" s="136"/>
      <c r="AR5164" s="118">
        <v>1390000</v>
      </c>
      <c r="AS5164" s="119"/>
      <c r="AT5164" s="118">
        <f t="shared" ref="AT5164" si="6279">AR5164*0.1</f>
        <v>139000</v>
      </c>
      <c r="AU5164" s="119"/>
      <c r="AV5164" s="118">
        <v>10190</v>
      </c>
      <c r="AW5164" s="119"/>
      <c r="AX5164" s="118">
        <f t="shared" ref="AX5164" si="6280">SUM(AR5164:AW5164)</f>
        <v>1539190</v>
      </c>
      <c r="AY5164" s="119"/>
      <c r="AZ5164" s="137">
        <v>46111</v>
      </c>
    </row>
    <row r="5165" spans="1:52" ht="17.100000000000001" customHeight="1" thickBot="1">
      <c r="A5165" s="110"/>
      <c r="B5165" s="27" t="s">
        <v>1718</v>
      </c>
      <c r="C5165" s="27" t="s">
        <v>15192</v>
      </c>
      <c r="D5165" s="14" t="s">
        <v>275</v>
      </c>
      <c r="E5165" s="112"/>
      <c r="F5165" s="139" t="s">
        <v>15193</v>
      </c>
      <c r="G5165" s="140"/>
      <c r="H5165" s="141"/>
      <c r="I5165" s="26">
        <v>51548</v>
      </c>
      <c r="J5165" s="117"/>
      <c r="K5165" s="120"/>
      <c r="L5165" s="121"/>
      <c r="M5165" s="120"/>
      <c r="N5165" s="121"/>
      <c r="O5165" s="120"/>
      <c r="P5165" s="121"/>
      <c r="Q5165" s="120"/>
      <c r="R5165" s="121"/>
      <c r="S5165" s="120"/>
      <c r="T5165" s="121"/>
      <c r="U5165" s="120"/>
      <c r="V5165" s="123"/>
      <c r="W5165" s="125"/>
      <c r="X5165" s="142" t="s">
        <v>19998</v>
      </c>
      <c r="Y5165" s="143"/>
      <c r="Z5165" s="143"/>
      <c r="AA5165" s="143"/>
      <c r="AB5165" s="144"/>
      <c r="AC5165" s="16" t="s">
        <v>21</v>
      </c>
      <c r="AD5165" s="17" t="s">
        <v>3386</v>
      </c>
      <c r="AE5165" s="145" t="s">
        <v>2441</v>
      </c>
      <c r="AF5165" s="146"/>
      <c r="AG5165" s="146"/>
      <c r="AH5165" s="146"/>
      <c r="AI5165" s="147"/>
      <c r="AJ5165" s="148"/>
      <c r="AK5165" s="143"/>
      <c r="AL5165" s="144"/>
      <c r="AM5165" s="22"/>
      <c r="AN5165" s="149" t="s">
        <v>6748</v>
      </c>
      <c r="AO5165" s="144"/>
      <c r="AP5165" s="148">
        <v>37245</v>
      </c>
      <c r="AQ5165" s="144"/>
      <c r="AR5165" s="120"/>
      <c r="AS5165" s="121"/>
      <c r="AT5165" s="120"/>
      <c r="AU5165" s="121"/>
      <c r="AV5165" s="120"/>
      <c r="AW5165" s="121"/>
      <c r="AX5165" s="120"/>
      <c r="AY5165" s="121"/>
      <c r="AZ5165" s="138"/>
    </row>
    <row r="5166" spans="1:52" ht="17.100000000000001" customHeight="1" thickTop="1">
      <c r="A5166" s="109" t="s">
        <v>15178</v>
      </c>
      <c r="B5166" s="28">
        <v>46038</v>
      </c>
      <c r="C5166" s="25"/>
      <c r="D5166" s="13" t="s">
        <v>2528</v>
      </c>
      <c r="E5166" s="111"/>
      <c r="F5166" s="113" t="s">
        <v>15256</v>
      </c>
      <c r="G5166" s="114"/>
      <c r="H5166" s="115"/>
      <c r="I5166" s="24" t="s">
        <v>12615</v>
      </c>
      <c r="J5166" s="116">
        <v>4.5</v>
      </c>
      <c r="K5166" s="118">
        <v>644000</v>
      </c>
      <c r="L5166" s="119"/>
      <c r="M5166" s="118">
        <f t="shared" ref="M5166" si="6281">K5166*0.1</f>
        <v>64400</v>
      </c>
      <c r="N5166" s="119"/>
      <c r="O5166" s="118">
        <v>0</v>
      </c>
      <c r="P5166" s="119"/>
      <c r="Q5166" s="118">
        <v>9070</v>
      </c>
      <c r="R5166" s="119"/>
      <c r="S5166" s="118">
        <v>0</v>
      </c>
      <c r="T5166" s="119"/>
      <c r="U5166" s="118">
        <f t="shared" ref="U5166" si="6282">SUM(K5166:T5167)</f>
        <v>717470</v>
      </c>
      <c r="V5166" s="122"/>
      <c r="W5166" s="124"/>
      <c r="X5166" s="126" t="s">
        <v>17057</v>
      </c>
      <c r="Y5166" s="127"/>
      <c r="Z5166" s="127"/>
      <c r="AA5166" s="127"/>
      <c r="AB5166" s="128"/>
      <c r="AC5166" s="15" t="s">
        <v>20</v>
      </c>
      <c r="AD5166" s="129" t="s">
        <v>1670</v>
      </c>
      <c r="AE5166" s="130"/>
      <c r="AF5166" s="130"/>
      <c r="AG5166" s="130"/>
      <c r="AH5166" s="130"/>
      <c r="AI5166" s="131"/>
      <c r="AJ5166" s="132"/>
      <c r="AK5166" s="127"/>
      <c r="AL5166" s="128"/>
      <c r="AM5166" s="21"/>
      <c r="AN5166" s="133">
        <v>46067</v>
      </c>
      <c r="AO5166" s="134"/>
      <c r="AP5166" s="135">
        <v>1288</v>
      </c>
      <c r="AQ5166" s="136"/>
      <c r="AR5166" s="118">
        <v>730000</v>
      </c>
      <c r="AS5166" s="119"/>
      <c r="AT5166" s="118">
        <f t="shared" ref="AT5166" si="6283">AR5166*0.1</f>
        <v>73000</v>
      </c>
      <c r="AU5166" s="119"/>
      <c r="AV5166" s="118">
        <v>9070</v>
      </c>
      <c r="AW5166" s="119"/>
      <c r="AX5166" s="118">
        <f t="shared" ref="AX5166" si="6284">SUM(AR5166:AW5166)</f>
        <v>812070</v>
      </c>
      <c r="AY5166" s="119"/>
      <c r="AZ5166" s="137">
        <v>46070</v>
      </c>
    </row>
    <row r="5167" spans="1:52" ht="17.100000000000001" customHeight="1" thickBot="1">
      <c r="A5167" s="110"/>
      <c r="B5167" s="27" t="s">
        <v>1718</v>
      </c>
      <c r="C5167" s="27" t="s">
        <v>15194</v>
      </c>
      <c r="D5167" s="14" t="s">
        <v>2325</v>
      </c>
      <c r="E5167" s="112"/>
      <c r="F5167" s="139" t="s">
        <v>15195</v>
      </c>
      <c r="G5167" s="140"/>
      <c r="H5167" s="141"/>
      <c r="I5167" s="26">
        <v>26759</v>
      </c>
      <c r="J5167" s="117"/>
      <c r="K5167" s="120"/>
      <c r="L5167" s="121"/>
      <c r="M5167" s="120"/>
      <c r="N5167" s="121"/>
      <c r="O5167" s="120"/>
      <c r="P5167" s="121"/>
      <c r="Q5167" s="120"/>
      <c r="R5167" s="121"/>
      <c r="S5167" s="120"/>
      <c r="T5167" s="121"/>
      <c r="U5167" s="120"/>
      <c r="V5167" s="123"/>
      <c r="W5167" s="125"/>
      <c r="X5167" s="142" t="s">
        <v>17058</v>
      </c>
      <c r="Y5167" s="143"/>
      <c r="Z5167" s="143"/>
      <c r="AA5167" s="143"/>
      <c r="AB5167" s="144"/>
      <c r="AC5167" s="16" t="s">
        <v>21</v>
      </c>
      <c r="AD5167" s="17" t="s">
        <v>3322</v>
      </c>
      <c r="AE5167" s="145" t="s">
        <v>1742</v>
      </c>
      <c r="AF5167" s="146"/>
      <c r="AG5167" s="146"/>
      <c r="AH5167" s="146"/>
      <c r="AI5167" s="147"/>
      <c r="AJ5167" s="148"/>
      <c r="AK5167" s="143"/>
      <c r="AL5167" s="144"/>
      <c r="AM5167" s="22"/>
      <c r="AN5167" s="149" t="s">
        <v>2511</v>
      </c>
      <c r="AO5167" s="144"/>
      <c r="AP5167" s="148">
        <v>65428</v>
      </c>
      <c r="AQ5167" s="144"/>
      <c r="AR5167" s="120"/>
      <c r="AS5167" s="121"/>
      <c r="AT5167" s="120"/>
      <c r="AU5167" s="121"/>
      <c r="AV5167" s="120"/>
      <c r="AW5167" s="121"/>
      <c r="AX5167" s="120"/>
      <c r="AY5167" s="121"/>
      <c r="AZ5167" s="138"/>
    </row>
    <row r="5168" spans="1:52" ht="17.100000000000001" customHeight="1" thickTop="1">
      <c r="A5168" s="109" t="s">
        <v>15257</v>
      </c>
      <c r="B5168" s="28">
        <v>46039</v>
      </c>
      <c r="C5168" s="25">
        <v>295</v>
      </c>
      <c r="D5168" s="13" t="s">
        <v>2859</v>
      </c>
      <c r="E5168" s="111"/>
      <c r="F5168" s="113" t="s">
        <v>15271</v>
      </c>
      <c r="G5168" s="114"/>
      <c r="H5168" s="115"/>
      <c r="I5168" s="24"/>
      <c r="J5168" s="116">
        <v>4</v>
      </c>
      <c r="K5168" s="118">
        <v>1416000</v>
      </c>
      <c r="L5168" s="119"/>
      <c r="M5168" s="118">
        <f t="shared" ref="M5168" si="6285">K5168*0.1</f>
        <v>141600</v>
      </c>
      <c r="N5168" s="119"/>
      <c r="O5168" s="118">
        <v>0</v>
      </c>
      <c r="P5168" s="119"/>
      <c r="Q5168" s="118">
        <v>19090</v>
      </c>
      <c r="R5168" s="119"/>
      <c r="S5168" s="118">
        <v>15950</v>
      </c>
      <c r="T5168" s="119"/>
      <c r="U5168" s="118">
        <f t="shared" ref="U5168" si="6286">SUM(K5168:T5169)</f>
        <v>1592640</v>
      </c>
      <c r="V5168" s="122"/>
      <c r="W5168" s="124"/>
      <c r="X5168" s="126" t="s">
        <v>15613</v>
      </c>
      <c r="Y5168" s="127"/>
      <c r="Z5168" s="127"/>
      <c r="AA5168" s="127"/>
      <c r="AB5168" s="128"/>
      <c r="AC5168" s="15" t="s">
        <v>20</v>
      </c>
      <c r="AD5168" s="129"/>
      <c r="AE5168" s="130"/>
      <c r="AF5168" s="130"/>
      <c r="AG5168" s="130"/>
      <c r="AH5168" s="130"/>
      <c r="AI5168" s="131"/>
      <c r="AJ5168" s="132"/>
      <c r="AK5168" s="127"/>
      <c r="AL5168" s="128"/>
      <c r="AM5168" s="21"/>
      <c r="AN5168" s="133">
        <v>46060</v>
      </c>
      <c r="AO5168" s="134"/>
      <c r="AP5168" s="135">
        <v>1287</v>
      </c>
      <c r="AQ5168" s="136"/>
      <c r="AR5168" s="118">
        <v>1640000</v>
      </c>
      <c r="AS5168" s="119"/>
      <c r="AT5168" s="118">
        <f t="shared" ref="AT5168" si="6287">AR5168*0.1</f>
        <v>164000</v>
      </c>
      <c r="AU5168" s="119"/>
      <c r="AV5168" s="118">
        <v>19090</v>
      </c>
      <c r="AW5168" s="119"/>
      <c r="AX5168" s="118">
        <f t="shared" ref="AX5168" si="6288">SUM(AR5168:AW5168)</f>
        <v>1823090</v>
      </c>
      <c r="AY5168" s="119"/>
      <c r="AZ5168" s="137">
        <v>46063</v>
      </c>
    </row>
    <row r="5169" spans="1:52" ht="17.100000000000001" customHeight="1" thickBot="1">
      <c r="A5169" s="110"/>
      <c r="B5169" s="27" t="s">
        <v>3574</v>
      </c>
      <c r="C5169" s="27">
        <v>5021</v>
      </c>
      <c r="D5169" s="14" t="s">
        <v>1592</v>
      </c>
      <c r="E5169" s="112"/>
      <c r="F5169" s="139" t="s">
        <v>15272</v>
      </c>
      <c r="G5169" s="140"/>
      <c r="H5169" s="141"/>
      <c r="I5169" s="26">
        <v>49244</v>
      </c>
      <c r="J5169" s="117"/>
      <c r="K5169" s="120"/>
      <c r="L5169" s="121"/>
      <c r="M5169" s="120"/>
      <c r="N5169" s="121"/>
      <c r="O5169" s="120"/>
      <c r="P5169" s="121"/>
      <c r="Q5169" s="120"/>
      <c r="R5169" s="121"/>
      <c r="S5169" s="120"/>
      <c r="T5169" s="121"/>
      <c r="U5169" s="120"/>
      <c r="V5169" s="123"/>
      <c r="W5169" s="125"/>
      <c r="X5169" s="142" t="s">
        <v>12246</v>
      </c>
      <c r="Y5169" s="143"/>
      <c r="Z5169" s="143"/>
      <c r="AA5169" s="143"/>
      <c r="AB5169" s="144"/>
      <c r="AC5169" s="16" t="s">
        <v>21</v>
      </c>
      <c r="AD5169" s="17" t="s">
        <v>15604</v>
      </c>
      <c r="AE5169" s="145" t="s">
        <v>15614</v>
      </c>
      <c r="AF5169" s="146"/>
      <c r="AG5169" s="146"/>
      <c r="AH5169" s="146"/>
      <c r="AI5169" s="147"/>
      <c r="AJ5169" s="148"/>
      <c r="AK5169" s="143"/>
      <c r="AL5169" s="144"/>
      <c r="AM5169" s="22"/>
      <c r="AN5169" s="149" t="s">
        <v>2511</v>
      </c>
      <c r="AO5169" s="144"/>
      <c r="AP5169" s="148">
        <v>80136</v>
      </c>
      <c r="AQ5169" s="144"/>
      <c r="AR5169" s="120"/>
      <c r="AS5169" s="121"/>
      <c r="AT5169" s="120"/>
      <c r="AU5169" s="121"/>
      <c r="AV5169" s="120"/>
      <c r="AW5169" s="121"/>
      <c r="AX5169" s="120"/>
      <c r="AY5169" s="121"/>
      <c r="AZ5169" s="138"/>
    </row>
    <row r="5170" spans="1:52" ht="17.100000000000001" customHeight="1" thickTop="1">
      <c r="A5170" s="109" t="s">
        <v>15258</v>
      </c>
      <c r="B5170" s="28">
        <v>46039</v>
      </c>
      <c r="C5170" s="25">
        <v>1006</v>
      </c>
      <c r="D5170" s="13" t="s">
        <v>2970</v>
      </c>
      <c r="E5170" s="111"/>
      <c r="F5170" s="113" t="s">
        <v>15273</v>
      </c>
      <c r="G5170" s="114"/>
      <c r="H5170" s="115"/>
      <c r="I5170" s="24"/>
      <c r="J5170" s="116">
        <v>4.5</v>
      </c>
      <c r="K5170" s="118">
        <v>1975000</v>
      </c>
      <c r="L5170" s="119"/>
      <c r="M5170" s="118">
        <f t="shared" ref="M5170" si="6289">K5170*0.1</f>
        <v>197500</v>
      </c>
      <c r="N5170" s="119"/>
      <c r="O5170" s="118">
        <v>0</v>
      </c>
      <c r="P5170" s="119"/>
      <c r="Q5170" s="118">
        <v>17060</v>
      </c>
      <c r="R5170" s="119"/>
      <c r="S5170" s="118">
        <v>19250</v>
      </c>
      <c r="T5170" s="119"/>
      <c r="U5170" s="118">
        <f t="shared" ref="U5170" si="6290">SUM(K5170:T5171)</f>
        <v>2208810</v>
      </c>
      <c r="V5170" s="122"/>
      <c r="W5170" s="124"/>
      <c r="X5170" s="126" t="s">
        <v>16096</v>
      </c>
      <c r="Y5170" s="127"/>
      <c r="Z5170" s="127"/>
      <c r="AA5170" s="127"/>
      <c r="AB5170" s="128"/>
      <c r="AC5170" s="15" t="s">
        <v>20</v>
      </c>
      <c r="AD5170" s="129"/>
      <c r="AE5170" s="130"/>
      <c r="AF5170" s="130"/>
      <c r="AG5170" s="130"/>
      <c r="AH5170" s="130"/>
      <c r="AI5170" s="131"/>
      <c r="AJ5170" s="132"/>
      <c r="AK5170" s="127"/>
      <c r="AL5170" s="128"/>
      <c r="AM5170" s="21"/>
      <c r="AN5170" s="133">
        <v>46060</v>
      </c>
      <c r="AO5170" s="134"/>
      <c r="AP5170" s="135">
        <v>1287</v>
      </c>
      <c r="AQ5170" s="136"/>
      <c r="AR5170" s="118">
        <v>2110000</v>
      </c>
      <c r="AS5170" s="119"/>
      <c r="AT5170" s="118">
        <f t="shared" ref="AT5170" si="6291">AR5170*0.1</f>
        <v>211000</v>
      </c>
      <c r="AU5170" s="119"/>
      <c r="AV5170" s="118">
        <v>17060</v>
      </c>
      <c r="AW5170" s="119"/>
      <c r="AX5170" s="118">
        <f t="shared" ref="AX5170" si="6292">SUM(AR5170:AW5170)</f>
        <v>2338060</v>
      </c>
      <c r="AY5170" s="119"/>
      <c r="AZ5170" s="137">
        <v>46063</v>
      </c>
    </row>
    <row r="5171" spans="1:52" ht="17.100000000000001" customHeight="1" thickBot="1">
      <c r="A5171" s="110"/>
      <c r="B5171" s="27" t="s">
        <v>1707</v>
      </c>
      <c r="C5171" s="27">
        <v>5064</v>
      </c>
      <c r="D5171" s="14" t="s">
        <v>904</v>
      </c>
      <c r="E5171" s="112"/>
      <c r="F5171" s="139" t="s">
        <v>15274</v>
      </c>
      <c r="G5171" s="140"/>
      <c r="H5171" s="141"/>
      <c r="I5171" s="26">
        <v>26605</v>
      </c>
      <c r="J5171" s="117"/>
      <c r="K5171" s="120"/>
      <c r="L5171" s="121"/>
      <c r="M5171" s="120"/>
      <c r="N5171" s="121"/>
      <c r="O5171" s="120"/>
      <c r="P5171" s="121"/>
      <c r="Q5171" s="120"/>
      <c r="R5171" s="121"/>
      <c r="S5171" s="120"/>
      <c r="T5171" s="121"/>
      <c r="U5171" s="120"/>
      <c r="V5171" s="123"/>
      <c r="W5171" s="125"/>
      <c r="X5171" s="142" t="s">
        <v>9906</v>
      </c>
      <c r="Y5171" s="143"/>
      <c r="Z5171" s="143"/>
      <c r="AA5171" s="143"/>
      <c r="AB5171" s="144"/>
      <c r="AC5171" s="16" t="s">
        <v>21</v>
      </c>
      <c r="AD5171" s="17" t="s">
        <v>2644</v>
      </c>
      <c r="AE5171" s="145" t="s">
        <v>2195</v>
      </c>
      <c r="AF5171" s="146"/>
      <c r="AG5171" s="146"/>
      <c r="AH5171" s="146"/>
      <c r="AI5171" s="147"/>
      <c r="AJ5171" s="148"/>
      <c r="AK5171" s="143"/>
      <c r="AL5171" s="144"/>
      <c r="AM5171" s="22"/>
      <c r="AN5171" s="149" t="s">
        <v>2511</v>
      </c>
      <c r="AO5171" s="144"/>
      <c r="AP5171" s="148">
        <v>80173</v>
      </c>
      <c r="AQ5171" s="144"/>
      <c r="AR5171" s="120"/>
      <c r="AS5171" s="121"/>
      <c r="AT5171" s="120"/>
      <c r="AU5171" s="121"/>
      <c r="AV5171" s="120"/>
      <c r="AW5171" s="121"/>
      <c r="AX5171" s="120"/>
      <c r="AY5171" s="121"/>
      <c r="AZ5171" s="138"/>
    </row>
    <row r="5172" spans="1:52" ht="17.100000000000001" customHeight="1" thickTop="1">
      <c r="A5172" s="109" t="s">
        <v>15259</v>
      </c>
      <c r="B5172" s="28">
        <v>46039</v>
      </c>
      <c r="C5172" s="25">
        <v>1284</v>
      </c>
      <c r="D5172" s="13" t="s">
        <v>1572</v>
      </c>
      <c r="E5172" s="111"/>
      <c r="F5172" s="113" t="s">
        <v>15277</v>
      </c>
      <c r="G5172" s="114"/>
      <c r="H5172" s="115"/>
      <c r="I5172" s="24"/>
      <c r="J5172" s="116">
        <v>4</v>
      </c>
      <c r="K5172" s="118">
        <v>19950000</v>
      </c>
      <c r="L5172" s="119"/>
      <c r="M5172" s="118">
        <f t="shared" ref="M5172" si="6293">K5172*0.1</f>
        <v>1995000</v>
      </c>
      <c r="N5172" s="119"/>
      <c r="O5172" s="118">
        <v>0</v>
      </c>
      <c r="P5172" s="119"/>
      <c r="Q5172" s="118">
        <v>16550</v>
      </c>
      <c r="R5172" s="119"/>
      <c r="S5172" s="118">
        <v>12100</v>
      </c>
      <c r="T5172" s="119"/>
      <c r="U5172" s="118">
        <f t="shared" ref="U5172" si="6294">SUM(K5172:T5173)</f>
        <v>21973650</v>
      </c>
      <c r="V5172" s="122"/>
      <c r="W5172" s="124"/>
      <c r="X5172" s="126" t="s">
        <v>15765</v>
      </c>
      <c r="Y5172" s="127"/>
      <c r="Z5172" s="127"/>
      <c r="AA5172" s="127"/>
      <c r="AB5172" s="128"/>
      <c r="AC5172" s="15" t="s">
        <v>20</v>
      </c>
      <c r="AD5172" s="129"/>
      <c r="AE5172" s="130"/>
      <c r="AF5172" s="130"/>
      <c r="AG5172" s="130"/>
      <c r="AH5172" s="130"/>
      <c r="AI5172" s="131"/>
      <c r="AJ5172" s="132"/>
      <c r="AK5172" s="127"/>
      <c r="AL5172" s="128"/>
      <c r="AM5172" s="21"/>
      <c r="AN5172" s="133">
        <v>46043</v>
      </c>
      <c r="AO5172" s="134"/>
      <c r="AP5172" s="135">
        <v>1001</v>
      </c>
      <c r="AQ5172" s="136"/>
      <c r="AR5172" s="118">
        <v>2045000</v>
      </c>
      <c r="AS5172" s="119"/>
      <c r="AT5172" s="118">
        <f t="shared" ref="AT5172" si="6295">AR5172*0.1</f>
        <v>204500</v>
      </c>
      <c r="AU5172" s="119"/>
      <c r="AV5172" s="118">
        <v>16550</v>
      </c>
      <c r="AW5172" s="119"/>
      <c r="AX5172" s="118">
        <f t="shared" ref="AX5172" si="6296">SUM(AR5172:AW5172)</f>
        <v>2266050</v>
      </c>
      <c r="AY5172" s="119"/>
      <c r="AZ5172" s="137">
        <v>46049</v>
      </c>
    </row>
    <row r="5173" spans="1:52" ht="17.100000000000001" customHeight="1" thickBot="1">
      <c r="A5173" s="110"/>
      <c r="B5173" s="27" t="s">
        <v>2511</v>
      </c>
      <c r="C5173" s="27">
        <v>30098</v>
      </c>
      <c r="D5173" s="14" t="s">
        <v>275</v>
      </c>
      <c r="E5173" s="112"/>
      <c r="F5173" s="139" t="s">
        <v>15278</v>
      </c>
      <c r="G5173" s="140"/>
      <c r="H5173" s="141"/>
      <c r="I5173" s="26">
        <v>55860</v>
      </c>
      <c r="J5173" s="117"/>
      <c r="K5173" s="120"/>
      <c r="L5173" s="121"/>
      <c r="M5173" s="120"/>
      <c r="N5173" s="121"/>
      <c r="O5173" s="120"/>
      <c r="P5173" s="121"/>
      <c r="Q5173" s="120"/>
      <c r="R5173" s="121"/>
      <c r="S5173" s="120"/>
      <c r="T5173" s="121"/>
      <c r="U5173" s="120"/>
      <c r="V5173" s="123"/>
      <c r="W5173" s="125"/>
      <c r="X5173" s="142" t="s">
        <v>15766</v>
      </c>
      <c r="Y5173" s="143"/>
      <c r="Z5173" s="143"/>
      <c r="AA5173" s="143"/>
      <c r="AB5173" s="144"/>
      <c r="AC5173" s="16" t="s">
        <v>21</v>
      </c>
      <c r="AD5173" s="17" t="s">
        <v>15708</v>
      </c>
      <c r="AE5173" s="145" t="s">
        <v>1581</v>
      </c>
      <c r="AF5173" s="146"/>
      <c r="AG5173" s="146"/>
      <c r="AH5173" s="146"/>
      <c r="AI5173" s="147"/>
      <c r="AJ5173" s="148"/>
      <c r="AK5173" s="143"/>
      <c r="AL5173" s="144"/>
      <c r="AM5173" s="22"/>
      <c r="AN5173" s="149" t="s">
        <v>2794</v>
      </c>
      <c r="AO5173" s="144"/>
      <c r="AP5173" s="148">
        <v>5076</v>
      </c>
      <c r="AQ5173" s="144"/>
      <c r="AR5173" s="120"/>
      <c r="AS5173" s="121"/>
      <c r="AT5173" s="120"/>
      <c r="AU5173" s="121"/>
      <c r="AV5173" s="120"/>
      <c r="AW5173" s="121"/>
      <c r="AX5173" s="120"/>
      <c r="AY5173" s="121"/>
      <c r="AZ5173" s="138"/>
    </row>
    <row r="5174" spans="1:52" ht="17.100000000000001" customHeight="1" thickTop="1">
      <c r="A5174" s="109" t="s">
        <v>15260</v>
      </c>
      <c r="B5174" s="28">
        <v>46039</v>
      </c>
      <c r="C5174" s="25">
        <v>1284</v>
      </c>
      <c r="D5174" s="13" t="s">
        <v>15299</v>
      </c>
      <c r="E5174" s="111"/>
      <c r="F5174" s="113" t="s">
        <v>15279</v>
      </c>
      <c r="G5174" s="114"/>
      <c r="H5174" s="115"/>
      <c r="I5174" s="24"/>
      <c r="J5174" s="116">
        <v>4</v>
      </c>
      <c r="K5174" s="118">
        <v>534000</v>
      </c>
      <c r="L5174" s="119"/>
      <c r="M5174" s="118">
        <f t="shared" ref="M5174" si="6297">K5174*0.1</f>
        <v>53400</v>
      </c>
      <c r="N5174" s="119"/>
      <c r="O5174" s="118">
        <v>0</v>
      </c>
      <c r="P5174" s="119"/>
      <c r="Q5174" s="118">
        <v>9170</v>
      </c>
      <c r="R5174" s="119"/>
      <c r="S5174" s="118">
        <v>13200</v>
      </c>
      <c r="T5174" s="119"/>
      <c r="U5174" s="118">
        <f t="shared" ref="U5174" si="6298">SUM(K5174:T5175)</f>
        <v>609770</v>
      </c>
      <c r="V5174" s="122"/>
      <c r="W5174" s="124"/>
      <c r="X5174" s="126" t="s">
        <v>15745</v>
      </c>
      <c r="Y5174" s="127"/>
      <c r="Z5174" s="127"/>
      <c r="AA5174" s="127"/>
      <c r="AB5174" s="128"/>
      <c r="AC5174" s="15" t="s">
        <v>20</v>
      </c>
      <c r="AD5174" s="129"/>
      <c r="AE5174" s="130"/>
      <c r="AF5174" s="130"/>
      <c r="AG5174" s="130"/>
      <c r="AH5174" s="130"/>
      <c r="AI5174" s="131"/>
      <c r="AJ5174" s="132"/>
      <c r="AK5174" s="127"/>
      <c r="AL5174" s="128"/>
      <c r="AM5174" s="21"/>
      <c r="AN5174" s="133">
        <v>46053</v>
      </c>
      <c r="AO5174" s="134"/>
      <c r="AP5174" s="135">
        <v>1286</v>
      </c>
      <c r="AQ5174" s="136"/>
      <c r="AR5174" s="118">
        <v>595000</v>
      </c>
      <c r="AS5174" s="119"/>
      <c r="AT5174" s="118">
        <f t="shared" ref="AT5174" si="6299">AR5174*0.1</f>
        <v>59500</v>
      </c>
      <c r="AU5174" s="119"/>
      <c r="AV5174" s="118">
        <v>9170</v>
      </c>
      <c r="AW5174" s="119"/>
      <c r="AX5174" s="118">
        <f t="shared" ref="AX5174" si="6300">SUM(AR5174:AW5174)</f>
        <v>663670</v>
      </c>
      <c r="AY5174" s="119"/>
      <c r="AZ5174" s="137">
        <v>46056</v>
      </c>
    </row>
    <row r="5175" spans="1:52" ht="17.100000000000001" customHeight="1" thickBot="1">
      <c r="A5175" s="110"/>
      <c r="B5175" s="27" t="s">
        <v>2511</v>
      </c>
      <c r="C5175" s="27">
        <v>63070</v>
      </c>
      <c r="D5175" s="14" t="s">
        <v>2601</v>
      </c>
      <c r="E5175" s="112"/>
      <c r="F5175" s="139" t="s">
        <v>15280</v>
      </c>
      <c r="G5175" s="140"/>
      <c r="H5175" s="141"/>
      <c r="I5175" s="26">
        <v>103863</v>
      </c>
      <c r="J5175" s="117"/>
      <c r="K5175" s="120"/>
      <c r="L5175" s="121"/>
      <c r="M5175" s="120"/>
      <c r="N5175" s="121"/>
      <c r="O5175" s="120"/>
      <c r="P5175" s="121"/>
      <c r="Q5175" s="120"/>
      <c r="R5175" s="121"/>
      <c r="S5175" s="120"/>
      <c r="T5175" s="121"/>
      <c r="U5175" s="120"/>
      <c r="V5175" s="123"/>
      <c r="W5175" s="125"/>
      <c r="X5175" s="142" t="s">
        <v>10732</v>
      </c>
      <c r="Y5175" s="143"/>
      <c r="Z5175" s="143"/>
      <c r="AA5175" s="143"/>
      <c r="AB5175" s="144"/>
      <c r="AC5175" s="16" t="s">
        <v>21</v>
      </c>
      <c r="AD5175" s="17" t="s">
        <v>15708</v>
      </c>
      <c r="AE5175" s="145"/>
      <c r="AF5175" s="146"/>
      <c r="AG5175" s="146"/>
      <c r="AH5175" s="146"/>
      <c r="AI5175" s="147"/>
      <c r="AJ5175" s="148"/>
      <c r="AK5175" s="143"/>
      <c r="AL5175" s="144"/>
      <c r="AM5175" s="22"/>
      <c r="AN5175" s="149" t="s">
        <v>2511</v>
      </c>
      <c r="AO5175" s="144"/>
      <c r="AP5175" s="148">
        <v>60043</v>
      </c>
      <c r="AQ5175" s="144"/>
      <c r="AR5175" s="120"/>
      <c r="AS5175" s="121"/>
      <c r="AT5175" s="120"/>
      <c r="AU5175" s="121"/>
      <c r="AV5175" s="120"/>
      <c r="AW5175" s="121"/>
      <c r="AX5175" s="120"/>
      <c r="AY5175" s="121"/>
      <c r="AZ5175" s="138"/>
    </row>
    <row r="5176" spans="1:52" ht="17.100000000000001" customHeight="1" thickTop="1">
      <c r="A5176" s="109" t="s">
        <v>15261</v>
      </c>
      <c r="B5176" s="28">
        <v>46039</v>
      </c>
      <c r="C5176" s="25">
        <v>1284</v>
      </c>
      <c r="D5176" s="13" t="s">
        <v>1688</v>
      </c>
      <c r="E5176" s="111"/>
      <c r="F5176" s="113" t="s">
        <v>15281</v>
      </c>
      <c r="G5176" s="114"/>
      <c r="H5176" s="115"/>
      <c r="I5176" s="24"/>
      <c r="J5176" s="116">
        <v>4.5</v>
      </c>
      <c r="K5176" s="118">
        <v>1375000</v>
      </c>
      <c r="L5176" s="119"/>
      <c r="M5176" s="118">
        <f t="shared" ref="M5176" si="6301">K5176*0.1</f>
        <v>137500</v>
      </c>
      <c r="N5176" s="119"/>
      <c r="O5176" s="118">
        <v>0</v>
      </c>
      <c r="P5176" s="119"/>
      <c r="Q5176" s="118">
        <v>6850</v>
      </c>
      <c r="R5176" s="119"/>
      <c r="S5176" s="118">
        <v>12100</v>
      </c>
      <c r="T5176" s="119"/>
      <c r="U5176" s="118">
        <f t="shared" ref="U5176" si="6302">SUM(K5176:T5177)</f>
        <v>1531450</v>
      </c>
      <c r="V5176" s="122"/>
      <c r="W5176" s="124"/>
      <c r="X5176" s="126" t="s">
        <v>15757</v>
      </c>
      <c r="Y5176" s="127"/>
      <c r="Z5176" s="127"/>
      <c r="AA5176" s="127"/>
      <c r="AB5176" s="128"/>
      <c r="AC5176" s="15" t="s">
        <v>20</v>
      </c>
      <c r="AD5176" s="129" t="s">
        <v>15300</v>
      </c>
      <c r="AE5176" s="130"/>
      <c r="AF5176" s="130"/>
      <c r="AG5176" s="130"/>
      <c r="AH5176" s="130"/>
      <c r="AI5176" s="131"/>
      <c r="AJ5176" s="132"/>
      <c r="AK5176" s="127"/>
      <c r="AL5176" s="128"/>
      <c r="AM5176" s="21"/>
      <c r="AN5176" s="133">
        <v>46042</v>
      </c>
      <c r="AO5176" s="134"/>
      <c r="AP5176" s="135">
        <v>1925</v>
      </c>
      <c r="AQ5176" s="136"/>
      <c r="AR5176" s="118">
        <v>1494000</v>
      </c>
      <c r="AS5176" s="119"/>
      <c r="AT5176" s="118">
        <f t="shared" ref="AT5176" si="6303">AR5176*0.1</f>
        <v>149400</v>
      </c>
      <c r="AU5176" s="119"/>
      <c r="AV5176" s="118">
        <v>6850</v>
      </c>
      <c r="AW5176" s="119"/>
      <c r="AX5176" s="118">
        <f t="shared" ref="AX5176" si="6304">SUM(AR5176:AW5176)</f>
        <v>1650250</v>
      </c>
      <c r="AY5176" s="119"/>
      <c r="AZ5176" s="137"/>
    </row>
    <row r="5177" spans="1:52" ht="17.100000000000001" customHeight="1" thickBot="1">
      <c r="A5177" s="110"/>
      <c r="B5177" s="27" t="s">
        <v>2511</v>
      </c>
      <c r="C5177" s="27">
        <v>65075</v>
      </c>
      <c r="D5177" s="14" t="s">
        <v>2601</v>
      </c>
      <c r="E5177" s="112"/>
      <c r="F5177" s="139" t="s">
        <v>15282</v>
      </c>
      <c r="G5177" s="140"/>
      <c r="H5177" s="141"/>
      <c r="I5177" s="26">
        <v>38100</v>
      </c>
      <c r="J5177" s="117"/>
      <c r="K5177" s="120"/>
      <c r="L5177" s="121"/>
      <c r="M5177" s="120"/>
      <c r="N5177" s="121"/>
      <c r="O5177" s="120"/>
      <c r="P5177" s="121"/>
      <c r="Q5177" s="120"/>
      <c r="R5177" s="121"/>
      <c r="S5177" s="120"/>
      <c r="T5177" s="121"/>
      <c r="U5177" s="120"/>
      <c r="V5177" s="123"/>
      <c r="W5177" s="125"/>
      <c r="X5177" s="142" t="s">
        <v>15758</v>
      </c>
      <c r="Y5177" s="143"/>
      <c r="Z5177" s="143"/>
      <c r="AA5177" s="143"/>
      <c r="AB5177" s="144"/>
      <c r="AC5177" s="16" t="s">
        <v>21</v>
      </c>
      <c r="AD5177" s="17" t="s">
        <v>15708</v>
      </c>
      <c r="AE5177" s="145" t="s">
        <v>1742</v>
      </c>
      <c r="AF5177" s="146"/>
      <c r="AG5177" s="146"/>
      <c r="AH5177" s="146"/>
      <c r="AI5177" s="147"/>
      <c r="AJ5177" s="148"/>
      <c r="AK5177" s="143"/>
      <c r="AL5177" s="144"/>
      <c r="AM5177" s="22"/>
      <c r="AN5177" s="149" t="s">
        <v>2131</v>
      </c>
      <c r="AO5177" s="144"/>
      <c r="AP5177" s="148">
        <v>3421</v>
      </c>
      <c r="AQ5177" s="144"/>
      <c r="AR5177" s="120"/>
      <c r="AS5177" s="121"/>
      <c r="AT5177" s="120"/>
      <c r="AU5177" s="121"/>
      <c r="AV5177" s="120"/>
      <c r="AW5177" s="121"/>
      <c r="AX5177" s="120"/>
      <c r="AY5177" s="121"/>
      <c r="AZ5177" s="138"/>
    </row>
    <row r="5178" spans="1:52" ht="17.100000000000001" customHeight="1" thickTop="1">
      <c r="A5178" s="109" t="s">
        <v>15262</v>
      </c>
      <c r="B5178" s="28">
        <v>46039</v>
      </c>
      <c r="C5178" s="25">
        <v>1284</v>
      </c>
      <c r="D5178" s="13" t="s">
        <v>2322</v>
      </c>
      <c r="E5178" s="111"/>
      <c r="F5178" s="113" t="s">
        <v>7596</v>
      </c>
      <c r="G5178" s="114"/>
      <c r="H5178" s="115"/>
      <c r="I5178" s="24" t="s">
        <v>3509</v>
      </c>
      <c r="J5178" s="116">
        <v>4</v>
      </c>
      <c r="K5178" s="118">
        <v>620000</v>
      </c>
      <c r="L5178" s="119"/>
      <c r="M5178" s="118">
        <f t="shared" ref="M5178" si="6305">K5178*0.1</f>
        <v>62000</v>
      </c>
      <c r="N5178" s="119"/>
      <c r="O5178" s="118">
        <v>0</v>
      </c>
      <c r="P5178" s="119"/>
      <c r="Q5178" s="118">
        <v>8400</v>
      </c>
      <c r="R5178" s="119"/>
      <c r="S5178" s="118">
        <v>12100</v>
      </c>
      <c r="T5178" s="119"/>
      <c r="U5178" s="118">
        <f t="shared" ref="U5178" si="6306">SUM(K5178:T5179)</f>
        <v>702500</v>
      </c>
      <c r="V5178" s="122"/>
      <c r="W5178" s="124"/>
      <c r="X5178" s="126" t="s">
        <v>15301</v>
      </c>
      <c r="Y5178" s="127"/>
      <c r="Z5178" s="127"/>
      <c r="AA5178" s="127"/>
      <c r="AB5178" s="128"/>
      <c r="AC5178" s="15" t="s">
        <v>20</v>
      </c>
      <c r="AD5178" s="129"/>
      <c r="AE5178" s="130"/>
      <c r="AF5178" s="130"/>
      <c r="AG5178" s="130"/>
      <c r="AH5178" s="130"/>
      <c r="AI5178" s="131"/>
      <c r="AJ5178" s="132"/>
      <c r="AK5178" s="127"/>
      <c r="AL5178" s="128"/>
      <c r="AM5178" s="21" t="s">
        <v>17472</v>
      </c>
      <c r="AN5178" s="133">
        <v>46060</v>
      </c>
      <c r="AO5178" s="134"/>
      <c r="AP5178" s="135">
        <v>1287</v>
      </c>
      <c r="AQ5178" s="136"/>
      <c r="AR5178" s="118">
        <v>700000</v>
      </c>
      <c r="AS5178" s="119"/>
      <c r="AT5178" s="118">
        <f t="shared" ref="AT5178" si="6307">AR5178*0.1</f>
        <v>70000</v>
      </c>
      <c r="AU5178" s="119"/>
      <c r="AV5178" s="118">
        <v>8400</v>
      </c>
      <c r="AW5178" s="119"/>
      <c r="AX5178" s="118">
        <f t="shared" ref="AX5178" si="6308">SUM(AR5178:AW5178)</f>
        <v>778400</v>
      </c>
      <c r="AY5178" s="119"/>
      <c r="AZ5178" s="137">
        <v>46065</v>
      </c>
    </row>
    <row r="5179" spans="1:52" ht="17.100000000000001" customHeight="1" thickBot="1">
      <c r="A5179" s="110"/>
      <c r="B5179" s="27" t="s">
        <v>2511</v>
      </c>
      <c r="C5179" s="27">
        <v>65169</v>
      </c>
      <c r="D5179" s="14" t="s">
        <v>275</v>
      </c>
      <c r="E5179" s="112"/>
      <c r="F5179" s="139" t="s">
        <v>15283</v>
      </c>
      <c r="G5179" s="140"/>
      <c r="H5179" s="141"/>
      <c r="I5179" s="26">
        <v>61175</v>
      </c>
      <c r="J5179" s="117"/>
      <c r="K5179" s="120"/>
      <c r="L5179" s="121"/>
      <c r="M5179" s="120"/>
      <c r="N5179" s="121"/>
      <c r="O5179" s="120"/>
      <c r="P5179" s="121"/>
      <c r="Q5179" s="120"/>
      <c r="R5179" s="121"/>
      <c r="S5179" s="120"/>
      <c r="T5179" s="121"/>
      <c r="U5179" s="120"/>
      <c r="V5179" s="123"/>
      <c r="W5179" s="125"/>
      <c r="X5179" s="142" t="s">
        <v>8529</v>
      </c>
      <c r="Y5179" s="143"/>
      <c r="Z5179" s="143"/>
      <c r="AA5179" s="143"/>
      <c r="AB5179" s="144"/>
      <c r="AC5179" s="16" t="s">
        <v>21</v>
      </c>
      <c r="AD5179" s="17" t="s">
        <v>15708</v>
      </c>
      <c r="AE5179" s="145" t="s">
        <v>15751</v>
      </c>
      <c r="AF5179" s="146"/>
      <c r="AG5179" s="146"/>
      <c r="AH5179" s="146"/>
      <c r="AI5179" s="147"/>
      <c r="AJ5179" s="148"/>
      <c r="AK5179" s="143"/>
      <c r="AL5179" s="144"/>
      <c r="AM5179" s="22"/>
      <c r="AN5179" s="149" t="s">
        <v>2511</v>
      </c>
      <c r="AO5179" s="144"/>
      <c r="AP5179" s="148">
        <v>60080</v>
      </c>
      <c r="AQ5179" s="144"/>
      <c r="AR5179" s="120"/>
      <c r="AS5179" s="121"/>
      <c r="AT5179" s="120"/>
      <c r="AU5179" s="121"/>
      <c r="AV5179" s="120"/>
      <c r="AW5179" s="121"/>
      <c r="AX5179" s="120"/>
      <c r="AY5179" s="121"/>
      <c r="AZ5179" s="138"/>
    </row>
    <row r="5180" spans="1:52" ht="17.100000000000001" customHeight="1" thickTop="1">
      <c r="A5180" s="151" t="s">
        <v>15263</v>
      </c>
      <c r="B5180" s="28">
        <v>46039</v>
      </c>
      <c r="C5180" s="25">
        <v>1284</v>
      </c>
      <c r="D5180" s="13" t="s">
        <v>2226</v>
      </c>
      <c r="E5180" s="111"/>
      <c r="F5180" s="113" t="s">
        <v>15215</v>
      </c>
      <c r="G5180" s="114"/>
      <c r="H5180" s="115"/>
      <c r="I5180" s="24" t="s">
        <v>15302</v>
      </c>
      <c r="J5180" s="116">
        <v>5</v>
      </c>
      <c r="K5180" s="118">
        <v>1215000</v>
      </c>
      <c r="L5180" s="119"/>
      <c r="M5180" s="118">
        <f t="shared" ref="M5180" si="6309">K5180*0.1</f>
        <v>121500</v>
      </c>
      <c r="N5180" s="119"/>
      <c r="O5180" s="118">
        <v>0</v>
      </c>
      <c r="P5180" s="119"/>
      <c r="Q5180" s="118">
        <v>8350</v>
      </c>
      <c r="R5180" s="119"/>
      <c r="S5180" s="118">
        <v>12100</v>
      </c>
      <c r="T5180" s="119"/>
      <c r="U5180" s="118">
        <f t="shared" ref="U5180" si="6310">SUM(K5180:T5181)</f>
        <v>1356950</v>
      </c>
      <c r="V5180" s="122"/>
      <c r="W5180" s="124"/>
      <c r="X5180" s="126" t="s">
        <v>15303</v>
      </c>
      <c r="Y5180" s="127"/>
      <c r="Z5180" s="127"/>
      <c r="AA5180" s="127"/>
      <c r="AB5180" s="128"/>
      <c r="AC5180" s="15" t="s">
        <v>20</v>
      </c>
      <c r="AD5180" s="129" t="s">
        <v>7231</v>
      </c>
      <c r="AE5180" s="130"/>
      <c r="AF5180" s="130"/>
      <c r="AG5180" s="130"/>
      <c r="AH5180" s="130"/>
      <c r="AI5180" s="131"/>
      <c r="AJ5180" s="132" t="s">
        <v>8040</v>
      </c>
      <c r="AK5180" s="127"/>
      <c r="AL5180" s="128"/>
      <c r="AM5180" s="21"/>
      <c r="AN5180" s="133"/>
      <c r="AO5180" s="134"/>
      <c r="AP5180" s="135"/>
      <c r="AQ5180" s="136"/>
      <c r="AR5180" s="118"/>
      <c r="AS5180" s="119"/>
      <c r="AT5180" s="118">
        <f t="shared" ref="AT5180" si="6311">AR5180*0.1</f>
        <v>0</v>
      </c>
      <c r="AU5180" s="119"/>
      <c r="AV5180" s="118"/>
      <c r="AW5180" s="119"/>
      <c r="AX5180" s="118">
        <f t="shared" ref="AX5180" si="6312">SUM(AR5180:AW5180)</f>
        <v>0</v>
      </c>
      <c r="AY5180" s="119"/>
      <c r="AZ5180" s="137"/>
    </row>
    <row r="5181" spans="1:52" ht="17.100000000000001" customHeight="1" thickBot="1">
      <c r="A5181" s="152"/>
      <c r="B5181" s="27" t="s">
        <v>2511</v>
      </c>
      <c r="C5181" s="27">
        <v>65176</v>
      </c>
      <c r="D5181" s="14" t="s">
        <v>904</v>
      </c>
      <c r="E5181" s="112"/>
      <c r="F5181" s="139" t="s">
        <v>15284</v>
      </c>
      <c r="G5181" s="140"/>
      <c r="H5181" s="141"/>
      <c r="I5181" s="26">
        <v>11516</v>
      </c>
      <c r="J5181" s="117"/>
      <c r="K5181" s="120"/>
      <c r="L5181" s="121"/>
      <c r="M5181" s="120"/>
      <c r="N5181" s="121"/>
      <c r="O5181" s="120"/>
      <c r="P5181" s="121"/>
      <c r="Q5181" s="120"/>
      <c r="R5181" s="121"/>
      <c r="S5181" s="120"/>
      <c r="T5181" s="121"/>
      <c r="U5181" s="120"/>
      <c r="V5181" s="123"/>
      <c r="W5181" s="125"/>
      <c r="X5181" s="142" t="s">
        <v>15746</v>
      </c>
      <c r="Y5181" s="143"/>
      <c r="Z5181" s="143"/>
      <c r="AA5181" s="143"/>
      <c r="AB5181" s="144"/>
      <c r="AC5181" s="16" t="s">
        <v>21</v>
      </c>
      <c r="AD5181" s="17" t="s">
        <v>15708</v>
      </c>
      <c r="AE5181" s="145" t="s">
        <v>8803</v>
      </c>
      <c r="AF5181" s="146"/>
      <c r="AG5181" s="146"/>
      <c r="AH5181" s="146"/>
      <c r="AI5181" s="147"/>
      <c r="AJ5181" s="148" t="s">
        <v>16313</v>
      </c>
      <c r="AK5181" s="143"/>
      <c r="AL5181" s="144"/>
      <c r="AM5181" s="22"/>
      <c r="AN5181" s="149"/>
      <c r="AO5181" s="144"/>
      <c r="AP5181" s="148"/>
      <c r="AQ5181" s="144"/>
      <c r="AR5181" s="120"/>
      <c r="AS5181" s="121"/>
      <c r="AT5181" s="120"/>
      <c r="AU5181" s="121"/>
      <c r="AV5181" s="120"/>
      <c r="AW5181" s="121"/>
      <c r="AX5181" s="120"/>
      <c r="AY5181" s="121"/>
      <c r="AZ5181" s="138"/>
    </row>
    <row r="5182" spans="1:52" ht="17.100000000000001" customHeight="1" thickTop="1">
      <c r="A5182" s="109" t="s">
        <v>15264</v>
      </c>
      <c r="B5182" s="28">
        <v>46039</v>
      </c>
      <c r="C5182" s="25">
        <v>1284</v>
      </c>
      <c r="D5182" s="13" t="s">
        <v>1922</v>
      </c>
      <c r="E5182" s="111"/>
      <c r="F5182" s="113" t="s">
        <v>15285</v>
      </c>
      <c r="G5182" s="114"/>
      <c r="H5182" s="115"/>
      <c r="I5182" s="24"/>
      <c r="J5182" s="116">
        <v>4</v>
      </c>
      <c r="K5182" s="118">
        <v>685000</v>
      </c>
      <c r="L5182" s="119"/>
      <c r="M5182" s="118">
        <f t="shared" ref="M5182" si="6313">K5182*0.1</f>
        <v>68500</v>
      </c>
      <c r="N5182" s="119"/>
      <c r="O5182" s="118">
        <v>0</v>
      </c>
      <c r="P5182" s="119"/>
      <c r="Q5182" s="118">
        <v>8510</v>
      </c>
      <c r="R5182" s="119"/>
      <c r="S5182" s="118">
        <v>12100</v>
      </c>
      <c r="T5182" s="119"/>
      <c r="U5182" s="118">
        <f t="shared" ref="U5182" si="6314">SUM(K5182:T5183)</f>
        <v>774110</v>
      </c>
      <c r="V5182" s="122"/>
      <c r="W5182" s="124"/>
      <c r="X5182" s="126" t="s">
        <v>16926</v>
      </c>
      <c r="Y5182" s="127"/>
      <c r="Z5182" s="127"/>
      <c r="AA5182" s="127"/>
      <c r="AB5182" s="128"/>
      <c r="AC5182" s="15" t="s">
        <v>20</v>
      </c>
      <c r="AD5182" s="129"/>
      <c r="AE5182" s="130"/>
      <c r="AF5182" s="130"/>
      <c r="AG5182" s="130"/>
      <c r="AH5182" s="130"/>
      <c r="AI5182" s="131"/>
      <c r="AJ5182" s="132"/>
      <c r="AK5182" s="127"/>
      <c r="AL5182" s="128"/>
      <c r="AM5182" s="21"/>
      <c r="AN5182" s="133">
        <v>46099</v>
      </c>
      <c r="AO5182" s="134"/>
      <c r="AP5182" s="135">
        <v>1009</v>
      </c>
      <c r="AQ5182" s="136"/>
      <c r="AR5182" s="118">
        <v>670000</v>
      </c>
      <c r="AS5182" s="119"/>
      <c r="AT5182" s="118">
        <f t="shared" ref="AT5182" si="6315">AR5182*0.1</f>
        <v>67000</v>
      </c>
      <c r="AU5182" s="119"/>
      <c r="AV5182" s="118">
        <v>8510</v>
      </c>
      <c r="AW5182" s="119"/>
      <c r="AX5182" s="118">
        <f t="shared" ref="AX5182" si="6316">SUM(AR5182:AW5182)</f>
        <v>745510</v>
      </c>
      <c r="AY5182" s="119"/>
      <c r="AZ5182" s="137">
        <v>46105</v>
      </c>
    </row>
    <row r="5183" spans="1:52" ht="17.100000000000001" customHeight="1" thickBot="1">
      <c r="A5183" s="110"/>
      <c r="B5183" s="27" t="s">
        <v>2511</v>
      </c>
      <c r="C5183" s="27">
        <v>65209</v>
      </c>
      <c r="D5183" s="14" t="s">
        <v>1592</v>
      </c>
      <c r="E5183" s="112"/>
      <c r="F5183" s="139" t="s">
        <v>15286</v>
      </c>
      <c r="G5183" s="140"/>
      <c r="H5183" s="141"/>
      <c r="I5183" s="26">
        <v>43637</v>
      </c>
      <c r="J5183" s="117"/>
      <c r="K5183" s="120"/>
      <c r="L5183" s="121"/>
      <c r="M5183" s="120"/>
      <c r="N5183" s="121"/>
      <c r="O5183" s="120"/>
      <c r="P5183" s="121"/>
      <c r="Q5183" s="120"/>
      <c r="R5183" s="121"/>
      <c r="S5183" s="120"/>
      <c r="T5183" s="121"/>
      <c r="U5183" s="120"/>
      <c r="V5183" s="123"/>
      <c r="W5183" s="125"/>
      <c r="X5183" s="142" t="s">
        <v>3410</v>
      </c>
      <c r="Y5183" s="143"/>
      <c r="Z5183" s="143"/>
      <c r="AA5183" s="143"/>
      <c r="AB5183" s="144"/>
      <c r="AC5183" s="16" t="s">
        <v>21</v>
      </c>
      <c r="AD5183" s="17" t="s">
        <v>3801</v>
      </c>
      <c r="AE5183" s="145" t="s">
        <v>171</v>
      </c>
      <c r="AF5183" s="146"/>
      <c r="AG5183" s="146"/>
      <c r="AH5183" s="146"/>
      <c r="AI5183" s="147"/>
      <c r="AJ5183" s="148"/>
      <c r="AK5183" s="143"/>
      <c r="AL5183" s="144"/>
      <c r="AM5183" s="22"/>
      <c r="AN5183" s="149" t="s">
        <v>2794</v>
      </c>
      <c r="AO5183" s="144"/>
      <c r="AP5183" s="148">
        <v>2023</v>
      </c>
      <c r="AQ5183" s="144"/>
      <c r="AR5183" s="120"/>
      <c r="AS5183" s="121"/>
      <c r="AT5183" s="120"/>
      <c r="AU5183" s="121"/>
      <c r="AV5183" s="120"/>
      <c r="AW5183" s="121"/>
      <c r="AX5183" s="120"/>
      <c r="AY5183" s="121"/>
      <c r="AZ5183" s="138"/>
    </row>
    <row r="5184" spans="1:52" ht="17.100000000000001" customHeight="1" thickTop="1">
      <c r="A5184" s="109" t="s">
        <v>15265</v>
      </c>
      <c r="B5184" s="28">
        <v>46039</v>
      </c>
      <c r="C5184" s="25">
        <v>1284</v>
      </c>
      <c r="D5184" s="13" t="s">
        <v>1642</v>
      </c>
      <c r="E5184" s="111"/>
      <c r="F5184" s="113" t="s">
        <v>15287</v>
      </c>
      <c r="G5184" s="114"/>
      <c r="H5184" s="115"/>
      <c r="I5184" s="24"/>
      <c r="J5184" s="116">
        <v>4.5</v>
      </c>
      <c r="K5184" s="118">
        <v>920000</v>
      </c>
      <c r="L5184" s="119"/>
      <c r="M5184" s="118">
        <v>92000</v>
      </c>
      <c r="N5184" s="119"/>
      <c r="O5184" s="118">
        <v>0</v>
      </c>
      <c r="P5184" s="119"/>
      <c r="Q5184" s="118">
        <v>6860</v>
      </c>
      <c r="R5184" s="119"/>
      <c r="S5184" s="118">
        <v>12100</v>
      </c>
      <c r="T5184" s="119"/>
      <c r="U5184" s="118">
        <f t="shared" ref="U5184" si="6317">SUM(K5184:T5185)</f>
        <v>1030960</v>
      </c>
      <c r="V5184" s="122"/>
      <c r="W5184" s="124"/>
      <c r="X5184" s="126" t="s">
        <v>15763</v>
      </c>
      <c r="Y5184" s="127"/>
      <c r="Z5184" s="127"/>
      <c r="AA5184" s="127"/>
      <c r="AB5184" s="128"/>
      <c r="AC5184" s="15" t="s">
        <v>20</v>
      </c>
      <c r="AD5184" s="129"/>
      <c r="AE5184" s="130"/>
      <c r="AF5184" s="130"/>
      <c r="AG5184" s="130"/>
      <c r="AH5184" s="130"/>
      <c r="AI5184" s="131"/>
      <c r="AJ5184" s="132"/>
      <c r="AK5184" s="127"/>
      <c r="AL5184" s="128"/>
      <c r="AM5184" s="21"/>
      <c r="AN5184" s="133">
        <v>46043</v>
      </c>
      <c r="AO5184" s="134"/>
      <c r="AP5184" s="135">
        <v>1001</v>
      </c>
      <c r="AQ5184" s="136"/>
      <c r="AR5184" s="118">
        <v>1050000</v>
      </c>
      <c r="AS5184" s="119"/>
      <c r="AT5184" s="118">
        <f t="shared" ref="AT5184" si="6318">AR5184*0.1</f>
        <v>105000</v>
      </c>
      <c r="AU5184" s="119"/>
      <c r="AV5184" s="118">
        <v>6860</v>
      </c>
      <c r="AW5184" s="119"/>
      <c r="AX5184" s="118">
        <f t="shared" ref="AX5184" si="6319">SUM(AR5184:AW5184)</f>
        <v>1161860</v>
      </c>
      <c r="AY5184" s="119"/>
      <c r="AZ5184" s="137">
        <v>46049</v>
      </c>
    </row>
    <row r="5185" spans="1:52" ht="17.100000000000001" customHeight="1" thickBot="1">
      <c r="A5185" s="110"/>
      <c r="B5185" s="27" t="s">
        <v>2511</v>
      </c>
      <c r="C5185" s="27">
        <v>65376</v>
      </c>
      <c r="D5185" s="14" t="s">
        <v>275</v>
      </c>
      <c r="E5185" s="112"/>
      <c r="F5185" s="139" t="s">
        <v>15288</v>
      </c>
      <c r="G5185" s="140"/>
      <c r="H5185" s="141"/>
      <c r="I5185" s="26">
        <v>25742</v>
      </c>
      <c r="J5185" s="117"/>
      <c r="K5185" s="120"/>
      <c r="L5185" s="121"/>
      <c r="M5185" s="120"/>
      <c r="N5185" s="121"/>
      <c r="O5185" s="120"/>
      <c r="P5185" s="121"/>
      <c r="Q5185" s="120"/>
      <c r="R5185" s="121"/>
      <c r="S5185" s="120"/>
      <c r="T5185" s="121"/>
      <c r="U5185" s="120"/>
      <c r="V5185" s="123"/>
      <c r="W5185" s="125"/>
      <c r="X5185" s="142" t="s">
        <v>3410</v>
      </c>
      <c r="Y5185" s="143"/>
      <c r="Z5185" s="143"/>
      <c r="AA5185" s="143"/>
      <c r="AB5185" s="144"/>
      <c r="AC5185" s="16" t="s">
        <v>21</v>
      </c>
      <c r="AD5185" s="17" t="s">
        <v>15708</v>
      </c>
      <c r="AE5185" s="145" t="s">
        <v>15764</v>
      </c>
      <c r="AF5185" s="146"/>
      <c r="AG5185" s="146"/>
      <c r="AH5185" s="146"/>
      <c r="AI5185" s="147"/>
      <c r="AJ5185" s="148"/>
      <c r="AK5185" s="143"/>
      <c r="AL5185" s="144"/>
      <c r="AM5185" s="22"/>
      <c r="AN5185" s="149" t="s">
        <v>2794</v>
      </c>
      <c r="AO5185" s="144"/>
      <c r="AP5185" s="148">
        <v>2072</v>
      </c>
      <c r="AQ5185" s="144"/>
      <c r="AR5185" s="120"/>
      <c r="AS5185" s="121"/>
      <c r="AT5185" s="120"/>
      <c r="AU5185" s="121"/>
      <c r="AV5185" s="120"/>
      <c r="AW5185" s="121"/>
      <c r="AX5185" s="120"/>
      <c r="AY5185" s="121"/>
      <c r="AZ5185" s="138"/>
    </row>
    <row r="5186" spans="1:52" ht="17.100000000000001" customHeight="1" thickTop="1">
      <c r="A5186" s="109" t="s">
        <v>15266</v>
      </c>
      <c r="B5186" s="28">
        <v>46039</v>
      </c>
      <c r="C5186" s="25">
        <v>1284</v>
      </c>
      <c r="D5186" s="13" t="s">
        <v>2329</v>
      </c>
      <c r="E5186" s="111"/>
      <c r="F5186" s="113" t="s">
        <v>15289</v>
      </c>
      <c r="G5186" s="114"/>
      <c r="H5186" s="115"/>
      <c r="I5186" s="24" t="s">
        <v>4678</v>
      </c>
      <c r="J5186" s="116">
        <v>4.5</v>
      </c>
      <c r="K5186" s="118">
        <v>780000</v>
      </c>
      <c r="L5186" s="119"/>
      <c r="M5186" s="118">
        <f t="shared" ref="M5186" si="6320">K5186*0.1</f>
        <v>78000</v>
      </c>
      <c r="N5186" s="119"/>
      <c r="O5186" s="118">
        <v>0</v>
      </c>
      <c r="P5186" s="119"/>
      <c r="Q5186" s="118">
        <v>9310</v>
      </c>
      <c r="R5186" s="119"/>
      <c r="S5186" s="118">
        <v>12100</v>
      </c>
      <c r="T5186" s="119"/>
      <c r="U5186" s="118">
        <f t="shared" ref="U5186" si="6321">SUM(K5186:T5187)</f>
        <v>879410</v>
      </c>
      <c r="V5186" s="122"/>
      <c r="W5186" s="124"/>
      <c r="X5186" s="126" t="s">
        <v>15304</v>
      </c>
      <c r="Y5186" s="127"/>
      <c r="Z5186" s="127"/>
      <c r="AA5186" s="127"/>
      <c r="AB5186" s="128"/>
      <c r="AC5186" s="15" t="s">
        <v>20</v>
      </c>
      <c r="AD5186" s="129" t="s">
        <v>3828</v>
      </c>
      <c r="AE5186" s="130"/>
      <c r="AF5186" s="130"/>
      <c r="AG5186" s="130"/>
      <c r="AH5186" s="130"/>
      <c r="AI5186" s="131"/>
      <c r="AJ5186" s="132"/>
      <c r="AK5186" s="127"/>
      <c r="AL5186" s="128"/>
      <c r="AM5186" s="21" t="s">
        <v>17468</v>
      </c>
      <c r="AN5186" s="133">
        <v>46057</v>
      </c>
      <c r="AO5186" s="134"/>
      <c r="AP5186" s="135">
        <v>1003</v>
      </c>
      <c r="AQ5186" s="136"/>
      <c r="AR5186" s="118">
        <v>850000</v>
      </c>
      <c r="AS5186" s="119"/>
      <c r="AT5186" s="118">
        <f t="shared" ref="AT5186" si="6322">AR5186*0.1</f>
        <v>85000</v>
      </c>
      <c r="AU5186" s="119"/>
      <c r="AV5186" s="118">
        <v>9310</v>
      </c>
      <c r="AW5186" s="119"/>
      <c r="AX5186" s="118">
        <f t="shared" ref="AX5186" si="6323">SUM(AR5186:AW5186)</f>
        <v>944310</v>
      </c>
      <c r="AY5186" s="119"/>
      <c r="AZ5186" s="137">
        <v>46065</v>
      </c>
    </row>
    <row r="5187" spans="1:52" ht="17.100000000000001" customHeight="1" thickBot="1">
      <c r="A5187" s="110"/>
      <c r="B5187" s="27" t="s">
        <v>2511</v>
      </c>
      <c r="C5187" s="27">
        <v>65459</v>
      </c>
      <c r="D5187" s="14" t="s">
        <v>2601</v>
      </c>
      <c r="E5187" s="112"/>
      <c r="F5187" s="139" t="s">
        <v>15290</v>
      </c>
      <c r="G5187" s="140"/>
      <c r="H5187" s="141"/>
      <c r="I5187" s="26">
        <v>73452</v>
      </c>
      <c r="J5187" s="117"/>
      <c r="K5187" s="120"/>
      <c r="L5187" s="121"/>
      <c r="M5187" s="120"/>
      <c r="N5187" s="121"/>
      <c r="O5187" s="120"/>
      <c r="P5187" s="121"/>
      <c r="Q5187" s="120"/>
      <c r="R5187" s="121"/>
      <c r="S5187" s="120"/>
      <c r="T5187" s="121"/>
      <c r="U5187" s="120"/>
      <c r="V5187" s="123"/>
      <c r="W5187" s="125"/>
      <c r="X5187" s="142" t="s">
        <v>6837</v>
      </c>
      <c r="Y5187" s="143"/>
      <c r="Z5187" s="143"/>
      <c r="AA5187" s="143"/>
      <c r="AB5187" s="144"/>
      <c r="AC5187" s="16" t="s">
        <v>21</v>
      </c>
      <c r="AD5187" s="17" t="s">
        <v>15708</v>
      </c>
      <c r="AE5187" s="145" t="s">
        <v>1742</v>
      </c>
      <c r="AF5187" s="146"/>
      <c r="AG5187" s="146"/>
      <c r="AH5187" s="146"/>
      <c r="AI5187" s="147"/>
      <c r="AJ5187" s="148"/>
      <c r="AK5187" s="143"/>
      <c r="AL5187" s="144"/>
      <c r="AM5187" s="22"/>
      <c r="AN5187" s="149" t="s">
        <v>7285</v>
      </c>
      <c r="AO5187" s="144"/>
      <c r="AP5187" s="148">
        <v>2069</v>
      </c>
      <c r="AQ5187" s="144"/>
      <c r="AR5187" s="120"/>
      <c r="AS5187" s="121"/>
      <c r="AT5187" s="120"/>
      <c r="AU5187" s="121"/>
      <c r="AV5187" s="120"/>
      <c r="AW5187" s="121"/>
      <c r="AX5187" s="120"/>
      <c r="AY5187" s="121"/>
      <c r="AZ5187" s="138"/>
    </row>
    <row r="5188" spans="1:52" ht="17.100000000000001" customHeight="1" thickTop="1">
      <c r="A5188" s="109" t="s">
        <v>15267</v>
      </c>
      <c r="B5188" s="28">
        <v>46039</v>
      </c>
      <c r="C5188" s="25">
        <v>1284</v>
      </c>
      <c r="D5188" s="13" t="s">
        <v>3381</v>
      </c>
      <c r="E5188" s="111"/>
      <c r="F5188" s="113" t="s">
        <v>15291</v>
      </c>
      <c r="G5188" s="114"/>
      <c r="H5188" s="115"/>
      <c r="I5188" s="24"/>
      <c r="J5188" s="116">
        <v>4</v>
      </c>
      <c r="K5188" s="118">
        <v>660000</v>
      </c>
      <c r="L5188" s="119"/>
      <c r="M5188" s="118">
        <f t="shared" ref="M5188" si="6324">K5188*0.1</f>
        <v>66000</v>
      </c>
      <c r="N5188" s="119"/>
      <c r="O5188" s="118">
        <v>0</v>
      </c>
      <c r="P5188" s="119"/>
      <c r="Q5188" s="118">
        <v>9200</v>
      </c>
      <c r="R5188" s="119"/>
      <c r="S5188" s="118">
        <v>13200</v>
      </c>
      <c r="T5188" s="119"/>
      <c r="U5188" s="118">
        <f t="shared" ref="U5188" si="6325">SUM(K5188:T5189)</f>
        <v>748400</v>
      </c>
      <c r="V5188" s="122"/>
      <c r="W5188" s="124"/>
      <c r="X5188" s="126" t="s">
        <v>15747</v>
      </c>
      <c r="Y5188" s="127"/>
      <c r="Z5188" s="127"/>
      <c r="AA5188" s="127"/>
      <c r="AB5188" s="128"/>
      <c r="AC5188" s="15" t="s">
        <v>20</v>
      </c>
      <c r="AD5188" s="129"/>
      <c r="AE5188" s="130"/>
      <c r="AF5188" s="130"/>
      <c r="AG5188" s="130"/>
      <c r="AH5188" s="130"/>
      <c r="AI5188" s="131"/>
      <c r="AJ5188" s="132"/>
      <c r="AK5188" s="127"/>
      <c r="AL5188" s="128"/>
      <c r="AM5188" s="21"/>
      <c r="AN5188" s="133"/>
      <c r="AO5188" s="134"/>
      <c r="AP5188" s="135"/>
      <c r="AQ5188" s="136"/>
      <c r="AR5188" s="118"/>
      <c r="AS5188" s="119"/>
      <c r="AT5188" s="118">
        <f t="shared" ref="AT5188" si="6326">AR5188*0.1</f>
        <v>0</v>
      </c>
      <c r="AU5188" s="119"/>
      <c r="AV5188" s="118"/>
      <c r="AW5188" s="119"/>
      <c r="AX5188" s="118">
        <f t="shared" ref="AX5188" si="6327">SUM(AR5188:AW5188)</f>
        <v>0</v>
      </c>
      <c r="AY5188" s="119"/>
      <c r="AZ5188" s="137"/>
    </row>
    <row r="5189" spans="1:52" ht="17.100000000000001" customHeight="1" thickBot="1">
      <c r="A5189" s="110"/>
      <c r="B5189" s="27" t="s">
        <v>2511</v>
      </c>
      <c r="C5189" s="27">
        <v>65521</v>
      </c>
      <c r="D5189" s="14" t="s">
        <v>1720</v>
      </c>
      <c r="E5189" s="112"/>
      <c r="F5189" s="139" t="s">
        <v>15292</v>
      </c>
      <c r="G5189" s="140"/>
      <c r="H5189" s="141"/>
      <c r="I5189" s="26">
        <v>77010</v>
      </c>
      <c r="J5189" s="117"/>
      <c r="K5189" s="120"/>
      <c r="L5189" s="121"/>
      <c r="M5189" s="120"/>
      <c r="N5189" s="121"/>
      <c r="O5189" s="120"/>
      <c r="P5189" s="121"/>
      <c r="Q5189" s="120"/>
      <c r="R5189" s="121"/>
      <c r="S5189" s="120"/>
      <c r="T5189" s="121"/>
      <c r="U5189" s="120"/>
      <c r="V5189" s="123"/>
      <c r="W5189" s="125"/>
      <c r="X5189" s="142" t="s">
        <v>6939</v>
      </c>
      <c r="Y5189" s="143"/>
      <c r="Z5189" s="143"/>
      <c r="AA5189" s="143"/>
      <c r="AB5189" s="144"/>
      <c r="AC5189" s="16" t="s">
        <v>21</v>
      </c>
      <c r="AD5189" s="17" t="s">
        <v>15708</v>
      </c>
      <c r="AE5189" s="145" t="s">
        <v>13855</v>
      </c>
      <c r="AF5189" s="146"/>
      <c r="AG5189" s="146"/>
      <c r="AH5189" s="146"/>
      <c r="AI5189" s="147"/>
      <c r="AJ5189" s="148" t="s">
        <v>15694</v>
      </c>
      <c r="AK5189" s="143"/>
      <c r="AL5189" s="144"/>
      <c r="AM5189" s="22"/>
      <c r="AN5189" s="149"/>
      <c r="AO5189" s="144"/>
      <c r="AP5189" s="148"/>
      <c r="AQ5189" s="144"/>
      <c r="AR5189" s="120"/>
      <c r="AS5189" s="121"/>
      <c r="AT5189" s="120"/>
      <c r="AU5189" s="121"/>
      <c r="AV5189" s="120"/>
      <c r="AW5189" s="121"/>
      <c r="AX5189" s="120"/>
      <c r="AY5189" s="121"/>
      <c r="AZ5189" s="138"/>
    </row>
    <row r="5190" spans="1:52" ht="17.100000000000001" customHeight="1" thickTop="1">
      <c r="A5190" s="109" t="s">
        <v>15268</v>
      </c>
      <c r="B5190" s="28">
        <v>46039</v>
      </c>
      <c r="C5190" s="25">
        <v>1284</v>
      </c>
      <c r="D5190" s="13" t="s">
        <v>3014</v>
      </c>
      <c r="E5190" s="111"/>
      <c r="F5190" s="113" t="s">
        <v>15293</v>
      </c>
      <c r="G5190" s="114"/>
      <c r="H5190" s="115"/>
      <c r="I5190" s="24" t="s">
        <v>3509</v>
      </c>
      <c r="J5190" s="116">
        <v>4.5</v>
      </c>
      <c r="K5190" s="118">
        <v>2290000</v>
      </c>
      <c r="L5190" s="119"/>
      <c r="M5190" s="118">
        <f t="shared" ref="M5190" si="6328">K5190*0.1</f>
        <v>229000</v>
      </c>
      <c r="N5190" s="119"/>
      <c r="O5190" s="118">
        <v>6600</v>
      </c>
      <c r="P5190" s="119"/>
      <c r="Q5190" s="118">
        <v>17600</v>
      </c>
      <c r="R5190" s="119"/>
      <c r="S5190" s="118">
        <v>16500</v>
      </c>
      <c r="T5190" s="119"/>
      <c r="U5190" s="118">
        <f t="shared" ref="U5190" si="6329">SUM(K5190:T5191)</f>
        <v>2559700</v>
      </c>
      <c r="V5190" s="122"/>
      <c r="W5190" s="124"/>
      <c r="X5190" s="126" t="s">
        <v>15306</v>
      </c>
      <c r="Y5190" s="127"/>
      <c r="Z5190" s="127"/>
      <c r="AA5190" s="127"/>
      <c r="AB5190" s="128"/>
      <c r="AC5190" s="15" t="s">
        <v>20</v>
      </c>
      <c r="AD5190" s="129" t="s">
        <v>1670</v>
      </c>
      <c r="AE5190" s="130"/>
      <c r="AF5190" s="130"/>
      <c r="AG5190" s="130"/>
      <c r="AH5190" s="130"/>
      <c r="AI5190" s="131"/>
      <c r="AJ5190" s="132"/>
      <c r="AK5190" s="127"/>
      <c r="AL5190" s="128"/>
      <c r="AM5190" s="21"/>
      <c r="AN5190" s="133"/>
      <c r="AO5190" s="134"/>
      <c r="AP5190" s="135"/>
      <c r="AQ5190" s="136"/>
      <c r="AR5190" s="118"/>
      <c r="AS5190" s="119"/>
      <c r="AT5190" s="118">
        <f t="shared" ref="AT5190" si="6330">AR5190*0.1</f>
        <v>0</v>
      </c>
      <c r="AU5190" s="119"/>
      <c r="AV5190" s="118"/>
      <c r="AW5190" s="119"/>
      <c r="AX5190" s="118">
        <f t="shared" ref="AX5190" si="6331">SUM(AR5190:AW5190)</f>
        <v>0</v>
      </c>
      <c r="AY5190" s="119"/>
      <c r="AZ5190" s="137"/>
    </row>
    <row r="5191" spans="1:52" ht="17.100000000000001" customHeight="1" thickBot="1">
      <c r="A5191" s="110"/>
      <c r="B5191" s="27" t="s">
        <v>2511</v>
      </c>
      <c r="C5191" s="27">
        <v>82554</v>
      </c>
      <c r="D5191" s="14" t="s">
        <v>1700</v>
      </c>
      <c r="E5191" s="112"/>
      <c r="F5191" s="139" t="s">
        <v>15305</v>
      </c>
      <c r="G5191" s="140"/>
      <c r="H5191" s="141"/>
      <c r="I5191" s="26">
        <v>28331</v>
      </c>
      <c r="J5191" s="117"/>
      <c r="K5191" s="120"/>
      <c r="L5191" s="121"/>
      <c r="M5191" s="120"/>
      <c r="N5191" s="121"/>
      <c r="O5191" s="120"/>
      <c r="P5191" s="121"/>
      <c r="Q5191" s="120"/>
      <c r="R5191" s="121"/>
      <c r="S5191" s="120"/>
      <c r="T5191" s="121"/>
      <c r="U5191" s="120"/>
      <c r="V5191" s="123"/>
      <c r="W5191" s="125"/>
      <c r="X5191" s="142" t="s">
        <v>12695</v>
      </c>
      <c r="Y5191" s="143"/>
      <c r="Z5191" s="143"/>
      <c r="AA5191" s="143"/>
      <c r="AB5191" s="144"/>
      <c r="AC5191" s="16" t="s">
        <v>21</v>
      </c>
      <c r="AD5191" s="17" t="s">
        <v>2644</v>
      </c>
      <c r="AE5191" s="145" t="s">
        <v>171</v>
      </c>
      <c r="AF5191" s="146"/>
      <c r="AG5191" s="146"/>
      <c r="AH5191" s="146"/>
      <c r="AI5191" s="147"/>
      <c r="AJ5191" s="148"/>
      <c r="AK5191" s="143"/>
      <c r="AL5191" s="144"/>
      <c r="AM5191" s="22"/>
      <c r="AN5191" s="149"/>
      <c r="AO5191" s="144"/>
      <c r="AP5191" s="148"/>
      <c r="AQ5191" s="144"/>
      <c r="AR5191" s="120"/>
      <c r="AS5191" s="121"/>
      <c r="AT5191" s="120"/>
      <c r="AU5191" s="121"/>
      <c r="AV5191" s="120"/>
      <c r="AW5191" s="121"/>
      <c r="AX5191" s="120"/>
      <c r="AY5191" s="121"/>
      <c r="AZ5191" s="138"/>
    </row>
    <row r="5192" spans="1:52" ht="17.100000000000001" customHeight="1" thickTop="1">
      <c r="A5192" s="109" t="s">
        <v>15269</v>
      </c>
      <c r="B5192" s="28">
        <v>46039</v>
      </c>
      <c r="C5192" s="25">
        <v>1284</v>
      </c>
      <c r="D5192" s="13" t="s">
        <v>1623</v>
      </c>
      <c r="E5192" s="111"/>
      <c r="F5192" s="113" t="s">
        <v>15294</v>
      </c>
      <c r="G5192" s="114"/>
      <c r="H5192" s="115"/>
      <c r="I5192" s="24"/>
      <c r="J5192" s="116">
        <v>4</v>
      </c>
      <c r="K5192" s="118">
        <v>280000</v>
      </c>
      <c r="L5192" s="119"/>
      <c r="M5192" s="118">
        <f t="shared" ref="M5192" si="6332">K5192*0.1</f>
        <v>28000</v>
      </c>
      <c r="N5192" s="119"/>
      <c r="O5192" s="118">
        <v>0</v>
      </c>
      <c r="P5192" s="119"/>
      <c r="Q5192" s="118">
        <v>17700</v>
      </c>
      <c r="R5192" s="119"/>
      <c r="S5192" s="118">
        <v>16500</v>
      </c>
      <c r="T5192" s="119"/>
      <c r="U5192" s="118">
        <f t="shared" ref="U5192" si="6333">SUM(K5192:T5193)</f>
        <v>342200</v>
      </c>
      <c r="V5192" s="122"/>
      <c r="W5192" s="124"/>
      <c r="X5192" s="126" t="s">
        <v>15711</v>
      </c>
      <c r="Y5192" s="127"/>
      <c r="Z5192" s="127"/>
      <c r="AA5192" s="127"/>
      <c r="AB5192" s="128"/>
      <c r="AC5192" s="15" t="s">
        <v>20</v>
      </c>
      <c r="AD5192" s="129" t="s">
        <v>15308</v>
      </c>
      <c r="AE5192" s="130"/>
      <c r="AF5192" s="130"/>
      <c r="AG5192" s="130"/>
      <c r="AH5192" s="130"/>
      <c r="AI5192" s="131"/>
      <c r="AJ5192" s="132"/>
      <c r="AK5192" s="127"/>
      <c r="AL5192" s="128"/>
      <c r="AM5192" s="21"/>
      <c r="AN5192" s="133">
        <v>46046</v>
      </c>
      <c r="AO5192" s="134"/>
      <c r="AP5192" s="135">
        <v>1285</v>
      </c>
      <c r="AQ5192" s="136"/>
      <c r="AR5192" s="118">
        <v>385000</v>
      </c>
      <c r="AS5192" s="119"/>
      <c r="AT5192" s="118">
        <f t="shared" ref="AT5192" si="6334">AR5192*0.1</f>
        <v>38500</v>
      </c>
      <c r="AU5192" s="119"/>
      <c r="AV5192" s="118">
        <v>17700</v>
      </c>
      <c r="AW5192" s="119"/>
      <c r="AX5192" s="118">
        <f t="shared" ref="AX5192" si="6335">SUM(AR5192:AW5192)</f>
        <v>441200</v>
      </c>
      <c r="AY5192" s="119"/>
      <c r="AZ5192" s="137">
        <v>46049</v>
      </c>
    </row>
    <row r="5193" spans="1:52" ht="17.100000000000001" customHeight="1" thickBot="1">
      <c r="A5193" s="110"/>
      <c r="B5193" s="27" t="s">
        <v>2511</v>
      </c>
      <c r="C5193" s="27">
        <v>82660</v>
      </c>
      <c r="D5193" s="14" t="s">
        <v>904</v>
      </c>
      <c r="E5193" s="112"/>
      <c r="F5193" s="139" t="s">
        <v>15307</v>
      </c>
      <c r="G5193" s="140"/>
      <c r="H5193" s="141"/>
      <c r="I5193" s="26">
        <v>79722</v>
      </c>
      <c r="J5193" s="117"/>
      <c r="K5193" s="120"/>
      <c r="L5193" s="121"/>
      <c r="M5193" s="120"/>
      <c r="N5193" s="121"/>
      <c r="O5193" s="120"/>
      <c r="P5193" s="121"/>
      <c r="Q5193" s="120"/>
      <c r="R5193" s="121"/>
      <c r="S5193" s="120"/>
      <c r="T5193" s="121"/>
      <c r="U5193" s="120"/>
      <c r="V5193" s="123"/>
      <c r="W5193" s="125"/>
      <c r="X5193" s="142" t="s">
        <v>15712</v>
      </c>
      <c r="Y5193" s="143"/>
      <c r="Z5193" s="143"/>
      <c r="AA5193" s="143"/>
      <c r="AB5193" s="144"/>
      <c r="AC5193" s="16" t="s">
        <v>21</v>
      </c>
      <c r="AD5193" s="17" t="s">
        <v>15708</v>
      </c>
      <c r="AE5193" s="145" t="s">
        <v>15646</v>
      </c>
      <c r="AF5193" s="146"/>
      <c r="AG5193" s="146"/>
      <c r="AH5193" s="146"/>
      <c r="AI5193" s="147"/>
      <c r="AJ5193" s="148"/>
      <c r="AK5193" s="143"/>
      <c r="AL5193" s="144"/>
      <c r="AM5193" s="22"/>
      <c r="AN5193" s="149" t="s">
        <v>2511</v>
      </c>
      <c r="AO5193" s="144"/>
      <c r="AP5193" s="148">
        <v>80248</v>
      </c>
      <c r="AQ5193" s="144"/>
      <c r="AR5193" s="120"/>
      <c r="AS5193" s="121"/>
      <c r="AT5193" s="120"/>
      <c r="AU5193" s="121"/>
      <c r="AV5193" s="120"/>
      <c r="AW5193" s="121"/>
      <c r="AX5193" s="120"/>
      <c r="AY5193" s="121"/>
      <c r="AZ5193" s="138"/>
    </row>
    <row r="5194" spans="1:52" ht="17.100000000000001" customHeight="1" thickTop="1">
      <c r="A5194" s="151" t="s">
        <v>15270</v>
      </c>
      <c r="B5194" s="28">
        <v>46039</v>
      </c>
      <c r="C5194" s="25">
        <v>1284</v>
      </c>
      <c r="D5194" s="13" t="s">
        <v>2442</v>
      </c>
      <c r="E5194" s="111"/>
      <c r="F5194" s="113" t="s">
        <v>15295</v>
      </c>
      <c r="G5194" s="114"/>
      <c r="H5194" s="115"/>
      <c r="I5194" s="24"/>
      <c r="J5194" s="116">
        <v>4.5</v>
      </c>
      <c r="K5194" s="118">
        <v>1935000</v>
      </c>
      <c r="L5194" s="119"/>
      <c r="M5194" s="118">
        <f t="shared" ref="M5194" si="6336">K5194*0.1</f>
        <v>193500</v>
      </c>
      <c r="N5194" s="119"/>
      <c r="O5194" s="118">
        <v>0</v>
      </c>
      <c r="P5194" s="119"/>
      <c r="Q5194" s="118">
        <v>16240</v>
      </c>
      <c r="R5194" s="119"/>
      <c r="S5194" s="118">
        <v>16500</v>
      </c>
      <c r="T5194" s="119"/>
      <c r="U5194" s="118">
        <f t="shared" ref="U5194" si="6337">SUM(K5194:T5195)</f>
        <v>2161240</v>
      </c>
      <c r="V5194" s="122"/>
      <c r="W5194" s="124"/>
      <c r="X5194" s="126"/>
      <c r="Y5194" s="127"/>
      <c r="Z5194" s="127"/>
      <c r="AA5194" s="127"/>
      <c r="AB5194" s="128"/>
      <c r="AC5194" s="15" t="s">
        <v>20</v>
      </c>
      <c r="AD5194" s="129" t="s">
        <v>3828</v>
      </c>
      <c r="AE5194" s="130"/>
      <c r="AF5194" s="130"/>
      <c r="AG5194" s="130"/>
      <c r="AH5194" s="130"/>
      <c r="AI5194" s="131"/>
      <c r="AJ5194" s="132" t="s">
        <v>8040</v>
      </c>
      <c r="AK5194" s="127"/>
      <c r="AL5194" s="128"/>
      <c r="AM5194" s="21"/>
      <c r="AN5194" s="133"/>
      <c r="AO5194" s="134"/>
      <c r="AP5194" s="135"/>
      <c r="AQ5194" s="136"/>
      <c r="AR5194" s="118"/>
      <c r="AS5194" s="119"/>
      <c r="AT5194" s="118">
        <f t="shared" ref="AT5194" si="6338">AR5194*0.1</f>
        <v>0</v>
      </c>
      <c r="AU5194" s="119"/>
      <c r="AV5194" s="118"/>
      <c r="AW5194" s="119"/>
      <c r="AX5194" s="118">
        <f t="shared" ref="AX5194" si="6339">SUM(AR5194:AW5194)</f>
        <v>0</v>
      </c>
      <c r="AY5194" s="119"/>
      <c r="AZ5194" s="137"/>
    </row>
    <row r="5195" spans="1:52" ht="17.100000000000001" customHeight="1" thickBot="1">
      <c r="A5195" s="152"/>
      <c r="B5195" s="27" t="s">
        <v>2511</v>
      </c>
      <c r="C5195" s="27">
        <v>82663</v>
      </c>
      <c r="D5195" s="14" t="s">
        <v>15309</v>
      </c>
      <c r="E5195" s="112"/>
      <c r="F5195" s="139" t="s">
        <v>15310</v>
      </c>
      <c r="G5195" s="140"/>
      <c r="H5195" s="141"/>
      <c r="I5195" s="26">
        <v>37987</v>
      </c>
      <c r="J5195" s="117"/>
      <c r="K5195" s="120"/>
      <c r="L5195" s="121"/>
      <c r="M5195" s="120"/>
      <c r="N5195" s="121"/>
      <c r="O5195" s="120"/>
      <c r="P5195" s="121"/>
      <c r="Q5195" s="120"/>
      <c r="R5195" s="121"/>
      <c r="S5195" s="120"/>
      <c r="T5195" s="121"/>
      <c r="U5195" s="120"/>
      <c r="V5195" s="123"/>
      <c r="W5195" s="125"/>
      <c r="X5195" s="142"/>
      <c r="Y5195" s="143"/>
      <c r="Z5195" s="143"/>
      <c r="AA5195" s="143"/>
      <c r="AB5195" s="144"/>
      <c r="AC5195" s="16" t="s">
        <v>21</v>
      </c>
      <c r="AD5195" s="17" t="s">
        <v>10540</v>
      </c>
      <c r="AE5195" s="145"/>
      <c r="AF5195" s="146"/>
      <c r="AG5195" s="146"/>
      <c r="AH5195" s="146"/>
      <c r="AI5195" s="147"/>
      <c r="AJ5195" s="148" t="s">
        <v>15713</v>
      </c>
      <c r="AK5195" s="143"/>
      <c r="AL5195" s="144"/>
      <c r="AM5195" s="22"/>
      <c r="AN5195" s="149"/>
      <c r="AO5195" s="144"/>
      <c r="AP5195" s="148"/>
      <c r="AQ5195" s="144"/>
      <c r="AR5195" s="120"/>
      <c r="AS5195" s="121"/>
      <c r="AT5195" s="120"/>
      <c r="AU5195" s="121"/>
      <c r="AV5195" s="120"/>
      <c r="AW5195" s="121"/>
      <c r="AX5195" s="120"/>
      <c r="AY5195" s="121"/>
      <c r="AZ5195" s="138"/>
    </row>
    <row r="5196" spans="1:52" ht="17.100000000000001" customHeight="1" thickTop="1">
      <c r="A5196" s="109" t="s">
        <v>15275</v>
      </c>
      <c r="B5196" s="28">
        <v>46039</v>
      </c>
      <c r="C5196" s="25">
        <v>1284</v>
      </c>
      <c r="D5196" s="13" t="s">
        <v>900</v>
      </c>
      <c r="E5196" s="111"/>
      <c r="F5196" s="113" t="s">
        <v>15296</v>
      </c>
      <c r="G5196" s="114"/>
      <c r="H5196" s="115"/>
      <c r="I5196" s="24" t="s">
        <v>3585</v>
      </c>
      <c r="J5196" s="116">
        <v>4.5</v>
      </c>
      <c r="K5196" s="118">
        <v>424000</v>
      </c>
      <c r="L5196" s="119"/>
      <c r="M5196" s="118">
        <f t="shared" ref="M5196" si="6340">K5196*0.1</f>
        <v>42400</v>
      </c>
      <c r="N5196" s="119"/>
      <c r="O5196" s="118">
        <v>7150</v>
      </c>
      <c r="P5196" s="119"/>
      <c r="Q5196" s="118">
        <v>10720</v>
      </c>
      <c r="R5196" s="119"/>
      <c r="S5196" s="118">
        <v>8800</v>
      </c>
      <c r="T5196" s="119"/>
      <c r="U5196" s="118">
        <f t="shared" ref="U5196" si="6341">SUM(K5196:T5197)</f>
        <v>493070</v>
      </c>
      <c r="V5196" s="122"/>
      <c r="W5196" s="124"/>
      <c r="X5196" s="126" t="s">
        <v>15311</v>
      </c>
      <c r="Y5196" s="127"/>
      <c r="Z5196" s="127"/>
      <c r="AA5196" s="127"/>
      <c r="AB5196" s="128"/>
      <c r="AC5196" s="15" t="s">
        <v>20</v>
      </c>
      <c r="AD5196" s="129"/>
      <c r="AE5196" s="130"/>
      <c r="AF5196" s="130"/>
      <c r="AG5196" s="130"/>
      <c r="AH5196" s="130"/>
      <c r="AI5196" s="131"/>
      <c r="AJ5196" s="132"/>
      <c r="AK5196" s="127"/>
      <c r="AL5196" s="128"/>
      <c r="AM5196" s="21"/>
      <c r="AN5196" s="133">
        <v>46050</v>
      </c>
      <c r="AO5196" s="134"/>
      <c r="AP5196" s="135">
        <v>1002</v>
      </c>
      <c r="AQ5196" s="136"/>
      <c r="AR5196" s="118">
        <v>500000</v>
      </c>
      <c r="AS5196" s="119"/>
      <c r="AT5196" s="118">
        <f t="shared" ref="AT5196" si="6342">AR5196*0.1</f>
        <v>50000</v>
      </c>
      <c r="AU5196" s="119"/>
      <c r="AV5196" s="118">
        <v>10720</v>
      </c>
      <c r="AW5196" s="119"/>
      <c r="AX5196" s="118">
        <f t="shared" ref="AX5196" si="6343">SUM(AR5196:AW5196)</f>
        <v>560720</v>
      </c>
      <c r="AY5196" s="119"/>
      <c r="AZ5196" s="137">
        <v>46056</v>
      </c>
    </row>
    <row r="5197" spans="1:52" ht="17.100000000000001" customHeight="1" thickBot="1">
      <c r="A5197" s="110"/>
      <c r="B5197" s="27" t="s">
        <v>2511</v>
      </c>
      <c r="C5197" s="27">
        <v>90039</v>
      </c>
      <c r="D5197" s="14" t="s">
        <v>275</v>
      </c>
      <c r="E5197" s="112"/>
      <c r="F5197" s="139" t="s">
        <v>15744</v>
      </c>
      <c r="G5197" s="140"/>
      <c r="H5197" s="141"/>
      <c r="I5197" s="26">
        <v>91200</v>
      </c>
      <c r="J5197" s="117"/>
      <c r="K5197" s="120"/>
      <c r="L5197" s="121"/>
      <c r="M5197" s="120"/>
      <c r="N5197" s="121"/>
      <c r="O5197" s="120"/>
      <c r="P5197" s="121"/>
      <c r="Q5197" s="120"/>
      <c r="R5197" s="121"/>
      <c r="S5197" s="120"/>
      <c r="T5197" s="121"/>
      <c r="U5197" s="120"/>
      <c r="V5197" s="123"/>
      <c r="W5197" s="125"/>
      <c r="X5197" s="142" t="s">
        <v>15752</v>
      </c>
      <c r="Y5197" s="143"/>
      <c r="Z5197" s="143"/>
      <c r="AA5197" s="143"/>
      <c r="AB5197" s="144"/>
      <c r="AC5197" s="16" t="s">
        <v>21</v>
      </c>
      <c r="AD5197" s="17" t="s">
        <v>15708</v>
      </c>
      <c r="AE5197" s="145" t="s">
        <v>15753</v>
      </c>
      <c r="AF5197" s="146"/>
      <c r="AG5197" s="146"/>
      <c r="AH5197" s="146"/>
      <c r="AI5197" s="147"/>
      <c r="AJ5197" s="148"/>
      <c r="AK5197" s="143"/>
      <c r="AL5197" s="144"/>
      <c r="AM5197" s="22"/>
      <c r="AN5197" s="149" t="s">
        <v>7285</v>
      </c>
      <c r="AO5197" s="144"/>
      <c r="AP5197" s="148">
        <v>5178</v>
      </c>
      <c r="AQ5197" s="144"/>
      <c r="AR5197" s="120"/>
      <c r="AS5197" s="121"/>
      <c r="AT5197" s="120"/>
      <c r="AU5197" s="121"/>
      <c r="AV5197" s="120"/>
      <c r="AW5197" s="121"/>
      <c r="AX5197" s="120"/>
      <c r="AY5197" s="121"/>
      <c r="AZ5197" s="138"/>
    </row>
    <row r="5198" spans="1:52" ht="17.100000000000001" customHeight="1" thickTop="1">
      <c r="A5198" s="109" t="s">
        <v>15276</v>
      </c>
      <c r="B5198" s="28">
        <v>46039</v>
      </c>
      <c r="C5198" s="25">
        <v>1284</v>
      </c>
      <c r="D5198" s="13" t="s">
        <v>2428</v>
      </c>
      <c r="E5198" s="111"/>
      <c r="F5198" s="113" t="s">
        <v>15297</v>
      </c>
      <c r="G5198" s="114"/>
      <c r="H5198" s="115"/>
      <c r="I5198" s="24"/>
      <c r="J5198" s="116">
        <v>5</v>
      </c>
      <c r="K5198" s="118">
        <v>1389000</v>
      </c>
      <c r="L5198" s="119"/>
      <c r="M5198" s="118">
        <f t="shared" ref="M5198" si="6344">K5198*0.1</f>
        <v>138900</v>
      </c>
      <c r="N5198" s="119"/>
      <c r="O5198" s="118">
        <v>0</v>
      </c>
      <c r="P5198" s="119"/>
      <c r="Q5198" s="118">
        <v>8550</v>
      </c>
      <c r="R5198" s="119"/>
      <c r="S5198" s="118">
        <v>8800</v>
      </c>
      <c r="T5198" s="119"/>
      <c r="U5198" s="118">
        <f t="shared" ref="U5198" si="6345">SUM(K5198:T5199)</f>
        <v>1545250</v>
      </c>
      <c r="V5198" s="122"/>
      <c r="W5198" s="124"/>
      <c r="X5198" s="126" t="s">
        <v>15749</v>
      </c>
      <c r="Y5198" s="127"/>
      <c r="Z5198" s="127"/>
      <c r="AA5198" s="127"/>
      <c r="AB5198" s="128"/>
      <c r="AC5198" s="15" t="s">
        <v>20</v>
      </c>
      <c r="AD5198" s="129" t="s">
        <v>15312</v>
      </c>
      <c r="AE5198" s="130"/>
      <c r="AF5198" s="130"/>
      <c r="AG5198" s="130"/>
      <c r="AH5198" s="130"/>
      <c r="AI5198" s="131"/>
      <c r="AJ5198" s="132"/>
      <c r="AK5198" s="127"/>
      <c r="AL5198" s="128"/>
      <c r="AM5198" s="21"/>
      <c r="AN5198" s="133">
        <v>46063</v>
      </c>
      <c r="AO5198" s="134"/>
      <c r="AP5198" s="135">
        <v>1928</v>
      </c>
      <c r="AQ5198" s="136"/>
      <c r="AR5198" s="118">
        <v>1445000</v>
      </c>
      <c r="AS5198" s="119"/>
      <c r="AT5198" s="118">
        <f t="shared" ref="AT5198" si="6346">AR5198*0.1</f>
        <v>144500</v>
      </c>
      <c r="AU5198" s="119"/>
      <c r="AV5198" s="118">
        <v>8550</v>
      </c>
      <c r="AW5198" s="119"/>
      <c r="AX5198" s="118">
        <f t="shared" ref="AX5198" si="6347">SUM(AR5198:AW5198)</f>
        <v>1598050</v>
      </c>
      <c r="AY5198" s="119"/>
      <c r="AZ5198" s="137">
        <v>46070</v>
      </c>
    </row>
    <row r="5199" spans="1:52" ht="17.100000000000001" customHeight="1" thickBot="1">
      <c r="A5199" s="110"/>
      <c r="B5199" s="27" t="s">
        <v>2511</v>
      </c>
      <c r="C5199" s="27">
        <v>90283</v>
      </c>
      <c r="D5199" s="14" t="s">
        <v>275</v>
      </c>
      <c r="E5199" s="112"/>
      <c r="F5199" s="139" t="s">
        <v>15298</v>
      </c>
      <c r="G5199" s="140"/>
      <c r="H5199" s="141"/>
      <c r="I5199" s="26">
        <v>17759</v>
      </c>
      <c r="J5199" s="117"/>
      <c r="K5199" s="120"/>
      <c r="L5199" s="121"/>
      <c r="M5199" s="120"/>
      <c r="N5199" s="121"/>
      <c r="O5199" s="120"/>
      <c r="P5199" s="121"/>
      <c r="Q5199" s="120"/>
      <c r="R5199" s="121"/>
      <c r="S5199" s="120"/>
      <c r="T5199" s="121"/>
      <c r="U5199" s="120"/>
      <c r="V5199" s="123"/>
      <c r="W5199" s="125"/>
      <c r="X5199" s="142" t="s">
        <v>6772</v>
      </c>
      <c r="Y5199" s="143"/>
      <c r="Z5199" s="143"/>
      <c r="AA5199" s="143"/>
      <c r="AB5199" s="144"/>
      <c r="AC5199" s="16" t="s">
        <v>21</v>
      </c>
      <c r="AD5199" s="17" t="s">
        <v>15708</v>
      </c>
      <c r="AE5199" s="145" t="s">
        <v>15750</v>
      </c>
      <c r="AF5199" s="146"/>
      <c r="AG5199" s="146"/>
      <c r="AH5199" s="146"/>
      <c r="AI5199" s="147"/>
      <c r="AJ5199" s="148"/>
      <c r="AK5199" s="143"/>
      <c r="AL5199" s="144"/>
      <c r="AM5199" s="22"/>
      <c r="AN5199" s="149" t="s">
        <v>17756</v>
      </c>
      <c r="AO5199" s="144"/>
      <c r="AP5199" s="148">
        <v>3095</v>
      </c>
      <c r="AQ5199" s="144"/>
      <c r="AR5199" s="120"/>
      <c r="AS5199" s="121"/>
      <c r="AT5199" s="120"/>
      <c r="AU5199" s="121"/>
      <c r="AV5199" s="120"/>
      <c r="AW5199" s="121"/>
      <c r="AX5199" s="120"/>
      <c r="AY5199" s="121"/>
      <c r="AZ5199" s="138"/>
    </row>
    <row r="5200" spans="1:52" ht="17.100000000000001" customHeight="1" thickTop="1">
      <c r="A5200" s="109" t="s">
        <v>15429</v>
      </c>
      <c r="B5200" s="28">
        <v>46041</v>
      </c>
      <c r="C5200" s="25">
        <v>2077</v>
      </c>
      <c r="D5200" s="13" t="s">
        <v>2442</v>
      </c>
      <c r="E5200" s="111"/>
      <c r="F5200" s="113" t="s">
        <v>7340</v>
      </c>
      <c r="G5200" s="114"/>
      <c r="H5200" s="115"/>
      <c r="I5200" s="24"/>
      <c r="J5200" s="116">
        <v>4</v>
      </c>
      <c r="K5200" s="118">
        <v>757000</v>
      </c>
      <c r="L5200" s="119"/>
      <c r="M5200" s="118">
        <f t="shared" ref="M5200" si="6348">K5200*0.1</f>
        <v>75700</v>
      </c>
      <c r="N5200" s="119"/>
      <c r="O5200" s="118">
        <v>0</v>
      </c>
      <c r="P5200" s="119"/>
      <c r="Q5200" s="118">
        <v>8400</v>
      </c>
      <c r="R5200" s="119"/>
      <c r="S5200" s="118">
        <v>8800</v>
      </c>
      <c r="T5200" s="119"/>
      <c r="U5200" s="118">
        <f t="shared" ref="U5200" si="6349">SUM(K5200:T5201)</f>
        <v>849900</v>
      </c>
      <c r="V5200" s="122"/>
      <c r="W5200" s="124"/>
      <c r="X5200" s="126" t="s">
        <v>15677</v>
      </c>
      <c r="Y5200" s="127"/>
      <c r="Z5200" s="127"/>
      <c r="AA5200" s="127"/>
      <c r="AB5200" s="128"/>
      <c r="AC5200" s="15" t="s">
        <v>20</v>
      </c>
      <c r="AD5200" s="129" t="s">
        <v>15490</v>
      </c>
      <c r="AE5200" s="130"/>
      <c r="AF5200" s="130"/>
      <c r="AG5200" s="130"/>
      <c r="AH5200" s="130"/>
      <c r="AI5200" s="131"/>
      <c r="AJ5200" s="132"/>
      <c r="AK5200" s="127"/>
      <c r="AL5200" s="128"/>
      <c r="AM5200" s="21"/>
      <c r="AN5200" s="133">
        <v>46060</v>
      </c>
      <c r="AO5200" s="134"/>
      <c r="AP5200" s="135">
        <v>1287</v>
      </c>
      <c r="AQ5200" s="136"/>
      <c r="AR5200" s="118">
        <v>905000</v>
      </c>
      <c r="AS5200" s="119"/>
      <c r="AT5200" s="118">
        <f t="shared" ref="AT5200" si="6350">AR5200*0.1</f>
        <v>90500</v>
      </c>
      <c r="AU5200" s="119"/>
      <c r="AV5200" s="118">
        <v>8400</v>
      </c>
      <c r="AW5200" s="119"/>
      <c r="AX5200" s="118">
        <f t="shared" ref="AX5200" si="6351">SUM(AR5200:AW5200)</f>
        <v>1003900</v>
      </c>
      <c r="AY5200" s="119"/>
      <c r="AZ5200" s="137">
        <v>46063</v>
      </c>
    </row>
    <row r="5201" spans="1:52" ht="17.100000000000001" customHeight="1" thickBot="1">
      <c r="A5201" s="110"/>
      <c r="B5201" s="27" t="s">
        <v>15446</v>
      </c>
      <c r="C5201" s="27">
        <v>11023</v>
      </c>
      <c r="D5201" s="14" t="s">
        <v>275</v>
      </c>
      <c r="E5201" s="112"/>
      <c r="F5201" s="139" t="s">
        <v>15447</v>
      </c>
      <c r="G5201" s="140"/>
      <c r="H5201" s="141"/>
      <c r="I5201" s="26">
        <v>45994</v>
      </c>
      <c r="J5201" s="117"/>
      <c r="K5201" s="120"/>
      <c r="L5201" s="121"/>
      <c r="M5201" s="120"/>
      <c r="N5201" s="121"/>
      <c r="O5201" s="120"/>
      <c r="P5201" s="121"/>
      <c r="Q5201" s="120"/>
      <c r="R5201" s="121"/>
      <c r="S5201" s="120"/>
      <c r="T5201" s="121"/>
      <c r="U5201" s="120"/>
      <c r="V5201" s="123"/>
      <c r="W5201" s="125"/>
      <c r="X5201" s="142" t="s">
        <v>6866</v>
      </c>
      <c r="Y5201" s="143"/>
      <c r="Z5201" s="143"/>
      <c r="AA5201" s="143"/>
      <c r="AB5201" s="144"/>
      <c r="AC5201" s="16" t="s">
        <v>21</v>
      </c>
      <c r="AD5201" s="17" t="s">
        <v>15604</v>
      </c>
      <c r="AE5201" s="145" t="s">
        <v>4929</v>
      </c>
      <c r="AF5201" s="146"/>
      <c r="AG5201" s="146"/>
      <c r="AH5201" s="146"/>
      <c r="AI5201" s="147"/>
      <c r="AJ5201" s="148"/>
      <c r="AK5201" s="143"/>
      <c r="AL5201" s="144"/>
      <c r="AM5201" s="22"/>
      <c r="AN5201" s="149" t="s">
        <v>2511</v>
      </c>
      <c r="AO5201" s="144"/>
      <c r="AP5201" s="148">
        <v>60099</v>
      </c>
      <c r="AQ5201" s="144"/>
      <c r="AR5201" s="120"/>
      <c r="AS5201" s="121"/>
      <c r="AT5201" s="120"/>
      <c r="AU5201" s="121"/>
      <c r="AV5201" s="120"/>
      <c r="AW5201" s="121"/>
      <c r="AX5201" s="120"/>
      <c r="AY5201" s="121"/>
      <c r="AZ5201" s="138"/>
    </row>
    <row r="5202" spans="1:52" ht="17.100000000000001" customHeight="1" thickTop="1">
      <c r="A5202" s="109" t="s">
        <v>15430</v>
      </c>
      <c r="B5202" s="28">
        <v>46041</v>
      </c>
      <c r="C5202" s="25">
        <v>2077</v>
      </c>
      <c r="D5202" s="13" t="s">
        <v>2458</v>
      </c>
      <c r="E5202" s="111"/>
      <c r="F5202" s="113" t="s">
        <v>15491</v>
      </c>
      <c r="G5202" s="114"/>
      <c r="H5202" s="115"/>
      <c r="I5202" s="24"/>
      <c r="J5202" s="116">
        <v>4</v>
      </c>
      <c r="K5202" s="118">
        <v>887000</v>
      </c>
      <c r="L5202" s="119"/>
      <c r="M5202" s="118">
        <f t="shared" ref="M5202" si="6352">K5202*0.1</f>
        <v>88700</v>
      </c>
      <c r="N5202" s="119"/>
      <c r="O5202" s="118">
        <v>0</v>
      </c>
      <c r="P5202" s="119"/>
      <c r="Q5202" s="118">
        <v>22520</v>
      </c>
      <c r="R5202" s="119"/>
      <c r="S5202" s="118">
        <v>11000</v>
      </c>
      <c r="T5202" s="119"/>
      <c r="U5202" s="118">
        <f t="shared" ref="U5202" si="6353">SUM(K5202:T5203)</f>
        <v>1009220</v>
      </c>
      <c r="V5202" s="122"/>
      <c r="W5202" s="124"/>
      <c r="X5202" s="126" t="s">
        <v>15620</v>
      </c>
      <c r="Y5202" s="127"/>
      <c r="Z5202" s="127"/>
      <c r="AA5202" s="127"/>
      <c r="AB5202" s="128"/>
      <c r="AC5202" s="15" t="s">
        <v>20</v>
      </c>
      <c r="AD5202" s="129" t="s">
        <v>15492</v>
      </c>
      <c r="AE5202" s="130"/>
      <c r="AF5202" s="130"/>
      <c r="AG5202" s="130"/>
      <c r="AH5202" s="130"/>
      <c r="AI5202" s="131"/>
      <c r="AJ5202" s="132"/>
      <c r="AK5202" s="127"/>
      <c r="AL5202" s="128"/>
      <c r="AM5202" s="21"/>
      <c r="AN5202" s="133">
        <v>46053</v>
      </c>
      <c r="AO5202" s="134"/>
      <c r="AP5202" s="135">
        <v>1286</v>
      </c>
      <c r="AQ5202" s="136"/>
      <c r="AR5202" s="118">
        <v>1005000</v>
      </c>
      <c r="AS5202" s="119"/>
      <c r="AT5202" s="118">
        <f t="shared" ref="AT5202" si="6354">AR5202*0.1</f>
        <v>100500</v>
      </c>
      <c r="AU5202" s="119"/>
      <c r="AV5202" s="118">
        <v>22520</v>
      </c>
      <c r="AW5202" s="119"/>
      <c r="AX5202" s="118">
        <f t="shared" ref="AX5202" si="6355">SUM(AR5202:AW5202)</f>
        <v>1128020</v>
      </c>
      <c r="AY5202" s="119"/>
      <c r="AZ5202" s="137">
        <v>46056</v>
      </c>
    </row>
    <row r="5203" spans="1:52" ht="17.100000000000001" customHeight="1" thickBot="1">
      <c r="A5203" s="110"/>
      <c r="B5203" s="27" t="s">
        <v>15446</v>
      </c>
      <c r="C5203" s="27">
        <v>31001</v>
      </c>
      <c r="D5203" s="14" t="s">
        <v>3327</v>
      </c>
      <c r="E5203" s="112"/>
      <c r="F5203" s="139" t="s">
        <v>15448</v>
      </c>
      <c r="G5203" s="140"/>
      <c r="H5203" s="141"/>
      <c r="I5203" s="26">
        <v>68781</v>
      </c>
      <c r="J5203" s="117"/>
      <c r="K5203" s="120"/>
      <c r="L5203" s="121"/>
      <c r="M5203" s="120"/>
      <c r="N5203" s="121"/>
      <c r="O5203" s="120"/>
      <c r="P5203" s="121"/>
      <c r="Q5203" s="120"/>
      <c r="R5203" s="121"/>
      <c r="S5203" s="120"/>
      <c r="T5203" s="121"/>
      <c r="U5203" s="120"/>
      <c r="V5203" s="123"/>
      <c r="W5203" s="125"/>
      <c r="X5203" s="142" t="s">
        <v>9685</v>
      </c>
      <c r="Y5203" s="143"/>
      <c r="Z5203" s="143"/>
      <c r="AA5203" s="143"/>
      <c r="AB5203" s="144"/>
      <c r="AC5203" s="16" t="s">
        <v>21</v>
      </c>
      <c r="AD5203" s="17" t="s">
        <v>15604</v>
      </c>
      <c r="AE5203" s="145" t="s">
        <v>1658</v>
      </c>
      <c r="AF5203" s="146"/>
      <c r="AG5203" s="146"/>
      <c r="AH5203" s="146"/>
      <c r="AI5203" s="147"/>
      <c r="AJ5203" s="148"/>
      <c r="AK5203" s="143"/>
      <c r="AL5203" s="144"/>
      <c r="AM5203" s="22"/>
      <c r="AN5203" s="149" t="s">
        <v>2511</v>
      </c>
      <c r="AO5203" s="144"/>
      <c r="AP5203" s="148">
        <v>80084</v>
      </c>
      <c r="AQ5203" s="144"/>
      <c r="AR5203" s="120"/>
      <c r="AS5203" s="121"/>
      <c r="AT5203" s="120"/>
      <c r="AU5203" s="121"/>
      <c r="AV5203" s="120"/>
      <c r="AW5203" s="121"/>
      <c r="AX5203" s="120"/>
      <c r="AY5203" s="121"/>
      <c r="AZ5203" s="138"/>
    </row>
    <row r="5204" spans="1:52" ht="17.100000000000001" customHeight="1" thickTop="1">
      <c r="A5204" s="109" t="s">
        <v>15431</v>
      </c>
      <c r="B5204" s="28">
        <v>46041</v>
      </c>
      <c r="C5204" s="25">
        <v>2077</v>
      </c>
      <c r="D5204" s="13" t="s">
        <v>1642</v>
      </c>
      <c r="E5204" s="111"/>
      <c r="F5204" s="113" t="s">
        <v>15493</v>
      </c>
      <c r="G5204" s="114"/>
      <c r="H5204" s="115"/>
      <c r="I5204" s="24" t="s">
        <v>1559</v>
      </c>
      <c r="J5204" s="116">
        <v>4.5</v>
      </c>
      <c r="K5204" s="118">
        <v>2385000</v>
      </c>
      <c r="L5204" s="119"/>
      <c r="M5204" s="118">
        <f t="shared" ref="M5204" si="6356">K5204*0.1</f>
        <v>238500</v>
      </c>
      <c r="N5204" s="119"/>
      <c r="O5204" s="118">
        <v>4510</v>
      </c>
      <c r="P5204" s="119"/>
      <c r="Q5204" s="118">
        <v>21270</v>
      </c>
      <c r="R5204" s="119"/>
      <c r="S5204" s="118">
        <v>11000</v>
      </c>
      <c r="T5204" s="119"/>
      <c r="U5204" s="118">
        <f t="shared" ref="U5204" si="6357">SUM(K5204:T5205)</f>
        <v>2660280</v>
      </c>
      <c r="V5204" s="122"/>
      <c r="W5204" s="124"/>
      <c r="X5204" s="126" t="s">
        <v>15619</v>
      </c>
      <c r="Y5204" s="127"/>
      <c r="Z5204" s="127"/>
      <c r="AA5204" s="127"/>
      <c r="AB5204" s="128"/>
      <c r="AC5204" s="15" t="s">
        <v>20</v>
      </c>
      <c r="AD5204" s="129"/>
      <c r="AE5204" s="130"/>
      <c r="AF5204" s="130"/>
      <c r="AG5204" s="130"/>
      <c r="AH5204" s="130"/>
      <c r="AI5204" s="131"/>
      <c r="AJ5204" s="132"/>
      <c r="AK5204" s="127"/>
      <c r="AL5204" s="128"/>
      <c r="AM5204" s="21"/>
      <c r="AN5204" s="133">
        <v>46053</v>
      </c>
      <c r="AO5204" s="134"/>
      <c r="AP5204" s="135">
        <v>1286</v>
      </c>
      <c r="AQ5204" s="136"/>
      <c r="AR5204" s="118">
        <v>2595000</v>
      </c>
      <c r="AS5204" s="119"/>
      <c r="AT5204" s="118">
        <f t="shared" ref="AT5204" si="6358">AR5204*0.1</f>
        <v>259500</v>
      </c>
      <c r="AU5204" s="119"/>
      <c r="AV5204" s="118">
        <v>21270</v>
      </c>
      <c r="AW5204" s="119"/>
      <c r="AX5204" s="118">
        <f t="shared" ref="AX5204" si="6359">SUM(AR5204:AW5204)</f>
        <v>2875770</v>
      </c>
      <c r="AY5204" s="119"/>
      <c r="AZ5204" s="137">
        <v>46056</v>
      </c>
    </row>
    <row r="5205" spans="1:52" ht="17.100000000000001" customHeight="1" thickBot="1">
      <c r="A5205" s="110"/>
      <c r="B5205" s="27" t="s">
        <v>15446</v>
      </c>
      <c r="C5205" s="27">
        <v>31002</v>
      </c>
      <c r="D5205" s="14" t="s">
        <v>2469</v>
      </c>
      <c r="E5205" s="112"/>
      <c r="F5205" s="139" t="s">
        <v>15449</v>
      </c>
      <c r="G5205" s="140"/>
      <c r="H5205" s="141"/>
      <c r="I5205" s="26">
        <v>19028</v>
      </c>
      <c r="J5205" s="117"/>
      <c r="K5205" s="120"/>
      <c r="L5205" s="121"/>
      <c r="M5205" s="120"/>
      <c r="N5205" s="121"/>
      <c r="O5205" s="120"/>
      <c r="P5205" s="121"/>
      <c r="Q5205" s="120"/>
      <c r="R5205" s="121"/>
      <c r="S5205" s="120"/>
      <c r="T5205" s="121"/>
      <c r="U5205" s="120"/>
      <c r="V5205" s="123"/>
      <c r="W5205" s="125"/>
      <c r="X5205" s="142" t="s">
        <v>9685</v>
      </c>
      <c r="Y5205" s="143"/>
      <c r="Z5205" s="143"/>
      <c r="AA5205" s="143"/>
      <c r="AB5205" s="144"/>
      <c r="AC5205" s="16" t="s">
        <v>21</v>
      </c>
      <c r="AD5205" s="17" t="s">
        <v>15604</v>
      </c>
      <c r="AE5205" s="145" t="s">
        <v>10806</v>
      </c>
      <c r="AF5205" s="146"/>
      <c r="AG5205" s="146"/>
      <c r="AH5205" s="146"/>
      <c r="AI5205" s="147"/>
      <c r="AJ5205" s="148"/>
      <c r="AK5205" s="143"/>
      <c r="AL5205" s="144"/>
      <c r="AM5205" s="22"/>
      <c r="AN5205" s="149" t="s">
        <v>2511</v>
      </c>
      <c r="AO5205" s="144"/>
      <c r="AP5205" s="148">
        <v>80439</v>
      </c>
      <c r="AQ5205" s="144"/>
      <c r="AR5205" s="120"/>
      <c r="AS5205" s="121"/>
      <c r="AT5205" s="120"/>
      <c r="AU5205" s="121"/>
      <c r="AV5205" s="120"/>
      <c r="AW5205" s="121"/>
      <c r="AX5205" s="120"/>
      <c r="AY5205" s="121"/>
      <c r="AZ5205" s="138"/>
    </row>
    <row r="5206" spans="1:52" ht="17.100000000000001" customHeight="1" thickTop="1">
      <c r="A5206" s="109" t="s">
        <v>15432</v>
      </c>
      <c r="B5206" s="28">
        <v>46041</v>
      </c>
      <c r="C5206" s="25">
        <v>2077</v>
      </c>
      <c r="D5206" s="13" t="s">
        <v>3461</v>
      </c>
      <c r="E5206" s="111"/>
      <c r="F5206" s="113" t="s">
        <v>15494</v>
      </c>
      <c r="G5206" s="114"/>
      <c r="H5206" s="115"/>
      <c r="I5206" s="24"/>
      <c r="J5206" s="116">
        <v>5</v>
      </c>
      <c r="K5206" s="118">
        <v>3240000</v>
      </c>
      <c r="L5206" s="119"/>
      <c r="M5206" s="118">
        <f t="shared" ref="M5206" si="6360">K5206*0.1</f>
        <v>324000</v>
      </c>
      <c r="N5206" s="119"/>
      <c r="O5206" s="118">
        <v>0</v>
      </c>
      <c r="P5206" s="119"/>
      <c r="Q5206" s="118">
        <v>21700</v>
      </c>
      <c r="R5206" s="119"/>
      <c r="S5206" s="118">
        <v>12100</v>
      </c>
      <c r="T5206" s="119"/>
      <c r="U5206" s="118">
        <f t="shared" ref="U5206" si="6361">SUM(K5206:T5207)</f>
        <v>3597800</v>
      </c>
      <c r="V5206" s="122"/>
      <c r="W5206" s="124"/>
      <c r="X5206" s="126" t="s">
        <v>15771</v>
      </c>
      <c r="Y5206" s="127"/>
      <c r="Z5206" s="127"/>
      <c r="AA5206" s="127"/>
      <c r="AB5206" s="128"/>
      <c r="AC5206" s="15" t="s">
        <v>20</v>
      </c>
      <c r="AD5206" s="129" t="s">
        <v>15495</v>
      </c>
      <c r="AE5206" s="130"/>
      <c r="AF5206" s="130"/>
      <c r="AG5206" s="130"/>
      <c r="AH5206" s="130"/>
      <c r="AI5206" s="131"/>
      <c r="AJ5206" s="132"/>
      <c r="AK5206" s="127"/>
      <c r="AL5206" s="128"/>
      <c r="AM5206" s="21"/>
      <c r="AN5206" s="133">
        <v>46046</v>
      </c>
      <c r="AO5206" s="134"/>
      <c r="AP5206" s="135">
        <v>1285</v>
      </c>
      <c r="AQ5206" s="136"/>
      <c r="AR5206" s="118">
        <v>3370000</v>
      </c>
      <c r="AS5206" s="119"/>
      <c r="AT5206" s="118">
        <f t="shared" ref="AT5206" si="6362">AR5206*0.1</f>
        <v>337000</v>
      </c>
      <c r="AU5206" s="119"/>
      <c r="AV5206" s="118">
        <v>21700</v>
      </c>
      <c r="AW5206" s="119"/>
      <c r="AX5206" s="118">
        <f t="shared" ref="AX5206" si="6363">SUM(AR5206:AW5206)</f>
        <v>3728700</v>
      </c>
      <c r="AY5206" s="119"/>
      <c r="AZ5206" s="137">
        <v>46049</v>
      </c>
    </row>
    <row r="5207" spans="1:52" ht="17.100000000000001" customHeight="1" thickBot="1">
      <c r="A5207" s="110"/>
      <c r="B5207" s="27" t="s">
        <v>15446</v>
      </c>
      <c r="C5207" s="27">
        <v>33508</v>
      </c>
      <c r="D5207" s="14" t="s">
        <v>2469</v>
      </c>
      <c r="E5207" s="112"/>
      <c r="F5207" s="139" t="s">
        <v>15450</v>
      </c>
      <c r="G5207" s="140"/>
      <c r="H5207" s="141"/>
      <c r="I5207" s="26">
        <v>42428</v>
      </c>
      <c r="J5207" s="117"/>
      <c r="K5207" s="120"/>
      <c r="L5207" s="121"/>
      <c r="M5207" s="120"/>
      <c r="N5207" s="121"/>
      <c r="O5207" s="120"/>
      <c r="P5207" s="121"/>
      <c r="Q5207" s="120"/>
      <c r="R5207" s="121"/>
      <c r="S5207" s="120"/>
      <c r="T5207" s="121"/>
      <c r="U5207" s="120"/>
      <c r="V5207" s="123"/>
      <c r="W5207" s="125"/>
      <c r="X5207" s="142" t="s">
        <v>4820</v>
      </c>
      <c r="Y5207" s="143"/>
      <c r="Z5207" s="143"/>
      <c r="AA5207" s="143"/>
      <c r="AB5207" s="144"/>
      <c r="AC5207" s="16" t="s">
        <v>21</v>
      </c>
      <c r="AD5207" s="17" t="s">
        <v>15708</v>
      </c>
      <c r="AE5207" s="145" t="s">
        <v>16112</v>
      </c>
      <c r="AF5207" s="146"/>
      <c r="AG5207" s="146"/>
      <c r="AH5207" s="146"/>
      <c r="AI5207" s="147"/>
      <c r="AJ5207" s="148"/>
      <c r="AK5207" s="143"/>
      <c r="AL5207" s="144"/>
      <c r="AM5207" s="22"/>
      <c r="AN5207" s="149" t="s">
        <v>2511</v>
      </c>
      <c r="AO5207" s="144"/>
      <c r="AP5207" s="148">
        <v>80379</v>
      </c>
      <c r="AQ5207" s="144"/>
      <c r="AR5207" s="120"/>
      <c r="AS5207" s="121"/>
      <c r="AT5207" s="120"/>
      <c r="AU5207" s="121"/>
      <c r="AV5207" s="120"/>
      <c r="AW5207" s="121"/>
      <c r="AX5207" s="120"/>
      <c r="AY5207" s="121"/>
      <c r="AZ5207" s="138"/>
    </row>
    <row r="5208" spans="1:52" ht="16.5" customHeight="1" thickTop="1">
      <c r="A5208" s="109" t="s">
        <v>15433</v>
      </c>
      <c r="B5208" s="28">
        <v>46041</v>
      </c>
      <c r="C5208" s="25">
        <v>2077</v>
      </c>
      <c r="D5208" s="13" t="s">
        <v>3478</v>
      </c>
      <c r="E5208" s="111"/>
      <c r="F5208" s="113" t="s">
        <v>15496</v>
      </c>
      <c r="G5208" s="114"/>
      <c r="H5208" s="115"/>
      <c r="I5208" s="24"/>
      <c r="J5208" s="116">
        <v>4</v>
      </c>
      <c r="K5208" s="118">
        <v>350000</v>
      </c>
      <c r="L5208" s="119"/>
      <c r="M5208" s="118">
        <f t="shared" ref="M5208" si="6364">K5208*0.1</f>
        <v>35000</v>
      </c>
      <c r="N5208" s="119"/>
      <c r="O5208" s="118">
        <v>0</v>
      </c>
      <c r="P5208" s="119"/>
      <c r="Q5208" s="118">
        <v>19440</v>
      </c>
      <c r="R5208" s="119"/>
      <c r="S5208" s="118">
        <v>11000</v>
      </c>
      <c r="T5208" s="119"/>
      <c r="U5208" s="118">
        <f t="shared" ref="U5208" si="6365">SUM(K5208:T5209)</f>
        <v>415440</v>
      </c>
      <c r="V5208" s="122"/>
      <c r="W5208" s="124"/>
      <c r="X5208" s="126" t="s">
        <v>15772</v>
      </c>
      <c r="Y5208" s="127"/>
      <c r="Z5208" s="127"/>
      <c r="AA5208" s="127"/>
      <c r="AB5208" s="128"/>
      <c r="AC5208" s="15" t="s">
        <v>20</v>
      </c>
      <c r="AD5208" s="129" t="s">
        <v>15497</v>
      </c>
      <c r="AE5208" s="130"/>
      <c r="AF5208" s="130"/>
      <c r="AG5208" s="130"/>
      <c r="AH5208" s="130"/>
      <c r="AI5208" s="131"/>
      <c r="AJ5208" s="132"/>
      <c r="AK5208" s="127"/>
      <c r="AL5208" s="128"/>
      <c r="AM5208" s="21"/>
      <c r="AN5208" s="133">
        <v>46053</v>
      </c>
      <c r="AO5208" s="134"/>
      <c r="AP5208" s="135">
        <v>1286</v>
      </c>
      <c r="AQ5208" s="136"/>
      <c r="AR5208" s="118">
        <v>525000</v>
      </c>
      <c r="AS5208" s="119"/>
      <c r="AT5208" s="118">
        <f t="shared" ref="AT5208" si="6366">AR5208*0.1</f>
        <v>52500</v>
      </c>
      <c r="AU5208" s="119"/>
      <c r="AV5208" s="118">
        <v>19440</v>
      </c>
      <c r="AW5208" s="119"/>
      <c r="AX5208" s="118">
        <f t="shared" ref="AX5208" si="6367">SUM(AR5208:AW5208)</f>
        <v>596940</v>
      </c>
      <c r="AY5208" s="119"/>
      <c r="AZ5208" s="137">
        <v>46056</v>
      </c>
    </row>
    <row r="5209" spans="1:52" ht="17.100000000000001" customHeight="1" thickBot="1">
      <c r="A5209" s="110"/>
      <c r="B5209" s="27" t="s">
        <v>15446</v>
      </c>
      <c r="C5209" s="27">
        <v>34517</v>
      </c>
      <c r="D5209" s="14" t="s">
        <v>1592</v>
      </c>
      <c r="E5209" s="112"/>
      <c r="F5209" s="139" t="s">
        <v>15451</v>
      </c>
      <c r="G5209" s="140"/>
      <c r="H5209" s="141"/>
      <c r="I5209" s="26">
        <v>103369</v>
      </c>
      <c r="J5209" s="117"/>
      <c r="K5209" s="120"/>
      <c r="L5209" s="121"/>
      <c r="M5209" s="120"/>
      <c r="N5209" s="121"/>
      <c r="O5209" s="120"/>
      <c r="P5209" s="121"/>
      <c r="Q5209" s="120"/>
      <c r="R5209" s="121"/>
      <c r="S5209" s="120"/>
      <c r="T5209" s="121"/>
      <c r="U5209" s="120"/>
      <c r="V5209" s="123"/>
      <c r="W5209" s="125"/>
      <c r="X5209" s="142" t="s">
        <v>15773</v>
      </c>
      <c r="Y5209" s="143"/>
      <c r="Z5209" s="143"/>
      <c r="AA5209" s="143"/>
      <c r="AB5209" s="144"/>
      <c r="AC5209" s="16" t="s">
        <v>21</v>
      </c>
      <c r="AD5209" s="17" t="s">
        <v>15708</v>
      </c>
      <c r="AE5209" s="145" t="s">
        <v>171</v>
      </c>
      <c r="AF5209" s="146"/>
      <c r="AG5209" s="146"/>
      <c r="AH5209" s="146"/>
      <c r="AI5209" s="147"/>
      <c r="AJ5209" s="148"/>
      <c r="AK5209" s="143"/>
      <c r="AL5209" s="144"/>
      <c r="AM5209" s="22"/>
      <c r="AN5209" s="149" t="s">
        <v>2511</v>
      </c>
      <c r="AO5209" s="144"/>
      <c r="AP5209" s="148">
        <v>80059</v>
      </c>
      <c r="AQ5209" s="144"/>
      <c r="AR5209" s="120"/>
      <c r="AS5209" s="121"/>
      <c r="AT5209" s="120"/>
      <c r="AU5209" s="121"/>
      <c r="AV5209" s="120"/>
      <c r="AW5209" s="121"/>
      <c r="AX5209" s="120"/>
      <c r="AY5209" s="121"/>
      <c r="AZ5209" s="138"/>
    </row>
    <row r="5210" spans="1:52" ht="17.100000000000001" customHeight="1" thickTop="1">
      <c r="A5210" s="109" t="s">
        <v>15434</v>
      </c>
      <c r="B5210" s="28">
        <v>46041</v>
      </c>
      <c r="C5210" s="25">
        <v>2077</v>
      </c>
      <c r="D5210" s="13" t="s">
        <v>1561</v>
      </c>
      <c r="E5210" s="111"/>
      <c r="F5210" s="113" t="s">
        <v>15498</v>
      </c>
      <c r="G5210" s="114"/>
      <c r="H5210" s="115"/>
      <c r="I5210" s="24" t="s">
        <v>3923</v>
      </c>
      <c r="J5210" s="116">
        <v>4</v>
      </c>
      <c r="K5210" s="118">
        <v>704000</v>
      </c>
      <c r="L5210" s="119"/>
      <c r="M5210" s="118">
        <f t="shared" ref="M5210" si="6368">K5210*0.1</f>
        <v>70400</v>
      </c>
      <c r="N5210" s="119"/>
      <c r="O5210" s="118">
        <v>7150</v>
      </c>
      <c r="P5210" s="119"/>
      <c r="Q5210" s="118">
        <v>24830</v>
      </c>
      <c r="R5210" s="119"/>
      <c r="S5210" s="118">
        <v>11000</v>
      </c>
      <c r="T5210" s="119"/>
      <c r="U5210" s="118">
        <f t="shared" ref="U5210" si="6369">SUM(K5210:T5211)</f>
        <v>817380</v>
      </c>
      <c r="V5210" s="122"/>
      <c r="W5210" s="124"/>
      <c r="X5210" s="126" t="s">
        <v>15499</v>
      </c>
      <c r="Y5210" s="127"/>
      <c r="Z5210" s="127"/>
      <c r="AA5210" s="127"/>
      <c r="AB5210" s="128"/>
      <c r="AC5210" s="15" t="s">
        <v>20</v>
      </c>
      <c r="AD5210" s="129" t="s">
        <v>15497</v>
      </c>
      <c r="AE5210" s="130"/>
      <c r="AF5210" s="130"/>
      <c r="AG5210" s="130"/>
      <c r="AH5210" s="130"/>
      <c r="AI5210" s="131"/>
      <c r="AJ5210" s="132"/>
      <c r="AK5210" s="127"/>
      <c r="AL5210" s="128"/>
      <c r="AM5210" s="21"/>
      <c r="AN5210" s="133">
        <v>46046</v>
      </c>
      <c r="AO5210" s="134"/>
      <c r="AP5210" s="135">
        <v>1285</v>
      </c>
      <c r="AQ5210" s="136"/>
      <c r="AR5210" s="118">
        <v>830000</v>
      </c>
      <c r="AS5210" s="119"/>
      <c r="AT5210" s="118">
        <f t="shared" ref="AT5210" si="6370">AR5210*0.1</f>
        <v>83000</v>
      </c>
      <c r="AU5210" s="119"/>
      <c r="AV5210" s="118">
        <v>24830</v>
      </c>
      <c r="AW5210" s="119"/>
      <c r="AX5210" s="118">
        <f t="shared" ref="AX5210" si="6371">SUM(AR5210:AW5210)</f>
        <v>937830</v>
      </c>
      <c r="AY5210" s="119"/>
      <c r="AZ5210" s="137">
        <v>46049</v>
      </c>
    </row>
    <row r="5211" spans="1:52" ht="17.100000000000001" customHeight="1" thickBot="1">
      <c r="A5211" s="110"/>
      <c r="B5211" s="27" t="s">
        <v>15446</v>
      </c>
      <c r="C5211" s="27">
        <v>34527</v>
      </c>
      <c r="D5211" s="14" t="s">
        <v>275</v>
      </c>
      <c r="E5211" s="112"/>
      <c r="F5211" s="139" t="s">
        <v>15452</v>
      </c>
      <c r="G5211" s="140"/>
      <c r="H5211" s="141"/>
      <c r="I5211" s="26">
        <v>39072</v>
      </c>
      <c r="J5211" s="117"/>
      <c r="K5211" s="120"/>
      <c r="L5211" s="121"/>
      <c r="M5211" s="120"/>
      <c r="N5211" s="121"/>
      <c r="O5211" s="120"/>
      <c r="P5211" s="121"/>
      <c r="Q5211" s="120"/>
      <c r="R5211" s="121"/>
      <c r="S5211" s="120"/>
      <c r="T5211" s="121"/>
      <c r="U5211" s="120"/>
      <c r="V5211" s="123"/>
      <c r="W5211" s="125"/>
      <c r="X5211" s="142" t="s">
        <v>12030</v>
      </c>
      <c r="Y5211" s="143"/>
      <c r="Z5211" s="143"/>
      <c r="AA5211" s="143"/>
      <c r="AB5211" s="144"/>
      <c r="AC5211" s="16" t="s">
        <v>21</v>
      </c>
      <c r="AD5211" s="17" t="s">
        <v>15687</v>
      </c>
      <c r="AE5211" s="145" t="s">
        <v>15704</v>
      </c>
      <c r="AF5211" s="146"/>
      <c r="AG5211" s="146"/>
      <c r="AH5211" s="146"/>
      <c r="AI5211" s="147"/>
      <c r="AJ5211" s="148"/>
      <c r="AK5211" s="143"/>
      <c r="AL5211" s="144"/>
      <c r="AM5211" s="22"/>
      <c r="AN5211" s="149" t="s">
        <v>2511</v>
      </c>
      <c r="AO5211" s="144"/>
      <c r="AP5211" s="148">
        <v>80371</v>
      </c>
      <c r="AQ5211" s="144"/>
      <c r="AR5211" s="120"/>
      <c r="AS5211" s="121"/>
      <c r="AT5211" s="120"/>
      <c r="AU5211" s="121"/>
      <c r="AV5211" s="120"/>
      <c r="AW5211" s="121"/>
      <c r="AX5211" s="120"/>
      <c r="AY5211" s="121"/>
      <c r="AZ5211" s="138"/>
    </row>
    <row r="5212" spans="1:52" ht="17.100000000000001" customHeight="1" thickTop="1">
      <c r="A5212" s="109" t="s">
        <v>15435</v>
      </c>
      <c r="B5212" s="28">
        <v>46041</v>
      </c>
      <c r="C5212" s="25">
        <v>2077</v>
      </c>
      <c r="D5212" s="13" t="s">
        <v>4443</v>
      </c>
      <c r="E5212" s="111"/>
      <c r="F5212" s="113" t="s">
        <v>15500</v>
      </c>
      <c r="G5212" s="114"/>
      <c r="H5212" s="115"/>
      <c r="I5212" s="24" t="s">
        <v>4096</v>
      </c>
      <c r="J5212" s="116">
        <v>4.5</v>
      </c>
      <c r="K5212" s="118">
        <v>805000</v>
      </c>
      <c r="L5212" s="119"/>
      <c r="M5212" s="118">
        <f t="shared" ref="M5212" si="6372">K5212*0.1</f>
        <v>80500</v>
      </c>
      <c r="N5212" s="119"/>
      <c r="O5212" s="118">
        <v>7150</v>
      </c>
      <c r="P5212" s="119"/>
      <c r="Q5212" s="118">
        <v>14780</v>
      </c>
      <c r="R5212" s="119"/>
      <c r="S5212" s="118">
        <v>11000</v>
      </c>
      <c r="T5212" s="119"/>
      <c r="U5212" s="118">
        <f t="shared" ref="U5212" si="6373">SUM(K5212:T5213)</f>
        <v>918430</v>
      </c>
      <c r="V5212" s="122"/>
      <c r="W5212" s="124"/>
      <c r="X5212" s="126" t="s">
        <v>15501</v>
      </c>
      <c r="Y5212" s="127"/>
      <c r="Z5212" s="127"/>
      <c r="AA5212" s="127"/>
      <c r="AB5212" s="128"/>
      <c r="AC5212" s="15" t="s">
        <v>20</v>
      </c>
      <c r="AD5212" s="129" t="s">
        <v>15490</v>
      </c>
      <c r="AE5212" s="130"/>
      <c r="AF5212" s="130"/>
      <c r="AG5212" s="130"/>
      <c r="AH5212" s="130"/>
      <c r="AI5212" s="131"/>
      <c r="AJ5212" s="132"/>
      <c r="AK5212" s="127"/>
      <c r="AL5212" s="128"/>
      <c r="AM5212" s="21" t="s">
        <v>17440</v>
      </c>
      <c r="AN5212" s="133">
        <v>46102</v>
      </c>
      <c r="AO5212" s="134"/>
      <c r="AP5212" s="135">
        <v>1293</v>
      </c>
      <c r="AQ5212" s="136"/>
      <c r="AR5212" s="118">
        <v>885000</v>
      </c>
      <c r="AS5212" s="119"/>
      <c r="AT5212" s="118">
        <f t="shared" ref="AT5212" si="6374">AR5212*0.1</f>
        <v>88500</v>
      </c>
      <c r="AU5212" s="119"/>
      <c r="AV5212" s="118">
        <v>14780</v>
      </c>
      <c r="AW5212" s="119"/>
      <c r="AX5212" s="118">
        <f t="shared" ref="AX5212" si="6375">SUM(AR5212:AW5212)</f>
        <v>988280</v>
      </c>
      <c r="AY5212" s="119"/>
      <c r="AZ5212" s="137">
        <v>46105</v>
      </c>
    </row>
    <row r="5213" spans="1:52" ht="17.100000000000001" customHeight="1" thickBot="1">
      <c r="A5213" s="110"/>
      <c r="B5213" s="27" t="s">
        <v>15446</v>
      </c>
      <c r="C5213" s="27">
        <v>36014</v>
      </c>
      <c r="D5213" s="14" t="s">
        <v>275</v>
      </c>
      <c r="E5213" s="112"/>
      <c r="F5213" s="139" t="s">
        <v>15453</v>
      </c>
      <c r="G5213" s="140"/>
      <c r="H5213" s="141"/>
      <c r="I5213" s="26">
        <v>63204</v>
      </c>
      <c r="J5213" s="117"/>
      <c r="K5213" s="120"/>
      <c r="L5213" s="121"/>
      <c r="M5213" s="120"/>
      <c r="N5213" s="121"/>
      <c r="O5213" s="120"/>
      <c r="P5213" s="121"/>
      <c r="Q5213" s="120"/>
      <c r="R5213" s="121"/>
      <c r="S5213" s="120"/>
      <c r="T5213" s="121"/>
      <c r="U5213" s="120"/>
      <c r="V5213" s="123"/>
      <c r="W5213" s="125"/>
      <c r="X5213" s="142" t="s">
        <v>15705</v>
      </c>
      <c r="Y5213" s="143"/>
      <c r="Z5213" s="143"/>
      <c r="AA5213" s="143"/>
      <c r="AB5213" s="144"/>
      <c r="AC5213" s="16" t="s">
        <v>21</v>
      </c>
      <c r="AD5213" s="17" t="s">
        <v>15687</v>
      </c>
      <c r="AE5213" s="145" t="s">
        <v>16114</v>
      </c>
      <c r="AF5213" s="146"/>
      <c r="AG5213" s="146"/>
      <c r="AH5213" s="146"/>
      <c r="AI5213" s="147"/>
      <c r="AJ5213" s="148"/>
      <c r="AK5213" s="143"/>
      <c r="AL5213" s="144"/>
      <c r="AM5213" s="22"/>
      <c r="AN5213" s="149" t="s">
        <v>2511</v>
      </c>
      <c r="AO5213" s="144"/>
      <c r="AP5213" s="148">
        <v>80055</v>
      </c>
      <c r="AQ5213" s="144"/>
      <c r="AR5213" s="120"/>
      <c r="AS5213" s="121"/>
      <c r="AT5213" s="120"/>
      <c r="AU5213" s="121"/>
      <c r="AV5213" s="120"/>
      <c r="AW5213" s="121"/>
      <c r="AX5213" s="120"/>
      <c r="AY5213" s="121"/>
      <c r="AZ5213" s="138"/>
    </row>
    <row r="5214" spans="1:52" ht="17.100000000000001" customHeight="1" thickTop="1">
      <c r="A5214" s="109" t="s">
        <v>15436</v>
      </c>
      <c r="B5214" s="28">
        <v>46041</v>
      </c>
      <c r="C5214" s="25"/>
      <c r="D5214" s="13" t="s">
        <v>3530</v>
      </c>
      <c r="E5214" s="111"/>
      <c r="F5214" s="113" t="s">
        <v>15455</v>
      </c>
      <c r="G5214" s="114"/>
      <c r="H5214" s="115"/>
      <c r="I5214" s="24" t="s">
        <v>2112</v>
      </c>
      <c r="J5214" s="116">
        <v>4.5</v>
      </c>
      <c r="K5214" s="118">
        <v>1480000</v>
      </c>
      <c r="L5214" s="119"/>
      <c r="M5214" s="118">
        <f t="shared" ref="M5214" si="6376">K5214*0.1</f>
        <v>148000</v>
      </c>
      <c r="N5214" s="119"/>
      <c r="O5214" s="118">
        <v>6600</v>
      </c>
      <c r="P5214" s="119"/>
      <c r="Q5214" s="118">
        <v>22240</v>
      </c>
      <c r="R5214" s="119"/>
      <c r="S5214" s="118">
        <v>14850</v>
      </c>
      <c r="T5214" s="119"/>
      <c r="U5214" s="118">
        <f t="shared" ref="U5214" si="6377">SUM(K5214:T5215)</f>
        <v>1671690</v>
      </c>
      <c r="V5214" s="122"/>
      <c r="W5214" s="124"/>
      <c r="X5214" s="126" t="s">
        <v>15502</v>
      </c>
      <c r="Y5214" s="127"/>
      <c r="Z5214" s="127"/>
      <c r="AA5214" s="127"/>
      <c r="AB5214" s="128"/>
      <c r="AC5214" s="15" t="s">
        <v>20</v>
      </c>
      <c r="AD5214" s="129" t="s">
        <v>1670</v>
      </c>
      <c r="AE5214" s="130"/>
      <c r="AF5214" s="130"/>
      <c r="AG5214" s="130"/>
      <c r="AH5214" s="130"/>
      <c r="AI5214" s="131"/>
      <c r="AJ5214" s="132"/>
      <c r="AK5214" s="127"/>
      <c r="AL5214" s="128"/>
      <c r="AM5214" s="21" t="s">
        <v>18718</v>
      </c>
      <c r="AN5214" s="133"/>
      <c r="AO5214" s="134"/>
      <c r="AP5214" s="135"/>
      <c r="AQ5214" s="136"/>
      <c r="AR5214" s="118"/>
      <c r="AS5214" s="119"/>
      <c r="AT5214" s="118">
        <f t="shared" ref="AT5214" si="6378">AR5214*0.1</f>
        <v>0</v>
      </c>
      <c r="AU5214" s="119"/>
      <c r="AV5214" s="118"/>
      <c r="AW5214" s="119"/>
      <c r="AX5214" s="118">
        <f t="shared" ref="AX5214" si="6379">SUM(AR5214:AW5214)</f>
        <v>0</v>
      </c>
      <c r="AY5214" s="119"/>
      <c r="AZ5214" s="137"/>
    </row>
    <row r="5215" spans="1:52" ht="17.100000000000001" customHeight="1" thickBot="1">
      <c r="A5215" s="110"/>
      <c r="B5215" s="27" t="s">
        <v>15454</v>
      </c>
      <c r="C5215" s="27">
        <v>10013</v>
      </c>
      <c r="D5215" s="14" t="s">
        <v>15309</v>
      </c>
      <c r="E5215" s="112"/>
      <c r="F5215" s="139" t="s">
        <v>15503</v>
      </c>
      <c r="G5215" s="140"/>
      <c r="H5215" s="141"/>
      <c r="I5215" s="26">
        <v>37521</v>
      </c>
      <c r="J5215" s="117"/>
      <c r="K5215" s="120"/>
      <c r="L5215" s="121"/>
      <c r="M5215" s="120"/>
      <c r="N5215" s="121"/>
      <c r="O5215" s="120"/>
      <c r="P5215" s="121"/>
      <c r="Q5215" s="120"/>
      <c r="R5215" s="121"/>
      <c r="S5215" s="120"/>
      <c r="T5215" s="121"/>
      <c r="U5215" s="120"/>
      <c r="V5215" s="123"/>
      <c r="W5215" s="125"/>
      <c r="X5215" s="142" t="s">
        <v>4101</v>
      </c>
      <c r="Y5215" s="143"/>
      <c r="Z5215" s="143"/>
      <c r="AA5215" s="143"/>
      <c r="AB5215" s="144"/>
      <c r="AC5215" s="16" t="s">
        <v>21</v>
      </c>
      <c r="AD5215" s="17" t="s">
        <v>15604</v>
      </c>
      <c r="AE5215" s="145" t="s">
        <v>17012</v>
      </c>
      <c r="AF5215" s="146"/>
      <c r="AG5215" s="146"/>
      <c r="AH5215" s="146"/>
      <c r="AI5215" s="147"/>
      <c r="AJ5215" s="148"/>
      <c r="AK5215" s="143"/>
      <c r="AL5215" s="144"/>
      <c r="AM5215" s="22"/>
      <c r="AN5215" s="149"/>
      <c r="AO5215" s="144"/>
      <c r="AP5215" s="148"/>
      <c r="AQ5215" s="144"/>
      <c r="AR5215" s="120"/>
      <c r="AS5215" s="121"/>
      <c r="AT5215" s="120"/>
      <c r="AU5215" s="121"/>
      <c r="AV5215" s="120"/>
      <c r="AW5215" s="121"/>
      <c r="AX5215" s="120"/>
      <c r="AY5215" s="121"/>
      <c r="AZ5215" s="138"/>
    </row>
    <row r="5216" spans="1:52" ht="17.100000000000001" customHeight="1" thickTop="1">
      <c r="A5216" s="109" t="s">
        <v>15437</v>
      </c>
      <c r="B5216" s="28">
        <v>46041</v>
      </c>
      <c r="C5216" s="25"/>
      <c r="D5216" s="13" t="s">
        <v>1902</v>
      </c>
      <c r="E5216" s="111"/>
      <c r="F5216" s="113" t="s">
        <v>15504</v>
      </c>
      <c r="G5216" s="114"/>
      <c r="H5216" s="115"/>
      <c r="I5216" s="24"/>
      <c r="J5216" s="116">
        <v>4.5</v>
      </c>
      <c r="K5216" s="118">
        <v>2491000</v>
      </c>
      <c r="L5216" s="119"/>
      <c r="M5216" s="118">
        <f t="shared" ref="M5216" si="6380">K5216*0.1</f>
        <v>249100</v>
      </c>
      <c r="N5216" s="119"/>
      <c r="O5216" s="118">
        <v>0</v>
      </c>
      <c r="P5216" s="119"/>
      <c r="Q5216" s="118">
        <v>20460</v>
      </c>
      <c r="R5216" s="119"/>
      <c r="S5216" s="118">
        <v>14850</v>
      </c>
      <c r="T5216" s="119"/>
      <c r="U5216" s="118">
        <f t="shared" ref="U5216" si="6381">SUM(K5216:T5217)</f>
        <v>2775410</v>
      </c>
      <c r="V5216" s="122"/>
      <c r="W5216" s="124"/>
      <c r="X5216" s="126" t="s">
        <v>15691</v>
      </c>
      <c r="Y5216" s="127"/>
      <c r="Z5216" s="127"/>
      <c r="AA5216" s="127"/>
      <c r="AB5216" s="128"/>
      <c r="AC5216" s="15" t="s">
        <v>20</v>
      </c>
      <c r="AD5216" s="129" t="s">
        <v>1670</v>
      </c>
      <c r="AE5216" s="130"/>
      <c r="AF5216" s="130"/>
      <c r="AG5216" s="130"/>
      <c r="AH5216" s="130"/>
      <c r="AI5216" s="131"/>
      <c r="AJ5216" s="132"/>
      <c r="AK5216" s="127"/>
      <c r="AL5216" s="128"/>
      <c r="AM5216" s="21"/>
      <c r="AN5216" s="133">
        <v>46058</v>
      </c>
      <c r="AO5216" s="134"/>
      <c r="AP5216" s="135">
        <v>1317</v>
      </c>
      <c r="AQ5216" s="136"/>
      <c r="AR5216" s="118">
        <v>2600000</v>
      </c>
      <c r="AS5216" s="119"/>
      <c r="AT5216" s="118">
        <f t="shared" ref="AT5216" si="6382">AR5216*0.1</f>
        <v>260000</v>
      </c>
      <c r="AU5216" s="119"/>
      <c r="AV5216" s="118">
        <v>20460</v>
      </c>
      <c r="AW5216" s="119"/>
      <c r="AX5216" s="118">
        <f t="shared" ref="AX5216" si="6383">SUM(AR5216:AW5216)</f>
        <v>2880460</v>
      </c>
      <c r="AY5216" s="119"/>
      <c r="AZ5216" s="137">
        <v>46059</v>
      </c>
    </row>
    <row r="5217" spans="1:52" ht="17.100000000000001" customHeight="1" thickBot="1">
      <c r="A5217" s="110"/>
      <c r="B5217" s="27" t="s">
        <v>15454</v>
      </c>
      <c r="C5217" s="27">
        <v>10343</v>
      </c>
      <c r="D5217" s="14" t="s">
        <v>2469</v>
      </c>
      <c r="E5217" s="112"/>
      <c r="F5217" s="139" t="s">
        <v>15505</v>
      </c>
      <c r="G5217" s="140"/>
      <c r="H5217" s="141"/>
      <c r="I5217" s="26">
        <v>13186</v>
      </c>
      <c r="J5217" s="117"/>
      <c r="K5217" s="120"/>
      <c r="L5217" s="121"/>
      <c r="M5217" s="120"/>
      <c r="N5217" s="121"/>
      <c r="O5217" s="120"/>
      <c r="P5217" s="121"/>
      <c r="Q5217" s="120"/>
      <c r="R5217" s="121"/>
      <c r="S5217" s="120"/>
      <c r="T5217" s="121"/>
      <c r="U5217" s="120"/>
      <c r="V5217" s="123"/>
      <c r="W5217" s="125"/>
      <c r="X5217" s="142" t="s">
        <v>15692</v>
      </c>
      <c r="Y5217" s="143"/>
      <c r="Z5217" s="143"/>
      <c r="AA5217" s="143"/>
      <c r="AB5217" s="144"/>
      <c r="AC5217" s="16" t="s">
        <v>21</v>
      </c>
      <c r="AD5217" s="17" t="s">
        <v>15687</v>
      </c>
      <c r="AE5217" s="145" t="s">
        <v>1742</v>
      </c>
      <c r="AF5217" s="146"/>
      <c r="AG5217" s="146"/>
      <c r="AH5217" s="146"/>
      <c r="AI5217" s="147"/>
      <c r="AJ5217" s="148"/>
      <c r="AK5217" s="143"/>
      <c r="AL5217" s="144"/>
      <c r="AM5217" s="22"/>
      <c r="AN5217" s="149" t="s">
        <v>13663</v>
      </c>
      <c r="AO5217" s="144"/>
      <c r="AP5217" s="148">
        <v>208</v>
      </c>
      <c r="AQ5217" s="144"/>
      <c r="AR5217" s="120"/>
      <c r="AS5217" s="121"/>
      <c r="AT5217" s="120"/>
      <c r="AU5217" s="121"/>
      <c r="AV5217" s="120"/>
      <c r="AW5217" s="121"/>
      <c r="AX5217" s="120"/>
      <c r="AY5217" s="121"/>
      <c r="AZ5217" s="138"/>
    </row>
    <row r="5218" spans="1:52" ht="17.100000000000001" customHeight="1" thickTop="1">
      <c r="A5218" s="109" t="s">
        <v>15438</v>
      </c>
      <c r="B5218" s="28">
        <v>46041</v>
      </c>
      <c r="C5218" s="25"/>
      <c r="D5218" s="13" t="s">
        <v>1953</v>
      </c>
      <c r="E5218" s="111"/>
      <c r="F5218" s="113" t="s">
        <v>15506</v>
      </c>
      <c r="G5218" s="114"/>
      <c r="H5218" s="115"/>
      <c r="I5218" s="24"/>
      <c r="J5218" s="116">
        <v>3.5</v>
      </c>
      <c r="K5218" s="118">
        <v>2363000</v>
      </c>
      <c r="L5218" s="119"/>
      <c r="M5218" s="118">
        <f t="shared" ref="M5218" si="6384">K5218*0.1</f>
        <v>236300</v>
      </c>
      <c r="N5218" s="119"/>
      <c r="O5218" s="118">
        <v>0</v>
      </c>
      <c r="P5218" s="119"/>
      <c r="Q5218" s="118">
        <v>23400</v>
      </c>
      <c r="R5218" s="119"/>
      <c r="S5218" s="118">
        <v>14850</v>
      </c>
      <c r="T5218" s="119"/>
      <c r="U5218" s="118">
        <f t="shared" ref="U5218" si="6385">SUM(K5218:T5219)</f>
        <v>2637550</v>
      </c>
      <c r="V5218" s="122"/>
      <c r="W5218" s="124"/>
      <c r="X5218" s="126" t="s">
        <v>15710</v>
      </c>
      <c r="Y5218" s="127"/>
      <c r="Z5218" s="127"/>
      <c r="AA5218" s="127"/>
      <c r="AB5218" s="128"/>
      <c r="AC5218" s="15" t="s">
        <v>20</v>
      </c>
      <c r="AD5218" s="129"/>
      <c r="AE5218" s="130"/>
      <c r="AF5218" s="130"/>
      <c r="AG5218" s="130"/>
      <c r="AH5218" s="130"/>
      <c r="AI5218" s="131"/>
      <c r="AJ5218" s="132"/>
      <c r="AK5218" s="127"/>
      <c r="AL5218" s="128"/>
      <c r="AM5218" s="21"/>
      <c r="AN5218" s="133">
        <v>46046</v>
      </c>
      <c r="AO5218" s="134"/>
      <c r="AP5218" s="135">
        <v>1285</v>
      </c>
      <c r="AQ5218" s="136"/>
      <c r="AR5218" s="118">
        <v>2615000</v>
      </c>
      <c r="AS5218" s="119"/>
      <c r="AT5218" s="118">
        <f t="shared" ref="AT5218" si="6386">AR5218*0.1</f>
        <v>261500</v>
      </c>
      <c r="AU5218" s="119"/>
      <c r="AV5218" s="118">
        <v>23400</v>
      </c>
      <c r="AW5218" s="119"/>
      <c r="AX5218" s="118">
        <f t="shared" ref="AX5218" si="6387">SUM(AR5218:AW5218)</f>
        <v>2899900</v>
      </c>
      <c r="AY5218" s="119"/>
      <c r="AZ5218" s="137">
        <v>46049</v>
      </c>
    </row>
    <row r="5219" spans="1:52" ht="17.100000000000001" customHeight="1" thickBot="1">
      <c r="A5219" s="110"/>
      <c r="B5219" s="27" t="s">
        <v>15456</v>
      </c>
      <c r="C5219" s="27">
        <v>80256</v>
      </c>
      <c r="D5219" s="14" t="s">
        <v>275</v>
      </c>
      <c r="E5219" s="112"/>
      <c r="F5219" s="139" t="s">
        <v>15709</v>
      </c>
      <c r="G5219" s="140"/>
      <c r="H5219" s="141"/>
      <c r="I5219" s="26">
        <v>48982</v>
      </c>
      <c r="J5219" s="117"/>
      <c r="K5219" s="120"/>
      <c r="L5219" s="121"/>
      <c r="M5219" s="120"/>
      <c r="N5219" s="121"/>
      <c r="O5219" s="120"/>
      <c r="P5219" s="121"/>
      <c r="Q5219" s="120"/>
      <c r="R5219" s="121"/>
      <c r="S5219" s="120"/>
      <c r="T5219" s="121"/>
      <c r="U5219" s="120"/>
      <c r="V5219" s="123"/>
      <c r="W5219" s="125"/>
      <c r="X5219" s="142" t="s">
        <v>2776</v>
      </c>
      <c r="Y5219" s="143"/>
      <c r="Z5219" s="143"/>
      <c r="AA5219" s="143"/>
      <c r="AB5219" s="144"/>
      <c r="AC5219" s="16" t="s">
        <v>21</v>
      </c>
      <c r="AD5219" s="17" t="s">
        <v>15708</v>
      </c>
      <c r="AE5219" s="145" t="s">
        <v>7859</v>
      </c>
      <c r="AF5219" s="146"/>
      <c r="AG5219" s="146"/>
      <c r="AH5219" s="146"/>
      <c r="AI5219" s="147"/>
      <c r="AJ5219" s="148"/>
      <c r="AK5219" s="143"/>
      <c r="AL5219" s="144"/>
      <c r="AM5219" s="22"/>
      <c r="AN5219" s="149" t="s">
        <v>2511</v>
      </c>
      <c r="AO5219" s="144"/>
      <c r="AP5219" s="148">
        <v>80119</v>
      </c>
      <c r="AQ5219" s="144"/>
      <c r="AR5219" s="120"/>
      <c r="AS5219" s="121"/>
      <c r="AT5219" s="120"/>
      <c r="AU5219" s="121"/>
      <c r="AV5219" s="120"/>
      <c r="AW5219" s="121"/>
      <c r="AX5219" s="120"/>
      <c r="AY5219" s="121"/>
      <c r="AZ5219" s="138"/>
    </row>
    <row r="5220" spans="1:52" ht="17.100000000000001" customHeight="1" thickTop="1">
      <c r="A5220" s="109" t="s">
        <v>15439</v>
      </c>
      <c r="B5220" s="28">
        <v>46041</v>
      </c>
      <c r="C5220" s="25"/>
      <c r="D5220" s="13" t="s">
        <v>1615</v>
      </c>
      <c r="E5220" s="111"/>
      <c r="F5220" s="113" t="s">
        <v>15509</v>
      </c>
      <c r="G5220" s="114"/>
      <c r="H5220" s="115"/>
      <c r="I5220" s="24" t="s">
        <v>15508</v>
      </c>
      <c r="J5220" s="116">
        <v>3.5</v>
      </c>
      <c r="K5220" s="118">
        <v>479000</v>
      </c>
      <c r="L5220" s="119"/>
      <c r="M5220" s="118">
        <f t="shared" ref="M5220" si="6388">K5220*0.1</f>
        <v>47900</v>
      </c>
      <c r="N5220" s="119"/>
      <c r="O5220" s="118">
        <v>0</v>
      </c>
      <c r="P5220" s="119"/>
      <c r="Q5220" s="118">
        <v>8850</v>
      </c>
      <c r="R5220" s="119"/>
      <c r="S5220" s="118">
        <v>0</v>
      </c>
      <c r="T5220" s="119"/>
      <c r="U5220" s="118">
        <f t="shared" ref="U5220" si="6389">SUM(K5220:T5221)</f>
        <v>535750</v>
      </c>
      <c r="V5220" s="122"/>
      <c r="W5220" s="124"/>
      <c r="X5220" s="126" t="s">
        <v>16180</v>
      </c>
      <c r="Y5220" s="127"/>
      <c r="Z5220" s="127"/>
      <c r="AA5220" s="127"/>
      <c r="AB5220" s="128"/>
      <c r="AC5220" s="15" t="s">
        <v>20</v>
      </c>
      <c r="AD5220" s="129" t="s">
        <v>4435</v>
      </c>
      <c r="AE5220" s="130"/>
      <c r="AF5220" s="130"/>
      <c r="AG5220" s="130"/>
      <c r="AH5220" s="130"/>
      <c r="AI5220" s="131"/>
      <c r="AJ5220" s="132"/>
      <c r="AK5220" s="127"/>
      <c r="AL5220" s="128"/>
      <c r="AM5220" s="21"/>
      <c r="AN5220" s="133">
        <v>46053</v>
      </c>
      <c r="AO5220" s="134"/>
      <c r="AP5220" s="135">
        <v>1286</v>
      </c>
      <c r="AQ5220" s="136"/>
      <c r="AR5220" s="118">
        <v>590000</v>
      </c>
      <c r="AS5220" s="119"/>
      <c r="AT5220" s="118">
        <f t="shared" ref="AT5220" si="6390">AR5220*0.1</f>
        <v>59000</v>
      </c>
      <c r="AU5220" s="119"/>
      <c r="AV5220" s="118">
        <v>8850</v>
      </c>
      <c r="AW5220" s="119"/>
      <c r="AX5220" s="118">
        <f t="shared" ref="AX5220" si="6391">SUM(AR5220:AW5220)</f>
        <v>657850</v>
      </c>
      <c r="AY5220" s="119"/>
      <c r="AZ5220" s="137">
        <v>46056</v>
      </c>
    </row>
    <row r="5221" spans="1:52" ht="17.100000000000001" customHeight="1" thickBot="1">
      <c r="A5221" s="110"/>
      <c r="B5221" s="27" t="s">
        <v>1718</v>
      </c>
      <c r="C5221" s="27" t="s">
        <v>15462</v>
      </c>
      <c r="D5221" s="14" t="s">
        <v>275</v>
      </c>
      <c r="E5221" s="112"/>
      <c r="F5221" s="139" t="s">
        <v>15463</v>
      </c>
      <c r="G5221" s="140"/>
      <c r="H5221" s="141"/>
      <c r="I5221" s="26">
        <v>40382</v>
      </c>
      <c r="J5221" s="117"/>
      <c r="K5221" s="120"/>
      <c r="L5221" s="121"/>
      <c r="M5221" s="120"/>
      <c r="N5221" s="121"/>
      <c r="O5221" s="120"/>
      <c r="P5221" s="121"/>
      <c r="Q5221" s="120"/>
      <c r="R5221" s="121"/>
      <c r="S5221" s="120"/>
      <c r="T5221" s="121"/>
      <c r="U5221" s="120"/>
      <c r="V5221" s="123"/>
      <c r="W5221" s="125"/>
      <c r="X5221" s="142" t="s">
        <v>16181</v>
      </c>
      <c r="Y5221" s="143"/>
      <c r="Z5221" s="143"/>
      <c r="AA5221" s="143"/>
      <c r="AB5221" s="144"/>
      <c r="AC5221" s="16" t="s">
        <v>21</v>
      </c>
      <c r="AD5221" s="17" t="s">
        <v>16172</v>
      </c>
      <c r="AE5221" s="145" t="s">
        <v>1633</v>
      </c>
      <c r="AF5221" s="146"/>
      <c r="AG5221" s="146"/>
      <c r="AH5221" s="146"/>
      <c r="AI5221" s="147"/>
      <c r="AJ5221" s="148"/>
      <c r="AK5221" s="143"/>
      <c r="AL5221" s="144"/>
      <c r="AM5221" s="22"/>
      <c r="AN5221" s="149" t="s">
        <v>2511</v>
      </c>
      <c r="AO5221" s="144"/>
      <c r="AP5221" s="148">
        <v>65141</v>
      </c>
      <c r="AQ5221" s="144"/>
      <c r="AR5221" s="120"/>
      <c r="AS5221" s="121"/>
      <c r="AT5221" s="120"/>
      <c r="AU5221" s="121"/>
      <c r="AV5221" s="120"/>
      <c r="AW5221" s="121"/>
      <c r="AX5221" s="120"/>
      <c r="AY5221" s="121"/>
      <c r="AZ5221" s="138"/>
    </row>
    <row r="5222" spans="1:52" ht="17.100000000000001" customHeight="1" thickTop="1">
      <c r="A5222" s="109" t="s">
        <v>15440</v>
      </c>
      <c r="B5222" s="28">
        <v>46041</v>
      </c>
      <c r="C5222" s="25"/>
      <c r="D5222" s="13" t="s">
        <v>1845</v>
      </c>
      <c r="E5222" s="111"/>
      <c r="F5222" s="113" t="s">
        <v>15510</v>
      </c>
      <c r="G5222" s="114"/>
      <c r="H5222" s="115"/>
      <c r="I5222" s="24" t="s">
        <v>15511</v>
      </c>
      <c r="J5222" s="116">
        <v>4.5</v>
      </c>
      <c r="K5222" s="118">
        <v>3130000</v>
      </c>
      <c r="L5222" s="119"/>
      <c r="M5222" s="118">
        <f t="shared" ref="M5222" si="6392">K5222*0.1</f>
        <v>313000</v>
      </c>
      <c r="N5222" s="119"/>
      <c r="O5222" s="118">
        <v>3600</v>
      </c>
      <c r="P5222" s="119"/>
      <c r="Q5222" s="118">
        <v>14900</v>
      </c>
      <c r="R5222" s="119"/>
      <c r="S5222" s="118">
        <v>0</v>
      </c>
      <c r="T5222" s="119"/>
      <c r="U5222" s="118">
        <f t="shared" ref="U5222" si="6393">SUM(K5222:T5223)</f>
        <v>3461500</v>
      </c>
      <c r="V5222" s="122"/>
      <c r="W5222" s="124"/>
      <c r="X5222" s="126" t="s">
        <v>16448</v>
      </c>
      <c r="Y5222" s="127"/>
      <c r="Z5222" s="127"/>
      <c r="AA5222" s="127"/>
      <c r="AB5222" s="128"/>
      <c r="AC5222" s="15" t="s">
        <v>20</v>
      </c>
      <c r="AD5222" s="129" t="s">
        <v>7231</v>
      </c>
      <c r="AE5222" s="130"/>
      <c r="AF5222" s="130"/>
      <c r="AG5222" s="130"/>
      <c r="AH5222" s="130"/>
      <c r="AI5222" s="131"/>
      <c r="AJ5222" s="132"/>
      <c r="AK5222" s="127"/>
      <c r="AL5222" s="128"/>
      <c r="AM5222" s="21" t="s">
        <v>18721</v>
      </c>
      <c r="AN5222" s="133">
        <v>46086</v>
      </c>
      <c r="AO5222" s="134"/>
      <c r="AP5222" s="135"/>
      <c r="AQ5222" s="136"/>
      <c r="AR5222" s="118">
        <v>3100000</v>
      </c>
      <c r="AS5222" s="119"/>
      <c r="AT5222" s="118">
        <f t="shared" ref="AT5222" si="6394">AR5222*0.1</f>
        <v>310000</v>
      </c>
      <c r="AU5222" s="119"/>
      <c r="AV5222" s="118">
        <v>14600</v>
      </c>
      <c r="AW5222" s="119"/>
      <c r="AX5222" s="118">
        <f t="shared" ref="AX5222" si="6395">SUM(AR5222:AW5222)</f>
        <v>3424600</v>
      </c>
      <c r="AY5222" s="119"/>
      <c r="AZ5222" s="137"/>
    </row>
    <row r="5223" spans="1:52" ht="17.100000000000001" customHeight="1" thickBot="1">
      <c r="A5223" s="110"/>
      <c r="B5223" s="27" t="s">
        <v>1718</v>
      </c>
      <c r="C5223" s="27" t="s">
        <v>15464</v>
      </c>
      <c r="D5223" s="14" t="s">
        <v>275</v>
      </c>
      <c r="E5223" s="112"/>
      <c r="F5223" s="139" t="s">
        <v>15465</v>
      </c>
      <c r="G5223" s="140"/>
      <c r="H5223" s="141"/>
      <c r="I5223" s="26">
        <v>16371</v>
      </c>
      <c r="J5223" s="117"/>
      <c r="K5223" s="120"/>
      <c r="L5223" s="121"/>
      <c r="M5223" s="120"/>
      <c r="N5223" s="121"/>
      <c r="O5223" s="120"/>
      <c r="P5223" s="121"/>
      <c r="Q5223" s="120"/>
      <c r="R5223" s="121"/>
      <c r="S5223" s="120"/>
      <c r="T5223" s="121"/>
      <c r="U5223" s="120"/>
      <c r="V5223" s="123"/>
      <c r="W5223" s="125"/>
      <c r="X5223" s="142" t="s">
        <v>16449</v>
      </c>
      <c r="Y5223" s="143"/>
      <c r="Z5223" s="143"/>
      <c r="AA5223" s="143"/>
      <c r="AB5223" s="144"/>
      <c r="AC5223" s="16" t="s">
        <v>21</v>
      </c>
      <c r="AD5223" s="17" t="s">
        <v>16392</v>
      </c>
      <c r="AE5223" s="145" t="s">
        <v>1614</v>
      </c>
      <c r="AF5223" s="146"/>
      <c r="AG5223" s="146"/>
      <c r="AH5223" s="146"/>
      <c r="AI5223" s="147"/>
      <c r="AJ5223" s="148"/>
      <c r="AK5223" s="143"/>
      <c r="AL5223" s="144"/>
      <c r="AM5223" s="22"/>
      <c r="AN5223" s="149" t="s">
        <v>19373</v>
      </c>
      <c r="AO5223" s="144"/>
      <c r="AP5223" s="148">
        <v>51696</v>
      </c>
      <c r="AQ5223" s="144"/>
      <c r="AR5223" s="120"/>
      <c r="AS5223" s="121"/>
      <c r="AT5223" s="120"/>
      <c r="AU5223" s="121"/>
      <c r="AV5223" s="120"/>
      <c r="AW5223" s="121"/>
      <c r="AX5223" s="120"/>
      <c r="AY5223" s="121"/>
      <c r="AZ5223" s="138"/>
    </row>
    <row r="5224" spans="1:52" ht="17.100000000000001" customHeight="1" thickTop="1">
      <c r="A5224" s="109" t="s">
        <v>15441</v>
      </c>
      <c r="B5224" s="28">
        <v>46041</v>
      </c>
      <c r="C5224" s="25"/>
      <c r="D5224" s="13" t="s">
        <v>2464</v>
      </c>
      <c r="E5224" s="111"/>
      <c r="F5224" s="113" t="s">
        <v>16332</v>
      </c>
      <c r="G5224" s="114"/>
      <c r="H5224" s="115"/>
      <c r="I5224" s="24" t="s">
        <v>15512</v>
      </c>
      <c r="J5224" s="116">
        <v>5</v>
      </c>
      <c r="K5224" s="118">
        <v>3130000</v>
      </c>
      <c r="L5224" s="119"/>
      <c r="M5224" s="118">
        <f t="shared" ref="M5224" si="6396">K5224*0.1</f>
        <v>313000</v>
      </c>
      <c r="N5224" s="119"/>
      <c r="O5224" s="118">
        <v>0</v>
      </c>
      <c r="P5224" s="119"/>
      <c r="Q5224" s="118">
        <v>8780</v>
      </c>
      <c r="R5224" s="119"/>
      <c r="S5224" s="118">
        <v>0</v>
      </c>
      <c r="T5224" s="119"/>
      <c r="U5224" s="118">
        <f t="shared" ref="U5224" si="6397">SUM(K5224:T5225)</f>
        <v>3451780</v>
      </c>
      <c r="V5224" s="122"/>
      <c r="W5224" s="124"/>
      <c r="X5224" s="126" t="s">
        <v>16318</v>
      </c>
      <c r="Y5224" s="127"/>
      <c r="Z5224" s="127"/>
      <c r="AA5224" s="127"/>
      <c r="AB5224" s="128"/>
      <c r="AC5224" s="15" t="s">
        <v>20</v>
      </c>
      <c r="AD5224" s="129" t="s">
        <v>15513</v>
      </c>
      <c r="AE5224" s="130"/>
      <c r="AF5224" s="130"/>
      <c r="AG5224" s="130"/>
      <c r="AH5224" s="130"/>
      <c r="AI5224" s="131"/>
      <c r="AJ5224" s="132"/>
      <c r="AK5224" s="127"/>
      <c r="AL5224" s="128"/>
      <c r="AM5224" s="21"/>
      <c r="AN5224" s="133">
        <v>46064</v>
      </c>
      <c r="AO5224" s="134"/>
      <c r="AP5224" s="135">
        <v>1004</v>
      </c>
      <c r="AQ5224" s="136"/>
      <c r="AR5224" s="118">
        <v>3205000</v>
      </c>
      <c r="AS5224" s="119"/>
      <c r="AT5224" s="118">
        <f t="shared" ref="AT5224" si="6398">AR5224*0.1</f>
        <v>320500</v>
      </c>
      <c r="AU5224" s="119"/>
      <c r="AV5224" s="118">
        <v>8780</v>
      </c>
      <c r="AW5224" s="119"/>
      <c r="AX5224" s="118">
        <f t="shared" ref="AX5224" si="6399">SUM(AR5224:AW5224)</f>
        <v>3534280</v>
      </c>
      <c r="AY5224" s="119"/>
      <c r="AZ5224" s="137">
        <v>46069</v>
      </c>
    </row>
    <row r="5225" spans="1:52" ht="17.100000000000001" customHeight="1" thickBot="1">
      <c r="A5225" s="110"/>
      <c r="B5225" s="27" t="s">
        <v>1718</v>
      </c>
      <c r="C5225" s="27" t="s">
        <v>15466</v>
      </c>
      <c r="D5225" s="14" t="s">
        <v>1592</v>
      </c>
      <c r="E5225" s="112"/>
      <c r="F5225" s="139" t="s">
        <v>15467</v>
      </c>
      <c r="G5225" s="140"/>
      <c r="H5225" s="141"/>
      <c r="I5225" s="26">
        <v>5124</v>
      </c>
      <c r="J5225" s="117"/>
      <c r="K5225" s="120"/>
      <c r="L5225" s="121"/>
      <c r="M5225" s="120"/>
      <c r="N5225" s="121"/>
      <c r="O5225" s="120"/>
      <c r="P5225" s="121"/>
      <c r="Q5225" s="120"/>
      <c r="R5225" s="121"/>
      <c r="S5225" s="120"/>
      <c r="T5225" s="121"/>
      <c r="U5225" s="120"/>
      <c r="V5225" s="123"/>
      <c r="W5225" s="125"/>
      <c r="X5225" s="142" t="s">
        <v>16319</v>
      </c>
      <c r="Y5225" s="143"/>
      <c r="Z5225" s="143"/>
      <c r="AA5225" s="143"/>
      <c r="AB5225" s="144"/>
      <c r="AC5225" s="16" t="s">
        <v>21</v>
      </c>
      <c r="AD5225" s="17" t="s">
        <v>1837</v>
      </c>
      <c r="AE5225" s="145" t="s">
        <v>2051</v>
      </c>
      <c r="AF5225" s="146"/>
      <c r="AG5225" s="146"/>
      <c r="AH5225" s="146"/>
      <c r="AI5225" s="147"/>
      <c r="AJ5225" s="148"/>
      <c r="AK5225" s="143"/>
      <c r="AL5225" s="144"/>
      <c r="AM5225" s="22"/>
      <c r="AN5225" s="149" t="s">
        <v>2794</v>
      </c>
      <c r="AO5225" s="144"/>
      <c r="AP5225" s="148">
        <v>4015</v>
      </c>
      <c r="AQ5225" s="144"/>
      <c r="AR5225" s="120"/>
      <c r="AS5225" s="121"/>
      <c r="AT5225" s="120"/>
      <c r="AU5225" s="121"/>
      <c r="AV5225" s="120"/>
      <c r="AW5225" s="121"/>
      <c r="AX5225" s="120"/>
      <c r="AY5225" s="121"/>
      <c r="AZ5225" s="138"/>
    </row>
    <row r="5226" spans="1:52" ht="17.100000000000001" customHeight="1" thickTop="1">
      <c r="A5226" s="109" t="s">
        <v>15442</v>
      </c>
      <c r="B5226" s="28">
        <v>46041</v>
      </c>
      <c r="C5226" s="25"/>
      <c r="D5226" s="13" t="s">
        <v>2407</v>
      </c>
      <c r="E5226" s="111"/>
      <c r="F5226" s="113" t="s">
        <v>5719</v>
      </c>
      <c r="G5226" s="114"/>
      <c r="H5226" s="115"/>
      <c r="I5226" s="24" t="s">
        <v>3538</v>
      </c>
      <c r="J5226" s="116">
        <v>3.5</v>
      </c>
      <c r="K5226" s="118">
        <v>144000</v>
      </c>
      <c r="L5226" s="119"/>
      <c r="M5226" s="118">
        <f t="shared" ref="M5226" si="6400">K5226*0.1</f>
        <v>14400</v>
      </c>
      <c r="N5226" s="119"/>
      <c r="O5226" s="118">
        <v>0</v>
      </c>
      <c r="P5226" s="119"/>
      <c r="Q5226" s="118">
        <v>8930</v>
      </c>
      <c r="R5226" s="119"/>
      <c r="S5226" s="118">
        <v>0</v>
      </c>
      <c r="T5226" s="119"/>
      <c r="U5226" s="118">
        <f t="shared" ref="U5226" si="6401">SUM(K5226:T5227)</f>
        <v>167330</v>
      </c>
      <c r="V5226" s="122"/>
      <c r="W5226" s="124"/>
      <c r="X5226" s="126" t="s">
        <v>16921</v>
      </c>
      <c r="Y5226" s="127"/>
      <c r="Z5226" s="127"/>
      <c r="AA5226" s="127"/>
      <c r="AB5226" s="128"/>
      <c r="AC5226" s="15" t="s">
        <v>20</v>
      </c>
      <c r="AD5226" s="129" t="s">
        <v>15513</v>
      </c>
      <c r="AE5226" s="130"/>
      <c r="AF5226" s="130"/>
      <c r="AG5226" s="130"/>
      <c r="AH5226" s="130"/>
      <c r="AI5226" s="131"/>
      <c r="AJ5226" s="132"/>
      <c r="AK5226" s="127"/>
      <c r="AL5226" s="128"/>
      <c r="AM5226" s="21"/>
      <c r="AN5226" s="133">
        <v>46067</v>
      </c>
      <c r="AO5226" s="134"/>
      <c r="AP5226" s="135">
        <v>1288</v>
      </c>
      <c r="AQ5226" s="136"/>
      <c r="AR5226" s="118">
        <v>205000</v>
      </c>
      <c r="AS5226" s="119"/>
      <c r="AT5226" s="118">
        <f t="shared" ref="AT5226" si="6402">AR5226*0.1</f>
        <v>20500</v>
      </c>
      <c r="AU5226" s="119"/>
      <c r="AV5226" s="118">
        <v>8930</v>
      </c>
      <c r="AW5226" s="119"/>
      <c r="AX5226" s="118">
        <f t="shared" ref="AX5226" si="6403">SUM(AR5226:AW5226)</f>
        <v>234430</v>
      </c>
      <c r="AY5226" s="119"/>
      <c r="AZ5226" s="137">
        <v>46070</v>
      </c>
    </row>
    <row r="5227" spans="1:52" ht="17.100000000000001" customHeight="1" thickBot="1">
      <c r="A5227" s="110"/>
      <c r="B5227" s="27" t="s">
        <v>1718</v>
      </c>
      <c r="C5227" s="27" t="s">
        <v>15468</v>
      </c>
      <c r="D5227" s="14" t="s">
        <v>2040</v>
      </c>
      <c r="E5227" s="112"/>
      <c r="F5227" s="139" t="s">
        <v>15469</v>
      </c>
      <c r="G5227" s="140"/>
      <c r="H5227" s="141"/>
      <c r="I5227" s="26">
        <v>68156</v>
      </c>
      <c r="J5227" s="117"/>
      <c r="K5227" s="120"/>
      <c r="L5227" s="121"/>
      <c r="M5227" s="120"/>
      <c r="N5227" s="121"/>
      <c r="O5227" s="120"/>
      <c r="P5227" s="121"/>
      <c r="Q5227" s="120"/>
      <c r="R5227" s="121"/>
      <c r="S5227" s="120"/>
      <c r="T5227" s="121"/>
      <c r="U5227" s="120"/>
      <c r="V5227" s="123"/>
      <c r="W5227" s="125"/>
      <c r="X5227" s="142" t="s">
        <v>16922</v>
      </c>
      <c r="Y5227" s="143"/>
      <c r="Z5227" s="143"/>
      <c r="AA5227" s="143"/>
      <c r="AB5227" s="144"/>
      <c r="AC5227" s="16" t="s">
        <v>21</v>
      </c>
      <c r="AD5227" s="17" t="s">
        <v>3801</v>
      </c>
      <c r="AE5227" s="145" t="s">
        <v>2692</v>
      </c>
      <c r="AF5227" s="146"/>
      <c r="AG5227" s="146"/>
      <c r="AH5227" s="146"/>
      <c r="AI5227" s="147"/>
      <c r="AJ5227" s="148"/>
      <c r="AK5227" s="143"/>
      <c r="AL5227" s="144"/>
      <c r="AM5227" s="22"/>
      <c r="AN5227" s="149" t="s">
        <v>2511</v>
      </c>
      <c r="AO5227" s="144"/>
      <c r="AP5227" s="148">
        <v>65531</v>
      </c>
      <c r="AQ5227" s="144"/>
      <c r="AR5227" s="120"/>
      <c r="AS5227" s="121"/>
      <c r="AT5227" s="120"/>
      <c r="AU5227" s="121"/>
      <c r="AV5227" s="120"/>
      <c r="AW5227" s="121"/>
      <c r="AX5227" s="120"/>
      <c r="AY5227" s="121"/>
      <c r="AZ5227" s="138"/>
    </row>
    <row r="5228" spans="1:52" ht="17.100000000000001" customHeight="1" thickTop="1">
      <c r="A5228" s="109" t="s">
        <v>15443</v>
      </c>
      <c r="B5228" s="28">
        <v>46041</v>
      </c>
      <c r="C5228" s="25"/>
      <c r="D5228" s="13" t="s">
        <v>1688</v>
      </c>
      <c r="E5228" s="111"/>
      <c r="F5228" s="113" t="s">
        <v>15514</v>
      </c>
      <c r="G5228" s="114"/>
      <c r="H5228" s="115"/>
      <c r="I5228" s="24" t="s">
        <v>15515</v>
      </c>
      <c r="J5228" s="116">
        <v>4.5</v>
      </c>
      <c r="K5228" s="118">
        <v>4175000</v>
      </c>
      <c r="L5228" s="119"/>
      <c r="M5228" s="118">
        <f t="shared" ref="M5228" si="6404">K5228*0.1</f>
        <v>417500</v>
      </c>
      <c r="N5228" s="119"/>
      <c r="O5228" s="118">
        <v>0</v>
      </c>
      <c r="P5228" s="119"/>
      <c r="Q5228" s="118">
        <v>18470</v>
      </c>
      <c r="R5228" s="119"/>
      <c r="S5228" s="118">
        <v>0</v>
      </c>
      <c r="T5228" s="119"/>
      <c r="U5228" s="118">
        <f t="shared" ref="U5228" si="6405">SUM(K5228:T5229)</f>
        <v>4610970</v>
      </c>
      <c r="V5228" s="122"/>
      <c r="W5228" s="124"/>
      <c r="X5228" s="126" t="s">
        <v>20519</v>
      </c>
      <c r="Y5228" s="127"/>
      <c r="Z5228" s="127"/>
      <c r="AA5228" s="127"/>
      <c r="AB5228" s="128"/>
      <c r="AC5228" s="15" t="s">
        <v>20</v>
      </c>
      <c r="AD5228" s="129" t="s">
        <v>15513</v>
      </c>
      <c r="AE5228" s="130"/>
      <c r="AF5228" s="130"/>
      <c r="AG5228" s="130"/>
      <c r="AH5228" s="130"/>
      <c r="AI5228" s="131"/>
      <c r="AJ5228" s="132"/>
      <c r="AK5228" s="127"/>
      <c r="AL5228" s="128"/>
      <c r="AM5228" s="21"/>
      <c r="AN5228" s="133">
        <v>46106</v>
      </c>
      <c r="AO5228" s="134"/>
      <c r="AP5228" s="135">
        <v>1010</v>
      </c>
      <c r="AQ5228" s="136"/>
      <c r="AR5228" s="118">
        <v>4205000</v>
      </c>
      <c r="AS5228" s="119"/>
      <c r="AT5228" s="118">
        <f t="shared" ref="AT5228" si="6406">AR5228*0.1</f>
        <v>420500</v>
      </c>
      <c r="AU5228" s="119"/>
      <c r="AV5228" s="118">
        <v>18470</v>
      </c>
      <c r="AW5228" s="119"/>
      <c r="AX5228" s="118">
        <f t="shared" ref="AX5228" si="6407">SUM(AR5228:AW5228)</f>
        <v>4643970</v>
      </c>
      <c r="AY5228" s="119"/>
      <c r="AZ5228" s="137">
        <v>46111</v>
      </c>
    </row>
    <row r="5229" spans="1:52" ht="17.100000000000001" customHeight="1" thickBot="1">
      <c r="A5229" s="110"/>
      <c r="B5229" s="27" t="s">
        <v>1718</v>
      </c>
      <c r="C5229" s="27" t="s">
        <v>15470</v>
      </c>
      <c r="D5229" s="14" t="s">
        <v>2601</v>
      </c>
      <c r="E5229" s="112"/>
      <c r="F5229" s="139" t="s">
        <v>15471</v>
      </c>
      <c r="G5229" s="140"/>
      <c r="H5229" s="141"/>
      <c r="I5229" s="26">
        <v>29669</v>
      </c>
      <c r="J5229" s="117"/>
      <c r="K5229" s="120"/>
      <c r="L5229" s="121"/>
      <c r="M5229" s="120"/>
      <c r="N5229" s="121"/>
      <c r="O5229" s="120"/>
      <c r="P5229" s="121"/>
      <c r="Q5229" s="120"/>
      <c r="R5229" s="121"/>
      <c r="S5229" s="120"/>
      <c r="T5229" s="121"/>
      <c r="U5229" s="120"/>
      <c r="V5229" s="123"/>
      <c r="W5229" s="125"/>
      <c r="X5229" s="142" t="s">
        <v>4025</v>
      </c>
      <c r="Y5229" s="143"/>
      <c r="Z5229" s="143"/>
      <c r="AA5229" s="143"/>
      <c r="AB5229" s="144"/>
      <c r="AC5229" s="16" t="s">
        <v>21</v>
      </c>
      <c r="AD5229" s="17" t="s">
        <v>20491</v>
      </c>
      <c r="AE5229" s="145" t="s">
        <v>20520</v>
      </c>
      <c r="AF5229" s="146"/>
      <c r="AG5229" s="146"/>
      <c r="AH5229" s="146"/>
      <c r="AI5229" s="147"/>
      <c r="AJ5229" s="148"/>
      <c r="AK5229" s="143"/>
      <c r="AL5229" s="144"/>
      <c r="AM5229" s="22"/>
      <c r="AN5229" s="149" t="s">
        <v>2794</v>
      </c>
      <c r="AO5229" s="144"/>
      <c r="AP5229" s="148">
        <v>1291</v>
      </c>
      <c r="AQ5229" s="144"/>
      <c r="AR5229" s="120"/>
      <c r="AS5229" s="121"/>
      <c r="AT5229" s="120"/>
      <c r="AU5229" s="121"/>
      <c r="AV5229" s="120"/>
      <c r="AW5229" s="121"/>
      <c r="AX5229" s="120"/>
      <c r="AY5229" s="121"/>
      <c r="AZ5229" s="138"/>
    </row>
    <row r="5230" spans="1:52" ht="17.100000000000001" customHeight="1" thickTop="1">
      <c r="A5230" s="151" t="s">
        <v>15444</v>
      </c>
      <c r="B5230" s="28">
        <v>46041</v>
      </c>
      <c r="C5230" s="25"/>
      <c r="D5230" s="13" t="s">
        <v>1667</v>
      </c>
      <c r="E5230" s="111"/>
      <c r="F5230" s="113" t="s">
        <v>7582</v>
      </c>
      <c r="G5230" s="114"/>
      <c r="H5230" s="115"/>
      <c r="I5230" s="24" t="s">
        <v>15516</v>
      </c>
      <c r="J5230" s="116">
        <v>4</v>
      </c>
      <c r="K5230" s="118">
        <v>224000</v>
      </c>
      <c r="L5230" s="119"/>
      <c r="M5230" s="118">
        <f t="shared" ref="M5230" si="6408">K5230*0.1</f>
        <v>22400</v>
      </c>
      <c r="N5230" s="119"/>
      <c r="O5230" s="118">
        <v>0</v>
      </c>
      <c r="P5230" s="119"/>
      <c r="Q5230" s="118">
        <v>8460</v>
      </c>
      <c r="R5230" s="119"/>
      <c r="S5230" s="118">
        <v>0</v>
      </c>
      <c r="T5230" s="119"/>
      <c r="U5230" s="118">
        <f t="shared" ref="U5230" si="6409">SUM(K5230:T5231)</f>
        <v>254860</v>
      </c>
      <c r="V5230" s="122"/>
      <c r="W5230" s="124"/>
      <c r="X5230" s="126"/>
      <c r="Y5230" s="127"/>
      <c r="Z5230" s="127"/>
      <c r="AA5230" s="127"/>
      <c r="AB5230" s="128"/>
      <c r="AC5230" s="15" t="s">
        <v>20</v>
      </c>
      <c r="AD5230" s="129" t="s">
        <v>15513</v>
      </c>
      <c r="AE5230" s="130"/>
      <c r="AF5230" s="130"/>
      <c r="AG5230" s="130"/>
      <c r="AH5230" s="130"/>
      <c r="AI5230" s="131"/>
      <c r="AJ5230" s="132" t="s">
        <v>8040</v>
      </c>
      <c r="AK5230" s="127"/>
      <c r="AL5230" s="128"/>
      <c r="AM5230" s="21"/>
      <c r="AN5230" s="133"/>
      <c r="AO5230" s="134"/>
      <c r="AP5230" s="135"/>
      <c r="AQ5230" s="136"/>
      <c r="AR5230" s="118"/>
      <c r="AS5230" s="119"/>
      <c r="AT5230" s="118">
        <f t="shared" ref="AT5230" si="6410">AR5230*0.1</f>
        <v>0</v>
      </c>
      <c r="AU5230" s="119"/>
      <c r="AV5230" s="118"/>
      <c r="AW5230" s="119"/>
      <c r="AX5230" s="118">
        <f t="shared" ref="AX5230" si="6411">SUM(AR5230:AW5230)</f>
        <v>0</v>
      </c>
      <c r="AY5230" s="119"/>
      <c r="AZ5230" s="137"/>
    </row>
    <row r="5231" spans="1:52" ht="17.100000000000001" customHeight="1" thickBot="1">
      <c r="A5231" s="152"/>
      <c r="B5231" s="27" t="s">
        <v>1718</v>
      </c>
      <c r="C5231" s="27" t="s">
        <v>15472</v>
      </c>
      <c r="D5231" s="14" t="s">
        <v>275</v>
      </c>
      <c r="E5231" s="112"/>
      <c r="F5231" s="139" t="s">
        <v>15473</v>
      </c>
      <c r="G5231" s="140"/>
      <c r="H5231" s="141"/>
      <c r="I5231" s="26">
        <v>50896</v>
      </c>
      <c r="J5231" s="117"/>
      <c r="K5231" s="120"/>
      <c r="L5231" s="121"/>
      <c r="M5231" s="120"/>
      <c r="N5231" s="121"/>
      <c r="O5231" s="120"/>
      <c r="P5231" s="121"/>
      <c r="Q5231" s="120"/>
      <c r="R5231" s="121"/>
      <c r="S5231" s="120"/>
      <c r="T5231" s="121"/>
      <c r="U5231" s="120"/>
      <c r="V5231" s="123"/>
      <c r="W5231" s="125"/>
      <c r="X5231" s="142"/>
      <c r="Y5231" s="143"/>
      <c r="Z5231" s="143"/>
      <c r="AA5231" s="143"/>
      <c r="AB5231" s="144"/>
      <c r="AC5231" s="16" t="s">
        <v>21</v>
      </c>
      <c r="AD5231" s="17" t="s">
        <v>10540</v>
      </c>
      <c r="AE5231" s="145"/>
      <c r="AF5231" s="146"/>
      <c r="AG5231" s="146"/>
      <c r="AH5231" s="146"/>
      <c r="AI5231" s="147"/>
      <c r="AJ5231" s="148"/>
      <c r="AK5231" s="143"/>
      <c r="AL5231" s="144"/>
      <c r="AM5231" s="22"/>
      <c r="AN5231" s="149"/>
      <c r="AO5231" s="144"/>
      <c r="AP5231" s="148"/>
      <c r="AQ5231" s="144"/>
      <c r="AR5231" s="120"/>
      <c r="AS5231" s="121"/>
      <c r="AT5231" s="120"/>
      <c r="AU5231" s="121"/>
      <c r="AV5231" s="120"/>
      <c r="AW5231" s="121"/>
      <c r="AX5231" s="120"/>
      <c r="AY5231" s="121"/>
      <c r="AZ5231" s="138"/>
    </row>
    <row r="5232" spans="1:52" ht="17.100000000000001" customHeight="1" thickTop="1">
      <c r="A5232" s="109" t="s">
        <v>15445</v>
      </c>
      <c r="B5232" s="28">
        <v>46041</v>
      </c>
      <c r="C5232" s="25"/>
      <c r="D5232" s="13" t="s">
        <v>1831</v>
      </c>
      <c r="E5232" s="111"/>
      <c r="F5232" s="113" t="s">
        <v>15517</v>
      </c>
      <c r="G5232" s="114"/>
      <c r="H5232" s="115"/>
      <c r="I5232" s="24" t="s">
        <v>4754</v>
      </c>
      <c r="J5232" s="116">
        <v>4</v>
      </c>
      <c r="K5232" s="118">
        <v>1365000</v>
      </c>
      <c r="L5232" s="119"/>
      <c r="M5232" s="118">
        <f t="shared" ref="M5232" si="6412">K5232*0.1</f>
        <v>136500</v>
      </c>
      <c r="N5232" s="119"/>
      <c r="O5232" s="118">
        <v>3700</v>
      </c>
      <c r="P5232" s="119"/>
      <c r="Q5232" s="118">
        <v>13150</v>
      </c>
      <c r="R5232" s="119"/>
      <c r="S5232" s="118">
        <v>0</v>
      </c>
      <c r="T5232" s="119"/>
      <c r="U5232" s="118">
        <f t="shared" ref="U5232" si="6413">SUM(K5232:T5233)</f>
        <v>1518350</v>
      </c>
      <c r="V5232" s="122"/>
      <c r="W5232" s="124"/>
      <c r="X5232" s="126" t="s">
        <v>16806</v>
      </c>
      <c r="Y5232" s="127"/>
      <c r="Z5232" s="127"/>
      <c r="AA5232" s="127"/>
      <c r="AB5232" s="128"/>
      <c r="AC5232" s="15" t="s">
        <v>20</v>
      </c>
      <c r="AD5232" s="129" t="s">
        <v>14984</v>
      </c>
      <c r="AE5232" s="130"/>
      <c r="AF5232" s="130"/>
      <c r="AG5232" s="130"/>
      <c r="AH5232" s="130"/>
      <c r="AI5232" s="131"/>
      <c r="AJ5232" s="132"/>
      <c r="AK5232" s="127"/>
      <c r="AL5232" s="128"/>
      <c r="AM5232" s="21"/>
      <c r="AN5232" s="133">
        <v>46071</v>
      </c>
      <c r="AO5232" s="134"/>
      <c r="AP5232" s="135">
        <v>1005</v>
      </c>
      <c r="AQ5232" s="136"/>
      <c r="AR5232" s="118">
        <v>1380000</v>
      </c>
      <c r="AS5232" s="119"/>
      <c r="AT5232" s="118">
        <f t="shared" ref="AT5232" si="6414">AR5232*0.1</f>
        <v>138000</v>
      </c>
      <c r="AU5232" s="119"/>
      <c r="AV5232" s="118">
        <v>13150</v>
      </c>
      <c r="AW5232" s="119"/>
      <c r="AX5232" s="118">
        <f t="shared" ref="AX5232" si="6415">SUM(AR5232:AW5232)</f>
        <v>1531150</v>
      </c>
      <c r="AY5232" s="119"/>
      <c r="AZ5232" s="137">
        <v>46079</v>
      </c>
    </row>
    <row r="5233" spans="1:52" ht="17.100000000000001" customHeight="1" thickBot="1">
      <c r="A5233" s="110"/>
      <c r="B5233" s="27" t="s">
        <v>1718</v>
      </c>
      <c r="C5233" s="27" t="s">
        <v>15474</v>
      </c>
      <c r="D5233" s="14" t="s">
        <v>5615</v>
      </c>
      <c r="E5233" s="112"/>
      <c r="F5233" s="139" t="s">
        <v>15475</v>
      </c>
      <c r="G5233" s="140"/>
      <c r="H5233" s="141"/>
      <c r="I5233" s="26">
        <v>45731</v>
      </c>
      <c r="J5233" s="117"/>
      <c r="K5233" s="120"/>
      <c r="L5233" s="121"/>
      <c r="M5233" s="120"/>
      <c r="N5233" s="121"/>
      <c r="O5233" s="120"/>
      <c r="P5233" s="121"/>
      <c r="Q5233" s="120"/>
      <c r="R5233" s="121"/>
      <c r="S5233" s="120"/>
      <c r="T5233" s="121"/>
      <c r="U5233" s="120"/>
      <c r="V5233" s="123"/>
      <c r="W5233" s="125"/>
      <c r="X5233" s="142" t="s">
        <v>16807</v>
      </c>
      <c r="Y5233" s="143"/>
      <c r="Z5233" s="143"/>
      <c r="AA5233" s="143"/>
      <c r="AB5233" s="144"/>
      <c r="AC5233" s="16" t="s">
        <v>21</v>
      </c>
      <c r="AD5233" s="17" t="s">
        <v>2329</v>
      </c>
      <c r="AE5233" s="145" t="s">
        <v>2051</v>
      </c>
      <c r="AF5233" s="146"/>
      <c r="AG5233" s="146"/>
      <c r="AH5233" s="146"/>
      <c r="AI5233" s="147"/>
      <c r="AJ5233" s="148"/>
      <c r="AK5233" s="143"/>
      <c r="AL5233" s="144"/>
      <c r="AM5233" s="22"/>
      <c r="AN5233" s="149" t="s">
        <v>2794</v>
      </c>
      <c r="AO5233" s="144"/>
      <c r="AP5233" s="148">
        <v>4021</v>
      </c>
      <c r="AQ5233" s="144"/>
      <c r="AR5233" s="120"/>
      <c r="AS5233" s="121"/>
      <c r="AT5233" s="120"/>
      <c r="AU5233" s="121"/>
      <c r="AV5233" s="120"/>
      <c r="AW5233" s="121"/>
      <c r="AX5233" s="120"/>
      <c r="AY5233" s="121"/>
      <c r="AZ5233" s="138"/>
    </row>
    <row r="5234" spans="1:52" ht="17.100000000000001" customHeight="1" thickTop="1">
      <c r="A5234" s="109" t="s">
        <v>15457</v>
      </c>
      <c r="B5234" s="28">
        <v>46041</v>
      </c>
      <c r="C5234" s="25"/>
      <c r="D5234" s="13" t="s">
        <v>1971</v>
      </c>
      <c r="E5234" s="111"/>
      <c r="F5234" s="113" t="s">
        <v>15518</v>
      </c>
      <c r="G5234" s="114"/>
      <c r="H5234" s="115"/>
      <c r="I5234" s="24" t="s">
        <v>15519</v>
      </c>
      <c r="J5234" s="116">
        <v>4</v>
      </c>
      <c r="K5234" s="118">
        <v>2880000</v>
      </c>
      <c r="L5234" s="119"/>
      <c r="M5234" s="118">
        <f t="shared" ref="M5234" si="6416">K5234*0.1</f>
        <v>288000</v>
      </c>
      <c r="N5234" s="119"/>
      <c r="O5234" s="118">
        <v>3000</v>
      </c>
      <c r="P5234" s="119"/>
      <c r="Q5234" s="118">
        <v>11710</v>
      </c>
      <c r="R5234" s="119"/>
      <c r="S5234" s="118">
        <v>0</v>
      </c>
      <c r="T5234" s="119"/>
      <c r="U5234" s="118">
        <f t="shared" ref="U5234" si="6417">SUM(K5234:T5235)</f>
        <v>3182710</v>
      </c>
      <c r="V5234" s="122"/>
      <c r="W5234" s="124"/>
      <c r="X5234" s="126" t="s">
        <v>17786</v>
      </c>
      <c r="Y5234" s="127"/>
      <c r="Z5234" s="127"/>
      <c r="AA5234" s="127"/>
      <c r="AB5234" s="128"/>
      <c r="AC5234" s="15" t="s">
        <v>20</v>
      </c>
      <c r="AD5234" s="129" t="s">
        <v>15520</v>
      </c>
      <c r="AE5234" s="130"/>
      <c r="AF5234" s="130"/>
      <c r="AG5234" s="130"/>
      <c r="AH5234" s="130"/>
      <c r="AI5234" s="131"/>
      <c r="AJ5234" s="132"/>
      <c r="AK5234" s="127"/>
      <c r="AL5234" s="128"/>
      <c r="AM5234" s="21"/>
      <c r="AN5234" s="133">
        <v>46064</v>
      </c>
      <c r="AO5234" s="134"/>
      <c r="AP5234" s="135">
        <v>1004</v>
      </c>
      <c r="AQ5234" s="136"/>
      <c r="AR5234" s="118">
        <v>2950000</v>
      </c>
      <c r="AS5234" s="119"/>
      <c r="AT5234" s="118">
        <f t="shared" ref="AT5234" si="6418">AR5234*0.1</f>
        <v>295000</v>
      </c>
      <c r="AU5234" s="119"/>
      <c r="AV5234" s="118">
        <v>11710</v>
      </c>
      <c r="AW5234" s="119"/>
      <c r="AX5234" s="118">
        <f t="shared" ref="AX5234" si="6419">SUM(AR5234:AW5234)</f>
        <v>3256710</v>
      </c>
      <c r="AY5234" s="119"/>
      <c r="AZ5234" s="137">
        <v>46070</v>
      </c>
    </row>
    <row r="5235" spans="1:52" ht="17.100000000000001" customHeight="1" thickBot="1">
      <c r="A5235" s="110"/>
      <c r="B5235" s="27" t="s">
        <v>1718</v>
      </c>
      <c r="C5235" s="27" t="s">
        <v>15476</v>
      </c>
      <c r="D5235" s="14" t="s">
        <v>1883</v>
      </c>
      <c r="E5235" s="112"/>
      <c r="F5235" s="139" t="s">
        <v>15477</v>
      </c>
      <c r="G5235" s="140"/>
      <c r="H5235" s="141"/>
      <c r="I5235" s="26">
        <v>7656</v>
      </c>
      <c r="J5235" s="117"/>
      <c r="K5235" s="120"/>
      <c r="L5235" s="121"/>
      <c r="M5235" s="120"/>
      <c r="N5235" s="121"/>
      <c r="O5235" s="120"/>
      <c r="P5235" s="121"/>
      <c r="Q5235" s="120"/>
      <c r="R5235" s="121"/>
      <c r="S5235" s="120"/>
      <c r="T5235" s="121"/>
      <c r="U5235" s="120"/>
      <c r="V5235" s="123"/>
      <c r="W5235" s="125"/>
      <c r="X5235" s="142" t="s">
        <v>16924</v>
      </c>
      <c r="Y5235" s="143"/>
      <c r="Z5235" s="143"/>
      <c r="AA5235" s="143"/>
      <c r="AB5235" s="144"/>
      <c r="AC5235" s="16" t="s">
        <v>21</v>
      </c>
      <c r="AD5235" s="17" t="s">
        <v>17777</v>
      </c>
      <c r="AE5235" s="145" t="s">
        <v>17787</v>
      </c>
      <c r="AF5235" s="146"/>
      <c r="AG5235" s="146"/>
      <c r="AH5235" s="146"/>
      <c r="AI5235" s="147"/>
      <c r="AJ5235" s="148"/>
      <c r="AK5235" s="143"/>
      <c r="AL5235" s="144"/>
      <c r="AM5235" s="22"/>
      <c r="AN5235" s="149" t="s">
        <v>2794</v>
      </c>
      <c r="AO5235" s="144"/>
      <c r="AP5235" s="148">
        <v>1009</v>
      </c>
      <c r="AQ5235" s="144"/>
      <c r="AR5235" s="120"/>
      <c r="AS5235" s="121"/>
      <c r="AT5235" s="120"/>
      <c r="AU5235" s="121"/>
      <c r="AV5235" s="120"/>
      <c r="AW5235" s="121"/>
      <c r="AX5235" s="120"/>
      <c r="AY5235" s="121"/>
      <c r="AZ5235" s="138"/>
    </row>
    <row r="5236" spans="1:52" ht="17.100000000000001" customHeight="1" thickTop="1">
      <c r="A5236" s="109" t="s">
        <v>15458</v>
      </c>
      <c r="B5236" s="28">
        <v>46041</v>
      </c>
      <c r="C5236" s="25">
        <v>85</v>
      </c>
      <c r="D5236" s="13" t="s">
        <v>3836</v>
      </c>
      <c r="E5236" s="111"/>
      <c r="F5236" s="113" t="s">
        <v>15507</v>
      </c>
      <c r="G5236" s="114"/>
      <c r="H5236" s="115"/>
      <c r="I5236" s="24" t="s">
        <v>4193</v>
      </c>
      <c r="J5236" s="116">
        <v>4</v>
      </c>
      <c r="K5236" s="118">
        <v>250000</v>
      </c>
      <c r="L5236" s="119"/>
      <c r="M5236" s="118">
        <f t="shared" ref="M5236" si="6420">K5236*0.1</f>
        <v>25000</v>
      </c>
      <c r="N5236" s="119"/>
      <c r="O5236" s="118">
        <v>0</v>
      </c>
      <c r="P5236" s="119"/>
      <c r="Q5236" s="118">
        <v>9200</v>
      </c>
      <c r="R5236" s="119"/>
      <c r="S5236" s="118">
        <v>33000</v>
      </c>
      <c r="T5236" s="119"/>
      <c r="U5236" s="118">
        <f t="shared" ref="U5236" si="6421">SUM(K5236:T5237)</f>
        <v>317200</v>
      </c>
      <c r="V5236" s="122"/>
      <c r="W5236" s="124"/>
      <c r="X5236" s="126" t="s">
        <v>16092</v>
      </c>
      <c r="Y5236" s="127"/>
      <c r="Z5236" s="127"/>
      <c r="AA5236" s="127"/>
      <c r="AB5236" s="128"/>
      <c r="AC5236" s="15" t="s">
        <v>20</v>
      </c>
      <c r="AD5236" s="129" t="s">
        <v>1670</v>
      </c>
      <c r="AE5236" s="130"/>
      <c r="AF5236" s="130"/>
      <c r="AG5236" s="130"/>
      <c r="AH5236" s="130"/>
      <c r="AI5236" s="131"/>
      <c r="AJ5236" s="132"/>
      <c r="AK5236" s="127"/>
      <c r="AL5236" s="128"/>
      <c r="AM5236" s="21"/>
      <c r="AN5236" s="133">
        <v>46060</v>
      </c>
      <c r="AO5236" s="134"/>
      <c r="AP5236" s="135">
        <v>1287</v>
      </c>
      <c r="AQ5236" s="136"/>
      <c r="AR5236" s="118">
        <v>350000</v>
      </c>
      <c r="AS5236" s="119"/>
      <c r="AT5236" s="118">
        <f t="shared" ref="AT5236" si="6422">AR5236*0.1</f>
        <v>35000</v>
      </c>
      <c r="AU5236" s="119"/>
      <c r="AV5236" s="118">
        <v>9200</v>
      </c>
      <c r="AW5236" s="119"/>
      <c r="AX5236" s="118">
        <f t="shared" ref="AX5236" si="6423">SUM(AR5236:AW5236)</f>
        <v>394200</v>
      </c>
      <c r="AY5236" s="119"/>
      <c r="AZ5236" s="137">
        <v>46065</v>
      </c>
    </row>
    <row r="5237" spans="1:52" ht="17.100000000000001" customHeight="1" thickBot="1">
      <c r="A5237" s="110"/>
      <c r="B5237" s="27" t="s">
        <v>4544</v>
      </c>
      <c r="C5237" s="27">
        <v>1011</v>
      </c>
      <c r="D5237" s="14" t="s">
        <v>275</v>
      </c>
      <c r="E5237" s="112"/>
      <c r="F5237" s="139" t="s">
        <v>15484</v>
      </c>
      <c r="G5237" s="140"/>
      <c r="H5237" s="141"/>
      <c r="I5237" s="26">
        <v>34056</v>
      </c>
      <c r="J5237" s="117"/>
      <c r="K5237" s="120"/>
      <c r="L5237" s="121"/>
      <c r="M5237" s="120"/>
      <c r="N5237" s="121"/>
      <c r="O5237" s="120"/>
      <c r="P5237" s="121"/>
      <c r="Q5237" s="120"/>
      <c r="R5237" s="121"/>
      <c r="S5237" s="120"/>
      <c r="T5237" s="121"/>
      <c r="U5237" s="120"/>
      <c r="V5237" s="123"/>
      <c r="W5237" s="125"/>
      <c r="X5237" s="142" t="s">
        <v>16093</v>
      </c>
      <c r="Y5237" s="143"/>
      <c r="Z5237" s="143"/>
      <c r="AA5237" s="143"/>
      <c r="AB5237" s="144"/>
      <c r="AC5237" s="16" t="s">
        <v>21</v>
      </c>
      <c r="AD5237" s="17" t="s">
        <v>2644</v>
      </c>
      <c r="AE5237" s="145" t="s">
        <v>171</v>
      </c>
      <c r="AF5237" s="146"/>
      <c r="AG5237" s="146"/>
      <c r="AH5237" s="146"/>
      <c r="AI5237" s="147"/>
      <c r="AJ5237" s="148"/>
      <c r="AK5237" s="143"/>
      <c r="AL5237" s="144"/>
      <c r="AM5237" s="22"/>
      <c r="AN5237" s="149" t="s">
        <v>2511</v>
      </c>
      <c r="AO5237" s="144"/>
      <c r="AP5237" s="148">
        <v>65110</v>
      </c>
      <c r="AQ5237" s="144"/>
      <c r="AR5237" s="120"/>
      <c r="AS5237" s="121"/>
      <c r="AT5237" s="120"/>
      <c r="AU5237" s="121"/>
      <c r="AV5237" s="120"/>
      <c r="AW5237" s="121"/>
      <c r="AX5237" s="120"/>
      <c r="AY5237" s="121"/>
      <c r="AZ5237" s="138"/>
    </row>
    <row r="5238" spans="1:52" ht="17.100000000000001" customHeight="1" thickTop="1">
      <c r="A5238" s="151" t="s">
        <v>15459</v>
      </c>
      <c r="B5238" s="28">
        <v>46041</v>
      </c>
      <c r="C5238" s="25">
        <v>85</v>
      </c>
      <c r="D5238" s="13" t="s">
        <v>3322</v>
      </c>
      <c r="E5238" s="111"/>
      <c r="F5238" s="113" t="s">
        <v>15521</v>
      </c>
      <c r="G5238" s="114"/>
      <c r="H5238" s="115"/>
      <c r="I5238" s="24" t="s">
        <v>3399</v>
      </c>
      <c r="J5238" s="116">
        <v>4</v>
      </c>
      <c r="K5238" s="118">
        <v>1650000</v>
      </c>
      <c r="L5238" s="119"/>
      <c r="M5238" s="118">
        <f t="shared" ref="M5238" si="6424">K5238*0.1</f>
        <v>165000</v>
      </c>
      <c r="N5238" s="119"/>
      <c r="O5238" s="118">
        <v>5500</v>
      </c>
      <c r="P5238" s="119"/>
      <c r="Q5238" s="118">
        <v>9830</v>
      </c>
      <c r="R5238" s="119"/>
      <c r="S5238" s="118">
        <v>44000</v>
      </c>
      <c r="T5238" s="119"/>
      <c r="U5238" s="118">
        <f t="shared" ref="U5238" si="6425">SUM(K5238:T5239)</f>
        <v>1874330</v>
      </c>
      <c r="V5238" s="122"/>
      <c r="W5238" s="124"/>
      <c r="X5238" s="126" t="s">
        <v>16910</v>
      </c>
      <c r="Y5238" s="127"/>
      <c r="Z5238" s="127"/>
      <c r="AA5238" s="127"/>
      <c r="AB5238" s="128"/>
      <c r="AC5238" s="15" t="s">
        <v>20</v>
      </c>
      <c r="AD5238" s="129"/>
      <c r="AE5238" s="130"/>
      <c r="AF5238" s="130"/>
      <c r="AG5238" s="130"/>
      <c r="AH5238" s="130"/>
      <c r="AI5238" s="131"/>
      <c r="AJ5238" s="132" t="s">
        <v>17002</v>
      </c>
      <c r="AK5238" s="127"/>
      <c r="AL5238" s="128"/>
      <c r="AM5238" s="21"/>
      <c r="AN5238" s="133"/>
      <c r="AO5238" s="134"/>
      <c r="AP5238" s="135"/>
      <c r="AQ5238" s="136"/>
      <c r="AR5238" s="118"/>
      <c r="AS5238" s="119"/>
      <c r="AT5238" s="118">
        <f t="shared" ref="AT5238" si="6426">AR5238*0.1</f>
        <v>0</v>
      </c>
      <c r="AU5238" s="119"/>
      <c r="AV5238" s="118"/>
      <c r="AW5238" s="119"/>
      <c r="AX5238" s="118">
        <f t="shared" ref="AX5238" si="6427">SUM(AR5238:AW5238)</f>
        <v>0</v>
      </c>
      <c r="AY5238" s="119"/>
      <c r="AZ5238" s="137"/>
    </row>
    <row r="5239" spans="1:52" ht="17.100000000000001" customHeight="1" thickBot="1">
      <c r="A5239" s="152"/>
      <c r="B5239" s="27" t="s">
        <v>4544</v>
      </c>
      <c r="C5239" s="27">
        <v>1037</v>
      </c>
      <c r="D5239" s="14" t="s">
        <v>2601</v>
      </c>
      <c r="E5239" s="112"/>
      <c r="F5239" s="139" t="s">
        <v>15485</v>
      </c>
      <c r="G5239" s="140"/>
      <c r="H5239" s="141"/>
      <c r="I5239" s="26">
        <v>41674</v>
      </c>
      <c r="J5239" s="117"/>
      <c r="K5239" s="120"/>
      <c r="L5239" s="121"/>
      <c r="M5239" s="120"/>
      <c r="N5239" s="121"/>
      <c r="O5239" s="120"/>
      <c r="P5239" s="121"/>
      <c r="Q5239" s="120"/>
      <c r="R5239" s="121"/>
      <c r="S5239" s="120"/>
      <c r="T5239" s="121"/>
      <c r="U5239" s="120"/>
      <c r="V5239" s="123"/>
      <c r="W5239" s="125"/>
      <c r="X5239" s="142" t="s">
        <v>16911</v>
      </c>
      <c r="Y5239" s="143"/>
      <c r="Z5239" s="143"/>
      <c r="AA5239" s="143"/>
      <c r="AB5239" s="144"/>
      <c r="AC5239" s="16" t="s">
        <v>21</v>
      </c>
      <c r="AD5239" s="17" t="s">
        <v>3801</v>
      </c>
      <c r="AE5239" s="145" t="s">
        <v>16912</v>
      </c>
      <c r="AF5239" s="146"/>
      <c r="AG5239" s="146"/>
      <c r="AH5239" s="146"/>
      <c r="AI5239" s="147"/>
      <c r="AJ5239" s="148" t="s">
        <v>17437</v>
      </c>
      <c r="AK5239" s="143"/>
      <c r="AL5239" s="144"/>
      <c r="AM5239" s="22"/>
      <c r="AN5239" s="149"/>
      <c r="AO5239" s="144"/>
      <c r="AP5239" s="148"/>
      <c r="AQ5239" s="144"/>
      <c r="AR5239" s="120"/>
      <c r="AS5239" s="121"/>
      <c r="AT5239" s="120"/>
      <c r="AU5239" s="121"/>
      <c r="AV5239" s="120"/>
      <c r="AW5239" s="121"/>
      <c r="AX5239" s="120"/>
      <c r="AY5239" s="121"/>
      <c r="AZ5239" s="138"/>
    </row>
    <row r="5240" spans="1:52" ht="17.100000000000001" customHeight="1" thickTop="1">
      <c r="A5240" s="109" t="s">
        <v>15460</v>
      </c>
      <c r="B5240" s="28">
        <v>46041</v>
      </c>
      <c r="C5240" s="25">
        <v>85</v>
      </c>
      <c r="D5240" s="13" t="s">
        <v>1888</v>
      </c>
      <c r="E5240" s="111"/>
      <c r="F5240" s="113" t="s">
        <v>15523</v>
      </c>
      <c r="G5240" s="114"/>
      <c r="H5240" s="115"/>
      <c r="I5240" s="24" t="s">
        <v>2533</v>
      </c>
      <c r="J5240" s="116">
        <v>4</v>
      </c>
      <c r="K5240" s="118">
        <v>1545000</v>
      </c>
      <c r="L5240" s="119"/>
      <c r="M5240" s="118">
        <f t="shared" ref="M5240" si="6428">K5240*0.1</f>
        <v>154500</v>
      </c>
      <c r="N5240" s="119"/>
      <c r="O5240" s="118">
        <v>8250</v>
      </c>
      <c r="P5240" s="119"/>
      <c r="Q5240" s="118">
        <v>11530</v>
      </c>
      <c r="R5240" s="119"/>
      <c r="S5240" s="118">
        <v>44000</v>
      </c>
      <c r="T5240" s="119"/>
      <c r="U5240" s="118">
        <f t="shared" ref="U5240" si="6429">SUM(K5240:T5241)</f>
        <v>1763280</v>
      </c>
      <c r="V5240" s="122"/>
      <c r="W5240" s="124"/>
      <c r="X5240" s="126" t="s">
        <v>16975</v>
      </c>
      <c r="Y5240" s="127"/>
      <c r="Z5240" s="127"/>
      <c r="AA5240" s="127"/>
      <c r="AB5240" s="128"/>
      <c r="AC5240" s="15" t="s">
        <v>20</v>
      </c>
      <c r="AD5240" s="129"/>
      <c r="AE5240" s="130"/>
      <c r="AF5240" s="130"/>
      <c r="AG5240" s="130"/>
      <c r="AH5240" s="130"/>
      <c r="AI5240" s="131"/>
      <c r="AJ5240" s="132"/>
      <c r="AK5240" s="127"/>
      <c r="AL5240" s="128"/>
      <c r="AM5240" s="21"/>
      <c r="AN5240" s="133">
        <v>46067</v>
      </c>
      <c r="AO5240" s="134"/>
      <c r="AP5240" s="135">
        <v>1288</v>
      </c>
      <c r="AQ5240" s="136"/>
      <c r="AR5240" s="118">
        <v>1600000</v>
      </c>
      <c r="AS5240" s="119"/>
      <c r="AT5240" s="118">
        <f t="shared" ref="AT5240" si="6430">AR5240*0.1</f>
        <v>160000</v>
      </c>
      <c r="AU5240" s="119"/>
      <c r="AV5240" s="118">
        <v>11530</v>
      </c>
      <c r="AW5240" s="119"/>
      <c r="AX5240" s="118">
        <f t="shared" ref="AX5240" si="6431">SUM(AR5240:AW5240)</f>
        <v>1771530</v>
      </c>
      <c r="AY5240" s="119"/>
      <c r="AZ5240" s="137">
        <v>46071</v>
      </c>
    </row>
    <row r="5241" spans="1:52" ht="17.100000000000001" customHeight="1" thickBot="1">
      <c r="A5241" s="110"/>
      <c r="B5241" s="27" t="s">
        <v>4544</v>
      </c>
      <c r="C5241" s="27">
        <v>1038</v>
      </c>
      <c r="D5241" s="14" t="s">
        <v>15522</v>
      </c>
      <c r="E5241" s="112"/>
      <c r="F5241" s="139" t="s">
        <v>15486</v>
      </c>
      <c r="G5241" s="140"/>
      <c r="H5241" s="141"/>
      <c r="I5241" s="26">
        <v>49049</v>
      </c>
      <c r="J5241" s="117"/>
      <c r="K5241" s="120"/>
      <c r="L5241" s="121"/>
      <c r="M5241" s="120"/>
      <c r="N5241" s="121"/>
      <c r="O5241" s="120"/>
      <c r="P5241" s="121"/>
      <c r="Q5241" s="120"/>
      <c r="R5241" s="121"/>
      <c r="S5241" s="120"/>
      <c r="T5241" s="121"/>
      <c r="U5241" s="120"/>
      <c r="V5241" s="123"/>
      <c r="W5241" s="125"/>
      <c r="X5241" s="142" t="s">
        <v>16976</v>
      </c>
      <c r="Y5241" s="143"/>
      <c r="Z5241" s="143"/>
      <c r="AA5241" s="143"/>
      <c r="AB5241" s="144"/>
      <c r="AC5241" s="16" t="s">
        <v>21</v>
      </c>
      <c r="AD5241" s="17" t="s">
        <v>3550</v>
      </c>
      <c r="AE5241" s="145" t="s">
        <v>17771</v>
      </c>
      <c r="AF5241" s="146"/>
      <c r="AG5241" s="146"/>
      <c r="AH5241" s="146"/>
      <c r="AI5241" s="147"/>
      <c r="AJ5241" s="148"/>
      <c r="AK5241" s="143"/>
      <c r="AL5241" s="144"/>
      <c r="AM5241" s="22"/>
      <c r="AN5241" s="149" t="s">
        <v>2511</v>
      </c>
      <c r="AO5241" s="144"/>
      <c r="AP5241" s="148">
        <v>37780</v>
      </c>
      <c r="AQ5241" s="144"/>
      <c r="AR5241" s="120"/>
      <c r="AS5241" s="121"/>
      <c r="AT5241" s="120"/>
      <c r="AU5241" s="121"/>
      <c r="AV5241" s="120"/>
      <c r="AW5241" s="121"/>
      <c r="AX5241" s="120"/>
      <c r="AY5241" s="121"/>
      <c r="AZ5241" s="138"/>
    </row>
    <row r="5242" spans="1:52" ht="17.100000000000001" customHeight="1" thickTop="1">
      <c r="A5242" s="109" t="s">
        <v>15461</v>
      </c>
      <c r="B5242" s="28">
        <v>46041</v>
      </c>
      <c r="C5242" s="25">
        <v>85</v>
      </c>
      <c r="D5242" s="13" t="s">
        <v>1606</v>
      </c>
      <c r="E5242" s="111"/>
      <c r="F5242" s="113" t="s">
        <v>15524</v>
      </c>
      <c r="G5242" s="114"/>
      <c r="H5242" s="115"/>
      <c r="I5242" s="24" t="s">
        <v>2363</v>
      </c>
      <c r="J5242" s="116">
        <v>4</v>
      </c>
      <c r="K5242" s="118">
        <v>210000</v>
      </c>
      <c r="L5242" s="119"/>
      <c r="M5242" s="118">
        <f t="shared" ref="M5242" si="6432">K5242*0.1</f>
        <v>21000</v>
      </c>
      <c r="N5242" s="119"/>
      <c r="O5242" s="118">
        <v>0</v>
      </c>
      <c r="P5242" s="119"/>
      <c r="Q5242" s="118">
        <v>7320</v>
      </c>
      <c r="R5242" s="119"/>
      <c r="S5242" s="118">
        <v>33000</v>
      </c>
      <c r="T5242" s="119"/>
      <c r="U5242" s="118">
        <f t="shared" ref="U5242" si="6433">SUM(K5242:T5243)</f>
        <v>271320</v>
      </c>
      <c r="V5242" s="122"/>
      <c r="W5242" s="124"/>
      <c r="X5242" s="126" t="s">
        <v>16730</v>
      </c>
      <c r="Y5242" s="127"/>
      <c r="Z5242" s="127"/>
      <c r="AA5242" s="127"/>
      <c r="AB5242" s="128"/>
      <c r="AC5242" s="15" t="s">
        <v>20</v>
      </c>
      <c r="AD5242" s="129" t="s">
        <v>4435</v>
      </c>
      <c r="AE5242" s="130"/>
      <c r="AF5242" s="130"/>
      <c r="AG5242" s="130"/>
      <c r="AH5242" s="130"/>
      <c r="AI5242" s="131"/>
      <c r="AJ5242" s="132"/>
      <c r="AK5242" s="127"/>
      <c r="AL5242" s="128"/>
      <c r="AM5242" s="21"/>
      <c r="AN5242" s="133">
        <v>46067</v>
      </c>
      <c r="AO5242" s="134"/>
      <c r="AP5242" s="135">
        <v>1288</v>
      </c>
      <c r="AQ5242" s="136"/>
      <c r="AR5242" s="118">
        <v>325000</v>
      </c>
      <c r="AS5242" s="119"/>
      <c r="AT5242" s="118">
        <f t="shared" ref="AT5242" si="6434">AR5242*0.1</f>
        <v>32500</v>
      </c>
      <c r="AU5242" s="119"/>
      <c r="AV5242" s="118">
        <v>7320</v>
      </c>
      <c r="AW5242" s="119"/>
      <c r="AX5242" s="118">
        <f t="shared" ref="AX5242" si="6435">SUM(AR5242:AW5242)</f>
        <v>364820</v>
      </c>
      <c r="AY5242" s="119"/>
      <c r="AZ5242" s="137">
        <v>46071</v>
      </c>
    </row>
    <row r="5243" spans="1:52" ht="17.100000000000001" customHeight="1" thickBot="1">
      <c r="A5243" s="110"/>
      <c r="B5243" s="27" t="s">
        <v>4544</v>
      </c>
      <c r="C5243" s="27">
        <v>1050</v>
      </c>
      <c r="D5243" s="14" t="s">
        <v>1592</v>
      </c>
      <c r="E5243" s="112"/>
      <c r="F5243" s="139" t="s">
        <v>15487</v>
      </c>
      <c r="G5243" s="140"/>
      <c r="H5243" s="141"/>
      <c r="I5243" s="26">
        <v>52341</v>
      </c>
      <c r="J5243" s="117"/>
      <c r="K5243" s="120"/>
      <c r="L5243" s="121"/>
      <c r="M5243" s="120"/>
      <c r="N5243" s="121"/>
      <c r="O5243" s="120"/>
      <c r="P5243" s="121"/>
      <c r="Q5243" s="120"/>
      <c r="R5243" s="121"/>
      <c r="S5243" s="120"/>
      <c r="T5243" s="121"/>
      <c r="U5243" s="120"/>
      <c r="V5243" s="123"/>
      <c r="W5243" s="125"/>
      <c r="X5243" s="142" t="s">
        <v>16731</v>
      </c>
      <c r="Y5243" s="143"/>
      <c r="Z5243" s="143"/>
      <c r="AA5243" s="143"/>
      <c r="AB5243" s="144"/>
      <c r="AC5243" s="16" t="s">
        <v>21</v>
      </c>
      <c r="AD5243" s="17" t="s">
        <v>818</v>
      </c>
      <c r="AE5243" s="145" t="s">
        <v>1633</v>
      </c>
      <c r="AF5243" s="146"/>
      <c r="AG5243" s="146"/>
      <c r="AH5243" s="146"/>
      <c r="AI5243" s="147"/>
      <c r="AJ5243" s="148"/>
      <c r="AK5243" s="143"/>
      <c r="AL5243" s="144"/>
      <c r="AM5243" s="22"/>
      <c r="AN5243" s="149" t="s">
        <v>2511</v>
      </c>
      <c r="AO5243" s="144"/>
      <c r="AP5243" s="148">
        <v>65156</v>
      </c>
      <c r="AQ5243" s="144"/>
      <c r="AR5243" s="120"/>
      <c r="AS5243" s="121"/>
      <c r="AT5243" s="120"/>
      <c r="AU5243" s="121"/>
      <c r="AV5243" s="120"/>
      <c r="AW5243" s="121"/>
      <c r="AX5243" s="120"/>
      <c r="AY5243" s="121"/>
      <c r="AZ5243" s="138"/>
    </row>
    <row r="5244" spans="1:52" ht="17.100000000000001" customHeight="1" thickTop="1">
      <c r="A5244" s="109" t="s">
        <v>15478</v>
      </c>
      <c r="B5244" s="28">
        <v>46041</v>
      </c>
      <c r="C5244" s="25">
        <v>85</v>
      </c>
      <c r="D5244" s="13" t="s">
        <v>1930</v>
      </c>
      <c r="E5244" s="111"/>
      <c r="F5244" s="113" t="s">
        <v>15488</v>
      </c>
      <c r="G5244" s="114"/>
      <c r="H5244" s="115"/>
      <c r="I5244" s="24" t="s">
        <v>1547</v>
      </c>
      <c r="J5244" s="116">
        <v>5</v>
      </c>
      <c r="K5244" s="118">
        <v>1450000</v>
      </c>
      <c r="L5244" s="119"/>
      <c r="M5244" s="118">
        <f t="shared" ref="M5244" si="6436">K5244*0.1</f>
        <v>145000</v>
      </c>
      <c r="N5244" s="119"/>
      <c r="O5244" s="118">
        <v>0</v>
      </c>
      <c r="P5244" s="119"/>
      <c r="Q5244" s="118">
        <v>11100</v>
      </c>
      <c r="R5244" s="119"/>
      <c r="S5244" s="118">
        <v>44000</v>
      </c>
      <c r="T5244" s="119"/>
      <c r="U5244" s="118">
        <f t="shared" ref="U5244" si="6437">SUM(K5244:T5245)</f>
        <v>1650100</v>
      </c>
      <c r="V5244" s="122"/>
      <c r="W5244" s="124"/>
      <c r="X5244" s="126" t="s">
        <v>16337</v>
      </c>
      <c r="Y5244" s="127"/>
      <c r="Z5244" s="127"/>
      <c r="AA5244" s="127"/>
      <c r="AB5244" s="128"/>
      <c r="AC5244" s="15" t="s">
        <v>20</v>
      </c>
      <c r="AD5244" s="129" t="s">
        <v>1670</v>
      </c>
      <c r="AE5244" s="130"/>
      <c r="AF5244" s="130"/>
      <c r="AG5244" s="130"/>
      <c r="AH5244" s="130"/>
      <c r="AI5244" s="131"/>
      <c r="AJ5244" s="132"/>
      <c r="AK5244" s="127"/>
      <c r="AL5244" s="128"/>
      <c r="AM5244" s="21" t="s">
        <v>16535</v>
      </c>
      <c r="AN5244" s="133">
        <v>46056</v>
      </c>
      <c r="AO5244" s="134"/>
      <c r="AP5244" s="135">
        <v>1927</v>
      </c>
      <c r="AQ5244" s="136"/>
      <c r="AR5244" s="118">
        <v>1550000</v>
      </c>
      <c r="AS5244" s="119"/>
      <c r="AT5244" s="118">
        <v>155000</v>
      </c>
      <c r="AU5244" s="119"/>
      <c r="AV5244" s="118">
        <v>11100</v>
      </c>
      <c r="AW5244" s="119"/>
      <c r="AX5244" s="118">
        <f t="shared" ref="AX5244" si="6438">SUM(AR5244:AW5244)</f>
        <v>1716100</v>
      </c>
      <c r="AY5244" s="119"/>
      <c r="AZ5244" s="137">
        <v>46063</v>
      </c>
    </row>
    <row r="5245" spans="1:52" ht="17.100000000000001" customHeight="1" thickBot="1">
      <c r="A5245" s="110"/>
      <c r="B5245" s="27" t="s">
        <v>4544</v>
      </c>
      <c r="C5245" s="27">
        <v>1067</v>
      </c>
      <c r="D5245" s="14" t="s">
        <v>2601</v>
      </c>
      <c r="E5245" s="112"/>
      <c r="F5245" s="139" t="s">
        <v>15489</v>
      </c>
      <c r="G5245" s="140"/>
      <c r="H5245" s="141"/>
      <c r="I5245" s="26">
        <v>3025</v>
      </c>
      <c r="J5245" s="117"/>
      <c r="K5245" s="120"/>
      <c r="L5245" s="121"/>
      <c r="M5245" s="120"/>
      <c r="N5245" s="121"/>
      <c r="O5245" s="120"/>
      <c r="P5245" s="121"/>
      <c r="Q5245" s="120"/>
      <c r="R5245" s="121"/>
      <c r="S5245" s="120"/>
      <c r="T5245" s="121"/>
      <c r="U5245" s="120"/>
      <c r="V5245" s="123"/>
      <c r="W5245" s="125"/>
      <c r="X5245" s="142" t="s">
        <v>16338</v>
      </c>
      <c r="Y5245" s="143"/>
      <c r="Z5245" s="143"/>
      <c r="AA5245" s="143"/>
      <c r="AB5245" s="144"/>
      <c r="AC5245" s="16" t="s">
        <v>21</v>
      </c>
      <c r="AD5245" s="17" t="s">
        <v>1837</v>
      </c>
      <c r="AE5245" s="145" t="s">
        <v>1670</v>
      </c>
      <c r="AF5245" s="146"/>
      <c r="AG5245" s="146"/>
      <c r="AH5245" s="146"/>
      <c r="AI5245" s="147"/>
      <c r="AJ5245" s="148"/>
      <c r="AK5245" s="143"/>
      <c r="AL5245" s="144"/>
      <c r="AM5245" s="22"/>
      <c r="AN5245" s="149" t="s">
        <v>2131</v>
      </c>
      <c r="AO5245" s="144"/>
      <c r="AP5245" s="148">
        <v>3247</v>
      </c>
      <c r="AQ5245" s="144"/>
      <c r="AR5245" s="120"/>
      <c r="AS5245" s="121"/>
      <c r="AT5245" s="120"/>
      <c r="AU5245" s="121"/>
      <c r="AV5245" s="120"/>
      <c r="AW5245" s="121"/>
      <c r="AX5245" s="120"/>
      <c r="AY5245" s="121"/>
      <c r="AZ5245" s="138"/>
    </row>
    <row r="5246" spans="1:52" ht="17.100000000000001" customHeight="1" thickTop="1">
      <c r="A5246" s="109" t="s">
        <v>15479</v>
      </c>
      <c r="B5246" s="28">
        <v>46042</v>
      </c>
      <c r="C5246" s="25">
        <v>1925</v>
      </c>
      <c r="D5246" s="13" t="s">
        <v>2654</v>
      </c>
      <c r="E5246" s="111"/>
      <c r="F5246" s="113" t="s">
        <v>15525</v>
      </c>
      <c r="G5246" s="114"/>
      <c r="H5246" s="115"/>
      <c r="I5246" s="24"/>
      <c r="J5246" s="116">
        <v>4</v>
      </c>
      <c r="K5246" s="118">
        <v>691000</v>
      </c>
      <c r="L5246" s="119"/>
      <c r="M5246" s="118">
        <f t="shared" ref="M5246" si="6439">K5246*0.1</f>
        <v>69100</v>
      </c>
      <c r="N5246" s="119"/>
      <c r="O5246" s="118">
        <v>0</v>
      </c>
      <c r="P5246" s="119"/>
      <c r="Q5246" s="118">
        <v>7510</v>
      </c>
      <c r="R5246" s="119"/>
      <c r="S5246" s="118">
        <v>15950</v>
      </c>
      <c r="T5246" s="119"/>
      <c r="U5246" s="118">
        <f t="shared" ref="U5246" si="6440">SUM(K5246:T5247)</f>
        <v>783560</v>
      </c>
      <c r="V5246" s="122"/>
      <c r="W5246" s="124"/>
      <c r="X5246" s="126" t="s">
        <v>16229</v>
      </c>
      <c r="Y5246" s="127"/>
      <c r="Z5246" s="127"/>
      <c r="AA5246" s="127"/>
      <c r="AB5246" s="128"/>
      <c r="AC5246" s="15" t="s">
        <v>20</v>
      </c>
      <c r="AD5246" s="129"/>
      <c r="AE5246" s="130"/>
      <c r="AF5246" s="130"/>
      <c r="AG5246" s="130"/>
      <c r="AH5246" s="130"/>
      <c r="AI5246" s="131"/>
      <c r="AJ5246" s="132"/>
      <c r="AK5246" s="127"/>
      <c r="AL5246" s="128"/>
      <c r="AM5246" s="21"/>
      <c r="AN5246" s="133">
        <v>46046</v>
      </c>
      <c r="AO5246" s="134"/>
      <c r="AP5246" s="135">
        <v>1285</v>
      </c>
      <c r="AQ5246" s="136"/>
      <c r="AR5246" s="118">
        <v>770000</v>
      </c>
      <c r="AS5246" s="119"/>
      <c r="AT5246" s="118">
        <f t="shared" ref="AT5246" si="6441">AR5246*0.1</f>
        <v>77000</v>
      </c>
      <c r="AU5246" s="119"/>
      <c r="AV5246" s="118">
        <v>7510</v>
      </c>
      <c r="AW5246" s="119"/>
      <c r="AX5246" s="118">
        <f t="shared" ref="AX5246" si="6442">SUM(AR5246:AW5246)</f>
        <v>854510</v>
      </c>
      <c r="AY5246" s="119"/>
      <c r="AZ5246" s="137">
        <v>46051</v>
      </c>
    </row>
    <row r="5247" spans="1:52" ht="17.100000000000001" customHeight="1" thickBot="1">
      <c r="A5247" s="110"/>
      <c r="B5247" s="27" t="s">
        <v>2131</v>
      </c>
      <c r="C5247" s="27">
        <v>3037</v>
      </c>
      <c r="D5247" s="14" t="s">
        <v>275</v>
      </c>
      <c r="E5247" s="112"/>
      <c r="F5247" s="139" t="s">
        <v>15526</v>
      </c>
      <c r="G5247" s="140"/>
      <c r="H5247" s="141"/>
      <c r="I5247" s="26">
        <v>37471</v>
      </c>
      <c r="J5247" s="117"/>
      <c r="K5247" s="120"/>
      <c r="L5247" s="121"/>
      <c r="M5247" s="120"/>
      <c r="N5247" s="121"/>
      <c r="O5247" s="120"/>
      <c r="P5247" s="121"/>
      <c r="Q5247" s="120"/>
      <c r="R5247" s="121"/>
      <c r="S5247" s="120"/>
      <c r="T5247" s="121"/>
      <c r="U5247" s="120"/>
      <c r="V5247" s="123"/>
      <c r="W5247" s="125"/>
      <c r="X5247" s="142" t="s">
        <v>12378</v>
      </c>
      <c r="Y5247" s="143"/>
      <c r="Z5247" s="143"/>
      <c r="AA5247" s="143"/>
      <c r="AB5247" s="144"/>
      <c r="AC5247" s="16" t="s">
        <v>21</v>
      </c>
      <c r="AD5247" s="17" t="s">
        <v>16172</v>
      </c>
      <c r="AE5247" s="145"/>
      <c r="AF5247" s="146"/>
      <c r="AG5247" s="146"/>
      <c r="AH5247" s="146"/>
      <c r="AI5247" s="147"/>
      <c r="AJ5247" s="148"/>
      <c r="AK5247" s="143"/>
      <c r="AL5247" s="144"/>
      <c r="AM5247" s="22"/>
      <c r="AN5247" s="149" t="s">
        <v>2511</v>
      </c>
      <c r="AO5247" s="144"/>
      <c r="AP5247" s="148">
        <v>60400</v>
      </c>
      <c r="AQ5247" s="144"/>
      <c r="AR5247" s="120"/>
      <c r="AS5247" s="121"/>
      <c r="AT5247" s="120"/>
      <c r="AU5247" s="121"/>
      <c r="AV5247" s="120"/>
      <c r="AW5247" s="121"/>
      <c r="AX5247" s="120"/>
      <c r="AY5247" s="121"/>
      <c r="AZ5247" s="138"/>
    </row>
    <row r="5248" spans="1:52" ht="17.100000000000001" customHeight="1" thickTop="1">
      <c r="A5248" s="109" t="s">
        <v>15480</v>
      </c>
      <c r="B5248" s="28">
        <v>46042</v>
      </c>
      <c r="C5248" s="25">
        <v>1925</v>
      </c>
      <c r="D5248" s="13" t="s">
        <v>2014</v>
      </c>
      <c r="E5248" s="111"/>
      <c r="F5248" s="113" t="s">
        <v>15529</v>
      </c>
      <c r="G5248" s="114"/>
      <c r="H5248" s="115"/>
      <c r="I5248" s="24"/>
      <c r="J5248" s="116">
        <v>4</v>
      </c>
      <c r="K5248" s="118">
        <v>857000</v>
      </c>
      <c r="L5248" s="119"/>
      <c r="M5248" s="118">
        <f t="shared" ref="M5248" si="6443">K5248*0.1</f>
        <v>85700</v>
      </c>
      <c r="N5248" s="119"/>
      <c r="O5248" s="118">
        <v>0</v>
      </c>
      <c r="P5248" s="119"/>
      <c r="Q5248" s="118">
        <v>8510</v>
      </c>
      <c r="R5248" s="119"/>
      <c r="S5248" s="118">
        <v>15950</v>
      </c>
      <c r="T5248" s="119"/>
      <c r="U5248" s="118">
        <f t="shared" ref="U5248" si="6444">SUM(K5248:T5249)</f>
        <v>967160</v>
      </c>
      <c r="V5248" s="122"/>
      <c r="W5248" s="124"/>
      <c r="X5248" s="126" t="s">
        <v>16211</v>
      </c>
      <c r="Y5248" s="127"/>
      <c r="Z5248" s="127"/>
      <c r="AA5248" s="127"/>
      <c r="AB5248" s="128"/>
      <c r="AC5248" s="15" t="s">
        <v>20</v>
      </c>
      <c r="AD5248" s="129" t="s">
        <v>4435</v>
      </c>
      <c r="AE5248" s="130"/>
      <c r="AF5248" s="130"/>
      <c r="AG5248" s="130"/>
      <c r="AH5248" s="130"/>
      <c r="AI5248" s="131"/>
      <c r="AJ5248" s="132"/>
      <c r="AK5248" s="127"/>
      <c r="AL5248" s="128"/>
      <c r="AM5248" s="21"/>
      <c r="AN5248" s="133">
        <v>46053</v>
      </c>
      <c r="AO5248" s="134"/>
      <c r="AP5248" s="135">
        <v>1286</v>
      </c>
      <c r="AQ5248" s="136"/>
      <c r="AR5248" s="118">
        <v>1005000</v>
      </c>
      <c r="AS5248" s="119"/>
      <c r="AT5248" s="118">
        <f t="shared" ref="AT5248" si="6445">AR5248*0.1</f>
        <v>100500</v>
      </c>
      <c r="AU5248" s="119"/>
      <c r="AV5248" s="118">
        <v>8510</v>
      </c>
      <c r="AW5248" s="119"/>
      <c r="AX5248" s="118">
        <f t="shared" ref="AX5248" si="6446">SUM(AR5248:AW5248)</f>
        <v>1114010</v>
      </c>
      <c r="AY5248" s="119"/>
      <c r="AZ5248" s="137">
        <v>46056</v>
      </c>
    </row>
    <row r="5249" spans="1:52" ht="17.100000000000001" customHeight="1" thickBot="1">
      <c r="A5249" s="110"/>
      <c r="B5249" s="27" t="s">
        <v>2131</v>
      </c>
      <c r="C5249" s="27">
        <v>3057</v>
      </c>
      <c r="D5249" s="14" t="s">
        <v>2601</v>
      </c>
      <c r="E5249" s="112"/>
      <c r="F5249" s="139" t="s">
        <v>15530</v>
      </c>
      <c r="G5249" s="140"/>
      <c r="H5249" s="141"/>
      <c r="I5249" s="26">
        <v>50860</v>
      </c>
      <c r="J5249" s="117"/>
      <c r="K5249" s="120"/>
      <c r="L5249" s="121"/>
      <c r="M5249" s="120"/>
      <c r="N5249" s="121"/>
      <c r="O5249" s="120"/>
      <c r="P5249" s="121"/>
      <c r="Q5249" s="120"/>
      <c r="R5249" s="121"/>
      <c r="S5249" s="120"/>
      <c r="T5249" s="121"/>
      <c r="U5249" s="120"/>
      <c r="V5249" s="123"/>
      <c r="W5249" s="125"/>
      <c r="X5249" s="142" t="s">
        <v>16212</v>
      </c>
      <c r="Y5249" s="143"/>
      <c r="Z5249" s="143"/>
      <c r="AA5249" s="143"/>
      <c r="AB5249" s="144"/>
      <c r="AC5249" s="16" t="s">
        <v>21</v>
      </c>
      <c r="AD5249" s="17" t="s">
        <v>16172</v>
      </c>
      <c r="AE5249" s="145" t="s">
        <v>16213</v>
      </c>
      <c r="AF5249" s="146"/>
      <c r="AG5249" s="146"/>
      <c r="AH5249" s="146"/>
      <c r="AI5249" s="147"/>
      <c r="AJ5249" s="148"/>
      <c r="AK5249" s="143"/>
      <c r="AL5249" s="144"/>
      <c r="AM5249" s="22"/>
      <c r="AN5249" s="149" t="s">
        <v>2511</v>
      </c>
      <c r="AO5249" s="144"/>
      <c r="AP5249" s="148">
        <v>60047</v>
      </c>
      <c r="AQ5249" s="144"/>
      <c r="AR5249" s="120"/>
      <c r="AS5249" s="121"/>
      <c r="AT5249" s="120"/>
      <c r="AU5249" s="121"/>
      <c r="AV5249" s="120"/>
      <c r="AW5249" s="121"/>
      <c r="AX5249" s="120"/>
      <c r="AY5249" s="121"/>
      <c r="AZ5249" s="138"/>
    </row>
    <row r="5250" spans="1:52" ht="17.100000000000001" customHeight="1" thickTop="1">
      <c r="A5250" s="109" t="s">
        <v>15481</v>
      </c>
      <c r="B5250" s="28">
        <v>46042</v>
      </c>
      <c r="C5250" s="25">
        <v>1925</v>
      </c>
      <c r="D5250" s="13" t="s">
        <v>1902</v>
      </c>
      <c r="E5250" s="111"/>
      <c r="F5250" s="113" t="s">
        <v>15527</v>
      </c>
      <c r="G5250" s="114"/>
      <c r="H5250" s="115"/>
      <c r="I5250" s="24"/>
      <c r="J5250" s="116">
        <v>4</v>
      </c>
      <c r="K5250" s="118">
        <v>1280000</v>
      </c>
      <c r="L5250" s="119"/>
      <c r="M5250" s="118">
        <f t="shared" ref="M5250" si="6447">K5250*0.1</f>
        <v>128000</v>
      </c>
      <c r="N5250" s="119"/>
      <c r="O5250" s="118">
        <v>0</v>
      </c>
      <c r="P5250" s="119"/>
      <c r="Q5250" s="118">
        <v>6830</v>
      </c>
      <c r="R5250" s="119"/>
      <c r="S5250" s="118">
        <v>15950</v>
      </c>
      <c r="T5250" s="119"/>
      <c r="U5250" s="118">
        <f t="shared" ref="U5250" si="6448">SUM(K5250:T5251)</f>
        <v>1430780</v>
      </c>
      <c r="V5250" s="122"/>
      <c r="W5250" s="124"/>
      <c r="X5250" s="126" t="s">
        <v>16214</v>
      </c>
      <c r="Y5250" s="127"/>
      <c r="Z5250" s="127"/>
      <c r="AA5250" s="127"/>
      <c r="AB5250" s="128"/>
      <c r="AC5250" s="15" t="s">
        <v>20</v>
      </c>
      <c r="AD5250" s="129" t="s">
        <v>7512</v>
      </c>
      <c r="AE5250" s="130"/>
      <c r="AF5250" s="130"/>
      <c r="AG5250" s="130"/>
      <c r="AH5250" s="130"/>
      <c r="AI5250" s="131"/>
      <c r="AJ5250" s="132"/>
      <c r="AK5250" s="127"/>
      <c r="AL5250" s="128"/>
      <c r="AM5250" s="21"/>
      <c r="AN5250" s="133">
        <v>46078</v>
      </c>
      <c r="AO5250" s="134"/>
      <c r="AP5250" s="135">
        <v>1006</v>
      </c>
      <c r="AQ5250" s="136"/>
      <c r="AR5250" s="118">
        <v>1300000</v>
      </c>
      <c r="AS5250" s="119"/>
      <c r="AT5250" s="118">
        <f t="shared" ref="AT5250" si="6449">AR5250*0.1</f>
        <v>130000</v>
      </c>
      <c r="AU5250" s="119"/>
      <c r="AV5250" s="118">
        <v>6830</v>
      </c>
      <c r="AW5250" s="119"/>
      <c r="AX5250" s="118">
        <f t="shared" ref="AX5250" si="6450">SUM(AR5250:AW5250)</f>
        <v>1436830</v>
      </c>
      <c r="AY5250" s="119"/>
      <c r="AZ5250" s="137">
        <v>46083</v>
      </c>
    </row>
    <row r="5251" spans="1:52" ht="17.100000000000001" customHeight="1" thickBot="1">
      <c r="A5251" s="110"/>
      <c r="B5251" s="27" t="s">
        <v>2131</v>
      </c>
      <c r="C5251" s="27">
        <v>3224</v>
      </c>
      <c r="D5251" s="14" t="s">
        <v>15580</v>
      </c>
      <c r="E5251" s="112"/>
      <c r="F5251" s="139" t="s">
        <v>15528</v>
      </c>
      <c r="G5251" s="140"/>
      <c r="H5251" s="141"/>
      <c r="I5251" s="26">
        <v>34231</v>
      </c>
      <c r="J5251" s="117"/>
      <c r="K5251" s="120"/>
      <c r="L5251" s="121"/>
      <c r="M5251" s="120"/>
      <c r="N5251" s="121"/>
      <c r="O5251" s="120"/>
      <c r="P5251" s="121"/>
      <c r="Q5251" s="120"/>
      <c r="R5251" s="121"/>
      <c r="S5251" s="120"/>
      <c r="T5251" s="121"/>
      <c r="U5251" s="120"/>
      <c r="V5251" s="123"/>
      <c r="W5251" s="125"/>
      <c r="X5251" s="142" t="s">
        <v>4901</v>
      </c>
      <c r="Y5251" s="143"/>
      <c r="Z5251" s="143"/>
      <c r="AA5251" s="143"/>
      <c r="AB5251" s="144"/>
      <c r="AC5251" s="16" t="s">
        <v>21</v>
      </c>
      <c r="AD5251" s="17" t="s">
        <v>16172</v>
      </c>
      <c r="AE5251" s="145" t="s">
        <v>10730</v>
      </c>
      <c r="AF5251" s="146"/>
      <c r="AG5251" s="146"/>
      <c r="AH5251" s="146"/>
      <c r="AI5251" s="147"/>
      <c r="AJ5251" s="148"/>
      <c r="AK5251" s="143"/>
      <c r="AL5251" s="144"/>
      <c r="AM5251" s="22"/>
      <c r="AN5251" s="149" t="s">
        <v>2794</v>
      </c>
      <c r="AO5251" s="144"/>
      <c r="AP5251" s="148">
        <v>5127</v>
      </c>
      <c r="AQ5251" s="144"/>
      <c r="AR5251" s="120"/>
      <c r="AS5251" s="121"/>
      <c r="AT5251" s="120"/>
      <c r="AU5251" s="121"/>
      <c r="AV5251" s="120"/>
      <c r="AW5251" s="121"/>
      <c r="AX5251" s="120"/>
      <c r="AY5251" s="121"/>
      <c r="AZ5251" s="138"/>
    </row>
    <row r="5252" spans="1:52" ht="17.100000000000001" customHeight="1" thickTop="1">
      <c r="A5252" s="109" t="s">
        <v>15482</v>
      </c>
      <c r="B5252" s="28">
        <v>46042</v>
      </c>
      <c r="C5252" s="25">
        <v>1925</v>
      </c>
      <c r="D5252" s="13" t="s">
        <v>1714</v>
      </c>
      <c r="E5252" s="111"/>
      <c r="F5252" s="113" t="s">
        <v>15531</v>
      </c>
      <c r="G5252" s="114"/>
      <c r="H5252" s="115"/>
      <c r="I5252" s="24"/>
      <c r="J5252" s="116">
        <v>4.5</v>
      </c>
      <c r="K5252" s="118">
        <v>551000</v>
      </c>
      <c r="L5252" s="119"/>
      <c r="M5252" s="118">
        <f t="shared" ref="M5252" si="6451">K5252*0.1</f>
        <v>55100</v>
      </c>
      <c r="N5252" s="119"/>
      <c r="O5252" s="118">
        <v>0</v>
      </c>
      <c r="P5252" s="119"/>
      <c r="Q5252" s="118">
        <v>6470</v>
      </c>
      <c r="R5252" s="119"/>
      <c r="S5252" s="118">
        <v>15950</v>
      </c>
      <c r="T5252" s="119"/>
      <c r="U5252" s="118">
        <f t="shared" ref="U5252" si="6452">SUM(K5252:T5253)</f>
        <v>628520</v>
      </c>
      <c r="V5252" s="122"/>
      <c r="W5252" s="124"/>
      <c r="X5252" s="126" t="s">
        <v>16225</v>
      </c>
      <c r="Y5252" s="127"/>
      <c r="Z5252" s="127"/>
      <c r="AA5252" s="127"/>
      <c r="AB5252" s="128"/>
      <c r="AC5252" s="15" t="s">
        <v>20</v>
      </c>
      <c r="AD5252" s="129" t="s">
        <v>15319</v>
      </c>
      <c r="AE5252" s="130"/>
      <c r="AF5252" s="130"/>
      <c r="AG5252" s="130"/>
      <c r="AH5252" s="130"/>
      <c r="AI5252" s="131"/>
      <c r="AJ5252" s="132"/>
      <c r="AK5252" s="127"/>
      <c r="AL5252" s="128"/>
      <c r="AM5252" s="21"/>
      <c r="AN5252" s="133">
        <v>46046</v>
      </c>
      <c r="AO5252" s="134"/>
      <c r="AP5252" s="135">
        <v>1285</v>
      </c>
      <c r="AQ5252" s="136"/>
      <c r="AR5252" s="118">
        <v>605000</v>
      </c>
      <c r="AS5252" s="119"/>
      <c r="AT5252" s="118">
        <f t="shared" ref="AT5252" si="6453">AR5252*0.1</f>
        <v>60500</v>
      </c>
      <c r="AU5252" s="119"/>
      <c r="AV5252" s="118">
        <v>6470</v>
      </c>
      <c r="AW5252" s="119"/>
      <c r="AX5252" s="118">
        <f t="shared" ref="AX5252" si="6454">SUM(AR5252:AW5252)</f>
        <v>671970</v>
      </c>
      <c r="AY5252" s="119"/>
      <c r="AZ5252" s="137">
        <v>46051</v>
      </c>
    </row>
    <row r="5253" spans="1:52" ht="17.100000000000001" customHeight="1" thickBot="1">
      <c r="A5253" s="110"/>
      <c r="B5253" s="27" t="s">
        <v>2131</v>
      </c>
      <c r="C5253" s="27">
        <v>3237</v>
      </c>
      <c r="D5253" s="14" t="s">
        <v>1720</v>
      </c>
      <c r="E5253" s="112"/>
      <c r="F5253" s="139" t="s">
        <v>15532</v>
      </c>
      <c r="G5253" s="140"/>
      <c r="H5253" s="141"/>
      <c r="I5253" s="26">
        <v>57531</v>
      </c>
      <c r="J5253" s="117"/>
      <c r="K5253" s="120"/>
      <c r="L5253" s="121"/>
      <c r="M5253" s="120"/>
      <c r="N5253" s="121"/>
      <c r="O5253" s="120"/>
      <c r="P5253" s="121"/>
      <c r="Q5253" s="120"/>
      <c r="R5253" s="121"/>
      <c r="S5253" s="120"/>
      <c r="T5253" s="121"/>
      <c r="U5253" s="120"/>
      <c r="V5253" s="123"/>
      <c r="W5253" s="125"/>
      <c r="X5253" s="142" t="s">
        <v>13172</v>
      </c>
      <c r="Y5253" s="143"/>
      <c r="Z5253" s="143"/>
      <c r="AA5253" s="143"/>
      <c r="AB5253" s="144"/>
      <c r="AC5253" s="16" t="s">
        <v>21</v>
      </c>
      <c r="AD5253" s="17" t="s">
        <v>16172</v>
      </c>
      <c r="AE5253" s="145" t="s">
        <v>10730</v>
      </c>
      <c r="AF5253" s="146"/>
      <c r="AG5253" s="146"/>
      <c r="AH5253" s="146"/>
      <c r="AI5253" s="147"/>
      <c r="AJ5253" s="148"/>
      <c r="AK5253" s="143"/>
      <c r="AL5253" s="144"/>
      <c r="AM5253" s="22"/>
      <c r="AN5253" s="149" t="s">
        <v>2511</v>
      </c>
      <c r="AO5253" s="144"/>
      <c r="AP5253" s="148">
        <v>60385</v>
      </c>
      <c r="AQ5253" s="144"/>
      <c r="AR5253" s="120"/>
      <c r="AS5253" s="121"/>
      <c r="AT5253" s="120"/>
      <c r="AU5253" s="121"/>
      <c r="AV5253" s="120"/>
      <c r="AW5253" s="121"/>
      <c r="AX5253" s="120"/>
      <c r="AY5253" s="121"/>
      <c r="AZ5253" s="138"/>
    </row>
    <row r="5254" spans="1:52" ht="17.100000000000001" customHeight="1" thickTop="1">
      <c r="A5254" s="109" t="s">
        <v>15483</v>
      </c>
      <c r="B5254" s="28">
        <v>46042</v>
      </c>
      <c r="C5254" s="25">
        <v>1925</v>
      </c>
      <c r="D5254" s="13" t="s">
        <v>3461</v>
      </c>
      <c r="E5254" s="111"/>
      <c r="F5254" s="113" t="s">
        <v>15533</v>
      </c>
      <c r="G5254" s="114"/>
      <c r="H5254" s="115"/>
      <c r="I5254" s="24"/>
      <c r="J5254" s="116">
        <v>4</v>
      </c>
      <c r="K5254" s="118">
        <v>460000</v>
      </c>
      <c r="L5254" s="119"/>
      <c r="M5254" s="118">
        <f t="shared" ref="M5254" si="6455">K5254*0.1</f>
        <v>46000</v>
      </c>
      <c r="N5254" s="119"/>
      <c r="O5254" s="118">
        <v>0</v>
      </c>
      <c r="P5254" s="119"/>
      <c r="Q5254" s="118">
        <v>6550</v>
      </c>
      <c r="R5254" s="119"/>
      <c r="S5254" s="118">
        <v>15950</v>
      </c>
      <c r="T5254" s="119"/>
      <c r="U5254" s="118">
        <f t="shared" ref="U5254" si="6456">SUM(K5254:T5255)</f>
        <v>528500</v>
      </c>
      <c r="V5254" s="122"/>
      <c r="W5254" s="124"/>
      <c r="X5254" s="126" t="s">
        <v>16217</v>
      </c>
      <c r="Y5254" s="127"/>
      <c r="Z5254" s="127"/>
      <c r="AA5254" s="127"/>
      <c r="AB5254" s="128"/>
      <c r="AC5254" s="15" t="s">
        <v>20</v>
      </c>
      <c r="AD5254" s="129" t="s">
        <v>1670</v>
      </c>
      <c r="AE5254" s="130"/>
      <c r="AF5254" s="130"/>
      <c r="AG5254" s="130"/>
      <c r="AH5254" s="130"/>
      <c r="AI5254" s="131"/>
      <c r="AJ5254" s="132"/>
      <c r="AK5254" s="127"/>
      <c r="AL5254" s="128"/>
      <c r="AM5254" s="21"/>
      <c r="AN5254" s="133">
        <v>46067</v>
      </c>
      <c r="AO5254" s="134"/>
      <c r="AP5254" s="135">
        <v>1288</v>
      </c>
      <c r="AQ5254" s="136"/>
      <c r="AR5254" s="118">
        <v>445000</v>
      </c>
      <c r="AS5254" s="119"/>
      <c r="AT5254" s="118">
        <f t="shared" ref="AT5254" si="6457">AR5254*0.1</f>
        <v>44500</v>
      </c>
      <c r="AU5254" s="119"/>
      <c r="AV5254" s="118">
        <v>6550</v>
      </c>
      <c r="AW5254" s="119"/>
      <c r="AX5254" s="118">
        <f t="shared" ref="AX5254" si="6458">SUM(AR5254:AW5254)</f>
        <v>496050</v>
      </c>
      <c r="AY5254" s="119"/>
      <c r="AZ5254" s="137">
        <v>46070</v>
      </c>
    </row>
    <row r="5255" spans="1:52" ht="17.100000000000001" customHeight="1" thickBot="1">
      <c r="A5255" s="110"/>
      <c r="B5255" s="27" t="s">
        <v>2131</v>
      </c>
      <c r="C5255" s="27">
        <v>3329</v>
      </c>
      <c r="D5255" s="14" t="s">
        <v>1720</v>
      </c>
      <c r="E5255" s="112"/>
      <c r="F5255" s="139" t="s">
        <v>15534</v>
      </c>
      <c r="G5255" s="140"/>
      <c r="H5255" s="141"/>
      <c r="I5255" s="26">
        <v>52875</v>
      </c>
      <c r="J5255" s="117"/>
      <c r="K5255" s="120"/>
      <c r="L5255" s="121"/>
      <c r="M5255" s="120"/>
      <c r="N5255" s="121"/>
      <c r="O5255" s="120"/>
      <c r="P5255" s="121"/>
      <c r="Q5255" s="120"/>
      <c r="R5255" s="121"/>
      <c r="S5255" s="120"/>
      <c r="T5255" s="121"/>
      <c r="U5255" s="120"/>
      <c r="V5255" s="123"/>
      <c r="W5255" s="125"/>
      <c r="X5255" s="142" t="s">
        <v>7450</v>
      </c>
      <c r="Y5255" s="143"/>
      <c r="Z5255" s="143"/>
      <c r="AA5255" s="143"/>
      <c r="AB5255" s="144"/>
      <c r="AC5255" s="16" t="s">
        <v>21</v>
      </c>
      <c r="AD5255" s="17" t="s">
        <v>16172</v>
      </c>
      <c r="AE5255" s="145" t="s">
        <v>1670</v>
      </c>
      <c r="AF5255" s="146"/>
      <c r="AG5255" s="146"/>
      <c r="AH5255" s="146"/>
      <c r="AI5255" s="147"/>
      <c r="AJ5255" s="148"/>
      <c r="AK5255" s="143"/>
      <c r="AL5255" s="144"/>
      <c r="AM5255" s="22"/>
      <c r="AN5255" s="149" t="s">
        <v>2511</v>
      </c>
      <c r="AO5255" s="144"/>
      <c r="AP5255" s="148">
        <v>60242</v>
      </c>
      <c r="AQ5255" s="144"/>
      <c r="AR5255" s="120"/>
      <c r="AS5255" s="121"/>
      <c r="AT5255" s="120"/>
      <c r="AU5255" s="121"/>
      <c r="AV5255" s="120"/>
      <c r="AW5255" s="121"/>
      <c r="AX5255" s="120"/>
      <c r="AY5255" s="121"/>
      <c r="AZ5255" s="138"/>
    </row>
    <row r="5256" spans="1:52" ht="17.100000000000001" customHeight="1" thickTop="1">
      <c r="A5256" s="109" t="s">
        <v>15543</v>
      </c>
      <c r="B5256" s="28">
        <v>46042</v>
      </c>
      <c r="C5256" s="25">
        <v>1925</v>
      </c>
      <c r="D5256" s="13" t="s">
        <v>2036</v>
      </c>
      <c r="E5256" s="111"/>
      <c r="F5256" s="113" t="s">
        <v>15535</v>
      </c>
      <c r="G5256" s="114"/>
      <c r="H5256" s="115"/>
      <c r="I5256" s="24"/>
      <c r="J5256" s="116">
        <v>4</v>
      </c>
      <c r="K5256" s="118">
        <v>1084000</v>
      </c>
      <c r="L5256" s="119"/>
      <c r="M5256" s="118">
        <f t="shared" ref="M5256" si="6459">K5256*0.1</f>
        <v>108400</v>
      </c>
      <c r="N5256" s="119"/>
      <c r="O5256" s="118">
        <v>0</v>
      </c>
      <c r="P5256" s="119"/>
      <c r="Q5256" s="118">
        <v>8630</v>
      </c>
      <c r="R5256" s="119"/>
      <c r="S5256" s="118">
        <v>15950</v>
      </c>
      <c r="T5256" s="119"/>
      <c r="U5256" s="118">
        <f t="shared" ref="U5256" si="6460">SUM(K5256:T5257)</f>
        <v>1216980</v>
      </c>
      <c r="V5256" s="122"/>
      <c r="W5256" s="124"/>
      <c r="X5256" s="126" t="s">
        <v>16226</v>
      </c>
      <c r="Y5256" s="127"/>
      <c r="Z5256" s="127"/>
      <c r="AA5256" s="127"/>
      <c r="AB5256" s="128"/>
      <c r="AC5256" s="15" t="s">
        <v>20</v>
      </c>
      <c r="AD5256" s="129"/>
      <c r="AE5256" s="130"/>
      <c r="AF5256" s="130"/>
      <c r="AG5256" s="130"/>
      <c r="AH5256" s="130"/>
      <c r="AI5256" s="131"/>
      <c r="AJ5256" s="132"/>
      <c r="AK5256" s="127"/>
      <c r="AL5256" s="128"/>
      <c r="AM5256" s="21"/>
      <c r="AN5256" s="133">
        <v>46046</v>
      </c>
      <c r="AO5256" s="134"/>
      <c r="AP5256" s="135">
        <v>1285</v>
      </c>
      <c r="AQ5256" s="136"/>
      <c r="AR5256" s="118">
        <v>1230000</v>
      </c>
      <c r="AS5256" s="119"/>
      <c r="AT5256" s="118">
        <f t="shared" ref="AT5256" si="6461">AR5256*0.1</f>
        <v>123000</v>
      </c>
      <c r="AU5256" s="119"/>
      <c r="AV5256" s="118">
        <v>8630</v>
      </c>
      <c r="AW5256" s="119"/>
      <c r="AX5256" s="118">
        <f t="shared" ref="AX5256" si="6462">SUM(AR5256:AW5256)</f>
        <v>1361630</v>
      </c>
      <c r="AY5256" s="119"/>
      <c r="AZ5256" s="137">
        <v>46051</v>
      </c>
    </row>
    <row r="5257" spans="1:52" ht="17.100000000000001" customHeight="1" thickBot="1">
      <c r="A5257" s="110"/>
      <c r="B5257" s="27" t="s">
        <v>2131</v>
      </c>
      <c r="C5257" s="27">
        <v>3389</v>
      </c>
      <c r="D5257" s="14" t="s">
        <v>1700</v>
      </c>
      <c r="E5257" s="112"/>
      <c r="F5257" s="139" t="s">
        <v>15536</v>
      </c>
      <c r="G5257" s="140"/>
      <c r="H5257" s="141"/>
      <c r="I5257" s="26">
        <v>49672</v>
      </c>
      <c r="J5257" s="117"/>
      <c r="K5257" s="120"/>
      <c r="L5257" s="121"/>
      <c r="M5257" s="120"/>
      <c r="N5257" s="121"/>
      <c r="O5257" s="120"/>
      <c r="P5257" s="121"/>
      <c r="Q5257" s="120"/>
      <c r="R5257" s="121"/>
      <c r="S5257" s="120"/>
      <c r="T5257" s="121"/>
      <c r="U5257" s="120"/>
      <c r="V5257" s="123"/>
      <c r="W5257" s="125"/>
      <c r="X5257" s="142" t="s">
        <v>16227</v>
      </c>
      <c r="Y5257" s="143"/>
      <c r="Z5257" s="143"/>
      <c r="AA5257" s="143"/>
      <c r="AB5257" s="144"/>
      <c r="AC5257" s="16" t="s">
        <v>21</v>
      </c>
      <c r="AD5257" s="17" t="s">
        <v>16172</v>
      </c>
      <c r="AE5257" s="145" t="s">
        <v>10326</v>
      </c>
      <c r="AF5257" s="146"/>
      <c r="AG5257" s="146"/>
      <c r="AH5257" s="146"/>
      <c r="AI5257" s="147"/>
      <c r="AJ5257" s="148"/>
      <c r="AK5257" s="143"/>
      <c r="AL5257" s="144"/>
      <c r="AM5257" s="22"/>
      <c r="AN5257" s="149" t="s">
        <v>2511</v>
      </c>
      <c r="AO5257" s="144"/>
      <c r="AP5257" s="148">
        <v>60380</v>
      </c>
      <c r="AQ5257" s="144"/>
      <c r="AR5257" s="120"/>
      <c r="AS5257" s="121"/>
      <c r="AT5257" s="120"/>
      <c r="AU5257" s="121"/>
      <c r="AV5257" s="120"/>
      <c r="AW5257" s="121"/>
      <c r="AX5257" s="120"/>
      <c r="AY5257" s="121"/>
      <c r="AZ5257" s="138"/>
    </row>
    <row r="5258" spans="1:52" ht="17.100000000000001" customHeight="1" thickTop="1">
      <c r="A5258" s="109" t="s">
        <v>15544</v>
      </c>
      <c r="B5258" s="28">
        <v>46042</v>
      </c>
      <c r="C5258" s="25">
        <v>1925</v>
      </c>
      <c r="D5258" s="13" t="s">
        <v>2654</v>
      </c>
      <c r="E5258" s="111"/>
      <c r="F5258" s="113" t="s">
        <v>15537</v>
      </c>
      <c r="G5258" s="114"/>
      <c r="H5258" s="115"/>
      <c r="I5258" s="24" t="s">
        <v>4314</v>
      </c>
      <c r="J5258" s="116">
        <v>5</v>
      </c>
      <c r="K5258" s="118">
        <v>2841000</v>
      </c>
      <c r="L5258" s="119"/>
      <c r="M5258" s="118">
        <f t="shared" ref="M5258" si="6463">K5258*0.1</f>
        <v>284100</v>
      </c>
      <c r="N5258" s="119"/>
      <c r="O5258" s="118">
        <v>6600</v>
      </c>
      <c r="P5258" s="119"/>
      <c r="Q5258" s="118">
        <v>23050</v>
      </c>
      <c r="R5258" s="119"/>
      <c r="S5258" s="118">
        <v>15950</v>
      </c>
      <c r="T5258" s="119"/>
      <c r="U5258" s="118">
        <f t="shared" ref="U5258" si="6464">SUM(K5258:T5259)</f>
        <v>3170700</v>
      </c>
      <c r="V5258" s="122"/>
      <c r="W5258" s="124"/>
      <c r="X5258" s="126" t="s">
        <v>15582</v>
      </c>
      <c r="Y5258" s="127"/>
      <c r="Z5258" s="127"/>
      <c r="AA5258" s="127"/>
      <c r="AB5258" s="128"/>
      <c r="AC5258" s="15" t="s">
        <v>20</v>
      </c>
      <c r="AD5258" s="129" t="s">
        <v>1670</v>
      </c>
      <c r="AE5258" s="130"/>
      <c r="AF5258" s="130"/>
      <c r="AG5258" s="130"/>
      <c r="AH5258" s="130"/>
      <c r="AI5258" s="131"/>
      <c r="AJ5258" s="132"/>
      <c r="AK5258" s="127"/>
      <c r="AL5258" s="128"/>
      <c r="AM5258" s="21"/>
      <c r="AN5258" s="133">
        <v>46046</v>
      </c>
      <c r="AO5258" s="134"/>
      <c r="AP5258" s="135">
        <v>1285</v>
      </c>
      <c r="AQ5258" s="136"/>
      <c r="AR5258" s="118">
        <v>3010000</v>
      </c>
      <c r="AS5258" s="119"/>
      <c r="AT5258" s="118">
        <f t="shared" ref="AT5258" si="6465">AR5258*0.1</f>
        <v>301000</v>
      </c>
      <c r="AU5258" s="119"/>
      <c r="AV5258" s="118">
        <v>23050</v>
      </c>
      <c r="AW5258" s="119"/>
      <c r="AX5258" s="118">
        <f t="shared" ref="AX5258" si="6466">SUM(AR5258:AW5258)</f>
        <v>3334050</v>
      </c>
      <c r="AY5258" s="119"/>
      <c r="AZ5258" s="137">
        <v>46051</v>
      </c>
    </row>
    <row r="5259" spans="1:52" ht="17.100000000000001" customHeight="1" thickBot="1">
      <c r="A5259" s="110"/>
      <c r="B5259" s="27" t="s">
        <v>2131</v>
      </c>
      <c r="C5259" s="27">
        <v>5036</v>
      </c>
      <c r="D5259" s="14" t="s">
        <v>2601</v>
      </c>
      <c r="E5259" s="112"/>
      <c r="F5259" s="139" t="s">
        <v>15581</v>
      </c>
      <c r="G5259" s="140"/>
      <c r="H5259" s="141"/>
      <c r="I5259" s="26">
        <v>25747</v>
      </c>
      <c r="J5259" s="117"/>
      <c r="K5259" s="120"/>
      <c r="L5259" s="121"/>
      <c r="M5259" s="120"/>
      <c r="N5259" s="121"/>
      <c r="O5259" s="120"/>
      <c r="P5259" s="121"/>
      <c r="Q5259" s="120"/>
      <c r="R5259" s="121"/>
      <c r="S5259" s="120"/>
      <c r="T5259" s="121"/>
      <c r="U5259" s="120"/>
      <c r="V5259" s="123"/>
      <c r="W5259" s="125"/>
      <c r="X5259" s="142" t="s">
        <v>3562</v>
      </c>
      <c r="Y5259" s="143"/>
      <c r="Z5259" s="143"/>
      <c r="AA5259" s="143"/>
      <c r="AB5259" s="144"/>
      <c r="AC5259" s="16" t="s">
        <v>21</v>
      </c>
      <c r="AD5259" s="17" t="s">
        <v>16172</v>
      </c>
      <c r="AE5259" s="145" t="s">
        <v>9056</v>
      </c>
      <c r="AF5259" s="146"/>
      <c r="AG5259" s="146"/>
      <c r="AH5259" s="146"/>
      <c r="AI5259" s="147"/>
      <c r="AJ5259" s="148"/>
      <c r="AK5259" s="143"/>
      <c r="AL5259" s="144"/>
      <c r="AM5259" s="22"/>
      <c r="AN5259" s="149" t="s">
        <v>2511</v>
      </c>
      <c r="AO5259" s="144"/>
      <c r="AP5259" s="148">
        <v>80352</v>
      </c>
      <c r="AQ5259" s="144"/>
      <c r="AR5259" s="120"/>
      <c r="AS5259" s="121"/>
      <c r="AT5259" s="120"/>
      <c r="AU5259" s="121"/>
      <c r="AV5259" s="120"/>
      <c r="AW5259" s="121"/>
      <c r="AX5259" s="120"/>
      <c r="AY5259" s="121"/>
      <c r="AZ5259" s="138"/>
    </row>
    <row r="5260" spans="1:52" ht="17.100000000000001" customHeight="1" thickTop="1">
      <c r="A5260" s="109" t="s">
        <v>15545</v>
      </c>
      <c r="B5260" s="28">
        <v>46042</v>
      </c>
      <c r="C5260" s="25">
        <v>1925</v>
      </c>
      <c r="D5260" s="13" t="s">
        <v>1786</v>
      </c>
      <c r="E5260" s="111"/>
      <c r="F5260" s="113" t="s">
        <v>15533</v>
      </c>
      <c r="G5260" s="114"/>
      <c r="H5260" s="115"/>
      <c r="I5260" s="24"/>
      <c r="J5260" s="116">
        <v>4</v>
      </c>
      <c r="K5260" s="118">
        <v>518000</v>
      </c>
      <c r="L5260" s="119"/>
      <c r="M5260" s="118">
        <f t="shared" ref="M5260" si="6467">K5260*0.1</f>
        <v>51800</v>
      </c>
      <c r="N5260" s="119"/>
      <c r="O5260" s="118">
        <v>0</v>
      </c>
      <c r="P5260" s="119"/>
      <c r="Q5260" s="118">
        <v>7140</v>
      </c>
      <c r="R5260" s="119"/>
      <c r="S5260" s="118">
        <v>15950</v>
      </c>
      <c r="T5260" s="119"/>
      <c r="U5260" s="118">
        <f t="shared" ref="U5260" si="6468">SUM(K5260:T5261)</f>
        <v>592890</v>
      </c>
      <c r="V5260" s="122"/>
      <c r="W5260" s="124"/>
      <c r="X5260" s="126" t="s">
        <v>16215</v>
      </c>
      <c r="Y5260" s="127"/>
      <c r="Z5260" s="127"/>
      <c r="AA5260" s="127"/>
      <c r="AB5260" s="128"/>
      <c r="AC5260" s="15" t="s">
        <v>20</v>
      </c>
      <c r="AD5260" s="129" t="s">
        <v>2441</v>
      </c>
      <c r="AE5260" s="130"/>
      <c r="AF5260" s="130"/>
      <c r="AG5260" s="130"/>
      <c r="AH5260" s="130"/>
      <c r="AI5260" s="131"/>
      <c r="AJ5260" s="132"/>
      <c r="AK5260" s="127"/>
      <c r="AL5260" s="128"/>
      <c r="AM5260" s="21"/>
      <c r="AN5260" s="133">
        <v>46067</v>
      </c>
      <c r="AO5260" s="134"/>
      <c r="AP5260" s="135">
        <v>1288</v>
      </c>
      <c r="AQ5260" s="136"/>
      <c r="AR5260" s="118">
        <v>550000</v>
      </c>
      <c r="AS5260" s="119"/>
      <c r="AT5260" s="118">
        <f t="shared" ref="AT5260" si="6469">AR5260*0.1</f>
        <v>55000</v>
      </c>
      <c r="AU5260" s="119"/>
      <c r="AV5260" s="118">
        <v>7140</v>
      </c>
      <c r="AW5260" s="119"/>
      <c r="AX5260" s="118">
        <f t="shared" ref="AX5260" si="6470">SUM(AR5260:AW5260)</f>
        <v>612140</v>
      </c>
      <c r="AY5260" s="119"/>
      <c r="AZ5260" s="137">
        <v>46070</v>
      </c>
    </row>
    <row r="5261" spans="1:52" ht="17.100000000000001" customHeight="1" thickBot="1">
      <c r="A5261" s="110"/>
      <c r="B5261" s="27" t="s">
        <v>2131</v>
      </c>
      <c r="C5261" s="27">
        <v>5460</v>
      </c>
      <c r="D5261" s="14" t="s">
        <v>904</v>
      </c>
      <c r="E5261" s="112"/>
      <c r="F5261" s="139" t="s">
        <v>15538</v>
      </c>
      <c r="G5261" s="140"/>
      <c r="H5261" s="141"/>
      <c r="I5261" s="26">
        <v>8634</v>
      </c>
      <c r="J5261" s="117"/>
      <c r="K5261" s="120"/>
      <c r="L5261" s="121"/>
      <c r="M5261" s="120"/>
      <c r="N5261" s="121"/>
      <c r="O5261" s="120"/>
      <c r="P5261" s="121"/>
      <c r="Q5261" s="120"/>
      <c r="R5261" s="121"/>
      <c r="S5261" s="120"/>
      <c r="T5261" s="121"/>
      <c r="U5261" s="120"/>
      <c r="V5261" s="123"/>
      <c r="W5261" s="125"/>
      <c r="X5261" s="142" t="s">
        <v>16216</v>
      </c>
      <c r="Y5261" s="143"/>
      <c r="Z5261" s="143"/>
      <c r="AA5261" s="143"/>
      <c r="AB5261" s="144"/>
      <c r="AC5261" s="16" t="s">
        <v>21</v>
      </c>
      <c r="AD5261" s="17" t="s">
        <v>16172</v>
      </c>
      <c r="AE5261" s="145" t="s">
        <v>2441</v>
      </c>
      <c r="AF5261" s="146"/>
      <c r="AG5261" s="146"/>
      <c r="AH5261" s="146"/>
      <c r="AI5261" s="147"/>
      <c r="AJ5261" s="148"/>
      <c r="AK5261" s="143"/>
      <c r="AL5261" s="144"/>
      <c r="AM5261" s="22"/>
      <c r="AN5261" s="149" t="s">
        <v>2511</v>
      </c>
      <c r="AO5261" s="144"/>
      <c r="AP5261" s="148">
        <v>60158</v>
      </c>
      <c r="AQ5261" s="144"/>
      <c r="AR5261" s="120"/>
      <c r="AS5261" s="121"/>
      <c r="AT5261" s="120"/>
      <c r="AU5261" s="121"/>
      <c r="AV5261" s="120"/>
      <c r="AW5261" s="121"/>
      <c r="AX5261" s="120"/>
      <c r="AY5261" s="121"/>
      <c r="AZ5261" s="138"/>
    </row>
    <row r="5262" spans="1:52" ht="17.100000000000001" customHeight="1" thickTop="1">
      <c r="A5262" s="109" t="s">
        <v>15546</v>
      </c>
      <c r="B5262" s="28">
        <v>46042</v>
      </c>
      <c r="C5262" s="25">
        <v>1925</v>
      </c>
      <c r="D5262" s="13" t="s">
        <v>2092</v>
      </c>
      <c r="E5262" s="111"/>
      <c r="F5262" s="113" t="s">
        <v>15680</v>
      </c>
      <c r="G5262" s="114"/>
      <c r="H5262" s="115"/>
      <c r="I5262" s="24"/>
      <c r="J5262" s="116">
        <v>4</v>
      </c>
      <c r="K5262" s="118">
        <v>963000</v>
      </c>
      <c r="L5262" s="119"/>
      <c r="M5262" s="118">
        <f t="shared" ref="M5262" si="6471">K5262*0.1</f>
        <v>96300</v>
      </c>
      <c r="N5262" s="119"/>
      <c r="O5262" s="118">
        <v>0</v>
      </c>
      <c r="P5262" s="119"/>
      <c r="Q5262" s="118">
        <v>8130</v>
      </c>
      <c r="R5262" s="119"/>
      <c r="S5262" s="118">
        <v>15950</v>
      </c>
      <c r="T5262" s="119"/>
      <c r="U5262" s="118">
        <f t="shared" ref="U5262" si="6472">SUM(K5262:T5263)</f>
        <v>1083380</v>
      </c>
      <c r="V5262" s="122"/>
      <c r="W5262" s="124"/>
      <c r="X5262" s="126" t="s">
        <v>16228</v>
      </c>
      <c r="Y5262" s="127"/>
      <c r="Z5262" s="127"/>
      <c r="AA5262" s="127"/>
      <c r="AB5262" s="128"/>
      <c r="AC5262" s="15" t="s">
        <v>20</v>
      </c>
      <c r="AD5262" s="129" t="s">
        <v>15583</v>
      </c>
      <c r="AE5262" s="130"/>
      <c r="AF5262" s="130"/>
      <c r="AG5262" s="130"/>
      <c r="AH5262" s="130"/>
      <c r="AI5262" s="131"/>
      <c r="AJ5262" s="132"/>
      <c r="AK5262" s="127"/>
      <c r="AL5262" s="128"/>
      <c r="AM5262" s="21"/>
      <c r="AN5262" s="133">
        <v>46046</v>
      </c>
      <c r="AO5262" s="134"/>
      <c r="AP5262" s="135">
        <v>1285</v>
      </c>
      <c r="AQ5262" s="136"/>
      <c r="AR5262" s="118">
        <v>1015000</v>
      </c>
      <c r="AS5262" s="119"/>
      <c r="AT5262" s="118">
        <f t="shared" ref="AT5262" si="6473">AR5262*0.1</f>
        <v>101500</v>
      </c>
      <c r="AU5262" s="119"/>
      <c r="AV5262" s="118">
        <v>8130</v>
      </c>
      <c r="AW5262" s="119"/>
      <c r="AX5262" s="118">
        <f t="shared" ref="AX5262" si="6474">SUM(AR5262:AW5262)</f>
        <v>1124630</v>
      </c>
      <c r="AY5262" s="119"/>
      <c r="AZ5262" s="137">
        <v>46051</v>
      </c>
    </row>
    <row r="5263" spans="1:52" ht="17.100000000000001" customHeight="1" thickBot="1">
      <c r="A5263" s="110"/>
      <c r="B5263" s="27" t="s">
        <v>2131</v>
      </c>
      <c r="C5263" s="27">
        <v>5463</v>
      </c>
      <c r="D5263" s="14" t="s">
        <v>2800</v>
      </c>
      <c r="E5263" s="112"/>
      <c r="F5263" s="139" t="s">
        <v>15539</v>
      </c>
      <c r="G5263" s="140"/>
      <c r="H5263" s="141"/>
      <c r="I5263" s="26">
        <v>31242</v>
      </c>
      <c r="J5263" s="117"/>
      <c r="K5263" s="120"/>
      <c r="L5263" s="121"/>
      <c r="M5263" s="120"/>
      <c r="N5263" s="121"/>
      <c r="O5263" s="120"/>
      <c r="P5263" s="121"/>
      <c r="Q5263" s="120"/>
      <c r="R5263" s="121"/>
      <c r="S5263" s="120"/>
      <c r="T5263" s="121"/>
      <c r="U5263" s="120"/>
      <c r="V5263" s="123"/>
      <c r="W5263" s="125"/>
      <c r="X5263" s="142" t="s">
        <v>5254</v>
      </c>
      <c r="Y5263" s="143"/>
      <c r="Z5263" s="143"/>
      <c r="AA5263" s="143"/>
      <c r="AB5263" s="144"/>
      <c r="AC5263" s="16" t="s">
        <v>21</v>
      </c>
      <c r="AD5263" s="17" t="s">
        <v>16172</v>
      </c>
      <c r="AE5263" s="145" t="s">
        <v>3609</v>
      </c>
      <c r="AF5263" s="146"/>
      <c r="AG5263" s="146"/>
      <c r="AH5263" s="146"/>
      <c r="AI5263" s="147"/>
      <c r="AJ5263" s="148"/>
      <c r="AK5263" s="143"/>
      <c r="AL5263" s="144"/>
      <c r="AM5263" s="22"/>
      <c r="AN5263" s="149" t="s">
        <v>2511</v>
      </c>
      <c r="AO5263" s="144"/>
      <c r="AP5263" s="148">
        <v>60386</v>
      </c>
      <c r="AQ5263" s="144"/>
      <c r="AR5263" s="120"/>
      <c r="AS5263" s="121"/>
      <c r="AT5263" s="120"/>
      <c r="AU5263" s="121"/>
      <c r="AV5263" s="120"/>
      <c r="AW5263" s="121"/>
      <c r="AX5263" s="120"/>
      <c r="AY5263" s="121"/>
      <c r="AZ5263" s="138"/>
    </row>
    <row r="5264" spans="1:52" ht="17.100000000000001" customHeight="1" thickTop="1">
      <c r="A5264" s="109" t="s">
        <v>15547</v>
      </c>
      <c r="B5264" s="28">
        <v>46042</v>
      </c>
      <c r="C5264" s="25">
        <v>1925</v>
      </c>
      <c r="D5264" s="13" t="s">
        <v>1902</v>
      </c>
      <c r="E5264" s="111"/>
      <c r="F5264" s="113" t="s">
        <v>15584</v>
      </c>
      <c r="G5264" s="114"/>
      <c r="H5264" s="115"/>
      <c r="I5264" s="24"/>
      <c r="J5264" s="116">
        <v>4</v>
      </c>
      <c r="K5264" s="118">
        <v>1059000</v>
      </c>
      <c r="L5264" s="119"/>
      <c r="M5264" s="118">
        <f t="shared" ref="M5264" si="6475">K5264*0.1</f>
        <v>105900</v>
      </c>
      <c r="N5264" s="119"/>
      <c r="O5264" s="118">
        <v>0</v>
      </c>
      <c r="P5264" s="119"/>
      <c r="Q5264" s="118">
        <v>7440</v>
      </c>
      <c r="R5264" s="119"/>
      <c r="S5264" s="118">
        <v>15950</v>
      </c>
      <c r="T5264" s="119"/>
      <c r="U5264" s="118">
        <f t="shared" ref="U5264" si="6476">SUM(K5264:T5265)</f>
        <v>1188290</v>
      </c>
      <c r="V5264" s="122"/>
      <c r="W5264" s="124"/>
      <c r="X5264" s="126" t="s">
        <v>16219</v>
      </c>
      <c r="Y5264" s="127"/>
      <c r="Z5264" s="127"/>
      <c r="AA5264" s="127"/>
      <c r="AB5264" s="128"/>
      <c r="AC5264" s="15" t="s">
        <v>20</v>
      </c>
      <c r="AD5264" s="129"/>
      <c r="AE5264" s="130"/>
      <c r="AF5264" s="130"/>
      <c r="AG5264" s="130"/>
      <c r="AH5264" s="130"/>
      <c r="AI5264" s="131"/>
      <c r="AJ5264" s="132"/>
      <c r="AK5264" s="127"/>
      <c r="AL5264" s="128"/>
      <c r="AM5264" s="21"/>
      <c r="AN5264" s="133">
        <v>46060</v>
      </c>
      <c r="AO5264" s="134"/>
      <c r="AP5264" s="135">
        <v>1287</v>
      </c>
      <c r="AQ5264" s="136"/>
      <c r="AR5264" s="118">
        <v>1130000</v>
      </c>
      <c r="AS5264" s="119"/>
      <c r="AT5264" s="118">
        <f t="shared" ref="AT5264" si="6477">AR5264*0.1</f>
        <v>113000</v>
      </c>
      <c r="AU5264" s="119"/>
      <c r="AV5264" s="118">
        <v>7440</v>
      </c>
      <c r="AW5264" s="119"/>
      <c r="AX5264" s="118">
        <f t="shared" ref="AX5264" si="6478">SUM(AR5264:AW5264)</f>
        <v>1250440</v>
      </c>
      <c r="AY5264" s="119"/>
      <c r="AZ5264" s="137">
        <v>46063</v>
      </c>
    </row>
    <row r="5265" spans="1:52" ht="17.100000000000001" customHeight="1" thickBot="1">
      <c r="A5265" s="110"/>
      <c r="B5265" s="27" t="s">
        <v>2131</v>
      </c>
      <c r="C5265" s="27">
        <v>62015</v>
      </c>
      <c r="D5265" s="14" t="s">
        <v>1592</v>
      </c>
      <c r="E5265" s="112"/>
      <c r="F5265" s="139" t="s">
        <v>16186</v>
      </c>
      <c r="G5265" s="140"/>
      <c r="H5265" s="141"/>
      <c r="I5265" s="26">
        <v>48063</v>
      </c>
      <c r="J5265" s="117"/>
      <c r="K5265" s="120"/>
      <c r="L5265" s="121"/>
      <c r="M5265" s="120"/>
      <c r="N5265" s="121"/>
      <c r="O5265" s="120"/>
      <c r="P5265" s="121"/>
      <c r="Q5265" s="120"/>
      <c r="R5265" s="121"/>
      <c r="S5265" s="120"/>
      <c r="T5265" s="121"/>
      <c r="U5265" s="120"/>
      <c r="V5265" s="123"/>
      <c r="W5265" s="125"/>
      <c r="X5265" s="142" t="s">
        <v>7450</v>
      </c>
      <c r="Y5265" s="143"/>
      <c r="Z5265" s="143"/>
      <c r="AA5265" s="143"/>
      <c r="AB5265" s="144"/>
      <c r="AC5265" s="16" t="s">
        <v>21</v>
      </c>
      <c r="AD5265" s="17" t="s">
        <v>16172</v>
      </c>
      <c r="AE5265" s="145"/>
      <c r="AF5265" s="146"/>
      <c r="AG5265" s="146"/>
      <c r="AH5265" s="146"/>
      <c r="AI5265" s="147"/>
      <c r="AJ5265" s="148"/>
      <c r="AK5265" s="143"/>
      <c r="AL5265" s="144"/>
      <c r="AM5265" s="22"/>
      <c r="AN5265" s="149" t="s">
        <v>2511</v>
      </c>
      <c r="AO5265" s="144"/>
      <c r="AP5265" s="148">
        <v>41031</v>
      </c>
      <c r="AQ5265" s="144"/>
      <c r="AR5265" s="120"/>
      <c r="AS5265" s="121"/>
      <c r="AT5265" s="120"/>
      <c r="AU5265" s="121"/>
      <c r="AV5265" s="120"/>
      <c r="AW5265" s="121"/>
      <c r="AX5265" s="120"/>
      <c r="AY5265" s="121"/>
      <c r="AZ5265" s="138"/>
    </row>
    <row r="5266" spans="1:52" ht="17.100000000000001" customHeight="1" thickTop="1">
      <c r="A5266" s="109" t="s">
        <v>15548</v>
      </c>
      <c r="B5266" s="28">
        <v>46042</v>
      </c>
      <c r="C5266" s="25">
        <v>1925</v>
      </c>
      <c r="D5266" s="13" t="s">
        <v>2298</v>
      </c>
      <c r="E5266" s="111"/>
      <c r="F5266" s="113" t="s">
        <v>15540</v>
      </c>
      <c r="G5266" s="114"/>
      <c r="H5266" s="115"/>
      <c r="I5266" s="24"/>
      <c r="J5266" s="116">
        <v>4.5</v>
      </c>
      <c r="K5266" s="118">
        <v>1161000</v>
      </c>
      <c r="L5266" s="119"/>
      <c r="M5266" s="118">
        <f t="shared" ref="M5266" si="6479">K5266*0.1</f>
        <v>116100</v>
      </c>
      <c r="N5266" s="119"/>
      <c r="O5266" s="118">
        <v>0</v>
      </c>
      <c r="P5266" s="119"/>
      <c r="Q5266" s="118">
        <v>7440</v>
      </c>
      <c r="R5266" s="119"/>
      <c r="S5266" s="118">
        <v>15950</v>
      </c>
      <c r="T5266" s="119"/>
      <c r="U5266" s="118">
        <f t="shared" ref="U5266" si="6480">SUM(K5266:T5267)</f>
        <v>1300490</v>
      </c>
      <c r="V5266" s="122"/>
      <c r="W5266" s="124"/>
      <c r="X5266" s="126" t="s">
        <v>16218</v>
      </c>
      <c r="Y5266" s="127"/>
      <c r="Z5266" s="127"/>
      <c r="AA5266" s="127"/>
      <c r="AB5266" s="128"/>
      <c r="AC5266" s="15" t="s">
        <v>20</v>
      </c>
      <c r="AD5266" s="129"/>
      <c r="AE5266" s="130"/>
      <c r="AF5266" s="130"/>
      <c r="AG5266" s="130"/>
      <c r="AH5266" s="130"/>
      <c r="AI5266" s="131"/>
      <c r="AJ5266" s="132"/>
      <c r="AK5266" s="127"/>
      <c r="AL5266" s="128"/>
      <c r="AM5266" s="21"/>
      <c r="AN5266" s="133">
        <v>46060</v>
      </c>
      <c r="AO5266" s="134"/>
      <c r="AP5266" s="135">
        <v>1287</v>
      </c>
      <c r="AQ5266" s="136"/>
      <c r="AR5266" s="118">
        <v>1250000</v>
      </c>
      <c r="AS5266" s="119"/>
      <c r="AT5266" s="118">
        <f t="shared" ref="AT5266" si="6481">AR5266*0.1</f>
        <v>125000</v>
      </c>
      <c r="AU5266" s="119"/>
      <c r="AV5266" s="118">
        <v>7440</v>
      </c>
      <c r="AW5266" s="119"/>
      <c r="AX5266" s="118">
        <f t="shared" ref="AX5266" si="6482">SUM(AR5266:AW5266)</f>
        <v>1382440</v>
      </c>
      <c r="AY5266" s="119"/>
      <c r="AZ5266" s="137">
        <v>46063</v>
      </c>
    </row>
    <row r="5267" spans="1:52" ht="17.100000000000001" customHeight="1" thickBot="1">
      <c r="A5267" s="110"/>
      <c r="B5267" s="27" t="s">
        <v>2131</v>
      </c>
      <c r="C5267" s="27">
        <v>62042</v>
      </c>
      <c r="D5267" s="14" t="s">
        <v>1592</v>
      </c>
      <c r="E5267" s="112"/>
      <c r="F5267" s="139" t="s">
        <v>16187</v>
      </c>
      <c r="G5267" s="140"/>
      <c r="H5267" s="141"/>
      <c r="I5267" s="26">
        <v>29145</v>
      </c>
      <c r="J5267" s="117"/>
      <c r="K5267" s="120"/>
      <c r="L5267" s="121"/>
      <c r="M5267" s="120"/>
      <c r="N5267" s="121"/>
      <c r="O5267" s="120"/>
      <c r="P5267" s="121"/>
      <c r="Q5267" s="120"/>
      <c r="R5267" s="121"/>
      <c r="S5267" s="120"/>
      <c r="T5267" s="121"/>
      <c r="U5267" s="120"/>
      <c r="V5267" s="123"/>
      <c r="W5267" s="125"/>
      <c r="X5267" s="142" t="s">
        <v>7450</v>
      </c>
      <c r="Y5267" s="143"/>
      <c r="Z5267" s="143"/>
      <c r="AA5267" s="143"/>
      <c r="AB5267" s="144"/>
      <c r="AC5267" s="16" t="s">
        <v>21</v>
      </c>
      <c r="AD5267" s="17" t="s">
        <v>16172</v>
      </c>
      <c r="AE5267" s="145"/>
      <c r="AF5267" s="146"/>
      <c r="AG5267" s="146"/>
      <c r="AH5267" s="146"/>
      <c r="AI5267" s="147"/>
      <c r="AJ5267" s="148"/>
      <c r="AK5267" s="143"/>
      <c r="AL5267" s="144"/>
      <c r="AM5267" s="22"/>
      <c r="AN5267" s="149" t="s">
        <v>2511</v>
      </c>
      <c r="AO5267" s="144"/>
      <c r="AP5267" s="148">
        <v>41033</v>
      </c>
      <c r="AQ5267" s="144"/>
      <c r="AR5267" s="120"/>
      <c r="AS5267" s="121"/>
      <c r="AT5267" s="120"/>
      <c r="AU5267" s="121"/>
      <c r="AV5267" s="120"/>
      <c r="AW5267" s="121"/>
      <c r="AX5267" s="120"/>
      <c r="AY5267" s="121"/>
      <c r="AZ5267" s="138"/>
    </row>
    <row r="5268" spans="1:52" ht="17.100000000000001" customHeight="1" thickTop="1">
      <c r="A5268" s="109" t="s">
        <v>15549</v>
      </c>
      <c r="B5268" s="28">
        <v>46042</v>
      </c>
      <c r="C5268" s="25">
        <v>803</v>
      </c>
      <c r="D5268" s="13" t="s">
        <v>1920</v>
      </c>
      <c r="E5268" s="111"/>
      <c r="F5268" s="113" t="s">
        <v>15541</v>
      </c>
      <c r="G5268" s="114"/>
      <c r="H5268" s="115"/>
      <c r="I5268" s="24" t="s">
        <v>2571</v>
      </c>
      <c r="J5268" s="116">
        <v>3.5</v>
      </c>
      <c r="K5268" s="118">
        <v>551000</v>
      </c>
      <c r="L5268" s="119"/>
      <c r="M5268" s="118">
        <f t="shared" ref="M5268" si="6483">K5268*0.1</f>
        <v>55100</v>
      </c>
      <c r="N5268" s="119"/>
      <c r="O5268" s="118">
        <v>0</v>
      </c>
      <c r="P5268" s="119"/>
      <c r="Q5268" s="118">
        <v>8430</v>
      </c>
      <c r="R5268" s="119"/>
      <c r="S5268" s="118">
        <v>15950</v>
      </c>
      <c r="T5268" s="119"/>
      <c r="U5268" s="118">
        <f t="shared" ref="U5268" si="6484">SUM(K5268:T5269)</f>
        <v>630480</v>
      </c>
      <c r="V5268" s="122"/>
      <c r="W5268" s="124"/>
      <c r="X5268" s="126" t="s">
        <v>15585</v>
      </c>
      <c r="Y5268" s="127"/>
      <c r="Z5268" s="127"/>
      <c r="AA5268" s="127"/>
      <c r="AB5268" s="128"/>
      <c r="AC5268" s="15" t="s">
        <v>20</v>
      </c>
      <c r="AD5268" s="129" t="s">
        <v>15586</v>
      </c>
      <c r="AE5268" s="130"/>
      <c r="AF5268" s="130"/>
      <c r="AG5268" s="130"/>
      <c r="AH5268" s="130"/>
      <c r="AI5268" s="131"/>
      <c r="AJ5268" s="132"/>
      <c r="AK5268" s="127"/>
      <c r="AL5268" s="128"/>
      <c r="AM5268" s="21" t="s">
        <v>17470</v>
      </c>
      <c r="AN5268" s="133">
        <v>46060</v>
      </c>
      <c r="AO5268" s="134"/>
      <c r="AP5268" s="135">
        <v>1287</v>
      </c>
      <c r="AQ5268" s="136"/>
      <c r="AR5268" s="118">
        <v>680000</v>
      </c>
      <c r="AS5268" s="119"/>
      <c r="AT5268" s="118">
        <f t="shared" ref="AT5268" si="6485">AR5268*0.1</f>
        <v>68000</v>
      </c>
      <c r="AU5268" s="119"/>
      <c r="AV5268" s="118">
        <v>8430</v>
      </c>
      <c r="AW5268" s="119"/>
      <c r="AX5268" s="118">
        <f t="shared" ref="AX5268" si="6486">SUM(AR5268:AW5268)</f>
        <v>756430</v>
      </c>
      <c r="AY5268" s="119"/>
      <c r="AZ5268" s="137">
        <v>46065</v>
      </c>
    </row>
    <row r="5269" spans="1:52" ht="17.100000000000001" customHeight="1" thickBot="1">
      <c r="A5269" s="110"/>
      <c r="B5269" s="27" t="s">
        <v>3367</v>
      </c>
      <c r="C5269" s="27">
        <v>3092</v>
      </c>
      <c r="D5269" s="14" t="s">
        <v>1720</v>
      </c>
      <c r="E5269" s="112"/>
      <c r="F5269" s="139" t="s">
        <v>15542</v>
      </c>
      <c r="G5269" s="140"/>
      <c r="H5269" s="141"/>
      <c r="I5269" s="26">
        <v>24949</v>
      </c>
      <c r="J5269" s="117"/>
      <c r="K5269" s="120"/>
      <c r="L5269" s="121"/>
      <c r="M5269" s="120"/>
      <c r="N5269" s="121"/>
      <c r="O5269" s="120"/>
      <c r="P5269" s="121"/>
      <c r="Q5269" s="120"/>
      <c r="R5269" s="121"/>
      <c r="S5269" s="120"/>
      <c r="T5269" s="121"/>
      <c r="U5269" s="120"/>
      <c r="V5269" s="123"/>
      <c r="W5269" s="125"/>
      <c r="X5269" s="142" t="s">
        <v>16191</v>
      </c>
      <c r="Y5269" s="143"/>
      <c r="Z5269" s="143"/>
      <c r="AA5269" s="143"/>
      <c r="AB5269" s="144"/>
      <c r="AC5269" s="16" t="s">
        <v>21</v>
      </c>
      <c r="AD5269" s="17" t="s">
        <v>16172</v>
      </c>
      <c r="AE5269" s="145" t="s">
        <v>16735</v>
      </c>
      <c r="AF5269" s="146"/>
      <c r="AG5269" s="146"/>
      <c r="AH5269" s="146"/>
      <c r="AI5269" s="147"/>
      <c r="AJ5269" s="148"/>
      <c r="AK5269" s="143"/>
      <c r="AL5269" s="144"/>
      <c r="AM5269" s="22"/>
      <c r="AN5269" s="149" t="s">
        <v>2511</v>
      </c>
      <c r="AO5269" s="144"/>
      <c r="AP5269" s="148">
        <v>60049</v>
      </c>
      <c r="AQ5269" s="144"/>
      <c r="AR5269" s="120"/>
      <c r="AS5269" s="121"/>
      <c r="AT5269" s="120"/>
      <c r="AU5269" s="121"/>
      <c r="AV5269" s="120"/>
      <c r="AW5269" s="121"/>
      <c r="AX5269" s="120"/>
      <c r="AY5269" s="121"/>
      <c r="AZ5269" s="138"/>
    </row>
    <row r="5270" spans="1:52" ht="17.100000000000001" customHeight="1" thickTop="1">
      <c r="A5270" s="109" t="s">
        <v>15550</v>
      </c>
      <c r="B5270" s="28">
        <v>46042</v>
      </c>
      <c r="C5270" s="25">
        <v>923</v>
      </c>
      <c r="D5270" s="13" t="s">
        <v>1561</v>
      </c>
      <c r="E5270" s="111"/>
      <c r="F5270" s="113" t="s">
        <v>15565</v>
      </c>
      <c r="G5270" s="114"/>
      <c r="H5270" s="115"/>
      <c r="I5270" s="24" t="s">
        <v>3923</v>
      </c>
      <c r="J5270" s="116">
        <v>4</v>
      </c>
      <c r="K5270" s="118">
        <v>1068000</v>
      </c>
      <c r="L5270" s="119"/>
      <c r="M5270" s="118">
        <f t="shared" ref="M5270" si="6487">K5270*0.1</f>
        <v>106800</v>
      </c>
      <c r="N5270" s="119"/>
      <c r="O5270" s="118">
        <v>7150</v>
      </c>
      <c r="P5270" s="119"/>
      <c r="Q5270" s="118">
        <v>12030</v>
      </c>
      <c r="R5270" s="119"/>
      <c r="S5270" s="118">
        <v>15950</v>
      </c>
      <c r="T5270" s="119"/>
      <c r="U5270" s="118">
        <f t="shared" ref="U5270" si="6488">SUM(K5270:T5271)</f>
        <v>1209930</v>
      </c>
      <c r="V5270" s="122"/>
      <c r="W5270" s="124"/>
      <c r="X5270" s="126" t="s">
        <v>15587</v>
      </c>
      <c r="Y5270" s="127"/>
      <c r="Z5270" s="127"/>
      <c r="AA5270" s="127"/>
      <c r="AB5270" s="128"/>
      <c r="AC5270" s="15" t="s">
        <v>20</v>
      </c>
      <c r="AD5270" s="129"/>
      <c r="AE5270" s="130"/>
      <c r="AF5270" s="130"/>
      <c r="AG5270" s="130"/>
      <c r="AH5270" s="130"/>
      <c r="AI5270" s="131"/>
      <c r="AJ5270" s="132"/>
      <c r="AK5270" s="127"/>
      <c r="AL5270" s="128"/>
      <c r="AM5270" s="21"/>
      <c r="AN5270" s="133">
        <v>46060</v>
      </c>
      <c r="AO5270" s="134"/>
      <c r="AP5270" s="135">
        <v>1287</v>
      </c>
      <c r="AQ5270" s="136"/>
      <c r="AR5270" s="118">
        <v>1215000</v>
      </c>
      <c r="AS5270" s="119"/>
      <c r="AT5270" s="118">
        <f t="shared" ref="AT5270" si="6489">AR5270*0.1</f>
        <v>121500</v>
      </c>
      <c r="AU5270" s="119"/>
      <c r="AV5270" s="118">
        <v>12030</v>
      </c>
      <c r="AW5270" s="119"/>
      <c r="AX5270" s="118">
        <f t="shared" ref="AX5270" si="6490">SUM(AR5270:AW5270)</f>
        <v>1348530</v>
      </c>
      <c r="AY5270" s="119"/>
      <c r="AZ5270" s="137">
        <v>46063</v>
      </c>
    </row>
    <row r="5271" spans="1:52" ht="17.100000000000001" customHeight="1" thickBot="1">
      <c r="A5271" s="110"/>
      <c r="B5271" s="27" t="s">
        <v>2699</v>
      </c>
      <c r="C5271" s="27">
        <v>33</v>
      </c>
      <c r="D5271" s="14" t="s">
        <v>2601</v>
      </c>
      <c r="E5271" s="112"/>
      <c r="F5271" s="139" t="s">
        <v>15566</v>
      </c>
      <c r="G5271" s="140"/>
      <c r="H5271" s="141"/>
      <c r="I5271" s="26">
        <v>97401</v>
      </c>
      <c r="J5271" s="117"/>
      <c r="K5271" s="120"/>
      <c r="L5271" s="121"/>
      <c r="M5271" s="120"/>
      <c r="N5271" s="121"/>
      <c r="O5271" s="120"/>
      <c r="P5271" s="121"/>
      <c r="Q5271" s="120"/>
      <c r="R5271" s="121"/>
      <c r="S5271" s="120"/>
      <c r="T5271" s="121"/>
      <c r="U5271" s="120"/>
      <c r="V5271" s="123"/>
      <c r="W5271" s="125"/>
      <c r="X5271" s="142" t="s">
        <v>16204</v>
      </c>
      <c r="Y5271" s="143"/>
      <c r="Z5271" s="143"/>
      <c r="AA5271" s="143"/>
      <c r="AB5271" s="144"/>
      <c r="AC5271" s="16" t="s">
        <v>21</v>
      </c>
      <c r="AD5271" s="17" t="s">
        <v>16172</v>
      </c>
      <c r="AE5271" s="145" t="s">
        <v>1945</v>
      </c>
      <c r="AF5271" s="146"/>
      <c r="AG5271" s="146"/>
      <c r="AH5271" s="146"/>
      <c r="AI5271" s="147"/>
      <c r="AJ5271" s="148"/>
      <c r="AK5271" s="143"/>
      <c r="AL5271" s="144"/>
      <c r="AM5271" s="22"/>
      <c r="AN5271" s="149" t="s">
        <v>2511</v>
      </c>
      <c r="AO5271" s="144"/>
      <c r="AP5271" s="148">
        <v>50219</v>
      </c>
      <c r="AQ5271" s="144"/>
      <c r="AR5271" s="120"/>
      <c r="AS5271" s="121"/>
      <c r="AT5271" s="120"/>
      <c r="AU5271" s="121"/>
      <c r="AV5271" s="120"/>
      <c r="AW5271" s="121"/>
      <c r="AX5271" s="120"/>
      <c r="AY5271" s="121"/>
      <c r="AZ5271" s="138"/>
    </row>
    <row r="5272" spans="1:52" ht="17.100000000000001" customHeight="1" thickTop="1">
      <c r="A5272" s="109" t="s">
        <v>15551</v>
      </c>
      <c r="B5272" s="28">
        <v>46042</v>
      </c>
      <c r="C5272" s="25">
        <v>923</v>
      </c>
      <c r="D5272" s="13" t="s">
        <v>3461</v>
      </c>
      <c r="E5272" s="111"/>
      <c r="F5272" s="113" t="s">
        <v>15567</v>
      </c>
      <c r="G5272" s="114"/>
      <c r="H5272" s="115"/>
      <c r="I5272" s="24"/>
      <c r="J5272" s="116">
        <v>4.5</v>
      </c>
      <c r="K5272" s="118">
        <v>2135000</v>
      </c>
      <c r="L5272" s="119"/>
      <c r="M5272" s="118">
        <f t="shared" ref="M5272" si="6491">K5272*0.1</f>
        <v>213500</v>
      </c>
      <c r="N5272" s="119"/>
      <c r="O5272" s="118">
        <v>0</v>
      </c>
      <c r="P5272" s="119"/>
      <c r="Q5272" s="118">
        <v>11650</v>
      </c>
      <c r="R5272" s="119"/>
      <c r="S5272" s="118">
        <v>15950</v>
      </c>
      <c r="T5272" s="119"/>
      <c r="U5272" s="118">
        <f t="shared" ref="U5272" si="6492">SUM(K5272:T5273)</f>
        <v>2376100</v>
      </c>
      <c r="V5272" s="122"/>
      <c r="W5272" s="124"/>
      <c r="X5272" s="126" t="s">
        <v>16205</v>
      </c>
      <c r="Y5272" s="127"/>
      <c r="Z5272" s="127"/>
      <c r="AA5272" s="127"/>
      <c r="AB5272" s="128"/>
      <c r="AC5272" s="15" t="s">
        <v>20</v>
      </c>
      <c r="AD5272" s="129" t="s">
        <v>1670</v>
      </c>
      <c r="AE5272" s="130"/>
      <c r="AF5272" s="130"/>
      <c r="AG5272" s="130"/>
      <c r="AH5272" s="130"/>
      <c r="AI5272" s="131"/>
      <c r="AJ5272" s="132"/>
      <c r="AK5272" s="127"/>
      <c r="AL5272" s="128"/>
      <c r="AM5272" s="21"/>
      <c r="AN5272" s="133">
        <v>46067</v>
      </c>
      <c r="AO5272" s="134"/>
      <c r="AP5272" s="135">
        <v>1288</v>
      </c>
      <c r="AQ5272" s="136"/>
      <c r="AR5272" s="118">
        <v>2235000</v>
      </c>
      <c r="AS5272" s="119"/>
      <c r="AT5272" s="118">
        <f t="shared" ref="AT5272" si="6493">AR5272*0.1</f>
        <v>223500</v>
      </c>
      <c r="AU5272" s="119"/>
      <c r="AV5272" s="118">
        <v>11650</v>
      </c>
      <c r="AW5272" s="119"/>
      <c r="AX5272" s="118">
        <f t="shared" ref="AX5272" si="6494">SUM(AR5272:AW5272)</f>
        <v>2470150</v>
      </c>
      <c r="AY5272" s="119"/>
      <c r="AZ5272" s="137">
        <v>46070</v>
      </c>
    </row>
    <row r="5273" spans="1:52" ht="17.100000000000001" customHeight="1" thickBot="1">
      <c r="A5273" s="110"/>
      <c r="B5273" s="27" t="s">
        <v>2699</v>
      </c>
      <c r="C5273" s="27">
        <v>2029</v>
      </c>
      <c r="D5273" s="14" t="s">
        <v>1576</v>
      </c>
      <c r="E5273" s="112"/>
      <c r="F5273" s="139" t="s">
        <v>15568</v>
      </c>
      <c r="G5273" s="140"/>
      <c r="H5273" s="141"/>
      <c r="I5273" s="26">
        <v>22450</v>
      </c>
      <c r="J5273" s="117"/>
      <c r="K5273" s="120"/>
      <c r="L5273" s="121"/>
      <c r="M5273" s="120"/>
      <c r="N5273" s="121"/>
      <c r="O5273" s="120"/>
      <c r="P5273" s="121"/>
      <c r="Q5273" s="120"/>
      <c r="R5273" s="121"/>
      <c r="S5273" s="120"/>
      <c r="T5273" s="121"/>
      <c r="U5273" s="120"/>
      <c r="V5273" s="123"/>
      <c r="W5273" s="125"/>
      <c r="X5273" s="142" t="s">
        <v>3007</v>
      </c>
      <c r="Y5273" s="143"/>
      <c r="Z5273" s="143"/>
      <c r="AA5273" s="143"/>
      <c r="AB5273" s="144"/>
      <c r="AC5273" s="16" t="s">
        <v>21</v>
      </c>
      <c r="AD5273" s="17" t="s">
        <v>16172</v>
      </c>
      <c r="AE5273" s="145" t="s">
        <v>1670</v>
      </c>
      <c r="AF5273" s="146"/>
      <c r="AG5273" s="146"/>
      <c r="AH5273" s="146"/>
      <c r="AI5273" s="147"/>
      <c r="AJ5273" s="148"/>
      <c r="AK5273" s="143"/>
      <c r="AL5273" s="144"/>
      <c r="AM5273" s="22"/>
      <c r="AN5273" s="149" t="s">
        <v>2511</v>
      </c>
      <c r="AO5273" s="144"/>
      <c r="AP5273" s="148">
        <v>55075</v>
      </c>
      <c r="AQ5273" s="144"/>
      <c r="AR5273" s="120"/>
      <c r="AS5273" s="121"/>
      <c r="AT5273" s="120"/>
      <c r="AU5273" s="121"/>
      <c r="AV5273" s="120"/>
      <c r="AW5273" s="121"/>
      <c r="AX5273" s="120"/>
      <c r="AY5273" s="121"/>
      <c r="AZ5273" s="138"/>
    </row>
    <row r="5274" spans="1:52" ht="17.100000000000001" customHeight="1" thickTop="1">
      <c r="A5274" s="109" t="s">
        <v>15552</v>
      </c>
      <c r="B5274" s="28">
        <v>46042</v>
      </c>
      <c r="C5274" s="25">
        <v>923</v>
      </c>
      <c r="D5274" s="13" t="s">
        <v>1675</v>
      </c>
      <c r="E5274" s="111"/>
      <c r="F5274" s="113" t="s">
        <v>15569</v>
      </c>
      <c r="G5274" s="114"/>
      <c r="H5274" s="115"/>
      <c r="I5274" s="24"/>
      <c r="J5274" s="116">
        <v>3.5</v>
      </c>
      <c r="K5274" s="118">
        <v>253000</v>
      </c>
      <c r="L5274" s="119"/>
      <c r="M5274" s="118">
        <f t="shared" ref="M5274" si="6495">K5274*0.1</f>
        <v>25300</v>
      </c>
      <c r="N5274" s="119"/>
      <c r="O5274" s="118">
        <v>0</v>
      </c>
      <c r="P5274" s="119"/>
      <c r="Q5274" s="118">
        <v>8580</v>
      </c>
      <c r="R5274" s="119"/>
      <c r="S5274" s="118">
        <v>15950</v>
      </c>
      <c r="T5274" s="119"/>
      <c r="U5274" s="118">
        <f t="shared" ref="U5274" si="6496">SUM(K5274:T5275)</f>
        <v>302830</v>
      </c>
      <c r="V5274" s="122"/>
      <c r="W5274" s="124"/>
      <c r="X5274" s="126" t="s">
        <v>16202</v>
      </c>
      <c r="Y5274" s="127"/>
      <c r="Z5274" s="127"/>
      <c r="AA5274" s="127"/>
      <c r="AB5274" s="128"/>
      <c r="AC5274" s="15" t="s">
        <v>20</v>
      </c>
      <c r="AD5274" s="129"/>
      <c r="AE5274" s="130"/>
      <c r="AF5274" s="130"/>
      <c r="AG5274" s="130"/>
      <c r="AH5274" s="130"/>
      <c r="AI5274" s="131"/>
      <c r="AJ5274" s="132"/>
      <c r="AK5274" s="127"/>
      <c r="AL5274" s="128"/>
      <c r="AM5274" s="21"/>
      <c r="AN5274" s="133">
        <v>46060</v>
      </c>
      <c r="AO5274" s="134"/>
      <c r="AP5274" s="135">
        <v>1287</v>
      </c>
      <c r="AQ5274" s="136"/>
      <c r="AR5274" s="118">
        <v>300000</v>
      </c>
      <c r="AS5274" s="119"/>
      <c r="AT5274" s="118">
        <f t="shared" ref="AT5274" si="6497">AR5274*0.1</f>
        <v>30000</v>
      </c>
      <c r="AU5274" s="119"/>
      <c r="AV5274" s="118">
        <v>8580</v>
      </c>
      <c r="AW5274" s="119"/>
      <c r="AX5274" s="118">
        <f t="shared" ref="AX5274" si="6498">SUM(AR5274:AW5274)</f>
        <v>338580</v>
      </c>
      <c r="AY5274" s="119"/>
      <c r="AZ5274" s="137">
        <v>46063</v>
      </c>
    </row>
    <row r="5275" spans="1:52" ht="17.100000000000001" customHeight="1" thickBot="1">
      <c r="A5275" s="110"/>
      <c r="B5275" s="27" t="s">
        <v>2699</v>
      </c>
      <c r="C5275" s="27">
        <v>3044</v>
      </c>
      <c r="D5275" s="14" t="s">
        <v>2601</v>
      </c>
      <c r="E5275" s="112"/>
      <c r="F5275" s="139" t="s">
        <v>15570</v>
      </c>
      <c r="G5275" s="140"/>
      <c r="H5275" s="141"/>
      <c r="I5275" s="26">
        <v>58787</v>
      </c>
      <c r="J5275" s="117"/>
      <c r="K5275" s="120"/>
      <c r="L5275" s="121"/>
      <c r="M5275" s="120"/>
      <c r="N5275" s="121"/>
      <c r="O5275" s="120"/>
      <c r="P5275" s="121"/>
      <c r="Q5275" s="120"/>
      <c r="R5275" s="121"/>
      <c r="S5275" s="120"/>
      <c r="T5275" s="121"/>
      <c r="U5275" s="120"/>
      <c r="V5275" s="123"/>
      <c r="W5275" s="125"/>
      <c r="X5275" s="142" t="s">
        <v>16203</v>
      </c>
      <c r="Y5275" s="143"/>
      <c r="Z5275" s="143"/>
      <c r="AA5275" s="143"/>
      <c r="AB5275" s="144"/>
      <c r="AC5275" s="16" t="s">
        <v>21</v>
      </c>
      <c r="AD5275" s="17" t="s">
        <v>16172</v>
      </c>
      <c r="AE5275" s="145"/>
      <c r="AF5275" s="146"/>
      <c r="AG5275" s="146"/>
      <c r="AH5275" s="146"/>
      <c r="AI5275" s="147"/>
      <c r="AJ5275" s="148"/>
      <c r="AK5275" s="143"/>
      <c r="AL5275" s="144"/>
      <c r="AM5275" s="22"/>
      <c r="AN5275" s="149" t="s">
        <v>2511</v>
      </c>
      <c r="AO5275" s="144"/>
      <c r="AP5275" s="148">
        <v>60179</v>
      </c>
      <c r="AQ5275" s="144"/>
      <c r="AR5275" s="120"/>
      <c r="AS5275" s="121"/>
      <c r="AT5275" s="120"/>
      <c r="AU5275" s="121"/>
      <c r="AV5275" s="120"/>
      <c r="AW5275" s="121"/>
      <c r="AX5275" s="120"/>
      <c r="AY5275" s="121"/>
      <c r="AZ5275" s="138"/>
    </row>
    <row r="5276" spans="1:52" ht="17.100000000000001" customHeight="1" thickTop="1">
      <c r="A5276" s="109" t="s">
        <v>15553</v>
      </c>
      <c r="B5276" s="28">
        <v>46042</v>
      </c>
      <c r="C5276" s="25">
        <v>923</v>
      </c>
      <c r="D5276" s="13" t="s">
        <v>1631</v>
      </c>
      <c r="E5276" s="111"/>
      <c r="F5276" s="113" t="s">
        <v>15571</v>
      </c>
      <c r="G5276" s="114"/>
      <c r="H5276" s="115"/>
      <c r="I5276" s="24" t="s">
        <v>2526</v>
      </c>
      <c r="J5276" s="116">
        <v>4</v>
      </c>
      <c r="K5276" s="118">
        <v>543000</v>
      </c>
      <c r="L5276" s="119"/>
      <c r="M5276" s="118">
        <v>54300</v>
      </c>
      <c r="N5276" s="119"/>
      <c r="O5276" s="118">
        <v>0</v>
      </c>
      <c r="P5276" s="119"/>
      <c r="Q5276" s="118">
        <v>6470</v>
      </c>
      <c r="R5276" s="119"/>
      <c r="S5276" s="118">
        <v>15950</v>
      </c>
      <c r="T5276" s="119"/>
      <c r="U5276" s="118">
        <f t="shared" ref="U5276" si="6499">SUM(K5276:T5277)</f>
        <v>619720</v>
      </c>
      <c r="V5276" s="122"/>
      <c r="W5276" s="124"/>
      <c r="X5276" s="126" t="s">
        <v>15588</v>
      </c>
      <c r="Y5276" s="127"/>
      <c r="Z5276" s="127"/>
      <c r="AA5276" s="127"/>
      <c r="AB5276" s="128"/>
      <c r="AC5276" s="15" t="s">
        <v>20</v>
      </c>
      <c r="AD5276" s="129"/>
      <c r="AE5276" s="130"/>
      <c r="AF5276" s="130"/>
      <c r="AG5276" s="130"/>
      <c r="AH5276" s="130"/>
      <c r="AI5276" s="131"/>
      <c r="AJ5276" s="132"/>
      <c r="AK5276" s="127"/>
      <c r="AL5276" s="128"/>
      <c r="AM5276" s="21"/>
      <c r="AN5276" s="133">
        <v>46046</v>
      </c>
      <c r="AO5276" s="134"/>
      <c r="AP5276" s="135">
        <v>1285</v>
      </c>
      <c r="AQ5276" s="136"/>
      <c r="AR5276" s="118">
        <v>595000</v>
      </c>
      <c r="AS5276" s="119"/>
      <c r="AT5276" s="118">
        <f t="shared" ref="AT5276" si="6500">AR5276*0.1</f>
        <v>59500</v>
      </c>
      <c r="AU5276" s="119"/>
      <c r="AV5276" s="118">
        <v>6470</v>
      </c>
      <c r="AW5276" s="119"/>
      <c r="AX5276" s="118">
        <f t="shared" ref="AX5276" si="6501">SUM(AR5276:AW5276)</f>
        <v>660970</v>
      </c>
      <c r="AY5276" s="119"/>
      <c r="AZ5276" s="137">
        <v>46051</v>
      </c>
    </row>
    <row r="5277" spans="1:52" ht="17.100000000000001" customHeight="1" thickBot="1">
      <c r="A5277" s="110"/>
      <c r="B5277" s="27" t="s">
        <v>2699</v>
      </c>
      <c r="C5277" s="27">
        <v>3140</v>
      </c>
      <c r="D5277" s="14" t="s">
        <v>2325</v>
      </c>
      <c r="E5277" s="112"/>
      <c r="F5277" s="139" t="s">
        <v>15572</v>
      </c>
      <c r="G5277" s="140"/>
      <c r="H5277" s="141"/>
      <c r="I5277" s="26">
        <v>16084</v>
      </c>
      <c r="J5277" s="117"/>
      <c r="K5277" s="120"/>
      <c r="L5277" s="121"/>
      <c r="M5277" s="120"/>
      <c r="N5277" s="121"/>
      <c r="O5277" s="120"/>
      <c r="P5277" s="121"/>
      <c r="Q5277" s="120"/>
      <c r="R5277" s="121"/>
      <c r="S5277" s="120"/>
      <c r="T5277" s="121"/>
      <c r="U5277" s="120"/>
      <c r="V5277" s="123"/>
      <c r="W5277" s="125"/>
      <c r="X5277" s="142" t="s">
        <v>4076</v>
      </c>
      <c r="Y5277" s="143"/>
      <c r="Z5277" s="143"/>
      <c r="AA5277" s="143"/>
      <c r="AB5277" s="144"/>
      <c r="AC5277" s="16" t="s">
        <v>21</v>
      </c>
      <c r="AD5277" s="17" t="s">
        <v>16172</v>
      </c>
      <c r="AE5277" s="145" t="s">
        <v>10327</v>
      </c>
      <c r="AF5277" s="146"/>
      <c r="AG5277" s="146"/>
      <c r="AH5277" s="146"/>
      <c r="AI5277" s="147"/>
      <c r="AJ5277" s="148"/>
      <c r="AK5277" s="143"/>
      <c r="AL5277" s="144"/>
      <c r="AM5277" s="22"/>
      <c r="AN5277" s="149" t="s">
        <v>2511</v>
      </c>
      <c r="AO5277" s="144"/>
      <c r="AP5277" s="148">
        <v>60424</v>
      </c>
      <c r="AQ5277" s="144"/>
      <c r="AR5277" s="120"/>
      <c r="AS5277" s="121"/>
      <c r="AT5277" s="120"/>
      <c r="AU5277" s="121"/>
      <c r="AV5277" s="120"/>
      <c r="AW5277" s="121"/>
      <c r="AX5277" s="120"/>
      <c r="AY5277" s="121"/>
      <c r="AZ5277" s="138"/>
    </row>
    <row r="5278" spans="1:52" ht="17.100000000000001" customHeight="1" thickTop="1">
      <c r="A5278" s="109" t="s">
        <v>15554</v>
      </c>
      <c r="B5278" s="28">
        <v>46042</v>
      </c>
      <c r="C5278" s="25">
        <v>923</v>
      </c>
      <c r="D5278" s="13" t="s">
        <v>2301</v>
      </c>
      <c r="E5278" s="111"/>
      <c r="F5278" s="113" t="s">
        <v>15573</v>
      </c>
      <c r="G5278" s="114"/>
      <c r="H5278" s="115"/>
      <c r="I5278" s="24"/>
      <c r="J5278" s="116">
        <v>4</v>
      </c>
      <c r="K5278" s="118">
        <v>666000</v>
      </c>
      <c r="L5278" s="119"/>
      <c r="M5278" s="118">
        <f t="shared" ref="M5278" si="6502">K5278*0.1</f>
        <v>66600</v>
      </c>
      <c r="N5278" s="119"/>
      <c r="O5278" s="118">
        <v>0</v>
      </c>
      <c r="P5278" s="119"/>
      <c r="Q5278" s="118">
        <v>8550</v>
      </c>
      <c r="R5278" s="119"/>
      <c r="S5278" s="118">
        <v>15950</v>
      </c>
      <c r="T5278" s="119"/>
      <c r="U5278" s="118">
        <f t="shared" ref="U5278" si="6503">SUM(K5278:T5279)</f>
        <v>757100</v>
      </c>
      <c r="V5278" s="122"/>
      <c r="W5278" s="124"/>
      <c r="X5278" s="126" t="s">
        <v>16200</v>
      </c>
      <c r="Y5278" s="127"/>
      <c r="Z5278" s="127"/>
      <c r="AA5278" s="127"/>
      <c r="AB5278" s="128"/>
      <c r="AC5278" s="15" t="s">
        <v>20</v>
      </c>
      <c r="AD5278" s="129" t="s">
        <v>15589</v>
      </c>
      <c r="AE5278" s="130"/>
      <c r="AF5278" s="130"/>
      <c r="AG5278" s="130"/>
      <c r="AH5278" s="130"/>
      <c r="AI5278" s="131"/>
      <c r="AJ5278" s="132"/>
      <c r="AK5278" s="127"/>
      <c r="AL5278" s="128"/>
      <c r="AM5278" s="21"/>
      <c r="AN5278" s="133">
        <v>46081</v>
      </c>
      <c r="AO5278" s="134"/>
      <c r="AP5278" s="135">
        <v>1290</v>
      </c>
      <c r="AQ5278" s="136"/>
      <c r="AR5278" s="118">
        <v>715000</v>
      </c>
      <c r="AS5278" s="119"/>
      <c r="AT5278" s="118">
        <f t="shared" ref="AT5278" si="6504">AR5278*0.1</f>
        <v>71500</v>
      </c>
      <c r="AU5278" s="119"/>
      <c r="AV5278" s="118">
        <v>8550</v>
      </c>
      <c r="AW5278" s="119"/>
      <c r="AX5278" s="118">
        <f t="shared" ref="AX5278" si="6505">SUM(AR5278:AW5278)</f>
        <v>795050</v>
      </c>
      <c r="AY5278" s="119"/>
      <c r="AZ5278" s="137">
        <v>46084</v>
      </c>
    </row>
    <row r="5279" spans="1:52" ht="17.100000000000001" customHeight="1" thickBot="1">
      <c r="A5279" s="110"/>
      <c r="B5279" s="27" t="s">
        <v>2699</v>
      </c>
      <c r="C5279" s="27">
        <v>3200</v>
      </c>
      <c r="D5279" s="14" t="s">
        <v>1720</v>
      </c>
      <c r="E5279" s="112"/>
      <c r="F5279" s="139" t="s">
        <v>15574</v>
      </c>
      <c r="G5279" s="140"/>
      <c r="H5279" s="141"/>
      <c r="I5279" s="26">
        <v>51128</v>
      </c>
      <c r="J5279" s="117"/>
      <c r="K5279" s="120"/>
      <c r="L5279" s="121"/>
      <c r="M5279" s="120"/>
      <c r="N5279" s="121"/>
      <c r="O5279" s="120"/>
      <c r="P5279" s="121"/>
      <c r="Q5279" s="120"/>
      <c r="R5279" s="121"/>
      <c r="S5279" s="120"/>
      <c r="T5279" s="121"/>
      <c r="U5279" s="120"/>
      <c r="V5279" s="123"/>
      <c r="W5279" s="125"/>
      <c r="X5279" s="142" t="s">
        <v>16201</v>
      </c>
      <c r="Y5279" s="143"/>
      <c r="Z5279" s="143"/>
      <c r="AA5279" s="143"/>
      <c r="AB5279" s="144"/>
      <c r="AC5279" s="16" t="s">
        <v>21</v>
      </c>
      <c r="AD5279" s="17" t="s">
        <v>16172</v>
      </c>
      <c r="AE5279" s="145" t="s">
        <v>1742</v>
      </c>
      <c r="AF5279" s="146"/>
      <c r="AG5279" s="146"/>
      <c r="AH5279" s="146"/>
      <c r="AI5279" s="147"/>
      <c r="AJ5279" s="148"/>
      <c r="AK5279" s="143"/>
      <c r="AL5279" s="144"/>
      <c r="AM5279" s="22"/>
      <c r="AN5279" s="149" t="s">
        <v>2511</v>
      </c>
      <c r="AO5279" s="144"/>
      <c r="AP5279" s="148">
        <v>60135</v>
      </c>
      <c r="AQ5279" s="144"/>
      <c r="AR5279" s="120"/>
      <c r="AS5279" s="121"/>
      <c r="AT5279" s="120"/>
      <c r="AU5279" s="121"/>
      <c r="AV5279" s="120"/>
      <c r="AW5279" s="121"/>
      <c r="AX5279" s="120"/>
      <c r="AY5279" s="121"/>
      <c r="AZ5279" s="138"/>
    </row>
    <row r="5280" spans="1:52" ht="17.100000000000001" customHeight="1" thickTop="1">
      <c r="A5280" s="109" t="s">
        <v>15555</v>
      </c>
      <c r="B5280" s="28">
        <v>46042</v>
      </c>
      <c r="C5280" s="25">
        <v>923</v>
      </c>
      <c r="D5280" s="13" t="s">
        <v>4835</v>
      </c>
      <c r="E5280" s="111"/>
      <c r="F5280" s="113" t="s">
        <v>15575</v>
      </c>
      <c r="G5280" s="114"/>
      <c r="H5280" s="115"/>
      <c r="I5280" s="24" t="s">
        <v>3509</v>
      </c>
      <c r="J5280" s="116">
        <v>4</v>
      </c>
      <c r="K5280" s="118">
        <v>186000</v>
      </c>
      <c r="L5280" s="119"/>
      <c r="M5280" s="118">
        <f t="shared" ref="M5280" si="6506">K5280*0.1</f>
        <v>18600</v>
      </c>
      <c r="N5280" s="119"/>
      <c r="O5280" s="118">
        <v>0</v>
      </c>
      <c r="P5280" s="119"/>
      <c r="Q5280" s="118">
        <v>7750</v>
      </c>
      <c r="R5280" s="119"/>
      <c r="S5280" s="118">
        <v>15950</v>
      </c>
      <c r="T5280" s="119"/>
      <c r="U5280" s="118">
        <f t="shared" ref="U5280" si="6507">SUM(K5280:T5281)</f>
        <v>228300</v>
      </c>
      <c r="V5280" s="122"/>
      <c r="W5280" s="124"/>
      <c r="X5280" s="126" t="s">
        <v>16230</v>
      </c>
      <c r="Y5280" s="127"/>
      <c r="Z5280" s="127"/>
      <c r="AA5280" s="127"/>
      <c r="AB5280" s="128"/>
      <c r="AC5280" s="15" t="s">
        <v>20</v>
      </c>
      <c r="AD5280" s="129" t="s">
        <v>3896</v>
      </c>
      <c r="AE5280" s="130"/>
      <c r="AF5280" s="130"/>
      <c r="AG5280" s="130"/>
      <c r="AH5280" s="130"/>
      <c r="AI5280" s="131"/>
      <c r="AJ5280" s="132"/>
      <c r="AK5280" s="127"/>
      <c r="AL5280" s="128"/>
      <c r="AM5280" s="21"/>
      <c r="AN5280" s="133">
        <v>46046</v>
      </c>
      <c r="AO5280" s="134"/>
      <c r="AP5280" s="135">
        <v>1285</v>
      </c>
      <c r="AQ5280" s="136"/>
      <c r="AR5280" s="118">
        <v>245000</v>
      </c>
      <c r="AS5280" s="119"/>
      <c r="AT5280" s="118">
        <f t="shared" ref="AT5280" si="6508">AR5280*0.1</f>
        <v>24500</v>
      </c>
      <c r="AU5280" s="119"/>
      <c r="AV5280" s="118">
        <v>7750</v>
      </c>
      <c r="AW5280" s="119"/>
      <c r="AX5280" s="118">
        <f t="shared" ref="AX5280" si="6509">SUM(AR5280:AW5280)</f>
        <v>277250</v>
      </c>
      <c r="AY5280" s="119"/>
      <c r="AZ5280" s="137">
        <v>46051</v>
      </c>
    </row>
    <row r="5281" spans="1:52" ht="17.100000000000001" customHeight="1" thickBot="1">
      <c r="A5281" s="110"/>
      <c r="B5281" s="27" t="s">
        <v>2699</v>
      </c>
      <c r="C5281" s="27">
        <v>4166</v>
      </c>
      <c r="D5281" s="14" t="s">
        <v>1720</v>
      </c>
      <c r="E5281" s="112"/>
      <c r="F5281" s="139" t="s">
        <v>15576</v>
      </c>
      <c r="G5281" s="140"/>
      <c r="H5281" s="141"/>
      <c r="I5281" s="26">
        <v>57996</v>
      </c>
      <c r="J5281" s="117"/>
      <c r="K5281" s="120"/>
      <c r="L5281" s="121"/>
      <c r="M5281" s="120"/>
      <c r="N5281" s="121"/>
      <c r="O5281" s="120"/>
      <c r="P5281" s="121"/>
      <c r="Q5281" s="120"/>
      <c r="R5281" s="121"/>
      <c r="S5281" s="120"/>
      <c r="T5281" s="121"/>
      <c r="U5281" s="120"/>
      <c r="V5281" s="123"/>
      <c r="W5281" s="125"/>
      <c r="X5281" s="142" t="s">
        <v>16231</v>
      </c>
      <c r="Y5281" s="143"/>
      <c r="Z5281" s="143"/>
      <c r="AA5281" s="143"/>
      <c r="AB5281" s="144"/>
      <c r="AC5281" s="16" t="s">
        <v>21</v>
      </c>
      <c r="AD5281" s="17" t="s">
        <v>16172</v>
      </c>
      <c r="AE5281" s="145" t="s">
        <v>9497</v>
      </c>
      <c r="AF5281" s="146"/>
      <c r="AG5281" s="146"/>
      <c r="AH5281" s="146"/>
      <c r="AI5281" s="147"/>
      <c r="AJ5281" s="148"/>
      <c r="AK5281" s="143"/>
      <c r="AL5281" s="144"/>
      <c r="AM5281" s="22"/>
      <c r="AN5281" s="149" t="s">
        <v>2511</v>
      </c>
      <c r="AO5281" s="144"/>
      <c r="AP5281" s="148">
        <v>60416</v>
      </c>
      <c r="AQ5281" s="144"/>
      <c r="AR5281" s="120"/>
      <c r="AS5281" s="121"/>
      <c r="AT5281" s="120"/>
      <c r="AU5281" s="121"/>
      <c r="AV5281" s="120"/>
      <c r="AW5281" s="121"/>
      <c r="AX5281" s="120"/>
      <c r="AY5281" s="121"/>
      <c r="AZ5281" s="138"/>
    </row>
    <row r="5282" spans="1:52" ht="17.100000000000001" customHeight="1" thickTop="1">
      <c r="A5282" s="109" t="s">
        <v>15556</v>
      </c>
      <c r="B5282" s="28">
        <v>46042</v>
      </c>
      <c r="C5282" s="25">
        <v>923</v>
      </c>
      <c r="D5282" s="13" t="s">
        <v>2301</v>
      </c>
      <c r="E5282" s="111"/>
      <c r="F5282" s="113" t="s">
        <v>15577</v>
      </c>
      <c r="G5282" s="114"/>
      <c r="H5282" s="115"/>
      <c r="I5282" s="24"/>
      <c r="J5282" s="116">
        <v>4.5</v>
      </c>
      <c r="K5282" s="118">
        <v>1801000</v>
      </c>
      <c r="L5282" s="119"/>
      <c r="M5282" s="118">
        <f t="shared" ref="M5282" si="6510">K5282*0.1</f>
        <v>180100</v>
      </c>
      <c r="N5282" s="119"/>
      <c r="O5282" s="118">
        <v>0</v>
      </c>
      <c r="P5282" s="119"/>
      <c r="Q5282" s="118">
        <v>18240</v>
      </c>
      <c r="R5282" s="119"/>
      <c r="S5282" s="118">
        <v>15950</v>
      </c>
      <c r="T5282" s="119"/>
      <c r="U5282" s="118">
        <f t="shared" ref="U5282" si="6511">SUM(K5282:T5283)</f>
        <v>2015290</v>
      </c>
      <c r="V5282" s="122"/>
      <c r="W5282" s="124"/>
      <c r="X5282" s="126" t="s">
        <v>16199</v>
      </c>
      <c r="Y5282" s="127"/>
      <c r="Z5282" s="127"/>
      <c r="AA5282" s="127"/>
      <c r="AB5282" s="128"/>
      <c r="AC5282" s="15" t="s">
        <v>20</v>
      </c>
      <c r="AD5282" s="129"/>
      <c r="AE5282" s="130"/>
      <c r="AF5282" s="130"/>
      <c r="AG5282" s="130"/>
      <c r="AH5282" s="130"/>
      <c r="AI5282" s="131"/>
      <c r="AJ5282" s="132"/>
      <c r="AK5282" s="127"/>
      <c r="AL5282" s="128"/>
      <c r="AM5282" s="21"/>
      <c r="AN5282" s="133">
        <v>46074</v>
      </c>
      <c r="AO5282" s="134"/>
      <c r="AP5282" s="135">
        <v>1289</v>
      </c>
      <c r="AQ5282" s="136"/>
      <c r="AR5282" s="118">
        <v>1935000</v>
      </c>
      <c r="AS5282" s="119"/>
      <c r="AT5282" s="118">
        <f t="shared" ref="AT5282" si="6512">AR5282*0.1</f>
        <v>193500</v>
      </c>
      <c r="AU5282" s="119"/>
      <c r="AV5282" s="118">
        <v>18240</v>
      </c>
      <c r="AW5282" s="119"/>
      <c r="AX5282" s="118">
        <f t="shared" ref="AX5282" si="6513">SUM(AR5282:AW5282)</f>
        <v>2146740</v>
      </c>
      <c r="AY5282" s="119"/>
      <c r="AZ5282" s="137">
        <v>46077</v>
      </c>
    </row>
    <row r="5283" spans="1:52" ht="17.100000000000001" customHeight="1" thickBot="1">
      <c r="A5283" s="110"/>
      <c r="B5283" s="27" t="s">
        <v>2699</v>
      </c>
      <c r="C5283" s="27">
        <v>5016</v>
      </c>
      <c r="D5283" s="14" t="s">
        <v>275</v>
      </c>
      <c r="E5283" s="112"/>
      <c r="F5283" s="139" t="s">
        <v>15590</v>
      </c>
      <c r="G5283" s="140"/>
      <c r="H5283" s="141"/>
      <c r="I5283" s="26">
        <v>23454</v>
      </c>
      <c r="J5283" s="117"/>
      <c r="K5283" s="120"/>
      <c r="L5283" s="121"/>
      <c r="M5283" s="120"/>
      <c r="N5283" s="121"/>
      <c r="O5283" s="120"/>
      <c r="P5283" s="121"/>
      <c r="Q5283" s="120"/>
      <c r="R5283" s="121"/>
      <c r="S5283" s="120"/>
      <c r="T5283" s="121"/>
      <c r="U5283" s="120"/>
      <c r="V5283" s="123"/>
      <c r="W5283" s="125"/>
      <c r="X5283" s="142" t="s">
        <v>3562</v>
      </c>
      <c r="Y5283" s="143"/>
      <c r="Z5283" s="143"/>
      <c r="AA5283" s="143"/>
      <c r="AB5283" s="144"/>
      <c r="AC5283" s="16" t="s">
        <v>21</v>
      </c>
      <c r="AD5283" s="17" t="s">
        <v>16172</v>
      </c>
      <c r="AE5283" s="145" t="s">
        <v>5319</v>
      </c>
      <c r="AF5283" s="146"/>
      <c r="AG5283" s="146"/>
      <c r="AH5283" s="146"/>
      <c r="AI5283" s="147"/>
      <c r="AJ5283" s="148"/>
      <c r="AK5283" s="143"/>
      <c r="AL5283" s="144"/>
      <c r="AM5283" s="22"/>
      <c r="AN5283" s="149" t="s">
        <v>2511</v>
      </c>
      <c r="AO5283" s="144"/>
      <c r="AP5283" s="148">
        <v>80139</v>
      </c>
      <c r="AQ5283" s="144"/>
      <c r="AR5283" s="120"/>
      <c r="AS5283" s="121"/>
      <c r="AT5283" s="120"/>
      <c r="AU5283" s="121"/>
      <c r="AV5283" s="120"/>
      <c r="AW5283" s="121"/>
      <c r="AX5283" s="120"/>
      <c r="AY5283" s="121"/>
      <c r="AZ5283" s="138"/>
    </row>
    <row r="5284" spans="1:52" ht="17.100000000000001" customHeight="1" thickTop="1">
      <c r="A5284" s="109" t="s">
        <v>15557</v>
      </c>
      <c r="B5284" s="28">
        <v>46042</v>
      </c>
      <c r="C5284" s="25">
        <v>1224</v>
      </c>
      <c r="D5284" s="13" t="s">
        <v>2941</v>
      </c>
      <c r="E5284" s="111"/>
      <c r="F5284" s="113" t="s">
        <v>16182</v>
      </c>
      <c r="G5284" s="114"/>
      <c r="H5284" s="115"/>
      <c r="I5284" s="24"/>
      <c r="J5284" s="116">
        <v>4.5</v>
      </c>
      <c r="K5284" s="118">
        <v>1478000</v>
      </c>
      <c r="L5284" s="119"/>
      <c r="M5284" s="118">
        <f t="shared" ref="M5284" si="6514">K5284*0.1</f>
        <v>147800</v>
      </c>
      <c r="N5284" s="119"/>
      <c r="O5284" s="118">
        <v>0</v>
      </c>
      <c r="P5284" s="119"/>
      <c r="Q5284" s="118">
        <v>15160</v>
      </c>
      <c r="R5284" s="119"/>
      <c r="S5284" s="118">
        <v>15950</v>
      </c>
      <c r="T5284" s="119"/>
      <c r="U5284" s="118">
        <f t="shared" ref="U5284" si="6515">SUM(K5284:T5285)</f>
        <v>1656910</v>
      </c>
      <c r="V5284" s="122"/>
      <c r="W5284" s="124"/>
      <c r="X5284" s="126" t="s">
        <v>16184</v>
      </c>
      <c r="Y5284" s="127"/>
      <c r="Z5284" s="127"/>
      <c r="AA5284" s="127"/>
      <c r="AB5284" s="128"/>
      <c r="AC5284" s="15" t="s">
        <v>20</v>
      </c>
      <c r="AD5284" s="129"/>
      <c r="AE5284" s="130"/>
      <c r="AF5284" s="130"/>
      <c r="AG5284" s="130"/>
      <c r="AH5284" s="130"/>
      <c r="AI5284" s="131"/>
      <c r="AJ5284" s="132"/>
      <c r="AK5284" s="127"/>
      <c r="AL5284" s="128"/>
      <c r="AM5284" s="21"/>
      <c r="AN5284" s="133">
        <v>46053</v>
      </c>
      <c r="AO5284" s="134"/>
      <c r="AP5284" s="135">
        <v>1286</v>
      </c>
      <c r="AQ5284" s="136"/>
      <c r="AR5284" s="118">
        <v>1620000</v>
      </c>
      <c r="AS5284" s="119"/>
      <c r="AT5284" s="118">
        <f t="shared" ref="AT5284" si="6516">AR5284*0.1</f>
        <v>162000</v>
      </c>
      <c r="AU5284" s="119"/>
      <c r="AV5284" s="118">
        <v>15160</v>
      </c>
      <c r="AW5284" s="119"/>
      <c r="AX5284" s="118">
        <f t="shared" ref="AX5284" si="6517">SUM(AR5284:AW5284)</f>
        <v>1797160</v>
      </c>
      <c r="AY5284" s="119"/>
      <c r="AZ5284" s="137">
        <v>46056</v>
      </c>
    </row>
    <row r="5285" spans="1:52" ht="17.100000000000001" customHeight="1" thickBot="1">
      <c r="A5285" s="110"/>
      <c r="B5285" s="27" t="s">
        <v>2379</v>
      </c>
      <c r="C5285" s="27">
        <v>5033</v>
      </c>
      <c r="D5285" s="14" t="s">
        <v>1576</v>
      </c>
      <c r="E5285" s="112"/>
      <c r="F5285" s="139" t="s">
        <v>16183</v>
      </c>
      <c r="G5285" s="140"/>
      <c r="H5285" s="141"/>
      <c r="I5285" s="26">
        <v>30383</v>
      </c>
      <c r="J5285" s="117"/>
      <c r="K5285" s="120"/>
      <c r="L5285" s="121"/>
      <c r="M5285" s="120"/>
      <c r="N5285" s="121"/>
      <c r="O5285" s="120"/>
      <c r="P5285" s="121"/>
      <c r="Q5285" s="120"/>
      <c r="R5285" s="121"/>
      <c r="S5285" s="120"/>
      <c r="T5285" s="121"/>
      <c r="U5285" s="120"/>
      <c r="V5285" s="123"/>
      <c r="W5285" s="125"/>
      <c r="X5285" s="142" t="s">
        <v>8252</v>
      </c>
      <c r="Y5285" s="143"/>
      <c r="Z5285" s="143"/>
      <c r="AA5285" s="143"/>
      <c r="AB5285" s="144"/>
      <c r="AC5285" s="16" t="s">
        <v>21</v>
      </c>
      <c r="AD5285" s="17" t="s">
        <v>16172</v>
      </c>
      <c r="AE5285" s="145" t="s">
        <v>15693</v>
      </c>
      <c r="AF5285" s="146"/>
      <c r="AG5285" s="146"/>
      <c r="AH5285" s="146"/>
      <c r="AI5285" s="147"/>
      <c r="AJ5285" s="148"/>
      <c r="AK5285" s="143"/>
      <c r="AL5285" s="144"/>
      <c r="AM5285" s="22"/>
      <c r="AN5285" s="149" t="s">
        <v>2511</v>
      </c>
      <c r="AO5285" s="144"/>
      <c r="AP5285" s="148">
        <v>80045</v>
      </c>
      <c r="AQ5285" s="144"/>
      <c r="AR5285" s="120"/>
      <c r="AS5285" s="121"/>
      <c r="AT5285" s="120"/>
      <c r="AU5285" s="121"/>
      <c r="AV5285" s="120"/>
      <c r="AW5285" s="121"/>
      <c r="AX5285" s="120"/>
      <c r="AY5285" s="121"/>
      <c r="AZ5285" s="138"/>
    </row>
    <row r="5286" spans="1:52" ht="17.100000000000001" customHeight="1" thickTop="1">
      <c r="A5286" s="109" t="s">
        <v>15558</v>
      </c>
      <c r="B5286" s="28">
        <v>46042</v>
      </c>
      <c r="C5286" s="25">
        <v>1077</v>
      </c>
      <c r="D5286" s="13" t="s">
        <v>2298</v>
      </c>
      <c r="E5286" s="111"/>
      <c r="F5286" s="113" t="s">
        <v>15578</v>
      </c>
      <c r="G5286" s="114"/>
      <c r="H5286" s="115"/>
      <c r="I5286" s="24"/>
      <c r="J5286" s="116">
        <v>4.5</v>
      </c>
      <c r="K5286" s="118">
        <v>2435000</v>
      </c>
      <c r="L5286" s="119"/>
      <c r="M5286" s="118">
        <f t="shared" ref="M5286" si="6518">K5286*0.1</f>
        <v>243500</v>
      </c>
      <c r="N5286" s="119"/>
      <c r="O5286" s="118">
        <v>0</v>
      </c>
      <c r="P5286" s="119"/>
      <c r="Q5286" s="118">
        <v>21570</v>
      </c>
      <c r="R5286" s="119"/>
      <c r="S5286" s="118">
        <v>16500</v>
      </c>
      <c r="T5286" s="119"/>
      <c r="U5286" s="118">
        <f t="shared" ref="U5286" si="6519">SUM(K5286:T5287)</f>
        <v>2716570</v>
      </c>
      <c r="V5286" s="122"/>
      <c r="W5286" s="124"/>
      <c r="X5286" s="126" t="s">
        <v>16086</v>
      </c>
      <c r="Y5286" s="127"/>
      <c r="Z5286" s="127"/>
      <c r="AA5286" s="127"/>
      <c r="AB5286" s="128"/>
      <c r="AC5286" s="15" t="s">
        <v>20</v>
      </c>
      <c r="AD5286" s="129" t="s">
        <v>7231</v>
      </c>
      <c r="AE5286" s="130"/>
      <c r="AF5286" s="130"/>
      <c r="AG5286" s="130"/>
      <c r="AH5286" s="130"/>
      <c r="AI5286" s="131"/>
      <c r="AJ5286" s="132"/>
      <c r="AK5286" s="127"/>
      <c r="AL5286" s="128"/>
      <c r="AM5286" s="21"/>
      <c r="AN5286" s="133">
        <v>46046</v>
      </c>
      <c r="AO5286" s="134"/>
      <c r="AP5286" s="135">
        <v>1285</v>
      </c>
      <c r="AQ5286" s="136"/>
      <c r="AR5286" s="118">
        <v>2650000</v>
      </c>
      <c r="AS5286" s="119"/>
      <c r="AT5286" s="118">
        <f t="shared" ref="AT5286" si="6520">AR5286*0.1</f>
        <v>265000</v>
      </c>
      <c r="AU5286" s="119"/>
      <c r="AV5286" s="118">
        <v>21570</v>
      </c>
      <c r="AW5286" s="119"/>
      <c r="AX5286" s="118">
        <f t="shared" ref="AX5286" si="6521">SUM(AR5286:AW5286)</f>
        <v>2936570</v>
      </c>
      <c r="AY5286" s="119"/>
      <c r="AZ5286" s="137">
        <v>46049</v>
      </c>
    </row>
    <row r="5287" spans="1:52" ht="17.100000000000001" customHeight="1" thickBot="1">
      <c r="A5287" s="110"/>
      <c r="B5287" s="27" t="s">
        <v>1591</v>
      </c>
      <c r="C5287" s="27">
        <v>82091</v>
      </c>
      <c r="D5287" s="14" t="s">
        <v>1700</v>
      </c>
      <c r="E5287" s="112"/>
      <c r="F5287" s="139" t="s">
        <v>15579</v>
      </c>
      <c r="G5287" s="140"/>
      <c r="H5287" s="141"/>
      <c r="I5287" s="26">
        <v>66209</v>
      </c>
      <c r="J5287" s="117"/>
      <c r="K5287" s="120"/>
      <c r="L5287" s="121"/>
      <c r="M5287" s="120"/>
      <c r="N5287" s="121"/>
      <c r="O5287" s="120"/>
      <c r="P5287" s="121"/>
      <c r="Q5287" s="120"/>
      <c r="R5287" s="121"/>
      <c r="S5287" s="120"/>
      <c r="T5287" s="121"/>
      <c r="U5287" s="120"/>
      <c r="V5287" s="123"/>
      <c r="W5287" s="125"/>
      <c r="X5287" s="142" t="s">
        <v>3513</v>
      </c>
      <c r="Y5287" s="143"/>
      <c r="Z5287" s="143"/>
      <c r="AA5287" s="143"/>
      <c r="AB5287" s="144"/>
      <c r="AC5287" s="16" t="s">
        <v>21</v>
      </c>
      <c r="AD5287" s="17" t="s">
        <v>2644</v>
      </c>
      <c r="AE5287" s="145" t="s">
        <v>1614</v>
      </c>
      <c r="AF5287" s="146"/>
      <c r="AG5287" s="146"/>
      <c r="AH5287" s="146"/>
      <c r="AI5287" s="147"/>
      <c r="AJ5287" s="148"/>
      <c r="AK5287" s="143"/>
      <c r="AL5287" s="144"/>
      <c r="AM5287" s="22"/>
      <c r="AN5287" s="149" t="s">
        <v>2511</v>
      </c>
      <c r="AO5287" s="144"/>
      <c r="AP5287" s="148">
        <v>80314</v>
      </c>
      <c r="AQ5287" s="144"/>
      <c r="AR5287" s="120"/>
      <c r="AS5287" s="121"/>
      <c r="AT5287" s="120"/>
      <c r="AU5287" s="121"/>
      <c r="AV5287" s="120"/>
      <c r="AW5287" s="121"/>
      <c r="AX5287" s="120"/>
      <c r="AY5287" s="121"/>
      <c r="AZ5287" s="138"/>
    </row>
    <row r="5288" spans="1:52" ht="17.100000000000001" customHeight="1" thickTop="1">
      <c r="A5288" s="109" t="s">
        <v>15559</v>
      </c>
      <c r="B5288" s="28">
        <v>46042</v>
      </c>
      <c r="C5288" s="25">
        <v>974</v>
      </c>
      <c r="D5288" s="13" t="s">
        <v>3014</v>
      </c>
      <c r="E5288" s="111"/>
      <c r="F5288" s="113" t="s">
        <v>15591</v>
      </c>
      <c r="G5288" s="114"/>
      <c r="H5288" s="115"/>
      <c r="I5288" s="24"/>
      <c r="J5288" s="116">
        <v>3.5</v>
      </c>
      <c r="K5288" s="118">
        <v>958000</v>
      </c>
      <c r="L5288" s="119"/>
      <c r="M5288" s="118">
        <f t="shared" ref="M5288" si="6522">K5288*0.1</f>
        <v>95800</v>
      </c>
      <c r="N5288" s="119"/>
      <c r="O5288" s="118">
        <v>0</v>
      </c>
      <c r="P5288" s="119"/>
      <c r="Q5288" s="118">
        <v>7440</v>
      </c>
      <c r="R5288" s="119"/>
      <c r="S5288" s="118">
        <v>22000</v>
      </c>
      <c r="T5288" s="119"/>
      <c r="U5288" s="118">
        <f t="shared" ref="U5288" si="6523">SUM(K5288:T5289)</f>
        <v>1083240</v>
      </c>
      <c r="V5288" s="122"/>
      <c r="W5288" s="124"/>
      <c r="X5288" s="126" t="s">
        <v>16428</v>
      </c>
      <c r="Y5288" s="127"/>
      <c r="Z5288" s="127"/>
      <c r="AA5288" s="127"/>
      <c r="AB5288" s="128"/>
      <c r="AC5288" s="15" t="s">
        <v>20</v>
      </c>
      <c r="AD5288" s="129" t="s">
        <v>14984</v>
      </c>
      <c r="AE5288" s="130"/>
      <c r="AF5288" s="130"/>
      <c r="AG5288" s="130"/>
      <c r="AH5288" s="130"/>
      <c r="AI5288" s="131"/>
      <c r="AJ5288" s="132"/>
      <c r="AK5288" s="127"/>
      <c r="AL5288" s="128"/>
      <c r="AM5288" s="21"/>
      <c r="AN5288" s="133">
        <v>46071</v>
      </c>
      <c r="AO5288" s="134"/>
      <c r="AP5288" s="135">
        <v>1005</v>
      </c>
      <c r="AQ5288" s="136"/>
      <c r="AR5288" s="118">
        <v>1020000</v>
      </c>
      <c r="AS5288" s="119"/>
      <c r="AT5288" s="118">
        <f t="shared" ref="AT5288" si="6524">AR5288*0.1</f>
        <v>102000</v>
      </c>
      <c r="AU5288" s="119"/>
      <c r="AV5288" s="118">
        <v>7440</v>
      </c>
      <c r="AW5288" s="119"/>
      <c r="AX5288" s="118">
        <f t="shared" ref="AX5288" si="6525">SUM(AR5288:AW5288)</f>
        <v>1129440</v>
      </c>
      <c r="AY5288" s="119"/>
      <c r="AZ5288" s="137">
        <v>46073</v>
      </c>
    </row>
    <row r="5289" spans="1:52" ht="17.100000000000001" customHeight="1" thickBot="1">
      <c r="A5289" s="110"/>
      <c r="B5289" s="27" t="s">
        <v>2055</v>
      </c>
      <c r="C5289" s="27">
        <v>113</v>
      </c>
      <c r="D5289" s="14" t="s">
        <v>1592</v>
      </c>
      <c r="E5289" s="112"/>
      <c r="F5289" s="139" t="s">
        <v>15592</v>
      </c>
      <c r="G5289" s="140"/>
      <c r="H5289" s="141"/>
      <c r="I5289" s="26">
        <v>32475</v>
      </c>
      <c r="J5289" s="117"/>
      <c r="K5289" s="120"/>
      <c r="L5289" s="121"/>
      <c r="M5289" s="120"/>
      <c r="N5289" s="121"/>
      <c r="O5289" s="120"/>
      <c r="P5289" s="121"/>
      <c r="Q5289" s="120"/>
      <c r="R5289" s="121"/>
      <c r="S5289" s="120"/>
      <c r="T5289" s="121"/>
      <c r="U5289" s="120"/>
      <c r="V5289" s="123"/>
      <c r="W5289" s="125"/>
      <c r="X5289" s="142" t="s">
        <v>2482</v>
      </c>
      <c r="Y5289" s="143"/>
      <c r="Z5289" s="143"/>
      <c r="AA5289" s="143"/>
      <c r="AB5289" s="144"/>
      <c r="AC5289" s="16" t="s">
        <v>21</v>
      </c>
      <c r="AD5289" s="17" t="s">
        <v>16392</v>
      </c>
      <c r="AE5289" s="145" t="s">
        <v>9947</v>
      </c>
      <c r="AF5289" s="146"/>
      <c r="AG5289" s="146"/>
      <c r="AH5289" s="146"/>
      <c r="AI5289" s="147"/>
      <c r="AJ5289" s="148"/>
      <c r="AK5289" s="143"/>
      <c r="AL5289" s="144"/>
      <c r="AM5289" s="22"/>
      <c r="AN5289" s="149" t="s">
        <v>2794</v>
      </c>
      <c r="AO5289" s="144"/>
      <c r="AP5289" s="148">
        <v>80017</v>
      </c>
      <c r="AQ5289" s="144"/>
      <c r="AR5289" s="120"/>
      <c r="AS5289" s="121"/>
      <c r="AT5289" s="120"/>
      <c r="AU5289" s="121"/>
      <c r="AV5289" s="120"/>
      <c r="AW5289" s="121"/>
      <c r="AX5289" s="120"/>
      <c r="AY5289" s="121"/>
      <c r="AZ5289" s="138"/>
    </row>
    <row r="5290" spans="1:52" ht="17.100000000000001" customHeight="1" thickTop="1">
      <c r="A5290" s="109" t="s">
        <v>15560</v>
      </c>
      <c r="B5290" s="28">
        <v>46042</v>
      </c>
      <c r="C5290" s="25">
        <v>974</v>
      </c>
      <c r="D5290" s="13" t="s">
        <v>2359</v>
      </c>
      <c r="E5290" s="111"/>
      <c r="F5290" s="113" t="s">
        <v>15593</v>
      </c>
      <c r="G5290" s="114"/>
      <c r="H5290" s="115"/>
      <c r="I5290" s="24"/>
      <c r="J5290" s="116">
        <v>4</v>
      </c>
      <c r="K5290" s="118">
        <v>1189000</v>
      </c>
      <c r="L5290" s="119"/>
      <c r="M5290" s="118">
        <f t="shared" ref="M5290" si="6526">K5290*0.1</f>
        <v>118900</v>
      </c>
      <c r="N5290" s="119"/>
      <c r="O5290" s="118">
        <v>0</v>
      </c>
      <c r="P5290" s="119"/>
      <c r="Q5290" s="118">
        <v>9810</v>
      </c>
      <c r="R5290" s="119"/>
      <c r="S5290" s="118">
        <v>22000</v>
      </c>
      <c r="T5290" s="119"/>
      <c r="U5290" s="118">
        <f t="shared" ref="U5290" si="6527">SUM(K5290:T5291)</f>
        <v>1339710</v>
      </c>
      <c r="V5290" s="122"/>
      <c r="W5290" s="124"/>
      <c r="X5290" s="126" t="s">
        <v>16391</v>
      </c>
      <c r="Y5290" s="127"/>
      <c r="Z5290" s="127"/>
      <c r="AA5290" s="127"/>
      <c r="AB5290" s="128"/>
      <c r="AC5290" s="15" t="s">
        <v>20</v>
      </c>
      <c r="AD5290" s="129" t="s">
        <v>2054</v>
      </c>
      <c r="AE5290" s="130"/>
      <c r="AF5290" s="130"/>
      <c r="AG5290" s="130"/>
      <c r="AH5290" s="130"/>
      <c r="AI5290" s="131"/>
      <c r="AJ5290" s="132"/>
      <c r="AK5290" s="127"/>
      <c r="AL5290" s="128"/>
      <c r="AM5290" s="21"/>
      <c r="AN5290" s="133">
        <v>46050</v>
      </c>
      <c r="AO5290" s="134"/>
      <c r="AP5290" s="135">
        <v>1002</v>
      </c>
      <c r="AQ5290" s="136"/>
      <c r="AR5290" s="118">
        <v>1240000</v>
      </c>
      <c r="AS5290" s="119"/>
      <c r="AT5290" s="118">
        <f t="shared" ref="AT5290" si="6528">AR5290*0.1</f>
        <v>124000</v>
      </c>
      <c r="AU5290" s="119"/>
      <c r="AV5290" s="118">
        <v>9810</v>
      </c>
      <c r="AW5290" s="119"/>
      <c r="AX5290" s="118">
        <f t="shared" ref="AX5290" si="6529">SUM(AR5290:AW5290)</f>
        <v>1373810</v>
      </c>
      <c r="AY5290" s="119"/>
      <c r="AZ5290" s="137">
        <v>46056</v>
      </c>
    </row>
    <row r="5291" spans="1:52" ht="17.100000000000001" customHeight="1" thickBot="1">
      <c r="A5291" s="110"/>
      <c r="B5291" s="27" t="s">
        <v>2055</v>
      </c>
      <c r="C5291" s="27">
        <v>112</v>
      </c>
      <c r="D5291" s="14" t="s">
        <v>1592</v>
      </c>
      <c r="E5291" s="112"/>
      <c r="F5291" s="139" t="s">
        <v>15594</v>
      </c>
      <c r="G5291" s="140"/>
      <c r="H5291" s="141"/>
      <c r="I5291" s="26">
        <v>41086</v>
      </c>
      <c r="J5291" s="117"/>
      <c r="K5291" s="120"/>
      <c r="L5291" s="121"/>
      <c r="M5291" s="120"/>
      <c r="N5291" s="121"/>
      <c r="O5291" s="120"/>
      <c r="P5291" s="121"/>
      <c r="Q5291" s="120"/>
      <c r="R5291" s="121"/>
      <c r="S5291" s="120"/>
      <c r="T5291" s="121"/>
      <c r="U5291" s="120"/>
      <c r="V5291" s="123"/>
      <c r="W5291" s="125"/>
      <c r="X5291" s="142" t="s">
        <v>2057</v>
      </c>
      <c r="Y5291" s="143"/>
      <c r="Z5291" s="143"/>
      <c r="AA5291" s="143"/>
      <c r="AB5291" s="144"/>
      <c r="AC5291" s="16" t="s">
        <v>21</v>
      </c>
      <c r="AD5291" s="17" t="s">
        <v>16392</v>
      </c>
      <c r="AE5291" s="145" t="s">
        <v>9947</v>
      </c>
      <c r="AF5291" s="146"/>
      <c r="AG5291" s="146"/>
      <c r="AH5291" s="146"/>
      <c r="AI5291" s="147"/>
      <c r="AJ5291" s="148"/>
      <c r="AK5291" s="143"/>
      <c r="AL5291" s="144"/>
      <c r="AM5291" s="22"/>
      <c r="AN5291" s="149" t="s">
        <v>2794</v>
      </c>
      <c r="AO5291" s="144"/>
      <c r="AP5291" s="148">
        <v>4045</v>
      </c>
      <c r="AQ5291" s="144"/>
      <c r="AR5291" s="120"/>
      <c r="AS5291" s="121"/>
      <c r="AT5291" s="120"/>
      <c r="AU5291" s="121"/>
      <c r="AV5291" s="120"/>
      <c r="AW5291" s="121"/>
      <c r="AX5291" s="120"/>
      <c r="AY5291" s="121"/>
      <c r="AZ5291" s="138"/>
    </row>
    <row r="5292" spans="1:52" ht="17.100000000000001" customHeight="1" thickTop="1">
      <c r="A5292" s="109" t="s">
        <v>15561</v>
      </c>
      <c r="B5292" s="28">
        <v>46042</v>
      </c>
      <c r="C5292" s="25">
        <v>974</v>
      </c>
      <c r="D5292" s="13" t="s">
        <v>1902</v>
      </c>
      <c r="E5292" s="111"/>
      <c r="F5292" s="113" t="s">
        <v>15595</v>
      </c>
      <c r="G5292" s="114"/>
      <c r="H5292" s="115"/>
      <c r="I5292" s="24"/>
      <c r="J5292" s="116">
        <v>4</v>
      </c>
      <c r="K5292" s="118">
        <v>819000</v>
      </c>
      <c r="L5292" s="119"/>
      <c r="M5292" s="118">
        <f t="shared" ref="M5292" si="6530">K5292*0.1</f>
        <v>81900</v>
      </c>
      <c r="N5292" s="119"/>
      <c r="O5292" s="118">
        <v>0</v>
      </c>
      <c r="P5292" s="119"/>
      <c r="Q5292" s="118">
        <v>8400</v>
      </c>
      <c r="R5292" s="119"/>
      <c r="S5292" s="118">
        <v>22000</v>
      </c>
      <c r="T5292" s="119"/>
      <c r="U5292" s="118">
        <f t="shared" ref="U5292" si="6531">SUM(K5292:T5293)</f>
        <v>931300</v>
      </c>
      <c r="V5292" s="122"/>
      <c r="W5292" s="124"/>
      <c r="X5292" s="126" t="s">
        <v>16393</v>
      </c>
      <c r="Y5292" s="127"/>
      <c r="Z5292" s="127"/>
      <c r="AA5292" s="127"/>
      <c r="AB5292" s="128"/>
      <c r="AC5292" s="15" t="s">
        <v>20</v>
      </c>
      <c r="AD5292" s="129" t="s">
        <v>2054</v>
      </c>
      <c r="AE5292" s="130"/>
      <c r="AF5292" s="130"/>
      <c r="AG5292" s="130"/>
      <c r="AH5292" s="130"/>
      <c r="AI5292" s="131"/>
      <c r="AJ5292" s="132"/>
      <c r="AK5292" s="127"/>
      <c r="AL5292" s="128"/>
      <c r="AM5292" s="21"/>
      <c r="AN5292" s="133">
        <v>46049</v>
      </c>
      <c r="AO5292" s="134"/>
      <c r="AP5292" s="135">
        <v>1926</v>
      </c>
      <c r="AQ5292" s="136"/>
      <c r="AR5292" s="118">
        <v>834000</v>
      </c>
      <c r="AS5292" s="119"/>
      <c r="AT5292" s="118">
        <f t="shared" ref="AT5292" si="6532">AR5292*0.1</f>
        <v>83400</v>
      </c>
      <c r="AU5292" s="119"/>
      <c r="AV5292" s="118">
        <v>8400</v>
      </c>
      <c r="AW5292" s="119"/>
      <c r="AX5292" s="118">
        <f t="shared" ref="AX5292" si="6533">SUM(AR5292:AW5292)</f>
        <v>925800</v>
      </c>
      <c r="AY5292" s="119"/>
      <c r="AZ5292" s="137"/>
    </row>
    <row r="5293" spans="1:52" ht="17.100000000000001" customHeight="1" thickBot="1">
      <c r="A5293" s="110"/>
      <c r="B5293" s="27" t="s">
        <v>2055</v>
      </c>
      <c r="C5293" s="27">
        <v>67</v>
      </c>
      <c r="D5293" s="14" t="s">
        <v>1720</v>
      </c>
      <c r="E5293" s="112"/>
      <c r="F5293" s="139" t="s">
        <v>15596</v>
      </c>
      <c r="G5293" s="140"/>
      <c r="H5293" s="141"/>
      <c r="I5293" s="26">
        <v>22220</v>
      </c>
      <c r="J5293" s="117"/>
      <c r="K5293" s="120"/>
      <c r="L5293" s="121"/>
      <c r="M5293" s="120"/>
      <c r="N5293" s="121"/>
      <c r="O5293" s="120"/>
      <c r="P5293" s="121"/>
      <c r="Q5293" s="120"/>
      <c r="R5293" s="121"/>
      <c r="S5293" s="120"/>
      <c r="T5293" s="121"/>
      <c r="U5293" s="120"/>
      <c r="V5293" s="123"/>
      <c r="W5293" s="125"/>
      <c r="X5293" s="142" t="s">
        <v>2057</v>
      </c>
      <c r="Y5293" s="143"/>
      <c r="Z5293" s="143"/>
      <c r="AA5293" s="143"/>
      <c r="AB5293" s="144"/>
      <c r="AC5293" s="16" t="s">
        <v>21</v>
      </c>
      <c r="AD5293" s="17" t="s">
        <v>16392</v>
      </c>
      <c r="AE5293" s="145" t="s">
        <v>11427</v>
      </c>
      <c r="AF5293" s="146"/>
      <c r="AG5293" s="146"/>
      <c r="AH5293" s="146"/>
      <c r="AI5293" s="147"/>
      <c r="AJ5293" s="148"/>
      <c r="AK5293" s="143"/>
      <c r="AL5293" s="144"/>
      <c r="AM5293" s="22"/>
      <c r="AN5293" s="149" t="s">
        <v>2131</v>
      </c>
      <c r="AO5293" s="144"/>
      <c r="AP5293" s="148">
        <v>3381</v>
      </c>
      <c r="AQ5293" s="144"/>
      <c r="AR5293" s="120"/>
      <c r="AS5293" s="121"/>
      <c r="AT5293" s="120"/>
      <c r="AU5293" s="121"/>
      <c r="AV5293" s="120"/>
      <c r="AW5293" s="121"/>
      <c r="AX5293" s="120"/>
      <c r="AY5293" s="121"/>
      <c r="AZ5293" s="138"/>
    </row>
    <row r="5294" spans="1:52" ht="17.100000000000001" customHeight="1" thickTop="1">
      <c r="A5294" s="151" t="s">
        <v>15562</v>
      </c>
      <c r="B5294" s="28">
        <v>46043</v>
      </c>
      <c r="C5294" s="25"/>
      <c r="D5294" s="13" t="s">
        <v>2122</v>
      </c>
      <c r="E5294" s="111"/>
      <c r="F5294" s="113" t="s">
        <v>15164</v>
      </c>
      <c r="G5294" s="114"/>
      <c r="H5294" s="115"/>
      <c r="I5294" s="24" t="s">
        <v>5282</v>
      </c>
      <c r="J5294" s="116">
        <v>4</v>
      </c>
      <c r="K5294" s="118">
        <v>2700000</v>
      </c>
      <c r="L5294" s="119"/>
      <c r="M5294" s="118">
        <f t="shared" ref="M5294" si="6534">K5294*0.1</f>
        <v>270000</v>
      </c>
      <c r="N5294" s="119"/>
      <c r="O5294" s="118">
        <v>3000</v>
      </c>
      <c r="P5294" s="119"/>
      <c r="Q5294" s="118">
        <v>12250</v>
      </c>
      <c r="R5294" s="119"/>
      <c r="S5294" s="118">
        <v>0</v>
      </c>
      <c r="T5294" s="119"/>
      <c r="U5294" s="118">
        <f t="shared" ref="U5294" si="6535">SUM(K5294:T5295)</f>
        <v>2985250</v>
      </c>
      <c r="V5294" s="122"/>
      <c r="W5294" s="124"/>
      <c r="X5294" s="126" t="s">
        <v>16943</v>
      </c>
      <c r="Y5294" s="127"/>
      <c r="Z5294" s="127"/>
      <c r="AA5294" s="127"/>
      <c r="AB5294" s="128"/>
      <c r="AC5294" s="15" t="s">
        <v>20</v>
      </c>
      <c r="AD5294" s="129" t="s">
        <v>15520</v>
      </c>
      <c r="AE5294" s="130"/>
      <c r="AF5294" s="130"/>
      <c r="AG5294" s="130"/>
      <c r="AH5294" s="130"/>
      <c r="AI5294" s="131"/>
      <c r="AJ5294" s="132" t="s">
        <v>18233</v>
      </c>
      <c r="AK5294" s="127"/>
      <c r="AL5294" s="128"/>
      <c r="AM5294" s="21"/>
      <c r="AN5294" s="133"/>
      <c r="AO5294" s="134"/>
      <c r="AP5294" s="135"/>
      <c r="AQ5294" s="136"/>
      <c r="AR5294" s="118"/>
      <c r="AS5294" s="119"/>
      <c r="AT5294" s="118">
        <f t="shared" ref="AT5294" si="6536">AR5294*0.1</f>
        <v>0</v>
      </c>
      <c r="AU5294" s="119"/>
      <c r="AV5294" s="118"/>
      <c r="AW5294" s="119"/>
      <c r="AX5294" s="118">
        <f t="shared" ref="AX5294" si="6537">SUM(AR5294:AW5294)</f>
        <v>0</v>
      </c>
      <c r="AY5294" s="119"/>
      <c r="AZ5294" s="137"/>
    </row>
    <row r="5295" spans="1:52" ht="17.100000000000001" customHeight="1" thickBot="1">
      <c r="A5295" s="152"/>
      <c r="B5295" s="27" t="s">
        <v>1718</v>
      </c>
      <c r="C5295" s="27" t="s">
        <v>15597</v>
      </c>
      <c r="D5295" s="14" t="s">
        <v>2601</v>
      </c>
      <c r="E5295" s="112"/>
      <c r="F5295" s="139" t="s">
        <v>15598</v>
      </c>
      <c r="G5295" s="140"/>
      <c r="H5295" s="141"/>
      <c r="I5295" s="26">
        <v>45598</v>
      </c>
      <c r="J5295" s="117"/>
      <c r="K5295" s="120"/>
      <c r="L5295" s="121"/>
      <c r="M5295" s="120"/>
      <c r="N5295" s="121"/>
      <c r="O5295" s="120"/>
      <c r="P5295" s="121"/>
      <c r="Q5295" s="120"/>
      <c r="R5295" s="121"/>
      <c r="S5295" s="120"/>
      <c r="T5295" s="121"/>
      <c r="U5295" s="120"/>
      <c r="V5295" s="123"/>
      <c r="W5295" s="125"/>
      <c r="X5295" s="142" t="s">
        <v>16944</v>
      </c>
      <c r="Y5295" s="143"/>
      <c r="Z5295" s="143"/>
      <c r="AA5295" s="143"/>
      <c r="AB5295" s="144"/>
      <c r="AC5295" s="16" t="s">
        <v>21</v>
      </c>
      <c r="AD5295" s="17" t="s">
        <v>3801</v>
      </c>
      <c r="AE5295" s="145" t="s">
        <v>1945</v>
      </c>
      <c r="AF5295" s="146"/>
      <c r="AG5295" s="146"/>
      <c r="AH5295" s="146"/>
      <c r="AI5295" s="147"/>
      <c r="AJ5295" s="148"/>
      <c r="AK5295" s="143"/>
      <c r="AL5295" s="144"/>
      <c r="AM5295" s="22"/>
      <c r="AN5295" s="149"/>
      <c r="AO5295" s="144"/>
      <c r="AP5295" s="148"/>
      <c r="AQ5295" s="144"/>
      <c r="AR5295" s="120"/>
      <c r="AS5295" s="121"/>
      <c r="AT5295" s="120"/>
      <c r="AU5295" s="121"/>
      <c r="AV5295" s="120"/>
      <c r="AW5295" s="121"/>
      <c r="AX5295" s="120"/>
      <c r="AY5295" s="121"/>
      <c r="AZ5295" s="138"/>
    </row>
    <row r="5296" spans="1:52" ht="17.100000000000001" customHeight="1" thickTop="1">
      <c r="A5296" s="109" t="s">
        <v>15563</v>
      </c>
      <c r="B5296" s="28">
        <v>46043</v>
      </c>
      <c r="C5296" s="25">
        <v>1001</v>
      </c>
      <c r="D5296" s="13" t="s">
        <v>1902</v>
      </c>
      <c r="E5296" s="111"/>
      <c r="F5296" s="113" t="s">
        <v>15599</v>
      </c>
      <c r="G5296" s="114"/>
      <c r="H5296" s="115"/>
      <c r="I5296" s="24"/>
      <c r="J5296" s="116">
        <v>4.5</v>
      </c>
      <c r="K5296" s="118">
        <v>1480000</v>
      </c>
      <c r="L5296" s="119"/>
      <c r="M5296" s="118">
        <f t="shared" ref="M5296" si="6538">K5296*0.1</f>
        <v>148000</v>
      </c>
      <c r="N5296" s="119"/>
      <c r="O5296" s="118">
        <v>0</v>
      </c>
      <c r="P5296" s="119"/>
      <c r="Q5296" s="118">
        <v>10060</v>
      </c>
      <c r="R5296" s="119"/>
      <c r="S5296" s="118">
        <v>12100</v>
      </c>
      <c r="T5296" s="119"/>
      <c r="U5296" s="118">
        <f t="shared" ref="U5296" si="6539">SUM(K5296:T5297)</f>
        <v>1650160</v>
      </c>
      <c r="V5296" s="122"/>
      <c r="W5296" s="124"/>
      <c r="X5296" s="126" t="s">
        <v>16220</v>
      </c>
      <c r="Y5296" s="127"/>
      <c r="Z5296" s="127"/>
      <c r="AA5296" s="127"/>
      <c r="AB5296" s="128"/>
      <c r="AC5296" s="15" t="s">
        <v>20</v>
      </c>
      <c r="AD5296" s="129" t="s">
        <v>3828</v>
      </c>
      <c r="AE5296" s="130"/>
      <c r="AF5296" s="130"/>
      <c r="AG5296" s="130"/>
      <c r="AH5296" s="130"/>
      <c r="AI5296" s="131"/>
      <c r="AJ5296" s="132"/>
      <c r="AK5296" s="127"/>
      <c r="AL5296" s="128"/>
      <c r="AM5296" s="21"/>
      <c r="AN5296" s="133">
        <v>46053</v>
      </c>
      <c r="AO5296" s="134"/>
      <c r="AP5296" s="135">
        <v>1286</v>
      </c>
      <c r="AQ5296" s="136"/>
      <c r="AR5296" s="118">
        <v>1545000</v>
      </c>
      <c r="AS5296" s="119"/>
      <c r="AT5296" s="118">
        <f t="shared" ref="AT5296" si="6540">AR5296*0.1</f>
        <v>154500</v>
      </c>
      <c r="AU5296" s="119"/>
      <c r="AV5296" s="118">
        <v>10060</v>
      </c>
      <c r="AW5296" s="119"/>
      <c r="AX5296" s="118">
        <f t="shared" ref="AX5296" si="6541">SUM(AR5296:AW5296)</f>
        <v>1709560</v>
      </c>
      <c r="AY5296" s="119"/>
      <c r="AZ5296" s="137">
        <v>46056</v>
      </c>
    </row>
    <row r="5297" spans="1:52" ht="17.100000000000001" customHeight="1" thickBot="1">
      <c r="A5297" s="110"/>
      <c r="B5297" s="27" t="s">
        <v>2794</v>
      </c>
      <c r="C5297" s="27">
        <v>1216</v>
      </c>
      <c r="D5297" s="14" t="s">
        <v>1720</v>
      </c>
      <c r="E5297" s="112"/>
      <c r="F5297" s="139" t="s">
        <v>15600</v>
      </c>
      <c r="G5297" s="140"/>
      <c r="H5297" s="141"/>
      <c r="I5297" s="26">
        <v>51262</v>
      </c>
      <c r="J5297" s="117"/>
      <c r="K5297" s="120"/>
      <c r="L5297" s="121"/>
      <c r="M5297" s="120"/>
      <c r="N5297" s="121"/>
      <c r="O5297" s="120"/>
      <c r="P5297" s="121"/>
      <c r="Q5297" s="120"/>
      <c r="R5297" s="121"/>
      <c r="S5297" s="120"/>
      <c r="T5297" s="121"/>
      <c r="U5297" s="120"/>
      <c r="V5297" s="123"/>
      <c r="W5297" s="125"/>
      <c r="X5297" s="142" t="s">
        <v>16221</v>
      </c>
      <c r="Y5297" s="143"/>
      <c r="Z5297" s="143"/>
      <c r="AA5297" s="143"/>
      <c r="AB5297" s="144"/>
      <c r="AC5297" s="16" t="s">
        <v>21</v>
      </c>
      <c r="AD5297" s="17" t="s">
        <v>16172</v>
      </c>
      <c r="AE5297" s="145" t="s">
        <v>16222</v>
      </c>
      <c r="AF5297" s="146"/>
      <c r="AG5297" s="146"/>
      <c r="AH5297" s="146"/>
      <c r="AI5297" s="147"/>
      <c r="AJ5297" s="148"/>
      <c r="AK5297" s="143"/>
      <c r="AL5297" s="144"/>
      <c r="AM5297" s="22"/>
      <c r="AN5297" s="149" t="s">
        <v>2511</v>
      </c>
      <c r="AO5297" s="144"/>
      <c r="AP5297" s="148">
        <v>55004</v>
      </c>
      <c r="AQ5297" s="144"/>
      <c r="AR5297" s="120"/>
      <c r="AS5297" s="121"/>
      <c r="AT5297" s="120"/>
      <c r="AU5297" s="121"/>
      <c r="AV5297" s="120"/>
      <c r="AW5297" s="121"/>
      <c r="AX5297" s="120"/>
      <c r="AY5297" s="121"/>
      <c r="AZ5297" s="138"/>
    </row>
    <row r="5298" spans="1:52" ht="17.100000000000001" customHeight="1" thickTop="1">
      <c r="A5298" s="109" t="s">
        <v>15564</v>
      </c>
      <c r="B5298" s="28">
        <v>46042</v>
      </c>
      <c r="C5298" s="25">
        <v>1272</v>
      </c>
      <c r="D5298" s="13" t="s">
        <v>2442</v>
      </c>
      <c r="E5298" s="111"/>
      <c r="F5298" s="113" t="s">
        <v>7180</v>
      </c>
      <c r="G5298" s="114"/>
      <c r="H5298" s="115"/>
      <c r="I5298" s="24"/>
      <c r="J5298" s="116">
        <v>4</v>
      </c>
      <c r="K5298" s="118">
        <v>980000</v>
      </c>
      <c r="L5298" s="119"/>
      <c r="M5298" s="118">
        <f t="shared" ref="M5298" si="6542">K5298*0.1</f>
        <v>98000</v>
      </c>
      <c r="N5298" s="119"/>
      <c r="O5298" s="118">
        <v>0</v>
      </c>
      <c r="P5298" s="119"/>
      <c r="Q5298" s="118">
        <v>19440</v>
      </c>
      <c r="R5298" s="119"/>
      <c r="S5298" s="118">
        <v>18150</v>
      </c>
      <c r="T5298" s="119"/>
      <c r="U5298" s="118">
        <f t="shared" ref="U5298" si="6543">SUM(K5298:T5299)</f>
        <v>1115590</v>
      </c>
      <c r="V5298" s="122"/>
      <c r="W5298" s="124"/>
      <c r="X5298" s="126" t="s">
        <v>16367</v>
      </c>
      <c r="Y5298" s="127"/>
      <c r="Z5298" s="127"/>
      <c r="AA5298" s="127"/>
      <c r="AB5298" s="128"/>
      <c r="AC5298" s="15" t="s">
        <v>20</v>
      </c>
      <c r="AD5298" s="129" t="s">
        <v>1797</v>
      </c>
      <c r="AE5298" s="130"/>
      <c r="AF5298" s="130"/>
      <c r="AG5298" s="130"/>
      <c r="AH5298" s="130"/>
      <c r="AI5298" s="131"/>
      <c r="AJ5298" s="132"/>
      <c r="AK5298" s="127"/>
      <c r="AL5298" s="128"/>
      <c r="AM5298" s="21"/>
      <c r="AN5298" s="133">
        <v>46074</v>
      </c>
      <c r="AO5298" s="134"/>
      <c r="AP5298" s="135">
        <v>1289</v>
      </c>
      <c r="AQ5298" s="136"/>
      <c r="AR5298" s="118">
        <v>1100000</v>
      </c>
      <c r="AS5298" s="119"/>
      <c r="AT5298" s="118">
        <f t="shared" ref="AT5298" si="6544">AR5298*0.1</f>
        <v>110000</v>
      </c>
      <c r="AU5298" s="119"/>
      <c r="AV5298" s="118">
        <v>19440</v>
      </c>
      <c r="AW5298" s="119"/>
      <c r="AX5298" s="118">
        <f t="shared" ref="AX5298" si="6545">SUM(AR5298:AW5298)</f>
        <v>1229440</v>
      </c>
      <c r="AY5298" s="119"/>
      <c r="AZ5298" s="137">
        <v>46077</v>
      </c>
    </row>
    <row r="5299" spans="1:52" ht="17.100000000000001" customHeight="1" thickBot="1">
      <c r="A5299" s="110"/>
      <c r="B5299" s="27" t="s">
        <v>7478</v>
      </c>
      <c r="C5299" s="27">
        <v>38150</v>
      </c>
      <c r="D5299" s="14" t="s">
        <v>1635</v>
      </c>
      <c r="E5299" s="112"/>
      <c r="F5299" s="139" t="s">
        <v>15683</v>
      </c>
      <c r="G5299" s="140"/>
      <c r="H5299" s="141"/>
      <c r="I5299" s="26">
        <v>51770</v>
      </c>
      <c r="J5299" s="117"/>
      <c r="K5299" s="120"/>
      <c r="L5299" s="121"/>
      <c r="M5299" s="120"/>
      <c r="N5299" s="121"/>
      <c r="O5299" s="120"/>
      <c r="P5299" s="121"/>
      <c r="Q5299" s="120"/>
      <c r="R5299" s="121"/>
      <c r="S5299" s="120"/>
      <c r="T5299" s="121"/>
      <c r="U5299" s="120"/>
      <c r="V5299" s="123"/>
      <c r="W5299" s="125"/>
      <c r="X5299" s="142" t="s">
        <v>16368</v>
      </c>
      <c r="Y5299" s="143"/>
      <c r="Z5299" s="143"/>
      <c r="AA5299" s="143"/>
      <c r="AB5299" s="144"/>
      <c r="AC5299" s="16" t="s">
        <v>21</v>
      </c>
      <c r="AD5299" s="17" t="s">
        <v>1837</v>
      </c>
      <c r="AE5299" s="145" t="s">
        <v>16369</v>
      </c>
      <c r="AF5299" s="146"/>
      <c r="AG5299" s="146"/>
      <c r="AH5299" s="146"/>
      <c r="AI5299" s="147"/>
      <c r="AJ5299" s="148"/>
      <c r="AK5299" s="143"/>
      <c r="AL5299" s="144"/>
      <c r="AM5299" s="22"/>
      <c r="AN5299" s="149" t="s">
        <v>2511</v>
      </c>
      <c r="AO5299" s="144"/>
      <c r="AP5299" s="148">
        <v>80247</v>
      </c>
      <c r="AQ5299" s="144"/>
      <c r="AR5299" s="120"/>
      <c r="AS5299" s="121"/>
      <c r="AT5299" s="120"/>
      <c r="AU5299" s="121"/>
      <c r="AV5299" s="120"/>
      <c r="AW5299" s="121"/>
      <c r="AX5299" s="120"/>
      <c r="AY5299" s="121"/>
      <c r="AZ5299" s="138"/>
    </row>
    <row r="5300" spans="1:52" ht="17.100000000000001" customHeight="1" thickTop="1">
      <c r="A5300" s="109" t="s">
        <v>15715</v>
      </c>
      <c r="B5300" s="28">
        <v>46043</v>
      </c>
      <c r="C5300" s="25">
        <v>2339</v>
      </c>
      <c r="D5300" s="13" t="s">
        <v>2859</v>
      </c>
      <c r="E5300" s="111"/>
      <c r="F5300" s="113" t="s">
        <v>3667</v>
      </c>
      <c r="G5300" s="114"/>
      <c r="H5300" s="115"/>
      <c r="I5300" s="24"/>
      <c r="J5300" s="116">
        <v>4.5</v>
      </c>
      <c r="K5300" s="118">
        <v>1200000</v>
      </c>
      <c r="L5300" s="119"/>
      <c r="M5300" s="118">
        <f t="shared" ref="M5300" si="6546">K5300*0.1</f>
        <v>120000</v>
      </c>
      <c r="N5300" s="119"/>
      <c r="O5300" s="118">
        <v>0</v>
      </c>
      <c r="P5300" s="119"/>
      <c r="Q5300" s="118">
        <v>9750</v>
      </c>
      <c r="R5300" s="119"/>
      <c r="S5300" s="118">
        <v>16500</v>
      </c>
      <c r="T5300" s="119"/>
      <c r="U5300" s="118">
        <f t="shared" ref="U5300" si="6547">SUM(K5300:T5301)</f>
        <v>1346250</v>
      </c>
      <c r="V5300" s="122"/>
      <c r="W5300" s="124"/>
      <c r="X5300" s="126" t="s">
        <v>15748</v>
      </c>
      <c r="Y5300" s="127"/>
      <c r="Z5300" s="127"/>
      <c r="AA5300" s="127"/>
      <c r="AB5300" s="128"/>
      <c r="AC5300" s="15" t="s">
        <v>20</v>
      </c>
      <c r="AD5300" s="129" t="s">
        <v>1581</v>
      </c>
      <c r="AE5300" s="130"/>
      <c r="AF5300" s="130"/>
      <c r="AG5300" s="130"/>
      <c r="AH5300" s="130"/>
      <c r="AI5300" s="131"/>
      <c r="AJ5300" s="132"/>
      <c r="AK5300" s="127"/>
      <c r="AL5300" s="128"/>
      <c r="AM5300" s="21"/>
      <c r="AN5300" s="133">
        <v>46078</v>
      </c>
      <c r="AO5300" s="134"/>
      <c r="AP5300" s="135">
        <v>1006</v>
      </c>
      <c r="AQ5300" s="136"/>
      <c r="AR5300" s="118">
        <v>1250000</v>
      </c>
      <c r="AS5300" s="119"/>
      <c r="AT5300" s="118">
        <f t="shared" ref="AT5300" si="6548">AR5300*0.1</f>
        <v>125000</v>
      </c>
      <c r="AU5300" s="119"/>
      <c r="AV5300" s="118">
        <v>9750</v>
      </c>
      <c r="AW5300" s="119"/>
      <c r="AX5300" s="118">
        <f t="shared" ref="AX5300" si="6549">SUM(AR5300:AW5300)</f>
        <v>1384750</v>
      </c>
      <c r="AY5300" s="119"/>
      <c r="AZ5300" s="137">
        <v>46084</v>
      </c>
    </row>
    <row r="5301" spans="1:52" ht="17.100000000000001" customHeight="1" thickBot="1">
      <c r="A5301" s="110"/>
      <c r="B5301" s="27" t="s">
        <v>3422</v>
      </c>
      <c r="C5301" s="27">
        <v>60160</v>
      </c>
      <c r="D5301" s="14" t="s">
        <v>275</v>
      </c>
      <c r="E5301" s="112"/>
      <c r="F5301" s="139" t="s">
        <v>15714</v>
      </c>
      <c r="G5301" s="140"/>
      <c r="H5301" s="141"/>
      <c r="I5301" s="26">
        <v>55419</v>
      </c>
      <c r="J5301" s="117"/>
      <c r="K5301" s="120"/>
      <c r="L5301" s="121"/>
      <c r="M5301" s="120"/>
      <c r="N5301" s="121"/>
      <c r="O5301" s="120"/>
      <c r="P5301" s="121"/>
      <c r="Q5301" s="120"/>
      <c r="R5301" s="121"/>
      <c r="S5301" s="120"/>
      <c r="T5301" s="121"/>
      <c r="U5301" s="120"/>
      <c r="V5301" s="123"/>
      <c r="W5301" s="125"/>
      <c r="X5301" s="142" t="s">
        <v>4796</v>
      </c>
      <c r="Y5301" s="143"/>
      <c r="Z5301" s="143"/>
      <c r="AA5301" s="143"/>
      <c r="AB5301" s="144"/>
      <c r="AC5301" s="16" t="s">
        <v>21</v>
      </c>
      <c r="AD5301" s="17" t="s">
        <v>15708</v>
      </c>
      <c r="AE5301" s="145" t="s">
        <v>1690</v>
      </c>
      <c r="AF5301" s="146"/>
      <c r="AG5301" s="146"/>
      <c r="AH5301" s="146"/>
      <c r="AI5301" s="147"/>
      <c r="AJ5301" s="148"/>
      <c r="AK5301" s="143"/>
      <c r="AL5301" s="144"/>
      <c r="AM5301" s="22"/>
      <c r="AN5301" s="149" t="s">
        <v>7285</v>
      </c>
      <c r="AO5301" s="144"/>
      <c r="AP5301" s="148">
        <v>6066</v>
      </c>
      <c r="AQ5301" s="144"/>
      <c r="AR5301" s="120"/>
      <c r="AS5301" s="121"/>
      <c r="AT5301" s="120"/>
      <c r="AU5301" s="121"/>
      <c r="AV5301" s="120"/>
      <c r="AW5301" s="121"/>
      <c r="AX5301" s="120"/>
      <c r="AY5301" s="121"/>
      <c r="AZ5301" s="138"/>
    </row>
    <row r="5302" spans="1:52" ht="17.100000000000001" customHeight="1" thickTop="1">
      <c r="A5302" s="109" t="s">
        <v>15716</v>
      </c>
      <c r="B5302" s="28">
        <v>46043</v>
      </c>
      <c r="C5302" s="25">
        <v>2339</v>
      </c>
      <c r="D5302" s="13" t="s">
        <v>1586</v>
      </c>
      <c r="E5302" s="111"/>
      <c r="F5302" s="113" t="s">
        <v>3667</v>
      </c>
      <c r="G5302" s="114"/>
      <c r="H5302" s="115"/>
      <c r="I5302" s="24"/>
      <c r="J5302" s="116">
        <v>4</v>
      </c>
      <c r="K5302" s="118">
        <v>1070000</v>
      </c>
      <c r="L5302" s="119"/>
      <c r="M5302" s="118">
        <f t="shared" ref="M5302" si="6550">K5302*0.1</f>
        <v>107000</v>
      </c>
      <c r="N5302" s="119"/>
      <c r="O5302" s="118">
        <v>0</v>
      </c>
      <c r="P5302" s="119"/>
      <c r="Q5302" s="118">
        <v>9750</v>
      </c>
      <c r="R5302" s="119"/>
      <c r="S5302" s="118">
        <v>16500</v>
      </c>
      <c r="T5302" s="119"/>
      <c r="U5302" s="118">
        <f t="shared" ref="U5302" si="6551">SUM(K5302:T5303)</f>
        <v>1203250</v>
      </c>
      <c r="V5302" s="122"/>
      <c r="W5302" s="124"/>
      <c r="X5302" s="126" t="s">
        <v>16343</v>
      </c>
      <c r="Y5302" s="127"/>
      <c r="Z5302" s="127"/>
      <c r="AA5302" s="127"/>
      <c r="AB5302" s="128"/>
      <c r="AC5302" s="15" t="s">
        <v>20</v>
      </c>
      <c r="AD5302" s="129"/>
      <c r="AE5302" s="130"/>
      <c r="AF5302" s="130"/>
      <c r="AG5302" s="130"/>
      <c r="AH5302" s="130"/>
      <c r="AI5302" s="131"/>
      <c r="AJ5302" s="132"/>
      <c r="AK5302" s="127"/>
      <c r="AL5302" s="128"/>
      <c r="AM5302" s="21"/>
      <c r="AN5302" s="133">
        <v>46071</v>
      </c>
      <c r="AO5302" s="134"/>
      <c r="AP5302" s="135">
        <v>1005</v>
      </c>
      <c r="AQ5302" s="136"/>
      <c r="AR5302" s="118">
        <v>1100000</v>
      </c>
      <c r="AS5302" s="119"/>
      <c r="AT5302" s="118">
        <f t="shared" ref="AT5302" si="6552">AR5302*0.1</f>
        <v>110000</v>
      </c>
      <c r="AU5302" s="119"/>
      <c r="AV5302" s="118">
        <v>9750</v>
      </c>
      <c r="AW5302" s="119"/>
      <c r="AX5302" s="118">
        <f t="shared" ref="AX5302" si="6553">SUM(AR5302:AW5302)</f>
        <v>1219750</v>
      </c>
      <c r="AY5302" s="119"/>
      <c r="AZ5302" s="137">
        <v>46073</v>
      </c>
    </row>
    <row r="5303" spans="1:52" ht="17.100000000000001" customHeight="1" thickBot="1">
      <c r="A5303" s="110"/>
      <c r="B5303" s="27" t="s">
        <v>3422</v>
      </c>
      <c r="C5303" s="27">
        <v>60254</v>
      </c>
      <c r="D5303" s="14" t="s">
        <v>275</v>
      </c>
      <c r="E5303" s="112"/>
      <c r="F5303" s="139" t="s">
        <v>15717</v>
      </c>
      <c r="G5303" s="140"/>
      <c r="H5303" s="141"/>
      <c r="I5303" s="26">
        <v>54388</v>
      </c>
      <c r="J5303" s="117"/>
      <c r="K5303" s="120"/>
      <c r="L5303" s="121"/>
      <c r="M5303" s="120"/>
      <c r="N5303" s="121"/>
      <c r="O5303" s="120"/>
      <c r="P5303" s="121"/>
      <c r="Q5303" s="120"/>
      <c r="R5303" s="121"/>
      <c r="S5303" s="120"/>
      <c r="T5303" s="121"/>
      <c r="U5303" s="120"/>
      <c r="V5303" s="123"/>
      <c r="W5303" s="125"/>
      <c r="X5303" s="142" t="s">
        <v>7740</v>
      </c>
      <c r="Y5303" s="143"/>
      <c r="Z5303" s="143"/>
      <c r="AA5303" s="143"/>
      <c r="AB5303" s="144"/>
      <c r="AC5303" s="16" t="s">
        <v>21</v>
      </c>
      <c r="AD5303" s="17" t="s">
        <v>1837</v>
      </c>
      <c r="AE5303" s="145" t="s">
        <v>9186</v>
      </c>
      <c r="AF5303" s="146"/>
      <c r="AG5303" s="146"/>
      <c r="AH5303" s="146"/>
      <c r="AI5303" s="147"/>
      <c r="AJ5303" s="148"/>
      <c r="AK5303" s="143"/>
      <c r="AL5303" s="144"/>
      <c r="AM5303" s="22"/>
      <c r="AN5303" s="149" t="s">
        <v>2794</v>
      </c>
      <c r="AO5303" s="144"/>
      <c r="AP5303" s="148">
        <v>6047</v>
      </c>
      <c r="AQ5303" s="144"/>
      <c r="AR5303" s="120"/>
      <c r="AS5303" s="121"/>
      <c r="AT5303" s="120"/>
      <c r="AU5303" s="121"/>
      <c r="AV5303" s="120"/>
      <c r="AW5303" s="121"/>
      <c r="AX5303" s="120"/>
      <c r="AY5303" s="121"/>
      <c r="AZ5303" s="138"/>
    </row>
    <row r="5304" spans="1:52" ht="17.100000000000001" customHeight="1" thickTop="1">
      <c r="A5304" s="109" t="s">
        <v>15718</v>
      </c>
      <c r="B5304" s="28">
        <v>46043</v>
      </c>
      <c r="C5304" s="25">
        <v>1822</v>
      </c>
      <c r="D5304" s="13" t="s">
        <v>2689</v>
      </c>
      <c r="E5304" s="111"/>
      <c r="F5304" s="113" t="s">
        <v>15730</v>
      </c>
      <c r="G5304" s="114"/>
      <c r="H5304" s="115"/>
      <c r="I5304" s="24" t="s">
        <v>2533</v>
      </c>
      <c r="J5304" s="116">
        <v>4.5</v>
      </c>
      <c r="K5304" s="118">
        <v>1043000</v>
      </c>
      <c r="L5304" s="119"/>
      <c r="M5304" s="118">
        <f t="shared" ref="M5304" si="6554">K5304*0.1</f>
        <v>104300</v>
      </c>
      <c r="N5304" s="119"/>
      <c r="O5304" s="118">
        <v>0</v>
      </c>
      <c r="P5304" s="119"/>
      <c r="Q5304" s="118">
        <v>8790</v>
      </c>
      <c r="R5304" s="119"/>
      <c r="S5304" s="118">
        <v>18150</v>
      </c>
      <c r="T5304" s="119"/>
      <c r="U5304" s="118">
        <f t="shared" ref="U5304" si="6555">SUM(K5304:T5305)</f>
        <v>1174240</v>
      </c>
      <c r="V5304" s="122"/>
      <c r="W5304" s="124"/>
      <c r="X5304" s="126" t="s">
        <v>15731</v>
      </c>
      <c r="Y5304" s="127"/>
      <c r="Z5304" s="127"/>
      <c r="AA5304" s="127"/>
      <c r="AB5304" s="128"/>
      <c r="AC5304" s="15" t="s">
        <v>20</v>
      </c>
      <c r="AD5304" s="129" t="s">
        <v>1670</v>
      </c>
      <c r="AE5304" s="130"/>
      <c r="AF5304" s="130"/>
      <c r="AG5304" s="130"/>
      <c r="AH5304" s="130"/>
      <c r="AI5304" s="131"/>
      <c r="AJ5304" s="132"/>
      <c r="AK5304" s="127"/>
      <c r="AL5304" s="128"/>
      <c r="AM5304" s="21" t="s">
        <v>18032</v>
      </c>
      <c r="AN5304" s="133">
        <v>46085</v>
      </c>
      <c r="AO5304" s="134"/>
      <c r="AP5304" s="135">
        <v>1007</v>
      </c>
      <c r="AQ5304" s="136"/>
      <c r="AR5304" s="118">
        <v>1155000</v>
      </c>
      <c r="AS5304" s="119"/>
      <c r="AT5304" s="118">
        <f t="shared" ref="AT5304" si="6556">AR5304*0.1</f>
        <v>115500</v>
      </c>
      <c r="AU5304" s="119"/>
      <c r="AV5304" s="118">
        <v>8790</v>
      </c>
      <c r="AW5304" s="119"/>
      <c r="AX5304" s="118">
        <f t="shared" ref="AX5304" si="6557">SUM(AR5304:AW5304)</f>
        <v>1279290</v>
      </c>
      <c r="AY5304" s="119"/>
      <c r="AZ5304" s="137">
        <v>46090</v>
      </c>
    </row>
    <row r="5305" spans="1:52" ht="17.100000000000001" customHeight="1" thickBot="1">
      <c r="A5305" s="110"/>
      <c r="B5305" s="27" t="s">
        <v>2559</v>
      </c>
      <c r="C5305" s="27">
        <v>3181</v>
      </c>
      <c r="D5305" s="14" t="s">
        <v>3855</v>
      </c>
      <c r="E5305" s="112"/>
      <c r="F5305" s="139" t="s">
        <v>15725</v>
      </c>
      <c r="G5305" s="140"/>
      <c r="H5305" s="141"/>
      <c r="I5305" s="26">
        <v>39202</v>
      </c>
      <c r="J5305" s="117"/>
      <c r="K5305" s="120"/>
      <c r="L5305" s="121"/>
      <c r="M5305" s="120"/>
      <c r="N5305" s="121"/>
      <c r="O5305" s="120"/>
      <c r="P5305" s="121"/>
      <c r="Q5305" s="120"/>
      <c r="R5305" s="121"/>
      <c r="S5305" s="120"/>
      <c r="T5305" s="121"/>
      <c r="U5305" s="120"/>
      <c r="V5305" s="123"/>
      <c r="W5305" s="125"/>
      <c r="X5305" s="142" t="s">
        <v>16190</v>
      </c>
      <c r="Y5305" s="143"/>
      <c r="Z5305" s="143"/>
      <c r="AA5305" s="143"/>
      <c r="AB5305" s="144"/>
      <c r="AC5305" s="16" t="s">
        <v>21</v>
      </c>
      <c r="AD5305" s="17" t="s">
        <v>16172</v>
      </c>
      <c r="AE5305" s="145" t="s">
        <v>9056</v>
      </c>
      <c r="AF5305" s="146"/>
      <c r="AG5305" s="146"/>
      <c r="AH5305" s="146"/>
      <c r="AI5305" s="147"/>
      <c r="AJ5305" s="148"/>
      <c r="AK5305" s="143"/>
      <c r="AL5305" s="144"/>
      <c r="AM5305" s="22"/>
      <c r="AN5305" s="149" t="s">
        <v>9053</v>
      </c>
      <c r="AO5305" s="144"/>
      <c r="AP5305" s="148">
        <v>2009</v>
      </c>
      <c r="AQ5305" s="144"/>
      <c r="AR5305" s="120"/>
      <c r="AS5305" s="121"/>
      <c r="AT5305" s="120"/>
      <c r="AU5305" s="121"/>
      <c r="AV5305" s="120"/>
      <c r="AW5305" s="121"/>
      <c r="AX5305" s="120"/>
      <c r="AY5305" s="121"/>
      <c r="AZ5305" s="138"/>
    </row>
    <row r="5306" spans="1:52" ht="17.100000000000001" customHeight="1" thickTop="1">
      <c r="A5306" s="109" t="s">
        <v>15719</v>
      </c>
      <c r="B5306" s="28">
        <v>46043</v>
      </c>
      <c r="C5306" s="25">
        <v>1822</v>
      </c>
      <c r="D5306" s="13" t="s">
        <v>1712</v>
      </c>
      <c r="E5306" s="111"/>
      <c r="F5306" s="113" t="s">
        <v>9371</v>
      </c>
      <c r="G5306" s="114"/>
      <c r="H5306" s="115"/>
      <c r="I5306" s="24" t="s">
        <v>2526</v>
      </c>
      <c r="J5306" s="116">
        <v>4.5</v>
      </c>
      <c r="K5306" s="118">
        <v>701000</v>
      </c>
      <c r="L5306" s="119"/>
      <c r="M5306" s="118">
        <f t="shared" ref="M5306" si="6558">K5306*0.1</f>
        <v>70100</v>
      </c>
      <c r="N5306" s="119"/>
      <c r="O5306" s="118">
        <v>0</v>
      </c>
      <c r="P5306" s="119"/>
      <c r="Q5306" s="118">
        <v>9790</v>
      </c>
      <c r="R5306" s="119"/>
      <c r="S5306" s="118">
        <v>18150</v>
      </c>
      <c r="T5306" s="119"/>
      <c r="U5306" s="118">
        <f t="shared" ref="U5306" si="6559">SUM(K5306:T5307)</f>
        <v>799040</v>
      </c>
      <c r="V5306" s="122"/>
      <c r="W5306" s="124"/>
      <c r="X5306" s="126" t="s">
        <v>15732</v>
      </c>
      <c r="Y5306" s="127"/>
      <c r="Z5306" s="127"/>
      <c r="AA5306" s="127"/>
      <c r="AB5306" s="128"/>
      <c r="AC5306" s="15" t="s">
        <v>20</v>
      </c>
      <c r="AD5306" s="129" t="s">
        <v>2395</v>
      </c>
      <c r="AE5306" s="130"/>
      <c r="AF5306" s="130"/>
      <c r="AG5306" s="130"/>
      <c r="AH5306" s="130"/>
      <c r="AI5306" s="131"/>
      <c r="AJ5306" s="132"/>
      <c r="AK5306" s="127"/>
      <c r="AL5306" s="128"/>
      <c r="AM5306" s="21"/>
      <c r="AN5306" s="133">
        <v>46053</v>
      </c>
      <c r="AO5306" s="134"/>
      <c r="AP5306" s="135">
        <v>1286</v>
      </c>
      <c r="AQ5306" s="136"/>
      <c r="AR5306" s="118">
        <v>800000</v>
      </c>
      <c r="AS5306" s="119"/>
      <c r="AT5306" s="118">
        <f t="shared" ref="AT5306" si="6560">AR5306*0.1</f>
        <v>80000</v>
      </c>
      <c r="AU5306" s="119"/>
      <c r="AV5306" s="118">
        <v>9790</v>
      </c>
      <c r="AW5306" s="119"/>
      <c r="AX5306" s="118">
        <f t="shared" ref="AX5306" si="6561">SUM(AR5306:AW5306)</f>
        <v>889790</v>
      </c>
      <c r="AY5306" s="119"/>
      <c r="AZ5306" s="137">
        <v>46056</v>
      </c>
    </row>
    <row r="5307" spans="1:52" ht="17.100000000000001" customHeight="1" thickBot="1">
      <c r="A5307" s="110"/>
      <c r="B5307" s="27" t="s">
        <v>2559</v>
      </c>
      <c r="C5307" s="27">
        <v>3244</v>
      </c>
      <c r="D5307" s="14" t="s">
        <v>2601</v>
      </c>
      <c r="E5307" s="112"/>
      <c r="F5307" s="139" t="s">
        <v>15726</v>
      </c>
      <c r="G5307" s="140"/>
      <c r="H5307" s="141"/>
      <c r="I5307" s="26">
        <v>63298</v>
      </c>
      <c r="J5307" s="117"/>
      <c r="K5307" s="120"/>
      <c r="L5307" s="121"/>
      <c r="M5307" s="120"/>
      <c r="N5307" s="121"/>
      <c r="O5307" s="120"/>
      <c r="P5307" s="121"/>
      <c r="Q5307" s="120"/>
      <c r="R5307" s="121"/>
      <c r="S5307" s="120"/>
      <c r="T5307" s="121"/>
      <c r="U5307" s="120"/>
      <c r="V5307" s="123"/>
      <c r="W5307" s="125"/>
      <c r="X5307" s="142" t="s">
        <v>16356</v>
      </c>
      <c r="Y5307" s="143"/>
      <c r="Z5307" s="143"/>
      <c r="AA5307" s="143"/>
      <c r="AB5307" s="144"/>
      <c r="AC5307" s="16" t="s">
        <v>21</v>
      </c>
      <c r="AD5307" s="17" t="s">
        <v>1837</v>
      </c>
      <c r="AE5307" s="145" t="s">
        <v>171</v>
      </c>
      <c r="AF5307" s="146"/>
      <c r="AG5307" s="146"/>
      <c r="AH5307" s="146"/>
      <c r="AI5307" s="147"/>
      <c r="AJ5307" s="148"/>
      <c r="AK5307" s="143"/>
      <c r="AL5307" s="144"/>
      <c r="AM5307" s="22"/>
      <c r="AN5307" s="149" t="s">
        <v>2511</v>
      </c>
      <c r="AO5307" s="144"/>
      <c r="AP5307" s="148">
        <v>60186</v>
      </c>
      <c r="AQ5307" s="144"/>
      <c r="AR5307" s="120"/>
      <c r="AS5307" s="121"/>
      <c r="AT5307" s="120"/>
      <c r="AU5307" s="121"/>
      <c r="AV5307" s="120"/>
      <c r="AW5307" s="121"/>
      <c r="AX5307" s="120"/>
      <c r="AY5307" s="121"/>
      <c r="AZ5307" s="138"/>
    </row>
    <row r="5308" spans="1:52" ht="17.100000000000001" customHeight="1" thickTop="1">
      <c r="A5308" s="109" t="s">
        <v>15720</v>
      </c>
      <c r="B5308" s="28">
        <v>46043</v>
      </c>
      <c r="C5308" s="25">
        <v>1822</v>
      </c>
      <c r="D5308" s="13" t="s">
        <v>818</v>
      </c>
      <c r="E5308" s="111"/>
      <c r="F5308" s="113" t="s">
        <v>15733</v>
      </c>
      <c r="G5308" s="114"/>
      <c r="H5308" s="115"/>
      <c r="I5308" s="24" t="s">
        <v>1559</v>
      </c>
      <c r="J5308" s="116">
        <v>4.5</v>
      </c>
      <c r="K5308" s="118">
        <v>675000</v>
      </c>
      <c r="L5308" s="119"/>
      <c r="M5308" s="118">
        <f t="shared" ref="M5308" si="6562">K5308*0.1</f>
        <v>67500</v>
      </c>
      <c r="N5308" s="119"/>
      <c r="O5308" s="118">
        <v>5500</v>
      </c>
      <c r="P5308" s="119"/>
      <c r="Q5308" s="118">
        <v>11810</v>
      </c>
      <c r="R5308" s="119"/>
      <c r="S5308" s="118">
        <v>18150</v>
      </c>
      <c r="T5308" s="119"/>
      <c r="U5308" s="118">
        <f t="shared" ref="U5308" si="6563">SUM(K5308:T5309)</f>
        <v>777960</v>
      </c>
      <c r="V5308" s="122"/>
      <c r="W5308" s="124"/>
      <c r="X5308" s="126" t="s">
        <v>15734</v>
      </c>
      <c r="Y5308" s="127"/>
      <c r="Z5308" s="127"/>
      <c r="AA5308" s="127"/>
      <c r="AB5308" s="128"/>
      <c r="AC5308" s="15" t="s">
        <v>20</v>
      </c>
      <c r="AD5308" s="129" t="s">
        <v>1605</v>
      </c>
      <c r="AE5308" s="130"/>
      <c r="AF5308" s="130"/>
      <c r="AG5308" s="130"/>
      <c r="AH5308" s="130"/>
      <c r="AI5308" s="131"/>
      <c r="AJ5308" s="132"/>
      <c r="AK5308" s="127"/>
      <c r="AL5308" s="128"/>
      <c r="AM5308" s="21"/>
      <c r="AN5308" s="133">
        <v>46060</v>
      </c>
      <c r="AO5308" s="134"/>
      <c r="AP5308" s="135">
        <v>1287</v>
      </c>
      <c r="AQ5308" s="136"/>
      <c r="AR5308" s="118">
        <v>700000</v>
      </c>
      <c r="AS5308" s="119"/>
      <c r="AT5308" s="118">
        <f t="shared" ref="AT5308" si="6564">AR5308*0.1</f>
        <v>70000</v>
      </c>
      <c r="AU5308" s="119"/>
      <c r="AV5308" s="118">
        <v>11810</v>
      </c>
      <c r="AW5308" s="119"/>
      <c r="AX5308" s="118">
        <f t="shared" ref="AX5308" si="6565">SUM(AR5308:AW5308)</f>
        <v>781810</v>
      </c>
      <c r="AY5308" s="119"/>
      <c r="AZ5308" s="137">
        <v>46063</v>
      </c>
    </row>
    <row r="5309" spans="1:52" ht="17.100000000000001" customHeight="1" thickBot="1">
      <c r="A5309" s="110"/>
      <c r="B5309" s="27" t="s">
        <v>2559</v>
      </c>
      <c r="C5309" s="27">
        <v>38085</v>
      </c>
      <c r="D5309" s="14" t="s">
        <v>904</v>
      </c>
      <c r="E5309" s="112"/>
      <c r="F5309" s="139" t="s">
        <v>15727</v>
      </c>
      <c r="G5309" s="140"/>
      <c r="H5309" s="141"/>
      <c r="I5309" s="26">
        <v>52301</v>
      </c>
      <c r="J5309" s="117"/>
      <c r="K5309" s="120"/>
      <c r="L5309" s="121"/>
      <c r="M5309" s="120"/>
      <c r="N5309" s="121"/>
      <c r="O5309" s="120"/>
      <c r="P5309" s="121"/>
      <c r="Q5309" s="120"/>
      <c r="R5309" s="121"/>
      <c r="S5309" s="120"/>
      <c r="T5309" s="121"/>
      <c r="U5309" s="120"/>
      <c r="V5309" s="123"/>
      <c r="W5309" s="125"/>
      <c r="X5309" s="142" t="s">
        <v>15742</v>
      </c>
      <c r="Y5309" s="143"/>
      <c r="Z5309" s="143"/>
      <c r="AA5309" s="143"/>
      <c r="AB5309" s="144"/>
      <c r="AC5309" s="16" t="s">
        <v>21</v>
      </c>
      <c r="AD5309" s="17" t="s">
        <v>15708</v>
      </c>
      <c r="AE5309" s="145" t="s">
        <v>13447</v>
      </c>
      <c r="AF5309" s="146"/>
      <c r="AG5309" s="146"/>
      <c r="AH5309" s="146"/>
      <c r="AI5309" s="147"/>
      <c r="AJ5309" s="148"/>
      <c r="AK5309" s="143"/>
      <c r="AL5309" s="144"/>
      <c r="AM5309" s="22"/>
      <c r="AN5309" s="149" t="s">
        <v>2511</v>
      </c>
      <c r="AO5309" s="144"/>
      <c r="AP5309" s="148">
        <v>80241</v>
      </c>
      <c r="AQ5309" s="144"/>
      <c r="AR5309" s="120"/>
      <c r="AS5309" s="121"/>
      <c r="AT5309" s="120"/>
      <c r="AU5309" s="121"/>
      <c r="AV5309" s="120"/>
      <c r="AW5309" s="121"/>
      <c r="AX5309" s="120"/>
      <c r="AY5309" s="121"/>
      <c r="AZ5309" s="138"/>
    </row>
    <row r="5310" spans="1:52" ht="17.100000000000001" customHeight="1" thickTop="1">
      <c r="A5310" s="109" t="s">
        <v>15721</v>
      </c>
      <c r="B5310" s="28">
        <v>46043</v>
      </c>
      <c r="C5310" s="25">
        <v>1822</v>
      </c>
      <c r="D5310" s="13" t="s">
        <v>1537</v>
      </c>
      <c r="E5310" s="111"/>
      <c r="F5310" s="113" t="s">
        <v>15728</v>
      </c>
      <c r="G5310" s="114"/>
      <c r="H5310" s="115"/>
      <c r="I5310" s="24"/>
      <c r="J5310" s="116">
        <v>4</v>
      </c>
      <c r="K5310" s="118">
        <v>480000</v>
      </c>
      <c r="L5310" s="119"/>
      <c r="M5310" s="118">
        <f t="shared" ref="M5310" si="6566">K5310*0.1</f>
        <v>48000</v>
      </c>
      <c r="N5310" s="119"/>
      <c r="O5310" s="118">
        <v>0</v>
      </c>
      <c r="P5310" s="119"/>
      <c r="Q5310" s="118">
        <v>12860</v>
      </c>
      <c r="R5310" s="119"/>
      <c r="S5310" s="118">
        <v>18150</v>
      </c>
      <c r="T5310" s="119"/>
      <c r="U5310" s="118">
        <f t="shared" ref="U5310" si="6567">SUM(K5310:T5311)</f>
        <v>559010</v>
      </c>
      <c r="V5310" s="122"/>
      <c r="W5310" s="124"/>
      <c r="X5310" s="126" t="s">
        <v>16366</v>
      </c>
      <c r="Y5310" s="127"/>
      <c r="Z5310" s="127"/>
      <c r="AA5310" s="127"/>
      <c r="AB5310" s="128"/>
      <c r="AC5310" s="15" t="s">
        <v>20</v>
      </c>
      <c r="AD5310" s="129"/>
      <c r="AE5310" s="130"/>
      <c r="AF5310" s="130"/>
      <c r="AG5310" s="130"/>
      <c r="AH5310" s="130"/>
      <c r="AI5310" s="131"/>
      <c r="AJ5310" s="132"/>
      <c r="AK5310" s="127"/>
      <c r="AL5310" s="128"/>
      <c r="AM5310" s="21"/>
      <c r="AN5310" s="133">
        <v>46046</v>
      </c>
      <c r="AO5310" s="134"/>
      <c r="AP5310" s="135">
        <v>1285</v>
      </c>
      <c r="AQ5310" s="136"/>
      <c r="AR5310" s="118">
        <v>580000</v>
      </c>
      <c r="AS5310" s="119"/>
      <c r="AT5310" s="118">
        <f t="shared" ref="AT5310" si="6568">AR5310*0.1</f>
        <v>58000</v>
      </c>
      <c r="AU5310" s="119"/>
      <c r="AV5310" s="118">
        <v>12860</v>
      </c>
      <c r="AW5310" s="119"/>
      <c r="AX5310" s="118">
        <f t="shared" ref="AX5310" si="6569">SUM(AR5310:AW5310)</f>
        <v>650860</v>
      </c>
      <c r="AY5310" s="119"/>
      <c r="AZ5310" s="137">
        <v>46056</v>
      </c>
    </row>
    <row r="5311" spans="1:52" ht="17.100000000000001" customHeight="1" thickBot="1">
      <c r="A5311" s="110"/>
      <c r="B5311" s="27" t="s">
        <v>2559</v>
      </c>
      <c r="C5311" s="27">
        <v>38109</v>
      </c>
      <c r="D5311" s="14" t="s">
        <v>904</v>
      </c>
      <c r="E5311" s="112"/>
      <c r="F5311" s="139" t="s">
        <v>15729</v>
      </c>
      <c r="G5311" s="140"/>
      <c r="H5311" s="141"/>
      <c r="I5311" s="26">
        <v>56400</v>
      </c>
      <c r="J5311" s="117"/>
      <c r="K5311" s="120"/>
      <c r="L5311" s="121"/>
      <c r="M5311" s="120"/>
      <c r="N5311" s="121"/>
      <c r="O5311" s="120"/>
      <c r="P5311" s="121"/>
      <c r="Q5311" s="120"/>
      <c r="R5311" s="121"/>
      <c r="S5311" s="120"/>
      <c r="T5311" s="121"/>
      <c r="U5311" s="120"/>
      <c r="V5311" s="123"/>
      <c r="W5311" s="125"/>
      <c r="X5311" s="142" t="s">
        <v>2918</v>
      </c>
      <c r="Y5311" s="143"/>
      <c r="Z5311" s="143"/>
      <c r="AA5311" s="143"/>
      <c r="AB5311" s="144"/>
      <c r="AC5311" s="16" t="s">
        <v>21</v>
      </c>
      <c r="AD5311" s="17" t="s">
        <v>1837</v>
      </c>
      <c r="AE5311" s="145" t="s">
        <v>16113</v>
      </c>
      <c r="AF5311" s="146"/>
      <c r="AG5311" s="146"/>
      <c r="AH5311" s="146"/>
      <c r="AI5311" s="147"/>
      <c r="AJ5311" s="148"/>
      <c r="AK5311" s="143"/>
      <c r="AL5311" s="144"/>
      <c r="AM5311" s="22"/>
      <c r="AN5311" s="149" t="s">
        <v>6748</v>
      </c>
      <c r="AO5311" s="144"/>
      <c r="AP5311" s="148">
        <v>80370</v>
      </c>
      <c r="AQ5311" s="144"/>
      <c r="AR5311" s="120"/>
      <c r="AS5311" s="121"/>
      <c r="AT5311" s="120"/>
      <c r="AU5311" s="121"/>
      <c r="AV5311" s="120"/>
      <c r="AW5311" s="121"/>
      <c r="AX5311" s="120"/>
      <c r="AY5311" s="121"/>
      <c r="AZ5311" s="138"/>
    </row>
    <row r="5312" spans="1:52" ht="17.100000000000001" customHeight="1" thickTop="1">
      <c r="A5312" s="109" t="s">
        <v>15722</v>
      </c>
      <c r="B5312" s="28">
        <v>46044</v>
      </c>
      <c r="C5312" s="25">
        <v>1315</v>
      </c>
      <c r="D5312" s="13" t="s">
        <v>2359</v>
      </c>
      <c r="E5312" s="111"/>
      <c r="F5312" s="113" t="s">
        <v>15735</v>
      </c>
      <c r="G5312" s="114"/>
      <c r="H5312" s="115"/>
      <c r="I5312" s="24"/>
      <c r="J5312" s="116">
        <v>4.5</v>
      </c>
      <c r="K5312" s="118">
        <v>1790000</v>
      </c>
      <c r="L5312" s="119"/>
      <c r="M5312" s="118">
        <f t="shared" ref="M5312" si="6570">K5312*0.1</f>
        <v>179000</v>
      </c>
      <c r="N5312" s="119"/>
      <c r="O5312" s="118">
        <v>0</v>
      </c>
      <c r="P5312" s="119"/>
      <c r="Q5312" s="118">
        <v>19040</v>
      </c>
      <c r="R5312" s="119"/>
      <c r="S5312" s="118">
        <v>16500</v>
      </c>
      <c r="T5312" s="119"/>
      <c r="U5312" s="118">
        <f t="shared" ref="U5312" si="6571">SUM(K5312:T5313)</f>
        <v>2004540</v>
      </c>
      <c r="V5312" s="122"/>
      <c r="W5312" s="124"/>
      <c r="X5312" s="126" t="s">
        <v>15743</v>
      </c>
      <c r="Y5312" s="127"/>
      <c r="Z5312" s="127"/>
      <c r="AA5312" s="127"/>
      <c r="AB5312" s="128"/>
      <c r="AC5312" s="15" t="s">
        <v>20</v>
      </c>
      <c r="AD5312" s="129"/>
      <c r="AE5312" s="130"/>
      <c r="AF5312" s="130"/>
      <c r="AG5312" s="130"/>
      <c r="AH5312" s="130"/>
      <c r="AI5312" s="131"/>
      <c r="AJ5312" s="132"/>
      <c r="AK5312" s="127"/>
      <c r="AL5312" s="128"/>
      <c r="AM5312" s="21"/>
      <c r="AN5312" s="133">
        <v>46088</v>
      </c>
      <c r="AO5312" s="134"/>
      <c r="AP5312" s="135">
        <v>1291</v>
      </c>
      <c r="AQ5312" s="136"/>
      <c r="AR5312" s="118">
        <v>1930000</v>
      </c>
      <c r="AS5312" s="119"/>
      <c r="AT5312" s="118">
        <f t="shared" ref="AT5312" si="6572">AR5312*0.1</f>
        <v>193000</v>
      </c>
      <c r="AU5312" s="119"/>
      <c r="AV5312" s="118">
        <v>19040</v>
      </c>
      <c r="AW5312" s="119"/>
      <c r="AX5312" s="118">
        <f t="shared" ref="AX5312" si="6573">SUM(AR5312:AW5312)</f>
        <v>2142040</v>
      </c>
      <c r="AY5312" s="119"/>
      <c r="AZ5312" s="137">
        <v>46091</v>
      </c>
    </row>
    <row r="5313" spans="1:52" ht="17.100000000000001" customHeight="1" thickBot="1">
      <c r="A5313" s="110"/>
      <c r="B5313" s="27" t="s">
        <v>13663</v>
      </c>
      <c r="C5313" s="27">
        <v>521</v>
      </c>
      <c r="D5313" s="14" t="s">
        <v>1592</v>
      </c>
      <c r="E5313" s="112"/>
      <c r="F5313" s="139" t="s">
        <v>15736</v>
      </c>
      <c r="G5313" s="140"/>
      <c r="H5313" s="141"/>
      <c r="I5313" s="26">
        <v>74629</v>
      </c>
      <c r="J5313" s="117"/>
      <c r="K5313" s="120"/>
      <c r="L5313" s="121"/>
      <c r="M5313" s="120"/>
      <c r="N5313" s="121"/>
      <c r="O5313" s="120"/>
      <c r="P5313" s="121"/>
      <c r="Q5313" s="120"/>
      <c r="R5313" s="121"/>
      <c r="S5313" s="120"/>
      <c r="T5313" s="121"/>
      <c r="U5313" s="120"/>
      <c r="V5313" s="123"/>
      <c r="W5313" s="125"/>
      <c r="X5313" s="142" t="s">
        <v>5009</v>
      </c>
      <c r="Y5313" s="143"/>
      <c r="Z5313" s="143"/>
      <c r="AA5313" s="143"/>
      <c r="AB5313" s="144"/>
      <c r="AC5313" s="16" t="s">
        <v>21</v>
      </c>
      <c r="AD5313" s="17" t="s">
        <v>15708</v>
      </c>
      <c r="AE5313" s="145" t="s">
        <v>2832</v>
      </c>
      <c r="AF5313" s="146"/>
      <c r="AG5313" s="146"/>
      <c r="AH5313" s="146"/>
      <c r="AI5313" s="147"/>
      <c r="AJ5313" s="148"/>
      <c r="AK5313" s="143"/>
      <c r="AL5313" s="144"/>
      <c r="AM5313" s="22"/>
      <c r="AN5313" s="149" t="s">
        <v>2511</v>
      </c>
      <c r="AO5313" s="144"/>
      <c r="AP5313" s="148">
        <v>80178</v>
      </c>
      <c r="AQ5313" s="144"/>
      <c r="AR5313" s="120"/>
      <c r="AS5313" s="121"/>
      <c r="AT5313" s="120"/>
      <c r="AU5313" s="121"/>
      <c r="AV5313" s="120"/>
      <c r="AW5313" s="121"/>
      <c r="AX5313" s="120"/>
      <c r="AY5313" s="121"/>
      <c r="AZ5313" s="138"/>
    </row>
    <row r="5314" spans="1:52" ht="17.100000000000001" customHeight="1" thickTop="1">
      <c r="A5314" s="109" t="s">
        <v>15723</v>
      </c>
      <c r="B5314" s="28">
        <v>46044</v>
      </c>
      <c r="C5314" s="25">
        <v>1315</v>
      </c>
      <c r="D5314" s="13" t="s">
        <v>2298</v>
      </c>
      <c r="E5314" s="111"/>
      <c r="F5314" s="113" t="s">
        <v>15738</v>
      </c>
      <c r="G5314" s="114"/>
      <c r="H5314" s="115"/>
      <c r="I5314" s="24"/>
      <c r="J5314" s="116">
        <v>4.5</v>
      </c>
      <c r="K5314" s="118">
        <v>1610000</v>
      </c>
      <c r="L5314" s="119"/>
      <c r="M5314" s="118">
        <f t="shared" ref="M5314" si="6574">K5314*0.1</f>
        <v>161000</v>
      </c>
      <c r="N5314" s="119"/>
      <c r="O5314" s="118">
        <v>0</v>
      </c>
      <c r="P5314" s="119"/>
      <c r="Q5314" s="118">
        <v>21200</v>
      </c>
      <c r="R5314" s="119"/>
      <c r="S5314" s="118">
        <v>16500</v>
      </c>
      <c r="T5314" s="119"/>
      <c r="U5314" s="118">
        <f t="shared" ref="U5314" si="6575">SUM(K5314:T5315)</f>
        <v>1808700</v>
      </c>
      <c r="V5314" s="122"/>
      <c r="W5314" s="124"/>
      <c r="X5314" s="126" t="s">
        <v>16363</v>
      </c>
      <c r="Y5314" s="127"/>
      <c r="Z5314" s="127"/>
      <c r="AA5314" s="127"/>
      <c r="AB5314" s="128"/>
      <c r="AC5314" s="15" t="s">
        <v>20</v>
      </c>
      <c r="AD5314" s="129" t="s">
        <v>15739</v>
      </c>
      <c r="AE5314" s="130"/>
      <c r="AF5314" s="130"/>
      <c r="AG5314" s="130"/>
      <c r="AH5314" s="130"/>
      <c r="AI5314" s="131"/>
      <c r="AJ5314" s="132"/>
      <c r="AK5314" s="127"/>
      <c r="AL5314" s="128"/>
      <c r="AM5314" s="21"/>
      <c r="AN5314" s="133">
        <v>46067</v>
      </c>
      <c r="AO5314" s="134"/>
      <c r="AP5314" s="135">
        <v>1288</v>
      </c>
      <c r="AQ5314" s="136"/>
      <c r="AR5314" s="118">
        <v>1750000</v>
      </c>
      <c r="AS5314" s="119"/>
      <c r="AT5314" s="118">
        <f t="shared" ref="AT5314" si="6576">AR5314*0.1</f>
        <v>175000</v>
      </c>
      <c r="AU5314" s="119"/>
      <c r="AV5314" s="118">
        <v>21220</v>
      </c>
      <c r="AW5314" s="119"/>
      <c r="AX5314" s="118">
        <f t="shared" ref="AX5314" si="6577">SUM(AR5314:AW5314)</f>
        <v>1946220</v>
      </c>
      <c r="AY5314" s="119"/>
      <c r="AZ5314" s="137">
        <v>46071</v>
      </c>
    </row>
    <row r="5315" spans="1:52" ht="17.100000000000001" customHeight="1" thickBot="1">
      <c r="A5315" s="110"/>
      <c r="B5315" s="27" t="s">
        <v>13663</v>
      </c>
      <c r="C5315" s="27">
        <v>536</v>
      </c>
      <c r="D5315" s="14" t="s">
        <v>275</v>
      </c>
      <c r="E5315" s="112"/>
      <c r="F5315" s="139" t="s">
        <v>15737</v>
      </c>
      <c r="G5315" s="140"/>
      <c r="H5315" s="141"/>
      <c r="I5315" s="26">
        <v>46552</v>
      </c>
      <c r="J5315" s="117"/>
      <c r="K5315" s="120"/>
      <c r="L5315" s="121"/>
      <c r="M5315" s="120"/>
      <c r="N5315" s="121"/>
      <c r="O5315" s="120"/>
      <c r="P5315" s="121"/>
      <c r="Q5315" s="120"/>
      <c r="R5315" s="121"/>
      <c r="S5315" s="120"/>
      <c r="T5315" s="121"/>
      <c r="U5315" s="120"/>
      <c r="V5315" s="123"/>
      <c r="W5315" s="125"/>
      <c r="X5315" s="142" t="s">
        <v>11808</v>
      </c>
      <c r="Y5315" s="143"/>
      <c r="Z5315" s="143"/>
      <c r="AA5315" s="143"/>
      <c r="AB5315" s="144"/>
      <c r="AC5315" s="16" t="s">
        <v>21</v>
      </c>
      <c r="AD5315" s="17" t="s">
        <v>1837</v>
      </c>
      <c r="AE5315" s="145" t="s">
        <v>16364</v>
      </c>
      <c r="AF5315" s="146"/>
      <c r="AG5315" s="146"/>
      <c r="AH5315" s="146"/>
      <c r="AI5315" s="147"/>
      <c r="AJ5315" s="148"/>
      <c r="AK5315" s="143"/>
      <c r="AL5315" s="144"/>
      <c r="AM5315" s="22"/>
      <c r="AN5315" s="149" t="s">
        <v>6748</v>
      </c>
      <c r="AO5315" s="144"/>
      <c r="AP5315" s="148">
        <v>80159</v>
      </c>
      <c r="AQ5315" s="144"/>
      <c r="AR5315" s="120"/>
      <c r="AS5315" s="121"/>
      <c r="AT5315" s="120"/>
      <c r="AU5315" s="121"/>
      <c r="AV5315" s="120"/>
      <c r="AW5315" s="121"/>
      <c r="AX5315" s="120"/>
      <c r="AY5315" s="121"/>
      <c r="AZ5315" s="138"/>
    </row>
    <row r="5316" spans="1:52" ht="17.100000000000001" customHeight="1" thickTop="1">
      <c r="A5316" s="109" t="s">
        <v>15724</v>
      </c>
      <c r="B5316" s="28">
        <v>46044</v>
      </c>
      <c r="C5316" s="25">
        <v>1315</v>
      </c>
      <c r="D5316" s="13" t="s">
        <v>2359</v>
      </c>
      <c r="E5316" s="111"/>
      <c r="F5316" s="113" t="s">
        <v>15740</v>
      </c>
      <c r="G5316" s="114"/>
      <c r="H5316" s="115"/>
      <c r="I5316" s="24"/>
      <c r="J5316" s="116">
        <v>4.5</v>
      </c>
      <c r="K5316" s="118">
        <v>2570000</v>
      </c>
      <c r="L5316" s="119"/>
      <c r="M5316" s="118">
        <f t="shared" ref="M5316" si="6578">K5316*0.1</f>
        <v>257000</v>
      </c>
      <c r="N5316" s="119"/>
      <c r="O5316" s="118">
        <v>0</v>
      </c>
      <c r="P5316" s="119"/>
      <c r="Q5316" s="118">
        <v>11110</v>
      </c>
      <c r="R5316" s="119"/>
      <c r="S5316" s="118">
        <v>18700</v>
      </c>
      <c r="T5316" s="119"/>
      <c r="U5316" s="118">
        <f t="shared" ref="U5316" si="6579">SUM(K5316:T5317)</f>
        <v>2856810</v>
      </c>
      <c r="V5316" s="122"/>
      <c r="W5316" s="124"/>
      <c r="X5316" s="126" t="s">
        <v>16094</v>
      </c>
      <c r="Y5316" s="127"/>
      <c r="Z5316" s="127"/>
      <c r="AA5316" s="127"/>
      <c r="AB5316" s="128"/>
      <c r="AC5316" s="15" t="s">
        <v>20</v>
      </c>
      <c r="AD5316" s="129" t="s">
        <v>186</v>
      </c>
      <c r="AE5316" s="130"/>
      <c r="AF5316" s="130"/>
      <c r="AG5316" s="130"/>
      <c r="AH5316" s="130"/>
      <c r="AI5316" s="131"/>
      <c r="AJ5316" s="132"/>
      <c r="AK5316" s="127"/>
      <c r="AL5316" s="128"/>
      <c r="AM5316" s="21"/>
      <c r="AN5316" s="133">
        <v>46057</v>
      </c>
      <c r="AO5316" s="134"/>
      <c r="AP5316" s="135"/>
      <c r="AQ5316" s="136"/>
      <c r="AR5316" s="118">
        <v>2750000</v>
      </c>
      <c r="AS5316" s="119"/>
      <c r="AT5316" s="118">
        <f t="shared" ref="AT5316" si="6580">AR5316*0.1</f>
        <v>275000</v>
      </c>
      <c r="AU5316" s="119"/>
      <c r="AV5316" s="118">
        <v>11110</v>
      </c>
      <c r="AW5316" s="119"/>
      <c r="AX5316" s="118">
        <f t="shared" ref="AX5316" si="6581">SUM(AR5316:AW5316)</f>
        <v>3036110</v>
      </c>
      <c r="AY5316" s="119"/>
      <c r="AZ5316" s="137"/>
    </row>
    <row r="5317" spans="1:52" ht="17.100000000000001" customHeight="1" thickBot="1">
      <c r="A5317" s="110"/>
      <c r="B5317" s="27" t="s">
        <v>13663</v>
      </c>
      <c r="C5317" s="27">
        <v>590</v>
      </c>
      <c r="D5317" s="14" t="s">
        <v>1592</v>
      </c>
      <c r="E5317" s="112"/>
      <c r="F5317" s="139" t="s">
        <v>15741</v>
      </c>
      <c r="G5317" s="140"/>
      <c r="H5317" s="141"/>
      <c r="I5317" s="26">
        <v>76241</v>
      </c>
      <c r="J5317" s="117"/>
      <c r="K5317" s="120"/>
      <c r="L5317" s="121"/>
      <c r="M5317" s="120"/>
      <c r="N5317" s="121"/>
      <c r="O5317" s="120"/>
      <c r="P5317" s="121"/>
      <c r="Q5317" s="120"/>
      <c r="R5317" s="121"/>
      <c r="S5317" s="120"/>
      <c r="T5317" s="121"/>
      <c r="U5317" s="120"/>
      <c r="V5317" s="123"/>
      <c r="W5317" s="125"/>
      <c r="X5317" s="142" t="s">
        <v>5009</v>
      </c>
      <c r="Y5317" s="143"/>
      <c r="Z5317" s="143"/>
      <c r="AA5317" s="143"/>
      <c r="AB5317" s="144"/>
      <c r="AC5317" s="16" t="s">
        <v>21</v>
      </c>
      <c r="AD5317" s="17" t="s">
        <v>2644</v>
      </c>
      <c r="AE5317" s="145" t="s">
        <v>16095</v>
      </c>
      <c r="AF5317" s="146"/>
      <c r="AG5317" s="146"/>
      <c r="AH5317" s="146"/>
      <c r="AI5317" s="147"/>
      <c r="AJ5317" s="148"/>
      <c r="AK5317" s="143"/>
      <c r="AL5317" s="144"/>
      <c r="AM5317" s="22"/>
      <c r="AN5317" s="149" t="s">
        <v>6789</v>
      </c>
      <c r="AO5317" s="144"/>
      <c r="AP5317" s="148">
        <v>51000</v>
      </c>
      <c r="AQ5317" s="144"/>
      <c r="AR5317" s="120"/>
      <c r="AS5317" s="121"/>
      <c r="AT5317" s="120"/>
      <c r="AU5317" s="121"/>
      <c r="AV5317" s="120"/>
      <c r="AW5317" s="121"/>
      <c r="AX5317" s="120"/>
      <c r="AY5317" s="121"/>
      <c r="AZ5317" s="138"/>
    </row>
    <row r="5318" spans="1:52" ht="17.100000000000001" customHeight="1" thickTop="1">
      <c r="A5318" s="109" t="s">
        <v>15774</v>
      </c>
      <c r="B5318" s="28">
        <v>46044</v>
      </c>
      <c r="C5318" s="25">
        <v>2011</v>
      </c>
      <c r="D5318" s="13" t="s">
        <v>3536</v>
      </c>
      <c r="E5318" s="111"/>
      <c r="F5318" s="113" t="s">
        <v>15964</v>
      </c>
      <c r="G5318" s="114"/>
      <c r="H5318" s="115"/>
      <c r="I5318" s="24" t="s">
        <v>2526</v>
      </c>
      <c r="J5318" s="116">
        <v>4.5</v>
      </c>
      <c r="K5318" s="118">
        <v>943000</v>
      </c>
      <c r="L5318" s="119"/>
      <c r="M5318" s="118">
        <f t="shared" ref="M5318" si="6582">K5318*0.1</f>
        <v>94300</v>
      </c>
      <c r="N5318" s="119"/>
      <c r="O5318" s="118">
        <v>6270</v>
      </c>
      <c r="P5318" s="119"/>
      <c r="Q5318" s="118">
        <v>9130</v>
      </c>
      <c r="R5318" s="119"/>
      <c r="S5318" s="118">
        <v>22000</v>
      </c>
      <c r="T5318" s="119"/>
      <c r="U5318" s="118">
        <f t="shared" ref="U5318" si="6583">SUM(K5318:T5319)</f>
        <v>1074700</v>
      </c>
      <c r="V5318" s="122"/>
      <c r="W5318" s="124"/>
      <c r="X5318" s="126" t="s">
        <v>15965</v>
      </c>
      <c r="Y5318" s="127"/>
      <c r="Z5318" s="127"/>
      <c r="AA5318" s="127"/>
      <c r="AB5318" s="128"/>
      <c r="AC5318" s="15" t="s">
        <v>20</v>
      </c>
      <c r="AD5318" s="129" t="s">
        <v>1670</v>
      </c>
      <c r="AE5318" s="130"/>
      <c r="AF5318" s="130"/>
      <c r="AG5318" s="130"/>
      <c r="AH5318" s="130"/>
      <c r="AI5318" s="131"/>
      <c r="AJ5318" s="132" t="s">
        <v>17417</v>
      </c>
      <c r="AK5318" s="127"/>
      <c r="AL5318" s="128"/>
      <c r="AM5318" s="21"/>
      <c r="AN5318" s="133">
        <v>46050</v>
      </c>
      <c r="AO5318" s="134"/>
      <c r="AP5318" s="135">
        <v>1002</v>
      </c>
      <c r="AQ5318" s="136"/>
      <c r="AR5318" s="118">
        <v>980000</v>
      </c>
      <c r="AS5318" s="119"/>
      <c r="AT5318" s="118">
        <f t="shared" ref="AT5318" si="6584">AR5318*0.1</f>
        <v>98000</v>
      </c>
      <c r="AU5318" s="119"/>
      <c r="AV5318" s="118">
        <v>9130</v>
      </c>
      <c r="AW5318" s="119"/>
      <c r="AX5318" s="118">
        <f t="shared" ref="AX5318" si="6585">SUM(AR5318:AW5318)</f>
        <v>1087130</v>
      </c>
      <c r="AY5318" s="119"/>
      <c r="AZ5318" s="137">
        <v>46055</v>
      </c>
    </row>
    <row r="5319" spans="1:52" ht="17.100000000000001" customHeight="1" thickBot="1">
      <c r="A5319" s="110"/>
      <c r="B5319" s="27" t="s">
        <v>2727</v>
      </c>
      <c r="C5319" s="27">
        <v>10030</v>
      </c>
      <c r="D5319" s="14" t="s">
        <v>2601</v>
      </c>
      <c r="E5319" s="112"/>
      <c r="F5319" s="139" t="s">
        <v>15789</v>
      </c>
      <c r="G5319" s="140"/>
      <c r="H5319" s="141"/>
      <c r="I5319" s="26">
        <v>56086</v>
      </c>
      <c r="J5319" s="117"/>
      <c r="K5319" s="120"/>
      <c r="L5319" s="121"/>
      <c r="M5319" s="120"/>
      <c r="N5319" s="121"/>
      <c r="O5319" s="120"/>
      <c r="P5319" s="121"/>
      <c r="Q5319" s="120"/>
      <c r="R5319" s="121"/>
      <c r="S5319" s="120"/>
      <c r="T5319" s="121"/>
      <c r="U5319" s="120"/>
      <c r="V5319" s="123"/>
      <c r="W5319" s="125"/>
      <c r="X5319" s="142" t="s">
        <v>2321</v>
      </c>
      <c r="Y5319" s="143"/>
      <c r="Z5319" s="143"/>
      <c r="AA5319" s="143"/>
      <c r="AB5319" s="144"/>
      <c r="AC5319" s="16" t="s">
        <v>21</v>
      </c>
      <c r="AD5319" s="17" t="s">
        <v>1837</v>
      </c>
      <c r="AE5319" s="145" t="s">
        <v>17416</v>
      </c>
      <c r="AF5319" s="146"/>
      <c r="AG5319" s="146"/>
      <c r="AH5319" s="146"/>
      <c r="AI5319" s="147"/>
      <c r="AJ5319" s="148" t="s">
        <v>16336</v>
      </c>
      <c r="AK5319" s="143"/>
      <c r="AL5319" s="144"/>
      <c r="AM5319" s="22"/>
      <c r="AN5319" s="149" t="s">
        <v>2794</v>
      </c>
      <c r="AO5319" s="144"/>
      <c r="AP5319" s="148">
        <v>5079</v>
      </c>
      <c r="AQ5319" s="144"/>
      <c r="AR5319" s="120"/>
      <c r="AS5319" s="121"/>
      <c r="AT5319" s="120"/>
      <c r="AU5319" s="121"/>
      <c r="AV5319" s="120"/>
      <c r="AW5319" s="121"/>
      <c r="AX5319" s="120"/>
      <c r="AY5319" s="121"/>
      <c r="AZ5319" s="138"/>
    </row>
    <row r="5320" spans="1:52" ht="17.100000000000001" customHeight="1" thickTop="1">
      <c r="A5320" s="109" t="s">
        <v>15775</v>
      </c>
      <c r="B5320" s="28">
        <v>46044</v>
      </c>
      <c r="C5320" s="25">
        <v>2011</v>
      </c>
      <c r="D5320" s="13" t="s">
        <v>2179</v>
      </c>
      <c r="E5320" s="111"/>
      <c r="F5320" s="113" t="s">
        <v>15966</v>
      </c>
      <c r="G5320" s="114"/>
      <c r="H5320" s="115"/>
      <c r="I5320" s="24"/>
      <c r="J5320" s="116">
        <v>4</v>
      </c>
      <c r="K5320" s="118">
        <v>1031000</v>
      </c>
      <c r="L5320" s="119"/>
      <c r="M5320" s="118">
        <f t="shared" ref="M5320" si="6586">K5320*0.1</f>
        <v>103100</v>
      </c>
      <c r="N5320" s="119"/>
      <c r="O5320" s="118">
        <v>0</v>
      </c>
      <c r="P5320" s="119"/>
      <c r="Q5320" s="118">
        <v>10780</v>
      </c>
      <c r="R5320" s="119"/>
      <c r="S5320" s="118">
        <v>22000</v>
      </c>
      <c r="T5320" s="119"/>
      <c r="U5320" s="118">
        <f t="shared" ref="U5320" si="6587">SUM(K5320:T5321)</f>
        <v>1166880</v>
      </c>
      <c r="V5320" s="122"/>
      <c r="W5320" s="124"/>
      <c r="X5320" s="126" t="s">
        <v>16377</v>
      </c>
      <c r="Y5320" s="127"/>
      <c r="Z5320" s="127"/>
      <c r="AA5320" s="127"/>
      <c r="AB5320" s="128"/>
      <c r="AC5320" s="15" t="s">
        <v>20</v>
      </c>
      <c r="AD5320" s="129" t="s">
        <v>15967</v>
      </c>
      <c r="AE5320" s="130"/>
      <c r="AF5320" s="130"/>
      <c r="AG5320" s="130"/>
      <c r="AH5320" s="130"/>
      <c r="AI5320" s="131"/>
      <c r="AJ5320" s="132"/>
      <c r="AK5320" s="127"/>
      <c r="AL5320" s="128"/>
      <c r="AM5320" s="21"/>
      <c r="AN5320" s="133">
        <v>46074</v>
      </c>
      <c r="AO5320" s="134"/>
      <c r="AP5320" s="135">
        <v>1289</v>
      </c>
      <c r="AQ5320" s="136"/>
      <c r="AR5320" s="118">
        <v>1075000</v>
      </c>
      <c r="AS5320" s="119"/>
      <c r="AT5320" s="118">
        <f t="shared" ref="AT5320" si="6588">AR5320*0.1</f>
        <v>107500</v>
      </c>
      <c r="AU5320" s="119"/>
      <c r="AV5320" s="118">
        <v>10780</v>
      </c>
      <c r="AW5320" s="119"/>
      <c r="AX5320" s="118">
        <f t="shared" ref="AX5320" si="6589">SUM(AR5320:AW5320)</f>
        <v>1193280</v>
      </c>
      <c r="AY5320" s="119"/>
      <c r="AZ5320" s="137">
        <v>46077</v>
      </c>
    </row>
    <row r="5321" spans="1:52" ht="17.100000000000001" customHeight="1" thickBot="1">
      <c r="A5321" s="110"/>
      <c r="B5321" s="27" t="s">
        <v>2727</v>
      </c>
      <c r="C5321" s="27">
        <v>30058</v>
      </c>
      <c r="D5321" s="14" t="s">
        <v>275</v>
      </c>
      <c r="E5321" s="112"/>
      <c r="F5321" s="139" t="s">
        <v>15790</v>
      </c>
      <c r="G5321" s="140"/>
      <c r="H5321" s="141"/>
      <c r="I5321" s="26">
        <v>27943</v>
      </c>
      <c r="J5321" s="117"/>
      <c r="K5321" s="120"/>
      <c r="L5321" s="121"/>
      <c r="M5321" s="120"/>
      <c r="N5321" s="121"/>
      <c r="O5321" s="120"/>
      <c r="P5321" s="121"/>
      <c r="Q5321" s="120"/>
      <c r="R5321" s="121"/>
      <c r="S5321" s="120"/>
      <c r="T5321" s="121"/>
      <c r="U5321" s="120"/>
      <c r="V5321" s="123"/>
      <c r="W5321" s="125"/>
      <c r="X5321" s="142" t="s">
        <v>2729</v>
      </c>
      <c r="Y5321" s="143"/>
      <c r="Z5321" s="143"/>
      <c r="AA5321" s="143"/>
      <c r="AB5321" s="144"/>
      <c r="AC5321" s="16" t="s">
        <v>21</v>
      </c>
      <c r="AD5321" s="17" t="s">
        <v>1837</v>
      </c>
      <c r="AE5321" s="145" t="s">
        <v>10515</v>
      </c>
      <c r="AF5321" s="146"/>
      <c r="AG5321" s="146"/>
      <c r="AH5321" s="146"/>
      <c r="AI5321" s="147"/>
      <c r="AJ5321" s="148"/>
      <c r="AK5321" s="143"/>
      <c r="AL5321" s="144"/>
      <c r="AM5321" s="22"/>
      <c r="AN5321" s="149" t="s">
        <v>2511</v>
      </c>
      <c r="AO5321" s="144"/>
      <c r="AP5321" s="148">
        <v>141</v>
      </c>
      <c r="AQ5321" s="144"/>
      <c r="AR5321" s="120"/>
      <c r="AS5321" s="121"/>
      <c r="AT5321" s="120"/>
      <c r="AU5321" s="121"/>
      <c r="AV5321" s="120"/>
      <c r="AW5321" s="121"/>
      <c r="AX5321" s="120"/>
      <c r="AY5321" s="121"/>
      <c r="AZ5321" s="138"/>
    </row>
    <row r="5322" spans="1:52" ht="17.100000000000001" customHeight="1" thickTop="1">
      <c r="A5322" s="109" t="s">
        <v>15776</v>
      </c>
      <c r="B5322" s="28">
        <v>46044</v>
      </c>
      <c r="C5322" s="25">
        <v>2011</v>
      </c>
      <c r="D5322" s="13" t="s">
        <v>818</v>
      </c>
      <c r="E5322" s="111"/>
      <c r="F5322" s="113" t="s">
        <v>15968</v>
      </c>
      <c r="G5322" s="114"/>
      <c r="H5322" s="115"/>
      <c r="I5322" s="24"/>
      <c r="J5322" s="116">
        <v>4</v>
      </c>
      <c r="K5322" s="118">
        <v>1815000</v>
      </c>
      <c r="L5322" s="119"/>
      <c r="M5322" s="118">
        <f t="shared" ref="M5322" si="6590">K5322*0.1</f>
        <v>181500</v>
      </c>
      <c r="N5322" s="119"/>
      <c r="O5322" s="118">
        <v>0</v>
      </c>
      <c r="P5322" s="119"/>
      <c r="Q5322" s="118">
        <v>9440</v>
      </c>
      <c r="R5322" s="119"/>
      <c r="S5322" s="118">
        <v>22000</v>
      </c>
      <c r="T5322" s="119"/>
      <c r="U5322" s="118">
        <f t="shared" ref="U5322" si="6591">SUM(K5322:T5323)</f>
        <v>2027940</v>
      </c>
      <c r="V5322" s="122"/>
      <c r="W5322" s="124"/>
      <c r="X5322" s="126" t="s">
        <v>16378</v>
      </c>
      <c r="Y5322" s="127"/>
      <c r="Z5322" s="127"/>
      <c r="AA5322" s="127"/>
      <c r="AB5322" s="128"/>
      <c r="AC5322" s="15" t="s">
        <v>20</v>
      </c>
      <c r="AD5322" s="129" t="s">
        <v>15208</v>
      </c>
      <c r="AE5322" s="130"/>
      <c r="AF5322" s="130"/>
      <c r="AG5322" s="130"/>
      <c r="AH5322" s="130"/>
      <c r="AI5322" s="131"/>
      <c r="AJ5322" s="132"/>
      <c r="AK5322" s="127"/>
      <c r="AL5322" s="128"/>
      <c r="AM5322" s="21"/>
      <c r="AN5322" s="133">
        <v>46057</v>
      </c>
      <c r="AO5322" s="134"/>
      <c r="AP5322" s="135">
        <v>1003</v>
      </c>
      <c r="AQ5322" s="136"/>
      <c r="AR5322" s="118">
        <v>2000000</v>
      </c>
      <c r="AS5322" s="119"/>
      <c r="AT5322" s="118">
        <f t="shared" ref="AT5322" si="6592">AR5322*0.1</f>
        <v>200000</v>
      </c>
      <c r="AU5322" s="119"/>
      <c r="AV5322" s="118">
        <v>9440</v>
      </c>
      <c r="AW5322" s="119"/>
      <c r="AX5322" s="118">
        <f t="shared" ref="AX5322" si="6593">SUM(AR5322:AW5322)</f>
        <v>2209440</v>
      </c>
      <c r="AY5322" s="119"/>
      <c r="AZ5322" s="137">
        <v>46063</v>
      </c>
    </row>
    <row r="5323" spans="1:52" ht="17.100000000000001" customHeight="1" thickBot="1">
      <c r="A5323" s="110"/>
      <c r="B5323" s="27" t="s">
        <v>2727</v>
      </c>
      <c r="C5323" s="27">
        <v>30112</v>
      </c>
      <c r="D5323" s="14" t="s">
        <v>2601</v>
      </c>
      <c r="E5323" s="112"/>
      <c r="F5323" s="139" t="s">
        <v>15791</v>
      </c>
      <c r="G5323" s="140"/>
      <c r="H5323" s="141"/>
      <c r="I5323" s="26">
        <v>38364</v>
      </c>
      <c r="J5323" s="117"/>
      <c r="K5323" s="120"/>
      <c r="L5323" s="121"/>
      <c r="M5323" s="120"/>
      <c r="N5323" s="121"/>
      <c r="O5323" s="120"/>
      <c r="P5323" s="121"/>
      <c r="Q5323" s="120"/>
      <c r="R5323" s="121"/>
      <c r="S5323" s="120"/>
      <c r="T5323" s="121"/>
      <c r="U5323" s="120"/>
      <c r="V5323" s="123"/>
      <c r="W5323" s="125"/>
      <c r="X5323" s="142" t="s">
        <v>16379</v>
      </c>
      <c r="Y5323" s="143"/>
      <c r="Z5323" s="143"/>
      <c r="AA5323" s="143"/>
      <c r="AB5323" s="144"/>
      <c r="AC5323" s="16" t="s">
        <v>21</v>
      </c>
      <c r="AD5323" s="17" t="s">
        <v>1837</v>
      </c>
      <c r="AE5323" s="145" t="s">
        <v>4453</v>
      </c>
      <c r="AF5323" s="146"/>
      <c r="AG5323" s="146"/>
      <c r="AH5323" s="146"/>
      <c r="AI5323" s="147"/>
      <c r="AJ5323" s="148"/>
      <c r="AK5323" s="143"/>
      <c r="AL5323" s="144"/>
      <c r="AM5323" s="22"/>
      <c r="AN5323" s="149" t="s">
        <v>7285</v>
      </c>
      <c r="AO5323" s="144"/>
      <c r="AP5323" s="148">
        <v>6029</v>
      </c>
      <c r="AQ5323" s="144"/>
      <c r="AR5323" s="120"/>
      <c r="AS5323" s="121"/>
      <c r="AT5323" s="120"/>
      <c r="AU5323" s="121"/>
      <c r="AV5323" s="120"/>
      <c r="AW5323" s="121"/>
      <c r="AX5323" s="120"/>
      <c r="AY5323" s="121"/>
      <c r="AZ5323" s="138"/>
    </row>
    <row r="5324" spans="1:52" ht="17.100000000000001" customHeight="1" thickTop="1">
      <c r="A5324" s="109" t="s">
        <v>15777</v>
      </c>
      <c r="B5324" s="28">
        <v>46044</v>
      </c>
      <c r="C5324" s="25">
        <v>2011</v>
      </c>
      <c r="D5324" s="13" t="s">
        <v>2584</v>
      </c>
      <c r="E5324" s="111"/>
      <c r="F5324" s="113" t="s">
        <v>15969</v>
      </c>
      <c r="G5324" s="114"/>
      <c r="H5324" s="115"/>
      <c r="I5324" s="24" t="s">
        <v>4096</v>
      </c>
      <c r="J5324" s="116">
        <v>4</v>
      </c>
      <c r="K5324" s="118">
        <v>1197000</v>
      </c>
      <c r="L5324" s="119"/>
      <c r="M5324" s="118">
        <f t="shared" ref="M5324" si="6594">K5324*0.1</f>
        <v>119700</v>
      </c>
      <c r="N5324" s="119"/>
      <c r="O5324" s="118">
        <v>7150</v>
      </c>
      <c r="P5324" s="119"/>
      <c r="Q5324" s="118">
        <v>11480</v>
      </c>
      <c r="R5324" s="119"/>
      <c r="S5324" s="118">
        <v>22000</v>
      </c>
      <c r="T5324" s="119"/>
      <c r="U5324" s="118">
        <f t="shared" ref="U5324" si="6595">SUM(K5324:T5325)</f>
        <v>1357330</v>
      </c>
      <c r="V5324" s="122"/>
      <c r="W5324" s="124"/>
      <c r="X5324" s="126" t="s">
        <v>15970</v>
      </c>
      <c r="Y5324" s="127"/>
      <c r="Z5324" s="127"/>
      <c r="AA5324" s="127"/>
      <c r="AB5324" s="128"/>
      <c r="AC5324" s="15" t="s">
        <v>20</v>
      </c>
      <c r="AD5324" s="129" t="s">
        <v>3828</v>
      </c>
      <c r="AE5324" s="130"/>
      <c r="AF5324" s="130"/>
      <c r="AG5324" s="130"/>
      <c r="AH5324" s="130"/>
      <c r="AI5324" s="131"/>
      <c r="AJ5324" s="132"/>
      <c r="AK5324" s="127"/>
      <c r="AL5324" s="128"/>
      <c r="AM5324" s="21" t="s">
        <v>18043</v>
      </c>
      <c r="AN5324" s="133">
        <v>46102</v>
      </c>
      <c r="AO5324" s="134"/>
      <c r="AP5324" s="135">
        <v>1293</v>
      </c>
      <c r="AQ5324" s="136"/>
      <c r="AR5324" s="118">
        <v>1250000</v>
      </c>
      <c r="AS5324" s="119"/>
      <c r="AT5324" s="118">
        <f t="shared" ref="AT5324" si="6596">AR5324*0.1</f>
        <v>125000</v>
      </c>
      <c r="AU5324" s="119"/>
      <c r="AV5324" s="118">
        <v>11480</v>
      </c>
      <c r="AW5324" s="119"/>
      <c r="AX5324" s="118">
        <f t="shared" ref="AX5324" si="6597">SUM(AR5324:AW5324)</f>
        <v>1386480</v>
      </c>
      <c r="AY5324" s="119"/>
      <c r="AZ5324" s="137">
        <v>46105</v>
      </c>
    </row>
    <row r="5325" spans="1:52" ht="17.100000000000001" customHeight="1" thickBot="1">
      <c r="A5325" s="110"/>
      <c r="B5325" s="27" t="s">
        <v>2727</v>
      </c>
      <c r="C5325" s="27">
        <v>30142</v>
      </c>
      <c r="D5325" s="14" t="s">
        <v>1720</v>
      </c>
      <c r="E5325" s="112"/>
      <c r="F5325" s="139" t="s">
        <v>15792</v>
      </c>
      <c r="G5325" s="140"/>
      <c r="H5325" s="141"/>
      <c r="I5325" s="26">
        <v>58332</v>
      </c>
      <c r="J5325" s="117"/>
      <c r="K5325" s="120"/>
      <c r="L5325" s="121"/>
      <c r="M5325" s="120"/>
      <c r="N5325" s="121"/>
      <c r="O5325" s="120"/>
      <c r="P5325" s="121"/>
      <c r="Q5325" s="120"/>
      <c r="R5325" s="121"/>
      <c r="S5325" s="120"/>
      <c r="T5325" s="121"/>
      <c r="U5325" s="120"/>
      <c r="V5325" s="123"/>
      <c r="W5325" s="125"/>
      <c r="X5325" s="142" t="s">
        <v>16380</v>
      </c>
      <c r="Y5325" s="143"/>
      <c r="Z5325" s="143"/>
      <c r="AA5325" s="143"/>
      <c r="AB5325" s="144"/>
      <c r="AC5325" s="16" t="s">
        <v>21</v>
      </c>
      <c r="AD5325" s="17" t="s">
        <v>1837</v>
      </c>
      <c r="AE5325" s="145" t="s">
        <v>1742</v>
      </c>
      <c r="AF5325" s="146"/>
      <c r="AG5325" s="146"/>
      <c r="AH5325" s="146"/>
      <c r="AI5325" s="147"/>
      <c r="AJ5325" s="148"/>
      <c r="AK5325" s="143"/>
      <c r="AL5325" s="144"/>
      <c r="AM5325" s="22"/>
      <c r="AN5325" s="149" t="s">
        <v>2511</v>
      </c>
      <c r="AO5325" s="144"/>
      <c r="AP5325" s="148">
        <v>13203</v>
      </c>
      <c r="AQ5325" s="144"/>
      <c r="AR5325" s="120"/>
      <c r="AS5325" s="121"/>
      <c r="AT5325" s="120"/>
      <c r="AU5325" s="121"/>
      <c r="AV5325" s="120"/>
      <c r="AW5325" s="121"/>
      <c r="AX5325" s="120"/>
      <c r="AY5325" s="121"/>
      <c r="AZ5325" s="138"/>
    </row>
    <row r="5326" spans="1:52" ht="17.100000000000001" customHeight="1" thickTop="1">
      <c r="A5326" s="109" t="s">
        <v>15778</v>
      </c>
      <c r="B5326" s="28">
        <v>46044</v>
      </c>
      <c r="C5326" s="25">
        <v>2011</v>
      </c>
      <c r="D5326" s="13" t="s">
        <v>1688</v>
      </c>
      <c r="E5326" s="111"/>
      <c r="F5326" s="113" t="s">
        <v>15793</v>
      </c>
      <c r="G5326" s="114"/>
      <c r="H5326" s="115"/>
      <c r="I5326" s="24" t="s">
        <v>2152</v>
      </c>
      <c r="J5326" s="116">
        <v>4.5</v>
      </c>
      <c r="K5326" s="118">
        <v>794000</v>
      </c>
      <c r="L5326" s="119"/>
      <c r="M5326" s="118">
        <f t="shared" ref="M5326" si="6598">K5326*0.1</f>
        <v>79400</v>
      </c>
      <c r="N5326" s="119"/>
      <c r="O5326" s="118">
        <v>0</v>
      </c>
      <c r="P5326" s="119"/>
      <c r="Q5326" s="118">
        <v>6860</v>
      </c>
      <c r="R5326" s="119"/>
      <c r="S5326" s="118">
        <v>22000</v>
      </c>
      <c r="T5326" s="119"/>
      <c r="U5326" s="118">
        <f t="shared" ref="U5326" si="6599">SUM(K5326:T5327)</f>
        <v>902260</v>
      </c>
      <c r="V5326" s="122"/>
      <c r="W5326" s="124"/>
      <c r="X5326" s="126" t="s">
        <v>15971</v>
      </c>
      <c r="Y5326" s="127"/>
      <c r="Z5326" s="127"/>
      <c r="AA5326" s="127"/>
      <c r="AB5326" s="128"/>
      <c r="AC5326" s="15" t="s">
        <v>20</v>
      </c>
      <c r="AD5326" s="129"/>
      <c r="AE5326" s="130"/>
      <c r="AF5326" s="130"/>
      <c r="AG5326" s="130"/>
      <c r="AH5326" s="130"/>
      <c r="AI5326" s="131"/>
      <c r="AJ5326" s="132"/>
      <c r="AK5326" s="127"/>
      <c r="AL5326" s="128"/>
      <c r="AM5326" s="21" t="s">
        <v>16991</v>
      </c>
      <c r="AN5326" s="133">
        <v>46057</v>
      </c>
      <c r="AO5326" s="134"/>
      <c r="AP5326" s="135">
        <v>1003</v>
      </c>
      <c r="AQ5326" s="136"/>
      <c r="AR5326" s="118">
        <v>850000</v>
      </c>
      <c r="AS5326" s="119"/>
      <c r="AT5326" s="118">
        <f t="shared" ref="AT5326" si="6600">AR5326*0.1</f>
        <v>85000</v>
      </c>
      <c r="AU5326" s="119"/>
      <c r="AV5326" s="118">
        <v>6860</v>
      </c>
      <c r="AW5326" s="119"/>
      <c r="AX5326" s="118">
        <f t="shared" ref="AX5326" si="6601">SUM(AR5326:AW5326)</f>
        <v>941860</v>
      </c>
      <c r="AY5326" s="119"/>
      <c r="AZ5326" s="137">
        <v>46063</v>
      </c>
    </row>
    <row r="5327" spans="1:52" ht="17.100000000000001" customHeight="1" thickBot="1">
      <c r="A5327" s="110"/>
      <c r="B5327" s="27" t="s">
        <v>2727</v>
      </c>
      <c r="C5327" s="27">
        <v>50031</v>
      </c>
      <c r="D5327" s="14" t="s">
        <v>1720</v>
      </c>
      <c r="E5327" s="112"/>
      <c r="F5327" s="139" t="s">
        <v>15794</v>
      </c>
      <c r="G5327" s="140"/>
      <c r="H5327" s="141"/>
      <c r="I5327" s="26">
        <v>3250</v>
      </c>
      <c r="J5327" s="117"/>
      <c r="K5327" s="120"/>
      <c r="L5327" s="121"/>
      <c r="M5327" s="120"/>
      <c r="N5327" s="121"/>
      <c r="O5327" s="120"/>
      <c r="P5327" s="121"/>
      <c r="Q5327" s="120"/>
      <c r="R5327" s="121"/>
      <c r="S5327" s="120"/>
      <c r="T5327" s="121"/>
      <c r="U5327" s="120"/>
      <c r="V5327" s="123"/>
      <c r="W5327" s="125"/>
      <c r="X5327" s="142" t="s">
        <v>16348</v>
      </c>
      <c r="Y5327" s="143"/>
      <c r="Z5327" s="143"/>
      <c r="AA5327" s="143"/>
      <c r="AB5327" s="144"/>
      <c r="AC5327" s="16" t="s">
        <v>21</v>
      </c>
      <c r="AD5327" s="17" t="s">
        <v>1837</v>
      </c>
      <c r="AE5327" s="145"/>
      <c r="AF5327" s="146"/>
      <c r="AG5327" s="146"/>
      <c r="AH5327" s="146"/>
      <c r="AI5327" s="147"/>
      <c r="AJ5327" s="148"/>
      <c r="AK5327" s="143"/>
      <c r="AL5327" s="144"/>
      <c r="AM5327" s="22"/>
      <c r="AN5327" s="149" t="s">
        <v>2794</v>
      </c>
      <c r="AO5327" s="144"/>
      <c r="AP5327" s="148">
        <v>2070</v>
      </c>
      <c r="AQ5327" s="144"/>
      <c r="AR5327" s="120"/>
      <c r="AS5327" s="121"/>
      <c r="AT5327" s="120"/>
      <c r="AU5327" s="121"/>
      <c r="AV5327" s="120"/>
      <c r="AW5327" s="121"/>
      <c r="AX5327" s="120"/>
      <c r="AY5327" s="121"/>
      <c r="AZ5327" s="138"/>
    </row>
    <row r="5328" spans="1:52" ht="17.100000000000001" customHeight="1" thickTop="1">
      <c r="A5328" s="109" t="s">
        <v>15779</v>
      </c>
      <c r="B5328" s="28">
        <v>46044</v>
      </c>
      <c r="C5328" s="25">
        <v>2011</v>
      </c>
      <c r="D5328" s="13" t="s">
        <v>2187</v>
      </c>
      <c r="E5328" s="111"/>
      <c r="F5328" s="113" t="s">
        <v>15972</v>
      </c>
      <c r="G5328" s="114"/>
      <c r="H5328" s="115"/>
      <c r="I5328" s="24"/>
      <c r="J5328" s="116">
        <v>4</v>
      </c>
      <c r="K5328" s="118">
        <v>640000</v>
      </c>
      <c r="L5328" s="119"/>
      <c r="M5328" s="118">
        <v>0</v>
      </c>
      <c r="N5328" s="119"/>
      <c r="O5328" s="118">
        <v>0</v>
      </c>
      <c r="P5328" s="119"/>
      <c r="Q5328" s="118">
        <v>8110</v>
      </c>
      <c r="R5328" s="119"/>
      <c r="S5328" s="118">
        <v>22000</v>
      </c>
      <c r="T5328" s="119"/>
      <c r="U5328" s="118">
        <f t="shared" ref="U5328" si="6602">SUM(K5328:T5329)</f>
        <v>670110</v>
      </c>
      <c r="V5328" s="122"/>
      <c r="W5328" s="124"/>
      <c r="X5328" s="126" t="s">
        <v>16349</v>
      </c>
      <c r="Y5328" s="127"/>
      <c r="Z5328" s="127"/>
      <c r="AA5328" s="127"/>
      <c r="AB5328" s="128"/>
      <c r="AC5328" s="15" t="s">
        <v>20</v>
      </c>
      <c r="AD5328" s="129" t="s">
        <v>16170</v>
      </c>
      <c r="AE5328" s="130"/>
      <c r="AF5328" s="130"/>
      <c r="AG5328" s="130"/>
      <c r="AH5328" s="130"/>
      <c r="AI5328" s="131"/>
      <c r="AJ5328" s="132"/>
      <c r="AK5328" s="127"/>
      <c r="AL5328" s="128"/>
      <c r="AM5328" s="21"/>
      <c r="AN5328" s="133">
        <v>46057</v>
      </c>
      <c r="AO5328" s="134"/>
      <c r="AP5328" s="135">
        <v>1003</v>
      </c>
      <c r="AQ5328" s="136"/>
      <c r="AR5328" s="118">
        <v>770000</v>
      </c>
      <c r="AS5328" s="119"/>
      <c r="AT5328" s="118">
        <f t="shared" ref="AT5328" si="6603">AR5328*0.1</f>
        <v>77000</v>
      </c>
      <c r="AU5328" s="119"/>
      <c r="AV5328" s="118">
        <v>8110</v>
      </c>
      <c r="AW5328" s="119"/>
      <c r="AX5328" s="118">
        <f t="shared" ref="AX5328" si="6604">SUM(AR5328:AW5328)</f>
        <v>855110</v>
      </c>
      <c r="AY5328" s="119"/>
      <c r="AZ5328" s="137">
        <v>46063</v>
      </c>
    </row>
    <row r="5329" spans="1:52" ht="17.100000000000001" customHeight="1" thickBot="1">
      <c r="A5329" s="110"/>
      <c r="B5329" s="27" t="s">
        <v>2727</v>
      </c>
      <c r="C5329" s="27">
        <v>50100</v>
      </c>
      <c r="D5329" s="14" t="s">
        <v>1592</v>
      </c>
      <c r="E5329" s="112"/>
      <c r="F5329" s="139" t="s">
        <v>15795</v>
      </c>
      <c r="G5329" s="140"/>
      <c r="H5329" s="141"/>
      <c r="I5329" s="26">
        <v>44981</v>
      </c>
      <c r="J5329" s="117"/>
      <c r="K5329" s="120"/>
      <c r="L5329" s="121"/>
      <c r="M5329" s="120"/>
      <c r="N5329" s="121"/>
      <c r="O5329" s="120"/>
      <c r="P5329" s="121"/>
      <c r="Q5329" s="120"/>
      <c r="R5329" s="121"/>
      <c r="S5329" s="120"/>
      <c r="T5329" s="121"/>
      <c r="U5329" s="120"/>
      <c r="V5329" s="123"/>
      <c r="W5329" s="125"/>
      <c r="X5329" s="142" t="s">
        <v>3986</v>
      </c>
      <c r="Y5329" s="143"/>
      <c r="Z5329" s="143"/>
      <c r="AA5329" s="143"/>
      <c r="AB5329" s="144"/>
      <c r="AC5329" s="16" t="s">
        <v>21</v>
      </c>
      <c r="AD5329" s="17" t="s">
        <v>1837</v>
      </c>
      <c r="AE5329" s="145" t="s">
        <v>16350</v>
      </c>
      <c r="AF5329" s="146"/>
      <c r="AG5329" s="146"/>
      <c r="AH5329" s="146"/>
      <c r="AI5329" s="147"/>
      <c r="AJ5329" s="148"/>
      <c r="AK5329" s="143"/>
      <c r="AL5329" s="144"/>
      <c r="AM5329" s="22"/>
      <c r="AN5329" s="149" t="s">
        <v>7285</v>
      </c>
      <c r="AO5329" s="144"/>
      <c r="AP5329" s="148">
        <v>2036</v>
      </c>
      <c r="AQ5329" s="144"/>
      <c r="AR5329" s="120"/>
      <c r="AS5329" s="121"/>
      <c r="AT5329" s="120"/>
      <c r="AU5329" s="121"/>
      <c r="AV5329" s="120"/>
      <c r="AW5329" s="121"/>
      <c r="AX5329" s="120"/>
      <c r="AY5329" s="121"/>
      <c r="AZ5329" s="138"/>
    </row>
    <row r="5330" spans="1:52" ht="17.100000000000001" customHeight="1" thickTop="1">
      <c r="A5330" s="109" t="s">
        <v>15780</v>
      </c>
      <c r="B5330" s="28">
        <v>46044</v>
      </c>
      <c r="C5330" s="25">
        <v>2011</v>
      </c>
      <c r="D5330" s="13" t="s">
        <v>1714</v>
      </c>
      <c r="E5330" s="111"/>
      <c r="F5330" s="113" t="s">
        <v>15289</v>
      </c>
      <c r="G5330" s="114"/>
      <c r="H5330" s="115"/>
      <c r="I5330" s="24"/>
      <c r="J5330" s="116">
        <v>4</v>
      </c>
      <c r="K5330" s="118">
        <v>913000</v>
      </c>
      <c r="L5330" s="119"/>
      <c r="M5330" s="118">
        <f t="shared" ref="M5330" si="6605">K5330*0.1</f>
        <v>91300</v>
      </c>
      <c r="N5330" s="119"/>
      <c r="O5330" s="118">
        <v>0</v>
      </c>
      <c r="P5330" s="119"/>
      <c r="Q5330" s="118">
        <v>8740</v>
      </c>
      <c r="R5330" s="119"/>
      <c r="S5330" s="118">
        <v>22000</v>
      </c>
      <c r="T5330" s="119"/>
      <c r="U5330" s="118">
        <f t="shared" ref="U5330" si="6606">SUM(K5330:T5331)</f>
        <v>1035040</v>
      </c>
      <c r="V5330" s="122"/>
      <c r="W5330" s="124"/>
      <c r="X5330" s="126" t="s">
        <v>16381</v>
      </c>
      <c r="Y5330" s="127"/>
      <c r="Z5330" s="127"/>
      <c r="AA5330" s="127"/>
      <c r="AB5330" s="128"/>
      <c r="AC5330" s="15" t="s">
        <v>20</v>
      </c>
      <c r="AD5330" s="129" t="s">
        <v>15973</v>
      </c>
      <c r="AE5330" s="130"/>
      <c r="AF5330" s="130"/>
      <c r="AG5330" s="130"/>
      <c r="AH5330" s="130"/>
      <c r="AI5330" s="131"/>
      <c r="AJ5330" s="132"/>
      <c r="AK5330" s="127"/>
      <c r="AL5330" s="128"/>
      <c r="AM5330" s="21"/>
      <c r="AN5330" s="133">
        <v>46057</v>
      </c>
      <c r="AO5330" s="134"/>
      <c r="AP5330" s="135">
        <v>1003</v>
      </c>
      <c r="AQ5330" s="136"/>
      <c r="AR5330" s="118">
        <v>975000</v>
      </c>
      <c r="AS5330" s="119"/>
      <c r="AT5330" s="118">
        <f t="shared" ref="AT5330" si="6607">AR5330*0.1</f>
        <v>97500</v>
      </c>
      <c r="AU5330" s="119"/>
      <c r="AV5330" s="118">
        <v>8740</v>
      </c>
      <c r="AW5330" s="119"/>
      <c r="AX5330" s="118">
        <f t="shared" ref="AX5330" si="6608">SUM(AR5330:AW5330)</f>
        <v>1081240</v>
      </c>
      <c r="AY5330" s="119"/>
      <c r="AZ5330" s="137">
        <v>46062</v>
      </c>
    </row>
    <row r="5331" spans="1:52" ht="17.100000000000001" customHeight="1" thickBot="1">
      <c r="A5331" s="110"/>
      <c r="B5331" s="27" t="s">
        <v>2727</v>
      </c>
      <c r="C5331" s="27">
        <v>50118</v>
      </c>
      <c r="D5331" s="14" t="s">
        <v>2800</v>
      </c>
      <c r="E5331" s="112"/>
      <c r="F5331" s="139" t="s">
        <v>15796</v>
      </c>
      <c r="G5331" s="140"/>
      <c r="H5331" s="141"/>
      <c r="I5331" s="26">
        <v>55290</v>
      </c>
      <c r="J5331" s="117"/>
      <c r="K5331" s="120"/>
      <c r="L5331" s="121"/>
      <c r="M5331" s="120"/>
      <c r="N5331" s="121"/>
      <c r="O5331" s="120"/>
      <c r="P5331" s="121"/>
      <c r="Q5331" s="120"/>
      <c r="R5331" s="121"/>
      <c r="S5331" s="120"/>
      <c r="T5331" s="121"/>
      <c r="U5331" s="120"/>
      <c r="V5331" s="123"/>
      <c r="W5331" s="125"/>
      <c r="X5331" s="142" t="s">
        <v>4116</v>
      </c>
      <c r="Y5331" s="143"/>
      <c r="Z5331" s="143"/>
      <c r="AA5331" s="143"/>
      <c r="AB5331" s="144"/>
      <c r="AC5331" s="16" t="s">
        <v>21</v>
      </c>
      <c r="AD5331" s="17" t="s">
        <v>1837</v>
      </c>
      <c r="AE5331" s="145" t="s">
        <v>16382</v>
      </c>
      <c r="AF5331" s="146"/>
      <c r="AG5331" s="146"/>
      <c r="AH5331" s="146"/>
      <c r="AI5331" s="147"/>
      <c r="AJ5331" s="148"/>
      <c r="AK5331" s="143"/>
      <c r="AL5331" s="144"/>
      <c r="AM5331" s="22"/>
      <c r="AN5331" s="149" t="s">
        <v>2794</v>
      </c>
      <c r="AO5331" s="144"/>
      <c r="AP5331" s="148">
        <v>2029</v>
      </c>
      <c r="AQ5331" s="144"/>
      <c r="AR5331" s="120"/>
      <c r="AS5331" s="121"/>
      <c r="AT5331" s="120"/>
      <c r="AU5331" s="121"/>
      <c r="AV5331" s="120"/>
      <c r="AW5331" s="121"/>
      <c r="AX5331" s="120"/>
      <c r="AY5331" s="121"/>
      <c r="AZ5331" s="138"/>
    </row>
    <row r="5332" spans="1:52" ht="17.100000000000001" customHeight="1" thickTop="1">
      <c r="A5332" s="109" t="s">
        <v>15781</v>
      </c>
      <c r="B5332" s="28">
        <v>46044</v>
      </c>
      <c r="C5332" s="25">
        <v>2011</v>
      </c>
      <c r="D5332" s="13" t="s">
        <v>2963</v>
      </c>
      <c r="E5332" s="111"/>
      <c r="F5332" s="113" t="s">
        <v>15974</v>
      </c>
      <c r="G5332" s="114"/>
      <c r="H5332" s="115"/>
      <c r="I5332" s="24" t="s">
        <v>1547</v>
      </c>
      <c r="J5332" s="116">
        <v>3.5</v>
      </c>
      <c r="K5332" s="118">
        <v>838000</v>
      </c>
      <c r="L5332" s="119"/>
      <c r="M5332" s="118">
        <f t="shared" ref="M5332" si="6609">K5332*0.1</f>
        <v>83800</v>
      </c>
      <c r="N5332" s="119"/>
      <c r="O5332" s="118">
        <v>0</v>
      </c>
      <c r="P5332" s="119"/>
      <c r="Q5332" s="118">
        <v>8550</v>
      </c>
      <c r="R5332" s="119"/>
      <c r="S5332" s="118">
        <v>22000</v>
      </c>
      <c r="T5332" s="119"/>
      <c r="U5332" s="118">
        <f t="shared" ref="U5332" si="6610">SUM(K5332:T5333)</f>
        <v>952350</v>
      </c>
      <c r="V5332" s="122"/>
      <c r="W5332" s="124"/>
      <c r="X5332" s="126" t="s">
        <v>15975</v>
      </c>
      <c r="Y5332" s="127"/>
      <c r="Z5332" s="127"/>
      <c r="AA5332" s="127"/>
      <c r="AB5332" s="128"/>
      <c r="AC5332" s="15" t="s">
        <v>20</v>
      </c>
      <c r="AD5332" s="129" t="s">
        <v>3828</v>
      </c>
      <c r="AE5332" s="130"/>
      <c r="AF5332" s="130"/>
      <c r="AG5332" s="130"/>
      <c r="AH5332" s="130"/>
      <c r="AI5332" s="131"/>
      <c r="AJ5332" s="132"/>
      <c r="AK5332" s="127"/>
      <c r="AL5332" s="128"/>
      <c r="AM5332" s="21" t="s">
        <v>16989</v>
      </c>
      <c r="AN5332" s="133">
        <v>46057</v>
      </c>
      <c r="AO5332" s="134"/>
      <c r="AP5332" s="135">
        <v>1003</v>
      </c>
      <c r="AQ5332" s="136"/>
      <c r="AR5332" s="118">
        <v>845000</v>
      </c>
      <c r="AS5332" s="119"/>
      <c r="AT5332" s="118">
        <f t="shared" ref="AT5332" si="6611">AR5332*0.1</f>
        <v>84500</v>
      </c>
      <c r="AU5332" s="119"/>
      <c r="AV5332" s="118">
        <v>8550</v>
      </c>
      <c r="AW5332" s="119"/>
      <c r="AX5332" s="118">
        <f t="shared" ref="AX5332" si="6612">SUM(AR5332:AW5332)</f>
        <v>938050</v>
      </c>
      <c r="AY5332" s="119"/>
      <c r="AZ5332" s="137">
        <v>46063</v>
      </c>
    </row>
    <row r="5333" spans="1:52" ht="17.100000000000001" customHeight="1" thickBot="1">
      <c r="A5333" s="110"/>
      <c r="B5333" s="27" t="s">
        <v>2727</v>
      </c>
      <c r="C5333" s="27">
        <v>50138</v>
      </c>
      <c r="D5333" s="14" t="s">
        <v>1720</v>
      </c>
      <c r="E5333" s="112"/>
      <c r="F5333" s="139" t="s">
        <v>15797</v>
      </c>
      <c r="G5333" s="140"/>
      <c r="H5333" s="141"/>
      <c r="I5333" s="26">
        <v>26208</v>
      </c>
      <c r="J5333" s="117"/>
      <c r="K5333" s="120"/>
      <c r="L5333" s="121"/>
      <c r="M5333" s="120"/>
      <c r="N5333" s="121"/>
      <c r="O5333" s="120"/>
      <c r="P5333" s="121"/>
      <c r="Q5333" s="120"/>
      <c r="R5333" s="121"/>
      <c r="S5333" s="120"/>
      <c r="T5333" s="121"/>
      <c r="U5333" s="120"/>
      <c r="V5333" s="123"/>
      <c r="W5333" s="125"/>
      <c r="X5333" s="142" t="s">
        <v>3329</v>
      </c>
      <c r="Y5333" s="143"/>
      <c r="Z5333" s="143"/>
      <c r="AA5333" s="143"/>
      <c r="AB5333" s="144"/>
      <c r="AC5333" s="16" t="s">
        <v>21</v>
      </c>
      <c r="AD5333" s="17" t="s">
        <v>1837</v>
      </c>
      <c r="AE5333" s="145" t="s">
        <v>1742</v>
      </c>
      <c r="AF5333" s="146"/>
      <c r="AG5333" s="146"/>
      <c r="AH5333" s="146"/>
      <c r="AI5333" s="147"/>
      <c r="AJ5333" s="148"/>
      <c r="AK5333" s="143"/>
      <c r="AL5333" s="144"/>
      <c r="AM5333" s="22"/>
      <c r="AN5333" s="149" t="s">
        <v>2794</v>
      </c>
      <c r="AO5333" s="144"/>
      <c r="AP5333" s="148">
        <v>2071</v>
      </c>
      <c r="AQ5333" s="144"/>
      <c r="AR5333" s="120"/>
      <c r="AS5333" s="121"/>
      <c r="AT5333" s="120"/>
      <c r="AU5333" s="121"/>
      <c r="AV5333" s="120"/>
      <c r="AW5333" s="121"/>
      <c r="AX5333" s="120"/>
      <c r="AY5333" s="121"/>
      <c r="AZ5333" s="138"/>
    </row>
    <row r="5334" spans="1:52" ht="17.100000000000001" customHeight="1" thickTop="1">
      <c r="A5334" s="109" t="s">
        <v>15782</v>
      </c>
      <c r="B5334" s="28">
        <v>46044</v>
      </c>
      <c r="C5334" s="25">
        <v>2011</v>
      </c>
      <c r="D5334" s="13" t="s">
        <v>2737</v>
      </c>
      <c r="E5334" s="111"/>
      <c r="F5334" s="113" t="s">
        <v>15976</v>
      </c>
      <c r="G5334" s="114"/>
      <c r="H5334" s="115"/>
      <c r="I5334" s="24" t="s">
        <v>15978</v>
      </c>
      <c r="J5334" s="116">
        <v>4</v>
      </c>
      <c r="K5334" s="118">
        <v>712000</v>
      </c>
      <c r="L5334" s="119"/>
      <c r="M5334" s="118">
        <f t="shared" ref="M5334" si="6613">K5334*0.1</f>
        <v>71200</v>
      </c>
      <c r="N5334" s="119"/>
      <c r="O5334" s="118">
        <v>0</v>
      </c>
      <c r="P5334" s="119"/>
      <c r="Q5334" s="118">
        <v>8010</v>
      </c>
      <c r="R5334" s="119"/>
      <c r="S5334" s="118">
        <v>22000</v>
      </c>
      <c r="T5334" s="119"/>
      <c r="U5334" s="118">
        <f t="shared" ref="U5334" si="6614">SUM(K5334:T5335)</f>
        <v>813210</v>
      </c>
      <c r="V5334" s="122"/>
      <c r="W5334" s="124"/>
      <c r="X5334" s="126" t="s">
        <v>15977</v>
      </c>
      <c r="Y5334" s="127"/>
      <c r="Z5334" s="127"/>
      <c r="AA5334" s="127"/>
      <c r="AB5334" s="128"/>
      <c r="AC5334" s="15" t="s">
        <v>20</v>
      </c>
      <c r="AD5334" s="129" t="s">
        <v>3828</v>
      </c>
      <c r="AE5334" s="130"/>
      <c r="AF5334" s="130"/>
      <c r="AG5334" s="130"/>
      <c r="AH5334" s="130"/>
      <c r="AI5334" s="131"/>
      <c r="AJ5334" s="132"/>
      <c r="AK5334" s="127"/>
      <c r="AL5334" s="128"/>
      <c r="AM5334" s="21" t="s">
        <v>18034</v>
      </c>
      <c r="AN5334" s="133">
        <v>46071</v>
      </c>
      <c r="AO5334" s="134"/>
      <c r="AP5334" s="135">
        <v>1005</v>
      </c>
      <c r="AQ5334" s="136"/>
      <c r="AR5334" s="118">
        <v>780000</v>
      </c>
      <c r="AS5334" s="119"/>
      <c r="AT5334" s="118">
        <f t="shared" ref="AT5334" si="6615">AR5334*0.1</f>
        <v>78000</v>
      </c>
      <c r="AU5334" s="119"/>
      <c r="AV5334" s="118">
        <v>8010</v>
      </c>
      <c r="AW5334" s="119"/>
      <c r="AX5334" s="118">
        <f t="shared" ref="AX5334" si="6616">SUM(AR5334:AW5334)</f>
        <v>866010</v>
      </c>
      <c r="AY5334" s="119"/>
      <c r="AZ5334" s="137">
        <v>46073</v>
      </c>
    </row>
    <row r="5335" spans="1:52" ht="17.100000000000001" customHeight="1" thickBot="1">
      <c r="A5335" s="110"/>
      <c r="B5335" s="27" t="s">
        <v>2727</v>
      </c>
      <c r="C5335" s="27">
        <v>50162</v>
      </c>
      <c r="D5335" s="14" t="s">
        <v>1592</v>
      </c>
      <c r="E5335" s="112"/>
      <c r="F5335" s="139" t="s">
        <v>15798</v>
      </c>
      <c r="G5335" s="140"/>
      <c r="H5335" s="141"/>
      <c r="I5335" s="26">
        <v>55887</v>
      </c>
      <c r="J5335" s="117"/>
      <c r="K5335" s="120"/>
      <c r="L5335" s="121"/>
      <c r="M5335" s="120"/>
      <c r="N5335" s="121"/>
      <c r="O5335" s="120"/>
      <c r="P5335" s="121"/>
      <c r="Q5335" s="120"/>
      <c r="R5335" s="121"/>
      <c r="S5335" s="120"/>
      <c r="T5335" s="121"/>
      <c r="U5335" s="120"/>
      <c r="V5335" s="123"/>
      <c r="W5335" s="125"/>
      <c r="X5335" s="142" t="s">
        <v>4681</v>
      </c>
      <c r="Y5335" s="143"/>
      <c r="Z5335" s="143"/>
      <c r="AA5335" s="143"/>
      <c r="AB5335" s="144"/>
      <c r="AC5335" s="16" t="s">
        <v>21</v>
      </c>
      <c r="AD5335" s="17" t="s">
        <v>1837</v>
      </c>
      <c r="AE5335" s="145" t="s">
        <v>1633</v>
      </c>
      <c r="AF5335" s="146"/>
      <c r="AG5335" s="146"/>
      <c r="AH5335" s="146"/>
      <c r="AI5335" s="147"/>
      <c r="AJ5335" s="148"/>
      <c r="AK5335" s="143"/>
      <c r="AL5335" s="144"/>
      <c r="AM5335" s="22"/>
      <c r="AN5335" s="149" t="s">
        <v>2794</v>
      </c>
      <c r="AO5335" s="144"/>
      <c r="AP5335" s="148">
        <v>2050</v>
      </c>
      <c r="AQ5335" s="144"/>
      <c r="AR5335" s="120"/>
      <c r="AS5335" s="121"/>
      <c r="AT5335" s="120"/>
      <c r="AU5335" s="121"/>
      <c r="AV5335" s="120"/>
      <c r="AW5335" s="121"/>
      <c r="AX5335" s="120"/>
      <c r="AY5335" s="121"/>
      <c r="AZ5335" s="138"/>
    </row>
    <row r="5336" spans="1:52" ht="17.100000000000001" customHeight="1" thickTop="1">
      <c r="A5336" s="109" t="s">
        <v>15783</v>
      </c>
      <c r="B5336" s="28">
        <v>46044</v>
      </c>
      <c r="C5336" s="25">
        <v>2011</v>
      </c>
      <c r="D5336" s="13" t="s">
        <v>1902</v>
      </c>
      <c r="E5336" s="111"/>
      <c r="F5336" s="113" t="s">
        <v>15979</v>
      </c>
      <c r="G5336" s="114"/>
      <c r="H5336" s="115"/>
      <c r="I5336" s="24"/>
      <c r="J5336" s="116">
        <v>4</v>
      </c>
      <c r="K5336" s="118">
        <v>406000</v>
      </c>
      <c r="L5336" s="119"/>
      <c r="M5336" s="118">
        <f t="shared" ref="M5336" si="6617">K5336*0.1</f>
        <v>40600</v>
      </c>
      <c r="N5336" s="119"/>
      <c r="O5336" s="118">
        <v>0</v>
      </c>
      <c r="P5336" s="119"/>
      <c r="Q5336" s="118">
        <v>6230</v>
      </c>
      <c r="R5336" s="119"/>
      <c r="S5336" s="118">
        <v>22000</v>
      </c>
      <c r="T5336" s="119"/>
      <c r="U5336" s="118">
        <f t="shared" ref="U5336" si="6618">SUM(K5336:T5337)</f>
        <v>474830</v>
      </c>
      <c r="V5336" s="122"/>
      <c r="W5336" s="124"/>
      <c r="X5336" s="126" t="s">
        <v>16347</v>
      </c>
      <c r="Y5336" s="127"/>
      <c r="Z5336" s="127"/>
      <c r="AA5336" s="127"/>
      <c r="AB5336" s="128"/>
      <c r="AC5336" s="15" t="s">
        <v>20</v>
      </c>
      <c r="AD5336" s="129" t="s">
        <v>1670</v>
      </c>
      <c r="AE5336" s="130"/>
      <c r="AF5336" s="130"/>
      <c r="AG5336" s="130"/>
      <c r="AH5336" s="130"/>
      <c r="AI5336" s="131"/>
      <c r="AJ5336" s="132"/>
      <c r="AK5336" s="127"/>
      <c r="AL5336" s="128"/>
      <c r="AM5336" s="21"/>
      <c r="AN5336" s="133">
        <v>46057</v>
      </c>
      <c r="AO5336" s="134"/>
      <c r="AP5336" s="135">
        <v>1003</v>
      </c>
      <c r="AQ5336" s="136"/>
      <c r="AR5336" s="118">
        <v>485000</v>
      </c>
      <c r="AS5336" s="119"/>
      <c r="AT5336" s="118">
        <f t="shared" ref="AT5336" si="6619">AR5336*0.1</f>
        <v>48500</v>
      </c>
      <c r="AU5336" s="119"/>
      <c r="AV5336" s="118">
        <v>6230</v>
      </c>
      <c r="AW5336" s="119"/>
      <c r="AX5336" s="118">
        <f t="shared" ref="AX5336" si="6620">SUM(AR5336:AW5336)</f>
        <v>539730</v>
      </c>
      <c r="AY5336" s="119"/>
      <c r="AZ5336" s="137">
        <v>46062</v>
      </c>
    </row>
    <row r="5337" spans="1:52" ht="17.100000000000001" customHeight="1" thickBot="1">
      <c r="A5337" s="110"/>
      <c r="B5337" s="27" t="s">
        <v>2727</v>
      </c>
      <c r="C5337" s="27">
        <v>50170</v>
      </c>
      <c r="D5337" s="14" t="s">
        <v>1592</v>
      </c>
      <c r="E5337" s="112"/>
      <c r="F5337" s="139" t="s">
        <v>15799</v>
      </c>
      <c r="G5337" s="140"/>
      <c r="H5337" s="141"/>
      <c r="I5337" s="26">
        <v>51429</v>
      </c>
      <c r="J5337" s="117"/>
      <c r="K5337" s="120"/>
      <c r="L5337" s="121"/>
      <c r="M5337" s="120"/>
      <c r="N5337" s="121"/>
      <c r="O5337" s="120"/>
      <c r="P5337" s="121"/>
      <c r="Q5337" s="120"/>
      <c r="R5337" s="121"/>
      <c r="S5337" s="120"/>
      <c r="T5337" s="121"/>
      <c r="U5337" s="120"/>
      <c r="V5337" s="123"/>
      <c r="W5337" s="125"/>
      <c r="X5337" s="142" t="s">
        <v>3986</v>
      </c>
      <c r="Y5337" s="143"/>
      <c r="Z5337" s="143"/>
      <c r="AA5337" s="143"/>
      <c r="AB5337" s="144"/>
      <c r="AC5337" s="16" t="s">
        <v>21</v>
      </c>
      <c r="AD5337" s="17" t="s">
        <v>1837</v>
      </c>
      <c r="AE5337" s="145" t="s">
        <v>1670</v>
      </c>
      <c r="AF5337" s="146"/>
      <c r="AG5337" s="146"/>
      <c r="AH5337" s="146"/>
      <c r="AI5337" s="147"/>
      <c r="AJ5337" s="148"/>
      <c r="AK5337" s="143"/>
      <c r="AL5337" s="144"/>
      <c r="AM5337" s="22"/>
      <c r="AN5337" s="149" t="s">
        <v>2794</v>
      </c>
      <c r="AO5337" s="144"/>
      <c r="AP5337" s="148">
        <v>2044</v>
      </c>
      <c r="AQ5337" s="144"/>
      <c r="AR5337" s="120"/>
      <c r="AS5337" s="121"/>
      <c r="AT5337" s="120"/>
      <c r="AU5337" s="121"/>
      <c r="AV5337" s="120"/>
      <c r="AW5337" s="121"/>
      <c r="AX5337" s="120"/>
      <c r="AY5337" s="121"/>
      <c r="AZ5337" s="138"/>
    </row>
    <row r="5338" spans="1:52" ht="17.100000000000001" customHeight="1" thickTop="1">
      <c r="A5338" s="109" t="s">
        <v>15784</v>
      </c>
      <c r="B5338" s="28">
        <v>46044</v>
      </c>
      <c r="C5338" s="25">
        <v>2230</v>
      </c>
      <c r="D5338" s="13" t="s">
        <v>2689</v>
      </c>
      <c r="E5338" s="111"/>
      <c r="F5338" s="113" t="s">
        <v>1871</v>
      </c>
      <c r="G5338" s="114"/>
      <c r="H5338" s="115"/>
      <c r="I5338" s="24" t="s">
        <v>2533</v>
      </c>
      <c r="J5338" s="116">
        <v>4.5</v>
      </c>
      <c r="K5338" s="118">
        <v>2423000</v>
      </c>
      <c r="L5338" s="119"/>
      <c r="M5338" s="118">
        <f t="shared" ref="M5338" si="6621">K5338*0.1</f>
        <v>242300</v>
      </c>
      <c r="N5338" s="119"/>
      <c r="O5338" s="118">
        <v>6600</v>
      </c>
      <c r="P5338" s="119"/>
      <c r="Q5338" s="118">
        <v>17600</v>
      </c>
      <c r="R5338" s="119"/>
      <c r="S5338" s="118">
        <v>15950</v>
      </c>
      <c r="T5338" s="119"/>
      <c r="U5338" s="118">
        <f t="shared" ref="U5338" si="6622">SUM(K5338:T5339)</f>
        <v>2705450</v>
      </c>
      <c r="V5338" s="122"/>
      <c r="W5338" s="124"/>
      <c r="X5338" s="126" t="s">
        <v>15952</v>
      </c>
      <c r="Y5338" s="127"/>
      <c r="Z5338" s="127"/>
      <c r="AA5338" s="127"/>
      <c r="AB5338" s="128"/>
      <c r="AC5338" s="15" t="s">
        <v>20</v>
      </c>
      <c r="AD5338" s="129"/>
      <c r="AE5338" s="130"/>
      <c r="AF5338" s="130"/>
      <c r="AG5338" s="130"/>
      <c r="AH5338" s="130"/>
      <c r="AI5338" s="131"/>
      <c r="AJ5338" s="132"/>
      <c r="AK5338" s="127"/>
      <c r="AL5338" s="128"/>
      <c r="AM5338" s="21"/>
      <c r="AN5338" s="133">
        <v>46060</v>
      </c>
      <c r="AO5338" s="134"/>
      <c r="AP5338" s="135">
        <v>1287</v>
      </c>
      <c r="AQ5338" s="136"/>
      <c r="AR5338" s="118">
        <v>2555000</v>
      </c>
      <c r="AS5338" s="119"/>
      <c r="AT5338" s="118">
        <f t="shared" ref="AT5338" si="6623">AR5338*0.1</f>
        <v>255500</v>
      </c>
      <c r="AU5338" s="119"/>
      <c r="AV5338" s="118">
        <v>17600</v>
      </c>
      <c r="AW5338" s="119"/>
      <c r="AX5338" s="118">
        <f t="shared" ref="AX5338" si="6624">SUM(AR5338:AW5338)</f>
        <v>2828100</v>
      </c>
      <c r="AY5338" s="119"/>
      <c r="AZ5338" s="137">
        <v>46063</v>
      </c>
    </row>
    <row r="5339" spans="1:52" ht="17.100000000000001" customHeight="1" thickBot="1">
      <c r="A5339" s="110"/>
      <c r="B5339" s="27" t="s">
        <v>3606</v>
      </c>
      <c r="C5339" s="27">
        <v>7002</v>
      </c>
      <c r="D5339" s="14" t="s">
        <v>275</v>
      </c>
      <c r="E5339" s="112"/>
      <c r="F5339" s="139" t="s">
        <v>15951</v>
      </c>
      <c r="G5339" s="140"/>
      <c r="H5339" s="141"/>
      <c r="I5339" s="26">
        <v>22558</v>
      </c>
      <c r="J5339" s="117"/>
      <c r="K5339" s="120"/>
      <c r="L5339" s="121"/>
      <c r="M5339" s="120"/>
      <c r="N5339" s="121"/>
      <c r="O5339" s="120"/>
      <c r="P5339" s="121"/>
      <c r="Q5339" s="120"/>
      <c r="R5339" s="121"/>
      <c r="S5339" s="120"/>
      <c r="T5339" s="121"/>
      <c r="U5339" s="120"/>
      <c r="V5339" s="123"/>
      <c r="W5339" s="125"/>
      <c r="X5339" s="142" t="s">
        <v>5285</v>
      </c>
      <c r="Y5339" s="143"/>
      <c r="Z5339" s="143"/>
      <c r="AA5339" s="143"/>
      <c r="AB5339" s="144"/>
      <c r="AC5339" s="16" t="s">
        <v>21</v>
      </c>
      <c r="AD5339" s="17" t="s">
        <v>1837</v>
      </c>
      <c r="AE5339" s="145" t="s">
        <v>2195</v>
      </c>
      <c r="AF5339" s="146"/>
      <c r="AG5339" s="146"/>
      <c r="AH5339" s="146"/>
      <c r="AI5339" s="147"/>
      <c r="AJ5339" s="148"/>
      <c r="AK5339" s="143"/>
      <c r="AL5339" s="144"/>
      <c r="AM5339" s="22"/>
      <c r="AN5339" s="149" t="s">
        <v>2511</v>
      </c>
      <c r="AO5339" s="144"/>
      <c r="AP5339" s="148">
        <v>80272</v>
      </c>
      <c r="AQ5339" s="144"/>
      <c r="AR5339" s="120"/>
      <c r="AS5339" s="121"/>
      <c r="AT5339" s="120"/>
      <c r="AU5339" s="121"/>
      <c r="AV5339" s="120"/>
      <c r="AW5339" s="121"/>
      <c r="AX5339" s="120"/>
      <c r="AY5339" s="121"/>
      <c r="AZ5339" s="138"/>
    </row>
    <row r="5340" spans="1:52" ht="17.100000000000001" customHeight="1" thickTop="1">
      <c r="A5340" s="109" t="s">
        <v>15785</v>
      </c>
      <c r="B5340" s="28">
        <v>46044</v>
      </c>
      <c r="C5340" s="25">
        <v>1967</v>
      </c>
      <c r="D5340" s="13" t="s">
        <v>2458</v>
      </c>
      <c r="E5340" s="111"/>
      <c r="F5340" s="113" t="s">
        <v>15809</v>
      </c>
      <c r="G5340" s="114"/>
      <c r="H5340" s="115"/>
      <c r="I5340" s="24" t="s">
        <v>4096</v>
      </c>
      <c r="J5340" s="116">
        <v>4</v>
      </c>
      <c r="K5340" s="118">
        <v>1165000</v>
      </c>
      <c r="L5340" s="119"/>
      <c r="M5340" s="118">
        <f t="shared" ref="M5340" si="6625">K5340*0.1</f>
        <v>116500</v>
      </c>
      <c r="N5340" s="119"/>
      <c r="O5340" s="118">
        <v>7150</v>
      </c>
      <c r="P5340" s="119"/>
      <c r="Q5340" s="118">
        <v>11480</v>
      </c>
      <c r="R5340" s="119"/>
      <c r="S5340" s="118">
        <v>15950</v>
      </c>
      <c r="T5340" s="119"/>
      <c r="U5340" s="118">
        <f t="shared" ref="U5340" si="6626">SUM(K5340:T5341)</f>
        <v>1316080</v>
      </c>
      <c r="V5340" s="122"/>
      <c r="W5340" s="124"/>
      <c r="X5340" s="126" t="s">
        <v>15953</v>
      </c>
      <c r="Y5340" s="127"/>
      <c r="Z5340" s="127"/>
      <c r="AA5340" s="127"/>
      <c r="AB5340" s="128"/>
      <c r="AC5340" s="15" t="s">
        <v>20</v>
      </c>
      <c r="AD5340" s="129"/>
      <c r="AE5340" s="130"/>
      <c r="AF5340" s="130"/>
      <c r="AG5340" s="130"/>
      <c r="AH5340" s="130"/>
      <c r="AI5340" s="131"/>
      <c r="AJ5340" s="132"/>
      <c r="AK5340" s="127"/>
      <c r="AL5340" s="128"/>
      <c r="AM5340" s="21" t="s">
        <v>18038</v>
      </c>
      <c r="AN5340" s="133">
        <v>46081</v>
      </c>
      <c r="AO5340" s="134"/>
      <c r="AP5340" s="135">
        <v>1290</v>
      </c>
      <c r="AQ5340" s="136"/>
      <c r="AR5340" s="118">
        <v>1230000</v>
      </c>
      <c r="AS5340" s="119"/>
      <c r="AT5340" s="118">
        <f t="shared" ref="AT5340" si="6627">AR5340*0.1</f>
        <v>123000</v>
      </c>
      <c r="AU5340" s="119"/>
      <c r="AV5340" s="118">
        <v>11450</v>
      </c>
      <c r="AW5340" s="119"/>
      <c r="AX5340" s="118">
        <f t="shared" ref="AX5340" si="6628">SUM(AR5340:AW5340)</f>
        <v>1364450</v>
      </c>
      <c r="AY5340" s="119"/>
      <c r="AZ5340" s="137">
        <v>46084</v>
      </c>
    </row>
    <row r="5341" spans="1:52" ht="17.100000000000001" customHeight="1" thickBot="1">
      <c r="A5341" s="110"/>
      <c r="B5341" s="27" t="s">
        <v>3792</v>
      </c>
      <c r="C5341" s="27">
        <v>283</v>
      </c>
      <c r="D5341" s="14" t="s">
        <v>2601</v>
      </c>
      <c r="E5341" s="112"/>
      <c r="F5341" s="139" t="s">
        <v>15810</v>
      </c>
      <c r="G5341" s="140"/>
      <c r="H5341" s="141"/>
      <c r="I5341" s="26">
        <v>100682</v>
      </c>
      <c r="J5341" s="117"/>
      <c r="K5341" s="120"/>
      <c r="L5341" s="121"/>
      <c r="M5341" s="120"/>
      <c r="N5341" s="121"/>
      <c r="O5341" s="120"/>
      <c r="P5341" s="121"/>
      <c r="Q5341" s="120"/>
      <c r="R5341" s="121"/>
      <c r="S5341" s="120"/>
      <c r="T5341" s="121"/>
      <c r="U5341" s="120"/>
      <c r="V5341" s="123"/>
      <c r="W5341" s="125"/>
      <c r="X5341" s="142" t="s">
        <v>3455</v>
      </c>
      <c r="Y5341" s="143"/>
      <c r="Z5341" s="143"/>
      <c r="AA5341" s="143"/>
      <c r="AB5341" s="144"/>
      <c r="AC5341" s="16" t="s">
        <v>21</v>
      </c>
      <c r="AD5341" s="17" t="s">
        <v>16172</v>
      </c>
      <c r="AE5341" s="145" t="s">
        <v>4934</v>
      </c>
      <c r="AF5341" s="146"/>
      <c r="AG5341" s="146"/>
      <c r="AH5341" s="146"/>
      <c r="AI5341" s="147"/>
      <c r="AJ5341" s="148"/>
      <c r="AK5341" s="143"/>
      <c r="AL5341" s="144"/>
      <c r="AM5341" s="22"/>
      <c r="AN5341" s="149" t="s">
        <v>2511</v>
      </c>
      <c r="AO5341" s="144"/>
      <c r="AP5341" s="148">
        <v>50265</v>
      </c>
      <c r="AQ5341" s="144"/>
      <c r="AR5341" s="120"/>
      <c r="AS5341" s="121"/>
      <c r="AT5341" s="120"/>
      <c r="AU5341" s="121"/>
      <c r="AV5341" s="120"/>
      <c r="AW5341" s="121"/>
      <c r="AX5341" s="120"/>
      <c r="AY5341" s="121"/>
      <c r="AZ5341" s="138"/>
    </row>
    <row r="5342" spans="1:52" ht="17.100000000000001" customHeight="1" thickTop="1">
      <c r="A5342" s="109" t="s">
        <v>15786</v>
      </c>
      <c r="B5342" s="28">
        <v>46044</v>
      </c>
      <c r="C5342" s="25">
        <v>1967</v>
      </c>
      <c r="D5342" s="13" t="s">
        <v>2157</v>
      </c>
      <c r="E5342" s="111"/>
      <c r="F5342" s="113" t="s">
        <v>15811</v>
      </c>
      <c r="G5342" s="114"/>
      <c r="H5342" s="115"/>
      <c r="I5342" s="24" t="s">
        <v>4314</v>
      </c>
      <c r="J5342" s="116">
        <v>4</v>
      </c>
      <c r="K5342" s="118">
        <v>865000</v>
      </c>
      <c r="L5342" s="119"/>
      <c r="M5342" s="118">
        <f t="shared" ref="M5342" si="6629">K5342*0.1</f>
        <v>86500</v>
      </c>
      <c r="N5342" s="119"/>
      <c r="O5342" s="118">
        <v>8250</v>
      </c>
      <c r="P5342" s="119"/>
      <c r="Q5342" s="118">
        <v>16260</v>
      </c>
      <c r="R5342" s="119"/>
      <c r="S5342" s="118">
        <v>15950</v>
      </c>
      <c r="T5342" s="119"/>
      <c r="U5342" s="118">
        <f t="shared" ref="U5342" si="6630">SUM(K5342:T5343)</f>
        <v>991960</v>
      </c>
      <c r="V5342" s="122"/>
      <c r="W5342" s="124"/>
      <c r="X5342" s="126" t="s">
        <v>15954</v>
      </c>
      <c r="Y5342" s="127"/>
      <c r="Z5342" s="127"/>
      <c r="AA5342" s="127"/>
      <c r="AB5342" s="128"/>
      <c r="AC5342" s="15" t="s">
        <v>20</v>
      </c>
      <c r="AD5342" s="129"/>
      <c r="AE5342" s="130"/>
      <c r="AF5342" s="130"/>
      <c r="AG5342" s="130"/>
      <c r="AH5342" s="130"/>
      <c r="AI5342" s="131"/>
      <c r="AJ5342" s="132"/>
      <c r="AK5342" s="127"/>
      <c r="AL5342" s="128"/>
      <c r="AM5342" s="21" t="s">
        <v>18251</v>
      </c>
      <c r="AN5342" s="133">
        <v>46106</v>
      </c>
      <c r="AO5342" s="134"/>
      <c r="AP5342" s="135">
        <v>1010</v>
      </c>
      <c r="AQ5342" s="136"/>
      <c r="AR5342" s="118">
        <v>950000</v>
      </c>
      <c r="AS5342" s="119"/>
      <c r="AT5342" s="118">
        <f t="shared" ref="AT5342" si="6631">AR5342*0.1</f>
        <v>95000</v>
      </c>
      <c r="AU5342" s="119"/>
      <c r="AV5342" s="118">
        <v>16260</v>
      </c>
      <c r="AW5342" s="119"/>
      <c r="AX5342" s="118">
        <f t="shared" ref="AX5342" si="6632">SUM(AR5342:AW5342)</f>
        <v>1061260</v>
      </c>
      <c r="AY5342" s="119"/>
      <c r="AZ5342" s="137">
        <v>46111</v>
      </c>
    </row>
    <row r="5343" spans="1:52" ht="17.100000000000001" customHeight="1" thickBot="1">
      <c r="A5343" s="110"/>
      <c r="B5343" s="27" t="s">
        <v>3792</v>
      </c>
      <c r="C5343" s="27">
        <v>369</v>
      </c>
      <c r="D5343" s="14" t="s">
        <v>2601</v>
      </c>
      <c r="E5343" s="112"/>
      <c r="F5343" s="139" t="s">
        <v>15812</v>
      </c>
      <c r="G5343" s="140"/>
      <c r="H5343" s="141"/>
      <c r="I5343" s="26">
        <v>94619</v>
      </c>
      <c r="J5343" s="117"/>
      <c r="K5343" s="120"/>
      <c r="L5343" s="121"/>
      <c r="M5343" s="120"/>
      <c r="N5343" s="121"/>
      <c r="O5343" s="120"/>
      <c r="P5343" s="121"/>
      <c r="Q5343" s="120"/>
      <c r="R5343" s="121"/>
      <c r="S5343" s="120"/>
      <c r="T5343" s="121"/>
      <c r="U5343" s="120"/>
      <c r="V5343" s="123"/>
      <c r="W5343" s="125"/>
      <c r="X5343" s="142" t="s">
        <v>15675</v>
      </c>
      <c r="Y5343" s="143"/>
      <c r="Z5343" s="143"/>
      <c r="AA5343" s="143"/>
      <c r="AB5343" s="144"/>
      <c r="AC5343" s="16" t="s">
        <v>21</v>
      </c>
      <c r="AD5343" s="17" t="s">
        <v>1837</v>
      </c>
      <c r="AE5343" s="145"/>
      <c r="AF5343" s="146"/>
      <c r="AG5343" s="146"/>
      <c r="AH5343" s="146"/>
      <c r="AI5343" s="147"/>
      <c r="AJ5343" s="148"/>
      <c r="AK5343" s="143"/>
      <c r="AL5343" s="144"/>
      <c r="AM5343" s="22"/>
      <c r="AN5343" s="149" t="s">
        <v>2794</v>
      </c>
      <c r="AO5343" s="144"/>
      <c r="AP5343" s="148">
        <v>6091</v>
      </c>
      <c r="AQ5343" s="144"/>
      <c r="AR5343" s="120"/>
      <c r="AS5343" s="121"/>
      <c r="AT5343" s="120"/>
      <c r="AU5343" s="121"/>
      <c r="AV5343" s="120"/>
      <c r="AW5343" s="121"/>
      <c r="AX5343" s="120"/>
      <c r="AY5343" s="121"/>
      <c r="AZ5343" s="138"/>
    </row>
    <row r="5344" spans="1:52" ht="17.100000000000001" customHeight="1" thickTop="1">
      <c r="A5344" s="109" t="s">
        <v>15787</v>
      </c>
      <c r="B5344" s="28">
        <v>46044</v>
      </c>
      <c r="C5344" s="25">
        <v>1967</v>
      </c>
      <c r="D5344" s="13" t="s">
        <v>2179</v>
      </c>
      <c r="E5344" s="111"/>
      <c r="F5344" s="113" t="s">
        <v>15813</v>
      </c>
      <c r="G5344" s="114"/>
      <c r="H5344" s="115"/>
      <c r="I5344" s="24" t="s">
        <v>1547</v>
      </c>
      <c r="J5344" s="116">
        <v>4</v>
      </c>
      <c r="K5344" s="118">
        <v>1060000</v>
      </c>
      <c r="L5344" s="119"/>
      <c r="M5344" s="118">
        <f t="shared" ref="M5344" si="6633">K5344*0.1</f>
        <v>106000</v>
      </c>
      <c r="N5344" s="119"/>
      <c r="O5344" s="118">
        <v>6270</v>
      </c>
      <c r="P5344" s="119"/>
      <c r="Q5344" s="118">
        <v>9810</v>
      </c>
      <c r="R5344" s="119"/>
      <c r="S5344" s="118">
        <v>22000</v>
      </c>
      <c r="T5344" s="119"/>
      <c r="U5344" s="118">
        <f t="shared" ref="U5344" si="6634">SUM(K5344:T5345)</f>
        <v>1204080</v>
      </c>
      <c r="V5344" s="122"/>
      <c r="W5344" s="124"/>
      <c r="X5344" s="126" t="s">
        <v>15955</v>
      </c>
      <c r="Y5344" s="127"/>
      <c r="Z5344" s="127"/>
      <c r="AA5344" s="127"/>
      <c r="AB5344" s="128"/>
      <c r="AC5344" s="15" t="s">
        <v>20</v>
      </c>
      <c r="AD5344" s="129"/>
      <c r="AE5344" s="130"/>
      <c r="AF5344" s="130"/>
      <c r="AG5344" s="130"/>
      <c r="AH5344" s="130"/>
      <c r="AI5344" s="131"/>
      <c r="AJ5344" s="132"/>
      <c r="AK5344" s="127"/>
      <c r="AL5344" s="128"/>
      <c r="AM5344" s="21"/>
      <c r="AN5344" s="133">
        <v>46060</v>
      </c>
      <c r="AO5344" s="134"/>
      <c r="AP5344" s="135">
        <v>1287</v>
      </c>
      <c r="AQ5344" s="136"/>
      <c r="AR5344" s="118">
        <v>1150000</v>
      </c>
      <c r="AS5344" s="119"/>
      <c r="AT5344" s="118">
        <f t="shared" ref="AT5344" si="6635">AR5344*0.1</f>
        <v>115000</v>
      </c>
      <c r="AU5344" s="119"/>
      <c r="AV5344" s="118">
        <v>9810</v>
      </c>
      <c r="AW5344" s="119"/>
      <c r="AX5344" s="118">
        <f t="shared" ref="AX5344" si="6636">SUM(AR5344:AW5344)</f>
        <v>1274810</v>
      </c>
      <c r="AY5344" s="119"/>
      <c r="AZ5344" s="137">
        <v>46063</v>
      </c>
    </row>
    <row r="5345" spans="1:52" ht="17.100000000000001" customHeight="1" thickBot="1">
      <c r="A5345" s="110"/>
      <c r="B5345" s="27" t="s">
        <v>3792</v>
      </c>
      <c r="C5345" s="27">
        <v>2212</v>
      </c>
      <c r="D5345" s="14" t="s">
        <v>275</v>
      </c>
      <c r="E5345" s="112"/>
      <c r="F5345" s="139" t="s">
        <v>15814</v>
      </c>
      <c r="G5345" s="140"/>
      <c r="H5345" s="141"/>
      <c r="I5345" s="26">
        <v>60239</v>
      </c>
      <c r="J5345" s="117"/>
      <c r="K5345" s="120"/>
      <c r="L5345" s="121"/>
      <c r="M5345" s="120"/>
      <c r="N5345" s="121"/>
      <c r="O5345" s="120"/>
      <c r="P5345" s="121"/>
      <c r="Q5345" s="120"/>
      <c r="R5345" s="121"/>
      <c r="S5345" s="120"/>
      <c r="T5345" s="121"/>
      <c r="U5345" s="120"/>
      <c r="V5345" s="123"/>
      <c r="W5345" s="125"/>
      <c r="X5345" s="142" t="s">
        <v>1997</v>
      </c>
      <c r="Y5345" s="143"/>
      <c r="Z5345" s="143"/>
      <c r="AA5345" s="143"/>
      <c r="AB5345" s="144"/>
      <c r="AC5345" s="16" t="s">
        <v>21</v>
      </c>
      <c r="AD5345" s="17" t="s">
        <v>2644</v>
      </c>
      <c r="AE5345" s="145" t="s">
        <v>16390</v>
      </c>
      <c r="AF5345" s="146"/>
      <c r="AG5345" s="146"/>
      <c r="AH5345" s="146"/>
      <c r="AI5345" s="147"/>
      <c r="AJ5345" s="148"/>
      <c r="AK5345" s="143"/>
      <c r="AL5345" s="144"/>
      <c r="AM5345" s="22"/>
      <c r="AN5345" s="149" t="s">
        <v>2511</v>
      </c>
      <c r="AO5345" s="144"/>
      <c r="AP5345" s="148">
        <v>55104</v>
      </c>
      <c r="AQ5345" s="144"/>
      <c r="AR5345" s="120"/>
      <c r="AS5345" s="121"/>
      <c r="AT5345" s="120"/>
      <c r="AU5345" s="121"/>
      <c r="AV5345" s="120"/>
      <c r="AW5345" s="121"/>
      <c r="AX5345" s="120"/>
      <c r="AY5345" s="121"/>
      <c r="AZ5345" s="138"/>
    </row>
    <row r="5346" spans="1:52" ht="17.100000000000001" customHeight="1" thickTop="1">
      <c r="A5346" s="109" t="s">
        <v>15788</v>
      </c>
      <c r="B5346" s="28">
        <v>46044</v>
      </c>
      <c r="C5346" s="25">
        <v>1967</v>
      </c>
      <c r="D5346" s="13" t="s">
        <v>1725</v>
      </c>
      <c r="E5346" s="111"/>
      <c r="F5346" s="113" t="s">
        <v>15815</v>
      </c>
      <c r="G5346" s="114"/>
      <c r="H5346" s="115"/>
      <c r="I5346" s="24"/>
      <c r="J5346" s="116">
        <v>4</v>
      </c>
      <c r="K5346" s="118">
        <v>790000</v>
      </c>
      <c r="L5346" s="119"/>
      <c r="M5346" s="118">
        <f t="shared" ref="M5346" si="6637">K5346*0.1</f>
        <v>79000</v>
      </c>
      <c r="N5346" s="119"/>
      <c r="O5346" s="118">
        <v>0</v>
      </c>
      <c r="P5346" s="119"/>
      <c r="Q5346" s="118">
        <v>9200</v>
      </c>
      <c r="R5346" s="119"/>
      <c r="S5346" s="118">
        <v>15950</v>
      </c>
      <c r="T5346" s="119"/>
      <c r="U5346" s="118">
        <f t="shared" ref="U5346" si="6638">SUM(K5346:T5347)</f>
        <v>894150</v>
      </c>
      <c r="V5346" s="122"/>
      <c r="W5346" s="124"/>
      <c r="X5346" s="126" t="s">
        <v>16189</v>
      </c>
      <c r="Y5346" s="127"/>
      <c r="Z5346" s="127"/>
      <c r="AA5346" s="127"/>
      <c r="AB5346" s="128"/>
      <c r="AC5346" s="15" t="s">
        <v>20</v>
      </c>
      <c r="AD5346" s="129"/>
      <c r="AE5346" s="130"/>
      <c r="AF5346" s="130"/>
      <c r="AG5346" s="130"/>
      <c r="AH5346" s="130"/>
      <c r="AI5346" s="131"/>
      <c r="AJ5346" s="132"/>
      <c r="AK5346" s="127"/>
      <c r="AL5346" s="128"/>
      <c r="AM5346" s="21"/>
      <c r="AN5346" s="133">
        <v>46071</v>
      </c>
      <c r="AO5346" s="134"/>
      <c r="AP5346" s="135">
        <v>1005</v>
      </c>
      <c r="AQ5346" s="136"/>
      <c r="AR5346" s="118">
        <v>850000</v>
      </c>
      <c r="AS5346" s="119"/>
      <c r="AT5346" s="118">
        <f t="shared" ref="AT5346" si="6639">AR5346*0.1</f>
        <v>85000</v>
      </c>
      <c r="AU5346" s="119"/>
      <c r="AV5346" s="118">
        <v>9200</v>
      </c>
      <c r="AW5346" s="119"/>
      <c r="AX5346" s="118">
        <f t="shared" ref="AX5346" si="6640">SUM(AR5346:AW5346)</f>
        <v>944200</v>
      </c>
      <c r="AY5346" s="119"/>
      <c r="AZ5346" s="137">
        <v>46073</v>
      </c>
    </row>
    <row r="5347" spans="1:52" ht="17.100000000000001" customHeight="1" thickBot="1">
      <c r="A5347" s="110"/>
      <c r="B5347" s="27" t="s">
        <v>3792</v>
      </c>
      <c r="C5347" s="27">
        <v>5450</v>
      </c>
      <c r="D5347" s="14" t="s">
        <v>904</v>
      </c>
      <c r="E5347" s="112"/>
      <c r="F5347" s="139" t="s">
        <v>15816</v>
      </c>
      <c r="G5347" s="140"/>
      <c r="H5347" s="141"/>
      <c r="I5347" s="26">
        <v>50845</v>
      </c>
      <c r="J5347" s="117"/>
      <c r="K5347" s="120"/>
      <c r="L5347" s="121"/>
      <c r="M5347" s="120"/>
      <c r="N5347" s="121"/>
      <c r="O5347" s="120"/>
      <c r="P5347" s="121"/>
      <c r="Q5347" s="120"/>
      <c r="R5347" s="121"/>
      <c r="S5347" s="120"/>
      <c r="T5347" s="121"/>
      <c r="U5347" s="120"/>
      <c r="V5347" s="123"/>
      <c r="W5347" s="125"/>
      <c r="X5347" s="142" t="s">
        <v>13825</v>
      </c>
      <c r="Y5347" s="143"/>
      <c r="Z5347" s="143"/>
      <c r="AA5347" s="143"/>
      <c r="AB5347" s="144"/>
      <c r="AC5347" s="16" t="s">
        <v>21</v>
      </c>
      <c r="AD5347" s="17" t="s">
        <v>16172</v>
      </c>
      <c r="AE5347" s="145" t="s">
        <v>7860</v>
      </c>
      <c r="AF5347" s="146"/>
      <c r="AG5347" s="146"/>
      <c r="AH5347" s="146"/>
      <c r="AI5347" s="147"/>
      <c r="AJ5347" s="148"/>
      <c r="AK5347" s="143"/>
      <c r="AL5347" s="144"/>
      <c r="AM5347" s="22"/>
      <c r="AN5347" s="149" t="s">
        <v>2794</v>
      </c>
      <c r="AO5347" s="144"/>
      <c r="AP5347" s="148">
        <v>2037</v>
      </c>
      <c r="AQ5347" s="144"/>
      <c r="AR5347" s="120"/>
      <c r="AS5347" s="121"/>
      <c r="AT5347" s="120"/>
      <c r="AU5347" s="121"/>
      <c r="AV5347" s="120"/>
      <c r="AW5347" s="121"/>
      <c r="AX5347" s="120"/>
      <c r="AY5347" s="121"/>
      <c r="AZ5347" s="138"/>
    </row>
    <row r="5348" spans="1:52" ht="17.100000000000001" customHeight="1" thickTop="1">
      <c r="A5348" s="109" t="s">
        <v>15800</v>
      </c>
      <c r="B5348" s="28">
        <v>46044</v>
      </c>
      <c r="C5348" s="25">
        <v>1967</v>
      </c>
      <c r="D5348" s="13" t="s">
        <v>1929</v>
      </c>
      <c r="E5348" s="111"/>
      <c r="F5348" s="113" t="s">
        <v>15818</v>
      </c>
      <c r="G5348" s="114"/>
      <c r="H5348" s="115"/>
      <c r="I5348" s="24"/>
      <c r="J5348" s="116">
        <v>4</v>
      </c>
      <c r="K5348" s="118">
        <v>698000</v>
      </c>
      <c r="L5348" s="119"/>
      <c r="M5348" s="118">
        <f t="shared" ref="M5348" si="6641">K5348*0.1</f>
        <v>69800</v>
      </c>
      <c r="N5348" s="119"/>
      <c r="O5348" s="118">
        <v>0</v>
      </c>
      <c r="P5348" s="119"/>
      <c r="Q5348" s="118">
        <v>11810</v>
      </c>
      <c r="R5348" s="119"/>
      <c r="S5348" s="118">
        <v>15950</v>
      </c>
      <c r="T5348" s="119"/>
      <c r="U5348" s="118">
        <f t="shared" ref="U5348" si="6642">SUM(K5348:T5349)</f>
        <v>795560</v>
      </c>
      <c r="V5348" s="122"/>
      <c r="W5348" s="124"/>
      <c r="X5348" s="126" t="s">
        <v>16354</v>
      </c>
      <c r="Y5348" s="127"/>
      <c r="Z5348" s="127"/>
      <c r="AA5348" s="127"/>
      <c r="AB5348" s="128"/>
      <c r="AC5348" s="15" t="s">
        <v>20</v>
      </c>
      <c r="AD5348" s="129" t="s">
        <v>4435</v>
      </c>
      <c r="AE5348" s="130"/>
      <c r="AF5348" s="130"/>
      <c r="AG5348" s="130"/>
      <c r="AH5348" s="130"/>
      <c r="AI5348" s="131"/>
      <c r="AJ5348" s="132"/>
      <c r="AK5348" s="127"/>
      <c r="AL5348" s="128"/>
      <c r="AM5348" s="21"/>
      <c r="AN5348" s="133">
        <v>46099</v>
      </c>
      <c r="AO5348" s="134"/>
      <c r="AP5348" s="135">
        <v>1009</v>
      </c>
      <c r="AQ5348" s="136"/>
      <c r="AR5348" s="118">
        <v>750000</v>
      </c>
      <c r="AS5348" s="119"/>
      <c r="AT5348" s="118">
        <f t="shared" ref="AT5348" si="6643">AR5348*0.1</f>
        <v>75000</v>
      </c>
      <c r="AU5348" s="119"/>
      <c r="AV5348" s="118">
        <v>11810</v>
      </c>
      <c r="AW5348" s="119"/>
      <c r="AX5348" s="118">
        <f t="shared" ref="AX5348" si="6644">SUM(AR5348:AW5348)</f>
        <v>836810</v>
      </c>
      <c r="AY5348" s="119"/>
      <c r="AZ5348" s="137">
        <v>46105</v>
      </c>
    </row>
    <row r="5349" spans="1:52" ht="17.100000000000001" customHeight="1" thickBot="1">
      <c r="A5349" s="110"/>
      <c r="B5349" s="27" t="s">
        <v>3792</v>
      </c>
      <c r="C5349" s="27">
        <v>8038</v>
      </c>
      <c r="D5349" s="14" t="s">
        <v>275</v>
      </c>
      <c r="E5349" s="112"/>
      <c r="F5349" s="139" t="s">
        <v>15817</v>
      </c>
      <c r="G5349" s="140"/>
      <c r="H5349" s="141"/>
      <c r="I5349" s="26">
        <v>65163</v>
      </c>
      <c r="J5349" s="117"/>
      <c r="K5349" s="120"/>
      <c r="L5349" s="121"/>
      <c r="M5349" s="120"/>
      <c r="N5349" s="121"/>
      <c r="O5349" s="120"/>
      <c r="P5349" s="121"/>
      <c r="Q5349" s="120"/>
      <c r="R5349" s="121"/>
      <c r="S5349" s="120"/>
      <c r="T5349" s="121"/>
      <c r="U5349" s="120"/>
      <c r="V5349" s="123"/>
      <c r="W5349" s="125"/>
      <c r="X5349" s="142" t="s">
        <v>16355</v>
      </c>
      <c r="Y5349" s="143"/>
      <c r="Z5349" s="143"/>
      <c r="AA5349" s="143"/>
      <c r="AB5349" s="144"/>
      <c r="AC5349" s="16" t="s">
        <v>21</v>
      </c>
      <c r="AD5349" s="17" t="s">
        <v>1837</v>
      </c>
      <c r="AE5349" s="145" t="s">
        <v>14704</v>
      </c>
      <c r="AF5349" s="146"/>
      <c r="AG5349" s="146"/>
      <c r="AH5349" s="146"/>
      <c r="AI5349" s="147"/>
      <c r="AJ5349" s="148"/>
      <c r="AK5349" s="143"/>
      <c r="AL5349" s="144"/>
      <c r="AM5349" s="22"/>
      <c r="AN5349" s="149" t="s">
        <v>20958</v>
      </c>
      <c r="AO5349" s="144"/>
      <c r="AP5349" s="148">
        <v>6059</v>
      </c>
      <c r="AQ5349" s="144"/>
      <c r="AR5349" s="120"/>
      <c r="AS5349" s="121"/>
      <c r="AT5349" s="120"/>
      <c r="AU5349" s="121"/>
      <c r="AV5349" s="120"/>
      <c r="AW5349" s="121"/>
      <c r="AX5349" s="120"/>
      <c r="AY5349" s="121"/>
      <c r="AZ5349" s="138"/>
    </row>
    <row r="5350" spans="1:52" ht="17.100000000000001" customHeight="1" thickTop="1">
      <c r="A5350" s="109" t="s">
        <v>15801</v>
      </c>
      <c r="B5350" s="28">
        <v>46044</v>
      </c>
      <c r="C5350" s="25">
        <v>2142</v>
      </c>
      <c r="D5350" s="13" t="s">
        <v>11997</v>
      </c>
      <c r="E5350" s="111"/>
      <c r="F5350" s="113" t="s">
        <v>15937</v>
      </c>
      <c r="G5350" s="114"/>
      <c r="H5350" s="115"/>
      <c r="I5350" s="24"/>
      <c r="J5350" s="116">
        <v>4</v>
      </c>
      <c r="K5350" s="118">
        <v>401000</v>
      </c>
      <c r="L5350" s="119"/>
      <c r="M5350" s="118">
        <f t="shared" ref="M5350" si="6645">K5350*0.1</f>
        <v>40100</v>
      </c>
      <c r="N5350" s="119"/>
      <c r="O5350" s="118">
        <v>0</v>
      </c>
      <c r="P5350" s="119"/>
      <c r="Q5350" s="118">
        <v>9460</v>
      </c>
      <c r="R5350" s="119"/>
      <c r="S5350" s="118">
        <v>14300</v>
      </c>
      <c r="T5350" s="119"/>
      <c r="U5350" s="118">
        <f t="shared" ref="U5350" si="6646">SUM(K5350:T5351)</f>
        <v>464860</v>
      </c>
      <c r="V5350" s="122"/>
      <c r="W5350" s="124"/>
      <c r="X5350" s="126" t="s">
        <v>16206</v>
      </c>
      <c r="Y5350" s="127"/>
      <c r="Z5350" s="127"/>
      <c r="AA5350" s="127"/>
      <c r="AB5350" s="128"/>
      <c r="AC5350" s="15" t="s">
        <v>20</v>
      </c>
      <c r="AD5350" s="129" t="s">
        <v>186</v>
      </c>
      <c r="AE5350" s="130"/>
      <c r="AF5350" s="130"/>
      <c r="AG5350" s="130"/>
      <c r="AH5350" s="130"/>
      <c r="AI5350" s="131"/>
      <c r="AJ5350" s="132"/>
      <c r="AK5350" s="127"/>
      <c r="AL5350" s="128"/>
      <c r="AM5350" s="21"/>
      <c r="AN5350" s="133">
        <v>46071</v>
      </c>
      <c r="AO5350" s="134"/>
      <c r="AP5350" s="135">
        <v>1005</v>
      </c>
      <c r="AQ5350" s="136"/>
      <c r="AR5350" s="118">
        <v>465000</v>
      </c>
      <c r="AS5350" s="119"/>
      <c r="AT5350" s="118">
        <f t="shared" ref="AT5350" si="6647">AR5350*0.1</f>
        <v>46500</v>
      </c>
      <c r="AU5350" s="119"/>
      <c r="AV5350" s="118">
        <v>9460</v>
      </c>
      <c r="AW5350" s="119"/>
      <c r="AX5350" s="118">
        <f t="shared" ref="AX5350" si="6648">SUM(AR5350:AW5350)</f>
        <v>520960</v>
      </c>
      <c r="AY5350" s="119"/>
      <c r="AZ5350" s="137">
        <v>46073</v>
      </c>
    </row>
    <row r="5351" spans="1:52" ht="17.100000000000001" customHeight="1" thickBot="1">
      <c r="A5351" s="110"/>
      <c r="B5351" s="27" t="s">
        <v>1940</v>
      </c>
      <c r="C5351" s="27">
        <v>29</v>
      </c>
      <c r="D5351" s="14" t="s">
        <v>275</v>
      </c>
      <c r="E5351" s="112"/>
      <c r="F5351" s="139" t="s">
        <v>15837</v>
      </c>
      <c r="G5351" s="140"/>
      <c r="H5351" s="141"/>
      <c r="I5351" s="26">
        <v>32100</v>
      </c>
      <c r="J5351" s="117"/>
      <c r="K5351" s="120"/>
      <c r="L5351" s="121"/>
      <c r="M5351" s="120"/>
      <c r="N5351" s="121"/>
      <c r="O5351" s="120"/>
      <c r="P5351" s="121"/>
      <c r="Q5351" s="120"/>
      <c r="R5351" s="121"/>
      <c r="S5351" s="120"/>
      <c r="T5351" s="121"/>
      <c r="U5351" s="120"/>
      <c r="V5351" s="123"/>
      <c r="W5351" s="125"/>
      <c r="X5351" s="142" t="s">
        <v>3410</v>
      </c>
      <c r="Y5351" s="143"/>
      <c r="Z5351" s="143"/>
      <c r="AA5351" s="143"/>
      <c r="AB5351" s="144"/>
      <c r="AC5351" s="16" t="s">
        <v>21</v>
      </c>
      <c r="AD5351" s="17" t="s">
        <v>16172</v>
      </c>
      <c r="AE5351" s="145" t="s">
        <v>16814</v>
      </c>
      <c r="AF5351" s="146"/>
      <c r="AG5351" s="146"/>
      <c r="AH5351" s="146"/>
      <c r="AI5351" s="147"/>
      <c r="AJ5351" s="148" t="s">
        <v>16188</v>
      </c>
      <c r="AK5351" s="143"/>
      <c r="AL5351" s="144"/>
      <c r="AM5351" s="22"/>
      <c r="AN5351" s="149" t="s">
        <v>9053</v>
      </c>
      <c r="AO5351" s="144"/>
      <c r="AP5351" s="148">
        <v>2026</v>
      </c>
      <c r="AQ5351" s="144"/>
      <c r="AR5351" s="120"/>
      <c r="AS5351" s="121"/>
      <c r="AT5351" s="120"/>
      <c r="AU5351" s="121"/>
      <c r="AV5351" s="120"/>
      <c r="AW5351" s="121"/>
      <c r="AX5351" s="120"/>
      <c r="AY5351" s="121"/>
      <c r="AZ5351" s="138"/>
    </row>
    <row r="5352" spans="1:52" ht="17.100000000000001" customHeight="1" thickTop="1">
      <c r="A5352" s="109" t="s">
        <v>15802</v>
      </c>
      <c r="B5352" s="28">
        <v>46044</v>
      </c>
      <c r="C5352" s="25">
        <v>2142</v>
      </c>
      <c r="D5352" s="13" t="s">
        <v>5520</v>
      </c>
      <c r="E5352" s="111"/>
      <c r="F5352" s="113" t="s">
        <v>15938</v>
      </c>
      <c r="G5352" s="114"/>
      <c r="H5352" s="115"/>
      <c r="I5352" s="24" t="s">
        <v>11259</v>
      </c>
      <c r="J5352" s="116">
        <v>4</v>
      </c>
      <c r="K5352" s="118">
        <v>469000</v>
      </c>
      <c r="L5352" s="119"/>
      <c r="M5352" s="118">
        <f t="shared" ref="M5352" si="6649">K5352*0.1</f>
        <v>46900</v>
      </c>
      <c r="N5352" s="119"/>
      <c r="O5352" s="118">
        <v>8600</v>
      </c>
      <c r="P5352" s="119"/>
      <c r="Q5352" s="118">
        <v>18290</v>
      </c>
      <c r="R5352" s="119"/>
      <c r="S5352" s="118">
        <v>14300</v>
      </c>
      <c r="T5352" s="119"/>
      <c r="U5352" s="118">
        <f t="shared" ref="U5352" si="6650">SUM(K5352:T5353)</f>
        <v>557090</v>
      </c>
      <c r="V5352" s="122"/>
      <c r="W5352" s="124"/>
      <c r="X5352" s="126" t="s">
        <v>15940</v>
      </c>
      <c r="Y5352" s="127"/>
      <c r="Z5352" s="127"/>
      <c r="AA5352" s="127"/>
      <c r="AB5352" s="128"/>
      <c r="AC5352" s="15" t="s">
        <v>20</v>
      </c>
      <c r="AD5352" s="129"/>
      <c r="AE5352" s="130"/>
      <c r="AF5352" s="130"/>
      <c r="AG5352" s="130"/>
      <c r="AH5352" s="130"/>
      <c r="AI5352" s="131"/>
      <c r="AJ5352" s="132"/>
      <c r="AK5352" s="127"/>
      <c r="AL5352" s="128"/>
      <c r="AM5352" s="21" t="s">
        <v>18041</v>
      </c>
      <c r="AN5352" s="133">
        <v>46078</v>
      </c>
      <c r="AO5352" s="134"/>
      <c r="AP5352" s="135">
        <v>1006</v>
      </c>
      <c r="AQ5352" s="136"/>
      <c r="AR5352" s="118">
        <v>445000</v>
      </c>
      <c r="AS5352" s="119"/>
      <c r="AT5352" s="118">
        <f t="shared" ref="AT5352" si="6651">AR5352*0.1</f>
        <v>44500</v>
      </c>
      <c r="AU5352" s="119"/>
      <c r="AV5352" s="118">
        <v>18290</v>
      </c>
      <c r="AW5352" s="119"/>
      <c r="AX5352" s="118">
        <f t="shared" ref="AX5352" si="6652">SUM(AR5352:AW5352)</f>
        <v>507790</v>
      </c>
      <c r="AY5352" s="119"/>
      <c r="AZ5352" s="137">
        <v>46083</v>
      </c>
    </row>
    <row r="5353" spans="1:52" ht="17.100000000000001" customHeight="1" thickBot="1">
      <c r="A5353" s="110"/>
      <c r="B5353" s="27" t="s">
        <v>1940</v>
      </c>
      <c r="C5353" s="27">
        <v>82</v>
      </c>
      <c r="D5353" s="14" t="s">
        <v>275</v>
      </c>
      <c r="E5353" s="112"/>
      <c r="F5353" s="139" t="s">
        <v>15939</v>
      </c>
      <c r="G5353" s="140"/>
      <c r="H5353" s="141"/>
      <c r="I5353" s="26">
        <v>121774</v>
      </c>
      <c r="J5353" s="117"/>
      <c r="K5353" s="120"/>
      <c r="L5353" s="121"/>
      <c r="M5353" s="120"/>
      <c r="N5353" s="121"/>
      <c r="O5353" s="120"/>
      <c r="P5353" s="121"/>
      <c r="Q5353" s="120"/>
      <c r="R5353" s="121"/>
      <c r="S5353" s="120"/>
      <c r="T5353" s="121"/>
      <c r="U5353" s="120"/>
      <c r="V5353" s="123"/>
      <c r="W5353" s="125"/>
      <c r="X5353" s="142" t="s">
        <v>15643</v>
      </c>
      <c r="Y5353" s="143"/>
      <c r="Z5353" s="143"/>
      <c r="AA5353" s="143"/>
      <c r="AB5353" s="144"/>
      <c r="AC5353" s="16" t="s">
        <v>21</v>
      </c>
      <c r="AD5353" s="17" t="s">
        <v>16172</v>
      </c>
      <c r="AE5353" s="145" t="s">
        <v>16388</v>
      </c>
      <c r="AF5353" s="146"/>
      <c r="AG5353" s="146"/>
      <c r="AH5353" s="146"/>
      <c r="AI5353" s="147"/>
      <c r="AJ5353" s="148"/>
      <c r="AK5353" s="143"/>
      <c r="AL5353" s="144"/>
      <c r="AM5353" s="22"/>
      <c r="AN5353" s="149" t="s">
        <v>2794</v>
      </c>
      <c r="AO5353" s="144"/>
      <c r="AP5353" s="148">
        <v>6061</v>
      </c>
      <c r="AQ5353" s="144"/>
      <c r="AR5353" s="120"/>
      <c r="AS5353" s="121"/>
      <c r="AT5353" s="120"/>
      <c r="AU5353" s="121"/>
      <c r="AV5353" s="120"/>
      <c r="AW5353" s="121"/>
      <c r="AX5353" s="120"/>
      <c r="AY5353" s="121"/>
      <c r="AZ5353" s="138"/>
    </row>
    <row r="5354" spans="1:52" ht="17.100000000000001" customHeight="1" thickTop="1">
      <c r="A5354" s="109" t="s">
        <v>15803</v>
      </c>
      <c r="B5354" s="28">
        <v>46044</v>
      </c>
      <c r="C5354" s="25">
        <v>2142</v>
      </c>
      <c r="D5354" s="13" t="s">
        <v>4224</v>
      </c>
      <c r="E5354" s="111"/>
      <c r="F5354" s="113" t="s">
        <v>15941</v>
      </c>
      <c r="G5354" s="114"/>
      <c r="H5354" s="115"/>
      <c r="I5354" s="24" t="s">
        <v>15942</v>
      </c>
      <c r="J5354" s="116">
        <v>4</v>
      </c>
      <c r="K5354" s="118">
        <v>329000</v>
      </c>
      <c r="L5354" s="119"/>
      <c r="M5354" s="118">
        <f t="shared" ref="M5354" si="6653">K5354*0.1</f>
        <v>32900</v>
      </c>
      <c r="N5354" s="119"/>
      <c r="O5354" s="118">
        <v>0</v>
      </c>
      <c r="P5354" s="119"/>
      <c r="Q5354" s="118">
        <v>10270</v>
      </c>
      <c r="R5354" s="119"/>
      <c r="S5354" s="118">
        <v>14300</v>
      </c>
      <c r="T5354" s="119"/>
      <c r="U5354" s="118">
        <f t="shared" ref="U5354" si="6654">SUM(K5354:T5355)</f>
        <v>386470</v>
      </c>
      <c r="V5354" s="122"/>
      <c r="W5354" s="124"/>
      <c r="X5354" s="126" t="s">
        <v>15943</v>
      </c>
      <c r="Y5354" s="127"/>
      <c r="Z5354" s="127"/>
      <c r="AA5354" s="127"/>
      <c r="AB5354" s="128"/>
      <c r="AC5354" s="15" t="s">
        <v>20</v>
      </c>
      <c r="AD5354" s="129" t="s">
        <v>15944</v>
      </c>
      <c r="AE5354" s="130"/>
      <c r="AF5354" s="130"/>
      <c r="AG5354" s="130"/>
      <c r="AH5354" s="130"/>
      <c r="AI5354" s="131"/>
      <c r="AJ5354" s="132"/>
      <c r="AK5354" s="127"/>
      <c r="AL5354" s="128"/>
      <c r="AM5354" s="21"/>
      <c r="AN5354" s="133">
        <v>46050</v>
      </c>
      <c r="AO5354" s="134"/>
      <c r="AP5354" s="135">
        <v>1002</v>
      </c>
      <c r="AQ5354" s="136"/>
      <c r="AR5354" s="118">
        <v>375000</v>
      </c>
      <c r="AS5354" s="119"/>
      <c r="AT5354" s="118">
        <f t="shared" ref="AT5354" si="6655">AR5354*0.1</f>
        <v>37500</v>
      </c>
      <c r="AU5354" s="119"/>
      <c r="AV5354" s="118">
        <v>10270</v>
      </c>
      <c r="AW5354" s="119"/>
      <c r="AX5354" s="118">
        <f t="shared" ref="AX5354" si="6656">SUM(AR5354:AW5354)</f>
        <v>422770</v>
      </c>
      <c r="AY5354" s="119"/>
      <c r="AZ5354" s="137">
        <v>46055</v>
      </c>
    </row>
    <row r="5355" spans="1:52" ht="17.100000000000001" customHeight="1" thickBot="1">
      <c r="A5355" s="110"/>
      <c r="B5355" s="27" t="s">
        <v>1940</v>
      </c>
      <c r="C5355" s="27">
        <v>156</v>
      </c>
      <c r="D5355" s="14" t="s">
        <v>275</v>
      </c>
      <c r="E5355" s="112"/>
      <c r="F5355" s="139" t="s">
        <v>15838</v>
      </c>
      <c r="G5355" s="140"/>
      <c r="H5355" s="141"/>
      <c r="I5355" s="26">
        <v>30848</v>
      </c>
      <c r="J5355" s="117"/>
      <c r="K5355" s="120"/>
      <c r="L5355" s="121"/>
      <c r="M5355" s="120"/>
      <c r="N5355" s="121"/>
      <c r="O5355" s="120"/>
      <c r="P5355" s="121"/>
      <c r="Q5355" s="120"/>
      <c r="R5355" s="121"/>
      <c r="S5355" s="120"/>
      <c r="T5355" s="121"/>
      <c r="U5355" s="120"/>
      <c r="V5355" s="123"/>
      <c r="W5355" s="125"/>
      <c r="X5355" s="142" t="s">
        <v>4690</v>
      </c>
      <c r="Y5355" s="143"/>
      <c r="Z5355" s="143"/>
      <c r="AA5355" s="143"/>
      <c r="AB5355" s="144"/>
      <c r="AC5355" s="16" t="s">
        <v>21</v>
      </c>
      <c r="AD5355" s="17" t="s">
        <v>16172</v>
      </c>
      <c r="AE5355" s="145" t="s">
        <v>16207</v>
      </c>
      <c r="AF5355" s="146"/>
      <c r="AG5355" s="146"/>
      <c r="AH5355" s="146"/>
      <c r="AI5355" s="147"/>
      <c r="AJ5355" s="148"/>
      <c r="AK5355" s="143"/>
      <c r="AL5355" s="144"/>
      <c r="AM5355" s="22"/>
      <c r="AN5355" s="149" t="s">
        <v>2794</v>
      </c>
      <c r="AO5355" s="144"/>
      <c r="AP5355" s="148">
        <v>5068</v>
      </c>
      <c r="AQ5355" s="144"/>
      <c r="AR5355" s="120"/>
      <c r="AS5355" s="121"/>
      <c r="AT5355" s="120"/>
      <c r="AU5355" s="121"/>
      <c r="AV5355" s="120"/>
      <c r="AW5355" s="121"/>
      <c r="AX5355" s="120"/>
      <c r="AY5355" s="121"/>
      <c r="AZ5355" s="138"/>
    </row>
    <row r="5356" spans="1:52" ht="17.100000000000001" customHeight="1" thickTop="1">
      <c r="A5356" s="109" t="s">
        <v>15804</v>
      </c>
      <c r="B5356" s="28">
        <v>46044</v>
      </c>
      <c r="C5356" s="25">
        <v>2142</v>
      </c>
      <c r="D5356" s="13" t="s">
        <v>2530</v>
      </c>
      <c r="E5356" s="111"/>
      <c r="F5356" s="113" t="s">
        <v>15839</v>
      </c>
      <c r="G5356" s="114"/>
      <c r="H5356" s="115"/>
      <c r="I5356" s="24" t="s">
        <v>15945</v>
      </c>
      <c r="J5356" s="116">
        <v>4.5</v>
      </c>
      <c r="K5356" s="118">
        <v>956000</v>
      </c>
      <c r="L5356" s="119"/>
      <c r="M5356" s="118">
        <f t="shared" ref="M5356" si="6657">K5356*0.1</f>
        <v>95600</v>
      </c>
      <c r="N5356" s="119"/>
      <c r="O5356" s="118">
        <v>0</v>
      </c>
      <c r="P5356" s="119"/>
      <c r="Q5356" s="118">
        <v>8450</v>
      </c>
      <c r="R5356" s="119"/>
      <c r="S5356" s="118">
        <v>14300</v>
      </c>
      <c r="T5356" s="119"/>
      <c r="U5356" s="118">
        <f t="shared" ref="U5356" si="6658">SUM(K5356:T5357)</f>
        <v>1074350</v>
      </c>
      <c r="V5356" s="122"/>
      <c r="W5356" s="124"/>
      <c r="X5356" s="126" t="s">
        <v>15946</v>
      </c>
      <c r="Y5356" s="127"/>
      <c r="Z5356" s="127"/>
      <c r="AA5356" s="127"/>
      <c r="AB5356" s="128"/>
      <c r="AC5356" s="15" t="s">
        <v>20</v>
      </c>
      <c r="AD5356" s="129" t="s">
        <v>15947</v>
      </c>
      <c r="AE5356" s="130"/>
      <c r="AF5356" s="130"/>
      <c r="AG5356" s="130"/>
      <c r="AH5356" s="130"/>
      <c r="AI5356" s="131"/>
      <c r="AJ5356" s="132"/>
      <c r="AK5356" s="127"/>
      <c r="AL5356" s="128"/>
      <c r="AM5356" s="21" t="s">
        <v>16920</v>
      </c>
      <c r="AN5356" s="133">
        <v>46056</v>
      </c>
      <c r="AO5356" s="134"/>
      <c r="AP5356" s="135">
        <v>1927</v>
      </c>
      <c r="AQ5356" s="136"/>
      <c r="AR5356" s="118">
        <v>991000</v>
      </c>
      <c r="AS5356" s="119"/>
      <c r="AT5356" s="118">
        <f t="shared" ref="AT5356" si="6659">AR5356*0.1</f>
        <v>99100</v>
      </c>
      <c r="AU5356" s="119"/>
      <c r="AV5356" s="118">
        <v>8450</v>
      </c>
      <c r="AW5356" s="119"/>
      <c r="AX5356" s="118">
        <f t="shared" ref="AX5356" si="6660">SUM(AR5356:AW5356)</f>
        <v>1098550</v>
      </c>
      <c r="AY5356" s="119"/>
      <c r="AZ5356" s="137">
        <v>46063</v>
      </c>
    </row>
    <row r="5357" spans="1:52" ht="17.100000000000001" customHeight="1" thickBot="1">
      <c r="A5357" s="110"/>
      <c r="B5357" s="27" t="s">
        <v>1940</v>
      </c>
      <c r="C5357" s="27">
        <v>2063</v>
      </c>
      <c r="D5357" s="14" t="s">
        <v>1592</v>
      </c>
      <c r="E5357" s="112"/>
      <c r="F5357" s="139" t="s">
        <v>15840</v>
      </c>
      <c r="G5357" s="140"/>
      <c r="H5357" s="141"/>
      <c r="I5357" s="26">
        <v>736</v>
      </c>
      <c r="J5357" s="117"/>
      <c r="K5357" s="120"/>
      <c r="L5357" s="121"/>
      <c r="M5357" s="120"/>
      <c r="N5357" s="121"/>
      <c r="O5357" s="120"/>
      <c r="P5357" s="121"/>
      <c r="Q5357" s="120"/>
      <c r="R5357" s="121"/>
      <c r="S5357" s="120"/>
      <c r="T5357" s="121"/>
      <c r="U5357" s="120"/>
      <c r="V5357" s="123"/>
      <c r="W5357" s="125"/>
      <c r="X5357" s="142" t="s">
        <v>16208</v>
      </c>
      <c r="Y5357" s="143"/>
      <c r="Z5357" s="143"/>
      <c r="AA5357" s="143"/>
      <c r="AB5357" s="144"/>
      <c r="AC5357" s="16" t="s">
        <v>21</v>
      </c>
      <c r="AD5357" s="17" t="s">
        <v>16172</v>
      </c>
      <c r="AE5357" s="145" t="s">
        <v>171</v>
      </c>
      <c r="AF5357" s="146"/>
      <c r="AG5357" s="146"/>
      <c r="AH5357" s="146"/>
      <c r="AI5357" s="147"/>
      <c r="AJ5357" s="148"/>
      <c r="AK5357" s="143"/>
      <c r="AL5357" s="144"/>
      <c r="AM5357" s="22"/>
      <c r="AN5357" s="149" t="s">
        <v>2131</v>
      </c>
      <c r="AO5357" s="144"/>
      <c r="AP5357" s="148">
        <v>3157</v>
      </c>
      <c r="AQ5357" s="144"/>
      <c r="AR5357" s="120"/>
      <c r="AS5357" s="121"/>
      <c r="AT5357" s="120"/>
      <c r="AU5357" s="121"/>
      <c r="AV5357" s="120"/>
      <c r="AW5357" s="121"/>
      <c r="AX5357" s="120"/>
      <c r="AY5357" s="121"/>
      <c r="AZ5357" s="138"/>
    </row>
    <row r="5358" spans="1:52" ht="17.100000000000001" customHeight="1" thickTop="1">
      <c r="A5358" s="109" t="s">
        <v>15805</v>
      </c>
      <c r="B5358" s="28">
        <v>46044</v>
      </c>
      <c r="C5358" s="25">
        <v>2142</v>
      </c>
      <c r="D5358" s="13" t="s">
        <v>2442</v>
      </c>
      <c r="E5358" s="111"/>
      <c r="F5358" s="113" t="s">
        <v>15948</v>
      </c>
      <c r="G5358" s="114"/>
      <c r="H5358" s="115"/>
      <c r="I5358" s="24"/>
      <c r="J5358" s="116">
        <v>4</v>
      </c>
      <c r="K5358" s="118">
        <v>458000</v>
      </c>
      <c r="L5358" s="119"/>
      <c r="M5358" s="118">
        <f t="shared" ref="M5358" si="6661">K5358*0.1</f>
        <v>45800</v>
      </c>
      <c r="N5358" s="119"/>
      <c r="O5358" s="118">
        <v>0</v>
      </c>
      <c r="P5358" s="119"/>
      <c r="Q5358" s="118">
        <v>7140</v>
      </c>
      <c r="R5358" s="119"/>
      <c r="S5358" s="118">
        <v>14300</v>
      </c>
      <c r="T5358" s="119"/>
      <c r="U5358" s="118">
        <f t="shared" ref="U5358" si="6662">SUM(K5358:T5359)</f>
        <v>525240</v>
      </c>
      <c r="V5358" s="122"/>
      <c r="W5358" s="124"/>
      <c r="X5358" s="126" t="s">
        <v>16195</v>
      </c>
      <c r="Y5358" s="127"/>
      <c r="Z5358" s="127"/>
      <c r="AA5358" s="127"/>
      <c r="AB5358" s="128"/>
      <c r="AC5358" s="15" t="s">
        <v>20</v>
      </c>
      <c r="AD5358" s="129"/>
      <c r="AE5358" s="130"/>
      <c r="AF5358" s="130"/>
      <c r="AG5358" s="130"/>
      <c r="AH5358" s="130"/>
      <c r="AI5358" s="131"/>
      <c r="AJ5358" s="132"/>
      <c r="AK5358" s="127"/>
      <c r="AL5358" s="128"/>
      <c r="AM5358" s="21"/>
      <c r="AN5358" s="133">
        <v>46060</v>
      </c>
      <c r="AO5358" s="134"/>
      <c r="AP5358" s="135">
        <v>1287</v>
      </c>
      <c r="AQ5358" s="136"/>
      <c r="AR5358" s="118">
        <v>460000</v>
      </c>
      <c r="AS5358" s="119"/>
      <c r="AT5358" s="118">
        <f t="shared" ref="AT5358" si="6663">AR5358*0.1</f>
        <v>46000</v>
      </c>
      <c r="AU5358" s="119"/>
      <c r="AV5358" s="118">
        <v>7140</v>
      </c>
      <c r="AW5358" s="119"/>
      <c r="AX5358" s="118">
        <f t="shared" ref="AX5358" si="6664">SUM(AR5358:AW5358)</f>
        <v>513140</v>
      </c>
      <c r="AY5358" s="119"/>
      <c r="AZ5358" s="137">
        <v>46063</v>
      </c>
    </row>
    <row r="5359" spans="1:52" ht="17.100000000000001" customHeight="1" thickBot="1">
      <c r="A5359" s="110"/>
      <c r="B5359" s="27" t="s">
        <v>1940</v>
      </c>
      <c r="C5359" s="27">
        <v>2510</v>
      </c>
      <c r="D5359" s="14" t="s">
        <v>904</v>
      </c>
      <c r="E5359" s="112"/>
      <c r="F5359" s="139" t="s">
        <v>15841</v>
      </c>
      <c r="G5359" s="140"/>
      <c r="H5359" s="141"/>
      <c r="I5359" s="26">
        <v>42579</v>
      </c>
      <c r="J5359" s="117"/>
      <c r="K5359" s="120"/>
      <c r="L5359" s="121"/>
      <c r="M5359" s="120"/>
      <c r="N5359" s="121"/>
      <c r="O5359" s="120"/>
      <c r="P5359" s="121"/>
      <c r="Q5359" s="120"/>
      <c r="R5359" s="121"/>
      <c r="S5359" s="120"/>
      <c r="T5359" s="121"/>
      <c r="U5359" s="120"/>
      <c r="V5359" s="123"/>
      <c r="W5359" s="125"/>
      <c r="X5359" s="142" t="s">
        <v>16196</v>
      </c>
      <c r="Y5359" s="143"/>
      <c r="Z5359" s="143"/>
      <c r="AA5359" s="143"/>
      <c r="AB5359" s="144"/>
      <c r="AC5359" s="16" t="s">
        <v>21</v>
      </c>
      <c r="AD5359" s="17" t="s">
        <v>16172</v>
      </c>
      <c r="AE5359" s="145"/>
      <c r="AF5359" s="146"/>
      <c r="AG5359" s="146"/>
      <c r="AH5359" s="146"/>
      <c r="AI5359" s="147"/>
      <c r="AJ5359" s="148"/>
      <c r="AK5359" s="143"/>
      <c r="AL5359" s="144"/>
      <c r="AM5359" s="22"/>
      <c r="AN5359" s="149" t="s">
        <v>2511</v>
      </c>
      <c r="AO5359" s="144"/>
      <c r="AP5359" s="148">
        <v>60209</v>
      </c>
      <c r="AQ5359" s="144"/>
      <c r="AR5359" s="120"/>
      <c r="AS5359" s="121"/>
      <c r="AT5359" s="120"/>
      <c r="AU5359" s="121"/>
      <c r="AV5359" s="120"/>
      <c r="AW5359" s="121"/>
      <c r="AX5359" s="120"/>
      <c r="AY5359" s="121"/>
      <c r="AZ5359" s="138"/>
    </row>
    <row r="5360" spans="1:52" ht="17.100000000000001" customHeight="1" thickTop="1">
      <c r="A5360" s="151" t="s">
        <v>15806</v>
      </c>
      <c r="B5360" s="28">
        <v>46044</v>
      </c>
      <c r="C5360" s="25">
        <v>2142</v>
      </c>
      <c r="D5360" s="13" t="s">
        <v>1902</v>
      </c>
      <c r="E5360" s="111"/>
      <c r="F5360" s="113" t="s">
        <v>15949</v>
      </c>
      <c r="G5360" s="114"/>
      <c r="H5360" s="115"/>
      <c r="I5360" s="24"/>
      <c r="J5360" s="116">
        <v>4.5</v>
      </c>
      <c r="K5360" s="118">
        <v>419000</v>
      </c>
      <c r="L5360" s="119"/>
      <c r="M5360" s="118">
        <f t="shared" ref="M5360" si="6665">K5360*0.1</f>
        <v>41900</v>
      </c>
      <c r="N5360" s="119"/>
      <c r="O5360" s="118">
        <v>0</v>
      </c>
      <c r="P5360" s="119"/>
      <c r="Q5360" s="118">
        <v>7140</v>
      </c>
      <c r="R5360" s="119"/>
      <c r="S5360" s="118">
        <v>14300</v>
      </c>
      <c r="T5360" s="119"/>
      <c r="U5360" s="118">
        <f t="shared" ref="U5360" si="6666">SUM(K5360:T5361)</f>
        <v>482340</v>
      </c>
      <c r="V5360" s="122"/>
      <c r="W5360" s="124"/>
      <c r="X5360" s="126" t="s">
        <v>16351</v>
      </c>
      <c r="Y5360" s="127"/>
      <c r="Z5360" s="127"/>
      <c r="AA5360" s="127"/>
      <c r="AB5360" s="128"/>
      <c r="AC5360" s="15" t="s">
        <v>20</v>
      </c>
      <c r="AD5360" s="129" t="s">
        <v>1670</v>
      </c>
      <c r="AE5360" s="130"/>
      <c r="AF5360" s="130"/>
      <c r="AG5360" s="130"/>
      <c r="AH5360" s="130"/>
      <c r="AI5360" s="131"/>
      <c r="AJ5360" s="132"/>
      <c r="AK5360" s="127"/>
      <c r="AL5360" s="128"/>
      <c r="AM5360" s="21"/>
      <c r="AN5360" s="133">
        <v>46049</v>
      </c>
      <c r="AO5360" s="134"/>
      <c r="AP5360" s="135">
        <v>1926</v>
      </c>
      <c r="AQ5360" s="136"/>
      <c r="AR5360" s="118">
        <v>485000</v>
      </c>
      <c r="AS5360" s="119"/>
      <c r="AT5360" s="118">
        <f t="shared" ref="AT5360" si="6667">AR5360*0.1</f>
        <v>48500</v>
      </c>
      <c r="AU5360" s="119"/>
      <c r="AV5360" s="118">
        <v>7140</v>
      </c>
      <c r="AW5360" s="119"/>
      <c r="AX5360" s="118">
        <f t="shared" ref="AX5360" si="6668">SUM(AR5360:AW5360)</f>
        <v>540640</v>
      </c>
      <c r="AY5360" s="119"/>
      <c r="AZ5360" s="137">
        <v>46056</v>
      </c>
    </row>
    <row r="5361" spans="1:52" ht="17.100000000000001" customHeight="1" thickBot="1">
      <c r="A5361" s="152"/>
      <c r="B5361" s="27" t="s">
        <v>1940</v>
      </c>
      <c r="C5361" s="27">
        <v>2514</v>
      </c>
      <c r="D5361" s="14" t="s">
        <v>904</v>
      </c>
      <c r="E5361" s="112"/>
      <c r="F5361" s="139" t="s">
        <v>15842</v>
      </c>
      <c r="G5361" s="140"/>
      <c r="H5361" s="141"/>
      <c r="I5361" s="26">
        <v>11372</v>
      </c>
      <c r="J5361" s="117"/>
      <c r="K5361" s="120"/>
      <c r="L5361" s="121"/>
      <c r="M5361" s="120"/>
      <c r="N5361" s="121"/>
      <c r="O5361" s="120"/>
      <c r="P5361" s="121"/>
      <c r="Q5361" s="120"/>
      <c r="R5361" s="121"/>
      <c r="S5361" s="120"/>
      <c r="T5361" s="121"/>
      <c r="U5361" s="120"/>
      <c r="V5361" s="123"/>
      <c r="W5361" s="125"/>
      <c r="X5361" s="142" t="s">
        <v>16352</v>
      </c>
      <c r="Y5361" s="143"/>
      <c r="Z5361" s="143"/>
      <c r="AA5361" s="143"/>
      <c r="AB5361" s="144"/>
      <c r="AC5361" s="16" t="s">
        <v>21</v>
      </c>
      <c r="AD5361" s="17" t="s">
        <v>1837</v>
      </c>
      <c r="AE5361" s="145" t="s">
        <v>8061</v>
      </c>
      <c r="AF5361" s="146"/>
      <c r="AG5361" s="146"/>
      <c r="AH5361" s="146"/>
      <c r="AI5361" s="147"/>
      <c r="AJ5361" s="148"/>
      <c r="AK5361" s="143"/>
      <c r="AL5361" s="144"/>
      <c r="AM5361" s="22"/>
      <c r="AN5361" s="149" t="s">
        <v>7644</v>
      </c>
      <c r="AO5361" s="144"/>
      <c r="AP5361" s="148">
        <v>3251</v>
      </c>
      <c r="AQ5361" s="144"/>
      <c r="AR5361" s="120"/>
      <c r="AS5361" s="121"/>
      <c r="AT5361" s="120"/>
      <c r="AU5361" s="121"/>
      <c r="AV5361" s="120"/>
      <c r="AW5361" s="121"/>
      <c r="AX5361" s="120"/>
      <c r="AY5361" s="121"/>
      <c r="AZ5361" s="138"/>
    </row>
    <row r="5362" spans="1:52" ht="17.100000000000001" customHeight="1" thickTop="1">
      <c r="A5362" s="109" t="s">
        <v>15807</v>
      </c>
      <c r="B5362" s="28">
        <v>46044</v>
      </c>
      <c r="C5362" s="25">
        <v>2142</v>
      </c>
      <c r="D5362" s="13" t="s">
        <v>1059</v>
      </c>
      <c r="E5362" s="111"/>
      <c r="F5362" s="113" t="s">
        <v>15950</v>
      </c>
      <c r="G5362" s="114"/>
      <c r="H5362" s="115"/>
      <c r="I5362" s="24"/>
      <c r="J5362" s="116">
        <v>4.5</v>
      </c>
      <c r="K5362" s="118">
        <v>1314000</v>
      </c>
      <c r="L5362" s="119"/>
      <c r="M5362" s="118">
        <f t="shared" ref="M5362" si="6669">K5362*0.1</f>
        <v>131400</v>
      </c>
      <c r="N5362" s="119"/>
      <c r="O5362" s="118">
        <v>0</v>
      </c>
      <c r="P5362" s="119"/>
      <c r="Q5362" s="118">
        <v>8550</v>
      </c>
      <c r="R5362" s="119"/>
      <c r="S5362" s="118">
        <v>14300</v>
      </c>
      <c r="T5362" s="119"/>
      <c r="U5362" s="118">
        <f t="shared" ref="U5362" si="6670">SUM(K5362:T5363)</f>
        <v>1468250</v>
      </c>
      <c r="V5362" s="122"/>
      <c r="W5362" s="124"/>
      <c r="X5362" s="126" t="s">
        <v>16194</v>
      </c>
      <c r="Y5362" s="127"/>
      <c r="Z5362" s="127"/>
      <c r="AA5362" s="127"/>
      <c r="AB5362" s="128"/>
      <c r="AC5362" s="15" t="s">
        <v>20</v>
      </c>
      <c r="AD5362" s="129" t="s">
        <v>1670</v>
      </c>
      <c r="AE5362" s="130"/>
      <c r="AF5362" s="130"/>
      <c r="AG5362" s="130"/>
      <c r="AH5362" s="130"/>
      <c r="AI5362" s="131"/>
      <c r="AJ5362" s="132"/>
      <c r="AK5362" s="127"/>
      <c r="AL5362" s="128"/>
      <c r="AM5362" s="21"/>
      <c r="AN5362" s="133">
        <v>46049</v>
      </c>
      <c r="AO5362" s="134"/>
      <c r="AP5362" s="135">
        <v>1926</v>
      </c>
      <c r="AQ5362" s="136"/>
      <c r="AR5362" s="118">
        <v>1342000</v>
      </c>
      <c r="AS5362" s="119"/>
      <c r="AT5362" s="118">
        <f t="shared" ref="AT5362" si="6671">AR5362*0.1</f>
        <v>134200</v>
      </c>
      <c r="AU5362" s="119"/>
      <c r="AV5362" s="118">
        <v>8550</v>
      </c>
      <c r="AW5362" s="119"/>
      <c r="AX5362" s="118">
        <f t="shared" ref="AX5362" si="6672">SUM(AR5362:AW5362)</f>
        <v>1484750</v>
      </c>
      <c r="AY5362" s="119"/>
      <c r="AZ5362" s="137"/>
    </row>
    <row r="5363" spans="1:52" ht="17.100000000000001" customHeight="1" thickBot="1">
      <c r="A5363" s="110"/>
      <c r="B5363" s="27" t="s">
        <v>1940</v>
      </c>
      <c r="C5363" s="27">
        <v>2594</v>
      </c>
      <c r="D5363" s="14" t="s">
        <v>2601</v>
      </c>
      <c r="E5363" s="112"/>
      <c r="F5363" s="139" t="s">
        <v>15843</v>
      </c>
      <c r="G5363" s="140"/>
      <c r="H5363" s="141"/>
      <c r="I5363" s="26">
        <v>29226</v>
      </c>
      <c r="J5363" s="117"/>
      <c r="K5363" s="120"/>
      <c r="L5363" s="121"/>
      <c r="M5363" s="120"/>
      <c r="N5363" s="121"/>
      <c r="O5363" s="120"/>
      <c r="P5363" s="121"/>
      <c r="Q5363" s="120"/>
      <c r="R5363" s="121"/>
      <c r="S5363" s="120"/>
      <c r="T5363" s="121"/>
      <c r="U5363" s="120"/>
      <c r="V5363" s="123"/>
      <c r="W5363" s="125"/>
      <c r="X5363" s="142" t="s">
        <v>1673</v>
      </c>
      <c r="Y5363" s="143"/>
      <c r="Z5363" s="143"/>
      <c r="AA5363" s="143"/>
      <c r="AB5363" s="144"/>
      <c r="AC5363" s="16" t="s">
        <v>21</v>
      </c>
      <c r="AD5363" s="17" t="s">
        <v>16172</v>
      </c>
      <c r="AE5363" s="145" t="s">
        <v>2395</v>
      </c>
      <c r="AF5363" s="146"/>
      <c r="AG5363" s="146"/>
      <c r="AH5363" s="146"/>
      <c r="AI5363" s="147"/>
      <c r="AJ5363" s="148"/>
      <c r="AK5363" s="143"/>
      <c r="AL5363" s="144"/>
      <c r="AM5363" s="22"/>
      <c r="AN5363" s="149" t="s">
        <v>2131</v>
      </c>
      <c r="AO5363" s="144"/>
      <c r="AP5363" s="148">
        <v>3257</v>
      </c>
      <c r="AQ5363" s="144"/>
      <c r="AR5363" s="120"/>
      <c r="AS5363" s="121"/>
      <c r="AT5363" s="120"/>
      <c r="AU5363" s="121"/>
      <c r="AV5363" s="120"/>
      <c r="AW5363" s="121"/>
      <c r="AX5363" s="120"/>
      <c r="AY5363" s="121"/>
      <c r="AZ5363" s="138"/>
    </row>
    <row r="5364" spans="1:52" ht="17.100000000000001" customHeight="1" thickTop="1">
      <c r="A5364" s="109" t="s">
        <v>15808</v>
      </c>
      <c r="B5364" s="28">
        <v>46045</v>
      </c>
      <c r="C5364" s="25">
        <v>86</v>
      </c>
      <c r="D5364" s="13" t="s">
        <v>3381</v>
      </c>
      <c r="E5364" s="111"/>
      <c r="F5364" s="113" t="s">
        <v>15844</v>
      </c>
      <c r="G5364" s="114"/>
      <c r="H5364" s="115"/>
      <c r="I5364" s="24" t="s">
        <v>2064</v>
      </c>
      <c r="J5364" s="116">
        <v>4.5</v>
      </c>
      <c r="K5364" s="118">
        <v>1190000</v>
      </c>
      <c r="L5364" s="119"/>
      <c r="M5364" s="118">
        <f t="shared" ref="M5364" si="6673">K5364*0.1</f>
        <v>119000</v>
      </c>
      <c r="N5364" s="119"/>
      <c r="O5364" s="118">
        <v>3520</v>
      </c>
      <c r="P5364" s="119"/>
      <c r="Q5364" s="118">
        <v>10190</v>
      </c>
      <c r="R5364" s="119"/>
      <c r="S5364" s="118">
        <v>44000</v>
      </c>
      <c r="T5364" s="119"/>
      <c r="U5364" s="118">
        <f t="shared" ref="U5364" si="6674">SUM(K5364:T5365)</f>
        <v>1366710</v>
      </c>
      <c r="V5364" s="122"/>
      <c r="W5364" s="124"/>
      <c r="X5364" s="126" t="s">
        <v>16722</v>
      </c>
      <c r="Y5364" s="127"/>
      <c r="Z5364" s="127"/>
      <c r="AA5364" s="127"/>
      <c r="AB5364" s="128"/>
      <c r="AC5364" s="15" t="s">
        <v>20</v>
      </c>
      <c r="AD5364" s="129" t="s">
        <v>15234</v>
      </c>
      <c r="AE5364" s="130"/>
      <c r="AF5364" s="130"/>
      <c r="AG5364" s="130"/>
      <c r="AH5364" s="130"/>
      <c r="AI5364" s="131"/>
      <c r="AJ5364" s="132"/>
      <c r="AK5364" s="127"/>
      <c r="AL5364" s="128"/>
      <c r="AM5364" s="21"/>
      <c r="AN5364" s="133">
        <v>46081</v>
      </c>
      <c r="AO5364" s="134"/>
      <c r="AP5364" s="135">
        <v>1290</v>
      </c>
      <c r="AQ5364" s="136"/>
      <c r="AR5364" s="118">
        <v>1250000</v>
      </c>
      <c r="AS5364" s="119"/>
      <c r="AT5364" s="118">
        <f t="shared" ref="AT5364" si="6675">AR5364*0.1</f>
        <v>125000</v>
      </c>
      <c r="AU5364" s="119"/>
      <c r="AV5364" s="118">
        <v>10190</v>
      </c>
      <c r="AW5364" s="119"/>
      <c r="AX5364" s="118">
        <f t="shared" ref="AX5364" si="6676">SUM(AR5364:AW5364)</f>
        <v>1385190</v>
      </c>
      <c r="AY5364" s="119"/>
      <c r="AZ5364" s="137">
        <v>46084</v>
      </c>
    </row>
    <row r="5365" spans="1:52" ht="17.100000000000001" customHeight="1" thickBot="1">
      <c r="A5365" s="110"/>
      <c r="B5365" s="27" t="s">
        <v>4544</v>
      </c>
      <c r="C5365" s="27">
        <v>1003</v>
      </c>
      <c r="D5365" s="14" t="s">
        <v>1720</v>
      </c>
      <c r="E5365" s="112"/>
      <c r="F5365" s="139" t="s">
        <v>15845</v>
      </c>
      <c r="G5365" s="140"/>
      <c r="H5365" s="141"/>
      <c r="I5365" s="26">
        <v>45489</v>
      </c>
      <c r="J5365" s="117"/>
      <c r="K5365" s="120"/>
      <c r="L5365" s="121"/>
      <c r="M5365" s="120"/>
      <c r="N5365" s="121"/>
      <c r="O5365" s="120"/>
      <c r="P5365" s="121"/>
      <c r="Q5365" s="120"/>
      <c r="R5365" s="121"/>
      <c r="S5365" s="120"/>
      <c r="T5365" s="121"/>
      <c r="U5365" s="120"/>
      <c r="V5365" s="123"/>
      <c r="W5365" s="125"/>
      <c r="X5365" s="142" t="s">
        <v>16723</v>
      </c>
      <c r="Y5365" s="143"/>
      <c r="Z5365" s="143"/>
      <c r="AA5365" s="143"/>
      <c r="AB5365" s="144"/>
      <c r="AC5365" s="16" t="s">
        <v>21</v>
      </c>
      <c r="AD5365" s="17" t="s">
        <v>2654</v>
      </c>
      <c r="AE5365" s="145" t="s">
        <v>9504</v>
      </c>
      <c r="AF5365" s="146"/>
      <c r="AG5365" s="146"/>
      <c r="AH5365" s="146"/>
      <c r="AI5365" s="147"/>
      <c r="AJ5365" s="148"/>
      <c r="AK5365" s="143"/>
      <c r="AL5365" s="144"/>
      <c r="AM5365" s="22"/>
      <c r="AN5365" s="149" t="s">
        <v>2511</v>
      </c>
      <c r="AO5365" s="144"/>
      <c r="AP5365" s="148">
        <v>31189</v>
      </c>
      <c r="AQ5365" s="144"/>
      <c r="AR5365" s="120"/>
      <c r="AS5365" s="121"/>
      <c r="AT5365" s="120"/>
      <c r="AU5365" s="121"/>
      <c r="AV5365" s="120"/>
      <c r="AW5365" s="121"/>
      <c r="AX5365" s="120"/>
      <c r="AY5365" s="121"/>
      <c r="AZ5365" s="138"/>
    </row>
    <row r="5366" spans="1:52" ht="17.100000000000001" customHeight="1" thickTop="1">
      <c r="A5366" s="109" t="s">
        <v>15819</v>
      </c>
      <c r="B5366" s="28">
        <v>46045</v>
      </c>
      <c r="C5366" s="25">
        <v>86</v>
      </c>
      <c r="D5366" s="13" t="s">
        <v>1831</v>
      </c>
      <c r="E5366" s="111"/>
      <c r="F5366" s="113" t="s">
        <v>15980</v>
      </c>
      <c r="G5366" s="114"/>
      <c r="H5366" s="115"/>
      <c r="I5366" s="24" t="s">
        <v>4754</v>
      </c>
      <c r="J5366" s="116">
        <v>3.5</v>
      </c>
      <c r="K5366" s="118">
        <v>285000</v>
      </c>
      <c r="L5366" s="119"/>
      <c r="M5366" s="118">
        <f t="shared" ref="M5366" si="6677">K5366*0.1</f>
        <v>28500</v>
      </c>
      <c r="N5366" s="119"/>
      <c r="O5366" s="118">
        <v>0</v>
      </c>
      <c r="P5366" s="119"/>
      <c r="Q5366" s="118">
        <v>8460</v>
      </c>
      <c r="R5366" s="119"/>
      <c r="S5366" s="118">
        <v>33000</v>
      </c>
      <c r="T5366" s="119"/>
      <c r="U5366" s="118">
        <f t="shared" ref="U5366" si="6678">SUM(K5366:T5367)</f>
        <v>354960</v>
      </c>
      <c r="V5366" s="122"/>
      <c r="W5366" s="124"/>
      <c r="X5366" s="126" t="s">
        <v>17043</v>
      </c>
      <c r="Y5366" s="127"/>
      <c r="Z5366" s="127"/>
      <c r="AA5366" s="127"/>
      <c r="AB5366" s="128"/>
      <c r="AC5366" s="15" t="s">
        <v>20</v>
      </c>
      <c r="AD5366" s="129" t="s">
        <v>15981</v>
      </c>
      <c r="AE5366" s="130"/>
      <c r="AF5366" s="130"/>
      <c r="AG5366" s="130"/>
      <c r="AH5366" s="130"/>
      <c r="AI5366" s="131"/>
      <c r="AJ5366" s="132"/>
      <c r="AK5366" s="127"/>
      <c r="AL5366" s="128"/>
      <c r="AM5366" s="21"/>
      <c r="AN5366" s="133">
        <v>46060</v>
      </c>
      <c r="AO5366" s="134"/>
      <c r="AP5366" s="135">
        <v>1287</v>
      </c>
      <c r="AQ5366" s="136"/>
      <c r="AR5366" s="118">
        <v>415000</v>
      </c>
      <c r="AS5366" s="119"/>
      <c r="AT5366" s="118">
        <f t="shared" ref="AT5366" si="6679">AR5366*0.1</f>
        <v>41500</v>
      </c>
      <c r="AU5366" s="119"/>
      <c r="AV5366" s="118">
        <v>8460</v>
      </c>
      <c r="AW5366" s="119"/>
      <c r="AX5366" s="118">
        <f t="shared" ref="AX5366" si="6680">SUM(AR5366:AW5366)</f>
        <v>464960</v>
      </c>
      <c r="AY5366" s="119"/>
      <c r="AZ5366" s="137">
        <v>46065</v>
      </c>
    </row>
    <row r="5367" spans="1:52" ht="17.100000000000001" customHeight="1" thickBot="1">
      <c r="A5367" s="110"/>
      <c r="B5367" s="27" t="s">
        <v>4544</v>
      </c>
      <c r="C5367" s="27">
        <v>1034</v>
      </c>
      <c r="D5367" s="14" t="s">
        <v>275</v>
      </c>
      <c r="E5367" s="112"/>
      <c r="F5367" s="139" t="s">
        <v>15846</v>
      </c>
      <c r="G5367" s="140"/>
      <c r="H5367" s="141"/>
      <c r="I5367" s="26">
        <v>68896</v>
      </c>
      <c r="J5367" s="117"/>
      <c r="K5367" s="120"/>
      <c r="L5367" s="121"/>
      <c r="M5367" s="120"/>
      <c r="N5367" s="121"/>
      <c r="O5367" s="120"/>
      <c r="P5367" s="121"/>
      <c r="Q5367" s="120"/>
      <c r="R5367" s="121"/>
      <c r="S5367" s="120"/>
      <c r="T5367" s="121"/>
      <c r="U5367" s="120"/>
      <c r="V5367" s="123"/>
      <c r="W5367" s="125"/>
      <c r="X5367" s="142" t="s">
        <v>17044</v>
      </c>
      <c r="Y5367" s="143"/>
      <c r="Z5367" s="143"/>
      <c r="AA5367" s="143"/>
      <c r="AB5367" s="144"/>
      <c r="AC5367" s="16" t="s">
        <v>21</v>
      </c>
      <c r="AD5367" s="17" t="s">
        <v>3550</v>
      </c>
      <c r="AE5367" s="145" t="s">
        <v>1742</v>
      </c>
      <c r="AF5367" s="146"/>
      <c r="AG5367" s="146"/>
      <c r="AH5367" s="146"/>
      <c r="AI5367" s="147"/>
      <c r="AJ5367" s="148"/>
      <c r="AK5367" s="143"/>
      <c r="AL5367" s="144"/>
      <c r="AM5367" s="22"/>
      <c r="AN5367" s="149" t="s">
        <v>2511</v>
      </c>
      <c r="AO5367" s="144"/>
      <c r="AP5367" s="148">
        <v>65341</v>
      </c>
      <c r="AQ5367" s="144"/>
      <c r="AR5367" s="120"/>
      <c r="AS5367" s="121"/>
      <c r="AT5367" s="120"/>
      <c r="AU5367" s="121"/>
      <c r="AV5367" s="120"/>
      <c r="AW5367" s="121"/>
      <c r="AX5367" s="120"/>
      <c r="AY5367" s="121"/>
      <c r="AZ5367" s="138"/>
    </row>
    <row r="5368" spans="1:52" ht="17.100000000000001" customHeight="1" thickTop="1">
      <c r="A5368" s="109" t="s">
        <v>15820</v>
      </c>
      <c r="B5368" s="28">
        <v>46045</v>
      </c>
      <c r="C5368" s="25">
        <v>86</v>
      </c>
      <c r="D5368" s="13" t="s">
        <v>1714</v>
      </c>
      <c r="E5368" s="111"/>
      <c r="F5368" s="113" t="s">
        <v>15982</v>
      </c>
      <c r="G5368" s="114"/>
      <c r="H5368" s="115"/>
      <c r="I5368" s="24" t="s">
        <v>2526</v>
      </c>
      <c r="J5368" s="116">
        <v>4</v>
      </c>
      <c r="K5368" s="118">
        <v>2155000</v>
      </c>
      <c r="L5368" s="119"/>
      <c r="M5368" s="118">
        <f t="shared" ref="M5368" si="6681">K5368*0.1</f>
        <v>215500</v>
      </c>
      <c r="N5368" s="119"/>
      <c r="O5368" s="118">
        <v>5500</v>
      </c>
      <c r="P5368" s="119"/>
      <c r="Q5368" s="118">
        <v>10060</v>
      </c>
      <c r="R5368" s="119"/>
      <c r="S5368" s="118">
        <v>66000</v>
      </c>
      <c r="T5368" s="119"/>
      <c r="U5368" s="118">
        <f t="shared" ref="U5368" si="6682">SUM(K5368:T5369)</f>
        <v>2452060</v>
      </c>
      <c r="V5368" s="122"/>
      <c r="W5368" s="124"/>
      <c r="X5368" s="126" t="s">
        <v>16801</v>
      </c>
      <c r="Y5368" s="127"/>
      <c r="Z5368" s="127"/>
      <c r="AA5368" s="127"/>
      <c r="AB5368" s="128"/>
      <c r="AC5368" s="15" t="s">
        <v>20</v>
      </c>
      <c r="AD5368" s="129" t="s">
        <v>15983</v>
      </c>
      <c r="AE5368" s="130"/>
      <c r="AF5368" s="130"/>
      <c r="AG5368" s="130"/>
      <c r="AH5368" s="130"/>
      <c r="AI5368" s="131"/>
      <c r="AJ5368" s="132"/>
      <c r="AK5368" s="127"/>
      <c r="AL5368" s="128"/>
      <c r="AM5368" s="21"/>
      <c r="AN5368" s="133">
        <v>46057</v>
      </c>
      <c r="AO5368" s="134"/>
      <c r="AP5368" s="135">
        <v>1003</v>
      </c>
      <c r="AQ5368" s="136"/>
      <c r="AR5368" s="118">
        <v>2300000</v>
      </c>
      <c r="AS5368" s="119"/>
      <c r="AT5368" s="118">
        <f t="shared" ref="AT5368" si="6683">AR5368*0.1</f>
        <v>230000</v>
      </c>
      <c r="AU5368" s="119"/>
      <c r="AV5368" s="118">
        <v>10060</v>
      </c>
      <c r="AW5368" s="119"/>
      <c r="AX5368" s="118">
        <f t="shared" ref="AX5368" si="6684">SUM(AR5368:AW5368)</f>
        <v>2540060</v>
      </c>
      <c r="AY5368" s="119"/>
      <c r="AZ5368" s="137">
        <v>46063</v>
      </c>
    </row>
    <row r="5369" spans="1:52" ht="17.100000000000001" customHeight="1" thickBot="1">
      <c r="A5369" s="110"/>
      <c r="B5369" s="27" t="s">
        <v>4544</v>
      </c>
      <c r="C5369" s="27">
        <v>1048</v>
      </c>
      <c r="D5369" s="14" t="s">
        <v>275</v>
      </c>
      <c r="E5369" s="112"/>
      <c r="F5369" s="139" t="s">
        <v>15847</v>
      </c>
      <c r="G5369" s="140"/>
      <c r="H5369" s="141"/>
      <c r="I5369" s="26">
        <v>16113</v>
      </c>
      <c r="J5369" s="117"/>
      <c r="K5369" s="120"/>
      <c r="L5369" s="121"/>
      <c r="M5369" s="120"/>
      <c r="N5369" s="121"/>
      <c r="O5369" s="120"/>
      <c r="P5369" s="121"/>
      <c r="Q5369" s="120"/>
      <c r="R5369" s="121"/>
      <c r="S5369" s="120"/>
      <c r="T5369" s="121"/>
      <c r="U5369" s="120"/>
      <c r="V5369" s="123"/>
      <c r="W5369" s="125"/>
      <c r="X5369" s="142" t="s">
        <v>16802</v>
      </c>
      <c r="Y5369" s="143"/>
      <c r="Z5369" s="143"/>
      <c r="AA5369" s="143"/>
      <c r="AB5369" s="144"/>
      <c r="AC5369" s="16" t="s">
        <v>21</v>
      </c>
      <c r="AD5369" s="17" t="s">
        <v>2329</v>
      </c>
      <c r="AE5369" s="145" t="s">
        <v>1614</v>
      </c>
      <c r="AF5369" s="146"/>
      <c r="AG5369" s="146"/>
      <c r="AH5369" s="146"/>
      <c r="AI5369" s="147"/>
      <c r="AJ5369" s="148"/>
      <c r="AK5369" s="143"/>
      <c r="AL5369" s="144"/>
      <c r="AM5369" s="22"/>
      <c r="AN5369" s="149" t="s">
        <v>2794</v>
      </c>
      <c r="AO5369" s="144"/>
      <c r="AP5369" s="148">
        <v>1108</v>
      </c>
      <c r="AQ5369" s="144"/>
      <c r="AR5369" s="120"/>
      <c r="AS5369" s="121"/>
      <c r="AT5369" s="120"/>
      <c r="AU5369" s="121"/>
      <c r="AV5369" s="120"/>
      <c r="AW5369" s="121"/>
      <c r="AX5369" s="120"/>
      <c r="AY5369" s="121"/>
      <c r="AZ5369" s="138"/>
    </row>
    <row r="5370" spans="1:52" ht="17.100000000000001" customHeight="1" thickTop="1">
      <c r="A5370" s="109" t="s">
        <v>15821</v>
      </c>
      <c r="B5370" s="28">
        <v>46045</v>
      </c>
      <c r="C5370" s="25">
        <v>86</v>
      </c>
      <c r="D5370" s="13" t="s">
        <v>1640</v>
      </c>
      <c r="E5370" s="111"/>
      <c r="F5370" s="113" t="s">
        <v>15984</v>
      </c>
      <c r="G5370" s="114"/>
      <c r="H5370" s="115"/>
      <c r="I5370" s="24" t="s">
        <v>15985</v>
      </c>
      <c r="J5370" s="116">
        <v>3.5</v>
      </c>
      <c r="K5370" s="118">
        <v>2420000</v>
      </c>
      <c r="L5370" s="119"/>
      <c r="M5370" s="118">
        <f t="shared" ref="M5370" si="6685">K5370*0.1</f>
        <v>242000</v>
      </c>
      <c r="N5370" s="119"/>
      <c r="O5370" s="118">
        <v>10560</v>
      </c>
      <c r="P5370" s="119"/>
      <c r="Q5370" s="118">
        <v>11900</v>
      </c>
      <c r="R5370" s="119"/>
      <c r="S5370" s="118">
        <v>66000</v>
      </c>
      <c r="T5370" s="119"/>
      <c r="U5370" s="118">
        <f t="shared" ref="U5370" si="6686">SUM(K5370:T5371)</f>
        <v>2750460</v>
      </c>
      <c r="V5370" s="122"/>
      <c r="W5370" s="124"/>
      <c r="X5370" s="126" t="s">
        <v>16728</v>
      </c>
      <c r="Y5370" s="127"/>
      <c r="Z5370" s="127"/>
      <c r="AA5370" s="127"/>
      <c r="AB5370" s="128"/>
      <c r="AC5370" s="15" t="s">
        <v>20</v>
      </c>
      <c r="AD5370" s="129" t="s">
        <v>15986</v>
      </c>
      <c r="AE5370" s="130"/>
      <c r="AF5370" s="130"/>
      <c r="AG5370" s="130"/>
      <c r="AH5370" s="130"/>
      <c r="AI5370" s="131"/>
      <c r="AJ5370" s="132"/>
      <c r="AK5370" s="127"/>
      <c r="AL5370" s="128"/>
      <c r="AM5370" s="21"/>
      <c r="AN5370" s="133">
        <v>46064</v>
      </c>
      <c r="AO5370" s="134"/>
      <c r="AP5370" s="135">
        <v>1004</v>
      </c>
      <c r="AQ5370" s="136"/>
      <c r="AR5370" s="118">
        <v>2585000</v>
      </c>
      <c r="AS5370" s="119"/>
      <c r="AT5370" s="118">
        <f t="shared" ref="AT5370" si="6687">AR5370*0.1</f>
        <v>258500</v>
      </c>
      <c r="AU5370" s="119"/>
      <c r="AV5370" s="118">
        <v>11900</v>
      </c>
      <c r="AW5370" s="119"/>
      <c r="AX5370" s="118">
        <f t="shared" ref="AX5370" si="6688">SUM(AR5370:AW5370)</f>
        <v>2855400</v>
      </c>
      <c r="AY5370" s="119"/>
      <c r="AZ5370" s="137">
        <v>46070</v>
      </c>
    </row>
    <row r="5371" spans="1:52" ht="17.100000000000001" customHeight="1" thickBot="1">
      <c r="A5371" s="110"/>
      <c r="B5371" s="27" t="s">
        <v>4544</v>
      </c>
      <c r="C5371" s="27">
        <v>1051</v>
      </c>
      <c r="D5371" s="14" t="s">
        <v>2601</v>
      </c>
      <c r="E5371" s="112"/>
      <c r="F5371" s="139" t="s">
        <v>15848</v>
      </c>
      <c r="G5371" s="140"/>
      <c r="H5371" s="141"/>
      <c r="I5371" s="26">
        <v>28281</v>
      </c>
      <c r="J5371" s="117"/>
      <c r="K5371" s="120"/>
      <c r="L5371" s="121"/>
      <c r="M5371" s="120"/>
      <c r="N5371" s="121"/>
      <c r="O5371" s="120"/>
      <c r="P5371" s="121"/>
      <c r="Q5371" s="120"/>
      <c r="R5371" s="121"/>
      <c r="S5371" s="120"/>
      <c r="T5371" s="121"/>
      <c r="U5371" s="120"/>
      <c r="V5371" s="123"/>
      <c r="W5371" s="125"/>
      <c r="X5371" s="142" t="s">
        <v>16729</v>
      </c>
      <c r="Y5371" s="143"/>
      <c r="Z5371" s="143"/>
      <c r="AA5371" s="143"/>
      <c r="AB5371" s="144"/>
      <c r="AC5371" s="16" t="s">
        <v>21</v>
      </c>
      <c r="AD5371" s="17" t="s">
        <v>818</v>
      </c>
      <c r="AE5371" s="145" t="s">
        <v>1742</v>
      </c>
      <c r="AF5371" s="146"/>
      <c r="AG5371" s="146"/>
      <c r="AH5371" s="146"/>
      <c r="AI5371" s="147"/>
      <c r="AJ5371" s="148"/>
      <c r="AK5371" s="143"/>
      <c r="AL5371" s="144"/>
      <c r="AM5371" s="22"/>
      <c r="AN5371" s="149" t="s">
        <v>2794</v>
      </c>
      <c r="AO5371" s="144"/>
      <c r="AP5371" s="148">
        <v>1130</v>
      </c>
      <c r="AQ5371" s="144"/>
      <c r="AR5371" s="120"/>
      <c r="AS5371" s="121"/>
      <c r="AT5371" s="120"/>
      <c r="AU5371" s="121"/>
      <c r="AV5371" s="120"/>
      <c r="AW5371" s="121"/>
      <c r="AX5371" s="120"/>
      <c r="AY5371" s="121"/>
      <c r="AZ5371" s="138"/>
    </row>
    <row r="5372" spans="1:52" ht="17.100000000000001" customHeight="1" thickTop="1">
      <c r="A5372" s="109" t="s">
        <v>15822</v>
      </c>
      <c r="B5372" s="28">
        <v>46045</v>
      </c>
      <c r="C5372" s="25">
        <v>86</v>
      </c>
      <c r="D5372" s="13" t="s">
        <v>1958</v>
      </c>
      <c r="E5372" s="111"/>
      <c r="F5372" s="113" t="s">
        <v>15987</v>
      </c>
      <c r="G5372" s="114"/>
      <c r="H5372" s="115"/>
      <c r="I5372" s="24" t="s">
        <v>2919</v>
      </c>
      <c r="J5372" s="116">
        <v>4</v>
      </c>
      <c r="K5372" s="118">
        <v>2100000</v>
      </c>
      <c r="L5372" s="119"/>
      <c r="M5372" s="118">
        <f t="shared" ref="M5372" si="6689">K5372*0.1</f>
        <v>210000</v>
      </c>
      <c r="N5372" s="119"/>
      <c r="O5372" s="118">
        <v>3520</v>
      </c>
      <c r="P5372" s="119"/>
      <c r="Q5372" s="118">
        <v>12500</v>
      </c>
      <c r="R5372" s="119"/>
      <c r="S5372" s="118">
        <v>66000</v>
      </c>
      <c r="T5372" s="119"/>
      <c r="U5372" s="118">
        <f t="shared" ref="U5372" si="6690">SUM(K5372:T5373)</f>
        <v>2392020</v>
      </c>
      <c r="V5372" s="122"/>
      <c r="W5372" s="124"/>
      <c r="X5372" s="126" t="s">
        <v>16341</v>
      </c>
      <c r="Y5372" s="127"/>
      <c r="Z5372" s="127"/>
      <c r="AA5372" s="127"/>
      <c r="AB5372" s="128"/>
      <c r="AC5372" s="15" t="s">
        <v>20</v>
      </c>
      <c r="AD5372" s="129" t="s">
        <v>15234</v>
      </c>
      <c r="AE5372" s="130"/>
      <c r="AF5372" s="130"/>
      <c r="AG5372" s="130"/>
      <c r="AH5372" s="130"/>
      <c r="AI5372" s="131"/>
      <c r="AJ5372" s="132"/>
      <c r="AK5372" s="127"/>
      <c r="AL5372" s="128"/>
      <c r="AM5372" s="21"/>
      <c r="AN5372" s="133">
        <v>46078</v>
      </c>
      <c r="AO5372" s="134"/>
      <c r="AP5372" s="135">
        <v>1006</v>
      </c>
      <c r="AQ5372" s="136"/>
      <c r="AR5372" s="118">
        <v>2430000</v>
      </c>
      <c r="AS5372" s="119"/>
      <c r="AT5372" s="118">
        <f t="shared" ref="AT5372" si="6691">AR5372*0.1</f>
        <v>243000</v>
      </c>
      <c r="AU5372" s="119"/>
      <c r="AV5372" s="118">
        <v>12500</v>
      </c>
      <c r="AW5372" s="119"/>
      <c r="AX5372" s="118">
        <f t="shared" ref="AX5372" si="6692">SUM(AR5372:AW5372)</f>
        <v>2685500</v>
      </c>
      <c r="AY5372" s="119"/>
      <c r="AZ5372" s="137">
        <v>46083</v>
      </c>
    </row>
    <row r="5373" spans="1:52" ht="17.100000000000001" customHeight="1" thickBot="1">
      <c r="A5373" s="110"/>
      <c r="B5373" s="27" t="s">
        <v>4544</v>
      </c>
      <c r="C5373" s="27">
        <v>1084</v>
      </c>
      <c r="D5373" s="14" t="s">
        <v>2601</v>
      </c>
      <c r="E5373" s="112"/>
      <c r="F5373" s="139" t="s">
        <v>15849</v>
      </c>
      <c r="G5373" s="140"/>
      <c r="H5373" s="141"/>
      <c r="I5373" s="26">
        <v>51458</v>
      </c>
      <c r="J5373" s="117"/>
      <c r="K5373" s="120"/>
      <c r="L5373" s="121"/>
      <c r="M5373" s="120"/>
      <c r="N5373" s="121"/>
      <c r="O5373" s="120"/>
      <c r="P5373" s="121"/>
      <c r="Q5373" s="120"/>
      <c r="R5373" s="121"/>
      <c r="S5373" s="120"/>
      <c r="T5373" s="121"/>
      <c r="U5373" s="120"/>
      <c r="V5373" s="123"/>
      <c r="W5373" s="125"/>
      <c r="X5373" s="142" t="s">
        <v>16342</v>
      </c>
      <c r="Y5373" s="143"/>
      <c r="Z5373" s="143"/>
      <c r="AA5373" s="143"/>
      <c r="AB5373" s="144"/>
      <c r="AC5373" s="16" t="s">
        <v>21</v>
      </c>
      <c r="AD5373" s="17" t="s">
        <v>1837</v>
      </c>
      <c r="AE5373" s="145" t="s">
        <v>18955</v>
      </c>
      <c r="AF5373" s="146"/>
      <c r="AG5373" s="146"/>
      <c r="AH5373" s="146"/>
      <c r="AI5373" s="147"/>
      <c r="AJ5373" s="148"/>
      <c r="AK5373" s="143"/>
      <c r="AL5373" s="144"/>
      <c r="AM5373" s="22"/>
      <c r="AN5373" s="149" t="s">
        <v>2794</v>
      </c>
      <c r="AO5373" s="144"/>
      <c r="AP5373" s="148">
        <v>1196</v>
      </c>
      <c r="AQ5373" s="144"/>
      <c r="AR5373" s="120"/>
      <c r="AS5373" s="121"/>
      <c r="AT5373" s="120"/>
      <c r="AU5373" s="121"/>
      <c r="AV5373" s="120"/>
      <c r="AW5373" s="121"/>
      <c r="AX5373" s="120"/>
      <c r="AY5373" s="121"/>
      <c r="AZ5373" s="138"/>
    </row>
    <row r="5374" spans="1:52" ht="17.100000000000001" customHeight="1" thickTop="1">
      <c r="A5374" s="109" t="s">
        <v>15823</v>
      </c>
      <c r="B5374" s="28">
        <v>46045</v>
      </c>
      <c r="C5374" s="25">
        <v>86</v>
      </c>
      <c r="D5374" s="13" t="s">
        <v>1920</v>
      </c>
      <c r="E5374" s="111"/>
      <c r="F5374" s="113" t="s">
        <v>15956</v>
      </c>
      <c r="G5374" s="114"/>
      <c r="H5374" s="115"/>
      <c r="I5374" s="24" t="s">
        <v>2571</v>
      </c>
      <c r="J5374" s="116">
        <v>4</v>
      </c>
      <c r="K5374" s="118">
        <v>1195000</v>
      </c>
      <c r="L5374" s="119"/>
      <c r="M5374" s="118">
        <f t="shared" ref="M5374" si="6693">K5374*0.1</f>
        <v>119500</v>
      </c>
      <c r="N5374" s="119"/>
      <c r="O5374" s="118">
        <v>3080</v>
      </c>
      <c r="P5374" s="119"/>
      <c r="Q5374" s="118">
        <v>9130</v>
      </c>
      <c r="R5374" s="119"/>
      <c r="S5374" s="118">
        <v>44000</v>
      </c>
      <c r="T5374" s="119"/>
      <c r="U5374" s="118">
        <f t="shared" ref="U5374" si="6694">SUM(K5374:T5375)</f>
        <v>1370710</v>
      </c>
      <c r="V5374" s="122"/>
      <c r="W5374" s="124"/>
      <c r="X5374" s="126" t="s">
        <v>16973</v>
      </c>
      <c r="Y5374" s="127"/>
      <c r="Z5374" s="127"/>
      <c r="AA5374" s="127"/>
      <c r="AB5374" s="128"/>
      <c r="AC5374" s="15" t="s">
        <v>20</v>
      </c>
      <c r="AD5374" s="129" t="s">
        <v>15957</v>
      </c>
      <c r="AE5374" s="130"/>
      <c r="AF5374" s="130"/>
      <c r="AG5374" s="130"/>
      <c r="AH5374" s="130"/>
      <c r="AI5374" s="131"/>
      <c r="AJ5374" s="132"/>
      <c r="AK5374" s="127"/>
      <c r="AL5374" s="128"/>
      <c r="AM5374" s="21"/>
      <c r="AN5374" s="133">
        <v>46081</v>
      </c>
      <c r="AO5374" s="134"/>
      <c r="AP5374" s="135">
        <v>1290</v>
      </c>
      <c r="AQ5374" s="136"/>
      <c r="AR5374" s="118">
        <v>960000</v>
      </c>
      <c r="AS5374" s="119"/>
      <c r="AT5374" s="118">
        <f t="shared" ref="AT5374" si="6695">AR5374*0.1</f>
        <v>96000</v>
      </c>
      <c r="AU5374" s="119"/>
      <c r="AV5374" s="118">
        <v>9190</v>
      </c>
      <c r="AW5374" s="119"/>
      <c r="AX5374" s="118">
        <f t="shared" ref="AX5374" si="6696">SUM(AR5374:AW5374)</f>
        <v>1065190</v>
      </c>
      <c r="AY5374" s="119"/>
      <c r="AZ5374" s="137">
        <v>46084</v>
      </c>
    </row>
    <row r="5375" spans="1:52" ht="17.100000000000001" customHeight="1" thickBot="1">
      <c r="A5375" s="110"/>
      <c r="B5375" s="27" t="s">
        <v>4544</v>
      </c>
      <c r="C5375" s="27">
        <v>1092</v>
      </c>
      <c r="D5375" s="14" t="s">
        <v>2601</v>
      </c>
      <c r="E5375" s="112"/>
      <c r="F5375" s="139" t="s">
        <v>15850</v>
      </c>
      <c r="G5375" s="140"/>
      <c r="H5375" s="141"/>
      <c r="I5375" s="26">
        <v>18172</v>
      </c>
      <c r="J5375" s="117"/>
      <c r="K5375" s="120"/>
      <c r="L5375" s="121"/>
      <c r="M5375" s="120"/>
      <c r="N5375" s="121"/>
      <c r="O5375" s="120"/>
      <c r="P5375" s="121"/>
      <c r="Q5375" s="120"/>
      <c r="R5375" s="121"/>
      <c r="S5375" s="120"/>
      <c r="T5375" s="121"/>
      <c r="U5375" s="120"/>
      <c r="V5375" s="123"/>
      <c r="W5375" s="125"/>
      <c r="X5375" s="142" t="s">
        <v>16974</v>
      </c>
      <c r="Y5375" s="143"/>
      <c r="Z5375" s="143"/>
      <c r="AA5375" s="143"/>
      <c r="AB5375" s="144"/>
      <c r="AC5375" s="16" t="s">
        <v>21</v>
      </c>
      <c r="AD5375" s="17" t="s">
        <v>3550</v>
      </c>
      <c r="AE5375" s="145" t="s">
        <v>9506</v>
      </c>
      <c r="AF5375" s="146"/>
      <c r="AG5375" s="146"/>
      <c r="AH5375" s="146"/>
      <c r="AI5375" s="147"/>
      <c r="AJ5375" s="148"/>
      <c r="AK5375" s="143"/>
      <c r="AL5375" s="144"/>
      <c r="AM5375" s="22"/>
      <c r="AN5375" s="149" t="s">
        <v>2511</v>
      </c>
      <c r="AO5375" s="144"/>
      <c r="AP5375" s="148">
        <v>31187</v>
      </c>
      <c r="AQ5375" s="144"/>
      <c r="AR5375" s="120"/>
      <c r="AS5375" s="121"/>
      <c r="AT5375" s="120"/>
      <c r="AU5375" s="121"/>
      <c r="AV5375" s="120"/>
      <c r="AW5375" s="121"/>
      <c r="AX5375" s="120"/>
      <c r="AY5375" s="121"/>
      <c r="AZ5375" s="138"/>
    </row>
    <row r="5376" spans="1:52" ht="17.100000000000001" customHeight="1" thickTop="1">
      <c r="A5376" s="109" t="s">
        <v>15824</v>
      </c>
      <c r="B5376" s="28">
        <v>46045</v>
      </c>
      <c r="C5376" s="25">
        <v>1403</v>
      </c>
      <c r="D5376" s="13" t="s">
        <v>3478</v>
      </c>
      <c r="E5376" s="111"/>
      <c r="F5376" s="113" t="s">
        <v>15851</v>
      </c>
      <c r="G5376" s="114"/>
      <c r="H5376" s="115"/>
      <c r="I5376" s="24"/>
      <c r="J5376" s="116">
        <v>4</v>
      </c>
      <c r="K5376" s="118">
        <v>432000</v>
      </c>
      <c r="L5376" s="119"/>
      <c r="M5376" s="118">
        <f t="shared" ref="M5376" si="6697">K5376*0.1</f>
        <v>43200</v>
      </c>
      <c r="N5376" s="119"/>
      <c r="O5376" s="118">
        <v>0</v>
      </c>
      <c r="P5376" s="119"/>
      <c r="Q5376" s="118">
        <v>8430</v>
      </c>
      <c r="R5376" s="119"/>
      <c r="S5376" s="118">
        <v>15400</v>
      </c>
      <c r="T5376" s="119"/>
      <c r="U5376" s="118">
        <f t="shared" ref="U5376" si="6698">SUM(K5376:T5377)</f>
        <v>499030</v>
      </c>
      <c r="V5376" s="122"/>
      <c r="W5376" s="124"/>
      <c r="X5376" s="126" t="s">
        <v>16346</v>
      </c>
      <c r="Y5376" s="127"/>
      <c r="Z5376" s="127"/>
      <c r="AA5376" s="127"/>
      <c r="AB5376" s="128"/>
      <c r="AC5376" s="15" t="s">
        <v>20</v>
      </c>
      <c r="AD5376" s="129"/>
      <c r="AE5376" s="130"/>
      <c r="AF5376" s="130"/>
      <c r="AG5376" s="130"/>
      <c r="AH5376" s="130"/>
      <c r="AI5376" s="131"/>
      <c r="AJ5376" s="132"/>
      <c r="AK5376" s="127"/>
      <c r="AL5376" s="128"/>
      <c r="AM5376" s="21"/>
      <c r="AN5376" s="133">
        <v>46053</v>
      </c>
      <c r="AO5376" s="134"/>
      <c r="AP5376" s="135">
        <v>1286</v>
      </c>
      <c r="AQ5376" s="136"/>
      <c r="AR5376" s="118">
        <v>565000</v>
      </c>
      <c r="AS5376" s="119"/>
      <c r="AT5376" s="118">
        <f t="shared" ref="AT5376" si="6699">AR5376*0.1</f>
        <v>56500</v>
      </c>
      <c r="AU5376" s="119"/>
      <c r="AV5376" s="118">
        <v>8430</v>
      </c>
      <c r="AW5376" s="119"/>
      <c r="AX5376" s="118">
        <f t="shared" ref="AX5376" si="6700">SUM(AR5376:AW5376)</f>
        <v>629930</v>
      </c>
      <c r="AY5376" s="119"/>
      <c r="AZ5376" s="137">
        <v>46056</v>
      </c>
    </row>
    <row r="5377" spans="1:52" ht="17.100000000000001" customHeight="1" thickBot="1">
      <c r="A5377" s="110"/>
      <c r="B5377" s="27" t="s">
        <v>2641</v>
      </c>
      <c r="C5377" s="27">
        <v>2013</v>
      </c>
      <c r="D5377" s="14" t="s">
        <v>2601</v>
      </c>
      <c r="E5377" s="112"/>
      <c r="F5377" s="139" t="s">
        <v>15852</v>
      </c>
      <c r="G5377" s="140"/>
      <c r="H5377" s="141"/>
      <c r="I5377" s="26">
        <v>46710</v>
      </c>
      <c r="J5377" s="117"/>
      <c r="K5377" s="120"/>
      <c r="L5377" s="121"/>
      <c r="M5377" s="120"/>
      <c r="N5377" s="121"/>
      <c r="O5377" s="120"/>
      <c r="P5377" s="121"/>
      <c r="Q5377" s="120"/>
      <c r="R5377" s="121"/>
      <c r="S5377" s="120"/>
      <c r="T5377" s="121"/>
      <c r="U5377" s="120"/>
      <c r="V5377" s="123"/>
      <c r="W5377" s="125"/>
      <c r="X5377" s="142" t="s">
        <v>1997</v>
      </c>
      <c r="Y5377" s="143"/>
      <c r="Z5377" s="143"/>
      <c r="AA5377" s="143"/>
      <c r="AB5377" s="144"/>
      <c r="AC5377" s="16" t="s">
        <v>21</v>
      </c>
      <c r="AD5377" s="17" t="s">
        <v>1837</v>
      </c>
      <c r="AE5377" s="145"/>
      <c r="AF5377" s="146"/>
      <c r="AG5377" s="146"/>
      <c r="AH5377" s="146"/>
      <c r="AI5377" s="147"/>
      <c r="AJ5377" s="148"/>
      <c r="AK5377" s="143"/>
      <c r="AL5377" s="144"/>
      <c r="AM5377" s="22"/>
      <c r="AN5377" s="149" t="s">
        <v>2511</v>
      </c>
      <c r="AO5377" s="144"/>
      <c r="AP5377" s="148">
        <v>60173</v>
      </c>
      <c r="AQ5377" s="144"/>
      <c r="AR5377" s="120"/>
      <c r="AS5377" s="121"/>
      <c r="AT5377" s="120"/>
      <c r="AU5377" s="121"/>
      <c r="AV5377" s="120"/>
      <c r="AW5377" s="121"/>
      <c r="AX5377" s="120"/>
      <c r="AY5377" s="121"/>
      <c r="AZ5377" s="138"/>
    </row>
    <row r="5378" spans="1:52" ht="17.100000000000001" customHeight="1" thickTop="1">
      <c r="A5378" s="109" t="s">
        <v>15825</v>
      </c>
      <c r="B5378" s="28">
        <v>46045</v>
      </c>
      <c r="C5378" s="25">
        <v>1403</v>
      </c>
      <c r="D5378" s="13" t="s">
        <v>5641</v>
      </c>
      <c r="E5378" s="111"/>
      <c r="F5378" s="113" t="s">
        <v>15853</v>
      </c>
      <c r="G5378" s="114"/>
      <c r="H5378" s="115"/>
      <c r="I5378" s="24" t="s">
        <v>10854</v>
      </c>
      <c r="J5378" s="150" t="s">
        <v>1715</v>
      </c>
      <c r="K5378" s="118">
        <v>249000</v>
      </c>
      <c r="L5378" s="119"/>
      <c r="M5378" s="118">
        <f t="shared" ref="M5378" si="6701">K5378*0.1</f>
        <v>24900</v>
      </c>
      <c r="N5378" s="119"/>
      <c r="O5378" s="118">
        <v>0</v>
      </c>
      <c r="P5378" s="119"/>
      <c r="Q5378" s="118">
        <v>9910</v>
      </c>
      <c r="R5378" s="119"/>
      <c r="S5378" s="118">
        <v>15400</v>
      </c>
      <c r="T5378" s="119"/>
      <c r="U5378" s="118">
        <f t="shared" ref="U5378" si="6702">SUM(K5378:T5379)</f>
        <v>299210</v>
      </c>
      <c r="V5378" s="122"/>
      <c r="W5378" s="124"/>
      <c r="X5378" s="126" t="s">
        <v>16345</v>
      </c>
      <c r="Y5378" s="127"/>
      <c r="Z5378" s="127"/>
      <c r="AA5378" s="127"/>
      <c r="AB5378" s="128"/>
      <c r="AC5378" s="15" t="s">
        <v>20</v>
      </c>
      <c r="AD5378" s="129"/>
      <c r="AE5378" s="130"/>
      <c r="AF5378" s="130"/>
      <c r="AG5378" s="130"/>
      <c r="AH5378" s="130"/>
      <c r="AI5378" s="131"/>
      <c r="AJ5378" s="132"/>
      <c r="AK5378" s="127"/>
      <c r="AL5378" s="128"/>
      <c r="AM5378" s="21" t="s">
        <v>17471</v>
      </c>
      <c r="AN5378" s="133">
        <v>46060</v>
      </c>
      <c r="AO5378" s="134"/>
      <c r="AP5378" s="135">
        <v>1287</v>
      </c>
      <c r="AQ5378" s="136"/>
      <c r="AR5378" s="118">
        <v>290000</v>
      </c>
      <c r="AS5378" s="119"/>
      <c r="AT5378" s="118">
        <f t="shared" ref="AT5378" si="6703">AR5378*0.1</f>
        <v>29000</v>
      </c>
      <c r="AU5378" s="119"/>
      <c r="AV5378" s="118">
        <v>9910</v>
      </c>
      <c r="AW5378" s="119"/>
      <c r="AX5378" s="118">
        <f t="shared" ref="AX5378" si="6704">SUM(AR5378:AW5378)</f>
        <v>328910</v>
      </c>
      <c r="AY5378" s="119"/>
      <c r="AZ5378" s="137">
        <v>46065</v>
      </c>
    </row>
    <row r="5379" spans="1:52" ht="17.100000000000001" customHeight="1" thickBot="1">
      <c r="A5379" s="110"/>
      <c r="B5379" s="27" t="s">
        <v>2641</v>
      </c>
      <c r="C5379" s="27">
        <v>2186</v>
      </c>
      <c r="D5379" s="14" t="s">
        <v>1720</v>
      </c>
      <c r="E5379" s="112"/>
      <c r="F5379" s="139" t="s">
        <v>15854</v>
      </c>
      <c r="G5379" s="140"/>
      <c r="H5379" s="141"/>
      <c r="I5379" s="26">
        <v>85603</v>
      </c>
      <c r="J5379" s="117"/>
      <c r="K5379" s="120"/>
      <c r="L5379" s="121"/>
      <c r="M5379" s="120"/>
      <c r="N5379" s="121"/>
      <c r="O5379" s="120"/>
      <c r="P5379" s="121"/>
      <c r="Q5379" s="120"/>
      <c r="R5379" s="121"/>
      <c r="S5379" s="120"/>
      <c r="T5379" s="121"/>
      <c r="U5379" s="120"/>
      <c r="V5379" s="123"/>
      <c r="W5379" s="125"/>
      <c r="X5379" s="142" t="s">
        <v>1997</v>
      </c>
      <c r="Y5379" s="143"/>
      <c r="Z5379" s="143"/>
      <c r="AA5379" s="143"/>
      <c r="AB5379" s="144"/>
      <c r="AC5379" s="16" t="s">
        <v>21</v>
      </c>
      <c r="AD5379" s="17" t="s">
        <v>1837</v>
      </c>
      <c r="AE5379" s="145" t="s">
        <v>3624</v>
      </c>
      <c r="AF5379" s="146"/>
      <c r="AG5379" s="146"/>
      <c r="AH5379" s="146"/>
      <c r="AI5379" s="147"/>
      <c r="AJ5379" s="148"/>
      <c r="AK5379" s="143"/>
      <c r="AL5379" s="144"/>
      <c r="AM5379" s="22"/>
      <c r="AN5379" s="149" t="s">
        <v>2511</v>
      </c>
      <c r="AO5379" s="144"/>
      <c r="AP5379" s="148">
        <v>60181</v>
      </c>
      <c r="AQ5379" s="144"/>
      <c r="AR5379" s="120"/>
      <c r="AS5379" s="121"/>
      <c r="AT5379" s="120"/>
      <c r="AU5379" s="121"/>
      <c r="AV5379" s="120"/>
      <c r="AW5379" s="121"/>
      <c r="AX5379" s="120"/>
      <c r="AY5379" s="121"/>
      <c r="AZ5379" s="138"/>
    </row>
    <row r="5380" spans="1:52" ht="17.100000000000001" customHeight="1" thickTop="1">
      <c r="A5380" s="109" t="s">
        <v>15826</v>
      </c>
      <c r="B5380" s="28">
        <v>46045</v>
      </c>
      <c r="C5380" s="25">
        <v>1403</v>
      </c>
      <c r="D5380" s="13" t="s">
        <v>1902</v>
      </c>
      <c r="E5380" s="111"/>
      <c r="F5380" s="113" t="s">
        <v>15855</v>
      </c>
      <c r="G5380" s="114"/>
      <c r="H5380" s="115"/>
      <c r="I5380" s="24" t="s">
        <v>15990</v>
      </c>
      <c r="J5380" s="116">
        <v>4.5</v>
      </c>
      <c r="K5380" s="118">
        <v>1428000</v>
      </c>
      <c r="L5380" s="119"/>
      <c r="M5380" s="118">
        <f t="shared" ref="M5380" si="6705">K5380*0.1</f>
        <v>142800</v>
      </c>
      <c r="N5380" s="119"/>
      <c r="O5380" s="118">
        <v>6600</v>
      </c>
      <c r="P5380" s="119"/>
      <c r="Q5380" s="118">
        <v>9720</v>
      </c>
      <c r="R5380" s="119"/>
      <c r="S5380" s="118">
        <v>15400</v>
      </c>
      <c r="T5380" s="119"/>
      <c r="U5380" s="118">
        <f t="shared" ref="U5380" si="6706">SUM(K5380:T5381)</f>
        <v>1602520</v>
      </c>
      <c r="V5380" s="122"/>
      <c r="W5380" s="124"/>
      <c r="X5380" s="126" t="s">
        <v>16335</v>
      </c>
      <c r="Y5380" s="127"/>
      <c r="Z5380" s="127"/>
      <c r="AA5380" s="127"/>
      <c r="AB5380" s="128"/>
      <c r="AC5380" s="15" t="s">
        <v>20</v>
      </c>
      <c r="AD5380" s="129" t="s">
        <v>15991</v>
      </c>
      <c r="AE5380" s="130"/>
      <c r="AF5380" s="130"/>
      <c r="AG5380" s="130"/>
      <c r="AH5380" s="130"/>
      <c r="AI5380" s="131"/>
      <c r="AJ5380" s="132"/>
      <c r="AK5380" s="127"/>
      <c r="AL5380" s="128"/>
      <c r="AM5380" s="21"/>
      <c r="AN5380" s="133">
        <v>46050</v>
      </c>
      <c r="AO5380" s="134"/>
      <c r="AP5380" s="135">
        <v>1002</v>
      </c>
      <c r="AQ5380" s="136"/>
      <c r="AR5380" s="118">
        <v>1495000</v>
      </c>
      <c r="AS5380" s="119"/>
      <c r="AT5380" s="118">
        <f t="shared" ref="AT5380" si="6707">AR5380*0.1</f>
        <v>149500</v>
      </c>
      <c r="AU5380" s="119"/>
      <c r="AV5380" s="118">
        <v>9720</v>
      </c>
      <c r="AW5380" s="119"/>
      <c r="AX5380" s="118">
        <f t="shared" ref="AX5380" si="6708">SUM(AR5380:AW5380)</f>
        <v>1654220</v>
      </c>
      <c r="AY5380" s="119"/>
      <c r="AZ5380" s="137">
        <v>46055</v>
      </c>
    </row>
    <row r="5381" spans="1:52" ht="17.100000000000001" customHeight="1" thickBot="1">
      <c r="A5381" s="110"/>
      <c r="B5381" s="27" t="s">
        <v>2641</v>
      </c>
      <c r="C5381" s="27">
        <v>7001</v>
      </c>
      <c r="D5381" s="14" t="s">
        <v>133</v>
      </c>
      <c r="E5381" s="112"/>
      <c r="F5381" s="139" t="s">
        <v>15856</v>
      </c>
      <c r="G5381" s="140"/>
      <c r="H5381" s="141"/>
      <c r="I5381" s="26">
        <v>47573</v>
      </c>
      <c r="J5381" s="117"/>
      <c r="K5381" s="120"/>
      <c r="L5381" s="121"/>
      <c r="M5381" s="120"/>
      <c r="N5381" s="121"/>
      <c r="O5381" s="120"/>
      <c r="P5381" s="121"/>
      <c r="Q5381" s="120"/>
      <c r="R5381" s="121"/>
      <c r="S5381" s="120"/>
      <c r="T5381" s="121"/>
      <c r="U5381" s="120"/>
      <c r="V5381" s="123"/>
      <c r="W5381" s="125"/>
      <c r="X5381" s="142" t="s">
        <v>8807</v>
      </c>
      <c r="Y5381" s="143"/>
      <c r="Z5381" s="143"/>
      <c r="AA5381" s="143"/>
      <c r="AB5381" s="144"/>
      <c r="AC5381" s="16" t="s">
        <v>21</v>
      </c>
      <c r="AD5381" s="17" t="s">
        <v>1837</v>
      </c>
      <c r="AE5381" s="145" t="s">
        <v>16386</v>
      </c>
      <c r="AF5381" s="146"/>
      <c r="AG5381" s="146"/>
      <c r="AH5381" s="146"/>
      <c r="AI5381" s="147"/>
      <c r="AJ5381" s="148"/>
      <c r="AK5381" s="143"/>
      <c r="AL5381" s="144"/>
      <c r="AM5381" s="22"/>
      <c r="AN5381" s="149" t="s">
        <v>2794</v>
      </c>
      <c r="AO5381" s="144"/>
      <c r="AP5381" s="148">
        <v>5105</v>
      </c>
      <c r="AQ5381" s="144"/>
      <c r="AR5381" s="120"/>
      <c r="AS5381" s="121"/>
      <c r="AT5381" s="120"/>
      <c r="AU5381" s="121"/>
      <c r="AV5381" s="120"/>
      <c r="AW5381" s="121"/>
      <c r="AX5381" s="120"/>
      <c r="AY5381" s="121"/>
      <c r="AZ5381" s="138"/>
    </row>
    <row r="5382" spans="1:52" ht="17.100000000000001" customHeight="1" thickTop="1">
      <c r="A5382" s="109" t="s">
        <v>15827</v>
      </c>
      <c r="B5382" s="28">
        <v>46045</v>
      </c>
      <c r="C5382" s="25">
        <v>1403</v>
      </c>
      <c r="D5382" s="13" t="s">
        <v>1986</v>
      </c>
      <c r="E5382" s="111"/>
      <c r="F5382" s="113" t="s">
        <v>15857</v>
      </c>
      <c r="G5382" s="114"/>
      <c r="H5382" s="115"/>
      <c r="I5382" s="24"/>
      <c r="J5382" s="116">
        <v>4</v>
      </c>
      <c r="K5382" s="118">
        <v>1144000</v>
      </c>
      <c r="L5382" s="119"/>
      <c r="M5382" s="118">
        <f t="shared" ref="M5382" si="6709">K5382*0.1</f>
        <v>114400</v>
      </c>
      <c r="N5382" s="119"/>
      <c r="O5382" s="118">
        <v>0</v>
      </c>
      <c r="P5382" s="119"/>
      <c r="Q5382" s="118">
        <v>16240</v>
      </c>
      <c r="R5382" s="119"/>
      <c r="S5382" s="118">
        <v>15400</v>
      </c>
      <c r="T5382" s="119"/>
      <c r="U5382" s="118">
        <f t="shared" ref="U5382" si="6710">SUM(K5382:T5383)</f>
        <v>1290040</v>
      </c>
      <c r="V5382" s="122"/>
      <c r="W5382" s="124"/>
      <c r="X5382" s="126" t="s">
        <v>16370</v>
      </c>
      <c r="Y5382" s="127"/>
      <c r="Z5382" s="127"/>
      <c r="AA5382" s="127"/>
      <c r="AB5382" s="128"/>
      <c r="AC5382" s="15" t="s">
        <v>20</v>
      </c>
      <c r="AD5382" s="129" t="s">
        <v>15992</v>
      </c>
      <c r="AE5382" s="130"/>
      <c r="AF5382" s="130"/>
      <c r="AG5382" s="130"/>
      <c r="AH5382" s="130"/>
      <c r="AI5382" s="131"/>
      <c r="AJ5382" s="132"/>
      <c r="AK5382" s="127"/>
      <c r="AL5382" s="128"/>
      <c r="AM5382" s="21"/>
      <c r="AN5382" s="133">
        <v>46088</v>
      </c>
      <c r="AO5382" s="134"/>
      <c r="AP5382" s="135">
        <v>1291</v>
      </c>
      <c r="AQ5382" s="136"/>
      <c r="AR5382" s="118">
        <v>1280000</v>
      </c>
      <c r="AS5382" s="119"/>
      <c r="AT5382" s="118">
        <f t="shared" ref="AT5382" si="6711">AR5382*0.1</f>
        <v>128000</v>
      </c>
      <c r="AU5382" s="119"/>
      <c r="AV5382" s="118">
        <v>16240</v>
      </c>
      <c r="AW5382" s="119"/>
      <c r="AX5382" s="118">
        <f t="shared" ref="AX5382" si="6712">SUM(AR5382:AW5382)</f>
        <v>1424240</v>
      </c>
      <c r="AY5382" s="119"/>
      <c r="AZ5382" s="137">
        <v>46091</v>
      </c>
    </row>
    <row r="5383" spans="1:52" ht="17.100000000000001" customHeight="1" thickBot="1">
      <c r="A5383" s="110"/>
      <c r="B5383" s="27" t="s">
        <v>2641</v>
      </c>
      <c r="C5383" s="27">
        <v>7005</v>
      </c>
      <c r="D5383" s="14" t="s">
        <v>15309</v>
      </c>
      <c r="E5383" s="112"/>
      <c r="F5383" s="139" t="s">
        <v>15858</v>
      </c>
      <c r="G5383" s="140"/>
      <c r="H5383" s="141"/>
      <c r="I5383" s="26">
        <v>54296</v>
      </c>
      <c r="J5383" s="117"/>
      <c r="K5383" s="120"/>
      <c r="L5383" s="121"/>
      <c r="M5383" s="120"/>
      <c r="N5383" s="121"/>
      <c r="O5383" s="120"/>
      <c r="P5383" s="121"/>
      <c r="Q5383" s="120"/>
      <c r="R5383" s="121"/>
      <c r="S5383" s="120"/>
      <c r="T5383" s="121"/>
      <c r="U5383" s="120"/>
      <c r="V5383" s="123"/>
      <c r="W5383" s="125"/>
      <c r="X5383" s="142" t="s">
        <v>8807</v>
      </c>
      <c r="Y5383" s="143"/>
      <c r="Z5383" s="143"/>
      <c r="AA5383" s="143"/>
      <c r="AB5383" s="144"/>
      <c r="AC5383" s="16" t="s">
        <v>21</v>
      </c>
      <c r="AD5383" s="17" t="s">
        <v>1837</v>
      </c>
      <c r="AE5383" s="145" t="s">
        <v>1742</v>
      </c>
      <c r="AF5383" s="146"/>
      <c r="AG5383" s="146"/>
      <c r="AH5383" s="146"/>
      <c r="AI5383" s="147"/>
      <c r="AJ5383" s="148"/>
      <c r="AK5383" s="143"/>
      <c r="AL5383" s="144"/>
      <c r="AM5383" s="22"/>
      <c r="AN5383" s="149" t="s">
        <v>2511</v>
      </c>
      <c r="AO5383" s="144"/>
      <c r="AP5383" s="148">
        <v>80209</v>
      </c>
      <c r="AQ5383" s="144"/>
      <c r="AR5383" s="120"/>
      <c r="AS5383" s="121"/>
      <c r="AT5383" s="120"/>
      <c r="AU5383" s="121"/>
      <c r="AV5383" s="120"/>
      <c r="AW5383" s="121"/>
      <c r="AX5383" s="120"/>
      <c r="AY5383" s="121"/>
      <c r="AZ5383" s="138"/>
    </row>
    <row r="5384" spans="1:52" ht="17.100000000000001" customHeight="1" thickTop="1">
      <c r="A5384" s="109" t="s">
        <v>15828</v>
      </c>
      <c r="B5384" s="28">
        <v>46045</v>
      </c>
      <c r="C5384" s="25">
        <v>1403</v>
      </c>
      <c r="D5384" s="13" t="s">
        <v>2759</v>
      </c>
      <c r="E5384" s="111"/>
      <c r="F5384" s="113" t="s">
        <v>7586</v>
      </c>
      <c r="G5384" s="114"/>
      <c r="H5384" s="115"/>
      <c r="I5384" s="24"/>
      <c r="J5384" s="116">
        <v>4</v>
      </c>
      <c r="K5384" s="118">
        <v>1109000</v>
      </c>
      <c r="L5384" s="119"/>
      <c r="M5384" s="118">
        <f t="shared" ref="M5384" si="6713">K5384*0.1</f>
        <v>110900</v>
      </c>
      <c r="N5384" s="119"/>
      <c r="O5384" s="118">
        <v>0</v>
      </c>
      <c r="P5384" s="119"/>
      <c r="Q5384" s="118">
        <v>8740</v>
      </c>
      <c r="R5384" s="119"/>
      <c r="S5384" s="118">
        <v>15400</v>
      </c>
      <c r="T5384" s="119"/>
      <c r="U5384" s="118">
        <f t="shared" ref="U5384" si="6714">SUM(K5384:T5385)</f>
        <v>1244040</v>
      </c>
      <c r="V5384" s="122"/>
      <c r="W5384" s="124"/>
      <c r="X5384" s="126" t="s">
        <v>16425</v>
      </c>
      <c r="Y5384" s="127"/>
      <c r="Z5384" s="127"/>
      <c r="AA5384" s="127"/>
      <c r="AB5384" s="128"/>
      <c r="AC5384" s="15" t="s">
        <v>20</v>
      </c>
      <c r="AD5384" s="129" t="s">
        <v>4435</v>
      </c>
      <c r="AE5384" s="130"/>
      <c r="AF5384" s="130"/>
      <c r="AG5384" s="130"/>
      <c r="AH5384" s="130"/>
      <c r="AI5384" s="131"/>
      <c r="AJ5384" s="132"/>
      <c r="AK5384" s="127"/>
      <c r="AL5384" s="128"/>
      <c r="AM5384" s="21"/>
      <c r="AN5384" s="133">
        <v>46064</v>
      </c>
      <c r="AO5384" s="134"/>
      <c r="AP5384" s="135">
        <v>1004</v>
      </c>
      <c r="AQ5384" s="136"/>
      <c r="AR5384" s="118">
        <v>1180000</v>
      </c>
      <c r="AS5384" s="119"/>
      <c r="AT5384" s="118">
        <f t="shared" ref="AT5384" si="6715">AR5384*0.1</f>
        <v>118000</v>
      </c>
      <c r="AU5384" s="119"/>
      <c r="AV5384" s="118">
        <v>8740</v>
      </c>
      <c r="AW5384" s="119"/>
      <c r="AX5384" s="118">
        <f t="shared" ref="AX5384" si="6716">SUM(AR5384:AW5384)</f>
        <v>1306740</v>
      </c>
      <c r="AY5384" s="119"/>
      <c r="AZ5384" s="137">
        <v>46071</v>
      </c>
    </row>
    <row r="5385" spans="1:52" ht="17.100000000000001" customHeight="1" thickBot="1">
      <c r="A5385" s="110"/>
      <c r="B5385" s="27" t="s">
        <v>2641</v>
      </c>
      <c r="C5385" s="27">
        <v>7014</v>
      </c>
      <c r="D5385" s="14" t="s">
        <v>2325</v>
      </c>
      <c r="E5385" s="112"/>
      <c r="F5385" s="139" t="s">
        <v>15859</v>
      </c>
      <c r="G5385" s="140"/>
      <c r="H5385" s="141"/>
      <c r="I5385" s="26">
        <v>22052</v>
      </c>
      <c r="J5385" s="117"/>
      <c r="K5385" s="120"/>
      <c r="L5385" s="121"/>
      <c r="M5385" s="120"/>
      <c r="N5385" s="121"/>
      <c r="O5385" s="120"/>
      <c r="P5385" s="121"/>
      <c r="Q5385" s="120"/>
      <c r="R5385" s="121"/>
      <c r="S5385" s="120"/>
      <c r="T5385" s="121"/>
      <c r="U5385" s="120"/>
      <c r="V5385" s="123"/>
      <c r="W5385" s="125"/>
      <c r="X5385" s="142" t="s">
        <v>9077</v>
      </c>
      <c r="Y5385" s="143"/>
      <c r="Z5385" s="143"/>
      <c r="AA5385" s="143"/>
      <c r="AB5385" s="144"/>
      <c r="AC5385" s="16" t="s">
        <v>21</v>
      </c>
      <c r="AD5385" s="17" t="s">
        <v>16392</v>
      </c>
      <c r="AE5385" s="145" t="s">
        <v>14704</v>
      </c>
      <c r="AF5385" s="146"/>
      <c r="AG5385" s="146"/>
      <c r="AH5385" s="146"/>
      <c r="AI5385" s="147"/>
      <c r="AJ5385" s="148"/>
      <c r="AK5385" s="143"/>
      <c r="AL5385" s="144"/>
      <c r="AM5385" s="22"/>
      <c r="AN5385" s="149" t="s">
        <v>8809</v>
      </c>
      <c r="AO5385" s="144"/>
      <c r="AP5385" s="148">
        <v>2054</v>
      </c>
      <c r="AQ5385" s="144"/>
      <c r="AR5385" s="120"/>
      <c r="AS5385" s="121"/>
      <c r="AT5385" s="120"/>
      <c r="AU5385" s="121"/>
      <c r="AV5385" s="120"/>
      <c r="AW5385" s="121"/>
      <c r="AX5385" s="120"/>
      <c r="AY5385" s="121"/>
      <c r="AZ5385" s="138"/>
    </row>
    <row r="5386" spans="1:52" ht="17.100000000000001" customHeight="1" thickTop="1">
      <c r="A5386" s="151" t="s">
        <v>15829</v>
      </c>
      <c r="B5386" s="28">
        <v>46045</v>
      </c>
      <c r="C5386" s="25">
        <v>1403</v>
      </c>
      <c r="D5386" s="13" t="s">
        <v>3550</v>
      </c>
      <c r="E5386" s="111"/>
      <c r="F5386" s="113" t="s">
        <v>15289</v>
      </c>
      <c r="G5386" s="114"/>
      <c r="H5386" s="115"/>
      <c r="I5386" s="24"/>
      <c r="J5386" s="116">
        <v>4.5</v>
      </c>
      <c r="K5386" s="118">
        <v>705000</v>
      </c>
      <c r="L5386" s="119"/>
      <c r="M5386" s="118">
        <f t="shared" ref="M5386" si="6717">K5386*0.1</f>
        <v>70500</v>
      </c>
      <c r="N5386" s="119"/>
      <c r="O5386" s="118">
        <v>0</v>
      </c>
      <c r="P5386" s="119"/>
      <c r="Q5386" s="118">
        <v>9310</v>
      </c>
      <c r="R5386" s="119"/>
      <c r="S5386" s="118">
        <v>15400</v>
      </c>
      <c r="T5386" s="119"/>
      <c r="U5386" s="118">
        <f t="shared" ref="U5386" si="6718">SUM(K5386:T5387)</f>
        <v>800210</v>
      </c>
      <c r="V5386" s="122"/>
      <c r="W5386" s="124"/>
      <c r="X5386" s="126" t="s">
        <v>16344</v>
      </c>
      <c r="Y5386" s="127"/>
      <c r="Z5386" s="127"/>
      <c r="AA5386" s="127"/>
      <c r="AB5386" s="128"/>
      <c r="AC5386" s="15" t="s">
        <v>20</v>
      </c>
      <c r="AD5386" s="129"/>
      <c r="AE5386" s="130"/>
      <c r="AF5386" s="130"/>
      <c r="AG5386" s="130"/>
      <c r="AH5386" s="130"/>
      <c r="AI5386" s="131"/>
      <c r="AJ5386" s="132"/>
      <c r="AK5386" s="127"/>
      <c r="AL5386" s="128"/>
      <c r="AM5386" s="21"/>
      <c r="AN5386" s="133">
        <v>46053</v>
      </c>
      <c r="AO5386" s="134"/>
      <c r="AP5386" s="135">
        <v>1286</v>
      </c>
      <c r="AQ5386" s="136"/>
      <c r="AR5386" s="118">
        <v>780000</v>
      </c>
      <c r="AS5386" s="119"/>
      <c r="AT5386" s="118">
        <f t="shared" ref="AT5386" si="6719">AR5386*0.1</f>
        <v>78000</v>
      </c>
      <c r="AU5386" s="119"/>
      <c r="AV5386" s="118">
        <v>9310</v>
      </c>
      <c r="AW5386" s="119"/>
      <c r="AX5386" s="118">
        <f t="shared" ref="AX5386" si="6720">SUM(AR5386:AW5386)</f>
        <v>867310</v>
      </c>
      <c r="AY5386" s="119"/>
      <c r="AZ5386" s="137">
        <v>46063</v>
      </c>
    </row>
    <row r="5387" spans="1:52" ht="17.100000000000001" customHeight="1" thickBot="1">
      <c r="A5387" s="152"/>
      <c r="B5387" s="27" t="s">
        <v>2641</v>
      </c>
      <c r="C5387" s="27">
        <v>7526</v>
      </c>
      <c r="D5387" s="14" t="s">
        <v>1812</v>
      </c>
      <c r="E5387" s="112"/>
      <c r="F5387" s="139" t="s">
        <v>15860</v>
      </c>
      <c r="G5387" s="140"/>
      <c r="H5387" s="141"/>
      <c r="I5387" s="26">
        <v>54297</v>
      </c>
      <c r="J5387" s="117"/>
      <c r="K5387" s="120"/>
      <c r="L5387" s="121"/>
      <c r="M5387" s="120"/>
      <c r="N5387" s="121"/>
      <c r="O5387" s="120"/>
      <c r="P5387" s="121"/>
      <c r="Q5387" s="120"/>
      <c r="R5387" s="121"/>
      <c r="S5387" s="120"/>
      <c r="T5387" s="121"/>
      <c r="U5387" s="120"/>
      <c r="V5387" s="123"/>
      <c r="W5387" s="125"/>
      <c r="X5387" s="142" t="s">
        <v>7966</v>
      </c>
      <c r="Y5387" s="143"/>
      <c r="Z5387" s="143"/>
      <c r="AA5387" s="143"/>
      <c r="AB5387" s="144"/>
      <c r="AC5387" s="16" t="s">
        <v>21</v>
      </c>
      <c r="AD5387" s="17" t="s">
        <v>1837</v>
      </c>
      <c r="AE5387" s="145"/>
      <c r="AF5387" s="146"/>
      <c r="AG5387" s="146"/>
      <c r="AH5387" s="146"/>
      <c r="AI5387" s="147"/>
      <c r="AJ5387" s="148"/>
      <c r="AK5387" s="143"/>
      <c r="AL5387" s="144"/>
      <c r="AM5387" s="22"/>
      <c r="AN5387" s="149" t="s">
        <v>6748</v>
      </c>
      <c r="AO5387" s="144"/>
      <c r="AP5387" s="148">
        <v>60353</v>
      </c>
      <c r="AQ5387" s="144"/>
      <c r="AR5387" s="120"/>
      <c r="AS5387" s="121"/>
      <c r="AT5387" s="120"/>
      <c r="AU5387" s="121"/>
      <c r="AV5387" s="120"/>
      <c r="AW5387" s="121"/>
      <c r="AX5387" s="120"/>
      <c r="AY5387" s="121"/>
      <c r="AZ5387" s="138"/>
    </row>
    <row r="5388" spans="1:52" ht="17.100000000000001" customHeight="1" thickTop="1">
      <c r="A5388" s="109" t="s">
        <v>15830</v>
      </c>
      <c r="B5388" s="28">
        <v>46045</v>
      </c>
      <c r="C5388" s="25">
        <v>1403</v>
      </c>
      <c r="D5388" s="13" t="s">
        <v>4177</v>
      </c>
      <c r="E5388" s="111"/>
      <c r="F5388" s="113" t="s">
        <v>5719</v>
      </c>
      <c r="G5388" s="114"/>
      <c r="H5388" s="115"/>
      <c r="I5388" s="24"/>
      <c r="J5388" s="116">
        <v>3.5</v>
      </c>
      <c r="K5388" s="118">
        <v>228000</v>
      </c>
      <c r="L5388" s="119"/>
      <c r="M5388" s="118">
        <f t="shared" ref="M5388" si="6721">K5388*0.1</f>
        <v>22800</v>
      </c>
      <c r="N5388" s="119"/>
      <c r="O5388" s="118">
        <v>0</v>
      </c>
      <c r="P5388" s="119"/>
      <c r="Q5388" s="118">
        <v>8930</v>
      </c>
      <c r="R5388" s="119"/>
      <c r="S5388" s="118">
        <v>15400</v>
      </c>
      <c r="T5388" s="119"/>
      <c r="U5388" s="118">
        <f t="shared" ref="U5388" si="6722">SUM(K5388:T5389)</f>
        <v>275130</v>
      </c>
      <c r="V5388" s="122"/>
      <c r="W5388" s="124"/>
      <c r="X5388" s="126" t="s">
        <v>16599</v>
      </c>
      <c r="Y5388" s="127"/>
      <c r="Z5388" s="127"/>
      <c r="AA5388" s="127"/>
      <c r="AB5388" s="128"/>
      <c r="AC5388" s="15" t="s">
        <v>20</v>
      </c>
      <c r="AD5388" s="129"/>
      <c r="AE5388" s="130"/>
      <c r="AF5388" s="130"/>
      <c r="AG5388" s="130"/>
      <c r="AH5388" s="130"/>
      <c r="AI5388" s="131"/>
      <c r="AJ5388" s="132"/>
      <c r="AK5388" s="127"/>
      <c r="AL5388" s="128"/>
      <c r="AM5388" s="21"/>
      <c r="AN5388" s="133">
        <v>46130</v>
      </c>
      <c r="AO5388" s="134"/>
      <c r="AP5388" s="135">
        <v>1297</v>
      </c>
      <c r="AQ5388" s="136"/>
      <c r="AR5388" s="118">
        <v>285000</v>
      </c>
      <c r="AS5388" s="119"/>
      <c r="AT5388" s="118">
        <f t="shared" ref="AT5388" si="6723">AR5388*0.1</f>
        <v>28500</v>
      </c>
      <c r="AU5388" s="119"/>
      <c r="AV5388" s="118">
        <v>8930</v>
      </c>
      <c r="AW5388" s="119"/>
      <c r="AX5388" s="118">
        <f t="shared" ref="AX5388" si="6724">SUM(AR5388:AW5388)</f>
        <v>322430</v>
      </c>
      <c r="AY5388" s="119"/>
      <c r="AZ5388" s="137">
        <v>46133</v>
      </c>
    </row>
    <row r="5389" spans="1:52" ht="17.100000000000001" customHeight="1" thickBot="1">
      <c r="A5389" s="110"/>
      <c r="B5389" s="27" t="s">
        <v>2641</v>
      </c>
      <c r="C5389" s="27">
        <v>7532</v>
      </c>
      <c r="D5389" s="14" t="s">
        <v>1720</v>
      </c>
      <c r="E5389" s="112"/>
      <c r="F5389" s="139" t="s">
        <v>15861</v>
      </c>
      <c r="G5389" s="140"/>
      <c r="H5389" s="141"/>
      <c r="I5389" s="26">
        <v>41534</v>
      </c>
      <c r="J5389" s="117"/>
      <c r="K5389" s="120"/>
      <c r="L5389" s="121"/>
      <c r="M5389" s="120"/>
      <c r="N5389" s="121"/>
      <c r="O5389" s="120"/>
      <c r="P5389" s="121"/>
      <c r="Q5389" s="120"/>
      <c r="R5389" s="121"/>
      <c r="S5389" s="120"/>
      <c r="T5389" s="121"/>
      <c r="U5389" s="120"/>
      <c r="V5389" s="123"/>
      <c r="W5389" s="125"/>
      <c r="X5389" s="142" t="s">
        <v>16600</v>
      </c>
      <c r="Y5389" s="143"/>
      <c r="Z5389" s="143"/>
      <c r="AA5389" s="143"/>
      <c r="AB5389" s="144"/>
      <c r="AC5389" s="16" t="s">
        <v>21</v>
      </c>
      <c r="AD5389" s="17" t="s">
        <v>2316</v>
      </c>
      <c r="AE5389" s="145"/>
      <c r="AF5389" s="146"/>
      <c r="AG5389" s="146"/>
      <c r="AH5389" s="146"/>
      <c r="AI5389" s="147"/>
      <c r="AJ5389" s="148"/>
      <c r="AK5389" s="143"/>
      <c r="AL5389" s="144"/>
      <c r="AM5389" s="22"/>
      <c r="AN5389" s="149" t="s">
        <v>2511</v>
      </c>
      <c r="AO5389" s="144"/>
      <c r="AP5389" s="148">
        <v>62048</v>
      </c>
      <c r="AQ5389" s="144"/>
      <c r="AR5389" s="120"/>
      <c r="AS5389" s="121"/>
      <c r="AT5389" s="120"/>
      <c r="AU5389" s="121"/>
      <c r="AV5389" s="120"/>
      <c r="AW5389" s="121"/>
      <c r="AX5389" s="120"/>
      <c r="AY5389" s="121"/>
      <c r="AZ5389" s="138"/>
    </row>
    <row r="5390" spans="1:52" ht="17.100000000000001" customHeight="1" thickTop="1">
      <c r="A5390" s="109" t="s">
        <v>15831</v>
      </c>
      <c r="B5390" s="28">
        <v>46045</v>
      </c>
      <c r="C5390" s="25">
        <v>1403</v>
      </c>
      <c r="D5390" s="13" t="s">
        <v>1902</v>
      </c>
      <c r="E5390" s="111"/>
      <c r="F5390" s="113" t="s">
        <v>15215</v>
      </c>
      <c r="G5390" s="114"/>
      <c r="H5390" s="115"/>
      <c r="I5390" s="24"/>
      <c r="J5390" s="116">
        <v>4.5</v>
      </c>
      <c r="K5390" s="118">
        <v>973000</v>
      </c>
      <c r="L5390" s="119"/>
      <c r="M5390" s="118">
        <f t="shared" ref="M5390" si="6725">K5390*0.1</f>
        <v>97300</v>
      </c>
      <c r="N5390" s="119"/>
      <c r="O5390" s="118">
        <v>0</v>
      </c>
      <c r="P5390" s="119"/>
      <c r="Q5390" s="118">
        <v>6830</v>
      </c>
      <c r="R5390" s="119"/>
      <c r="S5390" s="118">
        <v>15400</v>
      </c>
      <c r="T5390" s="119"/>
      <c r="U5390" s="118">
        <f t="shared" ref="U5390" si="6726">SUM(K5390:T5391)</f>
        <v>1092530</v>
      </c>
      <c r="V5390" s="122"/>
      <c r="W5390" s="124"/>
      <c r="X5390" s="126" t="s">
        <v>16798</v>
      </c>
      <c r="Y5390" s="127"/>
      <c r="Z5390" s="127"/>
      <c r="AA5390" s="127"/>
      <c r="AB5390" s="128"/>
      <c r="AC5390" s="15" t="s">
        <v>20</v>
      </c>
      <c r="AD5390" s="129"/>
      <c r="AE5390" s="130"/>
      <c r="AF5390" s="130"/>
      <c r="AG5390" s="130"/>
      <c r="AH5390" s="130"/>
      <c r="AI5390" s="131"/>
      <c r="AJ5390" s="132"/>
      <c r="AK5390" s="127"/>
      <c r="AL5390" s="128"/>
      <c r="AM5390" s="21"/>
      <c r="AN5390" s="133">
        <v>46057</v>
      </c>
      <c r="AO5390" s="134"/>
      <c r="AP5390" s="135">
        <v>1003</v>
      </c>
      <c r="AQ5390" s="136"/>
      <c r="AR5390" s="118">
        <v>1010000</v>
      </c>
      <c r="AS5390" s="119"/>
      <c r="AT5390" s="118">
        <f t="shared" ref="AT5390" si="6727">AR5390*0.1</f>
        <v>101000</v>
      </c>
      <c r="AU5390" s="119"/>
      <c r="AV5390" s="118">
        <v>6830</v>
      </c>
      <c r="AW5390" s="119"/>
      <c r="AX5390" s="118">
        <f t="shared" ref="AX5390" si="6728">SUM(AR5390:AW5390)</f>
        <v>1117830</v>
      </c>
      <c r="AY5390" s="119"/>
      <c r="AZ5390" s="137">
        <v>46062</v>
      </c>
    </row>
    <row r="5391" spans="1:52" ht="17.100000000000001" customHeight="1" thickBot="1">
      <c r="A5391" s="110"/>
      <c r="B5391" s="27" t="s">
        <v>2641</v>
      </c>
      <c r="C5391" s="27">
        <v>7536</v>
      </c>
      <c r="D5391" s="14" t="s">
        <v>1576</v>
      </c>
      <c r="E5391" s="112"/>
      <c r="F5391" s="139" t="s">
        <v>15862</v>
      </c>
      <c r="G5391" s="140"/>
      <c r="H5391" s="141"/>
      <c r="I5391" s="26">
        <v>33633</v>
      </c>
      <c r="J5391" s="117"/>
      <c r="K5391" s="120"/>
      <c r="L5391" s="121"/>
      <c r="M5391" s="120"/>
      <c r="N5391" s="121"/>
      <c r="O5391" s="120"/>
      <c r="P5391" s="121"/>
      <c r="Q5391" s="120"/>
      <c r="R5391" s="121"/>
      <c r="S5391" s="120"/>
      <c r="T5391" s="121"/>
      <c r="U5391" s="120"/>
      <c r="V5391" s="123"/>
      <c r="W5391" s="125"/>
      <c r="X5391" s="142" t="s">
        <v>4619</v>
      </c>
      <c r="Y5391" s="143"/>
      <c r="Z5391" s="143"/>
      <c r="AA5391" s="143"/>
      <c r="AB5391" s="144"/>
      <c r="AC5391" s="16" t="s">
        <v>21</v>
      </c>
      <c r="AD5391" s="17" t="s">
        <v>2329</v>
      </c>
      <c r="AE5391" s="145" t="s">
        <v>171</v>
      </c>
      <c r="AF5391" s="146"/>
      <c r="AG5391" s="146"/>
      <c r="AH5391" s="146"/>
      <c r="AI5391" s="147"/>
      <c r="AJ5391" s="148"/>
      <c r="AK5391" s="143"/>
      <c r="AL5391" s="144"/>
      <c r="AM5391" s="22"/>
      <c r="AN5391" s="149" t="s">
        <v>2794</v>
      </c>
      <c r="AO5391" s="144"/>
      <c r="AP5391" s="148">
        <v>2050</v>
      </c>
      <c r="AQ5391" s="144"/>
      <c r="AR5391" s="120"/>
      <c r="AS5391" s="121"/>
      <c r="AT5391" s="120"/>
      <c r="AU5391" s="121"/>
      <c r="AV5391" s="120"/>
      <c r="AW5391" s="121"/>
      <c r="AX5391" s="120"/>
      <c r="AY5391" s="121"/>
      <c r="AZ5391" s="138"/>
    </row>
    <row r="5392" spans="1:52" ht="17.100000000000001" customHeight="1" thickTop="1">
      <c r="A5392" s="109" t="s">
        <v>15832</v>
      </c>
      <c r="B5392" s="28">
        <v>46045</v>
      </c>
      <c r="C5392" s="25">
        <v>1403</v>
      </c>
      <c r="D5392" s="13" t="s">
        <v>2301</v>
      </c>
      <c r="E5392" s="111"/>
      <c r="F5392" s="113" t="s">
        <v>7340</v>
      </c>
      <c r="G5392" s="114"/>
      <c r="H5392" s="115"/>
      <c r="I5392" s="24" t="s">
        <v>15989</v>
      </c>
      <c r="J5392" s="116">
        <v>3.5</v>
      </c>
      <c r="K5392" s="118">
        <v>652000</v>
      </c>
      <c r="L5392" s="119"/>
      <c r="M5392" s="118">
        <f t="shared" ref="M5392" si="6729">K5392*0.1</f>
        <v>65200</v>
      </c>
      <c r="N5392" s="119"/>
      <c r="O5392" s="118">
        <v>0</v>
      </c>
      <c r="P5392" s="119"/>
      <c r="Q5392" s="118">
        <v>8400</v>
      </c>
      <c r="R5392" s="119"/>
      <c r="S5392" s="118">
        <v>15400</v>
      </c>
      <c r="T5392" s="119"/>
      <c r="U5392" s="118">
        <f t="shared" ref="U5392" si="6730">SUM(K5392:T5393)</f>
        <v>741000</v>
      </c>
      <c r="V5392" s="122"/>
      <c r="W5392" s="124"/>
      <c r="X5392" s="126" t="s">
        <v>16601</v>
      </c>
      <c r="Y5392" s="127"/>
      <c r="Z5392" s="127"/>
      <c r="AA5392" s="127"/>
      <c r="AB5392" s="128"/>
      <c r="AC5392" s="15" t="s">
        <v>20</v>
      </c>
      <c r="AD5392" s="129" t="s">
        <v>1581</v>
      </c>
      <c r="AE5392" s="130"/>
      <c r="AF5392" s="130"/>
      <c r="AG5392" s="130"/>
      <c r="AH5392" s="130"/>
      <c r="AI5392" s="131"/>
      <c r="AJ5392" s="132"/>
      <c r="AK5392" s="127"/>
      <c r="AL5392" s="128"/>
      <c r="AM5392" s="21" t="s">
        <v>17753</v>
      </c>
      <c r="AN5392" s="133">
        <v>46064</v>
      </c>
      <c r="AO5392" s="134"/>
      <c r="AP5392" s="135">
        <v>1004</v>
      </c>
      <c r="AQ5392" s="136"/>
      <c r="AR5392" s="118">
        <v>745000</v>
      </c>
      <c r="AS5392" s="119"/>
      <c r="AT5392" s="118">
        <f t="shared" ref="AT5392" si="6731">AR5392*0.1</f>
        <v>74500</v>
      </c>
      <c r="AU5392" s="119"/>
      <c r="AV5392" s="118">
        <v>8400</v>
      </c>
      <c r="AW5392" s="119"/>
      <c r="AX5392" s="118">
        <f t="shared" ref="AX5392" si="6732">SUM(AR5392:AW5392)</f>
        <v>827900</v>
      </c>
      <c r="AY5392" s="119"/>
      <c r="AZ5392" s="137">
        <v>46070</v>
      </c>
    </row>
    <row r="5393" spans="1:52" ht="17.100000000000001" customHeight="1" thickBot="1">
      <c r="A5393" s="110"/>
      <c r="B5393" s="27" t="s">
        <v>2641</v>
      </c>
      <c r="C5393" s="27">
        <v>7544</v>
      </c>
      <c r="D5393" s="14" t="s">
        <v>1812</v>
      </c>
      <c r="E5393" s="112"/>
      <c r="F5393" s="139" t="s">
        <v>15863</v>
      </c>
      <c r="G5393" s="140"/>
      <c r="H5393" s="141"/>
      <c r="I5393" s="26">
        <v>27910</v>
      </c>
      <c r="J5393" s="117"/>
      <c r="K5393" s="120"/>
      <c r="L5393" s="121"/>
      <c r="M5393" s="120"/>
      <c r="N5393" s="121"/>
      <c r="O5393" s="120"/>
      <c r="P5393" s="121"/>
      <c r="Q5393" s="120"/>
      <c r="R5393" s="121"/>
      <c r="S5393" s="120"/>
      <c r="T5393" s="121"/>
      <c r="U5393" s="120"/>
      <c r="V5393" s="123"/>
      <c r="W5393" s="125"/>
      <c r="X5393" s="142" t="s">
        <v>4619</v>
      </c>
      <c r="Y5393" s="143"/>
      <c r="Z5393" s="143"/>
      <c r="AA5393" s="143"/>
      <c r="AB5393" s="144"/>
      <c r="AC5393" s="16" t="s">
        <v>21</v>
      </c>
      <c r="AD5393" s="17" t="s">
        <v>2316</v>
      </c>
      <c r="AE5393" s="145" t="s">
        <v>171</v>
      </c>
      <c r="AF5393" s="146"/>
      <c r="AG5393" s="146"/>
      <c r="AH5393" s="146"/>
      <c r="AI5393" s="147"/>
      <c r="AJ5393" s="148"/>
      <c r="AK5393" s="143"/>
      <c r="AL5393" s="144"/>
      <c r="AM5393" s="22"/>
      <c r="AN5393" s="149" t="s">
        <v>2794</v>
      </c>
      <c r="AO5393" s="144"/>
      <c r="AP5393" s="148">
        <v>2055</v>
      </c>
      <c r="AQ5393" s="144"/>
      <c r="AR5393" s="120"/>
      <c r="AS5393" s="121"/>
      <c r="AT5393" s="120"/>
      <c r="AU5393" s="121"/>
      <c r="AV5393" s="120"/>
      <c r="AW5393" s="121"/>
      <c r="AX5393" s="120"/>
      <c r="AY5393" s="121"/>
      <c r="AZ5393" s="138"/>
    </row>
    <row r="5394" spans="1:52" ht="17.100000000000001" customHeight="1" thickTop="1">
      <c r="A5394" s="109" t="s">
        <v>15833</v>
      </c>
      <c r="B5394" s="28">
        <v>46045</v>
      </c>
      <c r="C5394" s="25">
        <v>1403</v>
      </c>
      <c r="D5394" s="13" t="s">
        <v>2465</v>
      </c>
      <c r="E5394" s="111"/>
      <c r="F5394" s="113" t="s">
        <v>7340</v>
      </c>
      <c r="G5394" s="114"/>
      <c r="H5394" s="115"/>
      <c r="I5394" s="24" t="s">
        <v>5652</v>
      </c>
      <c r="J5394" s="116">
        <v>4</v>
      </c>
      <c r="K5394" s="118">
        <v>568000</v>
      </c>
      <c r="L5394" s="119"/>
      <c r="M5394" s="118">
        <f t="shared" ref="M5394" si="6733">K5394*0.1</f>
        <v>56800</v>
      </c>
      <c r="N5394" s="119"/>
      <c r="O5394" s="118">
        <v>0</v>
      </c>
      <c r="P5394" s="119"/>
      <c r="Q5394" s="118">
        <v>8400</v>
      </c>
      <c r="R5394" s="119"/>
      <c r="S5394" s="118">
        <v>15400</v>
      </c>
      <c r="T5394" s="119"/>
      <c r="U5394" s="118">
        <f t="shared" ref="U5394" si="6734">SUM(K5394:T5395)</f>
        <v>648600</v>
      </c>
      <c r="V5394" s="122"/>
      <c r="W5394" s="124"/>
      <c r="X5394" s="126" t="s">
        <v>16602</v>
      </c>
      <c r="Y5394" s="127"/>
      <c r="Z5394" s="127"/>
      <c r="AA5394" s="127"/>
      <c r="AB5394" s="128"/>
      <c r="AC5394" s="15" t="s">
        <v>20</v>
      </c>
      <c r="AD5394" s="129" t="s">
        <v>3828</v>
      </c>
      <c r="AE5394" s="130"/>
      <c r="AF5394" s="130"/>
      <c r="AG5394" s="130"/>
      <c r="AH5394" s="130"/>
      <c r="AI5394" s="131"/>
      <c r="AJ5394" s="132" t="s">
        <v>16605</v>
      </c>
      <c r="AK5394" s="127"/>
      <c r="AL5394" s="128"/>
      <c r="AM5394" s="21"/>
      <c r="AN5394" s="133">
        <v>46053</v>
      </c>
      <c r="AO5394" s="134"/>
      <c r="AP5394" s="135">
        <v>1286</v>
      </c>
      <c r="AQ5394" s="136"/>
      <c r="AR5394" s="118">
        <v>675000</v>
      </c>
      <c r="AS5394" s="119"/>
      <c r="AT5394" s="118">
        <f t="shared" ref="AT5394" si="6735">AR5394*0.1</f>
        <v>67500</v>
      </c>
      <c r="AU5394" s="119"/>
      <c r="AV5394" s="118">
        <v>8400</v>
      </c>
      <c r="AW5394" s="119"/>
      <c r="AX5394" s="118">
        <f t="shared" ref="AX5394" si="6736">SUM(AR5394:AW5394)</f>
        <v>750900</v>
      </c>
      <c r="AY5394" s="119"/>
      <c r="AZ5394" s="137">
        <v>46056</v>
      </c>
    </row>
    <row r="5395" spans="1:52" ht="17.100000000000001" customHeight="1" thickBot="1">
      <c r="A5395" s="110"/>
      <c r="B5395" s="27" t="s">
        <v>2641</v>
      </c>
      <c r="C5395" s="27">
        <v>7550</v>
      </c>
      <c r="D5395" s="14" t="s">
        <v>2601</v>
      </c>
      <c r="E5395" s="112"/>
      <c r="F5395" s="139" t="s">
        <v>15864</v>
      </c>
      <c r="G5395" s="140"/>
      <c r="H5395" s="141"/>
      <c r="I5395" s="26">
        <v>78595</v>
      </c>
      <c r="J5395" s="117"/>
      <c r="K5395" s="120"/>
      <c r="L5395" s="121"/>
      <c r="M5395" s="120"/>
      <c r="N5395" s="121"/>
      <c r="O5395" s="120"/>
      <c r="P5395" s="121"/>
      <c r="Q5395" s="120"/>
      <c r="R5395" s="121"/>
      <c r="S5395" s="120"/>
      <c r="T5395" s="121"/>
      <c r="U5395" s="120"/>
      <c r="V5395" s="123"/>
      <c r="W5395" s="125"/>
      <c r="X5395" s="142" t="s">
        <v>16603</v>
      </c>
      <c r="Y5395" s="143"/>
      <c r="Z5395" s="143"/>
      <c r="AA5395" s="143"/>
      <c r="AB5395" s="144"/>
      <c r="AC5395" s="16" t="s">
        <v>21</v>
      </c>
      <c r="AD5395" s="17" t="s">
        <v>2316</v>
      </c>
      <c r="AE5395" s="145" t="s">
        <v>1633</v>
      </c>
      <c r="AF5395" s="146"/>
      <c r="AG5395" s="146"/>
      <c r="AH5395" s="146"/>
      <c r="AI5395" s="147"/>
      <c r="AJ5395" s="148"/>
      <c r="AK5395" s="143"/>
      <c r="AL5395" s="144"/>
      <c r="AM5395" s="22"/>
      <c r="AN5395" s="149" t="s">
        <v>2511</v>
      </c>
      <c r="AO5395" s="144"/>
      <c r="AP5395" s="148">
        <v>60172</v>
      </c>
      <c r="AQ5395" s="144"/>
      <c r="AR5395" s="120"/>
      <c r="AS5395" s="121"/>
      <c r="AT5395" s="120"/>
      <c r="AU5395" s="121"/>
      <c r="AV5395" s="120"/>
      <c r="AW5395" s="121"/>
      <c r="AX5395" s="120"/>
      <c r="AY5395" s="121"/>
      <c r="AZ5395" s="138"/>
    </row>
    <row r="5396" spans="1:52" ht="17.100000000000001" customHeight="1" thickTop="1">
      <c r="A5396" s="109" t="s">
        <v>15834</v>
      </c>
      <c r="B5396" s="28">
        <v>46045</v>
      </c>
      <c r="C5396" s="25">
        <v>1403</v>
      </c>
      <c r="D5396" s="13" t="s">
        <v>2963</v>
      </c>
      <c r="E5396" s="111"/>
      <c r="F5396" s="113" t="s">
        <v>15865</v>
      </c>
      <c r="G5396" s="114"/>
      <c r="H5396" s="115"/>
      <c r="I5396" s="24"/>
      <c r="J5396" s="116">
        <v>4</v>
      </c>
      <c r="K5396" s="118">
        <v>964000</v>
      </c>
      <c r="L5396" s="119"/>
      <c r="M5396" s="118">
        <f t="shared" ref="M5396" si="6737">K5396*0.1</f>
        <v>96400</v>
      </c>
      <c r="N5396" s="119"/>
      <c r="O5396" s="118">
        <v>0</v>
      </c>
      <c r="P5396" s="119"/>
      <c r="Q5396" s="118">
        <v>8010</v>
      </c>
      <c r="R5396" s="119"/>
      <c r="S5396" s="118">
        <v>15400</v>
      </c>
      <c r="T5396" s="119"/>
      <c r="U5396" s="118">
        <f t="shared" ref="U5396" si="6738">SUM(K5396:T5397)</f>
        <v>1083810</v>
      </c>
      <c r="V5396" s="122"/>
      <c r="W5396" s="124"/>
      <c r="X5396" s="126" t="s">
        <v>16578</v>
      </c>
      <c r="Y5396" s="127"/>
      <c r="Z5396" s="127"/>
      <c r="AA5396" s="127"/>
      <c r="AB5396" s="128"/>
      <c r="AC5396" s="15" t="s">
        <v>20</v>
      </c>
      <c r="AD5396" s="129" t="s">
        <v>4435</v>
      </c>
      <c r="AE5396" s="130"/>
      <c r="AF5396" s="130"/>
      <c r="AG5396" s="130"/>
      <c r="AH5396" s="130"/>
      <c r="AI5396" s="131"/>
      <c r="AJ5396" s="132"/>
      <c r="AK5396" s="127"/>
      <c r="AL5396" s="128"/>
      <c r="AM5396" s="21"/>
      <c r="AN5396" s="133">
        <v>46050</v>
      </c>
      <c r="AO5396" s="134"/>
      <c r="AP5396" s="135">
        <v>1002</v>
      </c>
      <c r="AQ5396" s="136"/>
      <c r="AR5396" s="118">
        <v>1100000</v>
      </c>
      <c r="AS5396" s="119"/>
      <c r="AT5396" s="118">
        <f t="shared" ref="AT5396" si="6739">AR5396*0.1</f>
        <v>110000</v>
      </c>
      <c r="AU5396" s="119"/>
      <c r="AV5396" s="118">
        <v>8010</v>
      </c>
      <c r="AW5396" s="119"/>
      <c r="AX5396" s="118">
        <f t="shared" ref="AX5396" si="6740">SUM(AR5396:AW5396)</f>
        <v>1218010</v>
      </c>
      <c r="AY5396" s="119"/>
      <c r="AZ5396" s="137">
        <v>46056</v>
      </c>
    </row>
    <row r="5397" spans="1:52" ht="17.100000000000001" customHeight="1" thickBot="1">
      <c r="A5397" s="110"/>
      <c r="B5397" s="27" t="s">
        <v>2641</v>
      </c>
      <c r="C5397" s="27">
        <v>7564</v>
      </c>
      <c r="D5397" s="14" t="s">
        <v>275</v>
      </c>
      <c r="E5397" s="112"/>
      <c r="F5397" s="139" t="s">
        <v>15866</v>
      </c>
      <c r="G5397" s="140"/>
      <c r="H5397" s="141"/>
      <c r="I5397" s="26">
        <v>37278</v>
      </c>
      <c r="J5397" s="117"/>
      <c r="K5397" s="120"/>
      <c r="L5397" s="121"/>
      <c r="M5397" s="120"/>
      <c r="N5397" s="121"/>
      <c r="O5397" s="120"/>
      <c r="P5397" s="121"/>
      <c r="Q5397" s="120"/>
      <c r="R5397" s="121"/>
      <c r="S5397" s="120"/>
      <c r="T5397" s="121"/>
      <c r="U5397" s="120"/>
      <c r="V5397" s="123"/>
      <c r="W5397" s="125"/>
      <c r="X5397" s="142" t="s">
        <v>4619</v>
      </c>
      <c r="Y5397" s="143"/>
      <c r="Z5397" s="143"/>
      <c r="AA5397" s="143"/>
      <c r="AB5397" s="144"/>
      <c r="AC5397" s="16" t="s">
        <v>21</v>
      </c>
      <c r="AD5397" s="17" t="s">
        <v>2316</v>
      </c>
      <c r="AE5397" s="145" t="s">
        <v>2395</v>
      </c>
      <c r="AF5397" s="146"/>
      <c r="AG5397" s="146"/>
      <c r="AH5397" s="146"/>
      <c r="AI5397" s="147"/>
      <c r="AJ5397" s="148"/>
      <c r="AK5397" s="143"/>
      <c r="AL5397" s="144"/>
      <c r="AM5397" s="22"/>
      <c r="AN5397" s="149" t="s">
        <v>2794</v>
      </c>
      <c r="AO5397" s="144"/>
      <c r="AP5397" s="148">
        <v>5101</v>
      </c>
      <c r="AQ5397" s="144"/>
      <c r="AR5397" s="120"/>
      <c r="AS5397" s="121"/>
      <c r="AT5397" s="120"/>
      <c r="AU5397" s="121"/>
      <c r="AV5397" s="120"/>
      <c r="AW5397" s="121"/>
      <c r="AX5397" s="120"/>
      <c r="AY5397" s="121"/>
      <c r="AZ5397" s="138"/>
    </row>
    <row r="5398" spans="1:52" ht="17.100000000000001" customHeight="1" thickTop="1">
      <c r="A5398" s="109" t="s">
        <v>15835</v>
      </c>
      <c r="B5398" s="28">
        <v>46045</v>
      </c>
      <c r="C5398" s="25">
        <v>1403</v>
      </c>
      <c r="D5398" s="13" t="s">
        <v>1725</v>
      </c>
      <c r="E5398" s="111"/>
      <c r="F5398" s="113" t="s">
        <v>5701</v>
      </c>
      <c r="G5398" s="114"/>
      <c r="H5398" s="115"/>
      <c r="I5398" s="24"/>
      <c r="J5398" s="116">
        <v>4.5</v>
      </c>
      <c r="K5398" s="118">
        <v>840000</v>
      </c>
      <c r="L5398" s="119"/>
      <c r="M5398" s="118">
        <f t="shared" ref="M5398" si="6741">K5398*0.1</f>
        <v>84000</v>
      </c>
      <c r="N5398" s="119"/>
      <c r="O5398" s="118">
        <v>0</v>
      </c>
      <c r="P5398" s="119"/>
      <c r="Q5398" s="118">
        <v>8400</v>
      </c>
      <c r="R5398" s="119"/>
      <c r="S5398" s="118">
        <v>15400</v>
      </c>
      <c r="T5398" s="119"/>
      <c r="U5398" s="118">
        <f t="shared" ref="U5398" si="6742">SUM(K5398:T5399)</f>
        <v>947800</v>
      </c>
      <c r="V5398" s="122"/>
      <c r="W5398" s="124"/>
      <c r="X5398" s="126" t="s">
        <v>16577</v>
      </c>
      <c r="Y5398" s="127"/>
      <c r="Z5398" s="127"/>
      <c r="AA5398" s="127"/>
      <c r="AB5398" s="128"/>
      <c r="AC5398" s="15" t="s">
        <v>20</v>
      </c>
      <c r="AD5398" s="129" t="s">
        <v>3828</v>
      </c>
      <c r="AE5398" s="130"/>
      <c r="AF5398" s="130"/>
      <c r="AG5398" s="130"/>
      <c r="AH5398" s="130"/>
      <c r="AI5398" s="131"/>
      <c r="AJ5398" s="132"/>
      <c r="AK5398" s="127"/>
      <c r="AL5398" s="128"/>
      <c r="AM5398" s="21"/>
      <c r="AN5398" s="133">
        <v>46050</v>
      </c>
      <c r="AO5398" s="134"/>
      <c r="AP5398" s="135">
        <v>1002</v>
      </c>
      <c r="AQ5398" s="136"/>
      <c r="AR5398" s="118">
        <v>920000</v>
      </c>
      <c r="AS5398" s="119"/>
      <c r="AT5398" s="118">
        <f t="shared" ref="AT5398" si="6743">AR5398*0.1</f>
        <v>92000</v>
      </c>
      <c r="AU5398" s="119"/>
      <c r="AV5398" s="118">
        <v>8400</v>
      </c>
      <c r="AW5398" s="119"/>
      <c r="AX5398" s="118">
        <f t="shared" ref="AX5398" si="6744">SUM(AR5398:AW5398)</f>
        <v>1020400</v>
      </c>
      <c r="AY5398" s="119"/>
      <c r="AZ5398" s="137">
        <v>46056</v>
      </c>
    </row>
    <row r="5399" spans="1:52" ht="17.100000000000001" customHeight="1" thickBot="1">
      <c r="A5399" s="110"/>
      <c r="B5399" s="27" t="s">
        <v>2641</v>
      </c>
      <c r="C5399" s="27">
        <v>7566</v>
      </c>
      <c r="D5399" s="14" t="s">
        <v>2601</v>
      </c>
      <c r="E5399" s="112"/>
      <c r="F5399" s="139" t="s">
        <v>15867</v>
      </c>
      <c r="G5399" s="140"/>
      <c r="H5399" s="141"/>
      <c r="I5399" s="26">
        <v>33107</v>
      </c>
      <c r="J5399" s="117"/>
      <c r="K5399" s="120"/>
      <c r="L5399" s="121"/>
      <c r="M5399" s="120"/>
      <c r="N5399" s="121"/>
      <c r="O5399" s="120"/>
      <c r="P5399" s="121"/>
      <c r="Q5399" s="120"/>
      <c r="R5399" s="121"/>
      <c r="S5399" s="120"/>
      <c r="T5399" s="121"/>
      <c r="U5399" s="120"/>
      <c r="V5399" s="123"/>
      <c r="W5399" s="125"/>
      <c r="X5399" s="142" t="s">
        <v>4619</v>
      </c>
      <c r="Y5399" s="143"/>
      <c r="Z5399" s="143"/>
      <c r="AA5399" s="143"/>
      <c r="AB5399" s="144"/>
      <c r="AC5399" s="16" t="s">
        <v>21</v>
      </c>
      <c r="AD5399" s="17" t="s">
        <v>2316</v>
      </c>
      <c r="AE5399" s="145" t="s">
        <v>1658</v>
      </c>
      <c r="AF5399" s="146"/>
      <c r="AG5399" s="146"/>
      <c r="AH5399" s="146"/>
      <c r="AI5399" s="147"/>
      <c r="AJ5399" s="148"/>
      <c r="AK5399" s="143"/>
      <c r="AL5399" s="144"/>
      <c r="AM5399" s="22"/>
      <c r="AN5399" s="149" t="s">
        <v>7285</v>
      </c>
      <c r="AO5399" s="144"/>
      <c r="AP5399" s="148">
        <v>5077</v>
      </c>
      <c r="AQ5399" s="144"/>
      <c r="AR5399" s="120"/>
      <c r="AS5399" s="121"/>
      <c r="AT5399" s="120"/>
      <c r="AU5399" s="121"/>
      <c r="AV5399" s="120"/>
      <c r="AW5399" s="121"/>
      <c r="AX5399" s="120"/>
      <c r="AY5399" s="121"/>
      <c r="AZ5399" s="138"/>
    </row>
    <row r="5400" spans="1:52" ht="17.100000000000001" customHeight="1" thickTop="1">
      <c r="A5400" s="109" t="s">
        <v>15836</v>
      </c>
      <c r="B5400" s="28">
        <v>46045</v>
      </c>
      <c r="C5400" s="25">
        <v>1403</v>
      </c>
      <c r="D5400" s="13" t="s">
        <v>1958</v>
      </c>
      <c r="E5400" s="111"/>
      <c r="F5400" s="113" t="s">
        <v>15531</v>
      </c>
      <c r="G5400" s="114"/>
      <c r="H5400" s="115"/>
      <c r="I5400" s="24" t="s">
        <v>9920</v>
      </c>
      <c r="J5400" s="116">
        <v>3.5</v>
      </c>
      <c r="K5400" s="118">
        <v>426000</v>
      </c>
      <c r="L5400" s="119"/>
      <c r="M5400" s="118">
        <f t="shared" ref="M5400" si="6745">K5400*0.1</f>
        <v>42600</v>
      </c>
      <c r="N5400" s="119"/>
      <c r="O5400" s="118">
        <v>0</v>
      </c>
      <c r="P5400" s="119"/>
      <c r="Q5400" s="118">
        <v>8850</v>
      </c>
      <c r="R5400" s="119"/>
      <c r="S5400" s="118">
        <v>15400</v>
      </c>
      <c r="T5400" s="119"/>
      <c r="U5400" s="118">
        <f t="shared" ref="U5400" si="6746">SUM(K5400:T5401)</f>
        <v>492850</v>
      </c>
      <c r="V5400" s="122"/>
      <c r="W5400" s="124"/>
      <c r="X5400" s="126" t="s">
        <v>16604</v>
      </c>
      <c r="Y5400" s="127"/>
      <c r="Z5400" s="127"/>
      <c r="AA5400" s="127"/>
      <c r="AB5400" s="128"/>
      <c r="AC5400" s="15" t="s">
        <v>20</v>
      </c>
      <c r="AD5400" s="129" t="s">
        <v>4435</v>
      </c>
      <c r="AE5400" s="130"/>
      <c r="AF5400" s="130"/>
      <c r="AG5400" s="130"/>
      <c r="AH5400" s="130"/>
      <c r="AI5400" s="131"/>
      <c r="AJ5400" s="132"/>
      <c r="AK5400" s="127"/>
      <c r="AL5400" s="128"/>
      <c r="AM5400" s="21" t="s">
        <v>18655</v>
      </c>
      <c r="AN5400" s="133">
        <v>46081</v>
      </c>
      <c r="AO5400" s="134"/>
      <c r="AP5400" s="135">
        <v>1290</v>
      </c>
      <c r="AQ5400" s="136"/>
      <c r="AR5400" s="118">
        <v>385000</v>
      </c>
      <c r="AS5400" s="119"/>
      <c r="AT5400" s="118">
        <f t="shared" ref="AT5400" si="6747">AR5400*0.1</f>
        <v>38500</v>
      </c>
      <c r="AU5400" s="119"/>
      <c r="AV5400" s="118">
        <v>8850</v>
      </c>
      <c r="AW5400" s="119"/>
      <c r="AX5400" s="118">
        <f t="shared" ref="AX5400" si="6748">SUM(AR5400:AW5400)</f>
        <v>432350</v>
      </c>
      <c r="AY5400" s="119"/>
      <c r="AZ5400" s="137">
        <v>46084</v>
      </c>
    </row>
    <row r="5401" spans="1:52" ht="17.100000000000001" customHeight="1" thickBot="1">
      <c r="A5401" s="110"/>
      <c r="B5401" s="27" t="s">
        <v>2641</v>
      </c>
      <c r="C5401" s="27">
        <v>7568</v>
      </c>
      <c r="D5401" s="14" t="s">
        <v>1720</v>
      </c>
      <c r="E5401" s="112"/>
      <c r="F5401" s="139" t="s">
        <v>15868</v>
      </c>
      <c r="G5401" s="140"/>
      <c r="H5401" s="141"/>
      <c r="I5401" s="26">
        <v>40400</v>
      </c>
      <c r="J5401" s="117"/>
      <c r="K5401" s="120"/>
      <c r="L5401" s="121"/>
      <c r="M5401" s="120"/>
      <c r="N5401" s="121"/>
      <c r="O5401" s="120"/>
      <c r="P5401" s="121"/>
      <c r="Q5401" s="120"/>
      <c r="R5401" s="121"/>
      <c r="S5401" s="120"/>
      <c r="T5401" s="121"/>
      <c r="U5401" s="120"/>
      <c r="V5401" s="123"/>
      <c r="W5401" s="125"/>
      <c r="X5401" s="142" t="s">
        <v>16603</v>
      </c>
      <c r="Y5401" s="143"/>
      <c r="Z5401" s="143"/>
      <c r="AA5401" s="143"/>
      <c r="AB5401" s="144"/>
      <c r="AC5401" s="16" t="s">
        <v>21</v>
      </c>
      <c r="AD5401" s="17" t="s">
        <v>2316</v>
      </c>
      <c r="AE5401" s="145" t="s">
        <v>171</v>
      </c>
      <c r="AF5401" s="146"/>
      <c r="AG5401" s="146"/>
      <c r="AH5401" s="146"/>
      <c r="AI5401" s="147"/>
      <c r="AJ5401" s="148"/>
      <c r="AK5401" s="143"/>
      <c r="AL5401" s="144"/>
      <c r="AM5401" s="22"/>
      <c r="AN5401" s="149" t="s">
        <v>2511</v>
      </c>
      <c r="AO5401" s="144"/>
      <c r="AP5401" s="148">
        <v>60208</v>
      </c>
      <c r="AQ5401" s="144"/>
      <c r="AR5401" s="120"/>
      <c r="AS5401" s="121"/>
      <c r="AT5401" s="120"/>
      <c r="AU5401" s="121"/>
      <c r="AV5401" s="120"/>
      <c r="AW5401" s="121"/>
      <c r="AX5401" s="120"/>
      <c r="AY5401" s="121"/>
      <c r="AZ5401" s="138"/>
    </row>
    <row r="5402" spans="1:52" ht="17.100000000000001" customHeight="1" thickTop="1">
      <c r="A5402" s="109" t="s">
        <v>15988</v>
      </c>
      <c r="B5402" s="28">
        <v>46045</v>
      </c>
      <c r="C5402" s="25">
        <v>275</v>
      </c>
      <c r="D5402" s="13" t="s">
        <v>3386</v>
      </c>
      <c r="E5402" s="111"/>
      <c r="F5402" s="113" t="s">
        <v>15533</v>
      </c>
      <c r="G5402" s="114"/>
      <c r="H5402" s="115"/>
      <c r="I5402" s="24"/>
      <c r="J5402" s="116">
        <v>4.5</v>
      </c>
      <c r="K5402" s="118">
        <v>522000</v>
      </c>
      <c r="L5402" s="119"/>
      <c r="M5402" s="118">
        <f t="shared" ref="M5402" si="6749">K5402*0.1</f>
        <v>52200</v>
      </c>
      <c r="N5402" s="119"/>
      <c r="O5402" s="118">
        <v>0</v>
      </c>
      <c r="P5402" s="119"/>
      <c r="Q5402" s="118">
        <v>7140</v>
      </c>
      <c r="R5402" s="119"/>
      <c r="S5402" s="118">
        <v>22000</v>
      </c>
      <c r="T5402" s="119"/>
      <c r="U5402" s="118">
        <f t="shared" ref="U5402" si="6750">SUM(K5402:T5403)</f>
        <v>603340</v>
      </c>
      <c r="V5402" s="122"/>
      <c r="W5402" s="124"/>
      <c r="X5402" s="126" t="s">
        <v>16239</v>
      </c>
      <c r="Y5402" s="127"/>
      <c r="Z5402" s="127"/>
      <c r="AA5402" s="127"/>
      <c r="AB5402" s="128"/>
      <c r="AC5402" s="15" t="s">
        <v>20</v>
      </c>
      <c r="AD5402" s="129" t="s">
        <v>16241</v>
      </c>
      <c r="AE5402" s="130"/>
      <c r="AF5402" s="130"/>
      <c r="AG5402" s="130"/>
      <c r="AH5402" s="130"/>
      <c r="AI5402" s="131"/>
      <c r="AJ5402" s="132"/>
      <c r="AK5402" s="127"/>
      <c r="AL5402" s="128"/>
      <c r="AM5402" s="21"/>
      <c r="AN5402" s="133">
        <v>46049</v>
      </c>
      <c r="AO5402" s="134"/>
      <c r="AP5402" s="135">
        <v>1926</v>
      </c>
      <c r="AQ5402" s="136"/>
      <c r="AR5402" s="118">
        <v>565000</v>
      </c>
      <c r="AS5402" s="119"/>
      <c r="AT5402" s="118">
        <f t="shared" ref="AT5402" si="6751">AR5402*0.1</f>
        <v>56500</v>
      </c>
      <c r="AU5402" s="119"/>
      <c r="AV5402" s="118">
        <v>7140</v>
      </c>
      <c r="AW5402" s="119"/>
      <c r="AX5402" s="118">
        <f t="shared" ref="AX5402" si="6752">SUM(AR5402:AW5402)</f>
        <v>628640</v>
      </c>
      <c r="AY5402" s="119"/>
      <c r="AZ5402" s="137"/>
    </row>
    <row r="5403" spans="1:52" ht="17.100000000000001" customHeight="1" thickBot="1">
      <c r="A5403" s="110"/>
      <c r="B5403" s="27" t="s">
        <v>15877</v>
      </c>
      <c r="C5403" s="27">
        <v>8</v>
      </c>
      <c r="D5403" s="14" t="s">
        <v>1592</v>
      </c>
      <c r="E5403" s="112"/>
      <c r="F5403" s="139" t="s">
        <v>15878</v>
      </c>
      <c r="G5403" s="140"/>
      <c r="H5403" s="141"/>
      <c r="I5403" s="26">
        <v>30552</v>
      </c>
      <c r="J5403" s="117"/>
      <c r="K5403" s="120"/>
      <c r="L5403" s="121"/>
      <c r="M5403" s="120"/>
      <c r="N5403" s="121"/>
      <c r="O5403" s="120"/>
      <c r="P5403" s="121"/>
      <c r="Q5403" s="120"/>
      <c r="R5403" s="121"/>
      <c r="S5403" s="120"/>
      <c r="T5403" s="121"/>
      <c r="U5403" s="120"/>
      <c r="V5403" s="123"/>
      <c r="W5403" s="125"/>
      <c r="X5403" s="142" t="s">
        <v>16240</v>
      </c>
      <c r="Y5403" s="143"/>
      <c r="Z5403" s="143"/>
      <c r="AA5403" s="143"/>
      <c r="AB5403" s="144"/>
      <c r="AC5403" s="16" t="s">
        <v>21</v>
      </c>
      <c r="AD5403" s="17" t="s">
        <v>16172</v>
      </c>
      <c r="AE5403" s="145" t="s">
        <v>16242</v>
      </c>
      <c r="AF5403" s="146"/>
      <c r="AG5403" s="146"/>
      <c r="AH5403" s="146"/>
      <c r="AI5403" s="147"/>
      <c r="AJ5403" s="148"/>
      <c r="AK5403" s="143"/>
      <c r="AL5403" s="144"/>
      <c r="AM5403" s="22"/>
      <c r="AN5403" s="149" t="s">
        <v>2131</v>
      </c>
      <c r="AO5403" s="144"/>
      <c r="AP5403" s="148">
        <v>3291</v>
      </c>
      <c r="AQ5403" s="144"/>
      <c r="AR5403" s="120"/>
      <c r="AS5403" s="121"/>
      <c r="AT5403" s="120"/>
      <c r="AU5403" s="121"/>
      <c r="AV5403" s="120"/>
      <c r="AW5403" s="121"/>
      <c r="AX5403" s="120"/>
      <c r="AY5403" s="121"/>
      <c r="AZ5403" s="138"/>
    </row>
    <row r="5404" spans="1:52" ht="17.100000000000001" customHeight="1" thickTop="1">
      <c r="A5404" s="109" t="s">
        <v>15869</v>
      </c>
      <c r="B5404" s="28">
        <v>46045</v>
      </c>
      <c r="C5404" s="25">
        <v>275</v>
      </c>
      <c r="D5404" s="13" t="s">
        <v>2009</v>
      </c>
      <c r="E5404" s="111"/>
      <c r="F5404" s="113" t="s">
        <v>15993</v>
      </c>
      <c r="G5404" s="114"/>
      <c r="H5404" s="115"/>
      <c r="I5404" s="24" t="s">
        <v>4487</v>
      </c>
      <c r="J5404" s="116">
        <v>4</v>
      </c>
      <c r="K5404" s="118">
        <v>1192000</v>
      </c>
      <c r="L5404" s="119"/>
      <c r="M5404" s="118">
        <f t="shared" ref="M5404" si="6753">K5404*0.1</f>
        <v>119200</v>
      </c>
      <c r="N5404" s="119"/>
      <c r="O5404" s="118">
        <v>0</v>
      </c>
      <c r="P5404" s="119"/>
      <c r="Q5404" s="118">
        <v>6850</v>
      </c>
      <c r="R5404" s="119"/>
      <c r="S5404" s="118">
        <v>22000</v>
      </c>
      <c r="T5404" s="119"/>
      <c r="U5404" s="118">
        <f t="shared" ref="U5404" si="6754">SUM(K5404:T5405)</f>
        <v>1340050</v>
      </c>
      <c r="V5404" s="122"/>
      <c r="W5404" s="124"/>
      <c r="X5404" s="126" t="s">
        <v>15994</v>
      </c>
      <c r="Y5404" s="127"/>
      <c r="Z5404" s="127"/>
      <c r="AA5404" s="127"/>
      <c r="AB5404" s="128"/>
      <c r="AC5404" s="15" t="s">
        <v>20</v>
      </c>
      <c r="AD5404" s="129"/>
      <c r="AE5404" s="130"/>
      <c r="AF5404" s="130"/>
      <c r="AG5404" s="130"/>
      <c r="AH5404" s="130"/>
      <c r="AI5404" s="131"/>
      <c r="AJ5404" s="132"/>
      <c r="AK5404" s="127"/>
      <c r="AL5404" s="128"/>
      <c r="AM5404" s="21" t="s">
        <v>16985</v>
      </c>
      <c r="AN5404" s="133">
        <v>46057</v>
      </c>
      <c r="AO5404" s="134"/>
      <c r="AP5404" s="135">
        <v>1003</v>
      </c>
      <c r="AQ5404" s="136"/>
      <c r="AR5404" s="118">
        <v>1260000</v>
      </c>
      <c r="AS5404" s="119"/>
      <c r="AT5404" s="118">
        <f t="shared" ref="AT5404" si="6755">AR5404*0.1</f>
        <v>126000</v>
      </c>
      <c r="AU5404" s="119"/>
      <c r="AV5404" s="118">
        <v>6850</v>
      </c>
      <c r="AW5404" s="119"/>
      <c r="AX5404" s="118">
        <f t="shared" ref="AX5404" si="6756">SUM(AR5404:AW5404)</f>
        <v>1392850</v>
      </c>
      <c r="AY5404" s="119"/>
      <c r="AZ5404" s="137">
        <v>46063</v>
      </c>
    </row>
    <row r="5405" spans="1:52" ht="17.100000000000001" customHeight="1" thickBot="1">
      <c r="A5405" s="110"/>
      <c r="B5405" s="27" t="s">
        <v>15877</v>
      </c>
      <c r="C5405" s="27">
        <v>38</v>
      </c>
      <c r="D5405" s="14" t="s">
        <v>1812</v>
      </c>
      <c r="E5405" s="112"/>
      <c r="F5405" s="139" t="s">
        <v>15879</v>
      </c>
      <c r="G5405" s="140"/>
      <c r="H5405" s="141"/>
      <c r="I5405" s="26">
        <v>25937</v>
      </c>
      <c r="J5405" s="117"/>
      <c r="K5405" s="120"/>
      <c r="L5405" s="121"/>
      <c r="M5405" s="120"/>
      <c r="N5405" s="121"/>
      <c r="O5405" s="120"/>
      <c r="P5405" s="121"/>
      <c r="Q5405" s="120"/>
      <c r="R5405" s="121"/>
      <c r="S5405" s="120"/>
      <c r="T5405" s="121"/>
      <c r="U5405" s="120"/>
      <c r="V5405" s="123"/>
      <c r="W5405" s="125"/>
      <c r="X5405" s="142" t="s">
        <v>16198</v>
      </c>
      <c r="Y5405" s="143"/>
      <c r="Z5405" s="143"/>
      <c r="AA5405" s="143"/>
      <c r="AB5405" s="144"/>
      <c r="AC5405" s="16" t="s">
        <v>21</v>
      </c>
      <c r="AD5405" s="17" t="s">
        <v>16172</v>
      </c>
      <c r="AE5405" s="145"/>
      <c r="AF5405" s="146"/>
      <c r="AG5405" s="146"/>
      <c r="AH5405" s="146"/>
      <c r="AI5405" s="147"/>
      <c r="AJ5405" s="148"/>
      <c r="AK5405" s="143"/>
      <c r="AL5405" s="144"/>
      <c r="AM5405" s="22"/>
      <c r="AN5405" s="149" t="s">
        <v>2794</v>
      </c>
      <c r="AO5405" s="144"/>
      <c r="AP5405" s="148">
        <v>2077</v>
      </c>
      <c r="AQ5405" s="144"/>
      <c r="AR5405" s="120"/>
      <c r="AS5405" s="121"/>
      <c r="AT5405" s="120"/>
      <c r="AU5405" s="121"/>
      <c r="AV5405" s="120"/>
      <c r="AW5405" s="121"/>
      <c r="AX5405" s="120"/>
      <c r="AY5405" s="121"/>
      <c r="AZ5405" s="138"/>
    </row>
    <row r="5406" spans="1:52" ht="17.100000000000001" customHeight="1" thickTop="1">
      <c r="A5406" s="109" t="s">
        <v>15870</v>
      </c>
      <c r="B5406" s="28">
        <v>46045</v>
      </c>
      <c r="C5406" s="25">
        <v>275</v>
      </c>
      <c r="D5406" s="13" t="s">
        <v>1642</v>
      </c>
      <c r="E5406" s="111"/>
      <c r="F5406" s="113" t="s">
        <v>15995</v>
      </c>
      <c r="G5406" s="114"/>
      <c r="H5406" s="115"/>
      <c r="I5406" s="24" t="s">
        <v>1559</v>
      </c>
      <c r="J5406" s="116">
        <v>4.5</v>
      </c>
      <c r="K5406" s="118">
        <v>1284000</v>
      </c>
      <c r="L5406" s="119"/>
      <c r="M5406" s="118">
        <f t="shared" ref="M5406" si="6757">K5406*0.1</f>
        <v>128400</v>
      </c>
      <c r="N5406" s="119"/>
      <c r="O5406" s="118">
        <v>0</v>
      </c>
      <c r="P5406" s="119"/>
      <c r="Q5406" s="118">
        <v>8550</v>
      </c>
      <c r="R5406" s="119"/>
      <c r="S5406" s="118">
        <v>22000</v>
      </c>
      <c r="T5406" s="119"/>
      <c r="U5406" s="118">
        <f t="shared" ref="U5406" si="6758">SUM(K5406:T5407)</f>
        <v>1442950</v>
      </c>
      <c r="V5406" s="122"/>
      <c r="W5406" s="124"/>
      <c r="X5406" s="126" t="s">
        <v>15996</v>
      </c>
      <c r="Y5406" s="127"/>
      <c r="Z5406" s="127"/>
      <c r="AA5406" s="127"/>
      <c r="AB5406" s="128"/>
      <c r="AC5406" s="15" t="s">
        <v>20</v>
      </c>
      <c r="AD5406" s="129" t="s">
        <v>4435</v>
      </c>
      <c r="AE5406" s="130"/>
      <c r="AF5406" s="130"/>
      <c r="AG5406" s="130"/>
      <c r="AH5406" s="130"/>
      <c r="AI5406" s="131"/>
      <c r="AJ5406" s="132"/>
      <c r="AK5406" s="127"/>
      <c r="AL5406" s="128"/>
      <c r="AM5406" s="21" t="s">
        <v>16990</v>
      </c>
      <c r="AN5406" s="133">
        <v>46057</v>
      </c>
      <c r="AO5406" s="134"/>
      <c r="AP5406" s="135">
        <v>1003</v>
      </c>
      <c r="AQ5406" s="136"/>
      <c r="AR5406" s="118">
        <v>1380000</v>
      </c>
      <c r="AS5406" s="119"/>
      <c r="AT5406" s="118">
        <f t="shared" ref="AT5406" si="6759">AR5406*0.1</f>
        <v>138000</v>
      </c>
      <c r="AU5406" s="119"/>
      <c r="AV5406" s="118">
        <v>8550</v>
      </c>
      <c r="AW5406" s="119"/>
      <c r="AX5406" s="118">
        <f t="shared" ref="AX5406" si="6760">SUM(AR5406:AW5406)</f>
        <v>1526550</v>
      </c>
      <c r="AY5406" s="119"/>
      <c r="AZ5406" s="137">
        <v>46063</v>
      </c>
    </row>
    <row r="5407" spans="1:52" ht="17.100000000000001" customHeight="1" thickBot="1">
      <c r="A5407" s="110"/>
      <c r="B5407" s="27" t="s">
        <v>15877</v>
      </c>
      <c r="C5407" s="27">
        <v>83</v>
      </c>
      <c r="D5407" s="14" t="s">
        <v>275</v>
      </c>
      <c r="E5407" s="112"/>
      <c r="F5407" s="139" t="s">
        <v>15880</v>
      </c>
      <c r="G5407" s="140"/>
      <c r="H5407" s="141"/>
      <c r="I5407" s="26">
        <v>42779</v>
      </c>
      <c r="J5407" s="117"/>
      <c r="K5407" s="120"/>
      <c r="L5407" s="121"/>
      <c r="M5407" s="120"/>
      <c r="N5407" s="121"/>
      <c r="O5407" s="120"/>
      <c r="P5407" s="121"/>
      <c r="Q5407" s="120"/>
      <c r="R5407" s="121"/>
      <c r="S5407" s="120"/>
      <c r="T5407" s="121"/>
      <c r="U5407" s="120"/>
      <c r="V5407" s="123"/>
      <c r="W5407" s="125"/>
      <c r="X5407" s="142" t="s">
        <v>1673</v>
      </c>
      <c r="Y5407" s="143"/>
      <c r="Z5407" s="143"/>
      <c r="AA5407" s="143"/>
      <c r="AB5407" s="144"/>
      <c r="AC5407" s="16" t="s">
        <v>21</v>
      </c>
      <c r="AD5407" s="17" t="s">
        <v>1837</v>
      </c>
      <c r="AE5407" s="145" t="s">
        <v>171</v>
      </c>
      <c r="AF5407" s="146"/>
      <c r="AG5407" s="146"/>
      <c r="AH5407" s="146"/>
      <c r="AI5407" s="147"/>
      <c r="AJ5407" s="148"/>
      <c r="AK5407" s="143"/>
      <c r="AL5407" s="144"/>
      <c r="AM5407" s="22"/>
      <c r="AN5407" s="149" t="s">
        <v>7285</v>
      </c>
      <c r="AO5407" s="144"/>
      <c r="AP5407" s="148">
        <v>2073</v>
      </c>
      <c r="AQ5407" s="144"/>
      <c r="AR5407" s="120"/>
      <c r="AS5407" s="121"/>
      <c r="AT5407" s="120"/>
      <c r="AU5407" s="121"/>
      <c r="AV5407" s="120"/>
      <c r="AW5407" s="121"/>
      <c r="AX5407" s="120"/>
      <c r="AY5407" s="121"/>
      <c r="AZ5407" s="138"/>
    </row>
    <row r="5408" spans="1:52" ht="17.100000000000001" customHeight="1" thickTop="1">
      <c r="A5408" s="109" t="s">
        <v>15871</v>
      </c>
      <c r="B5408" s="28">
        <v>46045</v>
      </c>
      <c r="C5408" s="25">
        <v>275</v>
      </c>
      <c r="D5408" s="13" t="s">
        <v>1675</v>
      </c>
      <c r="E5408" s="111"/>
      <c r="F5408" s="113" t="s">
        <v>15997</v>
      </c>
      <c r="G5408" s="114"/>
      <c r="H5408" s="115"/>
      <c r="I5408" s="24"/>
      <c r="J5408" s="116">
        <v>4</v>
      </c>
      <c r="K5408" s="118">
        <v>494000</v>
      </c>
      <c r="L5408" s="119"/>
      <c r="M5408" s="118">
        <f t="shared" ref="M5408" si="6761">K5408*0.1</f>
        <v>49400</v>
      </c>
      <c r="N5408" s="119"/>
      <c r="O5408" s="118">
        <v>0</v>
      </c>
      <c r="P5408" s="119"/>
      <c r="Q5408" s="118">
        <v>8480</v>
      </c>
      <c r="R5408" s="119"/>
      <c r="S5408" s="118">
        <v>22000</v>
      </c>
      <c r="T5408" s="119"/>
      <c r="U5408" s="118">
        <f t="shared" ref="U5408" si="6762">SUM(K5408:T5409)</f>
        <v>573880</v>
      </c>
      <c r="V5408" s="122"/>
      <c r="W5408" s="124"/>
      <c r="X5408" s="126" t="s">
        <v>16192</v>
      </c>
      <c r="Y5408" s="127"/>
      <c r="Z5408" s="127"/>
      <c r="AA5408" s="127"/>
      <c r="AB5408" s="128"/>
      <c r="AC5408" s="15" t="s">
        <v>20</v>
      </c>
      <c r="AD5408" s="129" t="s">
        <v>4435</v>
      </c>
      <c r="AE5408" s="130"/>
      <c r="AF5408" s="130"/>
      <c r="AG5408" s="130"/>
      <c r="AH5408" s="130"/>
      <c r="AI5408" s="131"/>
      <c r="AJ5408" s="132"/>
      <c r="AK5408" s="127"/>
      <c r="AL5408" s="128"/>
      <c r="AM5408" s="21"/>
      <c r="AN5408" s="133">
        <v>46078</v>
      </c>
      <c r="AO5408" s="134"/>
      <c r="AP5408" s="135">
        <v>1006</v>
      </c>
      <c r="AQ5408" s="136"/>
      <c r="AR5408" s="118">
        <v>545000</v>
      </c>
      <c r="AS5408" s="119"/>
      <c r="AT5408" s="118">
        <f t="shared" ref="AT5408" si="6763">AR5408*0.1</f>
        <v>54500</v>
      </c>
      <c r="AU5408" s="119"/>
      <c r="AV5408" s="118">
        <v>8480</v>
      </c>
      <c r="AW5408" s="119"/>
      <c r="AX5408" s="118">
        <f t="shared" ref="AX5408" si="6764">SUM(AR5408:AW5408)</f>
        <v>607980</v>
      </c>
      <c r="AY5408" s="119"/>
      <c r="AZ5408" s="137">
        <v>46083</v>
      </c>
    </row>
    <row r="5409" spans="1:52" ht="17.100000000000001" customHeight="1" thickBot="1">
      <c r="A5409" s="110"/>
      <c r="B5409" s="27" t="s">
        <v>15877</v>
      </c>
      <c r="C5409" s="27">
        <v>90</v>
      </c>
      <c r="D5409" s="14" t="s">
        <v>275</v>
      </c>
      <c r="E5409" s="112"/>
      <c r="F5409" s="139" t="s">
        <v>15881</v>
      </c>
      <c r="G5409" s="140"/>
      <c r="H5409" s="141"/>
      <c r="I5409" s="26">
        <v>57950</v>
      </c>
      <c r="J5409" s="117"/>
      <c r="K5409" s="120"/>
      <c r="L5409" s="121"/>
      <c r="M5409" s="120"/>
      <c r="N5409" s="121"/>
      <c r="O5409" s="120"/>
      <c r="P5409" s="121"/>
      <c r="Q5409" s="120"/>
      <c r="R5409" s="121"/>
      <c r="S5409" s="120"/>
      <c r="T5409" s="121"/>
      <c r="U5409" s="120"/>
      <c r="V5409" s="123"/>
      <c r="W5409" s="125"/>
      <c r="X5409" s="142" t="s">
        <v>16193</v>
      </c>
      <c r="Y5409" s="143"/>
      <c r="Z5409" s="143"/>
      <c r="AA5409" s="143"/>
      <c r="AB5409" s="144"/>
      <c r="AC5409" s="16" t="s">
        <v>21</v>
      </c>
      <c r="AD5409" s="17" t="s">
        <v>16172</v>
      </c>
      <c r="AE5409" s="145" t="s">
        <v>10515</v>
      </c>
      <c r="AF5409" s="146"/>
      <c r="AG5409" s="146"/>
      <c r="AH5409" s="146"/>
      <c r="AI5409" s="147"/>
      <c r="AJ5409" s="148"/>
      <c r="AK5409" s="143"/>
      <c r="AL5409" s="144"/>
      <c r="AM5409" s="22"/>
      <c r="AN5409" s="149" t="s">
        <v>2794</v>
      </c>
      <c r="AO5409" s="144"/>
      <c r="AP5409" s="148">
        <v>2022</v>
      </c>
      <c r="AQ5409" s="144"/>
      <c r="AR5409" s="120"/>
      <c r="AS5409" s="121"/>
      <c r="AT5409" s="120"/>
      <c r="AU5409" s="121"/>
      <c r="AV5409" s="120"/>
      <c r="AW5409" s="121"/>
      <c r="AX5409" s="120"/>
      <c r="AY5409" s="121"/>
      <c r="AZ5409" s="138"/>
    </row>
    <row r="5410" spans="1:52" ht="17.100000000000001" customHeight="1" thickTop="1">
      <c r="A5410" s="109" t="s">
        <v>15872</v>
      </c>
      <c r="B5410" s="28">
        <v>46045</v>
      </c>
      <c r="C5410" s="25">
        <v>275</v>
      </c>
      <c r="D5410" s="13" t="s">
        <v>1714</v>
      </c>
      <c r="E5410" s="111"/>
      <c r="F5410" s="113" t="s">
        <v>15289</v>
      </c>
      <c r="G5410" s="114"/>
      <c r="H5410" s="115"/>
      <c r="I5410" s="24" t="s">
        <v>2526</v>
      </c>
      <c r="J5410" s="116">
        <v>4</v>
      </c>
      <c r="K5410" s="118">
        <v>907000</v>
      </c>
      <c r="L5410" s="119"/>
      <c r="M5410" s="118">
        <f t="shared" ref="M5410" si="6765">K5410*0.1</f>
        <v>90700</v>
      </c>
      <c r="N5410" s="119"/>
      <c r="O5410" s="118">
        <v>0</v>
      </c>
      <c r="P5410" s="119"/>
      <c r="Q5410" s="118">
        <v>8740</v>
      </c>
      <c r="R5410" s="119"/>
      <c r="S5410" s="118">
        <v>22000</v>
      </c>
      <c r="T5410" s="119"/>
      <c r="U5410" s="118">
        <f t="shared" ref="U5410" si="6766">SUM(K5410:T5411)</f>
        <v>1028440</v>
      </c>
      <c r="V5410" s="122"/>
      <c r="W5410" s="124"/>
      <c r="X5410" s="126" t="s">
        <v>15998</v>
      </c>
      <c r="Y5410" s="127"/>
      <c r="Z5410" s="127"/>
      <c r="AA5410" s="127"/>
      <c r="AB5410" s="128"/>
      <c r="AC5410" s="15" t="s">
        <v>20</v>
      </c>
      <c r="AD5410" s="129"/>
      <c r="AE5410" s="130"/>
      <c r="AF5410" s="130"/>
      <c r="AG5410" s="130"/>
      <c r="AH5410" s="130"/>
      <c r="AI5410" s="131"/>
      <c r="AJ5410" s="132"/>
      <c r="AK5410" s="127"/>
      <c r="AL5410" s="128"/>
      <c r="AM5410" s="21"/>
      <c r="AN5410" s="133">
        <v>46062</v>
      </c>
      <c r="AO5410" s="134"/>
      <c r="AP5410" s="135"/>
      <c r="AQ5410" s="136"/>
      <c r="AR5410" s="118">
        <v>1080000</v>
      </c>
      <c r="AS5410" s="119"/>
      <c r="AT5410" s="118">
        <f t="shared" ref="AT5410" si="6767">AR5410*0.1</f>
        <v>108000</v>
      </c>
      <c r="AU5410" s="119"/>
      <c r="AV5410" s="118">
        <v>8740</v>
      </c>
      <c r="AW5410" s="119"/>
      <c r="AX5410" s="118">
        <f t="shared" ref="AX5410" si="6768">SUM(AR5410:AW5410)</f>
        <v>1196740</v>
      </c>
      <c r="AY5410" s="119"/>
      <c r="AZ5410" s="137"/>
    </row>
    <row r="5411" spans="1:52" ht="17.100000000000001" customHeight="1" thickBot="1">
      <c r="A5411" s="110"/>
      <c r="B5411" s="27" t="s">
        <v>15877</v>
      </c>
      <c r="C5411" s="27">
        <v>101</v>
      </c>
      <c r="D5411" s="14" t="s">
        <v>2325</v>
      </c>
      <c r="E5411" s="112"/>
      <c r="F5411" s="139" t="s">
        <v>15882</v>
      </c>
      <c r="G5411" s="140"/>
      <c r="H5411" s="141"/>
      <c r="I5411" s="26">
        <v>33277</v>
      </c>
      <c r="J5411" s="117"/>
      <c r="K5411" s="120"/>
      <c r="L5411" s="121"/>
      <c r="M5411" s="120"/>
      <c r="N5411" s="121"/>
      <c r="O5411" s="120"/>
      <c r="P5411" s="121"/>
      <c r="Q5411" s="120"/>
      <c r="R5411" s="121"/>
      <c r="S5411" s="120"/>
      <c r="T5411" s="121"/>
      <c r="U5411" s="120"/>
      <c r="V5411" s="123"/>
      <c r="W5411" s="125"/>
      <c r="X5411" s="142" t="s">
        <v>16427</v>
      </c>
      <c r="Y5411" s="143"/>
      <c r="Z5411" s="143"/>
      <c r="AA5411" s="143"/>
      <c r="AB5411" s="144"/>
      <c r="AC5411" s="16" t="s">
        <v>21</v>
      </c>
      <c r="AD5411" s="17" t="s">
        <v>16392</v>
      </c>
      <c r="AE5411" s="145"/>
      <c r="AF5411" s="146"/>
      <c r="AG5411" s="146"/>
      <c r="AH5411" s="146"/>
      <c r="AI5411" s="147"/>
      <c r="AJ5411" s="148"/>
      <c r="AK5411" s="143"/>
      <c r="AL5411" s="144"/>
      <c r="AM5411" s="22"/>
      <c r="AN5411" s="149" t="s">
        <v>6789</v>
      </c>
      <c r="AO5411" s="144"/>
      <c r="AP5411" s="148">
        <v>50765</v>
      </c>
      <c r="AQ5411" s="144"/>
      <c r="AR5411" s="120"/>
      <c r="AS5411" s="121"/>
      <c r="AT5411" s="120"/>
      <c r="AU5411" s="121"/>
      <c r="AV5411" s="120"/>
      <c r="AW5411" s="121"/>
      <c r="AX5411" s="120"/>
      <c r="AY5411" s="121"/>
      <c r="AZ5411" s="138"/>
    </row>
    <row r="5412" spans="1:52" ht="17.100000000000001" customHeight="1" thickTop="1">
      <c r="A5412" s="109" t="s">
        <v>15873</v>
      </c>
      <c r="B5412" s="28">
        <v>46045</v>
      </c>
      <c r="C5412" s="25">
        <v>275</v>
      </c>
      <c r="D5412" s="13" t="s">
        <v>1902</v>
      </c>
      <c r="E5412" s="111"/>
      <c r="F5412" s="113" t="s">
        <v>15999</v>
      </c>
      <c r="G5412" s="114"/>
      <c r="H5412" s="115"/>
      <c r="I5412" s="24"/>
      <c r="J5412" s="116">
        <v>4</v>
      </c>
      <c r="K5412" s="118">
        <v>992000</v>
      </c>
      <c r="L5412" s="119"/>
      <c r="M5412" s="118">
        <f t="shared" ref="M5412" si="6769">K5412*0.1</f>
        <v>99200</v>
      </c>
      <c r="N5412" s="119"/>
      <c r="O5412" s="118">
        <v>0</v>
      </c>
      <c r="P5412" s="119"/>
      <c r="Q5412" s="118">
        <v>8510</v>
      </c>
      <c r="R5412" s="119"/>
      <c r="S5412" s="118">
        <v>22000</v>
      </c>
      <c r="T5412" s="119"/>
      <c r="U5412" s="118">
        <f t="shared" ref="U5412" si="6770">SUM(K5412:T5413)</f>
        <v>1121710</v>
      </c>
      <c r="V5412" s="122"/>
      <c r="W5412" s="124"/>
      <c r="X5412" s="126" t="s">
        <v>16371</v>
      </c>
      <c r="Y5412" s="127"/>
      <c r="Z5412" s="127"/>
      <c r="AA5412" s="127"/>
      <c r="AB5412" s="128"/>
      <c r="AC5412" s="15" t="s">
        <v>20</v>
      </c>
      <c r="AD5412" s="129" t="s">
        <v>4435</v>
      </c>
      <c r="AE5412" s="130"/>
      <c r="AF5412" s="130"/>
      <c r="AG5412" s="130"/>
      <c r="AH5412" s="130"/>
      <c r="AI5412" s="131"/>
      <c r="AJ5412" s="132"/>
      <c r="AK5412" s="127"/>
      <c r="AL5412" s="128"/>
      <c r="AM5412" s="21"/>
      <c r="AN5412" s="133">
        <v>46050</v>
      </c>
      <c r="AO5412" s="134"/>
      <c r="AP5412" s="135">
        <v>1002</v>
      </c>
      <c r="AQ5412" s="136"/>
      <c r="AR5412" s="118">
        <v>1070000</v>
      </c>
      <c r="AS5412" s="119"/>
      <c r="AT5412" s="118">
        <f t="shared" ref="AT5412" si="6771">AR5412*0.1</f>
        <v>107000</v>
      </c>
      <c r="AU5412" s="119"/>
      <c r="AV5412" s="118">
        <v>8510</v>
      </c>
      <c r="AW5412" s="119"/>
      <c r="AX5412" s="118">
        <f t="shared" ref="AX5412" si="6772">SUM(AR5412:AW5412)</f>
        <v>1185510</v>
      </c>
      <c r="AY5412" s="119"/>
      <c r="AZ5412" s="137">
        <v>46056</v>
      </c>
    </row>
    <row r="5413" spans="1:52" ht="17.100000000000001" customHeight="1" thickBot="1">
      <c r="A5413" s="110"/>
      <c r="B5413" s="27" t="s">
        <v>15877</v>
      </c>
      <c r="C5413" s="27">
        <v>20020</v>
      </c>
      <c r="D5413" s="14" t="s">
        <v>1812</v>
      </c>
      <c r="E5413" s="112"/>
      <c r="F5413" s="139" t="s">
        <v>15883</v>
      </c>
      <c r="G5413" s="140"/>
      <c r="H5413" s="141"/>
      <c r="I5413" s="26">
        <v>47859</v>
      </c>
      <c r="J5413" s="117"/>
      <c r="K5413" s="120"/>
      <c r="L5413" s="121"/>
      <c r="M5413" s="120"/>
      <c r="N5413" s="121"/>
      <c r="O5413" s="120"/>
      <c r="P5413" s="121"/>
      <c r="Q5413" s="120"/>
      <c r="R5413" s="121"/>
      <c r="S5413" s="120"/>
      <c r="T5413" s="121"/>
      <c r="U5413" s="120"/>
      <c r="V5413" s="123"/>
      <c r="W5413" s="125"/>
      <c r="X5413" s="142" t="s">
        <v>16372</v>
      </c>
      <c r="Y5413" s="143"/>
      <c r="Z5413" s="143"/>
      <c r="AA5413" s="143"/>
      <c r="AB5413" s="144"/>
      <c r="AC5413" s="16" t="s">
        <v>21</v>
      </c>
      <c r="AD5413" s="17" t="s">
        <v>1837</v>
      </c>
      <c r="AE5413" s="145" t="s">
        <v>171</v>
      </c>
      <c r="AF5413" s="146"/>
      <c r="AG5413" s="146"/>
      <c r="AH5413" s="146"/>
      <c r="AI5413" s="147"/>
      <c r="AJ5413" s="148"/>
      <c r="AK5413" s="143"/>
      <c r="AL5413" s="144"/>
      <c r="AM5413" s="22"/>
      <c r="AN5413" s="149" t="s">
        <v>2794</v>
      </c>
      <c r="AO5413" s="144"/>
      <c r="AP5413" s="148">
        <v>5132</v>
      </c>
      <c r="AQ5413" s="144"/>
      <c r="AR5413" s="120"/>
      <c r="AS5413" s="121"/>
      <c r="AT5413" s="120"/>
      <c r="AU5413" s="121"/>
      <c r="AV5413" s="120"/>
      <c r="AW5413" s="121"/>
      <c r="AX5413" s="120"/>
      <c r="AY5413" s="121"/>
      <c r="AZ5413" s="138"/>
    </row>
    <row r="5414" spans="1:52" ht="17.100000000000001" customHeight="1" thickTop="1">
      <c r="A5414" s="109" t="s">
        <v>15874</v>
      </c>
      <c r="B5414" s="28">
        <v>46045</v>
      </c>
      <c r="C5414" s="25">
        <v>275</v>
      </c>
      <c r="D5414" s="13" t="s">
        <v>2100</v>
      </c>
      <c r="E5414" s="111"/>
      <c r="F5414" s="113" t="s">
        <v>15531</v>
      </c>
      <c r="G5414" s="114"/>
      <c r="H5414" s="115"/>
      <c r="I5414" s="24"/>
      <c r="J5414" s="116">
        <v>4.5</v>
      </c>
      <c r="K5414" s="118">
        <v>426000</v>
      </c>
      <c r="L5414" s="119"/>
      <c r="M5414" s="118">
        <f t="shared" ref="M5414" si="6773">K5414*0.1</f>
        <v>42600</v>
      </c>
      <c r="N5414" s="119"/>
      <c r="O5414" s="118">
        <v>0</v>
      </c>
      <c r="P5414" s="119"/>
      <c r="Q5414" s="118">
        <v>8850</v>
      </c>
      <c r="R5414" s="119"/>
      <c r="S5414" s="118">
        <v>22000</v>
      </c>
      <c r="T5414" s="119"/>
      <c r="U5414" s="118">
        <f t="shared" ref="U5414" si="6774">SUM(K5414:T5415)</f>
        <v>499450</v>
      </c>
      <c r="V5414" s="122"/>
      <c r="W5414" s="124"/>
      <c r="X5414" s="126" t="s">
        <v>16197</v>
      </c>
      <c r="Y5414" s="127"/>
      <c r="Z5414" s="127"/>
      <c r="AA5414" s="127"/>
      <c r="AB5414" s="128"/>
      <c r="AC5414" s="15" t="s">
        <v>20</v>
      </c>
      <c r="AD5414" s="129"/>
      <c r="AE5414" s="130"/>
      <c r="AF5414" s="130"/>
      <c r="AG5414" s="130"/>
      <c r="AH5414" s="130"/>
      <c r="AI5414" s="131"/>
      <c r="AJ5414" s="132"/>
      <c r="AK5414" s="127"/>
      <c r="AL5414" s="128"/>
      <c r="AM5414" s="21"/>
      <c r="AN5414" s="133">
        <v>46067</v>
      </c>
      <c r="AO5414" s="134"/>
      <c r="AP5414" s="135">
        <v>1288</v>
      </c>
      <c r="AQ5414" s="136"/>
      <c r="AR5414" s="118">
        <v>585000</v>
      </c>
      <c r="AS5414" s="119"/>
      <c r="AT5414" s="118">
        <f t="shared" ref="AT5414" si="6775">AR5414*0.1</f>
        <v>58500</v>
      </c>
      <c r="AU5414" s="119"/>
      <c r="AV5414" s="118">
        <v>8850</v>
      </c>
      <c r="AW5414" s="119"/>
      <c r="AX5414" s="118">
        <f t="shared" ref="AX5414" si="6776">SUM(AR5414:AW5414)</f>
        <v>652350</v>
      </c>
      <c r="AY5414" s="119"/>
      <c r="AZ5414" s="137">
        <v>46070</v>
      </c>
    </row>
    <row r="5415" spans="1:52" ht="17.100000000000001" customHeight="1" thickBot="1">
      <c r="A5415" s="110"/>
      <c r="B5415" s="27" t="s">
        <v>15877</v>
      </c>
      <c r="C5415" s="27">
        <v>80003</v>
      </c>
      <c r="D5415" s="14" t="s">
        <v>1700</v>
      </c>
      <c r="E5415" s="112"/>
      <c r="F5415" s="139" t="s">
        <v>15884</v>
      </c>
      <c r="G5415" s="140"/>
      <c r="H5415" s="141"/>
      <c r="I5415" s="26">
        <v>22116</v>
      </c>
      <c r="J5415" s="117"/>
      <c r="K5415" s="120"/>
      <c r="L5415" s="121"/>
      <c r="M5415" s="120"/>
      <c r="N5415" s="121"/>
      <c r="O5415" s="120"/>
      <c r="P5415" s="121"/>
      <c r="Q5415" s="120"/>
      <c r="R5415" s="121"/>
      <c r="S5415" s="120"/>
      <c r="T5415" s="121"/>
      <c r="U5415" s="120"/>
      <c r="V5415" s="123"/>
      <c r="W5415" s="125"/>
      <c r="X5415" s="142" t="s">
        <v>2802</v>
      </c>
      <c r="Y5415" s="143"/>
      <c r="Z5415" s="143"/>
      <c r="AA5415" s="143"/>
      <c r="AB5415" s="144"/>
      <c r="AC5415" s="16" t="s">
        <v>13841</v>
      </c>
      <c r="AD5415" s="17" t="s">
        <v>16172</v>
      </c>
      <c r="AE5415" s="145"/>
      <c r="AF5415" s="146"/>
      <c r="AG5415" s="146"/>
      <c r="AH5415" s="146"/>
      <c r="AI5415" s="147"/>
      <c r="AJ5415" s="148"/>
      <c r="AK5415" s="143"/>
      <c r="AL5415" s="144"/>
      <c r="AM5415" s="22"/>
      <c r="AN5415" s="149" t="s">
        <v>2511</v>
      </c>
      <c r="AO5415" s="144"/>
      <c r="AP5415" s="148">
        <v>60203</v>
      </c>
      <c r="AQ5415" s="144"/>
      <c r="AR5415" s="120"/>
      <c r="AS5415" s="121"/>
      <c r="AT5415" s="120"/>
      <c r="AU5415" s="121"/>
      <c r="AV5415" s="120"/>
      <c r="AW5415" s="121"/>
      <c r="AX5415" s="120"/>
      <c r="AY5415" s="121"/>
      <c r="AZ5415" s="138"/>
    </row>
    <row r="5416" spans="1:52" ht="17.100000000000001" customHeight="1" thickTop="1">
      <c r="A5416" s="109" t="s">
        <v>15875</v>
      </c>
      <c r="B5416" s="28">
        <v>46045</v>
      </c>
      <c r="C5416" s="25">
        <v>1775</v>
      </c>
      <c r="D5416" s="13" t="s">
        <v>2737</v>
      </c>
      <c r="E5416" s="111"/>
      <c r="F5416" s="113" t="s">
        <v>15886</v>
      </c>
      <c r="G5416" s="114"/>
      <c r="H5416" s="115"/>
      <c r="I5416" s="24" t="s">
        <v>3509</v>
      </c>
      <c r="J5416" s="116">
        <v>5</v>
      </c>
      <c r="K5416" s="118">
        <v>1883000</v>
      </c>
      <c r="L5416" s="119"/>
      <c r="M5416" s="118">
        <f t="shared" ref="M5416" si="6777">K5416*0.1</f>
        <v>188300</v>
      </c>
      <c r="N5416" s="119"/>
      <c r="O5416" s="118">
        <v>6000</v>
      </c>
      <c r="P5416" s="119"/>
      <c r="Q5416" s="118">
        <v>17800</v>
      </c>
      <c r="R5416" s="119"/>
      <c r="S5416" s="118">
        <v>17600</v>
      </c>
      <c r="T5416" s="119"/>
      <c r="U5416" s="118">
        <f t="shared" ref="U5416" si="6778">SUM(K5416:T5417)</f>
        <v>2112700</v>
      </c>
      <c r="V5416" s="122"/>
      <c r="W5416" s="124"/>
      <c r="X5416" s="126" t="s">
        <v>15958</v>
      </c>
      <c r="Y5416" s="127"/>
      <c r="Z5416" s="127"/>
      <c r="AA5416" s="127"/>
      <c r="AB5416" s="128"/>
      <c r="AC5416" s="15" t="s">
        <v>20</v>
      </c>
      <c r="AD5416" s="129" t="s">
        <v>3828</v>
      </c>
      <c r="AE5416" s="130"/>
      <c r="AF5416" s="130"/>
      <c r="AG5416" s="130"/>
      <c r="AH5416" s="130"/>
      <c r="AI5416" s="131"/>
      <c r="AJ5416" s="132"/>
      <c r="AK5416" s="127"/>
      <c r="AL5416" s="128"/>
      <c r="AM5416" s="21" t="s">
        <v>17475</v>
      </c>
      <c r="AN5416" s="133">
        <v>46073</v>
      </c>
      <c r="AO5416" s="134"/>
      <c r="AP5416" s="135"/>
      <c r="AQ5416" s="136"/>
      <c r="AR5416" s="118">
        <v>2100000</v>
      </c>
      <c r="AS5416" s="119"/>
      <c r="AT5416" s="118">
        <f t="shared" ref="AT5416" si="6779">AR5416*0.1</f>
        <v>210000</v>
      </c>
      <c r="AU5416" s="119"/>
      <c r="AV5416" s="118">
        <v>17800</v>
      </c>
      <c r="AW5416" s="119"/>
      <c r="AX5416" s="118">
        <f t="shared" ref="AX5416" si="6780">SUM(AR5416:AW5416)</f>
        <v>2327800</v>
      </c>
      <c r="AY5416" s="119"/>
      <c r="AZ5416" s="137"/>
    </row>
    <row r="5417" spans="1:52" ht="17.100000000000001" customHeight="1" thickBot="1">
      <c r="A5417" s="110"/>
      <c r="B5417" s="27" t="s">
        <v>15885</v>
      </c>
      <c r="C5417" s="27">
        <v>5050</v>
      </c>
      <c r="D5417" s="14" t="s">
        <v>904</v>
      </c>
      <c r="E5417" s="112"/>
      <c r="F5417" s="139" t="s">
        <v>15887</v>
      </c>
      <c r="G5417" s="140"/>
      <c r="H5417" s="141"/>
      <c r="I5417" s="26">
        <v>23723</v>
      </c>
      <c r="J5417" s="117"/>
      <c r="K5417" s="120"/>
      <c r="L5417" s="121"/>
      <c r="M5417" s="120"/>
      <c r="N5417" s="121"/>
      <c r="O5417" s="120"/>
      <c r="P5417" s="121"/>
      <c r="Q5417" s="120"/>
      <c r="R5417" s="121"/>
      <c r="S5417" s="120"/>
      <c r="T5417" s="121"/>
      <c r="U5417" s="120"/>
      <c r="V5417" s="123"/>
      <c r="W5417" s="125"/>
      <c r="X5417" s="142" t="s">
        <v>1861</v>
      </c>
      <c r="Y5417" s="143"/>
      <c r="Z5417" s="143"/>
      <c r="AA5417" s="143"/>
      <c r="AB5417" s="144"/>
      <c r="AC5417" s="16" t="s">
        <v>21</v>
      </c>
      <c r="AD5417" s="17" t="s">
        <v>1837</v>
      </c>
      <c r="AE5417" s="145" t="s">
        <v>1742</v>
      </c>
      <c r="AF5417" s="146"/>
      <c r="AG5417" s="146"/>
      <c r="AH5417" s="146"/>
      <c r="AI5417" s="147"/>
      <c r="AJ5417" s="148"/>
      <c r="AK5417" s="143"/>
      <c r="AL5417" s="144"/>
      <c r="AM5417" s="22"/>
      <c r="AN5417" s="149" t="s">
        <v>6789</v>
      </c>
      <c r="AO5417" s="144"/>
      <c r="AP5417" s="148">
        <v>52275</v>
      </c>
      <c r="AQ5417" s="144"/>
      <c r="AR5417" s="120"/>
      <c r="AS5417" s="121"/>
      <c r="AT5417" s="120"/>
      <c r="AU5417" s="121"/>
      <c r="AV5417" s="120"/>
      <c r="AW5417" s="121"/>
      <c r="AX5417" s="120"/>
      <c r="AY5417" s="121"/>
      <c r="AZ5417" s="138"/>
    </row>
    <row r="5418" spans="1:52" ht="17.100000000000001" customHeight="1" thickTop="1">
      <c r="A5418" s="109" t="s">
        <v>15876</v>
      </c>
      <c r="B5418" s="28">
        <v>46045</v>
      </c>
      <c r="C5418" s="25">
        <v>2119</v>
      </c>
      <c r="D5418" s="13" t="s">
        <v>1853</v>
      </c>
      <c r="E5418" s="111"/>
      <c r="F5418" s="113" t="s">
        <v>8591</v>
      </c>
      <c r="G5418" s="114"/>
      <c r="H5418" s="115"/>
      <c r="I5418" s="24" t="s">
        <v>4037</v>
      </c>
      <c r="J5418" s="116">
        <v>5</v>
      </c>
      <c r="K5418" s="118">
        <v>1150000</v>
      </c>
      <c r="L5418" s="119"/>
      <c r="M5418" s="118">
        <f t="shared" ref="M5418" si="6781">K5418*0.1</f>
        <v>115000</v>
      </c>
      <c r="N5418" s="119"/>
      <c r="O5418" s="118">
        <v>0</v>
      </c>
      <c r="P5418" s="119"/>
      <c r="Q5418" s="118">
        <v>12370</v>
      </c>
      <c r="R5418" s="119"/>
      <c r="S5418" s="118">
        <v>27500</v>
      </c>
      <c r="T5418" s="119"/>
      <c r="U5418" s="118">
        <f t="shared" ref="U5418" si="6782">SUM(K5418:T5419)</f>
        <v>1304870</v>
      </c>
      <c r="V5418" s="122"/>
      <c r="W5418" s="124"/>
      <c r="X5418" s="126" t="s">
        <v>16001</v>
      </c>
      <c r="Y5418" s="127"/>
      <c r="Z5418" s="127"/>
      <c r="AA5418" s="127"/>
      <c r="AB5418" s="128"/>
      <c r="AC5418" s="15" t="s">
        <v>20</v>
      </c>
      <c r="AD5418" s="129" t="s">
        <v>16002</v>
      </c>
      <c r="AE5418" s="130"/>
      <c r="AF5418" s="130"/>
      <c r="AG5418" s="130"/>
      <c r="AH5418" s="130"/>
      <c r="AI5418" s="131"/>
      <c r="AJ5418" s="132"/>
      <c r="AK5418" s="127"/>
      <c r="AL5418" s="128"/>
      <c r="AM5418" s="21"/>
      <c r="AN5418" s="133">
        <v>46065</v>
      </c>
      <c r="AO5418" s="134"/>
      <c r="AP5418" s="135">
        <v>1318</v>
      </c>
      <c r="AQ5418" s="136"/>
      <c r="AR5418" s="118">
        <v>1315000</v>
      </c>
      <c r="AS5418" s="119"/>
      <c r="AT5418" s="118">
        <f t="shared" ref="AT5418" si="6783">AR5418*0.1</f>
        <v>131500</v>
      </c>
      <c r="AU5418" s="119"/>
      <c r="AV5418" s="118">
        <v>12370</v>
      </c>
      <c r="AW5418" s="119"/>
      <c r="AX5418" s="118">
        <f t="shared" ref="AX5418" si="6784">SUM(AR5418:AW5418)</f>
        <v>1458870</v>
      </c>
      <c r="AY5418" s="119"/>
      <c r="AZ5418" s="137">
        <v>46066</v>
      </c>
    </row>
    <row r="5419" spans="1:52" ht="17.100000000000001" customHeight="1" thickBot="1">
      <c r="A5419" s="110"/>
      <c r="B5419" s="27" t="s">
        <v>1543</v>
      </c>
      <c r="C5419" s="27">
        <v>13220</v>
      </c>
      <c r="D5419" s="14" t="s">
        <v>133</v>
      </c>
      <c r="E5419" s="112"/>
      <c r="F5419" s="139" t="s">
        <v>16000</v>
      </c>
      <c r="G5419" s="140"/>
      <c r="H5419" s="141"/>
      <c r="I5419" s="26">
        <v>27440</v>
      </c>
      <c r="J5419" s="117"/>
      <c r="K5419" s="120"/>
      <c r="L5419" s="121"/>
      <c r="M5419" s="120"/>
      <c r="N5419" s="121"/>
      <c r="O5419" s="120"/>
      <c r="P5419" s="121"/>
      <c r="Q5419" s="120"/>
      <c r="R5419" s="121"/>
      <c r="S5419" s="120"/>
      <c r="T5419" s="121"/>
      <c r="U5419" s="120"/>
      <c r="V5419" s="123"/>
      <c r="W5419" s="125"/>
      <c r="X5419" s="142" t="s">
        <v>16724</v>
      </c>
      <c r="Y5419" s="143"/>
      <c r="Z5419" s="143"/>
      <c r="AA5419" s="143"/>
      <c r="AB5419" s="144"/>
      <c r="AC5419" s="16" t="s">
        <v>21</v>
      </c>
      <c r="AD5419" s="17" t="s">
        <v>2654</v>
      </c>
      <c r="AE5419" s="145" t="s">
        <v>16725</v>
      </c>
      <c r="AF5419" s="146"/>
      <c r="AG5419" s="146"/>
      <c r="AH5419" s="146"/>
      <c r="AI5419" s="147"/>
      <c r="AJ5419" s="148"/>
      <c r="AK5419" s="143"/>
      <c r="AL5419" s="144"/>
      <c r="AM5419" s="22"/>
      <c r="AN5419" s="149" t="s">
        <v>13663</v>
      </c>
      <c r="AO5419" s="144"/>
      <c r="AP5419" s="148">
        <v>30</v>
      </c>
      <c r="AQ5419" s="144"/>
      <c r="AR5419" s="120"/>
      <c r="AS5419" s="121"/>
      <c r="AT5419" s="120"/>
      <c r="AU5419" s="121"/>
      <c r="AV5419" s="120"/>
      <c r="AW5419" s="121"/>
      <c r="AX5419" s="120"/>
      <c r="AY5419" s="121"/>
      <c r="AZ5419" s="138"/>
    </row>
    <row r="5420" spans="1:52" ht="17.100000000000001" customHeight="1" thickTop="1">
      <c r="A5420" s="109" t="s">
        <v>15888</v>
      </c>
      <c r="B5420" s="28">
        <v>46045</v>
      </c>
      <c r="C5420" s="25">
        <v>2119</v>
      </c>
      <c r="D5420" s="13" t="s">
        <v>1586</v>
      </c>
      <c r="E5420" s="111"/>
      <c r="F5420" s="113" t="s">
        <v>15893</v>
      </c>
      <c r="G5420" s="114"/>
      <c r="H5420" s="115"/>
      <c r="I5420" s="24" t="s">
        <v>7809</v>
      </c>
      <c r="J5420" s="116">
        <v>4.5</v>
      </c>
      <c r="K5420" s="118">
        <v>1752000</v>
      </c>
      <c r="L5420" s="119"/>
      <c r="M5420" s="118">
        <f t="shared" ref="M5420" si="6785">K5420*0.1</f>
        <v>175200</v>
      </c>
      <c r="N5420" s="119"/>
      <c r="O5420" s="118">
        <v>7150</v>
      </c>
      <c r="P5420" s="119"/>
      <c r="Q5420" s="118">
        <v>19440</v>
      </c>
      <c r="R5420" s="119"/>
      <c r="S5420" s="118">
        <v>16500</v>
      </c>
      <c r="T5420" s="119"/>
      <c r="U5420" s="118">
        <f t="shared" ref="U5420" si="6786">SUM(K5420:T5421)</f>
        <v>1970290</v>
      </c>
      <c r="V5420" s="122"/>
      <c r="W5420" s="124"/>
      <c r="X5420" s="126" t="s">
        <v>16004</v>
      </c>
      <c r="Y5420" s="127"/>
      <c r="Z5420" s="127"/>
      <c r="AA5420" s="127"/>
      <c r="AB5420" s="128"/>
      <c r="AC5420" s="15" t="s">
        <v>20</v>
      </c>
      <c r="AD5420" s="129" t="s">
        <v>15223</v>
      </c>
      <c r="AE5420" s="130"/>
      <c r="AF5420" s="130"/>
      <c r="AG5420" s="130"/>
      <c r="AH5420" s="130"/>
      <c r="AI5420" s="131"/>
      <c r="AJ5420" s="132"/>
      <c r="AK5420" s="127"/>
      <c r="AL5420" s="128"/>
      <c r="AM5420" s="21"/>
      <c r="AN5420" s="133">
        <v>46058</v>
      </c>
      <c r="AO5420" s="134"/>
      <c r="AP5420" s="135">
        <v>1317</v>
      </c>
      <c r="AQ5420" s="136"/>
      <c r="AR5420" s="118">
        <v>1900000</v>
      </c>
      <c r="AS5420" s="119"/>
      <c r="AT5420" s="118">
        <f t="shared" ref="AT5420" si="6787">AR5420*0.1</f>
        <v>190000</v>
      </c>
      <c r="AU5420" s="119"/>
      <c r="AV5420" s="118">
        <v>19440</v>
      </c>
      <c r="AW5420" s="119"/>
      <c r="AX5420" s="118">
        <f t="shared" ref="AX5420" si="6788">SUM(AR5420:AW5420)</f>
        <v>2109440</v>
      </c>
      <c r="AY5420" s="119"/>
      <c r="AZ5420" s="137">
        <v>46059</v>
      </c>
    </row>
    <row r="5421" spans="1:52" ht="17.100000000000001" customHeight="1" thickBot="1">
      <c r="A5421" s="110"/>
      <c r="B5421" s="27" t="s">
        <v>1543</v>
      </c>
      <c r="C5421" s="27">
        <v>58013</v>
      </c>
      <c r="D5421" s="14" t="s">
        <v>15309</v>
      </c>
      <c r="E5421" s="112"/>
      <c r="F5421" s="139" t="s">
        <v>16003</v>
      </c>
      <c r="G5421" s="140"/>
      <c r="H5421" s="141"/>
      <c r="I5421" s="26">
        <v>27294</v>
      </c>
      <c r="J5421" s="117"/>
      <c r="K5421" s="120"/>
      <c r="L5421" s="121"/>
      <c r="M5421" s="120"/>
      <c r="N5421" s="121"/>
      <c r="O5421" s="120"/>
      <c r="P5421" s="121"/>
      <c r="Q5421" s="120"/>
      <c r="R5421" s="121"/>
      <c r="S5421" s="120"/>
      <c r="T5421" s="121"/>
      <c r="U5421" s="120"/>
      <c r="V5421" s="123"/>
      <c r="W5421" s="125"/>
      <c r="X5421" s="142" t="s">
        <v>16918</v>
      </c>
      <c r="Y5421" s="143"/>
      <c r="Z5421" s="143"/>
      <c r="AA5421" s="143"/>
      <c r="AB5421" s="144"/>
      <c r="AC5421" s="16" t="s">
        <v>21</v>
      </c>
      <c r="AD5421" s="17" t="s">
        <v>1837</v>
      </c>
      <c r="AE5421" s="145" t="s">
        <v>4579</v>
      </c>
      <c r="AF5421" s="146"/>
      <c r="AG5421" s="146"/>
      <c r="AH5421" s="146"/>
      <c r="AI5421" s="147"/>
      <c r="AJ5421" s="148"/>
      <c r="AK5421" s="143"/>
      <c r="AL5421" s="144"/>
      <c r="AM5421" s="22"/>
      <c r="AN5421" s="149" t="s">
        <v>13663</v>
      </c>
      <c r="AO5421" s="144"/>
      <c r="AP5421" s="148">
        <v>311</v>
      </c>
      <c r="AQ5421" s="144"/>
      <c r="AR5421" s="120"/>
      <c r="AS5421" s="121"/>
      <c r="AT5421" s="120"/>
      <c r="AU5421" s="121"/>
      <c r="AV5421" s="120"/>
      <c r="AW5421" s="121"/>
      <c r="AX5421" s="120"/>
      <c r="AY5421" s="121"/>
      <c r="AZ5421" s="138"/>
    </row>
    <row r="5422" spans="1:52" ht="17.100000000000001" customHeight="1" thickTop="1">
      <c r="A5422" s="109" t="s">
        <v>15889</v>
      </c>
      <c r="B5422" s="28">
        <v>46045</v>
      </c>
      <c r="C5422" s="25">
        <v>2119</v>
      </c>
      <c r="D5422" s="13" t="s">
        <v>2348</v>
      </c>
      <c r="E5422" s="111"/>
      <c r="F5422" s="113" t="s">
        <v>15894</v>
      </c>
      <c r="G5422" s="114"/>
      <c r="H5422" s="115"/>
      <c r="I5422" s="24" t="s">
        <v>16006</v>
      </c>
      <c r="J5422" s="116">
        <v>4.5</v>
      </c>
      <c r="K5422" s="118">
        <v>1240000</v>
      </c>
      <c r="L5422" s="119"/>
      <c r="M5422" s="118">
        <f t="shared" ref="M5422" si="6789">K5422*0.1</f>
        <v>124000</v>
      </c>
      <c r="N5422" s="119"/>
      <c r="O5422" s="118">
        <v>7150</v>
      </c>
      <c r="P5422" s="119"/>
      <c r="Q5422" s="118">
        <v>19390</v>
      </c>
      <c r="R5422" s="119"/>
      <c r="S5422" s="118">
        <v>16500</v>
      </c>
      <c r="T5422" s="119"/>
      <c r="U5422" s="118">
        <f t="shared" ref="U5422" si="6790">SUM(K5422:T5423)</f>
        <v>1407040</v>
      </c>
      <c r="V5422" s="122"/>
      <c r="W5422" s="124"/>
      <c r="X5422" s="126" t="s">
        <v>16007</v>
      </c>
      <c r="Y5422" s="127"/>
      <c r="Z5422" s="127"/>
      <c r="AA5422" s="127"/>
      <c r="AB5422" s="128"/>
      <c r="AC5422" s="15" t="s">
        <v>20</v>
      </c>
      <c r="AD5422" s="129" t="s">
        <v>1670</v>
      </c>
      <c r="AE5422" s="130"/>
      <c r="AF5422" s="130"/>
      <c r="AG5422" s="130"/>
      <c r="AH5422" s="130"/>
      <c r="AI5422" s="131"/>
      <c r="AJ5422" s="132"/>
      <c r="AK5422" s="127"/>
      <c r="AL5422" s="128"/>
      <c r="AM5422" s="21"/>
      <c r="AN5422" s="133">
        <v>46057</v>
      </c>
      <c r="AO5422" s="134"/>
      <c r="AP5422" s="135">
        <v>1003</v>
      </c>
      <c r="AQ5422" s="136"/>
      <c r="AR5422" s="118">
        <v>1335000</v>
      </c>
      <c r="AS5422" s="119"/>
      <c r="AT5422" s="118">
        <f t="shared" ref="AT5422" si="6791">AR5422*0.1</f>
        <v>133500</v>
      </c>
      <c r="AU5422" s="119"/>
      <c r="AV5422" s="118">
        <v>19390</v>
      </c>
      <c r="AW5422" s="119"/>
      <c r="AX5422" s="118">
        <f t="shared" ref="AX5422" si="6792">SUM(AR5422:AW5422)</f>
        <v>1487890</v>
      </c>
      <c r="AY5422" s="119"/>
      <c r="AZ5422" s="137">
        <v>46062</v>
      </c>
    </row>
    <row r="5423" spans="1:52" ht="17.100000000000001" customHeight="1" thickBot="1">
      <c r="A5423" s="110"/>
      <c r="B5423" s="27" t="s">
        <v>1543</v>
      </c>
      <c r="C5423" s="27">
        <v>58956</v>
      </c>
      <c r="D5423" s="14" t="s">
        <v>275</v>
      </c>
      <c r="E5423" s="112"/>
      <c r="F5423" s="139" t="s">
        <v>16005</v>
      </c>
      <c r="G5423" s="140"/>
      <c r="H5423" s="141"/>
      <c r="I5423" s="26">
        <v>59925</v>
      </c>
      <c r="J5423" s="117"/>
      <c r="K5423" s="120"/>
      <c r="L5423" s="121"/>
      <c r="M5423" s="120"/>
      <c r="N5423" s="121"/>
      <c r="O5423" s="120"/>
      <c r="P5423" s="121"/>
      <c r="Q5423" s="120"/>
      <c r="R5423" s="121"/>
      <c r="S5423" s="120"/>
      <c r="T5423" s="121"/>
      <c r="U5423" s="120"/>
      <c r="V5423" s="123"/>
      <c r="W5423" s="125"/>
      <c r="X5423" s="142" t="s">
        <v>16422</v>
      </c>
      <c r="Y5423" s="143"/>
      <c r="Z5423" s="143"/>
      <c r="AA5423" s="143"/>
      <c r="AB5423" s="144"/>
      <c r="AC5423" s="16" t="s">
        <v>21</v>
      </c>
      <c r="AD5423" s="17" t="s">
        <v>16392</v>
      </c>
      <c r="AE5423" s="145" t="s">
        <v>16423</v>
      </c>
      <c r="AF5423" s="146"/>
      <c r="AG5423" s="146"/>
      <c r="AH5423" s="146"/>
      <c r="AI5423" s="147"/>
      <c r="AJ5423" s="148"/>
      <c r="AK5423" s="143"/>
      <c r="AL5423" s="144"/>
      <c r="AM5423" s="22"/>
      <c r="AN5423" s="149" t="s">
        <v>2794</v>
      </c>
      <c r="AO5423" s="144"/>
      <c r="AP5423" s="148">
        <v>6061</v>
      </c>
      <c r="AQ5423" s="144"/>
      <c r="AR5423" s="120"/>
      <c r="AS5423" s="121"/>
      <c r="AT5423" s="120"/>
      <c r="AU5423" s="121"/>
      <c r="AV5423" s="120"/>
      <c r="AW5423" s="121"/>
      <c r="AX5423" s="120"/>
      <c r="AY5423" s="121"/>
      <c r="AZ5423" s="138"/>
    </row>
    <row r="5424" spans="1:52" ht="17.100000000000001" customHeight="1" thickTop="1">
      <c r="A5424" s="109" t="s">
        <v>15890</v>
      </c>
      <c r="B5424" s="28">
        <v>46045</v>
      </c>
      <c r="C5424" s="25"/>
      <c r="D5424" s="13" t="s">
        <v>2697</v>
      </c>
      <c r="E5424" s="111"/>
      <c r="F5424" s="113" t="s">
        <v>16008</v>
      </c>
      <c r="G5424" s="114"/>
      <c r="H5424" s="115"/>
      <c r="I5424" s="24" t="s">
        <v>12506</v>
      </c>
      <c r="J5424" s="116">
        <v>4.5</v>
      </c>
      <c r="K5424" s="118">
        <v>4600000</v>
      </c>
      <c r="L5424" s="119"/>
      <c r="M5424" s="118">
        <f t="shared" ref="M5424" si="6793">K5424*0.1</f>
        <v>460000</v>
      </c>
      <c r="N5424" s="119"/>
      <c r="O5424" s="118">
        <v>3600</v>
      </c>
      <c r="P5424" s="119"/>
      <c r="Q5424" s="118">
        <v>15470</v>
      </c>
      <c r="R5424" s="119"/>
      <c r="S5424" s="118">
        <v>0</v>
      </c>
      <c r="T5424" s="119"/>
      <c r="U5424" s="118">
        <f t="shared" ref="U5424" si="6794">SUM(K5424:T5425)</f>
        <v>5079070</v>
      </c>
      <c r="V5424" s="122"/>
      <c r="W5424" s="124"/>
      <c r="X5424" s="126" t="s">
        <v>16970</v>
      </c>
      <c r="Y5424" s="127"/>
      <c r="Z5424" s="127"/>
      <c r="AA5424" s="127"/>
      <c r="AB5424" s="128"/>
      <c r="AC5424" s="15" t="s">
        <v>20</v>
      </c>
      <c r="AD5424" s="129" t="s">
        <v>15223</v>
      </c>
      <c r="AE5424" s="130"/>
      <c r="AF5424" s="130"/>
      <c r="AG5424" s="130"/>
      <c r="AH5424" s="130"/>
      <c r="AI5424" s="131"/>
      <c r="AJ5424" s="132"/>
      <c r="AK5424" s="127"/>
      <c r="AL5424" s="128"/>
      <c r="AM5424" s="21" t="s">
        <v>18387</v>
      </c>
      <c r="AN5424" s="133">
        <v>46158</v>
      </c>
      <c r="AO5424" s="134"/>
      <c r="AP5424" s="135">
        <v>1300</v>
      </c>
      <c r="AQ5424" s="136"/>
      <c r="AR5424" s="118">
        <v>4760000</v>
      </c>
      <c r="AS5424" s="119"/>
      <c r="AT5424" s="118">
        <f t="shared" ref="AT5424" si="6795">AR5424*0.1</f>
        <v>476000</v>
      </c>
      <c r="AU5424" s="119"/>
      <c r="AV5424" s="118">
        <v>15470</v>
      </c>
      <c r="AW5424" s="119"/>
      <c r="AX5424" s="118">
        <f t="shared" ref="AX5424" si="6796">SUM(AR5424:AW5424)</f>
        <v>5251470</v>
      </c>
      <c r="AY5424" s="119"/>
      <c r="AZ5424" s="137">
        <v>46161</v>
      </c>
    </row>
    <row r="5425" spans="1:52" ht="17.100000000000001" customHeight="1" thickBot="1">
      <c r="A5425" s="110"/>
      <c r="B5425" s="27" t="s">
        <v>1718</v>
      </c>
      <c r="C5425" s="27" t="s">
        <v>15907</v>
      </c>
      <c r="D5425" s="14" t="s">
        <v>133</v>
      </c>
      <c r="E5425" s="112"/>
      <c r="F5425" s="139" t="s">
        <v>15908</v>
      </c>
      <c r="G5425" s="140"/>
      <c r="H5425" s="141"/>
      <c r="I5425" s="26">
        <v>13307</v>
      </c>
      <c r="J5425" s="117"/>
      <c r="K5425" s="120"/>
      <c r="L5425" s="121"/>
      <c r="M5425" s="120"/>
      <c r="N5425" s="121"/>
      <c r="O5425" s="120"/>
      <c r="P5425" s="121"/>
      <c r="Q5425" s="120"/>
      <c r="R5425" s="121"/>
      <c r="S5425" s="120"/>
      <c r="T5425" s="121"/>
      <c r="U5425" s="120"/>
      <c r="V5425" s="123"/>
      <c r="W5425" s="125"/>
      <c r="X5425" s="142" t="s">
        <v>16971</v>
      </c>
      <c r="Y5425" s="143"/>
      <c r="Z5425" s="143"/>
      <c r="AA5425" s="143"/>
      <c r="AB5425" s="144"/>
      <c r="AC5425" s="16" t="s">
        <v>21</v>
      </c>
      <c r="AD5425" s="17" t="s">
        <v>3550</v>
      </c>
      <c r="AE5425" s="145" t="s">
        <v>1614</v>
      </c>
      <c r="AF5425" s="146"/>
      <c r="AG5425" s="146"/>
      <c r="AH5425" s="146"/>
      <c r="AI5425" s="147"/>
      <c r="AJ5425" s="148"/>
      <c r="AK5425" s="143"/>
      <c r="AL5425" s="144"/>
      <c r="AM5425" s="22"/>
      <c r="AN5425" s="149" t="s">
        <v>2511</v>
      </c>
      <c r="AO5425" s="144"/>
      <c r="AP5425" s="148">
        <v>37605</v>
      </c>
      <c r="AQ5425" s="144"/>
      <c r="AR5425" s="120"/>
      <c r="AS5425" s="121"/>
      <c r="AT5425" s="120"/>
      <c r="AU5425" s="121"/>
      <c r="AV5425" s="120"/>
      <c r="AW5425" s="121"/>
      <c r="AX5425" s="120"/>
      <c r="AY5425" s="121"/>
      <c r="AZ5425" s="138"/>
    </row>
    <row r="5426" spans="1:52" ht="17.100000000000001" customHeight="1" thickTop="1">
      <c r="A5426" s="109" t="s">
        <v>15891</v>
      </c>
      <c r="B5426" s="28">
        <v>46045</v>
      </c>
      <c r="C5426" s="25"/>
      <c r="D5426" s="13" t="s">
        <v>2359</v>
      </c>
      <c r="E5426" s="111"/>
      <c r="F5426" s="113" t="s">
        <v>16009</v>
      </c>
      <c r="G5426" s="114"/>
      <c r="H5426" s="115"/>
      <c r="I5426" s="24" t="s">
        <v>11996</v>
      </c>
      <c r="J5426" s="116">
        <v>4.5</v>
      </c>
      <c r="K5426" s="118">
        <v>1930000</v>
      </c>
      <c r="L5426" s="119"/>
      <c r="M5426" s="118">
        <f t="shared" ref="M5426" si="6797">K5426*0.1</f>
        <v>193000</v>
      </c>
      <c r="N5426" s="119"/>
      <c r="O5426" s="118">
        <v>3000</v>
      </c>
      <c r="P5426" s="119"/>
      <c r="Q5426" s="118">
        <v>9620</v>
      </c>
      <c r="R5426" s="119"/>
      <c r="S5426" s="118">
        <v>0</v>
      </c>
      <c r="T5426" s="119"/>
      <c r="U5426" s="118">
        <f t="shared" ref="U5426" si="6798">SUM(K5426:T5427)</f>
        <v>2135620</v>
      </c>
      <c r="V5426" s="122"/>
      <c r="W5426" s="124"/>
      <c r="X5426" s="126" t="s">
        <v>20070</v>
      </c>
      <c r="Y5426" s="127"/>
      <c r="Z5426" s="127"/>
      <c r="AA5426" s="127"/>
      <c r="AB5426" s="128"/>
      <c r="AC5426" s="15" t="s">
        <v>20</v>
      </c>
      <c r="AD5426" s="129" t="s">
        <v>3868</v>
      </c>
      <c r="AE5426" s="130"/>
      <c r="AF5426" s="130"/>
      <c r="AG5426" s="130"/>
      <c r="AH5426" s="130"/>
      <c r="AI5426" s="131"/>
      <c r="AJ5426" s="132"/>
      <c r="AK5426" s="127"/>
      <c r="AL5426" s="128"/>
      <c r="AM5426" s="21" t="s">
        <v>20349</v>
      </c>
      <c r="AN5426" s="133">
        <v>46092</v>
      </c>
      <c r="AO5426" s="134"/>
      <c r="AP5426" s="135">
        <v>1008</v>
      </c>
      <c r="AQ5426" s="136"/>
      <c r="AR5426" s="118">
        <v>2160000</v>
      </c>
      <c r="AS5426" s="119"/>
      <c r="AT5426" s="118">
        <f t="shared" ref="AT5426" si="6799">AR5426*0.1</f>
        <v>216000</v>
      </c>
      <c r="AU5426" s="119"/>
      <c r="AV5426" s="118">
        <v>9620</v>
      </c>
      <c r="AW5426" s="119"/>
      <c r="AX5426" s="118">
        <f t="shared" ref="AX5426" si="6800">SUM(AR5426:AW5426)</f>
        <v>2385620</v>
      </c>
      <c r="AY5426" s="119"/>
      <c r="AZ5426" s="137">
        <v>46100</v>
      </c>
    </row>
    <row r="5427" spans="1:52" ht="17.100000000000001" customHeight="1" thickBot="1">
      <c r="A5427" s="110"/>
      <c r="B5427" s="27" t="s">
        <v>1718</v>
      </c>
      <c r="C5427" s="27" t="s">
        <v>15909</v>
      </c>
      <c r="D5427" s="14" t="s">
        <v>2601</v>
      </c>
      <c r="E5427" s="112"/>
      <c r="F5427" s="139" t="s">
        <v>15910</v>
      </c>
      <c r="G5427" s="140"/>
      <c r="H5427" s="141"/>
      <c r="I5427" s="26">
        <v>39166</v>
      </c>
      <c r="J5427" s="117"/>
      <c r="K5427" s="120"/>
      <c r="L5427" s="121"/>
      <c r="M5427" s="120"/>
      <c r="N5427" s="121"/>
      <c r="O5427" s="120"/>
      <c r="P5427" s="121"/>
      <c r="Q5427" s="120"/>
      <c r="R5427" s="121"/>
      <c r="S5427" s="120"/>
      <c r="T5427" s="121"/>
      <c r="U5427" s="120"/>
      <c r="V5427" s="123"/>
      <c r="W5427" s="125"/>
      <c r="X5427" s="142" t="s">
        <v>16203</v>
      </c>
      <c r="Y5427" s="143"/>
      <c r="Z5427" s="143"/>
      <c r="AA5427" s="143"/>
      <c r="AB5427" s="144"/>
      <c r="AC5427" s="16" t="s">
        <v>21</v>
      </c>
      <c r="AD5427" s="17" t="s">
        <v>3666</v>
      </c>
      <c r="AE5427" s="145" t="s">
        <v>7043</v>
      </c>
      <c r="AF5427" s="146"/>
      <c r="AG5427" s="146"/>
      <c r="AH5427" s="146"/>
      <c r="AI5427" s="147"/>
      <c r="AJ5427" s="148"/>
      <c r="AK5427" s="143"/>
      <c r="AL5427" s="144"/>
      <c r="AM5427" s="22"/>
      <c r="AN5427" s="149" t="s">
        <v>19938</v>
      </c>
      <c r="AO5427" s="144"/>
      <c r="AP5427" s="148">
        <v>1116</v>
      </c>
      <c r="AQ5427" s="144"/>
      <c r="AR5427" s="120"/>
      <c r="AS5427" s="121"/>
      <c r="AT5427" s="120"/>
      <c r="AU5427" s="121"/>
      <c r="AV5427" s="120"/>
      <c r="AW5427" s="121"/>
      <c r="AX5427" s="120"/>
      <c r="AY5427" s="121"/>
      <c r="AZ5427" s="138"/>
    </row>
    <row r="5428" spans="1:52" ht="17.100000000000001" customHeight="1" thickTop="1">
      <c r="A5428" s="109" t="s">
        <v>15892</v>
      </c>
      <c r="B5428" s="28">
        <v>46045</v>
      </c>
      <c r="C5428" s="25"/>
      <c r="D5428" s="13" t="s">
        <v>859</v>
      </c>
      <c r="E5428" s="111"/>
      <c r="F5428" s="113" t="s">
        <v>15514</v>
      </c>
      <c r="G5428" s="114"/>
      <c r="H5428" s="115"/>
      <c r="I5428" s="24" t="s">
        <v>16010</v>
      </c>
      <c r="J5428" s="116">
        <v>4.5</v>
      </c>
      <c r="K5428" s="118">
        <v>4150000</v>
      </c>
      <c r="L5428" s="119"/>
      <c r="M5428" s="118">
        <f t="shared" ref="M5428" si="6801">K5428*0.1</f>
        <v>415000</v>
      </c>
      <c r="N5428" s="119"/>
      <c r="O5428" s="118">
        <v>3600</v>
      </c>
      <c r="P5428" s="119"/>
      <c r="Q5428" s="118">
        <v>14900</v>
      </c>
      <c r="R5428" s="119"/>
      <c r="S5428" s="118">
        <v>0</v>
      </c>
      <c r="T5428" s="119"/>
      <c r="U5428" s="118">
        <f t="shared" ref="U5428" si="6802">SUM(K5428:T5429)</f>
        <v>4583500</v>
      </c>
      <c r="V5428" s="122"/>
      <c r="W5428" s="124"/>
      <c r="X5428" s="126" t="s">
        <v>16951</v>
      </c>
      <c r="Y5428" s="127"/>
      <c r="Z5428" s="127"/>
      <c r="AA5428" s="127"/>
      <c r="AB5428" s="128"/>
      <c r="AC5428" s="15" t="s">
        <v>20</v>
      </c>
      <c r="AD5428" s="129" t="s">
        <v>3828</v>
      </c>
      <c r="AE5428" s="130"/>
      <c r="AF5428" s="130"/>
      <c r="AG5428" s="130"/>
      <c r="AH5428" s="130"/>
      <c r="AI5428" s="131"/>
      <c r="AJ5428" s="132"/>
      <c r="AK5428" s="127"/>
      <c r="AL5428" s="128"/>
      <c r="AM5428" s="21"/>
      <c r="AN5428" s="133">
        <v>46064</v>
      </c>
      <c r="AO5428" s="134"/>
      <c r="AP5428" s="135">
        <v>1004</v>
      </c>
      <c r="AQ5428" s="136"/>
      <c r="AR5428" s="118">
        <v>4060000</v>
      </c>
      <c r="AS5428" s="119"/>
      <c r="AT5428" s="118">
        <f t="shared" ref="AT5428" si="6803">AR5428*0.1</f>
        <v>406000</v>
      </c>
      <c r="AU5428" s="119"/>
      <c r="AV5428" s="118">
        <v>14900</v>
      </c>
      <c r="AW5428" s="119"/>
      <c r="AX5428" s="118">
        <f t="shared" ref="AX5428" si="6804">SUM(AR5428:AW5428)</f>
        <v>4480900</v>
      </c>
      <c r="AY5428" s="119"/>
      <c r="AZ5428" s="137">
        <v>46071</v>
      </c>
    </row>
    <row r="5429" spans="1:52" ht="17.100000000000001" customHeight="1" thickBot="1">
      <c r="A5429" s="110"/>
      <c r="B5429" s="27" t="s">
        <v>1718</v>
      </c>
      <c r="C5429" s="27" t="s">
        <v>15911</v>
      </c>
      <c r="D5429" s="14" t="s">
        <v>275</v>
      </c>
      <c r="E5429" s="112"/>
      <c r="F5429" s="139" t="s">
        <v>15912</v>
      </c>
      <c r="G5429" s="140"/>
      <c r="H5429" s="141"/>
      <c r="I5429" s="26">
        <v>52358</v>
      </c>
      <c r="J5429" s="117"/>
      <c r="K5429" s="120"/>
      <c r="L5429" s="121"/>
      <c r="M5429" s="120"/>
      <c r="N5429" s="121"/>
      <c r="O5429" s="120"/>
      <c r="P5429" s="121"/>
      <c r="Q5429" s="120"/>
      <c r="R5429" s="121"/>
      <c r="S5429" s="120"/>
      <c r="T5429" s="121"/>
      <c r="U5429" s="120"/>
      <c r="V5429" s="123"/>
      <c r="W5429" s="125"/>
      <c r="X5429" s="142" t="s">
        <v>9692</v>
      </c>
      <c r="Y5429" s="143"/>
      <c r="Z5429" s="143"/>
      <c r="AA5429" s="143"/>
      <c r="AB5429" s="144"/>
      <c r="AC5429" s="16" t="s">
        <v>21</v>
      </c>
      <c r="AD5429" s="17" t="s">
        <v>16952</v>
      </c>
      <c r="AE5429" s="374" t="s">
        <v>18161</v>
      </c>
      <c r="AF5429" s="146"/>
      <c r="AG5429" s="146"/>
      <c r="AH5429" s="146"/>
      <c r="AI5429" s="147"/>
      <c r="AJ5429" s="148"/>
      <c r="AK5429" s="143"/>
      <c r="AL5429" s="144"/>
      <c r="AM5429" s="22"/>
      <c r="AN5429" s="149" t="s">
        <v>2794</v>
      </c>
      <c r="AO5429" s="144"/>
      <c r="AP5429" s="148">
        <v>1016</v>
      </c>
      <c r="AQ5429" s="144"/>
      <c r="AR5429" s="120"/>
      <c r="AS5429" s="121"/>
      <c r="AT5429" s="120"/>
      <c r="AU5429" s="121"/>
      <c r="AV5429" s="120"/>
      <c r="AW5429" s="121"/>
      <c r="AX5429" s="120"/>
      <c r="AY5429" s="121"/>
      <c r="AZ5429" s="138"/>
    </row>
    <row r="5430" spans="1:52" ht="17.100000000000001" customHeight="1" thickTop="1">
      <c r="A5430" s="151" t="s">
        <v>15895</v>
      </c>
      <c r="B5430" s="28">
        <v>46045</v>
      </c>
      <c r="C5430" s="25"/>
      <c r="D5430" s="13" t="s">
        <v>1902</v>
      </c>
      <c r="E5430" s="111"/>
      <c r="F5430" s="113" t="s">
        <v>16011</v>
      </c>
      <c r="G5430" s="114"/>
      <c r="H5430" s="115"/>
      <c r="I5430" s="24" t="s">
        <v>16012</v>
      </c>
      <c r="J5430" s="116">
        <v>4.5</v>
      </c>
      <c r="K5430" s="118">
        <v>3775000</v>
      </c>
      <c r="L5430" s="119"/>
      <c r="M5430" s="118">
        <f t="shared" ref="M5430" si="6805">K5430*0.1</f>
        <v>377500</v>
      </c>
      <c r="N5430" s="119"/>
      <c r="O5430" s="118">
        <v>3600</v>
      </c>
      <c r="P5430" s="119"/>
      <c r="Q5430" s="118">
        <v>14900</v>
      </c>
      <c r="R5430" s="119"/>
      <c r="S5430" s="118">
        <v>0</v>
      </c>
      <c r="T5430" s="119"/>
      <c r="U5430" s="118">
        <f t="shared" ref="U5430" si="6806">SUM(K5430:T5431)</f>
        <v>4171000</v>
      </c>
      <c r="V5430" s="122"/>
      <c r="W5430" s="124"/>
      <c r="X5430" s="126"/>
      <c r="Y5430" s="127"/>
      <c r="Z5430" s="127"/>
      <c r="AA5430" s="127"/>
      <c r="AB5430" s="128"/>
      <c r="AC5430" s="15" t="s">
        <v>20</v>
      </c>
      <c r="AD5430" s="129" t="s">
        <v>15198</v>
      </c>
      <c r="AE5430" s="130"/>
      <c r="AF5430" s="130"/>
      <c r="AG5430" s="130"/>
      <c r="AH5430" s="130"/>
      <c r="AI5430" s="131"/>
      <c r="AJ5430" s="132" t="s">
        <v>8040</v>
      </c>
      <c r="AK5430" s="127"/>
      <c r="AL5430" s="128"/>
      <c r="AM5430" s="21"/>
      <c r="AN5430" s="133"/>
      <c r="AO5430" s="134"/>
      <c r="AP5430" s="135"/>
      <c r="AQ5430" s="136"/>
      <c r="AR5430" s="118"/>
      <c r="AS5430" s="119"/>
      <c r="AT5430" s="118">
        <f t="shared" ref="AT5430" si="6807">AR5430*0.1</f>
        <v>0</v>
      </c>
      <c r="AU5430" s="119"/>
      <c r="AV5430" s="118"/>
      <c r="AW5430" s="119"/>
      <c r="AX5430" s="118">
        <f t="shared" ref="AX5430" si="6808">SUM(AR5430:AW5430)</f>
        <v>0</v>
      </c>
      <c r="AY5430" s="119"/>
      <c r="AZ5430" s="137"/>
    </row>
    <row r="5431" spans="1:52" ht="17.100000000000001" customHeight="1" thickBot="1">
      <c r="A5431" s="152"/>
      <c r="B5431" s="27" t="s">
        <v>1718</v>
      </c>
      <c r="C5431" s="27" t="s">
        <v>15913</v>
      </c>
      <c r="D5431" s="14" t="s">
        <v>275</v>
      </c>
      <c r="E5431" s="112"/>
      <c r="F5431" s="139" t="s">
        <v>15914</v>
      </c>
      <c r="G5431" s="140"/>
      <c r="H5431" s="141"/>
      <c r="I5431" s="26">
        <v>44855</v>
      </c>
      <c r="J5431" s="117"/>
      <c r="K5431" s="120"/>
      <c r="L5431" s="121"/>
      <c r="M5431" s="120"/>
      <c r="N5431" s="121"/>
      <c r="O5431" s="120"/>
      <c r="P5431" s="121"/>
      <c r="Q5431" s="120"/>
      <c r="R5431" s="121"/>
      <c r="S5431" s="120"/>
      <c r="T5431" s="121"/>
      <c r="U5431" s="120"/>
      <c r="V5431" s="123"/>
      <c r="W5431" s="125"/>
      <c r="X5431" s="142"/>
      <c r="Y5431" s="143"/>
      <c r="Z5431" s="143"/>
      <c r="AA5431" s="143"/>
      <c r="AB5431" s="144"/>
      <c r="AC5431" s="16" t="s">
        <v>21</v>
      </c>
      <c r="AD5431" s="17" t="s">
        <v>10540</v>
      </c>
      <c r="AE5431" s="145"/>
      <c r="AF5431" s="146"/>
      <c r="AG5431" s="146"/>
      <c r="AH5431" s="146"/>
      <c r="AI5431" s="147"/>
      <c r="AJ5431" s="148"/>
      <c r="AK5431" s="143"/>
      <c r="AL5431" s="144"/>
      <c r="AM5431" s="22"/>
      <c r="AN5431" s="149"/>
      <c r="AO5431" s="144"/>
      <c r="AP5431" s="148"/>
      <c r="AQ5431" s="144"/>
      <c r="AR5431" s="120"/>
      <c r="AS5431" s="121"/>
      <c r="AT5431" s="120"/>
      <c r="AU5431" s="121"/>
      <c r="AV5431" s="120"/>
      <c r="AW5431" s="121"/>
      <c r="AX5431" s="120"/>
      <c r="AY5431" s="121"/>
      <c r="AZ5431" s="138"/>
    </row>
    <row r="5432" spans="1:52" ht="17.100000000000001" customHeight="1" thickTop="1">
      <c r="A5432" s="109" t="s">
        <v>15896</v>
      </c>
      <c r="B5432" s="28">
        <v>46045</v>
      </c>
      <c r="C5432" s="25"/>
      <c r="D5432" s="13" t="s">
        <v>3536</v>
      </c>
      <c r="E5432" s="111"/>
      <c r="F5432" s="113" t="s">
        <v>19881</v>
      </c>
      <c r="G5432" s="114"/>
      <c r="H5432" s="115"/>
      <c r="I5432" s="24" t="s">
        <v>13810</v>
      </c>
      <c r="J5432" s="116">
        <v>3.5</v>
      </c>
      <c r="K5432" s="118">
        <v>845000</v>
      </c>
      <c r="L5432" s="119"/>
      <c r="M5432" s="118">
        <f t="shared" ref="M5432" si="6809">K5432*0.1</f>
        <v>84500</v>
      </c>
      <c r="N5432" s="119"/>
      <c r="O5432" s="118">
        <v>0</v>
      </c>
      <c r="P5432" s="119"/>
      <c r="Q5432" s="118">
        <v>8790</v>
      </c>
      <c r="R5432" s="119"/>
      <c r="S5432" s="118">
        <v>0</v>
      </c>
      <c r="T5432" s="119"/>
      <c r="U5432" s="118">
        <f t="shared" ref="U5432" si="6810">SUM(K5432:T5433)</f>
        <v>938290</v>
      </c>
      <c r="V5432" s="122"/>
      <c r="W5432" s="124"/>
      <c r="X5432" s="126" t="s">
        <v>18408</v>
      </c>
      <c r="Y5432" s="127"/>
      <c r="Z5432" s="127"/>
      <c r="AA5432" s="127"/>
      <c r="AB5432" s="128"/>
      <c r="AC5432" s="15" t="s">
        <v>20</v>
      </c>
      <c r="AD5432" s="129" t="s">
        <v>3868</v>
      </c>
      <c r="AE5432" s="130"/>
      <c r="AF5432" s="130"/>
      <c r="AG5432" s="130"/>
      <c r="AH5432" s="130"/>
      <c r="AI5432" s="131"/>
      <c r="AJ5432" s="132"/>
      <c r="AK5432" s="127"/>
      <c r="AL5432" s="128"/>
      <c r="AM5432" s="21"/>
      <c r="AN5432" s="133">
        <v>46088</v>
      </c>
      <c r="AO5432" s="134"/>
      <c r="AP5432" s="135">
        <v>1291</v>
      </c>
      <c r="AQ5432" s="136"/>
      <c r="AR5432" s="118">
        <v>880000</v>
      </c>
      <c r="AS5432" s="119"/>
      <c r="AT5432" s="118">
        <f t="shared" ref="AT5432" si="6811">AR5432*0.1</f>
        <v>88000</v>
      </c>
      <c r="AU5432" s="119"/>
      <c r="AV5432" s="118">
        <v>8790</v>
      </c>
      <c r="AW5432" s="119"/>
      <c r="AX5432" s="118">
        <f t="shared" ref="AX5432" si="6812">SUM(AR5432:AW5432)</f>
        <v>976790</v>
      </c>
      <c r="AY5432" s="119"/>
      <c r="AZ5432" s="137">
        <v>46093</v>
      </c>
    </row>
    <row r="5433" spans="1:52" ht="17.100000000000001" customHeight="1" thickBot="1">
      <c r="A5433" s="110"/>
      <c r="B5433" s="27" t="s">
        <v>1718</v>
      </c>
      <c r="C5433" s="27" t="s">
        <v>15915</v>
      </c>
      <c r="D5433" s="14" t="s">
        <v>275</v>
      </c>
      <c r="E5433" s="112"/>
      <c r="F5433" s="139" t="s">
        <v>15916</v>
      </c>
      <c r="G5433" s="140"/>
      <c r="H5433" s="141"/>
      <c r="I5433" s="26">
        <v>47066</v>
      </c>
      <c r="J5433" s="117"/>
      <c r="K5433" s="120"/>
      <c r="L5433" s="121"/>
      <c r="M5433" s="120"/>
      <c r="N5433" s="121"/>
      <c r="O5433" s="120"/>
      <c r="P5433" s="121"/>
      <c r="Q5433" s="120"/>
      <c r="R5433" s="121"/>
      <c r="S5433" s="120"/>
      <c r="T5433" s="121"/>
      <c r="U5433" s="120"/>
      <c r="V5433" s="123"/>
      <c r="W5433" s="125"/>
      <c r="X5433" s="142" t="s">
        <v>2955</v>
      </c>
      <c r="Y5433" s="143"/>
      <c r="Z5433" s="143"/>
      <c r="AA5433" s="143"/>
      <c r="AB5433" s="144"/>
      <c r="AC5433" s="16" t="s">
        <v>21</v>
      </c>
      <c r="AD5433" s="17" t="s">
        <v>18390</v>
      </c>
      <c r="AE5433" s="145" t="s">
        <v>9403</v>
      </c>
      <c r="AF5433" s="146"/>
      <c r="AG5433" s="146"/>
      <c r="AH5433" s="146"/>
      <c r="AI5433" s="147"/>
      <c r="AJ5433" s="148"/>
      <c r="AK5433" s="143"/>
      <c r="AL5433" s="144"/>
      <c r="AM5433" s="22"/>
      <c r="AN5433" s="149" t="s">
        <v>2511</v>
      </c>
      <c r="AO5433" s="144"/>
      <c r="AP5433" s="148">
        <v>31065</v>
      </c>
      <c r="AQ5433" s="144"/>
      <c r="AR5433" s="120"/>
      <c r="AS5433" s="121"/>
      <c r="AT5433" s="120"/>
      <c r="AU5433" s="121"/>
      <c r="AV5433" s="120"/>
      <c r="AW5433" s="121"/>
      <c r="AX5433" s="120"/>
      <c r="AY5433" s="121"/>
      <c r="AZ5433" s="138"/>
    </row>
    <row r="5434" spans="1:52" ht="17.100000000000001" customHeight="1" thickTop="1">
      <c r="A5434" s="109" t="s">
        <v>15897</v>
      </c>
      <c r="B5434" s="28">
        <v>46045</v>
      </c>
      <c r="C5434" s="25"/>
      <c r="D5434" s="13" t="s">
        <v>2226</v>
      </c>
      <c r="E5434" s="111"/>
      <c r="F5434" s="113" t="s">
        <v>16013</v>
      </c>
      <c r="G5434" s="114"/>
      <c r="H5434" s="115"/>
      <c r="I5434" s="24" t="s">
        <v>16014</v>
      </c>
      <c r="J5434" s="116">
        <v>5</v>
      </c>
      <c r="K5434" s="118">
        <v>2691000</v>
      </c>
      <c r="L5434" s="119"/>
      <c r="M5434" s="118">
        <f t="shared" ref="M5434" si="6813">K5434*0.1</f>
        <v>269100</v>
      </c>
      <c r="N5434" s="119"/>
      <c r="O5434" s="118">
        <v>3600</v>
      </c>
      <c r="P5434" s="119"/>
      <c r="Q5434" s="118">
        <v>11710</v>
      </c>
      <c r="R5434" s="119"/>
      <c r="S5434" s="118">
        <v>0</v>
      </c>
      <c r="T5434" s="119"/>
      <c r="U5434" s="118">
        <f t="shared" ref="U5434" si="6814">SUM(K5434:T5435)</f>
        <v>2975410</v>
      </c>
      <c r="V5434" s="122"/>
      <c r="W5434" s="124"/>
      <c r="X5434" s="126" t="s">
        <v>18614</v>
      </c>
      <c r="Y5434" s="127"/>
      <c r="Z5434" s="127"/>
      <c r="AA5434" s="127"/>
      <c r="AB5434" s="128"/>
      <c r="AC5434" s="15" t="s">
        <v>20</v>
      </c>
      <c r="AD5434" s="129" t="s">
        <v>15223</v>
      </c>
      <c r="AE5434" s="130"/>
      <c r="AF5434" s="130"/>
      <c r="AG5434" s="130"/>
      <c r="AH5434" s="130"/>
      <c r="AI5434" s="131"/>
      <c r="AJ5434" s="132"/>
      <c r="AK5434" s="127"/>
      <c r="AL5434" s="128"/>
      <c r="AM5434" s="21" t="s">
        <v>19978</v>
      </c>
      <c r="AN5434" s="133">
        <v>46099</v>
      </c>
      <c r="AO5434" s="134"/>
      <c r="AP5434" s="135">
        <v>1009</v>
      </c>
      <c r="AQ5434" s="136"/>
      <c r="AR5434" s="118">
        <v>2760000</v>
      </c>
      <c r="AS5434" s="119"/>
      <c r="AT5434" s="118">
        <f t="shared" ref="AT5434" si="6815">AR5434*0.1</f>
        <v>276000</v>
      </c>
      <c r="AU5434" s="119"/>
      <c r="AV5434" s="118">
        <v>11710</v>
      </c>
      <c r="AW5434" s="119"/>
      <c r="AX5434" s="118">
        <f t="shared" ref="AX5434" si="6816">SUM(AR5434:AW5434)</f>
        <v>3047710</v>
      </c>
      <c r="AY5434" s="119"/>
      <c r="AZ5434" s="137">
        <v>46105</v>
      </c>
    </row>
    <row r="5435" spans="1:52" ht="17.100000000000001" customHeight="1" thickBot="1">
      <c r="A5435" s="110"/>
      <c r="B5435" s="27" t="s">
        <v>1718</v>
      </c>
      <c r="C5435" s="27" t="s">
        <v>15917</v>
      </c>
      <c r="D5435" s="14" t="s">
        <v>1883</v>
      </c>
      <c r="E5435" s="112"/>
      <c r="F5435" s="139" t="s">
        <v>15918</v>
      </c>
      <c r="G5435" s="140"/>
      <c r="H5435" s="141"/>
      <c r="I5435" s="26">
        <v>12922</v>
      </c>
      <c r="J5435" s="117"/>
      <c r="K5435" s="120"/>
      <c r="L5435" s="121"/>
      <c r="M5435" s="120"/>
      <c r="N5435" s="121"/>
      <c r="O5435" s="120"/>
      <c r="P5435" s="121"/>
      <c r="Q5435" s="120"/>
      <c r="R5435" s="121"/>
      <c r="S5435" s="120"/>
      <c r="T5435" s="121"/>
      <c r="U5435" s="120"/>
      <c r="V5435" s="123"/>
      <c r="W5435" s="125"/>
      <c r="X5435" s="142" t="s">
        <v>18615</v>
      </c>
      <c r="Y5435" s="143"/>
      <c r="Z5435" s="143"/>
      <c r="AA5435" s="143"/>
      <c r="AB5435" s="144"/>
      <c r="AC5435" s="16" t="s">
        <v>21</v>
      </c>
      <c r="AD5435" s="17" t="s">
        <v>2346</v>
      </c>
      <c r="AE5435" s="145" t="s">
        <v>14006</v>
      </c>
      <c r="AF5435" s="146"/>
      <c r="AG5435" s="146"/>
      <c r="AH5435" s="146"/>
      <c r="AI5435" s="147"/>
      <c r="AJ5435" s="148"/>
      <c r="AK5435" s="143"/>
      <c r="AL5435" s="144"/>
      <c r="AM5435" s="22"/>
      <c r="AN5435" s="149" t="s">
        <v>9053</v>
      </c>
      <c r="AO5435" s="144"/>
      <c r="AP5435" s="148">
        <v>5164</v>
      </c>
      <c r="AQ5435" s="144"/>
      <c r="AR5435" s="120"/>
      <c r="AS5435" s="121"/>
      <c r="AT5435" s="120"/>
      <c r="AU5435" s="121"/>
      <c r="AV5435" s="120"/>
      <c r="AW5435" s="121"/>
      <c r="AX5435" s="120"/>
      <c r="AY5435" s="121"/>
      <c r="AZ5435" s="138"/>
    </row>
    <row r="5436" spans="1:52" ht="17.100000000000001" customHeight="1" thickTop="1">
      <c r="A5436" s="109" t="s">
        <v>15898</v>
      </c>
      <c r="B5436" s="28">
        <v>46045</v>
      </c>
      <c r="C5436" s="25"/>
      <c r="D5436" s="13" t="s">
        <v>2122</v>
      </c>
      <c r="E5436" s="111"/>
      <c r="F5436" s="113" t="s">
        <v>16008</v>
      </c>
      <c r="G5436" s="114"/>
      <c r="H5436" s="115"/>
      <c r="I5436" s="24" t="s">
        <v>16015</v>
      </c>
      <c r="J5436" s="116">
        <v>4.5</v>
      </c>
      <c r="K5436" s="118">
        <v>4600000</v>
      </c>
      <c r="L5436" s="119"/>
      <c r="M5436" s="118">
        <f t="shared" ref="M5436" si="6817">K5436*0.1</f>
        <v>460000</v>
      </c>
      <c r="N5436" s="119"/>
      <c r="O5436" s="118">
        <v>3600</v>
      </c>
      <c r="P5436" s="119"/>
      <c r="Q5436" s="118">
        <v>15470</v>
      </c>
      <c r="R5436" s="119"/>
      <c r="S5436" s="118">
        <v>0</v>
      </c>
      <c r="T5436" s="119"/>
      <c r="U5436" s="118">
        <f t="shared" ref="U5436" si="6818">SUM(K5436:T5437)</f>
        <v>5079070</v>
      </c>
      <c r="V5436" s="122"/>
      <c r="W5436" s="124"/>
      <c r="X5436" s="126" t="s">
        <v>17612</v>
      </c>
      <c r="Y5436" s="127"/>
      <c r="Z5436" s="127"/>
      <c r="AA5436" s="127"/>
      <c r="AB5436" s="128"/>
      <c r="AC5436" s="15" t="s">
        <v>20</v>
      </c>
      <c r="AD5436" s="129" t="s">
        <v>1670</v>
      </c>
      <c r="AE5436" s="130"/>
      <c r="AF5436" s="130"/>
      <c r="AG5436" s="130"/>
      <c r="AH5436" s="130"/>
      <c r="AI5436" s="131"/>
      <c r="AJ5436" s="132"/>
      <c r="AK5436" s="127"/>
      <c r="AL5436" s="128"/>
      <c r="AM5436" s="21"/>
      <c r="AN5436" s="133">
        <v>46060</v>
      </c>
      <c r="AO5436" s="134"/>
      <c r="AP5436" s="135">
        <v>1287</v>
      </c>
      <c r="AQ5436" s="136"/>
      <c r="AR5436" s="118">
        <v>5030000</v>
      </c>
      <c r="AS5436" s="119"/>
      <c r="AT5436" s="118">
        <f t="shared" ref="AT5436" si="6819">AR5436*0.1</f>
        <v>503000</v>
      </c>
      <c r="AU5436" s="119"/>
      <c r="AV5436" s="118">
        <v>15470</v>
      </c>
      <c r="AW5436" s="119"/>
      <c r="AX5436" s="118">
        <f t="shared" ref="AX5436" si="6820">SUM(AR5436:AW5436)</f>
        <v>5548470</v>
      </c>
      <c r="AY5436" s="119"/>
      <c r="AZ5436" s="137">
        <v>46070</v>
      </c>
    </row>
    <row r="5437" spans="1:52" ht="17.100000000000001" customHeight="1" thickBot="1">
      <c r="A5437" s="110"/>
      <c r="B5437" s="27" t="s">
        <v>1718</v>
      </c>
      <c r="C5437" s="27" t="s">
        <v>15919</v>
      </c>
      <c r="D5437" s="14" t="s">
        <v>275</v>
      </c>
      <c r="E5437" s="112"/>
      <c r="F5437" s="139" t="s">
        <v>15920</v>
      </c>
      <c r="G5437" s="140"/>
      <c r="H5437" s="141"/>
      <c r="I5437" s="26">
        <v>8065</v>
      </c>
      <c r="J5437" s="117"/>
      <c r="K5437" s="120"/>
      <c r="L5437" s="121"/>
      <c r="M5437" s="120"/>
      <c r="N5437" s="121"/>
      <c r="O5437" s="120"/>
      <c r="P5437" s="121"/>
      <c r="Q5437" s="120"/>
      <c r="R5437" s="121"/>
      <c r="S5437" s="120"/>
      <c r="T5437" s="121"/>
      <c r="U5437" s="120"/>
      <c r="V5437" s="123"/>
      <c r="W5437" s="125"/>
      <c r="X5437" s="142" t="s">
        <v>1673</v>
      </c>
      <c r="Y5437" s="143"/>
      <c r="Z5437" s="143"/>
      <c r="AA5437" s="143"/>
      <c r="AB5437" s="144"/>
      <c r="AC5437" s="16" t="s">
        <v>21</v>
      </c>
      <c r="AD5437" s="17" t="s">
        <v>2298</v>
      </c>
      <c r="AE5437" s="145" t="s">
        <v>1633</v>
      </c>
      <c r="AF5437" s="146"/>
      <c r="AG5437" s="146"/>
      <c r="AH5437" s="146"/>
      <c r="AI5437" s="147"/>
      <c r="AJ5437" s="148"/>
      <c r="AK5437" s="143"/>
      <c r="AL5437" s="144"/>
      <c r="AM5437" s="22"/>
      <c r="AN5437" s="149" t="s">
        <v>2511</v>
      </c>
      <c r="AO5437" s="144"/>
      <c r="AP5437" s="148">
        <v>37546</v>
      </c>
      <c r="AQ5437" s="144"/>
      <c r="AR5437" s="120"/>
      <c r="AS5437" s="121"/>
      <c r="AT5437" s="120"/>
      <c r="AU5437" s="121"/>
      <c r="AV5437" s="120"/>
      <c r="AW5437" s="121"/>
      <c r="AX5437" s="120"/>
      <c r="AY5437" s="121"/>
      <c r="AZ5437" s="138"/>
    </row>
    <row r="5438" spans="1:52" ht="17.100000000000001" customHeight="1" thickTop="1">
      <c r="A5438" s="109" t="s">
        <v>15899</v>
      </c>
      <c r="B5438" s="28">
        <v>46045</v>
      </c>
      <c r="C5438" s="25"/>
      <c r="D5438" s="13" t="s">
        <v>2697</v>
      </c>
      <c r="E5438" s="111"/>
      <c r="F5438" s="113" t="s">
        <v>16016</v>
      </c>
      <c r="G5438" s="114"/>
      <c r="H5438" s="115"/>
      <c r="I5438" s="24" t="s">
        <v>15978</v>
      </c>
      <c r="J5438" s="116">
        <v>4.5</v>
      </c>
      <c r="K5438" s="118">
        <v>1565000</v>
      </c>
      <c r="L5438" s="119"/>
      <c r="M5438" s="118">
        <f t="shared" ref="M5438" si="6821">K5438*0.1</f>
        <v>156500</v>
      </c>
      <c r="N5438" s="119"/>
      <c r="O5438" s="118">
        <v>0</v>
      </c>
      <c r="P5438" s="119"/>
      <c r="Q5438" s="118">
        <v>7230</v>
      </c>
      <c r="R5438" s="119"/>
      <c r="S5438" s="118">
        <v>0</v>
      </c>
      <c r="T5438" s="119"/>
      <c r="U5438" s="118">
        <f t="shared" ref="U5438" si="6822">SUM(K5438:T5439)</f>
        <v>1728730</v>
      </c>
      <c r="V5438" s="122"/>
      <c r="W5438" s="124"/>
      <c r="X5438" s="126" t="s">
        <v>16941</v>
      </c>
      <c r="Y5438" s="127"/>
      <c r="Z5438" s="127"/>
      <c r="AA5438" s="127"/>
      <c r="AB5438" s="128"/>
      <c r="AC5438" s="15" t="s">
        <v>20</v>
      </c>
      <c r="AD5438" s="129" t="s">
        <v>16019</v>
      </c>
      <c r="AE5438" s="130"/>
      <c r="AF5438" s="130"/>
      <c r="AG5438" s="130"/>
      <c r="AH5438" s="130"/>
      <c r="AI5438" s="131"/>
      <c r="AJ5438" s="132"/>
      <c r="AK5438" s="127"/>
      <c r="AL5438" s="128"/>
      <c r="AM5438" s="21"/>
      <c r="AN5438" s="133">
        <v>46070</v>
      </c>
      <c r="AO5438" s="134"/>
      <c r="AP5438" s="135">
        <v>1929</v>
      </c>
      <c r="AQ5438" s="136"/>
      <c r="AR5438" s="118">
        <v>1680000</v>
      </c>
      <c r="AS5438" s="119"/>
      <c r="AT5438" s="118">
        <f t="shared" ref="AT5438" si="6823">AR5438*0.1</f>
        <v>168000</v>
      </c>
      <c r="AU5438" s="119"/>
      <c r="AV5438" s="118">
        <v>7230</v>
      </c>
      <c r="AW5438" s="119"/>
      <c r="AX5438" s="118">
        <f t="shared" ref="AX5438" si="6824">SUM(AR5438:AW5438)</f>
        <v>1855230</v>
      </c>
      <c r="AY5438" s="119"/>
      <c r="AZ5438" s="137">
        <v>46077</v>
      </c>
    </row>
    <row r="5439" spans="1:52" ht="17.100000000000001" customHeight="1" thickBot="1">
      <c r="A5439" s="110"/>
      <c r="B5439" s="27" t="s">
        <v>1718</v>
      </c>
      <c r="C5439" s="27" t="s">
        <v>15921</v>
      </c>
      <c r="D5439" s="14" t="s">
        <v>1592</v>
      </c>
      <c r="E5439" s="112"/>
      <c r="F5439" s="139" t="s">
        <v>15922</v>
      </c>
      <c r="G5439" s="140"/>
      <c r="H5439" s="141"/>
      <c r="I5439" s="26">
        <v>30312</v>
      </c>
      <c r="J5439" s="117"/>
      <c r="K5439" s="120"/>
      <c r="L5439" s="121"/>
      <c r="M5439" s="120"/>
      <c r="N5439" s="121"/>
      <c r="O5439" s="120"/>
      <c r="P5439" s="121"/>
      <c r="Q5439" s="120"/>
      <c r="R5439" s="121"/>
      <c r="S5439" s="120"/>
      <c r="T5439" s="121"/>
      <c r="U5439" s="120"/>
      <c r="V5439" s="123"/>
      <c r="W5439" s="125"/>
      <c r="X5439" s="142" t="s">
        <v>16942</v>
      </c>
      <c r="Y5439" s="143"/>
      <c r="Z5439" s="143"/>
      <c r="AA5439" s="143"/>
      <c r="AB5439" s="144"/>
      <c r="AC5439" s="16" t="s">
        <v>21</v>
      </c>
      <c r="AD5439" s="17" t="s">
        <v>3801</v>
      </c>
      <c r="AE5439" s="145" t="s">
        <v>8111</v>
      </c>
      <c r="AF5439" s="146"/>
      <c r="AG5439" s="146"/>
      <c r="AH5439" s="146"/>
      <c r="AI5439" s="147"/>
      <c r="AJ5439" s="148"/>
      <c r="AK5439" s="143"/>
      <c r="AL5439" s="144"/>
      <c r="AM5439" s="22"/>
      <c r="AN5439" s="149" t="s">
        <v>7644</v>
      </c>
      <c r="AO5439" s="144"/>
      <c r="AP5439" s="148">
        <v>3357</v>
      </c>
      <c r="AQ5439" s="144"/>
      <c r="AR5439" s="120"/>
      <c r="AS5439" s="121"/>
      <c r="AT5439" s="120"/>
      <c r="AU5439" s="121"/>
      <c r="AV5439" s="120"/>
      <c r="AW5439" s="121"/>
      <c r="AX5439" s="120"/>
      <c r="AY5439" s="121"/>
      <c r="AZ5439" s="138"/>
    </row>
    <row r="5440" spans="1:52" ht="17.100000000000001" customHeight="1" thickTop="1">
      <c r="A5440" s="109" t="s">
        <v>15900</v>
      </c>
      <c r="B5440" s="28">
        <v>46045</v>
      </c>
      <c r="C5440" s="25"/>
      <c r="D5440" s="13" t="s">
        <v>2697</v>
      </c>
      <c r="E5440" s="111"/>
      <c r="F5440" s="113" t="s">
        <v>16017</v>
      </c>
      <c r="G5440" s="114"/>
      <c r="H5440" s="115"/>
      <c r="I5440" s="24" t="s">
        <v>16018</v>
      </c>
      <c r="J5440" s="116">
        <v>4.5</v>
      </c>
      <c r="K5440" s="118">
        <v>1385000</v>
      </c>
      <c r="L5440" s="119"/>
      <c r="M5440" s="118">
        <f t="shared" ref="M5440" si="6825">K5440*0.1</f>
        <v>138500</v>
      </c>
      <c r="N5440" s="119"/>
      <c r="O5440" s="118">
        <v>0</v>
      </c>
      <c r="P5440" s="119"/>
      <c r="Q5440" s="118">
        <v>7530</v>
      </c>
      <c r="R5440" s="119"/>
      <c r="S5440" s="118">
        <v>0</v>
      </c>
      <c r="T5440" s="119"/>
      <c r="U5440" s="118">
        <f t="shared" ref="U5440" si="6826">SUM(K5440:T5441)</f>
        <v>1531030</v>
      </c>
      <c r="V5440" s="122"/>
      <c r="W5440" s="124"/>
      <c r="X5440" s="126" t="s">
        <v>17623</v>
      </c>
      <c r="Y5440" s="127"/>
      <c r="Z5440" s="127"/>
      <c r="AA5440" s="127"/>
      <c r="AB5440" s="128"/>
      <c r="AC5440" s="15" t="s">
        <v>20</v>
      </c>
      <c r="AD5440" s="129" t="s">
        <v>16019</v>
      </c>
      <c r="AE5440" s="130"/>
      <c r="AF5440" s="130"/>
      <c r="AG5440" s="130"/>
      <c r="AH5440" s="130"/>
      <c r="AI5440" s="131"/>
      <c r="AJ5440" s="132"/>
      <c r="AK5440" s="127"/>
      <c r="AL5440" s="128"/>
      <c r="AM5440" s="21"/>
      <c r="AN5440" s="133">
        <v>46063</v>
      </c>
      <c r="AO5440" s="134"/>
      <c r="AP5440" s="135">
        <v>1928</v>
      </c>
      <c r="AQ5440" s="136"/>
      <c r="AR5440" s="118">
        <v>1497000</v>
      </c>
      <c r="AS5440" s="119"/>
      <c r="AT5440" s="118">
        <f t="shared" ref="AT5440" si="6827">AR5440*0.1</f>
        <v>149700</v>
      </c>
      <c r="AU5440" s="119"/>
      <c r="AV5440" s="118">
        <v>7530</v>
      </c>
      <c r="AW5440" s="119"/>
      <c r="AX5440" s="118">
        <f t="shared" ref="AX5440" si="6828">SUM(AR5440:AW5440)</f>
        <v>1654230</v>
      </c>
      <c r="AY5440" s="119"/>
      <c r="AZ5440" s="137"/>
    </row>
    <row r="5441" spans="1:52" ht="17.100000000000001" customHeight="1" thickBot="1">
      <c r="A5441" s="110"/>
      <c r="B5441" s="27" t="s">
        <v>1718</v>
      </c>
      <c r="C5441" s="27" t="s">
        <v>15923</v>
      </c>
      <c r="D5441" s="14" t="s">
        <v>133</v>
      </c>
      <c r="E5441" s="112"/>
      <c r="F5441" s="139" t="s">
        <v>15924</v>
      </c>
      <c r="G5441" s="140"/>
      <c r="H5441" s="141"/>
      <c r="I5441" s="26">
        <v>12317</v>
      </c>
      <c r="J5441" s="117"/>
      <c r="K5441" s="120"/>
      <c r="L5441" s="121"/>
      <c r="M5441" s="120"/>
      <c r="N5441" s="121"/>
      <c r="O5441" s="120"/>
      <c r="P5441" s="121"/>
      <c r="Q5441" s="120"/>
      <c r="R5441" s="121"/>
      <c r="S5441" s="120"/>
      <c r="T5441" s="121"/>
      <c r="U5441" s="120"/>
      <c r="V5441" s="123"/>
      <c r="W5441" s="125"/>
      <c r="X5441" s="142" t="s">
        <v>4285</v>
      </c>
      <c r="Y5441" s="143"/>
      <c r="Z5441" s="143"/>
      <c r="AA5441" s="143"/>
      <c r="AB5441" s="144"/>
      <c r="AC5441" s="16" t="s">
        <v>21</v>
      </c>
      <c r="AD5441" s="17" t="s">
        <v>2298</v>
      </c>
      <c r="AE5441" s="145" t="s">
        <v>1614</v>
      </c>
      <c r="AF5441" s="146"/>
      <c r="AG5441" s="146"/>
      <c r="AH5441" s="146"/>
      <c r="AI5441" s="147"/>
      <c r="AJ5441" s="148"/>
      <c r="AK5441" s="143"/>
      <c r="AL5441" s="144"/>
      <c r="AM5441" s="22"/>
      <c r="AN5441" s="149" t="s">
        <v>2131</v>
      </c>
      <c r="AO5441" s="144"/>
      <c r="AP5441" s="148">
        <v>3307</v>
      </c>
      <c r="AQ5441" s="144"/>
      <c r="AR5441" s="120"/>
      <c r="AS5441" s="121"/>
      <c r="AT5441" s="120"/>
      <c r="AU5441" s="121"/>
      <c r="AV5441" s="120"/>
      <c r="AW5441" s="121"/>
      <c r="AX5441" s="120"/>
      <c r="AY5441" s="121"/>
      <c r="AZ5441" s="138"/>
    </row>
    <row r="5442" spans="1:52" ht="17.100000000000001" customHeight="1" thickTop="1">
      <c r="A5442" s="109" t="s">
        <v>15901</v>
      </c>
      <c r="B5442" s="28">
        <v>46045</v>
      </c>
      <c r="C5442" s="25"/>
      <c r="D5442" s="13" t="s">
        <v>1752</v>
      </c>
      <c r="E5442" s="111"/>
      <c r="F5442" s="113" t="s">
        <v>16020</v>
      </c>
      <c r="G5442" s="114"/>
      <c r="H5442" s="115"/>
      <c r="I5442" s="24" t="s">
        <v>16021</v>
      </c>
      <c r="J5442" s="116">
        <v>3.5</v>
      </c>
      <c r="K5442" s="118">
        <v>364000</v>
      </c>
      <c r="L5442" s="119"/>
      <c r="M5442" s="118">
        <f t="shared" ref="M5442" si="6829">K5442*0.1</f>
        <v>36400</v>
      </c>
      <c r="N5442" s="119"/>
      <c r="O5442" s="118">
        <v>0</v>
      </c>
      <c r="P5442" s="119"/>
      <c r="Q5442" s="118">
        <v>9790</v>
      </c>
      <c r="R5442" s="119"/>
      <c r="S5442" s="118">
        <v>0</v>
      </c>
      <c r="T5442" s="119"/>
      <c r="U5442" s="118">
        <f t="shared" ref="U5442" si="6830">SUM(K5442:T5443)</f>
        <v>410190</v>
      </c>
      <c r="V5442" s="122"/>
      <c r="W5442" s="124"/>
      <c r="X5442" s="126" t="s">
        <v>17779</v>
      </c>
      <c r="Y5442" s="127"/>
      <c r="Z5442" s="127"/>
      <c r="AA5442" s="127"/>
      <c r="AB5442" s="128"/>
      <c r="AC5442" s="15" t="s">
        <v>20</v>
      </c>
      <c r="AD5442" s="129" t="s">
        <v>16019</v>
      </c>
      <c r="AE5442" s="130"/>
      <c r="AF5442" s="130"/>
      <c r="AG5442" s="130"/>
      <c r="AH5442" s="130"/>
      <c r="AI5442" s="131"/>
      <c r="AJ5442" s="132"/>
      <c r="AK5442" s="127"/>
      <c r="AL5442" s="128"/>
      <c r="AM5442" s="21"/>
      <c r="AN5442" s="133">
        <v>46067</v>
      </c>
      <c r="AO5442" s="134"/>
      <c r="AP5442" s="135">
        <v>1288</v>
      </c>
      <c r="AQ5442" s="136"/>
      <c r="AR5442" s="118">
        <v>595000</v>
      </c>
      <c r="AS5442" s="119"/>
      <c r="AT5442" s="118">
        <f t="shared" ref="AT5442" si="6831">AR5442*0.1</f>
        <v>59500</v>
      </c>
      <c r="AU5442" s="119"/>
      <c r="AV5442" s="118">
        <v>9790</v>
      </c>
      <c r="AW5442" s="119"/>
      <c r="AX5442" s="118">
        <f t="shared" ref="AX5442" si="6832">SUM(AR5442:AW5442)</f>
        <v>664290</v>
      </c>
      <c r="AY5442" s="119"/>
      <c r="AZ5442" s="137">
        <v>46070</v>
      </c>
    </row>
    <row r="5443" spans="1:52" ht="17.100000000000001" customHeight="1" thickBot="1">
      <c r="A5443" s="110"/>
      <c r="B5443" s="27" t="s">
        <v>1718</v>
      </c>
      <c r="C5443" s="27" t="s">
        <v>15925</v>
      </c>
      <c r="D5443" s="14" t="s">
        <v>133</v>
      </c>
      <c r="E5443" s="112"/>
      <c r="F5443" s="139" t="s">
        <v>15926</v>
      </c>
      <c r="G5443" s="140"/>
      <c r="H5443" s="141"/>
      <c r="I5443" s="26">
        <v>39078</v>
      </c>
      <c r="J5443" s="117"/>
      <c r="K5443" s="120"/>
      <c r="L5443" s="121"/>
      <c r="M5443" s="120"/>
      <c r="N5443" s="121"/>
      <c r="O5443" s="120"/>
      <c r="P5443" s="121"/>
      <c r="Q5443" s="120"/>
      <c r="R5443" s="121"/>
      <c r="S5443" s="120"/>
      <c r="T5443" s="121"/>
      <c r="U5443" s="120"/>
      <c r="V5443" s="123"/>
      <c r="W5443" s="125"/>
      <c r="X5443" s="142" t="s">
        <v>4285</v>
      </c>
      <c r="Y5443" s="143"/>
      <c r="Z5443" s="143"/>
      <c r="AA5443" s="143"/>
      <c r="AB5443" s="144"/>
      <c r="AC5443" s="16" t="s">
        <v>21</v>
      </c>
      <c r="AD5443" s="17" t="s">
        <v>17777</v>
      </c>
      <c r="AE5443" s="145" t="s">
        <v>9403</v>
      </c>
      <c r="AF5443" s="146"/>
      <c r="AG5443" s="146"/>
      <c r="AH5443" s="146"/>
      <c r="AI5443" s="147"/>
      <c r="AJ5443" s="148"/>
      <c r="AK5443" s="143"/>
      <c r="AL5443" s="144"/>
      <c r="AM5443" s="22"/>
      <c r="AN5443" s="149" t="s">
        <v>2511</v>
      </c>
      <c r="AO5443" s="144"/>
      <c r="AP5443" s="148">
        <v>65422</v>
      </c>
      <c r="AQ5443" s="144"/>
      <c r="AR5443" s="120"/>
      <c r="AS5443" s="121"/>
      <c r="AT5443" s="120"/>
      <c r="AU5443" s="121"/>
      <c r="AV5443" s="120"/>
      <c r="AW5443" s="121"/>
      <c r="AX5443" s="120"/>
      <c r="AY5443" s="121"/>
      <c r="AZ5443" s="138"/>
    </row>
    <row r="5444" spans="1:52" ht="17.100000000000001" customHeight="1" thickTop="1">
      <c r="A5444" s="109" t="s">
        <v>15902</v>
      </c>
      <c r="B5444" s="28">
        <v>46045</v>
      </c>
      <c r="C5444" s="25"/>
      <c r="D5444" s="13" t="s">
        <v>2359</v>
      </c>
      <c r="E5444" s="111"/>
      <c r="F5444" s="113" t="s">
        <v>16022</v>
      </c>
      <c r="G5444" s="114"/>
      <c r="H5444" s="115"/>
      <c r="I5444" s="24" t="s">
        <v>11575</v>
      </c>
      <c r="J5444" s="116">
        <v>4.5</v>
      </c>
      <c r="K5444" s="118">
        <v>1785000</v>
      </c>
      <c r="L5444" s="119"/>
      <c r="M5444" s="118">
        <f t="shared" ref="M5444" si="6833">K5444*0.1</f>
        <v>178500</v>
      </c>
      <c r="N5444" s="119"/>
      <c r="O5444" s="118">
        <v>2500</v>
      </c>
      <c r="P5444" s="119"/>
      <c r="Q5444" s="118">
        <v>10360</v>
      </c>
      <c r="R5444" s="119"/>
      <c r="S5444" s="118">
        <v>0</v>
      </c>
      <c r="T5444" s="119"/>
      <c r="U5444" s="118">
        <f t="shared" ref="U5444" si="6834">SUM(K5444:T5445)</f>
        <v>1976360</v>
      </c>
      <c r="V5444" s="122"/>
      <c r="W5444" s="124"/>
      <c r="X5444" s="126" t="s">
        <v>17975</v>
      </c>
      <c r="Y5444" s="127"/>
      <c r="Z5444" s="127"/>
      <c r="AA5444" s="127"/>
      <c r="AB5444" s="128"/>
      <c r="AC5444" s="15" t="s">
        <v>20</v>
      </c>
      <c r="AD5444" s="129" t="s">
        <v>7231</v>
      </c>
      <c r="AE5444" s="130"/>
      <c r="AF5444" s="130"/>
      <c r="AG5444" s="130"/>
      <c r="AH5444" s="130"/>
      <c r="AI5444" s="131"/>
      <c r="AJ5444" s="132"/>
      <c r="AK5444" s="127"/>
      <c r="AL5444" s="128"/>
      <c r="AM5444" s="21"/>
      <c r="AN5444" s="133">
        <v>46064</v>
      </c>
      <c r="AO5444" s="134"/>
      <c r="AP5444" s="135">
        <v>1004</v>
      </c>
      <c r="AQ5444" s="136"/>
      <c r="AR5444" s="118">
        <v>1820000</v>
      </c>
      <c r="AS5444" s="119"/>
      <c r="AT5444" s="118">
        <f t="shared" ref="AT5444" si="6835">AR5444*0.1</f>
        <v>182000</v>
      </c>
      <c r="AU5444" s="119"/>
      <c r="AV5444" s="118">
        <v>10360</v>
      </c>
      <c r="AW5444" s="119"/>
      <c r="AX5444" s="118">
        <f t="shared" ref="AX5444" si="6836">SUM(AR5444:AW5444)</f>
        <v>2012360</v>
      </c>
      <c r="AY5444" s="119"/>
      <c r="AZ5444" s="137">
        <v>46071</v>
      </c>
    </row>
    <row r="5445" spans="1:52" ht="17.100000000000001" customHeight="1" thickBot="1">
      <c r="A5445" s="110"/>
      <c r="B5445" s="27" t="s">
        <v>1718</v>
      </c>
      <c r="C5445" s="27" t="s">
        <v>15927</v>
      </c>
      <c r="D5445" s="14" t="s">
        <v>2800</v>
      </c>
      <c r="E5445" s="112"/>
      <c r="F5445" s="139" t="s">
        <v>15928</v>
      </c>
      <c r="G5445" s="140"/>
      <c r="H5445" s="141"/>
      <c r="I5445" s="26">
        <v>44503</v>
      </c>
      <c r="J5445" s="117"/>
      <c r="K5445" s="120"/>
      <c r="L5445" s="121"/>
      <c r="M5445" s="120"/>
      <c r="N5445" s="121"/>
      <c r="O5445" s="120"/>
      <c r="P5445" s="121"/>
      <c r="Q5445" s="120"/>
      <c r="R5445" s="121"/>
      <c r="S5445" s="120"/>
      <c r="T5445" s="121"/>
      <c r="U5445" s="120"/>
      <c r="V5445" s="123"/>
      <c r="W5445" s="125"/>
      <c r="X5445" s="142" t="s">
        <v>5250</v>
      </c>
      <c r="Y5445" s="143"/>
      <c r="Z5445" s="143"/>
      <c r="AA5445" s="143"/>
      <c r="AB5445" s="144"/>
      <c r="AC5445" s="16" t="s">
        <v>21</v>
      </c>
      <c r="AD5445" s="17" t="s">
        <v>3583</v>
      </c>
      <c r="AE5445" s="145" t="s">
        <v>17976</v>
      </c>
      <c r="AF5445" s="146"/>
      <c r="AG5445" s="146"/>
      <c r="AH5445" s="146"/>
      <c r="AI5445" s="147"/>
      <c r="AJ5445" s="148"/>
      <c r="AK5445" s="143"/>
      <c r="AL5445" s="144"/>
      <c r="AM5445" s="22"/>
      <c r="AN5445" s="149" t="s">
        <v>2794</v>
      </c>
      <c r="AO5445" s="144"/>
      <c r="AP5445" s="148">
        <v>1077</v>
      </c>
      <c r="AQ5445" s="144"/>
      <c r="AR5445" s="120"/>
      <c r="AS5445" s="121"/>
      <c r="AT5445" s="120"/>
      <c r="AU5445" s="121"/>
      <c r="AV5445" s="120"/>
      <c r="AW5445" s="121"/>
      <c r="AX5445" s="120"/>
      <c r="AY5445" s="121"/>
      <c r="AZ5445" s="138"/>
    </row>
    <row r="5446" spans="1:52" ht="17.100000000000001" customHeight="1" thickTop="1">
      <c r="A5446" s="109" t="s">
        <v>15903</v>
      </c>
      <c r="B5446" s="28">
        <v>46045</v>
      </c>
      <c r="C5446" s="25"/>
      <c r="D5446" s="13" t="s">
        <v>1988</v>
      </c>
      <c r="E5446" s="111"/>
      <c r="F5446" s="113" t="s">
        <v>16023</v>
      </c>
      <c r="G5446" s="114"/>
      <c r="H5446" s="115"/>
      <c r="I5446" s="24" t="s">
        <v>16024</v>
      </c>
      <c r="J5446" s="116">
        <v>4.5</v>
      </c>
      <c r="K5446" s="118">
        <v>3450000</v>
      </c>
      <c r="L5446" s="119"/>
      <c r="M5446" s="118">
        <f t="shared" ref="M5446" si="6837">K5446*0.1</f>
        <v>345000</v>
      </c>
      <c r="N5446" s="119"/>
      <c r="O5446" s="118">
        <v>3000</v>
      </c>
      <c r="P5446" s="119"/>
      <c r="Q5446" s="118">
        <v>12310</v>
      </c>
      <c r="R5446" s="119"/>
      <c r="S5446" s="118">
        <v>0</v>
      </c>
      <c r="T5446" s="119"/>
      <c r="U5446" s="118">
        <f t="shared" ref="U5446" si="6838">SUM(K5446:T5447)</f>
        <v>3810310</v>
      </c>
      <c r="V5446" s="122"/>
      <c r="W5446" s="124"/>
      <c r="X5446" s="126" t="s">
        <v>17642</v>
      </c>
      <c r="Y5446" s="127"/>
      <c r="Z5446" s="127"/>
      <c r="AA5446" s="127"/>
      <c r="AB5446" s="128"/>
      <c r="AC5446" s="15" t="s">
        <v>20</v>
      </c>
      <c r="AD5446" s="129" t="s">
        <v>16019</v>
      </c>
      <c r="AE5446" s="130"/>
      <c r="AF5446" s="130"/>
      <c r="AG5446" s="130"/>
      <c r="AH5446" s="130"/>
      <c r="AI5446" s="131"/>
      <c r="AJ5446" s="132"/>
      <c r="AK5446" s="127"/>
      <c r="AL5446" s="128"/>
      <c r="AM5446" s="21" t="s">
        <v>20340</v>
      </c>
      <c r="AN5446" s="133"/>
      <c r="AO5446" s="134"/>
      <c r="AP5446" s="135"/>
      <c r="AQ5446" s="136"/>
      <c r="AR5446" s="118"/>
      <c r="AS5446" s="119"/>
      <c r="AT5446" s="118">
        <f t="shared" ref="AT5446" si="6839">AR5446*0.1</f>
        <v>0</v>
      </c>
      <c r="AU5446" s="119"/>
      <c r="AV5446" s="118"/>
      <c r="AW5446" s="119"/>
      <c r="AX5446" s="118">
        <f t="shared" ref="AX5446" si="6840">SUM(AR5446:AW5446)</f>
        <v>0</v>
      </c>
      <c r="AY5446" s="119"/>
      <c r="AZ5446" s="137"/>
    </row>
    <row r="5447" spans="1:52" ht="17.100000000000001" customHeight="1" thickBot="1">
      <c r="A5447" s="110"/>
      <c r="B5447" s="27" t="s">
        <v>1718</v>
      </c>
      <c r="C5447" s="27" t="s">
        <v>15929</v>
      </c>
      <c r="D5447" s="14" t="s">
        <v>2601</v>
      </c>
      <c r="E5447" s="112"/>
      <c r="F5447" s="139" t="s">
        <v>15930</v>
      </c>
      <c r="G5447" s="140"/>
      <c r="H5447" s="141"/>
      <c r="I5447" s="26">
        <v>31312</v>
      </c>
      <c r="J5447" s="117"/>
      <c r="K5447" s="120"/>
      <c r="L5447" s="121"/>
      <c r="M5447" s="120"/>
      <c r="N5447" s="121"/>
      <c r="O5447" s="120"/>
      <c r="P5447" s="121"/>
      <c r="Q5447" s="120"/>
      <c r="R5447" s="121"/>
      <c r="S5447" s="120"/>
      <c r="T5447" s="121"/>
      <c r="U5447" s="120"/>
      <c r="V5447" s="123"/>
      <c r="W5447" s="125"/>
      <c r="X5447" s="142" t="s">
        <v>4285</v>
      </c>
      <c r="Y5447" s="143"/>
      <c r="Z5447" s="143"/>
      <c r="AA5447" s="143"/>
      <c r="AB5447" s="144"/>
      <c r="AC5447" s="16" t="s">
        <v>21</v>
      </c>
      <c r="AD5447" s="17" t="s">
        <v>2298</v>
      </c>
      <c r="AE5447" s="145" t="s">
        <v>1614</v>
      </c>
      <c r="AF5447" s="146"/>
      <c r="AG5447" s="146"/>
      <c r="AH5447" s="146"/>
      <c r="AI5447" s="147"/>
      <c r="AJ5447" s="148"/>
      <c r="AK5447" s="143"/>
      <c r="AL5447" s="144"/>
      <c r="AM5447" s="22"/>
      <c r="AN5447" s="149"/>
      <c r="AO5447" s="144"/>
      <c r="AP5447" s="148"/>
      <c r="AQ5447" s="144"/>
      <c r="AR5447" s="120"/>
      <c r="AS5447" s="121"/>
      <c r="AT5447" s="120"/>
      <c r="AU5447" s="121"/>
      <c r="AV5447" s="120"/>
      <c r="AW5447" s="121"/>
      <c r="AX5447" s="120"/>
      <c r="AY5447" s="121"/>
      <c r="AZ5447" s="138"/>
    </row>
    <row r="5448" spans="1:52" ht="17.100000000000001" customHeight="1" thickTop="1">
      <c r="A5448" s="151" t="s">
        <v>15904</v>
      </c>
      <c r="B5448" s="28">
        <v>46045</v>
      </c>
      <c r="C5448" s="25"/>
      <c r="D5448" s="13" t="s">
        <v>1688</v>
      </c>
      <c r="E5448" s="111"/>
      <c r="F5448" s="113" t="s">
        <v>16025</v>
      </c>
      <c r="G5448" s="114"/>
      <c r="H5448" s="115"/>
      <c r="I5448" s="24" t="s">
        <v>12024</v>
      </c>
      <c r="J5448" s="116">
        <v>4.5</v>
      </c>
      <c r="K5448" s="118">
        <v>975000</v>
      </c>
      <c r="L5448" s="119"/>
      <c r="M5448" s="118">
        <f t="shared" ref="M5448" si="6841">K5448*0.1</f>
        <v>97500</v>
      </c>
      <c r="N5448" s="119"/>
      <c r="O5448" s="118">
        <v>0</v>
      </c>
      <c r="P5448" s="119"/>
      <c r="Q5448" s="118">
        <v>8200</v>
      </c>
      <c r="R5448" s="119"/>
      <c r="S5448" s="118">
        <v>0</v>
      </c>
      <c r="T5448" s="119"/>
      <c r="U5448" s="118">
        <f t="shared" ref="U5448" si="6842">SUM(K5448:T5449)</f>
        <v>1080700</v>
      </c>
      <c r="V5448" s="122"/>
      <c r="W5448" s="124"/>
      <c r="X5448" s="126" t="s">
        <v>17750</v>
      </c>
      <c r="Y5448" s="127"/>
      <c r="Z5448" s="127"/>
      <c r="AA5448" s="127"/>
      <c r="AB5448" s="128"/>
      <c r="AC5448" s="15" t="s">
        <v>20</v>
      </c>
      <c r="AD5448" s="129" t="s">
        <v>4435</v>
      </c>
      <c r="AE5448" s="130"/>
      <c r="AF5448" s="130"/>
      <c r="AG5448" s="130"/>
      <c r="AH5448" s="130"/>
      <c r="AI5448" s="131"/>
      <c r="AJ5448" s="132" t="s">
        <v>18754</v>
      </c>
      <c r="AK5448" s="127"/>
      <c r="AL5448" s="128"/>
      <c r="AM5448" s="21"/>
      <c r="AN5448" s="133"/>
      <c r="AO5448" s="134"/>
      <c r="AP5448" s="135"/>
      <c r="AQ5448" s="136"/>
      <c r="AR5448" s="118"/>
      <c r="AS5448" s="119"/>
      <c r="AT5448" s="118">
        <f t="shared" ref="AT5448" si="6843">AR5448*0.1</f>
        <v>0</v>
      </c>
      <c r="AU5448" s="119"/>
      <c r="AV5448" s="118"/>
      <c r="AW5448" s="119"/>
      <c r="AX5448" s="118">
        <f t="shared" ref="AX5448" si="6844">SUM(AR5448:AW5448)</f>
        <v>0</v>
      </c>
      <c r="AY5448" s="119"/>
      <c r="AZ5448" s="137"/>
    </row>
    <row r="5449" spans="1:52" ht="17.100000000000001" customHeight="1" thickBot="1">
      <c r="A5449" s="152"/>
      <c r="B5449" s="27" t="s">
        <v>1718</v>
      </c>
      <c r="C5449" s="27" t="s">
        <v>15931</v>
      </c>
      <c r="D5449" s="14" t="s">
        <v>904</v>
      </c>
      <c r="E5449" s="112"/>
      <c r="F5449" s="139" t="s">
        <v>15932</v>
      </c>
      <c r="G5449" s="140"/>
      <c r="H5449" s="141"/>
      <c r="I5449" s="26">
        <v>38657</v>
      </c>
      <c r="J5449" s="117"/>
      <c r="K5449" s="120"/>
      <c r="L5449" s="121"/>
      <c r="M5449" s="120"/>
      <c r="N5449" s="121"/>
      <c r="O5449" s="120"/>
      <c r="P5449" s="121"/>
      <c r="Q5449" s="120"/>
      <c r="R5449" s="121"/>
      <c r="S5449" s="120"/>
      <c r="T5449" s="121"/>
      <c r="U5449" s="120"/>
      <c r="V5449" s="123"/>
      <c r="W5449" s="125"/>
      <c r="X5449" s="142" t="s">
        <v>17751</v>
      </c>
      <c r="Y5449" s="143"/>
      <c r="Z5449" s="143"/>
      <c r="AA5449" s="143"/>
      <c r="AB5449" s="144"/>
      <c r="AC5449" s="16" t="s">
        <v>21</v>
      </c>
      <c r="AD5449" s="17" t="s">
        <v>3577</v>
      </c>
      <c r="AE5449" s="145" t="s">
        <v>171</v>
      </c>
      <c r="AF5449" s="146"/>
      <c r="AG5449" s="146"/>
      <c r="AH5449" s="146"/>
      <c r="AI5449" s="147"/>
      <c r="AJ5449" s="148"/>
      <c r="AK5449" s="143"/>
      <c r="AL5449" s="144"/>
      <c r="AM5449" s="22"/>
      <c r="AN5449" s="149"/>
      <c r="AO5449" s="144"/>
      <c r="AP5449" s="148"/>
      <c r="AQ5449" s="144"/>
      <c r="AR5449" s="120"/>
      <c r="AS5449" s="121"/>
      <c r="AT5449" s="120"/>
      <c r="AU5449" s="121"/>
      <c r="AV5449" s="120"/>
      <c r="AW5449" s="121"/>
      <c r="AX5449" s="120"/>
      <c r="AY5449" s="121"/>
      <c r="AZ5449" s="138"/>
    </row>
    <row r="5450" spans="1:52" ht="17.100000000000001" customHeight="1" thickTop="1">
      <c r="A5450" s="151" t="s">
        <v>15905</v>
      </c>
      <c r="B5450" s="28">
        <v>46045</v>
      </c>
      <c r="C5450" s="25"/>
      <c r="D5450" s="13" t="s">
        <v>1606</v>
      </c>
      <c r="E5450" s="111"/>
      <c r="F5450" s="113" t="s">
        <v>16026</v>
      </c>
      <c r="G5450" s="114"/>
      <c r="H5450" s="115"/>
      <c r="I5450" s="24" t="s">
        <v>16027</v>
      </c>
      <c r="J5450" s="116">
        <v>3.5</v>
      </c>
      <c r="K5450" s="118">
        <v>619000</v>
      </c>
      <c r="L5450" s="119"/>
      <c r="M5450" s="118">
        <f t="shared" ref="M5450" si="6845">K5450*0.1</f>
        <v>61900</v>
      </c>
      <c r="N5450" s="119"/>
      <c r="O5450" s="118">
        <v>0</v>
      </c>
      <c r="P5450" s="119"/>
      <c r="Q5450" s="118">
        <v>9790</v>
      </c>
      <c r="R5450" s="119"/>
      <c r="S5450" s="118">
        <v>0</v>
      </c>
      <c r="T5450" s="119"/>
      <c r="U5450" s="118">
        <f t="shared" ref="U5450" si="6846">SUM(K5450:T5451)</f>
        <v>690690</v>
      </c>
      <c r="V5450" s="122"/>
      <c r="W5450" s="124"/>
      <c r="X5450" s="126" t="s">
        <v>16571</v>
      </c>
      <c r="Y5450" s="127"/>
      <c r="Z5450" s="127"/>
      <c r="AA5450" s="127"/>
      <c r="AB5450" s="128"/>
      <c r="AC5450" s="15" t="s">
        <v>20</v>
      </c>
      <c r="AD5450" s="129" t="s">
        <v>4435</v>
      </c>
      <c r="AE5450" s="130"/>
      <c r="AF5450" s="130"/>
      <c r="AG5450" s="130"/>
      <c r="AH5450" s="130"/>
      <c r="AI5450" s="131"/>
      <c r="AJ5450" s="132" t="s">
        <v>18047</v>
      </c>
      <c r="AK5450" s="127"/>
      <c r="AL5450" s="128"/>
      <c r="AM5450" s="21"/>
      <c r="AN5450" s="133"/>
      <c r="AO5450" s="134"/>
      <c r="AP5450" s="135"/>
      <c r="AQ5450" s="136"/>
      <c r="AR5450" s="118"/>
      <c r="AS5450" s="119"/>
      <c r="AT5450" s="118">
        <f t="shared" ref="AT5450" si="6847">AR5450*0.1</f>
        <v>0</v>
      </c>
      <c r="AU5450" s="119"/>
      <c r="AV5450" s="118"/>
      <c r="AW5450" s="119"/>
      <c r="AX5450" s="118">
        <f t="shared" ref="AX5450" si="6848">SUM(AR5450:AW5450)</f>
        <v>0</v>
      </c>
      <c r="AY5450" s="119"/>
      <c r="AZ5450" s="137"/>
    </row>
    <row r="5451" spans="1:52" ht="17.100000000000001" customHeight="1" thickBot="1">
      <c r="A5451" s="152"/>
      <c r="B5451" s="27" t="s">
        <v>1718</v>
      </c>
      <c r="C5451" s="27" t="s">
        <v>15933</v>
      </c>
      <c r="D5451" s="14" t="s">
        <v>1592</v>
      </c>
      <c r="E5451" s="112"/>
      <c r="F5451" s="139" t="s">
        <v>15934</v>
      </c>
      <c r="G5451" s="140"/>
      <c r="H5451" s="141"/>
      <c r="I5451" s="26">
        <v>59079</v>
      </c>
      <c r="J5451" s="117"/>
      <c r="K5451" s="120"/>
      <c r="L5451" s="121"/>
      <c r="M5451" s="120"/>
      <c r="N5451" s="121"/>
      <c r="O5451" s="120"/>
      <c r="P5451" s="121"/>
      <c r="Q5451" s="120"/>
      <c r="R5451" s="121"/>
      <c r="S5451" s="120"/>
      <c r="T5451" s="121"/>
      <c r="U5451" s="120"/>
      <c r="V5451" s="123"/>
      <c r="W5451" s="125"/>
      <c r="X5451" s="142" t="s">
        <v>16572</v>
      </c>
      <c r="Y5451" s="143"/>
      <c r="Z5451" s="143"/>
      <c r="AA5451" s="143"/>
      <c r="AB5451" s="144"/>
      <c r="AC5451" s="16" t="s">
        <v>21</v>
      </c>
      <c r="AD5451" s="17" t="s">
        <v>2316</v>
      </c>
      <c r="AE5451" s="145" t="s">
        <v>16573</v>
      </c>
      <c r="AF5451" s="146"/>
      <c r="AG5451" s="146"/>
      <c r="AH5451" s="146"/>
      <c r="AI5451" s="147"/>
      <c r="AJ5451" s="148"/>
      <c r="AK5451" s="143"/>
      <c r="AL5451" s="144"/>
      <c r="AM5451" s="22"/>
      <c r="AN5451" s="149"/>
      <c r="AO5451" s="144"/>
      <c r="AP5451" s="148"/>
      <c r="AQ5451" s="144"/>
      <c r="AR5451" s="120"/>
      <c r="AS5451" s="121"/>
      <c r="AT5451" s="120"/>
      <c r="AU5451" s="121"/>
      <c r="AV5451" s="120"/>
      <c r="AW5451" s="121"/>
      <c r="AX5451" s="120"/>
      <c r="AY5451" s="121"/>
      <c r="AZ5451" s="138"/>
    </row>
    <row r="5452" spans="1:52" ht="17.100000000000001" customHeight="1" thickTop="1">
      <c r="A5452" s="109" t="s">
        <v>15906</v>
      </c>
      <c r="B5452" s="28">
        <v>46045</v>
      </c>
      <c r="C5452" s="25"/>
      <c r="D5452" s="13" t="s">
        <v>900</v>
      </c>
      <c r="E5452" s="111"/>
      <c r="F5452" s="113" t="s">
        <v>16028</v>
      </c>
      <c r="G5452" s="114"/>
      <c r="H5452" s="115"/>
      <c r="I5452" s="24" t="s">
        <v>16029</v>
      </c>
      <c r="J5452" s="116">
        <v>0</v>
      </c>
      <c r="K5452" s="118">
        <v>69000</v>
      </c>
      <c r="L5452" s="119"/>
      <c r="M5452" s="118">
        <f t="shared" ref="M5452" si="6849">K5452*0.1</f>
        <v>6900</v>
      </c>
      <c r="N5452" s="119"/>
      <c r="O5452" s="118">
        <v>0</v>
      </c>
      <c r="P5452" s="119"/>
      <c r="Q5452" s="118">
        <v>8490</v>
      </c>
      <c r="R5452" s="119"/>
      <c r="S5452" s="118">
        <v>0</v>
      </c>
      <c r="T5452" s="119"/>
      <c r="U5452" s="118">
        <f t="shared" ref="U5452" si="6850">SUM(K5452:T5453)</f>
        <v>84390</v>
      </c>
      <c r="V5452" s="122"/>
      <c r="W5452" s="124"/>
      <c r="X5452" s="126" t="s">
        <v>19176</v>
      </c>
      <c r="Y5452" s="127"/>
      <c r="Z5452" s="127"/>
      <c r="AA5452" s="127"/>
      <c r="AB5452" s="128"/>
      <c r="AC5452" s="15" t="s">
        <v>20</v>
      </c>
      <c r="AD5452" s="129" t="s">
        <v>186</v>
      </c>
      <c r="AE5452" s="130"/>
      <c r="AF5452" s="130"/>
      <c r="AG5452" s="130"/>
      <c r="AH5452" s="130"/>
      <c r="AI5452" s="131"/>
      <c r="AJ5452" s="132"/>
      <c r="AK5452" s="127"/>
      <c r="AL5452" s="128"/>
      <c r="AM5452" s="21"/>
      <c r="AN5452" s="133">
        <v>46088</v>
      </c>
      <c r="AO5452" s="134"/>
      <c r="AP5452" s="135">
        <v>1291</v>
      </c>
      <c r="AQ5452" s="136"/>
      <c r="AR5452" s="118">
        <v>88000</v>
      </c>
      <c r="AS5452" s="119"/>
      <c r="AT5452" s="118">
        <f t="shared" ref="AT5452" si="6851">AR5452*0.1</f>
        <v>8800</v>
      </c>
      <c r="AU5452" s="119"/>
      <c r="AV5452" s="118">
        <v>8490</v>
      </c>
      <c r="AW5452" s="119"/>
      <c r="AX5452" s="118">
        <f t="shared" ref="AX5452" si="6852">SUM(AR5452:AW5452)</f>
        <v>105290</v>
      </c>
      <c r="AY5452" s="119"/>
      <c r="AZ5452" s="137">
        <v>46091</v>
      </c>
    </row>
    <row r="5453" spans="1:52" ht="17.100000000000001" customHeight="1" thickBot="1">
      <c r="A5453" s="110"/>
      <c r="B5453" s="27" t="s">
        <v>1718</v>
      </c>
      <c r="C5453" s="27" t="s">
        <v>15935</v>
      </c>
      <c r="D5453" s="14" t="s">
        <v>904</v>
      </c>
      <c r="E5453" s="112"/>
      <c r="F5453" s="139" t="s">
        <v>15936</v>
      </c>
      <c r="G5453" s="140"/>
      <c r="H5453" s="141"/>
      <c r="I5453" s="26">
        <v>73017</v>
      </c>
      <c r="J5453" s="117"/>
      <c r="K5453" s="120"/>
      <c r="L5453" s="121"/>
      <c r="M5453" s="120"/>
      <c r="N5453" s="121"/>
      <c r="O5453" s="120"/>
      <c r="P5453" s="121"/>
      <c r="Q5453" s="120"/>
      <c r="R5453" s="121"/>
      <c r="S5453" s="120"/>
      <c r="T5453" s="121"/>
      <c r="U5453" s="120"/>
      <c r="V5453" s="123"/>
      <c r="W5453" s="125"/>
      <c r="X5453" s="142" t="s">
        <v>13389</v>
      </c>
      <c r="Y5453" s="143"/>
      <c r="Z5453" s="143"/>
      <c r="AA5453" s="143"/>
      <c r="AB5453" s="144"/>
      <c r="AC5453" s="16" t="s">
        <v>21</v>
      </c>
      <c r="AD5453" s="17" t="s">
        <v>1714</v>
      </c>
      <c r="AE5453" s="145" t="s">
        <v>1614</v>
      </c>
      <c r="AF5453" s="146"/>
      <c r="AG5453" s="146"/>
      <c r="AH5453" s="146"/>
      <c r="AI5453" s="147"/>
      <c r="AJ5453" s="148"/>
      <c r="AK5453" s="143"/>
      <c r="AL5453" s="144"/>
      <c r="AM5453" s="22"/>
      <c r="AN5453" s="149" t="s">
        <v>2511</v>
      </c>
      <c r="AO5453" s="144"/>
      <c r="AP5453" s="148">
        <v>90287</v>
      </c>
      <c r="AQ5453" s="144"/>
      <c r="AR5453" s="120"/>
      <c r="AS5453" s="121"/>
      <c r="AT5453" s="120"/>
      <c r="AU5453" s="121"/>
      <c r="AV5453" s="120"/>
      <c r="AW5453" s="121"/>
      <c r="AX5453" s="120"/>
      <c r="AY5453" s="121"/>
      <c r="AZ5453" s="138"/>
    </row>
    <row r="5454" spans="1:52" ht="17.100000000000001" customHeight="1" thickTop="1">
      <c r="A5454" s="109" t="s">
        <v>15959</v>
      </c>
      <c r="B5454" s="28">
        <v>46046</v>
      </c>
      <c r="C5454" s="25">
        <v>1007</v>
      </c>
      <c r="D5454" s="13" t="s">
        <v>2298</v>
      </c>
      <c r="E5454" s="111"/>
      <c r="F5454" s="113" t="s">
        <v>15293</v>
      </c>
      <c r="G5454" s="114"/>
      <c r="H5454" s="115"/>
      <c r="I5454" s="24"/>
      <c r="J5454" s="116">
        <v>4.5</v>
      </c>
      <c r="K5454" s="118">
        <v>1300000</v>
      </c>
      <c r="L5454" s="119"/>
      <c r="M5454" s="118">
        <f t="shared" ref="M5454" si="6853">K5454*0.1</f>
        <v>130000</v>
      </c>
      <c r="N5454" s="119"/>
      <c r="O5454" s="118">
        <v>0</v>
      </c>
      <c r="P5454" s="119"/>
      <c r="Q5454" s="118">
        <v>16240</v>
      </c>
      <c r="R5454" s="119"/>
      <c r="S5454" s="118">
        <v>15950</v>
      </c>
      <c r="T5454" s="119"/>
      <c r="U5454" s="118">
        <f t="shared" ref="U5454" si="6854">SUM(K5454:T5455)</f>
        <v>1462190</v>
      </c>
      <c r="V5454" s="122"/>
      <c r="W5454" s="124"/>
      <c r="X5454" s="126" t="s">
        <v>16365</v>
      </c>
      <c r="Y5454" s="127"/>
      <c r="Z5454" s="127"/>
      <c r="AA5454" s="127"/>
      <c r="AB5454" s="128"/>
      <c r="AC5454" s="15" t="s">
        <v>20</v>
      </c>
      <c r="AD5454" s="129" t="s">
        <v>1670</v>
      </c>
      <c r="AE5454" s="130"/>
      <c r="AF5454" s="130"/>
      <c r="AG5454" s="130"/>
      <c r="AH5454" s="130"/>
      <c r="AI5454" s="131"/>
      <c r="AJ5454" s="132"/>
      <c r="AK5454" s="127"/>
      <c r="AL5454" s="128"/>
      <c r="AM5454" s="21"/>
      <c r="AN5454" s="133">
        <v>46067</v>
      </c>
      <c r="AO5454" s="134"/>
      <c r="AP5454" s="135">
        <v>1288</v>
      </c>
      <c r="AQ5454" s="136"/>
      <c r="AR5454" s="118">
        <v>1440000</v>
      </c>
      <c r="AS5454" s="119"/>
      <c r="AT5454" s="118">
        <f t="shared" ref="AT5454" si="6855">AR5454*0.1</f>
        <v>144000</v>
      </c>
      <c r="AU5454" s="119"/>
      <c r="AV5454" s="118">
        <v>16240</v>
      </c>
      <c r="AW5454" s="119"/>
      <c r="AX5454" s="118">
        <f t="shared" ref="AX5454" si="6856">SUM(AR5454:AW5454)</f>
        <v>1600240</v>
      </c>
      <c r="AY5454" s="119"/>
      <c r="AZ5454" s="137">
        <v>46070</v>
      </c>
    </row>
    <row r="5455" spans="1:52" ht="17.100000000000001" customHeight="1" thickBot="1">
      <c r="A5455" s="110"/>
      <c r="B5455" s="27" t="s">
        <v>1707</v>
      </c>
      <c r="C5455" s="27">
        <v>5075</v>
      </c>
      <c r="D5455" s="14" t="s">
        <v>1812</v>
      </c>
      <c r="E5455" s="112"/>
      <c r="F5455" s="139" t="s">
        <v>15960</v>
      </c>
      <c r="G5455" s="140"/>
      <c r="H5455" s="141"/>
      <c r="I5455" s="26">
        <v>43648</v>
      </c>
      <c r="J5455" s="117"/>
      <c r="K5455" s="120"/>
      <c r="L5455" s="121"/>
      <c r="M5455" s="120"/>
      <c r="N5455" s="121"/>
      <c r="O5455" s="120"/>
      <c r="P5455" s="121"/>
      <c r="Q5455" s="120"/>
      <c r="R5455" s="121"/>
      <c r="S5455" s="120"/>
      <c r="T5455" s="121"/>
      <c r="U5455" s="120"/>
      <c r="V5455" s="123"/>
      <c r="W5455" s="125"/>
      <c r="X5455" s="142" t="s">
        <v>12691</v>
      </c>
      <c r="Y5455" s="143"/>
      <c r="Z5455" s="143"/>
      <c r="AA5455" s="143"/>
      <c r="AB5455" s="144"/>
      <c r="AC5455" s="16" t="s">
        <v>21</v>
      </c>
      <c r="AD5455" s="17" t="s">
        <v>1837</v>
      </c>
      <c r="AE5455" s="145" t="s">
        <v>9056</v>
      </c>
      <c r="AF5455" s="146"/>
      <c r="AG5455" s="146"/>
      <c r="AH5455" s="146"/>
      <c r="AI5455" s="147"/>
      <c r="AJ5455" s="148"/>
      <c r="AK5455" s="143"/>
      <c r="AL5455" s="144"/>
      <c r="AM5455" s="22"/>
      <c r="AN5455" s="149" t="s">
        <v>6748</v>
      </c>
      <c r="AO5455" s="144"/>
      <c r="AP5455" s="148">
        <v>80218</v>
      </c>
      <c r="AQ5455" s="144"/>
      <c r="AR5455" s="120"/>
      <c r="AS5455" s="121"/>
      <c r="AT5455" s="120"/>
      <c r="AU5455" s="121"/>
      <c r="AV5455" s="120"/>
      <c r="AW5455" s="121"/>
      <c r="AX5455" s="120"/>
      <c r="AY5455" s="121"/>
      <c r="AZ5455" s="138"/>
    </row>
    <row r="5456" spans="1:52" ht="17.100000000000001" customHeight="1" thickTop="1">
      <c r="A5456" s="109" t="s">
        <v>15961</v>
      </c>
      <c r="B5456" s="28">
        <v>46046</v>
      </c>
      <c r="C5456" s="25">
        <v>296</v>
      </c>
      <c r="D5456" s="13" t="s">
        <v>1714</v>
      </c>
      <c r="E5456" s="111"/>
      <c r="F5456" s="113" t="s">
        <v>15962</v>
      </c>
      <c r="G5456" s="114"/>
      <c r="H5456" s="115"/>
      <c r="I5456" s="24"/>
      <c r="J5456" s="116">
        <v>4</v>
      </c>
      <c r="K5456" s="118">
        <v>1164000</v>
      </c>
      <c r="L5456" s="119"/>
      <c r="M5456" s="118">
        <f t="shared" ref="M5456" si="6857">K5456*0.1</f>
        <v>116400</v>
      </c>
      <c r="N5456" s="119"/>
      <c r="O5456" s="118">
        <v>0</v>
      </c>
      <c r="P5456" s="119"/>
      <c r="Q5456" s="118">
        <v>8390</v>
      </c>
      <c r="R5456" s="119"/>
      <c r="S5456" s="118">
        <v>15950</v>
      </c>
      <c r="T5456" s="119"/>
      <c r="U5456" s="118">
        <f t="shared" ref="U5456" si="6858">SUM(K5456:T5457)</f>
        <v>1304740</v>
      </c>
      <c r="V5456" s="122"/>
      <c r="W5456" s="124"/>
      <c r="X5456" s="126" t="s">
        <v>16353</v>
      </c>
      <c r="Y5456" s="127"/>
      <c r="Z5456" s="127"/>
      <c r="AA5456" s="127"/>
      <c r="AB5456" s="128"/>
      <c r="AC5456" s="15" t="s">
        <v>20</v>
      </c>
      <c r="AD5456" s="129" t="s">
        <v>1670</v>
      </c>
      <c r="AE5456" s="130"/>
      <c r="AF5456" s="130"/>
      <c r="AG5456" s="130"/>
      <c r="AH5456" s="130"/>
      <c r="AI5456" s="131"/>
      <c r="AJ5456" s="132"/>
      <c r="AK5456" s="127"/>
      <c r="AL5456" s="128"/>
      <c r="AM5456" s="21"/>
      <c r="AN5456" s="133"/>
      <c r="AO5456" s="134"/>
      <c r="AP5456" s="135"/>
      <c r="AQ5456" s="136"/>
      <c r="AR5456" s="118"/>
      <c r="AS5456" s="119"/>
      <c r="AT5456" s="118">
        <f t="shared" ref="AT5456" si="6859">AR5456*0.1</f>
        <v>0</v>
      </c>
      <c r="AU5456" s="119"/>
      <c r="AV5456" s="118"/>
      <c r="AW5456" s="119"/>
      <c r="AX5456" s="118">
        <f t="shared" ref="AX5456" si="6860">SUM(AR5456:AW5456)</f>
        <v>0</v>
      </c>
      <c r="AY5456" s="119"/>
      <c r="AZ5456" s="137"/>
    </row>
    <row r="5457" spans="1:52" ht="17.100000000000001" customHeight="1" thickBot="1">
      <c r="A5457" s="110"/>
      <c r="B5457" s="27" t="s">
        <v>3574</v>
      </c>
      <c r="C5457" s="27">
        <v>3057</v>
      </c>
      <c r="D5457" s="14" t="s">
        <v>2601</v>
      </c>
      <c r="E5457" s="112"/>
      <c r="F5457" s="139" t="s">
        <v>15963</v>
      </c>
      <c r="G5457" s="140"/>
      <c r="H5457" s="141"/>
      <c r="I5457" s="26">
        <v>56009</v>
      </c>
      <c r="J5457" s="117"/>
      <c r="K5457" s="120"/>
      <c r="L5457" s="121"/>
      <c r="M5457" s="120"/>
      <c r="N5457" s="121"/>
      <c r="O5457" s="120"/>
      <c r="P5457" s="121"/>
      <c r="Q5457" s="120"/>
      <c r="R5457" s="121"/>
      <c r="S5457" s="120"/>
      <c r="T5457" s="121"/>
      <c r="U5457" s="120"/>
      <c r="V5457" s="123"/>
      <c r="W5457" s="125"/>
      <c r="X5457" s="142" t="s">
        <v>8523</v>
      </c>
      <c r="Y5457" s="143"/>
      <c r="Z5457" s="143"/>
      <c r="AA5457" s="143"/>
      <c r="AB5457" s="144"/>
      <c r="AC5457" s="16" t="s">
        <v>21</v>
      </c>
      <c r="AD5457" s="17" t="s">
        <v>1837</v>
      </c>
      <c r="AE5457" s="145" t="s">
        <v>9056</v>
      </c>
      <c r="AF5457" s="146"/>
      <c r="AG5457" s="146"/>
      <c r="AH5457" s="146"/>
      <c r="AI5457" s="147"/>
      <c r="AJ5457" s="148"/>
      <c r="AK5457" s="143"/>
      <c r="AL5457" s="144"/>
      <c r="AM5457" s="22"/>
      <c r="AN5457" s="149"/>
      <c r="AO5457" s="144"/>
      <c r="AP5457" s="148"/>
      <c r="AQ5457" s="144"/>
      <c r="AR5457" s="120"/>
      <c r="AS5457" s="121"/>
      <c r="AT5457" s="120"/>
      <c r="AU5457" s="121"/>
      <c r="AV5457" s="120"/>
      <c r="AW5457" s="121"/>
      <c r="AX5457" s="120"/>
      <c r="AY5457" s="121"/>
      <c r="AZ5457" s="138"/>
    </row>
    <row r="5458" spans="1:52" ht="17.100000000000001" customHeight="1" thickTop="1">
      <c r="A5458" s="109" t="s">
        <v>16030</v>
      </c>
      <c r="B5458" s="28">
        <v>46046</v>
      </c>
      <c r="C5458" s="25">
        <v>1450</v>
      </c>
      <c r="D5458" s="13" t="s">
        <v>1853</v>
      </c>
      <c r="E5458" s="111"/>
      <c r="F5458" s="113" t="s">
        <v>16043</v>
      </c>
      <c r="G5458" s="114"/>
      <c r="H5458" s="115"/>
      <c r="I5458" s="24"/>
      <c r="J5458" s="116">
        <v>4.5</v>
      </c>
      <c r="K5458" s="118">
        <v>1055000</v>
      </c>
      <c r="L5458" s="119"/>
      <c r="M5458" s="118">
        <f t="shared" ref="M5458" si="6861">K5458*0.1</f>
        <v>105500</v>
      </c>
      <c r="N5458" s="119"/>
      <c r="O5458" s="118">
        <v>0</v>
      </c>
      <c r="P5458" s="119"/>
      <c r="Q5458" s="118">
        <v>17250</v>
      </c>
      <c r="R5458" s="119"/>
      <c r="S5458" s="118">
        <v>16500</v>
      </c>
      <c r="T5458" s="119"/>
      <c r="U5458" s="118">
        <f t="shared" ref="U5458" si="6862">SUM(K5458:T5459)</f>
        <v>1194250</v>
      </c>
      <c r="V5458" s="122"/>
      <c r="W5458" s="124"/>
      <c r="X5458" s="126" t="s">
        <v>16359</v>
      </c>
      <c r="Y5458" s="127"/>
      <c r="Z5458" s="127"/>
      <c r="AA5458" s="127"/>
      <c r="AB5458" s="128"/>
      <c r="AC5458" s="15" t="s">
        <v>20</v>
      </c>
      <c r="AD5458" s="129"/>
      <c r="AE5458" s="130"/>
      <c r="AF5458" s="130"/>
      <c r="AG5458" s="130"/>
      <c r="AH5458" s="130"/>
      <c r="AI5458" s="131"/>
      <c r="AJ5458" s="132"/>
      <c r="AK5458" s="127"/>
      <c r="AL5458" s="128"/>
      <c r="AM5458" s="21"/>
      <c r="AN5458" s="133">
        <v>46065</v>
      </c>
      <c r="AO5458" s="134"/>
      <c r="AP5458" s="135">
        <v>1318</v>
      </c>
      <c r="AQ5458" s="136"/>
      <c r="AR5458" s="118">
        <v>1190000</v>
      </c>
      <c r="AS5458" s="119"/>
      <c r="AT5458" s="118">
        <f t="shared" ref="AT5458" si="6863">AR5458*0.1</f>
        <v>119000</v>
      </c>
      <c r="AU5458" s="119"/>
      <c r="AV5458" s="118">
        <v>17250</v>
      </c>
      <c r="AW5458" s="119"/>
      <c r="AX5458" s="118">
        <f t="shared" ref="AX5458" si="6864">SUM(AR5458:AW5458)</f>
        <v>1326250</v>
      </c>
      <c r="AY5458" s="119"/>
      <c r="AZ5458" s="137">
        <v>46066</v>
      </c>
    </row>
    <row r="5459" spans="1:52" ht="17.100000000000001" customHeight="1" thickBot="1">
      <c r="A5459" s="110"/>
      <c r="B5459" s="27" t="s">
        <v>1779</v>
      </c>
      <c r="C5459" s="27">
        <v>6026</v>
      </c>
      <c r="D5459" s="14" t="s">
        <v>2800</v>
      </c>
      <c r="E5459" s="112"/>
      <c r="F5459" s="139" t="s">
        <v>16064</v>
      </c>
      <c r="G5459" s="140"/>
      <c r="H5459" s="141"/>
      <c r="I5459" s="26">
        <v>23354</v>
      </c>
      <c r="J5459" s="117"/>
      <c r="K5459" s="120"/>
      <c r="L5459" s="121"/>
      <c r="M5459" s="120"/>
      <c r="N5459" s="121"/>
      <c r="O5459" s="120"/>
      <c r="P5459" s="121"/>
      <c r="Q5459" s="120"/>
      <c r="R5459" s="121"/>
      <c r="S5459" s="120"/>
      <c r="T5459" s="121"/>
      <c r="U5459" s="120"/>
      <c r="V5459" s="123"/>
      <c r="W5459" s="125"/>
      <c r="X5459" s="142" t="s">
        <v>10691</v>
      </c>
      <c r="Y5459" s="143"/>
      <c r="Z5459" s="143"/>
      <c r="AA5459" s="143"/>
      <c r="AB5459" s="144"/>
      <c r="AC5459" s="16" t="s">
        <v>21</v>
      </c>
      <c r="AD5459" s="17" t="s">
        <v>1837</v>
      </c>
      <c r="AE5459" s="145" t="s">
        <v>7861</v>
      </c>
      <c r="AF5459" s="146"/>
      <c r="AG5459" s="146"/>
      <c r="AH5459" s="146"/>
      <c r="AI5459" s="147"/>
      <c r="AJ5459" s="148"/>
      <c r="AK5459" s="143"/>
      <c r="AL5459" s="144"/>
      <c r="AM5459" s="22"/>
      <c r="AN5459" s="149" t="s">
        <v>13663</v>
      </c>
      <c r="AO5459" s="144"/>
      <c r="AP5459" s="148">
        <v>26</v>
      </c>
      <c r="AQ5459" s="144"/>
      <c r="AR5459" s="120"/>
      <c r="AS5459" s="121"/>
      <c r="AT5459" s="120"/>
      <c r="AU5459" s="121"/>
      <c r="AV5459" s="120"/>
      <c r="AW5459" s="121"/>
      <c r="AX5459" s="120"/>
      <c r="AY5459" s="121"/>
      <c r="AZ5459" s="138"/>
    </row>
    <row r="5460" spans="1:52" ht="17.100000000000001" customHeight="1" thickTop="1">
      <c r="A5460" s="109" t="s">
        <v>16031</v>
      </c>
      <c r="B5460" s="28">
        <v>46046</v>
      </c>
      <c r="C5460" s="25">
        <v>1450</v>
      </c>
      <c r="D5460" s="13" t="s">
        <v>2759</v>
      </c>
      <c r="E5460" s="111"/>
      <c r="F5460" s="113" t="s">
        <v>15886</v>
      </c>
      <c r="G5460" s="114"/>
      <c r="H5460" s="115"/>
      <c r="I5460" s="24" t="s">
        <v>5124</v>
      </c>
      <c r="J5460" s="116">
        <v>4.5</v>
      </c>
      <c r="K5460" s="118">
        <v>1340000</v>
      </c>
      <c r="L5460" s="119"/>
      <c r="M5460" s="118">
        <f t="shared" ref="M5460" si="6865">K5460*0.1</f>
        <v>134000</v>
      </c>
      <c r="N5460" s="119"/>
      <c r="O5460" s="118">
        <v>6600</v>
      </c>
      <c r="P5460" s="119"/>
      <c r="Q5460" s="118">
        <v>17800</v>
      </c>
      <c r="R5460" s="119"/>
      <c r="S5460" s="118">
        <v>16500</v>
      </c>
      <c r="T5460" s="119"/>
      <c r="U5460" s="118">
        <f t="shared" ref="U5460" si="6866">SUM(K5460:T5461)</f>
        <v>1514900</v>
      </c>
      <c r="V5460" s="122"/>
      <c r="W5460" s="124"/>
      <c r="X5460" s="126" t="s">
        <v>16066</v>
      </c>
      <c r="Y5460" s="127"/>
      <c r="Z5460" s="127"/>
      <c r="AA5460" s="127"/>
      <c r="AB5460" s="128"/>
      <c r="AC5460" s="15" t="s">
        <v>20</v>
      </c>
      <c r="AD5460" s="129" t="s">
        <v>16067</v>
      </c>
      <c r="AE5460" s="130"/>
      <c r="AF5460" s="130"/>
      <c r="AG5460" s="130"/>
      <c r="AH5460" s="130"/>
      <c r="AI5460" s="131"/>
      <c r="AJ5460" s="132"/>
      <c r="AK5460" s="127"/>
      <c r="AL5460" s="128"/>
      <c r="AM5460" s="21" t="s">
        <v>17435</v>
      </c>
      <c r="AN5460" s="133">
        <v>46067</v>
      </c>
      <c r="AO5460" s="134"/>
      <c r="AP5460" s="135">
        <v>1288</v>
      </c>
      <c r="AQ5460" s="136"/>
      <c r="AR5460" s="118">
        <v>1410000</v>
      </c>
      <c r="AS5460" s="119"/>
      <c r="AT5460" s="118">
        <f t="shared" ref="AT5460" si="6867">AR5460*0.1</f>
        <v>141000</v>
      </c>
      <c r="AU5460" s="119"/>
      <c r="AV5460" s="118">
        <v>17800</v>
      </c>
      <c r="AW5460" s="119"/>
      <c r="AX5460" s="118">
        <f t="shared" ref="AX5460" si="6868">SUM(AR5460:AW5460)</f>
        <v>1568800</v>
      </c>
      <c r="AY5460" s="119"/>
      <c r="AZ5460" s="137">
        <v>46070</v>
      </c>
    </row>
    <row r="5461" spans="1:52" ht="17.100000000000001" customHeight="1" thickBot="1">
      <c r="A5461" s="110"/>
      <c r="B5461" s="27" t="s">
        <v>1779</v>
      </c>
      <c r="C5461" s="27">
        <v>7125</v>
      </c>
      <c r="D5461" s="14" t="s">
        <v>904</v>
      </c>
      <c r="E5461" s="112"/>
      <c r="F5461" s="139" t="s">
        <v>16065</v>
      </c>
      <c r="G5461" s="140"/>
      <c r="H5461" s="141"/>
      <c r="I5461" s="26">
        <v>60365</v>
      </c>
      <c r="J5461" s="117"/>
      <c r="K5461" s="120"/>
      <c r="L5461" s="121"/>
      <c r="M5461" s="120"/>
      <c r="N5461" s="121"/>
      <c r="O5461" s="120"/>
      <c r="P5461" s="121"/>
      <c r="Q5461" s="120"/>
      <c r="R5461" s="121"/>
      <c r="S5461" s="120"/>
      <c r="T5461" s="121"/>
      <c r="U5461" s="120"/>
      <c r="V5461" s="123"/>
      <c r="W5461" s="125"/>
      <c r="X5461" s="142" t="s">
        <v>16424</v>
      </c>
      <c r="Y5461" s="143"/>
      <c r="Z5461" s="143"/>
      <c r="AA5461" s="143"/>
      <c r="AB5461" s="144"/>
      <c r="AC5461" s="16" t="s">
        <v>21</v>
      </c>
      <c r="AD5461" s="17" t="s">
        <v>16392</v>
      </c>
      <c r="AE5461" s="145" t="s">
        <v>18162</v>
      </c>
      <c r="AF5461" s="146"/>
      <c r="AG5461" s="146"/>
      <c r="AH5461" s="146"/>
      <c r="AI5461" s="147"/>
      <c r="AJ5461" s="148"/>
      <c r="AK5461" s="143"/>
      <c r="AL5461" s="144"/>
      <c r="AM5461" s="22"/>
      <c r="AN5461" s="149" t="s">
        <v>2511</v>
      </c>
      <c r="AO5461" s="144"/>
      <c r="AP5461" s="148">
        <v>80093</v>
      </c>
      <c r="AQ5461" s="144"/>
      <c r="AR5461" s="120"/>
      <c r="AS5461" s="121"/>
      <c r="AT5461" s="120"/>
      <c r="AU5461" s="121"/>
      <c r="AV5461" s="120"/>
      <c r="AW5461" s="121"/>
      <c r="AX5461" s="120"/>
      <c r="AY5461" s="121"/>
      <c r="AZ5461" s="138"/>
    </row>
    <row r="5462" spans="1:52" ht="17.100000000000001" customHeight="1" thickTop="1">
      <c r="A5462" s="109" t="s">
        <v>16032</v>
      </c>
      <c r="B5462" s="28">
        <v>46046</v>
      </c>
      <c r="C5462" s="25">
        <v>1285</v>
      </c>
      <c r="D5462" s="13" t="s">
        <v>2036</v>
      </c>
      <c r="E5462" s="111"/>
      <c r="F5462" s="113" t="s">
        <v>16044</v>
      </c>
      <c r="G5462" s="114"/>
      <c r="H5462" s="115"/>
      <c r="I5462" s="24"/>
      <c r="J5462" s="116">
        <v>5</v>
      </c>
      <c r="K5462" s="118">
        <v>4080000</v>
      </c>
      <c r="L5462" s="119"/>
      <c r="M5462" s="118">
        <f t="shared" ref="M5462" si="6869">K5462*0.1</f>
        <v>408000</v>
      </c>
      <c r="N5462" s="119"/>
      <c r="O5462" s="118">
        <v>0</v>
      </c>
      <c r="P5462" s="119"/>
      <c r="Q5462" s="118">
        <v>15540</v>
      </c>
      <c r="R5462" s="119"/>
      <c r="S5462" s="118">
        <v>12100</v>
      </c>
      <c r="T5462" s="119"/>
      <c r="U5462" s="118">
        <f t="shared" ref="U5462" si="6870">SUM(K5462:T5463)</f>
        <v>4515640</v>
      </c>
      <c r="V5462" s="122"/>
      <c r="W5462" s="124"/>
      <c r="X5462" s="126" t="s">
        <v>16596</v>
      </c>
      <c r="Y5462" s="127"/>
      <c r="Z5462" s="127"/>
      <c r="AA5462" s="127"/>
      <c r="AB5462" s="128"/>
      <c r="AC5462" s="15" t="s">
        <v>20</v>
      </c>
      <c r="AD5462" s="129" t="s">
        <v>1670</v>
      </c>
      <c r="AE5462" s="130"/>
      <c r="AF5462" s="130"/>
      <c r="AG5462" s="130"/>
      <c r="AH5462" s="130"/>
      <c r="AI5462" s="131"/>
      <c r="AJ5462" s="132"/>
      <c r="AK5462" s="127"/>
      <c r="AL5462" s="128"/>
      <c r="AM5462" s="21"/>
      <c r="AN5462" s="133">
        <v>46134</v>
      </c>
      <c r="AO5462" s="134"/>
      <c r="AP5462" s="135">
        <v>1014</v>
      </c>
      <c r="AQ5462" s="136"/>
      <c r="AR5462" s="118">
        <v>4150000</v>
      </c>
      <c r="AS5462" s="119"/>
      <c r="AT5462" s="118">
        <f t="shared" ref="AT5462" si="6871">AR5462*0.1</f>
        <v>415000</v>
      </c>
      <c r="AU5462" s="119"/>
      <c r="AV5462" s="118">
        <v>15540</v>
      </c>
      <c r="AW5462" s="119"/>
      <c r="AX5462" s="118">
        <f t="shared" ref="AX5462" si="6872">SUM(AR5462:AW5462)</f>
        <v>4580540</v>
      </c>
      <c r="AY5462" s="119"/>
      <c r="AZ5462" s="137">
        <v>46139</v>
      </c>
    </row>
    <row r="5463" spans="1:52" ht="17.100000000000001" customHeight="1" thickBot="1">
      <c r="A5463" s="110"/>
      <c r="B5463" s="27" t="s">
        <v>2511</v>
      </c>
      <c r="C5463" s="27">
        <v>35173</v>
      </c>
      <c r="D5463" s="14" t="s">
        <v>2601</v>
      </c>
      <c r="E5463" s="112"/>
      <c r="F5463" s="139" t="s">
        <v>16045</v>
      </c>
      <c r="G5463" s="140"/>
      <c r="H5463" s="141"/>
      <c r="I5463" s="26">
        <v>39980</v>
      </c>
      <c r="J5463" s="117"/>
      <c r="K5463" s="120"/>
      <c r="L5463" s="121"/>
      <c r="M5463" s="120"/>
      <c r="N5463" s="121"/>
      <c r="O5463" s="120"/>
      <c r="P5463" s="121"/>
      <c r="Q5463" s="120"/>
      <c r="R5463" s="121"/>
      <c r="S5463" s="120"/>
      <c r="T5463" s="121"/>
      <c r="U5463" s="120"/>
      <c r="V5463" s="123"/>
      <c r="W5463" s="125"/>
      <c r="X5463" s="142" t="s">
        <v>16597</v>
      </c>
      <c r="Y5463" s="143"/>
      <c r="Z5463" s="143"/>
      <c r="AA5463" s="143"/>
      <c r="AB5463" s="144"/>
      <c r="AC5463" s="16" t="s">
        <v>21</v>
      </c>
      <c r="AD5463" s="17" t="s">
        <v>2316</v>
      </c>
      <c r="AE5463" s="145" t="s">
        <v>16598</v>
      </c>
      <c r="AF5463" s="146"/>
      <c r="AG5463" s="146"/>
      <c r="AH5463" s="146"/>
      <c r="AI5463" s="147"/>
      <c r="AJ5463" s="148"/>
      <c r="AK5463" s="143"/>
      <c r="AL5463" s="144"/>
      <c r="AM5463" s="22"/>
      <c r="AN5463" s="149" t="s">
        <v>7285</v>
      </c>
      <c r="AO5463" s="144"/>
      <c r="AP5463" s="148">
        <v>6040</v>
      </c>
      <c r="AQ5463" s="144"/>
      <c r="AR5463" s="120"/>
      <c r="AS5463" s="121"/>
      <c r="AT5463" s="120"/>
      <c r="AU5463" s="121"/>
      <c r="AV5463" s="120"/>
      <c r="AW5463" s="121"/>
      <c r="AX5463" s="120"/>
      <c r="AY5463" s="121"/>
      <c r="AZ5463" s="138"/>
    </row>
    <row r="5464" spans="1:52" ht="17.100000000000001" customHeight="1" thickTop="1">
      <c r="A5464" s="151" t="s">
        <v>16033</v>
      </c>
      <c r="B5464" s="28">
        <v>46046</v>
      </c>
      <c r="C5464" s="25">
        <v>1285</v>
      </c>
      <c r="D5464" s="13" t="s">
        <v>1870</v>
      </c>
      <c r="E5464" s="111"/>
      <c r="F5464" s="113" t="s">
        <v>421</v>
      </c>
      <c r="G5464" s="114"/>
      <c r="H5464" s="115"/>
      <c r="I5464" s="24"/>
      <c r="J5464" s="116">
        <v>4</v>
      </c>
      <c r="K5464" s="118">
        <v>576000</v>
      </c>
      <c r="L5464" s="119"/>
      <c r="M5464" s="118">
        <f t="shared" ref="M5464" si="6873">K5464*0.1</f>
        <v>57600</v>
      </c>
      <c r="N5464" s="119"/>
      <c r="O5464" s="118">
        <v>0</v>
      </c>
      <c r="P5464" s="119"/>
      <c r="Q5464" s="118">
        <v>17700</v>
      </c>
      <c r="R5464" s="119"/>
      <c r="S5464" s="118">
        <v>16500</v>
      </c>
      <c r="T5464" s="119"/>
      <c r="U5464" s="118">
        <f t="shared" ref="U5464" si="6874">SUM(K5464:T5465)</f>
        <v>667800</v>
      </c>
      <c r="V5464" s="122"/>
      <c r="W5464" s="124"/>
      <c r="X5464" s="126"/>
      <c r="Y5464" s="127"/>
      <c r="Z5464" s="127"/>
      <c r="AA5464" s="127"/>
      <c r="AB5464" s="128"/>
      <c r="AC5464" s="15" t="s">
        <v>20</v>
      </c>
      <c r="AD5464" s="129" t="s">
        <v>16069</v>
      </c>
      <c r="AE5464" s="130"/>
      <c r="AF5464" s="130"/>
      <c r="AG5464" s="130"/>
      <c r="AH5464" s="130"/>
      <c r="AI5464" s="131"/>
      <c r="AJ5464" s="132" t="s">
        <v>8040</v>
      </c>
      <c r="AK5464" s="127"/>
      <c r="AL5464" s="128"/>
      <c r="AM5464" s="21"/>
      <c r="AN5464" s="133"/>
      <c r="AO5464" s="134"/>
      <c r="AP5464" s="135"/>
      <c r="AQ5464" s="136"/>
      <c r="AR5464" s="118"/>
      <c r="AS5464" s="119"/>
      <c r="AT5464" s="118">
        <f t="shared" ref="AT5464" si="6875">AR5464*0.1</f>
        <v>0</v>
      </c>
      <c r="AU5464" s="119"/>
      <c r="AV5464" s="118"/>
      <c r="AW5464" s="119"/>
      <c r="AX5464" s="118">
        <f t="shared" ref="AX5464" si="6876">SUM(AR5464:AW5464)</f>
        <v>0</v>
      </c>
      <c r="AY5464" s="119"/>
      <c r="AZ5464" s="137"/>
    </row>
    <row r="5465" spans="1:52" ht="17.100000000000001" customHeight="1" thickBot="1">
      <c r="A5465" s="152"/>
      <c r="B5465" s="27" t="s">
        <v>2511</v>
      </c>
      <c r="C5465" s="27">
        <v>53169</v>
      </c>
      <c r="D5465" s="14" t="s">
        <v>1592</v>
      </c>
      <c r="E5465" s="112"/>
      <c r="F5465" s="139" t="s">
        <v>16068</v>
      </c>
      <c r="G5465" s="140"/>
      <c r="H5465" s="141"/>
      <c r="I5465" s="26">
        <v>103360</v>
      </c>
      <c r="J5465" s="117"/>
      <c r="K5465" s="120"/>
      <c r="L5465" s="121"/>
      <c r="M5465" s="120"/>
      <c r="N5465" s="121"/>
      <c r="O5465" s="120"/>
      <c r="P5465" s="121"/>
      <c r="Q5465" s="120"/>
      <c r="R5465" s="121"/>
      <c r="S5465" s="120"/>
      <c r="T5465" s="121"/>
      <c r="U5465" s="120"/>
      <c r="V5465" s="123"/>
      <c r="W5465" s="125"/>
      <c r="X5465" s="142"/>
      <c r="Y5465" s="143"/>
      <c r="Z5465" s="143"/>
      <c r="AA5465" s="143"/>
      <c r="AB5465" s="144"/>
      <c r="AC5465" s="16" t="s">
        <v>21</v>
      </c>
      <c r="AD5465" s="17" t="s">
        <v>10540</v>
      </c>
      <c r="AE5465" s="145"/>
      <c r="AF5465" s="146"/>
      <c r="AG5465" s="146"/>
      <c r="AH5465" s="146"/>
      <c r="AI5465" s="147"/>
      <c r="AJ5465" s="148"/>
      <c r="AK5465" s="143"/>
      <c r="AL5465" s="144"/>
      <c r="AM5465" s="22"/>
      <c r="AN5465" s="149"/>
      <c r="AO5465" s="144"/>
      <c r="AP5465" s="148"/>
      <c r="AQ5465" s="144"/>
      <c r="AR5465" s="120"/>
      <c r="AS5465" s="121"/>
      <c r="AT5465" s="120"/>
      <c r="AU5465" s="121"/>
      <c r="AV5465" s="120"/>
      <c r="AW5465" s="121"/>
      <c r="AX5465" s="120"/>
      <c r="AY5465" s="121"/>
      <c r="AZ5465" s="138"/>
    </row>
    <row r="5466" spans="1:52" ht="17.100000000000001" customHeight="1" thickTop="1">
      <c r="A5466" s="109" t="s">
        <v>16034</v>
      </c>
      <c r="B5466" s="28">
        <v>46046</v>
      </c>
      <c r="C5466" s="25">
        <v>1285</v>
      </c>
      <c r="D5466" s="13" t="s">
        <v>2187</v>
      </c>
      <c r="E5466" s="111"/>
      <c r="F5466" s="113" t="s">
        <v>7683</v>
      </c>
      <c r="G5466" s="114"/>
      <c r="H5466" s="115"/>
      <c r="I5466" s="24"/>
      <c r="J5466" s="116">
        <v>4.5</v>
      </c>
      <c r="K5466" s="118">
        <v>995000</v>
      </c>
      <c r="L5466" s="119"/>
      <c r="M5466" s="118">
        <f t="shared" ref="M5466" si="6877">K5466*0.1</f>
        <v>99500</v>
      </c>
      <c r="N5466" s="119"/>
      <c r="O5466" s="118">
        <v>0</v>
      </c>
      <c r="P5466" s="119"/>
      <c r="Q5466" s="118">
        <v>8740</v>
      </c>
      <c r="R5466" s="119"/>
      <c r="S5466" s="118">
        <v>13200</v>
      </c>
      <c r="T5466" s="119"/>
      <c r="U5466" s="118">
        <f t="shared" ref="U5466" si="6878">SUM(K5466:T5467)</f>
        <v>1116440</v>
      </c>
      <c r="V5466" s="122"/>
      <c r="W5466" s="124"/>
      <c r="X5466" s="126" t="s">
        <v>16581</v>
      </c>
      <c r="Y5466" s="127"/>
      <c r="Z5466" s="127"/>
      <c r="AA5466" s="127"/>
      <c r="AB5466" s="128"/>
      <c r="AC5466" s="15" t="s">
        <v>20</v>
      </c>
      <c r="AD5466" s="129" t="s">
        <v>15583</v>
      </c>
      <c r="AE5466" s="130"/>
      <c r="AF5466" s="130"/>
      <c r="AG5466" s="130"/>
      <c r="AH5466" s="130"/>
      <c r="AI5466" s="131"/>
      <c r="AJ5466" s="132"/>
      <c r="AK5466" s="127"/>
      <c r="AL5466" s="128"/>
      <c r="AM5466" s="21"/>
      <c r="AN5466" s="133">
        <v>46056</v>
      </c>
      <c r="AO5466" s="134"/>
      <c r="AP5466" s="135">
        <v>1927</v>
      </c>
      <c r="AQ5466" s="136"/>
      <c r="AR5466" s="118">
        <v>1065000</v>
      </c>
      <c r="AS5466" s="119"/>
      <c r="AT5466" s="118">
        <f t="shared" ref="AT5466" si="6879">AR5466*0.1</f>
        <v>106500</v>
      </c>
      <c r="AU5466" s="119"/>
      <c r="AV5466" s="118">
        <v>8740</v>
      </c>
      <c r="AW5466" s="119"/>
      <c r="AX5466" s="118">
        <f t="shared" ref="AX5466" si="6880">SUM(AR5466:AW5466)</f>
        <v>1180240</v>
      </c>
      <c r="AY5466" s="119"/>
      <c r="AZ5466" s="137"/>
    </row>
    <row r="5467" spans="1:52" ht="17.100000000000001" customHeight="1" thickBot="1">
      <c r="A5467" s="110"/>
      <c r="B5467" s="27" t="s">
        <v>2511</v>
      </c>
      <c r="C5467" s="27">
        <v>60022</v>
      </c>
      <c r="D5467" s="14" t="s">
        <v>1700</v>
      </c>
      <c r="E5467" s="112"/>
      <c r="F5467" s="139" t="s">
        <v>16046</v>
      </c>
      <c r="G5467" s="140"/>
      <c r="H5467" s="141"/>
      <c r="I5467" s="26">
        <v>41202</v>
      </c>
      <c r="J5467" s="117"/>
      <c r="K5467" s="120"/>
      <c r="L5467" s="121"/>
      <c r="M5467" s="120"/>
      <c r="N5467" s="121"/>
      <c r="O5467" s="120"/>
      <c r="P5467" s="121"/>
      <c r="Q5467" s="120"/>
      <c r="R5467" s="121"/>
      <c r="S5467" s="120"/>
      <c r="T5467" s="121"/>
      <c r="U5467" s="120"/>
      <c r="V5467" s="123"/>
      <c r="W5467" s="125"/>
      <c r="X5467" s="142" t="s">
        <v>4723</v>
      </c>
      <c r="Y5467" s="143"/>
      <c r="Z5467" s="143"/>
      <c r="AA5467" s="143"/>
      <c r="AB5467" s="144"/>
      <c r="AC5467" s="16" t="s">
        <v>21</v>
      </c>
      <c r="AD5467" s="17" t="s">
        <v>2316</v>
      </c>
      <c r="AE5467" s="145" t="s">
        <v>2051</v>
      </c>
      <c r="AF5467" s="146"/>
      <c r="AG5467" s="146"/>
      <c r="AH5467" s="146"/>
      <c r="AI5467" s="147"/>
      <c r="AJ5467" s="148"/>
      <c r="AK5467" s="143"/>
      <c r="AL5467" s="144"/>
      <c r="AM5467" s="22"/>
      <c r="AN5467" s="149" t="s">
        <v>7644</v>
      </c>
      <c r="AO5467" s="144"/>
      <c r="AP5467" s="148">
        <v>3105</v>
      </c>
      <c r="AQ5467" s="144"/>
      <c r="AR5467" s="120"/>
      <c r="AS5467" s="121"/>
      <c r="AT5467" s="120"/>
      <c r="AU5467" s="121"/>
      <c r="AV5467" s="120"/>
      <c r="AW5467" s="121"/>
      <c r="AX5467" s="120"/>
      <c r="AY5467" s="121"/>
      <c r="AZ5467" s="138"/>
    </row>
    <row r="5468" spans="1:52" ht="17.100000000000001" customHeight="1" thickTop="1">
      <c r="A5468" s="151" t="s">
        <v>16035</v>
      </c>
      <c r="B5468" s="28">
        <v>46046</v>
      </c>
      <c r="C5468" s="25">
        <v>1285</v>
      </c>
      <c r="D5468" s="13" t="s">
        <v>2226</v>
      </c>
      <c r="E5468" s="111"/>
      <c r="F5468" s="113" t="s">
        <v>16047</v>
      </c>
      <c r="G5468" s="114"/>
      <c r="H5468" s="115"/>
      <c r="I5468" s="24"/>
      <c r="J5468" s="116">
        <v>4.5</v>
      </c>
      <c r="K5468" s="118">
        <v>930000</v>
      </c>
      <c r="L5468" s="119"/>
      <c r="M5468" s="118">
        <f t="shared" ref="M5468" si="6881">K5468*0.1</f>
        <v>93000</v>
      </c>
      <c r="N5468" s="119"/>
      <c r="O5468" s="118">
        <v>0</v>
      </c>
      <c r="P5468" s="119"/>
      <c r="Q5468" s="118">
        <v>8510</v>
      </c>
      <c r="R5468" s="119"/>
      <c r="S5468" s="118">
        <v>11000</v>
      </c>
      <c r="T5468" s="119"/>
      <c r="U5468" s="118">
        <f t="shared" ref="U5468" si="6882">SUM(K5468:T5469)</f>
        <v>1042510</v>
      </c>
      <c r="V5468" s="122"/>
      <c r="W5468" s="124"/>
      <c r="X5468" s="126" t="s">
        <v>16586</v>
      </c>
      <c r="Y5468" s="127"/>
      <c r="Z5468" s="127"/>
      <c r="AA5468" s="127"/>
      <c r="AB5468" s="128"/>
      <c r="AC5468" s="15" t="s">
        <v>20</v>
      </c>
      <c r="AD5468" s="129" t="s">
        <v>4435</v>
      </c>
      <c r="AE5468" s="130"/>
      <c r="AF5468" s="130"/>
      <c r="AG5468" s="130"/>
      <c r="AH5468" s="130"/>
      <c r="AI5468" s="131"/>
      <c r="AJ5468" s="132"/>
      <c r="AK5468" s="127"/>
      <c r="AL5468" s="128"/>
      <c r="AM5468" s="21"/>
      <c r="AN5468" s="133"/>
      <c r="AO5468" s="134"/>
      <c r="AP5468" s="135"/>
      <c r="AQ5468" s="136"/>
      <c r="AR5468" s="118"/>
      <c r="AS5468" s="119"/>
      <c r="AT5468" s="118">
        <f t="shared" ref="AT5468" si="6883">AR5468*0.1</f>
        <v>0</v>
      </c>
      <c r="AU5468" s="119"/>
      <c r="AV5468" s="118"/>
      <c r="AW5468" s="119"/>
      <c r="AX5468" s="118">
        <f t="shared" ref="AX5468" si="6884">SUM(AR5468:AW5468)</f>
        <v>0</v>
      </c>
      <c r="AY5468" s="119"/>
      <c r="AZ5468" s="137"/>
    </row>
    <row r="5469" spans="1:52" ht="17.100000000000001" customHeight="1" thickBot="1">
      <c r="A5469" s="152"/>
      <c r="B5469" s="27" t="s">
        <v>2511</v>
      </c>
      <c r="C5469" s="27">
        <v>62080</v>
      </c>
      <c r="D5469" s="14" t="s">
        <v>1592</v>
      </c>
      <c r="E5469" s="112"/>
      <c r="F5469" s="139" t="s">
        <v>16048</v>
      </c>
      <c r="G5469" s="140"/>
      <c r="H5469" s="141"/>
      <c r="I5469" s="26">
        <v>14470</v>
      </c>
      <c r="J5469" s="117"/>
      <c r="K5469" s="120"/>
      <c r="L5469" s="121"/>
      <c r="M5469" s="120"/>
      <c r="N5469" s="121"/>
      <c r="O5469" s="120"/>
      <c r="P5469" s="121"/>
      <c r="Q5469" s="120"/>
      <c r="R5469" s="121"/>
      <c r="S5469" s="120"/>
      <c r="T5469" s="121"/>
      <c r="U5469" s="120"/>
      <c r="V5469" s="123"/>
      <c r="W5469" s="125"/>
      <c r="X5469" s="142" t="s">
        <v>2918</v>
      </c>
      <c r="Y5469" s="143"/>
      <c r="Z5469" s="143"/>
      <c r="AA5469" s="143"/>
      <c r="AB5469" s="144"/>
      <c r="AC5469" s="16" t="s">
        <v>21</v>
      </c>
      <c r="AD5469" s="17" t="s">
        <v>2316</v>
      </c>
      <c r="AE5469" s="145" t="s">
        <v>12995</v>
      </c>
      <c r="AF5469" s="146"/>
      <c r="AG5469" s="146"/>
      <c r="AH5469" s="146"/>
      <c r="AI5469" s="147"/>
      <c r="AJ5469" s="148"/>
      <c r="AK5469" s="143"/>
      <c r="AL5469" s="144"/>
      <c r="AM5469" s="22"/>
      <c r="AN5469" s="149"/>
      <c r="AO5469" s="144"/>
      <c r="AP5469" s="148"/>
      <c r="AQ5469" s="144"/>
      <c r="AR5469" s="120"/>
      <c r="AS5469" s="121"/>
      <c r="AT5469" s="120"/>
      <c r="AU5469" s="121"/>
      <c r="AV5469" s="120"/>
      <c r="AW5469" s="121"/>
      <c r="AX5469" s="120"/>
      <c r="AY5469" s="121"/>
      <c r="AZ5469" s="138"/>
    </row>
    <row r="5470" spans="1:52" ht="17.100000000000001" customHeight="1" thickTop="1">
      <c r="A5470" s="109" t="s">
        <v>16036</v>
      </c>
      <c r="B5470" s="28">
        <v>46046</v>
      </c>
      <c r="C5470" s="25">
        <v>1285</v>
      </c>
      <c r="D5470" s="13" t="s">
        <v>2234</v>
      </c>
      <c r="E5470" s="111"/>
      <c r="F5470" s="113" t="s">
        <v>16049</v>
      </c>
      <c r="G5470" s="114"/>
      <c r="H5470" s="115"/>
      <c r="I5470" s="24" t="s">
        <v>9383</v>
      </c>
      <c r="J5470" s="116">
        <v>4</v>
      </c>
      <c r="K5470" s="118">
        <v>775000</v>
      </c>
      <c r="L5470" s="119"/>
      <c r="M5470" s="118">
        <f t="shared" ref="M5470" si="6885">K5470*0.1</f>
        <v>77500</v>
      </c>
      <c r="N5470" s="119"/>
      <c r="O5470" s="118">
        <v>0</v>
      </c>
      <c r="P5470" s="119"/>
      <c r="Q5470" s="118">
        <v>9200</v>
      </c>
      <c r="R5470" s="119"/>
      <c r="S5470" s="118">
        <v>13200</v>
      </c>
      <c r="T5470" s="119"/>
      <c r="U5470" s="118">
        <f t="shared" ref="U5470" si="6886">SUM(K5470:T5471)</f>
        <v>874900</v>
      </c>
      <c r="V5470" s="122"/>
      <c r="W5470" s="124"/>
      <c r="X5470" s="126" t="s">
        <v>16583</v>
      </c>
      <c r="Y5470" s="127"/>
      <c r="Z5470" s="127"/>
      <c r="AA5470" s="127"/>
      <c r="AB5470" s="128"/>
      <c r="AC5470" s="15" t="s">
        <v>20</v>
      </c>
      <c r="AD5470" s="129" t="s">
        <v>3896</v>
      </c>
      <c r="AE5470" s="130"/>
      <c r="AF5470" s="130"/>
      <c r="AG5470" s="130"/>
      <c r="AH5470" s="130"/>
      <c r="AI5470" s="131"/>
      <c r="AJ5470" s="132"/>
      <c r="AK5470" s="127"/>
      <c r="AL5470" s="128"/>
      <c r="AM5470" s="21"/>
      <c r="AN5470" s="133">
        <v>46053</v>
      </c>
      <c r="AO5470" s="134"/>
      <c r="AP5470" s="135">
        <v>1286</v>
      </c>
      <c r="AQ5470" s="136"/>
      <c r="AR5470" s="118">
        <v>860000</v>
      </c>
      <c r="AS5470" s="119"/>
      <c r="AT5470" s="118">
        <f t="shared" ref="AT5470" si="6887">AR5470*0.1</f>
        <v>86000</v>
      </c>
      <c r="AU5470" s="119"/>
      <c r="AV5470" s="118">
        <v>9200</v>
      </c>
      <c r="AW5470" s="119"/>
      <c r="AX5470" s="118">
        <f t="shared" ref="AX5470" si="6888">SUM(AR5470:AW5470)</f>
        <v>955200</v>
      </c>
      <c r="AY5470" s="119"/>
      <c r="AZ5470" s="137">
        <v>46056</v>
      </c>
    </row>
    <row r="5471" spans="1:52" ht="17.100000000000001" customHeight="1" thickBot="1">
      <c r="A5471" s="110"/>
      <c r="B5471" s="27" t="s">
        <v>2511</v>
      </c>
      <c r="C5471" s="27">
        <v>65116</v>
      </c>
      <c r="D5471" s="14" t="s">
        <v>275</v>
      </c>
      <c r="E5471" s="112"/>
      <c r="F5471" s="139" t="s">
        <v>16050</v>
      </c>
      <c r="G5471" s="140"/>
      <c r="H5471" s="141"/>
      <c r="I5471" s="26">
        <v>67083</v>
      </c>
      <c r="J5471" s="117"/>
      <c r="K5471" s="120"/>
      <c r="L5471" s="121"/>
      <c r="M5471" s="120"/>
      <c r="N5471" s="121"/>
      <c r="O5471" s="120"/>
      <c r="P5471" s="121"/>
      <c r="Q5471" s="120"/>
      <c r="R5471" s="121"/>
      <c r="S5471" s="120"/>
      <c r="T5471" s="121"/>
      <c r="U5471" s="120"/>
      <c r="V5471" s="123"/>
      <c r="W5471" s="125"/>
      <c r="X5471" s="142" t="s">
        <v>1997</v>
      </c>
      <c r="Y5471" s="143"/>
      <c r="Z5471" s="143"/>
      <c r="AA5471" s="143"/>
      <c r="AB5471" s="144"/>
      <c r="AC5471" s="16" t="s">
        <v>21</v>
      </c>
      <c r="AD5471" s="17" t="s">
        <v>2316</v>
      </c>
      <c r="AE5471" s="145" t="s">
        <v>4617</v>
      </c>
      <c r="AF5471" s="146"/>
      <c r="AG5471" s="146"/>
      <c r="AH5471" s="146"/>
      <c r="AI5471" s="147"/>
      <c r="AJ5471" s="148"/>
      <c r="AK5471" s="143"/>
      <c r="AL5471" s="144"/>
      <c r="AM5471" s="22"/>
      <c r="AN5471" s="149" t="s">
        <v>2511</v>
      </c>
      <c r="AO5471" s="144"/>
      <c r="AP5471" s="148">
        <v>60388</v>
      </c>
      <c r="AQ5471" s="144"/>
      <c r="AR5471" s="120"/>
      <c r="AS5471" s="121"/>
      <c r="AT5471" s="120"/>
      <c r="AU5471" s="121"/>
      <c r="AV5471" s="120"/>
      <c r="AW5471" s="121"/>
      <c r="AX5471" s="120"/>
      <c r="AY5471" s="121"/>
      <c r="AZ5471" s="138"/>
    </row>
    <row r="5472" spans="1:52" ht="17.100000000000001" customHeight="1" thickTop="1">
      <c r="A5472" s="109" t="s">
        <v>16037</v>
      </c>
      <c r="B5472" s="28">
        <v>46046</v>
      </c>
      <c r="C5472" s="25">
        <v>1285</v>
      </c>
      <c r="D5472" s="13" t="s">
        <v>1712</v>
      </c>
      <c r="E5472" s="111"/>
      <c r="F5472" s="113" t="s">
        <v>15853</v>
      </c>
      <c r="G5472" s="114"/>
      <c r="H5472" s="115"/>
      <c r="I5472" s="24" t="s">
        <v>2526</v>
      </c>
      <c r="J5472" s="116">
        <v>4</v>
      </c>
      <c r="K5472" s="118">
        <v>780000</v>
      </c>
      <c r="L5472" s="119"/>
      <c r="M5472" s="118">
        <f t="shared" ref="M5472" si="6889">K5472*0.1</f>
        <v>78000</v>
      </c>
      <c r="N5472" s="119"/>
      <c r="O5472" s="118">
        <v>0</v>
      </c>
      <c r="P5472" s="119"/>
      <c r="Q5472" s="118">
        <v>9080</v>
      </c>
      <c r="R5472" s="119"/>
      <c r="S5472" s="118">
        <v>13200</v>
      </c>
      <c r="T5472" s="119"/>
      <c r="U5472" s="118">
        <f t="shared" ref="U5472" si="6890">SUM(K5472:T5473)</f>
        <v>880280</v>
      </c>
      <c r="V5472" s="122"/>
      <c r="W5472" s="124"/>
      <c r="X5472" s="126" t="s">
        <v>16070</v>
      </c>
      <c r="Y5472" s="127"/>
      <c r="Z5472" s="127"/>
      <c r="AA5472" s="127"/>
      <c r="AB5472" s="128"/>
      <c r="AC5472" s="15" t="s">
        <v>20</v>
      </c>
      <c r="AD5472" s="129" t="s">
        <v>1670</v>
      </c>
      <c r="AE5472" s="130"/>
      <c r="AF5472" s="130"/>
      <c r="AG5472" s="130"/>
      <c r="AH5472" s="130"/>
      <c r="AI5472" s="131"/>
      <c r="AJ5472" s="132"/>
      <c r="AK5472" s="127"/>
      <c r="AL5472" s="128"/>
      <c r="AM5472" s="21"/>
      <c r="AN5472" s="133">
        <v>46060</v>
      </c>
      <c r="AO5472" s="134"/>
      <c r="AP5472" s="135">
        <v>1287</v>
      </c>
      <c r="AQ5472" s="136"/>
      <c r="AR5472" s="118">
        <v>850000</v>
      </c>
      <c r="AS5472" s="119"/>
      <c r="AT5472" s="118">
        <f t="shared" ref="AT5472" si="6891">AR5472*0.1</f>
        <v>85000</v>
      </c>
      <c r="AU5472" s="119"/>
      <c r="AV5472" s="118">
        <v>9080</v>
      </c>
      <c r="AW5472" s="119"/>
      <c r="AX5472" s="118">
        <f t="shared" ref="AX5472" si="6892">SUM(AR5472:AW5472)</f>
        <v>944080</v>
      </c>
      <c r="AY5472" s="119"/>
      <c r="AZ5472" s="137">
        <v>46065</v>
      </c>
    </row>
    <row r="5473" spans="1:52" ht="17.100000000000001" customHeight="1" thickBot="1">
      <c r="A5473" s="110"/>
      <c r="B5473" s="27" t="s">
        <v>2511</v>
      </c>
      <c r="C5473" s="27">
        <v>65233</v>
      </c>
      <c r="D5473" s="14" t="s">
        <v>2040</v>
      </c>
      <c r="E5473" s="112"/>
      <c r="F5473" s="139" t="s">
        <v>16051</v>
      </c>
      <c r="G5473" s="140"/>
      <c r="H5473" s="141"/>
      <c r="I5473" s="26">
        <v>76464</v>
      </c>
      <c r="J5473" s="117"/>
      <c r="K5473" s="120"/>
      <c r="L5473" s="121"/>
      <c r="M5473" s="120"/>
      <c r="N5473" s="121"/>
      <c r="O5473" s="120"/>
      <c r="P5473" s="121"/>
      <c r="Q5473" s="120"/>
      <c r="R5473" s="121"/>
      <c r="S5473" s="120"/>
      <c r="T5473" s="121"/>
      <c r="U5473" s="120"/>
      <c r="V5473" s="123"/>
      <c r="W5473" s="125"/>
      <c r="X5473" s="142" t="s">
        <v>16584</v>
      </c>
      <c r="Y5473" s="143"/>
      <c r="Z5473" s="143"/>
      <c r="AA5473" s="143"/>
      <c r="AB5473" s="144"/>
      <c r="AC5473" s="16" t="s">
        <v>21</v>
      </c>
      <c r="AD5473" s="17" t="s">
        <v>2316</v>
      </c>
      <c r="AE5473" s="145" t="s">
        <v>16585</v>
      </c>
      <c r="AF5473" s="146"/>
      <c r="AG5473" s="146"/>
      <c r="AH5473" s="146"/>
      <c r="AI5473" s="147"/>
      <c r="AJ5473" s="148" t="s">
        <v>16383</v>
      </c>
      <c r="AK5473" s="143"/>
      <c r="AL5473" s="144"/>
      <c r="AM5473" s="22"/>
      <c r="AN5473" s="149" t="s">
        <v>2511</v>
      </c>
      <c r="AO5473" s="144"/>
      <c r="AP5473" s="148">
        <v>60351</v>
      </c>
      <c r="AQ5473" s="144"/>
      <c r="AR5473" s="120"/>
      <c r="AS5473" s="121"/>
      <c r="AT5473" s="120"/>
      <c r="AU5473" s="121"/>
      <c r="AV5473" s="120"/>
      <c r="AW5473" s="121"/>
      <c r="AX5473" s="120"/>
      <c r="AY5473" s="121"/>
      <c r="AZ5473" s="138"/>
    </row>
    <row r="5474" spans="1:52" ht="17.100000000000001" customHeight="1" thickTop="1">
      <c r="A5474" s="109" t="s">
        <v>16038</v>
      </c>
      <c r="B5474" s="28">
        <v>46046</v>
      </c>
      <c r="C5474" s="25">
        <v>1285</v>
      </c>
      <c r="D5474" s="13" t="s">
        <v>2415</v>
      </c>
      <c r="E5474" s="111"/>
      <c r="F5474" s="113" t="s">
        <v>15215</v>
      </c>
      <c r="G5474" s="114"/>
      <c r="H5474" s="115"/>
      <c r="I5474" s="24" t="s">
        <v>16071</v>
      </c>
      <c r="J5474" s="116">
        <v>5</v>
      </c>
      <c r="K5474" s="118">
        <v>1145000</v>
      </c>
      <c r="L5474" s="119"/>
      <c r="M5474" s="118">
        <v>114500</v>
      </c>
      <c r="N5474" s="119"/>
      <c r="O5474" s="118">
        <v>0</v>
      </c>
      <c r="P5474" s="119"/>
      <c r="Q5474" s="118">
        <v>8350</v>
      </c>
      <c r="R5474" s="119"/>
      <c r="S5474" s="118">
        <v>12100</v>
      </c>
      <c r="T5474" s="119"/>
      <c r="U5474" s="118">
        <f t="shared" ref="U5474" si="6893">SUM(K5474:T5475)</f>
        <v>1279950</v>
      </c>
      <c r="V5474" s="122"/>
      <c r="W5474" s="124"/>
      <c r="X5474" s="126" t="s">
        <v>16072</v>
      </c>
      <c r="Y5474" s="127"/>
      <c r="Z5474" s="127"/>
      <c r="AA5474" s="127"/>
      <c r="AB5474" s="128"/>
      <c r="AC5474" s="15" t="s">
        <v>20</v>
      </c>
      <c r="AD5474" s="129" t="s">
        <v>15300</v>
      </c>
      <c r="AE5474" s="130"/>
      <c r="AF5474" s="130"/>
      <c r="AG5474" s="130"/>
      <c r="AH5474" s="130"/>
      <c r="AI5474" s="131"/>
      <c r="AJ5474" s="132"/>
      <c r="AK5474" s="127"/>
      <c r="AL5474" s="128"/>
      <c r="AM5474" s="21" t="s">
        <v>16812</v>
      </c>
      <c r="AN5474" s="133">
        <v>46056</v>
      </c>
      <c r="AO5474" s="134"/>
      <c r="AP5474" s="135">
        <v>1927</v>
      </c>
      <c r="AQ5474" s="136"/>
      <c r="AR5474" s="118">
        <v>1203000</v>
      </c>
      <c r="AS5474" s="119"/>
      <c r="AT5474" s="118">
        <f t="shared" ref="AT5474" si="6894">AR5474*0.1</f>
        <v>120300</v>
      </c>
      <c r="AU5474" s="119"/>
      <c r="AV5474" s="118">
        <v>8350</v>
      </c>
      <c r="AW5474" s="119"/>
      <c r="AX5474" s="118">
        <f t="shared" ref="AX5474" si="6895">SUM(AR5474:AW5474)</f>
        <v>1331650</v>
      </c>
      <c r="AY5474" s="119"/>
      <c r="AZ5474" s="137">
        <v>46063</v>
      </c>
    </row>
    <row r="5475" spans="1:52" ht="17.100000000000001" customHeight="1" thickBot="1">
      <c r="A5475" s="110"/>
      <c r="B5475" s="27" t="s">
        <v>2511</v>
      </c>
      <c r="C5475" s="27">
        <v>65239</v>
      </c>
      <c r="D5475" s="14" t="s">
        <v>2560</v>
      </c>
      <c r="E5475" s="112"/>
      <c r="F5475" s="139" t="s">
        <v>16052</v>
      </c>
      <c r="G5475" s="140"/>
      <c r="H5475" s="141"/>
      <c r="I5475" s="26">
        <v>6545</v>
      </c>
      <c r="J5475" s="117"/>
      <c r="K5475" s="120"/>
      <c r="L5475" s="121"/>
      <c r="M5475" s="120"/>
      <c r="N5475" s="121"/>
      <c r="O5475" s="120"/>
      <c r="P5475" s="121"/>
      <c r="Q5475" s="120"/>
      <c r="R5475" s="121"/>
      <c r="S5475" s="120"/>
      <c r="T5475" s="121"/>
      <c r="U5475" s="120"/>
      <c r="V5475" s="123"/>
      <c r="W5475" s="125"/>
      <c r="X5475" s="142" t="s">
        <v>16582</v>
      </c>
      <c r="Y5475" s="143"/>
      <c r="Z5475" s="143"/>
      <c r="AA5475" s="143"/>
      <c r="AB5475" s="144"/>
      <c r="AC5475" s="16" t="s">
        <v>21</v>
      </c>
      <c r="AD5475" s="17" t="s">
        <v>2316</v>
      </c>
      <c r="AE5475" s="145" t="s">
        <v>10697</v>
      </c>
      <c r="AF5475" s="146"/>
      <c r="AG5475" s="146"/>
      <c r="AH5475" s="146"/>
      <c r="AI5475" s="147"/>
      <c r="AJ5475" s="148"/>
      <c r="AK5475" s="143"/>
      <c r="AL5475" s="144"/>
      <c r="AM5475" s="22"/>
      <c r="AN5475" s="149" t="s">
        <v>2131</v>
      </c>
      <c r="AO5475" s="144"/>
      <c r="AP5475" s="148">
        <v>3061</v>
      </c>
      <c r="AQ5475" s="144"/>
      <c r="AR5475" s="120"/>
      <c r="AS5475" s="121"/>
      <c r="AT5475" s="120"/>
      <c r="AU5475" s="121"/>
      <c r="AV5475" s="120"/>
      <c r="AW5475" s="121"/>
      <c r="AX5475" s="120"/>
      <c r="AY5475" s="121"/>
      <c r="AZ5475" s="138"/>
    </row>
    <row r="5476" spans="1:52" ht="17.100000000000001" customHeight="1" thickTop="1">
      <c r="A5476" s="109" t="s">
        <v>16039</v>
      </c>
      <c r="B5476" s="28">
        <v>46046</v>
      </c>
      <c r="C5476" s="25">
        <v>1285</v>
      </c>
      <c r="D5476" s="13" t="s">
        <v>2359</v>
      </c>
      <c r="E5476" s="111"/>
      <c r="F5476" s="113" t="s">
        <v>7683</v>
      </c>
      <c r="G5476" s="114"/>
      <c r="H5476" s="115"/>
      <c r="I5476" s="24"/>
      <c r="J5476" s="116">
        <v>4.5</v>
      </c>
      <c r="K5476" s="118">
        <v>1220000</v>
      </c>
      <c r="L5476" s="119"/>
      <c r="M5476" s="118">
        <f t="shared" ref="M5476" si="6896">K5476*0.1</f>
        <v>122000</v>
      </c>
      <c r="N5476" s="119"/>
      <c r="O5476" s="118">
        <v>0</v>
      </c>
      <c r="P5476" s="119"/>
      <c r="Q5476" s="118">
        <v>8740</v>
      </c>
      <c r="R5476" s="119"/>
      <c r="S5476" s="118">
        <v>12100</v>
      </c>
      <c r="T5476" s="119"/>
      <c r="U5476" s="118">
        <f t="shared" ref="U5476" si="6897">SUM(K5476:T5477)</f>
        <v>1362840</v>
      </c>
      <c r="V5476" s="122"/>
      <c r="W5476" s="124"/>
      <c r="X5476" s="126" t="s">
        <v>16073</v>
      </c>
      <c r="Y5476" s="127"/>
      <c r="Z5476" s="127"/>
      <c r="AA5476" s="127"/>
      <c r="AB5476" s="128"/>
      <c r="AC5476" s="15" t="s">
        <v>20</v>
      </c>
      <c r="AD5476" s="129" t="s">
        <v>3828</v>
      </c>
      <c r="AE5476" s="130"/>
      <c r="AF5476" s="130"/>
      <c r="AG5476" s="130"/>
      <c r="AH5476" s="130"/>
      <c r="AI5476" s="131"/>
      <c r="AJ5476" s="132"/>
      <c r="AK5476" s="127"/>
      <c r="AL5476" s="128"/>
      <c r="AM5476" s="21"/>
      <c r="AN5476" s="133">
        <v>46049</v>
      </c>
      <c r="AO5476" s="134"/>
      <c r="AP5476" s="135">
        <v>1926</v>
      </c>
      <c r="AQ5476" s="136"/>
      <c r="AR5476" s="118">
        <v>1306000</v>
      </c>
      <c r="AS5476" s="119"/>
      <c r="AT5476" s="118">
        <f t="shared" ref="AT5476" si="6898">AR5476*0.1</f>
        <v>130600</v>
      </c>
      <c r="AU5476" s="119"/>
      <c r="AV5476" s="118">
        <v>8740</v>
      </c>
      <c r="AW5476" s="119"/>
      <c r="AX5476" s="118">
        <f t="shared" ref="AX5476" si="6899">SUM(AR5476:AW5476)</f>
        <v>1445340</v>
      </c>
      <c r="AY5476" s="119"/>
      <c r="AZ5476" s="137"/>
    </row>
    <row r="5477" spans="1:52" ht="17.100000000000001" customHeight="1" thickBot="1">
      <c r="A5477" s="110"/>
      <c r="B5477" s="27" t="s">
        <v>2511</v>
      </c>
      <c r="C5477" s="27">
        <v>65393</v>
      </c>
      <c r="D5477" s="14" t="s">
        <v>2601</v>
      </c>
      <c r="E5477" s="112"/>
      <c r="F5477" s="139" t="s">
        <v>16053</v>
      </c>
      <c r="G5477" s="140"/>
      <c r="H5477" s="141"/>
      <c r="I5477" s="26">
        <v>47826</v>
      </c>
      <c r="J5477" s="117"/>
      <c r="K5477" s="120"/>
      <c r="L5477" s="121"/>
      <c r="M5477" s="120"/>
      <c r="N5477" s="121"/>
      <c r="O5477" s="120"/>
      <c r="P5477" s="121"/>
      <c r="Q5477" s="120"/>
      <c r="R5477" s="121"/>
      <c r="S5477" s="120"/>
      <c r="T5477" s="121"/>
      <c r="U5477" s="120"/>
      <c r="V5477" s="123"/>
      <c r="W5477" s="125"/>
      <c r="X5477" s="142" t="s">
        <v>6837</v>
      </c>
      <c r="Y5477" s="143"/>
      <c r="Z5477" s="143"/>
      <c r="AA5477" s="143"/>
      <c r="AB5477" s="144"/>
      <c r="AC5477" s="16" t="s">
        <v>21</v>
      </c>
      <c r="AD5477" s="17" t="s">
        <v>2316</v>
      </c>
      <c r="AE5477" s="145" t="s">
        <v>5140</v>
      </c>
      <c r="AF5477" s="146"/>
      <c r="AG5477" s="146"/>
      <c r="AH5477" s="146"/>
      <c r="AI5477" s="147"/>
      <c r="AJ5477" s="148"/>
      <c r="AK5477" s="143"/>
      <c r="AL5477" s="144"/>
      <c r="AM5477" s="22"/>
      <c r="AN5477" s="149" t="s">
        <v>2131</v>
      </c>
      <c r="AO5477" s="144"/>
      <c r="AP5477" s="148">
        <v>3391</v>
      </c>
      <c r="AQ5477" s="144"/>
      <c r="AR5477" s="120"/>
      <c r="AS5477" s="121"/>
      <c r="AT5477" s="120"/>
      <c r="AU5477" s="121"/>
      <c r="AV5477" s="120"/>
      <c r="AW5477" s="121"/>
      <c r="AX5477" s="120"/>
      <c r="AY5477" s="121"/>
      <c r="AZ5477" s="138"/>
    </row>
    <row r="5478" spans="1:52" ht="17.100000000000001" customHeight="1" thickTop="1">
      <c r="A5478" s="109" t="s">
        <v>16040</v>
      </c>
      <c r="B5478" s="28">
        <v>46046</v>
      </c>
      <c r="C5478" s="25">
        <v>1285</v>
      </c>
      <c r="D5478" s="13" t="s">
        <v>2348</v>
      </c>
      <c r="E5478" s="111"/>
      <c r="F5478" s="113" t="s">
        <v>7340</v>
      </c>
      <c r="G5478" s="114"/>
      <c r="H5478" s="115"/>
      <c r="I5478" s="24" t="s">
        <v>14681</v>
      </c>
      <c r="J5478" s="116">
        <v>4</v>
      </c>
      <c r="K5478" s="118">
        <v>730000</v>
      </c>
      <c r="L5478" s="119"/>
      <c r="M5478" s="118">
        <f t="shared" ref="M5478" si="6900">K5478*0.1</f>
        <v>73000</v>
      </c>
      <c r="N5478" s="119"/>
      <c r="O5478" s="118">
        <v>0</v>
      </c>
      <c r="P5478" s="119"/>
      <c r="Q5478" s="118">
        <v>8400</v>
      </c>
      <c r="R5478" s="119"/>
      <c r="S5478" s="118">
        <v>12100</v>
      </c>
      <c r="T5478" s="119"/>
      <c r="U5478" s="118">
        <f t="shared" ref="U5478" si="6901">SUM(K5478:T5479)</f>
        <v>823500</v>
      </c>
      <c r="V5478" s="122"/>
      <c r="W5478" s="124"/>
      <c r="X5478" s="126" t="s">
        <v>16074</v>
      </c>
      <c r="Y5478" s="127"/>
      <c r="Z5478" s="127"/>
      <c r="AA5478" s="127"/>
      <c r="AB5478" s="128"/>
      <c r="AC5478" s="15" t="s">
        <v>20</v>
      </c>
      <c r="AD5478" s="129" t="s">
        <v>4435</v>
      </c>
      <c r="AE5478" s="130"/>
      <c r="AF5478" s="130"/>
      <c r="AG5478" s="130"/>
      <c r="AH5478" s="130"/>
      <c r="AI5478" s="131"/>
      <c r="AJ5478" s="132"/>
      <c r="AK5478" s="127"/>
      <c r="AL5478" s="128"/>
      <c r="AM5478" s="21"/>
      <c r="AN5478" s="133">
        <v>46050</v>
      </c>
      <c r="AO5478" s="134"/>
      <c r="AP5478" s="135">
        <v>1002</v>
      </c>
      <c r="AQ5478" s="136"/>
      <c r="AR5478" s="118">
        <v>800000</v>
      </c>
      <c r="AS5478" s="119"/>
      <c r="AT5478" s="118">
        <f t="shared" ref="AT5478" si="6902">AR5478*0.1</f>
        <v>80000</v>
      </c>
      <c r="AU5478" s="119"/>
      <c r="AV5478" s="118">
        <v>8400</v>
      </c>
      <c r="AW5478" s="119"/>
      <c r="AX5478" s="118">
        <f t="shared" ref="AX5478" si="6903">SUM(AR5478:AW5478)</f>
        <v>888400</v>
      </c>
      <c r="AY5478" s="119"/>
      <c r="AZ5478" s="137">
        <v>46056</v>
      </c>
    </row>
    <row r="5479" spans="1:52" ht="17.100000000000001" customHeight="1" thickBot="1">
      <c r="A5479" s="110"/>
      <c r="B5479" s="27" t="s">
        <v>2511</v>
      </c>
      <c r="C5479" s="27">
        <v>65442</v>
      </c>
      <c r="D5479" s="14" t="s">
        <v>2601</v>
      </c>
      <c r="E5479" s="112"/>
      <c r="F5479" s="139" t="s">
        <v>16054</v>
      </c>
      <c r="G5479" s="140"/>
      <c r="H5479" s="141"/>
      <c r="I5479" s="26">
        <v>50982</v>
      </c>
      <c r="J5479" s="117"/>
      <c r="K5479" s="120"/>
      <c r="L5479" s="121"/>
      <c r="M5479" s="120"/>
      <c r="N5479" s="121"/>
      <c r="O5479" s="120"/>
      <c r="P5479" s="121"/>
      <c r="Q5479" s="120"/>
      <c r="R5479" s="121"/>
      <c r="S5479" s="120"/>
      <c r="T5479" s="121"/>
      <c r="U5479" s="120"/>
      <c r="V5479" s="123"/>
      <c r="W5479" s="125"/>
      <c r="X5479" s="142" t="s">
        <v>16575</v>
      </c>
      <c r="Y5479" s="143"/>
      <c r="Z5479" s="143"/>
      <c r="AA5479" s="143"/>
      <c r="AB5479" s="144"/>
      <c r="AC5479" s="16" t="s">
        <v>21</v>
      </c>
      <c r="AD5479" s="17" t="s">
        <v>2316</v>
      </c>
      <c r="AE5479" s="145" t="s">
        <v>16576</v>
      </c>
      <c r="AF5479" s="146"/>
      <c r="AG5479" s="146"/>
      <c r="AH5479" s="146"/>
      <c r="AI5479" s="147"/>
      <c r="AJ5479" s="148"/>
      <c r="AK5479" s="143"/>
      <c r="AL5479" s="144"/>
      <c r="AM5479" s="22"/>
      <c r="AN5479" s="149" t="s">
        <v>2794</v>
      </c>
      <c r="AO5479" s="144"/>
      <c r="AP5479" s="148">
        <v>5106</v>
      </c>
      <c r="AQ5479" s="144"/>
      <c r="AR5479" s="120"/>
      <c r="AS5479" s="121"/>
      <c r="AT5479" s="120"/>
      <c r="AU5479" s="121"/>
      <c r="AV5479" s="120"/>
      <c r="AW5479" s="121"/>
      <c r="AX5479" s="120"/>
      <c r="AY5479" s="121"/>
      <c r="AZ5479" s="138"/>
    </row>
    <row r="5480" spans="1:52" ht="17.100000000000001" customHeight="1" thickTop="1">
      <c r="A5480" s="109" t="s">
        <v>16041</v>
      </c>
      <c r="B5480" s="28">
        <v>46046</v>
      </c>
      <c r="C5480" s="25">
        <v>1285</v>
      </c>
      <c r="D5480" s="13" t="s">
        <v>1930</v>
      </c>
      <c r="E5480" s="111"/>
      <c r="F5480" s="113" t="s">
        <v>7632</v>
      </c>
      <c r="G5480" s="114"/>
      <c r="H5480" s="115"/>
      <c r="I5480" s="24" t="s">
        <v>2526</v>
      </c>
      <c r="J5480" s="116">
        <v>5</v>
      </c>
      <c r="K5480" s="118">
        <v>1085000</v>
      </c>
      <c r="L5480" s="119"/>
      <c r="M5480" s="118">
        <f t="shared" ref="M5480" si="6904">K5480*0.1</f>
        <v>108500</v>
      </c>
      <c r="N5480" s="119"/>
      <c r="O5480" s="118">
        <v>0</v>
      </c>
      <c r="P5480" s="119"/>
      <c r="Q5480" s="118">
        <v>5670</v>
      </c>
      <c r="R5480" s="119"/>
      <c r="S5480" s="118">
        <v>12100</v>
      </c>
      <c r="T5480" s="119"/>
      <c r="U5480" s="118">
        <f t="shared" ref="U5480" si="6905">SUM(K5480:T5481)</f>
        <v>1211270</v>
      </c>
      <c r="V5480" s="122"/>
      <c r="W5480" s="124"/>
      <c r="X5480" s="126" t="s">
        <v>16075</v>
      </c>
      <c r="Y5480" s="127"/>
      <c r="Z5480" s="127"/>
      <c r="AA5480" s="127"/>
      <c r="AB5480" s="128"/>
      <c r="AC5480" s="15" t="s">
        <v>20</v>
      </c>
      <c r="AD5480" s="129" t="s">
        <v>16080</v>
      </c>
      <c r="AE5480" s="130"/>
      <c r="AF5480" s="130"/>
      <c r="AG5480" s="130"/>
      <c r="AH5480" s="130"/>
      <c r="AI5480" s="131"/>
      <c r="AJ5480" s="132"/>
      <c r="AK5480" s="127"/>
      <c r="AL5480" s="128"/>
      <c r="AM5480" s="21"/>
      <c r="AN5480" s="133">
        <v>46049</v>
      </c>
      <c r="AO5480" s="134"/>
      <c r="AP5480" s="135">
        <v>1926</v>
      </c>
      <c r="AQ5480" s="136"/>
      <c r="AR5480" s="118">
        <v>1218000</v>
      </c>
      <c r="AS5480" s="119"/>
      <c r="AT5480" s="118">
        <f t="shared" ref="AT5480" si="6906">AR5480*0.1</f>
        <v>121800</v>
      </c>
      <c r="AU5480" s="119"/>
      <c r="AV5480" s="118">
        <v>5670</v>
      </c>
      <c r="AW5480" s="119"/>
      <c r="AX5480" s="118">
        <f t="shared" ref="AX5480" si="6907">SUM(AR5480:AW5480)</f>
        <v>1345470</v>
      </c>
      <c r="AY5480" s="119"/>
      <c r="AZ5480" s="137"/>
    </row>
    <row r="5481" spans="1:52" ht="17.100000000000001" customHeight="1" thickBot="1">
      <c r="A5481" s="110"/>
      <c r="B5481" s="27" t="s">
        <v>2511</v>
      </c>
      <c r="C5481" s="27">
        <v>65475</v>
      </c>
      <c r="D5481" s="14" t="s">
        <v>2800</v>
      </c>
      <c r="E5481" s="112"/>
      <c r="F5481" s="139" t="s">
        <v>16055</v>
      </c>
      <c r="G5481" s="140"/>
      <c r="H5481" s="141"/>
      <c r="I5481" s="26">
        <v>10968</v>
      </c>
      <c r="J5481" s="117"/>
      <c r="K5481" s="120"/>
      <c r="L5481" s="121"/>
      <c r="M5481" s="120"/>
      <c r="N5481" s="121"/>
      <c r="O5481" s="120"/>
      <c r="P5481" s="121"/>
      <c r="Q5481" s="120"/>
      <c r="R5481" s="121"/>
      <c r="S5481" s="120"/>
      <c r="T5481" s="121"/>
      <c r="U5481" s="120"/>
      <c r="V5481" s="123"/>
      <c r="W5481" s="125"/>
      <c r="X5481" s="142" t="s">
        <v>16579</v>
      </c>
      <c r="Y5481" s="143"/>
      <c r="Z5481" s="143"/>
      <c r="AA5481" s="143"/>
      <c r="AB5481" s="144"/>
      <c r="AC5481" s="16" t="s">
        <v>21</v>
      </c>
      <c r="AD5481" s="17" t="s">
        <v>2316</v>
      </c>
      <c r="AE5481" s="145" t="s">
        <v>16580</v>
      </c>
      <c r="AF5481" s="146"/>
      <c r="AG5481" s="146"/>
      <c r="AH5481" s="146"/>
      <c r="AI5481" s="147"/>
      <c r="AJ5481" s="148"/>
      <c r="AK5481" s="143"/>
      <c r="AL5481" s="144"/>
      <c r="AM5481" s="22"/>
      <c r="AN5481" s="149" t="s">
        <v>2131</v>
      </c>
      <c r="AO5481" s="144"/>
      <c r="AP5481" s="148">
        <v>3389</v>
      </c>
      <c r="AQ5481" s="144"/>
      <c r="AR5481" s="120"/>
      <c r="AS5481" s="121"/>
      <c r="AT5481" s="120"/>
      <c r="AU5481" s="121"/>
      <c r="AV5481" s="120"/>
      <c r="AW5481" s="121"/>
      <c r="AX5481" s="120"/>
      <c r="AY5481" s="121"/>
      <c r="AZ5481" s="138"/>
    </row>
    <row r="5482" spans="1:52" ht="17.100000000000001" customHeight="1" thickTop="1">
      <c r="A5482" s="109" t="s">
        <v>16042</v>
      </c>
      <c r="B5482" s="28">
        <v>46046</v>
      </c>
      <c r="C5482" s="25">
        <v>1285</v>
      </c>
      <c r="D5482" s="13" t="s">
        <v>1642</v>
      </c>
      <c r="E5482" s="111"/>
      <c r="F5482" s="113" t="s">
        <v>6960</v>
      </c>
      <c r="G5482" s="114"/>
      <c r="H5482" s="115"/>
      <c r="I5482" s="24" t="s">
        <v>16077</v>
      </c>
      <c r="J5482" s="116">
        <v>4.5</v>
      </c>
      <c r="K5482" s="118">
        <v>1004000</v>
      </c>
      <c r="L5482" s="119"/>
      <c r="M5482" s="118">
        <f t="shared" ref="M5482" si="6908">K5482*0.1</f>
        <v>100400</v>
      </c>
      <c r="N5482" s="119"/>
      <c r="O5482" s="118">
        <v>0</v>
      </c>
      <c r="P5482" s="119"/>
      <c r="Q5482" s="118">
        <v>7040</v>
      </c>
      <c r="R5482" s="119"/>
      <c r="S5482" s="118">
        <v>12100</v>
      </c>
      <c r="T5482" s="119"/>
      <c r="U5482" s="118">
        <f t="shared" ref="U5482" si="6909">SUM(K5482:T5483)</f>
        <v>1123540</v>
      </c>
      <c r="V5482" s="122"/>
      <c r="W5482" s="124"/>
      <c r="X5482" s="126" t="s">
        <v>16078</v>
      </c>
      <c r="Y5482" s="127"/>
      <c r="Z5482" s="127"/>
      <c r="AA5482" s="127"/>
      <c r="AB5482" s="128"/>
      <c r="AC5482" s="15" t="s">
        <v>20</v>
      </c>
      <c r="AD5482" s="129" t="s">
        <v>16079</v>
      </c>
      <c r="AE5482" s="130"/>
      <c r="AF5482" s="130"/>
      <c r="AG5482" s="130"/>
      <c r="AH5482" s="130"/>
      <c r="AI5482" s="131"/>
      <c r="AJ5482" s="132"/>
      <c r="AK5482" s="127"/>
      <c r="AL5482" s="128"/>
      <c r="AM5482" s="21" t="s">
        <v>18033</v>
      </c>
      <c r="AN5482" s="133"/>
      <c r="AO5482" s="134"/>
      <c r="AP5482" s="135"/>
      <c r="AQ5482" s="136"/>
      <c r="AR5482" s="118"/>
      <c r="AS5482" s="119"/>
      <c r="AT5482" s="118">
        <f t="shared" ref="AT5482" si="6910">AR5482*0.1</f>
        <v>0</v>
      </c>
      <c r="AU5482" s="119"/>
      <c r="AV5482" s="118"/>
      <c r="AW5482" s="119"/>
      <c r="AX5482" s="118">
        <f t="shared" ref="AX5482" si="6911">SUM(AR5482:AW5482)</f>
        <v>0</v>
      </c>
      <c r="AY5482" s="119"/>
      <c r="AZ5482" s="137"/>
    </row>
    <row r="5483" spans="1:52" ht="17.100000000000001" customHeight="1" thickBot="1">
      <c r="A5483" s="110"/>
      <c r="B5483" s="27" t="s">
        <v>2511</v>
      </c>
      <c r="C5483" s="27">
        <v>65532</v>
      </c>
      <c r="D5483" s="14" t="s">
        <v>16076</v>
      </c>
      <c r="E5483" s="112"/>
      <c r="F5483" s="139" t="s">
        <v>16056</v>
      </c>
      <c r="G5483" s="140"/>
      <c r="H5483" s="141"/>
      <c r="I5483" s="26">
        <v>57982</v>
      </c>
      <c r="J5483" s="117"/>
      <c r="K5483" s="120"/>
      <c r="L5483" s="121"/>
      <c r="M5483" s="120"/>
      <c r="N5483" s="121"/>
      <c r="O5483" s="120"/>
      <c r="P5483" s="121"/>
      <c r="Q5483" s="120"/>
      <c r="R5483" s="121"/>
      <c r="S5483" s="120"/>
      <c r="T5483" s="121"/>
      <c r="U5483" s="120"/>
      <c r="V5483" s="123"/>
      <c r="W5483" s="125"/>
      <c r="X5483" s="142" t="s">
        <v>1997</v>
      </c>
      <c r="Y5483" s="143"/>
      <c r="Z5483" s="143"/>
      <c r="AA5483" s="143"/>
      <c r="AB5483" s="144"/>
      <c r="AC5483" s="16" t="s">
        <v>21</v>
      </c>
      <c r="AD5483" s="17" t="s">
        <v>2316</v>
      </c>
      <c r="AE5483" s="145" t="s">
        <v>10559</v>
      </c>
      <c r="AF5483" s="146"/>
      <c r="AG5483" s="146"/>
      <c r="AH5483" s="146"/>
      <c r="AI5483" s="147"/>
      <c r="AJ5483" s="148"/>
      <c r="AK5483" s="143"/>
      <c r="AL5483" s="144"/>
      <c r="AM5483" s="22"/>
      <c r="AN5483" s="149"/>
      <c r="AO5483" s="144"/>
      <c r="AP5483" s="148"/>
      <c r="AQ5483" s="144"/>
      <c r="AR5483" s="120"/>
      <c r="AS5483" s="121"/>
      <c r="AT5483" s="120"/>
      <c r="AU5483" s="121"/>
      <c r="AV5483" s="120"/>
      <c r="AW5483" s="121"/>
      <c r="AX5483" s="120"/>
      <c r="AY5483" s="121"/>
      <c r="AZ5483" s="138"/>
    </row>
    <row r="5484" spans="1:52" ht="17.100000000000001" customHeight="1" thickTop="1">
      <c r="A5484" s="109" t="s">
        <v>16060</v>
      </c>
      <c r="B5484" s="28">
        <v>46046</v>
      </c>
      <c r="C5484" s="25">
        <v>1285</v>
      </c>
      <c r="D5484" s="13" t="s">
        <v>1776</v>
      </c>
      <c r="E5484" s="111"/>
      <c r="F5484" s="113" t="s">
        <v>421</v>
      </c>
      <c r="G5484" s="114"/>
      <c r="H5484" s="115"/>
      <c r="I5484" s="24"/>
      <c r="J5484" s="116">
        <v>4</v>
      </c>
      <c r="K5484" s="118">
        <v>715000</v>
      </c>
      <c r="L5484" s="119"/>
      <c r="M5484" s="118">
        <f t="shared" ref="M5484" si="6912">K5484*0.1</f>
        <v>71500</v>
      </c>
      <c r="N5484" s="119"/>
      <c r="O5484" s="118">
        <v>0</v>
      </c>
      <c r="P5484" s="119"/>
      <c r="Q5484" s="118">
        <v>18960</v>
      </c>
      <c r="R5484" s="119"/>
      <c r="S5484" s="118">
        <v>16500</v>
      </c>
      <c r="T5484" s="119"/>
      <c r="U5484" s="118">
        <f t="shared" ref="U5484" si="6913">SUM(K5484:T5485)</f>
        <v>821960</v>
      </c>
      <c r="V5484" s="122"/>
      <c r="W5484" s="124"/>
      <c r="X5484" s="126" t="s">
        <v>16587</v>
      </c>
      <c r="Y5484" s="127"/>
      <c r="Z5484" s="127"/>
      <c r="AA5484" s="127"/>
      <c r="AB5484" s="128"/>
      <c r="AC5484" s="15" t="s">
        <v>20</v>
      </c>
      <c r="AD5484" s="129" t="s">
        <v>3828</v>
      </c>
      <c r="AE5484" s="130"/>
      <c r="AF5484" s="130"/>
      <c r="AG5484" s="130"/>
      <c r="AH5484" s="130"/>
      <c r="AI5484" s="131"/>
      <c r="AJ5484" s="132"/>
      <c r="AK5484" s="127"/>
      <c r="AL5484" s="128"/>
      <c r="AM5484" s="21"/>
      <c r="AN5484" s="133">
        <v>46067</v>
      </c>
      <c r="AO5484" s="134"/>
      <c r="AP5484" s="135">
        <v>1288</v>
      </c>
      <c r="AQ5484" s="136"/>
      <c r="AR5484" s="118">
        <v>805000</v>
      </c>
      <c r="AS5484" s="119"/>
      <c r="AT5484" s="118">
        <f t="shared" ref="AT5484" si="6914">AR5484*0.1</f>
        <v>80500</v>
      </c>
      <c r="AU5484" s="119"/>
      <c r="AV5484" s="118">
        <v>18960</v>
      </c>
      <c r="AW5484" s="119"/>
      <c r="AX5484" s="118">
        <f t="shared" ref="AX5484" si="6915">SUM(AR5484:AW5484)</f>
        <v>904460</v>
      </c>
      <c r="AY5484" s="119"/>
      <c r="AZ5484" s="137">
        <v>46070</v>
      </c>
    </row>
    <row r="5485" spans="1:52" ht="17.100000000000001" customHeight="1" thickBot="1">
      <c r="A5485" s="110"/>
      <c r="B5485" s="27" t="s">
        <v>2511</v>
      </c>
      <c r="C5485" s="27">
        <v>82030</v>
      </c>
      <c r="D5485" s="14" t="s">
        <v>1883</v>
      </c>
      <c r="E5485" s="112"/>
      <c r="F5485" s="139" t="s">
        <v>16081</v>
      </c>
      <c r="G5485" s="140"/>
      <c r="H5485" s="141"/>
      <c r="I5485" s="26">
        <v>52372</v>
      </c>
      <c r="J5485" s="117"/>
      <c r="K5485" s="120"/>
      <c r="L5485" s="121"/>
      <c r="M5485" s="120"/>
      <c r="N5485" s="121"/>
      <c r="O5485" s="120"/>
      <c r="P5485" s="121"/>
      <c r="Q5485" s="120"/>
      <c r="R5485" s="121"/>
      <c r="S5485" s="120"/>
      <c r="T5485" s="121"/>
      <c r="U5485" s="120"/>
      <c r="V5485" s="123"/>
      <c r="W5485" s="125"/>
      <c r="X5485" s="142" t="s">
        <v>2887</v>
      </c>
      <c r="Y5485" s="143"/>
      <c r="Z5485" s="143"/>
      <c r="AA5485" s="143"/>
      <c r="AB5485" s="144"/>
      <c r="AC5485" s="16" t="s">
        <v>21</v>
      </c>
      <c r="AD5485" s="17" t="s">
        <v>2316</v>
      </c>
      <c r="AE5485" s="145" t="s">
        <v>1742</v>
      </c>
      <c r="AF5485" s="146"/>
      <c r="AG5485" s="146"/>
      <c r="AH5485" s="146"/>
      <c r="AI5485" s="147"/>
      <c r="AJ5485" s="148"/>
      <c r="AK5485" s="143"/>
      <c r="AL5485" s="144"/>
      <c r="AM5485" s="22"/>
      <c r="AN5485" s="149" t="s">
        <v>2511</v>
      </c>
      <c r="AO5485" s="144"/>
      <c r="AP5485" s="148">
        <v>80121</v>
      </c>
      <c r="AQ5485" s="144"/>
      <c r="AR5485" s="120"/>
      <c r="AS5485" s="121"/>
      <c r="AT5485" s="120"/>
      <c r="AU5485" s="121"/>
      <c r="AV5485" s="120"/>
      <c r="AW5485" s="121"/>
      <c r="AX5485" s="120"/>
      <c r="AY5485" s="121"/>
      <c r="AZ5485" s="138"/>
    </row>
    <row r="5486" spans="1:52" ht="17.100000000000001" customHeight="1" thickTop="1">
      <c r="A5486" s="109" t="s">
        <v>16061</v>
      </c>
      <c r="B5486" s="28">
        <v>46046</v>
      </c>
      <c r="C5486" s="25">
        <v>1285</v>
      </c>
      <c r="D5486" s="13" t="s">
        <v>4121</v>
      </c>
      <c r="E5486" s="111"/>
      <c r="F5486" s="113" t="s">
        <v>16057</v>
      </c>
      <c r="G5486" s="114"/>
      <c r="H5486" s="115"/>
      <c r="I5486" s="24" t="s">
        <v>4193</v>
      </c>
      <c r="J5486" s="116">
        <v>4.5</v>
      </c>
      <c r="K5486" s="118">
        <v>1915000</v>
      </c>
      <c r="L5486" s="119"/>
      <c r="M5486" s="118">
        <f t="shared" ref="M5486" si="6916">K5486*0.1</f>
        <v>191500</v>
      </c>
      <c r="N5486" s="119"/>
      <c r="O5486" s="118">
        <v>7150</v>
      </c>
      <c r="P5486" s="119"/>
      <c r="Q5486" s="118">
        <v>19090</v>
      </c>
      <c r="R5486" s="119"/>
      <c r="S5486" s="118">
        <v>16500</v>
      </c>
      <c r="T5486" s="119"/>
      <c r="U5486" s="118">
        <f t="shared" ref="U5486" si="6917">SUM(K5486:T5487)</f>
        <v>2149240</v>
      </c>
      <c r="V5486" s="122"/>
      <c r="W5486" s="124"/>
      <c r="X5486" s="126" t="s">
        <v>16083</v>
      </c>
      <c r="Y5486" s="127"/>
      <c r="Z5486" s="127"/>
      <c r="AA5486" s="127"/>
      <c r="AB5486" s="128"/>
      <c r="AC5486" s="15" t="s">
        <v>20</v>
      </c>
      <c r="AD5486" s="129" t="s">
        <v>7231</v>
      </c>
      <c r="AE5486" s="130"/>
      <c r="AF5486" s="130"/>
      <c r="AG5486" s="130"/>
      <c r="AH5486" s="130"/>
      <c r="AI5486" s="131"/>
      <c r="AJ5486" s="132"/>
      <c r="AK5486" s="127"/>
      <c r="AL5486" s="128"/>
      <c r="AM5486" s="21"/>
      <c r="AN5486" s="133"/>
      <c r="AO5486" s="134"/>
      <c r="AP5486" s="135"/>
      <c r="AQ5486" s="136"/>
      <c r="AR5486" s="118"/>
      <c r="AS5486" s="119"/>
      <c r="AT5486" s="118">
        <f t="shared" ref="AT5486" si="6918">AR5486*0.1</f>
        <v>0</v>
      </c>
      <c r="AU5486" s="119"/>
      <c r="AV5486" s="118"/>
      <c r="AW5486" s="119"/>
      <c r="AX5486" s="118">
        <f t="shared" ref="AX5486" si="6919">SUM(AR5486:AW5486)</f>
        <v>0</v>
      </c>
      <c r="AY5486" s="119"/>
      <c r="AZ5486" s="137"/>
    </row>
    <row r="5487" spans="1:52" ht="17.100000000000001" customHeight="1" thickBot="1">
      <c r="A5487" s="110"/>
      <c r="B5487" s="27" t="s">
        <v>2511</v>
      </c>
      <c r="C5487" s="27">
        <v>82187</v>
      </c>
      <c r="D5487" s="14" t="s">
        <v>275</v>
      </c>
      <c r="E5487" s="112"/>
      <c r="F5487" s="139" t="s">
        <v>16082</v>
      </c>
      <c r="G5487" s="140"/>
      <c r="H5487" s="141"/>
      <c r="I5487" s="26">
        <v>35282</v>
      </c>
      <c r="J5487" s="117"/>
      <c r="K5487" s="120"/>
      <c r="L5487" s="121"/>
      <c r="M5487" s="120"/>
      <c r="N5487" s="121"/>
      <c r="O5487" s="120"/>
      <c r="P5487" s="121"/>
      <c r="Q5487" s="120"/>
      <c r="R5487" s="121"/>
      <c r="S5487" s="120"/>
      <c r="T5487" s="121"/>
      <c r="U5487" s="120"/>
      <c r="V5487" s="123"/>
      <c r="W5487" s="125"/>
      <c r="X5487" s="142" t="s">
        <v>16590</v>
      </c>
      <c r="Y5487" s="143"/>
      <c r="Z5487" s="143"/>
      <c r="AA5487" s="143"/>
      <c r="AB5487" s="144"/>
      <c r="AC5487" s="16" t="s">
        <v>21</v>
      </c>
      <c r="AD5487" s="17" t="s">
        <v>2316</v>
      </c>
      <c r="AE5487" s="145" t="s">
        <v>1614</v>
      </c>
      <c r="AF5487" s="146"/>
      <c r="AG5487" s="146"/>
      <c r="AH5487" s="146"/>
      <c r="AI5487" s="147"/>
      <c r="AJ5487" s="148"/>
      <c r="AK5487" s="143"/>
      <c r="AL5487" s="144"/>
      <c r="AM5487" s="22"/>
      <c r="AN5487" s="149"/>
      <c r="AO5487" s="144"/>
      <c r="AP5487" s="148"/>
      <c r="AQ5487" s="144"/>
      <c r="AR5487" s="120"/>
      <c r="AS5487" s="121"/>
      <c r="AT5487" s="120"/>
      <c r="AU5487" s="121"/>
      <c r="AV5487" s="120"/>
      <c r="AW5487" s="121"/>
      <c r="AX5487" s="120"/>
      <c r="AY5487" s="121"/>
      <c r="AZ5487" s="138"/>
    </row>
    <row r="5488" spans="1:52" ht="17.100000000000001" customHeight="1" thickTop="1">
      <c r="A5488" s="109" t="s">
        <v>16062</v>
      </c>
      <c r="B5488" s="28">
        <v>46046</v>
      </c>
      <c r="C5488" s="25">
        <v>1285</v>
      </c>
      <c r="D5488" s="13" t="s">
        <v>2442</v>
      </c>
      <c r="E5488" s="111"/>
      <c r="F5488" s="113" t="s">
        <v>16058</v>
      </c>
      <c r="G5488" s="114"/>
      <c r="H5488" s="115"/>
      <c r="I5488" s="24"/>
      <c r="J5488" s="116">
        <v>4</v>
      </c>
      <c r="K5488" s="118">
        <v>1270000</v>
      </c>
      <c r="L5488" s="119"/>
      <c r="M5488" s="118">
        <f t="shared" ref="M5488" si="6920">K5488*0.1</f>
        <v>127000</v>
      </c>
      <c r="N5488" s="119"/>
      <c r="O5488" s="118">
        <v>0</v>
      </c>
      <c r="P5488" s="119"/>
      <c r="Q5488" s="118">
        <v>18920</v>
      </c>
      <c r="R5488" s="119"/>
      <c r="S5488" s="118">
        <v>16500</v>
      </c>
      <c r="T5488" s="119"/>
      <c r="U5488" s="118">
        <f t="shared" ref="U5488" si="6921">SUM(K5488:T5489)</f>
        <v>1432420</v>
      </c>
      <c r="V5488" s="122"/>
      <c r="W5488" s="124"/>
      <c r="X5488" s="126" t="s">
        <v>16574</v>
      </c>
      <c r="Y5488" s="127"/>
      <c r="Z5488" s="127"/>
      <c r="AA5488" s="127"/>
      <c r="AB5488" s="128"/>
      <c r="AC5488" s="15" t="s">
        <v>20</v>
      </c>
      <c r="AD5488" s="129"/>
      <c r="AE5488" s="130"/>
      <c r="AF5488" s="130"/>
      <c r="AG5488" s="130"/>
      <c r="AH5488" s="130"/>
      <c r="AI5488" s="131"/>
      <c r="AJ5488" s="132"/>
      <c r="AK5488" s="127"/>
      <c r="AL5488" s="128"/>
      <c r="AM5488" s="21"/>
      <c r="AN5488" s="133">
        <v>46051</v>
      </c>
      <c r="AO5488" s="134"/>
      <c r="AP5488" s="135">
        <v>1316</v>
      </c>
      <c r="AQ5488" s="136"/>
      <c r="AR5488" s="118">
        <v>1620000</v>
      </c>
      <c r="AS5488" s="119"/>
      <c r="AT5488" s="118">
        <f t="shared" ref="AT5488" si="6922">AR5488*0.1</f>
        <v>162000</v>
      </c>
      <c r="AU5488" s="119"/>
      <c r="AV5488" s="118">
        <v>18920</v>
      </c>
      <c r="AW5488" s="119"/>
      <c r="AX5488" s="118">
        <f t="shared" ref="AX5488" si="6923">SUM(AR5488:AW5488)</f>
        <v>1800920</v>
      </c>
      <c r="AY5488" s="119"/>
      <c r="AZ5488" s="137">
        <v>46052</v>
      </c>
    </row>
    <row r="5489" spans="1:52" ht="17.100000000000001" customHeight="1" thickBot="1">
      <c r="A5489" s="110"/>
      <c r="B5489" s="27" t="s">
        <v>2511</v>
      </c>
      <c r="C5489" s="27">
        <v>82519</v>
      </c>
      <c r="D5489" s="14" t="s">
        <v>1592</v>
      </c>
      <c r="E5489" s="112"/>
      <c r="F5489" s="139" t="s">
        <v>16084</v>
      </c>
      <c r="G5489" s="140"/>
      <c r="H5489" s="141"/>
      <c r="I5489" s="26">
        <v>24815</v>
      </c>
      <c r="J5489" s="117"/>
      <c r="K5489" s="120"/>
      <c r="L5489" s="121"/>
      <c r="M5489" s="120"/>
      <c r="N5489" s="121"/>
      <c r="O5489" s="120"/>
      <c r="P5489" s="121"/>
      <c r="Q5489" s="120"/>
      <c r="R5489" s="121"/>
      <c r="S5489" s="120"/>
      <c r="T5489" s="121"/>
      <c r="U5489" s="120"/>
      <c r="V5489" s="123"/>
      <c r="W5489" s="125"/>
      <c r="X5489" s="142" t="s">
        <v>2659</v>
      </c>
      <c r="Y5489" s="143"/>
      <c r="Z5489" s="143"/>
      <c r="AA5489" s="143"/>
      <c r="AB5489" s="144"/>
      <c r="AC5489" s="16" t="s">
        <v>21</v>
      </c>
      <c r="AD5489" s="17" t="s">
        <v>2316</v>
      </c>
      <c r="AE5489" s="145" t="s">
        <v>1581</v>
      </c>
      <c r="AF5489" s="146"/>
      <c r="AG5489" s="146"/>
      <c r="AH5489" s="146"/>
      <c r="AI5489" s="147"/>
      <c r="AJ5489" s="148"/>
      <c r="AK5489" s="143"/>
      <c r="AL5489" s="144"/>
      <c r="AM5489" s="22"/>
      <c r="AN5489" s="149" t="s">
        <v>13663</v>
      </c>
      <c r="AO5489" s="144"/>
      <c r="AP5489" s="148">
        <v>91</v>
      </c>
      <c r="AQ5489" s="144"/>
      <c r="AR5489" s="120"/>
      <c r="AS5489" s="121"/>
      <c r="AT5489" s="120"/>
      <c r="AU5489" s="121"/>
      <c r="AV5489" s="120"/>
      <c r="AW5489" s="121"/>
      <c r="AX5489" s="120"/>
      <c r="AY5489" s="121"/>
      <c r="AZ5489" s="138"/>
    </row>
    <row r="5490" spans="1:52" ht="17.100000000000001" customHeight="1" thickTop="1">
      <c r="A5490" s="109" t="s">
        <v>16063</v>
      </c>
      <c r="B5490" s="28">
        <v>46046</v>
      </c>
      <c r="C5490" s="25">
        <v>1285</v>
      </c>
      <c r="D5490" s="13" t="s">
        <v>1902</v>
      </c>
      <c r="E5490" s="111"/>
      <c r="F5490" s="113" t="s">
        <v>16059</v>
      </c>
      <c r="G5490" s="114"/>
      <c r="H5490" s="115"/>
      <c r="I5490" s="24"/>
      <c r="J5490" s="116">
        <v>4</v>
      </c>
      <c r="K5490" s="118">
        <v>2470000</v>
      </c>
      <c r="L5490" s="119"/>
      <c r="M5490" s="118">
        <f t="shared" ref="M5490" si="6924">K5490*0.1</f>
        <v>247000</v>
      </c>
      <c r="N5490" s="119"/>
      <c r="O5490" s="118">
        <v>0</v>
      </c>
      <c r="P5490" s="119"/>
      <c r="Q5490" s="118">
        <v>16240</v>
      </c>
      <c r="R5490" s="119"/>
      <c r="S5490" s="118">
        <v>16500</v>
      </c>
      <c r="T5490" s="119"/>
      <c r="U5490" s="118">
        <f t="shared" ref="U5490" si="6925">SUM(K5490:T5491)</f>
        <v>2749740</v>
      </c>
      <c r="V5490" s="122"/>
      <c r="W5490" s="124"/>
      <c r="X5490" s="126" t="s">
        <v>16588</v>
      </c>
      <c r="Y5490" s="127"/>
      <c r="Z5490" s="127"/>
      <c r="AA5490" s="127"/>
      <c r="AB5490" s="128"/>
      <c r="AC5490" s="15" t="s">
        <v>20</v>
      </c>
      <c r="AD5490" s="129"/>
      <c r="AE5490" s="130"/>
      <c r="AF5490" s="130"/>
      <c r="AG5490" s="130"/>
      <c r="AH5490" s="130"/>
      <c r="AI5490" s="131"/>
      <c r="AJ5490" s="132"/>
      <c r="AK5490" s="127"/>
      <c r="AL5490" s="128"/>
      <c r="AM5490" s="21"/>
      <c r="AN5490" s="133"/>
      <c r="AO5490" s="134"/>
      <c r="AP5490" s="135"/>
      <c r="AQ5490" s="136"/>
      <c r="AR5490" s="118"/>
      <c r="AS5490" s="119"/>
      <c r="AT5490" s="118">
        <f t="shared" ref="AT5490" si="6926">AR5490*0.1</f>
        <v>0</v>
      </c>
      <c r="AU5490" s="119"/>
      <c r="AV5490" s="118"/>
      <c r="AW5490" s="119"/>
      <c r="AX5490" s="118">
        <f t="shared" ref="AX5490" si="6927">SUM(AR5490:AW5490)</f>
        <v>0</v>
      </c>
      <c r="AY5490" s="119"/>
      <c r="AZ5490" s="137"/>
    </row>
    <row r="5491" spans="1:52" ht="17.100000000000001" customHeight="1" thickBot="1">
      <c r="A5491" s="110"/>
      <c r="B5491" s="27" t="s">
        <v>2511</v>
      </c>
      <c r="C5491" s="27">
        <v>82542</v>
      </c>
      <c r="D5491" s="14" t="s">
        <v>275</v>
      </c>
      <c r="E5491" s="112"/>
      <c r="F5491" s="139" t="s">
        <v>16085</v>
      </c>
      <c r="G5491" s="140"/>
      <c r="H5491" s="141"/>
      <c r="I5491" s="26">
        <v>37564</v>
      </c>
      <c r="J5491" s="117"/>
      <c r="K5491" s="120"/>
      <c r="L5491" s="121"/>
      <c r="M5491" s="120"/>
      <c r="N5491" s="121"/>
      <c r="O5491" s="120"/>
      <c r="P5491" s="121"/>
      <c r="Q5491" s="120"/>
      <c r="R5491" s="121"/>
      <c r="S5491" s="120"/>
      <c r="T5491" s="121"/>
      <c r="U5491" s="120"/>
      <c r="V5491" s="123"/>
      <c r="W5491" s="125"/>
      <c r="X5491" s="142" t="s">
        <v>16589</v>
      </c>
      <c r="Y5491" s="143"/>
      <c r="Z5491" s="143"/>
      <c r="AA5491" s="143"/>
      <c r="AB5491" s="144"/>
      <c r="AC5491" s="16" t="s">
        <v>21</v>
      </c>
      <c r="AD5491" s="17" t="s">
        <v>2316</v>
      </c>
      <c r="AE5491" s="145"/>
      <c r="AF5491" s="146"/>
      <c r="AG5491" s="146"/>
      <c r="AH5491" s="146"/>
      <c r="AI5491" s="147"/>
      <c r="AJ5491" s="148"/>
      <c r="AK5491" s="143"/>
      <c r="AL5491" s="144"/>
      <c r="AM5491" s="22"/>
      <c r="AN5491" s="149"/>
      <c r="AO5491" s="144"/>
      <c r="AP5491" s="148"/>
      <c r="AQ5491" s="144"/>
      <c r="AR5491" s="120"/>
      <c r="AS5491" s="121"/>
      <c r="AT5491" s="120"/>
      <c r="AU5491" s="121"/>
      <c r="AV5491" s="120"/>
      <c r="AW5491" s="121"/>
      <c r="AX5491" s="120"/>
      <c r="AY5491" s="121"/>
      <c r="AZ5491" s="138"/>
    </row>
    <row r="5492" spans="1:52" ht="17.100000000000001" customHeight="1" thickTop="1">
      <c r="A5492" s="109" t="s">
        <v>16100</v>
      </c>
      <c r="B5492" s="28">
        <v>46046</v>
      </c>
      <c r="C5492" s="25">
        <v>1703</v>
      </c>
      <c r="D5492" s="13" t="s">
        <v>3461</v>
      </c>
      <c r="E5492" s="111"/>
      <c r="F5492" s="113" t="s">
        <v>16097</v>
      </c>
      <c r="G5492" s="114"/>
      <c r="H5492" s="115"/>
      <c r="I5492" s="24"/>
      <c r="J5492" s="116">
        <v>4.5</v>
      </c>
      <c r="K5492" s="118">
        <v>3195000</v>
      </c>
      <c r="L5492" s="119"/>
      <c r="M5492" s="118">
        <f t="shared" ref="M5492" si="6928">K5492*0.1</f>
        <v>319500</v>
      </c>
      <c r="N5492" s="119"/>
      <c r="O5492" s="118">
        <v>0</v>
      </c>
      <c r="P5492" s="119"/>
      <c r="Q5492" s="118">
        <v>20170</v>
      </c>
      <c r="R5492" s="119"/>
      <c r="S5492" s="118">
        <v>16500</v>
      </c>
      <c r="T5492" s="119"/>
      <c r="U5492" s="118">
        <f t="shared" ref="U5492" si="6929">SUM(K5492:T5493)</f>
        <v>3551170</v>
      </c>
      <c r="V5492" s="122"/>
      <c r="W5492" s="124"/>
      <c r="X5492" s="126" t="s">
        <v>16591</v>
      </c>
      <c r="Y5492" s="127"/>
      <c r="Z5492" s="127"/>
      <c r="AA5492" s="127"/>
      <c r="AB5492" s="128"/>
      <c r="AC5492" s="15" t="s">
        <v>20</v>
      </c>
      <c r="AD5492" s="129" t="s">
        <v>1732</v>
      </c>
      <c r="AE5492" s="130"/>
      <c r="AF5492" s="130"/>
      <c r="AG5492" s="130"/>
      <c r="AH5492" s="130"/>
      <c r="AI5492" s="131"/>
      <c r="AJ5492" s="132"/>
      <c r="AK5492" s="127"/>
      <c r="AL5492" s="128"/>
      <c r="AM5492" s="21"/>
      <c r="AN5492" s="133">
        <v>46053</v>
      </c>
      <c r="AO5492" s="134"/>
      <c r="AP5492" s="135">
        <v>1286</v>
      </c>
      <c r="AQ5492" s="136"/>
      <c r="AR5492" s="118">
        <v>3390000</v>
      </c>
      <c r="AS5492" s="119"/>
      <c r="AT5492" s="118">
        <f t="shared" ref="AT5492" si="6930">AR5492*0.1</f>
        <v>339000</v>
      </c>
      <c r="AU5492" s="119"/>
      <c r="AV5492" s="118">
        <v>20170</v>
      </c>
      <c r="AW5492" s="119"/>
      <c r="AX5492" s="118">
        <f t="shared" ref="AX5492" si="6931">SUM(AR5492:AW5492)</f>
        <v>3749170</v>
      </c>
      <c r="AY5492" s="119"/>
      <c r="AZ5492" s="137">
        <v>46056</v>
      </c>
    </row>
    <row r="5493" spans="1:52" ht="17.100000000000001" customHeight="1" thickBot="1">
      <c r="A5493" s="110"/>
      <c r="B5493" s="27" t="s">
        <v>1859</v>
      </c>
      <c r="C5493" s="27">
        <v>579</v>
      </c>
      <c r="D5493" s="14" t="s">
        <v>1592</v>
      </c>
      <c r="E5493" s="112"/>
      <c r="F5493" s="139" t="s">
        <v>16098</v>
      </c>
      <c r="G5493" s="140"/>
      <c r="H5493" s="141"/>
      <c r="I5493" s="26">
        <v>57382</v>
      </c>
      <c r="J5493" s="117"/>
      <c r="K5493" s="120"/>
      <c r="L5493" s="121"/>
      <c r="M5493" s="120"/>
      <c r="N5493" s="121"/>
      <c r="O5493" s="120"/>
      <c r="P5493" s="121"/>
      <c r="Q5493" s="120"/>
      <c r="R5493" s="121"/>
      <c r="S5493" s="120"/>
      <c r="T5493" s="121"/>
      <c r="U5493" s="120"/>
      <c r="V5493" s="123"/>
      <c r="W5493" s="125"/>
      <c r="X5493" s="142" t="s">
        <v>16592</v>
      </c>
      <c r="Y5493" s="143"/>
      <c r="Z5493" s="143"/>
      <c r="AA5493" s="143"/>
      <c r="AB5493" s="144"/>
      <c r="AC5493" s="16" t="s">
        <v>21</v>
      </c>
      <c r="AD5493" s="17" t="s">
        <v>2316</v>
      </c>
      <c r="AE5493" s="145" t="s">
        <v>1614</v>
      </c>
      <c r="AF5493" s="146"/>
      <c r="AG5493" s="146"/>
      <c r="AH5493" s="146"/>
      <c r="AI5493" s="147"/>
      <c r="AJ5493" s="148"/>
      <c r="AK5493" s="143"/>
      <c r="AL5493" s="144"/>
      <c r="AM5493" s="22"/>
      <c r="AN5493" s="149" t="s">
        <v>2511</v>
      </c>
      <c r="AO5493" s="144"/>
      <c r="AP5493" s="148">
        <v>80222</v>
      </c>
      <c r="AQ5493" s="144"/>
      <c r="AR5493" s="120"/>
      <c r="AS5493" s="121"/>
      <c r="AT5493" s="120"/>
      <c r="AU5493" s="121"/>
      <c r="AV5493" s="120"/>
      <c r="AW5493" s="121"/>
      <c r="AX5493" s="120"/>
      <c r="AY5493" s="121"/>
      <c r="AZ5493" s="138"/>
    </row>
    <row r="5494" spans="1:52" ht="17.100000000000001" customHeight="1" thickTop="1">
      <c r="A5494" s="109" t="s">
        <v>16101</v>
      </c>
      <c r="B5494" s="28">
        <v>46046</v>
      </c>
      <c r="C5494" s="25">
        <v>1703</v>
      </c>
      <c r="D5494" s="13" t="s">
        <v>2914</v>
      </c>
      <c r="E5494" s="111"/>
      <c r="F5494" s="113" t="s">
        <v>16102</v>
      </c>
      <c r="G5494" s="114"/>
      <c r="H5494" s="115"/>
      <c r="I5494" s="24" t="s">
        <v>2064</v>
      </c>
      <c r="J5494" s="116">
        <v>4.5</v>
      </c>
      <c r="K5494" s="118">
        <v>1375000</v>
      </c>
      <c r="L5494" s="119"/>
      <c r="M5494" s="118">
        <f t="shared" ref="M5494" si="6932">K5494*0.1</f>
        <v>137500</v>
      </c>
      <c r="N5494" s="119"/>
      <c r="O5494" s="118">
        <f>6500+650</f>
        <v>7150</v>
      </c>
      <c r="P5494" s="119"/>
      <c r="Q5494" s="118">
        <v>22240</v>
      </c>
      <c r="R5494" s="119"/>
      <c r="S5494" s="118">
        <v>16500</v>
      </c>
      <c r="T5494" s="119"/>
      <c r="U5494" s="118">
        <f t="shared" ref="U5494" si="6933">SUM(K5494:T5495)</f>
        <v>1558390</v>
      </c>
      <c r="V5494" s="122"/>
      <c r="W5494" s="124"/>
      <c r="X5494" s="126" t="s">
        <v>16103</v>
      </c>
      <c r="Y5494" s="127"/>
      <c r="Z5494" s="127"/>
      <c r="AA5494" s="127"/>
      <c r="AB5494" s="128"/>
      <c r="AC5494" s="15" t="s">
        <v>20</v>
      </c>
      <c r="AD5494" s="129" t="s">
        <v>2781</v>
      </c>
      <c r="AE5494" s="130"/>
      <c r="AF5494" s="130"/>
      <c r="AG5494" s="130"/>
      <c r="AH5494" s="130"/>
      <c r="AI5494" s="131"/>
      <c r="AJ5494" s="132"/>
      <c r="AK5494" s="127"/>
      <c r="AL5494" s="128"/>
      <c r="AM5494" s="21"/>
      <c r="AN5494" s="133"/>
      <c r="AO5494" s="134"/>
      <c r="AP5494" s="135"/>
      <c r="AQ5494" s="136"/>
      <c r="AR5494" s="118"/>
      <c r="AS5494" s="119"/>
      <c r="AT5494" s="118">
        <f t="shared" ref="AT5494" si="6934">AR5494*0.1</f>
        <v>0</v>
      </c>
      <c r="AU5494" s="119"/>
      <c r="AV5494" s="118"/>
      <c r="AW5494" s="119"/>
      <c r="AX5494" s="118">
        <f t="shared" ref="AX5494" si="6935">SUM(AR5494:AW5494)</f>
        <v>0</v>
      </c>
      <c r="AY5494" s="119"/>
      <c r="AZ5494" s="137"/>
    </row>
    <row r="5495" spans="1:52" ht="17.100000000000001" customHeight="1" thickBot="1">
      <c r="A5495" s="110"/>
      <c r="B5495" s="27" t="s">
        <v>1859</v>
      </c>
      <c r="C5495" s="27">
        <v>829</v>
      </c>
      <c r="D5495" s="14" t="s">
        <v>2800</v>
      </c>
      <c r="E5495" s="112"/>
      <c r="F5495" s="139" t="s">
        <v>16099</v>
      </c>
      <c r="G5495" s="140"/>
      <c r="H5495" s="141"/>
      <c r="I5495" s="26">
        <v>29592</v>
      </c>
      <c r="J5495" s="117"/>
      <c r="K5495" s="120"/>
      <c r="L5495" s="121"/>
      <c r="M5495" s="120"/>
      <c r="N5495" s="121"/>
      <c r="O5495" s="120"/>
      <c r="P5495" s="121"/>
      <c r="Q5495" s="120"/>
      <c r="R5495" s="121"/>
      <c r="S5495" s="120"/>
      <c r="T5495" s="121"/>
      <c r="U5495" s="120"/>
      <c r="V5495" s="123"/>
      <c r="W5495" s="125"/>
      <c r="X5495" s="142" t="s">
        <v>5168</v>
      </c>
      <c r="Y5495" s="143"/>
      <c r="Z5495" s="143"/>
      <c r="AA5495" s="143"/>
      <c r="AB5495" s="144"/>
      <c r="AC5495" s="16" t="s">
        <v>21</v>
      </c>
      <c r="AD5495" s="17" t="s">
        <v>16392</v>
      </c>
      <c r="AE5495" s="145" t="s">
        <v>2832</v>
      </c>
      <c r="AF5495" s="146"/>
      <c r="AG5495" s="146"/>
      <c r="AH5495" s="146"/>
      <c r="AI5495" s="147"/>
      <c r="AJ5495" s="148"/>
      <c r="AK5495" s="143"/>
      <c r="AL5495" s="144"/>
      <c r="AM5495" s="22"/>
      <c r="AN5495" s="149"/>
      <c r="AO5495" s="144"/>
      <c r="AP5495" s="148"/>
      <c r="AQ5495" s="144"/>
      <c r="AR5495" s="120"/>
      <c r="AS5495" s="121"/>
      <c r="AT5495" s="120"/>
      <c r="AU5495" s="121"/>
      <c r="AV5495" s="120"/>
      <c r="AW5495" s="121"/>
      <c r="AX5495" s="120"/>
      <c r="AY5495" s="121"/>
      <c r="AZ5495" s="138"/>
    </row>
    <row r="5496" spans="1:52" ht="17.100000000000001" customHeight="1" thickTop="1">
      <c r="A5496" s="109" t="s">
        <v>16111</v>
      </c>
      <c r="B5496" s="28">
        <v>46047</v>
      </c>
      <c r="C5496" s="25"/>
      <c r="D5496" s="13" t="s">
        <v>1906</v>
      </c>
      <c r="E5496" s="111"/>
      <c r="F5496" s="113" t="s">
        <v>16108</v>
      </c>
      <c r="G5496" s="114"/>
      <c r="H5496" s="115"/>
      <c r="I5496" s="24" t="s">
        <v>16110</v>
      </c>
      <c r="J5496" s="116">
        <v>4.5</v>
      </c>
      <c r="K5496" s="118">
        <f>1160500/1.1</f>
        <v>1055000</v>
      </c>
      <c r="L5496" s="119"/>
      <c r="M5496" s="118">
        <f t="shared" ref="M5496" si="6936">K5496*0.1</f>
        <v>105500</v>
      </c>
      <c r="N5496" s="119"/>
      <c r="O5496" s="118">
        <v>0</v>
      </c>
      <c r="P5496" s="119"/>
      <c r="Q5496" s="118">
        <v>5690</v>
      </c>
      <c r="R5496" s="119"/>
      <c r="S5496" s="118">
        <v>0</v>
      </c>
      <c r="T5496" s="119"/>
      <c r="U5496" s="118">
        <f t="shared" ref="U5496" si="6937">SUM(K5496:T5497)</f>
        <v>1166190</v>
      </c>
      <c r="V5496" s="122"/>
      <c r="W5496" s="124"/>
      <c r="X5496" s="126" t="s">
        <v>16768</v>
      </c>
      <c r="Y5496" s="127"/>
      <c r="Z5496" s="127"/>
      <c r="AA5496" s="127"/>
      <c r="AB5496" s="128"/>
      <c r="AC5496" s="15" t="s">
        <v>20</v>
      </c>
      <c r="AD5496" s="129" t="s">
        <v>1605</v>
      </c>
      <c r="AE5496" s="130"/>
      <c r="AF5496" s="130"/>
      <c r="AG5496" s="130"/>
      <c r="AH5496" s="130"/>
      <c r="AI5496" s="131"/>
      <c r="AJ5496" s="132"/>
      <c r="AK5496" s="127"/>
      <c r="AL5496" s="128"/>
      <c r="AM5496" s="21"/>
      <c r="AN5496" s="133">
        <v>46064</v>
      </c>
      <c r="AO5496" s="134"/>
      <c r="AP5496" s="135">
        <v>1004</v>
      </c>
      <c r="AQ5496" s="136"/>
      <c r="AR5496" s="118">
        <v>1140000</v>
      </c>
      <c r="AS5496" s="119"/>
      <c r="AT5496" s="118">
        <f t="shared" ref="AT5496" si="6938">AR5496*0.1</f>
        <v>114000</v>
      </c>
      <c r="AU5496" s="119"/>
      <c r="AV5496" s="118">
        <v>5690</v>
      </c>
      <c r="AW5496" s="119"/>
      <c r="AX5496" s="118">
        <f t="shared" ref="AX5496" si="6939">SUM(AR5496:AW5496)</f>
        <v>1259690</v>
      </c>
      <c r="AY5496" s="119"/>
      <c r="AZ5496" s="137">
        <v>46069</v>
      </c>
    </row>
    <row r="5497" spans="1:52" ht="17.100000000000001" customHeight="1" thickBot="1">
      <c r="A5497" s="110"/>
      <c r="B5497" s="27" t="s">
        <v>1718</v>
      </c>
      <c r="C5497" s="27" t="s">
        <v>16107</v>
      </c>
      <c r="D5497" s="14" t="s">
        <v>275</v>
      </c>
      <c r="E5497" s="112"/>
      <c r="F5497" s="139" t="s">
        <v>16109</v>
      </c>
      <c r="G5497" s="140"/>
      <c r="H5497" s="141"/>
      <c r="I5497" s="26">
        <v>9910</v>
      </c>
      <c r="J5497" s="117"/>
      <c r="K5497" s="120"/>
      <c r="L5497" s="121"/>
      <c r="M5497" s="120"/>
      <c r="N5497" s="121"/>
      <c r="O5497" s="120"/>
      <c r="P5497" s="121"/>
      <c r="Q5497" s="120"/>
      <c r="R5497" s="121"/>
      <c r="S5497" s="120"/>
      <c r="T5497" s="121"/>
      <c r="U5497" s="120"/>
      <c r="V5497" s="123"/>
      <c r="W5497" s="125"/>
      <c r="X5497" s="142" t="s">
        <v>16769</v>
      </c>
      <c r="Y5497" s="143"/>
      <c r="Z5497" s="143"/>
      <c r="AA5497" s="143"/>
      <c r="AB5497" s="144"/>
      <c r="AC5497" s="16" t="s">
        <v>21</v>
      </c>
      <c r="AD5497" s="17" t="s">
        <v>2329</v>
      </c>
      <c r="AE5497" s="145" t="s">
        <v>16770</v>
      </c>
      <c r="AF5497" s="146"/>
      <c r="AG5497" s="146"/>
      <c r="AH5497" s="146"/>
      <c r="AI5497" s="147"/>
      <c r="AJ5497" s="148"/>
      <c r="AK5497" s="143"/>
      <c r="AL5497" s="144"/>
      <c r="AM5497" s="22"/>
      <c r="AN5497" s="149" t="s">
        <v>2794</v>
      </c>
      <c r="AO5497" s="144"/>
      <c r="AP5497" s="148">
        <v>5082</v>
      </c>
      <c r="AQ5497" s="144"/>
      <c r="AR5497" s="120"/>
      <c r="AS5497" s="121"/>
      <c r="AT5497" s="120"/>
      <c r="AU5497" s="121"/>
      <c r="AV5497" s="120"/>
      <c r="AW5497" s="121"/>
      <c r="AX5497" s="120"/>
      <c r="AY5497" s="121"/>
      <c r="AZ5497" s="138"/>
    </row>
    <row r="5498" spans="1:52" ht="17.100000000000001" customHeight="1" thickTop="1">
      <c r="A5498" s="109" t="s">
        <v>16153</v>
      </c>
      <c r="B5498" s="28">
        <v>46048</v>
      </c>
      <c r="C5498" s="25"/>
      <c r="D5498" s="13" t="s">
        <v>1803</v>
      </c>
      <c r="E5498" s="111"/>
      <c r="F5498" s="113" t="s">
        <v>7632</v>
      </c>
      <c r="G5498" s="114"/>
      <c r="H5498" s="115"/>
      <c r="I5498" s="24" t="s">
        <v>8230</v>
      </c>
      <c r="J5498" s="116">
        <v>4.5</v>
      </c>
      <c r="K5498" s="118">
        <f>680900/1.1</f>
        <v>619000</v>
      </c>
      <c r="L5498" s="119"/>
      <c r="M5498" s="118">
        <f t="shared" ref="M5498" si="6940">K5498*0.1</f>
        <v>61900</v>
      </c>
      <c r="N5498" s="119"/>
      <c r="O5498" s="118">
        <v>0</v>
      </c>
      <c r="P5498" s="119"/>
      <c r="Q5498" s="118">
        <v>7950</v>
      </c>
      <c r="R5498" s="119"/>
      <c r="S5498" s="118">
        <v>0</v>
      </c>
      <c r="T5498" s="119"/>
      <c r="U5498" s="118">
        <f t="shared" ref="U5498" si="6941">SUM(K5498:T5499)</f>
        <v>688850</v>
      </c>
      <c r="V5498" s="122"/>
      <c r="W5498" s="124"/>
      <c r="X5498" s="126" t="s">
        <v>18912</v>
      </c>
      <c r="Y5498" s="127"/>
      <c r="Z5498" s="127"/>
      <c r="AA5498" s="127"/>
      <c r="AB5498" s="128"/>
      <c r="AC5498" s="15" t="s">
        <v>20</v>
      </c>
      <c r="AD5498" s="129" t="s">
        <v>8269</v>
      </c>
      <c r="AE5498" s="130"/>
      <c r="AF5498" s="130"/>
      <c r="AG5498" s="130"/>
      <c r="AH5498" s="130"/>
      <c r="AI5498" s="131"/>
      <c r="AJ5498" s="132"/>
      <c r="AK5498" s="127"/>
      <c r="AL5498" s="128"/>
      <c r="AM5498" s="21"/>
      <c r="AN5498" s="133">
        <v>46077</v>
      </c>
      <c r="AO5498" s="134"/>
      <c r="AP5498" s="135">
        <v>1930</v>
      </c>
      <c r="AQ5498" s="136"/>
      <c r="AR5498" s="118">
        <v>824000</v>
      </c>
      <c r="AS5498" s="119"/>
      <c r="AT5498" s="118">
        <f t="shared" ref="AT5498" si="6942">AR5498*0.1</f>
        <v>82400</v>
      </c>
      <c r="AU5498" s="119"/>
      <c r="AV5498" s="118">
        <v>7950</v>
      </c>
      <c r="AW5498" s="119"/>
      <c r="AX5498" s="118">
        <f t="shared" ref="AX5498" si="6943">SUM(AR5498:AW5498)</f>
        <v>914350</v>
      </c>
      <c r="AY5498" s="119"/>
      <c r="AZ5498" s="137"/>
    </row>
    <row r="5499" spans="1:52" ht="17.100000000000001" customHeight="1" thickBot="1">
      <c r="A5499" s="110"/>
      <c r="B5499" s="27" t="s">
        <v>1718</v>
      </c>
      <c r="C5499" s="27" t="s">
        <v>16115</v>
      </c>
      <c r="D5499" s="14" t="s">
        <v>3855</v>
      </c>
      <c r="E5499" s="112"/>
      <c r="F5499" s="139" t="s">
        <v>16116</v>
      </c>
      <c r="G5499" s="140"/>
      <c r="H5499" s="141"/>
      <c r="I5499" s="26">
        <v>23779</v>
      </c>
      <c r="J5499" s="117"/>
      <c r="K5499" s="120"/>
      <c r="L5499" s="121"/>
      <c r="M5499" s="120"/>
      <c r="N5499" s="121"/>
      <c r="O5499" s="120"/>
      <c r="P5499" s="121"/>
      <c r="Q5499" s="120"/>
      <c r="R5499" s="121"/>
      <c r="S5499" s="120"/>
      <c r="T5499" s="121"/>
      <c r="U5499" s="120"/>
      <c r="V5499" s="123"/>
      <c r="W5499" s="125"/>
      <c r="X5499" s="142" t="s">
        <v>18913</v>
      </c>
      <c r="Y5499" s="143"/>
      <c r="Z5499" s="143"/>
      <c r="AA5499" s="143"/>
      <c r="AB5499" s="144"/>
      <c r="AC5499" s="16" t="s">
        <v>21</v>
      </c>
      <c r="AD5499" s="17" t="s">
        <v>3616</v>
      </c>
      <c r="AE5499" s="145" t="s">
        <v>171</v>
      </c>
      <c r="AF5499" s="146"/>
      <c r="AG5499" s="146"/>
      <c r="AH5499" s="146"/>
      <c r="AI5499" s="147"/>
      <c r="AJ5499" s="148"/>
      <c r="AK5499" s="143"/>
      <c r="AL5499" s="144"/>
      <c r="AM5499" s="22"/>
      <c r="AN5499" s="149" t="s">
        <v>2131</v>
      </c>
      <c r="AO5499" s="144"/>
      <c r="AP5499" s="148">
        <v>3251</v>
      </c>
      <c r="AQ5499" s="144"/>
      <c r="AR5499" s="120"/>
      <c r="AS5499" s="121"/>
      <c r="AT5499" s="120"/>
      <c r="AU5499" s="121"/>
      <c r="AV5499" s="120"/>
      <c r="AW5499" s="121"/>
      <c r="AX5499" s="120"/>
      <c r="AY5499" s="121"/>
      <c r="AZ5499" s="138"/>
    </row>
    <row r="5500" spans="1:52" ht="17.100000000000001" customHeight="1" thickTop="1">
      <c r="A5500" s="109" t="s">
        <v>16154</v>
      </c>
      <c r="B5500" s="28">
        <v>46048</v>
      </c>
      <c r="C5500" s="25"/>
      <c r="D5500" s="13" t="s">
        <v>1667</v>
      </c>
      <c r="E5500" s="111"/>
      <c r="F5500" s="113" t="s">
        <v>16123</v>
      </c>
      <c r="G5500" s="114"/>
      <c r="H5500" s="115"/>
      <c r="I5500" s="24" t="s">
        <v>5658</v>
      </c>
      <c r="J5500" s="116">
        <v>4.5</v>
      </c>
      <c r="K5500" s="118">
        <f>3454000/1.1</f>
        <v>3139999.9999999995</v>
      </c>
      <c r="L5500" s="119"/>
      <c r="M5500" s="118">
        <f t="shared" ref="M5500" si="6944">K5500*0.1</f>
        <v>313999.99999999994</v>
      </c>
      <c r="N5500" s="119"/>
      <c r="O5500" s="118">
        <v>3200</v>
      </c>
      <c r="P5500" s="119"/>
      <c r="Q5500" s="118">
        <v>12420</v>
      </c>
      <c r="R5500" s="119"/>
      <c r="S5500" s="118">
        <v>0</v>
      </c>
      <c r="T5500" s="119"/>
      <c r="U5500" s="118">
        <f t="shared" ref="U5500" si="6945">SUM(K5500:T5501)</f>
        <v>3469619.9999999995</v>
      </c>
      <c r="V5500" s="122"/>
      <c r="W5500" s="124"/>
      <c r="X5500" s="126" t="s">
        <v>18308</v>
      </c>
      <c r="Y5500" s="127"/>
      <c r="Z5500" s="127"/>
      <c r="AA5500" s="127"/>
      <c r="AB5500" s="128"/>
      <c r="AC5500" s="15" t="s">
        <v>20</v>
      </c>
      <c r="AD5500" s="129" t="s">
        <v>4883</v>
      </c>
      <c r="AE5500" s="130"/>
      <c r="AF5500" s="130"/>
      <c r="AG5500" s="130"/>
      <c r="AH5500" s="130"/>
      <c r="AI5500" s="131"/>
      <c r="AJ5500" s="132"/>
      <c r="AK5500" s="127"/>
      <c r="AL5500" s="128"/>
      <c r="AM5500" s="21" t="s">
        <v>19982</v>
      </c>
      <c r="AN5500" s="133"/>
      <c r="AO5500" s="134"/>
      <c r="AP5500" s="135"/>
      <c r="AQ5500" s="136"/>
      <c r="AR5500" s="118"/>
      <c r="AS5500" s="119"/>
      <c r="AT5500" s="118">
        <f t="shared" ref="AT5500" si="6946">AR5500*0.1</f>
        <v>0</v>
      </c>
      <c r="AU5500" s="119"/>
      <c r="AV5500" s="118"/>
      <c r="AW5500" s="119"/>
      <c r="AX5500" s="118">
        <f t="shared" ref="AX5500" si="6947">SUM(AR5500:AW5500)</f>
        <v>0</v>
      </c>
      <c r="AY5500" s="119"/>
      <c r="AZ5500" s="137"/>
    </row>
    <row r="5501" spans="1:52" ht="17.100000000000001" customHeight="1" thickBot="1">
      <c r="A5501" s="110"/>
      <c r="B5501" s="27" t="s">
        <v>1718</v>
      </c>
      <c r="C5501" s="27" t="s">
        <v>16117</v>
      </c>
      <c r="D5501" s="14" t="s">
        <v>275</v>
      </c>
      <c r="E5501" s="112"/>
      <c r="F5501" s="139" t="s">
        <v>16118</v>
      </c>
      <c r="G5501" s="140"/>
      <c r="H5501" s="141"/>
      <c r="I5501" s="26">
        <v>10293</v>
      </c>
      <c r="J5501" s="117"/>
      <c r="K5501" s="120"/>
      <c r="L5501" s="121"/>
      <c r="M5501" s="120"/>
      <c r="N5501" s="121"/>
      <c r="O5501" s="120"/>
      <c r="P5501" s="121"/>
      <c r="Q5501" s="120"/>
      <c r="R5501" s="121"/>
      <c r="S5501" s="120"/>
      <c r="T5501" s="121"/>
      <c r="U5501" s="120"/>
      <c r="V5501" s="123"/>
      <c r="W5501" s="125"/>
      <c r="X5501" s="142" t="s">
        <v>2321</v>
      </c>
      <c r="Y5501" s="143"/>
      <c r="Z5501" s="143"/>
      <c r="AA5501" s="143"/>
      <c r="AB5501" s="144"/>
      <c r="AC5501" s="16" t="s">
        <v>21</v>
      </c>
      <c r="AD5501" s="17" t="s">
        <v>18305</v>
      </c>
      <c r="AE5501" s="145" t="s">
        <v>13768</v>
      </c>
      <c r="AF5501" s="146"/>
      <c r="AG5501" s="146"/>
      <c r="AH5501" s="146"/>
      <c r="AI5501" s="147"/>
      <c r="AJ5501" s="148"/>
      <c r="AK5501" s="143"/>
      <c r="AL5501" s="144"/>
      <c r="AM5501" s="22"/>
      <c r="AN5501" s="149"/>
      <c r="AO5501" s="144"/>
      <c r="AP5501" s="148"/>
      <c r="AQ5501" s="144"/>
      <c r="AR5501" s="120"/>
      <c r="AS5501" s="121"/>
      <c r="AT5501" s="120"/>
      <c r="AU5501" s="121"/>
      <c r="AV5501" s="120"/>
      <c r="AW5501" s="121"/>
      <c r="AX5501" s="120"/>
      <c r="AY5501" s="121"/>
      <c r="AZ5501" s="138"/>
    </row>
    <row r="5502" spans="1:52" ht="17.100000000000001" customHeight="1" thickTop="1">
      <c r="A5502" s="109" t="s">
        <v>16155</v>
      </c>
      <c r="B5502" s="28">
        <v>46048</v>
      </c>
      <c r="C5502" s="25"/>
      <c r="D5502" s="13" t="s">
        <v>1714</v>
      </c>
      <c r="E5502" s="111"/>
      <c r="F5502" s="113" t="s">
        <v>16025</v>
      </c>
      <c r="G5502" s="114"/>
      <c r="H5502" s="115"/>
      <c r="I5502" s="24" t="s">
        <v>7828</v>
      </c>
      <c r="J5502" s="116">
        <v>4.5</v>
      </c>
      <c r="K5502" s="118">
        <f>1104400/1.1</f>
        <v>1003999.9999999999</v>
      </c>
      <c r="L5502" s="119"/>
      <c r="M5502" s="118">
        <f t="shared" ref="M5502" si="6948">K5502*0.1</f>
        <v>100400</v>
      </c>
      <c r="N5502" s="119"/>
      <c r="O5502" s="118">
        <v>0</v>
      </c>
      <c r="P5502" s="119"/>
      <c r="Q5502" s="118">
        <v>8640</v>
      </c>
      <c r="R5502" s="119"/>
      <c r="S5502" s="118">
        <v>0</v>
      </c>
      <c r="T5502" s="119"/>
      <c r="U5502" s="118">
        <f t="shared" ref="U5502" si="6949">SUM(K5502:T5503)</f>
        <v>1113040</v>
      </c>
      <c r="V5502" s="122"/>
      <c r="W5502" s="124"/>
      <c r="X5502" s="126" t="s">
        <v>18940</v>
      </c>
      <c r="Y5502" s="127"/>
      <c r="Z5502" s="127"/>
      <c r="AA5502" s="127"/>
      <c r="AB5502" s="128"/>
      <c r="AC5502" s="15" t="s">
        <v>20</v>
      </c>
      <c r="AD5502" s="129" t="s">
        <v>1732</v>
      </c>
      <c r="AE5502" s="130"/>
      <c r="AF5502" s="130"/>
      <c r="AG5502" s="130"/>
      <c r="AH5502" s="130"/>
      <c r="AI5502" s="131"/>
      <c r="AJ5502" s="132"/>
      <c r="AK5502" s="127"/>
      <c r="AL5502" s="128"/>
      <c r="AM5502" s="21"/>
      <c r="AN5502" s="133">
        <v>46084</v>
      </c>
      <c r="AO5502" s="134"/>
      <c r="AP5502" s="135">
        <v>1931</v>
      </c>
      <c r="AQ5502" s="136"/>
      <c r="AR5502" s="118">
        <v>1052000</v>
      </c>
      <c r="AS5502" s="119"/>
      <c r="AT5502" s="118">
        <f t="shared" ref="AT5502" si="6950">AR5502*0.1</f>
        <v>105200</v>
      </c>
      <c r="AU5502" s="119"/>
      <c r="AV5502" s="118">
        <v>8640</v>
      </c>
      <c r="AW5502" s="119"/>
      <c r="AX5502" s="118">
        <f t="shared" ref="AX5502" si="6951">SUM(AR5502:AW5502)</f>
        <v>1165840</v>
      </c>
      <c r="AY5502" s="119"/>
      <c r="AZ5502" s="137">
        <v>46091</v>
      </c>
    </row>
    <row r="5503" spans="1:52" ht="17.100000000000001" customHeight="1" thickBot="1">
      <c r="A5503" s="110"/>
      <c r="B5503" s="27" t="s">
        <v>1718</v>
      </c>
      <c r="C5503" s="27" t="s">
        <v>16119</v>
      </c>
      <c r="D5503" s="14" t="s">
        <v>1812</v>
      </c>
      <c r="E5503" s="112"/>
      <c r="F5503" s="139" t="s">
        <v>16120</v>
      </c>
      <c r="G5503" s="140"/>
      <c r="H5503" s="141"/>
      <c r="I5503" s="26">
        <v>45961</v>
      </c>
      <c r="J5503" s="117"/>
      <c r="K5503" s="120"/>
      <c r="L5503" s="121"/>
      <c r="M5503" s="120"/>
      <c r="N5503" s="121"/>
      <c r="O5503" s="120"/>
      <c r="P5503" s="121"/>
      <c r="Q5503" s="120"/>
      <c r="R5503" s="121"/>
      <c r="S5503" s="120"/>
      <c r="T5503" s="121"/>
      <c r="U5503" s="120"/>
      <c r="V5503" s="123"/>
      <c r="W5503" s="125"/>
      <c r="X5503" s="142" t="s">
        <v>18941</v>
      </c>
      <c r="Y5503" s="143"/>
      <c r="Z5503" s="143"/>
      <c r="AA5503" s="143"/>
      <c r="AB5503" s="144"/>
      <c r="AC5503" s="16" t="s">
        <v>21</v>
      </c>
      <c r="AD5503" s="17" t="s">
        <v>3616</v>
      </c>
      <c r="AE5503" s="145" t="s">
        <v>19165</v>
      </c>
      <c r="AF5503" s="146"/>
      <c r="AG5503" s="146"/>
      <c r="AH5503" s="146"/>
      <c r="AI5503" s="147"/>
      <c r="AJ5503" s="148"/>
      <c r="AK5503" s="143"/>
      <c r="AL5503" s="144"/>
      <c r="AM5503" s="22"/>
      <c r="AN5503" s="149" t="s">
        <v>2131</v>
      </c>
      <c r="AO5503" s="144"/>
      <c r="AP5503" s="148">
        <v>3239</v>
      </c>
      <c r="AQ5503" s="144"/>
      <c r="AR5503" s="120"/>
      <c r="AS5503" s="121"/>
      <c r="AT5503" s="120"/>
      <c r="AU5503" s="121"/>
      <c r="AV5503" s="120"/>
      <c r="AW5503" s="121"/>
      <c r="AX5503" s="120"/>
      <c r="AY5503" s="121"/>
      <c r="AZ5503" s="138"/>
    </row>
    <row r="5504" spans="1:52" ht="17.100000000000001" customHeight="1" thickTop="1">
      <c r="A5504" s="109" t="s">
        <v>16156</v>
      </c>
      <c r="B5504" s="28">
        <v>46048</v>
      </c>
      <c r="C5504" s="25"/>
      <c r="D5504" s="13" t="s">
        <v>2036</v>
      </c>
      <c r="E5504" s="111"/>
      <c r="F5504" s="113" t="s">
        <v>16124</v>
      </c>
      <c r="G5504" s="114"/>
      <c r="H5504" s="115"/>
      <c r="I5504" s="24" t="s">
        <v>5059</v>
      </c>
      <c r="J5504" s="116">
        <v>4.5</v>
      </c>
      <c r="K5504" s="118">
        <f>3459500/1.1</f>
        <v>3144999.9999999995</v>
      </c>
      <c r="L5504" s="119"/>
      <c r="M5504" s="118">
        <f t="shared" ref="M5504" si="6952">K5504*0.1</f>
        <v>314500</v>
      </c>
      <c r="N5504" s="119"/>
      <c r="O5504" s="118">
        <v>3000</v>
      </c>
      <c r="P5504" s="119"/>
      <c r="Q5504" s="118">
        <v>13110</v>
      </c>
      <c r="R5504" s="119"/>
      <c r="S5504" s="118">
        <v>0</v>
      </c>
      <c r="T5504" s="119"/>
      <c r="U5504" s="118">
        <f t="shared" ref="U5504" si="6953">SUM(K5504:T5505)</f>
        <v>3475609.9999999995</v>
      </c>
      <c r="V5504" s="122"/>
      <c r="W5504" s="124"/>
      <c r="X5504" s="126" t="s">
        <v>20517</v>
      </c>
      <c r="Y5504" s="127"/>
      <c r="Z5504" s="127"/>
      <c r="AA5504" s="127"/>
      <c r="AB5504" s="128"/>
      <c r="AC5504" s="15" t="s">
        <v>20</v>
      </c>
      <c r="AD5504" s="129" t="s">
        <v>1945</v>
      </c>
      <c r="AE5504" s="130"/>
      <c r="AF5504" s="130"/>
      <c r="AG5504" s="130"/>
      <c r="AH5504" s="130"/>
      <c r="AI5504" s="131"/>
      <c r="AJ5504" s="132"/>
      <c r="AK5504" s="127"/>
      <c r="AL5504" s="128"/>
      <c r="AM5504" s="21"/>
      <c r="AN5504" s="133">
        <v>46109</v>
      </c>
      <c r="AO5504" s="134"/>
      <c r="AP5504" s="135">
        <v>1294</v>
      </c>
      <c r="AQ5504" s="136"/>
      <c r="AR5504" s="118">
        <v>3150000</v>
      </c>
      <c r="AS5504" s="119"/>
      <c r="AT5504" s="118">
        <f t="shared" ref="AT5504" si="6954">AR5504*0.1</f>
        <v>315000</v>
      </c>
      <c r="AU5504" s="119"/>
      <c r="AV5504" s="118">
        <v>13110</v>
      </c>
      <c r="AW5504" s="119"/>
      <c r="AX5504" s="118">
        <f t="shared" ref="AX5504" si="6955">SUM(AR5504:AW5504)</f>
        <v>3478110</v>
      </c>
      <c r="AY5504" s="119"/>
      <c r="AZ5504" s="137">
        <v>46118</v>
      </c>
    </row>
    <row r="5505" spans="1:52" ht="17.100000000000001" customHeight="1" thickBot="1">
      <c r="A5505" s="110"/>
      <c r="B5505" s="27" t="s">
        <v>1718</v>
      </c>
      <c r="C5505" s="27" t="s">
        <v>16121</v>
      </c>
      <c r="D5505" s="14" t="s">
        <v>275</v>
      </c>
      <c r="E5505" s="112"/>
      <c r="F5505" s="139" t="s">
        <v>16122</v>
      </c>
      <c r="G5505" s="140"/>
      <c r="H5505" s="141"/>
      <c r="I5505" s="26">
        <v>55528</v>
      </c>
      <c r="J5505" s="117"/>
      <c r="K5505" s="120"/>
      <c r="L5505" s="121"/>
      <c r="M5505" s="120"/>
      <c r="N5505" s="121"/>
      <c r="O5505" s="120"/>
      <c r="P5505" s="121"/>
      <c r="Q5505" s="120"/>
      <c r="R5505" s="121"/>
      <c r="S5505" s="120"/>
      <c r="T5505" s="121"/>
      <c r="U5505" s="120"/>
      <c r="V5505" s="123"/>
      <c r="W5505" s="125"/>
      <c r="X5505" s="142" t="s">
        <v>15648</v>
      </c>
      <c r="Y5505" s="143"/>
      <c r="Z5505" s="143"/>
      <c r="AA5505" s="143"/>
      <c r="AB5505" s="144"/>
      <c r="AC5505" s="16" t="s">
        <v>21</v>
      </c>
      <c r="AD5505" s="17" t="s">
        <v>20491</v>
      </c>
      <c r="AE5505" s="145" t="s">
        <v>20518</v>
      </c>
      <c r="AF5505" s="146"/>
      <c r="AG5505" s="146"/>
      <c r="AH5505" s="146"/>
      <c r="AI5505" s="147"/>
      <c r="AJ5505" s="148"/>
      <c r="AK5505" s="143"/>
      <c r="AL5505" s="144"/>
      <c r="AM5505" s="22"/>
      <c r="AN5505" s="149" t="s">
        <v>6748</v>
      </c>
      <c r="AO5505" s="144"/>
      <c r="AP5505" s="148">
        <v>31018</v>
      </c>
      <c r="AQ5505" s="144"/>
      <c r="AR5505" s="120"/>
      <c r="AS5505" s="121"/>
      <c r="AT5505" s="120"/>
      <c r="AU5505" s="121"/>
      <c r="AV5505" s="120"/>
      <c r="AW5505" s="121"/>
      <c r="AX5505" s="120"/>
      <c r="AY5505" s="121"/>
      <c r="AZ5505" s="138"/>
    </row>
    <row r="5506" spans="1:52" ht="17.100000000000001" customHeight="1" thickTop="1">
      <c r="A5506" s="109" t="s">
        <v>16157</v>
      </c>
      <c r="B5506" s="28">
        <v>46048</v>
      </c>
      <c r="C5506" s="25"/>
      <c r="D5506" s="13" t="s">
        <v>2477</v>
      </c>
      <c r="E5506" s="111"/>
      <c r="F5506" s="113" t="s">
        <v>16148</v>
      </c>
      <c r="G5506" s="114"/>
      <c r="H5506" s="115"/>
      <c r="I5506" s="24" t="s">
        <v>14837</v>
      </c>
      <c r="J5506" s="116">
        <v>4</v>
      </c>
      <c r="K5506" s="118">
        <f>768900/1.1</f>
        <v>699000</v>
      </c>
      <c r="L5506" s="119"/>
      <c r="M5506" s="118">
        <f t="shared" ref="M5506" si="6956">K5506*0.1</f>
        <v>69900</v>
      </c>
      <c r="N5506" s="119"/>
      <c r="O5506" s="118">
        <v>0</v>
      </c>
      <c r="P5506" s="119"/>
      <c r="Q5506" s="118">
        <v>9150</v>
      </c>
      <c r="R5506" s="119"/>
      <c r="S5506" s="118">
        <v>0</v>
      </c>
      <c r="T5506" s="119"/>
      <c r="U5506" s="118">
        <f t="shared" ref="U5506" si="6957">SUM(K5506:T5507)</f>
        <v>778050</v>
      </c>
      <c r="V5506" s="122"/>
      <c r="W5506" s="124"/>
      <c r="X5506" s="126" t="s">
        <v>19333</v>
      </c>
      <c r="Y5506" s="127"/>
      <c r="Z5506" s="127"/>
      <c r="AA5506" s="127"/>
      <c r="AB5506" s="128"/>
      <c r="AC5506" s="15" t="s">
        <v>20</v>
      </c>
      <c r="AD5506" s="129" t="s">
        <v>1945</v>
      </c>
      <c r="AE5506" s="130"/>
      <c r="AF5506" s="130"/>
      <c r="AG5506" s="130"/>
      <c r="AH5506" s="130"/>
      <c r="AI5506" s="131"/>
      <c r="AJ5506" s="132"/>
      <c r="AK5506" s="127"/>
      <c r="AL5506" s="128"/>
      <c r="AM5506" s="21"/>
      <c r="AN5506" s="133">
        <v>46102</v>
      </c>
      <c r="AO5506" s="134"/>
      <c r="AP5506" s="135">
        <v>1293</v>
      </c>
      <c r="AQ5506" s="136"/>
      <c r="AR5506" s="118">
        <v>785000</v>
      </c>
      <c r="AS5506" s="119"/>
      <c r="AT5506" s="118">
        <f t="shared" ref="AT5506" si="6958">AR5506*0.1</f>
        <v>78500</v>
      </c>
      <c r="AU5506" s="119"/>
      <c r="AV5506" s="118">
        <v>9150</v>
      </c>
      <c r="AW5506" s="119"/>
      <c r="AX5506" s="118">
        <f t="shared" ref="AX5506" si="6959">SUM(AR5506:AW5506)</f>
        <v>872650</v>
      </c>
      <c r="AY5506" s="119"/>
      <c r="AZ5506" s="137">
        <v>46105</v>
      </c>
    </row>
    <row r="5507" spans="1:52" ht="17.100000000000001" customHeight="1" thickBot="1">
      <c r="A5507" s="110"/>
      <c r="B5507" s="27" t="s">
        <v>1718</v>
      </c>
      <c r="C5507" s="27" t="s">
        <v>16146</v>
      </c>
      <c r="D5507" s="14" t="s">
        <v>1592</v>
      </c>
      <c r="E5507" s="112"/>
      <c r="F5507" s="139" t="s">
        <v>16147</v>
      </c>
      <c r="G5507" s="140"/>
      <c r="H5507" s="141"/>
      <c r="I5507" s="26">
        <v>22078</v>
      </c>
      <c r="J5507" s="117"/>
      <c r="K5507" s="120"/>
      <c r="L5507" s="121"/>
      <c r="M5507" s="120"/>
      <c r="N5507" s="121"/>
      <c r="O5507" s="120"/>
      <c r="P5507" s="121"/>
      <c r="Q5507" s="120"/>
      <c r="R5507" s="121"/>
      <c r="S5507" s="120"/>
      <c r="T5507" s="121"/>
      <c r="U5507" s="120"/>
      <c r="V5507" s="123"/>
      <c r="W5507" s="125"/>
      <c r="X5507" s="142" t="s">
        <v>19334</v>
      </c>
      <c r="Y5507" s="143"/>
      <c r="Z5507" s="143"/>
      <c r="AA5507" s="143"/>
      <c r="AB5507" s="144"/>
      <c r="AC5507" s="16" t="s">
        <v>21</v>
      </c>
      <c r="AD5507" s="17" t="s">
        <v>859</v>
      </c>
      <c r="AE5507" s="145" t="s">
        <v>171</v>
      </c>
      <c r="AF5507" s="146"/>
      <c r="AG5507" s="146"/>
      <c r="AH5507" s="146"/>
      <c r="AI5507" s="147"/>
      <c r="AJ5507" s="148"/>
      <c r="AK5507" s="143"/>
      <c r="AL5507" s="144"/>
      <c r="AM5507" s="22"/>
      <c r="AN5507" s="149" t="s">
        <v>2511</v>
      </c>
      <c r="AO5507" s="144"/>
      <c r="AP5507" s="148">
        <v>65090</v>
      </c>
      <c r="AQ5507" s="144"/>
      <c r="AR5507" s="120"/>
      <c r="AS5507" s="121"/>
      <c r="AT5507" s="120"/>
      <c r="AU5507" s="121"/>
      <c r="AV5507" s="120"/>
      <c r="AW5507" s="121"/>
      <c r="AX5507" s="120"/>
      <c r="AY5507" s="121"/>
      <c r="AZ5507" s="138"/>
    </row>
    <row r="5508" spans="1:52" ht="17.100000000000001" customHeight="1" thickTop="1">
      <c r="A5508" s="109" t="s">
        <v>16158</v>
      </c>
      <c r="B5508" s="28">
        <v>46048</v>
      </c>
      <c r="C5508" s="25"/>
      <c r="D5508" s="13" t="s">
        <v>4860</v>
      </c>
      <c r="E5508" s="111"/>
      <c r="F5508" s="113" t="s">
        <v>16150</v>
      </c>
      <c r="G5508" s="114"/>
      <c r="H5508" s="115"/>
      <c r="I5508" s="24" t="s">
        <v>16152</v>
      </c>
      <c r="J5508" s="116">
        <v>4</v>
      </c>
      <c r="K5508" s="118">
        <f>968000/1.1</f>
        <v>879999.99999999988</v>
      </c>
      <c r="L5508" s="119"/>
      <c r="M5508" s="118">
        <f t="shared" ref="M5508" si="6960">K5508*0.1</f>
        <v>88000</v>
      </c>
      <c r="N5508" s="119"/>
      <c r="O5508" s="118">
        <v>3200</v>
      </c>
      <c r="P5508" s="119"/>
      <c r="Q5508" s="118">
        <v>12030</v>
      </c>
      <c r="R5508" s="119"/>
      <c r="S5508" s="118">
        <v>0</v>
      </c>
      <c r="T5508" s="119"/>
      <c r="U5508" s="118">
        <f t="shared" ref="U5508" si="6961">SUM(K5508:T5509)</f>
        <v>983229.99999999988</v>
      </c>
      <c r="V5508" s="122"/>
      <c r="W5508" s="124"/>
      <c r="X5508" s="126" t="s">
        <v>16771</v>
      </c>
      <c r="Y5508" s="127"/>
      <c r="Z5508" s="127"/>
      <c r="AA5508" s="127"/>
      <c r="AB5508" s="128"/>
      <c r="AC5508" s="15" t="s">
        <v>20</v>
      </c>
      <c r="AD5508" s="129" t="s">
        <v>1575</v>
      </c>
      <c r="AE5508" s="130"/>
      <c r="AF5508" s="130"/>
      <c r="AG5508" s="130"/>
      <c r="AH5508" s="130"/>
      <c r="AI5508" s="131"/>
      <c r="AJ5508" s="132"/>
      <c r="AK5508" s="127"/>
      <c r="AL5508" s="128"/>
      <c r="AM5508" s="21"/>
      <c r="AN5508" s="133">
        <v>46064</v>
      </c>
      <c r="AO5508" s="134"/>
      <c r="AP5508" s="135">
        <v>1004</v>
      </c>
      <c r="AQ5508" s="136"/>
      <c r="AR5508" s="118">
        <v>985000</v>
      </c>
      <c r="AS5508" s="119"/>
      <c r="AT5508" s="118">
        <f t="shared" ref="AT5508" si="6962">AR5508*0.1</f>
        <v>98500</v>
      </c>
      <c r="AU5508" s="119"/>
      <c r="AV5508" s="118">
        <v>12030</v>
      </c>
      <c r="AW5508" s="119"/>
      <c r="AX5508" s="118">
        <f t="shared" ref="AX5508" si="6963">SUM(AR5508:AW5508)</f>
        <v>1095530</v>
      </c>
      <c r="AY5508" s="119"/>
      <c r="AZ5508" s="137">
        <v>46069</v>
      </c>
    </row>
    <row r="5509" spans="1:52" ht="17.100000000000001" customHeight="1" thickBot="1">
      <c r="A5509" s="110"/>
      <c r="B5509" s="27" t="s">
        <v>1718</v>
      </c>
      <c r="C5509" s="27" t="s">
        <v>16149</v>
      </c>
      <c r="D5509" s="14" t="s">
        <v>1592</v>
      </c>
      <c r="E5509" s="112"/>
      <c r="F5509" s="139" t="s">
        <v>16151</v>
      </c>
      <c r="G5509" s="140"/>
      <c r="H5509" s="141"/>
      <c r="I5509" s="26">
        <v>82000</v>
      </c>
      <c r="J5509" s="117"/>
      <c r="K5509" s="120"/>
      <c r="L5509" s="121"/>
      <c r="M5509" s="120"/>
      <c r="N5509" s="121"/>
      <c r="O5509" s="120"/>
      <c r="P5509" s="121"/>
      <c r="Q5509" s="120"/>
      <c r="R5509" s="121"/>
      <c r="S5509" s="120"/>
      <c r="T5509" s="121"/>
      <c r="U5509" s="120"/>
      <c r="V5509" s="123"/>
      <c r="W5509" s="125"/>
      <c r="X5509" s="142" t="s">
        <v>16772</v>
      </c>
      <c r="Y5509" s="143"/>
      <c r="Z5509" s="143"/>
      <c r="AA5509" s="143"/>
      <c r="AB5509" s="144"/>
      <c r="AC5509" s="16" t="s">
        <v>21</v>
      </c>
      <c r="AD5509" s="17" t="s">
        <v>2329</v>
      </c>
      <c r="AE5509" s="145" t="s">
        <v>13449</v>
      </c>
      <c r="AF5509" s="146"/>
      <c r="AG5509" s="146"/>
      <c r="AH5509" s="146"/>
      <c r="AI5509" s="147"/>
      <c r="AJ5509" s="148"/>
      <c r="AK5509" s="143"/>
      <c r="AL5509" s="144"/>
      <c r="AM5509" s="22"/>
      <c r="AN5509" s="149" t="s">
        <v>2794</v>
      </c>
      <c r="AO5509" s="144"/>
      <c r="AP5509" s="148">
        <v>1017</v>
      </c>
      <c r="AQ5509" s="144"/>
      <c r="AR5509" s="120"/>
      <c r="AS5509" s="121"/>
      <c r="AT5509" s="120"/>
      <c r="AU5509" s="121"/>
      <c r="AV5509" s="120"/>
      <c r="AW5509" s="121"/>
      <c r="AX5509" s="120"/>
      <c r="AY5509" s="121"/>
      <c r="AZ5509" s="138"/>
    </row>
    <row r="5510" spans="1:52" ht="17.100000000000001" customHeight="1" thickTop="1">
      <c r="A5510" s="109" t="s">
        <v>16159</v>
      </c>
      <c r="B5510" s="28">
        <v>46048</v>
      </c>
      <c r="C5510" s="25">
        <v>2078</v>
      </c>
      <c r="D5510" s="13" t="s">
        <v>1863</v>
      </c>
      <c r="E5510" s="111"/>
      <c r="F5510" s="113" t="s">
        <v>4638</v>
      </c>
      <c r="G5510" s="114"/>
      <c r="H5510" s="115"/>
      <c r="I5510" s="24"/>
      <c r="J5510" s="116">
        <v>4</v>
      </c>
      <c r="K5510" s="118">
        <v>710000</v>
      </c>
      <c r="L5510" s="119"/>
      <c r="M5510" s="118">
        <f t="shared" ref="M5510" si="6964">K5510*0.1</f>
        <v>71000</v>
      </c>
      <c r="N5510" s="119"/>
      <c r="O5510" s="118">
        <v>0</v>
      </c>
      <c r="P5510" s="119"/>
      <c r="Q5510" s="118">
        <v>20170</v>
      </c>
      <c r="R5510" s="119"/>
      <c r="S5510" s="118">
        <v>11000</v>
      </c>
      <c r="T5510" s="119"/>
      <c r="U5510" s="118">
        <v>812170</v>
      </c>
      <c r="V5510" s="122"/>
      <c r="W5510" s="124"/>
      <c r="X5510" s="126" t="s">
        <v>16373</v>
      </c>
      <c r="Y5510" s="127"/>
      <c r="Z5510" s="127"/>
      <c r="AA5510" s="127"/>
      <c r="AB5510" s="128"/>
      <c r="AC5510" s="15" t="s">
        <v>20</v>
      </c>
      <c r="AD5510" s="129" t="s">
        <v>1605</v>
      </c>
      <c r="AE5510" s="130"/>
      <c r="AF5510" s="130"/>
      <c r="AG5510" s="130"/>
      <c r="AH5510" s="130"/>
      <c r="AI5510" s="131"/>
      <c r="AJ5510" s="132"/>
      <c r="AK5510" s="127"/>
      <c r="AL5510" s="128"/>
      <c r="AM5510" s="21"/>
      <c r="AN5510" s="133">
        <v>46067</v>
      </c>
      <c r="AO5510" s="134"/>
      <c r="AP5510" s="135">
        <v>1288</v>
      </c>
      <c r="AQ5510" s="136"/>
      <c r="AR5510" s="118">
        <v>800000</v>
      </c>
      <c r="AS5510" s="119"/>
      <c r="AT5510" s="118">
        <f t="shared" ref="AT5510" si="6965">AR5510*0.1</f>
        <v>80000</v>
      </c>
      <c r="AU5510" s="119"/>
      <c r="AV5510" s="118">
        <v>20170</v>
      </c>
      <c r="AW5510" s="119"/>
      <c r="AX5510" s="118">
        <f t="shared" ref="AX5510" si="6966">SUM(AR5510:AW5510)</f>
        <v>900170</v>
      </c>
      <c r="AY5510" s="119"/>
      <c r="AZ5510" s="137">
        <v>46070</v>
      </c>
    </row>
    <row r="5511" spans="1:52" ht="17.100000000000001" customHeight="1" thickBot="1">
      <c r="A5511" s="110"/>
      <c r="B5511" s="27" t="s">
        <v>83</v>
      </c>
      <c r="C5511" s="27">
        <v>31006</v>
      </c>
      <c r="D5511" s="14" t="s">
        <v>904</v>
      </c>
      <c r="E5511" s="112"/>
      <c r="F5511" s="139" t="s">
        <v>16125</v>
      </c>
      <c r="G5511" s="140"/>
      <c r="H5511" s="141"/>
      <c r="I5511" s="26">
        <v>67627</v>
      </c>
      <c r="J5511" s="117"/>
      <c r="K5511" s="120"/>
      <c r="L5511" s="121"/>
      <c r="M5511" s="120"/>
      <c r="N5511" s="121"/>
      <c r="O5511" s="120"/>
      <c r="P5511" s="121"/>
      <c r="Q5511" s="120"/>
      <c r="R5511" s="121"/>
      <c r="S5511" s="120"/>
      <c r="T5511" s="121"/>
      <c r="U5511" s="120"/>
      <c r="V5511" s="123"/>
      <c r="W5511" s="125"/>
      <c r="X5511" s="142" t="s">
        <v>16374</v>
      </c>
      <c r="Y5511" s="143"/>
      <c r="Z5511" s="143"/>
      <c r="AA5511" s="143"/>
      <c r="AB5511" s="144"/>
      <c r="AC5511" s="16" t="s">
        <v>21</v>
      </c>
      <c r="AD5511" s="17" t="s">
        <v>1837</v>
      </c>
      <c r="AE5511" s="145" t="s">
        <v>1658</v>
      </c>
      <c r="AF5511" s="146"/>
      <c r="AG5511" s="146"/>
      <c r="AH5511" s="146"/>
      <c r="AI5511" s="147"/>
      <c r="AJ5511" s="148"/>
      <c r="AK5511" s="143"/>
      <c r="AL5511" s="144"/>
      <c r="AM5511" s="22"/>
      <c r="AN5511" s="149" t="s">
        <v>2511</v>
      </c>
      <c r="AO5511" s="144"/>
      <c r="AP5511" s="148">
        <v>80102</v>
      </c>
      <c r="AQ5511" s="144"/>
      <c r="AR5511" s="120"/>
      <c r="AS5511" s="121"/>
      <c r="AT5511" s="120"/>
      <c r="AU5511" s="121"/>
      <c r="AV5511" s="120"/>
      <c r="AW5511" s="121"/>
      <c r="AX5511" s="120"/>
      <c r="AY5511" s="121"/>
      <c r="AZ5511" s="138"/>
    </row>
    <row r="5512" spans="1:52" ht="17.100000000000001" customHeight="1" thickTop="1">
      <c r="A5512" s="109" t="s">
        <v>16160</v>
      </c>
      <c r="B5512" s="28">
        <v>46048</v>
      </c>
      <c r="C5512" s="25">
        <v>2078</v>
      </c>
      <c r="D5512" s="13" t="s">
        <v>3381</v>
      </c>
      <c r="E5512" s="111"/>
      <c r="F5512" s="113" t="s">
        <v>16126</v>
      </c>
      <c r="G5512" s="114"/>
      <c r="H5512" s="115"/>
      <c r="I5512" s="24"/>
      <c r="J5512" s="116">
        <v>4.5</v>
      </c>
      <c r="K5512" s="118">
        <v>524000</v>
      </c>
      <c r="L5512" s="119"/>
      <c r="M5512" s="118">
        <f t="shared" ref="M5512" si="6967">K5512*0.1</f>
        <v>52400</v>
      </c>
      <c r="N5512" s="119"/>
      <c r="O5512" s="118">
        <v>0</v>
      </c>
      <c r="P5512" s="119"/>
      <c r="Q5512" s="118">
        <v>22520</v>
      </c>
      <c r="R5512" s="119"/>
      <c r="S5512" s="118">
        <v>11000</v>
      </c>
      <c r="T5512" s="119"/>
      <c r="U5512" s="118">
        <f t="shared" ref="U5512" si="6968">SUM(K5512:T5513)</f>
        <v>609920</v>
      </c>
      <c r="V5512" s="122"/>
      <c r="W5512" s="124"/>
      <c r="X5512" s="126" t="s">
        <v>16375</v>
      </c>
      <c r="Y5512" s="127"/>
      <c r="Z5512" s="127"/>
      <c r="AA5512" s="127"/>
      <c r="AB5512" s="128"/>
      <c r="AC5512" s="15" t="s">
        <v>20</v>
      </c>
      <c r="AD5512" s="129" t="s">
        <v>1670</v>
      </c>
      <c r="AE5512" s="130"/>
      <c r="AF5512" s="130"/>
      <c r="AG5512" s="130"/>
      <c r="AH5512" s="130"/>
      <c r="AI5512" s="131"/>
      <c r="AJ5512" s="132"/>
      <c r="AK5512" s="127"/>
      <c r="AL5512" s="128"/>
      <c r="AM5512" s="21"/>
      <c r="AN5512" s="133">
        <v>46067</v>
      </c>
      <c r="AO5512" s="134"/>
      <c r="AP5512" s="135">
        <v>1288</v>
      </c>
      <c r="AQ5512" s="136"/>
      <c r="AR5512" s="118">
        <v>630000</v>
      </c>
      <c r="AS5512" s="119"/>
      <c r="AT5512" s="118">
        <f t="shared" ref="AT5512" si="6969">AR5512*0.1</f>
        <v>63000</v>
      </c>
      <c r="AU5512" s="119"/>
      <c r="AV5512" s="118">
        <v>22520</v>
      </c>
      <c r="AW5512" s="119"/>
      <c r="AX5512" s="118">
        <f t="shared" ref="AX5512" si="6970">SUM(AR5512:AW5512)</f>
        <v>715520</v>
      </c>
      <c r="AY5512" s="119"/>
      <c r="AZ5512" s="137">
        <v>46070</v>
      </c>
    </row>
    <row r="5513" spans="1:52" ht="17.100000000000001" customHeight="1" thickBot="1">
      <c r="A5513" s="110"/>
      <c r="B5513" s="27" t="s">
        <v>83</v>
      </c>
      <c r="C5513" s="27">
        <v>31007</v>
      </c>
      <c r="D5513" s="14" t="s">
        <v>1720</v>
      </c>
      <c r="E5513" s="112"/>
      <c r="F5513" s="139" t="s">
        <v>16127</v>
      </c>
      <c r="G5513" s="140"/>
      <c r="H5513" s="141"/>
      <c r="I5513" s="26">
        <v>89772</v>
      </c>
      <c r="J5513" s="117"/>
      <c r="K5513" s="120"/>
      <c r="L5513" s="121"/>
      <c r="M5513" s="120"/>
      <c r="N5513" s="121"/>
      <c r="O5513" s="120"/>
      <c r="P5513" s="121"/>
      <c r="Q5513" s="120"/>
      <c r="R5513" s="121"/>
      <c r="S5513" s="120"/>
      <c r="T5513" s="121"/>
      <c r="U5513" s="120"/>
      <c r="V5513" s="123"/>
      <c r="W5513" s="125"/>
      <c r="X5513" s="142" t="s">
        <v>16374</v>
      </c>
      <c r="Y5513" s="143"/>
      <c r="Z5513" s="143"/>
      <c r="AA5513" s="143"/>
      <c r="AB5513" s="144"/>
      <c r="AC5513" s="16" t="s">
        <v>21</v>
      </c>
      <c r="AD5513" s="17" t="s">
        <v>1837</v>
      </c>
      <c r="AE5513" s="145" t="s">
        <v>16350</v>
      </c>
      <c r="AF5513" s="146"/>
      <c r="AG5513" s="146"/>
      <c r="AH5513" s="146"/>
      <c r="AI5513" s="147"/>
      <c r="AJ5513" s="148"/>
      <c r="AK5513" s="143"/>
      <c r="AL5513" s="144"/>
      <c r="AM5513" s="22"/>
      <c r="AN5513" s="149" t="s">
        <v>2511</v>
      </c>
      <c r="AO5513" s="144"/>
      <c r="AP5513" s="148">
        <v>80100</v>
      </c>
      <c r="AQ5513" s="144"/>
      <c r="AR5513" s="120"/>
      <c r="AS5513" s="121"/>
      <c r="AT5513" s="120"/>
      <c r="AU5513" s="121"/>
      <c r="AV5513" s="120"/>
      <c r="AW5513" s="121"/>
      <c r="AX5513" s="120"/>
      <c r="AY5513" s="121"/>
      <c r="AZ5513" s="138"/>
    </row>
    <row r="5514" spans="1:52" ht="17.100000000000001" customHeight="1" thickTop="1">
      <c r="A5514" s="109" t="s">
        <v>16161</v>
      </c>
      <c r="B5514" s="28">
        <v>46048</v>
      </c>
      <c r="C5514" s="25">
        <v>2078</v>
      </c>
      <c r="D5514" s="13" t="s">
        <v>2616</v>
      </c>
      <c r="E5514" s="111"/>
      <c r="F5514" s="113" t="s">
        <v>16128</v>
      </c>
      <c r="G5514" s="114"/>
      <c r="H5514" s="115"/>
      <c r="I5514" s="24" t="s">
        <v>3509</v>
      </c>
      <c r="J5514" s="116">
        <v>4.5</v>
      </c>
      <c r="K5514" s="118">
        <v>1247000</v>
      </c>
      <c r="L5514" s="119"/>
      <c r="M5514" s="118">
        <f t="shared" ref="M5514" si="6971">K5514*0.1</f>
        <v>124700</v>
      </c>
      <c r="N5514" s="119"/>
      <c r="O5514" s="118">
        <v>5500</v>
      </c>
      <c r="P5514" s="119"/>
      <c r="Q5514" s="118">
        <v>18780</v>
      </c>
      <c r="R5514" s="119"/>
      <c r="S5514" s="118">
        <v>11000</v>
      </c>
      <c r="T5514" s="119"/>
      <c r="U5514" s="118">
        <f t="shared" ref="U5514" si="6972">SUM(K5514:T5515)</f>
        <v>1406980</v>
      </c>
      <c r="V5514" s="122"/>
      <c r="W5514" s="124"/>
      <c r="X5514" s="126" t="s">
        <v>16134</v>
      </c>
      <c r="Y5514" s="127"/>
      <c r="Z5514" s="127"/>
      <c r="AA5514" s="127"/>
      <c r="AB5514" s="128"/>
      <c r="AC5514" s="15" t="s">
        <v>20</v>
      </c>
      <c r="AD5514" s="129" t="s">
        <v>16130</v>
      </c>
      <c r="AE5514" s="130"/>
      <c r="AF5514" s="130"/>
      <c r="AG5514" s="130"/>
      <c r="AH5514" s="130"/>
      <c r="AI5514" s="131"/>
      <c r="AJ5514" s="132"/>
      <c r="AK5514" s="127"/>
      <c r="AL5514" s="128"/>
      <c r="AM5514" s="21" t="s">
        <v>17441</v>
      </c>
      <c r="AN5514" s="133">
        <v>46074</v>
      </c>
      <c r="AO5514" s="134"/>
      <c r="AP5514" s="135">
        <v>1289</v>
      </c>
      <c r="AQ5514" s="136"/>
      <c r="AR5514" s="118">
        <v>1330000</v>
      </c>
      <c r="AS5514" s="119"/>
      <c r="AT5514" s="118">
        <f t="shared" ref="AT5514" si="6973">AR5514*0.1</f>
        <v>133000</v>
      </c>
      <c r="AU5514" s="119"/>
      <c r="AV5514" s="118">
        <v>18780</v>
      </c>
      <c r="AW5514" s="119"/>
      <c r="AX5514" s="118">
        <f t="shared" ref="AX5514" si="6974">SUM(AR5514:AW5514)</f>
        <v>1481780</v>
      </c>
      <c r="AY5514" s="119"/>
      <c r="AZ5514" s="137">
        <v>46084</v>
      </c>
    </row>
    <row r="5515" spans="1:52" ht="17.100000000000001" customHeight="1" thickBot="1">
      <c r="A5515" s="110"/>
      <c r="B5515" s="27" t="s">
        <v>83</v>
      </c>
      <c r="C5515" s="27">
        <v>32005</v>
      </c>
      <c r="D5515" s="14" t="s">
        <v>1592</v>
      </c>
      <c r="E5515" s="112"/>
      <c r="F5515" s="139" t="s">
        <v>16129</v>
      </c>
      <c r="G5515" s="140"/>
      <c r="H5515" s="141"/>
      <c r="I5515" s="26">
        <v>26219</v>
      </c>
      <c r="J5515" s="117"/>
      <c r="K5515" s="120"/>
      <c r="L5515" s="121"/>
      <c r="M5515" s="120"/>
      <c r="N5515" s="121"/>
      <c r="O5515" s="120"/>
      <c r="P5515" s="121"/>
      <c r="Q5515" s="120"/>
      <c r="R5515" s="121"/>
      <c r="S5515" s="120"/>
      <c r="T5515" s="121"/>
      <c r="U5515" s="120"/>
      <c r="V5515" s="123"/>
      <c r="W5515" s="125"/>
      <c r="X5515" s="142" t="s">
        <v>16360</v>
      </c>
      <c r="Y5515" s="143"/>
      <c r="Z5515" s="143"/>
      <c r="AA5515" s="143"/>
      <c r="AB5515" s="144"/>
      <c r="AC5515" s="16" t="s">
        <v>21</v>
      </c>
      <c r="AD5515" s="17" t="s">
        <v>1837</v>
      </c>
      <c r="AE5515" s="145" t="s">
        <v>16384</v>
      </c>
      <c r="AF5515" s="146"/>
      <c r="AG5515" s="146"/>
      <c r="AH5515" s="146"/>
      <c r="AI5515" s="147"/>
      <c r="AJ5515" s="148"/>
      <c r="AK5515" s="143"/>
      <c r="AL5515" s="144"/>
      <c r="AM5515" s="22"/>
      <c r="AN5515" s="149" t="s">
        <v>6748</v>
      </c>
      <c r="AO5515" s="144"/>
      <c r="AP5515" s="148">
        <v>80205</v>
      </c>
      <c r="AQ5515" s="144"/>
      <c r="AR5515" s="120"/>
      <c r="AS5515" s="121"/>
      <c r="AT5515" s="120"/>
      <c r="AU5515" s="121"/>
      <c r="AV5515" s="120"/>
      <c r="AW5515" s="121"/>
      <c r="AX5515" s="120"/>
      <c r="AY5515" s="121"/>
      <c r="AZ5515" s="138"/>
    </row>
    <row r="5516" spans="1:52" ht="17.100000000000001" customHeight="1" thickTop="1">
      <c r="A5516" s="109" t="s">
        <v>16162</v>
      </c>
      <c r="B5516" s="28">
        <v>46048</v>
      </c>
      <c r="C5516" s="25">
        <v>2078</v>
      </c>
      <c r="D5516" s="13" t="s">
        <v>4824</v>
      </c>
      <c r="E5516" s="111"/>
      <c r="F5516" s="113" t="s">
        <v>16131</v>
      </c>
      <c r="G5516" s="114"/>
      <c r="H5516" s="115"/>
      <c r="I5516" s="24" t="s">
        <v>4314</v>
      </c>
      <c r="J5516" s="116">
        <v>4.5</v>
      </c>
      <c r="K5516" s="118">
        <v>818000</v>
      </c>
      <c r="L5516" s="119"/>
      <c r="M5516" s="118">
        <v>81800</v>
      </c>
      <c r="N5516" s="119"/>
      <c r="O5516" s="118">
        <f>6500+650</f>
        <v>7150</v>
      </c>
      <c r="P5516" s="119"/>
      <c r="Q5516" s="118">
        <v>19330</v>
      </c>
      <c r="R5516" s="119"/>
      <c r="S5516" s="118">
        <v>11000</v>
      </c>
      <c r="T5516" s="119"/>
      <c r="U5516" s="118">
        <f t="shared" ref="U5516" si="6975">SUM(K5516:T5517)</f>
        <v>937280</v>
      </c>
      <c r="V5516" s="122"/>
      <c r="W5516" s="124"/>
      <c r="X5516" s="126" t="s">
        <v>16133</v>
      </c>
      <c r="Y5516" s="127"/>
      <c r="Z5516" s="127"/>
      <c r="AA5516" s="127"/>
      <c r="AB5516" s="128"/>
      <c r="AC5516" s="15" t="s">
        <v>20</v>
      </c>
      <c r="AD5516" s="129" t="s">
        <v>1670</v>
      </c>
      <c r="AE5516" s="130"/>
      <c r="AF5516" s="130"/>
      <c r="AG5516" s="130"/>
      <c r="AH5516" s="130"/>
      <c r="AI5516" s="131"/>
      <c r="AJ5516" s="132"/>
      <c r="AK5516" s="127"/>
      <c r="AL5516" s="128"/>
      <c r="AM5516" s="21"/>
      <c r="AN5516" s="133">
        <v>46060</v>
      </c>
      <c r="AO5516" s="134"/>
      <c r="AP5516" s="135">
        <v>1287</v>
      </c>
      <c r="AQ5516" s="136"/>
      <c r="AR5516" s="118">
        <v>920000</v>
      </c>
      <c r="AS5516" s="119"/>
      <c r="AT5516" s="118">
        <f t="shared" ref="AT5516" si="6976">AR5516*0.1</f>
        <v>92000</v>
      </c>
      <c r="AU5516" s="119"/>
      <c r="AV5516" s="118">
        <v>19330</v>
      </c>
      <c r="AW5516" s="119"/>
      <c r="AX5516" s="118">
        <f t="shared" ref="AX5516" si="6977">SUM(AR5516:AW5516)</f>
        <v>1031330</v>
      </c>
      <c r="AY5516" s="119"/>
      <c r="AZ5516" s="137">
        <v>46063</v>
      </c>
    </row>
    <row r="5517" spans="1:52" ht="17.100000000000001" customHeight="1" thickBot="1">
      <c r="A5517" s="110"/>
      <c r="B5517" s="27" t="s">
        <v>83</v>
      </c>
      <c r="C5517" s="27">
        <v>34509</v>
      </c>
      <c r="D5517" s="14" t="s">
        <v>1720</v>
      </c>
      <c r="E5517" s="112"/>
      <c r="F5517" s="139" t="s">
        <v>16132</v>
      </c>
      <c r="G5517" s="140"/>
      <c r="H5517" s="141"/>
      <c r="I5517" s="26">
        <v>43725</v>
      </c>
      <c r="J5517" s="117"/>
      <c r="K5517" s="120"/>
      <c r="L5517" s="121"/>
      <c r="M5517" s="120"/>
      <c r="N5517" s="121"/>
      <c r="O5517" s="120"/>
      <c r="P5517" s="121"/>
      <c r="Q5517" s="120"/>
      <c r="R5517" s="121"/>
      <c r="S5517" s="120"/>
      <c r="T5517" s="121"/>
      <c r="U5517" s="120"/>
      <c r="V5517" s="123"/>
      <c r="W5517" s="125"/>
      <c r="X5517" s="142" t="s">
        <v>293</v>
      </c>
      <c r="Y5517" s="143"/>
      <c r="Z5517" s="143"/>
      <c r="AA5517" s="143"/>
      <c r="AB5517" s="144"/>
      <c r="AC5517" s="16" t="s">
        <v>21</v>
      </c>
      <c r="AD5517" s="17" t="s">
        <v>1837</v>
      </c>
      <c r="AE5517" s="145" t="s">
        <v>16385</v>
      </c>
      <c r="AF5517" s="146"/>
      <c r="AG5517" s="146"/>
      <c r="AH5517" s="146"/>
      <c r="AI5517" s="147"/>
      <c r="AJ5517" s="148"/>
      <c r="AK5517" s="143"/>
      <c r="AL5517" s="144"/>
      <c r="AM5517" s="22"/>
      <c r="AN5517" s="149" t="s">
        <v>2511</v>
      </c>
      <c r="AO5517" s="144"/>
      <c r="AP5517" s="148">
        <v>80065</v>
      </c>
      <c r="AQ5517" s="144"/>
      <c r="AR5517" s="120"/>
      <c r="AS5517" s="121"/>
      <c r="AT5517" s="120"/>
      <c r="AU5517" s="121"/>
      <c r="AV5517" s="120"/>
      <c r="AW5517" s="121"/>
      <c r="AX5517" s="120"/>
      <c r="AY5517" s="121"/>
      <c r="AZ5517" s="138"/>
    </row>
    <row r="5518" spans="1:52" ht="17.100000000000001" customHeight="1" thickTop="1">
      <c r="A5518" s="109" t="s">
        <v>16163</v>
      </c>
      <c r="B5518" s="28">
        <v>46048</v>
      </c>
      <c r="C5518" s="25">
        <v>2078</v>
      </c>
      <c r="D5518" s="13" t="s">
        <v>1853</v>
      </c>
      <c r="E5518" s="111"/>
      <c r="F5518" s="113" t="s">
        <v>2235</v>
      </c>
      <c r="G5518" s="114"/>
      <c r="H5518" s="115"/>
      <c r="I5518" s="24" t="s">
        <v>4487</v>
      </c>
      <c r="J5518" s="116">
        <v>4.5</v>
      </c>
      <c r="K5518" s="118">
        <v>2205000</v>
      </c>
      <c r="L5518" s="119"/>
      <c r="M5518" s="118">
        <f t="shared" ref="M5518" si="6978">K5518*0.1</f>
        <v>220500</v>
      </c>
      <c r="N5518" s="119"/>
      <c r="O5518" s="118">
        <v>6600</v>
      </c>
      <c r="P5518" s="119"/>
      <c r="Q5518" s="118">
        <v>18170</v>
      </c>
      <c r="R5518" s="119"/>
      <c r="S5518" s="118">
        <v>11000</v>
      </c>
      <c r="T5518" s="119"/>
      <c r="U5518" s="118">
        <f t="shared" ref="U5518" si="6979">SUM(K5518:T5519)</f>
        <v>2461270</v>
      </c>
      <c r="V5518" s="122"/>
      <c r="W5518" s="124"/>
      <c r="X5518" s="126" t="s">
        <v>16136</v>
      </c>
      <c r="Y5518" s="127"/>
      <c r="Z5518" s="127"/>
      <c r="AA5518" s="127"/>
      <c r="AB5518" s="128"/>
      <c r="AC5518" s="15" t="s">
        <v>20</v>
      </c>
      <c r="AD5518" s="129"/>
      <c r="AE5518" s="130"/>
      <c r="AF5518" s="130"/>
      <c r="AG5518" s="130"/>
      <c r="AH5518" s="130"/>
      <c r="AI5518" s="131"/>
      <c r="AJ5518" s="132"/>
      <c r="AK5518" s="127"/>
      <c r="AL5518" s="128"/>
      <c r="AM5518" s="21" t="s">
        <v>17443</v>
      </c>
      <c r="AN5518" s="133">
        <v>46130</v>
      </c>
      <c r="AO5518" s="134"/>
      <c r="AP5518" s="135">
        <v>1297</v>
      </c>
      <c r="AQ5518" s="136"/>
      <c r="AR5518" s="118">
        <v>2295000</v>
      </c>
      <c r="AS5518" s="119"/>
      <c r="AT5518" s="118">
        <f t="shared" ref="AT5518" si="6980">AR5518*0.1</f>
        <v>229500</v>
      </c>
      <c r="AU5518" s="119"/>
      <c r="AV5518" s="118">
        <v>18170</v>
      </c>
      <c r="AW5518" s="119"/>
      <c r="AX5518" s="118">
        <f t="shared" ref="AX5518" si="6981">SUM(AR5518:AW5518)</f>
        <v>2542670</v>
      </c>
      <c r="AY5518" s="119"/>
      <c r="AZ5518" s="137">
        <v>46133</v>
      </c>
    </row>
    <row r="5519" spans="1:52" ht="17.100000000000001" customHeight="1" thickBot="1">
      <c r="A5519" s="110"/>
      <c r="B5519" s="27" t="s">
        <v>83</v>
      </c>
      <c r="C5519" s="27">
        <v>34518</v>
      </c>
      <c r="D5519" s="14" t="s">
        <v>14911</v>
      </c>
      <c r="E5519" s="112"/>
      <c r="F5519" s="139" t="s">
        <v>16135</v>
      </c>
      <c r="G5519" s="140"/>
      <c r="H5519" s="141"/>
      <c r="I5519" s="26">
        <v>46962</v>
      </c>
      <c r="J5519" s="117"/>
      <c r="K5519" s="120"/>
      <c r="L5519" s="121"/>
      <c r="M5519" s="120"/>
      <c r="N5519" s="121"/>
      <c r="O5519" s="120"/>
      <c r="P5519" s="121"/>
      <c r="Q5519" s="120"/>
      <c r="R5519" s="121"/>
      <c r="S5519" s="120"/>
      <c r="T5519" s="121"/>
      <c r="U5519" s="120"/>
      <c r="V5519" s="123"/>
      <c r="W5519" s="125"/>
      <c r="X5519" s="142" t="s">
        <v>4058</v>
      </c>
      <c r="Y5519" s="143"/>
      <c r="Z5519" s="143"/>
      <c r="AA5519" s="143"/>
      <c r="AB5519" s="144"/>
      <c r="AC5519" s="16" t="s">
        <v>21</v>
      </c>
      <c r="AD5519" s="17" t="s">
        <v>1837</v>
      </c>
      <c r="AE5519" s="145" t="s">
        <v>1658</v>
      </c>
      <c r="AF5519" s="146"/>
      <c r="AG5519" s="146"/>
      <c r="AH5519" s="146"/>
      <c r="AI5519" s="147"/>
      <c r="AJ5519" s="148"/>
      <c r="AK5519" s="143"/>
      <c r="AL5519" s="144"/>
      <c r="AM5519" s="22"/>
      <c r="AN5519" s="149" t="s">
        <v>2511</v>
      </c>
      <c r="AO5519" s="144"/>
      <c r="AP5519" s="148">
        <v>80109</v>
      </c>
      <c r="AQ5519" s="144"/>
      <c r="AR5519" s="120"/>
      <c r="AS5519" s="121"/>
      <c r="AT5519" s="120"/>
      <c r="AU5519" s="121"/>
      <c r="AV5519" s="120"/>
      <c r="AW5519" s="121"/>
      <c r="AX5519" s="120"/>
      <c r="AY5519" s="121"/>
      <c r="AZ5519" s="138"/>
    </row>
    <row r="5520" spans="1:52" ht="17.100000000000001" customHeight="1" thickTop="1">
      <c r="A5520" s="109" t="s">
        <v>16164</v>
      </c>
      <c r="B5520" s="28">
        <v>46048</v>
      </c>
      <c r="C5520" s="25">
        <v>2078</v>
      </c>
      <c r="D5520" s="13" t="s">
        <v>2322</v>
      </c>
      <c r="E5520" s="111"/>
      <c r="F5520" s="113" t="s">
        <v>16138</v>
      </c>
      <c r="G5520" s="114"/>
      <c r="H5520" s="115"/>
      <c r="I5520" s="24" t="s">
        <v>3509</v>
      </c>
      <c r="J5520" s="116">
        <v>4</v>
      </c>
      <c r="K5520" s="118">
        <v>775000</v>
      </c>
      <c r="L5520" s="119"/>
      <c r="M5520" s="118">
        <f t="shared" ref="M5520" si="6982">K5520*0.1</f>
        <v>77500</v>
      </c>
      <c r="N5520" s="119"/>
      <c r="O5520" s="118">
        <f>6500+650</f>
        <v>7150</v>
      </c>
      <c r="P5520" s="119"/>
      <c r="Q5520" s="118">
        <v>18960</v>
      </c>
      <c r="R5520" s="119"/>
      <c r="S5520" s="118">
        <v>11000</v>
      </c>
      <c r="T5520" s="119"/>
      <c r="U5520" s="118">
        <f t="shared" ref="U5520" si="6983">SUM(K5520:T5521)</f>
        <v>889610</v>
      </c>
      <c r="V5520" s="122"/>
      <c r="W5520" s="124"/>
      <c r="X5520" s="126" t="s">
        <v>16140</v>
      </c>
      <c r="Y5520" s="127"/>
      <c r="Z5520" s="127"/>
      <c r="AA5520" s="127"/>
      <c r="AB5520" s="128"/>
      <c r="AC5520" s="15" t="s">
        <v>20</v>
      </c>
      <c r="AD5520" s="129"/>
      <c r="AE5520" s="130"/>
      <c r="AF5520" s="130"/>
      <c r="AG5520" s="130"/>
      <c r="AH5520" s="130"/>
      <c r="AI5520" s="131"/>
      <c r="AJ5520" s="132"/>
      <c r="AK5520" s="127"/>
      <c r="AL5520" s="128"/>
      <c r="AM5520" s="21"/>
      <c r="AN5520" s="133">
        <v>46060</v>
      </c>
      <c r="AO5520" s="134"/>
      <c r="AP5520" s="135">
        <v>1287</v>
      </c>
      <c r="AQ5520" s="136"/>
      <c r="AR5520" s="118">
        <v>895000</v>
      </c>
      <c r="AS5520" s="119"/>
      <c r="AT5520" s="118">
        <f t="shared" ref="AT5520" si="6984">AR5520*0.1</f>
        <v>89500</v>
      </c>
      <c r="AU5520" s="119"/>
      <c r="AV5520" s="118">
        <v>18960</v>
      </c>
      <c r="AW5520" s="119"/>
      <c r="AX5520" s="118">
        <f t="shared" ref="AX5520" si="6985">SUM(AR5520:AW5520)</f>
        <v>1003460</v>
      </c>
      <c r="AY5520" s="119"/>
      <c r="AZ5520" s="137">
        <v>46063</v>
      </c>
    </row>
    <row r="5521" spans="1:52" ht="17.100000000000001" customHeight="1" thickBot="1">
      <c r="A5521" s="110"/>
      <c r="B5521" s="27" t="s">
        <v>83</v>
      </c>
      <c r="C5521" s="27">
        <v>34519</v>
      </c>
      <c r="D5521" s="14" t="s">
        <v>16137</v>
      </c>
      <c r="E5521" s="112"/>
      <c r="F5521" s="139" t="s">
        <v>16139</v>
      </c>
      <c r="G5521" s="140"/>
      <c r="H5521" s="141"/>
      <c r="I5521" s="26">
        <v>58991</v>
      </c>
      <c r="J5521" s="117"/>
      <c r="K5521" s="120"/>
      <c r="L5521" s="121"/>
      <c r="M5521" s="120"/>
      <c r="N5521" s="121"/>
      <c r="O5521" s="120"/>
      <c r="P5521" s="121"/>
      <c r="Q5521" s="120"/>
      <c r="R5521" s="121"/>
      <c r="S5521" s="120"/>
      <c r="T5521" s="121"/>
      <c r="U5521" s="120"/>
      <c r="V5521" s="123"/>
      <c r="W5521" s="125"/>
      <c r="X5521" s="142" t="s">
        <v>4058</v>
      </c>
      <c r="Y5521" s="143"/>
      <c r="Z5521" s="143"/>
      <c r="AA5521" s="143"/>
      <c r="AB5521" s="144"/>
      <c r="AC5521" s="16" t="s">
        <v>21</v>
      </c>
      <c r="AD5521" s="17" t="s">
        <v>1837</v>
      </c>
      <c r="AE5521" s="145" t="s">
        <v>1658</v>
      </c>
      <c r="AF5521" s="146"/>
      <c r="AG5521" s="146"/>
      <c r="AH5521" s="146"/>
      <c r="AI5521" s="147"/>
      <c r="AJ5521" s="148"/>
      <c r="AK5521" s="143"/>
      <c r="AL5521" s="144"/>
      <c r="AM5521" s="22"/>
      <c r="AN5521" s="149" t="s">
        <v>2511</v>
      </c>
      <c r="AO5521" s="144"/>
      <c r="AP5521" s="148">
        <v>80085</v>
      </c>
      <c r="AQ5521" s="144"/>
      <c r="AR5521" s="120"/>
      <c r="AS5521" s="121"/>
      <c r="AT5521" s="120"/>
      <c r="AU5521" s="121"/>
      <c r="AV5521" s="120"/>
      <c r="AW5521" s="121"/>
      <c r="AX5521" s="120"/>
      <c r="AY5521" s="121"/>
      <c r="AZ5521" s="138"/>
    </row>
    <row r="5522" spans="1:52" ht="17.100000000000001" customHeight="1" thickTop="1">
      <c r="A5522" s="109" t="s">
        <v>16165</v>
      </c>
      <c r="B5522" s="28">
        <v>46048</v>
      </c>
      <c r="C5522" s="25">
        <v>2078</v>
      </c>
      <c r="D5522" s="13" t="s">
        <v>1929</v>
      </c>
      <c r="E5522" s="111"/>
      <c r="F5522" s="113" t="s">
        <v>16141</v>
      </c>
      <c r="G5522" s="114"/>
      <c r="H5522" s="115"/>
      <c r="I5522" s="24"/>
      <c r="J5522" s="116">
        <v>4.5</v>
      </c>
      <c r="K5522" s="118">
        <v>1015000</v>
      </c>
      <c r="L5522" s="119"/>
      <c r="M5522" s="118">
        <f t="shared" ref="M5522" si="6986">K5522*0.1</f>
        <v>101500</v>
      </c>
      <c r="N5522" s="119"/>
      <c r="O5522" s="118">
        <v>0</v>
      </c>
      <c r="P5522" s="119"/>
      <c r="Q5522" s="118">
        <v>20860</v>
      </c>
      <c r="R5522" s="119"/>
      <c r="S5522" s="118">
        <v>11000</v>
      </c>
      <c r="T5522" s="119"/>
      <c r="U5522" s="118">
        <f t="shared" ref="U5522" si="6987">SUM(K5522:T5523)</f>
        <v>1148360</v>
      </c>
      <c r="V5522" s="122"/>
      <c r="W5522" s="124"/>
      <c r="X5522" s="126" t="s">
        <v>16362</v>
      </c>
      <c r="Y5522" s="127"/>
      <c r="Z5522" s="127"/>
      <c r="AA5522" s="127"/>
      <c r="AB5522" s="128"/>
      <c r="AC5522" s="15" t="s">
        <v>20</v>
      </c>
      <c r="AD5522" s="129" t="s">
        <v>171</v>
      </c>
      <c r="AE5522" s="130"/>
      <c r="AF5522" s="130"/>
      <c r="AG5522" s="130"/>
      <c r="AH5522" s="130"/>
      <c r="AI5522" s="131"/>
      <c r="AJ5522" s="132"/>
      <c r="AK5522" s="127"/>
      <c r="AL5522" s="128"/>
      <c r="AM5522" s="21"/>
      <c r="AN5522" s="133">
        <v>46053</v>
      </c>
      <c r="AO5522" s="134"/>
      <c r="AP5522" s="135">
        <v>1286</v>
      </c>
      <c r="AQ5522" s="136"/>
      <c r="AR5522" s="118">
        <v>1120000</v>
      </c>
      <c r="AS5522" s="119"/>
      <c r="AT5522" s="118">
        <f t="shared" ref="AT5522" si="6988">AR5522*0.1</f>
        <v>112000</v>
      </c>
      <c r="AU5522" s="119"/>
      <c r="AV5522" s="118">
        <v>20860</v>
      </c>
      <c r="AW5522" s="119"/>
      <c r="AX5522" s="118">
        <f t="shared" ref="AX5522" si="6989">SUM(AR5522:AW5522)</f>
        <v>1252860</v>
      </c>
      <c r="AY5522" s="119"/>
      <c r="AZ5522" s="137">
        <v>46056</v>
      </c>
    </row>
    <row r="5523" spans="1:52" ht="17.100000000000001" customHeight="1" thickBot="1">
      <c r="A5523" s="110"/>
      <c r="B5523" s="27" t="s">
        <v>83</v>
      </c>
      <c r="C5523" s="27">
        <v>36016</v>
      </c>
      <c r="D5523" s="14" t="s">
        <v>55</v>
      </c>
      <c r="E5523" s="112"/>
      <c r="F5523" s="139" t="s">
        <v>16142</v>
      </c>
      <c r="G5523" s="140"/>
      <c r="H5523" s="141"/>
      <c r="I5523" s="26">
        <v>37114</v>
      </c>
      <c r="J5523" s="117"/>
      <c r="K5523" s="120"/>
      <c r="L5523" s="121"/>
      <c r="M5523" s="120"/>
      <c r="N5523" s="121"/>
      <c r="O5523" s="120"/>
      <c r="P5523" s="121"/>
      <c r="Q5523" s="120"/>
      <c r="R5523" s="121"/>
      <c r="S5523" s="120"/>
      <c r="T5523" s="121"/>
      <c r="U5523" s="120"/>
      <c r="V5523" s="123"/>
      <c r="W5523" s="125"/>
      <c r="X5523" s="142" t="s">
        <v>13320</v>
      </c>
      <c r="Y5523" s="143"/>
      <c r="Z5523" s="143"/>
      <c r="AA5523" s="143"/>
      <c r="AB5523" s="144"/>
      <c r="AC5523" s="16" t="s">
        <v>21</v>
      </c>
      <c r="AD5523" s="17" t="s">
        <v>1837</v>
      </c>
      <c r="AE5523" s="145" t="s">
        <v>1945</v>
      </c>
      <c r="AF5523" s="146"/>
      <c r="AG5523" s="146"/>
      <c r="AH5523" s="146"/>
      <c r="AI5523" s="147"/>
      <c r="AJ5523" s="148"/>
      <c r="AK5523" s="143"/>
      <c r="AL5523" s="144"/>
      <c r="AM5523" s="22"/>
      <c r="AN5523" s="149" t="s">
        <v>2511</v>
      </c>
      <c r="AO5523" s="144"/>
      <c r="AP5523" s="148">
        <v>80247</v>
      </c>
      <c r="AQ5523" s="144"/>
      <c r="AR5523" s="120"/>
      <c r="AS5523" s="121"/>
      <c r="AT5523" s="120"/>
      <c r="AU5523" s="121"/>
      <c r="AV5523" s="120"/>
      <c r="AW5523" s="121"/>
      <c r="AX5523" s="120"/>
      <c r="AY5523" s="121"/>
      <c r="AZ5523" s="138"/>
    </row>
    <row r="5524" spans="1:52" ht="17.100000000000001" customHeight="1" thickTop="1">
      <c r="A5524" s="109" t="s">
        <v>16166</v>
      </c>
      <c r="B5524" s="28">
        <v>46048</v>
      </c>
      <c r="C5524" s="25">
        <v>2078</v>
      </c>
      <c r="D5524" s="13" t="s">
        <v>2298</v>
      </c>
      <c r="E5524" s="111"/>
      <c r="F5524" s="113" t="s">
        <v>2732</v>
      </c>
      <c r="G5524" s="114"/>
      <c r="H5524" s="115"/>
      <c r="I5524" s="24"/>
      <c r="J5524" s="116">
        <v>4.5</v>
      </c>
      <c r="K5524" s="118">
        <v>2195000</v>
      </c>
      <c r="L5524" s="119"/>
      <c r="M5524" s="118">
        <f t="shared" ref="M5524" si="6990">K5524*0.1</f>
        <v>219500</v>
      </c>
      <c r="N5524" s="119"/>
      <c r="O5524" s="118">
        <v>0</v>
      </c>
      <c r="P5524" s="119"/>
      <c r="Q5524" s="118">
        <v>18170</v>
      </c>
      <c r="R5524" s="119"/>
      <c r="S5524" s="118">
        <v>11000</v>
      </c>
      <c r="T5524" s="119"/>
      <c r="U5524" s="118">
        <f t="shared" ref="U5524" si="6991">SUM(K5524:T5525)</f>
        <v>2443670</v>
      </c>
      <c r="V5524" s="122"/>
      <c r="W5524" s="124"/>
      <c r="X5524" s="126" t="s">
        <v>16361</v>
      </c>
      <c r="Y5524" s="127"/>
      <c r="Z5524" s="127"/>
      <c r="AA5524" s="127"/>
      <c r="AB5524" s="128"/>
      <c r="AC5524" s="15" t="s">
        <v>20</v>
      </c>
      <c r="AD5524" s="129" t="s">
        <v>1581</v>
      </c>
      <c r="AE5524" s="130"/>
      <c r="AF5524" s="130"/>
      <c r="AG5524" s="130"/>
      <c r="AH5524" s="130"/>
      <c r="AI5524" s="131"/>
      <c r="AJ5524" s="132"/>
      <c r="AK5524" s="127"/>
      <c r="AL5524" s="128"/>
      <c r="AM5524" s="21"/>
      <c r="AN5524" s="133">
        <v>46060</v>
      </c>
      <c r="AO5524" s="134"/>
      <c r="AP5524" s="135">
        <v>1287</v>
      </c>
      <c r="AQ5524" s="136"/>
      <c r="AR5524" s="118">
        <v>2420000</v>
      </c>
      <c r="AS5524" s="119"/>
      <c r="AT5524" s="118">
        <f t="shared" ref="AT5524" si="6992">AR5524*0.1</f>
        <v>242000</v>
      </c>
      <c r="AU5524" s="119"/>
      <c r="AV5524" s="118">
        <v>18170</v>
      </c>
      <c r="AW5524" s="119"/>
      <c r="AX5524" s="118">
        <f t="shared" ref="AX5524" si="6993">SUM(AR5524:AW5524)</f>
        <v>2680170</v>
      </c>
      <c r="AY5524" s="119"/>
      <c r="AZ5524" s="137">
        <v>46063</v>
      </c>
    </row>
    <row r="5525" spans="1:52" ht="17.100000000000001" customHeight="1" thickBot="1">
      <c r="A5525" s="110"/>
      <c r="B5525" s="27" t="s">
        <v>83</v>
      </c>
      <c r="C5525" s="27">
        <v>36022</v>
      </c>
      <c r="D5525" s="14" t="s">
        <v>275</v>
      </c>
      <c r="E5525" s="112"/>
      <c r="F5525" s="139" t="s">
        <v>16143</v>
      </c>
      <c r="G5525" s="140"/>
      <c r="H5525" s="141"/>
      <c r="I5525" s="26">
        <v>34821</v>
      </c>
      <c r="J5525" s="117"/>
      <c r="K5525" s="120"/>
      <c r="L5525" s="121"/>
      <c r="M5525" s="120"/>
      <c r="N5525" s="121"/>
      <c r="O5525" s="120"/>
      <c r="P5525" s="121"/>
      <c r="Q5525" s="120"/>
      <c r="R5525" s="121"/>
      <c r="S5525" s="120"/>
      <c r="T5525" s="121"/>
      <c r="U5525" s="120"/>
      <c r="V5525" s="123"/>
      <c r="W5525" s="125"/>
      <c r="X5525" s="142" t="s">
        <v>13320</v>
      </c>
      <c r="Y5525" s="143"/>
      <c r="Z5525" s="143"/>
      <c r="AA5525" s="143"/>
      <c r="AB5525" s="144"/>
      <c r="AC5525" s="16" t="s">
        <v>21</v>
      </c>
      <c r="AD5525" s="17" t="s">
        <v>1837</v>
      </c>
      <c r="AE5525" s="145" t="s">
        <v>1614</v>
      </c>
      <c r="AF5525" s="146"/>
      <c r="AG5525" s="146"/>
      <c r="AH5525" s="146"/>
      <c r="AI5525" s="147"/>
      <c r="AJ5525" s="148"/>
      <c r="AK5525" s="143"/>
      <c r="AL5525" s="144"/>
      <c r="AM5525" s="22"/>
      <c r="AN5525" s="149" t="s">
        <v>2511</v>
      </c>
      <c r="AO5525" s="144"/>
      <c r="AP5525" s="148">
        <v>80093</v>
      </c>
      <c r="AQ5525" s="144"/>
      <c r="AR5525" s="120"/>
      <c r="AS5525" s="121"/>
      <c r="AT5525" s="120"/>
      <c r="AU5525" s="121"/>
      <c r="AV5525" s="120"/>
      <c r="AW5525" s="121"/>
      <c r="AX5525" s="120"/>
      <c r="AY5525" s="121"/>
      <c r="AZ5525" s="138"/>
    </row>
    <row r="5526" spans="1:52" ht="17.100000000000001" customHeight="1" thickTop="1">
      <c r="A5526" s="109" t="s">
        <v>16167</v>
      </c>
      <c r="B5526" s="28">
        <v>46048</v>
      </c>
      <c r="C5526" s="25"/>
      <c r="D5526" s="13" t="s">
        <v>2359</v>
      </c>
      <c r="E5526" s="111"/>
      <c r="F5526" s="113" t="s">
        <v>9766</v>
      </c>
      <c r="G5526" s="114"/>
      <c r="H5526" s="115"/>
      <c r="I5526" s="24"/>
      <c r="J5526" s="116">
        <v>4.5</v>
      </c>
      <c r="K5526" s="118">
        <v>1530000</v>
      </c>
      <c r="L5526" s="119"/>
      <c r="M5526" s="118">
        <f t="shared" ref="M5526" si="6994">K5526*0.1</f>
        <v>153000</v>
      </c>
      <c r="N5526" s="119"/>
      <c r="O5526" s="118">
        <v>0</v>
      </c>
      <c r="P5526" s="119"/>
      <c r="Q5526" s="118">
        <v>11930</v>
      </c>
      <c r="R5526" s="119"/>
      <c r="S5526" s="118">
        <f>23500+2350</f>
        <v>25850</v>
      </c>
      <c r="T5526" s="119"/>
      <c r="U5526" s="118">
        <f t="shared" ref="U5526" si="6995">SUM(K5526:T5527)</f>
        <v>1720780</v>
      </c>
      <c r="V5526" s="122"/>
      <c r="W5526" s="124"/>
      <c r="X5526" s="126" t="s">
        <v>16594</v>
      </c>
      <c r="Y5526" s="127"/>
      <c r="Z5526" s="127"/>
      <c r="AA5526" s="127"/>
      <c r="AB5526" s="128"/>
      <c r="AC5526" s="15" t="s">
        <v>20</v>
      </c>
      <c r="AD5526" s="129"/>
      <c r="AE5526" s="130"/>
      <c r="AF5526" s="130"/>
      <c r="AG5526" s="130"/>
      <c r="AH5526" s="130"/>
      <c r="AI5526" s="131"/>
      <c r="AJ5526" s="132"/>
      <c r="AK5526" s="127"/>
      <c r="AL5526" s="128"/>
      <c r="AM5526" s="21"/>
      <c r="AN5526" s="133">
        <v>46128</v>
      </c>
      <c r="AO5526" s="134"/>
      <c r="AP5526" s="135">
        <v>1327</v>
      </c>
      <c r="AQ5526" s="136"/>
      <c r="AR5526" s="118">
        <v>1600000</v>
      </c>
      <c r="AS5526" s="119"/>
      <c r="AT5526" s="118">
        <f t="shared" ref="AT5526" si="6996">AR5526*0.1</f>
        <v>160000</v>
      </c>
      <c r="AU5526" s="119"/>
      <c r="AV5526" s="118">
        <v>11930</v>
      </c>
      <c r="AW5526" s="119"/>
      <c r="AX5526" s="118">
        <f t="shared" ref="AX5526" si="6997">SUM(AR5526:AW5526)</f>
        <v>1771930</v>
      </c>
      <c r="AY5526" s="119"/>
      <c r="AZ5526" s="137">
        <v>46129</v>
      </c>
    </row>
    <row r="5527" spans="1:52" ht="17.100000000000001" customHeight="1" thickBot="1">
      <c r="A5527" s="110"/>
      <c r="B5527" s="27" t="s">
        <v>2774</v>
      </c>
      <c r="C5527" s="27">
        <v>80255</v>
      </c>
      <c r="D5527" s="14" t="s">
        <v>1592</v>
      </c>
      <c r="E5527" s="112"/>
      <c r="F5527" s="139" t="s">
        <v>16144</v>
      </c>
      <c r="G5527" s="140"/>
      <c r="H5527" s="141"/>
      <c r="I5527" s="26">
        <v>19133</v>
      </c>
      <c r="J5527" s="117"/>
      <c r="K5527" s="120"/>
      <c r="L5527" s="121"/>
      <c r="M5527" s="120"/>
      <c r="N5527" s="121"/>
      <c r="O5527" s="120"/>
      <c r="P5527" s="121"/>
      <c r="Q5527" s="120"/>
      <c r="R5527" s="121"/>
      <c r="S5527" s="120"/>
      <c r="T5527" s="121"/>
      <c r="U5527" s="120"/>
      <c r="V5527" s="123"/>
      <c r="W5527" s="125"/>
      <c r="X5527" s="142" t="s">
        <v>16595</v>
      </c>
      <c r="Y5527" s="143"/>
      <c r="Z5527" s="143"/>
      <c r="AA5527" s="143"/>
      <c r="AB5527" s="144"/>
      <c r="AC5527" s="16" t="s">
        <v>21</v>
      </c>
      <c r="AD5527" s="17" t="s">
        <v>2316</v>
      </c>
      <c r="AE5527" s="145" t="s">
        <v>16113</v>
      </c>
      <c r="AF5527" s="146"/>
      <c r="AG5527" s="146"/>
      <c r="AH5527" s="146"/>
      <c r="AI5527" s="147"/>
      <c r="AJ5527" s="148"/>
      <c r="AK5527" s="143"/>
      <c r="AL5527" s="144"/>
      <c r="AM5527" s="22"/>
      <c r="AN5527" s="149" t="s">
        <v>23285</v>
      </c>
      <c r="AO5527" s="144"/>
      <c r="AP5527" s="148" t="s">
        <v>23286</v>
      </c>
      <c r="AQ5527" s="144"/>
      <c r="AR5527" s="120"/>
      <c r="AS5527" s="121"/>
      <c r="AT5527" s="120"/>
      <c r="AU5527" s="121"/>
      <c r="AV5527" s="120"/>
      <c r="AW5527" s="121"/>
      <c r="AX5527" s="120"/>
      <c r="AY5527" s="121"/>
      <c r="AZ5527" s="138"/>
    </row>
    <row r="5528" spans="1:52" ht="17.100000000000001" customHeight="1" thickTop="1">
      <c r="A5528" s="151" t="s">
        <v>16168</v>
      </c>
      <c r="B5528" s="28">
        <v>46048</v>
      </c>
      <c r="C5528" s="25"/>
      <c r="D5528" s="13" t="s">
        <v>1686</v>
      </c>
      <c r="E5528" s="111"/>
      <c r="F5528" s="113" t="s">
        <v>1938</v>
      </c>
      <c r="G5528" s="114"/>
      <c r="H5528" s="115"/>
      <c r="I5528" s="24"/>
      <c r="J5528" s="116">
        <v>3.5</v>
      </c>
      <c r="K5528" s="118">
        <v>455000</v>
      </c>
      <c r="L5528" s="119"/>
      <c r="M5528" s="118">
        <f t="shared" ref="M5528" si="6998">K5528*0.1</f>
        <v>45500</v>
      </c>
      <c r="N5528" s="119"/>
      <c r="O5528" s="118">
        <v>0</v>
      </c>
      <c r="P5528" s="119"/>
      <c r="Q5528" s="118">
        <v>17700</v>
      </c>
      <c r="R5528" s="119"/>
      <c r="S5528" s="118">
        <v>15950</v>
      </c>
      <c r="T5528" s="119"/>
      <c r="U5528" s="118">
        <f t="shared" ref="U5528" si="6999">SUM(K5528:T5529)</f>
        <v>534150</v>
      </c>
      <c r="V5528" s="122"/>
      <c r="W5528" s="124"/>
      <c r="X5528" s="126"/>
      <c r="Y5528" s="127"/>
      <c r="Z5528" s="127"/>
      <c r="AA5528" s="127"/>
      <c r="AB5528" s="128"/>
      <c r="AC5528" s="15" t="s">
        <v>20</v>
      </c>
      <c r="AD5528" s="129"/>
      <c r="AE5528" s="130"/>
      <c r="AF5528" s="130"/>
      <c r="AG5528" s="130"/>
      <c r="AH5528" s="130"/>
      <c r="AI5528" s="131"/>
      <c r="AJ5528" s="132" t="s">
        <v>8040</v>
      </c>
      <c r="AK5528" s="127"/>
      <c r="AL5528" s="128"/>
      <c r="AM5528" s="21"/>
      <c r="AN5528" s="133"/>
      <c r="AO5528" s="134"/>
      <c r="AP5528" s="135"/>
      <c r="AQ5528" s="136"/>
      <c r="AR5528" s="118"/>
      <c r="AS5528" s="119"/>
      <c r="AT5528" s="118">
        <f t="shared" ref="AT5528" si="7000">AR5528*0.1</f>
        <v>0</v>
      </c>
      <c r="AU5528" s="119"/>
      <c r="AV5528" s="118"/>
      <c r="AW5528" s="119"/>
      <c r="AX5528" s="118">
        <f t="shared" ref="AX5528" si="7001">SUM(AR5528:AW5528)</f>
        <v>0</v>
      </c>
      <c r="AY5528" s="119"/>
      <c r="AZ5528" s="137"/>
    </row>
    <row r="5529" spans="1:52" ht="17.100000000000001" customHeight="1" thickBot="1">
      <c r="A5529" s="152"/>
      <c r="B5529" s="27" t="s">
        <v>4475</v>
      </c>
      <c r="C5529" s="27">
        <v>70040</v>
      </c>
      <c r="D5529" s="14" t="s">
        <v>1576</v>
      </c>
      <c r="E5529" s="112"/>
      <c r="F5529" s="139" t="s">
        <v>17983</v>
      </c>
      <c r="G5529" s="140"/>
      <c r="H5529" s="141"/>
      <c r="I5529" s="26">
        <v>50470</v>
      </c>
      <c r="J5529" s="117"/>
      <c r="K5529" s="120"/>
      <c r="L5529" s="121"/>
      <c r="M5529" s="120"/>
      <c r="N5529" s="121"/>
      <c r="O5529" s="120"/>
      <c r="P5529" s="121"/>
      <c r="Q5529" s="120"/>
      <c r="R5529" s="121"/>
      <c r="S5529" s="120"/>
      <c r="T5529" s="121"/>
      <c r="U5529" s="120"/>
      <c r="V5529" s="123"/>
      <c r="W5529" s="125"/>
      <c r="X5529" s="142"/>
      <c r="Y5529" s="143"/>
      <c r="Z5529" s="143"/>
      <c r="AA5529" s="143"/>
      <c r="AB5529" s="144"/>
      <c r="AC5529" s="16" t="s">
        <v>21</v>
      </c>
      <c r="AD5529" s="17" t="s">
        <v>10540</v>
      </c>
      <c r="AE5529" s="145" t="s">
        <v>16333</v>
      </c>
      <c r="AF5529" s="146"/>
      <c r="AG5529" s="146"/>
      <c r="AH5529" s="146"/>
      <c r="AI5529" s="147"/>
      <c r="AJ5529" s="148"/>
      <c r="AK5529" s="143"/>
      <c r="AL5529" s="144"/>
      <c r="AM5529" s="22"/>
      <c r="AN5529" s="149"/>
      <c r="AO5529" s="144"/>
      <c r="AP5529" s="148"/>
      <c r="AQ5529" s="144"/>
      <c r="AR5529" s="120"/>
      <c r="AS5529" s="121"/>
      <c r="AT5529" s="120"/>
      <c r="AU5529" s="121"/>
      <c r="AV5529" s="120"/>
      <c r="AW5529" s="121"/>
      <c r="AX5529" s="120"/>
      <c r="AY5529" s="121"/>
      <c r="AZ5529" s="138"/>
    </row>
    <row r="5530" spans="1:52" ht="17.100000000000001" customHeight="1" thickTop="1">
      <c r="A5530" s="109" t="s">
        <v>16169</v>
      </c>
      <c r="B5530" s="28">
        <v>46048</v>
      </c>
      <c r="C5530" s="25"/>
      <c r="D5530" s="13" t="s">
        <v>1953</v>
      </c>
      <c r="E5530" s="111"/>
      <c r="F5530" s="113" t="s">
        <v>16145</v>
      </c>
      <c r="G5530" s="114"/>
      <c r="H5530" s="115"/>
      <c r="I5530" s="24"/>
      <c r="J5530" s="116">
        <v>4</v>
      </c>
      <c r="K5530" s="118">
        <v>1335000</v>
      </c>
      <c r="L5530" s="119"/>
      <c r="M5530" s="118">
        <f t="shared" ref="M5530" si="7002">K5530*0.1</f>
        <v>133500</v>
      </c>
      <c r="N5530" s="119"/>
      <c r="O5530" s="118">
        <v>0</v>
      </c>
      <c r="P5530" s="119"/>
      <c r="Q5530" s="118">
        <v>19070</v>
      </c>
      <c r="R5530" s="119"/>
      <c r="S5530" s="118">
        <v>15950</v>
      </c>
      <c r="T5530" s="119"/>
      <c r="U5530" s="118">
        <f t="shared" ref="U5530" si="7003">SUM(K5530:T5531)</f>
        <v>1503520</v>
      </c>
      <c r="V5530" s="122"/>
      <c r="W5530" s="124"/>
      <c r="X5530" s="126" t="s">
        <v>16804</v>
      </c>
      <c r="Y5530" s="127"/>
      <c r="Z5530" s="127"/>
      <c r="AA5530" s="127"/>
      <c r="AB5530" s="128"/>
      <c r="AC5530" s="15" t="s">
        <v>20</v>
      </c>
      <c r="AD5530" s="129"/>
      <c r="AE5530" s="130"/>
      <c r="AF5530" s="130"/>
      <c r="AG5530" s="130"/>
      <c r="AH5530" s="130"/>
      <c r="AI5530" s="131"/>
      <c r="AJ5530" s="132"/>
      <c r="AK5530" s="127"/>
      <c r="AL5530" s="128"/>
      <c r="AM5530" s="21"/>
      <c r="AN5530" s="133">
        <v>46060</v>
      </c>
      <c r="AO5530" s="134"/>
      <c r="AP5530" s="135">
        <v>1287</v>
      </c>
      <c r="AQ5530" s="136"/>
      <c r="AR5530" s="118">
        <v>1385000</v>
      </c>
      <c r="AS5530" s="119"/>
      <c r="AT5530" s="118">
        <f t="shared" ref="AT5530" si="7004">AR5530*0.1</f>
        <v>138500</v>
      </c>
      <c r="AU5530" s="119"/>
      <c r="AV5530" s="118">
        <v>19070</v>
      </c>
      <c r="AW5530" s="119"/>
      <c r="AX5530" s="118">
        <f t="shared" ref="AX5530" si="7005">SUM(AR5530:AW5530)</f>
        <v>1542570</v>
      </c>
      <c r="AY5530" s="119"/>
      <c r="AZ5530" s="137">
        <v>46063</v>
      </c>
    </row>
    <row r="5531" spans="1:52" ht="17.100000000000001" customHeight="1" thickBot="1">
      <c r="A5531" s="110"/>
      <c r="B5531" s="27" t="s">
        <v>4475</v>
      </c>
      <c r="C5531" s="27">
        <v>70198</v>
      </c>
      <c r="D5531" s="14" t="s">
        <v>1592</v>
      </c>
      <c r="E5531" s="112"/>
      <c r="F5531" s="139" t="s">
        <v>16803</v>
      </c>
      <c r="G5531" s="140"/>
      <c r="H5531" s="141"/>
      <c r="I5531" s="26">
        <v>25693</v>
      </c>
      <c r="J5531" s="117"/>
      <c r="K5531" s="120"/>
      <c r="L5531" s="121"/>
      <c r="M5531" s="120"/>
      <c r="N5531" s="121"/>
      <c r="O5531" s="120"/>
      <c r="P5531" s="121"/>
      <c r="Q5531" s="120"/>
      <c r="R5531" s="121"/>
      <c r="S5531" s="120"/>
      <c r="T5531" s="121"/>
      <c r="U5531" s="120"/>
      <c r="V5531" s="123"/>
      <c r="W5531" s="125"/>
      <c r="X5531" s="142" t="s">
        <v>9908</v>
      </c>
      <c r="Y5531" s="143"/>
      <c r="Z5531" s="143"/>
      <c r="AA5531" s="143"/>
      <c r="AB5531" s="144"/>
      <c r="AC5531" s="16" t="s">
        <v>21</v>
      </c>
      <c r="AD5531" s="17" t="s">
        <v>2329</v>
      </c>
      <c r="AE5531" s="145" t="s">
        <v>3385</v>
      </c>
      <c r="AF5531" s="146"/>
      <c r="AG5531" s="146"/>
      <c r="AH5531" s="146"/>
      <c r="AI5531" s="147"/>
      <c r="AJ5531" s="148"/>
      <c r="AK5531" s="143"/>
      <c r="AL5531" s="144"/>
      <c r="AM5531" s="22"/>
      <c r="AN5531" s="149" t="s">
        <v>2511</v>
      </c>
      <c r="AO5531" s="144"/>
      <c r="AP5531" s="148">
        <v>80061</v>
      </c>
      <c r="AQ5531" s="144"/>
      <c r="AR5531" s="120"/>
      <c r="AS5531" s="121"/>
      <c r="AT5531" s="120"/>
      <c r="AU5531" s="121"/>
      <c r="AV5531" s="120"/>
      <c r="AW5531" s="121"/>
      <c r="AX5531" s="120"/>
      <c r="AY5531" s="121"/>
      <c r="AZ5531" s="138"/>
    </row>
    <row r="5532" spans="1:52" ht="17.100000000000001" customHeight="1" thickTop="1">
      <c r="A5532" s="109" t="s">
        <v>16235</v>
      </c>
      <c r="B5532" s="28">
        <v>46049</v>
      </c>
      <c r="C5532" s="25"/>
      <c r="D5532" s="13" t="s">
        <v>2654</v>
      </c>
      <c r="E5532" s="111"/>
      <c r="F5532" s="113" t="s">
        <v>2312</v>
      </c>
      <c r="G5532" s="114"/>
      <c r="H5532" s="115"/>
      <c r="I5532" s="24" t="s">
        <v>5132</v>
      </c>
      <c r="J5532" s="116"/>
      <c r="K5532" s="118">
        <v>2000000</v>
      </c>
      <c r="L5532" s="119"/>
      <c r="M5532" s="118">
        <v>0</v>
      </c>
      <c r="N5532" s="119"/>
      <c r="O5532" s="118">
        <v>0</v>
      </c>
      <c r="P5532" s="119"/>
      <c r="Q5532" s="118">
        <v>0</v>
      </c>
      <c r="R5532" s="119"/>
      <c r="S5532" s="118">
        <v>0</v>
      </c>
      <c r="T5532" s="119"/>
      <c r="U5532" s="118">
        <f t="shared" ref="U5532" si="7006">SUM(K5532:T5533)</f>
        <v>2000000</v>
      </c>
      <c r="V5532" s="122"/>
      <c r="W5532" s="124"/>
      <c r="X5532" s="126" t="s">
        <v>16237</v>
      </c>
      <c r="Y5532" s="127"/>
      <c r="Z5532" s="127"/>
      <c r="AA5532" s="127"/>
      <c r="AB5532" s="128"/>
      <c r="AC5532" s="15" t="s">
        <v>20</v>
      </c>
      <c r="AD5532" s="129"/>
      <c r="AE5532" s="130"/>
      <c r="AF5532" s="130"/>
      <c r="AG5532" s="130"/>
      <c r="AH5532" s="130"/>
      <c r="AI5532" s="131"/>
      <c r="AJ5532" s="132"/>
      <c r="AK5532" s="127"/>
      <c r="AL5532" s="128"/>
      <c r="AM5532" s="21"/>
      <c r="AN5532" s="133"/>
      <c r="AO5532" s="134"/>
      <c r="AP5532" s="135"/>
      <c r="AQ5532" s="136"/>
      <c r="AR5532" s="118"/>
      <c r="AS5532" s="119"/>
      <c r="AT5532" s="118">
        <f t="shared" ref="AT5532" si="7007">AR5532*0.1</f>
        <v>0</v>
      </c>
      <c r="AU5532" s="119"/>
      <c r="AV5532" s="118"/>
      <c r="AW5532" s="119"/>
      <c r="AX5532" s="118">
        <f t="shared" ref="AX5532" si="7008">SUM(AR5532:AW5532)</f>
        <v>0</v>
      </c>
      <c r="AY5532" s="119"/>
      <c r="AZ5532" s="137"/>
    </row>
    <row r="5533" spans="1:52" ht="17.100000000000001" customHeight="1" thickBot="1">
      <c r="A5533" s="110"/>
      <c r="B5533" s="27" t="s">
        <v>16234</v>
      </c>
      <c r="C5533" s="27"/>
      <c r="D5533" s="14" t="s">
        <v>3274</v>
      </c>
      <c r="E5533" s="112"/>
      <c r="F5533" s="139" t="s">
        <v>16236</v>
      </c>
      <c r="G5533" s="140"/>
      <c r="H5533" s="141"/>
      <c r="I5533" s="26">
        <v>54778</v>
      </c>
      <c r="J5533" s="117"/>
      <c r="K5533" s="120"/>
      <c r="L5533" s="121"/>
      <c r="M5533" s="120"/>
      <c r="N5533" s="121"/>
      <c r="O5533" s="120"/>
      <c r="P5533" s="121"/>
      <c r="Q5533" s="120"/>
      <c r="R5533" s="121"/>
      <c r="S5533" s="120"/>
      <c r="T5533" s="121"/>
      <c r="U5533" s="120"/>
      <c r="V5533" s="123"/>
      <c r="W5533" s="125"/>
      <c r="X5533" s="142" t="s">
        <v>16238</v>
      </c>
      <c r="Y5533" s="143"/>
      <c r="Z5533" s="143"/>
      <c r="AA5533" s="143"/>
      <c r="AB5533" s="144"/>
      <c r="AC5533" s="16" t="s">
        <v>21</v>
      </c>
      <c r="AD5533" s="17" t="s">
        <v>16172</v>
      </c>
      <c r="AE5533" s="145" t="s">
        <v>1742</v>
      </c>
      <c r="AF5533" s="146"/>
      <c r="AG5533" s="146"/>
      <c r="AH5533" s="146"/>
      <c r="AI5533" s="147"/>
      <c r="AJ5533" s="148"/>
      <c r="AK5533" s="143"/>
      <c r="AL5533" s="144"/>
      <c r="AM5533" s="22"/>
      <c r="AN5533" s="149"/>
      <c r="AO5533" s="144"/>
      <c r="AP5533" s="148"/>
      <c r="AQ5533" s="144"/>
      <c r="AR5533" s="120"/>
      <c r="AS5533" s="121"/>
      <c r="AT5533" s="120"/>
      <c r="AU5533" s="121"/>
      <c r="AV5533" s="120"/>
      <c r="AW5533" s="121"/>
      <c r="AX5533" s="120"/>
      <c r="AY5533" s="121"/>
      <c r="AZ5533" s="138"/>
    </row>
    <row r="5534" spans="1:52" ht="17.100000000000001" customHeight="1" thickTop="1">
      <c r="A5534" s="109" t="s">
        <v>16244</v>
      </c>
      <c r="B5534" s="28">
        <v>46049</v>
      </c>
      <c r="C5534" s="25">
        <v>1926</v>
      </c>
      <c r="D5534" s="13" t="s">
        <v>1606</v>
      </c>
      <c r="E5534" s="111"/>
      <c r="F5534" s="113" t="s">
        <v>15962</v>
      </c>
      <c r="G5534" s="114"/>
      <c r="H5534" s="115"/>
      <c r="I5534" s="24" t="s">
        <v>2577</v>
      </c>
      <c r="J5534" s="116">
        <v>4</v>
      </c>
      <c r="K5534" s="118">
        <v>802000</v>
      </c>
      <c r="L5534" s="119"/>
      <c r="M5534" s="118">
        <f t="shared" ref="M5534" si="7009">K5534*0.1</f>
        <v>80200</v>
      </c>
      <c r="N5534" s="119"/>
      <c r="O5534" s="118">
        <v>0</v>
      </c>
      <c r="P5534" s="119"/>
      <c r="Q5534" s="118">
        <v>9080</v>
      </c>
      <c r="R5534" s="119"/>
      <c r="S5534" s="118">
        <v>15950</v>
      </c>
      <c r="T5534" s="119"/>
      <c r="U5534" s="118">
        <f t="shared" ref="U5534" si="7010">SUM(K5534:T5535)</f>
        <v>907230</v>
      </c>
      <c r="V5534" s="122"/>
      <c r="W5534" s="124"/>
      <c r="X5534" s="126" t="s">
        <v>16792</v>
      </c>
      <c r="Y5534" s="127"/>
      <c r="Z5534" s="127"/>
      <c r="AA5534" s="127"/>
      <c r="AB5534" s="128"/>
      <c r="AC5534" s="15" t="s">
        <v>20</v>
      </c>
      <c r="AD5534" s="129" t="s">
        <v>16255</v>
      </c>
      <c r="AE5534" s="130"/>
      <c r="AF5534" s="130"/>
      <c r="AG5534" s="130"/>
      <c r="AH5534" s="130"/>
      <c r="AI5534" s="131"/>
      <c r="AJ5534" s="132"/>
      <c r="AK5534" s="127"/>
      <c r="AL5534" s="128"/>
      <c r="AM5534" s="21"/>
      <c r="AN5534" s="133">
        <v>46053</v>
      </c>
      <c r="AO5534" s="134"/>
      <c r="AP5534" s="135">
        <v>1286</v>
      </c>
      <c r="AQ5534" s="136"/>
      <c r="AR5534" s="118">
        <v>935000</v>
      </c>
      <c r="AS5534" s="119"/>
      <c r="AT5534" s="118">
        <f t="shared" ref="AT5534" si="7011">AR5534*0.1</f>
        <v>93500</v>
      </c>
      <c r="AU5534" s="119"/>
      <c r="AV5534" s="118">
        <v>9080</v>
      </c>
      <c r="AW5534" s="119"/>
      <c r="AX5534" s="118">
        <f t="shared" ref="AX5534" si="7012">SUM(AR5534:AW5534)</f>
        <v>1037580</v>
      </c>
      <c r="AY5534" s="119"/>
      <c r="AZ5534" s="137">
        <v>46058</v>
      </c>
    </row>
    <row r="5535" spans="1:52" ht="17.100000000000001" customHeight="1" thickBot="1">
      <c r="A5535" s="110"/>
      <c r="B5535" s="27" t="s">
        <v>2131</v>
      </c>
      <c r="C5535" s="27">
        <v>3206</v>
      </c>
      <c r="D5535" s="14" t="s">
        <v>275</v>
      </c>
      <c r="E5535" s="112"/>
      <c r="F5535" s="139" t="s">
        <v>16254</v>
      </c>
      <c r="G5535" s="140"/>
      <c r="H5535" s="141"/>
      <c r="I5535" s="26">
        <v>63550</v>
      </c>
      <c r="J5535" s="117"/>
      <c r="K5535" s="120"/>
      <c r="L5535" s="121"/>
      <c r="M5535" s="120"/>
      <c r="N5535" s="121"/>
      <c r="O5535" s="120"/>
      <c r="P5535" s="121"/>
      <c r="Q5535" s="120"/>
      <c r="R5535" s="121"/>
      <c r="S5535" s="120"/>
      <c r="T5535" s="121"/>
      <c r="U5535" s="120"/>
      <c r="V5535" s="123"/>
      <c r="W5535" s="125"/>
      <c r="X5535" s="142" t="s">
        <v>16793</v>
      </c>
      <c r="Y5535" s="143"/>
      <c r="Z5535" s="143"/>
      <c r="AA5535" s="143"/>
      <c r="AB5535" s="144"/>
      <c r="AC5535" s="16" t="s">
        <v>21</v>
      </c>
      <c r="AD5535" s="17" t="s">
        <v>2329</v>
      </c>
      <c r="AE5535" s="145" t="s">
        <v>4617</v>
      </c>
      <c r="AF5535" s="146"/>
      <c r="AG5535" s="146"/>
      <c r="AH5535" s="146"/>
      <c r="AI5535" s="147"/>
      <c r="AJ5535" s="148"/>
      <c r="AK5535" s="143"/>
      <c r="AL5535" s="144"/>
      <c r="AM5535" s="22"/>
      <c r="AN5535" s="149" t="s">
        <v>2511</v>
      </c>
      <c r="AO5535" s="144"/>
      <c r="AP5535" s="148">
        <v>60418</v>
      </c>
      <c r="AQ5535" s="144"/>
      <c r="AR5535" s="120"/>
      <c r="AS5535" s="121"/>
      <c r="AT5535" s="120"/>
      <c r="AU5535" s="121"/>
      <c r="AV5535" s="120"/>
      <c r="AW5535" s="121"/>
      <c r="AX5535" s="120"/>
      <c r="AY5535" s="121"/>
      <c r="AZ5535" s="138"/>
    </row>
    <row r="5536" spans="1:52" ht="17.100000000000001" customHeight="1" thickTop="1">
      <c r="A5536" s="109" t="s">
        <v>16245</v>
      </c>
      <c r="B5536" s="28">
        <v>46049</v>
      </c>
      <c r="C5536" s="25">
        <v>1926</v>
      </c>
      <c r="D5536" s="13" t="s">
        <v>1059</v>
      </c>
      <c r="E5536" s="111"/>
      <c r="F5536" s="113" t="s">
        <v>15533</v>
      </c>
      <c r="G5536" s="114"/>
      <c r="H5536" s="115"/>
      <c r="I5536" s="24"/>
      <c r="J5536" s="116">
        <v>4.5</v>
      </c>
      <c r="K5536" s="118">
        <v>586000</v>
      </c>
      <c r="L5536" s="119"/>
      <c r="M5536" s="118">
        <f t="shared" ref="M5536" si="7013">K5536*0.1</f>
        <v>58600</v>
      </c>
      <c r="N5536" s="119"/>
      <c r="O5536" s="118">
        <v>0</v>
      </c>
      <c r="P5536" s="119"/>
      <c r="Q5536" s="118">
        <v>7140</v>
      </c>
      <c r="R5536" s="119"/>
      <c r="S5536" s="118">
        <v>15950</v>
      </c>
      <c r="T5536" s="119"/>
      <c r="U5536" s="118">
        <f t="shared" ref="U5536" si="7014">SUM(K5536:T5537)</f>
        <v>667690</v>
      </c>
      <c r="V5536" s="122"/>
      <c r="W5536" s="124"/>
      <c r="X5536" s="126" t="s">
        <v>16790</v>
      </c>
      <c r="Y5536" s="127"/>
      <c r="Z5536" s="127"/>
      <c r="AA5536" s="127"/>
      <c r="AB5536" s="128"/>
      <c r="AC5536" s="15" t="s">
        <v>20</v>
      </c>
      <c r="AD5536" s="129" t="s">
        <v>3485</v>
      </c>
      <c r="AE5536" s="130"/>
      <c r="AF5536" s="130"/>
      <c r="AG5536" s="130"/>
      <c r="AH5536" s="130"/>
      <c r="AI5536" s="131"/>
      <c r="AJ5536" s="132"/>
      <c r="AK5536" s="127"/>
      <c r="AL5536" s="128"/>
      <c r="AM5536" s="21"/>
      <c r="AN5536" s="133">
        <v>46053</v>
      </c>
      <c r="AO5536" s="134"/>
      <c r="AP5536" s="135">
        <v>1286</v>
      </c>
      <c r="AQ5536" s="136"/>
      <c r="AR5536" s="118">
        <v>600000</v>
      </c>
      <c r="AS5536" s="119"/>
      <c r="AT5536" s="118">
        <f t="shared" ref="AT5536" si="7015">AR5536*0.1</f>
        <v>60000</v>
      </c>
      <c r="AU5536" s="119"/>
      <c r="AV5536" s="118">
        <v>7140</v>
      </c>
      <c r="AW5536" s="119"/>
      <c r="AX5536" s="118">
        <f t="shared" ref="AX5536" si="7016">SUM(AR5536:AW5536)</f>
        <v>667140</v>
      </c>
      <c r="AY5536" s="119"/>
      <c r="AZ5536" s="137">
        <v>46058</v>
      </c>
    </row>
    <row r="5537" spans="1:52" ht="17.100000000000001" customHeight="1" thickBot="1">
      <c r="A5537" s="110"/>
      <c r="B5537" s="27" t="s">
        <v>2131</v>
      </c>
      <c r="C5537" s="27">
        <v>3321</v>
      </c>
      <c r="D5537" s="14" t="s">
        <v>1720</v>
      </c>
      <c r="E5537" s="112"/>
      <c r="F5537" s="139" t="s">
        <v>16256</v>
      </c>
      <c r="G5537" s="140"/>
      <c r="H5537" s="141"/>
      <c r="I5537" s="26">
        <v>20253</v>
      </c>
      <c r="J5537" s="117"/>
      <c r="K5537" s="120"/>
      <c r="L5537" s="121"/>
      <c r="M5537" s="120"/>
      <c r="N5537" s="121"/>
      <c r="O5537" s="120"/>
      <c r="P5537" s="121"/>
      <c r="Q5537" s="120"/>
      <c r="R5537" s="121"/>
      <c r="S5537" s="120"/>
      <c r="T5537" s="121"/>
      <c r="U5537" s="120"/>
      <c r="V5537" s="123"/>
      <c r="W5537" s="125"/>
      <c r="X5537" s="142" t="s">
        <v>12378</v>
      </c>
      <c r="Y5537" s="143"/>
      <c r="Z5537" s="143"/>
      <c r="AA5537" s="143"/>
      <c r="AB5537" s="144"/>
      <c r="AC5537" s="16" t="s">
        <v>21</v>
      </c>
      <c r="AD5537" s="17" t="s">
        <v>2329</v>
      </c>
      <c r="AE5537" s="145"/>
      <c r="AF5537" s="146"/>
      <c r="AG5537" s="146"/>
      <c r="AH5537" s="146"/>
      <c r="AI5537" s="147"/>
      <c r="AJ5537" s="148"/>
      <c r="AK5537" s="143"/>
      <c r="AL5537" s="144"/>
      <c r="AM5537" s="22"/>
      <c r="AN5537" s="149" t="s">
        <v>2511</v>
      </c>
      <c r="AO5537" s="144"/>
      <c r="AP5537" s="148">
        <v>60419</v>
      </c>
      <c r="AQ5537" s="144"/>
      <c r="AR5537" s="120"/>
      <c r="AS5537" s="121"/>
      <c r="AT5537" s="120"/>
      <c r="AU5537" s="121"/>
      <c r="AV5537" s="120"/>
      <c r="AW5537" s="121"/>
      <c r="AX5537" s="120"/>
      <c r="AY5537" s="121"/>
      <c r="AZ5537" s="138"/>
    </row>
    <row r="5538" spans="1:52" ht="17.100000000000001" customHeight="1" thickTop="1">
      <c r="A5538" s="109" t="s">
        <v>16246</v>
      </c>
      <c r="B5538" s="28">
        <v>46049</v>
      </c>
      <c r="C5538" s="25">
        <v>1926</v>
      </c>
      <c r="D5538" s="13" t="s">
        <v>1714</v>
      </c>
      <c r="E5538" s="111"/>
      <c r="F5538" s="113" t="s">
        <v>16257</v>
      </c>
      <c r="G5538" s="114"/>
      <c r="H5538" s="115"/>
      <c r="I5538" s="24"/>
      <c r="J5538" s="116">
        <v>4</v>
      </c>
      <c r="K5538" s="118">
        <v>2413000</v>
      </c>
      <c r="L5538" s="119"/>
      <c r="M5538" s="118">
        <f t="shared" ref="M5538" si="7017">K5538*0.1</f>
        <v>241300</v>
      </c>
      <c r="N5538" s="119"/>
      <c r="O5538" s="118">
        <v>0</v>
      </c>
      <c r="P5538" s="119"/>
      <c r="Q5538" s="118">
        <v>20830</v>
      </c>
      <c r="R5538" s="119"/>
      <c r="S5538" s="118">
        <v>15950</v>
      </c>
      <c r="T5538" s="119"/>
      <c r="U5538" s="118">
        <f t="shared" ref="U5538" si="7018">SUM(K5538:T5539)</f>
        <v>2691080</v>
      </c>
      <c r="V5538" s="122"/>
      <c r="W5538" s="124"/>
      <c r="X5538" s="126" t="s">
        <v>16780</v>
      </c>
      <c r="Y5538" s="127"/>
      <c r="Z5538" s="127"/>
      <c r="AA5538" s="127"/>
      <c r="AB5538" s="128"/>
      <c r="AC5538" s="15" t="s">
        <v>20</v>
      </c>
      <c r="AD5538" s="129" t="s">
        <v>16069</v>
      </c>
      <c r="AE5538" s="130"/>
      <c r="AF5538" s="130"/>
      <c r="AG5538" s="130"/>
      <c r="AH5538" s="130"/>
      <c r="AI5538" s="131"/>
      <c r="AJ5538" s="132"/>
      <c r="AK5538" s="127"/>
      <c r="AL5538" s="128"/>
      <c r="AM5538" s="21"/>
      <c r="AN5538" s="133">
        <v>46067</v>
      </c>
      <c r="AO5538" s="134"/>
      <c r="AP5538" s="135">
        <v>1288</v>
      </c>
      <c r="AQ5538" s="136"/>
      <c r="AR5538" s="118">
        <v>2485000</v>
      </c>
      <c r="AS5538" s="119"/>
      <c r="AT5538" s="118">
        <f t="shared" ref="AT5538" si="7019">AR5538*0.1</f>
        <v>248500</v>
      </c>
      <c r="AU5538" s="119"/>
      <c r="AV5538" s="118">
        <v>20830</v>
      </c>
      <c r="AW5538" s="119"/>
      <c r="AX5538" s="118">
        <f t="shared" ref="AX5538" si="7020">SUM(AR5538:AW5538)</f>
        <v>2754330</v>
      </c>
      <c r="AY5538" s="119"/>
      <c r="AZ5538" s="137">
        <v>46070</v>
      </c>
    </row>
    <row r="5539" spans="1:52" ht="17.100000000000001" customHeight="1" thickBot="1">
      <c r="A5539" s="110"/>
      <c r="B5539" s="27" t="s">
        <v>2131</v>
      </c>
      <c r="C5539" s="27">
        <v>5005</v>
      </c>
      <c r="D5539" s="14" t="s">
        <v>2601</v>
      </c>
      <c r="E5539" s="112"/>
      <c r="F5539" s="139" t="s">
        <v>16258</v>
      </c>
      <c r="G5539" s="140"/>
      <c r="H5539" s="141"/>
      <c r="I5539" s="26">
        <v>37628</v>
      </c>
      <c r="J5539" s="117"/>
      <c r="K5539" s="120"/>
      <c r="L5539" s="121"/>
      <c r="M5539" s="120"/>
      <c r="N5539" s="121"/>
      <c r="O5539" s="120"/>
      <c r="P5539" s="121"/>
      <c r="Q5539" s="120"/>
      <c r="R5539" s="121"/>
      <c r="S5539" s="120"/>
      <c r="T5539" s="121"/>
      <c r="U5539" s="120"/>
      <c r="V5539" s="123"/>
      <c r="W5539" s="125"/>
      <c r="X5539" s="142" t="s">
        <v>16781</v>
      </c>
      <c r="Y5539" s="143"/>
      <c r="Z5539" s="143"/>
      <c r="AA5539" s="143"/>
      <c r="AB5539" s="144"/>
      <c r="AC5539" s="16" t="s">
        <v>21</v>
      </c>
      <c r="AD5539" s="17" t="s">
        <v>2329</v>
      </c>
      <c r="AE5539" s="145" t="s">
        <v>16782</v>
      </c>
      <c r="AF5539" s="146"/>
      <c r="AG5539" s="146"/>
      <c r="AH5539" s="146"/>
      <c r="AI5539" s="147"/>
      <c r="AJ5539" s="148"/>
      <c r="AK5539" s="143"/>
      <c r="AL5539" s="144"/>
      <c r="AM5539" s="22"/>
      <c r="AN5539" s="149" t="s">
        <v>2511</v>
      </c>
      <c r="AO5539" s="144"/>
      <c r="AP5539" s="148">
        <v>80123</v>
      </c>
      <c r="AQ5539" s="144"/>
      <c r="AR5539" s="120"/>
      <c r="AS5539" s="121"/>
      <c r="AT5539" s="120"/>
      <c r="AU5539" s="121"/>
      <c r="AV5539" s="120"/>
      <c r="AW5539" s="121"/>
      <c r="AX5539" s="120"/>
      <c r="AY5539" s="121"/>
      <c r="AZ5539" s="138"/>
    </row>
    <row r="5540" spans="1:52" ht="17.100000000000001" customHeight="1" thickTop="1">
      <c r="A5540" s="109" t="s">
        <v>16247</v>
      </c>
      <c r="B5540" s="28">
        <v>46049</v>
      </c>
      <c r="C5540" s="25">
        <v>1926</v>
      </c>
      <c r="D5540" s="13" t="s">
        <v>2654</v>
      </c>
      <c r="E5540" s="111"/>
      <c r="F5540" s="113" t="s">
        <v>16259</v>
      </c>
      <c r="G5540" s="114"/>
      <c r="H5540" s="115"/>
      <c r="I5540" s="24"/>
      <c r="J5540" s="116">
        <v>4.5</v>
      </c>
      <c r="K5540" s="118">
        <v>1418000</v>
      </c>
      <c r="L5540" s="119"/>
      <c r="M5540" s="118">
        <f t="shared" ref="M5540" si="7021">K5540*0.1</f>
        <v>141800</v>
      </c>
      <c r="N5540" s="119"/>
      <c r="O5540" s="118">
        <v>0</v>
      </c>
      <c r="P5540" s="119"/>
      <c r="Q5540" s="118">
        <v>18100</v>
      </c>
      <c r="R5540" s="119"/>
      <c r="S5540" s="118">
        <v>15950</v>
      </c>
      <c r="T5540" s="119"/>
      <c r="U5540" s="118">
        <f t="shared" ref="U5540" si="7022">SUM(K5540:T5541)</f>
        <v>1593850</v>
      </c>
      <c r="V5540" s="122"/>
      <c r="W5540" s="124"/>
      <c r="X5540" s="126" t="s">
        <v>16795</v>
      </c>
      <c r="Y5540" s="127"/>
      <c r="Z5540" s="127"/>
      <c r="AA5540" s="127"/>
      <c r="AB5540" s="128"/>
      <c r="AC5540" s="15" t="s">
        <v>20</v>
      </c>
      <c r="AD5540" s="129"/>
      <c r="AE5540" s="130"/>
      <c r="AF5540" s="130"/>
      <c r="AG5540" s="130"/>
      <c r="AH5540" s="130"/>
      <c r="AI5540" s="131"/>
      <c r="AJ5540" s="132"/>
      <c r="AK5540" s="127"/>
      <c r="AL5540" s="128"/>
      <c r="AM5540" s="21"/>
      <c r="AN5540" s="133">
        <v>46053</v>
      </c>
      <c r="AO5540" s="134"/>
      <c r="AP5540" s="135">
        <v>1286</v>
      </c>
      <c r="AQ5540" s="136"/>
      <c r="AR5540" s="118">
        <v>1535000</v>
      </c>
      <c r="AS5540" s="119"/>
      <c r="AT5540" s="118">
        <f t="shared" ref="AT5540" si="7023">AR5540*0.1</f>
        <v>153500</v>
      </c>
      <c r="AU5540" s="119"/>
      <c r="AV5540" s="118">
        <v>18100</v>
      </c>
      <c r="AW5540" s="119"/>
      <c r="AX5540" s="118">
        <f t="shared" ref="AX5540" si="7024">SUM(AR5540:AW5540)</f>
        <v>1706600</v>
      </c>
      <c r="AY5540" s="119"/>
      <c r="AZ5540" s="137">
        <v>46058</v>
      </c>
    </row>
    <row r="5541" spans="1:52" ht="17.100000000000001" customHeight="1" thickBot="1">
      <c r="A5541" s="110"/>
      <c r="B5541" s="27" t="s">
        <v>2131</v>
      </c>
      <c r="C5541" s="27">
        <v>5016</v>
      </c>
      <c r="D5541" s="14" t="s">
        <v>1576</v>
      </c>
      <c r="E5541" s="112"/>
      <c r="F5541" s="139" t="s">
        <v>16260</v>
      </c>
      <c r="G5541" s="140"/>
      <c r="H5541" s="141"/>
      <c r="I5541" s="26">
        <v>43826</v>
      </c>
      <c r="J5541" s="117"/>
      <c r="K5541" s="120"/>
      <c r="L5541" s="121"/>
      <c r="M5541" s="120"/>
      <c r="N5541" s="121"/>
      <c r="O5541" s="120"/>
      <c r="P5541" s="121"/>
      <c r="Q5541" s="120"/>
      <c r="R5541" s="121"/>
      <c r="S5541" s="120"/>
      <c r="T5541" s="121"/>
      <c r="U5541" s="120"/>
      <c r="V5541" s="123"/>
      <c r="W5541" s="125"/>
      <c r="X5541" s="142" t="s">
        <v>16796</v>
      </c>
      <c r="Y5541" s="143"/>
      <c r="Z5541" s="143"/>
      <c r="AA5541" s="143"/>
      <c r="AB5541" s="144"/>
      <c r="AC5541" s="16" t="s">
        <v>21</v>
      </c>
      <c r="AD5541" s="17" t="s">
        <v>2329</v>
      </c>
      <c r="AE5541" s="145" t="s">
        <v>16389</v>
      </c>
      <c r="AF5541" s="146"/>
      <c r="AG5541" s="146"/>
      <c r="AH5541" s="146"/>
      <c r="AI5541" s="147"/>
      <c r="AJ5541" s="148"/>
      <c r="AK5541" s="143"/>
      <c r="AL5541" s="144"/>
      <c r="AM5541" s="22"/>
      <c r="AN5541" s="149" t="s">
        <v>2511</v>
      </c>
      <c r="AO5541" s="144"/>
      <c r="AP5541" s="148">
        <v>80359</v>
      </c>
      <c r="AQ5541" s="144"/>
      <c r="AR5541" s="120"/>
      <c r="AS5541" s="121"/>
      <c r="AT5541" s="120"/>
      <c r="AU5541" s="121"/>
      <c r="AV5541" s="120"/>
      <c r="AW5541" s="121"/>
      <c r="AX5541" s="120"/>
      <c r="AY5541" s="121"/>
      <c r="AZ5541" s="138"/>
    </row>
    <row r="5542" spans="1:52" ht="17.100000000000001" customHeight="1" thickTop="1">
      <c r="A5542" s="109" t="s">
        <v>16248</v>
      </c>
      <c r="B5542" s="28">
        <v>46049</v>
      </c>
      <c r="C5542" s="25">
        <v>1926</v>
      </c>
      <c r="D5542" s="13" t="s">
        <v>1615</v>
      </c>
      <c r="E5542" s="111"/>
      <c r="F5542" s="113" t="s">
        <v>16261</v>
      </c>
      <c r="G5542" s="114"/>
      <c r="H5542" s="115"/>
      <c r="I5542" s="24"/>
      <c r="J5542" s="116">
        <v>4.5</v>
      </c>
      <c r="K5542" s="118">
        <v>2102000</v>
      </c>
      <c r="L5542" s="119"/>
      <c r="M5542" s="118">
        <f t="shared" ref="M5542" si="7025">K5542*0.1</f>
        <v>210200</v>
      </c>
      <c r="N5542" s="119"/>
      <c r="O5542" s="118">
        <v>0</v>
      </c>
      <c r="P5542" s="119"/>
      <c r="Q5542" s="118">
        <v>20960</v>
      </c>
      <c r="R5542" s="119"/>
      <c r="S5542" s="118">
        <v>15950</v>
      </c>
      <c r="T5542" s="119"/>
      <c r="U5542" s="118">
        <f t="shared" ref="U5542" si="7026">SUM(K5542:T5543)</f>
        <v>2349110</v>
      </c>
      <c r="V5542" s="122"/>
      <c r="W5542" s="124"/>
      <c r="X5542" s="126" t="s">
        <v>16783</v>
      </c>
      <c r="Y5542" s="127"/>
      <c r="Z5542" s="127"/>
      <c r="AA5542" s="127"/>
      <c r="AB5542" s="128"/>
      <c r="AC5542" s="15" t="s">
        <v>20</v>
      </c>
      <c r="AD5542" s="129"/>
      <c r="AE5542" s="130"/>
      <c r="AF5542" s="130"/>
      <c r="AG5542" s="130"/>
      <c r="AH5542" s="130"/>
      <c r="AI5542" s="131"/>
      <c r="AJ5542" s="132"/>
      <c r="AK5542" s="127"/>
      <c r="AL5542" s="128"/>
      <c r="AM5542" s="21"/>
      <c r="AN5542" s="133">
        <v>46060</v>
      </c>
      <c r="AO5542" s="134"/>
      <c r="AP5542" s="135">
        <v>1287</v>
      </c>
      <c r="AQ5542" s="136"/>
      <c r="AR5542" s="118">
        <v>2235000</v>
      </c>
      <c r="AS5542" s="119"/>
      <c r="AT5542" s="118">
        <f t="shared" ref="AT5542" si="7027">AR5542*0.1</f>
        <v>223500</v>
      </c>
      <c r="AU5542" s="119"/>
      <c r="AV5542" s="118">
        <v>20960</v>
      </c>
      <c r="AW5542" s="119"/>
      <c r="AX5542" s="118">
        <f t="shared" ref="AX5542" si="7028">SUM(AR5542:AW5542)</f>
        <v>2479460</v>
      </c>
      <c r="AY5542" s="119"/>
      <c r="AZ5542" s="137">
        <v>46063</v>
      </c>
    </row>
    <row r="5543" spans="1:52" ht="17.100000000000001" customHeight="1" thickBot="1">
      <c r="A5543" s="110"/>
      <c r="B5543" s="27" t="s">
        <v>2131</v>
      </c>
      <c r="C5543" s="27">
        <v>5037</v>
      </c>
      <c r="D5543" s="14" t="s">
        <v>1576</v>
      </c>
      <c r="E5543" s="112"/>
      <c r="F5543" s="139" t="s">
        <v>16262</v>
      </c>
      <c r="G5543" s="140"/>
      <c r="H5543" s="141"/>
      <c r="I5543" s="26">
        <v>42546</v>
      </c>
      <c r="J5543" s="117"/>
      <c r="K5543" s="120"/>
      <c r="L5543" s="121"/>
      <c r="M5543" s="120"/>
      <c r="N5543" s="121"/>
      <c r="O5543" s="120"/>
      <c r="P5543" s="121"/>
      <c r="Q5543" s="120"/>
      <c r="R5543" s="121"/>
      <c r="S5543" s="120"/>
      <c r="T5543" s="121"/>
      <c r="U5543" s="120"/>
      <c r="V5543" s="123"/>
      <c r="W5543" s="125"/>
      <c r="X5543" s="142" t="s">
        <v>4025</v>
      </c>
      <c r="Y5543" s="143"/>
      <c r="Z5543" s="143"/>
      <c r="AA5543" s="143"/>
      <c r="AB5543" s="144"/>
      <c r="AC5543" s="16" t="s">
        <v>21</v>
      </c>
      <c r="AD5543" s="17" t="s">
        <v>2329</v>
      </c>
      <c r="AE5543" s="145"/>
      <c r="AF5543" s="146"/>
      <c r="AG5543" s="146"/>
      <c r="AH5543" s="146"/>
      <c r="AI5543" s="147"/>
      <c r="AJ5543" s="148"/>
      <c r="AK5543" s="143"/>
      <c r="AL5543" s="144"/>
      <c r="AM5543" s="22"/>
      <c r="AN5543" s="149" t="s">
        <v>2511</v>
      </c>
      <c r="AO5543" s="144"/>
      <c r="AP5543" s="148">
        <v>80062</v>
      </c>
      <c r="AQ5543" s="144"/>
      <c r="AR5543" s="120"/>
      <c r="AS5543" s="121"/>
      <c r="AT5543" s="120"/>
      <c r="AU5543" s="121"/>
      <c r="AV5543" s="120"/>
      <c r="AW5543" s="121"/>
      <c r="AX5543" s="120"/>
      <c r="AY5543" s="121"/>
      <c r="AZ5543" s="138"/>
    </row>
    <row r="5544" spans="1:52" ht="17.100000000000001" customHeight="1" thickTop="1">
      <c r="A5544" s="109" t="s">
        <v>16249</v>
      </c>
      <c r="B5544" s="28">
        <v>46049</v>
      </c>
      <c r="C5544" s="25">
        <v>1926</v>
      </c>
      <c r="D5544" s="13" t="s">
        <v>1586</v>
      </c>
      <c r="E5544" s="111"/>
      <c r="F5544" s="113" t="s">
        <v>2724</v>
      </c>
      <c r="G5544" s="114"/>
      <c r="H5544" s="115"/>
      <c r="I5544" s="24"/>
      <c r="J5544" s="116">
        <v>4</v>
      </c>
      <c r="K5544" s="118">
        <v>1153000</v>
      </c>
      <c r="L5544" s="119"/>
      <c r="M5544" s="118">
        <f t="shared" ref="M5544" si="7029">K5544*0.1</f>
        <v>115300</v>
      </c>
      <c r="N5544" s="119"/>
      <c r="O5544" s="118">
        <v>0</v>
      </c>
      <c r="P5544" s="119"/>
      <c r="Q5544" s="118">
        <v>19090</v>
      </c>
      <c r="R5544" s="119"/>
      <c r="S5544" s="118">
        <v>15950</v>
      </c>
      <c r="T5544" s="119"/>
      <c r="U5544" s="118">
        <f t="shared" ref="U5544" si="7030">SUM(K5544:T5545)</f>
        <v>1303340</v>
      </c>
      <c r="V5544" s="122"/>
      <c r="W5544" s="124"/>
      <c r="X5544" s="126" t="s">
        <v>16794</v>
      </c>
      <c r="Y5544" s="127"/>
      <c r="Z5544" s="127"/>
      <c r="AA5544" s="127"/>
      <c r="AB5544" s="128"/>
      <c r="AC5544" s="15" t="s">
        <v>20</v>
      </c>
      <c r="AD5544" s="129"/>
      <c r="AE5544" s="130"/>
      <c r="AF5544" s="130"/>
      <c r="AG5544" s="130"/>
      <c r="AH5544" s="130"/>
      <c r="AI5544" s="131"/>
      <c r="AJ5544" s="132"/>
      <c r="AK5544" s="127"/>
      <c r="AL5544" s="128"/>
      <c r="AM5544" s="21"/>
      <c r="AN5544" s="133">
        <v>46053</v>
      </c>
      <c r="AO5544" s="134"/>
      <c r="AP5544" s="135">
        <v>1286</v>
      </c>
      <c r="AQ5544" s="136"/>
      <c r="AR5544" s="118">
        <v>1300000</v>
      </c>
      <c r="AS5544" s="119"/>
      <c r="AT5544" s="118">
        <f t="shared" ref="AT5544" si="7031">AR5544*0.1</f>
        <v>130000</v>
      </c>
      <c r="AU5544" s="119"/>
      <c r="AV5544" s="118">
        <v>19090</v>
      </c>
      <c r="AW5544" s="119"/>
      <c r="AX5544" s="118">
        <f t="shared" ref="AX5544" si="7032">SUM(AR5544:AW5544)</f>
        <v>1449090</v>
      </c>
      <c r="AY5544" s="119"/>
      <c r="AZ5544" s="137">
        <v>46058</v>
      </c>
    </row>
    <row r="5545" spans="1:52" ht="17.100000000000001" customHeight="1" thickBot="1">
      <c r="A5545" s="110"/>
      <c r="B5545" s="27" t="s">
        <v>2131</v>
      </c>
      <c r="C5545" s="27">
        <v>5039</v>
      </c>
      <c r="D5545" s="14" t="s">
        <v>275</v>
      </c>
      <c r="E5545" s="112"/>
      <c r="F5545" s="139" t="s">
        <v>16263</v>
      </c>
      <c r="G5545" s="140"/>
      <c r="H5545" s="141"/>
      <c r="I5545" s="26">
        <v>63206</v>
      </c>
      <c r="J5545" s="117"/>
      <c r="K5545" s="120"/>
      <c r="L5545" s="121"/>
      <c r="M5545" s="120"/>
      <c r="N5545" s="121"/>
      <c r="O5545" s="120"/>
      <c r="P5545" s="121"/>
      <c r="Q5545" s="120"/>
      <c r="R5545" s="121"/>
      <c r="S5545" s="120"/>
      <c r="T5545" s="121"/>
      <c r="U5545" s="120"/>
      <c r="V5545" s="123"/>
      <c r="W5545" s="125"/>
      <c r="X5545" s="142" t="s">
        <v>4025</v>
      </c>
      <c r="Y5545" s="143"/>
      <c r="Z5545" s="143"/>
      <c r="AA5545" s="143"/>
      <c r="AB5545" s="144"/>
      <c r="AC5545" s="16" t="s">
        <v>21</v>
      </c>
      <c r="AD5545" s="17" t="s">
        <v>2329</v>
      </c>
      <c r="AE5545" s="145" t="s">
        <v>7859</v>
      </c>
      <c r="AF5545" s="146"/>
      <c r="AG5545" s="146"/>
      <c r="AH5545" s="146"/>
      <c r="AI5545" s="147"/>
      <c r="AJ5545" s="148"/>
      <c r="AK5545" s="143"/>
      <c r="AL5545" s="144"/>
      <c r="AM5545" s="22"/>
      <c r="AN5545" s="149" t="s">
        <v>2511</v>
      </c>
      <c r="AO5545" s="144"/>
      <c r="AP5545" s="148">
        <v>80355</v>
      </c>
      <c r="AQ5545" s="144"/>
      <c r="AR5545" s="120"/>
      <c r="AS5545" s="121"/>
      <c r="AT5545" s="120"/>
      <c r="AU5545" s="121"/>
      <c r="AV5545" s="120"/>
      <c r="AW5545" s="121"/>
      <c r="AX5545" s="120"/>
      <c r="AY5545" s="121"/>
      <c r="AZ5545" s="138"/>
    </row>
    <row r="5546" spans="1:52" ht="17.100000000000001" customHeight="1" thickTop="1">
      <c r="A5546" s="109" t="s">
        <v>16250</v>
      </c>
      <c r="B5546" s="28">
        <v>46049</v>
      </c>
      <c r="C5546" s="25">
        <v>1926</v>
      </c>
      <c r="D5546" s="13" t="s">
        <v>1537</v>
      </c>
      <c r="E5546" s="111"/>
      <c r="F5546" s="113" t="s">
        <v>16264</v>
      </c>
      <c r="G5546" s="114"/>
      <c r="H5546" s="115"/>
      <c r="I5546" s="24"/>
      <c r="J5546" s="116">
        <v>4</v>
      </c>
      <c r="K5546" s="118">
        <v>606000</v>
      </c>
      <c r="L5546" s="119"/>
      <c r="M5546" s="118">
        <f t="shared" ref="M5546" si="7033">K5546*0.1</f>
        <v>60600</v>
      </c>
      <c r="N5546" s="119"/>
      <c r="O5546" s="118">
        <v>0</v>
      </c>
      <c r="P5546" s="119"/>
      <c r="Q5546" s="118">
        <v>8850</v>
      </c>
      <c r="R5546" s="119"/>
      <c r="S5546" s="118">
        <v>15950</v>
      </c>
      <c r="T5546" s="119"/>
      <c r="U5546" s="118">
        <f t="shared" ref="U5546" si="7034">SUM(K5546:T5547)</f>
        <v>691400</v>
      </c>
      <c r="V5546" s="122"/>
      <c r="W5546" s="124"/>
      <c r="X5546" s="126" t="s">
        <v>16791</v>
      </c>
      <c r="Y5546" s="127"/>
      <c r="Z5546" s="127"/>
      <c r="AA5546" s="127"/>
      <c r="AB5546" s="128"/>
      <c r="AC5546" s="15" t="s">
        <v>20</v>
      </c>
      <c r="AD5546" s="129" t="s">
        <v>1670</v>
      </c>
      <c r="AE5546" s="130"/>
      <c r="AF5546" s="130"/>
      <c r="AG5546" s="130"/>
      <c r="AH5546" s="130"/>
      <c r="AI5546" s="131"/>
      <c r="AJ5546" s="132"/>
      <c r="AK5546" s="127"/>
      <c r="AL5546" s="128"/>
      <c r="AM5546" s="21"/>
      <c r="AN5546" s="133">
        <v>46053</v>
      </c>
      <c r="AO5546" s="134"/>
      <c r="AP5546" s="135">
        <v>1286</v>
      </c>
      <c r="AQ5546" s="136"/>
      <c r="AR5546" s="118">
        <v>660000</v>
      </c>
      <c r="AS5546" s="119"/>
      <c r="AT5546" s="118">
        <f t="shared" ref="AT5546" si="7035">AR5546*0.1</f>
        <v>66000</v>
      </c>
      <c r="AU5546" s="119"/>
      <c r="AV5546" s="118">
        <v>8850</v>
      </c>
      <c r="AW5546" s="119"/>
      <c r="AX5546" s="118">
        <f t="shared" ref="AX5546" si="7036">SUM(AR5546:AW5546)</f>
        <v>734850</v>
      </c>
      <c r="AY5546" s="119"/>
      <c r="AZ5546" s="137">
        <v>46058</v>
      </c>
    </row>
    <row r="5547" spans="1:52" ht="17.100000000000001" customHeight="1" thickBot="1">
      <c r="A5547" s="110"/>
      <c r="B5547" s="27" t="s">
        <v>2131</v>
      </c>
      <c r="C5547" s="27">
        <v>5438</v>
      </c>
      <c r="D5547" s="14" t="s">
        <v>275</v>
      </c>
      <c r="E5547" s="112"/>
      <c r="F5547" s="139" t="s">
        <v>16265</v>
      </c>
      <c r="G5547" s="140"/>
      <c r="H5547" s="141"/>
      <c r="I5547" s="26">
        <v>43708</v>
      </c>
      <c r="J5547" s="117"/>
      <c r="K5547" s="120"/>
      <c r="L5547" s="121"/>
      <c r="M5547" s="120"/>
      <c r="N5547" s="121"/>
      <c r="O5547" s="120"/>
      <c r="P5547" s="121"/>
      <c r="Q5547" s="120"/>
      <c r="R5547" s="121"/>
      <c r="S5547" s="120"/>
      <c r="T5547" s="121"/>
      <c r="U5547" s="120"/>
      <c r="V5547" s="123"/>
      <c r="W5547" s="125"/>
      <c r="X5547" s="142" t="s">
        <v>5254</v>
      </c>
      <c r="Y5547" s="143"/>
      <c r="Z5547" s="143"/>
      <c r="AA5547" s="143"/>
      <c r="AB5547" s="144"/>
      <c r="AC5547" s="16" t="s">
        <v>21</v>
      </c>
      <c r="AD5547" s="17" t="s">
        <v>2329</v>
      </c>
      <c r="AE5547" s="145" t="s">
        <v>1670</v>
      </c>
      <c r="AF5547" s="146"/>
      <c r="AG5547" s="146"/>
      <c r="AH5547" s="146"/>
      <c r="AI5547" s="147"/>
      <c r="AJ5547" s="148"/>
      <c r="AK5547" s="143"/>
      <c r="AL5547" s="144"/>
      <c r="AM5547" s="22"/>
      <c r="AN5547" s="149" t="s">
        <v>2511</v>
      </c>
      <c r="AO5547" s="144"/>
      <c r="AP5547" s="148">
        <v>60359</v>
      </c>
      <c r="AQ5547" s="144"/>
      <c r="AR5547" s="120"/>
      <c r="AS5547" s="121"/>
      <c r="AT5547" s="120"/>
      <c r="AU5547" s="121"/>
      <c r="AV5547" s="120"/>
      <c r="AW5547" s="121"/>
      <c r="AX5547" s="120"/>
      <c r="AY5547" s="121"/>
      <c r="AZ5547" s="138"/>
    </row>
    <row r="5548" spans="1:52" ht="17.100000000000001" customHeight="1" thickTop="1">
      <c r="A5548" s="109" t="s">
        <v>16251</v>
      </c>
      <c r="B5548" s="28">
        <v>46049</v>
      </c>
      <c r="C5548" s="25">
        <v>1926</v>
      </c>
      <c r="D5548" s="13" t="s">
        <v>2001</v>
      </c>
      <c r="E5548" s="111"/>
      <c r="F5548" s="113" t="s">
        <v>16266</v>
      </c>
      <c r="G5548" s="114"/>
      <c r="H5548" s="115"/>
      <c r="I5548" s="24" t="s">
        <v>4314</v>
      </c>
      <c r="J5548" s="116">
        <v>4</v>
      </c>
      <c r="K5548" s="118">
        <v>1107000</v>
      </c>
      <c r="L5548" s="119"/>
      <c r="M5548" s="118">
        <f t="shared" ref="M5548" si="7037">K5548*0.1</f>
        <v>110700</v>
      </c>
      <c r="N5548" s="119"/>
      <c r="O5548" s="118">
        <v>0</v>
      </c>
      <c r="P5548" s="119"/>
      <c r="Q5548" s="118">
        <v>7510</v>
      </c>
      <c r="R5548" s="119"/>
      <c r="S5548" s="118">
        <v>15950</v>
      </c>
      <c r="T5548" s="119"/>
      <c r="U5548" s="118">
        <f t="shared" ref="U5548" si="7038">SUM(K5548:T5549)</f>
        <v>1241160</v>
      </c>
      <c r="V5548" s="122"/>
      <c r="W5548" s="124"/>
      <c r="X5548" s="126" t="s">
        <v>16778</v>
      </c>
      <c r="Y5548" s="127"/>
      <c r="Z5548" s="127"/>
      <c r="AA5548" s="127"/>
      <c r="AB5548" s="128"/>
      <c r="AC5548" s="15" t="s">
        <v>20</v>
      </c>
      <c r="AD5548" s="129" t="s">
        <v>16268</v>
      </c>
      <c r="AE5548" s="130"/>
      <c r="AF5548" s="130"/>
      <c r="AG5548" s="130"/>
      <c r="AH5548" s="130"/>
      <c r="AI5548" s="131"/>
      <c r="AJ5548" s="132"/>
      <c r="AK5548" s="127"/>
      <c r="AL5548" s="128"/>
      <c r="AM5548" s="21" t="s">
        <v>17469</v>
      </c>
      <c r="AN5548" s="133">
        <v>46060</v>
      </c>
      <c r="AO5548" s="134"/>
      <c r="AP5548" s="135">
        <v>1287</v>
      </c>
      <c r="AQ5548" s="136"/>
      <c r="AR5548" s="118">
        <v>1130000</v>
      </c>
      <c r="AS5548" s="119"/>
      <c r="AT5548" s="118">
        <f t="shared" ref="AT5548" si="7039">AR5548*0.1</f>
        <v>113000</v>
      </c>
      <c r="AU5548" s="119"/>
      <c r="AV5548" s="118">
        <v>7510</v>
      </c>
      <c r="AW5548" s="119"/>
      <c r="AX5548" s="118">
        <f t="shared" ref="AX5548" si="7040">SUM(AR5548:AW5548)</f>
        <v>1250510</v>
      </c>
      <c r="AY5548" s="119"/>
      <c r="AZ5548" s="137">
        <v>46065</v>
      </c>
    </row>
    <row r="5549" spans="1:52" ht="17.100000000000001" customHeight="1" thickBot="1">
      <c r="A5549" s="110"/>
      <c r="B5549" s="27" t="s">
        <v>2131</v>
      </c>
      <c r="C5549" s="27">
        <v>5453</v>
      </c>
      <c r="D5549" s="14" t="s">
        <v>133</v>
      </c>
      <c r="E5549" s="112"/>
      <c r="F5549" s="139" t="s">
        <v>16267</v>
      </c>
      <c r="G5549" s="140"/>
      <c r="H5549" s="141"/>
      <c r="I5549" s="26">
        <v>49887</v>
      </c>
      <c r="J5549" s="117"/>
      <c r="K5549" s="120"/>
      <c r="L5549" s="121"/>
      <c r="M5549" s="120"/>
      <c r="N5549" s="121"/>
      <c r="O5549" s="120"/>
      <c r="P5549" s="121"/>
      <c r="Q5549" s="120"/>
      <c r="R5549" s="121"/>
      <c r="S5549" s="120"/>
      <c r="T5549" s="121"/>
      <c r="U5549" s="120"/>
      <c r="V5549" s="123"/>
      <c r="W5549" s="125"/>
      <c r="X5549" s="142" t="s">
        <v>5254</v>
      </c>
      <c r="Y5549" s="143"/>
      <c r="Z5549" s="143"/>
      <c r="AA5549" s="143"/>
      <c r="AB5549" s="144"/>
      <c r="AC5549" s="16" t="s">
        <v>21</v>
      </c>
      <c r="AD5549" s="17" t="s">
        <v>2329</v>
      </c>
      <c r="AE5549" s="145" t="s">
        <v>16779</v>
      </c>
      <c r="AF5549" s="146"/>
      <c r="AG5549" s="146"/>
      <c r="AH5549" s="146"/>
      <c r="AI5549" s="147"/>
      <c r="AJ5549" s="148"/>
      <c r="AK5549" s="143"/>
      <c r="AL5549" s="144"/>
      <c r="AM5549" s="22"/>
      <c r="AN5549" s="149" t="s">
        <v>2511</v>
      </c>
      <c r="AO5549" s="144"/>
      <c r="AP5549" s="148">
        <v>60366</v>
      </c>
      <c r="AQ5549" s="144"/>
      <c r="AR5549" s="120"/>
      <c r="AS5549" s="121"/>
      <c r="AT5549" s="120"/>
      <c r="AU5549" s="121"/>
      <c r="AV5549" s="120"/>
      <c r="AW5549" s="121"/>
      <c r="AX5549" s="120"/>
      <c r="AY5549" s="121"/>
      <c r="AZ5549" s="138"/>
    </row>
    <row r="5550" spans="1:52" ht="17.100000000000001" customHeight="1" thickTop="1">
      <c r="A5550" s="109" t="s">
        <v>16252</v>
      </c>
      <c r="B5550" s="28">
        <v>46049</v>
      </c>
      <c r="C5550" s="25">
        <v>804</v>
      </c>
      <c r="D5550" s="13" t="s">
        <v>1615</v>
      </c>
      <c r="E5550" s="111"/>
      <c r="F5550" s="113" t="s">
        <v>16269</v>
      </c>
      <c r="G5550" s="114"/>
      <c r="H5550" s="115"/>
      <c r="I5550" s="24" t="s">
        <v>2976</v>
      </c>
      <c r="J5550" s="116">
        <v>3.5</v>
      </c>
      <c r="K5550" s="118">
        <v>1152000</v>
      </c>
      <c r="L5550" s="119"/>
      <c r="M5550" s="118">
        <f t="shared" ref="M5550" si="7041">K5550*0.1</f>
        <v>115200</v>
      </c>
      <c r="N5550" s="119"/>
      <c r="O5550" s="118">
        <v>7150</v>
      </c>
      <c r="P5550" s="119"/>
      <c r="Q5550" s="118">
        <v>12030</v>
      </c>
      <c r="R5550" s="119"/>
      <c r="S5550" s="118">
        <v>17050</v>
      </c>
      <c r="T5550" s="119"/>
      <c r="U5550" s="118">
        <f t="shared" ref="U5550" si="7042">SUM(K5550:T5551)</f>
        <v>1303430</v>
      </c>
      <c r="V5550" s="122"/>
      <c r="W5550" s="124"/>
      <c r="X5550" s="126" t="s">
        <v>16271</v>
      </c>
      <c r="Y5550" s="127"/>
      <c r="Z5550" s="127"/>
      <c r="AA5550" s="127"/>
      <c r="AB5550" s="128"/>
      <c r="AC5550" s="15" t="s">
        <v>20</v>
      </c>
      <c r="AD5550" s="129"/>
      <c r="AE5550" s="130"/>
      <c r="AF5550" s="130"/>
      <c r="AG5550" s="130"/>
      <c r="AH5550" s="130"/>
      <c r="AI5550" s="131"/>
      <c r="AJ5550" s="132"/>
      <c r="AK5550" s="127"/>
      <c r="AL5550" s="128"/>
      <c r="AM5550" s="21" t="s">
        <v>18039</v>
      </c>
      <c r="AN5550" s="133">
        <v>46078</v>
      </c>
      <c r="AO5550" s="134"/>
      <c r="AP5550" s="135">
        <v>1006</v>
      </c>
      <c r="AQ5550" s="136"/>
      <c r="AR5550" s="118">
        <v>1290000</v>
      </c>
      <c r="AS5550" s="119"/>
      <c r="AT5550" s="118">
        <f t="shared" ref="AT5550" si="7043">AR5550*0.1</f>
        <v>129000</v>
      </c>
      <c r="AU5550" s="119"/>
      <c r="AV5550" s="118">
        <v>12030</v>
      </c>
      <c r="AW5550" s="119"/>
      <c r="AX5550" s="118">
        <f t="shared" ref="AX5550" si="7044">SUM(AR5550:AW5550)</f>
        <v>1431030</v>
      </c>
      <c r="AY5550" s="119"/>
      <c r="AZ5550" s="137">
        <v>46083</v>
      </c>
    </row>
    <row r="5551" spans="1:52" ht="17.100000000000001" customHeight="1" thickBot="1">
      <c r="A5551" s="110"/>
      <c r="B5551" s="27" t="s">
        <v>3367</v>
      </c>
      <c r="C5551" s="27">
        <v>2020</v>
      </c>
      <c r="D5551" s="14" t="s">
        <v>275</v>
      </c>
      <c r="E5551" s="112"/>
      <c r="F5551" s="139" t="s">
        <v>16270</v>
      </c>
      <c r="G5551" s="140"/>
      <c r="H5551" s="141"/>
      <c r="I5551" s="26">
        <v>68932</v>
      </c>
      <c r="J5551" s="117"/>
      <c r="K5551" s="120"/>
      <c r="L5551" s="121"/>
      <c r="M5551" s="120"/>
      <c r="N5551" s="121"/>
      <c r="O5551" s="120"/>
      <c r="P5551" s="121"/>
      <c r="Q5551" s="120"/>
      <c r="R5551" s="121"/>
      <c r="S5551" s="120"/>
      <c r="T5551" s="121"/>
      <c r="U5551" s="120"/>
      <c r="V5551" s="123"/>
      <c r="W5551" s="125"/>
      <c r="X5551" s="142" t="s">
        <v>16800</v>
      </c>
      <c r="Y5551" s="143"/>
      <c r="Z5551" s="143"/>
      <c r="AA5551" s="143"/>
      <c r="AB5551" s="144"/>
      <c r="AC5551" s="16" t="s">
        <v>21</v>
      </c>
      <c r="AD5551" s="17" t="s">
        <v>2329</v>
      </c>
      <c r="AE5551" s="145" t="s">
        <v>16732</v>
      </c>
      <c r="AF5551" s="146"/>
      <c r="AG5551" s="146"/>
      <c r="AH5551" s="146"/>
      <c r="AI5551" s="147"/>
      <c r="AJ5551" s="148"/>
      <c r="AK5551" s="143"/>
      <c r="AL5551" s="144"/>
      <c r="AM5551" s="22"/>
      <c r="AN5551" s="149" t="s">
        <v>9053</v>
      </c>
      <c r="AO5551" s="144"/>
      <c r="AP5551" s="148">
        <v>5117</v>
      </c>
      <c r="AQ5551" s="144"/>
      <c r="AR5551" s="120"/>
      <c r="AS5551" s="121"/>
      <c r="AT5551" s="120"/>
      <c r="AU5551" s="121"/>
      <c r="AV5551" s="120"/>
      <c r="AW5551" s="121"/>
      <c r="AX5551" s="120"/>
      <c r="AY5551" s="121"/>
      <c r="AZ5551" s="138"/>
    </row>
    <row r="5552" spans="1:52" ht="17.100000000000001" customHeight="1" thickTop="1">
      <c r="A5552" s="109" t="s">
        <v>16253</v>
      </c>
      <c r="B5552" s="28">
        <v>46049</v>
      </c>
      <c r="C5552" s="25">
        <v>924</v>
      </c>
      <c r="D5552" s="13" t="s">
        <v>2390</v>
      </c>
      <c r="E5552" s="111"/>
      <c r="F5552" s="113" t="s">
        <v>16272</v>
      </c>
      <c r="G5552" s="114"/>
      <c r="H5552" s="115"/>
      <c r="I5552" s="24" t="s">
        <v>3509</v>
      </c>
      <c r="J5552" s="116">
        <v>4</v>
      </c>
      <c r="K5552" s="118">
        <v>163000</v>
      </c>
      <c r="L5552" s="119"/>
      <c r="M5552" s="118">
        <f t="shared" ref="M5552" si="7045">K5552*0.1</f>
        <v>16300</v>
      </c>
      <c r="N5552" s="119"/>
      <c r="O5552" s="118">
        <v>0</v>
      </c>
      <c r="P5552" s="119"/>
      <c r="Q5552" s="118">
        <v>8490</v>
      </c>
      <c r="R5552" s="119"/>
      <c r="S5552" s="118">
        <v>15950</v>
      </c>
      <c r="T5552" s="119"/>
      <c r="U5552" s="118">
        <f t="shared" ref="U5552" si="7046">SUM(K5552:T5553)</f>
        <v>203740</v>
      </c>
      <c r="V5552" s="122"/>
      <c r="W5552" s="124"/>
      <c r="X5552" s="126" t="s">
        <v>16274</v>
      </c>
      <c r="Y5552" s="127"/>
      <c r="Z5552" s="127"/>
      <c r="AA5552" s="127"/>
      <c r="AB5552" s="128"/>
      <c r="AC5552" s="15" t="s">
        <v>20</v>
      </c>
      <c r="AD5552" s="129"/>
      <c r="AE5552" s="130"/>
      <c r="AF5552" s="130"/>
      <c r="AG5552" s="130"/>
      <c r="AH5552" s="130"/>
      <c r="AI5552" s="131"/>
      <c r="AJ5552" s="132"/>
      <c r="AK5552" s="127"/>
      <c r="AL5552" s="128"/>
      <c r="AM5552" s="21"/>
      <c r="AN5552" s="133">
        <v>46053</v>
      </c>
      <c r="AO5552" s="134"/>
      <c r="AP5552" s="135">
        <v>1286</v>
      </c>
      <c r="AQ5552" s="136"/>
      <c r="AR5552" s="118">
        <v>235000</v>
      </c>
      <c r="AS5552" s="119"/>
      <c r="AT5552" s="118">
        <f t="shared" ref="AT5552" si="7047">AR5552*0.1</f>
        <v>23500</v>
      </c>
      <c r="AU5552" s="119"/>
      <c r="AV5552" s="118">
        <v>8490</v>
      </c>
      <c r="AW5552" s="119"/>
      <c r="AX5552" s="118">
        <f t="shared" ref="AX5552" si="7048">SUM(AR5552:AW5552)</f>
        <v>266990</v>
      </c>
      <c r="AY5552" s="119"/>
      <c r="AZ5552" s="137">
        <v>46058</v>
      </c>
    </row>
    <row r="5553" spans="1:52" ht="17.100000000000001" customHeight="1" thickBot="1">
      <c r="A5553" s="110"/>
      <c r="B5553" s="27" t="s">
        <v>2699</v>
      </c>
      <c r="C5553" s="27">
        <v>3057</v>
      </c>
      <c r="D5553" s="14" t="s">
        <v>1720</v>
      </c>
      <c r="E5553" s="112"/>
      <c r="F5553" s="139" t="s">
        <v>16273</v>
      </c>
      <c r="G5553" s="140"/>
      <c r="H5553" s="141"/>
      <c r="I5553" s="26">
        <v>43323</v>
      </c>
      <c r="J5553" s="117"/>
      <c r="K5553" s="120"/>
      <c r="L5553" s="121"/>
      <c r="M5553" s="120"/>
      <c r="N5553" s="121"/>
      <c r="O5553" s="120"/>
      <c r="P5553" s="121"/>
      <c r="Q5553" s="120"/>
      <c r="R5553" s="121"/>
      <c r="S5553" s="120"/>
      <c r="T5553" s="121"/>
      <c r="U5553" s="120"/>
      <c r="V5553" s="123"/>
      <c r="W5553" s="125"/>
      <c r="X5553" s="142" t="s">
        <v>16789</v>
      </c>
      <c r="Y5553" s="143"/>
      <c r="Z5553" s="143"/>
      <c r="AA5553" s="143"/>
      <c r="AB5553" s="144"/>
      <c r="AC5553" s="16" t="s">
        <v>21</v>
      </c>
      <c r="AD5553" s="17" t="s">
        <v>2329</v>
      </c>
      <c r="AE5553" s="145"/>
      <c r="AF5553" s="146"/>
      <c r="AG5553" s="146"/>
      <c r="AH5553" s="146"/>
      <c r="AI5553" s="147"/>
      <c r="AJ5553" s="148"/>
      <c r="AK5553" s="143"/>
      <c r="AL5553" s="144"/>
      <c r="AM5553" s="22"/>
      <c r="AN5553" s="149" t="s">
        <v>2511</v>
      </c>
      <c r="AO5553" s="144"/>
      <c r="AP5553" s="148">
        <v>60425</v>
      </c>
      <c r="AQ5553" s="144"/>
      <c r="AR5553" s="120"/>
      <c r="AS5553" s="121"/>
      <c r="AT5553" s="120"/>
      <c r="AU5553" s="121"/>
      <c r="AV5553" s="120"/>
      <c r="AW5553" s="121"/>
      <c r="AX5553" s="120"/>
      <c r="AY5553" s="121"/>
      <c r="AZ5553" s="138"/>
    </row>
    <row r="5554" spans="1:52" ht="17.100000000000001" customHeight="1" thickTop="1">
      <c r="A5554" s="109" t="s">
        <v>16293</v>
      </c>
      <c r="B5554" s="28">
        <v>46049</v>
      </c>
      <c r="C5554" s="25">
        <v>924</v>
      </c>
      <c r="D5554" s="13" t="s">
        <v>2949</v>
      </c>
      <c r="E5554" s="111"/>
      <c r="F5554" s="113" t="s">
        <v>16275</v>
      </c>
      <c r="G5554" s="114"/>
      <c r="H5554" s="115"/>
      <c r="I5554" s="24" t="s">
        <v>2919</v>
      </c>
      <c r="J5554" s="116">
        <v>4</v>
      </c>
      <c r="K5554" s="118">
        <v>800000</v>
      </c>
      <c r="L5554" s="119"/>
      <c r="M5554" s="118">
        <f t="shared" ref="M5554" si="7049">K5554*0.1</f>
        <v>80000</v>
      </c>
      <c r="N5554" s="119"/>
      <c r="O5554" s="118">
        <v>0</v>
      </c>
      <c r="P5554" s="119"/>
      <c r="Q5554" s="118">
        <v>8550</v>
      </c>
      <c r="R5554" s="119"/>
      <c r="S5554" s="118">
        <v>15950</v>
      </c>
      <c r="T5554" s="119"/>
      <c r="U5554" s="118">
        <f t="shared" ref="U5554" si="7050">SUM(K5554:T5555)</f>
        <v>904500</v>
      </c>
      <c r="V5554" s="122"/>
      <c r="W5554" s="124"/>
      <c r="X5554" s="126" t="s">
        <v>16277</v>
      </c>
      <c r="Y5554" s="127"/>
      <c r="Z5554" s="127"/>
      <c r="AA5554" s="127"/>
      <c r="AB5554" s="128"/>
      <c r="AC5554" s="15" t="s">
        <v>20</v>
      </c>
      <c r="AD5554" s="129"/>
      <c r="AE5554" s="130"/>
      <c r="AF5554" s="130"/>
      <c r="AG5554" s="130"/>
      <c r="AH5554" s="130"/>
      <c r="AI5554" s="131"/>
      <c r="AJ5554" s="132"/>
      <c r="AK5554" s="127"/>
      <c r="AL5554" s="128"/>
      <c r="AM5554" s="21" t="s">
        <v>18031</v>
      </c>
      <c r="AN5554" s="133">
        <v>46088</v>
      </c>
      <c r="AO5554" s="134"/>
      <c r="AP5554" s="135">
        <v>1291</v>
      </c>
      <c r="AQ5554" s="136"/>
      <c r="AR5554" s="118">
        <v>850000</v>
      </c>
      <c r="AS5554" s="119"/>
      <c r="AT5554" s="118">
        <f t="shared" ref="AT5554" si="7051">AR5554*0.1</f>
        <v>85000</v>
      </c>
      <c r="AU5554" s="119"/>
      <c r="AV5554" s="118">
        <v>8550</v>
      </c>
      <c r="AW5554" s="119"/>
      <c r="AX5554" s="118">
        <f t="shared" ref="AX5554" si="7052">SUM(AR5554:AW5554)</f>
        <v>943550</v>
      </c>
      <c r="AY5554" s="119"/>
      <c r="AZ5554" s="137">
        <v>46091</v>
      </c>
    </row>
    <row r="5555" spans="1:52" ht="17.100000000000001" customHeight="1" thickBot="1">
      <c r="A5555" s="110"/>
      <c r="B5555" s="27" t="s">
        <v>2699</v>
      </c>
      <c r="C5555" s="27">
        <v>3063</v>
      </c>
      <c r="D5555" s="14" t="s">
        <v>2601</v>
      </c>
      <c r="E5555" s="112"/>
      <c r="F5555" s="139" t="s">
        <v>16276</v>
      </c>
      <c r="G5555" s="140"/>
      <c r="H5555" s="141"/>
      <c r="I5555" s="26">
        <v>47791</v>
      </c>
      <c r="J5555" s="117"/>
      <c r="K5555" s="120"/>
      <c r="L5555" s="121"/>
      <c r="M5555" s="120"/>
      <c r="N5555" s="121"/>
      <c r="O5555" s="120"/>
      <c r="P5555" s="121"/>
      <c r="Q5555" s="120"/>
      <c r="R5555" s="121"/>
      <c r="S5555" s="120"/>
      <c r="T5555" s="121"/>
      <c r="U5555" s="120"/>
      <c r="V5555" s="123"/>
      <c r="W5555" s="125"/>
      <c r="X5555" s="142" t="s">
        <v>14367</v>
      </c>
      <c r="Y5555" s="143"/>
      <c r="Z5555" s="143"/>
      <c r="AA5555" s="143"/>
      <c r="AB5555" s="144"/>
      <c r="AC5555" s="16" t="s">
        <v>21</v>
      </c>
      <c r="AD5555" s="17" t="s">
        <v>2329</v>
      </c>
      <c r="AE5555" s="145" t="s">
        <v>2195</v>
      </c>
      <c r="AF5555" s="146"/>
      <c r="AG5555" s="146"/>
      <c r="AH5555" s="146"/>
      <c r="AI5555" s="147"/>
      <c r="AJ5555" s="148"/>
      <c r="AK5555" s="143"/>
      <c r="AL5555" s="144"/>
      <c r="AM5555" s="22"/>
      <c r="AN5555" s="149" t="s">
        <v>2511</v>
      </c>
      <c r="AO5555" s="144"/>
      <c r="AP5555" s="148">
        <v>60156</v>
      </c>
      <c r="AQ5555" s="144"/>
      <c r="AR5555" s="120"/>
      <c r="AS5555" s="121"/>
      <c r="AT5555" s="120"/>
      <c r="AU5555" s="121"/>
      <c r="AV5555" s="120"/>
      <c r="AW5555" s="121"/>
      <c r="AX5555" s="120"/>
      <c r="AY5555" s="121"/>
      <c r="AZ5555" s="138"/>
    </row>
    <row r="5556" spans="1:52" ht="17.100000000000001" customHeight="1" thickTop="1">
      <c r="A5556" s="109" t="s">
        <v>16294</v>
      </c>
      <c r="B5556" s="28">
        <v>46049</v>
      </c>
      <c r="C5556" s="25">
        <v>924</v>
      </c>
      <c r="D5556" s="13" t="s">
        <v>2477</v>
      </c>
      <c r="E5556" s="111"/>
      <c r="F5556" s="113" t="s">
        <v>16278</v>
      </c>
      <c r="G5556" s="114"/>
      <c r="H5556" s="115"/>
      <c r="I5556" s="24" t="s">
        <v>4314</v>
      </c>
      <c r="J5556" s="116">
        <v>4</v>
      </c>
      <c r="K5556" s="118">
        <v>864000</v>
      </c>
      <c r="L5556" s="119"/>
      <c r="M5556" s="118">
        <f t="shared" ref="M5556" si="7053">K5556*0.1</f>
        <v>86400</v>
      </c>
      <c r="N5556" s="119"/>
      <c r="O5556" s="118">
        <v>0</v>
      </c>
      <c r="P5556" s="119"/>
      <c r="Q5556" s="118">
        <v>9150</v>
      </c>
      <c r="R5556" s="119"/>
      <c r="S5556" s="118">
        <v>15950</v>
      </c>
      <c r="T5556" s="119"/>
      <c r="U5556" s="118">
        <f t="shared" ref="U5556" si="7054">SUM(K5556:T5557)</f>
        <v>975500</v>
      </c>
      <c r="V5556" s="122"/>
      <c r="W5556" s="124"/>
      <c r="X5556" s="126" t="s">
        <v>16280</v>
      </c>
      <c r="Y5556" s="127"/>
      <c r="Z5556" s="127"/>
      <c r="AA5556" s="127"/>
      <c r="AB5556" s="128"/>
      <c r="AC5556" s="15" t="s">
        <v>20</v>
      </c>
      <c r="AD5556" s="129" t="s">
        <v>1670</v>
      </c>
      <c r="AE5556" s="130"/>
      <c r="AF5556" s="130"/>
      <c r="AG5556" s="130"/>
      <c r="AH5556" s="130"/>
      <c r="AI5556" s="131"/>
      <c r="AJ5556" s="132"/>
      <c r="AK5556" s="127"/>
      <c r="AL5556" s="128"/>
      <c r="AM5556" s="21"/>
      <c r="AN5556" s="133">
        <v>46053</v>
      </c>
      <c r="AO5556" s="134"/>
      <c r="AP5556" s="135">
        <v>1286</v>
      </c>
      <c r="AQ5556" s="136"/>
      <c r="AR5556" s="118">
        <v>950000</v>
      </c>
      <c r="AS5556" s="119"/>
      <c r="AT5556" s="118">
        <f t="shared" ref="AT5556" si="7055">AR5556*0.1</f>
        <v>95000</v>
      </c>
      <c r="AU5556" s="119"/>
      <c r="AV5556" s="118">
        <v>9150</v>
      </c>
      <c r="AW5556" s="119"/>
      <c r="AX5556" s="118">
        <f t="shared" ref="AX5556" si="7056">SUM(AR5556:AW5556)</f>
        <v>1054150</v>
      </c>
      <c r="AY5556" s="119"/>
      <c r="AZ5556" s="137">
        <v>46058</v>
      </c>
    </row>
    <row r="5557" spans="1:52" ht="17.100000000000001" customHeight="1" thickBot="1">
      <c r="A5557" s="110"/>
      <c r="B5557" s="27" t="s">
        <v>2699</v>
      </c>
      <c r="C5557" s="27">
        <v>3081</v>
      </c>
      <c r="D5557" s="14" t="s">
        <v>1720</v>
      </c>
      <c r="E5557" s="112"/>
      <c r="F5557" s="139" t="s">
        <v>16279</v>
      </c>
      <c r="G5557" s="140"/>
      <c r="H5557" s="141"/>
      <c r="I5557" s="26">
        <v>18948</v>
      </c>
      <c r="J5557" s="117"/>
      <c r="K5557" s="120"/>
      <c r="L5557" s="121"/>
      <c r="M5557" s="120"/>
      <c r="N5557" s="121"/>
      <c r="O5557" s="120"/>
      <c r="P5557" s="121"/>
      <c r="Q5557" s="120"/>
      <c r="R5557" s="121"/>
      <c r="S5557" s="120"/>
      <c r="T5557" s="121"/>
      <c r="U5557" s="120"/>
      <c r="V5557" s="123"/>
      <c r="W5557" s="125"/>
      <c r="X5557" s="142" t="s">
        <v>14367</v>
      </c>
      <c r="Y5557" s="143"/>
      <c r="Z5557" s="143"/>
      <c r="AA5557" s="143"/>
      <c r="AB5557" s="144"/>
      <c r="AC5557" s="16" t="s">
        <v>21</v>
      </c>
      <c r="AD5557" s="17" t="s">
        <v>2329</v>
      </c>
      <c r="AE5557" s="145" t="s">
        <v>171</v>
      </c>
      <c r="AF5557" s="146"/>
      <c r="AG5557" s="146"/>
      <c r="AH5557" s="146"/>
      <c r="AI5557" s="147"/>
      <c r="AJ5557" s="148"/>
      <c r="AK5557" s="143"/>
      <c r="AL5557" s="144"/>
      <c r="AM5557" s="22"/>
      <c r="AN5557" s="149" t="s">
        <v>2511</v>
      </c>
      <c r="AO5557" s="144"/>
      <c r="AP5557" s="148">
        <v>60392</v>
      </c>
      <c r="AQ5557" s="144"/>
      <c r="AR5557" s="120"/>
      <c r="AS5557" s="121"/>
      <c r="AT5557" s="120"/>
      <c r="AU5557" s="121"/>
      <c r="AV5557" s="120"/>
      <c r="AW5557" s="121"/>
      <c r="AX5557" s="120"/>
      <c r="AY5557" s="121"/>
      <c r="AZ5557" s="138"/>
    </row>
    <row r="5558" spans="1:52" ht="17.100000000000001" customHeight="1" thickTop="1">
      <c r="A5558" s="109" t="s">
        <v>16295</v>
      </c>
      <c r="B5558" s="28">
        <v>46049</v>
      </c>
      <c r="C5558" s="25">
        <v>924</v>
      </c>
      <c r="D5558" s="13" t="s">
        <v>4177</v>
      </c>
      <c r="E5558" s="111"/>
      <c r="F5558" s="113" t="s">
        <v>16281</v>
      </c>
      <c r="G5558" s="114"/>
      <c r="H5558" s="115"/>
      <c r="I5558" s="24"/>
      <c r="J5558" s="116">
        <v>4</v>
      </c>
      <c r="K5558" s="118">
        <v>152000</v>
      </c>
      <c r="L5558" s="119"/>
      <c r="M5558" s="118">
        <f t="shared" ref="M5558" si="7057">K5558*0.1</f>
        <v>15200</v>
      </c>
      <c r="N5558" s="119"/>
      <c r="O5558" s="118">
        <v>0</v>
      </c>
      <c r="P5558" s="119"/>
      <c r="Q5558" s="118">
        <v>9460</v>
      </c>
      <c r="R5558" s="119"/>
      <c r="S5558" s="118">
        <v>15950</v>
      </c>
      <c r="T5558" s="119"/>
      <c r="U5558" s="118">
        <f t="shared" ref="U5558" si="7058">SUM(K5558:T5559)</f>
        <v>192610</v>
      </c>
      <c r="V5558" s="122"/>
      <c r="W5558" s="124"/>
      <c r="X5558" s="126" t="s">
        <v>16788</v>
      </c>
      <c r="Y5558" s="127"/>
      <c r="Z5558" s="127"/>
      <c r="AA5558" s="127"/>
      <c r="AB5558" s="128"/>
      <c r="AC5558" s="15" t="s">
        <v>20</v>
      </c>
      <c r="AD5558" s="129"/>
      <c r="AE5558" s="130"/>
      <c r="AF5558" s="130"/>
      <c r="AG5558" s="130"/>
      <c r="AH5558" s="130"/>
      <c r="AI5558" s="131"/>
      <c r="AJ5558" s="132"/>
      <c r="AK5558" s="127"/>
      <c r="AL5558" s="128"/>
      <c r="AM5558" s="21"/>
      <c r="AN5558" s="133">
        <v>46053</v>
      </c>
      <c r="AO5558" s="134"/>
      <c r="AP5558" s="135">
        <v>1286</v>
      </c>
      <c r="AQ5558" s="136"/>
      <c r="AR5558" s="118">
        <v>230000</v>
      </c>
      <c r="AS5558" s="119"/>
      <c r="AT5558" s="118">
        <f t="shared" ref="AT5558" si="7059">AR5558*0.1</f>
        <v>23000</v>
      </c>
      <c r="AU5558" s="119"/>
      <c r="AV5558" s="118">
        <v>9460</v>
      </c>
      <c r="AW5558" s="119"/>
      <c r="AX5558" s="118">
        <f t="shared" ref="AX5558" si="7060">SUM(AR5558:AW5558)</f>
        <v>262460</v>
      </c>
      <c r="AY5558" s="119"/>
      <c r="AZ5558" s="137">
        <v>46058</v>
      </c>
    </row>
    <row r="5559" spans="1:52" ht="17.100000000000001" customHeight="1" thickBot="1">
      <c r="A5559" s="110"/>
      <c r="B5559" s="27" t="s">
        <v>2699</v>
      </c>
      <c r="C5559" s="27">
        <v>4058</v>
      </c>
      <c r="D5559" s="14" t="s">
        <v>1720</v>
      </c>
      <c r="E5559" s="112"/>
      <c r="F5559" s="139" t="s">
        <v>16282</v>
      </c>
      <c r="G5559" s="140"/>
      <c r="H5559" s="141"/>
      <c r="I5559" s="26">
        <v>49275</v>
      </c>
      <c r="J5559" s="117"/>
      <c r="K5559" s="120"/>
      <c r="L5559" s="121"/>
      <c r="M5559" s="120"/>
      <c r="N5559" s="121"/>
      <c r="O5559" s="120"/>
      <c r="P5559" s="121"/>
      <c r="Q5559" s="120"/>
      <c r="R5559" s="121"/>
      <c r="S5559" s="120"/>
      <c r="T5559" s="121"/>
      <c r="U5559" s="120"/>
      <c r="V5559" s="123"/>
      <c r="W5559" s="125"/>
      <c r="X5559" s="142" t="s">
        <v>16789</v>
      </c>
      <c r="Y5559" s="143"/>
      <c r="Z5559" s="143"/>
      <c r="AA5559" s="143"/>
      <c r="AB5559" s="144"/>
      <c r="AC5559" s="16" t="s">
        <v>21</v>
      </c>
      <c r="AD5559" s="17" t="s">
        <v>2329</v>
      </c>
      <c r="AE5559" s="145"/>
      <c r="AF5559" s="146"/>
      <c r="AG5559" s="146"/>
      <c r="AH5559" s="146"/>
      <c r="AI5559" s="147"/>
      <c r="AJ5559" s="148"/>
      <c r="AK5559" s="143"/>
      <c r="AL5559" s="144"/>
      <c r="AM5559" s="22"/>
      <c r="AN5559" s="149" t="s">
        <v>6748</v>
      </c>
      <c r="AO5559" s="144"/>
      <c r="AP5559" s="148">
        <v>60405</v>
      </c>
      <c r="AQ5559" s="144"/>
      <c r="AR5559" s="120"/>
      <c r="AS5559" s="121"/>
      <c r="AT5559" s="120"/>
      <c r="AU5559" s="121"/>
      <c r="AV5559" s="120"/>
      <c r="AW5559" s="121"/>
      <c r="AX5559" s="120"/>
      <c r="AY5559" s="121"/>
      <c r="AZ5559" s="138"/>
    </row>
    <row r="5560" spans="1:52" ht="17.100000000000001" customHeight="1" thickTop="1">
      <c r="A5560" s="109" t="s">
        <v>16296</v>
      </c>
      <c r="B5560" s="28">
        <v>46049</v>
      </c>
      <c r="C5560" s="25">
        <v>924</v>
      </c>
      <c r="D5560" s="13" t="s">
        <v>1803</v>
      </c>
      <c r="E5560" s="111"/>
      <c r="F5560" s="113" t="s">
        <v>16283</v>
      </c>
      <c r="G5560" s="114"/>
      <c r="H5560" s="115"/>
      <c r="I5560" s="24"/>
      <c r="J5560" s="116">
        <v>4</v>
      </c>
      <c r="K5560" s="118">
        <v>550000</v>
      </c>
      <c r="L5560" s="119"/>
      <c r="M5560" s="118">
        <f t="shared" ref="M5560" si="7061">K5560*0.1</f>
        <v>55000</v>
      </c>
      <c r="N5560" s="119"/>
      <c r="O5560" s="118">
        <v>0</v>
      </c>
      <c r="P5560" s="119"/>
      <c r="Q5560" s="118">
        <v>9940</v>
      </c>
      <c r="R5560" s="119"/>
      <c r="S5560" s="118">
        <v>15950</v>
      </c>
      <c r="T5560" s="119"/>
      <c r="U5560" s="118">
        <f t="shared" ref="U5560" si="7062">SUM(K5560:T5561)</f>
        <v>630890</v>
      </c>
      <c r="V5560" s="122"/>
      <c r="W5560" s="124"/>
      <c r="X5560" s="126" t="s">
        <v>16799</v>
      </c>
      <c r="Y5560" s="127"/>
      <c r="Z5560" s="127"/>
      <c r="AA5560" s="127"/>
      <c r="AB5560" s="128"/>
      <c r="AC5560" s="15" t="s">
        <v>20</v>
      </c>
      <c r="AD5560" s="129"/>
      <c r="AE5560" s="130"/>
      <c r="AF5560" s="130"/>
      <c r="AG5560" s="130"/>
      <c r="AH5560" s="130"/>
      <c r="AI5560" s="131"/>
      <c r="AJ5560" s="132"/>
      <c r="AK5560" s="127"/>
      <c r="AL5560" s="128"/>
      <c r="AM5560" s="21"/>
      <c r="AN5560" s="133">
        <v>46060</v>
      </c>
      <c r="AO5560" s="134"/>
      <c r="AP5560" s="135">
        <v>1287</v>
      </c>
      <c r="AQ5560" s="136"/>
      <c r="AR5560" s="118">
        <v>595000</v>
      </c>
      <c r="AS5560" s="119"/>
      <c r="AT5560" s="118">
        <f t="shared" ref="AT5560" si="7063">AR5560*0.1</f>
        <v>59500</v>
      </c>
      <c r="AU5560" s="119"/>
      <c r="AV5560" s="118">
        <v>9940</v>
      </c>
      <c r="AW5560" s="119"/>
      <c r="AX5560" s="118">
        <f t="shared" ref="AX5560" si="7064">SUM(AR5560:AW5560)</f>
        <v>664440</v>
      </c>
      <c r="AY5560" s="119"/>
      <c r="AZ5560" s="137">
        <v>46063</v>
      </c>
    </row>
    <row r="5561" spans="1:52" ht="17.100000000000001" customHeight="1" thickBot="1">
      <c r="A5561" s="110"/>
      <c r="B5561" s="27" t="s">
        <v>2699</v>
      </c>
      <c r="C5561" s="27">
        <v>4292</v>
      </c>
      <c r="D5561" s="14" t="s">
        <v>1635</v>
      </c>
      <c r="E5561" s="112"/>
      <c r="F5561" s="139" t="s">
        <v>16284</v>
      </c>
      <c r="G5561" s="140"/>
      <c r="H5561" s="141"/>
      <c r="I5561" s="26">
        <v>56999</v>
      </c>
      <c r="J5561" s="117"/>
      <c r="K5561" s="120"/>
      <c r="L5561" s="121"/>
      <c r="M5561" s="120"/>
      <c r="N5561" s="121"/>
      <c r="O5561" s="120"/>
      <c r="P5561" s="121"/>
      <c r="Q5561" s="120"/>
      <c r="R5561" s="121"/>
      <c r="S5561" s="120"/>
      <c r="T5561" s="121"/>
      <c r="U5561" s="120"/>
      <c r="V5561" s="123"/>
      <c r="W5561" s="125"/>
      <c r="X5561" s="142" t="s">
        <v>4628</v>
      </c>
      <c r="Y5561" s="143"/>
      <c r="Z5561" s="143"/>
      <c r="AA5561" s="143"/>
      <c r="AB5561" s="144"/>
      <c r="AC5561" s="16" t="s">
        <v>21</v>
      </c>
      <c r="AD5561" s="17" t="s">
        <v>2329</v>
      </c>
      <c r="AE5561" s="145" t="s">
        <v>7860</v>
      </c>
      <c r="AF5561" s="146"/>
      <c r="AG5561" s="146"/>
      <c r="AH5561" s="146"/>
      <c r="AI5561" s="147"/>
      <c r="AJ5561" s="148"/>
      <c r="AK5561" s="143"/>
      <c r="AL5561" s="144"/>
      <c r="AM5561" s="22"/>
      <c r="AN5561" s="149" t="s">
        <v>2511</v>
      </c>
      <c r="AO5561" s="144"/>
      <c r="AP5561" s="148">
        <v>55110</v>
      </c>
      <c r="AQ5561" s="144"/>
      <c r="AR5561" s="120"/>
      <c r="AS5561" s="121"/>
      <c r="AT5561" s="120"/>
      <c r="AU5561" s="121"/>
      <c r="AV5561" s="120"/>
      <c r="AW5561" s="121"/>
      <c r="AX5561" s="120"/>
      <c r="AY5561" s="121"/>
      <c r="AZ5561" s="138"/>
    </row>
    <row r="5562" spans="1:52" ht="17.100000000000001" customHeight="1" thickTop="1">
      <c r="A5562" s="109" t="s">
        <v>16297</v>
      </c>
      <c r="B5562" s="28">
        <v>46049</v>
      </c>
      <c r="C5562" s="25">
        <v>924</v>
      </c>
      <c r="D5562" s="13" t="s">
        <v>2298</v>
      </c>
      <c r="E5562" s="111"/>
      <c r="F5562" s="113" t="s">
        <v>16285</v>
      </c>
      <c r="G5562" s="114"/>
      <c r="H5562" s="115"/>
      <c r="I5562" s="24" t="s">
        <v>2584</v>
      </c>
      <c r="J5562" s="116">
        <v>4.5</v>
      </c>
      <c r="K5562" s="118">
        <v>1334000</v>
      </c>
      <c r="L5562" s="119"/>
      <c r="M5562" s="118">
        <f t="shared" ref="M5562" si="7065">K5562*0.1</f>
        <v>133400</v>
      </c>
      <c r="N5562" s="119"/>
      <c r="O5562" s="118">
        <v>5500</v>
      </c>
      <c r="P5562" s="119"/>
      <c r="Q5562" s="118">
        <v>16240</v>
      </c>
      <c r="R5562" s="119"/>
      <c r="S5562" s="118">
        <v>15950</v>
      </c>
      <c r="T5562" s="119"/>
      <c r="U5562" s="118">
        <f t="shared" ref="U5562" si="7066">SUM(K5562:T5563)</f>
        <v>1505090</v>
      </c>
      <c r="V5562" s="122"/>
      <c r="W5562" s="124"/>
      <c r="X5562" s="126" t="s">
        <v>16287</v>
      </c>
      <c r="Y5562" s="127"/>
      <c r="Z5562" s="127"/>
      <c r="AA5562" s="127"/>
      <c r="AB5562" s="128"/>
      <c r="AC5562" s="15" t="s">
        <v>20</v>
      </c>
      <c r="AD5562" s="129" t="s">
        <v>16288</v>
      </c>
      <c r="AE5562" s="130"/>
      <c r="AF5562" s="130"/>
      <c r="AG5562" s="130"/>
      <c r="AH5562" s="130"/>
      <c r="AI5562" s="131"/>
      <c r="AJ5562" s="132"/>
      <c r="AK5562" s="127"/>
      <c r="AL5562" s="128"/>
      <c r="AM5562" s="21"/>
      <c r="AN5562" s="133">
        <v>46060</v>
      </c>
      <c r="AO5562" s="134"/>
      <c r="AP5562" s="135">
        <v>1287</v>
      </c>
      <c r="AQ5562" s="136"/>
      <c r="AR5562" s="118">
        <v>1475000</v>
      </c>
      <c r="AS5562" s="119"/>
      <c r="AT5562" s="118">
        <f t="shared" ref="AT5562" si="7067">AR5562*0.1</f>
        <v>147500</v>
      </c>
      <c r="AU5562" s="119"/>
      <c r="AV5562" s="118">
        <v>16240</v>
      </c>
      <c r="AW5562" s="119"/>
      <c r="AX5562" s="118">
        <f t="shared" ref="AX5562" si="7068">SUM(AR5562:AW5562)</f>
        <v>1638740</v>
      </c>
      <c r="AY5562" s="119"/>
      <c r="AZ5562" s="137">
        <v>46063</v>
      </c>
    </row>
    <row r="5563" spans="1:52" ht="17.100000000000001" customHeight="1" thickBot="1">
      <c r="A5563" s="110"/>
      <c r="B5563" s="27" t="s">
        <v>2699</v>
      </c>
      <c r="C5563" s="27">
        <v>5014</v>
      </c>
      <c r="D5563" s="14" t="s">
        <v>133</v>
      </c>
      <c r="E5563" s="112"/>
      <c r="F5563" s="139" t="s">
        <v>16286</v>
      </c>
      <c r="G5563" s="140"/>
      <c r="H5563" s="141"/>
      <c r="I5563" s="26">
        <v>40993</v>
      </c>
      <c r="J5563" s="117"/>
      <c r="K5563" s="120"/>
      <c r="L5563" s="121"/>
      <c r="M5563" s="120"/>
      <c r="N5563" s="121"/>
      <c r="O5563" s="120"/>
      <c r="P5563" s="121"/>
      <c r="Q5563" s="120"/>
      <c r="R5563" s="121"/>
      <c r="S5563" s="120"/>
      <c r="T5563" s="121"/>
      <c r="U5563" s="120"/>
      <c r="V5563" s="123"/>
      <c r="W5563" s="125"/>
      <c r="X5563" s="142" t="s">
        <v>1594</v>
      </c>
      <c r="Y5563" s="143"/>
      <c r="Z5563" s="143"/>
      <c r="AA5563" s="143"/>
      <c r="AB5563" s="144"/>
      <c r="AC5563" s="16" t="s">
        <v>21</v>
      </c>
      <c r="AD5563" s="17" t="s">
        <v>2329</v>
      </c>
      <c r="AE5563" s="145" t="s">
        <v>16805</v>
      </c>
      <c r="AF5563" s="146"/>
      <c r="AG5563" s="146"/>
      <c r="AH5563" s="146"/>
      <c r="AI5563" s="147"/>
      <c r="AJ5563" s="148"/>
      <c r="AK5563" s="143"/>
      <c r="AL5563" s="144"/>
      <c r="AM5563" s="22"/>
      <c r="AN5563" s="149" t="s">
        <v>2511</v>
      </c>
      <c r="AO5563" s="144"/>
      <c r="AP5563" s="148">
        <v>80020</v>
      </c>
      <c r="AQ5563" s="144"/>
      <c r="AR5563" s="120"/>
      <c r="AS5563" s="121"/>
      <c r="AT5563" s="120"/>
      <c r="AU5563" s="121"/>
      <c r="AV5563" s="120"/>
      <c r="AW5563" s="121"/>
      <c r="AX5563" s="120"/>
      <c r="AY5563" s="121"/>
      <c r="AZ5563" s="138"/>
    </row>
    <row r="5564" spans="1:52" ht="17.100000000000001" customHeight="1" thickTop="1">
      <c r="A5564" s="109" t="s">
        <v>16298</v>
      </c>
      <c r="B5564" s="28">
        <v>46049</v>
      </c>
      <c r="C5564" s="25">
        <v>1039</v>
      </c>
      <c r="D5564" s="13" t="s">
        <v>1640</v>
      </c>
      <c r="E5564" s="111"/>
      <c r="F5564" s="113" t="s">
        <v>16290</v>
      </c>
      <c r="G5564" s="114"/>
      <c r="H5564" s="115"/>
      <c r="I5564" s="24" t="s">
        <v>3399</v>
      </c>
      <c r="J5564" s="116">
        <v>4.5</v>
      </c>
      <c r="K5564" s="118">
        <v>3446000</v>
      </c>
      <c r="L5564" s="119"/>
      <c r="M5564" s="118">
        <f t="shared" ref="M5564" si="7069">K5564*0.1</f>
        <v>344600</v>
      </c>
      <c r="N5564" s="119"/>
      <c r="O5564" s="118">
        <v>0</v>
      </c>
      <c r="P5564" s="119"/>
      <c r="Q5564" s="118">
        <v>26980</v>
      </c>
      <c r="R5564" s="119"/>
      <c r="S5564" s="118">
        <v>18150</v>
      </c>
      <c r="T5564" s="119"/>
      <c r="U5564" s="118">
        <f t="shared" ref="U5564" si="7070">SUM(K5564:T5565)</f>
        <v>3835730</v>
      </c>
      <c r="V5564" s="122"/>
      <c r="W5564" s="124"/>
      <c r="X5564" s="126" t="s">
        <v>16292</v>
      </c>
      <c r="Y5564" s="127"/>
      <c r="Z5564" s="127"/>
      <c r="AA5564" s="127"/>
      <c r="AB5564" s="128"/>
      <c r="AC5564" s="15" t="s">
        <v>20</v>
      </c>
      <c r="AD5564" s="129" t="s">
        <v>15319</v>
      </c>
      <c r="AE5564" s="130"/>
      <c r="AF5564" s="130"/>
      <c r="AG5564" s="130"/>
      <c r="AH5564" s="130"/>
      <c r="AI5564" s="131"/>
      <c r="AJ5564" s="132"/>
      <c r="AK5564" s="127"/>
      <c r="AL5564" s="128"/>
      <c r="AM5564" s="21"/>
      <c r="AN5564" s="133">
        <v>46053</v>
      </c>
      <c r="AO5564" s="134"/>
      <c r="AP5564" s="135">
        <v>1286</v>
      </c>
      <c r="AQ5564" s="136"/>
      <c r="AR5564" s="118">
        <v>3715000</v>
      </c>
      <c r="AS5564" s="119"/>
      <c r="AT5564" s="118">
        <f t="shared" ref="AT5564" si="7071">AR5564*0.1</f>
        <v>371500</v>
      </c>
      <c r="AU5564" s="119"/>
      <c r="AV5564" s="118">
        <v>26980</v>
      </c>
      <c r="AW5564" s="119"/>
      <c r="AX5564" s="118">
        <f t="shared" ref="AX5564" si="7072">SUM(AR5564:AW5564)</f>
        <v>4113480</v>
      </c>
      <c r="AY5564" s="119"/>
      <c r="AZ5564" s="137">
        <v>46056</v>
      </c>
    </row>
    <row r="5565" spans="1:52" ht="17.100000000000001" customHeight="1" thickBot="1">
      <c r="A5565" s="110"/>
      <c r="B5565" s="27" t="s">
        <v>16289</v>
      </c>
      <c r="C5565" s="27">
        <v>30334</v>
      </c>
      <c r="D5565" s="14" t="s">
        <v>1592</v>
      </c>
      <c r="E5565" s="112"/>
      <c r="F5565" s="139" t="s">
        <v>16291</v>
      </c>
      <c r="G5565" s="140"/>
      <c r="H5565" s="141"/>
      <c r="I5565" s="26">
        <v>36637</v>
      </c>
      <c r="J5565" s="117"/>
      <c r="K5565" s="120"/>
      <c r="L5565" s="121"/>
      <c r="M5565" s="120"/>
      <c r="N5565" s="121"/>
      <c r="O5565" s="120"/>
      <c r="P5565" s="121"/>
      <c r="Q5565" s="120"/>
      <c r="R5565" s="121"/>
      <c r="S5565" s="120"/>
      <c r="T5565" s="121"/>
      <c r="U5565" s="120"/>
      <c r="V5565" s="123"/>
      <c r="W5565" s="125"/>
      <c r="X5565" s="142" t="s">
        <v>16593</v>
      </c>
      <c r="Y5565" s="143"/>
      <c r="Z5565" s="143"/>
      <c r="AA5565" s="143"/>
      <c r="AB5565" s="144"/>
      <c r="AC5565" s="16" t="s">
        <v>21</v>
      </c>
      <c r="AD5565" s="17" t="s">
        <v>2316</v>
      </c>
      <c r="AE5565" s="145" t="s">
        <v>1742</v>
      </c>
      <c r="AF5565" s="146"/>
      <c r="AG5565" s="146"/>
      <c r="AH5565" s="146"/>
      <c r="AI5565" s="147"/>
      <c r="AJ5565" s="148"/>
      <c r="AK5565" s="143"/>
      <c r="AL5565" s="144"/>
      <c r="AM5565" s="22"/>
      <c r="AN5565" s="149" t="s">
        <v>2511</v>
      </c>
      <c r="AO5565" s="144"/>
      <c r="AP5565" s="148">
        <v>80417</v>
      </c>
      <c r="AQ5565" s="144"/>
      <c r="AR5565" s="120"/>
      <c r="AS5565" s="121"/>
      <c r="AT5565" s="120"/>
      <c r="AU5565" s="121"/>
      <c r="AV5565" s="120"/>
      <c r="AW5565" s="121"/>
      <c r="AX5565" s="120"/>
      <c r="AY5565" s="121"/>
      <c r="AZ5565" s="138"/>
    </row>
    <row r="5566" spans="1:52" ht="17.100000000000001" customHeight="1" thickTop="1">
      <c r="A5566" s="109" t="s">
        <v>16299</v>
      </c>
      <c r="B5566" s="28">
        <v>46049</v>
      </c>
      <c r="C5566" s="25">
        <v>975</v>
      </c>
      <c r="D5566" s="13" t="s">
        <v>2654</v>
      </c>
      <c r="E5566" s="111"/>
      <c r="F5566" s="113" t="s">
        <v>15533</v>
      </c>
      <c r="G5566" s="114"/>
      <c r="H5566" s="115"/>
      <c r="I5566" s="24"/>
      <c r="J5566" s="116">
        <v>4</v>
      </c>
      <c r="K5566" s="118">
        <v>509000</v>
      </c>
      <c r="L5566" s="119"/>
      <c r="M5566" s="118">
        <f t="shared" ref="M5566" si="7073">K5566*0.1</f>
        <v>50900</v>
      </c>
      <c r="N5566" s="119"/>
      <c r="O5566" s="118">
        <v>0</v>
      </c>
      <c r="P5566" s="119"/>
      <c r="Q5566" s="118">
        <v>7140</v>
      </c>
      <c r="R5566" s="119"/>
      <c r="S5566" s="118">
        <v>22000</v>
      </c>
      <c r="T5566" s="119"/>
      <c r="U5566" s="118">
        <f t="shared" ref="U5566" si="7074">SUM(K5566:T5567)</f>
        <v>589040</v>
      </c>
      <c r="V5566" s="122"/>
      <c r="W5566" s="124"/>
      <c r="X5566" s="126" t="s">
        <v>16981</v>
      </c>
      <c r="Y5566" s="127"/>
      <c r="Z5566" s="127"/>
      <c r="AA5566" s="127"/>
      <c r="AB5566" s="128"/>
      <c r="AC5566" s="15" t="s">
        <v>20</v>
      </c>
      <c r="AD5566" s="129" t="s">
        <v>16303</v>
      </c>
      <c r="AE5566" s="130"/>
      <c r="AF5566" s="130"/>
      <c r="AG5566" s="130"/>
      <c r="AH5566" s="130"/>
      <c r="AI5566" s="131"/>
      <c r="AJ5566" s="132"/>
      <c r="AK5566" s="127"/>
      <c r="AL5566" s="128"/>
      <c r="AM5566" s="21"/>
      <c r="AN5566" s="133">
        <v>46056</v>
      </c>
      <c r="AO5566" s="134"/>
      <c r="AP5566" s="135">
        <v>1927</v>
      </c>
      <c r="AQ5566" s="136"/>
      <c r="AR5566" s="118">
        <v>585000</v>
      </c>
      <c r="AS5566" s="119"/>
      <c r="AT5566" s="118">
        <f t="shared" ref="AT5566" si="7075">AR5566*0.1</f>
        <v>58500</v>
      </c>
      <c r="AU5566" s="119"/>
      <c r="AV5566" s="118">
        <v>7140</v>
      </c>
      <c r="AW5566" s="119"/>
      <c r="AX5566" s="118">
        <f t="shared" ref="AX5566" si="7076">SUM(AR5566:AW5566)</f>
        <v>650640</v>
      </c>
      <c r="AY5566" s="119"/>
      <c r="AZ5566" s="137">
        <v>46063</v>
      </c>
    </row>
    <row r="5567" spans="1:52" ht="17.100000000000001" customHeight="1" thickBot="1">
      <c r="A5567" s="110"/>
      <c r="B5567" s="27" t="s">
        <v>16301</v>
      </c>
      <c r="C5567" s="27">
        <v>1023</v>
      </c>
      <c r="D5567" s="14" t="s">
        <v>1592</v>
      </c>
      <c r="E5567" s="112"/>
      <c r="F5567" s="139" t="s">
        <v>16302</v>
      </c>
      <c r="G5567" s="140"/>
      <c r="H5567" s="141"/>
      <c r="I5567" s="26">
        <v>45086</v>
      </c>
      <c r="J5567" s="117"/>
      <c r="K5567" s="120"/>
      <c r="L5567" s="121"/>
      <c r="M5567" s="120"/>
      <c r="N5567" s="121"/>
      <c r="O5567" s="120"/>
      <c r="P5567" s="121"/>
      <c r="Q5567" s="120"/>
      <c r="R5567" s="121"/>
      <c r="S5567" s="120"/>
      <c r="T5567" s="121"/>
      <c r="U5567" s="120"/>
      <c r="V5567" s="123"/>
      <c r="W5567" s="125"/>
      <c r="X5567" s="142" t="s">
        <v>5035</v>
      </c>
      <c r="Y5567" s="143"/>
      <c r="Z5567" s="143"/>
      <c r="AA5567" s="143"/>
      <c r="AB5567" s="144"/>
      <c r="AC5567" s="16" t="s">
        <v>21</v>
      </c>
      <c r="AD5567" s="17" t="s">
        <v>3550</v>
      </c>
      <c r="AE5567" s="145" t="s">
        <v>16733</v>
      </c>
      <c r="AF5567" s="146"/>
      <c r="AG5567" s="146"/>
      <c r="AH5567" s="146"/>
      <c r="AI5567" s="147"/>
      <c r="AJ5567" s="148"/>
      <c r="AK5567" s="143"/>
      <c r="AL5567" s="144"/>
      <c r="AM5567" s="22"/>
      <c r="AN5567" s="149" t="s">
        <v>7644</v>
      </c>
      <c r="AO5567" s="144"/>
      <c r="AP5567" s="148">
        <v>3292</v>
      </c>
      <c r="AQ5567" s="144"/>
      <c r="AR5567" s="120"/>
      <c r="AS5567" s="121"/>
      <c r="AT5567" s="120"/>
      <c r="AU5567" s="121"/>
      <c r="AV5567" s="120"/>
      <c r="AW5567" s="121"/>
      <c r="AX5567" s="120"/>
      <c r="AY5567" s="121"/>
      <c r="AZ5567" s="138"/>
    </row>
    <row r="5568" spans="1:52" ht="17.100000000000001" customHeight="1" thickTop="1">
      <c r="A5568" s="109" t="s">
        <v>16300</v>
      </c>
      <c r="B5568" s="28">
        <v>46049</v>
      </c>
      <c r="C5568" s="25">
        <v>975</v>
      </c>
      <c r="D5568" s="13" t="s">
        <v>2949</v>
      </c>
      <c r="E5568" s="111"/>
      <c r="F5568" s="113" t="s">
        <v>16304</v>
      </c>
      <c r="G5568" s="114"/>
      <c r="H5568" s="115"/>
      <c r="I5568" s="24"/>
      <c r="J5568" s="116">
        <v>4</v>
      </c>
      <c r="K5568" s="118">
        <v>718000</v>
      </c>
      <c r="L5568" s="119"/>
      <c r="M5568" s="118">
        <f t="shared" ref="M5568" si="7077">K5568*0.1</f>
        <v>71800</v>
      </c>
      <c r="N5568" s="119"/>
      <c r="O5568" s="118">
        <v>0</v>
      </c>
      <c r="P5568" s="119"/>
      <c r="Q5568" s="118">
        <v>9140</v>
      </c>
      <c r="R5568" s="119"/>
      <c r="S5568" s="118">
        <v>22000</v>
      </c>
      <c r="T5568" s="119"/>
      <c r="U5568" s="118">
        <f t="shared" ref="U5568" si="7078">SUM(K5568:T5569)</f>
        <v>820940</v>
      </c>
      <c r="V5568" s="122"/>
      <c r="W5568" s="124"/>
      <c r="X5568" s="126" t="s">
        <v>16950</v>
      </c>
      <c r="Y5568" s="127"/>
      <c r="Z5568" s="127"/>
      <c r="AA5568" s="127"/>
      <c r="AB5568" s="128"/>
      <c r="AC5568" s="15" t="s">
        <v>20</v>
      </c>
      <c r="AD5568" s="129" t="s">
        <v>2054</v>
      </c>
      <c r="AE5568" s="130"/>
      <c r="AF5568" s="130"/>
      <c r="AG5568" s="130"/>
      <c r="AH5568" s="130"/>
      <c r="AI5568" s="131"/>
      <c r="AJ5568" s="132"/>
      <c r="AK5568" s="127"/>
      <c r="AL5568" s="128"/>
      <c r="AM5568" s="21"/>
      <c r="AN5568" s="133">
        <v>46064</v>
      </c>
      <c r="AO5568" s="134"/>
      <c r="AP5568" s="135">
        <v>1004</v>
      </c>
      <c r="AQ5568" s="136"/>
      <c r="AR5568" s="118">
        <v>800000</v>
      </c>
      <c r="AS5568" s="119"/>
      <c r="AT5568" s="118">
        <f t="shared" ref="AT5568" si="7079">AR5568*0.1</f>
        <v>80000</v>
      </c>
      <c r="AU5568" s="119"/>
      <c r="AV5568" s="118">
        <v>9140</v>
      </c>
      <c r="AW5568" s="119"/>
      <c r="AX5568" s="118">
        <f t="shared" ref="AX5568" si="7080">SUM(AR5568:AW5568)</f>
        <v>889140</v>
      </c>
      <c r="AY5568" s="119"/>
      <c r="AZ5568" s="137">
        <v>46071</v>
      </c>
    </row>
    <row r="5569" spans="1:52" ht="17.100000000000001" customHeight="1" thickBot="1">
      <c r="A5569" s="110"/>
      <c r="B5569" s="27" t="s">
        <v>16301</v>
      </c>
      <c r="C5569" s="27">
        <v>1056</v>
      </c>
      <c r="D5569" s="14" t="s">
        <v>275</v>
      </c>
      <c r="E5569" s="112"/>
      <c r="F5569" s="139" t="s">
        <v>16305</v>
      </c>
      <c r="G5569" s="140"/>
      <c r="H5569" s="141"/>
      <c r="I5569" s="26">
        <v>36730</v>
      </c>
      <c r="J5569" s="117"/>
      <c r="K5569" s="120"/>
      <c r="L5569" s="121"/>
      <c r="M5569" s="120"/>
      <c r="N5569" s="121"/>
      <c r="O5569" s="120"/>
      <c r="P5569" s="121"/>
      <c r="Q5569" s="120"/>
      <c r="R5569" s="121"/>
      <c r="S5569" s="120"/>
      <c r="T5569" s="121"/>
      <c r="U5569" s="120"/>
      <c r="V5569" s="123"/>
      <c r="W5569" s="125"/>
      <c r="X5569" s="142" t="s">
        <v>5052</v>
      </c>
      <c r="Y5569" s="143"/>
      <c r="Z5569" s="143"/>
      <c r="AA5569" s="143"/>
      <c r="AB5569" s="144"/>
      <c r="AC5569" s="16" t="s">
        <v>21</v>
      </c>
      <c r="AD5569" s="17" t="s">
        <v>3550</v>
      </c>
      <c r="AE5569" s="145" t="s">
        <v>1670</v>
      </c>
      <c r="AF5569" s="146"/>
      <c r="AG5569" s="146"/>
      <c r="AH5569" s="146"/>
      <c r="AI5569" s="147"/>
      <c r="AJ5569" s="148"/>
      <c r="AK5569" s="143"/>
      <c r="AL5569" s="144"/>
      <c r="AM5569" s="22"/>
      <c r="AN5569" s="149" t="s">
        <v>7285</v>
      </c>
      <c r="AO5569" s="144"/>
      <c r="AP5569" s="148">
        <v>4011</v>
      </c>
      <c r="AQ5569" s="144"/>
      <c r="AR5569" s="120"/>
      <c r="AS5569" s="121"/>
      <c r="AT5569" s="120"/>
      <c r="AU5569" s="121"/>
      <c r="AV5569" s="120"/>
      <c r="AW5569" s="121"/>
      <c r="AX5569" s="120"/>
      <c r="AY5569" s="121"/>
      <c r="AZ5569" s="138"/>
    </row>
    <row r="5570" spans="1:52" ht="17.100000000000001" customHeight="1" thickTop="1">
      <c r="A5570" s="109" t="s">
        <v>16306</v>
      </c>
      <c r="B5570" s="28">
        <v>46050</v>
      </c>
      <c r="C5570" s="25">
        <v>1002</v>
      </c>
      <c r="D5570" s="13" t="s">
        <v>1697</v>
      </c>
      <c r="E5570" s="111"/>
      <c r="F5570" s="113" t="s">
        <v>16308</v>
      </c>
      <c r="G5570" s="114"/>
      <c r="H5570" s="115"/>
      <c r="I5570" s="24"/>
      <c r="J5570" s="116">
        <v>4.5</v>
      </c>
      <c r="K5570" s="118">
        <v>1310000</v>
      </c>
      <c r="L5570" s="119"/>
      <c r="M5570" s="118">
        <f t="shared" ref="M5570" si="7081">K5570*0.1</f>
        <v>131000</v>
      </c>
      <c r="N5570" s="119"/>
      <c r="O5570" s="118">
        <v>0</v>
      </c>
      <c r="P5570" s="119"/>
      <c r="Q5570" s="118">
        <v>11510</v>
      </c>
      <c r="R5570" s="119"/>
      <c r="S5570" s="118">
        <v>12100</v>
      </c>
      <c r="T5570" s="119"/>
      <c r="U5570" s="118">
        <f t="shared" ref="U5570" si="7082">SUM(K5570:T5571)</f>
        <v>1464610</v>
      </c>
      <c r="V5570" s="122"/>
      <c r="W5570" s="124"/>
      <c r="X5570" s="126" t="s">
        <v>16963</v>
      </c>
      <c r="Y5570" s="127"/>
      <c r="Z5570" s="127"/>
      <c r="AA5570" s="127"/>
      <c r="AB5570" s="128"/>
      <c r="AC5570" s="15" t="s">
        <v>20</v>
      </c>
      <c r="AD5570" s="129" t="s">
        <v>16954</v>
      </c>
      <c r="AE5570" s="130"/>
      <c r="AF5570" s="130"/>
      <c r="AG5570" s="130"/>
      <c r="AH5570" s="130"/>
      <c r="AI5570" s="131"/>
      <c r="AJ5570" s="132"/>
      <c r="AK5570" s="127"/>
      <c r="AL5570" s="128"/>
      <c r="AM5570" s="21"/>
      <c r="AN5570" s="133">
        <v>46067</v>
      </c>
      <c r="AO5570" s="134"/>
      <c r="AP5570" s="135">
        <v>1288</v>
      </c>
      <c r="AQ5570" s="136"/>
      <c r="AR5570" s="118">
        <v>1285000</v>
      </c>
      <c r="AS5570" s="119"/>
      <c r="AT5570" s="118">
        <f t="shared" ref="AT5570" si="7083">AR5570*0.1</f>
        <v>128500</v>
      </c>
      <c r="AU5570" s="119"/>
      <c r="AV5570" s="118">
        <v>11510</v>
      </c>
      <c r="AW5570" s="119"/>
      <c r="AX5570" s="118">
        <f t="shared" ref="AX5570" si="7084">SUM(AR5570:AW5570)</f>
        <v>1425010</v>
      </c>
      <c r="AY5570" s="119"/>
      <c r="AZ5570" s="137">
        <v>46070</v>
      </c>
    </row>
    <row r="5571" spans="1:52" ht="17.100000000000001" customHeight="1" thickBot="1">
      <c r="A5571" s="110"/>
      <c r="B5571" s="27" t="s">
        <v>2794</v>
      </c>
      <c r="C5571" s="27">
        <v>1194</v>
      </c>
      <c r="D5571" s="14" t="s">
        <v>2601</v>
      </c>
      <c r="E5571" s="112"/>
      <c r="F5571" s="139" t="s">
        <v>16309</v>
      </c>
      <c r="G5571" s="140"/>
      <c r="H5571" s="141"/>
      <c r="I5571" s="26">
        <v>24029</v>
      </c>
      <c r="J5571" s="117"/>
      <c r="K5571" s="120"/>
      <c r="L5571" s="121"/>
      <c r="M5571" s="120"/>
      <c r="N5571" s="121"/>
      <c r="O5571" s="120"/>
      <c r="P5571" s="121"/>
      <c r="Q5571" s="120"/>
      <c r="R5571" s="121"/>
      <c r="S5571" s="120"/>
      <c r="T5571" s="121"/>
      <c r="U5571" s="120"/>
      <c r="V5571" s="123"/>
      <c r="W5571" s="125"/>
      <c r="X5571" s="142" t="s">
        <v>6939</v>
      </c>
      <c r="Y5571" s="143"/>
      <c r="Z5571" s="143"/>
      <c r="AA5571" s="143"/>
      <c r="AB5571" s="144"/>
      <c r="AC5571" s="16" t="s">
        <v>21</v>
      </c>
      <c r="AD5571" s="17" t="s">
        <v>3550</v>
      </c>
      <c r="AE5571" s="145" t="s">
        <v>16964</v>
      </c>
      <c r="AF5571" s="146"/>
      <c r="AG5571" s="146"/>
      <c r="AH5571" s="146"/>
      <c r="AI5571" s="147"/>
      <c r="AJ5571" s="148"/>
      <c r="AK5571" s="143"/>
      <c r="AL5571" s="144"/>
      <c r="AM5571" s="22"/>
      <c r="AN5571" s="149" t="s">
        <v>2511</v>
      </c>
      <c r="AO5571" s="144"/>
      <c r="AP5571" s="148">
        <v>55022</v>
      </c>
      <c r="AQ5571" s="144"/>
      <c r="AR5571" s="120"/>
      <c r="AS5571" s="121"/>
      <c r="AT5571" s="120"/>
      <c r="AU5571" s="121"/>
      <c r="AV5571" s="120"/>
      <c r="AW5571" s="121"/>
      <c r="AX5571" s="120"/>
      <c r="AY5571" s="121"/>
      <c r="AZ5571" s="138"/>
    </row>
    <row r="5572" spans="1:52" ht="17.100000000000001" customHeight="1" thickTop="1">
      <c r="A5572" s="109" t="s">
        <v>16307</v>
      </c>
      <c r="B5572" s="28">
        <v>46050</v>
      </c>
      <c r="C5572" s="25">
        <v>1002</v>
      </c>
      <c r="D5572" s="13" t="s">
        <v>1712</v>
      </c>
      <c r="E5572" s="111"/>
      <c r="F5572" s="113" t="s">
        <v>16310</v>
      </c>
      <c r="G5572" s="114"/>
      <c r="H5572" s="115"/>
      <c r="I5572" s="24" t="s">
        <v>2526</v>
      </c>
      <c r="J5572" s="116">
        <v>3.5</v>
      </c>
      <c r="K5572" s="118">
        <v>475000</v>
      </c>
      <c r="L5572" s="119"/>
      <c r="M5572" s="118">
        <f t="shared" ref="M5572" si="7085">K5572*0.1</f>
        <v>47500</v>
      </c>
      <c r="N5572" s="119"/>
      <c r="O5572" s="118">
        <v>0</v>
      </c>
      <c r="P5572" s="119"/>
      <c r="Q5572" s="118">
        <v>8850</v>
      </c>
      <c r="R5572" s="119"/>
      <c r="S5572" s="118">
        <v>11000</v>
      </c>
      <c r="T5572" s="119"/>
      <c r="U5572" s="118">
        <f t="shared" ref="U5572" si="7086">SUM(K5572:T5573)</f>
        <v>542350</v>
      </c>
      <c r="V5572" s="122"/>
      <c r="W5572" s="124"/>
      <c r="X5572" s="126" t="s">
        <v>16312</v>
      </c>
      <c r="Y5572" s="127"/>
      <c r="Z5572" s="127"/>
      <c r="AA5572" s="127"/>
      <c r="AB5572" s="128"/>
      <c r="AC5572" s="15" t="s">
        <v>20</v>
      </c>
      <c r="AD5572" s="129"/>
      <c r="AE5572" s="130"/>
      <c r="AF5572" s="130"/>
      <c r="AG5572" s="130"/>
      <c r="AH5572" s="130"/>
      <c r="AI5572" s="131"/>
      <c r="AJ5572" s="132"/>
      <c r="AK5572" s="127"/>
      <c r="AL5572" s="128"/>
      <c r="AM5572" s="21"/>
      <c r="AN5572" s="133">
        <v>46060</v>
      </c>
      <c r="AO5572" s="134"/>
      <c r="AP5572" s="135">
        <v>1287</v>
      </c>
      <c r="AQ5572" s="136"/>
      <c r="AR5572" s="118">
        <v>505000</v>
      </c>
      <c r="AS5572" s="119"/>
      <c r="AT5572" s="118">
        <f t="shared" ref="AT5572" si="7087">AR5572*0.1</f>
        <v>50500</v>
      </c>
      <c r="AU5572" s="119"/>
      <c r="AV5572" s="118">
        <v>8860</v>
      </c>
      <c r="AW5572" s="119"/>
      <c r="AX5572" s="118">
        <f t="shared" ref="AX5572" si="7088">SUM(AR5572:AW5572)</f>
        <v>564360</v>
      </c>
      <c r="AY5572" s="119"/>
      <c r="AZ5572" s="137">
        <v>46065</v>
      </c>
    </row>
    <row r="5573" spans="1:52" ht="17.100000000000001" customHeight="1" thickBot="1">
      <c r="A5573" s="110"/>
      <c r="B5573" s="27" t="s">
        <v>2794</v>
      </c>
      <c r="C5573" s="27">
        <v>2003</v>
      </c>
      <c r="D5573" s="14" t="s">
        <v>2325</v>
      </c>
      <c r="E5573" s="112"/>
      <c r="F5573" s="139" t="s">
        <v>16311</v>
      </c>
      <c r="G5573" s="140"/>
      <c r="H5573" s="141"/>
      <c r="I5573" s="26">
        <v>39730</v>
      </c>
      <c r="J5573" s="117"/>
      <c r="K5573" s="120"/>
      <c r="L5573" s="121"/>
      <c r="M5573" s="120"/>
      <c r="N5573" s="121"/>
      <c r="O5573" s="120"/>
      <c r="P5573" s="121"/>
      <c r="Q5573" s="120"/>
      <c r="R5573" s="121"/>
      <c r="S5573" s="120"/>
      <c r="T5573" s="121"/>
      <c r="U5573" s="120"/>
      <c r="V5573" s="123"/>
      <c r="W5573" s="125"/>
      <c r="X5573" s="142" t="s">
        <v>16797</v>
      </c>
      <c r="Y5573" s="143"/>
      <c r="Z5573" s="143"/>
      <c r="AA5573" s="143"/>
      <c r="AB5573" s="144"/>
      <c r="AC5573" s="16" t="s">
        <v>21</v>
      </c>
      <c r="AD5573" s="17" t="s">
        <v>2329</v>
      </c>
      <c r="AE5573" s="145"/>
      <c r="AF5573" s="146"/>
      <c r="AG5573" s="146"/>
      <c r="AH5573" s="146"/>
      <c r="AI5573" s="147"/>
      <c r="AJ5573" s="148"/>
      <c r="AK5573" s="143"/>
      <c r="AL5573" s="144"/>
      <c r="AM5573" s="22"/>
      <c r="AN5573" s="149" t="s">
        <v>2511</v>
      </c>
      <c r="AO5573" s="144"/>
      <c r="AP5573" s="148">
        <v>60135</v>
      </c>
      <c r="AQ5573" s="144"/>
      <c r="AR5573" s="120"/>
      <c r="AS5573" s="121"/>
      <c r="AT5573" s="120"/>
      <c r="AU5573" s="121"/>
      <c r="AV5573" s="120"/>
      <c r="AW5573" s="121"/>
      <c r="AX5573" s="120"/>
      <c r="AY5573" s="121"/>
      <c r="AZ5573" s="138"/>
    </row>
    <row r="5574" spans="1:52" ht="17.100000000000001" customHeight="1" thickTop="1">
      <c r="A5574" s="109" t="s">
        <v>16320</v>
      </c>
      <c r="B5574" s="28">
        <v>46050</v>
      </c>
      <c r="C5574" s="25">
        <v>1823</v>
      </c>
      <c r="D5574" s="13" t="s">
        <v>2022</v>
      </c>
      <c r="E5574" s="111"/>
      <c r="F5574" s="113" t="s">
        <v>16323</v>
      </c>
      <c r="G5574" s="114"/>
      <c r="H5574" s="115"/>
      <c r="I5574" s="24" t="s">
        <v>1547</v>
      </c>
      <c r="J5574" s="116">
        <v>4.5</v>
      </c>
      <c r="K5574" s="118">
        <v>1265000</v>
      </c>
      <c r="L5574" s="119"/>
      <c r="M5574" s="118">
        <f t="shared" ref="M5574" si="7089">K5574*0.1</f>
        <v>126500</v>
      </c>
      <c r="N5574" s="119"/>
      <c r="O5574" s="118">
        <f>6500+650</f>
        <v>7150</v>
      </c>
      <c r="P5574" s="119"/>
      <c r="Q5574" s="118">
        <v>10190</v>
      </c>
      <c r="R5574" s="119"/>
      <c r="S5574" s="118">
        <v>18150</v>
      </c>
      <c r="T5574" s="119"/>
      <c r="U5574" s="118">
        <f t="shared" ref="U5574" si="7090">SUM(K5574:T5575)</f>
        <v>1426990</v>
      </c>
      <c r="V5574" s="122"/>
      <c r="W5574" s="124"/>
      <c r="X5574" s="126" t="s">
        <v>16325</v>
      </c>
      <c r="Y5574" s="127"/>
      <c r="Z5574" s="127"/>
      <c r="AA5574" s="127"/>
      <c r="AB5574" s="128"/>
      <c r="AC5574" s="15" t="s">
        <v>20</v>
      </c>
      <c r="AD5574" s="129" t="s">
        <v>16326</v>
      </c>
      <c r="AE5574" s="130"/>
      <c r="AF5574" s="130"/>
      <c r="AG5574" s="130"/>
      <c r="AH5574" s="130"/>
      <c r="AI5574" s="131"/>
      <c r="AJ5574" s="132"/>
      <c r="AK5574" s="127"/>
      <c r="AL5574" s="128"/>
      <c r="AM5574" s="21" t="s">
        <v>18037</v>
      </c>
      <c r="AN5574" s="133"/>
      <c r="AO5574" s="134"/>
      <c r="AP5574" s="135"/>
      <c r="AQ5574" s="136"/>
      <c r="AR5574" s="118"/>
      <c r="AS5574" s="119"/>
      <c r="AT5574" s="118">
        <f t="shared" ref="AT5574" si="7091">AR5574*0.1</f>
        <v>0</v>
      </c>
      <c r="AU5574" s="119"/>
      <c r="AV5574" s="118"/>
      <c r="AW5574" s="119"/>
      <c r="AX5574" s="118">
        <f t="shared" ref="AX5574" si="7092">SUM(AR5574:AW5574)</f>
        <v>0</v>
      </c>
      <c r="AY5574" s="119"/>
      <c r="AZ5574" s="137"/>
    </row>
    <row r="5575" spans="1:52" ht="17.100000000000001" customHeight="1" thickBot="1">
      <c r="A5575" s="110"/>
      <c r="B5575" s="27" t="s">
        <v>2559</v>
      </c>
      <c r="C5575" s="27">
        <v>30078</v>
      </c>
      <c r="D5575" s="14" t="s">
        <v>275</v>
      </c>
      <c r="E5575" s="112"/>
      <c r="F5575" s="139" t="s">
        <v>16324</v>
      </c>
      <c r="G5575" s="140"/>
      <c r="H5575" s="141"/>
      <c r="I5575" s="26">
        <v>77263</v>
      </c>
      <c r="J5575" s="117"/>
      <c r="K5575" s="120"/>
      <c r="L5575" s="121"/>
      <c r="M5575" s="120"/>
      <c r="N5575" s="121"/>
      <c r="O5575" s="120"/>
      <c r="P5575" s="121"/>
      <c r="Q5575" s="120"/>
      <c r="R5575" s="121"/>
      <c r="S5575" s="120"/>
      <c r="T5575" s="121"/>
      <c r="U5575" s="120"/>
      <c r="V5575" s="123"/>
      <c r="W5575" s="125"/>
      <c r="X5575" s="142" t="s">
        <v>16933</v>
      </c>
      <c r="Y5575" s="143"/>
      <c r="Z5575" s="143"/>
      <c r="AA5575" s="143"/>
      <c r="AB5575" s="144"/>
      <c r="AC5575" s="16" t="s">
        <v>21</v>
      </c>
      <c r="AD5575" s="17" t="s">
        <v>3801</v>
      </c>
      <c r="AE5575" s="145" t="s">
        <v>6864</v>
      </c>
      <c r="AF5575" s="146"/>
      <c r="AG5575" s="146"/>
      <c r="AH5575" s="146"/>
      <c r="AI5575" s="147"/>
      <c r="AJ5575" s="148"/>
      <c r="AK5575" s="143"/>
      <c r="AL5575" s="144"/>
      <c r="AM5575" s="22"/>
      <c r="AN5575" s="149"/>
      <c r="AO5575" s="144"/>
      <c r="AP5575" s="148"/>
      <c r="AQ5575" s="144"/>
      <c r="AR5575" s="120"/>
      <c r="AS5575" s="121"/>
      <c r="AT5575" s="120"/>
      <c r="AU5575" s="121"/>
      <c r="AV5575" s="120"/>
      <c r="AW5575" s="121"/>
      <c r="AX5575" s="120"/>
      <c r="AY5575" s="121"/>
      <c r="AZ5575" s="138"/>
    </row>
    <row r="5576" spans="1:52" ht="17.100000000000001" customHeight="1" thickTop="1">
      <c r="A5576" s="109" t="s">
        <v>16321</v>
      </c>
      <c r="B5576" s="28">
        <v>46050</v>
      </c>
      <c r="C5576" s="25">
        <v>1823</v>
      </c>
      <c r="D5576" s="13" t="s">
        <v>2059</v>
      </c>
      <c r="E5576" s="111"/>
      <c r="F5576" s="113" t="s">
        <v>1938</v>
      </c>
      <c r="G5576" s="114"/>
      <c r="H5576" s="115"/>
      <c r="I5576" s="24" t="s">
        <v>4096</v>
      </c>
      <c r="J5576" s="116">
        <v>4</v>
      </c>
      <c r="K5576" s="118">
        <v>460000</v>
      </c>
      <c r="L5576" s="119"/>
      <c r="M5576" s="118">
        <f t="shared" ref="M5576" si="7093">K5576*0.1</f>
        <v>46000</v>
      </c>
      <c r="N5576" s="119"/>
      <c r="O5576" s="118">
        <f>5700+570</f>
        <v>6270</v>
      </c>
      <c r="P5576" s="119"/>
      <c r="Q5576" s="118">
        <v>18960</v>
      </c>
      <c r="R5576" s="119"/>
      <c r="S5576" s="118">
        <v>18150</v>
      </c>
      <c r="T5576" s="119"/>
      <c r="U5576" s="118">
        <f t="shared" ref="U5576" si="7094">SUM(K5576:T5577)</f>
        <v>549380</v>
      </c>
      <c r="V5576" s="122"/>
      <c r="W5576" s="124"/>
      <c r="X5576" s="126" t="s">
        <v>16328</v>
      </c>
      <c r="Y5576" s="127"/>
      <c r="Z5576" s="127"/>
      <c r="AA5576" s="127"/>
      <c r="AB5576" s="128"/>
      <c r="AC5576" s="15" t="s">
        <v>20</v>
      </c>
      <c r="AD5576" s="129" t="s">
        <v>16329</v>
      </c>
      <c r="AE5576" s="130"/>
      <c r="AF5576" s="130"/>
      <c r="AG5576" s="130"/>
      <c r="AH5576" s="130"/>
      <c r="AI5576" s="131"/>
      <c r="AJ5576" s="132"/>
      <c r="AK5576" s="127"/>
      <c r="AL5576" s="128"/>
      <c r="AM5576" s="21" t="s">
        <v>17442</v>
      </c>
      <c r="AN5576" s="133">
        <v>46074</v>
      </c>
      <c r="AO5576" s="134"/>
      <c r="AP5576" s="135">
        <v>1289</v>
      </c>
      <c r="AQ5576" s="136"/>
      <c r="AR5576" s="118">
        <v>560000</v>
      </c>
      <c r="AS5576" s="119"/>
      <c r="AT5576" s="118">
        <f t="shared" ref="AT5576" si="7095">AR5576*0.1</f>
        <v>56000</v>
      </c>
      <c r="AU5576" s="119"/>
      <c r="AV5576" s="118">
        <v>18960</v>
      </c>
      <c r="AW5576" s="119"/>
      <c r="AX5576" s="118">
        <f t="shared" ref="AX5576" si="7096">SUM(AR5576:AW5576)</f>
        <v>634960</v>
      </c>
      <c r="AY5576" s="119"/>
      <c r="AZ5576" s="137">
        <v>46079</v>
      </c>
    </row>
    <row r="5577" spans="1:52" ht="17.100000000000001" customHeight="1" thickBot="1">
      <c r="A5577" s="110"/>
      <c r="B5577" s="27" t="s">
        <v>2559</v>
      </c>
      <c r="C5577" s="27">
        <v>38070</v>
      </c>
      <c r="D5577" s="14" t="s">
        <v>1592</v>
      </c>
      <c r="E5577" s="112"/>
      <c r="F5577" s="139" t="s">
        <v>16327</v>
      </c>
      <c r="G5577" s="140"/>
      <c r="H5577" s="141"/>
      <c r="I5577" s="26">
        <v>56403</v>
      </c>
      <c r="J5577" s="117"/>
      <c r="K5577" s="120"/>
      <c r="L5577" s="121"/>
      <c r="M5577" s="120"/>
      <c r="N5577" s="121"/>
      <c r="O5577" s="120"/>
      <c r="P5577" s="121"/>
      <c r="Q5577" s="120"/>
      <c r="R5577" s="121"/>
      <c r="S5577" s="120"/>
      <c r="T5577" s="121"/>
      <c r="U5577" s="120"/>
      <c r="V5577" s="123"/>
      <c r="W5577" s="125"/>
      <c r="X5577" s="142" t="s">
        <v>16726</v>
      </c>
      <c r="Y5577" s="143"/>
      <c r="Z5577" s="143"/>
      <c r="AA5577" s="143"/>
      <c r="AB5577" s="144"/>
      <c r="AC5577" s="16" t="s">
        <v>21</v>
      </c>
      <c r="AD5577" s="17" t="s">
        <v>2654</v>
      </c>
      <c r="AE5577" s="145" t="s">
        <v>1614</v>
      </c>
      <c r="AF5577" s="146"/>
      <c r="AG5577" s="146"/>
      <c r="AH5577" s="146"/>
      <c r="AI5577" s="147"/>
      <c r="AJ5577" s="148"/>
      <c r="AK5577" s="143"/>
      <c r="AL5577" s="144"/>
      <c r="AM5577" s="22"/>
      <c r="AN5577" s="149" t="s">
        <v>6748</v>
      </c>
      <c r="AO5577" s="144"/>
      <c r="AP5577" s="148">
        <v>80017</v>
      </c>
      <c r="AQ5577" s="144"/>
      <c r="AR5577" s="120"/>
      <c r="AS5577" s="121"/>
      <c r="AT5577" s="120"/>
      <c r="AU5577" s="121"/>
      <c r="AV5577" s="120"/>
      <c r="AW5577" s="121"/>
      <c r="AX5577" s="120"/>
      <c r="AY5577" s="121"/>
      <c r="AZ5577" s="138"/>
    </row>
    <row r="5578" spans="1:52" ht="17.100000000000001" customHeight="1" thickTop="1">
      <c r="A5578" s="109" t="s">
        <v>16322</v>
      </c>
      <c r="B5578" s="28">
        <v>46050</v>
      </c>
      <c r="C5578" s="25">
        <v>1823</v>
      </c>
      <c r="D5578" s="13" t="s">
        <v>1615</v>
      </c>
      <c r="E5578" s="111"/>
      <c r="F5578" s="113" t="s">
        <v>12289</v>
      </c>
      <c r="G5578" s="114"/>
      <c r="H5578" s="115"/>
      <c r="I5578" s="24" t="s">
        <v>4096</v>
      </c>
      <c r="J5578" s="116">
        <v>4.5</v>
      </c>
      <c r="K5578" s="118">
        <v>2165000</v>
      </c>
      <c r="L5578" s="119"/>
      <c r="M5578" s="118">
        <f t="shared" ref="M5578" si="7097">K5578*0.1</f>
        <v>216500</v>
      </c>
      <c r="N5578" s="119"/>
      <c r="O5578" s="118">
        <f>6500+650</f>
        <v>7150</v>
      </c>
      <c r="P5578" s="119"/>
      <c r="Q5578" s="118">
        <v>23410</v>
      </c>
      <c r="R5578" s="119"/>
      <c r="S5578" s="118">
        <v>18150</v>
      </c>
      <c r="T5578" s="119"/>
      <c r="U5578" s="118">
        <f t="shared" ref="U5578" si="7098">SUM(K5578:T5579)</f>
        <v>2430210</v>
      </c>
      <c r="V5578" s="122"/>
      <c r="W5578" s="124"/>
      <c r="X5578" s="126" t="s">
        <v>16331</v>
      </c>
      <c r="Y5578" s="127"/>
      <c r="Z5578" s="127"/>
      <c r="AA5578" s="127"/>
      <c r="AB5578" s="128"/>
      <c r="AC5578" s="15" t="s">
        <v>20</v>
      </c>
      <c r="AD5578" s="129"/>
      <c r="AE5578" s="130"/>
      <c r="AF5578" s="130"/>
      <c r="AG5578" s="130"/>
      <c r="AH5578" s="130"/>
      <c r="AI5578" s="131"/>
      <c r="AJ5578" s="132"/>
      <c r="AK5578" s="127"/>
      <c r="AL5578" s="128"/>
      <c r="AM5578" s="21"/>
      <c r="AN5578" s="133">
        <v>46053</v>
      </c>
      <c r="AO5578" s="134"/>
      <c r="AP5578" s="135">
        <v>1286</v>
      </c>
      <c r="AQ5578" s="136"/>
      <c r="AR5578" s="118">
        <v>2360000</v>
      </c>
      <c r="AS5578" s="119"/>
      <c r="AT5578" s="118">
        <f t="shared" ref="AT5578" si="7099">AR5578*0.1</f>
        <v>236000</v>
      </c>
      <c r="AU5578" s="119"/>
      <c r="AV5578" s="118">
        <v>23410</v>
      </c>
      <c r="AW5578" s="119"/>
      <c r="AX5578" s="118">
        <f t="shared" ref="AX5578" si="7100">SUM(AR5578:AW5578)</f>
        <v>2619410</v>
      </c>
      <c r="AY5578" s="119"/>
      <c r="AZ5578" s="137">
        <v>46056</v>
      </c>
    </row>
    <row r="5579" spans="1:52" ht="17.100000000000001" customHeight="1" thickBot="1">
      <c r="A5579" s="110"/>
      <c r="B5579" s="27" t="s">
        <v>2559</v>
      </c>
      <c r="C5579" s="27">
        <v>38142</v>
      </c>
      <c r="D5579" s="14" t="s">
        <v>275</v>
      </c>
      <c r="E5579" s="112"/>
      <c r="F5579" s="139" t="s">
        <v>16330</v>
      </c>
      <c r="G5579" s="140"/>
      <c r="H5579" s="141"/>
      <c r="I5579" s="26">
        <v>78969</v>
      </c>
      <c r="J5579" s="117"/>
      <c r="K5579" s="120"/>
      <c r="L5579" s="121"/>
      <c r="M5579" s="120"/>
      <c r="N5579" s="121"/>
      <c r="O5579" s="120"/>
      <c r="P5579" s="121"/>
      <c r="Q5579" s="120"/>
      <c r="R5579" s="121"/>
      <c r="S5579" s="120"/>
      <c r="T5579" s="121"/>
      <c r="U5579" s="120"/>
      <c r="V5579" s="123"/>
      <c r="W5579" s="125"/>
      <c r="X5579" s="142" t="s">
        <v>2321</v>
      </c>
      <c r="Y5579" s="143"/>
      <c r="Z5579" s="143"/>
      <c r="AA5579" s="143"/>
      <c r="AB5579" s="144"/>
      <c r="AC5579" s="16" t="s">
        <v>21</v>
      </c>
      <c r="AD5579" s="17" t="s">
        <v>2654</v>
      </c>
      <c r="AE5579" s="145" t="s">
        <v>171</v>
      </c>
      <c r="AF5579" s="146"/>
      <c r="AG5579" s="146"/>
      <c r="AH5579" s="146"/>
      <c r="AI5579" s="147"/>
      <c r="AJ5579" s="148"/>
      <c r="AK5579" s="143"/>
      <c r="AL5579" s="144"/>
      <c r="AM5579" s="22"/>
      <c r="AN5579" s="149" t="s">
        <v>2511</v>
      </c>
      <c r="AO5579" s="144"/>
      <c r="AP5579" s="148">
        <v>80364</v>
      </c>
      <c r="AQ5579" s="144"/>
      <c r="AR5579" s="120"/>
      <c r="AS5579" s="121"/>
      <c r="AT5579" s="120"/>
      <c r="AU5579" s="121"/>
      <c r="AV5579" s="120"/>
      <c r="AW5579" s="121"/>
      <c r="AX5579" s="120"/>
      <c r="AY5579" s="121"/>
      <c r="AZ5579" s="138"/>
    </row>
    <row r="5580" spans="1:52" ht="17.100000000000001" customHeight="1" thickTop="1">
      <c r="A5580" s="109" t="s">
        <v>16394</v>
      </c>
      <c r="B5580" s="28">
        <v>46051</v>
      </c>
      <c r="C5580" s="25">
        <v>2143</v>
      </c>
      <c r="D5580" s="13" t="s">
        <v>2654</v>
      </c>
      <c r="E5580" s="111"/>
      <c r="F5580" s="113" t="s">
        <v>3323</v>
      </c>
      <c r="G5580" s="114"/>
      <c r="H5580" s="115"/>
      <c r="I5580" s="24" t="s">
        <v>16429</v>
      </c>
      <c r="J5580" s="116">
        <v>4.5</v>
      </c>
      <c r="K5580" s="118">
        <v>924000</v>
      </c>
      <c r="L5580" s="119"/>
      <c r="M5580" s="118">
        <f t="shared" ref="M5580" si="7101">K5580*0.1</f>
        <v>92400</v>
      </c>
      <c r="N5580" s="119"/>
      <c r="O5580" s="118">
        <v>0</v>
      </c>
      <c r="P5580" s="119"/>
      <c r="Q5580" s="118">
        <v>8110</v>
      </c>
      <c r="R5580" s="119"/>
      <c r="S5580" s="118">
        <v>14300</v>
      </c>
      <c r="T5580" s="119"/>
      <c r="U5580" s="118">
        <f t="shared" ref="U5580" si="7102">SUM(K5580:T5581)</f>
        <v>1038810</v>
      </c>
      <c r="V5580" s="122"/>
      <c r="W5580" s="124"/>
      <c r="X5580" s="126" t="s">
        <v>16430</v>
      </c>
      <c r="Y5580" s="127"/>
      <c r="Z5580" s="127"/>
      <c r="AA5580" s="127"/>
      <c r="AB5580" s="128"/>
      <c r="AC5580" s="15" t="s">
        <v>20</v>
      </c>
      <c r="AD5580" s="129"/>
      <c r="AE5580" s="130"/>
      <c r="AF5580" s="130"/>
      <c r="AG5580" s="130"/>
      <c r="AH5580" s="130"/>
      <c r="AI5580" s="131"/>
      <c r="AJ5580" s="132"/>
      <c r="AK5580" s="127"/>
      <c r="AL5580" s="128"/>
      <c r="AM5580" s="21" t="s">
        <v>16992</v>
      </c>
      <c r="AN5580" s="133">
        <v>46056</v>
      </c>
      <c r="AO5580" s="134"/>
      <c r="AP5580" s="135">
        <v>1927</v>
      </c>
      <c r="AQ5580" s="136"/>
      <c r="AR5580" s="118">
        <v>988000</v>
      </c>
      <c r="AS5580" s="119"/>
      <c r="AT5580" s="118">
        <f t="shared" ref="AT5580" si="7103">AR5580*0.1</f>
        <v>98800</v>
      </c>
      <c r="AU5580" s="119"/>
      <c r="AV5580" s="118">
        <v>8110</v>
      </c>
      <c r="AW5580" s="119"/>
      <c r="AX5580" s="118">
        <f t="shared" ref="AX5580" si="7104">SUM(AR5580:AW5580)</f>
        <v>1094910</v>
      </c>
      <c r="AY5580" s="119"/>
      <c r="AZ5580" s="137">
        <v>46063</v>
      </c>
    </row>
    <row r="5581" spans="1:52" ht="17.100000000000001" customHeight="1" thickBot="1">
      <c r="A5581" s="110"/>
      <c r="B5581" s="27" t="s">
        <v>3281</v>
      </c>
      <c r="C5581" s="27">
        <v>2502</v>
      </c>
      <c r="D5581" s="14" t="s">
        <v>275</v>
      </c>
      <c r="E5581" s="112"/>
      <c r="F5581" s="139" t="s">
        <v>16403</v>
      </c>
      <c r="G5581" s="140"/>
      <c r="H5581" s="141"/>
      <c r="I5581" s="26">
        <v>53295</v>
      </c>
      <c r="J5581" s="117"/>
      <c r="K5581" s="120"/>
      <c r="L5581" s="121"/>
      <c r="M5581" s="120"/>
      <c r="N5581" s="121"/>
      <c r="O5581" s="120"/>
      <c r="P5581" s="121"/>
      <c r="Q5581" s="120"/>
      <c r="R5581" s="121"/>
      <c r="S5581" s="120"/>
      <c r="T5581" s="121"/>
      <c r="U5581" s="120"/>
      <c r="V5581" s="123"/>
      <c r="W5581" s="125"/>
      <c r="X5581" s="142" t="s">
        <v>4681</v>
      </c>
      <c r="Y5581" s="143"/>
      <c r="Z5581" s="143"/>
      <c r="AA5581" s="143"/>
      <c r="AB5581" s="144"/>
      <c r="AC5581" s="16" t="s">
        <v>21</v>
      </c>
      <c r="AD5581" s="17" t="s">
        <v>3801</v>
      </c>
      <c r="AE5581" s="145" t="s">
        <v>4091</v>
      </c>
      <c r="AF5581" s="146"/>
      <c r="AG5581" s="146"/>
      <c r="AH5581" s="146"/>
      <c r="AI5581" s="147"/>
      <c r="AJ5581" s="148"/>
      <c r="AK5581" s="143"/>
      <c r="AL5581" s="144"/>
      <c r="AM5581" s="22"/>
      <c r="AN5581" s="149" t="s">
        <v>2131</v>
      </c>
      <c r="AO5581" s="144"/>
      <c r="AP5581" s="148">
        <v>3025</v>
      </c>
      <c r="AQ5581" s="144"/>
      <c r="AR5581" s="120"/>
      <c r="AS5581" s="121"/>
      <c r="AT5581" s="120"/>
      <c r="AU5581" s="121"/>
      <c r="AV5581" s="120"/>
      <c r="AW5581" s="121"/>
      <c r="AX5581" s="120"/>
      <c r="AY5581" s="121"/>
      <c r="AZ5581" s="138"/>
    </row>
    <row r="5582" spans="1:52" ht="17.100000000000001" customHeight="1" thickTop="1">
      <c r="A5582" s="109" t="s">
        <v>16395</v>
      </c>
      <c r="B5582" s="28">
        <v>46051</v>
      </c>
      <c r="C5582" s="25">
        <v>2143</v>
      </c>
      <c r="D5582" s="13" t="s">
        <v>3014</v>
      </c>
      <c r="E5582" s="111"/>
      <c r="F5582" s="113" t="s">
        <v>16431</v>
      </c>
      <c r="G5582" s="114"/>
      <c r="H5582" s="115"/>
      <c r="I5582" s="24"/>
      <c r="J5582" s="116">
        <v>4</v>
      </c>
      <c r="K5582" s="118">
        <v>714000</v>
      </c>
      <c r="L5582" s="119"/>
      <c r="M5582" s="118">
        <f t="shared" ref="M5582" si="7105">K5582*0.1</f>
        <v>71400</v>
      </c>
      <c r="N5582" s="119"/>
      <c r="O5582" s="118">
        <v>0</v>
      </c>
      <c r="P5582" s="119"/>
      <c r="Q5582" s="118">
        <v>8640</v>
      </c>
      <c r="R5582" s="119"/>
      <c r="S5582" s="118">
        <v>14300</v>
      </c>
      <c r="T5582" s="119"/>
      <c r="U5582" s="118">
        <f t="shared" ref="U5582" si="7106">SUM(K5582:T5583)</f>
        <v>808340</v>
      </c>
      <c r="V5582" s="122"/>
      <c r="W5582" s="124"/>
      <c r="X5582" s="126" t="s">
        <v>16902</v>
      </c>
      <c r="Y5582" s="127"/>
      <c r="Z5582" s="127"/>
      <c r="AA5582" s="127"/>
      <c r="AB5582" s="128"/>
      <c r="AC5582" s="15" t="s">
        <v>20</v>
      </c>
      <c r="AD5582" s="129" t="s">
        <v>5044</v>
      </c>
      <c r="AE5582" s="130"/>
      <c r="AF5582" s="130"/>
      <c r="AG5582" s="130"/>
      <c r="AH5582" s="130"/>
      <c r="AI5582" s="131"/>
      <c r="AJ5582" s="132"/>
      <c r="AK5582" s="127"/>
      <c r="AL5582" s="128"/>
      <c r="AM5582" s="21"/>
      <c r="AN5582" s="133">
        <v>46057</v>
      </c>
      <c r="AO5582" s="134"/>
      <c r="AP5582" s="135">
        <v>1003</v>
      </c>
      <c r="AQ5582" s="136"/>
      <c r="AR5582" s="118">
        <v>810000</v>
      </c>
      <c r="AS5582" s="119"/>
      <c r="AT5582" s="118">
        <f t="shared" ref="AT5582" si="7107">AR5582*0.1</f>
        <v>81000</v>
      </c>
      <c r="AU5582" s="119"/>
      <c r="AV5582" s="118">
        <v>8640</v>
      </c>
      <c r="AW5582" s="119"/>
      <c r="AX5582" s="118">
        <f t="shared" ref="AX5582" si="7108">SUM(AR5582:AW5582)</f>
        <v>899640</v>
      </c>
      <c r="AY5582" s="119"/>
      <c r="AZ5582" s="137">
        <v>46062</v>
      </c>
    </row>
    <row r="5583" spans="1:52" ht="17.100000000000001" customHeight="1" thickBot="1">
      <c r="A5583" s="110"/>
      <c r="B5583" s="27" t="s">
        <v>3281</v>
      </c>
      <c r="C5583" s="27">
        <v>2506</v>
      </c>
      <c r="D5583" s="14" t="s">
        <v>1812</v>
      </c>
      <c r="E5583" s="112"/>
      <c r="F5583" s="139" t="s">
        <v>16404</v>
      </c>
      <c r="G5583" s="140"/>
      <c r="H5583" s="141"/>
      <c r="I5583" s="26">
        <v>46519</v>
      </c>
      <c r="J5583" s="117"/>
      <c r="K5583" s="120"/>
      <c r="L5583" s="121"/>
      <c r="M5583" s="120"/>
      <c r="N5583" s="121"/>
      <c r="O5583" s="120"/>
      <c r="P5583" s="121"/>
      <c r="Q5583" s="120"/>
      <c r="R5583" s="121"/>
      <c r="S5583" s="120"/>
      <c r="T5583" s="121"/>
      <c r="U5583" s="120"/>
      <c r="V5583" s="123"/>
      <c r="W5583" s="125"/>
      <c r="X5583" s="142" t="s">
        <v>16352</v>
      </c>
      <c r="Y5583" s="143"/>
      <c r="Z5583" s="143"/>
      <c r="AA5583" s="143"/>
      <c r="AB5583" s="144"/>
      <c r="AC5583" s="16" t="s">
        <v>21</v>
      </c>
      <c r="AD5583" s="17" t="s">
        <v>3801</v>
      </c>
      <c r="AE5583" s="145"/>
      <c r="AF5583" s="146"/>
      <c r="AG5583" s="146"/>
      <c r="AH5583" s="146"/>
      <c r="AI5583" s="147"/>
      <c r="AJ5583" s="148"/>
      <c r="AK5583" s="143"/>
      <c r="AL5583" s="144"/>
      <c r="AM5583" s="22"/>
      <c r="AN5583" s="149" t="s">
        <v>2794</v>
      </c>
      <c r="AO5583" s="144"/>
      <c r="AP5583" s="148">
        <v>5035</v>
      </c>
      <c r="AQ5583" s="144"/>
      <c r="AR5583" s="120"/>
      <c r="AS5583" s="121"/>
      <c r="AT5583" s="120"/>
      <c r="AU5583" s="121"/>
      <c r="AV5583" s="120"/>
      <c r="AW5583" s="121"/>
      <c r="AX5583" s="120"/>
      <c r="AY5583" s="121"/>
      <c r="AZ5583" s="138"/>
    </row>
    <row r="5584" spans="1:52" ht="17.100000000000001" customHeight="1" thickTop="1">
      <c r="A5584" s="109" t="s">
        <v>16396</v>
      </c>
      <c r="B5584" s="28">
        <v>46051</v>
      </c>
      <c r="C5584" s="25">
        <v>2143</v>
      </c>
      <c r="D5584" s="13" t="s">
        <v>2179</v>
      </c>
      <c r="E5584" s="111"/>
      <c r="F5584" s="113" t="s">
        <v>16432</v>
      </c>
      <c r="G5584" s="114"/>
      <c r="H5584" s="115"/>
      <c r="I5584" s="24" t="s">
        <v>1547</v>
      </c>
      <c r="J5584" s="116">
        <v>4</v>
      </c>
      <c r="K5584" s="118">
        <v>780000</v>
      </c>
      <c r="L5584" s="119"/>
      <c r="M5584" s="118">
        <f t="shared" ref="M5584" si="7109">K5584*0.1</f>
        <v>78000</v>
      </c>
      <c r="N5584" s="119"/>
      <c r="O5584" s="118">
        <v>0</v>
      </c>
      <c r="P5584" s="119"/>
      <c r="Q5584" s="118">
        <v>9200</v>
      </c>
      <c r="R5584" s="119"/>
      <c r="S5584" s="118">
        <v>14300</v>
      </c>
      <c r="T5584" s="119"/>
      <c r="U5584" s="118">
        <f t="shared" ref="U5584" si="7110">SUM(K5584:T5585)</f>
        <v>881500</v>
      </c>
      <c r="V5584" s="122"/>
      <c r="W5584" s="124"/>
      <c r="X5584" s="126" t="s">
        <v>16433</v>
      </c>
      <c r="Y5584" s="127"/>
      <c r="Z5584" s="127"/>
      <c r="AA5584" s="127"/>
      <c r="AB5584" s="128"/>
      <c r="AC5584" s="15" t="s">
        <v>20</v>
      </c>
      <c r="AD5584" s="129" t="s">
        <v>2395</v>
      </c>
      <c r="AE5584" s="130"/>
      <c r="AF5584" s="130"/>
      <c r="AG5584" s="130"/>
      <c r="AH5584" s="130"/>
      <c r="AI5584" s="131"/>
      <c r="AJ5584" s="132"/>
      <c r="AK5584" s="127"/>
      <c r="AL5584" s="128"/>
      <c r="AM5584" s="21" t="s">
        <v>18030</v>
      </c>
      <c r="AN5584" s="133">
        <v>46071</v>
      </c>
      <c r="AO5584" s="134"/>
      <c r="AP5584" s="135">
        <v>1005</v>
      </c>
      <c r="AQ5584" s="136"/>
      <c r="AR5584" s="118">
        <v>850000</v>
      </c>
      <c r="AS5584" s="119"/>
      <c r="AT5584" s="118">
        <f t="shared" ref="AT5584" si="7111">AR5584*0.1</f>
        <v>85000</v>
      </c>
      <c r="AU5584" s="119"/>
      <c r="AV5584" s="118">
        <v>9200</v>
      </c>
      <c r="AW5584" s="119"/>
      <c r="AX5584" s="118">
        <f t="shared" ref="AX5584" si="7112">SUM(AR5584:AW5584)</f>
        <v>944200</v>
      </c>
      <c r="AY5584" s="119"/>
      <c r="AZ5584" s="137">
        <v>46073</v>
      </c>
    </row>
    <row r="5585" spans="1:52" ht="17.100000000000001" customHeight="1" thickBot="1">
      <c r="A5585" s="110"/>
      <c r="B5585" s="27" t="s">
        <v>3281</v>
      </c>
      <c r="C5585" s="27">
        <v>2515</v>
      </c>
      <c r="D5585" s="14" t="s">
        <v>2040</v>
      </c>
      <c r="E5585" s="112"/>
      <c r="F5585" s="139" t="s">
        <v>16405</v>
      </c>
      <c r="G5585" s="140"/>
      <c r="H5585" s="141"/>
      <c r="I5585" s="26">
        <v>45650</v>
      </c>
      <c r="J5585" s="117"/>
      <c r="K5585" s="120"/>
      <c r="L5585" s="121"/>
      <c r="M5585" s="120"/>
      <c r="N5585" s="121"/>
      <c r="O5585" s="120"/>
      <c r="P5585" s="121"/>
      <c r="Q5585" s="120"/>
      <c r="R5585" s="121"/>
      <c r="S5585" s="120"/>
      <c r="T5585" s="121"/>
      <c r="U5585" s="120"/>
      <c r="V5585" s="123"/>
      <c r="W5585" s="125"/>
      <c r="X5585" s="142" t="s">
        <v>16787</v>
      </c>
      <c r="Y5585" s="143"/>
      <c r="Z5585" s="143"/>
      <c r="AA5585" s="143"/>
      <c r="AB5585" s="144"/>
      <c r="AC5585" s="16" t="s">
        <v>21</v>
      </c>
      <c r="AD5585" s="17" t="s">
        <v>2329</v>
      </c>
      <c r="AE5585" s="145" t="s">
        <v>7841</v>
      </c>
      <c r="AF5585" s="146"/>
      <c r="AG5585" s="146"/>
      <c r="AH5585" s="146"/>
      <c r="AI5585" s="147"/>
      <c r="AJ5585" s="148"/>
      <c r="AK5585" s="143"/>
      <c r="AL5585" s="144"/>
      <c r="AM5585" s="22"/>
      <c r="AN5585" s="149" t="s">
        <v>2794</v>
      </c>
      <c r="AO5585" s="144"/>
      <c r="AP5585" s="148">
        <v>2031</v>
      </c>
      <c r="AQ5585" s="144"/>
      <c r="AR5585" s="120"/>
      <c r="AS5585" s="121"/>
      <c r="AT5585" s="120"/>
      <c r="AU5585" s="121"/>
      <c r="AV5585" s="120"/>
      <c r="AW5585" s="121"/>
      <c r="AX5585" s="120"/>
      <c r="AY5585" s="121"/>
      <c r="AZ5585" s="138"/>
    </row>
    <row r="5586" spans="1:52" ht="17.100000000000001" customHeight="1" thickTop="1">
      <c r="A5586" s="109" t="s">
        <v>16397</v>
      </c>
      <c r="B5586" s="28">
        <v>46051</v>
      </c>
      <c r="C5586" s="25">
        <v>2143</v>
      </c>
      <c r="D5586" s="13" t="s">
        <v>1752</v>
      </c>
      <c r="E5586" s="111"/>
      <c r="F5586" s="113" t="s">
        <v>16434</v>
      </c>
      <c r="G5586" s="114"/>
      <c r="H5586" s="115"/>
      <c r="I5586" s="24" t="s">
        <v>10659</v>
      </c>
      <c r="J5586" s="150" t="s">
        <v>1715</v>
      </c>
      <c r="K5586" s="118">
        <v>808000</v>
      </c>
      <c r="L5586" s="119"/>
      <c r="M5586" s="118">
        <f t="shared" ref="M5586" si="7113">K5586*0.1</f>
        <v>80800</v>
      </c>
      <c r="N5586" s="119"/>
      <c r="O5586" s="118">
        <v>0</v>
      </c>
      <c r="P5586" s="119"/>
      <c r="Q5586" s="118">
        <v>8990</v>
      </c>
      <c r="R5586" s="119"/>
      <c r="S5586" s="118">
        <v>14300</v>
      </c>
      <c r="T5586" s="119"/>
      <c r="U5586" s="118">
        <f t="shared" ref="U5586" si="7114">SUM(K5586:T5587)</f>
        <v>912090</v>
      </c>
      <c r="V5586" s="122"/>
      <c r="W5586" s="124"/>
      <c r="X5586" s="126" t="s">
        <v>16435</v>
      </c>
      <c r="Y5586" s="127"/>
      <c r="Z5586" s="127"/>
      <c r="AA5586" s="127"/>
      <c r="AB5586" s="128"/>
      <c r="AC5586" s="15" t="s">
        <v>20</v>
      </c>
      <c r="AD5586" s="129" t="s">
        <v>16436</v>
      </c>
      <c r="AE5586" s="130"/>
      <c r="AF5586" s="130"/>
      <c r="AG5586" s="130"/>
      <c r="AH5586" s="130"/>
      <c r="AI5586" s="131"/>
      <c r="AJ5586" s="132"/>
      <c r="AK5586" s="127"/>
      <c r="AL5586" s="128"/>
      <c r="AM5586" s="21" t="s">
        <v>17755</v>
      </c>
      <c r="AN5586" s="133">
        <v>46064</v>
      </c>
      <c r="AO5586" s="134"/>
      <c r="AP5586" s="135">
        <v>1004</v>
      </c>
      <c r="AQ5586" s="136"/>
      <c r="AR5586" s="118">
        <v>880000</v>
      </c>
      <c r="AS5586" s="119"/>
      <c r="AT5586" s="118">
        <f t="shared" ref="AT5586" si="7115">AR5586*0.1</f>
        <v>88000</v>
      </c>
      <c r="AU5586" s="119"/>
      <c r="AV5586" s="118">
        <v>8990</v>
      </c>
      <c r="AW5586" s="119"/>
      <c r="AX5586" s="118">
        <f t="shared" ref="AX5586" si="7116">SUM(AR5586:AW5586)</f>
        <v>976990</v>
      </c>
      <c r="AY5586" s="119"/>
      <c r="AZ5586" s="137">
        <v>46070</v>
      </c>
    </row>
    <row r="5587" spans="1:52" ht="17.100000000000001" customHeight="1" thickBot="1">
      <c r="A5587" s="110"/>
      <c r="B5587" s="27" t="s">
        <v>3281</v>
      </c>
      <c r="C5587" s="27">
        <v>2571</v>
      </c>
      <c r="D5587" s="14" t="s">
        <v>1592</v>
      </c>
      <c r="E5587" s="112"/>
      <c r="F5587" s="139" t="s">
        <v>16406</v>
      </c>
      <c r="G5587" s="140"/>
      <c r="H5587" s="141"/>
      <c r="I5587" s="26">
        <v>39210</v>
      </c>
      <c r="J5587" s="117"/>
      <c r="K5587" s="120"/>
      <c r="L5587" s="121"/>
      <c r="M5587" s="120"/>
      <c r="N5587" s="121"/>
      <c r="O5587" s="120"/>
      <c r="P5587" s="121"/>
      <c r="Q5587" s="120"/>
      <c r="R5587" s="121"/>
      <c r="S5587" s="120"/>
      <c r="T5587" s="121"/>
      <c r="U5587" s="120"/>
      <c r="V5587" s="123"/>
      <c r="W5587" s="125"/>
      <c r="X5587" s="142" t="s">
        <v>16786</v>
      </c>
      <c r="Y5587" s="143"/>
      <c r="Z5587" s="143"/>
      <c r="AA5587" s="143"/>
      <c r="AB5587" s="144"/>
      <c r="AC5587" s="16" t="s">
        <v>21</v>
      </c>
      <c r="AD5587" s="17" t="s">
        <v>2329</v>
      </c>
      <c r="AE5587" s="145"/>
      <c r="AF5587" s="146"/>
      <c r="AG5587" s="146"/>
      <c r="AH5587" s="146"/>
      <c r="AI5587" s="147"/>
      <c r="AJ5587" s="148"/>
      <c r="AK5587" s="143"/>
      <c r="AL5587" s="144"/>
      <c r="AM5587" s="22"/>
      <c r="AN5587" s="149" t="s">
        <v>2794</v>
      </c>
      <c r="AO5587" s="144"/>
      <c r="AP5587" s="148">
        <v>2028</v>
      </c>
      <c r="AQ5587" s="144"/>
      <c r="AR5587" s="120"/>
      <c r="AS5587" s="121"/>
      <c r="AT5587" s="120"/>
      <c r="AU5587" s="121"/>
      <c r="AV5587" s="120"/>
      <c r="AW5587" s="121"/>
      <c r="AX5587" s="120"/>
      <c r="AY5587" s="121"/>
      <c r="AZ5587" s="138"/>
    </row>
    <row r="5588" spans="1:52" ht="17.100000000000001" customHeight="1" thickTop="1">
      <c r="A5588" s="109" t="s">
        <v>16398</v>
      </c>
      <c r="B5588" s="28">
        <v>46051</v>
      </c>
      <c r="C5588" s="25">
        <v>2143</v>
      </c>
      <c r="D5588" s="13" t="s">
        <v>2477</v>
      </c>
      <c r="E5588" s="111"/>
      <c r="F5588" s="113" t="s">
        <v>8009</v>
      </c>
      <c r="G5588" s="114"/>
      <c r="H5588" s="115"/>
      <c r="I5588" s="24" t="s">
        <v>16437</v>
      </c>
      <c r="J5588" s="116">
        <v>5</v>
      </c>
      <c r="K5588" s="118">
        <v>1619000</v>
      </c>
      <c r="L5588" s="119"/>
      <c r="M5588" s="118">
        <f t="shared" ref="M5588" si="7117">K5588*0.1</f>
        <v>161900</v>
      </c>
      <c r="N5588" s="119"/>
      <c r="O5588" s="118">
        <v>0</v>
      </c>
      <c r="P5588" s="119"/>
      <c r="Q5588" s="118">
        <v>7230</v>
      </c>
      <c r="R5588" s="119"/>
      <c r="S5588" s="118">
        <v>14300</v>
      </c>
      <c r="T5588" s="119"/>
      <c r="U5588" s="118">
        <f t="shared" ref="U5588" si="7118">SUM(K5588:T5589)</f>
        <v>1802430</v>
      </c>
      <c r="V5588" s="122"/>
      <c r="W5588" s="124"/>
      <c r="X5588" s="126" t="s">
        <v>16438</v>
      </c>
      <c r="Y5588" s="127"/>
      <c r="Z5588" s="127"/>
      <c r="AA5588" s="127"/>
      <c r="AB5588" s="128"/>
      <c r="AC5588" s="15" t="s">
        <v>20</v>
      </c>
      <c r="AD5588" s="129" t="s">
        <v>16439</v>
      </c>
      <c r="AE5588" s="130"/>
      <c r="AF5588" s="130"/>
      <c r="AG5588" s="130"/>
      <c r="AH5588" s="130"/>
      <c r="AI5588" s="131"/>
      <c r="AJ5588" s="132"/>
      <c r="AK5588" s="127"/>
      <c r="AL5588" s="128"/>
      <c r="AM5588" s="21" t="s">
        <v>16810</v>
      </c>
      <c r="AN5588" s="133">
        <v>46056</v>
      </c>
      <c r="AO5588" s="134"/>
      <c r="AP5588" s="135">
        <v>1927</v>
      </c>
      <c r="AQ5588" s="136"/>
      <c r="AR5588" s="118">
        <v>1673000</v>
      </c>
      <c r="AS5588" s="119"/>
      <c r="AT5588" s="118">
        <f t="shared" ref="AT5588" si="7119">AR5588*0.1</f>
        <v>167300</v>
      </c>
      <c r="AU5588" s="119"/>
      <c r="AV5588" s="118">
        <v>7230</v>
      </c>
      <c r="AW5588" s="119"/>
      <c r="AX5588" s="118">
        <f t="shared" ref="AX5588" si="7120">SUM(AR5588:AW5588)</f>
        <v>1847530</v>
      </c>
      <c r="AY5588" s="119"/>
      <c r="AZ5588" s="137">
        <v>46063</v>
      </c>
    </row>
    <row r="5589" spans="1:52" ht="17.100000000000001" customHeight="1" thickBot="1">
      <c r="A5589" s="110"/>
      <c r="B5589" s="27" t="s">
        <v>3281</v>
      </c>
      <c r="C5589" s="27">
        <v>2576</v>
      </c>
      <c r="D5589" s="14" t="s">
        <v>275</v>
      </c>
      <c r="E5589" s="112"/>
      <c r="F5589" s="139" t="s">
        <v>16407</v>
      </c>
      <c r="G5589" s="140"/>
      <c r="H5589" s="141"/>
      <c r="I5589" s="26">
        <v>12882</v>
      </c>
      <c r="J5589" s="117"/>
      <c r="K5589" s="120"/>
      <c r="L5589" s="121"/>
      <c r="M5589" s="120"/>
      <c r="N5589" s="121"/>
      <c r="O5589" s="120"/>
      <c r="P5589" s="121"/>
      <c r="Q5589" s="120"/>
      <c r="R5589" s="121"/>
      <c r="S5589" s="120"/>
      <c r="T5589" s="121"/>
      <c r="U5589" s="120"/>
      <c r="V5589" s="123"/>
      <c r="W5589" s="125"/>
      <c r="X5589" s="142" t="s">
        <v>16773</v>
      </c>
      <c r="Y5589" s="143"/>
      <c r="Z5589" s="143"/>
      <c r="AA5589" s="143"/>
      <c r="AB5589" s="144"/>
      <c r="AC5589" s="16" t="s">
        <v>21</v>
      </c>
      <c r="AD5589" s="17" t="s">
        <v>2329</v>
      </c>
      <c r="AE5589" s="145" t="s">
        <v>171</v>
      </c>
      <c r="AF5589" s="146"/>
      <c r="AG5589" s="146"/>
      <c r="AH5589" s="146"/>
      <c r="AI5589" s="147"/>
      <c r="AJ5589" s="148"/>
      <c r="AK5589" s="143"/>
      <c r="AL5589" s="144"/>
      <c r="AM5589" s="22"/>
      <c r="AN5589" s="149" t="s">
        <v>2131</v>
      </c>
      <c r="AO5589" s="144"/>
      <c r="AP5589" s="148">
        <v>3177</v>
      </c>
      <c r="AQ5589" s="144"/>
      <c r="AR5589" s="120"/>
      <c r="AS5589" s="121"/>
      <c r="AT5589" s="120"/>
      <c r="AU5589" s="121"/>
      <c r="AV5589" s="120"/>
      <c r="AW5589" s="121"/>
      <c r="AX5589" s="120"/>
      <c r="AY5589" s="121"/>
      <c r="AZ5589" s="138"/>
    </row>
    <row r="5590" spans="1:52" ht="17.100000000000001" customHeight="1" thickTop="1">
      <c r="A5590" s="109" t="s">
        <v>16399</v>
      </c>
      <c r="B5590" s="28">
        <v>46051</v>
      </c>
      <c r="C5590" s="25">
        <v>2143</v>
      </c>
      <c r="D5590" s="13" t="s">
        <v>2814</v>
      </c>
      <c r="E5590" s="111"/>
      <c r="F5590" s="113" t="s">
        <v>16440</v>
      </c>
      <c r="G5590" s="114"/>
      <c r="H5590" s="115"/>
      <c r="I5590" s="24"/>
      <c r="J5590" s="116">
        <v>4</v>
      </c>
      <c r="K5590" s="118">
        <v>698000</v>
      </c>
      <c r="L5590" s="119"/>
      <c r="M5590" s="118">
        <f t="shared" ref="M5590" si="7121">K5590*0.1</f>
        <v>69800</v>
      </c>
      <c r="N5590" s="119"/>
      <c r="O5590" s="118">
        <v>0</v>
      </c>
      <c r="P5590" s="119"/>
      <c r="Q5590" s="118">
        <v>8790</v>
      </c>
      <c r="R5590" s="119"/>
      <c r="S5590" s="118">
        <v>14300</v>
      </c>
      <c r="T5590" s="119"/>
      <c r="U5590" s="118">
        <f t="shared" ref="U5590" si="7122">SUM(K5590:T5591)</f>
        <v>790890</v>
      </c>
      <c r="V5590" s="122"/>
      <c r="W5590" s="124"/>
      <c r="X5590" s="126" t="s">
        <v>16785</v>
      </c>
      <c r="Y5590" s="127"/>
      <c r="Z5590" s="127"/>
      <c r="AA5590" s="127"/>
      <c r="AB5590" s="128"/>
      <c r="AC5590" s="15" t="s">
        <v>20</v>
      </c>
      <c r="AD5590" s="129"/>
      <c r="AE5590" s="130"/>
      <c r="AF5590" s="130"/>
      <c r="AG5590" s="130"/>
      <c r="AH5590" s="130"/>
      <c r="AI5590" s="131"/>
      <c r="AJ5590" s="132"/>
      <c r="AK5590" s="127"/>
      <c r="AL5590" s="128"/>
      <c r="AM5590" s="21"/>
      <c r="AN5590" s="133">
        <v>46057</v>
      </c>
      <c r="AO5590" s="134"/>
      <c r="AP5590" s="135">
        <v>1003</v>
      </c>
      <c r="AQ5590" s="136"/>
      <c r="AR5590" s="118">
        <v>735000</v>
      </c>
      <c r="AS5590" s="119"/>
      <c r="AT5590" s="118">
        <f t="shared" ref="AT5590" si="7123">AR5590*0.1</f>
        <v>73500</v>
      </c>
      <c r="AU5590" s="119"/>
      <c r="AV5590" s="118">
        <v>8790</v>
      </c>
      <c r="AW5590" s="119"/>
      <c r="AX5590" s="118">
        <f t="shared" ref="AX5590" si="7124">SUM(AR5590:AW5590)</f>
        <v>817290</v>
      </c>
      <c r="AY5590" s="119"/>
      <c r="AZ5590" s="137">
        <v>46062</v>
      </c>
    </row>
    <row r="5591" spans="1:52" ht="17.100000000000001" customHeight="1" thickBot="1">
      <c r="A5591" s="110"/>
      <c r="B5591" s="27" t="s">
        <v>3281</v>
      </c>
      <c r="C5591" s="27">
        <v>2585</v>
      </c>
      <c r="D5591" s="14" t="s">
        <v>904</v>
      </c>
      <c r="E5591" s="112"/>
      <c r="F5591" s="139" t="s">
        <v>16408</v>
      </c>
      <c r="G5591" s="140"/>
      <c r="H5591" s="141"/>
      <c r="I5591" s="26">
        <v>34878</v>
      </c>
      <c r="J5591" s="117"/>
      <c r="K5591" s="120"/>
      <c r="L5591" s="121"/>
      <c r="M5591" s="120"/>
      <c r="N5591" s="121"/>
      <c r="O5591" s="120"/>
      <c r="P5591" s="121"/>
      <c r="Q5591" s="120"/>
      <c r="R5591" s="121"/>
      <c r="S5591" s="120"/>
      <c r="T5591" s="121"/>
      <c r="U5591" s="120"/>
      <c r="V5591" s="123"/>
      <c r="W5591" s="125"/>
      <c r="X5591" s="142" t="s">
        <v>2440</v>
      </c>
      <c r="Y5591" s="143"/>
      <c r="Z5591" s="143"/>
      <c r="AA5591" s="143"/>
      <c r="AB5591" s="144"/>
      <c r="AC5591" s="16" t="s">
        <v>21</v>
      </c>
      <c r="AD5591" s="17" t="s">
        <v>2329</v>
      </c>
      <c r="AE5591" s="145"/>
      <c r="AF5591" s="146"/>
      <c r="AG5591" s="146"/>
      <c r="AH5591" s="146"/>
      <c r="AI5591" s="147"/>
      <c r="AJ5591" s="148"/>
      <c r="AK5591" s="143"/>
      <c r="AL5591" s="144"/>
      <c r="AM5591" s="22"/>
      <c r="AN5591" s="149" t="s">
        <v>2794</v>
      </c>
      <c r="AO5591" s="144"/>
      <c r="AP5591" s="148">
        <v>5043</v>
      </c>
      <c r="AQ5591" s="144"/>
      <c r="AR5591" s="120"/>
      <c r="AS5591" s="121"/>
      <c r="AT5591" s="120"/>
      <c r="AU5591" s="121"/>
      <c r="AV5591" s="120"/>
      <c r="AW5591" s="121"/>
      <c r="AX5591" s="120"/>
      <c r="AY5591" s="121"/>
      <c r="AZ5591" s="138"/>
    </row>
    <row r="5592" spans="1:52" ht="17.100000000000001" customHeight="1" thickTop="1">
      <c r="A5592" s="109" t="s">
        <v>16400</v>
      </c>
      <c r="B5592" s="28">
        <v>46051</v>
      </c>
      <c r="C5592" s="25">
        <v>2143</v>
      </c>
      <c r="D5592" s="13" t="s">
        <v>1697</v>
      </c>
      <c r="E5592" s="111"/>
      <c r="F5592" s="113" t="s">
        <v>4026</v>
      </c>
      <c r="G5592" s="114"/>
      <c r="H5592" s="115"/>
      <c r="I5592" s="24"/>
      <c r="J5592" s="116">
        <v>4.5</v>
      </c>
      <c r="K5592" s="118">
        <v>1154000</v>
      </c>
      <c r="L5592" s="119"/>
      <c r="M5592" s="118">
        <f t="shared" ref="M5592" si="7125">K5592*0.1</f>
        <v>115400</v>
      </c>
      <c r="N5592" s="119"/>
      <c r="O5592" s="118">
        <v>0</v>
      </c>
      <c r="P5592" s="119"/>
      <c r="Q5592" s="118">
        <v>6850</v>
      </c>
      <c r="R5592" s="119"/>
      <c r="S5592" s="118">
        <v>14300</v>
      </c>
      <c r="T5592" s="119"/>
      <c r="U5592" s="118">
        <f t="shared" ref="U5592" si="7126">SUM(K5592:T5593)</f>
        <v>1290550</v>
      </c>
      <c r="V5592" s="122"/>
      <c r="W5592" s="124"/>
      <c r="X5592" s="126" t="s">
        <v>16777</v>
      </c>
      <c r="Y5592" s="127"/>
      <c r="Z5592" s="127"/>
      <c r="AA5592" s="127"/>
      <c r="AB5592" s="128"/>
      <c r="AC5592" s="15" t="s">
        <v>20</v>
      </c>
      <c r="AD5592" s="129" t="s">
        <v>16774</v>
      </c>
      <c r="AE5592" s="130"/>
      <c r="AF5592" s="130"/>
      <c r="AG5592" s="130"/>
      <c r="AH5592" s="130"/>
      <c r="AI5592" s="131"/>
      <c r="AJ5592" s="132"/>
      <c r="AK5592" s="127"/>
      <c r="AL5592" s="128"/>
      <c r="AM5592" s="21"/>
      <c r="AN5592" s="133">
        <v>46056</v>
      </c>
      <c r="AO5592" s="134"/>
      <c r="AP5592" s="135">
        <v>1927</v>
      </c>
      <c r="AQ5592" s="136"/>
      <c r="AR5592" s="118">
        <v>1236000</v>
      </c>
      <c r="AS5592" s="119"/>
      <c r="AT5592" s="118">
        <f t="shared" ref="AT5592" si="7127">AR5592*0.1</f>
        <v>123600</v>
      </c>
      <c r="AU5592" s="119"/>
      <c r="AV5592" s="118">
        <v>6850</v>
      </c>
      <c r="AW5592" s="119"/>
      <c r="AX5592" s="118">
        <f t="shared" ref="AX5592" si="7128">SUM(AR5592:AW5592)</f>
        <v>1366450</v>
      </c>
      <c r="AY5592" s="119"/>
      <c r="AZ5592" s="137">
        <v>46063</v>
      </c>
    </row>
    <row r="5593" spans="1:52" ht="17.100000000000001" customHeight="1" thickBot="1">
      <c r="A5593" s="110"/>
      <c r="B5593" s="27" t="s">
        <v>3281</v>
      </c>
      <c r="C5593" s="27">
        <v>2586</v>
      </c>
      <c r="D5593" s="14" t="s">
        <v>275</v>
      </c>
      <c r="E5593" s="112"/>
      <c r="F5593" s="139" t="s">
        <v>16409</v>
      </c>
      <c r="G5593" s="140"/>
      <c r="H5593" s="141"/>
      <c r="I5593" s="26">
        <v>2214</v>
      </c>
      <c r="J5593" s="117"/>
      <c r="K5593" s="120"/>
      <c r="L5593" s="121"/>
      <c r="M5593" s="120"/>
      <c r="N5593" s="121"/>
      <c r="O5593" s="120"/>
      <c r="P5593" s="121"/>
      <c r="Q5593" s="120"/>
      <c r="R5593" s="121"/>
      <c r="S5593" s="120"/>
      <c r="T5593" s="121"/>
      <c r="U5593" s="120"/>
      <c r="V5593" s="123"/>
      <c r="W5593" s="125"/>
      <c r="X5593" s="142" t="s">
        <v>2440</v>
      </c>
      <c r="Y5593" s="143"/>
      <c r="Z5593" s="143"/>
      <c r="AA5593" s="143"/>
      <c r="AB5593" s="144"/>
      <c r="AC5593" s="16" t="s">
        <v>21</v>
      </c>
      <c r="AD5593" s="17" t="s">
        <v>2329</v>
      </c>
      <c r="AE5593" s="145"/>
      <c r="AF5593" s="146"/>
      <c r="AG5593" s="146"/>
      <c r="AH5593" s="146"/>
      <c r="AI5593" s="147"/>
      <c r="AJ5593" s="148"/>
      <c r="AK5593" s="143"/>
      <c r="AL5593" s="144"/>
      <c r="AM5593" s="22"/>
      <c r="AN5593" s="149" t="s">
        <v>2131</v>
      </c>
      <c r="AO5593" s="144"/>
      <c r="AP5593" s="148">
        <v>3191</v>
      </c>
      <c r="AQ5593" s="144"/>
      <c r="AR5593" s="120"/>
      <c r="AS5593" s="121"/>
      <c r="AT5593" s="120"/>
      <c r="AU5593" s="121"/>
      <c r="AV5593" s="120"/>
      <c r="AW5593" s="121"/>
      <c r="AX5593" s="120"/>
      <c r="AY5593" s="121"/>
      <c r="AZ5593" s="138"/>
    </row>
    <row r="5594" spans="1:52" ht="17.100000000000001" customHeight="1" thickTop="1">
      <c r="A5594" s="109" t="s">
        <v>16401</v>
      </c>
      <c r="B5594" s="28">
        <v>46051</v>
      </c>
      <c r="C5594" s="25">
        <v>2143</v>
      </c>
      <c r="D5594" s="13" t="s">
        <v>2963</v>
      </c>
      <c r="E5594" s="111"/>
      <c r="F5594" s="113" t="s">
        <v>16442</v>
      </c>
      <c r="G5594" s="114"/>
      <c r="H5594" s="115"/>
      <c r="I5594" s="24"/>
      <c r="J5594" s="116">
        <v>4.5</v>
      </c>
      <c r="K5594" s="118">
        <v>1028000</v>
      </c>
      <c r="L5594" s="119"/>
      <c r="M5594" s="118">
        <f t="shared" ref="M5594" si="7129">K5594*0.1</f>
        <v>102800</v>
      </c>
      <c r="N5594" s="119"/>
      <c r="O5594" s="118">
        <v>0</v>
      </c>
      <c r="P5594" s="119"/>
      <c r="Q5594" s="118">
        <v>7040</v>
      </c>
      <c r="R5594" s="119"/>
      <c r="S5594" s="118">
        <v>14300</v>
      </c>
      <c r="T5594" s="119"/>
      <c r="U5594" s="118">
        <f t="shared" ref="U5594" si="7130">SUM(K5594:T5595)</f>
        <v>1152140</v>
      </c>
      <c r="V5594" s="122"/>
      <c r="W5594" s="124"/>
      <c r="X5594" s="126" t="s">
        <v>16776</v>
      </c>
      <c r="Y5594" s="127"/>
      <c r="Z5594" s="127"/>
      <c r="AA5594" s="127"/>
      <c r="AB5594" s="128"/>
      <c r="AC5594" s="15" t="s">
        <v>20</v>
      </c>
      <c r="AD5594" s="129" t="s">
        <v>16775</v>
      </c>
      <c r="AE5594" s="130"/>
      <c r="AF5594" s="130"/>
      <c r="AG5594" s="130"/>
      <c r="AH5594" s="130"/>
      <c r="AI5594" s="131"/>
      <c r="AJ5594" s="132"/>
      <c r="AK5594" s="127"/>
      <c r="AL5594" s="128"/>
      <c r="AM5594" s="21"/>
      <c r="AN5594" s="133">
        <v>46056</v>
      </c>
      <c r="AO5594" s="134"/>
      <c r="AP5594" s="135">
        <v>1927</v>
      </c>
      <c r="AQ5594" s="136"/>
      <c r="AR5594" s="118">
        <v>1097000</v>
      </c>
      <c r="AS5594" s="119"/>
      <c r="AT5594" s="118">
        <f t="shared" ref="AT5594" si="7131">AR5594*0.1</f>
        <v>109700</v>
      </c>
      <c r="AU5594" s="119"/>
      <c r="AV5594" s="118">
        <v>7040</v>
      </c>
      <c r="AW5594" s="119"/>
      <c r="AX5594" s="118">
        <f t="shared" ref="AX5594" si="7132">SUM(AR5594:AW5594)</f>
        <v>1213740</v>
      </c>
      <c r="AY5594" s="119"/>
      <c r="AZ5594" s="137">
        <v>46063</v>
      </c>
    </row>
    <row r="5595" spans="1:52" ht="17.100000000000001" customHeight="1" thickBot="1">
      <c r="A5595" s="110"/>
      <c r="B5595" s="27" t="s">
        <v>3281</v>
      </c>
      <c r="C5595" s="27">
        <v>2587</v>
      </c>
      <c r="D5595" s="14" t="s">
        <v>16441</v>
      </c>
      <c r="E5595" s="112"/>
      <c r="F5595" s="139" t="s">
        <v>16410</v>
      </c>
      <c r="G5595" s="140"/>
      <c r="H5595" s="141"/>
      <c r="I5595" s="26">
        <v>39547</v>
      </c>
      <c r="J5595" s="117"/>
      <c r="K5595" s="120"/>
      <c r="L5595" s="121"/>
      <c r="M5595" s="120"/>
      <c r="N5595" s="121"/>
      <c r="O5595" s="120"/>
      <c r="P5595" s="121"/>
      <c r="Q5595" s="120"/>
      <c r="R5595" s="121"/>
      <c r="S5595" s="120"/>
      <c r="T5595" s="121"/>
      <c r="U5595" s="120"/>
      <c r="V5595" s="123"/>
      <c r="W5595" s="125"/>
      <c r="X5595" s="142" t="s">
        <v>2440</v>
      </c>
      <c r="Y5595" s="143"/>
      <c r="Z5595" s="143"/>
      <c r="AA5595" s="143"/>
      <c r="AB5595" s="144"/>
      <c r="AC5595" s="16" t="s">
        <v>21</v>
      </c>
      <c r="AD5595" s="17" t="s">
        <v>2329</v>
      </c>
      <c r="AE5595" s="145"/>
      <c r="AF5595" s="146"/>
      <c r="AG5595" s="146"/>
      <c r="AH5595" s="146"/>
      <c r="AI5595" s="147"/>
      <c r="AJ5595" s="148"/>
      <c r="AK5595" s="143"/>
      <c r="AL5595" s="144"/>
      <c r="AM5595" s="22"/>
      <c r="AN5595" s="149" t="s">
        <v>2131</v>
      </c>
      <c r="AO5595" s="144"/>
      <c r="AP5595" s="148">
        <v>3199</v>
      </c>
      <c r="AQ5595" s="144"/>
      <c r="AR5595" s="120"/>
      <c r="AS5595" s="121"/>
      <c r="AT5595" s="120"/>
      <c r="AU5595" s="121"/>
      <c r="AV5595" s="120"/>
      <c r="AW5595" s="121"/>
      <c r="AX5595" s="120"/>
      <c r="AY5595" s="121"/>
      <c r="AZ5595" s="138"/>
    </row>
    <row r="5596" spans="1:52" ht="17.100000000000001" customHeight="1" thickTop="1">
      <c r="A5596" s="109" t="s">
        <v>16402</v>
      </c>
      <c r="B5596" s="28">
        <v>46051</v>
      </c>
      <c r="C5596" s="25">
        <v>2143</v>
      </c>
      <c r="D5596" s="13" t="s">
        <v>1714</v>
      </c>
      <c r="E5596" s="111"/>
      <c r="F5596" s="113" t="s">
        <v>4026</v>
      </c>
      <c r="G5596" s="114"/>
      <c r="H5596" s="115"/>
      <c r="I5596" s="24"/>
      <c r="J5596" s="116">
        <v>4.5</v>
      </c>
      <c r="K5596" s="118">
        <v>1007000</v>
      </c>
      <c r="L5596" s="119"/>
      <c r="M5596" s="118">
        <f t="shared" ref="M5596" si="7133">K5596*0.1</f>
        <v>100700</v>
      </c>
      <c r="N5596" s="119"/>
      <c r="O5596" s="118">
        <v>0</v>
      </c>
      <c r="P5596" s="119"/>
      <c r="Q5596" s="118">
        <v>6830</v>
      </c>
      <c r="R5596" s="119"/>
      <c r="S5596" s="118">
        <v>14300</v>
      </c>
      <c r="T5596" s="119"/>
      <c r="U5596" s="118">
        <f t="shared" ref="U5596" si="7134">SUM(K5596:T5597)</f>
        <v>1128830</v>
      </c>
      <c r="V5596" s="122"/>
      <c r="W5596" s="124"/>
      <c r="X5596" s="126" t="s">
        <v>16784</v>
      </c>
      <c r="Y5596" s="127"/>
      <c r="Z5596" s="127"/>
      <c r="AA5596" s="127"/>
      <c r="AB5596" s="128"/>
      <c r="AC5596" s="15" t="s">
        <v>20</v>
      </c>
      <c r="AD5596" s="129" t="s">
        <v>16775</v>
      </c>
      <c r="AE5596" s="130"/>
      <c r="AF5596" s="130"/>
      <c r="AG5596" s="130"/>
      <c r="AH5596" s="130"/>
      <c r="AI5596" s="131"/>
      <c r="AJ5596" s="132"/>
      <c r="AK5596" s="127"/>
      <c r="AL5596" s="128"/>
      <c r="AM5596" s="21"/>
      <c r="AN5596" s="133">
        <v>46056</v>
      </c>
      <c r="AO5596" s="134"/>
      <c r="AP5596" s="135">
        <v>1927</v>
      </c>
      <c r="AQ5596" s="136"/>
      <c r="AR5596" s="118">
        <v>1050000</v>
      </c>
      <c r="AS5596" s="119"/>
      <c r="AT5596" s="118">
        <f t="shared" ref="AT5596" si="7135">AR5596*0.1</f>
        <v>105000</v>
      </c>
      <c r="AU5596" s="119"/>
      <c r="AV5596" s="118">
        <v>6830</v>
      </c>
      <c r="AW5596" s="119"/>
      <c r="AX5596" s="118">
        <f t="shared" ref="AX5596" si="7136">SUM(AR5596:AW5596)</f>
        <v>1161830</v>
      </c>
      <c r="AY5596" s="119"/>
      <c r="AZ5596" s="137">
        <v>46063</v>
      </c>
    </row>
    <row r="5597" spans="1:52" ht="17.100000000000001" customHeight="1" thickBot="1">
      <c r="A5597" s="110"/>
      <c r="B5597" s="27" t="s">
        <v>3281</v>
      </c>
      <c r="C5597" s="27">
        <v>2593</v>
      </c>
      <c r="D5597" s="14" t="s">
        <v>1812</v>
      </c>
      <c r="E5597" s="112"/>
      <c r="F5597" s="139" t="s">
        <v>16411</v>
      </c>
      <c r="G5597" s="140"/>
      <c r="H5597" s="141"/>
      <c r="I5597" s="26">
        <v>25100</v>
      </c>
      <c r="J5597" s="117"/>
      <c r="K5597" s="120"/>
      <c r="L5597" s="121"/>
      <c r="M5597" s="120"/>
      <c r="N5597" s="121"/>
      <c r="O5597" s="120"/>
      <c r="P5597" s="121"/>
      <c r="Q5597" s="120"/>
      <c r="R5597" s="121"/>
      <c r="S5597" s="120"/>
      <c r="T5597" s="121"/>
      <c r="U5597" s="120"/>
      <c r="V5597" s="123"/>
      <c r="W5597" s="125"/>
      <c r="X5597" s="142" t="s">
        <v>2440</v>
      </c>
      <c r="Y5597" s="143"/>
      <c r="Z5597" s="143"/>
      <c r="AA5597" s="143"/>
      <c r="AB5597" s="144"/>
      <c r="AC5597" s="16" t="s">
        <v>21</v>
      </c>
      <c r="AD5597" s="17" t="s">
        <v>2329</v>
      </c>
      <c r="AE5597" s="145"/>
      <c r="AF5597" s="146"/>
      <c r="AG5597" s="146"/>
      <c r="AH5597" s="146"/>
      <c r="AI5597" s="147"/>
      <c r="AJ5597" s="148"/>
      <c r="AK5597" s="143"/>
      <c r="AL5597" s="144"/>
      <c r="AM5597" s="22"/>
      <c r="AN5597" s="149" t="s">
        <v>2131</v>
      </c>
      <c r="AO5597" s="144"/>
      <c r="AP5597" s="148">
        <v>3197</v>
      </c>
      <c r="AQ5597" s="144"/>
      <c r="AR5597" s="120"/>
      <c r="AS5597" s="121"/>
      <c r="AT5597" s="120"/>
      <c r="AU5597" s="121"/>
      <c r="AV5597" s="120"/>
      <c r="AW5597" s="121"/>
      <c r="AX5597" s="120"/>
      <c r="AY5597" s="121"/>
      <c r="AZ5597" s="138"/>
    </row>
    <row r="5598" spans="1:52" ht="17.100000000000001" customHeight="1" thickTop="1">
      <c r="A5598" s="109" t="s">
        <v>16419</v>
      </c>
      <c r="B5598" s="28">
        <v>46051</v>
      </c>
      <c r="C5598" s="25">
        <v>1316</v>
      </c>
      <c r="D5598" s="13" t="s">
        <v>1853</v>
      </c>
      <c r="E5598" s="111"/>
      <c r="F5598" s="113" t="s">
        <v>16413</v>
      </c>
      <c r="G5598" s="114"/>
      <c r="H5598" s="115"/>
      <c r="I5598" s="24"/>
      <c r="J5598" s="116">
        <v>4.5</v>
      </c>
      <c r="K5598" s="118">
        <v>1290000</v>
      </c>
      <c r="L5598" s="119"/>
      <c r="M5598" s="118">
        <f t="shared" ref="M5598" si="7137">K5598*0.1</f>
        <v>129000</v>
      </c>
      <c r="N5598" s="119"/>
      <c r="O5598" s="118">
        <v>0</v>
      </c>
      <c r="P5598" s="119"/>
      <c r="Q5598" s="118">
        <v>20630</v>
      </c>
      <c r="R5598" s="119"/>
      <c r="S5598" s="118">
        <v>16500</v>
      </c>
      <c r="T5598" s="119"/>
      <c r="U5598" s="118">
        <f t="shared" ref="U5598" si="7138">SUM(K5598:T5599)</f>
        <v>1456130</v>
      </c>
      <c r="V5598" s="122"/>
      <c r="W5598" s="124"/>
      <c r="X5598" s="126" t="s">
        <v>16916</v>
      </c>
      <c r="Y5598" s="127"/>
      <c r="Z5598" s="127"/>
      <c r="AA5598" s="127"/>
      <c r="AB5598" s="128"/>
      <c r="AC5598" s="15" t="s">
        <v>20</v>
      </c>
      <c r="AD5598" s="129" t="s">
        <v>1633</v>
      </c>
      <c r="AE5598" s="130"/>
      <c r="AF5598" s="130"/>
      <c r="AG5598" s="130"/>
      <c r="AH5598" s="130"/>
      <c r="AI5598" s="131"/>
      <c r="AJ5598" s="132"/>
      <c r="AK5598" s="127"/>
      <c r="AL5598" s="128"/>
      <c r="AM5598" s="21"/>
      <c r="AN5598" s="133">
        <v>46060</v>
      </c>
      <c r="AO5598" s="134"/>
      <c r="AP5598" s="135">
        <v>1287</v>
      </c>
      <c r="AQ5598" s="136"/>
      <c r="AR5598" s="118">
        <v>1450000</v>
      </c>
      <c r="AS5598" s="119"/>
      <c r="AT5598" s="118">
        <f t="shared" ref="AT5598" si="7139">AR5598*0.1</f>
        <v>145000</v>
      </c>
      <c r="AU5598" s="119"/>
      <c r="AV5598" s="118">
        <v>20630</v>
      </c>
      <c r="AW5598" s="119"/>
      <c r="AX5598" s="118">
        <f t="shared" ref="AX5598" si="7140">SUM(AR5598:AW5598)</f>
        <v>1615630</v>
      </c>
      <c r="AY5598" s="119"/>
      <c r="AZ5598" s="137">
        <v>46063</v>
      </c>
    </row>
    <row r="5599" spans="1:52" ht="17.100000000000001" customHeight="1" thickBot="1">
      <c r="A5599" s="110"/>
      <c r="B5599" s="27" t="s">
        <v>13663</v>
      </c>
      <c r="C5599" s="27">
        <v>95</v>
      </c>
      <c r="D5599" s="14" t="s">
        <v>275</v>
      </c>
      <c r="E5599" s="112"/>
      <c r="F5599" s="139" t="s">
        <v>16414</v>
      </c>
      <c r="G5599" s="140"/>
      <c r="H5599" s="141"/>
      <c r="I5599" s="26">
        <v>58874</v>
      </c>
      <c r="J5599" s="117"/>
      <c r="K5599" s="120"/>
      <c r="L5599" s="121"/>
      <c r="M5599" s="120"/>
      <c r="N5599" s="121"/>
      <c r="O5599" s="120"/>
      <c r="P5599" s="121"/>
      <c r="Q5599" s="120"/>
      <c r="R5599" s="121"/>
      <c r="S5599" s="120"/>
      <c r="T5599" s="121"/>
      <c r="U5599" s="120"/>
      <c r="V5599" s="123"/>
      <c r="W5599" s="125"/>
      <c r="X5599" s="142" t="s">
        <v>1861</v>
      </c>
      <c r="Y5599" s="143"/>
      <c r="Z5599" s="143"/>
      <c r="AA5599" s="143"/>
      <c r="AB5599" s="144"/>
      <c r="AC5599" s="16" t="s">
        <v>21</v>
      </c>
      <c r="AD5599" s="17" t="s">
        <v>3801</v>
      </c>
      <c r="AE5599" s="145" t="s">
        <v>1742</v>
      </c>
      <c r="AF5599" s="146"/>
      <c r="AG5599" s="146"/>
      <c r="AH5599" s="146"/>
      <c r="AI5599" s="147"/>
      <c r="AJ5599" s="148"/>
      <c r="AK5599" s="143"/>
      <c r="AL5599" s="144"/>
      <c r="AM5599" s="22"/>
      <c r="AN5599" s="149" t="s">
        <v>2511</v>
      </c>
      <c r="AO5599" s="144"/>
      <c r="AP5599" s="148">
        <v>80010</v>
      </c>
      <c r="AQ5599" s="144"/>
      <c r="AR5599" s="120"/>
      <c r="AS5599" s="121"/>
      <c r="AT5599" s="120"/>
      <c r="AU5599" s="121"/>
      <c r="AV5599" s="120"/>
      <c r="AW5599" s="121"/>
      <c r="AX5599" s="120"/>
      <c r="AY5599" s="121"/>
      <c r="AZ5599" s="138"/>
    </row>
    <row r="5600" spans="1:52" ht="17.100000000000001" customHeight="1" thickTop="1">
      <c r="A5600" s="109" t="s">
        <v>16420</v>
      </c>
      <c r="B5600" s="28">
        <v>46051</v>
      </c>
      <c r="C5600" s="25">
        <v>1316</v>
      </c>
      <c r="D5600" s="13" t="s">
        <v>2187</v>
      </c>
      <c r="E5600" s="111"/>
      <c r="F5600" s="113" t="s">
        <v>16415</v>
      </c>
      <c r="G5600" s="114"/>
      <c r="H5600" s="115"/>
      <c r="I5600" s="24" t="s">
        <v>2577</v>
      </c>
      <c r="J5600" s="116">
        <v>5</v>
      </c>
      <c r="K5600" s="118">
        <v>3175000</v>
      </c>
      <c r="L5600" s="119"/>
      <c r="M5600" s="118">
        <f t="shared" ref="M5600" si="7141">K5600*0.1</f>
        <v>317500</v>
      </c>
      <c r="N5600" s="119"/>
      <c r="O5600" s="118">
        <v>6600</v>
      </c>
      <c r="P5600" s="119"/>
      <c r="Q5600" s="118">
        <v>21570</v>
      </c>
      <c r="R5600" s="119"/>
      <c r="S5600" s="118">
        <v>16500</v>
      </c>
      <c r="T5600" s="119"/>
      <c r="U5600" s="118">
        <f t="shared" ref="U5600" si="7142">SUM(K5600:T5601)</f>
        <v>3537170</v>
      </c>
      <c r="V5600" s="122"/>
      <c r="W5600" s="124"/>
      <c r="X5600" s="126" t="s">
        <v>16443</v>
      </c>
      <c r="Y5600" s="127"/>
      <c r="Z5600" s="127"/>
      <c r="AA5600" s="127"/>
      <c r="AB5600" s="128"/>
      <c r="AC5600" s="15" t="s">
        <v>20</v>
      </c>
      <c r="AD5600" s="129" t="s">
        <v>2781</v>
      </c>
      <c r="AE5600" s="130"/>
      <c r="AF5600" s="130"/>
      <c r="AG5600" s="130"/>
      <c r="AH5600" s="130"/>
      <c r="AI5600" s="131"/>
      <c r="AJ5600" s="132"/>
      <c r="AK5600" s="127"/>
      <c r="AL5600" s="128"/>
      <c r="AM5600" s="21" t="s">
        <v>17439</v>
      </c>
      <c r="AN5600" s="133">
        <v>46074</v>
      </c>
      <c r="AO5600" s="134"/>
      <c r="AP5600" s="135">
        <v>1289</v>
      </c>
      <c r="AQ5600" s="136"/>
      <c r="AR5600" s="118">
        <v>3320000</v>
      </c>
      <c r="AS5600" s="119"/>
      <c r="AT5600" s="118">
        <f t="shared" ref="AT5600" si="7143">AR5600*0.1</f>
        <v>332000</v>
      </c>
      <c r="AU5600" s="119"/>
      <c r="AV5600" s="118">
        <v>21570</v>
      </c>
      <c r="AW5600" s="119"/>
      <c r="AX5600" s="118">
        <f t="shared" ref="AX5600" si="7144">SUM(AR5600:AW5600)</f>
        <v>3673570</v>
      </c>
      <c r="AY5600" s="119"/>
      <c r="AZ5600" s="137">
        <v>46077</v>
      </c>
    </row>
    <row r="5601" spans="1:52" ht="17.100000000000001" customHeight="1" thickBot="1">
      <c r="A5601" s="110"/>
      <c r="B5601" s="27" t="s">
        <v>13663</v>
      </c>
      <c r="C5601" s="27">
        <v>107</v>
      </c>
      <c r="D5601" s="14" t="s">
        <v>1576</v>
      </c>
      <c r="E5601" s="112"/>
      <c r="F5601" s="139" t="s">
        <v>16416</v>
      </c>
      <c r="G5601" s="140"/>
      <c r="H5601" s="141"/>
      <c r="I5601" s="26">
        <v>41167</v>
      </c>
      <c r="J5601" s="117"/>
      <c r="K5601" s="120"/>
      <c r="L5601" s="121"/>
      <c r="M5601" s="120"/>
      <c r="N5601" s="121"/>
      <c r="O5601" s="120"/>
      <c r="P5601" s="121"/>
      <c r="Q5601" s="120"/>
      <c r="R5601" s="121"/>
      <c r="S5601" s="120"/>
      <c r="T5601" s="121"/>
      <c r="U5601" s="120"/>
      <c r="V5601" s="123"/>
      <c r="W5601" s="125"/>
      <c r="X5601" s="142" t="s">
        <v>1861</v>
      </c>
      <c r="Y5601" s="143"/>
      <c r="Z5601" s="143"/>
      <c r="AA5601" s="143"/>
      <c r="AB5601" s="144"/>
      <c r="AC5601" s="16" t="s">
        <v>21</v>
      </c>
      <c r="AD5601" s="17" t="s">
        <v>3801</v>
      </c>
      <c r="AE5601" s="145" t="s">
        <v>16915</v>
      </c>
      <c r="AF5601" s="146"/>
      <c r="AG5601" s="146"/>
      <c r="AH5601" s="146"/>
      <c r="AI5601" s="147"/>
      <c r="AJ5601" s="148"/>
      <c r="AK5601" s="143"/>
      <c r="AL5601" s="144"/>
      <c r="AM5601" s="22"/>
      <c r="AN5601" s="149" t="s">
        <v>2511</v>
      </c>
      <c r="AO5601" s="144"/>
      <c r="AP5601" s="148">
        <v>80110</v>
      </c>
      <c r="AQ5601" s="144"/>
      <c r="AR5601" s="120"/>
      <c r="AS5601" s="121"/>
      <c r="AT5601" s="120"/>
      <c r="AU5601" s="121"/>
      <c r="AV5601" s="120"/>
      <c r="AW5601" s="121"/>
      <c r="AX5601" s="120"/>
      <c r="AY5601" s="121"/>
      <c r="AZ5601" s="138"/>
    </row>
    <row r="5602" spans="1:52" ht="17.100000000000001" customHeight="1" thickTop="1">
      <c r="A5602" s="109" t="s">
        <v>16421</v>
      </c>
      <c r="B5602" s="28">
        <v>46051</v>
      </c>
      <c r="C5602" s="25">
        <v>1316</v>
      </c>
      <c r="D5602" s="13" t="s">
        <v>4121</v>
      </c>
      <c r="E5602" s="111"/>
      <c r="F5602" s="113" t="s">
        <v>16417</v>
      </c>
      <c r="G5602" s="114"/>
      <c r="H5602" s="115"/>
      <c r="I5602" s="24" t="s">
        <v>4193</v>
      </c>
      <c r="J5602" s="116">
        <v>4.5</v>
      </c>
      <c r="K5602" s="118">
        <v>1635000</v>
      </c>
      <c r="L5602" s="119"/>
      <c r="M5602" s="118">
        <f t="shared" ref="M5602" si="7145">K5602*0.1</f>
        <v>163500</v>
      </c>
      <c r="N5602" s="119"/>
      <c r="O5602" s="118">
        <f>6500+650</f>
        <v>7150</v>
      </c>
      <c r="P5602" s="119"/>
      <c r="Q5602" s="118">
        <v>18220</v>
      </c>
      <c r="R5602" s="119"/>
      <c r="S5602" s="118">
        <v>16500</v>
      </c>
      <c r="T5602" s="119"/>
      <c r="U5602" s="118">
        <f t="shared" ref="U5602" si="7146">SUM(K5602:T5603)</f>
        <v>1840370</v>
      </c>
      <c r="V5602" s="122"/>
      <c r="W5602" s="124"/>
      <c r="X5602" s="126" t="s">
        <v>16444</v>
      </c>
      <c r="Y5602" s="127"/>
      <c r="Z5602" s="127"/>
      <c r="AA5602" s="127"/>
      <c r="AB5602" s="128"/>
      <c r="AC5602" s="15" t="s">
        <v>20</v>
      </c>
      <c r="AD5602" s="129" t="s">
        <v>16445</v>
      </c>
      <c r="AE5602" s="130"/>
      <c r="AF5602" s="130"/>
      <c r="AG5602" s="130"/>
      <c r="AH5602" s="130"/>
      <c r="AI5602" s="131"/>
      <c r="AJ5602" s="132"/>
      <c r="AK5602" s="127"/>
      <c r="AL5602" s="128"/>
      <c r="AM5602" s="21"/>
      <c r="AN5602" s="133">
        <v>46057</v>
      </c>
      <c r="AO5602" s="134"/>
      <c r="AP5602" s="135">
        <v>1003</v>
      </c>
      <c r="AQ5602" s="136"/>
      <c r="AR5602" s="118">
        <v>1815000</v>
      </c>
      <c r="AS5602" s="119"/>
      <c r="AT5602" s="118">
        <f t="shared" ref="AT5602" si="7147">AR5602*0.1</f>
        <v>181500</v>
      </c>
      <c r="AU5602" s="119"/>
      <c r="AV5602" s="118">
        <v>18220</v>
      </c>
      <c r="AW5602" s="119"/>
      <c r="AX5602" s="118">
        <f t="shared" ref="AX5602" si="7148">SUM(AR5602:AW5602)</f>
        <v>2014720</v>
      </c>
      <c r="AY5602" s="119"/>
      <c r="AZ5602" s="137">
        <v>46062</v>
      </c>
    </row>
    <row r="5603" spans="1:52" ht="17.100000000000001" customHeight="1" thickBot="1">
      <c r="A5603" s="110"/>
      <c r="B5603" s="27" t="s">
        <v>13663</v>
      </c>
      <c r="C5603" s="27">
        <v>172</v>
      </c>
      <c r="D5603" s="14" t="s">
        <v>1592</v>
      </c>
      <c r="E5603" s="112"/>
      <c r="F5603" s="139" t="s">
        <v>16418</v>
      </c>
      <c r="G5603" s="140"/>
      <c r="H5603" s="141"/>
      <c r="I5603" s="26">
        <v>56237</v>
      </c>
      <c r="J5603" s="117"/>
      <c r="K5603" s="120"/>
      <c r="L5603" s="121"/>
      <c r="M5603" s="120"/>
      <c r="N5603" s="121"/>
      <c r="O5603" s="120"/>
      <c r="P5603" s="121"/>
      <c r="Q5603" s="120"/>
      <c r="R5603" s="121"/>
      <c r="S5603" s="120"/>
      <c r="T5603" s="121"/>
      <c r="U5603" s="120"/>
      <c r="V5603" s="123"/>
      <c r="W5603" s="125"/>
      <c r="X5603" s="142" t="s">
        <v>9059</v>
      </c>
      <c r="Y5603" s="143"/>
      <c r="Z5603" s="143"/>
      <c r="AA5603" s="143"/>
      <c r="AB5603" s="144"/>
      <c r="AC5603" s="16" t="s">
        <v>21</v>
      </c>
      <c r="AD5603" s="17" t="s">
        <v>3801</v>
      </c>
      <c r="AE5603" s="145" t="s">
        <v>1581</v>
      </c>
      <c r="AF5603" s="146"/>
      <c r="AG5603" s="146"/>
      <c r="AH5603" s="146"/>
      <c r="AI5603" s="147"/>
      <c r="AJ5603" s="148"/>
      <c r="AK5603" s="143"/>
      <c r="AL5603" s="144"/>
      <c r="AM5603" s="22"/>
      <c r="AN5603" s="149" t="s">
        <v>2794</v>
      </c>
      <c r="AO5603" s="144"/>
      <c r="AP5603" s="148">
        <v>5036</v>
      </c>
      <c r="AQ5603" s="144"/>
      <c r="AR5603" s="120"/>
      <c r="AS5603" s="121"/>
      <c r="AT5603" s="120"/>
      <c r="AU5603" s="121"/>
      <c r="AV5603" s="120"/>
      <c r="AW5603" s="121"/>
      <c r="AX5603" s="120"/>
      <c r="AY5603" s="121"/>
      <c r="AZ5603" s="138"/>
    </row>
    <row r="5604" spans="1:52" ht="17.100000000000001" customHeight="1" thickTop="1">
      <c r="A5604" s="109" t="s">
        <v>16450</v>
      </c>
      <c r="B5604" s="28">
        <v>46051</v>
      </c>
      <c r="C5604" s="25">
        <v>2012</v>
      </c>
      <c r="D5604" s="13" t="s">
        <v>2059</v>
      </c>
      <c r="E5604" s="111"/>
      <c r="F5604" s="113" t="s">
        <v>16474</v>
      </c>
      <c r="G5604" s="114"/>
      <c r="H5604" s="115"/>
      <c r="I5604" s="24" t="s">
        <v>4096</v>
      </c>
      <c r="J5604" s="116">
        <v>4</v>
      </c>
      <c r="K5604" s="118">
        <v>1808000</v>
      </c>
      <c r="L5604" s="119"/>
      <c r="M5604" s="118">
        <f t="shared" ref="M5604" si="7149">K5604*0.1</f>
        <v>180800</v>
      </c>
      <c r="N5604" s="119"/>
      <c r="O5604" s="118">
        <f>9600+960</f>
        <v>10560</v>
      </c>
      <c r="P5604" s="119"/>
      <c r="Q5604" s="118">
        <v>16550</v>
      </c>
      <c r="R5604" s="119"/>
      <c r="S5604" s="118">
        <v>22000</v>
      </c>
      <c r="T5604" s="119"/>
      <c r="U5604" s="118">
        <f t="shared" ref="U5604" si="7150">SUM(K5604:T5605)</f>
        <v>2037910</v>
      </c>
      <c r="V5604" s="122"/>
      <c r="W5604" s="124"/>
      <c r="X5604" s="126" t="s">
        <v>16475</v>
      </c>
      <c r="Y5604" s="127"/>
      <c r="Z5604" s="127"/>
      <c r="AA5604" s="127"/>
      <c r="AB5604" s="128"/>
      <c r="AC5604" s="15" t="s">
        <v>20</v>
      </c>
      <c r="AD5604" s="129" t="s">
        <v>8818</v>
      </c>
      <c r="AE5604" s="130"/>
      <c r="AF5604" s="130"/>
      <c r="AG5604" s="130"/>
      <c r="AH5604" s="130"/>
      <c r="AI5604" s="131"/>
      <c r="AJ5604" s="132"/>
      <c r="AK5604" s="127"/>
      <c r="AL5604" s="128"/>
      <c r="AM5604" s="21"/>
      <c r="AN5604" s="133">
        <v>46064</v>
      </c>
      <c r="AO5604" s="134"/>
      <c r="AP5604" s="135">
        <v>1004</v>
      </c>
      <c r="AQ5604" s="136"/>
      <c r="AR5604" s="118">
        <v>2065000</v>
      </c>
      <c r="AS5604" s="119"/>
      <c r="AT5604" s="118">
        <f t="shared" ref="AT5604" si="7151">AR5604*0.1</f>
        <v>206500</v>
      </c>
      <c r="AU5604" s="119"/>
      <c r="AV5604" s="118">
        <v>16550</v>
      </c>
      <c r="AW5604" s="119"/>
      <c r="AX5604" s="118">
        <f t="shared" ref="AX5604" si="7152">SUM(AR5604:AW5604)</f>
        <v>2288050</v>
      </c>
      <c r="AY5604" s="119"/>
      <c r="AZ5604" s="137">
        <v>46070</v>
      </c>
    </row>
    <row r="5605" spans="1:52" ht="17.100000000000001" customHeight="1" thickBot="1">
      <c r="A5605" s="110"/>
      <c r="B5605" s="27" t="s">
        <v>2200</v>
      </c>
      <c r="C5605" s="27">
        <v>30045</v>
      </c>
      <c r="D5605" s="14" t="s">
        <v>275</v>
      </c>
      <c r="E5605" s="112"/>
      <c r="F5605" s="139" t="s">
        <v>16462</v>
      </c>
      <c r="G5605" s="140"/>
      <c r="H5605" s="141"/>
      <c r="I5605" s="26">
        <v>85899</v>
      </c>
      <c r="J5605" s="117"/>
      <c r="K5605" s="120"/>
      <c r="L5605" s="121"/>
      <c r="M5605" s="120"/>
      <c r="N5605" s="121"/>
      <c r="O5605" s="120"/>
      <c r="P5605" s="121"/>
      <c r="Q5605" s="120"/>
      <c r="R5605" s="121"/>
      <c r="S5605" s="120"/>
      <c r="T5605" s="121"/>
      <c r="U5605" s="120"/>
      <c r="V5605" s="123"/>
      <c r="W5605" s="125"/>
      <c r="X5605" s="142" t="s">
        <v>16939</v>
      </c>
      <c r="Y5605" s="143"/>
      <c r="Z5605" s="143"/>
      <c r="AA5605" s="143"/>
      <c r="AB5605" s="144"/>
      <c r="AC5605" s="16" t="s">
        <v>21</v>
      </c>
      <c r="AD5605" s="17" t="s">
        <v>3801</v>
      </c>
      <c r="AE5605" s="145" t="s">
        <v>4106</v>
      </c>
      <c r="AF5605" s="146"/>
      <c r="AG5605" s="146"/>
      <c r="AH5605" s="146"/>
      <c r="AI5605" s="147"/>
      <c r="AJ5605" s="148"/>
      <c r="AK5605" s="143"/>
      <c r="AL5605" s="144"/>
      <c r="AM5605" s="22"/>
      <c r="AN5605" s="149" t="s">
        <v>9053</v>
      </c>
      <c r="AO5605" s="144"/>
      <c r="AP5605" s="148">
        <v>5016</v>
      </c>
      <c r="AQ5605" s="144"/>
      <c r="AR5605" s="120"/>
      <c r="AS5605" s="121"/>
      <c r="AT5605" s="120"/>
      <c r="AU5605" s="121"/>
      <c r="AV5605" s="120"/>
      <c r="AW5605" s="121"/>
      <c r="AX5605" s="120"/>
      <c r="AY5605" s="121"/>
      <c r="AZ5605" s="138"/>
    </row>
    <row r="5606" spans="1:52" ht="17.100000000000001" customHeight="1" thickTop="1">
      <c r="A5606" s="109" t="s">
        <v>16451</v>
      </c>
      <c r="B5606" s="28">
        <v>46051</v>
      </c>
      <c r="C5606" s="25">
        <v>2012</v>
      </c>
      <c r="D5606" s="13" t="s">
        <v>1606</v>
      </c>
      <c r="E5606" s="111"/>
      <c r="F5606" s="113" t="s">
        <v>16476</v>
      </c>
      <c r="G5606" s="114"/>
      <c r="H5606" s="115"/>
      <c r="I5606" s="24"/>
      <c r="J5606" s="116">
        <v>4</v>
      </c>
      <c r="K5606" s="118">
        <v>1159000</v>
      </c>
      <c r="L5606" s="119"/>
      <c r="M5606" s="118">
        <f t="shared" ref="M5606" si="7153">K5606*0.1</f>
        <v>115900</v>
      </c>
      <c r="N5606" s="119"/>
      <c r="O5606" s="118">
        <v>0</v>
      </c>
      <c r="P5606" s="119"/>
      <c r="Q5606" s="118">
        <v>10190</v>
      </c>
      <c r="R5606" s="119"/>
      <c r="S5606" s="118">
        <v>22000</v>
      </c>
      <c r="T5606" s="119"/>
      <c r="U5606" s="118">
        <f t="shared" ref="U5606" si="7154">SUM(K5606:T5607)</f>
        <v>1307090</v>
      </c>
      <c r="V5606" s="122"/>
      <c r="W5606" s="124"/>
      <c r="X5606" s="126" t="s">
        <v>16900</v>
      </c>
      <c r="Y5606" s="127"/>
      <c r="Z5606" s="127"/>
      <c r="AA5606" s="127"/>
      <c r="AB5606" s="128"/>
      <c r="AC5606" s="15" t="s">
        <v>20</v>
      </c>
      <c r="AD5606" s="129" t="s">
        <v>16477</v>
      </c>
      <c r="AE5606" s="130"/>
      <c r="AF5606" s="130"/>
      <c r="AG5606" s="130"/>
      <c r="AH5606" s="130"/>
      <c r="AI5606" s="131"/>
      <c r="AJ5606" s="132"/>
      <c r="AK5606" s="127"/>
      <c r="AL5606" s="128"/>
      <c r="AM5606" s="21"/>
      <c r="AN5606" s="133">
        <v>46057</v>
      </c>
      <c r="AO5606" s="134"/>
      <c r="AP5606" s="135">
        <v>1003</v>
      </c>
      <c r="AQ5606" s="136"/>
      <c r="AR5606" s="118">
        <v>1250000</v>
      </c>
      <c r="AS5606" s="119"/>
      <c r="AT5606" s="118">
        <f t="shared" ref="AT5606" si="7155">AR5606*0.1</f>
        <v>125000</v>
      </c>
      <c r="AU5606" s="119"/>
      <c r="AV5606" s="118">
        <v>10190</v>
      </c>
      <c r="AW5606" s="119"/>
      <c r="AX5606" s="118">
        <f t="shared" ref="AX5606" si="7156">SUM(AR5606:AW5606)</f>
        <v>1385190</v>
      </c>
      <c r="AY5606" s="119"/>
      <c r="AZ5606" s="137">
        <v>46062</v>
      </c>
    </row>
    <row r="5607" spans="1:52" ht="17.100000000000001" customHeight="1" thickBot="1">
      <c r="A5607" s="110"/>
      <c r="B5607" s="27" t="s">
        <v>2200</v>
      </c>
      <c r="C5607" s="27">
        <v>30110</v>
      </c>
      <c r="D5607" s="14" t="s">
        <v>1635</v>
      </c>
      <c r="E5607" s="112"/>
      <c r="F5607" s="139" t="s">
        <v>16463</v>
      </c>
      <c r="G5607" s="140"/>
      <c r="H5607" s="141"/>
      <c r="I5607" s="26">
        <v>50751</v>
      </c>
      <c r="J5607" s="117"/>
      <c r="K5607" s="120"/>
      <c r="L5607" s="121"/>
      <c r="M5607" s="120"/>
      <c r="N5607" s="121"/>
      <c r="O5607" s="120"/>
      <c r="P5607" s="121"/>
      <c r="Q5607" s="120"/>
      <c r="R5607" s="121"/>
      <c r="S5607" s="120"/>
      <c r="T5607" s="121"/>
      <c r="U5607" s="120"/>
      <c r="V5607" s="123"/>
      <c r="W5607" s="125"/>
      <c r="X5607" s="142" t="s">
        <v>16901</v>
      </c>
      <c r="Y5607" s="143"/>
      <c r="Z5607" s="143"/>
      <c r="AA5607" s="143"/>
      <c r="AB5607" s="144"/>
      <c r="AC5607" s="16" t="s">
        <v>21</v>
      </c>
      <c r="AD5607" s="17" t="s">
        <v>3801</v>
      </c>
      <c r="AE5607" s="145" t="s">
        <v>5500</v>
      </c>
      <c r="AF5607" s="146"/>
      <c r="AG5607" s="146"/>
      <c r="AH5607" s="146"/>
      <c r="AI5607" s="147"/>
      <c r="AJ5607" s="148"/>
      <c r="AK5607" s="143"/>
      <c r="AL5607" s="144"/>
      <c r="AM5607" s="22"/>
      <c r="AN5607" s="149" t="s">
        <v>2794</v>
      </c>
      <c r="AO5607" s="144"/>
      <c r="AP5607" s="148">
        <v>5063</v>
      </c>
      <c r="AQ5607" s="144"/>
      <c r="AR5607" s="120"/>
      <c r="AS5607" s="121"/>
      <c r="AT5607" s="120"/>
      <c r="AU5607" s="121"/>
      <c r="AV5607" s="120"/>
      <c r="AW5607" s="121"/>
      <c r="AX5607" s="120"/>
      <c r="AY5607" s="121"/>
      <c r="AZ5607" s="138"/>
    </row>
    <row r="5608" spans="1:52" ht="17.100000000000001" customHeight="1" thickTop="1">
      <c r="A5608" s="109" t="s">
        <v>16452</v>
      </c>
      <c r="B5608" s="28">
        <v>46051</v>
      </c>
      <c r="C5608" s="25">
        <v>2012</v>
      </c>
      <c r="D5608" s="13" t="s">
        <v>2697</v>
      </c>
      <c r="E5608" s="111"/>
      <c r="F5608" s="113" t="s">
        <v>8009</v>
      </c>
      <c r="G5608" s="114"/>
      <c r="H5608" s="115"/>
      <c r="I5608" s="24" t="s">
        <v>4487</v>
      </c>
      <c r="J5608" s="116">
        <v>6</v>
      </c>
      <c r="K5608" s="118">
        <v>1625000</v>
      </c>
      <c r="L5608" s="119"/>
      <c r="M5608" s="118">
        <f t="shared" ref="M5608" si="7157">K5608*0.1</f>
        <v>162500</v>
      </c>
      <c r="N5608" s="119"/>
      <c r="O5608" s="118">
        <v>0</v>
      </c>
      <c r="P5608" s="119"/>
      <c r="Q5608" s="118">
        <v>7230</v>
      </c>
      <c r="R5608" s="119"/>
      <c r="S5608" s="118">
        <v>22000</v>
      </c>
      <c r="T5608" s="119"/>
      <c r="U5608" s="118">
        <f t="shared" ref="U5608" si="7158">SUM(K5608:T5609)</f>
        <v>1816730</v>
      </c>
      <c r="V5608" s="122"/>
      <c r="W5608" s="124"/>
      <c r="X5608" s="126" t="s">
        <v>16945</v>
      </c>
      <c r="Y5608" s="127"/>
      <c r="Z5608" s="127"/>
      <c r="AA5608" s="127"/>
      <c r="AB5608" s="128"/>
      <c r="AC5608" s="15" t="s">
        <v>20</v>
      </c>
      <c r="AD5608" s="129" t="s">
        <v>16478</v>
      </c>
      <c r="AE5608" s="130"/>
      <c r="AF5608" s="130"/>
      <c r="AG5608" s="130"/>
      <c r="AH5608" s="130"/>
      <c r="AI5608" s="131"/>
      <c r="AJ5608" s="132"/>
      <c r="AK5608" s="127"/>
      <c r="AL5608" s="128"/>
      <c r="AM5608" s="21" t="s">
        <v>16993</v>
      </c>
      <c r="AN5608" s="133">
        <v>46056</v>
      </c>
      <c r="AO5608" s="134"/>
      <c r="AP5608" s="135">
        <v>1927</v>
      </c>
      <c r="AQ5608" s="136"/>
      <c r="AR5608" s="118">
        <v>1673000</v>
      </c>
      <c r="AS5608" s="119"/>
      <c r="AT5608" s="118">
        <f t="shared" ref="AT5608" si="7159">AR5608*0.1</f>
        <v>167300</v>
      </c>
      <c r="AU5608" s="119"/>
      <c r="AV5608" s="118">
        <v>7230</v>
      </c>
      <c r="AW5608" s="119"/>
      <c r="AX5608" s="118">
        <f t="shared" ref="AX5608" si="7160">SUM(AR5608:AW5608)</f>
        <v>1847530</v>
      </c>
      <c r="AY5608" s="119"/>
      <c r="AZ5608" s="137">
        <v>46063</v>
      </c>
    </row>
    <row r="5609" spans="1:52" ht="17.100000000000001" customHeight="1" thickBot="1">
      <c r="A5609" s="110"/>
      <c r="B5609" s="27" t="s">
        <v>2200</v>
      </c>
      <c r="C5609" s="27">
        <v>50012</v>
      </c>
      <c r="D5609" s="14" t="s">
        <v>275</v>
      </c>
      <c r="E5609" s="112"/>
      <c r="F5609" s="139" t="s">
        <v>16464</v>
      </c>
      <c r="G5609" s="140"/>
      <c r="H5609" s="141"/>
      <c r="I5609" s="26">
        <v>5</v>
      </c>
      <c r="J5609" s="117"/>
      <c r="K5609" s="120"/>
      <c r="L5609" s="121"/>
      <c r="M5609" s="120"/>
      <c r="N5609" s="121"/>
      <c r="O5609" s="120"/>
      <c r="P5609" s="121"/>
      <c r="Q5609" s="120"/>
      <c r="R5609" s="121"/>
      <c r="S5609" s="120"/>
      <c r="T5609" s="121"/>
      <c r="U5609" s="120"/>
      <c r="V5609" s="123"/>
      <c r="W5609" s="125"/>
      <c r="X5609" s="142" t="s">
        <v>16946</v>
      </c>
      <c r="Y5609" s="143"/>
      <c r="Z5609" s="143"/>
      <c r="AA5609" s="143"/>
      <c r="AB5609" s="144"/>
      <c r="AC5609" s="16" t="s">
        <v>21</v>
      </c>
      <c r="AD5609" s="17" t="s">
        <v>3550</v>
      </c>
      <c r="AE5609" s="145" t="s">
        <v>16947</v>
      </c>
      <c r="AF5609" s="146"/>
      <c r="AG5609" s="146"/>
      <c r="AH5609" s="146"/>
      <c r="AI5609" s="147"/>
      <c r="AJ5609" s="148"/>
      <c r="AK5609" s="143"/>
      <c r="AL5609" s="144"/>
      <c r="AM5609" s="22"/>
      <c r="AN5609" s="149" t="s">
        <v>2131</v>
      </c>
      <c r="AO5609" s="144"/>
      <c r="AP5609" s="148">
        <v>3261</v>
      </c>
      <c r="AQ5609" s="144"/>
      <c r="AR5609" s="120"/>
      <c r="AS5609" s="121"/>
      <c r="AT5609" s="120"/>
      <c r="AU5609" s="121"/>
      <c r="AV5609" s="120"/>
      <c r="AW5609" s="121"/>
      <c r="AX5609" s="120"/>
      <c r="AY5609" s="121"/>
      <c r="AZ5609" s="138"/>
    </row>
    <row r="5610" spans="1:52" ht="17.100000000000001" customHeight="1" thickTop="1">
      <c r="A5610" s="109" t="s">
        <v>16453</v>
      </c>
      <c r="B5610" s="28">
        <v>46051</v>
      </c>
      <c r="C5610" s="25">
        <v>2012</v>
      </c>
      <c r="D5610" s="13" t="s">
        <v>3461</v>
      </c>
      <c r="E5610" s="111"/>
      <c r="F5610" s="113" t="s">
        <v>8511</v>
      </c>
      <c r="G5610" s="114"/>
      <c r="H5610" s="115"/>
      <c r="I5610" s="24" t="s">
        <v>2584</v>
      </c>
      <c r="J5610" s="116">
        <v>4.5</v>
      </c>
      <c r="K5610" s="118">
        <v>1309000</v>
      </c>
      <c r="L5610" s="119"/>
      <c r="M5610" s="118">
        <f t="shared" ref="M5610" si="7161">K5610*0.1</f>
        <v>130900</v>
      </c>
      <c r="N5610" s="119"/>
      <c r="O5610" s="118">
        <v>0</v>
      </c>
      <c r="P5610" s="119"/>
      <c r="Q5610" s="118">
        <v>6850</v>
      </c>
      <c r="R5610" s="119"/>
      <c r="S5610" s="118">
        <v>22000</v>
      </c>
      <c r="T5610" s="119"/>
      <c r="U5610" s="118">
        <f t="shared" ref="U5610" si="7162">SUM(K5610:T5611)</f>
        <v>1468750</v>
      </c>
      <c r="V5610" s="122"/>
      <c r="W5610" s="124"/>
      <c r="X5610" s="126" t="s">
        <v>16479</v>
      </c>
      <c r="Y5610" s="127"/>
      <c r="Z5610" s="127"/>
      <c r="AA5610" s="127"/>
      <c r="AB5610" s="128"/>
      <c r="AC5610" s="15" t="s">
        <v>20</v>
      </c>
      <c r="AD5610" s="129" t="s">
        <v>2198</v>
      </c>
      <c r="AE5610" s="130"/>
      <c r="AF5610" s="130"/>
      <c r="AG5610" s="130"/>
      <c r="AH5610" s="130"/>
      <c r="AI5610" s="131"/>
      <c r="AJ5610" s="132"/>
      <c r="AK5610" s="127"/>
      <c r="AL5610" s="128"/>
      <c r="AM5610" s="21" t="s">
        <v>17539</v>
      </c>
      <c r="AN5610" s="133">
        <v>46063</v>
      </c>
      <c r="AO5610" s="134"/>
      <c r="AP5610" s="135">
        <v>1928</v>
      </c>
      <c r="AQ5610" s="136"/>
      <c r="AR5610" s="118">
        <v>13796000</v>
      </c>
      <c r="AS5610" s="119"/>
      <c r="AT5610" s="118">
        <f t="shared" ref="AT5610" si="7163">AR5610*0.1</f>
        <v>1379600</v>
      </c>
      <c r="AU5610" s="119"/>
      <c r="AV5610" s="118">
        <v>6850</v>
      </c>
      <c r="AW5610" s="119"/>
      <c r="AX5610" s="118">
        <f t="shared" ref="AX5610" si="7164">SUM(AR5610:AW5610)</f>
        <v>15182450</v>
      </c>
      <c r="AY5610" s="119"/>
      <c r="AZ5610" s="137"/>
    </row>
    <row r="5611" spans="1:52" ht="17.100000000000001" customHeight="1" thickBot="1">
      <c r="A5611" s="110"/>
      <c r="B5611" s="27" t="s">
        <v>2200</v>
      </c>
      <c r="C5611" s="27">
        <v>50036</v>
      </c>
      <c r="D5611" s="14" t="s">
        <v>275</v>
      </c>
      <c r="E5611" s="112"/>
      <c r="F5611" s="139" t="s">
        <v>16465</v>
      </c>
      <c r="G5611" s="140"/>
      <c r="H5611" s="141"/>
      <c r="I5611" s="26">
        <v>23106</v>
      </c>
      <c r="J5611" s="117"/>
      <c r="K5611" s="120"/>
      <c r="L5611" s="121"/>
      <c r="M5611" s="120"/>
      <c r="N5611" s="121"/>
      <c r="O5611" s="120"/>
      <c r="P5611" s="121"/>
      <c r="Q5611" s="120"/>
      <c r="R5611" s="121"/>
      <c r="S5611" s="120"/>
      <c r="T5611" s="121"/>
      <c r="U5611" s="120"/>
      <c r="V5611" s="123"/>
      <c r="W5611" s="125"/>
      <c r="X5611" s="142" t="s">
        <v>16940</v>
      </c>
      <c r="Y5611" s="143"/>
      <c r="Z5611" s="143"/>
      <c r="AA5611" s="143"/>
      <c r="AB5611" s="144"/>
      <c r="AC5611" s="16" t="s">
        <v>21</v>
      </c>
      <c r="AD5611" s="17" t="s">
        <v>3801</v>
      </c>
      <c r="AE5611" s="145" t="s">
        <v>2692</v>
      </c>
      <c r="AF5611" s="146"/>
      <c r="AG5611" s="146"/>
      <c r="AH5611" s="146"/>
      <c r="AI5611" s="147"/>
      <c r="AJ5611" s="148"/>
      <c r="AK5611" s="143"/>
      <c r="AL5611" s="144"/>
      <c r="AM5611" s="22"/>
      <c r="AN5611" s="149" t="s">
        <v>2131</v>
      </c>
      <c r="AO5611" s="144"/>
      <c r="AP5611" s="148">
        <v>3139</v>
      </c>
      <c r="AQ5611" s="144"/>
      <c r="AR5611" s="120"/>
      <c r="AS5611" s="121"/>
      <c r="AT5611" s="120"/>
      <c r="AU5611" s="121"/>
      <c r="AV5611" s="120"/>
      <c r="AW5611" s="121"/>
      <c r="AX5611" s="120"/>
      <c r="AY5611" s="121"/>
      <c r="AZ5611" s="138"/>
    </row>
    <row r="5612" spans="1:52" ht="17.100000000000001" customHeight="1" thickTop="1">
      <c r="A5612" s="109" t="s">
        <v>16454</v>
      </c>
      <c r="B5612" s="28">
        <v>46051</v>
      </c>
      <c r="C5612" s="25">
        <v>2012</v>
      </c>
      <c r="D5612" s="13" t="s">
        <v>859</v>
      </c>
      <c r="E5612" s="111"/>
      <c r="F5612" s="113" t="s">
        <v>16480</v>
      </c>
      <c r="G5612" s="114"/>
      <c r="H5612" s="115"/>
      <c r="I5612" s="24"/>
      <c r="J5612" s="116">
        <v>4.5</v>
      </c>
      <c r="K5612" s="118">
        <v>1131000</v>
      </c>
      <c r="L5612" s="119"/>
      <c r="M5612" s="118">
        <f t="shared" ref="M5612" si="7165">K5612*0.1</f>
        <v>113100</v>
      </c>
      <c r="N5612" s="119"/>
      <c r="O5612" s="118">
        <v>0</v>
      </c>
      <c r="P5612" s="119"/>
      <c r="Q5612" s="118">
        <v>8740</v>
      </c>
      <c r="R5612" s="119"/>
      <c r="S5612" s="118">
        <v>22000</v>
      </c>
      <c r="T5612" s="119"/>
      <c r="U5612" s="118">
        <f t="shared" ref="U5612" si="7166">SUM(K5612:T5613)</f>
        <v>1274840</v>
      </c>
      <c r="V5612" s="122"/>
      <c r="W5612" s="124"/>
      <c r="X5612" s="126" t="s">
        <v>16896</v>
      </c>
      <c r="Y5612" s="127"/>
      <c r="Z5612" s="127"/>
      <c r="AA5612" s="127"/>
      <c r="AB5612" s="128"/>
      <c r="AC5612" s="15" t="s">
        <v>20</v>
      </c>
      <c r="AD5612" s="129" t="s">
        <v>10515</v>
      </c>
      <c r="AE5612" s="130"/>
      <c r="AF5612" s="130"/>
      <c r="AG5612" s="130"/>
      <c r="AH5612" s="130"/>
      <c r="AI5612" s="131"/>
      <c r="AJ5612" s="132"/>
      <c r="AK5612" s="127"/>
      <c r="AL5612" s="128"/>
      <c r="AM5612" s="21"/>
      <c r="AN5612" s="133">
        <v>46056</v>
      </c>
      <c r="AO5612" s="134"/>
      <c r="AP5612" s="135">
        <v>1927</v>
      </c>
      <c r="AQ5612" s="136"/>
      <c r="AR5612" s="118">
        <v>1203000</v>
      </c>
      <c r="AS5612" s="119"/>
      <c r="AT5612" s="118">
        <f t="shared" ref="AT5612" si="7167">AR5612*0.1</f>
        <v>120300</v>
      </c>
      <c r="AU5612" s="119"/>
      <c r="AV5612" s="118">
        <v>8740</v>
      </c>
      <c r="AW5612" s="119"/>
      <c r="AX5612" s="118">
        <f t="shared" ref="AX5612" si="7168">SUM(AR5612:AW5612)</f>
        <v>1332040</v>
      </c>
      <c r="AY5612" s="119"/>
      <c r="AZ5612" s="137">
        <v>46063</v>
      </c>
    </row>
    <row r="5613" spans="1:52" ht="17.100000000000001" customHeight="1" thickBot="1">
      <c r="A5613" s="110"/>
      <c r="B5613" s="27" t="s">
        <v>2200</v>
      </c>
      <c r="C5613" s="27">
        <v>50108</v>
      </c>
      <c r="D5613" s="14" t="s">
        <v>2601</v>
      </c>
      <c r="E5613" s="112"/>
      <c r="F5613" s="139" t="s">
        <v>16466</v>
      </c>
      <c r="G5613" s="140"/>
      <c r="H5613" s="141"/>
      <c r="I5613" s="26">
        <v>58606</v>
      </c>
      <c r="J5613" s="117"/>
      <c r="K5613" s="120"/>
      <c r="L5613" s="121"/>
      <c r="M5613" s="120"/>
      <c r="N5613" s="121"/>
      <c r="O5613" s="120"/>
      <c r="P5613" s="121"/>
      <c r="Q5613" s="120"/>
      <c r="R5613" s="121"/>
      <c r="S5613" s="120"/>
      <c r="T5613" s="121"/>
      <c r="U5613" s="120"/>
      <c r="V5613" s="123"/>
      <c r="W5613" s="125"/>
      <c r="X5613" s="142" t="s">
        <v>4116</v>
      </c>
      <c r="Y5613" s="143"/>
      <c r="Z5613" s="143"/>
      <c r="AA5613" s="143"/>
      <c r="AB5613" s="144"/>
      <c r="AC5613" s="16" t="s">
        <v>21</v>
      </c>
      <c r="AD5613" s="17" t="s">
        <v>3801</v>
      </c>
      <c r="AE5613" s="145" t="s">
        <v>16897</v>
      </c>
      <c r="AF5613" s="146"/>
      <c r="AG5613" s="146"/>
      <c r="AH5613" s="146"/>
      <c r="AI5613" s="147"/>
      <c r="AJ5613" s="148"/>
      <c r="AK5613" s="143"/>
      <c r="AL5613" s="144"/>
      <c r="AM5613" s="22"/>
      <c r="AN5613" s="149" t="s">
        <v>2131</v>
      </c>
      <c r="AO5613" s="144"/>
      <c r="AP5613" s="148">
        <v>3257</v>
      </c>
      <c r="AQ5613" s="144"/>
      <c r="AR5613" s="120"/>
      <c r="AS5613" s="121"/>
      <c r="AT5613" s="120"/>
      <c r="AU5613" s="121"/>
      <c r="AV5613" s="120"/>
      <c r="AW5613" s="121"/>
      <c r="AX5613" s="120"/>
      <c r="AY5613" s="121"/>
      <c r="AZ5613" s="138"/>
    </row>
    <row r="5614" spans="1:52" ht="17.100000000000001" customHeight="1" thickTop="1">
      <c r="A5614" s="109" t="s">
        <v>16455</v>
      </c>
      <c r="B5614" s="28">
        <v>46051</v>
      </c>
      <c r="C5614" s="25">
        <v>2012</v>
      </c>
      <c r="D5614" s="13" t="s">
        <v>1902</v>
      </c>
      <c r="E5614" s="111"/>
      <c r="F5614" s="113" t="s">
        <v>5435</v>
      </c>
      <c r="G5614" s="114"/>
      <c r="H5614" s="115"/>
      <c r="I5614" s="24"/>
      <c r="J5614" s="116">
        <v>4.5</v>
      </c>
      <c r="K5614" s="118">
        <v>986000</v>
      </c>
      <c r="L5614" s="119"/>
      <c r="M5614" s="118">
        <f t="shared" ref="M5614" si="7169">K5614*0.1</f>
        <v>98600</v>
      </c>
      <c r="N5614" s="119"/>
      <c r="O5614" s="118">
        <v>0</v>
      </c>
      <c r="P5614" s="119"/>
      <c r="Q5614" s="118">
        <v>5340</v>
      </c>
      <c r="R5614" s="119"/>
      <c r="S5614" s="118">
        <v>22000</v>
      </c>
      <c r="T5614" s="119"/>
      <c r="U5614" s="118">
        <f t="shared" ref="U5614" si="7170">SUM(K5614:T5615)</f>
        <v>1111940</v>
      </c>
      <c r="V5614" s="122"/>
      <c r="W5614" s="124"/>
      <c r="X5614" s="126" t="s">
        <v>16898</v>
      </c>
      <c r="Y5614" s="127"/>
      <c r="Z5614" s="127"/>
      <c r="AA5614" s="127"/>
      <c r="AB5614" s="128"/>
      <c r="AC5614" s="15" t="s">
        <v>20</v>
      </c>
      <c r="AD5614" s="129" t="s">
        <v>1633</v>
      </c>
      <c r="AE5614" s="130"/>
      <c r="AF5614" s="130"/>
      <c r="AG5614" s="130"/>
      <c r="AH5614" s="130"/>
      <c r="AI5614" s="131"/>
      <c r="AJ5614" s="132"/>
      <c r="AK5614" s="127"/>
      <c r="AL5614" s="128"/>
      <c r="AM5614" s="21"/>
      <c r="AN5614" s="133">
        <v>46056</v>
      </c>
      <c r="AO5614" s="134"/>
      <c r="AP5614" s="135">
        <v>1927</v>
      </c>
      <c r="AQ5614" s="136"/>
      <c r="AR5614" s="118">
        <v>1003000</v>
      </c>
      <c r="AS5614" s="119"/>
      <c r="AT5614" s="118">
        <f t="shared" ref="AT5614" si="7171">AR5614*0.1</f>
        <v>100300</v>
      </c>
      <c r="AU5614" s="119"/>
      <c r="AV5614" s="118">
        <v>5340</v>
      </c>
      <c r="AW5614" s="119"/>
      <c r="AX5614" s="118">
        <f t="shared" ref="AX5614" si="7172">SUM(AR5614:AW5614)</f>
        <v>1108640</v>
      </c>
      <c r="AY5614" s="119"/>
      <c r="AZ5614" s="137">
        <v>46063</v>
      </c>
    </row>
    <row r="5615" spans="1:52" ht="17.100000000000001" customHeight="1" thickBot="1">
      <c r="A5615" s="110"/>
      <c r="B5615" s="27" t="s">
        <v>2200</v>
      </c>
      <c r="C5615" s="27">
        <v>50113</v>
      </c>
      <c r="D5615" s="14" t="s">
        <v>3809</v>
      </c>
      <c r="E5615" s="112"/>
      <c r="F5615" s="139" t="s">
        <v>16467</v>
      </c>
      <c r="G5615" s="140"/>
      <c r="H5615" s="141"/>
      <c r="I5615" s="26">
        <v>16989</v>
      </c>
      <c r="J5615" s="117"/>
      <c r="K5615" s="120"/>
      <c r="L5615" s="121"/>
      <c r="M5615" s="120"/>
      <c r="N5615" s="121"/>
      <c r="O5615" s="120"/>
      <c r="P5615" s="121"/>
      <c r="Q5615" s="120"/>
      <c r="R5615" s="121"/>
      <c r="S5615" s="120"/>
      <c r="T5615" s="121"/>
      <c r="U5615" s="120"/>
      <c r="V5615" s="123"/>
      <c r="W5615" s="125"/>
      <c r="X5615" s="142" t="s">
        <v>16899</v>
      </c>
      <c r="Y5615" s="143"/>
      <c r="Z5615" s="143"/>
      <c r="AA5615" s="143"/>
      <c r="AB5615" s="144"/>
      <c r="AC5615" s="16" t="s">
        <v>21</v>
      </c>
      <c r="AD5615" s="17" t="s">
        <v>3801</v>
      </c>
      <c r="AE5615" s="145" t="s">
        <v>16423</v>
      </c>
      <c r="AF5615" s="146"/>
      <c r="AG5615" s="146"/>
      <c r="AH5615" s="146"/>
      <c r="AI5615" s="147"/>
      <c r="AJ5615" s="148"/>
      <c r="AK5615" s="143"/>
      <c r="AL5615" s="144"/>
      <c r="AM5615" s="22"/>
      <c r="AN5615" s="149" t="s">
        <v>2131</v>
      </c>
      <c r="AO5615" s="144"/>
      <c r="AP5615" s="148">
        <v>3255</v>
      </c>
      <c r="AQ5615" s="144"/>
      <c r="AR5615" s="120"/>
      <c r="AS5615" s="121"/>
      <c r="AT5615" s="120"/>
      <c r="AU5615" s="121"/>
      <c r="AV5615" s="120"/>
      <c r="AW5615" s="121"/>
      <c r="AX5615" s="120"/>
      <c r="AY5615" s="121"/>
      <c r="AZ5615" s="138"/>
    </row>
    <row r="5616" spans="1:52" ht="17.100000000000001" customHeight="1" thickTop="1">
      <c r="A5616" s="109" t="s">
        <v>16456</v>
      </c>
      <c r="B5616" s="28">
        <v>46051</v>
      </c>
      <c r="C5616" s="25">
        <v>2012</v>
      </c>
      <c r="D5616" s="13" t="s">
        <v>1971</v>
      </c>
      <c r="E5616" s="111"/>
      <c r="F5616" s="113" t="s">
        <v>16481</v>
      </c>
      <c r="G5616" s="114"/>
      <c r="H5616" s="115"/>
      <c r="I5616" s="24"/>
      <c r="J5616" s="116">
        <v>4</v>
      </c>
      <c r="K5616" s="118">
        <v>940000</v>
      </c>
      <c r="L5616" s="119"/>
      <c r="M5616" s="118">
        <f t="shared" ref="M5616" si="7173">K5616*0.1</f>
        <v>94000</v>
      </c>
      <c r="N5616" s="119"/>
      <c r="O5616" s="118">
        <v>0</v>
      </c>
      <c r="P5616" s="119"/>
      <c r="Q5616" s="118">
        <v>6560</v>
      </c>
      <c r="R5616" s="119"/>
      <c r="S5616" s="118">
        <v>22000</v>
      </c>
      <c r="T5616" s="119"/>
      <c r="U5616" s="118">
        <f t="shared" ref="U5616" si="7174">SUM(K5616:T5617)</f>
        <v>1062560</v>
      </c>
      <c r="V5616" s="122"/>
      <c r="W5616" s="124"/>
      <c r="X5616" s="126" t="s">
        <v>16982</v>
      </c>
      <c r="Y5616" s="127"/>
      <c r="Z5616" s="127"/>
      <c r="AA5616" s="127"/>
      <c r="AB5616" s="128"/>
      <c r="AC5616" s="15" t="s">
        <v>20</v>
      </c>
      <c r="AD5616" s="129" t="s">
        <v>11853</v>
      </c>
      <c r="AE5616" s="130"/>
      <c r="AF5616" s="130"/>
      <c r="AG5616" s="130"/>
      <c r="AH5616" s="130"/>
      <c r="AI5616" s="131"/>
      <c r="AJ5616" s="132"/>
      <c r="AK5616" s="127"/>
      <c r="AL5616" s="128"/>
      <c r="AM5616" s="21"/>
      <c r="AN5616" s="133">
        <v>46057</v>
      </c>
      <c r="AO5616" s="134"/>
      <c r="AP5616" s="135">
        <v>1003</v>
      </c>
      <c r="AQ5616" s="136"/>
      <c r="AR5616" s="118">
        <v>1050000</v>
      </c>
      <c r="AS5616" s="119"/>
      <c r="AT5616" s="118">
        <f t="shared" ref="AT5616" si="7175">AR5616*0.1</f>
        <v>105000</v>
      </c>
      <c r="AU5616" s="119"/>
      <c r="AV5616" s="118">
        <v>6560</v>
      </c>
      <c r="AW5616" s="119"/>
      <c r="AX5616" s="118">
        <f t="shared" ref="AX5616" si="7176">SUM(AR5616:AW5616)</f>
        <v>1161560</v>
      </c>
      <c r="AY5616" s="119"/>
      <c r="AZ5616" s="137">
        <v>46063</v>
      </c>
    </row>
    <row r="5617" spans="1:52" ht="17.100000000000001" customHeight="1" thickBot="1">
      <c r="A5617" s="110"/>
      <c r="B5617" s="27" t="s">
        <v>2200</v>
      </c>
      <c r="C5617" s="27">
        <v>50153</v>
      </c>
      <c r="D5617" s="14" t="s">
        <v>133</v>
      </c>
      <c r="E5617" s="112"/>
      <c r="F5617" s="139" t="s">
        <v>16468</v>
      </c>
      <c r="G5617" s="140"/>
      <c r="H5617" s="141"/>
      <c r="I5617" s="26">
        <v>49386</v>
      </c>
      <c r="J5617" s="117"/>
      <c r="K5617" s="120"/>
      <c r="L5617" s="121"/>
      <c r="M5617" s="120"/>
      <c r="N5617" s="121"/>
      <c r="O5617" s="120"/>
      <c r="P5617" s="121"/>
      <c r="Q5617" s="120"/>
      <c r="R5617" s="121"/>
      <c r="S5617" s="120"/>
      <c r="T5617" s="121"/>
      <c r="U5617" s="120"/>
      <c r="V5617" s="123"/>
      <c r="W5617" s="125"/>
      <c r="X5617" s="142" t="s">
        <v>16949</v>
      </c>
      <c r="Y5617" s="143"/>
      <c r="Z5617" s="143"/>
      <c r="AA5617" s="143"/>
      <c r="AB5617" s="144"/>
      <c r="AC5617" s="16" t="s">
        <v>21</v>
      </c>
      <c r="AD5617" s="17" t="s">
        <v>3550</v>
      </c>
      <c r="AE5617" s="145" t="s">
        <v>12995</v>
      </c>
      <c r="AF5617" s="146"/>
      <c r="AG5617" s="146"/>
      <c r="AH5617" s="146"/>
      <c r="AI5617" s="147"/>
      <c r="AJ5617" s="148"/>
      <c r="AK5617" s="143"/>
      <c r="AL5617" s="144"/>
      <c r="AM5617" s="22"/>
      <c r="AN5617" s="149" t="s">
        <v>2794</v>
      </c>
      <c r="AO5617" s="144"/>
      <c r="AP5617" s="148">
        <v>5045</v>
      </c>
      <c r="AQ5617" s="144"/>
      <c r="AR5617" s="120"/>
      <c r="AS5617" s="121"/>
      <c r="AT5617" s="120"/>
      <c r="AU5617" s="121"/>
      <c r="AV5617" s="120"/>
      <c r="AW5617" s="121"/>
      <c r="AX5617" s="120"/>
      <c r="AY5617" s="121"/>
      <c r="AZ5617" s="138"/>
    </row>
    <row r="5618" spans="1:52" ht="17.100000000000001" customHeight="1" thickTop="1">
      <c r="A5618" s="109" t="s">
        <v>16457</v>
      </c>
      <c r="B5618" s="28">
        <v>46051</v>
      </c>
      <c r="C5618" s="25">
        <v>2012</v>
      </c>
      <c r="D5618" s="13" t="s">
        <v>3832</v>
      </c>
      <c r="E5618" s="111"/>
      <c r="F5618" s="113" t="s">
        <v>16482</v>
      </c>
      <c r="G5618" s="114"/>
      <c r="H5618" s="115"/>
      <c r="I5618" s="24" t="s">
        <v>4096</v>
      </c>
      <c r="J5618" s="116">
        <v>4</v>
      </c>
      <c r="K5618" s="118">
        <v>980000</v>
      </c>
      <c r="L5618" s="119"/>
      <c r="M5618" s="118">
        <f t="shared" ref="M5618" si="7177">K5618*0.1</f>
        <v>98000</v>
      </c>
      <c r="N5618" s="119"/>
      <c r="O5618" s="118">
        <v>0</v>
      </c>
      <c r="P5618" s="119"/>
      <c r="Q5618" s="118">
        <v>8320</v>
      </c>
      <c r="R5618" s="119"/>
      <c r="S5618" s="118">
        <v>22000</v>
      </c>
      <c r="T5618" s="119"/>
      <c r="U5618" s="118">
        <f t="shared" ref="U5618" si="7178">SUM(K5618:T5619)</f>
        <v>1108320</v>
      </c>
      <c r="V5618" s="122"/>
      <c r="W5618" s="124"/>
      <c r="X5618" s="126" t="s">
        <v>16483</v>
      </c>
      <c r="Y5618" s="127"/>
      <c r="Z5618" s="127"/>
      <c r="AA5618" s="127"/>
      <c r="AB5618" s="128"/>
      <c r="AC5618" s="15" t="s">
        <v>20</v>
      </c>
      <c r="AD5618" s="129" t="s">
        <v>2395</v>
      </c>
      <c r="AE5618" s="130"/>
      <c r="AF5618" s="130"/>
      <c r="AG5618" s="130"/>
      <c r="AH5618" s="130"/>
      <c r="AI5618" s="131"/>
      <c r="AJ5618" s="132"/>
      <c r="AK5618" s="127"/>
      <c r="AL5618" s="128"/>
      <c r="AM5618" s="21"/>
      <c r="AN5618" s="133">
        <v>46116</v>
      </c>
      <c r="AO5618" s="134"/>
      <c r="AP5618" s="135">
        <v>1295</v>
      </c>
      <c r="AQ5618" s="136"/>
      <c r="AR5618" s="118">
        <v>965000</v>
      </c>
      <c r="AS5618" s="119"/>
      <c r="AT5618" s="118">
        <f t="shared" ref="AT5618" si="7179">AR5618*0.1</f>
        <v>96500</v>
      </c>
      <c r="AU5618" s="119"/>
      <c r="AV5618" s="118">
        <v>8320</v>
      </c>
      <c r="AW5618" s="119"/>
      <c r="AX5618" s="118">
        <f t="shared" ref="AX5618" si="7180">SUM(AR5618:AW5618)</f>
        <v>1069820</v>
      </c>
      <c r="AY5618" s="119"/>
      <c r="AZ5618" s="137">
        <v>46119</v>
      </c>
    </row>
    <row r="5619" spans="1:52" ht="17.100000000000001" customHeight="1" thickBot="1">
      <c r="A5619" s="110"/>
      <c r="B5619" s="27" t="s">
        <v>2200</v>
      </c>
      <c r="C5619" s="27">
        <v>50154</v>
      </c>
      <c r="D5619" s="14" t="s">
        <v>904</v>
      </c>
      <c r="E5619" s="112"/>
      <c r="F5619" s="139" t="s">
        <v>16469</v>
      </c>
      <c r="G5619" s="140"/>
      <c r="H5619" s="141"/>
      <c r="I5619" s="26">
        <v>36340</v>
      </c>
      <c r="J5619" s="117"/>
      <c r="K5619" s="120"/>
      <c r="L5619" s="121"/>
      <c r="M5619" s="120"/>
      <c r="N5619" s="121"/>
      <c r="O5619" s="120"/>
      <c r="P5619" s="121"/>
      <c r="Q5619" s="120"/>
      <c r="R5619" s="121"/>
      <c r="S5619" s="120"/>
      <c r="T5619" s="121"/>
      <c r="U5619" s="120"/>
      <c r="V5619" s="123"/>
      <c r="W5619" s="125"/>
      <c r="X5619" s="142" t="s">
        <v>3535</v>
      </c>
      <c r="Y5619" s="143"/>
      <c r="Z5619" s="143"/>
      <c r="AA5619" s="143"/>
      <c r="AB5619" s="144"/>
      <c r="AC5619" s="16" t="s">
        <v>21</v>
      </c>
      <c r="AD5619" s="17" t="s">
        <v>3801</v>
      </c>
      <c r="AE5619" s="145" t="s">
        <v>171</v>
      </c>
      <c r="AF5619" s="146"/>
      <c r="AG5619" s="146"/>
      <c r="AH5619" s="146"/>
      <c r="AI5619" s="147"/>
      <c r="AJ5619" s="148"/>
      <c r="AK5619" s="143"/>
      <c r="AL5619" s="144"/>
      <c r="AM5619" s="22"/>
      <c r="AN5619" s="149" t="s">
        <v>2511</v>
      </c>
      <c r="AO5619" s="144"/>
      <c r="AP5619" s="148">
        <v>60069</v>
      </c>
      <c r="AQ5619" s="144"/>
      <c r="AR5619" s="120"/>
      <c r="AS5619" s="121"/>
      <c r="AT5619" s="120"/>
      <c r="AU5619" s="121"/>
      <c r="AV5619" s="120"/>
      <c r="AW5619" s="121"/>
      <c r="AX5619" s="120"/>
      <c r="AY5619" s="121"/>
      <c r="AZ5619" s="138"/>
    </row>
    <row r="5620" spans="1:52" ht="17.100000000000001" customHeight="1" thickTop="1">
      <c r="A5620" s="151" t="s">
        <v>16458</v>
      </c>
      <c r="B5620" s="28">
        <v>46051</v>
      </c>
      <c r="C5620" s="25">
        <v>2012</v>
      </c>
      <c r="D5620" s="13" t="s">
        <v>2211</v>
      </c>
      <c r="E5620" s="111"/>
      <c r="F5620" s="113" t="s">
        <v>16484</v>
      </c>
      <c r="G5620" s="114"/>
      <c r="H5620" s="115"/>
      <c r="I5620" s="24"/>
      <c r="J5620" s="116">
        <v>4</v>
      </c>
      <c r="K5620" s="118">
        <v>845000</v>
      </c>
      <c r="L5620" s="119"/>
      <c r="M5620" s="118">
        <f t="shared" ref="M5620" si="7181">K5620*0.1</f>
        <v>84500</v>
      </c>
      <c r="N5620" s="119"/>
      <c r="O5620" s="118">
        <v>0</v>
      </c>
      <c r="P5620" s="119"/>
      <c r="Q5620" s="118">
        <v>5990</v>
      </c>
      <c r="R5620" s="119"/>
      <c r="S5620" s="118">
        <v>22000</v>
      </c>
      <c r="T5620" s="119"/>
      <c r="U5620" s="118">
        <f t="shared" ref="U5620" si="7182">SUM(K5620:T5621)</f>
        <v>957490</v>
      </c>
      <c r="V5620" s="122"/>
      <c r="W5620" s="124"/>
      <c r="X5620" s="126" t="s">
        <v>16948</v>
      </c>
      <c r="Y5620" s="127"/>
      <c r="Z5620" s="127"/>
      <c r="AA5620" s="127"/>
      <c r="AB5620" s="128"/>
      <c r="AC5620" s="15" t="s">
        <v>20</v>
      </c>
      <c r="AD5620" s="129" t="s">
        <v>4982</v>
      </c>
      <c r="AE5620" s="130"/>
      <c r="AF5620" s="130"/>
      <c r="AG5620" s="130"/>
      <c r="AH5620" s="130"/>
      <c r="AI5620" s="131"/>
      <c r="AJ5620" s="132"/>
      <c r="AK5620" s="127"/>
      <c r="AL5620" s="128"/>
      <c r="AM5620" s="21"/>
      <c r="AN5620" s="133">
        <v>46056</v>
      </c>
      <c r="AO5620" s="134"/>
      <c r="AP5620" s="135"/>
      <c r="AQ5620" s="136"/>
      <c r="AR5620" s="118">
        <v>1070000</v>
      </c>
      <c r="AS5620" s="119"/>
      <c r="AT5620" s="118">
        <f t="shared" ref="AT5620" si="7183">AR5620*0.1</f>
        <v>107000</v>
      </c>
      <c r="AU5620" s="119"/>
      <c r="AV5620" s="118">
        <v>5990</v>
      </c>
      <c r="AW5620" s="119"/>
      <c r="AX5620" s="118">
        <f t="shared" ref="AX5620" si="7184">SUM(AR5620:AW5620)</f>
        <v>1182990</v>
      </c>
      <c r="AY5620" s="119"/>
      <c r="AZ5620" s="137"/>
    </row>
    <row r="5621" spans="1:52" ht="17.100000000000001" customHeight="1" thickBot="1">
      <c r="A5621" s="152"/>
      <c r="B5621" s="27" t="s">
        <v>2200</v>
      </c>
      <c r="C5621" s="27">
        <v>50163</v>
      </c>
      <c r="D5621" s="14" t="s">
        <v>2040</v>
      </c>
      <c r="E5621" s="112"/>
      <c r="F5621" s="139" t="s">
        <v>16470</v>
      </c>
      <c r="G5621" s="140"/>
      <c r="H5621" s="141"/>
      <c r="I5621" s="26">
        <v>52734</v>
      </c>
      <c r="J5621" s="117"/>
      <c r="K5621" s="120"/>
      <c r="L5621" s="121"/>
      <c r="M5621" s="120"/>
      <c r="N5621" s="121"/>
      <c r="O5621" s="120"/>
      <c r="P5621" s="121"/>
      <c r="Q5621" s="120"/>
      <c r="R5621" s="121"/>
      <c r="S5621" s="120"/>
      <c r="T5621" s="121"/>
      <c r="U5621" s="120"/>
      <c r="V5621" s="123"/>
      <c r="W5621" s="125"/>
      <c r="X5621" s="142" t="s">
        <v>16949</v>
      </c>
      <c r="Y5621" s="143"/>
      <c r="Z5621" s="143"/>
      <c r="AA5621" s="143"/>
      <c r="AB5621" s="144"/>
      <c r="AC5621" s="16" t="s">
        <v>21</v>
      </c>
      <c r="AD5621" s="17" t="s">
        <v>3550</v>
      </c>
      <c r="AE5621" s="145" t="s">
        <v>3123</v>
      </c>
      <c r="AF5621" s="146"/>
      <c r="AG5621" s="146"/>
      <c r="AH5621" s="146"/>
      <c r="AI5621" s="147"/>
      <c r="AJ5621" s="148"/>
      <c r="AK5621" s="143"/>
      <c r="AL5621" s="144"/>
      <c r="AM5621" s="22"/>
      <c r="AN5621" s="149" t="s">
        <v>6789</v>
      </c>
      <c r="AO5621" s="144"/>
      <c r="AP5621" s="148">
        <v>83921</v>
      </c>
      <c r="AQ5621" s="144"/>
      <c r="AR5621" s="120"/>
      <c r="AS5621" s="121"/>
      <c r="AT5621" s="120"/>
      <c r="AU5621" s="121"/>
      <c r="AV5621" s="120"/>
      <c r="AW5621" s="121"/>
      <c r="AX5621" s="120"/>
      <c r="AY5621" s="121"/>
      <c r="AZ5621" s="138"/>
    </row>
    <row r="5622" spans="1:52" ht="17.100000000000001" customHeight="1" thickTop="1">
      <c r="A5622" s="109" t="s">
        <v>16459</v>
      </c>
      <c r="B5622" s="28">
        <v>46051</v>
      </c>
      <c r="C5622" s="25">
        <v>2012</v>
      </c>
      <c r="D5622" s="13" t="s">
        <v>2211</v>
      </c>
      <c r="E5622" s="111"/>
      <c r="F5622" s="113" t="s">
        <v>16484</v>
      </c>
      <c r="G5622" s="114"/>
      <c r="H5622" s="115"/>
      <c r="I5622" s="24"/>
      <c r="J5622" s="116">
        <v>4</v>
      </c>
      <c r="K5622" s="118">
        <v>1078000</v>
      </c>
      <c r="L5622" s="119"/>
      <c r="M5622" s="118">
        <f t="shared" ref="M5622" si="7185">K5622*0.1</f>
        <v>107800</v>
      </c>
      <c r="N5622" s="119"/>
      <c r="O5622" s="118">
        <v>0</v>
      </c>
      <c r="P5622" s="119"/>
      <c r="Q5622" s="118">
        <v>5990</v>
      </c>
      <c r="R5622" s="119"/>
      <c r="S5622" s="118">
        <v>22000</v>
      </c>
      <c r="T5622" s="119"/>
      <c r="U5622" s="118">
        <f t="shared" ref="U5622" si="7186">SUM(K5622:T5623)</f>
        <v>1213790</v>
      </c>
      <c r="V5622" s="122"/>
      <c r="W5622" s="124"/>
      <c r="X5622" s="126" t="s">
        <v>16983</v>
      </c>
      <c r="Y5622" s="127"/>
      <c r="Z5622" s="127"/>
      <c r="AA5622" s="127"/>
      <c r="AB5622" s="128"/>
      <c r="AC5622" s="15" t="s">
        <v>20</v>
      </c>
      <c r="AD5622" s="129" t="s">
        <v>4982</v>
      </c>
      <c r="AE5622" s="130"/>
      <c r="AF5622" s="130"/>
      <c r="AG5622" s="130"/>
      <c r="AH5622" s="130"/>
      <c r="AI5622" s="131"/>
      <c r="AJ5622" s="132"/>
      <c r="AK5622" s="127"/>
      <c r="AL5622" s="128"/>
      <c r="AM5622" s="21"/>
      <c r="AN5622" s="133">
        <v>46057</v>
      </c>
      <c r="AO5622" s="134"/>
      <c r="AP5622" s="135">
        <v>1003</v>
      </c>
      <c r="AQ5622" s="136"/>
      <c r="AR5622" s="118">
        <v>1155000</v>
      </c>
      <c r="AS5622" s="119"/>
      <c r="AT5622" s="118">
        <f t="shared" ref="AT5622" si="7187">AR5622*0.1</f>
        <v>115500</v>
      </c>
      <c r="AU5622" s="119"/>
      <c r="AV5622" s="118">
        <v>5990</v>
      </c>
      <c r="AW5622" s="119"/>
      <c r="AX5622" s="118">
        <f t="shared" ref="AX5622" si="7188">SUM(AR5622:AW5622)</f>
        <v>1276490</v>
      </c>
      <c r="AY5622" s="119"/>
      <c r="AZ5622" s="137">
        <v>46063</v>
      </c>
    </row>
    <row r="5623" spans="1:52" ht="17.100000000000001" customHeight="1" thickBot="1">
      <c r="A5623" s="110"/>
      <c r="B5623" s="27" t="s">
        <v>2200</v>
      </c>
      <c r="C5623" s="27">
        <v>50173</v>
      </c>
      <c r="D5623" s="14" t="s">
        <v>2040</v>
      </c>
      <c r="E5623" s="112"/>
      <c r="F5623" s="139" t="s">
        <v>16471</v>
      </c>
      <c r="G5623" s="140"/>
      <c r="H5623" s="141"/>
      <c r="I5623" s="26">
        <v>46917</v>
      </c>
      <c r="J5623" s="117"/>
      <c r="K5623" s="120"/>
      <c r="L5623" s="121"/>
      <c r="M5623" s="120"/>
      <c r="N5623" s="121"/>
      <c r="O5623" s="120"/>
      <c r="P5623" s="121"/>
      <c r="Q5623" s="120"/>
      <c r="R5623" s="121"/>
      <c r="S5623" s="120"/>
      <c r="T5623" s="121"/>
      <c r="U5623" s="120"/>
      <c r="V5623" s="123"/>
      <c r="W5623" s="125"/>
      <c r="X5623" s="142" t="s">
        <v>16949</v>
      </c>
      <c r="Y5623" s="143"/>
      <c r="Z5623" s="143"/>
      <c r="AA5623" s="143"/>
      <c r="AB5623" s="144"/>
      <c r="AC5623" s="16" t="s">
        <v>21</v>
      </c>
      <c r="AD5623" s="17" t="s">
        <v>3550</v>
      </c>
      <c r="AE5623" s="145" t="s">
        <v>1670</v>
      </c>
      <c r="AF5623" s="146"/>
      <c r="AG5623" s="146"/>
      <c r="AH5623" s="146"/>
      <c r="AI5623" s="147"/>
      <c r="AJ5623" s="148"/>
      <c r="AK5623" s="143"/>
      <c r="AL5623" s="144"/>
      <c r="AM5623" s="22"/>
      <c r="AN5623" s="149" t="s">
        <v>2794</v>
      </c>
      <c r="AO5623" s="144"/>
      <c r="AP5623" s="148">
        <v>5051</v>
      </c>
      <c r="AQ5623" s="144"/>
      <c r="AR5623" s="120"/>
      <c r="AS5623" s="121"/>
      <c r="AT5623" s="120"/>
      <c r="AU5623" s="121"/>
      <c r="AV5623" s="120"/>
      <c r="AW5623" s="121"/>
      <c r="AX5623" s="120"/>
      <c r="AY5623" s="121"/>
      <c r="AZ5623" s="138"/>
    </row>
    <row r="5624" spans="1:52" ht="17.100000000000001" customHeight="1" thickTop="1">
      <c r="A5624" s="109" t="s">
        <v>16460</v>
      </c>
      <c r="B5624" s="28">
        <v>46051</v>
      </c>
      <c r="C5624" s="25">
        <v>2012</v>
      </c>
      <c r="D5624" s="13" t="s">
        <v>1549</v>
      </c>
      <c r="E5624" s="111"/>
      <c r="F5624" s="113" t="s">
        <v>10259</v>
      </c>
      <c r="G5624" s="114"/>
      <c r="H5624" s="115"/>
      <c r="I5624" s="24" t="s">
        <v>4314</v>
      </c>
      <c r="J5624" s="116">
        <v>4</v>
      </c>
      <c r="K5624" s="118">
        <v>1415000</v>
      </c>
      <c r="L5624" s="119"/>
      <c r="M5624" s="118">
        <f t="shared" ref="M5624" si="7189">K5624*0.1</f>
        <v>141500</v>
      </c>
      <c r="N5624" s="119"/>
      <c r="O5624" s="118">
        <v>0</v>
      </c>
      <c r="P5624" s="119"/>
      <c r="Q5624" s="118">
        <v>7790</v>
      </c>
      <c r="R5624" s="119"/>
      <c r="S5624" s="118">
        <v>22000</v>
      </c>
      <c r="T5624" s="119"/>
      <c r="U5624" s="118">
        <f t="shared" ref="U5624" si="7190">SUM(K5624:T5625)</f>
        <v>1586290</v>
      </c>
      <c r="V5624" s="122"/>
      <c r="W5624" s="124"/>
      <c r="X5624" s="126" t="s">
        <v>16485</v>
      </c>
      <c r="Y5624" s="127"/>
      <c r="Z5624" s="127"/>
      <c r="AA5624" s="127"/>
      <c r="AB5624" s="128"/>
      <c r="AC5624" s="15" t="s">
        <v>20</v>
      </c>
      <c r="AD5624" s="129" t="s">
        <v>171</v>
      </c>
      <c r="AE5624" s="130"/>
      <c r="AF5624" s="130"/>
      <c r="AG5624" s="130"/>
      <c r="AH5624" s="130"/>
      <c r="AI5624" s="131"/>
      <c r="AJ5624" s="132"/>
      <c r="AK5624" s="127"/>
      <c r="AL5624" s="128"/>
      <c r="AM5624" s="21" t="s">
        <v>18029</v>
      </c>
      <c r="AN5624" s="133">
        <v>46071</v>
      </c>
      <c r="AO5624" s="134"/>
      <c r="AP5624" s="135">
        <v>1005</v>
      </c>
      <c r="AQ5624" s="136"/>
      <c r="AR5624" s="118">
        <v>1490000</v>
      </c>
      <c r="AS5624" s="119"/>
      <c r="AT5624" s="118">
        <f t="shared" ref="AT5624" si="7191">AR5624*0.1</f>
        <v>149000</v>
      </c>
      <c r="AU5624" s="119"/>
      <c r="AV5624" s="118">
        <v>7790</v>
      </c>
      <c r="AW5624" s="119"/>
      <c r="AX5624" s="118">
        <f t="shared" ref="AX5624" si="7192">SUM(AR5624:AW5624)</f>
        <v>1646790</v>
      </c>
      <c r="AY5624" s="119"/>
      <c r="AZ5624" s="137">
        <v>46073</v>
      </c>
    </row>
    <row r="5625" spans="1:52" ht="17.100000000000001" customHeight="1" thickBot="1">
      <c r="A5625" s="110"/>
      <c r="B5625" s="27" t="s">
        <v>2200</v>
      </c>
      <c r="C5625" s="27">
        <v>50177</v>
      </c>
      <c r="D5625" s="14" t="s">
        <v>2836</v>
      </c>
      <c r="E5625" s="112"/>
      <c r="F5625" s="139" t="s">
        <v>16472</v>
      </c>
      <c r="G5625" s="140"/>
      <c r="H5625" s="141"/>
      <c r="I5625" s="26">
        <v>36231</v>
      </c>
      <c r="J5625" s="117"/>
      <c r="K5625" s="120"/>
      <c r="L5625" s="121"/>
      <c r="M5625" s="120"/>
      <c r="N5625" s="121"/>
      <c r="O5625" s="120"/>
      <c r="P5625" s="121"/>
      <c r="Q5625" s="120"/>
      <c r="R5625" s="121"/>
      <c r="S5625" s="120"/>
      <c r="T5625" s="121"/>
      <c r="U5625" s="120"/>
      <c r="V5625" s="123"/>
      <c r="W5625" s="125"/>
      <c r="X5625" s="142" t="s">
        <v>16934</v>
      </c>
      <c r="Y5625" s="143"/>
      <c r="Z5625" s="143"/>
      <c r="AA5625" s="143"/>
      <c r="AB5625" s="144"/>
      <c r="AC5625" s="16" t="s">
        <v>21</v>
      </c>
      <c r="AD5625" s="17" t="s">
        <v>3801</v>
      </c>
      <c r="AE5625" s="145" t="s">
        <v>171</v>
      </c>
      <c r="AF5625" s="146"/>
      <c r="AG5625" s="146"/>
      <c r="AH5625" s="146"/>
      <c r="AI5625" s="147"/>
      <c r="AJ5625" s="148"/>
      <c r="AK5625" s="143"/>
      <c r="AL5625" s="144"/>
      <c r="AM5625" s="22"/>
      <c r="AN5625" s="149" t="s">
        <v>2794</v>
      </c>
      <c r="AO5625" s="144"/>
      <c r="AP5625" s="148">
        <v>2018</v>
      </c>
      <c r="AQ5625" s="144"/>
      <c r="AR5625" s="120"/>
      <c r="AS5625" s="121"/>
      <c r="AT5625" s="120"/>
      <c r="AU5625" s="121"/>
      <c r="AV5625" s="120"/>
      <c r="AW5625" s="121"/>
      <c r="AX5625" s="120"/>
      <c r="AY5625" s="121"/>
      <c r="AZ5625" s="138"/>
    </row>
    <row r="5626" spans="1:52" ht="17.100000000000001" customHeight="1" thickTop="1">
      <c r="A5626" s="109" t="s">
        <v>16461</v>
      </c>
      <c r="B5626" s="28">
        <v>46051</v>
      </c>
      <c r="C5626" s="25">
        <v>2012</v>
      </c>
      <c r="D5626" s="13" t="s">
        <v>2390</v>
      </c>
      <c r="E5626" s="111"/>
      <c r="F5626" s="113" t="s">
        <v>16486</v>
      </c>
      <c r="G5626" s="114"/>
      <c r="H5626" s="115"/>
      <c r="I5626" s="24"/>
      <c r="J5626" s="116">
        <v>3.5</v>
      </c>
      <c r="K5626" s="118">
        <v>403000</v>
      </c>
      <c r="L5626" s="119"/>
      <c r="M5626" s="118">
        <f t="shared" ref="M5626" si="7193">K5626*0.1</f>
        <v>40300</v>
      </c>
      <c r="N5626" s="119"/>
      <c r="O5626" s="118">
        <v>0</v>
      </c>
      <c r="P5626" s="119"/>
      <c r="Q5626" s="118">
        <v>9210</v>
      </c>
      <c r="R5626" s="119"/>
      <c r="S5626" s="118">
        <v>22000</v>
      </c>
      <c r="T5626" s="119"/>
      <c r="U5626" s="118">
        <f t="shared" ref="U5626" si="7194">SUM(K5626:T5627)</f>
        <v>474510</v>
      </c>
      <c r="V5626" s="122"/>
      <c r="W5626" s="124"/>
      <c r="X5626" s="126" t="s">
        <v>17427</v>
      </c>
      <c r="Y5626" s="127"/>
      <c r="Z5626" s="127"/>
      <c r="AA5626" s="127"/>
      <c r="AB5626" s="128"/>
      <c r="AC5626" s="15" t="s">
        <v>20</v>
      </c>
      <c r="AD5626" s="129" t="s">
        <v>16487</v>
      </c>
      <c r="AE5626" s="130"/>
      <c r="AF5626" s="130"/>
      <c r="AG5626" s="130"/>
      <c r="AH5626" s="130"/>
      <c r="AI5626" s="131"/>
      <c r="AJ5626" s="132"/>
      <c r="AK5626" s="127"/>
      <c r="AL5626" s="128"/>
      <c r="AM5626" s="21"/>
      <c r="AN5626" s="133">
        <v>46064</v>
      </c>
      <c r="AO5626" s="134"/>
      <c r="AP5626" s="135">
        <v>1004</v>
      </c>
      <c r="AQ5626" s="136"/>
      <c r="AR5626" s="118">
        <v>450000</v>
      </c>
      <c r="AS5626" s="119"/>
      <c r="AT5626" s="118">
        <f t="shared" ref="AT5626" si="7195">AR5626*0.1</f>
        <v>45000</v>
      </c>
      <c r="AU5626" s="119"/>
      <c r="AV5626" s="118">
        <v>9210</v>
      </c>
      <c r="AW5626" s="119"/>
      <c r="AX5626" s="118">
        <f t="shared" ref="AX5626" si="7196">SUM(AR5626:AW5626)</f>
        <v>504210</v>
      </c>
      <c r="AY5626" s="119"/>
      <c r="AZ5626" s="137">
        <v>46069</v>
      </c>
    </row>
    <row r="5627" spans="1:52" ht="17.100000000000001" customHeight="1" thickBot="1">
      <c r="A5627" s="110"/>
      <c r="B5627" s="27" t="s">
        <v>2200</v>
      </c>
      <c r="C5627" s="27">
        <v>50193</v>
      </c>
      <c r="D5627" s="14" t="s">
        <v>2836</v>
      </c>
      <c r="E5627" s="112"/>
      <c r="F5627" s="139" t="s">
        <v>16473</v>
      </c>
      <c r="G5627" s="140"/>
      <c r="H5627" s="141"/>
      <c r="I5627" s="26">
        <v>65030</v>
      </c>
      <c r="J5627" s="117"/>
      <c r="K5627" s="120"/>
      <c r="L5627" s="121"/>
      <c r="M5627" s="120"/>
      <c r="N5627" s="121"/>
      <c r="O5627" s="120"/>
      <c r="P5627" s="121"/>
      <c r="Q5627" s="120"/>
      <c r="R5627" s="121"/>
      <c r="S5627" s="120"/>
      <c r="T5627" s="121"/>
      <c r="U5627" s="120"/>
      <c r="V5627" s="123"/>
      <c r="W5627" s="125"/>
      <c r="X5627" s="142" t="s">
        <v>17428</v>
      </c>
      <c r="Y5627" s="143"/>
      <c r="Z5627" s="143"/>
      <c r="AA5627" s="143"/>
      <c r="AB5627" s="144"/>
      <c r="AC5627" s="16" t="s">
        <v>21</v>
      </c>
      <c r="AD5627" s="17" t="s">
        <v>1845</v>
      </c>
      <c r="AE5627" s="145"/>
      <c r="AF5627" s="146"/>
      <c r="AG5627" s="146"/>
      <c r="AH5627" s="146"/>
      <c r="AI5627" s="147"/>
      <c r="AJ5627" s="148"/>
      <c r="AK5627" s="143"/>
      <c r="AL5627" s="144"/>
      <c r="AM5627" s="22"/>
      <c r="AN5627" s="149" t="s">
        <v>2794</v>
      </c>
      <c r="AO5627" s="144"/>
      <c r="AP5627" s="148">
        <v>2019</v>
      </c>
      <c r="AQ5627" s="144"/>
      <c r="AR5627" s="120"/>
      <c r="AS5627" s="121"/>
      <c r="AT5627" s="120"/>
      <c r="AU5627" s="121"/>
      <c r="AV5627" s="120"/>
      <c r="AW5627" s="121"/>
      <c r="AX5627" s="120"/>
      <c r="AY5627" s="121"/>
      <c r="AZ5627" s="138"/>
    </row>
    <row r="5628" spans="1:52" ht="17.100000000000001" customHeight="1" thickTop="1">
      <c r="A5628" s="109" t="s">
        <v>16538</v>
      </c>
      <c r="B5628" s="28">
        <v>46052</v>
      </c>
      <c r="C5628" s="25">
        <v>276</v>
      </c>
      <c r="D5628" s="13" t="s">
        <v>859</v>
      </c>
      <c r="E5628" s="111"/>
      <c r="F5628" s="113" t="s">
        <v>10019</v>
      </c>
      <c r="G5628" s="114"/>
      <c r="H5628" s="115"/>
      <c r="I5628" s="24" t="s">
        <v>3923</v>
      </c>
      <c r="J5628" s="116">
        <v>4.5</v>
      </c>
      <c r="K5628" s="118">
        <v>1379000</v>
      </c>
      <c r="L5628" s="119"/>
      <c r="M5628" s="118">
        <f t="shared" ref="M5628" si="7197">K5628*0.1</f>
        <v>137900</v>
      </c>
      <c r="N5628" s="119"/>
      <c r="O5628" s="118">
        <v>0</v>
      </c>
      <c r="P5628" s="119"/>
      <c r="Q5628" s="118">
        <v>8740</v>
      </c>
      <c r="R5628" s="119"/>
      <c r="S5628" s="118">
        <v>22000</v>
      </c>
      <c r="T5628" s="119"/>
      <c r="U5628" s="118">
        <f t="shared" ref="U5628" si="7198">SUM(K5628:T5629)</f>
        <v>1547640</v>
      </c>
      <c r="V5628" s="122"/>
      <c r="W5628" s="124"/>
      <c r="X5628" s="126" t="s">
        <v>16489</v>
      </c>
      <c r="Y5628" s="127"/>
      <c r="Z5628" s="127"/>
      <c r="AA5628" s="127"/>
      <c r="AB5628" s="128"/>
      <c r="AC5628" s="15" t="s">
        <v>20</v>
      </c>
      <c r="AD5628" s="129" t="s">
        <v>11868</v>
      </c>
      <c r="AE5628" s="130"/>
      <c r="AF5628" s="130"/>
      <c r="AG5628" s="130"/>
      <c r="AH5628" s="130"/>
      <c r="AI5628" s="131"/>
      <c r="AJ5628" s="132"/>
      <c r="AK5628" s="127"/>
      <c r="AL5628" s="128"/>
      <c r="AM5628" s="21" t="s">
        <v>16994</v>
      </c>
      <c r="AN5628" s="133">
        <v>46056</v>
      </c>
      <c r="AO5628" s="134"/>
      <c r="AP5628" s="135">
        <v>1927</v>
      </c>
      <c r="AQ5628" s="136"/>
      <c r="AR5628" s="118">
        <v>1418000</v>
      </c>
      <c r="AS5628" s="119"/>
      <c r="AT5628" s="118">
        <f t="shared" ref="AT5628" si="7199">AR5628*0.1</f>
        <v>141800</v>
      </c>
      <c r="AU5628" s="119"/>
      <c r="AV5628" s="118">
        <v>8740</v>
      </c>
      <c r="AW5628" s="119"/>
      <c r="AX5628" s="118">
        <f t="shared" ref="AX5628" si="7200">SUM(AR5628:AW5628)</f>
        <v>1568540</v>
      </c>
      <c r="AY5628" s="119"/>
      <c r="AZ5628" s="137">
        <v>46063</v>
      </c>
    </row>
    <row r="5629" spans="1:52" ht="17.100000000000001" customHeight="1" thickBot="1">
      <c r="A5629" s="110"/>
      <c r="B5629" s="27" t="s">
        <v>5050</v>
      </c>
      <c r="C5629" s="27">
        <v>73</v>
      </c>
      <c r="D5629" s="14" t="s">
        <v>2601</v>
      </c>
      <c r="E5629" s="112"/>
      <c r="F5629" s="139" t="s">
        <v>16488</v>
      </c>
      <c r="G5629" s="140"/>
      <c r="H5629" s="141"/>
      <c r="I5629" s="26">
        <v>15624</v>
      </c>
      <c r="J5629" s="117"/>
      <c r="K5629" s="120"/>
      <c r="L5629" s="121"/>
      <c r="M5629" s="120"/>
      <c r="N5629" s="121"/>
      <c r="O5629" s="120"/>
      <c r="P5629" s="121"/>
      <c r="Q5629" s="120"/>
      <c r="R5629" s="121"/>
      <c r="S5629" s="120"/>
      <c r="T5629" s="121"/>
      <c r="U5629" s="120"/>
      <c r="V5629" s="123"/>
      <c r="W5629" s="125"/>
      <c r="X5629" s="142" t="s">
        <v>7096</v>
      </c>
      <c r="Y5629" s="143"/>
      <c r="Z5629" s="143"/>
      <c r="AA5629" s="143"/>
      <c r="AB5629" s="144"/>
      <c r="AC5629" s="16" t="s">
        <v>21</v>
      </c>
      <c r="AD5629" s="17" t="s">
        <v>3801</v>
      </c>
      <c r="AE5629" s="145"/>
      <c r="AF5629" s="146"/>
      <c r="AG5629" s="146"/>
      <c r="AH5629" s="146"/>
      <c r="AI5629" s="147"/>
      <c r="AJ5629" s="148"/>
      <c r="AK5629" s="143"/>
      <c r="AL5629" s="144"/>
      <c r="AM5629" s="22"/>
      <c r="AN5629" s="149" t="s">
        <v>2131</v>
      </c>
      <c r="AO5629" s="144"/>
      <c r="AP5629" s="148">
        <v>3287</v>
      </c>
      <c r="AQ5629" s="144"/>
      <c r="AR5629" s="120"/>
      <c r="AS5629" s="121"/>
      <c r="AT5629" s="120"/>
      <c r="AU5629" s="121"/>
      <c r="AV5629" s="120"/>
      <c r="AW5629" s="121"/>
      <c r="AX5629" s="120"/>
      <c r="AY5629" s="121"/>
      <c r="AZ5629" s="138"/>
    </row>
    <row r="5630" spans="1:52" ht="17.100000000000001" customHeight="1" thickTop="1">
      <c r="A5630" s="109" t="s">
        <v>16539</v>
      </c>
      <c r="B5630" s="28">
        <v>46052</v>
      </c>
      <c r="C5630" s="25">
        <v>276</v>
      </c>
      <c r="D5630" s="13" t="s">
        <v>1688</v>
      </c>
      <c r="E5630" s="111"/>
      <c r="F5630" s="113" t="s">
        <v>9187</v>
      </c>
      <c r="G5630" s="114"/>
      <c r="H5630" s="115"/>
      <c r="I5630" s="24"/>
      <c r="J5630" s="116">
        <v>4.5</v>
      </c>
      <c r="K5630" s="118">
        <v>717000</v>
      </c>
      <c r="L5630" s="119"/>
      <c r="M5630" s="118">
        <f t="shared" ref="M5630" si="7201">K5630*0.1</f>
        <v>71700</v>
      </c>
      <c r="N5630" s="119"/>
      <c r="O5630" s="118">
        <v>0</v>
      </c>
      <c r="P5630" s="119"/>
      <c r="Q5630" s="118">
        <v>7040</v>
      </c>
      <c r="R5630" s="119"/>
      <c r="S5630" s="118">
        <v>22000</v>
      </c>
      <c r="T5630" s="119"/>
      <c r="U5630" s="118">
        <f t="shared" ref="U5630" si="7202">SUM(K5630:T5631)</f>
        <v>817740</v>
      </c>
      <c r="V5630" s="122"/>
      <c r="W5630" s="124"/>
      <c r="X5630" s="126" t="s">
        <v>16895</v>
      </c>
      <c r="Y5630" s="127"/>
      <c r="Z5630" s="127"/>
      <c r="AA5630" s="127"/>
      <c r="AB5630" s="128"/>
      <c r="AC5630" s="15" t="s">
        <v>20</v>
      </c>
      <c r="AD5630" s="129" t="s">
        <v>171</v>
      </c>
      <c r="AE5630" s="130"/>
      <c r="AF5630" s="130"/>
      <c r="AG5630" s="130"/>
      <c r="AH5630" s="130"/>
      <c r="AI5630" s="131"/>
      <c r="AJ5630" s="132"/>
      <c r="AK5630" s="127"/>
      <c r="AL5630" s="128"/>
      <c r="AM5630" s="21"/>
      <c r="AN5630" s="133">
        <v>46056</v>
      </c>
      <c r="AO5630" s="134"/>
      <c r="AP5630" s="135">
        <v>1927</v>
      </c>
      <c r="AQ5630" s="136"/>
      <c r="AR5630" s="118">
        <v>767000</v>
      </c>
      <c r="AS5630" s="119"/>
      <c r="AT5630" s="118">
        <f t="shared" ref="AT5630" si="7203">AR5630*0.1</f>
        <v>76700</v>
      </c>
      <c r="AU5630" s="119"/>
      <c r="AV5630" s="118">
        <v>7040</v>
      </c>
      <c r="AW5630" s="119"/>
      <c r="AX5630" s="118">
        <f t="shared" ref="AX5630" si="7204">SUM(AR5630:AW5630)</f>
        <v>850740</v>
      </c>
      <c r="AY5630" s="119"/>
      <c r="AZ5630" s="137">
        <v>46063</v>
      </c>
    </row>
    <row r="5631" spans="1:52" ht="17.100000000000001" customHeight="1" thickBot="1">
      <c r="A5631" s="110"/>
      <c r="B5631" s="27" t="s">
        <v>5050</v>
      </c>
      <c r="C5631" s="27">
        <v>103</v>
      </c>
      <c r="D5631" s="14" t="s">
        <v>275</v>
      </c>
      <c r="E5631" s="112"/>
      <c r="F5631" s="139" t="s">
        <v>16490</v>
      </c>
      <c r="G5631" s="140"/>
      <c r="H5631" s="141"/>
      <c r="I5631" s="26">
        <v>56279</v>
      </c>
      <c r="J5631" s="117"/>
      <c r="K5631" s="120"/>
      <c r="L5631" s="121"/>
      <c r="M5631" s="120"/>
      <c r="N5631" s="121"/>
      <c r="O5631" s="120"/>
      <c r="P5631" s="121"/>
      <c r="Q5631" s="120"/>
      <c r="R5631" s="121"/>
      <c r="S5631" s="120"/>
      <c r="T5631" s="121"/>
      <c r="U5631" s="120"/>
      <c r="V5631" s="123"/>
      <c r="W5631" s="125"/>
      <c r="X5631" s="142" t="s">
        <v>1673</v>
      </c>
      <c r="Y5631" s="143"/>
      <c r="Z5631" s="143"/>
      <c r="AA5631" s="143"/>
      <c r="AB5631" s="144"/>
      <c r="AC5631" s="16" t="s">
        <v>21</v>
      </c>
      <c r="AD5631" s="17" t="s">
        <v>3801</v>
      </c>
      <c r="AE5631" s="145" t="s">
        <v>171</v>
      </c>
      <c r="AF5631" s="146"/>
      <c r="AG5631" s="146"/>
      <c r="AH5631" s="146"/>
      <c r="AI5631" s="147"/>
      <c r="AJ5631" s="148"/>
      <c r="AK5631" s="143"/>
      <c r="AL5631" s="144"/>
      <c r="AM5631" s="22"/>
      <c r="AN5631" s="149" t="s">
        <v>2131</v>
      </c>
      <c r="AO5631" s="144"/>
      <c r="AP5631" s="148">
        <v>3291</v>
      </c>
      <c r="AQ5631" s="144"/>
      <c r="AR5631" s="120"/>
      <c r="AS5631" s="121"/>
      <c r="AT5631" s="120"/>
      <c r="AU5631" s="121"/>
      <c r="AV5631" s="120"/>
      <c r="AW5631" s="121"/>
      <c r="AX5631" s="120"/>
      <c r="AY5631" s="121"/>
      <c r="AZ5631" s="138"/>
    </row>
    <row r="5632" spans="1:52" ht="17.100000000000001" customHeight="1" thickTop="1">
      <c r="A5632" s="109" t="s">
        <v>16540</v>
      </c>
      <c r="B5632" s="28">
        <v>46052</v>
      </c>
      <c r="C5632" s="25">
        <v>276</v>
      </c>
      <c r="D5632" s="13" t="s">
        <v>1752</v>
      </c>
      <c r="E5632" s="111"/>
      <c r="F5632" s="113" t="s">
        <v>16491</v>
      </c>
      <c r="G5632" s="114"/>
      <c r="H5632" s="115"/>
      <c r="I5632" s="24" t="s">
        <v>2571</v>
      </c>
      <c r="J5632" s="116">
        <v>4</v>
      </c>
      <c r="K5632" s="118">
        <v>570000</v>
      </c>
      <c r="L5632" s="119"/>
      <c r="M5632" s="118">
        <f t="shared" ref="M5632" si="7205">K5632*0.1</f>
        <v>57000</v>
      </c>
      <c r="N5632" s="119"/>
      <c r="O5632" s="118">
        <v>0</v>
      </c>
      <c r="P5632" s="119"/>
      <c r="Q5632" s="118">
        <v>9550</v>
      </c>
      <c r="R5632" s="119"/>
      <c r="S5632" s="118">
        <v>22000</v>
      </c>
      <c r="T5632" s="119"/>
      <c r="U5632" s="118">
        <f t="shared" ref="U5632" si="7206">SUM(K5632:T5633)</f>
        <v>658550</v>
      </c>
      <c r="V5632" s="122"/>
      <c r="W5632" s="124"/>
      <c r="X5632" s="126" t="s">
        <v>16493</v>
      </c>
      <c r="Y5632" s="127"/>
      <c r="Z5632" s="127"/>
      <c r="AA5632" s="127"/>
      <c r="AB5632" s="128"/>
      <c r="AC5632" s="15" t="s">
        <v>20</v>
      </c>
      <c r="AD5632" s="129" t="s">
        <v>9186</v>
      </c>
      <c r="AE5632" s="130"/>
      <c r="AF5632" s="130"/>
      <c r="AG5632" s="130"/>
      <c r="AH5632" s="130"/>
      <c r="AI5632" s="131"/>
      <c r="AJ5632" s="132"/>
      <c r="AK5632" s="127"/>
      <c r="AL5632" s="128"/>
      <c r="AM5632" s="21" t="s">
        <v>17466</v>
      </c>
      <c r="AN5632" s="133">
        <v>46057</v>
      </c>
      <c r="AO5632" s="134"/>
      <c r="AP5632" s="135">
        <v>1003</v>
      </c>
      <c r="AQ5632" s="136"/>
      <c r="AR5632" s="118">
        <v>680000</v>
      </c>
      <c r="AS5632" s="119"/>
      <c r="AT5632" s="118">
        <f t="shared" ref="AT5632" si="7207">AR5632*0.1</f>
        <v>68000</v>
      </c>
      <c r="AU5632" s="119"/>
      <c r="AV5632" s="118">
        <v>9550</v>
      </c>
      <c r="AW5632" s="119"/>
      <c r="AX5632" s="118">
        <f t="shared" ref="AX5632" si="7208">SUM(AR5632:AW5632)</f>
        <v>757550</v>
      </c>
      <c r="AY5632" s="119"/>
      <c r="AZ5632" s="137">
        <v>46065</v>
      </c>
    </row>
    <row r="5633" spans="1:52" ht="17.100000000000001" customHeight="1" thickBot="1">
      <c r="A5633" s="110"/>
      <c r="B5633" s="27" t="s">
        <v>5050</v>
      </c>
      <c r="C5633" s="27">
        <v>20074</v>
      </c>
      <c r="D5633" s="14" t="s">
        <v>1812</v>
      </c>
      <c r="E5633" s="112"/>
      <c r="F5633" s="139" t="s">
        <v>16492</v>
      </c>
      <c r="G5633" s="140"/>
      <c r="H5633" s="141"/>
      <c r="I5633" s="26">
        <v>29123</v>
      </c>
      <c r="J5633" s="117"/>
      <c r="K5633" s="120"/>
      <c r="L5633" s="121"/>
      <c r="M5633" s="120"/>
      <c r="N5633" s="121"/>
      <c r="O5633" s="120"/>
      <c r="P5633" s="121"/>
      <c r="Q5633" s="120"/>
      <c r="R5633" s="121"/>
      <c r="S5633" s="120"/>
      <c r="T5633" s="121"/>
      <c r="U5633" s="120"/>
      <c r="V5633" s="123"/>
      <c r="W5633" s="125"/>
      <c r="X5633" s="142" t="s">
        <v>6937</v>
      </c>
      <c r="Y5633" s="143"/>
      <c r="Z5633" s="143"/>
      <c r="AA5633" s="143"/>
      <c r="AB5633" s="144"/>
      <c r="AC5633" s="16" t="s">
        <v>21</v>
      </c>
      <c r="AD5633" s="17" t="s">
        <v>1845</v>
      </c>
      <c r="AE5633" s="145" t="s">
        <v>17429</v>
      </c>
      <c r="AF5633" s="146"/>
      <c r="AG5633" s="146"/>
      <c r="AH5633" s="146"/>
      <c r="AI5633" s="147"/>
      <c r="AJ5633" s="148"/>
      <c r="AK5633" s="143"/>
      <c r="AL5633" s="144"/>
      <c r="AM5633" s="22"/>
      <c r="AN5633" s="149" t="s">
        <v>8809</v>
      </c>
      <c r="AO5633" s="144"/>
      <c r="AP5633" s="148">
        <v>5068</v>
      </c>
      <c r="AQ5633" s="144"/>
      <c r="AR5633" s="120"/>
      <c r="AS5633" s="121"/>
      <c r="AT5633" s="120"/>
      <c r="AU5633" s="121"/>
      <c r="AV5633" s="120"/>
      <c r="AW5633" s="121"/>
      <c r="AX5633" s="120"/>
      <c r="AY5633" s="121"/>
      <c r="AZ5633" s="138"/>
    </row>
    <row r="5634" spans="1:52" ht="17.100000000000001" customHeight="1" thickTop="1">
      <c r="A5634" s="109" t="s">
        <v>16541</v>
      </c>
      <c r="B5634" s="28">
        <v>46052</v>
      </c>
      <c r="C5634" s="25">
        <v>88</v>
      </c>
      <c r="D5634" s="13" t="s">
        <v>3550</v>
      </c>
      <c r="E5634" s="111"/>
      <c r="F5634" s="113" t="s">
        <v>16494</v>
      </c>
      <c r="G5634" s="114"/>
      <c r="H5634" s="115"/>
      <c r="I5634" s="24" t="s">
        <v>3931</v>
      </c>
      <c r="J5634" s="116">
        <v>4.5</v>
      </c>
      <c r="K5634" s="118">
        <v>1515000</v>
      </c>
      <c r="L5634" s="119"/>
      <c r="M5634" s="118">
        <f t="shared" ref="M5634" si="7209">K5634*0.1</f>
        <v>151500</v>
      </c>
      <c r="N5634" s="119"/>
      <c r="O5634" s="118">
        <v>0</v>
      </c>
      <c r="P5634" s="119"/>
      <c r="Q5634" s="118">
        <v>8640</v>
      </c>
      <c r="R5634" s="119"/>
      <c r="S5634" s="118">
        <v>44000</v>
      </c>
      <c r="T5634" s="119"/>
      <c r="U5634" s="118">
        <f t="shared" ref="U5634" si="7210">SUM(K5634:T5635)</f>
        <v>1719140</v>
      </c>
      <c r="V5634" s="122"/>
      <c r="W5634" s="124"/>
      <c r="X5634" s="126" t="s">
        <v>18617</v>
      </c>
      <c r="Y5634" s="127"/>
      <c r="Z5634" s="127"/>
      <c r="AA5634" s="127"/>
      <c r="AB5634" s="128"/>
      <c r="AC5634" s="15" t="s">
        <v>20</v>
      </c>
      <c r="AD5634" s="129" t="s">
        <v>16496</v>
      </c>
      <c r="AE5634" s="130"/>
      <c r="AF5634" s="130"/>
      <c r="AG5634" s="130"/>
      <c r="AH5634" s="130"/>
      <c r="AI5634" s="131"/>
      <c r="AJ5634" s="132"/>
      <c r="AK5634" s="127"/>
      <c r="AL5634" s="128"/>
      <c r="AM5634" s="21" t="s">
        <v>19371</v>
      </c>
      <c r="AN5634" s="133">
        <v>46084</v>
      </c>
      <c r="AO5634" s="134"/>
      <c r="AP5634" s="135">
        <v>1931</v>
      </c>
      <c r="AQ5634" s="136"/>
      <c r="AR5634" s="118">
        <v>1601000</v>
      </c>
      <c r="AS5634" s="119"/>
      <c r="AT5634" s="118">
        <f t="shared" ref="AT5634" si="7211">AR5634*0.1</f>
        <v>160100</v>
      </c>
      <c r="AU5634" s="119"/>
      <c r="AV5634" s="118">
        <v>8640</v>
      </c>
      <c r="AW5634" s="119"/>
      <c r="AX5634" s="118">
        <f t="shared" ref="AX5634" si="7212">SUM(AR5634:AW5634)</f>
        <v>1769740</v>
      </c>
      <c r="AY5634" s="119"/>
      <c r="AZ5634" s="137">
        <v>46091</v>
      </c>
    </row>
    <row r="5635" spans="1:52" ht="17.100000000000001" customHeight="1" thickBot="1">
      <c r="A5635" s="110"/>
      <c r="B5635" s="27" t="s">
        <v>4544</v>
      </c>
      <c r="C5635" s="27">
        <v>1015</v>
      </c>
      <c r="D5635" s="14" t="s">
        <v>275</v>
      </c>
      <c r="E5635" s="112"/>
      <c r="F5635" s="139" t="s">
        <v>16495</v>
      </c>
      <c r="G5635" s="140"/>
      <c r="H5635" s="141"/>
      <c r="I5635" s="26">
        <v>41250</v>
      </c>
      <c r="J5635" s="117"/>
      <c r="K5635" s="120"/>
      <c r="L5635" s="121"/>
      <c r="M5635" s="120"/>
      <c r="N5635" s="121"/>
      <c r="O5635" s="120"/>
      <c r="P5635" s="121"/>
      <c r="Q5635" s="120"/>
      <c r="R5635" s="121"/>
      <c r="S5635" s="120"/>
      <c r="T5635" s="121"/>
      <c r="U5635" s="120"/>
      <c r="V5635" s="123"/>
      <c r="W5635" s="125"/>
      <c r="X5635" s="142" t="s">
        <v>18618</v>
      </c>
      <c r="Y5635" s="143"/>
      <c r="Z5635" s="143"/>
      <c r="AA5635" s="143"/>
      <c r="AB5635" s="144"/>
      <c r="AC5635" s="16" t="s">
        <v>21</v>
      </c>
      <c r="AD5635" s="17" t="s">
        <v>1886</v>
      </c>
      <c r="AE5635" s="145" t="s">
        <v>1605</v>
      </c>
      <c r="AF5635" s="146"/>
      <c r="AG5635" s="146"/>
      <c r="AH5635" s="146"/>
      <c r="AI5635" s="147"/>
      <c r="AJ5635" s="148"/>
      <c r="AK5635" s="143"/>
      <c r="AL5635" s="144"/>
      <c r="AM5635" s="22"/>
      <c r="AN5635" s="149" t="s">
        <v>2131</v>
      </c>
      <c r="AO5635" s="144"/>
      <c r="AP5635" s="148">
        <v>3195</v>
      </c>
      <c r="AQ5635" s="144"/>
      <c r="AR5635" s="120"/>
      <c r="AS5635" s="121"/>
      <c r="AT5635" s="120"/>
      <c r="AU5635" s="121"/>
      <c r="AV5635" s="120"/>
      <c r="AW5635" s="121"/>
      <c r="AX5635" s="120"/>
      <c r="AY5635" s="121"/>
      <c r="AZ5635" s="138"/>
    </row>
    <row r="5636" spans="1:52" ht="17.100000000000001" customHeight="1" thickTop="1">
      <c r="A5636" s="109" t="s">
        <v>16542</v>
      </c>
      <c r="B5636" s="28">
        <v>46052</v>
      </c>
      <c r="C5636" s="25">
        <v>88</v>
      </c>
      <c r="D5636" s="13" t="s">
        <v>2009</v>
      </c>
      <c r="E5636" s="111"/>
      <c r="F5636" s="113" t="s">
        <v>5217</v>
      </c>
      <c r="G5636" s="114"/>
      <c r="H5636" s="115"/>
      <c r="I5636" s="24" t="s">
        <v>2064</v>
      </c>
      <c r="J5636" s="116">
        <v>4</v>
      </c>
      <c r="K5636" s="118">
        <v>3070000</v>
      </c>
      <c r="L5636" s="119"/>
      <c r="M5636" s="118">
        <f t="shared" ref="M5636" si="7213">K5636*0.1</f>
        <v>307000</v>
      </c>
      <c r="N5636" s="119"/>
      <c r="O5636" s="118">
        <v>3300</v>
      </c>
      <c r="P5636" s="119"/>
      <c r="Q5636" s="118">
        <v>12250</v>
      </c>
      <c r="R5636" s="119"/>
      <c r="S5636" s="118">
        <v>88000</v>
      </c>
      <c r="T5636" s="119"/>
      <c r="U5636" s="118">
        <f t="shared" ref="U5636" si="7214">SUM(K5636:T5637)</f>
        <v>3480550</v>
      </c>
      <c r="V5636" s="122"/>
      <c r="W5636" s="124"/>
      <c r="X5636" s="126" t="s">
        <v>18288</v>
      </c>
      <c r="Y5636" s="127"/>
      <c r="Z5636" s="127"/>
      <c r="AA5636" s="127"/>
      <c r="AB5636" s="128"/>
      <c r="AC5636" s="15" t="s">
        <v>20</v>
      </c>
      <c r="AD5636" s="129" t="s">
        <v>16496</v>
      </c>
      <c r="AE5636" s="130"/>
      <c r="AF5636" s="130"/>
      <c r="AG5636" s="130"/>
      <c r="AH5636" s="130"/>
      <c r="AI5636" s="131"/>
      <c r="AJ5636" s="132"/>
      <c r="AK5636" s="127"/>
      <c r="AL5636" s="128"/>
      <c r="AM5636" s="21"/>
      <c r="AN5636" s="133">
        <v>46134</v>
      </c>
      <c r="AO5636" s="134"/>
      <c r="AP5636" s="135">
        <v>1014</v>
      </c>
      <c r="AQ5636" s="136"/>
      <c r="AR5636" s="118">
        <v>3055000</v>
      </c>
      <c r="AS5636" s="119"/>
      <c r="AT5636" s="118">
        <f t="shared" ref="AT5636" si="7215">AR5636*0.1</f>
        <v>305500</v>
      </c>
      <c r="AU5636" s="119"/>
      <c r="AV5636" s="118">
        <v>12250</v>
      </c>
      <c r="AW5636" s="119"/>
      <c r="AX5636" s="118">
        <f t="shared" ref="AX5636" si="7216">SUM(AR5636:AW5636)</f>
        <v>3372750</v>
      </c>
      <c r="AY5636" s="119"/>
      <c r="AZ5636" s="137">
        <v>46139</v>
      </c>
    </row>
    <row r="5637" spans="1:52" ht="17.100000000000001" customHeight="1" thickBot="1">
      <c r="A5637" s="110"/>
      <c r="B5637" s="27" t="s">
        <v>4544</v>
      </c>
      <c r="C5637" s="27">
        <v>1026</v>
      </c>
      <c r="D5637" s="14" t="s">
        <v>2601</v>
      </c>
      <c r="E5637" s="112"/>
      <c r="F5637" s="139" t="s">
        <v>16497</v>
      </c>
      <c r="G5637" s="140"/>
      <c r="H5637" s="141"/>
      <c r="I5637" s="26">
        <v>15528</v>
      </c>
      <c r="J5637" s="117"/>
      <c r="K5637" s="120"/>
      <c r="L5637" s="121"/>
      <c r="M5637" s="120"/>
      <c r="N5637" s="121"/>
      <c r="O5637" s="120"/>
      <c r="P5637" s="121"/>
      <c r="Q5637" s="120"/>
      <c r="R5637" s="121"/>
      <c r="S5637" s="120"/>
      <c r="T5637" s="121"/>
      <c r="U5637" s="120"/>
      <c r="V5637" s="123"/>
      <c r="W5637" s="125"/>
      <c r="X5637" s="142" t="s">
        <v>18289</v>
      </c>
      <c r="Y5637" s="143"/>
      <c r="Z5637" s="143"/>
      <c r="AA5637" s="143"/>
      <c r="AB5637" s="144"/>
      <c r="AC5637" s="16" t="s">
        <v>21</v>
      </c>
      <c r="AD5637" s="17" t="s">
        <v>18232</v>
      </c>
      <c r="AE5637" s="145" t="s">
        <v>18302</v>
      </c>
      <c r="AF5637" s="146"/>
      <c r="AG5637" s="146"/>
      <c r="AH5637" s="146"/>
      <c r="AI5637" s="147"/>
      <c r="AJ5637" s="148"/>
      <c r="AK5637" s="143"/>
      <c r="AL5637" s="144"/>
      <c r="AM5637" s="22"/>
      <c r="AN5637" s="149" t="s">
        <v>23987</v>
      </c>
      <c r="AO5637" s="144"/>
      <c r="AP5637" s="148">
        <v>6043</v>
      </c>
      <c r="AQ5637" s="144"/>
      <c r="AR5637" s="120"/>
      <c r="AS5637" s="121"/>
      <c r="AT5637" s="120"/>
      <c r="AU5637" s="121"/>
      <c r="AV5637" s="120"/>
      <c r="AW5637" s="121"/>
      <c r="AX5637" s="120"/>
      <c r="AY5637" s="121"/>
      <c r="AZ5637" s="138"/>
    </row>
    <row r="5638" spans="1:52" ht="17.100000000000001" customHeight="1" thickTop="1">
      <c r="A5638" s="109" t="s">
        <v>16543</v>
      </c>
      <c r="B5638" s="28">
        <v>46052</v>
      </c>
      <c r="C5638" s="25">
        <v>88</v>
      </c>
      <c r="D5638" s="13" t="s">
        <v>2838</v>
      </c>
      <c r="E5638" s="111"/>
      <c r="F5638" s="113" t="s">
        <v>16498</v>
      </c>
      <c r="G5638" s="114"/>
      <c r="H5638" s="115"/>
      <c r="I5638" s="24" t="s">
        <v>2112</v>
      </c>
      <c r="J5638" s="116">
        <v>4</v>
      </c>
      <c r="K5638" s="118">
        <v>1215000</v>
      </c>
      <c r="L5638" s="119"/>
      <c r="M5638" s="118">
        <f t="shared" ref="M5638" si="7217">K5638*0.1</f>
        <v>121500</v>
      </c>
      <c r="N5638" s="119"/>
      <c r="O5638" s="118">
        <v>0</v>
      </c>
      <c r="P5638" s="119"/>
      <c r="Q5638" s="118">
        <v>8450</v>
      </c>
      <c r="R5638" s="119"/>
      <c r="S5638" s="118">
        <v>44000</v>
      </c>
      <c r="T5638" s="119"/>
      <c r="U5638" s="118">
        <f t="shared" ref="U5638" si="7218">SUM(K5638:T5639)</f>
        <v>1388950</v>
      </c>
      <c r="V5638" s="122"/>
      <c r="W5638" s="124"/>
      <c r="X5638" s="126" t="s">
        <v>17707</v>
      </c>
      <c r="Y5638" s="127"/>
      <c r="Z5638" s="127"/>
      <c r="AA5638" s="127"/>
      <c r="AB5638" s="128"/>
      <c r="AC5638" s="15" t="s">
        <v>20</v>
      </c>
      <c r="AD5638" s="129" t="s">
        <v>16502</v>
      </c>
      <c r="AE5638" s="130"/>
      <c r="AF5638" s="130"/>
      <c r="AG5638" s="130"/>
      <c r="AH5638" s="130"/>
      <c r="AI5638" s="131"/>
      <c r="AJ5638" s="132"/>
      <c r="AK5638" s="127"/>
      <c r="AL5638" s="128"/>
      <c r="AM5638" s="21" t="s">
        <v>20982</v>
      </c>
      <c r="AN5638" s="133">
        <v>46120</v>
      </c>
      <c r="AO5638" s="134"/>
      <c r="AP5638" s="135">
        <v>1012</v>
      </c>
      <c r="AQ5638" s="136"/>
      <c r="AR5638" s="118">
        <v>1195000</v>
      </c>
      <c r="AS5638" s="119"/>
      <c r="AT5638" s="118">
        <f t="shared" ref="AT5638" si="7219">AR5638*0.1</f>
        <v>119500</v>
      </c>
      <c r="AU5638" s="119"/>
      <c r="AV5638" s="118">
        <v>8450</v>
      </c>
      <c r="AW5638" s="119"/>
      <c r="AX5638" s="118">
        <f t="shared" ref="AX5638" si="7220">SUM(AR5638:AW5638)</f>
        <v>1322950</v>
      </c>
      <c r="AY5638" s="119"/>
      <c r="AZ5638" s="137">
        <v>46125</v>
      </c>
    </row>
    <row r="5639" spans="1:52" ht="17.100000000000001" customHeight="1" thickBot="1">
      <c r="A5639" s="110"/>
      <c r="B5639" s="27" t="s">
        <v>4544</v>
      </c>
      <c r="C5639" s="27">
        <v>1034</v>
      </c>
      <c r="D5639" s="14" t="s">
        <v>1720</v>
      </c>
      <c r="E5639" s="112"/>
      <c r="F5639" s="139" t="s">
        <v>16499</v>
      </c>
      <c r="G5639" s="140"/>
      <c r="H5639" s="141"/>
      <c r="I5639" s="26">
        <v>19971</v>
      </c>
      <c r="J5639" s="117"/>
      <c r="K5639" s="120"/>
      <c r="L5639" s="121"/>
      <c r="M5639" s="120"/>
      <c r="N5639" s="121"/>
      <c r="O5639" s="120"/>
      <c r="P5639" s="121"/>
      <c r="Q5639" s="120"/>
      <c r="R5639" s="121"/>
      <c r="S5639" s="120"/>
      <c r="T5639" s="121"/>
      <c r="U5639" s="120"/>
      <c r="V5639" s="123"/>
      <c r="W5639" s="125"/>
      <c r="X5639" s="142" t="s">
        <v>17708</v>
      </c>
      <c r="Y5639" s="143"/>
      <c r="Z5639" s="143"/>
      <c r="AA5639" s="143"/>
      <c r="AB5639" s="144"/>
      <c r="AC5639" s="16" t="s">
        <v>21</v>
      </c>
      <c r="AD5639" s="17" t="s">
        <v>2298</v>
      </c>
      <c r="AE5639" s="145" t="s">
        <v>2347</v>
      </c>
      <c r="AF5639" s="146"/>
      <c r="AG5639" s="146"/>
      <c r="AH5639" s="146"/>
      <c r="AI5639" s="147"/>
      <c r="AJ5639" s="148"/>
      <c r="AK5639" s="143"/>
      <c r="AL5639" s="144"/>
      <c r="AM5639" s="22"/>
      <c r="AN5639" s="149" t="s">
        <v>2794</v>
      </c>
      <c r="AO5639" s="144"/>
      <c r="AP5639" s="148">
        <v>2061</v>
      </c>
      <c r="AQ5639" s="144"/>
      <c r="AR5639" s="120"/>
      <c r="AS5639" s="121"/>
      <c r="AT5639" s="120"/>
      <c r="AU5639" s="121"/>
      <c r="AV5639" s="120"/>
      <c r="AW5639" s="121"/>
      <c r="AX5639" s="120"/>
      <c r="AY5639" s="121"/>
      <c r="AZ5639" s="138"/>
    </row>
    <row r="5640" spans="1:52" ht="17.100000000000001" customHeight="1" thickTop="1">
      <c r="A5640" s="109" t="s">
        <v>16544</v>
      </c>
      <c r="B5640" s="28">
        <v>46052</v>
      </c>
      <c r="C5640" s="25">
        <v>88</v>
      </c>
      <c r="D5640" s="13" t="s">
        <v>2697</v>
      </c>
      <c r="E5640" s="111"/>
      <c r="F5640" s="113" t="s">
        <v>16500</v>
      </c>
      <c r="G5640" s="114"/>
      <c r="H5640" s="115"/>
      <c r="I5640" s="24" t="s">
        <v>4487</v>
      </c>
      <c r="J5640" s="116">
        <v>4</v>
      </c>
      <c r="K5640" s="118">
        <v>3270000</v>
      </c>
      <c r="L5640" s="119"/>
      <c r="M5640" s="118">
        <f t="shared" ref="M5640" si="7221">K5640*0.1</f>
        <v>327000</v>
      </c>
      <c r="N5640" s="119"/>
      <c r="O5640" s="118">
        <f>2500+250</f>
        <v>2750</v>
      </c>
      <c r="P5640" s="119"/>
      <c r="Q5640" s="118">
        <v>12310</v>
      </c>
      <c r="R5640" s="119"/>
      <c r="S5640" s="118">
        <v>88000</v>
      </c>
      <c r="T5640" s="119"/>
      <c r="U5640" s="118">
        <f t="shared" ref="U5640" si="7222">SUM(K5640:T5641)</f>
        <v>3700060</v>
      </c>
      <c r="V5640" s="122"/>
      <c r="W5640" s="124"/>
      <c r="X5640" s="126" t="s">
        <v>16977</v>
      </c>
      <c r="Y5640" s="127"/>
      <c r="Z5640" s="127"/>
      <c r="AA5640" s="127"/>
      <c r="AB5640" s="128"/>
      <c r="AC5640" s="15" t="s">
        <v>20</v>
      </c>
      <c r="AD5640" s="129" t="s">
        <v>16496</v>
      </c>
      <c r="AE5640" s="130"/>
      <c r="AF5640" s="130"/>
      <c r="AG5640" s="130"/>
      <c r="AH5640" s="130"/>
      <c r="AI5640" s="131"/>
      <c r="AJ5640" s="132"/>
      <c r="AK5640" s="127"/>
      <c r="AL5640" s="128"/>
      <c r="AM5640" s="21"/>
      <c r="AN5640" s="133">
        <v>46074</v>
      </c>
      <c r="AO5640" s="134"/>
      <c r="AP5640" s="135">
        <v>1289</v>
      </c>
      <c r="AQ5640" s="136"/>
      <c r="AR5640" s="118">
        <v>3365000</v>
      </c>
      <c r="AS5640" s="119"/>
      <c r="AT5640" s="118">
        <f t="shared" ref="AT5640" si="7223">AR5640*0.1</f>
        <v>336500</v>
      </c>
      <c r="AU5640" s="119"/>
      <c r="AV5640" s="118">
        <v>12310</v>
      </c>
      <c r="AW5640" s="119"/>
      <c r="AX5640" s="118">
        <f t="shared" ref="AX5640" si="7224">SUM(AR5640:AW5640)</f>
        <v>3713810</v>
      </c>
      <c r="AY5640" s="119"/>
      <c r="AZ5640" s="137">
        <v>46077</v>
      </c>
    </row>
    <row r="5641" spans="1:52" ht="17.100000000000001" customHeight="1" thickBot="1">
      <c r="A5641" s="110"/>
      <c r="B5641" s="27" t="s">
        <v>4544</v>
      </c>
      <c r="C5641" s="27">
        <v>1065</v>
      </c>
      <c r="D5641" s="14" t="s">
        <v>7268</v>
      </c>
      <c r="E5641" s="112"/>
      <c r="F5641" s="139" t="s">
        <v>16501</v>
      </c>
      <c r="G5641" s="140"/>
      <c r="H5641" s="141"/>
      <c r="I5641" s="26">
        <v>19766</v>
      </c>
      <c r="J5641" s="117"/>
      <c r="K5641" s="120"/>
      <c r="L5641" s="121"/>
      <c r="M5641" s="120"/>
      <c r="N5641" s="121"/>
      <c r="O5641" s="120"/>
      <c r="P5641" s="121"/>
      <c r="Q5641" s="120"/>
      <c r="R5641" s="121"/>
      <c r="S5641" s="120"/>
      <c r="T5641" s="121"/>
      <c r="U5641" s="120"/>
      <c r="V5641" s="123"/>
      <c r="W5641" s="125"/>
      <c r="X5641" s="142" t="s">
        <v>16978</v>
      </c>
      <c r="Y5641" s="143"/>
      <c r="Z5641" s="143"/>
      <c r="AA5641" s="143"/>
      <c r="AB5641" s="144"/>
      <c r="AC5641" s="16" t="s">
        <v>21</v>
      </c>
      <c r="AD5641" s="17" t="s">
        <v>3550</v>
      </c>
      <c r="AE5641" s="145" t="s">
        <v>1742</v>
      </c>
      <c r="AF5641" s="146"/>
      <c r="AG5641" s="146"/>
      <c r="AH5641" s="146"/>
      <c r="AI5641" s="147"/>
      <c r="AJ5641" s="148"/>
      <c r="AK5641" s="143"/>
      <c r="AL5641" s="144"/>
      <c r="AM5641" s="22"/>
      <c r="AN5641" s="149" t="s">
        <v>2511</v>
      </c>
      <c r="AO5641" s="144"/>
      <c r="AP5641" s="148">
        <v>35853</v>
      </c>
      <c r="AQ5641" s="144"/>
      <c r="AR5641" s="120"/>
      <c r="AS5641" s="121"/>
      <c r="AT5641" s="120"/>
      <c r="AU5641" s="121"/>
      <c r="AV5641" s="120"/>
      <c r="AW5641" s="121"/>
      <c r="AX5641" s="120"/>
      <c r="AY5641" s="121"/>
      <c r="AZ5641" s="138"/>
    </row>
    <row r="5642" spans="1:52" ht="17.100000000000001" customHeight="1" thickTop="1">
      <c r="A5642" s="109" t="s">
        <v>16545</v>
      </c>
      <c r="B5642" s="28">
        <v>46052</v>
      </c>
      <c r="C5642" s="25"/>
      <c r="D5642" s="13" t="s">
        <v>1675</v>
      </c>
      <c r="E5642" s="111"/>
      <c r="F5642" s="113" t="s">
        <v>4218</v>
      </c>
      <c r="G5642" s="114"/>
      <c r="H5642" s="115"/>
      <c r="I5642" s="24" t="s">
        <v>15515</v>
      </c>
      <c r="J5642" s="150" t="s">
        <v>1715</v>
      </c>
      <c r="K5642" s="118">
        <f>141900/1.1</f>
        <v>128999.99999999999</v>
      </c>
      <c r="L5642" s="119"/>
      <c r="M5642" s="118">
        <f t="shared" ref="M5642" si="7225">K5642*0.1</f>
        <v>12900</v>
      </c>
      <c r="N5642" s="119"/>
      <c r="O5642" s="118">
        <v>0</v>
      </c>
      <c r="P5642" s="119"/>
      <c r="Q5642" s="118">
        <v>8460</v>
      </c>
      <c r="R5642" s="119"/>
      <c r="S5642" s="118">
        <v>0</v>
      </c>
      <c r="T5642" s="119"/>
      <c r="U5642" s="118">
        <f t="shared" ref="U5642" si="7226">SUM(K5642:T5643)</f>
        <v>150360</v>
      </c>
      <c r="V5642" s="122"/>
      <c r="W5642" s="124"/>
      <c r="X5642" s="126" t="s">
        <v>17748</v>
      </c>
      <c r="Y5642" s="127"/>
      <c r="Z5642" s="127"/>
      <c r="AA5642" s="127"/>
      <c r="AB5642" s="128"/>
      <c r="AC5642" s="15" t="s">
        <v>20</v>
      </c>
      <c r="AD5642" s="129" t="s">
        <v>16529</v>
      </c>
      <c r="AE5642" s="130"/>
      <c r="AF5642" s="130"/>
      <c r="AG5642" s="130"/>
      <c r="AH5642" s="130"/>
      <c r="AI5642" s="131"/>
      <c r="AJ5642" s="132"/>
      <c r="AK5642" s="127"/>
      <c r="AL5642" s="128"/>
      <c r="AM5642" s="21"/>
      <c r="AN5642" s="133">
        <v>46074</v>
      </c>
      <c r="AO5642" s="134"/>
      <c r="AP5642" s="135">
        <v>1289</v>
      </c>
      <c r="AQ5642" s="136"/>
      <c r="AR5642" s="118">
        <v>240000</v>
      </c>
      <c r="AS5642" s="119"/>
      <c r="AT5642" s="118">
        <f t="shared" ref="AT5642" si="7227">AR5642*0.1</f>
        <v>24000</v>
      </c>
      <c r="AU5642" s="119"/>
      <c r="AV5642" s="118">
        <v>8460</v>
      </c>
      <c r="AW5642" s="119"/>
      <c r="AX5642" s="118">
        <f t="shared" ref="AX5642" si="7228">SUM(AR5642:AW5642)</f>
        <v>272460</v>
      </c>
      <c r="AY5642" s="119"/>
      <c r="AZ5642" s="137">
        <v>46079</v>
      </c>
    </row>
    <row r="5643" spans="1:52" ht="17.100000000000001" customHeight="1" thickBot="1">
      <c r="A5643" s="110"/>
      <c r="B5643" s="27" t="s">
        <v>1718</v>
      </c>
      <c r="C5643" s="27" t="s">
        <v>16503</v>
      </c>
      <c r="D5643" s="14" t="s">
        <v>1576</v>
      </c>
      <c r="E5643" s="112"/>
      <c r="F5643" s="139" t="s">
        <v>16504</v>
      </c>
      <c r="G5643" s="140"/>
      <c r="H5643" s="141"/>
      <c r="I5643" s="26">
        <v>45214</v>
      </c>
      <c r="J5643" s="117"/>
      <c r="K5643" s="120"/>
      <c r="L5643" s="121"/>
      <c r="M5643" s="120"/>
      <c r="N5643" s="121"/>
      <c r="O5643" s="120"/>
      <c r="P5643" s="121"/>
      <c r="Q5643" s="120"/>
      <c r="R5643" s="121"/>
      <c r="S5643" s="120"/>
      <c r="T5643" s="121"/>
      <c r="U5643" s="120"/>
      <c r="V5643" s="123"/>
      <c r="W5643" s="125"/>
      <c r="X5643" s="142" t="s">
        <v>17749</v>
      </c>
      <c r="Y5643" s="143"/>
      <c r="Z5643" s="143"/>
      <c r="AA5643" s="143"/>
      <c r="AB5643" s="144"/>
      <c r="AC5643" s="16" t="s">
        <v>21</v>
      </c>
      <c r="AD5643" s="17" t="s">
        <v>3577</v>
      </c>
      <c r="AE5643" s="145" t="s">
        <v>18026</v>
      </c>
      <c r="AF5643" s="146"/>
      <c r="AG5643" s="146"/>
      <c r="AH5643" s="146"/>
      <c r="AI5643" s="147"/>
      <c r="AJ5643" s="148"/>
      <c r="AK5643" s="143"/>
      <c r="AL5643" s="144"/>
      <c r="AM5643" s="22"/>
      <c r="AN5643" s="149" t="s">
        <v>2511</v>
      </c>
      <c r="AO5643" s="144"/>
      <c r="AP5643" s="148">
        <v>65126</v>
      </c>
      <c r="AQ5643" s="144"/>
      <c r="AR5643" s="120"/>
      <c r="AS5643" s="121"/>
      <c r="AT5643" s="120"/>
      <c r="AU5643" s="121"/>
      <c r="AV5643" s="120"/>
      <c r="AW5643" s="121"/>
      <c r="AX5643" s="120"/>
      <c r="AY5643" s="121"/>
      <c r="AZ5643" s="138"/>
    </row>
    <row r="5644" spans="1:52" ht="17.100000000000001" customHeight="1" thickTop="1">
      <c r="A5644" s="109" t="s">
        <v>16546</v>
      </c>
      <c r="B5644" s="28">
        <v>46052</v>
      </c>
      <c r="C5644" s="25"/>
      <c r="D5644" s="13" t="s">
        <v>1597</v>
      </c>
      <c r="E5644" s="111"/>
      <c r="F5644" s="113" t="s">
        <v>16527</v>
      </c>
      <c r="G5644" s="114"/>
      <c r="H5644" s="115"/>
      <c r="I5644" s="24" t="s">
        <v>16528</v>
      </c>
      <c r="J5644" s="116">
        <v>4</v>
      </c>
      <c r="K5644" s="118">
        <f>570900/1.1</f>
        <v>518999.99999999994</v>
      </c>
      <c r="L5644" s="119"/>
      <c r="M5644" s="118">
        <f t="shared" ref="M5644" si="7229">K5644*0.1</f>
        <v>51900</v>
      </c>
      <c r="N5644" s="119"/>
      <c r="O5644" s="118">
        <v>0</v>
      </c>
      <c r="P5644" s="119"/>
      <c r="Q5644" s="118">
        <v>8230</v>
      </c>
      <c r="R5644" s="119"/>
      <c r="S5644" s="118">
        <v>0</v>
      </c>
      <c r="T5644" s="119"/>
      <c r="U5644" s="118">
        <f t="shared" ref="U5644" si="7230">SUM(K5644:T5645)</f>
        <v>579130</v>
      </c>
      <c r="V5644" s="122"/>
      <c r="W5644" s="124"/>
      <c r="X5644" s="126" t="s">
        <v>20934</v>
      </c>
      <c r="Y5644" s="127"/>
      <c r="Z5644" s="127"/>
      <c r="AA5644" s="127"/>
      <c r="AB5644" s="128"/>
      <c r="AC5644" s="15" t="s">
        <v>20</v>
      </c>
      <c r="AD5644" s="129" t="s">
        <v>171</v>
      </c>
      <c r="AE5644" s="130"/>
      <c r="AF5644" s="130"/>
      <c r="AG5644" s="130"/>
      <c r="AH5644" s="130"/>
      <c r="AI5644" s="131"/>
      <c r="AJ5644" s="132"/>
      <c r="AK5644" s="127"/>
      <c r="AL5644" s="128"/>
      <c r="AM5644" s="21"/>
      <c r="AN5644" s="133">
        <v>46109</v>
      </c>
      <c r="AO5644" s="134"/>
      <c r="AP5644" s="135">
        <v>1294</v>
      </c>
      <c r="AQ5644" s="136"/>
      <c r="AR5644" s="118">
        <v>650000</v>
      </c>
      <c r="AS5644" s="119"/>
      <c r="AT5644" s="118">
        <f t="shared" ref="AT5644" si="7231">AR5644*0.1</f>
        <v>65000</v>
      </c>
      <c r="AU5644" s="119"/>
      <c r="AV5644" s="118">
        <v>8230</v>
      </c>
      <c r="AW5644" s="119"/>
      <c r="AX5644" s="118">
        <f t="shared" ref="AX5644" si="7232">SUM(AR5644:AW5644)</f>
        <v>723230</v>
      </c>
      <c r="AY5644" s="119"/>
      <c r="AZ5644" s="137">
        <v>46112</v>
      </c>
    </row>
    <row r="5645" spans="1:52" ht="17.100000000000001" customHeight="1" thickBot="1">
      <c r="A5645" s="110"/>
      <c r="B5645" s="27" t="s">
        <v>1718</v>
      </c>
      <c r="C5645" s="27" t="s">
        <v>16506</v>
      </c>
      <c r="D5645" s="14" t="s">
        <v>1576</v>
      </c>
      <c r="E5645" s="112"/>
      <c r="F5645" s="139" t="s">
        <v>16507</v>
      </c>
      <c r="G5645" s="140"/>
      <c r="H5645" s="141"/>
      <c r="I5645" s="26">
        <v>56159</v>
      </c>
      <c r="J5645" s="117"/>
      <c r="K5645" s="120"/>
      <c r="L5645" s="121"/>
      <c r="M5645" s="120"/>
      <c r="N5645" s="121"/>
      <c r="O5645" s="120"/>
      <c r="P5645" s="121"/>
      <c r="Q5645" s="120"/>
      <c r="R5645" s="121"/>
      <c r="S5645" s="120"/>
      <c r="T5645" s="121"/>
      <c r="U5645" s="120"/>
      <c r="V5645" s="123"/>
      <c r="W5645" s="125"/>
      <c r="X5645" s="142" t="s">
        <v>20935</v>
      </c>
      <c r="Y5645" s="143"/>
      <c r="Z5645" s="143"/>
      <c r="AA5645" s="143"/>
      <c r="AB5645" s="144"/>
      <c r="AC5645" s="16" t="s">
        <v>21</v>
      </c>
      <c r="AD5645" s="17" t="s">
        <v>20913</v>
      </c>
      <c r="AE5645" s="145" t="s">
        <v>9867</v>
      </c>
      <c r="AF5645" s="146"/>
      <c r="AG5645" s="146"/>
      <c r="AH5645" s="146"/>
      <c r="AI5645" s="147"/>
      <c r="AJ5645" s="148"/>
      <c r="AK5645" s="143"/>
      <c r="AL5645" s="144"/>
      <c r="AM5645" s="22"/>
      <c r="AN5645" s="149" t="s">
        <v>2511</v>
      </c>
      <c r="AO5645" s="144"/>
      <c r="AP5645" s="148">
        <v>65583</v>
      </c>
      <c r="AQ5645" s="144"/>
      <c r="AR5645" s="120"/>
      <c r="AS5645" s="121"/>
      <c r="AT5645" s="120"/>
      <c r="AU5645" s="121"/>
      <c r="AV5645" s="120"/>
      <c r="AW5645" s="121"/>
      <c r="AX5645" s="120"/>
      <c r="AY5645" s="121"/>
      <c r="AZ5645" s="138"/>
    </row>
    <row r="5646" spans="1:52" ht="17.100000000000001" customHeight="1" thickTop="1">
      <c r="A5646" s="109" t="s">
        <v>16547</v>
      </c>
      <c r="B5646" s="28">
        <v>46052</v>
      </c>
      <c r="C5646" s="25"/>
      <c r="D5646" s="13" t="s">
        <v>2914</v>
      </c>
      <c r="E5646" s="111"/>
      <c r="F5646" s="113" t="s">
        <v>16526</v>
      </c>
      <c r="G5646" s="114"/>
      <c r="H5646" s="115"/>
      <c r="I5646" s="24" t="s">
        <v>10315</v>
      </c>
      <c r="J5646" s="116">
        <v>4.5</v>
      </c>
      <c r="K5646" s="118">
        <f>1606000/1.1</f>
        <v>1459999.9999999998</v>
      </c>
      <c r="L5646" s="119"/>
      <c r="M5646" s="118">
        <f t="shared" ref="M5646" si="7233">K5646*0.1</f>
        <v>145999.99999999997</v>
      </c>
      <c r="N5646" s="119"/>
      <c r="O5646" s="118">
        <v>0</v>
      </c>
      <c r="P5646" s="119"/>
      <c r="Q5646" s="118">
        <v>11050</v>
      </c>
      <c r="R5646" s="119"/>
      <c r="S5646" s="118">
        <v>0</v>
      </c>
      <c r="T5646" s="119"/>
      <c r="U5646" s="118">
        <f t="shared" ref="U5646" si="7234">SUM(K5646:T5647)</f>
        <v>1617049.9999999998</v>
      </c>
      <c r="V5646" s="122"/>
      <c r="W5646" s="124"/>
      <c r="X5646" s="126" t="s">
        <v>20284</v>
      </c>
      <c r="Y5646" s="127"/>
      <c r="Z5646" s="127"/>
      <c r="AA5646" s="127"/>
      <c r="AB5646" s="128"/>
      <c r="AC5646" s="15" t="s">
        <v>20</v>
      </c>
      <c r="AD5646" s="129" t="s">
        <v>1633</v>
      </c>
      <c r="AE5646" s="130"/>
      <c r="AF5646" s="130"/>
      <c r="AG5646" s="130"/>
      <c r="AH5646" s="130"/>
      <c r="AI5646" s="131"/>
      <c r="AJ5646" s="132"/>
      <c r="AK5646" s="127"/>
      <c r="AL5646" s="128"/>
      <c r="AM5646" s="21"/>
      <c r="AN5646" s="133">
        <v>46102</v>
      </c>
      <c r="AO5646" s="134"/>
      <c r="AP5646" s="135">
        <v>1293</v>
      </c>
      <c r="AQ5646" s="136"/>
      <c r="AR5646" s="118">
        <v>1565000</v>
      </c>
      <c r="AS5646" s="119"/>
      <c r="AT5646" s="118">
        <f t="shared" ref="AT5646" si="7235">AR5646*0.1</f>
        <v>156500</v>
      </c>
      <c r="AU5646" s="119"/>
      <c r="AV5646" s="118">
        <v>11050</v>
      </c>
      <c r="AW5646" s="119"/>
      <c r="AX5646" s="118">
        <f t="shared" ref="AX5646" si="7236">SUM(AR5646:AW5646)</f>
        <v>1732550</v>
      </c>
      <c r="AY5646" s="119"/>
      <c r="AZ5646" s="137">
        <v>46105</v>
      </c>
    </row>
    <row r="5647" spans="1:52" ht="17.100000000000001" customHeight="1" thickBot="1">
      <c r="A5647" s="110"/>
      <c r="B5647" s="27" t="s">
        <v>1718</v>
      </c>
      <c r="C5647" s="27" t="s">
        <v>16508</v>
      </c>
      <c r="D5647" s="14" t="s">
        <v>1720</v>
      </c>
      <c r="E5647" s="112"/>
      <c r="F5647" s="139" t="s">
        <v>16509</v>
      </c>
      <c r="G5647" s="140"/>
      <c r="H5647" s="141"/>
      <c r="I5647" s="26">
        <v>32830</v>
      </c>
      <c r="J5647" s="117"/>
      <c r="K5647" s="120"/>
      <c r="L5647" s="121"/>
      <c r="M5647" s="120"/>
      <c r="N5647" s="121"/>
      <c r="O5647" s="120"/>
      <c r="P5647" s="121"/>
      <c r="Q5647" s="120"/>
      <c r="R5647" s="121"/>
      <c r="S5647" s="120"/>
      <c r="T5647" s="121"/>
      <c r="U5647" s="120"/>
      <c r="V5647" s="123"/>
      <c r="W5647" s="125"/>
      <c r="X5647" s="142" t="s">
        <v>20285</v>
      </c>
      <c r="Y5647" s="143"/>
      <c r="Z5647" s="143"/>
      <c r="AA5647" s="143"/>
      <c r="AB5647" s="144"/>
      <c r="AC5647" s="16" t="s">
        <v>21</v>
      </c>
      <c r="AD5647" s="17" t="s">
        <v>2702</v>
      </c>
      <c r="AE5647" s="145" t="s">
        <v>20286</v>
      </c>
      <c r="AF5647" s="146"/>
      <c r="AG5647" s="146"/>
      <c r="AH5647" s="146"/>
      <c r="AI5647" s="147"/>
      <c r="AJ5647" s="148"/>
      <c r="AK5647" s="143"/>
      <c r="AL5647" s="144"/>
      <c r="AM5647" s="22"/>
      <c r="AN5647" s="149" t="s">
        <v>2511</v>
      </c>
      <c r="AO5647" s="144"/>
      <c r="AP5647" s="148">
        <v>37269</v>
      </c>
      <c r="AQ5647" s="144"/>
      <c r="AR5647" s="120"/>
      <c r="AS5647" s="121"/>
      <c r="AT5647" s="120"/>
      <c r="AU5647" s="121"/>
      <c r="AV5647" s="120"/>
      <c r="AW5647" s="121"/>
      <c r="AX5647" s="120"/>
      <c r="AY5647" s="121"/>
      <c r="AZ5647" s="138"/>
    </row>
    <row r="5648" spans="1:52" ht="17.100000000000001" customHeight="1" thickTop="1">
      <c r="A5648" s="109" t="s">
        <v>16548</v>
      </c>
      <c r="B5648" s="28">
        <v>46052</v>
      </c>
      <c r="C5648" s="25"/>
      <c r="D5648" s="13" t="s">
        <v>1744</v>
      </c>
      <c r="E5648" s="111"/>
      <c r="F5648" s="113" t="s">
        <v>16531</v>
      </c>
      <c r="G5648" s="114"/>
      <c r="H5648" s="115"/>
      <c r="I5648" s="24" t="s">
        <v>14856</v>
      </c>
      <c r="J5648" s="116">
        <v>4.5</v>
      </c>
      <c r="K5648" s="118">
        <f>2651000/1.1</f>
        <v>2410000</v>
      </c>
      <c r="L5648" s="119"/>
      <c r="M5648" s="118">
        <f t="shared" ref="M5648" si="7237">K5648*0.1</f>
        <v>241000</v>
      </c>
      <c r="N5648" s="119"/>
      <c r="O5648" s="118">
        <v>0</v>
      </c>
      <c r="P5648" s="119"/>
      <c r="Q5648" s="118">
        <v>11900</v>
      </c>
      <c r="R5648" s="119"/>
      <c r="S5648" s="118">
        <v>0</v>
      </c>
      <c r="T5648" s="119"/>
      <c r="U5648" s="118">
        <f t="shared" ref="U5648" si="7238">SUM(K5648:T5649)</f>
        <v>2662900</v>
      </c>
      <c r="V5648" s="122"/>
      <c r="W5648" s="124"/>
      <c r="X5648" s="126" t="s">
        <v>17791</v>
      </c>
      <c r="Y5648" s="127"/>
      <c r="Z5648" s="127"/>
      <c r="AA5648" s="127"/>
      <c r="AB5648" s="128"/>
      <c r="AC5648" s="15" t="s">
        <v>20</v>
      </c>
      <c r="AD5648" s="129" t="s">
        <v>171</v>
      </c>
      <c r="AE5648" s="130"/>
      <c r="AF5648" s="130"/>
      <c r="AG5648" s="130"/>
      <c r="AH5648" s="130"/>
      <c r="AI5648" s="131"/>
      <c r="AJ5648" s="132"/>
      <c r="AK5648" s="127"/>
      <c r="AL5648" s="128"/>
      <c r="AM5648" s="21"/>
      <c r="AN5648" s="133">
        <v>46081</v>
      </c>
      <c r="AO5648" s="134"/>
      <c r="AP5648" s="135">
        <v>1290</v>
      </c>
      <c r="AQ5648" s="136"/>
      <c r="AR5648" s="118">
        <v>2420000</v>
      </c>
      <c r="AS5648" s="119"/>
      <c r="AT5648" s="118">
        <f t="shared" ref="AT5648" si="7239">AR5648*0.1</f>
        <v>242000</v>
      </c>
      <c r="AU5648" s="119"/>
      <c r="AV5648" s="118">
        <v>11900</v>
      </c>
      <c r="AW5648" s="119"/>
      <c r="AX5648" s="118">
        <f t="shared" ref="AX5648" si="7240">SUM(AR5648:AW5648)</f>
        <v>2673900</v>
      </c>
      <c r="AY5648" s="119"/>
      <c r="AZ5648" s="137">
        <v>46084</v>
      </c>
    </row>
    <row r="5649" spans="1:52" ht="17.100000000000001" customHeight="1" thickBot="1">
      <c r="A5649" s="110"/>
      <c r="B5649" s="27" t="s">
        <v>1718</v>
      </c>
      <c r="C5649" s="27" t="s">
        <v>16510</v>
      </c>
      <c r="D5649" s="14" t="s">
        <v>904</v>
      </c>
      <c r="E5649" s="112"/>
      <c r="F5649" s="139" t="s">
        <v>16511</v>
      </c>
      <c r="G5649" s="140"/>
      <c r="H5649" s="141"/>
      <c r="I5649" s="26">
        <v>50381</v>
      </c>
      <c r="J5649" s="117"/>
      <c r="K5649" s="120"/>
      <c r="L5649" s="121"/>
      <c r="M5649" s="120"/>
      <c r="N5649" s="121"/>
      <c r="O5649" s="120"/>
      <c r="P5649" s="121"/>
      <c r="Q5649" s="120"/>
      <c r="R5649" s="121"/>
      <c r="S5649" s="120"/>
      <c r="T5649" s="121"/>
      <c r="U5649" s="120"/>
      <c r="V5649" s="123"/>
      <c r="W5649" s="125"/>
      <c r="X5649" s="142" t="s">
        <v>17792</v>
      </c>
      <c r="Y5649" s="143"/>
      <c r="Z5649" s="143"/>
      <c r="AA5649" s="143"/>
      <c r="AB5649" s="144"/>
      <c r="AC5649" s="16" t="s">
        <v>21</v>
      </c>
      <c r="AD5649" s="17" t="s">
        <v>17777</v>
      </c>
      <c r="AE5649" s="145" t="s">
        <v>1742</v>
      </c>
      <c r="AF5649" s="146"/>
      <c r="AG5649" s="146"/>
      <c r="AH5649" s="146"/>
      <c r="AI5649" s="147"/>
      <c r="AJ5649" s="148"/>
      <c r="AK5649" s="143"/>
      <c r="AL5649" s="144"/>
      <c r="AM5649" s="22"/>
      <c r="AN5649" s="149" t="s">
        <v>2511</v>
      </c>
      <c r="AO5649" s="144"/>
      <c r="AP5649" s="148">
        <v>31181</v>
      </c>
      <c r="AQ5649" s="144"/>
      <c r="AR5649" s="120"/>
      <c r="AS5649" s="121"/>
      <c r="AT5649" s="120"/>
      <c r="AU5649" s="121"/>
      <c r="AV5649" s="120"/>
      <c r="AW5649" s="121"/>
      <c r="AX5649" s="120"/>
      <c r="AY5649" s="121"/>
      <c r="AZ5649" s="138"/>
    </row>
    <row r="5650" spans="1:52" ht="17.100000000000001" customHeight="1" thickTop="1">
      <c r="A5650" s="109" t="s">
        <v>16549</v>
      </c>
      <c r="B5650" s="28">
        <v>46052</v>
      </c>
      <c r="C5650" s="25"/>
      <c r="D5650" s="13" t="s">
        <v>1606</v>
      </c>
      <c r="E5650" s="111"/>
      <c r="F5650" s="113" t="s">
        <v>14830</v>
      </c>
      <c r="G5650" s="114"/>
      <c r="H5650" s="115"/>
      <c r="I5650" s="24" t="s">
        <v>5210</v>
      </c>
      <c r="J5650" s="116">
        <v>4.5</v>
      </c>
      <c r="K5650" s="118">
        <f>1199000/1.1</f>
        <v>1090000</v>
      </c>
      <c r="L5650" s="119"/>
      <c r="M5650" s="118">
        <f t="shared" ref="M5650" si="7241">K5650*0.1</f>
        <v>109000</v>
      </c>
      <c r="N5650" s="119"/>
      <c r="O5650" s="118">
        <v>3700</v>
      </c>
      <c r="P5650" s="119"/>
      <c r="Q5650" s="118">
        <v>11330</v>
      </c>
      <c r="R5650" s="119"/>
      <c r="S5650" s="118">
        <v>0</v>
      </c>
      <c r="T5650" s="119"/>
      <c r="U5650" s="118">
        <f t="shared" ref="U5650" si="7242">SUM(K5650:T5651)</f>
        <v>1214030</v>
      </c>
      <c r="V5650" s="122"/>
      <c r="W5650" s="124"/>
      <c r="X5650" s="126" t="s">
        <v>17531</v>
      </c>
      <c r="Y5650" s="127"/>
      <c r="Z5650" s="127"/>
      <c r="AA5650" s="127"/>
      <c r="AB5650" s="128"/>
      <c r="AC5650" s="15" t="s">
        <v>20</v>
      </c>
      <c r="AD5650" s="129" t="s">
        <v>1732</v>
      </c>
      <c r="AE5650" s="130"/>
      <c r="AF5650" s="130"/>
      <c r="AG5650" s="130"/>
      <c r="AH5650" s="130"/>
      <c r="AI5650" s="131"/>
      <c r="AJ5650" s="132"/>
      <c r="AK5650" s="127"/>
      <c r="AL5650" s="128"/>
      <c r="AM5650" s="21"/>
      <c r="AN5650" s="133">
        <v>46071</v>
      </c>
      <c r="AO5650" s="134"/>
      <c r="AP5650" s="135">
        <v>1005</v>
      </c>
      <c r="AQ5650" s="136"/>
      <c r="AR5650" s="118">
        <v>1150000</v>
      </c>
      <c r="AS5650" s="119"/>
      <c r="AT5650" s="118">
        <f t="shared" ref="AT5650" si="7243">AR5650*0.1</f>
        <v>115000</v>
      </c>
      <c r="AU5650" s="119"/>
      <c r="AV5650" s="118">
        <v>11330</v>
      </c>
      <c r="AW5650" s="119"/>
      <c r="AX5650" s="118">
        <f t="shared" ref="AX5650" si="7244">SUM(AR5650:AW5650)</f>
        <v>1276330</v>
      </c>
      <c r="AY5650" s="119"/>
      <c r="AZ5650" s="137">
        <v>46073</v>
      </c>
    </row>
    <row r="5651" spans="1:52" ht="17.100000000000001" customHeight="1" thickBot="1">
      <c r="A5651" s="110"/>
      <c r="B5651" s="27" t="s">
        <v>1718</v>
      </c>
      <c r="C5651" s="27" t="s">
        <v>16512</v>
      </c>
      <c r="D5651" s="14" t="s">
        <v>7268</v>
      </c>
      <c r="E5651" s="112"/>
      <c r="F5651" s="139" t="s">
        <v>16513</v>
      </c>
      <c r="G5651" s="140"/>
      <c r="H5651" s="141"/>
      <c r="I5651" s="26">
        <v>48202</v>
      </c>
      <c r="J5651" s="117"/>
      <c r="K5651" s="120"/>
      <c r="L5651" s="121"/>
      <c r="M5651" s="120"/>
      <c r="N5651" s="121"/>
      <c r="O5651" s="120"/>
      <c r="P5651" s="121"/>
      <c r="Q5651" s="120"/>
      <c r="R5651" s="121"/>
      <c r="S5651" s="120"/>
      <c r="T5651" s="121"/>
      <c r="U5651" s="120"/>
      <c r="V5651" s="123"/>
      <c r="W5651" s="125"/>
      <c r="X5651" s="142" t="s">
        <v>17532</v>
      </c>
      <c r="Y5651" s="143"/>
      <c r="Z5651" s="143"/>
      <c r="AA5651" s="143"/>
      <c r="AB5651" s="144"/>
      <c r="AC5651" s="16" t="s">
        <v>21</v>
      </c>
      <c r="AD5651" s="17" t="s">
        <v>2187</v>
      </c>
      <c r="AE5651" s="145" t="s">
        <v>8039</v>
      </c>
      <c r="AF5651" s="146"/>
      <c r="AG5651" s="146"/>
      <c r="AH5651" s="146"/>
      <c r="AI5651" s="147"/>
      <c r="AJ5651" s="148"/>
      <c r="AK5651" s="143"/>
      <c r="AL5651" s="144"/>
      <c r="AM5651" s="22"/>
      <c r="AN5651" s="149" t="s">
        <v>2794</v>
      </c>
      <c r="AO5651" s="144"/>
      <c r="AP5651" s="148">
        <v>1106</v>
      </c>
      <c r="AQ5651" s="144"/>
      <c r="AR5651" s="120"/>
      <c r="AS5651" s="121"/>
      <c r="AT5651" s="120"/>
      <c r="AU5651" s="121"/>
      <c r="AV5651" s="120"/>
      <c r="AW5651" s="121"/>
      <c r="AX5651" s="120"/>
      <c r="AY5651" s="121"/>
      <c r="AZ5651" s="138"/>
    </row>
    <row r="5652" spans="1:52" ht="17.100000000000001" customHeight="1" thickTop="1">
      <c r="A5652" s="109" t="s">
        <v>16550</v>
      </c>
      <c r="B5652" s="28">
        <v>46052</v>
      </c>
      <c r="C5652" s="25"/>
      <c r="D5652" s="13" t="s">
        <v>2122</v>
      </c>
      <c r="E5652" s="111"/>
      <c r="F5652" s="113" t="s">
        <v>10019</v>
      </c>
      <c r="G5652" s="114"/>
      <c r="H5652" s="115"/>
      <c r="I5652" s="24" t="s">
        <v>16525</v>
      </c>
      <c r="J5652" s="116">
        <v>4</v>
      </c>
      <c r="K5652" s="118">
        <f>1754500/1.1</f>
        <v>1594999.9999999998</v>
      </c>
      <c r="L5652" s="119"/>
      <c r="M5652" s="118">
        <f t="shared" ref="M5652" si="7245">K5652*0.1</f>
        <v>159500</v>
      </c>
      <c r="N5652" s="119"/>
      <c r="O5652" s="118">
        <v>0</v>
      </c>
      <c r="P5652" s="119"/>
      <c r="Q5652" s="118">
        <v>7230</v>
      </c>
      <c r="R5652" s="119"/>
      <c r="S5652" s="118">
        <v>0</v>
      </c>
      <c r="T5652" s="119"/>
      <c r="U5652" s="118">
        <f t="shared" ref="U5652" si="7246">SUM(K5652:T5653)</f>
        <v>1761729.9999999998</v>
      </c>
      <c r="V5652" s="122"/>
      <c r="W5652" s="124"/>
      <c r="X5652" s="126" t="s">
        <v>17979</v>
      </c>
      <c r="Y5652" s="127"/>
      <c r="Z5652" s="127"/>
      <c r="AA5652" s="127"/>
      <c r="AB5652" s="128"/>
      <c r="AC5652" s="15" t="s">
        <v>20</v>
      </c>
      <c r="AD5652" s="129" t="s">
        <v>1945</v>
      </c>
      <c r="AE5652" s="130"/>
      <c r="AF5652" s="130"/>
      <c r="AG5652" s="130"/>
      <c r="AH5652" s="130"/>
      <c r="AI5652" s="131"/>
      <c r="AJ5652" s="132"/>
      <c r="AK5652" s="127"/>
      <c r="AL5652" s="128"/>
      <c r="AM5652" s="21"/>
      <c r="AN5652" s="133">
        <v>46078</v>
      </c>
      <c r="AO5652" s="134"/>
      <c r="AP5652" s="135">
        <v>1006</v>
      </c>
      <c r="AQ5652" s="136"/>
      <c r="AR5652" s="118">
        <v>1600000</v>
      </c>
      <c r="AS5652" s="119"/>
      <c r="AT5652" s="118">
        <f t="shared" ref="AT5652" si="7247">AR5652*0.1</f>
        <v>160000</v>
      </c>
      <c r="AU5652" s="119"/>
      <c r="AV5652" s="118">
        <v>7230</v>
      </c>
      <c r="AW5652" s="119"/>
      <c r="AX5652" s="118">
        <f t="shared" ref="AX5652" si="7248">SUM(AR5652:AW5652)</f>
        <v>1767230</v>
      </c>
      <c r="AY5652" s="119"/>
      <c r="AZ5652" s="137">
        <v>46083</v>
      </c>
    </row>
    <row r="5653" spans="1:52" ht="17.100000000000001" customHeight="1" thickBot="1">
      <c r="A5653" s="110"/>
      <c r="B5653" s="27" t="s">
        <v>1718</v>
      </c>
      <c r="C5653" s="27" t="s">
        <v>16514</v>
      </c>
      <c r="D5653" s="14" t="s">
        <v>275</v>
      </c>
      <c r="E5653" s="112"/>
      <c r="F5653" s="139" t="s">
        <v>16515</v>
      </c>
      <c r="G5653" s="140"/>
      <c r="H5653" s="141"/>
      <c r="I5653" s="26">
        <v>3079</v>
      </c>
      <c r="J5653" s="117"/>
      <c r="K5653" s="120"/>
      <c r="L5653" s="121"/>
      <c r="M5653" s="120"/>
      <c r="N5653" s="121"/>
      <c r="O5653" s="120"/>
      <c r="P5653" s="121"/>
      <c r="Q5653" s="120"/>
      <c r="R5653" s="121"/>
      <c r="S5653" s="120"/>
      <c r="T5653" s="121"/>
      <c r="U5653" s="120"/>
      <c r="V5653" s="123"/>
      <c r="W5653" s="125"/>
      <c r="X5653" s="142" t="s">
        <v>17980</v>
      </c>
      <c r="Y5653" s="143"/>
      <c r="Z5653" s="143"/>
      <c r="AA5653" s="143"/>
      <c r="AB5653" s="144"/>
      <c r="AC5653" s="16" t="s">
        <v>21</v>
      </c>
      <c r="AD5653" s="17" t="s">
        <v>2339</v>
      </c>
      <c r="AE5653" s="145" t="s">
        <v>4453</v>
      </c>
      <c r="AF5653" s="146"/>
      <c r="AG5653" s="146"/>
      <c r="AH5653" s="146"/>
      <c r="AI5653" s="147"/>
      <c r="AJ5653" s="148"/>
      <c r="AK5653" s="143"/>
      <c r="AL5653" s="144"/>
      <c r="AM5653" s="22"/>
      <c r="AN5653" s="149" t="s">
        <v>2794</v>
      </c>
      <c r="AO5653" s="144"/>
      <c r="AP5653" s="148">
        <v>1023</v>
      </c>
      <c r="AQ5653" s="144"/>
      <c r="AR5653" s="120"/>
      <c r="AS5653" s="121"/>
      <c r="AT5653" s="120"/>
      <c r="AU5653" s="121"/>
      <c r="AV5653" s="120"/>
      <c r="AW5653" s="121"/>
      <c r="AX5653" s="120"/>
      <c r="AY5653" s="121"/>
      <c r="AZ5653" s="138"/>
    </row>
    <row r="5654" spans="1:52" ht="17.100000000000001" customHeight="1" thickTop="1">
      <c r="A5654" s="109" t="s">
        <v>16551</v>
      </c>
      <c r="B5654" s="28">
        <v>46052</v>
      </c>
      <c r="C5654" s="25"/>
      <c r="D5654" s="13" t="s">
        <v>2036</v>
      </c>
      <c r="E5654" s="111"/>
      <c r="F5654" s="113" t="s">
        <v>16524</v>
      </c>
      <c r="G5654" s="114"/>
      <c r="H5654" s="115"/>
      <c r="I5654" s="24" t="s">
        <v>3538</v>
      </c>
      <c r="J5654" s="116">
        <v>4.5</v>
      </c>
      <c r="K5654" s="118">
        <f>2805000/1.1</f>
        <v>2550000</v>
      </c>
      <c r="L5654" s="119"/>
      <c r="M5654" s="118">
        <f t="shared" ref="M5654" si="7249">K5654*0.1</f>
        <v>255000</v>
      </c>
      <c r="N5654" s="119"/>
      <c r="O5654" s="118">
        <v>0</v>
      </c>
      <c r="P5654" s="119"/>
      <c r="Q5654" s="118">
        <v>15890</v>
      </c>
      <c r="R5654" s="119"/>
      <c r="S5654" s="118">
        <v>0</v>
      </c>
      <c r="T5654" s="119"/>
      <c r="U5654" s="118">
        <f t="shared" ref="U5654" si="7250">SUM(K5654:T5655)</f>
        <v>2820890</v>
      </c>
      <c r="V5654" s="122"/>
      <c r="W5654" s="124"/>
      <c r="X5654" s="126" t="s">
        <v>17537</v>
      </c>
      <c r="Y5654" s="127"/>
      <c r="Z5654" s="127"/>
      <c r="AA5654" s="127"/>
      <c r="AB5654" s="128"/>
      <c r="AC5654" s="15" t="s">
        <v>20</v>
      </c>
      <c r="AD5654" s="129" t="s">
        <v>171</v>
      </c>
      <c r="AE5654" s="130"/>
      <c r="AF5654" s="130"/>
      <c r="AG5654" s="130"/>
      <c r="AH5654" s="130"/>
      <c r="AI5654" s="131"/>
      <c r="AJ5654" s="132"/>
      <c r="AK5654" s="127"/>
      <c r="AL5654" s="128"/>
      <c r="AM5654" s="21"/>
      <c r="AN5654" s="133">
        <v>46074</v>
      </c>
      <c r="AO5654" s="134"/>
      <c r="AP5654" s="135">
        <v>1289</v>
      </c>
      <c r="AQ5654" s="136"/>
      <c r="AR5654" s="118">
        <v>2555000</v>
      </c>
      <c r="AS5654" s="119"/>
      <c r="AT5654" s="118">
        <f t="shared" ref="AT5654" si="7251">AR5654*0.1</f>
        <v>255500</v>
      </c>
      <c r="AU5654" s="119"/>
      <c r="AV5654" s="118">
        <v>15890</v>
      </c>
      <c r="AW5654" s="119"/>
      <c r="AX5654" s="118">
        <f t="shared" ref="AX5654" si="7252">SUM(AR5654:AW5654)</f>
        <v>2826390</v>
      </c>
      <c r="AY5654" s="119"/>
      <c r="AZ5654" s="137">
        <v>46079</v>
      </c>
    </row>
    <row r="5655" spans="1:52" ht="17.100000000000001" customHeight="1" thickBot="1">
      <c r="A5655" s="110"/>
      <c r="B5655" s="27" t="s">
        <v>1718</v>
      </c>
      <c r="C5655" s="27" t="s">
        <v>16516</v>
      </c>
      <c r="D5655" s="14" t="s">
        <v>2601</v>
      </c>
      <c r="E5655" s="112"/>
      <c r="F5655" s="139" t="s">
        <v>17536</v>
      </c>
      <c r="G5655" s="140"/>
      <c r="H5655" s="141"/>
      <c r="I5655" s="26">
        <v>31028</v>
      </c>
      <c r="J5655" s="117"/>
      <c r="K5655" s="120"/>
      <c r="L5655" s="121"/>
      <c r="M5655" s="120"/>
      <c r="N5655" s="121"/>
      <c r="O5655" s="120"/>
      <c r="P5655" s="121"/>
      <c r="Q5655" s="120"/>
      <c r="R5655" s="121"/>
      <c r="S5655" s="120"/>
      <c r="T5655" s="121"/>
      <c r="U5655" s="120"/>
      <c r="V5655" s="123"/>
      <c r="W5655" s="125"/>
      <c r="X5655" s="142" t="s">
        <v>17538</v>
      </c>
      <c r="Y5655" s="143"/>
      <c r="Z5655" s="143"/>
      <c r="AA5655" s="143"/>
      <c r="AB5655" s="144"/>
      <c r="AC5655" s="16" t="s">
        <v>21</v>
      </c>
      <c r="AD5655" s="17" t="s">
        <v>2187</v>
      </c>
      <c r="AE5655" s="145" t="s">
        <v>10730</v>
      </c>
      <c r="AF5655" s="146"/>
      <c r="AG5655" s="146"/>
      <c r="AH5655" s="146"/>
      <c r="AI5655" s="147"/>
      <c r="AJ5655" s="148"/>
      <c r="AK5655" s="143"/>
      <c r="AL5655" s="144"/>
      <c r="AM5655" s="22"/>
      <c r="AN5655" s="149" t="s">
        <v>2511</v>
      </c>
      <c r="AO5655" s="144"/>
      <c r="AP5655" s="148">
        <v>35685</v>
      </c>
      <c r="AQ5655" s="144"/>
      <c r="AR5655" s="120"/>
      <c r="AS5655" s="121"/>
      <c r="AT5655" s="120"/>
      <c r="AU5655" s="121"/>
      <c r="AV5655" s="120"/>
      <c r="AW5655" s="121"/>
      <c r="AX5655" s="120"/>
      <c r="AY5655" s="121"/>
      <c r="AZ5655" s="138"/>
    </row>
    <row r="5656" spans="1:52" ht="17.100000000000001" customHeight="1" thickTop="1">
      <c r="A5656" s="109" t="s">
        <v>16552</v>
      </c>
      <c r="B5656" s="28">
        <v>46052</v>
      </c>
      <c r="C5656" s="25"/>
      <c r="D5656" s="13" t="s">
        <v>2348</v>
      </c>
      <c r="E5656" s="111"/>
      <c r="F5656" s="113" t="s">
        <v>11922</v>
      </c>
      <c r="G5656" s="114"/>
      <c r="H5656" s="115"/>
      <c r="I5656" s="24" t="s">
        <v>16530</v>
      </c>
      <c r="J5656" s="116">
        <v>4</v>
      </c>
      <c r="K5656" s="118">
        <f>3828000/1.1</f>
        <v>3479999.9999999995</v>
      </c>
      <c r="L5656" s="119"/>
      <c r="M5656" s="118">
        <f t="shared" ref="M5656" si="7253">K5656*0.1</f>
        <v>348000</v>
      </c>
      <c r="N5656" s="119"/>
      <c r="O5656" s="118">
        <v>4200</v>
      </c>
      <c r="P5656" s="119"/>
      <c r="Q5656" s="118">
        <v>14140</v>
      </c>
      <c r="R5656" s="119"/>
      <c r="S5656" s="118">
        <v>0</v>
      </c>
      <c r="T5656" s="119"/>
      <c r="U5656" s="118">
        <f t="shared" ref="U5656" si="7254">SUM(K5656:T5657)</f>
        <v>3846339.9999999995</v>
      </c>
      <c r="V5656" s="122"/>
      <c r="W5656" s="124"/>
      <c r="X5656" s="126" t="s">
        <v>17780</v>
      </c>
      <c r="Y5656" s="127"/>
      <c r="Z5656" s="127"/>
      <c r="AA5656" s="127"/>
      <c r="AB5656" s="128"/>
      <c r="AC5656" s="15" t="s">
        <v>20</v>
      </c>
      <c r="AD5656" s="129" t="s">
        <v>171</v>
      </c>
      <c r="AE5656" s="130"/>
      <c r="AF5656" s="130"/>
      <c r="AG5656" s="130"/>
      <c r="AH5656" s="130"/>
      <c r="AI5656" s="131"/>
      <c r="AJ5656" s="132"/>
      <c r="AK5656" s="127"/>
      <c r="AL5656" s="128"/>
      <c r="AM5656" s="21"/>
      <c r="AN5656" s="133">
        <v>46074</v>
      </c>
      <c r="AO5656" s="134"/>
      <c r="AP5656" s="135">
        <v>1289</v>
      </c>
      <c r="AQ5656" s="136"/>
      <c r="AR5656" s="118">
        <v>3300000</v>
      </c>
      <c r="AS5656" s="119"/>
      <c r="AT5656" s="118">
        <f t="shared" ref="AT5656" si="7255">AR5656*0.1</f>
        <v>330000</v>
      </c>
      <c r="AU5656" s="119"/>
      <c r="AV5656" s="118">
        <v>14140</v>
      </c>
      <c r="AW5656" s="119"/>
      <c r="AX5656" s="118">
        <f t="shared" ref="AX5656" si="7256">SUM(AR5656:AW5656)</f>
        <v>3644140</v>
      </c>
      <c r="AY5656" s="119"/>
      <c r="AZ5656" s="137">
        <v>46077</v>
      </c>
    </row>
    <row r="5657" spans="1:52" ht="17.100000000000001" customHeight="1" thickBot="1">
      <c r="A5657" s="110"/>
      <c r="B5657" s="27" t="s">
        <v>1718</v>
      </c>
      <c r="C5657" s="27" t="s">
        <v>16517</v>
      </c>
      <c r="D5657" s="14" t="s">
        <v>275</v>
      </c>
      <c r="E5657" s="112"/>
      <c r="F5657" s="139" t="s">
        <v>16518</v>
      </c>
      <c r="G5657" s="140"/>
      <c r="H5657" s="141"/>
      <c r="I5657" s="26">
        <v>55361</v>
      </c>
      <c r="J5657" s="117"/>
      <c r="K5657" s="120"/>
      <c r="L5657" s="121"/>
      <c r="M5657" s="120"/>
      <c r="N5657" s="121"/>
      <c r="O5657" s="120"/>
      <c r="P5657" s="121"/>
      <c r="Q5657" s="120"/>
      <c r="R5657" s="121"/>
      <c r="S5657" s="120"/>
      <c r="T5657" s="121"/>
      <c r="U5657" s="120"/>
      <c r="V5657" s="123"/>
      <c r="W5657" s="125"/>
      <c r="X5657" s="142" t="s">
        <v>17781</v>
      </c>
      <c r="Y5657" s="143"/>
      <c r="Z5657" s="143"/>
      <c r="AA5657" s="143"/>
      <c r="AB5657" s="144"/>
      <c r="AC5657" s="16" t="s">
        <v>21</v>
      </c>
      <c r="AD5657" s="17" t="s">
        <v>17777</v>
      </c>
      <c r="AE5657" s="145" t="s">
        <v>171</v>
      </c>
      <c r="AF5657" s="146"/>
      <c r="AG5657" s="146"/>
      <c r="AH5657" s="146"/>
      <c r="AI5657" s="147"/>
      <c r="AJ5657" s="148"/>
      <c r="AK5657" s="143"/>
      <c r="AL5657" s="144"/>
      <c r="AM5657" s="22"/>
      <c r="AN5657" s="149" t="s">
        <v>2511</v>
      </c>
      <c r="AO5657" s="144"/>
      <c r="AP5657" s="148">
        <v>35443</v>
      </c>
      <c r="AQ5657" s="144"/>
      <c r="AR5657" s="120"/>
      <c r="AS5657" s="121"/>
      <c r="AT5657" s="120"/>
      <c r="AU5657" s="121"/>
      <c r="AV5657" s="120"/>
      <c r="AW5657" s="121"/>
      <c r="AX5657" s="120"/>
      <c r="AY5657" s="121"/>
      <c r="AZ5657" s="138"/>
    </row>
    <row r="5658" spans="1:52" ht="17.100000000000001" customHeight="1" thickTop="1">
      <c r="A5658" s="109" t="s">
        <v>16553</v>
      </c>
      <c r="B5658" s="28">
        <v>46052</v>
      </c>
      <c r="C5658" s="25"/>
      <c r="D5658" s="13" t="s">
        <v>1845</v>
      </c>
      <c r="E5658" s="111"/>
      <c r="F5658" s="113" t="s">
        <v>16532</v>
      </c>
      <c r="G5658" s="114"/>
      <c r="H5658" s="115"/>
      <c r="I5658" s="24" t="s">
        <v>11310</v>
      </c>
      <c r="J5658" s="116">
        <v>4.5</v>
      </c>
      <c r="K5658" s="118">
        <f>2282500/1.1</f>
        <v>2074999.9999999998</v>
      </c>
      <c r="L5658" s="119"/>
      <c r="M5658" s="118">
        <f t="shared" ref="M5658" si="7257">K5658*0.1</f>
        <v>207500</v>
      </c>
      <c r="N5658" s="119"/>
      <c r="O5658" s="118">
        <v>0</v>
      </c>
      <c r="P5658" s="119"/>
      <c r="Q5658" s="118">
        <v>7790</v>
      </c>
      <c r="R5658" s="119"/>
      <c r="S5658" s="118">
        <v>0</v>
      </c>
      <c r="T5658" s="119"/>
      <c r="U5658" s="118">
        <f t="shared" ref="U5658" si="7258">SUM(K5658:T5659)</f>
        <v>2290290</v>
      </c>
      <c r="V5658" s="122"/>
      <c r="W5658" s="124"/>
      <c r="X5658" s="126" t="s">
        <v>17645</v>
      </c>
      <c r="Y5658" s="127"/>
      <c r="Z5658" s="127"/>
      <c r="AA5658" s="127"/>
      <c r="AB5658" s="128"/>
      <c r="AC5658" s="15" t="s">
        <v>20</v>
      </c>
      <c r="AD5658" s="129" t="s">
        <v>171</v>
      </c>
      <c r="AE5658" s="130"/>
      <c r="AF5658" s="130"/>
      <c r="AG5658" s="130"/>
      <c r="AH5658" s="130"/>
      <c r="AI5658" s="131"/>
      <c r="AJ5658" s="132"/>
      <c r="AK5658" s="127"/>
      <c r="AL5658" s="128"/>
      <c r="AM5658" s="21"/>
      <c r="AN5658" s="133">
        <v>46077</v>
      </c>
      <c r="AO5658" s="134"/>
      <c r="AP5658" s="135">
        <v>1930</v>
      </c>
      <c r="AQ5658" s="136"/>
      <c r="AR5658" s="118">
        <v>2168000</v>
      </c>
      <c r="AS5658" s="119"/>
      <c r="AT5658" s="118">
        <f t="shared" ref="AT5658" si="7259">AR5658*0.1</f>
        <v>216800</v>
      </c>
      <c r="AU5658" s="119"/>
      <c r="AV5658" s="118">
        <v>7790</v>
      </c>
      <c r="AW5658" s="119"/>
      <c r="AX5658" s="118">
        <f t="shared" ref="AX5658" si="7260">SUM(AR5658:AW5658)</f>
        <v>2392590</v>
      </c>
      <c r="AY5658" s="119"/>
      <c r="AZ5658" s="137"/>
    </row>
    <row r="5659" spans="1:52" ht="17.100000000000001" customHeight="1" thickBot="1">
      <c r="A5659" s="110"/>
      <c r="B5659" s="27" t="s">
        <v>1718</v>
      </c>
      <c r="C5659" s="27" t="s">
        <v>16520</v>
      </c>
      <c r="D5659" s="14" t="s">
        <v>1576</v>
      </c>
      <c r="E5659" s="112"/>
      <c r="F5659" s="139" t="s">
        <v>16521</v>
      </c>
      <c r="G5659" s="140"/>
      <c r="H5659" s="141"/>
      <c r="I5659" s="26">
        <v>29409</v>
      </c>
      <c r="J5659" s="117"/>
      <c r="K5659" s="120"/>
      <c r="L5659" s="121"/>
      <c r="M5659" s="120"/>
      <c r="N5659" s="121"/>
      <c r="O5659" s="120"/>
      <c r="P5659" s="121"/>
      <c r="Q5659" s="120"/>
      <c r="R5659" s="121"/>
      <c r="S5659" s="120"/>
      <c r="T5659" s="121"/>
      <c r="U5659" s="120"/>
      <c r="V5659" s="123"/>
      <c r="W5659" s="125"/>
      <c r="X5659" s="142" t="s">
        <v>17646</v>
      </c>
      <c r="Y5659" s="143"/>
      <c r="Z5659" s="143"/>
      <c r="AA5659" s="143"/>
      <c r="AB5659" s="144"/>
      <c r="AC5659" s="16" t="s">
        <v>21</v>
      </c>
      <c r="AD5659" s="17" t="s">
        <v>2298</v>
      </c>
      <c r="AE5659" s="145" t="s">
        <v>1742</v>
      </c>
      <c r="AF5659" s="146"/>
      <c r="AG5659" s="146"/>
      <c r="AH5659" s="146"/>
      <c r="AI5659" s="147"/>
      <c r="AJ5659" s="148"/>
      <c r="AK5659" s="143"/>
      <c r="AL5659" s="144"/>
      <c r="AM5659" s="22"/>
      <c r="AN5659" s="149" t="s">
        <v>2131</v>
      </c>
      <c r="AO5659" s="144"/>
      <c r="AP5659" s="148">
        <v>3261</v>
      </c>
      <c r="AQ5659" s="144"/>
      <c r="AR5659" s="120"/>
      <c r="AS5659" s="121"/>
      <c r="AT5659" s="120"/>
      <c r="AU5659" s="121"/>
      <c r="AV5659" s="120"/>
      <c r="AW5659" s="121"/>
      <c r="AX5659" s="120"/>
      <c r="AY5659" s="121"/>
      <c r="AZ5659" s="138"/>
    </row>
    <row r="5660" spans="1:52" ht="17.100000000000001" customHeight="1" thickTop="1">
      <c r="A5660" s="109" t="s">
        <v>16554</v>
      </c>
      <c r="B5660" s="28">
        <v>46052</v>
      </c>
      <c r="C5660" s="25"/>
      <c r="D5660" s="13" t="s">
        <v>2759</v>
      </c>
      <c r="E5660" s="111"/>
      <c r="F5660" s="113" t="s">
        <v>16533</v>
      </c>
      <c r="G5660" s="114"/>
      <c r="H5660" s="115"/>
      <c r="I5660" s="24" t="s">
        <v>17432</v>
      </c>
      <c r="J5660" s="116">
        <v>4.5</v>
      </c>
      <c r="K5660" s="118">
        <f>1644500/1.1</f>
        <v>1494999.9999999998</v>
      </c>
      <c r="L5660" s="119"/>
      <c r="M5660" s="118">
        <f t="shared" ref="M5660" si="7261">K5660*0.1</f>
        <v>149499.99999999997</v>
      </c>
      <c r="N5660" s="119"/>
      <c r="O5660" s="118">
        <v>0</v>
      </c>
      <c r="P5660" s="119"/>
      <c r="Q5660" s="118">
        <v>8390</v>
      </c>
      <c r="R5660" s="119"/>
      <c r="S5660" s="118">
        <v>0</v>
      </c>
      <c r="T5660" s="119"/>
      <c r="U5660" s="118">
        <f t="shared" ref="U5660" si="7262">SUM(K5660:T5661)</f>
        <v>1652889.9999999998</v>
      </c>
      <c r="V5660" s="122"/>
      <c r="W5660" s="124"/>
      <c r="X5660" s="126" t="s">
        <v>17433</v>
      </c>
      <c r="Y5660" s="127"/>
      <c r="Z5660" s="127"/>
      <c r="AA5660" s="127"/>
      <c r="AB5660" s="128"/>
      <c r="AC5660" s="15" t="s">
        <v>20</v>
      </c>
      <c r="AD5660" s="129" t="s">
        <v>171</v>
      </c>
      <c r="AE5660" s="130"/>
      <c r="AF5660" s="130"/>
      <c r="AG5660" s="130"/>
      <c r="AH5660" s="130"/>
      <c r="AI5660" s="131"/>
      <c r="AJ5660" s="132"/>
      <c r="AK5660" s="127"/>
      <c r="AL5660" s="128"/>
      <c r="AM5660" s="21"/>
      <c r="AN5660" s="133"/>
      <c r="AO5660" s="134"/>
      <c r="AP5660" s="135"/>
      <c r="AQ5660" s="136"/>
      <c r="AR5660" s="118"/>
      <c r="AS5660" s="119"/>
      <c r="AT5660" s="118">
        <f t="shared" ref="AT5660" si="7263">AR5660*0.1</f>
        <v>0</v>
      </c>
      <c r="AU5660" s="119"/>
      <c r="AV5660" s="118"/>
      <c r="AW5660" s="119"/>
      <c r="AX5660" s="118">
        <f t="shared" ref="AX5660" si="7264">SUM(AR5660:AW5660)</f>
        <v>0</v>
      </c>
      <c r="AY5660" s="119"/>
      <c r="AZ5660" s="137"/>
    </row>
    <row r="5661" spans="1:52" ht="17.100000000000001" customHeight="1" thickBot="1">
      <c r="A5661" s="110"/>
      <c r="B5661" s="27" t="s">
        <v>1718</v>
      </c>
      <c r="C5661" s="27" t="s">
        <v>16522</v>
      </c>
      <c r="D5661" s="14" t="s">
        <v>2601</v>
      </c>
      <c r="E5661" s="112"/>
      <c r="F5661" s="139" t="s">
        <v>16523</v>
      </c>
      <c r="G5661" s="140"/>
      <c r="H5661" s="141"/>
      <c r="I5661" s="26">
        <v>45765</v>
      </c>
      <c r="J5661" s="117"/>
      <c r="K5661" s="120"/>
      <c r="L5661" s="121"/>
      <c r="M5661" s="120"/>
      <c r="N5661" s="121"/>
      <c r="O5661" s="120"/>
      <c r="P5661" s="121"/>
      <c r="Q5661" s="120"/>
      <c r="R5661" s="121"/>
      <c r="S5661" s="120"/>
      <c r="T5661" s="121"/>
      <c r="U5661" s="120"/>
      <c r="V5661" s="123"/>
      <c r="W5661" s="125"/>
      <c r="X5661" s="142" t="s">
        <v>17434</v>
      </c>
      <c r="Y5661" s="143"/>
      <c r="Z5661" s="143"/>
      <c r="AA5661" s="143"/>
      <c r="AB5661" s="144"/>
      <c r="AC5661" s="16" t="s">
        <v>21</v>
      </c>
      <c r="AD5661" s="17" t="s">
        <v>1845</v>
      </c>
      <c r="AE5661" s="145" t="s">
        <v>4488</v>
      </c>
      <c r="AF5661" s="146"/>
      <c r="AG5661" s="146"/>
      <c r="AH5661" s="146"/>
      <c r="AI5661" s="147"/>
      <c r="AJ5661" s="148"/>
      <c r="AK5661" s="143"/>
      <c r="AL5661" s="144"/>
      <c r="AM5661" s="22"/>
      <c r="AN5661" s="149"/>
      <c r="AO5661" s="144"/>
      <c r="AP5661" s="148"/>
      <c r="AQ5661" s="144"/>
      <c r="AR5661" s="120"/>
      <c r="AS5661" s="121"/>
      <c r="AT5661" s="120"/>
      <c r="AU5661" s="121"/>
      <c r="AV5661" s="120"/>
      <c r="AW5661" s="121"/>
      <c r="AX5661" s="120"/>
      <c r="AY5661" s="121"/>
      <c r="AZ5661" s="138"/>
    </row>
    <row r="5662" spans="1:52" ht="17.100000000000001" customHeight="1" thickTop="1">
      <c r="A5662" s="109" t="s">
        <v>16555</v>
      </c>
      <c r="B5662" s="28">
        <v>46052</v>
      </c>
      <c r="C5662" s="25"/>
      <c r="D5662" s="13" t="s">
        <v>2157</v>
      </c>
      <c r="E5662" s="111"/>
      <c r="F5662" s="113" t="s">
        <v>16562</v>
      </c>
      <c r="G5662" s="114"/>
      <c r="H5662" s="115"/>
      <c r="I5662" s="24" t="s">
        <v>16563</v>
      </c>
      <c r="J5662" s="116">
        <v>4</v>
      </c>
      <c r="K5662" s="118">
        <f>1166000/1.1</f>
        <v>1060000</v>
      </c>
      <c r="L5662" s="119"/>
      <c r="M5662" s="118">
        <f t="shared" ref="M5662" si="7265">K5662*0.1</f>
        <v>106000</v>
      </c>
      <c r="N5662" s="119"/>
      <c r="O5662" s="118">
        <v>3700</v>
      </c>
      <c r="P5662" s="119"/>
      <c r="Q5662" s="118">
        <v>16260</v>
      </c>
      <c r="R5662" s="119"/>
      <c r="S5662" s="118">
        <v>0</v>
      </c>
      <c r="T5662" s="119"/>
      <c r="U5662" s="118">
        <f t="shared" ref="U5662" si="7266">SUM(K5662:T5663)</f>
        <v>1185960</v>
      </c>
      <c r="V5662" s="122"/>
      <c r="W5662" s="124"/>
      <c r="X5662" s="126" t="s">
        <v>17643</v>
      </c>
      <c r="Y5662" s="127"/>
      <c r="Z5662" s="127"/>
      <c r="AA5662" s="127"/>
      <c r="AB5662" s="128"/>
      <c r="AC5662" s="15" t="s">
        <v>20</v>
      </c>
      <c r="AD5662" s="129" t="s">
        <v>171</v>
      </c>
      <c r="AE5662" s="130"/>
      <c r="AF5662" s="130"/>
      <c r="AG5662" s="130"/>
      <c r="AH5662" s="130"/>
      <c r="AI5662" s="131"/>
      <c r="AJ5662" s="132"/>
      <c r="AK5662" s="127"/>
      <c r="AL5662" s="128"/>
      <c r="AM5662" s="21"/>
      <c r="AN5662" s="133">
        <v>46092</v>
      </c>
      <c r="AO5662" s="134"/>
      <c r="AP5662" s="135">
        <v>1008</v>
      </c>
      <c r="AQ5662" s="136"/>
      <c r="AR5662" s="118">
        <v>1175000</v>
      </c>
      <c r="AS5662" s="119"/>
      <c r="AT5662" s="118">
        <f t="shared" ref="AT5662" si="7267">AR5662*0.1</f>
        <v>117500</v>
      </c>
      <c r="AU5662" s="119"/>
      <c r="AV5662" s="118">
        <v>16260</v>
      </c>
      <c r="AW5662" s="119"/>
      <c r="AX5662" s="118">
        <f t="shared" ref="AX5662" si="7268">SUM(AR5662:AW5662)</f>
        <v>1308760</v>
      </c>
      <c r="AY5662" s="119"/>
      <c r="AZ5662" s="137">
        <v>46098</v>
      </c>
    </row>
    <row r="5663" spans="1:52" ht="17.100000000000001" customHeight="1" thickBot="1">
      <c r="A5663" s="110"/>
      <c r="B5663" s="27" t="s">
        <v>1718</v>
      </c>
      <c r="C5663" s="27" t="s">
        <v>16557</v>
      </c>
      <c r="D5663" s="14" t="s">
        <v>1592</v>
      </c>
      <c r="E5663" s="112"/>
      <c r="F5663" s="139" t="s">
        <v>16558</v>
      </c>
      <c r="G5663" s="140"/>
      <c r="H5663" s="141"/>
      <c r="I5663" s="26">
        <v>65139</v>
      </c>
      <c r="J5663" s="117"/>
      <c r="K5663" s="120"/>
      <c r="L5663" s="121"/>
      <c r="M5663" s="120"/>
      <c r="N5663" s="121"/>
      <c r="O5663" s="120"/>
      <c r="P5663" s="121"/>
      <c r="Q5663" s="120"/>
      <c r="R5663" s="121"/>
      <c r="S5663" s="120"/>
      <c r="T5663" s="121"/>
      <c r="U5663" s="120"/>
      <c r="V5663" s="123"/>
      <c r="W5663" s="125"/>
      <c r="X5663" s="142" t="s">
        <v>17644</v>
      </c>
      <c r="Y5663" s="143"/>
      <c r="Z5663" s="143"/>
      <c r="AA5663" s="143"/>
      <c r="AB5663" s="144"/>
      <c r="AC5663" s="16" t="s">
        <v>21</v>
      </c>
      <c r="AD5663" s="17" t="s">
        <v>2298</v>
      </c>
      <c r="AE5663" s="145" t="s">
        <v>1742</v>
      </c>
      <c r="AF5663" s="146"/>
      <c r="AG5663" s="146"/>
      <c r="AH5663" s="146"/>
      <c r="AI5663" s="147"/>
      <c r="AJ5663" s="148"/>
      <c r="AK5663" s="143"/>
      <c r="AL5663" s="144"/>
      <c r="AM5663" s="22"/>
      <c r="AN5663" s="149" t="s">
        <v>19938</v>
      </c>
      <c r="AO5663" s="144"/>
      <c r="AP5663" s="148">
        <v>4030</v>
      </c>
      <c r="AQ5663" s="144"/>
      <c r="AR5663" s="120"/>
      <c r="AS5663" s="121"/>
      <c r="AT5663" s="120"/>
      <c r="AU5663" s="121"/>
      <c r="AV5663" s="120"/>
      <c r="AW5663" s="121"/>
      <c r="AX5663" s="120"/>
      <c r="AY5663" s="121"/>
      <c r="AZ5663" s="138"/>
    </row>
    <row r="5664" spans="1:52" ht="17.100000000000001" customHeight="1" thickTop="1">
      <c r="A5664" s="109" t="s">
        <v>16556</v>
      </c>
      <c r="B5664" s="28">
        <v>46052</v>
      </c>
      <c r="C5664" s="25"/>
      <c r="D5664" s="13" t="s">
        <v>3324</v>
      </c>
      <c r="E5664" s="111"/>
      <c r="F5664" s="113" t="s">
        <v>16564</v>
      </c>
      <c r="G5664" s="114"/>
      <c r="H5664" s="115"/>
      <c r="I5664" s="24" t="s">
        <v>16565</v>
      </c>
      <c r="J5664" s="116">
        <v>6</v>
      </c>
      <c r="K5664" s="118">
        <f>3261500/1.1</f>
        <v>2964999.9999999995</v>
      </c>
      <c r="L5664" s="119"/>
      <c r="M5664" s="118">
        <f t="shared" ref="M5664" si="7269">K5664*0.1</f>
        <v>296499.99999999994</v>
      </c>
      <c r="N5664" s="119"/>
      <c r="O5664" s="118">
        <v>0</v>
      </c>
      <c r="P5664" s="119"/>
      <c r="Q5664" s="118">
        <v>8780</v>
      </c>
      <c r="R5664" s="119"/>
      <c r="S5664" s="118">
        <v>0</v>
      </c>
      <c r="T5664" s="119"/>
      <c r="U5664" s="118">
        <f t="shared" ref="U5664" si="7270">SUM(K5664:T5665)</f>
        <v>3270279.9999999995</v>
      </c>
      <c r="V5664" s="122"/>
      <c r="W5664" s="124"/>
      <c r="X5664" s="126" t="s">
        <v>18498</v>
      </c>
      <c r="Y5664" s="127"/>
      <c r="Z5664" s="127"/>
      <c r="AA5664" s="127"/>
      <c r="AB5664" s="128"/>
      <c r="AC5664" s="15" t="s">
        <v>20</v>
      </c>
      <c r="AD5664" s="129" t="s">
        <v>1945</v>
      </c>
      <c r="AE5664" s="130"/>
      <c r="AF5664" s="130"/>
      <c r="AG5664" s="130"/>
      <c r="AH5664" s="130"/>
      <c r="AI5664" s="131"/>
      <c r="AJ5664" s="132"/>
      <c r="AK5664" s="127"/>
      <c r="AL5664" s="128"/>
      <c r="AM5664" s="21" t="s">
        <v>19983</v>
      </c>
      <c r="AN5664" s="133"/>
      <c r="AO5664" s="134"/>
      <c r="AP5664" s="135"/>
      <c r="AQ5664" s="136"/>
      <c r="AR5664" s="118"/>
      <c r="AS5664" s="119"/>
      <c r="AT5664" s="118">
        <f t="shared" ref="AT5664" si="7271">AR5664*0.1</f>
        <v>0</v>
      </c>
      <c r="AU5664" s="119"/>
      <c r="AV5664" s="118"/>
      <c r="AW5664" s="119"/>
      <c r="AX5664" s="118">
        <f t="shared" ref="AX5664" si="7272">SUM(AR5664:AW5664)</f>
        <v>0</v>
      </c>
      <c r="AY5664" s="119"/>
      <c r="AZ5664" s="137"/>
    </row>
    <row r="5665" spans="1:52" ht="17.100000000000001" customHeight="1" thickBot="1">
      <c r="A5665" s="110"/>
      <c r="B5665" s="27" t="s">
        <v>1718</v>
      </c>
      <c r="C5665" s="27" t="s">
        <v>16559</v>
      </c>
      <c r="D5665" s="14" t="s">
        <v>275</v>
      </c>
      <c r="E5665" s="112"/>
      <c r="F5665" s="139" t="s">
        <v>16560</v>
      </c>
      <c r="G5665" s="140"/>
      <c r="H5665" s="141"/>
      <c r="I5665" s="26">
        <v>567</v>
      </c>
      <c r="J5665" s="117"/>
      <c r="K5665" s="120"/>
      <c r="L5665" s="121"/>
      <c r="M5665" s="120"/>
      <c r="N5665" s="121"/>
      <c r="O5665" s="120"/>
      <c r="P5665" s="121"/>
      <c r="Q5665" s="120"/>
      <c r="R5665" s="121"/>
      <c r="S5665" s="120"/>
      <c r="T5665" s="121"/>
      <c r="U5665" s="120"/>
      <c r="V5665" s="123"/>
      <c r="W5665" s="125"/>
      <c r="X5665" s="142" t="s">
        <v>18499</v>
      </c>
      <c r="Y5665" s="143"/>
      <c r="Z5665" s="143"/>
      <c r="AA5665" s="143"/>
      <c r="AB5665" s="144"/>
      <c r="AC5665" s="16" t="s">
        <v>21</v>
      </c>
      <c r="AD5665" s="17" t="s">
        <v>18390</v>
      </c>
      <c r="AE5665" s="145" t="s">
        <v>1614</v>
      </c>
      <c r="AF5665" s="146"/>
      <c r="AG5665" s="146"/>
      <c r="AH5665" s="146"/>
      <c r="AI5665" s="147"/>
      <c r="AJ5665" s="148"/>
      <c r="AK5665" s="143"/>
      <c r="AL5665" s="144"/>
      <c r="AM5665" s="22"/>
      <c r="AN5665" s="149"/>
      <c r="AO5665" s="144"/>
      <c r="AP5665" s="148"/>
      <c r="AQ5665" s="144"/>
      <c r="AR5665" s="120"/>
      <c r="AS5665" s="121"/>
      <c r="AT5665" s="120"/>
      <c r="AU5665" s="121"/>
      <c r="AV5665" s="120"/>
      <c r="AW5665" s="121"/>
      <c r="AX5665" s="120"/>
      <c r="AY5665" s="121"/>
      <c r="AZ5665" s="138"/>
    </row>
    <row r="5666" spans="1:52" ht="17.100000000000001" customHeight="1" thickTop="1">
      <c r="A5666" s="109" t="s">
        <v>16561</v>
      </c>
      <c r="B5666" s="28">
        <v>46052</v>
      </c>
      <c r="C5666" s="25">
        <v>1191</v>
      </c>
      <c r="D5666" s="13" t="s">
        <v>2759</v>
      </c>
      <c r="E5666" s="111"/>
      <c r="F5666" s="113" t="s">
        <v>4078</v>
      </c>
      <c r="G5666" s="114"/>
      <c r="H5666" s="115"/>
      <c r="I5666" s="24" t="s">
        <v>16567</v>
      </c>
      <c r="J5666" s="116">
        <v>4.5</v>
      </c>
      <c r="K5666" s="118">
        <v>1265000</v>
      </c>
      <c r="L5666" s="119"/>
      <c r="M5666" s="118">
        <f t="shared" ref="M5666" si="7273">K5666*0.1</f>
        <v>126500</v>
      </c>
      <c r="N5666" s="119"/>
      <c r="O5666" s="118">
        <v>5500</v>
      </c>
      <c r="P5666" s="119"/>
      <c r="Q5666" s="118">
        <v>16240</v>
      </c>
      <c r="R5666" s="119"/>
      <c r="S5666" s="118">
        <v>16500</v>
      </c>
      <c r="T5666" s="119"/>
      <c r="U5666" s="118">
        <f t="shared" ref="U5666" si="7274">SUM(K5666:T5667)</f>
        <v>1429740</v>
      </c>
      <c r="V5666" s="122"/>
      <c r="W5666" s="124"/>
      <c r="X5666" s="126" t="s">
        <v>16568</v>
      </c>
      <c r="Y5666" s="127"/>
      <c r="Z5666" s="127"/>
      <c r="AA5666" s="127"/>
      <c r="AB5666" s="128"/>
      <c r="AC5666" s="15" t="s">
        <v>20</v>
      </c>
      <c r="AD5666" s="129" t="s">
        <v>1633</v>
      </c>
      <c r="AE5666" s="130"/>
      <c r="AF5666" s="130"/>
      <c r="AG5666" s="130"/>
      <c r="AH5666" s="130"/>
      <c r="AI5666" s="131"/>
      <c r="AJ5666" s="132"/>
      <c r="AK5666" s="127"/>
      <c r="AL5666" s="128"/>
      <c r="AM5666" s="21"/>
      <c r="AN5666" s="133">
        <v>46058</v>
      </c>
      <c r="AO5666" s="134"/>
      <c r="AP5666" s="135">
        <v>1317</v>
      </c>
      <c r="AQ5666" s="136"/>
      <c r="AR5666" s="118">
        <v>1365000</v>
      </c>
      <c r="AS5666" s="119"/>
      <c r="AT5666" s="118">
        <f t="shared" ref="AT5666" si="7275">AR5666*0.1</f>
        <v>136500</v>
      </c>
      <c r="AU5666" s="119"/>
      <c r="AV5666" s="118">
        <v>16240</v>
      </c>
      <c r="AW5666" s="119"/>
      <c r="AX5666" s="118">
        <f t="shared" ref="AX5666" si="7276">SUM(AR5666:AW5666)</f>
        <v>1517740</v>
      </c>
      <c r="AY5666" s="119"/>
      <c r="AZ5666" s="137">
        <v>46059</v>
      </c>
    </row>
    <row r="5667" spans="1:52" ht="17.100000000000001" customHeight="1" thickBot="1">
      <c r="A5667" s="110"/>
      <c r="B5667" s="27" t="s">
        <v>1828</v>
      </c>
      <c r="C5667" s="27">
        <v>88125</v>
      </c>
      <c r="D5667" s="14" t="s">
        <v>133</v>
      </c>
      <c r="E5667" s="112"/>
      <c r="F5667" s="139" t="s">
        <v>16566</v>
      </c>
      <c r="G5667" s="140"/>
      <c r="H5667" s="141"/>
      <c r="I5667" s="26">
        <v>44400</v>
      </c>
      <c r="J5667" s="117"/>
      <c r="K5667" s="120"/>
      <c r="L5667" s="121"/>
      <c r="M5667" s="120"/>
      <c r="N5667" s="121"/>
      <c r="O5667" s="120"/>
      <c r="P5667" s="121"/>
      <c r="Q5667" s="120"/>
      <c r="R5667" s="121"/>
      <c r="S5667" s="120"/>
      <c r="T5667" s="121"/>
      <c r="U5667" s="120"/>
      <c r="V5667" s="123"/>
      <c r="W5667" s="125"/>
      <c r="X5667" s="142" t="s">
        <v>16914</v>
      </c>
      <c r="Y5667" s="143"/>
      <c r="Z5667" s="143"/>
      <c r="AA5667" s="143"/>
      <c r="AB5667" s="144"/>
      <c r="AC5667" s="16" t="s">
        <v>21</v>
      </c>
      <c r="AD5667" s="17" t="s">
        <v>3801</v>
      </c>
      <c r="AE5667" s="145" t="s">
        <v>1742</v>
      </c>
      <c r="AF5667" s="146"/>
      <c r="AG5667" s="146"/>
      <c r="AH5667" s="146"/>
      <c r="AI5667" s="147"/>
      <c r="AJ5667" s="148"/>
      <c r="AK5667" s="143"/>
      <c r="AL5667" s="144"/>
      <c r="AM5667" s="22"/>
      <c r="AN5667" s="149" t="s">
        <v>13663</v>
      </c>
      <c r="AO5667" s="144"/>
      <c r="AP5667" s="148">
        <v>63</v>
      </c>
      <c r="AQ5667" s="144"/>
      <c r="AR5667" s="120"/>
      <c r="AS5667" s="121"/>
      <c r="AT5667" s="120"/>
      <c r="AU5667" s="121"/>
      <c r="AV5667" s="120"/>
      <c r="AW5667" s="121"/>
      <c r="AX5667" s="120"/>
      <c r="AY5667" s="121"/>
      <c r="AZ5667" s="138"/>
    </row>
    <row r="5668" spans="1:52" ht="17.100000000000001" customHeight="1" thickTop="1">
      <c r="A5668" s="109" t="s">
        <v>16609</v>
      </c>
      <c r="B5668" s="28">
        <v>46052</v>
      </c>
      <c r="C5668" s="25">
        <v>1404</v>
      </c>
      <c r="D5668" s="13" t="s">
        <v>1767</v>
      </c>
      <c r="E5668" s="111"/>
      <c r="F5668" s="113" t="s">
        <v>7340</v>
      </c>
      <c r="G5668" s="114"/>
      <c r="H5668" s="115"/>
      <c r="I5668" s="24"/>
      <c r="J5668" s="116">
        <v>4</v>
      </c>
      <c r="K5668" s="118">
        <v>556000</v>
      </c>
      <c r="L5668" s="119"/>
      <c r="M5668" s="118">
        <f t="shared" ref="M5668" si="7277">K5668*0.1</f>
        <v>55600</v>
      </c>
      <c r="N5668" s="119"/>
      <c r="O5668" s="118">
        <v>0</v>
      </c>
      <c r="P5668" s="119"/>
      <c r="Q5668" s="118">
        <v>8400</v>
      </c>
      <c r="R5668" s="119"/>
      <c r="S5668" s="118">
        <v>15400</v>
      </c>
      <c r="T5668" s="119"/>
      <c r="U5668" s="118">
        <f t="shared" ref="U5668" si="7278">SUM(K5668:T5669)</f>
        <v>635400</v>
      </c>
      <c r="V5668" s="122"/>
      <c r="W5668" s="124"/>
      <c r="X5668" s="126" t="s">
        <v>16903</v>
      </c>
      <c r="Y5668" s="127"/>
      <c r="Z5668" s="127"/>
      <c r="AA5668" s="127"/>
      <c r="AB5668" s="128"/>
      <c r="AC5668" s="15" t="s">
        <v>20</v>
      </c>
      <c r="AD5668" s="129"/>
      <c r="AE5668" s="130"/>
      <c r="AF5668" s="130"/>
      <c r="AG5668" s="130"/>
      <c r="AH5668" s="130"/>
      <c r="AI5668" s="131"/>
      <c r="AJ5668" s="132"/>
      <c r="AK5668" s="127"/>
      <c r="AL5668" s="128"/>
      <c r="AM5668" s="21"/>
      <c r="AN5668" s="133">
        <v>46057</v>
      </c>
      <c r="AO5668" s="134"/>
      <c r="AP5668" s="135">
        <v>1003</v>
      </c>
      <c r="AQ5668" s="136"/>
      <c r="AR5668" s="118">
        <v>655000</v>
      </c>
      <c r="AS5668" s="119"/>
      <c r="AT5668" s="118">
        <f t="shared" ref="AT5668" si="7279">AR5668*0.1</f>
        <v>65500</v>
      </c>
      <c r="AU5668" s="119"/>
      <c r="AV5668" s="118">
        <v>8400</v>
      </c>
      <c r="AW5668" s="119"/>
      <c r="AX5668" s="118">
        <f t="shared" ref="AX5668" si="7280">SUM(AR5668:AW5668)</f>
        <v>728900</v>
      </c>
      <c r="AY5668" s="119"/>
      <c r="AZ5668" s="137">
        <v>46062</v>
      </c>
    </row>
    <row r="5669" spans="1:52" ht="17.100000000000001" customHeight="1" thickBot="1">
      <c r="A5669" s="110"/>
      <c r="B5669" s="27" t="s">
        <v>2641</v>
      </c>
      <c r="C5669" s="27">
        <v>1007</v>
      </c>
      <c r="D5669" s="14" t="s">
        <v>1720</v>
      </c>
      <c r="E5669" s="112"/>
      <c r="F5669" s="139" t="s">
        <v>16620</v>
      </c>
      <c r="G5669" s="140"/>
      <c r="H5669" s="141"/>
      <c r="I5669" s="26">
        <v>59608</v>
      </c>
      <c r="J5669" s="117"/>
      <c r="K5669" s="120"/>
      <c r="L5669" s="121"/>
      <c r="M5669" s="120"/>
      <c r="N5669" s="121"/>
      <c r="O5669" s="120"/>
      <c r="P5669" s="121"/>
      <c r="Q5669" s="120"/>
      <c r="R5669" s="121"/>
      <c r="S5669" s="120"/>
      <c r="T5669" s="121"/>
      <c r="U5669" s="120"/>
      <c r="V5669" s="123"/>
      <c r="W5669" s="125"/>
      <c r="X5669" s="142" t="s">
        <v>16904</v>
      </c>
      <c r="Y5669" s="143"/>
      <c r="Z5669" s="143"/>
      <c r="AA5669" s="143"/>
      <c r="AB5669" s="144"/>
      <c r="AC5669" s="16" t="s">
        <v>21</v>
      </c>
      <c r="AD5669" s="17" t="s">
        <v>3801</v>
      </c>
      <c r="AE5669" s="145" t="s">
        <v>1670</v>
      </c>
      <c r="AF5669" s="146"/>
      <c r="AG5669" s="146"/>
      <c r="AH5669" s="146"/>
      <c r="AI5669" s="147"/>
      <c r="AJ5669" s="148"/>
      <c r="AK5669" s="143"/>
      <c r="AL5669" s="144"/>
      <c r="AM5669" s="22"/>
      <c r="AN5669" s="149" t="s">
        <v>2794</v>
      </c>
      <c r="AO5669" s="144"/>
      <c r="AP5669" s="148">
        <v>5081</v>
      </c>
      <c r="AQ5669" s="144"/>
      <c r="AR5669" s="120"/>
      <c r="AS5669" s="121"/>
      <c r="AT5669" s="120"/>
      <c r="AU5669" s="121"/>
      <c r="AV5669" s="120"/>
      <c r="AW5669" s="121"/>
      <c r="AX5669" s="120"/>
      <c r="AY5669" s="121"/>
      <c r="AZ5669" s="138"/>
    </row>
    <row r="5670" spans="1:52" ht="17.100000000000001" customHeight="1" thickTop="1">
      <c r="A5670" s="109" t="s">
        <v>16610</v>
      </c>
      <c r="B5670" s="28">
        <v>46052</v>
      </c>
      <c r="C5670" s="25">
        <v>1404</v>
      </c>
      <c r="D5670" s="13" t="s">
        <v>2059</v>
      </c>
      <c r="E5670" s="111"/>
      <c r="F5670" s="113" t="s">
        <v>16621</v>
      </c>
      <c r="G5670" s="114"/>
      <c r="H5670" s="115"/>
      <c r="I5670" s="24" t="s">
        <v>7528</v>
      </c>
      <c r="J5670" s="116">
        <v>3.5</v>
      </c>
      <c r="K5670" s="118">
        <v>396000</v>
      </c>
      <c r="L5670" s="119"/>
      <c r="M5670" s="118">
        <f t="shared" ref="M5670" si="7281">K5670*0.1</f>
        <v>39600</v>
      </c>
      <c r="N5670" s="119"/>
      <c r="O5670" s="118">
        <v>0</v>
      </c>
      <c r="P5670" s="119"/>
      <c r="Q5670" s="118">
        <v>9790</v>
      </c>
      <c r="R5670" s="119"/>
      <c r="S5670" s="118">
        <v>15400</v>
      </c>
      <c r="T5670" s="119"/>
      <c r="U5670" s="118">
        <f t="shared" ref="U5670" si="7282">SUM(K5670:T5671)</f>
        <v>460790</v>
      </c>
      <c r="V5670" s="122"/>
      <c r="W5670" s="124"/>
      <c r="X5670" s="126" t="s">
        <v>16891</v>
      </c>
      <c r="Y5670" s="127"/>
      <c r="Z5670" s="127"/>
      <c r="AA5670" s="127"/>
      <c r="AB5670" s="128"/>
      <c r="AC5670" s="15" t="s">
        <v>20</v>
      </c>
      <c r="AD5670" s="129"/>
      <c r="AE5670" s="130"/>
      <c r="AF5670" s="130"/>
      <c r="AG5670" s="130"/>
      <c r="AH5670" s="130"/>
      <c r="AI5670" s="131"/>
      <c r="AJ5670" s="132"/>
      <c r="AK5670" s="127"/>
      <c r="AL5670" s="128"/>
      <c r="AM5670" s="21" t="s">
        <v>16984</v>
      </c>
      <c r="AN5670" s="133">
        <v>46057</v>
      </c>
      <c r="AO5670" s="134"/>
      <c r="AP5670" s="135">
        <v>1003</v>
      </c>
      <c r="AQ5670" s="136"/>
      <c r="AR5670" s="118">
        <v>460000</v>
      </c>
      <c r="AS5670" s="119"/>
      <c r="AT5670" s="118">
        <f t="shared" ref="AT5670" si="7283">AR5670*0.1</f>
        <v>46000</v>
      </c>
      <c r="AU5670" s="119"/>
      <c r="AV5670" s="118">
        <v>9790</v>
      </c>
      <c r="AW5670" s="119"/>
      <c r="AX5670" s="118">
        <f t="shared" ref="AX5670" si="7284">SUM(AR5670:AW5670)</f>
        <v>515790</v>
      </c>
      <c r="AY5670" s="119"/>
      <c r="AZ5670" s="137">
        <v>46063</v>
      </c>
    </row>
    <row r="5671" spans="1:52" ht="17.100000000000001" customHeight="1" thickBot="1">
      <c r="A5671" s="110"/>
      <c r="B5671" s="27" t="s">
        <v>2641</v>
      </c>
      <c r="C5671" s="27">
        <v>2003</v>
      </c>
      <c r="D5671" s="14" t="s">
        <v>275</v>
      </c>
      <c r="E5671" s="112"/>
      <c r="F5671" s="139" t="s">
        <v>16622</v>
      </c>
      <c r="G5671" s="140"/>
      <c r="H5671" s="141"/>
      <c r="I5671" s="26">
        <v>32684</v>
      </c>
      <c r="J5671" s="117"/>
      <c r="K5671" s="120"/>
      <c r="L5671" s="121"/>
      <c r="M5671" s="120"/>
      <c r="N5671" s="121"/>
      <c r="O5671" s="120"/>
      <c r="P5671" s="121"/>
      <c r="Q5671" s="120"/>
      <c r="R5671" s="121"/>
      <c r="S5671" s="120"/>
      <c r="T5671" s="121"/>
      <c r="U5671" s="120"/>
      <c r="V5671" s="123"/>
      <c r="W5671" s="125"/>
      <c r="X5671" s="142" t="s">
        <v>16892</v>
      </c>
      <c r="Y5671" s="143"/>
      <c r="Z5671" s="143"/>
      <c r="AA5671" s="143"/>
      <c r="AB5671" s="144"/>
      <c r="AC5671" s="16" t="s">
        <v>21</v>
      </c>
      <c r="AD5671" s="17" t="s">
        <v>3801</v>
      </c>
      <c r="AE5671" s="145"/>
      <c r="AF5671" s="146"/>
      <c r="AG5671" s="146"/>
      <c r="AH5671" s="146"/>
      <c r="AI5671" s="147"/>
      <c r="AJ5671" s="148"/>
      <c r="AK5671" s="143"/>
      <c r="AL5671" s="144"/>
      <c r="AM5671" s="22"/>
      <c r="AN5671" s="149" t="s">
        <v>2794</v>
      </c>
      <c r="AO5671" s="144"/>
      <c r="AP5671" s="148">
        <v>5074</v>
      </c>
      <c r="AQ5671" s="144"/>
      <c r="AR5671" s="120"/>
      <c r="AS5671" s="121"/>
      <c r="AT5671" s="120"/>
      <c r="AU5671" s="121"/>
      <c r="AV5671" s="120"/>
      <c r="AW5671" s="121"/>
      <c r="AX5671" s="120"/>
      <c r="AY5671" s="121"/>
      <c r="AZ5671" s="138"/>
    </row>
    <row r="5672" spans="1:52" ht="17.100000000000001" customHeight="1" thickTop="1">
      <c r="A5672" s="109" t="s">
        <v>16611</v>
      </c>
      <c r="B5672" s="28">
        <v>46052</v>
      </c>
      <c r="C5672" s="25">
        <v>1404</v>
      </c>
      <c r="D5672" s="13" t="s">
        <v>2157</v>
      </c>
      <c r="E5672" s="111"/>
      <c r="F5672" s="113" t="s">
        <v>16623</v>
      </c>
      <c r="G5672" s="114"/>
      <c r="H5672" s="115"/>
      <c r="I5672" s="24" t="s">
        <v>16429</v>
      </c>
      <c r="J5672" s="116">
        <v>4</v>
      </c>
      <c r="K5672" s="118">
        <v>547000</v>
      </c>
      <c r="L5672" s="119"/>
      <c r="M5672" s="118">
        <f t="shared" ref="M5672" si="7285">K5672*0.1</f>
        <v>54700</v>
      </c>
      <c r="N5672" s="119"/>
      <c r="O5672" s="118">
        <v>6270</v>
      </c>
      <c r="P5672" s="119"/>
      <c r="Q5672" s="118">
        <v>10720</v>
      </c>
      <c r="R5672" s="119"/>
      <c r="S5672" s="118">
        <v>15400</v>
      </c>
      <c r="T5672" s="119"/>
      <c r="U5672" s="118">
        <f t="shared" ref="U5672" si="7286">SUM(K5672:T5673)</f>
        <v>634090</v>
      </c>
      <c r="V5672" s="122"/>
      <c r="W5672" s="124"/>
      <c r="X5672" s="126" t="s">
        <v>16905</v>
      </c>
      <c r="Y5672" s="127"/>
      <c r="Z5672" s="127"/>
      <c r="AA5672" s="127"/>
      <c r="AB5672" s="128"/>
      <c r="AC5672" s="15" t="s">
        <v>20</v>
      </c>
      <c r="AD5672" s="129"/>
      <c r="AE5672" s="130"/>
      <c r="AF5672" s="130"/>
      <c r="AG5672" s="130"/>
      <c r="AH5672" s="130"/>
      <c r="AI5672" s="131"/>
      <c r="AJ5672" s="132"/>
      <c r="AK5672" s="127"/>
      <c r="AL5672" s="128"/>
      <c r="AM5672" s="21"/>
      <c r="AN5672" s="133">
        <v>46057</v>
      </c>
      <c r="AO5672" s="134"/>
      <c r="AP5672" s="135">
        <v>1003</v>
      </c>
      <c r="AQ5672" s="136"/>
      <c r="AR5672" s="118">
        <v>630000</v>
      </c>
      <c r="AS5672" s="119"/>
      <c r="AT5672" s="118">
        <f t="shared" ref="AT5672" si="7287">AR5672*0.1</f>
        <v>63000</v>
      </c>
      <c r="AU5672" s="119"/>
      <c r="AV5672" s="118">
        <v>10720</v>
      </c>
      <c r="AW5672" s="119"/>
      <c r="AX5672" s="118">
        <f t="shared" ref="AX5672" si="7288">SUM(AR5672:AW5672)</f>
        <v>703720</v>
      </c>
      <c r="AY5672" s="119"/>
      <c r="AZ5672" s="137">
        <v>46062</v>
      </c>
    </row>
    <row r="5673" spans="1:52" ht="17.100000000000001" customHeight="1" thickBot="1">
      <c r="A5673" s="110"/>
      <c r="B5673" s="27" t="s">
        <v>2641</v>
      </c>
      <c r="C5673" s="27">
        <v>3004</v>
      </c>
      <c r="D5673" s="14" t="s">
        <v>2601</v>
      </c>
      <c r="E5673" s="112"/>
      <c r="F5673" s="139" t="s">
        <v>16624</v>
      </c>
      <c r="G5673" s="140"/>
      <c r="H5673" s="141"/>
      <c r="I5673" s="26">
        <v>86213</v>
      </c>
      <c r="J5673" s="117"/>
      <c r="K5673" s="120"/>
      <c r="L5673" s="121"/>
      <c r="M5673" s="120"/>
      <c r="N5673" s="121"/>
      <c r="O5673" s="120"/>
      <c r="P5673" s="121"/>
      <c r="Q5673" s="120"/>
      <c r="R5673" s="121"/>
      <c r="S5673" s="120"/>
      <c r="T5673" s="121"/>
      <c r="U5673" s="120"/>
      <c r="V5673" s="123"/>
      <c r="W5673" s="125"/>
      <c r="X5673" s="142" t="s">
        <v>1997</v>
      </c>
      <c r="Y5673" s="143"/>
      <c r="Z5673" s="143"/>
      <c r="AA5673" s="143"/>
      <c r="AB5673" s="144"/>
      <c r="AC5673" s="16" t="s">
        <v>21</v>
      </c>
      <c r="AD5673" s="17" t="s">
        <v>3801</v>
      </c>
      <c r="AE5673" s="145" t="s">
        <v>7860</v>
      </c>
      <c r="AF5673" s="146"/>
      <c r="AG5673" s="146"/>
      <c r="AH5673" s="146"/>
      <c r="AI5673" s="147"/>
      <c r="AJ5673" s="148"/>
      <c r="AK5673" s="143"/>
      <c r="AL5673" s="144"/>
      <c r="AM5673" s="22"/>
      <c r="AN5673" s="149" t="s">
        <v>2794</v>
      </c>
      <c r="AO5673" s="144"/>
      <c r="AP5673" s="148">
        <v>5080</v>
      </c>
      <c r="AQ5673" s="144"/>
      <c r="AR5673" s="120"/>
      <c r="AS5673" s="121"/>
      <c r="AT5673" s="120"/>
      <c r="AU5673" s="121"/>
      <c r="AV5673" s="120"/>
      <c r="AW5673" s="121"/>
      <c r="AX5673" s="120"/>
      <c r="AY5673" s="121"/>
      <c r="AZ5673" s="138"/>
    </row>
    <row r="5674" spans="1:52" ht="17.100000000000001" customHeight="1" thickTop="1">
      <c r="A5674" s="109" t="s">
        <v>16612</v>
      </c>
      <c r="B5674" s="28">
        <v>46052</v>
      </c>
      <c r="C5674" s="25">
        <v>1404</v>
      </c>
      <c r="D5674" s="13" t="s">
        <v>1651</v>
      </c>
      <c r="E5674" s="111"/>
      <c r="F5674" s="113" t="s">
        <v>16625</v>
      </c>
      <c r="G5674" s="114"/>
      <c r="H5674" s="115"/>
      <c r="I5674" s="24"/>
      <c r="J5674" s="116">
        <v>4</v>
      </c>
      <c r="K5674" s="118">
        <v>875000</v>
      </c>
      <c r="L5674" s="119"/>
      <c r="M5674" s="118">
        <f t="shared" ref="M5674" si="7289">K5674*0.1</f>
        <v>87500</v>
      </c>
      <c r="N5674" s="119"/>
      <c r="O5674" s="118">
        <v>0</v>
      </c>
      <c r="P5674" s="119"/>
      <c r="Q5674" s="118">
        <v>5690</v>
      </c>
      <c r="R5674" s="119"/>
      <c r="S5674" s="118">
        <v>15400</v>
      </c>
      <c r="T5674" s="119"/>
      <c r="U5674" s="118">
        <f t="shared" ref="U5674" si="7290">SUM(K5674:T5675)</f>
        <v>983590</v>
      </c>
      <c r="V5674" s="122"/>
      <c r="W5674" s="124"/>
      <c r="X5674" s="126" t="s">
        <v>16967</v>
      </c>
      <c r="Y5674" s="127"/>
      <c r="Z5674" s="127"/>
      <c r="AA5674" s="127"/>
      <c r="AB5674" s="128"/>
      <c r="AC5674" s="15" t="s">
        <v>20</v>
      </c>
      <c r="AD5674" s="129" t="s">
        <v>3868</v>
      </c>
      <c r="AE5674" s="130"/>
      <c r="AF5674" s="130"/>
      <c r="AG5674" s="130"/>
      <c r="AH5674" s="130"/>
      <c r="AI5674" s="131"/>
      <c r="AJ5674" s="132"/>
      <c r="AK5674" s="127"/>
      <c r="AL5674" s="128"/>
      <c r="AM5674" s="21"/>
      <c r="AN5674" s="133">
        <v>46071</v>
      </c>
      <c r="AO5674" s="134"/>
      <c r="AP5674" s="135">
        <v>1005</v>
      </c>
      <c r="AQ5674" s="136"/>
      <c r="AR5674" s="118">
        <v>900000</v>
      </c>
      <c r="AS5674" s="119"/>
      <c r="AT5674" s="118">
        <f t="shared" ref="AT5674" si="7291">AR5674*0.1</f>
        <v>90000</v>
      </c>
      <c r="AU5674" s="119"/>
      <c r="AV5674" s="118">
        <v>5690</v>
      </c>
      <c r="AW5674" s="119"/>
      <c r="AX5674" s="118">
        <f t="shared" ref="AX5674" si="7292">SUM(AR5674:AW5674)</f>
        <v>995690</v>
      </c>
      <c r="AY5674" s="119"/>
      <c r="AZ5674" s="137">
        <v>46073</v>
      </c>
    </row>
    <row r="5675" spans="1:52" ht="17.100000000000001" customHeight="1" thickBot="1">
      <c r="A5675" s="110"/>
      <c r="B5675" s="27" t="s">
        <v>2641</v>
      </c>
      <c r="C5675" s="27">
        <v>3005</v>
      </c>
      <c r="D5675" s="14" t="s">
        <v>15309</v>
      </c>
      <c r="E5675" s="112"/>
      <c r="F5675" s="139" t="s">
        <v>16626</v>
      </c>
      <c r="G5675" s="140"/>
      <c r="H5675" s="141"/>
      <c r="I5675" s="26">
        <v>42065</v>
      </c>
      <c r="J5675" s="117"/>
      <c r="K5675" s="120"/>
      <c r="L5675" s="121"/>
      <c r="M5675" s="120"/>
      <c r="N5675" s="121"/>
      <c r="O5675" s="120"/>
      <c r="P5675" s="121"/>
      <c r="Q5675" s="120"/>
      <c r="R5675" s="121"/>
      <c r="S5675" s="120"/>
      <c r="T5675" s="121"/>
      <c r="U5675" s="120"/>
      <c r="V5675" s="123"/>
      <c r="W5675" s="125"/>
      <c r="X5675" s="142" t="s">
        <v>3334</v>
      </c>
      <c r="Y5675" s="143"/>
      <c r="Z5675" s="143"/>
      <c r="AA5675" s="143"/>
      <c r="AB5675" s="144"/>
      <c r="AC5675" s="16" t="s">
        <v>21</v>
      </c>
      <c r="AD5675" s="17" t="s">
        <v>3550</v>
      </c>
      <c r="AE5675" s="145" t="s">
        <v>1945</v>
      </c>
      <c r="AF5675" s="146"/>
      <c r="AG5675" s="146"/>
      <c r="AH5675" s="146"/>
      <c r="AI5675" s="147"/>
      <c r="AJ5675" s="148"/>
      <c r="AK5675" s="143"/>
      <c r="AL5675" s="144"/>
      <c r="AM5675" s="22"/>
      <c r="AN5675" s="149" t="s">
        <v>2794</v>
      </c>
      <c r="AO5675" s="144"/>
      <c r="AP5675" s="148">
        <v>2048</v>
      </c>
      <c r="AQ5675" s="144"/>
      <c r="AR5675" s="120"/>
      <c r="AS5675" s="121"/>
      <c r="AT5675" s="120"/>
      <c r="AU5675" s="121"/>
      <c r="AV5675" s="120"/>
      <c r="AW5675" s="121"/>
      <c r="AX5675" s="120"/>
      <c r="AY5675" s="121"/>
      <c r="AZ5675" s="138"/>
    </row>
    <row r="5676" spans="1:52" ht="17.100000000000001" customHeight="1" thickTop="1">
      <c r="A5676" s="109" t="s">
        <v>16613</v>
      </c>
      <c r="B5676" s="28">
        <v>46052</v>
      </c>
      <c r="C5676" s="25">
        <v>1404</v>
      </c>
      <c r="D5676" s="13" t="s">
        <v>2681</v>
      </c>
      <c r="E5676" s="111"/>
      <c r="F5676" s="113" t="s">
        <v>11922</v>
      </c>
      <c r="G5676" s="114"/>
      <c r="H5676" s="115"/>
      <c r="I5676" s="24" t="s">
        <v>7151</v>
      </c>
      <c r="J5676" s="116">
        <v>4</v>
      </c>
      <c r="K5676" s="118">
        <v>3834000</v>
      </c>
      <c r="L5676" s="119"/>
      <c r="M5676" s="118">
        <f t="shared" ref="M5676" si="7293">K5676*0.1</f>
        <v>383400</v>
      </c>
      <c r="N5676" s="119"/>
      <c r="O5676" s="118">
        <v>9130</v>
      </c>
      <c r="P5676" s="119"/>
      <c r="Q5676" s="118">
        <v>12490</v>
      </c>
      <c r="R5676" s="119"/>
      <c r="S5676" s="118">
        <v>15400</v>
      </c>
      <c r="T5676" s="119"/>
      <c r="U5676" s="118">
        <f t="shared" ref="U5676" si="7294">SUM(K5676:T5677)</f>
        <v>4254420</v>
      </c>
      <c r="V5676" s="122"/>
      <c r="W5676" s="124"/>
      <c r="X5676" s="126" t="s">
        <v>16889</v>
      </c>
      <c r="Y5676" s="127"/>
      <c r="Z5676" s="127"/>
      <c r="AA5676" s="127"/>
      <c r="AB5676" s="128"/>
      <c r="AC5676" s="15" t="s">
        <v>20</v>
      </c>
      <c r="AD5676" s="129" t="s">
        <v>16656</v>
      </c>
      <c r="AE5676" s="130"/>
      <c r="AF5676" s="130"/>
      <c r="AG5676" s="130"/>
      <c r="AH5676" s="130"/>
      <c r="AI5676" s="131"/>
      <c r="AJ5676" s="132"/>
      <c r="AK5676" s="127"/>
      <c r="AL5676" s="128"/>
      <c r="AM5676" s="21"/>
      <c r="AN5676" s="133">
        <v>46071</v>
      </c>
      <c r="AO5676" s="134"/>
      <c r="AP5676" s="135">
        <v>1005</v>
      </c>
      <c r="AQ5676" s="136"/>
      <c r="AR5676" s="118">
        <v>4025000</v>
      </c>
      <c r="AS5676" s="119"/>
      <c r="AT5676" s="118">
        <f t="shared" ref="AT5676" si="7295">AR5676*0.1</f>
        <v>402500</v>
      </c>
      <c r="AU5676" s="119"/>
      <c r="AV5676" s="118">
        <v>12490</v>
      </c>
      <c r="AW5676" s="119"/>
      <c r="AX5676" s="118">
        <f t="shared" ref="AX5676" si="7296">SUM(AR5676:AW5676)</f>
        <v>4439990</v>
      </c>
      <c r="AY5676" s="119"/>
      <c r="AZ5676" s="137">
        <v>46079</v>
      </c>
    </row>
    <row r="5677" spans="1:52" ht="17.100000000000001" customHeight="1" thickBot="1">
      <c r="A5677" s="110"/>
      <c r="B5677" s="27" t="s">
        <v>2641</v>
      </c>
      <c r="C5677" s="27">
        <v>3014</v>
      </c>
      <c r="D5677" s="14" t="s">
        <v>275</v>
      </c>
      <c r="E5677" s="112"/>
      <c r="F5677" s="139" t="s">
        <v>16627</v>
      </c>
      <c r="G5677" s="140"/>
      <c r="H5677" s="141"/>
      <c r="I5677" s="26">
        <v>42444</v>
      </c>
      <c r="J5677" s="117"/>
      <c r="K5677" s="120"/>
      <c r="L5677" s="121"/>
      <c r="M5677" s="120"/>
      <c r="N5677" s="121"/>
      <c r="O5677" s="120"/>
      <c r="P5677" s="121"/>
      <c r="Q5677" s="120"/>
      <c r="R5677" s="121"/>
      <c r="S5677" s="120"/>
      <c r="T5677" s="121"/>
      <c r="U5677" s="120"/>
      <c r="V5677" s="123"/>
      <c r="W5677" s="125"/>
      <c r="X5677" s="142" t="s">
        <v>2321</v>
      </c>
      <c r="Y5677" s="143"/>
      <c r="Z5677" s="143"/>
      <c r="AA5677" s="143"/>
      <c r="AB5677" s="144"/>
      <c r="AC5677" s="16" t="s">
        <v>21</v>
      </c>
      <c r="AD5677" s="17" t="s">
        <v>3801</v>
      </c>
      <c r="AE5677" s="145" t="s">
        <v>1742</v>
      </c>
      <c r="AF5677" s="146"/>
      <c r="AG5677" s="146"/>
      <c r="AH5677" s="146"/>
      <c r="AI5677" s="147"/>
      <c r="AJ5677" s="148"/>
      <c r="AK5677" s="143"/>
      <c r="AL5677" s="144"/>
      <c r="AM5677" s="22"/>
      <c r="AN5677" s="149" t="s">
        <v>2794</v>
      </c>
      <c r="AO5677" s="144"/>
      <c r="AP5677" s="148">
        <v>6040</v>
      </c>
      <c r="AQ5677" s="144"/>
      <c r="AR5677" s="120"/>
      <c r="AS5677" s="121"/>
      <c r="AT5677" s="120"/>
      <c r="AU5677" s="121"/>
      <c r="AV5677" s="120"/>
      <c r="AW5677" s="121"/>
      <c r="AX5677" s="120"/>
      <c r="AY5677" s="121"/>
      <c r="AZ5677" s="138"/>
    </row>
    <row r="5678" spans="1:52" ht="17.100000000000001" customHeight="1" thickTop="1">
      <c r="A5678" s="109" t="s">
        <v>16614</v>
      </c>
      <c r="B5678" s="28">
        <v>46052</v>
      </c>
      <c r="C5678" s="25">
        <v>1404</v>
      </c>
      <c r="D5678" s="13" t="s">
        <v>1561</v>
      </c>
      <c r="E5678" s="111"/>
      <c r="F5678" s="113" t="s">
        <v>15565</v>
      </c>
      <c r="G5678" s="114"/>
      <c r="H5678" s="115"/>
      <c r="I5678" s="24" t="s">
        <v>16657</v>
      </c>
      <c r="J5678" s="116">
        <v>4</v>
      </c>
      <c r="K5678" s="118">
        <v>1050000</v>
      </c>
      <c r="L5678" s="119"/>
      <c r="M5678" s="118">
        <f t="shared" ref="M5678" si="7297">K5678*0.1</f>
        <v>105000</v>
      </c>
      <c r="N5678" s="119"/>
      <c r="O5678" s="118">
        <v>7150</v>
      </c>
      <c r="P5678" s="119"/>
      <c r="Q5678" s="118">
        <v>12030</v>
      </c>
      <c r="R5678" s="119"/>
      <c r="S5678" s="118">
        <v>15400</v>
      </c>
      <c r="T5678" s="119"/>
      <c r="U5678" s="118">
        <f t="shared" ref="U5678" si="7298">SUM(K5678:T5679)</f>
        <v>1189580</v>
      </c>
      <c r="V5678" s="122"/>
      <c r="W5678" s="124"/>
      <c r="X5678" s="126" t="s">
        <v>16965</v>
      </c>
      <c r="Y5678" s="127"/>
      <c r="Z5678" s="127"/>
      <c r="AA5678" s="127"/>
      <c r="AB5678" s="128"/>
      <c r="AC5678" s="15" t="s">
        <v>20</v>
      </c>
      <c r="AD5678" s="129"/>
      <c r="AE5678" s="130"/>
      <c r="AF5678" s="130"/>
      <c r="AG5678" s="130"/>
      <c r="AH5678" s="130"/>
      <c r="AI5678" s="131"/>
      <c r="AJ5678" s="132"/>
      <c r="AK5678" s="127"/>
      <c r="AL5678" s="128"/>
      <c r="AM5678" s="21"/>
      <c r="AN5678" s="133">
        <v>46064</v>
      </c>
      <c r="AO5678" s="134"/>
      <c r="AP5678" s="135">
        <v>1004</v>
      </c>
      <c r="AQ5678" s="136"/>
      <c r="AR5678" s="118">
        <v>1140000</v>
      </c>
      <c r="AS5678" s="119"/>
      <c r="AT5678" s="118">
        <f t="shared" ref="AT5678" si="7299">AR5678*0.1</f>
        <v>114000</v>
      </c>
      <c r="AU5678" s="119"/>
      <c r="AV5678" s="118">
        <v>12030</v>
      </c>
      <c r="AW5678" s="119"/>
      <c r="AX5678" s="118">
        <f t="shared" ref="AX5678" si="7300">SUM(AR5678:AW5678)</f>
        <v>1266030</v>
      </c>
      <c r="AY5678" s="119"/>
      <c r="AZ5678" s="137">
        <v>46070</v>
      </c>
    </row>
    <row r="5679" spans="1:52" ht="17.100000000000001" customHeight="1" thickBot="1">
      <c r="A5679" s="110"/>
      <c r="B5679" s="27" t="s">
        <v>2641</v>
      </c>
      <c r="C5679" s="27">
        <v>3121</v>
      </c>
      <c r="D5679" s="14" t="s">
        <v>275</v>
      </c>
      <c r="E5679" s="112"/>
      <c r="F5679" s="139" t="s">
        <v>16628</v>
      </c>
      <c r="G5679" s="140"/>
      <c r="H5679" s="141"/>
      <c r="I5679" s="26">
        <v>138610</v>
      </c>
      <c r="J5679" s="117"/>
      <c r="K5679" s="120"/>
      <c r="L5679" s="121"/>
      <c r="M5679" s="120"/>
      <c r="N5679" s="121"/>
      <c r="O5679" s="120"/>
      <c r="P5679" s="121"/>
      <c r="Q5679" s="120"/>
      <c r="R5679" s="121"/>
      <c r="S5679" s="120"/>
      <c r="T5679" s="121"/>
      <c r="U5679" s="120"/>
      <c r="V5679" s="123"/>
      <c r="W5679" s="125"/>
      <c r="X5679" s="142" t="s">
        <v>16966</v>
      </c>
      <c r="Y5679" s="143"/>
      <c r="Z5679" s="143"/>
      <c r="AA5679" s="143"/>
      <c r="AB5679" s="144"/>
      <c r="AC5679" s="16" t="s">
        <v>21</v>
      </c>
      <c r="AD5679" s="17" t="s">
        <v>3550</v>
      </c>
      <c r="AE5679" s="145" t="s">
        <v>1742</v>
      </c>
      <c r="AF5679" s="146"/>
      <c r="AG5679" s="146"/>
      <c r="AH5679" s="146"/>
      <c r="AI5679" s="147"/>
      <c r="AJ5679" s="148"/>
      <c r="AK5679" s="143"/>
      <c r="AL5679" s="144"/>
      <c r="AM5679" s="22"/>
      <c r="AN5679" s="149" t="s">
        <v>2794</v>
      </c>
      <c r="AO5679" s="144"/>
      <c r="AP5679" s="148">
        <v>5023</v>
      </c>
      <c r="AQ5679" s="144"/>
      <c r="AR5679" s="120"/>
      <c r="AS5679" s="121"/>
      <c r="AT5679" s="120"/>
      <c r="AU5679" s="121"/>
      <c r="AV5679" s="120"/>
      <c r="AW5679" s="121"/>
      <c r="AX5679" s="120"/>
      <c r="AY5679" s="121"/>
      <c r="AZ5679" s="138"/>
    </row>
    <row r="5680" spans="1:52" ht="17.100000000000001" customHeight="1" thickTop="1">
      <c r="A5680" s="109" t="s">
        <v>16615</v>
      </c>
      <c r="B5680" s="28">
        <v>46052</v>
      </c>
      <c r="C5680" s="25">
        <v>1404</v>
      </c>
      <c r="D5680" s="13" t="s">
        <v>1758</v>
      </c>
      <c r="E5680" s="111"/>
      <c r="F5680" s="113" t="s">
        <v>16629</v>
      </c>
      <c r="G5680" s="114"/>
      <c r="H5680" s="115"/>
      <c r="I5680" s="24" t="s">
        <v>12601</v>
      </c>
      <c r="J5680" s="116">
        <v>4</v>
      </c>
      <c r="K5680" s="118">
        <v>1963000</v>
      </c>
      <c r="L5680" s="119"/>
      <c r="M5680" s="118">
        <f t="shared" ref="M5680" si="7301">K5680*0.1</f>
        <v>196300</v>
      </c>
      <c r="N5680" s="119"/>
      <c r="O5680" s="118">
        <v>10560</v>
      </c>
      <c r="P5680" s="119"/>
      <c r="Q5680" s="118">
        <v>16550</v>
      </c>
      <c r="R5680" s="119"/>
      <c r="S5680" s="118">
        <v>15400</v>
      </c>
      <c r="T5680" s="119"/>
      <c r="U5680" s="118">
        <f t="shared" ref="U5680" si="7302">SUM(K5680:T5681)</f>
        <v>2201810</v>
      </c>
      <c r="V5680" s="122"/>
      <c r="W5680" s="124"/>
      <c r="X5680" s="126" t="s">
        <v>16968</v>
      </c>
      <c r="Y5680" s="127"/>
      <c r="Z5680" s="127"/>
      <c r="AA5680" s="127"/>
      <c r="AB5680" s="128"/>
      <c r="AC5680" s="15" t="s">
        <v>20</v>
      </c>
      <c r="AD5680" s="129" t="s">
        <v>16658</v>
      </c>
      <c r="AE5680" s="130"/>
      <c r="AF5680" s="130"/>
      <c r="AG5680" s="130"/>
      <c r="AH5680" s="130"/>
      <c r="AI5680" s="131"/>
      <c r="AJ5680" s="132"/>
      <c r="AK5680" s="127"/>
      <c r="AL5680" s="128"/>
      <c r="AM5680" s="21" t="s">
        <v>18042</v>
      </c>
      <c r="AN5680" s="133">
        <v>46078</v>
      </c>
      <c r="AO5680" s="134"/>
      <c r="AP5680" s="135">
        <v>1006</v>
      </c>
      <c r="AQ5680" s="136"/>
      <c r="AR5680" s="118">
        <v>2050000</v>
      </c>
      <c r="AS5680" s="119"/>
      <c r="AT5680" s="118">
        <f t="shared" ref="AT5680" si="7303">AR5680*0.1</f>
        <v>205000</v>
      </c>
      <c r="AU5680" s="119"/>
      <c r="AV5680" s="118">
        <v>16550</v>
      </c>
      <c r="AW5680" s="119"/>
      <c r="AX5680" s="118">
        <f t="shared" ref="AX5680" si="7304">SUM(AR5680:AW5680)</f>
        <v>2271550</v>
      </c>
      <c r="AY5680" s="119"/>
      <c r="AZ5680" s="137">
        <v>46086</v>
      </c>
    </row>
    <row r="5681" spans="1:52" ht="17.100000000000001" customHeight="1" thickBot="1">
      <c r="A5681" s="110"/>
      <c r="B5681" s="27" t="s">
        <v>2641</v>
      </c>
      <c r="C5681" s="27">
        <v>3217</v>
      </c>
      <c r="D5681" s="14" t="s">
        <v>275</v>
      </c>
      <c r="E5681" s="112"/>
      <c r="F5681" s="139" t="s">
        <v>16630</v>
      </c>
      <c r="G5681" s="140"/>
      <c r="H5681" s="141"/>
      <c r="I5681" s="26">
        <v>73622</v>
      </c>
      <c r="J5681" s="117"/>
      <c r="K5681" s="120"/>
      <c r="L5681" s="121"/>
      <c r="M5681" s="120"/>
      <c r="N5681" s="121"/>
      <c r="O5681" s="120"/>
      <c r="P5681" s="121"/>
      <c r="Q5681" s="120"/>
      <c r="R5681" s="121"/>
      <c r="S5681" s="120"/>
      <c r="T5681" s="121"/>
      <c r="U5681" s="120"/>
      <c r="V5681" s="123"/>
      <c r="W5681" s="125"/>
      <c r="X5681" s="142" t="s">
        <v>2321</v>
      </c>
      <c r="Y5681" s="143"/>
      <c r="Z5681" s="143"/>
      <c r="AA5681" s="143"/>
      <c r="AB5681" s="144"/>
      <c r="AC5681" s="16" t="s">
        <v>21</v>
      </c>
      <c r="AD5681" s="17" t="s">
        <v>3550</v>
      </c>
      <c r="AE5681" s="145" t="s">
        <v>171</v>
      </c>
      <c r="AF5681" s="146"/>
      <c r="AG5681" s="146"/>
      <c r="AH5681" s="146"/>
      <c r="AI5681" s="147"/>
      <c r="AJ5681" s="148"/>
      <c r="AK5681" s="143"/>
      <c r="AL5681" s="144"/>
      <c r="AM5681" s="22"/>
      <c r="AN5681" s="149" t="s">
        <v>8809</v>
      </c>
      <c r="AO5681" s="144"/>
      <c r="AP5681" s="148">
        <v>6059</v>
      </c>
      <c r="AQ5681" s="144"/>
      <c r="AR5681" s="120"/>
      <c r="AS5681" s="121"/>
      <c r="AT5681" s="120"/>
      <c r="AU5681" s="121"/>
      <c r="AV5681" s="120"/>
      <c r="AW5681" s="121"/>
      <c r="AX5681" s="120"/>
      <c r="AY5681" s="121"/>
      <c r="AZ5681" s="138"/>
    </row>
    <row r="5682" spans="1:52" ht="17.100000000000001" customHeight="1" thickTop="1">
      <c r="A5682" s="109" t="s">
        <v>16616</v>
      </c>
      <c r="B5682" s="28">
        <v>46052</v>
      </c>
      <c r="C5682" s="25">
        <v>1404</v>
      </c>
      <c r="D5682" s="13" t="s">
        <v>1803</v>
      </c>
      <c r="E5682" s="111"/>
      <c r="F5682" s="113" t="s">
        <v>16631</v>
      </c>
      <c r="G5682" s="114"/>
      <c r="H5682" s="115"/>
      <c r="I5682" s="24" t="s">
        <v>8230</v>
      </c>
      <c r="J5682" s="116">
        <v>3.5</v>
      </c>
      <c r="K5682" s="118">
        <v>420000</v>
      </c>
      <c r="L5682" s="119"/>
      <c r="M5682" s="118">
        <f t="shared" ref="M5682" si="7305">K5682*0.1</f>
        <v>42000</v>
      </c>
      <c r="N5682" s="119"/>
      <c r="O5682" s="118">
        <v>0</v>
      </c>
      <c r="P5682" s="119"/>
      <c r="Q5682" s="118">
        <v>9200</v>
      </c>
      <c r="R5682" s="119"/>
      <c r="S5682" s="118">
        <v>15400</v>
      </c>
      <c r="T5682" s="119"/>
      <c r="U5682" s="118">
        <f t="shared" ref="U5682" si="7306">SUM(K5682:T5683)</f>
        <v>486600</v>
      </c>
      <c r="V5682" s="122"/>
      <c r="W5682" s="124"/>
      <c r="X5682" s="126" t="s">
        <v>16938</v>
      </c>
      <c r="Y5682" s="127"/>
      <c r="Z5682" s="127"/>
      <c r="AA5682" s="127"/>
      <c r="AB5682" s="128"/>
      <c r="AC5682" s="15" t="s">
        <v>20</v>
      </c>
      <c r="AD5682" s="129"/>
      <c r="AE5682" s="130"/>
      <c r="AF5682" s="130"/>
      <c r="AG5682" s="130"/>
      <c r="AH5682" s="130"/>
      <c r="AI5682" s="131"/>
      <c r="AJ5682" s="132"/>
      <c r="AK5682" s="127"/>
      <c r="AL5682" s="128"/>
      <c r="AM5682" s="21" t="s">
        <v>17754</v>
      </c>
      <c r="AN5682" s="133">
        <v>46064</v>
      </c>
      <c r="AO5682" s="134"/>
      <c r="AP5682" s="135">
        <v>1004</v>
      </c>
      <c r="AQ5682" s="136"/>
      <c r="AR5682" s="118">
        <v>510000</v>
      </c>
      <c r="AS5682" s="119"/>
      <c r="AT5682" s="118">
        <f t="shared" ref="AT5682" si="7307">AR5682*0.1</f>
        <v>51000</v>
      </c>
      <c r="AU5682" s="119"/>
      <c r="AV5682" s="118">
        <v>9200</v>
      </c>
      <c r="AW5682" s="119"/>
      <c r="AX5682" s="118">
        <f t="shared" ref="AX5682" si="7308">SUM(AR5682:AW5682)</f>
        <v>570200</v>
      </c>
      <c r="AY5682" s="119"/>
      <c r="AZ5682" s="137">
        <v>46070</v>
      </c>
    </row>
    <row r="5683" spans="1:52" ht="17.100000000000001" customHeight="1" thickBot="1">
      <c r="A5683" s="110"/>
      <c r="B5683" s="27" t="s">
        <v>2641</v>
      </c>
      <c r="C5683" s="27">
        <v>7111</v>
      </c>
      <c r="D5683" s="14" t="s">
        <v>3855</v>
      </c>
      <c r="E5683" s="112"/>
      <c r="F5683" s="139" t="s">
        <v>16632</v>
      </c>
      <c r="G5683" s="140"/>
      <c r="H5683" s="141"/>
      <c r="I5683" s="26">
        <v>46700</v>
      </c>
      <c r="J5683" s="117"/>
      <c r="K5683" s="120"/>
      <c r="L5683" s="121"/>
      <c r="M5683" s="120"/>
      <c r="N5683" s="121"/>
      <c r="O5683" s="120"/>
      <c r="P5683" s="121"/>
      <c r="Q5683" s="120"/>
      <c r="R5683" s="121"/>
      <c r="S5683" s="120"/>
      <c r="T5683" s="121"/>
      <c r="U5683" s="120"/>
      <c r="V5683" s="123"/>
      <c r="W5683" s="125"/>
      <c r="X5683" s="142" t="s">
        <v>7966</v>
      </c>
      <c r="Y5683" s="143"/>
      <c r="Z5683" s="143"/>
      <c r="AA5683" s="143"/>
      <c r="AB5683" s="144"/>
      <c r="AC5683" s="16" t="s">
        <v>21</v>
      </c>
      <c r="AD5683" s="17" t="s">
        <v>3801</v>
      </c>
      <c r="AE5683" s="145"/>
      <c r="AF5683" s="146"/>
      <c r="AG5683" s="146"/>
      <c r="AH5683" s="146"/>
      <c r="AI5683" s="147"/>
      <c r="AJ5683" s="148"/>
      <c r="AK5683" s="143"/>
      <c r="AL5683" s="144"/>
      <c r="AM5683" s="22"/>
      <c r="AN5683" s="149" t="s">
        <v>2794</v>
      </c>
      <c r="AO5683" s="144"/>
      <c r="AP5683" s="148">
        <v>2029</v>
      </c>
      <c r="AQ5683" s="144"/>
      <c r="AR5683" s="120"/>
      <c r="AS5683" s="121"/>
      <c r="AT5683" s="120"/>
      <c r="AU5683" s="121"/>
      <c r="AV5683" s="120"/>
      <c r="AW5683" s="121"/>
      <c r="AX5683" s="120"/>
      <c r="AY5683" s="121"/>
      <c r="AZ5683" s="138"/>
    </row>
    <row r="5684" spans="1:52" ht="17.100000000000001" customHeight="1" thickTop="1">
      <c r="A5684" s="109" t="s">
        <v>16617</v>
      </c>
      <c r="B5684" s="28">
        <v>46052</v>
      </c>
      <c r="C5684" s="25">
        <v>1404</v>
      </c>
      <c r="D5684" s="13" t="s">
        <v>2859</v>
      </c>
      <c r="E5684" s="111"/>
      <c r="F5684" s="113" t="s">
        <v>16633</v>
      </c>
      <c r="G5684" s="114"/>
      <c r="H5684" s="115"/>
      <c r="I5684" s="24"/>
      <c r="J5684" s="116">
        <v>3</v>
      </c>
      <c r="K5684" s="118">
        <v>316000</v>
      </c>
      <c r="L5684" s="119"/>
      <c r="M5684" s="118">
        <f t="shared" ref="M5684" si="7309">K5684*0.1</f>
        <v>31600</v>
      </c>
      <c r="N5684" s="119"/>
      <c r="O5684" s="118">
        <v>0</v>
      </c>
      <c r="P5684" s="119"/>
      <c r="Q5684" s="118">
        <v>9200</v>
      </c>
      <c r="R5684" s="119"/>
      <c r="S5684" s="118">
        <v>15400</v>
      </c>
      <c r="T5684" s="119"/>
      <c r="U5684" s="118">
        <f t="shared" ref="U5684" si="7310">SUM(K5684:T5685)</f>
        <v>372200</v>
      </c>
      <c r="V5684" s="122"/>
      <c r="W5684" s="124"/>
      <c r="X5684" s="126" t="s">
        <v>17521</v>
      </c>
      <c r="Y5684" s="127"/>
      <c r="Z5684" s="127"/>
      <c r="AA5684" s="127"/>
      <c r="AB5684" s="128"/>
      <c r="AC5684" s="15" t="s">
        <v>20</v>
      </c>
      <c r="AD5684" s="129"/>
      <c r="AE5684" s="130"/>
      <c r="AF5684" s="130"/>
      <c r="AG5684" s="130"/>
      <c r="AH5684" s="130"/>
      <c r="AI5684" s="131"/>
      <c r="AJ5684" s="132"/>
      <c r="AK5684" s="127"/>
      <c r="AL5684" s="128"/>
      <c r="AM5684" s="21"/>
      <c r="AN5684" s="133">
        <v>46067</v>
      </c>
      <c r="AO5684" s="134"/>
      <c r="AP5684" s="135">
        <v>1288</v>
      </c>
      <c r="AQ5684" s="136"/>
      <c r="AR5684" s="118">
        <v>335000</v>
      </c>
      <c r="AS5684" s="119"/>
      <c r="AT5684" s="118">
        <f t="shared" ref="AT5684" si="7311">AR5684*0.1</f>
        <v>33500</v>
      </c>
      <c r="AU5684" s="119"/>
      <c r="AV5684" s="118">
        <v>9200</v>
      </c>
      <c r="AW5684" s="119"/>
      <c r="AX5684" s="118">
        <f t="shared" ref="AX5684" si="7312">SUM(AR5684:AW5684)</f>
        <v>377700</v>
      </c>
      <c r="AY5684" s="119"/>
      <c r="AZ5684" s="137">
        <v>46070</v>
      </c>
    </row>
    <row r="5685" spans="1:52" ht="17.100000000000001" customHeight="1" thickBot="1">
      <c r="A5685" s="110"/>
      <c r="B5685" s="27" t="s">
        <v>2641</v>
      </c>
      <c r="C5685" s="27">
        <v>9005</v>
      </c>
      <c r="D5685" s="14" t="s">
        <v>275</v>
      </c>
      <c r="E5685" s="112"/>
      <c r="F5685" s="139" t="s">
        <v>16634</v>
      </c>
      <c r="G5685" s="140"/>
      <c r="H5685" s="141"/>
      <c r="I5685" s="26">
        <v>76760</v>
      </c>
      <c r="J5685" s="117"/>
      <c r="K5685" s="120"/>
      <c r="L5685" s="121"/>
      <c r="M5685" s="120"/>
      <c r="N5685" s="121"/>
      <c r="O5685" s="120"/>
      <c r="P5685" s="121"/>
      <c r="Q5685" s="120"/>
      <c r="R5685" s="121"/>
      <c r="S5685" s="120"/>
      <c r="T5685" s="121"/>
      <c r="U5685" s="120"/>
      <c r="V5685" s="123"/>
      <c r="W5685" s="125"/>
      <c r="X5685" s="142" t="s">
        <v>1997</v>
      </c>
      <c r="Y5685" s="143"/>
      <c r="Z5685" s="143"/>
      <c r="AA5685" s="143"/>
      <c r="AB5685" s="144"/>
      <c r="AC5685" s="16" t="s">
        <v>21</v>
      </c>
      <c r="AD5685" s="17" t="s">
        <v>2187</v>
      </c>
      <c r="AE5685" s="145" t="s">
        <v>2395</v>
      </c>
      <c r="AF5685" s="146"/>
      <c r="AG5685" s="146"/>
      <c r="AH5685" s="146"/>
      <c r="AI5685" s="147"/>
      <c r="AJ5685" s="148"/>
      <c r="AK5685" s="143"/>
      <c r="AL5685" s="144"/>
      <c r="AM5685" s="22"/>
      <c r="AN5685" s="149" t="s">
        <v>2511</v>
      </c>
      <c r="AO5685" s="144"/>
      <c r="AP5685" s="148">
        <v>60125</v>
      </c>
      <c r="AQ5685" s="144"/>
      <c r="AR5685" s="120"/>
      <c r="AS5685" s="121"/>
      <c r="AT5685" s="120"/>
      <c r="AU5685" s="121"/>
      <c r="AV5685" s="120"/>
      <c r="AW5685" s="121"/>
      <c r="AX5685" s="120"/>
      <c r="AY5685" s="121"/>
      <c r="AZ5685" s="138"/>
    </row>
    <row r="5686" spans="1:52" ht="17.100000000000001" customHeight="1" thickTop="1">
      <c r="A5686" s="109" t="s">
        <v>16618</v>
      </c>
      <c r="B5686" s="28">
        <v>46052</v>
      </c>
      <c r="C5686" s="25">
        <v>1404</v>
      </c>
      <c r="D5686" s="13" t="s">
        <v>4860</v>
      </c>
      <c r="E5686" s="111"/>
      <c r="F5686" s="113" t="s">
        <v>16635</v>
      </c>
      <c r="G5686" s="114"/>
      <c r="H5686" s="115"/>
      <c r="I5686" s="24"/>
      <c r="J5686" s="150" t="s">
        <v>1715</v>
      </c>
      <c r="K5686" s="118">
        <v>307000</v>
      </c>
      <c r="L5686" s="119"/>
      <c r="M5686" s="118">
        <f t="shared" ref="M5686" si="7313">K5686*0.1</f>
        <v>30700</v>
      </c>
      <c r="N5686" s="119"/>
      <c r="O5686" s="118">
        <v>0</v>
      </c>
      <c r="P5686" s="119"/>
      <c r="Q5686" s="118">
        <v>7570</v>
      </c>
      <c r="R5686" s="119"/>
      <c r="S5686" s="118">
        <v>15400</v>
      </c>
      <c r="T5686" s="119"/>
      <c r="U5686" s="118">
        <f t="shared" ref="U5686" si="7314">SUM(K5686:T5687)</f>
        <v>360670</v>
      </c>
      <c r="V5686" s="122"/>
      <c r="W5686" s="124"/>
      <c r="X5686" s="126" t="s">
        <v>16937</v>
      </c>
      <c r="Y5686" s="127"/>
      <c r="Z5686" s="127"/>
      <c r="AA5686" s="127"/>
      <c r="AB5686" s="128"/>
      <c r="AC5686" s="15" t="s">
        <v>20</v>
      </c>
      <c r="AD5686" s="129"/>
      <c r="AE5686" s="130"/>
      <c r="AF5686" s="130"/>
      <c r="AG5686" s="130"/>
      <c r="AH5686" s="130"/>
      <c r="AI5686" s="131"/>
      <c r="AJ5686" s="132"/>
      <c r="AK5686" s="127"/>
      <c r="AL5686" s="128"/>
      <c r="AM5686" s="21"/>
      <c r="AN5686" s="133">
        <v>46064</v>
      </c>
      <c r="AO5686" s="134"/>
      <c r="AP5686" s="135">
        <v>1004</v>
      </c>
      <c r="AQ5686" s="136"/>
      <c r="AR5686" s="118">
        <v>330000</v>
      </c>
      <c r="AS5686" s="119"/>
      <c r="AT5686" s="118">
        <v>33000</v>
      </c>
      <c r="AU5686" s="119"/>
      <c r="AV5686" s="118">
        <v>7570</v>
      </c>
      <c r="AW5686" s="119"/>
      <c r="AX5686" s="118">
        <f t="shared" ref="AX5686" si="7315">SUM(AR5686:AW5686)</f>
        <v>370570</v>
      </c>
      <c r="AY5686" s="119"/>
      <c r="AZ5686" s="137">
        <v>46069</v>
      </c>
    </row>
    <row r="5687" spans="1:52" ht="17.100000000000001" customHeight="1" thickBot="1">
      <c r="A5687" s="110"/>
      <c r="B5687" s="27" t="s">
        <v>2641</v>
      </c>
      <c r="C5687" s="27">
        <v>9025</v>
      </c>
      <c r="D5687" s="14" t="s">
        <v>904</v>
      </c>
      <c r="E5687" s="112"/>
      <c r="F5687" s="139" t="s">
        <v>16636</v>
      </c>
      <c r="G5687" s="140"/>
      <c r="H5687" s="141"/>
      <c r="I5687" s="26">
        <v>44234</v>
      </c>
      <c r="J5687" s="117"/>
      <c r="K5687" s="120"/>
      <c r="L5687" s="121"/>
      <c r="M5687" s="120"/>
      <c r="N5687" s="121"/>
      <c r="O5687" s="120"/>
      <c r="P5687" s="121"/>
      <c r="Q5687" s="120"/>
      <c r="R5687" s="121"/>
      <c r="S5687" s="120"/>
      <c r="T5687" s="121"/>
      <c r="U5687" s="120"/>
      <c r="V5687" s="123"/>
      <c r="W5687" s="125"/>
      <c r="X5687" s="142" t="s">
        <v>1997</v>
      </c>
      <c r="Y5687" s="143"/>
      <c r="Z5687" s="143"/>
      <c r="AA5687" s="143"/>
      <c r="AB5687" s="144"/>
      <c r="AC5687" s="16" t="s">
        <v>21</v>
      </c>
      <c r="AD5687" s="17" t="s">
        <v>3801</v>
      </c>
      <c r="AE5687" s="145"/>
      <c r="AF5687" s="146"/>
      <c r="AG5687" s="146"/>
      <c r="AH5687" s="146"/>
      <c r="AI5687" s="147"/>
      <c r="AJ5687" s="148"/>
      <c r="AK5687" s="143"/>
      <c r="AL5687" s="144"/>
      <c r="AM5687" s="22"/>
      <c r="AN5687" s="149" t="s">
        <v>9053</v>
      </c>
      <c r="AO5687" s="144"/>
      <c r="AP5687" s="148">
        <v>2016</v>
      </c>
      <c r="AQ5687" s="144"/>
      <c r="AR5687" s="120"/>
      <c r="AS5687" s="121"/>
      <c r="AT5687" s="120"/>
      <c r="AU5687" s="121"/>
      <c r="AV5687" s="120"/>
      <c r="AW5687" s="121"/>
      <c r="AX5687" s="120"/>
      <c r="AY5687" s="121"/>
      <c r="AZ5687" s="138"/>
    </row>
    <row r="5688" spans="1:52" ht="17.100000000000001" customHeight="1" thickTop="1">
      <c r="A5688" s="109" t="s">
        <v>16619</v>
      </c>
      <c r="B5688" s="28">
        <v>46052</v>
      </c>
      <c r="C5688" s="25">
        <v>1404</v>
      </c>
      <c r="D5688" s="13" t="s">
        <v>4177</v>
      </c>
      <c r="E5688" s="111"/>
      <c r="F5688" s="113" t="s">
        <v>16637</v>
      </c>
      <c r="G5688" s="114"/>
      <c r="H5688" s="115"/>
      <c r="I5688" s="24" t="s">
        <v>16659</v>
      </c>
      <c r="J5688" s="116">
        <v>3.5</v>
      </c>
      <c r="K5688" s="118">
        <v>253000</v>
      </c>
      <c r="L5688" s="119"/>
      <c r="M5688" s="118">
        <f t="shared" ref="M5688" si="7316">K5688*0.1</f>
        <v>25300</v>
      </c>
      <c r="N5688" s="119"/>
      <c r="O5688" s="118">
        <v>0</v>
      </c>
      <c r="P5688" s="119"/>
      <c r="Q5688" s="118">
        <v>9930</v>
      </c>
      <c r="R5688" s="119"/>
      <c r="S5688" s="118">
        <v>15400</v>
      </c>
      <c r="T5688" s="119"/>
      <c r="U5688" s="118">
        <f t="shared" ref="U5688" si="7317">SUM(K5688:T5689)</f>
        <v>303630</v>
      </c>
      <c r="V5688" s="122"/>
      <c r="W5688" s="124"/>
      <c r="X5688" s="126" t="s">
        <v>16893</v>
      </c>
      <c r="Y5688" s="127"/>
      <c r="Z5688" s="127"/>
      <c r="AA5688" s="127"/>
      <c r="AB5688" s="128"/>
      <c r="AC5688" s="15" t="s">
        <v>20</v>
      </c>
      <c r="AD5688" s="129"/>
      <c r="AE5688" s="130"/>
      <c r="AF5688" s="130"/>
      <c r="AG5688" s="130"/>
      <c r="AH5688" s="130"/>
      <c r="AI5688" s="131"/>
      <c r="AJ5688" s="132"/>
      <c r="AK5688" s="127"/>
      <c r="AL5688" s="128"/>
      <c r="AM5688" s="21" t="s">
        <v>16987</v>
      </c>
      <c r="AN5688" s="133">
        <v>46057</v>
      </c>
      <c r="AO5688" s="134"/>
      <c r="AP5688" s="135">
        <v>1003</v>
      </c>
      <c r="AQ5688" s="136"/>
      <c r="AR5688" s="118">
        <v>295000</v>
      </c>
      <c r="AS5688" s="119"/>
      <c r="AT5688" s="118">
        <f t="shared" ref="AT5688" si="7318">AR5688*0.1</f>
        <v>29500</v>
      </c>
      <c r="AU5688" s="119"/>
      <c r="AV5688" s="118">
        <v>9930</v>
      </c>
      <c r="AW5688" s="119"/>
      <c r="AX5688" s="118">
        <f t="shared" ref="AX5688" si="7319">SUM(AR5688:AW5688)</f>
        <v>334430</v>
      </c>
      <c r="AY5688" s="119"/>
      <c r="AZ5688" s="137">
        <v>46063</v>
      </c>
    </row>
    <row r="5689" spans="1:52" ht="17.100000000000001" customHeight="1" thickBot="1">
      <c r="A5689" s="110"/>
      <c r="B5689" s="27" t="s">
        <v>2641</v>
      </c>
      <c r="C5689" s="27">
        <v>9038</v>
      </c>
      <c r="D5689" s="14" t="s">
        <v>275</v>
      </c>
      <c r="E5689" s="112"/>
      <c r="F5689" s="139" t="s">
        <v>16638</v>
      </c>
      <c r="G5689" s="140"/>
      <c r="H5689" s="141"/>
      <c r="I5689" s="26">
        <v>79938</v>
      </c>
      <c r="J5689" s="117"/>
      <c r="K5689" s="120"/>
      <c r="L5689" s="121"/>
      <c r="M5689" s="120"/>
      <c r="N5689" s="121"/>
      <c r="O5689" s="120"/>
      <c r="P5689" s="121"/>
      <c r="Q5689" s="120"/>
      <c r="R5689" s="121"/>
      <c r="S5689" s="120"/>
      <c r="T5689" s="121"/>
      <c r="U5689" s="120"/>
      <c r="V5689" s="123"/>
      <c r="W5689" s="125"/>
      <c r="X5689" s="142" t="s">
        <v>16894</v>
      </c>
      <c r="Y5689" s="143"/>
      <c r="Z5689" s="143"/>
      <c r="AA5689" s="143"/>
      <c r="AB5689" s="144"/>
      <c r="AC5689" s="16" t="s">
        <v>21</v>
      </c>
      <c r="AD5689" s="17" t="s">
        <v>3801</v>
      </c>
      <c r="AE5689" s="145" t="s">
        <v>1633</v>
      </c>
      <c r="AF5689" s="146"/>
      <c r="AG5689" s="146"/>
      <c r="AH5689" s="146"/>
      <c r="AI5689" s="147"/>
      <c r="AJ5689" s="148"/>
      <c r="AK5689" s="143"/>
      <c r="AL5689" s="144"/>
      <c r="AM5689" s="22"/>
      <c r="AN5689" s="149" t="s">
        <v>2794</v>
      </c>
      <c r="AO5689" s="144"/>
      <c r="AP5689" s="148">
        <v>5114</v>
      </c>
      <c r="AQ5689" s="144"/>
      <c r="AR5689" s="120"/>
      <c r="AS5689" s="121"/>
      <c r="AT5689" s="120"/>
      <c r="AU5689" s="121"/>
      <c r="AV5689" s="120"/>
      <c r="AW5689" s="121"/>
      <c r="AX5689" s="120"/>
      <c r="AY5689" s="121"/>
      <c r="AZ5689" s="138"/>
    </row>
    <row r="5690" spans="1:52" ht="17.100000000000001" customHeight="1" thickTop="1">
      <c r="A5690" s="109" t="s">
        <v>16642</v>
      </c>
      <c r="B5690" s="28">
        <v>46052</v>
      </c>
      <c r="C5690" s="25">
        <v>1404</v>
      </c>
      <c r="D5690" s="13" t="s">
        <v>1549</v>
      </c>
      <c r="E5690" s="111"/>
      <c r="F5690" s="113" t="s">
        <v>16272</v>
      </c>
      <c r="G5690" s="114"/>
      <c r="H5690" s="115"/>
      <c r="I5690" s="24" t="s">
        <v>16660</v>
      </c>
      <c r="J5690" s="116">
        <v>3.5</v>
      </c>
      <c r="K5690" s="118">
        <v>310000</v>
      </c>
      <c r="L5690" s="119"/>
      <c r="M5690" s="118">
        <f t="shared" ref="M5690" si="7320">K5690*0.1</f>
        <v>31000</v>
      </c>
      <c r="N5690" s="119"/>
      <c r="O5690" s="118">
        <v>0</v>
      </c>
      <c r="P5690" s="119"/>
      <c r="Q5690" s="118">
        <v>8780</v>
      </c>
      <c r="R5690" s="119"/>
      <c r="S5690" s="118">
        <v>15400</v>
      </c>
      <c r="T5690" s="119"/>
      <c r="U5690" s="118">
        <f t="shared" ref="U5690" si="7321">SUM(K5690:T5691)</f>
        <v>365180</v>
      </c>
      <c r="V5690" s="122"/>
      <c r="W5690" s="124"/>
      <c r="X5690" s="126" t="s">
        <v>16935</v>
      </c>
      <c r="Y5690" s="127"/>
      <c r="Z5690" s="127"/>
      <c r="AA5690" s="127"/>
      <c r="AB5690" s="128"/>
      <c r="AC5690" s="15" t="s">
        <v>20</v>
      </c>
      <c r="AD5690" s="129"/>
      <c r="AE5690" s="130"/>
      <c r="AF5690" s="130"/>
      <c r="AG5690" s="130"/>
      <c r="AH5690" s="130"/>
      <c r="AI5690" s="131"/>
      <c r="AJ5690" s="132"/>
      <c r="AK5690" s="127"/>
      <c r="AL5690" s="128"/>
      <c r="AM5690" s="21"/>
      <c r="AN5690" s="133">
        <v>46071</v>
      </c>
      <c r="AO5690" s="134"/>
      <c r="AP5690" s="135">
        <v>1005</v>
      </c>
      <c r="AQ5690" s="136"/>
      <c r="AR5690" s="118">
        <v>370000</v>
      </c>
      <c r="AS5690" s="119"/>
      <c r="AT5690" s="118">
        <f t="shared" ref="AT5690" si="7322">AR5690*0.1</f>
        <v>37000</v>
      </c>
      <c r="AU5690" s="119"/>
      <c r="AV5690" s="118">
        <v>8780</v>
      </c>
      <c r="AW5690" s="119"/>
      <c r="AX5690" s="118">
        <f t="shared" ref="AX5690" si="7323">SUM(AR5690:AW5690)</f>
        <v>415780</v>
      </c>
      <c r="AY5690" s="119"/>
      <c r="AZ5690" s="137">
        <v>46079</v>
      </c>
    </row>
    <row r="5691" spans="1:52" ht="17.100000000000001" customHeight="1" thickBot="1">
      <c r="A5691" s="110"/>
      <c r="B5691" s="27" t="s">
        <v>2641</v>
      </c>
      <c r="C5691" s="27">
        <v>9039</v>
      </c>
      <c r="D5691" s="14" t="s">
        <v>5615</v>
      </c>
      <c r="E5691" s="112"/>
      <c r="F5691" s="139" t="s">
        <v>16639</v>
      </c>
      <c r="G5691" s="140"/>
      <c r="H5691" s="141"/>
      <c r="I5691" s="26">
        <v>47896</v>
      </c>
      <c r="J5691" s="117"/>
      <c r="K5691" s="120"/>
      <c r="L5691" s="121"/>
      <c r="M5691" s="120"/>
      <c r="N5691" s="121"/>
      <c r="O5691" s="120"/>
      <c r="P5691" s="121"/>
      <c r="Q5691" s="120"/>
      <c r="R5691" s="121"/>
      <c r="S5691" s="120"/>
      <c r="T5691" s="121"/>
      <c r="U5691" s="120"/>
      <c r="V5691" s="123"/>
      <c r="W5691" s="125"/>
      <c r="X5691" s="142" t="s">
        <v>16936</v>
      </c>
      <c r="Y5691" s="143"/>
      <c r="Z5691" s="143"/>
      <c r="AA5691" s="143"/>
      <c r="AB5691" s="144"/>
      <c r="AC5691" s="16" t="s">
        <v>21</v>
      </c>
      <c r="AD5691" s="17" t="s">
        <v>3801</v>
      </c>
      <c r="AE5691" s="145"/>
      <c r="AF5691" s="146"/>
      <c r="AG5691" s="146"/>
      <c r="AH5691" s="146"/>
      <c r="AI5691" s="147"/>
      <c r="AJ5691" s="148"/>
      <c r="AK5691" s="143"/>
      <c r="AL5691" s="144"/>
      <c r="AM5691" s="22"/>
      <c r="AN5691" s="149" t="s">
        <v>7285</v>
      </c>
      <c r="AO5691" s="144"/>
      <c r="AP5691" s="148">
        <v>2056</v>
      </c>
      <c r="AQ5691" s="144"/>
      <c r="AR5691" s="120"/>
      <c r="AS5691" s="121"/>
      <c r="AT5691" s="120"/>
      <c r="AU5691" s="121"/>
      <c r="AV5691" s="120"/>
      <c r="AW5691" s="121"/>
      <c r="AX5691" s="120"/>
      <c r="AY5691" s="121"/>
      <c r="AZ5691" s="138"/>
    </row>
    <row r="5692" spans="1:52" ht="17.100000000000001" customHeight="1" thickTop="1">
      <c r="A5692" s="109" t="s">
        <v>16643</v>
      </c>
      <c r="B5692" s="28">
        <v>46052</v>
      </c>
      <c r="C5692" s="25">
        <v>1404</v>
      </c>
      <c r="D5692" s="13" t="s">
        <v>5627</v>
      </c>
      <c r="E5692" s="111"/>
      <c r="F5692" s="113" t="s">
        <v>16640</v>
      </c>
      <c r="G5692" s="114"/>
      <c r="H5692" s="115"/>
      <c r="I5692" s="24" t="s">
        <v>16661</v>
      </c>
      <c r="J5692" s="116">
        <v>4</v>
      </c>
      <c r="K5692" s="118">
        <v>220000</v>
      </c>
      <c r="L5692" s="119"/>
      <c r="M5692" s="118">
        <f t="shared" ref="M5692" si="7324">K5692*0.1</f>
        <v>22000</v>
      </c>
      <c r="N5692" s="119"/>
      <c r="O5692" s="118">
        <v>0</v>
      </c>
      <c r="P5692" s="119"/>
      <c r="Q5692" s="118">
        <v>8490</v>
      </c>
      <c r="R5692" s="119"/>
      <c r="S5692" s="118">
        <v>15400</v>
      </c>
      <c r="T5692" s="119"/>
      <c r="U5692" s="118">
        <f t="shared" ref="U5692" si="7325">SUM(K5692:T5693)</f>
        <v>265890</v>
      </c>
      <c r="V5692" s="122"/>
      <c r="W5692" s="124"/>
      <c r="X5692" s="126" t="s">
        <v>16890</v>
      </c>
      <c r="Y5692" s="127"/>
      <c r="Z5692" s="127"/>
      <c r="AA5692" s="127"/>
      <c r="AB5692" s="128"/>
      <c r="AC5692" s="15" t="s">
        <v>20</v>
      </c>
      <c r="AD5692" s="129"/>
      <c r="AE5692" s="130"/>
      <c r="AF5692" s="130"/>
      <c r="AG5692" s="130"/>
      <c r="AH5692" s="130"/>
      <c r="AI5692" s="131"/>
      <c r="AJ5692" s="132"/>
      <c r="AK5692" s="127"/>
      <c r="AL5692" s="128"/>
      <c r="AM5692" s="21" t="s">
        <v>16988</v>
      </c>
      <c r="AN5692" s="133">
        <v>46057</v>
      </c>
      <c r="AO5692" s="134"/>
      <c r="AP5692" s="135">
        <v>1003</v>
      </c>
      <c r="AQ5692" s="136"/>
      <c r="AR5692" s="118">
        <v>270000</v>
      </c>
      <c r="AS5692" s="119"/>
      <c r="AT5692" s="118">
        <f t="shared" ref="AT5692" si="7326">AR5692*0.1</f>
        <v>27000</v>
      </c>
      <c r="AU5692" s="119"/>
      <c r="AV5692" s="118">
        <v>8490</v>
      </c>
      <c r="AW5692" s="119"/>
      <c r="AX5692" s="118">
        <f t="shared" ref="AX5692" si="7327">SUM(AR5692:AW5692)</f>
        <v>305490</v>
      </c>
      <c r="AY5692" s="119"/>
      <c r="AZ5692" s="137">
        <v>46063</v>
      </c>
    </row>
    <row r="5693" spans="1:52" ht="17.100000000000001" customHeight="1" thickBot="1">
      <c r="A5693" s="110"/>
      <c r="B5693" s="27" t="s">
        <v>2641</v>
      </c>
      <c r="C5693" s="27">
        <v>6252</v>
      </c>
      <c r="D5693" s="14" t="s">
        <v>904</v>
      </c>
      <c r="E5693" s="112"/>
      <c r="F5693" s="139" t="s">
        <v>16641</v>
      </c>
      <c r="G5693" s="140"/>
      <c r="H5693" s="141"/>
      <c r="I5693" s="26">
        <v>39333</v>
      </c>
      <c r="J5693" s="117"/>
      <c r="K5693" s="120"/>
      <c r="L5693" s="121"/>
      <c r="M5693" s="120"/>
      <c r="N5693" s="121"/>
      <c r="O5693" s="120"/>
      <c r="P5693" s="121"/>
      <c r="Q5693" s="120"/>
      <c r="R5693" s="121"/>
      <c r="S5693" s="120"/>
      <c r="T5693" s="121"/>
      <c r="U5693" s="120"/>
      <c r="V5693" s="123"/>
      <c r="W5693" s="125"/>
      <c r="X5693" s="142" t="s">
        <v>1997</v>
      </c>
      <c r="Y5693" s="143"/>
      <c r="Z5693" s="143"/>
      <c r="AA5693" s="143"/>
      <c r="AB5693" s="144"/>
      <c r="AC5693" s="16" t="s">
        <v>21</v>
      </c>
      <c r="AD5693" s="17" t="s">
        <v>3801</v>
      </c>
      <c r="AE5693" s="145" t="s">
        <v>2269</v>
      </c>
      <c r="AF5693" s="146"/>
      <c r="AG5693" s="146"/>
      <c r="AH5693" s="146"/>
      <c r="AI5693" s="147"/>
      <c r="AJ5693" s="148"/>
      <c r="AK5693" s="143"/>
      <c r="AL5693" s="144"/>
      <c r="AM5693" s="22"/>
      <c r="AN5693" s="149" t="s">
        <v>2794</v>
      </c>
      <c r="AO5693" s="144"/>
      <c r="AP5693" s="148">
        <v>5077</v>
      </c>
      <c r="AQ5693" s="144"/>
      <c r="AR5693" s="120"/>
      <c r="AS5693" s="121"/>
      <c r="AT5693" s="120"/>
      <c r="AU5693" s="121"/>
      <c r="AV5693" s="120"/>
      <c r="AW5693" s="121"/>
      <c r="AX5693" s="120"/>
      <c r="AY5693" s="121"/>
      <c r="AZ5693" s="138"/>
    </row>
    <row r="5694" spans="1:52" ht="17.100000000000001" customHeight="1" thickTop="1">
      <c r="A5694" s="109" t="s">
        <v>16644</v>
      </c>
      <c r="B5694" s="28">
        <v>46053</v>
      </c>
      <c r="C5694" s="25">
        <v>1451</v>
      </c>
      <c r="D5694" s="13" t="s">
        <v>1803</v>
      </c>
      <c r="E5694" s="111"/>
      <c r="F5694" s="113" t="s">
        <v>16648</v>
      </c>
      <c r="G5694" s="114"/>
      <c r="H5694" s="115"/>
      <c r="I5694" s="24"/>
      <c r="J5694" s="116">
        <v>4</v>
      </c>
      <c r="K5694" s="118">
        <v>515000</v>
      </c>
      <c r="L5694" s="119"/>
      <c r="M5694" s="118">
        <f t="shared" ref="M5694" si="7328">K5694*0.1</f>
        <v>51500</v>
      </c>
      <c r="N5694" s="119"/>
      <c r="O5694" s="118">
        <v>0</v>
      </c>
      <c r="P5694" s="119"/>
      <c r="Q5694" s="118">
        <v>9940</v>
      </c>
      <c r="R5694" s="119"/>
      <c r="S5694" s="118">
        <v>16500</v>
      </c>
      <c r="T5694" s="119"/>
      <c r="U5694" s="118">
        <f t="shared" ref="U5694" si="7329">SUM(K5694:T5695)</f>
        <v>592940</v>
      </c>
      <c r="V5694" s="122"/>
      <c r="W5694" s="124"/>
      <c r="X5694" s="126" t="s">
        <v>16923</v>
      </c>
      <c r="Y5694" s="127"/>
      <c r="Z5694" s="127"/>
      <c r="AA5694" s="127"/>
      <c r="AB5694" s="128"/>
      <c r="AC5694" s="15" t="s">
        <v>20</v>
      </c>
      <c r="AD5694" s="129" t="s">
        <v>16662</v>
      </c>
      <c r="AE5694" s="130"/>
      <c r="AF5694" s="130"/>
      <c r="AG5694" s="130"/>
      <c r="AH5694" s="130"/>
      <c r="AI5694" s="131"/>
      <c r="AJ5694" s="132"/>
      <c r="AK5694" s="127"/>
      <c r="AL5694" s="128"/>
      <c r="AM5694" s="21"/>
      <c r="AN5694" s="133">
        <v>46071</v>
      </c>
      <c r="AO5694" s="134"/>
      <c r="AP5694" s="135">
        <v>1005</v>
      </c>
      <c r="AQ5694" s="136"/>
      <c r="AR5694" s="118">
        <v>590000</v>
      </c>
      <c r="AS5694" s="119"/>
      <c r="AT5694" s="118">
        <f t="shared" ref="AT5694" si="7330">AR5694*0.1</f>
        <v>59000</v>
      </c>
      <c r="AU5694" s="119"/>
      <c r="AV5694" s="118">
        <v>9240</v>
      </c>
      <c r="AW5694" s="119"/>
      <c r="AX5694" s="118">
        <f t="shared" ref="AX5694" si="7331">SUM(AR5694:AW5694)</f>
        <v>658240</v>
      </c>
      <c r="AY5694" s="119"/>
      <c r="AZ5694" s="137">
        <v>46073</v>
      </c>
    </row>
    <row r="5695" spans="1:52" ht="17.100000000000001" customHeight="1" thickBot="1">
      <c r="A5695" s="110"/>
      <c r="B5695" s="27" t="s">
        <v>1779</v>
      </c>
      <c r="C5695" s="27">
        <v>6099</v>
      </c>
      <c r="D5695" s="14" t="s">
        <v>2601</v>
      </c>
      <c r="E5695" s="112"/>
      <c r="F5695" s="139" t="s">
        <v>16649</v>
      </c>
      <c r="G5695" s="140"/>
      <c r="H5695" s="141"/>
      <c r="I5695" s="26">
        <v>56568</v>
      </c>
      <c r="J5695" s="117"/>
      <c r="K5695" s="120"/>
      <c r="L5695" s="121"/>
      <c r="M5695" s="120"/>
      <c r="N5695" s="121"/>
      <c r="O5695" s="120"/>
      <c r="P5695" s="121"/>
      <c r="Q5695" s="120"/>
      <c r="R5695" s="121"/>
      <c r="S5695" s="120"/>
      <c r="T5695" s="121"/>
      <c r="U5695" s="120"/>
      <c r="V5695" s="123"/>
      <c r="W5695" s="125"/>
      <c r="X5695" s="142" t="s">
        <v>16924</v>
      </c>
      <c r="Y5695" s="143"/>
      <c r="Z5695" s="143"/>
      <c r="AA5695" s="143"/>
      <c r="AB5695" s="144"/>
      <c r="AC5695" s="16" t="s">
        <v>21</v>
      </c>
      <c r="AD5695" s="17" t="s">
        <v>3801</v>
      </c>
      <c r="AE5695" s="145" t="s">
        <v>16925</v>
      </c>
      <c r="AF5695" s="146"/>
      <c r="AG5695" s="146"/>
      <c r="AH5695" s="146"/>
      <c r="AI5695" s="147"/>
      <c r="AJ5695" s="148"/>
      <c r="AK5695" s="143"/>
      <c r="AL5695" s="144"/>
      <c r="AM5695" s="22"/>
      <c r="AN5695" s="149" t="s">
        <v>2794</v>
      </c>
      <c r="AO5695" s="144"/>
      <c r="AP5695" s="148">
        <v>5064</v>
      </c>
      <c r="AQ5695" s="144"/>
      <c r="AR5695" s="120"/>
      <c r="AS5695" s="121"/>
      <c r="AT5695" s="120"/>
      <c r="AU5695" s="121"/>
      <c r="AV5695" s="120"/>
      <c r="AW5695" s="121"/>
      <c r="AX5695" s="120"/>
      <c r="AY5695" s="121"/>
      <c r="AZ5695" s="138"/>
    </row>
    <row r="5696" spans="1:52" ht="17.100000000000001" customHeight="1" thickTop="1">
      <c r="A5696" s="109" t="s">
        <v>16645</v>
      </c>
      <c r="B5696" s="28">
        <v>46053</v>
      </c>
      <c r="C5696" s="25">
        <v>297</v>
      </c>
      <c r="D5696" s="13" t="s">
        <v>2001</v>
      </c>
      <c r="E5696" s="111"/>
      <c r="F5696" s="375" t="s">
        <v>15217</v>
      </c>
      <c r="G5696" s="114"/>
      <c r="H5696" s="115"/>
      <c r="I5696" s="24"/>
      <c r="J5696" s="116">
        <v>4.5</v>
      </c>
      <c r="K5696" s="118">
        <v>1184000</v>
      </c>
      <c r="L5696" s="119"/>
      <c r="M5696" s="118">
        <f t="shared" ref="M5696" si="7332">K5696*0.1</f>
        <v>118400</v>
      </c>
      <c r="N5696" s="119"/>
      <c r="O5696" s="118">
        <v>0</v>
      </c>
      <c r="P5696" s="119"/>
      <c r="Q5696" s="118">
        <v>8630</v>
      </c>
      <c r="R5696" s="119"/>
      <c r="S5696" s="118">
        <v>15950</v>
      </c>
      <c r="T5696" s="119"/>
      <c r="U5696" s="118">
        <f t="shared" ref="U5696" si="7333">SUM(K5696:T5697)</f>
        <v>1326980</v>
      </c>
      <c r="V5696" s="122"/>
      <c r="W5696" s="124"/>
      <c r="X5696" s="126" t="s">
        <v>16927</v>
      </c>
      <c r="Y5696" s="127"/>
      <c r="Z5696" s="127"/>
      <c r="AA5696" s="127"/>
      <c r="AB5696" s="128"/>
      <c r="AC5696" s="15" t="s">
        <v>20</v>
      </c>
      <c r="AD5696" s="129" t="s">
        <v>1670</v>
      </c>
      <c r="AE5696" s="130"/>
      <c r="AF5696" s="130"/>
      <c r="AG5696" s="130"/>
      <c r="AH5696" s="130"/>
      <c r="AI5696" s="131"/>
      <c r="AJ5696" s="132"/>
      <c r="AK5696" s="127"/>
      <c r="AL5696" s="128"/>
      <c r="AM5696" s="21"/>
      <c r="AN5696" s="133">
        <v>46078</v>
      </c>
      <c r="AO5696" s="134"/>
      <c r="AP5696" s="135">
        <v>1006</v>
      </c>
      <c r="AQ5696" s="136"/>
      <c r="AR5696" s="118">
        <v>1245000</v>
      </c>
      <c r="AS5696" s="119"/>
      <c r="AT5696" s="118">
        <f t="shared" ref="AT5696" si="7334">AR5696*0.1</f>
        <v>124500</v>
      </c>
      <c r="AU5696" s="119"/>
      <c r="AV5696" s="118">
        <v>8630</v>
      </c>
      <c r="AW5696" s="119"/>
      <c r="AX5696" s="118">
        <f t="shared" ref="AX5696" si="7335">SUM(AR5696:AW5696)</f>
        <v>1378130</v>
      </c>
      <c r="AY5696" s="119"/>
      <c r="AZ5696" s="137">
        <v>46083</v>
      </c>
    </row>
    <row r="5697" spans="1:52" ht="17.100000000000001" customHeight="1" thickBot="1">
      <c r="A5697" s="110"/>
      <c r="B5697" s="27" t="s">
        <v>3574</v>
      </c>
      <c r="C5697" s="27">
        <v>3089</v>
      </c>
      <c r="D5697" s="14" t="s">
        <v>275</v>
      </c>
      <c r="E5697" s="112"/>
      <c r="F5697" s="139" t="s">
        <v>16650</v>
      </c>
      <c r="G5697" s="140"/>
      <c r="H5697" s="141"/>
      <c r="I5697" s="26">
        <v>57443</v>
      </c>
      <c r="J5697" s="117"/>
      <c r="K5697" s="120"/>
      <c r="L5697" s="121"/>
      <c r="M5697" s="120"/>
      <c r="N5697" s="121"/>
      <c r="O5697" s="120"/>
      <c r="P5697" s="121"/>
      <c r="Q5697" s="120"/>
      <c r="R5697" s="121"/>
      <c r="S5697" s="120"/>
      <c r="T5697" s="121"/>
      <c r="U5697" s="120"/>
      <c r="V5697" s="123"/>
      <c r="W5697" s="125"/>
      <c r="X5697" s="142" t="s">
        <v>16928</v>
      </c>
      <c r="Y5697" s="143"/>
      <c r="Z5697" s="143"/>
      <c r="AA5697" s="143"/>
      <c r="AB5697" s="144"/>
      <c r="AC5697" s="16" t="s">
        <v>21</v>
      </c>
      <c r="AD5697" s="17" t="s">
        <v>3801</v>
      </c>
      <c r="AE5697" s="145" t="s">
        <v>1670</v>
      </c>
      <c r="AF5697" s="146"/>
      <c r="AG5697" s="146"/>
      <c r="AH5697" s="146"/>
      <c r="AI5697" s="147"/>
      <c r="AJ5697" s="148"/>
      <c r="AK5697" s="143"/>
      <c r="AL5697" s="144"/>
      <c r="AM5697" s="22"/>
      <c r="AN5697" s="149" t="s">
        <v>2794</v>
      </c>
      <c r="AO5697" s="144"/>
      <c r="AP5697" s="148">
        <v>2036</v>
      </c>
      <c r="AQ5697" s="144"/>
      <c r="AR5697" s="120"/>
      <c r="AS5697" s="121"/>
      <c r="AT5697" s="120"/>
      <c r="AU5697" s="121"/>
      <c r="AV5697" s="120"/>
      <c r="AW5697" s="121"/>
      <c r="AX5697" s="120"/>
      <c r="AY5697" s="121"/>
      <c r="AZ5697" s="138"/>
    </row>
    <row r="5698" spans="1:52" ht="17.100000000000001" customHeight="1" thickTop="1">
      <c r="A5698" s="109" t="s">
        <v>16646</v>
      </c>
      <c r="B5698" s="28">
        <v>46053</v>
      </c>
      <c r="C5698" s="25">
        <v>1008</v>
      </c>
      <c r="D5698" s="13" t="s">
        <v>2009</v>
      </c>
      <c r="E5698" s="111"/>
      <c r="F5698" s="113" t="s">
        <v>16651</v>
      </c>
      <c r="G5698" s="114"/>
      <c r="H5698" s="115"/>
      <c r="I5698" s="24"/>
      <c r="J5698" s="116">
        <v>4.5</v>
      </c>
      <c r="K5698" s="118">
        <v>1222000</v>
      </c>
      <c r="L5698" s="119"/>
      <c r="M5698" s="118">
        <f t="shared" ref="M5698" si="7336">K5698*0.1</f>
        <v>122200</v>
      </c>
      <c r="N5698" s="119"/>
      <c r="O5698" s="118">
        <v>0</v>
      </c>
      <c r="P5698" s="119"/>
      <c r="Q5698" s="118">
        <v>8570</v>
      </c>
      <c r="R5698" s="119"/>
      <c r="S5698" s="118">
        <v>15950</v>
      </c>
      <c r="T5698" s="119"/>
      <c r="U5698" s="118">
        <f t="shared" ref="U5698" si="7337">SUM(K5698:T5699)</f>
        <v>1368720</v>
      </c>
      <c r="V5698" s="122"/>
      <c r="W5698" s="124"/>
      <c r="X5698" s="126" t="s">
        <v>16931</v>
      </c>
      <c r="Y5698" s="127"/>
      <c r="Z5698" s="127"/>
      <c r="AA5698" s="127"/>
      <c r="AB5698" s="128"/>
      <c r="AC5698" s="15" t="s">
        <v>20</v>
      </c>
      <c r="AD5698" s="129"/>
      <c r="AE5698" s="130"/>
      <c r="AF5698" s="130"/>
      <c r="AG5698" s="130"/>
      <c r="AH5698" s="130"/>
      <c r="AI5698" s="131"/>
      <c r="AJ5698" s="132"/>
      <c r="AK5698" s="127"/>
      <c r="AL5698" s="128"/>
      <c r="AM5698" s="21"/>
      <c r="AN5698" s="133">
        <v>46060</v>
      </c>
      <c r="AO5698" s="134"/>
      <c r="AP5698" s="135">
        <v>1287</v>
      </c>
      <c r="AQ5698" s="136"/>
      <c r="AR5698" s="118">
        <v>1345000</v>
      </c>
      <c r="AS5698" s="119"/>
      <c r="AT5698" s="118">
        <f t="shared" ref="AT5698" si="7338">AR5698*0.1</f>
        <v>134500</v>
      </c>
      <c r="AU5698" s="119"/>
      <c r="AV5698" s="118">
        <v>8570</v>
      </c>
      <c r="AW5698" s="119"/>
      <c r="AX5698" s="118">
        <f t="shared" ref="AX5698" si="7339">SUM(AR5698:AW5698)</f>
        <v>1488070</v>
      </c>
      <c r="AY5698" s="119"/>
      <c r="AZ5698" s="137">
        <v>46070</v>
      </c>
    </row>
    <row r="5699" spans="1:52" ht="17.100000000000001" customHeight="1" thickBot="1">
      <c r="A5699" s="110"/>
      <c r="B5699" s="27" t="s">
        <v>1707</v>
      </c>
      <c r="C5699" s="27">
        <v>3071</v>
      </c>
      <c r="D5699" s="14" t="s">
        <v>2601</v>
      </c>
      <c r="E5699" s="112"/>
      <c r="F5699" s="139" t="s">
        <v>16652</v>
      </c>
      <c r="G5699" s="140"/>
      <c r="H5699" s="141"/>
      <c r="I5699" s="26">
        <v>29590</v>
      </c>
      <c r="J5699" s="117"/>
      <c r="K5699" s="120"/>
      <c r="L5699" s="121"/>
      <c r="M5699" s="120"/>
      <c r="N5699" s="121"/>
      <c r="O5699" s="120"/>
      <c r="P5699" s="121"/>
      <c r="Q5699" s="120"/>
      <c r="R5699" s="121"/>
      <c r="S5699" s="120"/>
      <c r="T5699" s="121"/>
      <c r="U5699" s="120"/>
      <c r="V5699" s="123"/>
      <c r="W5699" s="125"/>
      <c r="X5699" s="142" t="s">
        <v>9090</v>
      </c>
      <c r="Y5699" s="143"/>
      <c r="Z5699" s="143"/>
      <c r="AA5699" s="143"/>
      <c r="AB5699" s="144"/>
      <c r="AC5699" s="16" t="s">
        <v>21</v>
      </c>
      <c r="AD5699" s="17" t="s">
        <v>3801</v>
      </c>
      <c r="AE5699" s="145" t="s">
        <v>1670</v>
      </c>
      <c r="AF5699" s="146"/>
      <c r="AG5699" s="146"/>
      <c r="AH5699" s="146"/>
      <c r="AI5699" s="147"/>
      <c r="AJ5699" s="148"/>
      <c r="AK5699" s="143"/>
      <c r="AL5699" s="144"/>
      <c r="AM5699" s="22"/>
      <c r="AN5699" s="149" t="s">
        <v>6748</v>
      </c>
      <c r="AO5699" s="144"/>
      <c r="AP5699" s="148">
        <v>60113</v>
      </c>
      <c r="AQ5699" s="144"/>
      <c r="AR5699" s="120"/>
      <c r="AS5699" s="121"/>
      <c r="AT5699" s="120"/>
      <c r="AU5699" s="121"/>
      <c r="AV5699" s="120"/>
      <c r="AW5699" s="121"/>
      <c r="AX5699" s="120"/>
      <c r="AY5699" s="121"/>
      <c r="AZ5699" s="138"/>
    </row>
    <row r="5700" spans="1:52" ht="17.100000000000001" customHeight="1" thickTop="1">
      <c r="A5700" s="109" t="s">
        <v>16647</v>
      </c>
      <c r="B5700" s="28">
        <v>46053</v>
      </c>
      <c r="C5700" s="25">
        <v>1008</v>
      </c>
      <c r="D5700" s="13" t="s">
        <v>2858</v>
      </c>
      <c r="E5700" s="111"/>
      <c r="F5700" s="113" t="s">
        <v>16653</v>
      </c>
      <c r="G5700" s="114"/>
      <c r="H5700" s="115"/>
      <c r="I5700" s="24" t="s">
        <v>8050</v>
      </c>
      <c r="J5700" s="150" t="s">
        <v>4203</v>
      </c>
      <c r="K5700" s="118">
        <v>1482000</v>
      </c>
      <c r="L5700" s="119"/>
      <c r="M5700" s="118">
        <f t="shared" ref="M5700" si="7340">K5700*0.1</f>
        <v>148200</v>
      </c>
      <c r="N5700" s="119"/>
      <c r="O5700" s="118">
        <v>0</v>
      </c>
      <c r="P5700" s="119"/>
      <c r="Q5700" s="118">
        <v>14200</v>
      </c>
      <c r="R5700" s="119"/>
      <c r="S5700" s="118">
        <v>15950</v>
      </c>
      <c r="T5700" s="119"/>
      <c r="U5700" s="118">
        <f t="shared" ref="U5700" si="7341">SUM(K5700:T5701)</f>
        <v>1660350</v>
      </c>
      <c r="V5700" s="122"/>
      <c r="W5700" s="124"/>
      <c r="X5700" s="126" t="s">
        <v>16655</v>
      </c>
      <c r="Y5700" s="127"/>
      <c r="Z5700" s="127"/>
      <c r="AA5700" s="127"/>
      <c r="AB5700" s="128"/>
      <c r="AC5700" s="15" t="s">
        <v>20</v>
      </c>
      <c r="AD5700" s="129" t="s">
        <v>15319</v>
      </c>
      <c r="AE5700" s="130"/>
      <c r="AF5700" s="130"/>
      <c r="AG5700" s="130"/>
      <c r="AH5700" s="130"/>
      <c r="AI5700" s="131"/>
      <c r="AJ5700" s="132"/>
      <c r="AK5700" s="127"/>
      <c r="AL5700" s="128"/>
      <c r="AM5700" s="21" t="s">
        <v>18159</v>
      </c>
      <c r="AN5700" s="133">
        <v>46061</v>
      </c>
      <c r="AO5700" s="134"/>
      <c r="AP5700" s="135"/>
      <c r="AQ5700" s="136"/>
      <c r="AR5700" s="118">
        <v>2053500</v>
      </c>
      <c r="AS5700" s="119"/>
      <c r="AT5700" s="118">
        <v>0</v>
      </c>
      <c r="AU5700" s="119"/>
      <c r="AV5700" s="118">
        <v>0</v>
      </c>
      <c r="AW5700" s="119"/>
      <c r="AX5700" s="118">
        <f t="shared" ref="AX5700" si="7342">SUM(AR5700:AW5700)</f>
        <v>2053500</v>
      </c>
      <c r="AY5700" s="119"/>
      <c r="AZ5700" s="137">
        <v>46074</v>
      </c>
    </row>
    <row r="5701" spans="1:52" ht="17.100000000000001" customHeight="1" thickBot="1">
      <c r="A5701" s="110"/>
      <c r="B5701" s="27" t="s">
        <v>1707</v>
      </c>
      <c r="C5701" s="27">
        <v>3091</v>
      </c>
      <c r="D5701" s="14" t="s">
        <v>2040</v>
      </c>
      <c r="E5701" s="112"/>
      <c r="F5701" s="139" t="s">
        <v>16654</v>
      </c>
      <c r="G5701" s="140"/>
      <c r="H5701" s="141"/>
      <c r="I5701" s="26">
        <v>7</v>
      </c>
      <c r="J5701" s="117"/>
      <c r="K5701" s="120"/>
      <c r="L5701" s="121"/>
      <c r="M5701" s="120"/>
      <c r="N5701" s="121"/>
      <c r="O5701" s="120"/>
      <c r="P5701" s="121"/>
      <c r="Q5701" s="120"/>
      <c r="R5701" s="121"/>
      <c r="S5701" s="120"/>
      <c r="T5701" s="121"/>
      <c r="U5701" s="120"/>
      <c r="V5701" s="123"/>
      <c r="W5701" s="125"/>
      <c r="X5701" s="142" t="s">
        <v>16932</v>
      </c>
      <c r="Y5701" s="143"/>
      <c r="Z5701" s="143"/>
      <c r="AA5701" s="143"/>
      <c r="AB5701" s="144"/>
      <c r="AC5701" s="16" t="s">
        <v>21</v>
      </c>
      <c r="AD5701" s="17" t="s">
        <v>3801</v>
      </c>
      <c r="AE5701" s="145" t="s">
        <v>2692</v>
      </c>
      <c r="AF5701" s="146"/>
      <c r="AG5701" s="146"/>
      <c r="AH5701" s="146"/>
      <c r="AI5701" s="147"/>
      <c r="AJ5701" s="148"/>
      <c r="AK5701" s="143"/>
      <c r="AL5701" s="144"/>
      <c r="AM5701" s="22"/>
      <c r="AN5701" s="149" t="s">
        <v>18571</v>
      </c>
      <c r="AO5701" s="144"/>
      <c r="AP5701" s="148"/>
      <c r="AQ5701" s="144"/>
      <c r="AR5701" s="120"/>
      <c r="AS5701" s="121"/>
      <c r="AT5701" s="120"/>
      <c r="AU5701" s="121"/>
      <c r="AV5701" s="120"/>
      <c r="AW5701" s="121"/>
      <c r="AX5701" s="120"/>
      <c r="AY5701" s="121"/>
      <c r="AZ5701" s="138"/>
    </row>
    <row r="5702" spans="1:52" ht="17.100000000000001" customHeight="1" thickTop="1">
      <c r="A5702" s="109" t="s">
        <v>16663</v>
      </c>
      <c r="B5702" s="28">
        <v>46053</v>
      </c>
      <c r="C5702" s="25">
        <v>1286</v>
      </c>
      <c r="D5702" s="13" t="s">
        <v>2043</v>
      </c>
      <c r="E5702" s="111"/>
      <c r="F5702" s="113" t="s">
        <v>16677</v>
      </c>
      <c r="G5702" s="114"/>
      <c r="H5702" s="115"/>
      <c r="I5702" s="24" t="s">
        <v>3295</v>
      </c>
      <c r="J5702" s="116">
        <v>6</v>
      </c>
      <c r="K5702" s="118">
        <v>1585000</v>
      </c>
      <c r="L5702" s="119"/>
      <c r="M5702" s="118">
        <f t="shared" ref="M5702" si="7343">K5702*0.1</f>
        <v>158500</v>
      </c>
      <c r="N5702" s="119"/>
      <c r="O5702" s="118">
        <v>0</v>
      </c>
      <c r="P5702" s="119"/>
      <c r="Q5702" s="118">
        <v>8980</v>
      </c>
      <c r="R5702" s="119"/>
      <c r="S5702" s="118">
        <v>12100</v>
      </c>
      <c r="T5702" s="119"/>
      <c r="U5702" s="118">
        <f t="shared" ref="U5702" si="7344">SUM(K5702:T5703)</f>
        <v>1764580</v>
      </c>
      <c r="V5702" s="122"/>
      <c r="W5702" s="124"/>
      <c r="X5702" s="126" t="s">
        <v>16695</v>
      </c>
      <c r="Y5702" s="127"/>
      <c r="Z5702" s="127"/>
      <c r="AA5702" s="127"/>
      <c r="AB5702" s="128"/>
      <c r="AC5702" s="15" t="s">
        <v>20</v>
      </c>
      <c r="AD5702" s="129" t="s">
        <v>7231</v>
      </c>
      <c r="AE5702" s="130"/>
      <c r="AF5702" s="130"/>
      <c r="AG5702" s="130"/>
      <c r="AH5702" s="130"/>
      <c r="AI5702" s="131"/>
      <c r="AJ5702" s="132"/>
      <c r="AK5702" s="127"/>
      <c r="AL5702" s="128"/>
      <c r="AM5702" s="85" t="s">
        <v>18086</v>
      </c>
      <c r="AN5702" s="133">
        <v>46063</v>
      </c>
      <c r="AO5702" s="134"/>
      <c r="AP5702" s="135">
        <v>1928</v>
      </c>
      <c r="AQ5702" s="136"/>
      <c r="AR5702" s="118">
        <v>1645000</v>
      </c>
      <c r="AS5702" s="119"/>
      <c r="AT5702" s="118">
        <f t="shared" ref="AT5702" si="7345">AR5702*0.1</f>
        <v>164500</v>
      </c>
      <c r="AU5702" s="119"/>
      <c r="AV5702" s="118">
        <v>8980</v>
      </c>
      <c r="AW5702" s="119"/>
      <c r="AX5702" s="118">
        <f t="shared" ref="AX5702" si="7346">SUM(AR5702:AW5702)</f>
        <v>1818480</v>
      </c>
      <c r="AY5702" s="119"/>
      <c r="AZ5702" s="137"/>
    </row>
    <row r="5703" spans="1:52" ht="17.100000000000001" customHeight="1" thickBot="1">
      <c r="A5703" s="110"/>
      <c r="B5703" s="27" t="s">
        <v>2511</v>
      </c>
      <c r="C5703" s="27">
        <v>31053</v>
      </c>
      <c r="D5703" s="14" t="s">
        <v>2601</v>
      </c>
      <c r="E5703" s="112"/>
      <c r="F5703" s="139" t="s">
        <v>16678</v>
      </c>
      <c r="G5703" s="140"/>
      <c r="H5703" s="141"/>
      <c r="I5703" s="26">
        <v>1228</v>
      </c>
      <c r="J5703" s="117"/>
      <c r="K5703" s="120"/>
      <c r="L5703" s="121"/>
      <c r="M5703" s="120"/>
      <c r="N5703" s="121"/>
      <c r="O5703" s="120"/>
      <c r="P5703" s="121"/>
      <c r="Q5703" s="120"/>
      <c r="R5703" s="121"/>
      <c r="S5703" s="120"/>
      <c r="T5703" s="121"/>
      <c r="U5703" s="120"/>
      <c r="V5703" s="123"/>
      <c r="W5703" s="125"/>
      <c r="X5703" s="142" t="s">
        <v>16995</v>
      </c>
      <c r="Y5703" s="143"/>
      <c r="Z5703" s="143"/>
      <c r="AA5703" s="143"/>
      <c r="AB5703" s="144"/>
      <c r="AC5703" s="16" t="s">
        <v>21</v>
      </c>
      <c r="AD5703" s="17" t="s">
        <v>3550</v>
      </c>
      <c r="AE5703" s="145" t="s">
        <v>7938</v>
      </c>
      <c r="AF5703" s="146"/>
      <c r="AG5703" s="146"/>
      <c r="AH5703" s="146"/>
      <c r="AI5703" s="147"/>
      <c r="AJ5703" s="148"/>
      <c r="AK5703" s="143"/>
      <c r="AL5703" s="144"/>
      <c r="AM5703" s="22"/>
      <c r="AN5703" s="149" t="s">
        <v>7644</v>
      </c>
      <c r="AO5703" s="144"/>
      <c r="AP5703" s="148">
        <v>3049</v>
      </c>
      <c r="AQ5703" s="144"/>
      <c r="AR5703" s="120"/>
      <c r="AS5703" s="121"/>
      <c r="AT5703" s="120"/>
      <c r="AU5703" s="121"/>
      <c r="AV5703" s="120"/>
      <c r="AW5703" s="121"/>
      <c r="AX5703" s="120"/>
      <c r="AY5703" s="121"/>
      <c r="AZ5703" s="138"/>
    </row>
    <row r="5704" spans="1:52" ht="17.100000000000001" customHeight="1" thickTop="1">
      <c r="A5704" s="109" t="s">
        <v>16664</v>
      </c>
      <c r="B5704" s="28">
        <v>46053</v>
      </c>
      <c r="C5704" s="25">
        <v>1286</v>
      </c>
      <c r="D5704" s="13" t="s">
        <v>3530</v>
      </c>
      <c r="E5704" s="111"/>
      <c r="F5704" s="113" t="s">
        <v>16679</v>
      </c>
      <c r="G5704" s="114"/>
      <c r="H5704" s="115"/>
      <c r="I5704" s="24" t="s">
        <v>5658</v>
      </c>
      <c r="J5704" s="116">
        <v>4</v>
      </c>
      <c r="K5704" s="118">
        <v>1480000</v>
      </c>
      <c r="L5704" s="119"/>
      <c r="M5704" s="118">
        <f t="shared" ref="M5704" si="7347">K5704*0.1</f>
        <v>148000</v>
      </c>
      <c r="N5704" s="119"/>
      <c r="O5704" s="118">
        <v>6600</v>
      </c>
      <c r="P5704" s="119"/>
      <c r="Q5704" s="118">
        <v>9440</v>
      </c>
      <c r="R5704" s="119"/>
      <c r="S5704" s="118">
        <v>23100</v>
      </c>
      <c r="T5704" s="119"/>
      <c r="U5704" s="118">
        <f t="shared" ref="U5704" si="7348">SUM(K5704:T5705)</f>
        <v>1667140</v>
      </c>
      <c r="V5704" s="122"/>
      <c r="W5704" s="124"/>
      <c r="X5704" s="126" t="s">
        <v>16696</v>
      </c>
      <c r="Y5704" s="127"/>
      <c r="Z5704" s="127"/>
      <c r="AA5704" s="127"/>
      <c r="AB5704" s="128"/>
      <c r="AC5704" s="15" t="s">
        <v>20</v>
      </c>
      <c r="AD5704" s="129" t="s">
        <v>4435</v>
      </c>
      <c r="AE5704" s="130"/>
      <c r="AF5704" s="130"/>
      <c r="AG5704" s="130"/>
      <c r="AH5704" s="130"/>
      <c r="AI5704" s="131"/>
      <c r="AJ5704" s="132"/>
      <c r="AK5704" s="127"/>
      <c r="AL5704" s="128"/>
      <c r="AM5704" s="21"/>
      <c r="AN5704" s="133">
        <v>46064</v>
      </c>
      <c r="AO5704" s="134"/>
      <c r="AP5704" s="135">
        <v>1004</v>
      </c>
      <c r="AQ5704" s="136"/>
      <c r="AR5704" s="118">
        <v>1620000</v>
      </c>
      <c r="AS5704" s="119"/>
      <c r="AT5704" s="118">
        <f t="shared" ref="AT5704" si="7349">AR5704*0.1</f>
        <v>162000</v>
      </c>
      <c r="AU5704" s="119"/>
      <c r="AV5704" s="118">
        <v>9440</v>
      </c>
      <c r="AW5704" s="119"/>
      <c r="AX5704" s="118">
        <f t="shared" ref="AX5704" si="7350">SUM(AR5704:AW5704)</f>
        <v>1791440</v>
      </c>
      <c r="AY5704" s="119"/>
      <c r="AZ5704" s="137">
        <v>46070</v>
      </c>
    </row>
    <row r="5705" spans="1:52" ht="17.100000000000001" customHeight="1" thickBot="1">
      <c r="A5705" s="110"/>
      <c r="B5705" s="27" t="s">
        <v>2511</v>
      </c>
      <c r="C5705" s="27">
        <v>31080</v>
      </c>
      <c r="D5705" s="14" t="s">
        <v>275</v>
      </c>
      <c r="E5705" s="112"/>
      <c r="F5705" s="139" t="s">
        <v>16680</v>
      </c>
      <c r="G5705" s="140"/>
      <c r="H5705" s="141"/>
      <c r="I5705" s="26">
        <v>37603</v>
      </c>
      <c r="J5705" s="117"/>
      <c r="K5705" s="120"/>
      <c r="L5705" s="121"/>
      <c r="M5705" s="120"/>
      <c r="N5705" s="121"/>
      <c r="O5705" s="120"/>
      <c r="P5705" s="121"/>
      <c r="Q5705" s="120"/>
      <c r="R5705" s="121"/>
      <c r="S5705" s="120"/>
      <c r="T5705" s="121"/>
      <c r="U5705" s="120"/>
      <c r="V5705" s="123"/>
      <c r="W5705" s="125"/>
      <c r="X5705" s="142" t="s">
        <v>16998</v>
      </c>
      <c r="Y5705" s="143"/>
      <c r="Z5705" s="143"/>
      <c r="AA5705" s="143"/>
      <c r="AB5705" s="144"/>
      <c r="AC5705" s="16" t="s">
        <v>21</v>
      </c>
      <c r="AD5705" s="17" t="s">
        <v>3550</v>
      </c>
      <c r="AE5705" s="145" t="s">
        <v>171</v>
      </c>
      <c r="AF5705" s="146"/>
      <c r="AG5705" s="146"/>
      <c r="AH5705" s="146"/>
      <c r="AI5705" s="147"/>
      <c r="AJ5705" s="148"/>
      <c r="AK5705" s="143"/>
      <c r="AL5705" s="144"/>
      <c r="AM5705" s="22"/>
      <c r="AN5705" s="149" t="s">
        <v>2794</v>
      </c>
      <c r="AO5705" s="144"/>
      <c r="AP5705" s="148">
        <v>5021</v>
      </c>
      <c r="AQ5705" s="144"/>
      <c r="AR5705" s="120"/>
      <c r="AS5705" s="121"/>
      <c r="AT5705" s="120"/>
      <c r="AU5705" s="121"/>
      <c r="AV5705" s="120"/>
      <c r="AW5705" s="121"/>
      <c r="AX5705" s="120"/>
      <c r="AY5705" s="121"/>
      <c r="AZ5705" s="138"/>
    </row>
    <row r="5706" spans="1:52" ht="17.100000000000001" customHeight="1" thickTop="1">
      <c r="A5706" s="151" t="s">
        <v>16665</v>
      </c>
      <c r="B5706" s="28">
        <v>46053</v>
      </c>
      <c r="C5706" s="25">
        <v>1286</v>
      </c>
      <c r="D5706" s="13" t="s">
        <v>1059</v>
      </c>
      <c r="E5706" s="111"/>
      <c r="F5706" s="113" t="s">
        <v>16697</v>
      </c>
      <c r="G5706" s="114"/>
      <c r="H5706" s="115"/>
      <c r="I5706" s="24"/>
      <c r="J5706" s="116">
        <v>4.5</v>
      </c>
      <c r="K5706" s="118">
        <v>4175000</v>
      </c>
      <c r="L5706" s="119"/>
      <c r="M5706" s="118">
        <f t="shared" ref="M5706" si="7351">K5706*0.1</f>
        <v>417500</v>
      </c>
      <c r="N5706" s="119"/>
      <c r="O5706" s="118">
        <v>0</v>
      </c>
      <c r="P5706" s="119"/>
      <c r="Q5706" s="118">
        <v>11040</v>
      </c>
      <c r="R5706" s="119"/>
      <c r="S5706" s="118">
        <v>12100</v>
      </c>
      <c r="T5706" s="119"/>
      <c r="U5706" s="118">
        <f t="shared" ref="U5706" si="7352">SUM(K5706:T5707)</f>
        <v>4615640</v>
      </c>
      <c r="V5706" s="122"/>
      <c r="W5706" s="124"/>
      <c r="X5706" s="126"/>
      <c r="Y5706" s="127"/>
      <c r="Z5706" s="127"/>
      <c r="AA5706" s="127"/>
      <c r="AB5706" s="128"/>
      <c r="AC5706" s="15" t="s">
        <v>20</v>
      </c>
      <c r="AD5706" s="129" t="s">
        <v>16727</v>
      </c>
      <c r="AE5706" s="130"/>
      <c r="AF5706" s="130"/>
      <c r="AG5706" s="130"/>
      <c r="AH5706" s="130"/>
      <c r="AI5706" s="131"/>
      <c r="AJ5706" s="132" t="s">
        <v>8040</v>
      </c>
      <c r="AK5706" s="127"/>
      <c r="AL5706" s="128"/>
      <c r="AM5706" s="21"/>
      <c r="AN5706" s="133"/>
      <c r="AO5706" s="134"/>
      <c r="AP5706" s="135"/>
      <c r="AQ5706" s="136"/>
      <c r="AR5706" s="118"/>
      <c r="AS5706" s="119"/>
      <c r="AT5706" s="118">
        <f t="shared" ref="AT5706" si="7353">AR5706*0.1</f>
        <v>0</v>
      </c>
      <c r="AU5706" s="119"/>
      <c r="AV5706" s="118"/>
      <c r="AW5706" s="119"/>
      <c r="AX5706" s="118">
        <f t="shared" ref="AX5706" si="7354">SUM(AR5706:AW5706)</f>
        <v>0</v>
      </c>
      <c r="AY5706" s="119"/>
      <c r="AZ5706" s="137"/>
    </row>
    <row r="5707" spans="1:52" ht="17.100000000000001" customHeight="1" thickBot="1">
      <c r="A5707" s="152"/>
      <c r="B5707" s="27" t="s">
        <v>2511</v>
      </c>
      <c r="C5707" s="27">
        <v>31182</v>
      </c>
      <c r="D5707" s="14" t="s">
        <v>275</v>
      </c>
      <c r="E5707" s="112"/>
      <c r="F5707" s="139" t="s">
        <v>16681</v>
      </c>
      <c r="G5707" s="140"/>
      <c r="H5707" s="141"/>
      <c r="I5707" s="26">
        <v>46438</v>
      </c>
      <c r="J5707" s="117"/>
      <c r="K5707" s="120"/>
      <c r="L5707" s="121"/>
      <c r="M5707" s="120"/>
      <c r="N5707" s="121"/>
      <c r="O5707" s="120"/>
      <c r="P5707" s="121"/>
      <c r="Q5707" s="120"/>
      <c r="R5707" s="121"/>
      <c r="S5707" s="120"/>
      <c r="T5707" s="121"/>
      <c r="U5707" s="120"/>
      <c r="V5707" s="123"/>
      <c r="W5707" s="125"/>
      <c r="X5707" s="142"/>
      <c r="Y5707" s="143"/>
      <c r="Z5707" s="143"/>
      <c r="AA5707" s="143"/>
      <c r="AB5707" s="144"/>
      <c r="AC5707" s="16" t="s">
        <v>21</v>
      </c>
      <c r="AD5707" s="17" t="s">
        <v>10540</v>
      </c>
      <c r="AE5707" s="145"/>
      <c r="AF5707" s="146"/>
      <c r="AG5707" s="146"/>
      <c r="AH5707" s="146"/>
      <c r="AI5707" s="147"/>
      <c r="AJ5707" s="148"/>
      <c r="AK5707" s="143"/>
      <c r="AL5707" s="144"/>
      <c r="AM5707" s="22"/>
      <c r="AN5707" s="149"/>
      <c r="AO5707" s="144"/>
      <c r="AP5707" s="148"/>
      <c r="AQ5707" s="144"/>
      <c r="AR5707" s="120"/>
      <c r="AS5707" s="121"/>
      <c r="AT5707" s="120"/>
      <c r="AU5707" s="121"/>
      <c r="AV5707" s="120"/>
      <c r="AW5707" s="121"/>
      <c r="AX5707" s="120"/>
      <c r="AY5707" s="121"/>
      <c r="AZ5707" s="138"/>
    </row>
    <row r="5708" spans="1:52" ht="17.100000000000001" customHeight="1" thickTop="1">
      <c r="A5708" s="109" t="s">
        <v>16666</v>
      </c>
      <c r="B5708" s="28">
        <v>46053</v>
      </c>
      <c r="C5708" s="25">
        <v>1286</v>
      </c>
      <c r="D5708" s="13" t="s">
        <v>2001</v>
      </c>
      <c r="E5708" s="111"/>
      <c r="F5708" s="113" t="s">
        <v>15962</v>
      </c>
      <c r="G5708" s="114"/>
      <c r="H5708" s="115"/>
      <c r="I5708" s="24"/>
      <c r="J5708" s="116">
        <v>4.5</v>
      </c>
      <c r="K5708" s="118">
        <v>1305000</v>
      </c>
      <c r="L5708" s="119"/>
      <c r="M5708" s="118">
        <f t="shared" ref="M5708" si="7355">K5708*0.1</f>
        <v>130500</v>
      </c>
      <c r="N5708" s="119"/>
      <c r="O5708" s="118">
        <v>0</v>
      </c>
      <c r="P5708" s="119"/>
      <c r="Q5708" s="118">
        <v>6850</v>
      </c>
      <c r="R5708" s="119"/>
      <c r="S5708" s="118">
        <v>12100</v>
      </c>
      <c r="T5708" s="119"/>
      <c r="U5708" s="118">
        <f t="shared" ref="U5708" si="7356">SUM(K5708:T5709)</f>
        <v>1454450</v>
      </c>
      <c r="V5708" s="122"/>
      <c r="W5708" s="124"/>
      <c r="X5708" s="126" t="s">
        <v>17041</v>
      </c>
      <c r="Y5708" s="127"/>
      <c r="Z5708" s="127"/>
      <c r="AA5708" s="127"/>
      <c r="AB5708" s="128"/>
      <c r="AC5708" s="15" t="s">
        <v>20</v>
      </c>
      <c r="AD5708" s="129" t="s">
        <v>1670</v>
      </c>
      <c r="AE5708" s="130"/>
      <c r="AF5708" s="130"/>
      <c r="AG5708" s="130"/>
      <c r="AH5708" s="130"/>
      <c r="AI5708" s="131"/>
      <c r="AJ5708" s="132"/>
      <c r="AK5708" s="127"/>
      <c r="AL5708" s="128"/>
      <c r="AM5708" s="21"/>
      <c r="AN5708" s="133">
        <v>46064</v>
      </c>
      <c r="AO5708" s="134"/>
      <c r="AP5708" s="135">
        <v>1004</v>
      </c>
      <c r="AQ5708" s="136"/>
      <c r="AR5708" s="118">
        <v>1395000</v>
      </c>
      <c r="AS5708" s="119"/>
      <c r="AT5708" s="118">
        <f t="shared" ref="AT5708" si="7357">AR5708*0.1</f>
        <v>139500</v>
      </c>
      <c r="AU5708" s="119"/>
      <c r="AV5708" s="118">
        <v>6580</v>
      </c>
      <c r="AW5708" s="119"/>
      <c r="AX5708" s="118">
        <f t="shared" ref="AX5708" si="7358">SUM(AR5708:AW5708)</f>
        <v>1541080</v>
      </c>
      <c r="AY5708" s="119"/>
      <c r="AZ5708" s="137">
        <v>46070</v>
      </c>
    </row>
    <row r="5709" spans="1:52" ht="17.100000000000001" customHeight="1" thickBot="1">
      <c r="A5709" s="110"/>
      <c r="B5709" s="27" t="s">
        <v>2511</v>
      </c>
      <c r="C5709" s="27">
        <v>31378</v>
      </c>
      <c r="D5709" s="14" t="s">
        <v>2601</v>
      </c>
      <c r="E5709" s="112"/>
      <c r="F5709" s="139" t="s">
        <v>16682</v>
      </c>
      <c r="G5709" s="140"/>
      <c r="H5709" s="141"/>
      <c r="I5709" s="26">
        <v>33951</v>
      </c>
      <c r="J5709" s="117"/>
      <c r="K5709" s="120"/>
      <c r="L5709" s="121"/>
      <c r="M5709" s="120"/>
      <c r="N5709" s="121"/>
      <c r="O5709" s="120"/>
      <c r="P5709" s="121"/>
      <c r="Q5709" s="120"/>
      <c r="R5709" s="121"/>
      <c r="S5709" s="120"/>
      <c r="T5709" s="121"/>
      <c r="U5709" s="120"/>
      <c r="V5709" s="123"/>
      <c r="W5709" s="125"/>
      <c r="X5709" s="142" t="s">
        <v>17042</v>
      </c>
      <c r="Y5709" s="143"/>
      <c r="Z5709" s="143"/>
      <c r="AA5709" s="143"/>
      <c r="AB5709" s="144"/>
      <c r="AC5709" s="16" t="s">
        <v>21</v>
      </c>
      <c r="AD5709" s="17" t="s">
        <v>3322</v>
      </c>
      <c r="AE5709" s="145" t="s">
        <v>1742</v>
      </c>
      <c r="AF5709" s="146"/>
      <c r="AG5709" s="146"/>
      <c r="AH5709" s="146"/>
      <c r="AI5709" s="147"/>
      <c r="AJ5709" s="148"/>
      <c r="AK5709" s="143"/>
      <c r="AL5709" s="144"/>
      <c r="AM5709" s="22"/>
      <c r="AN5709" s="149" t="s">
        <v>7285</v>
      </c>
      <c r="AO5709" s="144"/>
      <c r="AP5709" s="148">
        <v>2046</v>
      </c>
      <c r="AQ5709" s="144"/>
      <c r="AR5709" s="120"/>
      <c r="AS5709" s="121"/>
      <c r="AT5709" s="120"/>
      <c r="AU5709" s="121"/>
      <c r="AV5709" s="120"/>
      <c r="AW5709" s="121"/>
      <c r="AX5709" s="120"/>
      <c r="AY5709" s="121"/>
      <c r="AZ5709" s="138"/>
    </row>
    <row r="5710" spans="1:52" ht="17.100000000000001" customHeight="1" thickTop="1">
      <c r="A5710" s="109" t="s">
        <v>16754</v>
      </c>
      <c r="B5710" s="28">
        <v>46053</v>
      </c>
      <c r="C5710" s="25">
        <v>1286</v>
      </c>
      <c r="D5710" s="13" t="s">
        <v>1572</v>
      </c>
      <c r="E5710" s="111"/>
      <c r="F5710" s="113" t="s">
        <v>16683</v>
      </c>
      <c r="G5710" s="114"/>
      <c r="H5710" s="115"/>
      <c r="I5710" s="24" t="s">
        <v>16698</v>
      </c>
      <c r="J5710" s="116">
        <v>4.5</v>
      </c>
      <c r="K5710" s="118">
        <v>700000</v>
      </c>
      <c r="L5710" s="119"/>
      <c r="M5710" s="118">
        <f t="shared" ref="M5710" si="7359">K5710*0.1</f>
        <v>70000</v>
      </c>
      <c r="N5710" s="119"/>
      <c r="O5710" s="118">
        <v>6270</v>
      </c>
      <c r="P5710" s="119"/>
      <c r="Q5710" s="118">
        <v>9130</v>
      </c>
      <c r="R5710" s="119"/>
      <c r="S5710" s="118">
        <v>13200</v>
      </c>
      <c r="T5710" s="119"/>
      <c r="U5710" s="118">
        <f t="shared" ref="U5710" si="7360">SUM(K5710:T5711)</f>
        <v>798600</v>
      </c>
      <c r="V5710" s="122"/>
      <c r="W5710" s="124"/>
      <c r="X5710" s="126" t="s">
        <v>16699</v>
      </c>
      <c r="Y5710" s="127"/>
      <c r="Z5710" s="127"/>
      <c r="AA5710" s="127"/>
      <c r="AB5710" s="128"/>
      <c r="AC5710" s="15" t="s">
        <v>20</v>
      </c>
      <c r="AD5710" s="129" t="s">
        <v>16700</v>
      </c>
      <c r="AE5710" s="130"/>
      <c r="AF5710" s="130"/>
      <c r="AG5710" s="130"/>
      <c r="AH5710" s="130"/>
      <c r="AI5710" s="131"/>
      <c r="AJ5710" s="132"/>
      <c r="AK5710" s="127"/>
      <c r="AL5710" s="128"/>
      <c r="AM5710" s="21" t="s">
        <v>18044</v>
      </c>
      <c r="AN5710" s="133">
        <v>46071</v>
      </c>
      <c r="AO5710" s="134"/>
      <c r="AP5710" s="135">
        <v>1005</v>
      </c>
      <c r="AQ5710" s="136"/>
      <c r="AR5710" s="118">
        <v>800000</v>
      </c>
      <c r="AS5710" s="119"/>
      <c r="AT5710" s="118">
        <f t="shared" ref="AT5710" si="7361">AR5710*0.1</f>
        <v>80000</v>
      </c>
      <c r="AU5710" s="119"/>
      <c r="AV5710" s="118">
        <v>9130</v>
      </c>
      <c r="AW5710" s="119"/>
      <c r="AX5710" s="118">
        <f t="shared" ref="AX5710" si="7362">SUM(AR5710:AW5710)</f>
        <v>889130</v>
      </c>
      <c r="AY5710" s="119"/>
      <c r="AZ5710" s="137">
        <v>46073</v>
      </c>
    </row>
    <row r="5711" spans="1:52" ht="17.100000000000001" customHeight="1" thickBot="1">
      <c r="A5711" s="110"/>
      <c r="B5711" s="27" t="s">
        <v>2511</v>
      </c>
      <c r="C5711" s="27">
        <v>37555</v>
      </c>
      <c r="D5711" s="14" t="s">
        <v>2601</v>
      </c>
      <c r="E5711" s="112"/>
      <c r="F5711" s="139" t="s">
        <v>16684</v>
      </c>
      <c r="G5711" s="140"/>
      <c r="H5711" s="141"/>
      <c r="I5711" s="26">
        <v>95981</v>
      </c>
      <c r="J5711" s="117"/>
      <c r="K5711" s="120"/>
      <c r="L5711" s="121"/>
      <c r="M5711" s="120"/>
      <c r="N5711" s="121"/>
      <c r="O5711" s="120"/>
      <c r="P5711" s="121"/>
      <c r="Q5711" s="120"/>
      <c r="R5711" s="121"/>
      <c r="S5711" s="120"/>
      <c r="T5711" s="121"/>
      <c r="U5711" s="120"/>
      <c r="V5711" s="123"/>
      <c r="W5711" s="125"/>
      <c r="X5711" s="142" t="s">
        <v>16997</v>
      </c>
      <c r="Y5711" s="143"/>
      <c r="Z5711" s="143"/>
      <c r="AA5711" s="143"/>
      <c r="AB5711" s="144"/>
      <c r="AC5711" s="16" t="s">
        <v>21</v>
      </c>
      <c r="AD5711" s="17" t="s">
        <v>3550</v>
      </c>
      <c r="AE5711" s="145" t="s">
        <v>18228</v>
      </c>
      <c r="AF5711" s="146"/>
      <c r="AG5711" s="146"/>
      <c r="AH5711" s="146"/>
      <c r="AI5711" s="147"/>
      <c r="AJ5711" s="148"/>
      <c r="AK5711" s="143"/>
      <c r="AL5711" s="144"/>
      <c r="AM5711" s="22"/>
      <c r="AN5711" s="149" t="s">
        <v>2794</v>
      </c>
      <c r="AO5711" s="144"/>
      <c r="AP5711" s="148">
        <v>5173</v>
      </c>
      <c r="AQ5711" s="144"/>
      <c r="AR5711" s="120"/>
      <c r="AS5711" s="121"/>
      <c r="AT5711" s="120"/>
      <c r="AU5711" s="121"/>
      <c r="AV5711" s="120"/>
      <c r="AW5711" s="121"/>
      <c r="AX5711" s="120"/>
      <c r="AY5711" s="121"/>
      <c r="AZ5711" s="138"/>
    </row>
    <row r="5712" spans="1:52" ht="17.100000000000001" customHeight="1" thickTop="1">
      <c r="A5712" s="109" t="s">
        <v>16667</v>
      </c>
      <c r="B5712" s="28">
        <v>46053</v>
      </c>
      <c r="C5712" s="25">
        <v>1286</v>
      </c>
      <c r="D5712" s="13" t="s">
        <v>1793</v>
      </c>
      <c r="E5712" s="111"/>
      <c r="F5712" s="113" t="s">
        <v>16685</v>
      </c>
      <c r="G5712" s="114"/>
      <c r="H5712" s="115"/>
      <c r="I5712" s="24" t="s">
        <v>16701</v>
      </c>
      <c r="J5712" s="116">
        <v>4.5</v>
      </c>
      <c r="K5712" s="118">
        <v>545000</v>
      </c>
      <c r="L5712" s="119"/>
      <c r="M5712" s="118">
        <f t="shared" ref="M5712" si="7363">K5712*0.1</f>
        <v>54500</v>
      </c>
      <c r="N5712" s="119"/>
      <c r="O5712" s="118">
        <v>9460</v>
      </c>
      <c r="P5712" s="119"/>
      <c r="Q5712" s="118">
        <v>14440</v>
      </c>
      <c r="R5712" s="119"/>
      <c r="S5712" s="118">
        <v>12100</v>
      </c>
      <c r="T5712" s="119"/>
      <c r="U5712" s="118">
        <f t="shared" ref="U5712" si="7364">SUM(K5712:T5713)</f>
        <v>635500</v>
      </c>
      <c r="V5712" s="122"/>
      <c r="W5712" s="124"/>
      <c r="X5712" s="126" t="s">
        <v>16702</v>
      </c>
      <c r="Y5712" s="127"/>
      <c r="Z5712" s="127"/>
      <c r="AA5712" s="127"/>
      <c r="AB5712" s="128"/>
      <c r="AC5712" s="15" t="s">
        <v>20</v>
      </c>
      <c r="AD5712" s="129" t="s">
        <v>15197</v>
      </c>
      <c r="AE5712" s="130"/>
      <c r="AF5712" s="130"/>
      <c r="AG5712" s="130"/>
      <c r="AH5712" s="130"/>
      <c r="AI5712" s="131"/>
      <c r="AJ5712" s="132"/>
      <c r="AK5712" s="127"/>
      <c r="AL5712" s="128"/>
      <c r="AM5712" s="21"/>
      <c r="AN5712" s="133">
        <v>46064</v>
      </c>
      <c r="AO5712" s="134"/>
      <c r="AP5712" s="135">
        <v>1004</v>
      </c>
      <c r="AQ5712" s="136"/>
      <c r="AR5712" s="118">
        <v>670000</v>
      </c>
      <c r="AS5712" s="119"/>
      <c r="AT5712" s="118">
        <f t="shared" ref="AT5712" si="7365">AR5712*0.1</f>
        <v>67000</v>
      </c>
      <c r="AU5712" s="119"/>
      <c r="AV5712" s="118">
        <v>14440</v>
      </c>
      <c r="AW5712" s="119"/>
      <c r="AX5712" s="118">
        <f t="shared" ref="AX5712" si="7366">SUM(AR5712:AW5712)</f>
        <v>751440</v>
      </c>
      <c r="AY5712" s="119"/>
      <c r="AZ5712" s="137">
        <v>46070</v>
      </c>
    </row>
    <row r="5713" spans="1:52" ht="17.100000000000001" customHeight="1" thickBot="1">
      <c r="A5713" s="110"/>
      <c r="B5713" s="27" t="s">
        <v>2511</v>
      </c>
      <c r="C5713" s="27">
        <v>37696</v>
      </c>
      <c r="D5713" s="14" t="s">
        <v>2601</v>
      </c>
      <c r="E5713" s="112"/>
      <c r="F5713" s="139" t="s">
        <v>16686</v>
      </c>
      <c r="G5713" s="140"/>
      <c r="H5713" s="141"/>
      <c r="I5713" s="26">
        <v>89983</v>
      </c>
      <c r="J5713" s="117"/>
      <c r="K5713" s="120"/>
      <c r="L5713" s="121"/>
      <c r="M5713" s="120"/>
      <c r="N5713" s="121"/>
      <c r="O5713" s="120"/>
      <c r="P5713" s="121"/>
      <c r="Q5713" s="120"/>
      <c r="R5713" s="121"/>
      <c r="S5713" s="120"/>
      <c r="T5713" s="121"/>
      <c r="U5713" s="120"/>
      <c r="V5713" s="123"/>
      <c r="W5713" s="125"/>
      <c r="X5713" s="142" t="s">
        <v>16999</v>
      </c>
      <c r="Y5713" s="143"/>
      <c r="Z5713" s="143"/>
      <c r="AA5713" s="143"/>
      <c r="AB5713" s="144"/>
      <c r="AC5713" s="16" t="s">
        <v>21</v>
      </c>
      <c r="AD5713" s="17" t="s">
        <v>3550</v>
      </c>
      <c r="AE5713" s="145" t="s">
        <v>2051</v>
      </c>
      <c r="AF5713" s="146"/>
      <c r="AG5713" s="146"/>
      <c r="AH5713" s="146"/>
      <c r="AI5713" s="147"/>
      <c r="AJ5713" s="148"/>
      <c r="AK5713" s="143"/>
      <c r="AL5713" s="144"/>
      <c r="AM5713" s="22"/>
      <c r="AN5713" s="149" t="s">
        <v>2794</v>
      </c>
      <c r="AO5713" s="144"/>
      <c r="AP5713" s="148">
        <v>5019</v>
      </c>
      <c r="AQ5713" s="144"/>
      <c r="AR5713" s="120"/>
      <c r="AS5713" s="121"/>
      <c r="AT5713" s="120"/>
      <c r="AU5713" s="121"/>
      <c r="AV5713" s="120"/>
      <c r="AW5713" s="121"/>
      <c r="AX5713" s="120"/>
      <c r="AY5713" s="121"/>
      <c r="AZ5713" s="138"/>
    </row>
    <row r="5714" spans="1:52" ht="17.100000000000001" customHeight="1" thickTop="1">
      <c r="A5714" s="109" t="s">
        <v>16668</v>
      </c>
      <c r="B5714" s="28">
        <v>46053</v>
      </c>
      <c r="C5714" s="25">
        <v>1286</v>
      </c>
      <c r="D5714" s="13" t="s">
        <v>1870</v>
      </c>
      <c r="E5714" s="111"/>
      <c r="F5714" s="113" t="s">
        <v>2656</v>
      </c>
      <c r="G5714" s="114"/>
      <c r="H5714" s="115"/>
      <c r="I5714" s="24"/>
      <c r="J5714" s="116">
        <v>4</v>
      </c>
      <c r="K5714" s="118">
        <v>423000</v>
      </c>
      <c r="L5714" s="119"/>
      <c r="M5714" s="118">
        <f t="shared" ref="M5714" si="7367">K5714*0.1</f>
        <v>42300</v>
      </c>
      <c r="N5714" s="119"/>
      <c r="O5714" s="118">
        <v>0</v>
      </c>
      <c r="P5714" s="119"/>
      <c r="Q5714" s="118">
        <v>17700</v>
      </c>
      <c r="R5714" s="119"/>
      <c r="S5714" s="118">
        <v>16500</v>
      </c>
      <c r="T5714" s="119"/>
      <c r="U5714" s="118">
        <f t="shared" ref="U5714" si="7368">SUM(K5714:T5715)</f>
        <v>499500</v>
      </c>
      <c r="V5714" s="122"/>
      <c r="W5714" s="124"/>
      <c r="X5714" s="126" t="s">
        <v>16958</v>
      </c>
      <c r="Y5714" s="127"/>
      <c r="Z5714" s="127"/>
      <c r="AA5714" s="127"/>
      <c r="AB5714" s="128"/>
      <c r="AC5714" s="15" t="s">
        <v>20</v>
      </c>
      <c r="AD5714" s="129" t="s">
        <v>1670</v>
      </c>
      <c r="AE5714" s="130"/>
      <c r="AF5714" s="130"/>
      <c r="AG5714" s="130"/>
      <c r="AH5714" s="130"/>
      <c r="AI5714" s="131"/>
      <c r="AJ5714" s="132"/>
      <c r="AK5714" s="127"/>
      <c r="AL5714" s="128"/>
      <c r="AM5714" s="21"/>
      <c r="AN5714" s="133">
        <v>46060</v>
      </c>
      <c r="AO5714" s="134"/>
      <c r="AP5714" s="135">
        <v>1287</v>
      </c>
      <c r="AQ5714" s="136"/>
      <c r="AR5714" s="118">
        <v>500000</v>
      </c>
      <c r="AS5714" s="119"/>
      <c r="AT5714" s="118">
        <f t="shared" ref="AT5714" si="7369">AR5714*0.1</f>
        <v>50000</v>
      </c>
      <c r="AU5714" s="119"/>
      <c r="AV5714" s="118">
        <v>17700</v>
      </c>
      <c r="AW5714" s="119"/>
      <c r="AX5714" s="118">
        <f t="shared" ref="AX5714" si="7370">SUM(AR5714:AW5714)</f>
        <v>567700</v>
      </c>
      <c r="AY5714" s="119"/>
      <c r="AZ5714" s="137">
        <v>46063</v>
      </c>
    </row>
    <row r="5715" spans="1:52" ht="17.100000000000001" customHeight="1" thickBot="1">
      <c r="A5715" s="110"/>
      <c r="B5715" s="27" t="s">
        <v>2511</v>
      </c>
      <c r="C5715" s="27">
        <v>53445</v>
      </c>
      <c r="D5715" s="14" t="s">
        <v>1592</v>
      </c>
      <c r="E5715" s="112"/>
      <c r="F5715" s="139" t="s">
        <v>16068</v>
      </c>
      <c r="G5715" s="140"/>
      <c r="H5715" s="141"/>
      <c r="I5715" s="26">
        <v>103360</v>
      </c>
      <c r="J5715" s="117"/>
      <c r="K5715" s="120"/>
      <c r="L5715" s="121"/>
      <c r="M5715" s="120"/>
      <c r="N5715" s="121"/>
      <c r="O5715" s="120"/>
      <c r="P5715" s="121"/>
      <c r="Q5715" s="120"/>
      <c r="R5715" s="121"/>
      <c r="S5715" s="120"/>
      <c r="T5715" s="121"/>
      <c r="U5715" s="120"/>
      <c r="V5715" s="123"/>
      <c r="W5715" s="125"/>
      <c r="X5715" s="142" t="s">
        <v>16959</v>
      </c>
      <c r="Y5715" s="143"/>
      <c r="Z5715" s="143"/>
      <c r="AA5715" s="143"/>
      <c r="AB5715" s="144"/>
      <c r="AC5715" s="16" t="s">
        <v>21</v>
      </c>
      <c r="AD5715" s="17" t="s">
        <v>3550</v>
      </c>
      <c r="AE5715" s="145" t="s">
        <v>1742</v>
      </c>
      <c r="AF5715" s="146"/>
      <c r="AG5715" s="146"/>
      <c r="AH5715" s="146"/>
      <c r="AI5715" s="147"/>
      <c r="AJ5715" s="148"/>
      <c r="AK5715" s="143"/>
      <c r="AL5715" s="144"/>
      <c r="AM5715" s="22"/>
      <c r="AN5715" s="149" t="s">
        <v>2511</v>
      </c>
      <c r="AO5715" s="144"/>
      <c r="AP5715" s="148">
        <v>80081</v>
      </c>
      <c r="AQ5715" s="144"/>
      <c r="AR5715" s="120"/>
      <c r="AS5715" s="121"/>
      <c r="AT5715" s="120"/>
      <c r="AU5715" s="121"/>
      <c r="AV5715" s="120"/>
      <c r="AW5715" s="121"/>
      <c r="AX5715" s="120"/>
      <c r="AY5715" s="121"/>
      <c r="AZ5715" s="138"/>
    </row>
    <row r="5716" spans="1:52" ht="17.100000000000001" customHeight="1" thickTop="1">
      <c r="A5716" s="109" t="s">
        <v>16669</v>
      </c>
      <c r="B5716" s="28">
        <v>46053</v>
      </c>
      <c r="C5716" s="25">
        <v>1286</v>
      </c>
      <c r="D5716" s="13" t="s">
        <v>2036</v>
      </c>
      <c r="E5716" s="111"/>
      <c r="F5716" s="113" t="s">
        <v>16687</v>
      </c>
      <c r="G5716" s="114"/>
      <c r="H5716" s="115"/>
      <c r="I5716" s="24" t="s">
        <v>3538</v>
      </c>
      <c r="J5716" s="116">
        <v>5</v>
      </c>
      <c r="K5716" s="118">
        <v>1425000</v>
      </c>
      <c r="L5716" s="119"/>
      <c r="M5716" s="118">
        <f t="shared" ref="M5716" si="7371">K5716*0.1</f>
        <v>142500</v>
      </c>
      <c r="N5716" s="119"/>
      <c r="O5716" s="118">
        <v>0</v>
      </c>
      <c r="P5716" s="119"/>
      <c r="Q5716" s="118">
        <v>8200</v>
      </c>
      <c r="R5716" s="119"/>
      <c r="S5716" s="118">
        <v>11000</v>
      </c>
      <c r="T5716" s="119"/>
      <c r="U5716" s="118">
        <f t="shared" ref="U5716" si="7372">SUM(K5716:T5717)</f>
        <v>1586700</v>
      </c>
      <c r="V5716" s="122"/>
      <c r="W5716" s="124"/>
      <c r="X5716" s="126" t="s">
        <v>16703</v>
      </c>
      <c r="Y5716" s="127"/>
      <c r="Z5716" s="127"/>
      <c r="AA5716" s="127"/>
      <c r="AB5716" s="128"/>
      <c r="AC5716" s="15" t="s">
        <v>20</v>
      </c>
      <c r="AD5716" s="129"/>
      <c r="AE5716" s="130"/>
      <c r="AF5716" s="130"/>
      <c r="AG5716" s="130"/>
      <c r="AH5716" s="130"/>
      <c r="AI5716" s="131"/>
      <c r="AJ5716" s="132"/>
      <c r="AK5716" s="127"/>
      <c r="AL5716" s="128"/>
      <c r="AM5716" s="21"/>
      <c r="AN5716" s="133">
        <v>46056</v>
      </c>
      <c r="AO5716" s="134"/>
      <c r="AP5716" s="135">
        <v>1927</v>
      </c>
      <c r="AQ5716" s="136"/>
      <c r="AR5716" s="118">
        <v>1524000</v>
      </c>
      <c r="AS5716" s="119"/>
      <c r="AT5716" s="118">
        <f t="shared" ref="AT5716" si="7373">AR5716*0.1</f>
        <v>152400</v>
      </c>
      <c r="AU5716" s="119"/>
      <c r="AV5716" s="118">
        <v>8200</v>
      </c>
      <c r="AW5716" s="119"/>
      <c r="AX5716" s="118">
        <f t="shared" ref="AX5716" si="7374">SUM(AR5716:AW5716)</f>
        <v>1684600</v>
      </c>
      <c r="AY5716" s="119"/>
      <c r="AZ5716" s="137">
        <v>46063</v>
      </c>
    </row>
    <row r="5717" spans="1:52" ht="17.100000000000001" customHeight="1" thickBot="1">
      <c r="A5717" s="110"/>
      <c r="B5717" s="27" t="s">
        <v>2511</v>
      </c>
      <c r="C5717" s="27">
        <v>62026</v>
      </c>
      <c r="D5717" s="14" t="s">
        <v>1592</v>
      </c>
      <c r="E5717" s="112"/>
      <c r="F5717" s="139" t="s">
        <v>16688</v>
      </c>
      <c r="G5717" s="140"/>
      <c r="H5717" s="141"/>
      <c r="I5717" s="26">
        <v>21220</v>
      </c>
      <c r="J5717" s="117"/>
      <c r="K5717" s="120"/>
      <c r="L5717" s="121"/>
      <c r="M5717" s="120"/>
      <c r="N5717" s="121"/>
      <c r="O5717" s="120"/>
      <c r="P5717" s="121"/>
      <c r="Q5717" s="120"/>
      <c r="R5717" s="121"/>
      <c r="S5717" s="120"/>
      <c r="T5717" s="121"/>
      <c r="U5717" s="120"/>
      <c r="V5717" s="123"/>
      <c r="W5717" s="125"/>
      <c r="X5717" s="142" t="s">
        <v>3410</v>
      </c>
      <c r="Y5717" s="143"/>
      <c r="Z5717" s="143"/>
      <c r="AA5717" s="143"/>
      <c r="AB5717" s="144"/>
      <c r="AC5717" s="16" t="s">
        <v>21</v>
      </c>
      <c r="AD5717" s="17" t="s">
        <v>3550</v>
      </c>
      <c r="AE5717" s="145" t="s">
        <v>171</v>
      </c>
      <c r="AF5717" s="146"/>
      <c r="AG5717" s="146"/>
      <c r="AH5717" s="146"/>
      <c r="AI5717" s="147"/>
      <c r="AJ5717" s="148"/>
      <c r="AK5717" s="143"/>
      <c r="AL5717" s="144"/>
      <c r="AM5717" s="22"/>
      <c r="AN5717" s="149" t="s">
        <v>2131</v>
      </c>
      <c r="AO5717" s="144"/>
      <c r="AP5717" s="148">
        <v>3409</v>
      </c>
      <c r="AQ5717" s="144"/>
      <c r="AR5717" s="120"/>
      <c r="AS5717" s="121"/>
      <c r="AT5717" s="120"/>
      <c r="AU5717" s="121"/>
      <c r="AV5717" s="120"/>
      <c r="AW5717" s="121"/>
      <c r="AX5717" s="120"/>
      <c r="AY5717" s="121"/>
      <c r="AZ5717" s="138"/>
    </row>
    <row r="5718" spans="1:52" ht="17.100000000000001" customHeight="1" thickTop="1">
      <c r="A5718" s="109" t="s">
        <v>16670</v>
      </c>
      <c r="B5718" s="28">
        <v>46053</v>
      </c>
      <c r="C5718" s="25">
        <v>1286</v>
      </c>
      <c r="D5718" s="13" t="s">
        <v>1712</v>
      </c>
      <c r="E5718" s="111"/>
      <c r="F5718" s="113" t="s">
        <v>16689</v>
      </c>
      <c r="G5718" s="114"/>
      <c r="H5718" s="115"/>
      <c r="I5718" s="24" t="s">
        <v>16704</v>
      </c>
      <c r="J5718" s="116">
        <v>4</v>
      </c>
      <c r="K5718" s="118">
        <v>655000</v>
      </c>
      <c r="L5718" s="119"/>
      <c r="M5718" s="118">
        <f t="shared" ref="M5718" si="7375">K5718*0.1</f>
        <v>65500</v>
      </c>
      <c r="N5718" s="119"/>
      <c r="O5718" s="118">
        <v>0</v>
      </c>
      <c r="P5718" s="119"/>
      <c r="Q5718" s="118">
        <v>9790</v>
      </c>
      <c r="R5718" s="119"/>
      <c r="S5718" s="118">
        <v>12100</v>
      </c>
      <c r="T5718" s="119"/>
      <c r="U5718" s="118">
        <f t="shared" ref="U5718" si="7376">SUM(K5718:T5719)</f>
        <v>742390</v>
      </c>
      <c r="V5718" s="122"/>
      <c r="W5718" s="124"/>
      <c r="X5718" s="126" t="s">
        <v>16705</v>
      </c>
      <c r="Y5718" s="127"/>
      <c r="Z5718" s="127"/>
      <c r="AA5718" s="127"/>
      <c r="AB5718" s="128"/>
      <c r="AC5718" s="15" t="s">
        <v>20</v>
      </c>
      <c r="AD5718" s="129" t="s">
        <v>1670</v>
      </c>
      <c r="AE5718" s="130"/>
      <c r="AF5718" s="130"/>
      <c r="AG5718" s="130"/>
      <c r="AH5718" s="130"/>
      <c r="AI5718" s="131"/>
      <c r="AJ5718" s="132"/>
      <c r="AK5718" s="127"/>
      <c r="AL5718" s="128"/>
      <c r="AM5718" s="21"/>
      <c r="AN5718" s="133">
        <v>46057</v>
      </c>
      <c r="AO5718" s="134"/>
      <c r="AP5718" s="135">
        <v>1003</v>
      </c>
      <c r="AQ5718" s="136"/>
      <c r="AR5718" s="118">
        <v>750000</v>
      </c>
      <c r="AS5718" s="119"/>
      <c r="AT5718" s="118">
        <f t="shared" ref="AT5718" si="7377">AR5718*0.1</f>
        <v>75000</v>
      </c>
      <c r="AU5718" s="119"/>
      <c r="AV5718" s="118">
        <v>9790</v>
      </c>
      <c r="AW5718" s="119"/>
      <c r="AX5718" s="118">
        <f t="shared" ref="AX5718" si="7378">SUM(AR5718:AW5718)</f>
        <v>834790</v>
      </c>
      <c r="AY5718" s="119"/>
      <c r="AZ5718" s="137">
        <v>46063</v>
      </c>
    </row>
    <row r="5719" spans="1:52" ht="17.100000000000001" customHeight="1" thickBot="1">
      <c r="A5719" s="110"/>
      <c r="B5719" s="27" t="s">
        <v>2511</v>
      </c>
      <c r="C5719" s="27">
        <v>65004</v>
      </c>
      <c r="D5719" s="14" t="s">
        <v>275</v>
      </c>
      <c r="E5719" s="112"/>
      <c r="F5719" s="139" t="s">
        <v>16690</v>
      </c>
      <c r="G5719" s="140"/>
      <c r="H5719" s="141"/>
      <c r="I5719" s="26">
        <v>75410</v>
      </c>
      <c r="J5719" s="117"/>
      <c r="K5719" s="120"/>
      <c r="L5719" s="121"/>
      <c r="M5719" s="120"/>
      <c r="N5719" s="121"/>
      <c r="O5719" s="120"/>
      <c r="P5719" s="121"/>
      <c r="Q5719" s="120"/>
      <c r="R5719" s="121"/>
      <c r="S5719" s="120"/>
      <c r="T5719" s="121"/>
      <c r="U5719" s="120"/>
      <c r="V5719" s="123"/>
      <c r="W5719" s="125"/>
      <c r="X5719" s="142" t="s">
        <v>16996</v>
      </c>
      <c r="Y5719" s="143"/>
      <c r="Z5719" s="143"/>
      <c r="AA5719" s="143"/>
      <c r="AB5719" s="144"/>
      <c r="AC5719" s="16" t="s">
        <v>21</v>
      </c>
      <c r="AD5719" s="17" t="s">
        <v>3550</v>
      </c>
      <c r="AE5719" s="145" t="s">
        <v>4608</v>
      </c>
      <c r="AF5719" s="146"/>
      <c r="AG5719" s="146"/>
      <c r="AH5719" s="146"/>
      <c r="AI5719" s="147"/>
      <c r="AJ5719" s="148" t="s">
        <v>4802</v>
      </c>
      <c r="AK5719" s="143"/>
      <c r="AL5719" s="144"/>
      <c r="AM5719" s="22"/>
      <c r="AN5719" s="149" t="s">
        <v>8809</v>
      </c>
      <c r="AO5719" s="144"/>
      <c r="AP5719" s="148">
        <v>2090</v>
      </c>
      <c r="AQ5719" s="144"/>
      <c r="AR5719" s="120"/>
      <c r="AS5719" s="121"/>
      <c r="AT5719" s="120"/>
      <c r="AU5719" s="121"/>
      <c r="AV5719" s="120"/>
      <c r="AW5719" s="121"/>
      <c r="AX5719" s="120"/>
      <c r="AY5719" s="121"/>
      <c r="AZ5719" s="138"/>
    </row>
    <row r="5720" spans="1:52" ht="17.100000000000001" customHeight="1" thickTop="1">
      <c r="A5720" s="109" t="s">
        <v>16671</v>
      </c>
      <c r="B5720" s="28">
        <v>46053</v>
      </c>
      <c r="C5720" s="25">
        <v>1286</v>
      </c>
      <c r="D5720" s="13" t="s">
        <v>2941</v>
      </c>
      <c r="E5720" s="111"/>
      <c r="F5720" s="113" t="s">
        <v>16691</v>
      </c>
      <c r="G5720" s="114"/>
      <c r="H5720" s="115"/>
      <c r="I5720" s="24" t="s">
        <v>10274</v>
      </c>
      <c r="J5720" s="116">
        <v>4.5</v>
      </c>
      <c r="K5720" s="118">
        <v>1550000</v>
      </c>
      <c r="L5720" s="119"/>
      <c r="M5720" s="118">
        <f t="shared" ref="M5720" si="7379">K5720*0.1</f>
        <v>155000</v>
      </c>
      <c r="N5720" s="119"/>
      <c r="O5720" s="118">
        <v>7150</v>
      </c>
      <c r="P5720" s="119"/>
      <c r="Q5720" s="118">
        <v>14760</v>
      </c>
      <c r="R5720" s="119"/>
      <c r="S5720" s="118">
        <v>23100</v>
      </c>
      <c r="T5720" s="119"/>
      <c r="U5720" s="118">
        <f t="shared" ref="U5720" si="7380">SUM(K5720:T5721)</f>
        <v>1750010</v>
      </c>
      <c r="V5720" s="122"/>
      <c r="W5720" s="124"/>
      <c r="X5720" s="126" t="s">
        <v>16707</v>
      </c>
      <c r="Y5720" s="127"/>
      <c r="Z5720" s="127"/>
      <c r="AA5720" s="127"/>
      <c r="AB5720" s="128"/>
      <c r="AC5720" s="15" t="s">
        <v>20</v>
      </c>
      <c r="AD5720" s="129" t="s">
        <v>16708</v>
      </c>
      <c r="AE5720" s="130"/>
      <c r="AF5720" s="130"/>
      <c r="AG5720" s="130"/>
      <c r="AH5720" s="130"/>
      <c r="AI5720" s="131"/>
      <c r="AJ5720" s="132"/>
      <c r="AK5720" s="127"/>
      <c r="AL5720" s="128"/>
      <c r="AM5720" s="21"/>
      <c r="AN5720" s="133">
        <v>46078</v>
      </c>
      <c r="AO5720" s="134"/>
      <c r="AP5720" s="135">
        <v>1006</v>
      </c>
      <c r="AQ5720" s="136"/>
      <c r="AR5720" s="118">
        <v>1720000</v>
      </c>
      <c r="AS5720" s="119"/>
      <c r="AT5720" s="118">
        <f t="shared" ref="AT5720" si="7381">AR5720*0.1</f>
        <v>172000</v>
      </c>
      <c r="AU5720" s="119"/>
      <c r="AV5720" s="118">
        <v>14760</v>
      </c>
      <c r="AW5720" s="119"/>
      <c r="AX5720" s="118">
        <f t="shared" ref="AX5720" si="7382">SUM(AR5720:AW5720)</f>
        <v>1906760</v>
      </c>
      <c r="AY5720" s="119"/>
      <c r="AZ5720" s="137">
        <v>46083</v>
      </c>
    </row>
    <row r="5721" spans="1:52" ht="17.100000000000001" customHeight="1" thickBot="1">
      <c r="A5721" s="110"/>
      <c r="B5721" s="27" t="s">
        <v>2511</v>
      </c>
      <c r="C5721" s="27">
        <v>81086</v>
      </c>
      <c r="D5721" s="14" t="s">
        <v>904</v>
      </c>
      <c r="E5721" s="112"/>
      <c r="F5721" s="139" t="s">
        <v>16706</v>
      </c>
      <c r="G5721" s="140"/>
      <c r="H5721" s="141"/>
      <c r="I5721" s="26">
        <v>51528</v>
      </c>
      <c r="J5721" s="117"/>
      <c r="K5721" s="120"/>
      <c r="L5721" s="121"/>
      <c r="M5721" s="120"/>
      <c r="N5721" s="121"/>
      <c r="O5721" s="120"/>
      <c r="P5721" s="121"/>
      <c r="Q5721" s="120"/>
      <c r="R5721" s="121"/>
      <c r="S5721" s="120"/>
      <c r="T5721" s="121"/>
      <c r="U5721" s="120"/>
      <c r="V5721" s="123"/>
      <c r="W5721" s="125"/>
      <c r="X5721" s="142" t="s">
        <v>16957</v>
      </c>
      <c r="Y5721" s="143"/>
      <c r="Z5721" s="143"/>
      <c r="AA5721" s="143"/>
      <c r="AB5721" s="144"/>
      <c r="AC5721" s="16" t="s">
        <v>21</v>
      </c>
      <c r="AD5721" s="17" t="s">
        <v>3550</v>
      </c>
      <c r="AE5721" s="145" t="s">
        <v>1742</v>
      </c>
      <c r="AF5721" s="146"/>
      <c r="AG5721" s="146"/>
      <c r="AH5721" s="146"/>
      <c r="AI5721" s="147"/>
      <c r="AJ5721" s="148"/>
      <c r="AK5721" s="143"/>
      <c r="AL5721" s="144"/>
      <c r="AM5721" s="22"/>
      <c r="AN5721" s="149" t="s">
        <v>2794</v>
      </c>
      <c r="AO5721" s="144"/>
      <c r="AP5721" s="148">
        <v>5050</v>
      </c>
      <c r="AQ5721" s="144"/>
      <c r="AR5721" s="120"/>
      <c r="AS5721" s="121"/>
      <c r="AT5721" s="120"/>
      <c r="AU5721" s="121"/>
      <c r="AV5721" s="120"/>
      <c r="AW5721" s="121"/>
      <c r="AX5721" s="120"/>
      <c r="AY5721" s="121"/>
      <c r="AZ5721" s="138"/>
    </row>
    <row r="5722" spans="1:52" ht="17.100000000000001" customHeight="1" thickTop="1">
      <c r="A5722" s="109" t="s">
        <v>16672</v>
      </c>
      <c r="B5722" s="28">
        <v>46053</v>
      </c>
      <c r="C5722" s="25">
        <v>1286</v>
      </c>
      <c r="D5722" s="13" t="s">
        <v>1712</v>
      </c>
      <c r="E5722" s="111"/>
      <c r="F5722" s="113" t="s">
        <v>16709</v>
      </c>
      <c r="G5722" s="114"/>
      <c r="H5722" s="115"/>
      <c r="I5722" s="24"/>
      <c r="J5722" s="116">
        <v>4</v>
      </c>
      <c r="K5722" s="118">
        <v>1485000</v>
      </c>
      <c r="L5722" s="119"/>
      <c r="M5722" s="118">
        <f t="shared" ref="M5722" si="7383">K5722*0.1</f>
        <v>148500</v>
      </c>
      <c r="N5722" s="119"/>
      <c r="O5722" s="118">
        <v>0</v>
      </c>
      <c r="P5722" s="119"/>
      <c r="Q5722" s="118">
        <v>21090</v>
      </c>
      <c r="R5722" s="119"/>
      <c r="S5722" s="118">
        <v>16500</v>
      </c>
      <c r="T5722" s="119"/>
      <c r="U5722" s="118">
        <f t="shared" ref="U5722" si="7384">SUM(K5722:T5723)</f>
        <v>1671090</v>
      </c>
      <c r="V5722" s="122"/>
      <c r="W5722" s="124"/>
      <c r="X5722" s="126" t="s">
        <v>17039</v>
      </c>
      <c r="Y5722" s="127"/>
      <c r="Z5722" s="127"/>
      <c r="AA5722" s="127"/>
      <c r="AB5722" s="128"/>
      <c r="AC5722" s="15" t="s">
        <v>20</v>
      </c>
      <c r="AD5722" s="129" t="s">
        <v>7231</v>
      </c>
      <c r="AE5722" s="130"/>
      <c r="AF5722" s="130"/>
      <c r="AG5722" s="130"/>
      <c r="AH5722" s="130"/>
      <c r="AI5722" s="131"/>
      <c r="AJ5722" s="132"/>
      <c r="AK5722" s="127"/>
      <c r="AL5722" s="128"/>
      <c r="AM5722" s="21"/>
      <c r="AN5722" s="133"/>
      <c r="AO5722" s="134"/>
      <c r="AP5722" s="135"/>
      <c r="AQ5722" s="136"/>
      <c r="AR5722" s="118"/>
      <c r="AS5722" s="119"/>
      <c r="AT5722" s="118">
        <f t="shared" ref="AT5722" si="7385">AR5722*0.1</f>
        <v>0</v>
      </c>
      <c r="AU5722" s="119"/>
      <c r="AV5722" s="118"/>
      <c r="AW5722" s="119"/>
      <c r="AX5722" s="118">
        <f t="shared" ref="AX5722" si="7386">SUM(AR5722:AW5722)</f>
        <v>0</v>
      </c>
      <c r="AY5722" s="119"/>
      <c r="AZ5722" s="137"/>
    </row>
    <row r="5723" spans="1:52" ht="17.100000000000001" customHeight="1" thickBot="1">
      <c r="A5723" s="110"/>
      <c r="B5723" s="27" t="s">
        <v>2511</v>
      </c>
      <c r="C5723" s="27">
        <v>82012</v>
      </c>
      <c r="D5723" s="14" t="s">
        <v>275</v>
      </c>
      <c r="E5723" s="112"/>
      <c r="F5723" s="139" t="s">
        <v>16710</v>
      </c>
      <c r="G5723" s="140"/>
      <c r="H5723" s="141"/>
      <c r="I5723" s="26">
        <v>35617</v>
      </c>
      <c r="J5723" s="117"/>
      <c r="K5723" s="120"/>
      <c r="L5723" s="121"/>
      <c r="M5723" s="120"/>
      <c r="N5723" s="121"/>
      <c r="O5723" s="120"/>
      <c r="P5723" s="121"/>
      <c r="Q5723" s="120"/>
      <c r="R5723" s="121"/>
      <c r="S5723" s="120"/>
      <c r="T5723" s="121"/>
      <c r="U5723" s="120"/>
      <c r="V5723" s="123"/>
      <c r="W5723" s="125"/>
      <c r="X5723" s="142" t="s">
        <v>1861</v>
      </c>
      <c r="Y5723" s="143"/>
      <c r="Z5723" s="143"/>
      <c r="AA5723" s="143"/>
      <c r="AB5723" s="144"/>
      <c r="AC5723" s="16" t="s">
        <v>21</v>
      </c>
      <c r="AD5723" s="17" t="s">
        <v>3322</v>
      </c>
      <c r="AE5723" s="145" t="s">
        <v>1614</v>
      </c>
      <c r="AF5723" s="146"/>
      <c r="AG5723" s="146"/>
      <c r="AH5723" s="146"/>
      <c r="AI5723" s="147"/>
      <c r="AJ5723" s="148"/>
      <c r="AK5723" s="143"/>
      <c r="AL5723" s="144"/>
      <c r="AM5723" s="22"/>
      <c r="AN5723" s="149"/>
      <c r="AO5723" s="144"/>
      <c r="AP5723" s="148"/>
      <c r="AQ5723" s="144"/>
      <c r="AR5723" s="120"/>
      <c r="AS5723" s="121"/>
      <c r="AT5723" s="120"/>
      <c r="AU5723" s="121"/>
      <c r="AV5723" s="120"/>
      <c r="AW5723" s="121"/>
      <c r="AX5723" s="120"/>
      <c r="AY5723" s="121"/>
      <c r="AZ5723" s="138"/>
    </row>
    <row r="5724" spans="1:52" ht="17.100000000000001" customHeight="1" thickTop="1">
      <c r="A5724" s="109" t="s">
        <v>16673</v>
      </c>
      <c r="B5724" s="28">
        <v>46053</v>
      </c>
      <c r="C5724" s="25">
        <v>1286</v>
      </c>
      <c r="D5724" s="13" t="s">
        <v>1640</v>
      </c>
      <c r="E5724" s="111"/>
      <c r="F5724" s="113" t="s">
        <v>16692</v>
      </c>
      <c r="G5724" s="114"/>
      <c r="H5724" s="115"/>
      <c r="I5724" s="24"/>
      <c r="J5724" s="116">
        <v>4</v>
      </c>
      <c r="K5724" s="118">
        <v>390000</v>
      </c>
      <c r="L5724" s="119"/>
      <c r="M5724" s="118">
        <f t="shared" ref="M5724" si="7387">K5724*0.1</f>
        <v>39000</v>
      </c>
      <c r="N5724" s="119"/>
      <c r="O5724" s="118">
        <v>0</v>
      </c>
      <c r="P5724" s="119"/>
      <c r="Q5724" s="118">
        <v>18960</v>
      </c>
      <c r="R5724" s="119"/>
      <c r="S5724" s="118">
        <v>16500</v>
      </c>
      <c r="T5724" s="119"/>
      <c r="U5724" s="118">
        <f t="shared" ref="U5724" si="7388">SUM(K5724:T5725)</f>
        <v>464460</v>
      </c>
      <c r="V5724" s="122"/>
      <c r="W5724" s="124"/>
      <c r="X5724" s="126" t="s">
        <v>16955</v>
      </c>
      <c r="Y5724" s="127"/>
      <c r="Z5724" s="127"/>
      <c r="AA5724" s="127"/>
      <c r="AB5724" s="128"/>
      <c r="AC5724" s="15" t="s">
        <v>20</v>
      </c>
      <c r="AD5724" s="129" t="s">
        <v>186</v>
      </c>
      <c r="AE5724" s="130"/>
      <c r="AF5724" s="130"/>
      <c r="AG5724" s="130"/>
      <c r="AH5724" s="130"/>
      <c r="AI5724" s="131"/>
      <c r="AJ5724" s="132"/>
      <c r="AK5724" s="127"/>
      <c r="AL5724" s="128"/>
      <c r="AM5724" s="21"/>
      <c r="AN5724" s="133">
        <v>46060</v>
      </c>
      <c r="AO5724" s="134"/>
      <c r="AP5724" s="135">
        <v>1287</v>
      </c>
      <c r="AQ5724" s="136"/>
      <c r="AR5724" s="118">
        <v>535000</v>
      </c>
      <c r="AS5724" s="119"/>
      <c r="AT5724" s="118">
        <f t="shared" ref="AT5724" si="7389">AR5724*0.1</f>
        <v>53500</v>
      </c>
      <c r="AU5724" s="119"/>
      <c r="AV5724" s="118">
        <v>18980</v>
      </c>
      <c r="AW5724" s="119"/>
      <c r="AX5724" s="118">
        <f t="shared" ref="AX5724" si="7390">SUM(AR5724:AW5724)</f>
        <v>607480</v>
      </c>
      <c r="AY5724" s="119"/>
      <c r="AZ5724" s="137">
        <v>46063</v>
      </c>
    </row>
    <row r="5725" spans="1:52" ht="17.100000000000001" customHeight="1" thickBot="1">
      <c r="A5725" s="110"/>
      <c r="B5725" s="27" t="s">
        <v>2511</v>
      </c>
      <c r="C5725" s="27">
        <v>82085</v>
      </c>
      <c r="D5725" s="14" t="s">
        <v>1592</v>
      </c>
      <c r="E5725" s="112"/>
      <c r="F5725" s="139" t="s">
        <v>16711</v>
      </c>
      <c r="G5725" s="140"/>
      <c r="H5725" s="141"/>
      <c r="I5725" s="26">
        <v>64392</v>
      </c>
      <c r="J5725" s="117"/>
      <c r="K5725" s="120"/>
      <c r="L5725" s="121"/>
      <c r="M5725" s="120"/>
      <c r="N5725" s="121"/>
      <c r="O5725" s="120"/>
      <c r="P5725" s="121"/>
      <c r="Q5725" s="120"/>
      <c r="R5725" s="121"/>
      <c r="S5725" s="120"/>
      <c r="T5725" s="121"/>
      <c r="U5725" s="120"/>
      <c r="V5725" s="123"/>
      <c r="W5725" s="125"/>
      <c r="X5725" s="142" t="s">
        <v>2440</v>
      </c>
      <c r="Y5725" s="143"/>
      <c r="Z5725" s="143"/>
      <c r="AA5725" s="143"/>
      <c r="AB5725" s="144"/>
      <c r="AC5725" s="16" t="s">
        <v>21</v>
      </c>
      <c r="AD5725" s="17" t="s">
        <v>3550</v>
      </c>
      <c r="AE5725" s="145" t="s">
        <v>16956</v>
      </c>
      <c r="AF5725" s="146"/>
      <c r="AG5725" s="146"/>
      <c r="AH5725" s="146"/>
      <c r="AI5725" s="147"/>
      <c r="AJ5725" s="148"/>
      <c r="AK5725" s="143"/>
      <c r="AL5725" s="144"/>
      <c r="AM5725" s="22"/>
      <c r="AN5725" s="149" t="s">
        <v>2511</v>
      </c>
      <c r="AO5725" s="144"/>
      <c r="AP5725" s="148">
        <v>80069</v>
      </c>
      <c r="AQ5725" s="144"/>
      <c r="AR5725" s="120"/>
      <c r="AS5725" s="121"/>
      <c r="AT5725" s="120"/>
      <c r="AU5725" s="121"/>
      <c r="AV5725" s="120"/>
      <c r="AW5725" s="121"/>
      <c r="AX5725" s="120"/>
      <c r="AY5725" s="121"/>
      <c r="AZ5725" s="138"/>
    </row>
    <row r="5726" spans="1:52" ht="17.100000000000001" customHeight="1" thickTop="1">
      <c r="A5726" s="109" t="s">
        <v>16674</v>
      </c>
      <c r="B5726" s="28">
        <v>46053</v>
      </c>
      <c r="C5726" s="25">
        <v>1286</v>
      </c>
      <c r="D5726" s="13" t="s">
        <v>2442</v>
      </c>
      <c r="E5726" s="111"/>
      <c r="F5726" s="113" t="s">
        <v>16693</v>
      </c>
      <c r="G5726" s="114"/>
      <c r="H5726" s="115"/>
      <c r="I5726" s="24"/>
      <c r="J5726" s="116">
        <v>4.5</v>
      </c>
      <c r="K5726" s="118">
        <v>1500000</v>
      </c>
      <c r="L5726" s="119"/>
      <c r="M5726" s="118">
        <f t="shared" ref="M5726" si="7391">K5726*0.1</f>
        <v>150000</v>
      </c>
      <c r="N5726" s="119"/>
      <c r="O5726" s="118">
        <v>0</v>
      </c>
      <c r="P5726" s="119"/>
      <c r="Q5726" s="118">
        <v>16160</v>
      </c>
      <c r="R5726" s="119"/>
      <c r="S5726" s="118">
        <v>23100</v>
      </c>
      <c r="T5726" s="119"/>
      <c r="U5726" s="118">
        <f t="shared" ref="U5726" si="7392">SUM(K5726:T5727)</f>
        <v>1689260</v>
      </c>
      <c r="V5726" s="122"/>
      <c r="W5726" s="124"/>
      <c r="X5726" s="126" t="s">
        <v>16979</v>
      </c>
      <c r="Y5726" s="127"/>
      <c r="Z5726" s="127"/>
      <c r="AA5726" s="127"/>
      <c r="AB5726" s="128"/>
      <c r="AC5726" s="15" t="s">
        <v>20</v>
      </c>
      <c r="AD5726" s="129" t="s">
        <v>3828</v>
      </c>
      <c r="AE5726" s="130"/>
      <c r="AF5726" s="130"/>
      <c r="AG5726" s="130"/>
      <c r="AH5726" s="130"/>
      <c r="AI5726" s="131"/>
      <c r="AJ5726" s="132"/>
      <c r="AK5726" s="127"/>
      <c r="AL5726" s="128"/>
      <c r="AM5726" s="21"/>
      <c r="AN5726" s="133">
        <v>46058</v>
      </c>
      <c r="AO5726" s="134"/>
      <c r="AP5726" s="135">
        <v>1317</v>
      </c>
      <c r="AQ5726" s="136"/>
      <c r="AR5726" s="118">
        <v>1705000</v>
      </c>
      <c r="AS5726" s="119"/>
      <c r="AT5726" s="118">
        <f t="shared" ref="AT5726" si="7393">AR5726*0.1</f>
        <v>170500</v>
      </c>
      <c r="AU5726" s="119"/>
      <c r="AV5726" s="118">
        <v>16160</v>
      </c>
      <c r="AW5726" s="119"/>
      <c r="AX5726" s="118">
        <f t="shared" ref="AX5726" si="7394">SUM(AR5726:AW5726)</f>
        <v>1891660</v>
      </c>
      <c r="AY5726" s="119"/>
      <c r="AZ5726" s="137">
        <v>46059</v>
      </c>
    </row>
    <row r="5727" spans="1:52" ht="17.100000000000001" customHeight="1" thickBot="1">
      <c r="A5727" s="110"/>
      <c r="B5727" s="27" t="s">
        <v>2511</v>
      </c>
      <c r="C5727" s="27">
        <v>82249</v>
      </c>
      <c r="D5727" s="14" t="s">
        <v>1700</v>
      </c>
      <c r="E5727" s="112"/>
      <c r="F5727" s="139" t="s">
        <v>16712</v>
      </c>
      <c r="G5727" s="140"/>
      <c r="H5727" s="141"/>
      <c r="I5727" s="26">
        <v>51908</v>
      </c>
      <c r="J5727" s="117"/>
      <c r="K5727" s="120"/>
      <c r="L5727" s="121"/>
      <c r="M5727" s="120"/>
      <c r="N5727" s="121"/>
      <c r="O5727" s="120"/>
      <c r="P5727" s="121"/>
      <c r="Q5727" s="120"/>
      <c r="R5727" s="121"/>
      <c r="S5727" s="120"/>
      <c r="T5727" s="121"/>
      <c r="U5727" s="120"/>
      <c r="V5727" s="123"/>
      <c r="W5727" s="125"/>
      <c r="X5727" s="142" t="s">
        <v>16980</v>
      </c>
      <c r="Y5727" s="143"/>
      <c r="Z5727" s="143"/>
      <c r="AA5727" s="143"/>
      <c r="AB5727" s="144"/>
      <c r="AC5727" s="16" t="s">
        <v>21</v>
      </c>
      <c r="AD5727" s="17" t="s">
        <v>3550</v>
      </c>
      <c r="AE5727" s="145" t="s">
        <v>1633</v>
      </c>
      <c r="AF5727" s="146"/>
      <c r="AG5727" s="146"/>
      <c r="AH5727" s="146"/>
      <c r="AI5727" s="147"/>
      <c r="AJ5727" s="148"/>
      <c r="AK5727" s="143"/>
      <c r="AL5727" s="144"/>
      <c r="AM5727" s="22"/>
      <c r="AN5727" s="149" t="s">
        <v>13663</v>
      </c>
      <c r="AO5727" s="144"/>
      <c r="AP5727" s="148">
        <v>177</v>
      </c>
      <c r="AQ5727" s="144"/>
      <c r="AR5727" s="120"/>
      <c r="AS5727" s="121"/>
      <c r="AT5727" s="120"/>
      <c r="AU5727" s="121"/>
      <c r="AV5727" s="120"/>
      <c r="AW5727" s="121"/>
      <c r="AX5727" s="120"/>
      <c r="AY5727" s="121"/>
      <c r="AZ5727" s="138"/>
    </row>
    <row r="5728" spans="1:52" ht="17.100000000000001" customHeight="1" thickTop="1">
      <c r="A5728" s="109" t="s">
        <v>16675</v>
      </c>
      <c r="B5728" s="28">
        <v>46053</v>
      </c>
      <c r="C5728" s="25">
        <v>1286</v>
      </c>
      <c r="D5728" s="13" t="s">
        <v>2298</v>
      </c>
      <c r="E5728" s="111"/>
      <c r="F5728" s="113" t="s">
        <v>16059</v>
      </c>
      <c r="G5728" s="114"/>
      <c r="H5728" s="115"/>
      <c r="I5728" s="24"/>
      <c r="J5728" s="116">
        <v>4.5</v>
      </c>
      <c r="K5728" s="118">
        <v>2095000</v>
      </c>
      <c r="L5728" s="119"/>
      <c r="M5728" s="118">
        <f t="shared" ref="M5728" si="7395">K5728*0.1</f>
        <v>209500</v>
      </c>
      <c r="N5728" s="119"/>
      <c r="O5728" s="118">
        <v>0</v>
      </c>
      <c r="P5728" s="119"/>
      <c r="Q5728" s="118">
        <v>16240</v>
      </c>
      <c r="R5728" s="119"/>
      <c r="S5728" s="118">
        <v>16500</v>
      </c>
      <c r="T5728" s="119"/>
      <c r="U5728" s="118">
        <f t="shared" ref="U5728" si="7396">SUM(K5728:T5729)</f>
        <v>2337240</v>
      </c>
      <c r="V5728" s="122"/>
      <c r="W5728" s="124"/>
      <c r="X5728" s="126" t="s">
        <v>16960</v>
      </c>
      <c r="Y5728" s="127"/>
      <c r="Z5728" s="127"/>
      <c r="AA5728" s="127"/>
      <c r="AB5728" s="128"/>
      <c r="AC5728" s="15" t="s">
        <v>20</v>
      </c>
      <c r="AD5728" s="129" t="s">
        <v>16714</v>
      </c>
      <c r="AE5728" s="130"/>
      <c r="AF5728" s="130"/>
      <c r="AG5728" s="130"/>
      <c r="AH5728" s="130"/>
      <c r="AI5728" s="131"/>
      <c r="AJ5728" s="132"/>
      <c r="AK5728" s="127"/>
      <c r="AL5728" s="128"/>
      <c r="AM5728" s="21"/>
      <c r="AN5728" s="133">
        <v>46082</v>
      </c>
      <c r="AO5728" s="134"/>
      <c r="AP5728" s="135"/>
      <c r="AQ5728" s="136"/>
      <c r="AR5728" s="118">
        <v>3530000</v>
      </c>
      <c r="AS5728" s="119"/>
      <c r="AT5728" s="118">
        <v>0</v>
      </c>
      <c r="AU5728" s="119"/>
      <c r="AV5728" s="118">
        <v>0</v>
      </c>
      <c r="AW5728" s="119"/>
      <c r="AX5728" s="118">
        <f t="shared" ref="AX5728" si="7397">SUM(AR5728:AW5728)</f>
        <v>3530000</v>
      </c>
      <c r="AY5728" s="119"/>
      <c r="AZ5728" s="137">
        <v>46111</v>
      </c>
    </row>
    <row r="5729" spans="1:52" ht="17.100000000000001" customHeight="1" thickBot="1">
      <c r="A5729" s="110"/>
      <c r="B5729" s="27" t="s">
        <v>2511</v>
      </c>
      <c r="C5729" s="27">
        <v>82331</v>
      </c>
      <c r="D5729" s="14" t="s">
        <v>275</v>
      </c>
      <c r="E5729" s="112"/>
      <c r="F5729" s="139" t="s">
        <v>16713</v>
      </c>
      <c r="G5729" s="140"/>
      <c r="H5729" s="141"/>
      <c r="I5729" s="26">
        <v>43432</v>
      </c>
      <c r="J5729" s="117"/>
      <c r="K5729" s="120"/>
      <c r="L5729" s="121"/>
      <c r="M5729" s="120"/>
      <c r="N5729" s="121"/>
      <c r="O5729" s="120"/>
      <c r="P5729" s="121"/>
      <c r="Q5729" s="120"/>
      <c r="R5729" s="121"/>
      <c r="S5729" s="120"/>
      <c r="T5729" s="121"/>
      <c r="U5729" s="120"/>
      <c r="V5729" s="123"/>
      <c r="W5729" s="125"/>
      <c r="X5729" s="142" t="s">
        <v>4563</v>
      </c>
      <c r="Y5729" s="143"/>
      <c r="Z5729" s="143"/>
      <c r="AA5729" s="143"/>
      <c r="AB5729" s="144"/>
      <c r="AC5729" s="16" t="s">
        <v>21</v>
      </c>
      <c r="AD5729" s="17" t="s">
        <v>3550</v>
      </c>
      <c r="AE5729" s="145" t="s">
        <v>9808</v>
      </c>
      <c r="AF5729" s="146"/>
      <c r="AG5729" s="146"/>
      <c r="AH5729" s="146"/>
      <c r="AI5729" s="147"/>
      <c r="AJ5729" s="148"/>
      <c r="AK5729" s="143"/>
      <c r="AL5729" s="144"/>
      <c r="AM5729" s="22"/>
      <c r="AN5729" s="149" t="s">
        <v>24633</v>
      </c>
      <c r="AO5729" s="144"/>
      <c r="AP5729" s="148"/>
      <c r="AQ5729" s="144"/>
      <c r="AR5729" s="120"/>
      <c r="AS5729" s="121"/>
      <c r="AT5729" s="120"/>
      <c r="AU5729" s="121"/>
      <c r="AV5729" s="120"/>
      <c r="AW5729" s="121"/>
      <c r="AX5729" s="120"/>
      <c r="AY5729" s="121"/>
      <c r="AZ5729" s="138"/>
    </row>
    <row r="5730" spans="1:52" ht="17.100000000000001" customHeight="1" thickTop="1">
      <c r="A5730" s="109" t="s">
        <v>16676</v>
      </c>
      <c r="B5730" s="28">
        <v>46053</v>
      </c>
      <c r="C5730" s="25">
        <v>1286</v>
      </c>
      <c r="D5730" s="13" t="s">
        <v>2100</v>
      </c>
      <c r="E5730" s="111"/>
      <c r="F5730" s="113" t="s">
        <v>16694</v>
      </c>
      <c r="G5730" s="114"/>
      <c r="H5730" s="115"/>
      <c r="I5730" s="24" t="s">
        <v>4314</v>
      </c>
      <c r="J5730" s="116">
        <v>4.5</v>
      </c>
      <c r="K5730" s="118">
        <v>1275000</v>
      </c>
      <c r="L5730" s="119"/>
      <c r="M5730" s="118">
        <f t="shared" ref="M5730" si="7398">K5730*0.1</f>
        <v>127500</v>
      </c>
      <c r="N5730" s="119"/>
      <c r="O5730" s="118">
        <v>7150</v>
      </c>
      <c r="P5730" s="119"/>
      <c r="Q5730" s="118">
        <v>20540</v>
      </c>
      <c r="R5730" s="119"/>
      <c r="S5730" s="118">
        <v>16500</v>
      </c>
      <c r="T5730" s="119"/>
      <c r="U5730" s="118">
        <f t="shared" ref="U5730" si="7399">SUM(K5730:T5731)</f>
        <v>1446690</v>
      </c>
      <c r="V5730" s="122"/>
      <c r="W5730" s="124"/>
      <c r="X5730" s="126" t="s">
        <v>16716</v>
      </c>
      <c r="Y5730" s="127"/>
      <c r="Z5730" s="127"/>
      <c r="AA5730" s="127"/>
      <c r="AB5730" s="128"/>
      <c r="AC5730" s="15" t="s">
        <v>20</v>
      </c>
      <c r="AD5730" s="129" t="s">
        <v>1670</v>
      </c>
      <c r="AE5730" s="130"/>
      <c r="AF5730" s="130"/>
      <c r="AG5730" s="130"/>
      <c r="AH5730" s="130"/>
      <c r="AI5730" s="131"/>
      <c r="AJ5730" s="132"/>
      <c r="AK5730" s="127"/>
      <c r="AL5730" s="128"/>
      <c r="AM5730" s="21" t="s">
        <v>17438</v>
      </c>
      <c r="AN5730" s="133">
        <v>46067</v>
      </c>
      <c r="AO5730" s="134"/>
      <c r="AP5730" s="135">
        <v>1288</v>
      </c>
      <c r="AQ5730" s="136"/>
      <c r="AR5730" s="118">
        <v>1395000</v>
      </c>
      <c r="AS5730" s="119"/>
      <c r="AT5730" s="118">
        <f t="shared" ref="AT5730" si="7400">AR5730*0.1</f>
        <v>139500</v>
      </c>
      <c r="AU5730" s="119"/>
      <c r="AV5730" s="118">
        <v>20540</v>
      </c>
      <c r="AW5730" s="119"/>
      <c r="AX5730" s="118">
        <f t="shared" ref="AX5730" si="7401">SUM(AR5730:AW5730)</f>
        <v>1555040</v>
      </c>
      <c r="AY5730" s="119"/>
      <c r="AZ5730" s="137">
        <v>46070</v>
      </c>
    </row>
    <row r="5731" spans="1:52" ht="17.100000000000001" customHeight="1" thickBot="1">
      <c r="A5731" s="110"/>
      <c r="B5731" s="27" t="s">
        <v>2511</v>
      </c>
      <c r="C5731" s="27">
        <v>82416</v>
      </c>
      <c r="D5731" s="14" t="s">
        <v>1592</v>
      </c>
      <c r="E5731" s="112"/>
      <c r="F5731" s="139" t="s">
        <v>16715</v>
      </c>
      <c r="G5731" s="140"/>
      <c r="H5731" s="141"/>
      <c r="I5731" s="26">
        <v>62346</v>
      </c>
      <c r="J5731" s="117"/>
      <c r="K5731" s="120"/>
      <c r="L5731" s="121"/>
      <c r="M5731" s="120"/>
      <c r="N5731" s="121"/>
      <c r="O5731" s="120"/>
      <c r="P5731" s="121"/>
      <c r="Q5731" s="120"/>
      <c r="R5731" s="121"/>
      <c r="S5731" s="120"/>
      <c r="T5731" s="121"/>
      <c r="U5731" s="120"/>
      <c r="V5731" s="123"/>
      <c r="W5731" s="125"/>
      <c r="X5731" s="142" t="s">
        <v>16961</v>
      </c>
      <c r="Y5731" s="143"/>
      <c r="Z5731" s="143"/>
      <c r="AA5731" s="143"/>
      <c r="AB5731" s="144"/>
      <c r="AC5731" s="16" t="s">
        <v>21</v>
      </c>
      <c r="AD5731" s="17" t="s">
        <v>3550</v>
      </c>
      <c r="AE5731" s="145" t="s">
        <v>16962</v>
      </c>
      <c r="AF5731" s="146"/>
      <c r="AG5731" s="146"/>
      <c r="AH5731" s="146"/>
      <c r="AI5731" s="147"/>
      <c r="AJ5731" s="148"/>
      <c r="AK5731" s="143"/>
      <c r="AL5731" s="144"/>
      <c r="AM5731" s="22"/>
      <c r="AN5731" s="149" t="s">
        <v>2511</v>
      </c>
      <c r="AO5731" s="144"/>
      <c r="AP5731" s="148">
        <v>80313</v>
      </c>
      <c r="AQ5731" s="144"/>
      <c r="AR5731" s="120"/>
      <c r="AS5731" s="121"/>
      <c r="AT5731" s="120"/>
      <c r="AU5731" s="121"/>
      <c r="AV5731" s="120"/>
      <c r="AW5731" s="121"/>
      <c r="AX5731" s="120"/>
      <c r="AY5731" s="121"/>
      <c r="AZ5731" s="138"/>
    </row>
    <row r="5732" spans="1:52" ht="17.100000000000001" customHeight="1" thickTop="1">
      <c r="A5732" s="109" t="s">
        <v>16758</v>
      </c>
      <c r="B5732" s="28">
        <v>46055</v>
      </c>
      <c r="C5732" s="25">
        <v>2079</v>
      </c>
      <c r="D5732" s="13" t="s">
        <v>5627</v>
      </c>
      <c r="E5732" s="111"/>
      <c r="F5732" s="113" t="s">
        <v>16736</v>
      </c>
      <c r="G5732" s="114"/>
      <c r="H5732" s="115"/>
      <c r="I5732" s="24" t="s">
        <v>1559</v>
      </c>
      <c r="J5732" s="116">
        <v>4.5</v>
      </c>
      <c r="K5732" s="118">
        <v>434000</v>
      </c>
      <c r="L5732" s="119"/>
      <c r="M5732" s="118">
        <f t="shared" ref="M5732" si="7402">K5732*0.1</f>
        <v>43400</v>
      </c>
      <c r="N5732" s="119"/>
      <c r="O5732" s="118">
        <f>3200+320</f>
        <v>3520</v>
      </c>
      <c r="P5732" s="119"/>
      <c r="Q5732" s="118">
        <v>19440</v>
      </c>
      <c r="R5732" s="119"/>
      <c r="S5732" s="118">
        <v>11000</v>
      </c>
      <c r="T5732" s="119"/>
      <c r="U5732" s="118">
        <f t="shared" ref="U5732" si="7403">SUM(K5732:T5733)</f>
        <v>511360</v>
      </c>
      <c r="V5732" s="122"/>
      <c r="W5732" s="124"/>
      <c r="X5732" s="126" t="s">
        <v>16738</v>
      </c>
      <c r="Y5732" s="127"/>
      <c r="Z5732" s="127"/>
      <c r="AA5732" s="127"/>
      <c r="AB5732" s="128"/>
      <c r="AC5732" s="15" t="s">
        <v>20</v>
      </c>
      <c r="AD5732" s="129" t="s">
        <v>171</v>
      </c>
      <c r="AE5732" s="130"/>
      <c r="AF5732" s="130"/>
      <c r="AG5732" s="130"/>
      <c r="AH5732" s="130"/>
      <c r="AI5732" s="131"/>
      <c r="AJ5732" s="132"/>
      <c r="AK5732" s="127"/>
      <c r="AL5732" s="128"/>
      <c r="AM5732" s="21"/>
      <c r="AN5732" s="133">
        <v>46060</v>
      </c>
      <c r="AO5732" s="134"/>
      <c r="AP5732" s="135">
        <v>1287</v>
      </c>
      <c r="AQ5732" s="136"/>
      <c r="AR5732" s="118">
        <v>520000</v>
      </c>
      <c r="AS5732" s="119"/>
      <c r="AT5732" s="118">
        <f t="shared" ref="AT5732" si="7404">AR5732*0.1</f>
        <v>52000</v>
      </c>
      <c r="AU5732" s="119"/>
      <c r="AV5732" s="118">
        <v>19440</v>
      </c>
      <c r="AW5732" s="119"/>
      <c r="AX5732" s="118">
        <f t="shared" ref="AX5732" si="7405">SUM(AR5732:AW5732)</f>
        <v>591440</v>
      </c>
      <c r="AY5732" s="119"/>
      <c r="AZ5732" s="137">
        <v>46063</v>
      </c>
    </row>
    <row r="5733" spans="1:52" ht="17.100000000000001" customHeight="1" thickBot="1">
      <c r="A5733" s="110"/>
      <c r="B5733" s="27" t="s">
        <v>83</v>
      </c>
      <c r="C5733" s="27">
        <v>32003</v>
      </c>
      <c r="D5733" s="14" t="s">
        <v>2086</v>
      </c>
      <c r="E5733" s="112"/>
      <c r="F5733" s="139" t="s">
        <v>16737</v>
      </c>
      <c r="G5733" s="140"/>
      <c r="H5733" s="141"/>
      <c r="I5733" s="26">
        <v>40531</v>
      </c>
      <c r="J5733" s="117"/>
      <c r="K5733" s="120"/>
      <c r="L5733" s="121"/>
      <c r="M5733" s="120"/>
      <c r="N5733" s="121"/>
      <c r="O5733" s="120"/>
      <c r="P5733" s="121"/>
      <c r="Q5733" s="120"/>
      <c r="R5733" s="121"/>
      <c r="S5733" s="120"/>
      <c r="T5733" s="121"/>
      <c r="U5733" s="120"/>
      <c r="V5733" s="123"/>
      <c r="W5733" s="125"/>
      <c r="X5733" s="142" t="s">
        <v>17059</v>
      </c>
      <c r="Y5733" s="143"/>
      <c r="Z5733" s="143"/>
      <c r="AA5733" s="143"/>
      <c r="AB5733" s="144"/>
      <c r="AC5733" s="16" t="s">
        <v>21</v>
      </c>
      <c r="AD5733" s="17" t="s">
        <v>3322</v>
      </c>
      <c r="AE5733" s="145" t="s">
        <v>1658</v>
      </c>
      <c r="AF5733" s="146"/>
      <c r="AG5733" s="146"/>
      <c r="AH5733" s="146"/>
      <c r="AI5733" s="147"/>
      <c r="AJ5733" s="148"/>
      <c r="AK5733" s="143"/>
      <c r="AL5733" s="144"/>
      <c r="AM5733" s="22"/>
      <c r="AN5733" s="149" t="s">
        <v>2511</v>
      </c>
      <c r="AO5733" s="144"/>
      <c r="AP5733" s="148">
        <v>80431</v>
      </c>
      <c r="AQ5733" s="144"/>
      <c r="AR5733" s="120"/>
      <c r="AS5733" s="121"/>
      <c r="AT5733" s="120"/>
      <c r="AU5733" s="121"/>
      <c r="AV5733" s="120"/>
      <c r="AW5733" s="121"/>
      <c r="AX5733" s="120"/>
      <c r="AY5733" s="121"/>
      <c r="AZ5733" s="138"/>
    </row>
    <row r="5734" spans="1:52" ht="17.100000000000001" customHeight="1" thickTop="1">
      <c r="A5734" s="109" t="s">
        <v>16759</v>
      </c>
      <c r="B5734" s="28">
        <v>46055</v>
      </c>
      <c r="C5734" s="25">
        <v>2079</v>
      </c>
      <c r="D5734" s="13" t="s">
        <v>1586</v>
      </c>
      <c r="E5734" s="111"/>
      <c r="F5734" s="113" t="s">
        <v>16739</v>
      </c>
      <c r="G5734" s="114"/>
      <c r="H5734" s="115"/>
      <c r="I5734" s="24"/>
      <c r="J5734" s="116">
        <v>4.5</v>
      </c>
      <c r="K5734" s="118">
        <v>1600000</v>
      </c>
      <c r="L5734" s="119"/>
      <c r="M5734" s="118">
        <f t="shared" ref="M5734" si="7406">K5734*0.1</f>
        <v>160000</v>
      </c>
      <c r="N5734" s="119"/>
      <c r="O5734" s="118">
        <v>0</v>
      </c>
      <c r="P5734" s="119"/>
      <c r="Q5734" s="118">
        <v>15250</v>
      </c>
      <c r="R5734" s="119"/>
      <c r="S5734" s="118">
        <v>11000</v>
      </c>
      <c r="T5734" s="119"/>
      <c r="U5734" s="118">
        <f t="shared" ref="U5734" si="7407">SUM(K5734:T5735)</f>
        <v>1786250</v>
      </c>
      <c r="V5734" s="122"/>
      <c r="W5734" s="124"/>
      <c r="X5734" s="126" t="s">
        <v>16917</v>
      </c>
      <c r="Y5734" s="127"/>
      <c r="Z5734" s="127"/>
      <c r="AA5734" s="127"/>
      <c r="AB5734" s="128"/>
      <c r="AC5734" s="15" t="s">
        <v>20</v>
      </c>
      <c r="AD5734" s="129" t="s">
        <v>4462</v>
      </c>
      <c r="AE5734" s="130"/>
      <c r="AF5734" s="130"/>
      <c r="AG5734" s="130"/>
      <c r="AH5734" s="130"/>
      <c r="AI5734" s="131"/>
      <c r="AJ5734" s="132"/>
      <c r="AK5734" s="127"/>
      <c r="AL5734" s="128"/>
      <c r="AM5734" s="21"/>
      <c r="AN5734" s="133">
        <v>46074</v>
      </c>
      <c r="AO5734" s="134"/>
      <c r="AP5734" s="135">
        <v>1289</v>
      </c>
      <c r="AQ5734" s="136"/>
      <c r="AR5734" s="118">
        <v>1655000</v>
      </c>
      <c r="AS5734" s="119"/>
      <c r="AT5734" s="118">
        <f t="shared" ref="AT5734" si="7408">AR5734*0.1</f>
        <v>165500</v>
      </c>
      <c r="AU5734" s="119"/>
      <c r="AV5734" s="118">
        <v>15250</v>
      </c>
      <c r="AW5734" s="119"/>
      <c r="AX5734" s="118">
        <f t="shared" ref="AX5734" si="7409">SUM(AR5734:AW5734)</f>
        <v>1835750</v>
      </c>
      <c r="AY5734" s="119"/>
      <c r="AZ5734" s="137">
        <v>46077</v>
      </c>
    </row>
    <row r="5735" spans="1:52" ht="17.100000000000001" customHeight="1" thickBot="1">
      <c r="A5735" s="110"/>
      <c r="B5735" s="27" t="s">
        <v>83</v>
      </c>
      <c r="C5735" s="27">
        <v>33510</v>
      </c>
      <c r="D5735" s="14" t="s">
        <v>275</v>
      </c>
      <c r="E5735" s="112"/>
      <c r="F5735" s="139" t="s">
        <v>16740</v>
      </c>
      <c r="G5735" s="140"/>
      <c r="H5735" s="141"/>
      <c r="I5735" s="26">
        <v>61327</v>
      </c>
      <c r="J5735" s="117"/>
      <c r="K5735" s="120"/>
      <c r="L5735" s="121"/>
      <c r="M5735" s="120"/>
      <c r="N5735" s="121"/>
      <c r="O5735" s="120"/>
      <c r="P5735" s="121"/>
      <c r="Q5735" s="120"/>
      <c r="R5735" s="121"/>
      <c r="S5735" s="120"/>
      <c r="T5735" s="121"/>
      <c r="U5735" s="120"/>
      <c r="V5735" s="123"/>
      <c r="W5735" s="125"/>
      <c r="X5735" s="142" t="s">
        <v>4820</v>
      </c>
      <c r="Y5735" s="143"/>
      <c r="Z5735" s="143"/>
      <c r="AA5735" s="143"/>
      <c r="AB5735" s="144"/>
      <c r="AC5735" s="16" t="s">
        <v>21</v>
      </c>
      <c r="AD5735" s="17" t="s">
        <v>3801</v>
      </c>
      <c r="AE5735" s="145" t="s">
        <v>17011</v>
      </c>
      <c r="AF5735" s="146"/>
      <c r="AG5735" s="146"/>
      <c r="AH5735" s="146"/>
      <c r="AI5735" s="147"/>
      <c r="AJ5735" s="148"/>
      <c r="AK5735" s="143"/>
      <c r="AL5735" s="144"/>
      <c r="AM5735" s="22"/>
      <c r="AN5735" s="149" t="s">
        <v>2511</v>
      </c>
      <c r="AO5735" s="144"/>
      <c r="AP5735" s="148">
        <v>80121</v>
      </c>
      <c r="AQ5735" s="144"/>
      <c r="AR5735" s="120"/>
      <c r="AS5735" s="121"/>
      <c r="AT5735" s="120"/>
      <c r="AU5735" s="121"/>
      <c r="AV5735" s="120"/>
      <c r="AW5735" s="121"/>
      <c r="AX5735" s="120"/>
      <c r="AY5735" s="121"/>
      <c r="AZ5735" s="138"/>
    </row>
    <row r="5736" spans="1:52" ht="17.100000000000001" customHeight="1" thickTop="1">
      <c r="A5736" s="109" t="s">
        <v>16760</v>
      </c>
      <c r="B5736" s="28">
        <v>46055</v>
      </c>
      <c r="C5736" s="25">
        <v>2079</v>
      </c>
      <c r="D5736" s="13" t="s">
        <v>1986</v>
      </c>
      <c r="E5736" s="111"/>
      <c r="F5736" s="113" t="s">
        <v>16741</v>
      </c>
      <c r="G5736" s="114"/>
      <c r="H5736" s="115"/>
      <c r="I5736" s="24"/>
      <c r="J5736" s="116">
        <v>3.5</v>
      </c>
      <c r="K5736" s="118">
        <v>2055000</v>
      </c>
      <c r="L5736" s="119"/>
      <c r="M5736" s="118">
        <f t="shared" ref="M5736" si="7410">K5736*0.1</f>
        <v>205500</v>
      </c>
      <c r="N5736" s="119"/>
      <c r="O5736" s="118">
        <v>0</v>
      </c>
      <c r="P5736" s="119"/>
      <c r="Q5736" s="118">
        <v>19180</v>
      </c>
      <c r="R5736" s="119"/>
      <c r="S5736" s="118">
        <v>11000</v>
      </c>
      <c r="T5736" s="119"/>
      <c r="U5736" s="118">
        <v>2290680</v>
      </c>
      <c r="V5736" s="122"/>
      <c r="W5736" s="124"/>
      <c r="X5736" s="126" t="s">
        <v>17542</v>
      </c>
      <c r="Y5736" s="127"/>
      <c r="Z5736" s="127"/>
      <c r="AA5736" s="127"/>
      <c r="AB5736" s="128"/>
      <c r="AC5736" s="15" t="s">
        <v>20</v>
      </c>
      <c r="AD5736" s="129" t="s">
        <v>1581</v>
      </c>
      <c r="AE5736" s="130"/>
      <c r="AF5736" s="130"/>
      <c r="AG5736" s="130"/>
      <c r="AH5736" s="130"/>
      <c r="AI5736" s="131"/>
      <c r="AJ5736" s="132"/>
      <c r="AK5736" s="127"/>
      <c r="AL5736" s="128"/>
      <c r="AM5736" s="21"/>
      <c r="AN5736" s="133">
        <v>46074</v>
      </c>
      <c r="AO5736" s="134"/>
      <c r="AP5736" s="135">
        <v>1289</v>
      </c>
      <c r="AQ5736" s="136"/>
      <c r="AR5736" s="118">
        <v>2200000</v>
      </c>
      <c r="AS5736" s="119"/>
      <c r="AT5736" s="118">
        <f t="shared" ref="AT5736" si="7411">AR5736*0.1</f>
        <v>220000</v>
      </c>
      <c r="AU5736" s="119"/>
      <c r="AV5736" s="118">
        <v>19180</v>
      </c>
      <c r="AW5736" s="119"/>
      <c r="AX5736" s="118">
        <f t="shared" ref="AX5736" si="7412">SUM(AR5736:AW5736)</f>
        <v>2439180</v>
      </c>
      <c r="AY5736" s="119"/>
      <c r="AZ5736" s="137">
        <v>46077</v>
      </c>
    </row>
    <row r="5737" spans="1:52" ht="17.100000000000001" customHeight="1" thickBot="1">
      <c r="A5737" s="110"/>
      <c r="B5737" s="27" t="s">
        <v>83</v>
      </c>
      <c r="C5737" s="27">
        <v>34515</v>
      </c>
      <c r="D5737" s="14" t="s">
        <v>2601</v>
      </c>
      <c r="E5737" s="112"/>
      <c r="F5737" s="139" t="s">
        <v>16742</v>
      </c>
      <c r="G5737" s="140"/>
      <c r="H5737" s="141"/>
      <c r="I5737" s="26">
        <v>40078</v>
      </c>
      <c r="J5737" s="117"/>
      <c r="K5737" s="120"/>
      <c r="L5737" s="121"/>
      <c r="M5737" s="120"/>
      <c r="N5737" s="121"/>
      <c r="O5737" s="120"/>
      <c r="P5737" s="121"/>
      <c r="Q5737" s="120"/>
      <c r="R5737" s="121"/>
      <c r="S5737" s="120"/>
      <c r="T5737" s="121"/>
      <c r="U5737" s="120"/>
      <c r="V5737" s="123"/>
      <c r="W5737" s="125"/>
      <c r="X5737" s="142" t="s">
        <v>4828</v>
      </c>
      <c r="Y5737" s="143"/>
      <c r="Z5737" s="143"/>
      <c r="AA5737" s="143"/>
      <c r="AB5737" s="144"/>
      <c r="AC5737" s="16" t="s">
        <v>21</v>
      </c>
      <c r="AD5737" s="17" t="s">
        <v>2187</v>
      </c>
      <c r="AE5737" s="145" t="s">
        <v>11501</v>
      </c>
      <c r="AF5737" s="146"/>
      <c r="AG5737" s="146"/>
      <c r="AH5737" s="146"/>
      <c r="AI5737" s="147"/>
      <c r="AJ5737" s="148"/>
      <c r="AK5737" s="143"/>
      <c r="AL5737" s="144"/>
      <c r="AM5737" s="22"/>
      <c r="AN5737" s="149" t="s">
        <v>2511</v>
      </c>
      <c r="AO5737" s="144"/>
      <c r="AP5737" s="148">
        <v>80119</v>
      </c>
      <c r="AQ5737" s="144"/>
      <c r="AR5737" s="120"/>
      <c r="AS5737" s="121"/>
      <c r="AT5737" s="120"/>
      <c r="AU5737" s="121"/>
      <c r="AV5737" s="120"/>
      <c r="AW5737" s="121"/>
      <c r="AX5737" s="120"/>
      <c r="AY5737" s="121"/>
      <c r="AZ5737" s="138"/>
    </row>
    <row r="5738" spans="1:52" ht="17.100000000000001" customHeight="1" thickTop="1">
      <c r="A5738" s="109" t="s">
        <v>16761</v>
      </c>
      <c r="B5738" s="28">
        <v>46055</v>
      </c>
      <c r="C5738" s="25">
        <v>2079</v>
      </c>
      <c r="D5738" s="13" t="s">
        <v>1803</v>
      </c>
      <c r="E5738" s="111"/>
      <c r="F5738" s="113" t="s">
        <v>16743</v>
      </c>
      <c r="G5738" s="114"/>
      <c r="H5738" s="115"/>
      <c r="I5738" s="24"/>
      <c r="J5738" s="116">
        <v>4.5</v>
      </c>
      <c r="K5738" s="118">
        <v>747000</v>
      </c>
      <c r="L5738" s="119"/>
      <c r="M5738" s="118">
        <f t="shared" ref="M5738" si="7413">K5738*0.1</f>
        <v>74700</v>
      </c>
      <c r="N5738" s="119"/>
      <c r="O5738" s="118">
        <v>0</v>
      </c>
      <c r="P5738" s="119"/>
      <c r="Q5738" s="118">
        <v>19330</v>
      </c>
      <c r="R5738" s="119"/>
      <c r="S5738" s="118">
        <v>11000</v>
      </c>
      <c r="T5738" s="119"/>
      <c r="U5738" s="118">
        <f t="shared" ref="U5738" si="7414">SUM(K5738:T5739)</f>
        <v>852030</v>
      </c>
      <c r="V5738" s="122"/>
      <c r="W5738" s="124"/>
      <c r="X5738" s="126" t="s">
        <v>17541</v>
      </c>
      <c r="Y5738" s="127"/>
      <c r="Z5738" s="127"/>
      <c r="AA5738" s="127"/>
      <c r="AB5738" s="128"/>
      <c r="AC5738" s="15" t="s">
        <v>20</v>
      </c>
      <c r="AD5738" s="129"/>
      <c r="AE5738" s="130"/>
      <c r="AF5738" s="130"/>
      <c r="AG5738" s="130"/>
      <c r="AH5738" s="130"/>
      <c r="AI5738" s="131"/>
      <c r="AJ5738" s="132"/>
      <c r="AK5738" s="127"/>
      <c r="AL5738" s="128"/>
      <c r="AM5738" s="21"/>
      <c r="AN5738" s="133">
        <v>46060</v>
      </c>
      <c r="AO5738" s="134"/>
      <c r="AP5738" s="135">
        <v>1287</v>
      </c>
      <c r="AQ5738" s="136"/>
      <c r="AR5738" s="118">
        <v>865000</v>
      </c>
      <c r="AS5738" s="119"/>
      <c r="AT5738" s="118">
        <f t="shared" ref="AT5738" si="7415">AR5738*0.1</f>
        <v>86500</v>
      </c>
      <c r="AU5738" s="119"/>
      <c r="AV5738" s="118">
        <v>19330</v>
      </c>
      <c r="AW5738" s="119"/>
      <c r="AX5738" s="118">
        <f t="shared" ref="AX5738" si="7416">SUM(AR5738:AW5738)</f>
        <v>970830</v>
      </c>
      <c r="AY5738" s="119"/>
      <c r="AZ5738" s="137">
        <v>46070</v>
      </c>
    </row>
    <row r="5739" spans="1:52" ht="17.100000000000001" customHeight="1" thickBot="1">
      <c r="A5739" s="110"/>
      <c r="B5739" s="27" t="s">
        <v>83</v>
      </c>
      <c r="C5739" s="27">
        <v>34517</v>
      </c>
      <c r="D5739" s="14" t="s">
        <v>1635</v>
      </c>
      <c r="E5739" s="112"/>
      <c r="F5739" s="139" t="s">
        <v>16744</v>
      </c>
      <c r="G5739" s="140"/>
      <c r="H5739" s="141"/>
      <c r="I5739" s="26">
        <v>66473</v>
      </c>
      <c r="J5739" s="117"/>
      <c r="K5739" s="120"/>
      <c r="L5739" s="121"/>
      <c r="M5739" s="120"/>
      <c r="N5739" s="121"/>
      <c r="O5739" s="120"/>
      <c r="P5739" s="121"/>
      <c r="Q5739" s="120"/>
      <c r="R5739" s="121"/>
      <c r="S5739" s="120"/>
      <c r="T5739" s="121"/>
      <c r="U5739" s="120"/>
      <c r="V5739" s="123"/>
      <c r="W5739" s="125"/>
      <c r="X5739" s="142" t="s">
        <v>4828</v>
      </c>
      <c r="Y5739" s="143"/>
      <c r="Z5739" s="143"/>
      <c r="AA5739" s="143"/>
      <c r="AB5739" s="144"/>
      <c r="AC5739" s="16" t="s">
        <v>21</v>
      </c>
      <c r="AD5739" s="17" t="s">
        <v>2187</v>
      </c>
      <c r="AE5739" s="145" t="s">
        <v>11501</v>
      </c>
      <c r="AF5739" s="146"/>
      <c r="AG5739" s="146"/>
      <c r="AH5739" s="146"/>
      <c r="AI5739" s="147"/>
      <c r="AJ5739" s="148"/>
      <c r="AK5739" s="143"/>
      <c r="AL5739" s="144"/>
      <c r="AM5739" s="22"/>
      <c r="AN5739" s="149" t="s">
        <v>2511</v>
      </c>
      <c r="AO5739" s="144"/>
      <c r="AP5739" s="148">
        <v>80375</v>
      </c>
      <c r="AQ5739" s="144"/>
      <c r="AR5739" s="120"/>
      <c r="AS5739" s="121"/>
      <c r="AT5739" s="120"/>
      <c r="AU5739" s="121"/>
      <c r="AV5739" s="120"/>
      <c r="AW5739" s="121"/>
      <c r="AX5739" s="120"/>
      <c r="AY5739" s="121"/>
      <c r="AZ5739" s="138"/>
    </row>
    <row r="5740" spans="1:52" ht="17.100000000000001" customHeight="1" thickTop="1">
      <c r="A5740" s="109" t="s">
        <v>16762</v>
      </c>
      <c r="B5740" s="28">
        <v>46055</v>
      </c>
      <c r="C5740" s="25">
        <v>2079</v>
      </c>
      <c r="D5740" s="13" t="s">
        <v>2442</v>
      </c>
      <c r="E5740" s="111"/>
      <c r="F5740" s="113" t="s">
        <v>7315</v>
      </c>
      <c r="G5740" s="114"/>
      <c r="H5740" s="115"/>
      <c r="I5740" s="24"/>
      <c r="J5740" s="116">
        <v>4</v>
      </c>
      <c r="K5740" s="118">
        <v>410000</v>
      </c>
      <c r="L5740" s="119"/>
      <c r="M5740" s="118">
        <f t="shared" ref="M5740" si="7417">K5740*0.1</f>
        <v>41000</v>
      </c>
      <c r="N5740" s="119"/>
      <c r="O5740" s="118">
        <v>0</v>
      </c>
      <c r="P5740" s="119"/>
      <c r="Q5740" s="118">
        <v>17600</v>
      </c>
      <c r="R5740" s="119"/>
      <c r="S5740" s="118">
        <v>11000</v>
      </c>
      <c r="T5740" s="119"/>
      <c r="U5740" s="118">
        <f t="shared" ref="U5740" si="7418">SUM(K5740:T5741)</f>
        <v>479600</v>
      </c>
      <c r="V5740" s="122"/>
      <c r="W5740" s="124"/>
      <c r="X5740" s="126" t="s">
        <v>17060</v>
      </c>
      <c r="Y5740" s="127"/>
      <c r="Z5740" s="127"/>
      <c r="AA5740" s="127"/>
      <c r="AB5740" s="128"/>
      <c r="AC5740" s="15" t="s">
        <v>20</v>
      </c>
      <c r="AD5740" s="129" t="s">
        <v>16747</v>
      </c>
      <c r="AE5740" s="130"/>
      <c r="AF5740" s="130"/>
      <c r="AG5740" s="130"/>
      <c r="AH5740" s="130"/>
      <c r="AI5740" s="131"/>
      <c r="AJ5740" s="132"/>
      <c r="AK5740" s="127"/>
      <c r="AL5740" s="128"/>
      <c r="AM5740" s="21"/>
      <c r="AN5740" s="133">
        <v>46088</v>
      </c>
      <c r="AO5740" s="134"/>
      <c r="AP5740" s="135">
        <v>1291</v>
      </c>
      <c r="AQ5740" s="136"/>
      <c r="AR5740" s="118">
        <v>530000</v>
      </c>
      <c r="AS5740" s="119"/>
      <c r="AT5740" s="118">
        <f t="shared" ref="AT5740" si="7419">AR5740*0.1</f>
        <v>53000</v>
      </c>
      <c r="AU5740" s="119"/>
      <c r="AV5740" s="118">
        <v>17600</v>
      </c>
      <c r="AW5740" s="119"/>
      <c r="AX5740" s="118">
        <f t="shared" ref="AX5740" si="7420">SUM(AR5740:AW5740)</f>
        <v>600600</v>
      </c>
      <c r="AY5740" s="119"/>
      <c r="AZ5740" s="137">
        <v>46098</v>
      </c>
    </row>
    <row r="5741" spans="1:52" ht="17.100000000000001" customHeight="1" thickBot="1">
      <c r="A5741" s="110"/>
      <c r="B5741" s="27" t="s">
        <v>83</v>
      </c>
      <c r="C5741" s="27">
        <v>34520</v>
      </c>
      <c r="D5741" s="14" t="s">
        <v>16745</v>
      </c>
      <c r="E5741" s="112"/>
      <c r="F5741" s="139" t="s">
        <v>16746</v>
      </c>
      <c r="G5741" s="140"/>
      <c r="H5741" s="141"/>
      <c r="I5741" s="26">
        <v>107932</v>
      </c>
      <c r="J5741" s="117"/>
      <c r="K5741" s="120"/>
      <c r="L5741" s="121"/>
      <c r="M5741" s="120"/>
      <c r="N5741" s="121"/>
      <c r="O5741" s="120"/>
      <c r="P5741" s="121"/>
      <c r="Q5741" s="120"/>
      <c r="R5741" s="121"/>
      <c r="S5741" s="120"/>
      <c r="T5741" s="121"/>
      <c r="U5741" s="120"/>
      <c r="V5741" s="123"/>
      <c r="W5741" s="125"/>
      <c r="X5741" s="142" t="s">
        <v>8044</v>
      </c>
      <c r="Y5741" s="143"/>
      <c r="Z5741" s="143"/>
      <c r="AA5741" s="143"/>
      <c r="AB5741" s="144"/>
      <c r="AC5741" s="16" t="s">
        <v>21</v>
      </c>
      <c r="AD5741" s="17" t="s">
        <v>3322</v>
      </c>
      <c r="AE5741" s="145" t="s">
        <v>17061</v>
      </c>
      <c r="AF5741" s="146"/>
      <c r="AG5741" s="146"/>
      <c r="AH5741" s="146"/>
      <c r="AI5741" s="147"/>
      <c r="AJ5741" s="148"/>
      <c r="AK5741" s="143"/>
      <c r="AL5741" s="144"/>
      <c r="AM5741" s="22"/>
      <c r="AN5741" s="149" t="s">
        <v>6748</v>
      </c>
      <c r="AO5741" s="144"/>
      <c r="AP5741" s="148">
        <v>80116</v>
      </c>
      <c r="AQ5741" s="144"/>
      <c r="AR5741" s="120"/>
      <c r="AS5741" s="121"/>
      <c r="AT5741" s="120"/>
      <c r="AU5741" s="121"/>
      <c r="AV5741" s="120"/>
      <c r="AW5741" s="121"/>
      <c r="AX5741" s="120"/>
      <c r="AY5741" s="121"/>
      <c r="AZ5741" s="138"/>
    </row>
    <row r="5742" spans="1:52" ht="17.100000000000001" customHeight="1" thickTop="1">
      <c r="A5742" s="109" t="s">
        <v>16763</v>
      </c>
      <c r="B5742" s="28">
        <v>46055</v>
      </c>
      <c r="C5742" s="25"/>
      <c r="D5742" s="13" t="s">
        <v>2465</v>
      </c>
      <c r="E5742" s="111"/>
      <c r="F5742" s="113" t="s">
        <v>17003</v>
      </c>
      <c r="G5742" s="114"/>
      <c r="H5742" s="115"/>
      <c r="I5742" s="24"/>
      <c r="J5742" s="116">
        <v>4.5</v>
      </c>
      <c r="K5742" s="118">
        <v>635000</v>
      </c>
      <c r="L5742" s="119"/>
      <c r="M5742" s="118">
        <f t="shared" ref="M5742" si="7421">K5742*0.1</f>
        <v>63500</v>
      </c>
      <c r="N5742" s="119"/>
      <c r="O5742" s="118">
        <v>0</v>
      </c>
      <c r="P5742" s="119"/>
      <c r="Q5742" s="118">
        <v>22050</v>
      </c>
      <c r="R5742" s="119"/>
      <c r="S5742" s="118">
        <v>14850</v>
      </c>
      <c r="T5742" s="119"/>
      <c r="U5742" s="118">
        <f t="shared" ref="U5742" si="7422">SUM(K5742:T5743)</f>
        <v>735400</v>
      </c>
      <c r="V5742" s="122"/>
      <c r="W5742" s="124"/>
      <c r="X5742" s="126" t="s">
        <v>17424</v>
      </c>
      <c r="Y5742" s="127"/>
      <c r="Z5742" s="127"/>
      <c r="AA5742" s="127"/>
      <c r="AB5742" s="128"/>
      <c r="AC5742" s="15" t="s">
        <v>20</v>
      </c>
      <c r="AD5742" s="129"/>
      <c r="AE5742" s="130"/>
      <c r="AF5742" s="130"/>
      <c r="AG5742" s="130"/>
      <c r="AH5742" s="130"/>
      <c r="AI5742" s="131"/>
      <c r="AJ5742" s="132"/>
      <c r="AK5742" s="127"/>
      <c r="AL5742" s="128"/>
      <c r="AM5742" s="21"/>
      <c r="AN5742" s="133">
        <v>46074</v>
      </c>
      <c r="AO5742" s="134"/>
      <c r="AP5742" s="135">
        <v>1289</v>
      </c>
      <c r="AQ5742" s="136"/>
      <c r="AR5742" s="118">
        <v>840000</v>
      </c>
      <c r="AS5742" s="119"/>
      <c r="AT5742" s="118">
        <f t="shared" ref="AT5742" si="7423">AR5742*0.1</f>
        <v>84000</v>
      </c>
      <c r="AU5742" s="119"/>
      <c r="AV5742" s="118">
        <v>22050</v>
      </c>
      <c r="AW5742" s="119"/>
      <c r="AX5742" s="118">
        <f t="shared" ref="AX5742" si="7424">SUM(AR5742:AW5742)</f>
        <v>946050</v>
      </c>
      <c r="AY5742" s="119"/>
      <c r="AZ5742" s="137">
        <v>46077</v>
      </c>
    </row>
    <row r="5743" spans="1:52" ht="17.100000000000001" customHeight="1" thickBot="1">
      <c r="A5743" s="110"/>
      <c r="B5743" s="27" t="s">
        <v>2774</v>
      </c>
      <c r="C5743" s="27">
        <v>80253</v>
      </c>
      <c r="D5743" s="14" t="s">
        <v>2601</v>
      </c>
      <c r="E5743" s="112"/>
      <c r="F5743" s="139" t="s">
        <v>17423</v>
      </c>
      <c r="G5743" s="140"/>
      <c r="H5743" s="141"/>
      <c r="I5743" s="26">
        <v>43234</v>
      </c>
      <c r="J5743" s="117"/>
      <c r="K5743" s="120"/>
      <c r="L5743" s="121"/>
      <c r="M5743" s="120"/>
      <c r="N5743" s="121"/>
      <c r="O5743" s="120"/>
      <c r="P5743" s="121"/>
      <c r="Q5743" s="120"/>
      <c r="R5743" s="121"/>
      <c r="S5743" s="120"/>
      <c r="T5743" s="121"/>
      <c r="U5743" s="120"/>
      <c r="V5743" s="123"/>
      <c r="W5743" s="125"/>
      <c r="X5743" s="142" t="s">
        <v>13383</v>
      </c>
      <c r="Y5743" s="143"/>
      <c r="Z5743" s="143"/>
      <c r="AA5743" s="143"/>
      <c r="AB5743" s="144"/>
      <c r="AC5743" s="16" t="s">
        <v>21</v>
      </c>
      <c r="AD5743" s="17" t="s">
        <v>1845</v>
      </c>
      <c r="AE5743" s="145" t="s">
        <v>17425</v>
      </c>
      <c r="AF5743" s="146"/>
      <c r="AG5743" s="146"/>
      <c r="AH5743" s="146"/>
      <c r="AI5743" s="147"/>
      <c r="AJ5743" s="148"/>
      <c r="AK5743" s="143"/>
      <c r="AL5743" s="144"/>
      <c r="AM5743" s="22"/>
      <c r="AN5743" s="149" t="s">
        <v>2511</v>
      </c>
      <c r="AO5743" s="144"/>
      <c r="AP5743" s="148">
        <v>80109</v>
      </c>
      <c r="AQ5743" s="144"/>
      <c r="AR5743" s="120"/>
      <c r="AS5743" s="121"/>
      <c r="AT5743" s="120"/>
      <c r="AU5743" s="121"/>
      <c r="AV5743" s="120"/>
      <c r="AW5743" s="121"/>
      <c r="AX5743" s="120"/>
      <c r="AY5743" s="121"/>
      <c r="AZ5743" s="138"/>
    </row>
    <row r="5744" spans="1:52" ht="17.100000000000001" customHeight="1" thickTop="1">
      <c r="A5744" s="109" t="s">
        <v>16764</v>
      </c>
      <c r="B5744" s="28">
        <v>46055</v>
      </c>
      <c r="C5744" s="25"/>
      <c r="D5744" s="13" t="s">
        <v>2737</v>
      </c>
      <c r="E5744" s="111"/>
      <c r="F5744" s="113" t="s">
        <v>16748</v>
      </c>
      <c r="G5744" s="114"/>
      <c r="H5744" s="115"/>
      <c r="I5744" s="24"/>
      <c r="J5744" s="116">
        <v>4.5</v>
      </c>
      <c r="K5744" s="118">
        <v>1962000</v>
      </c>
      <c r="L5744" s="119"/>
      <c r="M5744" s="118">
        <f t="shared" ref="M5744" si="7425">K5744*0.1</f>
        <v>196200</v>
      </c>
      <c r="N5744" s="119"/>
      <c r="O5744" s="118">
        <v>0</v>
      </c>
      <c r="P5744" s="119"/>
      <c r="Q5744" s="118">
        <v>16240</v>
      </c>
      <c r="R5744" s="119"/>
      <c r="S5744" s="118">
        <v>14850</v>
      </c>
      <c r="T5744" s="119"/>
      <c r="U5744" s="118">
        <f t="shared" ref="U5744" si="7426">SUM(K5744:T5745)</f>
        <v>2189290</v>
      </c>
      <c r="V5744" s="122"/>
      <c r="W5744" s="124"/>
      <c r="X5744" s="126" t="s">
        <v>17421</v>
      </c>
      <c r="Y5744" s="127"/>
      <c r="Z5744" s="127"/>
      <c r="AA5744" s="127"/>
      <c r="AB5744" s="128"/>
      <c r="AC5744" s="15" t="s">
        <v>20</v>
      </c>
      <c r="AD5744" s="129"/>
      <c r="AE5744" s="130"/>
      <c r="AF5744" s="130"/>
      <c r="AG5744" s="130"/>
      <c r="AH5744" s="130"/>
      <c r="AI5744" s="131"/>
      <c r="AJ5744" s="132"/>
      <c r="AK5744" s="127"/>
      <c r="AL5744" s="128"/>
      <c r="AM5744" s="21"/>
      <c r="AN5744" s="133">
        <v>46060</v>
      </c>
      <c r="AO5744" s="134"/>
      <c r="AP5744" s="135">
        <v>1287</v>
      </c>
      <c r="AQ5744" s="136"/>
      <c r="AR5744" s="118">
        <v>1895000</v>
      </c>
      <c r="AS5744" s="119"/>
      <c r="AT5744" s="118">
        <f t="shared" ref="AT5744" si="7427">AR5744*0.1</f>
        <v>189500</v>
      </c>
      <c r="AU5744" s="119"/>
      <c r="AV5744" s="118">
        <v>16240</v>
      </c>
      <c r="AW5744" s="119"/>
      <c r="AX5744" s="118">
        <f t="shared" ref="AX5744" si="7428">SUM(AR5744:AW5744)</f>
        <v>2100740</v>
      </c>
      <c r="AY5744" s="119"/>
      <c r="AZ5744" s="137">
        <v>46063</v>
      </c>
    </row>
    <row r="5745" spans="1:52" ht="17.100000000000001" customHeight="1" thickBot="1">
      <c r="A5745" s="110"/>
      <c r="B5745" s="27" t="s">
        <v>2774</v>
      </c>
      <c r="C5745" s="27">
        <v>80257</v>
      </c>
      <c r="D5745" s="14" t="s">
        <v>3327</v>
      </c>
      <c r="E5745" s="112"/>
      <c r="F5745" s="139" t="s">
        <v>17420</v>
      </c>
      <c r="G5745" s="140"/>
      <c r="H5745" s="141"/>
      <c r="I5745" s="26">
        <v>58371</v>
      </c>
      <c r="J5745" s="117"/>
      <c r="K5745" s="120"/>
      <c r="L5745" s="121"/>
      <c r="M5745" s="120"/>
      <c r="N5745" s="121"/>
      <c r="O5745" s="120"/>
      <c r="P5745" s="121"/>
      <c r="Q5745" s="120"/>
      <c r="R5745" s="121"/>
      <c r="S5745" s="120"/>
      <c r="T5745" s="121"/>
      <c r="U5745" s="120"/>
      <c r="V5745" s="123"/>
      <c r="W5745" s="125"/>
      <c r="X5745" s="142" t="s">
        <v>17422</v>
      </c>
      <c r="Y5745" s="143"/>
      <c r="Z5745" s="143"/>
      <c r="AA5745" s="143"/>
      <c r="AB5745" s="144"/>
      <c r="AC5745" s="16" t="s">
        <v>21</v>
      </c>
      <c r="AD5745" s="17" t="s">
        <v>1845</v>
      </c>
      <c r="AE5745" s="145" t="s">
        <v>7859</v>
      </c>
      <c r="AF5745" s="146"/>
      <c r="AG5745" s="146"/>
      <c r="AH5745" s="146"/>
      <c r="AI5745" s="147"/>
      <c r="AJ5745" s="148"/>
      <c r="AK5745" s="143"/>
      <c r="AL5745" s="144"/>
      <c r="AM5745" s="22"/>
      <c r="AN5745" s="149" t="s">
        <v>2511</v>
      </c>
      <c r="AO5745" s="144"/>
      <c r="AP5745" s="148">
        <v>80406</v>
      </c>
      <c r="AQ5745" s="144"/>
      <c r="AR5745" s="120"/>
      <c r="AS5745" s="121"/>
      <c r="AT5745" s="120"/>
      <c r="AU5745" s="121"/>
      <c r="AV5745" s="120"/>
      <c r="AW5745" s="121"/>
      <c r="AX5745" s="120"/>
      <c r="AY5745" s="121"/>
      <c r="AZ5745" s="138"/>
    </row>
    <row r="5746" spans="1:52" ht="17.100000000000001" customHeight="1" thickTop="1">
      <c r="A5746" s="109" t="s">
        <v>16765</v>
      </c>
      <c r="B5746" s="28">
        <v>46055</v>
      </c>
      <c r="C5746" s="25"/>
      <c r="D5746" s="13" t="s">
        <v>2211</v>
      </c>
      <c r="E5746" s="111"/>
      <c r="F5746" s="113" t="s">
        <v>8589</v>
      </c>
      <c r="G5746" s="114"/>
      <c r="H5746" s="115"/>
      <c r="I5746" s="24" t="s">
        <v>16021</v>
      </c>
      <c r="J5746" s="116">
        <v>5</v>
      </c>
      <c r="K5746" s="118">
        <f>1518000/1.1</f>
        <v>1380000</v>
      </c>
      <c r="L5746" s="119"/>
      <c r="M5746" s="118">
        <f t="shared" ref="M5746" si="7429">K5746*0.1</f>
        <v>138000</v>
      </c>
      <c r="N5746" s="119"/>
      <c r="O5746" s="118">
        <v>0</v>
      </c>
      <c r="P5746" s="119"/>
      <c r="Q5746" s="118">
        <v>8130</v>
      </c>
      <c r="R5746" s="119"/>
      <c r="S5746" s="118">
        <v>0</v>
      </c>
      <c r="T5746" s="119"/>
      <c r="U5746" s="118">
        <f t="shared" ref="U5746" si="7430">SUM(K5746:T5747)</f>
        <v>1526130</v>
      </c>
      <c r="V5746" s="122"/>
      <c r="W5746" s="124"/>
      <c r="X5746" s="126" t="s">
        <v>20343</v>
      </c>
      <c r="Y5746" s="127"/>
      <c r="Z5746" s="127"/>
      <c r="AA5746" s="127"/>
      <c r="AB5746" s="128"/>
      <c r="AC5746" s="15" t="s">
        <v>20</v>
      </c>
      <c r="AD5746" s="129" t="s">
        <v>1945</v>
      </c>
      <c r="AE5746" s="130"/>
      <c r="AF5746" s="130"/>
      <c r="AG5746" s="130"/>
      <c r="AH5746" s="130"/>
      <c r="AI5746" s="131"/>
      <c r="AJ5746" s="132"/>
      <c r="AK5746" s="127"/>
      <c r="AL5746" s="128"/>
      <c r="AM5746" s="21" t="s">
        <v>20368</v>
      </c>
      <c r="AN5746" s="133">
        <v>46091</v>
      </c>
      <c r="AO5746" s="134"/>
      <c r="AP5746" s="135">
        <v>1932</v>
      </c>
      <c r="AQ5746" s="136"/>
      <c r="AR5746" s="118">
        <v>1436000</v>
      </c>
      <c r="AS5746" s="119"/>
      <c r="AT5746" s="118">
        <f t="shared" ref="AT5746" si="7431">AR5746*0.1</f>
        <v>143600</v>
      </c>
      <c r="AU5746" s="119"/>
      <c r="AV5746" s="118">
        <v>8130</v>
      </c>
      <c r="AW5746" s="119"/>
      <c r="AX5746" s="118">
        <f t="shared" ref="AX5746" si="7432">SUM(AR5746:AW5746)</f>
        <v>1587730</v>
      </c>
      <c r="AY5746" s="119"/>
      <c r="AZ5746" s="137"/>
    </row>
    <row r="5747" spans="1:52" ht="17.100000000000001" customHeight="1" thickBot="1">
      <c r="A5747" s="110"/>
      <c r="B5747" s="27" t="s">
        <v>1718</v>
      </c>
      <c r="C5747" s="27" t="s">
        <v>16749</v>
      </c>
      <c r="D5747" s="14" t="s">
        <v>133</v>
      </c>
      <c r="E5747" s="112"/>
      <c r="F5747" s="139" t="s">
        <v>16750</v>
      </c>
      <c r="G5747" s="140"/>
      <c r="H5747" s="141"/>
      <c r="I5747" s="26">
        <v>7264</v>
      </c>
      <c r="J5747" s="117"/>
      <c r="K5747" s="120"/>
      <c r="L5747" s="121"/>
      <c r="M5747" s="120"/>
      <c r="N5747" s="121"/>
      <c r="O5747" s="120"/>
      <c r="P5747" s="121"/>
      <c r="Q5747" s="120"/>
      <c r="R5747" s="121"/>
      <c r="S5747" s="120"/>
      <c r="T5747" s="121"/>
      <c r="U5747" s="120"/>
      <c r="V5747" s="123"/>
      <c r="W5747" s="125"/>
      <c r="X5747" s="142" t="s">
        <v>20344</v>
      </c>
      <c r="Y5747" s="143"/>
      <c r="Z5747" s="143"/>
      <c r="AA5747" s="143"/>
      <c r="AB5747" s="144"/>
      <c r="AC5747" s="16" t="s">
        <v>21</v>
      </c>
      <c r="AD5747" s="17" t="s">
        <v>2376</v>
      </c>
      <c r="AE5747" s="145" t="s">
        <v>20345</v>
      </c>
      <c r="AF5747" s="146"/>
      <c r="AG5747" s="146"/>
      <c r="AH5747" s="146"/>
      <c r="AI5747" s="147"/>
      <c r="AJ5747" s="148"/>
      <c r="AK5747" s="143"/>
      <c r="AL5747" s="144"/>
      <c r="AM5747" s="22"/>
      <c r="AN5747" s="149" t="s">
        <v>2131</v>
      </c>
      <c r="AO5747" s="144"/>
      <c r="AP5747" s="148">
        <v>3539</v>
      </c>
      <c r="AQ5747" s="144"/>
      <c r="AR5747" s="120"/>
      <c r="AS5747" s="121"/>
      <c r="AT5747" s="120"/>
      <c r="AU5747" s="121"/>
      <c r="AV5747" s="120"/>
      <c r="AW5747" s="121"/>
      <c r="AX5747" s="120"/>
      <c r="AY5747" s="121"/>
      <c r="AZ5747" s="138"/>
    </row>
    <row r="5748" spans="1:52" ht="17.100000000000001" customHeight="1" thickTop="1">
      <c r="A5748" s="109" t="s">
        <v>16766</v>
      </c>
      <c r="B5748" s="28">
        <v>46055</v>
      </c>
      <c r="C5748" s="25"/>
      <c r="D5748" s="13" t="s">
        <v>1675</v>
      </c>
      <c r="E5748" s="111"/>
      <c r="F5748" s="113" t="s">
        <v>16755</v>
      </c>
      <c r="G5748" s="114"/>
      <c r="H5748" s="115"/>
      <c r="I5748" s="24" t="s">
        <v>12024</v>
      </c>
      <c r="J5748" s="116">
        <v>4</v>
      </c>
      <c r="K5748" s="118">
        <f>356400/1.1</f>
        <v>324000</v>
      </c>
      <c r="L5748" s="119"/>
      <c r="M5748" s="118">
        <f t="shared" ref="M5748" si="7433">K5748*0.1</f>
        <v>32400</v>
      </c>
      <c r="N5748" s="119"/>
      <c r="O5748" s="118">
        <v>0</v>
      </c>
      <c r="P5748" s="119"/>
      <c r="Q5748" s="118">
        <v>8860</v>
      </c>
      <c r="R5748" s="119"/>
      <c r="S5748" s="118">
        <v>0</v>
      </c>
      <c r="T5748" s="119"/>
      <c r="U5748" s="118">
        <f t="shared" ref="U5748" si="7434">SUM(K5748:T5749)</f>
        <v>365260</v>
      </c>
      <c r="V5748" s="122"/>
      <c r="W5748" s="124"/>
      <c r="X5748" s="126" t="s">
        <v>18366</v>
      </c>
      <c r="Y5748" s="127"/>
      <c r="Z5748" s="127"/>
      <c r="AA5748" s="127"/>
      <c r="AB5748" s="128"/>
      <c r="AC5748" s="15" t="s">
        <v>20</v>
      </c>
      <c r="AD5748" s="129" t="s">
        <v>1633</v>
      </c>
      <c r="AE5748" s="130"/>
      <c r="AF5748" s="130"/>
      <c r="AG5748" s="130"/>
      <c r="AH5748" s="130"/>
      <c r="AI5748" s="131"/>
      <c r="AJ5748" s="132"/>
      <c r="AK5748" s="127"/>
      <c r="AL5748" s="128"/>
      <c r="AM5748" s="21"/>
      <c r="AN5748" s="133">
        <v>46081</v>
      </c>
      <c r="AO5748" s="134"/>
      <c r="AP5748" s="135">
        <v>1290</v>
      </c>
      <c r="AQ5748" s="136"/>
      <c r="AR5748" s="118">
        <v>400000</v>
      </c>
      <c r="AS5748" s="119"/>
      <c r="AT5748" s="118">
        <f t="shared" ref="AT5748" si="7435">AR5748*0.1</f>
        <v>40000</v>
      </c>
      <c r="AU5748" s="119"/>
      <c r="AV5748" s="118">
        <v>8860</v>
      </c>
      <c r="AW5748" s="119"/>
      <c r="AX5748" s="118">
        <f t="shared" ref="AX5748" si="7436">SUM(AR5748:AW5748)</f>
        <v>448860</v>
      </c>
      <c r="AY5748" s="119"/>
      <c r="AZ5748" s="137">
        <v>46091</v>
      </c>
    </row>
    <row r="5749" spans="1:52" ht="17.100000000000001" customHeight="1" thickBot="1">
      <c r="A5749" s="110"/>
      <c r="B5749" s="27" t="s">
        <v>1718</v>
      </c>
      <c r="C5749" s="27" t="s">
        <v>16757</v>
      </c>
      <c r="D5749" s="14" t="s">
        <v>2040</v>
      </c>
      <c r="E5749" s="112"/>
      <c r="F5749" s="139" t="s">
        <v>16756</v>
      </c>
      <c r="G5749" s="140"/>
      <c r="H5749" s="141"/>
      <c r="I5749" s="26">
        <v>49364</v>
      </c>
      <c r="J5749" s="117"/>
      <c r="K5749" s="120"/>
      <c r="L5749" s="121"/>
      <c r="M5749" s="120"/>
      <c r="N5749" s="121"/>
      <c r="O5749" s="120"/>
      <c r="P5749" s="121"/>
      <c r="Q5749" s="120"/>
      <c r="R5749" s="121"/>
      <c r="S5749" s="120"/>
      <c r="T5749" s="121"/>
      <c r="U5749" s="120"/>
      <c r="V5749" s="123"/>
      <c r="W5749" s="125"/>
      <c r="X5749" s="142" t="s">
        <v>18367</v>
      </c>
      <c r="Y5749" s="143"/>
      <c r="Z5749" s="143"/>
      <c r="AA5749" s="143"/>
      <c r="AB5749" s="144"/>
      <c r="AC5749" s="16" t="s">
        <v>21</v>
      </c>
      <c r="AD5749" s="17" t="s">
        <v>18305</v>
      </c>
      <c r="AE5749" s="145" t="s">
        <v>19166</v>
      </c>
      <c r="AF5749" s="146"/>
      <c r="AG5749" s="146"/>
      <c r="AH5749" s="146"/>
      <c r="AI5749" s="147"/>
      <c r="AJ5749" s="148"/>
      <c r="AK5749" s="143"/>
      <c r="AL5749" s="144"/>
      <c r="AM5749" s="22"/>
      <c r="AN5749" s="149" t="s">
        <v>2511</v>
      </c>
      <c r="AO5749" s="144"/>
      <c r="AP5749" s="148">
        <v>65388</v>
      </c>
      <c r="AQ5749" s="144"/>
      <c r="AR5749" s="120"/>
      <c r="AS5749" s="121"/>
      <c r="AT5749" s="120"/>
      <c r="AU5749" s="121"/>
      <c r="AV5749" s="120"/>
      <c r="AW5749" s="121"/>
      <c r="AX5749" s="120"/>
      <c r="AY5749" s="121"/>
      <c r="AZ5749" s="138"/>
    </row>
    <row r="5750" spans="1:52" ht="17.100000000000001" customHeight="1" thickTop="1">
      <c r="A5750" s="151" t="s">
        <v>16767</v>
      </c>
      <c r="B5750" s="28">
        <v>46055</v>
      </c>
      <c r="C5750" s="25"/>
      <c r="D5750" s="13" t="s">
        <v>1825</v>
      </c>
      <c r="E5750" s="111"/>
      <c r="F5750" s="113" t="s">
        <v>16753</v>
      </c>
      <c r="G5750" s="114"/>
      <c r="H5750" s="115"/>
      <c r="I5750" s="24" t="s">
        <v>13876</v>
      </c>
      <c r="J5750" s="116">
        <v>4</v>
      </c>
      <c r="K5750" s="118">
        <f>3448500/1.1</f>
        <v>3134999.9999999995</v>
      </c>
      <c r="L5750" s="119"/>
      <c r="M5750" s="118">
        <f t="shared" ref="M5750" si="7437">K5750*0.1</f>
        <v>313499.99999999994</v>
      </c>
      <c r="N5750" s="119"/>
      <c r="O5750" s="118">
        <v>3600</v>
      </c>
      <c r="P5750" s="119"/>
      <c r="Q5750" s="118">
        <v>18470</v>
      </c>
      <c r="R5750" s="119"/>
      <c r="S5750" s="118">
        <v>0</v>
      </c>
      <c r="T5750" s="119"/>
      <c r="U5750" s="118">
        <f t="shared" ref="U5750" si="7438">SUM(K5750:T5751)</f>
        <v>3470569.9999999995</v>
      </c>
      <c r="V5750" s="122"/>
      <c r="W5750" s="124"/>
      <c r="X5750" s="126"/>
      <c r="Y5750" s="127"/>
      <c r="Z5750" s="127"/>
      <c r="AA5750" s="127"/>
      <c r="AB5750" s="128"/>
      <c r="AC5750" s="15" t="s">
        <v>20</v>
      </c>
      <c r="AD5750" s="129" t="s">
        <v>1945</v>
      </c>
      <c r="AE5750" s="130"/>
      <c r="AF5750" s="130"/>
      <c r="AG5750" s="130"/>
      <c r="AH5750" s="130"/>
      <c r="AI5750" s="131"/>
      <c r="AJ5750" s="132" t="s">
        <v>8040</v>
      </c>
      <c r="AK5750" s="127"/>
      <c r="AL5750" s="128"/>
      <c r="AM5750" s="21"/>
      <c r="AN5750" s="133"/>
      <c r="AO5750" s="134"/>
      <c r="AP5750" s="135"/>
      <c r="AQ5750" s="136"/>
      <c r="AR5750" s="118"/>
      <c r="AS5750" s="119"/>
      <c r="AT5750" s="118">
        <f t="shared" ref="AT5750" si="7439">AR5750*0.1</f>
        <v>0</v>
      </c>
      <c r="AU5750" s="119"/>
      <c r="AV5750" s="118"/>
      <c r="AW5750" s="119"/>
      <c r="AX5750" s="118">
        <f t="shared" ref="AX5750" si="7440">SUM(AR5750:AW5750)</f>
        <v>0</v>
      </c>
      <c r="AY5750" s="119"/>
      <c r="AZ5750" s="137"/>
    </row>
    <row r="5751" spans="1:52" ht="17.100000000000001" customHeight="1" thickBot="1">
      <c r="A5751" s="152"/>
      <c r="B5751" s="27" t="s">
        <v>1718</v>
      </c>
      <c r="C5751" s="27" t="s">
        <v>16751</v>
      </c>
      <c r="D5751" s="14" t="s">
        <v>1592</v>
      </c>
      <c r="E5751" s="112"/>
      <c r="F5751" s="139" t="s">
        <v>16752</v>
      </c>
      <c r="G5751" s="140"/>
      <c r="H5751" s="141"/>
      <c r="I5751" s="26">
        <v>48536</v>
      </c>
      <c r="J5751" s="117"/>
      <c r="K5751" s="120"/>
      <c r="L5751" s="121"/>
      <c r="M5751" s="120"/>
      <c r="N5751" s="121"/>
      <c r="O5751" s="120"/>
      <c r="P5751" s="121"/>
      <c r="Q5751" s="120"/>
      <c r="R5751" s="121"/>
      <c r="S5751" s="120"/>
      <c r="T5751" s="121"/>
      <c r="U5751" s="120"/>
      <c r="V5751" s="123"/>
      <c r="W5751" s="125"/>
      <c r="X5751" s="142"/>
      <c r="Y5751" s="143"/>
      <c r="Z5751" s="143"/>
      <c r="AA5751" s="143"/>
      <c r="AB5751" s="144"/>
      <c r="AC5751" s="16" t="s">
        <v>21</v>
      </c>
      <c r="AD5751" s="17" t="s">
        <v>10540</v>
      </c>
      <c r="AE5751" s="145" t="s">
        <v>18500</v>
      </c>
      <c r="AF5751" s="146"/>
      <c r="AG5751" s="146"/>
      <c r="AH5751" s="146"/>
      <c r="AI5751" s="147"/>
      <c r="AJ5751" s="148"/>
      <c r="AK5751" s="143"/>
      <c r="AL5751" s="144"/>
      <c r="AM5751" s="22"/>
      <c r="AN5751" s="149"/>
      <c r="AO5751" s="144"/>
      <c r="AP5751" s="148"/>
      <c r="AQ5751" s="144"/>
      <c r="AR5751" s="120"/>
      <c r="AS5751" s="121"/>
      <c r="AT5751" s="120"/>
      <c r="AU5751" s="121"/>
      <c r="AV5751" s="120"/>
      <c r="AW5751" s="121"/>
      <c r="AX5751" s="120"/>
      <c r="AY5751" s="121"/>
      <c r="AZ5751" s="138"/>
    </row>
    <row r="5752" spans="1:52" ht="17.100000000000001" customHeight="1" thickTop="1">
      <c r="A5752" s="109" t="s">
        <v>16815</v>
      </c>
      <c r="B5752" s="28">
        <v>46056</v>
      </c>
      <c r="C5752" s="25">
        <v>1079</v>
      </c>
      <c r="D5752" s="13" t="s">
        <v>4609</v>
      </c>
      <c r="E5752" s="111"/>
      <c r="F5752" s="113" t="s">
        <v>16821</v>
      </c>
      <c r="G5752" s="114"/>
      <c r="H5752" s="115"/>
      <c r="I5752" s="24" t="s">
        <v>8658</v>
      </c>
      <c r="J5752" s="116">
        <v>4</v>
      </c>
      <c r="K5752" s="118">
        <v>365000</v>
      </c>
      <c r="L5752" s="119"/>
      <c r="M5752" s="118">
        <f t="shared" ref="M5752" si="7441">K5752*0.1</f>
        <v>36500</v>
      </c>
      <c r="N5752" s="119"/>
      <c r="O5752" s="118">
        <v>3080</v>
      </c>
      <c r="P5752" s="119"/>
      <c r="Q5752" s="118">
        <v>14580</v>
      </c>
      <c r="R5752" s="119"/>
      <c r="S5752" s="118">
        <v>16500</v>
      </c>
      <c r="T5752" s="119"/>
      <c r="U5752" s="118">
        <f t="shared" ref="U5752" si="7442">SUM(K5752:T5753)</f>
        <v>435660</v>
      </c>
      <c r="V5752" s="122"/>
      <c r="W5752" s="124"/>
      <c r="X5752" s="126" t="s">
        <v>16823</v>
      </c>
      <c r="Y5752" s="127"/>
      <c r="Z5752" s="127"/>
      <c r="AA5752" s="127"/>
      <c r="AB5752" s="128"/>
      <c r="AC5752" s="15" t="s">
        <v>20</v>
      </c>
      <c r="AD5752" s="129" t="s">
        <v>16288</v>
      </c>
      <c r="AE5752" s="130"/>
      <c r="AF5752" s="130"/>
      <c r="AG5752" s="130"/>
      <c r="AH5752" s="130"/>
      <c r="AI5752" s="131"/>
      <c r="AJ5752" s="132"/>
      <c r="AK5752" s="127"/>
      <c r="AL5752" s="128"/>
      <c r="AM5752" s="21"/>
      <c r="AN5752" s="133">
        <v>46067</v>
      </c>
      <c r="AO5752" s="134"/>
      <c r="AP5752" s="135">
        <v>1288</v>
      </c>
      <c r="AQ5752" s="136"/>
      <c r="AR5752" s="118">
        <v>500000</v>
      </c>
      <c r="AS5752" s="119"/>
      <c r="AT5752" s="118">
        <f t="shared" ref="AT5752" si="7443">AR5752*0.1</f>
        <v>50000</v>
      </c>
      <c r="AU5752" s="119"/>
      <c r="AV5752" s="118">
        <v>14580</v>
      </c>
      <c r="AW5752" s="119"/>
      <c r="AX5752" s="118">
        <f t="shared" ref="AX5752" si="7444">SUM(AR5752:AW5752)</f>
        <v>564580</v>
      </c>
      <c r="AY5752" s="119"/>
      <c r="AZ5752" s="137">
        <v>46072</v>
      </c>
    </row>
    <row r="5753" spans="1:52" ht="17.100000000000001" customHeight="1" thickBot="1">
      <c r="A5753" s="110"/>
      <c r="B5753" s="27" t="s">
        <v>1591</v>
      </c>
      <c r="C5753" s="27">
        <v>84155</v>
      </c>
      <c r="D5753" s="14" t="s">
        <v>1720</v>
      </c>
      <c r="E5753" s="112"/>
      <c r="F5753" s="139" t="s">
        <v>16822</v>
      </c>
      <c r="G5753" s="140"/>
      <c r="H5753" s="141"/>
      <c r="I5753" s="26">
        <v>48116</v>
      </c>
      <c r="J5753" s="117"/>
      <c r="K5753" s="120"/>
      <c r="L5753" s="121"/>
      <c r="M5753" s="120"/>
      <c r="N5753" s="121"/>
      <c r="O5753" s="120"/>
      <c r="P5753" s="121"/>
      <c r="Q5753" s="120"/>
      <c r="R5753" s="121"/>
      <c r="S5753" s="120"/>
      <c r="T5753" s="121"/>
      <c r="U5753" s="120"/>
      <c r="V5753" s="123"/>
      <c r="W5753" s="125"/>
      <c r="X5753" s="142" t="s">
        <v>17514</v>
      </c>
      <c r="Y5753" s="143"/>
      <c r="Z5753" s="143"/>
      <c r="AA5753" s="143"/>
      <c r="AB5753" s="144"/>
      <c r="AC5753" s="16" t="s">
        <v>21</v>
      </c>
      <c r="AD5753" s="17" t="s">
        <v>2187</v>
      </c>
      <c r="AE5753" s="145" t="s">
        <v>17515</v>
      </c>
      <c r="AF5753" s="146"/>
      <c r="AG5753" s="146"/>
      <c r="AH5753" s="146"/>
      <c r="AI5753" s="147"/>
      <c r="AJ5753" s="148"/>
      <c r="AK5753" s="143"/>
      <c r="AL5753" s="144"/>
      <c r="AM5753" s="22"/>
      <c r="AN5753" s="149" t="s">
        <v>6748</v>
      </c>
      <c r="AO5753" s="144"/>
      <c r="AP5753" s="148">
        <v>80014</v>
      </c>
      <c r="AQ5753" s="144"/>
      <c r="AR5753" s="120"/>
      <c r="AS5753" s="121"/>
      <c r="AT5753" s="120"/>
      <c r="AU5753" s="121"/>
      <c r="AV5753" s="120"/>
      <c r="AW5753" s="121"/>
      <c r="AX5753" s="120"/>
      <c r="AY5753" s="121"/>
      <c r="AZ5753" s="138"/>
    </row>
    <row r="5754" spans="1:52" ht="17.100000000000001" customHeight="1" thickTop="1">
      <c r="A5754" s="109" t="s">
        <v>16816</v>
      </c>
      <c r="B5754" s="28">
        <v>46056</v>
      </c>
      <c r="C5754" s="25">
        <v>976</v>
      </c>
      <c r="D5754" s="13" t="s">
        <v>2066</v>
      </c>
      <c r="E5754" s="111"/>
      <c r="F5754" s="113" t="s">
        <v>15974</v>
      </c>
      <c r="G5754" s="114"/>
      <c r="H5754" s="115"/>
      <c r="I5754" s="24"/>
      <c r="J5754" s="116">
        <v>4</v>
      </c>
      <c r="K5754" s="118">
        <v>1068000</v>
      </c>
      <c r="L5754" s="119"/>
      <c r="M5754" s="118">
        <f t="shared" ref="M5754" si="7445">K5754*0.1</f>
        <v>106800</v>
      </c>
      <c r="N5754" s="119"/>
      <c r="O5754" s="118">
        <v>0</v>
      </c>
      <c r="P5754" s="119"/>
      <c r="Q5754" s="118">
        <v>8550</v>
      </c>
      <c r="R5754" s="119"/>
      <c r="S5754" s="118">
        <v>22000</v>
      </c>
      <c r="T5754" s="119"/>
      <c r="U5754" s="118">
        <f t="shared" ref="U5754" si="7446">SUM(K5754:T5755)</f>
        <v>1205350</v>
      </c>
      <c r="V5754" s="122"/>
      <c r="W5754" s="124"/>
      <c r="X5754" s="126" t="s">
        <v>17790</v>
      </c>
      <c r="Y5754" s="127"/>
      <c r="Z5754" s="127"/>
      <c r="AA5754" s="127"/>
      <c r="AB5754" s="128"/>
      <c r="AC5754" s="15" t="s">
        <v>20</v>
      </c>
      <c r="AD5754" s="129" t="s">
        <v>1670</v>
      </c>
      <c r="AE5754" s="130"/>
      <c r="AF5754" s="130"/>
      <c r="AG5754" s="130"/>
      <c r="AH5754" s="130"/>
      <c r="AI5754" s="131"/>
      <c r="AJ5754" s="132"/>
      <c r="AK5754" s="127"/>
      <c r="AL5754" s="128"/>
      <c r="AM5754" s="21"/>
      <c r="AN5754" s="133"/>
      <c r="AO5754" s="134"/>
      <c r="AP5754" s="135"/>
      <c r="AQ5754" s="136"/>
      <c r="AR5754" s="118"/>
      <c r="AS5754" s="119"/>
      <c r="AT5754" s="118">
        <f t="shared" ref="AT5754" si="7447">AR5754*0.1</f>
        <v>0</v>
      </c>
      <c r="AU5754" s="119"/>
      <c r="AV5754" s="118"/>
      <c r="AW5754" s="119"/>
      <c r="AX5754" s="118">
        <f t="shared" ref="AX5754" si="7448">SUM(AR5754:AW5754)</f>
        <v>0</v>
      </c>
      <c r="AY5754" s="119"/>
      <c r="AZ5754" s="137"/>
    </row>
    <row r="5755" spans="1:52" ht="17.100000000000001" customHeight="1" thickBot="1">
      <c r="A5755" s="110"/>
      <c r="B5755" s="27" t="s">
        <v>16301</v>
      </c>
      <c r="C5755" s="27">
        <v>28</v>
      </c>
      <c r="D5755" s="14" t="s">
        <v>2601</v>
      </c>
      <c r="E5755" s="112"/>
      <c r="F5755" s="139" t="s">
        <v>16824</v>
      </c>
      <c r="G5755" s="140"/>
      <c r="H5755" s="141"/>
      <c r="I5755" s="26">
        <v>20156</v>
      </c>
      <c r="J5755" s="117"/>
      <c r="K5755" s="120"/>
      <c r="L5755" s="121"/>
      <c r="M5755" s="120"/>
      <c r="N5755" s="121"/>
      <c r="O5755" s="120"/>
      <c r="P5755" s="121"/>
      <c r="Q5755" s="120"/>
      <c r="R5755" s="121"/>
      <c r="S5755" s="120"/>
      <c r="T5755" s="121"/>
      <c r="U5755" s="120"/>
      <c r="V5755" s="123"/>
      <c r="W5755" s="125"/>
      <c r="X5755" s="142" t="s">
        <v>2482</v>
      </c>
      <c r="Y5755" s="143"/>
      <c r="Z5755" s="143"/>
      <c r="AA5755" s="143"/>
      <c r="AB5755" s="144"/>
      <c r="AC5755" s="16" t="s">
        <v>21</v>
      </c>
      <c r="AD5755" s="17" t="s">
        <v>17777</v>
      </c>
      <c r="AE5755" s="145" t="s">
        <v>9947</v>
      </c>
      <c r="AF5755" s="146"/>
      <c r="AG5755" s="146"/>
      <c r="AH5755" s="146"/>
      <c r="AI5755" s="147"/>
      <c r="AJ5755" s="148"/>
      <c r="AK5755" s="143"/>
      <c r="AL5755" s="144"/>
      <c r="AM5755" s="22"/>
      <c r="AN5755" s="149"/>
      <c r="AO5755" s="144"/>
      <c r="AP5755" s="148"/>
      <c r="AQ5755" s="144"/>
      <c r="AR5755" s="120"/>
      <c r="AS5755" s="121"/>
      <c r="AT5755" s="120"/>
      <c r="AU5755" s="121"/>
      <c r="AV5755" s="120"/>
      <c r="AW5755" s="121"/>
      <c r="AX5755" s="120"/>
      <c r="AY5755" s="121"/>
      <c r="AZ5755" s="138"/>
    </row>
    <row r="5756" spans="1:52" ht="17.100000000000001" customHeight="1" thickTop="1">
      <c r="A5756" s="109" t="s">
        <v>16817</v>
      </c>
      <c r="B5756" s="28">
        <v>46056</v>
      </c>
      <c r="C5756" s="25">
        <v>1927</v>
      </c>
      <c r="D5756" s="13" t="s">
        <v>3296</v>
      </c>
      <c r="E5756" s="111"/>
      <c r="F5756" s="113" t="s">
        <v>16834</v>
      </c>
      <c r="G5756" s="114"/>
      <c r="H5756" s="115"/>
      <c r="I5756" s="24" t="s">
        <v>2976</v>
      </c>
      <c r="J5756" s="116">
        <v>4</v>
      </c>
      <c r="K5756" s="118">
        <v>1157000</v>
      </c>
      <c r="L5756" s="119"/>
      <c r="M5756" s="118">
        <f t="shared" ref="M5756" si="7449">K5756*0.1</f>
        <v>115700</v>
      </c>
      <c r="N5756" s="119"/>
      <c r="O5756" s="118">
        <v>3520</v>
      </c>
      <c r="P5756" s="119"/>
      <c r="Q5756" s="118">
        <v>12470</v>
      </c>
      <c r="R5756" s="119"/>
      <c r="S5756" s="118">
        <v>15950</v>
      </c>
      <c r="T5756" s="119"/>
      <c r="U5756" s="118">
        <f t="shared" ref="U5756" si="7450">SUM(K5756:T5757)</f>
        <v>1304640</v>
      </c>
      <c r="V5756" s="122"/>
      <c r="W5756" s="124"/>
      <c r="X5756" s="126" t="s">
        <v>16860</v>
      </c>
      <c r="Y5756" s="127"/>
      <c r="Z5756" s="127"/>
      <c r="AA5756" s="127"/>
      <c r="AB5756" s="128"/>
      <c r="AC5756" s="15" t="s">
        <v>20</v>
      </c>
      <c r="AD5756" s="129" t="s">
        <v>16861</v>
      </c>
      <c r="AE5756" s="130"/>
      <c r="AF5756" s="130"/>
      <c r="AG5756" s="130"/>
      <c r="AH5756" s="130"/>
      <c r="AI5756" s="131"/>
      <c r="AJ5756" s="132"/>
      <c r="AK5756" s="127"/>
      <c r="AL5756" s="128"/>
      <c r="AM5756" s="21"/>
      <c r="AN5756" s="133">
        <v>46081</v>
      </c>
      <c r="AO5756" s="134"/>
      <c r="AP5756" s="135">
        <v>1290</v>
      </c>
      <c r="AQ5756" s="136"/>
      <c r="AR5756" s="118">
        <v>1250000</v>
      </c>
      <c r="AS5756" s="119"/>
      <c r="AT5756" s="118">
        <f t="shared" ref="AT5756" si="7451">AR5756*0.1</f>
        <v>125000</v>
      </c>
      <c r="AU5756" s="119"/>
      <c r="AV5756" s="118">
        <v>12470</v>
      </c>
      <c r="AW5756" s="119"/>
      <c r="AX5756" s="118">
        <f t="shared" ref="AX5756" si="7452">SUM(AR5756:AW5756)</f>
        <v>1387470</v>
      </c>
      <c r="AY5756" s="119"/>
      <c r="AZ5756" s="137">
        <v>46084</v>
      </c>
    </row>
    <row r="5757" spans="1:52" ht="17.100000000000001" customHeight="1" thickBot="1">
      <c r="A5757" s="110"/>
      <c r="B5757" s="27" t="s">
        <v>2131</v>
      </c>
      <c r="C5757" s="27">
        <v>184</v>
      </c>
      <c r="D5757" s="14" t="s">
        <v>275</v>
      </c>
      <c r="E5757" s="112"/>
      <c r="F5757" s="139" t="s">
        <v>16835</v>
      </c>
      <c r="G5757" s="140"/>
      <c r="H5757" s="141"/>
      <c r="I5757" s="26">
        <v>96947</v>
      </c>
      <c r="J5757" s="117"/>
      <c r="K5757" s="120"/>
      <c r="L5757" s="121"/>
      <c r="M5757" s="120"/>
      <c r="N5757" s="121"/>
      <c r="O5757" s="120"/>
      <c r="P5757" s="121"/>
      <c r="Q5757" s="120"/>
      <c r="R5757" s="121"/>
      <c r="S5757" s="120"/>
      <c r="T5757" s="121"/>
      <c r="U5757" s="120"/>
      <c r="V5757" s="123"/>
      <c r="W5757" s="125"/>
      <c r="X5757" s="142" t="s">
        <v>8254</v>
      </c>
      <c r="Y5757" s="143"/>
      <c r="Z5757" s="143"/>
      <c r="AA5757" s="143"/>
      <c r="AB5757" s="144"/>
      <c r="AC5757" s="16" t="s">
        <v>21</v>
      </c>
      <c r="AD5757" s="17" t="s">
        <v>2187</v>
      </c>
      <c r="AE5757" s="145" t="s">
        <v>17524</v>
      </c>
      <c r="AF5757" s="146"/>
      <c r="AG5757" s="146"/>
      <c r="AH5757" s="146"/>
      <c r="AI5757" s="147"/>
      <c r="AJ5757" s="148"/>
      <c r="AK5757" s="143"/>
      <c r="AL5757" s="144"/>
      <c r="AM5757" s="22"/>
      <c r="AN5757" s="149" t="s">
        <v>2511</v>
      </c>
      <c r="AO5757" s="144"/>
      <c r="AP5757" s="148">
        <v>50171</v>
      </c>
      <c r="AQ5757" s="144"/>
      <c r="AR5757" s="120"/>
      <c r="AS5757" s="121"/>
      <c r="AT5757" s="120"/>
      <c r="AU5757" s="121"/>
      <c r="AV5757" s="120"/>
      <c r="AW5757" s="121"/>
      <c r="AX5757" s="120"/>
      <c r="AY5757" s="121"/>
      <c r="AZ5757" s="138"/>
    </row>
    <row r="5758" spans="1:52" ht="17.100000000000001" customHeight="1" thickTop="1">
      <c r="A5758" s="109" t="s">
        <v>16818</v>
      </c>
      <c r="B5758" s="28">
        <v>46056</v>
      </c>
      <c r="C5758" s="25">
        <v>1927</v>
      </c>
      <c r="D5758" s="13" t="s">
        <v>1902</v>
      </c>
      <c r="E5758" s="111"/>
      <c r="F5758" s="113" t="s">
        <v>15853</v>
      </c>
      <c r="G5758" s="114"/>
      <c r="H5758" s="115"/>
      <c r="I5758" s="24"/>
      <c r="J5758" s="116">
        <v>4</v>
      </c>
      <c r="K5758" s="118">
        <v>820000</v>
      </c>
      <c r="L5758" s="119"/>
      <c r="M5758" s="118">
        <f t="shared" ref="M5758" si="7453">K5758*0.1</f>
        <v>82000</v>
      </c>
      <c r="N5758" s="119"/>
      <c r="O5758" s="118">
        <v>0</v>
      </c>
      <c r="P5758" s="119"/>
      <c r="Q5758" s="118">
        <v>8390</v>
      </c>
      <c r="R5758" s="119"/>
      <c r="S5758" s="118">
        <v>15950</v>
      </c>
      <c r="T5758" s="119"/>
      <c r="U5758" s="118">
        <f t="shared" ref="U5758" si="7454">SUM(K5758:T5759)</f>
        <v>926340</v>
      </c>
      <c r="V5758" s="122"/>
      <c r="W5758" s="124"/>
      <c r="X5758" s="126" t="s">
        <v>17518</v>
      </c>
      <c r="Y5758" s="127"/>
      <c r="Z5758" s="127"/>
      <c r="AA5758" s="127"/>
      <c r="AB5758" s="128"/>
      <c r="AC5758" s="15" t="s">
        <v>20</v>
      </c>
      <c r="AD5758" s="129"/>
      <c r="AE5758" s="130"/>
      <c r="AF5758" s="130"/>
      <c r="AG5758" s="130"/>
      <c r="AH5758" s="130"/>
      <c r="AI5758" s="131"/>
      <c r="AJ5758" s="132"/>
      <c r="AK5758" s="127"/>
      <c r="AL5758" s="128"/>
      <c r="AM5758" s="21"/>
      <c r="AN5758" s="133">
        <v>46060</v>
      </c>
      <c r="AO5758" s="134"/>
      <c r="AP5758" s="135">
        <v>1287</v>
      </c>
      <c r="AQ5758" s="136"/>
      <c r="AR5758" s="118">
        <v>900000</v>
      </c>
      <c r="AS5758" s="119"/>
      <c r="AT5758" s="118">
        <f t="shared" ref="AT5758" si="7455">AR5758*0.1</f>
        <v>90000</v>
      </c>
      <c r="AU5758" s="119"/>
      <c r="AV5758" s="118">
        <v>8390</v>
      </c>
      <c r="AW5758" s="119"/>
      <c r="AX5758" s="118">
        <f t="shared" ref="AX5758" si="7456">SUM(AR5758:AW5758)</f>
        <v>998390</v>
      </c>
      <c r="AY5758" s="119"/>
      <c r="AZ5758" s="137">
        <v>46065</v>
      </c>
    </row>
    <row r="5759" spans="1:52" ht="17.100000000000001" customHeight="1" thickBot="1">
      <c r="A5759" s="110"/>
      <c r="B5759" s="27" t="s">
        <v>2131</v>
      </c>
      <c r="C5759" s="27">
        <v>3007</v>
      </c>
      <c r="D5759" s="14" t="s">
        <v>275</v>
      </c>
      <c r="E5759" s="112"/>
      <c r="F5759" s="139" t="s">
        <v>16836</v>
      </c>
      <c r="G5759" s="140"/>
      <c r="H5759" s="141"/>
      <c r="I5759" s="26">
        <v>77676</v>
      </c>
      <c r="J5759" s="117"/>
      <c r="K5759" s="120"/>
      <c r="L5759" s="121"/>
      <c r="M5759" s="120"/>
      <c r="N5759" s="121"/>
      <c r="O5759" s="120"/>
      <c r="P5759" s="121"/>
      <c r="Q5759" s="120"/>
      <c r="R5759" s="121"/>
      <c r="S5759" s="120"/>
      <c r="T5759" s="121"/>
      <c r="U5759" s="120"/>
      <c r="V5759" s="123"/>
      <c r="W5759" s="125"/>
      <c r="X5759" s="142" t="s">
        <v>12378</v>
      </c>
      <c r="Y5759" s="143"/>
      <c r="Z5759" s="143"/>
      <c r="AA5759" s="143"/>
      <c r="AB5759" s="144"/>
      <c r="AC5759" s="16" t="s">
        <v>21</v>
      </c>
      <c r="AD5759" s="17" t="s">
        <v>2187</v>
      </c>
      <c r="AE5759" s="145"/>
      <c r="AF5759" s="146"/>
      <c r="AG5759" s="146"/>
      <c r="AH5759" s="146"/>
      <c r="AI5759" s="147"/>
      <c r="AJ5759" s="148"/>
      <c r="AK5759" s="143"/>
      <c r="AL5759" s="144"/>
      <c r="AM5759" s="22"/>
      <c r="AN5759" s="149" t="s">
        <v>2511</v>
      </c>
      <c r="AO5759" s="144"/>
      <c r="AP5759" s="148">
        <v>60440</v>
      </c>
      <c r="AQ5759" s="144"/>
      <c r="AR5759" s="120"/>
      <c r="AS5759" s="121"/>
      <c r="AT5759" s="120"/>
      <c r="AU5759" s="121"/>
      <c r="AV5759" s="120"/>
      <c r="AW5759" s="121"/>
      <c r="AX5759" s="120"/>
      <c r="AY5759" s="121"/>
      <c r="AZ5759" s="138"/>
    </row>
    <row r="5760" spans="1:52" ht="17.100000000000001" customHeight="1" thickTop="1">
      <c r="A5760" s="109" t="s">
        <v>16819</v>
      </c>
      <c r="B5760" s="28">
        <v>46056</v>
      </c>
      <c r="C5760" s="25">
        <v>1927</v>
      </c>
      <c r="D5760" s="13" t="s">
        <v>2359</v>
      </c>
      <c r="E5760" s="111"/>
      <c r="F5760" s="113" t="s">
        <v>16837</v>
      </c>
      <c r="G5760" s="114"/>
      <c r="H5760" s="115"/>
      <c r="I5760" s="24"/>
      <c r="J5760" s="116">
        <v>4</v>
      </c>
      <c r="K5760" s="118">
        <v>786000</v>
      </c>
      <c r="L5760" s="119"/>
      <c r="M5760" s="118">
        <f t="shared" ref="M5760" si="7457">K5760*0.1</f>
        <v>78600</v>
      </c>
      <c r="N5760" s="119"/>
      <c r="O5760" s="118">
        <v>0</v>
      </c>
      <c r="P5760" s="119"/>
      <c r="Q5760" s="118">
        <v>12270</v>
      </c>
      <c r="R5760" s="119"/>
      <c r="S5760" s="118">
        <v>15950</v>
      </c>
      <c r="T5760" s="119"/>
      <c r="U5760" s="118">
        <f t="shared" ref="U5760" si="7458">SUM(K5760:T5761)</f>
        <v>892820</v>
      </c>
      <c r="V5760" s="122"/>
      <c r="W5760" s="124"/>
      <c r="X5760" s="126" t="s">
        <v>17674</v>
      </c>
      <c r="Y5760" s="127"/>
      <c r="Z5760" s="127"/>
      <c r="AA5760" s="127"/>
      <c r="AB5760" s="128"/>
      <c r="AC5760" s="15" t="s">
        <v>20</v>
      </c>
      <c r="AD5760" s="129" t="s">
        <v>16862</v>
      </c>
      <c r="AE5760" s="130"/>
      <c r="AF5760" s="130"/>
      <c r="AG5760" s="130"/>
      <c r="AH5760" s="130"/>
      <c r="AI5760" s="131"/>
      <c r="AJ5760" s="132"/>
      <c r="AK5760" s="127"/>
      <c r="AL5760" s="128"/>
      <c r="AM5760" s="21"/>
      <c r="AN5760" s="133">
        <v>46095</v>
      </c>
      <c r="AO5760" s="134"/>
      <c r="AP5760" s="135">
        <v>1292</v>
      </c>
      <c r="AQ5760" s="136"/>
      <c r="AR5760" s="118">
        <v>850000</v>
      </c>
      <c r="AS5760" s="119"/>
      <c r="AT5760" s="118">
        <f t="shared" ref="AT5760" si="7459">AR5760*0.1</f>
        <v>85000</v>
      </c>
      <c r="AU5760" s="119"/>
      <c r="AV5760" s="118">
        <v>12270</v>
      </c>
      <c r="AW5760" s="119"/>
      <c r="AX5760" s="118">
        <f t="shared" ref="AX5760" si="7460">SUM(AR5760:AW5760)</f>
        <v>947270</v>
      </c>
      <c r="AY5760" s="119"/>
      <c r="AZ5760" s="137">
        <v>46098</v>
      </c>
    </row>
    <row r="5761" spans="1:52" ht="17.100000000000001" customHeight="1" thickBot="1">
      <c r="A5761" s="110"/>
      <c r="B5761" s="27" t="s">
        <v>2131</v>
      </c>
      <c r="C5761" s="27">
        <v>5029</v>
      </c>
      <c r="D5761" s="14" t="s">
        <v>904</v>
      </c>
      <c r="E5761" s="112"/>
      <c r="F5761" s="139" t="s">
        <v>17683</v>
      </c>
      <c r="G5761" s="140"/>
      <c r="H5761" s="141"/>
      <c r="I5761" s="26">
        <v>56771</v>
      </c>
      <c r="J5761" s="117"/>
      <c r="K5761" s="120"/>
      <c r="L5761" s="121"/>
      <c r="M5761" s="120"/>
      <c r="N5761" s="121"/>
      <c r="O5761" s="120"/>
      <c r="P5761" s="121"/>
      <c r="Q5761" s="120"/>
      <c r="R5761" s="121"/>
      <c r="S5761" s="120"/>
      <c r="T5761" s="121"/>
      <c r="U5761" s="120"/>
      <c r="V5761" s="123"/>
      <c r="W5761" s="125"/>
      <c r="X5761" s="142" t="s">
        <v>17675</v>
      </c>
      <c r="Y5761" s="143"/>
      <c r="Z5761" s="143"/>
      <c r="AA5761" s="143"/>
      <c r="AB5761" s="144"/>
      <c r="AC5761" s="16" t="s">
        <v>21</v>
      </c>
      <c r="AD5761" s="17" t="s">
        <v>2298</v>
      </c>
      <c r="AE5761" s="145" t="s">
        <v>1742</v>
      </c>
      <c r="AF5761" s="146"/>
      <c r="AG5761" s="146"/>
      <c r="AH5761" s="146"/>
      <c r="AI5761" s="147"/>
      <c r="AJ5761" s="148"/>
      <c r="AK5761" s="143"/>
      <c r="AL5761" s="144"/>
      <c r="AM5761" s="22"/>
      <c r="AN5761" s="149" t="s">
        <v>2511</v>
      </c>
      <c r="AO5761" s="144"/>
      <c r="AP5761" s="148">
        <v>80149</v>
      </c>
      <c r="AQ5761" s="144"/>
      <c r="AR5761" s="120"/>
      <c r="AS5761" s="121"/>
      <c r="AT5761" s="120"/>
      <c r="AU5761" s="121"/>
      <c r="AV5761" s="120"/>
      <c r="AW5761" s="121"/>
      <c r="AX5761" s="120"/>
      <c r="AY5761" s="121"/>
      <c r="AZ5761" s="138"/>
    </row>
    <row r="5762" spans="1:52" ht="17.100000000000001" customHeight="1" thickTop="1">
      <c r="A5762" s="109" t="s">
        <v>16820</v>
      </c>
      <c r="B5762" s="28">
        <v>46056</v>
      </c>
      <c r="C5762" s="25">
        <v>1927</v>
      </c>
      <c r="D5762" s="13" t="s">
        <v>3461</v>
      </c>
      <c r="E5762" s="111"/>
      <c r="F5762" s="113" t="s">
        <v>16838</v>
      </c>
      <c r="G5762" s="114"/>
      <c r="H5762" s="115"/>
      <c r="I5762" s="24"/>
      <c r="J5762" s="116">
        <v>5</v>
      </c>
      <c r="K5762" s="118">
        <v>1343000</v>
      </c>
      <c r="L5762" s="119"/>
      <c r="M5762" s="118">
        <f t="shared" ref="M5762" si="7461">K5762*0.1</f>
        <v>134300</v>
      </c>
      <c r="N5762" s="119"/>
      <c r="O5762" s="118">
        <v>0</v>
      </c>
      <c r="P5762" s="119"/>
      <c r="Q5762" s="118">
        <v>6850</v>
      </c>
      <c r="R5762" s="119"/>
      <c r="S5762" s="118">
        <v>15950</v>
      </c>
      <c r="T5762" s="119"/>
      <c r="U5762" s="118">
        <f t="shared" ref="U5762" si="7462">SUM(K5762:T5763)</f>
        <v>1500100</v>
      </c>
      <c r="V5762" s="122"/>
      <c r="W5762" s="124"/>
      <c r="X5762" s="126" t="s">
        <v>17519</v>
      </c>
      <c r="Y5762" s="127"/>
      <c r="Z5762" s="127"/>
      <c r="AA5762" s="127"/>
      <c r="AB5762" s="128"/>
      <c r="AC5762" s="15" t="s">
        <v>20</v>
      </c>
      <c r="AD5762" s="129"/>
      <c r="AE5762" s="130"/>
      <c r="AF5762" s="130"/>
      <c r="AG5762" s="130"/>
      <c r="AH5762" s="130"/>
      <c r="AI5762" s="131"/>
      <c r="AJ5762" s="132"/>
      <c r="AK5762" s="127"/>
      <c r="AL5762" s="128"/>
      <c r="AM5762" s="21"/>
      <c r="AN5762" s="133">
        <v>46063</v>
      </c>
      <c r="AO5762" s="134"/>
      <c r="AP5762" s="135">
        <v>1928</v>
      </c>
      <c r="AQ5762" s="136"/>
      <c r="AR5762" s="118">
        <v>1397000</v>
      </c>
      <c r="AS5762" s="119"/>
      <c r="AT5762" s="118">
        <f t="shared" ref="AT5762" si="7463">AR5762*0.1</f>
        <v>139700</v>
      </c>
      <c r="AU5762" s="119"/>
      <c r="AV5762" s="118">
        <v>6850</v>
      </c>
      <c r="AW5762" s="119"/>
      <c r="AX5762" s="118">
        <f t="shared" ref="AX5762" si="7464">SUM(AR5762:AW5762)</f>
        <v>1543550</v>
      </c>
      <c r="AY5762" s="119"/>
      <c r="AZ5762" s="137"/>
    </row>
    <row r="5763" spans="1:52" ht="17.100000000000001" customHeight="1" thickBot="1">
      <c r="A5763" s="110"/>
      <c r="B5763" s="27" t="s">
        <v>2131</v>
      </c>
      <c r="C5763" s="27">
        <v>70065</v>
      </c>
      <c r="D5763" s="14" t="s">
        <v>16863</v>
      </c>
      <c r="E5763" s="112"/>
      <c r="F5763" s="139" t="s">
        <v>16839</v>
      </c>
      <c r="G5763" s="140"/>
      <c r="H5763" s="141"/>
      <c r="I5763" s="26">
        <v>20114</v>
      </c>
      <c r="J5763" s="117"/>
      <c r="K5763" s="120"/>
      <c r="L5763" s="121"/>
      <c r="M5763" s="120"/>
      <c r="N5763" s="121"/>
      <c r="O5763" s="120"/>
      <c r="P5763" s="121"/>
      <c r="Q5763" s="120"/>
      <c r="R5763" s="121"/>
      <c r="S5763" s="120"/>
      <c r="T5763" s="121"/>
      <c r="U5763" s="120"/>
      <c r="V5763" s="123"/>
      <c r="W5763" s="125"/>
      <c r="X5763" s="142" t="s">
        <v>17520</v>
      </c>
      <c r="Y5763" s="143"/>
      <c r="Z5763" s="143"/>
      <c r="AA5763" s="143"/>
      <c r="AB5763" s="144"/>
      <c r="AC5763" s="16" t="s">
        <v>21</v>
      </c>
      <c r="AD5763" s="17" t="s">
        <v>2187</v>
      </c>
      <c r="AE5763" s="145"/>
      <c r="AF5763" s="146"/>
      <c r="AG5763" s="146"/>
      <c r="AH5763" s="146"/>
      <c r="AI5763" s="147"/>
      <c r="AJ5763" s="148"/>
      <c r="AK5763" s="143"/>
      <c r="AL5763" s="144"/>
      <c r="AM5763" s="22"/>
      <c r="AN5763" s="149" t="s">
        <v>2131</v>
      </c>
      <c r="AO5763" s="144"/>
      <c r="AP5763" s="148">
        <v>3373</v>
      </c>
      <c r="AQ5763" s="144"/>
      <c r="AR5763" s="120"/>
      <c r="AS5763" s="121"/>
      <c r="AT5763" s="120"/>
      <c r="AU5763" s="121"/>
      <c r="AV5763" s="120"/>
      <c r="AW5763" s="121"/>
      <c r="AX5763" s="120"/>
      <c r="AY5763" s="121"/>
      <c r="AZ5763" s="138"/>
    </row>
    <row r="5764" spans="1:52" ht="17.100000000000001" customHeight="1" thickTop="1">
      <c r="A5764" s="109" t="s">
        <v>16825</v>
      </c>
      <c r="B5764" s="28">
        <v>46056</v>
      </c>
      <c r="C5764" s="25">
        <v>805</v>
      </c>
      <c r="D5764" s="13" t="s">
        <v>1902</v>
      </c>
      <c r="E5764" s="111"/>
      <c r="F5764" s="113" t="s">
        <v>15218</v>
      </c>
      <c r="G5764" s="114"/>
      <c r="H5764" s="115"/>
      <c r="I5764" s="24"/>
      <c r="J5764" s="116">
        <v>4</v>
      </c>
      <c r="K5764" s="118">
        <v>879000</v>
      </c>
      <c r="L5764" s="119"/>
      <c r="M5764" s="118">
        <f t="shared" ref="M5764" si="7465">K5764*0.1</f>
        <v>87900</v>
      </c>
      <c r="N5764" s="119"/>
      <c r="O5764" s="118">
        <v>0</v>
      </c>
      <c r="P5764" s="119"/>
      <c r="Q5764" s="118">
        <v>7150</v>
      </c>
      <c r="R5764" s="119"/>
      <c r="S5764" s="118">
        <v>15950</v>
      </c>
      <c r="T5764" s="119"/>
      <c r="U5764" s="118">
        <f t="shared" ref="U5764" si="7466">SUM(K5764:T5765)</f>
        <v>990000</v>
      </c>
      <c r="V5764" s="122"/>
      <c r="W5764" s="124"/>
      <c r="X5764" s="126" t="s">
        <v>17528</v>
      </c>
      <c r="Y5764" s="127"/>
      <c r="Z5764" s="127"/>
      <c r="AA5764" s="127"/>
      <c r="AB5764" s="128"/>
      <c r="AC5764" s="15" t="s">
        <v>20</v>
      </c>
      <c r="AD5764" s="129" t="s">
        <v>16862</v>
      </c>
      <c r="AE5764" s="130"/>
      <c r="AF5764" s="130"/>
      <c r="AG5764" s="130"/>
      <c r="AH5764" s="130"/>
      <c r="AI5764" s="131"/>
      <c r="AJ5764" s="132" t="s">
        <v>17767</v>
      </c>
      <c r="AK5764" s="127"/>
      <c r="AL5764" s="128"/>
      <c r="AM5764" s="21"/>
      <c r="AN5764" s="133">
        <v>46067</v>
      </c>
      <c r="AO5764" s="134"/>
      <c r="AP5764" s="135">
        <v>1288</v>
      </c>
      <c r="AQ5764" s="136"/>
      <c r="AR5764" s="118">
        <v>915000</v>
      </c>
      <c r="AS5764" s="119"/>
      <c r="AT5764" s="118">
        <f t="shared" ref="AT5764" si="7467">AR5764*0.1</f>
        <v>91500</v>
      </c>
      <c r="AU5764" s="119"/>
      <c r="AV5764" s="118">
        <v>7150</v>
      </c>
      <c r="AW5764" s="119"/>
      <c r="AX5764" s="118">
        <f t="shared" ref="AX5764" si="7468">SUM(AR5764:AW5764)</f>
        <v>1013650</v>
      </c>
      <c r="AY5764" s="119"/>
      <c r="AZ5764" s="137">
        <v>46070</v>
      </c>
    </row>
    <row r="5765" spans="1:52" ht="17.100000000000001" customHeight="1" thickBot="1">
      <c r="A5765" s="110"/>
      <c r="B5765" s="27" t="s">
        <v>3367</v>
      </c>
      <c r="C5765" s="27">
        <v>3044</v>
      </c>
      <c r="D5765" s="14" t="s">
        <v>16864</v>
      </c>
      <c r="E5765" s="112"/>
      <c r="F5765" s="139" t="s">
        <v>16840</v>
      </c>
      <c r="G5765" s="140"/>
      <c r="H5765" s="141"/>
      <c r="I5765" s="26">
        <v>42552</v>
      </c>
      <c r="J5765" s="117"/>
      <c r="K5765" s="120"/>
      <c r="L5765" s="121"/>
      <c r="M5765" s="120"/>
      <c r="N5765" s="121"/>
      <c r="O5765" s="120"/>
      <c r="P5765" s="121"/>
      <c r="Q5765" s="120"/>
      <c r="R5765" s="121"/>
      <c r="S5765" s="120"/>
      <c r="T5765" s="121"/>
      <c r="U5765" s="120"/>
      <c r="V5765" s="123"/>
      <c r="W5765" s="125"/>
      <c r="X5765" s="142" t="s">
        <v>7445</v>
      </c>
      <c r="Y5765" s="143"/>
      <c r="Z5765" s="143"/>
      <c r="AA5765" s="143"/>
      <c r="AB5765" s="144"/>
      <c r="AC5765" s="16" t="s">
        <v>21</v>
      </c>
      <c r="AD5765" s="17" t="s">
        <v>2187</v>
      </c>
      <c r="AE5765" s="145" t="s">
        <v>17766</v>
      </c>
      <c r="AF5765" s="146"/>
      <c r="AG5765" s="146"/>
      <c r="AH5765" s="146"/>
      <c r="AI5765" s="147"/>
      <c r="AJ5765" s="148"/>
      <c r="AK5765" s="143"/>
      <c r="AL5765" s="144"/>
      <c r="AM5765" s="22"/>
      <c r="AN5765" s="149" t="s">
        <v>2511</v>
      </c>
      <c r="AO5765" s="144"/>
      <c r="AP5765" s="148">
        <v>60154</v>
      </c>
      <c r="AQ5765" s="144"/>
      <c r="AR5765" s="120"/>
      <c r="AS5765" s="121"/>
      <c r="AT5765" s="120"/>
      <c r="AU5765" s="121"/>
      <c r="AV5765" s="120"/>
      <c r="AW5765" s="121"/>
      <c r="AX5765" s="120"/>
      <c r="AY5765" s="121"/>
      <c r="AZ5765" s="138"/>
    </row>
    <row r="5766" spans="1:52" ht="17.100000000000001" customHeight="1" thickTop="1">
      <c r="A5766" s="151" t="s">
        <v>16826</v>
      </c>
      <c r="B5766" s="28">
        <v>46056</v>
      </c>
      <c r="C5766" s="25">
        <v>805</v>
      </c>
      <c r="D5766" s="13" t="s">
        <v>5456</v>
      </c>
      <c r="E5766" s="111"/>
      <c r="F5766" s="113" t="s">
        <v>16841</v>
      </c>
      <c r="G5766" s="114"/>
      <c r="H5766" s="115"/>
      <c r="I5766" s="24"/>
      <c r="J5766" s="116">
        <v>3</v>
      </c>
      <c r="K5766" s="118">
        <v>211000</v>
      </c>
      <c r="L5766" s="119"/>
      <c r="M5766" s="118">
        <f t="shared" ref="M5766" si="7469">K5766*0.1</f>
        <v>21100</v>
      </c>
      <c r="N5766" s="119"/>
      <c r="O5766" s="118">
        <v>0</v>
      </c>
      <c r="P5766" s="119"/>
      <c r="Q5766" s="118">
        <v>8490</v>
      </c>
      <c r="R5766" s="119"/>
      <c r="S5766" s="118">
        <v>15950</v>
      </c>
      <c r="T5766" s="119"/>
      <c r="U5766" s="118">
        <f t="shared" ref="U5766" si="7470">SUM(K5766:T5767)</f>
        <v>256540</v>
      </c>
      <c r="V5766" s="122"/>
      <c r="W5766" s="124"/>
      <c r="X5766" s="126" t="s">
        <v>17527</v>
      </c>
      <c r="Y5766" s="127"/>
      <c r="Z5766" s="127"/>
      <c r="AA5766" s="127"/>
      <c r="AB5766" s="128"/>
      <c r="AC5766" s="15" t="s">
        <v>20</v>
      </c>
      <c r="AD5766" s="129"/>
      <c r="AE5766" s="130"/>
      <c r="AF5766" s="130"/>
      <c r="AG5766" s="130"/>
      <c r="AH5766" s="130"/>
      <c r="AI5766" s="131"/>
      <c r="AJ5766" s="132" t="s">
        <v>17609</v>
      </c>
      <c r="AK5766" s="127"/>
      <c r="AL5766" s="128"/>
      <c r="AM5766" s="21"/>
      <c r="AN5766" s="133"/>
      <c r="AO5766" s="134"/>
      <c r="AP5766" s="135"/>
      <c r="AQ5766" s="136"/>
      <c r="AR5766" s="118"/>
      <c r="AS5766" s="119"/>
      <c r="AT5766" s="118">
        <f t="shared" ref="AT5766" si="7471">AR5766*0.1</f>
        <v>0</v>
      </c>
      <c r="AU5766" s="119"/>
      <c r="AV5766" s="118"/>
      <c r="AW5766" s="119"/>
      <c r="AX5766" s="118">
        <f t="shared" ref="AX5766" si="7472">SUM(AR5766:AW5766)</f>
        <v>0</v>
      </c>
      <c r="AY5766" s="119"/>
      <c r="AZ5766" s="137"/>
    </row>
    <row r="5767" spans="1:52" ht="17.100000000000001" customHeight="1" thickBot="1">
      <c r="A5767" s="152"/>
      <c r="B5767" s="27" t="s">
        <v>3367</v>
      </c>
      <c r="C5767" s="27">
        <v>3067</v>
      </c>
      <c r="D5767" s="14" t="s">
        <v>1592</v>
      </c>
      <c r="E5767" s="112"/>
      <c r="F5767" s="139" t="s">
        <v>16842</v>
      </c>
      <c r="G5767" s="140"/>
      <c r="H5767" s="141"/>
      <c r="I5767" s="26">
        <v>46474</v>
      </c>
      <c r="J5767" s="117"/>
      <c r="K5767" s="120"/>
      <c r="L5767" s="121"/>
      <c r="M5767" s="120"/>
      <c r="N5767" s="121"/>
      <c r="O5767" s="120"/>
      <c r="P5767" s="121"/>
      <c r="Q5767" s="120"/>
      <c r="R5767" s="121"/>
      <c r="S5767" s="120"/>
      <c r="T5767" s="121"/>
      <c r="U5767" s="120"/>
      <c r="V5767" s="123"/>
      <c r="W5767" s="125"/>
      <c r="X5767" s="142" t="s">
        <v>3986</v>
      </c>
      <c r="Y5767" s="143"/>
      <c r="Z5767" s="143"/>
      <c r="AA5767" s="143"/>
      <c r="AB5767" s="144"/>
      <c r="AC5767" s="16" t="s">
        <v>21</v>
      </c>
      <c r="AD5767" s="17" t="s">
        <v>2187</v>
      </c>
      <c r="AE5767" s="145"/>
      <c r="AF5767" s="146"/>
      <c r="AG5767" s="146"/>
      <c r="AH5767" s="146"/>
      <c r="AI5767" s="147"/>
      <c r="AJ5767" s="148"/>
      <c r="AK5767" s="143"/>
      <c r="AL5767" s="144"/>
      <c r="AM5767" s="22"/>
      <c r="AN5767" s="149"/>
      <c r="AO5767" s="144"/>
      <c r="AP5767" s="148"/>
      <c r="AQ5767" s="144"/>
      <c r="AR5767" s="120"/>
      <c r="AS5767" s="121"/>
      <c r="AT5767" s="120"/>
      <c r="AU5767" s="121"/>
      <c r="AV5767" s="120"/>
      <c r="AW5767" s="121"/>
      <c r="AX5767" s="120"/>
      <c r="AY5767" s="121"/>
      <c r="AZ5767" s="138"/>
    </row>
    <row r="5768" spans="1:52" ht="17.100000000000001" customHeight="1" thickTop="1">
      <c r="A5768" s="109" t="s">
        <v>16827</v>
      </c>
      <c r="B5768" s="28">
        <v>46056</v>
      </c>
      <c r="C5768" s="25">
        <v>805</v>
      </c>
      <c r="D5768" s="13" t="s">
        <v>1845</v>
      </c>
      <c r="E5768" s="111"/>
      <c r="F5768" s="113" t="s">
        <v>16843</v>
      </c>
      <c r="G5768" s="114"/>
      <c r="H5768" s="115"/>
      <c r="I5768" s="24" t="s">
        <v>4390</v>
      </c>
      <c r="J5768" s="116">
        <v>4.5</v>
      </c>
      <c r="K5768" s="118">
        <v>3135000</v>
      </c>
      <c r="L5768" s="119"/>
      <c r="M5768" s="118">
        <f t="shared" ref="M5768" si="7473">K5768*0.1</f>
        <v>313500</v>
      </c>
      <c r="N5768" s="119"/>
      <c r="O5768" s="118">
        <v>3300</v>
      </c>
      <c r="P5768" s="119"/>
      <c r="Q5768" s="118">
        <v>18270</v>
      </c>
      <c r="R5768" s="119"/>
      <c r="S5768" s="118">
        <v>19250</v>
      </c>
      <c r="T5768" s="119"/>
      <c r="U5768" s="118">
        <f t="shared" ref="U5768" si="7474">SUM(K5768:T5769)</f>
        <v>3489320</v>
      </c>
      <c r="V5768" s="122"/>
      <c r="W5768" s="124"/>
      <c r="X5768" s="126" t="s">
        <v>16866</v>
      </c>
      <c r="Y5768" s="127"/>
      <c r="Z5768" s="127"/>
      <c r="AA5768" s="127"/>
      <c r="AB5768" s="128"/>
      <c r="AC5768" s="15" t="s">
        <v>20</v>
      </c>
      <c r="AD5768" s="129" t="s">
        <v>4435</v>
      </c>
      <c r="AE5768" s="130"/>
      <c r="AF5768" s="130"/>
      <c r="AG5768" s="130"/>
      <c r="AH5768" s="130"/>
      <c r="AI5768" s="131"/>
      <c r="AJ5768" s="132"/>
      <c r="AK5768" s="127"/>
      <c r="AL5768" s="128"/>
      <c r="AM5768" s="21"/>
      <c r="AN5768" s="133">
        <v>46067</v>
      </c>
      <c r="AO5768" s="134"/>
      <c r="AP5768" s="135">
        <v>1288</v>
      </c>
      <c r="AQ5768" s="136"/>
      <c r="AR5768" s="118">
        <v>3250000</v>
      </c>
      <c r="AS5768" s="119"/>
      <c r="AT5768" s="118">
        <f t="shared" ref="AT5768" si="7475">AR5768*0.1</f>
        <v>325000</v>
      </c>
      <c r="AU5768" s="119"/>
      <c r="AV5768" s="118">
        <v>18270</v>
      </c>
      <c r="AW5768" s="119"/>
      <c r="AX5768" s="118">
        <f t="shared" ref="AX5768" si="7476">SUM(AR5768:AW5768)</f>
        <v>3593270</v>
      </c>
      <c r="AY5768" s="119"/>
      <c r="AZ5768" s="137">
        <v>46077</v>
      </c>
    </row>
    <row r="5769" spans="1:52" ht="17.100000000000001" customHeight="1" thickBot="1">
      <c r="A5769" s="110"/>
      <c r="B5769" s="27" t="s">
        <v>3367</v>
      </c>
      <c r="C5769" s="27">
        <v>5007</v>
      </c>
      <c r="D5769" s="14" t="s">
        <v>2601</v>
      </c>
      <c r="E5769" s="112"/>
      <c r="F5769" s="139" t="s">
        <v>16865</v>
      </c>
      <c r="G5769" s="140"/>
      <c r="H5769" s="141"/>
      <c r="I5769" s="26">
        <v>31812</v>
      </c>
      <c r="J5769" s="117"/>
      <c r="K5769" s="120"/>
      <c r="L5769" s="121"/>
      <c r="M5769" s="120"/>
      <c r="N5769" s="121"/>
      <c r="O5769" s="120"/>
      <c r="P5769" s="121"/>
      <c r="Q5769" s="120"/>
      <c r="R5769" s="121"/>
      <c r="S5769" s="120"/>
      <c r="T5769" s="121"/>
      <c r="U5769" s="120"/>
      <c r="V5769" s="123"/>
      <c r="W5769" s="125"/>
      <c r="X5769" s="142" t="s">
        <v>17529</v>
      </c>
      <c r="Y5769" s="143"/>
      <c r="Z5769" s="143"/>
      <c r="AA5769" s="143"/>
      <c r="AB5769" s="144"/>
      <c r="AC5769" s="16" t="s">
        <v>21</v>
      </c>
      <c r="AD5769" s="17" t="s">
        <v>2187</v>
      </c>
      <c r="AE5769" s="145" t="s">
        <v>171</v>
      </c>
      <c r="AF5769" s="146"/>
      <c r="AG5769" s="146"/>
      <c r="AH5769" s="146"/>
      <c r="AI5769" s="147"/>
      <c r="AJ5769" s="148"/>
      <c r="AK5769" s="143"/>
      <c r="AL5769" s="144"/>
      <c r="AM5769" s="22"/>
      <c r="AN5769" s="149" t="s">
        <v>6748</v>
      </c>
      <c r="AO5769" s="144"/>
      <c r="AP5769" s="148">
        <v>80010</v>
      </c>
      <c r="AQ5769" s="144"/>
      <c r="AR5769" s="120"/>
      <c r="AS5769" s="121"/>
      <c r="AT5769" s="120"/>
      <c r="AU5769" s="121"/>
      <c r="AV5769" s="120"/>
      <c r="AW5769" s="121"/>
      <c r="AX5769" s="120"/>
      <c r="AY5769" s="121"/>
      <c r="AZ5769" s="138"/>
    </row>
    <row r="5770" spans="1:52" ht="17.100000000000001" customHeight="1" thickTop="1">
      <c r="A5770" s="109" t="s">
        <v>16828</v>
      </c>
      <c r="B5770" s="28">
        <v>46056</v>
      </c>
      <c r="C5770" s="25">
        <v>925</v>
      </c>
      <c r="D5770" s="13" t="s">
        <v>1651</v>
      </c>
      <c r="E5770" s="111"/>
      <c r="F5770" s="113" t="s">
        <v>16844</v>
      </c>
      <c r="G5770" s="114"/>
      <c r="H5770" s="115"/>
      <c r="I5770" s="24" t="s">
        <v>2112</v>
      </c>
      <c r="J5770" s="116">
        <v>4</v>
      </c>
      <c r="K5770" s="118">
        <v>714000</v>
      </c>
      <c r="L5770" s="119"/>
      <c r="M5770" s="118">
        <f t="shared" ref="M5770" si="7477">K5770*0.1</f>
        <v>71400</v>
      </c>
      <c r="N5770" s="119"/>
      <c r="O5770" s="118">
        <v>0</v>
      </c>
      <c r="P5770" s="119"/>
      <c r="Q5770" s="118">
        <v>6470</v>
      </c>
      <c r="R5770" s="119"/>
      <c r="S5770" s="118">
        <v>15950</v>
      </c>
      <c r="T5770" s="119"/>
      <c r="U5770" s="118">
        <f t="shared" ref="U5770" si="7478">SUM(K5770:T5771)</f>
        <v>807820</v>
      </c>
      <c r="V5770" s="122"/>
      <c r="W5770" s="124"/>
      <c r="X5770" s="126" t="s">
        <v>16867</v>
      </c>
      <c r="Y5770" s="127"/>
      <c r="Z5770" s="127"/>
      <c r="AA5770" s="127"/>
      <c r="AB5770" s="128"/>
      <c r="AC5770" s="15" t="s">
        <v>20</v>
      </c>
      <c r="AD5770" s="129" t="s">
        <v>3485</v>
      </c>
      <c r="AE5770" s="130"/>
      <c r="AF5770" s="130"/>
      <c r="AG5770" s="130"/>
      <c r="AH5770" s="130"/>
      <c r="AI5770" s="131"/>
      <c r="AJ5770" s="132"/>
      <c r="AK5770" s="127"/>
      <c r="AL5770" s="128"/>
      <c r="AM5770" s="21"/>
      <c r="AN5770" s="133">
        <v>46060</v>
      </c>
      <c r="AO5770" s="134"/>
      <c r="AP5770" s="135">
        <v>1287</v>
      </c>
      <c r="AQ5770" s="136"/>
      <c r="AR5770" s="118">
        <v>830000</v>
      </c>
      <c r="AS5770" s="119"/>
      <c r="AT5770" s="118">
        <f t="shared" ref="AT5770" si="7479">AR5770*0.1</f>
        <v>83000</v>
      </c>
      <c r="AU5770" s="119"/>
      <c r="AV5770" s="118">
        <v>6470</v>
      </c>
      <c r="AW5770" s="119"/>
      <c r="AX5770" s="118">
        <f t="shared" ref="AX5770" si="7480">SUM(AR5770:AW5770)</f>
        <v>919470</v>
      </c>
      <c r="AY5770" s="119"/>
      <c r="AZ5770" s="137">
        <v>46070</v>
      </c>
    </row>
    <row r="5771" spans="1:52" ht="17.100000000000001" customHeight="1" thickBot="1">
      <c r="A5771" s="110"/>
      <c r="B5771" s="27" t="s">
        <v>2699</v>
      </c>
      <c r="C5771" s="27">
        <v>3006</v>
      </c>
      <c r="D5771" s="14" t="s">
        <v>1720</v>
      </c>
      <c r="E5771" s="112"/>
      <c r="F5771" s="139" t="s">
        <v>16845</v>
      </c>
      <c r="G5771" s="140"/>
      <c r="H5771" s="141"/>
      <c r="I5771" s="26">
        <v>54854</v>
      </c>
      <c r="J5771" s="117"/>
      <c r="K5771" s="120"/>
      <c r="L5771" s="121"/>
      <c r="M5771" s="120"/>
      <c r="N5771" s="121"/>
      <c r="O5771" s="120"/>
      <c r="P5771" s="121"/>
      <c r="Q5771" s="120"/>
      <c r="R5771" s="121"/>
      <c r="S5771" s="120"/>
      <c r="T5771" s="121"/>
      <c r="U5771" s="120"/>
      <c r="V5771" s="123"/>
      <c r="W5771" s="125"/>
      <c r="X5771" s="142" t="s">
        <v>15395</v>
      </c>
      <c r="Y5771" s="143"/>
      <c r="Z5771" s="143"/>
      <c r="AA5771" s="143"/>
      <c r="AB5771" s="144"/>
      <c r="AC5771" s="16" t="s">
        <v>21</v>
      </c>
      <c r="AD5771" s="17" t="s">
        <v>2298</v>
      </c>
      <c r="AE5771" s="145" t="s">
        <v>3485</v>
      </c>
      <c r="AF5771" s="146"/>
      <c r="AG5771" s="146"/>
      <c r="AH5771" s="146"/>
      <c r="AI5771" s="147"/>
      <c r="AJ5771" s="148"/>
      <c r="AK5771" s="143"/>
      <c r="AL5771" s="144"/>
      <c r="AM5771" s="22"/>
      <c r="AN5771" s="149" t="s">
        <v>2511</v>
      </c>
      <c r="AO5771" s="144"/>
      <c r="AP5771" s="148">
        <v>60422</v>
      </c>
      <c r="AQ5771" s="144"/>
      <c r="AR5771" s="120"/>
      <c r="AS5771" s="121"/>
      <c r="AT5771" s="120"/>
      <c r="AU5771" s="121"/>
      <c r="AV5771" s="120"/>
      <c r="AW5771" s="121"/>
      <c r="AX5771" s="120"/>
      <c r="AY5771" s="121"/>
      <c r="AZ5771" s="138"/>
    </row>
    <row r="5772" spans="1:52" ht="17.100000000000001" customHeight="1" thickTop="1">
      <c r="A5772" s="109" t="s">
        <v>16829</v>
      </c>
      <c r="B5772" s="28">
        <v>46056</v>
      </c>
      <c r="C5772" s="25">
        <v>925</v>
      </c>
      <c r="D5772" s="13" t="s">
        <v>1920</v>
      </c>
      <c r="E5772" s="111"/>
      <c r="F5772" s="113" t="s">
        <v>16846</v>
      </c>
      <c r="G5772" s="114"/>
      <c r="H5772" s="115"/>
      <c r="I5772" s="24"/>
      <c r="J5772" s="116">
        <v>4</v>
      </c>
      <c r="K5772" s="118">
        <v>783000</v>
      </c>
      <c r="L5772" s="119"/>
      <c r="M5772" s="118">
        <f t="shared" ref="M5772" si="7481">K5772*0.1</f>
        <v>78300</v>
      </c>
      <c r="N5772" s="119"/>
      <c r="O5772" s="118">
        <v>0</v>
      </c>
      <c r="P5772" s="119"/>
      <c r="Q5772" s="118">
        <v>8400</v>
      </c>
      <c r="R5772" s="119"/>
      <c r="S5772" s="118">
        <v>15950</v>
      </c>
      <c r="T5772" s="119"/>
      <c r="U5772" s="118">
        <f t="shared" ref="U5772" si="7482">SUM(K5772:T5773)</f>
        <v>885650</v>
      </c>
      <c r="V5772" s="122"/>
      <c r="W5772" s="124"/>
      <c r="X5772" s="126" t="s">
        <v>17526</v>
      </c>
      <c r="Y5772" s="127"/>
      <c r="Z5772" s="127"/>
      <c r="AA5772" s="127"/>
      <c r="AB5772" s="128"/>
      <c r="AC5772" s="15" t="s">
        <v>20</v>
      </c>
      <c r="AD5772" s="129" t="s">
        <v>4435</v>
      </c>
      <c r="AE5772" s="130"/>
      <c r="AF5772" s="130"/>
      <c r="AG5772" s="130"/>
      <c r="AH5772" s="130"/>
      <c r="AI5772" s="131"/>
      <c r="AJ5772" s="132"/>
      <c r="AK5772" s="127"/>
      <c r="AL5772" s="128"/>
      <c r="AM5772" s="21"/>
      <c r="AN5772" s="133">
        <v>46081</v>
      </c>
      <c r="AO5772" s="134"/>
      <c r="AP5772" s="135">
        <v>1290</v>
      </c>
      <c r="AQ5772" s="136"/>
      <c r="AR5772" s="118">
        <v>805000</v>
      </c>
      <c r="AS5772" s="119"/>
      <c r="AT5772" s="118">
        <f t="shared" ref="AT5772" si="7483">AR5772*0.1</f>
        <v>80500</v>
      </c>
      <c r="AU5772" s="119"/>
      <c r="AV5772" s="118">
        <v>8400</v>
      </c>
      <c r="AW5772" s="119"/>
      <c r="AX5772" s="118">
        <f t="shared" ref="AX5772" si="7484">SUM(AR5772:AW5772)</f>
        <v>893900</v>
      </c>
      <c r="AY5772" s="119"/>
      <c r="AZ5772" s="137">
        <v>46084</v>
      </c>
    </row>
    <row r="5773" spans="1:52" ht="17.100000000000001" customHeight="1" thickBot="1">
      <c r="A5773" s="110"/>
      <c r="B5773" s="27" t="s">
        <v>2699</v>
      </c>
      <c r="C5773" s="27">
        <v>3009</v>
      </c>
      <c r="D5773" s="14" t="s">
        <v>1610</v>
      </c>
      <c r="E5773" s="112"/>
      <c r="F5773" s="139" t="s">
        <v>16847</v>
      </c>
      <c r="G5773" s="140"/>
      <c r="H5773" s="141"/>
      <c r="I5773" s="26">
        <v>33287</v>
      </c>
      <c r="J5773" s="117"/>
      <c r="K5773" s="120"/>
      <c r="L5773" s="121"/>
      <c r="M5773" s="120"/>
      <c r="N5773" s="121"/>
      <c r="O5773" s="120"/>
      <c r="P5773" s="121"/>
      <c r="Q5773" s="120"/>
      <c r="R5773" s="121"/>
      <c r="S5773" s="120"/>
      <c r="T5773" s="121"/>
      <c r="U5773" s="120"/>
      <c r="V5773" s="123"/>
      <c r="W5773" s="125"/>
      <c r="X5773" s="142" t="s">
        <v>4619</v>
      </c>
      <c r="Y5773" s="143"/>
      <c r="Z5773" s="143"/>
      <c r="AA5773" s="143"/>
      <c r="AB5773" s="144"/>
      <c r="AC5773" s="16" t="s">
        <v>21</v>
      </c>
      <c r="AD5773" s="17" t="s">
        <v>2187</v>
      </c>
      <c r="AE5773" s="145" t="s">
        <v>171</v>
      </c>
      <c r="AF5773" s="146"/>
      <c r="AG5773" s="146"/>
      <c r="AH5773" s="146"/>
      <c r="AI5773" s="147"/>
      <c r="AJ5773" s="148"/>
      <c r="AK5773" s="143"/>
      <c r="AL5773" s="144"/>
      <c r="AM5773" s="22"/>
      <c r="AN5773" s="149" t="s">
        <v>2511</v>
      </c>
      <c r="AO5773" s="144"/>
      <c r="AP5773" s="148">
        <v>60065</v>
      </c>
      <c r="AQ5773" s="144"/>
      <c r="AR5773" s="120"/>
      <c r="AS5773" s="121"/>
      <c r="AT5773" s="120"/>
      <c r="AU5773" s="121"/>
      <c r="AV5773" s="120"/>
      <c r="AW5773" s="121"/>
      <c r="AX5773" s="120"/>
      <c r="AY5773" s="121"/>
      <c r="AZ5773" s="138"/>
    </row>
    <row r="5774" spans="1:52" ht="17.100000000000001" customHeight="1" thickTop="1">
      <c r="A5774" s="109" t="s">
        <v>16830</v>
      </c>
      <c r="B5774" s="28">
        <v>46056</v>
      </c>
      <c r="C5774" s="25">
        <v>925</v>
      </c>
      <c r="D5774" s="13" t="s">
        <v>1651</v>
      </c>
      <c r="E5774" s="111"/>
      <c r="F5774" s="113" t="s">
        <v>16844</v>
      </c>
      <c r="G5774" s="114"/>
      <c r="H5774" s="115"/>
      <c r="I5774" s="24" t="s">
        <v>2112</v>
      </c>
      <c r="J5774" s="116">
        <v>4</v>
      </c>
      <c r="K5774" s="118">
        <v>774000</v>
      </c>
      <c r="L5774" s="119"/>
      <c r="M5774" s="118">
        <f t="shared" ref="M5774" si="7485">K5774*0.1</f>
        <v>77400</v>
      </c>
      <c r="N5774" s="119"/>
      <c r="O5774" s="118">
        <v>0</v>
      </c>
      <c r="P5774" s="119"/>
      <c r="Q5774" s="118">
        <v>6470</v>
      </c>
      <c r="R5774" s="119"/>
      <c r="S5774" s="118">
        <v>15950</v>
      </c>
      <c r="T5774" s="119"/>
      <c r="U5774" s="118">
        <f t="shared" ref="U5774" si="7486">SUM(K5774:T5775)</f>
        <v>873820</v>
      </c>
      <c r="V5774" s="122"/>
      <c r="W5774" s="124"/>
      <c r="X5774" s="126" t="s">
        <v>16868</v>
      </c>
      <c r="Y5774" s="127"/>
      <c r="Z5774" s="127"/>
      <c r="AA5774" s="127"/>
      <c r="AB5774" s="128"/>
      <c r="AC5774" s="15" t="s">
        <v>20</v>
      </c>
      <c r="AD5774" s="129" t="s">
        <v>3485</v>
      </c>
      <c r="AE5774" s="130"/>
      <c r="AF5774" s="130"/>
      <c r="AG5774" s="130"/>
      <c r="AH5774" s="130"/>
      <c r="AI5774" s="131"/>
      <c r="AJ5774" s="132"/>
      <c r="AK5774" s="127"/>
      <c r="AL5774" s="128"/>
      <c r="AM5774" s="21" t="s">
        <v>20351</v>
      </c>
      <c r="AN5774" s="133">
        <v>46092</v>
      </c>
      <c r="AO5774" s="134"/>
      <c r="AP5774" s="135">
        <v>1008</v>
      </c>
      <c r="AQ5774" s="136"/>
      <c r="AR5774" s="118">
        <v>810000</v>
      </c>
      <c r="AS5774" s="119"/>
      <c r="AT5774" s="118">
        <f t="shared" ref="AT5774" si="7487">AR5774*0.1</f>
        <v>81000</v>
      </c>
      <c r="AU5774" s="119"/>
      <c r="AV5774" s="118">
        <v>6470</v>
      </c>
      <c r="AW5774" s="119"/>
      <c r="AX5774" s="118">
        <f t="shared" ref="AX5774" si="7488">SUM(AR5774:AW5774)</f>
        <v>897470</v>
      </c>
      <c r="AY5774" s="119"/>
      <c r="AZ5774" s="137">
        <v>46100</v>
      </c>
    </row>
    <row r="5775" spans="1:52" ht="17.100000000000001" customHeight="1" thickBot="1">
      <c r="A5775" s="110"/>
      <c r="B5775" s="27" t="s">
        <v>2699</v>
      </c>
      <c r="C5775" s="27">
        <v>3012</v>
      </c>
      <c r="D5775" s="14" t="s">
        <v>1720</v>
      </c>
      <c r="E5775" s="112"/>
      <c r="F5775" s="139" t="s">
        <v>16848</v>
      </c>
      <c r="G5775" s="140"/>
      <c r="H5775" s="141"/>
      <c r="I5775" s="26">
        <v>57871</v>
      </c>
      <c r="J5775" s="117"/>
      <c r="K5775" s="120"/>
      <c r="L5775" s="121"/>
      <c r="M5775" s="120"/>
      <c r="N5775" s="121"/>
      <c r="O5775" s="120"/>
      <c r="P5775" s="121"/>
      <c r="Q5775" s="120"/>
      <c r="R5775" s="121"/>
      <c r="S5775" s="120"/>
      <c r="T5775" s="121"/>
      <c r="U5775" s="120"/>
      <c r="V5775" s="123"/>
      <c r="W5775" s="125"/>
      <c r="X5775" s="142" t="s">
        <v>15395</v>
      </c>
      <c r="Y5775" s="143"/>
      <c r="Z5775" s="143"/>
      <c r="AA5775" s="143"/>
      <c r="AB5775" s="144"/>
      <c r="AC5775" s="16" t="s">
        <v>21</v>
      </c>
      <c r="AD5775" s="17" t="s">
        <v>2298</v>
      </c>
      <c r="AE5775" s="145"/>
      <c r="AF5775" s="146"/>
      <c r="AG5775" s="146"/>
      <c r="AH5775" s="146"/>
      <c r="AI5775" s="147"/>
      <c r="AJ5775" s="148"/>
      <c r="AK5775" s="143"/>
      <c r="AL5775" s="144"/>
      <c r="AM5775" s="22"/>
      <c r="AN5775" s="149" t="s">
        <v>8809</v>
      </c>
      <c r="AO5775" s="144"/>
      <c r="AP5775" s="148">
        <v>2021</v>
      </c>
      <c r="AQ5775" s="144"/>
      <c r="AR5775" s="120"/>
      <c r="AS5775" s="121"/>
      <c r="AT5775" s="120"/>
      <c r="AU5775" s="121"/>
      <c r="AV5775" s="120"/>
      <c r="AW5775" s="121"/>
      <c r="AX5775" s="120"/>
      <c r="AY5775" s="121"/>
      <c r="AZ5775" s="138"/>
    </row>
    <row r="5776" spans="1:52" ht="17.100000000000001" customHeight="1" thickTop="1">
      <c r="A5776" s="109" t="s">
        <v>16831</v>
      </c>
      <c r="B5776" s="28">
        <v>46056</v>
      </c>
      <c r="C5776" s="25">
        <v>925</v>
      </c>
      <c r="D5776" s="13" t="s">
        <v>2348</v>
      </c>
      <c r="E5776" s="111"/>
      <c r="F5776" s="113" t="s">
        <v>16849</v>
      </c>
      <c r="G5776" s="114"/>
      <c r="H5776" s="115"/>
      <c r="I5776" s="24"/>
      <c r="J5776" s="150" t="s">
        <v>12208</v>
      </c>
      <c r="K5776" s="118">
        <v>529000</v>
      </c>
      <c r="L5776" s="119"/>
      <c r="M5776" s="118">
        <f t="shared" ref="M5776" si="7489">K5776*0.1</f>
        <v>52900</v>
      </c>
      <c r="N5776" s="119"/>
      <c r="O5776" s="118">
        <v>0</v>
      </c>
      <c r="P5776" s="119"/>
      <c r="Q5776" s="118">
        <v>8550</v>
      </c>
      <c r="R5776" s="119"/>
      <c r="S5776" s="118">
        <v>15950</v>
      </c>
      <c r="T5776" s="119"/>
      <c r="U5776" s="118">
        <f t="shared" ref="U5776" si="7490">SUM(K5776:T5777)</f>
        <v>606400</v>
      </c>
      <c r="V5776" s="122"/>
      <c r="W5776" s="124"/>
      <c r="X5776" s="126" t="s">
        <v>17525</v>
      </c>
      <c r="Y5776" s="127"/>
      <c r="Z5776" s="127"/>
      <c r="AA5776" s="127"/>
      <c r="AB5776" s="128"/>
      <c r="AC5776" s="15" t="s">
        <v>20</v>
      </c>
      <c r="AD5776" s="129"/>
      <c r="AE5776" s="130"/>
      <c r="AF5776" s="130"/>
      <c r="AG5776" s="130"/>
      <c r="AH5776" s="130"/>
      <c r="AI5776" s="131"/>
      <c r="AJ5776" s="132"/>
      <c r="AK5776" s="127"/>
      <c r="AL5776" s="128"/>
      <c r="AM5776" s="21"/>
      <c r="AN5776" s="133">
        <v>46067</v>
      </c>
      <c r="AO5776" s="134"/>
      <c r="AP5776" s="135">
        <v>1288</v>
      </c>
      <c r="AQ5776" s="136"/>
      <c r="AR5776" s="118">
        <v>635000</v>
      </c>
      <c r="AS5776" s="119"/>
      <c r="AT5776" s="118">
        <f t="shared" ref="AT5776" si="7491">AR5776*0.1</f>
        <v>63500</v>
      </c>
      <c r="AU5776" s="119"/>
      <c r="AV5776" s="118">
        <v>8550</v>
      </c>
      <c r="AW5776" s="119"/>
      <c r="AX5776" s="118">
        <f t="shared" ref="AX5776" si="7492">SUM(AR5776:AW5776)</f>
        <v>707050</v>
      </c>
      <c r="AY5776" s="119"/>
      <c r="AZ5776" s="137">
        <v>46070</v>
      </c>
    </row>
    <row r="5777" spans="1:52" ht="17.100000000000001" customHeight="1" thickBot="1">
      <c r="A5777" s="110"/>
      <c r="B5777" s="27" t="s">
        <v>2699</v>
      </c>
      <c r="C5777" s="27">
        <v>3089</v>
      </c>
      <c r="D5777" s="14" t="s">
        <v>16869</v>
      </c>
      <c r="E5777" s="112"/>
      <c r="F5777" s="139" t="s">
        <v>16850</v>
      </c>
      <c r="G5777" s="140"/>
      <c r="H5777" s="141"/>
      <c r="I5777" s="26">
        <v>47878</v>
      </c>
      <c r="J5777" s="117"/>
      <c r="K5777" s="120"/>
      <c r="L5777" s="121"/>
      <c r="M5777" s="120"/>
      <c r="N5777" s="121"/>
      <c r="O5777" s="120"/>
      <c r="P5777" s="121"/>
      <c r="Q5777" s="120"/>
      <c r="R5777" s="121"/>
      <c r="S5777" s="120"/>
      <c r="T5777" s="121"/>
      <c r="U5777" s="120"/>
      <c r="V5777" s="123"/>
      <c r="W5777" s="125"/>
      <c r="X5777" s="142" t="s">
        <v>4928</v>
      </c>
      <c r="Y5777" s="143"/>
      <c r="Z5777" s="143"/>
      <c r="AA5777" s="143"/>
      <c r="AB5777" s="144"/>
      <c r="AC5777" s="16" t="s">
        <v>21</v>
      </c>
      <c r="AD5777" s="17" t="s">
        <v>2187</v>
      </c>
      <c r="AE5777" s="145" t="s">
        <v>17009</v>
      </c>
      <c r="AF5777" s="146"/>
      <c r="AG5777" s="146"/>
      <c r="AH5777" s="146"/>
      <c r="AI5777" s="147"/>
      <c r="AJ5777" s="148"/>
      <c r="AK5777" s="143"/>
      <c r="AL5777" s="144"/>
      <c r="AM5777" s="22"/>
      <c r="AN5777" s="149" t="s">
        <v>2511</v>
      </c>
      <c r="AO5777" s="144"/>
      <c r="AP5777" s="148">
        <v>60132</v>
      </c>
      <c r="AQ5777" s="144"/>
      <c r="AR5777" s="120"/>
      <c r="AS5777" s="121"/>
      <c r="AT5777" s="120"/>
      <c r="AU5777" s="121"/>
      <c r="AV5777" s="120"/>
      <c r="AW5777" s="121"/>
      <c r="AX5777" s="120"/>
      <c r="AY5777" s="121"/>
      <c r="AZ5777" s="138"/>
    </row>
    <row r="5778" spans="1:52" ht="17.100000000000001" customHeight="1" thickTop="1">
      <c r="A5778" s="109" t="s">
        <v>16832</v>
      </c>
      <c r="B5778" s="28">
        <v>46056</v>
      </c>
      <c r="C5778" s="25">
        <v>925</v>
      </c>
      <c r="D5778" s="13" t="s">
        <v>2059</v>
      </c>
      <c r="E5778" s="111"/>
      <c r="F5778" s="113" t="s">
        <v>16851</v>
      </c>
      <c r="G5778" s="114"/>
      <c r="H5778" s="115"/>
      <c r="I5778" s="24" t="s">
        <v>4096</v>
      </c>
      <c r="J5778" s="116">
        <v>4</v>
      </c>
      <c r="K5778" s="118">
        <v>497000</v>
      </c>
      <c r="L5778" s="119"/>
      <c r="M5778" s="118">
        <f t="shared" ref="M5778" si="7493">K5778*0.1</f>
        <v>49700</v>
      </c>
      <c r="N5778" s="119"/>
      <c r="O5778" s="118">
        <v>0</v>
      </c>
      <c r="P5778" s="119"/>
      <c r="Q5778" s="118">
        <v>9490</v>
      </c>
      <c r="R5778" s="119"/>
      <c r="S5778" s="118">
        <v>15950</v>
      </c>
      <c r="T5778" s="119"/>
      <c r="U5778" s="118">
        <f t="shared" ref="U5778" si="7494">SUM(K5778:T5779)</f>
        <v>572140</v>
      </c>
      <c r="V5778" s="122"/>
      <c r="W5778" s="124"/>
      <c r="X5778" s="126" t="s">
        <v>16870</v>
      </c>
      <c r="Y5778" s="127"/>
      <c r="Z5778" s="127"/>
      <c r="AA5778" s="127"/>
      <c r="AB5778" s="128"/>
      <c r="AC5778" s="15" t="s">
        <v>20</v>
      </c>
      <c r="AD5778" s="129"/>
      <c r="AE5778" s="130"/>
      <c r="AF5778" s="130"/>
      <c r="AG5778" s="130"/>
      <c r="AH5778" s="130"/>
      <c r="AI5778" s="131"/>
      <c r="AJ5778" s="132"/>
      <c r="AK5778" s="127"/>
      <c r="AL5778" s="128"/>
      <c r="AM5778" s="21"/>
      <c r="AN5778" s="133">
        <v>46060</v>
      </c>
      <c r="AO5778" s="134"/>
      <c r="AP5778" s="135">
        <v>1287</v>
      </c>
      <c r="AQ5778" s="136"/>
      <c r="AR5778" s="118">
        <v>605000</v>
      </c>
      <c r="AS5778" s="119"/>
      <c r="AT5778" s="118">
        <f t="shared" ref="AT5778" si="7495">AR5778*0.1</f>
        <v>60500</v>
      </c>
      <c r="AU5778" s="119"/>
      <c r="AV5778" s="118">
        <v>9490</v>
      </c>
      <c r="AW5778" s="119"/>
      <c r="AX5778" s="118">
        <f t="shared" ref="AX5778" si="7496">SUM(AR5778:AW5778)</f>
        <v>674990</v>
      </c>
      <c r="AY5778" s="119"/>
      <c r="AZ5778" s="137">
        <v>46065</v>
      </c>
    </row>
    <row r="5779" spans="1:52" ht="17.100000000000001" customHeight="1" thickBot="1">
      <c r="A5779" s="110"/>
      <c r="B5779" s="27" t="s">
        <v>2699</v>
      </c>
      <c r="C5779" s="27">
        <v>3110</v>
      </c>
      <c r="D5779" s="14" t="s">
        <v>1556</v>
      </c>
      <c r="E5779" s="112"/>
      <c r="F5779" s="139" t="s">
        <v>16852</v>
      </c>
      <c r="G5779" s="140"/>
      <c r="H5779" s="141"/>
      <c r="I5779" s="26">
        <v>26695</v>
      </c>
      <c r="J5779" s="117"/>
      <c r="K5779" s="120"/>
      <c r="L5779" s="121"/>
      <c r="M5779" s="120"/>
      <c r="N5779" s="121"/>
      <c r="O5779" s="120"/>
      <c r="P5779" s="121"/>
      <c r="Q5779" s="120"/>
      <c r="R5779" s="121"/>
      <c r="S5779" s="120"/>
      <c r="T5779" s="121"/>
      <c r="U5779" s="120"/>
      <c r="V5779" s="123"/>
      <c r="W5779" s="125"/>
      <c r="X5779" s="142" t="s">
        <v>17517</v>
      </c>
      <c r="Y5779" s="143"/>
      <c r="Z5779" s="143"/>
      <c r="AA5779" s="143"/>
      <c r="AB5779" s="144"/>
      <c r="AC5779" s="16" t="s">
        <v>21</v>
      </c>
      <c r="AD5779" s="17" t="s">
        <v>2187</v>
      </c>
      <c r="AE5779" s="145" t="s">
        <v>3624</v>
      </c>
      <c r="AF5779" s="146"/>
      <c r="AG5779" s="146"/>
      <c r="AH5779" s="146"/>
      <c r="AI5779" s="147"/>
      <c r="AJ5779" s="148"/>
      <c r="AK5779" s="143"/>
      <c r="AL5779" s="144"/>
      <c r="AM5779" s="22"/>
      <c r="AN5779" s="149" t="s">
        <v>2511</v>
      </c>
      <c r="AO5779" s="144"/>
      <c r="AP5779" s="148">
        <v>60435</v>
      </c>
      <c r="AQ5779" s="144"/>
      <c r="AR5779" s="120"/>
      <c r="AS5779" s="121"/>
      <c r="AT5779" s="120"/>
      <c r="AU5779" s="121"/>
      <c r="AV5779" s="120"/>
      <c r="AW5779" s="121"/>
      <c r="AX5779" s="120"/>
      <c r="AY5779" s="121"/>
      <c r="AZ5779" s="138"/>
    </row>
    <row r="5780" spans="1:52" ht="17.100000000000001" customHeight="1" thickTop="1">
      <c r="A5780" s="109" t="s">
        <v>16833</v>
      </c>
      <c r="B5780" s="28">
        <v>46056</v>
      </c>
      <c r="C5780" s="25">
        <v>925</v>
      </c>
      <c r="D5780" s="13" t="s">
        <v>1929</v>
      </c>
      <c r="E5780" s="111"/>
      <c r="F5780" s="113" t="s">
        <v>16853</v>
      </c>
      <c r="G5780" s="114"/>
      <c r="H5780" s="115"/>
      <c r="I5780" s="24"/>
      <c r="J5780" s="116">
        <v>3.5</v>
      </c>
      <c r="K5780" s="118">
        <v>343000</v>
      </c>
      <c r="L5780" s="119"/>
      <c r="M5780" s="118">
        <f t="shared" ref="M5780" si="7497">K5780*0.1</f>
        <v>34300</v>
      </c>
      <c r="N5780" s="119"/>
      <c r="O5780" s="118">
        <v>0</v>
      </c>
      <c r="P5780" s="119"/>
      <c r="Q5780" s="118">
        <v>8780</v>
      </c>
      <c r="R5780" s="119"/>
      <c r="S5780" s="118">
        <v>15950</v>
      </c>
      <c r="T5780" s="119"/>
      <c r="U5780" s="118">
        <f t="shared" ref="U5780" si="7498">SUM(K5780:T5781)</f>
        <v>402030</v>
      </c>
      <c r="V5780" s="122"/>
      <c r="W5780" s="124"/>
      <c r="X5780" s="126" t="s">
        <v>17725</v>
      </c>
      <c r="Y5780" s="127"/>
      <c r="Z5780" s="127"/>
      <c r="AA5780" s="127"/>
      <c r="AB5780" s="128"/>
      <c r="AC5780" s="15" t="s">
        <v>20</v>
      </c>
      <c r="AD5780" s="129" t="s">
        <v>16862</v>
      </c>
      <c r="AE5780" s="130"/>
      <c r="AF5780" s="130"/>
      <c r="AG5780" s="130"/>
      <c r="AH5780" s="130"/>
      <c r="AI5780" s="131"/>
      <c r="AJ5780" s="132"/>
      <c r="AK5780" s="127"/>
      <c r="AL5780" s="128"/>
      <c r="AM5780" s="21"/>
      <c r="AN5780" s="133"/>
      <c r="AO5780" s="134"/>
      <c r="AP5780" s="135"/>
      <c r="AQ5780" s="136"/>
      <c r="AR5780" s="118"/>
      <c r="AS5780" s="119"/>
      <c r="AT5780" s="118">
        <f t="shared" ref="AT5780" si="7499">AR5780*0.1</f>
        <v>0</v>
      </c>
      <c r="AU5780" s="119"/>
      <c r="AV5780" s="118"/>
      <c r="AW5780" s="119"/>
      <c r="AX5780" s="118">
        <f t="shared" ref="AX5780" si="7500">SUM(AR5780:AW5780)</f>
        <v>0</v>
      </c>
      <c r="AY5780" s="119"/>
      <c r="AZ5780" s="137"/>
    </row>
    <row r="5781" spans="1:52" ht="17.100000000000001" customHeight="1" thickBot="1">
      <c r="A5781" s="110"/>
      <c r="B5781" s="27" t="s">
        <v>2699</v>
      </c>
      <c r="C5781" s="27">
        <v>3117</v>
      </c>
      <c r="D5781" s="14" t="s">
        <v>1556</v>
      </c>
      <c r="E5781" s="112"/>
      <c r="F5781" s="139" t="s">
        <v>16854</v>
      </c>
      <c r="G5781" s="140"/>
      <c r="H5781" s="141"/>
      <c r="I5781" s="26">
        <v>41451</v>
      </c>
      <c r="J5781" s="117"/>
      <c r="K5781" s="120"/>
      <c r="L5781" s="121"/>
      <c r="M5781" s="120"/>
      <c r="N5781" s="121"/>
      <c r="O5781" s="120"/>
      <c r="P5781" s="121"/>
      <c r="Q5781" s="120"/>
      <c r="R5781" s="121"/>
      <c r="S5781" s="120"/>
      <c r="T5781" s="121"/>
      <c r="U5781" s="120"/>
      <c r="V5781" s="123"/>
      <c r="W5781" s="125"/>
      <c r="X5781" s="142" t="s">
        <v>17726</v>
      </c>
      <c r="Y5781" s="143"/>
      <c r="Z5781" s="143"/>
      <c r="AA5781" s="143"/>
      <c r="AB5781" s="144"/>
      <c r="AC5781" s="16" t="s">
        <v>21</v>
      </c>
      <c r="AD5781" s="17" t="s">
        <v>2298</v>
      </c>
      <c r="AE5781" s="145" t="s">
        <v>1742</v>
      </c>
      <c r="AF5781" s="146"/>
      <c r="AG5781" s="146"/>
      <c r="AH5781" s="146"/>
      <c r="AI5781" s="147"/>
      <c r="AJ5781" s="148"/>
      <c r="AK5781" s="143"/>
      <c r="AL5781" s="144"/>
      <c r="AM5781" s="22"/>
      <c r="AN5781" s="149"/>
      <c r="AO5781" s="144"/>
      <c r="AP5781" s="148"/>
      <c r="AQ5781" s="144"/>
      <c r="AR5781" s="120"/>
      <c r="AS5781" s="121"/>
      <c r="AT5781" s="120"/>
      <c r="AU5781" s="121"/>
      <c r="AV5781" s="120"/>
      <c r="AW5781" s="121"/>
      <c r="AX5781" s="120"/>
      <c r="AY5781" s="121"/>
      <c r="AZ5781" s="138"/>
    </row>
    <row r="5782" spans="1:52" ht="17.100000000000001" customHeight="1" thickTop="1">
      <c r="A5782" s="109" t="s">
        <v>16858</v>
      </c>
      <c r="B5782" s="28">
        <v>46056</v>
      </c>
      <c r="C5782" s="25">
        <v>925</v>
      </c>
      <c r="D5782" s="13" t="s">
        <v>1651</v>
      </c>
      <c r="E5782" s="111"/>
      <c r="F5782" s="113" t="s">
        <v>16855</v>
      </c>
      <c r="G5782" s="114"/>
      <c r="H5782" s="115"/>
      <c r="I5782" s="24"/>
      <c r="J5782" s="116">
        <v>4</v>
      </c>
      <c r="K5782" s="118">
        <v>1259000</v>
      </c>
      <c r="L5782" s="119"/>
      <c r="M5782" s="118">
        <f t="shared" ref="M5782" si="7501">K5782*0.1</f>
        <v>125900</v>
      </c>
      <c r="N5782" s="119"/>
      <c r="O5782" s="118">
        <v>0</v>
      </c>
      <c r="P5782" s="119"/>
      <c r="Q5782" s="118">
        <v>7040</v>
      </c>
      <c r="R5782" s="119"/>
      <c r="S5782" s="118">
        <v>15950</v>
      </c>
      <c r="T5782" s="119"/>
      <c r="U5782" s="118">
        <f t="shared" ref="U5782" si="7502">SUM(K5782:T5783)</f>
        <v>1407890</v>
      </c>
      <c r="V5782" s="122"/>
      <c r="W5782" s="124"/>
      <c r="X5782" s="126" t="s">
        <v>17516</v>
      </c>
      <c r="Y5782" s="127"/>
      <c r="Z5782" s="127"/>
      <c r="AA5782" s="127"/>
      <c r="AB5782" s="128"/>
      <c r="AC5782" s="15" t="s">
        <v>20</v>
      </c>
      <c r="AD5782" s="129"/>
      <c r="AE5782" s="130"/>
      <c r="AF5782" s="130"/>
      <c r="AG5782" s="130"/>
      <c r="AH5782" s="130"/>
      <c r="AI5782" s="131"/>
      <c r="AJ5782" s="132"/>
      <c r="AK5782" s="127"/>
      <c r="AL5782" s="128"/>
      <c r="AM5782" s="21"/>
      <c r="AN5782" s="133">
        <v>46060</v>
      </c>
      <c r="AO5782" s="134"/>
      <c r="AP5782" s="135">
        <v>1287</v>
      </c>
      <c r="AQ5782" s="136"/>
      <c r="AR5782" s="118">
        <v>1330000</v>
      </c>
      <c r="AS5782" s="119"/>
      <c r="AT5782" s="118">
        <f t="shared" ref="AT5782" si="7503">AR5782*0.1</f>
        <v>133000</v>
      </c>
      <c r="AU5782" s="119"/>
      <c r="AV5782" s="118">
        <v>7040</v>
      </c>
      <c r="AW5782" s="119"/>
      <c r="AX5782" s="118">
        <f t="shared" ref="AX5782" si="7504">SUM(AR5782:AW5782)</f>
        <v>1470040</v>
      </c>
      <c r="AY5782" s="119"/>
      <c r="AZ5782" s="137">
        <v>46065</v>
      </c>
    </row>
    <row r="5783" spans="1:52" ht="17.100000000000001" customHeight="1" thickBot="1">
      <c r="A5783" s="110"/>
      <c r="B5783" s="27" t="s">
        <v>2699</v>
      </c>
      <c r="C5783" s="27">
        <v>3122</v>
      </c>
      <c r="D5783" s="14" t="s">
        <v>16864</v>
      </c>
      <c r="E5783" s="112"/>
      <c r="F5783" s="139" t="s">
        <v>16856</v>
      </c>
      <c r="G5783" s="140"/>
      <c r="H5783" s="141"/>
      <c r="I5783" s="26">
        <v>37962</v>
      </c>
      <c r="J5783" s="117"/>
      <c r="K5783" s="120"/>
      <c r="L5783" s="121"/>
      <c r="M5783" s="120"/>
      <c r="N5783" s="121"/>
      <c r="O5783" s="120"/>
      <c r="P5783" s="121"/>
      <c r="Q5783" s="120"/>
      <c r="R5783" s="121"/>
      <c r="S5783" s="120"/>
      <c r="T5783" s="121"/>
      <c r="U5783" s="120"/>
      <c r="V5783" s="123"/>
      <c r="W5783" s="125"/>
      <c r="X5783" s="142" t="s">
        <v>16224</v>
      </c>
      <c r="Y5783" s="143"/>
      <c r="Z5783" s="143"/>
      <c r="AA5783" s="143"/>
      <c r="AB5783" s="144"/>
      <c r="AC5783" s="16" t="s">
        <v>21</v>
      </c>
      <c r="AD5783" s="17" t="s">
        <v>2187</v>
      </c>
      <c r="AE5783" s="145" t="s">
        <v>2195</v>
      </c>
      <c r="AF5783" s="146"/>
      <c r="AG5783" s="146"/>
      <c r="AH5783" s="146"/>
      <c r="AI5783" s="147"/>
      <c r="AJ5783" s="148"/>
      <c r="AK5783" s="143"/>
      <c r="AL5783" s="144"/>
      <c r="AM5783" s="22"/>
      <c r="AN5783" s="149" t="s">
        <v>2511</v>
      </c>
      <c r="AO5783" s="144"/>
      <c r="AP5783" s="148">
        <v>60436</v>
      </c>
      <c r="AQ5783" s="144"/>
      <c r="AR5783" s="120"/>
      <c r="AS5783" s="121"/>
      <c r="AT5783" s="120"/>
      <c r="AU5783" s="121"/>
      <c r="AV5783" s="120"/>
      <c r="AW5783" s="121"/>
      <c r="AX5783" s="120"/>
      <c r="AY5783" s="121"/>
      <c r="AZ5783" s="138"/>
    </row>
    <row r="5784" spans="1:52" ht="17.100000000000001" customHeight="1" thickTop="1">
      <c r="A5784" s="109" t="s">
        <v>16859</v>
      </c>
      <c r="B5784" s="28">
        <v>46056</v>
      </c>
      <c r="C5784" s="25">
        <v>925</v>
      </c>
      <c r="D5784" s="13" t="s">
        <v>1920</v>
      </c>
      <c r="E5784" s="111"/>
      <c r="F5784" s="113" t="s">
        <v>16857</v>
      </c>
      <c r="G5784" s="114"/>
      <c r="H5784" s="115"/>
      <c r="I5784" s="24" t="s">
        <v>4390</v>
      </c>
      <c r="J5784" s="116">
        <v>4.5</v>
      </c>
      <c r="K5784" s="118">
        <v>1846000</v>
      </c>
      <c r="L5784" s="119"/>
      <c r="M5784" s="118">
        <f t="shared" ref="M5784" si="7505">K5784*0.1</f>
        <v>184600</v>
      </c>
      <c r="N5784" s="119"/>
      <c r="O5784" s="118">
        <v>3520</v>
      </c>
      <c r="P5784" s="119"/>
      <c r="Q5784" s="118">
        <v>20800</v>
      </c>
      <c r="R5784" s="119"/>
      <c r="S5784" s="118">
        <v>15950</v>
      </c>
      <c r="T5784" s="119"/>
      <c r="U5784" s="118">
        <f t="shared" ref="U5784" si="7506">SUM(K5784:T5785)</f>
        <v>2070870</v>
      </c>
      <c r="V5784" s="122"/>
      <c r="W5784" s="124"/>
      <c r="X5784" s="126" t="s">
        <v>16872</v>
      </c>
      <c r="Y5784" s="127"/>
      <c r="Z5784" s="127"/>
      <c r="AA5784" s="127"/>
      <c r="AB5784" s="128"/>
      <c r="AC5784" s="15" t="s">
        <v>20</v>
      </c>
      <c r="AD5784" s="129"/>
      <c r="AE5784" s="130"/>
      <c r="AF5784" s="130"/>
      <c r="AG5784" s="130"/>
      <c r="AH5784" s="130"/>
      <c r="AI5784" s="131"/>
      <c r="AJ5784" s="132"/>
      <c r="AK5784" s="127"/>
      <c r="AL5784" s="128"/>
      <c r="AM5784" s="21"/>
      <c r="AN5784" s="133">
        <v>46081</v>
      </c>
      <c r="AO5784" s="134"/>
      <c r="AP5784" s="135">
        <v>1290</v>
      </c>
      <c r="AQ5784" s="136"/>
      <c r="AR5784" s="118">
        <v>1950000</v>
      </c>
      <c r="AS5784" s="119"/>
      <c r="AT5784" s="118">
        <f t="shared" ref="AT5784" si="7507">AR5784*0.1</f>
        <v>195000</v>
      </c>
      <c r="AU5784" s="119"/>
      <c r="AV5784" s="118">
        <v>20800</v>
      </c>
      <c r="AW5784" s="119"/>
      <c r="AX5784" s="118">
        <f t="shared" ref="AX5784" si="7508">SUM(AR5784:AW5784)</f>
        <v>2165800</v>
      </c>
      <c r="AY5784" s="119"/>
      <c r="AZ5784" s="137">
        <v>46091</v>
      </c>
    </row>
    <row r="5785" spans="1:52" ht="17.100000000000001" customHeight="1" thickBot="1">
      <c r="A5785" s="110"/>
      <c r="B5785" s="27" t="s">
        <v>2699</v>
      </c>
      <c r="C5785" s="27">
        <v>5024</v>
      </c>
      <c r="D5785" s="14" t="s">
        <v>1720</v>
      </c>
      <c r="E5785" s="112"/>
      <c r="F5785" s="139" t="s">
        <v>16871</v>
      </c>
      <c r="G5785" s="140"/>
      <c r="H5785" s="141"/>
      <c r="I5785" s="26">
        <v>37831</v>
      </c>
      <c r="J5785" s="117"/>
      <c r="K5785" s="120"/>
      <c r="L5785" s="121"/>
      <c r="M5785" s="120"/>
      <c r="N5785" s="121"/>
      <c r="O5785" s="120"/>
      <c r="P5785" s="121"/>
      <c r="Q5785" s="120"/>
      <c r="R5785" s="121"/>
      <c r="S5785" s="120"/>
      <c r="T5785" s="121"/>
      <c r="U5785" s="120"/>
      <c r="V5785" s="123"/>
      <c r="W5785" s="125"/>
      <c r="X5785" s="142" t="s">
        <v>17530</v>
      </c>
      <c r="Y5785" s="143"/>
      <c r="Z5785" s="143"/>
      <c r="AA5785" s="143"/>
      <c r="AB5785" s="144"/>
      <c r="AC5785" s="16" t="s">
        <v>21</v>
      </c>
      <c r="AD5785" s="17" t="s">
        <v>2187</v>
      </c>
      <c r="AE5785" s="145" t="s">
        <v>17011</v>
      </c>
      <c r="AF5785" s="146"/>
      <c r="AG5785" s="146"/>
      <c r="AH5785" s="146"/>
      <c r="AI5785" s="147"/>
      <c r="AJ5785" s="148"/>
      <c r="AK5785" s="143"/>
      <c r="AL5785" s="144"/>
      <c r="AM5785" s="22"/>
      <c r="AN5785" s="149" t="s">
        <v>19374</v>
      </c>
      <c r="AO5785" s="144"/>
      <c r="AP5785" s="148">
        <v>80227</v>
      </c>
      <c r="AQ5785" s="144"/>
      <c r="AR5785" s="120"/>
      <c r="AS5785" s="121"/>
      <c r="AT5785" s="120"/>
      <c r="AU5785" s="121"/>
      <c r="AV5785" s="120"/>
      <c r="AW5785" s="121"/>
      <c r="AX5785" s="120"/>
      <c r="AY5785" s="121"/>
      <c r="AZ5785" s="138"/>
    </row>
    <row r="5786" spans="1:52" ht="17.100000000000001" customHeight="1" thickTop="1">
      <c r="A5786" s="109" t="s">
        <v>16873</v>
      </c>
      <c r="B5786" s="28">
        <v>46056</v>
      </c>
      <c r="C5786" s="25">
        <v>1274</v>
      </c>
      <c r="D5786" s="13" t="s">
        <v>1725</v>
      </c>
      <c r="E5786" s="111"/>
      <c r="F5786" s="113" t="s">
        <v>16879</v>
      </c>
      <c r="G5786" s="114"/>
      <c r="H5786" s="115"/>
      <c r="I5786" s="24"/>
      <c r="J5786" s="116">
        <v>4</v>
      </c>
      <c r="K5786" s="118">
        <v>1609000</v>
      </c>
      <c r="L5786" s="119"/>
      <c r="M5786" s="118">
        <f t="shared" ref="M5786" si="7509">K5786*0.1</f>
        <v>160900</v>
      </c>
      <c r="N5786" s="119"/>
      <c r="O5786" s="118">
        <v>0</v>
      </c>
      <c r="P5786" s="119"/>
      <c r="Q5786" s="118">
        <v>15250</v>
      </c>
      <c r="R5786" s="119"/>
      <c r="S5786" s="118">
        <v>18150</v>
      </c>
      <c r="T5786" s="119"/>
      <c r="U5786" s="118">
        <f t="shared" ref="U5786" si="7510">SUM(K5786:T5787)</f>
        <v>1803300</v>
      </c>
      <c r="V5786" s="122"/>
      <c r="W5786" s="124"/>
      <c r="X5786" s="126" t="s">
        <v>17426</v>
      </c>
      <c r="Y5786" s="127"/>
      <c r="Z5786" s="127"/>
      <c r="AA5786" s="127"/>
      <c r="AB5786" s="128"/>
      <c r="AC5786" s="15" t="s">
        <v>20</v>
      </c>
      <c r="AD5786" s="129" t="s">
        <v>1670</v>
      </c>
      <c r="AE5786" s="130"/>
      <c r="AF5786" s="130"/>
      <c r="AG5786" s="130"/>
      <c r="AH5786" s="130"/>
      <c r="AI5786" s="131"/>
      <c r="AJ5786" s="132"/>
      <c r="AK5786" s="127"/>
      <c r="AL5786" s="128"/>
      <c r="AM5786" s="21"/>
      <c r="AN5786" s="133">
        <v>46067</v>
      </c>
      <c r="AO5786" s="134"/>
      <c r="AP5786" s="135">
        <v>1288</v>
      </c>
      <c r="AQ5786" s="136"/>
      <c r="AR5786" s="118">
        <v>1765000</v>
      </c>
      <c r="AS5786" s="119"/>
      <c r="AT5786" s="118">
        <f t="shared" ref="AT5786" si="7511">AR5786*0.1</f>
        <v>176500</v>
      </c>
      <c r="AU5786" s="119"/>
      <c r="AV5786" s="118">
        <v>15250</v>
      </c>
      <c r="AW5786" s="119"/>
      <c r="AX5786" s="118">
        <f t="shared" ref="AX5786" si="7512">SUM(AR5786:AW5786)</f>
        <v>1956750</v>
      </c>
      <c r="AY5786" s="119"/>
      <c r="AZ5786" s="137">
        <v>46070</v>
      </c>
    </row>
    <row r="5787" spans="1:52" ht="17.100000000000001" customHeight="1" thickBot="1">
      <c r="A5787" s="110"/>
      <c r="B5787" s="27" t="s">
        <v>3600</v>
      </c>
      <c r="C5787" s="27">
        <v>38082</v>
      </c>
      <c r="D5787" s="14" t="s">
        <v>275</v>
      </c>
      <c r="E5787" s="112"/>
      <c r="F5787" s="139" t="s">
        <v>16878</v>
      </c>
      <c r="G5787" s="140"/>
      <c r="H5787" s="141"/>
      <c r="I5787" s="26">
        <v>21374</v>
      </c>
      <c r="J5787" s="117"/>
      <c r="K5787" s="120"/>
      <c r="L5787" s="121"/>
      <c r="M5787" s="120"/>
      <c r="N5787" s="121"/>
      <c r="O5787" s="120"/>
      <c r="P5787" s="121"/>
      <c r="Q5787" s="120"/>
      <c r="R5787" s="121"/>
      <c r="S5787" s="120"/>
      <c r="T5787" s="121"/>
      <c r="U5787" s="120"/>
      <c r="V5787" s="123"/>
      <c r="W5787" s="125"/>
      <c r="X5787" s="142" t="s">
        <v>1997</v>
      </c>
      <c r="Y5787" s="143"/>
      <c r="Z5787" s="143"/>
      <c r="AA5787" s="143"/>
      <c r="AB5787" s="144"/>
      <c r="AC5787" s="16" t="s">
        <v>21</v>
      </c>
      <c r="AD5787" s="17" t="s">
        <v>1845</v>
      </c>
      <c r="AE5787" s="145" t="s">
        <v>1742</v>
      </c>
      <c r="AF5787" s="146"/>
      <c r="AG5787" s="146"/>
      <c r="AH5787" s="146"/>
      <c r="AI5787" s="147"/>
      <c r="AJ5787" s="148"/>
      <c r="AK5787" s="143"/>
      <c r="AL5787" s="144"/>
      <c r="AM5787" s="22"/>
      <c r="AN5787" s="149" t="s">
        <v>2511</v>
      </c>
      <c r="AO5787" s="144"/>
      <c r="AP5787" s="148">
        <v>80152</v>
      </c>
      <c r="AQ5787" s="144"/>
      <c r="AR5787" s="120"/>
      <c r="AS5787" s="121"/>
      <c r="AT5787" s="120"/>
      <c r="AU5787" s="121"/>
      <c r="AV5787" s="120"/>
      <c r="AW5787" s="121"/>
      <c r="AX5787" s="120"/>
      <c r="AY5787" s="121"/>
      <c r="AZ5787" s="138"/>
    </row>
    <row r="5788" spans="1:52" ht="17.100000000000001" customHeight="1" thickTop="1">
      <c r="A5788" s="109" t="s">
        <v>16877</v>
      </c>
      <c r="B5788" s="28">
        <v>46057</v>
      </c>
      <c r="C5788" s="25">
        <v>1003</v>
      </c>
      <c r="D5788" s="13" t="s">
        <v>2530</v>
      </c>
      <c r="E5788" s="111"/>
      <c r="F5788" s="113" t="s">
        <v>15529</v>
      </c>
      <c r="G5788" s="114"/>
      <c r="H5788" s="115"/>
      <c r="I5788" s="24" t="s">
        <v>15945</v>
      </c>
      <c r="J5788" s="116">
        <v>5</v>
      </c>
      <c r="K5788" s="118">
        <v>1120000</v>
      </c>
      <c r="L5788" s="119"/>
      <c r="M5788" s="118">
        <f t="shared" ref="M5788" si="7513">K5788*0.1</f>
        <v>112000</v>
      </c>
      <c r="N5788" s="119"/>
      <c r="O5788" s="118">
        <v>0</v>
      </c>
      <c r="P5788" s="119"/>
      <c r="Q5788" s="118">
        <v>9150</v>
      </c>
      <c r="R5788" s="119"/>
      <c r="S5788" s="118">
        <v>11000</v>
      </c>
      <c r="T5788" s="119"/>
      <c r="U5788" s="118">
        <f t="shared" ref="U5788" si="7514">SUM(K5788:T5789)</f>
        <v>1252150</v>
      </c>
      <c r="V5788" s="122"/>
      <c r="W5788" s="124"/>
      <c r="X5788" s="126" t="s">
        <v>16875</v>
      </c>
      <c r="Y5788" s="127"/>
      <c r="Z5788" s="127"/>
      <c r="AA5788" s="127"/>
      <c r="AB5788" s="128"/>
      <c r="AC5788" s="15" t="s">
        <v>20</v>
      </c>
      <c r="AD5788" s="129" t="s">
        <v>4435</v>
      </c>
      <c r="AE5788" s="130"/>
      <c r="AF5788" s="130"/>
      <c r="AG5788" s="130"/>
      <c r="AH5788" s="130"/>
      <c r="AI5788" s="131"/>
      <c r="AJ5788" s="132"/>
      <c r="AK5788" s="127"/>
      <c r="AL5788" s="128"/>
      <c r="AM5788" s="21" t="s">
        <v>20354</v>
      </c>
      <c r="AN5788" s="133">
        <v>46095</v>
      </c>
      <c r="AO5788" s="134"/>
      <c r="AP5788" s="135">
        <v>1292</v>
      </c>
      <c r="AQ5788" s="136"/>
      <c r="AR5788" s="118">
        <v>1275000</v>
      </c>
      <c r="AS5788" s="119"/>
      <c r="AT5788" s="118">
        <f t="shared" ref="AT5788" si="7515">AR5788*0.1</f>
        <v>127500</v>
      </c>
      <c r="AU5788" s="119"/>
      <c r="AV5788" s="118">
        <v>9150</v>
      </c>
      <c r="AW5788" s="119"/>
      <c r="AX5788" s="118">
        <f t="shared" ref="AX5788" si="7516">SUM(AR5788:AW5788)</f>
        <v>1411650</v>
      </c>
      <c r="AY5788" s="119"/>
      <c r="AZ5788" s="137">
        <v>46100</v>
      </c>
    </row>
    <row r="5789" spans="1:52" ht="17.100000000000001" customHeight="1" thickBot="1">
      <c r="A5789" s="110"/>
      <c r="B5789" s="27" t="s">
        <v>2794</v>
      </c>
      <c r="C5789" s="27">
        <v>2003</v>
      </c>
      <c r="D5789" s="14" t="s">
        <v>2601</v>
      </c>
      <c r="E5789" s="112"/>
      <c r="F5789" s="139" t="s">
        <v>16874</v>
      </c>
      <c r="G5789" s="140"/>
      <c r="H5789" s="141"/>
      <c r="I5789" s="26">
        <v>2032</v>
      </c>
      <c r="J5789" s="117"/>
      <c r="K5789" s="120"/>
      <c r="L5789" s="121"/>
      <c r="M5789" s="120"/>
      <c r="N5789" s="121"/>
      <c r="O5789" s="120"/>
      <c r="P5789" s="121"/>
      <c r="Q5789" s="120"/>
      <c r="R5789" s="121"/>
      <c r="S5789" s="120"/>
      <c r="T5789" s="121"/>
      <c r="U5789" s="120"/>
      <c r="V5789" s="123"/>
      <c r="W5789" s="125"/>
      <c r="X5789" s="142" t="s">
        <v>17523</v>
      </c>
      <c r="Y5789" s="143"/>
      <c r="Z5789" s="143"/>
      <c r="AA5789" s="143"/>
      <c r="AB5789" s="144"/>
      <c r="AC5789" s="16" t="s">
        <v>21</v>
      </c>
      <c r="AD5789" s="17" t="s">
        <v>2187</v>
      </c>
      <c r="AE5789" s="145" t="s">
        <v>1633</v>
      </c>
      <c r="AF5789" s="146"/>
      <c r="AG5789" s="146"/>
      <c r="AH5789" s="146"/>
      <c r="AI5789" s="147"/>
      <c r="AJ5789" s="148"/>
      <c r="AK5789" s="143"/>
      <c r="AL5789" s="144"/>
      <c r="AM5789" s="22"/>
      <c r="AN5789" s="149" t="s">
        <v>2511</v>
      </c>
      <c r="AO5789" s="144"/>
      <c r="AP5789" s="148">
        <v>60458</v>
      </c>
      <c r="AQ5789" s="144"/>
      <c r="AR5789" s="120"/>
      <c r="AS5789" s="121"/>
      <c r="AT5789" s="120"/>
      <c r="AU5789" s="121"/>
      <c r="AV5789" s="120"/>
      <c r="AW5789" s="121"/>
      <c r="AX5789" s="120"/>
      <c r="AY5789" s="121"/>
      <c r="AZ5789" s="138"/>
    </row>
    <row r="5790" spans="1:52" ht="17.100000000000001" customHeight="1" thickTop="1">
      <c r="A5790" s="109" t="s">
        <v>16880</v>
      </c>
      <c r="B5790" s="28">
        <v>46057</v>
      </c>
      <c r="C5790" s="25">
        <v>2341</v>
      </c>
      <c r="D5790" s="13" t="s">
        <v>1059</v>
      </c>
      <c r="E5790" s="111"/>
      <c r="F5790" s="113" t="s">
        <v>16883</v>
      </c>
      <c r="G5790" s="114"/>
      <c r="H5790" s="115"/>
      <c r="I5790" s="24"/>
      <c r="J5790" s="116">
        <v>4.5</v>
      </c>
      <c r="K5790" s="118">
        <v>660000</v>
      </c>
      <c r="L5790" s="119"/>
      <c r="M5790" s="118">
        <f t="shared" ref="M5790" si="7517">K5790*0.1</f>
        <v>66000</v>
      </c>
      <c r="N5790" s="119"/>
      <c r="O5790" s="118">
        <v>0</v>
      </c>
      <c r="P5790" s="119"/>
      <c r="Q5790" s="118">
        <v>8010</v>
      </c>
      <c r="R5790" s="119"/>
      <c r="S5790" s="118">
        <v>16500</v>
      </c>
      <c r="T5790" s="119"/>
      <c r="U5790" s="118">
        <f t="shared" ref="U5790" si="7518">SUM(K5790:T5791)</f>
        <v>750510</v>
      </c>
      <c r="V5790" s="122"/>
      <c r="W5790" s="124"/>
      <c r="X5790" s="126" t="s">
        <v>17701</v>
      </c>
      <c r="Y5790" s="127"/>
      <c r="Z5790" s="127"/>
      <c r="AA5790" s="127"/>
      <c r="AB5790" s="128"/>
      <c r="AC5790" s="15" t="s">
        <v>20</v>
      </c>
      <c r="AD5790" s="129" t="s">
        <v>1670</v>
      </c>
      <c r="AE5790" s="130"/>
      <c r="AF5790" s="130"/>
      <c r="AG5790" s="130"/>
      <c r="AH5790" s="130"/>
      <c r="AI5790" s="131"/>
      <c r="AJ5790" s="132"/>
      <c r="AK5790" s="127"/>
      <c r="AL5790" s="128"/>
      <c r="AM5790" s="21"/>
      <c r="AN5790" s="133">
        <v>46074</v>
      </c>
      <c r="AO5790" s="134"/>
      <c r="AP5790" s="135">
        <v>1289</v>
      </c>
      <c r="AQ5790" s="136"/>
      <c r="AR5790" s="118">
        <v>750000</v>
      </c>
      <c r="AS5790" s="119"/>
      <c r="AT5790" s="118">
        <f t="shared" ref="AT5790" si="7519">AR5790*0.1</f>
        <v>75000</v>
      </c>
      <c r="AU5790" s="119"/>
      <c r="AV5790" s="118">
        <v>8010</v>
      </c>
      <c r="AW5790" s="119"/>
      <c r="AX5790" s="118">
        <f t="shared" ref="AX5790" si="7520">SUM(AR5790:AW5790)</f>
        <v>833010</v>
      </c>
      <c r="AY5790" s="119"/>
      <c r="AZ5790" s="137">
        <v>46077</v>
      </c>
    </row>
    <row r="5791" spans="1:52" ht="17.100000000000001" customHeight="1" thickBot="1">
      <c r="A5791" s="110"/>
      <c r="B5791" s="27" t="s">
        <v>3422</v>
      </c>
      <c r="C5791" s="27">
        <v>20116</v>
      </c>
      <c r="D5791" s="14" t="s">
        <v>1592</v>
      </c>
      <c r="E5791" s="112"/>
      <c r="F5791" s="139" t="s">
        <v>16884</v>
      </c>
      <c r="G5791" s="140"/>
      <c r="H5791" s="141"/>
      <c r="I5791" s="26">
        <v>49620</v>
      </c>
      <c r="J5791" s="117"/>
      <c r="K5791" s="120"/>
      <c r="L5791" s="121"/>
      <c r="M5791" s="120"/>
      <c r="N5791" s="121"/>
      <c r="O5791" s="120"/>
      <c r="P5791" s="121"/>
      <c r="Q5791" s="120"/>
      <c r="R5791" s="121"/>
      <c r="S5791" s="120"/>
      <c r="T5791" s="121"/>
      <c r="U5791" s="120"/>
      <c r="V5791" s="123"/>
      <c r="W5791" s="125"/>
      <c r="X5791" s="142" t="s">
        <v>4389</v>
      </c>
      <c r="Y5791" s="143"/>
      <c r="Z5791" s="143"/>
      <c r="AA5791" s="143"/>
      <c r="AB5791" s="144"/>
      <c r="AC5791" s="16" t="s">
        <v>21</v>
      </c>
      <c r="AD5791" s="17" t="s">
        <v>3577</v>
      </c>
      <c r="AE5791" s="145" t="s">
        <v>11427</v>
      </c>
      <c r="AF5791" s="146"/>
      <c r="AG5791" s="146"/>
      <c r="AH5791" s="146"/>
      <c r="AI5791" s="147"/>
      <c r="AJ5791" s="148"/>
      <c r="AK5791" s="143"/>
      <c r="AL5791" s="144"/>
      <c r="AM5791" s="22"/>
      <c r="AN5791" s="149" t="s">
        <v>2511</v>
      </c>
      <c r="AO5791" s="144"/>
      <c r="AP5791" s="148">
        <v>60083</v>
      </c>
      <c r="AQ5791" s="144"/>
      <c r="AR5791" s="120"/>
      <c r="AS5791" s="121"/>
      <c r="AT5791" s="120"/>
      <c r="AU5791" s="121"/>
      <c r="AV5791" s="120"/>
      <c r="AW5791" s="121"/>
      <c r="AX5791" s="120"/>
      <c r="AY5791" s="121"/>
      <c r="AZ5791" s="138"/>
    </row>
    <row r="5792" spans="1:52" ht="17.100000000000001" customHeight="1" thickTop="1">
      <c r="A5792" s="109" t="s">
        <v>16881</v>
      </c>
      <c r="B5792" s="28">
        <v>46057</v>
      </c>
      <c r="C5792" s="25">
        <v>2341</v>
      </c>
      <c r="D5792" s="13" t="s">
        <v>2465</v>
      </c>
      <c r="E5792" s="111"/>
      <c r="F5792" s="113" t="s">
        <v>5484</v>
      </c>
      <c r="G5792" s="114"/>
      <c r="H5792" s="115"/>
      <c r="I5792" s="24"/>
      <c r="J5792" s="116">
        <v>4</v>
      </c>
      <c r="K5792" s="118">
        <v>1060000</v>
      </c>
      <c r="L5792" s="119"/>
      <c r="M5792" s="118">
        <f t="shared" ref="M5792" si="7521">K5792*0.1</f>
        <v>106000</v>
      </c>
      <c r="N5792" s="119"/>
      <c r="O5792" s="118">
        <v>0</v>
      </c>
      <c r="P5792" s="119"/>
      <c r="Q5792" s="118">
        <v>10190</v>
      </c>
      <c r="R5792" s="119"/>
      <c r="S5792" s="118">
        <v>16500</v>
      </c>
      <c r="T5792" s="119"/>
      <c r="U5792" s="118">
        <f t="shared" ref="U5792" si="7522">SUM(K5792:T5793)</f>
        <v>1192690</v>
      </c>
      <c r="V5792" s="122"/>
      <c r="W5792" s="124"/>
      <c r="X5792" s="126" t="s">
        <v>16969</v>
      </c>
      <c r="Y5792" s="127"/>
      <c r="Z5792" s="127"/>
      <c r="AA5792" s="127"/>
      <c r="AB5792" s="128"/>
      <c r="AC5792" s="15" t="s">
        <v>20</v>
      </c>
      <c r="AD5792" s="129" t="s">
        <v>16888</v>
      </c>
      <c r="AE5792" s="130"/>
      <c r="AF5792" s="130"/>
      <c r="AG5792" s="130"/>
      <c r="AH5792" s="130"/>
      <c r="AI5792" s="131"/>
      <c r="AJ5792" s="132"/>
      <c r="AK5792" s="127"/>
      <c r="AL5792" s="128"/>
      <c r="AM5792" s="21"/>
      <c r="AN5792" s="133">
        <v>46085</v>
      </c>
      <c r="AO5792" s="134"/>
      <c r="AP5792" s="135">
        <v>1007</v>
      </c>
      <c r="AQ5792" s="136"/>
      <c r="AR5792" s="118">
        <v>1100000</v>
      </c>
      <c r="AS5792" s="119"/>
      <c r="AT5792" s="118">
        <f t="shared" ref="AT5792" si="7523">AR5792*0.1</f>
        <v>110000</v>
      </c>
      <c r="AU5792" s="119"/>
      <c r="AV5792" s="118">
        <v>10190</v>
      </c>
      <c r="AW5792" s="119"/>
      <c r="AX5792" s="118">
        <f t="shared" ref="AX5792" si="7524">SUM(AR5792:AW5792)</f>
        <v>1220190</v>
      </c>
      <c r="AY5792" s="119"/>
      <c r="AZ5792" s="137">
        <v>46090</v>
      </c>
    </row>
    <row r="5793" spans="1:52" ht="17.100000000000001" customHeight="1" thickBot="1">
      <c r="A5793" s="110"/>
      <c r="B5793" s="27" t="s">
        <v>3422</v>
      </c>
      <c r="C5793" s="27">
        <v>60039</v>
      </c>
      <c r="D5793" s="14" t="s">
        <v>2601</v>
      </c>
      <c r="E5793" s="112"/>
      <c r="F5793" s="139" t="s">
        <v>16885</v>
      </c>
      <c r="G5793" s="140"/>
      <c r="H5793" s="141"/>
      <c r="I5793" s="26">
        <v>75652</v>
      </c>
      <c r="J5793" s="117"/>
      <c r="K5793" s="120"/>
      <c r="L5793" s="121"/>
      <c r="M5793" s="120"/>
      <c r="N5793" s="121"/>
      <c r="O5793" s="120"/>
      <c r="P5793" s="121"/>
      <c r="Q5793" s="120"/>
      <c r="R5793" s="121"/>
      <c r="S5793" s="120"/>
      <c r="T5793" s="121"/>
      <c r="U5793" s="120"/>
      <c r="V5793" s="123"/>
      <c r="W5793" s="125"/>
      <c r="X5793" s="142" t="s">
        <v>2440</v>
      </c>
      <c r="Y5793" s="143"/>
      <c r="Z5793" s="143"/>
      <c r="AA5793" s="143"/>
      <c r="AB5793" s="144"/>
      <c r="AC5793" s="16" t="s">
        <v>21</v>
      </c>
      <c r="AD5793" s="17" t="s">
        <v>3550</v>
      </c>
      <c r="AE5793" s="145" t="s">
        <v>11998</v>
      </c>
      <c r="AF5793" s="146"/>
      <c r="AG5793" s="146"/>
      <c r="AH5793" s="146"/>
      <c r="AI5793" s="147"/>
      <c r="AJ5793" s="148"/>
      <c r="AK5793" s="143"/>
      <c r="AL5793" s="144"/>
      <c r="AM5793" s="22"/>
      <c r="AN5793" s="149" t="s">
        <v>7285</v>
      </c>
      <c r="AO5793" s="144"/>
      <c r="AP5793" s="148">
        <v>6106</v>
      </c>
      <c r="AQ5793" s="144"/>
      <c r="AR5793" s="120"/>
      <c r="AS5793" s="121"/>
      <c r="AT5793" s="120"/>
      <c r="AU5793" s="121"/>
      <c r="AV5793" s="120"/>
      <c r="AW5793" s="121"/>
      <c r="AX5793" s="120"/>
      <c r="AY5793" s="121"/>
      <c r="AZ5793" s="138"/>
    </row>
    <row r="5794" spans="1:52" ht="17.100000000000001" customHeight="1" thickTop="1">
      <c r="A5794" s="109" t="s">
        <v>16882</v>
      </c>
      <c r="B5794" s="28">
        <v>46057</v>
      </c>
      <c r="C5794" s="25">
        <v>2341</v>
      </c>
      <c r="D5794" s="13" t="s">
        <v>2530</v>
      </c>
      <c r="E5794" s="111"/>
      <c r="F5794" s="113" t="s">
        <v>16886</v>
      </c>
      <c r="G5794" s="114"/>
      <c r="H5794" s="115"/>
      <c r="I5794" s="24" t="s">
        <v>9428</v>
      </c>
      <c r="J5794" s="116">
        <v>5</v>
      </c>
      <c r="K5794" s="118">
        <v>1605000</v>
      </c>
      <c r="L5794" s="119"/>
      <c r="M5794" s="118">
        <f t="shared" ref="M5794" si="7525">K5794*0.1</f>
        <v>160500</v>
      </c>
      <c r="N5794" s="119"/>
      <c r="O5794" s="118">
        <f>2500+250</f>
        <v>2750</v>
      </c>
      <c r="P5794" s="119"/>
      <c r="Q5794" s="118">
        <v>11890</v>
      </c>
      <c r="R5794" s="119"/>
      <c r="S5794" s="118">
        <v>16500</v>
      </c>
      <c r="T5794" s="119"/>
      <c r="U5794" s="118">
        <f t="shared" ref="U5794" si="7526">SUM(K5794:T5795)</f>
        <v>1796640</v>
      </c>
      <c r="V5794" s="122"/>
      <c r="W5794" s="124"/>
      <c r="X5794" s="126" t="s">
        <v>17430</v>
      </c>
      <c r="Y5794" s="127"/>
      <c r="Z5794" s="127"/>
      <c r="AA5794" s="127"/>
      <c r="AB5794" s="128"/>
      <c r="AC5794" s="15" t="s">
        <v>20</v>
      </c>
      <c r="AD5794" s="129" t="s">
        <v>2198</v>
      </c>
      <c r="AE5794" s="130"/>
      <c r="AF5794" s="130"/>
      <c r="AG5794" s="130"/>
      <c r="AH5794" s="130"/>
      <c r="AI5794" s="131"/>
      <c r="AJ5794" s="132"/>
      <c r="AK5794" s="127"/>
      <c r="AL5794" s="128"/>
      <c r="AM5794" s="21"/>
      <c r="AN5794" s="133">
        <v>46081</v>
      </c>
      <c r="AO5794" s="134"/>
      <c r="AP5794" s="135">
        <v>1290</v>
      </c>
      <c r="AQ5794" s="136"/>
      <c r="AR5794" s="118">
        <v>1710000</v>
      </c>
      <c r="AS5794" s="119"/>
      <c r="AT5794" s="118">
        <f t="shared" ref="AT5794" si="7527">AR5794*0.1</f>
        <v>171000</v>
      </c>
      <c r="AU5794" s="119"/>
      <c r="AV5794" s="118">
        <v>11890</v>
      </c>
      <c r="AW5794" s="119"/>
      <c r="AX5794" s="118">
        <f t="shared" ref="AX5794" si="7528">SUM(AR5794:AW5794)</f>
        <v>1892890</v>
      </c>
      <c r="AY5794" s="119"/>
      <c r="AZ5794" s="137">
        <v>46084</v>
      </c>
    </row>
    <row r="5795" spans="1:52" ht="17.100000000000001" customHeight="1" thickBot="1">
      <c r="A5795" s="110"/>
      <c r="B5795" s="27" t="s">
        <v>3422</v>
      </c>
      <c r="C5795" s="27">
        <v>60073</v>
      </c>
      <c r="D5795" s="14" t="s">
        <v>1592</v>
      </c>
      <c r="E5795" s="112"/>
      <c r="F5795" s="139" t="s">
        <v>16887</v>
      </c>
      <c r="G5795" s="140"/>
      <c r="H5795" s="141"/>
      <c r="I5795" s="26">
        <v>17879</v>
      </c>
      <c r="J5795" s="117"/>
      <c r="K5795" s="120"/>
      <c r="L5795" s="121"/>
      <c r="M5795" s="120"/>
      <c r="N5795" s="121"/>
      <c r="O5795" s="120"/>
      <c r="P5795" s="121"/>
      <c r="Q5795" s="120"/>
      <c r="R5795" s="121"/>
      <c r="S5795" s="120"/>
      <c r="T5795" s="121"/>
      <c r="U5795" s="120"/>
      <c r="V5795" s="123"/>
      <c r="W5795" s="125"/>
      <c r="X5795" s="142" t="s">
        <v>14442</v>
      </c>
      <c r="Y5795" s="143"/>
      <c r="Z5795" s="143"/>
      <c r="AA5795" s="143"/>
      <c r="AB5795" s="144"/>
      <c r="AC5795" s="16" t="s">
        <v>21</v>
      </c>
      <c r="AD5795" s="17" t="s">
        <v>1845</v>
      </c>
      <c r="AE5795" s="145" t="s">
        <v>4453</v>
      </c>
      <c r="AF5795" s="146"/>
      <c r="AG5795" s="146"/>
      <c r="AH5795" s="146"/>
      <c r="AI5795" s="147"/>
      <c r="AJ5795" s="148"/>
      <c r="AK5795" s="143"/>
      <c r="AL5795" s="144"/>
      <c r="AM5795" s="22"/>
      <c r="AN5795" s="149" t="s">
        <v>2511</v>
      </c>
      <c r="AO5795" s="144"/>
      <c r="AP5795" s="148">
        <v>55273</v>
      </c>
      <c r="AQ5795" s="144"/>
      <c r="AR5795" s="120"/>
      <c r="AS5795" s="121"/>
      <c r="AT5795" s="120"/>
      <c r="AU5795" s="121"/>
      <c r="AV5795" s="120"/>
      <c r="AW5795" s="121"/>
      <c r="AX5795" s="120"/>
      <c r="AY5795" s="121"/>
      <c r="AZ5795" s="138"/>
    </row>
    <row r="5796" spans="1:52" ht="17.100000000000001" customHeight="1" thickTop="1">
      <c r="A5796" s="109" t="s">
        <v>17013</v>
      </c>
      <c r="B5796" s="28">
        <v>46057</v>
      </c>
      <c r="C5796" s="25">
        <v>1824</v>
      </c>
      <c r="D5796" s="13" t="s">
        <v>1586</v>
      </c>
      <c r="E5796" s="111"/>
      <c r="F5796" s="113" t="s">
        <v>17028</v>
      </c>
      <c r="G5796" s="114"/>
      <c r="H5796" s="115"/>
      <c r="I5796" s="24"/>
      <c r="J5796" s="116">
        <v>4.5</v>
      </c>
      <c r="K5796" s="118">
        <v>784000</v>
      </c>
      <c r="L5796" s="119"/>
      <c r="M5796" s="118">
        <f t="shared" ref="M5796" si="7529">K5796*0.1</f>
        <v>78400</v>
      </c>
      <c r="N5796" s="119"/>
      <c r="O5796" s="118">
        <v>0</v>
      </c>
      <c r="P5796" s="119"/>
      <c r="Q5796" s="118">
        <v>9200</v>
      </c>
      <c r="R5796" s="119"/>
      <c r="S5796" s="118">
        <v>18150</v>
      </c>
      <c r="T5796" s="119"/>
      <c r="U5796" s="118">
        <f t="shared" ref="U5796" si="7530">SUM(K5796:T5797)</f>
        <v>889750</v>
      </c>
      <c r="V5796" s="122"/>
      <c r="W5796" s="124"/>
      <c r="X5796" s="126" t="s">
        <v>17727</v>
      </c>
      <c r="Y5796" s="127"/>
      <c r="Z5796" s="127"/>
      <c r="AA5796" s="127"/>
      <c r="AB5796" s="128"/>
      <c r="AC5796" s="15" t="s">
        <v>20</v>
      </c>
      <c r="AD5796" s="129"/>
      <c r="AE5796" s="130"/>
      <c r="AF5796" s="130"/>
      <c r="AG5796" s="130"/>
      <c r="AH5796" s="130"/>
      <c r="AI5796" s="131"/>
      <c r="AJ5796" s="132"/>
      <c r="AK5796" s="127"/>
      <c r="AL5796" s="128"/>
      <c r="AM5796" s="21"/>
      <c r="AN5796" s="133">
        <v>46074</v>
      </c>
      <c r="AO5796" s="134"/>
      <c r="AP5796" s="135">
        <v>1289</v>
      </c>
      <c r="AQ5796" s="136"/>
      <c r="AR5796" s="118">
        <v>885000</v>
      </c>
      <c r="AS5796" s="119"/>
      <c r="AT5796" s="118">
        <f t="shared" ref="AT5796" si="7531">AR5796*0.1</f>
        <v>88500</v>
      </c>
      <c r="AU5796" s="119"/>
      <c r="AV5796" s="118">
        <v>9200</v>
      </c>
      <c r="AW5796" s="119"/>
      <c r="AX5796" s="118">
        <f t="shared" ref="AX5796" si="7532">SUM(AR5796:AW5796)</f>
        <v>982700</v>
      </c>
      <c r="AY5796" s="119"/>
      <c r="AZ5796" s="137">
        <v>46077</v>
      </c>
    </row>
    <row r="5797" spans="1:52" ht="17.100000000000001" customHeight="1" thickBot="1">
      <c r="A5797" s="110"/>
      <c r="B5797" s="27" t="s">
        <v>2559</v>
      </c>
      <c r="C5797" s="27">
        <v>3150</v>
      </c>
      <c r="D5797" s="14" t="s">
        <v>275</v>
      </c>
      <c r="E5797" s="112"/>
      <c r="F5797" s="139" t="s">
        <v>17029</v>
      </c>
      <c r="G5797" s="140"/>
      <c r="H5797" s="141"/>
      <c r="I5797" s="26">
        <v>70750</v>
      </c>
      <c r="J5797" s="117"/>
      <c r="K5797" s="120"/>
      <c r="L5797" s="121"/>
      <c r="M5797" s="120"/>
      <c r="N5797" s="121"/>
      <c r="O5797" s="120"/>
      <c r="P5797" s="121"/>
      <c r="Q5797" s="120"/>
      <c r="R5797" s="121"/>
      <c r="S5797" s="120"/>
      <c r="T5797" s="121"/>
      <c r="U5797" s="120"/>
      <c r="V5797" s="123"/>
      <c r="W5797" s="125"/>
      <c r="X5797" s="142" t="s">
        <v>17728</v>
      </c>
      <c r="Y5797" s="143"/>
      <c r="Z5797" s="143"/>
      <c r="AA5797" s="143"/>
      <c r="AB5797" s="144"/>
      <c r="AC5797" s="16" t="s">
        <v>21</v>
      </c>
      <c r="AD5797" s="17" t="s">
        <v>2298</v>
      </c>
      <c r="AE5797" s="145" t="s">
        <v>17729</v>
      </c>
      <c r="AF5797" s="146"/>
      <c r="AG5797" s="146"/>
      <c r="AH5797" s="146"/>
      <c r="AI5797" s="147"/>
      <c r="AJ5797" s="148"/>
      <c r="AK5797" s="143"/>
      <c r="AL5797" s="144"/>
      <c r="AM5797" s="22"/>
      <c r="AN5797" s="149" t="s">
        <v>2511</v>
      </c>
      <c r="AO5797" s="144"/>
      <c r="AP5797" s="148">
        <v>60097</v>
      </c>
      <c r="AQ5797" s="144"/>
      <c r="AR5797" s="120"/>
      <c r="AS5797" s="121"/>
      <c r="AT5797" s="120"/>
      <c r="AU5797" s="121"/>
      <c r="AV5797" s="120"/>
      <c r="AW5797" s="121"/>
      <c r="AX5797" s="120"/>
      <c r="AY5797" s="121"/>
      <c r="AZ5797" s="138"/>
    </row>
    <row r="5798" spans="1:52" ht="17.100000000000001" customHeight="1" thickTop="1">
      <c r="A5798" s="109" t="s">
        <v>17014</v>
      </c>
      <c r="B5798" s="28">
        <v>46057</v>
      </c>
      <c r="C5798" s="25">
        <v>1824</v>
      </c>
      <c r="D5798" s="13" t="s">
        <v>1929</v>
      </c>
      <c r="E5798" s="111"/>
      <c r="F5798" s="113" t="s">
        <v>17030</v>
      </c>
      <c r="G5798" s="114"/>
      <c r="H5798" s="115"/>
      <c r="I5798" s="24" t="s">
        <v>1559</v>
      </c>
      <c r="J5798" s="116">
        <v>4.5</v>
      </c>
      <c r="K5798" s="118">
        <v>795000</v>
      </c>
      <c r="L5798" s="119"/>
      <c r="M5798" s="118">
        <f t="shared" ref="M5798" si="7533">K5798*0.1</f>
        <v>79500</v>
      </c>
      <c r="N5798" s="119"/>
      <c r="O5798" s="118">
        <f>3200+320</f>
        <v>3520</v>
      </c>
      <c r="P5798" s="119"/>
      <c r="Q5798" s="118">
        <v>10830</v>
      </c>
      <c r="R5798" s="119"/>
      <c r="S5798" s="118">
        <v>18150</v>
      </c>
      <c r="T5798" s="119"/>
      <c r="U5798" s="118">
        <f t="shared" ref="U5798" si="7534">SUM(K5798:T5799)</f>
        <v>907000</v>
      </c>
      <c r="V5798" s="122"/>
      <c r="W5798" s="124"/>
      <c r="X5798" s="126" t="s">
        <v>17032</v>
      </c>
      <c r="Y5798" s="127"/>
      <c r="Z5798" s="127"/>
      <c r="AA5798" s="127"/>
      <c r="AB5798" s="128"/>
      <c r="AC5798" s="15" t="s">
        <v>20</v>
      </c>
      <c r="AD5798" s="129" t="s">
        <v>17033</v>
      </c>
      <c r="AE5798" s="130"/>
      <c r="AF5798" s="130"/>
      <c r="AG5798" s="130"/>
      <c r="AH5798" s="130"/>
      <c r="AI5798" s="131"/>
      <c r="AJ5798" s="132"/>
      <c r="AK5798" s="127"/>
      <c r="AL5798" s="128"/>
      <c r="AM5798" s="21"/>
      <c r="AN5798" s="133">
        <v>46060</v>
      </c>
      <c r="AO5798" s="134"/>
      <c r="AP5798" s="135">
        <v>1287</v>
      </c>
      <c r="AQ5798" s="136"/>
      <c r="AR5798" s="118">
        <v>920000</v>
      </c>
      <c r="AS5798" s="119"/>
      <c r="AT5798" s="118">
        <f t="shared" ref="AT5798" si="7535">AR5798*0.1</f>
        <v>92000</v>
      </c>
      <c r="AU5798" s="119"/>
      <c r="AV5798" s="118">
        <v>10830</v>
      </c>
      <c r="AW5798" s="119"/>
      <c r="AX5798" s="118">
        <f t="shared" ref="AX5798" si="7536">SUM(AR5798:AW5798)</f>
        <v>1022830</v>
      </c>
      <c r="AY5798" s="119"/>
      <c r="AZ5798" s="137">
        <v>46063</v>
      </c>
    </row>
    <row r="5799" spans="1:52" ht="17.100000000000001" customHeight="1" thickBot="1">
      <c r="A5799" s="110"/>
      <c r="B5799" s="27" t="s">
        <v>2559</v>
      </c>
      <c r="C5799" s="27">
        <v>30129</v>
      </c>
      <c r="D5799" s="14" t="s">
        <v>2601</v>
      </c>
      <c r="E5799" s="112"/>
      <c r="F5799" s="139" t="s">
        <v>17031</v>
      </c>
      <c r="G5799" s="140"/>
      <c r="H5799" s="141"/>
      <c r="I5799" s="26">
        <v>95204</v>
      </c>
      <c r="J5799" s="117"/>
      <c r="K5799" s="120"/>
      <c r="L5799" s="121"/>
      <c r="M5799" s="120"/>
      <c r="N5799" s="121"/>
      <c r="O5799" s="120"/>
      <c r="P5799" s="121"/>
      <c r="Q5799" s="120"/>
      <c r="R5799" s="121"/>
      <c r="S5799" s="120"/>
      <c r="T5799" s="121"/>
      <c r="U5799" s="120"/>
      <c r="V5799" s="123"/>
      <c r="W5799" s="125"/>
      <c r="X5799" s="142" t="s">
        <v>11084</v>
      </c>
      <c r="Y5799" s="143"/>
      <c r="Z5799" s="143"/>
      <c r="AA5799" s="143"/>
      <c r="AB5799" s="144"/>
      <c r="AC5799" s="16" t="s">
        <v>21</v>
      </c>
      <c r="AD5799" s="17" t="s">
        <v>1845</v>
      </c>
      <c r="AE5799" s="145" t="s">
        <v>17419</v>
      </c>
      <c r="AF5799" s="146"/>
      <c r="AG5799" s="146"/>
      <c r="AH5799" s="146"/>
      <c r="AI5799" s="147"/>
      <c r="AJ5799" s="148"/>
      <c r="AK5799" s="143"/>
      <c r="AL5799" s="144"/>
      <c r="AM5799" s="22"/>
      <c r="AN5799" s="149" t="s">
        <v>2511</v>
      </c>
      <c r="AO5799" s="144"/>
      <c r="AP5799" s="148">
        <v>113</v>
      </c>
      <c r="AQ5799" s="144"/>
      <c r="AR5799" s="120"/>
      <c r="AS5799" s="121"/>
      <c r="AT5799" s="120"/>
      <c r="AU5799" s="121"/>
      <c r="AV5799" s="120"/>
      <c r="AW5799" s="121"/>
      <c r="AX5799" s="120"/>
      <c r="AY5799" s="121"/>
      <c r="AZ5799" s="138"/>
    </row>
    <row r="5800" spans="1:52" ht="17.100000000000001" customHeight="1" thickTop="1">
      <c r="A5800" s="109" t="s">
        <v>17015</v>
      </c>
      <c r="B5800" s="28">
        <v>46057</v>
      </c>
      <c r="C5800" s="25">
        <v>1824</v>
      </c>
      <c r="D5800" s="13" t="s">
        <v>1675</v>
      </c>
      <c r="E5800" s="111"/>
      <c r="F5800" s="113" t="s">
        <v>1938</v>
      </c>
      <c r="G5800" s="114"/>
      <c r="H5800" s="115"/>
      <c r="I5800" s="24"/>
      <c r="J5800" s="116">
        <v>4</v>
      </c>
      <c r="K5800" s="118">
        <v>365000</v>
      </c>
      <c r="L5800" s="119"/>
      <c r="M5800" s="118">
        <f t="shared" ref="M5800" si="7537">K5800*0.1</f>
        <v>36500</v>
      </c>
      <c r="N5800" s="119"/>
      <c r="O5800" s="118">
        <v>0</v>
      </c>
      <c r="P5800" s="119"/>
      <c r="Q5800" s="118">
        <v>17700</v>
      </c>
      <c r="R5800" s="119"/>
      <c r="S5800" s="118">
        <v>18150</v>
      </c>
      <c r="T5800" s="119"/>
      <c r="U5800" s="118">
        <f t="shared" ref="U5800" si="7538">SUM(K5800:T5801)</f>
        <v>437350</v>
      </c>
      <c r="V5800" s="122"/>
      <c r="W5800" s="124"/>
      <c r="X5800" s="126" t="s">
        <v>17418</v>
      </c>
      <c r="Y5800" s="127"/>
      <c r="Z5800" s="127"/>
      <c r="AA5800" s="127"/>
      <c r="AB5800" s="128"/>
      <c r="AC5800" s="15" t="s">
        <v>20</v>
      </c>
      <c r="AD5800" s="129"/>
      <c r="AE5800" s="130"/>
      <c r="AF5800" s="130"/>
      <c r="AG5800" s="130"/>
      <c r="AH5800" s="130"/>
      <c r="AI5800" s="131"/>
      <c r="AJ5800" s="132"/>
      <c r="AK5800" s="127"/>
      <c r="AL5800" s="128"/>
      <c r="AM5800" s="21"/>
      <c r="AN5800" s="133">
        <v>46060</v>
      </c>
      <c r="AO5800" s="134"/>
      <c r="AP5800" s="135">
        <v>1287</v>
      </c>
      <c r="AQ5800" s="136"/>
      <c r="AR5800" s="118">
        <v>490000</v>
      </c>
      <c r="AS5800" s="119"/>
      <c r="AT5800" s="118">
        <f t="shared" ref="AT5800" si="7539">AR5800*0.1</f>
        <v>49000</v>
      </c>
      <c r="AU5800" s="119"/>
      <c r="AV5800" s="118">
        <v>17700</v>
      </c>
      <c r="AW5800" s="119"/>
      <c r="AX5800" s="118">
        <f t="shared" ref="AX5800" si="7540">SUM(AR5800:AW5800)</f>
        <v>556700</v>
      </c>
      <c r="AY5800" s="119"/>
      <c r="AZ5800" s="137">
        <v>46063</v>
      </c>
    </row>
    <row r="5801" spans="1:52" ht="17.100000000000001" customHeight="1" thickBot="1">
      <c r="A5801" s="110"/>
      <c r="B5801" s="27" t="s">
        <v>2559</v>
      </c>
      <c r="C5801" s="27">
        <v>38025</v>
      </c>
      <c r="D5801" s="14" t="s">
        <v>904</v>
      </c>
      <c r="E5801" s="112"/>
      <c r="F5801" s="139" t="s">
        <v>17034</v>
      </c>
      <c r="G5801" s="140"/>
      <c r="H5801" s="141"/>
      <c r="I5801" s="26">
        <v>67777</v>
      </c>
      <c r="J5801" s="117"/>
      <c r="K5801" s="120"/>
      <c r="L5801" s="121"/>
      <c r="M5801" s="120"/>
      <c r="N5801" s="121"/>
      <c r="O5801" s="120"/>
      <c r="P5801" s="121"/>
      <c r="Q5801" s="120"/>
      <c r="R5801" s="121"/>
      <c r="S5801" s="120"/>
      <c r="T5801" s="121"/>
      <c r="U5801" s="120"/>
      <c r="V5801" s="123"/>
      <c r="W5801" s="125"/>
      <c r="X5801" s="142" t="s">
        <v>11084</v>
      </c>
      <c r="Y5801" s="143"/>
      <c r="Z5801" s="143"/>
      <c r="AA5801" s="143"/>
      <c r="AB5801" s="144"/>
      <c r="AC5801" s="16" t="s">
        <v>21</v>
      </c>
      <c r="AD5801" s="17" t="s">
        <v>1845</v>
      </c>
      <c r="AE5801" s="145" t="s">
        <v>2269</v>
      </c>
      <c r="AF5801" s="146"/>
      <c r="AG5801" s="146"/>
      <c r="AH5801" s="146"/>
      <c r="AI5801" s="147"/>
      <c r="AJ5801" s="148"/>
      <c r="AK5801" s="143"/>
      <c r="AL5801" s="144"/>
      <c r="AM5801" s="22"/>
      <c r="AN5801" s="149" t="s">
        <v>2511</v>
      </c>
      <c r="AO5801" s="144"/>
      <c r="AP5801" s="148">
        <v>80391</v>
      </c>
      <c r="AQ5801" s="144"/>
      <c r="AR5801" s="120"/>
      <c r="AS5801" s="121"/>
      <c r="AT5801" s="120"/>
      <c r="AU5801" s="121"/>
      <c r="AV5801" s="120"/>
      <c r="AW5801" s="121"/>
      <c r="AX5801" s="120"/>
      <c r="AY5801" s="121"/>
      <c r="AZ5801" s="138"/>
    </row>
    <row r="5802" spans="1:52" ht="17.100000000000001" customHeight="1" thickTop="1">
      <c r="A5802" s="109" t="s">
        <v>17023</v>
      </c>
      <c r="B5802" s="28">
        <v>46057</v>
      </c>
      <c r="C5802" s="25">
        <v>1824</v>
      </c>
      <c r="D5802" s="13" t="s">
        <v>1776</v>
      </c>
      <c r="E5802" s="111"/>
      <c r="F5802" s="113" t="s">
        <v>1938</v>
      </c>
      <c r="G5802" s="114"/>
      <c r="H5802" s="115"/>
      <c r="I5802" s="24"/>
      <c r="J5802" s="116">
        <v>4.5</v>
      </c>
      <c r="K5802" s="118">
        <v>420000</v>
      </c>
      <c r="L5802" s="119"/>
      <c r="M5802" s="118">
        <f t="shared" ref="M5802" si="7541">K5802*0.1</f>
        <v>42000</v>
      </c>
      <c r="N5802" s="119"/>
      <c r="O5802" s="118">
        <v>0</v>
      </c>
      <c r="P5802" s="119"/>
      <c r="Q5802" s="118">
        <v>17700</v>
      </c>
      <c r="R5802" s="119"/>
      <c r="S5802" s="118">
        <v>18150</v>
      </c>
      <c r="T5802" s="119"/>
      <c r="U5802" s="118">
        <f t="shared" ref="U5802" si="7542">SUM(K5802:T5803)</f>
        <v>497850</v>
      </c>
      <c r="V5802" s="122"/>
      <c r="W5802" s="124"/>
      <c r="X5802" s="126" t="s">
        <v>17038</v>
      </c>
      <c r="Y5802" s="127"/>
      <c r="Z5802" s="127"/>
      <c r="AA5802" s="127"/>
      <c r="AB5802" s="128"/>
      <c r="AC5802" s="15" t="s">
        <v>20</v>
      </c>
      <c r="AD5802" s="129"/>
      <c r="AE5802" s="130"/>
      <c r="AF5802" s="130"/>
      <c r="AG5802" s="130"/>
      <c r="AH5802" s="130"/>
      <c r="AI5802" s="131"/>
      <c r="AJ5802" s="132"/>
      <c r="AK5802" s="127"/>
      <c r="AL5802" s="128"/>
      <c r="AM5802" s="21"/>
      <c r="AN5802" s="133">
        <v>46067</v>
      </c>
      <c r="AO5802" s="134"/>
      <c r="AP5802" s="135">
        <v>1288</v>
      </c>
      <c r="AQ5802" s="136"/>
      <c r="AR5802" s="118">
        <v>520000</v>
      </c>
      <c r="AS5802" s="119"/>
      <c r="AT5802" s="118">
        <f t="shared" ref="AT5802" si="7543">AR5802*0.1</f>
        <v>52000</v>
      </c>
      <c r="AU5802" s="119"/>
      <c r="AV5802" s="118">
        <v>17700</v>
      </c>
      <c r="AW5802" s="119"/>
      <c r="AX5802" s="118">
        <f t="shared" ref="AX5802" si="7544">SUM(AR5802:AW5802)</f>
        <v>589700</v>
      </c>
      <c r="AY5802" s="119"/>
      <c r="AZ5802" s="137">
        <v>46070</v>
      </c>
    </row>
    <row r="5803" spans="1:52" ht="17.100000000000001" customHeight="1" thickBot="1">
      <c r="A5803" s="110"/>
      <c r="B5803" s="27" t="s">
        <v>2559</v>
      </c>
      <c r="C5803" s="27">
        <v>38046</v>
      </c>
      <c r="D5803" s="14" t="s">
        <v>904</v>
      </c>
      <c r="E5803" s="112"/>
      <c r="F5803" s="139" t="s">
        <v>17035</v>
      </c>
      <c r="G5803" s="140"/>
      <c r="H5803" s="141"/>
      <c r="I5803" s="26">
        <v>43298</v>
      </c>
      <c r="J5803" s="117"/>
      <c r="K5803" s="120"/>
      <c r="L5803" s="121"/>
      <c r="M5803" s="120"/>
      <c r="N5803" s="121"/>
      <c r="O5803" s="120"/>
      <c r="P5803" s="121"/>
      <c r="Q5803" s="120"/>
      <c r="R5803" s="121"/>
      <c r="S5803" s="120"/>
      <c r="T5803" s="121"/>
      <c r="U5803" s="120"/>
      <c r="V5803" s="123"/>
      <c r="W5803" s="125"/>
      <c r="X5803" s="142" t="s">
        <v>1673</v>
      </c>
      <c r="Y5803" s="143"/>
      <c r="Z5803" s="143"/>
      <c r="AA5803" s="143"/>
      <c r="AB5803" s="144"/>
      <c r="AC5803" s="16" t="s">
        <v>21</v>
      </c>
      <c r="AD5803" s="17" t="s">
        <v>3322</v>
      </c>
      <c r="AE5803" s="145" t="s">
        <v>8463</v>
      </c>
      <c r="AF5803" s="146"/>
      <c r="AG5803" s="146"/>
      <c r="AH5803" s="146"/>
      <c r="AI5803" s="147"/>
      <c r="AJ5803" s="148"/>
      <c r="AK5803" s="143"/>
      <c r="AL5803" s="144"/>
      <c r="AM5803" s="22"/>
      <c r="AN5803" s="149" t="s">
        <v>2511</v>
      </c>
      <c r="AO5803" s="144"/>
      <c r="AP5803" s="148">
        <v>80007</v>
      </c>
      <c r="AQ5803" s="144"/>
      <c r="AR5803" s="120"/>
      <c r="AS5803" s="121"/>
      <c r="AT5803" s="120"/>
      <c r="AU5803" s="121"/>
      <c r="AV5803" s="120"/>
      <c r="AW5803" s="121"/>
      <c r="AX5803" s="120"/>
      <c r="AY5803" s="121"/>
      <c r="AZ5803" s="138"/>
    </row>
    <row r="5804" spans="1:52" ht="17.100000000000001" customHeight="1" thickTop="1">
      <c r="A5804" s="109" t="s">
        <v>17024</v>
      </c>
      <c r="B5804" s="28">
        <v>46057</v>
      </c>
      <c r="C5804" s="25">
        <v>1824</v>
      </c>
      <c r="D5804" s="13" t="s">
        <v>1902</v>
      </c>
      <c r="E5804" s="111"/>
      <c r="F5804" s="113" t="s">
        <v>17036</v>
      </c>
      <c r="G5804" s="114"/>
      <c r="H5804" s="115"/>
      <c r="I5804" s="24"/>
      <c r="J5804" s="116">
        <v>4.5</v>
      </c>
      <c r="K5804" s="118">
        <v>2880000</v>
      </c>
      <c r="L5804" s="119"/>
      <c r="M5804" s="118">
        <f t="shared" ref="M5804" si="7545">K5804*0.1</f>
        <v>288000</v>
      </c>
      <c r="N5804" s="119"/>
      <c r="O5804" s="118">
        <v>0</v>
      </c>
      <c r="P5804" s="119"/>
      <c r="Q5804" s="118">
        <v>17800</v>
      </c>
      <c r="R5804" s="119"/>
      <c r="S5804" s="118">
        <v>18150</v>
      </c>
      <c r="T5804" s="119"/>
      <c r="U5804" s="118">
        <f t="shared" ref="U5804" si="7546">SUM(K5804:T5805)</f>
        <v>3203950</v>
      </c>
      <c r="V5804" s="122"/>
      <c r="W5804" s="124"/>
      <c r="X5804" s="126" t="s">
        <v>17535</v>
      </c>
      <c r="Y5804" s="127"/>
      <c r="Z5804" s="127"/>
      <c r="AA5804" s="127"/>
      <c r="AB5804" s="128"/>
      <c r="AC5804" s="15" t="s">
        <v>20</v>
      </c>
      <c r="AD5804" s="129"/>
      <c r="AE5804" s="130"/>
      <c r="AF5804" s="130"/>
      <c r="AG5804" s="130"/>
      <c r="AH5804" s="130"/>
      <c r="AI5804" s="131"/>
      <c r="AJ5804" s="132"/>
      <c r="AK5804" s="127"/>
      <c r="AL5804" s="128"/>
      <c r="AM5804" s="21"/>
      <c r="AN5804" s="133">
        <v>46114</v>
      </c>
      <c r="AO5804" s="134"/>
      <c r="AP5804" s="135"/>
      <c r="AQ5804" s="136"/>
      <c r="AR5804" s="118">
        <v>3100000</v>
      </c>
      <c r="AS5804" s="119"/>
      <c r="AT5804" s="118">
        <f t="shared" ref="AT5804" si="7547">AR5804*0.1</f>
        <v>310000</v>
      </c>
      <c r="AU5804" s="119"/>
      <c r="AV5804" s="118">
        <v>17800</v>
      </c>
      <c r="AW5804" s="119"/>
      <c r="AX5804" s="118">
        <f t="shared" ref="AX5804" si="7548">SUM(AR5804:AW5804)</f>
        <v>3427800</v>
      </c>
      <c r="AY5804" s="119"/>
      <c r="AZ5804" s="137"/>
    </row>
    <row r="5805" spans="1:52" ht="17.100000000000001" customHeight="1" thickBot="1">
      <c r="A5805" s="110"/>
      <c r="B5805" s="27" t="s">
        <v>2559</v>
      </c>
      <c r="C5805" s="27">
        <v>38058</v>
      </c>
      <c r="D5805" s="14" t="s">
        <v>2206</v>
      </c>
      <c r="E5805" s="112"/>
      <c r="F5805" s="139" t="s">
        <v>17037</v>
      </c>
      <c r="G5805" s="140"/>
      <c r="H5805" s="141"/>
      <c r="I5805" s="26">
        <v>31908</v>
      </c>
      <c r="J5805" s="117"/>
      <c r="K5805" s="120"/>
      <c r="L5805" s="121"/>
      <c r="M5805" s="120"/>
      <c r="N5805" s="121"/>
      <c r="O5805" s="120"/>
      <c r="P5805" s="121"/>
      <c r="Q5805" s="120"/>
      <c r="R5805" s="121"/>
      <c r="S5805" s="120"/>
      <c r="T5805" s="121"/>
      <c r="U5805" s="120"/>
      <c r="V5805" s="123"/>
      <c r="W5805" s="125"/>
      <c r="X5805" s="142" t="s">
        <v>4970</v>
      </c>
      <c r="Y5805" s="143"/>
      <c r="Z5805" s="143"/>
      <c r="AA5805" s="143"/>
      <c r="AB5805" s="144"/>
      <c r="AC5805" s="16" t="s">
        <v>21</v>
      </c>
      <c r="AD5805" s="17" t="s">
        <v>2187</v>
      </c>
      <c r="AE5805" s="145" t="s">
        <v>5319</v>
      </c>
      <c r="AF5805" s="146"/>
      <c r="AG5805" s="146"/>
      <c r="AH5805" s="146"/>
      <c r="AI5805" s="147"/>
      <c r="AJ5805" s="148"/>
      <c r="AK5805" s="143"/>
      <c r="AL5805" s="144"/>
      <c r="AM5805" s="22"/>
      <c r="AN5805" s="149" t="s">
        <v>6789</v>
      </c>
      <c r="AO5805" s="144"/>
      <c r="AP5805" s="148">
        <v>48349</v>
      </c>
      <c r="AQ5805" s="144"/>
      <c r="AR5805" s="120"/>
      <c r="AS5805" s="121"/>
      <c r="AT5805" s="120"/>
      <c r="AU5805" s="121"/>
      <c r="AV5805" s="120"/>
      <c r="AW5805" s="121"/>
      <c r="AX5805" s="120"/>
      <c r="AY5805" s="121"/>
      <c r="AZ5805" s="138"/>
    </row>
    <row r="5806" spans="1:52" ht="17.100000000000001" customHeight="1" thickTop="1">
      <c r="A5806" s="109" t="s">
        <v>17025</v>
      </c>
      <c r="B5806" s="28">
        <v>46058</v>
      </c>
      <c r="C5806" s="25">
        <v>1317</v>
      </c>
      <c r="D5806" s="13" t="s">
        <v>2963</v>
      </c>
      <c r="E5806" s="111"/>
      <c r="F5806" s="113" t="s">
        <v>17021</v>
      </c>
      <c r="G5806" s="114"/>
      <c r="H5806" s="115"/>
      <c r="I5806" s="24" t="s">
        <v>1547</v>
      </c>
      <c r="J5806" s="116">
        <v>4.5</v>
      </c>
      <c r="K5806" s="118">
        <v>3150000</v>
      </c>
      <c r="L5806" s="119"/>
      <c r="M5806" s="118">
        <f t="shared" ref="M5806" si="7549">K5806*0.1</f>
        <v>315000</v>
      </c>
      <c r="N5806" s="119"/>
      <c r="O5806" s="118">
        <v>3300</v>
      </c>
      <c r="P5806" s="119"/>
      <c r="Q5806" s="118">
        <v>17210</v>
      </c>
      <c r="R5806" s="119"/>
      <c r="S5806" s="118">
        <v>16500</v>
      </c>
      <c r="T5806" s="119"/>
      <c r="U5806" s="118">
        <f t="shared" ref="U5806" si="7550">SUM(K5806:T5807)</f>
        <v>3502010</v>
      </c>
      <c r="V5806" s="122"/>
      <c r="W5806" s="124"/>
      <c r="X5806" s="126" t="s">
        <v>17022</v>
      </c>
      <c r="Y5806" s="127"/>
      <c r="Z5806" s="127"/>
      <c r="AA5806" s="127"/>
      <c r="AB5806" s="128"/>
      <c r="AC5806" s="15" t="s">
        <v>20</v>
      </c>
      <c r="AD5806" s="129"/>
      <c r="AE5806" s="130"/>
      <c r="AF5806" s="130"/>
      <c r="AG5806" s="130"/>
      <c r="AH5806" s="130"/>
      <c r="AI5806" s="131"/>
      <c r="AJ5806" s="132"/>
      <c r="AK5806" s="127"/>
      <c r="AL5806" s="128"/>
      <c r="AM5806" s="21"/>
      <c r="AN5806" s="133">
        <v>46081</v>
      </c>
      <c r="AO5806" s="134"/>
      <c r="AP5806" s="135">
        <v>1290</v>
      </c>
      <c r="AQ5806" s="136"/>
      <c r="AR5806" s="118">
        <v>3315000</v>
      </c>
      <c r="AS5806" s="119"/>
      <c r="AT5806" s="118">
        <f t="shared" ref="AT5806" si="7551">AR5806*0.1</f>
        <v>331500</v>
      </c>
      <c r="AU5806" s="119"/>
      <c r="AV5806" s="118">
        <v>17210</v>
      </c>
      <c r="AW5806" s="119"/>
      <c r="AX5806" s="118">
        <f t="shared" ref="AX5806" si="7552">SUM(AR5806:AW5806)</f>
        <v>3663710</v>
      </c>
      <c r="AY5806" s="119"/>
      <c r="AZ5806" s="137">
        <v>46084</v>
      </c>
    </row>
    <row r="5807" spans="1:52" ht="17.100000000000001" customHeight="1" thickBot="1">
      <c r="A5807" s="110"/>
      <c r="B5807" s="27" t="s">
        <v>13663</v>
      </c>
      <c r="C5807" s="27">
        <v>79</v>
      </c>
      <c r="D5807" s="14" t="s">
        <v>2601</v>
      </c>
      <c r="E5807" s="112"/>
      <c r="F5807" s="139" t="s">
        <v>17016</v>
      </c>
      <c r="G5807" s="140"/>
      <c r="H5807" s="141"/>
      <c r="I5807" s="26">
        <v>25726</v>
      </c>
      <c r="J5807" s="117"/>
      <c r="K5807" s="120"/>
      <c r="L5807" s="121"/>
      <c r="M5807" s="120"/>
      <c r="N5807" s="121"/>
      <c r="O5807" s="120"/>
      <c r="P5807" s="121"/>
      <c r="Q5807" s="120"/>
      <c r="R5807" s="121"/>
      <c r="S5807" s="120"/>
      <c r="T5807" s="121"/>
      <c r="U5807" s="120"/>
      <c r="V5807" s="123"/>
      <c r="W5807" s="125"/>
      <c r="X5807" s="142" t="s">
        <v>1656</v>
      </c>
      <c r="Y5807" s="143"/>
      <c r="Z5807" s="143"/>
      <c r="AA5807" s="143"/>
      <c r="AB5807" s="144"/>
      <c r="AC5807" s="16" t="s">
        <v>21</v>
      </c>
      <c r="AD5807" s="17" t="s">
        <v>1845</v>
      </c>
      <c r="AE5807" s="145" t="s">
        <v>9493</v>
      </c>
      <c r="AF5807" s="146"/>
      <c r="AG5807" s="146"/>
      <c r="AH5807" s="146"/>
      <c r="AI5807" s="147"/>
      <c r="AJ5807" s="148"/>
      <c r="AK5807" s="143"/>
      <c r="AL5807" s="144"/>
      <c r="AM5807" s="22"/>
      <c r="AN5807" s="149" t="s">
        <v>2511</v>
      </c>
      <c r="AO5807" s="144"/>
      <c r="AP5807" s="148">
        <v>80170</v>
      </c>
      <c r="AQ5807" s="144"/>
      <c r="AR5807" s="120"/>
      <c r="AS5807" s="121"/>
      <c r="AT5807" s="120"/>
      <c r="AU5807" s="121"/>
      <c r="AV5807" s="120"/>
      <c r="AW5807" s="121"/>
      <c r="AX5807" s="120"/>
      <c r="AY5807" s="121"/>
      <c r="AZ5807" s="138"/>
    </row>
    <row r="5808" spans="1:52" ht="17.100000000000001" customHeight="1" thickTop="1">
      <c r="A5808" s="109" t="s">
        <v>17026</v>
      </c>
      <c r="B5808" s="28">
        <v>46058</v>
      </c>
      <c r="C5808" s="25">
        <v>1317</v>
      </c>
      <c r="D5808" s="13" t="s">
        <v>2322</v>
      </c>
      <c r="E5808" s="111"/>
      <c r="F5808" s="113" t="s">
        <v>17017</v>
      </c>
      <c r="G5808" s="114"/>
      <c r="H5808" s="115"/>
      <c r="I5808" s="24"/>
      <c r="J5808" s="116">
        <v>4.5</v>
      </c>
      <c r="K5808" s="118">
        <v>1340000</v>
      </c>
      <c r="L5808" s="119"/>
      <c r="M5808" s="118">
        <f t="shared" ref="M5808" si="7553">K5808*0.1</f>
        <v>134000</v>
      </c>
      <c r="N5808" s="119"/>
      <c r="O5808" s="118">
        <v>0</v>
      </c>
      <c r="P5808" s="119"/>
      <c r="Q5808" s="118">
        <v>15280</v>
      </c>
      <c r="R5808" s="119"/>
      <c r="S5808" s="118">
        <v>16500</v>
      </c>
      <c r="T5808" s="119"/>
      <c r="U5808" s="118">
        <f t="shared" ref="U5808" si="7554">SUM(K5808:T5809)</f>
        <v>1505780</v>
      </c>
      <c r="V5808" s="122"/>
      <c r="W5808" s="124"/>
      <c r="X5808" s="126" t="s">
        <v>17513</v>
      </c>
      <c r="Y5808" s="127"/>
      <c r="Z5808" s="127"/>
      <c r="AA5808" s="127"/>
      <c r="AB5808" s="128"/>
      <c r="AC5808" s="15" t="s">
        <v>20</v>
      </c>
      <c r="AD5808" s="129" t="s">
        <v>1565</v>
      </c>
      <c r="AE5808" s="130"/>
      <c r="AF5808" s="130"/>
      <c r="AG5808" s="130"/>
      <c r="AH5808" s="130"/>
      <c r="AI5808" s="131"/>
      <c r="AJ5808" s="132"/>
      <c r="AK5808" s="127"/>
      <c r="AL5808" s="128"/>
      <c r="AM5808" s="21"/>
      <c r="AN5808" s="133">
        <v>46060</v>
      </c>
      <c r="AO5808" s="134"/>
      <c r="AP5808" s="135">
        <v>1287</v>
      </c>
      <c r="AQ5808" s="136"/>
      <c r="AR5808" s="118">
        <v>1475000</v>
      </c>
      <c r="AS5808" s="119"/>
      <c r="AT5808" s="118">
        <f t="shared" ref="AT5808" si="7555">AR5808*0.1</f>
        <v>147500</v>
      </c>
      <c r="AU5808" s="119"/>
      <c r="AV5808" s="118">
        <v>15280</v>
      </c>
      <c r="AW5808" s="119"/>
      <c r="AX5808" s="118">
        <f t="shared" ref="AX5808" si="7556">SUM(AR5808:AW5808)</f>
        <v>1637780</v>
      </c>
      <c r="AY5808" s="119"/>
      <c r="AZ5808" s="137">
        <v>46065</v>
      </c>
    </row>
    <row r="5809" spans="1:52" ht="17.100000000000001" customHeight="1" thickBot="1">
      <c r="A5809" s="110"/>
      <c r="B5809" s="27" t="s">
        <v>13663</v>
      </c>
      <c r="C5809" s="27">
        <v>127</v>
      </c>
      <c r="D5809" s="14" t="s">
        <v>1592</v>
      </c>
      <c r="E5809" s="112"/>
      <c r="F5809" s="139" t="s">
        <v>17018</v>
      </c>
      <c r="G5809" s="140"/>
      <c r="H5809" s="141"/>
      <c r="I5809" s="26">
        <v>40749</v>
      </c>
      <c r="J5809" s="117"/>
      <c r="K5809" s="120"/>
      <c r="L5809" s="121"/>
      <c r="M5809" s="120"/>
      <c r="N5809" s="121"/>
      <c r="O5809" s="120"/>
      <c r="P5809" s="121"/>
      <c r="Q5809" s="120"/>
      <c r="R5809" s="121"/>
      <c r="S5809" s="120"/>
      <c r="T5809" s="121"/>
      <c r="U5809" s="120"/>
      <c r="V5809" s="123"/>
      <c r="W5809" s="125"/>
      <c r="X5809" s="142" t="s">
        <v>4663</v>
      </c>
      <c r="Y5809" s="143"/>
      <c r="Z5809" s="143"/>
      <c r="AA5809" s="143"/>
      <c r="AB5809" s="144"/>
      <c r="AC5809" s="16" t="s">
        <v>21</v>
      </c>
      <c r="AD5809" s="17" t="s">
        <v>2187</v>
      </c>
      <c r="AE5809" s="145" t="s">
        <v>1742</v>
      </c>
      <c r="AF5809" s="146"/>
      <c r="AG5809" s="146"/>
      <c r="AH5809" s="146"/>
      <c r="AI5809" s="147"/>
      <c r="AJ5809" s="148"/>
      <c r="AK5809" s="143"/>
      <c r="AL5809" s="144"/>
      <c r="AM5809" s="22"/>
      <c r="AN5809" s="149" t="s">
        <v>2511</v>
      </c>
      <c r="AO5809" s="144"/>
      <c r="AP5809" s="148">
        <v>80403</v>
      </c>
      <c r="AQ5809" s="144"/>
      <c r="AR5809" s="120"/>
      <c r="AS5809" s="121"/>
      <c r="AT5809" s="120"/>
      <c r="AU5809" s="121"/>
      <c r="AV5809" s="120"/>
      <c r="AW5809" s="121"/>
      <c r="AX5809" s="120"/>
      <c r="AY5809" s="121"/>
      <c r="AZ5809" s="138"/>
    </row>
    <row r="5810" spans="1:52" ht="17.100000000000001" customHeight="1" thickTop="1">
      <c r="A5810" s="109" t="s">
        <v>17027</v>
      </c>
      <c r="B5810" s="28">
        <v>46058</v>
      </c>
      <c r="C5810" s="25">
        <v>1317</v>
      </c>
      <c r="D5810" s="13" t="s">
        <v>2066</v>
      </c>
      <c r="E5810" s="111"/>
      <c r="F5810" s="113" t="s">
        <v>17019</v>
      </c>
      <c r="G5810" s="114"/>
      <c r="H5810" s="115"/>
      <c r="I5810" s="24" t="s">
        <v>2533</v>
      </c>
      <c r="J5810" s="116">
        <v>4.5</v>
      </c>
      <c r="K5810" s="118">
        <v>3990000</v>
      </c>
      <c r="L5810" s="119"/>
      <c r="M5810" s="118">
        <f t="shared" ref="M5810" si="7557">K5810*0.1</f>
        <v>399000</v>
      </c>
      <c r="N5810" s="119"/>
      <c r="O5810" s="118">
        <f>4100+410</f>
        <v>4510</v>
      </c>
      <c r="P5810" s="119"/>
      <c r="Q5810" s="118">
        <v>15540</v>
      </c>
      <c r="R5810" s="119"/>
      <c r="S5810" s="118">
        <v>16500</v>
      </c>
      <c r="T5810" s="119"/>
      <c r="U5810" s="118">
        <f t="shared" ref="U5810" si="7558">SUM(K5810:T5811)</f>
        <v>4425550</v>
      </c>
      <c r="V5810" s="122"/>
      <c r="W5810" s="124"/>
      <c r="X5810" s="126" t="s">
        <v>17020</v>
      </c>
      <c r="Y5810" s="127"/>
      <c r="Z5810" s="127"/>
      <c r="AA5810" s="127"/>
      <c r="AB5810" s="128"/>
      <c r="AC5810" s="15" t="s">
        <v>20</v>
      </c>
      <c r="AD5810" s="129" t="s">
        <v>1565</v>
      </c>
      <c r="AE5810" s="130"/>
      <c r="AF5810" s="130"/>
      <c r="AG5810" s="130"/>
      <c r="AH5810" s="130"/>
      <c r="AI5810" s="131"/>
      <c r="AJ5810" s="132"/>
      <c r="AK5810" s="127"/>
      <c r="AL5810" s="128"/>
      <c r="AM5810" s="21" t="s">
        <v>20346</v>
      </c>
      <c r="AN5810" s="133">
        <v>46095</v>
      </c>
      <c r="AO5810" s="134"/>
      <c r="AP5810" s="135">
        <v>1292</v>
      </c>
      <c r="AQ5810" s="136"/>
      <c r="AR5810" s="118">
        <v>4055000</v>
      </c>
      <c r="AS5810" s="119"/>
      <c r="AT5810" s="118">
        <f t="shared" ref="AT5810" si="7559">AR5810*0.1</f>
        <v>405500</v>
      </c>
      <c r="AU5810" s="119"/>
      <c r="AV5810" s="118">
        <v>15540</v>
      </c>
      <c r="AW5810" s="119"/>
      <c r="AX5810" s="118">
        <f t="shared" ref="AX5810" si="7560">SUM(AR5810:AW5810)</f>
        <v>4476040</v>
      </c>
      <c r="AY5810" s="119"/>
      <c r="AZ5810" s="137">
        <v>46100</v>
      </c>
    </row>
    <row r="5811" spans="1:52" ht="17.100000000000001" customHeight="1" thickBot="1">
      <c r="A5811" s="110"/>
      <c r="B5811" s="27" t="s">
        <v>13663</v>
      </c>
      <c r="C5811" s="27">
        <v>757</v>
      </c>
      <c r="D5811" s="14" t="s">
        <v>2601</v>
      </c>
      <c r="E5811" s="112"/>
      <c r="F5811" s="139" t="s">
        <v>17040</v>
      </c>
      <c r="G5811" s="140"/>
      <c r="H5811" s="141"/>
      <c r="I5811" s="26">
        <v>51158</v>
      </c>
      <c r="J5811" s="117"/>
      <c r="K5811" s="120"/>
      <c r="L5811" s="121"/>
      <c r="M5811" s="120"/>
      <c r="N5811" s="121"/>
      <c r="O5811" s="120"/>
      <c r="P5811" s="121"/>
      <c r="Q5811" s="120"/>
      <c r="R5811" s="121"/>
      <c r="S5811" s="120"/>
      <c r="T5811" s="121"/>
      <c r="U5811" s="120"/>
      <c r="V5811" s="123"/>
      <c r="W5811" s="125"/>
      <c r="X5811" s="142" t="s">
        <v>2321</v>
      </c>
      <c r="Y5811" s="143"/>
      <c r="Z5811" s="143"/>
      <c r="AA5811" s="143"/>
      <c r="AB5811" s="144"/>
      <c r="AC5811" s="16" t="s">
        <v>21</v>
      </c>
      <c r="AD5811" s="17" t="s">
        <v>3322</v>
      </c>
      <c r="AE5811" s="145" t="s">
        <v>18027</v>
      </c>
      <c r="AF5811" s="146"/>
      <c r="AG5811" s="146"/>
      <c r="AH5811" s="146"/>
      <c r="AI5811" s="147"/>
      <c r="AJ5811" s="148"/>
      <c r="AK5811" s="143"/>
      <c r="AL5811" s="144"/>
      <c r="AM5811" s="22"/>
      <c r="AN5811" s="149" t="s">
        <v>2511</v>
      </c>
      <c r="AO5811" s="144"/>
      <c r="AP5811" s="148">
        <v>13219</v>
      </c>
      <c r="AQ5811" s="144"/>
      <c r="AR5811" s="120"/>
      <c r="AS5811" s="121"/>
      <c r="AT5811" s="120"/>
      <c r="AU5811" s="121"/>
      <c r="AV5811" s="120"/>
      <c r="AW5811" s="121"/>
      <c r="AX5811" s="120"/>
      <c r="AY5811" s="121"/>
      <c r="AZ5811" s="138"/>
    </row>
    <row r="5812" spans="1:52" ht="17.100000000000001" customHeight="1" thickTop="1">
      <c r="A5812" s="109" t="s">
        <v>17045</v>
      </c>
      <c r="B5812" s="28">
        <v>46054</v>
      </c>
      <c r="C5812" s="25"/>
      <c r="D5812" s="13" t="s">
        <v>1776</v>
      </c>
      <c r="E5812" s="111"/>
      <c r="F5812" s="113" t="s">
        <v>5259</v>
      </c>
      <c r="G5812" s="114"/>
      <c r="H5812" s="115"/>
      <c r="I5812" s="24" t="s">
        <v>2584</v>
      </c>
      <c r="J5812" s="116"/>
      <c r="K5812" s="118">
        <v>0</v>
      </c>
      <c r="L5812" s="119"/>
      <c r="M5812" s="118">
        <f t="shared" ref="M5812" si="7561">K5812*0.1</f>
        <v>0</v>
      </c>
      <c r="N5812" s="119"/>
      <c r="O5812" s="118">
        <v>0</v>
      </c>
      <c r="P5812" s="119"/>
      <c r="Q5812" s="118">
        <v>0</v>
      </c>
      <c r="R5812" s="119"/>
      <c r="S5812" s="118">
        <v>0</v>
      </c>
      <c r="T5812" s="119"/>
      <c r="U5812" s="118">
        <f t="shared" ref="U5812" si="7562">SUM(K5812:T5813)</f>
        <v>0</v>
      </c>
      <c r="V5812" s="122"/>
      <c r="W5812" s="124"/>
      <c r="X5812" s="126" t="s">
        <v>17048</v>
      </c>
      <c r="Y5812" s="127"/>
      <c r="Z5812" s="127"/>
      <c r="AA5812" s="127"/>
      <c r="AB5812" s="128"/>
      <c r="AC5812" s="15" t="s">
        <v>20</v>
      </c>
      <c r="AD5812" s="129"/>
      <c r="AE5812" s="130"/>
      <c r="AF5812" s="130"/>
      <c r="AG5812" s="130"/>
      <c r="AH5812" s="130"/>
      <c r="AI5812" s="131"/>
      <c r="AJ5812" s="132"/>
      <c r="AK5812" s="127"/>
      <c r="AL5812" s="128"/>
      <c r="AM5812" s="21"/>
      <c r="AN5812" s="133">
        <v>46155</v>
      </c>
      <c r="AO5812" s="134"/>
      <c r="AP5812" s="135">
        <v>1016</v>
      </c>
      <c r="AQ5812" s="136"/>
      <c r="AR5812" s="118">
        <v>336000</v>
      </c>
      <c r="AS5812" s="119"/>
      <c r="AT5812" s="118">
        <f t="shared" ref="AT5812" si="7563">AR5812*0.1</f>
        <v>33600</v>
      </c>
      <c r="AU5812" s="119"/>
      <c r="AV5812" s="118">
        <v>14520</v>
      </c>
      <c r="AW5812" s="119"/>
      <c r="AX5812" s="118">
        <f t="shared" ref="AX5812" si="7564">SUM(AR5812:AW5812)</f>
        <v>384120</v>
      </c>
      <c r="AY5812" s="119"/>
      <c r="AZ5812" s="137">
        <v>46160</v>
      </c>
    </row>
    <row r="5813" spans="1:52" ht="17.100000000000001" customHeight="1" thickBot="1">
      <c r="A5813" s="110"/>
      <c r="B5813" s="27" t="s">
        <v>17046</v>
      </c>
      <c r="C5813" s="27"/>
      <c r="D5813" s="14"/>
      <c r="E5813" s="112"/>
      <c r="F5813" s="139" t="s">
        <v>17047</v>
      </c>
      <c r="G5813" s="140"/>
      <c r="H5813" s="141"/>
      <c r="I5813" s="26">
        <v>48300</v>
      </c>
      <c r="J5813" s="117"/>
      <c r="K5813" s="120"/>
      <c r="L5813" s="121"/>
      <c r="M5813" s="120"/>
      <c r="N5813" s="121"/>
      <c r="O5813" s="120"/>
      <c r="P5813" s="121"/>
      <c r="Q5813" s="120"/>
      <c r="R5813" s="121"/>
      <c r="S5813" s="120"/>
      <c r="T5813" s="121"/>
      <c r="U5813" s="120"/>
      <c r="V5813" s="123"/>
      <c r="W5813" s="125"/>
      <c r="X5813" s="142" t="s">
        <v>2321</v>
      </c>
      <c r="Y5813" s="143"/>
      <c r="Z5813" s="143"/>
      <c r="AA5813" s="143"/>
      <c r="AB5813" s="144"/>
      <c r="AC5813" s="16" t="s">
        <v>21</v>
      </c>
      <c r="AD5813" s="17" t="s">
        <v>2654</v>
      </c>
      <c r="AE5813" s="145"/>
      <c r="AF5813" s="146"/>
      <c r="AG5813" s="146"/>
      <c r="AH5813" s="146"/>
      <c r="AI5813" s="147"/>
      <c r="AJ5813" s="148"/>
      <c r="AK5813" s="143"/>
      <c r="AL5813" s="144"/>
      <c r="AM5813" s="22"/>
      <c r="AN5813" s="149" t="s">
        <v>9053</v>
      </c>
      <c r="AO5813" s="144"/>
      <c r="AP5813" s="148">
        <v>10027</v>
      </c>
      <c r="AQ5813" s="144"/>
      <c r="AR5813" s="120"/>
      <c r="AS5813" s="121"/>
      <c r="AT5813" s="120"/>
      <c r="AU5813" s="121"/>
      <c r="AV5813" s="120"/>
      <c r="AW5813" s="121"/>
      <c r="AX5813" s="120"/>
      <c r="AY5813" s="121"/>
      <c r="AZ5813" s="138"/>
    </row>
    <row r="5814" spans="1:52" ht="17.100000000000001" customHeight="1" thickTop="1">
      <c r="A5814" s="109" t="s">
        <v>17049</v>
      </c>
      <c r="B5814" s="28">
        <v>46056</v>
      </c>
      <c r="C5814" s="25"/>
      <c r="D5814" s="13" t="s">
        <v>17051</v>
      </c>
      <c r="E5814" s="111"/>
      <c r="F5814" s="113" t="s">
        <v>17052</v>
      </c>
      <c r="G5814" s="114"/>
      <c r="H5814" s="115"/>
      <c r="I5814" s="24" t="s">
        <v>8876</v>
      </c>
      <c r="J5814" s="116"/>
      <c r="K5814" s="118">
        <v>50000</v>
      </c>
      <c r="L5814" s="119"/>
      <c r="M5814" s="118">
        <v>0</v>
      </c>
      <c r="N5814" s="119"/>
      <c r="O5814" s="118">
        <v>0</v>
      </c>
      <c r="P5814" s="119"/>
      <c r="Q5814" s="118">
        <v>0</v>
      </c>
      <c r="R5814" s="119"/>
      <c r="S5814" s="118">
        <v>0</v>
      </c>
      <c r="T5814" s="119"/>
      <c r="U5814" s="118">
        <f t="shared" ref="U5814" si="7565">SUM(K5814:T5815)</f>
        <v>50000</v>
      </c>
      <c r="V5814" s="122"/>
      <c r="W5814" s="124"/>
      <c r="X5814" s="126" t="s">
        <v>17054</v>
      </c>
      <c r="Y5814" s="127"/>
      <c r="Z5814" s="127"/>
      <c r="AA5814" s="127"/>
      <c r="AB5814" s="128"/>
      <c r="AC5814" s="15" t="s">
        <v>20</v>
      </c>
      <c r="AD5814" s="129"/>
      <c r="AE5814" s="130"/>
      <c r="AF5814" s="130"/>
      <c r="AG5814" s="130"/>
      <c r="AH5814" s="130"/>
      <c r="AI5814" s="131"/>
      <c r="AJ5814" s="132"/>
      <c r="AK5814" s="127"/>
      <c r="AL5814" s="128"/>
      <c r="AM5814" s="21"/>
      <c r="AN5814" s="133">
        <v>46064</v>
      </c>
      <c r="AO5814" s="134"/>
      <c r="AP5814" s="135">
        <v>1004</v>
      </c>
      <c r="AQ5814" s="136"/>
      <c r="AR5814" s="118">
        <v>114000</v>
      </c>
      <c r="AS5814" s="119"/>
      <c r="AT5814" s="118">
        <f t="shared" ref="AT5814" si="7566">AR5814*0.1</f>
        <v>11400</v>
      </c>
      <c r="AU5814" s="119"/>
      <c r="AV5814" s="118">
        <v>15180</v>
      </c>
      <c r="AW5814" s="119"/>
      <c r="AX5814" s="118">
        <f t="shared" ref="AX5814" si="7567">SUM(AR5814:AW5814)</f>
        <v>140580</v>
      </c>
      <c r="AY5814" s="119"/>
      <c r="AZ5814" s="137">
        <v>46070</v>
      </c>
    </row>
    <row r="5815" spans="1:52" ht="17.100000000000001" customHeight="1" thickBot="1">
      <c r="A5815" s="110"/>
      <c r="B5815" s="27" t="s">
        <v>17050</v>
      </c>
      <c r="C5815" s="27"/>
      <c r="D5815" s="14"/>
      <c r="E5815" s="112"/>
      <c r="F5815" s="139" t="s">
        <v>17053</v>
      </c>
      <c r="G5815" s="140"/>
      <c r="H5815" s="141"/>
      <c r="I5815" s="26"/>
      <c r="J5815" s="117"/>
      <c r="K5815" s="120"/>
      <c r="L5815" s="121"/>
      <c r="M5815" s="120"/>
      <c r="N5815" s="121"/>
      <c r="O5815" s="120"/>
      <c r="P5815" s="121"/>
      <c r="Q5815" s="120"/>
      <c r="R5815" s="121"/>
      <c r="S5815" s="120"/>
      <c r="T5815" s="121"/>
      <c r="U5815" s="120"/>
      <c r="V5815" s="123"/>
      <c r="W5815" s="125"/>
      <c r="X5815" s="142" t="s">
        <v>17055</v>
      </c>
      <c r="Y5815" s="143"/>
      <c r="Z5815" s="143"/>
      <c r="AA5815" s="143"/>
      <c r="AB5815" s="144"/>
      <c r="AC5815" s="16" t="s">
        <v>21</v>
      </c>
      <c r="AD5815" s="17" t="s">
        <v>2329</v>
      </c>
      <c r="AE5815" s="145" t="s">
        <v>17056</v>
      </c>
      <c r="AF5815" s="146"/>
      <c r="AG5815" s="146"/>
      <c r="AH5815" s="146"/>
      <c r="AI5815" s="147"/>
      <c r="AJ5815" s="148"/>
      <c r="AK5815" s="143"/>
      <c r="AL5815" s="144"/>
      <c r="AM5815" s="22"/>
      <c r="AN5815" s="149" t="s">
        <v>2794</v>
      </c>
      <c r="AO5815" s="144"/>
      <c r="AP5815" s="148">
        <v>9241</v>
      </c>
      <c r="AQ5815" s="144"/>
      <c r="AR5815" s="120"/>
      <c r="AS5815" s="121"/>
      <c r="AT5815" s="120"/>
      <c r="AU5815" s="121"/>
      <c r="AV5815" s="120"/>
      <c r="AW5815" s="121"/>
      <c r="AX5815" s="120"/>
      <c r="AY5815" s="121"/>
      <c r="AZ5815" s="138"/>
    </row>
    <row r="5816" spans="1:52" ht="17.100000000000001" customHeight="1" thickTop="1">
      <c r="A5816" s="109" t="s">
        <v>17063</v>
      </c>
      <c r="B5816" s="28">
        <v>46058</v>
      </c>
      <c r="C5816" s="25">
        <v>2144</v>
      </c>
      <c r="D5816" s="13" t="s">
        <v>3296</v>
      </c>
      <c r="E5816" s="111"/>
      <c r="F5816" s="113" t="s">
        <v>7340</v>
      </c>
      <c r="G5816" s="114"/>
      <c r="H5816" s="115"/>
      <c r="I5816" s="24"/>
      <c r="J5816" s="150" t="s">
        <v>1715</v>
      </c>
      <c r="K5816" s="118">
        <v>181000</v>
      </c>
      <c r="L5816" s="119"/>
      <c r="M5816" s="118">
        <f t="shared" ref="M5816" si="7568">K5816*0.1</f>
        <v>18100</v>
      </c>
      <c r="N5816" s="119"/>
      <c r="O5816" s="118">
        <v>0</v>
      </c>
      <c r="P5816" s="119"/>
      <c r="Q5816" s="118">
        <v>8400</v>
      </c>
      <c r="R5816" s="119"/>
      <c r="S5816" s="118">
        <v>14300</v>
      </c>
      <c r="T5816" s="119"/>
      <c r="U5816" s="118">
        <f t="shared" ref="U5816" si="7569">SUM(K5816:T5817)</f>
        <v>221800</v>
      </c>
      <c r="V5816" s="122"/>
      <c r="W5816" s="124"/>
      <c r="X5816" s="126" t="s">
        <v>17716</v>
      </c>
      <c r="Y5816" s="127"/>
      <c r="Z5816" s="127"/>
      <c r="AA5816" s="127"/>
      <c r="AB5816" s="128"/>
      <c r="AC5816" s="15" t="s">
        <v>20</v>
      </c>
      <c r="AD5816" s="129"/>
      <c r="AE5816" s="130"/>
      <c r="AF5816" s="130"/>
      <c r="AG5816" s="130"/>
      <c r="AH5816" s="130"/>
      <c r="AI5816" s="131"/>
      <c r="AJ5816" s="132" t="s">
        <v>21364</v>
      </c>
      <c r="AK5816" s="127"/>
      <c r="AL5816" s="128"/>
      <c r="AM5816" s="21"/>
      <c r="AN5816" s="133">
        <v>46109</v>
      </c>
      <c r="AO5816" s="134"/>
      <c r="AP5816" s="135">
        <v>1294</v>
      </c>
      <c r="AQ5816" s="136"/>
      <c r="AR5816" s="118">
        <v>148000</v>
      </c>
      <c r="AS5816" s="119"/>
      <c r="AT5816" s="118">
        <f t="shared" ref="AT5816" si="7570">AR5816*0.1</f>
        <v>14800</v>
      </c>
      <c r="AU5816" s="119"/>
      <c r="AV5816" s="118">
        <v>8400</v>
      </c>
      <c r="AW5816" s="119"/>
      <c r="AX5816" s="118">
        <f t="shared" ref="AX5816" si="7571">SUM(AR5816:AW5816)</f>
        <v>171200</v>
      </c>
      <c r="AY5816" s="119"/>
      <c r="AZ5816" s="137">
        <v>46112</v>
      </c>
    </row>
    <row r="5817" spans="1:52" ht="17.100000000000001" customHeight="1" thickBot="1">
      <c r="A5817" s="110"/>
      <c r="B5817" s="27" t="s">
        <v>1940</v>
      </c>
      <c r="C5817" s="27">
        <v>24</v>
      </c>
      <c r="D5817" s="14" t="s">
        <v>2800</v>
      </c>
      <c r="E5817" s="112"/>
      <c r="F5817" s="139" t="s">
        <v>17079</v>
      </c>
      <c r="G5817" s="140"/>
      <c r="H5817" s="141"/>
      <c r="I5817" s="26">
        <v>137518</v>
      </c>
      <c r="J5817" s="117"/>
      <c r="K5817" s="120"/>
      <c r="L5817" s="121"/>
      <c r="M5817" s="120"/>
      <c r="N5817" s="121"/>
      <c r="O5817" s="120"/>
      <c r="P5817" s="121"/>
      <c r="Q5817" s="120"/>
      <c r="R5817" s="121"/>
      <c r="S5817" s="120"/>
      <c r="T5817" s="121"/>
      <c r="U5817" s="120"/>
      <c r="V5817" s="123"/>
      <c r="W5817" s="125"/>
      <c r="X5817" s="142" t="s">
        <v>17717</v>
      </c>
      <c r="Y5817" s="143"/>
      <c r="Z5817" s="143"/>
      <c r="AA5817" s="143"/>
      <c r="AB5817" s="144"/>
      <c r="AC5817" s="16" t="s">
        <v>21</v>
      </c>
      <c r="AD5817" s="17" t="s">
        <v>2298</v>
      </c>
      <c r="AE5817" s="145" t="s">
        <v>17718</v>
      </c>
      <c r="AF5817" s="146"/>
      <c r="AG5817" s="146"/>
      <c r="AH5817" s="146"/>
      <c r="AI5817" s="147"/>
      <c r="AJ5817" s="148"/>
      <c r="AK5817" s="143"/>
      <c r="AL5817" s="144"/>
      <c r="AM5817" s="22"/>
      <c r="AN5817" s="149" t="s">
        <v>21802</v>
      </c>
      <c r="AO5817" s="144"/>
      <c r="AP5817" s="148">
        <v>90164</v>
      </c>
      <c r="AQ5817" s="144"/>
      <c r="AR5817" s="120"/>
      <c r="AS5817" s="121"/>
      <c r="AT5817" s="120"/>
      <c r="AU5817" s="121"/>
      <c r="AV5817" s="120"/>
      <c r="AW5817" s="121"/>
      <c r="AX5817" s="120"/>
      <c r="AY5817" s="121"/>
      <c r="AZ5817" s="138"/>
    </row>
    <row r="5818" spans="1:52" ht="17.100000000000001" customHeight="1" thickTop="1">
      <c r="A5818" s="109" t="s">
        <v>17064</v>
      </c>
      <c r="B5818" s="28">
        <v>46058</v>
      </c>
      <c r="C5818" s="25">
        <v>2144</v>
      </c>
      <c r="D5818" s="13" t="s">
        <v>1586</v>
      </c>
      <c r="E5818" s="111"/>
      <c r="F5818" s="113" t="s">
        <v>17236</v>
      </c>
      <c r="G5818" s="114"/>
      <c r="H5818" s="115"/>
      <c r="I5818" s="24"/>
      <c r="J5818" s="116">
        <v>4</v>
      </c>
      <c r="K5818" s="118">
        <v>495000</v>
      </c>
      <c r="L5818" s="119"/>
      <c r="M5818" s="118">
        <f t="shared" ref="M5818" si="7572">K5818*0.1</f>
        <v>49500</v>
      </c>
      <c r="N5818" s="119"/>
      <c r="O5818" s="118">
        <v>0</v>
      </c>
      <c r="P5818" s="119"/>
      <c r="Q5818" s="118">
        <v>8430</v>
      </c>
      <c r="R5818" s="119"/>
      <c r="S5818" s="118">
        <v>14300</v>
      </c>
      <c r="T5818" s="119"/>
      <c r="U5818" s="118">
        <f t="shared" ref="U5818" si="7573">SUM(K5818:T5819)</f>
        <v>567230</v>
      </c>
      <c r="V5818" s="122"/>
      <c r="W5818" s="124"/>
      <c r="X5818" s="126" t="s">
        <v>17627</v>
      </c>
      <c r="Y5818" s="127"/>
      <c r="Z5818" s="127"/>
      <c r="AA5818" s="127"/>
      <c r="AB5818" s="128"/>
      <c r="AC5818" s="15" t="s">
        <v>20</v>
      </c>
      <c r="AD5818" s="129"/>
      <c r="AE5818" s="130"/>
      <c r="AF5818" s="130"/>
      <c r="AG5818" s="130"/>
      <c r="AH5818" s="130"/>
      <c r="AI5818" s="131"/>
      <c r="AJ5818" s="132"/>
      <c r="AK5818" s="127"/>
      <c r="AL5818" s="128"/>
      <c r="AM5818" s="21"/>
      <c r="AN5818" s="133">
        <v>46064</v>
      </c>
      <c r="AO5818" s="134"/>
      <c r="AP5818" s="135">
        <v>1004</v>
      </c>
      <c r="AQ5818" s="136"/>
      <c r="AR5818" s="118">
        <v>555000</v>
      </c>
      <c r="AS5818" s="119"/>
      <c r="AT5818" s="118">
        <f t="shared" ref="AT5818" si="7574">AR5818*0.1</f>
        <v>55500</v>
      </c>
      <c r="AU5818" s="119"/>
      <c r="AV5818" s="118">
        <v>8430</v>
      </c>
      <c r="AW5818" s="119"/>
      <c r="AX5818" s="118">
        <f t="shared" ref="AX5818" si="7575">SUM(AR5818:AW5818)</f>
        <v>618930</v>
      </c>
      <c r="AY5818" s="119"/>
      <c r="AZ5818" s="137">
        <v>46069</v>
      </c>
    </row>
    <row r="5819" spans="1:52" ht="17.100000000000001" customHeight="1" thickBot="1">
      <c r="A5819" s="110"/>
      <c r="B5819" s="27" t="s">
        <v>1940</v>
      </c>
      <c r="C5819" s="27">
        <v>2034</v>
      </c>
      <c r="D5819" s="14" t="s">
        <v>1720</v>
      </c>
      <c r="E5819" s="112"/>
      <c r="F5819" s="139" t="s">
        <v>17080</v>
      </c>
      <c r="G5819" s="140"/>
      <c r="H5819" s="141"/>
      <c r="I5819" s="26">
        <v>44588</v>
      </c>
      <c r="J5819" s="117"/>
      <c r="K5819" s="120"/>
      <c r="L5819" s="121"/>
      <c r="M5819" s="120"/>
      <c r="N5819" s="121"/>
      <c r="O5819" s="120"/>
      <c r="P5819" s="121"/>
      <c r="Q5819" s="120"/>
      <c r="R5819" s="121"/>
      <c r="S5819" s="120"/>
      <c r="T5819" s="121"/>
      <c r="U5819" s="120"/>
      <c r="V5819" s="123"/>
      <c r="W5819" s="125"/>
      <c r="X5819" s="142" t="s">
        <v>17628</v>
      </c>
      <c r="Y5819" s="143"/>
      <c r="Z5819" s="143"/>
      <c r="AA5819" s="143"/>
      <c r="AB5819" s="144"/>
      <c r="AC5819" s="16" t="s">
        <v>21</v>
      </c>
      <c r="AD5819" s="17" t="s">
        <v>2298</v>
      </c>
      <c r="AE5819" s="145"/>
      <c r="AF5819" s="146"/>
      <c r="AG5819" s="146"/>
      <c r="AH5819" s="146"/>
      <c r="AI5819" s="147"/>
      <c r="AJ5819" s="148"/>
      <c r="AK5819" s="143"/>
      <c r="AL5819" s="144"/>
      <c r="AM5819" s="22"/>
      <c r="AN5819" s="149" t="s">
        <v>2794</v>
      </c>
      <c r="AO5819" s="144"/>
      <c r="AP5819" s="148">
        <v>5148</v>
      </c>
      <c r="AQ5819" s="144"/>
      <c r="AR5819" s="120"/>
      <c r="AS5819" s="121"/>
      <c r="AT5819" s="120"/>
      <c r="AU5819" s="121"/>
      <c r="AV5819" s="120"/>
      <c r="AW5819" s="121"/>
      <c r="AX5819" s="120"/>
      <c r="AY5819" s="121"/>
      <c r="AZ5819" s="138"/>
    </row>
    <row r="5820" spans="1:52" ht="17.100000000000001" customHeight="1" thickTop="1">
      <c r="A5820" s="109" t="s">
        <v>17065</v>
      </c>
      <c r="B5820" s="28">
        <v>46058</v>
      </c>
      <c r="C5820" s="25">
        <v>2144</v>
      </c>
      <c r="D5820" s="13" t="s">
        <v>3550</v>
      </c>
      <c r="E5820" s="111"/>
      <c r="F5820" s="113" t="s">
        <v>15993</v>
      </c>
      <c r="G5820" s="114"/>
      <c r="H5820" s="115"/>
      <c r="I5820" s="24"/>
      <c r="J5820" s="116">
        <v>4.5</v>
      </c>
      <c r="K5820" s="118">
        <v>906000</v>
      </c>
      <c r="L5820" s="119"/>
      <c r="M5820" s="118">
        <f t="shared" ref="M5820" si="7576">K5820*0.1</f>
        <v>90600</v>
      </c>
      <c r="N5820" s="119"/>
      <c r="O5820" s="118">
        <v>0</v>
      </c>
      <c r="P5820" s="119"/>
      <c r="Q5820" s="118">
        <v>6830</v>
      </c>
      <c r="R5820" s="119"/>
      <c r="S5820" s="118">
        <v>14300</v>
      </c>
      <c r="T5820" s="119"/>
      <c r="U5820" s="118">
        <f t="shared" ref="U5820" si="7577">SUM(K5820:T5821)</f>
        <v>1017730</v>
      </c>
      <c r="V5820" s="122"/>
      <c r="W5820" s="124"/>
      <c r="X5820" s="126" t="s">
        <v>17715</v>
      </c>
      <c r="Y5820" s="127"/>
      <c r="Z5820" s="127"/>
      <c r="AA5820" s="127"/>
      <c r="AB5820" s="128"/>
      <c r="AC5820" s="15" t="s">
        <v>20</v>
      </c>
      <c r="AD5820" s="129"/>
      <c r="AE5820" s="130"/>
      <c r="AF5820" s="130"/>
      <c r="AG5820" s="130"/>
      <c r="AH5820" s="130"/>
      <c r="AI5820" s="131"/>
      <c r="AJ5820" s="132"/>
      <c r="AK5820" s="127"/>
      <c r="AL5820" s="128"/>
      <c r="AM5820" s="21"/>
      <c r="AN5820" s="133">
        <v>46078</v>
      </c>
      <c r="AO5820" s="134"/>
      <c r="AP5820" s="135">
        <v>1006</v>
      </c>
      <c r="AQ5820" s="136"/>
      <c r="AR5820" s="118">
        <v>1065000</v>
      </c>
      <c r="AS5820" s="119"/>
      <c r="AT5820" s="118">
        <f t="shared" ref="AT5820" si="7578">AR5820*0.1</f>
        <v>106500</v>
      </c>
      <c r="AU5820" s="119"/>
      <c r="AV5820" s="118">
        <v>6830</v>
      </c>
      <c r="AW5820" s="119"/>
      <c r="AX5820" s="118">
        <f t="shared" ref="AX5820" si="7579">SUM(AR5820:AW5820)</f>
        <v>1178330</v>
      </c>
      <c r="AY5820" s="119"/>
      <c r="AZ5820" s="137">
        <v>46083</v>
      </c>
    </row>
    <row r="5821" spans="1:52" ht="17.100000000000001" customHeight="1" thickBot="1">
      <c r="A5821" s="110"/>
      <c r="B5821" s="27" t="s">
        <v>1940</v>
      </c>
      <c r="C5821" s="27">
        <v>2035</v>
      </c>
      <c r="D5821" s="14" t="s">
        <v>2282</v>
      </c>
      <c r="E5821" s="112"/>
      <c r="F5821" s="139" t="s">
        <v>17081</v>
      </c>
      <c r="G5821" s="140"/>
      <c r="H5821" s="141"/>
      <c r="I5821" s="26">
        <v>55526</v>
      </c>
      <c r="J5821" s="117"/>
      <c r="K5821" s="120"/>
      <c r="L5821" s="121"/>
      <c r="M5821" s="120"/>
      <c r="N5821" s="121"/>
      <c r="O5821" s="120"/>
      <c r="P5821" s="121"/>
      <c r="Q5821" s="120"/>
      <c r="R5821" s="121"/>
      <c r="S5821" s="120"/>
      <c r="T5821" s="121"/>
      <c r="U5821" s="120"/>
      <c r="V5821" s="123"/>
      <c r="W5821" s="125"/>
      <c r="X5821" s="142" t="s">
        <v>2440</v>
      </c>
      <c r="Y5821" s="143"/>
      <c r="Z5821" s="143"/>
      <c r="AA5821" s="143"/>
      <c r="AB5821" s="144"/>
      <c r="AC5821" s="16" t="s">
        <v>21</v>
      </c>
      <c r="AD5821" s="17" t="s">
        <v>2298</v>
      </c>
      <c r="AE5821" s="145" t="s">
        <v>18591</v>
      </c>
      <c r="AF5821" s="146"/>
      <c r="AG5821" s="146"/>
      <c r="AH5821" s="146"/>
      <c r="AI5821" s="147"/>
      <c r="AJ5821" s="148"/>
      <c r="AK5821" s="143"/>
      <c r="AL5821" s="144"/>
      <c r="AM5821" s="22"/>
      <c r="AN5821" s="149" t="s">
        <v>2794</v>
      </c>
      <c r="AO5821" s="144"/>
      <c r="AP5821" s="148">
        <v>5068</v>
      </c>
      <c r="AQ5821" s="144"/>
      <c r="AR5821" s="120"/>
      <c r="AS5821" s="121"/>
      <c r="AT5821" s="120"/>
      <c r="AU5821" s="121"/>
      <c r="AV5821" s="120"/>
      <c r="AW5821" s="121"/>
      <c r="AX5821" s="120"/>
      <c r="AY5821" s="121"/>
      <c r="AZ5821" s="138"/>
    </row>
    <row r="5822" spans="1:52" ht="17.100000000000001" customHeight="1" thickTop="1">
      <c r="A5822" s="109" t="s">
        <v>17066</v>
      </c>
      <c r="B5822" s="28">
        <v>46058</v>
      </c>
      <c r="C5822" s="25">
        <v>2144</v>
      </c>
      <c r="D5822" s="13" t="s">
        <v>3322</v>
      </c>
      <c r="E5822" s="111"/>
      <c r="F5822" s="113" t="s">
        <v>15204</v>
      </c>
      <c r="G5822" s="114"/>
      <c r="H5822" s="115"/>
      <c r="I5822" s="24" t="s">
        <v>10637</v>
      </c>
      <c r="J5822" s="116">
        <v>4.5</v>
      </c>
      <c r="K5822" s="118">
        <v>738000</v>
      </c>
      <c r="L5822" s="119"/>
      <c r="M5822" s="118">
        <f t="shared" ref="M5822" si="7580">K5822*0.1</f>
        <v>73800</v>
      </c>
      <c r="N5822" s="119"/>
      <c r="O5822" s="118">
        <v>0</v>
      </c>
      <c r="P5822" s="119"/>
      <c r="Q5822" s="118">
        <v>7950</v>
      </c>
      <c r="R5822" s="119"/>
      <c r="S5822" s="118">
        <v>14300</v>
      </c>
      <c r="T5822" s="119"/>
      <c r="U5822" s="118">
        <f t="shared" ref="U5822" si="7581">SUM(K5822:T5823)</f>
        <v>834050</v>
      </c>
      <c r="V5822" s="122"/>
      <c r="W5822" s="124"/>
      <c r="X5822" s="126" t="s">
        <v>17238</v>
      </c>
      <c r="Y5822" s="127"/>
      <c r="Z5822" s="127"/>
      <c r="AA5822" s="127"/>
      <c r="AB5822" s="128"/>
      <c r="AC5822" s="15" t="s">
        <v>20</v>
      </c>
      <c r="AD5822" s="129" t="s">
        <v>17239</v>
      </c>
      <c r="AE5822" s="130"/>
      <c r="AF5822" s="130"/>
      <c r="AG5822" s="130"/>
      <c r="AH5822" s="130"/>
      <c r="AI5822" s="131"/>
      <c r="AJ5822" s="132"/>
      <c r="AK5822" s="127"/>
      <c r="AL5822" s="128"/>
      <c r="AM5822" s="21"/>
      <c r="AN5822" s="133">
        <v>46063</v>
      </c>
      <c r="AO5822" s="134"/>
      <c r="AP5822" s="135">
        <v>1928</v>
      </c>
      <c r="AQ5822" s="136"/>
      <c r="AR5822" s="118">
        <v>833000</v>
      </c>
      <c r="AS5822" s="119"/>
      <c r="AT5822" s="118">
        <f t="shared" ref="AT5822" si="7582">AR5822*0.1</f>
        <v>83300</v>
      </c>
      <c r="AU5822" s="119"/>
      <c r="AV5822" s="118">
        <v>7950</v>
      </c>
      <c r="AW5822" s="119"/>
      <c r="AX5822" s="118">
        <f t="shared" ref="AX5822" si="7583">SUM(AR5822:AW5822)</f>
        <v>924250</v>
      </c>
      <c r="AY5822" s="119"/>
      <c r="AZ5822" s="137"/>
    </row>
    <row r="5823" spans="1:52" ht="17.100000000000001" customHeight="1" thickBot="1">
      <c r="A5823" s="110"/>
      <c r="B5823" s="27" t="s">
        <v>1940</v>
      </c>
      <c r="C5823" s="27">
        <v>2105</v>
      </c>
      <c r="D5823" s="14" t="s">
        <v>17237</v>
      </c>
      <c r="E5823" s="112"/>
      <c r="F5823" s="139" t="s">
        <v>17082</v>
      </c>
      <c r="G5823" s="140"/>
      <c r="H5823" s="141"/>
      <c r="I5823" s="26">
        <v>35084</v>
      </c>
      <c r="J5823" s="117"/>
      <c r="K5823" s="120"/>
      <c r="L5823" s="121"/>
      <c r="M5823" s="120"/>
      <c r="N5823" s="121"/>
      <c r="O5823" s="120"/>
      <c r="P5823" s="121"/>
      <c r="Q5823" s="120"/>
      <c r="R5823" s="121"/>
      <c r="S5823" s="120"/>
      <c r="T5823" s="121"/>
      <c r="U5823" s="120"/>
      <c r="V5823" s="123"/>
      <c r="W5823" s="125"/>
      <c r="X5823" s="142" t="s">
        <v>17621</v>
      </c>
      <c r="Y5823" s="143"/>
      <c r="Z5823" s="143"/>
      <c r="AA5823" s="143"/>
      <c r="AB5823" s="144"/>
      <c r="AC5823" s="16" t="s">
        <v>21</v>
      </c>
      <c r="AD5823" s="17" t="s">
        <v>2298</v>
      </c>
      <c r="AE5823" s="145" t="s">
        <v>4106</v>
      </c>
      <c r="AF5823" s="146"/>
      <c r="AG5823" s="146"/>
      <c r="AH5823" s="146"/>
      <c r="AI5823" s="147"/>
      <c r="AJ5823" s="148"/>
      <c r="AK5823" s="143"/>
      <c r="AL5823" s="144"/>
      <c r="AM5823" s="22"/>
      <c r="AN5823" s="149" t="s">
        <v>2131</v>
      </c>
      <c r="AO5823" s="144"/>
      <c r="AP5823" s="148">
        <v>3259</v>
      </c>
      <c r="AQ5823" s="144"/>
      <c r="AR5823" s="120"/>
      <c r="AS5823" s="121"/>
      <c r="AT5823" s="120"/>
      <c r="AU5823" s="121"/>
      <c r="AV5823" s="120"/>
      <c r="AW5823" s="121"/>
      <c r="AX5823" s="120"/>
      <c r="AY5823" s="121"/>
      <c r="AZ5823" s="138"/>
    </row>
    <row r="5824" spans="1:52" ht="17.100000000000001" customHeight="1" thickTop="1">
      <c r="A5824" s="109" t="s">
        <v>17067</v>
      </c>
      <c r="B5824" s="28">
        <v>46058</v>
      </c>
      <c r="C5824" s="25">
        <v>2144</v>
      </c>
      <c r="D5824" s="13" t="s">
        <v>1953</v>
      </c>
      <c r="E5824" s="111"/>
      <c r="F5824" s="113" t="s">
        <v>17240</v>
      </c>
      <c r="G5824" s="114"/>
      <c r="H5824" s="115"/>
      <c r="I5824" s="24"/>
      <c r="J5824" s="116">
        <v>3.5</v>
      </c>
      <c r="K5824" s="118">
        <v>923000</v>
      </c>
      <c r="L5824" s="119"/>
      <c r="M5824" s="118">
        <f t="shared" ref="M5824" si="7584">K5824*0.1</f>
        <v>92300</v>
      </c>
      <c r="N5824" s="119"/>
      <c r="O5824" s="118">
        <v>0</v>
      </c>
      <c r="P5824" s="119"/>
      <c r="Q5824" s="118">
        <v>9200</v>
      </c>
      <c r="R5824" s="119"/>
      <c r="S5824" s="118">
        <v>14300</v>
      </c>
      <c r="T5824" s="119"/>
      <c r="U5824" s="118">
        <f t="shared" ref="U5824" si="7585">SUM(K5824:T5825)</f>
        <v>1038800</v>
      </c>
      <c r="V5824" s="122"/>
      <c r="W5824" s="124"/>
      <c r="X5824" s="126" t="s">
        <v>17713</v>
      </c>
      <c r="Y5824" s="127"/>
      <c r="Z5824" s="127"/>
      <c r="AA5824" s="127"/>
      <c r="AB5824" s="128"/>
      <c r="AC5824" s="15" t="s">
        <v>20</v>
      </c>
      <c r="AD5824" s="129"/>
      <c r="AE5824" s="130"/>
      <c r="AF5824" s="130"/>
      <c r="AG5824" s="130"/>
      <c r="AH5824" s="130"/>
      <c r="AI5824" s="131"/>
      <c r="AJ5824" s="132"/>
      <c r="AK5824" s="127"/>
      <c r="AL5824" s="128"/>
      <c r="AM5824" s="21"/>
      <c r="AN5824" s="133"/>
      <c r="AO5824" s="134"/>
      <c r="AP5824" s="135"/>
      <c r="AQ5824" s="136"/>
      <c r="AR5824" s="118"/>
      <c r="AS5824" s="119"/>
      <c r="AT5824" s="118">
        <f t="shared" ref="AT5824" si="7586">AR5824*0.1</f>
        <v>0</v>
      </c>
      <c r="AU5824" s="119"/>
      <c r="AV5824" s="118"/>
      <c r="AW5824" s="119"/>
      <c r="AX5824" s="118">
        <f t="shared" ref="AX5824" si="7587">SUM(AR5824:AW5824)</f>
        <v>0</v>
      </c>
      <c r="AY5824" s="119"/>
      <c r="AZ5824" s="137"/>
    </row>
    <row r="5825" spans="1:52" ht="17.100000000000001" customHeight="1" thickBot="1">
      <c r="A5825" s="110"/>
      <c r="B5825" s="27" t="s">
        <v>1940</v>
      </c>
      <c r="C5825" s="27">
        <v>2143</v>
      </c>
      <c r="D5825" s="14" t="s">
        <v>1812</v>
      </c>
      <c r="E5825" s="112"/>
      <c r="F5825" s="139" t="s">
        <v>17083</v>
      </c>
      <c r="G5825" s="140"/>
      <c r="H5825" s="141"/>
      <c r="I5825" s="26">
        <v>33333</v>
      </c>
      <c r="J5825" s="117"/>
      <c r="K5825" s="120"/>
      <c r="L5825" s="121"/>
      <c r="M5825" s="120"/>
      <c r="N5825" s="121"/>
      <c r="O5825" s="120"/>
      <c r="P5825" s="121"/>
      <c r="Q5825" s="120"/>
      <c r="R5825" s="121"/>
      <c r="S5825" s="120"/>
      <c r="T5825" s="121"/>
      <c r="U5825" s="120"/>
      <c r="V5825" s="123"/>
      <c r="W5825" s="125"/>
      <c r="X5825" s="142" t="s">
        <v>17714</v>
      </c>
      <c r="Y5825" s="143"/>
      <c r="Z5825" s="143"/>
      <c r="AA5825" s="143"/>
      <c r="AB5825" s="144"/>
      <c r="AC5825" s="16" t="s">
        <v>21</v>
      </c>
      <c r="AD5825" s="17" t="s">
        <v>2298</v>
      </c>
      <c r="AE5825" s="145"/>
      <c r="AF5825" s="146"/>
      <c r="AG5825" s="146"/>
      <c r="AH5825" s="146"/>
      <c r="AI5825" s="147"/>
      <c r="AJ5825" s="148"/>
      <c r="AK5825" s="143"/>
      <c r="AL5825" s="144"/>
      <c r="AM5825" s="22"/>
      <c r="AN5825" s="149"/>
      <c r="AO5825" s="144"/>
      <c r="AP5825" s="148"/>
      <c r="AQ5825" s="144"/>
      <c r="AR5825" s="120"/>
      <c r="AS5825" s="121"/>
      <c r="AT5825" s="120"/>
      <c r="AU5825" s="121"/>
      <c r="AV5825" s="120"/>
      <c r="AW5825" s="121"/>
      <c r="AX5825" s="120"/>
      <c r="AY5825" s="121"/>
      <c r="AZ5825" s="138"/>
    </row>
    <row r="5826" spans="1:52" ht="17.100000000000001" customHeight="1" thickTop="1">
      <c r="A5826" s="109" t="s">
        <v>17068</v>
      </c>
      <c r="B5826" s="28">
        <v>46058</v>
      </c>
      <c r="C5826" s="25">
        <v>2144</v>
      </c>
      <c r="D5826" s="13" t="s">
        <v>3478</v>
      </c>
      <c r="E5826" s="111"/>
      <c r="F5826" s="113" t="s">
        <v>17241</v>
      </c>
      <c r="G5826" s="114"/>
      <c r="H5826" s="115"/>
      <c r="I5826" s="24"/>
      <c r="J5826" s="116">
        <v>4.5</v>
      </c>
      <c r="K5826" s="118">
        <v>668000</v>
      </c>
      <c r="L5826" s="119"/>
      <c r="M5826" s="118">
        <f t="shared" ref="M5826" si="7588">K5826*0.1</f>
        <v>66800</v>
      </c>
      <c r="N5826" s="119"/>
      <c r="O5826" s="118">
        <v>0</v>
      </c>
      <c r="P5826" s="119"/>
      <c r="Q5826" s="118">
        <v>8230</v>
      </c>
      <c r="R5826" s="119"/>
      <c r="S5826" s="118">
        <v>14300</v>
      </c>
      <c r="T5826" s="119"/>
      <c r="U5826" s="118">
        <f t="shared" ref="U5826" si="7589">SUM(K5826:T5827)</f>
        <v>757330</v>
      </c>
      <c r="V5826" s="122"/>
      <c r="W5826" s="124"/>
      <c r="X5826" s="126" t="s">
        <v>17711</v>
      </c>
      <c r="Y5826" s="127"/>
      <c r="Z5826" s="127"/>
      <c r="AA5826" s="127"/>
      <c r="AB5826" s="128"/>
      <c r="AC5826" s="15" t="s">
        <v>20</v>
      </c>
      <c r="AD5826" s="129" t="s">
        <v>1670</v>
      </c>
      <c r="AE5826" s="130"/>
      <c r="AF5826" s="130"/>
      <c r="AG5826" s="130"/>
      <c r="AH5826" s="130"/>
      <c r="AI5826" s="131"/>
      <c r="AJ5826" s="132"/>
      <c r="AK5826" s="127"/>
      <c r="AL5826" s="128"/>
      <c r="AM5826" s="21"/>
      <c r="AN5826" s="133">
        <v>46071</v>
      </c>
      <c r="AO5826" s="134"/>
      <c r="AP5826" s="135">
        <v>1005</v>
      </c>
      <c r="AQ5826" s="136"/>
      <c r="AR5826" s="118">
        <v>715000</v>
      </c>
      <c r="AS5826" s="119"/>
      <c r="AT5826" s="118">
        <f t="shared" ref="AT5826" si="7590">AR5826*0.1</f>
        <v>71500</v>
      </c>
      <c r="AU5826" s="119"/>
      <c r="AV5826" s="118">
        <v>8230</v>
      </c>
      <c r="AW5826" s="119"/>
      <c r="AX5826" s="118">
        <f t="shared" ref="AX5826" si="7591">SUM(AR5826:AW5826)</f>
        <v>794730</v>
      </c>
      <c r="AY5826" s="119"/>
      <c r="AZ5826" s="137">
        <v>46073</v>
      </c>
    </row>
    <row r="5827" spans="1:52" ht="17.100000000000001" customHeight="1" thickBot="1">
      <c r="A5827" s="110"/>
      <c r="B5827" s="27" t="s">
        <v>1940</v>
      </c>
      <c r="C5827" s="27">
        <v>2145</v>
      </c>
      <c r="D5827" s="14" t="s">
        <v>904</v>
      </c>
      <c r="E5827" s="112"/>
      <c r="F5827" s="139" t="s">
        <v>17084</v>
      </c>
      <c r="G5827" s="140"/>
      <c r="H5827" s="141"/>
      <c r="I5827" s="26">
        <v>37140</v>
      </c>
      <c r="J5827" s="117"/>
      <c r="K5827" s="120"/>
      <c r="L5827" s="121"/>
      <c r="M5827" s="120"/>
      <c r="N5827" s="121"/>
      <c r="O5827" s="120"/>
      <c r="P5827" s="121"/>
      <c r="Q5827" s="120"/>
      <c r="R5827" s="121"/>
      <c r="S5827" s="120"/>
      <c r="T5827" s="121"/>
      <c r="U5827" s="120"/>
      <c r="V5827" s="123"/>
      <c r="W5827" s="125"/>
      <c r="X5827" s="142" t="s">
        <v>3410</v>
      </c>
      <c r="Y5827" s="143"/>
      <c r="Z5827" s="143"/>
      <c r="AA5827" s="143"/>
      <c r="AB5827" s="144"/>
      <c r="AC5827" s="16" t="s">
        <v>21</v>
      </c>
      <c r="AD5827" s="17" t="s">
        <v>2298</v>
      </c>
      <c r="AE5827" s="145" t="s">
        <v>17712</v>
      </c>
      <c r="AF5827" s="146"/>
      <c r="AG5827" s="146"/>
      <c r="AH5827" s="146"/>
      <c r="AI5827" s="147"/>
      <c r="AJ5827" s="148"/>
      <c r="AK5827" s="143"/>
      <c r="AL5827" s="144"/>
      <c r="AM5827" s="22"/>
      <c r="AN5827" s="149" t="s">
        <v>2794</v>
      </c>
      <c r="AO5827" s="144"/>
      <c r="AP5827" s="148">
        <v>2053</v>
      </c>
      <c r="AQ5827" s="144"/>
      <c r="AR5827" s="120"/>
      <c r="AS5827" s="121"/>
      <c r="AT5827" s="120"/>
      <c r="AU5827" s="121"/>
      <c r="AV5827" s="120"/>
      <c r="AW5827" s="121"/>
      <c r="AX5827" s="120"/>
      <c r="AY5827" s="121"/>
      <c r="AZ5827" s="138"/>
    </row>
    <row r="5828" spans="1:52" ht="17.100000000000001" customHeight="1" thickTop="1">
      <c r="A5828" s="109" t="s">
        <v>17069</v>
      </c>
      <c r="B5828" s="28">
        <v>46058</v>
      </c>
      <c r="C5828" s="25">
        <v>2144</v>
      </c>
      <c r="D5828" s="13" t="s">
        <v>1561</v>
      </c>
      <c r="E5828" s="111"/>
      <c r="F5828" s="113" t="s">
        <v>17242</v>
      </c>
      <c r="G5828" s="114"/>
      <c r="H5828" s="115"/>
      <c r="I5828" s="24" t="s">
        <v>13265</v>
      </c>
      <c r="J5828" s="116">
        <v>4</v>
      </c>
      <c r="K5828" s="118">
        <v>1020000</v>
      </c>
      <c r="L5828" s="119"/>
      <c r="M5828" s="118">
        <f t="shared" ref="M5828" si="7592">K5828*0.1</f>
        <v>102000</v>
      </c>
      <c r="N5828" s="119"/>
      <c r="O5828" s="118">
        <v>0</v>
      </c>
      <c r="P5828" s="119"/>
      <c r="Q5828" s="118">
        <v>9010</v>
      </c>
      <c r="R5828" s="119"/>
      <c r="S5828" s="118">
        <v>14300</v>
      </c>
      <c r="T5828" s="119"/>
      <c r="U5828" s="118">
        <f t="shared" ref="U5828" si="7593">SUM(K5828:T5829)</f>
        <v>1145310</v>
      </c>
      <c r="V5828" s="122"/>
      <c r="W5828" s="124"/>
      <c r="X5828" s="126" t="s">
        <v>17243</v>
      </c>
      <c r="Y5828" s="127"/>
      <c r="Z5828" s="127"/>
      <c r="AA5828" s="127"/>
      <c r="AB5828" s="128"/>
      <c r="AC5828" s="15" t="s">
        <v>20</v>
      </c>
      <c r="AD5828" s="129"/>
      <c r="AE5828" s="130"/>
      <c r="AF5828" s="130"/>
      <c r="AG5828" s="130"/>
      <c r="AH5828" s="130"/>
      <c r="AI5828" s="131"/>
      <c r="AJ5828" s="132"/>
      <c r="AK5828" s="127"/>
      <c r="AL5828" s="128"/>
      <c r="AM5828" s="21"/>
      <c r="AN5828" s="133">
        <v>46064</v>
      </c>
      <c r="AO5828" s="134"/>
      <c r="AP5828" s="135">
        <v>1004</v>
      </c>
      <c r="AQ5828" s="136"/>
      <c r="AR5828" s="118">
        <v>1065000</v>
      </c>
      <c r="AS5828" s="119"/>
      <c r="AT5828" s="118">
        <f t="shared" ref="AT5828" si="7594">AR5828*0.1</f>
        <v>106500</v>
      </c>
      <c r="AU5828" s="119"/>
      <c r="AV5828" s="118">
        <v>9010</v>
      </c>
      <c r="AW5828" s="119"/>
      <c r="AX5828" s="118">
        <f t="shared" ref="AX5828" si="7595">SUM(AR5828:AW5828)</f>
        <v>1180510</v>
      </c>
      <c r="AY5828" s="119"/>
      <c r="AZ5828" s="137">
        <v>46069</v>
      </c>
    </row>
    <row r="5829" spans="1:52" ht="17.100000000000001" customHeight="1" thickBot="1">
      <c r="A5829" s="110"/>
      <c r="B5829" s="27" t="s">
        <v>1940</v>
      </c>
      <c r="C5829" s="27">
        <v>2506</v>
      </c>
      <c r="D5829" s="14" t="s">
        <v>1812</v>
      </c>
      <c r="E5829" s="112"/>
      <c r="F5829" s="139" t="s">
        <v>17085</v>
      </c>
      <c r="G5829" s="140"/>
      <c r="H5829" s="141"/>
      <c r="I5829" s="26">
        <v>52233</v>
      </c>
      <c r="J5829" s="117"/>
      <c r="K5829" s="120"/>
      <c r="L5829" s="121"/>
      <c r="M5829" s="120"/>
      <c r="N5829" s="121"/>
      <c r="O5829" s="120"/>
      <c r="P5829" s="121"/>
      <c r="Q5829" s="120"/>
      <c r="R5829" s="121"/>
      <c r="S5829" s="120"/>
      <c r="T5829" s="121"/>
      <c r="U5829" s="120"/>
      <c r="V5829" s="123"/>
      <c r="W5829" s="125"/>
      <c r="X5829" s="142" t="s">
        <v>2321</v>
      </c>
      <c r="Y5829" s="143"/>
      <c r="Z5829" s="143"/>
      <c r="AA5829" s="143"/>
      <c r="AB5829" s="144"/>
      <c r="AC5829" s="16" t="s">
        <v>21</v>
      </c>
      <c r="AD5829" s="17" t="s">
        <v>2298</v>
      </c>
      <c r="AE5829" s="145" t="s">
        <v>171</v>
      </c>
      <c r="AF5829" s="146"/>
      <c r="AG5829" s="146"/>
      <c r="AH5829" s="146"/>
      <c r="AI5829" s="147"/>
      <c r="AJ5829" s="148"/>
      <c r="AK5829" s="143"/>
      <c r="AL5829" s="144"/>
      <c r="AM5829" s="22"/>
      <c r="AN5829" s="149" t="s">
        <v>2794</v>
      </c>
      <c r="AO5829" s="144"/>
      <c r="AP5829" s="148">
        <v>5067</v>
      </c>
      <c r="AQ5829" s="144"/>
      <c r="AR5829" s="120"/>
      <c r="AS5829" s="121"/>
      <c r="AT5829" s="120"/>
      <c r="AU5829" s="121"/>
      <c r="AV5829" s="120"/>
      <c r="AW5829" s="121"/>
      <c r="AX5829" s="120"/>
      <c r="AY5829" s="121"/>
      <c r="AZ5829" s="138"/>
    </row>
    <row r="5830" spans="1:52" ht="17.100000000000001" customHeight="1" thickTop="1">
      <c r="A5830" s="109" t="s">
        <v>17070</v>
      </c>
      <c r="B5830" s="28">
        <v>46058</v>
      </c>
      <c r="C5830" s="25">
        <v>2144</v>
      </c>
      <c r="D5830" s="13" t="s">
        <v>1855</v>
      </c>
      <c r="E5830" s="111"/>
      <c r="F5830" s="113" t="s">
        <v>17244</v>
      </c>
      <c r="G5830" s="114"/>
      <c r="H5830" s="115"/>
      <c r="I5830" s="24" t="s">
        <v>13262</v>
      </c>
      <c r="J5830" s="116">
        <v>4</v>
      </c>
      <c r="K5830" s="118">
        <v>479000</v>
      </c>
      <c r="L5830" s="119"/>
      <c r="M5830" s="118">
        <f t="shared" ref="M5830" si="7596">K5830*0.1</f>
        <v>47900</v>
      </c>
      <c r="N5830" s="119"/>
      <c r="O5830" s="118">
        <v>0</v>
      </c>
      <c r="P5830" s="119"/>
      <c r="Q5830" s="118">
        <v>8550</v>
      </c>
      <c r="R5830" s="119"/>
      <c r="S5830" s="118">
        <v>14300</v>
      </c>
      <c r="T5830" s="119"/>
      <c r="U5830" s="118">
        <f t="shared" ref="U5830" si="7597">SUM(K5830:T5831)</f>
        <v>549750</v>
      </c>
      <c r="V5830" s="122"/>
      <c r="W5830" s="124"/>
      <c r="X5830" s="126" t="s">
        <v>17245</v>
      </c>
      <c r="Y5830" s="127"/>
      <c r="Z5830" s="127"/>
      <c r="AA5830" s="127"/>
      <c r="AB5830" s="128"/>
      <c r="AC5830" s="15" t="s">
        <v>20</v>
      </c>
      <c r="AD5830" s="129" t="s">
        <v>3821</v>
      </c>
      <c r="AE5830" s="130"/>
      <c r="AF5830" s="130"/>
      <c r="AG5830" s="130"/>
      <c r="AH5830" s="130"/>
      <c r="AI5830" s="131"/>
      <c r="AJ5830" s="132"/>
      <c r="AK5830" s="127"/>
      <c r="AL5830" s="128"/>
      <c r="AM5830" s="21"/>
      <c r="AN5830" s="133">
        <v>46064</v>
      </c>
      <c r="AO5830" s="134"/>
      <c r="AP5830" s="135">
        <v>1004</v>
      </c>
      <c r="AQ5830" s="136"/>
      <c r="AR5830" s="118">
        <v>550000</v>
      </c>
      <c r="AS5830" s="119"/>
      <c r="AT5830" s="118">
        <f t="shared" ref="AT5830" si="7598">AR5830*0.1</f>
        <v>55000</v>
      </c>
      <c r="AU5830" s="119"/>
      <c r="AV5830" s="118">
        <v>8550</v>
      </c>
      <c r="AW5830" s="119"/>
      <c r="AX5830" s="118">
        <f t="shared" ref="AX5830" si="7599">SUM(AR5830:AW5830)</f>
        <v>613550</v>
      </c>
      <c r="AY5830" s="119"/>
      <c r="AZ5830" s="137">
        <v>46069</v>
      </c>
    </row>
    <row r="5831" spans="1:52" ht="17.100000000000001" customHeight="1" thickBot="1">
      <c r="A5831" s="110"/>
      <c r="B5831" s="27" t="s">
        <v>1940</v>
      </c>
      <c r="C5831" s="27">
        <v>2531</v>
      </c>
      <c r="D5831" s="14" t="s">
        <v>55</v>
      </c>
      <c r="E5831" s="112"/>
      <c r="F5831" s="139" t="s">
        <v>17086</v>
      </c>
      <c r="G5831" s="140"/>
      <c r="H5831" s="141"/>
      <c r="I5831" s="26">
        <v>21285</v>
      </c>
      <c r="J5831" s="117"/>
      <c r="K5831" s="120"/>
      <c r="L5831" s="121"/>
      <c r="M5831" s="120"/>
      <c r="N5831" s="121"/>
      <c r="O5831" s="120"/>
      <c r="P5831" s="121"/>
      <c r="Q5831" s="120"/>
      <c r="R5831" s="121"/>
      <c r="S5831" s="120"/>
      <c r="T5831" s="121"/>
      <c r="U5831" s="120"/>
      <c r="V5831" s="123"/>
      <c r="W5831" s="125"/>
      <c r="X5831" s="142" t="s">
        <v>17633</v>
      </c>
      <c r="Y5831" s="143"/>
      <c r="Z5831" s="143"/>
      <c r="AA5831" s="143"/>
      <c r="AB5831" s="144"/>
      <c r="AC5831" s="16" t="s">
        <v>21</v>
      </c>
      <c r="AD5831" s="17" t="s">
        <v>2298</v>
      </c>
      <c r="AE5831" s="145" t="s">
        <v>7847</v>
      </c>
      <c r="AF5831" s="146"/>
      <c r="AG5831" s="146"/>
      <c r="AH5831" s="146"/>
      <c r="AI5831" s="147"/>
      <c r="AJ5831" s="148"/>
      <c r="AK5831" s="143"/>
      <c r="AL5831" s="144"/>
      <c r="AM5831" s="22"/>
      <c r="AN5831" s="149" t="s">
        <v>7285</v>
      </c>
      <c r="AO5831" s="144"/>
      <c r="AP5831" s="148">
        <v>5057</v>
      </c>
      <c r="AQ5831" s="144"/>
      <c r="AR5831" s="120"/>
      <c r="AS5831" s="121"/>
      <c r="AT5831" s="120"/>
      <c r="AU5831" s="121"/>
      <c r="AV5831" s="120"/>
      <c r="AW5831" s="121"/>
      <c r="AX5831" s="120"/>
      <c r="AY5831" s="121"/>
      <c r="AZ5831" s="138"/>
    </row>
    <row r="5832" spans="1:52" ht="17.100000000000001" customHeight="1" thickTop="1">
      <c r="A5832" s="109" t="s">
        <v>17071</v>
      </c>
      <c r="B5832" s="28">
        <v>46058</v>
      </c>
      <c r="C5832" s="25">
        <v>2144</v>
      </c>
      <c r="D5832" s="13" t="s">
        <v>3461</v>
      </c>
      <c r="E5832" s="111"/>
      <c r="F5832" s="113" t="s">
        <v>17246</v>
      </c>
      <c r="G5832" s="114"/>
      <c r="H5832" s="115"/>
      <c r="I5832" s="24"/>
      <c r="J5832" s="116">
        <v>4</v>
      </c>
      <c r="K5832" s="118">
        <v>631000</v>
      </c>
      <c r="L5832" s="119"/>
      <c r="M5832" s="118">
        <f t="shared" ref="M5832" si="7600">K5832*0.1</f>
        <v>63100</v>
      </c>
      <c r="N5832" s="119"/>
      <c r="O5832" s="118">
        <v>0</v>
      </c>
      <c r="P5832" s="119"/>
      <c r="Q5832" s="118">
        <v>8430</v>
      </c>
      <c r="R5832" s="119"/>
      <c r="S5832" s="118">
        <v>14300</v>
      </c>
      <c r="T5832" s="119"/>
      <c r="U5832" s="118">
        <f t="shared" ref="U5832" si="7601">SUM(K5832:T5833)</f>
        <v>716830</v>
      </c>
      <c r="V5832" s="122"/>
      <c r="W5832" s="124"/>
      <c r="X5832" s="126" t="s">
        <v>17703</v>
      </c>
      <c r="Y5832" s="127"/>
      <c r="Z5832" s="127"/>
      <c r="AA5832" s="127"/>
      <c r="AB5832" s="128"/>
      <c r="AC5832" s="15" t="s">
        <v>20</v>
      </c>
      <c r="AD5832" s="129" t="s">
        <v>17247</v>
      </c>
      <c r="AE5832" s="130"/>
      <c r="AF5832" s="130"/>
      <c r="AG5832" s="130"/>
      <c r="AH5832" s="130"/>
      <c r="AI5832" s="131"/>
      <c r="AJ5832" s="132"/>
      <c r="AK5832" s="127"/>
      <c r="AL5832" s="128"/>
      <c r="AM5832" s="21"/>
      <c r="AN5832" s="133">
        <v>46078</v>
      </c>
      <c r="AO5832" s="134"/>
      <c r="AP5832" s="135">
        <v>1006</v>
      </c>
      <c r="AQ5832" s="136"/>
      <c r="AR5832" s="118">
        <v>710000</v>
      </c>
      <c r="AS5832" s="119"/>
      <c r="AT5832" s="118">
        <f t="shared" ref="AT5832" si="7602">AR5832*0.1</f>
        <v>71000</v>
      </c>
      <c r="AU5832" s="119"/>
      <c r="AV5832" s="118">
        <v>8430</v>
      </c>
      <c r="AW5832" s="119"/>
      <c r="AX5832" s="118">
        <f t="shared" ref="AX5832" si="7603">SUM(AR5832:AW5832)</f>
        <v>789430</v>
      </c>
      <c r="AY5832" s="119"/>
      <c r="AZ5832" s="137">
        <v>46083</v>
      </c>
    </row>
    <row r="5833" spans="1:52" ht="17.100000000000001" customHeight="1" thickBot="1">
      <c r="A5833" s="110"/>
      <c r="B5833" s="27" t="s">
        <v>1940</v>
      </c>
      <c r="C5833" s="27">
        <v>2539</v>
      </c>
      <c r="D5833" s="14" t="s">
        <v>1720</v>
      </c>
      <c r="E5833" s="112"/>
      <c r="F5833" s="139" t="s">
        <v>17087</v>
      </c>
      <c r="G5833" s="140"/>
      <c r="H5833" s="141"/>
      <c r="I5833" s="26">
        <v>58376</v>
      </c>
      <c r="J5833" s="117"/>
      <c r="K5833" s="120"/>
      <c r="L5833" s="121"/>
      <c r="M5833" s="120"/>
      <c r="N5833" s="121"/>
      <c r="O5833" s="120"/>
      <c r="P5833" s="121"/>
      <c r="Q5833" s="120"/>
      <c r="R5833" s="121"/>
      <c r="S5833" s="120"/>
      <c r="T5833" s="121"/>
      <c r="U5833" s="120"/>
      <c r="V5833" s="123"/>
      <c r="W5833" s="125"/>
      <c r="X5833" s="142" t="s">
        <v>15395</v>
      </c>
      <c r="Y5833" s="143"/>
      <c r="Z5833" s="143"/>
      <c r="AA5833" s="143"/>
      <c r="AB5833" s="144"/>
      <c r="AC5833" s="16" t="s">
        <v>21</v>
      </c>
      <c r="AD5833" s="17" t="s">
        <v>2298</v>
      </c>
      <c r="AE5833" s="145" t="s">
        <v>17704</v>
      </c>
      <c r="AF5833" s="146"/>
      <c r="AG5833" s="146"/>
      <c r="AH5833" s="146"/>
      <c r="AI5833" s="147"/>
      <c r="AJ5833" s="148"/>
      <c r="AK5833" s="143"/>
      <c r="AL5833" s="144"/>
      <c r="AM5833" s="22"/>
      <c r="AN5833" s="149" t="s">
        <v>2794</v>
      </c>
      <c r="AO5833" s="144"/>
      <c r="AP5833" s="148">
        <v>2023</v>
      </c>
      <c r="AQ5833" s="144"/>
      <c r="AR5833" s="120"/>
      <c r="AS5833" s="121"/>
      <c r="AT5833" s="120"/>
      <c r="AU5833" s="121"/>
      <c r="AV5833" s="120"/>
      <c r="AW5833" s="121"/>
      <c r="AX5833" s="120"/>
      <c r="AY5833" s="121"/>
      <c r="AZ5833" s="138"/>
    </row>
    <row r="5834" spans="1:52" ht="17.100000000000001" customHeight="1" thickTop="1">
      <c r="A5834" s="109" t="s">
        <v>17072</v>
      </c>
      <c r="B5834" s="28">
        <v>46058</v>
      </c>
      <c r="C5834" s="25">
        <v>2144</v>
      </c>
      <c r="D5834" s="13" t="s">
        <v>3461</v>
      </c>
      <c r="E5834" s="111"/>
      <c r="F5834" s="113" t="s">
        <v>17246</v>
      </c>
      <c r="G5834" s="114"/>
      <c r="H5834" s="115"/>
      <c r="I5834" s="24"/>
      <c r="J5834" s="116">
        <v>4.5</v>
      </c>
      <c r="K5834" s="118">
        <v>712000</v>
      </c>
      <c r="L5834" s="119"/>
      <c r="M5834" s="118">
        <f t="shared" ref="M5834" si="7604">K5834*0.1</f>
        <v>71200</v>
      </c>
      <c r="N5834" s="119"/>
      <c r="O5834" s="118">
        <v>0</v>
      </c>
      <c r="P5834" s="119"/>
      <c r="Q5834" s="118">
        <v>8430</v>
      </c>
      <c r="R5834" s="119"/>
      <c r="S5834" s="118">
        <v>14300</v>
      </c>
      <c r="T5834" s="119"/>
      <c r="U5834" s="118">
        <f t="shared" ref="U5834" si="7605">SUM(K5834:T5835)</f>
        <v>805930</v>
      </c>
      <c r="V5834" s="122"/>
      <c r="W5834" s="124"/>
      <c r="X5834" s="126" t="s">
        <v>17702</v>
      </c>
      <c r="Y5834" s="127"/>
      <c r="Z5834" s="127"/>
      <c r="AA5834" s="127"/>
      <c r="AB5834" s="128"/>
      <c r="AC5834" s="15" t="s">
        <v>20</v>
      </c>
      <c r="AD5834" s="129" t="s">
        <v>17247</v>
      </c>
      <c r="AE5834" s="130"/>
      <c r="AF5834" s="130"/>
      <c r="AG5834" s="130"/>
      <c r="AH5834" s="130"/>
      <c r="AI5834" s="131"/>
      <c r="AJ5834" s="132" t="s">
        <v>17759</v>
      </c>
      <c r="AK5834" s="127"/>
      <c r="AL5834" s="128"/>
      <c r="AM5834" s="21"/>
      <c r="AN5834" s="133">
        <v>46063</v>
      </c>
      <c r="AO5834" s="134"/>
      <c r="AP5834" s="135">
        <v>1928</v>
      </c>
      <c r="AQ5834" s="136"/>
      <c r="AR5834" s="118">
        <v>795000</v>
      </c>
      <c r="AS5834" s="119"/>
      <c r="AT5834" s="118">
        <f t="shared" ref="AT5834" si="7606">AR5834*0.1</f>
        <v>79500</v>
      </c>
      <c r="AU5834" s="119"/>
      <c r="AV5834" s="118">
        <v>8430</v>
      </c>
      <c r="AW5834" s="119"/>
      <c r="AX5834" s="118">
        <f t="shared" ref="AX5834" si="7607">SUM(AR5834:AW5834)</f>
        <v>882930</v>
      </c>
      <c r="AY5834" s="119"/>
      <c r="AZ5834" s="137">
        <v>46070</v>
      </c>
    </row>
    <row r="5835" spans="1:52" ht="17.100000000000001" customHeight="1" thickBot="1">
      <c r="A5835" s="110"/>
      <c r="B5835" s="27" t="s">
        <v>1940</v>
      </c>
      <c r="C5835" s="27">
        <v>2546</v>
      </c>
      <c r="D5835" s="14" t="s">
        <v>1720</v>
      </c>
      <c r="E5835" s="112"/>
      <c r="F5835" s="139" t="s">
        <v>17088</v>
      </c>
      <c r="G5835" s="140"/>
      <c r="H5835" s="141"/>
      <c r="I5835" s="26">
        <v>55283</v>
      </c>
      <c r="J5835" s="117"/>
      <c r="K5835" s="120"/>
      <c r="L5835" s="121"/>
      <c r="M5835" s="120"/>
      <c r="N5835" s="121"/>
      <c r="O5835" s="120"/>
      <c r="P5835" s="121"/>
      <c r="Q5835" s="120"/>
      <c r="R5835" s="121"/>
      <c r="S5835" s="120"/>
      <c r="T5835" s="121"/>
      <c r="U5835" s="120"/>
      <c r="V5835" s="123"/>
      <c r="W5835" s="125"/>
      <c r="X5835" s="142" t="s">
        <v>15395</v>
      </c>
      <c r="Y5835" s="143"/>
      <c r="Z5835" s="143"/>
      <c r="AA5835" s="143"/>
      <c r="AB5835" s="144"/>
      <c r="AC5835" s="16" t="s">
        <v>21</v>
      </c>
      <c r="AD5835" s="17" t="s">
        <v>2298</v>
      </c>
      <c r="AE5835" s="162" t="s">
        <v>18163</v>
      </c>
      <c r="AF5835" s="146"/>
      <c r="AG5835" s="146"/>
      <c r="AH5835" s="146"/>
      <c r="AI5835" s="147"/>
      <c r="AJ5835" s="148"/>
      <c r="AK5835" s="143"/>
      <c r="AL5835" s="144"/>
      <c r="AM5835" s="22"/>
      <c r="AN5835" s="149" t="s">
        <v>7644</v>
      </c>
      <c r="AO5835" s="144"/>
      <c r="AP5835" s="148">
        <v>3243</v>
      </c>
      <c r="AQ5835" s="144"/>
      <c r="AR5835" s="120"/>
      <c r="AS5835" s="121"/>
      <c r="AT5835" s="120"/>
      <c r="AU5835" s="121"/>
      <c r="AV5835" s="120"/>
      <c r="AW5835" s="121"/>
      <c r="AX5835" s="120"/>
      <c r="AY5835" s="121"/>
      <c r="AZ5835" s="138"/>
    </row>
    <row r="5836" spans="1:52" ht="17.100000000000001" customHeight="1" thickTop="1">
      <c r="A5836" s="109" t="s">
        <v>17073</v>
      </c>
      <c r="B5836" s="28">
        <v>46058</v>
      </c>
      <c r="C5836" s="25">
        <v>2144</v>
      </c>
      <c r="D5836" s="13" t="s">
        <v>3461</v>
      </c>
      <c r="E5836" s="111"/>
      <c r="F5836" s="113" t="s">
        <v>17246</v>
      </c>
      <c r="G5836" s="114"/>
      <c r="H5836" s="115"/>
      <c r="I5836" s="24"/>
      <c r="J5836" s="116">
        <v>4</v>
      </c>
      <c r="K5836" s="118">
        <v>670000</v>
      </c>
      <c r="L5836" s="119"/>
      <c r="M5836" s="118">
        <f t="shared" ref="M5836" si="7608">K5836*0.1</f>
        <v>67000</v>
      </c>
      <c r="N5836" s="119"/>
      <c r="O5836" s="118">
        <v>0</v>
      </c>
      <c r="P5836" s="119"/>
      <c r="Q5836" s="118">
        <v>8430</v>
      </c>
      <c r="R5836" s="119"/>
      <c r="S5836" s="118">
        <v>14300</v>
      </c>
      <c r="T5836" s="119"/>
      <c r="U5836" s="118">
        <f t="shared" ref="U5836" si="7609">SUM(K5836:T5837)</f>
        <v>759730</v>
      </c>
      <c r="V5836" s="122"/>
      <c r="W5836" s="124"/>
      <c r="X5836" s="126" t="s">
        <v>17705</v>
      </c>
      <c r="Y5836" s="127"/>
      <c r="Z5836" s="127"/>
      <c r="AA5836" s="127"/>
      <c r="AB5836" s="128"/>
      <c r="AC5836" s="15" t="s">
        <v>20</v>
      </c>
      <c r="AD5836" s="129" t="s">
        <v>17247</v>
      </c>
      <c r="AE5836" s="130"/>
      <c r="AF5836" s="130"/>
      <c r="AG5836" s="130"/>
      <c r="AH5836" s="130"/>
      <c r="AI5836" s="131"/>
      <c r="AJ5836" s="132"/>
      <c r="AK5836" s="127"/>
      <c r="AL5836" s="128"/>
      <c r="AM5836" s="21"/>
      <c r="AN5836" s="133">
        <v>46095</v>
      </c>
      <c r="AO5836" s="134"/>
      <c r="AP5836" s="135">
        <v>1292</v>
      </c>
      <c r="AQ5836" s="136"/>
      <c r="AR5836" s="118">
        <v>700000</v>
      </c>
      <c r="AS5836" s="119"/>
      <c r="AT5836" s="118">
        <f t="shared" ref="AT5836" si="7610">AR5836*0.1</f>
        <v>70000</v>
      </c>
      <c r="AU5836" s="119"/>
      <c r="AV5836" s="118">
        <v>8430</v>
      </c>
      <c r="AW5836" s="119"/>
      <c r="AX5836" s="118">
        <f t="shared" ref="AX5836" si="7611">SUM(AR5836:AW5836)</f>
        <v>778430</v>
      </c>
      <c r="AY5836" s="119"/>
      <c r="AZ5836" s="137">
        <v>46098</v>
      </c>
    </row>
    <row r="5837" spans="1:52" ht="17.100000000000001" customHeight="1" thickBot="1">
      <c r="A5837" s="110"/>
      <c r="B5837" s="27" t="s">
        <v>1940</v>
      </c>
      <c r="C5837" s="27">
        <v>2550</v>
      </c>
      <c r="D5837" s="14" t="s">
        <v>1720</v>
      </c>
      <c r="E5837" s="112"/>
      <c r="F5837" s="139" t="s">
        <v>17089</v>
      </c>
      <c r="G5837" s="140"/>
      <c r="H5837" s="141"/>
      <c r="I5837" s="26">
        <v>55544</v>
      </c>
      <c r="J5837" s="117"/>
      <c r="K5837" s="120"/>
      <c r="L5837" s="121"/>
      <c r="M5837" s="120"/>
      <c r="N5837" s="121"/>
      <c r="O5837" s="120"/>
      <c r="P5837" s="121"/>
      <c r="Q5837" s="120"/>
      <c r="R5837" s="121"/>
      <c r="S5837" s="120"/>
      <c r="T5837" s="121"/>
      <c r="U5837" s="120"/>
      <c r="V5837" s="123"/>
      <c r="W5837" s="125"/>
      <c r="X5837" s="142" t="s">
        <v>15395</v>
      </c>
      <c r="Y5837" s="143"/>
      <c r="Z5837" s="143"/>
      <c r="AA5837" s="143"/>
      <c r="AB5837" s="144"/>
      <c r="AC5837" s="16" t="s">
        <v>21</v>
      </c>
      <c r="AD5837" s="17" t="s">
        <v>2298</v>
      </c>
      <c r="AE5837" s="145" t="s">
        <v>17706</v>
      </c>
      <c r="AF5837" s="146"/>
      <c r="AG5837" s="146"/>
      <c r="AH5837" s="146"/>
      <c r="AI5837" s="147"/>
      <c r="AJ5837" s="148"/>
      <c r="AK5837" s="143"/>
      <c r="AL5837" s="144"/>
      <c r="AM5837" s="22"/>
      <c r="AN5837" s="149" t="s">
        <v>2511</v>
      </c>
      <c r="AO5837" s="144"/>
      <c r="AP5837" s="148">
        <v>60047</v>
      </c>
      <c r="AQ5837" s="144"/>
      <c r="AR5837" s="120"/>
      <c r="AS5837" s="121"/>
      <c r="AT5837" s="120"/>
      <c r="AU5837" s="121"/>
      <c r="AV5837" s="120"/>
      <c r="AW5837" s="121"/>
      <c r="AX5837" s="120"/>
      <c r="AY5837" s="121"/>
      <c r="AZ5837" s="138"/>
    </row>
    <row r="5838" spans="1:52" ht="17.100000000000001" customHeight="1" thickTop="1">
      <c r="A5838" s="109" t="s">
        <v>17074</v>
      </c>
      <c r="B5838" s="28">
        <v>46058</v>
      </c>
      <c r="C5838" s="25">
        <v>2144</v>
      </c>
      <c r="D5838" s="13" t="s">
        <v>2737</v>
      </c>
      <c r="E5838" s="111"/>
      <c r="F5838" s="113" t="s">
        <v>16016</v>
      </c>
      <c r="G5838" s="114"/>
      <c r="H5838" s="115"/>
      <c r="I5838" s="24" t="s">
        <v>17248</v>
      </c>
      <c r="J5838" s="116">
        <v>4</v>
      </c>
      <c r="K5838" s="118">
        <v>1260000</v>
      </c>
      <c r="L5838" s="119"/>
      <c r="M5838" s="118">
        <f t="shared" ref="M5838" si="7612">K5838*0.1</f>
        <v>126000</v>
      </c>
      <c r="N5838" s="119"/>
      <c r="O5838" s="118">
        <v>0</v>
      </c>
      <c r="P5838" s="119"/>
      <c r="Q5838" s="118">
        <v>8740</v>
      </c>
      <c r="R5838" s="119"/>
      <c r="S5838" s="118">
        <v>14300</v>
      </c>
      <c r="T5838" s="119"/>
      <c r="U5838" s="118">
        <f t="shared" ref="U5838" si="7613">SUM(K5838:T5839)</f>
        <v>1409040</v>
      </c>
      <c r="V5838" s="122"/>
      <c r="W5838" s="124"/>
      <c r="X5838" s="126" t="s">
        <v>17249</v>
      </c>
      <c r="Y5838" s="127"/>
      <c r="Z5838" s="127"/>
      <c r="AA5838" s="127"/>
      <c r="AB5838" s="128"/>
      <c r="AC5838" s="15" t="s">
        <v>20</v>
      </c>
      <c r="AD5838" s="129" t="s">
        <v>3868</v>
      </c>
      <c r="AE5838" s="130"/>
      <c r="AF5838" s="130"/>
      <c r="AG5838" s="130"/>
      <c r="AH5838" s="130"/>
      <c r="AI5838" s="131"/>
      <c r="AJ5838" s="132"/>
      <c r="AK5838" s="127"/>
      <c r="AL5838" s="128"/>
      <c r="AM5838" s="21" t="s">
        <v>19435</v>
      </c>
      <c r="AN5838" s="133">
        <v>46085</v>
      </c>
      <c r="AO5838" s="134"/>
      <c r="AP5838" s="135">
        <v>1007</v>
      </c>
      <c r="AQ5838" s="136"/>
      <c r="AR5838" s="118">
        <v>1310000</v>
      </c>
      <c r="AS5838" s="119"/>
      <c r="AT5838" s="118">
        <f t="shared" ref="AT5838" si="7614">AR5838*0.1</f>
        <v>131000</v>
      </c>
      <c r="AU5838" s="119"/>
      <c r="AV5838" s="118">
        <v>8740</v>
      </c>
      <c r="AW5838" s="119"/>
      <c r="AX5838" s="118">
        <f t="shared" ref="AX5838" si="7615">SUM(AR5838:AW5838)</f>
        <v>1449740</v>
      </c>
      <c r="AY5838" s="119"/>
      <c r="AZ5838" s="137">
        <v>46090</v>
      </c>
    </row>
    <row r="5839" spans="1:52" ht="17.100000000000001" customHeight="1" thickBot="1">
      <c r="A5839" s="110"/>
      <c r="B5839" s="27" t="s">
        <v>1940</v>
      </c>
      <c r="C5839" s="27">
        <v>2555</v>
      </c>
      <c r="D5839" s="14" t="s">
        <v>275</v>
      </c>
      <c r="E5839" s="112"/>
      <c r="F5839" s="139" t="s">
        <v>17090</v>
      </c>
      <c r="G5839" s="140"/>
      <c r="H5839" s="141"/>
      <c r="I5839" s="26">
        <v>24621</v>
      </c>
      <c r="J5839" s="117"/>
      <c r="K5839" s="120"/>
      <c r="L5839" s="121"/>
      <c r="M5839" s="120"/>
      <c r="N5839" s="121"/>
      <c r="O5839" s="120"/>
      <c r="P5839" s="121"/>
      <c r="Q5839" s="120"/>
      <c r="R5839" s="121"/>
      <c r="S5839" s="120"/>
      <c r="T5839" s="121"/>
      <c r="U5839" s="120"/>
      <c r="V5839" s="123"/>
      <c r="W5839" s="125"/>
      <c r="X5839" s="142" t="s">
        <v>1656</v>
      </c>
      <c r="Y5839" s="143"/>
      <c r="Z5839" s="143"/>
      <c r="AA5839" s="143"/>
      <c r="AB5839" s="144"/>
      <c r="AC5839" s="16" t="s">
        <v>21</v>
      </c>
      <c r="AD5839" s="17" t="s">
        <v>2298</v>
      </c>
      <c r="AE5839" s="145" t="s">
        <v>4453</v>
      </c>
      <c r="AF5839" s="146"/>
      <c r="AG5839" s="146"/>
      <c r="AH5839" s="146"/>
      <c r="AI5839" s="147"/>
      <c r="AJ5839" s="148"/>
      <c r="AK5839" s="143"/>
      <c r="AL5839" s="144"/>
      <c r="AM5839" s="22"/>
      <c r="AN5839" s="149" t="s">
        <v>2794</v>
      </c>
      <c r="AO5839" s="144"/>
      <c r="AP5839" s="148">
        <v>2095</v>
      </c>
      <c r="AQ5839" s="144"/>
      <c r="AR5839" s="120"/>
      <c r="AS5839" s="121"/>
      <c r="AT5839" s="120"/>
      <c r="AU5839" s="121"/>
      <c r="AV5839" s="120"/>
      <c r="AW5839" s="121"/>
      <c r="AX5839" s="120"/>
      <c r="AY5839" s="121"/>
      <c r="AZ5839" s="138"/>
    </row>
    <row r="5840" spans="1:52" ht="17.100000000000001" customHeight="1" thickTop="1">
      <c r="A5840" s="109" t="s">
        <v>17075</v>
      </c>
      <c r="B5840" s="28">
        <v>46058</v>
      </c>
      <c r="C5840" s="25">
        <v>2144</v>
      </c>
      <c r="D5840" s="13" t="s">
        <v>2298</v>
      </c>
      <c r="E5840" s="111"/>
      <c r="F5840" s="113" t="s">
        <v>15215</v>
      </c>
      <c r="G5840" s="114"/>
      <c r="H5840" s="115"/>
      <c r="I5840" s="24"/>
      <c r="J5840" s="116">
        <v>4</v>
      </c>
      <c r="K5840" s="118">
        <v>775000</v>
      </c>
      <c r="L5840" s="119"/>
      <c r="M5840" s="118">
        <f t="shared" ref="M5840" si="7616">K5840*0.1</f>
        <v>77500</v>
      </c>
      <c r="N5840" s="119"/>
      <c r="O5840" s="118">
        <v>0</v>
      </c>
      <c r="P5840" s="119"/>
      <c r="Q5840" s="118">
        <v>6830</v>
      </c>
      <c r="R5840" s="119"/>
      <c r="S5840" s="118">
        <v>14300</v>
      </c>
      <c r="T5840" s="119"/>
      <c r="U5840" s="118">
        <f t="shared" ref="U5840" si="7617">SUM(K5840:T5841)</f>
        <v>873630</v>
      </c>
      <c r="V5840" s="122"/>
      <c r="W5840" s="124"/>
      <c r="X5840" s="126" t="s">
        <v>17710</v>
      </c>
      <c r="Y5840" s="127"/>
      <c r="Z5840" s="127"/>
      <c r="AA5840" s="127"/>
      <c r="AB5840" s="128"/>
      <c r="AC5840" s="15" t="s">
        <v>20</v>
      </c>
      <c r="AD5840" s="129" t="s">
        <v>186</v>
      </c>
      <c r="AE5840" s="130"/>
      <c r="AF5840" s="130"/>
      <c r="AG5840" s="130"/>
      <c r="AH5840" s="130"/>
      <c r="AI5840" s="131"/>
      <c r="AJ5840" s="132"/>
      <c r="AK5840" s="127"/>
      <c r="AL5840" s="128"/>
      <c r="AM5840" s="21"/>
      <c r="AN5840" s="133">
        <v>46078</v>
      </c>
      <c r="AO5840" s="134"/>
      <c r="AP5840" s="135">
        <v>1006</v>
      </c>
      <c r="AQ5840" s="136"/>
      <c r="AR5840" s="118">
        <v>855000</v>
      </c>
      <c r="AS5840" s="119"/>
      <c r="AT5840" s="118">
        <f t="shared" ref="AT5840" si="7618">AR5840*0.1</f>
        <v>85500</v>
      </c>
      <c r="AU5840" s="119"/>
      <c r="AV5840" s="118">
        <v>6830</v>
      </c>
      <c r="AW5840" s="119"/>
      <c r="AX5840" s="118">
        <f t="shared" ref="AX5840" si="7619">SUM(AR5840:AW5840)</f>
        <v>947330</v>
      </c>
      <c r="AY5840" s="119"/>
      <c r="AZ5840" s="137">
        <v>46083</v>
      </c>
    </row>
    <row r="5841" spans="1:52" ht="17.100000000000001" customHeight="1" thickBot="1">
      <c r="A5841" s="110"/>
      <c r="B5841" s="27" t="s">
        <v>1940</v>
      </c>
      <c r="C5841" s="27">
        <v>2646</v>
      </c>
      <c r="D5841" s="14" t="s">
        <v>904</v>
      </c>
      <c r="E5841" s="112"/>
      <c r="F5841" s="139" t="s">
        <v>17091</v>
      </c>
      <c r="G5841" s="140"/>
      <c r="H5841" s="141"/>
      <c r="I5841" s="26">
        <v>52360</v>
      </c>
      <c r="J5841" s="117"/>
      <c r="K5841" s="120"/>
      <c r="L5841" s="121"/>
      <c r="M5841" s="120"/>
      <c r="N5841" s="121"/>
      <c r="O5841" s="120"/>
      <c r="P5841" s="121"/>
      <c r="Q5841" s="120"/>
      <c r="R5841" s="121"/>
      <c r="S5841" s="120"/>
      <c r="T5841" s="121"/>
      <c r="U5841" s="120"/>
      <c r="V5841" s="123"/>
      <c r="W5841" s="125"/>
      <c r="X5841" s="142" t="s">
        <v>2440</v>
      </c>
      <c r="Y5841" s="143"/>
      <c r="Z5841" s="143"/>
      <c r="AA5841" s="143"/>
      <c r="AB5841" s="144"/>
      <c r="AC5841" s="16" t="s">
        <v>21</v>
      </c>
      <c r="AD5841" s="17" t="s">
        <v>2298</v>
      </c>
      <c r="AE5841" s="145" t="s">
        <v>17774</v>
      </c>
      <c r="AF5841" s="146"/>
      <c r="AG5841" s="146"/>
      <c r="AH5841" s="146"/>
      <c r="AI5841" s="147"/>
      <c r="AJ5841" s="148"/>
      <c r="AK5841" s="143"/>
      <c r="AL5841" s="144"/>
      <c r="AM5841" s="22"/>
      <c r="AN5841" s="149" t="s">
        <v>2794</v>
      </c>
      <c r="AO5841" s="144"/>
      <c r="AP5841" s="148">
        <v>2039</v>
      </c>
      <c r="AQ5841" s="144"/>
      <c r="AR5841" s="120"/>
      <c r="AS5841" s="121"/>
      <c r="AT5841" s="120"/>
      <c r="AU5841" s="121"/>
      <c r="AV5841" s="120"/>
      <c r="AW5841" s="121"/>
      <c r="AX5841" s="120"/>
      <c r="AY5841" s="121"/>
      <c r="AZ5841" s="138"/>
    </row>
    <row r="5842" spans="1:52" ht="17.100000000000001" customHeight="1" thickTop="1">
      <c r="A5842" s="109" t="s">
        <v>17076</v>
      </c>
      <c r="B5842" s="28">
        <v>46058</v>
      </c>
      <c r="C5842" s="25">
        <v>2144</v>
      </c>
      <c r="D5842" s="13" t="s">
        <v>1631</v>
      </c>
      <c r="E5842" s="111"/>
      <c r="F5842" s="113" t="s">
        <v>4763</v>
      </c>
      <c r="G5842" s="114"/>
      <c r="H5842" s="115"/>
      <c r="I5842" s="24" t="s">
        <v>5629</v>
      </c>
      <c r="J5842" s="116">
        <v>4.5</v>
      </c>
      <c r="K5842" s="118">
        <v>1572000</v>
      </c>
      <c r="L5842" s="119"/>
      <c r="M5842" s="118">
        <f t="shared" ref="M5842" si="7620">K5842*0.1</f>
        <v>157200</v>
      </c>
      <c r="N5842" s="119"/>
      <c r="O5842" s="118">
        <v>0</v>
      </c>
      <c r="P5842" s="119"/>
      <c r="Q5842" s="118">
        <v>6960</v>
      </c>
      <c r="R5842" s="119"/>
      <c r="S5842" s="118">
        <v>14300</v>
      </c>
      <c r="T5842" s="119"/>
      <c r="U5842" s="118">
        <f t="shared" ref="U5842" si="7621">SUM(K5842:T5843)</f>
        <v>1750460</v>
      </c>
      <c r="V5842" s="122"/>
      <c r="W5842" s="124"/>
      <c r="X5842" s="126" t="s">
        <v>17250</v>
      </c>
      <c r="Y5842" s="127"/>
      <c r="Z5842" s="127"/>
      <c r="AA5842" s="127"/>
      <c r="AB5842" s="128"/>
      <c r="AC5842" s="15" t="s">
        <v>20</v>
      </c>
      <c r="AD5842" s="129"/>
      <c r="AE5842" s="130"/>
      <c r="AF5842" s="130"/>
      <c r="AG5842" s="130"/>
      <c r="AH5842" s="130"/>
      <c r="AI5842" s="131"/>
      <c r="AJ5842" s="132"/>
      <c r="AK5842" s="127"/>
      <c r="AL5842" s="128"/>
      <c r="AM5842" s="21"/>
      <c r="AN5842" s="133">
        <v>46063</v>
      </c>
      <c r="AO5842" s="134"/>
      <c r="AP5842" s="135">
        <v>1928</v>
      </c>
      <c r="AQ5842" s="136"/>
      <c r="AR5842" s="118">
        <v>1594000</v>
      </c>
      <c r="AS5842" s="119"/>
      <c r="AT5842" s="118">
        <f t="shared" ref="AT5842" si="7622">AR5842*0.1</f>
        <v>159400</v>
      </c>
      <c r="AU5842" s="119"/>
      <c r="AV5842" s="118">
        <v>6960</v>
      </c>
      <c r="AW5842" s="119"/>
      <c r="AX5842" s="118">
        <f t="shared" ref="AX5842" si="7623">SUM(AR5842:AW5842)</f>
        <v>1760360</v>
      </c>
      <c r="AY5842" s="119"/>
      <c r="AZ5842" s="137"/>
    </row>
    <row r="5843" spans="1:52" ht="17.100000000000001" customHeight="1" thickBot="1">
      <c r="A5843" s="110"/>
      <c r="B5843" s="27" t="s">
        <v>1940</v>
      </c>
      <c r="C5843" s="27">
        <v>2691</v>
      </c>
      <c r="D5843" s="14" t="s">
        <v>2601</v>
      </c>
      <c r="E5843" s="112"/>
      <c r="F5843" s="139" t="s">
        <v>17092</v>
      </c>
      <c r="G5843" s="140"/>
      <c r="H5843" s="141"/>
      <c r="I5843" s="26">
        <v>10906</v>
      </c>
      <c r="J5843" s="117"/>
      <c r="K5843" s="120"/>
      <c r="L5843" s="121"/>
      <c r="M5843" s="120"/>
      <c r="N5843" s="121"/>
      <c r="O5843" s="120"/>
      <c r="P5843" s="121"/>
      <c r="Q5843" s="120"/>
      <c r="R5843" s="121"/>
      <c r="S5843" s="120"/>
      <c r="T5843" s="121"/>
      <c r="U5843" s="120"/>
      <c r="V5843" s="123"/>
      <c r="W5843" s="125"/>
      <c r="X5843" s="142" t="s">
        <v>1656</v>
      </c>
      <c r="Y5843" s="143"/>
      <c r="Z5843" s="143"/>
      <c r="AA5843" s="143"/>
      <c r="AB5843" s="144"/>
      <c r="AC5843" s="16" t="s">
        <v>21</v>
      </c>
      <c r="AD5843" s="17" t="s">
        <v>2298</v>
      </c>
      <c r="AE5843" s="145" t="s">
        <v>2832</v>
      </c>
      <c r="AF5843" s="146"/>
      <c r="AG5843" s="146"/>
      <c r="AH5843" s="146"/>
      <c r="AI5843" s="147"/>
      <c r="AJ5843" s="148"/>
      <c r="AK5843" s="143"/>
      <c r="AL5843" s="144"/>
      <c r="AM5843" s="22"/>
      <c r="AN5843" s="149" t="s">
        <v>2131</v>
      </c>
      <c r="AO5843" s="144"/>
      <c r="AP5843" s="148">
        <v>3241</v>
      </c>
      <c r="AQ5843" s="144"/>
      <c r="AR5843" s="120"/>
      <c r="AS5843" s="121"/>
      <c r="AT5843" s="120"/>
      <c r="AU5843" s="121"/>
      <c r="AV5843" s="120"/>
      <c r="AW5843" s="121"/>
      <c r="AX5843" s="120"/>
      <c r="AY5843" s="121"/>
      <c r="AZ5843" s="138"/>
    </row>
    <row r="5844" spans="1:52" ht="17.100000000000001" customHeight="1" thickTop="1">
      <c r="A5844" s="109" t="s">
        <v>17077</v>
      </c>
      <c r="B5844" s="28">
        <v>46058</v>
      </c>
      <c r="C5844" s="25">
        <v>2144</v>
      </c>
      <c r="D5844" s="13" t="s">
        <v>3832</v>
      </c>
      <c r="E5844" s="111"/>
      <c r="F5844" s="113" t="s">
        <v>17093</v>
      </c>
      <c r="G5844" s="114"/>
      <c r="H5844" s="115"/>
      <c r="I5844" s="24" t="s">
        <v>2112</v>
      </c>
      <c r="J5844" s="116">
        <v>3.5</v>
      </c>
      <c r="K5844" s="118">
        <v>866000</v>
      </c>
      <c r="L5844" s="119"/>
      <c r="M5844" s="118">
        <f t="shared" ref="M5844" si="7624">K5844*0.1</f>
        <v>86600</v>
      </c>
      <c r="N5844" s="119"/>
      <c r="O5844" s="118">
        <v>0</v>
      </c>
      <c r="P5844" s="119"/>
      <c r="Q5844" s="118">
        <v>6880</v>
      </c>
      <c r="R5844" s="119"/>
      <c r="S5844" s="118">
        <v>14300</v>
      </c>
      <c r="T5844" s="119"/>
      <c r="U5844" s="118">
        <f t="shared" ref="U5844" si="7625">SUM(K5844:T5845)</f>
        <v>973780</v>
      </c>
      <c r="V5844" s="122"/>
      <c r="W5844" s="124"/>
      <c r="X5844" s="126" t="s">
        <v>17251</v>
      </c>
      <c r="Y5844" s="127"/>
      <c r="Z5844" s="127"/>
      <c r="AA5844" s="127"/>
      <c r="AB5844" s="128"/>
      <c r="AC5844" s="15" t="s">
        <v>20</v>
      </c>
      <c r="AD5844" s="129" t="s">
        <v>4435</v>
      </c>
      <c r="AE5844" s="130"/>
      <c r="AF5844" s="130"/>
      <c r="AG5844" s="130"/>
      <c r="AH5844" s="130"/>
      <c r="AI5844" s="131"/>
      <c r="AJ5844" s="132"/>
      <c r="AK5844" s="127"/>
      <c r="AL5844" s="128"/>
      <c r="AM5844" s="21" t="s">
        <v>20355</v>
      </c>
      <c r="AN5844" s="133">
        <v>46097</v>
      </c>
      <c r="AO5844" s="134"/>
      <c r="AP5844" s="135"/>
      <c r="AQ5844" s="136"/>
      <c r="AR5844" s="118">
        <v>1030000</v>
      </c>
      <c r="AS5844" s="119"/>
      <c r="AT5844" s="118">
        <f t="shared" ref="AT5844" si="7626">AR5844*0.1</f>
        <v>103000</v>
      </c>
      <c r="AU5844" s="119"/>
      <c r="AV5844" s="118">
        <v>6880</v>
      </c>
      <c r="AW5844" s="119"/>
      <c r="AX5844" s="118">
        <f t="shared" ref="AX5844" si="7627">SUM(AR5844:AW5844)</f>
        <v>1139880</v>
      </c>
      <c r="AY5844" s="119"/>
      <c r="AZ5844" s="137"/>
    </row>
    <row r="5845" spans="1:52" ht="17.100000000000001" customHeight="1" thickBot="1">
      <c r="A5845" s="110"/>
      <c r="B5845" s="27" t="s">
        <v>1940</v>
      </c>
      <c r="C5845" s="27">
        <v>2703</v>
      </c>
      <c r="D5845" s="14" t="s">
        <v>2601</v>
      </c>
      <c r="E5845" s="112"/>
      <c r="F5845" s="139" t="s">
        <v>17094</v>
      </c>
      <c r="G5845" s="140"/>
      <c r="H5845" s="141"/>
      <c r="I5845" s="26">
        <v>50520</v>
      </c>
      <c r="J5845" s="117"/>
      <c r="K5845" s="120"/>
      <c r="L5845" s="121"/>
      <c r="M5845" s="120"/>
      <c r="N5845" s="121"/>
      <c r="O5845" s="120"/>
      <c r="P5845" s="121"/>
      <c r="Q5845" s="120"/>
      <c r="R5845" s="121"/>
      <c r="S5845" s="120"/>
      <c r="T5845" s="121"/>
      <c r="U5845" s="120"/>
      <c r="V5845" s="123"/>
      <c r="W5845" s="125"/>
      <c r="X5845" s="142" t="s">
        <v>4300</v>
      </c>
      <c r="Y5845" s="143"/>
      <c r="Z5845" s="143"/>
      <c r="AA5845" s="143"/>
      <c r="AB5845" s="144"/>
      <c r="AC5845" s="16" t="s">
        <v>21</v>
      </c>
      <c r="AD5845" s="17" t="s">
        <v>17777</v>
      </c>
      <c r="AE5845" s="145" t="s">
        <v>6911</v>
      </c>
      <c r="AF5845" s="146"/>
      <c r="AG5845" s="146"/>
      <c r="AH5845" s="146"/>
      <c r="AI5845" s="147"/>
      <c r="AJ5845" s="148" t="s">
        <v>17761</v>
      </c>
      <c r="AK5845" s="143"/>
      <c r="AL5845" s="144"/>
      <c r="AM5845" s="22"/>
      <c r="AN5845" s="149" t="s">
        <v>6789</v>
      </c>
      <c r="AO5845" s="144"/>
      <c r="AP5845" s="148">
        <v>52450</v>
      </c>
      <c r="AQ5845" s="144"/>
      <c r="AR5845" s="120"/>
      <c r="AS5845" s="121"/>
      <c r="AT5845" s="120"/>
      <c r="AU5845" s="121"/>
      <c r="AV5845" s="120"/>
      <c r="AW5845" s="121"/>
      <c r="AX5845" s="120"/>
      <c r="AY5845" s="121"/>
      <c r="AZ5845" s="138"/>
    </row>
    <row r="5846" spans="1:52" ht="17.100000000000001" customHeight="1" thickTop="1">
      <c r="A5846" s="109" t="s">
        <v>17078</v>
      </c>
      <c r="B5846" s="28">
        <v>46058</v>
      </c>
      <c r="C5846" s="25">
        <v>2144</v>
      </c>
      <c r="D5846" s="13" t="s">
        <v>3461</v>
      </c>
      <c r="E5846" s="111"/>
      <c r="F5846" s="113" t="s">
        <v>15950</v>
      </c>
      <c r="G5846" s="114"/>
      <c r="H5846" s="115"/>
      <c r="I5846" s="24"/>
      <c r="J5846" s="116">
        <v>4.5</v>
      </c>
      <c r="K5846" s="118">
        <v>1293000</v>
      </c>
      <c r="L5846" s="119"/>
      <c r="M5846" s="118">
        <f t="shared" ref="M5846" si="7628">K5846*0.1</f>
        <v>129300</v>
      </c>
      <c r="N5846" s="119"/>
      <c r="O5846" s="118">
        <v>0</v>
      </c>
      <c r="P5846" s="119"/>
      <c r="Q5846" s="118">
        <v>8550</v>
      </c>
      <c r="R5846" s="119"/>
      <c r="S5846" s="118">
        <v>14300</v>
      </c>
      <c r="T5846" s="119"/>
      <c r="U5846" s="118">
        <f t="shared" ref="U5846" si="7629">SUM(K5846:T5847)</f>
        <v>1445150</v>
      </c>
      <c r="V5846" s="122"/>
      <c r="W5846" s="124"/>
      <c r="X5846" s="126" t="s">
        <v>17622</v>
      </c>
      <c r="Y5846" s="127"/>
      <c r="Z5846" s="127"/>
      <c r="AA5846" s="127"/>
      <c r="AB5846" s="128"/>
      <c r="AC5846" s="15" t="s">
        <v>20</v>
      </c>
      <c r="AD5846" s="129" t="s">
        <v>2781</v>
      </c>
      <c r="AE5846" s="130"/>
      <c r="AF5846" s="130"/>
      <c r="AG5846" s="130"/>
      <c r="AH5846" s="130"/>
      <c r="AI5846" s="131"/>
      <c r="AJ5846" s="132"/>
      <c r="AK5846" s="127"/>
      <c r="AL5846" s="128"/>
      <c r="AM5846" s="21"/>
      <c r="AN5846" s="133">
        <v>46063</v>
      </c>
      <c r="AO5846" s="134"/>
      <c r="AP5846" s="135">
        <v>1928</v>
      </c>
      <c r="AQ5846" s="136"/>
      <c r="AR5846" s="118">
        <v>1337000</v>
      </c>
      <c r="AS5846" s="119"/>
      <c r="AT5846" s="118">
        <f t="shared" ref="AT5846" si="7630">AR5846*0.1</f>
        <v>133700</v>
      </c>
      <c r="AU5846" s="119"/>
      <c r="AV5846" s="118">
        <v>8550</v>
      </c>
      <c r="AW5846" s="119"/>
      <c r="AX5846" s="118">
        <f t="shared" ref="AX5846" si="7631">SUM(AR5846:AW5846)</f>
        <v>1479250</v>
      </c>
      <c r="AY5846" s="119"/>
      <c r="AZ5846" s="137"/>
    </row>
    <row r="5847" spans="1:52" ht="17.100000000000001" customHeight="1" thickBot="1">
      <c r="A5847" s="110"/>
      <c r="B5847" s="27" t="s">
        <v>1940</v>
      </c>
      <c r="C5847" s="27">
        <v>2724</v>
      </c>
      <c r="D5847" s="14" t="s">
        <v>2601</v>
      </c>
      <c r="E5847" s="112"/>
      <c r="F5847" s="139" t="s">
        <v>17095</v>
      </c>
      <c r="G5847" s="140"/>
      <c r="H5847" s="141"/>
      <c r="I5847" s="26">
        <v>32900</v>
      </c>
      <c r="J5847" s="117"/>
      <c r="K5847" s="120"/>
      <c r="L5847" s="121"/>
      <c r="M5847" s="120"/>
      <c r="N5847" s="121"/>
      <c r="O5847" s="120"/>
      <c r="P5847" s="121"/>
      <c r="Q5847" s="120"/>
      <c r="R5847" s="121"/>
      <c r="S5847" s="120"/>
      <c r="T5847" s="121"/>
      <c r="U5847" s="120"/>
      <c r="V5847" s="123"/>
      <c r="W5847" s="125"/>
      <c r="X5847" s="142" t="s">
        <v>2440</v>
      </c>
      <c r="Y5847" s="143"/>
      <c r="Z5847" s="143"/>
      <c r="AA5847" s="143"/>
      <c r="AB5847" s="144"/>
      <c r="AC5847" s="16" t="s">
        <v>21</v>
      </c>
      <c r="AD5847" s="17" t="s">
        <v>2298</v>
      </c>
      <c r="AE5847" s="145" t="s">
        <v>2051</v>
      </c>
      <c r="AF5847" s="146"/>
      <c r="AG5847" s="146"/>
      <c r="AH5847" s="146"/>
      <c r="AI5847" s="147"/>
      <c r="AJ5847" s="148"/>
      <c r="AK5847" s="143"/>
      <c r="AL5847" s="144"/>
      <c r="AM5847" s="22"/>
      <c r="AN5847" s="149" t="s">
        <v>2131</v>
      </c>
      <c r="AO5847" s="144"/>
      <c r="AP5847" s="148">
        <v>3009</v>
      </c>
      <c r="AQ5847" s="144"/>
      <c r="AR5847" s="120"/>
      <c r="AS5847" s="121"/>
      <c r="AT5847" s="120"/>
      <c r="AU5847" s="121"/>
      <c r="AV5847" s="120"/>
      <c r="AW5847" s="121"/>
      <c r="AX5847" s="120"/>
      <c r="AY5847" s="121"/>
      <c r="AZ5847" s="138"/>
    </row>
    <row r="5848" spans="1:52" ht="17.100000000000001" customHeight="1" thickTop="1">
      <c r="A5848" s="109" t="s">
        <v>17099</v>
      </c>
      <c r="B5848" s="28">
        <v>46058</v>
      </c>
      <c r="C5848" s="25">
        <v>2144</v>
      </c>
      <c r="D5848" s="13" t="s">
        <v>1937</v>
      </c>
      <c r="E5848" s="111"/>
      <c r="F5848" s="113" t="s">
        <v>17252</v>
      </c>
      <c r="G5848" s="114"/>
      <c r="H5848" s="115"/>
      <c r="I5848" s="24"/>
      <c r="J5848" s="116">
        <v>4</v>
      </c>
      <c r="K5848" s="118">
        <v>562000</v>
      </c>
      <c r="L5848" s="119"/>
      <c r="M5848" s="118">
        <f t="shared" ref="M5848" si="7632">K5848*0.1</f>
        <v>56200</v>
      </c>
      <c r="N5848" s="119"/>
      <c r="O5848" s="118">
        <v>0</v>
      </c>
      <c r="P5848" s="119"/>
      <c r="Q5848" s="118">
        <v>9790</v>
      </c>
      <c r="R5848" s="119"/>
      <c r="S5848" s="118">
        <v>14300</v>
      </c>
      <c r="T5848" s="119"/>
      <c r="U5848" s="118">
        <f t="shared" ref="U5848" si="7633">SUM(K5848:T5849)</f>
        <v>642290</v>
      </c>
      <c r="V5848" s="122"/>
      <c r="W5848" s="124"/>
      <c r="X5848" s="126" t="s">
        <v>17253</v>
      </c>
      <c r="Y5848" s="127"/>
      <c r="Z5848" s="127"/>
      <c r="AA5848" s="127"/>
      <c r="AB5848" s="128"/>
      <c r="AC5848" s="15" t="s">
        <v>20</v>
      </c>
      <c r="AD5848" s="129"/>
      <c r="AE5848" s="130"/>
      <c r="AF5848" s="130"/>
      <c r="AG5848" s="130"/>
      <c r="AH5848" s="130"/>
      <c r="AI5848" s="131"/>
      <c r="AJ5848" s="132"/>
      <c r="AK5848" s="127"/>
      <c r="AL5848" s="128"/>
      <c r="AM5848" s="21"/>
      <c r="AN5848" s="133">
        <v>46071</v>
      </c>
      <c r="AO5848" s="134"/>
      <c r="AP5848" s="135">
        <v>1005</v>
      </c>
      <c r="AQ5848" s="136"/>
      <c r="AR5848" s="118">
        <v>640000</v>
      </c>
      <c r="AS5848" s="119"/>
      <c r="AT5848" s="118">
        <f t="shared" ref="AT5848" si="7634">AR5848*0.1</f>
        <v>64000</v>
      </c>
      <c r="AU5848" s="119"/>
      <c r="AV5848" s="118">
        <v>9790</v>
      </c>
      <c r="AW5848" s="119"/>
      <c r="AX5848" s="118">
        <f t="shared" ref="AX5848" si="7635">SUM(AR5848:AW5848)</f>
        <v>713790</v>
      </c>
      <c r="AY5848" s="119"/>
      <c r="AZ5848" s="137">
        <v>46073</v>
      </c>
    </row>
    <row r="5849" spans="1:52" ht="17.100000000000001" customHeight="1" thickBot="1">
      <c r="A5849" s="110"/>
      <c r="B5849" s="27" t="s">
        <v>1940</v>
      </c>
      <c r="C5849" s="27">
        <v>2745</v>
      </c>
      <c r="D5849" s="14" t="s">
        <v>275</v>
      </c>
      <c r="E5849" s="112"/>
      <c r="F5849" s="139" t="s">
        <v>17096</v>
      </c>
      <c r="G5849" s="140"/>
      <c r="H5849" s="141"/>
      <c r="I5849" s="26">
        <v>70515</v>
      </c>
      <c r="J5849" s="117"/>
      <c r="K5849" s="120"/>
      <c r="L5849" s="121"/>
      <c r="M5849" s="120"/>
      <c r="N5849" s="121"/>
      <c r="O5849" s="120"/>
      <c r="P5849" s="121"/>
      <c r="Q5849" s="120"/>
      <c r="R5849" s="121"/>
      <c r="S5849" s="120"/>
      <c r="T5849" s="121"/>
      <c r="U5849" s="120"/>
      <c r="V5849" s="123"/>
      <c r="W5849" s="125"/>
      <c r="X5849" s="142" t="s">
        <v>17788</v>
      </c>
      <c r="Y5849" s="143"/>
      <c r="Z5849" s="143"/>
      <c r="AA5849" s="143"/>
      <c r="AB5849" s="144"/>
      <c r="AC5849" s="16" t="s">
        <v>21</v>
      </c>
      <c r="AD5849" s="17" t="s">
        <v>17777</v>
      </c>
      <c r="AE5849" s="145" t="s">
        <v>7860</v>
      </c>
      <c r="AF5849" s="146"/>
      <c r="AG5849" s="146"/>
      <c r="AH5849" s="146"/>
      <c r="AI5849" s="147"/>
      <c r="AJ5849" s="148"/>
      <c r="AK5849" s="143"/>
      <c r="AL5849" s="144"/>
      <c r="AM5849" s="22"/>
      <c r="AN5849" s="149" t="s">
        <v>2794</v>
      </c>
      <c r="AO5849" s="144"/>
      <c r="AP5849" s="148">
        <v>2066</v>
      </c>
      <c r="AQ5849" s="144"/>
      <c r="AR5849" s="120"/>
      <c r="AS5849" s="121"/>
      <c r="AT5849" s="120"/>
      <c r="AU5849" s="121"/>
      <c r="AV5849" s="120"/>
      <c r="AW5849" s="121"/>
      <c r="AX5849" s="120"/>
      <c r="AY5849" s="121"/>
      <c r="AZ5849" s="138"/>
    </row>
    <row r="5850" spans="1:52" ht="17.100000000000001" customHeight="1" thickTop="1">
      <c r="A5850" s="109" t="s">
        <v>17100</v>
      </c>
      <c r="B5850" s="28">
        <v>46058</v>
      </c>
      <c r="C5850" s="25">
        <v>2144</v>
      </c>
      <c r="D5850" s="13" t="s">
        <v>4824</v>
      </c>
      <c r="E5850" s="111"/>
      <c r="F5850" s="113" t="s">
        <v>421</v>
      </c>
      <c r="G5850" s="114"/>
      <c r="H5850" s="115"/>
      <c r="I5850" s="24" t="s">
        <v>17254</v>
      </c>
      <c r="J5850" s="116">
        <v>4</v>
      </c>
      <c r="K5850" s="118">
        <v>1065000</v>
      </c>
      <c r="L5850" s="119"/>
      <c r="M5850" s="118">
        <f t="shared" ref="M5850" si="7636">K5850*0.1</f>
        <v>106500</v>
      </c>
      <c r="N5850" s="119"/>
      <c r="O5850" s="118">
        <v>3200</v>
      </c>
      <c r="P5850" s="119"/>
      <c r="Q5850" s="118">
        <v>18960</v>
      </c>
      <c r="R5850" s="119"/>
      <c r="S5850" s="118">
        <v>14300</v>
      </c>
      <c r="T5850" s="119"/>
      <c r="U5850" s="118">
        <f t="shared" ref="U5850" si="7637">SUM(K5850:T5851)</f>
        <v>1207960</v>
      </c>
      <c r="V5850" s="122"/>
      <c r="W5850" s="124"/>
      <c r="X5850" s="126" t="s">
        <v>17680</v>
      </c>
      <c r="Y5850" s="127"/>
      <c r="Z5850" s="127"/>
      <c r="AA5850" s="127"/>
      <c r="AB5850" s="128"/>
      <c r="AC5850" s="15" t="s">
        <v>20</v>
      </c>
      <c r="AD5850" s="129" t="s">
        <v>4435</v>
      </c>
      <c r="AE5850" s="130"/>
      <c r="AF5850" s="130"/>
      <c r="AG5850" s="130"/>
      <c r="AH5850" s="130"/>
      <c r="AI5850" s="131"/>
      <c r="AJ5850" s="132"/>
      <c r="AK5850" s="127"/>
      <c r="AL5850" s="128"/>
      <c r="AM5850" s="21"/>
      <c r="AN5850" s="133">
        <v>46072</v>
      </c>
      <c r="AO5850" s="134"/>
      <c r="AP5850" s="135">
        <v>1319</v>
      </c>
      <c r="AQ5850" s="136"/>
      <c r="AR5850" s="118">
        <v>1195000</v>
      </c>
      <c r="AS5850" s="119"/>
      <c r="AT5850" s="118">
        <f t="shared" ref="AT5850" si="7638">AR5850*0.1</f>
        <v>119500</v>
      </c>
      <c r="AU5850" s="119"/>
      <c r="AV5850" s="118">
        <v>18960</v>
      </c>
      <c r="AW5850" s="119"/>
      <c r="AX5850" s="118">
        <f t="shared" ref="AX5850" si="7639">SUM(AR5850:AW5850)</f>
        <v>1333460</v>
      </c>
      <c r="AY5850" s="119"/>
      <c r="AZ5850" s="137">
        <v>46073</v>
      </c>
    </row>
    <row r="5851" spans="1:52" ht="17.100000000000001" customHeight="1" thickBot="1">
      <c r="A5851" s="110"/>
      <c r="B5851" s="27" t="s">
        <v>1940</v>
      </c>
      <c r="C5851" s="27">
        <v>4167</v>
      </c>
      <c r="D5851" s="14" t="s">
        <v>1568</v>
      </c>
      <c r="E5851" s="112"/>
      <c r="F5851" s="139" t="s">
        <v>17679</v>
      </c>
      <c r="G5851" s="140"/>
      <c r="H5851" s="141"/>
      <c r="I5851" s="26">
        <v>37178</v>
      </c>
      <c r="J5851" s="117"/>
      <c r="K5851" s="120"/>
      <c r="L5851" s="121"/>
      <c r="M5851" s="120"/>
      <c r="N5851" s="121"/>
      <c r="O5851" s="120"/>
      <c r="P5851" s="121"/>
      <c r="Q5851" s="120"/>
      <c r="R5851" s="121"/>
      <c r="S5851" s="120"/>
      <c r="T5851" s="121"/>
      <c r="U5851" s="120"/>
      <c r="V5851" s="123"/>
      <c r="W5851" s="125"/>
      <c r="X5851" s="142" t="s">
        <v>17681</v>
      </c>
      <c r="Y5851" s="143"/>
      <c r="Z5851" s="143"/>
      <c r="AA5851" s="143"/>
      <c r="AB5851" s="144"/>
      <c r="AC5851" s="16" t="s">
        <v>21</v>
      </c>
      <c r="AD5851" s="17" t="s">
        <v>2298</v>
      </c>
      <c r="AE5851" s="145" t="s">
        <v>171</v>
      </c>
      <c r="AF5851" s="146"/>
      <c r="AG5851" s="146"/>
      <c r="AH5851" s="146"/>
      <c r="AI5851" s="147"/>
      <c r="AJ5851" s="148"/>
      <c r="AK5851" s="143"/>
      <c r="AL5851" s="144"/>
      <c r="AM5851" s="22"/>
      <c r="AN5851" s="149" t="s">
        <v>13663</v>
      </c>
      <c r="AO5851" s="144"/>
      <c r="AP5851" s="148">
        <v>2</v>
      </c>
      <c r="AQ5851" s="144"/>
      <c r="AR5851" s="120"/>
      <c r="AS5851" s="121"/>
      <c r="AT5851" s="120"/>
      <c r="AU5851" s="121"/>
      <c r="AV5851" s="120"/>
      <c r="AW5851" s="121"/>
      <c r="AX5851" s="120"/>
      <c r="AY5851" s="121"/>
      <c r="AZ5851" s="138"/>
    </row>
    <row r="5852" spans="1:52" ht="17.100000000000001" customHeight="1" thickTop="1">
      <c r="A5852" s="109" t="s">
        <v>17101</v>
      </c>
      <c r="B5852" s="28">
        <v>46058</v>
      </c>
      <c r="C5852" s="25">
        <v>2144</v>
      </c>
      <c r="D5852" s="13" t="s">
        <v>2301</v>
      </c>
      <c r="E5852" s="111"/>
      <c r="F5852" s="113" t="s">
        <v>17097</v>
      </c>
      <c r="G5852" s="114"/>
      <c r="H5852" s="115"/>
      <c r="I5852" s="24"/>
      <c r="J5852" s="116">
        <v>4</v>
      </c>
      <c r="K5852" s="118">
        <v>695000</v>
      </c>
      <c r="L5852" s="119"/>
      <c r="M5852" s="118">
        <v>0</v>
      </c>
      <c r="N5852" s="119"/>
      <c r="O5852" s="118">
        <v>0</v>
      </c>
      <c r="P5852" s="119"/>
      <c r="Q5852" s="118">
        <v>9200</v>
      </c>
      <c r="R5852" s="119"/>
      <c r="S5852" s="118">
        <v>14300</v>
      </c>
      <c r="T5852" s="119"/>
      <c r="U5852" s="118">
        <f t="shared" ref="U5852" si="7640">SUM(K5852:T5853)</f>
        <v>718500</v>
      </c>
      <c r="V5852" s="122"/>
      <c r="W5852" s="124"/>
      <c r="X5852" s="126" t="s">
        <v>17709</v>
      </c>
      <c r="Y5852" s="127"/>
      <c r="Z5852" s="127"/>
      <c r="AA5852" s="127"/>
      <c r="AB5852" s="128"/>
      <c r="AC5852" s="15" t="s">
        <v>20</v>
      </c>
      <c r="AD5852" s="129" t="s">
        <v>18011</v>
      </c>
      <c r="AE5852" s="130"/>
      <c r="AF5852" s="130"/>
      <c r="AG5852" s="130"/>
      <c r="AH5852" s="130"/>
      <c r="AI5852" s="131"/>
      <c r="AJ5852" s="132" t="s">
        <v>8040</v>
      </c>
      <c r="AK5852" s="127"/>
      <c r="AL5852" s="128"/>
      <c r="AM5852" s="21"/>
      <c r="AN5852" s="133">
        <v>46137</v>
      </c>
      <c r="AO5852" s="134"/>
      <c r="AP5852" s="135"/>
      <c r="AQ5852" s="136"/>
      <c r="AR5852" s="118">
        <v>830000</v>
      </c>
      <c r="AS5852" s="119"/>
      <c r="AT5852" s="118">
        <f t="shared" ref="AT5852" si="7641">AR5852*0.1</f>
        <v>83000</v>
      </c>
      <c r="AU5852" s="119"/>
      <c r="AV5852" s="118">
        <v>9200</v>
      </c>
      <c r="AW5852" s="119"/>
      <c r="AX5852" s="118">
        <f t="shared" ref="AX5852" si="7642">SUM(AR5852:AW5852)</f>
        <v>922200</v>
      </c>
      <c r="AY5852" s="119"/>
      <c r="AZ5852" s="137"/>
    </row>
    <row r="5853" spans="1:52" ht="17.100000000000001" customHeight="1" thickBot="1">
      <c r="A5853" s="110"/>
      <c r="B5853" s="27" t="s">
        <v>1940</v>
      </c>
      <c r="C5853" s="27">
        <v>35313</v>
      </c>
      <c r="D5853" s="14" t="s">
        <v>2601</v>
      </c>
      <c r="E5853" s="112"/>
      <c r="F5853" s="139" t="s">
        <v>17098</v>
      </c>
      <c r="G5853" s="140"/>
      <c r="H5853" s="141"/>
      <c r="I5853" s="26">
        <v>35960</v>
      </c>
      <c r="J5853" s="117"/>
      <c r="K5853" s="120"/>
      <c r="L5853" s="121"/>
      <c r="M5853" s="120"/>
      <c r="N5853" s="121"/>
      <c r="O5853" s="120"/>
      <c r="P5853" s="121"/>
      <c r="Q5853" s="120"/>
      <c r="R5853" s="121"/>
      <c r="S5853" s="120"/>
      <c r="T5853" s="121"/>
      <c r="U5853" s="120"/>
      <c r="V5853" s="123"/>
      <c r="W5853" s="125"/>
      <c r="X5853" s="142" t="s">
        <v>13172</v>
      </c>
      <c r="Y5853" s="143"/>
      <c r="Z5853" s="143"/>
      <c r="AA5853" s="143"/>
      <c r="AB5853" s="144"/>
      <c r="AC5853" s="16" t="s">
        <v>21</v>
      </c>
      <c r="AD5853" s="17" t="s">
        <v>2298</v>
      </c>
      <c r="AE5853" s="145"/>
      <c r="AF5853" s="146"/>
      <c r="AG5853" s="146"/>
      <c r="AH5853" s="146"/>
      <c r="AI5853" s="147"/>
      <c r="AJ5853" s="148"/>
      <c r="AK5853" s="143"/>
      <c r="AL5853" s="144"/>
      <c r="AM5853" s="22"/>
      <c r="AN5853" s="149" t="s">
        <v>6789</v>
      </c>
      <c r="AO5853" s="144"/>
      <c r="AP5853" s="148">
        <v>51635</v>
      </c>
      <c r="AQ5853" s="144"/>
      <c r="AR5853" s="120"/>
      <c r="AS5853" s="121"/>
      <c r="AT5853" s="120"/>
      <c r="AU5853" s="121"/>
      <c r="AV5853" s="120"/>
      <c r="AW5853" s="121"/>
      <c r="AX5853" s="120"/>
      <c r="AY5853" s="121"/>
      <c r="AZ5853" s="138"/>
    </row>
    <row r="5854" spans="1:52" ht="17.100000000000001" customHeight="1" thickTop="1">
      <c r="A5854" s="109" t="s">
        <v>17102</v>
      </c>
      <c r="B5854" s="28">
        <v>46058</v>
      </c>
      <c r="C5854" s="25">
        <v>1552</v>
      </c>
      <c r="D5854" s="13" t="s">
        <v>1586</v>
      </c>
      <c r="E5854" s="111"/>
      <c r="F5854" s="113" t="s">
        <v>17141</v>
      </c>
      <c r="G5854" s="114"/>
      <c r="H5854" s="115"/>
      <c r="I5854" s="24" t="s">
        <v>2526</v>
      </c>
      <c r="J5854" s="116">
        <v>5</v>
      </c>
      <c r="K5854" s="118">
        <v>1800000</v>
      </c>
      <c r="L5854" s="119"/>
      <c r="M5854" s="118">
        <f t="shared" ref="M5854" si="7643">K5854*0.1</f>
        <v>180000</v>
      </c>
      <c r="N5854" s="119"/>
      <c r="O5854" s="118">
        <v>0</v>
      </c>
      <c r="P5854" s="119"/>
      <c r="Q5854" s="118">
        <v>20730</v>
      </c>
      <c r="R5854" s="119"/>
      <c r="S5854" s="118">
        <v>16500</v>
      </c>
      <c r="T5854" s="119"/>
      <c r="U5854" s="118">
        <f t="shared" ref="U5854" si="7644">SUM(K5854:T5855)</f>
        <v>2017230</v>
      </c>
      <c r="V5854" s="122"/>
      <c r="W5854" s="124"/>
      <c r="X5854" s="126" t="s">
        <v>17256</v>
      </c>
      <c r="Y5854" s="127"/>
      <c r="Z5854" s="127"/>
      <c r="AA5854" s="127"/>
      <c r="AB5854" s="128"/>
      <c r="AC5854" s="15" t="s">
        <v>20</v>
      </c>
      <c r="AD5854" s="129" t="s">
        <v>17257</v>
      </c>
      <c r="AE5854" s="130"/>
      <c r="AF5854" s="130"/>
      <c r="AG5854" s="130"/>
      <c r="AH5854" s="130"/>
      <c r="AI5854" s="131"/>
      <c r="AJ5854" s="132"/>
      <c r="AK5854" s="127"/>
      <c r="AL5854" s="128"/>
      <c r="AM5854" s="21"/>
      <c r="AN5854" s="133"/>
      <c r="AO5854" s="134"/>
      <c r="AP5854" s="135"/>
      <c r="AQ5854" s="136"/>
      <c r="AR5854" s="118"/>
      <c r="AS5854" s="119"/>
      <c r="AT5854" s="118">
        <f t="shared" ref="AT5854" si="7645">AR5854*0.1</f>
        <v>0</v>
      </c>
      <c r="AU5854" s="119"/>
      <c r="AV5854" s="118"/>
      <c r="AW5854" s="119"/>
      <c r="AX5854" s="118">
        <f t="shared" ref="AX5854" si="7646">SUM(AR5854:AW5854)</f>
        <v>0</v>
      </c>
      <c r="AY5854" s="119"/>
      <c r="AZ5854" s="137"/>
    </row>
    <row r="5855" spans="1:52" ht="17.100000000000001" customHeight="1" thickBot="1">
      <c r="A5855" s="110"/>
      <c r="B5855" s="27" t="s">
        <v>1600</v>
      </c>
      <c r="C5855" s="27">
        <v>75350</v>
      </c>
      <c r="D5855" s="14" t="s">
        <v>275</v>
      </c>
      <c r="E5855" s="112"/>
      <c r="F5855" s="139" t="s">
        <v>17255</v>
      </c>
      <c r="G5855" s="140"/>
      <c r="H5855" s="141"/>
      <c r="I5855" s="26">
        <v>36697</v>
      </c>
      <c r="J5855" s="117"/>
      <c r="K5855" s="120"/>
      <c r="L5855" s="121"/>
      <c r="M5855" s="120"/>
      <c r="N5855" s="121"/>
      <c r="O5855" s="120"/>
      <c r="P5855" s="121"/>
      <c r="Q5855" s="120"/>
      <c r="R5855" s="121"/>
      <c r="S5855" s="120"/>
      <c r="T5855" s="121"/>
      <c r="U5855" s="120"/>
      <c r="V5855" s="123"/>
      <c r="W5855" s="125"/>
      <c r="X5855" s="142" t="s">
        <v>17682</v>
      </c>
      <c r="Y5855" s="143"/>
      <c r="Z5855" s="143"/>
      <c r="AA5855" s="143"/>
      <c r="AB5855" s="144"/>
      <c r="AC5855" s="16" t="s">
        <v>21</v>
      </c>
      <c r="AD5855" s="17" t="s">
        <v>2298</v>
      </c>
      <c r="AE5855" s="145" t="s">
        <v>1945</v>
      </c>
      <c r="AF5855" s="146"/>
      <c r="AG5855" s="146"/>
      <c r="AH5855" s="146"/>
      <c r="AI5855" s="147"/>
      <c r="AJ5855" s="148"/>
      <c r="AK5855" s="143"/>
      <c r="AL5855" s="144"/>
      <c r="AM5855" s="22"/>
      <c r="AN5855" s="149"/>
      <c r="AO5855" s="144"/>
      <c r="AP5855" s="148"/>
      <c r="AQ5855" s="144"/>
      <c r="AR5855" s="120"/>
      <c r="AS5855" s="121"/>
      <c r="AT5855" s="120"/>
      <c r="AU5855" s="121"/>
      <c r="AV5855" s="120"/>
      <c r="AW5855" s="121"/>
      <c r="AX5855" s="120"/>
      <c r="AY5855" s="121"/>
      <c r="AZ5855" s="138"/>
    </row>
    <row r="5856" spans="1:52" ht="17.100000000000001" customHeight="1" thickTop="1">
      <c r="A5856" s="109" t="s">
        <v>17103</v>
      </c>
      <c r="B5856" s="28">
        <v>46058</v>
      </c>
      <c r="C5856" s="25">
        <v>2013</v>
      </c>
      <c r="D5856" s="13" t="s">
        <v>2001</v>
      </c>
      <c r="E5856" s="111"/>
      <c r="F5856" s="113" t="s">
        <v>17258</v>
      </c>
      <c r="G5856" s="114"/>
      <c r="H5856" s="115"/>
      <c r="I5856" s="24"/>
      <c r="J5856" s="116">
        <v>4.5</v>
      </c>
      <c r="K5856" s="118">
        <v>2188000</v>
      </c>
      <c r="L5856" s="119"/>
      <c r="M5856" s="118">
        <f t="shared" ref="M5856" si="7647">K5856*0.1</f>
        <v>218800</v>
      </c>
      <c r="N5856" s="119"/>
      <c r="O5856" s="118">
        <v>0</v>
      </c>
      <c r="P5856" s="119"/>
      <c r="Q5856" s="118">
        <v>15890</v>
      </c>
      <c r="R5856" s="119"/>
      <c r="S5856" s="118">
        <v>22000</v>
      </c>
      <c r="T5856" s="119"/>
      <c r="U5856" s="118">
        <f t="shared" ref="U5856" si="7648">SUM(K5856:T5857)</f>
        <v>2444690</v>
      </c>
      <c r="V5856" s="122"/>
      <c r="W5856" s="124"/>
      <c r="X5856" s="126" t="s">
        <v>17635</v>
      </c>
      <c r="Y5856" s="127"/>
      <c r="Z5856" s="127"/>
      <c r="AA5856" s="127"/>
      <c r="AB5856" s="128"/>
      <c r="AC5856" s="15" t="s">
        <v>20</v>
      </c>
      <c r="AD5856" s="129" t="s">
        <v>17260</v>
      </c>
      <c r="AE5856" s="130"/>
      <c r="AF5856" s="130"/>
      <c r="AG5856" s="130"/>
      <c r="AH5856" s="130"/>
      <c r="AI5856" s="131"/>
      <c r="AJ5856" s="132"/>
      <c r="AK5856" s="127"/>
      <c r="AL5856" s="128"/>
      <c r="AM5856" s="21"/>
      <c r="AN5856" s="133">
        <v>46085</v>
      </c>
      <c r="AO5856" s="134"/>
      <c r="AP5856" s="135">
        <v>1007</v>
      </c>
      <c r="AQ5856" s="136"/>
      <c r="AR5856" s="118">
        <v>2160000</v>
      </c>
      <c r="AS5856" s="119"/>
      <c r="AT5856" s="118">
        <f t="shared" ref="AT5856" si="7649">AR5856*0.1</f>
        <v>216000</v>
      </c>
      <c r="AU5856" s="119"/>
      <c r="AV5856" s="118">
        <v>15890</v>
      </c>
      <c r="AW5856" s="119"/>
      <c r="AX5856" s="118">
        <f t="shared" ref="AX5856" si="7650">SUM(AR5856:AW5856)</f>
        <v>2391890</v>
      </c>
      <c r="AY5856" s="119"/>
      <c r="AZ5856" s="137">
        <v>46090</v>
      </c>
    </row>
    <row r="5857" spans="1:52" ht="17.100000000000001" customHeight="1" thickBot="1">
      <c r="A5857" s="110"/>
      <c r="B5857" s="27" t="s">
        <v>2727</v>
      </c>
      <c r="C5857" s="27">
        <v>30026</v>
      </c>
      <c r="D5857" s="14" t="s">
        <v>904</v>
      </c>
      <c r="E5857" s="112"/>
      <c r="F5857" s="139" t="s">
        <v>17142</v>
      </c>
      <c r="G5857" s="140"/>
      <c r="H5857" s="141"/>
      <c r="I5857" s="26">
        <v>43742</v>
      </c>
      <c r="J5857" s="117"/>
      <c r="K5857" s="120"/>
      <c r="L5857" s="121"/>
      <c r="M5857" s="120"/>
      <c r="N5857" s="121"/>
      <c r="O5857" s="120"/>
      <c r="P5857" s="121"/>
      <c r="Q5857" s="120"/>
      <c r="R5857" s="121"/>
      <c r="S5857" s="120"/>
      <c r="T5857" s="121"/>
      <c r="U5857" s="120"/>
      <c r="V5857" s="123"/>
      <c r="W5857" s="125"/>
      <c r="X5857" s="142" t="s">
        <v>7732</v>
      </c>
      <c r="Y5857" s="143"/>
      <c r="Z5857" s="143"/>
      <c r="AA5857" s="143"/>
      <c r="AB5857" s="144"/>
      <c r="AC5857" s="16" t="s">
        <v>21</v>
      </c>
      <c r="AD5857" s="17" t="s">
        <v>2298</v>
      </c>
      <c r="AE5857" s="145" t="s">
        <v>17636</v>
      </c>
      <c r="AF5857" s="146"/>
      <c r="AG5857" s="146"/>
      <c r="AH5857" s="146"/>
      <c r="AI5857" s="147"/>
      <c r="AJ5857" s="148"/>
      <c r="AK5857" s="143"/>
      <c r="AL5857" s="144"/>
      <c r="AM5857" s="22"/>
      <c r="AN5857" s="149" t="s">
        <v>2794</v>
      </c>
      <c r="AO5857" s="144"/>
      <c r="AP5857" s="148">
        <v>6022</v>
      </c>
      <c r="AQ5857" s="144"/>
      <c r="AR5857" s="120"/>
      <c r="AS5857" s="121"/>
      <c r="AT5857" s="120"/>
      <c r="AU5857" s="121"/>
      <c r="AV5857" s="120"/>
      <c r="AW5857" s="121"/>
      <c r="AX5857" s="120"/>
      <c r="AY5857" s="121"/>
      <c r="AZ5857" s="138"/>
    </row>
    <row r="5858" spans="1:52" ht="17.100000000000001" customHeight="1" thickTop="1">
      <c r="A5858" s="109" t="s">
        <v>17104</v>
      </c>
      <c r="B5858" s="28">
        <v>46058</v>
      </c>
      <c r="C5858" s="25">
        <v>2013</v>
      </c>
      <c r="D5858" s="13" t="s">
        <v>1986</v>
      </c>
      <c r="E5858" s="111"/>
      <c r="F5858" s="113" t="s">
        <v>17143</v>
      </c>
      <c r="G5858" s="114"/>
      <c r="H5858" s="115"/>
      <c r="I5858" s="24"/>
      <c r="J5858" s="116">
        <v>4</v>
      </c>
      <c r="K5858" s="118">
        <v>1872000</v>
      </c>
      <c r="L5858" s="119"/>
      <c r="M5858" s="118">
        <f t="shared" ref="M5858" si="7651">K5858*0.1</f>
        <v>187200</v>
      </c>
      <c r="N5858" s="119"/>
      <c r="O5858" s="118">
        <v>0</v>
      </c>
      <c r="P5858" s="119"/>
      <c r="Q5858" s="118">
        <v>11740</v>
      </c>
      <c r="R5858" s="119"/>
      <c r="S5858" s="118">
        <v>22000</v>
      </c>
      <c r="T5858" s="119"/>
      <c r="U5858" s="118">
        <f t="shared" ref="U5858" si="7652">SUM(K5858:T5859)</f>
        <v>2092940</v>
      </c>
      <c r="V5858" s="122"/>
      <c r="W5858" s="124"/>
      <c r="X5858" s="126" t="s">
        <v>17690</v>
      </c>
      <c r="Y5858" s="127"/>
      <c r="Z5858" s="127"/>
      <c r="AA5858" s="127"/>
      <c r="AB5858" s="128"/>
      <c r="AC5858" s="15" t="s">
        <v>20</v>
      </c>
      <c r="AD5858" s="129" t="s">
        <v>1581</v>
      </c>
      <c r="AE5858" s="130"/>
      <c r="AF5858" s="130"/>
      <c r="AG5858" s="130"/>
      <c r="AH5858" s="130"/>
      <c r="AI5858" s="131"/>
      <c r="AJ5858" s="132"/>
      <c r="AK5858" s="127"/>
      <c r="AL5858" s="128"/>
      <c r="AM5858" s="21"/>
      <c r="AN5858" s="133">
        <v>46063</v>
      </c>
      <c r="AO5858" s="134"/>
      <c r="AP5858" s="135"/>
      <c r="AQ5858" s="136"/>
      <c r="AR5858" s="118">
        <v>2020000</v>
      </c>
      <c r="AS5858" s="119"/>
      <c r="AT5858" s="118">
        <f t="shared" ref="AT5858" si="7653">AR5858*0.1</f>
        <v>202000</v>
      </c>
      <c r="AU5858" s="119"/>
      <c r="AV5858" s="118">
        <v>11740</v>
      </c>
      <c r="AW5858" s="119"/>
      <c r="AX5858" s="118">
        <f t="shared" ref="AX5858" si="7654">SUM(AR5858:AW5858)</f>
        <v>2233740</v>
      </c>
      <c r="AY5858" s="119"/>
      <c r="AZ5858" s="137"/>
    </row>
    <row r="5859" spans="1:52" ht="17.100000000000001" customHeight="1" thickBot="1">
      <c r="A5859" s="110"/>
      <c r="B5859" s="27" t="s">
        <v>2727</v>
      </c>
      <c r="C5859" s="27">
        <v>30159</v>
      </c>
      <c r="D5859" s="14" t="s">
        <v>2601</v>
      </c>
      <c r="E5859" s="112"/>
      <c r="F5859" s="139" t="s">
        <v>17144</v>
      </c>
      <c r="G5859" s="140"/>
      <c r="H5859" s="141"/>
      <c r="I5859" s="26">
        <v>51129</v>
      </c>
      <c r="J5859" s="117"/>
      <c r="K5859" s="120"/>
      <c r="L5859" s="121"/>
      <c r="M5859" s="120"/>
      <c r="N5859" s="121"/>
      <c r="O5859" s="120"/>
      <c r="P5859" s="121"/>
      <c r="Q5859" s="120"/>
      <c r="R5859" s="121"/>
      <c r="S5859" s="120"/>
      <c r="T5859" s="121"/>
      <c r="U5859" s="120"/>
      <c r="V5859" s="123"/>
      <c r="W5859" s="125"/>
      <c r="X5859" s="142" t="s">
        <v>15032</v>
      </c>
      <c r="Y5859" s="143"/>
      <c r="Z5859" s="143"/>
      <c r="AA5859" s="143"/>
      <c r="AB5859" s="144"/>
      <c r="AC5859" s="16" t="s">
        <v>21</v>
      </c>
      <c r="AD5859" s="17" t="s">
        <v>3577</v>
      </c>
      <c r="AE5859" s="145" t="s">
        <v>17768</v>
      </c>
      <c r="AF5859" s="146"/>
      <c r="AG5859" s="146"/>
      <c r="AH5859" s="146"/>
      <c r="AI5859" s="147"/>
      <c r="AJ5859" s="148"/>
      <c r="AK5859" s="143"/>
      <c r="AL5859" s="144"/>
      <c r="AM5859" s="22"/>
      <c r="AN5859" s="149" t="s">
        <v>6789</v>
      </c>
      <c r="AO5859" s="144"/>
      <c r="AP5859" s="148">
        <v>84569</v>
      </c>
      <c r="AQ5859" s="144"/>
      <c r="AR5859" s="120"/>
      <c r="AS5859" s="121"/>
      <c r="AT5859" s="120"/>
      <c r="AU5859" s="121"/>
      <c r="AV5859" s="120"/>
      <c r="AW5859" s="121"/>
      <c r="AX5859" s="120"/>
      <c r="AY5859" s="121"/>
      <c r="AZ5859" s="138"/>
    </row>
    <row r="5860" spans="1:52" ht="17.100000000000001" customHeight="1" thickTop="1">
      <c r="A5860" s="109" t="s">
        <v>17105</v>
      </c>
      <c r="B5860" s="28">
        <v>46058</v>
      </c>
      <c r="C5860" s="25">
        <v>2013</v>
      </c>
      <c r="D5860" s="13" t="s">
        <v>2970</v>
      </c>
      <c r="E5860" s="111"/>
      <c r="F5860" s="113" t="s">
        <v>17259</v>
      </c>
      <c r="G5860" s="114"/>
      <c r="H5860" s="115"/>
      <c r="I5860" s="24" t="s">
        <v>3923</v>
      </c>
      <c r="J5860" s="116">
        <v>4</v>
      </c>
      <c r="K5860" s="118">
        <v>675000</v>
      </c>
      <c r="L5860" s="119"/>
      <c r="M5860" s="118">
        <f t="shared" ref="M5860" si="7655">K5860*0.1</f>
        <v>67500</v>
      </c>
      <c r="N5860" s="119"/>
      <c r="O5860" s="118">
        <v>0</v>
      </c>
      <c r="P5860" s="119"/>
      <c r="Q5860" s="118">
        <v>8110</v>
      </c>
      <c r="R5860" s="119"/>
      <c r="S5860" s="118">
        <v>22000</v>
      </c>
      <c r="T5860" s="119"/>
      <c r="U5860" s="118">
        <f t="shared" ref="U5860" si="7656">SUM(K5860:T5861)</f>
        <v>772610</v>
      </c>
      <c r="V5860" s="122"/>
      <c r="W5860" s="124"/>
      <c r="X5860" s="126" t="s">
        <v>17266</v>
      </c>
      <c r="Y5860" s="127"/>
      <c r="Z5860" s="127"/>
      <c r="AA5860" s="127"/>
      <c r="AB5860" s="128"/>
      <c r="AC5860" s="15" t="s">
        <v>20</v>
      </c>
      <c r="AD5860" s="129" t="s">
        <v>15208</v>
      </c>
      <c r="AE5860" s="130"/>
      <c r="AF5860" s="130"/>
      <c r="AG5860" s="130"/>
      <c r="AH5860" s="130"/>
      <c r="AI5860" s="131"/>
      <c r="AJ5860" s="132" t="s">
        <v>17782</v>
      </c>
      <c r="AK5860" s="127"/>
      <c r="AL5860" s="128"/>
      <c r="AM5860" s="21"/>
      <c r="AN5860" s="133">
        <v>46064</v>
      </c>
      <c r="AO5860" s="134"/>
      <c r="AP5860" s="135">
        <v>1004</v>
      </c>
      <c r="AQ5860" s="136"/>
      <c r="AR5860" s="118">
        <v>755000</v>
      </c>
      <c r="AS5860" s="119"/>
      <c r="AT5860" s="118">
        <f t="shared" ref="AT5860" si="7657">AR5860*0.1</f>
        <v>75500</v>
      </c>
      <c r="AU5860" s="119"/>
      <c r="AV5860" s="118">
        <v>8110</v>
      </c>
      <c r="AW5860" s="119"/>
      <c r="AX5860" s="118">
        <f t="shared" ref="AX5860" si="7658">SUM(AR5860:AW5860)</f>
        <v>838610</v>
      </c>
      <c r="AY5860" s="119"/>
      <c r="AZ5860" s="137">
        <v>46069</v>
      </c>
    </row>
    <row r="5861" spans="1:52" ht="17.100000000000001" customHeight="1" thickBot="1">
      <c r="A5861" s="110"/>
      <c r="B5861" s="27" t="s">
        <v>2727</v>
      </c>
      <c r="C5861" s="27">
        <v>50012</v>
      </c>
      <c r="D5861" s="14" t="s">
        <v>1700</v>
      </c>
      <c r="E5861" s="112"/>
      <c r="F5861" s="139" t="s">
        <v>17145</v>
      </c>
      <c r="G5861" s="140"/>
      <c r="H5861" s="141"/>
      <c r="I5861" s="26">
        <v>58790</v>
      </c>
      <c r="J5861" s="117"/>
      <c r="K5861" s="120"/>
      <c r="L5861" s="121"/>
      <c r="M5861" s="120"/>
      <c r="N5861" s="121"/>
      <c r="O5861" s="120"/>
      <c r="P5861" s="121"/>
      <c r="Q5861" s="120"/>
      <c r="R5861" s="121"/>
      <c r="S5861" s="120"/>
      <c r="T5861" s="121"/>
      <c r="U5861" s="120"/>
      <c r="V5861" s="123"/>
      <c r="W5861" s="125"/>
      <c r="X5861" s="142" t="s">
        <v>17625</v>
      </c>
      <c r="Y5861" s="143"/>
      <c r="Z5861" s="143"/>
      <c r="AA5861" s="143"/>
      <c r="AB5861" s="144"/>
      <c r="AC5861" s="16" t="s">
        <v>21</v>
      </c>
      <c r="AD5861" s="17" t="s">
        <v>2298</v>
      </c>
      <c r="AE5861" s="145" t="s">
        <v>17747</v>
      </c>
      <c r="AF5861" s="146"/>
      <c r="AG5861" s="146"/>
      <c r="AH5861" s="146"/>
      <c r="AI5861" s="147"/>
      <c r="AJ5861" s="148"/>
      <c r="AK5861" s="143"/>
      <c r="AL5861" s="144"/>
      <c r="AM5861" s="22"/>
      <c r="AN5861" s="149" t="s">
        <v>2794</v>
      </c>
      <c r="AO5861" s="144"/>
      <c r="AP5861" s="148">
        <v>5074</v>
      </c>
      <c r="AQ5861" s="144"/>
      <c r="AR5861" s="120"/>
      <c r="AS5861" s="121"/>
      <c r="AT5861" s="120"/>
      <c r="AU5861" s="121"/>
      <c r="AV5861" s="120"/>
      <c r="AW5861" s="121"/>
      <c r="AX5861" s="120"/>
      <c r="AY5861" s="121"/>
      <c r="AZ5861" s="138"/>
    </row>
    <row r="5862" spans="1:52" ht="17.100000000000001" customHeight="1" thickTop="1">
      <c r="A5862" s="109" t="s">
        <v>17106</v>
      </c>
      <c r="B5862" s="28">
        <v>46058</v>
      </c>
      <c r="C5862" s="25">
        <v>2013</v>
      </c>
      <c r="D5862" s="13" t="s">
        <v>2100</v>
      </c>
      <c r="E5862" s="111"/>
      <c r="F5862" s="113" t="s">
        <v>17261</v>
      </c>
      <c r="G5862" s="114"/>
      <c r="H5862" s="115"/>
      <c r="I5862" s="24" t="s">
        <v>17262</v>
      </c>
      <c r="J5862" s="116">
        <v>4.5</v>
      </c>
      <c r="K5862" s="118">
        <v>551000</v>
      </c>
      <c r="L5862" s="119"/>
      <c r="M5862" s="118">
        <f t="shared" ref="M5862" si="7659">K5862*0.1</f>
        <v>55100</v>
      </c>
      <c r="N5862" s="119"/>
      <c r="O5862" s="118">
        <v>0</v>
      </c>
      <c r="P5862" s="119"/>
      <c r="Q5862" s="118">
        <v>9200</v>
      </c>
      <c r="R5862" s="119"/>
      <c r="S5862" s="118">
        <v>22000</v>
      </c>
      <c r="T5862" s="119"/>
      <c r="U5862" s="118">
        <f t="shared" ref="U5862" si="7660">SUM(K5862:T5863)</f>
        <v>637300</v>
      </c>
      <c r="V5862" s="122"/>
      <c r="W5862" s="124"/>
      <c r="X5862" s="126" t="s">
        <v>17265</v>
      </c>
      <c r="Y5862" s="127"/>
      <c r="Z5862" s="127"/>
      <c r="AA5862" s="127"/>
      <c r="AB5862" s="128"/>
      <c r="AC5862" s="15" t="s">
        <v>20</v>
      </c>
      <c r="AD5862" s="129"/>
      <c r="AE5862" s="130"/>
      <c r="AF5862" s="130"/>
      <c r="AG5862" s="130"/>
      <c r="AH5862" s="130"/>
      <c r="AI5862" s="131"/>
      <c r="AJ5862" s="132"/>
      <c r="AK5862" s="127"/>
      <c r="AL5862" s="128"/>
      <c r="AM5862" s="21"/>
      <c r="AN5862" s="133">
        <v>46063</v>
      </c>
      <c r="AO5862" s="134"/>
      <c r="AP5862" s="135">
        <v>1928</v>
      </c>
      <c r="AQ5862" s="136"/>
      <c r="AR5862" s="118">
        <v>598000</v>
      </c>
      <c r="AS5862" s="119"/>
      <c r="AT5862" s="118">
        <f t="shared" ref="AT5862" si="7661">AR5862*0.1</f>
        <v>59800</v>
      </c>
      <c r="AU5862" s="119"/>
      <c r="AV5862" s="118">
        <v>9200</v>
      </c>
      <c r="AW5862" s="119"/>
      <c r="AX5862" s="118">
        <f t="shared" ref="AX5862" si="7662">SUM(AR5862:AW5862)</f>
        <v>667000</v>
      </c>
      <c r="AY5862" s="119"/>
      <c r="AZ5862" s="137"/>
    </row>
    <row r="5863" spans="1:52" ht="17.100000000000001" customHeight="1" thickBot="1">
      <c r="A5863" s="110"/>
      <c r="B5863" s="27" t="s">
        <v>2727</v>
      </c>
      <c r="C5863" s="27">
        <v>50078</v>
      </c>
      <c r="D5863" s="14" t="s">
        <v>3855</v>
      </c>
      <c r="E5863" s="112"/>
      <c r="F5863" s="139" t="s">
        <v>17146</v>
      </c>
      <c r="G5863" s="140"/>
      <c r="H5863" s="141"/>
      <c r="I5863" s="26">
        <v>23613</v>
      </c>
      <c r="J5863" s="117"/>
      <c r="K5863" s="120"/>
      <c r="L5863" s="121"/>
      <c r="M5863" s="120"/>
      <c r="N5863" s="121"/>
      <c r="O5863" s="120"/>
      <c r="P5863" s="121"/>
      <c r="Q5863" s="120"/>
      <c r="R5863" s="121"/>
      <c r="S5863" s="120"/>
      <c r="T5863" s="121"/>
      <c r="U5863" s="120"/>
      <c r="V5863" s="123"/>
      <c r="W5863" s="125"/>
      <c r="X5863" s="142" t="s">
        <v>17624</v>
      </c>
      <c r="Y5863" s="143"/>
      <c r="Z5863" s="143"/>
      <c r="AA5863" s="143"/>
      <c r="AB5863" s="144"/>
      <c r="AC5863" s="16" t="s">
        <v>21</v>
      </c>
      <c r="AD5863" s="17" t="s">
        <v>2298</v>
      </c>
      <c r="AE5863" s="145" t="s">
        <v>171</v>
      </c>
      <c r="AF5863" s="146"/>
      <c r="AG5863" s="146"/>
      <c r="AH5863" s="146"/>
      <c r="AI5863" s="147"/>
      <c r="AJ5863" s="148"/>
      <c r="AK5863" s="143"/>
      <c r="AL5863" s="144"/>
      <c r="AM5863" s="22"/>
      <c r="AN5863" s="149" t="s">
        <v>2131</v>
      </c>
      <c r="AO5863" s="144"/>
      <c r="AP5863" s="148">
        <v>3253</v>
      </c>
      <c r="AQ5863" s="144"/>
      <c r="AR5863" s="120"/>
      <c r="AS5863" s="121"/>
      <c r="AT5863" s="120"/>
      <c r="AU5863" s="121"/>
      <c r="AV5863" s="120"/>
      <c r="AW5863" s="121"/>
      <c r="AX5863" s="120"/>
      <c r="AY5863" s="121"/>
      <c r="AZ5863" s="138"/>
    </row>
    <row r="5864" spans="1:52" ht="17.100000000000001" customHeight="1" thickTop="1">
      <c r="A5864" s="109" t="s">
        <v>17107</v>
      </c>
      <c r="B5864" s="28">
        <v>46058</v>
      </c>
      <c r="C5864" s="25">
        <v>2013</v>
      </c>
      <c r="D5864" s="13" t="s">
        <v>4121</v>
      </c>
      <c r="E5864" s="111"/>
      <c r="F5864" s="113" t="s">
        <v>17263</v>
      </c>
      <c r="G5864" s="114"/>
      <c r="H5864" s="115"/>
      <c r="I5864" s="24" t="s">
        <v>4193</v>
      </c>
      <c r="J5864" s="116">
        <v>4</v>
      </c>
      <c r="K5864" s="118">
        <v>816000</v>
      </c>
      <c r="L5864" s="119"/>
      <c r="M5864" s="118">
        <f t="shared" ref="M5864" si="7663">K5864*0.1</f>
        <v>81600</v>
      </c>
      <c r="N5864" s="119"/>
      <c r="O5864" s="118">
        <v>0</v>
      </c>
      <c r="P5864" s="119"/>
      <c r="Q5864" s="118">
        <v>6590</v>
      </c>
      <c r="R5864" s="119"/>
      <c r="S5864" s="118">
        <v>22000</v>
      </c>
      <c r="T5864" s="119"/>
      <c r="U5864" s="118">
        <f t="shared" ref="U5864" si="7664">SUM(K5864:T5865)</f>
        <v>926190</v>
      </c>
      <c r="V5864" s="122"/>
      <c r="W5864" s="124"/>
      <c r="X5864" s="126" t="s">
        <v>17264</v>
      </c>
      <c r="Y5864" s="127"/>
      <c r="Z5864" s="127"/>
      <c r="AA5864" s="127"/>
      <c r="AB5864" s="128"/>
      <c r="AC5864" s="15" t="s">
        <v>20</v>
      </c>
      <c r="AD5864" s="129" t="s">
        <v>4435</v>
      </c>
      <c r="AE5864" s="130"/>
      <c r="AF5864" s="130"/>
      <c r="AG5864" s="130"/>
      <c r="AH5864" s="130"/>
      <c r="AI5864" s="131"/>
      <c r="AJ5864" s="132"/>
      <c r="AK5864" s="127"/>
      <c r="AL5864" s="128"/>
      <c r="AM5864" s="21" t="s">
        <v>19436</v>
      </c>
      <c r="AN5864" s="133">
        <v>46085</v>
      </c>
      <c r="AO5864" s="134"/>
      <c r="AP5864" s="135">
        <v>1007</v>
      </c>
      <c r="AQ5864" s="136"/>
      <c r="AR5864" s="118">
        <v>860000</v>
      </c>
      <c r="AS5864" s="119"/>
      <c r="AT5864" s="118">
        <f t="shared" ref="AT5864" si="7665">AR5864*0.1</f>
        <v>86000</v>
      </c>
      <c r="AU5864" s="119"/>
      <c r="AV5864" s="118">
        <v>6590</v>
      </c>
      <c r="AW5864" s="119"/>
      <c r="AX5864" s="118">
        <f t="shared" ref="AX5864" si="7666">SUM(AR5864:AW5864)</f>
        <v>952590</v>
      </c>
      <c r="AY5864" s="119"/>
      <c r="AZ5864" s="137">
        <v>46090</v>
      </c>
    </row>
    <row r="5865" spans="1:52" ht="17.100000000000001" customHeight="1" thickBot="1">
      <c r="A5865" s="110"/>
      <c r="B5865" s="27" t="s">
        <v>2727</v>
      </c>
      <c r="C5865" s="27">
        <v>50097</v>
      </c>
      <c r="D5865" s="14" t="s">
        <v>1700</v>
      </c>
      <c r="E5865" s="112"/>
      <c r="F5865" s="139" t="s">
        <v>17147</v>
      </c>
      <c r="G5865" s="140"/>
      <c r="H5865" s="141"/>
      <c r="I5865" s="26">
        <v>28168</v>
      </c>
      <c r="J5865" s="117"/>
      <c r="K5865" s="120"/>
      <c r="L5865" s="121"/>
      <c r="M5865" s="120"/>
      <c r="N5865" s="121"/>
      <c r="O5865" s="120"/>
      <c r="P5865" s="121"/>
      <c r="Q5865" s="120"/>
      <c r="R5865" s="121"/>
      <c r="S5865" s="120"/>
      <c r="T5865" s="121"/>
      <c r="U5865" s="120"/>
      <c r="V5865" s="123"/>
      <c r="W5865" s="125"/>
      <c r="X5865" s="142" t="s">
        <v>5000</v>
      </c>
      <c r="Y5865" s="143"/>
      <c r="Z5865" s="143"/>
      <c r="AA5865" s="143"/>
      <c r="AB5865" s="144"/>
      <c r="AC5865" s="16" t="s">
        <v>21</v>
      </c>
      <c r="AD5865" s="17" t="s">
        <v>2298</v>
      </c>
      <c r="AE5865" s="145" t="s">
        <v>2051</v>
      </c>
      <c r="AF5865" s="146"/>
      <c r="AG5865" s="146"/>
      <c r="AH5865" s="146"/>
      <c r="AI5865" s="147"/>
      <c r="AJ5865" s="148"/>
      <c r="AK5865" s="143"/>
      <c r="AL5865" s="144"/>
      <c r="AM5865" s="22"/>
      <c r="AN5865" s="149" t="s">
        <v>2794</v>
      </c>
      <c r="AO5865" s="144"/>
      <c r="AP5865" s="148">
        <v>2086</v>
      </c>
      <c r="AQ5865" s="144"/>
      <c r="AR5865" s="120"/>
      <c r="AS5865" s="121"/>
      <c r="AT5865" s="120"/>
      <c r="AU5865" s="121"/>
      <c r="AV5865" s="120"/>
      <c r="AW5865" s="121"/>
      <c r="AX5865" s="120"/>
      <c r="AY5865" s="121"/>
      <c r="AZ5865" s="138"/>
    </row>
    <row r="5866" spans="1:52" ht="17.100000000000001" customHeight="1" thickTop="1">
      <c r="A5866" s="109" t="s">
        <v>17108</v>
      </c>
      <c r="B5866" s="28">
        <v>46058</v>
      </c>
      <c r="C5866" s="25">
        <v>2013</v>
      </c>
      <c r="D5866" s="13" t="s">
        <v>1953</v>
      </c>
      <c r="E5866" s="111"/>
      <c r="F5866" s="113" t="s">
        <v>7683</v>
      </c>
      <c r="G5866" s="114"/>
      <c r="H5866" s="115"/>
      <c r="I5866" s="24"/>
      <c r="J5866" s="116">
        <v>4</v>
      </c>
      <c r="K5866" s="118">
        <v>999000</v>
      </c>
      <c r="L5866" s="119"/>
      <c r="M5866" s="118">
        <f t="shared" ref="M5866" si="7667">K5866*0.1</f>
        <v>99900</v>
      </c>
      <c r="N5866" s="119"/>
      <c r="O5866" s="118">
        <v>0</v>
      </c>
      <c r="P5866" s="119"/>
      <c r="Q5866" s="118">
        <v>9310</v>
      </c>
      <c r="R5866" s="119"/>
      <c r="S5866" s="118">
        <v>22000</v>
      </c>
      <c r="T5866" s="119"/>
      <c r="U5866" s="118">
        <f t="shared" ref="U5866" si="7668">SUM(K5866:T5867)</f>
        <v>1130210</v>
      </c>
      <c r="V5866" s="122"/>
      <c r="W5866" s="124"/>
      <c r="X5866" s="126" t="s">
        <v>17637</v>
      </c>
      <c r="Y5866" s="127"/>
      <c r="Z5866" s="127"/>
      <c r="AA5866" s="127"/>
      <c r="AB5866" s="128"/>
      <c r="AC5866" s="15" t="s">
        <v>20</v>
      </c>
      <c r="AD5866" s="129" t="s">
        <v>15197</v>
      </c>
      <c r="AE5866" s="130"/>
      <c r="AF5866" s="130"/>
      <c r="AG5866" s="130"/>
      <c r="AH5866" s="130"/>
      <c r="AI5866" s="131"/>
      <c r="AJ5866" s="132"/>
      <c r="AK5866" s="127"/>
      <c r="AL5866" s="128"/>
      <c r="AM5866" s="21"/>
      <c r="AN5866" s="133">
        <v>46064</v>
      </c>
      <c r="AO5866" s="134"/>
      <c r="AP5866" s="135">
        <v>1004</v>
      </c>
      <c r="AQ5866" s="136"/>
      <c r="AR5866" s="118">
        <v>1070000</v>
      </c>
      <c r="AS5866" s="119"/>
      <c r="AT5866" s="118">
        <f t="shared" ref="AT5866" si="7669">AR5866*0.1</f>
        <v>107000</v>
      </c>
      <c r="AU5866" s="119"/>
      <c r="AV5866" s="118">
        <v>9310</v>
      </c>
      <c r="AW5866" s="119"/>
      <c r="AX5866" s="118">
        <f t="shared" ref="AX5866" si="7670">SUM(AR5866:AW5866)</f>
        <v>1186310</v>
      </c>
      <c r="AY5866" s="119"/>
      <c r="AZ5866" s="137">
        <v>46070</v>
      </c>
    </row>
    <row r="5867" spans="1:52" ht="17.100000000000001" customHeight="1" thickBot="1">
      <c r="A5867" s="110"/>
      <c r="B5867" s="27" t="s">
        <v>2727</v>
      </c>
      <c r="C5867" s="27">
        <v>50107</v>
      </c>
      <c r="D5867" s="14" t="s">
        <v>2601</v>
      </c>
      <c r="E5867" s="112"/>
      <c r="F5867" s="139" t="s">
        <v>17148</v>
      </c>
      <c r="G5867" s="140"/>
      <c r="H5867" s="141"/>
      <c r="I5867" s="26">
        <v>57871</v>
      </c>
      <c r="J5867" s="117"/>
      <c r="K5867" s="120"/>
      <c r="L5867" s="121"/>
      <c r="M5867" s="120"/>
      <c r="N5867" s="121"/>
      <c r="O5867" s="120"/>
      <c r="P5867" s="121"/>
      <c r="Q5867" s="120"/>
      <c r="R5867" s="121"/>
      <c r="S5867" s="120"/>
      <c r="T5867" s="121"/>
      <c r="U5867" s="120"/>
      <c r="V5867" s="123"/>
      <c r="W5867" s="125"/>
      <c r="X5867" s="142" t="s">
        <v>4116</v>
      </c>
      <c r="Y5867" s="143"/>
      <c r="Z5867" s="143"/>
      <c r="AA5867" s="143"/>
      <c r="AB5867" s="144"/>
      <c r="AC5867" s="16" t="s">
        <v>21</v>
      </c>
      <c r="AD5867" s="17" t="s">
        <v>2298</v>
      </c>
      <c r="AE5867" s="145" t="s">
        <v>1742</v>
      </c>
      <c r="AF5867" s="146"/>
      <c r="AG5867" s="146"/>
      <c r="AH5867" s="146"/>
      <c r="AI5867" s="147"/>
      <c r="AJ5867" s="148"/>
      <c r="AK5867" s="143"/>
      <c r="AL5867" s="144"/>
      <c r="AM5867" s="22"/>
      <c r="AN5867" s="149" t="s">
        <v>7285</v>
      </c>
      <c r="AO5867" s="144"/>
      <c r="AP5867" s="148">
        <v>5060</v>
      </c>
      <c r="AQ5867" s="144"/>
      <c r="AR5867" s="120"/>
      <c r="AS5867" s="121"/>
      <c r="AT5867" s="120"/>
      <c r="AU5867" s="121"/>
      <c r="AV5867" s="120"/>
      <c r="AW5867" s="121"/>
      <c r="AX5867" s="120"/>
      <c r="AY5867" s="121"/>
      <c r="AZ5867" s="138"/>
    </row>
    <row r="5868" spans="1:52" ht="17.100000000000001" customHeight="1" thickTop="1">
      <c r="A5868" s="109" t="s">
        <v>17109</v>
      </c>
      <c r="B5868" s="28">
        <v>46058</v>
      </c>
      <c r="C5868" s="25">
        <v>2013</v>
      </c>
      <c r="D5868" s="13" t="s">
        <v>2211</v>
      </c>
      <c r="E5868" s="111"/>
      <c r="F5868" s="113" t="s">
        <v>17267</v>
      </c>
      <c r="G5868" s="114"/>
      <c r="H5868" s="115"/>
      <c r="I5868" s="24"/>
      <c r="J5868" s="116">
        <v>4.5</v>
      </c>
      <c r="K5868" s="118">
        <v>1124000</v>
      </c>
      <c r="L5868" s="119"/>
      <c r="M5868" s="118">
        <f t="shared" ref="M5868" si="7671">K5868*0.1</f>
        <v>112400</v>
      </c>
      <c r="N5868" s="119"/>
      <c r="O5868" s="118">
        <v>0</v>
      </c>
      <c r="P5868" s="119"/>
      <c r="Q5868" s="118">
        <v>5990</v>
      </c>
      <c r="R5868" s="119"/>
      <c r="S5868" s="118">
        <v>22000</v>
      </c>
      <c r="T5868" s="119"/>
      <c r="U5868" s="118">
        <f t="shared" ref="U5868" si="7672">SUM(K5868:T5869)</f>
        <v>1264390</v>
      </c>
      <c r="V5868" s="122"/>
      <c r="W5868" s="124"/>
      <c r="X5868" s="126" t="s">
        <v>17699</v>
      </c>
      <c r="Y5868" s="127"/>
      <c r="Z5868" s="127"/>
      <c r="AA5868" s="127"/>
      <c r="AB5868" s="128"/>
      <c r="AC5868" s="15" t="s">
        <v>20</v>
      </c>
      <c r="AD5868" s="129" t="s">
        <v>17268</v>
      </c>
      <c r="AE5868" s="130"/>
      <c r="AF5868" s="130"/>
      <c r="AG5868" s="130"/>
      <c r="AH5868" s="130"/>
      <c r="AI5868" s="131"/>
      <c r="AJ5868" s="132"/>
      <c r="AK5868" s="127"/>
      <c r="AL5868" s="128"/>
      <c r="AM5868" s="21"/>
      <c r="AN5868" s="133">
        <v>46155</v>
      </c>
      <c r="AO5868" s="134"/>
      <c r="AP5868" s="135">
        <v>1016</v>
      </c>
      <c r="AQ5868" s="136"/>
      <c r="AR5868" s="118">
        <v>1125000</v>
      </c>
      <c r="AS5868" s="119"/>
      <c r="AT5868" s="118">
        <f t="shared" ref="AT5868" si="7673">AR5868*0.1</f>
        <v>112500</v>
      </c>
      <c r="AU5868" s="119"/>
      <c r="AV5868" s="118">
        <v>5990</v>
      </c>
      <c r="AW5868" s="119"/>
      <c r="AX5868" s="118">
        <f t="shared" ref="AX5868" si="7674">SUM(AR5868:AW5868)</f>
        <v>1243490</v>
      </c>
      <c r="AY5868" s="119"/>
      <c r="AZ5868" s="137">
        <v>46160</v>
      </c>
    </row>
    <row r="5869" spans="1:52" ht="17.100000000000001" customHeight="1" thickBot="1">
      <c r="A5869" s="110"/>
      <c r="B5869" s="27" t="s">
        <v>2727</v>
      </c>
      <c r="C5869" s="27">
        <v>50136</v>
      </c>
      <c r="D5869" s="14" t="s">
        <v>3855</v>
      </c>
      <c r="E5869" s="112"/>
      <c r="F5869" s="139" t="s">
        <v>17149</v>
      </c>
      <c r="G5869" s="140"/>
      <c r="H5869" s="141"/>
      <c r="I5869" s="26">
        <v>43755</v>
      </c>
      <c r="J5869" s="117"/>
      <c r="K5869" s="120"/>
      <c r="L5869" s="121"/>
      <c r="M5869" s="120"/>
      <c r="N5869" s="121"/>
      <c r="O5869" s="120"/>
      <c r="P5869" s="121"/>
      <c r="Q5869" s="120"/>
      <c r="R5869" s="121"/>
      <c r="S5869" s="120"/>
      <c r="T5869" s="121"/>
      <c r="U5869" s="120"/>
      <c r="V5869" s="123"/>
      <c r="W5869" s="125"/>
      <c r="X5869" s="142" t="s">
        <v>17695</v>
      </c>
      <c r="Y5869" s="143"/>
      <c r="Z5869" s="143"/>
      <c r="AA5869" s="143"/>
      <c r="AB5869" s="144"/>
      <c r="AC5869" s="16" t="s">
        <v>21</v>
      </c>
      <c r="AD5869" s="17" t="s">
        <v>3577</v>
      </c>
      <c r="AE5869" s="145" t="s">
        <v>3641</v>
      </c>
      <c r="AF5869" s="146"/>
      <c r="AG5869" s="146"/>
      <c r="AH5869" s="146"/>
      <c r="AI5869" s="147"/>
      <c r="AJ5869" s="148"/>
      <c r="AK5869" s="143"/>
      <c r="AL5869" s="144"/>
      <c r="AM5869" s="22"/>
      <c r="AN5869" s="149" t="s">
        <v>2794</v>
      </c>
      <c r="AO5869" s="144"/>
      <c r="AP5869" s="148">
        <v>2023</v>
      </c>
      <c r="AQ5869" s="144"/>
      <c r="AR5869" s="120"/>
      <c r="AS5869" s="121"/>
      <c r="AT5869" s="120"/>
      <c r="AU5869" s="121"/>
      <c r="AV5869" s="120"/>
      <c r="AW5869" s="121"/>
      <c r="AX5869" s="120"/>
      <c r="AY5869" s="121"/>
      <c r="AZ5869" s="138"/>
    </row>
    <row r="5870" spans="1:52" ht="17.100000000000001" customHeight="1" thickTop="1">
      <c r="A5870" s="109" t="s">
        <v>17110</v>
      </c>
      <c r="B5870" s="28">
        <v>46058</v>
      </c>
      <c r="C5870" s="25">
        <v>2013</v>
      </c>
      <c r="D5870" s="13" t="s">
        <v>2355</v>
      </c>
      <c r="E5870" s="111"/>
      <c r="F5870" s="113" t="s">
        <v>17267</v>
      </c>
      <c r="G5870" s="114"/>
      <c r="H5870" s="115"/>
      <c r="I5870" s="24"/>
      <c r="J5870" s="116">
        <v>4</v>
      </c>
      <c r="K5870" s="118">
        <v>1102000</v>
      </c>
      <c r="L5870" s="119"/>
      <c r="M5870" s="118">
        <f t="shared" ref="M5870" si="7675">K5870*0.1</f>
        <v>110200</v>
      </c>
      <c r="N5870" s="119"/>
      <c r="O5870" s="118">
        <v>0</v>
      </c>
      <c r="P5870" s="119"/>
      <c r="Q5870" s="118">
        <v>5990</v>
      </c>
      <c r="R5870" s="119"/>
      <c r="S5870" s="118">
        <v>22000</v>
      </c>
      <c r="T5870" s="119"/>
      <c r="U5870" s="118">
        <f t="shared" ref="U5870" si="7676">SUM(K5870:T5871)</f>
        <v>1240190</v>
      </c>
      <c r="V5870" s="122"/>
      <c r="W5870" s="124"/>
      <c r="X5870" s="126" t="s">
        <v>17688</v>
      </c>
      <c r="Y5870" s="127"/>
      <c r="Z5870" s="127"/>
      <c r="AA5870" s="127"/>
      <c r="AB5870" s="128"/>
      <c r="AC5870" s="15" t="s">
        <v>20</v>
      </c>
      <c r="AD5870" s="129" t="s">
        <v>17268</v>
      </c>
      <c r="AE5870" s="130"/>
      <c r="AF5870" s="130"/>
      <c r="AG5870" s="130"/>
      <c r="AH5870" s="130"/>
      <c r="AI5870" s="131"/>
      <c r="AJ5870" s="132"/>
      <c r="AK5870" s="127"/>
      <c r="AL5870" s="128"/>
      <c r="AM5870" s="21"/>
      <c r="AN5870" s="133">
        <v>46064</v>
      </c>
      <c r="AO5870" s="134"/>
      <c r="AP5870" s="135">
        <v>1004</v>
      </c>
      <c r="AQ5870" s="136"/>
      <c r="AR5870" s="118">
        <v>1200000</v>
      </c>
      <c r="AS5870" s="119"/>
      <c r="AT5870" s="118">
        <f t="shared" ref="AT5870" si="7677">AR5870*0.1</f>
        <v>120000</v>
      </c>
      <c r="AU5870" s="119"/>
      <c r="AV5870" s="118">
        <v>5990</v>
      </c>
      <c r="AW5870" s="119"/>
      <c r="AX5870" s="118">
        <f t="shared" ref="AX5870" si="7678">SUM(AR5870:AW5870)</f>
        <v>1325990</v>
      </c>
      <c r="AY5870" s="119"/>
      <c r="AZ5870" s="137">
        <v>46070</v>
      </c>
    </row>
    <row r="5871" spans="1:52" ht="17.100000000000001" customHeight="1" thickBot="1">
      <c r="A5871" s="110"/>
      <c r="B5871" s="27" t="s">
        <v>2727</v>
      </c>
      <c r="C5871" s="27">
        <v>50139</v>
      </c>
      <c r="D5871" s="14" t="s">
        <v>1812</v>
      </c>
      <c r="E5871" s="112"/>
      <c r="F5871" s="139" t="s">
        <v>17150</v>
      </c>
      <c r="G5871" s="140"/>
      <c r="H5871" s="141"/>
      <c r="I5871" s="26">
        <v>29246</v>
      </c>
      <c r="J5871" s="117"/>
      <c r="K5871" s="120"/>
      <c r="L5871" s="121"/>
      <c r="M5871" s="120"/>
      <c r="N5871" s="121"/>
      <c r="O5871" s="120"/>
      <c r="P5871" s="121"/>
      <c r="Q5871" s="120"/>
      <c r="R5871" s="121"/>
      <c r="S5871" s="120"/>
      <c r="T5871" s="121"/>
      <c r="U5871" s="120"/>
      <c r="V5871" s="123"/>
      <c r="W5871" s="125"/>
      <c r="X5871" s="142" t="s">
        <v>16949</v>
      </c>
      <c r="Y5871" s="143"/>
      <c r="Z5871" s="143"/>
      <c r="AA5871" s="143"/>
      <c r="AB5871" s="144"/>
      <c r="AC5871" s="16" t="s">
        <v>21</v>
      </c>
      <c r="AD5871" s="17" t="s">
        <v>3577</v>
      </c>
      <c r="AE5871" s="145" t="s">
        <v>16964</v>
      </c>
      <c r="AF5871" s="146"/>
      <c r="AG5871" s="146"/>
      <c r="AH5871" s="146"/>
      <c r="AI5871" s="147"/>
      <c r="AJ5871" s="148"/>
      <c r="AK5871" s="143"/>
      <c r="AL5871" s="144"/>
      <c r="AM5871" s="22"/>
      <c r="AN5871" s="149" t="s">
        <v>2794</v>
      </c>
      <c r="AO5871" s="144"/>
      <c r="AP5871" s="148">
        <v>5050</v>
      </c>
      <c r="AQ5871" s="144"/>
      <c r="AR5871" s="120"/>
      <c r="AS5871" s="121"/>
      <c r="AT5871" s="120"/>
      <c r="AU5871" s="121"/>
      <c r="AV5871" s="120"/>
      <c r="AW5871" s="121"/>
      <c r="AX5871" s="120"/>
      <c r="AY5871" s="121"/>
      <c r="AZ5871" s="138"/>
    </row>
    <row r="5872" spans="1:52" ht="17.100000000000001" customHeight="1" thickTop="1">
      <c r="A5872" s="109" t="s">
        <v>17111</v>
      </c>
      <c r="B5872" s="28">
        <v>46058</v>
      </c>
      <c r="C5872" s="25">
        <v>2013</v>
      </c>
      <c r="D5872" s="13" t="s">
        <v>1971</v>
      </c>
      <c r="E5872" s="111"/>
      <c r="F5872" s="113" t="s">
        <v>17269</v>
      </c>
      <c r="G5872" s="114"/>
      <c r="H5872" s="115"/>
      <c r="I5872" s="24"/>
      <c r="J5872" s="116">
        <v>4</v>
      </c>
      <c r="K5872" s="118">
        <v>1003000</v>
      </c>
      <c r="L5872" s="119"/>
      <c r="M5872" s="118">
        <f t="shared" ref="M5872" si="7679">K5872*0.1</f>
        <v>100300</v>
      </c>
      <c r="N5872" s="119"/>
      <c r="O5872" s="118">
        <v>0</v>
      </c>
      <c r="P5872" s="119"/>
      <c r="Q5872" s="118">
        <v>6560</v>
      </c>
      <c r="R5872" s="119"/>
      <c r="S5872" s="118">
        <v>22000</v>
      </c>
      <c r="T5872" s="119"/>
      <c r="U5872" s="118">
        <f t="shared" ref="U5872" si="7680">SUM(K5872:T5873)</f>
        <v>1131860</v>
      </c>
      <c r="V5872" s="122"/>
      <c r="W5872" s="124"/>
      <c r="X5872" s="126" t="s">
        <v>17687</v>
      </c>
      <c r="Y5872" s="127"/>
      <c r="Z5872" s="127"/>
      <c r="AA5872" s="127"/>
      <c r="AB5872" s="128"/>
      <c r="AC5872" s="15" t="s">
        <v>20</v>
      </c>
      <c r="AD5872" s="129" t="s">
        <v>17270</v>
      </c>
      <c r="AE5872" s="130"/>
      <c r="AF5872" s="130"/>
      <c r="AG5872" s="130"/>
      <c r="AH5872" s="130"/>
      <c r="AI5872" s="131"/>
      <c r="AJ5872" s="132"/>
      <c r="AK5872" s="127"/>
      <c r="AL5872" s="128"/>
      <c r="AM5872" s="21"/>
      <c r="AN5872" s="133">
        <v>46064</v>
      </c>
      <c r="AO5872" s="134"/>
      <c r="AP5872" s="135">
        <v>1004</v>
      </c>
      <c r="AQ5872" s="136"/>
      <c r="AR5872" s="118">
        <v>1100000</v>
      </c>
      <c r="AS5872" s="119"/>
      <c r="AT5872" s="118">
        <f t="shared" ref="AT5872" si="7681">AR5872*0.1</f>
        <v>110000</v>
      </c>
      <c r="AU5872" s="119"/>
      <c r="AV5872" s="118">
        <v>6560</v>
      </c>
      <c r="AW5872" s="119"/>
      <c r="AX5872" s="118">
        <f t="shared" ref="AX5872" si="7682">SUM(AR5872:AW5872)</f>
        <v>1216560</v>
      </c>
      <c r="AY5872" s="119"/>
      <c r="AZ5872" s="137">
        <v>46070</v>
      </c>
    </row>
    <row r="5873" spans="1:52" ht="17.100000000000001" customHeight="1" thickBot="1">
      <c r="A5873" s="110"/>
      <c r="B5873" s="27" t="s">
        <v>2727</v>
      </c>
      <c r="C5873" s="27">
        <v>50140</v>
      </c>
      <c r="D5873" s="14" t="s">
        <v>133</v>
      </c>
      <c r="E5873" s="112"/>
      <c r="F5873" s="139" t="s">
        <v>17151</v>
      </c>
      <c r="G5873" s="140"/>
      <c r="H5873" s="141"/>
      <c r="I5873" s="26">
        <v>46289</v>
      </c>
      <c r="J5873" s="117"/>
      <c r="K5873" s="120"/>
      <c r="L5873" s="121"/>
      <c r="M5873" s="120"/>
      <c r="N5873" s="121"/>
      <c r="O5873" s="120"/>
      <c r="P5873" s="121"/>
      <c r="Q5873" s="120"/>
      <c r="R5873" s="121"/>
      <c r="S5873" s="120"/>
      <c r="T5873" s="121"/>
      <c r="U5873" s="120"/>
      <c r="V5873" s="123"/>
      <c r="W5873" s="125"/>
      <c r="X5873" s="142" t="s">
        <v>16949</v>
      </c>
      <c r="Y5873" s="143"/>
      <c r="Z5873" s="143"/>
      <c r="AA5873" s="143"/>
      <c r="AB5873" s="144"/>
      <c r="AC5873" s="16" t="s">
        <v>21</v>
      </c>
      <c r="AD5873" s="17" t="s">
        <v>3577</v>
      </c>
      <c r="AE5873" s="145" t="s">
        <v>4982</v>
      </c>
      <c r="AF5873" s="146"/>
      <c r="AG5873" s="146"/>
      <c r="AH5873" s="146"/>
      <c r="AI5873" s="147"/>
      <c r="AJ5873" s="148"/>
      <c r="AK5873" s="143"/>
      <c r="AL5873" s="144"/>
      <c r="AM5873" s="22"/>
      <c r="AN5873" s="149" t="s">
        <v>2794</v>
      </c>
      <c r="AO5873" s="144"/>
      <c r="AP5873" s="148">
        <v>5070</v>
      </c>
      <c r="AQ5873" s="144"/>
      <c r="AR5873" s="120"/>
      <c r="AS5873" s="121"/>
      <c r="AT5873" s="120"/>
      <c r="AU5873" s="121"/>
      <c r="AV5873" s="120"/>
      <c r="AW5873" s="121"/>
      <c r="AX5873" s="120"/>
      <c r="AY5873" s="121"/>
      <c r="AZ5873" s="138"/>
    </row>
    <row r="5874" spans="1:52" ht="17.100000000000001" customHeight="1" thickTop="1">
      <c r="A5874" s="109" t="s">
        <v>17112</v>
      </c>
      <c r="B5874" s="28">
        <v>46058</v>
      </c>
      <c r="C5874" s="25">
        <v>2013</v>
      </c>
      <c r="D5874" s="13" t="s">
        <v>2355</v>
      </c>
      <c r="E5874" s="111"/>
      <c r="F5874" s="113" t="s">
        <v>17267</v>
      </c>
      <c r="G5874" s="114"/>
      <c r="H5874" s="115"/>
      <c r="I5874" s="24"/>
      <c r="J5874" s="116">
        <v>4</v>
      </c>
      <c r="K5874" s="118">
        <v>1101000</v>
      </c>
      <c r="L5874" s="119"/>
      <c r="M5874" s="118">
        <f t="shared" ref="M5874" si="7683">K5874*0.1</f>
        <v>110100</v>
      </c>
      <c r="N5874" s="119"/>
      <c r="O5874" s="118">
        <v>0</v>
      </c>
      <c r="P5874" s="119"/>
      <c r="Q5874" s="118">
        <v>5990</v>
      </c>
      <c r="R5874" s="119"/>
      <c r="S5874" s="118">
        <v>22000</v>
      </c>
      <c r="T5874" s="119"/>
      <c r="U5874" s="118">
        <f t="shared" ref="U5874" si="7684">SUM(K5874:T5875)</f>
        <v>1239090</v>
      </c>
      <c r="V5874" s="122"/>
      <c r="W5874" s="124"/>
      <c r="X5874" s="126" t="s">
        <v>17689</v>
      </c>
      <c r="Y5874" s="127"/>
      <c r="Z5874" s="127"/>
      <c r="AA5874" s="127"/>
      <c r="AB5874" s="128"/>
      <c r="AC5874" s="15" t="s">
        <v>20</v>
      </c>
      <c r="AD5874" s="129" t="s">
        <v>17268</v>
      </c>
      <c r="AE5874" s="130"/>
      <c r="AF5874" s="130"/>
      <c r="AG5874" s="130"/>
      <c r="AH5874" s="130"/>
      <c r="AI5874" s="131"/>
      <c r="AJ5874" s="132"/>
      <c r="AK5874" s="127"/>
      <c r="AL5874" s="128"/>
      <c r="AM5874" s="21"/>
      <c r="AN5874" s="133">
        <v>46064</v>
      </c>
      <c r="AO5874" s="134"/>
      <c r="AP5874" s="135"/>
      <c r="AQ5874" s="136"/>
      <c r="AR5874" s="118">
        <v>1240000</v>
      </c>
      <c r="AS5874" s="119"/>
      <c r="AT5874" s="118">
        <f t="shared" ref="AT5874" si="7685">AR5874*0.1</f>
        <v>124000</v>
      </c>
      <c r="AU5874" s="119"/>
      <c r="AV5874" s="118">
        <v>5990</v>
      </c>
      <c r="AW5874" s="119"/>
      <c r="AX5874" s="118">
        <f t="shared" ref="AX5874" si="7686">SUM(AR5874:AW5874)</f>
        <v>1369990</v>
      </c>
      <c r="AY5874" s="119"/>
      <c r="AZ5874" s="137"/>
    </row>
    <row r="5875" spans="1:52" ht="17.100000000000001" customHeight="1" thickBot="1">
      <c r="A5875" s="110"/>
      <c r="B5875" s="27" t="s">
        <v>2727</v>
      </c>
      <c r="C5875" s="27">
        <v>50147</v>
      </c>
      <c r="D5875" s="14" t="s">
        <v>1812</v>
      </c>
      <c r="E5875" s="112"/>
      <c r="F5875" s="139" t="s">
        <v>17152</v>
      </c>
      <c r="G5875" s="140"/>
      <c r="H5875" s="141"/>
      <c r="I5875" s="26">
        <v>34203</v>
      </c>
      <c r="J5875" s="117"/>
      <c r="K5875" s="120"/>
      <c r="L5875" s="121"/>
      <c r="M5875" s="120"/>
      <c r="N5875" s="121"/>
      <c r="O5875" s="120"/>
      <c r="P5875" s="121"/>
      <c r="Q5875" s="120"/>
      <c r="R5875" s="121"/>
      <c r="S5875" s="120"/>
      <c r="T5875" s="121"/>
      <c r="U5875" s="120"/>
      <c r="V5875" s="123"/>
      <c r="W5875" s="125"/>
      <c r="X5875" s="142" t="s">
        <v>16949</v>
      </c>
      <c r="Y5875" s="143"/>
      <c r="Z5875" s="143"/>
      <c r="AA5875" s="143"/>
      <c r="AB5875" s="144"/>
      <c r="AC5875" s="16" t="s">
        <v>21</v>
      </c>
      <c r="AD5875" s="17" t="s">
        <v>3577</v>
      </c>
      <c r="AE5875" s="145" t="s">
        <v>16964</v>
      </c>
      <c r="AF5875" s="146"/>
      <c r="AG5875" s="146"/>
      <c r="AH5875" s="146"/>
      <c r="AI5875" s="147"/>
      <c r="AJ5875" s="148"/>
      <c r="AK5875" s="143"/>
      <c r="AL5875" s="144"/>
      <c r="AM5875" s="22"/>
      <c r="AN5875" s="149" t="s">
        <v>6789</v>
      </c>
      <c r="AO5875" s="144"/>
      <c r="AP5875" s="148">
        <v>84558</v>
      </c>
      <c r="AQ5875" s="144"/>
      <c r="AR5875" s="120"/>
      <c r="AS5875" s="121"/>
      <c r="AT5875" s="120"/>
      <c r="AU5875" s="121"/>
      <c r="AV5875" s="120"/>
      <c r="AW5875" s="121"/>
      <c r="AX5875" s="120"/>
      <c r="AY5875" s="121"/>
      <c r="AZ5875" s="138"/>
    </row>
    <row r="5876" spans="1:52" ht="17.100000000000001" customHeight="1" thickTop="1">
      <c r="A5876" s="109" t="s">
        <v>17113</v>
      </c>
      <c r="B5876" s="28">
        <v>46058</v>
      </c>
      <c r="C5876" s="25">
        <v>2013</v>
      </c>
      <c r="D5876" s="13" t="s">
        <v>2355</v>
      </c>
      <c r="E5876" s="111"/>
      <c r="F5876" s="113" t="s">
        <v>17267</v>
      </c>
      <c r="G5876" s="114"/>
      <c r="H5876" s="115"/>
      <c r="I5876" s="24"/>
      <c r="J5876" s="116">
        <v>4</v>
      </c>
      <c r="K5876" s="118">
        <v>1047000</v>
      </c>
      <c r="L5876" s="119"/>
      <c r="M5876" s="118">
        <f t="shared" ref="M5876" si="7687">K5876*0.1</f>
        <v>104700</v>
      </c>
      <c r="N5876" s="119"/>
      <c r="O5876" s="118">
        <v>0</v>
      </c>
      <c r="P5876" s="119"/>
      <c r="Q5876" s="118">
        <v>5990</v>
      </c>
      <c r="R5876" s="119"/>
      <c r="S5876" s="118">
        <v>22000</v>
      </c>
      <c r="T5876" s="119"/>
      <c r="U5876" s="118">
        <f t="shared" ref="U5876" si="7688">SUM(K5876:T5877)</f>
        <v>1179690</v>
      </c>
      <c r="V5876" s="122"/>
      <c r="W5876" s="124"/>
      <c r="X5876" s="126" t="s">
        <v>17697</v>
      </c>
      <c r="Y5876" s="127"/>
      <c r="Z5876" s="127"/>
      <c r="AA5876" s="127"/>
      <c r="AB5876" s="128"/>
      <c r="AC5876" s="15" t="s">
        <v>20</v>
      </c>
      <c r="AD5876" s="129" t="s">
        <v>17271</v>
      </c>
      <c r="AE5876" s="130"/>
      <c r="AF5876" s="130"/>
      <c r="AG5876" s="130"/>
      <c r="AH5876" s="130"/>
      <c r="AI5876" s="131"/>
      <c r="AJ5876" s="132"/>
      <c r="AK5876" s="127"/>
      <c r="AL5876" s="128"/>
      <c r="AM5876" s="21"/>
      <c r="AN5876" s="133">
        <v>46085</v>
      </c>
      <c r="AO5876" s="134"/>
      <c r="AP5876" s="135">
        <v>1007</v>
      </c>
      <c r="AQ5876" s="136"/>
      <c r="AR5876" s="118">
        <v>1120000</v>
      </c>
      <c r="AS5876" s="119"/>
      <c r="AT5876" s="118">
        <f t="shared" ref="AT5876" si="7689">AR5876*0.1</f>
        <v>112000</v>
      </c>
      <c r="AU5876" s="119"/>
      <c r="AV5876" s="118">
        <v>5990</v>
      </c>
      <c r="AW5876" s="119"/>
      <c r="AX5876" s="118">
        <f t="shared" ref="AX5876" si="7690">SUM(AR5876:AW5876)</f>
        <v>1237990</v>
      </c>
      <c r="AY5876" s="119"/>
      <c r="AZ5876" s="137">
        <v>46090</v>
      </c>
    </row>
    <row r="5877" spans="1:52" ht="17.100000000000001" customHeight="1" thickBot="1">
      <c r="A5877" s="110"/>
      <c r="B5877" s="27" t="s">
        <v>2727</v>
      </c>
      <c r="C5877" s="27">
        <v>50149</v>
      </c>
      <c r="D5877" s="14" t="s">
        <v>5615</v>
      </c>
      <c r="E5877" s="112"/>
      <c r="F5877" s="139" t="s">
        <v>17153</v>
      </c>
      <c r="G5877" s="140"/>
      <c r="H5877" s="141"/>
      <c r="I5877" s="26">
        <v>41627</v>
      </c>
      <c r="J5877" s="117"/>
      <c r="K5877" s="120"/>
      <c r="L5877" s="121"/>
      <c r="M5877" s="120"/>
      <c r="N5877" s="121"/>
      <c r="O5877" s="120"/>
      <c r="P5877" s="121"/>
      <c r="Q5877" s="120"/>
      <c r="R5877" s="121"/>
      <c r="S5877" s="120"/>
      <c r="T5877" s="121"/>
      <c r="U5877" s="120"/>
      <c r="V5877" s="123"/>
      <c r="W5877" s="125"/>
      <c r="X5877" s="142" t="s">
        <v>17695</v>
      </c>
      <c r="Y5877" s="143"/>
      <c r="Z5877" s="143"/>
      <c r="AA5877" s="143"/>
      <c r="AB5877" s="144"/>
      <c r="AC5877" s="16" t="s">
        <v>21</v>
      </c>
      <c r="AD5877" s="17" t="s">
        <v>3577</v>
      </c>
      <c r="AE5877" s="145" t="s">
        <v>17698</v>
      </c>
      <c r="AF5877" s="146"/>
      <c r="AG5877" s="146"/>
      <c r="AH5877" s="146"/>
      <c r="AI5877" s="147"/>
      <c r="AJ5877" s="148"/>
      <c r="AK5877" s="143"/>
      <c r="AL5877" s="144"/>
      <c r="AM5877" s="22"/>
      <c r="AN5877" s="149" t="s">
        <v>2794</v>
      </c>
      <c r="AO5877" s="144"/>
      <c r="AP5877" s="148">
        <v>2015</v>
      </c>
      <c r="AQ5877" s="144"/>
      <c r="AR5877" s="120"/>
      <c r="AS5877" s="121"/>
      <c r="AT5877" s="120"/>
      <c r="AU5877" s="121"/>
      <c r="AV5877" s="120"/>
      <c r="AW5877" s="121"/>
      <c r="AX5877" s="120"/>
      <c r="AY5877" s="121"/>
      <c r="AZ5877" s="138"/>
    </row>
    <row r="5878" spans="1:52" ht="17.100000000000001" customHeight="1" thickTop="1">
      <c r="A5878" s="109" t="s">
        <v>17114</v>
      </c>
      <c r="B5878" s="28">
        <v>46058</v>
      </c>
      <c r="C5878" s="25">
        <v>2013</v>
      </c>
      <c r="D5878" s="13" t="s">
        <v>1971</v>
      </c>
      <c r="E5878" s="111"/>
      <c r="F5878" s="113" t="s">
        <v>17269</v>
      </c>
      <c r="G5878" s="114"/>
      <c r="H5878" s="115"/>
      <c r="I5878" s="24"/>
      <c r="J5878" s="116">
        <v>3.5</v>
      </c>
      <c r="K5878" s="118">
        <v>765000</v>
      </c>
      <c r="L5878" s="119"/>
      <c r="M5878" s="118">
        <f t="shared" ref="M5878" si="7691">K5878*0.1</f>
        <v>76500</v>
      </c>
      <c r="N5878" s="119"/>
      <c r="O5878" s="118">
        <v>0</v>
      </c>
      <c r="P5878" s="119"/>
      <c r="Q5878" s="118">
        <v>6560</v>
      </c>
      <c r="R5878" s="119"/>
      <c r="S5878" s="118">
        <v>22000</v>
      </c>
      <c r="T5878" s="119"/>
      <c r="U5878" s="118">
        <f t="shared" ref="U5878" si="7692">SUM(K5878:T5879)</f>
        <v>870060</v>
      </c>
      <c r="V5878" s="122"/>
      <c r="W5878" s="124"/>
      <c r="X5878" s="126" t="s">
        <v>17691</v>
      </c>
      <c r="Y5878" s="127"/>
      <c r="Z5878" s="127"/>
      <c r="AA5878" s="127"/>
      <c r="AB5878" s="128"/>
      <c r="AC5878" s="15" t="s">
        <v>20</v>
      </c>
      <c r="AD5878" s="129" t="s">
        <v>17268</v>
      </c>
      <c r="AE5878" s="130"/>
      <c r="AF5878" s="130"/>
      <c r="AG5878" s="130"/>
      <c r="AH5878" s="130"/>
      <c r="AI5878" s="131"/>
      <c r="AJ5878" s="132"/>
      <c r="AK5878" s="127"/>
      <c r="AL5878" s="128"/>
      <c r="AM5878" s="21"/>
      <c r="AN5878" s="133">
        <v>46130</v>
      </c>
      <c r="AO5878" s="134"/>
      <c r="AP5878" s="135">
        <v>1297</v>
      </c>
      <c r="AQ5878" s="136"/>
      <c r="AR5878" s="118">
        <v>980000</v>
      </c>
      <c r="AS5878" s="119"/>
      <c r="AT5878" s="118">
        <f t="shared" ref="AT5878" si="7693">AR5878*0.1</f>
        <v>98000</v>
      </c>
      <c r="AU5878" s="119"/>
      <c r="AV5878" s="118">
        <v>6560</v>
      </c>
      <c r="AW5878" s="119"/>
      <c r="AX5878" s="118">
        <f t="shared" ref="AX5878" si="7694">SUM(AR5878:AW5878)</f>
        <v>1084560</v>
      </c>
      <c r="AY5878" s="119"/>
      <c r="AZ5878" s="137">
        <v>46133</v>
      </c>
    </row>
    <row r="5879" spans="1:52" ht="17.100000000000001" customHeight="1" thickBot="1">
      <c r="A5879" s="110"/>
      <c r="B5879" s="27" t="s">
        <v>2727</v>
      </c>
      <c r="C5879" s="27">
        <v>50153</v>
      </c>
      <c r="D5879" s="14" t="s">
        <v>133</v>
      </c>
      <c r="E5879" s="112"/>
      <c r="F5879" s="139" t="s">
        <v>17154</v>
      </c>
      <c r="G5879" s="140"/>
      <c r="H5879" s="141"/>
      <c r="I5879" s="26">
        <v>52129</v>
      </c>
      <c r="J5879" s="117"/>
      <c r="K5879" s="120"/>
      <c r="L5879" s="121"/>
      <c r="M5879" s="120"/>
      <c r="N5879" s="121"/>
      <c r="O5879" s="120"/>
      <c r="P5879" s="121"/>
      <c r="Q5879" s="120"/>
      <c r="R5879" s="121"/>
      <c r="S5879" s="120"/>
      <c r="T5879" s="121"/>
      <c r="U5879" s="120"/>
      <c r="V5879" s="123"/>
      <c r="W5879" s="125"/>
      <c r="X5879" s="142" t="s">
        <v>16949</v>
      </c>
      <c r="Y5879" s="143"/>
      <c r="Z5879" s="143"/>
      <c r="AA5879" s="143"/>
      <c r="AB5879" s="144"/>
      <c r="AC5879" s="16" t="s">
        <v>21</v>
      </c>
      <c r="AD5879" s="17" t="s">
        <v>3577</v>
      </c>
      <c r="AE5879" s="145" t="s">
        <v>16964</v>
      </c>
      <c r="AF5879" s="146"/>
      <c r="AG5879" s="146"/>
      <c r="AH5879" s="146"/>
      <c r="AI5879" s="147"/>
      <c r="AJ5879" s="148"/>
      <c r="AK5879" s="143"/>
      <c r="AL5879" s="144"/>
      <c r="AM5879" s="22"/>
      <c r="AN5879" s="149" t="s">
        <v>2511</v>
      </c>
      <c r="AO5879" s="144"/>
      <c r="AP5879" s="148">
        <v>62083</v>
      </c>
      <c r="AQ5879" s="144"/>
      <c r="AR5879" s="120"/>
      <c r="AS5879" s="121"/>
      <c r="AT5879" s="120"/>
      <c r="AU5879" s="121"/>
      <c r="AV5879" s="120"/>
      <c r="AW5879" s="121"/>
      <c r="AX5879" s="120"/>
      <c r="AY5879" s="121"/>
      <c r="AZ5879" s="138"/>
    </row>
    <row r="5880" spans="1:52" ht="17.100000000000001" customHeight="1" thickTop="1">
      <c r="A5880" s="109" t="s">
        <v>17115</v>
      </c>
      <c r="B5880" s="28">
        <v>46058</v>
      </c>
      <c r="C5880" s="25">
        <v>2013</v>
      </c>
      <c r="D5880" s="13" t="s">
        <v>1695</v>
      </c>
      <c r="E5880" s="111"/>
      <c r="F5880" s="113" t="s">
        <v>17272</v>
      </c>
      <c r="G5880" s="114"/>
      <c r="H5880" s="115"/>
      <c r="I5880" s="24" t="s">
        <v>3931</v>
      </c>
      <c r="J5880" s="116">
        <v>4</v>
      </c>
      <c r="K5880" s="118">
        <v>458000</v>
      </c>
      <c r="L5880" s="119"/>
      <c r="M5880" s="118">
        <f t="shared" ref="M5880" si="7695">K5880*0.1</f>
        <v>45800</v>
      </c>
      <c r="N5880" s="119"/>
      <c r="O5880" s="118">
        <v>0</v>
      </c>
      <c r="P5880" s="119"/>
      <c r="Q5880" s="118">
        <v>9670</v>
      </c>
      <c r="R5880" s="119"/>
      <c r="S5880" s="118">
        <v>22000</v>
      </c>
      <c r="T5880" s="119"/>
      <c r="U5880" s="118">
        <f t="shared" ref="U5880" si="7696">SUM(K5880:T5881)</f>
        <v>535470</v>
      </c>
      <c r="V5880" s="122"/>
      <c r="W5880" s="124"/>
      <c r="X5880" s="126" t="s">
        <v>17273</v>
      </c>
      <c r="Y5880" s="127"/>
      <c r="Z5880" s="127"/>
      <c r="AA5880" s="127"/>
      <c r="AB5880" s="128"/>
      <c r="AC5880" s="15" t="s">
        <v>20</v>
      </c>
      <c r="AD5880" s="129"/>
      <c r="AE5880" s="130"/>
      <c r="AF5880" s="130"/>
      <c r="AG5880" s="130"/>
      <c r="AH5880" s="130"/>
      <c r="AI5880" s="131"/>
      <c r="AJ5880" s="132"/>
      <c r="AK5880" s="127"/>
      <c r="AL5880" s="128"/>
      <c r="AM5880" s="21" t="s">
        <v>20352</v>
      </c>
      <c r="AN5880" s="133">
        <v>46095</v>
      </c>
      <c r="AO5880" s="134"/>
      <c r="AP5880" s="135">
        <v>1292</v>
      </c>
      <c r="AQ5880" s="136"/>
      <c r="AR5880" s="118">
        <v>495000</v>
      </c>
      <c r="AS5880" s="119"/>
      <c r="AT5880" s="118">
        <f t="shared" ref="AT5880" si="7697">AR5880*0.1</f>
        <v>49500</v>
      </c>
      <c r="AU5880" s="119"/>
      <c r="AV5880" s="118">
        <v>9670</v>
      </c>
      <c r="AW5880" s="119"/>
      <c r="AX5880" s="118">
        <f t="shared" ref="AX5880" si="7698">SUM(AR5880:AW5880)</f>
        <v>554170</v>
      </c>
      <c r="AY5880" s="119"/>
      <c r="AZ5880" s="137">
        <v>46100</v>
      </c>
    </row>
    <row r="5881" spans="1:52" ht="17.100000000000001" customHeight="1" thickBot="1">
      <c r="A5881" s="110"/>
      <c r="B5881" s="27" t="s">
        <v>2727</v>
      </c>
      <c r="C5881" s="27">
        <v>50155</v>
      </c>
      <c r="D5881" s="14" t="s">
        <v>1700</v>
      </c>
      <c r="E5881" s="112"/>
      <c r="F5881" s="139" t="s">
        <v>17155</v>
      </c>
      <c r="G5881" s="140"/>
      <c r="H5881" s="141"/>
      <c r="I5881" s="26">
        <v>28182</v>
      </c>
      <c r="J5881" s="117"/>
      <c r="K5881" s="120"/>
      <c r="L5881" s="121"/>
      <c r="M5881" s="120"/>
      <c r="N5881" s="121"/>
      <c r="O5881" s="120"/>
      <c r="P5881" s="121"/>
      <c r="Q5881" s="120"/>
      <c r="R5881" s="121"/>
      <c r="S5881" s="120"/>
      <c r="T5881" s="121"/>
      <c r="U5881" s="120"/>
      <c r="V5881" s="123"/>
      <c r="W5881" s="125"/>
      <c r="X5881" s="142" t="s">
        <v>5254</v>
      </c>
      <c r="Y5881" s="143"/>
      <c r="Z5881" s="143"/>
      <c r="AA5881" s="143"/>
      <c r="AB5881" s="144"/>
      <c r="AC5881" s="16" t="s">
        <v>21</v>
      </c>
      <c r="AD5881" s="17" t="s">
        <v>2298</v>
      </c>
      <c r="AE5881" s="145" t="s">
        <v>1742</v>
      </c>
      <c r="AF5881" s="146"/>
      <c r="AG5881" s="146"/>
      <c r="AH5881" s="146"/>
      <c r="AI5881" s="147"/>
      <c r="AJ5881" s="148"/>
      <c r="AK5881" s="143"/>
      <c r="AL5881" s="144"/>
      <c r="AM5881" s="22"/>
      <c r="AN5881" s="149" t="s">
        <v>2511</v>
      </c>
      <c r="AO5881" s="144"/>
      <c r="AP5881" s="148">
        <v>60005</v>
      </c>
      <c r="AQ5881" s="144"/>
      <c r="AR5881" s="120"/>
      <c r="AS5881" s="121"/>
      <c r="AT5881" s="120"/>
      <c r="AU5881" s="121"/>
      <c r="AV5881" s="120"/>
      <c r="AW5881" s="121"/>
      <c r="AX5881" s="120"/>
      <c r="AY5881" s="121"/>
      <c r="AZ5881" s="138"/>
    </row>
    <row r="5882" spans="1:52" ht="17.100000000000001" customHeight="1" thickTop="1">
      <c r="A5882" s="109" t="s">
        <v>17116</v>
      </c>
      <c r="B5882" s="28">
        <v>46058</v>
      </c>
      <c r="C5882" s="25">
        <v>2013</v>
      </c>
      <c r="D5882" s="13" t="s">
        <v>2211</v>
      </c>
      <c r="E5882" s="111"/>
      <c r="F5882" s="113" t="s">
        <v>17267</v>
      </c>
      <c r="G5882" s="114"/>
      <c r="H5882" s="115"/>
      <c r="I5882" s="24"/>
      <c r="J5882" s="116">
        <v>4</v>
      </c>
      <c r="K5882" s="118">
        <v>1092000</v>
      </c>
      <c r="L5882" s="119"/>
      <c r="M5882" s="118">
        <f t="shared" ref="M5882" si="7699">K5882*0.1</f>
        <v>109200</v>
      </c>
      <c r="N5882" s="119"/>
      <c r="O5882" s="118">
        <v>0</v>
      </c>
      <c r="P5882" s="119"/>
      <c r="Q5882" s="118">
        <v>5990</v>
      </c>
      <c r="R5882" s="119"/>
      <c r="S5882" s="118">
        <v>22000</v>
      </c>
      <c r="T5882" s="119"/>
      <c r="U5882" s="118">
        <f t="shared" ref="U5882" si="7700">SUM(K5882:T5883)</f>
        <v>1229190</v>
      </c>
      <c r="V5882" s="122"/>
      <c r="W5882" s="124"/>
      <c r="X5882" s="126" t="s">
        <v>17700</v>
      </c>
      <c r="Y5882" s="127"/>
      <c r="Z5882" s="127"/>
      <c r="AA5882" s="127"/>
      <c r="AB5882" s="128"/>
      <c r="AC5882" s="15" t="s">
        <v>20</v>
      </c>
      <c r="AD5882" s="129" t="s">
        <v>17268</v>
      </c>
      <c r="AE5882" s="130"/>
      <c r="AF5882" s="130"/>
      <c r="AG5882" s="130"/>
      <c r="AH5882" s="130"/>
      <c r="AI5882" s="131"/>
      <c r="AJ5882" s="132"/>
      <c r="AK5882" s="127"/>
      <c r="AL5882" s="128"/>
      <c r="AM5882" s="21"/>
      <c r="AN5882" s="133">
        <v>46078</v>
      </c>
      <c r="AO5882" s="134"/>
      <c r="AP5882" s="135">
        <v>1006</v>
      </c>
      <c r="AQ5882" s="136"/>
      <c r="AR5882" s="118">
        <v>1115000</v>
      </c>
      <c r="AS5882" s="119"/>
      <c r="AT5882" s="118">
        <f t="shared" ref="AT5882" si="7701">AR5882*0.1</f>
        <v>111500</v>
      </c>
      <c r="AU5882" s="119"/>
      <c r="AV5882" s="118">
        <v>5990</v>
      </c>
      <c r="AW5882" s="119"/>
      <c r="AX5882" s="118">
        <f t="shared" ref="AX5882" si="7702">SUM(AR5882:AW5882)</f>
        <v>1232490</v>
      </c>
      <c r="AY5882" s="119"/>
      <c r="AZ5882" s="137">
        <v>46083</v>
      </c>
    </row>
    <row r="5883" spans="1:52" ht="17.100000000000001" customHeight="1" thickBot="1">
      <c r="A5883" s="110"/>
      <c r="B5883" s="27" t="s">
        <v>2727</v>
      </c>
      <c r="C5883" s="27">
        <v>50156</v>
      </c>
      <c r="D5883" s="14" t="s">
        <v>1700</v>
      </c>
      <c r="E5883" s="112"/>
      <c r="F5883" s="139" t="s">
        <v>17156</v>
      </c>
      <c r="G5883" s="140"/>
      <c r="H5883" s="141"/>
      <c r="I5883" s="26">
        <v>39278</v>
      </c>
      <c r="J5883" s="117"/>
      <c r="K5883" s="120"/>
      <c r="L5883" s="121"/>
      <c r="M5883" s="120"/>
      <c r="N5883" s="121"/>
      <c r="O5883" s="120"/>
      <c r="P5883" s="121"/>
      <c r="Q5883" s="120"/>
      <c r="R5883" s="121"/>
      <c r="S5883" s="120"/>
      <c r="T5883" s="121"/>
      <c r="U5883" s="120"/>
      <c r="V5883" s="123"/>
      <c r="W5883" s="125"/>
      <c r="X5883" s="142" t="s">
        <v>17695</v>
      </c>
      <c r="Y5883" s="143"/>
      <c r="Z5883" s="143"/>
      <c r="AA5883" s="143"/>
      <c r="AB5883" s="144"/>
      <c r="AC5883" s="16" t="s">
        <v>21</v>
      </c>
      <c r="AD5883" s="17" t="s">
        <v>3577</v>
      </c>
      <c r="AE5883" s="145" t="s">
        <v>17698</v>
      </c>
      <c r="AF5883" s="146"/>
      <c r="AG5883" s="146"/>
      <c r="AH5883" s="146"/>
      <c r="AI5883" s="147"/>
      <c r="AJ5883" s="148"/>
      <c r="AK5883" s="143"/>
      <c r="AL5883" s="144"/>
      <c r="AM5883" s="22"/>
      <c r="AN5883" s="149" t="s">
        <v>2794</v>
      </c>
      <c r="AO5883" s="144"/>
      <c r="AP5883" s="148">
        <v>2008</v>
      </c>
      <c r="AQ5883" s="144"/>
      <c r="AR5883" s="120"/>
      <c r="AS5883" s="121"/>
      <c r="AT5883" s="120"/>
      <c r="AU5883" s="121"/>
      <c r="AV5883" s="120"/>
      <c r="AW5883" s="121"/>
      <c r="AX5883" s="120"/>
      <c r="AY5883" s="121"/>
      <c r="AZ5883" s="138"/>
    </row>
    <row r="5884" spans="1:52" ht="17.100000000000001" customHeight="1" thickTop="1">
      <c r="A5884" s="109" t="s">
        <v>17117</v>
      </c>
      <c r="B5884" s="28">
        <v>46058</v>
      </c>
      <c r="C5884" s="25">
        <v>2013</v>
      </c>
      <c r="D5884" s="13" t="s">
        <v>1971</v>
      </c>
      <c r="E5884" s="111"/>
      <c r="F5884" s="113" t="s">
        <v>17269</v>
      </c>
      <c r="G5884" s="114"/>
      <c r="H5884" s="115"/>
      <c r="I5884" s="24"/>
      <c r="J5884" s="116">
        <v>4</v>
      </c>
      <c r="K5884" s="118">
        <v>968000</v>
      </c>
      <c r="L5884" s="119"/>
      <c r="M5884" s="118">
        <f t="shared" ref="M5884" si="7703">K5884*0.1</f>
        <v>96800</v>
      </c>
      <c r="N5884" s="119"/>
      <c r="O5884" s="118">
        <v>0</v>
      </c>
      <c r="P5884" s="119"/>
      <c r="Q5884" s="118">
        <v>6560</v>
      </c>
      <c r="R5884" s="119"/>
      <c r="S5884" s="118">
        <v>22000</v>
      </c>
      <c r="T5884" s="119"/>
      <c r="U5884" s="118">
        <f t="shared" ref="U5884" si="7704">SUM(K5884:T5885)</f>
        <v>1093360</v>
      </c>
      <c r="V5884" s="122"/>
      <c r="W5884" s="124"/>
      <c r="X5884" s="126" t="s">
        <v>17692</v>
      </c>
      <c r="Y5884" s="127"/>
      <c r="Z5884" s="127"/>
      <c r="AA5884" s="127"/>
      <c r="AB5884" s="128"/>
      <c r="AC5884" s="15" t="s">
        <v>20</v>
      </c>
      <c r="AD5884" s="129" t="s">
        <v>17268</v>
      </c>
      <c r="AE5884" s="130"/>
      <c r="AF5884" s="130"/>
      <c r="AG5884" s="130"/>
      <c r="AH5884" s="130"/>
      <c r="AI5884" s="131"/>
      <c r="AJ5884" s="132"/>
      <c r="AK5884" s="127"/>
      <c r="AL5884" s="128"/>
      <c r="AM5884" s="21"/>
      <c r="AN5884" s="133">
        <v>46078</v>
      </c>
      <c r="AO5884" s="134"/>
      <c r="AP5884" s="135">
        <v>1006</v>
      </c>
      <c r="AQ5884" s="136"/>
      <c r="AR5884" s="118">
        <v>980000</v>
      </c>
      <c r="AS5884" s="119"/>
      <c r="AT5884" s="118">
        <f t="shared" ref="AT5884" si="7705">AR5884*0.1</f>
        <v>98000</v>
      </c>
      <c r="AU5884" s="119"/>
      <c r="AV5884" s="118">
        <v>6560</v>
      </c>
      <c r="AW5884" s="119"/>
      <c r="AX5884" s="118">
        <f t="shared" ref="AX5884" si="7706">SUM(AR5884:AW5884)</f>
        <v>1084560</v>
      </c>
      <c r="AY5884" s="119"/>
      <c r="AZ5884" s="137">
        <v>46083</v>
      </c>
    </row>
    <row r="5885" spans="1:52" ht="17.100000000000001" customHeight="1" thickBot="1">
      <c r="A5885" s="110"/>
      <c r="B5885" s="27" t="s">
        <v>2727</v>
      </c>
      <c r="C5885" s="27">
        <v>50157</v>
      </c>
      <c r="D5885" s="14" t="s">
        <v>133</v>
      </c>
      <c r="E5885" s="112"/>
      <c r="F5885" s="139" t="s">
        <v>17157</v>
      </c>
      <c r="G5885" s="140"/>
      <c r="H5885" s="141"/>
      <c r="I5885" s="26">
        <v>55330</v>
      </c>
      <c r="J5885" s="117"/>
      <c r="K5885" s="120"/>
      <c r="L5885" s="121"/>
      <c r="M5885" s="120"/>
      <c r="N5885" s="121"/>
      <c r="O5885" s="120"/>
      <c r="P5885" s="121"/>
      <c r="Q5885" s="120"/>
      <c r="R5885" s="121"/>
      <c r="S5885" s="120"/>
      <c r="T5885" s="121"/>
      <c r="U5885" s="120"/>
      <c r="V5885" s="123"/>
      <c r="W5885" s="125"/>
      <c r="X5885" s="142" t="s">
        <v>16949</v>
      </c>
      <c r="Y5885" s="143"/>
      <c r="Z5885" s="143"/>
      <c r="AA5885" s="143"/>
      <c r="AB5885" s="144"/>
      <c r="AC5885" s="16" t="s">
        <v>21</v>
      </c>
      <c r="AD5885" s="17" t="s">
        <v>3577</v>
      </c>
      <c r="AE5885" s="145" t="s">
        <v>17693</v>
      </c>
      <c r="AF5885" s="146"/>
      <c r="AG5885" s="146"/>
      <c r="AH5885" s="146"/>
      <c r="AI5885" s="147"/>
      <c r="AJ5885" s="148"/>
      <c r="AK5885" s="143"/>
      <c r="AL5885" s="144"/>
      <c r="AM5885" s="22"/>
      <c r="AN5885" s="149" t="s">
        <v>2794</v>
      </c>
      <c r="AO5885" s="144"/>
      <c r="AP5885" s="148">
        <v>2027</v>
      </c>
      <c r="AQ5885" s="144"/>
      <c r="AR5885" s="120"/>
      <c r="AS5885" s="121"/>
      <c r="AT5885" s="120"/>
      <c r="AU5885" s="121"/>
      <c r="AV5885" s="120"/>
      <c r="AW5885" s="121"/>
      <c r="AX5885" s="120"/>
      <c r="AY5885" s="121"/>
      <c r="AZ5885" s="138"/>
    </row>
    <row r="5886" spans="1:52" ht="17.100000000000001" customHeight="1" thickTop="1">
      <c r="A5886" s="109" t="s">
        <v>17118</v>
      </c>
      <c r="B5886" s="28">
        <v>46058</v>
      </c>
      <c r="C5886" s="25">
        <v>2013</v>
      </c>
      <c r="D5886" s="13" t="s">
        <v>1971</v>
      </c>
      <c r="E5886" s="111"/>
      <c r="F5886" s="113" t="s">
        <v>17269</v>
      </c>
      <c r="G5886" s="114"/>
      <c r="H5886" s="115"/>
      <c r="I5886" s="24"/>
      <c r="J5886" s="116">
        <v>4</v>
      </c>
      <c r="K5886" s="118">
        <v>946000</v>
      </c>
      <c r="L5886" s="119"/>
      <c r="M5886" s="118">
        <f t="shared" ref="M5886" si="7707">K5886*0.1</f>
        <v>94600</v>
      </c>
      <c r="N5886" s="119"/>
      <c r="O5886" s="118">
        <v>0</v>
      </c>
      <c r="P5886" s="119"/>
      <c r="Q5886" s="118">
        <v>6560</v>
      </c>
      <c r="R5886" s="119"/>
      <c r="S5886" s="118">
        <v>22000</v>
      </c>
      <c r="T5886" s="119"/>
      <c r="U5886" s="118">
        <f t="shared" ref="U5886" si="7708">SUM(K5886:T5887)</f>
        <v>1069160</v>
      </c>
      <c r="V5886" s="122"/>
      <c r="W5886" s="124"/>
      <c r="X5886" s="126" t="s">
        <v>17694</v>
      </c>
      <c r="Y5886" s="127"/>
      <c r="Z5886" s="127"/>
      <c r="AA5886" s="127"/>
      <c r="AB5886" s="128"/>
      <c r="AC5886" s="15" t="s">
        <v>20</v>
      </c>
      <c r="AD5886" s="129" t="s">
        <v>17270</v>
      </c>
      <c r="AE5886" s="130"/>
      <c r="AF5886" s="130"/>
      <c r="AG5886" s="130"/>
      <c r="AH5886" s="130"/>
      <c r="AI5886" s="131"/>
      <c r="AJ5886" s="132"/>
      <c r="AK5886" s="127"/>
      <c r="AL5886" s="128"/>
      <c r="AM5886" s="21"/>
      <c r="AN5886" s="133">
        <v>46071</v>
      </c>
      <c r="AO5886" s="134"/>
      <c r="AP5886" s="135">
        <v>1005</v>
      </c>
      <c r="AQ5886" s="136"/>
      <c r="AR5886" s="118">
        <v>985000</v>
      </c>
      <c r="AS5886" s="119"/>
      <c r="AT5886" s="118">
        <f t="shared" ref="AT5886" si="7709">AR5886*0.1</f>
        <v>98500</v>
      </c>
      <c r="AU5886" s="119"/>
      <c r="AV5886" s="118">
        <v>6560</v>
      </c>
      <c r="AW5886" s="119"/>
      <c r="AX5886" s="118">
        <f t="shared" ref="AX5886" si="7710">SUM(AR5886:AW5886)</f>
        <v>1090060</v>
      </c>
      <c r="AY5886" s="119"/>
      <c r="AZ5886" s="137">
        <v>46073</v>
      </c>
    </row>
    <row r="5887" spans="1:52" ht="17.100000000000001" customHeight="1" thickBot="1">
      <c r="A5887" s="110"/>
      <c r="B5887" s="27" t="s">
        <v>2727</v>
      </c>
      <c r="C5887" s="27">
        <v>50160</v>
      </c>
      <c r="D5887" s="14" t="s">
        <v>275</v>
      </c>
      <c r="E5887" s="112"/>
      <c r="F5887" s="139" t="s">
        <v>17158</v>
      </c>
      <c r="G5887" s="140"/>
      <c r="H5887" s="141"/>
      <c r="I5887" s="26">
        <v>59651</v>
      </c>
      <c r="J5887" s="117"/>
      <c r="K5887" s="120"/>
      <c r="L5887" s="121"/>
      <c r="M5887" s="120"/>
      <c r="N5887" s="121"/>
      <c r="O5887" s="120"/>
      <c r="P5887" s="121"/>
      <c r="Q5887" s="120"/>
      <c r="R5887" s="121"/>
      <c r="S5887" s="120"/>
      <c r="T5887" s="121"/>
      <c r="U5887" s="120"/>
      <c r="V5887" s="123"/>
      <c r="W5887" s="125"/>
      <c r="X5887" s="142" t="s">
        <v>17695</v>
      </c>
      <c r="Y5887" s="143"/>
      <c r="Z5887" s="143"/>
      <c r="AA5887" s="143"/>
      <c r="AB5887" s="144"/>
      <c r="AC5887" s="16" t="s">
        <v>21</v>
      </c>
      <c r="AD5887" s="17" t="s">
        <v>3577</v>
      </c>
      <c r="AE5887" s="145" t="s">
        <v>17696</v>
      </c>
      <c r="AF5887" s="146"/>
      <c r="AG5887" s="146"/>
      <c r="AH5887" s="146"/>
      <c r="AI5887" s="147"/>
      <c r="AJ5887" s="148"/>
      <c r="AK5887" s="143"/>
      <c r="AL5887" s="144"/>
      <c r="AM5887" s="22"/>
      <c r="AN5887" s="149" t="s">
        <v>2794</v>
      </c>
      <c r="AO5887" s="144"/>
      <c r="AP5887" s="148">
        <v>2043</v>
      </c>
      <c r="AQ5887" s="144"/>
      <c r="AR5887" s="120"/>
      <c r="AS5887" s="121"/>
      <c r="AT5887" s="120"/>
      <c r="AU5887" s="121"/>
      <c r="AV5887" s="120"/>
      <c r="AW5887" s="121"/>
      <c r="AX5887" s="120"/>
      <c r="AY5887" s="121"/>
      <c r="AZ5887" s="138"/>
    </row>
    <row r="5888" spans="1:52" ht="17.100000000000001" customHeight="1" thickTop="1">
      <c r="A5888" s="109" t="s">
        <v>17119</v>
      </c>
      <c r="B5888" s="28">
        <v>46058</v>
      </c>
      <c r="C5888" s="25">
        <v>2013</v>
      </c>
      <c r="D5888" s="13" t="s">
        <v>2014</v>
      </c>
      <c r="E5888" s="111"/>
      <c r="F5888" s="113" t="s">
        <v>15287</v>
      </c>
      <c r="G5888" s="114"/>
      <c r="H5888" s="115"/>
      <c r="I5888" s="24"/>
      <c r="J5888" s="116">
        <v>4</v>
      </c>
      <c r="K5888" s="118">
        <v>1155000</v>
      </c>
      <c r="L5888" s="119"/>
      <c r="M5888" s="118">
        <f t="shared" ref="M5888" si="7711">K5888*0.1</f>
        <v>115500</v>
      </c>
      <c r="N5888" s="119"/>
      <c r="O5888" s="118">
        <v>0</v>
      </c>
      <c r="P5888" s="119"/>
      <c r="Q5888" s="118">
        <v>6860</v>
      </c>
      <c r="R5888" s="119"/>
      <c r="S5888" s="118">
        <v>22000</v>
      </c>
      <c r="T5888" s="119"/>
      <c r="U5888" s="118">
        <f t="shared" ref="U5888" si="7712">SUM(K5888:T5889)</f>
        <v>1299360</v>
      </c>
      <c r="V5888" s="122"/>
      <c r="W5888" s="124"/>
      <c r="X5888" s="126" t="s">
        <v>17626</v>
      </c>
      <c r="Y5888" s="127"/>
      <c r="Z5888" s="127"/>
      <c r="AA5888" s="127"/>
      <c r="AB5888" s="128"/>
      <c r="AC5888" s="15" t="s">
        <v>20</v>
      </c>
      <c r="AD5888" s="129"/>
      <c r="AE5888" s="130"/>
      <c r="AF5888" s="130"/>
      <c r="AG5888" s="130"/>
      <c r="AH5888" s="130"/>
      <c r="AI5888" s="131"/>
      <c r="AJ5888" s="132"/>
      <c r="AK5888" s="127"/>
      <c r="AL5888" s="128"/>
      <c r="AM5888" s="21"/>
      <c r="AN5888" s="133">
        <v>46064</v>
      </c>
      <c r="AO5888" s="134"/>
      <c r="AP5888" s="135">
        <v>1004</v>
      </c>
      <c r="AQ5888" s="136"/>
      <c r="AR5888" s="118">
        <v>1250000</v>
      </c>
      <c r="AS5888" s="119"/>
      <c r="AT5888" s="118">
        <f t="shared" ref="AT5888" si="7713">AR5888*0.1</f>
        <v>125000</v>
      </c>
      <c r="AU5888" s="119"/>
      <c r="AV5888" s="118">
        <v>6860</v>
      </c>
      <c r="AW5888" s="119"/>
      <c r="AX5888" s="118">
        <f t="shared" ref="AX5888" si="7714">SUM(AR5888:AW5888)</f>
        <v>1381860</v>
      </c>
      <c r="AY5888" s="119"/>
      <c r="AZ5888" s="137">
        <v>46069</v>
      </c>
    </row>
    <row r="5889" spans="1:52" ht="17.100000000000001" customHeight="1" thickBot="1">
      <c r="A5889" s="110"/>
      <c r="B5889" s="27" t="s">
        <v>2727</v>
      </c>
      <c r="C5889" s="27">
        <v>50169</v>
      </c>
      <c r="D5889" s="14" t="s">
        <v>1812</v>
      </c>
      <c r="E5889" s="112"/>
      <c r="F5889" s="139" t="s">
        <v>17159</v>
      </c>
      <c r="G5889" s="140"/>
      <c r="H5889" s="141"/>
      <c r="I5889" s="26">
        <v>10663</v>
      </c>
      <c r="J5889" s="117"/>
      <c r="K5889" s="120"/>
      <c r="L5889" s="121"/>
      <c r="M5889" s="120"/>
      <c r="N5889" s="121"/>
      <c r="O5889" s="120"/>
      <c r="P5889" s="121"/>
      <c r="Q5889" s="120"/>
      <c r="R5889" s="121"/>
      <c r="S5889" s="120"/>
      <c r="T5889" s="121"/>
      <c r="U5889" s="120"/>
      <c r="V5889" s="123"/>
      <c r="W5889" s="125"/>
      <c r="X5889" s="142" t="s">
        <v>1673</v>
      </c>
      <c r="Y5889" s="143"/>
      <c r="Z5889" s="143"/>
      <c r="AA5889" s="143"/>
      <c r="AB5889" s="144"/>
      <c r="AC5889" s="16" t="s">
        <v>21</v>
      </c>
      <c r="AD5889" s="17" t="s">
        <v>2298</v>
      </c>
      <c r="AE5889" s="145"/>
      <c r="AF5889" s="146"/>
      <c r="AG5889" s="146"/>
      <c r="AH5889" s="146"/>
      <c r="AI5889" s="147"/>
      <c r="AJ5889" s="148"/>
      <c r="AK5889" s="143"/>
      <c r="AL5889" s="144"/>
      <c r="AM5889" s="22"/>
      <c r="AN5889" s="149" t="s">
        <v>2794</v>
      </c>
      <c r="AO5889" s="144"/>
      <c r="AP5889" s="148">
        <v>5052</v>
      </c>
      <c r="AQ5889" s="144"/>
      <c r="AR5889" s="120"/>
      <c r="AS5889" s="121"/>
      <c r="AT5889" s="120"/>
      <c r="AU5889" s="121"/>
      <c r="AV5889" s="120"/>
      <c r="AW5889" s="121"/>
      <c r="AX5889" s="120"/>
      <c r="AY5889" s="121"/>
      <c r="AZ5889" s="138"/>
    </row>
    <row r="5890" spans="1:52" ht="17.100000000000001" customHeight="1" thickTop="1">
      <c r="A5890" s="109" t="s">
        <v>17120</v>
      </c>
      <c r="B5890" s="28">
        <v>46059</v>
      </c>
      <c r="C5890" s="25">
        <v>277</v>
      </c>
      <c r="D5890" s="13" t="s">
        <v>1906</v>
      </c>
      <c r="E5890" s="111"/>
      <c r="F5890" s="113" t="s">
        <v>17279</v>
      </c>
      <c r="G5890" s="114"/>
      <c r="H5890" s="115"/>
      <c r="I5890" s="24" t="s">
        <v>3923</v>
      </c>
      <c r="J5890" s="116">
        <v>4</v>
      </c>
      <c r="K5890" s="118">
        <v>852000</v>
      </c>
      <c r="L5890" s="119"/>
      <c r="M5890" s="118">
        <f t="shared" ref="M5890" si="7715">K5890*0.1</f>
        <v>85200</v>
      </c>
      <c r="N5890" s="119"/>
      <c r="O5890" s="118">
        <v>0</v>
      </c>
      <c r="P5890" s="119"/>
      <c r="Q5890" s="118">
        <v>6960</v>
      </c>
      <c r="R5890" s="119"/>
      <c r="S5890" s="118">
        <v>22000</v>
      </c>
      <c r="T5890" s="119"/>
      <c r="U5890" s="118">
        <f t="shared" ref="U5890" si="7716">SUM(K5890:T5891)</f>
        <v>966160</v>
      </c>
      <c r="V5890" s="122"/>
      <c r="W5890" s="124"/>
      <c r="X5890" s="126" t="s">
        <v>17638</v>
      </c>
      <c r="Y5890" s="127"/>
      <c r="Z5890" s="127"/>
      <c r="AA5890" s="127"/>
      <c r="AB5890" s="128"/>
      <c r="AC5890" s="15" t="s">
        <v>20</v>
      </c>
      <c r="AD5890" s="129" t="s">
        <v>15208</v>
      </c>
      <c r="AE5890" s="130"/>
      <c r="AF5890" s="130"/>
      <c r="AG5890" s="130"/>
      <c r="AH5890" s="130"/>
      <c r="AI5890" s="131"/>
      <c r="AJ5890" s="132"/>
      <c r="AK5890" s="127"/>
      <c r="AL5890" s="128"/>
      <c r="AM5890" s="21"/>
      <c r="AN5890" s="133">
        <v>46106</v>
      </c>
      <c r="AO5890" s="134"/>
      <c r="AP5890" s="135">
        <v>1010</v>
      </c>
      <c r="AQ5890" s="136"/>
      <c r="AR5890" s="118">
        <v>870000</v>
      </c>
      <c r="AS5890" s="119"/>
      <c r="AT5890" s="118">
        <f t="shared" ref="AT5890" si="7717">AR5890*0.1</f>
        <v>87000</v>
      </c>
      <c r="AU5890" s="119"/>
      <c r="AV5890" s="118">
        <v>6960</v>
      </c>
      <c r="AW5890" s="119"/>
      <c r="AX5890" s="118">
        <f t="shared" ref="AX5890" si="7718">SUM(AR5890:AW5890)</f>
        <v>963960</v>
      </c>
      <c r="AY5890" s="119"/>
      <c r="AZ5890" s="137">
        <v>46111</v>
      </c>
    </row>
    <row r="5891" spans="1:52" ht="17.100000000000001" customHeight="1" thickBot="1">
      <c r="A5891" s="110"/>
      <c r="B5891" s="27" t="s">
        <v>15877</v>
      </c>
      <c r="C5891" s="27">
        <v>61</v>
      </c>
      <c r="D5891" s="14" t="s">
        <v>275</v>
      </c>
      <c r="E5891" s="112"/>
      <c r="F5891" s="139" t="s">
        <v>17160</v>
      </c>
      <c r="G5891" s="140"/>
      <c r="H5891" s="141"/>
      <c r="I5891" s="26">
        <v>17044</v>
      </c>
      <c r="J5891" s="117"/>
      <c r="K5891" s="120"/>
      <c r="L5891" s="121"/>
      <c r="M5891" s="120"/>
      <c r="N5891" s="121"/>
      <c r="O5891" s="120"/>
      <c r="P5891" s="121"/>
      <c r="Q5891" s="120"/>
      <c r="R5891" s="121"/>
      <c r="S5891" s="120"/>
      <c r="T5891" s="121"/>
      <c r="U5891" s="120"/>
      <c r="V5891" s="123"/>
      <c r="W5891" s="125"/>
      <c r="X5891" s="142" t="s">
        <v>17639</v>
      </c>
      <c r="Y5891" s="143"/>
      <c r="Z5891" s="143"/>
      <c r="AA5891" s="143"/>
      <c r="AB5891" s="144"/>
      <c r="AC5891" s="16" t="s">
        <v>21</v>
      </c>
      <c r="AD5891" s="17" t="s">
        <v>2298</v>
      </c>
      <c r="AE5891" s="145" t="s">
        <v>17640</v>
      </c>
      <c r="AF5891" s="146"/>
      <c r="AG5891" s="146"/>
      <c r="AH5891" s="146"/>
      <c r="AI5891" s="147"/>
      <c r="AJ5891" s="148"/>
      <c r="AK5891" s="143"/>
      <c r="AL5891" s="144"/>
      <c r="AM5891" s="22"/>
      <c r="AN5891" s="149" t="s">
        <v>2794</v>
      </c>
      <c r="AO5891" s="144"/>
      <c r="AP5891" s="148">
        <v>2026</v>
      </c>
      <c r="AQ5891" s="144"/>
      <c r="AR5891" s="120"/>
      <c r="AS5891" s="121"/>
      <c r="AT5891" s="120"/>
      <c r="AU5891" s="121"/>
      <c r="AV5891" s="120"/>
      <c r="AW5891" s="121"/>
      <c r="AX5891" s="120"/>
      <c r="AY5891" s="121"/>
      <c r="AZ5891" s="138"/>
    </row>
    <row r="5892" spans="1:52" ht="17.100000000000001" customHeight="1" thickTop="1">
      <c r="A5892" s="109" t="s">
        <v>17121</v>
      </c>
      <c r="B5892" s="28">
        <v>46059</v>
      </c>
      <c r="C5892" s="25">
        <v>277</v>
      </c>
      <c r="D5892" s="13" t="s">
        <v>2036</v>
      </c>
      <c r="E5892" s="111"/>
      <c r="F5892" s="113" t="s">
        <v>17280</v>
      </c>
      <c r="G5892" s="114"/>
      <c r="H5892" s="115"/>
      <c r="I5892" s="24"/>
      <c r="J5892" s="116">
        <v>4.5</v>
      </c>
      <c r="K5892" s="118">
        <v>703000</v>
      </c>
      <c r="L5892" s="119"/>
      <c r="M5892" s="118">
        <f t="shared" ref="M5892" si="7719">K5892*0.1</f>
        <v>70300</v>
      </c>
      <c r="N5892" s="119"/>
      <c r="O5892" s="118">
        <v>0</v>
      </c>
      <c r="P5892" s="119"/>
      <c r="Q5892" s="118">
        <v>8450</v>
      </c>
      <c r="R5892" s="119"/>
      <c r="S5892" s="118">
        <v>22000</v>
      </c>
      <c r="T5892" s="119"/>
      <c r="U5892" s="118">
        <f t="shared" ref="U5892" si="7720">SUM(K5892:T5893)</f>
        <v>803750</v>
      </c>
      <c r="V5892" s="122"/>
      <c r="W5892" s="124"/>
      <c r="X5892" s="126" t="s">
        <v>17641</v>
      </c>
      <c r="Y5892" s="127"/>
      <c r="Z5892" s="127"/>
      <c r="AA5892" s="127"/>
      <c r="AB5892" s="128"/>
      <c r="AC5892" s="15" t="s">
        <v>20</v>
      </c>
      <c r="AD5892" s="129"/>
      <c r="AE5892" s="130"/>
      <c r="AF5892" s="130"/>
      <c r="AG5892" s="130"/>
      <c r="AH5892" s="130"/>
      <c r="AI5892" s="131"/>
      <c r="AJ5892" s="132"/>
      <c r="AK5892" s="127"/>
      <c r="AL5892" s="128"/>
      <c r="AM5892" s="21"/>
      <c r="AN5892" s="133">
        <v>46063</v>
      </c>
      <c r="AO5892" s="134"/>
      <c r="AP5892" s="135">
        <v>1928</v>
      </c>
      <c r="AQ5892" s="136"/>
      <c r="AR5892" s="118">
        <v>785000</v>
      </c>
      <c r="AS5892" s="119"/>
      <c r="AT5892" s="118">
        <f t="shared" ref="AT5892" si="7721">AR5892*0.1</f>
        <v>78500</v>
      </c>
      <c r="AU5892" s="119"/>
      <c r="AV5892" s="118">
        <v>8450</v>
      </c>
      <c r="AW5892" s="119"/>
      <c r="AX5892" s="118">
        <f t="shared" ref="AX5892" si="7722">SUM(AR5892:AW5892)</f>
        <v>871950</v>
      </c>
      <c r="AY5892" s="119"/>
      <c r="AZ5892" s="137">
        <v>46070</v>
      </c>
    </row>
    <row r="5893" spans="1:52" ht="17.100000000000001" customHeight="1" thickBot="1">
      <c r="A5893" s="110"/>
      <c r="B5893" s="27" t="s">
        <v>15877</v>
      </c>
      <c r="C5893" s="27">
        <v>110</v>
      </c>
      <c r="D5893" s="14" t="s">
        <v>1592</v>
      </c>
      <c r="E5893" s="112"/>
      <c r="F5893" s="139" t="s">
        <v>17161</v>
      </c>
      <c r="G5893" s="140"/>
      <c r="H5893" s="141"/>
      <c r="I5893" s="26">
        <v>56041</v>
      </c>
      <c r="J5893" s="117"/>
      <c r="K5893" s="120"/>
      <c r="L5893" s="121"/>
      <c r="M5893" s="120"/>
      <c r="N5893" s="121"/>
      <c r="O5893" s="120"/>
      <c r="P5893" s="121"/>
      <c r="Q5893" s="120"/>
      <c r="R5893" s="121"/>
      <c r="S5893" s="120"/>
      <c r="T5893" s="121"/>
      <c r="U5893" s="120"/>
      <c r="V5893" s="123"/>
      <c r="W5893" s="125"/>
      <c r="X5893" s="142" t="s">
        <v>3884</v>
      </c>
      <c r="Y5893" s="143"/>
      <c r="Z5893" s="143"/>
      <c r="AA5893" s="143"/>
      <c r="AB5893" s="144"/>
      <c r="AC5893" s="16" t="s">
        <v>21</v>
      </c>
      <c r="AD5893" s="17" t="s">
        <v>2298</v>
      </c>
      <c r="AE5893" s="145"/>
      <c r="AF5893" s="146"/>
      <c r="AG5893" s="146"/>
      <c r="AH5893" s="146"/>
      <c r="AI5893" s="147"/>
      <c r="AJ5893" s="148"/>
      <c r="AK5893" s="143"/>
      <c r="AL5893" s="144"/>
      <c r="AM5893" s="22"/>
      <c r="AN5893" s="149" t="s">
        <v>17756</v>
      </c>
      <c r="AO5893" s="144"/>
      <c r="AP5893" s="148">
        <v>3239</v>
      </c>
      <c r="AQ5893" s="144"/>
      <c r="AR5893" s="120"/>
      <c r="AS5893" s="121"/>
      <c r="AT5893" s="120"/>
      <c r="AU5893" s="121"/>
      <c r="AV5893" s="120"/>
      <c r="AW5893" s="121"/>
      <c r="AX5893" s="120"/>
      <c r="AY5893" s="121"/>
      <c r="AZ5893" s="138"/>
    </row>
    <row r="5894" spans="1:52" ht="17.100000000000001" customHeight="1" thickTop="1">
      <c r="A5894" s="109" t="s">
        <v>17122</v>
      </c>
      <c r="B5894" s="28">
        <v>46059</v>
      </c>
      <c r="C5894" s="25">
        <v>277</v>
      </c>
      <c r="D5894" s="13" t="s">
        <v>2092</v>
      </c>
      <c r="E5894" s="111"/>
      <c r="F5894" s="113" t="s">
        <v>16625</v>
      </c>
      <c r="G5894" s="114"/>
      <c r="H5894" s="115"/>
      <c r="I5894" s="24"/>
      <c r="J5894" s="116">
        <v>4.5</v>
      </c>
      <c r="K5894" s="118">
        <v>725000</v>
      </c>
      <c r="L5894" s="119"/>
      <c r="M5894" s="118">
        <f t="shared" ref="M5894" si="7723">K5894*0.1</f>
        <v>72500</v>
      </c>
      <c r="N5894" s="119"/>
      <c r="O5894" s="118">
        <v>0</v>
      </c>
      <c r="P5894" s="119"/>
      <c r="Q5894" s="118">
        <v>5690</v>
      </c>
      <c r="R5894" s="119"/>
      <c r="S5894" s="118">
        <v>22000</v>
      </c>
      <c r="T5894" s="119"/>
      <c r="U5894" s="118">
        <f t="shared" ref="U5894" si="7724">SUM(K5894:T5895)</f>
        <v>825190</v>
      </c>
      <c r="V5894" s="122"/>
      <c r="W5894" s="124"/>
      <c r="X5894" s="126" t="s">
        <v>17522</v>
      </c>
      <c r="Y5894" s="127"/>
      <c r="Z5894" s="127"/>
      <c r="AA5894" s="127"/>
      <c r="AB5894" s="128"/>
      <c r="AC5894" s="15" t="s">
        <v>20</v>
      </c>
      <c r="AD5894" s="129"/>
      <c r="AE5894" s="130"/>
      <c r="AF5894" s="130"/>
      <c r="AG5894" s="130"/>
      <c r="AH5894" s="130"/>
      <c r="AI5894" s="131"/>
      <c r="AJ5894" s="132"/>
      <c r="AK5894" s="127"/>
      <c r="AL5894" s="128"/>
      <c r="AM5894" s="21"/>
      <c r="AN5894" s="133">
        <v>46063</v>
      </c>
      <c r="AO5894" s="134"/>
      <c r="AP5894" s="135">
        <v>1928</v>
      </c>
      <c r="AQ5894" s="136"/>
      <c r="AR5894" s="118">
        <v>815000</v>
      </c>
      <c r="AS5894" s="119"/>
      <c r="AT5894" s="118">
        <f t="shared" ref="AT5894" si="7725">AR5894*0.1</f>
        <v>81500</v>
      </c>
      <c r="AU5894" s="119"/>
      <c r="AV5894" s="118">
        <v>5690</v>
      </c>
      <c r="AW5894" s="119"/>
      <c r="AX5894" s="118">
        <f t="shared" ref="AX5894" si="7726">SUM(AR5894:AW5894)</f>
        <v>902190</v>
      </c>
      <c r="AY5894" s="119"/>
      <c r="AZ5894" s="137">
        <v>46069</v>
      </c>
    </row>
    <row r="5895" spans="1:52" ht="17.100000000000001" customHeight="1" thickBot="1">
      <c r="A5895" s="110"/>
      <c r="B5895" s="27" t="s">
        <v>15877</v>
      </c>
      <c r="C5895" s="27">
        <v>123</v>
      </c>
      <c r="D5895" s="14" t="s">
        <v>904</v>
      </c>
      <c r="E5895" s="112"/>
      <c r="F5895" s="139" t="s">
        <v>17162</v>
      </c>
      <c r="G5895" s="140"/>
      <c r="H5895" s="141"/>
      <c r="I5895" s="26">
        <v>14772</v>
      </c>
      <c r="J5895" s="117"/>
      <c r="K5895" s="120"/>
      <c r="L5895" s="121"/>
      <c r="M5895" s="120"/>
      <c r="N5895" s="121"/>
      <c r="O5895" s="120"/>
      <c r="P5895" s="121"/>
      <c r="Q5895" s="120"/>
      <c r="R5895" s="121"/>
      <c r="S5895" s="120"/>
      <c r="T5895" s="121"/>
      <c r="U5895" s="120"/>
      <c r="V5895" s="123"/>
      <c r="W5895" s="125"/>
      <c r="X5895" s="142" t="s">
        <v>13172</v>
      </c>
      <c r="Y5895" s="143"/>
      <c r="Z5895" s="143"/>
      <c r="AA5895" s="143"/>
      <c r="AB5895" s="144"/>
      <c r="AC5895" s="16" t="s">
        <v>21</v>
      </c>
      <c r="AD5895" s="17" t="s">
        <v>2187</v>
      </c>
      <c r="AE5895" s="145"/>
      <c r="AF5895" s="146"/>
      <c r="AG5895" s="146"/>
      <c r="AH5895" s="146"/>
      <c r="AI5895" s="147"/>
      <c r="AJ5895" s="148"/>
      <c r="AK5895" s="143"/>
      <c r="AL5895" s="144"/>
      <c r="AM5895" s="22"/>
      <c r="AN5895" s="149" t="s">
        <v>2131</v>
      </c>
      <c r="AO5895" s="144"/>
      <c r="AP5895" s="148">
        <v>3301</v>
      </c>
      <c r="AQ5895" s="144"/>
      <c r="AR5895" s="120"/>
      <c r="AS5895" s="121"/>
      <c r="AT5895" s="120"/>
      <c r="AU5895" s="121"/>
      <c r="AV5895" s="120"/>
      <c r="AW5895" s="121"/>
      <c r="AX5895" s="120"/>
      <c r="AY5895" s="121"/>
      <c r="AZ5895" s="138"/>
    </row>
    <row r="5896" spans="1:52" ht="17.100000000000001" customHeight="1" thickTop="1">
      <c r="A5896" s="109" t="s">
        <v>17123</v>
      </c>
      <c r="B5896" s="28">
        <v>46059</v>
      </c>
      <c r="C5896" s="25">
        <v>1192</v>
      </c>
      <c r="D5896" s="13" t="s">
        <v>1675</v>
      </c>
      <c r="E5896" s="111"/>
      <c r="F5896" s="113" t="s">
        <v>17163</v>
      </c>
      <c r="G5896" s="114"/>
      <c r="H5896" s="115"/>
      <c r="I5896" s="24"/>
      <c r="J5896" s="116">
        <v>4.5</v>
      </c>
      <c r="K5896" s="118">
        <v>1095000</v>
      </c>
      <c r="L5896" s="119"/>
      <c r="M5896" s="118">
        <f t="shared" ref="M5896" si="7727">K5896*0.1</f>
        <v>109500</v>
      </c>
      <c r="N5896" s="119"/>
      <c r="O5896" s="118">
        <v>0</v>
      </c>
      <c r="P5896" s="119"/>
      <c r="Q5896" s="118">
        <v>12030</v>
      </c>
      <c r="R5896" s="119"/>
      <c r="S5896" s="118">
        <v>12100</v>
      </c>
      <c r="T5896" s="119"/>
      <c r="U5896" s="118">
        <f t="shared" ref="U5896" si="7728">SUM(K5896:T5897)</f>
        <v>1228630</v>
      </c>
      <c r="V5896" s="122"/>
      <c r="W5896" s="124"/>
      <c r="X5896" s="126" t="s">
        <v>17669</v>
      </c>
      <c r="Y5896" s="127"/>
      <c r="Z5896" s="127"/>
      <c r="AA5896" s="127"/>
      <c r="AB5896" s="128"/>
      <c r="AC5896" s="15" t="s">
        <v>20</v>
      </c>
      <c r="AD5896" s="129" t="s">
        <v>15208</v>
      </c>
      <c r="AE5896" s="130"/>
      <c r="AF5896" s="130"/>
      <c r="AG5896" s="130"/>
      <c r="AH5896" s="130"/>
      <c r="AI5896" s="131"/>
      <c r="AJ5896" s="132"/>
      <c r="AK5896" s="127"/>
      <c r="AL5896" s="128"/>
      <c r="AM5896" s="21"/>
      <c r="AN5896" s="133">
        <v>46067</v>
      </c>
      <c r="AO5896" s="134"/>
      <c r="AP5896" s="135">
        <v>1288</v>
      </c>
      <c r="AQ5896" s="136"/>
      <c r="AR5896" s="118">
        <v>1200000</v>
      </c>
      <c r="AS5896" s="119"/>
      <c r="AT5896" s="118">
        <f t="shared" ref="AT5896" si="7729">AR5896*0.1</f>
        <v>120000</v>
      </c>
      <c r="AU5896" s="119"/>
      <c r="AV5896" s="118">
        <v>12030</v>
      </c>
      <c r="AW5896" s="119"/>
      <c r="AX5896" s="118">
        <f t="shared" ref="AX5896" si="7730">SUM(AR5896:AW5896)</f>
        <v>1332030</v>
      </c>
      <c r="AY5896" s="119"/>
      <c r="AZ5896" s="137">
        <v>46073</v>
      </c>
    </row>
    <row r="5897" spans="1:52" ht="17.100000000000001" customHeight="1" thickBot="1">
      <c r="A5897" s="110"/>
      <c r="B5897" s="27" t="s">
        <v>1828</v>
      </c>
      <c r="C5897" s="27">
        <v>20175</v>
      </c>
      <c r="D5897" s="14" t="s">
        <v>2601</v>
      </c>
      <c r="E5897" s="112"/>
      <c r="F5897" s="139" t="s">
        <v>17164</v>
      </c>
      <c r="G5897" s="140"/>
      <c r="H5897" s="141"/>
      <c r="I5897" s="26">
        <v>75037</v>
      </c>
      <c r="J5897" s="117"/>
      <c r="K5897" s="120"/>
      <c r="L5897" s="121"/>
      <c r="M5897" s="120"/>
      <c r="N5897" s="121"/>
      <c r="O5897" s="120"/>
      <c r="P5897" s="121"/>
      <c r="Q5897" s="120"/>
      <c r="R5897" s="121"/>
      <c r="S5897" s="120"/>
      <c r="T5897" s="121"/>
      <c r="U5897" s="120"/>
      <c r="V5897" s="123"/>
      <c r="W5897" s="125"/>
      <c r="X5897" s="142" t="s">
        <v>17670</v>
      </c>
      <c r="Y5897" s="143"/>
      <c r="Z5897" s="143"/>
      <c r="AA5897" s="143"/>
      <c r="AB5897" s="144"/>
      <c r="AC5897" s="16" t="s">
        <v>21</v>
      </c>
      <c r="AD5897" s="17" t="s">
        <v>2298</v>
      </c>
      <c r="AE5897" s="145" t="s">
        <v>10729</v>
      </c>
      <c r="AF5897" s="146"/>
      <c r="AG5897" s="146"/>
      <c r="AH5897" s="146"/>
      <c r="AI5897" s="147"/>
      <c r="AJ5897" s="148"/>
      <c r="AK5897" s="143"/>
      <c r="AL5897" s="144"/>
      <c r="AM5897" s="22"/>
      <c r="AN5897" s="149" t="s">
        <v>6748</v>
      </c>
      <c r="AO5897" s="144"/>
      <c r="AP5897" s="148">
        <v>40</v>
      </c>
      <c r="AQ5897" s="144"/>
      <c r="AR5897" s="120"/>
      <c r="AS5897" s="121"/>
      <c r="AT5897" s="120"/>
      <c r="AU5897" s="121"/>
      <c r="AV5897" s="120"/>
      <c r="AW5897" s="121"/>
      <c r="AX5897" s="120"/>
      <c r="AY5897" s="121"/>
      <c r="AZ5897" s="138"/>
    </row>
    <row r="5898" spans="1:52" ht="17.100000000000001" customHeight="1" thickTop="1">
      <c r="A5898" s="109" t="s">
        <v>17124</v>
      </c>
      <c r="B5898" s="28">
        <v>46059</v>
      </c>
      <c r="C5898" s="25">
        <v>1192</v>
      </c>
      <c r="D5898" s="13" t="s">
        <v>1831</v>
      </c>
      <c r="E5898" s="111"/>
      <c r="F5898" s="113" t="s">
        <v>15565</v>
      </c>
      <c r="G5898" s="114"/>
      <c r="H5898" s="115"/>
      <c r="I5898" s="24"/>
      <c r="J5898" s="116">
        <v>4</v>
      </c>
      <c r="K5898" s="118">
        <v>895000</v>
      </c>
      <c r="L5898" s="119"/>
      <c r="M5898" s="118">
        <f t="shared" ref="M5898" si="7731">K5898*0.1</f>
        <v>89500</v>
      </c>
      <c r="N5898" s="119"/>
      <c r="O5898" s="118">
        <v>0</v>
      </c>
      <c r="P5898" s="119"/>
      <c r="Q5898" s="118">
        <v>12030</v>
      </c>
      <c r="R5898" s="119"/>
      <c r="S5898" s="118">
        <v>12100</v>
      </c>
      <c r="T5898" s="119"/>
      <c r="U5898" s="118">
        <f t="shared" ref="U5898" si="7732">SUM(K5898:T5899)</f>
        <v>1008630</v>
      </c>
      <c r="V5898" s="122"/>
      <c r="W5898" s="124"/>
      <c r="X5898" s="126" t="s">
        <v>17719</v>
      </c>
      <c r="Y5898" s="127"/>
      <c r="Z5898" s="127"/>
      <c r="AA5898" s="127"/>
      <c r="AB5898" s="128"/>
      <c r="AC5898" s="15" t="s">
        <v>20</v>
      </c>
      <c r="AD5898" s="129" t="s">
        <v>17281</v>
      </c>
      <c r="AE5898" s="130"/>
      <c r="AF5898" s="130"/>
      <c r="AG5898" s="130"/>
      <c r="AH5898" s="130"/>
      <c r="AI5898" s="131"/>
      <c r="AJ5898" s="132"/>
      <c r="AK5898" s="127"/>
      <c r="AL5898" s="128"/>
      <c r="AM5898" s="21"/>
      <c r="AN5898" s="133">
        <v>46081</v>
      </c>
      <c r="AO5898" s="134"/>
      <c r="AP5898" s="135">
        <v>1290</v>
      </c>
      <c r="AQ5898" s="136"/>
      <c r="AR5898" s="118">
        <v>950000</v>
      </c>
      <c r="AS5898" s="119"/>
      <c r="AT5898" s="118">
        <f t="shared" ref="AT5898" si="7733">AR5898*0.1</f>
        <v>95000</v>
      </c>
      <c r="AU5898" s="119"/>
      <c r="AV5898" s="118">
        <v>12030</v>
      </c>
      <c r="AW5898" s="119"/>
      <c r="AX5898" s="118">
        <f t="shared" ref="AX5898" si="7734">SUM(AR5898:AW5898)</f>
        <v>1057030</v>
      </c>
      <c r="AY5898" s="119"/>
      <c r="AZ5898" s="137">
        <v>46084</v>
      </c>
    </row>
    <row r="5899" spans="1:52" ht="17.100000000000001" customHeight="1" thickBot="1">
      <c r="A5899" s="110"/>
      <c r="B5899" s="27" t="s">
        <v>1828</v>
      </c>
      <c r="C5899" s="27">
        <v>20492</v>
      </c>
      <c r="D5899" s="14" t="s">
        <v>2601</v>
      </c>
      <c r="E5899" s="112"/>
      <c r="F5899" s="139" t="s">
        <v>17165</v>
      </c>
      <c r="G5899" s="140"/>
      <c r="H5899" s="141"/>
      <c r="I5899" s="26">
        <v>103878</v>
      </c>
      <c r="J5899" s="117"/>
      <c r="K5899" s="120"/>
      <c r="L5899" s="121"/>
      <c r="M5899" s="120"/>
      <c r="N5899" s="121"/>
      <c r="O5899" s="120"/>
      <c r="P5899" s="121"/>
      <c r="Q5899" s="120"/>
      <c r="R5899" s="121"/>
      <c r="S5899" s="120"/>
      <c r="T5899" s="121"/>
      <c r="U5899" s="120"/>
      <c r="V5899" s="123"/>
      <c r="W5899" s="125"/>
      <c r="X5899" s="142" t="s">
        <v>17720</v>
      </c>
      <c r="Y5899" s="143"/>
      <c r="Z5899" s="143"/>
      <c r="AA5899" s="143"/>
      <c r="AB5899" s="144"/>
      <c r="AC5899" s="16" t="s">
        <v>21</v>
      </c>
      <c r="AD5899" s="17" t="s">
        <v>2298</v>
      </c>
      <c r="AE5899" s="145" t="s">
        <v>17721</v>
      </c>
      <c r="AF5899" s="146"/>
      <c r="AG5899" s="146"/>
      <c r="AH5899" s="146"/>
      <c r="AI5899" s="147"/>
      <c r="AJ5899" s="148"/>
      <c r="AK5899" s="143"/>
      <c r="AL5899" s="144"/>
      <c r="AM5899" s="22"/>
      <c r="AN5899" s="149" t="s">
        <v>2511</v>
      </c>
      <c r="AO5899" s="144"/>
      <c r="AP5899" s="148">
        <v>50193</v>
      </c>
      <c r="AQ5899" s="144"/>
      <c r="AR5899" s="120"/>
      <c r="AS5899" s="121"/>
      <c r="AT5899" s="120"/>
      <c r="AU5899" s="121"/>
      <c r="AV5899" s="120"/>
      <c r="AW5899" s="121"/>
      <c r="AX5899" s="120"/>
      <c r="AY5899" s="121"/>
      <c r="AZ5899" s="138"/>
    </row>
    <row r="5900" spans="1:52" ht="17.100000000000001" customHeight="1" thickTop="1">
      <c r="A5900" s="151" t="s">
        <v>17125</v>
      </c>
      <c r="B5900" s="28">
        <v>46059</v>
      </c>
      <c r="C5900" s="25">
        <v>1192</v>
      </c>
      <c r="D5900" s="13" t="s">
        <v>2022</v>
      </c>
      <c r="E5900" s="111"/>
      <c r="F5900" s="113" t="s">
        <v>17282</v>
      </c>
      <c r="G5900" s="114"/>
      <c r="H5900" s="115"/>
      <c r="I5900" s="24" t="s">
        <v>1547</v>
      </c>
      <c r="J5900" s="116">
        <v>4.5</v>
      </c>
      <c r="K5900" s="118">
        <v>1955000</v>
      </c>
      <c r="L5900" s="119"/>
      <c r="M5900" s="118">
        <f t="shared" ref="M5900" si="7735">K5900*0.1</f>
        <v>195500</v>
      </c>
      <c r="N5900" s="119"/>
      <c r="O5900" s="118">
        <v>3520</v>
      </c>
      <c r="P5900" s="119"/>
      <c r="Q5900" s="118">
        <v>22350</v>
      </c>
      <c r="R5900" s="119"/>
      <c r="S5900" s="118">
        <v>16500</v>
      </c>
      <c r="T5900" s="119"/>
      <c r="U5900" s="118">
        <f t="shared" ref="U5900" si="7736">SUM(K5900:T5901)</f>
        <v>2192870</v>
      </c>
      <c r="V5900" s="122"/>
      <c r="W5900" s="124"/>
      <c r="X5900" s="126" t="s">
        <v>17284</v>
      </c>
      <c r="Y5900" s="127"/>
      <c r="Z5900" s="127"/>
      <c r="AA5900" s="127"/>
      <c r="AB5900" s="128"/>
      <c r="AC5900" s="15" t="s">
        <v>20</v>
      </c>
      <c r="AD5900" s="129" t="s">
        <v>1670</v>
      </c>
      <c r="AE5900" s="130"/>
      <c r="AF5900" s="130"/>
      <c r="AG5900" s="130"/>
      <c r="AH5900" s="130"/>
      <c r="AI5900" s="131"/>
      <c r="AJ5900" s="132" t="s">
        <v>17757</v>
      </c>
      <c r="AK5900" s="127"/>
      <c r="AL5900" s="128"/>
      <c r="AM5900" s="21"/>
      <c r="AN5900" s="133"/>
      <c r="AO5900" s="134"/>
      <c r="AP5900" s="135"/>
      <c r="AQ5900" s="136"/>
      <c r="AR5900" s="118"/>
      <c r="AS5900" s="119"/>
      <c r="AT5900" s="118">
        <f t="shared" ref="AT5900" si="7737">AR5900*0.1</f>
        <v>0</v>
      </c>
      <c r="AU5900" s="119"/>
      <c r="AV5900" s="118"/>
      <c r="AW5900" s="119"/>
      <c r="AX5900" s="118">
        <f t="shared" ref="AX5900" si="7738">SUM(AR5900:AW5900)</f>
        <v>0</v>
      </c>
      <c r="AY5900" s="119"/>
      <c r="AZ5900" s="137"/>
    </row>
    <row r="5901" spans="1:52" ht="17.100000000000001" customHeight="1" thickBot="1">
      <c r="A5901" s="152"/>
      <c r="B5901" s="27" t="s">
        <v>1828</v>
      </c>
      <c r="C5901" s="27">
        <v>88014</v>
      </c>
      <c r="D5901" s="14" t="s">
        <v>1592</v>
      </c>
      <c r="E5901" s="112"/>
      <c r="F5901" s="139" t="s">
        <v>17283</v>
      </c>
      <c r="G5901" s="140"/>
      <c r="H5901" s="141"/>
      <c r="I5901" s="26">
        <v>19431</v>
      </c>
      <c r="J5901" s="117"/>
      <c r="K5901" s="120"/>
      <c r="L5901" s="121"/>
      <c r="M5901" s="120"/>
      <c r="N5901" s="121"/>
      <c r="O5901" s="120"/>
      <c r="P5901" s="121"/>
      <c r="Q5901" s="120"/>
      <c r="R5901" s="121"/>
      <c r="S5901" s="120"/>
      <c r="T5901" s="121"/>
      <c r="U5901" s="120"/>
      <c r="V5901" s="123"/>
      <c r="W5901" s="125"/>
      <c r="X5901" s="142" t="s">
        <v>17678</v>
      </c>
      <c r="Y5901" s="143"/>
      <c r="Z5901" s="143"/>
      <c r="AA5901" s="143"/>
      <c r="AB5901" s="144"/>
      <c r="AC5901" s="16" t="s">
        <v>21</v>
      </c>
      <c r="AD5901" s="17" t="s">
        <v>2298</v>
      </c>
      <c r="AE5901" s="145" t="s">
        <v>17762</v>
      </c>
      <c r="AF5901" s="146"/>
      <c r="AG5901" s="146"/>
      <c r="AH5901" s="146"/>
      <c r="AI5901" s="147"/>
      <c r="AJ5901" s="148"/>
      <c r="AK5901" s="143"/>
      <c r="AL5901" s="144"/>
      <c r="AM5901" s="22"/>
      <c r="AN5901" s="149"/>
      <c r="AO5901" s="144"/>
      <c r="AP5901" s="148"/>
      <c r="AQ5901" s="144"/>
      <c r="AR5901" s="120"/>
      <c r="AS5901" s="121"/>
      <c r="AT5901" s="120"/>
      <c r="AU5901" s="121"/>
      <c r="AV5901" s="120"/>
      <c r="AW5901" s="121"/>
      <c r="AX5901" s="120"/>
      <c r="AY5901" s="121"/>
      <c r="AZ5901" s="138"/>
    </row>
    <row r="5902" spans="1:52" ht="17.100000000000001" customHeight="1" thickTop="1">
      <c r="A5902" s="109" t="s">
        <v>17126</v>
      </c>
      <c r="B5902" s="28">
        <v>46059</v>
      </c>
      <c r="C5902" s="25">
        <v>2121</v>
      </c>
      <c r="D5902" s="13" t="s">
        <v>1586</v>
      </c>
      <c r="E5902" s="111"/>
      <c r="F5902" s="113" t="s">
        <v>17166</v>
      </c>
      <c r="G5902" s="114"/>
      <c r="H5902" s="115"/>
      <c r="I5902" s="24"/>
      <c r="J5902" s="116">
        <v>4.5</v>
      </c>
      <c r="K5902" s="118">
        <v>2600000</v>
      </c>
      <c r="L5902" s="119"/>
      <c r="M5902" s="118">
        <f t="shared" ref="M5902" si="7739">K5902*0.1</f>
        <v>260000</v>
      </c>
      <c r="N5902" s="119"/>
      <c r="O5902" s="118">
        <v>0</v>
      </c>
      <c r="P5902" s="119"/>
      <c r="Q5902" s="118">
        <v>17640</v>
      </c>
      <c r="R5902" s="119"/>
      <c r="S5902" s="118">
        <v>16500</v>
      </c>
      <c r="T5902" s="119"/>
      <c r="U5902" s="118">
        <f t="shared" ref="U5902" si="7740">SUM(K5902:T5903)</f>
        <v>2894140</v>
      </c>
      <c r="V5902" s="122"/>
      <c r="W5902" s="124"/>
      <c r="X5902" s="126" t="s">
        <v>17677</v>
      </c>
      <c r="Y5902" s="127"/>
      <c r="Z5902" s="127"/>
      <c r="AA5902" s="127"/>
      <c r="AB5902" s="128"/>
      <c r="AC5902" s="15" t="s">
        <v>20</v>
      </c>
      <c r="AD5902" s="129" t="s">
        <v>3828</v>
      </c>
      <c r="AE5902" s="130"/>
      <c r="AF5902" s="130"/>
      <c r="AG5902" s="130"/>
      <c r="AH5902" s="130"/>
      <c r="AI5902" s="131"/>
      <c r="AJ5902" s="132"/>
      <c r="AK5902" s="127"/>
      <c r="AL5902" s="128"/>
      <c r="AM5902" s="21"/>
      <c r="AN5902" s="133">
        <v>46079</v>
      </c>
      <c r="AO5902" s="134"/>
      <c r="AP5902" s="135">
        <v>1320</v>
      </c>
      <c r="AQ5902" s="136"/>
      <c r="AR5902" s="118">
        <v>2805000</v>
      </c>
      <c r="AS5902" s="119"/>
      <c r="AT5902" s="118">
        <f t="shared" ref="AT5902" si="7741">AR5902*0.1</f>
        <v>280500</v>
      </c>
      <c r="AU5902" s="119"/>
      <c r="AV5902" s="118">
        <v>17640</v>
      </c>
      <c r="AW5902" s="119"/>
      <c r="AX5902" s="118">
        <f t="shared" ref="AX5902" si="7742">SUM(AR5902:AW5902)</f>
        <v>3103140</v>
      </c>
      <c r="AY5902" s="119"/>
      <c r="AZ5902" s="137">
        <v>46080</v>
      </c>
    </row>
    <row r="5903" spans="1:52" ht="17.100000000000001" customHeight="1" thickBot="1">
      <c r="A5903" s="110"/>
      <c r="B5903" s="27" t="s">
        <v>1543</v>
      </c>
      <c r="C5903" s="27">
        <v>13050</v>
      </c>
      <c r="D5903" s="14" t="s">
        <v>1700</v>
      </c>
      <c r="E5903" s="112"/>
      <c r="F5903" s="139" t="s">
        <v>17285</v>
      </c>
      <c r="G5903" s="140"/>
      <c r="H5903" s="141"/>
      <c r="I5903" s="26">
        <v>66597</v>
      </c>
      <c r="J5903" s="117"/>
      <c r="K5903" s="120"/>
      <c r="L5903" s="121"/>
      <c r="M5903" s="120"/>
      <c r="N5903" s="121"/>
      <c r="O5903" s="120"/>
      <c r="P5903" s="121"/>
      <c r="Q5903" s="120"/>
      <c r="R5903" s="121"/>
      <c r="S5903" s="120"/>
      <c r="T5903" s="121"/>
      <c r="U5903" s="120"/>
      <c r="V5903" s="123"/>
      <c r="W5903" s="125"/>
      <c r="X5903" s="142" t="s">
        <v>9064</v>
      </c>
      <c r="Y5903" s="143"/>
      <c r="Z5903" s="143"/>
      <c r="AA5903" s="143"/>
      <c r="AB5903" s="144"/>
      <c r="AC5903" s="16" t="s">
        <v>21</v>
      </c>
      <c r="AD5903" s="17" t="s">
        <v>2298</v>
      </c>
      <c r="AE5903" s="145" t="s">
        <v>1742</v>
      </c>
      <c r="AF5903" s="146"/>
      <c r="AG5903" s="146"/>
      <c r="AH5903" s="146"/>
      <c r="AI5903" s="147"/>
      <c r="AJ5903" s="148"/>
      <c r="AK5903" s="143"/>
      <c r="AL5903" s="144"/>
      <c r="AM5903" s="22"/>
      <c r="AN5903" s="149" t="s">
        <v>13663</v>
      </c>
      <c r="AO5903" s="144"/>
      <c r="AP5903" s="148">
        <v>80</v>
      </c>
      <c r="AQ5903" s="144"/>
      <c r="AR5903" s="120"/>
      <c r="AS5903" s="121"/>
      <c r="AT5903" s="120"/>
      <c r="AU5903" s="121"/>
      <c r="AV5903" s="120"/>
      <c r="AW5903" s="121"/>
      <c r="AX5903" s="120"/>
      <c r="AY5903" s="121"/>
      <c r="AZ5903" s="138"/>
    </row>
    <row r="5904" spans="1:52" ht="17.100000000000001" customHeight="1" thickTop="1">
      <c r="A5904" s="109" t="s">
        <v>17127</v>
      </c>
      <c r="B5904" s="28">
        <v>46059</v>
      </c>
      <c r="C5904" s="25">
        <v>2121</v>
      </c>
      <c r="D5904" s="13" t="s">
        <v>859</v>
      </c>
      <c r="E5904" s="111"/>
      <c r="F5904" s="113" t="s">
        <v>17167</v>
      </c>
      <c r="G5904" s="114"/>
      <c r="H5904" s="115"/>
      <c r="I5904" s="24" t="s">
        <v>9224</v>
      </c>
      <c r="J5904" s="116">
        <v>4.5</v>
      </c>
      <c r="K5904" s="118">
        <v>780000</v>
      </c>
      <c r="L5904" s="119"/>
      <c r="M5904" s="118">
        <f t="shared" ref="M5904" si="7743">K5904*0.1</f>
        <v>78000</v>
      </c>
      <c r="N5904" s="119"/>
      <c r="O5904" s="118">
        <v>2200</v>
      </c>
      <c r="P5904" s="119"/>
      <c r="Q5904" s="118">
        <v>12470</v>
      </c>
      <c r="R5904" s="119"/>
      <c r="S5904" s="118">
        <v>16500</v>
      </c>
      <c r="T5904" s="119"/>
      <c r="U5904" s="118">
        <f t="shared" ref="U5904" si="7744">SUM(K5904:T5905)</f>
        <v>889170</v>
      </c>
      <c r="V5904" s="122"/>
      <c r="W5904" s="124"/>
      <c r="X5904" s="126" t="s">
        <v>17287</v>
      </c>
      <c r="Y5904" s="127"/>
      <c r="Z5904" s="127"/>
      <c r="AA5904" s="127"/>
      <c r="AB5904" s="128"/>
      <c r="AC5904" s="15" t="s">
        <v>20</v>
      </c>
      <c r="AD5904" s="129" t="s">
        <v>15223</v>
      </c>
      <c r="AE5904" s="130"/>
      <c r="AF5904" s="130"/>
      <c r="AG5904" s="130"/>
      <c r="AH5904" s="130"/>
      <c r="AI5904" s="131"/>
      <c r="AJ5904" s="132"/>
      <c r="AK5904" s="127"/>
      <c r="AL5904" s="128"/>
      <c r="AM5904" s="21"/>
      <c r="AN5904" s="133">
        <v>46116</v>
      </c>
      <c r="AO5904" s="134"/>
      <c r="AP5904" s="135">
        <v>1295</v>
      </c>
      <c r="AQ5904" s="136"/>
      <c r="AR5904" s="118">
        <v>890000</v>
      </c>
      <c r="AS5904" s="119"/>
      <c r="AT5904" s="118">
        <f t="shared" ref="AT5904" si="7745">AR5904*0.1</f>
        <v>89000</v>
      </c>
      <c r="AU5904" s="119"/>
      <c r="AV5904" s="118">
        <v>12470</v>
      </c>
      <c r="AW5904" s="119"/>
      <c r="AX5904" s="118">
        <f t="shared" ref="AX5904" si="7746">SUM(AR5904:AW5904)</f>
        <v>991470</v>
      </c>
      <c r="AY5904" s="119"/>
      <c r="AZ5904" s="137">
        <v>46119</v>
      </c>
    </row>
    <row r="5905" spans="1:52" ht="17.100000000000001" customHeight="1" thickBot="1">
      <c r="A5905" s="110"/>
      <c r="B5905" s="27" t="s">
        <v>1543</v>
      </c>
      <c r="C5905" s="27">
        <v>13330</v>
      </c>
      <c r="D5905" s="14" t="s">
        <v>1700</v>
      </c>
      <c r="E5905" s="112"/>
      <c r="F5905" s="139" t="s">
        <v>17286</v>
      </c>
      <c r="G5905" s="140"/>
      <c r="H5905" s="141"/>
      <c r="I5905" s="26">
        <v>59544</v>
      </c>
      <c r="J5905" s="117"/>
      <c r="K5905" s="120"/>
      <c r="L5905" s="121"/>
      <c r="M5905" s="120"/>
      <c r="N5905" s="121"/>
      <c r="O5905" s="120"/>
      <c r="P5905" s="121"/>
      <c r="Q5905" s="120"/>
      <c r="R5905" s="121"/>
      <c r="S5905" s="120"/>
      <c r="T5905" s="121"/>
      <c r="U5905" s="120"/>
      <c r="V5905" s="123"/>
      <c r="W5905" s="125"/>
      <c r="X5905" s="142" t="s">
        <v>16918</v>
      </c>
      <c r="Y5905" s="143"/>
      <c r="Z5905" s="143"/>
      <c r="AA5905" s="143"/>
      <c r="AB5905" s="144"/>
      <c r="AC5905" s="16" t="s">
        <v>21</v>
      </c>
      <c r="AD5905" s="17" t="s">
        <v>2298</v>
      </c>
      <c r="AE5905" s="145" t="s">
        <v>1614</v>
      </c>
      <c r="AF5905" s="146"/>
      <c r="AG5905" s="146"/>
      <c r="AH5905" s="146"/>
      <c r="AI5905" s="147"/>
      <c r="AJ5905" s="148"/>
      <c r="AK5905" s="143"/>
      <c r="AL5905" s="144"/>
      <c r="AM5905" s="22"/>
      <c r="AN5905" s="149" t="s">
        <v>2511</v>
      </c>
      <c r="AO5905" s="144"/>
      <c r="AP5905" s="148">
        <v>80065</v>
      </c>
      <c r="AQ5905" s="144"/>
      <c r="AR5905" s="120"/>
      <c r="AS5905" s="121"/>
      <c r="AT5905" s="120"/>
      <c r="AU5905" s="121"/>
      <c r="AV5905" s="120"/>
      <c r="AW5905" s="121"/>
      <c r="AX5905" s="120"/>
      <c r="AY5905" s="121"/>
      <c r="AZ5905" s="138"/>
    </row>
    <row r="5906" spans="1:52" ht="17.100000000000001" customHeight="1" thickTop="1">
      <c r="A5906" s="109" t="s">
        <v>17128</v>
      </c>
      <c r="B5906" s="28">
        <v>46059</v>
      </c>
      <c r="C5906" s="25">
        <v>2121</v>
      </c>
      <c r="D5906" s="13" t="s">
        <v>1803</v>
      </c>
      <c r="E5906" s="111"/>
      <c r="F5906" s="113" t="s">
        <v>17168</v>
      </c>
      <c r="G5906" s="114"/>
      <c r="H5906" s="115"/>
      <c r="I5906" s="24"/>
      <c r="J5906" s="116">
        <v>4.5</v>
      </c>
      <c r="K5906" s="118">
        <v>1350000</v>
      </c>
      <c r="L5906" s="119"/>
      <c r="M5906" s="118">
        <f t="shared" ref="M5906" si="7747">K5906*0.1</f>
        <v>135000</v>
      </c>
      <c r="N5906" s="119"/>
      <c r="O5906" s="118">
        <v>0</v>
      </c>
      <c r="P5906" s="119"/>
      <c r="Q5906" s="118">
        <v>19090</v>
      </c>
      <c r="R5906" s="119"/>
      <c r="S5906" s="118">
        <v>16500</v>
      </c>
      <c r="T5906" s="119"/>
      <c r="U5906" s="118">
        <f t="shared" ref="U5906" si="7748">SUM(K5906:T5907)</f>
        <v>1520590</v>
      </c>
      <c r="V5906" s="122"/>
      <c r="W5906" s="124"/>
      <c r="X5906" s="126" t="s">
        <v>17676</v>
      </c>
      <c r="Y5906" s="127"/>
      <c r="Z5906" s="127"/>
      <c r="AA5906" s="127"/>
      <c r="AB5906" s="128"/>
      <c r="AC5906" s="15" t="s">
        <v>20</v>
      </c>
      <c r="AD5906" s="129"/>
      <c r="AE5906" s="130"/>
      <c r="AF5906" s="130"/>
      <c r="AG5906" s="130"/>
      <c r="AH5906" s="130"/>
      <c r="AI5906" s="131"/>
      <c r="AJ5906" s="132"/>
      <c r="AK5906" s="127"/>
      <c r="AL5906" s="128"/>
      <c r="AM5906" s="21"/>
      <c r="AN5906" s="133">
        <v>46072</v>
      </c>
      <c r="AO5906" s="134"/>
      <c r="AP5906" s="135">
        <v>1319</v>
      </c>
      <c r="AQ5906" s="136"/>
      <c r="AR5906" s="118">
        <v>1530000</v>
      </c>
      <c r="AS5906" s="119"/>
      <c r="AT5906" s="118">
        <f t="shared" ref="AT5906" si="7749">AR5906*0.1</f>
        <v>153000</v>
      </c>
      <c r="AU5906" s="119"/>
      <c r="AV5906" s="118">
        <v>19090</v>
      </c>
      <c r="AW5906" s="119"/>
      <c r="AX5906" s="118">
        <f t="shared" ref="AX5906" si="7750">SUM(AR5906:AW5906)</f>
        <v>1702090</v>
      </c>
      <c r="AY5906" s="119"/>
      <c r="AZ5906" s="137">
        <v>46073</v>
      </c>
    </row>
    <row r="5907" spans="1:52" ht="17.100000000000001" customHeight="1" thickBot="1">
      <c r="A5907" s="110"/>
      <c r="B5907" s="27" t="s">
        <v>1543</v>
      </c>
      <c r="C5907" s="27">
        <v>58218</v>
      </c>
      <c r="D5907" s="14" t="s">
        <v>1601</v>
      </c>
      <c r="E5907" s="112"/>
      <c r="F5907" s="139" t="s">
        <v>17288</v>
      </c>
      <c r="G5907" s="140"/>
      <c r="H5907" s="141"/>
      <c r="I5907" s="26">
        <v>48174</v>
      </c>
      <c r="J5907" s="117"/>
      <c r="K5907" s="120"/>
      <c r="L5907" s="121"/>
      <c r="M5907" s="120"/>
      <c r="N5907" s="121"/>
      <c r="O5907" s="120"/>
      <c r="P5907" s="121"/>
      <c r="Q5907" s="120"/>
      <c r="R5907" s="121"/>
      <c r="S5907" s="120"/>
      <c r="T5907" s="121"/>
      <c r="U5907" s="120"/>
      <c r="V5907" s="123"/>
      <c r="W5907" s="125"/>
      <c r="X5907" s="142" t="s">
        <v>5052</v>
      </c>
      <c r="Y5907" s="143"/>
      <c r="Z5907" s="143"/>
      <c r="AA5907" s="143"/>
      <c r="AB5907" s="144"/>
      <c r="AC5907" s="16" t="s">
        <v>21</v>
      </c>
      <c r="AD5907" s="17" t="s">
        <v>2298</v>
      </c>
      <c r="AE5907" s="145" t="s">
        <v>1614</v>
      </c>
      <c r="AF5907" s="146"/>
      <c r="AG5907" s="146"/>
      <c r="AH5907" s="146"/>
      <c r="AI5907" s="147"/>
      <c r="AJ5907" s="148"/>
      <c r="AK5907" s="143"/>
      <c r="AL5907" s="144"/>
      <c r="AM5907" s="22"/>
      <c r="AN5907" s="149" t="s">
        <v>14586</v>
      </c>
      <c r="AO5907" s="144"/>
      <c r="AP5907" s="148" t="s">
        <v>18266</v>
      </c>
      <c r="AQ5907" s="144"/>
      <c r="AR5907" s="120"/>
      <c r="AS5907" s="121"/>
      <c r="AT5907" s="120"/>
      <c r="AU5907" s="121"/>
      <c r="AV5907" s="120"/>
      <c r="AW5907" s="121"/>
      <c r="AX5907" s="120"/>
      <c r="AY5907" s="121"/>
      <c r="AZ5907" s="138"/>
    </row>
    <row r="5908" spans="1:52" ht="17.100000000000001" customHeight="1" thickTop="1">
      <c r="A5908" s="109" t="s">
        <v>17129</v>
      </c>
      <c r="B5908" s="28">
        <v>46059</v>
      </c>
      <c r="C5908" s="25">
        <v>2121</v>
      </c>
      <c r="D5908" s="13" t="s">
        <v>3296</v>
      </c>
      <c r="E5908" s="111"/>
      <c r="F5908" s="113" t="s">
        <v>17169</v>
      </c>
      <c r="G5908" s="114"/>
      <c r="H5908" s="115"/>
      <c r="I5908" s="24" t="s">
        <v>17290</v>
      </c>
      <c r="J5908" s="116">
        <v>4.5</v>
      </c>
      <c r="K5908" s="118">
        <v>1030000</v>
      </c>
      <c r="L5908" s="119"/>
      <c r="M5908" s="118">
        <f t="shared" ref="M5908" si="7751">K5908*0.1</f>
        <v>103000</v>
      </c>
      <c r="N5908" s="119"/>
      <c r="O5908" s="118">
        <v>3520</v>
      </c>
      <c r="P5908" s="119"/>
      <c r="Q5908" s="118">
        <v>17800</v>
      </c>
      <c r="R5908" s="119"/>
      <c r="S5908" s="118">
        <v>16500</v>
      </c>
      <c r="T5908" s="119"/>
      <c r="U5908" s="118">
        <f t="shared" ref="U5908" si="7752">SUM(K5908:T5909)</f>
        <v>1170820</v>
      </c>
      <c r="V5908" s="122"/>
      <c r="W5908" s="124"/>
      <c r="X5908" s="126" t="s">
        <v>17291</v>
      </c>
      <c r="Y5908" s="127"/>
      <c r="Z5908" s="127"/>
      <c r="AA5908" s="127"/>
      <c r="AB5908" s="128"/>
      <c r="AC5908" s="15" t="s">
        <v>20</v>
      </c>
      <c r="AD5908" s="129" t="s">
        <v>4435</v>
      </c>
      <c r="AE5908" s="130"/>
      <c r="AF5908" s="130"/>
      <c r="AG5908" s="130"/>
      <c r="AH5908" s="130"/>
      <c r="AI5908" s="131"/>
      <c r="AJ5908" s="132"/>
      <c r="AK5908" s="127"/>
      <c r="AL5908" s="128"/>
      <c r="AM5908" s="21"/>
      <c r="AN5908" s="133">
        <v>46072</v>
      </c>
      <c r="AO5908" s="134"/>
      <c r="AP5908" s="135">
        <v>1319</v>
      </c>
      <c r="AQ5908" s="136"/>
      <c r="AR5908" s="118">
        <v>1145000</v>
      </c>
      <c r="AS5908" s="119"/>
      <c r="AT5908" s="118">
        <f t="shared" ref="AT5908" si="7753">AR5908*0.1</f>
        <v>114500</v>
      </c>
      <c r="AU5908" s="119"/>
      <c r="AV5908" s="118">
        <v>17800</v>
      </c>
      <c r="AW5908" s="119"/>
      <c r="AX5908" s="118">
        <f t="shared" ref="AX5908" si="7754">SUM(AR5908:AW5908)</f>
        <v>1277300</v>
      </c>
      <c r="AY5908" s="119"/>
      <c r="AZ5908" s="137">
        <v>46073</v>
      </c>
    </row>
    <row r="5909" spans="1:52" ht="17.100000000000001" customHeight="1" thickBot="1">
      <c r="A5909" s="110"/>
      <c r="B5909" s="27" t="s">
        <v>1543</v>
      </c>
      <c r="C5909" s="27">
        <v>58473</v>
      </c>
      <c r="D5909" s="14" t="s">
        <v>133</v>
      </c>
      <c r="E5909" s="112"/>
      <c r="F5909" s="139" t="s">
        <v>17289</v>
      </c>
      <c r="G5909" s="140"/>
      <c r="H5909" s="141"/>
      <c r="I5909" s="26">
        <v>60093</v>
      </c>
      <c r="J5909" s="117"/>
      <c r="K5909" s="120"/>
      <c r="L5909" s="121"/>
      <c r="M5909" s="120"/>
      <c r="N5909" s="121"/>
      <c r="O5909" s="120"/>
      <c r="P5909" s="121"/>
      <c r="Q5909" s="120"/>
      <c r="R5909" s="121"/>
      <c r="S5909" s="120"/>
      <c r="T5909" s="121"/>
      <c r="U5909" s="120"/>
      <c r="V5909" s="123"/>
      <c r="W5909" s="125"/>
      <c r="X5909" s="142" t="s">
        <v>9865</v>
      </c>
      <c r="Y5909" s="143"/>
      <c r="Z5909" s="143"/>
      <c r="AA5909" s="143"/>
      <c r="AB5909" s="144"/>
      <c r="AC5909" s="16" t="s">
        <v>21</v>
      </c>
      <c r="AD5909" s="17" t="s">
        <v>2298</v>
      </c>
      <c r="AE5909" s="145" t="s">
        <v>1742</v>
      </c>
      <c r="AF5909" s="146"/>
      <c r="AG5909" s="146"/>
      <c r="AH5909" s="146"/>
      <c r="AI5909" s="147"/>
      <c r="AJ5909" s="148"/>
      <c r="AK5909" s="143"/>
      <c r="AL5909" s="144"/>
      <c r="AM5909" s="22"/>
      <c r="AN5909" s="149" t="s">
        <v>13663</v>
      </c>
      <c r="AO5909" s="144"/>
      <c r="AP5909" s="148">
        <v>101</v>
      </c>
      <c r="AQ5909" s="144"/>
      <c r="AR5909" s="120"/>
      <c r="AS5909" s="121"/>
      <c r="AT5909" s="120"/>
      <c r="AU5909" s="121"/>
      <c r="AV5909" s="120"/>
      <c r="AW5909" s="121"/>
      <c r="AX5909" s="120"/>
      <c r="AY5909" s="121"/>
      <c r="AZ5909" s="138"/>
    </row>
    <row r="5910" spans="1:52" ht="17.100000000000001" customHeight="1" thickTop="1">
      <c r="A5910" s="109" t="s">
        <v>17130</v>
      </c>
      <c r="B5910" s="28">
        <v>46059</v>
      </c>
      <c r="C5910" s="25">
        <v>1405</v>
      </c>
      <c r="D5910" s="13" t="s">
        <v>17292</v>
      </c>
      <c r="E5910" s="111"/>
      <c r="F5910" s="113" t="s">
        <v>7582</v>
      </c>
      <c r="G5910" s="114"/>
      <c r="H5910" s="115"/>
      <c r="I5910" s="24" t="s">
        <v>17294</v>
      </c>
      <c r="J5910" s="116">
        <v>3.5</v>
      </c>
      <c r="K5910" s="118">
        <v>215000</v>
      </c>
      <c r="L5910" s="119"/>
      <c r="M5910" s="118">
        <f t="shared" ref="M5910" si="7755">K5910*0.1</f>
        <v>21500</v>
      </c>
      <c r="N5910" s="119"/>
      <c r="O5910" s="118">
        <v>0</v>
      </c>
      <c r="P5910" s="119"/>
      <c r="Q5910" s="118">
        <v>8460</v>
      </c>
      <c r="R5910" s="119"/>
      <c r="S5910" s="118">
        <v>15400</v>
      </c>
      <c r="T5910" s="119"/>
      <c r="U5910" s="118">
        <f t="shared" ref="U5910" si="7756">SUM(K5910:T5911)</f>
        <v>260360</v>
      </c>
      <c r="V5910" s="122"/>
      <c r="W5910" s="124"/>
      <c r="X5910" s="126" t="s">
        <v>17743</v>
      </c>
      <c r="Y5910" s="127"/>
      <c r="Z5910" s="127"/>
      <c r="AA5910" s="127"/>
      <c r="AB5910" s="128"/>
      <c r="AC5910" s="15" t="s">
        <v>20</v>
      </c>
      <c r="AD5910" s="129" t="s">
        <v>17295</v>
      </c>
      <c r="AE5910" s="130"/>
      <c r="AF5910" s="130"/>
      <c r="AG5910" s="130"/>
      <c r="AH5910" s="130"/>
      <c r="AI5910" s="131"/>
      <c r="AJ5910" s="132"/>
      <c r="AK5910" s="127"/>
      <c r="AL5910" s="128"/>
      <c r="AM5910" s="21" t="s">
        <v>18088</v>
      </c>
      <c r="AN5910" s="133">
        <v>46078</v>
      </c>
      <c r="AO5910" s="134"/>
      <c r="AP5910" s="135">
        <v>1006</v>
      </c>
      <c r="AQ5910" s="136"/>
      <c r="AR5910" s="118">
        <v>290000</v>
      </c>
      <c r="AS5910" s="119"/>
      <c r="AT5910" s="118">
        <f t="shared" ref="AT5910" si="7757">AR5910*0.1</f>
        <v>29000</v>
      </c>
      <c r="AU5910" s="119"/>
      <c r="AV5910" s="118">
        <v>8460</v>
      </c>
      <c r="AW5910" s="119"/>
      <c r="AX5910" s="118">
        <f t="shared" ref="AX5910" si="7758">SUM(AR5910:AW5910)</f>
        <v>327460</v>
      </c>
      <c r="AY5910" s="119"/>
      <c r="AZ5910" s="137">
        <v>46084</v>
      </c>
    </row>
    <row r="5911" spans="1:52" ht="17.100000000000001" customHeight="1" thickBot="1">
      <c r="A5911" s="110"/>
      <c r="B5911" s="27" t="s">
        <v>2641</v>
      </c>
      <c r="C5911" s="27">
        <v>2156</v>
      </c>
      <c r="D5911" s="14" t="s">
        <v>17293</v>
      </c>
      <c r="E5911" s="112"/>
      <c r="F5911" s="139" t="s">
        <v>17170</v>
      </c>
      <c r="G5911" s="140"/>
      <c r="H5911" s="141"/>
      <c r="I5911" s="26">
        <v>39158</v>
      </c>
      <c r="J5911" s="117"/>
      <c r="K5911" s="120"/>
      <c r="L5911" s="121"/>
      <c r="M5911" s="120"/>
      <c r="N5911" s="121"/>
      <c r="O5911" s="120"/>
      <c r="P5911" s="121"/>
      <c r="Q5911" s="120"/>
      <c r="R5911" s="121"/>
      <c r="S5911" s="120"/>
      <c r="T5911" s="121"/>
      <c r="U5911" s="120"/>
      <c r="V5911" s="123"/>
      <c r="W5911" s="125"/>
      <c r="X5911" s="142" t="s">
        <v>17744</v>
      </c>
      <c r="Y5911" s="143"/>
      <c r="Z5911" s="143"/>
      <c r="AA5911" s="143"/>
      <c r="AB5911" s="144"/>
      <c r="AC5911" s="16" t="s">
        <v>21</v>
      </c>
      <c r="AD5911" s="17" t="s">
        <v>2298</v>
      </c>
      <c r="AE5911" s="145"/>
      <c r="AF5911" s="146"/>
      <c r="AG5911" s="146"/>
      <c r="AH5911" s="146"/>
      <c r="AI5911" s="147"/>
      <c r="AJ5911" s="148"/>
      <c r="AK5911" s="143"/>
      <c r="AL5911" s="144"/>
      <c r="AM5911" s="22"/>
      <c r="AN5911" s="149" t="s">
        <v>7285</v>
      </c>
      <c r="AO5911" s="144"/>
      <c r="AP5911" s="148">
        <v>5206</v>
      </c>
      <c r="AQ5911" s="144"/>
      <c r="AR5911" s="120"/>
      <c r="AS5911" s="121"/>
      <c r="AT5911" s="120"/>
      <c r="AU5911" s="121"/>
      <c r="AV5911" s="120"/>
      <c r="AW5911" s="121"/>
      <c r="AX5911" s="120"/>
      <c r="AY5911" s="121"/>
      <c r="AZ5911" s="138"/>
    </row>
    <row r="5912" spans="1:52" ht="17.100000000000001" customHeight="1" thickTop="1">
      <c r="A5912" s="151" t="s">
        <v>17131</v>
      </c>
      <c r="B5912" s="28">
        <v>46059</v>
      </c>
      <c r="C5912" s="25">
        <v>1405</v>
      </c>
      <c r="D5912" s="13" t="s">
        <v>17296</v>
      </c>
      <c r="E5912" s="111"/>
      <c r="F5912" s="113" t="s">
        <v>15164</v>
      </c>
      <c r="G5912" s="114"/>
      <c r="H5912" s="115"/>
      <c r="I5912" s="24"/>
      <c r="J5912" s="116">
        <v>4.5</v>
      </c>
      <c r="K5912" s="118">
        <v>2754000</v>
      </c>
      <c r="L5912" s="119"/>
      <c r="M5912" s="118">
        <f t="shared" ref="M5912" si="7759">K5912*0.1</f>
        <v>275400</v>
      </c>
      <c r="N5912" s="119"/>
      <c r="O5912" s="118">
        <v>0</v>
      </c>
      <c r="P5912" s="119"/>
      <c r="Q5912" s="118">
        <v>12250</v>
      </c>
      <c r="R5912" s="119"/>
      <c r="S5912" s="118">
        <v>15400</v>
      </c>
      <c r="T5912" s="119"/>
      <c r="U5912" s="118">
        <f t="shared" ref="U5912" si="7760">SUM(K5912:T5913)</f>
        <v>3057050</v>
      </c>
      <c r="V5912" s="122"/>
      <c r="W5912" s="124"/>
      <c r="X5912" s="126" t="s">
        <v>17745</v>
      </c>
      <c r="Y5912" s="127"/>
      <c r="Z5912" s="127"/>
      <c r="AA5912" s="127"/>
      <c r="AB5912" s="128"/>
      <c r="AC5912" s="15" t="s">
        <v>20</v>
      </c>
      <c r="AD5912" s="129"/>
      <c r="AE5912" s="130"/>
      <c r="AF5912" s="130"/>
      <c r="AG5912" s="130"/>
      <c r="AH5912" s="130"/>
      <c r="AI5912" s="131"/>
      <c r="AJ5912" s="132" t="s">
        <v>18315</v>
      </c>
      <c r="AK5912" s="127"/>
      <c r="AL5912" s="128"/>
      <c r="AM5912" s="21"/>
      <c r="AN5912" s="133"/>
      <c r="AO5912" s="134"/>
      <c r="AP5912" s="135"/>
      <c r="AQ5912" s="136"/>
      <c r="AR5912" s="118"/>
      <c r="AS5912" s="119"/>
      <c r="AT5912" s="118">
        <f t="shared" ref="AT5912" si="7761">AR5912*0.1</f>
        <v>0</v>
      </c>
      <c r="AU5912" s="119"/>
      <c r="AV5912" s="118"/>
      <c r="AW5912" s="119"/>
      <c r="AX5912" s="118">
        <f t="shared" ref="AX5912" si="7762">SUM(AR5912:AW5912)</f>
        <v>0</v>
      </c>
      <c r="AY5912" s="119"/>
      <c r="AZ5912" s="137"/>
    </row>
    <row r="5913" spans="1:52" ht="17.100000000000001" customHeight="1" thickBot="1">
      <c r="A5913" s="152"/>
      <c r="B5913" s="27" t="s">
        <v>2641</v>
      </c>
      <c r="C5913" s="27">
        <v>3011</v>
      </c>
      <c r="D5913" s="14" t="s">
        <v>17297</v>
      </c>
      <c r="E5913" s="112"/>
      <c r="F5913" s="139" t="s">
        <v>17171</v>
      </c>
      <c r="G5913" s="140"/>
      <c r="H5913" s="141"/>
      <c r="I5913" s="26">
        <v>25655</v>
      </c>
      <c r="J5913" s="117"/>
      <c r="K5913" s="120"/>
      <c r="L5913" s="121"/>
      <c r="M5913" s="120"/>
      <c r="N5913" s="121"/>
      <c r="O5913" s="120"/>
      <c r="P5913" s="121"/>
      <c r="Q5913" s="120"/>
      <c r="R5913" s="121"/>
      <c r="S5913" s="120"/>
      <c r="T5913" s="121"/>
      <c r="U5913" s="120"/>
      <c r="V5913" s="123"/>
      <c r="W5913" s="125"/>
      <c r="X5913" s="142" t="s">
        <v>11480</v>
      </c>
      <c r="Y5913" s="143"/>
      <c r="Z5913" s="143"/>
      <c r="AA5913" s="143"/>
      <c r="AB5913" s="144"/>
      <c r="AC5913" s="16" t="s">
        <v>21</v>
      </c>
      <c r="AD5913" s="17" t="s">
        <v>2298</v>
      </c>
      <c r="AE5913" s="145"/>
      <c r="AF5913" s="146"/>
      <c r="AG5913" s="146"/>
      <c r="AH5913" s="146"/>
      <c r="AI5913" s="147"/>
      <c r="AJ5913" s="148"/>
      <c r="AK5913" s="143"/>
      <c r="AL5913" s="144"/>
      <c r="AM5913" s="22"/>
      <c r="AN5913" s="149"/>
      <c r="AO5913" s="144"/>
      <c r="AP5913" s="148"/>
      <c r="AQ5913" s="144"/>
      <c r="AR5913" s="120"/>
      <c r="AS5913" s="121"/>
      <c r="AT5913" s="120"/>
      <c r="AU5913" s="121"/>
      <c r="AV5913" s="120"/>
      <c r="AW5913" s="121"/>
      <c r="AX5913" s="120"/>
      <c r="AY5913" s="121"/>
      <c r="AZ5913" s="138"/>
    </row>
    <row r="5914" spans="1:52" ht="17.100000000000001" customHeight="1" thickTop="1">
      <c r="A5914" s="109" t="s">
        <v>17132</v>
      </c>
      <c r="B5914" s="28">
        <v>46059</v>
      </c>
      <c r="C5914" s="25">
        <v>1405</v>
      </c>
      <c r="D5914" s="13" t="s">
        <v>17298</v>
      </c>
      <c r="E5914" s="111"/>
      <c r="F5914" s="113" t="s">
        <v>15293</v>
      </c>
      <c r="G5914" s="114"/>
      <c r="H5914" s="115"/>
      <c r="I5914" s="24" t="s">
        <v>17300</v>
      </c>
      <c r="J5914" s="116">
        <v>4.5</v>
      </c>
      <c r="K5914" s="118">
        <v>2320000</v>
      </c>
      <c r="L5914" s="119"/>
      <c r="M5914" s="118">
        <f t="shared" ref="M5914" si="7763">K5914*0.1</f>
        <v>232000</v>
      </c>
      <c r="N5914" s="119"/>
      <c r="O5914" s="118">
        <v>3300</v>
      </c>
      <c r="P5914" s="119"/>
      <c r="Q5914" s="118">
        <v>15750</v>
      </c>
      <c r="R5914" s="119"/>
      <c r="S5914" s="118">
        <v>19800</v>
      </c>
      <c r="T5914" s="119"/>
      <c r="U5914" s="118">
        <f t="shared" ref="U5914" si="7764">SUM(K5914:T5915)</f>
        <v>2590850</v>
      </c>
      <c r="V5914" s="122"/>
      <c r="W5914" s="124"/>
      <c r="X5914" s="126" t="s">
        <v>17686</v>
      </c>
      <c r="Y5914" s="127"/>
      <c r="Z5914" s="127"/>
      <c r="AA5914" s="127"/>
      <c r="AB5914" s="128"/>
      <c r="AC5914" s="15" t="s">
        <v>20</v>
      </c>
      <c r="AD5914" s="129" t="s">
        <v>17301</v>
      </c>
      <c r="AE5914" s="130"/>
      <c r="AF5914" s="130"/>
      <c r="AG5914" s="130"/>
      <c r="AH5914" s="130"/>
      <c r="AI5914" s="131"/>
      <c r="AJ5914" s="132"/>
      <c r="AK5914" s="127"/>
      <c r="AL5914" s="128"/>
      <c r="AM5914" s="21"/>
      <c r="AN5914" s="133">
        <v>46092</v>
      </c>
      <c r="AO5914" s="134"/>
      <c r="AP5914" s="135">
        <v>1008</v>
      </c>
      <c r="AQ5914" s="136"/>
      <c r="AR5914" s="118">
        <v>2480000</v>
      </c>
      <c r="AS5914" s="119"/>
      <c r="AT5914" s="118">
        <f t="shared" ref="AT5914" si="7765">AR5914*0.1</f>
        <v>248000</v>
      </c>
      <c r="AU5914" s="119"/>
      <c r="AV5914" s="118">
        <v>15750</v>
      </c>
      <c r="AW5914" s="119"/>
      <c r="AX5914" s="118">
        <f t="shared" ref="AX5914" si="7766">SUM(AR5914:AW5914)</f>
        <v>2743750</v>
      </c>
      <c r="AY5914" s="119"/>
      <c r="AZ5914" s="137">
        <v>46098</v>
      </c>
    </row>
    <row r="5915" spans="1:52" ht="17.100000000000001" customHeight="1" thickBot="1">
      <c r="A5915" s="110"/>
      <c r="B5915" s="27" t="s">
        <v>2641</v>
      </c>
      <c r="C5915" s="27">
        <v>3052</v>
      </c>
      <c r="D5915" s="14" t="s">
        <v>17299</v>
      </c>
      <c r="E5915" s="112"/>
      <c r="F5915" s="139" t="s">
        <v>17172</v>
      </c>
      <c r="G5915" s="140"/>
      <c r="H5915" s="141"/>
      <c r="I5915" s="26">
        <v>39652</v>
      </c>
      <c r="J5915" s="117"/>
      <c r="K5915" s="120"/>
      <c r="L5915" s="121"/>
      <c r="M5915" s="120"/>
      <c r="N5915" s="121"/>
      <c r="O5915" s="120"/>
      <c r="P5915" s="121"/>
      <c r="Q5915" s="120"/>
      <c r="R5915" s="121"/>
      <c r="S5915" s="120"/>
      <c r="T5915" s="121"/>
      <c r="U5915" s="120"/>
      <c r="V5915" s="123"/>
      <c r="W5915" s="125"/>
      <c r="X5915" s="142" t="s">
        <v>1594</v>
      </c>
      <c r="Y5915" s="143"/>
      <c r="Z5915" s="143"/>
      <c r="AA5915" s="143"/>
      <c r="AB5915" s="144"/>
      <c r="AC5915" s="16" t="s">
        <v>21</v>
      </c>
      <c r="AD5915" s="17" t="s">
        <v>2298</v>
      </c>
      <c r="AE5915" s="145" t="s">
        <v>1614</v>
      </c>
      <c r="AF5915" s="146"/>
      <c r="AG5915" s="146"/>
      <c r="AH5915" s="146"/>
      <c r="AI5915" s="147"/>
      <c r="AJ5915" s="148"/>
      <c r="AK5915" s="143"/>
      <c r="AL5915" s="144"/>
      <c r="AM5915" s="22"/>
      <c r="AN5915" s="149" t="s">
        <v>19938</v>
      </c>
      <c r="AO5915" s="144"/>
      <c r="AP5915" s="148">
        <v>5026</v>
      </c>
      <c r="AQ5915" s="144"/>
      <c r="AR5915" s="120"/>
      <c r="AS5915" s="121"/>
      <c r="AT5915" s="120"/>
      <c r="AU5915" s="121"/>
      <c r="AV5915" s="120"/>
      <c r="AW5915" s="121"/>
      <c r="AX5915" s="120"/>
      <c r="AY5915" s="121"/>
      <c r="AZ5915" s="138"/>
    </row>
    <row r="5916" spans="1:52" ht="17.100000000000001" customHeight="1" thickTop="1">
      <c r="A5916" s="151" t="s">
        <v>17133</v>
      </c>
      <c r="B5916" s="28">
        <v>46059</v>
      </c>
      <c r="C5916" s="25">
        <v>1405</v>
      </c>
      <c r="D5916" s="13" t="s">
        <v>17302</v>
      </c>
      <c r="E5916" s="111"/>
      <c r="F5916" s="113" t="s">
        <v>15204</v>
      </c>
      <c r="G5916" s="114"/>
      <c r="H5916" s="115"/>
      <c r="I5916" s="24"/>
      <c r="J5916" s="116">
        <v>4</v>
      </c>
      <c r="K5916" s="118">
        <v>549000</v>
      </c>
      <c r="L5916" s="119"/>
      <c r="M5916" s="118">
        <f t="shared" ref="M5916" si="7767">K5916*0.1</f>
        <v>54900</v>
      </c>
      <c r="N5916" s="119"/>
      <c r="O5916" s="118">
        <v>0</v>
      </c>
      <c r="P5916" s="119"/>
      <c r="Q5916" s="118">
        <v>7950</v>
      </c>
      <c r="R5916" s="119"/>
      <c r="S5916" s="118">
        <v>15400</v>
      </c>
      <c r="T5916" s="119"/>
      <c r="U5916" s="118">
        <f t="shared" ref="U5916" si="7768">SUM(K5916:T5917)</f>
        <v>627250</v>
      </c>
      <c r="V5916" s="122"/>
      <c r="W5916" s="124"/>
      <c r="X5916" s="126" t="s">
        <v>17746</v>
      </c>
      <c r="Y5916" s="127"/>
      <c r="Z5916" s="127"/>
      <c r="AA5916" s="127"/>
      <c r="AB5916" s="128"/>
      <c r="AC5916" s="15" t="s">
        <v>20</v>
      </c>
      <c r="AD5916" s="129"/>
      <c r="AE5916" s="130"/>
      <c r="AF5916" s="130"/>
      <c r="AG5916" s="130"/>
      <c r="AH5916" s="130"/>
      <c r="AI5916" s="131"/>
      <c r="AJ5916" s="132" t="s">
        <v>18315</v>
      </c>
      <c r="AK5916" s="127"/>
      <c r="AL5916" s="128"/>
      <c r="AM5916" s="21"/>
      <c r="AN5916" s="133"/>
      <c r="AO5916" s="134"/>
      <c r="AP5916" s="135"/>
      <c r="AQ5916" s="136"/>
      <c r="AR5916" s="118"/>
      <c r="AS5916" s="119"/>
      <c r="AT5916" s="118">
        <f t="shared" ref="AT5916" si="7769">AR5916*0.1</f>
        <v>0</v>
      </c>
      <c r="AU5916" s="119"/>
      <c r="AV5916" s="118"/>
      <c r="AW5916" s="119"/>
      <c r="AX5916" s="118">
        <f t="shared" ref="AX5916" si="7770">SUM(AR5916:AW5916)</f>
        <v>0</v>
      </c>
      <c r="AY5916" s="119"/>
      <c r="AZ5916" s="137"/>
    </row>
    <row r="5917" spans="1:52" ht="16.5" customHeight="1" thickBot="1">
      <c r="A5917" s="152"/>
      <c r="B5917" s="27" t="s">
        <v>2641</v>
      </c>
      <c r="C5917" s="27">
        <v>3097</v>
      </c>
      <c r="D5917" s="14" t="s">
        <v>17303</v>
      </c>
      <c r="E5917" s="112"/>
      <c r="F5917" s="139" t="s">
        <v>17173</v>
      </c>
      <c r="G5917" s="140"/>
      <c r="H5917" s="141"/>
      <c r="I5917" s="26">
        <v>53314</v>
      </c>
      <c r="J5917" s="117"/>
      <c r="K5917" s="120"/>
      <c r="L5917" s="121"/>
      <c r="M5917" s="120"/>
      <c r="N5917" s="121"/>
      <c r="O5917" s="120"/>
      <c r="P5917" s="121"/>
      <c r="Q5917" s="120"/>
      <c r="R5917" s="121"/>
      <c r="S5917" s="120"/>
      <c r="T5917" s="121"/>
      <c r="U5917" s="120"/>
      <c r="V5917" s="123"/>
      <c r="W5917" s="125"/>
      <c r="X5917" s="142" t="s">
        <v>16600</v>
      </c>
      <c r="Y5917" s="143"/>
      <c r="Z5917" s="143"/>
      <c r="AA5917" s="143"/>
      <c r="AB5917" s="144"/>
      <c r="AC5917" s="16" t="s">
        <v>21</v>
      </c>
      <c r="AD5917" s="17" t="s">
        <v>2298</v>
      </c>
      <c r="AE5917" s="145"/>
      <c r="AF5917" s="146"/>
      <c r="AG5917" s="146"/>
      <c r="AH5917" s="146"/>
      <c r="AI5917" s="147"/>
      <c r="AJ5917" s="148"/>
      <c r="AK5917" s="143"/>
      <c r="AL5917" s="144"/>
      <c r="AM5917" s="22"/>
      <c r="AN5917" s="149"/>
      <c r="AO5917" s="144"/>
      <c r="AP5917" s="148"/>
      <c r="AQ5917" s="144"/>
      <c r="AR5917" s="120"/>
      <c r="AS5917" s="121"/>
      <c r="AT5917" s="120"/>
      <c r="AU5917" s="121"/>
      <c r="AV5917" s="120"/>
      <c r="AW5917" s="121"/>
      <c r="AX5917" s="120"/>
      <c r="AY5917" s="121"/>
      <c r="AZ5917" s="138"/>
    </row>
    <row r="5918" spans="1:52" ht="17.100000000000001" customHeight="1" thickTop="1">
      <c r="A5918" s="109" t="s">
        <v>17134</v>
      </c>
      <c r="B5918" s="28">
        <v>46059</v>
      </c>
      <c r="C5918" s="25">
        <v>1405</v>
      </c>
      <c r="D5918" s="13" t="s">
        <v>17304</v>
      </c>
      <c r="E5918" s="111"/>
      <c r="F5918" s="113" t="s">
        <v>17174</v>
      </c>
      <c r="G5918" s="114"/>
      <c r="H5918" s="115"/>
      <c r="I5918" s="24" t="s">
        <v>17305</v>
      </c>
      <c r="J5918" s="116">
        <v>4</v>
      </c>
      <c r="K5918" s="118">
        <v>539000</v>
      </c>
      <c r="L5918" s="119"/>
      <c r="M5918" s="118">
        <f t="shared" ref="M5918" si="7771">K5918*0.1</f>
        <v>53900</v>
      </c>
      <c r="N5918" s="119"/>
      <c r="O5918" s="118">
        <v>0</v>
      </c>
      <c r="P5918" s="119"/>
      <c r="Q5918" s="118">
        <v>9790</v>
      </c>
      <c r="R5918" s="119"/>
      <c r="S5918" s="118">
        <v>15400</v>
      </c>
      <c r="T5918" s="119"/>
      <c r="U5918" s="118">
        <f t="shared" ref="U5918" si="7772">SUM(K5918:T5919)</f>
        <v>618090</v>
      </c>
      <c r="V5918" s="122"/>
      <c r="W5918" s="124"/>
      <c r="X5918" s="126" t="s">
        <v>17732</v>
      </c>
      <c r="Y5918" s="127"/>
      <c r="Z5918" s="127"/>
      <c r="AA5918" s="127"/>
      <c r="AB5918" s="128"/>
      <c r="AC5918" s="15" t="s">
        <v>20</v>
      </c>
      <c r="AD5918" s="129" t="s">
        <v>17306</v>
      </c>
      <c r="AE5918" s="130"/>
      <c r="AF5918" s="130"/>
      <c r="AG5918" s="130"/>
      <c r="AH5918" s="130"/>
      <c r="AI5918" s="131"/>
      <c r="AJ5918" s="132"/>
      <c r="AK5918" s="127"/>
      <c r="AL5918" s="128"/>
      <c r="AM5918" s="21"/>
      <c r="AN5918" s="133">
        <v>46078</v>
      </c>
      <c r="AO5918" s="134"/>
      <c r="AP5918" s="135">
        <v>1006</v>
      </c>
      <c r="AQ5918" s="136"/>
      <c r="AR5918" s="118">
        <v>620000</v>
      </c>
      <c r="AS5918" s="119"/>
      <c r="AT5918" s="118">
        <f t="shared" ref="AT5918" si="7773">AR5918*0.1</f>
        <v>62000</v>
      </c>
      <c r="AU5918" s="119"/>
      <c r="AV5918" s="118">
        <v>9790</v>
      </c>
      <c r="AW5918" s="119"/>
      <c r="AX5918" s="118">
        <f t="shared" ref="AX5918" si="7774">SUM(AR5918:AW5918)</f>
        <v>691790</v>
      </c>
      <c r="AY5918" s="119"/>
      <c r="AZ5918" s="137">
        <v>46083</v>
      </c>
    </row>
    <row r="5919" spans="1:52" ht="17.100000000000001" customHeight="1" thickBot="1">
      <c r="A5919" s="110"/>
      <c r="B5919" s="27" t="s">
        <v>2641</v>
      </c>
      <c r="C5919" s="27">
        <v>3108</v>
      </c>
      <c r="D5919" s="14" t="s">
        <v>1700</v>
      </c>
      <c r="E5919" s="112"/>
      <c r="F5919" s="139" t="s">
        <v>17175</v>
      </c>
      <c r="G5919" s="140"/>
      <c r="H5919" s="141"/>
      <c r="I5919" s="26">
        <v>49997</v>
      </c>
      <c r="J5919" s="117"/>
      <c r="K5919" s="120"/>
      <c r="L5919" s="121"/>
      <c r="M5919" s="120"/>
      <c r="N5919" s="121"/>
      <c r="O5919" s="120"/>
      <c r="P5919" s="121"/>
      <c r="Q5919" s="120"/>
      <c r="R5919" s="121"/>
      <c r="S5919" s="120"/>
      <c r="T5919" s="121"/>
      <c r="U5919" s="120"/>
      <c r="V5919" s="123"/>
      <c r="W5919" s="125"/>
      <c r="X5919" s="142" t="s">
        <v>17733</v>
      </c>
      <c r="Y5919" s="143"/>
      <c r="Z5919" s="143"/>
      <c r="AA5919" s="143"/>
      <c r="AB5919" s="144"/>
      <c r="AC5919" s="16" t="s">
        <v>21</v>
      </c>
      <c r="AD5919" s="17" t="s">
        <v>2298</v>
      </c>
      <c r="AE5919" s="145" t="s">
        <v>10734</v>
      </c>
      <c r="AF5919" s="146"/>
      <c r="AG5919" s="146"/>
      <c r="AH5919" s="146"/>
      <c r="AI5919" s="147"/>
      <c r="AJ5919" s="148"/>
      <c r="AK5919" s="143"/>
      <c r="AL5919" s="144"/>
      <c r="AM5919" s="22"/>
      <c r="AN5919" s="149" t="s">
        <v>7285</v>
      </c>
      <c r="AO5919" s="144"/>
      <c r="AP5919" s="148">
        <v>2035</v>
      </c>
      <c r="AQ5919" s="144"/>
      <c r="AR5919" s="120"/>
      <c r="AS5919" s="121"/>
      <c r="AT5919" s="120"/>
      <c r="AU5919" s="121"/>
      <c r="AV5919" s="120"/>
      <c r="AW5919" s="121"/>
      <c r="AX5919" s="120"/>
      <c r="AY5919" s="121"/>
      <c r="AZ5919" s="138"/>
    </row>
    <row r="5920" spans="1:52" ht="17.100000000000001" customHeight="1" thickTop="1">
      <c r="A5920" s="109" t="s">
        <v>17135</v>
      </c>
      <c r="B5920" s="28">
        <v>46059</v>
      </c>
      <c r="C5920" s="25">
        <v>1405</v>
      </c>
      <c r="D5920" s="13" t="s">
        <v>17307</v>
      </c>
      <c r="E5920" s="111"/>
      <c r="F5920" s="113" t="s">
        <v>17176</v>
      </c>
      <c r="G5920" s="114"/>
      <c r="H5920" s="115"/>
      <c r="I5920" s="24"/>
      <c r="J5920" s="116">
        <v>4.5</v>
      </c>
      <c r="K5920" s="118">
        <v>1304000</v>
      </c>
      <c r="L5920" s="119"/>
      <c r="M5920" s="118">
        <f t="shared" ref="M5920" si="7775">K5920*0.1</f>
        <v>130400</v>
      </c>
      <c r="N5920" s="119"/>
      <c r="O5920" s="118">
        <v>0</v>
      </c>
      <c r="P5920" s="119"/>
      <c r="Q5920" s="118">
        <v>7790</v>
      </c>
      <c r="R5920" s="119"/>
      <c r="S5920" s="118">
        <v>15400</v>
      </c>
      <c r="T5920" s="119"/>
      <c r="U5920" s="118">
        <f t="shared" ref="U5920" si="7776">SUM(K5920:T5921)</f>
        <v>1457590</v>
      </c>
      <c r="V5920" s="122"/>
      <c r="W5920" s="124"/>
      <c r="X5920" s="126" t="s">
        <v>17734</v>
      </c>
      <c r="Y5920" s="127"/>
      <c r="Z5920" s="127"/>
      <c r="AA5920" s="127"/>
      <c r="AB5920" s="128"/>
      <c r="AC5920" s="15" t="s">
        <v>20</v>
      </c>
      <c r="AD5920" s="129" t="s">
        <v>17309</v>
      </c>
      <c r="AE5920" s="130"/>
      <c r="AF5920" s="130"/>
      <c r="AG5920" s="130"/>
      <c r="AH5920" s="130"/>
      <c r="AI5920" s="131"/>
      <c r="AJ5920" s="132"/>
      <c r="AK5920" s="127"/>
      <c r="AL5920" s="128"/>
      <c r="AM5920" s="21"/>
      <c r="AN5920" s="133">
        <v>46109</v>
      </c>
      <c r="AO5920" s="134"/>
      <c r="AP5920" s="135">
        <v>1294</v>
      </c>
      <c r="AQ5920" s="136"/>
      <c r="AR5920" s="118">
        <v>1360000</v>
      </c>
      <c r="AS5920" s="119"/>
      <c r="AT5920" s="118">
        <f t="shared" ref="AT5920" si="7777">AR5920*0.1</f>
        <v>136000</v>
      </c>
      <c r="AU5920" s="119"/>
      <c r="AV5920" s="118">
        <v>7790</v>
      </c>
      <c r="AW5920" s="119"/>
      <c r="AX5920" s="118">
        <f t="shared" ref="AX5920" si="7778">SUM(AR5920:AW5920)</f>
        <v>1503790</v>
      </c>
      <c r="AY5920" s="119"/>
      <c r="AZ5920" s="137">
        <v>46112</v>
      </c>
    </row>
    <row r="5921" spans="1:52" ht="17.100000000000001" customHeight="1" thickBot="1">
      <c r="A5921" s="110"/>
      <c r="B5921" s="27" t="s">
        <v>2641</v>
      </c>
      <c r="C5921" s="27">
        <v>3109</v>
      </c>
      <c r="D5921" s="14" t="s">
        <v>17308</v>
      </c>
      <c r="E5921" s="112"/>
      <c r="F5921" s="139" t="s">
        <v>17177</v>
      </c>
      <c r="G5921" s="140"/>
      <c r="H5921" s="141"/>
      <c r="I5921" s="26">
        <v>34520</v>
      </c>
      <c r="J5921" s="117"/>
      <c r="K5921" s="120"/>
      <c r="L5921" s="121"/>
      <c r="M5921" s="120"/>
      <c r="N5921" s="121"/>
      <c r="O5921" s="120"/>
      <c r="P5921" s="121"/>
      <c r="Q5921" s="120"/>
      <c r="R5921" s="121"/>
      <c r="S5921" s="120"/>
      <c r="T5921" s="121"/>
      <c r="U5921" s="120"/>
      <c r="V5921" s="123"/>
      <c r="W5921" s="125"/>
      <c r="X5921" s="142" t="s">
        <v>17735</v>
      </c>
      <c r="Y5921" s="143"/>
      <c r="Z5921" s="143"/>
      <c r="AA5921" s="143"/>
      <c r="AB5921" s="144"/>
      <c r="AC5921" s="16" t="s">
        <v>21</v>
      </c>
      <c r="AD5921" s="17" t="s">
        <v>2298</v>
      </c>
      <c r="AE5921" s="145" t="s">
        <v>1742</v>
      </c>
      <c r="AF5921" s="146"/>
      <c r="AG5921" s="146"/>
      <c r="AH5921" s="146"/>
      <c r="AI5921" s="147"/>
      <c r="AJ5921" s="148"/>
      <c r="AK5921" s="143"/>
      <c r="AL5921" s="144"/>
      <c r="AM5921" s="22"/>
      <c r="AN5921" s="149" t="s">
        <v>21802</v>
      </c>
      <c r="AO5921" s="144"/>
      <c r="AP5921" s="148">
        <v>60069</v>
      </c>
      <c r="AQ5921" s="144"/>
      <c r="AR5921" s="120"/>
      <c r="AS5921" s="121"/>
      <c r="AT5921" s="120"/>
      <c r="AU5921" s="121"/>
      <c r="AV5921" s="120"/>
      <c r="AW5921" s="121"/>
      <c r="AX5921" s="120"/>
      <c r="AY5921" s="121"/>
      <c r="AZ5921" s="138"/>
    </row>
    <row r="5922" spans="1:52" ht="17.100000000000001" customHeight="1" thickTop="1">
      <c r="A5922" s="151" t="s">
        <v>17136</v>
      </c>
      <c r="B5922" s="28">
        <v>46059</v>
      </c>
      <c r="C5922" s="25">
        <v>1405</v>
      </c>
      <c r="D5922" s="13" t="s">
        <v>17310</v>
      </c>
      <c r="E5922" s="111"/>
      <c r="F5922" s="113" t="s">
        <v>17178</v>
      </c>
      <c r="G5922" s="114"/>
      <c r="H5922" s="115"/>
      <c r="I5922" s="24" t="s">
        <v>17311</v>
      </c>
      <c r="J5922" s="116">
        <v>4</v>
      </c>
      <c r="K5922" s="118">
        <v>453000</v>
      </c>
      <c r="L5922" s="119"/>
      <c r="M5922" s="118">
        <f t="shared" ref="M5922" si="7779">K5922*0.1</f>
        <v>45300</v>
      </c>
      <c r="N5922" s="119"/>
      <c r="O5922" s="118">
        <v>0</v>
      </c>
      <c r="P5922" s="119"/>
      <c r="Q5922" s="118">
        <v>8230</v>
      </c>
      <c r="R5922" s="119"/>
      <c r="S5922" s="118">
        <v>15400</v>
      </c>
      <c r="T5922" s="119"/>
      <c r="U5922" s="118">
        <f t="shared" ref="U5922" si="7780">SUM(K5922:T5923)</f>
        <v>521930</v>
      </c>
      <c r="V5922" s="122"/>
      <c r="W5922" s="124"/>
      <c r="X5922" s="126" t="s">
        <v>17741</v>
      </c>
      <c r="Y5922" s="127"/>
      <c r="Z5922" s="127"/>
      <c r="AA5922" s="127"/>
      <c r="AB5922" s="128"/>
      <c r="AC5922" s="15" t="s">
        <v>20</v>
      </c>
      <c r="AD5922" s="129"/>
      <c r="AE5922" s="130"/>
      <c r="AF5922" s="130"/>
      <c r="AG5922" s="130"/>
      <c r="AH5922" s="130"/>
      <c r="AI5922" s="131"/>
      <c r="AJ5922" s="132" t="s">
        <v>18315</v>
      </c>
      <c r="AK5922" s="127"/>
      <c r="AL5922" s="128"/>
      <c r="AM5922" s="21"/>
      <c r="AN5922" s="133"/>
      <c r="AO5922" s="134"/>
      <c r="AP5922" s="135"/>
      <c r="AQ5922" s="136"/>
      <c r="AR5922" s="118"/>
      <c r="AS5922" s="119"/>
      <c r="AT5922" s="118">
        <f t="shared" ref="AT5922" si="7781">AR5922*0.1</f>
        <v>0</v>
      </c>
      <c r="AU5922" s="119"/>
      <c r="AV5922" s="118"/>
      <c r="AW5922" s="119"/>
      <c r="AX5922" s="118">
        <f t="shared" ref="AX5922" si="7782">SUM(AR5922:AW5922)</f>
        <v>0</v>
      </c>
      <c r="AY5922" s="119"/>
      <c r="AZ5922" s="137"/>
    </row>
    <row r="5923" spans="1:52" ht="17.100000000000001" customHeight="1" thickBot="1">
      <c r="A5923" s="152"/>
      <c r="B5923" s="27" t="s">
        <v>2641</v>
      </c>
      <c r="C5923" s="27">
        <v>3161</v>
      </c>
      <c r="D5923" s="14" t="s">
        <v>2601</v>
      </c>
      <c r="E5923" s="112"/>
      <c r="F5923" s="139" t="s">
        <v>17179</v>
      </c>
      <c r="G5923" s="140"/>
      <c r="H5923" s="141"/>
      <c r="I5923" s="26">
        <v>76540</v>
      </c>
      <c r="J5923" s="117"/>
      <c r="K5923" s="120"/>
      <c r="L5923" s="121"/>
      <c r="M5923" s="120"/>
      <c r="N5923" s="121"/>
      <c r="O5923" s="120"/>
      <c r="P5923" s="121"/>
      <c r="Q5923" s="120"/>
      <c r="R5923" s="121"/>
      <c r="S5923" s="120"/>
      <c r="T5923" s="121"/>
      <c r="U5923" s="120"/>
      <c r="V5923" s="123"/>
      <c r="W5923" s="125"/>
      <c r="X5923" s="142" t="s">
        <v>17742</v>
      </c>
      <c r="Y5923" s="143"/>
      <c r="Z5923" s="143"/>
      <c r="AA5923" s="143"/>
      <c r="AB5923" s="144"/>
      <c r="AC5923" s="16" t="s">
        <v>21</v>
      </c>
      <c r="AD5923" s="17" t="s">
        <v>2298</v>
      </c>
      <c r="AE5923" s="145" t="s">
        <v>1581</v>
      </c>
      <c r="AF5923" s="146"/>
      <c r="AG5923" s="146"/>
      <c r="AH5923" s="146"/>
      <c r="AI5923" s="147"/>
      <c r="AJ5923" s="148"/>
      <c r="AK5923" s="143"/>
      <c r="AL5923" s="144"/>
      <c r="AM5923" s="22"/>
      <c r="AN5923" s="149"/>
      <c r="AO5923" s="144"/>
      <c r="AP5923" s="148"/>
      <c r="AQ5923" s="144"/>
      <c r="AR5923" s="120"/>
      <c r="AS5923" s="121"/>
      <c r="AT5923" s="120"/>
      <c r="AU5923" s="121"/>
      <c r="AV5923" s="120"/>
      <c r="AW5923" s="121"/>
      <c r="AX5923" s="120"/>
      <c r="AY5923" s="121"/>
      <c r="AZ5923" s="138"/>
    </row>
    <row r="5924" spans="1:52" ht="17.100000000000001" customHeight="1" thickTop="1">
      <c r="A5924" s="109" t="s">
        <v>17137</v>
      </c>
      <c r="B5924" s="28">
        <v>46059</v>
      </c>
      <c r="C5924" s="25">
        <v>1405</v>
      </c>
      <c r="D5924" s="13" t="s">
        <v>17312</v>
      </c>
      <c r="E5924" s="111"/>
      <c r="F5924" s="113" t="s">
        <v>17314</v>
      </c>
      <c r="G5924" s="114"/>
      <c r="H5924" s="115"/>
      <c r="I5924" s="24" t="s">
        <v>17315</v>
      </c>
      <c r="J5924" s="116">
        <v>4</v>
      </c>
      <c r="K5924" s="118">
        <v>1620000</v>
      </c>
      <c r="L5924" s="119"/>
      <c r="M5924" s="118">
        <f t="shared" ref="M5924" si="7783">K5924*0.1</f>
        <v>162000</v>
      </c>
      <c r="N5924" s="119"/>
      <c r="O5924" s="118">
        <v>2750</v>
      </c>
      <c r="P5924" s="119"/>
      <c r="Q5924" s="118">
        <v>10220</v>
      </c>
      <c r="R5924" s="119"/>
      <c r="S5924" s="118">
        <v>15400</v>
      </c>
      <c r="T5924" s="119"/>
      <c r="U5924" s="118">
        <f t="shared" ref="U5924" si="7784">SUM(K5924:T5925)</f>
        <v>1810370</v>
      </c>
      <c r="V5924" s="122"/>
      <c r="W5924" s="124"/>
      <c r="X5924" s="126" t="s">
        <v>18295</v>
      </c>
      <c r="Y5924" s="127"/>
      <c r="Z5924" s="127"/>
      <c r="AA5924" s="127"/>
      <c r="AB5924" s="128"/>
      <c r="AC5924" s="15" t="s">
        <v>20</v>
      </c>
      <c r="AD5924" s="129" t="s">
        <v>17316</v>
      </c>
      <c r="AE5924" s="130"/>
      <c r="AF5924" s="130"/>
      <c r="AG5924" s="130"/>
      <c r="AH5924" s="130"/>
      <c r="AI5924" s="131"/>
      <c r="AJ5924" s="132"/>
      <c r="AK5924" s="127"/>
      <c r="AL5924" s="128"/>
      <c r="AM5924" s="21"/>
      <c r="AN5924" s="133">
        <v>46085</v>
      </c>
      <c r="AO5924" s="134"/>
      <c r="AP5924" s="135">
        <v>1007</v>
      </c>
      <c r="AQ5924" s="136"/>
      <c r="AR5924" s="118">
        <v>1715000</v>
      </c>
      <c r="AS5924" s="119"/>
      <c r="AT5924" s="118">
        <f t="shared" ref="AT5924" si="7785">AR5924*0.1</f>
        <v>171500</v>
      </c>
      <c r="AU5924" s="119"/>
      <c r="AV5924" s="118">
        <v>10220</v>
      </c>
      <c r="AW5924" s="119"/>
      <c r="AX5924" s="118">
        <f t="shared" ref="AX5924" si="7786">SUM(AR5924:AW5924)</f>
        <v>1896720</v>
      </c>
      <c r="AY5924" s="119"/>
      <c r="AZ5924" s="137">
        <v>46090</v>
      </c>
    </row>
    <row r="5925" spans="1:52" ht="17.100000000000001" customHeight="1" thickBot="1">
      <c r="A5925" s="110"/>
      <c r="B5925" s="27" t="s">
        <v>2641</v>
      </c>
      <c r="C5925" s="27">
        <v>3214</v>
      </c>
      <c r="D5925" s="14" t="s">
        <v>17313</v>
      </c>
      <c r="E5925" s="112"/>
      <c r="F5925" s="139" t="s">
        <v>17180</v>
      </c>
      <c r="G5925" s="140"/>
      <c r="H5925" s="141"/>
      <c r="I5925" s="26">
        <v>38614</v>
      </c>
      <c r="J5925" s="117"/>
      <c r="K5925" s="120"/>
      <c r="L5925" s="121"/>
      <c r="M5925" s="120"/>
      <c r="N5925" s="121"/>
      <c r="O5925" s="120"/>
      <c r="P5925" s="121"/>
      <c r="Q5925" s="120"/>
      <c r="R5925" s="121"/>
      <c r="S5925" s="120"/>
      <c r="T5925" s="121"/>
      <c r="U5925" s="120"/>
      <c r="V5925" s="123"/>
      <c r="W5925" s="125"/>
      <c r="X5925" s="142" t="s">
        <v>3334</v>
      </c>
      <c r="Y5925" s="143"/>
      <c r="Z5925" s="143"/>
      <c r="AA5925" s="143"/>
      <c r="AB5925" s="144"/>
      <c r="AC5925" s="16" t="s">
        <v>21</v>
      </c>
      <c r="AD5925" s="17" t="s">
        <v>18232</v>
      </c>
      <c r="AE5925" s="145" t="s">
        <v>4801</v>
      </c>
      <c r="AF5925" s="146"/>
      <c r="AG5925" s="146"/>
      <c r="AH5925" s="146"/>
      <c r="AI5925" s="147"/>
      <c r="AJ5925" s="148"/>
      <c r="AK5925" s="143"/>
      <c r="AL5925" s="144"/>
      <c r="AM5925" s="22"/>
      <c r="AN5925" s="149" t="s">
        <v>2794</v>
      </c>
      <c r="AO5925" s="144"/>
      <c r="AP5925" s="148">
        <v>6110</v>
      </c>
      <c r="AQ5925" s="144"/>
      <c r="AR5925" s="120"/>
      <c r="AS5925" s="121"/>
      <c r="AT5925" s="120"/>
      <c r="AU5925" s="121"/>
      <c r="AV5925" s="120"/>
      <c r="AW5925" s="121"/>
      <c r="AX5925" s="120"/>
      <c r="AY5925" s="121"/>
      <c r="AZ5925" s="138"/>
    </row>
    <row r="5926" spans="1:52" ht="17.100000000000001" customHeight="1" thickTop="1">
      <c r="A5926" s="109" t="s">
        <v>17138</v>
      </c>
      <c r="B5926" s="28">
        <v>46059</v>
      </c>
      <c r="C5926" s="25">
        <v>1405</v>
      </c>
      <c r="D5926" s="13" t="s">
        <v>17317</v>
      </c>
      <c r="E5926" s="111"/>
      <c r="F5926" s="113" t="s">
        <v>17181</v>
      </c>
      <c r="G5926" s="114"/>
      <c r="H5926" s="115"/>
      <c r="I5926" s="24" t="s">
        <v>4678</v>
      </c>
      <c r="J5926" s="116">
        <v>4.5</v>
      </c>
      <c r="K5926" s="118">
        <v>2199000</v>
      </c>
      <c r="L5926" s="119"/>
      <c r="M5926" s="118">
        <f t="shared" ref="M5926" si="7787">K5926*0.1</f>
        <v>219900</v>
      </c>
      <c r="N5926" s="119"/>
      <c r="O5926" s="118">
        <v>2750</v>
      </c>
      <c r="P5926" s="119"/>
      <c r="Q5926" s="118">
        <v>8150</v>
      </c>
      <c r="R5926" s="119"/>
      <c r="S5926" s="118">
        <v>15400</v>
      </c>
      <c r="T5926" s="119"/>
      <c r="U5926" s="118">
        <f t="shared" ref="U5926" si="7788">SUM(K5926:T5927)</f>
        <v>2445200</v>
      </c>
      <c r="V5926" s="122"/>
      <c r="W5926" s="124"/>
      <c r="X5926" s="126" t="s">
        <v>18299</v>
      </c>
      <c r="Y5926" s="127"/>
      <c r="Z5926" s="127"/>
      <c r="AA5926" s="127"/>
      <c r="AB5926" s="128"/>
      <c r="AC5926" s="15" t="s">
        <v>20</v>
      </c>
      <c r="AD5926" s="129" t="s">
        <v>17309</v>
      </c>
      <c r="AE5926" s="130"/>
      <c r="AF5926" s="130"/>
      <c r="AG5926" s="130"/>
      <c r="AH5926" s="130"/>
      <c r="AI5926" s="131"/>
      <c r="AJ5926" s="132"/>
      <c r="AK5926" s="127"/>
      <c r="AL5926" s="128"/>
      <c r="AM5926" s="21"/>
      <c r="AN5926" s="133">
        <v>46078</v>
      </c>
      <c r="AO5926" s="134"/>
      <c r="AP5926" s="135">
        <v>1006</v>
      </c>
      <c r="AQ5926" s="136"/>
      <c r="AR5926" s="118">
        <v>2300000</v>
      </c>
      <c r="AS5926" s="119"/>
      <c r="AT5926" s="118">
        <f t="shared" ref="AT5926" si="7789">AR5926*0.1</f>
        <v>230000</v>
      </c>
      <c r="AU5926" s="119"/>
      <c r="AV5926" s="118">
        <v>8150</v>
      </c>
      <c r="AW5926" s="119"/>
      <c r="AX5926" s="118">
        <f t="shared" ref="AX5926" si="7790">SUM(AR5926:AW5926)</f>
        <v>2538150</v>
      </c>
      <c r="AY5926" s="119"/>
      <c r="AZ5926" s="137">
        <v>46083</v>
      </c>
    </row>
    <row r="5927" spans="1:52" ht="17.100000000000001" customHeight="1" thickBot="1">
      <c r="A5927" s="110"/>
      <c r="B5927" s="27" t="s">
        <v>2641</v>
      </c>
      <c r="C5927" s="27">
        <v>3238</v>
      </c>
      <c r="D5927" s="14" t="s">
        <v>17297</v>
      </c>
      <c r="E5927" s="112"/>
      <c r="F5927" s="139" t="s">
        <v>17182</v>
      </c>
      <c r="G5927" s="140"/>
      <c r="H5927" s="141"/>
      <c r="I5927" s="26">
        <v>36424</v>
      </c>
      <c r="J5927" s="117"/>
      <c r="K5927" s="120"/>
      <c r="L5927" s="121"/>
      <c r="M5927" s="120"/>
      <c r="N5927" s="121"/>
      <c r="O5927" s="120"/>
      <c r="P5927" s="121"/>
      <c r="Q5927" s="120"/>
      <c r="R5927" s="121"/>
      <c r="S5927" s="120"/>
      <c r="T5927" s="121"/>
      <c r="U5927" s="120"/>
      <c r="V5927" s="123"/>
      <c r="W5927" s="125"/>
      <c r="X5927" s="142" t="s">
        <v>18300</v>
      </c>
      <c r="Y5927" s="143"/>
      <c r="Z5927" s="143"/>
      <c r="AA5927" s="143"/>
      <c r="AB5927" s="144"/>
      <c r="AC5927" s="16" t="s">
        <v>21</v>
      </c>
      <c r="AD5927" s="17" t="s">
        <v>18232</v>
      </c>
      <c r="AE5927" s="145" t="s">
        <v>17769</v>
      </c>
      <c r="AF5927" s="146"/>
      <c r="AG5927" s="146"/>
      <c r="AH5927" s="146"/>
      <c r="AI5927" s="147"/>
      <c r="AJ5927" s="148"/>
      <c r="AK5927" s="143"/>
      <c r="AL5927" s="144"/>
      <c r="AM5927" s="22"/>
      <c r="AN5927" s="149" t="s">
        <v>2794</v>
      </c>
      <c r="AO5927" s="144"/>
      <c r="AP5927" s="148">
        <v>6042</v>
      </c>
      <c r="AQ5927" s="144"/>
      <c r="AR5927" s="120"/>
      <c r="AS5927" s="121"/>
      <c r="AT5927" s="120"/>
      <c r="AU5927" s="121"/>
      <c r="AV5927" s="120"/>
      <c r="AW5927" s="121"/>
      <c r="AX5927" s="120"/>
      <c r="AY5927" s="121"/>
      <c r="AZ5927" s="138"/>
    </row>
    <row r="5928" spans="1:52" ht="17.100000000000001" customHeight="1" thickTop="1">
      <c r="A5928" s="109" t="s">
        <v>17139</v>
      </c>
      <c r="B5928" s="28">
        <v>46059</v>
      </c>
      <c r="C5928" s="25">
        <v>1405</v>
      </c>
      <c r="D5928" s="13" t="s">
        <v>17318</v>
      </c>
      <c r="E5928" s="111"/>
      <c r="F5928" s="113" t="s">
        <v>17183</v>
      </c>
      <c r="G5928" s="114"/>
      <c r="H5928" s="115"/>
      <c r="I5928" s="24" t="s">
        <v>17319</v>
      </c>
      <c r="J5928" s="116">
        <v>4.5</v>
      </c>
      <c r="K5928" s="118">
        <v>1681000</v>
      </c>
      <c r="L5928" s="119"/>
      <c r="M5928" s="118">
        <f t="shared" ref="M5928" si="7791">K5928*0.1</f>
        <v>168100</v>
      </c>
      <c r="N5928" s="119"/>
      <c r="O5928" s="118">
        <v>0</v>
      </c>
      <c r="P5928" s="119"/>
      <c r="Q5928" s="118">
        <v>7340</v>
      </c>
      <c r="R5928" s="119"/>
      <c r="S5928" s="118">
        <v>15400</v>
      </c>
      <c r="T5928" s="119"/>
      <c r="U5928" s="118">
        <f t="shared" ref="U5928" si="7792">SUM(K5928:T5929)</f>
        <v>1871840</v>
      </c>
      <c r="V5928" s="122"/>
      <c r="W5928" s="124"/>
      <c r="X5928" s="126" t="s">
        <v>17730</v>
      </c>
      <c r="Y5928" s="127"/>
      <c r="Z5928" s="127"/>
      <c r="AA5928" s="127"/>
      <c r="AB5928" s="128"/>
      <c r="AC5928" s="15" t="s">
        <v>20</v>
      </c>
      <c r="AD5928" s="129" t="s">
        <v>17320</v>
      </c>
      <c r="AE5928" s="130"/>
      <c r="AF5928" s="130"/>
      <c r="AG5928" s="130"/>
      <c r="AH5928" s="130"/>
      <c r="AI5928" s="131"/>
      <c r="AJ5928" s="132"/>
      <c r="AK5928" s="127"/>
      <c r="AL5928" s="128"/>
      <c r="AM5928" s="21" t="s">
        <v>20975</v>
      </c>
      <c r="AN5928" s="133">
        <v>46102</v>
      </c>
      <c r="AO5928" s="134"/>
      <c r="AP5928" s="135">
        <v>1293</v>
      </c>
      <c r="AQ5928" s="136"/>
      <c r="AR5928" s="118">
        <v>1675000</v>
      </c>
      <c r="AS5928" s="119"/>
      <c r="AT5928" s="118">
        <f t="shared" ref="AT5928" si="7793">AR5928*0.1</f>
        <v>167500</v>
      </c>
      <c r="AU5928" s="119"/>
      <c r="AV5928" s="118">
        <v>7340</v>
      </c>
      <c r="AW5928" s="119"/>
      <c r="AX5928" s="118">
        <f t="shared" ref="AX5928" si="7794">SUM(AR5928:AW5928)</f>
        <v>1849840</v>
      </c>
      <c r="AY5928" s="119"/>
      <c r="AZ5928" s="137">
        <v>46107</v>
      </c>
    </row>
    <row r="5929" spans="1:52" ht="17.100000000000001" customHeight="1" thickBot="1">
      <c r="A5929" s="110"/>
      <c r="B5929" s="27" t="s">
        <v>2641</v>
      </c>
      <c r="C5929" s="27">
        <v>3310</v>
      </c>
      <c r="D5929" s="14" t="s">
        <v>17313</v>
      </c>
      <c r="E5929" s="112"/>
      <c r="F5929" s="139" t="s">
        <v>17184</v>
      </c>
      <c r="G5929" s="140"/>
      <c r="H5929" s="141"/>
      <c r="I5929" s="26">
        <v>18058</v>
      </c>
      <c r="J5929" s="117"/>
      <c r="K5929" s="120"/>
      <c r="L5929" s="121"/>
      <c r="M5929" s="120"/>
      <c r="N5929" s="121"/>
      <c r="O5929" s="120"/>
      <c r="P5929" s="121"/>
      <c r="Q5929" s="120"/>
      <c r="R5929" s="121"/>
      <c r="S5929" s="120"/>
      <c r="T5929" s="121"/>
      <c r="U5929" s="120"/>
      <c r="V5929" s="123"/>
      <c r="W5929" s="125"/>
      <c r="X5929" s="142" t="s">
        <v>4690</v>
      </c>
      <c r="Y5929" s="143"/>
      <c r="Z5929" s="143"/>
      <c r="AA5929" s="143"/>
      <c r="AB5929" s="144"/>
      <c r="AC5929" s="16" t="s">
        <v>21</v>
      </c>
      <c r="AD5929" s="17" t="s">
        <v>2298</v>
      </c>
      <c r="AE5929" s="145" t="s">
        <v>1614</v>
      </c>
      <c r="AF5929" s="146"/>
      <c r="AG5929" s="146"/>
      <c r="AH5929" s="146"/>
      <c r="AI5929" s="147"/>
      <c r="AJ5929" s="148"/>
      <c r="AK5929" s="143"/>
      <c r="AL5929" s="144"/>
      <c r="AM5929" s="22"/>
      <c r="AN5929" s="149" t="s">
        <v>2511</v>
      </c>
      <c r="AO5929" s="144"/>
      <c r="AP5929" s="148">
        <v>60418</v>
      </c>
      <c r="AQ5929" s="144"/>
      <c r="AR5929" s="120"/>
      <c r="AS5929" s="121"/>
      <c r="AT5929" s="120"/>
      <c r="AU5929" s="121"/>
      <c r="AV5929" s="120"/>
      <c r="AW5929" s="121"/>
      <c r="AX5929" s="120"/>
      <c r="AY5929" s="121"/>
      <c r="AZ5929" s="138"/>
    </row>
    <row r="5930" spans="1:52" ht="17.100000000000001" customHeight="1" thickTop="1">
      <c r="A5930" s="109" t="s">
        <v>17140</v>
      </c>
      <c r="B5930" s="28">
        <v>46059</v>
      </c>
      <c r="C5930" s="25">
        <v>1405</v>
      </c>
      <c r="D5930" s="13" t="s">
        <v>17321</v>
      </c>
      <c r="E5930" s="111"/>
      <c r="F5930" s="113" t="s">
        <v>17185</v>
      </c>
      <c r="G5930" s="114"/>
      <c r="H5930" s="115"/>
      <c r="I5930" s="24" t="s">
        <v>17684</v>
      </c>
      <c r="J5930" s="116">
        <v>4</v>
      </c>
      <c r="K5930" s="118">
        <v>793000</v>
      </c>
      <c r="L5930" s="119"/>
      <c r="M5930" s="118">
        <f t="shared" ref="M5930" si="7795">K5930*0.1</f>
        <v>79300</v>
      </c>
      <c r="N5930" s="119"/>
      <c r="O5930" s="118">
        <v>0</v>
      </c>
      <c r="P5930" s="119"/>
      <c r="Q5930" s="118">
        <v>8430</v>
      </c>
      <c r="R5930" s="119"/>
      <c r="S5930" s="118">
        <v>15400</v>
      </c>
      <c r="T5930" s="119"/>
      <c r="U5930" s="118">
        <f t="shared" ref="U5930" si="7796">SUM(K5930:T5931)</f>
        <v>896130</v>
      </c>
      <c r="V5930" s="122"/>
      <c r="W5930" s="124"/>
      <c r="X5930" s="126" t="s">
        <v>17738</v>
      </c>
      <c r="Y5930" s="127"/>
      <c r="Z5930" s="127"/>
      <c r="AA5930" s="127"/>
      <c r="AB5930" s="128"/>
      <c r="AC5930" s="15" t="s">
        <v>20</v>
      </c>
      <c r="AD5930" s="129"/>
      <c r="AE5930" s="130"/>
      <c r="AF5930" s="130"/>
      <c r="AG5930" s="130"/>
      <c r="AH5930" s="130"/>
      <c r="AI5930" s="131"/>
      <c r="AJ5930" s="132"/>
      <c r="AK5930" s="127"/>
      <c r="AL5930" s="128"/>
      <c r="AM5930" s="21"/>
      <c r="AN5930" s="133">
        <v>46071</v>
      </c>
      <c r="AO5930" s="134"/>
      <c r="AP5930" s="135">
        <v>1005</v>
      </c>
      <c r="AQ5930" s="136"/>
      <c r="AR5930" s="118">
        <v>870000</v>
      </c>
      <c r="AS5930" s="119"/>
      <c r="AT5930" s="118">
        <f t="shared" ref="AT5930" si="7797">AR5930*0.1</f>
        <v>87000</v>
      </c>
      <c r="AU5930" s="119"/>
      <c r="AV5930" s="118">
        <v>8430</v>
      </c>
      <c r="AW5930" s="119"/>
      <c r="AX5930" s="118">
        <f t="shared" ref="AX5930" si="7798">SUM(AR5930:AW5930)</f>
        <v>965430</v>
      </c>
      <c r="AY5930" s="119"/>
      <c r="AZ5930" s="137">
        <v>46077</v>
      </c>
    </row>
    <row r="5931" spans="1:52" ht="17.100000000000001" customHeight="1" thickBot="1">
      <c r="A5931" s="110"/>
      <c r="B5931" s="27" t="s">
        <v>2641</v>
      </c>
      <c r="C5931" s="27">
        <v>3360</v>
      </c>
      <c r="D5931" s="14" t="s">
        <v>2601</v>
      </c>
      <c r="E5931" s="112"/>
      <c r="F5931" s="139" t="s">
        <v>17186</v>
      </c>
      <c r="G5931" s="140"/>
      <c r="H5931" s="141"/>
      <c r="I5931" s="26">
        <v>53209</v>
      </c>
      <c r="J5931" s="117"/>
      <c r="K5931" s="120"/>
      <c r="L5931" s="121"/>
      <c r="M5931" s="120"/>
      <c r="N5931" s="121"/>
      <c r="O5931" s="120"/>
      <c r="P5931" s="121"/>
      <c r="Q5931" s="120"/>
      <c r="R5931" s="121"/>
      <c r="S5931" s="120"/>
      <c r="T5931" s="121"/>
      <c r="U5931" s="120"/>
      <c r="V5931" s="123"/>
      <c r="W5931" s="125"/>
      <c r="X5931" s="142" t="s">
        <v>17739</v>
      </c>
      <c r="Y5931" s="143"/>
      <c r="Z5931" s="143"/>
      <c r="AA5931" s="143"/>
      <c r="AB5931" s="144"/>
      <c r="AC5931" s="16" t="s">
        <v>21</v>
      </c>
      <c r="AD5931" s="17" t="s">
        <v>2298</v>
      </c>
      <c r="AE5931" s="145" t="s">
        <v>17770</v>
      </c>
      <c r="AF5931" s="146"/>
      <c r="AG5931" s="146"/>
      <c r="AH5931" s="146"/>
      <c r="AI5931" s="147"/>
      <c r="AJ5931" s="148"/>
      <c r="AK5931" s="143"/>
      <c r="AL5931" s="144"/>
      <c r="AM5931" s="22"/>
      <c r="AN5931" s="149" t="s">
        <v>7285</v>
      </c>
      <c r="AO5931" s="144"/>
      <c r="AP5931" s="148">
        <v>2061</v>
      </c>
      <c r="AQ5931" s="144"/>
      <c r="AR5931" s="120"/>
      <c r="AS5931" s="121"/>
      <c r="AT5931" s="120"/>
      <c r="AU5931" s="121"/>
      <c r="AV5931" s="120"/>
      <c r="AW5931" s="121"/>
      <c r="AX5931" s="120"/>
      <c r="AY5931" s="121"/>
      <c r="AZ5931" s="138"/>
    </row>
    <row r="5932" spans="1:52" ht="17.100000000000001" customHeight="1" thickTop="1">
      <c r="A5932" s="109" t="s">
        <v>17187</v>
      </c>
      <c r="B5932" s="28">
        <v>46059</v>
      </c>
      <c r="C5932" s="25">
        <v>1405</v>
      </c>
      <c r="D5932" s="13" t="s">
        <v>17322</v>
      </c>
      <c r="E5932" s="111"/>
      <c r="F5932" s="113" t="s">
        <v>17193</v>
      </c>
      <c r="G5932" s="114"/>
      <c r="H5932" s="115"/>
      <c r="I5932" s="24" t="s">
        <v>17324</v>
      </c>
      <c r="J5932" s="116">
        <v>4</v>
      </c>
      <c r="K5932" s="118">
        <v>765000</v>
      </c>
      <c r="L5932" s="119"/>
      <c r="M5932" s="118">
        <f t="shared" ref="M5932" si="7799">K5932*0.1</f>
        <v>76500</v>
      </c>
      <c r="N5932" s="119"/>
      <c r="O5932" s="118">
        <v>0</v>
      </c>
      <c r="P5932" s="119"/>
      <c r="Q5932" s="118">
        <v>8550</v>
      </c>
      <c r="R5932" s="119"/>
      <c r="S5932" s="118">
        <v>15400</v>
      </c>
      <c r="T5932" s="119"/>
      <c r="U5932" s="118">
        <f t="shared" ref="U5932" si="7800">SUM(K5932:T5933)</f>
        <v>865450</v>
      </c>
      <c r="V5932" s="122"/>
      <c r="W5932" s="124"/>
      <c r="X5932" s="126" t="s">
        <v>17731</v>
      </c>
      <c r="Y5932" s="127"/>
      <c r="Z5932" s="127"/>
      <c r="AA5932" s="127"/>
      <c r="AB5932" s="128"/>
      <c r="AC5932" s="15" t="s">
        <v>20</v>
      </c>
      <c r="AD5932" s="129" t="s">
        <v>17325</v>
      </c>
      <c r="AE5932" s="130"/>
      <c r="AF5932" s="130"/>
      <c r="AG5932" s="130"/>
      <c r="AH5932" s="130"/>
      <c r="AI5932" s="131"/>
      <c r="AJ5932" s="132"/>
      <c r="AK5932" s="127"/>
      <c r="AL5932" s="128"/>
      <c r="AM5932" s="21"/>
      <c r="AN5932" s="133">
        <v>46071</v>
      </c>
      <c r="AO5932" s="134"/>
      <c r="AP5932" s="135">
        <v>1005</v>
      </c>
      <c r="AQ5932" s="136"/>
      <c r="AR5932" s="118">
        <v>825000</v>
      </c>
      <c r="AS5932" s="119"/>
      <c r="AT5932" s="118">
        <f t="shared" ref="AT5932" si="7801">AR5932*0.1</f>
        <v>82500</v>
      </c>
      <c r="AU5932" s="119"/>
      <c r="AV5932" s="118">
        <v>8550</v>
      </c>
      <c r="AW5932" s="119"/>
      <c r="AX5932" s="118">
        <f t="shared" ref="AX5932" si="7802">SUM(AR5932:AW5932)</f>
        <v>916050</v>
      </c>
      <c r="AY5932" s="119"/>
      <c r="AZ5932" s="137">
        <v>46073</v>
      </c>
    </row>
    <row r="5933" spans="1:52" ht="17.100000000000001" customHeight="1" thickBot="1">
      <c r="A5933" s="110"/>
      <c r="B5933" s="27" t="s">
        <v>2641</v>
      </c>
      <c r="C5933" s="27">
        <v>3375</v>
      </c>
      <c r="D5933" s="14" t="s">
        <v>17323</v>
      </c>
      <c r="E5933" s="112"/>
      <c r="F5933" s="139" t="s">
        <v>17194</v>
      </c>
      <c r="G5933" s="140"/>
      <c r="H5933" s="141"/>
      <c r="I5933" s="26">
        <v>32870</v>
      </c>
      <c r="J5933" s="117"/>
      <c r="K5933" s="120"/>
      <c r="L5933" s="121"/>
      <c r="M5933" s="120"/>
      <c r="N5933" s="121"/>
      <c r="O5933" s="120"/>
      <c r="P5933" s="121"/>
      <c r="Q5933" s="120"/>
      <c r="R5933" s="121"/>
      <c r="S5933" s="120"/>
      <c r="T5933" s="121"/>
      <c r="U5933" s="120"/>
      <c r="V5933" s="123"/>
      <c r="W5933" s="125"/>
      <c r="X5933" s="142" t="s">
        <v>6887</v>
      </c>
      <c r="Y5933" s="143"/>
      <c r="Z5933" s="143"/>
      <c r="AA5933" s="143"/>
      <c r="AB5933" s="144"/>
      <c r="AC5933" s="16" t="s">
        <v>21</v>
      </c>
      <c r="AD5933" s="17" t="s">
        <v>2298</v>
      </c>
      <c r="AE5933" s="145" t="s">
        <v>17773</v>
      </c>
      <c r="AF5933" s="146"/>
      <c r="AG5933" s="146"/>
      <c r="AH5933" s="146"/>
      <c r="AI5933" s="147"/>
      <c r="AJ5933" s="148"/>
      <c r="AK5933" s="143"/>
      <c r="AL5933" s="144"/>
      <c r="AM5933" s="22"/>
      <c r="AN5933" s="149" t="s">
        <v>2794</v>
      </c>
      <c r="AO5933" s="144"/>
      <c r="AP5933" s="148">
        <v>2027</v>
      </c>
      <c r="AQ5933" s="144"/>
      <c r="AR5933" s="120"/>
      <c r="AS5933" s="121"/>
      <c r="AT5933" s="120"/>
      <c r="AU5933" s="121"/>
      <c r="AV5933" s="120"/>
      <c r="AW5933" s="121"/>
      <c r="AX5933" s="120"/>
      <c r="AY5933" s="121"/>
      <c r="AZ5933" s="138"/>
    </row>
    <row r="5934" spans="1:52" ht="17.100000000000001" customHeight="1" thickTop="1">
      <c r="A5934" s="109" t="s">
        <v>17188</v>
      </c>
      <c r="B5934" s="28">
        <v>46059</v>
      </c>
      <c r="C5934" s="25">
        <v>1405</v>
      </c>
      <c r="D5934" s="13" t="s">
        <v>17326</v>
      </c>
      <c r="E5934" s="111"/>
      <c r="F5934" s="113" t="s">
        <v>17195</v>
      </c>
      <c r="G5934" s="114"/>
      <c r="H5934" s="115"/>
      <c r="I5934" s="24"/>
      <c r="J5934" s="116">
        <v>4</v>
      </c>
      <c r="K5934" s="118">
        <v>944000</v>
      </c>
      <c r="L5934" s="119"/>
      <c r="M5934" s="118">
        <f t="shared" ref="M5934" si="7803">K5934*0.1</f>
        <v>94400</v>
      </c>
      <c r="N5934" s="119"/>
      <c r="O5934" s="118">
        <v>0</v>
      </c>
      <c r="P5934" s="119"/>
      <c r="Q5934" s="118">
        <v>8680</v>
      </c>
      <c r="R5934" s="119"/>
      <c r="S5934" s="118">
        <v>15400</v>
      </c>
      <c r="T5934" s="119"/>
      <c r="U5934" s="118">
        <f t="shared" ref="U5934" si="7804">SUM(K5934:T5935)</f>
        <v>1062480</v>
      </c>
      <c r="V5934" s="122"/>
      <c r="W5934" s="124"/>
      <c r="X5934" s="126" t="s">
        <v>17629</v>
      </c>
      <c r="Y5934" s="127"/>
      <c r="Z5934" s="127"/>
      <c r="AA5934" s="127"/>
      <c r="AB5934" s="128"/>
      <c r="AC5934" s="15" t="s">
        <v>20</v>
      </c>
      <c r="AD5934" s="129"/>
      <c r="AE5934" s="130"/>
      <c r="AF5934" s="130"/>
      <c r="AG5934" s="130"/>
      <c r="AH5934" s="130"/>
      <c r="AI5934" s="131"/>
      <c r="AJ5934" s="132"/>
      <c r="AK5934" s="127"/>
      <c r="AL5934" s="128"/>
      <c r="AM5934" s="21"/>
      <c r="AN5934" s="133">
        <v>46064</v>
      </c>
      <c r="AO5934" s="134"/>
      <c r="AP5934" s="135">
        <v>1004</v>
      </c>
      <c r="AQ5934" s="136"/>
      <c r="AR5934" s="118">
        <v>1020000</v>
      </c>
      <c r="AS5934" s="119"/>
      <c r="AT5934" s="118">
        <f t="shared" ref="AT5934" si="7805">AR5934*0.1</f>
        <v>102000</v>
      </c>
      <c r="AU5934" s="119"/>
      <c r="AV5934" s="118">
        <v>8680</v>
      </c>
      <c r="AW5934" s="119"/>
      <c r="AX5934" s="118">
        <f t="shared" ref="AX5934" si="7806">SUM(AR5934:AW5934)</f>
        <v>1130680</v>
      </c>
      <c r="AY5934" s="119"/>
      <c r="AZ5934" s="137">
        <v>46069</v>
      </c>
    </row>
    <row r="5935" spans="1:52" ht="17.100000000000001" customHeight="1" thickBot="1">
      <c r="A5935" s="110"/>
      <c r="B5935" s="27" t="s">
        <v>2641</v>
      </c>
      <c r="C5935" s="27">
        <v>5578</v>
      </c>
      <c r="D5935" s="14" t="s">
        <v>2601</v>
      </c>
      <c r="E5935" s="112"/>
      <c r="F5935" s="139" t="s">
        <v>17196</v>
      </c>
      <c r="G5935" s="140"/>
      <c r="H5935" s="141"/>
      <c r="I5935" s="26">
        <v>68085</v>
      </c>
      <c r="J5935" s="117"/>
      <c r="K5935" s="120"/>
      <c r="L5935" s="121"/>
      <c r="M5935" s="120"/>
      <c r="N5935" s="121"/>
      <c r="O5935" s="120"/>
      <c r="P5935" s="121"/>
      <c r="Q5935" s="120"/>
      <c r="R5935" s="121"/>
      <c r="S5935" s="120"/>
      <c r="T5935" s="121"/>
      <c r="U5935" s="120"/>
      <c r="V5935" s="123"/>
      <c r="W5935" s="125"/>
      <c r="X5935" s="142" t="s">
        <v>17630</v>
      </c>
      <c r="Y5935" s="143"/>
      <c r="Z5935" s="143"/>
      <c r="AA5935" s="143"/>
      <c r="AB5935" s="144"/>
      <c r="AC5935" s="16" t="s">
        <v>21</v>
      </c>
      <c r="AD5935" s="17" t="s">
        <v>2298</v>
      </c>
      <c r="AE5935" s="145"/>
      <c r="AF5935" s="146"/>
      <c r="AG5935" s="146"/>
      <c r="AH5935" s="146"/>
      <c r="AI5935" s="147"/>
      <c r="AJ5935" s="148"/>
      <c r="AK5935" s="143"/>
      <c r="AL5935" s="144"/>
      <c r="AM5935" s="22"/>
      <c r="AN5935" s="149" t="s">
        <v>2794</v>
      </c>
      <c r="AO5935" s="144"/>
      <c r="AP5935" s="148">
        <v>5172</v>
      </c>
      <c r="AQ5935" s="144"/>
      <c r="AR5935" s="120"/>
      <c r="AS5935" s="121"/>
      <c r="AT5935" s="120"/>
      <c r="AU5935" s="121"/>
      <c r="AV5935" s="120"/>
      <c r="AW5935" s="121"/>
      <c r="AX5935" s="120"/>
      <c r="AY5935" s="121"/>
      <c r="AZ5935" s="138"/>
    </row>
    <row r="5936" spans="1:52" ht="17.100000000000001" customHeight="1" thickTop="1">
      <c r="A5936" s="109" t="s">
        <v>17189</v>
      </c>
      <c r="B5936" s="28">
        <v>46059</v>
      </c>
      <c r="C5936" s="25">
        <v>1405</v>
      </c>
      <c r="D5936" s="13" t="s">
        <v>17327</v>
      </c>
      <c r="E5936" s="111"/>
      <c r="F5936" s="113" t="s">
        <v>17197</v>
      </c>
      <c r="G5936" s="114"/>
      <c r="H5936" s="115"/>
      <c r="I5936" s="24"/>
      <c r="J5936" s="116">
        <v>3.5</v>
      </c>
      <c r="K5936" s="118">
        <v>912000</v>
      </c>
      <c r="L5936" s="119"/>
      <c r="M5936" s="118">
        <v>0</v>
      </c>
      <c r="N5936" s="119"/>
      <c r="O5936" s="118">
        <v>0</v>
      </c>
      <c r="P5936" s="119"/>
      <c r="Q5936" s="118">
        <v>10360</v>
      </c>
      <c r="R5936" s="119"/>
      <c r="S5936" s="118">
        <v>15400</v>
      </c>
      <c r="T5936" s="119"/>
      <c r="U5936" s="118">
        <f t="shared" ref="U5936" si="7807">SUM(K5936:T5937)</f>
        <v>937760</v>
      </c>
      <c r="V5936" s="122"/>
      <c r="W5936" s="124"/>
      <c r="X5936" s="126" t="s">
        <v>17736</v>
      </c>
      <c r="Y5936" s="127"/>
      <c r="Z5936" s="127"/>
      <c r="AA5936" s="127"/>
      <c r="AB5936" s="128"/>
      <c r="AC5936" s="15" t="s">
        <v>20</v>
      </c>
      <c r="AD5936" s="129" t="s">
        <v>17758</v>
      </c>
      <c r="AE5936" s="130"/>
      <c r="AF5936" s="130"/>
      <c r="AG5936" s="130"/>
      <c r="AH5936" s="130"/>
      <c r="AI5936" s="131"/>
      <c r="AJ5936" s="132"/>
      <c r="AK5936" s="127"/>
      <c r="AL5936" s="128"/>
      <c r="AM5936" s="21"/>
      <c r="AN5936" s="133">
        <v>46085</v>
      </c>
      <c r="AO5936" s="134"/>
      <c r="AP5936" s="135">
        <v>1007</v>
      </c>
      <c r="AQ5936" s="136"/>
      <c r="AR5936" s="118">
        <v>955000</v>
      </c>
      <c r="AS5936" s="119"/>
      <c r="AT5936" s="118">
        <f t="shared" ref="AT5936" si="7808">AR5936*0.1</f>
        <v>95500</v>
      </c>
      <c r="AU5936" s="119"/>
      <c r="AV5936" s="118">
        <v>14360</v>
      </c>
      <c r="AW5936" s="119"/>
      <c r="AX5936" s="118">
        <f t="shared" ref="AX5936" si="7809">SUM(AR5936:AW5936)</f>
        <v>1064860</v>
      </c>
      <c r="AY5936" s="119"/>
      <c r="AZ5936" s="137">
        <v>46090</v>
      </c>
    </row>
    <row r="5937" spans="1:52" ht="17.100000000000001" customHeight="1" thickBot="1">
      <c r="A5937" s="110"/>
      <c r="B5937" s="27" t="s">
        <v>2641</v>
      </c>
      <c r="C5937" s="27">
        <v>5580</v>
      </c>
      <c r="D5937" s="14" t="s">
        <v>17328</v>
      </c>
      <c r="E5937" s="112"/>
      <c r="F5937" s="139" t="s">
        <v>17198</v>
      </c>
      <c r="G5937" s="140"/>
      <c r="H5937" s="141"/>
      <c r="I5937" s="26">
        <v>57001</v>
      </c>
      <c r="J5937" s="117"/>
      <c r="K5937" s="120"/>
      <c r="L5937" s="121"/>
      <c r="M5937" s="120"/>
      <c r="N5937" s="121"/>
      <c r="O5937" s="120"/>
      <c r="P5937" s="121"/>
      <c r="Q5937" s="120"/>
      <c r="R5937" s="121"/>
      <c r="S5937" s="120"/>
      <c r="T5937" s="121"/>
      <c r="U5937" s="120"/>
      <c r="V5937" s="123"/>
      <c r="W5937" s="125"/>
      <c r="X5937" s="142" t="s">
        <v>17737</v>
      </c>
      <c r="Y5937" s="143"/>
      <c r="Z5937" s="143"/>
      <c r="AA5937" s="143"/>
      <c r="AB5937" s="144"/>
      <c r="AC5937" s="16" t="s">
        <v>21</v>
      </c>
      <c r="AD5937" s="17" t="s">
        <v>2298</v>
      </c>
      <c r="AE5937" s="145" t="s">
        <v>17772</v>
      </c>
      <c r="AF5937" s="146"/>
      <c r="AG5937" s="146"/>
      <c r="AH5937" s="146"/>
      <c r="AI5937" s="147"/>
      <c r="AJ5937" s="148"/>
      <c r="AK5937" s="143"/>
      <c r="AL5937" s="144"/>
      <c r="AM5937" s="22"/>
      <c r="AN5937" s="149" t="s">
        <v>2794</v>
      </c>
      <c r="AO5937" s="144"/>
      <c r="AP5937" s="148">
        <v>6090</v>
      </c>
      <c r="AQ5937" s="144"/>
      <c r="AR5937" s="120"/>
      <c r="AS5937" s="121"/>
      <c r="AT5937" s="120"/>
      <c r="AU5937" s="121"/>
      <c r="AV5937" s="120"/>
      <c r="AW5937" s="121"/>
      <c r="AX5937" s="120"/>
      <c r="AY5937" s="121"/>
      <c r="AZ5937" s="138"/>
    </row>
    <row r="5938" spans="1:52" ht="17.100000000000001" customHeight="1" thickTop="1">
      <c r="A5938" s="109" t="s">
        <v>17190</v>
      </c>
      <c r="B5938" s="28">
        <v>46059</v>
      </c>
      <c r="C5938" s="25">
        <v>1405</v>
      </c>
      <c r="D5938" s="13" t="s">
        <v>17317</v>
      </c>
      <c r="E5938" s="111"/>
      <c r="F5938" s="113" t="s">
        <v>17195</v>
      </c>
      <c r="G5938" s="114"/>
      <c r="H5938" s="115"/>
      <c r="I5938" s="24" t="s">
        <v>17329</v>
      </c>
      <c r="J5938" s="116">
        <v>4.5</v>
      </c>
      <c r="K5938" s="118">
        <v>1225000</v>
      </c>
      <c r="L5938" s="119"/>
      <c r="M5938" s="118">
        <f t="shared" ref="M5938" si="7810">K5938*0.1</f>
        <v>122500</v>
      </c>
      <c r="N5938" s="119"/>
      <c r="O5938" s="118">
        <v>0</v>
      </c>
      <c r="P5938" s="119"/>
      <c r="Q5938" s="118">
        <v>8680</v>
      </c>
      <c r="R5938" s="119"/>
      <c r="S5938" s="118">
        <v>15400</v>
      </c>
      <c r="T5938" s="119"/>
      <c r="U5938" s="118">
        <f t="shared" ref="U5938" si="7811">SUM(K5938:T5939)</f>
        <v>1371580</v>
      </c>
      <c r="V5938" s="122"/>
      <c r="W5938" s="124"/>
      <c r="X5938" s="126" t="s">
        <v>17740</v>
      </c>
      <c r="Y5938" s="127"/>
      <c r="Z5938" s="127"/>
      <c r="AA5938" s="127"/>
      <c r="AB5938" s="128"/>
      <c r="AC5938" s="15" t="s">
        <v>20</v>
      </c>
      <c r="AD5938" s="129"/>
      <c r="AE5938" s="130"/>
      <c r="AF5938" s="130"/>
      <c r="AG5938" s="130"/>
      <c r="AH5938" s="130"/>
      <c r="AI5938" s="131"/>
      <c r="AJ5938" s="132"/>
      <c r="AK5938" s="127"/>
      <c r="AL5938" s="128"/>
      <c r="AM5938" s="21" t="s">
        <v>20003</v>
      </c>
      <c r="AN5938" s="133">
        <v>46091</v>
      </c>
      <c r="AO5938" s="134"/>
      <c r="AP5938" s="135">
        <v>1932</v>
      </c>
      <c r="AQ5938" s="136"/>
      <c r="AR5938" s="118">
        <v>1267000</v>
      </c>
      <c r="AS5938" s="119"/>
      <c r="AT5938" s="118">
        <f t="shared" ref="AT5938" si="7812">AR5938*0.1</f>
        <v>126700</v>
      </c>
      <c r="AU5938" s="119"/>
      <c r="AV5938" s="118">
        <v>8680</v>
      </c>
      <c r="AW5938" s="119"/>
      <c r="AX5938" s="118">
        <f t="shared" ref="AX5938" si="7813">SUM(AR5938:AW5938)</f>
        <v>1402380</v>
      </c>
      <c r="AY5938" s="119"/>
      <c r="AZ5938" s="137"/>
    </row>
    <row r="5939" spans="1:52" ht="17.100000000000001" customHeight="1" thickBot="1">
      <c r="A5939" s="110"/>
      <c r="B5939" s="27" t="s">
        <v>2641</v>
      </c>
      <c r="C5939" s="27">
        <v>5608</v>
      </c>
      <c r="D5939" s="14" t="s">
        <v>2601</v>
      </c>
      <c r="E5939" s="112"/>
      <c r="F5939" s="139" t="s">
        <v>17199</v>
      </c>
      <c r="G5939" s="140"/>
      <c r="H5939" s="141"/>
      <c r="I5939" s="26">
        <v>18702</v>
      </c>
      <c r="J5939" s="117"/>
      <c r="K5939" s="120"/>
      <c r="L5939" s="121"/>
      <c r="M5939" s="120"/>
      <c r="N5939" s="121"/>
      <c r="O5939" s="120"/>
      <c r="P5939" s="121"/>
      <c r="Q5939" s="120"/>
      <c r="R5939" s="121"/>
      <c r="S5939" s="120"/>
      <c r="T5939" s="121"/>
      <c r="U5939" s="120"/>
      <c r="V5939" s="123"/>
      <c r="W5939" s="125"/>
      <c r="X5939" s="142" t="s">
        <v>17737</v>
      </c>
      <c r="Y5939" s="143"/>
      <c r="Z5939" s="143"/>
      <c r="AA5939" s="143"/>
      <c r="AB5939" s="144"/>
      <c r="AC5939" s="16" t="s">
        <v>21</v>
      </c>
      <c r="AD5939" s="17" t="s">
        <v>2298</v>
      </c>
      <c r="AE5939" s="145" t="s">
        <v>9867</v>
      </c>
      <c r="AF5939" s="146"/>
      <c r="AG5939" s="146"/>
      <c r="AH5939" s="146"/>
      <c r="AI5939" s="147"/>
      <c r="AJ5939" s="148"/>
      <c r="AK5939" s="143"/>
      <c r="AL5939" s="144"/>
      <c r="AM5939" s="22"/>
      <c r="AN5939" s="149" t="s">
        <v>19935</v>
      </c>
      <c r="AO5939" s="144"/>
      <c r="AP5939" s="148">
        <v>3443</v>
      </c>
      <c r="AQ5939" s="144"/>
      <c r="AR5939" s="120"/>
      <c r="AS5939" s="121"/>
      <c r="AT5939" s="120"/>
      <c r="AU5939" s="121"/>
      <c r="AV5939" s="120"/>
      <c r="AW5939" s="121"/>
      <c r="AX5939" s="120"/>
      <c r="AY5939" s="121"/>
      <c r="AZ5939" s="138"/>
    </row>
    <row r="5940" spans="1:52" ht="17.100000000000001" customHeight="1" thickTop="1">
      <c r="A5940" s="109" t="s">
        <v>17191</v>
      </c>
      <c r="B5940" s="28">
        <v>46059</v>
      </c>
      <c r="C5940" s="25">
        <v>1405</v>
      </c>
      <c r="D5940" s="13" t="s">
        <v>17330</v>
      </c>
      <c r="E5940" s="111"/>
      <c r="F5940" s="113" t="s">
        <v>17200</v>
      </c>
      <c r="G5940" s="114"/>
      <c r="H5940" s="115"/>
      <c r="I5940" s="24" t="s">
        <v>17331</v>
      </c>
      <c r="J5940" s="116">
        <v>4.5</v>
      </c>
      <c r="K5940" s="118">
        <v>2007000</v>
      </c>
      <c r="L5940" s="119"/>
      <c r="M5940" s="118">
        <f t="shared" ref="M5940" si="7814">K5940*0.1</f>
        <v>200700</v>
      </c>
      <c r="N5940" s="119"/>
      <c r="O5940" s="118">
        <v>3300</v>
      </c>
      <c r="P5940" s="119"/>
      <c r="Q5940" s="118">
        <v>21720</v>
      </c>
      <c r="R5940" s="119"/>
      <c r="S5940" s="118">
        <v>15400</v>
      </c>
      <c r="T5940" s="119"/>
      <c r="U5940" s="118">
        <f t="shared" ref="U5940" si="7815">SUM(K5940:T5941)</f>
        <v>2248120</v>
      </c>
      <c r="V5940" s="122"/>
      <c r="W5940" s="124"/>
      <c r="X5940" s="126" t="s">
        <v>17685</v>
      </c>
      <c r="Y5940" s="127"/>
      <c r="Z5940" s="127"/>
      <c r="AA5940" s="127"/>
      <c r="AB5940" s="128"/>
      <c r="AC5940" s="15" t="s">
        <v>20</v>
      </c>
      <c r="AD5940" s="129" t="s">
        <v>17332</v>
      </c>
      <c r="AE5940" s="130"/>
      <c r="AF5940" s="130"/>
      <c r="AG5940" s="130"/>
      <c r="AH5940" s="130"/>
      <c r="AI5940" s="131"/>
      <c r="AJ5940" s="132"/>
      <c r="AK5940" s="127"/>
      <c r="AL5940" s="128"/>
      <c r="AM5940" s="21"/>
      <c r="AN5940" s="133">
        <v>46086</v>
      </c>
      <c r="AO5940" s="134"/>
      <c r="AP5940" s="135">
        <v>1321</v>
      </c>
      <c r="AQ5940" s="136"/>
      <c r="AR5940" s="118">
        <v>2145000</v>
      </c>
      <c r="AS5940" s="119"/>
      <c r="AT5940" s="118">
        <f t="shared" ref="AT5940" si="7816">AR5940*0.1</f>
        <v>214500</v>
      </c>
      <c r="AU5940" s="119"/>
      <c r="AV5940" s="118">
        <v>21720</v>
      </c>
      <c r="AW5940" s="119"/>
      <c r="AX5940" s="118">
        <f t="shared" ref="AX5940" si="7817">SUM(AR5940:AW5940)</f>
        <v>2381220</v>
      </c>
      <c r="AY5940" s="119"/>
      <c r="AZ5940" s="137"/>
    </row>
    <row r="5941" spans="1:52" ht="17.100000000000001" customHeight="1" thickBot="1">
      <c r="A5941" s="110"/>
      <c r="B5941" s="27" t="s">
        <v>2641</v>
      </c>
      <c r="C5941" s="27">
        <v>7013</v>
      </c>
      <c r="D5941" s="14" t="s">
        <v>275</v>
      </c>
      <c r="E5941" s="112"/>
      <c r="F5941" s="139" t="s">
        <v>17201</v>
      </c>
      <c r="G5941" s="140"/>
      <c r="H5941" s="141"/>
      <c r="I5941" s="26">
        <v>77405</v>
      </c>
      <c r="J5941" s="117"/>
      <c r="K5941" s="120"/>
      <c r="L5941" s="121"/>
      <c r="M5941" s="120"/>
      <c r="N5941" s="121"/>
      <c r="O5941" s="120"/>
      <c r="P5941" s="121"/>
      <c r="Q5941" s="120"/>
      <c r="R5941" s="121"/>
      <c r="S5941" s="120"/>
      <c r="T5941" s="121"/>
      <c r="U5941" s="120"/>
      <c r="V5941" s="123"/>
      <c r="W5941" s="125"/>
      <c r="X5941" s="142" t="s">
        <v>8807</v>
      </c>
      <c r="Y5941" s="143"/>
      <c r="Z5941" s="143"/>
      <c r="AA5941" s="143"/>
      <c r="AB5941" s="144"/>
      <c r="AC5941" s="16" t="s">
        <v>21</v>
      </c>
      <c r="AD5941" s="17" t="s">
        <v>2298</v>
      </c>
      <c r="AE5941" s="145" t="s">
        <v>1742</v>
      </c>
      <c r="AF5941" s="146"/>
      <c r="AG5941" s="146"/>
      <c r="AH5941" s="146"/>
      <c r="AI5941" s="147"/>
      <c r="AJ5941" s="148"/>
      <c r="AK5941" s="143"/>
      <c r="AL5941" s="144"/>
      <c r="AM5941" s="22"/>
      <c r="AN5941" s="149" t="s">
        <v>19388</v>
      </c>
      <c r="AO5941" s="144"/>
      <c r="AP5941" s="148">
        <v>45</v>
      </c>
      <c r="AQ5941" s="144"/>
      <c r="AR5941" s="120"/>
      <c r="AS5941" s="121"/>
      <c r="AT5941" s="120"/>
      <c r="AU5941" s="121"/>
      <c r="AV5941" s="120"/>
      <c r="AW5941" s="121"/>
      <c r="AX5941" s="120"/>
      <c r="AY5941" s="121"/>
      <c r="AZ5941" s="138"/>
    </row>
    <row r="5942" spans="1:52" ht="17.100000000000001" customHeight="1" thickTop="1">
      <c r="A5942" s="109" t="s">
        <v>17192</v>
      </c>
      <c r="B5942" s="28">
        <v>46059</v>
      </c>
      <c r="C5942" s="25">
        <v>1405</v>
      </c>
      <c r="D5942" s="13" t="s">
        <v>17333</v>
      </c>
      <c r="E5942" s="111"/>
      <c r="F5942" s="113" t="s">
        <v>17202</v>
      </c>
      <c r="G5942" s="114"/>
      <c r="H5942" s="115"/>
      <c r="I5942" s="24"/>
      <c r="J5942" s="116">
        <v>4</v>
      </c>
      <c r="K5942" s="118">
        <v>304000</v>
      </c>
      <c r="L5942" s="119"/>
      <c r="M5942" s="118">
        <f t="shared" ref="M5942" si="7818">K5942*0.1</f>
        <v>30400</v>
      </c>
      <c r="N5942" s="119"/>
      <c r="O5942" s="118">
        <v>0</v>
      </c>
      <c r="P5942" s="119"/>
      <c r="Q5942" s="118">
        <v>9200</v>
      </c>
      <c r="R5942" s="119"/>
      <c r="S5942" s="118">
        <v>15400</v>
      </c>
      <c r="T5942" s="119"/>
      <c r="U5942" s="118">
        <f t="shared" ref="U5942" si="7819">SUM(K5942:T5943)</f>
        <v>359000</v>
      </c>
      <c r="V5942" s="122"/>
      <c r="W5942" s="124"/>
      <c r="X5942" s="126" t="s">
        <v>17789</v>
      </c>
      <c r="Y5942" s="127"/>
      <c r="Z5942" s="127"/>
      <c r="AA5942" s="127"/>
      <c r="AB5942" s="128"/>
      <c r="AC5942" s="15" t="s">
        <v>20</v>
      </c>
      <c r="AD5942" s="129"/>
      <c r="AE5942" s="130"/>
      <c r="AF5942" s="130"/>
      <c r="AG5942" s="130"/>
      <c r="AH5942" s="130"/>
      <c r="AI5942" s="131"/>
      <c r="AJ5942" s="132"/>
      <c r="AK5942" s="127"/>
      <c r="AL5942" s="128"/>
      <c r="AM5942" s="21"/>
      <c r="AN5942" s="133">
        <v>46067</v>
      </c>
      <c r="AO5942" s="134"/>
      <c r="AP5942" s="135">
        <v>1288</v>
      </c>
      <c r="AQ5942" s="136"/>
      <c r="AR5942" s="118">
        <v>385000</v>
      </c>
      <c r="AS5942" s="119"/>
      <c r="AT5942" s="118">
        <f t="shared" ref="AT5942" si="7820">AR5942*0.1</f>
        <v>38500</v>
      </c>
      <c r="AU5942" s="119"/>
      <c r="AV5942" s="118">
        <v>9200</v>
      </c>
      <c r="AW5942" s="119"/>
      <c r="AX5942" s="118">
        <f t="shared" ref="AX5942" si="7821">SUM(AR5942:AW5942)</f>
        <v>432700</v>
      </c>
      <c r="AY5942" s="119"/>
      <c r="AZ5942" s="137">
        <v>46070</v>
      </c>
    </row>
    <row r="5943" spans="1:52" ht="17.100000000000001" customHeight="1" thickBot="1">
      <c r="A5943" s="110"/>
      <c r="B5943" s="27" t="s">
        <v>2641</v>
      </c>
      <c r="C5943" s="27">
        <v>9200</v>
      </c>
      <c r="D5943" s="14" t="s">
        <v>17334</v>
      </c>
      <c r="E5943" s="112"/>
      <c r="F5943" s="139" t="s">
        <v>17203</v>
      </c>
      <c r="G5943" s="140"/>
      <c r="H5943" s="141"/>
      <c r="I5943" s="26">
        <v>58432</v>
      </c>
      <c r="J5943" s="117"/>
      <c r="K5943" s="120"/>
      <c r="L5943" s="121"/>
      <c r="M5943" s="120"/>
      <c r="N5943" s="121"/>
      <c r="O5943" s="120"/>
      <c r="P5943" s="121"/>
      <c r="Q5943" s="120"/>
      <c r="R5943" s="121"/>
      <c r="S5943" s="120"/>
      <c r="T5943" s="121"/>
      <c r="U5943" s="120"/>
      <c r="V5943" s="123"/>
      <c r="W5943" s="125"/>
      <c r="X5943" s="142" t="s">
        <v>1997</v>
      </c>
      <c r="Y5943" s="143"/>
      <c r="Z5943" s="143"/>
      <c r="AA5943" s="143"/>
      <c r="AB5943" s="144"/>
      <c r="AC5943" s="16" t="s">
        <v>21</v>
      </c>
      <c r="AD5943" s="17" t="s">
        <v>17777</v>
      </c>
      <c r="AE5943" s="145"/>
      <c r="AF5943" s="146"/>
      <c r="AG5943" s="146"/>
      <c r="AH5943" s="146"/>
      <c r="AI5943" s="147"/>
      <c r="AJ5943" s="148"/>
      <c r="AK5943" s="143"/>
      <c r="AL5943" s="144"/>
      <c r="AM5943" s="22"/>
      <c r="AN5943" s="149" t="s">
        <v>2511</v>
      </c>
      <c r="AO5943" s="144"/>
      <c r="AP5943" s="148">
        <v>60433</v>
      </c>
      <c r="AQ5943" s="144"/>
      <c r="AR5943" s="120"/>
      <c r="AS5943" s="121"/>
      <c r="AT5943" s="120"/>
      <c r="AU5943" s="121"/>
      <c r="AV5943" s="120"/>
      <c r="AW5943" s="121"/>
      <c r="AX5943" s="120"/>
      <c r="AY5943" s="121"/>
      <c r="AZ5943" s="138"/>
    </row>
    <row r="5944" spans="1:52" ht="17.100000000000001" customHeight="1" thickTop="1">
      <c r="A5944" s="109" t="s">
        <v>17204</v>
      </c>
      <c r="B5944" s="28">
        <v>46059</v>
      </c>
      <c r="C5944" s="25"/>
      <c r="D5944" s="13" t="s">
        <v>2737</v>
      </c>
      <c r="E5944" s="111"/>
      <c r="F5944" s="113" t="s">
        <v>17274</v>
      </c>
      <c r="G5944" s="114"/>
      <c r="H5944" s="115"/>
      <c r="I5944" s="24" t="s">
        <v>9271</v>
      </c>
      <c r="J5944" s="116">
        <v>4</v>
      </c>
      <c r="K5944" s="118">
        <v>1210000</v>
      </c>
      <c r="L5944" s="119"/>
      <c r="M5944" s="118">
        <f t="shared" ref="M5944" si="7822">K5944*0.1</f>
        <v>121000</v>
      </c>
      <c r="N5944" s="119"/>
      <c r="O5944" s="118">
        <v>0</v>
      </c>
      <c r="P5944" s="119"/>
      <c r="Q5944" s="118">
        <v>8550</v>
      </c>
      <c r="R5944" s="119"/>
      <c r="S5944" s="118">
        <v>0</v>
      </c>
      <c r="T5944" s="119"/>
      <c r="U5944" s="118">
        <f t="shared" ref="U5944" si="7823">SUM(K5944:T5945)</f>
        <v>1339550</v>
      </c>
      <c r="V5944" s="122"/>
      <c r="W5944" s="124"/>
      <c r="X5944" s="126" t="s">
        <v>19040</v>
      </c>
      <c r="Y5944" s="127"/>
      <c r="Z5944" s="127"/>
      <c r="AA5944" s="127"/>
      <c r="AB5944" s="128"/>
      <c r="AC5944" s="15" t="s">
        <v>20</v>
      </c>
      <c r="AD5944" s="129" t="s">
        <v>3868</v>
      </c>
      <c r="AE5944" s="130"/>
      <c r="AF5944" s="130"/>
      <c r="AG5944" s="130"/>
      <c r="AH5944" s="130"/>
      <c r="AI5944" s="131"/>
      <c r="AJ5944" s="132"/>
      <c r="AK5944" s="127"/>
      <c r="AL5944" s="128"/>
      <c r="AM5944" s="21"/>
      <c r="AN5944" s="133">
        <v>46085</v>
      </c>
      <c r="AO5944" s="134"/>
      <c r="AP5944" s="135">
        <v>1007</v>
      </c>
      <c r="AQ5944" s="136"/>
      <c r="AR5944" s="118">
        <v>1245000</v>
      </c>
      <c r="AS5944" s="119"/>
      <c r="AT5944" s="118">
        <f t="shared" ref="AT5944" si="7824">AR5944*0.1</f>
        <v>124500</v>
      </c>
      <c r="AU5944" s="119"/>
      <c r="AV5944" s="118">
        <v>8550</v>
      </c>
      <c r="AW5944" s="119"/>
      <c r="AX5944" s="118">
        <f t="shared" ref="AX5944" si="7825">SUM(AR5944:AW5944)</f>
        <v>1378050</v>
      </c>
      <c r="AY5944" s="119"/>
      <c r="AZ5944" s="137">
        <v>46090</v>
      </c>
    </row>
    <row r="5945" spans="1:52" ht="17.100000000000001" customHeight="1" thickBot="1">
      <c r="A5945" s="110"/>
      <c r="B5945" s="27" t="s">
        <v>1718</v>
      </c>
      <c r="C5945" s="27" t="s">
        <v>17211</v>
      </c>
      <c r="D5945" s="14" t="s">
        <v>2601</v>
      </c>
      <c r="E5945" s="112"/>
      <c r="F5945" s="139" t="s">
        <v>17212</v>
      </c>
      <c r="G5945" s="140"/>
      <c r="H5945" s="141"/>
      <c r="I5945" s="26">
        <v>52022</v>
      </c>
      <c r="J5945" s="117"/>
      <c r="K5945" s="120"/>
      <c r="L5945" s="121"/>
      <c r="M5945" s="120"/>
      <c r="N5945" s="121"/>
      <c r="O5945" s="120"/>
      <c r="P5945" s="121"/>
      <c r="Q5945" s="120"/>
      <c r="R5945" s="121"/>
      <c r="S5945" s="120"/>
      <c r="T5945" s="121"/>
      <c r="U5945" s="120"/>
      <c r="V5945" s="123"/>
      <c r="W5945" s="125"/>
      <c r="X5945" s="142" t="s">
        <v>4285</v>
      </c>
      <c r="Y5945" s="143"/>
      <c r="Z5945" s="143"/>
      <c r="AA5945" s="143"/>
      <c r="AB5945" s="144"/>
      <c r="AC5945" s="16" t="s">
        <v>21</v>
      </c>
      <c r="AD5945" s="17" t="s">
        <v>2353</v>
      </c>
      <c r="AE5945" s="145" t="s">
        <v>2347</v>
      </c>
      <c r="AF5945" s="146"/>
      <c r="AG5945" s="146"/>
      <c r="AH5945" s="146"/>
      <c r="AI5945" s="147"/>
      <c r="AJ5945" s="148"/>
      <c r="AK5945" s="143"/>
      <c r="AL5945" s="144"/>
      <c r="AM5945" s="22"/>
      <c r="AN5945" s="149" t="s">
        <v>2794</v>
      </c>
      <c r="AO5945" s="144"/>
      <c r="AP5945" s="148">
        <v>1059</v>
      </c>
      <c r="AQ5945" s="144"/>
      <c r="AR5945" s="120"/>
      <c r="AS5945" s="121"/>
      <c r="AT5945" s="120"/>
      <c r="AU5945" s="121"/>
      <c r="AV5945" s="120"/>
      <c r="AW5945" s="121"/>
      <c r="AX5945" s="120"/>
      <c r="AY5945" s="121"/>
      <c r="AZ5945" s="138"/>
    </row>
    <row r="5946" spans="1:52" ht="17.100000000000001" customHeight="1" thickTop="1">
      <c r="A5946" s="109" t="s">
        <v>17205</v>
      </c>
      <c r="B5946" s="28">
        <v>46059</v>
      </c>
      <c r="C5946" s="25"/>
      <c r="D5946" s="13" t="s">
        <v>2564</v>
      </c>
      <c r="E5946" s="111"/>
      <c r="F5946" s="113" t="s">
        <v>7582</v>
      </c>
      <c r="G5946" s="114"/>
      <c r="H5946" s="115"/>
      <c r="I5946" s="24" t="s">
        <v>8230</v>
      </c>
      <c r="J5946" s="116">
        <v>4</v>
      </c>
      <c r="K5946" s="118">
        <v>309000</v>
      </c>
      <c r="L5946" s="119"/>
      <c r="M5946" s="118">
        <f t="shared" ref="M5946" si="7826">K5946*0.1</f>
        <v>30900</v>
      </c>
      <c r="N5946" s="119"/>
      <c r="O5946" s="118">
        <v>0</v>
      </c>
      <c r="P5946" s="119"/>
      <c r="Q5946" s="118">
        <v>8930</v>
      </c>
      <c r="R5946" s="119"/>
      <c r="S5946" s="118">
        <v>0</v>
      </c>
      <c r="T5946" s="119"/>
      <c r="U5946" s="118">
        <f t="shared" ref="U5946" si="7827">SUM(K5946:T5947)</f>
        <v>348830</v>
      </c>
      <c r="V5946" s="122"/>
      <c r="W5946" s="124"/>
      <c r="X5946" s="126" t="s">
        <v>17775</v>
      </c>
      <c r="Y5946" s="127"/>
      <c r="Z5946" s="127"/>
      <c r="AA5946" s="127"/>
      <c r="AB5946" s="128"/>
      <c r="AC5946" s="15" t="s">
        <v>20</v>
      </c>
      <c r="AD5946" s="129" t="s">
        <v>3868</v>
      </c>
      <c r="AE5946" s="130"/>
      <c r="AF5946" s="130"/>
      <c r="AG5946" s="130"/>
      <c r="AH5946" s="130"/>
      <c r="AI5946" s="131"/>
      <c r="AJ5946" s="132"/>
      <c r="AK5946" s="127"/>
      <c r="AL5946" s="128"/>
      <c r="AM5946" s="21"/>
      <c r="AN5946" s="133">
        <v>46088</v>
      </c>
      <c r="AO5946" s="134"/>
      <c r="AP5946" s="135">
        <v>1291</v>
      </c>
      <c r="AQ5946" s="136"/>
      <c r="AR5946" s="118">
        <v>405000</v>
      </c>
      <c r="AS5946" s="119"/>
      <c r="AT5946" s="118">
        <f t="shared" ref="AT5946" si="7828">AR5946*0.1</f>
        <v>40500</v>
      </c>
      <c r="AU5946" s="119"/>
      <c r="AV5946" s="118">
        <v>8930</v>
      </c>
      <c r="AW5946" s="119"/>
      <c r="AX5946" s="118">
        <f t="shared" ref="AX5946" si="7829">SUM(AR5946:AW5946)</f>
        <v>454430</v>
      </c>
      <c r="AY5946" s="119"/>
      <c r="AZ5946" s="137">
        <v>46091</v>
      </c>
    </row>
    <row r="5947" spans="1:52" ht="17.100000000000001" customHeight="1" thickBot="1">
      <c r="A5947" s="110"/>
      <c r="B5947" s="27" t="s">
        <v>1718</v>
      </c>
      <c r="C5947" s="27" t="s">
        <v>17213</v>
      </c>
      <c r="D5947" s="14" t="s">
        <v>1592</v>
      </c>
      <c r="E5947" s="112"/>
      <c r="F5947" s="139" t="s">
        <v>17214</v>
      </c>
      <c r="G5947" s="140"/>
      <c r="H5947" s="141"/>
      <c r="I5947" s="26">
        <v>53324</v>
      </c>
      <c r="J5947" s="117"/>
      <c r="K5947" s="120"/>
      <c r="L5947" s="121"/>
      <c r="M5947" s="120"/>
      <c r="N5947" s="121"/>
      <c r="O5947" s="120"/>
      <c r="P5947" s="121"/>
      <c r="Q5947" s="120"/>
      <c r="R5947" s="121"/>
      <c r="S5947" s="120"/>
      <c r="T5947" s="121"/>
      <c r="U5947" s="120"/>
      <c r="V5947" s="123"/>
      <c r="W5947" s="125"/>
      <c r="X5947" s="142" t="s">
        <v>17776</v>
      </c>
      <c r="Y5947" s="143"/>
      <c r="Z5947" s="143"/>
      <c r="AA5947" s="143"/>
      <c r="AB5947" s="144"/>
      <c r="AC5947" s="16" t="s">
        <v>21</v>
      </c>
      <c r="AD5947" s="17" t="s">
        <v>17777</v>
      </c>
      <c r="AE5947" s="145" t="s">
        <v>17778</v>
      </c>
      <c r="AF5947" s="146"/>
      <c r="AG5947" s="146"/>
      <c r="AH5947" s="146"/>
      <c r="AI5947" s="147"/>
      <c r="AJ5947" s="148"/>
      <c r="AK5947" s="143"/>
      <c r="AL5947" s="144"/>
      <c r="AM5947" s="22"/>
      <c r="AN5947" s="149" t="s">
        <v>2511</v>
      </c>
      <c r="AO5947" s="144"/>
      <c r="AP5947" s="148">
        <v>31063</v>
      </c>
      <c r="AQ5947" s="144"/>
      <c r="AR5947" s="120"/>
      <c r="AS5947" s="121"/>
      <c r="AT5947" s="120"/>
      <c r="AU5947" s="121"/>
      <c r="AV5947" s="120"/>
      <c r="AW5947" s="121"/>
      <c r="AX5947" s="120"/>
      <c r="AY5947" s="121"/>
      <c r="AZ5947" s="138"/>
    </row>
    <row r="5948" spans="1:52" ht="17.100000000000001" customHeight="1" thickTop="1">
      <c r="A5948" s="109" t="s">
        <v>17206</v>
      </c>
      <c r="B5948" s="28">
        <v>46059</v>
      </c>
      <c r="C5948" s="25"/>
      <c r="D5948" s="13" t="s">
        <v>1803</v>
      </c>
      <c r="E5948" s="111"/>
      <c r="F5948" s="113" t="s">
        <v>7632</v>
      </c>
      <c r="G5948" s="114"/>
      <c r="H5948" s="115"/>
      <c r="I5948" s="24" t="s">
        <v>4946</v>
      </c>
      <c r="J5948" s="116">
        <v>4</v>
      </c>
      <c r="K5948" s="118">
        <v>674000</v>
      </c>
      <c r="L5948" s="119"/>
      <c r="M5948" s="118">
        <f t="shared" ref="M5948" si="7830">K5948*0.1</f>
        <v>67400</v>
      </c>
      <c r="N5948" s="119"/>
      <c r="O5948" s="118">
        <v>0</v>
      </c>
      <c r="P5948" s="119"/>
      <c r="Q5948" s="118">
        <v>7950</v>
      </c>
      <c r="R5948" s="119"/>
      <c r="S5948" s="118">
        <v>0</v>
      </c>
      <c r="T5948" s="119"/>
      <c r="U5948" s="118">
        <f t="shared" ref="U5948" si="7831">SUM(K5948:T5949)</f>
        <v>749350</v>
      </c>
      <c r="V5948" s="122"/>
      <c r="W5948" s="124"/>
      <c r="X5948" s="126" t="s">
        <v>21187</v>
      </c>
      <c r="Y5948" s="127"/>
      <c r="Z5948" s="127"/>
      <c r="AA5948" s="127"/>
      <c r="AB5948" s="128"/>
      <c r="AC5948" s="15" t="s">
        <v>20</v>
      </c>
      <c r="AD5948" s="129" t="s">
        <v>3828</v>
      </c>
      <c r="AE5948" s="130"/>
      <c r="AF5948" s="130"/>
      <c r="AG5948" s="130"/>
      <c r="AH5948" s="130"/>
      <c r="AI5948" s="131"/>
      <c r="AJ5948" s="132"/>
      <c r="AK5948" s="127"/>
      <c r="AL5948" s="128"/>
      <c r="AM5948" s="85" t="s">
        <v>21187</v>
      </c>
      <c r="AN5948" s="133">
        <v>46116</v>
      </c>
      <c r="AO5948" s="134"/>
      <c r="AP5948" s="135">
        <v>1295</v>
      </c>
      <c r="AQ5948" s="136"/>
      <c r="AR5948" s="118">
        <v>700000</v>
      </c>
      <c r="AS5948" s="119"/>
      <c r="AT5948" s="118">
        <f t="shared" ref="AT5948" si="7832">AR5948*0.1</f>
        <v>70000</v>
      </c>
      <c r="AU5948" s="119"/>
      <c r="AV5948" s="118">
        <v>7950</v>
      </c>
      <c r="AW5948" s="119"/>
      <c r="AX5948" s="118">
        <f t="shared" ref="AX5948" si="7833">SUM(AR5948:AW5948)</f>
        <v>777950</v>
      </c>
      <c r="AY5948" s="119"/>
      <c r="AZ5948" s="137">
        <v>46122</v>
      </c>
    </row>
    <row r="5949" spans="1:52" ht="17.100000000000001" customHeight="1" thickBot="1">
      <c r="A5949" s="110"/>
      <c r="B5949" s="27" t="s">
        <v>1718</v>
      </c>
      <c r="C5949" s="27" t="s">
        <v>17215</v>
      </c>
      <c r="D5949" s="14" t="s">
        <v>5615</v>
      </c>
      <c r="E5949" s="112"/>
      <c r="F5949" s="139" t="s">
        <v>17216</v>
      </c>
      <c r="G5949" s="140"/>
      <c r="H5949" s="141"/>
      <c r="I5949" s="26">
        <v>51366</v>
      </c>
      <c r="J5949" s="117"/>
      <c r="K5949" s="120"/>
      <c r="L5949" s="121"/>
      <c r="M5949" s="120"/>
      <c r="N5949" s="121"/>
      <c r="O5949" s="120"/>
      <c r="P5949" s="121"/>
      <c r="Q5949" s="120"/>
      <c r="R5949" s="121"/>
      <c r="S5949" s="120"/>
      <c r="T5949" s="121"/>
      <c r="U5949" s="120"/>
      <c r="V5949" s="123"/>
      <c r="W5949" s="125"/>
      <c r="X5949" s="142" t="s">
        <v>21188</v>
      </c>
      <c r="Y5949" s="143"/>
      <c r="Z5949" s="143"/>
      <c r="AA5949" s="143"/>
      <c r="AB5949" s="144"/>
      <c r="AC5949" s="16" t="s">
        <v>21</v>
      </c>
      <c r="AD5949" s="17" t="s">
        <v>2388</v>
      </c>
      <c r="AE5949" s="145" t="s">
        <v>1742</v>
      </c>
      <c r="AF5949" s="146"/>
      <c r="AG5949" s="146"/>
      <c r="AH5949" s="146"/>
      <c r="AI5949" s="147"/>
      <c r="AJ5949" s="148"/>
      <c r="AK5949" s="143"/>
      <c r="AL5949" s="144"/>
      <c r="AM5949" s="22"/>
      <c r="AN5949" s="149" t="s">
        <v>2511</v>
      </c>
      <c r="AO5949" s="144"/>
      <c r="AP5949" s="148">
        <v>31169</v>
      </c>
      <c r="AQ5949" s="144"/>
      <c r="AR5949" s="120"/>
      <c r="AS5949" s="121"/>
      <c r="AT5949" s="120"/>
      <c r="AU5949" s="121"/>
      <c r="AV5949" s="120"/>
      <c r="AW5949" s="121"/>
      <c r="AX5949" s="120"/>
      <c r="AY5949" s="121"/>
      <c r="AZ5949" s="138"/>
    </row>
    <row r="5950" spans="1:52" ht="17.100000000000001" customHeight="1" thickTop="1">
      <c r="A5950" s="151" t="s">
        <v>17207</v>
      </c>
      <c r="B5950" s="28">
        <v>46059</v>
      </c>
      <c r="C5950" s="25"/>
      <c r="D5950" s="13" t="s">
        <v>3461</v>
      </c>
      <c r="E5950" s="111"/>
      <c r="F5950" s="113" t="s">
        <v>15514</v>
      </c>
      <c r="G5950" s="114"/>
      <c r="H5950" s="115"/>
      <c r="I5950" s="24" t="s">
        <v>17275</v>
      </c>
      <c r="J5950" s="116">
        <v>4</v>
      </c>
      <c r="K5950" s="118">
        <v>3970000</v>
      </c>
      <c r="L5950" s="119"/>
      <c r="M5950" s="118">
        <f t="shared" ref="M5950" si="7834">K5950*0.1</f>
        <v>397000</v>
      </c>
      <c r="N5950" s="119"/>
      <c r="O5950" s="118">
        <v>3600</v>
      </c>
      <c r="P5950" s="119"/>
      <c r="Q5950" s="118">
        <v>18470</v>
      </c>
      <c r="R5950" s="119"/>
      <c r="S5950" s="118">
        <v>0</v>
      </c>
      <c r="T5950" s="119"/>
      <c r="U5950" s="118">
        <f t="shared" ref="U5950" si="7835">SUM(K5950:T5951)</f>
        <v>4389070</v>
      </c>
      <c r="V5950" s="122"/>
      <c r="W5950" s="124"/>
      <c r="X5950" s="126"/>
      <c r="Y5950" s="127"/>
      <c r="Z5950" s="127"/>
      <c r="AA5950" s="127"/>
      <c r="AB5950" s="128"/>
      <c r="AC5950" s="15" t="s">
        <v>20</v>
      </c>
      <c r="AD5950" s="129" t="s">
        <v>7231</v>
      </c>
      <c r="AE5950" s="130"/>
      <c r="AF5950" s="130"/>
      <c r="AG5950" s="130"/>
      <c r="AH5950" s="130"/>
      <c r="AI5950" s="131"/>
      <c r="AJ5950" s="132" t="s">
        <v>8040</v>
      </c>
      <c r="AK5950" s="127"/>
      <c r="AL5950" s="128"/>
      <c r="AM5950" s="21"/>
      <c r="AN5950" s="133"/>
      <c r="AO5950" s="134"/>
      <c r="AP5950" s="135"/>
      <c r="AQ5950" s="136"/>
      <c r="AR5950" s="118"/>
      <c r="AS5950" s="119"/>
      <c r="AT5950" s="118">
        <f t="shared" ref="AT5950" si="7836">AR5950*0.1</f>
        <v>0</v>
      </c>
      <c r="AU5950" s="119"/>
      <c r="AV5950" s="118"/>
      <c r="AW5950" s="119"/>
      <c r="AX5950" s="118">
        <f t="shared" ref="AX5950" si="7837">SUM(AR5950:AW5950)</f>
        <v>0</v>
      </c>
      <c r="AY5950" s="119"/>
      <c r="AZ5950" s="137"/>
    </row>
    <row r="5951" spans="1:52" ht="17.100000000000001" customHeight="1" thickBot="1">
      <c r="A5951" s="152"/>
      <c r="B5951" s="27" t="s">
        <v>1718</v>
      </c>
      <c r="C5951" s="27" t="s">
        <v>17217</v>
      </c>
      <c r="D5951" s="14" t="s">
        <v>2601</v>
      </c>
      <c r="E5951" s="112"/>
      <c r="F5951" s="139" t="s">
        <v>17218</v>
      </c>
      <c r="G5951" s="140"/>
      <c r="H5951" s="141"/>
      <c r="I5951" s="26">
        <v>40267</v>
      </c>
      <c r="J5951" s="117"/>
      <c r="K5951" s="120"/>
      <c r="L5951" s="121"/>
      <c r="M5951" s="120"/>
      <c r="N5951" s="121"/>
      <c r="O5951" s="120"/>
      <c r="P5951" s="121"/>
      <c r="Q5951" s="120"/>
      <c r="R5951" s="121"/>
      <c r="S5951" s="120"/>
      <c r="T5951" s="121"/>
      <c r="U5951" s="120"/>
      <c r="V5951" s="123"/>
      <c r="W5951" s="125"/>
      <c r="X5951" s="142"/>
      <c r="Y5951" s="143"/>
      <c r="Z5951" s="143"/>
      <c r="AA5951" s="143"/>
      <c r="AB5951" s="144"/>
      <c r="AC5951" s="16" t="s">
        <v>21</v>
      </c>
      <c r="AD5951" s="17" t="s">
        <v>10540</v>
      </c>
      <c r="AE5951" s="145"/>
      <c r="AF5951" s="146"/>
      <c r="AG5951" s="146"/>
      <c r="AH5951" s="146"/>
      <c r="AI5951" s="147"/>
      <c r="AJ5951" s="148"/>
      <c r="AK5951" s="143"/>
      <c r="AL5951" s="144"/>
      <c r="AM5951" s="22"/>
      <c r="AN5951" s="149"/>
      <c r="AO5951" s="144"/>
      <c r="AP5951" s="148"/>
      <c r="AQ5951" s="144"/>
      <c r="AR5951" s="120"/>
      <c r="AS5951" s="121"/>
      <c r="AT5951" s="120"/>
      <c r="AU5951" s="121"/>
      <c r="AV5951" s="120"/>
      <c r="AW5951" s="121"/>
      <c r="AX5951" s="120"/>
      <c r="AY5951" s="121"/>
      <c r="AZ5951" s="138"/>
    </row>
    <row r="5952" spans="1:52" ht="17.100000000000001" customHeight="1" thickTop="1">
      <c r="A5952" s="109" t="s">
        <v>17208</v>
      </c>
      <c r="B5952" s="28">
        <v>46059</v>
      </c>
      <c r="C5952" s="25"/>
      <c r="D5952" s="13" t="s">
        <v>1651</v>
      </c>
      <c r="E5952" s="111"/>
      <c r="F5952" s="113" t="s">
        <v>17276</v>
      </c>
      <c r="G5952" s="114"/>
      <c r="H5952" s="115"/>
      <c r="I5952" s="24" t="s">
        <v>4093</v>
      </c>
      <c r="J5952" s="116">
        <v>4</v>
      </c>
      <c r="K5952" s="118">
        <v>1580000</v>
      </c>
      <c r="L5952" s="119"/>
      <c r="M5952" s="118">
        <f t="shared" ref="M5952" si="7838">K5952*0.1</f>
        <v>158000</v>
      </c>
      <c r="N5952" s="119"/>
      <c r="O5952" s="118">
        <v>0</v>
      </c>
      <c r="P5952" s="119"/>
      <c r="Q5952" s="118">
        <v>6180</v>
      </c>
      <c r="R5952" s="119"/>
      <c r="S5952" s="118">
        <v>0</v>
      </c>
      <c r="T5952" s="119"/>
      <c r="U5952" s="118">
        <f t="shared" ref="U5952" si="7839">SUM(K5952:T5953)</f>
        <v>1744180</v>
      </c>
      <c r="V5952" s="122"/>
      <c r="W5952" s="124"/>
      <c r="X5952" s="126" t="s">
        <v>20490</v>
      </c>
      <c r="Y5952" s="127"/>
      <c r="Z5952" s="127"/>
      <c r="AA5952" s="127"/>
      <c r="AB5952" s="128"/>
      <c r="AC5952" s="15" t="s">
        <v>20</v>
      </c>
      <c r="AD5952" s="129" t="s">
        <v>3868</v>
      </c>
      <c r="AE5952" s="130"/>
      <c r="AF5952" s="130"/>
      <c r="AG5952" s="130"/>
      <c r="AH5952" s="130"/>
      <c r="AI5952" s="131"/>
      <c r="AJ5952" s="132"/>
      <c r="AK5952" s="127"/>
      <c r="AL5952" s="128"/>
      <c r="AM5952" s="21"/>
      <c r="AN5952" s="133">
        <v>46095</v>
      </c>
      <c r="AO5952" s="134"/>
      <c r="AP5952" s="135">
        <v>1292</v>
      </c>
      <c r="AQ5952" s="136"/>
      <c r="AR5952" s="118">
        <v>1680000</v>
      </c>
      <c r="AS5952" s="119"/>
      <c r="AT5952" s="118">
        <f t="shared" ref="AT5952" si="7840">AR5952*0.1</f>
        <v>168000</v>
      </c>
      <c r="AU5952" s="119"/>
      <c r="AV5952" s="118">
        <v>6180</v>
      </c>
      <c r="AW5952" s="119"/>
      <c r="AX5952" s="118">
        <f t="shared" ref="AX5952" si="7841">SUM(AR5952:AW5952)</f>
        <v>1854180</v>
      </c>
      <c r="AY5952" s="119"/>
      <c r="AZ5952" s="137">
        <v>46105</v>
      </c>
    </row>
    <row r="5953" spans="1:52" ht="17.100000000000001" customHeight="1" thickBot="1">
      <c r="A5953" s="110"/>
      <c r="B5953" s="27" t="s">
        <v>1718</v>
      </c>
      <c r="C5953" s="27" t="s">
        <v>17219</v>
      </c>
      <c r="D5953" s="14" t="s">
        <v>1812</v>
      </c>
      <c r="E5953" s="112"/>
      <c r="F5953" s="139" t="s">
        <v>17220</v>
      </c>
      <c r="G5953" s="140"/>
      <c r="H5953" s="141"/>
      <c r="I5953" s="26">
        <v>13994</v>
      </c>
      <c r="J5953" s="117"/>
      <c r="K5953" s="120"/>
      <c r="L5953" s="121"/>
      <c r="M5953" s="120"/>
      <c r="N5953" s="121"/>
      <c r="O5953" s="120"/>
      <c r="P5953" s="121"/>
      <c r="Q5953" s="120"/>
      <c r="R5953" s="121"/>
      <c r="S5953" s="120"/>
      <c r="T5953" s="121"/>
      <c r="U5953" s="120"/>
      <c r="V5953" s="123"/>
      <c r="W5953" s="125"/>
      <c r="X5953" s="142" t="s">
        <v>3602</v>
      </c>
      <c r="Y5953" s="143"/>
      <c r="Z5953" s="143"/>
      <c r="AA5953" s="143"/>
      <c r="AB5953" s="144"/>
      <c r="AC5953" s="16" t="s">
        <v>21</v>
      </c>
      <c r="AD5953" s="17" t="s">
        <v>20491</v>
      </c>
      <c r="AE5953" s="145" t="s">
        <v>1945</v>
      </c>
      <c r="AF5953" s="146"/>
      <c r="AG5953" s="146"/>
      <c r="AH5953" s="146"/>
      <c r="AI5953" s="147"/>
      <c r="AJ5953" s="148"/>
      <c r="AK5953" s="143"/>
      <c r="AL5953" s="144"/>
      <c r="AM5953" s="22"/>
      <c r="AN5953" s="149" t="s">
        <v>2511</v>
      </c>
      <c r="AO5953" s="144"/>
      <c r="AP5953" s="148">
        <v>65493</v>
      </c>
      <c r="AQ5953" s="144"/>
      <c r="AR5953" s="120"/>
      <c r="AS5953" s="121"/>
      <c r="AT5953" s="120"/>
      <c r="AU5953" s="121"/>
      <c r="AV5953" s="120"/>
      <c r="AW5953" s="121"/>
      <c r="AX5953" s="120"/>
      <c r="AY5953" s="121"/>
      <c r="AZ5953" s="138"/>
    </row>
    <row r="5954" spans="1:52" ht="17.100000000000001" customHeight="1" thickTop="1">
      <c r="A5954" s="151" t="s">
        <v>17209</v>
      </c>
      <c r="B5954" s="28">
        <v>46059</v>
      </c>
      <c r="C5954" s="25"/>
      <c r="D5954" s="13" t="s">
        <v>1597</v>
      </c>
      <c r="E5954" s="111"/>
      <c r="F5954" s="113" t="s">
        <v>7632</v>
      </c>
      <c r="G5954" s="114"/>
      <c r="H5954" s="115"/>
      <c r="I5954" s="24" t="s">
        <v>17277</v>
      </c>
      <c r="J5954" s="116">
        <v>4</v>
      </c>
      <c r="K5954" s="118">
        <v>839000</v>
      </c>
      <c r="L5954" s="119"/>
      <c r="M5954" s="118">
        <f t="shared" ref="M5954" si="7842">K5954*0.1</f>
        <v>83900</v>
      </c>
      <c r="N5954" s="119"/>
      <c r="O5954" s="118">
        <v>0</v>
      </c>
      <c r="P5954" s="119"/>
      <c r="Q5954" s="118">
        <v>7950</v>
      </c>
      <c r="R5954" s="119"/>
      <c r="S5954" s="118">
        <v>0</v>
      </c>
      <c r="T5954" s="119"/>
      <c r="U5954" s="118">
        <f t="shared" ref="U5954" si="7843">SUM(K5954:T5955)</f>
        <v>930850</v>
      </c>
      <c r="V5954" s="122"/>
      <c r="W5954" s="124"/>
      <c r="X5954" s="126" t="s">
        <v>19041</v>
      </c>
      <c r="Y5954" s="127"/>
      <c r="Z5954" s="127"/>
      <c r="AA5954" s="127"/>
      <c r="AB5954" s="128"/>
      <c r="AC5954" s="15" t="s">
        <v>20</v>
      </c>
      <c r="AD5954" s="129" t="s">
        <v>1581</v>
      </c>
      <c r="AE5954" s="130"/>
      <c r="AF5954" s="130"/>
      <c r="AG5954" s="130"/>
      <c r="AH5954" s="130"/>
      <c r="AI5954" s="131"/>
      <c r="AJ5954" s="132" t="s">
        <v>19734</v>
      </c>
      <c r="AK5954" s="127"/>
      <c r="AL5954" s="128"/>
      <c r="AM5954" s="21"/>
      <c r="AN5954" s="133"/>
      <c r="AO5954" s="134"/>
      <c r="AP5954" s="135"/>
      <c r="AQ5954" s="136"/>
      <c r="AR5954" s="118"/>
      <c r="AS5954" s="119"/>
      <c r="AT5954" s="118">
        <f t="shared" ref="AT5954" si="7844">AR5954*0.1</f>
        <v>0</v>
      </c>
      <c r="AU5954" s="119"/>
      <c r="AV5954" s="118"/>
      <c r="AW5954" s="119"/>
      <c r="AX5954" s="118">
        <f t="shared" ref="AX5954" si="7845">SUM(AR5954:AW5954)</f>
        <v>0</v>
      </c>
      <c r="AY5954" s="119"/>
      <c r="AZ5954" s="137"/>
    </row>
    <row r="5955" spans="1:52" ht="17.100000000000001" customHeight="1" thickBot="1">
      <c r="A5955" s="152"/>
      <c r="B5955" s="27" t="s">
        <v>1718</v>
      </c>
      <c r="C5955" s="27" t="s">
        <v>17221</v>
      </c>
      <c r="D5955" s="14" t="s">
        <v>2800</v>
      </c>
      <c r="E5955" s="112"/>
      <c r="F5955" s="139" t="s">
        <v>17222</v>
      </c>
      <c r="G5955" s="140"/>
      <c r="H5955" s="141"/>
      <c r="I5955" s="26">
        <v>54948</v>
      </c>
      <c r="J5955" s="117"/>
      <c r="K5955" s="120"/>
      <c r="L5955" s="121"/>
      <c r="M5955" s="120"/>
      <c r="N5955" s="121"/>
      <c r="O5955" s="120"/>
      <c r="P5955" s="121"/>
      <c r="Q5955" s="120"/>
      <c r="R5955" s="121"/>
      <c r="S5955" s="120"/>
      <c r="T5955" s="121"/>
      <c r="U5955" s="120"/>
      <c r="V5955" s="123"/>
      <c r="W5955" s="125"/>
      <c r="X5955" s="142" t="s">
        <v>19042</v>
      </c>
      <c r="Y5955" s="143"/>
      <c r="Z5955" s="143"/>
      <c r="AA5955" s="143"/>
      <c r="AB5955" s="144"/>
      <c r="AC5955" s="16" t="s">
        <v>21</v>
      </c>
      <c r="AD5955" s="17" t="s">
        <v>2353</v>
      </c>
      <c r="AE5955" s="145" t="s">
        <v>19164</v>
      </c>
      <c r="AF5955" s="146"/>
      <c r="AG5955" s="146"/>
      <c r="AH5955" s="146"/>
      <c r="AI5955" s="147"/>
      <c r="AJ5955" s="148"/>
      <c r="AK5955" s="143"/>
      <c r="AL5955" s="144"/>
      <c r="AM5955" s="22"/>
      <c r="AN5955" s="149"/>
      <c r="AO5955" s="144"/>
      <c r="AP5955" s="148"/>
      <c r="AQ5955" s="144"/>
      <c r="AR5955" s="120"/>
      <c r="AS5955" s="121"/>
      <c r="AT5955" s="120"/>
      <c r="AU5955" s="121"/>
      <c r="AV5955" s="120"/>
      <c r="AW5955" s="121"/>
      <c r="AX5955" s="120"/>
      <c r="AY5955" s="121"/>
      <c r="AZ5955" s="138"/>
    </row>
    <row r="5956" spans="1:52" ht="17.100000000000001" customHeight="1" thickTop="1">
      <c r="A5956" s="109" t="s">
        <v>17210</v>
      </c>
      <c r="B5956" s="28">
        <v>46059</v>
      </c>
      <c r="C5956" s="25"/>
      <c r="D5956" s="13" t="s">
        <v>2981</v>
      </c>
      <c r="E5956" s="111"/>
      <c r="F5956" s="113" t="s">
        <v>17278</v>
      </c>
      <c r="G5956" s="114"/>
      <c r="H5956" s="115"/>
      <c r="I5956" s="24" t="s">
        <v>8647</v>
      </c>
      <c r="J5956" s="116">
        <v>0</v>
      </c>
      <c r="K5956" s="118">
        <v>81000</v>
      </c>
      <c r="L5956" s="119"/>
      <c r="M5956" s="118">
        <f t="shared" ref="M5956" si="7846">K5956*0.1</f>
        <v>8100</v>
      </c>
      <c r="N5956" s="119"/>
      <c r="O5956" s="118">
        <v>0</v>
      </c>
      <c r="P5956" s="119"/>
      <c r="Q5956" s="118">
        <v>9380</v>
      </c>
      <c r="R5956" s="119"/>
      <c r="S5956" s="118">
        <v>0</v>
      </c>
      <c r="T5956" s="119"/>
      <c r="U5956" s="118">
        <f t="shared" ref="U5956" si="7847">SUM(K5956:T5957)</f>
        <v>98480</v>
      </c>
      <c r="V5956" s="122"/>
      <c r="W5956" s="124"/>
      <c r="X5956" s="126" t="s">
        <v>18230</v>
      </c>
      <c r="Y5956" s="127"/>
      <c r="Z5956" s="127"/>
      <c r="AA5956" s="127"/>
      <c r="AB5956" s="128"/>
      <c r="AC5956" s="15" t="s">
        <v>20</v>
      </c>
      <c r="AD5956" s="129"/>
      <c r="AE5956" s="130"/>
      <c r="AF5956" s="130"/>
      <c r="AG5956" s="130"/>
      <c r="AH5956" s="130"/>
      <c r="AI5956" s="131"/>
      <c r="AJ5956" s="132"/>
      <c r="AK5956" s="127"/>
      <c r="AL5956" s="128"/>
      <c r="AM5956" s="21"/>
      <c r="AN5956" s="133">
        <v>46081</v>
      </c>
      <c r="AO5956" s="134"/>
      <c r="AP5956" s="135">
        <v>1290</v>
      </c>
      <c r="AQ5956" s="136"/>
      <c r="AR5956" s="118">
        <v>190000</v>
      </c>
      <c r="AS5956" s="119"/>
      <c r="AT5956" s="118">
        <f t="shared" ref="AT5956" si="7848">AR5956*0.1</f>
        <v>19000</v>
      </c>
      <c r="AU5956" s="119"/>
      <c r="AV5956" s="118">
        <v>9380</v>
      </c>
      <c r="AW5956" s="119"/>
      <c r="AX5956" s="118">
        <f t="shared" ref="AX5956" si="7849">SUM(AR5956:AW5956)</f>
        <v>218380</v>
      </c>
      <c r="AY5956" s="119"/>
      <c r="AZ5956" s="137">
        <v>46084</v>
      </c>
    </row>
    <row r="5957" spans="1:52" ht="17.100000000000001" customHeight="1" thickBot="1">
      <c r="A5957" s="110"/>
      <c r="B5957" s="27" t="s">
        <v>1718</v>
      </c>
      <c r="C5957" s="27" t="s">
        <v>17223</v>
      </c>
      <c r="D5957" s="14" t="s">
        <v>1592</v>
      </c>
      <c r="E5957" s="112"/>
      <c r="F5957" s="139" t="s">
        <v>17224</v>
      </c>
      <c r="G5957" s="140"/>
      <c r="H5957" s="141"/>
      <c r="I5957" s="26">
        <v>57669</v>
      </c>
      <c r="J5957" s="117"/>
      <c r="K5957" s="120"/>
      <c r="L5957" s="121"/>
      <c r="M5957" s="120"/>
      <c r="N5957" s="121"/>
      <c r="O5957" s="120"/>
      <c r="P5957" s="121"/>
      <c r="Q5957" s="120"/>
      <c r="R5957" s="121"/>
      <c r="S5957" s="120"/>
      <c r="T5957" s="121"/>
      <c r="U5957" s="120"/>
      <c r="V5957" s="123"/>
      <c r="W5957" s="125"/>
      <c r="X5957" s="142" t="s">
        <v>18231</v>
      </c>
      <c r="Y5957" s="143"/>
      <c r="Z5957" s="143"/>
      <c r="AA5957" s="143"/>
      <c r="AB5957" s="144"/>
      <c r="AC5957" s="16" t="s">
        <v>21</v>
      </c>
      <c r="AD5957" s="17" t="s">
        <v>18232</v>
      </c>
      <c r="AE5957" s="145" t="s">
        <v>3517</v>
      </c>
      <c r="AF5957" s="146"/>
      <c r="AG5957" s="146"/>
      <c r="AH5957" s="146"/>
      <c r="AI5957" s="147"/>
      <c r="AJ5957" s="148"/>
      <c r="AK5957" s="143"/>
      <c r="AL5957" s="144"/>
      <c r="AM5957" s="22"/>
      <c r="AN5957" s="149" t="s">
        <v>2511</v>
      </c>
      <c r="AO5957" s="144"/>
      <c r="AP5957" s="148">
        <v>31197</v>
      </c>
      <c r="AQ5957" s="144"/>
      <c r="AR5957" s="120"/>
      <c r="AS5957" s="121"/>
      <c r="AT5957" s="120"/>
      <c r="AU5957" s="121"/>
      <c r="AV5957" s="120"/>
      <c r="AW5957" s="121"/>
      <c r="AX5957" s="120"/>
      <c r="AY5957" s="121"/>
      <c r="AZ5957" s="138"/>
    </row>
    <row r="5958" spans="1:52" ht="17.100000000000001" customHeight="1" thickTop="1">
      <c r="A5958" s="109" t="s">
        <v>17225</v>
      </c>
      <c r="B5958" s="28">
        <v>46060</v>
      </c>
      <c r="C5958" s="25">
        <v>298</v>
      </c>
      <c r="D5958" s="13" t="s">
        <v>2001</v>
      </c>
      <c r="E5958" s="111"/>
      <c r="F5958" s="113" t="s">
        <v>7391</v>
      </c>
      <c r="G5958" s="114"/>
      <c r="H5958" s="115"/>
      <c r="I5958" s="24"/>
      <c r="J5958" s="116">
        <v>4.5</v>
      </c>
      <c r="K5958" s="118">
        <v>511000</v>
      </c>
      <c r="L5958" s="119"/>
      <c r="M5958" s="118">
        <f t="shared" ref="M5958" si="7850">K5958*0.1</f>
        <v>51100</v>
      </c>
      <c r="N5958" s="119"/>
      <c r="O5958" s="118">
        <v>0</v>
      </c>
      <c r="P5958" s="119"/>
      <c r="Q5958" s="118">
        <v>6550</v>
      </c>
      <c r="R5958" s="119"/>
      <c r="S5958" s="118">
        <v>15950</v>
      </c>
      <c r="T5958" s="119"/>
      <c r="U5958" s="118">
        <f t="shared" ref="U5958" si="7851">SUM(K5958:T5959)</f>
        <v>584600</v>
      </c>
      <c r="V5958" s="122"/>
      <c r="W5958" s="124"/>
      <c r="X5958" s="126" t="s">
        <v>17722</v>
      </c>
      <c r="Y5958" s="127"/>
      <c r="Z5958" s="127"/>
      <c r="AA5958" s="127"/>
      <c r="AB5958" s="128"/>
      <c r="AC5958" s="15" t="s">
        <v>20</v>
      </c>
      <c r="AD5958" s="129" t="s">
        <v>17309</v>
      </c>
      <c r="AE5958" s="130"/>
      <c r="AF5958" s="130"/>
      <c r="AG5958" s="130"/>
      <c r="AH5958" s="130"/>
      <c r="AI5958" s="131"/>
      <c r="AJ5958" s="132"/>
      <c r="AK5958" s="127"/>
      <c r="AL5958" s="128"/>
      <c r="AM5958" s="21"/>
      <c r="AN5958" s="133">
        <v>46067</v>
      </c>
      <c r="AO5958" s="134"/>
      <c r="AP5958" s="135">
        <v>1288</v>
      </c>
      <c r="AQ5958" s="136"/>
      <c r="AR5958" s="118">
        <v>610000</v>
      </c>
      <c r="AS5958" s="119"/>
      <c r="AT5958" s="118">
        <f t="shared" ref="AT5958" si="7852">AR5958*0.1</f>
        <v>61000</v>
      </c>
      <c r="AU5958" s="119"/>
      <c r="AV5958" s="118">
        <v>6550</v>
      </c>
      <c r="AW5958" s="119"/>
      <c r="AX5958" s="118">
        <f t="shared" ref="AX5958" si="7853">SUM(AR5958:AW5958)</f>
        <v>677550</v>
      </c>
      <c r="AY5958" s="119"/>
      <c r="AZ5958" s="137">
        <v>46070</v>
      </c>
    </row>
    <row r="5959" spans="1:52" ht="17.100000000000001" customHeight="1" thickBot="1">
      <c r="A5959" s="110"/>
      <c r="B5959" s="27" t="s">
        <v>3574</v>
      </c>
      <c r="C5959" s="27">
        <v>3126</v>
      </c>
      <c r="D5959" s="14" t="s">
        <v>1592</v>
      </c>
      <c r="E5959" s="112"/>
      <c r="F5959" s="139" t="s">
        <v>17226</v>
      </c>
      <c r="G5959" s="140"/>
      <c r="H5959" s="141"/>
      <c r="I5959" s="26">
        <v>34130</v>
      </c>
      <c r="J5959" s="117"/>
      <c r="K5959" s="120"/>
      <c r="L5959" s="121"/>
      <c r="M5959" s="120"/>
      <c r="N5959" s="121"/>
      <c r="O5959" s="120"/>
      <c r="P5959" s="121"/>
      <c r="Q5959" s="120"/>
      <c r="R5959" s="121"/>
      <c r="S5959" s="120"/>
      <c r="T5959" s="121"/>
      <c r="U5959" s="120"/>
      <c r="V5959" s="123"/>
      <c r="W5959" s="125"/>
      <c r="X5959" s="142" t="s">
        <v>3986</v>
      </c>
      <c r="Y5959" s="143"/>
      <c r="Z5959" s="143"/>
      <c r="AA5959" s="143"/>
      <c r="AB5959" s="144"/>
      <c r="AC5959" s="16" t="s">
        <v>21</v>
      </c>
      <c r="AD5959" s="17" t="s">
        <v>2298</v>
      </c>
      <c r="AE5959" s="145" t="s">
        <v>171</v>
      </c>
      <c r="AF5959" s="146"/>
      <c r="AG5959" s="146"/>
      <c r="AH5959" s="146"/>
      <c r="AI5959" s="147"/>
      <c r="AJ5959" s="148"/>
      <c r="AK5959" s="143"/>
      <c r="AL5959" s="144"/>
      <c r="AM5959" s="22"/>
      <c r="AN5959" s="149" t="s">
        <v>2511</v>
      </c>
      <c r="AO5959" s="144"/>
      <c r="AP5959" s="148">
        <v>60036</v>
      </c>
      <c r="AQ5959" s="144"/>
      <c r="AR5959" s="120"/>
      <c r="AS5959" s="121"/>
      <c r="AT5959" s="120"/>
      <c r="AU5959" s="121"/>
      <c r="AV5959" s="120"/>
      <c r="AW5959" s="121"/>
      <c r="AX5959" s="120"/>
      <c r="AY5959" s="121"/>
      <c r="AZ5959" s="138"/>
    </row>
    <row r="5960" spans="1:52" ht="17.100000000000001" customHeight="1" thickTop="1">
      <c r="A5960" s="151" t="s">
        <v>17227</v>
      </c>
      <c r="B5960" s="28">
        <v>46060</v>
      </c>
      <c r="C5960" s="25"/>
      <c r="D5960" s="13" t="s">
        <v>17364</v>
      </c>
      <c r="E5960" s="111"/>
      <c r="F5960" s="113" t="s">
        <v>15514</v>
      </c>
      <c r="G5960" s="114"/>
      <c r="H5960" s="115"/>
      <c r="I5960" s="24" t="s">
        <v>17365</v>
      </c>
      <c r="J5960" s="116">
        <v>4.5</v>
      </c>
      <c r="K5960" s="118">
        <v>4060000</v>
      </c>
      <c r="L5960" s="119"/>
      <c r="M5960" s="118">
        <f t="shared" ref="M5960" si="7854">K5960*0.1</f>
        <v>406000</v>
      </c>
      <c r="N5960" s="119"/>
      <c r="O5960" s="118">
        <v>0</v>
      </c>
      <c r="P5960" s="119"/>
      <c r="Q5960" s="118">
        <v>18470</v>
      </c>
      <c r="R5960" s="119"/>
      <c r="S5960" s="118">
        <v>0</v>
      </c>
      <c r="T5960" s="119"/>
      <c r="U5960" s="118">
        <f t="shared" ref="U5960" si="7855">SUM(K5960:T5961)</f>
        <v>4484470</v>
      </c>
      <c r="V5960" s="122"/>
      <c r="W5960" s="124"/>
      <c r="X5960" s="126"/>
      <c r="Y5960" s="127"/>
      <c r="Z5960" s="127"/>
      <c r="AA5960" s="127"/>
      <c r="AB5960" s="128"/>
      <c r="AC5960" s="15" t="s">
        <v>20</v>
      </c>
      <c r="AD5960" s="129" t="s">
        <v>17301</v>
      </c>
      <c r="AE5960" s="130"/>
      <c r="AF5960" s="130"/>
      <c r="AG5960" s="130"/>
      <c r="AH5960" s="130"/>
      <c r="AI5960" s="131"/>
      <c r="AJ5960" s="132" t="s">
        <v>8040</v>
      </c>
      <c r="AK5960" s="127"/>
      <c r="AL5960" s="128"/>
      <c r="AM5960" s="21"/>
      <c r="AN5960" s="133"/>
      <c r="AO5960" s="134"/>
      <c r="AP5960" s="135"/>
      <c r="AQ5960" s="136"/>
      <c r="AR5960" s="118"/>
      <c r="AS5960" s="119"/>
      <c r="AT5960" s="118">
        <f t="shared" ref="AT5960" si="7856">AR5960*0.1</f>
        <v>0</v>
      </c>
      <c r="AU5960" s="119"/>
      <c r="AV5960" s="118"/>
      <c r="AW5960" s="119"/>
      <c r="AX5960" s="118">
        <f t="shared" ref="AX5960" si="7857">SUM(AR5960:AW5960)</f>
        <v>0</v>
      </c>
      <c r="AY5960" s="119"/>
      <c r="AZ5960" s="137"/>
    </row>
    <row r="5961" spans="1:52" ht="17.100000000000001" customHeight="1" thickBot="1">
      <c r="A5961" s="152"/>
      <c r="B5961" s="27" t="s">
        <v>1718</v>
      </c>
      <c r="C5961" s="27" t="s">
        <v>17228</v>
      </c>
      <c r="D5961" s="14" t="s">
        <v>17299</v>
      </c>
      <c r="E5961" s="112"/>
      <c r="F5961" s="139" t="s">
        <v>17235</v>
      </c>
      <c r="G5961" s="140"/>
      <c r="H5961" s="141"/>
      <c r="I5961" s="26">
        <v>52488</v>
      </c>
      <c r="J5961" s="117"/>
      <c r="K5961" s="120"/>
      <c r="L5961" s="121"/>
      <c r="M5961" s="120"/>
      <c r="N5961" s="121"/>
      <c r="O5961" s="120"/>
      <c r="P5961" s="121"/>
      <c r="Q5961" s="120"/>
      <c r="R5961" s="121"/>
      <c r="S5961" s="120"/>
      <c r="T5961" s="121"/>
      <c r="U5961" s="120"/>
      <c r="V5961" s="123"/>
      <c r="W5961" s="125"/>
      <c r="X5961" s="142"/>
      <c r="Y5961" s="143"/>
      <c r="Z5961" s="143"/>
      <c r="AA5961" s="143"/>
      <c r="AB5961" s="144"/>
      <c r="AC5961" s="16" t="s">
        <v>21</v>
      </c>
      <c r="AD5961" s="17" t="s">
        <v>10540</v>
      </c>
      <c r="AE5961" s="145"/>
      <c r="AF5961" s="146"/>
      <c r="AG5961" s="146"/>
      <c r="AH5961" s="146"/>
      <c r="AI5961" s="147"/>
      <c r="AJ5961" s="148"/>
      <c r="AK5961" s="143"/>
      <c r="AL5961" s="144"/>
      <c r="AM5961" s="22"/>
      <c r="AN5961" s="149"/>
      <c r="AO5961" s="144"/>
      <c r="AP5961" s="148"/>
      <c r="AQ5961" s="144"/>
      <c r="AR5961" s="120"/>
      <c r="AS5961" s="121"/>
      <c r="AT5961" s="120"/>
      <c r="AU5961" s="121"/>
      <c r="AV5961" s="120"/>
      <c r="AW5961" s="121"/>
      <c r="AX5961" s="120"/>
      <c r="AY5961" s="121"/>
      <c r="AZ5961" s="138"/>
    </row>
    <row r="5962" spans="1:52" ht="17.100000000000001" customHeight="1" thickTop="1">
      <c r="A5962" s="109" t="s">
        <v>17229</v>
      </c>
      <c r="B5962" s="28">
        <v>46060</v>
      </c>
      <c r="C5962" s="25">
        <v>1530</v>
      </c>
      <c r="D5962" s="13" t="s">
        <v>17366</v>
      </c>
      <c r="E5962" s="111"/>
      <c r="F5962" s="113" t="s">
        <v>16057</v>
      </c>
      <c r="G5962" s="114"/>
      <c r="H5962" s="115"/>
      <c r="I5962" s="24"/>
      <c r="J5962" s="116">
        <v>4.5</v>
      </c>
      <c r="K5962" s="118">
        <v>2990000</v>
      </c>
      <c r="L5962" s="119"/>
      <c r="M5962" s="118">
        <f t="shared" ref="M5962" si="7858">K5962*0.1</f>
        <v>299000</v>
      </c>
      <c r="N5962" s="119"/>
      <c r="O5962" s="118">
        <v>0</v>
      </c>
      <c r="P5962" s="119"/>
      <c r="Q5962" s="118">
        <v>18170</v>
      </c>
      <c r="R5962" s="119"/>
      <c r="S5962" s="118">
        <v>16500</v>
      </c>
      <c r="T5962" s="119"/>
      <c r="U5962" s="118">
        <f t="shared" ref="U5962" si="7859">SUM(K5962:T5963)</f>
        <v>3323670</v>
      </c>
      <c r="V5962" s="122"/>
      <c r="W5962" s="124"/>
      <c r="X5962" s="126" t="s">
        <v>18002</v>
      </c>
      <c r="Y5962" s="127"/>
      <c r="Z5962" s="127"/>
      <c r="AA5962" s="127"/>
      <c r="AB5962" s="128"/>
      <c r="AC5962" s="15" t="s">
        <v>20</v>
      </c>
      <c r="AD5962" s="129" t="s">
        <v>17368</v>
      </c>
      <c r="AE5962" s="130"/>
      <c r="AF5962" s="130"/>
      <c r="AG5962" s="130"/>
      <c r="AH5962" s="130"/>
      <c r="AI5962" s="131"/>
      <c r="AJ5962" s="132"/>
      <c r="AK5962" s="127"/>
      <c r="AL5962" s="128"/>
      <c r="AM5962" s="21"/>
      <c r="AN5962" s="133">
        <v>46095</v>
      </c>
      <c r="AO5962" s="134"/>
      <c r="AP5962" s="135">
        <v>1292</v>
      </c>
      <c r="AQ5962" s="136"/>
      <c r="AR5962" s="118">
        <v>3220000</v>
      </c>
      <c r="AS5962" s="119"/>
      <c r="AT5962" s="118">
        <f t="shared" ref="AT5962" si="7860">AR5962*0.1</f>
        <v>322000</v>
      </c>
      <c r="AU5962" s="119"/>
      <c r="AV5962" s="118">
        <v>18170</v>
      </c>
      <c r="AW5962" s="119"/>
      <c r="AX5962" s="118">
        <f t="shared" ref="AX5962" si="7861">SUM(AR5962:AW5962)</f>
        <v>3560170</v>
      </c>
      <c r="AY5962" s="119"/>
      <c r="AZ5962" s="137">
        <v>46105</v>
      </c>
    </row>
    <row r="5963" spans="1:52" ht="17.100000000000001" customHeight="1" thickBot="1">
      <c r="A5963" s="110"/>
      <c r="B5963" s="27" t="s">
        <v>1555</v>
      </c>
      <c r="C5963" s="27">
        <v>83110</v>
      </c>
      <c r="D5963" s="14" t="s">
        <v>17297</v>
      </c>
      <c r="E5963" s="112"/>
      <c r="F5963" s="139" t="s">
        <v>17367</v>
      </c>
      <c r="G5963" s="140"/>
      <c r="H5963" s="141"/>
      <c r="I5963" s="26">
        <v>27034</v>
      </c>
      <c r="J5963" s="117"/>
      <c r="K5963" s="120"/>
      <c r="L5963" s="121"/>
      <c r="M5963" s="120"/>
      <c r="N5963" s="121"/>
      <c r="O5963" s="120"/>
      <c r="P5963" s="121"/>
      <c r="Q5963" s="120"/>
      <c r="R5963" s="121"/>
      <c r="S5963" s="120"/>
      <c r="T5963" s="121"/>
      <c r="U5963" s="120"/>
      <c r="V5963" s="123"/>
      <c r="W5963" s="125"/>
      <c r="X5963" s="142" t="s">
        <v>18003</v>
      </c>
      <c r="Y5963" s="143"/>
      <c r="Z5963" s="143"/>
      <c r="AA5963" s="143"/>
      <c r="AB5963" s="144"/>
      <c r="AC5963" s="16" t="s">
        <v>21</v>
      </c>
      <c r="AD5963" s="17" t="s">
        <v>3583</v>
      </c>
      <c r="AE5963" s="145" t="s">
        <v>3609</v>
      </c>
      <c r="AF5963" s="146"/>
      <c r="AG5963" s="146"/>
      <c r="AH5963" s="146"/>
      <c r="AI5963" s="147"/>
      <c r="AJ5963" s="148"/>
      <c r="AK5963" s="143"/>
      <c r="AL5963" s="144"/>
      <c r="AM5963" s="22"/>
      <c r="AN5963" s="149" t="s">
        <v>6748</v>
      </c>
      <c r="AO5963" s="144"/>
      <c r="AP5963" s="148">
        <v>80193</v>
      </c>
      <c r="AQ5963" s="144"/>
      <c r="AR5963" s="120"/>
      <c r="AS5963" s="121"/>
      <c r="AT5963" s="120"/>
      <c r="AU5963" s="121"/>
      <c r="AV5963" s="120"/>
      <c r="AW5963" s="121"/>
      <c r="AX5963" s="120"/>
      <c r="AY5963" s="121"/>
      <c r="AZ5963" s="138"/>
    </row>
    <row r="5964" spans="1:52" ht="17.100000000000001" customHeight="1" thickTop="1">
      <c r="A5964" s="109" t="s">
        <v>17230</v>
      </c>
      <c r="B5964" s="28">
        <v>46060</v>
      </c>
      <c r="C5964" s="25">
        <v>1530</v>
      </c>
      <c r="D5964" s="13" t="s">
        <v>17366</v>
      </c>
      <c r="E5964" s="111"/>
      <c r="F5964" s="113" t="s">
        <v>421</v>
      </c>
      <c r="G5964" s="114"/>
      <c r="H5964" s="115"/>
      <c r="I5964" s="24"/>
      <c r="J5964" s="116">
        <v>4.5</v>
      </c>
      <c r="K5964" s="118">
        <v>1850000</v>
      </c>
      <c r="L5964" s="119"/>
      <c r="M5964" s="118">
        <f t="shared" ref="M5964" si="7862">K5964*0.1</f>
        <v>185000</v>
      </c>
      <c r="N5964" s="119"/>
      <c r="O5964" s="118">
        <v>0</v>
      </c>
      <c r="P5964" s="119"/>
      <c r="Q5964" s="118">
        <v>17600</v>
      </c>
      <c r="R5964" s="119"/>
      <c r="S5964" s="118">
        <v>27500</v>
      </c>
      <c r="T5964" s="119"/>
      <c r="U5964" s="118">
        <f t="shared" ref="U5964" si="7863">SUM(K5964:T5965)</f>
        <v>2080100</v>
      </c>
      <c r="V5964" s="122"/>
      <c r="W5964" s="124"/>
      <c r="X5964" s="126" t="s">
        <v>17671</v>
      </c>
      <c r="Y5964" s="127"/>
      <c r="Z5964" s="127"/>
      <c r="AA5964" s="127"/>
      <c r="AB5964" s="128"/>
      <c r="AC5964" s="15" t="s">
        <v>20</v>
      </c>
      <c r="AD5964" s="129"/>
      <c r="AE5964" s="130"/>
      <c r="AF5964" s="130"/>
      <c r="AG5964" s="130"/>
      <c r="AH5964" s="130"/>
      <c r="AI5964" s="131"/>
      <c r="AJ5964" s="132"/>
      <c r="AK5964" s="127"/>
      <c r="AL5964" s="128"/>
      <c r="AM5964" s="21"/>
      <c r="AN5964" s="133">
        <v>46109</v>
      </c>
      <c r="AO5964" s="134"/>
      <c r="AP5964" s="135">
        <v>1294</v>
      </c>
      <c r="AQ5964" s="136"/>
      <c r="AR5964" s="118">
        <v>2000000</v>
      </c>
      <c r="AS5964" s="119"/>
      <c r="AT5964" s="118">
        <f t="shared" ref="AT5964" si="7864">AR5964*0.1</f>
        <v>200000</v>
      </c>
      <c r="AU5964" s="119"/>
      <c r="AV5964" s="118">
        <v>17600</v>
      </c>
      <c r="AW5964" s="119"/>
      <c r="AX5964" s="118">
        <f t="shared" ref="AX5964" si="7865">SUM(AR5964:AW5964)</f>
        <v>2217600</v>
      </c>
      <c r="AY5964" s="119"/>
      <c r="AZ5964" s="137">
        <v>46112</v>
      </c>
    </row>
    <row r="5965" spans="1:52" ht="17.100000000000001" customHeight="1" thickBot="1">
      <c r="A5965" s="110"/>
      <c r="B5965" s="27" t="s">
        <v>1555</v>
      </c>
      <c r="C5965" s="27">
        <v>83178</v>
      </c>
      <c r="D5965" s="14" t="s">
        <v>133</v>
      </c>
      <c r="E5965" s="112"/>
      <c r="F5965" s="139" t="s">
        <v>17369</v>
      </c>
      <c r="G5965" s="140"/>
      <c r="H5965" s="141"/>
      <c r="I5965" s="26">
        <v>39009</v>
      </c>
      <c r="J5965" s="117"/>
      <c r="K5965" s="120"/>
      <c r="L5965" s="121"/>
      <c r="M5965" s="120"/>
      <c r="N5965" s="121"/>
      <c r="O5965" s="120"/>
      <c r="P5965" s="121"/>
      <c r="Q5965" s="120"/>
      <c r="R5965" s="121"/>
      <c r="S5965" s="120"/>
      <c r="T5965" s="121"/>
      <c r="U5965" s="120"/>
      <c r="V5965" s="123"/>
      <c r="W5965" s="125"/>
      <c r="X5965" s="142" t="s">
        <v>17672</v>
      </c>
      <c r="Y5965" s="143"/>
      <c r="Z5965" s="143"/>
      <c r="AA5965" s="143"/>
      <c r="AB5965" s="144"/>
      <c r="AC5965" s="16" t="s">
        <v>21</v>
      </c>
      <c r="AD5965" s="17" t="s">
        <v>2298</v>
      </c>
      <c r="AE5965" s="145" t="s">
        <v>7859</v>
      </c>
      <c r="AF5965" s="146"/>
      <c r="AG5965" s="146"/>
      <c r="AH5965" s="146"/>
      <c r="AI5965" s="147"/>
      <c r="AJ5965" s="148"/>
      <c r="AK5965" s="143"/>
      <c r="AL5965" s="144"/>
      <c r="AM5965" s="22"/>
      <c r="AN5965" s="149" t="s">
        <v>21802</v>
      </c>
      <c r="AO5965" s="144"/>
      <c r="AP5965" s="148">
        <v>80100</v>
      </c>
      <c r="AQ5965" s="144"/>
      <c r="AR5965" s="120"/>
      <c r="AS5965" s="121"/>
      <c r="AT5965" s="120"/>
      <c r="AU5965" s="121"/>
      <c r="AV5965" s="120"/>
      <c r="AW5965" s="121"/>
      <c r="AX5965" s="120"/>
      <c r="AY5965" s="121"/>
      <c r="AZ5965" s="138"/>
    </row>
    <row r="5966" spans="1:52" ht="17.100000000000001" customHeight="1" thickTop="1">
      <c r="A5966" s="109" t="s">
        <v>17231</v>
      </c>
      <c r="B5966" s="28">
        <v>46060</v>
      </c>
      <c r="C5966" s="25">
        <v>1287</v>
      </c>
      <c r="D5966" s="13" t="s">
        <v>17327</v>
      </c>
      <c r="E5966" s="111"/>
      <c r="F5966" s="113" t="s">
        <v>17346</v>
      </c>
      <c r="G5966" s="114"/>
      <c r="H5966" s="115"/>
      <c r="I5966" s="24"/>
      <c r="J5966" s="116">
        <v>4</v>
      </c>
      <c r="K5966" s="118">
        <v>800000</v>
      </c>
      <c r="L5966" s="119"/>
      <c r="M5966" s="118">
        <f t="shared" ref="M5966" si="7866">K5966*0.1</f>
        <v>80000</v>
      </c>
      <c r="N5966" s="119"/>
      <c r="O5966" s="118">
        <v>0</v>
      </c>
      <c r="P5966" s="119"/>
      <c r="Q5966" s="118">
        <v>10190</v>
      </c>
      <c r="R5966" s="119"/>
      <c r="S5966" s="118">
        <v>12100</v>
      </c>
      <c r="T5966" s="119"/>
      <c r="U5966" s="118">
        <f t="shared" ref="U5966" si="7867">SUM(K5966:T5967)</f>
        <v>902290</v>
      </c>
      <c r="V5966" s="122"/>
      <c r="W5966" s="124"/>
      <c r="X5966" s="126" t="s">
        <v>17992</v>
      </c>
      <c r="Y5966" s="127"/>
      <c r="Z5966" s="127"/>
      <c r="AA5966" s="127"/>
      <c r="AB5966" s="128"/>
      <c r="AC5966" s="15" t="s">
        <v>20</v>
      </c>
      <c r="AD5966" s="129" t="s">
        <v>17370</v>
      </c>
      <c r="AE5966" s="130"/>
      <c r="AF5966" s="130"/>
      <c r="AG5966" s="130"/>
      <c r="AH5966" s="130"/>
      <c r="AI5966" s="131"/>
      <c r="AJ5966" s="132"/>
      <c r="AK5966" s="127"/>
      <c r="AL5966" s="128"/>
      <c r="AM5966" s="21"/>
      <c r="AN5966" s="133">
        <v>46071</v>
      </c>
      <c r="AO5966" s="134"/>
      <c r="AP5966" s="135">
        <v>1005</v>
      </c>
      <c r="AQ5966" s="136"/>
      <c r="AR5966" s="118">
        <v>890000</v>
      </c>
      <c r="AS5966" s="119"/>
      <c r="AT5966" s="118">
        <f t="shared" ref="AT5966" si="7868">AR5966*0.1</f>
        <v>89000</v>
      </c>
      <c r="AU5966" s="119"/>
      <c r="AV5966" s="118">
        <v>10190</v>
      </c>
      <c r="AW5966" s="119"/>
      <c r="AX5966" s="118">
        <f t="shared" ref="AX5966" si="7869">SUM(AR5966:AW5966)</f>
        <v>989190</v>
      </c>
      <c r="AY5966" s="119"/>
      <c r="AZ5966" s="137">
        <v>46073</v>
      </c>
    </row>
    <row r="5967" spans="1:52" ht="17.100000000000001" customHeight="1" thickBot="1">
      <c r="A5967" s="110"/>
      <c r="B5967" s="27" t="s">
        <v>17335</v>
      </c>
      <c r="C5967" s="27">
        <v>35314</v>
      </c>
      <c r="D5967" s="14" t="s">
        <v>17297</v>
      </c>
      <c r="E5967" s="112"/>
      <c r="F5967" s="139" t="s">
        <v>17347</v>
      </c>
      <c r="G5967" s="140"/>
      <c r="H5967" s="141"/>
      <c r="I5967" s="26">
        <v>78315</v>
      </c>
      <c r="J5967" s="117"/>
      <c r="K5967" s="120"/>
      <c r="L5967" s="121"/>
      <c r="M5967" s="120"/>
      <c r="N5967" s="121"/>
      <c r="O5967" s="120"/>
      <c r="P5967" s="121"/>
      <c r="Q5967" s="120"/>
      <c r="R5967" s="121"/>
      <c r="S5967" s="120"/>
      <c r="T5967" s="121"/>
      <c r="U5967" s="120"/>
      <c r="V5967" s="123"/>
      <c r="W5967" s="125"/>
      <c r="X5967" s="142" t="s">
        <v>17993</v>
      </c>
      <c r="Y5967" s="143"/>
      <c r="Z5967" s="143"/>
      <c r="AA5967" s="143"/>
      <c r="AB5967" s="144"/>
      <c r="AC5967" s="16" t="s">
        <v>21</v>
      </c>
      <c r="AD5967" s="17" t="s">
        <v>3583</v>
      </c>
      <c r="AE5967" s="145" t="s">
        <v>17994</v>
      </c>
      <c r="AF5967" s="146"/>
      <c r="AG5967" s="146"/>
      <c r="AH5967" s="146"/>
      <c r="AI5967" s="147"/>
      <c r="AJ5967" s="148"/>
      <c r="AK5967" s="143"/>
      <c r="AL5967" s="144"/>
      <c r="AM5967" s="22"/>
      <c r="AN5967" s="149" t="s">
        <v>2794</v>
      </c>
      <c r="AO5967" s="144"/>
      <c r="AP5967" s="148">
        <v>6027</v>
      </c>
      <c r="AQ5967" s="144"/>
      <c r="AR5967" s="120"/>
      <c r="AS5967" s="121"/>
      <c r="AT5967" s="120"/>
      <c r="AU5967" s="121"/>
      <c r="AV5967" s="120"/>
      <c r="AW5967" s="121"/>
      <c r="AX5967" s="120"/>
      <c r="AY5967" s="121"/>
      <c r="AZ5967" s="138"/>
    </row>
    <row r="5968" spans="1:52" ht="17.100000000000001" customHeight="1" thickTop="1">
      <c r="A5968" s="109" t="s">
        <v>17232</v>
      </c>
      <c r="B5968" s="28">
        <v>46060</v>
      </c>
      <c r="C5968" s="25">
        <v>1287</v>
      </c>
      <c r="D5968" s="13" t="s">
        <v>17371</v>
      </c>
      <c r="E5968" s="111"/>
      <c r="F5968" s="113" t="s">
        <v>17348</v>
      </c>
      <c r="G5968" s="114"/>
      <c r="H5968" s="115"/>
      <c r="I5968" s="24" t="s">
        <v>17372</v>
      </c>
      <c r="J5968" s="116">
        <v>4</v>
      </c>
      <c r="K5968" s="118">
        <v>805000</v>
      </c>
      <c r="L5968" s="119"/>
      <c r="M5968" s="118">
        <f t="shared" ref="M5968" si="7870">K5968*0.1</f>
        <v>80500</v>
      </c>
      <c r="N5968" s="119"/>
      <c r="O5968" s="118">
        <v>4070</v>
      </c>
      <c r="P5968" s="119"/>
      <c r="Q5968" s="118">
        <v>14340</v>
      </c>
      <c r="R5968" s="119"/>
      <c r="S5968" s="118">
        <v>12100</v>
      </c>
      <c r="T5968" s="119"/>
      <c r="U5968" s="118">
        <f t="shared" ref="U5968" si="7871">SUM(K5968:T5969)</f>
        <v>916010</v>
      </c>
      <c r="V5968" s="122"/>
      <c r="W5968" s="124"/>
      <c r="X5968" s="126" t="s">
        <v>17373</v>
      </c>
      <c r="Y5968" s="127"/>
      <c r="Z5968" s="127"/>
      <c r="AA5968" s="127"/>
      <c r="AB5968" s="128"/>
      <c r="AC5968" s="15" t="s">
        <v>20</v>
      </c>
      <c r="AD5968" s="129" t="s">
        <v>17374</v>
      </c>
      <c r="AE5968" s="130"/>
      <c r="AF5968" s="130"/>
      <c r="AG5968" s="130"/>
      <c r="AH5968" s="130"/>
      <c r="AI5968" s="131"/>
      <c r="AJ5968" s="132"/>
      <c r="AK5968" s="127"/>
      <c r="AL5968" s="128"/>
      <c r="AM5968" s="21"/>
      <c r="AN5968" s="133">
        <v>46078</v>
      </c>
      <c r="AO5968" s="134"/>
      <c r="AP5968" s="135">
        <v>1006</v>
      </c>
      <c r="AQ5968" s="136"/>
      <c r="AR5968" s="118">
        <v>820000</v>
      </c>
      <c r="AS5968" s="119"/>
      <c r="AT5968" s="118">
        <f t="shared" ref="AT5968" si="7872">AR5968*0.1</f>
        <v>82000</v>
      </c>
      <c r="AU5968" s="119"/>
      <c r="AV5968" s="118">
        <v>14340</v>
      </c>
      <c r="AW5968" s="119"/>
      <c r="AX5968" s="118">
        <f t="shared" ref="AX5968" si="7873">SUM(AR5968:AW5968)</f>
        <v>916340</v>
      </c>
      <c r="AY5968" s="119"/>
      <c r="AZ5968" s="137">
        <v>46083</v>
      </c>
    </row>
    <row r="5969" spans="1:52" ht="17.100000000000001" customHeight="1" thickBot="1">
      <c r="A5969" s="110"/>
      <c r="B5969" s="27" t="s">
        <v>17335</v>
      </c>
      <c r="C5969" s="27">
        <v>35316</v>
      </c>
      <c r="D5969" s="14" t="s">
        <v>2601</v>
      </c>
      <c r="E5969" s="112"/>
      <c r="F5969" s="139" t="s">
        <v>17349</v>
      </c>
      <c r="G5969" s="140"/>
      <c r="H5969" s="141"/>
      <c r="I5969" s="26">
        <v>97601</v>
      </c>
      <c r="J5969" s="117"/>
      <c r="K5969" s="120"/>
      <c r="L5969" s="121"/>
      <c r="M5969" s="120"/>
      <c r="N5969" s="121"/>
      <c r="O5969" s="120"/>
      <c r="P5969" s="121"/>
      <c r="Q5969" s="120"/>
      <c r="R5969" s="121"/>
      <c r="S5969" s="120"/>
      <c r="T5969" s="121"/>
      <c r="U5969" s="120"/>
      <c r="V5969" s="123"/>
      <c r="W5969" s="125"/>
      <c r="X5969" s="142" t="s">
        <v>17995</v>
      </c>
      <c r="Y5969" s="143"/>
      <c r="Z5969" s="143"/>
      <c r="AA5969" s="143"/>
      <c r="AB5969" s="144"/>
      <c r="AC5969" s="16" t="s">
        <v>21</v>
      </c>
      <c r="AD5969" s="17" t="s">
        <v>3583</v>
      </c>
      <c r="AE5969" s="145" t="s">
        <v>17996</v>
      </c>
      <c r="AF5969" s="146"/>
      <c r="AG5969" s="146"/>
      <c r="AH5969" s="146"/>
      <c r="AI5969" s="147"/>
      <c r="AJ5969" s="148" t="s">
        <v>17763</v>
      </c>
      <c r="AK5969" s="143"/>
      <c r="AL5969" s="144"/>
      <c r="AM5969" s="22"/>
      <c r="AN5969" s="149" t="s">
        <v>2794</v>
      </c>
      <c r="AO5969" s="144"/>
      <c r="AP5969" s="148">
        <v>6070</v>
      </c>
      <c r="AQ5969" s="144"/>
      <c r="AR5969" s="120"/>
      <c r="AS5969" s="121"/>
      <c r="AT5969" s="120"/>
      <c r="AU5969" s="121"/>
      <c r="AV5969" s="120"/>
      <c r="AW5969" s="121"/>
      <c r="AX5969" s="120"/>
      <c r="AY5969" s="121"/>
      <c r="AZ5969" s="138"/>
    </row>
    <row r="5970" spans="1:52" ht="17.100000000000001" customHeight="1" thickTop="1">
      <c r="A5970" s="109" t="s">
        <v>17233</v>
      </c>
      <c r="B5970" s="28">
        <v>46060</v>
      </c>
      <c r="C5970" s="25">
        <v>1287</v>
      </c>
      <c r="D5970" s="13" t="s">
        <v>17375</v>
      </c>
      <c r="E5970" s="111"/>
      <c r="F5970" s="113" t="s">
        <v>17350</v>
      </c>
      <c r="G5970" s="114"/>
      <c r="H5970" s="115"/>
      <c r="I5970" s="24" t="s">
        <v>17376</v>
      </c>
      <c r="J5970" s="116">
        <v>4</v>
      </c>
      <c r="K5970" s="118">
        <v>585000</v>
      </c>
      <c r="L5970" s="119"/>
      <c r="M5970" s="118">
        <f t="shared" ref="M5970" si="7874">K5970*0.1</f>
        <v>58500</v>
      </c>
      <c r="N5970" s="119"/>
      <c r="O5970" s="118">
        <v>3080</v>
      </c>
      <c r="P5970" s="119"/>
      <c r="Q5970" s="118">
        <v>9130</v>
      </c>
      <c r="R5970" s="119"/>
      <c r="S5970" s="118">
        <v>12100</v>
      </c>
      <c r="T5970" s="119"/>
      <c r="U5970" s="118">
        <f t="shared" ref="U5970" si="7875">SUM(K5970:T5971)</f>
        <v>667810</v>
      </c>
      <c r="V5970" s="122"/>
      <c r="W5970" s="124"/>
      <c r="X5970" s="126" t="s">
        <v>17377</v>
      </c>
      <c r="Y5970" s="127"/>
      <c r="Z5970" s="127"/>
      <c r="AA5970" s="127"/>
      <c r="AB5970" s="128"/>
      <c r="AC5970" s="15" t="s">
        <v>20</v>
      </c>
      <c r="AD5970" s="129" t="s">
        <v>17309</v>
      </c>
      <c r="AE5970" s="130"/>
      <c r="AF5970" s="130"/>
      <c r="AG5970" s="130"/>
      <c r="AH5970" s="130"/>
      <c r="AI5970" s="131"/>
      <c r="AJ5970" s="132"/>
      <c r="AK5970" s="127"/>
      <c r="AL5970" s="128"/>
      <c r="AM5970" s="21"/>
      <c r="AN5970" s="133">
        <v>46078</v>
      </c>
      <c r="AO5970" s="134"/>
      <c r="AP5970" s="135">
        <v>1006</v>
      </c>
      <c r="AQ5970" s="136"/>
      <c r="AR5970" s="118">
        <v>680000</v>
      </c>
      <c r="AS5970" s="119"/>
      <c r="AT5970" s="118">
        <f t="shared" ref="AT5970" si="7876">AR5970*0.1</f>
        <v>68000</v>
      </c>
      <c r="AU5970" s="119"/>
      <c r="AV5970" s="118">
        <v>9130</v>
      </c>
      <c r="AW5970" s="119"/>
      <c r="AX5970" s="118">
        <f t="shared" ref="AX5970" si="7877">SUM(AR5970:AW5970)</f>
        <v>757130</v>
      </c>
      <c r="AY5970" s="119"/>
      <c r="AZ5970" s="137">
        <v>46083</v>
      </c>
    </row>
    <row r="5971" spans="1:52" ht="17.100000000000001" customHeight="1" thickBot="1">
      <c r="A5971" s="110"/>
      <c r="B5971" s="27" t="s">
        <v>17335</v>
      </c>
      <c r="C5971" s="27">
        <v>37602</v>
      </c>
      <c r="D5971" s="14" t="s">
        <v>17297</v>
      </c>
      <c r="E5971" s="112"/>
      <c r="F5971" s="139" t="s">
        <v>17351</v>
      </c>
      <c r="G5971" s="140"/>
      <c r="H5971" s="141"/>
      <c r="I5971" s="26">
        <v>112323</v>
      </c>
      <c r="J5971" s="117"/>
      <c r="K5971" s="120"/>
      <c r="L5971" s="121"/>
      <c r="M5971" s="120"/>
      <c r="N5971" s="121"/>
      <c r="O5971" s="120"/>
      <c r="P5971" s="121"/>
      <c r="Q5971" s="120"/>
      <c r="R5971" s="121"/>
      <c r="S5971" s="120"/>
      <c r="T5971" s="121"/>
      <c r="U5971" s="120"/>
      <c r="V5971" s="123"/>
      <c r="W5971" s="125"/>
      <c r="X5971" s="142" t="s">
        <v>17990</v>
      </c>
      <c r="Y5971" s="143"/>
      <c r="Z5971" s="143"/>
      <c r="AA5971" s="143"/>
      <c r="AB5971" s="144"/>
      <c r="AC5971" s="16" t="s">
        <v>21</v>
      </c>
      <c r="AD5971" s="17" t="s">
        <v>3583</v>
      </c>
      <c r="AE5971" s="145" t="s">
        <v>17991</v>
      </c>
      <c r="AF5971" s="146"/>
      <c r="AG5971" s="146"/>
      <c r="AH5971" s="146"/>
      <c r="AI5971" s="147"/>
      <c r="AJ5971" s="148"/>
      <c r="AK5971" s="143"/>
      <c r="AL5971" s="144"/>
      <c r="AM5971" s="22"/>
      <c r="AN5971" s="149" t="s">
        <v>2794</v>
      </c>
      <c r="AO5971" s="144"/>
      <c r="AP5971" s="148">
        <v>6048</v>
      </c>
      <c r="AQ5971" s="144"/>
      <c r="AR5971" s="120"/>
      <c r="AS5971" s="121"/>
      <c r="AT5971" s="120"/>
      <c r="AU5971" s="121"/>
      <c r="AV5971" s="120"/>
      <c r="AW5971" s="121"/>
      <c r="AX5971" s="120"/>
      <c r="AY5971" s="121"/>
      <c r="AZ5971" s="138"/>
    </row>
    <row r="5972" spans="1:52" ht="17.100000000000001" customHeight="1" thickTop="1">
      <c r="A5972" s="109" t="s">
        <v>17234</v>
      </c>
      <c r="B5972" s="28">
        <v>46060</v>
      </c>
      <c r="C5972" s="25">
        <v>1287</v>
      </c>
      <c r="D5972" s="13" t="s">
        <v>17378</v>
      </c>
      <c r="E5972" s="111"/>
      <c r="F5972" s="113" t="s">
        <v>17352</v>
      </c>
      <c r="G5972" s="114"/>
      <c r="H5972" s="115"/>
      <c r="I5972" s="24"/>
      <c r="J5972" s="116">
        <v>4</v>
      </c>
      <c r="K5972" s="118">
        <v>1055000</v>
      </c>
      <c r="L5972" s="119"/>
      <c r="M5972" s="118">
        <f t="shared" ref="M5972" si="7878">K5972*0.1</f>
        <v>105500</v>
      </c>
      <c r="N5972" s="119"/>
      <c r="O5972" s="118">
        <v>0</v>
      </c>
      <c r="P5972" s="119"/>
      <c r="Q5972" s="118">
        <v>9810</v>
      </c>
      <c r="R5972" s="119"/>
      <c r="S5972" s="118">
        <v>12100</v>
      </c>
      <c r="T5972" s="119"/>
      <c r="U5972" s="118">
        <f t="shared" ref="U5972" si="7879">SUM(K5972:T5973)</f>
        <v>1182410</v>
      </c>
      <c r="V5972" s="122"/>
      <c r="W5972" s="124"/>
      <c r="X5972" s="126" t="s">
        <v>17997</v>
      </c>
      <c r="Y5972" s="127"/>
      <c r="Z5972" s="127"/>
      <c r="AA5972" s="127"/>
      <c r="AB5972" s="128"/>
      <c r="AC5972" s="15" t="s">
        <v>20</v>
      </c>
      <c r="AD5972" s="129" t="s">
        <v>17380</v>
      </c>
      <c r="AE5972" s="130"/>
      <c r="AF5972" s="130"/>
      <c r="AG5972" s="130"/>
      <c r="AH5972" s="130"/>
      <c r="AI5972" s="131"/>
      <c r="AJ5972" s="132"/>
      <c r="AK5972" s="127"/>
      <c r="AL5972" s="128"/>
      <c r="AM5972" s="21"/>
      <c r="AN5972" s="133">
        <v>46137</v>
      </c>
      <c r="AO5972" s="134"/>
      <c r="AP5972" s="135">
        <v>1298</v>
      </c>
      <c r="AQ5972" s="136"/>
      <c r="AR5972" s="118">
        <v>1150000</v>
      </c>
      <c r="AS5972" s="119"/>
      <c r="AT5972" s="118">
        <f t="shared" ref="AT5972" si="7880">AR5972*0.1</f>
        <v>115000</v>
      </c>
      <c r="AU5972" s="119"/>
      <c r="AV5972" s="118">
        <v>9810</v>
      </c>
      <c r="AW5972" s="119"/>
      <c r="AX5972" s="118">
        <f t="shared" ref="AX5972" si="7881">SUM(AR5972:AW5972)</f>
        <v>1274810</v>
      </c>
      <c r="AY5972" s="119"/>
      <c r="AZ5972" s="137">
        <v>46154</v>
      </c>
    </row>
    <row r="5973" spans="1:52" ht="17.100000000000001" customHeight="1" thickBot="1">
      <c r="A5973" s="110"/>
      <c r="B5973" s="27" t="s">
        <v>17335</v>
      </c>
      <c r="C5973" s="27">
        <v>37711</v>
      </c>
      <c r="D5973" s="14" t="s">
        <v>17379</v>
      </c>
      <c r="E5973" s="112"/>
      <c r="F5973" s="139" t="s">
        <v>17353</v>
      </c>
      <c r="G5973" s="140"/>
      <c r="H5973" s="141"/>
      <c r="I5973" s="26">
        <v>33468</v>
      </c>
      <c r="J5973" s="117"/>
      <c r="K5973" s="120"/>
      <c r="L5973" s="121"/>
      <c r="M5973" s="120"/>
      <c r="N5973" s="121"/>
      <c r="O5973" s="120"/>
      <c r="P5973" s="121"/>
      <c r="Q5973" s="120"/>
      <c r="R5973" s="121"/>
      <c r="S5973" s="120"/>
      <c r="T5973" s="121"/>
      <c r="U5973" s="120"/>
      <c r="V5973" s="123"/>
      <c r="W5973" s="125"/>
      <c r="X5973" s="142" t="s">
        <v>3410</v>
      </c>
      <c r="Y5973" s="143"/>
      <c r="Z5973" s="143"/>
      <c r="AA5973" s="143"/>
      <c r="AB5973" s="144"/>
      <c r="AC5973" s="16" t="s">
        <v>21</v>
      </c>
      <c r="AD5973" s="17" t="s">
        <v>3583</v>
      </c>
      <c r="AE5973" s="145" t="s">
        <v>17998</v>
      </c>
      <c r="AF5973" s="146"/>
      <c r="AG5973" s="146"/>
      <c r="AH5973" s="146"/>
      <c r="AI5973" s="147"/>
      <c r="AJ5973" s="148" t="s">
        <v>17764</v>
      </c>
      <c r="AK5973" s="143"/>
      <c r="AL5973" s="144"/>
      <c r="AM5973" s="22"/>
      <c r="AN5973" s="149" t="s">
        <v>6749</v>
      </c>
      <c r="AO5973" s="144"/>
      <c r="AP5973" s="148">
        <v>55067</v>
      </c>
      <c r="AQ5973" s="144"/>
      <c r="AR5973" s="120"/>
      <c r="AS5973" s="121"/>
      <c r="AT5973" s="120"/>
      <c r="AU5973" s="121"/>
      <c r="AV5973" s="120"/>
      <c r="AW5973" s="121"/>
      <c r="AX5973" s="120"/>
      <c r="AY5973" s="121"/>
      <c r="AZ5973" s="138"/>
    </row>
    <row r="5974" spans="1:52" ht="17.100000000000001" customHeight="1" thickTop="1">
      <c r="A5974" s="109" t="s">
        <v>17336</v>
      </c>
      <c r="B5974" s="28">
        <v>46060</v>
      </c>
      <c r="C5974" s="25">
        <v>1287</v>
      </c>
      <c r="D5974" s="13" t="s">
        <v>17381</v>
      </c>
      <c r="E5974" s="111"/>
      <c r="F5974" s="113" t="s">
        <v>17354</v>
      </c>
      <c r="G5974" s="114"/>
      <c r="H5974" s="115"/>
      <c r="I5974" s="24"/>
      <c r="J5974" s="116">
        <v>4</v>
      </c>
      <c r="K5974" s="118">
        <v>450000</v>
      </c>
      <c r="L5974" s="119"/>
      <c r="M5974" s="118">
        <f t="shared" ref="M5974" si="7882">K5974*0.1</f>
        <v>45000</v>
      </c>
      <c r="N5974" s="119"/>
      <c r="O5974" s="118">
        <v>0</v>
      </c>
      <c r="P5974" s="119"/>
      <c r="Q5974" s="118">
        <v>8540</v>
      </c>
      <c r="R5974" s="119"/>
      <c r="S5974" s="118">
        <v>13200</v>
      </c>
      <c r="T5974" s="119"/>
      <c r="U5974" s="118">
        <f t="shared" ref="U5974" si="7883">SUM(K5974:T5975)</f>
        <v>516740</v>
      </c>
      <c r="V5974" s="122"/>
      <c r="W5974" s="124"/>
      <c r="X5974" s="126" t="s">
        <v>18001</v>
      </c>
      <c r="Y5974" s="127"/>
      <c r="Z5974" s="127"/>
      <c r="AA5974" s="127"/>
      <c r="AB5974" s="128"/>
      <c r="AC5974" s="15" t="s">
        <v>20</v>
      </c>
      <c r="AD5974" s="129"/>
      <c r="AE5974" s="130"/>
      <c r="AF5974" s="130"/>
      <c r="AG5974" s="130"/>
      <c r="AH5974" s="130"/>
      <c r="AI5974" s="131"/>
      <c r="AJ5974" s="132"/>
      <c r="AK5974" s="127"/>
      <c r="AL5974" s="128"/>
      <c r="AM5974" s="21"/>
      <c r="AN5974" s="133">
        <v>46071</v>
      </c>
      <c r="AO5974" s="134"/>
      <c r="AP5974" s="135">
        <v>1005</v>
      </c>
      <c r="AQ5974" s="136"/>
      <c r="AR5974" s="118">
        <v>500000</v>
      </c>
      <c r="AS5974" s="119"/>
      <c r="AT5974" s="118">
        <f t="shared" ref="AT5974" si="7884">AR5974*0.1</f>
        <v>50000</v>
      </c>
      <c r="AU5974" s="119"/>
      <c r="AV5974" s="118">
        <v>8540</v>
      </c>
      <c r="AW5974" s="119"/>
      <c r="AX5974" s="118">
        <f t="shared" ref="AX5974" si="7885">SUM(AR5974:AW5974)</f>
        <v>558540</v>
      </c>
      <c r="AY5974" s="119"/>
      <c r="AZ5974" s="137">
        <v>46079</v>
      </c>
    </row>
    <row r="5975" spans="1:52" ht="17.100000000000001" customHeight="1" thickBot="1">
      <c r="A5975" s="110"/>
      <c r="B5975" s="27" t="s">
        <v>17335</v>
      </c>
      <c r="C5975" s="27">
        <v>60174</v>
      </c>
      <c r="D5975" s="14" t="s">
        <v>17328</v>
      </c>
      <c r="E5975" s="112"/>
      <c r="F5975" s="139" t="s">
        <v>17355</v>
      </c>
      <c r="G5975" s="140"/>
      <c r="H5975" s="141"/>
      <c r="I5975" s="26">
        <v>59981</v>
      </c>
      <c r="J5975" s="117"/>
      <c r="K5975" s="120"/>
      <c r="L5975" s="121"/>
      <c r="M5975" s="120"/>
      <c r="N5975" s="121"/>
      <c r="O5975" s="120"/>
      <c r="P5975" s="121"/>
      <c r="Q5975" s="120"/>
      <c r="R5975" s="121"/>
      <c r="S5975" s="120"/>
      <c r="T5975" s="121"/>
      <c r="U5975" s="120"/>
      <c r="V5975" s="123"/>
      <c r="W5975" s="125"/>
      <c r="X5975" s="142" t="s">
        <v>1997</v>
      </c>
      <c r="Y5975" s="143"/>
      <c r="Z5975" s="143"/>
      <c r="AA5975" s="143"/>
      <c r="AB5975" s="144"/>
      <c r="AC5975" s="16" t="s">
        <v>21</v>
      </c>
      <c r="AD5975" s="17" t="s">
        <v>3583</v>
      </c>
      <c r="AE5975" s="145" t="s">
        <v>7860</v>
      </c>
      <c r="AF5975" s="146"/>
      <c r="AG5975" s="146"/>
      <c r="AH5975" s="146"/>
      <c r="AI5975" s="147"/>
      <c r="AJ5975" s="148"/>
      <c r="AK5975" s="143"/>
      <c r="AL5975" s="144"/>
      <c r="AM5975" s="22"/>
      <c r="AN5975" s="149" t="s">
        <v>7285</v>
      </c>
      <c r="AO5975" s="144"/>
      <c r="AP5975" s="148">
        <v>2064</v>
      </c>
      <c r="AQ5975" s="144"/>
      <c r="AR5975" s="120"/>
      <c r="AS5975" s="121"/>
      <c r="AT5975" s="120"/>
      <c r="AU5975" s="121"/>
      <c r="AV5975" s="120"/>
      <c r="AW5975" s="121"/>
      <c r="AX5975" s="120"/>
      <c r="AY5975" s="121"/>
      <c r="AZ5975" s="138"/>
    </row>
    <row r="5976" spans="1:52" ht="17.100000000000001" customHeight="1" thickTop="1">
      <c r="A5976" s="109" t="s">
        <v>17337</v>
      </c>
      <c r="B5976" s="28">
        <v>46060</v>
      </c>
      <c r="C5976" s="25">
        <v>1287</v>
      </c>
      <c r="D5976" s="13" t="s">
        <v>17382</v>
      </c>
      <c r="E5976" s="111"/>
      <c r="F5976" s="113" t="s">
        <v>17356</v>
      </c>
      <c r="G5976" s="114"/>
      <c r="H5976" s="115"/>
      <c r="I5976" s="24"/>
      <c r="J5976" s="116">
        <v>4</v>
      </c>
      <c r="K5976" s="118">
        <v>1100000</v>
      </c>
      <c r="L5976" s="119"/>
      <c r="M5976" s="118">
        <f t="shared" ref="M5976" si="7886">K5976*0.1</f>
        <v>110000</v>
      </c>
      <c r="N5976" s="119"/>
      <c r="O5976" s="118">
        <v>0</v>
      </c>
      <c r="P5976" s="119"/>
      <c r="Q5976" s="118">
        <v>9010</v>
      </c>
      <c r="R5976" s="119"/>
      <c r="S5976" s="118">
        <v>12100</v>
      </c>
      <c r="T5976" s="119"/>
      <c r="U5976" s="118">
        <f t="shared" ref="U5976" si="7887">SUM(K5976:T5977)</f>
        <v>1231110</v>
      </c>
      <c r="V5976" s="122"/>
      <c r="W5976" s="124"/>
      <c r="X5976" s="126" t="s">
        <v>18000</v>
      </c>
      <c r="Y5976" s="127"/>
      <c r="Z5976" s="127"/>
      <c r="AA5976" s="127"/>
      <c r="AB5976" s="128"/>
      <c r="AC5976" s="15" t="s">
        <v>20</v>
      </c>
      <c r="AD5976" s="129"/>
      <c r="AE5976" s="130"/>
      <c r="AF5976" s="130"/>
      <c r="AG5976" s="130"/>
      <c r="AH5976" s="130"/>
      <c r="AI5976" s="131"/>
      <c r="AJ5976" s="132"/>
      <c r="AK5976" s="127"/>
      <c r="AL5976" s="128"/>
      <c r="AM5976" s="21"/>
      <c r="AN5976" s="133">
        <v>46120</v>
      </c>
      <c r="AO5976" s="134"/>
      <c r="AP5976" s="135">
        <v>1012</v>
      </c>
      <c r="AQ5976" s="136"/>
      <c r="AR5976" s="118">
        <v>1160000</v>
      </c>
      <c r="AS5976" s="119"/>
      <c r="AT5976" s="118">
        <f t="shared" ref="AT5976" si="7888">AR5976*0.1</f>
        <v>116000</v>
      </c>
      <c r="AU5976" s="119"/>
      <c r="AV5976" s="118">
        <v>9010</v>
      </c>
      <c r="AW5976" s="119"/>
      <c r="AX5976" s="118">
        <f t="shared" ref="AX5976" si="7889">SUM(AR5976:AW5976)</f>
        <v>1285010</v>
      </c>
      <c r="AY5976" s="119"/>
      <c r="AZ5976" s="137">
        <v>46125</v>
      </c>
    </row>
    <row r="5977" spans="1:52" ht="17.100000000000001" customHeight="1" thickBot="1">
      <c r="A5977" s="110"/>
      <c r="B5977" s="27" t="s">
        <v>17335</v>
      </c>
      <c r="C5977" s="27">
        <v>65367</v>
      </c>
      <c r="D5977" s="14" t="s">
        <v>17297</v>
      </c>
      <c r="E5977" s="112"/>
      <c r="F5977" s="139" t="s">
        <v>17357</v>
      </c>
      <c r="G5977" s="140"/>
      <c r="H5977" s="141"/>
      <c r="I5977" s="26">
        <v>72639</v>
      </c>
      <c r="J5977" s="117"/>
      <c r="K5977" s="120"/>
      <c r="L5977" s="121"/>
      <c r="M5977" s="120"/>
      <c r="N5977" s="121"/>
      <c r="O5977" s="120"/>
      <c r="P5977" s="121"/>
      <c r="Q5977" s="120"/>
      <c r="R5977" s="121"/>
      <c r="S5977" s="120"/>
      <c r="T5977" s="121"/>
      <c r="U5977" s="120"/>
      <c r="V5977" s="123"/>
      <c r="W5977" s="125"/>
      <c r="X5977" s="142" t="s">
        <v>2918</v>
      </c>
      <c r="Y5977" s="143"/>
      <c r="Z5977" s="143"/>
      <c r="AA5977" s="143"/>
      <c r="AB5977" s="144"/>
      <c r="AC5977" s="16" t="s">
        <v>21</v>
      </c>
      <c r="AD5977" s="17" t="s">
        <v>3583</v>
      </c>
      <c r="AE5977" s="145"/>
      <c r="AF5977" s="146"/>
      <c r="AG5977" s="146"/>
      <c r="AH5977" s="146"/>
      <c r="AI5977" s="147"/>
      <c r="AJ5977" s="148"/>
      <c r="AK5977" s="143"/>
      <c r="AL5977" s="144"/>
      <c r="AM5977" s="22"/>
      <c r="AN5977" s="149" t="s">
        <v>2794</v>
      </c>
      <c r="AO5977" s="144"/>
      <c r="AP5977" s="148">
        <v>2011</v>
      </c>
      <c r="AQ5977" s="144"/>
      <c r="AR5977" s="120"/>
      <c r="AS5977" s="121"/>
      <c r="AT5977" s="120"/>
      <c r="AU5977" s="121"/>
      <c r="AV5977" s="120"/>
      <c r="AW5977" s="121"/>
      <c r="AX5977" s="120"/>
      <c r="AY5977" s="121"/>
      <c r="AZ5977" s="138"/>
    </row>
    <row r="5978" spans="1:52" ht="17.100000000000001" customHeight="1" thickTop="1">
      <c r="A5978" s="109" t="s">
        <v>17338</v>
      </c>
      <c r="B5978" s="28">
        <v>46060</v>
      </c>
      <c r="C5978" s="25">
        <v>1287</v>
      </c>
      <c r="D5978" s="13" t="s">
        <v>17383</v>
      </c>
      <c r="E5978" s="111"/>
      <c r="F5978" s="113" t="s">
        <v>17356</v>
      </c>
      <c r="G5978" s="114"/>
      <c r="H5978" s="115"/>
      <c r="I5978" s="24" t="s">
        <v>17385</v>
      </c>
      <c r="J5978" s="116">
        <v>4</v>
      </c>
      <c r="K5978" s="118">
        <v>1115000</v>
      </c>
      <c r="L5978" s="119"/>
      <c r="M5978" s="118">
        <f t="shared" ref="M5978" si="7890">K5978*0.1</f>
        <v>111500</v>
      </c>
      <c r="N5978" s="119"/>
      <c r="O5978" s="118">
        <v>0</v>
      </c>
      <c r="P5978" s="119"/>
      <c r="Q5978" s="118">
        <v>9010</v>
      </c>
      <c r="R5978" s="119"/>
      <c r="S5978" s="118">
        <v>12100</v>
      </c>
      <c r="T5978" s="119"/>
      <c r="U5978" s="118">
        <f t="shared" ref="U5978" si="7891">SUM(K5978:T5979)</f>
        <v>1247610</v>
      </c>
      <c r="V5978" s="122"/>
      <c r="W5978" s="124"/>
      <c r="X5978" s="126" t="s">
        <v>17386</v>
      </c>
      <c r="Y5978" s="127"/>
      <c r="Z5978" s="127"/>
      <c r="AA5978" s="127"/>
      <c r="AB5978" s="128"/>
      <c r="AC5978" s="15" t="s">
        <v>20</v>
      </c>
      <c r="AD5978" s="129"/>
      <c r="AE5978" s="130"/>
      <c r="AF5978" s="130"/>
      <c r="AG5978" s="130"/>
      <c r="AH5978" s="130"/>
      <c r="AI5978" s="131"/>
      <c r="AJ5978" s="132"/>
      <c r="AK5978" s="127"/>
      <c r="AL5978" s="128"/>
      <c r="AM5978" s="21"/>
      <c r="AN5978" s="133">
        <v>46067</v>
      </c>
      <c r="AO5978" s="134"/>
      <c r="AP5978" s="135">
        <v>1288</v>
      </c>
      <c r="AQ5978" s="136"/>
      <c r="AR5978" s="118">
        <v>1200000</v>
      </c>
      <c r="AS5978" s="119"/>
      <c r="AT5978" s="118">
        <f t="shared" ref="AT5978" si="7892">AR5978*0.1</f>
        <v>120000</v>
      </c>
      <c r="AU5978" s="119"/>
      <c r="AV5978" s="118">
        <v>9010</v>
      </c>
      <c r="AW5978" s="119"/>
      <c r="AX5978" s="118">
        <f t="shared" ref="AX5978" si="7893">SUM(AR5978:AW5978)</f>
        <v>1329010</v>
      </c>
      <c r="AY5978" s="119"/>
      <c r="AZ5978" s="137">
        <v>46070</v>
      </c>
    </row>
    <row r="5979" spans="1:52" ht="17.100000000000001" customHeight="1" thickBot="1">
      <c r="A5979" s="110"/>
      <c r="B5979" s="27" t="s">
        <v>17335</v>
      </c>
      <c r="C5979" s="27">
        <v>65511</v>
      </c>
      <c r="D5979" s="14" t="s">
        <v>17384</v>
      </c>
      <c r="E5979" s="112"/>
      <c r="F5979" s="139" t="s">
        <v>17358</v>
      </c>
      <c r="G5979" s="140"/>
      <c r="H5979" s="141"/>
      <c r="I5979" s="26">
        <v>59537</v>
      </c>
      <c r="J5979" s="117"/>
      <c r="K5979" s="120"/>
      <c r="L5979" s="121"/>
      <c r="M5979" s="120"/>
      <c r="N5979" s="121"/>
      <c r="O5979" s="120"/>
      <c r="P5979" s="121"/>
      <c r="Q5979" s="120"/>
      <c r="R5979" s="121"/>
      <c r="S5979" s="120"/>
      <c r="T5979" s="121"/>
      <c r="U5979" s="120"/>
      <c r="V5979" s="123"/>
      <c r="W5979" s="125"/>
      <c r="X5979" s="142" t="s">
        <v>17981</v>
      </c>
      <c r="Y5979" s="143"/>
      <c r="Z5979" s="143"/>
      <c r="AA5979" s="143"/>
      <c r="AB5979" s="144"/>
      <c r="AC5979" s="16" t="s">
        <v>21</v>
      </c>
      <c r="AD5979" s="17" t="s">
        <v>3583</v>
      </c>
      <c r="AE5979" s="145"/>
      <c r="AF5979" s="146"/>
      <c r="AG5979" s="146"/>
      <c r="AH5979" s="146"/>
      <c r="AI5979" s="147"/>
      <c r="AJ5979" s="148"/>
      <c r="AK5979" s="143"/>
      <c r="AL5979" s="144"/>
      <c r="AM5979" s="22"/>
      <c r="AN5979" s="149" t="s">
        <v>2511</v>
      </c>
      <c r="AO5979" s="144"/>
      <c r="AP5979" s="148">
        <v>60272</v>
      </c>
      <c r="AQ5979" s="144"/>
      <c r="AR5979" s="120"/>
      <c r="AS5979" s="121"/>
      <c r="AT5979" s="120"/>
      <c r="AU5979" s="121"/>
      <c r="AV5979" s="120"/>
      <c r="AW5979" s="121"/>
      <c r="AX5979" s="120"/>
      <c r="AY5979" s="121"/>
      <c r="AZ5979" s="138"/>
    </row>
    <row r="5980" spans="1:52" ht="17.100000000000001" customHeight="1" thickTop="1">
      <c r="A5980" s="109" t="s">
        <v>17339</v>
      </c>
      <c r="B5980" s="28">
        <v>46060</v>
      </c>
      <c r="C5980" s="25">
        <v>1287</v>
      </c>
      <c r="D5980" s="13" t="s">
        <v>17387</v>
      </c>
      <c r="E5980" s="111"/>
      <c r="F5980" s="113" t="s">
        <v>17252</v>
      </c>
      <c r="G5980" s="114"/>
      <c r="H5980" s="115"/>
      <c r="I5980" s="24" t="s">
        <v>17388</v>
      </c>
      <c r="J5980" s="116">
        <v>4.5</v>
      </c>
      <c r="K5980" s="118">
        <v>705000</v>
      </c>
      <c r="L5980" s="119"/>
      <c r="M5980" s="118">
        <f t="shared" ref="M5980" si="7894">K5980*0.1</f>
        <v>70500</v>
      </c>
      <c r="N5980" s="119"/>
      <c r="O5980" s="118">
        <v>0</v>
      </c>
      <c r="P5980" s="119"/>
      <c r="Q5980" s="118">
        <v>9790</v>
      </c>
      <c r="R5980" s="119"/>
      <c r="S5980" s="118">
        <v>12100</v>
      </c>
      <c r="T5980" s="119"/>
      <c r="U5980" s="118">
        <f t="shared" ref="U5980" si="7895">SUM(K5980:T5981)</f>
        <v>797390</v>
      </c>
      <c r="V5980" s="122"/>
      <c r="W5980" s="124"/>
      <c r="X5980" s="126" t="s">
        <v>17389</v>
      </c>
      <c r="Y5980" s="127"/>
      <c r="Z5980" s="127"/>
      <c r="AA5980" s="127"/>
      <c r="AB5980" s="128"/>
      <c r="AC5980" s="15" t="s">
        <v>20</v>
      </c>
      <c r="AD5980" s="129" t="s">
        <v>17301</v>
      </c>
      <c r="AE5980" s="130"/>
      <c r="AF5980" s="130"/>
      <c r="AG5980" s="130"/>
      <c r="AH5980" s="130"/>
      <c r="AI5980" s="131"/>
      <c r="AJ5980" s="132"/>
      <c r="AK5980" s="127"/>
      <c r="AL5980" s="128"/>
      <c r="AM5980" s="21"/>
      <c r="AN5980" s="133">
        <v>46067</v>
      </c>
      <c r="AO5980" s="134"/>
      <c r="AP5980" s="135">
        <v>1288</v>
      </c>
      <c r="AQ5980" s="136"/>
      <c r="AR5980" s="118">
        <v>795000</v>
      </c>
      <c r="AS5980" s="119"/>
      <c r="AT5980" s="118">
        <f t="shared" ref="AT5980" si="7896">AR5980*0.1</f>
        <v>79500</v>
      </c>
      <c r="AU5980" s="119"/>
      <c r="AV5980" s="118">
        <v>9790</v>
      </c>
      <c r="AW5980" s="119"/>
      <c r="AX5980" s="118">
        <f t="shared" ref="AX5980" si="7897">SUM(AR5980:AW5980)</f>
        <v>884290</v>
      </c>
      <c r="AY5980" s="119"/>
      <c r="AZ5980" s="137">
        <v>46077</v>
      </c>
    </row>
    <row r="5981" spans="1:52" ht="17.100000000000001" customHeight="1" thickBot="1">
      <c r="A5981" s="110"/>
      <c r="B5981" s="27" t="s">
        <v>17335</v>
      </c>
      <c r="C5981" s="27">
        <v>65602</v>
      </c>
      <c r="D5981" s="14" t="s">
        <v>2601</v>
      </c>
      <c r="E5981" s="112"/>
      <c r="F5981" s="139" t="s">
        <v>17359</v>
      </c>
      <c r="G5981" s="140"/>
      <c r="H5981" s="141"/>
      <c r="I5981" s="26">
        <v>74725</v>
      </c>
      <c r="J5981" s="117"/>
      <c r="K5981" s="120"/>
      <c r="L5981" s="121"/>
      <c r="M5981" s="120"/>
      <c r="N5981" s="121"/>
      <c r="O5981" s="120"/>
      <c r="P5981" s="121"/>
      <c r="Q5981" s="120"/>
      <c r="R5981" s="121"/>
      <c r="S5981" s="120"/>
      <c r="T5981" s="121"/>
      <c r="U5981" s="120"/>
      <c r="V5981" s="123"/>
      <c r="W5981" s="125"/>
      <c r="X5981" s="142" t="s">
        <v>17999</v>
      </c>
      <c r="Y5981" s="143"/>
      <c r="Z5981" s="143"/>
      <c r="AA5981" s="143"/>
      <c r="AB5981" s="144"/>
      <c r="AC5981" s="16" t="s">
        <v>21</v>
      </c>
      <c r="AD5981" s="17" t="s">
        <v>3583</v>
      </c>
      <c r="AE5981" s="145" t="s">
        <v>2051</v>
      </c>
      <c r="AF5981" s="146"/>
      <c r="AG5981" s="146"/>
      <c r="AH5981" s="146"/>
      <c r="AI5981" s="147"/>
      <c r="AJ5981" s="148"/>
      <c r="AK5981" s="143"/>
      <c r="AL5981" s="144"/>
      <c r="AM5981" s="22"/>
      <c r="AN5981" s="149" t="s">
        <v>6748</v>
      </c>
      <c r="AO5981" s="144"/>
      <c r="AP5981" s="148">
        <v>60385</v>
      </c>
      <c r="AQ5981" s="144"/>
      <c r="AR5981" s="120"/>
      <c r="AS5981" s="121"/>
      <c r="AT5981" s="120"/>
      <c r="AU5981" s="121"/>
      <c r="AV5981" s="120"/>
      <c r="AW5981" s="121"/>
      <c r="AX5981" s="120"/>
      <c r="AY5981" s="121"/>
      <c r="AZ5981" s="138"/>
    </row>
    <row r="5982" spans="1:52" ht="17.100000000000001" customHeight="1" thickTop="1">
      <c r="A5982" s="109" t="s">
        <v>17340</v>
      </c>
      <c r="B5982" s="28">
        <v>46060</v>
      </c>
      <c r="C5982" s="25">
        <v>1287</v>
      </c>
      <c r="D5982" s="13" t="s">
        <v>17390</v>
      </c>
      <c r="E5982" s="111"/>
      <c r="F5982" s="113" t="s">
        <v>17360</v>
      </c>
      <c r="G5982" s="114"/>
      <c r="H5982" s="115"/>
      <c r="I5982" s="24" t="s">
        <v>17393</v>
      </c>
      <c r="J5982" s="116">
        <v>4.5</v>
      </c>
      <c r="K5982" s="118">
        <v>2080000</v>
      </c>
      <c r="L5982" s="119"/>
      <c r="M5982" s="118">
        <f t="shared" ref="M5982" si="7898">K5982*0.1</f>
        <v>208000</v>
      </c>
      <c r="N5982" s="119"/>
      <c r="O5982" s="118">
        <v>3300</v>
      </c>
      <c r="P5982" s="119"/>
      <c r="Q5982" s="118">
        <v>17800</v>
      </c>
      <c r="R5982" s="119"/>
      <c r="S5982" s="118">
        <v>23100</v>
      </c>
      <c r="T5982" s="119"/>
      <c r="U5982" s="118">
        <f t="shared" ref="U5982" si="7899">SUM(K5982:T5983)</f>
        <v>2332200</v>
      </c>
      <c r="V5982" s="122"/>
      <c r="W5982" s="124"/>
      <c r="X5982" s="126" t="s">
        <v>17394</v>
      </c>
      <c r="Y5982" s="127"/>
      <c r="Z5982" s="127"/>
      <c r="AA5982" s="127"/>
      <c r="AB5982" s="128"/>
      <c r="AC5982" s="15" t="s">
        <v>20</v>
      </c>
      <c r="AD5982" s="129" t="s">
        <v>17395</v>
      </c>
      <c r="AE5982" s="130"/>
      <c r="AF5982" s="130"/>
      <c r="AG5982" s="130"/>
      <c r="AH5982" s="130"/>
      <c r="AI5982" s="131"/>
      <c r="AJ5982" s="132"/>
      <c r="AK5982" s="127"/>
      <c r="AL5982" s="128"/>
      <c r="AM5982" s="21" t="s">
        <v>19047</v>
      </c>
      <c r="AN5982" s="133">
        <v>46079</v>
      </c>
      <c r="AO5982" s="134"/>
      <c r="AP5982" s="135">
        <v>1320</v>
      </c>
      <c r="AQ5982" s="136"/>
      <c r="AR5982" s="118">
        <v>2530000</v>
      </c>
      <c r="AS5982" s="119"/>
      <c r="AT5982" s="118">
        <f t="shared" ref="AT5982" si="7900">AR5982*0.1</f>
        <v>253000</v>
      </c>
      <c r="AU5982" s="119"/>
      <c r="AV5982" s="118">
        <v>17800</v>
      </c>
      <c r="AW5982" s="119"/>
      <c r="AX5982" s="118">
        <f t="shared" ref="AX5982" si="7901">SUM(AR5982:AW5982)</f>
        <v>2800800</v>
      </c>
      <c r="AY5982" s="119"/>
      <c r="AZ5982" s="137">
        <v>46080</v>
      </c>
    </row>
    <row r="5983" spans="1:52" ht="17.100000000000001" customHeight="1" thickBot="1">
      <c r="A5983" s="110"/>
      <c r="B5983" s="27" t="s">
        <v>17335</v>
      </c>
      <c r="C5983" s="27">
        <v>81036</v>
      </c>
      <c r="D5983" s="14" t="s">
        <v>17391</v>
      </c>
      <c r="E5983" s="112"/>
      <c r="F5983" s="139" t="s">
        <v>17392</v>
      </c>
      <c r="G5983" s="140"/>
      <c r="H5983" s="141"/>
      <c r="I5983" s="26">
        <v>21850</v>
      </c>
      <c r="J5983" s="117"/>
      <c r="K5983" s="120"/>
      <c r="L5983" s="121"/>
      <c r="M5983" s="120"/>
      <c r="N5983" s="121"/>
      <c r="O5983" s="120"/>
      <c r="P5983" s="121"/>
      <c r="Q5983" s="120"/>
      <c r="R5983" s="121"/>
      <c r="S5983" s="120"/>
      <c r="T5983" s="121"/>
      <c r="U5983" s="120"/>
      <c r="V5983" s="123"/>
      <c r="W5983" s="125"/>
      <c r="X5983" s="142" t="s">
        <v>1594</v>
      </c>
      <c r="Y5983" s="143"/>
      <c r="Z5983" s="143"/>
      <c r="AA5983" s="143"/>
      <c r="AB5983" s="144"/>
      <c r="AC5983" s="16" t="s">
        <v>21</v>
      </c>
      <c r="AD5983" s="17" t="s">
        <v>3583</v>
      </c>
      <c r="AE5983" s="145" t="s">
        <v>18006</v>
      </c>
      <c r="AF5983" s="146"/>
      <c r="AG5983" s="146"/>
      <c r="AH5983" s="146"/>
      <c r="AI5983" s="147"/>
      <c r="AJ5983" s="148"/>
      <c r="AK5983" s="143"/>
      <c r="AL5983" s="144"/>
      <c r="AM5983" s="22"/>
      <c r="AN5983" s="149" t="s">
        <v>13663</v>
      </c>
      <c r="AO5983" s="144"/>
      <c r="AP5983" s="148">
        <v>542</v>
      </c>
      <c r="AQ5983" s="144"/>
      <c r="AR5983" s="120"/>
      <c r="AS5983" s="121"/>
      <c r="AT5983" s="120"/>
      <c r="AU5983" s="121"/>
      <c r="AV5983" s="120"/>
      <c r="AW5983" s="121"/>
      <c r="AX5983" s="120"/>
      <c r="AY5983" s="121"/>
      <c r="AZ5983" s="138"/>
    </row>
    <row r="5984" spans="1:52" ht="17.100000000000001" customHeight="1" thickTop="1">
      <c r="A5984" s="109" t="s">
        <v>17341</v>
      </c>
      <c r="B5984" s="28">
        <v>46060</v>
      </c>
      <c r="C5984" s="25">
        <v>1287</v>
      </c>
      <c r="D5984" s="13" t="s">
        <v>17396</v>
      </c>
      <c r="E5984" s="111"/>
      <c r="F5984" s="113" t="s">
        <v>17361</v>
      </c>
      <c r="G5984" s="114"/>
      <c r="H5984" s="115"/>
      <c r="I5984" s="24" t="s">
        <v>17398</v>
      </c>
      <c r="J5984" s="116">
        <v>4.5</v>
      </c>
      <c r="K5984" s="118">
        <v>745000</v>
      </c>
      <c r="L5984" s="119"/>
      <c r="M5984" s="118">
        <f t="shared" ref="M5984" si="7902">K5984*0.1</f>
        <v>74500</v>
      </c>
      <c r="N5984" s="119"/>
      <c r="O5984" s="118">
        <v>2750</v>
      </c>
      <c r="P5984" s="119"/>
      <c r="Q5984" s="118">
        <v>11810</v>
      </c>
      <c r="R5984" s="119"/>
      <c r="S5984" s="118">
        <v>16500</v>
      </c>
      <c r="T5984" s="119"/>
      <c r="U5984" s="118">
        <f t="shared" ref="U5984" si="7903">SUM(K5984:T5985)</f>
        <v>850560</v>
      </c>
      <c r="V5984" s="122"/>
      <c r="W5984" s="124"/>
      <c r="X5984" s="126" t="s">
        <v>17399</v>
      </c>
      <c r="Y5984" s="127"/>
      <c r="Z5984" s="127"/>
      <c r="AA5984" s="127"/>
      <c r="AB5984" s="128"/>
      <c r="AC5984" s="15" t="s">
        <v>20</v>
      </c>
      <c r="AD5984" s="129"/>
      <c r="AE5984" s="130"/>
      <c r="AF5984" s="130"/>
      <c r="AG5984" s="130"/>
      <c r="AH5984" s="130"/>
      <c r="AI5984" s="131"/>
      <c r="AJ5984" s="132" t="s">
        <v>18160</v>
      </c>
      <c r="AK5984" s="127"/>
      <c r="AL5984" s="128"/>
      <c r="AM5984" s="21"/>
      <c r="AN5984" s="133">
        <v>46078</v>
      </c>
      <c r="AO5984" s="134"/>
      <c r="AP5984" s="135">
        <v>1006</v>
      </c>
      <c r="AQ5984" s="136"/>
      <c r="AR5984" s="118">
        <v>860000</v>
      </c>
      <c r="AS5984" s="119"/>
      <c r="AT5984" s="118">
        <f t="shared" ref="AT5984" si="7904">AR5984*0.1</f>
        <v>86000</v>
      </c>
      <c r="AU5984" s="119"/>
      <c r="AV5984" s="118">
        <v>11810</v>
      </c>
      <c r="AW5984" s="119"/>
      <c r="AX5984" s="118">
        <f t="shared" ref="AX5984" si="7905">SUM(AR5984:AW5984)</f>
        <v>957810</v>
      </c>
      <c r="AY5984" s="119"/>
      <c r="AZ5984" s="137">
        <v>46086</v>
      </c>
    </row>
    <row r="5985" spans="1:52" ht="17.100000000000001" customHeight="1" thickBot="1">
      <c r="A5985" s="110"/>
      <c r="B5985" s="27" t="s">
        <v>17335</v>
      </c>
      <c r="C5985" s="27">
        <v>81090</v>
      </c>
      <c r="D5985" s="14" t="s">
        <v>17391</v>
      </c>
      <c r="E5985" s="112"/>
      <c r="F5985" s="139" t="s">
        <v>17397</v>
      </c>
      <c r="G5985" s="140"/>
      <c r="H5985" s="141"/>
      <c r="I5985" s="26">
        <v>44171</v>
      </c>
      <c r="J5985" s="117"/>
      <c r="K5985" s="120"/>
      <c r="L5985" s="121"/>
      <c r="M5985" s="120"/>
      <c r="N5985" s="121"/>
      <c r="O5985" s="120"/>
      <c r="P5985" s="121"/>
      <c r="Q5985" s="120"/>
      <c r="R5985" s="121"/>
      <c r="S5985" s="120"/>
      <c r="T5985" s="121"/>
      <c r="U5985" s="120"/>
      <c r="V5985" s="123"/>
      <c r="W5985" s="125"/>
      <c r="X5985" s="142" t="s">
        <v>19301</v>
      </c>
      <c r="Y5985" s="143"/>
      <c r="Z5985" s="143"/>
      <c r="AA5985" s="143"/>
      <c r="AB5985" s="144"/>
      <c r="AC5985" s="16" t="s">
        <v>21</v>
      </c>
      <c r="AD5985" s="17" t="s">
        <v>3980</v>
      </c>
      <c r="AE5985" s="145" t="s">
        <v>10327</v>
      </c>
      <c r="AF5985" s="146"/>
      <c r="AG5985" s="146"/>
      <c r="AH5985" s="146"/>
      <c r="AI5985" s="147"/>
      <c r="AJ5985" s="148"/>
      <c r="AK5985" s="143"/>
      <c r="AL5985" s="144"/>
      <c r="AM5985" s="22"/>
      <c r="AN5985" s="149" t="s">
        <v>2794</v>
      </c>
      <c r="AO5985" s="144"/>
      <c r="AP5985" s="148">
        <v>5008</v>
      </c>
      <c r="AQ5985" s="144"/>
      <c r="AR5985" s="120"/>
      <c r="AS5985" s="121"/>
      <c r="AT5985" s="120"/>
      <c r="AU5985" s="121"/>
      <c r="AV5985" s="120"/>
      <c r="AW5985" s="121"/>
      <c r="AX5985" s="120"/>
      <c r="AY5985" s="121"/>
      <c r="AZ5985" s="138"/>
    </row>
    <row r="5986" spans="1:52" ht="17.100000000000001" customHeight="1" thickTop="1">
      <c r="A5986" s="109" t="s">
        <v>17342</v>
      </c>
      <c r="B5986" s="28">
        <v>46060</v>
      </c>
      <c r="C5986" s="25">
        <v>1287</v>
      </c>
      <c r="D5986" s="13" t="s">
        <v>17400</v>
      </c>
      <c r="E5986" s="111"/>
      <c r="F5986" s="113" t="s">
        <v>17362</v>
      </c>
      <c r="G5986" s="114"/>
      <c r="H5986" s="115"/>
      <c r="I5986" s="24" t="s">
        <v>17401</v>
      </c>
      <c r="J5986" s="116">
        <v>4.5</v>
      </c>
      <c r="K5986" s="118">
        <v>880000</v>
      </c>
      <c r="L5986" s="119"/>
      <c r="M5986" s="118">
        <f t="shared" ref="M5986" si="7906">K5986*0.1</f>
        <v>88000</v>
      </c>
      <c r="N5986" s="119"/>
      <c r="O5986" s="118">
        <v>2200</v>
      </c>
      <c r="P5986" s="119"/>
      <c r="Q5986" s="118">
        <v>12470</v>
      </c>
      <c r="R5986" s="119"/>
      <c r="S5986" s="118">
        <v>23100</v>
      </c>
      <c r="T5986" s="119"/>
      <c r="U5986" s="118">
        <f t="shared" ref="U5986" si="7907">SUM(K5986:T5987)</f>
        <v>1005770</v>
      </c>
      <c r="V5986" s="122"/>
      <c r="W5986" s="124"/>
      <c r="X5986" s="126" t="s">
        <v>17402</v>
      </c>
      <c r="Y5986" s="127"/>
      <c r="Z5986" s="127"/>
      <c r="AA5986" s="127"/>
      <c r="AB5986" s="128"/>
      <c r="AC5986" s="15" t="s">
        <v>20</v>
      </c>
      <c r="AD5986" s="129" t="s">
        <v>17403</v>
      </c>
      <c r="AE5986" s="130"/>
      <c r="AF5986" s="130"/>
      <c r="AG5986" s="130"/>
      <c r="AH5986" s="130"/>
      <c r="AI5986" s="131"/>
      <c r="AJ5986" s="132"/>
      <c r="AK5986" s="127"/>
      <c r="AL5986" s="128"/>
      <c r="AM5986" s="21"/>
      <c r="AN5986" s="133">
        <v>46081</v>
      </c>
      <c r="AO5986" s="134"/>
      <c r="AP5986" s="135">
        <v>1290</v>
      </c>
      <c r="AQ5986" s="136"/>
      <c r="AR5986" s="118">
        <v>1050000</v>
      </c>
      <c r="AS5986" s="119"/>
      <c r="AT5986" s="118">
        <f t="shared" ref="AT5986" si="7908">AR5986*0.1</f>
        <v>105000</v>
      </c>
      <c r="AU5986" s="119"/>
      <c r="AV5986" s="118">
        <v>12470</v>
      </c>
      <c r="AW5986" s="119"/>
      <c r="AX5986" s="118">
        <f t="shared" ref="AX5986" si="7909">SUM(AR5986:AW5986)</f>
        <v>1167470</v>
      </c>
      <c r="AY5986" s="119"/>
      <c r="AZ5986" s="137">
        <v>46084</v>
      </c>
    </row>
    <row r="5987" spans="1:52" ht="17.100000000000001" customHeight="1" thickBot="1">
      <c r="A5987" s="110"/>
      <c r="B5987" s="27" t="s">
        <v>17335</v>
      </c>
      <c r="C5987" s="27">
        <v>81096</v>
      </c>
      <c r="D5987" s="14" t="s">
        <v>17297</v>
      </c>
      <c r="E5987" s="112"/>
      <c r="F5987" s="139" t="s">
        <v>18936</v>
      </c>
      <c r="G5987" s="140"/>
      <c r="H5987" s="141"/>
      <c r="I5987" s="26">
        <v>44310</v>
      </c>
      <c r="J5987" s="117"/>
      <c r="K5987" s="120"/>
      <c r="L5987" s="121"/>
      <c r="M5987" s="120"/>
      <c r="N5987" s="121"/>
      <c r="O5987" s="120"/>
      <c r="P5987" s="121"/>
      <c r="Q5987" s="120"/>
      <c r="R5987" s="121"/>
      <c r="S5987" s="120"/>
      <c r="T5987" s="121"/>
      <c r="U5987" s="120"/>
      <c r="V5987" s="123"/>
      <c r="W5987" s="125"/>
      <c r="X5987" s="142" t="s">
        <v>18937</v>
      </c>
      <c r="Y5987" s="143"/>
      <c r="Z5987" s="143"/>
      <c r="AA5987" s="143"/>
      <c r="AB5987" s="144"/>
      <c r="AC5987" s="16" t="s">
        <v>21</v>
      </c>
      <c r="AD5987" s="17" t="s">
        <v>3616</v>
      </c>
      <c r="AE5987" s="145" t="s">
        <v>1614</v>
      </c>
      <c r="AF5987" s="146"/>
      <c r="AG5987" s="146"/>
      <c r="AH5987" s="146"/>
      <c r="AI5987" s="147"/>
      <c r="AJ5987" s="148"/>
      <c r="AK5987" s="143"/>
      <c r="AL5987" s="144"/>
      <c r="AM5987" s="22"/>
      <c r="AN5987" s="149" t="s">
        <v>2511</v>
      </c>
      <c r="AO5987" s="144"/>
      <c r="AP5987" s="148">
        <v>80022</v>
      </c>
      <c r="AQ5987" s="144"/>
      <c r="AR5987" s="120"/>
      <c r="AS5987" s="121"/>
      <c r="AT5987" s="120"/>
      <c r="AU5987" s="121"/>
      <c r="AV5987" s="120"/>
      <c r="AW5987" s="121"/>
      <c r="AX5987" s="120"/>
      <c r="AY5987" s="121"/>
      <c r="AZ5987" s="138"/>
    </row>
    <row r="5988" spans="1:52" ht="17.100000000000001" customHeight="1" thickTop="1">
      <c r="A5988" s="109" t="s">
        <v>17343</v>
      </c>
      <c r="B5988" s="28">
        <v>46060</v>
      </c>
      <c r="C5988" s="25">
        <v>1287</v>
      </c>
      <c r="D5988" s="13" t="s">
        <v>17404</v>
      </c>
      <c r="E5988" s="111"/>
      <c r="F5988" s="113" t="s">
        <v>17360</v>
      </c>
      <c r="G5988" s="114"/>
      <c r="H5988" s="115"/>
      <c r="I5988" s="24" t="s">
        <v>17401</v>
      </c>
      <c r="J5988" s="116">
        <v>4.5</v>
      </c>
      <c r="K5988" s="118">
        <v>1365000</v>
      </c>
      <c r="L5988" s="119"/>
      <c r="M5988" s="118">
        <f t="shared" ref="M5988" si="7910">K5988*0.1</f>
        <v>136500</v>
      </c>
      <c r="N5988" s="119"/>
      <c r="O5988" s="118">
        <v>3520</v>
      </c>
      <c r="P5988" s="119"/>
      <c r="Q5988" s="118">
        <v>19440</v>
      </c>
      <c r="R5988" s="119"/>
      <c r="S5988" s="118">
        <v>16500</v>
      </c>
      <c r="T5988" s="119"/>
      <c r="U5988" s="118">
        <f t="shared" ref="U5988" si="7911">SUM(K5988:T5989)</f>
        <v>1540960</v>
      </c>
      <c r="V5988" s="122"/>
      <c r="W5988" s="124"/>
      <c r="X5988" s="126" t="s">
        <v>17407</v>
      </c>
      <c r="Y5988" s="127"/>
      <c r="Z5988" s="127"/>
      <c r="AA5988" s="127"/>
      <c r="AB5988" s="128"/>
      <c r="AC5988" s="15" t="s">
        <v>20</v>
      </c>
      <c r="AD5988" s="129" t="s">
        <v>17301</v>
      </c>
      <c r="AE5988" s="130"/>
      <c r="AF5988" s="130"/>
      <c r="AG5988" s="130"/>
      <c r="AH5988" s="130"/>
      <c r="AI5988" s="131"/>
      <c r="AJ5988" s="132"/>
      <c r="AK5988" s="127"/>
      <c r="AL5988" s="128"/>
      <c r="AM5988" s="21"/>
      <c r="AN5988" s="133">
        <v>46072</v>
      </c>
      <c r="AO5988" s="134"/>
      <c r="AP5988" s="135">
        <v>1319</v>
      </c>
      <c r="AQ5988" s="136"/>
      <c r="AR5988" s="118">
        <v>1580000</v>
      </c>
      <c r="AS5988" s="119"/>
      <c r="AT5988" s="118">
        <f t="shared" ref="AT5988" si="7912">AR5988*0.1</f>
        <v>158000</v>
      </c>
      <c r="AU5988" s="119"/>
      <c r="AV5988" s="118">
        <v>19440</v>
      </c>
      <c r="AW5988" s="119"/>
      <c r="AX5988" s="118">
        <f t="shared" ref="AX5988" si="7913">SUM(AR5988:AW5988)</f>
        <v>1757440</v>
      </c>
      <c r="AY5988" s="119"/>
      <c r="AZ5988" s="137">
        <v>46073</v>
      </c>
    </row>
    <row r="5989" spans="1:52" ht="17.100000000000001" customHeight="1" thickBot="1">
      <c r="A5989" s="110"/>
      <c r="B5989" s="27" t="s">
        <v>17335</v>
      </c>
      <c r="C5989" s="27">
        <v>82169</v>
      </c>
      <c r="D5989" s="14" t="s">
        <v>17405</v>
      </c>
      <c r="E5989" s="112"/>
      <c r="F5989" s="139" t="s">
        <v>17406</v>
      </c>
      <c r="G5989" s="140"/>
      <c r="H5989" s="141"/>
      <c r="I5989" s="26">
        <v>47446</v>
      </c>
      <c r="J5989" s="117"/>
      <c r="K5989" s="120"/>
      <c r="L5989" s="121"/>
      <c r="M5989" s="120"/>
      <c r="N5989" s="121"/>
      <c r="O5989" s="120"/>
      <c r="P5989" s="121"/>
      <c r="Q5989" s="120"/>
      <c r="R5989" s="121"/>
      <c r="S5989" s="120"/>
      <c r="T5989" s="121"/>
      <c r="U5989" s="120"/>
      <c r="V5989" s="123"/>
      <c r="W5989" s="125"/>
      <c r="X5989" s="142" t="s">
        <v>1594</v>
      </c>
      <c r="Y5989" s="143"/>
      <c r="Z5989" s="143"/>
      <c r="AA5989" s="143"/>
      <c r="AB5989" s="144"/>
      <c r="AC5989" s="16" t="s">
        <v>21</v>
      </c>
      <c r="AD5989" s="17" t="s">
        <v>3583</v>
      </c>
      <c r="AE5989" s="145" t="s">
        <v>4015</v>
      </c>
      <c r="AF5989" s="146"/>
      <c r="AG5989" s="146"/>
      <c r="AH5989" s="146"/>
      <c r="AI5989" s="147"/>
      <c r="AJ5989" s="148"/>
      <c r="AK5989" s="143"/>
      <c r="AL5989" s="144"/>
      <c r="AM5989" s="22"/>
      <c r="AN5989" s="149" t="s">
        <v>14586</v>
      </c>
      <c r="AO5989" s="144"/>
      <c r="AP5989" s="148" t="s">
        <v>18267</v>
      </c>
      <c r="AQ5989" s="144"/>
      <c r="AR5989" s="120"/>
      <c r="AS5989" s="121"/>
      <c r="AT5989" s="120"/>
      <c r="AU5989" s="121"/>
      <c r="AV5989" s="120"/>
      <c r="AW5989" s="121"/>
      <c r="AX5989" s="120"/>
      <c r="AY5989" s="121"/>
      <c r="AZ5989" s="138"/>
    </row>
    <row r="5990" spans="1:52" ht="17.100000000000001" customHeight="1" thickTop="1">
      <c r="A5990" s="109" t="s">
        <v>17344</v>
      </c>
      <c r="B5990" s="28">
        <v>46060</v>
      </c>
      <c r="C5990" s="25">
        <v>1287</v>
      </c>
      <c r="D5990" s="13" t="s">
        <v>17304</v>
      </c>
      <c r="E5990" s="111"/>
      <c r="F5990" s="113" t="s">
        <v>17363</v>
      </c>
      <c r="G5990" s="114"/>
      <c r="H5990" s="115"/>
      <c r="I5990" s="24" t="s">
        <v>17409</v>
      </c>
      <c r="J5990" s="116">
        <v>4.5</v>
      </c>
      <c r="K5990" s="118">
        <v>3830000</v>
      </c>
      <c r="L5990" s="119"/>
      <c r="M5990" s="118">
        <f t="shared" ref="M5990" si="7914">K5990*0.1</f>
        <v>383000</v>
      </c>
      <c r="N5990" s="119"/>
      <c r="O5990" s="118">
        <v>4620</v>
      </c>
      <c r="P5990" s="119"/>
      <c r="Q5990" s="118">
        <v>21270</v>
      </c>
      <c r="R5990" s="119"/>
      <c r="S5990" s="118">
        <v>16500</v>
      </c>
      <c r="T5990" s="119"/>
      <c r="U5990" s="118">
        <f t="shared" ref="U5990" si="7915">SUM(K5990:T5991)</f>
        <v>4255390</v>
      </c>
      <c r="V5990" s="122"/>
      <c r="W5990" s="124"/>
      <c r="X5990" s="126" t="s">
        <v>17410</v>
      </c>
      <c r="Y5990" s="127"/>
      <c r="Z5990" s="127"/>
      <c r="AA5990" s="127"/>
      <c r="AB5990" s="128"/>
      <c r="AC5990" s="15" t="s">
        <v>20</v>
      </c>
      <c r="AD5990" s="129" t="s">
        <v>17301</v>
      </c>
      <c r="AE5990" s="130"/>
      <c r="AF5990" s="130"/>
      <c r="AG5990" s="130"/>
      <c r="AH5990" s="130"/>
      <c r="AI5990" s="131"/>
      <c r="AJ5990" s="132"/>
      <c r="AK5990" s="127"/>
      <c r="AL5990" s="128"/>
      <c r="AM5990" s="21"/>
      <c r="AN5990" s="133"/>
      <c r="AO5990" s="134"/>
      <c r="AP5990" s="135"/>
      <c r="AQ5990" s="136"/>
      <c r="AR5990" s="118"/>
      <c r="AS5990" s="119"/>
      <c r="AT5990" s="118">
        <f t="shared" ref="AT5990" si="7916">AR5990*0.1</f>
        <v>0</v>
      </c>
      <c r="AU5990" s="119"/>
      <c r="AV5990" s="118"/>
      <c r="AW5990" s="119"/>
      <c r="AX5990" s="118">
        <f t="shared" ref="AX5990" si="7917">SUM(AR5990:AW5990)</f>
        <v>0</v>
      </c>
      <c r="AY5990" s="119"/>
      <c r="AZ5990" s="137"/>
    </row>
    <row r="5991" spans="1:52" ht="17.100000000000001" customHeight="1" thickBot="1">
      <c r="A5991" s="110"/>
      <c r="B5991" s="27" t="s">
        <v>17335</v>
      </c>
      <c r="C5991" s="27">
        <v>82210</v>
      </c>
      <c r="D5991" s="14" t="s">
        <v>17297</v>
      </c>
      <c r="E5991" s="112"/>
      <c r="F5991" s="139" t="s">
        <v>17408</v>
      </c>
      <c r="G5991" s="140"/>
      <c r="H5991" s="141"/>
      <c r="I5991" s="26">
        <v>44208</v>
      </c>
      <c r="J5991" s="117"/>
      <c r="K5991" s="120"/>
      <c r="L5991" s="121"/>
      <c r="M5991" s="120"/>
      <c r="N5991" s="121"/>
      <c r="O5991" s="120"/>
      <c r="P5991" s="121"/>
      <c r="Q5991" s="120"/>
      <c r="R5991" s="121"/>
      <c r="S5991" s="120"/>
      <c r="T5991" s="121"/>
      <c r="U5991" s="120"/>
      <c r="V5991" s="123"/>
      <c r="W5991" s="125"/>
      <c r="X5991" s="142" t="s">
        <v>18007</v>
      </c>
      <c r="Y5991" s="143"/>
      <c r="Z5991" s="143"/>
      <c r="AA5991" s="143"/>
      <c r="AB5991" s="144"/>
      <c r="AC5991" s="16" t="s">
        <v>21</v>
      </c>
      <c r="AD5991" s="17" t="s">
        <v>3583</v>
      </c>
      <c r="AE5991" s="145" t="s">
        <v>1742</v>
      </c>
      <c r="AF5991" s="146"/>
      <c r="AG5991" s="146"/>
      <c r="AH5991" s="146"/>
      <c r="AI5991" s="147"/>
      <c r="AJ5991" s="148"/>
      <c r="AK5991" s="143"/>
      <c r="AL5991" s="144"/>
      <c r="AM5991" s="22"/>
      <c r="AN5991" s="149"/>
      <c r="AO5991" s="144"/>
      <c r="AP5991" s="148"/>
      <c r="AQ5991" s="144"/>
      <c r="AR5991" s="120"/>
      <c r="AS5991" s="121"/>
      <c r="AT5991" s="120"/>
      <c r="AU5991" s="121"/>
      <c r="AV5991" s="120"/>
      <c r="AW5991" s="121"/>
      <c r="AX5991" s="120"/>
      <c r="AY5991" s="121"/>
      <c r="AZ5991" s="138"/>
    </row>
    <row r="5992" spans="1:52" ht="17.100000000000001" customHeight="1" thickTop="1">
      <c r="A5992" s="109" t="s">
        <v>17345</v>
      </c>
      <c r="B5992" s="28">
        <v>46060</v>
      </c>
      <c r="C5992" s="25">
        <v>1287</v>
      </c>
      <c r="D5992" s="13" t="s">
        <v>17411</v>
      </c>
      <c r="E5992" s="111"/>
      <c r="F5992" s="113" t="s">
        <v>16285</v>
      </c>
      <c r="G5992" s="114"/>
      <c r="H5992" s="115"/>
      <c r="I5992" s="24" t="s">
        <v>17413</v>
      </c>
      <c r="J5992" s="116">
        <v>4</v>
      </c>
      <c r="K5992" s="118">
        <v>680000</v>
      </c>
      <c r="L5992" s="119"/>
      <c r="M5992" s="118">
        <f t="shared" ref="M5992" si="7918">K5992*0.1</f>
        <v>68000</v>
      </c>
      <c r="N5992" s="119"/>
      <c r="O5992" s="118">
        <v>3080</v>
      </c>
      <c r="P5992" s="119"/>
      <c r="Q5992" s="118">
        <v>17600</v>
      </c>
      <c r="R5992" s="119"/>
      <c r="S5992" s="118">
        <v>16500</v>
      </c>
      <c r="T5992" s="119"/>
      <c r="U5992" s="118">
        <f t="shared" ref="U5992" si="7919">SUM(K5992:T5993)</f>
        <v>785180</v>
      </c>
      <c r="V5992" s="122"/>
      <c r="W5992" s="124"/>
      <c r="X5992" s="126" t="s">
        <v>17414</v>
      </c>
      <c r="Y5992" s="127"/>
      <c r="Z5992" s="127"/>
      <c r="AA5992" s="127"/>
      <c r="AB5992" s="128"/>
      <c r="AC5992" s="15" t="s">
        <v>20</v>
      </c>
      <c r="AD5992" s="129" t="s">
        <v>17415</v>
      </c>
      <c r="AE5992" s="130"/>
      <c r="AF5992" s="130"/>
      <c r="AG5992" s="130"/>
      <c r="AH5992" s="130"/>
      <c r="AI5992" s="131"/>
      <c r="AJ5992" s="132"/>
      <c r="AK5992" s="127"/>
      <c r="AL5992" s="128"/>
      <c r="AM5992" s="21"/>
      <c r="AN5992" s="133">
        <v>46078</v>
      </c>
      <c r="AO5992" s="134"/>
      <c r="AP5992" s="135">
        <v>1006</v>
      </c>
      <c r="AQ5992" s="136"/>
      <c r="AR5992" s="118">
        <v>810000</v>
      </c>
      <c r="AS5992" s="119"/>
      <c r="AT5992" s="118">
        <f t="shared" ref="AT5992" si="7920">AR5992*0.1</f>
        <v>81000</v>
      </c>
      <c r="AU5992" s="119"/>
      <c r="AV5992" s="118">
        <v>17600</v>
      </c>
      <c r="AW5992" s="119"/>
      <c r="AX5992" s="118">
        <f t="shared" ref="AX5992" si="7921">SUM(AR5992:AW5992)</f>
        <v>908600</v>
      </c>
      <c r="AY5992" s="119"/>
      <c r="AZ5992" s="137">
        <v>46083</v>
      </c>
    </row>
    <row r="5993" spans="1:52" ht="17.100000000000001" customHeight="1" thickBot="1">
      <c r="A5993" s="110"/>
      <c r="B5993" s="27" t="s">
        <v>17335</v>
      </c>
      <c r="C5993" s="27">
        <v>82496</v>
      </c>
      <c r="D5993" s="14" t="s">
        <v>17391</v>
      </c>
      <c r="E5993" s="112"/>
      <c r="F5993" s="139" t="s">
        <v>17412</v>
      </c>
      <c r="G5993" s="140"/>
      <c r="H5993" s="141"/>
      <c r="I5993" s="26">
        <v>60084</v>
      </c>
      <c r="J5993" s="117"/>
      <c r="K5993" s="120"/>
      <c r="L5993" s="121"/>
      <c r="M5993" s="120"/>
      <c r="N5993" s="121"/>
      <c r="O5993" s="120"/>
      <c r="P5993" s="121"/>
      <c r="Q5993" s="120"/>
      <c r="R5993" s="121"/>
      <c r="S5993" s="120"/>
      <c r="T5993" s="121"/>
      <c r="U5993" s="120"/>
      <c r="V5993" s="123"/>
      <c r="W5993" s="125"/>
      <c r="X5993" s="142" t="s">
        <v>18004</v>
      </c>
      <c r="Y5993" s="143"/>
      <c r="Z5993" s="143"/>
      <c r="AA5993" s="143"/>
      <c r="AB5993" s="144"/>
      <c r="AC5993" s="16" t="s">
        <v>21</v>
      </c>
      <c r="AD5993" s="17" t="s">
        <v>3583</v>
      </c>
      <c r="AE5993" s="145" t="s">
        <v>18005</v>
      </c>
      <c r="AF5993" s="146"/>
      <c r="AG5993" s="146"/>
      <c r="AH5993" s="146"/>
      <c r="AI5993" s="147"/>
      <c r="AJ5993" s="148"/>
      <c r="AK5993" s="143"/>
      <c r="AL5993" s="144"/>
      <c r="AM5993" s="22"/>
      <c r="AN5993" s="149" t="s">
        <v>2794</v>
      </c>
      <c r="AO5993" s="144"/>
      <c r="AP5993" s="148">
        <v>6036</v>
      </c>
      <c r="AQ5993" s="144"/>
      <c r="AR5993" s="120"/>
      <c r="AS5993" s="121"/>
      <c r="AT5993" s="120"/>
      <c r="AU5993" s="121"/>
      <c r="AV5993" s="120"/>
      <c r="AW5993" s="121"/>
      <c r="AX5993" s="120"/>
      <c r="AY5993" s="121"/>
      <c r="AZ5993" s="138"/>
    </row>
    <row r="5994" spans="1:52" ht="17.100000000000001" customHeight="1" thickTop="1">
      <c r="A5994" s="109" t="s">
        <v>17477</v>
      </c>
      <c r="B5994" s="28">
        <v>46062</v>
      </c>
      <c r="C5994" s="25">
        <v>2080</v>
      </c>
      <c r="D5994" s="13" t="s">
        <v>1615</v>
      </c>
      <c r="E5994" s="111"/>
      <c r="F5994" s="113" t="s">
        <v>10452</v>
      </c>
      <c r="G5994" s="114"/>
      <c r="H5994" s="115"/>
      <c r="I5994" s="24" t="s">
        <v>3931</v>
      </c>
      <c r="J5994" s="116">
        <v>4</v>
      </c>
      <c r="K5994" s="118">
        <v>1165000</v>
      </c>
      <c r="L5994" s="119"/>
      <c r="M5994" s="118">
        <f t="shared" ref="M5994" si="7922">K5994*0.1</f>
        <v>116500</v>
      </c>
      <c r="N5994" s="119"/>
      <c r="O5994" s="118">
        <f>3200+320</f>
        <v>3520</v>
      </c>
      <c r="P5994" s="119"/>
      <c r="Q5994" s="118">
        <v>22520</v>
      </c>
      <c r="R5994" s="119"/>
      <c r="S5994" s="118">
        <v>11000</v>
      </c>
      <c r="T5994" s="119"/>
      <c r="U5994" s="118">
        <f t="shared" ref="U5994" si="7923">SUM(K5994:T5995)</f>
        <v>1318540</v>
      </c>
      <c r="V5994" s="122"/>
      <c r="W5994" s="124"/>
      <c r="X5994" s="126" t="s">
        <v>17673</v>
      </c>
      <c r="Y5994" s="127"/>
      <c r="Z5994" s="127"/>
      <c r="AA5994" s="127"/>
      <c r="AB5994" s="128"/>
      <c r="AC5994" s="15" t="s">
        <v>20</v>
      </c>
      <c r="AD5994" s="129" t="s">
        <v>4462</v>
      </c>
      <c r="AE5994" s="130"/>
      <c r="AF5994" s="130"/>
      <c r="AG5994" s="130"/>
      <c r="AH5994" s="130"/>
      <c r="AI5994" s="131"/>
      <c r="AJ5994" s="132"/>
      <c r="AK5994" s="127"/>
      <c r="AL5994" s="128"/>
      <c r="AM5994" s="21" t="s">
        <v>19857</v>
      </c>
      <c r="AN5994" s="133"/>
      <c r="AO5994" s="134"/>
      <c r="AP5994" s="135"/>
      <c r="AQ5994" s="136"/>
      <c r="AR5994" s="118"/>
      <c r="AS5994" s="119"/>
      <c r="AT5994" s="118">
        <f t="shared" ref="AT5994" si="7924">AR5994*0.1</f>
        <v>0</v>
      </c>
      <c r="AU5994" s="119"/>
      <c r="AV5994" s="118"/>
      <c r="AW5994" s="119"/>
      <c r="AX5994" s="118">
        <f t="shared" ref="AX5994" si="7925">SUM(AR5994:AW5994)</f>
        <v>0</v>
      </c>
      <c r="AY5994" s="119"/>
      <c r="AZ5994" s="137"/>
    </row>
    <row r="5995" spans="1:52" ht="17.100000000000001" customHeight="1" thickBot="1">
      <c r="A5995" s="110"/>
      <c r="B5995" s="27" t="s">
        <v>83</v>
      </c>
      <c r="C5995" s="27">
        <v>31002</v>
      </c>
      <c r="D5995" s="14" t="s">
        <v>2601</v>
      </c>
      <c r="E5995" s="112"/>
      <c r="F5995" s="139" t="s">
        <v>17444</v>
      </c>
      <c r="G5995" s="140"/>
      <c r="H5995" s="141"/>
      <c r="I5995" s="26">
        <v>42129</v>
      </c>
      <c r="J5995" s="117"/>
      <c r="K5995" s="120"/>
      <c r="L5995" s="121"/>
      <c r="M5995" s="120"/>
      <c r="N5995" s="121"/>
      <c r="O5995" s="120"/>
      <c r="P5995" s="121"/>
      <c r="Q5995" s="120"/>
      <c r="R5995" s="121"/>
      <c r="S5995" s="120"/>
      <c r="T5995" s="121"/>
      <c r="U5995" s="120"/>
      <c r="V5995" s="123"/>
      <c r="W5995" s="125"/>
      <c r="X5995" s="142" t="s">
        <v>9685</v>
      </c>
      <c r="Y5995" s="143"/>
      <c r="Z5995" s="143"/>
      <c r="AA5995" s="143"/>
      <c r="AB5995" s="144"/>
      <c r="AC5995" s="16" t="s">
        <v>21</v>
      </c>
      <c r="AD5995" s="17" t="s">
        <v>2298</v>
      </c>
      <c r="AE5995" s="145" t="s">
        <v>1742</v>
      </c>
      <c r="AF5995" s="146"/>
      <c r="AG5995" s="146"/>
      <c r="AH5995" s="146"/>
      <c r="AI5995" s="147"/>
      <c r="AJ5995" s="148"/>
      <c r="AK5995" s="143"/>
      <c r="AL5995" s="144"/>
      <c r="AM5995" s="22"/>
      <c r="AN5995" s="149"/>
      <c r="AO5995" s="144"/>
      <c r="AP5995" s="148"/>
      <c r="AQ5995" s="144"/>
      <c r="AR5995" s="120"/>
      <c r="AS5995" s="121"/>
      <c r="AT5995" s="120"/>
      <c r="AU5995" s="121"/>
      <c r="AV5995" s="120"/>
      <c r="AW5995" s="121"/>
      <c r="AX5995" s="120"/>
      <c r="AY5995" s="121"/>
      <c r="AZ5995" s="138"/>
    </row>
    <row r="5996" spans="1:52" ht="17.100000000000001" customHeight="1" thickTop="1">
      <c r="A5996" s="109" t="s">
        <v>17478</v>
      </c>
      <c r="B5996" s="28">
        <v>46062</v>
      </c>
      <c r="C5996" s="25">
        <v>2080</v>
      </c>
      <c r="D5996" s="13" t="s">
        <v>2941</v>
      </c>
      <c r="E5996" s="111"/>
      <c r="F5996" s="113" t="s">
        <v>17445</v>
      </c>
      <c r="G5996" s="114"/>
      <c r="H5996" s="115"/>
      <c r="I5996" s="24" t="s">
        <v>4193</v>
      </c>
      <c r="J5996" s="116">
        <v>4.5</v>
      </c>
      <c r="K5996" s="118">
        <v>1620000</v>
      </c>
      <c r="L5996" s="119"/>
      <c r="M5996" s="118">
        <f t="shared" ref="M5996" si="7926">K5996*0.1</f>
        <v>162000</v>
      </c>
      <c r="N5996" s="119"/>
      <c r="O5996" s="118">
        <v>3520</v>
      </c>
      <c r="P5996" s="119"/>
      <c r="Q5996" s="118">
        <v>18130</v>
      </c>
      <c r="R5996" s="119"/>
      <c r="S5996" s="118">
        <v>11000</v>
      </c>
      <c r="T5996" s="119"/>
      <c r="U5996" s="118">
        <f t="shared" ref="U5996" si="7927">SUM(K5996:T5997)</f>
        <v>1814650</v>
      </c>
      <c r="V5996" s="122"/>
      <c r="W5996" s="124"/>
      <c r="X5996" s="126" t="s">
        <v>17447</v>
      </c>
      <c r="Y5996" s="127"/>
      <c r="Z5996" s="127"/>
      <c r="AA5996" s="127"/>
      <c r="AB5996" s="128"/>
      <c r="AC5996" s="15" t="s">
        <v>20</v>
      </c>
      <c r="AD5996" s="129" t="s">
        <v>171</v>
      </c>
      <c r="AE5996" s="130"/>
      <c r="AF5996" s="130"/>
      <c r="AG5996" s="130"/>
      <c r="AH5996" s="130"/>
      <c r="AI5996" s="131"/>
      <c r="AJ5996" s="132"/>
      <c r="AK5996" s="127"/>
      <c r="AL5996" s="128"/>
      <c r="AM5996" s="21"/>
      <c r="AN5996" s="133"/>
      <c r="AO5996" s="134"/>
      <c r="AP5996" s="135"/>
      <c r="AQ5996" s="136"/>
      <c r="AR5996" s="118"/>
      <c r="AS5996" s="119"/>
      <c r="AT5996" s="118">
        <f t="shared" ref="AT5996" si="7928">AR5996*0.1</f>
        <v>0</v>
      </c>
      <c r="AU5996" s="119"/>
      <c r="AV5996" s="118"/>
      <c r="AW5996" s="119"/>
      <c r="AX5996" s="118">
        <f t="shared" ref="AX5996" si="7929">SUM(AR5996:AW5996)</f>
        <v>0</v>
      </c>
      <c r="AY5996" s="119"/>
      <c r="AZ5996" s="137"/>
    </row>
    <row r="5997" spans="1:52" ht="17.100000000000001" customHeight="1" thickBot="1">
      <c r="A5997" s="110"/>
      <c r="B5997" s="27" t="s">
        <v>83</v>
      </c>
      <c r="C5997" s="27">
        <v>36033</v>
      </c>
      <c r="D5997" s="14" t="s">
        <v>904</v>
      </c>
      <c r="E5997" s="112"/>
      <c r="F5997" s="139" t="s">
        <v>17446</v>
      </c>
      <c r="G5997" s="140"/>
      <c r="H5997" s="141"/>
      <c r="I5997" s="26">
        <v>61504</v>
      </c>
      <c r="J5997" s="117"/>
      <c r="K5997" s="120"/>
      <c r="L5997" s="121"/>
      <c r="M5997" s="120"/>
      <c r="N5997" s="121"/>
      <c r="O5997" s="120"/>
      <c r="P5997" s="121"/>
      <c r="Q5997" s="120"/>
      <c r="R5997" s="121"/>
      <c r="S5997" s="120"/>
      <c r="T5997" s="121"/>
      <c r="U5997" s="120"/>
      <c r="V5997" s="123"/>
      <c r="W5997" s="125"/>
      <c r="X5997" s="142" t="s">
        <v>17793</v>
      </c>
      <c r="Y5997" s="143"/>
      <c r="Z5997" s="143"/>
      <c r="AA5997" s="143"/>
      <c r="AB5997" s="144"/>
      <c r="AC5997" s="16" t="s">
        <v>21</v>
      </c>
      <c r="AD5997" s="17" t="s">
        <v>17777</v>
      </c>
      <c r="AE5997" s="145" t="s">
        <v>1742</v>
      </c>
      <c r="AF5997" s="146"/>
      <c r="AG5997" s="146"/>
      <c r="AH5997" s="146"/>
      <c r="AI5997" s="147"/>
      <c r="AJ5997" s="148"/>
      <c r="AK5997" s="143"/>
      <c r="AL5997" s="144"/>
      <c r="AM5997" s="22"/>
      <c r="AN5997" s="149"/>
      <c r="AO5997" s="144"/>
      <c r="AP5997" s="148"/>
      <c r="AQ5997" s="144"/>
      <c r="AR5997" s="120"/>
      <c r="AS5997" s="121"/>
      <c r="AT5997" s="120"/>
      <c r="AU5997" s="121"/>
      <c r="AV5997" s="120"/>
      <c r="AW5997" s="121"/>
      <c r="AX5997" s="120"/>
      <c r="AY5997" s="121"/>
      <c r="AZ5997" s="138"/>
    </row>
    <row r="5998" spans="1:52" ht="17.100000000000001" customHeight="1" thickTop="1">
      <c r="A5998" s="109" t="s">
        <v>17479</v>
      </c>
      <c r="B5998" s="28">
        <v>46062</v>
      </c>
      <c r="C5998" s="25"/>
      <c r="D5998" s="13" t="s">
        <v>1958</v>
      </c>
      <c r="E5998" s="111"/>
      <c r="F5998" s="113" t="s">
        <v>17448</v>
      </c>
      <c r="G5998" s="114"/>
      <c r="H5998" s="115"/>
      <c r="I5998" s="24" t="s">
        <v>2919</v>
      </c>
      <c r="J5998" s="116">
        <v>4</v>
      </c>
      <c r="K5998" s="118">
        <v>681000</v>
      </c>
      <c r="L5998" s="119"/>
      <c r="M5998" s="118">
        <f t="shared" ref="M5998" si="7930">K5998*0.1</f>
        <v>68100</v>
      </c>
      <c r="N5998" s="119"/>
      <c r="O5998" s="118">
        <v>3520</v>
      </c>
      <c r="P5998" s="119"/>
      <c r="Q5998" s="118">
        <v>19090</v>
      </c>
      <c r="R5998" s="119"/>
      <c r="S5998" s="118">
        <v>15950</v>
      </c>
      <c r="T5998" s="119"/>
      <c r="U5998" s="118">
        <f t="shared" ref="U5998" si="7931">SUM(K5998:T5999)</f>
        <v>787660</v>
      </c>
      <c r="V5998" s="122"/>
      <c r="W5998" s="124"/>
      <c r="X5998" s="126" t="s">
        <v>17450</v>
      </c>
      <c r="Y5998" s="127"/>
      <c r="Z5998" s="127"/>
      <c r="AA5998" s="127"/>
      <c r="AB5998" s="128"/>
      <c r="AC5998" s="15" t="s">
        <v>20</v>
      </c>
      <c r="AD5998" s="129"/>
      <c r="AE5998" s="130"/>
      <c r="AF5998" s="130"/>
      <c r="AG5998" s="130"/>
      <c r="AH5998" s="130"/>
      <c r="AI5998" s="131"/>
      <c r="AJ5998" s="132"/>
      <c r="AK5998" s="127"/>
      <c r="AL5998" s="128"/>
      <c r="AM5998" s="21"/>
      <c r="AN5998" s="133">
        <v>46067</v>
      </c>
      <c r="AO5998" s="134"/>
      <c r="AP5998" s="135">
        <v>1288</v>
      </c>
      <c r="AQ5998" s="136"/>
      <c r="AR5998" s="118">
        <v>820000</v>
      </c>
      <c r="AS5998" s="119"/>
      <c r="AT5998" s="118">
        <f t="shared" ref="AT5998" si="7932">AR5998*0.1</f>
        <v>82000</v>
      </c>
      <c r="AU5998" s="119"/>
      <c r="AV5998" s="118">
        <v>19090</v>
      </c>
      <c r="AW5998" s="119"/>
      <c r="AX5998" s="118">
        <f t="shared" ref="AX5998" si="7933">SUM(AR5998:AW5998)</f>
        <v>921090</v>
      </c>
      <c r="AY5998" s="119"/>
      <c r="AZ5998" s="137">
        <v>46072</v>
      </c>
    </row>
    <row r="5999" spans="1:52" ht="17.100000000000001" customHeight="1" thickBot="1">
      <c r="A5999" s="110"/>
      <c r="B5999" s="27" t="s">
        <v>17485</v>
      </c>
      <c r="C5999" s="27">
        <v>60027</v>
      </c>
      <c r="D5999" s="14" t="s">
        <v>275</v>
      </c>
      <c r="E5999" s="112"/>
      <c r="F5999" s="139" t="s">
        <v>17449</v>
      </c>
      <c r="G5999" s="140"/>
      <c r="H5999" s="141"/>
      <c r="I5999" s="26">
        <v>93644</v>
      </c>
      <c r="J5999" s="117"/>
      <c r="K5999" s="120"/>
      <c r="L5999" s="121"/>
      <c r="M5999" s="120"/>
      <c r="N5999" s="121"/>
      <c r="O5999" s="120"/>
      <c r="P5999" s="121"/>
      <c r="Q5999" s="120"/>
      <c r="R5999" s="121"/>
      <c r="S5999" s="120"/>
      <c r="T5999" s="121"/>
      <c r="U5999" s="120"/>
      <c r="V5999" s="123"/>
      <c r="W5999" s="125"/>
      <c r="X5999" s="142" t="s">
        <v>2947</v>
      </c>
      <c r="Y5999" s="143"/>
      <c r="Z5999" s="143"/>
      <c r="AA5999" s="143"/>
      <c r="AB5999" s="144"/>
      <c r="AC5999" s="16" t="s">
        <v>21</v>
      </c>
      <c r="AD5999" s="17" t="s">
        <v>2339</v>
      </c>
      <c r="AE5999" s="145" t="s">
        <v>7859</v>
      </c>
      <c r="AF5999" s="146"/>
      <c r="AG5999" s="146"/>
      <c r="AH5999" s="146"/>
      <c r="AI5999" s="147"/>
      <c r="AJ5999" s="148"/>
      <c r="AK5999" s="143"/>
      <c r="AL5999" s="144"/>
      <c r="AM5999" s="22"/>
      <c r="AN5999" s="149" t="s">
        <v>2511</v>
      </c>
      <c r="AO5999" s="144"/>
      <c r="AP5999" s="148">
        <v>80367</v>
      </c>
      <c r="AQ5999" s="144"/>
      <c r="AR5999" s="120"/>
      <c r="AS5999" s="121"/>
      <c r="AT5999" s="120"/>
      <c r="AU5999" s="121"/>
      <c r="AV5999" s="120"/>
      <c r="AW5999" s="121"/>
      <c r="AX5999" s="120"/>
      <c r="AY5999" s="121"/>
      <c r="AZ5999" s="138"/>
    </row>
    <row r="6000" spans="1:52" ht="17.100000000000001" customHeight="1" thickTop="1">
      <c r="A6000" s="109" t="s">
        <v>17480</v>
      </c>
      <c r="B6000" s="28">
        <v>46062</v>
      </c>
      <c r="C6000" s="25"/>
      <c r="D6000" s="13" t="s">
        <v>1686</v>
      </c>
      <c r="E6000" s="111"/>
      <c r="F6000" s="113" t="s">
        <v>1938</v>
      </c>
      <c r="G6000" s="114"/>
      <c r="H6000" s="115"/>
      <c r="I6000" s="24"/>
      <c r="J6000" s="116">
        <v>3.5</v>
      </c>
      <c r="K6000" s="118">
        <v>230000</v>
      </c>
      <c r="L6000" s="119"/>
      <c r="M6000" s="118">
        <f t="shared" ref="M6000" si="7934">K6000*0.1</f>
        <v>23000</v>
      </c>
      <c r="N6000" s="119"/>
      <c r="O6000" s="118">
        <v>0</v>
      </c>
      <c r="P6000" s="119"/>
      <c r="Q6000" s="118">
        <v>17700</v>
      </c>
      <c r="R6000" s="119"/>
      <c r="S6000" s="118">
        <v>14850</v>
      </c>
      <c r="T6000" s="119"/>
      <c r="U6000" s="118">
        <f t="shared" ref="U6000" si="7935">SUM(K6000:T6001)</f>
        <v>285550</v>
      </c>
      <c r="V6000" s="122"/>
      <c r="W6000" s="124"/>
      <c r="X6000" s="126" t="s">
        <v>17984</v>
      </c>
      <c r="Y6000" s="127"/>
      <c r="Z6000" s="127"/>
      <c r="AA6000" s="127"/>
      <c r="AB6000" s="128"/>
      <c r="AC6000" s="15" t="s">
        <v>20</v>
      </c>
      <c r="AD6000" s="129"/>
      <c r="AE6000" s="130"/>
      <c r="AF6000" s="130"/>
      <c r="AG6000" s="130"/>
      <c r="AH6000" s="130"/>
      <c r="AI6000" s="131"/>
      <c r="AJ6000" s="132"/>
      <c r="AK6000" s="127"/>
      <c r="AL6000" s="128"/>
      <c r="AM6000" s="21"/>
      <c r="AN6000" s="133">
        <v>46067</v>
      </c>
      <c r="AO6000" s="134"/>
      <c r="AP6000" s="135">
        <v>1288</v>
      </c>
      <c r="AQ6000" s="136"/>
      <c r="AR6000" s="118">
        <v>525000</v>
      </c>
      <c r="AS6000" s="119"/>
      <c r="AT6000" s="118">
        <f t="shared" ref="AT6000" si="7936">AR6000*0.1</f>
        <v>52500</v>
      </c>
      <c r="AU6000" s="119"/>
      <c r="AV6000" s="118">
        <v>17700</v>
      </c>
      <c r="AW6000" s="119"/>
      <c r="AX6000" s="118">
        <f t="shared" ref="AX6000" si="7937">SUM(AR6000:AW6000)</f>
        <v>595200</v>
      </c>
      <c r="AY6000" s="119"/>
      <c r="AZ6000" s="137">
        <v>46070</v>
      </c>
    </row>
    <row r="6001" spans="1:52" ht="17.100000000000001" customHeight="1" thickBot="1">
      <c r="A6001" s="110"/>
      <c r="B6001" s="27" t="s">
        <v>2774</v>
      </c>
      <c r="C6001" s="27">
        <v>70097</v>
      </c>
      <c r="D6001" s="14" t="s">
        <v>1576</v>
      </c>
      <c r="E6001" s="112"/>
      <c r="F6001" s="139" t="s">
        <v>17983</v>
      </c>
      <c r="G6001" s="140"/>
      <c r="H6001" s="141"/>
      <c r="I6001" s="26">
        <v>50477</v>
      </c>
      <c r="J6001" s="117"/>
      <c r="K6001" s="120"/>
      <c r="L6001" s="121"/>
      <c r="M6001" s="120"/>
      <c r="N6001" s="121"/>
      <c r="O6001" s="120"/>
      <c r="P6001" s="121"/>
      <c r="Q6001" s="120"/>
      <c r="R6001" s="121"/>
      <c r="S6001" s="120"/>
      <c r="T6001" s="121"/>
      <c r="U6001" s="120"/>
      <c r="V6001" s="123"/>
      <c r="W6001" s="125"/>
      <c r="X6001" s="142" t="s">
        <v>14150</v>
      </c>
      <c r="Y6001" s="143"/>
      <c r="Z6001" s="143"/>
      <c r="AA6001" s="143"/>
      <c r="AB6001" s="144"/>
      <c r="AC6001" s="16" t="s">
        <v>21</v>
      </c>
      <c r="AD6001" s="17" t="s">
        <v>2339</v>
      </c>
      <c r="AE6001" s="145"/>
      <c r="AF6001" s="146"/>
      <c r="AG6001" s="146"/>
      <c r="AH6001" s="146"/>
      <c r="AI6001" s="147"/>
      <c r="AJ6001" s="148"/>
      <c r="AK6001" s="143"/>
      <c r="AL6001" s="144"/>
      <c r="AM6001" s="22"/>
      <c r="AN6001" s="149" t="s">
        <v>2511</v>
      </c>
      <c r="AO6001" s="144"/>
      <c r="AP6001" s="148">
        <v>80095</v>
      </c>
      <c r="AQ6001" s="144"/>
      <c r="AR6001" s="120"/>
      <c r="AS6001" s="121"/>
      <c r="AT6001" s="120"/>
      <c r="AU6001" s="121"/>
      <c r="AV6001" s="120"/>
      <c r="AW6001" s="121"/>
      <c r="AX6001" s="120"/>
      <c r="AY6001" s="121"/>
      <c r="AZ6001" s="138"/>
    </row>
    <row r="6002" spans="1:52" ht="17.100000000000001" customHeight="1" thickTop="1">
      <c r="A6002" s="109" t="s">
        <v>17481</v>
      </c>
      <c r="B6002" s="28">
        <v>46062</v>
      </c>
      <c r="C6002" s="25"/>
      <c r="D6002" s="13" t="s">
        <v>1586</v>
      </c>
      <c r="E6002" s="111"/>
      <c r="F6002" s="113" t="s">
        <v>1871</v>
      </c>
      <c r="G6002" s="114"/>
      <c r="H6002" s="115"/>
      <c r="I6002" s="24"/>
      <c r="J6002" s="116">
        <v>4</v>
      </c>
      <c r="K6002" s="118">
        <v>1501000</v>
      </c>
      <c r="L6002" s="119"/>
      <c r="M6002" s="118">
        <f t="shared" ref="M6002" si="7938">K6002*0.1</f>
        <v>150100</v>
      </c>
      <c r="N6002" s="119"/>
      <c r="O6002" s="118">
        <v>0</v>
      </c>
      <c r="P6002" s="119"/>
      <c r="Q6002" s="118">
        <v>16240</v>
      </c>
      <c r="R6002" s="119"/>
      <c r="S6002" s="118">
        <v>14850</v>
      </c>
      <c r="T6002" s="119"/>
      <c r="U6002" s="118">
        <f t="shared" ref="U6002" si="7939">SUM(K6002:T6003)</f>
        <v>1682190</v>
      </c>
      <c r="V6002" s="122"/>
      <c r="W6002" s="124"/>
      <c r="X6002" s="126" t="s">
        <v>17986</v>
      </c>
      <c r="Y6002" s="127"/>
      <c r="Z6002" s="127"/>
      <c r="AA6002" s="127"/>
      <c r="AB6002" s="128"/>
      <c r="AC6002" s="15" t="s">
        <v>20</v>
      </c>
      <c r="AD6002" s="129"/>
      <c r="AE6002" s="130"/>
      <c r="AF6002" s="130"/>
      <c r="AG6002" s="130"/>
      <c r="AH6002" s="130"/>
      <c r="AI6002" s="131"/>
      <c r="AJ6002" s="132"/>
      <c r="AK6002" s="127"/>
      <c r="AL6002" s="128"/>
      <c r="AM6002" s="21"/>
      <c r="AN6002" s="133">
        <v>46067</v>
      </c>
      <c r="AO6002" s="134"/>
      <c r="AP6002" s="135">
        <v>1288</v>
      </c>
      <c r="AQ6002" s="136"/>
      <c r="AR6002" s="118">
        <v>1745000</v>
      </c>
      <c r="AS6002" s="119"/>
      <c r="AT6002" s="118">
        <f t="shared" ref="AT6002" si="7940">AR6002*0.1</f>
        <v>174500</v>
      </c>
      <c r="AU6002" s="119"/>
      <c r="AV6002" s="118">
        <v>16240</v>
      </c>
      <c r="AW6002" s="119"/>
      <c r="AX6002" s="118">
        <f t="shared" ref="AX6002" si="7941">SUM(AR6002:AW6002)</f>
        <v>1935740</v>
      </c>
      <c r="AY6002" s="119"/>
      <c r="AZ6002" s="137">
        <v>46070</v>
      </c>
    </row>
    <row r="6003" spans="1:52" ht="17.100000000000001" customHeight="1" thickBot="1">
      <c r="A6003" s="110"/>
      <c r="B6003" s="27" t="s">
        <v>2774</v>
      </c>
      <c r="C6003" s="27">
        <v>80254</v>
      </c>
      <c r="D6003" s="14" t="s">
        <v>3809</v>
      </c>
      <c r="E6003" s="112"/>
      <c r="F6003" s="139" t="s">
        <v>17985</v>
      </c>
      <c r="G6003" s="140"/>
      <c r="H6003" s="141"/>
      <c r="I6003" s="26">
        <v>45372</v>
      </c>
      <c r="J6003" s="117"/>
      <c r="K6003" s="120"/>
      <c r="L6003" s="121"/>
      <c r="M6003" s="120"/>
      <c r="N6003" s="121"/>
      <c r="O6003" s="120"/>
      <c r="P6003" s="121"/>
      <c r="Q6003" s="120"/>
      <c r="R6003" s="121"/>
      <c r="S6003" s="120"/>
      <c r="T6003" s="121"/>
      <c r="U6003" s="120"/>
      <c r="V6003" s="123"/>
      <c r="W6003" s="125"/>
      <c r="X6003" s="142" t="s">
        <v>2776</v>
      </c>
      <c r="Y6003" s="143"/>
      <c r="Z6003" s="143"/>
      <c r="AA6003" s="143"/>
      <c r="AB6003" s="144"/>
      <c r="AC6003" s="16" t="s">
        <v>21</v>
      </c>
      <c r="AD6003" s="17" t="s">
        <v>3583</v>
      </c>
      <c r="AE6003" s="145" t="s">
        <v>7859</v>
      </c>
      <c r="AF6003" s="146"/>
      <c r="AG6003" s="146"/>
      <c r="AH6003" s="146"/>
      <c r="AI6003" s="147"/>
      <c r="AJ6003" s="148"/>
      <c r="AK6003" s="143"/>
      <c r="AL6003" s="144"/>
      <c r="AM6003" s="22"/>
      <c r="AN6003" s="149" t="s">
        <v>2511</v>
      </c>
      <c r="AO6003" s="144"/>
      <c r="AP6003" s="148">
        <v>80068</v>
      </c>
      <c r="AQ6003" s="144"/>
      <c r="AR6003" s="120"/>
      <c r="AS6003" s="121"/>
      <c r="AT6003" s="120"/>
      <c r="AU6003" s="121"/>
      <c r="AV6003" s="120"/>
      <c r="AW6003" s="121"/>
      <c r="AX6003" s="120"/>
      <c r="AY6003" s="121"/>
      <c r="AZ6003" s="138"/>
    </row>
    <row r="6004" spans="1:52" ht="17.100000000000001" customHeight="1" thickTop="1">
      <c r="A6004" s="109" t="s">
        <v>17482</v>
      </c>
      <c r="B6004" s="28">
        <v>46062</v>
      </c>
      <c r="C6004" s="25"/>
      <c r="D6004" s="13" t="s">
        <v>1902</v>
      </c>
      <c r="E6004" s="111"/>
      <c r="F6004" s="113" t="s">
        <v>17760</v>
      </c>
      <c r="G6004" s="114"/>
      <c r="H6004" s="115"/>
      <c r="I6004" s="24"/>
      <c r="J6004" s="116">
        <v>4</v>
      </c>
      <c r="K6004" s="118">
        <v>1491000</v>
      </c>
      <c r="L6004" s="119"/>
      <c r="M6004" s="118">
        <f t="shared" ref="M6004" si="7942">K6004*0.1</f>
        <v>149100</v>
      </c>
      <c r="N6004" s="119"/>
      <c r="O6004" s="118">
        <v>0</v>
      </c>
      <c r="P6004" s="119"/>
      <c r="Q6004" s="118">
        <v>12510</v>
      </c>
      <c r="R6004" s="119"/>
      <c r="S6004" s="118">
        <v>14850</v>
      </c>
      <c r="T6004" s="119"/>
      <c r="U6004" s="118">
        <f t="shared" ref="U6004" si="7943">SUM(K6004:T6005)</f>
        <v>1667460</v>
      </c>
      <c r="V6004" s="122"/>
      <c r="W6004" s="124"/>
      <c r="X6004" s="126" t="s">
        <v>17988</v>
      </c>
      <c r="Y6004" s="127"/>
      <c r="Z6004" s="127"/>
      <c r="AA6004" s="127"/>
      <c r="AB6004" s="128"/>
      <c r="AC6004" s="15" t="s">
        <v>20</v>
      </c>
      <c r="AD6004" s="129"/>
      <c r="AE6004" s="130"/>
      <c r="AF6004" s="130"/>
      <c r="AG6004" s="130"/>
      <c r="AH6004" s="130"/>
      <c r="AI6004" s="131"/>
      <c r="AJ6004" s="132"/>
      <c r="AK6004" s="127"/>
      <c r="AL6004" s="128"/>
      <c r="AM6004" s="21"/>
      <c r="AN6004" s="133">
        <v>46067</v>
      </c>
      <c r="AO6004" s="134"/>
      <c r="AP6004" s="135">
        <v>1288</v>
      </c>
      <c r="AQ6004" s="136"/>
      <c r="AR6004" s="118">
        <v>1630000</v>
      </c>
      <c r="AS6004" s="119"/>
      <c r="AT6004" s="118">
        <f t="shared" ref="AT6004" si="7944">AR6004*0.1</f>
        <v>163000</v>
      </c>
      <c r="AU6004" s="119"/>
      <c r="AV6004" s="118">
        <v>12510</v>
      </c>
      <c r="AW6004" s="119"/>
      <c r="AX6004" s="118">
        <f t="shared" ref="AX6004" si="7945">SUM(AR6004:AW6004)</f>
        <v>1805510</v>
      </c>
      <c r="AY6004" s="119"/>
      <c r="AZ6004" s="137">
        <v>46070</v>
      </c>
    </row>
    <row r="6005" spans="1:52" ht="17.100000000000001" customHeight="1" thickBot="1">
      <c r="A6005" s="110"/>
      <c r="B6005" s="27" t="s">
        <v>2774</v>
      </c>
      <c r="C6005" s="27">
        <v>80255</v>
      </c>
      <c r="D6005" s="14" t="s">
        <v>275</v>
      </c>
      <c r="E6005" s="112"/>
      <c r="F6005" s="139" t="s">
        <v>17987</v>
      </c>
      <c r="G6005" s="140"/>
      <c r="H6005" s="141"/>
      <c r="I6005" s="26">
        <v>31050</v>
      </c>
      <c r="J6005" s="117"/>
      <c r="K6005" s="120"/>
      <c r="L6005" s="121"/>
      <c r="M6005" s="120"/>
      <c r="N6005" s="121"/>
      <c r="O6005" s="120"/>
      <c r="P6005" s="121"/>
      <c r="Q6005" s="120"/>
      <c r="R6005" s="121"/>
      <c r="S6005" s="120"/>
      <c r="T6005" s="121"/>
      <c r="U6005" s="120"/>
      <c r="V6005" s="123"/>
      <c r="W6005" s="125"/>
      <c r="X6005" s="142" t="s">
        <v>2776</v>
      </c>
      <c r="Y6005" s="143"/>
      <c r="Z6005" s="143"/>
      <c r="AA6005" s="143"/>
      <c r="AB6005" s="144"/>
      <c r="AC6005" s="16" t="s">
        <v>21</v>
      </c>
      <c r="AD6005" s="17" t="s">
        <v>3583</v>
      </c>
      <c r="AE6005" s="145" t="s">
        <v>7859</v>
      </c>
      <c r="AF6005" s="146"/>
      <c r="AG6005" s="146"/>
      <c r="AH6005" s="146"/>
      <c r="AI6005" s="147"/>
      <c r="AJ6005" s="148"/>
      <c r="AK6005" s="143"/>
      <c r="AL6005" s="144"/>
      <c r="AM6005" s="22"/>
      <c r="AN6005" s="149" t="s">
        <v>2511</v>
      </c>
      <c r="AO6005" s="144"/>
      <c r="AP6005" s="148">
        <v>80071</v>
      </c>
      <c r="AQ6005" s="144"/>
      <c r="AR6005" s="120"/>
      <c r="AS6005" s="121"/>
      <c r="AT6005" s="120"/>
      <c r="AU6005" s="121"/>
      <c r="AV6005" s="120"/>
      <c r="AW6005" s="121"/>
      <c r="AX6005" s="120"/>
      <c r="AY6005" s="121"/>
      <c r="AZ6005" s="138"/>
    </row>
    <row r="6006" spans="1:52" ht="17.100000000000001" customHeight="1" thickTop="1">
      <c r="A6006" s="109" t="s">
        <v>17483</v>
      </c>
      <c r="B6006" s="28">
        <v>46062</v>
      </c>
      <c r="C6006" s="25"/>
      <c r="D6006" s="13" t="s">
        <v>1667</v>
      </c>
      <c r="E6006" s="111"/>
      <c r="F6006" s="113" t="s">
        <v>1871</v>
      </c>
      <c r="G6006" s="114"/>
      <c r="H6006" s="115"/>
      <c r="I6006" s="24" t="s">
        <v>1559</v>
      </c>
      <c r="J6006" s="116">
        <v>4.5</v>
      </c>
      <c r="K6006" s="118">
        <v>502000</v>
      </c>
      <c r="L6006" s="119"/>
      <c r="M6006" s="118">
        <f t="shared" ref="M6006" si="7946">K6006*0.1</f>
        <v>50200</v>
      </c>
      <c r="N6006" s="119"/>
      <c r="O6006" s="118">
        <v>3520</v>
      </c>
      <c r="P6006" s="119"/>
      <c r="Q6006" s="118">
        <v>17700</v>
      </c>
      <c r="R6006" s="119"/>
      <c r="S6006" s="118">
        <v>14850</v>
      </c>
      <c r="T6006" s="119"/>
      <c r="U6006" s="118">
        <f t="shared" ref="U6006" si="7947">SUM(K6006:T6007)</f>
        <v>588270</v>
      </c>
      <c r="V6006" s="122"/>
      <c r="W6006" s="124"/>
      <c r="X6006" s="126" t="s">
        <v>17451</v>
      </c>
      <c r="Y6006" s="127"/>
      <c r="Z6006" s="127"/>
      <c r="AA6006" s="127"/>
      <c r="AB6006" s="128"/>
      <c r="AC6006" s="15" t="s">
        <v>20</v>
      </c>
      <c r="AD6006" s="129"/>
      <c r="AE6006" s="130"/>
      <c r="AF6006" s="130"/>
      <c r="AG6006" s="130"/>
      <c r="AH6006" s="130"/>
      <c r="AI6006" s="131"/>
      <c r="AJ6006" s="132"/>
      <c r="AK6006" s="127"/>
      <c r="AL6006" s="128"/>
      <c r="AM6006" s="21"/>
      <c r="AN6006" s="133">
        <v>46067</v>
      </c>
      <c r="AO6006" s="134"/>
      <c r="AP6006" s="135">
        <v>1288</v>
      </c>
      <c r="AQ6006" s="136"/>
      <c r="AR6006" s="118">
        <v>600000</v>
      </c>
      <c r="AS6006" s="119"/>
      <c r="AT6006" s="118">
        <f t="shared" ref="AT6006" si="7948">AR6006*0.1</f>
        <v>60000</v>
      </c>
      <c r="AU6006" s="119"/>
      <c r="AV6006" s="118">
        <v>17700</v>
      </c>
      <c r="AW6006" s="119"/>
      <c r="AX6006" s="118">
        <f t="shared" ref="AX6006" si="7949">SUM(AR6006:AW6006)</f>
        <v>677700</v>
      </c>
      <c r="AY6006" s="119"/>
      <c r="AZ6006" s="137">
        <v>46070</v>
      </c>
    </row>
    <row r="6007" spans="1:52" ht="17.100000000000001" customHeight="1" thickBot="1">
      <c r="A6007" s="110"/>
      <c r="B6007" s="27" t="s">
        <v>2774</v>
      </c>
      <c r="C6007" s="27">
        <v>80259</v>
      </c>
      <c r="D6007" s="14" t="s">
        <v>2601</v>
      </c>
      <c r="E6007" s="112"/>
      <c r="F6007" s="139" t="s">
        <v>17982</v>
      </c>
      <c r="G6007" s="140"/>
      <c r="H6007" s="141"/>
      <c r="I6007" s="26">
        <v>71537</v>
      </c>
      <c r="J6007" s="117"/>
      <c r="K6007" s="120"/>
      <c r="L6007" s="121"/>
      <c r="M6007" s="120"/>
      <c r="N6007" s="121"/>
      <c r="O6007" s="120"/>
      <c r="P6007" s="121"/>
      <c r="Q6007" s="120"/>
      <c r="R6007" s="121"/>
      <c r="S6007" s="120"/>
      <c r="T6007" s="121"/>
      <c r="U6007" s="120"/>
      <c r="V6007" s="123"/>
      <c r="W6007" s="125"/>
      <c r="X6007" s="142" t="s">
        <v>4847</v>
      </c>
      <c r="Y6007" s="143"/>
      <c r="Z6007" s="143"/>
      <c r="AA6007" s="143"/>
      <c r="AB6007" s="144"/>
      <c r="AC6007" s="16" t="s">
        <v>21</v>
      </c>
      <c r="AD6007" s="17" t="s">
        <v>2339</v>
      </c>
      <c r="AE6007" s="145"/>
      <c r="AF6007" s="146"/>
      <c r="AG6007" s="146"/>
      <c r="AH6007" s="146"/>
      <c r="AI6007" s="147"/>
      <c r="AJ6007" s="148"/>
      <c r="AK6007" s="143"/>
      <c r="AL6007" s="144"/>
      <c r="AM6007" s="22"/>
      <c r="AN6007" s="149" t="s">
        <v>2511</v>
      </c>
      <c r="AO6007" s="144"/>
      <c r="AP6007" s="148">
        <v>80091</v>
      </c>
      <c r="AQ6007" s="144"/>
      <c r="AR6007" s="120"/>
      <c r="AS6007" s="121"/>
      <c r="AT6007" s="120"/>
      <c r="AU6007" s="121"/>
      <c r="AV6007" s="120"/>
      <c r="AW6007" s="121"/>
      <c r="AX6007" s="120"/>
      <c r="AY6007" s="121"/>
      <c r="AZ6007" s="138"/>
    </row>
    <row r="6008" spans="1:52" ht="17.100000000000001" customHeight="1" thickTop="1">
      <c r="A6008" s="109" t="s">
        <v>17484</v>
      </c>
      <c r="B6008" s="28">
        <v>46062</v>
      </c>
      <c r="C6008" s="25">
        <v>91</v>
      </c>
      <c r="D6008" s="13" t="s">
        <v>2014</v>
      </c>
      <c r="E6008" s="111"/>
      <c r="F6008" s="113" t="s">
        <v>17453</v>
      </c>
      <c r="G6008" s="114"/>
      <c r="H6008" s="115"/>
      <c r="I6008" s="24" t="s">
        <v>2956</v>
      </c>
      <c r="J6008" s="116">
        <v>4</v>
      </c>
      <c r="K6008" s="118">
        <v>1025000</v>
      </c>
      <c r="L6008" s="119"/>
      <c r="M6008" s="118">
        <f t="shared" ref="M6008" si="7950">K6008*0.1</f>
        <v>102500</v>
      </c>
      <c r="N6008" s="119"/>
      <c r="O6008" s="118">
        <v>0</v>
      </c>
      <c r="P6008" s="119"/>
      <c r="Q6008" s="118">
        <v>6550</v>
      </c>
      <c r="R6008" s="119"/>
      <c r="S6008" s="118">
        <v>44000</v>
      </c>
      <c r="T6008" s="119"/>
      <c r="U6008" s="118">
        <f t="shared" ref="U6008" si="7951">SUM(K6008:T6009)</f>
        <v>1178050</v>
      </c>
      <c r="V6008" s="122"/>
      <c r="W6008" s="124"/>
      <c r="X6008" s="126" t="s">
        <v>18303</v>
      </c>
      <c r="Y6008" s="127"/>
      <c r="Z6008" s="127"/>
      <c r="AA6008" s="127"/>
      <c r="AB6008" s="128"/>
      <c r="AC6008" s="15" t="s">
        <v>20</v>
      </c>
      <c r="AD6008" s="129" t="s">
        <v>17454</v>
      </c>
      <c r="AE6008" s="130"/>
      <c r="AF6008" s="130"/>
      <c r="AG6008" s="130"/>
      <c r="AH6008" s="130"/>
      <c r="AI6008" s="131"/>
      <c r="AJ6008" s="132"/>
      <c r="AK6008" s="127"/>
      <c r="AL6008" s="128"/>
      <c r="AM6008" s="21"/>
      <c r="AN6008" s="133">
        <v>46077</v>
      </c>
      <c r="AO6008" s="134"/>
      <c r="AP6008" s="135">
        <v>1930</v>
      </c>
      <c r="AQ6008" s="136"/>
      <c r="AR6008" s="118">
        <v>1093000</v>
      </c>
      <c r="AS6008" s="119"/>
      <c r="AT6008" s="118">
        <f t="shared" ref="AT6008" si="7952">AR6008*0.1</f>
        <v>109300</v>
      </c>
      <c r="AU6008" s="119"/>
      <c r="AV6008" s="118">
        <v>6550</v>
      </c>
      <c r="AW6008" s="119"/>
      <c r="AX6008" s="118">
        <f t="shared" ref="AX6008" si="7953">SUM(AR6008:AW6008)</f>
        <v>1208850</v>
      </c>
      <c r="AY6008" s="119"/>
      <c r="AZ6008" s="137"/>
    </row>
    <row r="6009" spans="1:52" ht="17.100000000000001" customHeight="1" thickBot="1">
      <c r="A6009" s="110"/>
      <c r="B6009" s="27" t="s">
        <v>4544</v>
      </c>
      <c r="C6009" s="27">
        <v>1002</v>
      </c>
      <c r="D6009" s="14" t="s">
        <v>275</v>
      </c>
      <c r="E6009" s="112"/>
      <c r="F6009" s="139" t="s">
        <v>17452</v>
      </c>
      <c r="G6009" s="140"/>
      <c r="H6009" s="141"/>
      <c r="I6009" s="26">
        <v>8185</v>
      </c>
      <c r="J6009" s="117"/>
      <c r="K6009" s="120"/>
      <c r="L6009" s="121"/>
      <c r="M6009" s="120"/>
      <c r="N6009" s="121"/>
      <c r="O6009" s="120"/>
      <c r="P6009" s="121"/>
      <c r="Q6009" s="120"/>
      <c r="R6009" s="121"/>
      <c r="S6009" s="120"/>
      <c r="T6009" s="121"/>
      <c r="U6009" s="120"/>
      <c r="V6009" s="123"/>
      <c r="W6009" s="125"/>
      <c r="X6009" s="142" t="s">
        <v>18304</v>
      </c>
      <c r="Y6009" s="143"/>
      <c r="Z6009" s="143"/>
      <c r="AA6009" s="143"/>
      <c r="AB6009" s="144"/>
      <c r="AC6009" s="16" t="s">
        <v>21</v>
      </c>
      <c r="AD6009" s="17" t="s">
        <v>18305</v>
      </c>
      <c r="AE6009" s="145" t="s">
        <v>1742</v>
      </c>
      <c r="AF6009" s="146"/>
      <c r="AG6009" s="146"/>
      <c r="AH6009" s="146"/>
      <c r="AI6009" s="147"/>
      <c r="AJ6009" s="148"/>
      <c r="AK6009" s="143"/>
      <c r="AL6009" s="144"/>
      <c r="AM6009" s="22"/>
      <c r="AN6009" s="149" t="s">
        <v>2131</v>
      </c>
      <c r="AO6009" s="144"/>
      <c r="AP6009" s="148">
        <v>3263</v>
      </c>
      <c r="AQ6009" s="144"/>
      <c r="AR6009" s="120"/>
      <c r="AS6009" s="121"/>
      <c r="AT6009" s="120"/>
      <c r="AU6009" s="121"/>
      <c r="AV6009" s="120"/>
      <c r="AW6009" s="121"/>
      <c r="AX6009" s="120"/>
      <c r="AY6009" s="121"/>
      <c r="AZ6009" s="138"/>
    </row>
    <row r="6010" spans="1:52" ht="17.100000000000001" customHeight="1" thickTop="1">
      <c r="A6010" s="109" t="s">
        <v>17488</v>
      </c>
      <c r="B6010" s="28">
        <v>46062</v>
      </c>
      <c r="C6010" s="25"/>
      <c r="D6010" s="13" t="s">
        <v>2196</v>
      </c>
      <c r="E6010" s="111"/>
      <c r="F6010" s="113" t="s">
        <v>15514</v>
      </c>
      <c r="G6010" s="114"/>
      <c r="H6010" s="115"/>
      <c r="I6010" s="24" t="s">
        <v>12571</v>
      </c>
      <c r="J6010" s="116">
        <v>4</v>
      </c>
      <c r="K6010" s="118">
        <f>3525500/1.1</f>
        <v>3204999.9999999995</v>
      </c>
      <c r="L6010" s="119"/>
      <c r="M6010" s="118">
        <f t="shared" ref="M6010" si="7954">K6010*0.1</f>
        <v>320500</v>
      </c>
      <c r="N6010" s="119"/>
      <c r="O6010" s="118">
        <v>0</v>
      </c>
      <c r="P6010" s="119"/>
      <c r="Q6010" s="118">
        <v>16550</v>
      </c>
      <c r="R6010" s="119"/>
      <c r="S6010" s="118">
        <v>0</v>
      </c>
      <c r="T6010" s="119"/>
      <c r="U6010" s="118">
        <f t="shared" ref="U6010" si="7955">SUM(K6010:T6011)</f>
        <v>3542049.9999999995</v>
      </c>
      <c r="V6010" s="122"/>
      <c r="W6010" s="124"/>
      <c r="X6010" s="126" t="s">
        <v>22257</v>
      </c>
      <c r="Y6010" s="127"/>
      <c r="Z6010" s="127"/>
      <c r="AA6010" s="127"/>
      <c r="AB6010" s="128"/>
      <c r="AC6010" s="15" t="s">
        <v>20</v>
      </c>
      <c r="AD6010" s="129" t="s">
        <v>1605</v>
      </c>
      <c r="AE6010" s="130"/>
      <c r="AF6010" s="130"/>
      <c r="AG6010" s="130"/>
      <c r="AH6010" s="130"/>
      <c r="AI6010" s="131"/>
      <c r="AJ6010" s="132"/>
      <c r="AK6010" s="127"/>
      <c r="AL6010" s="128"/>
      <c r="AM6010" s="21" t="s">
        <v>24987</v>
      </c>
      <c r="AN6010" s="133"/>
      <c r="AO6010" s="134"/>
      <c r="AP6010" s="135"/>
      <c r="AQ6010" s="136"/>
      <c r="AR6010" s="118"/>
      <c r="AS6010" s="119"/>
      <c r="AT6010" s="118">
        <f t="shared" ref="AT6010" si="7956">AR6010*0.1</f>
        <v>0</v>
      </c>
      <c r="AU6010" s="119"/>
      <c r="AV6010" s="118"/>
      <c r="AW6010" s="119"/>
      <c r="AX6010" s="118">
        <f t="shared" ref="AX6010" si="7957">SUM(AR6010:AW6010)</f>
        <v>0</v>
      </c>
      <c r="AY6010" s="119"/>
      <c r="AZ6010" s="137"/>
    </row>
    <row r="6011" spans="1:52" ht="17.100000000000001" customHeight="1" thickBot="1">
      <c r="A6011" s="110"/>
      <c r="B6011" s="27" t="s">
        <v>1718</v>
      </c>
      <c r="C6011" s="27" t="s">
        <v>17486</v>
      </c>
      <c r="D6011" s="14" t="s">
        <v>2601</v>
      </c>
      <c r="E6011" s="112"/>
      <c r="F6011" s="139" t="s">
        <v>17487</v>
      </c>
      <c r="G6011" s="140"/>
      <c r="H6011" s="141"/>
      <c r="I6011" s="26">
        <v>52736</v>
      </c>
      <c r="J6011" s="117"/>
      <c r="K6011" s="120"/>
      <c r="L6011" s="121"/>
      <c r="M6011" s="120"/>
      <c r="N6011" s="121"/>
      <c r="O6011" s="120"/>
      <c r="P6011" s="121"/>
      <c r="Q6011" s="120"/>
      <c r="R6011" s="121"/>
      <c r="S6011" s="120"/>
      <c r="T6011" s="121"/>
      <c r="U6011" s="120"/>
      <c r="V6011" s="123"/>
      <c r="W6011" s="125"/>
      <c r="X6011" s="142" t="s">
        <v>22258</v>
      </c>
      <c r="Y6011" s="143"/>
      <c r="Z6011" s="143"/>
      <c r="AA6011" s="143"/>
      <c r="AB6011" s="144"/>
      <c r="AC6011" s="16" t="s">
        <v>21</v>
      </c>
      <c r="AD6011" s="17" t="s">
        <v>1786</v>
      </c>
      <c r="AE6011" s="145" t="s">
        <v>22259</v>
      </c>
      <c r="AF6011" s="146"/>
      <c r="AG6011" s="146"/>
      <c r="AH6011" s="146"/>
      <c r="AI6011" s="147"/>
      <c r="AJ6011" s="148"/>
      <c r="AK6011" s="143"/>
      <c r="AL6011" s="144"/>
      <c r="AM6011" s="22"/>
      <c r="AN6011" s="149"/>
      <c r="AO6011" s="144"/>
      <c r="AP6011" s="148"/>
      <c r="AQ6011" s="144"/>
      <c r="AR6011" s="120"/>
      <c r="AS6011" s="121"/>
      <c r="AT6011" s="120"/>
      <c r="AU6011" s="121"/>
      <c r="AV6011" s="120"/>
      <c r="AW6011" s="121"/>
      <c r="AX6011" s="120"/>
      <c r="AY6011" s="121"/>
      <c r="AZ6011" s="138"/>
    </row>
    <row r="6012" spans="1:52" ht="17.100000000000001" customHeight="1" thickTop="1">
      <c r="A6012" s="151" t="s">
        <v>17489</v>
      </c>
      <c r="B6012" s="28">
        <v>46062</v>
      </c>
      <c r="C6012" s="25"/>
      <c r="D6012" s="13" t="s">
        <v>2442</v>
      </c>
      <c r="E6012" s="111"/>
      <c r="F6012" s="113" t="s">
        <v>17456</v>
      </c>
      <c r="G6012" s="114"/>
      <c r="H6012" s="115"/>
      <c r="I6012" s="24" t="s">
        <v>17458</v>
      </c>
      <c r="J6012" s="116">
        <v>4</v>
      </c>
      <c r="K6012" s="118">
        <f>1010900/1.1</f>
        <v>918999.99999999988</v>
      </c>
      <c r="L6012" s="119"/>
      <c r="M6012" s="118">
        <v>91900</v>
      </c>
      <c r="N6012" s="119"/>
      <c r="O6012" s="118">
        <v>0</v>
      </c>
      <c r="P6012" s="119"/>
      <c r="Q6012" s="118">
        <v>8110</v>
      </c>
      <c r="R6012" s="119"/>
      <c r="S6012" s="118">
        <v>0</v>
      </c>
      <c r="T6012" s="119"/>
      <c r="U6012" s="118">
        <f t="shared" ref="U6012" si="7958">SUM(K6012:T6013)</f>
        <v>1019009.9999999999</v>
      </c>
      <c r="V6012" s="122"/>
      <c r="W6012" s="124"/>
      <c r="X6012" s="126"/>
      <c r="Y6012" s="127"/>
      <c r="Z6012" s="127"/>
      <c r="AA6012" s="127"/>
      <c r="AB6012" s="128"/>
      <c r="AC6012" s="15" t="s">
        <v>20</v>
      </c>
      <c r="AD6012" s="129" t="s">
        <v>1581</v>
      </c>
      <c r="AE6012" s="130"/>
      <c r="AF6012" s="130"/>
      <c r="AG6012" s="130"/>
      <c r="AH6012" s="130"/>
      <c r="AI6012" s="131"/>
      <c r="AJ6012" s="132" t="s">
        <v>18583</v>
      </c>
      <c r="AK6012" s="127"/>
      <c r="AL6012" s="128"/>
      <c r="AM6012" s="21"/>
      <c r="AN6012" s="133"/>
      <c r="AO6012" s="134"/>
      <c r="AP6012" s="135"/>
      <c r="AQ6012" s="136"/>
      <c r="AR6012" s="118"/>
      <c r="AS6012" s="119"/>
      <c r="AT6012" s="118">
        <f t="shared" ref="AT6012" si="7959">AR6012*0.1</f>
        <v>0</v>
      </c>
      <c r="AU6012" s="119"/>
      <c r="AV6012" s="118"/>
      <c r="AW6012" s="119"/>
      <c r="AX6012" s="118">
        <f t="shared" ref="AX6012" si="7960">SUM(AR6012:AW6012)</f>
        <v>0</v>
      </c>
      <c r="AY6012" s="119"/>
      <c r="AZ6012" s="137"/>
    </row>
    <row r="6013" spans="1:52" ht="17.100000000000001" customHeight="1" thickBot="1">
      <c r="A6013" s="152"/>
      <c r="B6013" s="27" t="s">
        <v>1718</v>
      </c>
      <c r="C6013" s="27" t="s">
        <v>17455</v>
      </c>
      <c r="D6013" s="14" t="s">
        <v>2601</v>
      </c>
      <c r="E6013" s="112"/>
      <c r="F6013" s="139" t="s">
        <v>17457</v>
      </c>
      <c r="G6013" s="140"/>
      <c r="H6013" s="141"/>
      <c r="I6013" s="26">
        <v>49999</v>
      </c>
      <c r="J6013" s="117"/>
      <c r="K6013" s="120"/>
      <c r="L6013" s="121"/>
      <c r="M6013" s="120"/>
      <c r="N6013" s="121"/>
      <c r="O6013" s="120"/>
      <c r="P6013" s="121"/>
      <c r="Q6013" s="120"/>
      <c r="R6013" s="121"/>
      <c r="S6013" s="120"/>
      <c r="T6013" s="121"/>
      <c r="U6013" s="120"/>
      <c r="V6013" s="123"/>
      <c r="W6013" s="125"/>
      <c r="X6013" s="142"/>
      <c r="Y6013" s="143"/>
      <c r="Z6013" s="143"/>
      <c r="AA6013" s="143"/>
      <c r="AB6013" s="144"/>
      <c r="AC6013" s="16" t="s">
        <v>21</v>
      </c>
      <c r="AD6013" s="17" t="s">
        <v>10540</v>
      </c>
      <c r="AE6013" s="145"/>
      <c r="AF6013" s="146"/>
      <c r="AG6013" s="146"/>
      <c r="AH6013" s="146"/>
      <c r="AI6013" s="147"/>
      <c r="AJ6013" s="148"/>
      <c r="AK6013" s="143"/>
      <c r="AL6013" s="144"/>
      <c r="AM6013" s="22"/>
      <c r="AN6013" s="149"/>
      <c r="AO6013" s="144"/>
      <c r="AP6013" s="148"/>
      <c r="AQ6013" s="144"/>
      <c r="AR6013" s="120"/>
      <c r="AS6013" s="121"/>
      <c r="AT6013" s="120"/>
      <c r="AU6013" s="121"/>
      <c r="AV6013" s="120"/>
      <c r="AW6013" s="121"/>
      <c r="AX6013" s="120"/>
      <c r="AY6013" s="121"/>
      <c r="AZ6013" s="138"/>
    </row>
    <row r="6014" spans="1:52" ht="17.100000000000001" customHeight="1" thickTop="1">
      <c r="A6014" s="109" t="s">
        <v>17490</v>
      </c>
      <c r="B6014" s="28">
        <v>46062</v>
      </c>
      <c r="C6014" s="25"/>
      <c r="D6014" s="13" t="s">
        <v>2084</v>
      </c>
      <c r="E6014" s="111"/>
      <c r="F6014" s="113" t="s">
        <v>17460</v>
      </c>
      <c r="G6014" s="114"/>
      <c r="H6014" s="115"/>
      <c r="I6014" s="24" t="s">
        <v>17462</v>
      </c>
      <c r="J6014" s="116">
        <v>4.5</v>
      </c>
      <c r="K6014" s="118">
        <f>3261500/1.1</f>
        <v>2964999.9999999995</v>
      </c>
      <c r="L6014" s="119"/>
      <c r="M6014" s="118">
        <f t="shared" ref="M6014" si="7961">K6014*0.1</f>
        <v>296499.99999999994</v>
      </c>
      <c r="N6014" s="119"/>
      <c r="O6014" s="118">
        <v>0</v>
      </c>
      <c r="P6014" s="119"/>
      <c r="Q6014" s="118">
        <v>14930</v>
      </c>
      <c r="R6014" s="119"/>
      <c r="S6014" s="118">
        <v>0</v>
      </c>
      <c r="T6014" s="119"/>
      <c r="U6014" s="118">
        <f t="shared" ref="U6014" si="7962">SUM(K6014:T6015)</f>
        <v>3276429.9999999995</v>
      </c>
      <c r="V6014" s="122"/>
      <c r="W6014" s="124"/>
      <c r="X6014" s="126" t="s">
        <v>21934</v>
      </c>
      <c r="Y6014" s="127"/>
      <c r="Z6014" s="127"/>
      <c r="AA6014" s="127"/>
      <c r="AB6014" s="128"/>
      <c r="AC6014" s="15" t="s">
        <v>20</v>
      </c>
      <c r="AD6014" s="129" t="s">
        <v>1945</v>
      </c>
      <c r="AE6014" s="130"/>
      <c r="AF6014" s="130"/>
      <c r="AG6014" s="130"/>
      <c r="AH6014" s="130"/>
      <c r="AI6014" s="131"/>
      <c r="AJ6014" s="132"/>
      <c r="AK6014" s="127"/>
      <c r="AL6014" s="128"/>
      <c r="AM6014" s="21"/>
      <c r="AN6014" s="133">
        <v>46116</v>
      </c>
      <c r="AO6014" s="134"/>
      <c r="AP6014" s="135">
        <v>1295</v>
      </c>
      <c r="AQ6014" s="136"/>
      <c r="AR6014" s="118">
        <v>3105000</v>
      </c>
      <c r="AS6014" s="119"/>
      <c r="AT6014" s="118">
        <f t="shared" ref="AT6014" si="7963">AR6014*0.1</f>
        <v>310500</v>
      </c>
      <c r="AU6014" s="119"/>
      <c r="AV6014" s="118">
        <v>14930</v>
      </c>
      <c r="AW6014" s="119"/>
      <c r="AX6014" s="118">
        <f t="shared" ref="AX6014" si="7964">SUM(AR6014:AW6014)</f>
        <v>3430430</v>
      </c>
      <c r="AY6014" s="119"/>
      <c r="AZ6014" s="137">
        <v>46119</v>
      </c>
    </row>
    <row r="6015" spans="1:52" ht="17.100000000000001" customHeight="1" thickBot="1">
      <c r="A6015" s="110"/>
      <c r="B6015" s="27" t="s">
        <v>1718</v>
      </c>
      <c r="C6015" s="27" t="s">
        <v>17459</v>
      </c>
      <c r="D6015" s="14" t="s">
        <v>2086</v>
      </c>
      <c r="E6015" s="112"/>
      <c r="F6015" s="139" t="s">
        <v>17461</v>
      </c>
      <c r="G6015" s="140"/>
      <c r="H6015" s="141"/>
      <c r="I6015" s="26">
        <v>31190</v>
      </c>
      <c r="J6015" s="117"/>
      <c r="K6015" s="120"/>
      <c r="L6015" s="121"/>
      <c r="M6015" s="120"/>
      <c r="N6015" s="121"/>
      <c r="O6015" s="120"/>
      <c r="P6015" s="121"/>
      <c r="Q6015" s="120"/>
      <c r="R6015" s="121"/>
      <c r="S6015" s="120"/>
      <c r="T6015" s="121"/>
      <c r="U6015" s="120"/>
      <c r="V6015" s="123"/>
      <c r="W6015" s="125"/>
      <c r="X6015" s="142" t="s">
        <v>21935</v>
      </c>
      <c r="Y6015" s="143"/>
      <c r="Z6015" s="143"/>
      <c r="AA6015" s="143"/>
      <c r="AB6015" s="144"/>
      <c r="AC6015" s="16" t="s">
        <v>21</v>
      </c>
      <c r="AD6015" s="17" t="s">
        <v>21936</v>
      </c>
      <c r="AE6015" s="145" t="s">
        <v>21937</v>
      </c>
      <c r="AF6015" s="146"/>
      <c r="AG6015" s="146"/>
      <c r="AH6015" s="146"/>
      <c r="AI6015" s="147"/>
      <c r="AJ6015" s="148"/>
      <c r="AK6015" s="143"/>
      <c r="AL6015" s="144"/>
      <c r="AM6015" s="22"/>
      <c r="AN6015" s="149" t="s">
        <v>2511</v>
      </c>
      <c r="AO6015" s="144"/>
      <c r="AP6015" s="148">
        <v>31006</v>
      </c>
      <c r="AQ6015" s="144"/>
      <c r="AR6015" s="120"/>
      <c r="AS6015" s="121"/>
      <c r="AT6015" s="120"/>
      <c r="AU6015" s="121"/>
      <c r="AV6015" s="120"/>
      <c r="AW6015" s="121"/>
      <c r="AX6015" s="120"/>
      <c r="AY6015" s="121"/>
      <c r="AZ6015" s="138"/>
    </row>
    <row r="6016" spans="1:52" ht="17.100000000000001" customHeight="1" thickTop="1">
      <c r="A6016" s="109" t="s">
        <v>17491</v>
      </c>
      <c r="B6016" s="28">
        <v>46062</v>
      </c>
      <c r="C6016" s="25"/>
      <c r="D6016" s="13" t="s">
        <v>2084</v>
      </c>
      <c r="E6016" s="111"/>
      <c r="F6016" s="113" t="s">
        <v>17498</v>
      </c>
      <c r="G6016" s="114"/>
      <c r="H6016" s="115"/>
      <c r="I6016" s="24" t="s">
        <v>4521</v>
      </c>
      <c r="J6016" s="116">
        <v>5</v>
      </c>
      <c r="K6016" s="118">
        <f>2040500/1.1</f>
        <v>1854999.9999999998</v>
      </c>
      <c r="L6016" s="119"/>
      <c r="M6016" s="118">
        <f t="shared" ref="M6016" si="7965">K6016*0.1</f>
        <v>185500</v>
      </c>
      <c r="N6016" s="119"/>
      <c r="O6016" s="118">
        <v>0</v>
      </c>
      <c r="P6016" s="119"/>
      <c r="Q6016" s="118">
        <v>10000</v>
      </c>
      <c r="R6016" s="119"/>
      <c r="S6016" s="118">
        <v>0</v>
      </c>
      <c r="T6016" s="119"/>
      <c r="U6016" s="118">
        <f t="shared" ref="U6016" si="7966">SUM(K6016:T6017)</f>
        <v>2050499.9999999998</v>
      </c>
      <c r="V6016" s="122"/>
      <c r="W6016" s="124" t="s">
        <v>21938</v>
      </c>
      <c r="X6016" s="126" t="s">
        <v>22255</v>
      </c>
      <c r="Y6016" s="127"/>
      <c r="Z6016" s="127"/>
      <c r="AA6016" s="127"/>
      <c r="AB6016" s="128"/>
      <c r="AC6016" s="15" t="s">
        <v>20</v>
      </c>
      <c r="AD6016" s="129" t="s">
        <v>1732</v>
      </c>
      <c r="AE6016" s="130"/>
      <c r="AF6016" s="130"/>
      <c r="AG6016" s="130"/>
      <c r="AH6016" s="130"/>
      <c r="AI6016" s="131"/>
      <c r="AJ6016" s="132"/>
      <c r="AK6016" s="127"/>
      <c r="AL6016" s="128"/>
      <c r="AM6016" s="21" t="s">
        <v>22313</v>
      </c>
      <c r="AN6016" s="133">
        <v>46123</v>
      </c>
      <c r="AO6016" s="134"/>
      <c r="AP6016" s="135">
        <v>1296</v>
      </c>
      <c r="AQ6016" s="136"/>
      <c r="AR6016" s="118">
        <v>1960000</v>
      </c>
      <c r="AS6016" s="119"/>
      <c r="AT6016" s="118">
        <f t="shared" ref="AT6016" si="7967">AR6016*0.1</f>
        <v>196000</v>
      </c>
      <c r="AU6016" s="119"/>
      <c r="AV6016" s="118">
        <v>10000</v>
      </c>
      <c r="AW6016" s="119"/>
      <c r="AX6016" s="118">
        <f t="shared" ref="AX6016" si="7968">SUM(AR6016:AW6016)</f>
        <v>2166000</v>
      </c>
      <c r="AY6016" s="119"/>
      <c r="AZ6016" s="137">
        <v>46126</v>
      </c>
    </row>
    <row r="6017" spans="1:52" ht="17.100000000000001" customHeight="1" thickBot="1">
      <c r="A6017" s="110"/>
      <c r="B6017" s="27" t="s">
        <v>1718</v>
      </c>
      <c r="C6017" s="27" t="s">
        <v>17497</v>
      </c>
      <c r="D6017" s="14" t="s">
        <v>2800</v>
      </c>
      <c r="E6017" s="112"/>
      <c r="F6017" s="139" t="s">
        <v>17499</v>
      </c>
      <c r="G6017" s="140"/>
      <c r="H6017" s="141"/>
      <c r="I6017" s="26">
        <v>13699</v>
      </c>
      <c r="J6017" s="117"/>
      <c r="K6017" s="120"/>
      <c r="L6017" s="121"/>
      <c r="M6017" s="120"/>
      <c r="N6017" s="121"/>
      <c r="O6017" s="120"/>
      <c r="P6017" s="121"/>
      <c r="Q6017" s="120"/>
      <c r="R6017" s="121"/>
      <c r="S6017" s="120"/>
      <c r="T6017" s="121"/>
      <c r="U6017" s="120"/>
      <c r="V6017" s="123"/>
      <c r="W6017" s="125"/>
      <c r="X6017" s="142" t="s">
        <v>4381</v>
      </c>
      <c r="Y6017" s="143"/>
      <c r="Z6017" s="143"/>
      <c r="AA6017" s="143"/>
      <c r="AB6017" s="144"/>
      <c r="AC6017" s="16" t="s">
        <v>21</v>
      </c>
      <c r="AD6017" s="17" t="s">
        <v>1786</v>
      </c>
      <c r="AE6017" s="145" t="s">
        <v>8039</v>
      </c>
      <c r="AF6017" s="146"/>
      <c r="AG6017" s="146"/>
      <c r="AH6017" s="146"/>
      <c r="AI6017" s="147"/>
      <c r="AJ6017" s="148"/>
      <c r="AK6017" s="143"/>
      <c r="AL6017" s="144"/>
      <c r="AM6017" s="22"/>
      <c r="AN6017" s="149" t="s">
        <v>7284</v>
      </c>
      <c r="AO6017" s="144"/>
      <c r="AP6017" s="148">
        <v>37746</v>
      </c>
      <c r="AQ6017" s="144"/>
      <c r="AR6017" s="120"/>
      <c r="AS6017" s="121"/>
      <c r="AT6017" s="120"/>
      <c r="AU6017" s="121"/>
      <c r="AV6017" s="120"/>
      <c r="AW6017" s="121"/>
      <c r="AX6017" s="120"/>
      <c r="AY6017" s="121"/>
      <c r="AZ6017" s="138"/>
    </row>
    <row r="6018" spans="1:52" ht="17.100000000000001" customHeight="1" thickTop="1">
      <c r="A6018" s="109" t="s">
        <v>17492</v>
      </c>
      <c r="B6018" s="28">
        <v>46062</v>
      </c>
      <c r="C6018" s="25"/>
      <c r="D6018" s="13" t="s">
        <v>2211</v>
      </c>
      <c r="E6018" s="111"/>
      <c r="F6018" s="113" t="s">
        <v>17501</v>
      </c>
      <c r="G6018" s="114"/>
      <c r="H6018" s="115"/>
      <c r="I6018" s="24" t="s">
        <v>10637</v>
      </c>
      <c r="J6018" s="116">
        <v>4.5</v>
      </c>
      <c r="K6018" s="118">
        <f>4240500/1.1</f>
        <v>3854999.9999999995</v>
      </c>
      <c r="L6018" s="119"/>
      <c r="M6018" s="118">
        <f t="shared" ref="M6018" si="7969">K6018*0.1</f>
        <v>385500</v>
      </c>
      <c r="N6018" s="119"/>
      <c r="O6018" s="118">
        <v>3000</v>
      </c>
      <c r="P6018" s="119"/>
      <c r="Q6018" s="118">
        <v>13850</v>
      </c>
      <c r="R6018" s="119"/>
      <c r="S6018" s="118">
        <v>0</v>
      </c>
      <c r="T6018" s="119"/>
      <c r="U6018" s="118">
        <f t="shared" ref="U6018" si="7970">SUM(K6018:T6019)</f>
        <v>4257350</v>
      </c>
      <c r="V6018" s="122"/>
      <c r="W6018" s="124"/>
      <c r="X6018" s="126" t="s">
        <v>18924</v>
      </c>
      <c r="Y6018" s="127"/>
      <c r="Z6018" s="127"/>
      <c r="AA6018" s="127"/>
      <c r="AB6018" s="128"/>
      <c r="AC6018" s="15" t="s">
        <v>20</v>
      </c>
      <c r="AD6018" s="129" t="s">
        <v>1945</v>
      </c>
      <c r="AE6018" s="130"/>
      <c r="AF6018" s="130"/>
      <c r="AG6018" s="130"/>
      <c r="AH6018" s="130"/>
      <c r="AI6018" s="131"/>
      <c r="AJ6018" s="132"/>
      <c r="AK6018" s="127"/>
      <c r="AL6018" s="128"/>
      <c r="AM6018" s="21" t="s">
        <v>19977</v>
      </c>
      <c r="AN6018" s="133">
        <v>46101</v>
      </c>
      <c r="AO6018" s="134"/>
      <c r="AP6018" s="135"/>
      <c r="AQ6018" s="136"/>
      <c r="AR6018" s="118">
        <v>3970000</v>
      </c>
      <c r="AS6018" s="119"/>
      <c r="AT6018" s="118">
        <f t="shared" ref="AT6018" si="7971">AR6018*0.1</f>
        <v>397000</v>
      </c>
      <c r="AU6018" s="119"/>
      <c r="AV6018" s="118">
        <v>13850</v>
      </c>
      <c r="AW6018" s="119"/>
      <c r="AX6018" s="118">
        <f t="shared" ref="AX6018" si="7972">SUM(AR6018:AW6018)</f>
        <v>4380850</v>
      </c>
      <c r="AY6018" s="119"/>
      <c r="AZ6018" s="137"/>
    </row>
    <row r="6019" spans="1:52" ht="17.100000000000001" customHeight="1" thickBot="1">
      <c r="A6019" s="110"/>
      <c r="B6019" s="27" t="s">
        <v>1718</v>
      </c>
      <c r="C6019" s="27" t="s">
        <v>17500</v>
      </c>
      <c r="D6019" s="14" t="s">
        <v>1720</v>
      </c>
      <c r="E6019" s="112"/>
      <c r="F6019" s="139" t="s">
        <v>17502</v>
      </c>
      <c r="G6019" s="140"/>
      <c r="H6019" s="141"/>
      <c r="I6019" s="26">
        <v>17588</v>
      </c>
      <c r="J6019" s="117"/>
      <c r="K6019" s="120"/>
      <c r="L6019" s="121"/>
      <c r="M6019" s="120"/>
      <c r="N6019" s="121"/>
      <c r="O6019" s="120"/>
      <c r="P6019" s="121"/>
      <c r="Q6019" s="120"/>
      <c r="R6019" s="121"/>
      <c r="S6019" s="120"/>
      <c r="T6019" s="121"/>
      <c r="U6019" s="120"/>
      <c r="V6019" s="123"/>
      <c r="W6019" s="125"/>
      <c r="X6019" s="142" t="s">
        <v>18925</v>
      </c>
      <c r="Y6019" s="143"/>
      <c r="Z6019" s="143"/>
      <c r="AA6019" s="143"/>
      <c r="AB6019" s="144"/>
      <c r="AC6019" s="16" t="s">
        <v>21</v>
      </c>
      <c r="AD6019" s="17" t="s">
        <v>3616</v>
      </c>
      <c r="AE6019" s="145" t="s">
        <v>18926</v>
      </c>
      <c r="AF6019" s="146"/>
      <c r="AG6019" s="146"/>
      <c r="AH6019" s="146"/>
      <c r="AI6019" s="147"/>
      <c r="AJ6019" s="148"/>
      <c r="AK6019" s="143"/>
      <c r="AL6019" s="144"/>
      <c r="AM6019" s="22"/>
      <c r="AN6019" s="149" t="s">
        <v>6789</v>
      </c>
      <c r="AO6019" s="144"/>
      <c r="AP6019" s="148">
        <v>51422</v>
      </c>
      <c r="AQ6019" s="144"/>
      <c r="AR6019" s="120"/>
      <c r="AS6019" s="121"/>
      <c r="AT6019" s="120"/>
      <c r="AU6019" s="121"/>
      <c r="AV6019" s="120"/>
      <c r="AW6019" s="121"/>
      <c r="AX6019" s="120"/>
      <c r="AY6019" s="121"/>
      <c r="AZ6019" s="138"/>
    </row>
    <row r="6020" spans="1:52" ht="17.100000000000001" customHeight="1" thickTop="1">
      <c r="A6020" s="109" t="s">
        <v>17493</v>
      </c>
      <c r="B6020" s="28">
        <v>46062</v>
      </c>
      <c r="C6020" s="25"/>
      <c r="D6020" s="13" t="s">
        <v>2036</v>
      </c>
      <c r="E6020" s="111"/>
      <c r="F6020" s="113" t="s">
        <v>17543</v>
      </c>
      <c r="G6020" s="114"/>
      <c r="H6020" s="115"/>
      <c r="I6020" s="24" t="s">
        <v>5059</v>
      </c>
      <c r="J6020" s="116">
        <v>4.5</v>
      </c>
      <c r="K6020" s="118">
        <f>3014000/1.1</f>
        <v>2740000</v>
      </c>
      <c r="L6020" s="119"/>
      <c r="M6020" s="118">
        <f t="shared" ref="M6020" si="7973">K6020*0.1</f>
        <v>274000</v>
      </c>
      <c r="N6020" s="119"/>
      <c r="O6020" s="118">
        <v>3600</v>
      </c>
      <c r="P6020" s="119"/>
      <c r="Q6020" s="118">
        <v>10660</v>
      </c>
      <c r="R6020" s="119"/>
      <c r="S6020" s="118">
        <v>0</v>
      </c>
      <c r="T6020" s="119"/>
      <c r="U6020" s="118">
        <f t="shared" ref="U6020" si="7974">SUM(K6020:T6021)</f>
        <v>3028260</v>
      </c>
      <c r="V6020" s="122"/>
      <c r="W6020" s="124"/>
      <c r="X6020" s="126" t="s">
        <v>20281</v>
      </c>
      <c r="Y6020" s="127"/>
      <c r="Z6020" s="127"/>
      <c r="AA6020" s="127"/>
      <c r="AB6020" s="128"/>
      <c r="AC6020" s="15" t="s">
        <v>20</v>
      </c>
      <c r="AD6020" s="129" t="s">
        <v>1945</v>
      </c>
      <c r="AE6020" s="130"/>
      <c r="AF6020" s="130"/>
      <c r="AG6020" s="130"/>
      <c r="AH6020" s="130"/>
      <c r="AI6020" s="131"/>
      <c r="AJ6020" s="132"/>
      <c r="AK6020" s="127"/>
      <c r="AL6020" s="128"/>
      <c r="AM6020" s="21"/>
      <c r="AN6020" s="133">
        <v>46095</v>
      </c>
      <c r="AO6020" s="134"/>
      <c r="AP6020" s="135">
        <v>1292</v>
      </c>
      <c r="AQ6020" s="136"/>
      <c r="AR6020" s="118">
        <v>2640000</v>
      </c>
      <c r="AS6020" s="119"/>
      <c r="AT6020" s="118">
        <f t="shared" ref="AT6020" si="7975">AR6020*0.1</f>
        <v>264000</v>
      </c>
      <c r="AU6020" s="119"/>
      <c r="AV6020" s="118">
        <v>10660</v>
      </c>
      <c r="AW6020" s="119"/>
      <c r="AX6020" s="118">
        <f t="shared" ref="AX6020" si="7976">SUM(AR6020:AW6020)</f>
        <v>2914660</v>
      </c>
      <c r="AY6020" s="119"/>
      <c r="AZ6020" s="137">
        <v>46100</v>
      </c>
    </row>
    <row r="6021" spans="1:52" ht="17.100000000000001" customHeight="1" thickBot="1">
      <c r="A6021" s="110"/>
      <c r="B6021" s="27" t="s">
        <v>1718</v>
      </c>
      <c r="C6021" s="27" t="s">
        <v>17503</v>
      </c>
      <c r="D6021" s="14" t="s">
        <v>1556</v>
      </c>
      <c r="E6021" s="112"/>
      <c r="F6021" s="139" t="s">
        <v>17504</v>
      </c>
      <c r="G6021" s="140"/>
      <c r="H6021" s="141"/>
      <c r="I6021" s="26">
        <v>26478</v>
      </c>
      <c r="J6021" s="117"/>
      <c r="K6021" s="120"/>
      <c r="L6021" s="121"/>
      <c r="M6021" s="120"/>
      <c r="N6021" s="121"/>
      <c r="O6021" s="120"/>
      <c r="P6021" s="121"/>
      <c r="Q6021" s="120"/>
      <c r="R6021" s="121"/>
      <c r="S6021" s="120"/>
      <c r="T6021" s="121"/>
      <c r="U6021" s="120"/>
      <c r="V6021" s="123"/>
      <c r="W6021" s="125"/>
      <c r="X6021" s="142" t="s">
        <v>2955</v>
      </c>
      <c r="Y6021" s="143"/>
      <c r="Z6021" s="143"/>
      <c r="AA6021" s="143"/>
      <c r="AB6021" s="144"/>
      <c r="AC6021" s="16" t="s">
        <v>21</v>
      </c>
      <c r="AD6021" s="17" t="s">
        <v>2702</v>
      </c>
      <c r="AE6021" s="145" t="s">
        <v>20282</v>
      </c>
      <c r="AF6021" s="146"/>
      <c r="AG6021" s="146"/>
      <c r="AH6021" s="146"/>
      <c r="AI6021" s="147"/>
      <c r="AJ6021" s="148"/>
      <c r="AK6021" s="143"/>
      <c r="AL6021" s="144"/>
      <c r="AM6021" s="22"/>
      <c r="AN6021" s="149" t="s">
        <v>2511</v>
      </c>
      <c r="AO6021" s="144"/>
      <c r="AP6021" s="148">
        <v>31225</v>
      </c>
      <c r="AQ6021" s="144"/>
      <c r="AR6021" s="120"/>
      <c r="AS6021" s="121"/>
      <c r="AT6021" s="120"/>
      <c r="AU6021" s="121"/>
      <c r="AV6021" s="120"/>
      <c r="AW6021" s="121"/>
      <c r="AX6021" s="120"/>
      <c r="AY6021" s="121"/>
      <c r="AZ6021" s="138"/>
    </row>
    <row r="6022" spans="1:52" ht="17.100000000000001" customHeight="1" thickTop="1">
      <c r="A6022" s="109" t="s">
        <v>17494</v>
      </c>
      <c r="B6022" s="28">
        <v>46062</v>
      </c>
      <c r="C6022" s="25"/>
      <c r="D6022" s="13" t="s">
        <v>1839</v>
      </c>
      <c r="E6022" s="111"/>
      <c r="F6022" s="113" t="s">
        <v>9371</v>
      </c>
      <c r="G6022" s="114"/>
      <c r="H6022" s="115"/>
      <c r="I6022" s="24" t="s">
        <v>5100</v>
      </c>
      <c r="J6022" s="116">
        <v>4</v>
      </c>
      <c r="K6022" s="118">
        <f>504900/1.1</f>
        <v>458999.99999999994</v>
      </c>
      <c r="L6022" s="119"/>
      <c r="M6022" s="118">
        <f t="shared" ref="M6022" si="7977">K6022*0.1</f>
        <v>45900</v>
      </c>
      <c r="N6022" s="119"/>
      <c r="O6022" s="118">
        <v>7200</v>
      </c>
      <c r="P6022" s="119"/>
      <c r="Q6022" s="118">
        <v>9790</v>
      </c>
      <c r="R6022" s="119"/>
      <c r="S6022" s="118">
        <v>0</v>
      </c>
      <c r="T6022" s="119"/>
      <c r="U6022" s="118">
        <f t="shared" ref="U6022" si="7978">SUM(K6022:T6023)</f>
        <v>521889.99999999994</v>
      </c>
      <c r="V6022" s="122"/>
      <c r="W6022" s="124"/>
      <c r="X6022" s="126" t="s">
        <v>18612</v>
      </c>
      <c r="Y6022" s="127"/>
      <c r="Z6022" s="127"/>
      <c r="AA6022" s="127"/>
      <c r="AB6022" s="128"/>
      <c r="AC6022" s="15" t="s">
        <v>20</v>
      </c>
      <c r="AD6022" s="129" t="s">
        <v>14130</v>
      </c>
      <c r="AE6022" s="130"/>
      <c r="AF6022" s="130"/>
      <c r="AG6022" s="130"/>
      <c r="AH6022" s="130"/>
      <c r="AI6022" s="131"/>
      <c r="AJ6022" s="132"/>
      <c r="AK6022" s="127"/>
      <c r="AL6022" s="128"/>
      <c r="AM6022" s="21"/>
      <c r="AN6022" s="133">
        <v>46081</v>
      </c>
      <c r="AO6022" s="134"/>
      <c r="AP6022" s="135">
        <v>1290</v>
      </c>
      <c r="AQ6022" s="136"/>
      <c r="AR6022" s="118">
        <v>590000</v>
      </c>
      <c r="AS6022" s="119"/>
      <c r="AT6022" s="118">
        <f t="shared" ref="AT6022" si="7979">AR6022*0.1</f>
        <v>59000</v>
      </c>
      <c r="AU6022" s="119"/>
      <c r="AV6022" s="118">
        <v>9790</v>
      </c>
      <c r="AW6022" s="119"/>
      <c r="AX6022" s="118">
        <f t="shared" ref="AX6022" si="7980">SUM(AR6022:AW6022)</f>
        <v>658790</v>
      </c>
      <c r="AY6022" s="119"/>
      <c r="AZ6022" s="137">
        <v>46084</v>
      </c>
    </row>
    <row r="6023" spans="1:52" ht="17.100000000000001" customHeight="1" thickBot="1">
      <c r="A6023" s="110"/>
      <c r="B6023" s="27" t="s">
        <v>1718</v>
      </c>
      <c r="C6023" s="27" t="s">
        <v>17505</v>
      </c>
      <c r="D6023" s="14" t="s">
        <v>1576</v>
      </c>
      <c r="E6023" s="112"/>
      <c r="F6023" s="139" t="s">
        <v>17506</v>
      </c>
      <c r="G6023" s="140"/>
      <c r="H6023" s="141"/>
      <c r="I6023" s="26">
        <v>47128</v>
      </c>
      <c r="J6023" s="117"/>
      <c r="K6023" s="120"/>
      <c r="L6023" s="121"/>
      <c r="M6023" s="120"/>
      <c r="N6023" s="121"/>
      <c r="O6023" s="120"/>
      <c r="P6023" s="121"/>
      <c r="Q6023" s="120"/>
      <c r="R6023" s="121"/>
      <c r="S6023" s="120"/>
      <c r="T6023" s="121"/>
      <c r="U6023" s="120"/>
      <c r="V6023" s="123"/>
      <c r="W6023" s="125"/>
      <c r="X6023" s="142" t="s">
        <v>18613</v>
      </c>
      <c r="Y6023" s="143"/>
      <c r="Z6023" s="143"/>
      <c r="AA6023" s="143"/>
      <c r="AB6023" s="144"/>
      <c r="AC6023" s="16" t="s">
        <v>21</v>
      </c>
      <c r="AD6023" s="17" t="s">
        <v>2346</v>
      </c>
      <c r="AE6023" s="145" t="s">
        <v>4106</v>
      </c>
      <c r="AF6023" s="146"/>
      <c r="AG6023" s="146"/>
      <c r="AH6023" s="146"/>
      <c r="AI6023" s="147"/>
      <c r="AJ6023" s="148"/>
      <c r="AK6023" s="143"/>
      <c r="AL6023" s="144"/>
      <c r="AM6023" s="22"/>
      <c r="AN6023" s="149" t="s">
        <v>2511</v>
      </c>
      <c r="AO6023" s="144"/>
      <c r="AP6023" s="148">
        <v>65588</v>
      </c>
      <c r="AQ6023" s="144"/>
      <c r="AR6023" s="120"/>
      <c r="AS6023" s="121"/>
      <c r="AT6023" s="120"/>
      <c r="AU6023" s="121"/>
      <c r="AV6023" s="120"/>
      <c r="AW6023" s="121"/>
      <c r="AX6023" s="120"/>
      <c r="AY6023" s="121"/>
      <c r="AZ6023" s="138"/>
    </row>
    <row r="6024" spans="1:52" ht="17.100000000000001" customHeight="1" thickTop="1">
      <c r="A6024" s="109" t="s">
        <v>17495</v>
      </c>
      <c r="B6024" s="28">
        <v>46062</v>
      </c>
      <c r="C6024" s="25"/>
      <c r="D6024" s="13" t="s">
        <v>2066</v>
      </c>
      <c r="E6024" s="111"/>
      <c r="F6024" s="113" t="s">
        <v>17508</v>
      </c>
      <c r="G6024" s="114"/>
      <c r="H6024" s="115"/>
      <c r="I6024" s="24" t="s">
        <v>5449</v>
      </c>
      <c r="J6024" s="116">
        <v>4.5</v>
      </c>
      <c r="K6024" s="118">
        <f>1485000/1.1</f>
        <v>1350000</v>
      </c>
      <c r="L6024" s="119"/>
      <c r="M6024" s="118">
        <f t="shared" ref="M6024" si="7981">K6024*0.1</f>
        <v>135000</v>
      </c>
      <c r="N6024" s="119"/>
      <c r="O6024" s="118">
        <v>0</v>
      </c>
      <c r="P6024" s="119"/>
      <c r="Q6024" s="118">
        <v>6850</v>
      </c>
      <c r="R6024" s="119"/>
      <c r="S6024" s="118">
        <v>0</v>
      </c>
      <c r="T6024" s="119"/>
      <c r="U6024" s="118">
        <f t="shared" ref="U6024" si="7982">SUM(K6024:T6025)</f>
        <v>1491850</v>
      </c>
      <c r="V6024" s="122"/>
      <c r="W6024" s="124"/>
      <c r="X6024" s="126" t="s">
        <v>19393</v>
      </c>
      <c r="Y6024" s="127"/>
      <c r="Z6024" s="127"/>
      <c r="AA6024" s="127"/>
      <c r="AB6024" s="128"/>
      <c r="AC6024" s="15" t="s">
        <v>20</v>
      </c>
      <c r="AD6024" s="129" t="s">
        <v>1945</v>
      </c>
      <c r="AE6024" s="130"/>
      <c r="AF6024" s="130"/>
      <c r="AG6024" s="130"/>
      <c r="AH6024" s="130"/>
      <c r="AI6024" s="131"/>
      <c r="AJ6024" s="132"/>
      <c r="AK6024" s="127"/>
      <c r="AL6024" s="128"/>
      <c r="AM6024" s="21" t="s">
        <v>19774</v>
      </c>
      <c r="AN6024" s="133">
        <v>46084</v>
      </c>
      <c r="AO6024" s="134"/>
      <c r="AP6024" s="135">
        <v>1931</v>
      </c>
      <c r="AQ6024" s="136"/>
      <c r="AR6024" s="118">
        <v>1506000</v>
      </c>
      <c r="AS6024" s="119"/>
      <c r="AT6024" s="118">
        <f t="shared" ref="AT6024" si="7983">AR6024*0.1</f>
        <v>150600</v>
      </c>
      <c r="AU6024" s="119"/>
      <c r="AV6024" s="118">
        <v>6850</v>
      </c>
      <c r="AW6024" s="119"/>
      <c r="AX6024" s="118">
        <f t="shared" ref="AX6024" si="7984">SUM(AR6024:AW6024)</f>
        <v>1663450</v>
      </c>
      <c r="AY6024" s="119"/>
      <c r="AZ6024" s="137"/>
    </row>
    <row r="6025" spans="1:52" ht="17.100000000000001" customHeight="1" thickBot="1">
      <c r="A6025" s="110"/>
      <c r="B6025" s="27" t="s">
        <v>1718</v>
      </c>
      <c r="C6025" s="27" t="s">
        <v>17507</v>
      </c>
      <c r="D6025" s="14" t="s">
        <v>1812</v>
      </c>
      <c r="E6025" s="112"/>
      <c r="F6025" s="139" t="s">
        <v>17509</v>
      </c>
      <c r="G6025" s="140"/>
      <c r="H6025" s="141"/>
      <c r="I6025" s="26">
        <v>27414</v>
      </c>
      <c r="J6025" s="117"/>
      <c r="K6025" s="120"/>
      <c r="L6025" s="121"/>
      <c r="M6025" s="120"/>
      <c r="N6025" s="121"/>
      <c r="O6025" s="120"/>
      <c r="P6025" s="121"/>
      <c r="Q6025" s="120"/>
      <c r="R6025" s="121"/>
      <c r="S6025" s="120"/>
      <c r="T6025" s="121"/>
      <c r="U6025" s="120"/>
      <c r="V6025" s="123"/>
      <c r="W6025" s="125"/>
      <c r="X6025" s="142" t="s">
        <v>19394</v>
      </c>
      <c r="Y6025" s="143"/>
      <c r="Z6025" s="143"/>
      <c r="AA6025" s="143"/>
      <c r="AB6025" s="144"/>
      <c r="AC6025" s="16" t="s">
        <v>21</v>
      </c>
      <c r="AD6025" s="17" t="s">
        <v>19391</v>
      </c>
      <c r="AE6025" s="145" t="s">
        <v>19395</v>
      </c>
      <c r="AF6025" s="146"/>
      <c r="AG6025" s="146"/>
      <c r="AH6025" s="146"/>
      <c r="AI6025" s="147"/>
      <c r="AJ6025" s="148"/>
      <c r="AK6025" s="143"/>
      <c r="AL6025" s="144"/>
      <c r="AM6025" s="22"/>
      <c r="AN6025" s="149" t="s">
        <v>2131</v>
      </c>
      <c r="AO6025" s="144"/>
      <c r="AP6025" s="148">
        <v>3181</v>
      </c>
      <c r="AQ6025" s="144"/>
      <c r="AR6025" s="120"/>
      <c r="AS6025" s="121"/>
      <c r="AT6025" s="120"/>
      <c r="AU6025" s="121"/>
      <c r="AV6025" s="120"/>
      <c r="AW6025" s="121"/>
      <c r="AX6025" s="120"/>
      <c r="AY6025" s="121"/>
      <c r="AZ6025" s="138"/>
    </row>
    <row r="6026" spans="1:52" ht="17.100000000000001" customHeight="1" thickTop="1">
      <c r="A6026" s="109" t="s">
        <v>17496</v>
      </c>
      <c r="B6026" s="28">
        <v>46062</v>
      </c>
      <c r="C6026" s="25"/>
      <c r="D6026" s="13" t="s">
        <v>2477</v>
      </c>
      <c r="E6026" s="111"/>
      <c r="F6026" s="113" t="s">
        <v>5217</v>
      </c>
      <c r="G6026" s="114"/>
      <c r="H6026" s="115"/>
      <c r="I6026" s="24" t="s">
        <v>17512</v>
      </c>
      <c r="J6026" s="116">
        <v>4.5</v>
      </c>
      <c r="K6026" s="118">
        <f>3250500/1.1</f>
        <v>2954999.9999999995</v>
      </c>
      <c r="L6026" s="119"/>
      <c r="M6026" s="118">
        <f t="shared" ref="M6026" si="7985">K6026*0.1</f>
        <v>295499.99999999994</v>
      </c>
      <c r="N6026" s="119"/>
      <c r="O6026" s="118">
        <v>3000</v>
      </c>
      <c r="P6026" s="119"/>
      <c r="Q6026" s="118">
        <v>12250</v>
      </c>
      <c r="R6026" s="119"/>
      <c r="S6026" s="118">
        <v>0</v>
      </c>
      <c r="T6026" s="119"/>
      <c r="U6026" s="118">
        <f t="shared" ref="U6026" si="7986">SUM(K6026:T6027)</f>
        <v>3265749.9999999995</v>
      </c>
      <c r="V6026" s="122"/>
      <c r="W6026" s="124"/>
      <c r="X6026" s="126"/>
      <c r="Y6026" s="127"/>
      <c r="Z6026" s="127"/>
      <c r="AA6026" s="127"/>
      <c r="AB6026" s="128"/>
      <c r="AC6026" s="15" t="s">
        <v>20</v>
      </c>
      <c r="AD6026" s="129" t="s">
        <v>1575</v>
      </c>
      <c r="AE6026" s="130"/>
      <c r="AF6026" s="130"/>
      <c r="AG6026" s="130"/>
      <c r="AH6026" s="130"/>
      <c r="AI6026" s="131"/>
      <c r="AJ6026" s="132"/>
      <c r="AK6026" s="127"/>
      <c r="AL6026" s="128"/>
      <c r="AM6026" s="21"/>
      <c r="AN6026" s="133">
        <v>46088</v>
      </c>
      <c r="AO6026" s="134"/>
      <c r="AP6026" s="135">
        <v>1291</v>
      </c>
      <c r="AQ6026" s="136"/>
      <c r="AR6026" s="118">
        <v>3020000</v>
      </c>
      <c r="AS6026" s="119"/>
      <c r="AT6026" s="118">
        <f t="shared" ref="AT6026" si="7987">AR6026*0.1</f>
        <v>302000</v>
      </c>
      <c r="AU6026" s="119"/>
      <c r="AV6026" s="118">
        <v>12250</v>
      </c>
      <c r="AW6026" s="119"/>
      <c r="AX6026" s="118">
        <f t="shared" ref="AX6026" si="7988">SUM(AR6026:AW6026)</f>
        <v>3334250</v>
      </c>
      <c r="AY6026" s="119"/>
      <c r="AZ6026" s="137">
        <v>46093</v>
      </c>
    </row>
    <row r="6027" spans="1:52" ht="17.100000000000001" customHeight="1" thickBot="1">
      <c r="A6027" s="110"/>
      <c r="B6027" s="27" t="s">
        <v>1718</v>
      </c>
      <c r="C6027" s="27" t="s">
        <v>17510</v>
      </c>
      <c r="D6027" s="14" t="s">
        <v>133</v>
      </c>
      <c r="E6027" s="112"/>
      <c r="F6027" s="139" t="s">
        <v>17511</v>
      </c>
      <c r="G6027" s="140"/>
      <c r="H6027" s="141"/>
      <c r="I6027" s="26">
        <v>19706</v>
      </c>
      <c r="J6027" s="117"/>
      <c r="K6027" s="120"/>
      <c r="L6027" s="121"/>
      <c r="M6027" s="120"/>
      <c r="N6027" s="121"/>
      <c r="O6027" s="120"/>
      <c r="P6027" s="121"/>
      <c r="Q6027" s="120"/>
      <c r="R6027" s="121"/>
      <c r="S6027" s="120"/>
      <c r="T6027" s="121"/>
      <c r="U6027" s="120"/>
      <c r="V6027" s="123"/>
      <c r="W6027" s="125"/>
      <c r="X6027" s="142"/>
      <c r="Y6027" s="143"/>
      <c r="Z6027" s="143"/>
      <c r="AA6027" s="143"/>
      <c r="AB6027" s="144"/>
      <c r="AC6027" s="16" t="s">
        <v>21</v>
      </c>
      <c r="AD6027" s="17"/>
      <c r="AE6027" s="145"/>
      <c r="AF6027" s="146"/>
      <c r="AG6027" s="146"/>
      <c r="AH6027" s="146"/>
      <c r="AI6027" s="147"/>
      <c r="AJ6027" s="148"/>
      <c r="AK6027" s="143"/>
      <c r="AL6027" s="144"/>
      <c r="AM6027" s="22"/>
      <c r="AN6027" s="149" t="s">
        <v>2511</v>
      </c>
      <c r="AO6027" s="144"/>
      <c r="AP6027" s="148">
        <v>37625</v>
      </c>
      <c r="AQ6027" s="144"/>
      <c r="AR6027" s="120"/>
      <c r="AS6027" s="121"/>
      <c r="AT6027" s="120"/>
      <c r="AU6027" s="121"/>
      <c r="AV6027" s="120"/>
      <c r="AW6027" s="121"/>
      <c r="AX6027" s="120"/>
      <c r="AY6027" s="121"/>
      <c r="AZ6027" s="138"/>
    </row>
    <row r="6028" spans="1:52" ht="17.100000000000001" customHeight="1" thickTop="1">
      <c r="A6028" s="109" t="s">
        <v>17544</v>
      </c>
      <c r="B6028" s="28">
        <v>46063</v>
      </c>
      <c r="C6028" s="25">
        <v>1080</v>
      </c>
      <c r="D6028" s="13" t="s">
        <v>2092</v>
      </c>
      <c r="E6028" s="111"/>
      <c r="F6028" s="113" t="s">
        <v>17559</v>
      </c>
      <c r="G6028" s="114"/>
      <c r="H6028" s="115"/>
      <c r="I6028" s="24" t="s">
        <v>14473</v>
      </c>
      <c r="J6028" s="116">
        <v>4.5</v>
      </c>
      <c r="K6028" s="118">
        <v>2215000</v>
      </c>
      <c r="L6028" s="119"/>
      <c r="M6028" s="118">
        <f t="shared" ref="M6028" si="7989">K6028*0.1</f>
        <v>221500</v>
      </c>
      <c r="N6028" s="119"/>
      <c r="O6028" s="118">
        <v>3300</v>
      </c>
      <c r="P6028" s="119"/>
      <c r="Q6028" s="118">
        <v>22160</v>
      </c>
      <c r="R6028" s="119"/>
      <c r="S6028" s="118">
        <v>16500</v>
      </c>
      <c r="T6028" s="119"/>
      <c r="U6028" s="118">
        <f t="shared" ref="U6028" si="7990">SUM(K6028:T6029)</f>
        <v>2478460</v>
      </c>
      <c r="V6028" s="122"/>
      <c r="W6028" s="124"/>
      <c r="X6028" s="126" t="s">
        <v>17577</v>
      </c>
      <c r="Y6028" s="127"/>
      <c r="Z6028" s="127"/>
      <c r="AA6028" s="127"/>
      <c r="AB6028" s="128"/>
      <c r="AC6028" s="15" t="s">
        <v>20</v>
      </c>
      <c r="AD6028" s="129" t="s">
        <v>15223</v>
      </c>
      <c r="AE6028" s="130"/>
      <c r="AF6028" s="130"/>
      <c r="AG6028" s="130"/>
      <c r="AH6028" s="130"/>
      <c r="AI6028" s="131"/>
      <c r="AJ6028" s="132" t="s">
        <v>20911</v>
      </c>
      <c r="AK6028" s="127"/>
      <c r="AL6028" s="128"/>
      <c r="AM6028" s="21" t="s">
        <v>19858</v>
      </c>
      <c r="AN6028" s="133">
        <v>46102</v>
      </c>
      <c r="AO6028" s="134"/>
      <c r="AP6028" s="135">
        <v>1293</v>
      </c>
      <c r="AQ6028" s="136"/>
      <c r="AR6028" s="118">
        <v>2350000</v>
      </c>
      <c r="AS6028" s="119"/>
      <c r="AT6028" s="118">
        <f t="shared" ref="AT6028" si="7991">AR6028*0.1</f>
        <v>235000</v>
      </c>
      <c r="AU6028" s="119"/>
      <c r="AV6028" s="118">
        <v>22160</v>
      </c>
      <c r="AW6028" s="119"/>
      <c r="AX6028" s="118">
        <f t="shared" ref="AX6028" si="7992">SUM(AR6028:AW6028)</f>
        <v>2607160</v>
      </c>
      <c r="AY6028" s="119"/>
      <c r="AZ6028" s="137">
        <v>46105</v>
      </c>
    </row>
    <row r="6029" spans="1:52" ht="17.100000000000001" customHeight="1" thickBot="1">
      <c r="A6029" s="110"/>
      <c r="B6029" s="27" t="s">
        <v>1591</v>
      </c>
      <c r="C6029" s="27">
        <v>84038</v>
      </c>
      <c r="D6029" s="14" t="s">
        <v>1700</v>
      </c>
      <c r="E6029" s="112"/>
      <c r="F6029" s="139" t="s">
        <v>17576</v>
      </c>
      <c r="G6029" s="140"/>
      <c r="H6029" s="141"/>
      <c r="I6029" s="26">
        <v>41407</v>
      </c>
      <c r="J6029" s="117"/>
      <c r="K6029" s="120"/>
      <c r="L6029" s="121"/>
      <c r="M6029" s="120"/>
      <c r="N6029" s="121"/>
      <c r="O6029" s="120"/>
      <c r="P6029" s="121"/>
      <c r="Q6029" s="120"/>
      <c r="R6029" s="121"/>
      <c r="S6029" s="120"/>
      <c r="T6029" s="121"/>
      <c r="U6029" s="120"/>
      <c r="V6029" s="123"/>
      <c r="W6029" s="125"/>
      <c r="X6029" s="142" t="s">
        <v>17783</v>
      </c>
      <c r="Y6029" s="143"/>
      <c r="Z6029" s="143"/>
      <c r="AA6029" s="143"/>
      <c r="AB6029" s="144"/>
      <c r="AC6029" s="16" t="s">
        <v>21</v>
      </c>
      <c r="AD6029" s="17" t="s">
        <v>17777</v>
      </c>
      <c r="AE6029" s="145" t="s">
        <v>1614</v>
      </c>
      <c r="AF6029" s="146"/>
      <c r="AG6029" s="146"/>
      <c r="AH6029" s="146"/>
      <c r="AI6029" s="147"/>
      <c r="AJ6029" s="148" t="s">
        <v>25747</v>
      </c>
      <c r="AK6029" s="143"/>
      <c r="AL6029" s="144"/>
      <c r="AM6029" s="22"/>
      <c r="AN6029" s="149" t="s">
        <v>2511</v>
      </c>
      <c r="AO6029" s="144"/>
      <c r="AP6029" s="148">
        <v>80007</v>
      </c>
      <c r="AQ6029" s="144"/>
      <c r="AR6029" s="120"/>
      <c r="AS6029" s="121"/>
      <c r="AT6029" s="120"/>
      <c r="AU6029" s="121"/>
      <c r="AV6029" s="120"/>
      <c r="AW6029" s="121"/>
      <c r="AX6029" s="120"/>
      <c r="AY6029" s="121"/>
      <c r="AZ6029" s="138"/>
    </row>
    <row r="6030" spans="1:52" ht="17.100000000000001" customHeight="1" thickTop="1" thickBot="1">
      <c r="A6030" s="109" t="s">
        <v>17545</v>
      </c>
      <c r="B6030" s="28">
        <v>46063</v>
      </c>
      <c r="C6030" s="25">
        <v>1928</v>
      </c>
      <c r="D6030" s="13" t="s">
        <v>1642</v>
      </c>
      <c r="E6030" s="111"/>
      <c r="F6030" s="113" t="s">
        <v>17560</v>
      </c>
      <c r="G6030" s="114"/>
      <c r="H6030" s="115"/>
      <c r="I6030" s="24"/>
      <c r="J6030" s="116">
        <v>4.5</v>
      </c>
      <c r="K6030" s="118">
        <v>1029000</v>
      </c>
      <c r="L6030" s="119"/>
      <c r="M6030" s="118">
        <f t="shared" ref="M6030" si="7993">K6030*0.1</f>
        <v>102900</v>
      </c>
      <c r="N6030" s="119"/>
      <c r="O6030" s="118">
        <v>0</v>
      </c>
      <c r="P6030" s="119"/>
      <c r="Q6030" s="118">
        <v>8040</v>
      </c>
      <c r="R6030" s="119"/>
      <c r="S6030" s="118">
        <v>15950</v>
      </c>
      <c r="T6030" s="119"/>
      <c r="U6030" s="118">
        <f t="shared" ref="U6030" si="7994">SUM(K6030:T6031)</f>
        <v>1155890</v>
      </c>
      <c r="V6030" s="122"/>
      <c r="W6030" s="124"/>
      <c r="X6030" s="126" t="s">
        <v>18142</v>
      </c>
      <c r="Y6030" s="127"/>
      <c r="Z6030" s="127"/>
      <c r="AA6030" s="127"/>
      <c r="AB6030" s="128"/>
      <c r="AC6030" s="15" t="s">
        <v>20</v>
      </c>
      <c r="AD6030" s="129" t="s">
        <v>17578</v>
      </c>
      <c r="AE6030" s="130"/>
      <c r="AF6030" s="130"/>
      <c r="AG6030" s="130"/>
      <c r="AH6030" s="130"/>
      <c r="AI6030" s="131"/>
      <c r="AJ6030" s="148"/>
      <c r="AK6030" s="143"/>
      <c r="AL6030" s="144"/>
      <c r="AM6030" s="21"/>
      <c r="AN6030" s="133"/>
      <c r="AO6030" s="134"/>
      <c r="AP6030" s="135"/>
      <c r="AQ6030" s="136"/>
      <c r="AR6030" s="118"/>
      <c r="AS6030" s="119"/>
      <c r="AT6030" s="118">
        <f t="shared" ref="AT6030" si="7995">AR6030*0.1</f>
        <v>0</v>
      </c>
      <c r="AU6030" s="119"/>
      <c r="AV6030" s="118"/>
      <c r="AW6030" s="119"/>
      <c r="AX6030" s="118">
        <f t="shared" ref="AX6030" si="7996">SUM(AR6030:AW6030)</f>
        <v>0</v>
      </c>
      <c r="AY6030" s="119"/>
      <c r="AZ6030" s="137"/>
    </row>
    <row r="6031" spans="1:52" ht="17.100000000000001" customHeight="1" thickBot="1">
      <c r="A6031" s="110"/>
      <c r="B6031" s="27" t="s">
        <v>2131</v>
      </c>
      <c r="C6031" s="27">
        <v>3173</v>
      </c>
      <c r="D6031" s="14" t="s">
        <v>2601</v>
      </c>
      <c r="E6031" s="112"/>
      <c r="F6031" s="139" t="s">
        <v>17561</v>
      </c>
      <c r="G6031" s="140"/>
      <c r="H6031" s="141"/>
      <c r="I6031" s="26">
        <v>30368</v>
      </c>
      <c r="J6031" s="117"/>
      <c r="K6031" s="120"/>
      <c r="L6031" s="121"/>
      <c r="M6031" s="120"/>
      <c r="N6031" s="121"/>
      <c r="O6031" s="120"/>
      <c r="P6031" s="121"/>
      <c r="Q6031" s="120"/>
      <c r="R6031" s="121"/>
      <c r="S6031" s="120"/>
      <c r="T6031" s="121"/>
      <c r="U6031" s="120"/>
      <c r="V6031" s="123"/>
      <c r="W6031" s="125"/>
      <c r="X6031" s="142" t="s">
        <v>11198</v>
      </c>
      <c r="Y6031" s="143"/>
      <c r="Z6031" s="143"/>
      <c r="AA6031" s="143"/>
      <c r="AB6031" s="144"/>
      <c r="AC6031" s="16" t="s">
        <v>21</v>
      </c>
      <c r="AD6031" s="17" t="s">
        <v>1877</v>
      </c>
      <c r="AE6031" s="145" t="s">
        <v>18143</v>
      </c>
      <c r="AF6031" s="146"/>
      <c r="AG6031" s="146"/>
      <c r="AH6031" s="146"/>
      <c r="AI6031" s="147"/>
      <c r="AJ6031" s="148"/>
      <c r="AK6031" s="143"/>
      <c r="AL6031" s="144"/>
      <c r="AM6031" s="22"/>
      <c r="AN6031" s="149"/>
      <c r="AO6031" s="144"/>
      <c r="AP6031" s="148"/>
      <c r="AQ6031" s="144"/>
      <c r="AR6031" s="120"/>
      <c r="AS6031" s="121"/>
      <c r="AT6031" s="120"/>
      <c r="AU6031" s="121"/>
      <c r="AV6031" s="120"/>
      <c r="AW6031" s="121"/>
      <c r="AX6031" s="120"/>
      <c r="AY6031" s="121"/>
      <c r="AZ6031" s="138"/>
    </row>
    <row r="6032" spans="1:52" ht="17.100000000000001" customHeight="1" thickTop="1">
      <c r="A6032" s="109" t="s">
        <v>17546</v>
      </c>
      <c r="B6032" s="28">
        <v>46063</v>
      </c>
      <c r="C6032" s="25">
        <v>1928</v>
      </c>
      <c r="D6032" s="13" t="s">
        <v>1642</v>
      </c>
      <c r="E6032" s="111"/>
      <c r="F6032" s="113" t="s">
        <v>17560</v>
      </c>
      <c r="G6032" s="114"/>
      <c r="H6032" s="115"/>
      <c r="I6032" s="24"/>
      <c r="J6032" s="116">
        <v>3.5</v>
      </c>
      <c r="K6032" s="118">
        <v>907000</v>
      </c>
      <c r="L6032" s="119"/>
      <c r="M6032" s="118">
        <f t="shared" ref="M6032" si="7997">K6032*0.1</f>
        <v>90700</v>
      </c>
      <c r="N6032" s="119"/>
      <c r="O6032" s="118">
        <v>0</v>
      </c>
      <c r="P6032" s="119"/>
      <c r="Q6032" s="118">
        <v>8040</v>
      </c>
      <c r="R6032" s="119"/>
      <c r="S6032" s="118">
        <v>15950</v>
      </c>
      <c r="T6032" s="119"/>
      <c r="U6032" s="118">
        <f t="shared" ref="U6032" si="7998">SUM(K6032:T6033)</f>
        <v>1021690</v>
      </c>
      <c r="V6032" s="122"/>
      <c r="W6032" s="124"/>
      <c r="X6032" s="126" t="s">
        <v>18146</v>
      </c>
      <c r="Y6032" s="127"/>
      <c r="Z6032" s="127"/>
      <c r="AA6032" s="127"/>
      <c r="AB6032" s="128"/>
      <c r="AC6032" s="15" t="s">
        <v>20</v>
      </c>
      <c r="AD6032" s="129" t="s">
        <v>17578</v>
      </c>
      <c r="AE6032" s="130"/>
      <c r="AF6032" s="130"/>
      <c r="AG6032" s="130"/>
      <c r="AH6032" s="130"/>
      <c r="AI6032" s="131"/>
      <c r="AJ6032" s="132"/>
      <c r="AK6032" s="127"/>
      <c r="AL6032" s="128"/>
      <c r="AM6032" s="21"/>
      <c r="AN6032" s="133">
        <v>46085</v>
      </c>
      <c r="AO6032" s="134"/>
      <c r="AP6032" s="135">
        <v>1007</v>
      </c>
      <c r="AQ6032" s="136"/>
      <c r="AR6032" s="118">
        <v>965000</v>
      </c>
      <c r="AS6032" s="119"/>
      <c r="AT6032" s="118">
        <f t="shared" ref="AT6032" si="7999">AR6032*0.1</f>
        <v>96500</v>
      </c>
      <c r="AU6032" s="119"/>
      <c r="AV6032" s="118">
        <v>8040</v>
      </c>
      <c r="AW6032" s="119"/>
      <c r="AX6032" s="118">
        <f t="shared" ref="AX6032" si="8000">SUM(AR6032:AW6032)</f>
        <v>1069540</v>
      </c>
      <c r="AY6032" s="119"/>
      <c r="AZ6032" s="137">
        <v>46090</v>
      </c>
    </row>
    <row r="6033" spans="1:52" ht="17.100000000000001" customHeight="1" thickBot="1">
      <c r="A6033" s="110"/>
      <c r="B6033" s="27" t="s">
        <v>2131</v>
      </c>
      <c r="C6033" s="27">
        <v>3193</v>
      </c>
      <c r="D6033" s="14" t="s">
        <v>2601</v>
      </c>
      <c r="E6033" s="112"/>
      <c r="F6033" s="139" t="s">
        <v>17562</v>
      </c>
      <c r="G6033" s="140"/>
      <c r="H6033" s="141"/>
      <c r="I6033" s="26">
        <v>43570</v>
      </c>
      <c r="J6033" s="117"/>
      <c r="K6033" s="120"/>
      <c r="L6033" s="121"/>
      <c r="M6033" s="120"/>
      <c r="N6033" s="121"/>
      <c r="O6033" s="120"/>
      <c r="P6033" s="121"/>
      <c r="Q6033" s="120"/>
      <c r="R6033" s="121"/>
      <c r="S6033" s="120"/>
      <c r="T6033" s="121"/>
      <c r="U6033" s="120"/>
      <c r="V6033" s="123"/>
      <c r="W6033" s="125"/>
      <c r="X6033" s="142" t="s">
        <v>11198</v>
      </c>
      <c r="Y6033" s="143"/>
      <c r="Z6033" s="143"/>
      <c r="AA6033" s="143"/>
      <c r="AB6033" s="144"/>
      <c r="AC6033" s="16" t="s">
        <v>21</v>
      </c>
      <c r="AD6033" s="17" t="s">
        <v>1877</v>
      </c>
      <c r="AE6033" s="145" t="s">
        <v>7064</v>
      </c>
      <c r="AF6033" s="146"/>
      <c r="AG6033" s="146"/>
      <c r="AH6033" s="146"/>
      <c r="AI6033" s="147"/>
      <c r="AJ6033" s="148"/>
      <c r="AK6033" s="143"/>
      <c r="AL6033" s="144"/>
      <c r="AM6033" s="22"/>
      <c r="AN6033" s="149" t="s">
        <v>2794</v>
      </c>
      <c r="AO6033" s="144"/>
      <c r="AP6033" s="148">
        <v>2039</v>
      </c>
      <c r="AQ6033" s="144"/>
      <c r="AR6033" s="120"/>
      <c r="AS6033" s="121"/>
      <c r="AT6033" s="120"/>
      <c r="AU6033" s="121"/>
      <c r="AV6033" s="120"/>
      <c r="AW6033" s="121"/>
      <c r="AX6033" s="120"/>
      <c r="AY6033" s="121"/>
      <c r="AZ6033" s="138"/>
    </row>
    <row r="6034" spans="1:52" ht="17.100000000000001" customHeight="1" thickTop="1">
      <c r="A6034" s="109" t="s">
        <v>17547</v>
      </c>
      <c r="B6034" s="28">
        <v>46063</v>
      </c>
      <c r="C6034" s="25">
        <v>1928</v>
      </c>
      <c r="D6034" s="13" t="s">
        <v>17579</v>
      </c>
      <c r="E6034" s="111"/>
      <c r="F6034" s="113" t="s">
        <v>15853</v>
      </c>
      <c r="G6034" s="114"/>
      <c r="H6034" s="115"/>
      <c r="I6034" s="24"/>
      <c r="J6034" s="116">
        <v>4</v>
      </c>
      <c r="K6034" s="118">
        <v>490000</v>
      </c>
      <c r="L6034" s="119"/>
      <c r="M6034" s="118">
        <f t="shared" ref="M6034" si="8001">K6034*0.1</f>
        <v>49000</v>
      </c>
      <c r="N6034" s="119"/>
      <c r="O6034" s="118">
        <v>0</v>
      </c>
      <c r="P6034" s="119"/>
      <c r="Q6034" s="118">
        <v>10010</v>
      </c>
      <c r="R6034" s="119"/>
      <c r="S6034" s="118">
        <v>15950</v>
      </c>
      <c r="T6034" s="119"/>
      <c r="U6034" s="118">
        <f t="shared" ref="U6034" si="8002">SUM(K6034:T6035)</f>
        <v>564960</v>
      </c>
      <c r="V6034" s="122"/>
      <c r="W6034" s="124"/>
      <c r="X6034" s="126" t="s">
        <v>18141</v>
      </c>
      <c r="Y6034" s="127"/>
      <c r="Z6034" s="127"/>
      <c r="AA6034" s="127"/>
      <c r="AB6034" s="128"/>
      <c r="AC6034" s="15" t="s">
        <v>20</v>
      </c>
      <c r="AD6034" s="129"/>
      <c r="AE6034" s="130"/>
      <c r="AF6034" s="130"/>
      <c r="AG6034" s="130"/>
      <c r="AH6034" s="130"/>
      <c r="AI6034" s="131"/>
      <c r="AJ6034" s="132"/>
      <c r="AK6034" s="127"/>
      <c r="AL6034" s="128"/>
      <c r="AM6034" s="21"/>
      <c r="AN6034" s="133">
        <v>46116</v>
      </c>
      <c r="AO6034" s="134"/>
      <c r="AP6034" s="135">
        <v>1295</v>
      </c>
      <c r="AQ6034" s="136"/>
      <c r="AR6034" s="118">
        <v>650000</v>
      </c>
      <c r="AS6034" s="119"/>
      <c r="AT6034" s="118">
        <f t="shared" ref="AT6034" si="8003">AR6034*0.1</f>
        <v>65000</v>
      </c>
      <c r="AU6034" s="119"/>
      <c r="AV6034" s="118">
        <v>10010</v>
      </c>
      <c r="AW6034" s="119"/>
      <c r="AX6034" s="118">
        <f t="shared" ref="AX6034" si="8004">SUM(AR6034:AW6034)</f>
        <v>725010</v>
      </c>
      <c r="AY6034" s="119"/>
      <c r="AZ6034" s="137">
        <v>46126</v>
      </c>
    </row>
    <row r="6035" spans="1:52" ht="17.100000000000001" customHeight="1" thickBot="1">
      <c r="A6035" s="110"/>
      <c r="B6035" s="27" t="s">
        <v>2131</v>
      </c>
      <c r="C6035" s="27">
        <v>3312</v>
      </c>
      <c r="D6035" s="14" t="s">
        <v>275</v>
      </c>
      <c r="E6035" s="112"/>
      <c r="F6035" s="139" t="s">
        <v>17563</v>
      </c>
      <c r="G6035" s="140"/>
      <c r="H6035" s="141"/>
      <c r="I6035" s="26">
        <v>15953</v>
      </c>
      <c r="J6035" s="117"/>
      <c r="K6035" s="120"/>
      <c r="L6035" s="121"/>
      <c r="M6035" s="120"/>
      <c r="N6035" s="121"/>
      <c r="O6035" s="120"/>
      <c r="P6035" s="121"/>
      <c r="Q6035" s="120"/>
      <c r="R6035" s="121"/>
      <c r="S6035" s="120"/>
      <c r="T6035" s="121"/>
      <c r="U6035" s="120"/>
      <c r="V6035" s="123"/>
      <c r="W6035" s="125"/>
      <c r="X6035" s="142" t="s">
        <v>10418</v>
      </c>
      <c r="Y6035" s="143"/>
      <c r="Z6035" s="143"/>
      <c r="AA6035" s="143"/>
      <c r="AB6035" s="144"/>
      <c r="AC6035" s="16" t="s">
        <v>21</v>
      </c>
      <c r="AD6035" s="17" t="s">
        <v>1877</v>
      </c>
      <c r="AE6035" s="145"/>
      <c r="AF6035" s="146"/>
      <c r="AG6035" s="146"/>
      <c r="AH6035" s="146"/>
      <c r="AI6035" s="147"/>
      <c r="AJ6035" s="148"/>
      <c r="AK6035" s="143"/>
      <c r="AL6035" s="144"/>
      <c r="AM6035" s="22"/>
      <c r="AN6035" s="149" t="s">
        <v>6749</v>
      </c>
      <c r="AO6035" s="144"/>
      <c r="AP6035" s="148">
        <v>60162</v>
      </c>
      <c r="AQ6035" s="144"/>
      <c r="AR6035" s="120"/>
      <c r="AS6035" s="121"/>
      <c r="AT6035" s="120"/>
      <c r="AU6035" s="121"/>
      <c r="AV6035" s="120"/>
      <c r="AW6035" s="121"/>
      <c r="AX6035" s="120"/>
      <c r="AY6035" s="121"/>
      <c r="AZ6035" s="138"/>
    </row>
    <row r="6036" spans="1:52" ht="17.100000000000001" customHeight="1" thickTop="1">
      <c r="A6036" s="109" t="s">
        <v>17548</v>
      </c>
      <c r="B6036" s="28">
        <v>46063</v>
      </c>
      <c r="C6036" s="25">
        <v>1928</v>
      </c>
      <c r="D6036" s="13" t="s">
        <v>1853</v>
      </c>
      <c r="E6036" s="111"/>
      <c r="F6036" s="113" t="s">
        <v>17581</v>
      </c>
      <c r="G6036" s="114"/>
      <c r="H6036" s="115"/>
      <c r="I6036" s="24"/>
      <c r="J6036" s="116">
        <v>4</v>
      </c>
      <c r="K6036" s="118">
        <v>1436000</v>
      </c>
      <c r="L6036" s="119"/>
      <c r="M6036" s="118">
        <f t="shared" ref="M6036" si="8005">K6036*0.1</f>
        <v>143600</v>
      </c>
      <c r="N6036" s="119"/>
      <c r="O6036" s="118">
        <v>0</v>
      </c>
      <c r="P6036" s="119"/>
      <c r="Q6036" s="118">
        <v>19180</v>
      </c>
      <c r="R6036" s="119"/>
      <c r="S6036" s="118">
        <v>15950</v>
      </c>
      <c r="T6036" s="119"/>
      <c r="U6036" s="118">
        <f t="shared" ref="U6036" si="8006">SUM(K6036:T6037)</f>
        <v>1614730</v>
      </c>
      <c r="V6036" s="122"/>
      <c r="W6036" s="124"/>
      <c r="X6036" s="126" t="s">
        <v>18131</v>
      </c>
      <c r="Y6036" s="127"/>
      <c r="Z6036" s="127"/>
      <c r="AA6036" s="127"/>
      <c r="AB6036" s="128"/>
      <c r="AC6036" s="15" t="s">
        <v>20</v>
      </c>
      <c r="AD6036" s="129" t="s">
        <v>1670</v>
      </c>
      <c r="AE6036" s="130"/>
      <c r="AF6036" s="130"/>
      <c r="AG6036" s="130"/>
      <c r="AH6036" s="130"/>
      <c r="AI6036" s="131"/>
      <c r="AJ6036" s="132"/>
      <c r="AK6036" s="127"/>
      <c r="AL6036" s="128"/>
      <c r="AM6036" s="21"/>
      <c r="AN6036" s="133">
        <v>46074</v>
      </c>
      <c r="AO6036" s="134"/>
      <c r="AP6036" s="135">
        <v>1289</v>
      </c>
      <c r="AQ6036" s="136"/>
      <c r="AR6036" s="118">
        <v>1550000</v>
      </c>
      <c r="AS6036" s="119"/>
      <c r="AT6036" s="118">
        <f t="shared" ref="AT6036" si="8007">AR6036*0.1</f>
        <v>155000</v>
      </c>
      <c r="AU6036" s="119"/>
      <c r="AV6036" s="118">
        <v>19180</v>
      </c>
      <c r="AW6036" s="119"/>
      <c r="AX6036" s="118">
        <f t="shared" ref="AX6036" si="8008">SUM(AR6036:AW6036)</f>
        <v>1724180</v>
      </c>
      <c r="AY6036" s="119"/>
      <c r="AZ6036" s="137">
        <v>46077</v>
      </c>
    </row>
    <row r="6037" spans="1:52" ht="17.100000000000001" customHeight="1" thickBot="1">
      <c r="A6037" s="110"/>
      <c r="B6037" s="27" t="s">
        <v>2131</v>
      </c>
      <c r="C6037" s="27">
        <v>5017</v>
      </c>
      <c r="D6037" s="14" t="s">
        <v>2601</v>
      </c>
      <c r="E6037" s="112"/>
      <c r="F6037" s="139" t="s">
        <v>17580</v>
      </c>
      <c r="G6037" s="140"/>
      <c r="H6037" s="141"/>
      <c r="I6037" s="26">
        <v>99500</v>
      </c>
      <c r="J6037" s="117"/>
      <c r="K6037" s="120"/>
      <c r="L6037" s="121"/>
      <c r="M6037" s="120"/>
      <c r="N6037" s="121"/>
      <c r="O6037" s="120"/>
      <c r="P6037" s="121"/>
      <c r="Q6037" s="120"/>
      <c r="R6037" s="121"/>
      <c r="S6037" s="120"/>
      <c r="T6037" s="121"/>
      <c r="U6037" s="120"/>
      <c r="V6037" s="123"/>
      <c r="W6037" s="125"/>
      <c r="X6037" s="142" t="s">
        <v>9553</v>
      </c>
      <c r="Y6037" s="143"/>
      <c r="Z6037" s="143"/>
      <c r="AA6037" s="143"/>
      <c r="AB6037" s="144"/>
      <c r="AC6037" s="16" t="s">
        <v>21</v>
      </c>
      <c r="AD6037" s="17" t="s">
        <v>1877</v>
      </c>
      <c r="AE6037" s="145" t="s">
        <v>9490</v>
      </c>
      <c r="AF6037" s="146"/>
      <c r="AG6037" s="146"/>
      <c r="AH6037" s="146"/>
      <c r="AI6037" s="147"/>
      <c r="AJ6037" s="148"/>
      <c r="AK6037" s="143"/>
      <c r="AL6037" s="144"/>
      <c r="AM6037" s="22"/>
      <c r="AN6037" s="149" t="s">
        <v>2511</v>
      </c>
      <c r="AO6037" s="144"/>
      <c r="AP6037" s="148">
        <v>80016</v>
      </c>
      <c r="AQ6037" s="144"/>
      <c r="AR6037" s="120"/>
      <c r="AS6037" s="121"/>
      <c r="AT6037" s="120"/>
      <c r="AU6037" s="121"/>
      <c r="AV6037" s="120"/>
      <c r="AW6037" s="121"/>
      <c r="AX6037" s="120"/>
      <c r="AY6037" s="121"/>
      <c r="AZ6037" s="138"/>
    </row>
    <row r="6038" spans="1:52" ht="17.100000000000001" customHeight="1" thickTop="1">
      <c r="A6038" s="109" t="s">
        <v>17549</v>
      </c>
      <c r="B6038" s="28">
        <v>46063</v>
      </c>
      <c r="C6038" s="25">
        <v>1928</v>
      </c>
      <c r="D6038" s="13" t="s">
        <v>1920</v>
      </c>
      <c r="E6038" s="111"/>
      <c r="F6038" s="113" t="s">
        <v>17564</v>
      </c>
      <c r="G6038" s="114"/>
      <c r="H6038" s="115"/>
      <c r="I6038" s="24"/>
      <c r="J6038" s="116">
        <v>4.5</v>
      </c>
      <c r="K6038" s="118">
        <v>680000</v>
      </c>
      <c r="L6038" s="119"/>
      <c r="M6038" s="118">
        <f t="shared" ref="M6038" si="8009">K6038*0.1</f>
        <v>68000</v>
      </c>
      <c r="N6038" s="119"/>
      <c r="O6038" s="118">
        <v>0</v>
      </c>
      <c r="P6038" s="119"/>
      <c r="Q6038" s="118">
        <v>9790</v>
      </c>
      <c r="R6038" s="119"/>
      <c r="S6038" s="118">
        <v>15950</v>
      </c>
      <c r="T6038" s="119"/>
      <c r="U6038" s="118">
        <f t="shared" ref="U6038" si="8010">SUM(K6038:T6039)</f>
        <v>773740</v>
      </c>
      <c r="V6038" s="122"/>
      <c r="W6038" s="124"/>
      <c r="X6038" s="126" t="s">
        <v>18137</v>
      </c>
      <c r="Y6038" s="127"/>
      <c r="Z6038" s="127"/>
      <c r="AA6038" s="127"/>
      <c r="AB6038" s="128"/>
      <c r="AC6038" s="15" t="s">
        <v>20</v>
      </c>
      <c r="AD6038" s="129" t="s">
        <v>15319</v>
      </c>
      <c r="AE6038" s="130"/>
      <c r="AF6038" s="130"/>
      <c r="AG6038" s="130"/>
      <c r="AH6038" s="130"/>
      <c r="AI6038" s="131"/>
      <c r="AJ6038" s="132"/>
      <c r="AK6038" s="127"/>
      <c r="AL6038" s="128"/>
      <c r="AM6038" s="21"/>
      <c r="AN6038" s="133">
        <v>46113</v>
      </c>
      <c r="AO6038" s="134"/>
      <c r="AP6038" s="135">
        <v>1011</v>
      </c>
      <c r="AQ6038" s="136"/>
      <c r="AR6038" s="118">
        <v>765000</v>
      </c>
      <c r="AS6038" s="119"/>
      <c r="AT6038" s="118">
        <f t="shared" ref="AT6038" si="8011">AR6038*0.1</f>
        <v>76500</v>
      </c>
      <c r="AU6038" s="119"/>
      <c r="AV6038" s="118">
        <v>9790</v>
      </c>
      <c r="AW6038" s="119"/>
      <c r="AX6038" s="118">
        <f t="shared" ref="AX6038" si="8012">SUM(AR6038:AW6038)</f>
        <v>851290</v>
      </c>
      <c r="AY6038" s="119"/>
      <c r="AZ6038" s="137">
        <v>46118</v>
      </c>
    </row>
    <row r="6039" spans="1:52" ht="17.100000000000001" customHeight="1" thickBot="1">
      <c r="A6039" s="110"/>
      <c r="B6039" s="27" t="s">
        <v>2131</v>
      </c>
      <c r="C6039" s="27">
        <v>5416</v>
      </c>
      <c r="D6039" s="14" t="s">
        <v>1576</v>
      </c>
      <c r="E6039" s="112"/>
      <c r="F6039" s="139" t="s">
        <v>17565</v>
      </c>
      <c r="G6039" s="140"/>
      <c r="H6039" s="141"/>
      <c r="I6039" s="26">
        <v>40145</v>
      </c>
      <c r="J6039" s="117"/>
      <c r="K6039" s="120"/>
      <c r="L6039" s="121"/>
      <c r="M6039" s="120"/>
      <c r="N6039" s="121"/>
      <c r="O6039" s="120"/>
      <c r="P6039" s="121"/>
      <c r="Q6039" s="120"/>
      <c r="R6039" s="121"/>
      <c r="S6039" s="120"/>
      <c r="T6039" s="121"/>
      <c r="U6039" s="120"/>
      <c r="V6039" s="123"/>
      <c r="W6039" s="125"/>
      <c r="X6039" s="142" t="s">
        <v>18138</v>
      </c>
      <c r="Y6039" s="143"/>
      <c r="Z6039" s="143"/>
      <c r="AA6039" s="143"/>
      <c r="AB6039" s="144"/>
      <c r="AC6039" s="16" t="s">
        <v>21</v>
      </c>
      <c r="AD6039" s="17" t="s">
        <v>1877</v>
      </c>
      <c r="AE6039" s="145" t="s">
        <v>1742</v>
      </c>
      <c r="AF6039" s="146"/>
      <c r="AG6039" s="146"/>
      <c r="AH6039" s="146"/>
      <c r="AI6039" s="147"/>
      <c r="AJ6039" s="148"/>
      <c r="AK6039" s="143"/>
      <c r="AL6039" s="144"/>
      <c r="AM6039" s="22"/>
      <c r="AN6039" s="149" t="s">
        <v>2794</v>
      </c>
      <c r="AO6039" s="144"/>
      <c r="AP6039" s="148">
        <v>2070</v>
      </c>
      <c r="AQ6039" s="144"/>
      <c r="AR6039" s="120"/>
      <c r="AS6039" s="121"/>
      <c r="AT6039" s="120"/>
      <c r="AU6039" s="121"/>
      <c r="AV6039" s="120"/>
      <c r="AW6039" s="121"/>
      <c r="AX6039" s="120"/>
      <c r="AY6039" s="121"/>
      <c r="AZ6039" s="138"/>
    </row>
    <row r="6040" spans="1:52" ht="17.100000000000001" customHeight="1" thickTop="1">
      <c r="A6040" s="109" t="s">
        <v>17550</v>
      </c>
      <c r="B6040" s="28">
        <v>46063</v>
      </c>
      <c r="C6040" s="25">
        <v>1928</v>
      </c>
      <c r="D6040" s="13" t="s">
        <v>1615</v>
      </c>
      <c r="E6040" s="111"/>
      <c r="F6040" s="113" t="s">
        <v>17566</v>
      </c>
      <c r="G6040" s="114"/>
      <c r="H6040" s="115"/>
      <c r="I6040" s="24"/>
      <c r="J6040" s="116">
        <v>4.5</v>
      </c>
      <c r="K6040" s="118">
        <v>729000</v>
      </c>
      <c r="L6040" s="119"/>
      <c r="M6040" s="118">
        <f t="shared" ref="M6040" si="8013">K6040*0.1</f>
        <v>72900</v>
      </c>
      <c r="N6040" s="119"/>
      <c r="O6040" s="118">
        <v>0</v>
      </c>
      <c r="P6040" s="119"/>
      <c r="Q6040" s="118">
        <v>9200</v>
      </c>
      <c r="R6040" s="119"/>
      <c r="S6040" s="118">
        <v>15950</v>
      </c>
      <c r="T6040" s="119"/>
      <c r="U6040" s="118">
        <f t="shared" ref="U6040" si="8014">SUM(K6040:T6041)</f>
        <v>827050</v>
      </c>
      <c r="V6040" s="122"/>
      <c r="W6040" s="124"/>
      <c r="X6040" s="126" t="s">
        <v>18139</v>
      </c>
      <c r="Y6040" s="127"/>
      <c r="Z6040" s="127"/>
      <c r="AA6040" s="127"/>
      <c r="AB6040" s="128"/>
      <c r="AC6040" s="15" t="s">
        <v>20</v>
      </c>
      <c r="AD6040" s="129" t="s">
        <v>4435</v>
      </c>
      <c r="AE6040" s="130"/>
      <c r="AF6040" s="130"/>
      <c r="AG6040" s="130"/>
      <c r="AH6040" s="130"/>
      <c r="AI6040" s="131"/>
      <c r="AJ6040" s="132"/>
      <c r="AK6040" s="127"/>
      <c r="AL6040" s="128"/>
      <c r="AM6040" s="21"/>
      <c r="AN6040" s="133">
        <v>46081</v>
      </c>
      <c r="AO6040" s="134"/>
      <c r="AP6040" s="135">
        <v>1290</v>
      </c>
      <c r="AQ6040" s="136"/>
      <c r="AR6040" s="118">
        <v>815000</v>
      </c>
      <c r="AS6040" s="119"/>
      <c r="AT6040" s="118">
        <f t="shared" ref="AT6040" si="8015">AR6040*0.1</f>
        <v>81500</v>
      </c>
      <c r="AU6040" s="119"/>
      <c r="AV6040" s="118">
        <v>9200</v>
      </c>
      <c r="AW6040" s="119"/>
      <c r="AX6040" s="118">
        <f t="shared" ref="AX6040" si="8016">SUM(AR6040:AW6040)</f>
        <v>905700</v>
      </c>
      <c r="AY6040" s="119"/>
      <c r="AZ6040" s="137">
        <v>46084</v>
      </c>
    </row>
    <row r="6041" spans="1:52" ht="17.100000000000001" customHeight="1" thickBot="1">
      <c r="A6041" s="110"/>
      <c r="B6041" s="27" t="s">
        <v>2131</v>
      </c>
      <c r="C6041" s="27">
        <v>5446</v>
      </c>
      <c r="D6041" s="14" t="s">
        <v>3855</v>
      </c>
      <c r="E6041" s="112"/>
      <c r="F6041" s="139" t="s">
        <v>17567</v>
      </c>
      <c r="G6041" s="140"/>
      <c r="H6041" s="141"/>
      <c r="I6041" s="26">
        <v>48123</v>
      </c>
      <c r="J6041" s="117"/>
      <c r="K6041" s="120"/>
      <c r="L6041" s="121"/>
      <c r="M6041" s="120"/>
      <c r="N6041" s="121"/>
      <c r="O6041" s="120"/>
      <c r="P6041" s="121"/>
      <c r="Q6041" s="120"/>
      <c r="R6041" s="121"/>
      <c r="S6041" s="120"/>
      <c r="T6041" s="121"/>
      <c r="U6041" s="120"/>
      <c r="V6041" s="123"/>
      <c r="W6041" s="125"/>
      <c r="X6041" s="142" t="s">
        <v>18140</v>
      </c>
      <c r="Y6041" s="143"/>
      <c r="Z6041" s="143"/>
      <c r="AA6041" s="143"/>
      <c r="AB6041" s="144"/>
      <c r="AC6041" s="16" t="s">
        <v>21</v>
      </c>
      <c r="AD6041" s="17" t="s">
        <v>1877</v>
      </c>
      <c r="AE6041" s="145" t="s">
        <v>2395</v>
      </c>
      <c r="AF6041" s="146"/>
      <c r="AG6041" s="146"/>
      <c r="AH6041" s="146"/>
      <c r="AI6041" s="147"/>
      <c r="AJ6041" s="148"/>
      <c r="AK6041" s="143"/>
      <c r="AL6041" s="144"/>
      <c r="AM6041" s="22"/>
      <c r="AN6041" s="149" t="s">
        <v>2511</v>
      </c>
      <c r="AO6041" s="144"/>
      <c r="AP6041" s="148">
        <v>60063</v>
      </c>
      <c r="AQ6041" s="144"/>
      <c r="AR6041" s="120"/>
      <c r="AS6041" s="121"/>
      <c r="AT6041" s="120"/>
      <c r="AU6041" s="121"/>
      <c r="AV6041" s="120"/>
      <c r="AW6041" s="121"/>
      <c r="AX6041" s="120"/>
      <c r="AY6041" s="121"/>
      <c r="AZ6041" s="138"/>
    </row>
    <row r="6042" spans="1:52" ht="17.100000000000001" customHeight="1" thickTop="1">
      <c r="A6042" s="109" t="s">
        <v>17551</v>
      </c>
      <c r="B6042" s="28">
        <v>46063</v>
      </c>
      <c r="C6042" s="25">
        <v>806</v>
      </c>
      <c r="D6042" s="13" t="s">
        <v>2036</v>
      </c>
      <c r="E6042" s="111"/>
      <c r="F6042" s="113" t="s">
        <v>17568</v>
      </c>
      <c r="G6042" s="114"/>
      <c r="H6042" s="115"/>
      <c r="I6042" s="24"/>
      <c r="J6042" s="116">
        <v>4.5</v>
      </c>
      <c r="K6042" s="118">
        <v>2320000</v>
      </c>
      <c r="L6042" s="119"/>
      <c r="M6042" s="118">
        <f t="shared" ref="M6042" si="8017">K6042*0.1</f>
        <v>232000</v>
      </c>
      <c r="N6042" s="119"/>
      <c r="O6042" s="118">
        <v>0</v>
      </c>
      <c r="P6042" s="119"/>
      <c r="Q6042" s="118">
        <v>16360</v>
      </c>
      <c r="R6042" s="119"/>
      <c r="S6042" s="118">
        <v>19250</v>
      </c>
      <c r="T6042" s="119"/>
      <c r="U6042" s="118">
        <f t="shared" ref="U6042" si="8018">SUM(K6042:T6043)</f>
        <v>2587610</v>
      </c>
      <c r="V6042" s="122"/>
      <c r="W6042" s="124"/>
      <c r="X6042" s="126" t="s">
        <v>18132</v>
      </c>
      <c r="Y6042" s="127"/>
      <c r="Z6042" s="127"/>
      <c r="AA6042" s="127"/>
      <c r="AB6042" s="128"/>
      <c r="AC6042" s="15" t="s">
        <v>20</v>
      </c>
      <c r="AD6042" s="129" t="s">
        <v>4435</v>
      </c>
      <c r="AE6042" s="130"/>
      <c r="AF6042" s="130"/>
      <c r="AG6042" s="130"/>
      <c r="AH6042" s="130"/>
      <c r="AI6042" s="131"/>
      <c r="AJ6042" s="132"/>
      <c r="AK6042" s="127"/>
      <c r="AL6042" s="128"/>
      <c r="AM6042" s="21"/>
      <c r="AN6042" s="133">
        <v>46074</v>
      </c>
      <c r="AO6042" s="134"/>
      <c r="AP6042" s="135">
        <v>1289</v>
      </c>
      <c r="AQ6042" s="136"/>
      <c r="AR6042" s="118">
        <v>2465000</v>
      </c>
      <c r="AS6042" s="119"/>
      <c r="AT6042" s="118">
        <f t="shared" ref="AT6042" si="8019">AR6042*0.1</f>
        <v>246500</v>
      </c>
      <c r="AU6042" s="119"/>
      <c r="AV6042" s="118">
        <v>16360</v>
      </c>
      <c r="AW6042" s="119"/>
      <c r="AX6042" s="118">
        <f t="shared" ref="AX6042" si="8020">SUM(AR6042:AW6042)</f>
        <v>2727860</v>
      </c>
      <c r="AY6042" s="119"/>
      <c r="AZ6042" s="137">
        <v>46077</v>
      </c>
    </row>
    <row r="6043" spans="1:52" ht="17.100000000000001" customHeight="1" thickBot="1">
      <c r="A6043" s="110"/>
      <c r="B6043" s="27" t="s">
        <v>3367</v>
      </c>
      <c r="C6043" s="27">
        <v>5002</v>
      </c>
      <c r="D6043" s="14" t="s">
        <v>1576</v>
      </c>
      <c r="E6043" s="112"/>
      <c r="F6043" s="139" t="s">
        <v>17582</v>
      </c>
      <c r="G6043" s="140"/>
      <c r="H6043" s="141"/>
      <c r="I6043" s="26">
        <v>47437</v>
      </c>
      <c r="J6043" s="117"/>
      <c r="K6043" s="120"/>
      <c r="L6043" s="121"/>
      <c r="M6043" s="120"/>
      <c r="N6043" s="121"/>
      <c r="O6043" s="120"/>
      <c r="P6043" s="121"/>
      <c r="Q6043" s="120"/>
      <c r="R6043" s="121"/>
      <c r="S6043" s="120"/>
      <c r="T6043" s="121"/>
      <c r="U6043" s="120"/>
      <c r="V6043" s="123"/>
      <c r="W6043" s="125"/>
      <c r="X6043" s="142" t="s">
        <v>3369</v>
      </c>
      <c r="Y6043" s="143"/>
      <c r="Z6043" s="143"/>
      <c r="AA6043" s="143"/>
      <c r="AB6043" s="144"/>
      <c r="AC6043" s="16" t="s">
        <v>21</v>
      </c>
      <c r="AD6043" s="17" t="s">
        <v>1877</v>
      </c>
      <c r="AE6043" s="145" t="s">
        <v>3609</v>
      </c>
      <c r="AF6043" s="146"/>
      <c r="AG6043" s="146"/>
      <c r="AH6043" s="146"/>
      <c r="AI6043" s="147"/>
      <c r="AJ6043" s="148"/>
      <c r="AK6043" s="143"/>
      <c r="AL6043" s="144"/>
      <c r="AM6043" s="22"/>
      <c r="AN6043" s="149" t="s">
        <v>2511</v>
      </c>
      <c r="AO6043" s="144"/>
      <c r="AP6043" s="148">
        <v>80275</v>
      </c>
      <c r="AQ6043" s="144"/>
      <c r="AR6043" s="120"/>
      <c r="AS6043" s="121"/>
      <c r="AT6043" s="120"/>
      <c r="AU6043" s="121"/>
      <c r="AV6043" s="120"/>
      <c r="AW6043" s="121"/>
      <c r="AX6043" s="120"/>
      <c r="AY6043" s="121"/>
      <c r="AZ6043" s="138"/>
    </row>
    <row r="6044" spans="1:52" ht="17.100000000000001" customHeight="1" thickTop="1">
      <c r="A6044" s="109" t="s">
        <v>17552</v>
      </c>
      <c r="B6044" s="28">
        <v>46063</v>
      </c>
      <c r="C6044" s="25">
        <v>806</v>
      </c>
      <c r="D6044" s="13" t="s">
        <v>1776</v>
      </c>
      <c r="E6044" s="111"/>
      <c r="F6044" s="113" t="s">
        <v>17569</v>
      </c>
      <c r="G6044" s="114"/>
      <c r="H6044" s="115"/>
      <c r="I6044" s="24"/>
      <c r="J6044" s="116">
        <v>4.5</v>
      </c>
      <c r="K6044" s="118">
        <v>238000</v>
      </c>
      <c r="L6044" s="119"/>
      <c r="M6044" s="118">
        <f t="shared" ref="M6044" si="8021">K6044*0.1</f>
        <v>23800</v>
      </c>
      <c r="N6044" s="119"/>
      <c r="O6044" s="118">
        <v>0</v>
      </c>
      <c r="P6044" s="119"/>
      <c r="Q6044" s="118">
        <v>17700</v>
      </c>
      <c r="R6044" s="119"/>
      <c r="S6044" s="118">
        <v>15950</v>
      </c>
      <c r="T6044" s="119"/>
      <c r="U6044" s="118">
        <f t="shared" ref="U6044" si="8022">SUM(K6044:T6045)</f>
        <v>295450</v>
      </c>
      <c r="V6044" s="122"/>
      <c r="W6044" s="124"/>
      <c r="X6044" s="126" t="s">
        <v>18133</v>
      </c>
      <c r="Y6044" s="127"/>
      <c r="Z6044" s="127"/>
      <c r="AA6044" s="127"/>
      <c r="AB6044" s="128"/>
      <c r="AC6044" s="15" t="s">
        <v>20</v>
      </c>
      <c r="AD6044" s="129"/>
      <c r="AE6044" s="130"/>
      <c r="AF6044" s="130"/>
      <c r="AG6044" s="130"/>
      <c r="AH6044" s="130"/>
      <c r="AI6044" s="131"/>
      <c r="AJ6044" s="132"/>
      <c r="AK6044" s="127"/>
      <c r="AL6044" s="128"/>
      <c r="AM6044" s="21"/>
      <c r="AN6044" s="133">
        <v>46074</v>
      </c>
      <c r="AO6044" s="134"/>
      <c r="AP6044" s="135">
        <v>1289</v>
      </c>
      <c r="AQ6044" s="136"/>
      <c r="AR6044" s="118">
        <v>420000</v>
      </c>
      <c r="AS6044" s="119"/>
      <c r="AT6044" s="118">
        <f t="shared" ref="AT6044" si="8023">AR6044*0.1</f>
        <v>42000</v>
      </c>
      <c r="AU6044" s="119"/>
      <c r="AV6044" s="118">
        <v>17700</v>
      </c>
      <c r="AW6044" s="119"/>
      <c r="AX6044" s="118">
        <f t="shared" ref="AX6044" si="8024">SUM(AR6044:AW6044)</f>
        <v>479700</v>
      </c>
      <c r="AY6044" s="119"/>
      <c r="AZ6044" s="137">
        <v>46079</v>
      </c>
    </row>
    <row r="6045" spans="1:52" ht="17.100000000000001" customHeight="1" thickBot="1">
      <c r="A6045" s="110"/>
      <c r="B6045" s="27" t="s">
        <v>3367</v>
      </c>
      <c r="C6045" s="27">
        <v>5005</v>
      </c>
      <c r="D6045" s="14" t="s">
        <v>904</v>
      </c>
      <c r="E6045" s="112"/>
      <c r="F6045" s="139" t="s">
        <v>17583</v>
      </c>
      <c r="G6045" s="140"/>
      <c r="H6045" s="141"/>
      <c r="I6045" s="26">
        <v>38040</v>
      </c>
      <c r="J6045" s="117"/>
      <c r="K6045" s="120"/>
      <c r="L6045" s="121"/>
      <c r="M6045" s="120"/>
      <c r="N6045" s="121"/>
      <c r="O6045" s="120"/>
      <c r="P6045" s="121"/>
      <c r="Q6045" s="120"/>
      <c r="R6045" s="121"/>
      <c r="S6045" s="120"/>
      <c r="T6045" s="121"/>
      <c r="U6045" s="120"/>
      <c r="V6045" s="123"/>
      <c r="W6045" s="125"/>
      <c r="X6045" s="142" t="s">
        <v>3369</v>
      </c>
      <c r="Y6045" s="143"/>
      <c r="Z6045" s="143"/>
      <c r="AA6045" s="143"/>
      <c r="AB6045" s="144"/>
      <c r="AC6045" s="16" t="s">
        <v>21</v>
      </c>
      <c r="AD6045" s="17" t="s">
        <v>1877</v>
      </c>
      <c r="AE6045" s="145" t="s">
        <v>9450</v>
      </c>
      <c r="AF6045" s="146"/>
      <c r="AG6045" s="146"/>
      <c r="AH6045" s="146"/>
      <c r="AI6045" s="147"/>
      <c r="AJ6045" s="148"/>
      <c r="AK6045" s="143"/>
      <c r="AL6045" s="144"/>
      <c r="AM6045" s="22"/>
      <c r="AN6045" s="149" t="s">
        <v>6748</v>
      </c>
      <c r="AO6045" s="144"/>
      <c r="AP6045" s="148">
        <v>80073</v>
      </c>
      <c r="AQ6045" s="144"/>
      <c r="AR6045" s="120"/>
      <c r="AS6045" s="121"/>
      <c r="AT6045" s="120"/>
      <c r="AU6045" s="121"/>
      <c r="AV6045" s="120"/>
      <c r="AW6045" s="121"/>
      <c r="AX6045" s="120"/>
      <c r="AY6045" s="121"/>
      <c r="AZ6045" s="138"/>
    </row>
    <row r="6046" spans="1:52" ht="17.100000000000001" customHeight="1" thickTop="1">
      <c r="A6046" s="109" t="s">
        <v>17553</v>
      </c>
      <c r="B6046" s="28">
        <v>46063</v>
      </c>
      <c r="C6046" s="25">
        <v>926</v>
      </c>
      <c r="D6046" s="13" t="s">
        <v>1586</v>
      </c>
      <c r="E6046" s="111"/>
      <c r="F6046" s="113" t="s">
        <v>17570</v>
      </c>
      <c r="G6046" s="114"/>
      <c r="H6046" s="115"/>
      <c r="I6046" s="24"/>
      <c r="J6046" s="116">
        <v>4</v>
      </c>
      <c r="K6046" s="118">
        <v>1126000</v>
      </c>
      <c r="L6046" s="119"/>
      <c r="M6046" s="118">
        <f t="shared" ref="M6046" si="8025">K6046*0.1</f>
        <v>112600</v>
      </c>
      <c r="N6046" s="119"/>
      <c r="O6046" s="118">
        <v>0</v>
      </c>
      <c r="P6046" s="119"/>
      <c r="Q6046" s="118">
        <v>9200</v>
      </c>
      <c r="R6046" s="119"/>
      <c r="S6046" s="118">
        <v>15950</v>
      </c>
      <c r="T6046" s="119"/>
      <c r="U6046" s="118">
        <f t="shared" ref="U6046" si="8026">SUM(K6046:T6047)</f>
        <v>1263750</v>
      </c>
      <c r="V6046" s="122"/>
      <c r="W6046" s="124"/>
      <c r="X6046" s="126" t="s">
        <v>18152</v>
      </c>
      <c r="Y6046" s="127"/>
      <c r="Z6046" s="127"/>
      <c r="AA6046" s="127"/>
      <c r="AB6046" s="128"/>
      <c r="AC6046" s="15" t="s">
        <v>20</v>
      </c>
      <c r="AD6046" s="129"/>
      <c r="AE6046" s="130"/>
      <c r="AF6046" s="130"/>
      <c r="AG6046" s="130"/>
      <c r="AH6046" s="130"/>
      <c r="AI6046" s="131"/>
      <c r="AJ6046" s="132"/>
      <c r="AK6046" s="127"/>
      <c r="AL6046" s="128"/>
      <c r="AM6046" s="21"/>
      <c r="AN6046" s="133">
        <v>46067</v>
      </c>
      <c r="AO6046" s="134"/>
      <c r="AP6046" s="135">
        <v>1288</v>
      </c>
      <c r="AQ6046" s="136"/>
      <c r="AR6046" s="118">
        <v>1250000</v>
      </c>
      <c r="AS6046" s="119"/>
      <c r="AT6046" s="118">
        <f t="shared" ref="AT6046" si="8027">AR6046*0.1</f>
        <v>125000</v>
      </c>
      <c r="AU6046" s="119"/>
      <c r="AV6046" s="118">
        <v>9200</v>
      </c>
      <c r="AW6046" s="119"/>
      <c r="AX6046" s="118">
        <f t="shared" ref="AX6046" si="8028">SUM(AR6046:AW6046)</f>
        <v>1384200</v>
      </c>
      <c r="AY6046" s="119"/>
      <c r="AZ6046" s="137">
        <v>46073</v>
      </c>
    </row>
    <row r="6047" spans="1:52" ht="17.100000000000001" customHeight="1" thickBot="1">
      <c r="A6047" s="110"/>
      <c r="B6047" s="27" t="s">
        <v>2699</v>
      </c>
      <c r="C6047" s="27">
        <v>3087</v>
      </c>
      <c r="D6047" s="14" t="s">
        <v>275</v>
      </c>
      <c r="E6047" s="112"/>
      <c r="F6047" s="139" t="s">
        <v>17571</v>
      </c>
      <c r="G6047" s="140"/>
      <c r="H6047" s="141"/>
      <c r="I6047" s="26">
        <v>30678</v>
      </c>
      <c r="J6047" s="117"/>
      <c r="K6047" s="120"/>
      <c r="L6047" s="121"/>
      <c r="M6047" s="120"/>
      <c r="N6047" s="121"/>
      <c r="O6047" s="120"/>
      <c r="P6047" s="121"/>
      <c r="Q6047" s="120"/>
      <c r="R6047" s="121"/>
      <c r="S6047" s="120"/>
      <c r="T6047" s="121"/>
      <c r="U6047" s="120"/>
      <c r="V6047" s="123"/>
      <c r="W6047" s="125"/>
      <c r="X6047" s="142" t="s">
        <v>18153</v>
      </c>
      <c r="Y6047" s="143"/>
      <c r="Z6047" s="143"/>
      <c r="AA6047" s="143"/>
      <c r="AB6047" s="144"/>
      <c r="AC6047" s="16" t="s">
        <v>21</v>
      </c>
      <c r="AD6047" s="17" t="s">
        <v>1877</v>
      </c>
      <c r="AE6047" s="145" t="s">
        <v>18028</v>
      </c>
      <c r="AF6047" s="146"/>
      <c r="AG6047" s="146"/>
      <c r="AH6047" s="146"/>
      <c r="AI6047" s="147"/>
      <c r="AJ6047" s="148"/>
      <c r="AK6047" s="143"/>
      <c r="AL6047" s="144"/>
      <c r="AM6047" s="22"/>
      <c r="AN6047" s="149" t="s">
        <v>6748</v>
      </c>
      <c r="AO6047" s="144"/>
      <c r="AP6047" s="148">
        <v>60427</v>
      </c>
      <c r="AQ6047" s="144"/>
      <c r="AR6047" s="120"/>
      <c r="AS6047" s="121"/>
      <c r="AT6047" s="120"/>
      <c r="AU6047" s="121"/>
      <c r="AV6047" s="120"/>
      <c r="AW6047" s="121"/>
      <c r="AX6047" s="120"/>
      <c r="AY6047" s="121"/>
      <c r="AZ6047" s="138"/>
    </row>
    <row r="6048" spans="1:52" ht="17.100000000000001" customHeight="1" thickTop="1">
      <c r="A6048" s="109" t="s">
        <v>17554</v>
      </c>
      <c r="B6048" s="28">
        <v>46063</v>
      </c>
      <c r="C6048" s="25">
        <v>926</v>
      </c>
      <c r="D6048" s="13" t="s">
        <v>2036</v>
      </c>
      <c r="E6048" s="111"/>
      <c r="F6048" s="113" t="s">
        <v>16844</v>
      </c>
      <c r="G6048" s="114"/>
      <c r="H6048" s="115"/>
      <c r="I6048" s="24" t="s">
        <v>1547</v>
      </c>
      <c r="J6048" s="116">
        <v>4</v>
      </c>
      <c r="K6048" s="118">
        <v>799000</v>
      </c>
      <c r="L6048" s="119"/>
      <c r="M6048" s="118">
        <f t="shared" ref="M6048" si="8029">K6048*0.1</f>
        <v>79900</v>
      </c>
      <c r="N6048" s="119"/>
      <c r="O6048" s="118">
        <v>0</v>
      </c>
      <c r="P6048" s="119"/>
      <c r="Q6048" s="118">
        <v>6470</v>
      </c>
      <c r="R6048" s="119"/>
      <c r="S6048" s="118">
        <v>15950</v>
      </c>
      <c r="T6048" s="119"/>
      <c r="U6048" s="118">
        <f t="shared" ref="U6048" si="8030">SUM(K6048:T6049)</f>
        <v>901320</v>
      </c>
      <c r="V6048" s="122"/>
      <c r="W6048" s="124"/>
      <c r="X6048" s="126" t="s">
        <v>17584</v>
      </c>
      <c r="Y6048" s="127"/>
      <c r="Z6048" s="127"/>
      <c r="AA6048" s="127"/>
      <c r="AB6048" s="128"/>
      <c r="AC6048" s="15" t="s">
        <v>20</v>
      </c>
      <c r="AD6048" s="129" t="s">
        <v>3485</v>
      </c>
      <c r="AE6048" s="130"/>
      <c r="AF6048" s="130"/>
      <c r="AG6048" s="130"/>
      <c r="AH6048" s="130"/>
      <c r="AI6048" s="131"/>
      <c r="AJ6048" s="132"/>
      <c r="AK6048" s="127"/>
      <c r="AL6048" s="128"/>
      <c r="AM6048" s="21"/>
      <c r="AN6048" s="133">
        <v>46074</v>
      </c>
      <c r="AO6048" s="134"/>
      <c r="AP6048" s="135">
        <v>1289</v>
      </c>
      <c r="AQ6048" s="136"/>
      <c r="AR6048" s="118">
        <v>835000</v>
      </c>
      <c r="AS6048" s="119"/>
      <c r="AT6048" s="118">
        <f t="shared" ref="AT6048" si="8031">AR6048*0.1</f>
        <v>83500</v>
      </c>
      <c r="AU6048" s="119"/>
      <c r="AV6048" s="118">
        <v>6470</v>
      </c>
      <c r="AW6048" s="119"/>
      <c r="AX6048" s="118">
        <f t="shared" ref="AX6048" si="8032">SUM(AR6048:AW6048)</f>
        <v>924970</v>
      </c>
      <c r="AY6048" s="119"/>
      <c r="AZ6048" s="137">
        <v>46077</v>
      </c>
    </row>
    <row r="6049" spans="1:52" ht="17.100000000000001" customHeight="1" thickBot="1">
      <c r="A6049" s="110"/>
      <c r="B6049" s="27" t="s">
        <v>2699</v>
      </c>
      <c r="C6049" s="27">
        <v>3127</v>
      </c>
      <c r="D6049" s="14" t="s">
        <v>1720</v>
      </c>
      <c r="E6049" s="112"/>
      <c r="F6049" s="139" t="s">
        <v>17572</v>
      </c>
      <c r="G6049" s="140"/>
      <c r="H6049" s="141"/>
      <c r="I6049" s="26">
        <v>47863</v>
      </c>
      <c r="J6049" s="117"/>
      <c r="K6049" s="120"/>
      <c r="L6049" s="121"/>
      <c r="M6049" s="120"/>
      <c r="N6049" s="121"/>
      <c r="O6049" s="120"/>
      <c r="P6049" s="121"/>
      <c r="Q6049" s="120"/>
      <c r="R6049" s="121"/>
      <c r="S6049" s="120"/>
      <c r="T6049" s="121"/>
      <c r="U6049" s="120"/>
      <c r="V6049" s="123"/>
      <c r="W6049" s="125"/>
      <c r="X6049" s="142" t="s">
        <v>15395</v>
      </c>
      <c r="Y6049" s="143"/>
      <c r="Z6049" s="143"/>
      <c r="AA6049" s="143"/>
      <c r="AB6049" s="144"/>
      <c r="AC6049" s="16" t="s">
        <v>21</v>
      </c>
      <c r="AD6049" s="17" t="s">
        <v>1877</v>
      </c>
      <c r="AE6049" s="145" t="s">
        <v>9853</v>
      </c>
      <c r="AF6049" s="146"/>
      <c r="AG6049" s="146"/>
      <c r="AH6049" s="146"/>
      <c r="AI6049" s="147"/>
      <c r="AJ6049" s="148"/>
      <c r="AK6049" s="143"/>
      <c r="AL6049" s="144"/>
      <c r="AM6049" s="22"/>
      <c r="AN6049" s="149" t="s">
        <v>2511</v>
      </c>
      <c r="AO6049" s="144"/>
      <c r="AP6049" s="148">
        <v>60105</v>
      </c>
      <c r="AQ6049" s="144"/>
      <c r="AR6049" s="120"/>
      <c r="AS6049" s="121"/>
      <c r="AT6049" s="120"/>
      <c r="AU6049" s="121"/>
      <c r="AV6049" s="120"/>
      <c r="AW6049" s="121"/>
      <c r="AX6049" s="120"/>
      <c r="AY6049" s="121"/>
      <c r="AZ6049" s="138"/>
    </row>
    <row r="6050" spans="1:52" ht="17.100000000000001" customHeight="1" thickTop="1">
      <c r="A6050" s="109" t="s">
        <v>17555</v>
      </c>
      <c r="B6050" s="28">
        <v>46063</v>
      </c>
      <c r="C6050" s="25">
        <v>926</v>
      </c>
      <c r="D6050" s="13" t="s">
        <v>2036</v>
      </c>
      <c r="E6050" s="111"/>
      <c r="F6050" s="113" t="s">
        <v>16844</v>
      </c>
      <c r="G6050" s="114"/>
      <c r="H6050" s="115"/>
      <c r="I6050" s="24"/>
      <c r="J6050" s="116">
        <v>4</v>
      </c>
      <c r="K6050" s="118">
        <v>706000</v>
      </c>
      <c r="L6050" s="119"/>
      <c r="M6050" s="118">
        <f t="shared" ref="M6050" si="8033">K6050*0.1</f>
        <v>70600</v>
      </c>
      <c r="N6050" s="119"/>
      <c r="O6050" s="118">
        <v>0</v>
      </c>
      <c r="P6050" s="119"/>
      <c r="Q6050" s="118">
        <v>6470</v>
      </c>
      <c r="R6050" s="119"/>
      <c r="S6050" s="118">
        <v>15950</v>
      </c>
      <c r="T6050" s="119"/>
      <c r="U6050" s="118">
        <f t="shared" ref="U6050" si="8034">SUM(K6050:T6051)</f>
        <v>799020</v>
      </c>
      <c r="V6050" s="122"/>
      <c r="W6050" s="124"/>
      <c r="X6050" s="126" t="s">
        <v>18151</v>
      </c>
      <c r="Y6050" s="127"/>
      <c r="Z6050" s="127"/>
      <c r="AA6050" s="127"/>
      <c r="AB6050" s="128"/>
      <c r="AC6050" s="15" t="s">
        <v>20</v>
      </c>
      <c r="AD6050" s="129" t="s">
        <v>3485</v>
      </c>
      <c r="AE6050" s="130"/>
      <c r="AF6050" s="130"/>
      <c r="AG6050" s="130"/>
      <c r="AH6050" s="130"/>
      <c r="AI6050" s="131"/>
      <c r="AJ6050" s="132"/>
      <c r="AK6050" s="127"/>
      <c r="AL6050" s="128"/>
      <c r="AM6050" s="21"/>
      <c r="AN6050" s="133">
        <v>46099</v>
      </c>
      <c r="AO6050" s="134"/>
      <c r="AP6050" s="135">
        <v>1009</v>
      </c>
      <c r="AQ6050" s="136"/>
      <c r="AR6050" s="118">
        <v>715000</v>
      </c>
      <c r="AS6050" s="119"/>
      <c r="AT6050" s="118">
        <f t="shared" ref="AT6050" si="8035">AR6050*0.1</f>
        <v>71500</v>
      </c>
      <c r="AU6050" s="119"/>
      <c r="AV6050" s="118">
        <v>6470</v>
      </c>
      <c r="AW6050" s="119"/>
      <c r="AX6050" s="118">
        <f t="shared" ref="AX6050" si="8036">SUM(AR6050:AW6050)</f>
        <v>792970</v>
      </c>
      <c r="AY6050" s="119"/>
      <c r="AZ6050" s="137">
        <v>46105</v>
      </c>
    </row>
    <row r="6051" spans="1:52" ht="17.100000000000001" customHeight="1" thickBot="1">
      <c r="A6051" s="110"/>
      <c r="B6051" s="27" t="s">
        <v>2699</v>
      </c>
      <c r="C6051" s="27">
        <v>3129</v>
      </c>
      <c r="D6051" s="14" t="s">
        <v>275</v>
      </c>
      <c r="E6051" s="112"/>
      <c r="F6051" s="139" t="s">
        <v>17573</v>
      </c>
      <c r="G6051" s="140"/>
      <c r="H6051" s="141"/>
      <c r="I6051" s="26">
        <v>57898</v>
      </c>
      <c r="J6051" s="117"/>
      <c r="K6051" s="120"/>
      <c r="L6051" s="121"/>
      <c r="M6051" s="120"/>
      <c r="N6051" s="121"/>
      <c r="O6051" s="120"/>
      <c r="P6051" s="121"/>
      <c r="Q6051" s="120"/>
      <c r="R6051" s="121"/>
      <c r="S6051" s="120"/>
      <c r="T6051" s="121"/>
      <c r="U6051" s="120"/>
      <c r="V6051" s="123"/>
      <c r="W6051" s="125"/>
      <c r="X6051" s="142" t="s">
        <v>15395</v>
      </c>
      <c r="Y6051" s="143"/>
      <c r="Z6051" s="143"/>
      <c r="AA6051" s="143"/>
      <c r="AB6051" s="144"/>
      <c r="AC6051" s="16" t="s">
        <v>21</v>
      </c>
      <c r="AD6051" s="17" t="s">
        <v>1877</v>
      </c>
      <c r="AE6051" s="145" t="s">
        <v>3485</v>
      </c>
      <c r="AF6051" s="146"/>
      <c r="AG6051" s="146"/>
      <c r="AH6051" s="146"/>
      <c r="AI6051" s="147"/>
      <c r="AJ6051" s="148"/>
      <c r="AK6051" s="143"/>
      <c r="AL6051" s="144"/>
      <c r="AM6051" s="22"/>
      <c r="AN6051" s="149" t="s">
        <v>2794</v>
      </c>
      <c r="AO6051" s="144"/>
      <c r="AP6051" s="148">
        <v>2042</v>
      </c>
      <c r="AQ6051" s="144"/>
      <c r="AR6051" s="120"/>
      <c r="AS6051" s="121"/>
      <c r="AT6051" s="120"/>
      <c r="AU6051" s="121"/>
      <c r="AV6051" s="120"/>
      <c r="AW6051" s="121"/>
      <c r="AX6051" s="120"/>
      <c r="AY6051" s="121"/>
      <c r="AZ6051" s="138"/>
    </row>
    <row r="6052" spans="1:52" ht="17.100000000000001" customHeight="1" thickTop="1">
      <c r="A6052" s="109" t="s">
        <v>17556</v>
      </c>
      <c r="B6052" s="28">
        <v>46063</v>
      </c>
      <c r="C6052" s="25">
        <v>926</v>
      </c>
      <c r="D6052" s="13" t="s">
        <v>1977</v>
      </c>
      <c r="E6052" s="111"/>
      <c r="F6052" s="113" t="s">
        <v>17574</v>
      </c>
      <c r="G6052" s="114"/>
      <c r="H6052" s="115"/>
      <c r="I6052" s="24"/>
      <c r="J6052" s="116">
        <v>4.5</v>
      </c>
      <c r="K6052" s="118">
        <v>1459000</v>
      </c>
      <c r="L6052" s="119"/>
      <c r="M6052" s="118">
        <f t="shared" ref="M6052" si="8037">K6052*0.1</f>
        <v>145900</v>
      </c>
      <c r="N6052" s="119"/>
      <c r="O6052" s="118">
        <v>0</v>
      </c>
      <c r="P6052" s="119"/>
      <c r="Q6052" s="118">
        <v>19090</v>
      </c>
      <c r="R6052" s="119"/>
      <c r="S6052" s="118">
        <v>15950</v>
      </c>
      <c r="T6052" s="119"/>
      <c r="U6052" s="118">
        <f t="shared" ref="U6052" si="8038">SUM(K6052:T6053)</f>
        <v>1639940</v>
      </c>
      <c r="V6052" s="122"/>
      <c r="W6052" s="124"/>
      <c r="X6052" s="126" t="s">
        <v>18125</v>
      </c>
      <c r="Y6052" s="127"/>
      <c r="Z6052" s="127"/>
      <c r="AA6052" s="127"/>
      <c r="AB6052" s="128"/>
      <c r="AC6052" s="15" t="s">
        <v>20</v>
      </c>
      <c r="AD6052" s="129"/>
      <c r="AE6052" s="130"/>
      <c r="AF6052" s="130"/>
      <c r="AG6052" s="130"/>
      <c r="AH6052" s="130"/>
      <c r="AI6052" s="131"/>
      <c r="AJ6052" s="132"/>
      <c r="AK6052" s="127"/>
      <c r="AL6052" s="128"/>
      <c r="AM6052" s="21"/>
      <c r="AN6052" s="133">
        <v>46067</v>
      </c>
      <c r="AO6052" s="134"/>
      <c r="AP6052" s="135">
        <v>1288</v>
      </c>
      <c r="AQ6052" s="136"/>
      <c r="AR6052" s="118">
        <v>1650000</v>
      </c>
      <c r="AS6052" s="119"/>
      <c r="AT6052" s="118">
        <f t="shared" ref="AT6052" si="8039">AR6052*0.1</f>
        <v>165000</v>
      </c>
      <c r="AU6052" s="119"/>
      <c r="AV6052" s="118">
        <v>19090</v>
      </c>
      <c r="AW6052" s="119"/>
      <c r="AX6052" s="118">
        <f t="shared" ref="AX6052" si="8040">SUM(AR6052:AW6052)</f>
        <v>1834090</v>
      </c>
      <c r="AY6052" s="119"/>
      <c r="AZ6052" s="137">
        <v>46072</v>
      </c>
    </row>
    <row r="6053" spans="1:52" ht="17.100000000000001" customHeight="1" thickBot="1">
      <c r="A6053" s="110"/>
      <c r="B6053" s="27" t="s">
        <v>2699</v>
      </c>
      <c r="C6053" s="27">
        <v>50076</v>
      </c>
      <c r="D6053" s="14" t="s">
        <v>1592</v>
      </c>
      <c r="E6053" s="112"/>
      <c r="F6053" s="139" t="s">
        <v>17585</v>
      </c>
      <c r="G6053" s="140"/>
      <c r="H6053" s="141"/>
      <c r="I6053" s="26">
        <v>47717</v>
      </c>
      <c r="J6053" s="117"/>
      <c r="K6053" s="120"/>
      <c r="L6053" s="121"/>
      <c r="M6053" s="120"/>
      <c r="N6053" s="121"/>
      <c r="O6053" s="120"/>
      <c r="P6053" s="121"/>
      <c r="Q6053" s="120"/>
      <c r="R6053" s="121"/>
      <c r="S6053" s="120"/>
      <c r="T6053" s="121"/>
      <c r="U6053" s="120"/>
      <c r="V6053" s="123"/>
      <c r="W6053" s="125"/>
      <c r="X6053" s="142" t="s">
        <v>13331</v>
      </c>
      <c r="Y6053" s="143"/>
      <c r="Z6053" s="143"/>
      <c r="AA6053" s="143"/>
      <c r="AB6053" s="144"/>
      <c r="AC6053" s="16" t="s">
        <v>21</v>
      </c>
      <c r="AD6053" s="17" t="s">
        <v>1877</v>
      </c>
      <c r="AE6053" s="145" t="s">
        <v>3624</v>
      </c>
      <c r="AF6053" s="146"/>
      <c r="AG6053" s="146"/>
      <c r="AH6053" s="146"/>
      <c r="AI6053" s="147"/>
      <c r="AJ6053" s="148"/>
      <c r="AK6053" s="143"/>
      <c r="AL6053" s="144"/>
      <c r="AM6053" s="22"/>
      <c r="AN6053" s="149" t="s">
        <v>2511</v>
      </c>
      <c r="AO6053" s="144"/>
      <c r="AP6053" s="148">
        <v>80370</v>
      </c>
      <c r="AQ6053" s="144"/>
      <c r="AR6053" s="120"/>
      <c r="AS6053" s="121"/>
      <c r="AT6053" s="120"/>
      <c r="AU6053" s="121"/>
      <c r="AV6053" s="120"/>
      <c r="AW6053" s="121"/>
      <c r="AX6053" s="120"/>
      <c r="AY6053" s="121"/>
      <c r="AZ6053" s="138"/>
    </row>
    <row r="6054" spans="1:52" ht="17.100000000000001" customHeight="1" thickTop="1">
      <c r="A6054" s="109" t="s">
        <v>17557</v>
      </c>
      <c r="B6054" s="28">
        <v>46063</v>
      </c>
      <c r="C6054" s="25">
        <v>1227</v>
      </c>
      <c r="D6054" s="13" t="s">
        <v>2465</v>
      </c>
      <c r="E6054" s="111"/>
      <c r="F6054" s="113" t="s">
        <v>8591</v>
      </c>
      <c r="G6054" s="114"/>
      <c r="H6054" s="115"/>
      <c r="I6054" s="24"/>
      <c r="J6054" s="116">
        <v>4</v>
      </c>
      <c r="K6054" s="118">
        <v>1208000</v>
      </c>
      <c r="L6054" s="119"/>
      <c r="M6054" s="118">
        <f t="shared" ref="M6054" si="8041">K6054*0.1</f>
        <v>120800</v>
      </c>
      <c r="N6054" s="119"/>
      <c r="O6054" s="118">
        <v>0</v>
      </c>
      <c r="P6054" s="119"/>
      <c r="Q6054" s="118">
        <v>11740</v>
      </c>
      <c r="R6054" s="119"/>
      <c r="S6054" s="118">
        <v>15950</v>
      </c>
      <c r="T6054" s="119"/>
      <c r="U6054" s="118">
        <f t="shared" ref="U6054" si="8042">SUM(K6054:T6055)</f>
        <v>1356490</v>
      </c>
      <c r="V6054" s="122"/>
      <c r="W6054" s="124"/>
      <c r="X6054" s="126" t="s">
        <v>18134</v>
      </c>
      <c r="Y6054" s="127"/>
      <c r="Z6054" s="127"/>
      <c r="AA6054" s="127"/>
      <c r="AB6054" s="128"/>
      <c r="AC6054" s="15" t="s">
        <v>20</v>
      </c>
      <c r="AD6054" s="129"/>
      <c r="AE6054" s="130"/>
      <c r="AF6054" s="130"/>
      <c r="AG6054" s="130"/>
      <c r="AH6054" s="130"/>
      <c r="AI6054" s="131"/>
      <c r="AJ6054" s="132"/>
      <c r="AK6054" s="127"/>
      <c r="AL6054" s="128"/>
      <c r="AM6054" s="21"/>
      <c r="AN6054" s="133">
        <v>46074</v>
      </c>
      <c r="AO6054" s="134"/>
      <c r="AP6054" s="135">
        <v>1289</v>
      </c>
      <c r="AQ6054" s="136"/>
      <c r="AR6054" s="118">
        <v>1380000</v>
      </c>
      <c r="AS6054" s="119"/>
      <c r="AT6054" s="118">
        <f t="shared" ref="AT6054" si="8043">AR6054*0.1</f>
        <v>138000</v>
      </c>
      <c r="AU6054" s="119"/>
      <c r="AV6054" s="118">
        <v>11740</v>
      </c>
      <c r="AW6054" s="119"/>
      <c r="AX6054" s="118">
        <f t="shared" ref="AX6054" si="8044">SUM(AR6054:AW6054)</f>
        <v>1529740</v>
      </c>
      <c r="AY6054" s="119"/>
      <c r="AZ6054" s="137">
        <v>46077</v>
      </c>
    </row>
    <row r="6055" spans="1:52" ht="17.100000000000001" customHeight="1" thickBot="1">
      <c r="A6055" s="110"/>
      <c r="B6055" s="27" t="s">
        <v>2379</v>
      </c>
      <c r="C6055" s="27">
        <v>32029</v>
      </c>
      <c r="D6055" s="14" t="s">
        <v>1592</v>
      </c>
      <c r="E6055" s="112"/>
      <c r="F6055" s="139" t="s">
        <v>17586</v>
      </c>
      <c r="G6055" s="140"/>
      <c r="H6055" s="141"/>
      <c r="I6055" s="26">
        <v>65393</v>
      </c>
      <c r="J6055" s="117"/>
      <c r="K6055" s="120"/>
      <c r="L6055" s="121"/>
      <c r="M6055" s="120"/>
      <c r="N6055" s="121"/>
      <c r="O6055" s="120"/>
      <c r="P6055" s="121"/>
      <c r="Q6055" s="120"/>
      <c r="R6055" s="121"/>
      <c r="S6055" s="120"/>
      <c r="T6055" s="121"/>
      <c r="U6055" s="120"/>
      <c r="V6055" s="123"/>
      <c r="W6055" s="125"/>
      <c r="X6055" s="142" t="s">
        <v>10414</v>
      </c>
      <c r="Y6055" s="143"/>
      <c r="Z6055" s="143"/>
      <c r="AA6055" s="143"/>
      <c r="AB6055" s="144"/>
      <c r="AC6055" s="16" t="s">
        <v>21</v>
      </c>
      <c r="AD6055" s="17" t="s">
        <v>1877</v>
      </c>
      <c r="AE6055" s="145" t="s">
        <v>13447</v>
      </c>
      <c r="AF6055" s="146"/>
      <c r="AG6055" s="146"/>
      <c r="AH6055" s="146"/>
      <c r="AI6055" s="147"/>
      <c r="AJ6055" s="148"/>
      <c r="AK6055" s="143"/>
      <c r="AL6055" s="144"/>
      <c r="AM6055" s="22"/>
      <c r="AN6055" s="149" t="s">
        <v>2511</v>
      </c>
      <c r="AO6055" s="144"/>
      <c r="AP6055" s="148">
        <v>80008</v>
      </c>
      <c r="AQ6055" s="144"/>
      <c r="AR6055" s="120"/>
      <c r="AS6055" s="121"/>
      <c r="AT6055" s="120"/>
      <c r="AU6055" s="121"/>
      <c r="AV6055" s="120"/>
      <c r="AW6055" s="121"/>
      <c r="AX6055" s="120"/>
      <c r="AY6055" s="121"/>
      <c r="AZ6055" s="138"/>
    </row>
    <row r="6056" spans="1:52" ht="17.100000000000001" customHeight="1" thickTop="1">
      <c r="A6056" s="109" t="s">
        <v>17558</v>
      </c>
      <c r="B6056" s="28">
        <v>46063</v>
      </c>
      <c r="C6056" s="25">
        <v>1227</v>
      </c>
      <c r="D6056" s="13" t="s">
        <v>3322</v>
      </c>
      <c r="E6056" s="111"/>
      <c r="F6056" s="113" t="s">
        <v>17575</v>
      </c>
      <c r="G6056" s="114"/>
      <c r="H6056" s="115"/>
      <c r="I6056" s="24"/>
      <c r="J6056" s="116">
        <v>4</v>
      </c>
      <c r="K6056" s="118">
        <v>744000</v>
      </c>
      <c r="L6056" s="119"/>
      <c r="M6056" s="118">
        <f t="shared" ref="M6056" si="8045">K6056*0.1</f>
        <v>74400</v>
      </c>
      <c r="N6056" s="119"/>
      <c r="O6056" s="118">
        <v>0</v>
      </c>
      <c r="P6056" s="119"/>
      <c r="Q6056" s="118">
        <v>7440</v>
      </c>
      <c r="R6056" s="119"/>
      <c r="S6056" s="118">
        <v>15950</v>
      </c>
      <c r="T6056" s="119"/>
      <c r="U6056" s="118">
        <f t="shared" ref="U6056" si="8046">SUM(K6056:T6057)</f>
        <v>841790</v>
      </c>
      <c r="V6056" s="122"/>
      <c r="W6056" s="124"/>
      <c r="X6056" s="126" t="s">
        <v>18127</v>
      </c>
      <c r="Y6056" s="127"/>
      <c r="Z6056" s="127"/>
      <c r="AA6056" s="127"/>
      <c r="AB6056" s="128"/>
      <c r="AC6056" s="15" t="s">
        <v>20</v>
      </c>
      <c r="AD6056" s="129" t="s">
        <v>3485</v>
      </c>
      <c r="AE6056" s="130"/>
      <c r="AF6056" s="130"/>
      <c r="AG6056" s="130"/>
      <c r="AH6056" s="130"/>
      <c r="AI6056" s="131"/>
      <c r="AJ6056" s="132"/>
      <c r="AK6056" s="127"/>
      <c r="AL6056" s="128"/>
      <c r="AM6056" s="21"/>
      <c r="AN6056" s="133">
        <v>46067</v>
      </c>
      <c r="AO6056" s="134"/>
      <c r="AP6056" s="135">
        <v>1288</v>
      </c>
      <c r="AQ6056" s="136"/>
      <c r="AR6056" s="118">
        <v>960000</v>
      </c>
      <c r="AS6056" s="119"/>
      <c r="AT6056" s="118">
        <f t="shared" ref="AT6056" si="8047">AR6056*0.1</f>
        <v>96000</v>
      </c>
      <c r="AU6056" s="119"/>
      <c r="AV6056" s="118">
        <v>7440</v>
      </c>
      <c r="AW6056" s="119"/>
      <c r="AX6056" s="118">
        <f t="shared" ref="AX6056" si="8048">SUM(AR6056:AW6056)</f>
        <v>1063440</v>
      </c>
      <c r="AY6056" s="119"/>
      <c r="AZ6056" s="137">
        <v>46072</v>
      </c>
    </row>
    <row r="6057" spans="1:52" ht="17.100000000000001" customHeight="1" thickBot="1">
      <c r="A6057" s="110"/>
      <c r="B6057" s="27" t="s">
        <v>2379</v>
      </c>
      <c r="C6057" s="27">
        <v>62023</v>
      </c>
      <c r="D6057" s="14" t="s">
        <v>1592</v>
      </c>
      <c r="E6057" s="112"/>
      <c r="F6057" s="139" t="s">
        <v>18126</v>
      </c>
      <c r="G6057" s="140"/>
      <c r="H6057" s="141"/>
      <c r="I6057" s="26">
        <v>35187</v>
      </c>
      <c r="J6057" s="117"/>
      <c r="K6057" s="120"/>
      <c r="L6057" s="121"/>
      <c r="M6057" s="120"/>
      <c r="N6057" s="121"/>
      <c r="O6057" s="120"/>
      <c r="P6057" s="121"/>
      <c r="Q6057" s="120"/>
      <c r="R6057" s="121"/>
      <c r="S6057" s="120"/>
      <c r="T6057" s="121"/>
      <c r="U6057" s="120"/>
      <c r="V6057" s="123"/>
      <c r="W6057" s="125"/>
      <c r="X6057" s="142" t="s">
        <v>15395</v>
      </c>
      <c r="Y6057" s="143"/>
      <c r="Z6057" s="143"/>
      <c r="AA6057" s="143"/>
      <c r="AB6057" s="144"/>
      <c r="AC6057" s="16" t="s">
        <v>21</v>
      </c>
      <c r="AD6057" s="17" t="s">
        <v>1877</v>
      </c>
      <c r="AE6057" s="145"/>
      <c r="AF6057" s="146"/>
      <c r="AG6057" s="146"/>
      <c r="AH6057" s="146"/>
      <c r="AI6057" s="147"/>
      <c r="AJ6057" s="148"/>
      <c r="AK6057" s="143"/>
      <c r="AL6057" s="144"/>
      <c r="AM6057" s="22"/>
      <c r="AN6057" s="149" t="s">
        <v>2511</v>
      </c>
      <c r="AO6057" s="144"/>
      <c r="AP6057" s="148">
        <v>41065</v>
      </c>
      <c r="AQ6057" s="144"/>
      <c r="AR6057" s="120"/>
      <c r="AS6057" s="121"/>
      <c r="AT6057" s="120"/>
      <c r="AU6057" s="121"/>
      <c r="AV6057" s="120"/>
      <c r="AW6057" s="121"/>
      <c r="AX6057" s="120"/>
      <c r="AY6057" s="121"/>
      <c r="AZ6057" s="138"/>
    </row>
    <row r="6058" spans="1:52" ht="17.100000000000001" customHeight="1" thickTop="1">
      <c r="A6058" s="109" t="s">
        <v>17587</v>
      </c>
      <c r="B6058" s="28">
        <v>46063</v>
      </c>
      <c r="C6058" s="25">
        <v>1275</v>
      </c>
      <c r="D6058" s="13" t="s">
        <v>1725</v>
      </c>
      <c r="E6058" s="111"/>
      <c r="F6058" s="113" t="s">
        <v>1871</v>
      </c>
      <c r="G6058" s="114"/>
      <c r="H6058" s="115"/>
      <c r="I6058" s="24"/>
      <c r="J6058" s="116">
        <v>4.5</v>
      </c>
      <c r="K6058" s="118">
        <v>1751000</v>
      </c>
      <c r="L6058" s="119"/>
      <c r="M6058" s="118">
        <f t="shared" ref="M6058" si="8049">K6058*0.1</f>
        <v>175100</v>
      </c>
      <c r="N6058" s="119"/>
      <c r="O6058" s="118">
        <v>0</v>
      </c>
      <c r="P6058" s="119"/>
      <c r="Q6058" s="118">
        <v>17600</v>
      </c>
      <c r="R6058" s="119"/>
      <c r="S6058" s="118">
        <v>18150</v>
      </c>
      <c r="T6058" s="119"/>
      <c r="U6058" s="118">
        <f t="shared" ref="U6058" si="8050">SUM(K6058:T6059)</f>
        <v>1961850</v>
      </c>
      <c r="V6058" s="122"/>
      <c r="W6058" s="124"/>
      <c r="X6058" s="126" t="s">
        <v>18008</v>
      </c>
      <c r="Y6058" s="127"/>
      <c r="Z6058" s="127"/>
      <c r="AA6058" s="127"/>
      <c r="AB6058" s="128"/>
      <c r="AC6058" s="15" t="s">
        <v>20</v>
      </c>
      <c r="AD6058" s="129"/>
      <c r="AE6058" s="130"/>
      <c r="AF6058" s="130"/>
      <c r="AG6058" s="130"/>
      <c r="AH6058" s="130"/>
      <c r="AI6058" s="131"/>
      <c r="AJ6058" s="132"/>
      <c r="AK6058" s="127"/>
      <c r="AL6058" s="128"/>
      <c r="AM6058" s="21"/>
      <c r="AN6058" s="133">
        <v>46081</v>
      </c>
      <c r="AO6058" s="134"/>
      <c r="AP6058" s="135">
        <v>1290</v>
      </c>
      <c r="AQ6058" s="136"/>
      <c r="AR6058" s="118">
        <v>1930000</v>
      </c>
      <c r="AS6058" s="119"/>
      <c r="AT6058" s="118">
        <f t="shared" ref="AT6058" si="8051">AR6058*0.1</f>
        <v>193000</v>
      </c>
      <c r="AU6058" s="119"/>
      <c r="AV6058" s="118">
        <v>17600</v>
      </c>
      <c r="AW6058" s="119"/>
      <c r="AX6058" s="118">
        <f t="shared" ref="AX6058" si="8052">SUM(AR6058:AW6058)</f>
        <v>2140600</v>
      </c>
      <c r="AY6058" s="119"/>
      <c r="AZ6058" s="137">
        <v>46084</v>
      </c>
    </row>
    <row r="6059" spans="1:52" ht="17.100000000000001" customHeight="1" thickBot="1">
      <c r="A6059" s="110"/>
      <c r="B6059" s="27" t="s">
        <v>3600</v>
      </c>
      <c r="C6059" s="27">
        <v>20183</v>
      </c>
      <c r="D6059" s="14" t="s">
        <v>2800</v>
      </c>
      <c r="E6059" s="112"/>
      <c r="F6059" s="139" t="s">
        <v>17607</v>
      </c>
      <c r="G6059" s="140"/>
      <c r="H6059" s="141"/>
      <c r="I6059" s="26">
        <v>24957</v>
      </c>
      <c r="J6059" s="117"/>
      <c r="K6059" s="120"/>
      <c r="L6059" s="121"/>
      <c r="M6059" s="120"/>
      <c r="N6059" s="121"/>
      <c r="O6059" s="120"/>
      <c r="P6059" s="121"/>
      <c r="Q6059" s="120"/>
      <c r="R6059" s="121"/>
      <c r="S6059" s="120"/>
      <c r="T6059" s="121"/>
      <c r="U6059" s="120"/>
      <c r="V6059" s="123"/>
      <c r="W6059" s="125"/>
      <c r="X6059" s="142" t="s">
        <v>10390</v>
      </c>
      <c r="Y6059" s="143"/>
      <c r="Z6059" s="143"/>
      <c r="AA6059" s="143"/>
      <c r="AB6059" s="144"/>
      <c r="AC6059" s="16" t="s">
        <v>21</v>
      </c>
      <c r="AD6059" s="17" t="s">
        <v>3583</v>
      </c>
      <c r="AE6059" s="145"/>
      <c r="AF6059" s="146"/>
      <c r="AG6059" s="146"/>
      <c r="AH6059" s="146"/>
      <c r="AI6059" s="147"/>
      <c r="AJ6059" s="148"/>
      <c r="AK6059" s="143"/>
      <c r="AL6059" s="144"/>
      <c r="AM6059" s="22"/>
      <c r="AN6059" s="149" t="s">
        <v>2511</v>
      </c>
      <c r="AO6059" s="144"/>
      <c r="AP6059" s="148">
        <v>80009</v>
      </c>
      <c r="AQ6059" s="144"/>
      <c r="AR6059" s="120"/>
      <c r="AS6059" s="121"/>
      <c r="AT6059" s="120"/>
      <c r="AU6059" s="121"/>
      <c r="AV6059" s="120"/>
      <c r="AW6059" s="121"/>
      <c r="AX6059" s="120"/>
      <c r="AY6059" s="121"/>
      <c r="AZ6059" s="138"/>
    </row>
    <row r="6060" spans="1:52" ht="17.100000000000001" customHeight="1" thickTop="1">
      <c r="A6060" s="109" t="s">
        <v>17588</v>
      </c>
      <c r="B6060" s="28">
        <v>46063</v>
      </c>
      <c r="C6060" s="25">
        <v>1275</v>
      </c>
      <c r="D6060" s="13" t="s">
        <v>1953</v>
      </c>
      <c r="E6060" s="111"/>
      <c r="F6060" s="113" t="s">
        <v>17589</v>
      </c>
      <c r="G6060" s="114"/>
      <c r="H6060" s="115"/>
      <c r="I6060" s="24"/>
      <c r="J6060" s="116">
        <v>4</v>
      </c>
      <c r="K6060" s="118">
        <v>912000</v>
      </c>
      <c r="L6060" s="119"/>
      <c r="M6060" s="118">
        <f t="shared" ref="M6060" si="8053">K6060*0.1</f>
        <v>91200</v>
      </c>
      <c r="N6060" s="119"/>
      <c r="O6060" s="118">
        <v>0</v>
      </c>
      <c r="P6060" s="119"/>
      <c r="Q6060" s="118">
        <v>18570</v>
      </c>
      <c r="R6060" s="119"/>
      <c r="S6060" s="118">
        <v>18150</v>
      </c>
      <c r="T6060" s="119"/>
      <c r="U6060" s="118">
        <f t="shared" ref="U6060" si="8054">SUM(K6060:T6061)</f>
        <v>1039920</v>
      </c>
      <c r="V6060" s="122"/>
      <c r="W6060" s="124"/>
      <c r="X6060" s="126" t="s">
        <v>18009</v>
      </c>
      <c r="Y6060" s="127"/>
      <c r="Z6060" s="127"/>
      <c r="AA6060" s="127"/>
      <c r="AB6060" s="128"/>
      <c r="AC6060" s="15" t="s">
        <v>20</v>
      </c>
      <c r="AD6060" s="129" t="s">
        <v>3952</v>
      </c>
      <c r="AE6060" s="130"/>
      <c r="AF6060" s="130"/>
      <c r="AG6060" s="130"/>
      <c r="AH6060" s="130"/>
      <c r="AI6060" s="131"/>
      <c r="AJ6060" s="132"/>
      <c r="AK6060" s="127"/>
      <c r="AL6060" s="128"/>
      <c r="AM6060" s="21"/>
      <c r="AN6060" s="133">
        <v>46074</v>
      </c>
      <c r="AO6060" s="134"/>
      <c r="AP6060" s="135">
        <v>1289</v>
      </c>
      <c r="AQ6060" s="136"/>
      <c r="AR6060" s="118">
        <v>1020000</v>
      </c>
      <c r="AS6060" s="119"/>
      <c r="AT6060" s="118">
        <f t="shared" ref="AT6060" si="8055">AR6060*0.1</f>
        <v>102000</v>
      </c>
      <c r="AU6060" s="119"/>
      <c r="AV6060" s="118">
        <v>18570</v>
      </c>
      <c r="AW6060" s="119"/>
      <c r="AX6060" s="118">
        <f t="shared" ref="AX6060" si="8056">SUM(AR6060:AW6060)</f>
        <v>1140570</v>
      </c>
      <c r="AY6060" s="119"/>
      <c r="AZ6060" s="137">
        <v>46077</v>
      </c>
    </row>
    <row r="6061" spans="1:52" ht="17.100000000000001" customHeight="1" thickBot="1">
      <c r="A6061" s="110"/>
      <c r="B6061" s="27" t="s">
        <v>3600</v>
      </c>
      <c r="C6061" s="27">
        <v>38039</v>
      </c>
      <c r="D6061" s="14" t="s">
        <v>2601</v>
      </c>
      <c r="E6061" s="112"/>
      <c r="F6061" s="139" t="s">
        <v>17590</v>
      </c>
      <c r="G6061" s="140"/>
      <c r="H6061" s="141"/>
      <c r="I6061" s="26">
        <v>59053</v>
      </c>
      <c r="J6061" s="117"/>
      <c r="K6061" s="120"/>
      <c r="L6061" s="121"/>
      <c r="M6061" s="120"/>
      <c r="N6061" s="121"/>
      <c r="O6061" s="120"/>
      <c r="P6061" s="121"/>
      <c r="Q6061" s="120"/>
      <c r="R6061" s="121"/>
      <c r="S6061" s="120"/>
      <c r="T6061" s="121"/>
      <c r="U6061" s="120"/>
      <c r="V6061" s="123"/>
      <c r="W6061" s="125"/>
      <c r="X6061" s="142" t="s">
        <v>18010</v>
      </c>
      <c r="Y6061" s="143"/>
      <c r="Z6061" s="143"/>
      <c r="AA6061" s="143"/>
      <c r="AB6061" s="144"/>
      <c r="AC6061" s="16" t="s">
        <v>21</v>
      </c>
      <c r="AD6061" s="17" t="s">
        <v>3583</v>
      </c>
      <c r="AE6061" s="145" t="s">
        <v>1614</v>
      </c>
      <c r="AF6061" s="146"/>
      <c r="AG6061" s="146"/>
      <c r="AH6061" s="146"/>
      <c r="AI6061" s="147"/>
      <c r="AJ6061" s="148"/>
      <c r="AK6061" s="143"/>
      <c r="AL6061" s="144"/>
      <c r="AM6061" s="22"/>
      <c r="AN6061" s="149" t="s">
        <v>2511</v>
      </c>
      <c r="AO6061" s="144"/>
      <c r="AP6061" s="148">
        <v>80014</v>
      </c>
      <c r="AQ6061" s="144"/>
      <c r="AR6061" s="120"/>
      <c r="AS6061" s="121"/>
      <c r="AT6061" s="120"/>
      <c r="AU6061" s="121"/>
      <c r="AV6061" s="120"/>
      <c r="AW6061" s="121"/>
      <c r="AX6061" s="120"/>
      <c r="AY6061" s="121"/>
      <c r="AZ6061" s="138"/>
    </row>
    <row r="6062" spans="1:52" ht="17.100000000000001" customHeight="1" thickTop="1">
      <c r="A6062" s="109" t="s">
        <v>17593</v>
      </c>
      <c r="B6062" s="28">
        <v>46063</v>
      </c>
      <c r="C6062" s="25">
        <v>1275</v>
      </c>
      <c r="D6062" s="13" t="s">
        <v>2022</v>
      </c>
      <c r="E6062" s="111"/>
      <c r="F6062" s="113" t="s">
        <v>10452</v>
      </c>
      <c r="G6062" s="114"/>
      <c r="H6062" s="115"/>
      <c r="I6062" s="24" t="s">
        <v>1547</v>
      </c>
      <c r="J6062" s="116">
        <v>3.5</v>
      </c>
      <c r="K6062" s="118">
        <v>503000</v>
      </c>
      <c r="L6062" s="119"/>
      <c r="M6062" s="118">
        <f t="shared" ref="M6062" si="8057">K6062*0.1</f>
        <v>50300</v>
      </c>
      <c r="N6062" s="119"/>
      <c r="O6062" s="118">
        <v>0</v>
      </c>
      <c r="P6062" s="119"/>
      <c r="Q6062" s="118">
        <v>22520</v>
      </c>
      <c r="R6062" s="119"/>
      <c r="S6062" s="118">
        <v>18150</v>
      </c>
      <c r="T6062" s="119"/>
      <c r="U6062" s="118">
        <f t="shared" ref="U6062" si="8058">SUM(K6062:T6063)</f>
        <v>593970</v>
      </c>
      <c r="V6062" s="122"/>
      <c r="W6062" s="124"/>
      <c r="X6062" s="126" t="s">
        <v>17592</v>
      </c>
      <c r="Y6062" s="127"/>
      <c r="Z6062" s="127"/>
      <c r="AA6062" s="127"/>
      <c r="AB6062" s="128"/>
      <c r="AC6062" s="15" t="s">
        <v>20</v>
      </c>
      <c r="AD6062" s="129"/>
      <c r="AE6062" s="130"/>
      <c r="AF6062" s="130"/>
      <c r="AG6062" s="130"/>
      <c r="AH6062" s="130"/>
      <c r="AI6062" s="131"/>
      <c r="AJ6062" s="132"/>
      <c r="AK6062" s="127"/>
      <c r="AL6062" s="128"/>
      <c r="AM6062" s="21"/>
      <c r="AN6062" s="133">
        <v>46123</v>
      </c>
      <c r="AO6062" s="134"/>
      <c r="AP6062" s="135">
        <v>1296</v>
      </c>
      <c r="AQ6062" s="136"/>
      <c r="AR6062" s="118">
        <v>400000</v>
      </c>
      <c r="AS6062" s="119"/>
      <c r="AT6062" s="118">
        <f t="shared" ref="AT6062" si="8059">AR6062*0.1</f>
        <v>40000</v>
      </c>
      <c r="AU6062" s="119"/>
      <c r="AV6062" s="118">
        <v>22520</v>
      </c>
      <c r="AW6062" s="119"/>
      <c r="AX6062" s="118">
        <f t="shared" ref="AX6062" si="8060">SUM(AR6062:AW6062)</f>
        <v>462520</v>
      </c>
      <c r="AY6062" s="119"/>
      <c r="AZ6062" s="137">
        <v>46126</v>
      </c>
    </row>
    <row r="6063" spans="1:52" ht="17.100000000000001" customHeight="1" thickBot="1">
      <c r="A6063" s="110"/>
      <c r="B6063" s="27" t="s">
        <v>3600</v>
      </c>
      <c r="C6063" s="27">
        <v>38075</v>
      </c>
      <c r="D6063" s="14" t="s">
        <v>1592</v>
      </c>
      <c r="E6063" s="112"/>
      <c r="F6063" s="139" t="s">
        <v>17591</v>
      </c>
      <c r="G6063" s="140"/>
      <c r="H6063" s="141"/>
      <c r="I6063" s="26">
        <v>86262</v>
      </c>
      <c r="J6063" s="117"/>
      <c r="K6063" s="120"/>
      <c r="L6063" s="121"/>
      <c r="M6063" s="120"/>
      <c r="N6063" s="121"/>
      <c r="O6063" s="120"/>
      <c r="P6063" s="121"/>
      <c r="Q6063" s="120"/>
      <c r="R6063" s="121"/>
      <c r="S6063" s="120"/>
      <c r="T6063" s="121"/>
      <c r="U6063" s="120"/>
      <c r="V6063" s="123"/>
      <c r="W6063" s="125"/>
      <c r="X6063" s="142" t="s">
        <v>18719</v>
      </c>
      <c r="Y6063" s="143"/>
      <c r="Z6063" s="143"/>
      <c r="AA6063" s="143"/>
      <c r="AB6063" s="144"/>
      <c r="AC6063" s="16" t="s">
        <v>21</v>
      </c>
      <c r="AD6063" s="17" t="s">
        <v>18720</v>
      </c>
      <c r="AE6063" s="145" t="s">
        <v>9450</v>
      </c>
      <c r="AF6063" s="146"/>
      <c r="AG6063" s="146"/>
      <c r="AH6063" s="146"/>
      <c r="AI6063" s="147"/>
      <c r="AJ6063" s="148"/>
      <c r="AK6063" s="143"/>
      <c r="AL6063" s="144"/>
      <c r="AM6063" s="22"/>
      <c r="AN6063" s="149" t="s">
        <v>2511</v>
      </c>
      <c r="AO6063" s="144"/>
      <c r="AP6063" s="148">
        <v>80113</v>
      </c>
      <c r="AQ6063" s="144"/>
      <c r="AR6063" s="120"/>
      <c r="AS6063" s="121"/>
      <c r="AT6063" s="120"/>
      <c r="AU6063" s="121"/>
      <c r="AV6063" s="120"/>
      <c r="AW6063" s="121"/>
      <c r="AX6063" s="120"/>
      <c r="AY6063" s="121"/>
      <c r="AZ6063" s="138"/>
    </row>
    <row r="6064" spans="1:52" ht="17.100000000000001" customHeight="1" thickTop="1">
      <c r="A6064" s="109" t="s">
        <v>17594</v>
      </c>
      <c r="B6064" s="28">
        <v>46063</v>
      </c>
      <c r="C6064" s="25">
        <v>977</v>
      </c>
      <c r="D6064" s="13" t="s">
        <v>1059</v>
      </c>
      <c r="E6064" s="111"/>
      <c r="F6064" s="113" t="s">
        <v>17601</v>
      </c>
      <c r="G6064" s="114"/>
      <c r="H6064" s="115"/>
      <c r="I6064" s="24"/>
      <c r="J6064" s="116">
        <v>4</v>
      </c>
      <c r="K6064" s="118">
        <v>1029000</v>
      </c>
      <c r="L6064" s="119"/>
      <c r="M6064" s="118">
        <f t="shared" ref="M6064" si="8061">K6064*0.1</f>
        <v>102900</v>
      </c>
      <c r="N6064" s="119"/>
      <c r="O6064" s="118">
        <v>0</v>
      </c>
      <c r="P6064" s="119"/>
      <c r="Q6064" s="118">
        <v>8790</v>
      </c>
      <c r="R6064" s="119"/>
      <c r="S6064" s="118">
        <v>22000</v>
      </c>
      <c r="T6064" s="119"/>
      <c r="U6064" s="118">
        <f t="shared" ref="U6064" si="8062">SUM(K6064:T6065)</f>
        <v>1162690</v>
      </c>
      <c r="V6064" s="122"/>
      <c r="W6064" s="124"/>
      <c r="X6064" s="126" t="s">
        <v>18309</v>
      </c>
      <c r="Y6064" s="127"/>
      <c r="Z6064" s="127"/>
      <c r="AA6064" s="127"/>
      <c r="AB6064" s="128"/>
      <c r="AC6064" s="15" t="s">
        <v>20</v>
      </c>
      <c r="AD6064" s="129" t="s">
        <v>1670</v>
      </c>
      <c r="AE6064" s="130"/>
      <c r="AF6064" s="130"/>
      <c r="AG6064" s="130"/>
      <c r="AH6064" s="130"/>
      <c r="AI6064" s="131"/>
      <c r="AJ6064" s="132"/>
      <c r="AK6064" s="127"/>
      <c r="AL6064" s="128"/>
      <c r="AM6064" s="21"/>
      <c r="AN6064" s="133"/>
      <c r="AO6064" s="134"/>
      <c r="AP6064" s="135"/>
      <c r="AQ6064" s="136"/>
      <c r="AR6064" s="118"/>
      <c r="AS6064" s="119"/>
      <c r="AT6064" s="118">
        <f t="shared" ref="AT6064" si="8063">AR6064*0.1</f>
        <v>0</v>
      </c>
      <c r="AU6064" s="119"/>
      <c r="AV6064" s="118"/>
      <c r="AW6064" s="119"/>
      <c r="AX6064" s="118">
        <f t="shared" ref="AX6064" si="8064">SUM(AR6064:AW6064)</f>
        <v>0</v>
      </c>
      <c r="AY6064" s="119"/>
      <c r="AZ6064" s="137"/>
    </row>
    <row r="6065" spans="1:52" ht="17.100000000000001" customHeight="1" thickBot="1">
      <c r="A6065" s="110"/>
      <c r="B6065" s="27" t="s">
        <v>16301</v>
      </c>
      <c r="C6065" s="27">
        <v>57</v>
      </c>
      <c r="D6065" s="14" t="s">
        <v>3855</v>
      </c>
      <c r="E6065" s="112"/>
      <c r="F6065" s="139" t="s">
        <v>17602</v>
      </c>
      <c r="G6065" s="140"/>
      <c r="H6065" s="141"/>
      <c r="I6065" s="26">
        <v>55384</v>
      </c>
      <c r="J6065" s="117"/>
      <c r="K6065" s="120"/>
      <c r="L6065" s="121"/>
      <c r="M6065" s="120"/>
      <c r="N6065" s="121"/>
      <c r="O6065" s="120"/>
      <c r="P6065" s="121"/>
      <c r="Q6065" s="120"/>
      <c r="R6065" s="121"/>
      <c r="S6065" s="120"/>
      <c r="T6065" s="121"/>
      <c r="U6065" s="120"/>
      <c r="V6065" s="123"/>
      <c r="W6065" s="125"/>
      <c r="X6065" s="142" t="s">
        <v>2057</v>
      </c>
      <c r="Y6065" s="143"/>
      <c r="Z6065" s="143"/>
      <c r="AA6065" s="143"/>
      <c r="AB6065" s="144"/>
      <c r="AC6065" s="16" t="s">
        <v>21</v>
      </c>
      <c r="AD6065" s="17" t="s">
        <v>18305</v>
      </c>
      <c r="AE6065" s="145" t="s">
        <v>9056</v>
      </c>
      <c r="AF6065" s="146"/>
      <c r="AG6065" s="146"/>
      <c r="AH6065" s="146"/>
      <c r="AI6065" s="147"/>
      <c r="AJ6065" s="148"/>
      <c r="AK6065" s="143"/>
      <c r="AL6065" s="144"/>
      <c r="AM6065" s="22"/>
      <c r="AN6065" s="149"/>
      <c r="AO6065" s="144"/>
      <c r="AP6065" s="148"/>
      <c r="AQ6065" s="144"/>
      <c r="AR6065" s="120"/>
      <c r="AS6065" s="121"/>
      <c r="AT6065" s="120"/>
      <c r="AU6065" s="121"/>
      <c r="AV6065" s="120"/>
      <c r="AW6065" s="121"/>
      <c r="AX6065" s="120"/>
      <c r="AY6065" s="121"/>
      <c r="AZ6065" s="138"/>
    </row>
    <row r="6066" spans="1:52" ht="17.100000000000001" customHeight="1" thickTop="1">
      <c r="A6066" s="109" t="s">
        <v>17595</v>
      </c>
      <c r="B6066" s="28">
        <v>46063</v>
      </c>
      <c r="C6066" s="25">
        <v>977</v>
      </c>
      <c r="D6066" s="13" t="s">
        <v>3530</v>
      </c>
      <c r="E6066" s="111"/>
      <c r="F6066" s="113" t="s">
        <v>16264</v>
      </c>
      <c r="G6066" s="114"/>
      <c r="H6066" s="115"/>
      <c r="I6066" s="24"/>
      <c r="J6066" s="116">
        <v>3.5</v>
      </c>
      <c r="K6066" s="118">
        <v>628000</v>
      </c>
      <c r="L6066" s="119"/>
      <c r="M6066" s="118">
        <f t="shared" ref="M6066" si="8065">K6066*0.1</f>
        <v>62800</v>
      </c>
      <c r="N6066" s="119"/>
      <c r="O6066" s="118">
        <v>0</v>
      </c>
      <c r="P6066" s="119"/>
      <c r="Q6066" s="118">
        <v>6470</v>
      </c>
      <c r="R6066" s="119"/>
      <c r="S6066" s="118">
        <v>22000</v>
      </c>
      <c r="T6066" s="119"/>
      <c r="U6066" s="118">
        <f t="shared" ref="U6066" si="8066">SUM(K6066:T6067)</f>
        <v>719270</v>
      </c>
      <c r="V6066" s="122"/>
      <c r="W6066" s="124"/>
      <c r="X6066" s="126" t="s">
        <v>18311</v>
      </c>
      <c r="Y6066" s="127"/>
      <c r="Z6066" s="127"/>
      <c r="AA6066" s="127"/>
      <c r="AB6066" s="128"/>
      <c r="AC6066" s="15" t="s">
        <v>20</v>
      </c>
      <c r="AD6066" s="129" t="s">
        <v>2054</v>
      </c>
      <c r="AE6066" s="130"/>
      <c r="AF6066" s="130"/>
      <c r="AG6066" s="130"/>
      <c r="AH6066" s="130"/>
      <c r="AI6066" s="131"/>
      <c r="AJ6066" s="132"/>
      <c r="AK6066" s="127"/>
      <c r="AL6066" s="128"/>
      <c r="AM6066" s="21"/>
      <c r="AN6066" s="133">
        <v>46120</v>
      </c>
      <c r="AO6066" s="134"/>
      <c r="AP6066" s="135">
        <v>1012</v>
      </c>
      <c r="AQ6066" s="136"/>
      <c r="AR6066" s="118">
        <v>700000</v>
      </c>
      <c r="AS6066" s="119"/>
      <c r="AT6066" s="118">
        <f t="shared" ref="AT6066" si="8067">AR6066*0.1</f>
        <v>70000</v>
      </c>
      <c r="AU6066" s="119"/>
      <c r="AV6066" s="118">
        <v>6470</v>
      </c>
      <c r="AW6066" s="119"/>
      <c r="AX6066" s="118">
        <f t="shared" ref="AX6066" si="8068">SUM(AR6066:AW6066)</f>
        <v>776470</v>
      </c>
      <c r="AY6066" s="119"/>
      <c r="AZ6066" s="137">
        <v>46125</v>
      </c>
    </row>
    <row r="6067" spans="1:52" ht="17.100000000000001" customHeight="1" thickBot="1">
      <c r="A6067" s="110"/>
      <c r="B6067" s="27" t="s">
        <v>16301</v>
      </c>
      <c r="C6067" s="27">
        <v>78</v>
      </c>
      <c r="D6067" s="14" t="s">
        <v>275</v>
      </c>
      <c r="E6067" s="112"/>
      <c r="F6067" s="139" t="s">
        <v>17600</v>
      </c>
      <c r="G6067" s="140"/>
      <c r="H6067" s="141"/>
      <c r="I6067" s="26">
        <v>52212</v>
      </c>
      <c r="J6067" s="117"/>
      <c r="K6067" s="120"/>
      <c r="L6067" s="121"/>
      <c r="M6067" s="120"/>
      <c r="N6067" s="121"/>
      <c r="O6067" s="120"/>
      <c r="P6067" s="121"/>
      <c r="Q6067" s="120"/>
      <c r="R6067" s="121"/>
      <c r="S6067" s="120"/>
      <c r="T6067" s="121"/>
      <c r="U6067" s="120"/>
      <c r="V6067" s="123"/>
      <c r="W6067" s="125"/>
      <c r="X6067" s="142" t="s">
        <v>2057</v>
      </c>
      <c r="Y6067" s="143"/>
      <c r="Z6067" s="143"/>
      <c r="AA6067" s="143"/>
      <c r="AB6067" s="144"/>
      <c r="AC6067" s="16" t="s">
        <v>21</v>
      </c>
      <c r="AD6067" s="17" t="s">
        <v>18305</v>
      </c>
      <c r="AE6067" s="145" t="s">
        <v>9490</v>
      </c>
      <c r="AF6067" s="146"/>
      <c r="AG6067" s="146"/>
      <c r="AH6067" s="146"/>
      <c r="AI6067" s="147"/>
      <c r="AJ6067" s="148"/>
      <c r="AK6067" s="143"/>
      <c r="AL6067" s="144"/>
      <c r="AM6067" s="22"/>
      <c r="AN6067" s="149" t="s">
        <v>2794</v>
      </c>
      <c r="AO6067" s="144"/>
      <c r="AP6067" s="148">
        <v>2015</v>
      </c>
      <c r="AQ6067" s="144"/>
      <c r="AR6067" s="120"/>
      <c r="AS6067" s="121"/>
      <c r="AT6067" s="120"/>
      <c r="AU6067" s="121"/>
      <c r="AV6067" s="120"/>
      <c r="AW6067" s="121"/>
      <c r="AX6067" s="120"/>
      <c r="AY6067" s="121"/>
      <c r="AZ6067" s="138"/>
    </row>
    <row r="6068" spans="1:52" ht="17.100000000000001" customHeight="1" thickTop="1">
      <c r="A6068" s="109" t="s">
        <v>17596</v>
      </c>
      <c r="B6068" s="28">
        <v>46063</v>
      </c>
      <c r="C6068" s="25">
        <v>977</v>
      </c>
      <c r="D6068" s="13" t="s">
        <v>1853</v>
      </c>
      <c r="E6068" s="111"/>
      <c r="F6068" s="113" t="s">
        <v>17597</v>
      </c>
      <c r="G6068" s="114"/>
      <c r="H6068" s="115"/>
      <c r="I6068" s="24"/>
      <c r="J6068" s="116">
        <v>4</v>
      </c>
      <c r="K6068" s="118">
        <v>838000</v>
      </c>
      <c r="L6068" s="119"/>
      <c r="M6068" s="118">
        <f t="shared" ref="M6068" si="8069">K6068*0.1</f>
        <v>83800</v>
      </c>
      <c r="N6068" s="119"/>
      <c r="O6068" s="118">
        <v>0</v>
      </c>
      <c r="P6068" s="119"/>
      <c r="Q6068" s="118">
        <v>7440</v>
      </c>
      <c r="R6068" s="119"/>
      <c r="S6068" s="118">
        <v>22000</v>
      </c>
      <c r="T6068" s="119"/>
      <c r="U6068" s="118">
        <f t="shared" ref="U6068" si="8070">SUM(K6068:T6069)</f>
        <v>951240</v>
      </c>
      <c r="V6068" s="122"/>
      <c r="W6068" s="124"/>
      <c r="X6068" s="126" t="s">
        <v>18314</v>
      </c>
      <c r="Y6068" s="127"/>
      <c r="Z6068" s="127"/>
      <c r="AA6068" s="127"/>
      <c r="AB6068" s="128"/>
      <c r="AC6068" s="15" t="s">
        <v>20</v>
      </c>
      <c r="AD6068" s="129" t="s">
        <v>17599</v>
      </c>
      <c r="AE6068" s="130"/>
      <c r="AF6068" s="130"/>
      <c r="AG6068" s="130"/>
      <c r="AH6068" s="130"/>
      <c r="AI6068" s="131"/>
      <c r="AJ6068" s="132"/>
      <c r="AK6068" s="127"/>
      <c r="AL6068" s="128"/>
      <c r="AM6068" s="21"/>
      <c r="AN6068" s="133">
        <v>46080</v>
      </c>
      <c r="AO6068" s="134"/>
      <c r="AP6068" s="135"/>
      <c r="AQ6068" s="136"/>
      <c r="AR6068" s="118">
        <v>1040000</v>
      </c>
      <c r="AS6068" s="119"/>
      <c r="AT6068" s="118">
        <f t="shared" ref="AT6068" si="8071">AR6068*0.1</f>
        <v>104000</v>
      </c>
      <c r="AU6068" s="119"/>
      <c r="AV6068" s="118">
        <v>7440</v>
      </c>
      <c r="AW6068" s="119"/>
      <c r="AX6068" s="118">
        <f t="shared" ref="AX6068" si="8072">SUM(AR6068:AW6068)</f>
        <v>1151440</v>
      </c>
      <c r="AY6068" s="119"/>
      <c r="AZ6068" s="137"/>
    </row>
    <row r="6069" spans="1:52" ht="17.100000000000001" customHeight="1" thickBot="1">
      <c r="A6069" s="110"/>
      <c r="B6069" s="27" t="s">
        <v>16301</v>
      </c>
      <c r="C6069" s="27">
        <v>1043</v>
      </c>
      <c r="D6069" s="14" t="s">
        <v>1592</v>
      </c>
      <c r="E6069" s="112"/>
      <c r="F6069" s="139" t="s">
        <v>17598</v>
      </c>
      <c r="G6069" s="140"/>
      <c r="H6069" s="141"/>
      <c r="I6069" s="26">
        <v>40245</v>
      </c>
      <c r="J6069" s="117"/>
      <c r="K6069" s="120"/>
      <c r="L6069" s="121"/>
      <c r="M6069" s="120"/>
      <c r="N6069" s="121"/>
      <c r="O6069" s="120"/>
      <c r="P6069" s="121"/>
      <c r="Q6069" s="120"/>
      <c r="R6069" s="121"/>
      <c r="S6069" s="120"/>
      <c r="T6069" s="121"/>
      <c r="U6069" s="120"/>
      <c r="V6069" s="123"/>
      <c r="W6069" s="125"/>
      <c r="X6069" s="142" t="s">
        <v>10224</v>
      </c>
      <c r="Y6069" s="143"/>
      <c r="Z6069" s="143"/>
      <c r="AA6069" s="143"/>
      <c r="AB6069" s="144"/>
      <c r="AC6069" s="16" t="s">
        <v>21</v>
      </c>
      <c r="AD6069" s="17" t="s">
        <v>18305</v>
      </c>
      <c r="AE6069" s="145" t="s">
        <v>9947</v>
      </c>
      <c r="AF6069" s="146"/>
      <c r="AG6069" s="146"/>
      <c r="AH6069" s="146"/>
      <c r="AI6069" s="147"/>
      <c r="AJ6069" s="148"/>
      <c r="AK6069" s="143"/>
      <c r="AL6069" s="144"/>
      <c r="AM6069" s="22"/>
      <c r="AN6069" s="149" t="s">
        <v>6789</v>
      </c>
      <c r="AO6069" s="144"/>
      <c r="AP6069" s="148">
        <v>51949</v>
      </c>
      <c r="AQ6069" s="144"/>
      <c r="AR6069" s="120"/>
      <c r="AS6069" s="121"/>
      <c r="AT6069" s="120"/>
      <c r="AU6069" s="121"/>
      <c r="AV6069" s="120"/>
      <c r="AW6069" s="121"/>
      <c r="AX6069" s="120"/>
      <c r="AY6069" s="121"/>
      <c r="AZ6069" s="138"/>
    </row>
    <row r="6070" spans="1:52" ht="17.100000000000001" customHeight="1" thickTop="1">
      <c r="A6070" s="109" t="s">
        <v>17605</v>
      </c>
      <c r="B6070" s="28">
        <v>46063</v>
      </c>
      <c r="C6070" s="25">
        <v>977</v>
      </c>
      <c r="D6070" s="13" t="s">
        <v>3296</v>
      </c>
      <c r="E6070" s="111"/>
      <c r="F6070" s="113" t="s">
        <v>17603</v>
      </c>
      <c r="G6070" s="114"/>
      <c r="H6070" s="115"/>
      <c r="I6070" s="24"/>
      <c r="J6070" s="116">
        <v>4</v>
      </c>
      <c r="K6070" s="118">
        <v>287000</v>
      </c>
      <c r="L6070" s="119"/>
      <c r="M6070" s="118">
        <f t="shared" ref="M6070" si="8073">K6070*0.1</f>
        <v>28700</v>
      </c>
      <c r="N6070" s="119"/>
      <c r="O6070" s="118">
        <v>0</v>
      </c>
      <c r="P6070" s="119"/>
      <c r="Q6070" s="118">
        <v>7340</v>
      </c>
      <c r="R6070" s="119"/>
      <c r="S6070" s="118">
        <v>22000</v>
      </c>
      <c r="T6070" s="119"/>
      <c r="U6070" s="118">
        <f t="shared" ref="U6070" si="8074">SUM(K6070:T6071)</f>
        <v>345040</v>
      </c>
      <c r="V6070" s="122"/>
      <c r="W6070" s="124"/>
      <c r="X6070" s="126" t="s">
        <v>18312</v>
      </c>
      <c r="Y6070" s="127"/>
      <c r="Z6070" s="127"/>
      <c r="AA6070" s="127"/>
      <c r="AB6070" s="128"/>
      <c r="AC6070" s="15" t="s">
        <v>20</v>
      </c>
      <c r="AD6070" s="129"/>
      <c r="AE6070" s="130"/>
      <c r="AF6070" s="130"/>
      <c r="AG6070" s="130"/>
      <c r="AH6070" s="130"/>
      <c r="AI6070" s="131"/>
      <c r="AJ6070" s="132"/>
      <c r="AK6070" s="127"/>
      <c r="AL6070" s="128"/>
      <c r="AM6070" s="21"/>
      <c r="AN6070" s="133">
        <v>46088</v>
      </c>
      <c r="AO6070" s="134"/>
      <c r="AP6070" s="135">
        <v>1291</v>
      </c>
      <c r="AQ6070" s="136"/>
      <c r="AR6070" s="118">
        <v>360000</v>
      </c>
      <c r="AS6070" s="119"/>
      <c r="AT6070" s="118">
        <f t="shared" ref="AT6070" si="8075">AR6070*0.1</f>
        <v>36000</v>
      </c>
      <c r="AU6070" s="119"/>
      <c r="AV6070" s="118">
        <v>7340</v>
      </c>
      <c r="AW6070" s="119"/>
      <c r="AX6070" s="118">
        <f t="shared" ref="AX6070" si="8076">SUM(AR6070:AW6070)</f>
        <v>403340</v>
      </c>
      <c r="AY6070" s="119"/>
      <c r="AZ6070" s="137">
        <v>46093</v>
      </c>
    </row>
    <row r="6071" spans="1:52" ht="17.100000000000001" customHeight="1" thickBot="1">
      <c r="A6071" s="110"/>
      <c r="B6071" s="27" t="s">
        <v>16301</v>
      </c>
      <c r="C6071" s="27">
        <v>1064</v>
      </c>
      <c r="D6071" s="14" t="s">
        <v>1592</v>
      </c>
      <c r="E6071" s="112"/>
      <c r="F6071" s="139" t="s">
        <v>17604</v>
      </c>
      <c r="G6071" s="140"/>
      <c r="H6071" s="141"/>
      <c r="I6071" s="26">
        <v>35528</v>
      </c>
      <c r="J6071" s="117"/>
      <c r="K6071" s="120"/>
      <c r="L6071" s="121"/>
      <c r="M6071" s="120"/>
      <c r="N6071" s="121"/>
      <c r="O6071" s="120"/>
      <c r="P6071" s="121"/>
      <c r="Q6071" s="120"/>
      <c r="R6071" s="121"/>
      <c r="S6071" s="120"/>
      <c r="T6071" s="121"/>
      <c r="U6071" s="120"/>
      <c r="V6071" s="123"/>
      <c r="W6071" s="125"/>
      <c r="X6071" s="142" t="s">
        <v>18313</v>
      </c>
      <c r="Y6071" s="143"/>
      <c r="Z6071" s="143"/>
      <c r="AA6071" s="143"/>
      <c r="AB6071" s="144"/>
      <c r="AC6071" s="16" t="s">
        <v>21</v>
      </c>
      <c r="AD6071" s="17" t="s">
        <v>18305</v>
      </c>
      <c r="AE6071" s="145"/>
      <c r="AF6071" s="146"/>
      <c r="AG6071" s="146"/>
      <c r="AH6071" s="146"/>
      <c r="AI6071" s="147"/>
      <c r="AJ6071" s="148"/>
      <c r="AK6071" s="143"/>
      <c r="AL6071" s="144"/>
      <c r="AM6071" s="22"/>
      <c r="AN6071" s="149" t="s">
        <v>6748</v>
      </c>
      <c r="AO6071" s="144"/>
      <c r="AP6071" s="148">
        <v>60441</v>
      </c>
      <c r="AQ6071" s="144"/>
      <c r="AR6071" s="120"/>
      <c r="AS6071" s="121"/>
      <c r="AT6071" s="120"/>
      <c r="AU6071" s="121"/>
      <c r="AV6071" s="120"/>
      <c r="AW6071" s="121"/>
      <c r="AX6071" s="120"/>
      <c r="AY6071" s="121"/>
      <c r="AZ6071" s="138"/>
    </row>
    <row r="6072" spans="1:52" ht="17.100000000000001" customHeight="1" thickTop="1">
      <c r="A6072" s="109" t="s">
        <v>17608</v>
      </c>
      <c r="B6072" s="28">
        <v>46064</v>
      </c>
      <c r="C6072" s="25">
        <v>1004</v>
      </c>
      <c r="D6072" s="13" t="s">
        <v>3381</v>
      </c>
      <c r="E6072" s="111"/>
      <c r="F6072" s="113" t="s">
        <v>16621</v>
      </c>
      <c r="G6072" s="114"/>
      <c r="H6072" s="115"/>
      <c r="I6072" s="24"/>
      <c r="J6072" s="116">
        <v>4</v>
      </c>
      <c r="K6072" s="118">
        <v>485000</v>
      </c>
      <c r="L6072" s="119"/>
      <c r="M6072" s="118">
        <f t="shared" ref="M6072" si="8077">K6072*0.1</f>
        <v>48500</v>
      </c>
      <c r="N6072" s="119"/>
      <c r="O6072" s="118">
        <v>0</v>
      </c>
      <c r="P6072" s="119"/>
      <c r="Q6072" s="118">
        <v>9790</v>
      </c>
      <c r="R6072" s="119"/>
      <c r="S6072" s="118">
        <v>11000</v>
      </c>
      <c r="T6072" s="119"/>
      <c r="U6072" s="118">
        <f t="shared" ref="U6072" si="8078">SUM(K6072:T6073)</f>
        <v>554290</v>
      </c>
      <c r="V6072" s="122"/>
      <c r="W6072" s="124"/>
      <c r="X6072" s="126" t="s">
        <v>18144</v>
      </c>
      <c r="Y6072" s="127"/>
      <c r="Z6072" s="127"/>
      <c r="AA6072" s="127"/>
      <c r="AB6072" s="128"/>
      <c r="AC6072" s="15" t="s">
        <v>20</v>
      </c>
      <c r="AD6072" s="129"/>
      <c r="AE6072" s="130"/>
      <c r="AF6072" s="130"/>
      <c r="AG6072" s="130"/>
      <c r="AH6072" s="130"/>
      <c r="AI6072" s="131"/>
      <c r="AJ6072" s="132"/>
      <c r="AK6072" s="127"/>
      <c r="AL6072" s="128"/>
      <c r="AM6072" s="21"/>
      <c r="AN6072" s="133">
        <v>46067</v>
      </c>
      <c r="AO6072" s="134"/>
      <c r="AP6072" s="135">
        <v>1288</v>
      </c>
      <c r="AQ6072" s="136"/>
      <c r="AR6072" s="118">
        <v>550000</v>
      </c>
      <c r="AS6072" s="119"/>
      <c r="AT6072" s="118">
        <f t="shared" ref="AT6072" si="8079">AR6072*0.1</f>
        <v>55000</v>
      </c>
      <c r="AU6072" s="119"/>
      <c r="AV6072" s="118">
        <v>9790</v>
      </c>
      <c r="AW6072" s="119"/>
      <c r="AX6072" s="118">
        <f t="shared" ref="AX6072" si="8080">SUM(AR6072:AW6072)</f>
        <v>614790</v>
      </c>
      <c r="AY6072" s="119"/>
      <c r="AZ6072" s="137">
        <v>46072</v>
      </c>
    </row>
    <row r="6073" spans="1:52" ht="17.100000000000001" customHeight="1" thickBot="1">
      <c r="A6073" s="110"/>
      <c r="B6073" s="27" t="s">
        <v>2794</v>
      </c>
      <c r="C6073" s="27">
        <v>2004</v>
      </c>
      <c r="D6073" s="14" t="s">
        <v>133</v>
      </c>
      <c r="E6073" s="112"/>
      <c r="F6073" s="139" t="s">
        <v>17606</v>
      </c>
      <c r="G6073" s="140"/>
      <c r="H6073" s="141"/>
      <c r="I6073" s="26">
        <v>52495</v>
      </c>
      <c r="J6073" s="117"/>
      <c r="K6073" s="120"/>
      <c r="L6073" s="121"/>
      <c r="M6073" s="120"/>
      <c r="N6073" s="121"/>
      <c r="O6073" s="120"/>
      <c r="P6073" s="121"/>
      <c r="Q6073" s="120"/>
      <c r="R6073" s="121"/>
      <c r="S6073" s="120"/>
      <c r="T6073" s="121"/>
      <c r="U6073" s="120"/>
      <c r="V6073" s="123"/>
      <c r="W6073" s="125"/>
      <c r="X6073" s="142" t="s">
        <v>18145</v>
      </c>
      <c r="Y6073" s="143"/>
      <c r="Z6073" s="143"/>
      <c r="AA6073" s="143"/>
      <c r="AB6073" s="144"/>
      <c r="AC6073" s="16" t="s">
        <v>21</v>
      </c>
      <c r="AD6073" s="17" t="s">
        <v>1877</v>
      </c>
      <c r="AE6073" s="145" t="s">
        <v>2401</v>
      </c>
      <c r="AF6073" s="146"/>
      <c r="AG6073" s="146"/>
      <c r="AH6073" s="146"/>
      <c r="AI6073" s="147"/>
      <c r="AJ6073" s="148"/>
      <c r="AK6073" s="143"/>
      <c r="AL6073" s="144"/>
      <c r="AM6073" s="22"/>
      <c r="AN6073" s="149" t="s">
        <v>2511</v>
      </c>
      <c r="AO6073" s="144"/>
      <c r="AP6073" s="148">
        <v>60418</v>
      </c>
      <c r="AQ6073" s="144"/>
      <c r="AR6073" s="120"/>
      <c r="AS6073" s="121"/>
      <c r="AT6073" s="120"/>
      <c r="AU6073" s="121"/>
      <c r="AV6073" s="120"/>
      <c r="AW6073" s="121"/>
      <c r="AX6073" s="120"/>
      <c r="AY6073" s="121"/>
      <c r="AZ6073" s="138"/>
    </row>
    <row r="6074" spans="1:52" ht="17.100000000000001" customHeight="1" thickTop="1">
      <c r="A6074" s="109" t="s">
        <v>17613</v>
      </c>
      <c r="B6074" s="28">
        <v>46064</v>
      </c>
      <c r="C6074" s="25">
        <v>1825</v>
      </c>
      <c r="D6074" s="13" t="s">
        <v>4835</v>
      </c>
      <c r="E6074" s="111"/>
      <c r="F6074" s="113" t="s">
        <v>17616</v>
      </c>
      <c r="G6074" s="114"/>
      <c r="H6074" s="115"/>
      <c r="I6074" s="24"/>
      <c r="J6074" s="116">
        <v>4</v>
      </c>
      <c r="K6074" s="118">
        <v>1235000</v>
      </c>
      <c r="L6074" s="119"/>
      <c r="M6074" s="118">
        <f t="shared" ref="M6074" si="8081">K6074*0.1</f>
        <v>123500</v>
      </c>
      <c r="N6074" s="119"/>
      <c r="O6074" s="118">
        <v>0</v>
      </c>
      <c r="P6074" s="119"/>
      <c r="Q6074" s="118">
        <v>12470</v>
      </c>
      <c r="R6074" s="119"/>
      <c r="S6074" s="118">
        <v>18150</v>
      </c>
      <c r="T6074" s="119"/>
      <c r="U6074" s="118">
        <f t="shared" ref="U6074" si="8082">SUM(K6074:T6075)</f>
        <v>1389120</v>
      </c>
      <c r="V6074" s="122"/>
      <c r="W6074" s="124"/>
      <c r="X6074" s="126" t="s">
        <v>18149</v>
      </c>
      <c r="Y6074" s="127"/>
      <c r="Z6074" s="127"/>
      <c r="AA6074" s="127"/>
      <c r="AB6074" s="128"/>
      <c r="AC6074" s="15" t="s">
        <v>20</v>
      </c>
      <c r="AD6074" s="129"/>
      <c r="AE6074" s="130"/>
      <c r="AF6074" s="130"/>
      <c r="AG6074" s="130"/>
      <c r="AH6074" s="130"/>
      <c r="AI6074" s="131"/>
      <c r="AJ6074" s="132"/>
      <c r="AK6074" s="127"/>
      <c r="AL6074" s="128"/>
      <c r="AM6074" s="21"/>
      <c r="AN6074" s="133">
        <v>46078</v>
      </c>
      <c r="AO6074" s="134"/>
      <c r="AP6074" s="135">
        <v>1006</v>
      </c>
      <c r="AQ6074" s="136"/>
      <c r="AR6074" s="118">
        <v>1320000</v>
      </c>
      <c r="AS6074" s="119"/>
      <c r="AT6074" s="118">
        <f t="shared" ref="AT6074" si="8083">AR6074*0.1</f>
        <v>132000</v>
      </c>
      <c r="AU6074" s="119"/>
      <c r="AV6074" s="118">
        <v>12470</v>
      </c>
      <c r="AW6074" s="119"/>
      <c r="AX6074" s="118">
        <f t="shared" ref="AX6074" si="8084">SUM(AR6074:AW6074)</f>
        <v>1464470</v>
      </c>
      <c r="AY6074" s="119"/>
      <c r="AZ6074" s="137">
        <v>46083</v>
      </c>
    </row>
    <row r="6075" spans="1:52" ht="17.100000000000001" customHeight="1" thickBot="1">
      <c r="A6075" s="110"/>
      <c r="B6075" s="27" t="s">
        <v>2559</v>
      </c>
      <c r="C6075" s="27">
        <v>30291</v>
      </c>
      <c r="D6075" s="14" t="s">
        <v>275</v>
      </c>
      <c r="E6075" s="112"/>
      <c r="F6075" s="139" t="s">
        <v>17617</v>
      </c>
      <c r="G6075" s="140"/>
      <c r="H6075" s="141"/>
      <c r="I6075" s="26">
        <v>77841</v>
      </c>
      <c r="J6075" s="117"/>
      <c r="K6075" s="120"/>
      <c r="L6075" s="121"/>
      <c r="M6075" s="120"/>
      <c r="N6075" s="121"/>
      <c r="O6075" s="120"/>
      <c r="P6075" s="121"/>
      <c r="Q6075" s="120"/>
      <c r="R6075" s="121"/>
      <c r="S6075" s="120"/>
      <c r="T6075" s="121"/>
      <c r="U6075" s="120"/>
      <c r="V6075" s="123"/>
      <c r="W6075" s="125"/>
      <c r="X6075" s="142" t="s">
        <v>2918</v>
      </c>
      <c r="Y6075" s="143"/>
      <c r="Z6075" s="143"/>
      <c r="AA6075" s="143"/>
      <c r="AB6075" s="144"/>
      <c r="AC6075" s="16" t="s">
        <v>21</v>
      </c>
      <c r="AD6075" s="17" t="s">
        <v>1877</v>
      </c>
      <c r="AE6075" s="145" t="s">
        <v>4046</v>
      </c>
      <c r="AF6075" s="146"/>
      <c r="AG6075" s="146"/>
      <c r="AH6075" s="146"/>
      <c r="AI6075" s="147"/>
      <c r="AJ6075" s="148"/>
      <c r="AK6075" s="143"/>
      <c r="AL6075" s="144"/>
      <c r="AM6075" s="22"/>
      <c r="AN6075" s="149" t="s">
        <v>2794</v>
      </c>
      <c r="AO6075" s="144"/>
      <c r="AP6075" s="148">
        <v>5136</v>
      </c>
      <c r="AQ6075" s="144"/>
      <c r="AR6075" s="120"/>
      <c r="AS6075" s="121"/>
      <c r="AT6075" s="120"/>
      <c r="AU6075" s="121"/>
      <c r="AV6075" s="120"/>
      <c r="AW6075" s="121"/>
      <c r="AX6075" s="120"/>
      <c r="AY6075" s="121"/>
      <c r="AZ6075" s="138"/>
    </row>
    <row r="6076" spans="1:52" ht="17.100000000000001" customHeight="1" thickTop="1">
      <c r="A6076" s="109" t="s">
        <v>17614</v>
      </c>
      <c r="B6076" s="28">
        <v>46064</v>
      </c>
      <c r="C6076" s="25">
        <v>1825</v>
      </c>
      <c r="D6076" s="13" t="s">
        <v>2407</v>
      </c>
      <c r="E6076" s="111"/>
      <c r="F6076" s="113" t="s">
        <v>17348</v>
      </c>
      <c r="G6076" s="114"/>
      <c r="H6076" s="115"/>
      <c r="I6076" s="24"/>
      <c r="J6076" s="116">
        <v>4</v>
      </c>
      <c r="K6076" s="118">
        <v>800000</v>
      </c>
      <c r="L6076" s="119"/>
      <c r="M6076" s="118">
        <f t="shared" ref="M6076" si="8085">K6076*0.1</f>
        <v>80000</v>
      </c>
      <c r="N6076" s="119"/>
      <c r="O6076" s="118">
        <v>0</v>
      </c>
      <c r="P6076" s="119"/>
      <c r="Q6076" s="118">
        <v>14340</v>
      </c>
      <c r="R6076" s="119"/>
      <c r="S6076" s="118">
        <v>18150</v>
      </c>
      <c r="T6076" s="119"/>
      <c r="U6076" s="118">
        <f t="shared" ref="U6076" si="8086">SUM(K6076:T6077)</f>
        <v>912490</v>
      </c>
      <c r="V6076" s="122"/>
      <c r="W6076" s="124"/>
      <c r="X6076" s="126" t="s">
        <v>18301</v>
      </c>
      <c r="Y6076" s="127"/>
      <c r="Z6076" s="127"/>
      <c r="AA6076" s="127"/>
      <c r="AB6076" s="128"/>
      <c r="AC6076" s="15" t="s">
        <v>20</v>
      </c>
      <c r="AD6076" s="129" t="s">
        <v>1670</v>
      </c>
      <c r="AE6076" s="130"/>
      <c r="AF6076" s="130"/>
      <c r="AG6076" s="130"/>
      <c r="AH6076" s="130"/>
      <c r="AI6076" s="131"/>
      <c r="AJ6076" s="132"/>
      <c r="AK6076" s="127"/>
      <c r="AL6076" s="128"/>
      <c r="AM6076" s="21"/>
      <c r="AN6076" s="133">
        <v>46074</v>
      </c>
      <c r="AO6076" s="134"/>
      <c r="AP6076" s="135">
        <v>1289</v>
      </c>
      <c r="AQ6076" s="136"/>
      <c r="AR6076" s="118">
        <v>900000</v>
      </c>
      <c r="AS6076" s="119"/>
      <c r="AT6076" s="118">
        <f t="shared" ref="AT6076" si="8087">AR6076*0.1</f>
        <v>90000</v>
      </c>
      <c r="AU6076" s="119"/>
      <c r="AV6076" s="118">
        <v>14340</v>
      </c>
      <c r="AW6076" s="119"/>
      <c r="AX6076" s="118">
        <f t="shared" ref="AX6076" si="8088">SUM(AR6076:AW6076)</f>
        <v>1004340</v>
      </c>
      <c r="AY6076" s="119"/>
      <c r="AZ6076" s="137">
        <v>46077</v>
      </c>
    </row>
    <row r="6077" spans="1:52" ht="17.100000000000001" customHeight="1" thickBot="1">
      <c r="A6077" s="110"/>
      <c r="B6077" s="27" t="s">
        <v>2559</v>
      </c>
      <c r="C6077" s="27">
        <v>30643</v>
      </c>
      <c r="D6077" s="14" t="s">
        <v>2601</v>
      </c>
      <c r="E6077" s="112"/>
      <c r="F6077" s="139" t="s">
        <v>17618</v>
      </c>
      <c r="G6077" s="140"/>
      <c r="H6077" s="141"/>
      <c r="I6077" s="26">
        <v>71641</v>
      </c>
      <c r="J6077" s="117"/>
      <c r="K6077" s="120"/>
      <c r="L6077" s="121"/>
      <c r="M6077" s="120"/>
      <c r="N6077" s="121"/>
      <c r="O6077" s="120"/>
      <c r="P6077" s="121"/>
      <c r="Q6077" s="120"/>
      <c r="R6077" s="121"/>
      <c r="S6077" s="120"/>
      <c r="T6077" s="121"/>
      <c r="U6077" s="120"/>
      <c r="V6077" s="123"/>
      <c r="W6077" s="125"/>
      <c r="X6077" s="142" t="s">
        <v>4318</v>
      </c>
      <c r="Y6077" s="143"/>
      <c r="Z6077" s="143"/>
      <c r="AA6077" s="143"/>
      <c r="AB6077" s="144"/>
      <c r="AC6077" s="16" t="s">
        <v>21</v>
      </c>
      <c r="AD6077" s="17" t="s">
        <v>18232</v>
      </c>
      <c r="AE6077" s="145" t="s">
        <v>10468</v>
      </c>
      <c r="AF6077" s="146"/>
      <c r="AG6077" s="146"/>
      <c r="AH6077" s="146"/>
      <c r="AI6077" s="147"/>
      <c r="AJ6077" s="148"/>
      <c r="AK6077" s="143"/>
      <c r="AL6077" s="144"/>
      <c r="AM6077" s="22"/>
      <c r="AN6077" s="149" t="s">
        <v>2511</v>
      </c>
      <c r="AO6077" s="144"/>
      <c r="AP6077" s="148">
        <v>50127</v>
      </c>
      <c r="AQ6077" s="144"/>
      <c r="AR6077" s="120"/>
      <c r="AS6077" s="121"/>
      <c r="AT6077" s="120"/>
      <c r="AU6077" s="121"/>
      <c r="AV6077" s="120"/>
      <c r="AW6077" s="121"/>
      <c r="AX6077" s="120"/>
      <c r="AY6077" s="121"/>
      <c r="AZ6077" s="138"/>
    </row>
    <row r="6078" spans="1:52" ht="17.100000000000001" customHeight="1" thickTop="1">
      <c r="A6078" s="109" t="s">
        <v>17615</v>
      </c>
      <c r="B6078" s="28">
        <v>46064</v>
      </c>
      <c r="C6078" s="25">
        <v>1825</v>
      </c>
      <c r="D6078" s="13" t="s">
        <v>1597</v>
      </c>
      <c r="E6078" s="111"/>
      <c r="F6078" s="113" t="s">
        <v>17619</v>
      </c>
      <c r="G6078" s="114"/>
      <c r="H6078" s="115"/>
      <c r="I6078" s="24"/>
      <c r="J6078" s="116">
        <v>4.5</v>
      </c>
      <c r="K6078" s="118">
        <v>1495000</v>
      </c>
      <c r="L6078" s="119"/>
      <c r="M6078" s="118">
        <f t="shared" ref="M6078" si="8089">K6078*0.1</f>
        <v>149500</v>
      </c>
      <c r="N6078" s="119"/>
      <c r="O6078" s="118">
        <v>0</v>
      </c>
      <c r="P6078" s="119"/>
      <c r="Q6078" s="118">
        <v>18570</v>
      </c>
      <c r="R6078" s="119"/>
      <c r="S6078" s="118">
        <v>18150</v>
      </c>
      <c r="T6078" s="119"/>
      <c r="U6078" s="118">
        <f t="shared" ref="U6078" si="8090">SUM(K6078:T6079)</f>
        <v>1681220</v>
      </c>
      <c r="V6078" s="122"/>
      <c r="W6078" s="124"/>
      <c r="X6078" s="126" t="s">
        <v>18135</v>
      </c>
      <c r="Y6078" s="127"/>
      <c r="Z6078" s="127"/>
      <c r="AA6078" s="127"/>
      <c r="AB6078" s="128"/>
      <c r="AC6078" s="15" t="s">
        <v>20</v>
      </c>
      <c r="AD6078" s="129" t="s">
        <v>17765</v>
      </c>
      <c r="AE6078" s="130"/>
      <c r="AF6078" s="130"/>
      <c r="AG6078" s="130"/>
      <c r="AH6078" s="130"/>
      <c r="AI6078" s="131"/>
      <c r="AJ6078" s="132"/>
      <c r="AK6078" s="127"/>
      <c r="AL6078" s="128"/>
      <c r="AM6078" s="21"/>
      <c r="AN6078" s="133">
        <v>46067</v>
      </c>
      <c r="AO6078" s="134"/>
      <c r="AP6078" s="135">
        <v>1288</v>
      </c>
      <c r="AQ6078" s="136"/>
      <c r="AR6078" s="118">
        <v>1580000</v>
      </c>
      <c r="AS6078" s="119"/>
      <c r="AT6078" s="118">
        <f t="shared" ref="AT6078" si="8091">AR6078*0.1</f>
        <v>158000</v>
      </c>
      <c r="AU6078" s="119"/>
      <c r="AV6078" s="118">
        <v>18570</v>
      </c>
      <c r="AW6078" s="119"/>
      <c r="AX6078" s="118">
        <f t="shared" ref="AX6078" si="8092">SUM(AR6078:AW6078)</f>
        <v>1756570</v>
      </c>
      <c r="AY6078" s="119"/>
      <c r="AZ6078" s="137">
        <v>46073</v>
      </c>
    </row>
    <row r="6079" spans="1:52" ht="17.100000000000001" customHeight="1" thickBot="1">
      <c r="A6079" s="110"/>
      <c r="B6079" s="27" t="s">
        <v>2559</v>
      </c>
      <c r="C6079" s="27">
        <v>38110</v>
      </c>
      <c r="D6079" s="14" t="s">
        <v>1592</v>
      </c>
      <c r="E6079" s="112"/>
      <c r="F6079" s="139" t="s">
        <v>17620</v>
      </c>
      <c r="G6079" s="140"/>
      <c r="H6079" s="141"/>
      <c r="I6079" s="26">
        <v>25635</v>
      </c>
      <c r="J6079" s="117"/>
      <c r="K6079" s="120"/>
      <c r="L6079" s="121"/>
      <c r="M6079" s="120"/>
      <c r="N6079" s="121"/>
      <c r="O6079" s="120"/>
      <c r="P6079" s="121"/>
      <c r="Q6079" s="120"/>
      <c r="R6079" s="121"/>
      <c r="S6079" s="120"/>
      <c r="T6079" s="121"/>
      <c r="U6079" s="120"/>
      <c r="V6079" s="123"/>
      <c r="W6079" s="125"/>
      <c r="X6079" s="142" t="s">
        <v>4377</v>
      </c>
      <c r="Y6079" s="143"/>
      <c r="Z6079" s="143"/>
      <c r="AA6079" s="143"/>
      <c r="AB6079" s="144"/>
      <c r="AC6079" s="16" t="s">
        <v>21</v>
      </c>
      <c r="AD6079" s="17" t="s">
        <v>1877</v>
      </c>
      <c r="AE6079" s="145" t="s">
        <v>18136</v>
      </c>
      <c r="AF6079" s="146"/>
      <c r="AG6079" s="146"/>
      <c r="AH6079" s="146"/>
      <c r="AI6079" s="147"/>
      <c r="AJ6079" s="148"/>
      <c r="AK6079" s="143"/>
      <c r="AL6079" s="144"/>
      <c r="AM6079" s="22"/>
      <c r="AN6079" s="149" t="s">
        <v>6748</v>
      </c>
      <c r="AO6079" s="144"/>
      <c r="AP6079" s="148">
        <v>80363</v>
      </c>
      <c r="AQ6079" s="144"/>
      <c r="AR6079" s="120"/>
      <c r="AS6079" s="121"/>
      <c r="AT6079" s="120"/>
      <c r="AU6079" s="121"/>
      <c r="AV6079" s="120"/>
      <c r="AW6079" s="121"/>
      <c r="AX6079" s="120"/>
      <c r="AY6079" s="121"/>
      <c r="AZ6079" s="138"/>
    </row>
    <row r="6080" spans="1:52" ht="17.100000000000001" customHeight="1" thickTop="1">
      <c r="A6080" s="109" t="s">
        <v>17647</v>
      </c>
      <c r="B6080" s="28">
        <v>46065</v>
      </c>
      <c r="C6080" s="25">
        <v>1970</v>
      </c>
      <c r="D6080" s="13" t="s">
        <v>1902</v>
      </c>
      <c r="E6080" s="111"/>
      <c r="F6080" s="113" t="s">
        <v>4980</v>
      </c>
      <c r="G6080" s="114"/>
      <c r="H6080" s="115"/>
      <c r="I6080" s="24"/>
      <c r="J6080" s="116">
        <v>4</v>
      </c>
      <c r="K6080" s="118">
        <v>844000</v>
      </c>
      <c r="L6080" s="119"/>
      <c r="M6080" s="118">
        <f t="shared" ref="M6080" si="8093">K6080*0.1</f>
        <v>84400</v>
      </c>
      <c r="N6080" s="119"/>
      <c r="O6080" s="118">
        <v>0</v>
      </c>
      <c r="P6080" s="119"/>
      <c r="Q6080" s="118">
        <v>7440</v>
      </c>
      <c r="R6080" s="119"/>
      <c r="S6080" s="118">
        <v>15950</v>
      </c>
      <c r="T6080" s="119"/>
      <c r="U6080" s="118">
        <f t="shared" ref="U6080" si="8094">SUM(K6080:T6081)</f>
        <v>951790</v>
      </c>
      <c r="V6080" s="122"/>
      <c r="W6080" s="124"/>
      <c r="X6080" s="126" t="s">
        <v>17989</v>
      </c>
      <c r="Y6080" s="127"/>
      <c r="Z6080" s="127"/>
      <c r="AA6080" s="127"/>
      <c r="AB6080" s="128"/>
      <c r="AC6080" s="15" t="s">
        <v>20</v>
      </c>
      <c r="AD6080" s="129"/>
      <c r="AE6080" s="130"/>
      <c r="AF6080" s="130"/>
      <c r="AG6080" s="130"/>
      <c r="AH6080" s="130"/>
      <c r="AI6080" s="131"/>
      <c r="AJ6080" s="132"/>
      <c r="AK6080" s="127"/>
      <c r="AL6080" s="128"/>
      <c r="AM6080" s="21"/>
      <c r="AN6080" s="133">
        <v>46088</v>
      </c>
      <c r="AO6080" s="134"/>
      <c r="AP6080" s="135">
        <v>1291</v>
      </c>
      <c r="AQ6080" s="136"/>
      <c r="AR6080" s="118">
        <v>940000</v>
      </c>
      <c r="AS6080" s="119"/>
      <c r="AT6080" s="118">
        <f t="shared" ref="AT6080" si="8095">AR6080*0.1</f>
        <v>94000</v>
      </c>
      <c r="AU6080" s="119"/>
      <c r="AV6080" s="118">
        <v>7440</v>
      </c>
      <c r="AW6080" s="119"/>
      <c r="AX6080" s="118">
        <f t="shared" ref="AX6080" si="8096">SUM(AR6080:AW6080)</f>
        <v>1041440</v>
      </c>
      <c r="AY6080" s="119"/>
      <c r="AZ6080" s="137">
        <v>46091</v>
      </c>
    </row>
    <row r="6081" spans="1:52" ht="17.100000000000001" customHeight="1" thickBot="1">
      <c r="A6081" s="110"/>
      <c r="B6081" s="27" t="s">
        <v>3792</v>
      </c>
      <c r="C6081" s="27">
        <v>62027</v>
      </c>
      <c r="D6081" s="14" t="s">
        <v>1592</v>
      </c>
      <c r="E6081" s="112"/>
      <c r="F6081" s="139" t="s">
        <v>17634</v>
      </c>
      <c r="G6081" s="140"/>
      <c r="H6081" s="141"/>
      <c r="I6081" s="26">
        <v>58748</v>
      </c>
      <c r="J6081" s="117"/>
      <c r="K6081" s="120"/>
      <c r="L6081" s="121"/>
      <c r="M6081" s="120"/>
      <c r="N6081" s="121"/>
      <c r="O6081" s="120"/>
      <c r="P6081" s="121"/>
      <c r="Q6081" s="120"/>
      <c r="R6081" s="121"/>
      <c r="S6081" s="120"/>
      <c r="T6081" s="121"/>
      <c r="U6081" s="120"/>
      <c r="V6081" s="123"/>
      <c r="W6081" s="125"/>
      <c r="X6081" s="142" t="s">
        <v>3795</v>
      </c>
      <c r="Y6081" s="143"/>
      <c r="Z6081" s="143"/>
      <c r="AA6081" s="143"/>
      <c r="AB6081" s="144"/>
      <c r="AC6081" s="16" t="s">
        <v>21</v>
      </c>
      <c r="AD6081" s="17" t="s">
        <v>3583</v>
      </c>
      <c r="AE6081" s="145"/>
      <c r="AF6081" s="146"/>
      <c r="AG6081" s="146"/>
      <c r="AH6081" s="146"/>
      <c r="AI6081" s="147"/>
      <c r="AJ6081" s="148"/>
      <c r="AK6081" s="143"/>
      <c r="AL6081" s="144"/>
      <c r="AM6081" s="22"/>
      <c r="AN6081" s="149" t="s">
        <v>2511</v>
      </c>
      <c r="AO6081" s="144"/>
      <c r="AP6081" s="148">
        <v>41013</v>
      </c>
      <c r="AQ6081" s="144"/>
      <c r="AR6081" s="120"/>
      <c r="AS6081" s="121"/>
      <c r="AT6081" s="120"/>
      <c r="AU6081" s="121"/>
      <c r="AV6081" s="120"/>
      <c r="AW6081" s="121"/>
      <c r="AX6081" s="120"/>
      <c r="AY6081" s="121"/>
      <c r="AZ6081" s="138"/>
    </row>
    <row r="6082" spans="1:52" ht="17.100000000000001" customHeight="1" thickTop="1">
      <c r="A6082" s="109" t="s">
        <v>17648</v>
      </c>
      <c r="B6082" s="28">
        <v>46065</v>
      </c>
      <c r="C6082" s="25">
        <v>1318</v>
      </c>
      <c r="D6082" s="13" t="s">
        <v>818</v>
      </c>
      <c r="E6082" s="111"/>
      <c r="F6082" s="113" t="s">
        <v>5542</v>
      </c>
      <c r="G6082" s="114"/>
      <c r="H6082" s="115"/>
      <c r="I6082" s="24" t="s">
        <v>1559</v>
      </c>
      <c r="J6082" s="116">
        <v>4</v>
      </c>
      <c r="K6082" s="118">
        <v>935000</v>
      </c>
      <c r="L6082" s="119"/>
      <c r="M6082" s="118">
        <f t="shared" ref="M6082" si="8097">K6082*0.1</f>
        <v>93500</v>
      </c>
      <c r="N6082" s="119"/>
      <c r="O6082" s="118">
        <f>2500+250</f>
        <v>2750</v>
      </c>
      <c r="P6082" s="119"/>
      <c r="Q6082" s="118">
        <v>19440</v>
      </c>
      <c r="R6082" s="119"/>
      <c r="S6082" s="118">
        <v>16500</v>
      </c>
      <c r="T6082" s="119"/>
      <c r="U6082" s="118">
        <f t="shared" ref="U6082" si="8098">SUM(K6082:T6083)</f>
        <v>1067190</v>
      </c>
      <c r="V6082" s="122"/>
      <c r="W6082" s="124"/>
      <c r="X6082" s="126" t="s">
        <v>17656</v>
      </c>
      <c r="Y6082" s="127"/>
      <c r="Z6082" s="127"/>
      <c r="AA6082" s="127"/>
      <c r="AB6082" s="128"/>
      <c r="AC6082" s="15" t="s">
        <v>20</v>
      </c>
      <c r="AD6082" s="129" t="s">
        <v>1565</v>
      </c>
      <c r="AE6082" s="130"/>
      <c r="AF6082" s="130"/>
      <c r="AG6082" s="130"/>
      <c r="AH6082" s="130"/>
      <c r="AI6082" s="131"/>
      <c r="AJ6082" s="132"/>
      <c r="AK6082" s="127"/>
      <c r="AL6082" s="128"/>
      <c r="AM6082" s="21"/>
      <c r="AN6082" s="133">
        <v>46074</v>
      </c>
      <c r="AO6082" s="134"/>
      <c r="AP6082" s="135">
        <v>1289</v>
      </c>
      <c r="AQ6082" s="136"/>
      <c r="AR6082" s="118">
        <v>1085000</v>
      </c>
      <c r="AS6082" s="119"/>
      <c r="AT6082" s="118">
        <f t="shared" ref="AT6082" si="8099">AR6082*0.1</f>
        <v>108500</v>
      </c>
      <c r="AU6082" s="119"/>
      <c r="AV6082" s="118">
        <v>19440</v>
      </c>
      <c r="AW6082" s="119"/>
      <c r="AX6082" s="118">
        <f t="shared" ref="AX6082" si="8100">SUM(AR6082:AW6082)</f>
        <v>1212940</v>
      </c>
      <c r="AY6082" s="119"/>
      <c r="AZ6082" s="137">
        <v>46077</v>
      </c>
    </row>
    <row r="6083" spans="1:52" ht="17.100000000000001" customHeight="1" thickBot="1">
      <c r="A6083" s="110"/>
      <c r="B6083" s="27" t="s">
        <v>13663</v>
      </c>
      <c r="C6083" s="27">
        <v>530</v>
      </c>
      <c r="D6083" s="14" t="s">
        <v>133</v>
      </c>
      <c r="E6083" s="112"/>
      <c r="F6083" s="139" t="s">
        <v>17655</v>
      </c>
      <c r="G6083" s="140"/>
      <c r="H6083" s="141"/>
      <c r="I6083" s="26">
        <v>76249</v>
      </c>
      <c r="J6083" s="117"/>
      <c r="K6083" s="120"/>
      <c r="L6083" s="121"/>
      <c r="M6083" s="120"/>
      <c r="N6083" s="121"/>
      <c r="O6083" s="120"/>
      <c r="P6083" s="121"/>
      <c r="Q6083" s="120"/>
      <c r="R6083" s="121"/>
      <c r="S6083" s="120"/>
      <c r="T6083" s="121"/>
      <c r="U6083" s="120"/>
      <c r="V6083" s="123"/>
      <c r="W6083" s="125"/>
      <c r="X6083" s="142" t="s">
        <v>18274</v>
      </c>
      <c r="Y6083" s="143"/>
      <c r="Z6083" s="143"/>
      <c r="AA6083" s="143"/>
      <c r="AB6083" s="144"/>
      <c r="AC6083" s="16" t="s">
        <v>21</v>
      </c>
      <c r="AD6083" s="17" t="s">
        <v>18232</v>
      </c>
      <c r="AE6083" s="145" t="s">
        <v>1742</v>
      </c>
      <c r="AF6083" s="146"/>
      <c r="AG6083" s="146"/>
      <c r="AH6083" s="146"/>
      <c r="AI6083" s="147"/>
      <c r="AJ6083" s="148"/>
      <c r="AK6083" s="143"/>
      <c r="AL6083" s="144"/>
      <c r="AM6083" s="22"/>
      <c r="AN6083" s="149" t="s">
        <v>2511</v>
      </c>
      <c r="AO6083" s="144"/>
      <c r="AP6083" s="148">
        <v>80009</v>
      </c>
      <c r="AQ6083" s="144"/>
      <c r="AR6083" s="120"/>
      <c r="AS6083" s="121"/>
      <c r="AT6083" s="120"/>
      <c r="AU6083" s="121"/>
      <c r="AV6083" s="120"/>
      <c r="AW6083" s="121"/>
      <c r="AX6083" s="120"/>
      <c r="AY6083" s="121"/>
      <c r="AZ6083" s="138"/>
    </row>
    <row r="6084" spans="1:52" ht="17.100000000000001" customHeight="1" thickTop="1">
      <c r="A6084" s="109" t="s">
        <v>17649</v>
      </c>
      <c r="B6084" s="28">
        <v>46065</v>
      </c>
      <c r="C6084" s="25">
        <v>1318</v>
      </c>
      <c r="D6084" s="13" t="s">
        <v>2234</v>
      </c>
      <c r="E6084" s="111"/>
      <c r="F6084" s="113" t="s">
        <v>17657</v>
      </c>
      <c r="G6084" s="114"/>
      <c r="H6084" s="115"/>
      <c r="I6084" s="24" t="s">
        <v>1559</v>
      </c>
      <c r="J6084" s="116">
        <v>4</v>
      </c>
      <c r="K6084" s="118">
        <v>1320000</v>
      </c>
      <c r="L6084" s="119"/>
      <c r="M6084" s="118">
        <f t="shared" ref="M6084" si="8101">K6084*0.1</f>
        <v>132000</v>
      </c>
      <c r="N6084" s="119"/>
      <c r="O6084" s="118">
        <f>3200+320</f>
        <v>3520</v>
      </c>
      <c r="P6084" s="119"/>
      <c r="Q6084" s="118">
        <v>18570</v>
      </c>
      <c r="R6084" s="119"/>
      <c r="S6084" s="118">
        <v>16500</v>
      </c>
      <c r="T6084" s="119"/>
      <c r="U6084" s="118">
        <f t="shared" ref="U6084" si="8102">SUM(K6084:T6085)</f>
        <v>1490590</v>
      </c>
      <c r="V6084" s="122"/>
      <c r="W6084" s="124"/>
      <c r="X6084" s="126" t="s">
        <v>17659</v>
      </c>
      <c r="Y6084" s="127"/>
      <c r="Z6084" s="127"/>
      <c r="AA6084" s="127"/>
      <c r="AB6084" s="128"/>
      <c r="AC6084" s="15" t="s">
        <v>20</v>
      </c>
      <c r="AD6084" s="129" t="s">
        <v>1565</v>
      </c>
      <c r="AE6084" s="130"/>
      <c r="AF6084" s="130"/>
      <c r="AG6084" s="130"/>
      <c r="AH6084" s="130"/>
      <c r="AI6084" s="131"/>
      <c r="AJ6084" s="132"/>
      <c r="AK6084" s="127"/>
      <c r="AL6084" s="128"/>
      <c r="AM6084" s="21" t="s">
        <v>19856</v>
      </c>
      <c r="AN6084" s="133">
        <v>46095</v>
      </c>
      <c r="AO6084" s="134"/>
      <c r="AP6084" s="135">
        <v>1292</v>
      </c>
      <c r="AQ6084" s="136"/>
      <c r="AR6084" s="118">
        <v>1435000</v>
      </c>
      <c r="AS6084" s="119"/>
      <c r="AT6084" s="118">
        <f t="shared" ref="AT6084" si="8103">AR6084*0.1</f>
        <v>143500</v>
      </c>
      <c r="AU6084" s="119"/>
      <c r="AV6084" s="118">
        <v>18570</v>
      </c>
      <c r="AW6084" s="119"/>
      <c r="AX6084" s="118">
        <f t="shared" ref="AX6084" si="8104">SUM(AR6084:AW6084)</f>
        <v>1597070</v>
      </c>
      <c r="AY6084" s="119"/>
      <c r="AZ6084" s="137">
        <v>46098</v>
      </c>
    </row>
    <row r="6085" spans="1:52" ht="17.100000000000001" customHeight="1" thickBot="1">
      <c r="A6085" s="110"/>
      <c r="B6085" s="27" t="s">
        <v>13663</v>
      </c>
      <c r="C6085" s="27">
        <v>550</v>
      </c>
      <c r="D6085" s="14" t="s">
        <v>1592</v>
      </c>
      <c r="E6085" s="112"/>
      <c r="F6085" s="139" t="s">
        <v>17658</v>
      </c>
      <c r="G6085" s="140"/>
      <c r="H6085" s="141"/>
      <c r="I6085" s="26">
        <v>49532</v>
      </c>
      <c r="J6085" s="117"/>
      <c r="K6085" s="120"/>
      <c r="L6085" s="121"/>
      <c r="M6085" s="120"/>
      <c r="N6085" s="121"/>
      <c r="O6085" s="120"/>
      <c r="P6085" s="121"/>
      <c r="Q6085" s="120"/>
      <c r="R6085" s="121"/>
      <c r="S6085" s="120"/>
      <c r="T6085" s="121"/>
      <c r="U6085" s="120"/>
      <c r="V6085" s="123"/>
      <c r="W6085" s="125"/>
      <c r="X6085" s="142" t="s">
        <v>7732</v>
      </c>
      <c r="Y6085" s="143"/>
      <c r="Z6085" s="143"/>
      <c r="AA6085" s="143"/>
      <c r="AB6085" s="144"/>
      <c r="AC6085" s="16" t="s">
        <v>21</v>
      </c>
      <c r="AD6085" s="17" t="s">
        <v>1877</v>
      </c>
      <c r="AE6085" s="145" t="s">
        <v>1742</v>
      </c>
      <c r="AF6085" s="146"/>
      <c r="AG6085" s="146"/>
      <c r="AH6085" s="146"/>
      <c r="AI6085" s="147"/>
      <c r="AJ6085" s="148"/>
      <c r="AK6085" s="143"/>
      <c r="AL6085" s="144"/>
      <c r="AM6085" s="22"/>
      <c r="AN6085" s="149" t="s">
        <v>2511</v>
      </c>
      <c r="AO6085" s="144"/>
      <c r="AP6085" s="148">
        <v>80298</v>
      </c>
      <c r="AQ6085" s="144"/>
      <c r="AR6085" s="120"/>
      <c r="AS6085" s="121"/>
      <c r="AT6085" s="120"/>
      <c r="AU6085" s="121"/>
      <c r="AV6085" s="120"/>
      <c r="AW6085" s="121"/>
      <c r="AX6085" s="120"/>
      <c r="AY6085" s="121"/>
      <c r="AZ6085" s="138"/>
    </row>
    <row r="6086" spans="1:52" ht="17.100000000000001" customHeight="1" thickTop="1">
      <c r="A6086" s="109" t="s">
        <v>17650</v>
      </c>
      <c r="B6086" s="28">
        <v>46065</v>
      </c>
      <c r="C6086" s="25">
        <v>1318</v>
      </c>
      <c r="D6086" s="13" t="s">
        <v>2359</v>
      </c>
      <c r="E6086" s="111"/>
      <c r="F6086" s="113" t="s">
        <v>17660</v>
      </c>
      <c r="G6086" s="114"/>
      <c r="H6086" s="115"/>
      <c r="I6086" s="24"/>
      <c r="J6086" s="116">
        <v>4.5</v>
      </c>
      <c r="K6086" s="118">
        <v>1640000</v>
      </c>
      <c r="L6086" s="119"/>
      <c r="M6086" s="118">
        <f t="shared" ref="M6086" si="8105">K6086*0.1</f>
        <v>164000</v>
      </c>
      <c r="N6086" s="119"/>
      <c r="O6086" s="118">
        <v>0</v>
      </c>
      <c r="P6086" s="119"/>
      <c r="Q6086" s="118">
        <v>19880</v>
      </c>
      <c r="R6086" s="119"/>
      <c r="S6086" s="118">
        <v>16500</v>
      </c>
      <c r="T6086" s="119"/>
      <c r="U6086" s="118">
        <f t="shared" ref="U6086" si="8106">SUM(K6086:T6087)</f>
        <v>1840380</v>
      </c>
      <c r="V6086" s="122"/>
      <c r="W6086" s="124"/>
      <c r="X6086" s="126" t="s">
        <v>18128</v>
      </c>
      <c r="Y6086" s="127"/>
      <c r="Z6086" s="127"/>
      <c r="AA6086" s="127"/>
      <c r="AB6086" s="128"/>
      <c r="AC6086" s="15" t="s">
        <v>20</v>
      </c>
      <c r="AD6086" s="129" t="s">
        <v>1565</v>
      </c>
      <c r="AE6086" s="130"/>
      <c r="AF6086" s="130"/>
      <c r="AG6086" s="130"/>
      <c r="AH6086" s="130"/>
      <c r="AI6086" s="131"/>
      <c r="AJ6086" s="132"/>
      <c r="AK6086" s="127"/>
      <c r="AL6086" s="128"/>
      <c r="AM6086" s="21"/>
      <c r="AN6086" s="133">
        <v>46067</v>
      </c>
      <c r="AO6086" s="134"/>
      <c r="AP6086" s="135">
        <v>1288</v>
      </c>
      <c r="AQ6086" s="136"/>
      <c r="AR6086" s="118">
        <v>1740000</v>
      </c>
      <c r="AS6086" s="119"/>
      <c r="AT6086" s="118">
        <f t="shared" ref="AT6086" si="8107">AR6086*0.1</f>
        <v>174000</v>
      </c>
      <c r="AU6086" s="119"/>
      <c r="AV6086" s="118">
        <v>19880</v>
      </c>
      <c r="AW6086" s="119"/>
      <c r="AX6086" s="118">
        <f t="shared" ref="AX6086" si="8108">SUM(AR6086:AW6086)</f>
        <v>1933880</v>
      </c>
      <c r="AY6086" s="119"/>
      <c r="AZ6086" s="137">
        <v>46072</v>
      </c>
    </row>
    <row r="6087" spans="1:52" ht="17.100000000000001" customHeight="1" thickBot="1">
      <c r="A6087" s="110"/>
      <c r="B6087" s="27" t="s">
        <v>13663</v>
      </c>
      <c r="C6087" s="27">
        <v>568</v>
      </c>
      <c r="D6087" s="14" t="s">
        <v>1576</v>
      </c>
      <c r="E6087" s="112"/>
      <c r="F6087" s="139" t="s">
        <v>17661</v>
      </c>
      <c r="G6087" s="140"/>
      <c r="H6087" s="141"/>
      <c r="I6087" s="26">
        <v>30040</v>
      </c>
      <c r="J6087" s="117"/>
      <c r="K6087" s="120"/>
      <c r="L6087" s="121"/>
      <c r="M6087" s="120"/>
      <c r="N6087" s="121"/>
      <c r="O6087" s="120"/>
      <c r="P6087" s="121"/>
      <c r="Q6087" s="120"/>
      <c r="R6087" s="121"/>
      <c r="S6087" s="120"/>
      <c r="T6087" s="121"/>
      <c r="U6087" s="120"/>
      <c r="V6087" s="123"/>
      <c r="W6087" s="125"/>
      <c r="X6087" s="142" t="s">
        <v>18129</v>
      </c>
      <c r="Y6087" s="143"/>
      <c r="Z6087" s="143"/>
      <c r="AA6087" s="143"/>
      <c r="AB6087" s="144"/>
      <c r="AC6087" s="16" t="s">
        <v>21</v>
      </c>
      <c r="AD6087" s="17" t="s">
        <v>1877</v>
      </c>
      <c r="AE6087" s="145" t="s">
        <v>1742</v>
      </c>
      <c r="AF6087" s="146"/>
      <c r="AG6087" s="146"/>
      <c r="AH6087" s="146"/>
      <c r="AI6087" s="147"/>
      <c r="AJ6087" s="148"/>
      <c r="AK6087" s="143"/>
      <c r="AL6087" s="144"/>
      <c r="AM6087" s="22"/>
      <c r="AN6087" s="149" t="s">
        <v>2511</v>
      </c>
      <c r="AO6087" s="144"/>
      <c r="AP6087" s="148">
        <v>80359</v>
      </c>
      <c r="AQ6087" s="144"/>
      <c r="AR6087" s="120"/>
      <c r="AS6087" s="121"/>
      <c r="AT6087" s="120"/>
      <c r="AU6087" s="121"/>
      <c r="AV6087" s="120"/>
      <c r="AW6087" s="121"/>
      <c r="AX6087" s="120"/>
      <c r="AY6087" s="121"/>
      <c r="AZ6087" s="138"/>
    </row>
    <row r="6088" spans="1:52" ht="17.100000000000001" customHeight="1" thickTop="1">
      <c r="A6088" s="109" t="s">
        <v>17651</v>
      </c>
      <c r="B6088" s="28">
        <v>46065</v>
      </c>
      <c r="C6088" s="25">
        <v>1318</v>
      </c>
      <c r="D6088" s="13" t="s">
        <v>1725</v>
      </c>
      <c r="E6088" s="111"/>
      <c r="F6088" s="113" t="s">
        <v>14720</v>
      </c>
      <c r="G6088" s="114"/>
      <c r="H6088" s="115"/>
      <c r="I6088" s="24"/>
      <c r="J6088" s="116">
        <v>4.5</v>
      </c>
      <c r="K6088" s="118">
        <v>2075000</v>
      </c>
      <c r="L6088" s="119"/>
      <c r="M6088" s="118">
        <f t="shared" ref="M6088" si="8109">K6088*0.1</f>
        <v>207500</v>
      </c>
      <c r="N6088" s="119"/>
      <c r="O6088" s="118">
        <v>0</v>
      </c>
      <c r="P6088" s="119"/>
      <c r="Q6088" s="118">
        <v>21720</v>
      </c>
      <c r="R6088" s="119"/>
      <c r="S6088" s="118">
        <v>16500</v>
      </c>
      <c r="T6088" s="119"/>
      <c r="U6088" s="118">
        <f t="shared" ref="U6088" si="8110">SUM(K6088:T6089)</f>
        <v>2320720</v>
      </c>
      <c r="V6088" s="122"/>
      <c r="W6088" s="124"/>
      <c r="X6088" s="126" t="s">
        <v>18150</v>
      </c>
      <c r="Y6088" s="127"/>
      <c r="Z6088" s="127"/>
      <c r="AA6088" s="127"/>
      <c r="AB6088" s="128"/>
      <c r="AC6088" s="15" t="s">
        <v>20</v>
      </c>
      <c r="AD6088" s="129" t="s">
        <v>1565</v>
      </c>
      <c r="AE6088" s="130"/>
      <c r="AF6088" s="130"/>
      <c r="AG6088" s="130"/>
      <c r="AH6088" s="130"/>
      <c r="AI6088" s="131"/>
      <c r="AJ6088" s="132"/>
      <c r="AK6088" s="127"/>
      <c r="AL6088" s="128"/>
      <c r="AM6088" s="21"/>
      <c r="AN6088" s="133">
        <v>46074</v>
      </c>
      <c r="AO6088" s="134"/>
      <c r="AP6088" s="135"/>
      <c r="AQ6088" s="136"/>
      <c r="AR6088" s="118">
        <v>2300000</v>
      </c>
      <c r="AS6088" s="119"/>
      <c r="AT6088" s="118">
        <f t="shared" ref="AT6088" si="8111">AR6088*0.1</f>
        <v>230000</v>
      </c>
      <c r="AU6088" s="119"/>
      <c r="AV6088" s="118">
        <v>21720</v>
      </c>
      <c r="AW6088" s="119"/>
      <c r="AX6088" s="118">
        <f t="shared" ref="AX6088" si="8112">SUM(AR6088:AW6088)</f>
        <v>2551720</v>
      </c>
      <c r="AY6088" s="119"/>
      <c r="AZ6088" s="137"/>
    </row>
    <row r="6089" spans="1:52" ht="17.100000000000001" customHeight="1" thickBot="1">
      <c r="A6089" s="110"/>
      <c r="B6089" s="27" t="s">
        <v>13663</v>
      </c>
      <c r="C6089" s="27">
        <v>593</v>
      </c>
      <c r="D6089" s="14" t="s">
        <v>1592</v>
      </c>
      <c r="E6089" s="112"/>
      <c r="F6089" s="139" t="s">
        <v>17662</v>
      </c>
      <c r="G6089" s="140"/>
      <c r="H6089" s="141"/>
      <c r="I6089" s="26">
        <v>62912</v>
      </c>
      <c r="J6089" s="117"/>
      <c r="K6089" s="120"/>
      <c r="L6089" s="121"/>
      <c r="M6089" s="120"/>
      <c r="N6089" s="121"/>
      <c r="O6089" s="120"/>
      <c r="P6089" s="121"/>
      <c r="Q6089" s="120"/>
      <c r="R6089" s="121"/>
      <c r="S6089" s="120"/>
      <c r="T6089" s="121"/>
      <c r="U6089" s="120"/>
      <c r="V6089" s="123"/>
      <c r="W6089" s="125"/>
      <c r="X6089" s="142" t="s">
        <v>11808</v>
      </c>
      <c r="Y6089" s="143"/>
      <c r="Z6089" s="143"/>
      <c r="AA6089" s="143"/>
      <c r="AB6089" s="144"/>
      <c r="AC6089" s="16" t="s">
        <v>21</v>
      </c>
      <c r="AD6089" s="17" t="s">
        <v>1877</v>
      </c>
      <c r="AE6089" s="145" t="s">
        <v>1742</v>
      </c>
      <c r="AF6089" s="146"/>
      <c r="AG6089" s="146"/>
      <c r="AH6089" s="146"/>
      <c r="AI6089" s="147"/>
      <c r="AJ6089" s="148"/>
      <c r="AK6089" s="143"/>
      <c r="AL6089" s="144"/>
      <c r="AM6089" s="22"/>
      <c r="AN6089" s="149" t="s">
        <v>6789</v>
      </c>
      <c r="AO6089" s="144"/>
      <c r="AP6089" s="148">
        <v>52340</v>
      </c>
      <c r="AQ6089" s="144"/>
      <c r="AR6089" s="120"/>
      <c r="AS6089" s="121"/>
      <c r="AT6089" s="120"/>
      <c r="AU6089" s="121"/>
      <c r="AV6089" s="120"/>
      <c r="AW6089" s="121"/>
      <c r="AX6089" s="120"/>
      <c r="AY6089" s="121"/>
      <c r="AZ6089" s="138"/>
    </row>
    <row r="6090" spans="1:52" ht="17.100000000000001" customHeight="1" thickTop="1">
      <c r="A6090" s="109" t="s">
        <v>17652</v>
      </c>
      <c r="B6090" s="28">
        <v>46065</v>
      </c>
      <c r="C6090" s="25">
        <v>1318</v>
      </c>
      <c r="D6090" s="13" t="s">
        <v>818</v>
      </c>
      <c r="E6090" s="111"/>
      <c r="F6090" s="113" t="s">
        <v>17663</v>
      </c>
      <c r="G6090" s="114"/>
      <c r="H6090" s="115"/>
      <c r="I6090" s="24" t="s">
        <v>1559</v>
      </c>
      <c r="J6090" s="116">
        <v>4.5</v>
      </c>
      <c r="K6090" s="118">
        <v>2085000</v>
      </c>
      <c r="L6090" s="119"/>
      <c r="M6090" s="118">
        <f t="shared" ref="M6090" si="8113">K6090*0.1</f>
        <v>208500</v>
      </c>
      <c r="N6090" s="119"/>
      <c r="O6090" s="118">
        <f>3300</f>
        <v>3300</v>
      </c>
      <c r="P6090" s="119"/>
      <c r="Q6090" s="118">
        <v>18220</v>
      </c>
      <c r="R6090" s="119"/>
      <c r="S6090" s="118">
        <v>16500</v>
      </c>
      <c r="T6090" s="119"/>
      <c r="U6090" s="118">
        <f t="shared" ref="U6090" si="8114">SUM(K6090:T6091)</f>
        <v>2331520</v>
      </c>
      <c r="V6090" s="122"/>
      <c r="W6090" s="124"/>
      <c r="X6090" s="126" t="s">
        <v>17665</v>
      </c>
      <c r="Y6090" s="127"/>
      <c r="Z6090" s="127"/>
      <c r="AA6090" s="127"/>
      <c r="AB6090" s="128"/>
      <c r="AC6090" s="15" t="s">
        <v>20</v>
      </c>
      <c r="AD6090" s="129" t="s">
        <v>3412</v>
      </c>
      <c r="AE6090" s="130"/>
      <c r="AF6090" s="130"/>
      <c r="AG6090" s="130"/>
      <c r="AH6090" s="130"/>
      <c r="AI6090" s="131"/>
      <c r="AJ6090" s="132"/>
      <c r="AK6090" s="127"/>
      <c r="AL6090" s="128"/>
      <c r="AM6090" s="21"/>
      <c r="AN6090" s="133">
        <v>46081</v>
      </c>
      <c r="AO6090" s="134"/>
      <c r="AP6090" s="135">
        <v>1290</v>
      </c>
      <c r="AQ6090" s="136"/>
      <c r="AR6090" s="118">
        <v>2200000</v>
      </c>
      <c r="AS6090" s="119"/>
      <c r="AT6090" s="118">
        <f t="shared" ref="AT6090" si="8115">AR6090*0.1</f>
        <v>220000</v>
      </c>
      <c r="AU6090" s="119"/>
      <c r="AV6090" s="118">
        <v>18220</v>
      </c>
      <c r="AW6090" s="119"/>
      <c r="AX6090" s="118">
        <f t="shared" ref="AX6090" si="8116">SUM(AR6090:AW6090)</f>
        <v>2438220</v>
      </c>
      <c r="AY6090" s="119"/>
      <c r="AZ6090" s="137">
        <v>46084</v>
      </c>
    </row>
    <row r="6091" spans="1:52" ht="17.100000000000001" customHeight="1" thickBot="1">
      <c r="A6091" s="110"/>
      <c r="B6091" s="27" t="s">
        <v>13663</v>
      </c>
      <c r="C6091" s="27">
        <v>628</v>
      </c>
      <c r="D6091" s="14" t="s">
        <v>275</v>
      </c>
      <c r="E6091" s="112"/>
      <c r="F6091" s="139" t="s">
        <v>17664</v>
      </c>
      <c r="G6091" s="140"/>
      <c r="H6091" s="141"/>
      <c r="I6091" s="26">
        <v>19367</v>
      </c>
      <c r="J6091" s="117"/>
      <c r="K6091" s="120"/>
      <c r="L6091" s="121"/>
      <c r="M6091" s="120"/>
      <c r="N6091" s="121"/>
      <c r="O6091" s="120"/>
      <c r="P6091" s="121"/>
      <c r="Q6091" s="120"/>
      <c r="R6091" s="121"/>
      <c r="S6091" s="120"/>
      <c r="T6091" s="121"/>
      <c r="U6091" s="120"/>
      <c r="V6091" s="123"/>
      <c r="W6091" s="125"/>
      <c r="X6091" s="142" t="s">
        <v>14891</v>
      </c>
      <c r="Y6091" s="143"/>
      <c r="Z6091" s="143"/>
      <c r="AA6091" s="143"/>
      <c r="AB6091" s="144"/>
      <c r="AC6091" s="16" t="s">
        <v>21</v>
      </c>
      <c r="AD6091" s="17" t="s">
        <v>1877</v>
      </c>
      <c r="AE6091" s="145" t="s">
        <v>1614</v>
      </c>
      <c r="AF6091" s="146"/>
      <c r="AG6091" s="146"/>
      <c r="AH6091" s="146"/>
      <c r="AI6091" s="147"/>
      <c r="AJ6091" s="148"/>
      <c r="AK6091" s="143"/>
      <c r="AL6091" s="144"/>
      <c r="AM6091" s="22"/>
      <c r="AN6091" s="149" t="s">
        <v>2511</v>
      </c>
      <c r="AO6091" s="144"/>
      <c r="AP6091" s="148">
        <v>80283</v>
      </c>
      <c r="AQ6091" s="144"/>
      <c r="AR6091" s="120"/>
      <c r="AS6091" s="121"/>
      <c r="AT6091" s="120"/>
      <c r="AU6091" s="121"/>
      <c r="AV6091" s="120"/>
      <c r="AW6091" s="121"/>
      <c r="AX6091" s="120"/>
      <c r="AY6091" s="121"/>
      <c r="AZ6091" s="138"/>
    </row>
    <row r="6092" spans="1:52" ht="17.100000000000001" customHeight="1" thickTop="1">
      <c r="A6092" s="109" t="s">
        <v>17653</v>
      </c>
      <c r="B6092" s="28">
        <v>46065</v>
      </c>
      <c r="C6092" s="25">
        <v>1318</v>
      </c>
      <c r="D6092" s="13" t="s">
        <v>4609</v>
      </c>
      <c r="E6092" s="111"/>
      <c r="F6092" s="113" t="s">
        <v>17666</v>
      </c>
      <c r="G6092" s="114"/>
      <c r="H6092" s="115"/>
      <c r="I6092" s="24"/>
      <c r="J6092" s="116">
        <v>4</v>
      </c>
      <c r="K6092" s="118">
        <v>160000</v>
      </c>
      <c r="L6092" s="119"/>
      <c r="M6092" s="118">
        <f t="shared" ref="M6092" si="8117">K6092*0.1</f>
        <v>16000</v>
      </c>
      <c r="N6092" s="119"/>
      <c r="O6092" s="118">
        <v>0</v>
      </c>
      <c r="P6092" s="119"/>
      <c r="Q6092" s="118">
        <v>8490</v>
      </c>
      <c r="R6092" s="119"/>
      <c r="S6092" s="118">
        <v>16500</v>
      </c>
      <c r="T6092" s="119"/>
      <c r="U6092" s="118">
        <f t="shared" ref="U6092" si="8118">SUM(K6092:T6093)</f>
        <v>200990</v>
      </c>
      <c r="V6092" s="122"/>
      <c r="W6092" s="124"/>
      <c r="X6092" s="126" t="s">
        <v>18147</v>
      </c>
      <c r="Y6092" s="127"/>
      <c r="Z6092" s="127"/>
      <c r="AA6092" s="127"/>
      <c r="AB6092" s="128"/>
      <c r="AC6092" s="15" t="s">
        <v>20</v>
      </c>
      <c r="AD6092" s="129" t="s">
        <v>11481</v>
      </c>
      <c r="AE6092" s="130"/>
      <c r="AF6092" s="130"/>
      <c r="AG6092" s="130"/>
      <c r="AH6092" s="130"/>
      <c r="AI6092" s="131"/>
      <c r="AJ6092" s="132"/>
      <c r="AK6092" s="127"/>
      <c r="AL6092" s="128"/>
      <c r="AM6092" s="21"/>
      <c r="AN6092" s="133">
        <v>46071</v>
      </c>
      <c r="AO6092" s="134"/>
      <c r="AP6092" s="135">
        <v>1005</v>
      </c>
      <c r="AQ6092" s="136"/>
      <c r="AR6092" s="118">
        <v>220000</v>
      </c>
      <c r="AS6092" s="119"/>
      <c r="AT6092" s="118">
        <f t="shared" ref="AT6092" si="8119">AR6092*0.1</f>
        <v>22000</v>
      </c>
      <c r="AU6092" s="119"/>
      <c r="AV6092" s="118">
        <v>8490</v>
      </c>
      <c r="AW6092" s="119"/>
      <c r="AX6092" s="118">
        <f t="shared" ref="AX6092" si="8120">SUM(AR6092:AW6092)</f>
        <v>250490</v>
      </c>
      <c r="AY6092" s="119"/>
      <c r="AZ6092" s="137">
        <v>46073</v>
      </c>
    </row>
    <row r="6093" spans="1:52" ht="17.100000000000001" customHeight="1" thickBot="1">
      <c r="A6093" s="110"/>
      <c r="B6093" s="27" t="s">
        <v>13663</v>
      </c>
      <c r="C6093" s="27">
        <v>716</v>
      </c>
      <c r="D6093" s="14" t="s">
        <v>133</v>
      </c>
      <c r="E6093" s="112"/>
      <c r="F6093" s="139" t="s">
        <v>17667</v>
      </c>
      <c r="G6093" s="140"/>
      <c r="H6093" s="141"/>
      <c r="I6093" s="26">
        <v>58647</v>
      </c>
      <c r="J6093" s="117"/>
      <c r="K6093" s="120"/>
      <c r="L6093" s="121"/>
      <c r="M6093" s="120"/>
      <c r="N6093" s="121"/>
      <c r="O6093" s="120"/>
      <c r="P6093" s="121"/>
      <c r="Q6093" s="120"/>
      <c r="R6093" s="121"/>
      <c r="S6093" s="120"/>
      <c r="T6093" s="121"/>
      <c r="U6093" s="120"/>
      <c r="V6093" s="123"/>
      <c r="W6093" s="125"/>
      <c r="X6093" s="142" t="s">
        <v>7732</v>
      </c>
      <c r="Y6093" s="143"/>
      <c r="Z6093" s="143"/>
      <c r="AA6093" s="143"/>
      <c r="AB6093" s="144"/>
      <c r="AC6093" s="16" t="s">
        <v>21</v>
      </c>
      <c r="AD6093" s="17" t="s">
        <v>1877</v>
      </c>
      <c r="AE6093" s="145" t="s">
        <v>18148</v>
      </c>
      <c r="AF6093" s="146"/>
      <c r="AG6093" s="146"/>
      <c r="AH6093" s="146"/>
      <c r="AI6093" s="147"/>
      <c r="AJ6093" s="148"/>
      <c r="AK6093" s="143"/>
      <c r="AL6093" s="144"/>
      <c r="AM6093" s="22"/>
      <c r="AN6093" s="149" t="s">
        <v>2794</v>
      </c>
      <c r="AO6093" s="144"/>
      <c r="AP6093" s="148">
        <v>5043</v>
      </c>
      <c r="AQ6093" s="144"/>
      <c r="AR6093" s="120"/>
      <c r="AS6093" s="121"/>
      <c r="AT6093" s="120"/>
      <c r="AU6093" s="121"/>
      <c r="AV6093" s="120"/>
      <c r="AW6093" s="121"/>
      <c r="AX6093" s="120"/>
      <c r="AY6093" s="121"/>
      <c r="AZ6093" s="138"/>
    </row>
    <row r="6094" spans="1:52" ht="17.100000000000001" customHeight="1" thickTop="1">
      <c r="A6094" s="109" t="s">
        <v>17654</v>
      </c>
      <c r="B6094" s="28">
        <v>46065</v>
      </c>
      <c r="C6094" s="25">
        <v>1318</v>
      </c>
      <c r="D6094" s="13" t="s">
        <v>1688</v>
      </c>
      <c r="E6094" s="111"/>
      <c r="F6094" s="113" t="s">
        <v>8589</v>
      </c>
      <c r="G6094" s="114"/>
      <c r="H6094" s="115"/>
      <c r="I6094" s="24"/>
      <c r="J6094" s="116">
        <v>4.5</v>
      </c>
      <c r="K6094" s="118">
        <v>1255000</v>
      </c>
      <c r="L6094" s="119"/>
      <c r="M6094" s="118">
        <f t="shared" ref="M6094" si="8121">K6094*0.1</f>
        <v>125500</v>
      </c>
      <c r="N6094" s="119"/>
      <c r="O6094" s="118">
        <v>0</v>
      </c>
      <c r="P6094" s="119"/>
      <c r="Q6094" s="118">
        <v>8130</v>
      </c>
      <c r="R6094" s="119"/>
      <c r="S6094" s="118">
        <v>16500</v>
      </c>
      <c r="T6094" s="119"/>
      <c r="U6094" s="118">
        <f t="shared" ref="U6094" si="8122">SUM(K6094:T6095)</f>
        <v>1405130</v>
      </c>
      <c r="V6094" s="122"/>
      <c r="W6094" s="124"/>
      <c r="X6094" s="126" t="s">
        <v>17784</v>
      </c>
      <c r="Y6094" s="127"/>
      <c r="Z6094" s="127"/>
      <c r="AA6094" s="127"/>
      <c r="AB6094" s="128"/>
      <c r="AC6094" s="15" t="s">
        <v>20</v>
      </c>
      <c r="AD6094" s="129" t="s">
        <v>1565</v>
      </c>
      <c r="AE6094" s="130"/>
      <c r="AF6094" s="130"/>
      <c r="AG6094" s="130"/>
      <c r="AH6094" s="130"/>
      <c r="AI6094" s="131"/>
      <c r="AJ6094" s="132"/>
      <c r="AK6094" s="127"/>
      <c r="AL6094" s="128"/>
      <c r="AM6094" s="21"/>
      <c r="AN6094" s="133">
        <v>46071</v>
      </c>
      <c r="AO6094" s="134"/>
      <c r="AP6094" s="135">
        <v>1005</v>
      </c>
      <c r="AQ6094" s="136"/>
      <c r="AR6094" s="118">
        <v>1315000</v>
      </c>
      <c r="AS6094" s="119"/>
      <c r="AT6094" s="118">
        <f t="shared" ref="AT6094" si="8123">AR6094*0.1</f>
        <v>131500</v>
      </c>
      <c r="AU6094" s="119"/>
      <c r="AV6094" s="118">
        <v>8130</v>
      </c>
      <c r="AW6094" s="119"/>
      <c r="AX6094" s="118">
        <f t="shared" ref="AX6094" si="8124">SUM(AR6094:AW6094)</f>
        <v>1454630</v>
      </c>
      <c r="AY6094" s="119"/>
      <c r="AZ6094" s="137">
        <v>46073</v>
      </c>
    </row>
    <row r="6095" spans="1:52" ht="17.100000000000001" customHeight="1" thickBot="1">
      <c r="A6095" s="110"/>
      <c r="B6095" s="27" t="s">
        <v>13663</v>
      </c>
      <c r="C6095" s="27">
        <v>757</v>
      </c>
      <c r="D6095" s="14" t="s">
        <v>133</v>
      </c>
      <c r="E6095" s="112"/>
      <c r="F6095" s="139" t="s">
        <v>17668</v>
      </c>
      <c r="G6095" s="140"/>
      <c r="H6095" s="141"/>
      <c r="I6095" s="26">
        <v>24191</v>
      </c>
      <c r="J6095" s="117"/>
      <c r="K6095" s="120"/>
      <c r="L6095" s="121"/>
      <c r="M6095" s="120"/>
      <c r="N6095" s="121"/>
      <c r="O6095" s="120"/>
      <c r="P6095" s="121"/>
      <c r="Q6095" s="120"/>
      <c r="R6095" s="121"/>
      <c r="S6095" s="120"/>
      <c r="T6095" s="121"/>
      <c r="U6095" s="120"/>
      <c r="V6095" s="123"/>
      <c r="W6095" s="125"/>
      <c r="X6095" s="142" t="s">
        <v>17785</v>
      </c>
      <c r="Y6095" s="143"/>
      <c r="Z6095" s="143"/>
      <c r="AA6095" s="143"/>
      <c r="AB6095" s="144"/>
      <c r="AC6095" s="16" t="s">
        <v>21</v>
      </c>
      <c r="AD6095" s="17" t="s">
        <v>17777</v>
      </c>
      <c r="AE6095" s="145" t="s">
        <v>1742</v>
      </c>
      <c r="AF6095" s="146"/>
      <c r="AG6095" s="146"/>
      <c r="AH6095" s="146"/>
      <c r="AI6095" s="147"/>
      <c r="AJ6095" s="148"/>
      <c r="AK6095" s="143"/>
      <c r="AL6095" s="144"/>
      <c r="AM6095" s="22"/>
      <c r="AN6095" s="149" t="s">
        <v>2794</v>
      </c>
      <c r="AO6095" s="144"/>
      <c r="AP6095" s="148">
        <v>5044</v>
      </c>
      <c r="AQ6095" s="144"/>
      <c r="AR6095" s="120"/>
      <c r="AS6095" s="121"/>
      <c r="AT6095" s="120"/>
      <c r="AU6095" s="121"/>
      <c r="AV6095" s="120"/>
      <c r="AW6095" s="121"/>
      <c r="AX6095" s="120"/>
      <c r="AY6095" s="121"/>
      <c r="AZ6095" s="138"/>
    </row>
    <row r="6096" spans="1:52" ht="17.100000000000001" customHeight="1" thickTop="1">
      <c r="A6096" s="109" t="s">
        <v>17801</v>
      </c>
      <c r="B6096" s="28">
        <v>46065</v>
      </c>
      <c r="C6096" s="25">
        <v>2145</v>
      </c>
      <c r="D6096" s="13" t="s">
        <v>17878</v>
      </c>
      <c r="E6096" s="111"/>
      <c r="F6096" s="113" t="s">
        <v>7632</v>
      </c>
      <c r="G6096" s="114"/>
      <c r="H6096" s="115"/>
      <c r="I6096" s="24" t="s">
        <v>2943</v>
      </c>
      <c r="J6096" s="116">
        <v>4.5</v>
      </c>
      <c r="K6096" s="118">
        <v>765000</v>
      </c>
      <c r="L6096" s="119"/>
      <c r="M6096" s="118">
        <f t="shared" ref="M6096" si="8125">K6096*0.1</f>
        <v>76500</v>
      </c>
      <c r="N6096" s="119"/>
      <c r="O6096" s="118">
        <v>0</v>
      </c>
      <c r="P6096" s="119"/>
      <c r="Q6096" s="118">
        <v>7950</v>
      </c>
      <c r="R6096" s="119"/>
      <c r="S6096" s="118">
        <v>14300</v>
      </c>
      <c r="T6096" s="119"/>
      <c r="U6096" s="118">
        <f t="shared" ref="U6096" si="8126">SUM(K6096:T6097)</f>
        <v>863750</v>
      </c>
      <c r="V6096" s="122"/>
      <c r="W6096" s="124"/>
      <c r="X6096" s="126" t="s">
        <v>17879</v>
      </c>
      <c r="Y6096" s="127"/>
      <c r="Z6096" s="127"/>
      <c r="AA6096" s="127"/>
      <c r="AB6096" s="128"/>
      <c r="AC6096" s="15" t="s">
        <v>20</v>
      </c>
      <c r="AD6096" s="129"/>
      <c r="AE6096" s="130"/>
      <c r="AF6096" s="130"/>
      <c r="AG6096" s="130"/>
      <c r="AH6096" s="130"/>
      <c r="AI6096" s="131"/>
      <c r="AJ6096" s="132"/>
      <c r="AK6096" s="127"/>
      <c r="AL6096" s="128"/>
      <c r="AM6096" s="21"/>
      <c r="AN6096" s="133">
        <v>46077</v>
      </c>
      <c r="AO6096" s="134"/>
      <c r="AP6096" s="135">
        <v>1930</v>
      </c>
      <c r="AQ6096" s="136"/>
      <c r="AR6096" s="118">
        <v>788000</v>
      </c>
      <c r="AS6096" s="119"/>
      <c r="AT6096" s="118">
        <f t="shared" ref="AT6096" si="8127">AR6096*0.1</f>
        <v>78800</v>
      </c>
      <c r="AU6096" s="119"/>
      <c r="AV6096" s="118">
        <v>7950</v>
      </c>
      <c r="AW6096" s="119"/>
      <c r="AX6096" s="118">
        <f t="shared" ref="AX6096" si="8128">SUM(AR6096:AW6096)</f>
        <v>874750</v>
      </c>
      <c r="AY6096" s="119"/>
      <c r="AZ6096" s="137"/>
    </row>
    <row r="6097" spans="1:52" ht="17.100000000000001" customHeight="1" thickBot="1">
      <c r="A6097" s="110"/>
      <c r="B6097" s="27" t="s">
        <v>1940</v>
      </c>
      <c r="C6097" s="27">
        <v>2105</v>
      </c>
      <c r="D6097" s="14" t="s">
        <v>17237</v>
      </c>
      <c r="E6097" s="112"/>
      <c r="F6097" s="139" t="s">
        <v>17794</v>
      </c>
      <c r="G6097" s="140"/>
      <c r="H6097" s="141"/>
      <c r="I6097" s="26">
        <v>56287</v>
      </c>
      <c r="J6097" s="117"/>
      <c r="K6097" s="120"/>
      <c r="L6097" s="121"/>
      <c r="M6097" s="120"/>
      <c r="N6097" s="121"/>
      <c r="O6097" s="120"/>
      <c r="P6097" s="121"/>
      <c r="Q6097" s="120"/>
      <c r="R6097" s="121"/>
      <c r="S6097" s="120"/>
      <c r="T6097" s="121"/>
      <c r="U6097" s="120"/>
      <c r="V6097" s="123"/>
      <c r="W6097" s="125"/>
      <c r="X6097" s="142" t="s">
        <v>18156</v>
      </c>
      <c r="Y6097" s="143"/>
      <c r="Z6097" s="143"/>
      <c r="AA6097" s="143"/>
      <c r="AB6097" s="144"/>
      <c r="AC6097" s="16" t="s">
        <v>21</v>
      </c>
      <c r="AD6097" s="17" t="s">
        <v>1877</v>
      </c>
      <c r="AE6097" s="145" t="s">
        <v>18157</v>
      </c>
      <c r="AF6097" s="146"/>
      <c r="AG6097" s="146"/>
      <c r="AH6097" s="146"/>
      <c r="AI6097" s="147"/>
      <c r="AJ6097" s="148"/>
      <c r="AK6097" s="143"/>
      <c r="AL6097" s="144"/>
      <c r="AM6097" s="22"/>
      <c r="AN6097" s="149" t="s">
        <v>2131</v>
      </c>
      <c r="AO6097" s="144"/>
      <c r="AP6097" s="148">
        <v>3129</v>
      </c>
      <c r="AQ6097" s="144"/>
      <c r="AR6097" s="120"/>
      <c r="AS6097" s="121"/>
      <c r="AT6097" s="120"/>
      <c r="AU6097" s="121"/>
      <c r="AV6097" s="120"/>
      <c r="AW6097" s="121"/>
      <c r="AX6097" s="120"/>
      <c r="AY6097" s="121"/>
      <c r="AZ6097" s="138"/>
    </row>
    <row r="6098" spans="1:52" ht="17.100000000000001" customHeight="1" thickTop="1">
      <c r="A6098" s="109" t="s">
        <v>17802</v>
      </c>
      <c r="B6098" s="28">
        <v>46065</v>
      </c>
      <c r="C6098" s="25">
        <v>2145</v>
      </c>
      <c r="D6098" s="13" t="s">
        <v>1971</v>
      </c>
      <c r="E6098" s="111"/>
      <c r="F6098" s="113" t="s">
        <v>16047</v>
      </c>
      <c r="G6098" s="114"/>
      <c r="H6098" s="115"/>
      <c r="I6098" s="24" t="s">
        <v>17880</v>
      </c>
      <c r="J6098" s="116">
        <v>4</v>
      </c>
      <c r="K6098" s="118">
        <v>789000</v>
      </c>
      <c r="L6098" s="119"/>
      <c r="M6098" s="118">
        <f t="shared" ref="M6098" si="8129">K6098*0.1</f>
        <v>78900</v>
      </c>
      <c r="N6098" s="119"/>
      <c r="O6098" s="118">
        <v>0</v>
      </c>
      <c r="P6098" s="119"/>
      <c r="Q6098" s="118">
        <v>8510</v>
      </c>
      <c r="R6098" s="119"/>
      <c r="S6098" s="118">
        <v>14300</v>
      </c>
      <c r="T6098" s="119"/>
      <c r="U6098" s="118">
        <f t="shared" ref="U6098" si="8130">SUM(K6098:T6099)</f>
        <v>890710</v>
      </c>
      <c r="V6098" s="122"/>
      <c r="W6098" s="124"/>
      <c r="X6098" s="126" t="s">
        <v>18389</v>
      </c>
      <c r="Y6098" s="127"/>
      <c r="Z6098" s="127"/>
      <c r="AA6098" s="127"/>
      <c r="AB6098" s="128"/>
      <c r="AC6098" s="15" t="s">
        <v>20</v>
      </c>
      <c r="AD6098" s="129" t="s">
        <v>17881</v>
      </c>
      <c r="AE6098" s="130"/>
      <c r="AF6098" s="130"/>
      <c r="AG6098" s="130"/>
      <c r="AH6098" s="130"/>
      <c r="AI6098" s="131"/>
      <c r="AJ6098" s="132"/>
      <c r="AK6098" s="127"/>
      <c r="AL6098" s="128"/>
      <c r="AM6098" s="21"/>
      <c r="AN6098" s="133">
        <v>46071</v>
      </c>
      <c r="AO6098" s="134"/>
      <c r="AP6098" s="135">
        <v>1005</v>
      </c>
      <c r="AQ6098" s="136"/>
      <c r="AR6098" s="118">
        <v>865000</v>
      </c>
      <c r="AS6098" s="119"/>
      <c r="AT6098" s="118">
        <f t="shared" ref="AT6098" si="8131">AR6098*0.1</f>
        <v>86500</v>
      </c>
      <c r="AU6098" s="119"/>
      <c r="AV6098" s="118">
        <v>8510</v>
      </c>
      <c r="AW6098" s="119"/>
      <c r="AX6098" s="118">
        <f t="shared" ref="AX6098" si="8132">SUM(AR6098:AW6098)</f>
        <v>960010</v>
      </c>
      <c r="AY6098" s="119"/>
      <c r="AZ6098" s="137">
        <v>46077</v>
      </c>
    </row>
    <row r="6099" spans="1:52" ht="17.100000000000001" customHeight="1" thickBot="1">
      <c r="A6099" s="110"/>
      <c r="B6099" s="27" t="s">
        <v>1940</v>
      </c>
      <c r="C6099" s="27">
        <v>2515</v>
      </c>
      <c r="D6099" s="14" t="s">
        <v>1720</v>
      </c>
      <c r="E6099" s="112"/>
      <c r="F6099" s="139" t="s">
        <v>17795</v>
      </c>
      <c r="G6099" s="140"/>
      <c r="H6099" s="141"/>
      <c r="I6099" s="26">
        <v>8434</v>
      </c>
      <c r="J6099" s="117"/>
      <c r="K6099" s="120"/>
      <c r="L6099" s="121"/>
      <c r="M6099" s="120"/>
      <c r="N6099" s="121"/>
      <c r="O6099" s="120"/>
      <c r="P6099" s="121"/>
      <c r="Q6099" s="120"/>
      <c r="R6099" s="121"/>
      <c r="S6099" s="120"/>
      <c r="T6099" s="121"/>
      <c r="U6099" s="120"/>
      <c r="V6099" s="123"/>
      <c r="W6099" s="125"/>
      <c r="X6099" s="142" t="s">
        <v>2992</v>
      </c>
      <c r="Y6099" s="143"/>
      <c r="Z6099" s="143"/>
      <c r="AA6099" s="143"/>
      <c r="AB6099" s="144"/>
      <c r="AC6099" s="16" t="s">
        <v>21</v>
      </c>
      <c r="AD6099" s="17" t="s">
        <v>18390</v>
      </c>
      <c r="AE6099" s="145" t="s">
        <v>4617</v>
      </c>
      <c r="AF6099" s="146"/>
      <c r="AG6099" s="146"/>
      <c r="AH6099" s="146"/>
      <c r="AI6099" s="147"/>
      <c r="AJ6099" s="148"/>
      <c r="AK6099" s="143"/>
      <c r="AL6099" s="144"/>
      <c r="AM6099" s="22"/>
      <c r="AN6099" s="149" t="s">
        <v>2794</v>
      </c>
      <c r="AO6099" s="144"/>
      <c r="AP6099" s="148">
        <v>5041</v>
      </c>
      <c r="AQ6099" s="144"/>
      <c r="AR6099" s="120"/>
      <c r="AS6099" s="121"/>
      <c r="AT6099" s="120"/>
      <c r="AU6099" s="121"/>
      <c r="AV6099" s="120"/>
      <c r="AW6099" s="121"/>
      <c r="AX6099" s="120"/>
      <c r="AY6099" s="121"/>
      <c r="AZ6099" s="138"/>
    </row>
    <row r="6100" spans="1:52" ht="17.100000000000001" customHeight="1" thickTop="1">
      <c r="A6100" s="109" t="s">
        <v>17803</v>
      </c>
      <c r="B6100" s="28">
        <v>46065</v>
      </c>
      <c r="C6100" s="25">
        <v>2145</v>
      </c>
      <c r="D6100" s="13" t="s">
        <v>1642</v>
      </c>
      <c r="E6100" s="111"/>
      <c r="F6100" s="113" t="s">
        <v>17882</v>
      </c>
      <c r="G6100" s="114"/>
      <c r="H6100" s="115"/>
      <c r="I6100" s="24" t="s">
        <v>9318</v>
      </c>
      <c r="J6100" s="116">
        <v>5</v>
      </c>
      <c r="K6100" s="118">
        <v>1560000</v>
      </c>
      <c r="L6100" s="119"/>
      <c r="M6100" s="118">
        <f t="shared" ref="M6100" si="8133">K6100*0.1</f>
        <v>156000</v>
      </c>
      <c r="N6100" s="119"/>
      <c r="O6100" s="118">
        <v>0</v>
      </c>
      <c r="P6100" s="119"/>
      <c r="Q6100" s="118">
        <v>9710</v>
      </c>
      <c r="R6100" s="119"/>
      <c r="S6100" s="118">
        <v>14300</v>
      </c>
      <c r="T6100" s="119"/>
      <c r="U6100" s="118">
        <f t="shared" ref="U6100" si="8134">SUM(K6100:T6101)</f>
        <v>1740010</v>
      </c>
      <c r="V6100" s="122"/>
      <c r="W6100" s="124"/>
      <c r="X6100" s="126" t="s">
        <v>17883</v>
      </c>
      <c r="Y6100" s="127"/>
      <c r="Z6100" s="127"/>
      <c r="AA6100" s="127"/>
      <c r="AB6100" s="128"/>
      <c r="AC6100" s="15" t="s">
        <v>20</v>
      </c>
      <c r="AD6100" s="129" t="s">
        <v>15583</v>
      </c>
      <c r="AE6100" s="130"/>
      <c r="AF6100" s="130"/>
      <c r="AG6100" s="130"/>
      <c r="AH6100" s="130"/>
      <c r="AI6100" s="131"/>
      <c r="AJ6100" s="132"/>
      <c r="AK6100" s="127"/>
      <c r="AL6100" s="128"/>
      <c r="AM6100" s="21"/>
      <c r="AN6100" s="133">
        <v>46095</v>
      </c>
      <c r="AO6100" s="134"/>
      <c r="AP6100" s="135">
        <v>1292</v>
      </c>
      <c r="AQ6100" s="136"/>
      <c r="AR6100" s="118">
        <v>1560000</v>
      </c>
      <c r="AS6100" s="119"/>
      <c r="AT6100" s="118">
        <f t="shared" ref="AT6100" si="8135">AR6100*0.1</f>
        <v>156000</v>
      </c>
      <c r="AU6100" s="119"/>
      <c r="AV6100" s="118">
        <v>9710</v>
      </c>
      <c r="AW6100" s="119"/>
      <c r="AX6100" s="118">
        <f t="shared" ref="AX6100" si="8136">SUM(AR6100:AW6100)</f>
        <v>1725710</v>
      </c>
      <c r="AY6100" s="119"/>
      <c r="AZ6100" s="137">
        <v>46098</v>
      </c>
    </row>
    <row r="6101" spans="1:52" ht="17.100000000000001" customHeight="1" thickBot="1">
      <c r="A6101" s="110"/>
      <c r="B6101" s="27" t="s">
        <v>1940</v>
      </c>
      <c r="C6101" s="27">
        <v>2517</v>
      </c>
      <c r="D6101" s="14" t="s">
        <v>2560</v>
      </c>
      <c r="E6101" s="112"/>
      <c r="F6101" s="139" t="s">
        <v>17796</v>
      </c>
      <c r="G6101" s="140"/>
      <c r="H6101" s="141"/>
      <c r="I6101" s="26">
        <v>28020</v>
      </c>
      <c r="J6101" s="117"/>
      <c r="K6101" s="120"/>
      <c r="L6101" s="121"/>
      <c r="M6101" s="120"/>
      <c r="N6101" s="121"/>
      <c r="O6101" s="120"/>
      <c r="P6101" s="121"/>
      <c r="Q6101" s="120"/>
      <c r="R6101" s="121"/>
      <c r="S6101" s="120"/>
      <c r="T6101" s="121"/>
      <c r="U6101" s="120"/>
      <c r="V6101" s="123"/>
      <c r="W6101" s="125"/>
      <c r="X6101" s="142" t="s">
        <v>18158</v>
      </c>
      <c r="Y6101" s="143"/>
      <c r="Z6101" s="143"/>
      <c r="AA6101" s="143"/>
      <c r="AB6101" s="144"/>
      <c r="AC6101" s="16" t="s">
        <v>21</v>
      </c>
      <c r="AD6101" s="17" t="s">
        <v>1877</v>
      </c>
      <c r="AE6101" s="145" t="s">
        <v>4106</v>
      </c>
      <c r="AF6101" s="146"/>
      <c r="AG6101" s="146"/>
      <c r="AH6101" s="146"/>
      <c r="AI6101" s="147"/>
      <c r="AJ6101" s="148"/>
      <c r="AK6101" s="143"/>
      <c r="AL6101" s="144"/>
      <c r="AM6101" s="22"/>
      <c r="AN6101" s="149" t="s">
        <v>2511</v>
      </c>
      <c r="AO6101" s="144"/>
      <c r="AP6101" s="148">
        <v>60001</v>
      </c>
      <c r="AQ6101" s="144"/>
      <c r="AR6101" s="120"/>
      <c r="AS6101" s="121"/>
      <c r="AT6101" s="120"/>
      <c r="AU6101" s="121"/>
      <c r="AV6101" s="120"/>
      <c r="AW6101" s="121"/>
      <c r="AX6101" s="120"/>
      <c r="AY6101" s="121"/>
      <c r="AZ6101" s="138"/>
    </row>
    <row r="6102" spans="1:52" ht="17.100000000000001" customHeight="1" thickTop="1">
      <c r="A6102" s="109" t="s">
        <v>17804</v>
      </c>
      <c r="B6102" s="28">
        <v>46065</v>
      </c>
      <c r="C6102" s="25">
        <v>2145</v>
      </c>
      <c r="D6102" s="13" t="s">
        <v>1563</v>
      </c>
      <c r="E6102" s="111"/>
      <c r="F6102" s="113" t="s">
        <v>17884</v>
      </c>
      <c r="G6102" s="114"/>
      <c r="H6102" s="115"/>
      <c r="I6102" s="24" t="s">
        <v>17885</v>
      </c>
      <c r="J6102" s="116">
        <v>5</v>
      </c>
      <c r="K6102" s="118">
        <v>1070000</v>
      </c>
      <c r="L6102" s="119"/>
      <c r="M6102" s="118">
        <f t="shared" ref="M6102" si="8137">K6102*0.1</f>
        <v>107000</v>
      </c>
      <c r="N6102" s="119"/>
      <c r="O6102" s="118">
        <v>0</v>
      </c>
      <c r="P6102" s="119"/>
      <c r="Q6102" s="118">
        <v>8320</v>
      </c>
      <c r="R6102" s="119"/>
      <c r="S6102" s="118">
        <v>14300</v>
      </c>
      <c r="T6102" s="119"/>
      <c r="U6102" s="118">
        <f t="shared" ref="U6102" si="8138">SUM(K6102:T6103)</f>
        <v>1199620</v>
      </c>
      <c r="V6102" s="122"/>
      <c r="W6102" s="124"/>
      <c r="X6102" s="126" t="s">
        <v>17886</v>
      </c>
      <c r="Y6102" s="127"/>
      <c r="Z6102" s="127"/>
      <c r="AA6102" s="127"/>
      <c r="AB6102" s="128"/>
      <c r="AC6102" s="15" t="s">
        <v>20</v>
      </c>
      <c r="AD6102" s="129" t="s">
        <v>186</v>
      </c>
      <c r="AE6102" s="130"/>
      <c r="AF6102" s="130"/>
      <c r="AG6102" s="130"/>
      <c r="AH6102" s="130"/>
      <c r="AI6102" s="131"/>
      <c r="AJ6102" s="132"/>
      <c r="AK6102" s="127"/>
      <c r="AL6102" s="128"/>
      <c r="AM6102" s="21"/>
      <c r="AN6102" s="133"/>
      <c r="AO6102" s="134"/>
      <c r="AP6102" s="135"/>
      <c r="AQ6102" s="136"/>
      <c r="AR6102" s="118"/>
      <c r="AS6102" s="119"/>
      <c r="AT6102" s="118">
        <f t="shared" ref="AT6102" si="8139">AR6102*0.1</f>
        <v>0</v>
      </c>
      <c r="AU6102" s="119"/>
      <c r="AV6102" s="118"/>
      <c r="AW6102" s="119"/>
      <c r="AX6102" s="118">
        <f t="shared" ref="AX6102" si="8140">SUM(AR6102:AW6102)</f>
        <v>0</v>
      </c>
      <c r="AY6102" s="119"/>
      <c r="AZ6102" s="137"/>
    </row>
    <row r="6103" spans="1:52" ht="17.100000000000001" customHeight="1" thickBot="1">
      <c r="A6103" s="110"/>
      <c r="B6103" s="27" t="s">
        <v>1940</v>
      </c>
      <c r="C6103" s="27">
        <v>2570</v>
      </c>
      <c r="D6103" s="14" t="s">
        <v>1700</v>
      </c>
      <c r="E6103" s="112"/>
      <c r="F6103" s="139" t="s">
        <v>17797</v>
      </c>
      <c r="G6103" s="140"/>
      <c r="H6103" s="141"/>
      <c r="I6103" s="26">
        <v>3940</v>
      </c>
      <c r="J6103" s="117"/>
      <c r="K6103" s="120"/>
      <c r="L6103" s="121"/>
      <c r="M6103" s="120"/>
      <c r="N6103" s="121"/>
      <c r="O6103" s="120"/>
      <c r="P6103" s="121"/>
      <c r="Q6103" s="120"/>
      <c r="R6103" s="121"/>
      <c r="S6103" s="120"/>
      <c r="T6103" s="121"/>
      <c r="U6103" s="120"/>
      <c r="V6103" s="123"/>
      <c r="W6103" s="125"/>
      <c r="X6103" s="142" t="s">
        <v>18130</v>
      </c>
      <c r="Y6103" s="143"/>
      <c r="Z6103" s="143"/>
      <c r="AA6103" s="143"/>
      <c r="AB6103" s="144"/>
      <c r="AC6103" s="16" t="s">
        <v>21</v>
      </c>
      <c r="AD6103" s="17" t="s">
        <v>1877</v>
      </c>
      <c r="AE6103" s="145" t="s">
        <v>2441</v>
      </c>
      <c r="AF6103" s="146"/>
      <c r="AG6103" s="146"/>
      <c r="AH6103" s="146"/>
      <c r="AI6103" s="147"/>
      <c r="AJ6103" s="148"/>
      <c r="AK6103" s="143"/>
      <c r="AL6103" s="144"/>
      <c r="AM6103" s="22"/>
      <c r="AN6103" s="149"/>
      <c r="AO6103" s="144"/>
      <c r="AP6103" s="148"/>
      <c r="AQ6103" s="144"/>
      <c r="AR6103" s="120"/>
      <c r="AS6103" s="121"/>
      <c r="AT6103" s="120"/>
      <c r="AU6103" s="121"/>
      <c r="AV6103" s="120"/>
      <c r="AW6103" s="121"/>
      <c r="AX6103" s="120"/>
      <c r="AY6103" s="121"/>
      <c r="AZ6103" s="138"/>
    </row>
    <row r="6104" spans="1:52" ht="17.100000000000001" customHeight="1" thickTop="1">
      <c r="A6104" s="109" t="s">
        <v>17805</v>
      </c>
      <c r="B6104" s="28">
        <v>46065</v>
      </c>
      <c r="C6104" s="25">
        <v>2145</v>
      </c>
      <c r="D6104" s="13" t="s">
        <v>2359</v>
      </c>
      <c r="E6104" s="111"/>
      <c r="F6104" s="113" t="s">
        <v>15289</v>
      </c>
      <c r="G6104" s="114"/>
      <c r="H6104" s="115"/>
      <c r="I6104" s="24"/>
      <c r="J6104" s="116">
        <v>4.5</v>
      </c>
      <c r="K6104" s="118">
        <v>903000</v>
      </c>
      <c r="L6104" s="119"/>
      <c r="M6104" s="118">
        <f t="shared" ref="M6104" si="8141">K6104*0.1</f>
        <v>90300</v>
      </c>
      <c r="N6104" s="119"/>
      <c r="O6104" s="118">
        <v>0</v>
      </c>
      <c r="P6104" s="119"/>
      <c r="Q6104" s="118">
        <v>8740</v>
      </c>
      <c r="R6104" s="119"/>
      <c r="S6104" s="118">
        <v>14300</v>
      </c>
      <c r="T6104" s="119"/>
      <c r="U6104" s="118">
        <f t="shared" ref="U6104" si="8142">SUM(K6104:T6105)</f>
        <v>1016340</v>
      </c>
      <c r="V6104" s="122"/>
      <c r="W6104" s="124"/>
      <c r="X6104" s="126" t="s">
        <v>18235</v>
      </c>
      <c r="Y6104" s="127"/>
      <c r="Z6104" s="127"/>
      <c r="AA6104" s="127"/>
      <c r="AB6104" s="128"/>
      <c r="AC6104" s="15" t="s">
        <v>20</v>
      </c>
      <c r="AD6104" s="129" t="s">
        <v>15300</v>
      </c>
      <c r="AE6104" s="130"/>
      <c r="AF6104" s="130"/>
      <c r="AG6104" s="130"/>
      <c r="AH6104" s="130"/>
      <c r="AI6104" s="131"/>
      <c r="AJ6104" s="132"/>
      <c r="AK6104" s="127"/>
      <c r="AL6104" s="128"/>
      <c r="AM6104" s="21"/>
      <c r="AN6104" s="133"/>
      <c r="AO6104" s="134"/>
      <c r="AP6104" s="135"/>
      <c r="AQ6104" s="136"/>
      <c r="AR6104" s="118"/>
      <c r="AS6104" s="119"/>
      <c r="AT6104" s="118">
        <f t="shared" ref="AT6104" si="8143">AR6104*0.1</f>
        <v>0</v>
      </c>
      <c r="AU6104" s="119"/>
      <c r="AV6104" s="118"/>
      <c r="AW6104" s="119"/>
      <c r="AX6104" s="118">
        <f t="shared" ref="AX6104" si="8144">SUM(AR6104:AW6104)</f>
        <v>0</v>
      </c>
      <c r="AY6104" s="119"/>
      <c r="AZ6104" s="137"/>
    </row>
    <row r="6105" spans="1:52" ht="17.100000000000001" customHeight="1" thickBot="1">
      <c r="A6105" s="110"/>
      <c r="B6105" s="27" t="s">
        <v>1940</v>
      </c>
      <c r="C6105" s="27">
        <v>2572</v>
      </c>
      <c r="D6105" s="14" t="s">
        <v>1720</v>
      </c>
      <c r="E6105" s="112"/>
      <c r="F6105" s="139" t="s">
        <v>17798</v>
      </c>
      <c r="G6105" s="140"/>
      <c r="H6105" s="141"/>
      <c r="I6105" s="26">
        <v>8908</v>
      </c>
      <c r="J6105" s="117"/>
      <c r="K6105" s="120"/>
      <c r="L6105" s="121"/>
      <c r="M6105" s="120"/>
      <c r="N6105" s="121"/>
      <c r="O6105" s="120"/>
      <c r="P6105" s="121"/>
      <c r="Q6105" s="120"/>
      <c r="R6105" s="121"/>
      <c r="S6105" s="120"/>
      <c r="T6105" s="121"/>
      <c r="U6105" s="120"/>
      <c r="V6105" s="123"/>
      <c r="W6105" s="125"/>
      <c r="X6105" s="142" t="s">
        <v>18236</v>
      </c>
      <c r="Y6105" s="143"/>
      <c r="Z6105" s="143"/>
      <c r="AA6105" s="143"/>
      <c r="AB6105" s="144"/>
      <c r="AC6105" s="16" t="s">
        <v>21</v>
      </c>
      <c r="AD6105" s="17" t="s">
        <v>18232</v>
      </c>
      <c r="AE6105" s="145" t="s">
        <v>18237</v>
      </c>
      <c r="AF6105" s="146"/>
      <c r="AG6105" s="146"/>
      <c r="AH6105" s="146"/>
      <c r="AI6105" s="147"/>
      <c r="AJ6105" s="148"/>
      <c r="AK6105" s="143"/>
      <c r="AL6105" s="144"/>
      <c r="AM6105" s="22"/>
      <c r="AN6105" s="149"/>
      <c r="AO6105" s="144"/>
      <c r="AP6105" s="148"/>
      <c r="AQ6105" s="144"/>
      <c r="AR6105" s="120"/>
      <c r="AS6105" s="121"/>
      <c r="AT6105" s="120"/>
      <c r="AU6105" s="121"/>
      <c r="AV6105" s="120"/>
      <c r="AW6105" s="121"/>
      <c r="AX6105" s="120"/>
      <c r="AY6105" s="121"/>
      <c r="AZ6105" s="138"/>
    </row>
    <row r="6106" spans="1:52" ht="17.100000000000001" customHeight="1" thickTop="1">
      <c r="A6106" s="109" t="s">
        <v>17806</v>
      </c>
      <c r="B6106" s="28">
        <v>46065</v>
      </c>
      <c r="C6106" s="25">
        <v>2145</v>
      </c>
      <c r="D6106" s="13" t="s">
        <v>2697</v>
      </c>
      <c r="E6106" s="111"/>
      <c r="F6106" s="113" t="s">
        <v>17887</v>
      </c>
      <c r="G6106" s="114"/>
      <c r="H6106" s="115"/>
      <c r="I6106" s="24"/>
      <c r="J6106" s="116">
        <v>4.5</v>
      </c>
      <c r="K6106" s="118">
        <v>1495000</v>
      </c>
      <c r="L6106" s="119"/>
      <c r="M6106" s="118">
        <f t="shared" ref="M6106" si="8145">K6106*0.1</f>
        <v>149500</v>
      </c>
      <c r="N6106" s="119"/>
      <c r="O6106" s="118">
        <v>0</v>
      </c>
      <c r="P6106" s="119"/>
      <c r="Q6106" s="118">
        <v>14200</v>
      </c>
      <c r="R6106" s="119"/>
      <c r="S6106" s="118">
        <v>14300</v>
      </c>
      <c r="T6106" s="119"/>
      <c r="U6106" s="118">
        <f t="shared" ref="U6106" si="8146">SUM(K6106:T6107)</f>
        <v>1673000</v>
      </c>
      <c r="V6106" s="122"/>
      <c r="W6106" s="124"/>
      <c r="X6106" s="126" t="s">
        <v>18155</v>
      </c>
      <c r="Y6106" s="127"/>
      <c r="Z6106" s="127"/>
      <c r="AA6106" s="127"/>
      <c r="AB6106" s="128"/>
      <c r="AC6106" s="15" t="s">
        <v>20</v>
      </c>
      <c r="AD6106" s="129"/>
      <c r="AE6106" s="130"/>
      <c r="AF6106" s="130"/>
      <c r="AG6106" s="130"/>
      <c r="AH6106" s="130"/>
      <c r="AI6106" s="131"/>
      <c r="AJ6106" s="132"/>
      <c r="AK6106" s="127"/>
      <c r="AL6106" s="128"/>
      <c r="AM6106" s="21"/>
      <c r="AN6106" s="133">
        <v>46112</v>
      </c>
      <c r="AO6106" s="134"/>
      <c r="AP6106" s="135"/>
      <c r="AQ6106" s="136"/>
      <c r="AR6106" s="118">
        <v>1600000</v>
      </c>
      <c r="AS6106" s="119"/>
      <c r="AT6106" s="118">
        <f t="shared" ref="AT6106" si="8147">AR6106*0.1</f>
        <v>160000</v>
      </c>
      <c r="AU6106" s="119"/>
      <c r="AV6106" s="118">
        <v>14200</v>
      </c>
      <c r="AW6106" s="119"/>
      <c r="AX6106" s="118">
        <f t="shared" ref="AX6106" si="8148">SUM(AR6106:AW6106)</f>
        <v>1774200</v>
      </c>
      <c r="AY6106" s="119"/>
      <c r="AZ6106" s="137"/>
    </row>
    <row r="6107" spans="1:52" ht="17.100000000000001" customHeight="1" thickBot="1">
      <c r="A6107" s="110"/>
      <c r="B6107" s="27" t="s">
        <v>1940</v>
      </c>
      <c r="C6107" s="27">
        <v>2607</v>
      </c>
      <c r="D6107" s="14" t="s">
        <v>275</v>
      </c>
      <c r="E6107" s="112"/>
      <c r="F6107" s="139" t="s">
        <v>17799</v>
      </c>
      <c r="G6107" s="140"/>
      <c r="H6107" s="141"/>
      <c r="I6107" s="26">
        <v>13243</v>
      </c>
      <c r="J6107" s="117"/>
      <c r="K6107" s="120"/>
      <c r="L6107" s="121"/>
      <c r="M6107" s="120"/>
      <c r="N6107" s="121"/>
      <c r="O6107" s="120"/>
      <c r="P6107" s="121"/>
      <c r="Q6107" s="120"/>
      <c r="R6107" s="121"/>
      <c r="S6107" s="120"/>
      <c r="T6107" s="121"/>
      <c r="U6107" s="120"/>
      <c r="V6107" s="123"/>
      <c r="W6107" s="125"/>
      <c r="X6107" s="142" t="s">
        <v>2440</v>
      </c>
      <c r="Y6107" s="143"/>
      <c r="Z6107" s="143"/>
      <c r="AA6107" s="143"/>
      <c r="AB6107" s="144"/>
      <c r="AC6107" s="16" t="s">
        <v>21</v>
      </c>
      <c r="AD6107" s="17" t="s">
        <v>1877</v>
      </c>
      <c r="AE6107" s="145" t="s">
        <v>3624</v>
      </c>
      <c r="AF6107" s="146"/>
      <c r="AG6107" s="146"/>
      <c r="AH6107" s="146"/>
      <c r="AI6107" s="147"/>
      <c r="AJ6107" s="148"/>
      <c r="AK6107" s="143"/>
      <c r="AL6107" s="144"/>
      <c r="AM6107" s="22"/>
      <c r="AN6107" s="149" t="s">
        <v>6789</v>
      </c>
      <c r="AO6107" s="144"/>
      <c r="AP6107" s="148">
        <v>49606</v>
      </c>
      <c r="AQ6107" s="144"/>
      <c r="AR6107" s="120"/>
      <c r="AS6107" s="121"/>
      <c r="AT6107" s="120"/>
      <c r="AU6107" s="121"/>
      <c r="AV6107" s="120"/>
      <c r="AW6107" s="121"/>
      <c r="AX6107" s="120"/>
      <c r="AY6107" s="121"/>
      <c r="AZ6107" s="138"/>
    </row>
    <row r="6108" spans="1:52" ht="17.100000000000001" customHeight="1" thickTop="1">
      <c r="A6108" s="109" t="s">
        <v>17807</v>
      </c>
      <c r="B6108" s="28">
        <v>46065</v>
      </c>
      <c r="C6108" s="25">
        <v>2145</v>
      </c>
      <c r="D6108" s="13" t="s">
        <v>3801</v>
      </c>
      <c r="E6108" s="111"/>
      <c r="F6108" s="113" t="s">
        <v>15993</v>
      </c>
      <c r="G6108" s="114"/>
      <c r="H6108" s="115"/>
      <c r="I6108" s="24"/>
      <c r="J6108" s="116">
        <v>4</v>
      </c>
      <c r="K6108" s="118">
        <v>968000</v>
      </c>
      <c r="L6108" s="119"/>
      <c r="M6108" s="118">
        <f t="shared" ref="M6108" si="8149">K6108*0.1</f>
        <v>96800</v>
      </c>
      <c r="N6108" s="119"/>
      <c r="O6108" s="118">
        <v>0</v>
      </c>
      <c r="P6108" s="119"/>
      <c r="Q6108" s="118">
        <v>6830</v>
      </c>
      <c r="R6108" s="119"/>
      <c r="S6108" s="118">
        <v>14300</v>
      </c>
      <c r="T6108" s="119"/>
      <c r="U6108" s="118">
        <f t="shared" ref="U6108" si="8150">SUM(K6108:T6109)</f>
        <v>1085930</v>
      </c>
      <c r="V6108" s="122"/>
      <c r="W6108" s="124"/>
      <c r="X6108" s="126" t="s">
        <v>18154</v>
      </c>
      <c r="Y6108" s="127"/>
      <c r="Z6108" s="127"/>
      <c r="AA6108" s="127"/>
      <c r="AB6108" s="128"/>
      <c r="AC6108" s="15" t="s">
        <v>20</v>
      </c>
      <c r="AD6108" s="129"/>
      <c r="AE6108" s="130"/>
      <c r="AF6108" s="130"/>
      <c r="AG6108" s="130"/>
      <c r="AH6108" s="130"/>
      <c r="AI6108" s="131"/>
      <c r="AJ6108" s="132"/>
      <c r="AK6108" s="127"/>
      <c r="AL6108" s="128"/>
      <c r="AM6108" s="21"/>
      <c r="AN6108" s="133">
        <v>46071</v>
      </c>
      <c r="AO6108" s="134"/>
      <c r="AP6108" s="135">
        <v>1005</v>
      </c>
      <c r="AQ6108" s="136"/>
      <c r="AR6108" s="118">
        <v>1095000</v>
      </c>
      <c r="AS6108" s="119"/>
      <c r="AT6108" s="118">
        <f t="shared" ref="AT6108" si="8151">AR6108*0.1</f>
        <v>109500</v>
      </c>
      <c r="AU6108" s="119"/>
      <c r="AV6108" s="118">
        <v>6830</v>
      </c>
      <c r="AW6108" s="119"/>
      <c r="AX6108" s="118">
        <f t="shared" ref="AX6108" si="8152">SUM(AR6108:AW6108)</f>
        <v>1211330</v>
      </c>
      <c r="AY6108" s="119"/>
      <c r="AZ6108" s="137">
        <v>46073</v>
      </c>
    </row>
    <row r="6109" spans="1:52" ht="17.100000000000001" customHeight="1" thickBot="1">
      <c r="A6109" s="110"/>
      <c r="B6109" s="27" t="s">
        <v>1940</v>
      </c>
      <c r="C6109" s="27">
        <v>2616</v>
      </c>
      <c r="D6109" s="14" t="s">
        <v>17888</v>
      </c>
      <c r="E6109" s="112"/>
      <c r="F6109" s="139" t="s">
        <v>17800</v>
      </c>
      <c r="G6109" s="140"/>
      <c r="H6109" s="141"/>
      <c r="I6109" s="26">
        <v>36687</v>
      </c>
      <c r="J6109" s="117"/>
      <c r="K6109" s="120"/>
      <c r="L6109" s="121"/>
      <c r="M6109" s="120"/>
      <c r="N6109" s="121"/>
      <c r="O6109" s="120"/>
      <c r="P6109" s="121"/>
      <c r="Q6109" s="120"/>
      <c r="R6109" s="121"/>
      <c r="S6109" s="120"/>
      <c r="T6109" s="121"/>
      <c r="U6109" s="120"/>
      <c r="V6109" s="123"/>
      <c r="W6109" s="125"/>
      <c r="X6109" s="142" t="s">
        <v>13172</v>
      </c>
      <c r="Y6109" s="143"/>
      <c r="Z6109" s="143"/>
      <c r="AA6109" s="143"/>
      <c r="AB6109" s="144"/>
      <c r="AC6109" s="16" t="s">
        <v>21</v>
      </c>
      <c r="AD6109" s="17" t="s">
        <v>1877</v>
      </c>
      <c r="AE6109" s="145"/>
      <c r="AF6109" s="146"/>
      <c r="AG6109" s="146"/>
      <c r="AH6109" s="146"/>
      <c r="AI6109" s="147"/>
      <c r="AJ6109" s="148"/>
      <c r="AK6109" s="143"/>
      <c r="AL6109" s="144"/>
      <c r="AM6109" s="22"/>
      <c r="AN6109" s="149" t="s">
        <v>2794</v>
      </c>
      <c r="AO6109" s="144"/>
      <c r="AP6109" s="148">
        <v>5047</v>
      </c>
      <c r="AQ6109" s="144"/>
      <c r="AR6109" s="120"/>
      <c r="AS6109" s="121"/>
      <c r="AT6109" s="120"/>
      <c r="AU6109" s="121"/>
      <c r="AV6109" s="120"/>
      <c r="AW6109" s="121"/>
      <c r="AX6109" s="120"/>
      <c r="AY6109" s="121"/>
      <c r="AZ6109" s="138"/>
    </row>
    <row r="6110" spans="1:52" ht="17.100000000000001" customHeight="1" thickTop="1">
      <c r="A6110" s="109" t="s">
        <v>17808</v>
      </c>
      <c r="B6110" s="28">
        <v>46065</v>
      </c>
      <c r="C6110" s="25">
        <v>2014</v>
      </c>
      <c r="D6110" s="13" t="s">
        <v>2654</v>
      </c>
      <c r="E6110" s="111"/>
      <c r="F6110" s="113" t="s">
        <v>17889</v>
      </c>
      <c r="G6110" s="114"/>
      <c r="H6110" s="115"/>
      <c r="I6110" s="24"/>
      <c r="J6110" s="116">
        <v>4.5</v>
      </c>
      <c r="K6110" s="118">
        <v>1072000</v>
      </c>
      <c r="L6110" s="119"/>
      <c r="M6110" s="118">
        <f t="shared" ref="M6110" si="8153">K6110*0.1</f>
        <v>107200</v>
      </c>
      <c r="N6110" s="119"/>
      <c r="O6110" s="118">
        <v>0</v>
      </c>
      <c r="P6110" s="119"/>
      <c r="Q6110" s="118">
        <v>10360</v>
      </c>
      <c r="R6110" s="119"/>
      <c r="S6110" s="118">
        <v>22000</v>
      </c>
      <c r="T6110" s="119"/>
      <c r="U6110" s="118">
        <f t="shared" ref="U6110" si="8154">SUM(K6110:T6111)</f>
        <v>1211560</v>
      </c>
      <c r="V6110" s="122"/>
      <c r="W6110" s="124"/>
      <c r="X6110" s="126" t="s">
        <v>18286</v>
      </c>
      <c r="Y6110" s="127"/>
      <c r="Z6110" s="127"/>
      <c r="AA6110" s="127"/>
      <c r="AB6110" s="128"/>
      <c r="AC6110" s="15" t="s">
        <v>20</v>
      </c>
      <c r="AD6110" s="129" t="s">
        <v>17270</v>
      </c>
      <c r="AE6110" s="130"/>
      <c r="AF6110" s="130"/>
      <c r="AG6110" s="130"/>
      <c r="AH6110" s="130"/>
      <c r="AI6110" s="131"/>
      <c r="AJ6110" s="132"/>
      <c r="AK6110" s="127"/>
      <c r="AL6110" s="128"/>
      <c r="AM6110" s="21"/>
      <c r="AN6110" s="133">
        <v>46078</v>
      </c>
      <c r="AO6110" s="134"/>
      <c r="AP6110" s="135">
        <v>1006</v>
      </c>
      <c r="AQ6110" s="136"/>
      <c r="AR6110" s="118">
        <v>1055000</v>
      </c>
      <c r="AS6110" s="119"/>
      <c r="AT6110" s="118">
        <f t="shared" ref="AT6110" si="8155">AR6110*0.1</f>
        <v>105500</v>
      </c>
      <c r="AU6110" s="119"/>
      <c r="AV6110" s="118">
        <v>10360</v>
      </c>
      <c r="AW6110" s="119"/>
      <c r="AX6110" s="118">
        <f t="shared" ref="AX6110" si="8156">SUM(AR6110:AW6110)</f>
        <v>1170860</v>
      </c>
      <c r="AY6110" s="119"/>
      <c r="AZ6110" s="137">
        <v>46083</v>
      </c>
    </row>
    <row r="6111" spans="1:52" ht="17.100000000000001" customHeight="1" thickBot="1">
      <c r="A6111" s="110"/>
      <c r="B6111" s="27" t="s">
        <v>2727</v>
      </c>
      <c r="C6111" s="27">
        <v>30155</v>
      </c>
      <c r="D6111" s="14" t="s">
        <v>2601</v>
      </c>
      <c r="E6111" s="112"/>
      <c r="F6111" s="139" t="s">
        <v>17827</v>
      </c>
      <c r="G6111" s="140"/>
      <c r="H6111" s="141"/>
      <c r="I6111" s="26">
        <v>51509</v>
      </c>
      <c r="J6111" s="117"/>
      <c r="K6111" s="120"/>
      <c r="L6111" s="121"/>
      <c r="M6111" s="120"/>
      <c r="N6111" s="121"/>
      <c r="O6111" s="120"/>
      <c r="P6111" s="121"/>
      <c r="Q6111" s="120"/>
      <c r="R6111" s="121"/>
      <c r="S6111" s="120"/>
      <c r="T6111" s="121"/>
      <c r="U6111" s="120"/>
      <c r="V6111" s="123"/>
      <c r="W6111" s="125"/>
      <c r="X6111" s="142" t="s">
        <v>18287</v>
      </c>
      <c r="Y6111" s="143"/>
      <c r="Z6111" s="143"/>
      <c r="AA6111" s="143"/>
      <c r="AB6111" s="144"/>
      <c r="AC6111" s="16" t="s">
        <v>21</v>
      </c>
      <c r="AD6111" s="17" t="s">
        <v>18232</v>
      </c>
      <c r="AE6111" s="145" t="s">
        <v>3641</v>
      </c>
      <c r="AF6111" s="146"/>
      <c r="AG6111" s="146"/>
      <c r="AH6111" s="146"/>
      <c r="AI6111" s="147"/>
      <c r="AJ6111" s="148"/>
      <c r="AK6111" s="143"/>
      <c r="AL6111" s="144"/>
      <c r="AM6111" s="22"/>
      <c r="AN6111" s="149" t="s">
        <v>2794</v>
      </c>
      <c r="AO6111" s="144"/>
      <c r="AP6111" s="148">
        <v>6011</v>
      </c>
      <c r="AQ6111" s="144"/>
      <c r="AR6111" s="120"/>
      <c r="AS6111" s="121"/>
      <c r="AT6111" s="120"/>
      <c r="AU6111" s="121"/>
      <c r="AV6111" s="120"/>
      <c r="AW6111" s="121"/>
      <c r="AX6111" s="120"/>
      <c r="AY6111" s="121"/>
      <c r="AZ6111" s="138"/>
    </row>
    <row r="6112" spans="1:52" ht="17.100000000000001" customHeight="1" thickTop="1">
      <c r="A6112" s="109" t="s">
        <v>17809</v>
      </c>
      <c r="B6112" s="28">
        <v>46065</v>
      </c>
      <c r="C6112" s="25">
        <v>2014</v>
      </c>
      <c r="D6112" s="13" t="s">
        <v>2359</v>
      </c>
      <c r="E6112" s="111"/>
      <c r="F6112" s="113" t="s">
        <v>7683</v>
      </c>
      <c r="G6112" s="114"/>
      <c r="H6112" s="115"/>
      <c r="I6112" s="24"/>
      <c r="J6112" s="116">
        <v>4</v>
      </c>
      <c r="K6112" s="118">
        <v>998000</v>
      </c>
      <c r="L6112" s="119"/>
      <c r="M6112" s="118">
        <f t="shared" ref="M6112" si="8157">K6112*0.1</f>
        <v>99800</v>
      </c>
      <c r="N6112" s="119"/>
      <c r="O6112" s="118">
        <v>0</v>
      </c>
      <c r="P6112" s="119"/>
      <c r="Q6112" s="118">
        <v>8740</v>
      </c>
      <c r="R6112" s="119"/>
      <c r="S6112" s="118">
        <v>22000</v>
      </c>
      <c r="T6112" s="119"/>
      <c r="U6112" s="118">
        <f t="shared" ref="U6112" si="8158">SUM(K6112:T6113)</f>
        <v>1128540</v>
      </c>
      <c r="V6112" s="122"/>
      <c r="W6112" s="124"/>
      <c r="X6112" s="126" t="s">
        <v>18597</v>
      </c>
      <c r="Y6112" s="127"/>
      <c r="Z6112" s="127"/>
      <c r="AA6112" s="127"/>
      <c r="AB6112" s="128"/>
      <c r="AC6112" s="15" t="s">
        <v>20</v>
      </c>
      <c r="AD6112" s="129" t="s">
        <v>15208</v>
      </c>
      <c r="AE6112" s="130"/>
      <c r="AF6112" s="130"/>
      <c r="AG6112" s="130"/>
      <c r="AH6112" s="130"/>
      <c r="AI6112" s="131"/>
      <c r="AJ6112" s="132"/>
      <c r="AK6112" s="127"/>
      <c r="AL6112" s="128"/>
      <c r="AM6112" s="21"/>
      <c r="AN6112" s="133">
        <v>46109</v>
      </c>
      <c r="AO6112" s="134"/>
      <c r="AP6112" s="135">
        <v>1294</v>
      </c>
      <c r="AQ6112" s="136"/>
      <c r="AR6112" s="118">
        <v>1080000</v>
      </c>
      <c r="AS6112" s="119"/>
      <c r="AT6112" s="118">
        <f t="shared" ref="AT6112" si="8159">AR6112*0.1</f>
        <v>108000</v>
      </c>
      <c r="AU6112" s="119"/>
      <c r="AV6112" s="118">
        <v>8740</v>
      </c>
      <c r="AW6112" s="119"/>
      <c r="AX6112" s="118">
        <f t="shared" ref="AX6112" si="8160">SUM(AR6112:AW6112)</f>
        <v>1196740</v>
      </c>
      <c r="AY6112" s="119"/>
      <c r="AZ6112" s="137">
        <v>46112</v>
      </c>
    </row>
    <row r="6113" spans="1:52" ht="17.100000000000001" customHeight="1" thickBot="1">
      <c r="A6113" s="110"/>
      <c r="B6113" s="27" t="s">
        <v>2727</v>
      </c>
      <c r="C6113" s="27">
        <v>50033</v>
      </c>
      <c r="D6113" s="14" t="s">
        <v>2601</v>
      </c>
      <c r="E6113" s="112"/>
      <c r="F6113" s="139" t="s">
        <v>17828</v>
      </c>
      <c r="G6113" s="140"/>
      <c r="H6113" s="141"/>
      <c r="I6113" s="26">
        <v>50099</v>
      </c>
      <c r="J6113" s="117"/>
      <c r="K6113" s="120"/>
      <c r="L6113" s="121"/>
      <c r="M6113" s="120"/>
      <c r="N6113" s="121"/>
      <c r="O6113" s="120"/>
      <c r="P6113" s="121"/>
      <c r="Q6113" s="120"/>
      <c r="R6113" s="121"/>
      <c r="S6113" s="120"/>
      <c r="T6113" s="121"/>
      <c r="U6113" s="120"/>
      <c r="V6113" s="123"/>
      <c r="W6113" s="125"/>
      <c r="X6113" s="142" t="s">
        <v>18598</v>
      </c>
      <c r="Y6113" s="143"/>
      <c r="Z6113" s="143"/>
      <c r="AA6113" s="143"/>
      <c r="AB6113" s="144"/>
      <c r="AC6113" s="16" t="s">
        <v>21</v>
      </c>
      <c r="AD6113" s="17" t="s">
        <v>1894</v>
      </c>
      <c r="AE6113" s="145" t="s">
        <v>18599</v>
      </c>
      <c r="AF6113" s="146"/>
      <c r="AG6113" s="146"/>
      <c r="AH6113" s="146"/>
      <c r="AI6113" s="147"/>
      <c r="AJ6113" s="148"/>
      <c r="AK6113" s="143"/>
      <c r="AL6113" s="144"/>
      <c r="AM6113" s="22"/>
      <c r="AN6113" s="149" t="s">
        <v>7284</v>
      </c>
      <c r="AO6113" s="144"/>
      <c r="AP6113" s="148">
        <v>60213</v>
      </c>
      <c r="AQ6113" s="144"/>
      <c r="AR6113" s="120"/>
      <c r="AS6113" s="121"/>
      <c r="AT6113" s="120"/>
      <c r="AU6113" s="121"/>
      <c r="AV6113" s="120"/>
      <c r="AW6113" s="121"/>
      <c r="AX6113" s="120"/>
      <c r="AY6113" s="121"/>
      <c r="AZ6113" s="138"/>
    </row>
    <row r="6114" spans="1:52" ht="17.100000000000001" customHeight="1" thickTop="1">
      <c r="A6114" s="109" t="s">
        <v>17810</v>
      </c>
      <c r="B6114" s="28">
        <v>46065</v>
      </c>
      <c r="C6114" s="25">
        <v>2014</v>
      </c>
      <c r="D6114" s="13" t="s">
        <v>2654</v>
      </c>
      <c r="E6114" s="111"/>
      <c r="F6114" s="113" t="s">
        <v>17890</v>
      </c>
      <c r="G6114" s="114"/>
      <c r="H6114" s="115"/>
      <c r="I6114" s="24" t="s">
        <v>1547</v>
      </c>
      <c r="J6114" s="116">
        <v>4</v>
      </c>
      <c r="K6114" s="118">
        <v>633000</v>
      </c>
      <c r="L6114" s="119"/>
      <c r="M6114" s="118">
        <f t="shared" ref="M6114" si="8161">K6114*0.1</f>
        <v>63300</v>
      </c>
      <c r="N6114" s="119"/>
      <c r="O6114" s="118">
        <v>0</v>
      </c>
      <c r="P6114" s="119"/>
      <c r="Q6114" s="118">
        <v>8110</v>
      </c>
      <c r="R6114" s="119"/>
      <c r="S6114" s="118">
        <v>22000</v>
      </c>
      <c r="T6114" s="119"/>
      <c r="U6114" s="118">
        <f t="shared" ref="U6114" si="8162">SUM(K6114:T6115)</f>
        <v>726410</v>
      </c>
      <c r="V6114" s="122"/>
      <c r="W6114" s="124"/>
      <c r="X6114" s="126" t="s">
        <v>17891</v>
      </c>
      <c r="Y6114" s="127"/>
      <c r="Z6114" s="127"/>
      <c r="AA6114" s="127"/>
      <c r="AB6114" s="128"/>
      <c r="AC6114" s="15" t="s">
        <v>20</v>
      </c>
      <c r="AD6114" s="129" t="s">
        <v>17892</v>
      </c>
      <c r="AE6114" s="130"/>
      <c r="AF6114" s="130"/>
      <c r="AG6114" s="130"/>
      <c r="AH6114" s="130"/>
      <c r="AI6114" s="131"/>
      <c r="AJ6114" s="132"/>
      <c r="AK6114" s="127"/>
      <c r="AL6114" s="128"/>
      <c r="AM6114" s="21"/>
      <c r="AN6114" s="133">
        <v>46071</v>
      </c>
      <c r="AO6114" s="134"/>
      <c r="AP6114" s="135">
        <v>1005</v>
      </c>
      <c r="AQ6114" s="136"/>
      <c r="AR6114" s="118">
        <v>745000</v>
      </c>
      <c r="AS6114" s="119"/>
      <c r="AT6114" s="118">
        <f t="shared" ref="AT6114" si="8163">AR6114*0.1</f>
        <v>74500</v>
      </c>
      <c r="AU6114" s="119"/>
      <c r="AV6114" s="118">
        <v>8110</v>
      </c>
      <c r="AW6114" s="119"/>
      <c r="AX6114" s="118">
        <f t="shared" ref="AX6114" si="8164">SUM(AR6114:AW6114)</f>
        <v>827610</v>
      </c>
      <c r="AY6114" s="119"/>
      <c r="AZ6114" s="137">
        <v>46073</v>
      </c>
    </row>
    <row r="6115" spans="1:52" ht="17.100000000000001" customHeight="1" thickBot="1">
      <c r="A6115" s="110"/>
      <c r="B6115" s="27" t="s">
        <v>2727</v>
      </c>
      <c r="C6115" s="27">
        <v>50050</v>
      </c>
      <c r="D6115" s="14" t="s">
        <v>1700</v>
      </c>
      <c r="E6115" s="112"/>
      <c r="F6115" s="139" t="s">
        <v>17829</v>
      </c>
      <c r="G6115" s="140"/>
      <c r="H6115" s="141"/>
      <c r="I6115" s="26">
        <v>52762</v>
      </c>
      <c r="J6115" s="117"/>
      <c r="K6115" s="120"/>
      <c r="L6115" s="121"/>
      <c r="M6115" s="120"/>
      <c r="N6115" s="121"/>
      <c r="O6115" s="120"/>
      <c r="P6115" s="121"/>
      <c r="Q6115" s="120"/>
      <c r="R6115" s="121"/>
      <c r="S6115" s="120"/>
      <c r="T6115" s="121"/>
      <c r="U6115" s="120"/>
      <c r="V6115" s="123"/>
      <c r="W6115" s="125"/>
      <c r="X6115" s="142" t="s">
        <v>18234</v>
      </c>
      <c r="Y6115" s="143"/>
      <c r="Z6115" s="143"/>
      <c r="AA6115" s="143"/>
      <c r="AB6115" s="144"/>
      <c r="AC6115" s="16" t="s">
        <v>21</v>
      </c>
      <c r="AD6115" s="17" t="s">
        <v>18232</v>
      </c>
      <c r="AE6115" s="145" t="s">
        <v>10697</v>
      </c>
      <c r="AF6115" s="146"/>
      <c r="AG6115" s="146"/>
      <c r="AH6115" s="146"/>
      <c r="AI6115" s="147"/>
      <c r="AJ6115" s="148"/>
      <c r="AK6115" s="143"/>
      <c r="AL6115" s="144"/>
      <c r="AM6115" s="22"/>
      <c r="AN6115" s="149" t="s">
        <v>2794</v>
      </c>
      <c r="AO6115" s="144"/>
      <c r="AP6115" s="148">
        <v>5045</v>
      </c>
      <c r="AQ6115" s="144"/>
      <c r="AR6115" s="120"/>
      <c r="AS6115" s="121"/>
      <c r="AT6115" s="120"/>
      <c r="AU6115" s="121"/>
      <c r="AV6115" s="120"/>
      <c r="AW6115" s="121"/>
      <c r="AX6115" s="120"/>
      <c r="AY6115" s="121"/>
      <c r="AZ6115" s="138"/>
    </row>
    <row r="6116" spans="1:52" ht="17.100000000000001" customHeight="1" thickTop="1">
      <c r="A6116" s="109" t="s">
        <v>17811</v>
      </c>
      <c r="B6116" s="28">
        <v>46065</v>
      </c>
      <c r="C6116" s="25">
        <v>2014</v>
      </c>
      <c r="D6116" s="13" t="s">
        <v>2187</v>
      </c>
      <c r="E6116" s="111"/>
      <c r="F6116" s="113" t="s">
        <v>17276</v>
      </c>
      <c r="G6116" s="114"/>
      <c r="H6116" s="115"/>
      <c r="I6116" s="24" t="s">
        <v>2577</v>
      </c>
      <c r="J6116" s="116">
        <v>4</v>
      </c>
      <c r="K6116" s="118">
        <v>1459000</v>
      </c>
      <c r="L6116" s="119"/>
      <c r="M6116" s="118">
        <f t="shared" ref="M6116" si="8165">K6116*0.1</f>
        <v>145900</v>
      </c>
      <c r="N6116" s="119"/>
      <c r="O6116" s="118">
        <v>0</v>
      </c>
      <c r="P6116" s="119"/>
      <c r="Q6116" s="118">
        <v>8360</v>
      </c>
      <c r="R6116" s="119"/>
      <c r="S6116" s="118">
        <v>22000</v>
      </c>
      <c r="T6116" s="119"/>
      <c r="U6116" s="118">
        <f t="shared" ref="U6116" si="8166">SUM(K6116:T6117)</f>
        <v>1635260</v>
      </c>
      <c r="V6116" s="122"/>
      <c r="W6116" s="124"/>
      <c r="X6116" s="126" t="s">
        <v>17893</v>
      </c>
      <c r="Y6116" s="127"/>
      <c r="Z6116" s="127"/>
      <c r="AA6116" s="127"/>
      <c r="AB6116" s="128"/>
      <c r="AC6116" s="15" t="s">
        <v>20</v>
      </c>
      <c r="AD6116" s="129" t="s">
        <v>1581</v>
      </c>
      <c r="AE6116" s="130"/>
      <c r="AF6116" s="130"/>
      <c r="AG6116" s="130"/>
      <c r="AH6116" s="130"/>
      <c r="AI6116" s="131"/>
      <c r="AJ6116" s="132"/>
      <c r="AK6116" s="127"/>
      <c r="AL6116" s="128"/>
      <c r="AM6116" s="21"/>
      <c r="AN6116" s="133">
        <v>46071</v>
      </c>
      <c r="AO6116" s="134"/>
      <c r="AP6116" s="135">
        <v>1005</v>
      </c>
      <c r="AQ6116" s="136"/>
      <c r="AR6116" s="118">
        <v>1600000</v>
      </c>
      <c r="AS6116" s="119"/>
      <c r="AT6116" s="118">
        <f t="shared" ref="AT6116" si="8167">AR6116*0.1</f>
        <v>160000</v>
      </c>
      <c r="AU6116" s="119"/>
      <c r="AV6116" s="118">
        <v>8360</v>
      </c>
      <c r="AW6116" s="119"/>
      <c r="AX6116" s="118">
        <f t="shared" ref="AX6116" si="8168">SUM(AR6116:AW6116)</f>
        <v>1768360</v>
      </c>
      <c r="AY6116" s="119"/>
      <c r="AZ6116" s="137">
        <v>46077</v>
      </c>
    </row>
    <row r="6117" spans="1:52" ht="17.100000000000001" customHeight="1" thickBot="1">
      <c r="A6117" s="110"/>
      <c r="B6117" s="27" t="s">
        <v>2727</v>
      </c>
      <c r="C6117" s="27">
        <v>50146</v>
      </c>
      <c r="D6117" s="14" t="s">
        <v>1812</v>
      </c>
      <c r="E6117" s="112"/>
      <c r="F6117" s="139" t="s">
        <v>17830</v>
      </c>
      <c r="G6117" s="140"/>
      <c r="H6117" s="141"/>
      <c r="I6117" s="26">
        <v>41360</v>
      </c>
      <c r="J6117" s="117"/>
      <c r="K6117" s="120"/>
      <c r="L6117" s="121"/>
      <c r="M6117" s="120"/>
      <c r="N6117" s="121"/>
      <c r="O6117" s="120"/>
      <c r="P6117" s="121"/>
      <c r="Q6117" s="120"/>
      <c r="R6117" s="121"/>
      <c r="S6117" s="120"/>
      <c r="T6117" s="121"/>
      <c r="U6117" s="120"/>
      <c r="V6117" s="123"/>
      <c r="W6117" s="125"/>
      <c r="X6117" s="142" t="s">
        <v>18981</v>
      </c>
      <c r="Y6117" s="143"/>
      <c r="Z6117" s="143"/>
      <c r="AA6117" s="143"/>
      <c r="AB6117" s="144"/>
      <c r="AC6117" s="16" t="s">
        <v>21</v>
      </c>
      <c r="AD6117" s="17" t="s">
        <v>18305</v>
      </c>
      <c r="AE6117" s="145" t="s">
        <v>18238</v>
      </c>
      <c r="AF6117" s="146"/>
      <c r="AG6117" s="146"/>
      <c r="AH6117" s="146"/>
      <c r="AI6117" s="147"/>
      <c r="AJ6117" s="148"/>
      <c r="AK6117" s="143"/>
      <c r="AL6117" s="144"/>
      <c r="AM6117" s="22"/>
      <c r="AN6117" s="149" t="s">
        <v>7285</v>
      </c>
      <c r="AO6117" s="144"/>
      <c r="AP6117" s="148">
        <v>5048</v>
      </c>
      <c r="AQ6117" s="144"/>
      <c r="AR6117" s="120"/>
      <c r="AS6117" s="121"/>
      <c r="AT6117" s="120"/>
      <c r="AU6117" s="121"/>
      <c r="AV6117" s="120"/>
      <c r="AW6117" s="121"/>
      <c r="AX6117" s="120"/>
      <c r="AY6117" s="121"/>
      <c r="AZ6117" s="138"/>
    </row>
    <row r="6118" spans="1:52" ht="17.100000000000001" customHeight="1" thickTop="1">
      <c r="A6118" s="109" t="s">
        <v>17812</v>
      </c>
      <c r="B6118" s="28">
        <v>46065</v>
      </c>
      <c r="C6118" s="25">
        <v>2014</v>
      </c>
      <c r="D6118" s="13" t="s">
        <v>2494</v>
      </c>
      <c r="E6118" s="111"/>
      <c r="F6118" s="113" t="s">
        <v>17276</v>
      </c>
      <c r="G6118" s="114"/>
      <c r="H6118" s="115"/>
      <c r="I6118" s="24" t="s">
        <v>1613</v>
      </c>
      <c r="J6118" s="116">
        <v>6</v>
      </c>
      <c r="K6118" s="118">
        <v>1954000</v>
      </c>
      <c r="L6118" s="119"/>
      <c r="M6118" s="118">
        <f t="shared" ref="M6118" si="8169">K6118*0.1</f>
        <v>195400</v>
      </c>
      <c r="N6118" s="119"/>
      <c r="O6118" s="118">
        <v>0</v>
      </c>
      <c r="P6118" s="119"/>
      <c r="Q6118" s="118">
        <v>6180</v>
      </c>
      <c r="R6118" s="119"/>
      <c r="S6118" s="118">
        <v>22000</v>
      </c>
      <c r="T6118" s="119"/>
      <c r="U6118" s="118">
        <f t="shared" ref="U6118" si="8170">SUM(K6118:T6119)</f>
        <v>2177580</v>
      </c>
      <c r="V6118" s="122"/>
      <c r="W6118" s="124"/>
      <c r="X6118" s="126" t="s">
        <v>17894</v>
      </c>
      <c r="Y6118" s="127"/>
      <c r="Z6118" s="127"/>
      <c r="AA6118" s="127"/>
      <c r="AB6118" s="128"/>
      <c r="AC6118" s="15" t="s">
        <v>20</v>
      </c>
      <c r="AD6118" s="129" t="s">
        <v>4435</v>
      </c>
      <c r="AE6118" s="130"/>
      <c r="AF6118" s="130"/>
      <c r="AG6118" s="130"/>
      <c r="AH6118" s="130"/>
      <c r="AI6118" s="131"/>
      <c r="AJ6118" s="132"/>
      <c r="AK6118" s="127"/>
      <c r="AL6118" s="128"/>
      <c r="AM6118" s="21" t="s">
        <v>19372</v>
      </c>
      <c r="AN6118" s="133">
        <v>46084</v>
      </c>
      <c r="AO6118" s="134"/>
      <c r="AP6118" s="135">
        <v>1931</v>
      </c>
      <c r="AQ6118" s="136"/>
      <c r="AR6118" s="118">
        <v>1976000</v>
      </c>
      <c r="AS6118" s="119"/>
      <c r="AT6118" s="118">
        <f t="shared" ref="AT6118" si="8171">AR6118*0.1</f>
        <v>197600</v>
      </c>
      <c r="AU6118" s="119"/>
      <c r="AV6118" s="118">
        <v>6180</v>
      </c>
      <c r="AW6118" s="119"/>
      <c r="AX6118" s="118">
        <f t="shared" ref="AX6118" si="8172">SUM(AR6118:AW6118)</f>
        <v>2179780</v>
      </c>
      <c r="AY6118" s="119"/>
      <c r="AZ6118" s="137">
        <v>46091</v>
      </c>
    </row>
    <row r="6119" spans="1:52" ht="17.100000000000001" customHeight="1" thickBot="1">
      <c r="A6119" s="110"/>
      <c r="B6119" s="27" t="s">
        <v>2727</v>
      </c>
      <c r="C6119" s="27">
        <v>50156</v>
      </c>
      <c r="D6119" s="14" t="s">
        <v>275</v>
      </c>
      <c r="E6119" s="112"/>
      <c r="F6119" s="139" t="s">
        <v>17831</v>
      </c>
      <c r="G6119" s="140"/>
      <c r="H6119" s="141"/>
      <c r="I6119" s="26">
        <v>4821</v>
      </c>
      <c r="J6119" s="117"/>
      <c r="K6119" s="120"/>
      <c r="L6119" s="121"/>
      <c r="M6119" s="120"/>
      <c r="N6119" s="121"/>
      <c r="O6119" s="120"/>
      <c r="P6119" s="121"/>
      <c r="Q6119" s="120"/>
      <c r="R6119" s="121"/>
      <c r="S6119" s="120"/>
      <c r="T6119" s="121"/>
      <c r="U6119" s="120"/>
      <c r="V6119" s="123"/>
      <c r="W6119" s="125"/>
      <c r="X6119" s="142" t="s">
        <v>18285</v>
      </c>
      <c r="Y6119" s="143"/>
      <c r="Z6119" s="143"/>
      <c r="AA6119" s="143"/>
      <c r="AB6119" s="144"/>
      <c r="AC6119" s="16" t="s">
        <v>21</v>
      </c>
      <c r="AD6119" s="17" t="s">
        <v>18232</v>
      </c>
      <c r="AE6119" s="145" t="s">
        <v>1742</v>
      </c>
      <c r="AF6119" s="146"/>
      <c r="AG6119" s="146"/>
      <c r="AH6119" s="146"/>
      <c r="AI6119" s="147"/>
      <c r="AJ6119" s="148"/>
      <c r="AK6119" s="143"/>
      <c r="AL6119" s="144"/>
      <c r="AM6119" s="22"/>
      <c r="AN6119" s="149" t="s">
        <v>2131</v>
      </c>
      <c r="AO6119" s="144"/>
      <c r="AP6119" s="148">
        <v>3091</v>
      </c>
      <c r="AQ6119" s="144"/>
      <c r="AR6119" s="120"/>
      <c r="AS6119" s="121"/>
      <c r="AT6119" s="120"/>
      <c r="AU6119" s="121"/>
      <c r="AV6119" s="120"/>
      <c r="AW6119" s="121"/>
      <c r="AX6119" s="120"/>
      <c r="AY6119" s="121"/>
      <c r="AZ6119" s="138"/>
    </row>
    <row r="6120" spans="1:52" ht="17.100000000000001" customHeight="1" thickTop="1">
      <c r="A6120" s="109" t="s">
        <v>17813</v>
      </c>
      <c r="B6120" s="28">
        <v>46065</v>
      </c>
      <c r="C6120" s="25">
        <v>2014</v>
      </c>
      <c r="D6120" s="13" t="s">
        <v>11570</v>
      </c>
      <c r="E6120" s="111"/>
      <c r="F6120" s="113" t="s">
        <v>17895</v>
      </c>
      <c r="G6120" s="114"/>
      <c r="H6120" s="115"/>
      <c r="I6120" s="24" t="s">
        <v>2919</v>
      </c>
      <c r="J6120" s="116">
        <v>4</v>
      </c>
      <c r="K6120" s="118">
        <v>432000</v>
      </c>
      <c r="L6120" s="119"/>
      <c r="M6120" s="118">
        <f t="shared" ref="M6120" si="8173">K6120*0.1</f>
        <v>43200</v>
      </c>
      <c r="N6120" s="119"/>
      <c r="O6120" s="118">
        <v>0</v>
      </c>
      <c r="P6120" s="119"/>
      <c r="Q6120" s="118">
        <v>9010</v>
      </c>
      <c r="R6120" s="119"/>
      <c r="S6120" s="118">
        <v>22000</v>
      </c>
      <c r="T6120" s="119"/>
      <c r="U6120" s="118">
        <f t="shared" ref="U6120" si="8174">SUM(K6120:T6121)</f>
        <v>506210</v>
      </c>
      <c r="V6120" s="122"/>
      <c r="W6120" s="124"/>
      <c r="X6120" s="126" t="s">
        <v>17896</v>
      </c>
      <c r="Y6120" s="127"/>
      <c r="Z6120" s="127"/>
      <c r="AA6120" s="127"/>
      <c r="AB6120" s="128"/>
      <c r="AC6120" s="15" t="s">
        <v>20</v>
      </c>
      <c r="AD6120" s="129" t="s">
        <v>17897</v>
      </c>
      <c r="AE6120" s="130"/>
      <c r="AF6120" s="130"/>
      <c r="AG6120" s="130"/>
      <c r="AH6120" s="130"/>
      <c r="AI6120" s="131"/>
      <c r="AJ6120" s="132"/>
      <c r="AK6120" s="127"/>
      <c r="AL6120" s="128"/>
      <c r="AM6120" s="21"/>
      <c r="AN6120" s="133">
        <v>46071</v>
      </c>
      <c r="AO6120" s="134"/>
      <c r="AP6120" s="135">
        <v>1005</v>
      </c>
      <c r="AQ6120" s="136"/>
      <c r="AR6120" s="118">
        <v>540000</v>
      </c>
      <c r="AS6120" s="119"/>
      <c r="AT6120" s="118">
        <f t="shared" ref="AT6120" si="8175">AR6120*0.1</f>
        <v>54000</v>
      </c>
      <c r="AU6120" s="119"/>
      <c r="AV6120" s="118">
        <v>9010</v>
      </c>
      <c r="AW6120" s="119"/>
      <c r="AX6120" s="118">
        <f t="shared" ref="AX6120" si="8176">SUM(AR6120:AW6120)</f>
        <v>603010</v>
      </c>
      <c r="AY6120" s="119"/>
      <c r="AZ6120" s="137">
        <v>46077</v>
      </c>
    </row>
    <row r="6121" spans="1:52" ht="17.100000000000001" customHeight="1" thickBot="1">
      <c r="A6121" s="110"/>
      <c r="B6121" s="27" t="s">
        <v>2727</v>
      </c>
      <c r="C6121" s="27">
        <v>50176</v>
      </c>
      <c r="D6121" s="14" t="s">
        <v>275</v>
      </c>
      <c r="E6121" s="112"/>
      <c r="F6121" s="139" t="s">
        <v>17832</v>
      </c>
      <c r="G6121" s="140"/>
      <c r="H6121" s="141"/>
      <c r="I6121" s="26">
        <v>145661</v>
      </c>
      <c r="J6121" s="117"/>
      <c r="K6121" s="120"/>
      <c r="L6121" s="121"/>
      <c r="M6121" s="120"/>
      <c r="N6121" s="121"/>
      <c r="O6121" s="120"/>
      <c r="P6121" s="121"/>
      <c r="Q6121" s="120"/>
      <c r="R6121" s="121"/>
      <c r="S6121" s="120"/>
      <c r="T6121" s="121"/>
      <c r="U6121" s="120"/>
      <c r="V6121" s="123"/>
      <c r="W6121" s="125"/>
      <c r="X6121" s="142" t="s">
        <v>18310</v>
      </c>
      <c r="Y6121" s="143"/>
      <c r="Z6121" s="143"/>
      <c r="AA6121" s="143"/>
      <c r="AB6121" s="144"/>
      <c r="AC6121" s="16" t="s">
        <v>21</v>
      </c>
      <c r="AD6121" s="17" t="s">
        <v>18305</v>
      </c>
      <c r="AE6121" s="145" t="s">
        <v>18590</v>
      </c>
      <c r="AF6121" s="146"/>
      <c r="AG6121" s="146"/>
      <c r="AH6121" s="146"/>
      <c r="AI6121" s="147"/>
      <c r="AJ6121" s="148"/>
      <c r="AK6121" s="143"/>
      <c r="AL6121" s="144"/>
      <c r="AM6121" s="22"/>
      <c r="AN6121" s="149" t="s">
        <v>2794</v>
      </c>
      <c r="AO6121" s="144"/>
      <c r="AP6121" s="148">
        <v>5069</v>
      </c>
      <c r="AQ6121" s="144"/>
      <c r="AR6121" s="120"/>
      <c r="AS6121" s="121"/>
      <c r="AT6121" s="120"/>
      <c r="AU6121" s="121"/>
      <c r="AV6121" s="120"/>
      <c r="AW6121" s="121"/>
      <c r="AX6121" s="120"/>
      <c r="AY6121" s="121"/>
      <c r="AZ6121" s="138"/>
    </row>
    <row r="6122" spans="1:52" ht="17.100000000000001" customHeight="1" thickTop="1">
      <c r="A6122" s="109" t="s">
        <v>17814</v>
      </c>
      <c r="B6122" s="28">
        <v>46065</v>
      </c>
      <c r="C6122" s="25">
        <v>2014</v>
      </c>
      <c r="D6122" s="13" t="s">
        <v>1651</v>
      </c>
      <c r="E6122" s="111"/>
      <c r="F6122" s="113" t="s">
        <v>15289</v>
      </c>
      <c r="G6122" s="114"/>
      <c r="H6122" s="115"/>
      <c r="I6122" s="24" t="s">
        <v>2943</v>
      </c>
      <c r="J6122" s="116">
        <v>4.5</v>
      </c>
      <c r="K6122" s="118">
        <v>915000</v>
      </c>
      <c r="L6122" s="119"/>
      <c r="M6122" s="118">
        <f t="shared" ref="M6122" si="8177">K6122*0.1</f>
        <v>91500</v>
      </c>
      <c r="N6122" s="119"/>
      <c r="O6122" s="118">
        <v>0</v>
      </c>
      <c r="P6122" s="119"/>
      <c r="Q6122" s="118">
        <v>7040</v>
      </c>
      <c r="R6122" s="119"/>
      <c r="S6122" s="118">
        <v>22000</v>
      </c>
      <c r="T6122" s="119"/>
      <c r="U6122" s="118">
        <f t="shared" ref="U6122" si="8178">SUM(K6122:T6123)</f>
        <v>1035540</v>
      </c>
      <c r="V6122" s="122"/>
      <c r="W6122" s="124"/>
      <c r="X6122" s="126" t="s">
        <v>17898</v>
      </c>
      <c r="Y6122" s="127"/>
      <c r="Z6122" s="127"/>
      <c r="AA6122" s="127"/>
      <c r="AB6122" s="128"/>
      <c r="AC6122" s="15" t="s">
        <v>20</v>
      </c>
      <c r="AD6122" s="129" t="s">
        <v>17899</v>
      </c>
      <c r="AE6122" s="130"/>
      <c r="AF6122" s="130"/>
      <c r="AG6122" s="130"/>
      <c r="AH6122" s="130"/>
      <c r="AI6122" s="131"/>
      <c r="AJ6122" s="132"/>
      <c r="AK6122" s="127"/>
      <c r="AL6122" s="128"/>
      <c r="AM6122" s="21"/>
      <c r="AN6122" s="133">
        <v>46070</v>
      </c>
      <c r="AO6122" s="134"/>
      <c r="AP6122" s="135">
        <v>1929</v>
      </c>
      <c r="AQ6122" s="136"/>
      <c r="AR6122" s="118">
        <v>1102000</v>
      </c>
      <c r="AS6122" s="119"/>
      <c r="AT6122" s="118">
        <f t="shared" ref="AT6122" si="8179">AR6122*0.1</f>
        <v>110200</v>
      </c>
      <c r="AU6122" s="119"/>
      <c r="AV6122" s="118">
        <v>7040</v>
      </c>
      <c r="AW6122" s="119"/>
      <c r="AX6122" s="118">
        <f t="shared" ref="AX6122" si="8180">SUM(AR6122:AW6122)</f>
        <v>1219240</v>
      </c>
      <c r="AY6122" s="119"/>
      <c r="AZ6122" s="137"/>
    </row>
    <row r="6123" spans="1:52" ht="17.100000000000001" customHeight="1" thickBot="1">
      <c r="A6123" s="110"/>
      <c r="B6123" s="27" t="s">
        <v>2727</v>
      </c>
      <c r="C6123" s="27">
        <v>50177</v>
      </c>
      <c r="D6123" s="14" t="s">
        <v>1720</v>
      </c>
      <c r="E6123" s="112"/>
      <c r="F6123" s="139" t="s">
        <v>17833</v>
      </c>
      <c r="G6123" s="140"/>
      <c r="H6123" s="141"/>
      <c r="I6123" s="26">
        <v>43390</v>
      </c>
      <c r="J6123" s="117"/>
      <c r="K6123" s="120"/>
      <c r="L6123" s="121"/>
      <c r="M6123" s="120"/>
      <c r="N6123" s="121"/>
      <c r="O6123" s="120"/>
      <c r="P6123" s="121"/>
      <c r="Q6123" s="120"/>
      <c r="R6123" s="121"/>
      <c r="S6123" s="120"/>
      <c r="T6123" s="121"/>
      <c r="U6123" s="120"/>
      <c r="V6123" s="123"/>
      <c r="W6123" s="125"/>
      <c r="X6123" s="142" t="s">
        <v>6893</v>
      </c>
      <c r="Y6123" s="143"/>
      <c r="Z6123" s="143"/>
      <c r="AA6123" s="143"/>
      <c r="AB6123" s="144"/>
      <c r="AC6123" s="16" t="s">
        <v>21</v>
      </c>
      <c r="AD6123" s="17" t="s">
        <v>18232</v>
      </c>
      <c r="AE6123" s="145" t="s">
        <v>18157</v>
      </c>
      <c r="AF6123" s="146"/>
      <c r="AG6123" s="146"/>
      <c r="AH6123" s="146"/>
      <c r="AI6123" s="147"/>
      <c r="AJ6123" s="148"/>
      <c r="AK6123" s="143"/>
      <c r="AL6123" s="144"/>
      <c r="AM6123" s="22"/>
      <c r="AN6123" s="149" t="s">
        <v>2131</v>
      </c>
      <c r="AO6123" s="144"/>
      <c r="AP6123" s="148">
        <v>3269</v>
      </c>
      <c r="AQ6123" s="144"/>
      <c r="AR6123" s="120"/>
      <c r="AS6123" s="121"/>
      <c r="AT6123" s="120"/>
      <c r="AU6123" s="121"/>
      <c r="AV6123" s="120"/>
      <c r="AW6123" s="121"/>
      <c r="AX6123" s="120"/>
      <c r="AY6123" s="121"/>
      <c r="AZ6123" s="138"/>
    </row>
    <row r="6124" spans="1:52" ht="17.100000000000001" customHeight="1" thickTop="1">
      <c r="A6124" s="109" t="s">
        <v>17815</v>
      </c>
      <c r="B6124" s="28">
        <v>46066</v>
      </c>
      <c r="C6124" s="25">
        <v>1406</v>
      </c>
      <c r="D6124" s="13" t="s">
        <v>2500</v>
      </c>
      <c r="E6124" s="111"/>
      <c r="F6124" s="113" t="s">
        <v>15962</v>
      </c>
      <c r="G6124" s="114"/>
      <c r="H6124" s="115"/>
      <c r="I6124" s="24" t="s">
        <v>5439</v>
      </c>
      <c r="J6124" s="116">
        <v>4</v>
      </c>
      <c r="K6124" s="118">
        <v>509000</v>
      </c>
      <c r="L6124" s="119"/>
      <c r="M6124" s="118">
        <f t="shared" ref="M6124" si="8181">K6124*0.1</f>
        <v>50900</v>
      </c>
      <c r="N6124" s="119"/>
      <c r="O6124" s="118">
        <v>0</v>
      </c>
      <c r="P6124" s="119"/>
      <c r="Q6124" s="118">
        <v>9910</v>
      </c>
      <c r="R6124" s="119"/>
      <c r="S6124" s="118">
        <v>15400</v>
      </c>
      <c r="T6124" s="119"/>
      <c r="U6124" s="118">
        <f t="shared" ref="U6124" si="8182">SUM(K6124:T6125)</f>
        <v>585210</v>
      </c>
      <c r="V6124" s="122"/>
      <c r="W6124" s="124"/>
      <c r="X6124" s="126" t="s">
        <v>18293</v>
      </c>
      <c r="Y6124" s="127"/>
      <c r="Z6124" s="127"/>
      <c r="AA6124" s="127"/>
      <c r="AB6124" s="128"/>
      <c r="AC6124" s="15" t="s">
        <v>20</v>
      </c>
      <c r="AD6124" s="129"/>
      <c r="AE6124" s="130"/>
      <c r="AF6124" s="130"/>
      <c r="AG6124" s="130"/>
      <c r="AH6124" s="130"/>
      <c r="AI6124" s="131"/>
      <c r="AJ6124" s="132"/>
      <c r="AK6124" s="127"/>
      <c r="AL6124" s="128"/>
      <c r="AM6124" s="21"/>
      <c r="AN6124" s="133">
        <v>46074</v>
      </c>
      <c r="AO6124" s="134"/>
      <c r="AP6124" s="135">
        <v>1289</v>
      </c>
      <c r="AQ6124" s="136"/>
      <c r="AR6124" s="118">
        <v>660000</v>
      </c>
      <c r="AS6124" s="119"/>
      <c r="AT6124" s="118">
        <f t="shared" ref="AT6124" si="8183">AR6124*0.1</f>
        <v>66000</v>
      </c>
      <c r="AU6124" s="119"/>
      <c r="AV6124" s="118">
        <v>9910</v>
      </c>
      <c r="AW6124" s="119"/>
      <c r="AX6124" s="118">
        <f t="shared" ref="AX6124" si="8184">SUM(AR6124:AW6124)</f>
        <v>735910</v>
      </c>
      <c r="AY6124" s="119"/>
      <c r="AZ6124" s="137">
        <v>46077</v>
      </c>
    </row>
    <row r="6125" spans="1:52" ht="17.100000000000001" customHeight="1" thickBot="1">
      <c r="A6125" s="110"/>
      <c r="B6125" s="27" t="s">
        <v>2641</v>
      </c>
      <c r="C6125" s="27">
        <v>3046</v>
      </c>
      <c r="D6125" s="14" t="s">
        <v>2601</v>
      </c>
      <c r="E6125" s="112"/>
      <c r="F6125" s="139" t="s">
        <v>17834</v>
      </c>
      <c r="G6125" s="140"/>
      <c r="H6125" s="141"/>
      <c r="I6125" s="26">
        <v>70768</v>
      </c>
      <c r="J6125" s="117"/>
      <c r="K6125" s="120"/>
      <c r="L6125" s="121"/>
      <c r="M6125" s="120"/>
      <c r="N6125" s="121"/>
      <c r="O6125" s="120"/>
      <c r="P6125" s="121"/>
      <c r="Q6125" s="120"/>
      <c r="R6125" s="121"/>
      <c r="S6125" s="120"/>
      <c r="T6125" s="121"/>
      <c r="U6125" s="120"/>
      <c r="V6125" s="123"/>
      <c r="W6125" s="125"/>
      <c r="X6125" s="142" t="s">
        <v>18294</v>
      </c>
      <c r="Y6125" s="143"/>
      <c r="Z6125" s="143"/>
      <c r="AA6125" s="143"/>
      <c r="AB6125" s="144"/>
      <c r="AC6125" s="16" t="s">
        <v>21</v>
      </c>
      <c r="AD6125" s="17" t="s">
        <v>18232</v>
      </c>
      <c r="AE6125" s="145"/>
      <c r="AF6125" s="146"/>
      <c r="AG6125" s="146"/>
      <c r="AH6125" s="146"/>
      <c r="AI6125" s="147"/>
      <c r="AJ6125" s="148"/>
      <c r="AK6125" s="143"/>
      <c r="AL6125" s="144"/>
      <c r="AM6125" s="22"/>
      <c r="AN6125" s="149" t="s">
        <v>2511</v>
      </c>
      <c r="AO6125" s="144"/>
      <c r="AP6125" s="148">
        <v>60152</v>
      </c>
      <c r="AQ6125" s="144"/>
      <c r="AR6125" s="120"/>
      <c r="AS6125" s="121"/>
      <c r="AT6125" s="120"/>
      <c r="AU6125" s="121"/>
      <c r="AV6125" s="120"/>
      <c r="AW6125" s="121"/>
      <c r="AX6125" s="120"/>
      <c r="AY6125" s="121"/>
      <c r="AZ6125" s="138"/>
    </row>
    <row r="6126" spans="1:52" ht="17.100000000000001" customHeight="1" thickTop="1">
      <c r="A6126" s="109" t="s">
        <v>17816</v>
      </c>
      <c r="B6126" s="28">
        <v>46066</v>
      </c>
      <c r="C6126" s="25">
        <v>1406</v>
      </c>
      <c r="D6126" s="13" t="s">
        <v>3801</v>
      </c>
      <c r="E6126" s="111"/>
      <c r="F6126" s="113" t="s">
        <v>17835</v>
      </c>
      <c r="G6126" s="114"/>
      <c r="H6126" s="115"/>
      <c r="I6126" s="24"/>
      <c r="J6126" s="116">
        <v>4</v>
      </c>
      <c r="K6126" s="118">
        <v>795000</v>
      </c>
      <c r="L6126" s="119"/>
      <c r="M6126" s="118">
        <v>0</v>
      </c>
      <c r="N6126" s="119"/>
      <c r="O6126" s="118">
        <v>0</v>
      </c>
      <c r="P6126" s="119"/>
      <c r="Q6126" s="118">
        <v>7150</v>
      </c>
      <c r="R6126" s="119"/>
      <c r="S6126" s="118">
        <v>15400</v>
      </c>
      <c r="T6126" s="119"/>
      <c r="U6126" s="118">
        <f t="shared" ref="U6126" si="8185">SUM(K6126:T6127)</f>
        <v>817550</v>
      </c>
      <c r="V6126" s="122"/>
      <c r="W6126" s="124"/>
      <c r="X6126" s="126" t="s">
        <v>18296</v>
      </c>
      <c r="Y6126" s="127"/>
      <c r="Z6126" s="127"/>
      <c r="AA6126" s="127"/>
      <c r="AB6126" s="128"/>
      <c r="AC6126" s="15" t="s">
        <v>20</v>
      </c>
      <c r="AD6126" s="129" t="s">
        <v>18377</v>
      </c>
      <c r="AE6126" s="130"/>
      <c r="AF6126" s="130"/>
      <c r="AG6126" s="130"/>
      <c r="AH6126" s="130"/>
      <c r="AI6126" s="131"/>
      <c r="AJ6126" s="132"/>
      <c r="AK6126" s="127"/>
      <c r="AL6126" s="128"/>
      <c r="AM6126" s="21"/>
      <c r="AN6126" s="133">
        <v>46134</v>
      </c>
      <c r="AO6126" s="134"/>
      <c r="AP6126" s="135">
        <v>1014</v>
      </c>
      <c r="AQ6126" s="136"/>
      <c r="AR6126" s="118">
        <v>830000</v>
      </c>
      <c r="AS6126" s="119"/>
      <c r="AT6126" s="118">
        <f t="shared" ref="AT6126" si="8186">AR6126*0.1</f>
        <v>83000</v>
      </c>
      <c r="AU6126" s="119"/>
      <c r="AV6126" s="118">
        <v>7150</v>
      </c>
      <c r="AW6126" s="119"/>
      <c r="AX6126" s="118">
        <f t="shared" ref="AX6126" si="8187">SUM(AR6126:AW6126)</f>
        <v>920150</v>
      </c>
      <c r="AY6126" s="119"/>
      <c r="AZ6126" s="137">
        <v>46139</v>
      </c>
    </row>
    <row r="6127" spans="1:52" ht="17.100000000000001" customHeight="1" thickBot="1">
      <c r="A6127" s="110"/>
      <c r="B6127" s="27" t="s">
        <v>2641</v>
      </c>
      <c r="C6127" s="27">
        <v>3071</v>
      </c>
      <c r="D6127" s="14" t="s">
        <v>1592</v>
      </c>
      <c r="E6127" s="112"/>
      <c r="F6127" s="139" t="s">
        <v>17836</v>
      </c>
      <c r="G6127" s="140"/>
      <c r="H6127" s="141"/>
      <c r="I6127" s="26">
        <v>59210</v>
      </c>
      <c r="J6127" s="117"/>
      <c r="K6127" s="120"/>
      <c r="L6127" s="121"/>
      <c r="M6127" s="120"/>
      <c r="N6127" s="121"/>
      <c r="O6127" s="120"/>
      <c r="P6127" s="121"/>
      <c r="Q6127" s="120"/>
      <c r="R6127" s="121"/>
      <c r="S6127" s="120"/>
      <c r="T6127" s="121"/>
      <c r="U6127" s="120"/>
      <c r="V6127" s="123"/>
      <c r="W6127" s="125"/>
      <c r="X6127" s="142" t="s">
        <v>18297</v>
      </c>
      <c r="Y6127" s="143"/>
      <c r="Z6127" s="143"/>
      <c r="AA6127" s="143"/>
      <c r="AB6127" s="144"/>
      <c r="AC6127" s="16" t="s">
        <v>21</v>
      </c>
      <c r="AD6127" s="17" t="s">
        <v>18232</v>
      </c>
      <c r="AE6127" s="145" t="s">
        <v>18298</v>
      </c>
      <c r="AF6127" s="146"/>
      <c r="AG6127" s="146"/>
      <c r="AH6127" s="146"/>
      <c r="AI6127" s="147"/>
      <c r="AJ6127" s="148"/>
      <c r="AK6127" s="143"/>
      <c r="AL6127" s="144"/>
      <c r="AM6127" s="22"/>
      <c r="AN6127" s="149" t="s">
        <v>23987</v>
      </c>
      <c r="AO6127" s="144"/>
      <c r="AP6127" s="148">
        <v>2047</v>
      </c>
      <c r="AQ6127" s="144"/>
      <c r="AR6127" s="120"/>
      <c r="AS6127" s="121"/>
      <c r="AT6127" s="120"/>
      <c r="AU6127" s="121"/>
      <c r="AV6127" s="120"/>
      <c r="AW6127" s="121"/>
      <c r="AX6127" s="120"/>
      <c r="AY6127" s="121"/>
      <c r="AZ6127" s="138"/>
    </row>
    <row r="6128" spans="1:52" ht="17.100000000000001" customHeight="1" thickTop="1">
      <c r="A6128" s="109" t="s">
        <v>17817</v>
      </c>
      <c r="B6128" s="28">
        <v>46066</v>
      </c>
      <c r="C6128" s="25">
        <v>1406</v>
      </c>
      <c r="D6128" s="13" t="s">
        <v>2616</v>
      </c>
      <c r="E6128" s="111"/>
      <c r="F6128" s="113" t="s">
        <v>17902</v>
      </c>
      <c r="G6128" s="114"/>
      <c r="H6128" s="115"/>
      <c r="I6128" s="24" t="s">
        <v>17901</v>
      </c>
      <c r="J6128" s="116">
        <v>4</v>
      </c>
      <c r="K6128" s="118">
        <v>1348000</v>
      </c>
      <c r="L6128" s="119"/>
      <c r="M6128" s="118">
        <f t="shared" ref="M6128" si="8188">K6128*0.1</f>
        <v>134800</v>
      </c>
      <c r="N6128" s="119"/>
      <c r="O6128" s="118">
        <v>3300</v>
      </c>
      <c r="P6128" s="119"/>
      <c r="Q6128" s="118">
        <v>9720</v>
      </c>
      <c r="R6128" s="119"/>
      <c r="S6128" s="118">
        <v>15400</v>
      </c>
      <c r="T6128" s="119"/>
      <c r="U6128" s="118">
        <f t="shared" ref="U6128" si="8189">SUM(K6128:T6129)</f>
        <v>1511220</v>
      </c>
      <c r="V6128" s="122"/>
      <c r="W6128" s="124"/>
      <c r="X6128" s="126" t="s">
        <v>18290</v>
      </c>
      <c r="Y6128" s="127"/>
      <c r="Z6128" s="127"/>
      <c r="AA6128" s="127"/>
      <c r="AB6128" s="128"/>
      <c r="AC6128" s="15" t="s">
        <v>20</v>
      </c>
      <c r="AD6128" s="129" t="s">
        <v>17903</v>
      </c>
      <c r="AE6128" s="130"/>
      <c r="AF6128" s="130"/>
      <c r="AG6128" s="130"/>
      <c r="AH6128" s="130"/>
      <c r="AI6128" s="131"/>
      <c r="AJ6128" s="132"/>
      <c r="AK6128" s="127"/>
      <c r="AL6128" s="128"/>
      <c r="AM6128" s="21" t="s">
        <v>20002</v>
      </c>
      <c r="AN6128" s="133">
        <v>46102</v>
      </c>
      <c r="AO6128" s="134"/>
      <c r="AP6128" s="135">
        <v>1293</v>
      </c>
      <c r="AQ6128" s="136"/>
      <c r="AR6128" s="118">
        <v>1370000</v>
      </c>
      <c r="AS6128" s="119"/>
      <c r="AT6128" s="118">
        <f t="shared" ref="AT6128" si="8190">AR6128*0.1</f>
        <v>137000</v>
      </c>
      <c r="AU6128" s="119"/>
      <c r="AV6128" s="118">
        <v>9720</v>
      </c>
      <c r="AW6128" s="119"/>
      <c r="AX6128" s="118">
        <f t="shared" ref="AX6128" si="8191">SUM(AR6128:AW6128)</f>
        <v>1516720</v>
      </c>
      <c r="AY6128" s="119"/>
      <c r="AZ6128" s="137">
        <v>46105</v>
      </c>
    </row>
    <row r="6129" spans="1:52" ht="17.100000000000001" customHeight="1" thickBot="1">
      <c r="A6129" s="110"/>
      <c r="B6129" s="27" t="s">
        <v>2641</v>
      </c>
      <c r="C6129" s="27">
        <v>3198</v>
      </c>
      <c r="D6129" s="14" t="s">
        <v>904</v>
      </c>
      <c r="E6129" s="112"/>
      <c r="F6129" s="139" t="s">
        <v>17900</v>
      </c>
      <c r="G6129" s="140"/>
      <c r="H6129" s="141"/>
      <c r="I6129" s="26">
        <v>57111</v>
      </c>
      <c r="J6129" s="117"/>
      <c r="K6129" s="120"/>
      <c r="L6129" s="121"/>
      <c r="M6129" s="120"/>
      <c r="N6129" s="121"/>
      <c r="O6129" s="120"/>
      <c r="P6129" s="121"/>
      <c r="Q6129" s="120"/>
      <c r="R6129" s="121"/>
      <c r="S6129" s="120"/>
      <c r="T6129" s="121"/>
      <c r="U6129" s="120"/>
      <c r="V6129" s="123"/>
      <c r="W6129" s="125"/>
      <c r="X6129" s="142" t="s">
        <v>18291</v>
      </c>
      <c r="Y6129" s="143"/>
      <c r="Z6129" s="143"/>
      <c r="AA6129" s="143"/>
      <c r="AB6129" s="144"/>
      <c r="AC6129" s="16" t="s">
        <v>21</v>
      </c>
      <c r="AD6129" s="17" t="s">
        <v>18232</v>
      </c>
      <c r="AE6129" s="145" t="s">
        <v>18292</v>
      </c>
      <c r="AF6129" s="146"/>
      <c r="AG6129" s="146"/>
      <c r="AH6129" s="146"/>
      <c r="AI6129" s="147"/>
      <c r="AJ6129" s="148"/>
      <c r="AK6129" s="143"/>
      <c r="AL6129" s="144"/>
      <c r="AM6129" s="22"/>
      <c r="AN6129" s="149" t="s">
        <v>2511</v>
      </c>
      <c r="AO6129" s="144"/>
      <c r="AP6129" s="148">
        <v>13184</v>
      </c>
      <c r="AQ6129" s="144"/>
      <c r="AR6129" s="120"/>
      <c r="AS6129" s="121"/>
      <c r="AT6129" s="120"/>
      <c r="AU6129" s="121"/>
      <c r="AV6129" s="120"/>
      <c r="AW6129" s="121"/>
      <c r="AX6129" s="120"/>
      <c r="AY6129" s="121"/>
      <c r="AZ6129" s="138"/>
    </row>
    <row r="6130" spans="1:52" ht="17.100000000000001" customHeight="1" thickTop="1">
      <c r="A6130" s="109" t="s">
        <v>17818</v>
      </c>
      <c r="B6130" s="28">
        <v>46066</v>
      </c>
      <c r="C6130" s="25">
        <v>278</v>
      </c>
      <c r="D6130" s="13" t="s">
        <v>1059</v>
      </c>
      <c r="E6130" s="111"/>
      <c r="F6130" s="113" t="s">
        <v>15974</v>
      </c>
      <c r="G6130" s="114"/>
      <c r="H6130" s="115"/>
      <c r="I6130" s="24"/>
      <c r="J6130" s="116">
        <v>4</v>
      </c>
      <c r="K6130" s="118">
        <v>913000</v>
      </c>
      <c r="L6130" s="119"/>
      <c r="M6130" s="118">
        <f t="shared" ref="M6130" si="8192">K6130*0.1</f>
        <v>91300</v>
      </c>
      <c r="N6130" s="119"/>
      <c r="O6130" s="118">
        <v>0</v>
      </c>
      <c r="P6130" s="119"/>
      <c r="Q6130" s="118">
        <v>8550</v>
      </c>
      <c r="R6130" s="119"/>
      <c r="S6130" s="118">
        <v>22000</v>
      </c>
      <c r="T6130" s="119"/>
      <c r="U6130" s="118">
        <f t="shared" ref="U6130" si="8193">SUM(K6130:T6131)</f>
        <v>1034850</v>
      </c>
      <c r="V6130" s="122"/>
      <c r="W6130" s="124"/>
      <c r="X6130" s="126" t="s">
        <v>18283</v>
      </c>
      <c r="Y6130" s="127"/>
      <c r="Z6130" s="127"/>
      <c r="AA6130" s="127"/>
      <c r="AB6130" s="128"/>
      <c r="AC6130" s="15" t="s">
        <v>20</v>
      </c>
      <c r="AD6130" s="129" t="s">
        <v>17904</v>
      </c>
      <c r="AE6130" s="130"/>
      <c r="AF6130" s="130"/>
      <c r="AG6130" s="130"/>
      <c r="AH6130" s="130"/>
      <c r="AI6130" s="131"/>
      <c r="AJ6130" s="132"/>
      <c r="AK6130" s="127"/>
      <c r="AL6130" s="128"/>
      <c r="AM6130" s="21"/>
      <c r="AN6130" s="133">
        <v>46078</v>
      </c>
      <c r="AO6130" s="134"/>
      <c r="AP6130" s="135">
        <v>1006</v>
      </c>
      <c r="AQ6130" s="136"/>
      <c r="AR6130" s="118">
        <v>1040000</v>
      </c>
      <c r="AS6130" s="119"/>
      <c r="AT6130" s="118">
        <f t="shared" ref="AT6130" si="8194">AR6130*0.1</f>
        <v>104000</v>
      </c>
      <c r="AU6130" s="119"/>
      <c r="AV6130" s="118">
        <v>8550</v>
      </c>
      <c r="AW6130" s="119"/>
      <c r="AX6130" s="118">
        <f t="shared" ref="AX6130" si="8195">SUM(AR6130:AW6130)</f>
        <v>1152550</v>
      </c>
      <c r="AY6130" s="119"/>
      <c r="AZ6130" s="137">
        <v>46083</v>
      </c>
    </row>
    <row r="6131" spans="1:52" ht="17.100000000000001" customHeight="1" thickBot="1">
      <c r="A6131" s="110"/>
      <c r="B6131" s="27" t="s">
        <v>15877</v>
      </c>
      <c r="C6131" s="27">
        <v>3</v>
      </c>
      <c r="D6131" s="14" t="s">
        <v>275</v>
      </c>
      <c r="E6131" s="112"/>
      <c r="F6131" s="139" t="s">
        <v>17837</v>
      </c>
      <c r="G6131" s="140"/>
      <c r="H6131" s="141"/>
      <c r="I6131" s="26">
        <v>35803</v>
      </c>
      <c r="J6131" s="117"/>
      <c r="K6131" s="120"/>
      <c r="L6131" s="121"/>
      <c r="M6131" s="120"/>
      <c r="N6131" s="121"/>
      <c r="O6131" s="120"/>
      <c r="P6131" s="121"/>
      <c r="Q6131" s="120"/>
      <c r="R6131" s="121"/>
      <c r="S6131" s="120"/>
      <c r="T6131" s="121"/>
      <c r="U6131" s="120"/>
      <c r="V6131" s="123"/>
      <c r="W6131" s="125"/>
      <c r="X6131" s="142" t="s">
        <v>18284</v>
      </c>
      <c r="Y6131" s="143"/>
      <c r="Z6131" s="143"/>
      <c r="AA6131" s="143"/>
      <c r="AB6131" s="144"/>
      <c r="AC6131" s="16" t="s">
        <v>21</v>
      </c>
      <c r="AD6131" s="17" t="s">
        <v>18232</v>
      </c>
      <c r="AE6131" s="145" t="s">
        <v>16964</v>
      </c>
      <c r="AF6131" s="146"/>
      <c r="AG6131" s="146"/>
      <c r="AH6131" s="146"/>
      <c r="AI6131" s="147"/>
      <c r="AJ6131" s="148"/>
      <c r="AK6131" s="143"/>
      <c r="AL6131" s="144"/>
      <c r="AM6131" s="22"/>
      <c r="AN6131" s="149" t="s">
        <v>2794</v>
      </c>
      <c r="AO6131" s="144"/>
      <c r="AP6131" s="148">
        <v>2045</v>
      </c>
      <c r="AQ6131" s="144"/>
      <c r="AR6131" s="120"/>
      <c r="AS6131" s="121"/>
      <c r="AT6131" s="120"/>
      <c r="AU6131" s="121"/>
      <c r="AV6131" s="120"/>
      <c r="AW6131" s="121"/>
      <c r="AX6131" s="120"/>
      <c r="AY6131" s="121"/>
      <c r="AZ6131" s="138"/>
    </row>
    <row r="6132" spans="1:52" ht="17.100000000000001" customHeight="1" thickTop="1">
      <c r="A6132" s="109" t="s">
        <v>17819</v>
      </c>
      <c r="B6132" s="28">
        <v>46066</v>
      </c>
      <c r="C6132" s="25">
        <v>278</v>
      </c>
      <c r="D6132" s="13" t="s">
        <v>1675</v>
      </c>
      <c r="E6132" s="111"/>
      <c r="F6132" s="113" t="s">
        <v>17905</v>
      </c>
      <c r="G6132" s="114"/>
      <c r="H6132" s="115"/>
      <c r="I6132" s="24" t="s">
        <v>3399</v>
      </c>
      <c r="J6132" s="116">
        <v>4</v>
      </c>
      <c r="K6132" s="118">
        <v>510000</v>
      </c>
      <c r="L6132" s="119"/>
      <c r="M6132" s="118">
        <f t="shared" ref="M6132" si="8196">K6132*0.1</f>
        <v>51000</v>
      </c>
      <c r="N6132" s="119"/>
      <c r="O6132" s="118">
        <v>0</v>
      </c>
      <c r="P6132" s="119"/>
      <c r="Q6132" s="118">
        <v>9790</v>
      </c>
      <c r="R6132" s="119"/>
      <c r="S6132" s="118">
        <v>22000</v>
      </c>
      <c r="T6132" s="119"/>
      <c r="U6132" s="118">
        <f t="shared" ref="U6132" si="8197">SUM(K6132:T6133)</f>
        <v>592790</v>
      </c>
      <c r="V6132" s="122"/>
      <c r="W6132" s="124"/>
      <c r="X6132" s="126" t="s">
        <v>17906</v>
      </c>
      <c r="Y6132" s="127"/>
      <c r="Z6132" s="127"/>
      <c r="AA6132" s="127"/>
      <c r="AB6132" s="128"/>
      <c r="AC6132" s="15" t="s">
        <v>20</v>
      </c>
      <c r="AD6132" s="129"/>
      <c r="AE6132" s="130"/>
      <c r="AF6132" s="130"/>
      <c r="AG6132" s="130"/>
      <c r="AH6132" s="130"/>
      <c r="AI6132" s="131"/>
      <c r="AJ6132" s="132"/>
      <c r="AK6132" s="127"/>
      <c r="AL6132" s="128"/>
      <c r="AM6132" s="21"/>
      <c r="AN6132" s="133">
        <v>46078</v>
      </c>
      <c r="AO6132" s="134"/>
      <c r="AP6132" s="135">
        <v>1006</v>
      </c>
      <c r="AQ6132" s="136"/>
      <c r="AR6132" s="118">
        <v>580000</v>
      </c>
      <c r="AS6132" s="119"/>
      <c r="AT6132" s="118">
        <f t="shared" ref="AT6132" si="8198">AR6132*0.1</f>
        <v>58000</v>
      </c>
      <c r="AU6132" s="119"/>
      <c r="AV6132" s="118">
        <v>9790</v>
      </c>
      <c r="AW6132" s="119"/>
      <c r="AX6132" s="118">
        <f t="shared" ref="AX6132" si="8199">SUM(AR6132:AW6132)</f>
        <v>647790</v>
      </c>
      <c r="AY6132" s="119"/>
      <c r="AZ6132" s="137">
        <v>46083</v>
      </c>
    </row>
    <row r="6133" spans="1:52" ht="17.100000000000001" customHeight="1" thickBot="1">
      <c r="A6133" s="110"/>
      <c r="B6133" s="27" t="s">
        <v>15877</v>
      </c>
      <c r="C6133" s="27">
        <v>67</v>
      </c>
      <c r="D6133" s="14" t="s">
        <v>2601</v>
      </c>
      <c r="E6133" s="112"/>
      <c r="F6133" s="139" t="s">
        <v>17838</v>
      </c>
      <c r="G6133" s="140"/>
      <c r="H6133" s="141"/>
      <c r="I6133" s="26">
        <v>76964</v>
      </c>
      <c r="J6133" s="117"/>
      <c r="K6133" s="120"/>
      <c r="L6133" s="121"/>
      <c r="M6133" s="120"/>
      <c r="N6133" s="121"/>
      <c r="O6133" s="120"/>
      <c r="P6133" s="121"/>
      <c r="Q6133" s="120"/>
      <c r="R6133" s="121"/>
      <c r="S6133" s="120"/>
      <c r="T6133" s="121"/>
      <c r="U6133" s="120"/>
      <c r="V6133" s="123"/>
      <c r="W6133" s="125"/>
      <c r="X6133" s="142" t="s">
        <v>18281</v>
      </c>
      <c r="Y6133" s="143"/>
      <c r="Z6133" s="143"/>
      <c r="AA6133" s="143"/>
      <c r="AB6133" s="144"/>
      <c r="AC6133" s="16" t="s">
        <v>21</v>
      </c>
      <c r="AD6133" s="17" t="s">
        <v>18232</v>
      </c>
      <c r="AE6133" s="145" t="s">
        <v>18282</v>
      </c>
      <c r="AF6133" s="146"/>
      <c r="AG6133" s="146"/>
      <c r="AH6133" s="146"/>
      <c r="AI6133" s="147"/>
      <c r="AJ6133" s="148"/>
      <c r="AK6133" s="143"/>
      <c r="AL6133" s="144"/>
      <c r="AM6133" s="22"/>
      <c r="AN6133" s="149" t="s">
        <v>2794</v>
      </c>
      <c r="AO6133" s="144"/>
      <c r="AP6133" s="148">
        <v>2050</v>
      </c>
      <c r="AQ6133" s="144"/>
      <c r="AR6133" s="120"/>
      <c r="AS6133" s="121"/>
      <c r="AT6133" s="120"/>
      <c r="AU6133" s="121"/>
      <c r="AV6133" s="120"/>
      <c r="AW6133" s="121"/>
      <c r="AX6133" s="120"/>
      <c r="AY6133" s="121"/>
      <c r="AZ6133" s="138"/>
    </row>
    <row r="6134" spans="1:52" ht="17.100000000000001" customHeight="1" thickTop="1">
      <c r="A6134" s="109" t="s">
        <v>17820</v>
      </c>
      <c r="B6134" s="28">
        <v>46066</v>
      </c>
      <c r="C6134" s="25">
        <v>2122</v>
      </c>
      <c r="D6134" s="13" t="s">
        <v>1988</v>
      </c>
      <c r="E6134" s="111"/>
      <c r="F6134" s="113" t="s">
        <v>17839</v>
      </c>
      <c r="G6134" s="114"/>
      <c r="H6134" s="115"/>
      <c r="I6134" s="24" t="s">
        <v>14469</v>
      </c>
      <c r="J6134" s="116">
        <v>4.5</v>
      </c>
      <c r="K6134" s="118">
        <v>2135000</v>
      </c>
      <c r="L6134" s="119"/>
      <c r="M6134" s="118">
        <f t="shared" ref="M6134" si="8200">K6134*0.1</f>
        <v>213500</v>
      </c>
      <c r="N6134" s="119"/>
      <c r="O6134" s="118">
        <v>2750</v>
      </c>
      <c r="P6134" s="119"/>
      <c r="Q6134" s="118">
        <v>15750</v>
      </c>
      <c r="R6134" s="119"/>
      <c r="S6134" s="118">
        <v>16500</v>
      </c>
      <c r="T6134" s="119"/>
      <c r="U6134" s="118">
        <f t="shared" ref="U6134" si="8201">SUM(K6134:T6135)</f>
        <v>2383500</v>
      </c>
      <c r="V6134" s="122"/>
      <c r="W6134" s="124"/>
      <c r="X6134" s="126" t="s">
        <v>17909</v>
      </c>
      <c r="Y6134" s="127"/>
      <c r="Z6134" s="127"/>
      <c r="AA6134" s="127"/>
      <c r="AB6134" s="128"/>
      <c r="AC6134" s="15" t="s">
        <v>20</v>
      </c>
      <c r="AD6134" s="129" t="s">
        <v>17908</v>
      </c>
      <c r="AE6134" s="130"/>
      <c r="AF6134" s="130"/>
      <c r="AG6134" s="130"/>
      <c r="AH6134" s="130"/>
      <c r="AI6134" s="131"/>
      <c r="AJ6134" s="132"/>
      <c r="AK6134" s="127"/>
      <c r="AL6134" s="128"/>
      <c r="AM6134" s="21"/>
      <c r="AN6134" s="133">
        <v>46072</v>
      </c>
      <c r="AO6134" s="134"/>
      <c r="AP6134" s="135">
        <v>1319</v>
      </c>
      <c r="AQ6134" s="136"/>
      <c r="AR6134" s="118">
        <v>2320000</v>
      </c>
      <c r="AS6134" s="119"/>
      <c r="AT6134" s="118">
        <f t="shared" ref="AT6134" si="8202">AR6134*0.1</f>
        <v>232000</v>
      </c>
      <c r="AU6134" s="119"/>
      <c r="AV6134" s="118">
        <v>15750</v>
      </c>
      <c r="AW6134" s="119"/>
      <c r="AX6134" s="118">
        <f t="shared" ref="AX6134" si="8203">SUM(AR6134:AW6134)</f>
        <v>2567750</v>
      </c>
      <c r="AY6134" s="119"/>
      <c r="AZ6134" s="137">
        <v>46073</v>
      </c>
    </row>
    <row r="6135" spans="1:52" ht="17.100000000000001" customHeight="1" thickBot="1">
      <c r="A6135" s="110"/>
      <c r="B6135" s="27" t="s">
        <v>1543</v>
      </c>
      <c r="C6135" s="27">
        <v>13013</v>
      </c>
      <c r="D6135" s="14" t="s">
        <v>275</v>
      </c>
      <c r="E6135" s="112"/>
      <c r="F6135" s="139" t="s">
        <v>17907</v>
      </c>
      <c r="G6135" s="140"/>
      <c r="H6135" s="141"/>
      <c r="I6135" s="26">
        <v>15455</v>
      </c>
      <c r="J6135" s="117"/>
      <c r="K6135" s="120"/>
      <c r="L6135" s="121"/>
      <c r="M6135" s="120"/>
      <c r="N6135" s="121"/>
      <c r="O6135" s="120"/>
      <c r="P6135" s="121"/>
      <c r="Q6135" s="120"/>
      <c r="R6135" s="121"/>
      <c r="S6135" s="120"/>
      <c r="T6135" s="121"/>
      <c r="U6135" s="120"/>
      <c r="V6135" s="123"/>
      <c r="W6135" s="125"/>
      <c r="X6135" s="142" t="s">
        <v>18276</v>
      </c>
      <c r="Y6135" s="143"/>
      <c r="Z6135" s="143"/>
      <c r="AA6135" s="143"/>
      <c r="AB6135" s="144"/>
      <c r="AC6135" s="16" t="s">
        <v>21</v>
      </c>
      <c r="AD6135" s="17" t="s">
        <v>18232</v>
      </c>
      <c r="AE6135" s="145" t="s">
        <v>1742</v>
      </c>
      <c r="AF6135" s="146"/>
      <c r="AG6135" s="146"/>
      <c r="AH6135" s="146"/>
      <c r="AI6135" s="147"/>
      <c r="AJ6135" s="148"/>
      <c r="AK6135" s="143"/>
      <c r="AL6135" s="144"/>
      <c r="AM6135" s="22"/>
      <c r="AN6135" s="149" t="s">
        <v>13663</v>
      </c>
      <c r="AO6135" s="144"/>
      <c r="AP6135" s="148">
        <v>23</v>
      </c>
      <c r="AQ6135" s="144"/>
      <c r="AR6135" s="120"/>
      <c r="AS6135" s="121"/>
      <c r="AT6135" s="120"/>
      <c r="AU6135" s="121"/>
      <c r="AV6135" s="120"/>
      <c r="AW6135" s="121"/>
      <c r="AX6135" s="120"/>
      <c r="AY6135" s="121"/>
      <c r="AZ6135" s="138"/>
    </row>
    <row r="6136" spans="1:52" ht="17.100000000000001" customHeight="1" thickTop="1">
      <c r="A6136" s="109" t="s">
        <v>17821</v>
      </c>
      <c r="B6136" s="28">
        <v>46066</v>
      </c>
      <c r="C6136" s="25">
        <v>2122</v>
      </c>
      <c r="D6136" s="13" t="s">
        <v>2001</v>
      </c>
      <c r="E6136" s="111"/>
      <c r="F6136" s="113" t="s">
        <v>17840</v>
      </c>
      <c r="G6136" s="114"/>
      <c r="H6136" s="115"/>
      <c r="I6136" s="24"/>
      <c r="J6136" s="116">
        <v>4.5</v>
      </c>
      <c r="K6136" s="118">
        <v>1720000</v>
      </c>
      <c r="L6136" s="119"/>
      <c r="M6136" s="118">
        <f t="shared" ref="M6136" si="8204">K6136*0.1</f>
        <v>172000</v>
      </c>
      <c r="N6136" s="119"/>
      <c r="O6136" s="118">
        <v>0</v>
      </c>
      <c r="P6136" s="119"/>
      <c r="Q6136" s="118">
        <v>17930</v>
      </c>
      <c r="R6136" s="119"/>
      <c r="S6136" s="118">
        <v>16500</v>
      </c>
      <c r="T6136" s="119"/>
      <c r="U6136" s="118">
        <f t="shared" ref="U6136" si="8205">SUM(K6136:T6137)</f>
        <v>1926430</v>
      </c>
      <c r="V6136" s="122"/>
      <c r="W6136" s="124"/>
      <c r="X6136" s="126" t="s">
        <v>18279</v>
      </c>
      <c r="Y6136" s="127"/>
      <c r="Z6136" s="127"/>
      <c r="AA6136" s="127"/>
      <c r="AB6136" s="128"/>
      <c r="AC6136" s="15" t="s">
        <v>20</v>
      </c>
      <c r="AD6136" s="129" t="s">
        <v>7231</v>
      </c>
      <c r="AE6136" s="130"/>
      <c r="AF6136" s="130"/>
      <c r="AG6136" s="130"/>
      <c r="AH6136" s="130"/>
      <c r="AI6136" s="131"/>
      <c r="AJ6136" s="132"/>
      <c r="AK6136" s="127"/>
      <c r="AL6136" s="128"/>
      <c r="AM6136" s="21"/>
      <c r="AN6136" s="133">
        <v>46088</v>
      </c>
      <c r="AO6136" s="134"/>
      <c r="AP6136" s="135">
        <v>1291</v>
      </c>
      <c r="AQ6136" s="136"/>
      <c r="AR6136" s="118">
        <v>1910000</v>
      </c>
      <c r="AS6136" s="119"/>
      <c r="AT6136" s="118">
        <f t="shared" ref="AT6136" si="8206">AR6136*0.1</f>
        <v>191000</v>
      </c>
      <c r="AU6136" s="119"/>
      <c r="AV6136" s="118">
        <v>17930</v>
      </c>
      <c r="AW6136" s="119"/>
      <c r="AX6136" s="118">
        <f t="shared" ref="AX6136" si="8207">SUM(AR6136:AW6136)</f>
        <v>2118930</v>
      </c>
      <c r="AY6136" s="119"/>
      <c r="AZ6136" s="137">
        <v>46091</v>
      </c>
    </row>
    <row r="6137" spans="1:52" ht="17.100000000000001" customHeight="1" thickBot="1">
      <c r="A6137" s="110"/>
      <c r="B6137" s="27" t="s">
        <v>1543</v>
      </c>
      <c r="C6137" s="27">
        <v>20286</v>
      </c>
      <c r="D6137" s="14" t="s">
        <v>1700</v>
      </c>
      <c r="E6137" s="112"/>
      <c r="F6137" s="139" t="s">
        <v>17910</v>
      </c>
      <c r="G6137" s="140"/>
      <c r="H6137" s="141"/>
      <c r="I6137" s="26">
        <v>45435</v>
      </c>
      <c r="J6137" s="117"/>
      <c r="K6137" s="120"/>
      <c r="L6137" s="121"/>
      <c r="M6137" s="120"/>
      <c r="N6137" s="121"/>
      <c r="O6137" s="120"/>
      <c r="P6137" s="121"/>
      <c r="Q6137" s="120"/>
      <c r="R6137" s="121"/>
      <c r="S6137" s="120"/>
      <c r="T6137" s="121"/>
      <c r="U6137" s="120"/>
      <c r="V6137" s="123"/>
      <c r="W6137" s="125"/>
      <c r="X6137" s="142" t="s">
        <v>18280</v>
      </c>
      <c r="Y6137" s="143"/>
      <c r="Z6137" s="143"/>
      <c r="AA6137" s="143"/>
      <c r="AB6137" s="144"/>
      <c r="AC6137" s="16" t="s">
        <v>21</v>
      </c>
      <c r="AD6137" s="17" t="s">
        <v>18232</v>
      </c>
      <c r="AE6137" s="145" t="s">
        <v>1614</v>
      </c>
      <c r="AF6137" s="146"/>
      <c r="AG6137" s="146"/>
      <c r="AH6137" s="146"/>
      <c r="AI6137" s="147"/>
      <c r="AJ6137" s="148"/>
      <c r="AK6137" s="143"/>
      <c r="AL6137" s="144"/>
      <c r="AM6137" s="22"/>
      <c r="AN6137" s="149" t="s">
        <v>2511</v>
      </c>
      <c r="AO6137" s="144"/>
      <c r="AP6137" s="148">
        <v>80013</v>
      </c>
      <c r="AQ6137" s="144"/>
      <c r="AR6137" s="120"/>
      <c r="AS6137" s="121"/>
      <c r="AT6137" s="120"/>
      <c r="AU6137" s="121"/>
      <c r="AV6137" s="120"/>
      <c r="AW6137" s="121"/>
      <c r="AX6137" s="120"/>
      <c r="AY6137" s="121"/>
      <c r="AZ6137" s="138"/>
    </row>
    <row r="6138" spans="1:52" ht="17.100000000000001" customHeight="1" thickTop="1">
      <c r="A6138" s="109" t="s">
        <v>17822</v>
      </c>
      <c r="B6138" s="28">
        <v>46066</v>
      </c>
      <c r="C6138" s="25">
        <v>2122</v>
      </c>
      <c r="D6138" s="13" t="s">
        <v>1714</v>
      </c>
      <c r="E6138" s="111"/>
      <c r="F6138" s="113" t="s">
        <v>17911</v>
      </c>
      <c r="G6138" s="114"/>
      <c r="H6138" s="115"/>
      <c r="I6138" s="24"/>
      <c r="J6138" s="116">
        <v>4.5</v>
      </c>
      <c r="K6138" s="118">
        <v>2260000</v>
      </c>
      <c r="L6138" s="119"/>
      <c r="M6138" s="118">
        <f t="shared" ref="M6138" si="8208">K6138*0.1</f>
        <v>226000</v>
      </c>
      <c r="N6138" s="119"/>
      <c r="O6138" s="118">
        <v>0</v>
      </c>
      <c r="P6138" s="119"/>
      <c r="Q6138" s="118">
        <v>21650</v>
      </c>
      <c r="R6138" s="119"/>
      <c r="S6138" s="118">
        <v>16500</v>
      </c>
      <c r="T6138" s="119"/>
      <c r="U6138" s="118">
        <f t="shared" ref="U6138" si="8209">SUM(K6138:T6139)</f>
        <v>2524150</v>
      </c>
      <c r="V6138" s="122"/>
      <c r="W6138" s="124"/>
      <c r="X6138" s="126" t="s">
        <v>18277</v>
      </c>
      <c r="Y6138" s="127"/>
      <c r="Z6138" s="127"/>
      <c r="AA6138" s="127"/>
      <c r="AB6138" s="128"/>
      <c r="AC6138" s="15" t="s">
        <v>20</v>
      </c>
      <c r="AD6138" s="129" t="s">
        <v>1670</v>
      </c>
      <c r="AE6138" s="130"/>
      <c r="AF6138" s="130"/>
      <c r="AG6138" s="130"/>
      <c r="AH6138" s="130"/>
      <c r="AI6138" s="131"/>
      <c r="AJ6138" s="132"/>
      <c r="AK6138" s="127"/>
      <c r="AL6138" s="128"/>
      <c r="AM6138" s="21"/>
      <c r="AN6138" s="133">
        <v>46123</v>
      </c>
      <c r="AO6138" s="134"/>
      <c r="AP6138" s="135">
        <v>1296</v>
      </c>
      <c r="AQ6138" s="136"/>
      <c r="AR6138" s="118">
        <v>2380000</v>
      </c>
      <c r="AS6138" s="119"/>
      <c r="AT6138" s="118">
        <f t="shared" ref="AT6138" si="8210">AR6138*0.1</f>
        <v>238000</v>
      </c>
      <c r="AU6138" s="119"/>
      <c r="AV6138" s="118">
        <v>21650</v>
      </c>
      <c r="AW6138" s="119"/>
      <c r="AX6138" s="118">
        <f t="shared" ref="AX6138" si="8211">SUM(AR6138:AW6138)</f>
        <v>2639650</v>
      </c>
      <c r="AY6138" s="119"/>
      <c r="AZ6138" s="137">
        <v>46128</v>
      </c>
    </row>
    <row r="6139" spans="1:52" ht="17.100000000000001" customHeight="1" thickBot="1">
      <c r="A6139" s="110"/>
      <c r="B6139" s="27" t="s">
        <v>1543</v>
      </c>
      <c r="C6139" s="27">
        <v>58108</v>
      </c>
      <c r="D6139" s="14" t="s">
        <v>1700</v>
      </c>
      <c r="E6139" s="112"/>
      <c r="F6139" s="139" t="s">
        <v>17912</v>
      </c>
      <c r="G6139" s="140"/>
      <c r="H6139" s="141"/>
      <c r="I6139" s="26">
        <v>43380</v>
      </c>
      <c r="J6139" s="117"/>
      <c r="K6139" s="120"/>
      <c r="L6139" s="121"/>
      <c r="M6139" s="120"/>
      <c r="N6139" s="121"/>
      <c r="O6139" s="120"/>
      <c r="P6139" s="121"/>
      <c r="Q6139" s="120"/>
      <c r="R6139" s="121"/>
      <c r="S6139" s="120"/>
      <c r="T6139" s="121"/>
      <c r="U6139" s="120"/>
      <c r="V6139" s="123"/>
      <c r="W6139" s="125"/>
      <c r="X6139" s="142" t="s">
        <v>18278</v>
      </c>
      <c r="Y6139" s="143"/>
      <c r="Z6139" s="143"/>
      <c r="AA6139" s="143"/>
      <c r="AB6139" s="144"/>
      <c r="AC6139" s="16" t="s">
        <v>21</v>
      </c>
      <c r="AD6139" s="17" t="s">
        <v>18232</v>
      </c>
      <c r="AE6139" s="145" t="s">
        <v>11217</v>
      </c>
      <c r="AF6139" s="146"/>
      <c r="AG6139" s="146"/>
      <c r="AH6139" s="146"/>
      <c r="AI6139" s="147"/>
      <c r="AJ6139" s="148"/>
      <c r="AK6139" s="143"/>
      <c r="AL6139" s="144"/>
      <c r="AM6139" s="22"/>
      <c r="AN6139" s="149" t="s">
        <v>23079</v>
      </c>
      <c r="AO6139" s="144"/>
      <c r="AP6139" s="148">
        <v>80115</v>
      </c>
      <c r="AQ6139" s="144"/>
      <c r="AR6139" s="120"/>
      <c r="AS6139" s="121"/>
      <c r="AT6139" s="120"/>
      <c r="AU6139" s="121"/>
      <c r="AV6139" s="120"/>
      <c r="AW6139" s="121"/>
      <c r="AX6139" s="120"/>
      <c r="AY6139" s="121"/>
      <c r="AZ6139" s="138"/>
    </row>
    <row r="6140" spans="1:52" ht="17.100000000000001" customHeight="1" thickTop="1">
      <c r="A6140" s="109" t="s">
        <v>17823</v>
      </c>
      <c r="B6140" s="28">
        <v>46066</v>
      </c>
      <c r="C6140" s="25">
        <v>2122</v>
      </c>
      <c r="D6140" s="13" t="s">
        <v>2759</v>
      </c>
      <c r="E6140" s="111"/>
      <c r="F6140" s="113" t="s">
        <v>17841</v>
      </c>
      <c r="G6140" s="114"/>
      <c r="H6140" s="115"/>
      <c r="I6140" s="24" t="s">
        <v>2956</v>
      </c>
      <c r="J6140" s="116">
        <v>4.5</v>
      </c>
      <c r="K6140" s="118">
        <v>1980000</v>
      </c>
      <c r="L6140" s="119"/>
      <c r="M6140" s="118">
        <f t="shared" ref="M6140" si="8212">K6140*0.1</f>
        <v>198000</v>
      </c>
      <c r="N6140" s="119"/>
      <c r="O6140" s="118">
        <v>3300</v>
      </c>
      <c r="P6140" s="119"/>
      <c r="Q6140" s="118">
        <v>18890</v>
      </c>
      <c r="R6140" s="119"/>
      <c r="S6140" s="118">
        <v>27500</v>
      </c>
      <c r="T6140" s="119"/>
      <c r="U6140" s="118">
        <f t="shared" ref="U6140" si="8213">SUM(K6140:T6141)</f>
        <v>2227690</v>
      </c>
      <c r="V6140" s="122"/>
      <c r="W6140" s="124"/>
      <c r="X6140" s="126" t="s">
        <v>18272</v>
      </c>
      <c r="Y6140" s="127"/>
      <c r="Z6140" s="127"/>
      <c r="AA6140" s="127"/>
      <c r="AB6140" s="128"/>
      <c r="AC6140" s="15" t="s">
        <v>20</v>
      </c>
      <c r="AD6140" s="129" t="s">
        <v>1670</v>
      </c>
      <c r="AE6140" s="130"/>
      <c r="AF6140" s="130"/>
      <c r="AG6140" s="130"/>
      <c r="AH6140" s="130"/>
      <c r="AI6140" s="131"/>
      <c r="AJ6140" s="132"/>
      <c r="AK6140" s="127"/>
      <c r="AL6140" s="128"/>
      <c r="AM6140" s="21"/>
      <c r="AN6140" s="133">
        <v>46086</v>
      </c>
      <c r="AO6140" s="134"/>
      <c r="AP6140" s="135">
        <v>1321</v>
      </c>
      <c r="AQ6140" s="136"/>
      <c r="AR6140" s="118">
        <v>2165000</v>
      </c>
      <c r="AS6140" s="119"/>
      <c r="AT6140" s="118">
        <f t="shared" ref="AT6140" si="8214">AR6140*0.1</f>
        <v>216500</v>
      </c>
      <c r="AU6140" s="119"/>
      <c r="AV6140" s="118">
        <v>18890</v>
      </c>
      <c r="AW6140" s="119"/>
      <c r="AX6140" s="118">
        <f t="shared" ref="AX6140" si="8215">SUM(AR6140:AW6140)</f>
        <v>2400390</v>
      </c>
      <c r="AY6140" s="119"/>
      <c r="AZ6140" s="137">
        <v>46087</v>
      </c>
    </row>
    <row r="6141" spans="1:52" ht="17.100000000000001" customHeight="1" thickBot="1">
      <c r="A6141" s="110"/>
      <c r="B6141" s="27" t="s">
        <v>1543</v>
      </c>
      <c r="C6141" s="27">
        <v>58302</v>
      </c>
      <c r="D6141" s="14" t="s">
        <v>904</v>
      </c>
      <c r="E6141" s="112"/>
      <c r="F6141" s="139" t="s">
        <v>17913</v>
      </c>
      <c r="G6141" s="140"/>
      <c r="H6141" s="141"/>
      <c r="I6141" s="26">
        <v>41074</v>
      </c>
      <c r="J6141" s="117"/>
      <c r="K6141" s="120"/>
      <c r="L6141" s="121"/>
      <c r="M6141" s="120"/>
      <c r="N6141" s="121"/>
      <c r="O6141" s="120"/>
      <c r="P6141" s="121"/>
      <c r="Q6141" s="120"/>
      <c r="R6141" s="121"/>
      <c r="S6141" s="120"/>
      <c r="T6141" s="121"/>
      <c r="U6141" s="120"/>
      <c r="V6141" s="123"/>
      <c r="W6141" s="125"/>
      <c r="X6141" s="142" t="s">
        <v>18273</v>
      </c>
      <c r="Y6141" s="143"/>
      <c r="Z6141" s="143"/>
      <c r="AA6141" s="143"/>
      <c r="AB6141" s="144"/>
      <c r="AC6141" s="16" t="s">
        <v>21</v>
      </c>
      <c r="AD6141" s="17" t="s">
        <v>18232</v>
      </c>
      <c r="AE6141" s="145" t="s">
        <v>18376</v>
      </c>
      <c r="AF6141" s="146"/>
      <c r="AG6141" s="146"/>
      <c r="AH6141" s="146"/>
      <c r="AI6141" s="147"/>
      <c r="AJ6141" s="148"/>
      <c r="AK6141" s="143"/>
      <c r="AL6141" s="144"/>
      <c r="AM6141" s="22"/>
      <c r="AN6141" s="149" t="s">
        <v>19388</v>
      </c>
      <c r="AO6141" s="144"/>
      <c r="AP6141" s="148">
        <v>306</v>
      </c>
      <c r="AQ6141" s="144"/>
      <c r="AR6141" s="120"/>
      <c r="AS6141" s="121"/>
      <c r="AT6141" s="120"/>
      <c r="AU6141" s="121"/>
      <c r="AV6141" s="120"/>
      <c r="AW6141" s="121"/>
      <c r="AX6141" s="120"/>
      <c r="AY6141" s="121"/>
      <c r="AZ6141" s="138"/>
    </row>
    <row r="6142" spans="1:52" ht="17.100000000000001" customHeight="1" thickTop="1">
      <c r="A6142" s="109" t="s">
        <v>17824</v>
      </c>
      <c r="B6142" s="28">
        <v>46066</v>
      </c>
      <c r="C6142" s="25">
        <v>2122</v>
      </c>
      <c r="D6142" s="13" t="s">
        <v>859</v>
      </c>
      <c r="E6142" s="111"/>
      <c r="F6142" s="113" t="s">
        <v>16285</v>
      </c>
      <c r="G6142" s="114"/>
      <c r="H6142" s="115"/>
      <c r="I6142" s="24" t="s">
        <v>17915</v>
      </c>
      <c r="J6142" s="116">
        <v>4.5</v>
      </c>
      <c r="K6142" s="118">
        <v>1080000</v>
      </c>
      <c r="L6142" s="119"/>
      <c r="M6142" s="118">
        <f t="shared" ref="M6142" si="8216">K6142*0.1</f>
        <v>108000</v>
      </c>
      <c r="N6142" s="119"/>
      <c r="O6142" s="118">
        <v>2750</v>
      </c>
      <c r="P6142" s="119"/>
      <c r="Q6142" s="118">
        <v>17600</v>
      </c>
      <c r="R6142" s="119"/>
      <c r="S6142" s="118">
        <v>27500</v>
      </c>
      <c r="T6142" s="119"/>
      <c r="U6142" s="118">
        <f t="shared" ref="U6142" si="8217">SUM(K6142:T6143)</f>
        <v>1235850</v>
      </c>
      <c r="V6142" s="122"/>
      <c r="W6142" s="124"/>
      <c r="X6142" s="126" t="s">
        <v>17916</v>
      </c>
      <c r="Y6142" s="127"/>
      <c r="Z6142" s="127"/>
      <c r="AA6142" s="127"/>
      <c r="AB6142" s="128"/>
      <c r="AC6142" s="15" t="s">
        <v>20</v>
      </c>
      <c r="AD6142" s="129" t="s">
        <v>3828</v>
      </c>
      <c r="AE6142" s="130"/>
      <c r="AF6142" s="130"/>
      <c r="AG6142" s="130"/>
      <c r="AH6142" s="130"/>
      <c r="AI6142" s="131"/>
      <c r="AJ6142" s="132"/>
      <c r="AK6142" s="127"/>
      <c r="AL6142" s="128"/>
      <c r="AM6142" s="21"/>
      <c r="AN6142" s="133">
        <v>46074</v>
      </c>
      <c r="AO6142" s="134"/>
      <c r="AP6142" s="135">
        <v>1289</v>
      </c>
      <c r="AQ6142" s="136"/>
      <c r="AR6142" s="118">
        <v>1260000</v>
      </c>
      <c r="AS6142" s="119"/>
      <c r="AT6142" s="118">
        <f t="shared" ref="AT6142" si="8218">AR6142*0.1</f>
        <v>126000</v>
      </c>
      <c r="AU6142" s="119"/>
      <c r="AV6142" s="118">
        <v>17600</v>
      </c>
      <c r="AW6142" s="119"/>
      <c r="AX6142" s="118">
        <f t="shared" ref="AX6142" si="8219">SUM(AR6142:AW6142)</f>
        <v>1403600</v>
      </c>
      <c r="AY6142" s="119"/>
      <c r="AZ6142" s="137">
        <v>46084</v>
      </c>
    </row>
    <row r="6143" spans="1:52" ht="17.100000000000001" customHeight="1" thickBot="1">
      <c r="A6143" s="110"/>
      <c r="B6143" s="27" t="s">
        <v>1543</v>
      </c>
      <c r="C6143" s="27">
        <v>58876</v>
      </c>
      <c r="D6143" s="14" t="s">
        <v>904</v>
      </c>
      <c r="E6143" s="112"/>
      <c r="F6143" s="139" t="s">
        <v>17914</v>
      </c>
      <c r="G6143" s="140"/>
      <c r="H6143" s="141"/>
      <c r="I6143" s="26">
        <v>49146</v>
      </c>
      <c r="J6143" s="117"/>
      <c r="K6143" s="120"/>
      <c r="L6143" s="121"/>
      <c r="M6143" s="120"/>
      <c r="N6143" s="121"/>
      <c r="O6143" s="120"/>
      <c r="P6143" s="121"/>
      <c r="Q6143" s="120"/>
      <c r="R6143" s="121"/>
      <c r="S6143" s="120"/>
      <c r="T6143" s="121"/>
      <c r="U6143" s="120"/>
      <c r="V6143" s="123"/>
      <c r="W6143" s="125"/>
      <c r="X6143" s="142" t="s">
        <v>18275</v>
      </c>
      <c r="Y6143" s="143"/>
      <c r="Z6143" s="143"/>
      <c r="AA6143" s="143"/>
      <c r="AB6143" s="144"/>
      <c r="AC6143" s="16" t="s">
        <v>21</v>
      </c>
      <c r="AD6143" s="17" t="s">
        <v>18232</v>
      </c>
      <c r="AE6143" s="145" t="s">
        <v>1742</v>
      </c>
      <c r="AF6143" s="146"/>
      <c r="AG6143" s="146"/>
      <c r="AH6143" s="146"/>
      <c r="AI6143" s="147"/>
      <c r="AJ6143" s="148"/>
      <c r="AK6143" s="143"/>
      <c r="AL6143" s="144"/>
      <c r="AM6143" s="22"/>
      <c r="AN6143" s="149" t="s">
        <v>6748</v>
      </c>
      <c r="AO6143" s="144"/>
      <c r="AP6143" s="148">
        <v>80376</v>
      </c>
      <c r="AQ6143" s="144"/>
      <c r="AR6143" s="120"/>
      <c r="AS6143" s="121"/>
      <c r="AT6143" s="120"/>
      <c r="AU6143" s="121"/>
      <c r="AV6143" s="120"/>
      <c r="AW6143" s="121"/>
      <c r="AX6143" s="120"/>
      <c r="AY6143" s="121"/>
      <c r="AZ6143" s="138"/>
    </row>
    <row r="6144" spans="1:52" ht="17.100000000000001" customHeight="1" thickTop="1">
      <c r="A6144" s="109" t="s">
        <v>17825</v>
      </c>
      <c r="B6144" s="28">
        <v>46066</v>
      </c>
      <c r="C6144" s="25"/>
      <c r="D6144" s="13" t="s">
        <v>2681</v>
      </c>
      <c r="E6144" s="111"/>
      <c r="F6144" s="113" t="s">
        <v>17857</v>
      </c>
      <c r="G6144" s="114"/>
      <c r="H6144" s="115"/>
      <c r="I6144" s="24" t="s">
        <v>10315</v>
      </c>
      <c r="J6144" s="116">
        <v>4</v>
      </c>
      <c r="K6144" s="118">
        <v>1060000</v>
      </c>
      <c r="L6144" s="119"/>
      <c r="M6144" s="118">
        <f t="shared" ref="M6144" si="8220">K6144*0.1</f>
        <v>106000</v>
      </c>
      <c r="N6144" s="119"/>
      <c r="O6144" s="118">
        <v>30500</v>
      </c>
      <c r="P6144" s="119"/>
      <c r="Q6144" s="118">
        <v>8950</v>
      </c>
      <c r="R6144" s="119"/>
      <c r="S6144" s="118">
        <v>0</v>
      </c>
      <c r="T6144" s="119"/>
      <c r="U6144" s="118">
        <f t="shared" ref="U6144" si="8221">SUM(K6144:T6145)</f>
        <v>1205450</v>
      </c>
      <c r="V6144" s="122"/>
      <c r="W6144" s="124"/>
      <c r="X6144" s="126" t="s">
        <v>18927</v>
      </c>
      <c r="Y6144" s="127"/>
      <c r="Z6144" s="127"/>
      <c r="AA6144" s="127"/>
      <c r="AB6144" s="128"/>
      <c r="AC6144" s="15" t="s">
        <v>20</v>
      </c>
      <c r="AD6144" s="129" t="s">
        <v>4435</v>
      </c>
      <c r="AE6144" s="130"/>
      <c r="AF6144" s="130"/>
      <c r="AG6144" s="130"/>
      <c r="AH6144" s="130"/>
      <c r="AI6144" s="131"/>
      <c r="AJ6144" s="132"/>
      <c r="AK6144" s="127"/>
      <c r="AL6144" s="128"/>
      <c r="AM6144" s="21"/>
      <c r="AN6144" s="133">
        <v>46088</v>
      </c>
      <c r="AO6144" s="134"/>
      <c r="AP6144" s="135">
        <v>1291</v>
      </c>
      <c r="AQ6144" s="136"/>
      <c r="AR6144" s="118">
        <v>1210000</v>
      </c>
      <c r="AS6144" s="119"/>
      <c r="AT6144" s="118">
        <f t="shared" ref="AT6144" si="8222">AR6144*0.1</f>
        <v>121000</v>
      </c>
      <c r="AU6144" s="119"/>
      <c r="AV6144" s="118">
        <v>8950</v>
      </c>
      <c r="AW6144" s="119"/>
      <c r="AX6144" s="118">
        <f t="shared" ref="AX6144" si="8223">SUM(AR6144:AW6144)</f>
        <v>1339950</v>
      </c>
      <c r="AY6144" s="119"/>
      <c r="AZ6144" s="137">
        <v>46091</v>
      </c>
    </row>
    <row r="6145" spans="1:52" ht="17.100000000000001" customHeight="1" thickBot="1">
      <c r="A6145" s="110"/>
      <c r="B6145" s="27" t="s">
        <v>1718</v>
      </c>
      <c r="C6145" s="27" t="s">
        <v>17853</v>
      </c>
      <c r="D6145" s="14" t="s">
        <v>904</v>
      </c>
      <c r="E6145" s="112"/>
      <c r="F6145" s="139" t="s">
        <v>17854</v>
      </c>
      <c r="G6145" s="140"/>
      <c r="H6145" s="141"/>
      <c r="I6145" s="26">
        <v>24934</v>
      </c>
      <c r="J6145" s="117"/>
      <c r="K6145" s="120"/>
      <c r="L6145" s="121"/>
      <c r="M6145" s="120"/>
      <c r="N6145" s="121"/>
      <c r="O6145" s="120"/>
      <c r="P6145" s="121"/>
      <c r="Q6145" s="120"/>
      <c r="R6145" s="121"/>
      <c r="S6145" s="120"/>
      <c r="T6145" s="121"/>
      <c r="U6145" s="120"/>
      <c r="V6145" s="123"/>
      <c r="W6145" s="125"/>
      <c r="X6145" s="142" t="s">
        <v>18928</v>
      </c>
      <c r="Y6145" s="143"/>
      <c r="Z6145" s="143"/>
      <c r="AA6145" s="143"/>
      <c r="AB6145" s="144"/>
      <c r="AC6145" s="16" t="s">
        <v>21</v>
      </c>
      <c r="AD6145" s="17" t="s">
        <v>3616</v>
      </c>
      <c r="AE6145" s="145" t="s">
        <v>1742</v>
      </c>
      <c r="AF6145" s="146"/>
      <c r="AG6145" s="146"/>
      <c r="AH6145" s="146"/>
      <c r="AI6145" s="147"/>
      <c r="AJ6145" s="148"/>
      <c r="AK6145" s="143"/>
      <c r="AL6145" s="144"/>
      <c r="AM6145" s="22"/>
      <c r="AN6145" s="149" t="s">
        <v>2511</v>
      </c>
      <c r="AO6145" s="144"/>
      <c r="AP6145" s="148">
        <v>37160</v>
      </c>
      <c r="AQ6145" s="144"/>
      <c r="AR6145" s="120"/>
      <c r="AS6145" s="121"/>
      <c r="AT6145" s="120"/>
      <c r="AU6145" s="121"/>
      <c r="AV6145" s="120"/>
      <c r="AW6145" s="121"/>
      <c r="AX6145" s="120"/>
      <c r="AY6145" s="121"/>
      <c r="AZ6145" s="138"/>
    </row>
    <row r="6146" spans="1:52" ht="17.100000000000001" customHeight="1" thickTop="1">
      <c r="A6146" s="109" t="s">
        <v>17826</v>
      </c>
      <c r="B6146" s="28">
        <v>46066</v>
      </c>
      <c r="C6146" s="25"/>
      <c r="D6146" s="13" t="s">
        <v>2697</v>
      </c>
      <c r="E6146" s="111"/>
      <c r="F6146" s="113" t="s">
        <v>17858</v>
      </c>
      <c r="G6146" s="114"/>
      <c r="H6146" s="115"/>
      <c r="I6146" s="24" t="s">
        <v>17315</v>
      </c>
      <c r="J6146" s="116">
        <v>4.5</v>
      </c>
      <c r="K6146" s="118">
        <v>1400000</v>
      </c>
      <c r="L6146" s="119"/>
      <c r="M6146" s="118">
        <f t="shared" ref="M6146" si="8224">K6146*0.1</f>
        <v>140000</v>
      </c>
      <c r="N6146" s="119"/>
      <c r="O6146" s="118">
        <v>1100</v>
      </c>
      <c r="P6146" s="119"/>
      <c r="Q6146" s="118">
        <v>8990</v>
      </c>
      <c r="R6146" s="119"/>
      <c r="S6146" s="118">
        <v>0</v>
      </c>
      <c r="T6146" s="119"/>
      <c r="U6146" s="118">
        <f t="shared" ref="U6146" si="8225">SUM(K6146:T6147)</f>
        <v>1550090</v>
      </c>
      <c r="V6146" s="122"/>
      <c r="W6146" s="124"/>
      <c r="X6146" s="126" t="s">
        <v>19399</v>
      </c>
      <c r="Y6146" s="127"/>
      <c r="Z6146" s="127"/>
      <c r="AA6146" s="127"/>
      <c r="AB6146" s="128"/>
      <c r="AC6146" s="15" t="s">
        <v>20</v>
      </c>
      <c r="AD6146" s="129" t="s">
        <v>7231</v>
      </c>
      <c r="AE6146" s="130"/>
      <c r="AF6146" s="130"/>
      <c r="AG6146" s="130"/>
      <c r="AH6146" s="130"/>
      <c r="AI6146" s="131"/>
      <c r="AJ6146" s="132"/>
      <c r="AK6146" s="127"/>
      <c r="AL6146" s="128"/>
      <c r="AM6146" s="21" t="s">
        <v>20001</v>
      </c>
      <c r="AN6146" s="133">
        <v>46095</v>
      </c>
      <c r="AO6146" s="134"/>
      <c r="AP6146" s="135">
        <v>1292</v>
      </c>
      <c r="AQ6146" s="136"/>
      <c r="AR6146" s="118">
        <v>1530000</v>
      </c>
      <c r="AS6146" s="119"/>
      <c r="AT6146" s="118">
        <f t="shared" ref="AT6146" si="8226">AR6146*0.1</f>
        <v>153000</v>
      </c>
      <c r="AU6146" s="119"/>
      <c r="AV6146" s="118">
        <v>8990</v>
      </c>
      <c r="AW6146" s="119"/>
      <c r="AX6146" s="118">
        <f t="shared" ref="AX6146" si="8227">SUM(AR6146:AW6146)</f>
        <v>1691990</v>
      </c>
      <c r="AY6146" s="119"/>
      <c r="AZ6146" s="137">
        <v>46098</v>
      </c>
    </row>
    <row r="6147" spans="1:52" ht="17.100000000000001" customHeight="1" thickBot="1">
      <c r="A6147" s="110"/>
      <c r="B6147" s="27" t="s">
        <v>1718</v>
      </c>
      <c r="C6147" s="27" t="s">
        <v>17855</v>
      </c>
      <c r="D6147" s="14" t="s">
        <v>275</v>
      </c>
      <c r="E6147" s="112"/>
      <c r="F6147" s="139" t="s">
        <v>17856</v>
      </c>
      <c r="G6147" s="140"/>
      <c r="H6147" s="141"/>
      <c r="I6147" s="26">
        <v>41296</v>
      </c>
      <c r="J6147" s="117"/>
      <c r="K6147" s="120"/>
      <c r="L6147" s="121"/>
      <c r="M6147" s="120"/>
      <c r="N6147" s="121"/>
      <c r="O6147" s="120"/>
      <c r="P6147" s="121"/>
      <c r="Q6147" s="120"/>
      <c r="R6147" s="121"/>
      <c r="S6147" s="120"/>
      <c r="T6147" s="121"/>
      <c r="U6147" s="120"/>
      <c r="V6147" s="123"/>
      <c r="W6147" s="125"/>
      <c r="X6147" s="142" t="s">
        <v>19400</v>
      </c>
      <c r="Y6147" s="143"/>
      <c r="Z6147" s="143"/>
      <c r="AA6147" s="143"/>
      <c r="AB6147" s="144"/>
      <c r="AC6147" s="16" t="s">
        <v>21</v>
      </c>
      <c r="AD6147" s="17" t="s">
        <v>19391</v>
      </c>
      <c r="AE6147" s="145" t="s">
        <v>12131</v>
      </c>
      <c r="AF6147" s="146"/>
      <c r="AG6147" s="146"/>
      <c r="AH6147" s="146"/>
      <c r="AI6147" s="147"/>
      <c r="AJ6147" s="148"/>
      <c r="AK6147" s="143"/>
      <c r="AL6147" s="144"/>
      <c r="AM6147" s="22"/>
      <c r="AN6147" s="149" t="s">
        <v>2511</v>
      </c>
      <c r="AO6147" s="144"/>
      <c r="AP6147" s="148">
        <v>40122</v>
      </c>
      <c r="AQ6147" s="144"/>
      <c r="AR6147" s="120"/>
      <c r="AS6147" s="121"/>
      <c r="AT6147" s="120"/>
      <c r="AU6147" s="121"/>
      <c r="AV6147" s="120"/>
      <c r="AW6147" s="121"/>
      <c r="AX6147" s="120"/>
      <c r="AY6147" s="121"/>
      <c r="AZ6147" s="138"/>
    </row>
    <row r="6148" spans="1:52" ht="17.100000000000001" customHeight="1" thickTop="1">
      <c r="A6148" s="109" t="s">
        <v>17842</v>
      </c>
      <c r="B6148" s="28">
        <v>46066</v>
      </c>
      <c r="C6148" s="25"/>
      <c r="D6148" s="13" t="s">
        <v>1714</v>
      </c>
      <c r="E6148" s="111"/>
      <c r="F6148" s="113" t="s">
        <v>17861</v>
      </c>
      <c r="G6148" s="114"/>
      <c r="H6148" s="115"/>
      <c r="I6148" s="24" t="s">
        <v>17917</v>
      </c>
      <c r="J6148" s="116">
        <v>4.5</v>
      </c>
      <c r="K6148" s="118">
        <v>3150000</v>
      </c>
      <c r="L6148" s="119"/>
      <c r="M6148" s="118">
        <f t="shared" ref="M6148" si="8228">K6148*0.1</f>
        <v>315000</v>
      </c>
      <c r="N6148" s="119"/>
      <c r="O6148" s="118">
        <v>3600</v>
      </c>
      <c r="P6148" s="119"/>
      <c r="Q6148" s="118">
        <v>14900</v>
      </c>
      <c r="R6148" s="119"/>
      <c r="S6148" s="118">
        <v>0</v>
      </c>
      <c r="T6148" s="119"/>
      <c r="U6148" s="118">
        <f t="shared" ref="U6148" si="8229">SUM(K6148:T6149)</f>
        <v>3483500</v>
      </c>
      <c r="V6148" s="122"/>
      <c r="W6148" s="124"/>
      <c r="X6148" s="126" t="s">
        <v>19999</v>
      </c>
      <c r="Y6148" s="127"/>
      <c r="Z6148" s="127"/>
      <c r="AA6148" s="127"/>
      <c r="AB6148" s="128"/>
      <c r="AC6148" s="15" t="s">
        <v>20</v>
      </c>
      <c r="AD6148" s="129" t="s">
        <v>3868</v>
      </c>
      <c r="AE6148" s="130"/>
      <c r="AF6148" s="130"/>
      <c r="AG6148" s="130"/>
      <c r="AH6148" s="130"/>
      <c r="AI6148" s="131"/>
      <c r="AJ6148" s="132"/>
      <c r="AK6148" s="127"/>
      <c r="AL6148" s="128"/>
      <c r="AM6148" s="21"/>
      <c r="AN6148" s="133">
        <v>46095</v>
      </c>
      <c r="AO6148" s="134"/>
      <c r="AP6148" s="135">
        <v>1292</v>
      </c>
      <c r="AQ6148" s="136"/>
      <c r="AR6148" s="118">
        <v>3200000</v>
      </c>
      <c r="AS6148" s="119"/>
      <c r="AT6148" s="118">
        <f t="shared" ref="AT6148" si="8230">AR6148*0.1</f>
        <v>320000</v>
      </c>
      <c r="AU6148" s="119"/>
      <c r="AV6148" s="118">
        <v>14900</v>
      </c>
      <c r="AW6148" s="119"/>
      <c r="AX6148" s="118">
        <f t="shared" ref="AX6148" si="8231">SUM(AR6148:AW6148)</f>
        <v>3534900</v>
      </c>
      <c r="AY6148" s="119"/>
      <c r="AZ6148" s="137">
        <v>46105</v>
      </c>
    </row>
    <row r="6149" spans="1:52" ht="17.100000000000001" customHeight="1" thickBot="1">
      <c r="A6149" s="110"/>
      <c r="B6149" s="27" t="s">
        <v>1718</v>
      </c>
      <c r="C6149" s="27" t="s">
        <v>17859</v>
      </c>
      <c r="D6149" s="14" t="s">
        <v>275</v>
      </c>
      <c r="E6149" s="112"/>
      <c r="F6149" s="139" t="s">
        <v>17860</v>
      </c>
      <c r="G6149" s="140"/>
      <c r="H6149" s="141"/>
      <c r="I6149" s="26">
        <v>29413</v>
      </c>
      <c r="J6149" s="117"/>
      <c r="K6149" s="120"/>
      <c r="L6149" s="121"/>
      <c r="M6149" s="120"/>
      <c r="N6149" s="121"/>
      <c r="O6149" s="120"/>
      <c r="P6149" s="121"/>
      <c r="Q6149" s="120"/>
      <c r="R6149" s="121"/>
      <c r="S6149" s="120"/>
      <c r="T6149" s="121"/>
      <c r="U6149" s="120"/>
      <c r="V6149" s="123"/>
      <c r="W6149" s="125"/>
      <c r="X6149" s="142" t="s">
        <v>4210</v>
      </c>
      <c r="Y6149" s="143"/>
      <c r="Z6149" s="143"/>
      <c r="AA6149" s="143"/>
      <c r="AB6149" s="144"/>
      <c r="AC6149" s="16" t="s">
        <v>21</v>
      </c>
      <c r="AD6149" s="17" t="s">
        <v>3386</v>
      </c>
      <c r="AE6149" s="145" t="s">
        <v>1945</v>
      </c>
      <c r="AF6149" s="146"/>
      <c r="AG6149" s="146"/>
      <c r="AH6149" s="146"/>
      <c r="AI6149" s="147"/>
      <c r="AJ6149" s="148"/>
      <c r="AK6149" s="143"/>
      <c r="AL6149" s="144"/>
      <c r="AM6149" s="22"/>
      <c r="AN6149" s="149" t="s">
        <v>6749</v>
      </c>
      <c r="AO6149" s="144"/>
      <c r="AP6149" s="148">
        <v>37388</v>
      </c>
      <c r="AQ6149" s="144"/>
      <c r="AR6149" s="120"/>
      <c r="AS6149" s="121"/>
      <c r="AT6149" s="120"/>
      <c r="AU6149" s="121"/>
      <c r="AV6149" s="120"/>
      <c r="AW6149" s="121"/>
      <c r="AX6149" s="120"/>
      <c r="AY6149" s="121"/>
      <c r="AZ6149" s="138"/>
    </row>
    <row r="6150" spans="1:52" ht="17.100000000000001" customHeight="1" thickTop="1">
      <c r="A6150" s="109" t="s">
        <v>17843</v>
      </c>
      <c r="B6150" s="28">
        <v>46066</v>
      </c>
      <c r="C6150" s="25"/>
      <c r="D6150" s="13" t="s">
        <v>2415</v>
      </c>
      <c r="E6150" s="111"/>
      <c r="F6150" s="113" t="s">
        <v>17864</v>
      </c>
      <c r="G6150" s="114"/>
      <c r="H6150" s="115"/>
      <c r="I6150" s="24" t="s">
        <v>14848</v>
      </c>
      <c r="J6150" s="116">
        <v>4.5</v>
      </c>
      <c r="K6150" s="118">
        <v>5710000</v>
      </c>
      <c r="L6150" s="119"/>
      <c r="M6150" s="118">
        <f t="shared" ref="M6150" si="8232">K6150*0.1</f>
        <v>571000</v>
      </c>
      <c r="N6150" s="119"/>
      <c r="O6150" s="118">
        <v>4100</v>
      </c>
      <c r="P6150" s="119"/>
      <c r="Q6150" s="118">
        <v>14230</v>
      </c>
      <c r="R6150" s="119"/>
      <c r="S6150" s="118">
        <v>0</v>
      </c>
      <c r="T6150" s="119"/>
      <c r="U6150" s="118">
        <f t="shared" ref="U6150" si="8233">SUM(K6150:T6151)</f>
        <v>6299330</v>
      </c>
      <c r="V6150" s="122"/>
      <c r="W6150" s="124"/>
      <c r="X6150" s="126" t="s">
        <v>20041</v>
      </c>
      <c r="Y6150" s="127"/>
      <c r="Z6150" s="127"/>
      <c r="AA6150" s="127"/>
      <c r="AB6150" s="128"/>
      <c r="AC6150" s="15" t="s">
        <v>20</v>
      </c>
      <c r="AD6150" s="129" t="s">
        <v>3868</v>
      </c>
      <c r="AE6150" s="130"/>
      <c r="AF6150" s="130"/>
      <c r="AG6150" s="130"/>
      <c r="AH6150" s="130"/>
      <c r="AI6150" s="131"/>
      <c r="AJ6150" s="132"/>
      <c r="AK6150" s="127"/>
      <c r="AL6150" s="128"/>
      <c r="AM6150" s="21"/>
      <c r="AN6150" s="133">
        <v>46088</v>
      </c>
      <c r="AO6150" s="134"/>
      <c r="AP6150" s="135">
        <v>1291</v>
      </c>
      <c r="AQ6150" s="136"/>
      <c r="AR6150" s="118">
        <v>5905000</v>
      </c>
      <c r="AS6150" s="119"/>
      <c r="AT6150" s="118">
        <f t="shared" ref="AT6150" si="8234">AR6150*0.1</f>
        <v>590500</v>
      </c>
      <c r="AU6150" s="119"/>
      <c r="AV6150" s="118">
        <v>14230</v>
      </c>
      <c r="AW6150" s="119"/>
      <c r="AX6150" s="118">
        <f t="shared" ref="AX6150" si="8235">SUM(AR6150:AW6150)</f>
        <v>6509730</v>
      </c>
      <c r="AY6150" s="119"/>
      <c r="AZ6150" s="137">
        <v>46098</v>
      </c>
    </row>
    <row r="6151" spans="1:52" ht="17.100000000000001" customHeight="1" thickBot="1">
      <c r="A6151" s="110"/>
      <c r="B6151" s="27" t="s">
        <v>1718</v>
      </c>
      <c r="C6151" s="27" t="s">
        <v>17862</v>
      </c>
      <c r="D6151" s="14" t="s">
        <v>1592</v>
      </c>
      <c r="E6151" s="112"/>
      <c r="F6151" s="139" t="s">
        <v>17863</v>
      </c>
      <c r="G6151" s="140"/>
      <c r="H6151" s="141"/>
      <c r="I6151" s="26">
        <v>5907</v>
      </c>
      <c r="J6151" s="117"/>
      <c r="K6151" s="120"/>
      <c r="L6151" s="121"/>
      <c r="M6151" s="120"/>
      <c r="N6151" s="121"/>
      <c r="O6151" s="120"/>
      <c r="P6151" s="121"/>
      <c r="Q6151" s="120"/>
      <c r="R6151" s="121"/>
      <c r="S6151" s="120"/>
      <c r="T6151" s="121"/>
      <c r="U6151" s="120"/>
      <c r="V6151" s="123"/>
      <c r="W6151" s="125"/>
      <c r="X6151" s="142" t="s">
        <v>7995</v>
      </c>
      <c r="Y6151" s="143"/>
      <c r="Z6151" s="143"/>
      <c r="AA6151" s="143"/>
      <c r="AB6151" s="144"/>
      <c r="AC6151" s="16" t="s">
        <v>21</v>
      </c>
      <c r="AD6151" s="17" t="s">
        <v>3980</v>
      </c>
      <c r="AE6151" s="145" t="s">
        <v>1732</v>
      </c>
      <c r="AF6151" s="146"/>
      <c r="AG6151" s="146"/>
      <c r="AH6151" s="146"/>
      <c r="AI6151" s="147"/>
      <c r="AJ6151" s="148"/>
      <c r="AK6151" s="143"/>
      <c r="AL6151" s="144"/>
      <c r="AM6151" s="22"/>
      <c r="AN6151" s="149" t="s">
        <v>2511</v>
      </c>
      <c r="AO6151" s="144"/>
      <c r="AP6151" s="148">
        <v>37647</v>
      </c>
      <c r="AQ6151" s="144"/>
      <c r="AR6151" s="120"/>
      <c r="AS6151" s="121"/>
      <c r="AT6151" s="120"/>
      <c r="AU6151" s="121"/>
      <c r="AV6151" s="120"/>
      <c r="AW6151" s="121"/>
      <c r="AX6151" s="120"/>
      <c r="AY6151" s="121"/>
      <c r="AZ6151" s="138"/>
    </row>
    <row r="6152" spans="1:52" ht="17.100000000000001" customHeight="1" thickTop="1">
      <c r="A6152" s="109" t="s">
        <v>17844</v>
      </c>
      <c r="B6152" s="28">
        <v>46066</v>
      </c>
      <c r="C6152" s="25"/>
      <c r="D6152" s="13" t="s">
        <v>2508</v>
      </c>
      <c r="E6152" s="111"/>
      <c r="F6152" s="113" t="s">
        <v>17867</v>
      </c>
      <c r="G6152" s="114"/>
      <c r="H6152" s="115"/>
      <c r="I6152" s="24" t="s">
        <v>17918</v>
      </c>
      <c r="J6152" s="116">
        <v>5</v>
      </c>
      <c r="K6152" s="118">
        <v>2650000</v>
      </c>
      <c r="L6152" s="119"/>
      <c r="M6152" s="118">
        <f t="shared" ref="M6152" si="8236">K6152*0.1</f>
        <v>265000</v>
      </c>
      <c r="N6152" s="119"/>
      <c r="O6152" s="118">
        <v>0</v>
      </c>
      <c r="P6152" s="119"/>
      <c r="Q6152" s="118">
        <v>11710</v>
      </c>
      <c r="R6152" s="119"/>
      <c r="S6152" s="118">
        <v>0</v>
      </c>
      <c r="T6152" s="119"/>
      <c r="U6152" s="118">
        <f t="shared" ref="U6152" si="8237">SUM(K6152:T6153)</f>
        <v>2926710</v>
      </c>
      <c r="V6152" s="122"/>
      <c r="W6152" s="124"/>
      <c r="X6152" s="126" t="s">
        <v>19123</v>
      </c>
      <c r="Y6152" s="127"/>
      <c r="Z6152" s="127"/>
      <c r="AA6152" s="127"/>
      <c r="AB6152" s="128"/>
      <c r="AC6152" s="15" t="s">
        <v>20</v>
      </c>
      <c r="AD6152" s="129" t="s">
        <v>7231</v>
      </c>
      <c r="AE6152" s="130"/>
      <c r="AF6152" s="130"/>
      <c r="AG6152" s="130"/>
      <c r="AH6152" s="130"/>
      <c r="AI6152" s="131"/>
      <c r="AJ6152" s="132"/>
      <c r="AK6152" s="127"/>
      <c r="AL6152" s="128"/>
      <c r="AM6152" s="21"/>
      <c r="AN6152" s="133">
        <v>46088</v>
      </c>
      <c r="AO6152" s="134"/>
      <c r="AP6152" s="135">
        <v>1291</v>
      </c>
      <c r="AQ6152" s="136"/>
      <c r="AR6152" s="118">
        <v>2720000</v>
      </c>
      <c r="AS6152" s="119"/>
      <c r="AT6152" s="118">
        <f t="shared" ref="AT6152" si="8238">AR6152*0.1</f>
        <v>272000</v>
      </c>
      <c r="AU6152" s="119"/>
      <c r="AV6152" s="118">
        <v>11710</v>
      </c>
      <c r="AW6152" s="119"/>
      <c r="AX6152" s="118">
        <f t="shared" ref="AX6152" si="8239">SUM(AR6152:AW6152)</f>
        <v>3003710</v>
      </c>
      <c r="AY6152" s="119"/>
      <c r="AZ6152" s="137">
        <v>46091</v>
      </c>
    </row>
    <row r="6153" spans="1:52" ht="17.100000000000001" customHeight="1" thickBot="1">
      <c r="A6153" s="110"/>
      <c r="B6153" s="27" t="s">
        <v>1718</v>
      </c>
      <c r="C6153" s="27" t="s">
        <v>17865</v>
      </c>
      <c r="D6153" s="14" t="s">
        <v>2800</v>
      </c>
      <c r="E6153" s="112"/>
      <c r="F6153" s="139" t="s">
        <v>17866</v>
      </c>
      <c r="G6153" s="140"/>
      <c r="H6153" s="141"/>
      <c r="I6153" s="26">
        <v>10925</v>
      </c>
      <c r="J6153" s="117"/>
      <c r="K6153" s="120"/>
      <c r="L6153" s="121"/>
      <c r="M6153" s="120"/>
      <c r="N6153" s="121"/>
      <c r="O6153" s="120"/>
      <c r="P6153" s="121"/>
      <c r="Q6153" s="120"/>
      <c r="R6153" s="121"/>
      <c r="S6153" s="120"/>
      <c r="T6153" s="121"/>
      <c r="U6153" s="120"/>
      <c r="V6153" s="123"/>
      <c r="W6153" s="125"/>
      <c r="X6153" s="142" t="s">
        <v>19124</v>
      </c>
      <c r="Y6153" s="143"/>
      <c r="Z6153" s="143"/>
      <c r="AA6153" s="143"/>
      <c r="AB6153" s="144"/>
      <c r="AC6153" s="16" t="s">
        <v>21</v>
      </c>
      <c r="AD6153" s="17" t="s">
        <v>1902</v>
      </c>
      <c r="AE6153" s="145" t="s">
        <v>14006</v>
      </c>
      <c r="AF6153" s="146"/>
      <c r="AG6153" s="146"/>
      <c r="AH6153" s="146"/>
      <c r="AI6153" s="147"/>
      <c r="AJ6153" s="148"/>
      <c r="AK6153" s="143"/>
      <c r="AL6153" s="144"/>
      <c r="AM6153" s="22"/>
      <c r="AN6153" s="149" t="s">
        <v>2511</v>
      </c>
      <c r="AO6153" s="144"/>
      <c r="AP6153" s="148">
        <v>37531</v>
      </c>
      <c r="AQ6153" s="144"/>
      <c r="AR6153" s="120"/>
      <c r="AS6153" s="121"/>
      <c r="AT6153" s="120"/>
      <c r="AU6153" s="121"/>
      <c r="AV6153" s="120"/>
      <c r="AW6153" s="121"/>
      <c r="AX6153" s="120"/>
      <c r="AY6153" s="121"/>
      <c r="AZ6153" s="138"/>
    </row>
    <row r="6154" spans="1:52" ht="17.100000000000001" customHeight="1" thickTop="1">
      <c r="A6154" s="109" t="s">
        <v>17845</v>
      </c>
      <c r="B6154" s="28">
        <v>46066</v>
      </c>
      <c r="C6154" s="25"/>
      <c r="D6154" s="13" t="s">
        <v>1767</v>
      </c>
      <c r="E6154" s="111"/>
      <c r="F6154" s="113" t="s">
        <v>7596</v>
      </c>
      <c r="G6154" s="114"/>
      <c r="H6154" s="115"/>
      <c r="I6154" s="24" t="s">
        <v>17919</v>
      </c>
      <c r="J6154" s="116">
        <v>4</v>
      </c>
      <c r="K6154" s="118">
        <v>405000</v>
      </c>
      <c r="L6154" s="119"/>
      <c r="M6154" s="118">
        <f t="shared" ref="M6154" si="8240">K6154*0.1</f>
        <v>40500</v>
      </c>
      <c r="N6154" s="119"/>
      <c r="O6154" s="118">
        <v>0</v>
      </c>
      <c r="P6154" s="119"/>
      <c r="Q6154" s="118">
        <v>8400</v>
      </c>
      <c r="R6154" s="119"/>
      <c r="S6154" s="118">
        <v>0</v>
      </c>
      <c r="T6154" s="119"/>
      <c r="U6154" s="118">
        <f t="shared" ref="U6154" si="8241">SUM(K6154:T6155)</f>
        <v>453900</v>
      </c>
      <c r="V6154" s="122"/>
      <c r="W6154" s="124"/>
      <c r="X6154" s="126" t="s">
        <v>18922</v>
      </c>
      <c r="Y6154" s="127"/>
      <c r="Z6154" s="127"/>
      <c r="AA6154" s="127"/>
      <c r="AB6154" s="128"/>
      <c r="AC6154" s="15" t="s">
        <v>20</v>
      </c>
      <c r="AD6154" s="129" t="s">
        <v>4435</v>
      </c>
      <c r="AE6154" s="130"/>
      <c r="AF6154" s="130"/>
      <c r="AG6154" s="130"/>
      <c r="AH6154" s="130"/>
      <c r="AI6154" s="131"/>
      <c r="AJ6154" s="132"/>
      <c r="AK6154" s="127"/>
      <c r="AL6154" s="128"/>
      <c r="AM6154" s="21" t="s">
        <v>19775</v>
      </c>
      <c r="AN6154" s="133">
        <v>46088</v>
      </c>
      <c r="AO6154" s="134"/>
      <c r="AP6154" s="135">
        <v>1291</v>
      </c>
      <c r="AQ6154" s="136"/>
      <c r="AR6154" s="118">
        <v>820000</v>
      </c>
      <c r="AS6154" s="119"/>
      <c r="AT6154" s="118">
        <f t="shared" ref="AT6154" si="8242">AR6154*0.1</f>
        <v>82000</v>
      </c>
      <c r="AU6154" s="119"/>
      <c r="AV6154" s="118">
        <v>8400</v>
      </c>
      <c r="AW6154" s="119"/>
      <c r="AX6154" s="118">
        <f t="shared" ref="AX6154" si="8243">SUM(AR6154:AW6154)</f>
        <v>910400</v>
      </c>
      <c r="AY6154" s="119"/>
      <c r="AZ6154" s="137">
        <v>46093</v>
      </c>
    </row>
    <row r="6155" spans="1:52" ht="17.100000000000001" customHeight="1" thickBot="1">
      <c r="A6155" s="110"/>
      <c r="B6155" s="27" t="s">
        <v>1718</v>
      </c>
      <c r="C6155" s="27" t="s">
        <v>17868</v>
      </c>
      <c r="D6155" s="14" t="s">
        <v>1720</v>
      </c>
      <c r="E6155" s="112"/>
      <c r="F6155" s="139" t="s">
        <v>17869</v>
      </c>
      <c r="G6155" s="140"/>
      <c r="H6155" s="141"/>
      <c r="I6155" s="26">
        <v>67802</v>
      </c>
      <c r="J6155" s="117"/>
      <c r="K6155" s="120"/>
      <c r="L6155" s="121"/>
      <c r="M6155" s="120"/>
      <c r="N6155" s="121"/>
      <c r="O6155" s="120"/>
      <c r="P6155" s="121"/>
      <c r="Q6155" s="120"/>
      <c r="R6155" s="121"/>
      <c r="S6155" s="120"/>
      <c r="T6155" s="121"/>
      <c r="U6155" s="120"/>
      <c r="V6155" s="123"/>
      <c r="W6155" s="125"/>
      <c r="X6155" s="142" t="s">
        <v>18923</v>
      </c>
      <c r="Y6155" s="143"/>
      <c r="Z6155" s="143"/>
      <c r="AA6155" s="143"/>
      <c r="AB6155" s="144"/>
      <c r="AC6155" s="16" t="s">
        <v>21</v>
      </c>
      <c r="AD6155" s="17" t="s">
        <v>3616</v>
      </c>
      <c r="AE6155" s="145" t="s">
        <v>171</v>
      </c>
      <c r="AF6155" s="146"/>
      <c r="AG6155" s="146"/>
      <c r="AH6155" s="146"/>
      <c r="AI6155" s="147"/>
      <c r="AJ6155" s="148"/>
      <c r="AK6155" s="143"/>
      <c r="AL6155" s="144"/>
      <c r="AM6155" s="22"/>
      <c r="AN6155" s="149" t="s">
        <v>2511</v>
      </c>
      <c r="AO6155" s="144"/>
      <c r="AP6155" s="148">
        <v>65298</v>
      </c>
      <c r="AQ6155" s="144"/>
      <c r="AR6155" s="120"/>
      <c r="AS6155" s="121"/>
      <c r="AT6155" s="120"/>
      <c r="AU6155" s="121"/>
      <c r="AV6155" s="120"/>
      <c r="AW6155" s="121"/>
      <c r="AX6155" s="120"/>
      <c r="AY6155" s="121"/>
      <c r="AZ6155" s="138"/>
    </row>
    <row r="6156" spans="1:52" ht="17.100000000000001" customHeight="1" thickTop="1">
      <c r="A6156" s="109" t="s">
        <v>17846</v>
      </c>
      <c r="B6156" s="28">
        <v>46066</v>
      </c>
      <c r="C6156" s="25"/>
      <c r="D6156" s="13" t="s">
        <v>2036</v>
      </c>
      <c r="E6156" s="111"/>
      <c r="F6156" s="113" t="s">
        <v>17872</v>
      </c>
      <c r="G6156" s="114"/>
      <c r="H6156" s="115"/>
      <c r="I6156" s="24" t="s">
        <v>4774</v>
      </c>
      <c r="J6156" s="116">
        <v>4.5</v>
      </c>
      <c r="K6156" s="118">
        <v>1160000</v>
      </c>
      <c r="L6156" s="119"/>
      <c r="M6156" s="118">
        <f t="shared" ref="M6156" si="8244">K6156*0.1</f>
        <v>116000</v>
      </c>
      <c r="N6156" s="119"/>
      <c r="O6156" s="118">
        <v>0</v>
      </c>
      <c r="P6156" s="119"/>
      <c r="Q6156" s="118">
        <v>5670</v>
      </c>
      <c r="R6156" s="119"/>
      <c r="S6156" s="118">
        <v>0</v>
      </c>
      <c r="T6156" s="119"/>
      <c r="U6156" s="118">
        <f t="shared" ref="U6156" si="8245">SUM(K6156:T6157)</f>
        <v>1281670</v>
      </c>
      <c r="V6156" s="122"/>
      <c r="W6156" s="124"/>
      <c r="X6156" s="126" t="s">
        <v>18411</v>
      </c>
      <c r="Y6156" s="127"/>
      <c r="Z6156" s="127"/>
      <c r="AA6156" s="127"/>
      <c r="AB6156" s="128"/>
      <c r="AC6156" s="15" t="s">
        <v>20</v>
      </c>
      <c r="AD6156" s="129" t="s">
        <v>7231</v>
      </c>
      <c r="AE6156" s="130"/>
      <c r="AF6156" s="130"/>
      <c r="AG6156" s="130"/>
      <c r="AH6156" s="130"/>
      <c r="AI6156" s="131"/>
      <c r="AJ6156" s="132"/>
      <c r="AK6156" s="127"/>
      <c r="AL6156" s="128"/>
      <c r="AM6156" s="21"/>
      <c r="AN6156" s="133">
        <v>46084</v>
      </c>
      <c r="AO6156" s="134"/>
      <c r="AP6156" s="135">
        <v>1931</v>
      </c>
      <c r="AQ6156" s="136"/>
      <c r="AR6156" s="118">
        <v>1231000</v>
      </c>
      <c r="AS6156" s="119"/>
      <c r="AT6156" s="118">
        <f t="shared" ref="AT6156" si="8246">AR6156*0.1</f>
        <v>123100</v>
      </c>
      <c r="AU6156" s="119"/>
      <c r="AV6156" s="118">
        <v>5670</v>
      </c>
      <c r="AW6156" s="119"/>
      <c r="AX6156" s="118">
        <f t="shared" ref="AX6156" si="8247">SUM(AR6156:AW6156)</f>
        <v>1359770</v>
      </c>
      <c r="AY6156" s="119"/>
      <c r="AZ6156" s="137">
        <v>46091</v>
      </c>
    </row>
    <row r="6157" spans="1:52" ht="17.100000000000001" customHeight="1" thickBot="1">
      <c r="A6157" s="110"/>
      <c r="B6157" s="27" t="s">
        <v>1718</v>
      </c>
      <c r="C6157" s="27" t="s">
        <v>17870</v>
      </c>
      <c r="D6157" s="14" t="s">
        <v>1592</v>
      </c>
      <c r="E6157" s="112"/>
      <c r="F6157" s="139" t="s">
        <v>17871</v>
      </c>
      <c r="G6157" s="140"/>
      <c r="H6157" s="141"/>
      <c r="I6157" s="26">
        <v>32211</v>
      </c>
      <c r="J6157" s="117"/>
      <c r="K6157" s="120"/>
      <c r="L6157" s="121"/>
      <c r="M6157" s="120"/>
      <c r="N6157" s="121"/>
      <c r="O6157" s="120"/>
      <c r="P6157" s="121"/>
      <c r="Q6157" s="120"/>
      <c r="R6157" s="121"/>
      <c r="S6157" s="120"/>
      <c r="T6157" s="121"/>
      <c r="U6157" s="120"/>
      <c r="V6157" s="123"/>
      <c r="W6157" s="125"/>
      <c r="X6157" s="142" t="s">
        <v>18412</v>
      </c>
      <c r="Y6157" s="143"/>
      <c r="Z6157" s="143"/>
      <c r="AA6157" s="143"/>
      <c r="AB6157" s="144"/>
      <c r="AC6157" s="16" t="s">
        <v>21</v>
      </c>
      <c r="AD6157" s="17" t="s">
        <v>18390</v>
      </c>
      <c r="AE6157" s="145" t="s">
        <v>1614</v>
      </c>
      <c r="AF6157" s="146"/>
      <c r="AG6157" s="146"/>
      <c r="AH6157" s="146"/>
      <c r="AI6157" s="147"/>
      <c r="AJ6157" s="148"/>
      <c r="AK6157" s="143"/>
      <c r="AL6157" s="144"/>
      <c r="AM6157" s="22"/>
      <c r="AN6157" s="149" t="s">
        <v>2131</v>
      </c>
      <c r="AO6157" s="144"/>
      <c r="AP6157" s="148">
        <v>3193</v>
      </c>
      <c r="AQ6157" s="144"/>
      <c r="AR6157" s="120"/>
      <c r="AS6157" s="121"/>
      <c r="AT6157" s="120"/>
      <c r="AU6157" s="121"/>
      <c r="AV6157" s="120"/>
      <c r="AW6157" s="121"/>
      <c r="AX6157" s="120"/>
      <c r="AY6157" s="121"/>
      <c r="AZ6157" s="138"/>
    </row>
    <row r="6158" spans="1:52" ht="17.100000000000001" customHeight="1" thickTop="1">
      <c r="A6158" s="109" t="s">
        <v>17847</v>
      </c>
      <c r="B6158" s="28">
        <v>46066</v>
      </c>
      <c r="C6158" s="25"/>
      <c r="D6158" s="13" t="s">
        <v>2355</v>
      </c>
      <c r="E6158" s="111"/>
      <c r="F6158" s="113" t="s">
        <v>17875</v>
      </c>
      <c r="G6158" s="114"/>
      <c r="H6158" s="115"/>
      <c r="I6158" s="24" t="s">
        <v>7028</v>
      </c>
      <c r="J6158" s="116">
        <v>4</v>
      </c>
      <c r="K6158" s="118">
        <v>2515000</v>
      </c>
      <c r="L6158" s="119"/>
      <c r="M6158" s="118">
        <f t="shared" ref="M6158" si="8248">K6158*0.1</f>
        <v>251500</v>
      </c>
      <c r="N6158" s="119"/>
      <c r="O6158" s="118">
        <v>2500</v>
      </c>
      <c r="P6158" s="119"/>
      <c r="Q6158" s="118">
        <v>14190</v>
      </c>
      <c r="R6158" s="119"/>
      <c r="S6158" s="118">
        <v>0</v>
      </c>
      <c r="T6158" s="119"/>
      <c r="U6158" s="118">
        <f t="shared" ref="U6158" si="8249">SUM(K6158:T6159)</f>
        <v>2783190</v>
      </c>
      <c r="V6158" s="122"/>
      <c r="W6158" s="124"/>
      <c r="X6158" s="126" t="s">
        <v>19110</v>
      </c>
      <c r="Y6158" s="127"/>
      <c r="Z6158" s="127"/>
      <c r="AA6158" s="127"/>
      <c r="AB6158" s="128"/>
      <c r="AC6158" s="15" t="s">
        <v>20</v>
      </c>
      <c r="AD6158" s="129" t="s">
        <v>3868</v>
      </c>
      <c r="AE6158" s="130"/>
      <c r="AF6158" s="130"/>
      <c r="AG6158" s="130"/>
      <c r="AH6158" s="130"/>
      <c r="AI6158" s="131"/>
      <c r="AJ6158" s="132"/>
      <c r="AK6158" s="127"/>
      <c r="AL6158" s="128"/>
      <c r="AM6158" s="21"/>
      <c r="AN6158" s="133">
        <v>46088</v>
      </c>
      <c r="AO6158" s="134"/>
      <c r="AP6158" s="135">
        <v>1291</v>
      </c>
      <c r="AQ6158" s="136"/>
      <c r="AR6158" s="118">
        <v>2705000</v>
      </c>
      <c r="AS6158" s="119"/>
      <c r="AT6158" s="118">
        <f t="shared" ref="AT6158" si="8250">AR6158*0.1</f>
        <v>270500</v>
      </c>
      <c r="AU6158" s="119"/>
      <c r="AV6158" s="118">
        <v>14190</v>
      </c>
      <c r="AW6158" s="119"/>
      <c r="AX6158" s="118">
        <f t="shared" ref="AX6158" si="8251">SUM(AR6158:AW6158)</f>
        <v>2989690</v>
      </c>
      <c r="AY6158" s="119"/>
      <c r="AZ6158" s="137">
        <v>46091</v>
      </c>
    </row>
    <row r="6159" spans="1:52" ht="17.100000000000001" customHeight="1" thickBot="1">
      <c r="A6159" s="110"/>
      <c r="B6159" s="27" t="s">
        <v>1718</v>
      </c>
      <c r="C6159" s="27" t="s">
        <v>17873</v>
      </c>
      <c r="D6159" s="14" t="s">
        <v>1592</v>
      </c>
      <c r="E6159" s="112"/>
      <c r="F6159" s="139" t="s">
        <v>17874</v>
      </c>
      <c r="G6159" s="140"/>
      <c r="H6159" s="141"/>
      <c r="I6159" s="26">
        <v>21979</v>
      </c>
      <c r="J6159" s="117"/>
      <c r="K6159" s="120"/>
      <c r="L6159" s="121"/>
      <c r="M6159" s="120"/>
      <c r="N6159" s="121"/>
      <c r="O6159" s="120"/>
      <c r="P6159" s="121"/>
      <c r="Q6159" s="120"/>
      <c r="R6159" s="121"/>
      <c r="S6159" s="120"/>
      <c r="T6159" s="121"/>
      <c r="U6159" s="120"/>
      <c r="V6159" s="123"/>
      <c r="W6159" s="125"/>
      <c r="X6159" s="142" t="s">
        <v>19111</v>
      </c>
      <c r="Y6159" s="143"/>
      <c r="Z6159" s="143"/>
      <c r="AA6159" s="143"/>
      <c r="AB6159" s="144"/>
      <c r="AC6159" s="16" t="s">
        <v>21</v>
      </c>
      <c r="AD6159" s="17" t="s">
        <v>2353</v>
      </c>
      <c r="AE6159" s="145" t="s">
        <v>18902</v>
      </c>
      <c r="AF6159" s="146"/>
      <c r="AG6159" s="146"/>
      <c r="AH6159" s="146"/>
      <c r="AI6159" s="147"/>
      <c r="AJ6159" s="148"/>
      <c r="AK6159" s="143"/>
      <c r="AL6159" s="144"/>
      <c r="AM6159" s="22"/>
      <c r="AN6159" s="149" t="s">
        <v>2511</v>
      </c>
      <c r="AO6159" s="144"/>
      <c r="AP6159" s="148">
        <v>37645</v>
      </c>
      <c r="AQ6159" s="144"/>
      <c r="AR6159" s="120"/>
      <c r="AS6159" s="121"/>
      <c r="AT6159" s="120"/>
      <c r="AU6159" s="121"/>
      <c r="AV6159" s="120"/>
      <c r="AW6159" s="121"/>
      <c r="AX6159" s="120"/>
      <c r="AY6159" s="121"/>
      <c r="AZ6159" s="138"/>
    </row>
    <row r="6160" spans="1:52" ht="17.100000000000001" customHeight="1" thickTop="1">
      <c r="A6160" s="109" t="s">
        <v>17848</v>
      </c>
      <c r="B6160" s="28">
        <v>46066</v>
      </c>
      <c r="C6160" s="25"/>
      <c r="D6160" s="13" t="s">
        <v>2084</v>
      </c>
      <c r="E6160" s="111"/>
      <c r="F6160" s="113" t="s">
        <v>17875</v>
      </c>
      <c r="G6160" s="114"/>
      <c r="H6160" s="115"/>
      <c r="I6160" s="24" t="s">
        <v>17462</v>
      </c>
      <c r="J6160" s="116">
        <v>4.5</v>
      </c>
      <c r="K6160" s="118">
        <v>2600000</v>
      </c>
      <c r="L6160" s="119"/>
      <c r="M6160" s="118">
        <f t="shared" ref="M6160" si="8252">K6160*0.1</f>
        <v>260000</v>
      </c>
      <c r="N6160" s="119"/>
      <c r="O6160" s="118">
        <v>0</v>
      </c>
      <c r="P6160" s="119"/>
      <c r="Q6160" s="118">
        <v>11740</v>
      </c>
      <c r="R6160" s="119"/>
      <c r="S6160" s="118">
        <v>0</v>
      </c>
      <c r="T6160" s="119"/>
      <c r="U6160" s="118">
        <f t="shared" ref="U6160" si="8253">SUM(K6160:T6161)</f>
        <v>2871740</v>
      </c>
      <c r="V6160" s="122"/>
      <c r="W6160" s="124"/>
      <c r="X6160" s="126" t="s">
        <v>19329</v>
      </c>
      <c r="Y6160" s="127"/>
      <c r="Z6160" s="127"/>
      <c r="AA6160" s="127"/>
      <c r="AB6160" s="128"/>
      <c r="AC6160" s="15" t="s">
        <v>20</v>
      </c>
      <c r="AD6160" s="129" t="s">
        <v>4435</v>
      </c>
      <c r="AE6160" s="130"/>
      <c r="AF6160" s="130"/>
      <c r="AG6160" s="130"/>
      <c r="AH6160" s="130"/>
      <c r="AI6160" s="131"/>
      <c r="AJ6160" s="132"/>
      <c r="AK6160" s="127"/>
      <c r="AL6160" s="128"/>
      <c r="AM6160" s="21"/>
      <c r="AN6160" s="133">
        <v>46095</v>
      </c>
      <c r="AO6160" s="134"/>
      <c r="AP6160" s="135">
        <v>1292</v>
      </c>
      <c r="AQ6160" s="136"/>
      <c r="AR6160" s="118">
        <v>2670000</v>
      </c>
      <c r="AS6160" s="119"/>
      <c r="AT6160" s="118">
        <f t="shared" ref="AT6160" si="8254">AR6160*0.1</f>
        <v>267000</v>
      </c>
      <c r="AU6160" s="119"/>
      <c r="AV6160" s="118">
        <v>11740</v>
      </c>
      <c r="AW6160" s="119"/>
      <c r="AX6160" s="118">
        <f t="shared" ref="AX6160" si="8255">SUM(AR6160:AW6160)</f>
        <v>2948740</v>
      </c>
      <c r="AY6160" s="119"/>
      <c r="AZ6160" s="137">
        <v>46098</v>
      </c>
    </row>
    <row r="6161" spans="1:52" ht="17.100000000000001" customHeight="1" thickBot="1">
      <c r="A6161" s="110"/>
      <c r="B6161" s="27" t="s">
        <v>1718</v>
      </c>
      <c r="C6161" s="27" t="s">
        <v>17876</v>
      </c>
      <c r="D6161" s="14" t="s">
        <v>275</v>
      </c>
      <c r="E6161" s="112"/>
      <c r="F6161" s="139" t="s">
        <v>17877</v>
      </c>
      <c r="G6161" s="140"/>
      <c r="H6161" s="141"/>
      <c r="I6161" s="26">
        <v>34006</v>
      </c>
      <c r="J6161" s="117"/>
      <c r="K6161" s="120"/>
      <c r="L6161" s="121"/>
      <c r="M6161" s="120"/>
      <c r="N6161" s="121"/>
      <c r="O6161" s="120"/>
      <c r="P6161" s="121"/>
      <c r="Q6161" s="120"/>
      <c r="R6161" s="121"/>
      <c r="S6161" s="120"/>
      <c r="T6161" s="121"/>
      <c r="U6161" s="120"/>
      <c r="V6161" s="123"/>
      <c r="W6161" s="125"/>
      <c r="X6161" s="142" t="s">
        <v>19330</v>
      </c>
      <c r="Y6161" s="143"/>
      <c r="Z6161" s="143"/>
      <c r="AA6161" s="143"/>
      <c r="AB6161" s="144"/>
      <c r="AC6161" s="16" t="s">
        <v>21</v>
      </c>
      <c r="AD6161" s="17" t="s">
        <v>859</v>
      </c>
      <c r="AE6161" s="145" t="s">
        <v>2750</v>
      </c>
      <c r="AF6161" s="146"/>
      <c r="AG6161" s="146"/>
      <c r="AH6161" s="146"/>
      <c r="AI6161" s="147"/>
      <c r="AJ6161" s="148"/>
      <c r="AK6161" s="143"/>
      <c r="AL6161" s="144"/>
      <c r="AM6161" s="22"/>
      <c r="AN6161" s="149" t="s">
        <v>2511</v>
      </c>
      <c r="AO6161" s="144"/>
      <c r="AP6161" s="148">
        <v>37173</v>
      </c>
      <c r="AQ6161" s="144"/>
      <c r="AR6161" s="120"/>
      <c r="AS6161" s="121"/>
      <c r="AT6161" s="120"/>
      <c r="AU6161" s="121"/>
      <c r="AV6161" s="120"/>
      <c r="AW6161" s="121"/>
      <c r="AX6161" s="120"/>
      <c r="AY6161" s="121"/>
      <c r="AZ6161" s="138"/>
    </row>
    <row r="6162" spans="1:52" ht="17.100000000000001" customHeight="1" thickTop="1">
      <c r="A6162" s="109" t="s">
        <v>17849</v>
      </c>
      <c r="B6162" s="28">
        <v>46067</v>
      </c>
      <c r="C6162" s="25"/>
      <c r="D6162" s="13" t="s">
        <v>1977</v>
      </c>
      <c r="E6162" s="111"/>
      <c r="F6162" s="113" t="s">
        <v>17921</v>
      </c>
      <c r="G6162" s="114"/>
      <c r="H6162" s="115"/>
      <c r="I6162" s="24" t="s">
        <v>17951</v>
      </c>
      <c r="J6162" s="150" t="s">
        <v>1715</v>
      </c>
      <c r="K6162" s="118">
        <v>1870000</v>
      </c>
      <c r="L6162" s="119"/>
      <c r="M6162" s="118">
        <f t="shared" ref="M6162" si="8256">K6162*0.1</f>
        <v>187000</v>
      </c>
      <c r="N6162" s="119"/>
      <c r="O6162" s="118">
        <v>4800</v>
      </c>
      <c r="P6162" s="119"/>
      <c r="Q6162" s="118">
        <v>16550</v>
      </c>
      <c r="R6162" s="119"/>
      <c r="S6162" s="118">
        <v>0</v>
      </c>
      <c r="T6162" s="119"/>
      <c r="U6162" s="118">
        <f t="shared" ref="U6162" si="8257">SUM(K6162:T6163)</f>
        <v>2078350</v>
      </c>
      <c r="V6162" s="122"/>
      <c r="W6162" s="124"/>
      <c r="X6162" s="126" t="s">
        <v>18920</v>
      </c>
      <c r="Y6162" s="127"/>
      <c r="Z6162" s="127"/>
      <c r="AA6162" s="127"/>
      <c r="AB6162" s="128"/>
      <c r="AC6162" s="15" t="s">
        <v>20</v>
      </c>
      <c r="AD6162" s="129" t="s">
        <v>7231</v>
      </c>
      <c r="AE6162" s="130"/>
      <c r="AF6162" s="130"/>
      <c r="AG6162" s="130"/>
      <c r="AH6162" s="130"/>
      <c r="AI6162" s="131"/>
      <c r="AJ6162" s="132"/>
      <c r="AK6162" s="127"/>
      <c r="AL6162" s="128"/>
      <c r="AM6162" s="21"/>
      <c r="AN6162" s="133">
        <v>46081</v>
      </c>
      <c r="AO6162" s="134"/>
      <c r="AP6162" s="135">
        <v>1290</v>
      </c>
      <c r="AQ6162" s="136"/>
      <c r="AR6162" s="118">
        <v>2030000</v>
      </c>
      <c r="AS6162" s="119"/>
      <c r="AT6162" s="118">
        <f t="shared" ref="AT6162" si="8258">AR6162*0.1</f>
        <v>203000</v>
      </c>
      <c r="AU6162" s="119"/>
      <c r="AV6162" s="118">
        <v>16550</v>
      </c>
      <c r="AW6162" s="119"/>
      <c r="AX6162" s="118">
        <f t="shared" ref="AX6162" si="8259">SUM(AR6162:AW6162)</f>
        <v>2249550</v>
      </c>
      <c r="AY6162" s="119"/>
      <c r="AZ6162" s="137">
        <v>46084</v>
      </c>
    </row>
    <row r="6163" spans="1:52" ht="17.100000000000001" customHeight="1" thickBot="1">
      <c r="A6163" s="110"/>
      <c r="B6163" s="27" t="s">
        <v>1718</v>
      </c>
      <c r="C6163" s="27" t="s">
        <v>17920</v>
      </c>
      <c r="D6163" s="14" t="s">
        <v>275</v>
      </c>
      <c r="E6163" s="112"/>
      <c r="F6163" s="139" t="s">
        <v>17922</v>
      </c>
      <c r="G6163" s="140"/>
      <c r="H6163" s="141"/>
      <c r="I6163" s="26">
        <v>136205</v>
      </c>
      <c r="J6163" s="117"/>
      <c r="K6163" s="120"/>
      <c r="L6163" s="121"/>
      <c r="M6163" s="120"/>
      <c r="N6163" s="121"/>
      <c r="O6163" s="120"/>
      <c r="P6163" s="121"/>
      <c r="Q6163" s="120"/>
      <c r="R6163" s="121"/>
      <c r="S6163" s="120"/>
      <c r="T6163" s="121"/>
      <c r="U6163" s="120"/>
      <c r="V6163" s="123"/>
      <c r="W6163" s="125"/>
      <c r="X6163" s="142" t="s">
        <v>18921</v>
      </c>
      <c r="Y6163" s="143"/>
      <c r="Z6163" s="143"/>
      <c r="AA6163" s="143"/>
      <c r="AB6163" s="144"/>
      <c r="AC6163" s="16" t="s">
        <v>21</v>
      </c>
      <c r="AD6163" s="17" t="s">
        <v>3616</v>
      </c>
      <c r="AE6163" s="145" t="s">
        <v>1614</v>
      </c>
      <c r="AF6163" s="146"/>
      <c r="AG6163" s="146"/>
      <c r="AH6163" s="146"/>
      <c r="AI6163" s="147"/>
      <c r="AJ6163" s="148"/>
      <c r="AK6163" s="143"/>
      <c r="AL6163" s="144"/>
      <c r="AM6163" s="22"/>
      <c r="AN6163" s="149" t="s">
        <v>2511</v>
      </c>
      <c r="AO6163" s="144"/>
      <c r="AP6163" s="148">
        <v>37714</v>
      </c>
      <c r="AQ6163" s="144"/>
      <c r="AR6163" s="120"/>
      <c r="AS6163" s="121"/>
      <c r="AT6163" s="120"/>
      <c r="AU6163" s="121"/>
      <c r="AV6163" s="120"/>
      <c r="AW6163" s="121"/>
      <c r="AX6163" s="120"/>
      <c r="AY6163" s="121"/>
      <c r="AZ6163" s="138"/>
    </row>
    <row r="6164" spans="1:52" ht="17.100000000000001" customHeight="1" thickTop="1">
      <c r="A6164" s="109" t="s">
        <v>17850</v>
      </c>
      <c r="B6164" s="28">
        <v>46067</v>
      </c>
      <c r="C6164" s="25">
        <v>1288</v>
      </c>
      <c r="D6164" s="13" t="s">
        <v>2759</v>
      </c>
      <c r="E6164" s="111"/>
      <c r="F6164" s="113" t="s">
        <v>17935</v>
      </c>
      <c r="G6164" s="114"/>
      <c r="H6164" s="115"/>
      <c r="I6164" s="24" t="s">
        <v>17952</v>
      </c>
      <c r="J6164" s="116">
        <v>4.5</v>
      </c>
      <c r="K6164" s="118">
        <v>2070000</v>
      </c>
      <c r="L6164" s="119"/>
      <c r="M6164" s="118">
        <f t="shared" ref="M6164" si="8260">K6164*0.1</f>
        <v>207000</v>
      </c>
      <c r="N6164" s="119"/>
      <c r="O6164" s="118">
        <v>3300</v>
      </c>
      <c r="P6164" s="119"/>
      <c r="Q6164" s="118">
        <v>12470</v>
      </c>
      <c r="R6164" s="119"/>
      <c r="S6164" s="118">
        <v>12100</v>
      </c>
      <c r="T6164" s="119"/>
      <c r="U6164" s="118">
        <f t="shared" ref="U6164" si="8261">SUM(K6164:T6165)</f>
        <v>2304870</v>
      </c>
      <c r="V6164" s="122"/>
      <c r="W6164" s="124"/>
      <c r="X6164" s="126" t="s">
        <v>17953</v>
      </c>
      <c r="Y6164" s="127"/>
      <c r="Z6164" s="127"/>
      <c r="AA6164" s="127"/>
      <c r="AB6164" s="128"/>
      <c r="AC6164" s="15" t="s">
        <v>20</v>
      </c>
      <c r="AD6164" s="129" t="s">
        <v>17954</v>
      </c>
      <c r="AE6164" s="130"/>
      <c r="AF6164" s="130"/>
      <c r="AG6164" s="130"/>
      <c r="AH6164" s="130"/>
      <c r="AI6164" s="131"/>
      <c r="AJ6164" s="132"/>
      <c r="AK6164" s="127"/>
      <c r="AL6164" s="128"/>
      <c r="AM6164" s="21"/>
      <c r="AN6164" s="133">
        <v>46071</v>
      </c>
      <c r="AO6164" s="134"/>
      <c r="AP6164" s="135">
        <v>1005</v>
      </c>
      <c r="AQ6164" s="136"/>
      <c r="AR6164" s="118">
        <v>2190000</v>
      </c>
      <c r="AS6164" s="119"/>
      <c r="AT6164" s="118">
        <f t="shared" ref="AT6164" si="8262">AR6164*0.1</f>
        <v>219000</v>
      </c>
      <c r="AU6164" s="119"/>
      <c r="AV6164" s="118">
        <v>12470</v>
      </c>
      <c r="AW6164" s="119"/>
      <c r="AX6164" s="118">
        <f t="shared" ref="AX6164" si="8263">SUM(AR6164:AW6164)</f>
        <v>2421470</v>
      </c>
      <c r="AY6164" s="119"/>
      <c r="AZ6164" s="137">
        <v>46073</v>
      </c>
    </row>
    <row r="6165" spans="1:52" ht="17.100000000000001" customHeight="1" thickBot="1">
      <c r="A6165" s="110"/>
      <c r="B6165" s="27" t="s">
        <v>2511</v>
      </c>
      <c r="C6165" s="27">
        <v>31291</v>
      </c>
      <c r="D6165" s="14" t="s">
        <v>2601</v>
      </c>
      <c r="E6165" s="112"/>
      <c r="F6165" s="139" t="s">
        <v>17936</v>
      </c>
      <c r="G6165" s="140"/>
      <c r="H6165" s="141"/>
      <c r="I6165" s="26">
        <v>57480</v>
      </c>
      <c r="J6165" s="117"/>
      <c r="K6165" s="120"/>
      <c r="L6165" s="121"/>
      <c r="M6165" s="120"/>
      <c r="N6165" s="121"/>
      <c r="O6165" s="120"/>
      <c r="P6165" s="121"/>
      <c r="Q6165" s="120"/>
      <c r="R6165" s="121"/>
      <c r="S6165" s="120"/>
      <c r="T6165" s="121"/>
      <c r="U6165" s="120"/>
      <c r="V6165" s="123"/>
      <c r="W6165" s="125"/>
      <c r="X6165" s="142" t="s">
        <v>18239</v>
      </c>
      <c r="Y6165" s="143"/>
      <c r="Z6165" s="143"/>
      <c r="AA6165" s="143"/>
      <c r="AB6165" s="144"/>
      <c r="AC6165" s="16" t="s">
        <v>21</v>
      </c>
      <c r="AD6165" s="17" t="s">
        <v>3980</v>
      </c>
      <c r="AE6165" s="145" t="s">
        <v>18240</v>
      </c>
      <c r="AF6165" s="146"/>
      <c r="AG6165" s="146"/>
      <c r="AH6165" s="146"/>
      <c r="AI6165" s="147"/>
      <c r="AJ6165" s="148"/>
      <c r="AK6165" s="143"/>
      <c r="AL6165" s="144"/>
      <c r="AM6165" s="22"/>
      <c r="AN6165" s="149" t="s">
        <v>2794</v>
      </c>
      <c r="AO6165" s="144"/>
      <c r="AP6165" s="148">
        <v>5076</v>
      </c>
      <c r="AQ6165" s="144"/>
      <c r="AR6165" s="120"/>
      <c r="AS6165" s="121"/>
      <c r="AT6165" s="120"/>
      <c r="AU6165" s="121"/>
      <c r="AV6165" s="120"/>
      <c r="AW6165" s="121"/>
      <c r="AX6165" s="120"/>
      <c r="AY6165" s="121"/>
      <c r="AZ6165" s="138"/>
    </row>
    <row r="6166" spans="1:52" ht="17.100000000000001" customHeight="1" thickTop="1">
      <c r="A6166" s="109" t="s">
        <v>17851</v>
      </c>
      <c r="B6166" s="28">
        <v>46067</v>
      </c>
      <c r="C6166" s="25">
        <v>1288</v>
      </c>
      <c r="D6166" s="13" t="s">
        <v>2759</v>
      </c>
      <c r="E6166" s="111"/>
      <c r="F6166" s="113" t="s">
        <v>17955</v>
      </c>
      <c r="G6166" s="114"/>
      <c r="H6166" s="115"/>
      <c r="I6166" s="24" t="s">
        <v>4068</v>
      </c>
      <c r="J6166" s="116">
        <v>4.5</v>
      </c>
      <c r="K6166" s="118">
        <v>2315000</v>
      </c>
      <c r="L6166" s="119"/>
      <c r="M6166" s="118">
        <f t="shared" ref="M6166" si="8264">K6166*0.1</f>
        <v>231500</v>
      </c>
      <c r="N6166" s="119"/>
      <c r="O6166" s="118">
        <v>3300</v>
      </c>
      <c r="P6166" s="119"/>
      <c r="Q6166" s="118">
        <v>11110</v>
      </c>
      <c r="R6166" s="119"/>
      <c r="S6166" s="118">
        <v>12100</v>
      </c>
      <c r="T6166" s="119"/>
      <c r="U6166" s="118">
        <f t="shared" ref="U6166" si="8265">SUM(K6166:T6167)</f>
        <v>2573010</v>
      </c>
      <c r="V6166" s="122"/>
      <c r="W6166" s="124"/>
      <c r="X6166" s="126" t="s">
        <v>17956</v>
      </c>
      <c r="Y6166" s="127"/>
      <c r="Z6166" s="127"/>
      <c r="AA6166" s="127"/>
      <c r="AB6166" s="128"/>
      <c r="AC6166" s="15" t="s">
        <v>20</v>
      </c>
      <c r="AD6166" s="129" t="s">
        <v>15223</v>
      </c>
      <c r="AE6166" s="130"/>
      <c r="AF6166" s="130"/>
      <c r="AG6166" s="130"/>
      <c r="AH6166" s="130"/>
      <c r="AI6166" s="131"/>
      <c r="AJ6166" s="132"/>
      <c r="AK6166" s="127"/>
      <c r="AL6166" s="128"/>
      <c r="AM6166" s="21"/>
      <c r="AN6166" s="133">
        <v>46078</v>
      </c>
      <c r="AO6166" s="134"/>
      <c r="AP6166" s="135">
        <v>1006</v>
      </c>
      <c r="AQ6166" s="136"/>
      <c r="AR6166" s="118">
        <v>2450000</v>
      </c>
      <c r="AS6166" s="119"/>
      <c r="AT6166" s="118">
        <f t="shared" ref="AT6166" si="8266">AR6166*0.1</f>
        <v>245000</v>
      </c>
      <c r="AU6166" s="119"/>
      <c r="AV6166" s="118">
        <v>11110</v>
      </c>
      <c r="AW6166" s="119"/>
      <c r="AX6166" s="118">
        <f t="shared" ref="AX6166" si="8267">SUM(AR6166:AW6166)</f>
        <v>2706110</v>
      </c>
      <c r="AY6166" s="119"/>
      <c r="AZ6166" s="137">
        <v>46086</v>
      </c>
    </row>
    <row r="6167" spans="1:52" ht="17.100000000000001" customHeight="1" thickBot="1">
      <c r="A6167" s="110"/>
      <c r="B6167" s="27" t="s">
        <v>2511</v>
      </c>
      <c r="C6167" s="27">
        <v>31305</v>
      </c>
      <c r="D6167" s="14" t="s">
        <v>275</v>
      </c>
      <c r="E6167" s="112"/>
      <c r="F6167" s="139" t="s">
        <v>17937</v>
      </c>
      <c r="G6167" s="140"/>
      <c r="H6167" s="141"/>
      <c r="I6167" s="26">
        <v>55110</v>
      </c>
      <c r="J6167" s="117"/>
      <c r="K6167" s="120"/>
      <c r="L6167" s="121"/>
      <c r="M6167" s="120"/>
      <c r="N6167" s="121"/>
      <c r="O6167" s="120"/>
      <c r="P6167" s="121"/>
      <c r="Q6167" s="120"/>
      <c r="R6167" s="121"/>
      <c r="S6167" s="120"/>
      <c r="T6167" s="121"/>
      <c r="U6167" s="120"/>
      <c r="V6167" s="123"/>
      <c r="W6167" s="125"/>
      <c r="X6167" s="142" t="s">
        <v>18400</v>
      </c>
      <c r="Y6167" s="143"/>
      <c r="Z6167" s="143"/>
      <c r="AA6167" s="143"/>
      <c r="AB6167" s="144"/>
      <c r="AC6167" s="16" t="s">
        <v>21</v>
      </c>
      <c r="AD6167" s="17" t="s">
        <v>18390</v>
      </c>
      <c r="AE6167" s="145" t="s">
        <v>18401</v>
      </c>
      <c r="AF6167" s="146"/>
      <c r="AG6167" s="146"/>
      <c r="AH6167" s="146"/>
      <c r="AI6167" s="147"/>
      <c r="AJ6167" s="148"/>
      <c r="AK6167" s="143"/>
      <c r="AL6167" s="144"/>
      <c r="AM6167" s="22"/>
      <c r="AN6167" s="149" t="s">
        <v>7285</v>
      </c>
      <c r="AO6167" s="144"/>
      <c r="AP6167" s="148">
        <v>6017</v>
      </c>
      <c r="AQ6167" s="144"/>
      <c r="AR6167" s="120"/>
      <c r="AS6167" s="121"/>
      <c r="AT6167" s="120"/>
      <c r="AU6167" s="121"/>
      <c r="AV6167" s="120"/>
      <c r="AW6167" s="121"/>
      <c r="AX6167" s="120"/>
      <c r="AY6167" s="121"/>
      <c r="AZ6167" s="138"/>
    </row>
    <row r="6168" spans="1:52" ht="17.100000000000001" customHeight="1" thickTop="1">
      <c r="A6168" s="109" t="s">
        <v>17852</v>
      </c>
      <c r="B6168" s="28">
        <v>46067</v>
      </c>
      <c r="C6168" s="25">
        <v>1288</v>
      </c>
      <c r="D6168" s="13" t="s">
        <v>4177</v>
      </c>
      <c r="E6168" s="111"/>
      <c r="F6168" s="113" t="s">
        <v>17348</v>
      </c>
      <c r="G6168" s="114"/>
      <c r="H6168" s="115"/>
      <c r="I6168" s="24" t="s">
        <v>17957</v>
      </c>
      <c r="J6168" s="116">
        <v>4</v>
      </c>
      <c r="K6168" s="118">
        <v>500000</v>
      </c>
      <c r="L6168" s="119"/>
      <c r="M6168" s="118">
        <v>50000</v>
      </c>
      <c r="N6168" s="119"/>
      <c r="O6168" s="118">
        <v>4070</v>
      </c>
      <c r="P6168" s="119"/>
      <c r="Q6168" s="118">
        <v>14340</v>
      </c>
      <c r="R6168" s="119"/>
      <c r="S6168" s="118">
        <v>12100</v>
      </c>
      <c r="T6168" s="119"/>
      <c r="U6168" s="118">
        <f t="shared" ref="U6168" si="8268">SUM(K6168:T6169)</f>
        <v>580510</v>
      </c>
      <c r="V6168" s="122"/>
      <c r="W6168" s="124"/>
      <c r="X6168" s="126" t="s">
        <v>17958</v>
      </c>
      <c r="Y6168" s="127"/>
      <c r="Z6168" s="127"/>
      <c r="AA6168" s="127"/>
      <c r="AB6168" s="128"/>
      <c r="AC6168" s="15" t="s">
        <v>20</v>
      </c>
      <c r="AD6168" s="129"/>
      <c r="AE6168" s="130"/>
      <c r="AF6168" s="130"/>
      <c r="AG6168" s="130"/>
      <c r="AH6168" s="130"/>
      <c r="AI6168" s="131"/>
      <c r="AJ6168" s="132"/>
      <c r="AK6168" s="127"/>
      <c r="AL6168" s="128"/>
      <c r="AM6168" s="21"/>
      <c r="AN6168" s="133">
        <v>46078</v>
      </c>
      <c r="AO6168" s="134"/>
      <c r="AP6168" s="135">
        <v>1006</v>
      </c>
      <c r="AQ6168" s="136"/>
      <c r="AR6168" s="118">
        <v>610000</v>
      </c>
      <c r="AS6168" s="119"/>
      <c r="AT6168" s="118">
        <f t="shared" ref="AT6168" si="8269">AR6168*0.1</f>
        <v>61000</v>
      </c>
      <c r="AU6168" s="119"/>
      <c r="AV6168" s="118">
        <v>14340</v>
      </c>
      <c r="AW6168" s="119"/>
      <c r="AX6168" s="118">
        <f t="shared" ref="AX6168" si="8270">SUM(AR6168:AW6168)</f>
        <v>685340</v>
      </c>
      <c r="AY6168" s="119"/>
      <c r="AZ6168" s="137">
        <v>46083</v>
      </c>
    </row>
    <row r="6169" spans="1:52" ht="17.100000000000001" customHeight="1" thickBot="1">
      <c r="A6169" s="110"/>
      <c r="B6169" s="27" t="s">
        <v>2511</v>
      </c>
      <c r="C6169" s="27">
        <v>35186</v>
      </c>
      <c r="D6169" s="14" t="s">
        <v>275</v>
      </c>
      <c r="E6169" s="112"/>
      <c r="F6169" s="139" t="s">
        <v>17938</v>
      </c>
      <c r="G6169" s="140"/>
      <c r="H6169" s="141"/>
      <c r="I6169" s="26">
        <v>107609</v>
      </c>
      <c r="J6169" s="117"/>
      <c r="K6169" s="120"/>
      <c r="L6169" s="121"/>
      <c r="M6169" s="120"/>
      <c r="N6169" s="121"/>
      <c r="O6169" s="120"/>
      <c r="P6169" s="121"/>
      <c r="Q6169" s="120"/>
      <c r="R6169" s="121"/>
      <c r="S6169" s="120"/>
      <c r="T6169" s="121"/>
      <c r="U6169" s="120"/>
      <c r="V6169" s="123"/>
      <c r="W6169" s="125"/>
      <c r="X6169" s="142" t="s">
        <v>14600</v>
      </c>
      <c r="Y6169" s="143"/>
      <c r="Z6169" s="143"/>
      <c r="AA6169" s="143"/>
      <c r="AB6169" s="144"/>
      <c r="AC6169" s="16" t="s">
        <v>21</v>
      </c>
      <c r="AD6169" s="17" t="s">
        <v>18390</v>
      </c>
      <c r="AE6169" s="145" t="s">
        <v>18397</v>
      </c>
      <c r="AF6169" s="146"/>
      <c r="AG6169" s="146"/>
      <c r="AH6169" s="146"/>
      <c r="AI6169" s="147"/>
      <c r="AJ6169" s="148"/>
      <c r="AK6169" s="143"/>
      <c r="AL6169" s="144"/>
      <c r="AM6169" s="22"/>
      <c r="AN6169" s="149" t="s">
        <v>2794</v>
      </c>
      <c r="AO6169" s="144"/>
      <c r="AP6169" s="148">
        <v>6024</v>
      </c>
      <c r="AQ6169" s="144"/>
      <c r="AR6169" s="120"/>
      <c r="AS6169" s="121"/>
      <c r="AT6169" s="120"/>
      <c r="AU6169" s="121"/>
      <c r="AV6169" s="120"/>
      <c r="AW6169" s="121"/>
      <c r="AX6169" s="120"/>
      <c r="AY6169" s="121"/>
      <c r="AZ6169" s="138"/>
    </row>
    <row r="6170" spans="1:52" ht="17.100000000000001" customHeight="1" thickTop="1">
      <c r="A6170" s="109" t="s">
        <v>17923</v>
      </c>
      <c r="B6170" s="28">
        <v>46067</v>
      </c>
      <c r="C6170" s="25">
        <v>1288</v>
      </c>
      <c r="D6170" s="13" t="s">
        <v>2272</v>
      </c>
      <c r="E6170" s="111"/>
      <c r="F6170" s="113" t="s">
        <v>17939</v>
      </c>
      <c r="G6170" s="114"/>
      <c r="H6170" s="115"/>
      <c r="I6170" s="24" t="s">
        <v>17959</v>
      </c>
      <c r="J6170" s="116">
        <v>4.5</v>
      </c>
      <c r="K6170" s="118">
        <v>1805000</v>
      </c>
      <c r="L6170" s="119"/>
      <c r="M6170" s="118">
        <f t="shared" ref="M6170" si="8271">K6170*0.1</f>
        <v>180500</v>
      </c>
      <c r="N6170" s="119"/>
      <c r="O6170" s="118">
        <v>2200</v>
      </c>
      <c r="P6170" s="119"/>
      <c r="Q6170" s="118">
        <v>7450</v>
      </c>
      <c r="R6170" s="119"/>
      <c r="S6170" s="118">
        <v>12100</v>
      </c>
      <c r="T6170" s="119"/>
      <c r="U6170" s="118">
        <f t="shared" ref="U6170" si="8272">SUM(K6170:T6171)</f>
        <v>2007250</v>
      </c>
      <c r="V6170" s="122"/>
      <c r="W6170" s="124"/>
      <c r="X6170" s="126" t="s">
        <v>17960</v>
      </c>
      <c r="Y6170" s="127"/>
      <c r="Z6170" s="127"/>
      <c r="AA6170" s="127"/>
      <c r="AB6170" s="128"/>
      <c r="AC6170" s="15" t="s">
        <v>20</v>
      </c>
      <c r="AD6170" s="129" t="s">
        <v>17961</v>
      </c>
      <c r="AE6170" s="130"/>
      <c r="AF6170" s="130"/>
      <c r="AG6170" s="130"/>
      <c r="AH6170" s="130"/>
      <c r="AI6170" s="131"/>
      <c r="AJ6170" s="132"/>
      <c r="AK6170" s="127"/>
      <c r="AL6170" s="128"/>
      <c r="AM6170" s="21"/>
      <c r="AN6170" s="133">
        <v>46071</v>
      </c>
      <c r="AO6170" s="134"/>
      <c r="AP6170" s="135">
        <v>1005</v>
      </c>
      <c r="AQ6170" s="136"/>
      <c r="AR6170" s="118">
        <v>1890000</v>
      </c>
      <c r="AS6170" s="119"/>
      <c r="AT6170" s="118">
        <f t="shared" ref="AT6170" si="8273">AR6170*0.1</f>
        <v>189000</v>
      </c>
      <c r="AU6170" s="119"/>
      <c r="AV6170" s="118">
        <v>7450</v>
      </c>
      <c r="AW6170" s="119"/>
      <c r="AX6170" s="118">
        <f t="shared" ref="AX6170" si="8274">SUM(AR6170:AW6170)</f>
        <v>2086450</v>
      </c>
      <c r="AY6170" s="119"/>
      <c r="AZ6170" s="137">
        <v>46073</v>
      </c>
    </row>
    <row r="6171" spans="1:52" ht="17.100000000000001" customHeight="1" thickBot="1">
      <c r="A6171" s="110"/>
      <c r="B6171" s="27" t="s">
        <v>2511</v>
      </c>
      <c r="C6171" s="27">
        <v>37010</v>
      </c>
      <c r="D6171" s="14" t="s">
        <v>15580</v>
      </c>
      <c r="E6171" s="112"/>
      <c r="F6171" s="139" t="s">
        <v>17940</v>
      </c>
      <c r="G6171" s="140"/>
      <c r="H6171" s="141"/>
      <c r="I6171" s="26">
        <v>10008</v>
      </c>
      <c r="J6171" s="117"/>
      <c r="K6171" s="120"/>
      <c r="L6171" s="121"/>
      <c r="M6171" s="120"/>
      <c r="N6171" s="121"/>
      <c r="O6171" s="120"/>
      <c r="P6171" s="121"/>
      <c r="Q6171" s="120"/>
      <c r="R6171" s="121"/>
      <c r="S6171" s="120"/>
      <c r="T6171" s="121"/>
      <c r="U6171" s="120"/>
      <c r="V6171" s="123"/>
      <c r="W6171" s="125"/>
      <c r="X6171" s="142" t="s">
        <v>18241</v>
      </c>
      <c r="Y6171" s="143"/>
      <c r="Z6171" s="143"/>
      <c r="AA6171" s="143"/>
      <c r="AB6171" s="144"/>
      <c r="AC6171" s="16" t="s">
        <v>21</v>
      </c>
      <c r="AD6171" s="17" t="s">
        <v>3980</v>
      </c>
      <c r="AE6171" s="145" t="s">
        <v>18242</v>
      </c>
      <c r="AF6171" s="146"/>
      <c r="AG6171" s="146"/>
      <c r="AH6171" s="146"/>
      <c r="AI6171" s="147"/>
      <c r="AJ6171" s="148"/>
      <c r="AK6171" s="143"/>
      <c r="AL6171" s="144"/>
      <c r="AM6171" s="22"/>
      <c r="AN6171" s="149" t="s">
        <v>2794</v>
      </c>
      <c r="AO6171" s="144"/>
      <c r="AP6171" s="148">
        <v>5075</v>
      </c>
      <c r="AQ6171" s="144"/>
      <c r="AR6171" s="120"/>
      <c r="AS6171" s="121"/>
      <c r="AT6171" s="120"/>
      <c r="AU6171" s="121"/>
      <c r="AV6171" s="120"/>
      <c r="AW6171" s="121"/>
      <c r="AX6171" s="120"/>
      <c r="AY6171" s="121"/>
      <c r="AZ6171" s="138"/>
    </row>
    <row r="6172" spans="1:52" ht="17.100000000000001" customHeight="1" thickTop="1">
      <c r="A6172" s="109" t="s">
        <v>17924</v>
      </c>
      <c r="B6172" s="28">
        <v>46067</v>
      </c>
      <c r="C6172" s="25">
        <v>1288</v>
      </c>
      <c r="D6172" s="13" t="s">
        <v>1549</v>
      </c>
      <c r="E6172" s="111"/>
      <c r="F6172" s="113" t="s">
        <v>17941</v>
      </c>
      <c r="G6172" s="114"/>
      <c r="H6172" s="115"/>
      <c r="I6172" s="24"/>
      <c r="J6172" s="116">
        <v>4.5</v>
      </c>
      <c r="K6172" s="118">
        <v>910000</v>
      </c>
      <c r="L6172" s="119"/>
      <c r="M6172" s="118">
        <f t="shared" ref="M6172" si="8275">K6172*0.1</f>
        <v>91000</v>
      </c>
      <c r="N6172" s="119"/>
      <c r="O6172" s="118">
        <v>0</v>
      </c>
      <c r="P6172" s="119"/>
      <c r="Q6172" s="118">
        <v>10120</v>
      </c>
      <c r="R6172" s="119"/>
      <c r="S6172" s="118">
        <v>12100</v>
      </c>
      <c r="T6172" s="119"/>
      <c r="U6172" s="118">
        <f t="shared" ref="U6172" si="8276">SUM(K6172:T6173)</f>
        <v>1023220</v>
      </c>
      <c r="V6172" s="122"/>
      <c r="W6172" s="124"/>
      <c r="X6172" s="126" t="s">
        <v>18394</v>
      </c>
      <c r="Y6172" s="127"/>
      <c r="Z6172" s="127"/>
      <c r="AA6172" s="127"/>
      <c r="AB6172" s="128"/>
      <c r="AC6172" s="15" t="s">
        <v>20</v>
      </c>
      <c r="AD6172" s="129" t="s">
        <v>8092</v>
      </c>
      <c r="AE6172" s="130"/>
      <c r="AF6172" s="130"/>
      <c r="AG6172" s="130"/>
      <c r="AH6172" s="130"/>
      <c r="AI6172" s="131"/>
      <c r="AJ6172" s="132"/>
      <c r="AK6172" s="127"/>
      <c r="AL6172" s="128"/>
      <c r="AM6172" s="21"/>
      <c r="AN6172" s="133">
        <v>46078</v>
      </c>
      <c r="AO6172" s="134"/>
      <c r="AP6172" s="135">
        <v>1006</v>
      </c>
      <c r="AQ6172" s="136"/>
      <c r="AR6172" s="118">
        <v>1000000</v>
      </c>
      <c r="AS6172" s="119"/>
      <c r="AT6172" s="118">
        <f t="shared" ref="AT6172" si="8277">AR6172*0.1</f>
        <v>100000</v>
      </c>
      <c r="AU6172" s="119"/>
      <c r="AV6172" s="118">
        <v>10120</v>
      </c>
      <c r="AW6172" s="119"/>
      <c r="AX6172" s="118">
        <f t="shared" ref="AX6172" si="8278">SUM(AR6172:AW6172)</f>
        <v>1110120</v>
      </c>
      <c r="AY6172" s="119"/>
      <c r="AZ6172" s="137">
        <v>46083</v>
      </c>
    </row>
    <row r="6173" spans="1:52" ht="17.100000000000001" customHeight="1" thickBot="1">
      <c r="A6173" s="110"/>
      <c r="B6173" s="27" t="s">
        <v>2511</v>
      </c>
      <c r="C6173" s="27">
        <v>37220</v>
      </c>
      <c r="D6173" s="14" t="s">
        <v>17962</v>
      </c>
      <c r="E6173" s="112"/>
      <c r="F6173" s="139" t="s">
        <v>17942</v>
      </c>
      <c r="G6173" s="140"/>
      <c r="H6173" s="141"/>
      <c r="I6173" s="26">
        <v>58960</v>
      </c>
      <c r="J6173" s="117"/>
      <c r="K6173" s="120"/>
      <c r="L6173" s="121"/>
      <c r="M6173" s="120"/>
      <c r="N6173" s="121"/>
      <c r="O6173" s="120"/>
      <c r="P6173" s="121"/>
      <c r="Q6173" s="120"/>
      <c r="R6173" s="121"/>
      <c r="S6173" s="120"/>
      <c r="T6173" s="121"/>
      <c r="U6173" s="120"/>
      <c r="V6173" s="123"/>
      <c r="W6173" s="125"/>
      <c r="X6173" s="142" t="s">
        <v>18395</v>
      </c>
      <c r="Y6173" s="143"/>
      <c r="Z6173" s="143"/>
      <c r="AA6173" s="143"/>
      <c r="AB6173" s="144"/>
      <c r="AC6173" s="16" t="s">
        <v>21</v>
      </c>
      <c r="AD6173" s="17" t="s">
        <v>18390</v>
      </c>
      <c r="AE6173" s="145" t="s">
        <v>18396</v>
      </c>
      <c r="AF6173" s="146"/>
      <c r="AG6173" s="146"/>
      <c r="AH6173" s="146"/>
      <c r="AI6173" s="147"/>
      <c r="AJ6173" s="148"/>
      <c r="AK6173" s="143"/>
      <c r="AL6173" s="144"/>
      <c r="AM6173" s="22"/>
      <c r="AN6173" s="149" t="s">
        <v>8809</v>
      </c>
      <c r="AO6173" s="144"/>
      <c r="AP6173" s="148">
        <v>6019</v>
      </c>
      <c r="AQ6173" s="144"/>
      <c r="AR6173" s="120"/>
      <c r="AS6173" s="121"/>
      <c r="AT6173" s="120"/>
      <c r="AU6173" s="121"/>
      <c r="AV6173" s="120"/>
      <c r="AW6173" s="121"/>
      <c r="AX6173" s="120"/>
      <c r="AY6173" s="121"/>
      <c r="AZ6173" s="138"/>
    </row>
    <row r="6174" spans="1:52" ht="17.100000000000001" customHeight="1" thickTop="1">
      <c r="A6174" s="109" t="s">
        <v>17925</v>
      </c>
      <c r="B6174" s="28">
        <v>46067</v>
      </c>
      <c r="C6174" s="25">
        <v>1288</v>
      </c>
      <c r="D6174" s="13" t="s">
        <v>4824</v>
      </c>
      <c r="E6174" s="111"/>
      <c r="F6174" s="113" t="s">
        <v>17163</v>
      </c>
      <c r="G6174" s="114"/>
      <c r="H6174" s="115"/>
      <c r="I6174" s="24" t="s">
        <v>12516</v>
      </c>
      <c r="J6174" s="116">
        <v>4.5</v>
      </c>
      <c r="K6174" s="118">
        <v>1185000</v>
      </c>
      <c r="L6174" s="119"/>
      <c r="M6174" s="118">
        <f t="shared" ref="M6174" si="8279">K6174*0.1</f>
        <v>118500</v>
      </c>
      <c r="N6174" s="119"/>
      <c r="O6174" s="118">
        <v>3520</v>
      </c>
      <c r="P6174" s="119"/>
      <c r="Q6174" s="118">
        <v>12030</v>
      </c>
      <c r="R6174" s="119"/>
      <c r="S6174" s="118">
        <v>12100</v>
      </c>
      <c r="T6174" s="119"/>
      <c r="U6174" s="118">
        <f t="shared" ref="U6174" si="8280">SUM(K6174:T6175)</f>
        <v>1331150</v>
      </c>
      <c r="V6174" s="122"/>
      <c r="W6174" s="124"/>
      <c r="X6174" s="126" t="s">
        <v>17963</v>
      </c>
      <c r="Y6174" s="127"/>
      <c r="Z6174" s="127"/>
      <c r="AA6174" s="127"/>
      <c r="AB6174" s="128"/>
      <c r="AC6174" s="15" t="s">
        <v>20</v>
      </c>
      <c r="AD6174" s="129" t="s">
        <v>17964</v>
      </c>
      <c r="AE6174" s="130"/>
      <c r="AF6174" s="130"/>
      <c r="AG6174" s="130"/>
      <c r="AH6174" s="130"/>
      <c r="AI6174" s="131"/>
      <c r="AJ6174" s="132"/>
      <c r="AK6174" s="127"/>
      <c r="AL6174" s="128"/>
      <c r="AM6174" s="21" t="s">
        <v>19980</v>
      </c>
      <c r="AN6174" s="133">
        <v>46099</v>
      </c>
      <c r="AO6174" s="134"/>
      <c r="AP6174" s="135">
        <v>1009</v>
      </c>
      <c r="AQ6174" s="136"/>
      <c r="AR6174" s="118">
        <v>1280000</v>
      </c>
      <c r="AS6174" s="119"/>
      <c r="AT6174" s="118">
        <f t="shared" ref="AT6174" si="8281">AR6174*0.1</f>
        <v>128000</v>
      </c>
      <c r="AU6174" s="119"/>
      <c r="AV6174" s="118">
        <v>12030</v>
      </c>
      <c r="AW6174" s="119"/>
      <c r="AX6174" s="118">
        <f t="shared" ref="AX6174" si="8282">SUM(AR6174:AW6174)</f>
        <v>1420030</v>
      </c>
      <c r="AY6174" s="119"/>
      <c r="AZ6174" s="137">
        <v>46105</v>
      </c>
    </row>
    <row r="6175" spans="1:52" ht="17.100000000000001" customHeight="1" thickBot="1">
      <c r="A6175" s="110"/>
      <c r="B6175" s="27" t="s">
        <v>2511</v>
      </c>
      <c r="C6175" s="27">
        <v>37291</v>
      </c>
      <c r="D6175" s="14" t="s">
        <v>2601</v>
      </c>
      <c r="E6175" s="112"/>
      <c r="F6175" s="139" t="s">
        <v>17943</v>
      </c>
      <c r="G6175" s="140"/>
      <c r="H6175" s="141"/>
      <c r="I6175" s="26">
        <v>75161</v>
      </c>
      <c r="J6175" s="117"/>
      <c r="K6175" s="120"/>
      <c r="L6175" s="121"/>
      <c r="M6175" s="120"/>
      <c r="N6175" s="121"/>
      <c r="O6175" s="120"/>
      <c r="P6175" s="121"/>
      <c r="Q6175" s="120"/>
      <c r="R6175" s="121"/>
      <c r="S6175" s="120"/>
      <c r="T6175" s="121"/>
      <c r="U6175" s="120"/>
      <c r="V6175" s="123"/>
      <c r="W6175" s="125"/>
      <c r="X6175" s="142" t="s">
        <v>18398</v>
      </c>
      <c r="Y6175" s="143"/>
      <c r="Z6175" s="143"/>
      <c r="AA6175" s="143"/>
      <c r="AB6175" s="144"/>
      <c r="AC6175" s="16" t="s">
        <v>21</v>
      </c>
      <c r="AD6175" s="17" t="s">
        <v>18390</v>
      </c>
      <c r="AE6175" s="145" t="s">
        <v>18399</v>
      </c>
      <c r="AF6175" s="146"/>
      <c r="AG6175" s="146"/>
      <c r="AH6175" s="146"/>
      <c r="AI6175" s="147"/>
      <c r="AJ6175" s="148"/>
      <c r="AK6175" s="143"/>
      <c r="AL6175" s="144"/>
      <c r="AM6175" s="22"/>
      <c r="AN6175" s="149" t="s">
        <v>9053</v>
      </c>
      <c r="AO6175" s="144"/>
      <c r="AP6175" s="148">
        <v>5077</v>
      </c>
      <c r="AQ6175" s="144"/>
      <c r="AR6175" s="120"/>
      <c r="AS6175" s="121"/>
      <c r="AT6175" s="120"/>
      <c r="AU6175" s="121"/>
      <c r="AV6175" s="120"/>
      <c r="AW6175" s="121"/>
      <c r="AX6175" s="120"/>
      <c r="AY6175" s="121"/>
      <c r="AZ6175" s="138"/>
    </row>
    <row r="6176" spans="1:52" ht="17.100000000000001" customHeight="1" thickTop="1">
      <c r="A6176" s="109" t="s">
        <v>17926</v>
      </c>
      <c r="B6176" s="28">
        <v>46067</v>
      </c>
      <c r="C6176" s="25">
        <v>1288</v>
      </c>
      <c r="D6176" s="13" t="s">
        <v>3381</v>
      </c>
      <c r="E6176" s="111"/>
      <c r="F6176" s="113" t="s">
        <v>15204</v>
      </c>
      <c r="G6176" s="114"/>
      <c r="H6176" s="115"/>
      <c r="I6176" s="24"/>
      <c r="J6176" s="116">
        <v>4.5</v>
      </c>
      <c r="K6176" s="118">
        <v>565000</v>
      </c>
      <c r="L6176" s="119"/>
      <c r="M6176" s="118">
        <f t="shared" ref="M6176" si="8283">K6176*0.1</f>
        <v>56500</v>
      </c>
      <c r="N6176" s="119"/>
      <c r="O6176" s="118">
        <v>0</v>
      </c>
      <c r="P6176" s="119"/>
      <c r="Q6176" s="118">
        <v>7950</v>
      </c>
      <c r="R6176" s="119"/>
      <c r="S6176" s="118">
        <v>13200</v>
      </c>
      <c r="T6176" s="119"/>
      <c r="U6176" s="118">
        <f t="shared" ref="U6176" si="8284">SUM(K6176:T6177)</f>
        <v>642650</v>
      </c>
      <c r="V6176" s="122"/>
      <c r="W6176" s="124"/>
      <c r="X6176" s="126" t="s">
        <v>18403</v>
      </c>
      <c r="Y6176" s="127"/>
      <c r="Z6176" s="127"/>
      <c r="AA6176" s="127"/>
      <c r="AB6176" s="128"/>
      <c r="AC6176" s="15" t="s">
        <v>20</v>
      </c>
      <c r="AD6176" s="129" t="s">
        <v>1670</v>
      </c>
      <c r="AE6176" s="130"/>
      <c r="AF6176" s="130"/>
      <c r="AG6176" s="130"/>
      <c r="AH6176" s="130"/>
      <c r="AI6176" s="131"/>
      <c r="AJ6176" s="132"/>
      <c r="AK6176" s="127"/>
      <c r="AL6176" s="128"/>
      <c r="AM6176" s="21"/>
      <c r="AN6176" s="133">
        <v>46088</v>
      </c>
      <c r="AO6176" s="134"/>
      <c r="AP6176" s="135">
        <v>1291</v>
      </c>
      <c r="AQ6176" s="136"/>
      <c r="AR6176" s="118">
        <v>620000</v>
      </c>
      <c r="AS6176" s="119"/>
      <c r="AT6176" s="118">
        <f t="shared" ref="AT6176" si="8285">AR6176*0.1</f>
        <v>62000</v>
      </c>
      <c r="AU6176" s="119"/>
      <c r="AV6176" s="118">
        <v>7950</v>
      </c>
      <c r="AW6176" s="119"/>
      <c r="AX6176" s="118">
        <f t="shared" ref="AX6176" si="8286">SUM(AR6176:AW6176)</f>
        <v>689950</v>
      </c>
      <c r="AY6176" s="119"/>
      <c r="AZ6176" s="137">
        <v>46091</v>
      </c>
    </row>
    <row r="6177" spans="1:52" ht="17.100000000000001" customHeight="1" thickBot="1">
      <c r="A6177" s="110"/>
      <c r="B6177" s="27" t="s">
        <v>2511</v>
      </c>
      <c r="C6177" s="27">
        <v>62028</v>
      </c>
      <c r="D6177" s="14" t="s">
        <v>2800</v>
      </c>
      <c r="E6177" s="112"/>
      <c r="F6177" s="139" t="s">
        <v>17944</v>
      </c>
      <c r="G6177" s="140"/>
      <c r="H6177" s="141"/>
      <c r="I6177" s="26">
        <v>68009</v>
      </c>
      <c r="J6177" s="117"/>
      <c r="K6177" s="120"/>
      <c r="L6177" s="121"/>
      <c r="M6177" s="120"/>
      <c r="N6177" s="121"/>
      <c r="O6177" s="120"/>
      <c r="P6177" s="121"/>
      <c r="Q6177" s="120"/>
      <c r="R6177" s="121"/>
      <c r="S6177" s="120"/>
      <c r="T6177" s="121"/>
      <c r="U6177" s="120"/>
      <c r="V6177" s="123"/>
      <c r="W6177" s="125"/>
      <c r="X6177" s="142" t="s">
        <v>18404</v>
      </c>
      <c r="Y6177" s="143"/>
      <c r="Z6177" s="143"/>
      <c r="AA6177" s="143"/>
      <c r="AB6177" s="144"/>
      <c r="AC6177" s="16" t="s">
        <v>21</v>
      </c>
      <c r="AD6177" s="17" t="s">
        <v>18390</v>
      </c>
      <c r="AE6177" s="145" t="s">
        <v>6835</v>
      </c>
      <c r="AF6177" s="146"/>
      <c r="AG6177" s="146"/>
      <c r="AH6177" s="146"/>
      <c r="AI6177" s="147"/>
      <c r="AJ6177" s="148"/>
      <c r="AK6177" s="143"/>
      <c r="AL6177" s="144"/>
      <c r="AM6177" s="22"/>
      <c r="AN6177" s="149" t="s">
        <v>2511</v>
      </c>
      <c r="AO6177" s="144"/>
      <c r="AP6177" s="148">
        <v>60136</v>
      </c>
      <c r="AQ6177" s="144"/>
      <c r="AR6177" s="120"/>
      <c r="AS6177" s="121"/>
      <c r="AT6177" s="120"/>
      <c r="AU6177" s="121"/>
      <c r="AV6177" s="120"/>
      <c r="AW6177" s="121"/>
      <c r="AX6177" s="120"/>
      <c r="AY6177" s="121"/>
      <c r="AZ6177" s="138"/>
    </row>
    <row r="6178" spans="1:52" ht="17.100000000000001" customHeight="1" thickTop="1">
      <c r="A6178" s="109" t="s">
        <v>17927</v>
      </c>
      <c r="B6178" s="28">
        <v>46067</v>
      </c>
      <c r="C6178" s="25">
        <v>1288</v>
      </c>
      <c r="D6178" s="13" t="s">
        <v>2697</v>
      </c>
      <c r="E6178" s="111"/>
      <c r="F6178" s="113" t="s">
        <v>15215</v>
      </c>
      <c r="G6178" s="114"/>
      <c r="H6178" s="115"/>
      <c r="I6178" s="24"/>
      <c r="J6178" s="116">
        <v>5</v>
      </c>
      <c r="K6178" s="118">
        <v>1120000</v>
      </c>
      <c r="L6178" s="119"/>
      <c r="M6178" s="118">
        <f t="shared" ref="M6178" si="8287">K6178*0.1</f>
        <v>112000</v>
      </c>
      <c r="N6178" s="119"/>
      <c r="O6178" s="118">
        <v>0</v>
      </c>
      <c r="P6178" s="119"/>
      <c r="Q6178" s="118">
        <v>8350</v>
      </c>
      <c r="R6178" s="119"/>
      <c r="S6178" s="118">
        <v>11000</v>
      </c>
      <c r="T6178" s="119"/>
      <c r="U6178" s="118">
        <f t="shared" ref="U6178" si="8288">SUM(K6178:T6179)</f>
        <v>1251350</v>
      </c>
      <c r="V6178" s="122"/>
      <c r="W6178" s="124"/>
      <c r="X6178" s="126" t="s">
        <v>18407</v>
      </c>
      <c r="Y6178" s="127"/>
      <c r="Z6178" s="127"/>
      <c r="AA6178" s="127"/>
      <c r="AB6178" s="128"/>
      <c r="AC6178" s="15" t="s">
        <v>20</v>
      </c>
      <c r="AD6178" s="129" t="s">
        <v>171</v>
      </c>
      <c r="AE6178" s="130"/>
      <c r="AF6178" s="130"/>
      <c r="AG6178" s="130"/>
      <c r="AH6178" s="130"/>
      <c r="AI6178" s="131"/>
      <c r="AJ6178" s="132" t="s">
        <v>18938</v>
      </c>
      <c r="AK6178" s="127"/>
      <c r="AL6178" s="128"/>
      <c r="AM6178" s="21"/>
      <c r="AN6178" s="133">
        <v>46077</v>
      </c>
      <c r="AO6178" s="134"/>
      <c r="AP6178" s="135">
        <v>1930</v>
      </c>
      <c r="AQ6178" s="136"/>
      <c r="AR6178" s="118">
        <v>1152000</v>
      </c>
      <c r="AS6178" s="119"/>
      <c r="AT6178" s="118">
        <f t="shared" ref="AT6178" si="8289">AR6178*0.1</f>
        <v>115200</v>
      </c>
      <c r="AU6178" s="119"/>
      <c r="AV6178" s="118">
        <v>8350</v>
      </c>
      <c r="AW6178" s="119"/>
      <c r="AX6178" s="118">
        <f t="shared" ref="AX6178" si="8290">SUM(AR6178:AW6178)</f>
        <v>1275550</v>
      </c>
      <c r="AY6178" s="119"/>
      <c r="AZ6178" s="137"/>
    </row>
    <row r="6179" spans="1:52" ht="17.100000000000001" customHeight="1" thickBot="1">
      <c r="A6179" s="110"/>
      <c r="B6179" s="27" t="s">
        <v>2511</v>
      </c>
      <c r="C6179" s="27">
        <v>62049</v>
      </c>
      <c r="D6179" s="14" t="s">
        <v>1700</v>
      </c>
      <c r="E6179" s="112"/>
      <c r="F6179" s="139" t="s">
        <v>17945</v>
      </c>
      <c r="G6179" s="140"/>
      <c r="H6179" s="141"/>
      <c r="I6179" s="26">
        <v>4261</v>
      </c>
      <c r="J6179" s="117"/>
      <c r="K6179" s="120"/>
      <c r="L6179" s="121"/>
      <c r="M6179" s="120"/>
      <c r="N6179" s="121"/>
      <c r="O6179" s="120"/>
      <c r="P6179" s="121"/>
      <c r="Q6179" s="120"/>
      <c r="R6179" s="121"/>
      <c r="S6179" s="120"/>
      <c r="T6179" s="121"/>
      <c r="U6179" s="120"/>
      <c r="V6179" s="123"/>
      <c r="W6179" s="125"/>
      <c r="X6179" s="142" t="s">
        <v>2440</v>
      </c>
      <c r="Y6179" s="143"/>
      <c r="Z6179" s="143"/>
      <c r="AA6179" s="143"/>
      <c r="AB6179" s="144"/>
      <c r="AC6179" s="16" t="s">
        <v>21</v>
      </c>
      <c r="AD6179" s="17" t="s">
        <v>18390</v>
      </c>
      <c r="AE6179" s="145" t="s">
        <v>18929</v>
      </c>
      <c r="AF6179" s="146"/>
      <c r="AG6179" s="146"/>
      <c r="AH6179" s="146"/>
      <c r="AI6179" s="147"/>
      <c r="AJ6179" s="148"/>
      <c r="AK6179" s="143"/>
      <c r="AL6179" s="144"/>
      <c r="AM6179" s="22"/>
      <c r="AN6179" s="149" t="s">
        <v>2131</v>
      </c>
      <c r="AO6179" s="144"/>
      <c r="AP6179" s="148">
        <v>3093</v>
      </c>
      <c r="AQ6179" s="144"/>
      <c r="AR6179" s="120"/>
      <c r="AS6179" s="121"/>
      <c r="AT6179" s="120"/>
      <c r="AU6179" s="121"/>
      <c r="AV6179" s="120"/>
      <c r="AW6179" s="121"/>
      <c r="AX6179" s="120"/>
      <c r="AY6179" s="121"/>
      <c r="AZ6179" s="138"/>
    </row>
    <row r="6180" spans="1:52" ht="17.100000000000001" customHeight="1" thickTop="1">
      <c r="A6180" s="109" t="s">
        <v>17928</v>
      </c>
      <c r="B6180" s="28">
        <v>46067</v>
      </c>
      <c r="C6180" s="25">
        <v>1288</v>
      </c>
      <c r="D6180" s="13" t="s">
        <v>3832</v>
      </c>
      <c r="E6180" s="111"/>
      <c r="F6180" s="113" t="s">
        <v>17946</v>
      </c>
      <c r="G6180" s="114"/>
      <c r="H6180" s="115"/>
      <c r="I6180" s="24" t="s">
        <v>3923</v>
      </c>
      <c r="J6180" s="116">
        <v>4</v>
      </c>
      <c r="K6180" s="118">
        <v>815000</v>
      </c>
      <c r="L6180" s="119"/>
      <c r="M6180" s="118">
        <f t="shared" ref="M6180" si="8291">K6180*0.1</f>
        <v>81500</v>
      </c>
      <c r="N6180" s="119"/>
      <c r="O6180" s="118">
        <v>0</v>
      </c>
      <c r="P6180" s="119"/>
      <c r="Q6180" s="118">
        <v>6860</v>
      </c>
      <c r="R6180" s="119"/>
      <c r="S6180" s="118">
        <v>12100</v>
      </c>
      <c r="T6180" s="119"/>
      <c r="U6180" s="118">
        <f t="shared" ref="U6180" si="8292">SUM(K6180:T6181)</f>
        <v>915460</v>
      </c>
      <c r="V6180" s="122"/>
      <c r="W6180" s="124"/>
      <c r="X6180" s="126" t="s">
        <v>17965</v>
      </c>
      <c r="Y6180" s="127"/>
      <c r="Z6180" s="127"/>
      <c r="AA6180" s="127"/>
      <c r="AB6180" s="128"/>
      <c r="AC6180" s="15" t="s">
        <v>20</v>
      </c>
      <c r="AD6180" s="129" t="s">
        <v>17239</v>
      </c>
      <c r="AE6180" s="130"/>
      <c r="AF6180" s="130"/>
      <c r="AG6180" s="130"/>
      <c r="AH6180" s="130"/>
      <c r="AI6180" s="131"/>
      <c r="AJ6180" s="132"/>
      <c r="AK6180" s="127"/>
      <c r="AL6180" s="128"/>
      <c r="AM6180" s="21"/>
      <c r="AN6180" s="133">
        <v>46099</v>
      </c>
      <c r="AO6180" s="134"/>
      <c r="AP6180" s="135">
        <v>1009</v>
      </c>
      <c r="AQ6180" s="136"/>
      <c r="AR6180" s="118">
        <v>895000</v>
      </c>
      <c r="AS6180" s="119"/>
      <c r="AT6180" s="118">
        <f t="shared" ref="AT6180" si="8293">AR6180*0.1</f>
        <v>89500</v>
      </c>
      <c r="AU6180" s="119"/>
      <c r="AV6180" s="118">
        <v>6860</v>
      </c>
      <c r="AW6180" s="119"/>
      <c r="AX6180" s="118">
        <f t="shared" ref="AX6180" si="8294">SUM(AR6180:AW6180)</f>
        <v>991360</v>
      </c>
      <c r="AY6180" s="119"/>
      <c r="AZ6180" s="137">
        <v>46106</v>
      </c>
    </row>
    <row r="6181" spans="1:52" ht="17.100000000000001" customHeight="1" thickBot="1">
      <c r="A6181" s="110"/>
      <c r="B6181" s="27" t="s">
        <v>2511</v>
      </c>
      <c r="C6181" s="27">
        <v>65426</v>
      </c>
      <c r="D6181" s="14" t="s">
        <v>1720</v>
      </c>
      <c r="E6181" s="112"/>
      <c r="F6181" s="139" t="s">
        <v>17947</v>
      </c>
      <c r="G6181" s="140"/>
      <c r="H6181" s="141"/>
      <c r="I6181" s="26">
        <v>33264</v>
      </c>
      <c r="J6181" s="117"/>
      <c r="K6181" s="120"/>
      <c r="L6181" s="121"/>
      <c r="M6181" s="120"/>
      <c r="N6181" s="121"/>
      <c r="O6181" s="120"/>
      <c r="P6181" s="121"/>
      <c r="Q6181" s="120"/>
      <c r="R6181" s="121"/>
      <c r="S6181" s="120"/>
      <c r="T6181" s="121"/>
      <c r="U6181" s="120"/>
      <c r="V6181" s="123"/>
      <c r="W6181" s="125"/>
      <c r="X6181" s="142" t="s">
        <v>18405</v>
      </c>
      <c r="Y6181" s="143"/>
      <c r="Z6181" s="143"/>
      <c r="AA6181" s="143"/>
      <c r="AB6181" s="144"/>
      <c r="AC6181" s="16" t="s">
        <v>21</v>
      </c>
      <c r="AD6181" s="17" t="s">
        <v>18390</v>
      </c>
      <c r="AE6181" s="145" t="s">
        <v>18406</v>
      </c>
      <c r="AF6181" s="146"/>
      <c r="AG6181" s="146"/>
      <c r="AH6181" s="146"/>
      <c r="AI6181" s="147"/>
      <c r="AJ6181" s="148"/>
      <c r="AK6181" s="143"/>
      <c r="AL6181" s="144"/>
      <c r="AM6181" s="22"/>
      <c r="AN6181" s="149" t="s">
        <v>20958</v>
      </c>
      <c r="AO6181" s="144"/>
      <c r="AP6181" s="148">
        <v>2025</v>
      </c>
      <c r="AQ6181" s="144"/>
      <c r="AR6181" s="120"/>
      <c r="AS6181" s="121"/>
      <c r="AT6181" s="120"/>
      <c r="AU6181" s="121"/>
      <c r="AV6181" s="120"/>
      <c r="AW6181" s="121"/>
      <c r="AX6181" s="120"/>
      <c r="AY6181" s="121"/>
      <c r="AZ6181" s="138"/>
    </row>
    <row r="6182" spans="1:52" ht="17.100000000000001" customHeight="1" thickTop="1">
      <c r="A6182" s="109" t="s">
        <v>17929</v>
      </c>
      <c r="B6182" s="28">
        <v>46067</v>
      </c>
      <c r="C6182" s="25">
        <v>1288</v>
      </c>
      <c r="D6182" s="13" t="s">
        <v>3381</v>
      </c>
      <c r="E6182" s="111"/>
      <c r="F6182" s="113" t="s">
        <v>16026</v>
      </c>
      <c r="G6182" s="114"/>
      <c r="H6182" s="115"/>
      <c r="I6182" s="24"/>
      <c r="J6182" s="116">
        <v>4</v>
      </c>
      <c r="K6182" s="118">
        <v>740000</v>
      </c>
      <c r="L6182" s="119"/>
      <c r="M6182" s="118">
        <f t="shared" ref="M6182" si="8295">K6182*0.1</f>
        <v>74000</v>
      </c>
      <c r="N6182" s="119"/>
      <c r="O6182" s="118">
        <v>0</v>
      </c>
      <c r="P6182" s="119"/>
      <c r="Q6182" s="118">
        <v>9790</v>
      </c>
      <c r="R6182" s="119"/>
      <c r="S6182" s="118">
        <v>12100</v>
      </c>
      <c r="T6182" s="119"/>
      <c r="U6182" s="118">
        <f t="shared" ref="U6182" si="8296">SUM(K6182:T6183)</f>
        <v>835890</v>
      </c>
      <c r="V6182" s="122"/>
      <c r="W6182" s="124"/>
      <c r="X6182" s="126" t="s">
        <v>18402</v>
      </c>
      <c r="Y6182" s="127"/>
      <c r="Z6182" s="127"/>
      <c r="AA6182" s="127"/>
      <c r="AB6182" s="128"/>
      <c r="AC6182" s="15" t="s">
        <v>20</v>
      </c>
      <c r="AD6182" s="129" t="s">
        <v>8092</v>
      </c>
      <c r="AE6182" s="130"/>
      <c r="AF6182" s="130"/>
      <c r="AG6182" s="130"/>
      <c r="AH6182" s="130"/>
      <c r="AI6182" s="131"/>
      <c r="AJ6182" s="132"/>
      <c r="AK6182" s="127"/>
      <c r="AL6182" s="128"/>
      <c r="AM6182" s="21"/>
      <c r="AN6182" s="133">
        <v>46116</v>
      </c>
      <c r="AO6182" s="134"/>
      <c r="AP6182" s="135">
        <v>1295</v>
      </c>
      <c r="AQ6182" s="136"/>
      <c r="AR6182" s="118">
        <v>760000</v>
      </c>
      <c r="AS6182" s="119"/>
      <c r="AT6182" s="118">
        <f t="shared" ref="AT6182" si="8297">AR6182*0.1</f>
        <v>76000</v>
      </c>
      <c r="AU6182" s="119"/>
      <c r="AV6182" s="118">
        <v>9790</v>
      </c>
      <c r="AW6182" s="119"/>
      <c r="AX6182" s="118">
        <f t="shared" ref="AX6182" si="8298">SUM(AR6182:AW6182)</f>
        <v>845790</v>
      </c>
      <c r="AY6182" s="119"/>
      <c r="AZ6182" s="137">
        <v>46119</v>
      </c>
    </row>
    <row r="6183" spans="1:52" ht="17.100000000000001" customHeight="1" thickBot="1">
      <c r="A6183" s="110"/>
      <c r="B6183" s="27" t="s">
        <v>2511</v>
      </c>
      <c r="C6183" s="27">
        <v>65462</v>
      </c>
      <c r="D6183" s="14" t="s">
        <v>275</v>
      </c>
      <c r="E6183" s="112"/>
      <c r="F6183" s="139" t="s">
        <v>17948</v>
      </c>
      <c r="G6183" s="140"/>
      <c r="H6183" s="141"/>
      <c r="I6183" s="26">
        <v>60460</v>
      </c>
      <c r="J6183" s="117"/>
      <c r="K6183" s="120"/>
      <c r="L6183" s="121"/>
      <c r="M6183" s="120"/>
      <c r="N6183" s="121"/>
      <c r="O6183" s="120"/>
      <c r="P6183" s="121"/>
      <c r="Q6183" s="120"/>
      <c r="R6183" s="121"/>
      <c r="S6183" s="120"/>
      <c r="T6183" s="121"/>
      <c r="U6183" s="120"/>
      <c r="V6183" s="123"/>
      <c r="W6183" s="125"/>
      <c r="X6183" s="142" t="s">
        <v>4628</v>
      </c>
      <c r="Y6183" s="143"/>
      <c r="Z6183" s="143"/>
      <c r="AA6183" s="143"/>
      <c r="AB6183" s="144"/>
      <c r="AC6183" s="16" t="s">
        <v>21</v>
      </c>
      <c r="AD6183" s="17" t="s">
        <v>18390</v>
      </c>
      <c r="AE6183" s="145" t="s">
        <v>6835</v>
      </c>
      <c r="AF6183" s="146"/>
      <c r="AG6183" s="146"/>
      <c r="AH6183" s="146"/>
      <c r="AI6183" s="147"/>
      <c r="AJ6183" s="148"/>
      <c r="AK6183" s="143"/>
      <c r="AL6183" s="144"/>
      <c r="AM6183" s="22"/>
      <c r="AN6183" s="149" t="s">
        <v>2511</v>
      </c>
      <c r="AO6183" s="144"/>
      <c r="AP6183" s="148">
        <v>60124</v>
      </c>
      <c r="AQ6183" s="144"/>
      <c r="AR6183" s="120"/>
      <c r="AS6183" s="121"/>
      <c r="AT6183" s="120"/>
      <c r="AU6183" s="121"/>
      <c r="AV6183" s="120"/>
      <c r="AW6183" s="121"/>
      <c r="AX6183" s="120"/>
      <c r="AY6183" s="121"/>
      <c r="AZ6183" s="138"/>
    </row>
    <row r="6184" spans="1:52" ht="17.100000000000001" customHeight="1" thickTop="1">
      <c r="A6184" s="109" t="s">
        <v>17930</v>
      </c>
      <c r="B6184" s="28">
        <v>46067</v>
      </c>
      <c r="C6184" s="25">
        <v>1288</v>
      </c>
      <c r="D6184" s="13" t="s">
        <v>1606</v>
      </c>
      <c r="E6184" s="111"/>
      <c r="F6184" s="113" t="s">
        <v>17949</v>
      </c>
      <c r="G6184" s="114"/>
      <c r="H6184" s="115"/>
      <c r="I6184" s="24"/>
      <c r="J6184" s="116">
        <v>4.5</v>
      </c>
      <c r="K6184" s="118">
        <v>490000</v>
      </c>
      <c r="L6184" s="119"/>
      <c r="M6184" s="118">
        <f t="shared" ref="M6184" si="8299">K6184*0.1</f>
        <v>49000</v>
      </c>
      <c r="N6184" s="119"/>
      <c r="O6184" s="118">
        <v>0</v>
      </c>
      <c r="P6184" s="119"/>
      <c r="Q6184" s="118">
        <v>8400</v>
      </c>
      <c r="R6184" s="119"/>
      <c r="S6184" s="118">
        <v>12100</v>
      </c>
      <c r="T6184" s="119"/>
      <c r="U6184" s="118">
        <f t="shared" ref="U6184" si="8300">SUM(K6184:T6185)</f>
        <v>559500</v>
      </c>
      <c r="V6184" s="122"/>
      <c r="W6184" s="124"/>
      <c r="X6184" s="126" t="s">
        <v>18243</v>
      </c>
      <c r="Y6184" s="127"/>
      <c r="Z6184" s="127"/>
      <c r="AA6184" s="127"/>
      <c r="AB6184" s="128"/>
      <c r="AC6184" s="15" t="s">
        <v>20</v>
      </c>
      <c r="AD6184" s="129" t="s">
        <v>16662</v>
      </c>
      <c r="AE6184" s="130"/>
      <c r="AF6184" s="130"/>
      <c r="AG6184" s="130"/>
      <c r="AH6184" s="130"/>
      <c r="AI6184" s="131"/>
      <c r="AJ6184" s="132"/>
      <c r="AK6184" s="127"/>
      <c r="AL6184" s="128"/>
      <c r="AM6184" s="21"/>
      <c r="AN6184" s="133">
        <v>46071</v>
      </c>
      <c r="AO6184" s="134"/>
      <c r="AP6184" s="135">
        <v>1005</v>
      </c>
      <c r="AQ6184" s="136"/>
      <c r="AR6184" s="118">
        <v>580000</v>
      </c>
      <c r="AS6184" s="119"/>
      <c r="AT6184" s="118">
        <f t="shared" ref="AT6184" si="8301">AR6184*0.1</f>
        <v>58000</v>
      </c>
      <c r="AU6184" s="119"/>
      <c r="AV6184" s="118">
        <v>8400</v>
      </c>
      <c r="AW6184" s="119"/>
      <c r="AX6184" s="118">
        <f t="shared" ref="AX6184" si="8302">SUM(AR6184:AW6184)</f>
        <v>646400</v>
      </c>
      <c r="AY6184" s="119"/>
      <c r="AZ6184" s="137">
        <v>46073</v>
      </c>
    </row>
    <row r="6185" spans="1:52" ht="17.100000000000001" customHeight="1" thickBot="1">
      <c r="A6185" s="110"/>
      <c r="B6185" s="27" t="s">
        <v>2511</v>
      </c>
      <c r="C6185" s="27">
        <v>65526</v>
      </c>
      <c r="D6185" s="14" t="s">
        <v>1748</v>
      </c>
      <c r="E6185" s="112"/>
      <c r="F6185" s="139" t="s">
        <v>17950</v>
      </c>
      <c r="G6185" s="140"/>
      <c r="H6185" s="141"/>
      <c r="I6185" s="26">
        <v>60120</v>
      </c>
      <c r="J6185" s="117"/>
      <c r="K6185" s="120"/>
      <c r="L6185" s="121"/>
      <c r="M6185" s="120"/>
      <c r="N6185" s="121"/>
      <c r="O6185" s="120"/>
      <c r="P6185" s="121"/>
      <c r="Q6185" s="120"/>
      <c r="R6185" s="121"/>
      <c r="S6185" s="120"/>
      <c r="T6185" s="121"/>
      <c r="U6185" s="120"/>
      <c r="V6185" s="123"/>
      <c r="W6185" s="125"/>
      <c r="X6185" s="142" t="s">
        <v>5258</v>
      </c>
      <c r="Y6185" s="143"/>
      <c r="Z6185" s="143"/>
      <c r="AA6185" s="143"/>
      <c r="AB6185" s="144"/>
      <c r="AC6185" s="16" t="s">
        <v>21</v>
      </c>
      <c r="AD6185" s="17" t="s">
        <v>3980</v>
      </c>
      <c r="AE6185" s="145" t="s">
        <v>18244</v>
      </c>
      <c r="AF6185" s="146"/>
      <c r="AG6185" s="146"/>
      <c r="AH6185" s="146"/>
      <c r="AI6185" s="147"/>
      <c r="AJ6185" s="148"/>
      <c r="AK6185" s="143"/>
      <c r="AL6185" s="144"/>
      <c r="AM6185" s="22"/>
      <c r="AN6185" s="149" t="s">
        <v>2794</v>
      </c>
      <c r="AO6185" s="144"/>
      <c r="AP6185" s="148">
        <v>2088</v>
      </c>
      <c r="AQ6185" s="144"/>
      <c r="AR6185" s="120"/>
      <c r="AS6185" s="121"/>
      <c r="AT6185" s="120"/>
      <c r="AU6185" s="121"/>
      <c r="AV6185" s="120"/>
      <c r="AW6185" s="121"/>
      <c r="AX6185" s="120"/>
      <c r="AY6185" s="121"/>
      <c r="AZ6185" s="138"/>
    </row>
    <row r="6186" spans="1:52" ht="17.100000000000001" customHeight="1" thickTop="1">
      <c r="A6186" s="109" t="s">
        <v>17931</v>
      </c>
      <c r="B6186" s="28">
        <v>46067</v>
      </c>
      <c r="C6186" s="25">
        <v>1288</v>
      </c>
      <c r="D6186" s="13" t="s">
        <v>2001</v>
      </c>
      <c r="E6186" s="111"/>
      <c r="F6186" s="113" t="s">
        <v>17966</v>
      </c>
      <c r="G6186" s="114"/>
      <c r="H6186" s="115"/>
      <c r="I6186" s="24"/>
      <c r="J6186" s="116">
        <v>4.5</v>
      </c>
      <c r="K6186" s="118">
        <v>2115000</v>
      </c>
      <c r="L6186" s="119"/>
      <c r="M6186" s="118">
        <f t="shared" ref="M6186" si="8303">K6186*0.1</f>
        <v>211500</v>
      </c>
      <c r="N6186" s="119"/>
      <c r="O6186" s="118">
        <v>0</v>
      </c>
      <c r="P6186" s="119"/>
      <c r="Q6186" s="118">
        <v>17600</v>
      </c>
      <c r="R6186" s="119"/>
      <c r="S6186" s="118">
        <v>16500</v>
      </c>
      <c r="T6186" s="119"/>
      <c r="U6186" s="118">
        <f t="shared" ref="U6186" si="8304">SUM(K6186:T6187)</f>
        <v>2360600</v>
      </c>
      <c r="V6186" s="122"/>
      <c r="W6186" s="124"/>
      <c r="X6186" s="126" t="s">
        <v>18391</v>
      </c>
      <c r="Y6186" s="127"/>
      <c r="Z6186" s="127"/>
      <c r="AA6186" s="127"/>
      <c r="AB6186" s="128"/>
      <c r="AC6186" s="15" t="s">
        <v>20</v>
      </c>
      <c r="AD6186" s="129" t="s">
        <v>3828</v>
      </c>
      <c r="AE6186" s="130"/>
      <c r="AF6186" s="130"/>
      <c r="AG6186" s="130"/>
      <c r="AH6186" s="130"/>
      <c r="AI6186" s="131"/>
      <c r="AJ6186" s="132"/>
      <c r="AK6186" s="127"/>
      <c r="AL6186" s="128"/>
      <c r="AM6186" s="21"/>
      <c r="AN6186" s="133">
        <v>46088</v>
      </c>
      <c r="AO6186" s="134"/>
      <c r="AP6186" s="135">
        <v>1291</v>
      </c>
      <c r="AQ6186" s="136"/>
      <c r="AR6186" s="118">
        <v>2295000</v>
      </c>
      <c r="AS6186" s="119"/>
      <c r="AT6186" s="118">
        <f t="shared" ref="AT6186" si="8305">AR6186*0.1</f>
        <v>229500</v>
      </c>
      <c r="AU6186" s="119"/>
      <c r="AV6186" s="118">
        <v>17600</v>
      </c>
      <c r="AW6186" s="119"/>
      <c r="AX6186" s="118">
        <f t="shared" ref="AX6186" si="8306">SUM(AR6186:AW6186)</f>
        <v>2542100</v>
      </c>
      <c r="AY6186" s="119"/>
      <c r="AZ6186" s="137">
        <v>46091</v>
      </c>
    </row>
    <row r="6187" spans="1:52" ht="17.100000000000001" customHeight="1" thickBot="1">
      <c r="A6187" s="110"/>
      <c r="B6187" s="27" t="s">
        <v>2511</v>
      </c>
      <c r="C6187" s="27">
        <v>72003</v>
      </c>
      <c r="D6187" s="14" t="s">
        <v>1680</v>
      </c>
      <c r="E6187" s="112"/>
      <c r="F6187" s="139" t="s">
        <v>17967</v>
      </c>
      <c r="G6187" s="140"/>
      <c r="H6187" s="141"/>
      <c r="I6187" s="26">
        <v>29023</v>
      </c>
      <c r="J6187" s="117"/>
      <c r="K6187" s="120"/>
      <c r="L6187" s="121"/>
      <c r="M6187" s="120"/>
      <c r="N6187" s="121"/>
      <c r="O6187" s="120"/>
      <c r="P6187" s="121"/>
      <c r="Q6187" s="120"/>
      <c r="R6187" s="121"/>
      <c r="S6187" s="120"/>
      <c r="T6187" s="121"/>
      <c r="U6187" s="120"/>
      <c r="V6187" s="123"/>
      <c r="W6187" s="125"/>
      <c r="X6187" s="142" t="s">
        <v>18392</v>
      </c>
      <c r="Y6187" s="143"/>
      <c r="Z6187" s="143"/>
      <c r="AA6187" s="143"/>
      <c r="AB6187" s="144"/>
      <c r="AC6187" s="16" t="s">
        <v>21</v>
      </c>
      <c r="AD6187" s="17" t="s">
        <v>18390</v>
      </c>
      <c r="AE6187" s="145" t="s">
        <v>1614</v>
      </c>
      <c r="AF6187" s="146"/>
      <c r="AG6187" s="146"/>
      <c r="AH6187" s="146"/>
      <c r="AI6187" s="147"/>
      <c r="AJ6187" s="148"/>
      <c r="AK6187" s="143"/>
      <c r="AL6187" s="144"/>
      <c r="AM6187" s="22"/>
      <c r="AN6187" s="149" t="s">
        <v>2511</v>
      </c>
      <c r="AO6187" s="144"/>
      <c r="AP6187" s="148">
        <v>80378</v>
      </c>
      <c r="AQ6187" s="144"/>
      <c r="AR6187" s="120"/>
      <c r="AS6187" s="121"/>
      <c r="AT6187" s="120"/>
      <c r="AU6187" s="121"/>
      <c r="AV6187" s="120"/>
      <c r="AW6187" s="121"/>
      <c r="AX6187" s="120"/>
      <c r="AY6187" s="121"/>
      <c r="AZ6187" s="138"/>
    </row>
    <row r="6188" spans="1:52" ht="17.100000000000001" customHeight="1" thickTop="1">
      <c r="A6188" s="109" t="s">
        <v>17932</v>
      </c>
      <c r="B6188" s="28">
        <v>46067</v>
      </c>
      <c r="C6188" s="25">
        <v>1288</v>
      </c>
      <c r="D6188" s="13" t="s">
        <v>1549</v>
      </c>
      <c r="E6188" s="111"/>
      <c r="F6188" s="113" t="s">
        <v>421</v>
      </c>
      <c r="G6188" s="114"/>
      <c r="H6188" s="115"/>
      <c r="I6188" s="24" t="s">
        <v>17969</v>
      </c>
      <c r="J6188" s="116">
        <v>4</v>
      </c>
      <c r="K6188" s="118">
        <v>400000</v>
      </c>
      <c r="L6188" s="119"/>
      <c r="M6188" s="118">
        <f t="shared" ref="M6188" si="8307">K6188*0.1</f>
        <v>40000</v>
      </c>
      <c r="N6188" s="119"/>
      <c r="O6188" s="118">
        <v>3520</v>
      </c>
      <c r="P6188" s="119"/>
      <c r="Q6188" s="118">
        <v>17700</v>
      </c>
      <c r="R6188" s="119"/>
      <c r="S6188" s="118">
        <v>23100</v>
      </c>
      <c r="T6188" s="119"/>
      <c r="U6188" s="118">
        <f t="shared" ref="U6188" si="8308">SUM(K6188:T6189)</f>
        <v>484320</v>
      </c>
      <c r="V6188" s="122"/>
      <c r="W6188" s="124"/>
      <c r="X6188" s="126" t="s">
        <v>17970</v>
      </c>
      <c r="Y6188" s="127"/>
      <c r="Z6188" s="127"/>
      <c r="AA6188" s="127"/>
      <c r="AB6188" s="128"/>
      <c r="AC6188" s="15" t="s">
        <v>20</v>
      </c>
      <c r="AD6188" s="129" t="s">
        <v>1670</v>
      </c>
      <c r="AE6188" s="130"/>
      <c r="AF6188" s="130"/>
      <c r="AG6188" s="130"/>
      <c r="AH6188" s="130"/>
      <c r="AI6188" s="131"/>
      <c r="AJ6188" s="132"/>
      <c r="AK6188" s="127"/>
      <c r="AL6188" s="128"/>
      <c r="AM6188" s="21"/>
      <c r="AN6188" s="133">
        <v>46109</v>
      </c>
      <c r="AO6188" s="134"/>
      <c r="AP6188" s="135">
        <v>1294</v>
      </c>
      <c r="AQ6188" s="136"/>
      <c r="AR6188" s="118">
        <v>490000</v>
      </c>
      <c r="AS6188" s="119"/>
      <c r="AT6188" s="118">
        <f t="shared" ref="AT6188" si="8309">AR6188*0.1</f>
        <v>49000</v>
      </c>
      <c r="AU6188" s="119"/>
      <c r="AV6188" s="118">
        <v>17700</v>
      </c>
      <c r="AW6188" s="119"/>
      <c r="AX6188" s="118">
        <f t="shared" ref="AX6188" si="8310">SUM(AR6188:AW6188)</f>
        <v>556700</v>
      </c>
      <c r="AY6188" s="119"/>
      <c r="AZ6188" s="137">
        <v>46118</v>
      </c>
    </row>
    <row r="6189" spans="1:52" ht="17.100000000000001" customHeight="1" thickBot="1">
      <c r="A6189" s="110"/>
      <c r="B6189" s="27" t="s">
        <v>2511</v>
      </c>
      <c r="C6189" s="27">
        <v>82401</v>
      </c>
      <c r="D6189" s="14" t="s">
        <v>904</v>
      </c>
      <c r="E6189" s="112"/>
      <c r="F6189" s="139" t="s">
        <v>17968</v>
      </c>
      <c r="G6189" s="140"/>
      <c r="H6189" s="141"/>
      <c r="I6189" s="26">
        <v>47499</v>
      </c>
      <c r="J6189" s="117"/>
      <c r="K6189" s="120"/>
      <c r="L6189" s="121"/>
      <c r="M6189" s="120"/>
      <c r="N6189" s="121"/>
      <c r="O6189" s="120"/>
      <c r="P6189" s="121"/>
      <c r="Q6189" s="120"/>
      <c r="R6189" s="121"/>
      <c r="S6189" s="120"/>
      <c r="T6189" s="121"/>
      <c r="U6189" s="120"/>
      <c r="V6189" s="123"/>
      <c r="W6189" s="125"/>
      <c r="X6189" s="142" t="s">
        <v>18393</v>
      </c>
      <c r="Y6189" s="143"/>
      <c r="Z6189" s="143"/>
      <c r="AA6189" s="143"/>
      <c r="AB6189" s="144"/>
      <c r="AC6189" s="16" t="s">
        <v>21</v>
      </c>
      <c r="AD6189" s="17" t="s">
        <v>18390</v>
      </c>
      <c r="AE6189" s="145" t="s">
        <v>171</v>
      </c>
      <c r="AF6189" s="146"/>
      <c r="AG6189" s="146"/>
      <c r="AH6189" s="146"/>
      <c r="AI6189" s="147"/>
      <c r="AJ6189" s="148"/>
      <c r="AK6189" s="143"/>
      <c r="AL6189" s="144"/>
      <c r="AM6189" s="22"/>
      <c r="AN6189" s="149" t="s">
        <v>6748</v>
      </c>
      <c r="AO6189" s="144"/>
      <c r="AP6189" s="148">
        <v>80259</v>
      </c>
      <c r="AQ6189" s="144"/>
      <c r="AR6189" s="120"/>
      <c r="AS6189" s="121"/>
      <c r="AT6189" s="120"/>
      <c r="AU6189" s="121"/>
      <c r="AV6189" s="120"/>
      <c r="AW6189" s="121"/>
      <c r="AX6189" s="120"/>
      <c r="AY6189" s="121"/>
      <c r="AZ6189" s="138"/>
    </row>
    <row r="6190" spans="1:52" ht="17.100000000000001" customHeight="1" thickTop="1">
      <c r="A6190" s="109" t="s">
        <v>17933</v>
      </c>
      <c r="B6190" s="28">
        <v>46067</v>
      </c>
      <c r="C6190" s="25">
        <v>1288</v>
      </c>
      <c r="D6190" s="13" t="s">
        <v>2100</v>
      </c>
      <c r="E6190" s="111"/>
      <c r="F6190" s="113" t="s">
        <v>17169</v>
      </c>
      <c r="G6190" s="114"/>
      <c r="H6190" s="115"/>
      <c r="I6190" s="24" t="s">
        <v>5028</v>
      </c>
      <c r="J6190" s="116">
        <v>4.5</v>
      </c>
      <c r="K6190" s="118">
        <v>1450000</v>
      </c>
      <c r="L6190" s="119"/>
      <c r="M6190" s="118">
        <f t="shared" ref="M6190" si="8311">K6190*0.1</f>
        <v>145000</v>
      </c>
      <c r="N6190" s="119"/>
      <c r="O6190" s="118">
        <v>3520</v>
      </c>
      <c r="P6190" s="119"/>
      <c r="Q6190" s="118">
        <v>17800</v>
      </c>
      <c r="R6190" s="119"/>
      <c r="S6190" s="118">
        <v>23100</v>
      </c>
      <c r="T6190" s="119"/>
      <c r="U6190" s="118">
        <f t="shared" ref="U6190" si="8312">SUM(K6190:T6191)</f>
        <v>1639420</v>
      </c>
      <c r="V6190" s="122"/>
      <c r="W6190" s="124"/>
      <c r="X6190" s="126" t="s">
        <v>17972</v>
      </c>
      <c r="Y6190" s="127"/>
      <c r="Z6190" s="127"/>
      <c r="AA6190" s="127"/>
      <c r="AB6190" s="128"/>
      <c r="AC6190" s="15" t="s">
        <v>20</v>
      </c>
      <c r="AD6190" s="129" t="s">
        <v>2781</v>
      </c>
      <c r="AE6190" s="130"/>
      <c r="AF6190" s="130"/>
      <c r="AG6190" s="130"/>
      <c r="AH6190" s="130"/>
      <c r="AI6190" s="131"/>
      <c r="AJ6190" s="132"/>
      <c r="AK6190" s="127"/>
      <c r="AL6190" s="128"/>
      <c r="AM6190" s="21"/>
      <c r="AN6190" s="133">
        <v>46074</v>
      </c>
      <c r="AO6190" s="134"/>
      <c r="AP6190" s="135">
        <v>1289</v>
      </c>
      <c r="AQ6190" s="136"/>
      <c r="AR6190" s="118">
        <v>1600000</v>
      </c>
      <c r="AS6190" s="119"/>
      <c r="AT6190" s="118">
        <f t="shared" ref="AT6190" si="8313">AR6190*0.1</f>
        <v>160000</v>
      </c>
      <c r="AU6190" s="119"/>
      <c r="AV6190" s="118">
        <v>17800</v>
      </c>
      <c r="AW6190" s="119"/>
      <c r="AX6190" s="118">
        <f t="shared" ref="AX6190" si="8314">SUM(AR6190:AW6190)</f>
        <v>1777800</v>
      </c>
      <c r="AY6190" s="119"/>
      <c r="AZ6190" s="137">
        <v>46077</v>
      </c>
    </row>
    <row r="6191" spans="1:52" ht="17.100000000000001" customHeight="1" thickBot="1">
      <c r="A6191" s="110"/>
      <c r="B6191" s="27" t="s">
        <v>2511</v>
      </c>
      <c r="C6191" s="27">
        <v>82455</v>
      </c>
      <c r="D6191" s="14" t="s">
        <v>16869</v>
      </c>
      <c r="E6191" s="112"/>
      <c r="F6191" s="139" t="s">
        <v>17971</v>
      </c>
      <c r="G6191" s="140"/>
      <c r="H6191" s="141"/>
      <c r="I6191" s="26">
        <v>49700</v>
      </c>
      <c r="J6191" s="117"/>
      <c r="K6191" s="120"/>
      <c r="L6191" s="121"/>
      <c r="M6191" s="120"/>
      <c r="N6191" s="121"/>
      <c r="O6191" s="120"/>
      <c r="P6191" s="121"/>
      <c r="Q6191" s="120"/>
      <c r="R6191" s="121"/>
      <c r="S6191" s="120"/>
      <c r="T6191" s="121"/>
      <c r="U6191" s="120"/>
      <c r="V6191" s="123"/>
      <c r="W6191" s="125"/>
      <c r="X6191" s="142" t="s">
        <v>2918</v>
      </c>
      <c r="Y6191" s="143"/>
      <c r="Z6191" s="143"/>
      <c r="AA6191" s="143"/>
      <c r="AB6191" s="144"/>
      <c r="AC6191" s="16" t="s">
        <v>21</v>
      </c>
      <c r="AD6191" s="17" t="s">
        <v>18390</v>
      </c>
      <c r="AE6191" s="145" t="s">
        <v>1742</v>
      </c>
      <c r="AF6191" s="146"/>
      <c r="AG6191" s="146"/>
      <c r="AH6191" s="146"/>
      <c r="AI6191" s="147"/>
      <c r="AJ6191" s="148"/>
      <c r="AK6191" s="143"/>
      <c r="AL6191" s="144"/>
      <c r="AM6191" s="22"/>
      <c r="AN6191" s="149" t="s">
        <v>2511</v>
      </c>
      <c r="AO6191" s="144"/>
      <c r="AP6191" s="148">
        <v>80022</v>
      </c>
      <c r="AQ6191" s="144"/>
      <c r="AR6191" s="120"/>
      <c r="AS6191" s="121"/>
      <c r="AT6191" s="120"/>
      <c r="AU6191" s="121"/>
      <c r="AV6191" s="120"/>
      <c r="AW6191" s="121"/>
      <c r="AX6191" s="120"/>
      <c r="AY6191" s="121"/>
      <c r="AZ6191" s="138"/>
    </row>
    <row r="6192" spans="1:52" ht="17.100000000000001" customHeight="1" thickTop="1">
      <c r="A6192" s="109" t="s">
        <v>17934</v>
      </c>
      <c r="B6192" s="28">
        <v>46067</v>
      </c>
      <c r="C6192" s="25">
        <v>1288</v>
      </c>
      <c r="D6192" s="13" t="s">
        <v>2654</v>
      </c>
      <c r="E6192" s="111"/>
      <c r="F6192" s="113" t="s">
        <v>16059</v>
      </c>
      <c r="G6192" s="114"/>
      <c r="H6192" s="115"/>
      <c r="I6192" s="24" t="s">
        <v>14837</v>
      </c>
      <c r="J6192" s="116">
        <v>4.5</v>
      </c>
      <c r="K6192" s="118">
        <v>1625000</v>
      </c>
      <c r="L6192" s="119"/>
      <c r="M6192" s="118">
        <f t="shared" ref="M6192" si="8315">K6192*0.1</f>
        <v>162500</v>
      </c>
      <c r="N6192" s="119"/>
      <c r="O6192" s="118">
        <v>3300</v>
      </c>
      <c r="P6192" s="119"/>
      <c r="Q6192" s="118">
        <v>16240</v>
      </c>
      <c r="R6192" s="119"/>
      <c r="S6192" s="118">
        <v>16500</v>
      </c>
      <c r="T6192" s="119"/>
      <c r="U6192" s="118">
        <f t="shared" ref="U6192" si="8316">SUM(K6192:T6193)</f>
        <v>1823540</v>
      </c>
      <c r="V6192" s="122"/>
      <c r="W6192" s="124"/>
      <c r="X6192" s="126" t="s">
        <v>17974</v>
      </c>
      <c r="Y6192" s="127"/>
      <c r="Z6192" s="127"/>
      <c r="AA6192" s="127"/>
      <c r="AB6192" s="128"/>
      <c r="AC6192" s="15" t="s">
        <v>20</v>
      </c>
      <c r="AD6192" s="129"/>
      <c r="AE6192" s="130"/>
      <c r="AF6192" s="130"/>
      <c r="AG6192" s="130"/>
      <c r="AH6192" s="130"/>
      <c r="AI6192" s="131"/>
      <c r="AJ6192" s="132"/>
      <c r="AK6192" s="127"/>
      <c r="AL6192" s="128"/>
      <c r="AM6192" s="21"/>
      <c r="AN6192" s="133">
        <v>46086</v>
      </c>
      <c r="AO6192" s="134"/>
      <c r="AP6192" s="135">
        <v>1321</v>
      </c>
      <c r="AQ6192" s="136"/>
      <c r="AR6192" s="118">
        <v>1980000</v>
      </c>
      <c r="AS6192" s="119"/>
      <c r="AT6192" s="118">
        <f t="shared" ref="AT6192" si="8317">AR6192*0.1</f>
        <v>198000</v>
      </c>
      <c r="AU6192" s="119"/>
      <c r="AV6192" s="118">
        <v>16240</v>
      </c>
      <c r="AW6192" s="119"/>
      <c r="AX6192" s="118">
        <f t="shared" ref="AX6192" si="8318">SUM(AR6192:AW6192)</f>
        <v>2194240</v>
      </c>
      <c r="AY6192" s="119"/>
      <c r="AZ6192" s="137">
        <v>46087</v>
      </c>
    </row>
    <row r="6193" spans="1:52" ht="17.100000000000001" customHeight="1" thickBot="1">
      <c r="A6193" s="110"/>
      <c r="B6193" s="27" t="s">
        <v>2511</v>
      </c>
      <c r="C6193" s="27">
        <v>82551</v>
      </c>
      <c r="D6193" s="14" t="s">
        <v>275</v>
      </c>
      <c r="E6193" s="112"/>
      <c r="F6193" s="139" t="s">
        <v>17973</v>
      </c>
      <c r="G6193" s="140"/>
      <c r="H6193" s="141"/>
      <c r="I6193" s="26">
        <v>58230</v>
      </c>
      <c r="J6193" s="117"/>
      <c r="K6193" s="120"/>
      <c r="L6193" s="121"/>
      <c r="M6193" s="120"/>
      <c r="N6193" s="121"/>
      <c r="O6193" s="120"/>
      <c r="P6193" s="121"/>
      <c r="Q6193" s="120"/>
      <c r="R6193" s="121"/>
      <c r="S6193" s="120"/>
      <c r="T6193" s="121"/>
      <c r="U6193" s="120"/>
      <c r="V6193" s="123"/>
      <c r="W6193" s="125"/>
      <c r="X6193" s="142" t="s">
        <v>1594</v>
      </c>
      <c r="Y6193" s="143"/>
      <c r="Z6193" s="143"/>
      <c r="AA6193" s="143"/>
      <c r="AB6193" s="144"/>
      <c r="AC6193" s="16" t="s">
        <v>21</v>
      </c>
      <c r="AD6193" s="17" t="s">
        <v>18390</v>
      </c>
      <c r="AE6193" s="145" t="s">
        <v>1670</v>
      </c>
      <c r="AF6193" s="146"/>
      <c r="AG6193" s="146"/>
      <c r="AH6193" s="146"/>
      <c r="AI6193" s="147"/>
      <c r="AJ6193" s="148"/>
      <c r="AK6193" s="143"/>
      <c r="AL6193" s="144"/>
      <c r="AM6193" s="22"/>
      <c r="AN6193" s="149" t="s">
        <v>19388</v>
      </c>
      <c r="AO6193" s="144"/>
      <c r="AP6193" s="148">
        <v>14</v>
      </c>
      <c r="AQ6193" s="144"/>
      <c r="AR6193" s="120"/>
      <c r="AS6193" s="121"/>
      <c r="AT6193" s="120"/>
      <c r="AU6193" s="121"/>
      <c r="AV6193" s="120"/>
      <c r="AW6193" s="121"/>
      <c r="AX6193" s="120"/>
      <c r="AY6193" s="121"/>
      <c r="AZ6193" s="138"/>
    </row>
    <row r="6194" spans="1:52" ht="17.100000000000001" customHeight="1" thickTop="1">
      <c r="A6194" s="109" t="s">
        <v>18099</v>
      </c>
      <c r="B6194" s="28">
        <v>46069</v>
      </c>
      <c r="C6194" s="25">
        <v>2081</v>
      </c>
      <c r="D6194" s="13" t="s">
        <v>2616</v>
      </c>
      <c r="E6194" s="111"/>
      <c r="F6194" s="113" t="s">
        <v>18012</v>
      </c>
      <c r="G6194" s="114"/>
      <c r="H6194" s="115"/>
      <c r="I6194" s="24" t="s">
        <v>1547</v>
      </c>
      <c r="J6194" s="116">
        <v>4.5</v>
      </c>
      <c r="K6194" s="118">
        <v>1605000</v>
      </c>
      <c r="L6194" s="119"/>
      <c r="M6194" s="118">
        <f t="shared" ref="M6194" si="8319">K6194*0.1</f>
        <v>160500</v>
      </c>
      <c r="N6194" s="119"/>
      <c r="O6194" s="118">
        <f>2500+250</f>
        <v>2750</v>
      </c>
      <c r="P6194" s="119"/>
      <c r="Q6194" s="118">
        <v>15160</v>
      </c>
      <c r="R6194" s="119"/>
      <c r="S6194" s="118">
        <v>11000</v>
      </c>
      <c r="T6194" s="119"/>
      <c r="U6194" s="118">
        <f t="shared" ref="U6194" si="8320">SUM(K6194:T6195)</f>
        <v>1794410</v>
      </c>
      <c r="V6194" s="122"/>
      <c r="W6194" s="124"/>
      <c r="X6194" s="126" t="s">
        <v>18014</v>
      </c>
      <c r="Y6194" s="127"/>
      <c r="Z6194" s="127"/>
      <c r="AA6194" s="127"/>
      <c r="AB6194" s="128"/>
      <c r="AC6194" s="15" t="s">
        <v>20</v>
      </c>
      <c r="AD6194" s="129" t="s">
        <v>9272</v>
      </c>
      <c r="AE6194" s="130"/>
      <c r="AF6194" s="130"/>
      <c r="AG6194" s="130"/>
      <c r="AH6194" s="130"/>
      <c r="AI6194" s="131"/>
      <c r="AJ6194" s="132"/>
      <c r="AK6194" s="127"/>
      <c r="AL6194" s="128"/>
      <c r="AM6194" s="21"/>
      <c r="AN6194" s="133">
        <v>46074</v>
      </c>
      <c r="AO6194" s="134"/>
      <c r="AP6194" s="135">
        <v>1289</v>
      </c>
      <c r="AQ6194" s="136"/>
      <c r="AR6194" s="118">
        <v>1695000</v>
      </c>
      <c r="AS6194" s="119"/>
      <c r="AT6194" s="118">
        <f t="shared" ref="AT6194" si="8321">AR6194*0.1</f>
        <v>169500</v>
      </c>
      <c r="AU6194" s="119"/>
      <c r="AV6194" s="118">
        <v>15160</v>
      </c>
      <c r="AW6194" s="119"/>
      <c r="AX6194" s="118">
        <f t="shared" ref="AX6194" si="8322">SUM(AR6194:AW6194)</f>
        <v>1879660</v>
      </c>
      <c r="AY6194" s="119"/>
      <c r="AZ6194" s="137">
        <v>46077</v>
      </c>
    </row>
    <row r="6195" spans="1:52" ht="17.100000000000001" customHeight="1" thickBot="1">
      <c r="A6195" s="110"/>
      <c r="B6195" s="27" t="s">
        <v>83</v>
      </c>
      <c r="C6195" s="27">
        <v>36005</v>
      </c>
      <c r="D6195" s="14" t="s">
        <v>2601</v>
      </c>
      <c r="E6195" s="112"/>
      <c r="F6195" s="139" t="s">
        <v>18013</v>
      </c>
      <c r="G6195" s="140"/>
      <c r="H6195" s="141"/>
      <c r="I6195" s="26">
        <v>51578</v>
      </c>
      <c r="J6195" s="117"/>
      <c r="K6195" s="120"/>
      <c r="L6195" s="121"/>
      <c r="M6195" s="120"/>
      <c r="N6195" s="121"/>
      <c r="O6195" s="120"/>
      <c r="P6195" s="121"/>
      <c r="Q6195" s="120"/>
      <c r="R6195" s="121"/>
      <c r="S6195" s="120"/>
      <c r="T6195" s="121"/>
      <c r="U6195" s="120"/>
      <c r="V6195" s="123"/>
      <c r="W6195" s="125"/>
      <c r="X6195" s="142" t="s">
        <v>13320</v>
      </c>
      <c r="Y6195" s="143"/>
      <c r="Z6195" s="143"/>
      <c r="AA6195" s="143"/>
      <c r="AB6195" s="144"/>
      <c r="AC6195" s="16" t="s">
        <v>21</v>
      </c>
      <c r="AD6195" s="17" t="s">
        <v>18232</v>
      </c>
      <c r="AE6195" s="145" t="s">
        <v>18237</v>
      </c>
      <c r="AF6195" s="146"/>
      <c r="AG6195" s="146"/>
      <c r="AH6195" s="146"/>
      <c r="AI6195" s="147"/>
      <c r="AJ6195" s="148"/>
      <c r="AK6195" s="143"/>
      <c r="AL6195" s="144"/>
      <c r="AM6195" s="22"/>
      <c r="AN6195" s="149" t="s">
        <v>2511</v>
      </c>
      <c r="AO6195" s="144"/>
      <c r="AP6195" s="148">
        <v>80099</v>
      </c>
      <c r="AQ6195" s="144"/>
      <c r="AR6195" s="120"/>
      <c r="AS6195" s="121"/>
      <c r="AT6195" s="120"/>
      <c r="AU6195" s="121"/>
      <c r="AV6195" s="120"/>
      <c r="AW6195" s="121"/>
      <c r="AX6195" s="120"/>
      <c r="AY6195" s="121"/>
      <c r="AZ6195" s="138"/>
    </row>
    <row r="6196" spans="1:52" ht="17.100000000000001" customHeight="1" thickTop="1">
      <c r="A6196" s="109" t="s">
        <v>18100</v>
      </c>
      <c r="B6196" s="28">
        <v>46069</v>
      </c>
      <c r="C6196" s="25"/>
      <c r="D6196" s="13" t="s">
        <v>2814</v>
      </c>
      <c r="E6196" s="111"/>
      <c r="F6196" s="113" t="s">
        <v>18015</v>
      </c>
      <c r="G6196" s="114"/>
      <c r="H6196" s="115"/>
      <c r="I6196" s="24" t="s">
        <v>3931</v>
      </c>
      <c r="J6196" s="116">
        <v>4</v>
      </c>
      <c r="K6196" s="118">
        <v>1141000</v>
      </c>
      <c r="L6196" s="119"/>
      <c r="M6196" s="118">
        <f t="shared" ref="M6196" si="8323">K6196*0.1</f>
        <v>114100</v>
      </c>
      <c r="N6196" s="119"/>
      <c r="O6196" s="118">
        <f>3200+320</f>
        <v>3520</v>
      </c>
      <c r="P6196" s="119"/>
      <c r="Q6196" s="118">
        <v>20950</v>
      </c>
      <c r="R6196" s="119"/>
      <c r="S6196" s="118">
        <v>14850</v>
      </c>
      <c r="T6196" s="119"/>
      <c r="U6196" s="118">
        <f t="shared" ref="U6196" si="8324">SUM(K6196:T6197)</f>
        <v>1294420</v>
      </c>
      <c r="V6196" s="122"/>
      <c r="W6196" s="124"/>
      <c r="X6196" s="126" t="s">
        <v>18017</v>
      </c>
      <c r="Y6196" s="127"/>
      <c r="Z6196" s="127"/>
      <c r="AA6196" s="127"/>
      <c r="AB6196" s="128"/>
      <c r="AC6196" s="15" t="s">
        <v>20</v>
      </c>
      <c r="AD6196" s="129" t="s">
        <v>1670</v>
      </c>
      <c r="AE6196" s="130"/>
      <c r="AF6196" s="130"/>
      <c r="AG6196" s="130"/>
      <c r="AH6196" s="130"/>
      <c r="AI6196" s="131"/>
      <c r="AJ6196" s="132"/>
      <c r="AK6196" s="127"/>
      <c r="AL6196" s="128"/>
      <c r="AM6196" s="21" t="s">
        <v>19859</v>
      </c>
      <c r="AN6196" s="133">
        <v>46116</v>
      </c>
      <c r="AO6196" s="134"/>
      <c r="AP6196" s="135">
        <v>1295</v>
      </c>
      <c r="AQ6196" s="136"/>
      <c r="AR6196" s="118">
        <v>1260000</v>
      </c>
      <c r="AS6196" s="119"/>
      <c r="AT6196" s="118">
        <f t="shared" ref="AT6196" si="8325">AR6196*0.1</f>
        <v>126000</v>
      </c>
      <c r="AU6196" s="119"/>
      <c r="AV6196" s="118">
        <v>20950</v>
      </c>
      <c r="AW6196" s="119"/>
      <c r="AX6196" s="118">
        <f t="shared" ref="AX6196" si="8326">SUM(AR6196:AW6196)</f>
        <v>1406950</v>
      </c>
      <c r="AY6196" s="119"/>
      <c r="AZ6196" s="137">
        <v>46119</v>
      </c>
    </row>
    <row r="6197" spans="1:52" ht="17.100000000000001" customHeight="1" thickBot="1">
      <c r="A6197" s="110"/>
      <c r="B6197" s="27" t="s">
        <v>9959</v>
      </c>
      <c r="C6197" s="27">
        <v>10018</v>
      </c>
      <c r="D6197" s="14" t="s">
        <v>1812</v>
      </c>
      <c r="E6197" s="112"/>
      <c r="F6197" s="139" t="s">
        <v>18016</v>
      </c>
      <c r="G6197" s="140"/>
      <c r="H6197" s="141"/>
      <c r="I6197" s="26">
        <v>45664</v>
      </c>
      <c r="J6197" s="117"/>
      <c r="K6197" s="120"/>
      <c r="L6197" s="121"/>
      <c r="M6197" s="120"/>
      <c r="N6197" s="121"/>
      <c r="O6197" s="120"/>
      <c r="P6197" s="121"/>
      <c r="Q6197" s="120"/>
      <c r="R6197" s="121"/>
      <c r="S6197" s="120"/>
      <c r="T6197" s="121"/>
      <c r="U6197" s="120"/>
      <c r="V6197" s="123"/>
      <c r="W6197" s="125"/>
      <c r="X6197" s="142" t="s">
        <v>4101</v>
      </c>
      <c r="Y6197" s="143"/>
      <c r="Z6197" s="143"/>
      <c r="AA6197" s="143"/>
      <c r="AB6197" s="144"/>
      <c r="AC6197" s="16" t="s">
        <v>21</v>
      </c>
      <c r="AD6197" s="17" t="s">
        <v>18305</v>
      </c>
      <c r="AE6197" s="145" t="s">
        <v>5275</v>
      </c>
      <c r="AF6197" s="146"/>
      <c r="AG6197" s="146"/>
      <c r="AH6197" s="146"/>
      <c r="AI6197" s="147"/>
      <c r="AJ6197" s="148"/>
      <c r="AK6197" s="143"/>
      <c r="AL6197" s="144"/>
      <c r="AM6197" s="22"/>
      <c r="AN6197" s="149" t="s">
        <v>2511</v>
      </c>
      <c r="AO6197" s="144"/>
      <c r="AP6197" s="148">
        <v>80098</v>
      </c>
      <c r="AQ6197" s="144"/>
      <c r="AR6197" s="120"/>
      <c r="AS6197" s="121"/>
      <c r="AT6197" s="120"/>
      <c r="AU6197" s="121"/>
      <c r="AV6197" s="120"/>
      <c r="AW6197" s="121"/>
      <c r="AX6197" s="120"/>
      <c r="AY6197" s="121"/>
      <c r="AZ6197" s="138"/>
    </row>
    <row r="6198" spans="1:52" ht="17.100000000000001" customHeight="1" thickTop="1">
      <c r="A6198" s="109" t="s">
        <v>18101</v>
      </c>
      <c r="B6198" s="28">
        <v>46069</v>
      </c>
      <c r="C6198" s="25"/>
      <c r="D6198" s="13" t="s">
        <v>1853</v>
      </c>
      <c r="E6198" s="111"/>
      <c r="F6198" s="113" t="s">
        <v>18018</v>
      </c>
      <c r="G6198" s="114"/>
      <c r="H6198" s="115"/>
      <c r="I6198" s="24"/>
      <c r="J6198" s="116">
        <v>5</v>
      </c>
      <c r="K6198" s="118">
        <v>1577000</v>
      </c>
      <c r="L6198" s="119"/>
      <c r="M6198" s="118">
        <f t="shared" ref="M6198" si="8327">K6198*0.1</f>
        <v>157700</v>
      </c>
      <c r="N6198" s="119"/>
      <c r="O6198" s="118">
        <v>0</v>
      </c>
      <c r="P6198" s="119"/>
      <c r="Q6198" s="118">
        <v>15250</v>
      </c>
      <c r="R6198" s="119"/>
      <c r="S6198" s="118">
        <v>14850</v>
      </c>
      <c r="T6198" s="119"/>
      <c r="U6198" s="118">
        <f t="shared" ref="U6198" si="8328">SUM(K6198:T6199)</f>
        <v>1764800</v>
      </c>
      <c r="V6198" s="122"/>
      <c r="W6198" s="124"/>
      <c r="X6198" s="126" t="s">
        <v>18316</v>
      </c>
      <c r="Y6198" s="127"/>
      <c r="Z6198" s="127"/>
      <c r="AA6198" s="127"/>
      <c r="AB6198" s="128"/>
      <c r="AC6198" s="15" t="s">
        <v>20</v>
      </c>
      <c r="AD6198" s="129" t="s">
        <v>1670</v>
      </c>
      <c r="AE6198" s="130"/>
      <c r="AF6198" s="130"/>
      <c r="AG6198" s="130"/>
      <c r="AH6198" s="130"/>
      <c r="AI6198" s="131"/>
      <c r="AJ6198" s="132"/>
      <c r="AK6198" s="127"/>
      <c r="AL6198" s="128"/>
      <c r="AM6198" s="21"/>
      <c r="AN6198" s="133">
        <v>46088</v>
      </c>
      <c r="AO6198" s="134"/>
      <c r="AP6198" s="135">
        <v>1291</v>
      </c>
      <c r="AQ6198" s="136"/>
      <c r="AR6198" s="118">
        <v>1615000</v>
      </c>
      <c r="AS6198" s="119"/>
      <c r="AT6198" s="118">
        <f t="shared" ref="AT6198" si="8329">AR6198*0.1</f>
        <v>161500</v>
      </c>
      <c r="AU6198" s="119"/>
      <c r="AV6198" s="118">
        <v>15250</v>
      </c>
      <c r="AW6198" s="119"/>
      <c r="AX6198" s="118">
        <f t="shared" ref="AX6198" si="8330">SUM(AR6198:AW6198)</f>
        <v>1791750</v>
      </c>
      <c r="AY6198" s="119"/>
      <c r="AZ6198" s="137">
        <v>46091</v>
      </c>
    </row>
    <row r="6199" spans="1:52" ht="17.100000000000001" customHeight="1" thickBot="1">
      <c r="A6199" s="110"/>
      <c r="B6199" s="27" t="s">
        <v>9959</v>
      </c>
      <c r="C6199" s="27">
        <v>10019</v>
      </c>
      <c r="D6199" s="14" t="s">
        <v>904</v>
      </c>
      <c r="E6199" s="112"/>
      <c r="F6199" s="139" t="s">
        <v>18019</v>
      </c>
      <c r="G6199" s="140"/>
      <c r="H6199" s="141"/>
      <c r="I6199" s="26">
        <v>21187</v>
      </c>
      <c r="J6199" s="117"/>
      <c r="K6199" s="120"/>
      <c r="L6199" s="121"/>
      <c r="M6199" s="120"/>
      <c r="N6199" s="121"/>
      <c r="O6199" s="120"/>
      <c r="P6199" s="121"/>
      <c r="Q6199" s="120"/>
      <c r="R6199" s="121"/>
      <c r="S6199" s="120"/>
      <c r="T6199" s="121"/>
      <c r="U6199" s="120"/>
      <c r="V6199" s="123"/>
      <c r="W6199" s="125"/>
      <c r="X6199" s="142" t="s">
        <v>4101</v>
      </c>
      <c r="Y6199" s="143"/>
      <c r="Z6199" s="143"/>
      <c r="AA6199" s="143"/>
      <c r="AB6199" s="144"/>
      <c r="AC6199" s="16" t="s">
        <v>21</v>
      </c>
      <c r="AD6199" s="17" t="s">
        <v>18305</v>
      </c>
      <c r="AE6199" s="145" t="s">
        <v>5275</v>
      </c>
      <c r="AF6199" s="146"/>
      <c r="AG6199" s="146"/>
      <c r="AH6199" s="146"/>
      <c r="AI6199" s="147"/>
      <c r="AJ6199" s="148"/>
      <c r="AK6199" s="143"/>
      <c r="AL6199" s="144"/>
      <c r="AM6199" s="22"/>
      <c r="AN6199" s="149" t="s">
        <v>2511</v>
      </c>
      <c r="AO6199" s="144"/>
      <c r="AP6199" s="148">
        <v>80181</v>
      </c>
      <c r="AQ6199" s="144"/>
      <c r="AR6199" s="120"/>
      <c r="AS6199" s="121"/>
      <c r="AT6199" s="120"/>
      <c r="AU6199" s="121"/>
      <c r="AV6199" s="120"/>
      <c r="AW6199" s="121"/>
      <c r="AX6199" s="120"/>
      <c r="AY6199" s="121"/>
      <c r="AZ6199" s="138"/>
    </row>
    <row r="6200" spans="1:52" ht="17.100000000000001" customHeight="1" thickTop="1">
      <c r="A6200" s="109" t="s">
        <v>18102</v>
      </c>
      <c r="B6200" s="28">
        <v>46069</v>
      </c>
      <c r="C6200" s="25"/>
      <c r="D6200" s="13" t="s">
        <v>2949</v>
      </c>
      <c r="E6200" s="111"/>
      <c r="F6200" s="113" t="s">
        <v>18020</v>
      </c>
      <c r="G6200" s="114"/>
      <c r="H6200" s="115"/>
      <c r="I6200" s="24" t="s">
        <v>2919</v>
      </c>
      <c r="J6200" s="116">
        <v>4.5</v>
      </c>
      <c r="K6200" s="118">
        <v>1582000</v>
      </c>
      <c r="L6200" s="119"/>
      <c r="M6200" s="118">
        <f t="shared" ref="M6200" si="8331">K6200*0.1</f>
        <v>158200</v>
      </c>
      <c r="N6200" s="119"/>
      <c r="O6200" s="118">
        <v>3300</v>
      </c>
      <c r="P6200" s="119"/>
      <c r="Q6200" s="118">
        <v>20630</v>
      </c>
      <c r="R6200" s="119"/>
      <c r="S6200" s="118">
        <v>14850</v>
      </c>
      <c r="T6200" s="119"/>
      <c r="U6200" s="118">
        <f t="shared" ref="U6200" si="8332">SUM(K6200:T6201)</f>
        <v>1778980</v>
      </c>
      <c r="V6200" s="122"/>
      <c r="W6200" s="124"/>
      <c r="X6200" s="126" t="s">
        <v>18022</v>
      </c>
      <c r="Y6200" s="127"/>
      <c r="Z6200" s="127"/>
      <c r="AA6200" s="127"/>
      <c r="AB6200" s="128"/>
      <c r="AC6200" s="15" t="s">
        <v>20</v>
      </c>
      <c r="AD6200" s="129" t="s">
        <v>18023</v>
      </c>
      <c r="AE6200" s="130"/>
      <c r="AF6200" s="130"/>
      <c r="AG6200" s="130"/>
      <c r="AH6200" s="130"/>
      <c r="AI6200" s="131"/>
      <c r="AJ6200" s="132"/>
      <c r="AK6200" s="127"/>
      <c r="AL6200" s="128"/>
      <c r="AM6200" s="21"/>
      <c r="AN6200" s="133">
        <v>46095</v>
      </c>
      <c r="AO6200" s="134"/>
      <c r="AP6200" s="135">
        <v>1292</v>
      </c>
      <c r="AQ6200" s="136"/>
      <c r="AR6200" s="118">
        <v>1700000</v>
      </c>
      <c r="AS6200" s="119"/>
      <c r="AT6200" s="118">
        <f t="shared" ref="AT6200" si="8333">AR6200*0.1</f>
        <v>170000</v>
      </c>
      <c r="AU6200" s="119"/>
      <c r="AV6200" s="118">
        <v>20630</v>
      </c>
      <c r="AW6200" s="119"/>
      <c r="AX6200" s="118">
        <f t="shared" ref="AX6200" si="8334">SUM(AR6200:AW6200)</f>
        <v>1890630</v>
      </c>
      <c r="AY6200" s="119"/>
      <c r="AZ6200" s="137">
        <v>46098</v>
      </c>
    </row>
    <row r="6201" spans="1:52" ht="17.100000000000001" customHeight="1" thickBot="1">
      <c r="A6201" s="110"/>
      <c r="B6201" s="27" t="s">
        <v>8858</v>
      </c>
      <c r="C6201" s="27">
        <v>60069</v>
      </c>
      <c r="D6201" s="14" t="s">
        <v>133</v>
      </c>
      <c r="E6201" s="112"/>
      <c r="F6201" s="139" t="s">
        <v>18021</v>
      </c>
      <c r="G6201" s="140"/>
      <c r="H6201" s="141"/>
      <c r="I6201" s="26">
        <v>67451</v>
      </c>
      <c r="J6201" s="117"/>
      <c r="K6201" s="120"/>
      <c r="L6201" s="121"/>
      <c r="M6201" s="120"/>
      <c r="N6201" s="121"/>
      <c r="O6201" s="120"/>
      <c r="P6201" s="121"/>
      <c r="Q6201" s="120"/>
      <c r="R6201" s="121"/>
      <c r="S6201" s="120"/>
      <c r="T6201" s="121"/>
      <c r="U6201" s="120"/>
      <c r="V6201" s="123"/>
      <c r="W6201" s="125"/>
      <c r="X6201" s="142" t="s">
        <v>18610</v>
      </c>
      <c r="Y6201" s="143"/>
      <c r="Z6201" s="143"/>
      <c r="AA6201" s="143"/>
      <c r="AB6201" s="144"/>
      <c r="AC6201" s="16" t="s">
        <v>21</v>
      </c>
      <c r="AD6201" s="17" t="s">
        <v>1894</v>
      </c>
      <c r="AE6201" s="145" t="s">
        <v>2441</v>
      </c>
      <c r="AF6201" s="146"/>
      <c r="AG6201" s="146"/>
      <c r="AH6201" s="146"/>
      <c r="AI6201" s="147"/>
      <c r="AJ6201" s="148"/>
      <c r="AK6201" s="143"/>
      <c r="AL6201" s="144"/>
      <c r="AM6201" s="22"/>
      <c r="AN6201" s="149" t="s">
        <v>2511</v>
      </c>
      <c r="AO6201" s="144"/>
      <c r="AP6201" s="148">
        <v>80024</v>
      </c>
      <c r="AQ6201" s="144"/>
      <c r="AR6201" s="120"/>
      <c r="AS6201" s="121"/>
      <c r="AT6201" s="120"/>
      <c r="AU6201" s="121"/>
      <c r="AV6201" s="120"/>
      <c r="AW6201" s="121"/>
      <c r="AX6201" s="120"/>
      <c r="AY6201" s="121"/>
      <c r="AZ6201" s="138"/>
    </row>
    <row r="6202" spans="1:52" ht="17.100000000000001" customHeight="1" thickTop="1">
      <c r="A6202" s="109" t="s">
        <v>18103</v>
      </c>
      <c r="B6202" s="28">
        <v>46069</v>
      </c>
      <c r="C6202" s="25"/>
      <c r="D6202" s="13" t="s">
        <v>1688</v>
      </c>
      <c r="E6202" s="111"/>
      <c r="F6202" s="113" t="s">
        <v>18024</v>
      </c>
      <c r="G6202" s="114"/>
      <c r="H6202" s="115"/>
      <c r="I6202" s="24"/>
      <c r="J6202" s="116">
        <v>4.5</v>
      </c>
      <c r="K6202" s="118">
        <v>2687000</v>
      </c>
      <c r="L6202" s="119"/>
      <c r="M6202" s="118">
        <f t="shared" ref="M6202" si="8335">K6202*0.1</f>
        <v>268700</v>
      </c>
      <c r="N6202" s="119"/>
      <c r="O6202" s="118">
        <v>0</v>
      </c>
      <c r="P6202" s="119"/>
      <c r="Q6202" s="118">
        <v>19530</v>
      </c>
      <c r="R6202" s="119"/>
      <c r="S6202" s="118">
        <v>14850</v>
      </c>
      <c r="T6202" s="119"/>
      <c r="U6202" s="118">
        <f t="shared" ref="U6202" si="8336">SUM(K6202:T6203)</f>
        <v>2990080</v>
      </c>
      <c r="V6202" s="122"/>
      <c r="W6202" s="124"/>
      <c r="X6202" s="126" t="s">
        <v>18608</v>
      </c>
      <c r="Y6202" s="127"/>
      <c r="Z6202" s="127"/>
      <c r="AA6202" s="127"/>
      <c r="AB6202" s="128"/>
      <c r="AC6202" s="15" t="s">
        <v>20</v>
      </c>
      <c r="AD6202" s="129" t="s">
        <v>18023</v>
      </c>
      <c r="AE6202" s="130"/>
      <c r="AF6202" s="130"/>
      <c r="AG6202" s="130"/>
      <c r="AH6202" s="130"/>
      <c r="AI6202" s="131"/>
      <c r="AJ6202" s="132"/>
      <c r="AK6202" s="127"/>
      <c r="AL6202" s="128"/>
      <c r="AM6202" s="21"/>
      <c r="AN6202" s="133">
        <v>46074</v>
      </c>
      <c r="AO6202" s="134"/>
      <c r="AP6202" s="135">
        <v>1289</v>
      </c>
      <c r="AQ6202" s="136"/>
      <c r="AR6202" s="118">
        <v>2860000</v>
      </c>
      <c r="AS6202" s="119"/>
      <c r="AT6202" s="118">
        <f t="shared" ref="AT6202" si="8337">AR6202*0.1</f>
        <v>286000</v>
      </c>
      <c r="AU6202" s="119"/>
      <c r="AV6202" s="118">
        <v>19530</v>
      </c>
      <c r="AW6202" s="119"/>
      <c r="AX6202" s="118">
        <f t="shared" ref="AX6202" si="8338">SUM(AR6202:AW6202)</f>
        <v>3165530</v>
      </c>
      <c r="AY6202" s="119"/>
      <c r="AZ6202" s="137">
        <v>46084</v>
      </c>
    </row>
    <row r="6203" spans="1:52" ht="17.100000000000001" customHeight="1" thickBot="1">
      <c r="A6203" s="110"/>
      <c r="B6203" s="27" t="s">
        <v>8858</v>
      </c>
      <c r="C6203" s="27">
        <v>60154</v>
      </c>
      <c r="D6203" s="14" t="s">
        <v>2601</v>
      </c>
      <c r="E6203" s="112"/>
      <c r="F6203" s="139" t="s">
        <v>18025</v>
      </c>
      <c r="G6203" s="140"/>
      <c r="H6203" s="141"/>
      <c r="I6203" s="26">
        <v>32048</v>
      </c>
      <c r="J6203" s="117"/>
      <c r="K6203" s="120"/>
      <c r="L6203" s="121"/>
      <c r="M6203" s="120"/>
      <c r="N6203" s="121"/>
      <c r="O6203" s="120"/>
      <c r="P6203" s="121"/>
      <c r="Q6203" s="120"/>
      <c r="R6203" s="121"/>
      <c r="S6203" s="120"/>
      <c r="T6203" s="121"/>
      <c r="U6203" s="120"/>
      <c r="V6203" s="123"/>
      <c r="W6203" s="125"/>
      <c r="X6203" s="142" t="s">
        <v>2947</v>
      </c>
      <c r="Y6203" s="143"/>
      <c r="Z6203" s="143"/>
      <c r="AA6203" s="143"/>
      <c r="AB6203" s="144"/>
      <c r="AC6203" s="16" t="s">
        <v>21</v>
      </c>
      <c r="AD6203" s="17" t="s">
        <v>1894</v>
      </c>
      <c r="AE6203" s="145" t="s">
        <v>18609</v>
      </c>
      <c r="AF6203" s="146"/>
      <c r="AG6203" s="146"/>
      <c r="AH6203" s="146"/>
      <c r="AI6203" s="147"/>
      <c r="AJ6203" s="148"/>
      <c r="AK6203" s="143"/>
      <c r="AL6203" s="144"/>
      <c r="AM6203" s="22"/>
      <c r="AN6203" s="149" t="s">
        <v>6748</v>
      </c>
      <c r="AO6203" s="144"/>
      <c r="AP6203" s="148">
        <v>80387</v>
      </c>
      <c r="AQ6203" s="144"/>
      <c r="AR6203" s="120"/>
      <c r="AS6203" s="121"/>
      <c r="AT6203" s="120"/>
      <c r="AU6203" s="121"/>
      <c r="AV6203" s="120"/>
      <c r="AW6203" s="121"/>
      <c r="AX6203" s="120"/>
      <c r="AY6203" s="121"/>
      <c r="AZ6203" s="138"/>
    </row>
    <row r="6204" spans="1:52" ht="17.100000000000001" customHeight="1" thickTop="1">
      <c r="A6204" s="109" t="s">
        <v>18104</v>
      </c>
      <c r="B6204" s="28">
        <v>46069</v>
      </c>
      <c r="C6204" s="25"/>
      <c r="D6204" s="13" t="s">
        <v>2022</v>
      </c>
      <c r="E6204" s="111"/>
      <c r="F6204" s="113" t="s">
        <v>14792</v>
      </c>
      <c r="G6204" s="114"/>
      <c r="H6204" s="115"/>
      <c r="I6204" s="24" t="s">
        <v>1547</v>
      </c>
      <c r="J6204" s="116">
        <v>4</v>
      </c>
      <c r="K6204" s="118">
        <v>694000</v>
      </c>
      <c r="L6204" s="119"/>
      <c r="M6204" s="118">
        <f t="shared" ref="M6204" si="8339">K6204*0.1</f>
        <v>69400</v>
      </c>
      <c r="N6204" s="119"/>
      <c r="O6204" s="118">
        <f>3200+320</f>
        <v>3520</v>
      </c>
      <c r="P6204" s="119"/>
      <c r="Q6204" s="118">
        <v>19440</v>
      </c>
      <c r="R6204" s="119"/>
      <c r="S6204" s="118">
        <v>15950</v>
      </c>
      <c r="T6204" s="119"/>
      <c r="U6204" s="118">
        <f t="shared" ref="U6204" si="8340">SUM(K6204:T6205)</f>
        <v>802310</v>
      </c>
      <c r="V6204" s="122"/>
      <c r="W6204" s="124"/>
      <c r="X6204" s="126" t="s">
        <v>18046</v>
      </c>
      <c r="Y6204" s="127"/>
      <c r="Z6204" s="127"/>
      <c r="AA6204" s="127"/>
      <c r="AB6204" s="128"/>
      <c r="AC6204" s="15" t="s">
        <v>20</v>
      </c>
      <c r="AD6204" s="129"/>
      <c r="AE6204" s="130"/>
      <c r="AF6204" s="130"/>
      <c r="AG6204" s="130"/>
      <c r="AH6204" s="130"/>
      <c r="AI6204" s="131"/>
      <c r="AJ6204" s="132"/>
      <c r="AK6204" s="127"/>
      <c r="AL6204" s="128"/>
      <c r="AM6204" s="21"/>
      <c r="AN6204" s="133">
        <v>46074</v>
      </c>
      <c r="AO6204" s="134"/>
      <c r="AP6204" s="135">
        <v>1289</v>
      </c>
      <c r="AQ6204" s="136"/>
      <c r="AR6204" s="118">
        <v>1240000</v>
      </c>
      <c r="AS6204" s="119"/>
      <c r="AT6204" s="118">
        <f t="shared" ref="AT6204" si="8341">AR6204*0.1</f>
        <v>124000</v>
      </c>
      <c r="AU6204" s="119"/>
      <c r="AV6204" s="118">
        <v>19440</v>
      </c>
      <c r="AW6204" s="119"/>
      <c r="AX6204" s="118">
        <f t="shared" ref="AX6204" si="8342">SUM(AR6204:AW6204)</f>
        <v>1383440</v>
      </c>
      <c r="AY6204" s="119"/>
      <c r="AZ6204" s="137">
        <v>46077</v>
      </c>
    </row>
    <row r="6205" spans="1:52" ht="17.100000000000001" customHeight="1" thickBot="1">
      <c r="A6205" s="110"/>
      <c r="B6205" s="27" t="s">
        <v>4099</v>
      </c>
      <c r="C6205" s="27">
        <v>20284</v>
      </c>
      <c r="D6205" s="14" t="s">
        <v>1592</v>
      </c>
      <c r="E6205" s="112"/>
      <c r="F6205" s="139" t="s">
        <v>18045</v>
      </c>
      <c r="G6205" s="140"/>
      <c r="H6205" s="141"/>
      <c r="I6205" s="26">
        <v>65714</v>
      </c>
      <c r="J6205" s="117"/>
      <c r="K6205" s="120"/>
      <c r="L6205" s="121"/>
      <c r="M6205" s="120"/>
      <c r="N6205" s="121"/>
      <c r="O6205" s="120"/>
      <c r="P6205" s="121"/>
      <c r="Q6205" s="120"/>
      <c r="R6205" s="121"/>
      <c r="S6205" s="120"/>
      <c r="T6205" s="121"/>
      <c r="U6205" s="120"/>
      <c r="V6205" s="123"/>
      <c r="W6205" s="125"/>
      <c r="X6205" s="142" t="s">
        <v>18589</v>
      </c>
      <c r="Y6205" s="143"/>
      <c r="Z6205" s="143"/>
      <c r="AA6205" s="143"/>
      <c r="AB6205" s="144"/>
      <c r="AC6205" s="16" t="s">
        <v>21</v>
      </c>
      <c r="AD6205" s="17" t="s">
        <v>1894</v>
      </c>
      <c r="AE6205" s="145" t="s">
        <v>1690</v>
      </c>
      <c r="AF6205" s="146"/>
      <c r="AG6205" s="146"/>
      <c r="AH6205" s="146"/>
      <c r="AI6205" s="147"/>
      <c r="AJ6205" s="148"/>
      <c r="AK6205" s="143"/>
      <c r="AL6205" s="144"/>
      <c r="AM6205" s="22"/>
      <c r="AN6205" s="149" t="s">
        <v>2511</v>
      </c>
      <c r="AO6205" s="144"/>
      <c r="AP6205" s="148">
        <v>80363</v>
      </c>
      <c r="AQ6205" s="144"/>
      <c r="AR6205" s="120"/>
      <c r="AS6205" s="121"/>
      <c r="AT6205" s="120"/>
      <c r="AU6205" s="121"/>
      <c r="AV6205" s="120"/>
      <c r="AW6205" s="121"/>
      <c r="AX6205" s="120"/>
      <c r="AY6205" s="121"/>
      <c r="AZ6205" s="138"/>
    </row>
    <row r="6206" spans="1:52" ht="17.100000000000001" customHeight="1" thickTop="1">
      <c r="A6206" s="109" t="s">
        <v>18105</v>
      </c>
      <c r="B6206" s="28">
        <v>46069</v>
      </c>
      <c r="C6206" s="25"/>
      <c r="D6206" s="13" t="s">
        <v>2157</v>
      </c>
      <c r="E6206" s="111"/>
      <c r="F6206" s="113" t="s">
        <v>18072</v>
      </c>
      <c r="G6206" s="114"/>
      <c r="H6206" s="115"/>
      <c r="I6206" s="24" t="s">
        <v>9379</v>
      </c>
      <c r="J6206" s="116">
        <v>4</v>
      </c>
      <c r="K6206" s="118">
        <f>1309000/1.1</f>
        <v>1190000</v>
      </c>
      <c r="L6206" s="119"/>
      <c r="M6206" s="118">
        <f t="shared" ref="M6206" si="8343">K6206*0.1</f>
        <v>119000</v>
      </c>
      <c r="N6206" s="119"/>
      <c r="O6206" s="118">
        <v>0</v>
      </c>
      <c r="P6206" s="119"/>
      <c r="Q6206" s="118">
        <v>14820</v>
      </c>
      <c r="R6206" s="119"/>
      <c r="S6206" s="118">
        <v>0</v>
      </c>
      <c r="T6206" s="119"/>
      <c r="U6206" s="118">
        <f t="shared" ref="U6206" si="8344">SUM(K6206:T6207)</f>
        <v>1323820</v>
      </c>
      <c r="V6206" s="122"/>
      <c r="W6206" s="124"/>
      <c r="X6206" s="126" t="s">
        <v>19210</v>
      </c>
      <c r="Y6206" s="127"/>
      <c r="Z6206" s="127"/>
      <c r="AA6206" s="127"/>
      <c r="AB6206" s="128"/>
      <c r="AC6206" s="15" t="s">
        <v>20</v>
      </c>
      <c r="AD6206" s="129" t="s">
        <v>18074</v>
      </c>
      <c r="AE6206" s="130"/>
      <c r="AF6206" s="130"/>
      <c r="AG6206" s="130"/>
      <c r="AH6206" s="130"/>
      <c r="AI6206" s="131"/>
      <c r="AJ6206" s="132"/>
      <c r="AK6206" s="127"/>
      <c r="AL6206" s="128"/>
      <c r="AM6206" s="21"/>
      <c r="AN6206" s="133">
        <v>46088</v>
      </c>
      <c r="AO6206" s="134"/>
      <c r="AP6206" s="135">
        <v>1291</v>
      </c>
      <c r="AQ6206" s="136"/>
      <c r="AR6206" s="118">
        <v>1460000</v>
      </c>
      <c r="AS6206" s="119"/>
      <c r="AT6206" s="118">
        <f t="shared" ref="AT6206" si="8345">AR6206*0.1</f>
        <v>146000</v>
      </c>
      <c r="AU6206" s="119"/>
      <c r="AV6206" s="118">
        <v>14820</v>
      </c>
      <c r="AW6206" s="119"/>
      <c r="AX6206" s="118">
        <f t="shared" ref="AX6206" si="8346">SUM(AR6206:AW6206)</f>
        <v>1620820</v>
      </c>
      <c r="AY6206" s="119"/>
      <c r="AZ6206" s="137">
        <v>46091</v>
      </c>
    </row>
    <row r="6207" spans="1:52" ht="17.100000000000001" customHeight="1" thickBot="1">
      <c r="A6207" s="110"/>
      <c r="B6207" s="27" t="s">
        <v>1718</v>
      </c>
      <c r="C6207" s="27" t="s">
        <v>18048</v>
      </c>
      <c r="D6207" s="14" t="s">
        <v>3327</v>
      </c>
      <c r="E6207" s="112"/>
      <c r="F6207" s="139" t="s">
        <v>18049</v>
      </c>
      <c r="G6207" s="140"/>
      <c r="H6207" s="141"/>
      <c r="I6207" s="26">
        <v>68299</v>
      </c>
      <c r="J6207" s="117"/>
      <c r="K6207" s="120"/>
      <c r="L6207" s="121"/>
      <c r="M6207" s="120"/>
      <c r="N6207" s="121"/>
      <c r="O6207" s="120"/>
      <c r="P6207" s="121"/>
      <c r="Q6207" s="120"/>
      <c r="R6207" s="121"/>
      <c r="S6207" s="120"/>
      <c r="T6207" s="121"/>
      <c r="U6207" s="120"/>
      <c r="V6207" s="123"/>
      <c r="W6207" s="125"/>
      <c r="X6207" s="142" t="s">
        <v>19211</v>
      </c>
      <c r="Y6207" s="143"/>
      <c r="Z6207" s="143"/>
      <c r="AA6207" s="143"/>
      <c r="AB6207" s="144"/>
      <c r="AC6207" s="16" t="s">
        <v>21</v>
      </c>
      <c r="AD6207" s="17" t="s">
        <v>1714</v>
      </c>
      <c r="AE6207" s="145" t="s">
        <v>19212</v>
      </c>
      <c r="AF6207" s="146"/>
      <c r="AG6207" s="146"/>
      <c r="AH6207" s="146"/>
      <c r="AI6207" s="147"/>
      <c r="AJ6207" s="148"/>
      <c r="AK6207" s="143"/>
      <c r="AL6207" s="144"/>
      <c r="AM6207" s="22"/>
      <c r="AN6207" s="149" t="s">
        <v>2511</v>
      </c>
      <c r="AO6207" s="144"/>
      <c r="AP6207" s="148">
        <v>37643</v>
      </c>
      <c r="AQ6207" s="144"/>
      <c r="AR6207" s="120"/>
      <c r="AS6207" s="121"/>
      <c r="AT6207" s="120"/>
      <c r="AU6207" s="121"/>
      <c r="AV6207" s="120"/>
      <c r="AW6207" s="121"/>
      <c r="AX6207" s="120"/>
      <c r="AY6207" s="121"/>
      <c r="AZ6207" s="138"/>
    </row>
    <row r="6208" spans="1:52" ht="17.100000000000001" customHeight="1" thickTop="1">
      <c r="A6208" s="109" t="s">
        <v>18106</v>
      </c>
      <c r="B6208" s="28">
        <v>46069</v>
      </c>
      <c r="C6208" s="25"/>
      <c r="D6208" s="13" t="s">
        <v>1714</v>
      </c>
      <c r="E6208" s="111"/>
      <c r="F6208" s="113" t="s">
        <v>7164</v>
      </c>
      <c r="G6208" s="114"/>
      <c r="H6208" s="115"/>
      <c r="I6208" s="24" t="s">
        <v>18073</v>
      </c>
      <c r="J6208" s="116">
        <v>4.5</v>
      </c>
      <c r="K6208" s="118">
        <f>1276000/1.1</f>
        <v>1160000</v>
      </c>
      <c r="L6208" s="119"/>
      <c r="M6208" s="118">
        <f t="shared" ref="M6208" si="8347">K6208*0.1</f>
        <v>116000</v>
      </c>
      <c r="N6208" s="119"/>
      <c r="O6208" s="118">
        <v>0</v>
      </c>
      <c r="P6208" s="119"/>
      <c r="Q6208" s="118">
        <v>7150</v>
      </c>
      <c r="R6208" s="119"/>
      <c r="S6208" s="118">
        <v>0</v>
      </c>
      <c r="T6208" s="119"/>
      <c r="U6208" s="118">
        <f t="shared" ref="U6208" si="8348">SUM(K6208:T6209)</f>
        <v>1283150</v>
      </c>
      <c r="V6208" s="122"/>
      <c r="W6208" s="124"/>
      <c r="X6208" s="126" t="s">
        <v>19108</v>
      </c>
      <c r="Y6208" s="127"/>
      <c r="Z6208" s="127"/>
      <c r="AA6208" s="127"/>
      <c r="AB6208" s="128"/>
      <c r="AC6208" s="15" t="s">
        <v>20</v>
      </c>
      <c r="AD6208" s="129" t="s">
        <v>171</v>
      </c>
      <c r="AE6208" s="130"/>
      <c r="AF6208" s="130"/>
      <c r="AG6208" s="130"/>
      <c r="AH6208" s="130"/>
      <c r="AI6208" s="131"/>
      <c r="AJ6208" s="132"/>
      <c r="AK6208" s="127"/>
      <c r="AL6208" s="128"/>
      <c r="AM6208" s="21"/>
      <c r="AN6208" s="133">
        <v>46098</v>
      </c>
      <c r="AO6208" s="134"/>
      <c r="AP6208" s="135">
        <v>1933</v>
      </c>
      <c r="AQ6208" s="136"/>
      <c r="AR6208" s="118">
        <v>1224000</v>
      </c>
      <c r="AS6208" s="119"/>
      <c r="AT6208" s="118">
        <f t="shared" ref="AT6208" si="8349">AR6208*0.1</f>
        <v>122400</v>
      </c>
      <c r="AU6208" s="119"/>
      <c r="AV6208" s="118">
        <v>7150</v>
      </c>
      <c r="AW6208" s="119"/>
      <c r="AX6208" s="118">
        <f t="shared" ref="AX6208" si="8350">SUM(AR6208:AW6208)</f>
        <v>1353550</v>
      </c>
      <c r="AY6208" s="119"/>
      <c r="AZ6208" s="137"/>
    </row>
    <row r="6209" spans="1:52" ht="17.100000000000001" customHeight="1" thickBot="1">
      <c r="A6209" s="110"/>
      <c r="B6209" s="27" t="s">
        <v>1718</v>
      </c>
      <c r="C6209" s="27" t="s">
        <v>18050</v>
      </c>
      <c r="D6209" s="14" t="s">
        <v>1592</v>
      </c>
      <c r="E6209" s="112"/>
      <c r="F6209" s="139" t="s">
        <v>18051</v>
      </c>
      <c r="G6209" s="140"/>
      <c r="H6209" s="141"/>
      <c r="I6209" s="26">
        <v>29010</v>
      </c>
      <c r="J6209" s="117"/>
      <c r="K6209" s="120"/>
      <c r="L6209" s="121"/>
      <c r="M6209" s="120"/>
      <c r="N6209" s="121"/>
      <c r="O6209" s="120"/>
      <c r="P6209" s="121"/>
      <c r="Q6209" s="120"/>
      <c r="R6209" s="121"/>
      <c r="S6209" s="120"/>
      <c r="T6209" s="121"/>
      <c r="U6209" s="120"/>
      <c r="V6209" s="123"/>
      <c r="W6209" s="125"/>
      <c r="X6209" s="142" t="s">
        <v>19109</v>
      </c>
      <c r="Y6209" s="143"/>
      <c r="Z6209" s="143"/>
      <c r="AA6209" s="143"/>
      <c r="AB6209" s="144"/>
      <c r="AC6209" s="16" t="s">
        <v>21</v>
      </c>
      <c r="AD6209" s="17" t="s">
        <v>2353</v>
      </c>
      <c r="AE6209" s="145" t="s">
        <v>171</v>
      </c>
      <c r="AF6209" s="146"/>
      <c r="AG6209" s="146"/>
      <c r="AH6209" s="146"/>
      <c r="AI6209" s="147"/>
      <c r="AJ6209" s="148"/>
      <c r="AK6209" s="143"/>
      <c r="AL6209" s="144"/>
      <c r="AM6209" s="22"/>
      <c r="AN6209" s="149" t="s">
        <v>2131</v>
      </c>
      <c r="AO6209" s="144"/>
      <c r="AP6209" s="148">
        <v>3391</v>
      </c>
      <c r="AQ6209" s="144"/>
      <c r="AR6209" s="120"/>
      <c r="AS6209" s="121"/>
      <c r="AT6209" s="120"/>
      <c r="AU6209" s="121"/>
      <c r="AV6209" s="120"/>
      <c r="AW6209" s="121"/>
      <c r="AX6209" s="120"/>
      <c r="AY6209" s="121"/>
      <c r="AZ6209" s="138"/>
    </row>
    <row r="6210" spans="1:52" ht="17.100000000000001" customHeight="1" thickTop="1">
      <c r="A6210" s="109" t="s">
        <v>18107</v>
      </c>
      <c r="B6210" s="28">
        <v>46069</v>
      </c>
      <c r="C6210" s="25"/>
      <c r="D6210" s="13" t="s">
        <v>2322</v>
      </c>
      <c r="E6210" s="111"/>
      <c r="F6210" s="113" t="s">
        <v>18075</v>
      </c>
      <c r="G6210" s="114"/>
      <c r="H6210" s="115"/>
      <c r="I6210" s="24" t="s">
        <v>18076</v>
      </c>
      <c r="J6210" s="116">
        <v>4.5</v>
      </c>
      <c r="K6210" s="118">
        <f>657000/1.1</f>
        <v>597272.72727272718</v>
      </c>
      <c r="L6210" s="119"/>
      <c r="M6210" s="118">
        <f t="shared" ref="M6210" si="8351">K6210*0.1</f>
        <v>59727.272727272721</v>
      </c>
      <c r="N6210" s="119"/>
      <c r="O6210" s="118">
        <v>0</v>
      </c>
      <c r="P6210" s="119"/>
      <c r="Q6210" s="118">
        <v>9130</v>
      </c>
      <c r="R6210" s="119"/>
      <c r="S6210" s="118">
        <v>0</v>
      </c>
      <c r="T6210" s="119"/>
      <c r="U6210" s="118">
        <f t="shared" ref="U6210" si="8352">SUM(K6210:T6211)</f>
        <v>666129.99999999988</v>
      </c>
      <c r="V6210" s="122"/>
      <c r="W6210" s="124"/>
      <c r="X6210" s="126" t="s">
        <v>19125</v>
      </c>
      <c r="Y6210" s="127"/>
      <c r="Z6210" s="127"/>
      <c r="AA6210" s="127"/>
      <c r="AB6210" s="128"/>
      <c r="AC6210" s="15" t="s">
        <v>20</v>
      </c>
      <c r="AD6210" s="129" t="s">
        <v>1945</v>
      </c>
      <c r="AE6210" s="130"/>
      <c r="AF6210" s="130"/>
      <c r="AG6210" s="130"/>
      <c r="AH6210" s="130"/>
      <c r="AI6210" s="131"/>
      <c r="AJ6210" s="132"/>
      <c r="AK6210" s="127"/>
      <c r="AL6210" s="128"/>
      <c r="AM6210" s="21"/>
      <c r="AN6210" s="133">
        <v>46088</v>
      </c>
      <c r="AO6210" s="134"/>
      <c r="AP6210" s="135">
        <v>1291</v>
      </c>
      <c r="AQ6210" s="136"/>
      <c r="AR6210" s="118">
        <v>805000</v>
      </c>
      <c r="AS6210" s="119"/>
      <c r="AT6210" s="118">
        <f t="shared" ref="AT6210" si="8353">AR6210*0.1</f>
        <v>80500</v>
      </c>
      <c r="AU6210" s="119"/>
      <c r="AV6210" s="118">
        <v>9130</v>
      </c>
      <c r="AW6210" s="119"/>
      <c r="AX6210" s="118">
        <f t="shared" ref="AX6210" si="8354">SUM(AR6210:AW6210)</f>
        <v>894630</v>
      </c>
      <c r="AY6210" s="119"/>
      <c r="AZ6210" s="137">
        <v>46093</v>
      </c>
    </row>
    <row r="6211" spans="1:52" ht="17.100000000000001" customHeight="1" thickBot="1">
      <c r="A6211" s="110"/>
      <c r="B6211" s="27" t="s">
        <v>1718</v>
      </c>
      <c r="C6211" s="27" t="s">
        <v>18052</v>
      </c>
      <c r="D6211" s="14" t="s">
        <v>275</v>
      </c>
      <c r="E6211" s="112"/>
      <c r="F6211" s="139" t="s">
        <v>18053</v>
      </c>
      <c r="G6211" s="140"/>
      <c r="H6211" s="141"/>
      <c r="I6211" s="26">
        <v>55191</v>
      </c>
      <c r="J6211" s="117"/>
      <c r="K6211" s="120"/>
      <c r="L6211" s="121"/>
      <c r="M6211" s="120"/>
      <c r="N6211" s="121"/>
      <c r="O6211" s="120"/>
      <c r="P6211" s="121"/>
      <c r="Q6211" s="120"/>
      <c r="R6211" s="121"/>
      <c r="S6211" s="120"/>
      <c r="T6211" s="121"/>
      <c r="U6211" s="120"/>
      <c r="V6211" s="123"/>
      <c r="W6211" s="125"/>
      <c r="X6211" s="142" t="s">
        <v>19126</v>
      </c>
      <c r="Y6211" s="143"/>
      <c r="Z6211" s="143"/>
      <c r="AA6211" s="143"/>
      <c r="AB6211" s="144"/>
      <c r="AC6211" s="16" t="s">
        <v>21</v>
      </c>
      <c r="AD6211" s="17" t="s">
        <v>1902</v>
      </c>
      <c r="AE6211" s="145" t="s">
        <v>14006</v>
      </c>
      <c r="AF6211" s="146"/>
      <c r="AG6211" s="146"/>
      <c r="AH6211" s="146"/>
      <c r="AI6211" s="147"/>
      <c r="AJ6211" s="148"/>
      <c r="AK6211" s="143"/>
      <c r="AL6211" s="144"/>
      <c r="AM6211" s="22"/>
      <c r="AN6211" s="149" t="s">
        <v>2511</v>
      </c>
      <c r="AO6211" s="144"/>
      <c r="AP6211" s="148">
        <v>37483</v>
      </c>
      <c r="AQ6211" s="144"/>
      <c r="AR6211" s="120"/>
      <c r="AS6211" s="121"/>
      <c r="AT6211" s="120"/>
      <c r="AU6211" s="121"/>
      <c r="AV6211" s="120"/>
      <c r="AW6211" s="121"/>
      <c r="AX6211" s="120"/>
      <c r="AY6211" s="121"/>
      <c r="AZ6211" s="138"/>
    </row>
    <row r="6212" spans="1:52" ht="17.100000000000001" customHeight="1" thickTop="1">
      <c r="A6212" s="109" t="s">
        <v>18108</v>
      </c>
      <c r="B6212" s="28">
        <v>46069</v>
      </c>
      <c r="C6212" s="25"/>
      <c r="D6212" s="13" t="s">
        <v>2141</v>
      </c>
      <c r="E6212" s="111"/>
      <c r="F6212" s="113" t="s">
        <v>18077</v>
      </c>
      <c r="G6212" s="114"/>
      <c r="H6212" s="115"/>
      <c r="I6212" s="24" t="s">
        <v>5616</v>
      </c>
      <c r="J6212" s="116">
        <v>4</v>
      </c>
      <c r="K6212" s="118">
        <f>819500/1.1</f>
        <v>744999.99999999988</v>
      </c>
      <c r="L6212" s="119"/>
      <c r="M6212" s="118">
        <f t="shared" ref="M6212" si="8355">K6212*0.1</f>
        <v>74499.999999999985</v>
      </c>
      <c r="N6212" s="119"/>
      <c r="O6212" s="118">
        <v>0</v>
      </c>
      <c r="P6212" s="119"/>
      <c r="Q6212" s="118">
        <v>9810</v>
      </c>
      <c r="R6212" s="119"/>
      <c r="S6212" s="118">
        <v>0</v>
      </c>
      <c r="T6212" s="119"/>
      <c r="U6212" s="118">
        <f t="shared" ref="U6212" si="8356">SUM(K6212:T6213)</f>
        <v>829309.99999999988</v>
      </c>
      <c r="V6212" s="122"/>
      <c r="W6212" s="124"/>
      <c r="X6212" s="126" t="s">
        <v>21333</v>
      </c>
      <c r="Y6212" s="127"/>
      <c r="Z6212" s="127"/>
      <c r="AA6212" s="127"/>
      <c r="AB6212" s="128"/>
      <c r="AC6212" s="15" t="s">
        <v>20</v>
      </c>
      <c r="AD6212" s="129" t="s">
        <v>1945</v>
      </c>
      <c r="AE6212" s="130"/>
      <c r="AF6212" s="130"/>
      <c r="AG6212" s="130"/>
      <c r="AH6212" s="130"/>
      <c r="AI6212" s="131"/>
      <c r="AJ6212" s="132"/>
      <c r="AK6212" s="127"/>
      <c r="AL6212" s="128"/>
      <c r="AM6212" s="21"/>
      <c r="AN6212" s="133">
        <v>46102</v>
      </c>
      <c r="AO6212" s="134"/>
      <c r="AP6212" s="135">
        <v>1293</v>
      </c>
      <c r="AQ6212" s="136"/>
      <c r="AR6212" s="118">
        <v>795000</v>
      </c>
      <c r="AS6212" s="119"/>
      <c r="AT6212" s="118">
        <f t="shared" ref="AT6212" si="8357">AR6212*0.1</f>
        <v>79500</v>
      </c>
      <c r="AU6212" s="119"/>
      <c r="AV6212" s="118">
        <v>9810</v>
      </c>
      <c r="AW6212" s="119"/>
      <c r="AX6212" s="118">
        <f t="shared" ref="AX6212" si="8358">SUM(AR6212:AW6212)</f>
        <v>884310</v>
      </c>
      <c r="AY6212" s="119"/>
      <c r="AZ6212" s="137">
        <v>46111</v>
      </c>
    </row>
    <row r="6213" spans="1:52" ht="17.100000000000001" customHeight="1" thickBot="1">
      <c r="A6213" s="110"/>
      <c r="B6213" s="27" t="s">
        <v>1718</v>
      </c>
      <c r="C6213" s="27" t="s">
        <v>18054</v>
      </c>
      <c r="D6213" s="14" t="s">
        <v>2040</v>
      </c>
      <c r="E6213" s="112"/>
      <c r="F6213" s="139" t="s">
        <v>18055</v>
      </c>
      <c r="G6213" s="140"/>
      <c r="H6213" s="141"/>
      <c r="I6213" s="26">
        <v>87216</v>
      </c>
      <c r="J6213" s="117"/>
      <c r="K6213" s="120"/>
      <c r="L6213" s="121"/>
      <c r="M6213" s="120"/>
      <c r="N6213" s="121"/>
      <c r="O6213" s="120"/>
      <c r="P6213" s="121"/>
      <c r="Q6213" s="120"/>
      <c r="R6213" s="121"/>
      <c r="S6213" s="120"/>
      <c r="T6213" s="121"/>
      <c r="U6213" s="120"/>
      <c r="V6213" s="123"/>
      <c r="W6213" s="125"/>
      <c r="X6213" s="142" t="s">
        <v>21334</v>
      </c>
      <c r="Y6213" s="143"/>
      <c r="Z6213" s="143"/>
      <c r="AA6213" s="143"/>
      <c r="AB6213" s="144"/>
      <c r="AC6213" s="16" t="s">
        <v>21</v>
      </c>
      <c r="AD6213" s="17" t="s">
        <v>21304</v>
      </c>
      <c r="AE6213" s="145" t="s">
        <v>21318</v>
      </c>
      <c r="AF6213" s="146"/>
      <c r="AG6213" s="146"/>
      <c r="AH6213" s="146"/>
      <c r="AI6213" s="147"/>
      <c r="AJ6213" s="148"/>
      <c r="AK6213" s="143"/>
      <c r="AL6213" s="144"/>
      <c r="AM6213" s="22"/>
      <c r="AN6213" s="149" t="s">
        <v>2511</v>
      </c>
      <c r="AO6213" s="144"/>
      <c r="AP6213" s="148">
        <v>37651</v>
      </c>
      <c r="AQ6213" s="144"/>
      <c r="AR6213" s="120"/>
      <c r="AS6213" s="121"/>
      <c r="AT6213" s="120"/>
      <c r="AU6213" s="121"/>
      <c r="AV6213" s="120"/>
      <c r="AW6213" s="121"/>
      <c r="AX6213" s="120"/>
      <c r="AY6213" s="121"/>
      <c r="AZ6213" s="138"/>
    </row>
    <row r="6214" spans="1:52" ht="17.100000000000001" customHeight="1" thickTop="1">
      <c r="A6214" s="109" t="s">
        <v>18109</v>
      </c>
      <c r="B6214" s="28">
        <v>46069</v>
      </c>
      <c r="C6214" s="25"/>
      <c r="D6214" s="13" t="s">
        <v>2059</v>
      </c>
      <c r="E6214" s="111"/>
      <c r="F6214" s="113" t="s">
        <v>8722</v>
      </c>
      <c r="G6214" s="114"/>
      <c r="H6214" s="115"/>
      <c r="I6214" s="24" t="s">
        <v>11255</v>
      </c>
      <c r="J6214" s="116">
        <v>4</v>
      </c>
      <c r="K6214" s="118">
        <f>972400/1.1</f>
        <v>883999.99999999988</v>
      </c>
      <c r="L6214" s="119"/>
      <c r="M6214" s="118">
        <f t="shared" ref="M6214" si="8359">K6214*0.1</f>
        <v>88400</v>
      </c>
      <c r="N6214" s="119"/>
      <c r="O6214" s="118">
        <v>0</v>
      </c>
      <c r="P6214" s="119"/>
      <c r="Q6214" s="118">
        <v>10120</v>
      </c>
      <c r="R6214" s="119"/>
      <c r="S6214" s="118">
        <v>0</v>
      </c>
      <c r="T6214" s="119"/>
      <c r="U6214" s="118">
        <f t="shared" ref="U6214" si="8360">SUM(K6214:T6215)</f>
        <v>982519.99999999988</v>
      </c>
      <c r="V6214" s="122"/>
      <c r="W6214" s="124"/>
      <c r="X6214" s="126" t="s">
        <v>19401</v>
      </c>
      <c r="Y6214" s="127"/>
      <c r="Z6214" s="127"/>
      <c r="AA6214" s="127"/>
      <c r="AB6214" s="128"/>
      <c r="AC6214" s="15" t="s">
        <v>20</v>
      </c>
      <c r="AD6214" s="129" t="s">
        <v>1670</v>
      </c>
      <c r="AE6214" s="130"/>
      <c r="AF6214" s="130"/>
      <c r="AG6214" s="130"/>
      <c r="AH6214" s="130"/>
      <c r="AI6214" s="131"/>
      <c r="AJ6214" s="132" t="s">
        <v>20333</v>
      </c>
      <c r="AK6214" s="127"/>
      <c r="AL6214" s="128"/>
      <c r="AM6214" s="21" t="s">
        <v>25184</v>
      </c>
      <c r="AN6214" s="133">
        <v>46095</v>
      </c>
      <c r="AO6214" s="134"/>
      <c r="AP6214" s="135">
        <v>1292</v>
      </c>
      <c r="AQ6214" s="136"/>
      <c r="AR6214" s="118">
        <v>920000</v>
      </c>
      <c r="AS6214" s="119"/>
      <c r="AT6214" s="118">
        <f t="shared" ref="AT6214" si="8361">AR6214*0.1</f>
        <v>92000</v>
      </c>
      <c r="AU6214" s="119"/>
      <c r="AV6214" s="118">
        <v>10120</v>
      </c>
      <c r="AW6214" s="119"/>
      <c r="AX6214" s="118">
        <f t="shared" ref="AX6214" si="8362">SUM(AR6214:AW6214)</f>
        <v>1022120</v>
      </c>
      <c r="AY6214" s="119"/>
      <c r="AZ6214" s="137">
        <v>46098</v>
      </c>
    </row>
    <row r="6215" spans="1:52" ht="17.100000000000001" customHeight="1" thickBot="1">
      <c r="A6215" s="110"/>
      <c r="B6215" s="27" t="s">
        <v>1718</v>
      </c>
      <c r="C6215" s="27" t="s">
        <v>18056</v>
      </c>
      <c r="D6215" s="14" t="s">
        <v>1576</v>
      </c>
      <c r="E6215" s="112"/>
      <c r="F6215" s="139" t="s">
        <v>18057</v>
      </c>
      <c r="G6215" s="140"/>
      <c r="H6215" s="141"/>
      <c r="I6215" s="26">
        <v>64385</v>
      </c>
      <c r="J6215" s="117"/>
      <c r="K6215" s="120"/>
      <c r="L6215" s="121"/>
      <c r="M6215" s="120"/>
      <c r="N6215" s="121"/>
      <c r="O6215" s="120"/>
      <c r="P6215" s="121"/>
      <c r="Q6215" s="120"/>
      <c r="R6215" s="121"/>
      <c r="S6215" s="120"/>
      <c r="T6215" s="121"/>
      <c r="U6215" s="120"/>
      <c r="V6215" s="123"/>
      <c r="W6215" s="125"/>
      <c r="X6215" s="142" t="s">
        <v>19402</v>
      </c>
      <c r="Y6215" s="143"/>
      <c r="Z6215" s="143"/>
      <c r="AA6215" s="143"/>
      <c r="AB6215" s="144"/>
      <c r="AC6215" s="16" t="s">
        <v>21</v>
      </c>
      <c r="AD6215" s="17" t="s">
        <v>1786</v>
      </c>
      <c r="AE6215" s="145" t="s">
        <v>8409</v>
      </c>
      <c r="AF6215" s="146"/>
      <c r="AG6215" s="146"/>
      <c r="AH6215" s="146"/>
      <c r="AI6215" s="147"/>
      <c r="AJ6215" s="148" t="s">
        <v>20908</v>
      </c>
      <c r="AK6215" s="143"/>
      <c r="AL6215" s="144"/>
      <c r="AM6215" s="22"/>
      <c r="AN6215" s="149" t="s">
        <v>2511</v>
      </c>
      <c r="AO6215" s="144"/>
      <c r="AP6215" s="148">
        <v>31480</v>
      </c>
      <c r="AQ6215" s="144"/>
      <c r="AR6215" s="120"/>
      <c r="AS6215" s="121"/>
      <c r="AT6215" s="120"/>
      <c r="AU6215" s="121"/>
      <c r="AV6215" s="120"/>
      <c r="AW6215" s="121"/>
      <c r="AX6215" s="120"/>
      <c r="AY6215" s="121"/>
      <c r="AZ6215" s="138"/>
    </row>
    <row r="6216" spans="1:52" ht="17.100000000000001" customHeight="1" thickTop="1">
      <c r="A6216" s="109" t="s">
        <v>18110</v>
      </c>
      <c r="B6216" s="28">
        <v>46069</v>
      </c>
      <c r="C6216" s="25"/>
      <c r="D6216" s="13" t="s">
        <v>3386</v>
      </c>
      <c r="E6216" s="111"/>
      <c r="F6216" s="113" t="s">
        <v>18078</v>
      </c>
      <c r="G6216" s="114"/>
      <c r="H6216" s="115"/>
      <c r="I6216" s="24" t="s">
        <v>18079</v>
      </c>
      <c r="J6216" s="116">
        <v>4.5</v>
      </c>
      <c r="K6216" s="118">
        <f>2376000/1.1</f>
        <v>2160000</v>
      </c>
      <c r="L6216" s="119"/>
      <c r="M6216" s="118">
        <f t="shared" ref="M6216" si="8363">K6216*0.1</f>
        <v>216000</v>
      </c>
      <c r="N6216" s="119"/>
      <c r="O6216" s="118">
        <v>0</v>
      </c>
      <c r="P6216" s="119"/>
      <c r="Q6216" s="118">
        <v>11710</v>
      </c>
      <c r="R6216" s="119"/>
      <c r="S6216" s="118">
        <v>0</v>
      </c>
      <c r="T6216" s="119"/>
      <c r="U6216" s="118">
        <f t="shared" ref="U6216" si="8364">SUM(K6216:T6217)</f>
        <v>2387710</v>
      </c>
      <c r="V6216" s="122"/>
      <c r="W6216" s="124"/>
      <c r="X6216" s="126" t="s">
        <v>22256</v>
      </c>
      <c r="Y6216" s="127"/>
      <c r="Z6216" s="127"/>
      <c r="AA6216" s="127"/>
      <c r="AB6216" s="128"/>
      <c r="AC6216" s="15" t="s">
        <v>20</v>
      </c>
      <c r="AD6216" s="129" t="s">
        <v>1945</v>
      </c>
      <c r="AE6216" s="130"/>
      <c r="AF6216" s="130"/>
      <c r="AG6216" s="130"/>
      <c r="AH6216" s="130"/>
      <c r="AI6216" s="131"/>
      <c r="AJ6216" s="132"/>
      <c r="AK6216" s="127"/>
      <c r="AL6216" s="128"/>
      <c r="AM6216" s="21" t="s">
        <v>22312</v>
      </c>
      <c r="AN6216" s="133">
        <v>46130</v>
      </c>
      <c r="AO6216" s="134"/>
      <c r="AP6216" s="135">
        <v>1297</v>
      </c>
      <c r="AQ6216" s="136"/>
      <c r="AR6216" s="118">
        <v>2455000</v>
      </c>
      <c r="AS6216" s="119"/>
      <c r="AT6216" s="118">
        <f t="shared" ref="AT6216" si="8365">AR6216*0.1</f>
        <v>245500</v>
      </c>
      <c r="AU6216" s="119"/>
      <c r="AV6216" s="118">
        <v>11710</v>
      </c>
      <c r="AW6216" s="119"/>
      <c r="AX6216" s="118">
        <f t="shared" ref="AX6216" si="8366">SUM(AR6216:AW6216)</f>
        <v>2712210</v>
      </c>
      <c r="AY6216" s="119"/>
      <c r="AZ6216" s="137">
        <v>46133</v>
      </c>
    </row>
    <row r="6217" spans="1:52" ht="17.100000000000001" customHeight="1" thickBot="1">
      <c r="A6217" s="110"/>
      <c r="B6217" s="27" t="s">
        <v>1718</v>
      </c>
      <c r="C6217" s="27" t="s">
        <v>18058</v>
      </c>
      <c r="D6217" s="14" t="s">
        <v>2601</v>
      </c>
      <c r="E6217" s="112"/>
      <c r="F6217" s="139" t="s">
        <v>18059</v>
      </c>
      <c r="G6217" s="140"/>
      <c r="H6217" s="141"/>
      <c r="I6217" s="26">
        <v>43219</v>
      </c>
      <c r="J6217" s="117"/>
      <c r="K6217" s="120"/>
      <c r="L6217" s="121"/>
      <c r="M6217" s="120"/>
      <c r="N6217" s="121"/>
      <c r="O6217" s="120"/>
      <c r="P6217" s="121"/>
      <c r="Q6217" s="120"/>
      <c r="R6217" s="121"/>
      <c r="S6217" s="120"/>
      <c r="T6217" s="121"/>
      <c r="U6217" s="120"/>
      <c r="V6217" s="123"/>
      <c r="W6217" s="125"/>
      <c r="X6217" s="142" t="s">
        <v>4381</v>
      </c>
      <c r="Y6217" s="143"/>
      <c r="Z6217" s="143"/>
      <c r="AA6217" s="143"/>
      <c r="AB6217" s="144"/>
      <c r="AC6217" s="16" t="s">
        <v>21</v>
      </c>
      <c r="AD6217" s="17" t="s">
        <v>1786</v>
      </c>
      <c r="AE6217" s="145" t="s">
        <v>13449</v>
      </c>
      <c r="AF6217" s="146"/>
      <c r="AG6217" s="146"/>
      <c r="AH6217" s="146"/>
      <c r="AI6217" s="147"/>
      <c r="AJ6217" s="148"/>
      <c r="AK6217" s="143"/>
      <c r="AL6217" s="144"/>
      <c r="AM6217" s="22"/>
      <c r="AN6217" s="149" t="s">
        <v>2511</v>
      </c>
      <c r="AO6217" s="144"/>
      <c r="AP6217" s="148">
        <v>31187</v>
      </c>
      <c r="AQ6217" s="144"/>
      <c r="AR6217" s="120"/>
      <c r="AS6217" s="121"/>
      <c r="AT6217" s="120"/>
      <c r="AU6217" s="121"/>
      <c r="AV6217" s="120"/>
      <c r="AW6217" s="121"/>
      <c r="AX6217" s="120"/>
      <c r="AY6217" s="121"/>
      <c r="AZ6217" s="138"/>
    </row>
    <row r="6218" spans="1:52" ht="17.100000000000001" customHeight="1" thickTop="1">
      <c r="A6218" s="109" t="s">
        <v>18111</v>
      </c>
      <c r="B6218" s="28">
        <v>46069</v>
      </c>
      <c r="C6218" s="25"/>
      <c r="D6218" s="13" t="s">
        <v>1758</v>
      </c>
      <c r="E6218" s="111"/>
      <c r="F6218" s="113" t="s">
        <v>8722</v>
      </c>
      <c r="G6218" s="114"/>
      <c r="H6218" s="115"/>
      <c r="I6218" s="24" t="s">
        <v>4547</v>
      </c>
      <c r="J6218" s="116">
        <v>4</v>
      </c>
      <c r="K6218" s="118">
        <f>790900/1.1</f>
        <v>719000</v>
      </c>
      <c r="L6218" s="119"/>
      <c r="M6218" s="118">
        <f t="shared" ref="M6218" si="8367">K6218*0.1</f>
        <v>71900</v>
      </c>
      <c r="N6218" s="119"/>
      <c r="O6218" s="118">
        <v>0</v>
      </c>
      <c r="P6218" s="119"/>
      <c r="Q6218" s="118">
        <v>10120</v>
      </c>
      <c r="R6218" s="119"/>
      <c r="S6218" s="118">
        <v>0</v>
      </c>
      <c r="T6218" s="119"/>
      <c r="U6218" s="118">
        <f t="shared" ref="U6218" si="8368">SUM(K6218:T6219)</f>
        <v>801020</v>
      </c>
      <c r="V6218" s="122"/>
      <c r="W6218" s="124"/>
      <c r="X6218" s="126" t="s">
        <v>19213</v>
      </c>
      <c r="Y6218" s="127"/>
      <c r="Z6218" s="127"/>
      <c r="AA6218" s="127"/>
      <c r="AB6218" s="128"/>
      <c r="AC6218" s="15" t="s">
        <v>20</v>
      </c>
      <c r="AD6218" s="129" t="s">
        <v>1945</v>
      </c>
      <c r="AE6218" s="130"/>
      <c r="AF6218" s="130"/>
      <c r="AG6218" s="130"/>
      <c r="AH6218" s="130"/>
      <c r="AI6218" s="131"/>
      <c r="AJ6218" s="132"/>
      <c r="AK6218" s="127"/>
      <c r="AL6218" s="128"/>
      <c r="AM6218" s="21"/>
      <c r="AN6218" s="133">
        <v>46088</v>
      </c>
      <c r="AO6218" s="134"/>
      <c r="AP6218" s="135">
        <v>1291</v>
      </c>
      <c r="AQ6218" s="136"/>
      <c r="AR6218" s="118">
        <v>825000</v>
      </c>
      <c r="AS6218" s="119"/>
      <c r="AT6218" s="118">
        <f t="shared" ref="AT6218" si="8369">AR6218*0.1</f>
        <v>82500</v>
      </c>
      <c r="AU6218" s="119"/>
      <c r="AV6218" s="118">
        <v>10120</v>
      </c>
      <c r="AW6218" s="119"/>
      <c r="AX6218" s="118">
        <f t="shared" ref="AX6218" si="8370">SUM(AR6218:AW6218)</f>
        <v>917620</v>
      </c>
      <c r="AY6218" s="119"/>
      <c r="AZ6218" s="137">
        <v>46091</v>
      </c>
    </row>
    <row r="6219" spans="1:52" ht="17.100000000000001" customHeight="1" thickBot="1">
      <c r="A6219" s="110"/>
      <c r="B6219" s="27" t="s">
        <v>1718</v>
      </c>
      <c r="C6219" s="27" t="s">
        <v>18060</v>
      </c>
      <c r="D6219" s="14" t="s">
        <v>275</v>
      </c>
      <c r="E6219" s="112"/>
      <c r="F6219" s="139" t="s">
        <v>18061</v>
      </c>
      <c r="G6219" s="140"/>
      <c r="H6219" s="141"/>
      <c r="I6219" s="26">
        <v>59783</v>
      </c>
      <c r="J6219" s="117"/>
      <c r="K6219" s="120"/>
      <c r="L6219" s="121"/>
      <c r="M6219" s="120"/>
      <c r="N6219" s="121"/>
      <c r="O6219" s="120"/>
      <c r="P6219" s="121"/>
      <c r="Q6219" s="120"/>
      <c r="R6219" s="121"/>
      <c r="S6219" s="120"/>
      <c r="T6219" s="121"/>
      <c r="U6219" s="120"/>
      <c r="V6219" s="123"/>
      <c r="W6219" s="125"/>
      <c r="X6219" s="142" t="s">
        <v>19214</v>
      </c>
      <c r="Y6219" s="143"/>
      <c r="Z6219" s="143"/>
      <c r="AA6219" s="143"/>
      <c r="AB6219" s="144"/>
      <c r="AC6219" s="16" t="s">
        <v>21</v>
      </c>
      <c r="AD6219" s="17" t="s">
        <v>1714</v>
      </c>
      <c r="AE6219" s="145" t="s">
        <v>19440</v>
      </c>
      <c r="AF6219" s="146"/>
      <c r="AG6219" s="146"/>
      <c r="AH6219" s="146"/>
      <c r="AI6219" s="147"/>
      <c r="AJ6219" s="148"/>
      <c r="AK6219" s="143"/>
      <c r="AL6219" s="144"/>
      <c r="AM6219" s="22"/>
      <c r="AN6219" s="149" t="s">
        <v>2511</v>
      </c>
      <c r="AO6219" s="144"/>
      <c r="AP6219" s="148">
        <v>37635</v>
      </c>
      <c r="AQ6219" s="144"/>
      <c r="AR6219" s="120"/>
      <c r="AS6219" s="121"/>
      <c r="AT6219" s="120"/>
      <c r="AU6219" s="121"/>
      <c r="AV6219" s="120"/>
      <c r="AW6219" s="121"/>
      <c r="AX6219" s="120"/>
      <c r="AY6219" s="121"/>
      <c r="AZ6219" s="138"/>
    </row>
    <row r="6220" spans="1:52" ht="17.100000000000001" customHeight="1" thickTop="1">
      <c r="A6220" s="151" t="s">
        <v>18112</v>
      </c>
      <c r="B6220" s="28">
        <v>46069</v>
      </c>
      <c r="C6220" s="25"/>
      <c r="D6220" s="13" t="s">
        <v>1640</v>
      </c>
      <c r="E6220" s="111"/>
      <c r="F6220" s="113" t="s">
        <v>18080</v>
      </c>
      <c r="G6220" s="114"/>
      <c r="H6220" s="115"/>
      <c r="I6220" s="24" t="s">
        <v>18081</v>
      </c>
      <c r="J6220" s="116">
        <v>4</v>
      </c>
      <c r="K6220" s="118">
        <f>902000/1.1</f>
        <v>819999.99999999988</v>
      </c>
      <c r="L6220" s="119"/>
      <c r="M6220" s="118">
        <f t="shared" ref="M6220" si="8371">K6220*0.1</f>
        <v>82000</v>
      </c>
      <c r="N6220" s="119"/>
      <c r="O6220" s="118">
        <v>0</v>
      </c>
      <c r="P6220" s="119"/>
      <c r="Q6220" s="118">
        <v>10190</v>
      </c>
      <c r="R6220" s="119"/>
      <c r="S6220" s="118">
        <v>0</v>
      </c>
      <c r="T6220" s="119"/>
      <c r="U6220" s="118">
        <f t="shared" ref="U6220" si="8372">SUM(K6220:T6221)</f>
        <v>912189.99999999988</v>
      </c>
      <c r="V6220" s="122"/>
      <c r="W6220" s="124"/>
      <c r="X6220" s="126" t="s">
        <v>19335</v>
      </c>
      <c r="Y6220" s="127"/>
      <c r="Z6220" s="127"/>
      <c r="AA6220" s="127"/>
      <c r="AB6220" s="128"/>
      <c r="AC6220" s="15" t="s">
        <v>20</v>
      </c>
      <c r="AD6220" s="129" t="s">
        <v>171</v>
      </c>
      <c r="AE6220" s="130"/>
      <c r="AF6220" s="130"/>
      <c r="AG6220" s="130"/>
      <c r="AH6220" s="130"/>
      <c r="AI6220" s="131"/>
      <c r="AJ6220" s="132" t="s">
        <v>20283</v>
      </c>
      <c r="AK6220" s="127"/>
      <c r="AL6220" s="128"/>
      <c r="AM6220" s="21"/>
      <c r="AN6220" s="133"/>
      <c r="AO6220" s="134"/>
      <c r="AP6220" s="135"/>
      <c r="AQ6220" s="136"/>
      <c r="AR6220" s="118"/>
      <c r="AS6220" s="119"/>
      <c r="AT6220" s="118">
        <f t="shared" ref="AT6220" si="8373">AR6220*0.1</f>
        <v>0</v>
      </c>
      <c r="AU6220" s="119"/>
      <c r="AV6220" s="118"/>
      <c r="AW6220" s="119"/>
      <c r="AX6220" s="118">
        <f t="shared" ref="AX6220" si="8374">SUM(AR6220:AW6220)</f>
        <v>0</v>
      </c>
      <c r="AY6220" s="119"/>
      <c r="AZ6220" s="137"/>
    </row>
    <row r="6221" spans="1:52" ht="17.100000000000001" customHeight="1" thickBot="1">
      <c r="A6221" s="152"/>
      <c r="B6221" s="27" t="s">
        <v>1718</v>
      </c>
      <c r="C6221" s="27" t="s">
        <v>18062</v>
      </c>
      <c r="D6221" s="14" t="s">
        <v>275</v>
      </c>
      <c r="E6221" s="112"/>
      <c r="F6221" s="139" t="s">
        <v>18063</v>
      </c>
      <c r="G6221" s="140"/>
      <c r="H6221" s="141"/>
      <c r="I6221" s="26">
        <v>71528</v>
      </c>
      <c r="J6221" s="117"/>
      <c r="K6221" s="120"/>
      <c r="L6221" s="121"/>
      <c r="M6221" s="120"/>
      <c r="N6221" s="121"/>
      <c r="O6221" s="120"/>
      <c r="P6221" s="121"/>
      <c r="Q6221" s="120"/>
      <c r="R6221" s="121"/>
      <c r="S6221" s="120"/>
      <c r="T6221" s="121"/>
      <c r="U6221" s="120"/>
      <c r="V6221" s="123"/>
      <c r="W6221" s="125"/>
      <c r="X6221" s="142" t="s">
        <v>19336</v>
      </c>
      <c r="Y6221" s="143"/>
      <c r="Z6221" s="143"/>
      <c r="AA6221" s="143"/>
      <c r="AB6221" s="144"/>
      <c r="AC6221" s="16" t="s">
        <v>21</v>
      </c>
      <c r="AD6221" s="17" t="s">
        <v>859</v>
      </c>
      <c r="AE6221" s="145" t="s">
        <v>1609</v>
      </c>
      <c r="AF6221" s="146"/>
      <c r="AG6221" s="146"/>
      <c r="AH6221" s="146"/>
      <c r="AI6221" s="147"/>
      <c r="AJ6221" s="148"/>
      <c r="AK6221" s="143"/>
      <c r="AL6221" s="144"/>
      <c r="AM6221" s="22"/>
      <c r="AN6221" s="149"/>
      <c r="AO6221" s="144"/>
      <c r="AP6221" s="148"/>
      <c r="AQ6221" s="144"/>
      <c r="AR6221" s="120"/>
      <c r="AS6221" s="121"/>
      <c r="AT6221" s="120"/>
      <c r="AU6221" s="121"/>
      <c r="AV6221" s="120"/>
      <c r="AW6221" s="121"/>
      <c r="AX6221" s="120"/>
      <c r="AY6221" s="121"/>
      <c r="AZ6221" s="138"/>
    </row>
    <row r="6222" spans="1:52" ht="17.100000000000001" customHeight="1" thickTop="1">
      <c r="A6222" s="109" t="s">
        <v>18113</v>
      </c>
      <c r="B6222" s="28">
        <v>46069</v>
      </c>
      <c r="C6222" s="25"/>
      <c r="D6222" s="13" t="s">
        <v>3296</v>
      </c>
      <c r="E6222" s="111"/>
      <c r="F6222" s="113" t="s">
        <v>18082</v>
      </c>
      <c r="G6222" s="114"/>
      <c r="H6222" s="115"/>
      <c r="I6222" s="24" t="s">
        <v>13262</v>
      </c>
      <c r="J6222" s="116">
        <v>4.5</v>
      </c>
      <c r="K6222" s="118">
        <f>6380000/1.1</f>
        <v>5799999.9999999991</v>
      </c>
      <c r="L6222" s="119"/>
      <c r="M6222" s="118">
        <f t="shared" ref="M6222" si="8375">K6222*0.1</f>
        <v>579999.99999999988</v>
      </c>
      <c r="N6222" s="119"/>
      <c r="O6222" s="118">
        <v>0</v>
      </c>
      <c r="P6222" s="119"/>
      <c r="Q6222" s="118">
        <v>15760</v>
      </c>
      <c r="R6222" s="119"/>
      <c r="S6222" s="118">
        <v>0</v>
      </c>
      <c r="T6222" s="119"/>
      <c r="U6222" s="118">
        <f t="shared" ref="U6222" si="8376">SUM(K6222:T6223)</f>
        <v>6395759.9999999991</v>
      </c>
      <c r="V6222" s="122"/>
      <c r="W6222" s="124"/>
      <c r="X6222" s="126" t="s">
        <v>21671</v>
      </c>
      <c r="Y6222" s="127"/>
      <c r="Z6222" s="127"/>
      <c r="AA6222" s="127"/>
      <c r="AB6222" s="128"/>
      <c r="AC6222" s="15" t="s">
        <v>20</v>
      </c>
      <c r="AD6222" s="129" t="s">
        <v>171</v>
      </c>
      <c r="AE6222" s="130"/>
      <c r="AF6222" s="130"/>
      <c r="AG6222" s="130"/>
      <c r="AH6222" s="130"/>
      <c r="AI6222" s="131"/>
      <c r="AJ6222" s="132"/>
      <c r="AK6222" s="127"/>
      <c r="AL6222" s="128"/>
      <c r="AM6222" s="21"/>
      <c r="AN6222" s="133">
        <v>46123</v>
      </c>
      <c r="AO6222" s="134"/>
      <c r="AP6222" s="135">
        <v>1296</v>
      </c>
      <c r="AQ6222" s="136"/>
      <c r="AR6222" s="118">
        <v>5795000</v>
      </c>
      <c r="AS6222" s="119"/>
      <c r="AT6222" s="118">
        <f t="shared" ref="AT6222" si="8377">AR6222*0.1</f>
        <v>579500</v>
      </c>
      <c r="AU6222" s="119"/>
      <c r="AV6222" s="118">
        <v>15760</v>
      </c>
      <c r="AW6222" s="119"/>
      <c r="AX6222" s="118">
        <f t="shared" ref="AX6222" si="8378">SUM(AR6222:AW6222)</f>
        <v>6390260</v>
      </c>
      <c r="AY6222" s="119"/>
      <c r="AZ6222" s="137">
        <v>46126</v>
      </c>
    </row>
    <row r="6223" spans="1:52" ht="17.100000000000001" customHeight="1" thickBot="1">
      <c r="A6223" s="110"/>
      <c r="B6223" s="27" t="s">
        <v>1718</v>
      </c>
      <c r="C6223" s="27" t="s">
        <v>18064</v>
      </c>
      <c r="D6223" s="14" t="s">
        <v>275</v>
      </c>
      <c r="E6223" s="112"/>
      <c r="F6223" s="139" t="s">
        <v>18065</v>
      </c>
      <c r="G6223" s="140"/>
      <c r="H6223" s="141"/>
      <c r="I6223" s="26">
        <v>48821</v>
      </c>
      <c r="J6223" s="117"/>
      <c r="K6223" s="120"/>
      <c r="L6223" s="121"/>
      <c r="M6223" s="120"/>
      <c r="N6223" s="121"/>
      <c r="O6223" s="120"/>
      <c r="P6223" s="121"/>
      <c r="Q6223" s="120"/>
      <c r="R6223" s="121"/>
      <c r="S6223" s="120"/>
      <c r="T6223" s="121"/>
      <c r="U6223" s="120"/>
      <c r="V6223" s="123"/>
      <c r="W6223" s="125"/>
      <c r="X6223" s="142" t="s">
        <v>21672</v>
      </c>
      <c r="Y6223" s="143"/>
      <c r="Z6223" s="143"/>
      <c r="AA6223" s="143"/>
      <c r="AB6223" s="144"/>
      <c r="AC6223" s="16" t="s">
        <v>21</v>
      </c>
      <c r="AD6223" s="17" t="s">
        <v>1918</v>
      </c>
      <c r="AE6223" s="145" t="s">
        <v>21673</v>
      </c>
      <c r="AF6223" s="146"/>
      <c r="AG6223" s="146"/>
      <c r="AH6223" s="146"/>
      <c r="AI6223" s="147"/>
      <c r="AJ6223" s="148"/>
      <c r="AK6223" s="143"/>
      <c r="AL6223" s="144"/>
      <c r="AM6223" s="22"/>
      <c r="AN6223" s="149" t="s">
        <v>2511</v>
      </c>
      <c r="AO6223" s="144"/>
      <c r="AP6223" s="148">
        <v>31007</v>
      </c>
      <c r="AQ6223" s="144"/>
      <c r="AR6223" s="120"/>
      <c r="AS6223" s="121"/>
      <c r="AT6223" s="120"/>
      <c r="AU6223" s="121"/>
      <c r="AV6223" s="120"/>
      <c r="AW6223" s="121"/>
      <c r="AX6223" s="120"/>
      <c r="AY6223" s="121"/>
      <c r="AZ6223" s="138"/>
    </row>
    <row r="6224" spans="1:52" ht="17.100000000000001" customHeight="1" thickTop="1">
      <c r="A6224" s="109" t="s">
        <v>18114</v>
      </c>
      <c r="B6224" s="28">
        <v>46069</v>
      </c>
      <c r="C6224" s="25"/>
      <c r="D6224" s="13" t="s">
        <v>1902</v>
      </c>
      <c r="E6224" s="111"/>
      <c r="F6224" s="113" t="s">
        <v>13500</v>
      </c>
      <c r="G6224" s="114"/>
      <c r="H6224" s="115"/>
      <c r="I6224" s="24" t="s">
        <v>16437</v>
      </c>
      <c r="J6224" s="116">
        <v>4</v>
      </c>
      <c r="K6224" s="118">
        <f>3976500/1.1</f>
        <v>3614999.9999999995</v>
      </c>
      <c r="L6224" s="119"/>
      <c r="M6224" s="118">
        <f t="shared" ref="M6224" si="8379">K6224*0.1</f>
        <v>361500</v>
      </c>
      <c r="N6224" s="119"/>
      <c r="O6224" s="118">
        <v>0</v>
      </c>
      <c r="P6224" s="119"/>
      <c r="Q6224" s="118">
        <v>12490</v>
      </c>
      <c r="R6224" s="119"/>
      <c r="S6224" s="118">
        <v>0</v>
      </c>
      <c r="T6224" s="119"/>
      <c r="U6224" s="118">
        <f t="shared" ref="U6224" si="8380">SUM(K6224:T6225)</f>
        <v>3988989.9999999995</v>
      </c>
      <c r="V6224" s="122"/>
      <c r="W6224" s="124"/>
      <c r="X6224" s="126" t="s">
        <v>19127</v>
      </c>
      <c r="Y6224" s="127"/>
      <c r="Z6224" s="127"/>
      <c r="AA6224" s="127"/>
      <c r="AB6224" s="128"/>
      <c r="AC6224" s="15" t="s">
        <v>20</v>
      </c>
      <c r="AD6224" s="129" t="s">
        <v>1633</v>
      </c>
      <c r="AE6224" s="130"/>
      <c r="AF6224" s="130"/>
      <c r="AG6224" s="130"/>
      <c r="AH6224" s="130"/>
      <c r="AI6224" s="131"/>
      <c r="AJ6224" s="132" t="s">
        <v>21183</v>
      </c>
      <c r="AK6224" s="127"/>
      <c r="AL6224" s="128"/>
      <c r="AM6224" s="21" t="s">
        <v>20068</v>
      </c>
      <c r="AN6224" s="133">
        <v>46102</v>
      </c>
      <c r="AO6224" s="134"/>
      <c r="AP6224" s="135">
        <v>1293</v>
      </c>
      <c r="AQ6224" s="136"/>
      <c r="AR6224" s="118">
        <v>3805000</v>
      </c>
      <c r="AS6224" s="119"/>
      <c r="AT6224" s="118">
        <f t="shared" ref="AT6224" si="8381">AR6224*0.1</f>
        <v>380500</v>
      </c>
      <c r="AU6224" s="119"/>
      <c r="AV6224" s="118">
        <v>12490</v>
      </c>
      <c r="AW6224" s="119"/>
      <c r="AX6224" s="118">
        <f t="shared" ref="AX6224" si="8382">SUM(AR6224:AW6224)</f>
        <v>4197990</v>
      </c>
      <c r="AY6224" s="119"/>
      <c r="AZ6224" s="137">
        <v>46105</v>
      </c>
    </row>
    <row r="6225" spans="1:52" ht="17.100000000000001" customHeight="1" thickBot="1">
      <c r="A6225" s="110"/>
      <c r="B6225" s="27" t="s">
        <v>1718</v>
      </c>
      <c r="C6225" s="27" t="s">
        <v>18066</v>
      </c>
      <c r="D6225" s="14" t="s">
        <v>275</v>
      </c>
      <c r="E6225" s="112"/>
      <c r="F6225" s="139" t="s">
        <v>18067</v>
      </c>
      <c r="G6225" s="140"/>
      <c r="H6225" s="141"/>
      <c r="I6225" s="26">
        <v>52688</v>
      </c>
      <c r="J6225" s="117"/>
      <c r="K6225" s="120"/>
      <c r="L6225" s="121"/>
      <c r="M6225" s="120"/>
      <c r="N6225" s="121"/>
      <c r="O6225" s="120"/>
      <c r="P6225" s="121"/>
      <c r="Q6225" s="120"/>
      <c r="R6225" s="121"/>
      <c r="S6225" s="120"/>
      <c r="T6225" s="121"/>
      <c r="U6225" s="120"/>
      <c r="V6225" s="123"/>
      <c r="W6225" s="125"/>
      <c r="X6225" s="142" t="s">
        <v>19128</v>
      </c>
      <c r="Y6225" s="143"/>
      <c r="Z6225" s="143"/>
      <c r="AA6225" s="143"/>
      <c r="AB6225" s="144"/>
      <c r="AC6225" s="16" t="s">
        <v>21</v>
      </c>
      <c r="AD6225" s="17" t="s">
        <v>1902</v>
      </c>
      <c r="AE6225" s="145" t="s">
        <v>19129</v>
      </c>
      <c r="AF6225" s="146"/>
      <c r="AG6225" s="146"/>
      <c r="AH6225" s="146"/>
      <c r="AI6225" s="147"/>
      <c r="AJ6225" s="148"/>
      <c r="AK6225" s="143"/>
      <c r="AL6225" s="144"/>
      <c r="AM6225" s="22"/>
      <c r="AN6225" s="149" t="s">
        <v>2511</v>
      </c>
      <c r="AO6225" s="144"/>
      <c r="AP6225" s="148">
        <v>37310</v>
      </c>
      <c r="AQ6225" s="144"/>
      <c r="AR6225" s="120"/>
      <c r="AS6225" s="121"/>
      <c r="AT6225" s="120"/>
      <c r="AU6225" s="121"/>
      <c r="AV6225" s="120"/>
      <c r="AW6225" s="121"/>
      <c r="AX6225" s="120"/>
      <c r="AY6225" s="121"/>
      <c r="AZ6225" s="138"/>
    </row>
    <row r="6226" spans="1:52" ht="17.100000000000001" customHeight="1" thickTop="1">
      <c r="A6226" s="109" t="s">
        <v>18115</v>
      </c>
      <c r="B6226" s="28">
        <v>46069</v>
      </c>
      <c r="C6226" s="25"/>
      <c r="D6226" s="13" t="s">
        <v>2135</v>
      </c>
      <c r="E6226" s="111"/>
      <c r="F6226" s="113" t="s">
        <v>18083</v>
      </c>
      <c r="G6226" s="114"/>
      <c r="H6226" s="115"/>
      <c r="I6226" s="24" t="s">
        <v>13277</v>
      </c>
      <c r="J6226" s="116">
        <v>4.5</v>
      </c>
      <c r="K6226" s="118">
        <f>7359000/1.1</f>
        <v>6689999.9999999991</v>
      </c>
      <c r="L6226" s="119"/>
      <c r="M6226" s="118">
        <f t="shared" ref="M6226" si="8383">K6226*0.1</f>
        <v>669000</v>
      </c>
      <c r="N6226" s="119"/>
      <c r="O6226" s="118">
        <v>0</v>
      </c>
      <c r="P6226" s="119"/>
      <c r="Q6226" s="118">
        <v>13990</v>
      </c>
      <c r="R6226" s="119"/>
      <c r="S6226" s="118">
        <v>0</v>
      </c>
      <c r="T6226" s="119"/>
      <c r="U6226" s="118">
        <f t="shared" ref="U6226" si="8384">SUM(K6226:T6227)</f>
        <v>7372989.9999999991</v>
      </c>
      <c r="V6226" s="122"/>
      <c r="W6226" s="124"/>
      <c r="X6226" s="126" t="s">
        <v>18918</v>
      </c>
      <c r="Y6226" s="127"/>
      <c r="Z6226" s="127"/>
      <c r="AA6226" s="127"/>
      <c r="AB6226" s="128"/>
      <c r="AC6226" s="15" t="s">
        <v>20</v>
      </c>
      <c r="AD6226" s="129" t="s">
        <v>171</v>
      </c>
      <c r="AE6226" s="130"/>
      <c r="AF6226" s="130"/>
      <c r="AG6226" s="130"/>
      <c r="AH6226" s="130"/>
      <c r="AI6226" s="131"/>
      <c r="AJ6226" s="132"/>
      <c r="AK6226" s="127"/>
      <c r="AL6226" s="128"/>
      <c r="AM6226" s="21"/>
      <c r="AN6226" s="133">
        <v>46088</v>
      </c>
      <c r="AO6226" s="134"/>
      <c r="AP6226" s="135">
        <v>1291</v>
      </c>
      <c r="AQ6226" s="136"/>
      <c r="AR6226" s="118">
        <v>6785000</v>
      </c>
      <c r="AS6226" s="119"/>
      <c r="AT6226" s="118">
        <f t="shared" ref="AT6226" si="8385">AR6226*0.1</f>
        <v>678500</v>
      </c>
      <c r="AU6226" s="119"/>
      <c r="AV6226" s="118">
        <v>13990</v>
      </c>
      <c r="AW6226" s="119"/>
      <c r="AX6226" s="118">
        <f t="shared" ref="AX6226" si="8386">SUM(AR6226:AW6226)</f>
        <v>7477490</v>
      </c>
      <c r="AY6226" s="119"/>
      <c r="AZ6226" s="137">
        <v>46091</v>
      </c>
    </row>
    <row r="6227" spans="1:52" ht="17.100000000000001" customHeight="1" thickBot="1">
      <c r="A6227" s="110"/>
      <c r="B6227" s="27" t="s">
        <v>1718</v>
      </c>
      <c r="C6227" s="27" t="s">
        <v>18068</v>
      </c>
      <c r="D6227" s="14" t="s">
        <v>275</v>
      </c>
      <c r="E6227" s="112"/>
      <c r="F6227" s="139" t="s">
        <v>18069</v>
      </c>
      <c r="G6227" s="140"/>
      <c r="H6227" s="141"/>
      <c r="I6227" s="26">
        <v>37356</v>
      </c>
      <c r="J6227" s="117"/>
      <c r="K6227" s="120"/>
      <c r="L6227" s="121"/>
      <c r="M6227" s="120"/>
      <c r="N6227" s="121"/>
      <c r="O6227" s="120"/>
      <c r="P6227" s="121"/>
      <c r="Q6227" s="120"/>
      <c r="R6227" s="121"/>
      <c r="S6227" s="120"/>
      <c r="T6227" s="121"/>
      <c r="U6227" s="120"/>
      <c r="V6227" s="123"/>
      <c r="W6227" s="125"/>
      <c r="X6227" s="142" t="s">
        <v>18919</v>
      </c>
      <c r="Y6227" s="143"/>
      <c r="Z6227" s="143"/>
      <c r="AA6227" s="143"/>
      <c r="AB6227" s="144"/>
      <c r="AC6227" s="16" t="s">
        <v>21</v>
      </c>
      <c r="AD6227" s="17" t="s">
        <v>3616</v>
      </c>
      <c r="AE6227" s="145" t="s">
        <v>2051</v>
      </c>
      <c r="AF6227" s="146"/>
      <c r="AG6227" s="146"/>
      <c r="AH6227" s="146"/>
      <c r="AI6227" s="147"/>
      <c r="AJ6227" s="148"/>
      <c r="AK6227" s="143"/>
      <c r="AL6227" s="144"/>
      <c r="AM6227" s="22"/>
      <c r="AN6227" s="149" t="s">
        <v>2511</v>
      </c>
      <c r="AO6227" s="144"/>
      <c r="AP6227" s="148">
        <v>37157</v>
      </c>
      <c r="AQ6227" s="144"/>
      <c r="AR6227" s="120"/>
      <c r="AS6227" s="121"/>
      <c r="AT6227" s="120"/>
      <c r="AU6227" s="121"/>
      <c r="AV6227" s="120"/>
      <c r="AW6227" s="121"/>
      <c r="AX6227" s="120"/>
      <c r="AY6227" s="121"/>
      <c r="AZ6227" s="138"/>
    </row>
    <row r="6228" spans="1:52" ht="17.100000000000001" customHeight="1" thickTop="1">
      <c r="A6228" s="109" t="s">
        <v>18116</v>
      </c>
      <c r="B6228" s="28">
        <v>46069</v>
      </c>
      <c r="C6228" s="25"/>
      <c r="D6228" s="13" t="s">
        <v>1631</v>
      </c>
      <c r="E6228" s="111"/>
      <c r="F6228" s="113" t="s">
        <v>18084</v>
      </c>
      <c r="G6228" s="114"/>
      <c r="H6228" s="115"/>
      <c r="I6228" s="24" t="s">
        <v>18085</v>
      </c>
      <c r="J6228" s="116">
        <v>4</v>
      </c>
      <c r="K6228" s="118">
        <f>2354000/1.1</f>
        <v>2140000</v>
      </c>
      <c r="L6228" s="119"/>
      <c r="M6228" s="118">
        <f t="shared" ref="M6228" si="8387">K6228*0.1</f>
        <v>214000</v>
      </c>
      <c r="N6228" s="119"/>
      <c r="O6228" s="118">
        <v>0</v>
      </c>
      <c r="P6228" s="119"/>
      <c r="Q6228" s="118">
        <v>10490</v>
      </c>
      <c r="R6228" s="119"/>
      <c r="S6228" s="118">
        <v>0</v>
      </c>
      <c r="T6228" s="119"/>
      <c r="U6228" s="118">
        <f t="shared" ref="U6228" si="8388">SUM(K6228:T6229)</f>
        <v>2364490</v>
      </c>
      <c r="V6228" s="122"/>
      <c r="W6228" s="124"/>
      <c r="X6228" s="126" t="s">
        <v>21032</v>
      </c>
      <c r="Y6228" s="127"/>
      <c r="Z6228" s="127"/>
      <c r="AA6228" s="127"/>
      <c r="AB6228" s="128"/>
      <c r="AC6228" s="15" t="s">
        <v>20</v>
      </c>
      <c r="AD6228" s="129" t="s">
        <v>18095</v>
      </c>
      <c r="AE6228" s="130"/>
      <c r="AF6228" s="130"/>
      <c r="AG6228" s="130"/>
      <c r="AH6228" s="130"/>
      <c r="AI6228" s="131"/>
      <c r="AJ6228" s="132"/>
      <c r="AK6228" s="127"/>
      <c r="AL6228" s="128"/>
      <c r="AM6228" s="21"/>
      <c r="AN6228" s="133">
        <v>46102</v>
      </c>
      <c r="AO6228" s="134"/>
      <c r="AP6228" s="135">
        <v>1293</v>
      </c>
      <c r="AQ6228" s="136"/>
      <c r="AR6228" s="118">
        <v>2450000</v>
      </c>
      <c r="AS6228" s="119"/>
      <c r="AT6228" s="118">
        <f t="shared" ref="AT6228" si="8389">AR6228*0.1</f>
        <v>245000</v>
      </c>
      <c r="AU6228" s="119"/>
      <c r="AV6228" s="118">
        <v>10490</v>
      </c>
      <c r="AW6228" s="119"/>
      <c r="AX6228" s="118">
        <f t="shared" ref="AX6228" si="8390">SUM(AR6228:AW6228)</f>
        <v>2705490</v>
      </c>
      <c r="AY6228" s="119"/>
      <c r="AZ6228" s="137">
        <v>46107</v>
      </c>
    </row>
    <row r="6229" spans="1:52" ht="17.100000000000001" customHeight="1" thickBot="1">
      <c r="A6229" s="110"/>
      <c r="B6229" s="27" t="s">
        <v>1718</v>
      </c>
      <c r="C6229" s="27" t="s">
        <v>18070</v>
      </c>
      <c r="D6229" s="14" t="s">
        <v>2601</v>
      </c>
      <c r="E6229" s="112"/>
      <c r="F6229" s="139" t="s">
        <v>18071</v>
      </c>
      <c r="G6229" s="140"/>
      <c r="H6229" s="141"/>
      <c r="I6229" s="26">
        <v>19054</v>
      </c>
      <c r="J6229" s="117"/>
      <c r="K6229" s="120"/>
      <c r="L6229" s="121"/>
      <c r="M6229" s="120"/>
      <c r="N6229" s="121"/>
      <c r="O6229" s="120"/>
      <c r="P6229" s="121"/>
      <c r="Q6229" s="120"/>
      <c r="R6229" s="121"/>
      <c r="S6229" s="120"/>
      <c r="T6229" s="121"/>
      <c r="U6229" s="120"/>
      <c r="V6229" s="123"/>
      <c r="W6229" s="125"/>
      <c r="X6229" s="142" t="s">
        <v>21033</v>
      </c>
      <c r="Y6229" s="143"/>
      <c r="Z6229" s="143"/>
      <c r="AA6229" s="143"/>
      <c r="AB6229" s="144"/>
      <c r="AC6229" s="16" t="s">
        <v>21</v>
      </c>
      <c r="AD6229" s="17" t="s">
        <v>21034</v>
      </c>
      <c r="AE6229" s="145" t="s">
        <v>21035</v>
      </c>
      <c r="AF6229" s="146"/>
      <c r="AG6229" s="146"/>
      <c r="AH6229" s="146"/>
      <c r="AI6229" s="147"/>
      <c r="AJ6229" s="148"/>
      <c r="AK6229" s="143"/>
      <c r="AL6229" s="144"/>
      <c r="AM6229" s="22"/>
      <c r="AN6229" s="149" t="s">
        <v>2511</v>
      </c>
      <c r="AO6229" s="144"/>
      <c r="AP6229" s="148">
        <v>37312</v>
      </c>
      <c r="AQ6229" s="144"/>
      <c r="AR6229" s="120"/>
      <c r="AS6229" s="121"/>
      <c r="AT6229" s="120"/>
      <c r="AU6229" s="121"/>
      <c r="AV6229" s="120"/>
      <c r="AW6229" s="121"/>
      <c r="AX6229" s="120"/>
      <c r="AY6229" s="121"/>
      <c r="AZ6229" s="138"/>
    </row>
    <row r="6230" spans="1:52" ht="17.100000000000001" customHeight="1" thickTop="1">
      <c r="A6230" s="109" t="s">
        <v>18117</v>
      </c>
      <c r="B6230" s="28">
        <v>46069</v>
      </c>
      <c r="C6230" s="25"/>
      <c r="D6230" s="13" t="s">
        <v>1760</v>
      </c>
      <c r="E6230" s="111"/>
      <c r="F6230" s="113" t="s">
        <v>18096</v>
      </c>
      <c r="G6230" s="114"/>
      <c r="H6230" s="115"/>
      <c r="I6230" s="24" t="s">
        <v>18097</v>
      </c>
      <c r="J6230" s="116">
        <v>4.5</v>
      </c>
      <c r="K6230" s="118">
        <f>935000/1.1</f>
        <v>849999.99999999988</v>
      </c>
      <c r="L6230" s="119"/>
      <c r="M6230" s="118">
        <f t="shared" ref="M6230" si="8391">K6230*0.1</f>
        <v>85000</v>
      </c>
      <c r="N6230" s="119"/>
      <c r="O6230" s="118">
        <v>0</v>
      </c>
      <c r="P6230" s="119"/>
      <c r="Q6230" s="118">
        <v>8550</v>
      </c>
      <c r="R6230" s="119"/>
      <c r="S6230" s="118">
        <v>0</v>
      </c>
      <c r="T6230" s="119"/>
      <c r="U6230" s="118">
        <f t="shared" ref="U6230" si="8392">SUM(K6230:T6231)</f>
        <v>943549.99999999988</v>
      </c>
      <c r="V6230" s="122"/>
      <c r="W6230" s="124"/>
      <c r="X6230" s="126" t="s">
        <v>19331</v>
      </c>
      <c r="Y6230" s="127"/>
      <c r="Z6230" s="127"/>
      <c r="AA6230" s="127"/>
      <c r="AB6230" s="128"/>
      <c r="AC6230" s="15" t="s">
        <v>20</v>
      </c>
      <c r="AD6230" s="129" t="s">
        <v>1732</v>
      </c>
      <c r="AE6230" s="130"/>
      <c r="AF6230" s="130"/>
      <c r="AG6230" s="130"/>
      <c r="AH6230" s="130"/>
      <c r="AI6230" s="131"/>
      <c r="AJ6230" s="132"/>
      <c r="AK6230" s="127"/>
      <c r="AL6230" s="128"/>
      <c r="AM6230" s="21"/>
      <c r="AN6230" s="133">
        <v>46116</v>
      </c>
      <c r="AO6230" s="134"/>
      <c r="AP6230" s="135">
        <v>1295</v>
      </c>
      <c r="AQ6230" s="136"/>
      <c r="AR6230" s="118">
        <v>930000</v>
      </c>
      <c r="AS6230" s="119"/>
      <c r="AT6230" s="118">
        <f t="shared" ref="AT6230" si="8393">AR6230*0.1</f>
        <v>93000</v>
      </c>
      <c r="AU6230" s="119"/>
      <c r="AV6230" s="118">
        <v>8550</v>
      </c>
      <c r="AW6230" s="119"/>
      <c r="AX6230" s="118">
        <f t="shared" ref="AX6230" si="8394">SUM(AR6230:AW6230)</f>
        <v>1031550</v>
      </c>
      <c r="AY6230" s="119"/>
      <c r="AZ6230" s="137">
        <v>46119</v>
      </c>
    </row>
    <row r="6231" spans="1:52" ht="17.100000000000001" customHeight="1" thickBot="1">
      <c r="A6231" s="110"/>
      <c r="B6231" s="27" t="s">
        <v>1718</v>
      </c>
      <c r="C6231" s="27" t="s">
        <v>18089</v>
      </c>
      <c r="D6231" s="14" t="s">
        <v>1592</v>
      </c>
      <c r="E6231" s="112"/>
      <c r="F6231" s="139" t="s">
        <v>18090</v>
      </c>
      <c r="G6231" s="140"/>
      <c r="H6231" s="141"/>
      <c r="I6231" s="26">
        <v>53863</v>
      </c>
      <c r="J6231" s="117"/>
      <c r="K6231" s="120"/>
      <c r="L6231" s="121"/>
      <c r="M6231" s="120"/>
      <c r="N6231" s="121"/>
      <c r="O6231" s="120"/>
      <c r="P6231" s="121"/>
      <c r="Q6231" s="120"/>
      <c r="R6231" s="121"/>
      <c r="S6231" s="120"/>
      <c r="T6231" s="121"/>
      <c r="U6231" s="120"/>
      <c r="V6231" s="123"/>
      <c r="W6231" s="125"/>
      <c r="X6231" s="142" t="s">
        <v>19332</v>
      </c>
      <c r="Y6231" s="143"/>
      <c r="Z6231" s="143"/>
      <c r="AA6231" s="143"/>
      <c r="AB6231" s="144"/>
      <c r="AC6231" s="16" t="s">
        <v>21</v>
      </c>
      <c r="AD6231" s="17" t="s">
        <v>859</v>
      </c>
      <c r="AE6231" s="145" t="s">
        <v>1742</v>
      </c>
      <c r="AF6231" s="146"/>
      <c r="AG6231" s="146"/>
      <c r="AH6231" s="146"/>
      <c r="AI6231" s="147"/>
      <c r="AJ6231" s="148"/>
      <c r="AK6231" s="143"/>
      <c r="AL6231" s="144"/>
      <c r="AM6231" s="22"/>
      <c r="AN6231" s="149" t="s">
        <v>2511</v>
      </c>
      <c r="AO6231" s="144"/>
      <c r="AP6231" s="148">
        <v>65390</v>
      </c>
      <c r="AQ6231" s="144"/>
      <c r="AR6231" s="120"/>
      <c r="AS6231" s="121"/>
      <c r="AT6231" s="120"/>
      <c r="AU6231" s="121"/>
      <c r="AV6231" s="120"/>
      <c r="AW6231" s="121"/>
      <c r="AX6231" s="120"/>
      <c r="AY6231" s="121"/>
      <c r="AZ6231" s="138"/>
    </row>
    <row r="6232" spans="1:52" ht="17.100000000000001" customHeight="1" thickTop="1">
      <c r="A6232" s="109" t="s">
        <v>18118</v>
      </c>
      <c r="B6232" s="28">
        <v>46069</v>
      </c>
      <c r="C6232" s="25"/>
      <c r="D6232" s="13" t="s">
        <v>2272</v>
      </c>
      <c r="E6232" s="111"/>
      <c r="F6232" s="113" t="s">
        <v>18078</v>
      </c>
      <c r="G6232" s="114"/>
      <c r="H6232" s="115"/>
      <c r="I6232" s="24" t="s">
        <v>11259</v>
      </c>
      <c r="J6232" s="116">
        <v>4.5</v>
      </c>
      <c r="K6232" s="118">
        <f>3030500/1.1</f>
        <v>2755000</v>
      </c>
      <c r="L6232" s="119"/>
      <c r="M6232" s="118">
        <f t="shared" ref="M6232" si="8395">K6232*0.1</f>
        <v>275500</v>
      </c>
      <c r="N6232" s="119"/>
      <c r="O6232" s="118">
        <v>0</v>
      </c>
      <c r="P6232" s="119"/>
      <c r="Q6232" s="118">
        <v>11710</v>
      </c>
      <c r="R6232" s="119"/>
      <c r="S6232" s="118">
        <v>0</v>
      </c>
      <c r="T6232" s="119"/>
      <c r="U6232" s="118">
        <f t="shared" ref="U6232" si="8396">SUM(K6232:T6233)</f>
        <v>3042210</v>
      </c>
      <c r="V6232" s="122"/>
      <c r="W6232" s="124"/>
      <c r="X6232" s="126" t="s">
        <v>18916</v>
      </c>
      <c r="Y6232" s="127"/>
      <c r="Z6232" s="127"/>
      <c r="AA6232" s="127"/>
      <c r="AB6232" s="128"/>
      <c r="AC6232" s="15" t="s">
        <v>20</v>
      </c>
      <c r="AD6232" s="129" t="s">
        <v>1732</v>
      </c>
      <c r="AE6232" s="130"/>
      <c r="AF6232" s="130"/>
      <c r="AG6232" s="130"/>
      <c r="AH6232" s="130"/>
      <c r="AI6232" s="131"/>
      <c r="AJ6232" s="132"/>
      <c r="AK6232" s="127"/>
      <c r="AL6232" s="128"/>
      <c r="AM6232" s="21" t="s">
        <v>19975</v>
      </c>
      <c r="AN6232" s="133">
        <v>46095</v>
      </c>
      <c r="AO6232" s="134"/>
      <c r="AP6232" s="135"/>
      <c r="AQ6232" s="136"/>
      <c r="AR6232" s="118">
        <v>2900000</v>
      </c>
      <c r="AS6232" s="119"/>
      <c r="AT6232" s="118">
        <f t="shared" ref="AT6232" si="8397">AR6232*0.1</f>
        <v>290000</v>
      </c>
      <c r="AU6232" s="119"/>
      <c r="AV6232" s="118">
        <v>11710</v>
      </c>
      <c r="AW6232" s="119"/>
      <c r="AX6232" s="118">
        <f t="shared" ref="AX6232" si="8398">SUM(AR6232:AW6232)</f>
        <v>3201710</v>
      </c>
      <c r="AY6232" s="119"/>
      <c r="AZ6232" s="137"/>
    </row>
    <row r="6233" spans="1:52" ht="17.100000000000001" customHeight="1" thickBot="1">
      <c r="A6233" s="110"/>
      <c r="B6233" s="27" t="s">
        <v>1718</v>
      </c>
      <c r="C6233" s="27" t="s">
        <v>18091</v>
      </c>
      <c r="D6233" s="14" t="s">
        <v>1592</v>
      </c>
      <c r="E6233" s="112"/>
      <c r="F6233" s="139" t="s">
        <v>18092</v>
      </c>
      <c r="G6233" s="140"/>
      <c r="H6233" s="141"/>
      <c r="I6233" s="26">
        <v>18843</v>
      </c>
      <c r="J6233" s="117"/>
      <c r="K6233" s="120"/>
      <c r="L6233" s="121"/>
      <c r="M6233" s="120"/>
      <c r="N6233" s="121"/>
      <c r="O6233" s="120"/>
      <c r="P6233" s="121"/>
      <c r="Q6233" s="120"/>
      <c r="R6233" s="121"/>
      <c r="S6233" s="120"/>
      <c r="T6233" s="121"/>
      <c r="U6233" s="120"/>
      <c r="V6233" s="123"/>
      <c r="W6233" s="125"/>
      <c r="X6233" s="142" t="s">
        <v>18917</v>
      </c>
      <c r="Y6233" s="143"/>
      <c r="Z6233" s="143"/>
      <c r="AA6233" s="143"/>
      <c r="AB6233" s="144"/>
      <c r="AC6233" s="16" t="s">
        <v>21</v>
      </c>
      <c r="AD6233" s="17" t="s">
        <v>3616</v>
      </c>
      <c r="AE6233" s="145" t="s">
        <v>19163</v>
      </c>
      <c r="AF6233" s="146"/>
      <c r="AG6233" s="146"/>
      <c r="AH6233" s="146"/>
      <c r="AI6233" s="147"/>
      <c r="AJ6233" s="148"/>
      <c r="AK6233" s="143"/>
      <c r="AL6233" s="144"/>
      <c r="AM6233" s="22"/>
      <c r="AN6233" s="149" t="s">
        <v>6789</v>
      </c>
      <c r="AO6233" s="144"/>
      <c r="AP6233" s="148">
        <v>52538</v>
      </c>
      <c r="AQ6233" s="144"/>
      <c r="AR6233" s="120"/>
      <c r="AS6233" s="121"/>
      <c r="AT6233" s="120"/>
      <c r="AU6233" s="121"/>
      <c r="AV6233" s="120"/>
      <c r="AW6233" s="121"/>
      <c r="AX6233" s="120"/>
      <c r="AY6233" s="121"/>
      <c r="AZ6233" s="138"/>
    </row>
    <row r="6234" spans="1:52" ht="17.100000000000001" customHeight="1" thickTop="1">
      <c r="A6234" s="109" t="s">
        <v>18119</v>
      </c>
      <c r="B6234" s="28">
        <v>46069</v>
      </c>
      <c r="C6234" s="25"/>
      <c r="D6234" s="13" t="s">
        <v>2428</v>
      </c>
      <c r="E6234" s="111"/>
      <c r="F6234" s="113" t="s">
        <v>18098</v>
      </c>
      <c r="G6234" s="114"/>
      <c r="H6234" s="115"/>
      <c r="I6234" s="24" t="s">
        <v>7044</v>
      </c>
      <c r="J6234" s="116">
        <v>4.5</v>
      </c>
      <c r="K6234" s="118">
        <f>3448500/1.1</f>
        <v>3134999.9999999995</v>
      </c>
      <c r="L6234" s="119"/>
      <c r="M6234" s="118">
        <f t="shared" ref="M6234" si="8399">K6234*0.1</f>
        <v>313499.99999999994</v>
      </c>
      <c r="N6234" s="119"/>
      <c r="O6234" s="118">
        <v>0</v>
      </c>
      <c r="P6234" s="119"/>
      <c r="Q6234" s="118">
        <v>13110</v>
      </c>
      <c r="R6234" s="119"/>
      <c r="S6234" s="118">
        <v>0</v>
      </c>
      <c r="T6234" s="119"/>
      <c r="U6234" s="118">
        <f t="shared" ref="U6234" si="8400">SUM(K6234:T6235)</f>
        <v>3461609.9999999995</v>
      </c>
      <c r="V6234" s="122"/>
      <c r="W6234" s="124"/>
      <c r="X6234" s="126" t="s">
        <v>20523</v>
      </c>
      <c r="Y6234" s="127"/>
      <c r="Z6234" s="127"/>
      <c r="AA6234" s="127"/>
      <c r="AB6234" s="128"/>
      <c r="AC6234" s="15" t="s">
        <v>20</v>
      </c>
      <c r="AD6234" s="129" t="s">
        <v>1945</v>
      </c>
      <c r="AE6234" s="130"/>
      <c r="AF6234" s="130"/>
      <c r="AG6234" s="130"/>
      <c r="AH6234" s="130"/>
      <c r="AI6234" s="131"/>
      <c r="AJ6234" s="132"/>
      <c r="AK6234" s="127"/>
      <c r="AL6234" s="128"/>
      <c r="AM6234" s="21" t="s">
        <v>22431</v>
      </c>
      <c r="AN6234" s="133"/>
      <c r="AO6234" s="134"/>
      <c r="AP6234" s="135"/>
      <c r="AQ6234" s="136"/>
      <c r="AR6234" s="118"/>
      <c r="AS6234" s="119"/>
      <c r="AT6234" s="118">
        <f t="shared" ref="AT6234" si="8401">AR6234*0.1</f>
        <v>0</v>
      </c>
      <c r="AU6234" s="119"/>
      <c r="AV6234" s="118"/>
      <c r="AW6234" s="119"/>
      <c r="AX6234" s="118">
        <f t="shared" ref="AX6234" si="8402">SUM(AR6234:AW6234)</f>
        <v>0</v>
      </c>
      <c r="AY6234" s="119"/>
      <c r="AZ6234" s="137"/>
    </row>
    <row r="6235" spans="1:52" ht="17.100000000000001" customHeight="1" thickBot="1">
      <c r="A6235" s="110"/>
      <c r="B6235" s="27" t="s">
        <v>1718</v>
      </c>
      <c r="C6235" s="27" t="s">
        <v>18093</v>
      </c>
      <c r="D6235" s="14" t="s">
        <v>275</v>
      </c>
      <c r="E6235" s="112"/>
      <c r="F6235" s="139" t="s">
        <v>18094</v>
      </c>
      <c r="G6235" s="140"/>
      <c r="H6235" s="141"/>
      <c r="I6235" s="26">
        <v>44388</v>
      </c>
      <c r="J6235" s="117"/>
      <c r="K6235" s="120"/>
      <c r="L6235" s="121"/>
      <c r="M6235" s="120"/>
      <c r="N6235" s="121"/>
      <c r="O6235" s="120"/>
      <c r="P6235" s="121"/>
      <c r="Q6235" s="120"/>
      <c r="R6235" s="121"/>
      <c r="S6235" s="120"/>
      <c r="T6235" s="121"/>
      <c r="U6235" s="120"/>
      <c r="V6235" s="123"/>
      <c r="W6235" s="125"/>
      <c r="X6235" s="142" t="s">
        <v>20524</v>
      </c>
      <c r="Y6235" s="143"/>
      <c r="Z6235" s="143"/>
      <c r="AA6235" s="143"/>
      <c r="AB6235" s="144"/>
      <c r="AC6235" s="16" t="s">
        <v>21</v>
      </c>
      <c r="AD6235" s="17" t="s">
        <v>20491</v>
      </c>
      <c r="AE6235" s="145" t="s">
        <v>20525</v>
      </c>
      <c r="AF6235" s="146"/>
      <c r="AG6235" s="146"/>
      <c r="AH6235" s="146"/>
      <c r="AI6235" s="147"/>
      <c r="AJ6235" s="148"/>
      <c r="AK6235" s="143"/>
      <c r="AL6235" s="144"/>
      <c r="AM6235" s="22"/>
      <c r="AN6235" s="149"/>
      <c r="AO6235" s="144"/>
      <c r="AP6235" s="148"/>
      <c r="AQ6235" s="144"/>
      <c r="AR6235" s="120"/>
      <c r="AS6235" s="121"/>
      <c r="AT6235" s="120"/>
      <c r="AU6235" s="121"/>
      <c r="AV6235" s="120"/>
      <c r="AW6235" s="121"/>
      <c r="AX6235" s="120"/>
      <c r="AY6235" s="121"/>
      <c r="AZ6235" s="138"/>
    </row>
    <row r="6236" spans="1:52" ht="17.100000000000001" customHeight="1" thickTop="1">
      <c r="A6236" s="109" t="s">
        <v>18164</v>
      </c>
      <c r="B6236" s="28">
        <v>46070</v>
      </c>
      <c r="C6236" s="25">
        <v>1081</v>
      </c>
      <c r="D6236" s="13" t="s">
        <v>2359</v>
      </c>
      <c r="E6236" s="111"/>
      <c r="F6236" s="113" t="s">
        <v>18206</v>
      </c>
      <c r="G6236" s="114"/>
      <c r="H6236" s="115"/>
      <c r="I6236" s="24" t="s">
        <v>15942</v>
      </c>
      <c r="J6236" s="116">
        <v>4.5</v>
      </c>
      <c r="K6236" s="118">
        <v>2325000</v>
      </c>
      <c r="L6236" s="119"/>
      <c r="M6236" s="118">
        <f t="shared" ref="M6236" si="8403">K6236*0.1</f>
        <v>232500</v>
      </c>
      <c r="N6236" s="119"/>
      <c r="O6236" s="118">
        <v>2750</v>
      </c>
      <c r="P6236" s="119"/>
      <c r="Q6236" s="118">
        <v>18100</v>
      </c>
      <c r="R6236" s="119"/>
      <c r="S6236" s="118">
        <v>16500</v>
      </c>
      <c r="T6236" s="119"/>
      <c r="U6236" s="118">
        <f t="shared" ref="U6236" si="8404">SUM(K6236:T6237)</f>
        <v>2594850</v>
      </c>
      <c r="V6236" s="122"/>
      <c r="W6236" s="124"/>
      <c r="X6236" s="126" t="s">
        <v>18207</v>
      </c>
      <c r="Y6236" s="127"/>
      <c r="Z6236" s="127"/>
      <c r="AA6236" s="127"/>
      <c r="AB6236" s="128"/>
      <c r="AC6236" s="15" t="s">
        <v>20</v>
      </c>
      <c r="AD6236" s="129" t="s">
        <v>18208</v>
      </c>
      <c r="AE6236" s="130"/>
      <c r="AF6236" s="130"/>
      <c r="AG6236" s="130"/>
      <c r="AH6236" s="130"/>
      <c r="AI6236" s="131"/>
      <c r="AJ6236" s="132"/>
      <c r="AK6236" s="127"/>
      <c r="AL6236" s="128"/>
      <c r="AM6236" s="21"/>
      <c r="AN6236" s="133">
        <v>46081</v>
      </c>
      <c r="AO6236" s="134"/>
      <c r="AP6236" s="135">
        <v>1290</v>
      </c>
      <c r="AQ6236" s="136"/>
      <c r="AR6236" s="118">
        <v>2420000</v>
      </c>
      <c r="AS6236" s="119"/>
      <c r="AT6236" s="118">
        <f t="shared" ref="AT6236" si="8405">AR6236*0.1</f>
        <v>242000</v>
      </c>
      <c r="AU6236" s="119"/>
      <c r="AV6236" s="118">
        <v>18100</v>
      </c>
      <c r="AW6236" s="119"/>
      <c r="AX6236" s="118">
        <f t="shared" ref="AX6236" si="8406">SUM(AR6236:AW6236)</f>
        <v>2680100</v>
      </c>
      <c r="AY6236" s="119"/>
      <c r="AZ6236" s="137">
        <v>46084</v>
      </c>
    </row>
    <row r="6237" spans="1:52" ht="17.100000000000001" customHeight="1" thickBot="1">
      <c r="A6237" s="110"/>
      <c r="B6237" s="27" t="s">
        <v>1591</v>
      </c>
      <c r="C6237" s="27">
        <v>82091</v>
      </c>
      <c r="D6237" s="14" t="s">
        <v>1592</v>
      </c>
      <c r="E6237" s="112"/>
      <c r="F6237" s="139" t="s">
        <v>18600</v>
      </c>
      <c r="G6237" s="140"/>
      <c r="H6237" s="141"/>
      <c r="I6237" s="26">
        <v>22783</v>
      </c>
      <c r="J6237" s="117"/>
      <c r="K6237" s="120"/>
      <c r="L6237" s="121"/>
      <c r="M6237" s="120"/>
      <c r="N6237" s="121"/>
      <c r="O6237" s="120"/>
      <c r="P6237" s="121"/>
      <c r="Q6237" s="120"/>
      <c r="R6237" s="121"/>
      <c r="S6237" s="120"/>
      <c r="T6237" s="121"/>
      <c r="U6237" s="120"/>
      <c r="V6237" s="123"/>
      <c r="W6237" s="125"/>
      <c r="X6237" s="142" t="s">
        <v>1861</v>
      </c>
      <c r="Y6237" s="143"/>
      <c r="Z6237" s="143"/>
      <c r="AA6237" s="143"/>
      <c r="AB6237" s="144"/>
      <c r="AC6237" s="16" t="s">
        <v>21</v>
      </c>
      <c r="AD6237" s="17" t="s">
        <v>1894</v>
      </c>
      <c r="AE6237" s="145" t="s">
        <v>1614</v>
      </c>
      <c r="AF6237" s="146"/>
      <c r="AG6237" s="146"/>
      <c r="AH6237" s="146"/>
      <c r="AI6237" s="147"/>
      <c r="AJ6237" s="148"/>
      <c r="AK6237" s="143"/>
      <c r="AL6237" s="144"/>
      <c r="AM6237" s="22"/>
      <c r="AN6237" s="149" t="s">
        <v>2511</v>
      </c>
      <c r="AO6237" s="144"/>
      <c r="AP6237" s="148">
        <v>80017</v>
      </c>
      <c r="AQ6237" s="144"/>
      <c r="AR6237" s="120"/>
      <c r="AS6237" s="121"/>
      <c r="AT6237" s="120"/>
      <c r="AU6237" s="121"/>
      <c r="AV6237" s="120"/>
      <c r="AW6237" s="121"/>
      <c r="AX6237" s="120"/>
      <c r="AY6237" s="121"/>
      <c r="AZ6237" s="138"/>
    </row>
    <row r="6238" spans="1:52" ht="17.100000000000001" customHeight="1" thickTop="1">
      <c r="A6238" s="109" t="s">
        <v>18165</v>
      </c>
      <c r="B6238" s="28">
        <v>46070</v>
      </c>
      <c r="C6238" s="25">
        <v>1929</v>
      </c>
      <c r="D6238" s="13" t="s">
        <v>2359</v>
      </c>
      <c r="E6238" s="111"/>
      <c r="F6238" s="113" t="s">
        <v>18174</v>
      </c>
      <c r="G6238" s="114"/>
      <c r="H6238" s="115"/>
      <c r="I6238" s="24"/>
      <c r="J6238" s="116">
        <v>4</v>
      </c>
      <c r="K6238" s="118">
        <v>604000</v>
      </c>
      <c r="L6238" s="119"/>
      <c r="M6238" s="118">
        <f t="shared" ref="M6238" si="8407">K6238*0.1</f>
        <v>60400</v>
      </c>
      <c r="N6238" s="119"/>
      <c r="O6238" s="118">
        <v>0</v>
      </c>
      <c r="P6238" s="119"/>
      <c r="Q6238" s="118">
        <v>7150</v>
      </c>
      <c r="R6238" s="119"/>
      <c r="S6238" s="118">
        <v>15950</v>
      </c>
      <c r="T6238" s="119"/>
      <c r="U6238" s="118">
        <f t="shared" ref="U6238" si="8408">SUM(K6238:T6239)</f>
        <v>687500</v>
      </c>
      <c r="V6238" s="122"/>
      <c r="W6238" s="124"/>
      <c r="X6238" s="126" t="s">
        <v>18588</v>
      </c>
      <c r="Y6238" s="127"/>
      <c r="Z6238" s="127"/>
      <c r="AA6238" s="127"/>
      <c r="AB6238" s="128"/>
      <c r="AC6238" s="15" t="s">
        <v>20</v>
      </c>
      <c r="AD6238" s="129"/>
      <c r="AE6238" s="130"/>
      <c r="AF6238" s="130"/>
      <c r="AG6238" s="130"/>
      <c r="AH6238" s="130"/>
      <c r="AI6238" s="131"/>
      <c r="AJ6238" s="132"/>
      <c r="AK6238" s="127"/>
      <c r="AL6238" s="128"/>
      <c r="AM6238" s="21"/>
      <c r="AN6238" s="133">
        <v>46074</v>
      </c>
      <c r="AO6238" s="134"/>
      <c r="AP6238" s="135">
        <v>1289</v>
      </c>
      <c r="AQ6238" s="136"/>
      <c r="AR6238" s="118">
        <v>650000</v>
      </c>
      <c r="AS6238" s="119"/>
      <c r="AT6238" s="118">
        <f t="shared" ref="AT6238" si="8409">AR6238*0.1</f>
        <v>65000</v>
      </c>
      <c r="AU6238" s="119"/>
      <c r="AV6238" s="118">
        <v>7150</v>
      </c>
      <c r="AW6238" s="119"/>
      <c r="AX6238" s="118">
        <f t="shared" ref="AX6238" si="8410">SUM(AR6238:AW6238)</f>
        <v>722150</v>
      </c>
      <c r="AY6238" s="119"/>
      <c r="AZ6238" s="137">
        <v>46077</v>
      </c>
    </row>
    <row r="6239" spans="1:52" ht="17.100000000000001" customHeight="1" thickBot="1">
      <c r="A6239" s="110"/>
      <c r="B6239" s="27" t="s">
        <v>18173</v>
      </c>
      <c r="C6239" s="27">
        <v>3315</v>
      </c>
      <c r="D6239" s="14" t="s">
        <v>1592</v>
      </c>
      <c r="E6239" s="112"/>
      <c r="F6239" s="139" t="s">
        <v>18175</v>
      </c>
      <c r="G6239" s="140"/>
      <c r="H6239" s="141"/>
      <c r="I6239" s="26">
        <v>38439</v>
      </c>
      <c r="J6239" s="117"/>
      <c r="K6239" s="120"/>
      <c r="L6239" s="121"/>
      <c r="M6239" s="120"/>
      <c r="N6239" s="121"/>
      <c r="O6239" s="120"/>
      <c r="P6239" s="121"/>
      <c r="Q6239" s="120"/>
      <c r="R6239" s="121"/>
      <c r="S6239" s="120"/>
      <c r="T6239" s="121"/>
      <c r="U6239" s="120"/>
      <c r="V6239" s="123"/>
      <c r="W6239" s="125"/>
      <c r="X6239" s="142" t="s">
        <v>12378</v>
      </c>
      <c r="Y6239" s="143"/>
      <c r="Z6239" s="143"/>
      <c r="AA6239" s="143"/>
      <c r="AB6239" s="144"/>
      <c r="AC6239" s="16" t="s">
        <v>21</v>
      </c>
      <c r="AD6239" s="17" t="s">
        <v>1894</v>
      </c>
      <c r="AE6239" s="145"/>
      <c r="AF6239" s="146"/>
      <c r="AG6239" s="146"/>
      <c r="AH6239" s="146"/>
      <c r="AI6239" s="147"/>
      <c r="AJ6239" s="148"/>
      <c r="AK6239" s="143"/>
      <c r="AL6239" s="144"/>
      <c r="AM6239" s="22"/>
      <c r="AN6239" s="149" t="s">
        <v>2511</v>
      </c>
      <c r="AO6239" s="144"/>
      <c r="AP6239" s="148">
        <v>60368</v>
      </c>
      <c r="AQ6239" s="144"/>
      <c r="AR6239" s="120"/>
      <c r="AS6239" s="121"/>
      <c r="AT6239" s="120"/>
      <c r="AU6239" s="121"/>
      <c r="AV6239" s="120"/>
      <c r="AW6239" s="121"/>
      <c r="AX6239" s="120"/>
      <c r="AY6239" s="121"/>
      <c r="AZ6239" s="138"/>
    </row>
    <row r="6240" spans="1:52" ht="17.100000000000001" customHeight="1" thickTop="1">
      <c r="A6240" s="109" t="s">
        <v>18166</v>
      </c>
      <c r="B6240" s="28">
        <v>46070</v>
      </c>
      <c r="C6240" s="25">
        <v>1929</v>
      </c>
      <c r="D6240" s="13" t="s">
        <v>1888</v>
      </c>
      <c r="E6240" s="111"/>
      <c r="F6240" s="113" t="s">
        <v>18176</v>
      </c>
      <c r="G6240" s="114"/>
      <c r="H6240" s="115"/>
      <c r="I6240" s="24"/>
      <c r="J6240" s="116">
        <v>4</v>
      </c>
      <c r="K6240" s="118">
        <v>2154000</v>
      </c>
      <c r="L6240" s="119"/>
      <c r="M6240" s="118">
        <f t="shared" ref="M6240" si="8411">K6240*0.1</f>
        <v>215400</v>
      </c>
      <c r="N6240" s="119"/>
      <c r="O6240" s="118">
        <v>0</v>
      </c>
      <c r="P6240" s="119"/>
      <c r="Q6240" s="118">
        <v>23320</v>
      </c>
      <c r="R6240" s="119"/>
      <c r="S6240" s="118">
        <v>19250</v>
      </c>
      <c r="T6240" s="119"/>
      <c r="U6240" s="118">
        <f t="shared" ref="U6240" si="8412">SUM(K6240:T6241)</f>
        <v>2411970</v>
      </c>
      <c r="V6240" s="122"/>
      <c r="W6240" s="124"/>
      <c r="X6240" s="126" t="s">
        <v>18586</v>
      </c>
      <c r="Y6240" s="127"/>
      <c r="Z6240" s="127"/>
      <c r="AA6240" s="127"/>
      <c r="AB6240" s="128"/>
      <c r="AC6240" s="15" t="s">
        <v>20</v>
      </c>
      <c r="AD6240" s="129"/>
      <c r="AE6240" s="130"/>
      <c r="AF6240" s="130"/>
      <c r="AG6240" s="130"/>
      <c r="AH6240" s="130"/>
      <c r="AI6240" s="131"/>
      <c r="AJ6240" s="132"/>
      <c r="AK6240" s="127"/>
      <c r="AL6240" s="128"/>
      <c r="AM6240" s="21"/>
      <c r="AN6240" s="133">
        <v>46074</v>
      </c>
      <c r="AO6240" s="134"/>
      <c r="AP6240" s="135">
        <v>1289</v>
      </c>
      <c r="AQ6240" s="136"/>
      <c r="AR6240" s="118">
        <v>2320000</v>
      </c>
      <c r="AS6240" s="119"/>
      <c r="AT6240" s="118">
        <f t="shared" ref="AT6240" si="8413">AR6240*0.1</f>
        <v>232000</v>
      </c>
      <c r="AU6240" s="119"/>
      <c r="AV6240" s="118">
        <v>23320</v>
      </c>
      <c r="AW6240" s="119"/>
      <c r="AX6240" s="118">
        <f t="shared" ref="AX6240" si="8414">SUM(AR6240:AW6240)</f>
        <v>2575320</v>
      </c>
      <c r="AY6240" s="119"/>
      <c r="AZ6240" s="137">
        <v>46077</v>
      </c>
    </row>
    <row r="6241" spans="1:52" ht="17.100000000000001" customHeight="1" thickBot="1">
      <c r="A6241" s="110"/>
      <c r="B6241" s="27" t="s">
        <v>18173</v>
      </c>
      <c r="C6241" s="27">
        <v>5030</v>
      </c>
      <c r="D6241" s="14" t="s">
        <v>1576</v>
      </c>
      <c r="E6241" s="112"/>
      <c r="F6241" s="139" t="s">
        <v>18197</v>
      </c>
      <c r="G6241" s="140"/>
      <c r="H6241" s="141"/>
      <c r="I6241" s="26">
        <v>62627</v>
      </c>
      <c r="J6241" s="117"/>
      <c r="K6241" s="120"/>
      <c r="L6241" s="121"/>
      <c r="M6241" s="120"/>
      <c r="N6241" s="121"/>
      <c r="O6241" s="120"/>
      <c r="P6241" s="121"/>
      <c r="Q6241" s="120"/>
      <c r="R6241" s="121"/>
      <c r="S6241" s="120"/>
      <c r="T6241" s="121"/>
      <c r="U6241" s="120"/>
      <c r="V6241" s="123"/>
      <c r="W6241" s="125"/>
      <c r="X6241" s="142" t="s">
        <v>9933</v>
      </c>
      <c r="Y6241" s="143"/>
      <c r="Z6241" s="143"/>
      <c r="AA6241" s="143"/>
      <c r="AB6241" s="144"/>
      <c r="AC6241" s="16" t="s">
        <v>21</v>
      </c>
      <c r="AD6241" s="17" t="s">
        <v>1894</v>
      </c>
      <c r="AE6241" s="145" t="s">
        <v>1633</v>
      </c>
      <c r="AF6241" s="146"/>
      <c r="AG6241" s="146"/>
      <c r="AH6241" s="146"/>
      <c r="AI6241" s="147"/>
      <c r="AJ6241" s="148"/>
      <c r="AK6241" s="143"/>
      <c r="AL6241" s="144"/>
      <c r="AM6241" s="22"/>
      <c r="AN6241" s="149" t="s">
        <v>2511</v>
      </c>
      <c r="AO6241" s="144"/>
      <c r="AP6241" s="148">
        <v>80336</v>
      </c>
      <c r="AQ6241" s="144"/>
      <c r="AR6241" s="120"/>
      <c r="AS6241" s="121"/>
      <c r="AT6241" s="120"/>
      <c r="AU6241" s="121"/>
      <c r="AV6241" s="120"/>
      <c r="AW6241" s="121"/>
      <c r="AX6241" s="120"/>
      <c r="AY6241" s="121"/>
      <c r="AZ6241" s="138"/>
    </row>
    <row r="6242" spans="1:52" ht="17.100000000000001" customHeight="1" thickTop="1">
      <c r="A6242" s="109" t="s">
        <v>18167</v>
      </c>
      <c r="B6242" s="28">
        <v>46070</v>
      </c>
      <c r="C6242" s="25">
        <v>1929</v>
      </c>
      <c r="D6242" s="13" t="s">
        <v>1537</v>
      </c>
      <c r="E6242" s="111"/>
      <c r="F6242" s="113" t="s">
        <v>18177</v>
      </c>
      <c r="G6242" s="114"/>
      <c r="H6242" s="115"/>
      <c r="I6242" s="24"/>
      <c r="J6242" s="116">
        <v>4</v>
      </c>
      <c r="K6242" s="118">
        <v>768000</v>
      </c>
      <c r="L6242" s="119"/>
      <c r="M6242" s="118">
        <f t="shared" ref="M6242" si="8415">K6242*0.1</f>
        <v>76800</v>
      </c>
      <c r="N6242" s="119"/>
      <c r="O6242" s="118">
        <v>0</v>
      </c>
      <c r="P6242" s="119"/>
      <c r="Q6242" s="118">
        <v>9790</v>
      </c>
      <c r="R6242" s="119"/>
      <c r="S6242" s="118">
        <v>15950</v>
      </c>
      <c r="T6242" s="119"/>
      <c r="U6242" s="118">
        <f t="shared" ref="U6242" si="8416">SUM(K6242:T6243)</f>
        <v>870540</v>
      </c>
      <c r="V6242" s="122"/>
      <c r="W6242" s="124"/>
      <c r="X6242" s="126" t="s">
        <v>18594</v>
      </c>
      <c r="Y6242" s="127"/>
      <c r="Z6242" s="127"/>
      <c r="AA6242" s="127"/>
      <c r="AB6242" s="128"/>
      <c r="AC6242" s="15" t="s">
        <v>20</v>
      </c>
      <c r="AD6242" s="129"/>
      <c r="AE6242" s="130"/>
      <c r="AF6242" s="130"/>
      <c r="AG6242" s="130"/>
      <c r="AH6242" s="130"/>
      <c r="AI6242" s="131"/>
      <c r="AJ6242" s="132"/>
      <c r="AK6242" s="127"/>
      <c r="AL6242" s="128"/>
      <c r="AM6242" s="21"/>
      <c r="AN6242" s="133">
        <v>46081</v>
      </c>
      <c r="AO6242" s="134"/>
      <c r="AP6242" s="135">
        <v>1290</v>
      </c>
      <c r="AQ6242" s="136"/>
      <c r="AR6242" s="118">
        <v>805000</v>
      </c>
      <c r="AS6242" s="119"/>
      <c r="AT6242" s="118">
        <f t="shared" ref="AT6242" si="8417">AR6242*0.1</f>
        <v>80500</v>
      </c>
      <c r="AU6242" s="119"/>
      <c r="AV6242" s="118">
        <v>9790</v>
      </c>
      <c r="AW6242" s="119"/>
      <c r="AX6242" s="118">
        <f t="shared" ref="AX6242" si="8418">SUM(AR6242:AW6242)</f>
        <v>895290</v>
      </c>
      <c r="AY6242" s="119"/>
      <c r="AZ6242" s="137">
        <v>46084</v>
      </c>
    </row>
    <row r="6243" spans="1:52" ht="17.100000000000001" customHeight="1" thickBot="1">
      <c r="A6243" s="110"/>
      <c r="B6243" s="27" t="s">
        <v>18173</v>
      </c>
      <c r="C6243" s="27">
        <v>5418</v>
      </c>
      <c r="D6243" s="14" t="s">
        <v>1883</v>
      </c>
      <c r="E6243" s="112"/>
      <c r="F6243" s="139" t="s">
        <v>18178</v>
      </c>
      <c r="G6243" s="140"/>
      <c r="H6243" s="141"/>
      <c r="I6243" s="26">
        <v>53557</v>
      </c>
      <c r="J6243" s="117"/>
      <c r="K6243" s="120"/>
      <c r="L6243" s="121"/>
      <c r="M6243" s="120"/>
      <c r="N6243" s="121"/>
      <c r="O6243" s="120"/>
      <c r="P6243" s="121"/>
      <c r="Q6243" s="120"/>
      <c r="R6243" s="121"/>
      <c r="S6243" s="120"/>
      <c r="T6243" s="121"/>
      <c r="U6243" s="120"/>
      <c r="V6243" s="123"/>
      <c r="W6243" s="125"/>
      <c r="X6243" s="142" t="s">
        <v>5254</v>
      </c>
      <c r="Y6243" s="143"/>
      <c r="Z6243" s="143"/>
      <c r="AA6243" s="143"/>
      <c r="AB6243" s="144"/>
      <c r="AC6243" s="16" t="s">
        <v>21</v>
      </c>
      <c r="AD6243" s="17" t="s">
        <v>1894</v>
      </c>
      <c r="AE6243" s="145" t="s">
        <v>7842</v>
      </c>
      <c r="AF6243" s="146"/>
      <c r="AG6243" s="146"/>
      <c r="AH6243" s="146"/>
      <c r="AI6243" s="147"/>
      <c r="AJ6243" s="148"/>
      <c r="AK6243" s="143"/>
      <c r="AL6243" s="144"/>
      <c r="AM6243" s="22"/>
      <c r="AN6243" s="149" t="s">
        <v>2511</v>
      </c>
      <c r="AO6243" s="144"/>
      <c r="AP6243" s="148">
        <v>60070</v>
      </c>
      <c r="AQ6243" s="144"/>
      <c r="AR6243" s="120"/>
      <c r="AS6243" s="121"/>
      <c r="AT6243" s="120"/>
      <c r="AU6243" s="121"/>
      <c r="AV6243" s="120"/>
      <c r="AW6243" s="121"/>
      <c r="AX6243" s="120"/>
      <c r="AY6243" s="121"/>
      <c r="AZ6243" s="138"/>
    </row>
    <row r="6244" spans="1:52" ht="17.100000000000001" customHeight="1" thickTop="1">
      <c r="A6244" s="109" t="s">
        <v>18168</v>
      </c>
      <c r="B6244" s="28">
        <v>46070</v>
      </c>
      <c r="C6244" s="25">
        <v>1929</v>
      </c>
      <c r="D6244" s="13" t="s">
        <v>1831</v>
      </c>
      <c r="E6244" s="111"/>
      <c r="F6244" s="113" t="s">
        <v>18179</v>
      </c>
      <c r="G6244" s="114"/>
      <c r="H6244" s="115"/>
      <c r="I6244" s="24"/>
      <c r="J6244" s="116">
        <v>4.5</v>
      </c>
      <c r="K6244" s="118">
        <v>731000</v>
      </c>
      <c r="L6244" s="119"/>
      <c r="M6244" s="118">
        <f t="shared" ref="M6244" si="8419">K6244*0.1</f>
        <v>73100</v>
      </c>
      <c r="N6244" s="119"/>
      <c r="O6244" s="118">
        <v>0</v>
      </c>
      <c r="P6244" s="119"/>
      <c r="Q6244" s="118">
        <v>12450</v>
      </c>
      <c r="R6244" s="119"/>
      <c r="S6244" s="118">
        <v>15950</v>
      </c>
      <c r="T6244" s="119"/>
      <c r="U6244" s="118">
        <f t="shared" ref="U6244" si="8420">SUM(K6244:T6245)</f>
        <v>832500</v>
      </c>
      <c r="V6244" s="122"/>
      <c r="W6244" s="124"/>
      <c r="X6244" s="126" t="s">
        <v>18604</v>
      </c>
      <c r="Y6244" s="127"/>
      <c r="Z6244" s="127"/>
      <c r="AA6244" s="127"/>
      <c r="AB6244" s="128"/>
      <c r="AC6244" s="15" t="s">
        <v>20</v>
      </c>
      <c r="AD6244" s="129" t="s">
        <v>4435</v>
      </c>
      <c r="AE6244" s="130"/>
      <c r="AF6244" s="130"/>
      <c r="AG6244" s="130"/>
      <c r="AH6244" s="130"/>
      <c r="AI6244" s="131"/>
      <c r="AJ6244" s="132"/>
      <c r="AK6244" s="127"/>
      <c r="AL6244" s="128"/>
      <c r="AM6244" s="21"/>
      <c r="AN6244" s="133">
        <v>46081</v>
      </c>
      <c r="AO6244" s="134"/>
      <c r="AP6244" s="135">
        <v>1290</v>
      </c>
      <c r="AQ6244" s="136"/>
      <c r="AR6244" s="118">
        <v>975000</v>
      </c>
      <c r="AS6244" s="119"/>
      <c r="AT6244" s="118">
        <f t="shared" ref="AT6244" si="8421">AR6244*0.1</f>
        <v>97500</v>
      </c>
      <c r="AU6244" s="119"/>
      <c r="AV6244" s="118">
        <v>12450</v>
      </c>
      <c r="AW6244" s="119"/>
      <c r="AX6244" s="118">
        <f t="shared" ref="AX6244" si="8422">SUM(AR6244:AW6244)</f>
        <v>1084950</v>
      </c>
      <c r="AY6244" s="119"/>
      <c r="AZ6244" s="137">
        <v>46084</v>
      </c>
    </row>
    <row r="6245" spans="1:52" ht="17.100000000000001" customHeight="1" thickBot="1">
      <c r="A6245" s="110"/>
      <c r="B6245" s="27" t="s">
        <v>18173</v>
      </c>
      <c r="C6245" s="27">
        <v>32062</v>
      </c>
      <c r="D6245" s="14" t="s">
        <v>904</v>
      </c>
      <c r="E6245" s="112"/>
      <c r="F6245" s="139" t="s">
        <v>18198</v>
      </c>
      <c r="G6245" s="140"/>
      <c r="H6245" s="141"/>
      <c r="I6245" s="26">
        <v>18899</v>
      </c>
      <c r="J6245" s="117"/>
      <c r="K6245" s="120"/>
      <c r="L6245" s="121"/>
      <c r="M6245" s="120"/>
      <c r="N6245" s="121"/>
      <c r="O6245" s="120"/>
      <c r="P6245" s="121"/>
      <c r="Q6245" s="120"/>
      <c r="R6245" s="121"/>
      <c r="S6245" s="120"/>
      <c r="T6245" s="121"/>
      <c r="U6245" s="120"/>
      <c r="V6245" s="123"/>
      <c r="W6245" s="125"/>
      <c r="X6245" s="142" t="s">
        <v>18605</v>
      </c>
      <c r="Y6245" s="143"/>
      <c r="Z6245" s="143"/>
      <c r="AA6245" s="143"/>
      <c r="AB6245" s="144"/>
      <c r="AC6245" s="16" t="s">
        <v>21</v>
      </c>
      <c r="AD6245" s="17" t="s">
        <v>1894</v>
      </c>
      <c r="AE6245" s="145" t="s">
        <v>18629</v>
      </c>
      <c r="AF6245" s="146"/>
      <c r="AG6245" s="146"/>
      <c r="AH6245" s="146"/>
      <c r="AI6245" s="147"/>
      <c r="AJ6245" s="148"/>
      <c r="AK6245" s="143"/>
      <c r="AL6245" s="144"/>
      <c r="AM6245" s="22"/>
      <c r="AN6245" s="149" t="s">
        <v>2511</v>
      </c>
      <c r="AO6245" s="144"/>
      <c r="AP6245" s="148">
        <v>80024</v>
      </c>
      <c r="AQ6245" s="144"/>
      <c r="AR6245" s="120"/>
      <c r="AS6245" s="121"/>
      <c r="AT6245" s="120"/>
      <c r="AU6245" s="121"/>
      <c r="AV6245" s="120"/>
      <c r="AW6245" s="121"/>
      <c r="AX6245" s="120"/>
      <c r="AY6245" s="121"/>
      <c r="AZ6245" s="138"/>
    </row>
    <row r="6246" spans="1:52" ht="17.100000000000001" customHeight="1" thickTop="1">
      <c r="A6246" s="109" t="s">
        <v>18169</v>
      </c>
      <c r="B6246" s="28">
        <v>46070</v>
      </c>
      <c r="C6246" s="25">
        <v>1929</v>
      </c>
      <c r="D6246" s="13" t="s">
        <v>2359</v>
      </c>
      <c r="E6246" s="111"/>
      <c r="F6246" s="113" t="s">
        <v>18180</v>
      </c>
      <c r="G6246" s="114"/>
      <c r="H6246" s="115"/>
      <c r="I6246" s="24"/>
      <c r="J6246" s="116">
        <v>4.5</v>
      </c>
      <c r="K6246" s="118">
        <v>1241000</v>
      </c>
      <c r="L6246" s="119"/>
      <c r="M6246" s="118">
        <f t="shared" ref="M6246" si="8423">K6246*0.1</f>
        <v>124100</v>
      </c>
      <c r="N6246" s="119"/>
      <c r="O6246" s="118">
        <v>0</v>
      </c>
      <c r="P6246" s="119"/>
      <c r="Q6246" s="118">
        <v>7440</v>
      </c>
      <c r="R6246" s="119"/>
      <c r="S6246" s="118">
        <v>15950</v>
      </c>
      <c r="T6246" s="119"/>
      <c r="U6246" s="118">
        <f t="shared" ref="U6246" si="8424">SUM(K6246:T6247)</f>
        <v>1388490</v>
      </c>
      <c r="V6246" s="122"/>
      <c r="W6246" s="124"/>
      <c r="X6246" s="126" t="s">
        <v>18592</v>
      </c>
      <c r="Y6246" s="127"/>
      <c r="Z6246" s="127"/>
      <c r="AA6246" s="127"/>
      <c r="AB6246" s="128"/>
      <c r="AC6246" s="15" t="s">
        <v>20</v>
      </c>
      <c r="AD6246" s="129"/>
      <c r="AE6246" s="130"/>
      <c r="AF6246" s="130"/>
      <c r="AG6246" s="130"/>
      <c r="AH6246" s="130"/>
      <c r="AI6246" s="131"/>
      <c r="AJ6246" s="132"/>
      <c r="AK6246" s="127"/>
      <c r="AL6246" s="128"/>
      <c r="AM6246" s="21"/>
      <c r="AN6246" s="133">
        <v>46081</v>
      </c>
      <c r="AO6246" s="134"/>
      <c r="AP6246" s="135">
        <v>1290</v>
      </c>
      <c r="AQ6246" s="136"/>
      <c r="AR6246" s="118">
        <v>1365000</v>
      </c>
      <c r="AS6246" s="119"/>
      <c r="AT6246" s="118">
        <f t="shared" ref="AT6246" si="8425">AR6246*0.1</f>
        <v>136500</v>
      </c>
      <c r="AU6246" s="119"/>
      <c r="AV6246" s="118">
        <v>7440</v>
      </c>
      <c r="AW6246" s="119"/>
      <c r="AX6246" s="118">
        <f t="shared" ref="AX6246" si="8426">SUM(AR6246:AW6246)</f>
        <v>1508940</v>
      </c>
      <c r="AY6246" s="119"/>
      <c r="AZ6246" s="137">
        <v>46084</v>
      </c>
    </row>
    <row r="6247" spans="1:52" ht="17.100000000000001" customHeight="1" thickBot="1">
      <c r="A6247" s="110"/>
      <c r="B6247" s="27" t="s">
        <v>18173</v>
      </c>
      <c r="C6247" s="27">
        <v>62072</v>
      </c>
      <c r="D6247" s="14" t="s">
        <v>1592</v>
      </c>
      <c r="E6247" s="112"/>
      <c r="F6247" s="139" t="s">
        <v>18181</v>
      </c>
      <c r="G6247" s="140"/>
      <c r="H6247" s="141"/>
      <c r="I6247" s="26">
        <v>20743</v>
      </c>
      <c r="J6247" s="117"/>
      <c r="K6247" s="120"/>
      <c r="L6247" s="121"/>
      <c r="M6247" s="120"/>
      <c r="N6247" s="121"/>
      <c r="O6247" s="120"/>
      <c r="P6247" s="121"/>
      <c r="Q6247" s="120"/>
      <c r="R6247" s="121"/>
      <c r="S6247" s="120"/>
      <c r="T6247" s="121"/>
      <c r="U6247" s="120"/>
      <c r="V6247" s="123"/>
      <c r="W6247" s="125"/>
      <c r="X6247" s="142" t="s">
        <v>18593</v>
      </c>
      <c r="Y6247" s="143"/>
      <c r="Z6247" s="143"/>
      <c r="AA6247" s="143"/>
      <c r="AB6247" s="144"/>
      <c r="AC6247" s="16" t="s">
        <v>21</v>
      </c>
      <c r="AD6247" s="17" t="s">
        <v>1894</v>
      </c>
      <c r="AE6247" s="145" t="s">
        <v>16113</v>
      </c>
      <c r="AF6247" s="146"/>
      <c r="AG6247" s="146"/>
      <c r="AH6247" s="146"/>
      <c r="AI6247" s="147"/>
      <c r="AJ6247" s="148"/>
      <c r="AK6247" s="143"/>
      <c r="AL6247" s="144"/>
      <c r="AM6247" s="22"/>
      <c r="AN6247" s="149" t="s">
        <v>2511</v>
      </c>
      <c r="AO6247" s="144"/>
      <c r="AP6247" s="148">
        <v>41044</v>
      </c>
      <c r="AQ6247" s="144"/>
      <c r="AR6247" s="120"/>
      <c r="AS6247" s="121"/>
      <c r="AT6247" s="120"/>
      <c r="AU6247" s="121"/>
      <c r="AV6247" s="120"/>
      <c r="AW6247" s="121"/>
      <c r="AX6247" s="120"/>
      <c r="AY6247" s="121"/>
      <c r="AZ6247" s="138"/>
    </row>
    <row r="6248" spans="1:52" ht="17.100000000000001" customHeight="1" thickTop="1">
      <c r="A6248" s="109" t="s">
        <v>18170</v>
      </c>
      <c r="B6248" s="28">
        <v>46070</v>
      </c>
      <c r="C6248" s="25">
        <v>807</v>
      </c>
      <c r="D6248" s="13" t="s">
        <v>2654</v>
      </c>
      <c r="E6248" s="111"/>
      <c r="F6248" s="113" t="s">
        <v>18182</v>
      </c>
      <c r="G6248" s="114"/>
      <c r="H6248" s="115"/>
      <c r="I6248" s="24" t="s">
        <v>4314</v>
      </c>
      <c r="J6248" s="116">
        <v>4.5</v>
      </c>
      <c r="K6248" s="118">
        <v>751000</v>
      </c>
      <c r="L6248" s="119"/>
      <c r="M6248" s="118">
        <f t="shared" ref="M6248" si="8427">K6248*0.1</f>
        <v>75100</v>
      </c>
      <c r="N6248" s="119"/>
      <c r="O6248" s="118">
        <v>2200</v>
      </c>
      <c r="P6248" s="119"/>
      <c r="Q6248" s="118">
        <v>12470</v>
      </c>
      <c r="R6248" s="119"/>
      <c r="S6248" s="118">
        <v>15950</v>
      </c>
      <c r="T6248" s="119"/>
      <c r="U6248" s="118">
        <f t="shared" ref="U6248" si="8428">SUM(K6248:T6249)</f>
        <v>856720</v>
      </c>
      <c r="V6248" s="122"/>
      <c r="W6248" s="124"/>
      <c r="X6248" s="126" t="s">
        <v>18200</v>
      </c>
      <c r="Y6248" s="127"/>
      <c r="Z6248" s="127"/>
      <c r="AA6248" s="127"/>
      <c r="AB6248" s="128"/>
      <c r="AC6248" s="15" t="s">
        <v>20</v>
      </c>
      <c r="AD6248" s="129"/>
      <c r="AE6248" s="130"/>
      <c r="AF6248" s="130"/>
      <c r="AG6248" s="130"/>
      <c r="AH6248" s="130"/>
      <c r="AI6248" s="131"/>
      <c r="AJ6248" s="132"/>
      <c r="AK6248" s="127"/>
      <c r="AL6248" s="128"/>
      <c r="AM6248" s="21"/>
      <c r="AN6248" s="133">
        <v>46081</v>
      </c>
      <c r="AO6248" s="134"/>
      <c r="AP6248" s="135">
        <v>1290</v>
      </c>
      <c r="AQ6248" s="136"/>
      <c r="AR6248" s="118">
        <v>880000</v>
      </c>
      <c r="AS6248" s="119"/>
      <c r="AT6248" s="118">
        <f t="shared" ref="AT6248" si="8429">AR6248*0.1</f>
        <v>88000</v>
      </c>
      <c r="AU6248" s="119"/>
      <c r="AV6248" s="118">
        <v>12470</v>
      </c>
      <c r="AW6248" s="119"/>
      <c r="AX6248" s="118">
        <f t="shared" ref="AX6248" si="8430">SUM(AR6248:AW6248)</f>
        <v>980470</v>
      </c>
      <c r="AY6248" s="119"/>
      <c r="AZ6248" s="137">
        <v>46084</v>
      </c>
    </row>
    <row r="6249" spans="1:52" ht="17.100000000000001" customHeight="1" thickBot="1">
      <c r="A6249" s="110"/>
      <c r="B6249" s="27" t="s">
        <v>3367</v>
      </c>
      <c r="C6249" s="27">
        <v>70064</v>
      </c>
      <c r="D6249" s="14" t="s">
        <v>1812</v>
      </c>
      <c r="E6249" s="112"/>
      <c r="F6249" s="139" t="s">
        <v>18199</v>
      </c>
      <c r="G6249" s="140"/>
      <c r="H6249" s="141"/>
      <c r="I6249" s="26">
        <v>49120</v>
      </c>
      <c r="J6249" s="117"/>
      <c r="K6249" s="120"/>
      <c r="L6249" s="121"/>
      <c r="M6249" s="120"/>
      <c r="N6249" s="121"/>
      <c r="O6249" s="120"/>
      <c r="P6249" s="121"/>
      <c r="Q6249" s="120"/>
      <c r="R6249" s="121"/>
      <c r="S6249" s="120"/>
      <c r="T6249" s="121"/>
      <c r="U6249" s="120"/>
      <c r="V6249" s="123"/>
      <c r="W6249" s="125"/>
      <c r="X6249" s="142" t="s">
        <v>18606</v>
      </c>
      <c r="Y6249" s="143"/>
      <c r="Z6249" s="143"/>
      <c r="AA6249" s="143"/>
      <c r="AB6249" s="144"/>
      <c r="AC6249" s="16" t="s">
        <v>21</v>
      </c>
      <c r="AD6249" s="17" t="s">
        <v>1894</v>
      </c>
      <c r="AE6249" s="145" t="s">
        <v>7861</v>
      </c>
      <c r="AF6249" s="146"/>
      <c r="AG6249" s="146"/>
      <c r="AH6249" s="146"/>
      <c r="AI6249" s="147"/>
      <c r="AJ6249" s="148"/>
      <c r="AK6249" s="143"/>
      <c r="AL6249" s="144"/>
      <c r="AM6249" s="22"/>
      <c r="AN6249" s="149" t="s">
        <v>2511</v>
      </c>
      <c r="AO6249" s="144"/>
      <c r="AP6249" s="148">
        <v>80020</v>
      </c>
      <c r="AQ6249" s="144"/>
      <c r="AR6249" s="120"/>
      <c r="AS6249" s="121"/>
      <c r="AT6249" s="120"/>
      <c r="AU6249" s="121"/>
      <c r="AV6249" s="120"/>
      <c r="AW6249" s="121"/>
      <c r="AX6249" s="120"/>
      <c r="AY6249" s="121"/>
      <c r="AZ6249" s="138"/>
    </row>
    <row r="6250" spans="1:52" ht="17.100000000000001" customHeight="1" thickTop="1">
      <c r="A6250" s="109" t="s">
        <v>18171</v>
      </c>
      <c r="B6250" s="28">
        <v>46070</v>
      </c>
      <c r="C6250" s="25">
        <v>807</v>
      </c>
      <c r="D6250" s="13" t="s">
        <v>3322</v>
      </c>
      <c r="E6250" s="111"/>
      <c r="F6250" s="113" t="s">
        <v>18183</v>
      </c>
      <c r="G6250" s="114"/>
      <c r="H6250" s="115"/>
      <c r="I6250" s="24" t="s">
        <v>2571</v>
      </c>
      <c r="J6250" s="116">
        <v>4</v>
      </c>
      <c r="K6250" s="118">
        <v>1630000</v>
      </c>
      <c r="L6250" s="119"/>
      <c r="M6250" s="118">
        <f t="shared" ref="M6250" si="8431">K6250*0.1</f>
        <v>163000</v>
      </c>
      <c r="N6250" s="119"/>
      <c r="O6250" s="118">
        <v>2750</v>
      </c>
      <c r="P6250" s="119"/>
      <c r="Q6250" s="118">
        <v>15180</v>
      </c>
      <c r="R6250" s="119"/>
      <c r="S6250" s="118">
        <v>20900</v>
      </c>
      <c r="T6250" s="119"/>
      <c r="U6250" s="118">
        <f t="shared" ref="U6250" si="8432">SUM(K6250:T6251)</f>
        <v>1831830</v>
      </c>
      <c r="V6250" s="122"/>
      <c r="W6250" s="124"/>
      <c r="X6250" s="126" t="s">
        <v>18202</v>
      </c>
      <c r="Y6250" s="127"/>
      <c r="Z6250" s="127"/>
      <c r="AA6250" s="127"/>
      <c r="AB6250" s="128"/>
      <c r="AC6250" s="15" t="s">
        <v>20</v>
      </c>
      <c r="AD6250" s="129"/>
      <c r="AE6250" s="130"/>
      <c r="AF6250" s="130"/>
      <c r="AG6250" s="130"/>
      <c r="AH6250" s="130"/>
      <c r="AI6250" s="131"/>
      <c r="AJ6250" s="132"/>
      <c r="AK6250" s="127"/>
      <c r="AL6250" s="128"/>
      <c r="AM6250" s="21"/>
      <c r="AN6250" s="133">
        <v>46074</v>
      </c>
      <c r="AO6250" s="134"/>
      <c r="AP6250" s="135">
        <v>1289</v>
      </c>
      <c r="AQ6250" s="136"/>
      <c r="AR6250" s="118">
        <v>1855000</v>
      </c>
      <c r="AS6250" s="119"/>
      <c r="AT6250" s="118">
        <f t="shared" ref="AT6250" si="8433">AR6250*0.1</f>
        <v>185500</v>
      </c>
      <c r="AU6250" s="119"/>
      <c r="AV6250" s="118">
        <v>15180</v>
      </c>
      <c r="AW6250" s="119"/>
      <c r="AX6250" s="118">
        <f t="shared" ref="AX6250" si="8434">SUM(AR6250:AW6250)</f>
        <v>2055680</v>
      </c>
      <c r="AY6250" s="119"/>
      <c r="AZ6250" s="137">
        <v>46077</v>
      </c>
    </row>
    <row r="6251" spans="1:52" ht="17.100000000000001" customHeight="1" thickBot="1">
      <c r="A6251" s="110"/>
      <c r="B6251" s="27" t="s">
        <v>3367</v>
      </c>
      <c r="C6251" s="27">
        <v>70078</v>
      </c>
      <c r="D6251" s="14" t="s">
        <v>275</v>
      </c>
      <c r="E6251" s="112"/>
      <c r="F6251" s="139" t="s">
        <v>18201</v>
      </c>
      <c r="G6251" s="140"/>
      <c r="H6251" s="141"/>
      <c r="I6251" s="26">
        <v>36996</v>
      </c>
      <c r="J6251" s="117"/>
      <c r="K6251" s="120"/>
      <c r="L6251" s="121"/>
      <c r="M6251" s="120"/>
      <c r="N6251" s="121"/>
      <c r="O6251" s="120"/>
      <c r="P6251" s="121"/>
      <c r="Q6251" s="120"/>
      <c r="R6251" s="121"/>
      <c r="S6251" s="120"/>
      <c r="T6251" s="121"/>
      <c r="U6251" s="120"/>
      <c r="V6251" s="123"/>
      <c r="W6251" s="125"/>
      <c r="X6251" s="142" t="s">
        <v>18587</v>
      </c>
      <c r="Y6251" s="143"/>
      <c r="Z6251" s="143"/>
      <c r="AA6251" s="143"/>
      <c r="AB6251" s="144"/>
      <c r="AC6251" s="16" t="s">
        <v>21</v>
      </c>
      <c r="AD6251" s="17" t="s">
        <v>1894</v>
      </c>
      <c r="AE6251" s="145"/>
      <c r="AF6251" s="146"/>
      <c r="AG6251" s="146"/>
      <c r="AH6251" s="146"/>
      <c r="AI6251" s="147"/>
      <c r="AJ6251" s="148"/>
      <c r="AK6251" s="143"/>
      <c r="AL6251" s="144"/>
      <c r="AM6251" s="22"/>
      <c r="AN6251" s="149" t="s">
        <v>2511</v>
      </c>
      <c r="AO6251" s="144"/>
      <c r="AP6251" s="148">
        <v>80359</v>
      </c>
      <c r="AQ6251" s="144"/>
      <c r="AR6251" s="120"/>
      <c r="AS6251" s="121"/>
      <c r="AT6251" s="120"/>
      <c r="AU6251" s="121"/>
      <c r="AV6251" s="120"/>
      <c r="AW6251" s="121"/>
      <c r="AX6251" s="120"/>
      <c r="AY6251" s="121"/>
      <c r="AZ6251" s="138"/>
    </row>
    <row r="6252" spans="1:52" ht="17.100000000000001" customHeight="1" thickTop="1">
      <c r="A6252" s="109" t="s">
        <v>18172</v>
      </c>
      <c r="B6252" s="28">
        <v>46070</v>
      </c>
      <c r="C6252" s="25">
        <v>927</v>
      </c>
      <c r="D6252" s="13" t="s">
        <v>4860</v>
      </c>
      <c r="E6252" s="111"/>
      <c r="F6252" s="113" t="s">
        <v>18184</v>
      </c>
      <c r="G6252" s="114"/>
      <c r="H6252" s="115"/>
      <c r="I6252" s="24" t="s">
        <v>3509</v>
      </c>
      <c r="J6252" s="116">
        <v>4</v>
      </c>
      <c r="K6252" s="118">
        <v>1010000</v>
      </c>
      <c r="L6252" s="119"/>
      <c r="M6252" s="118">
        <f t="shared" ref="M6252" si="8435">K6252*0.1</f>
        <v>101000</v>
      </c>
      <c r="N6252" s="119"/>
      <c r="O6252" s="118">
        <v>0</v>
      </c>
      <c r="P6252" s="119"/>
      <c r="Q6252" s="118">
        <v>8990</v>
      </c>
      <c r="R6252" s="119"/>
      <c r="S6252" s="118">
        <v>20900</v>
      </c>
      <c r="T6252" s="119"/>
      <c r="U6252" s="118">
        <f t="shared" ref="U6252" si="8436">SUM(K6252:T6253)</f>
        <v>1140890</v>
      </c>
      <c r="V6252" s="122"/>
      <c r="W6252" s="124"/>
      <c r="X6252" s="126" t="s">
        <v>18203</v>
      </c>
      <c r="Y6252" s="127"/>
      <c r="Z6252" s="127"/>
      <c r="AA6252" s="127"/>
      <c r="AB6252" s="128"/>
      <c r="AC6252" s="15" t="s">
        <v>20</v>
      </c>
      <c r="AD6252" s="129"/>
      <c r="AE6252" s="130"/>
      <c r="AF6252" s="130"/>
      <c r="AG6252" s="130"/>
      <c r="AH6252" s="130"/>
      <c r="AI6252" s="131"/>
      <c r="AJ6252" s="132"/>
      <c r="AK6252" s="127"/>
      <c r="AL6252" s="128"/>
      <c r="AM6252" s="21" t="s">
        <v>20967</v>
      </c>
      <c r="AN6252" s="133"/>
      <c r="AO6252" s="134"/>
      <c r="AP6252" s="135"/>
      <c r="AQ6252" s="136"/>
      <c r="AR6252" s="118"/>
      <c r="AS6252" s="119"/>
      <c r="AT6252" s="118">
        <f t="shared" ref="AT6252" si="8437">AR6252*0.1</f>
        <v>0</v>
      </c>
      <c r="AU6252" s="119"/>
      <c r="AV6252" s="118"/>
      <c r="AW6252" s="119"/>
      <c r="AX6252" s="118">
        <f t="shared" ref="AX6252" si="8438">SUM(AR6252:AW6252)</f>
        <v>0</v>
      </c>
      <c r="AY6252" s="119"/>
      <c r="AZ6252" s="137"/>
    </row>
    <row r="6253" spans="1:52" ht="17.100000000000001" customHeight="1" thickBot="1">
      <c r="A6253" s="110"/>
      <c r="B6253" s="27" t="s">
        <v>2699</v>
      </c>
      <c r="C6253" s="27">
        <v>3037</v>
      </c>
      <c r="D6253" s="14" t="s">
        <v>904</v>
      </c>
      <c r="E6253" s="112"/>
      <c r="F6253" s="139" t="s">
        <v>18185</v>
      </c>
      <c r="G6253" s="140"/>
      <c r="H6253" s="141"/>
      <c r="I6253" s="26">
        <v>44228</v>
      </c>
      <c r="J6253" s="117"/>
      <c r="K6253" s="120"/>
      <c r="L6253" s="121"/>
      <c r="M6253" s="120"/>
      <c r="N6253" s="121"/>
      <c r="O6253" s="120"/>
      <c r="P6253" s="121"/>
      <c r="Q6253" s="120"/>
      <c r="R6253" s="121"/>
      <c r="S6253" s="120"/>
      <c r="T6253" s="121"/>
      <c r="U6253" s="120"/>
      <c r="V6253" s="123"/>
      <c r="W6253" s="125"/>
      <c r="X6253" s="142" t="s">
        <v>18596</v>
      </c>
      <c r="Y6253" s="143"/>
      <c r="Z6253" s="143"/>
      <c r="AA6253" s="143"/>
      <c r="AB6253" s="144"/>
      <c r="AC6253" s="16" t="s">
        <v>21</v>
      </c>
      <c r="AD6253" s="17" t="s">
        <v>1894</v>
      </c>
      <c r="AE6253" s="145" t="s">
        <v>7842</v>
      </c>
      <c r="AF6253" s="146"/>
      <c r="AG6253" s="146"/>
      <c r="AH6253" s="146"/>
      <c r="AI6253" s="147"/>
      <c r="AJ6253" s="148"/>
      <c r="AK6253" s="143"/>
      <c r="AL6253" s="144"/>
      <c r="AM6253" s="22"/>
      <c r="AN6253" s="149"/>
      <c r="AO6253" s="144"/>
      <c r="AP6253" s="148"/>
      <c r="AQ6253" s="144"/>
      <c r="AR6253" s="120"/>
      <c r="AS6253" s="121"/>
      <c r="AT6253" s="120"/>
      <c r="AU6253" s="121"/>
      <c r="AV6253" s="120"/>
      <c r="AW6253" s="121"/>
      <c r="AX6253" s="120"/>
      <c r="AY6253" s="121"/>
      <c r="AZ6253" s="138"/>
    </row>
    <row r="6254" spans="1:52" ht="17.100000000000001" customHeight="1" thickTop="1">
      <c r="A6254" s="109" t="s">
        <v>18189</v>
      </c>
      <c r="B6254" s="28">
        <v>46070</v>
      </c>
      <c r="C6254" s="25">
        <v>927</v>
      </c>
      <c r="D6254" s="13" t="s">
        <v>3322</v>
      </c>
      <c r="E6254" s="111"/>
      <c r="F6254" s="113" t="s">
        <v>15215</v>
      </c>
      <c r="G6254" s="114"/>
      <c r="H6254" s="115"/>
      <c r="I6254" s="24"/>
      <c r="J6254" s="116">
        <v>4</v>
      </c>
      <c r="K6254" s="118">
        <v>955000</v>
      </c>
      <c r="L6254" s="119"/>
      <c r="M6254" s="118">
        <f t="shared" ref="M6254" si="8439">K6254*0.1</f>
        <v>95500</v>
      </c>
      <c r="N6254" s="119"/>
      <c r="O6254" s="118">
        <v>0</v>
      </c>
      <c r="P6254" s="119"/>
      <c r="Q6254" s="118">
        <v>6830</v>
      </c>
      <c r="R6254" s="119"/>
      <c r="S6254" s="118">
        <v>15950</v>
      </c>
      <c r="T6254" s="119"/>
      <c r="U6254" s="118">
        <f t="shared" ref="U6254" si="8440">SUM(K6254:T6255)</f>
        <v>1073280</v>
      </c>
      <c r="V6254" s="122"/>
      <c r="W6254" s="124"/>
      <c r="X6254" s="126" t="s">
        <v>18595</v>
      </c>
      <c r="Y6254" s="127"/>
      <c r="Z6254" s="127"/>
      <c r="AA6254" s="127"/>
      <c r="AB6254" s="128"/>
      <c r="AC6254" s="15" t="s">
        <v>20</v>
      </c>
      <c r="AD6254" s="129"/>
      <c r="AE6254" s="130"/>
      <c r="AF6254" s="130"/>
      <c r="AG6254" s="130"/>
      <c r="AH6254" s="130"/>
      <c r="AI6254" s="131"/>
      <c r="AJ6254" s="132"/>
      <c r="AK6254" s="127"/>
      <c r="AL6254" s="128"/>
      <c r="AM6254" s="21"/>
      <c r="AN6254" s="133">
        <v>46088</v>
      </c>
      <c r="AO6254" s="134"/>
      <c r="AP6254" s="135">
        <v>1291</v>
      </c>
      <c r="AQ6254" s="136"/>
      <c r="AR6254" s="118">
        <v>1025000</v>
      </c>
      <c r="AS6254" s="119"/>
      <c r="AT6254" s="118">
        <f t="shared" ref="AT6254" si="8441">AR6254*0.1</f>
        <v>102500</v>
      </c>
      <c r="AU6254" s="119"/>
      <c r="AV6254" s="118">
        <v>6830</v>
      </c>
      <c r="AW6254" s="119"/>
      <c r="AX6254" s="118">
        <f t="shared" ref="AX6254" si="8442">SUM(AR6254:AW6254)</f>
        <v>1134330</v>
      </c>
      <c r="AY6254" s="119"/>
      <c r="AZ6254" s="137">
        <v>46091</v>
      </c>
    </row>
    <row r="6255" spans="1:52" ht="17.100000000000001" customHeight="1" thickBot="1">
      <c r="A6255" s="110"/>
      <c r="B6255" s="27" t="s">
        <v>2699</v>
      </c>
      <c r="C6255" s="27">
        <v>3053</v>
      </c>
      <c r="D6255" s="14" t="s">
        <v>1556</v>
      </c>
      <c r="E6255" s="112"/>
      <c r="F6255" s="139" t="s">
        <v>18186</v>
      </c>
      <c r="G6255" s="140"/>
      <c r="H6255" s="141"/>
      <c r="I6255" s="26">
        <v>20557</v>
      </c>
      <c r="J6255" s="117"/>
      <c r="K6255" s="120"/>
      <c r="L6255" s="121"/>
      <c r="M6255" s="120"/>
      <c r="N6255" s="121"/>
      <c r="O6255" s="120"/>
      <c r="P6255" s="121"/>
      <c r="Q6255" s="120"/>
      <c r="R6255" s="121"/>
      <c r="S6255" s="120"/>
      <c r="T6255" s="121"/>
      <c r="U6255" s="120"/>
      <c r="V6255" s="123"/>
      <c r="W6255" s="125"/>
      <c r="X6255" s="142" t="s">
        <v>4076</v>
      </c>
      <c r="Y6255" s="143"/>
      <c r="Z6255" s="143"/>
      <c r="AA6255" s="143"/>
      <c r="AB6255" s="144"/>
      <c r="AC6255" s="16" t="s">
        <v>21</v>
      </c>
      <c r="AD6255" s="17" t="s">
        <v>1894</v>
      </c>
      <c r="AE6255" s="145"/>
      <c r="AF6255" s="146"/>
      <c r="AG6255" s="146"/>
      <c r="AH6255" s="146"/>
      <c r="AI6255" s="147"/>
      <c r="AJ6255" s="148"/>
      <c r="AK6255" s="143"/>
      <c r="AL6255" s="144"/>
      <c r="AM6255" s="22"/>
      <c r="AN6255" s="149" t="s">
        <v>2511</v>
      </c>
      <c r="AO6255" s="144"/>
      <c r="AP6255" s="148">
        <v>60089</v>
      </c>
      <c r="AQ6255" s="144"/>
      <c r="AR6255" s="120"/>
      <c r="AS6255" s="121"/>
      <c r="AT6255" s="120"/>
      <c r="AU6255" s="121"/>
      <c r="AV6255" s="120"/>
      <c r="AW6255" s="121"/>
      <c r="AX6255" s="120"/>
      <c r="AY6255" s="121"/>
      <c r="AZ6255" s="138"/>
    </row>
    <row r="6256" spans="1:52" ht="17.100000000000001" customHeight="1" thickTop="1">
      <c r="A6256" s="109" t="s">
        <v>18190</v>
      </c>
      <c r="B6256" s="28">
        <v>46070</v>
      </c>
      <c r="C6256" s="25">
        <v>927</v>
      </c>
      <c r="D6256" s="13" t="s">
        <v>2359</v>
      </c>
      <c r="E6256" s="111"/>
      <c r="F6256" s="113" t="s">
        <v>10048</v>
      </c>
      <c r="G6256" s="114"/>
      <c r="H6256" s="115"/>
      <c r="I6256" s="24"/>
      <c r="J6256" s="116">
        <v>4</v>
      </c>
      <c r="K6256" s="118">
        <v>1404000</v>
      </c>
      <c r="L6256" s="119"/>
      <c r="M6256" s="118">
        <f t="shared" ref="M6256" si="8443">K6256*0.1</f>
        <v>140400</v>
      </c>
      <c r="N6256" s="119"/>
      <c r="O6256" s="118">
        <v>0</v>
      </c>
      <c r="P6256" s="119"/>
      <c r="Q6256" s="118">
        <v>15100</v>
      </c>
      <c r="R6256" s="119"/>
      <c r="S6256" s="118">
        <v>15950</v>
      </c>
      <c r="T6256" s="119"/>
      <c r="U6256" s="118">
        <f t="shared" ref="U6256" si="8444">SUM(K6256:T6257)</f>
        <v>1575450</v>
      </c>
      <c r="V6256" s="122"/>
      <c r="W6256" s="124"/>
      <c r="X6256" s="126" t="s">
        <v>18601</v>
      </c>
      <c r="Y6256" s="127"/>
      <c r="Z6256" s="127"/>
      <c r="AA6256" s="127"/>
      <c r="AB6256" s="128"/>
      <c r="AC6256" s="15" t="s">
        <v>20</v>
      </c>
      <c r="AD6256" s="129"/>
      <c r="AE6256" s="130"/>
      <c r="AF6256" s="130"/>
      <c r="AG6256" s="130"/>
      <c r="AH6256" s="130"/>
      <c r="AI6256" s="131"/>
      <c r="AJ6256" s="132"/>
      <c r="AK6256" s="127"/>
      <c r="AL6256" s="128"/>
      <c r="AM6256" s="21"/>
      <c r="AN6256" s="133">
        <v>46081</v>
      </c>
      <c r="AO6256" s="134"/>
      <c r="AP6256" s="135">
        <v>1290</v>
      </c>
      <c r="AQ6256" s="136"/>
      <c r="AR6256" s="118">
        <v>1570000</v>
      </c>
      <c r="AS6256" s="119"/>
      <c r="AT6256" s="118">
        <f t="shared" ref="AT6256" si="8445">AR6256*0.1</f>
        <v>157000</v>
      </c>
      <c r="AU6256" s="119"/>
      <c r="AV6256" s="118">
        <v>15100</v>
      </c>
      <c r="AW6256" s="119"/>
      <c r="AX6256" s="118">
        <f t="shared" ref="AX6256" si="8446">SUM(AR6256:AW6256)</f>
        <v>1742100</v>
      </c>
      <c r="AY6256" s="119"/>
      <c r="AZ6256" s="137">
        <v>46084</v>
      </c>
    </row>
    <row r="6257" spans="1:52" ht="17.100000000000001" customHeight="1" thickBot="1">
      <c r="A6257" s="110"/>
      <c r="B6257" s="27" t="s">
        <v>2699</v>
      </c>
      <c r="C6257" s="27">
        <v>5015</v>
      </c>
      <c r="D6257" s="14" t="s">
        <v>2800</v>
      </c>
      <c r="E6257" s="112"/>
      <c r="F6257" s="139" t="s">
        <v>18204</v>
      </c>
      <c r="G6257" s="140"/>
      <c r="H6257" s="141"/>
      <c r="I6257" s="26">
        <v>24146</v>
      </c>
      <c r="J6257" s="117"/>
      <c r="K6257" s="120"/>
      <c r="L6257" s="121"/>
      <c r="M6257" s="120"/>
      <c r="N6257" s="121"/>
      <c r="O6257" s="120"/>
      <c r="P6257" s="121"/>
      <c r="Q6257" s="120"/>
      <c r="R6257" s="121"/>
      <c r="S6257" s="120"/>
      <c r="T6257" s="121"/>
      <c r="U6257" s="120"/>
      <c r="V6257" s="123"/>
      <c r="W6257" s="125"/>
      <c r="X6257" s="142" t="s">
        <v>18602</v>
      </c>
      <c r="Y6257" s="143"/>
      <c r="Z6257" s="143"/>
      <c r="AA6257" s="143"/>
      <c r="AB6257" s="144"/>
      <c r="AC6257" s="16" t="s">
        <v>21</v>
      </c>
      <c r="AD6257" s="17" t="s">
        <v>1894</v>
      </c>
      <c r="AE6257" s="145" t="s">
        <v>18603</v>
      </c>
      <c r="AF6257" s="146"/>
      <c r="AG6257" s="146"/>
      <c r="AH6257" s="146"/>
      <c r="AI6257" s="147"/>
      <c r="AJ6257" s="148"/>
      <c r="AK6257" s="143"/>
      <c r="AL6257" s="144"/>
      <c r="AM6257" s="22"/>
      <c r="AN6257" s="149" t="s">
        <v>2511</v>
      </c>
      <c r="AO6257" s="144"/>
      <c r="AP6257" s="148">
        <v>80013</v>
      </c>
      <c r="AQ6257" s="144"/>
      <c r="AR6257" s="120"/>
      <c r="AS6257" s="121"/>
      <c r="AT6257" s="120"/>
      <c r="AU6257" s="121"/>
      <c r="AV6257" s="120"/>
      <c r="AW6257" s="121"/>
      <c r="AX6257" s="120"/>
      <c r="AY6257" s="121"/>
      <c r="AZ6257" s="138"/>
    </row>
    <row r="6258" spans="1:52" ht="17.100000000000001" customHeight="1" thickTop="1">
      <c r="A6258" s="109" t="s">
        <v>18191</v>
      </c>
      <c r="B6258" s="28">
        <v>46070</v>
      </c>
      <c r="C6258" s="25">
        <v>1228</v>
      </c>
      <c r="D6258" s="13" t="s">
        <v>1902</v>
      </c>
      <c r="E6258" s="111" t="s">
        <v>18187</v>
      </c>
      <c r="F6258" s="113" t="s">
        <v>18188</v>
      </c>
      <c r="G6258" s="114"/>
      <c r="H6258" s="115"/>
      <c r="I6258" s="24"/>
      <c r="J6258" s="116">
        <v>4.5</v>
      </c>
      <c r="K6258" s="118">
        <v>1462000</v>
      </c>
      <c r="L6258" s="119"/>
      <c r="M6258" s="118">
        <f t="shared" ref="M6258" si="8447">K6258*0.1</f>
        <v>146200</v>
      </c>
      <c r="N6258" s="119"/>
      <c r="O6258" s="118">
        <v>0</v>
      </c>
      <c r="P6258" s="119"/>
      <c r="Q6258" s="118">
        <v>12510</v>
      </c>
      <c r="R6258" s="119"/>
      <c r="S6258" s="118">
        <v>15950</v>
      </c>
      <c r="T6258" s="119"/>
      <c r="U6258" s="118">
        <f t="shared" ref="U6258" si="8448">SUM(K6258:T6259)</f>
        <v>1636660</v>
      </c>
      <c r="V6258" s="122"/>
      <c r="W6258" s="124"/>
      <c r="X6258" s="126" t="s">
        <v>18607</v>
      </c>
      <c r="Y6258" s="127"/>
      <c r="Z6258" s="127"/>
      <c r="AA6258" s="127"/>
      <c r="AB6258" s="128"/>
      <c r="AC6258" s="15" t="s">
        <v>20</v>
      </c>
      <c r="AD6258" s="129"/>
      <c r="AE6258" s="130"/>
      <c r="AF6258" s="130"/>
      <c r="AG6258" s="130"/>
      <c r="AH6258" s="130"/>
      <c r="AI6258" s="131"/>
      <c r="AJ6258" s="132"/>
      <c r="AK6258" s="127"/>
      <c r="AL6258" s="128"/>
      <c r="AM6258" s="21"/>
      <c r="AN6258" s="133">
        <v>46095</v>
      </c>
      <c r="AO6258" s="134"/>
      <c r="AP6258" s="135">
        <v>1292</v>
      </c>
      <c r="AQ6258" s="136"/>
      <c r="AR6258" s="118">
        <v>1555000</v>
      </c>
      <c r="AS6258" s="119"/>
      <c r="AT6258" s="118">
        <f t="shared" ref="AT6258" si="8449">AR6258*0.1</f>
        <v>155500</v>
      </c>
      <c r="AU6258" s="119"/>
      <c r="AV6258" s="118">
        <v>12510</v>
      </c>
      <c r="AW6258" s="119"/>
      <c r="AX6258" s="118">
        <f t="shared" ref="AX6258" si="8450">SUM(AR6258:AW6258)</f>
        <v>1723010</v>
      </c>
      <c r="AY6258" s="119"/>
      <c r="AZ6258" s="137">
        <v>46098</v>
      </c>
    </row>
    <row r="6259" spans="1:52" ht="17.100000000000001" customHeight="1" thickBot="1">
      <c r="A6259" s="110"/>
      <c r="B6259" s="27" t="s">
        <v>2379</v>
      </c>
      <c r="C6259" s="27">
        <v>30057</v>
      </c>
      <c r="D6259" s="14" t="s">
        <v>133</v>
      </c>
      <c r="E6259" s="112"/>
      <c r="F6259" s="139" t="s">
        <v>18205</v>
      </c>
      <c r="G6259" s="140"/>
      <c r="H6259" s="141"/>
      <c r="I6259" s="26">
        <v>31480</v>
      </c>
      <c r="J6259" s="117"/>
      <c r="K6259" s="120"/>
      <c r="L6259" s="121"/>
      <c r="M6259" s="120"/>
      <c r="N6259" s="121"/>
      <c r="O6259" s="120"/>
      <c r="P6259" s="121"/>
      <c r="Q6259" s="120"/>
      <c r="R6259" s="121"/>
      <c r="S6259" s="120"/>
      <c r="T6259" s="121"/>
      <c r="U6259" s="120"/>
      <c r="V6259" s="123"/>
      <c r="W6259" s="125"/>
      <c r="X6259" s="142" t="s">
        <v>16907</v>
      </c>
      <c r="Y6259" s="143"/>
      <c r="Z6259" s="143"/>
      <c r="AA6259" s="143"/>
      <c r="AB6259" s="144"/>
      <c r="AC6259" s="16" t="s">
        <v>21</v>
      </c>
      <c r="AD6259" s="17" t="s">
        <v>1894</v>
      </c>
      <c r="AE6259" s="145" t="s">
        <v>10565</v>
      </c>
      <c r="AF6259" s="146"/>
      <c r="AG6259" s="146"/>
      <c r="AH6259" s="146"/>
      <c r="AI6259" s="147"/>
      <c r="AJ6259" s="148"/>
      <c r="AK6259" s="143"/>
      <c r="AL6259" s="144"/>
      <c r="AM6259" s="22"/>
      <c r="AN6259" s="149" t="s">
        <v>2511</v>
      </c>
      <c r="AO6259" s="144"/>
      <c r="AP6259" s="148">
        <v>80188</v>
      </c>
      <c r="AQ6259" s="144"/>
      <c r="AR6259" s="120"/>
      <c r="AS6259" s="121"/>
      <c r="AT6259" s="120"/>
      <c r="AU6259" s="121"/>
      <c r="AV6259" s="120"/>
      <c r="AW6259" s="121"/>
      <c r="AX6259" s="120"/>
      <c r="AY6259" s="121"/>
      <c r="AZ6259" s="138"/>
    </row>
    <row r="6260" spans="1:52" ht="17.100000000000001" customHeight="1" thickTop="1">
      <c r="A6260" s="109" t="s">
        <v>18192</v>
      </c>
      <c r="B6260" s="28">
        <v>46070</v>
      </c>
      <c r="C6260" s="25">
        <v>978</v>
      </c>
      <c r="D6260" s="13" t="s">
        <v>2859</v>
      </c>
      <c r="E6260" s="111"/>
      <c r="F6260" s="113" t="s">
        <v>18209</v>
      </c>
      <c r="G6260" s="114"/>
      <c r="H6260" s="115"/>
      <c r="I6260" s="24"/>
      <c r="J6260" s="116">
        <v>4.5</v>
      </c>
      <c r="K6260" s="118">
        <v>918000</v>
      </c>
      <c r="L6260" s="119"/>
      <c r="M6260" s="118">
        <f t="shared" ref="M6260" si="8451">K6260*0.1</f>
        <v>91800</v>
      </c>
      <c r="N6260" s="119"/>
      <c r="O6260" s="118">
        <v>0</v>
      </c>
      <c r="P6260" s="119"/>
      <c r="Q6260" s="118">
        <v>9140</v>
      </c>
      <c r="R6260" s="119"/>
      <c r="S6260" s="118">
        <v>22000</v>
      </c>
      <c r="T6260" s="119"/>
      <c r="U6260" s="118">
        <f t="shared" ref="U6260" si="8452">SUM(K6260:T6261)</f>
        <v>1040940</v>
      </c>
      <c r="V6260" s="122"/>
      <c r="W6260" s="124"/>
      <c r="X6260" s="126" t="s">
        <v>19062</v>
      </c>
      <c r="Y6260" s="127"/>
      <c r="Z6260" s="127"/>
      <c r="AA6260" s="127"/>
      <c r="AB6260" s="128"/>
      <c r="AC6260" s="15" t="s">
        <v>20</v>
      </c>
      <c r="AD6260" s="129"/>
      <c r="AE6260" s="130"/>
      <c r="AF6260" s="130"/>
      <c r="AG6260" s="130"/>
      <c r="AH6260" s="130"/>
      <c r="AI6260" s="131"/>
      <c r="AJ6260" s="132"/>
      <c r="AK6260" s="127"/>
      <c r="AL6260" s="128"/>
      <c r="AM6260" s="21"/>
      <c r="AN6260" s="133">
        <v>46088</v>
      </c>
      <c r="AO6260" s="134"/>
      <c r="AP6260" s="135">
        <v>1291</v>
      </c>
      <c r="AQ6260" s="136"/>
      <c r="AR6260" s="118">
        <v>1005000</v>
      </c>
      <c r="AS6260" s="119"/>
      <c r="AT6260" s="118">
        <f t="shared" ref="AT6260" si="8453">AR6260*0.1</f>
        <v>100500</v>
      </c>
      <c r="AU6260" s="119"/>
      <c r="AV6260" s="118">
        <v>9140</v>
      </c>
      <c r="AW6260" s="119"/>
      <c r="AX6260" s="118">
        <f t="shared" ref="AX6260" si="8454">SUM(AR6260:AW6260)</f>
        <v>1114640</v>
      </c>
      <c r="AY6260" s="119"/>
      <c r="AZ6260" s="137">
        <v>46091</v>
      </c>
    </row>
    <row r="6261" spans="1:52" ht="17.100000000000001" customHeight="1" thickBot="1">
      <c r="A6261" s="110"/>
      <c r="B6261" s="27" t="s">
        <v>18196</v>
      </c>
      <c r="C6261" s="27">
        <v>17</v>
      </c>
      <c r="D6261" s="14" t="s">
        <v>1556</v>
      </c>
      <c r="E6261" s="112"/>
      <c r="F6261" s="139" t="s">
        <v>18210</v>
      </c>
      <c r="G6261" s="140"/>
      <c r="H6261" s="141"/>
      <c r="I6261" s="26">
        <v>46370</v>
      </c>
      <c r="J6261" s="117"/>
      <c r="K6261" s="120"/>
      <c r="L6261" s="121"/>
      <c r="M6261" s="120"/>
      <c r="N6261" s="121"/>
      <c r="O6261" s="120"/>
      <c r="P6261" s="121"/>
      <c r="Q6261" s="120"/>
      <c r="R6261" s="121"/>
      <c r="S6261" s="120"/>
      <c r="T6261" s="121"/>
      <c r="U6261" s="120"/>
      <c r="V6261" s="123"/>
      <c r="W6261" s="125"/>
      <c r="X6261" s="142" t="s">
        <v>12898</v>
      </c>
      <c r="Y6261" s="143"/>
      <c r="Z6261" s="143"/>
      <c r="AA6261" s="143"/>
      <c r="AB6261" s="144"/>
      <c r="AC6261" s="16" t="s">
        <v>21</v>
      </c>
      <c r="AD6261" s="17" t="s">
        <v>2353</v>
      </c>
      <c r="AE6261" s="145" t="s">
        <v>19063</v>
      </c>
      <c r="AF6261" s="146"/>
      <c r="AG6261" s="146"/>
      <c r="AH6261" s="146"/>
      <c r="AI6261" s="147"/>
      <c r="AJ6261" s="148"/>
      <c r="AK6261" s="143"/>
      <c r="AL6261" s="144"/>
      <c r="AM6261" s="22"/>
      <c r="AN6261" s="149" t="s">
        <v>2511</v>
      </c>
      <c r="AO6261" s="144"/>
      <c r="AP6261" s="148">
        <v>60090</v>
      </c>
      <c r="AQ6261" s="144"/>
      <c r="AR6261" s="120"/>
      <c r="AS6261" s="121"/>
      <c r="AT6261" s="120"/>
      <c r="AU6261" s="121"/>
      <c r="AV6261" s="120"/>
      <c r="AW6261" s="121"/>
      <c r="AX6261" s="120"/>
      <c r="AY6261" s="121"/>
      <c r="AZ6261" s="138"/>
    </row>
    <row r="6262" spans="1:52" ht="17.100000000000001" customHeight="1" thickTop="1">
      <c r="A6262" s="109" t="s">
        <v>18193</v>
      </c>
      <c r="B6262" s="28">
        <v>46070</v>
      </c>
      <c r="C6262" s="25">
        <v>978</v>
      </c>
      <c r="D6262" s="13" t="s">
        <v>3832</v>
      </c>
      <c r="E6262" s="111"/>
      <c r="F6262" s="113" t="s">
        <v>15949</v>
      </c>
      <c r="G6262" s="114"/>
      <c r="H6262" s="115"/>
      <c r="I6262" s="24"/>
      <c r="J6262" s="116">
        <v>4</v>
      </c>
      <c r="K6262" s="118">
        <v>428000</v>
      </c>
      <c r="L6262" s="119"/>
      <c r="M6262" s="118">
        <f t="shared" ref="M6262" si="8455">K6262*0.1</f>
        <v>42800</v>
      </c>
      <c r="N6262" s="119"/>
      <c r="O6262" s="118">
        <v>0</v>
      </c>
      <c r="P6262" s="119"/>
      <c r="Q6262" s="118">
        <v>7140</v>
      </c>
      <c r="R6262" s="119"/>
      <c r="S6262" s="118">
        <v>22000</v>
      </c>
      <c r="T6262" s="119"/>
      <c r="U6262" s="118">
        <f t="shared" ref="U6262" si="8456">SUM(K6262:T6263)</f>
        <v>499940</v>
      </c>
      <c r="V6262" s="122"/>
      <c r="W6262" s="124"/>
      <c r="X6262" s="126" t="s">
        <v>19049</v>
      </c>
      <c r="Y6262" s="127"/>
      <c r="Z6262" s="127"/>
      <c r="AA6262" s="127"/>
      <c r="AB6262" s="128"/>
      <c r="AC6262" s="15" t="s">
        <v>20</v>
      </c>
      <c r="AD6262" s="129" t="s">
        <v>1670</v>
      </c>
      <c r="AE6262" s="130"/>
      <c r="AF6262" s="130"/>
      <c r="AG6262" s="130"/>
      <c r="AH6262" s="130"/>
      <c r="AI6262" s="131"/>
      <c r="AJ6262" s="132"/>
      <c r="AK6262" s="127"/>
      <c r="AL6262" s="128"/>
      <c r="AM6262" s="21"/>
      <c r="AN6262" s="133">
        <v>46077</v>
      </c>
      <c r="AO6262" s="134"/>
      <c r="AP6262" s="135">
        <v>1930</v>
      </c>
      <c r="AQ6262" s="136"/>
      <c r="AR6262" s="118">
        <v>562000</v>
      </c>
      <c r="AS6262" s="119"/>
      <c r="AT6262" s="118">
        <f t="shared" ref="AT6262" si="8457">AR6262*0.1</f>
        <v>56200</v>
      </c>
      <c r="AU6262" s="119"/>
      <c r="AV6262" s="118">
        <v>7140</v>
      </c>
      <c r="AW6262" s="119"/>
      <c r="AX6262" s="118">
        <f t="shared" ref="AX6262" si="8458">SUM(AR6262:AW6262)</f>
        <v>625340</v>
      </c>
      <c r="AY6262" s="119"/>
      <c r="AZ6262" s="137"/>
    </row>
    <row r="6263" spans="1:52" ht="17.100000000000001" customHeight="1" thickBot="1">
      <c r="A6263" s="110"/>
      <c r="B6263" s="27" t="s">
        <v>18196</v>
      </c>
      <c r="C6263" s="27">
        <v>136</v>
      </c>
      <c r="D6263" s="14" t="s">
        <v>3793</v>
      </c>
      <c r="E6263" s="112"/>
      <c r="F6263" s="139" t="s">
        <v>18211</v>
      </c>
      <c r="G6263" s="140"/>
      <c r="H6263" s="141"/>
      <c r="I6263" s="26">
        <v>34580</v>
      </c>
      <c r="J6263" s="117"/>
      <c r="K6263" s="120"/>
      <c r="L6263" s="121"/>
      <c r="M6263" s="120"/>
      <c r="N6263" s="121"/>
      <c r="O6263" s="120"/>
      <c r="P6263" s="121"/>
      <c r="Q6263" s="120"/>
      <c r="R6263" s="121"/>
      <c r="S6263" s="120"/>
      <c r="T6263" s="121"/>
      <c r="U6263" s="120"/>
      <c r="V6263" s="123"/>
      <c r="W6263" s="125"/>
      <c r="X6263" s="142" t="s">
        <v>2057</v>
      </c>
      <c r="Y6263" s="143"/>
      <c r="Z6263" s="143"/>
      <c r="AA6263" s="143"/>
      <c r="AB6263" s="144"/>
      <c r="AC6263" s="16" t="s">
        <v>21</v>
      </c>
      <c r="AD6263" s="17" t="s">
        <v>2353</v>
      </c>
      <c r="AE6263" s="145" t="s">
        <v>1670</v>
      </c>
      <c r="AF6263" s="146"/>
      <c r="AG6263" s="146"/>
      <c r="AH6263" s="146"/>
      <c r="AI6263" s="147"/>
      <c r="AJ6263" s="148"/>
      <c r="AK6263" s="143"/>
      <c r="AL6263" s="144"/>
      <c r="AM6263" s="22"/>
      <c r="AN6263" s="149" t="s">
        <v>2131</v>
      </c>
      <c r="AO6263" s="144"/>
      <c r="AP6263" s="148">
        <v>3443</v>
      </c>
      <c r="AQ6263" s="144"/>
      <c r="AR6263" s="120"/>
      <c r="AS6263" s="121"/>
      <c r="AT6263" s="120"/>
      <c r="AU6263" s="121"/>
      <c r="AV6263" s="120"/>
      <c r="AW6263" s="121"/>
      <c r="AX6263" s="120"/>
      <c r="AY6263" s="121"/>
      <c r="AZ6263" s="138"/>
    </row>
    <row r="6264" spans="1:52" ht="17.100000000000001" customHeight="1" thickTop="1">
      <c r="A6264" s="109" t="s">
        <v>18194</v>
      </c>
      <c r="B6264" s="28">
        <v>46070</v>
      </c>
      <c r="C6264" s="25">
        <v>978</v>
      </c>
      <c r="D6264" s="13" t="s">
        <v>2654</v>
      </c>
      <c r="E6264" s="111"/>
      <c r="F6264" s="113" t="s">
        <v>15218</v>
      </c>
      <c r="G6264" s="114"/>
      <c r="H6264" s="115"/>
      <c r="I6264" s="24"/>
      <c r="J6264" s="116">
        <v>4</v>
      </c>
      <c r="K6264" s="118">
        <v>709000</v>
      </c>
      <c r="L6264" s="119"/>
      <c r="M6264" s="118">
        <f t="shared" ref="M6264" si="8459">K6264*0.1</f>
        <v>70900</v>
      </c>
      <c r="N6264" s="119"/>
      <c r="O6264" s="118">
        <v>0</v>
      </c>
      <c r="P6264" s="119"/>
      <c r="Q6264" s="118">
        <v>7150</v>
      </c>
      <c r="R6264" s="119"/>
      <c r="S6264" s="118">
        <v>22000</v>
      </c>
      <c r="T6264" s="119"/>
      <c r="U6264" s="118">
        <f t="shared" ref="U6264" si="8460">SUM(K6264:T6265)</f>
        <v>809050</v>
      </c>
      <c r="V6264" s="122"/>
      <c r="W6264" s="124"/>
      <c r="X6264" s="126" t="s">
        <v>19064</v>
      </c>
      <c r="Y6264" s="127"/>
      <c r="Z6264" s="127"/>
      <c r="AA6264" s="127"/>
      <c r="AB6264" s="128"/>
      <c r="AC6264" s="15" t="s">
        <v>20</v>
      </c>
      <c r="AD6264" s="129" t="s">
        <v>18213</v>
      </c>
      <c r="AE6264" s="130"/>
      <c r="AF6264" s="130"/>
      <c r="AG6264" s="130"/>
      <c r="AH6264" s="130"/>
      <c r="AI6264" s="131"/>
      <c r="AJ6264" s="132"/>
      <c r="AK6264" s="127"/>
      <c r="AL6264" s="128"/>
      <c r="AM6264" s="21"/>
      <c r="AN6264" s="133">
        <v>46116</v>
      </c>
      <c r="AO6264" s="134"/>
      <c r="AP6264" s="135">
        <v>1295</v>
      </c>
      <c r="AQ6264" s="136"/>
      <c r="AR6264" s="118">
        <v>835000</v>
      </c>
      <c r="AS6264" s="119"/>
      <c r="AT6264" s="118">
        <f t="shared" ref="AT6264" si="8461">AR6264*0.1</f>
        <v>83500</v>
      </c>
      <c r="AU6264" s="119"/>
      <c r="AV6264" s="118">
        <v>7150</v>
      </c>
      <c r="AW6264" s="119"/>
      <c r="AX6264" s="118">
        <f t="shared" ref="AX6264" si="8462">SUM(AR6264:AW6264)</f>
        <v>925650</v>
      </c>
      <c r="AY6264" s="119"/>
      <c r="AZ6264" s="137">
        <v>46119</v>
      </c>
    </row>
    <row r="6265" spans="1:52" ht="17.100000000000001" customHeight="1" thickBot="1">
      <c r="A6265" s="110"/>
      <c r="B6265" s="27" t="s">
        <v>18196</v>
      </c>
      <c r="C6265" s="27">
        <v>1006</v>
      </c>
      <c r="D6265" s="14" t="s">
        <v>1720</v>
      </c>
      <c r="E6265" s="112"/>
      <c r="F6265" s="139" t="s">
        <v>18212</v>
      </c>
      <c r="G6265" s="140"/>
      <c r="H6265" s="141"/>
      <c r="I6265" s="26">
        <v>47830</v>
      </c>
      <c r="J6265" s="117"/>
      <c r="K6265" s="120"/>
      <c r="L6265" s="121"/>
      <c r="M6265" s="120"/>
      <c r="N6265" s="121"/>
      <c r="O6265" s="120"/>
      <c r="P6265" s="121"/>
      <c r="Q6265" s="120"/>
      <c r="R6265" s="121"/>
      <c r="S6265" s="120"/>
      <c r="T6265" s="121"/>
      <c r="U6265" s="120"/>
      <c r="V6265" s="123"/>
      <c r="W6265" s="125"/>
      <c r="X6265" s="142" t="s">
        <v>5035</v>
      </c>
      <c r="Y6265" s="143"/>
      <c r="Z6265" s="143"/>
      <c r="AA6265" s="143"/>
      <c r="AB6265" s="144"/>
      <c r="AC6265" s="16" t="s">
        <v>21</v>
      </c>
      <c r="AD6265" s="17" t="s">
        <v>2353</v>
      </c>
      <c r="AE6265" s="145" t="s">
        <v>9773</v>
      </c>
      <c r="AF6265" s="146"/>
      <c r="AG6265" s="146"/>
      <c r="AH6265" s="146"/>
      <c r="AI6265" s="147"/>
      <c r="AJ6265" s="148"/>
      <c r="AK6265" s="143"/>
      <c r="AL6265" s="144"/>
      <c r="AM6265" s="22"/>
      <c r="AN6265" s="149" t="s">
        <v>2511</v>
      </c>
      <c r="AO6265" s="144"/>
      <c r="AP6265" s="148">
        <v>62031</v>
      </c>
      <c r="AQ6265" s="144"/>
      <c r="AR6265" s="120"/>
      <c r="AS6265" s="121"/>
      <c r="AT6265" s="120"/>
      <c r="AU6265" s="121"/>
      <c r="AV6265" s="120"/>
      <c r="AW6265" s="121"/>
      <c r="AX6265" s="120"/>
      <c r="AY6265" s="121"/>
      <c r="AZ6265" s="138"/>
    </row>
    <row r="6266" spans="1:52" ht="17.100000000000001" customHeight="1" thickTop="1">
      <c r="A6266" s="109" t="s">
        <v>18195</v>
      </c>
      <c r="B6266" s="28">
        <v>46070</v>
      </c>
      <c r="C6266" s="25">
        <v>978</v>
      </c>
      <c r="D6266" s="13" t="s">
        <v>2415</v>
      </c>
      <c r="E6266" s="111"/>
      <c r="F6266" s="113" t="s">
        <v>15215</v>
      </c>
      <c r="G6266" s="114"/>
      <c r="H6266" s="115"/>
      <c r="I6266" s="24"/>
      <c r="J6266" s="116">
        <v>4.5</v>
      </c>
      <c r="K6266" s="118">
        <v>1128000</v>
      </c>
      <c r="L6266" s="119"/>
      <c r="M6266" s="118">
        <f t="shared" ref="M6266" si="8463">K6266*0.1</f>
        <v>112800</v>
      </c>
      <c r="N6266" s="119"/>
      <c r="O6266" s="118">
        <v>0</v>
      </c>
      <c r="P6266" s="119"/>
      <c r="Q6266" s="118">
        <v>8350</v>
      </c>
      <c r="R6266" s="119"/>
      <c r="S6266" s="118">
        <v>22000</v>
      </c>
      <c r="T6266" s="119"/>
      <c r="U6266" s="118">
        <f t="shared" ref="U6266" si="8464">SUM(K6266:T6267)</f>
        <v>1271150</v>
      </c>
      <c r="V6266" s="122"/>
      <c r="W6266" s="124"/>
      <c r="X6266" s="126" t="s">
        <v>19065</v>
      </c>
      <c r="Y6266" s="127"/>
      <c r="Z6266" s="127"/>
      <c r="AA6266" s="127"/>
      <c r="AB6266" s="128"/>
      <c r="AC6266" s="15" t="s">
        <v>20</v>
      </c>
      <c r="AD6266" s="129" t="s">
        <v>1670</v>
      </c>
      <c r="AE6266" s="130"/>
      <c r="AF6266" s="130"/>
      <c r="AG6266" s="130"/>
      <c r="AH6266" s="130"/>
      <c r="AI6266" s="131"/>
      <c r="AJ6266" s="132"/>
      <c r="AK6266" s="127"/>
      <c r="AL6266" s="128"/>
      <c r="AM6266" s="21"/>
      <c r="AN6266" s="133">
        <v>46084</v>
      </c>
      <c r="AO6266" s="134"/>
      <c r="AP6266" s="135">
        <v>1931</v>
      </c>
      <c r="AQ6266" s="136"/>
      <c r="AR6266" s="118">
        <v>1158000</v>
      </c>
      <c r="AS6266" s="119"/>
      <c r="AT6266" s="118">
        <f t="shared" ref="AT6266" si="8465">AR6266*0.1</f>
        <v>115800</v>
      </c>
      <c r="AU6266" s="119"/>
      <c r="AV6266" s="118">
        <v>8350</v>
      </c>
      <c r="AW6266" s="119"/>
      <c r="AX6266" s="118">
        <f t="shared" ref="AX6266" si="8466">SUM(AR6266:AW6266)</f>
        <v>1282150</v>
      </c>
      <c r="AY6266" s="119"/>
      <c r="AZ6266" s="137">
        <v>46091</v>
      </c>
    </row>
    <row r="6267" spans="1:52" ht="17.100000000000001" customHeight="1" thickBot="1">
      <c r="A6267" s="110"/>
      <c r="B6267" s="27" t="s">
        <v>18196</v>
      </c>
      <c r="C6267" s="27">
        <v>1011</v>
      </c>
      <c r="D6267" s="14" t="s">
        <v>1812</v>
      </c>
      <c r="E6267" s="112"/>
      <c r="F6267" s="139" t="s">
        <v>18214</v>
      </c>
      <c r="G6267" s="140"/>
      <c r="H6267" s="141"/>
      <c r="I6267" s="26">
        <v>4648</v>
      </c>
      <c r="J6267" s="117"/>
      <c r="K6267" s="120"/>
      <c r="L6267" s="121"/>
      <c r="M6267" s="120"/>
      <c r="N6267" s="121"/>
      <c r="O6267" s="120"/>
      <c r="P6267" s="121"/>
      <c r="Q6267" s="120"/>
      <c r="R6267" s="121"/>
      <c r="S6267" s="120"/>
      <c r="T6267" s="121"/>
      <c r="U6267" s="120"/>
      <c r="V6267" s="123"/>
      <c r="W6267" s="125"/>
      <c r="X6267" s="142" t="s">
        <v>2482</v>
      </c>
      <c r="Y6267" s="143"/>
      <c r="Z6267" s="143"/>
      <c r="AA6267" s="143"/>
      <c r="AB6267" s="144"/>
      <c r="AC6267" s="16" t="s">
        <v>21</v>
      </c>
      <c r="AD6267" s="17" t="s">
        <v>2353</v>
      </c>
      <c r="AE6267" s="145" t="s">
        <v>18388</v>
      </c>
      <c r="AF6267" s="146"/>
      <c r="AG6267" s="146"/>
      <c r="AH6267" s="146"/>
      <c r="AI6267" s="147"/>
      <c r="AJ6267" s="148"/>
      <c r="AK6267" s="143"/>
      <c r="AL6267" s="144"/>
      <c r="AM6267" s="22"/>
      <c r="AN6267" s="149" t="s">
        <v>2131</v>
      </c>
      <c r="AO6267" s="144"/>
      <c r="AP6267" s="148">
        <v>3133</v>
      </c>
      <c r="AQ6267" s="144"/>
      <c r="AR6267" s="120"/>
      <c r="AS6267" s="121"/>
      <c r="AT6267" s="120"/>
      <c r="AU6267" s="121"/>
      <c r="AV6267" s="120"/>
      <c r="AW6267" s="121"/>
      <c r="AX6267" s="120"/>
      <c r="AY6267" s="121"/>
      <c r="AZ6267" s="138"/>
    </row>
    <row r="6268" spans="1:52" ht="17.100000000000001" customHeight="1" thickTop="1">
      <c r="A6268" s="109" t="s">
        <v>18215</v>
      </c>
      <c r="B6268" s="28">
        <v>46071</v>
      </c>
      <c r="C6268" s="25">
        <v>1005</v>
      </c>
      <c r="D6268" s="13" t="s">
        <v>1563</v>
      </c>
      <c r="E6268" s="111"/>
      <c r="F6268" s="113" t="s">
        <v>15217</v>
      </c>
      <c r="G6268" s="114"/>
      <c r="H6268" s="115"/>
      <c r="I6268" s="24" t="s">
        <v>10342</v>
      </c>
      <c r="J6268" s="116">
        <v>4.5</v>
      </c>
      <c r="K6268" s="118">
        <v>965000</v>
      </c>
      <c r="L6268" s="119"/>
      <c r="M6268" s="118">
        <f t="shared" ref="M6268" si="8467">K6268*0.1</f>
        <v>96500</v>
      </c>
      <c r="N6268" s="119"/>
      <c r="O6268" s="118">
        <v>0</v>
      </c>
      <c r="P6268" s="119"/>
      <c r="Q6268" s="118">
        <v>7150</v>
      </c>
      <c r="R6268" s="119"/>
      <c r="S6268" s="118">
        <v>12100</v>
      </c>
      <c r="T6268" s="119"/>
      <c r="U6268" s="118">
        <f t="shared" ref="U6268" si="8468">SUM(K6268:T6269)</f>
        <v>1080750</v>
      </c>
      <c r="V6268" s="122"/>
      <c r="W6268" s="124"/>
      <c r="X6268" s="126" t="s">
        <v>18225</v>
      </c>
      <c r="Y6268" s="127"/>
      <c r="Z6268" s="127"/>
      <c r="AA6268" s="127"/>
      <c r="AB6268" s="128"/>
      <c r="AC6268" s="15" t="s">
        <v>20</v>
      </c>
      <c r="AD6268" s="129"/>
      <c r="AE6268" s="130"/>
      <c r="AF6268" s="130"/>
      <c r="AG6268" s="130"/>
      <c r="AH6268" s="130"/>
      <c r="AI6268" s="131"/>
      <c r="AJ6268" s="132"/>
      <c r="AK6268" s="127"/>
      <c r="AL6268" s="128"/>
      <c r="AM6268" s="21" t="s">
        <v>20968</v>
      </c>
      <c r="AN6268" s="133"/>
      <c r="AO6268" s="134"/>
      <c r="AP6268" s="135"/>
      <c r="AQ6268" s="136"/>
      <c r="AR6268" s="118"/>
      <c r="AS6268" s="119"/>
      <c r="AT6268" s="118">
        <f t="shared" ref="AT6268" si="8469">AR6268*0.1</f>
        <v>0</v>
      </c>
      <c r="AU6268" s="119"/>
      <c r="AV6268" s="118"/>
      <c r="AW6268" s="119"/>
      <c r="AX6268" s="118">
        <f t="shared" ref="AX6268" si="8470">SUM(AR6268:AW6268)</f>
        <v>0</v>
      </c>
      <c r="AY6268" s="119"/>
      <c r="AZ6268" s="137"/>
    </row>
    <row r="6269" spans="1:52" ht="17.100000000000001" customHeight="1" thickBot="1">
      <c r="A6269" s="110"/>
      <c r="B6269" s="27" t="s">
        <v>2794</v>
      </c>
      <c r="C6269" s="27">
        <v>1140</v>
      </c>
      <c r="D6269" s="14" t="s">
        <v>275</v>
      </c>
      <c r="E6269" s="112"/>
      <c r="F6269" s="139" t="s">
        <v>18220</v>
      </c>
      <c r="G6269" s="140"/>
      <c r="H6269" s="141"/>
      <c r="I6269" s="26">
        <v>59284</v>
      </c>
      <c r="J6269" s="117"/>
      <c r="K6269" s="120"/>
      <c r="L6269" s="121"/>
      <c r="M6269" s="120"/>
      <c r="N6269" s="121"/>
      <c r="O6269" s="120"/>
      <c r="P6269" s="121"/>
      <c r="Q6269" s="120"/>
      <c r="R6269" s="121"/>
      <c r="S6269" s="120"/>
      <c r="T6269" s="121"/>
      <c r="U6269" s="120"/>
      <c r="V6269" s="123"/>
      <c r="W6269" s="125"/>
      <c r="X6269" s="142" t="s">
        <v>2796</v>
      </c>
      <c r="Y6269" s="143"/>
      <c r="Z6269" s="143"/>
      <c r="AA6269" s="143"/>
      <c r="AB6269" s="144"/>
      <c r="AC6269" s="16" t="s">
        <v>21</v>
      </c>
      <c r="AD6269" s="17" t="s">
        <v>18720</v>
      </c>
      <c r="AE6269" s="145" t="s">
        <v>171</v>
      </c>
      <c r="AF6269" s="146"/>
      <c r="AG6269" s="146"/>
      <c r="AH6269" s="146"/>
      <c r="AI6269" s="147"/>
      <c r="AJ6269" s="148"/>
      <c r="AK6269" s="143"/>
      <c r="AL6269" s="144"/>
      <c r="AM6269" s="22"/>
      <c r="AN6269" s="149"/>
      <c r="AO6269" s="144"/>
      <c r="AP6269" s="148"/>
      <c r="AQ6269" s="144"/>
      <c r="AR6269" s="120"/>
      <c r="AS6269" s="121"/>
      <c r="AT6269" s="120"/>
      <c r="AU6269" s="121"/>
      <c r="AV6269" s="120"/>
      <c r="AW6269" s="121"/>
      <c r="AX6269" s="120"/>
      <c r="AY6269" s="121"/>
      <c r="AZ6269" s="138"/>
    </row>
    <row r="6270" spans="1:52" ht="17.100000000000001" customHeight="1" thickTop="1">
      <c r="A6270" s="109" t="s">
        <v>18216</v>
      </c>
      <c r="B6270" s="28">
        <v>46071</v>
      </c>
      <c r="C6270" s="25">
        <v>1005</v>
      </c>
      <c r="D6270" s="13" t="s">
        <v>2458</v>
      </c>
      <c r="E6270" s="111"/>
      <c r="F6270" s="113" t="s">
        <v>15289</v>
      </c>
      <c r="G6270" s="114"/>
      <c r="H6270" s="115"/>
      <c r="I6270" s="24"/>
      <c r="J6270" s="116">
        <v>4.5</v>
      </c>
      <c r="K6270" s="118">
        <v>615000</v>
      </c>
      <c r="L6270" s="119"/>
      <c r="M6270" s="118">
        <f t="shared" ref="M6270" si="8471">K6270*0.1</f>
        <v>61500</v>
      </c>
      <c r="N6270" s="119"/>
      <c r="O6270" s="118">
        <v>0</v>
      </c>
      <c r="P6270" s="119"/>
      <c r="Q6270" s="118">
        <v>9310</v>
      </c>
      <c r="R6270" s="119"/>
      <c r="S6270" s="118">
        <v>12100</v>
      </c>
      <c r="T6270" s="119"/>
      <c r="U6270" s="118">
        <f t="shared" ref="U6270" si="8472">SUM(K6270:T6271)</f>
        <v>697910</v>
      </c>
      <c r="V6270" s="122"/>
      <c r="W6270" s="124"/>
      <c r="X6270" s="126" t="s">
        <v>18977</v>
      </c>
      <c r="Y6270" s="127"/>
      <c r="Z6270" s="127"/>
      <c r="AA6270" s="127"/>
      <c r="AB6270" s="128"/>
      <c r="AC6270" s="15" t="s">
        <v>20</v>
      </c>
      <c r="AD6270" s="129"/>
      <c r="AE6270" s="130"/>
      <c r="AF6270" s="130"/>
      <c r="AG6270" s="130"/>
      <c r="AH6270" s="130"/>
      <c r="AI6270" s="131"/>
      <c r="AJ6270" s="132"/>
      <c r="AK6270" s="127"/>
      <c r="AL6270" s="128"/>
      <c r="AM6270" s="21"/>
      <c r="AN6270" s="133">
        <v>46081</v>
      </c>
      <c r="AO6270" s="134"/>
      <c r="AP6270" s="135">
        <v>1290</v>
      </c>
      <c r="AQ6270" s="136"/>
      <c r="AR6270" s="118">
        <v>700000</v>
      </c>
      <c r="AS6270" s="119"/>
      <c r="AT6270" s="118">
        <f t="shared" ref="AT6270" si="8473">AR6270*0.1</f>
        <v>70000</v>
      </c>
      <c r="AU6270" s="119"/>
      <c r="AV6270" s="118">
        <v>9310</v>
      </c>
      <c r="AW6270" s="119"/>
      <c r="AX6270" s="118">
        <f t="shared" ref="AX6270" si="8474">SUM(AR6270:AW6270)</f>
        <v>779310</v>
      </c>
      <c r="AY6270" s="119"/>
      <c r="AZ6270" s="137">
        <v>46084</v>
      </c>
    </row>
    <row r="6271" spans="1:52" ht="17.100000000000001" customHeight="1" thickBot="1">
      <c r="A6271" s="110"/>
      <c r="B6271" s="27" t="s">
        <v>2794</v>
      </c>
      <c r="C6271" s="27">
        <v>1178</v>
      </c>
      <c r="D6271" s="14" t="s">
        <v>3855</v>
      </c>
      <c r="E6271" s="112"/>
      <c r="F6271" s="139" t="s">
        <v>18221</v>
      </c>
      <c r="G6271" s="140"/>
      <c r="H6271" s="141"/>
      <c r="I6271" s="26">
        <v>57790</v>
      </c>
      <c r="J6271" s="117"/>
      <c r="K6271" s="120"/>
      <c r="L6271" s="121"/>
      <c r="M6271" s="120"/>
      <c r="N6271" s="121"/>
      <c r="O6271" s="120"/>
      <c r="P6271" s="121"/>
      <c r="Q6271" s="120"/>
      <c r="R6271" s="121"/>
      <c r="S6271" s="120"/>
      <c r="T6271" s="121"/>
      <c r="U6271" s="120"/>
      <c r="V6271" s="123"/>
      <c r="W6271" s="125"/>
      <c r="X6271" s="142" t="s">
        <v>4167</v>
      </c>
      <c r="Y6271" s="143"/>
      <c r="Z6271" s="143"/>
      <c r="AA6271" s="143"/>
      <c r="AB6271" s="144"/>
      <c r="AC6271" s="16" t="s">
        <v>21</v>
      </c>
      <c r="AD6271" s="17" t="s">
        <v>18720</v>
      </c>
      <c r="AE6271" s="145" t="s">
        <v>171</v>
      </c>
      <c r="AF6271" s="146"/>
      <c r="AG6271" s="146"/>
      <c r="AH6271" s="146"/>
      <c r="AI6271" s="147"/>
      <c r="AJ6271" s="148"/>
      <c r="AK6271" s="143"/>
      <c r="AL6271" s="144"/>
      <c r="AM6271" s="22"/>
      <c r="AN6271" s="149" t="s">
        <v>2511</v>
      </c>
      <c r="AO6271" s="144"/>
      <c r="AP6271" s="148">
        <v>60069</v>
      </c>
      <c r="AQ6271" s="144"/>
      <c r="AR6271" s="120"/>
      <c r="AS6271" s="121"/>
      <c r="AT6271" s="120"/>
      <c r="AU6271" s="121"/>
      <c r="AV6271" s="120"/>
      <c r="AW6271" s="121"/>
      <c r="AX6271" s="120"/>
      <c r="AY6271" s="121"/>
      <c r="AZ6271" s="138"/>
    </row>
    <row r="6272" spans="1:52" ht="17.100000000000001" customHeight="1" thickTop="1">
      <c r="A6272" s="109" t="s">
        <v>18217</v>
      </c>
      <c r="B6272" s="28">
        <v>46071</v>
      </c>
      <c r="C6272" s="25">
        <v>1005</v>
      </c>
      <c r="D6272" s="13" t="s">
        <v>1896</v>
      </c>
      <c r="E6272" s="111"/>
      <c r="F6272" s="113" t="s">
        <v>7632</v>
      </c>
      <c r="G6272" s="114"/>
      <c r="H6272" s="115"/>
      <c r="I6272" s="24"/>
      <c r="J6272" s="116">
        <v>4.5</v>
      </c>
      <c r="K6272" s="118">
        <v>339000</v>
      </c>
      <c r="L6272" s="119"/>
      <c r="M6272" s="118">
        <f t="shared" ref="M6272" si="8475">K6272*0.1</f>
        <v>33900</v>
      </c>
      <c r="N6272" s="119"/>
      <c r="O6272" s="118">
        <v>0</v>
      </c>
      <c r="P6272" s="119"/>
      <c r="Q6272" s="118">
        <v>9170</v>
      </c>
      <c r="R6272" s="119"/>
      <c r="S6272" s="118">
        <v>11000</v>
      </c>
      <c r="T6272" s="119"/>
      <c r="U6272" s="118">
        <f t="shared" ref="U6272" si="8476">SUM(K6272:T6273)</f>
        <v>393070</v>
      </c>
      <c r="V6272" s="122"/>
      <c r="W6272" s="124"/>
      <c r="X6272" s="126" t="s">
        <v>18722</v>
      </c>
      <c r="Y6272" s="127"/>
      <c r="Z6272" s="127"/>
      <c r="AA6272" s="127"/>
      <c r="AB6272" s="128"/>
      <c r="AC6272" s="15" t="s">
        <v>20</v>
      </c>
      <c r="AD6272" s="129"/>
      <c r="AE6272" s="130"/>
      <c r="AF6272" s="130"/>
      <c r="AG6272" s="130"/>
      <c r="AH6272" s="130"/>
      <c r="AI6272" s="131"/>
      <c r="AJ6272" s="132"/>
      <c r="AK6272" s="127"/>
      <c r="AL6272" s="128"/>
      <c r="AM6272" s="21"/>
      <c r="AN6272" s="133">
        <v>46074</v>
      </c>
      <c r="AO6272" s="134"/>
      <c r="AP6272" s="135">
        <v>1289</v>
      </c>
      <c r="AQ6272" s="136"/>
      <c r="AR6272" s="118">
        <v>385000</v>
      </c>
      <c r="AS6272" s="119"/>
      <c r="AT6272" s="118">
        <f t="shared" ref="AT6272" si="8477">AR6272*0.1</f>
        <v>38500</v>
      </c>
      <c r="AU6272" s="119"/>
      <c r="AV6272" s="118">
        <v>9170</v>
      </c>
      <c r="AW6272" s="119"/>
      <c r="AX6272" s="118">
        <f t="shared" ref="AX6272" si="8478">SUM(AR6272:AW6272)</f>
        <v>432670</v>
      </c>
      <c r="AY6272" s="119"/>
      <c r="AZ6272" s="137">
        <v>46080</v>
      </c>
    </row>
    <row r="6273" spans="1:52" ht="17.100000000000001" customHeight="1" thickBot="1">
      <c r="A6273" s="110"/>
      <c r="B6273" s="27" t="s">
        <v>2794</v>
      </c>
      <c r="C6273" s="27">
        <v>3062</v>
      </c>
      <c r="D6273" s="14" t="s">
        <v>18226</v>
      </c>
      <c r="E6273" s="112"/>
      <c r="F6273" s="139" t="s">
        <v>18222</v>
      </c>
      <c r="G6273" s="140"/>
      <c r="H6273" s="141"/>
      <c r="I6273" s="26">
        <v>8715</v>
      </c>
      <c r="J6273" s="117"/>
      <c r="K6273" s="120"/>
      <c r="L6273" s="121"/>
      <c r="M6273" s="120"/>
      <c r="N6273" s="121"/>
      <c r="O6273" s="120"/>
      <c r="P6273" s="121"/>
      <c r="Q6273" s="120"/>
      <c r="R6273" s="121"/>
      <c r="S6273" s="120"/>
      <c r="T6273" s="121"/>
      <c r="U6273" s="120"/>
      <c r="V6273" s="123"/>
      <c r="W6273" s="125"/>
      <c r="X6273" s="142" t="s">
        <v>18723</v>
      </c>
      <c r="Y6273" s="143"/>
      <c r="Z6273" s="143"/>
      <c r="AA6273" s="143"/>
      <c r="AB6273" s="144"/>
      <c r="AC6273" s="16" t="s">
        <v>21</v>
      </c>
      <c r="AD6273" s="17" t="s">
        <v>3980</v>
      </c>
      <c r="AE6273" s="145"/>
      <c r="AF6273" s="146"/>
      <c r="AG6273" s="146"/>
      <c r="AH6273" s="146"/>
      <c r="AI6273" s="147"/>
      <c r="AJ6273" s="148"/>
      <c r="AK6273" s="143"/>
      <c r="AL6273" s="144"/>
      <c r="AM6273" s="22"/>
      <c r="AN6273" s="149" t="s">
        <v>2511</v>
      </c>
      <c r="AO6273" s="144"/>
      <c r="AP6273" s="148">
        <v>60403</v>
      </c>
      <c r="AQ6273" s="144"/>
      <c r="AR6273" s="120"/>
      <c r="AS6273" s="121"/>
      <c r="AT6273" s="120"/>
      <c r="AU6273" s="121"/>
      <c r="AV6273" s="120"/>
      <c r="AW6273" s="121"/>
      <c r="AX6273" s="120"/>
      <c r="AY6273" s="121"/>
      <c r="AZ6273" s="138"/>
    </row>
    <row r="6274" spans="1:52" ht="17.100000000000001" customHeight="1" thickTop="1">
      <c r="A6274" s="109" t="s">
        <v>18218</v>
      </c>
      <c r="B6274" s="28">
        <v>46071</v>
      </c>
      <c r="C6274" s="25">
        <v>1005</v>
      </c>
      <c r="D6274" s="13" t="s">
        <v>1839</v>
      </c>
      <c r="E6274" s="111"/>
      <c r="F6274" s="113" t="s">
        <v>18223</v>
      </c>
      <c r="G6274" s="114"/>
      <c r="H6274" s="115"/>
      <c r="I6274" s="24"/>
      <c r="J6274" s="116">
        <v>4</v>
      </c>
      <c r="K6274" s="118">
        <v>231000</v>
      </c>
      <c r="L6274" s="119"/>
      <c r="M6274" s="118">
        <f t="shared" ref="M6274" si="8479">K6274*0.1</f>
        <v>23100</v>
      </c>
      <c r="N6274" s="119"/>
      <c r="O6274" s="118">
        <v>0</v>
      </c>
      <c r="P6274" s="119"/>
      <c r="Q6274" s="118">
        <v>9670</v>
      </c>
      <c r="R6274" s="119"/>
      <c r="S6274" s="118">
        <v>11000</v>
      </c>
      <c r="T6274" s="119"/>
      <c r="U6274" s="118">
        <f t="shared" ref="U6274" si="8480">SUM(K6274:T6275)</f>
        <v>274770</v>
      </c>
      <c r="V6274" s="122"/>
      <c r="W6274" s="124"/>
      <c r="X6274" s="126" t="s">
        <v>18978</v>
      </c>
      <c r="Y6274" s="127"/>
      <c r="Z6274" s="127"/>
      <c r="AA6274" s="127"/>
      <c r="AB6274" s="128"/>
      <c r="AC6274" s="15" t="s">
        <v>20</v>
      </c>
      <c r="AD6274" s="129"/>
      <c r="AE6274" s="130"/>
      <c r="AF6274" s="130"/>
      <c r="AG6274" s="130"/>
      <c r="AH6274" s="130"/>
      <c r="AI6274" s="131"/>
      <c r="AJ6274" s="132"/>
      <c r="AK6274" s="127"/>
      <c r="AL6274" s="128"/>
      <c r="AM6274" s="21"/>
      <c r="AN6274" s="133">
        <v>46116</v>
      </c>
      <c r="AO6274" s="134"/>
      <c r="AP6274" s="135">
        <v>1295</v>
      </c>
      <c r="AQ6274" s="136"/>
      <c r="AR6274" s="118">
        <v>400000</v>
      </c>
      <c r="AS6274" s="119"/>
      <c r="AT6274" s="118">
        <f t="shared" ref="AT6274" si="8481">AR6274*0.1</f>
        <v>40000</v>
      </c>
      <c r="AU6274" s="119"/>
      <c r="AV6274" s="118">
        <v>9670</v>
      </c>
      <c r="AW6274" s="119"/>
      <c r="AX6274" s="118">
        <f t="shared" ref="AX6274" si="8482">SUM(AR6274:AW6274)</f>
        <v>449670</v>
      </c>
      <c r="AY6274" s="119"/>
      <c r="AZ6274" s="137">
        <v>46119</v>
      </c>
    </row>
    <row r="6275" spans="1:52" ht="17.100000000000001" customHeight="1" thickBot="1">
      <c r="A6275" s="110"/>
      <c r="B6275" s="27" t="s">
        <v>2794</v>
      </c>
      <c r="C6275" s="27">
        <v>3130</v>
      </c>
      <c r="D6275" s="14" t="s">
        <v>2601</v>
      </c>
      <c r="E6275" s="112"/>
      <c r="F6275" s="139" t="s">
        <v>18224</v>
      </c>
      <c r="G6275" s="140"/>
      <c r="H6275" s="141"/>
      <c r="I6275" s="26">
        <v>52835</v>
      </c>
      <c r="J6275" s="117"/>
      <c r="K6275" s="120"/>
      <c r="L6275" s="121"/>
      <c r="M6275" s="120"/>
      <c r="N6275" s="121"/>
      <c r="O6275" s="120"/>
      <c r="P6275" s="121"/>
      <c r="Q6275" s="120"/>
      <c r="R6275" s="121"/>
      <c r="S6275" s="120"/>
      <c r="T6275" s="121"/>
      <c r="U6275" s="120"/>
      <c r="V6275" s="123"/>
      <c r="W6275" s="125"/>
      <c r="X6275" s="142" t="s">
        <v>18723</v>
      </c>
      <c r="Y6275" s="143"/>
      <c r="Z6275" s="143"/>
      <c r="AA6275" s="143"/>
      <c r="AB6275" s="144"/>
      <c r="AC6275" s="16" t="s">
        <v>21</v>
      </c>
      <c r="AD6275" s="17" t="s">
        <v>18720</v>
      </c>
      <c r="AE6275" s="145"/>
      <c r="AF6275" s="146"/>
      <c r="AG6275" s="146"/>
      <c r="AH6275" s="146"/>
      <c r="AI6275" s="147"/>
      <c r="AJ6275" s="148"/>
      <c r="AK6275" s="143"/>
      <c r="AL6275" s="144"/>
      <c r="AM6275" s="22"/>
      <c r="AN6275" s="149" t="s">
        <v>2511</v>
      </c>
      <c r="AO6275" s="144"/>
      <c r="AP6275" s="148">
        <v>60572</v>
      </c>
      <c r="AQ6275" s="144"/>
      <c r="AR6275" s="120"/>
      <c r="AS6275" s="121"/>
      <c r="AT6275" s="120"/>
      <c r="AU6275" s="121"/>
      <c r="AV6275" s="120"/>
      <c r="AW6275" s="121"/>
      <c r="AX6275" s="120"/>
      <c r="AY6275" s="121"/>
      <c r="AZ6275" s="138"/>
    </row>
    <row r="6276" spans="1:52" ht="17.100000000000001" customHeight="1" thickTop="1">
      <c r="A6276" s="109" t="s">
        <v>18219</v>
      </c>
      <c r="B6276" s="28">
        <v>46071</v>
      </c>
      <c r="C6276" s="25">
        <v>1005</v>
      </c>
      <c r="D6276" s="13" t="s">
        <v>4824</v>
      </c>
      <c r="E6276" s="111"/>
      <c r="F6276" s="113" t="s">
        <v>15893</v>
      </c>
      <c r="G6276" s="114"/>
      <c r="H6276" s="115"/>
      <c r="I6276" s="24"/>
      <c r="J6276" s="116">
        <v>4</v>
      </c>
      <c r="K6276" s="118">
        <v>470000</v>
      </c>
      <c r="L6276" s="119"/>
      <c r="M6276" s="118">
        <f t="shared" ref="M6276" si="8483">K6276*0.1</f>
        <v>47000</v>
      </c>
      <c r="N6276" s="119"/>
      <c r="O6276" s="118">
        <v>0</v>
      </c>
      <c r="P6276" s="119"/>
      <c r="Q6276" s="118">
        <v>19440</v>
      </c>
      <c r="R6276" s="119"/>
      <c r="S6276" s="118">
        <v>9900</v>
      </c>
      <c r="T6276" s="119"/>
      <c r="U6276" s="118">
        <f t="shared" ref="U6276" si="8484">SUM(K6276:T6277)</f>
        <v>546340</v>
      </c>
      <c r="V6276" s="122"/>
      <c r="W6276" s="124"/>
      <c r="X6276" s="126" t="s">
        <v>18932</v>
      </c>
      <c r="Y6276" s="127"/>
      <c r="Z6276" s="127"/>
      <c r="AA6276" s="127"/>
      <c r="AB6276" s="128"/>
      <c r="AC6276" s="15" t="s">
        <v>20</v>
      </c>
      <c r="AD6276" s="129" t="s">
        <v>1670</v>
      </c>
      <c r="AE6276" s="130"/>
      <c r="AF6276" s="130"/>
      <c r="AG6276" s="130"/>
      <c r="AH6276" s="130"/>
      <c r="AI6276" s="131"/>
      <c r="AJ6276" s="132"/>
      <c r="AK6276" s="127"/>
      <c r="AL6276" s="128"/>
      <c r="AM6276" s="21"/>
      <c r="AN6276" s="133">
        <v>46081</v>
      </c>
      <c r="AO6276" s="134"/>
      <c r="AP6276" s="135">
        <v>1290</v>
      </c>
      <c r="AQ6276" s="136"/>
      <c r="AR6276" s="118">
        <v>700000</v>
      </c>
      <c r="AS6276" s="119"/>
      <c r="AT6276" s="118">
        <f t="shared" ref="AT6276" si="8485">AR6276*0.1</f>
        <v>70000</v>
      </c>
      <c r="AU6276" s="119"/>
      <c r="AV6276" s="118">
        <v>19440</v>
      </c>
      <c r="AW6276" s="119"/>
      <c r="AX6276" s="118">
        <f t="shared" ref="AX6276" si="8486">SUM(AR6276:AW6276)</f>
        <v>789440</v>
      </c>
      <c r="AY6276" s="119"/>
      <c r="AZ6276" s="137">
        <v>46084</v>
      </c>
    </row>
    <row r="6277" spans="1:52" ht="17.100000000000001" customHeight="1" thickBot="1">
      <c r="A6277" s="110"/>
      <c r="B6277" s="27" t="s">
        <v>2794</v>
      </c>
      <c r="C6277" s="27">
        <v>10127</v>
      </c>
      <c r="D6277" s="14" t="s">
        <v>275</v>
      </c>
      <c r="E6277" s="112"/>
      <c r="F6277" s="139" t="s">
        <v>18227</v>
      </c>
      <c r="G6277" s="140"/>
      <c r="H6277" s="141"/>
      <c r="I6277" s="26">
        <v>88934</v>
      </c>
      <c r="J6277" s="117"/>
      <c r="K6277" s="120"/>
      <c r="L6277" s="121"/>
      <c r="M6277" s="120"/>
      <c r="N6277" s="121"/>
      <c r="O6277" s="120"/>
      <c r="P6277" s="121"/>
      <c r="Q6277" s="120"/>
      <c r="R6277" s="121"/>
      <c r="S6277" s="120"/>
      <c r="T6277" s="121"/>
      <c r="U6277" s="120"/>
      <c r="V6277" s="123"/>
      <c r="W6277" s="125"/>
      <c r="X6277" s="142" t="s">
        <v>18933</v>
      </c>
      <c r="Y6277" s="143"/>
      <c r="Z6277" s="143"/>
      <c r="AA6277" s="143"/>
      <c r="AB6277" s="144"/>
      <c r="AC6277" s="16" t="s">
        <v>21</v>
      </c>
      <c r="AD6277" s="17" t="s">
        <v>3616</v>
      </c>
      <c r="AE6277" s="145" t="s">
        <v>1742</v>
      </c>
      <c r="AF6277" s="146"/>
      <c r="AG6277" s="146"/>
      <c r="AH6277" s="146"/>
      <c r="AI6277" s="147"/>
      <c r="AJ6277" s="148"/>
      <c r="AK6277" s="143"/>
      <c r="AL6277" s="144"/>
      <c r="AM6277" s="22"/>
      <c r="AN6277" s="149" t="s">
        <v>2511</v>
      </c>
      <c r="AO6277" s="144"/>
      <c r="AP6277" s="148">
        <v>80058</v>
      </c>
      <c r="AQ6277" s="144"/>
      <c r="AR6277" s="120"/>
      <c r="AS6277" s="121"/>
      <c r="AT6277" s="120"/>
      <c r="AU6277" s="121"/>
      <c r="AV6277" s="120"/>
      <c r="AW6277" s="121"/>
      <c r="AX6277" s="120"/>
      <c r="AY6277" s="121"/>
      <c r="AZ6277" s="138"/>
    </row>
    <row r="6278" spans="1:52" ht="17.100000000000001" customHeight="1" thickTop="1">
      <c r="A6278" s="109" t="s">
        <v>18252</v>
      </c>
      <c r="B6278" s="28">
        <v>46072</v>
      </c>
      <c r="C6278" s="25">
        <v>1971</v>
      </c>
      <c r="D6278" s="13" t="s">
        <v>2442</v>
      </c>
      <c r="E6278" s="111"/>
      <c r="F6278" s="113" t="s">
        <v>18245</v>
      </c>
      <c r="G6278" s="114"/>
      <c r="H6278" s="115"/>
      <c r="I6278" s="24"/>
      <c r="J6278" s="116">
        <v>4.5</v>
      </c>
      <c r="K6278" s="118">
        <v>1401000</v>
      </c>
      <c r="L6278" s="119"/>
      <c r="M6278" s="118">
        <f t="shared" ref="M6278" si="8487">K6278*0.1</f>
        <v>140100</v>
      </c>
      <c r="N6278" s="119"/>
      <c r="O6278" s="118">
        <v>0</v>
      </c>
      <c r="P6278" s="119"/>
      <c r="Q6278" s="118">
        <v>12450</v>
      </c>
      <c r="R6278" s="119"/>
      <c r="S6278" s="118">
        <v>15950</v>
      </c>
      <c r="T6278" s="119"/>
      <c r="U6278" s="118">
        <f t="shared" ref="U6278" si="8488">SUM(K6278:T6279)</f>
        <v>1569500</v>
      </c>
      <c r="V6278" s="122"/>
      <c r="W6278" s="124"/>
      <c r="X6278" s="126" t="s">
        <v>18619</v>
      </c>
      <c r="Y6278" s="127"/>
      <c r="Z6278" s="127"/>
      <c r="AA6278" s="127"/>
      <c r="AB6278" s="128"/>
      <c r="AC6278" s="15" t="s">
        <v>20</v>
      </c>
      <c r="AD6278" s="129"/>
      <c r="AE6278" s="130"/>
      <c r="AF6278" s="130"/>
      <c r="AG6278" s="130"/>
      <c r="AH6278" s="130"/>
      <c r="AI6278" s="131"/>
      <c r="AJ6278" s="132"/>
      <c r="AK6278" s="127"/>
      <c r="AL6278" s="128"/>
      <c r="AM6278" s="21"/>
      <c r="AN6278" s="133">
        <v>46088</v>
      </c>
      <c r="AO6278" s="134"/>
      <c r="AP6278" s="135">
        <v>1291</v>
      </c>
      <c r="AQ6278" s="136"/>
      <c r="AR6278" s="118">
        <v>1570000</v>
      </c>
      <c r="AS6278" s="119"/>
      <c r="AT6278" s="118">
        <f t="shared" ref="AT6278" si="8489">AR6278*0.1</f>
        <v>157000</v>
      </c>
      <c r="AU6278" s="119"/>
      <c r="AV6278" s="118">
        <v>12450</v>
      </c>
      <c r="AW6278" s="119"/>
      <c r="AX6278" s="118">
        <f t="shared" ref="AX6278" si="8490">SUM(AR6278:AW6278)</f>
        <v>1739450</v>
      </c>
      <c r="AY6278" s="119"/>
      <c r="AZ6278" s="137">
        <v>46091</v>
      </c>
    </row>
    <row r="6279" spans="1:52" ht="17.100000000000001" customHeight="1" thickBot="1">
      <c r="A6279" s="110"/>
      <c r="B6279" s="27" t="s">
        <v>3792</v>
      </c>
      <c r="C6279" s="27">
        <v>5002</v>
      </c>
      <c r="D6279" s="14" t="s">
        <v>904</v>
      </c>
      <c r="E6279" s="112"/>
      <c r="F6279" s="139" t="s">
        <v>18246</v>
      </c>
      <c r="G6279" s="140"/>
      <c r="H6279" s="141"/>
      <c r="I6279" s="26">
        <v>40781</v>
      </c>
      <c r="J6279" s="117"/>
      <c r="K6279" s="120"/>
      <c r="L6279" s="121"/>
      <c r="M6279" s="120"/>
      <c r="N6279" s="121"/>
      <c r="O6279" s="120"/>
      <c r="P6279" s="121"/>
      <c r="Q6279" s="120"/>
      <c r="R6279" s="121"/>
      <c r="S6279" s="120"/>
      <c r="T6279" s="121"/>
      <c r="U6279" s="120"/>
      <c r="V6279" s="123"/>
      <c r="W6279" s="125"/>
      <c r="X6279" s="142" t="s">
        <v>18620</v>
      </c>
      <c r="Y6279" s="143"/>
      <c r="Z6279" s="143"/>
      <c r="AA6279" s="143"/>
      <c r="AB6279" s="144"/>
      <c r="AC6279" s="16" t="s">
        <v>21</v>
      </c>
      <c r="AD6279" s="17" t="s">
        <v>1886</v>
      </c>
      <c r="AE6279" s="145" t="s">
        <v>18820</v>
      </c>
      <c r="AF6279" s="146"/>
      <c r="AG6279" s="146"/>
      <c r="AH6279" s="146"/>
      <c r="AI6279" s="147"/>
      <c r="AJ6279" s="148"/>
      <c r="AK6279" s="143"/>
      <c r="AL6279" s="144"/>
      <c r="AM6279" s="22"/>
      <c r="AN6279" s="149" t="s">
        <v>2511</v>
      </c>
      <c r="AO6279" s="144"/>
      <c r="AP6279" s="148">
        <v>80377</v>
      </c>
      <c r="AQ6279" s="144"/>
      <c r="AR6279" s="120"/>
      <c r="AS6279" s="121"/>
      <c r="AT6279" s="120"/>
      <c r="AU6279" s="121"/>
      <c r="AV6279" s="120"/>
      <c r="AW6279" s="121"/>
      <c r="AX6279" s="120"/>
      <c r="AY6279" s="121"/>
      <c r="AZ6279" s="138"/>
    </row>
    <row r="6280" spans="1:52" ht="17.100000000000001" customHeight="1" thickTop="1">
      <c r="A6280" s="109" t="s">
        <v>18253</v>
      </c>
      <c r="B6280" s="28">
        <v>46072</v>
      </c>
      <c r="C6280" s="25">
        <v>1971</v>
      </c>
      <c r="D6280" s="13" t="s">
        <v>2043</v>
      </c>
      <c r="E6280" s="111"/>
      <c r="F6280" s="113" t="s">
        <v>18247</v>
      </c>
      <c r="G6280" s="114"/>
      <c r="H6280" s="115"/>
      <c r="I6280" s="24" t="s">
        <v>4390</v>
      </c>
      <c r="J6280" s="116">
        <v>5</v>
      </c>
      <c r="K6280" s="118">
        <v>846000</v>
      </c>
      <c r="L6280" s="119"/>
      <c r="M6280" s="118">
        <f t="shared" ref="M6280" si="8491">K6280*0.1</f>
        <v>84600</v>
      </c>
      <c r="N6280" s="119"/>
      <c r="O6280" s="118">
        <v>0</v>
      </c>
      <c r="P6280" s="119"/>
      <c r="Q6280" s="118">
        <v>9150</v>
      </c>
      <c r="R6280" s="119"/>
      <c r="S6280" s="118">
        <v>15950</v>
      </c>
      <c r="T6280" s="119"/>
      <c r="U6280" s="118">
        <f t="shared" ref="U6280" si="8492">SUM(K6280:T6281)</f>
        <v>955700</v>
      </c>
      <c r="V6280" s="122"/>
      <c r="W6280" s="124"/>
      <c r="X6280" s="126" t="s">
        <v>18249</v>
      </c>
      <c r="Y6280" s="127"/>
      <c r="Z6280" s="127"/>
      <c r="AA6280" s="127"/>
      <c r="AB6280" s="128"/>
      <c r="AC6280" s="15" t="s">
        <v>20</v>
      </c>
      <c r="AD6280" s="129"/>
      <c r="AE6280" s="130"/>
      <c r="AF6280" s="130"/>
      <c r="AG6280" s="130"/>
      <c r="AH6280" s="130"/>
      <c r="AI6280" s="131"/>
      <c r="AJ6280" s="132"/>
      <c r="AK6280" s="127"/>
      <c r="AL6280" s="128"/>
      <c r="AM6280" s="21" t="s">
        <v>20974</v>
      </c>
      <c r="AN6280" s="133">
        <v>46116</v>
      </c>
      <c r="AO6280" s="134"/>
      <c r="AP6280" s="135">
        <v>1295</v>
      </c>
      <c r="AQ6280" s="136"/>
      <c r="AR6280" s="118">
        <v>925000</v>
      </c>
      <c r="AS6280" s="119"/>
      <c r="AT6280" s="118">
        <f t="shared" ref="AT6280" si="8493">AR6280*0.1</f>
        <v>92500</v>
      </c>
      <c r="AU6280" s="119"/>
      <c r="AV6280" s="118">
        <v>9150</v>
      </c>
      <c r="AW6280" s="119"/>
      <c r="AX6280" s="118">
        <f t="shared" ref="AX6280" si="8494">SUM(AR6280:AW6280)</f>
        <v>1026650</v>
      </c>
      <c r="AY6280" s="119"/>
      <c r="AZ6280" s="137">
        <v>46119</v>
      </c>
    </row>
    <row r="6281" spans="1:52" ht="17.100000000000001" customHeight="1" thickBot="1">
      <c r="A6281" s="110"/>
      <c r="B6281" s="27" t="s">
        <v>3792</v>
      </c>
      <c r="C6281" s="27">
        <v>5439</v>
      </c>
      <c r="D6281" s="14" t="s">
        <v>1720</v>
      </c>
      <c r="E6281" s="112"/>
      <c r="F6281" s="139" t="s">
        <v>18248</v>
      </c>
      <c r="G6281" s="140"/>
      <c r="H6281" s="141"/>
      <c r="I6281" s="26">
        <v>3044</v>
      </c>
      <c r="J6281" s="117"/>
      <c r="K6281" s="120"/>
      <c r="L6281" s="121"/>
      <c r="M6281" s="120"/>
      <c r="N6281" s="121"/>
      <c r="O6281" s="120"/>
      <c r="P6281" s="121"/>
      <c r="Q6281" s="120"/>
      <c r="R6281" s="121"/>
      <c r="S6281" s="120"/>
      <c r="T6281" s="121"/>
      <c r="U6281" s="120"/>
      <c r="V6281" s="123"/>
      <c r="W6281" s="125"/>
      <c r="X6281" s="142" t="s">
        <v>10861</v>
      </c>
      <c r="Y6281" s="143"/>
      <c r="Z6281" s="143"/>
      <c r="AA6281" s="143"/>
      <c r="AB6281" s="144"/>
      <c r="AC6281" s="16" t="s">
        <v>21</v>
      </c>
      <c r="AD6281" s="17" t="s">
        <v>3616</v>
      </c>
      <c r="AE6281" s="145" t="s">
        <v>10327</v>
      </c>
      <c r="AF6281" s="146"/>
      <c r="AG6281" s="146"/>
      <c r="AH6281" s="146"/>
      <c r="AI6281" s="147"/>
      <c r="AJ6281" s="148"/>
      <c r="AK6281" s="143"/>
      <c r="AL6281" s="144"/>
      <c r="AM6281" s="22"/>
      <c r="AN6281" s="149" t="s">
        <v>2511</v>
      </c>
      <c r="AO6281" s="144"/>
      <c r="AP6281" s="148">
        <v>60081</v>
      </c>
      <c r="AQ6281" s="144"/>
      <c r="AR6281" s="120"/>
      <c r="AS6281" s="121"/>
      <c r="AT6281" s="120"/>
      <c r="AU6281" s="121"/>
      <c r="AV6281" s="120"/>
      <c r="AW6281" s="121"/>
      <c r="AX6281" s="120"/>
      <c r="AY6281" s="121"/>
      <c r="AZ6281" s="138"/>
    </row>
    <row r="6282" spans="1:52" ht="17.100000000000001" customHeight="1" thickTop="1">
      <c r="A6282" s="109" t="s">
        <v>18254</v>
      </c>
      <c r="B6282" s="28">
        <v>46072</v>
      </c>
      <c r="C6282" s="25">
        <v>1319</v>
      </c>
      <c r="D6282" s="13" t="s">
        <v>1712</v>
      </c>
      <c r="E6282" s="111"/>
      <c r="F6282" s="113" t="s">
        <v>18268</v>
      </c>
      <c r="G6282" s="114"/>
      <c r="H6282" s="115"/>
      <c r="I6282" s="24"/>
      <c r="J6282" s="116">
        <v>4.5</v>
      </c>
      <c r="K6282" s="118">
        <v>850000</v>
      </c>
      <c r="L6282" s="119"/>
      <c r="M6282" s="118">
        <f t="shared" ref="M6282" si="8495">K6282*0.1</f>
        <v>85000</v>
      </c>
      <c r="N6282" s="119"/>
      <c r="O6282" s="118">
        <v>0</v>
      </c>
      <c r="P6282" s="119"/>
      <c r="Q6282" s="118">
        <v>22520</v>
      </c>
      <c r="R6282" s="119"/>
      <c r="S6282" s="118">
        <v>16500</v>
      </c>
      <c r="T6282" s="119"/>
      <c r="U6282" s="118">
        <f t="shared" ref="U6282" si="8496">SUM(K6282:T6283)</f>
        <v>974020</v>
      </c>
      <c r="V6282" s="122"/>
      <c r="W6282" s="124"/>
      <c r="X6282" s="126" t="s">
        <v>18621</v>
      </c>
      <c r="Y6282" s="127"/>
      <c r="Z6282" s="127"/>
      <c r="AA6282" s="127"/>
      <c r="AB6282" s="128"/>
      <c r="AC6282" s="15" t="s">
        <v>20</v>
      </c>
      <c r="AD6282" s="129" t="s">
        <v>1565</v>
      </c>
      <c r="AE6282" s="130"/>
      <c r="AF6282" s="130"/>
      <c r="AG6282" s="130"/>
      <c r="AH6282" s="130"/>
      <c r="AI6282" s="131"/>
      <c r="AJ6282" s="132"/>
      <c r="AK6282" s="127"/>
      <c r="AL6282" s="128"/>
      <c r="AM6282" s="21"/>
      <c r="AN6282" s="133">
        <v>46074</v>
      </c>
      <c r="AO6282" s="134"/>
      <c r="AP6282" s="135">
        <v>1289</v>
      </c>
      <c r="AQ6282" s="136"/>
      <c r="AR6282" s="118">
        <v>1040000</v>
      </c>
      <c r="AS6282" s="119"/>
      <c r="AT6282" s="118">
        <f t="shared" ref="AT6282" si="8497">AR6282*0.1</f>
        <v>104000</v>
      </c>
      <c r="AU6282" s="119"/>
      <c r="AV6282" s="118">
        <v>22520</v>
      </c>
      <c r="AW6282" s="119"/>
      <c r="AX6282" s="118">
        <f t="shared" ref="AX6282" si="8498">SUM(AR6282:AW6282)</f>
        <v>1166520</v>
      </c>
      <c r="AY6282" s="119"/>
      <c r="AZ6282" s="137">
        <v>46079</v>
      </c>
    </row>
    <row r="6283" spans="1:52" ht="17.100000000000001" customHeight="1" thickBot="1">
      <c r="A6283" s="110"/>
      <c r="B6283" s="27" t="s">
        <v>13663</v>
      </c>
      <c r="C6283" s="27">
        <v>13</v>
      </c>
      <c r="D6283" s="14" t="s">
        <v>2086</v>
      </c>
      <c r="E6283" s="112"/>
      <c r="F6283" s="139" t="s">
        <v>18259</v>
      </c>
      <c r="G6283" s="140"/>
      <c r="H6283" s="141"/>
      <c r="I6283" s="26">
        <v>35600</v>
      </c>
      <c r="J6283" s="117"/>
      <c r="K6283" s="120"/>
      <c r="L6283" s="121"/>
      <c r="M6283" s="120"/>
      <c r="N6283" s="121"/>
      <c r="O6283" s="120"/>
      <c r="P6283" s="121"/>
      <c r="Q6283" s="120"/>
      <c r="R6283" s="121"/>
      <c r="S6283" s="120"/>
      <c r="T6283" s="121"/>
      <c r="U6283" s="120"/>
      <c r="V6283" s="123"/>
      <c r="W6283" s="125"/>
      <c r="X6283" s="142" t="s">
        <v>18622</v>
      </c>
      <c r="Y6283" s="143"/>
      <c r="Z6283" s="143"/>
      <c r="AA6283" s="143"/>
      <c r="AB6283" s="144"/>
      <c r="AC6283" s="16" t="s">
        <v>21</v>
      </c>
      <c r="AD6283" s="17" t="s">
        <v>1886</v>
      </c>
      <c r="AE6283" s="145" t="s">
        <v>9272</v>
      </c>
      <c r="AF6283" s="146"/>
      <c r="AG6283" s="146"/>
      <c r="AH6283" s="146"/>
      <c r="AI6283" s="147"/>
      <c r="AJ6283" s="148" t="s">
        <v>18623</v>
      </c>
      <c r="AK6283" s="143"/>
      <c r="AL6283" s="144"/>
      <c r="AM6283" s="22"/>
      <c r="AN6283" s="149" t="s">
        <v>2511</v>
      </c>
      <c r="AO6283" s="144"/>
      <c r="AP6283" s="148">
        <v>80379</v>
      </c>
      <c r="AQ6283" s="144"/>
      <c r="AR6283" s="120"/>
      <c r="AS6283" s="121"/>
      <c r="AT6283" s="120"/>
      <c r="AU6283" s="121"/>
      <c r="AV6283" s="120"/>
      <c r="AW6283" s="121"/>
      <c r="AX6283" s="120"/>
      <c r="AY6283" s="121"/>
      <c r="AZ6283" s="138"/>
    </row>
    <row r="6284" spans="1:52" ht="17.100000000000001" customHeight="1" thickTop="1">
      <c r="A6284" s="109" t="s">
        <v>18255</v>
      </c>
      <c r="B6284" s="28">
        <v>46072</v>
      </c>
      <c r="C6284" s="25">
        <v>1319</v>
      </c>
      <c r="D6284" s="13" t="s">
        <v>1953</v>
      </c>
      <c r="E6284" s="111"/>
      <c r="F6284" s="113" t="s">
        <v>17569</v>
      </c>
      <c r="G6284" s="114"/>
      <c r="H6284" s="115"/>
      <c r="I6284" s="24"/>
      <c r="J6284" s="116">
        <v>4.5</v>
      </c>
      <c r="K6284" s="118">
        <v>785000</v>
      </c>
      <c r="L6284" s="119"/>
      <c r="M6284" s="118">
        <f t="shared" ref="M6284" si="8499">K6284*0.1</f>
        <v>78500</v>
      </c>
      <c r="N6284" s="119"/>
      <c r="O6284" s="118">
        <v>0</v>
      </c>
      <c r="P6284" s="119"/>
      <c r="Q6284" s="118">
        <v>16580</v>
      </c>
      <c r="R6284" s="119"/>
      <c r="S6284" s="118">
        <v>16500</v>
      </c>
      <c r="T6284" s="119"/>
      <c r="U6284" s="118">
        <f t="shared" ref="U6284" si="8500">SUM(K6284:T6285)</f>
        <v>896580</v>
      </c>
      <c r="V6284" s="122"/>
      <c r="W6284" s="124"/>
      <c r="X6284" s="126" t="s">
        <v>18611</v>
      </c>
      <c r="Y6284" s="127"/>
      <c r="Z6284" s="127"/>
      <c r="AA6284" s="127"/>
      <c r="AB6284" s="128"/>
      <c r="AC6284" s="15" t="s">
        <v>20</v>
      </c>
      <c r="AD6284" s="129" t="s">
        <v>171</v>
      </c>
      <c r="AE6284" s="130"/>
      <c r="AF6284" s="130"/>
      <c r="AG6284" s="130"/>
      <c r="AH6284" s="130"/>
      <c r="AI6284" s="131"/>
      <c r="AJ6284" s="132"/>
      <c r="AK6284" s="127"/>
      <c r="AL6284" s="128"/>
      <c r="AM6284" s="21"/>
      <c r="AN6284" s="133">
        <v>46088</v>
      </c>
      <c r="AO6284" s="134"/>
      <c r="AP6284" s="135">
        <v>1291</v>
      </c>
      <c r="AQ6284" s="136"/>
      <c r="AR6284" s="118">
        <v>920000</v>
      </c>
      <c r="AS6284" s="119"/>
      <c r="AT6284" s="118">
        <f t="shared" ref="AT6284" si="8501">AR6284*0.1</f>
        <v>92000</v>
      </c>
      <c r="AU6284" s="119"/>
      <c r="AV6284" s="118">
        <v>16580</v>
      </c>
      <c r="AW6284" s="119"/>
      <c r="AX6284" s="118">
        <f t="shared" ref="AX6284" si="8502">SUM(AR6284:AW6284)</f>
        <v>1028580</v>
      </c>
      <c r="AY6284" s="119"/>
      <c r="AZ6284" s="137">
        <v>46091</v>
      </c>
    </row>
    <row r="6285" spans="1:52" ht="17.100000000000001" customHeight="1" thickBot="1">
      <c r="A6285" s="110"/>
      <c r="B6285" s="27" t="s">
        <v>13663</v>
      </c>
      <c r="C6285" s="27">
        <v>62</v>
      </c>
      <c r="D6285" s="14" t="s">
        <v>1556</v>
      </c>
      <c r="E6285" s="112"/>
      <c r="F6285" s="139" t="s">
        <v>18260</v>
      </c>
      <c r="G6285" s="140"/>
      <c r="H6285" s="141"/>
      <c r="I6285" s="26">
        <v>30886</v>
      </c>
      <c r="J6285" s="117"/>
      <c r="K6285" s="120"/>
      <c r="L6285" s="121"/>
      <c r="M6285" s="120"/>
      <c r="N6285" s="121"/>
      <c r="O6285" s="120"/>
      <c r="P6285" s="121"/>
      <c r="Q6285" s="120"/>
      <c r="R6285" s="121"/>
      <c r="S6285" s="120"/>
      <c r="T6285" s="121"/>
      <c r="U6285" s="120"/>
      <c r="V6285" s="123"/>
      <c r="W6285" s="125"/>
      <c r="X6285" s="142" t="s">
        <v>10748</v>
      </c>
      <c r="Y6285" s="143"/>
      <c r="Z6285" s="143"/>
      <c r="AA6285" s="143"/>
      <c r="AB6285" s="144"/>
      <c r="AC6285" s="16" t="s">
        <v>21</v>
      </c>
      <c r="AD6285" s="17" t="s">
        <v>1894</v>
      </c>
      <c r="AE6285" s="145" t="s">
        <v>3817</v>
      </c>
      <c r="AF6285" s="146"/>
      <c r="AG6285" s="146"/>
      <c r="AH6285" s="146"/>
      <c r="AI6285" s="147"/>
      <c r="AJ6285" s="148"/>
      <c r="AK6285" s="143"/>
      <c r="AL6285" s="144"/>
      <c r="AM6285" s="22"/>
      <c r="AN6285" s="149" t="s">
        <v>2511</v>
      </c>
      <c r="AO6285" s="144"/>
      <c r="AP6285" s="148">
        <v>80120</v>
      </c>
      <c r="AQ6285" s="144"/>
      <c r="AR6285" s="120"/>
      <c r="AS6285" s="121"/>
      <c r="AT6285" s="120"/>
      <c r="AU6285" s="121"/>
      <c r="AV6285" s="120"/>
      <c r="AW6285" s="121"/>
      <c r="AX6285" s="120"/>
      <c r="AY6285" s="121"/>
      <c r="AZ6285" s="138"/>
    </row>
    <row r="6286" spans="1:52" ht="17.100000000000001" customHeight="1" thickTop="1">
      <c r="A6286" s="109" t="s">
        <v>18256</v>
      </c>
      <c r="B6286" s="28">
        <v>46072</v>
      </c>
      <c r="C6286" s="25">
        <v>1319</v>
      </c>
      <c r="D6286" s="13" t="s">
        <v>3014</v>
      </c>
      <c r="E6286" s="111"/>
      <c r="F6286" s="113" t="s">
        <v>18261</v>
      </c>
      <c r="G6286" s="114"/>
      <c r="H6286" s="115"/>
      <c r="I6286" s="24" t="s">
        <v>4193</v>
      </c>
      <c r="J6286" s="116">
        <v>4</v>
      </c>
      <c r="K6286" s="118">
        <v>2890000</v>
      </c>
      <c r="L6286" s="119"/>
      <c r="M6286" s="118">
        <f t="shared" ref="M6286" si="8503">K6286*0.1</f>
        <v>289000</v>
      </c>
      <c r="N6286" s="119"/>
      <c r="O6286" s="118">
        <v>3300</v>
      </c>
      <c r="P6286" s="119"/>
      <c r="Q6286" s="118">
        <v>21140</v>
      </c>
      <c r="R6286" s="119"/>
      <c r="S6286" s="118">
        <v>16500</v>
      </c>
      <c r="T6286" s="119"/>
      <c r="U6286" s="118">
        <f t="shared" ref="U6286" si="8504">SUM(K6286:T6287)</f>
        <v>3219940</v>
      </c>
      <c r="V6286" s="122"/>
      <c r="W6286" s="124"/>
      <c r="X6286" s="126" t="s">
        <v>18269</v>
      </c>
      <c r="Y6286" s="127"/>
      <c r="Z6286" s="127"/>
      <c r="AA6286" s="127"/>
      <c r="AB6286" s="128"/>
      <c r="AC6286" s="15" t="s">
        <v>20</v>
      </c>
      <c r="AD6286" s="129" t="s">
        <v>3412</v>
      </c>
      <c r="AE6286" s="130"/>
      <c r="AF6286" s="130"/>
      <c r="AG6286" s="130"/>
      <c r="AH6286" s="130"/>
      <c r="AI6286" s="131"/>
      <c r="AJ6286" s="132"/>
      <c r="AK6286" s="127"/>
      <c r="AL6286" s="128"/>
      <c r="AM6286" s="21"/>
      <c r="AN6286" s="133">
        <v>46081</v>
      </c>
      <c r="AO6286" s="134"/>
      <c r="AP6286" s="135">
        <v>1290</v>
      </c>
      <c r="AQ6286" s="136"/>
      <c r="AR6286" s="118">
        <v>3085000</v>
      </c>
      <c r="AS6286" s="119"/>
      <c r="AT6286" s="118">
        <f t="shared" ref="AT6286" si="8505">AR6286*0.1</f>
        <v>308500</v>
      </c>
      <c r="AU6286" s="119"/>
      <c r="AV6286" s="118">
        <v>21140</v>
      </c>
      <c r="AW6286" s="119"/>
      <c r="AX6286" s="118">
        <f t="shared" ref="AX6286" si="8506">SUM(AR6286:AW6286)</f>
        <v>3414640</v>
      </c>
      <c r="AY6286" s="119"/>
      <c r="AZ6286" s="137">
        <v>46084</v>
      </c>
    </row>
    <row r="6287" spans="1:52" ht="17.100000000000001" customHeight="1" thickBot="1">
      <c r="A6287" s="110"/>
      <c r="B6287" s="27" t="s">
        <v>13663</v>
      </c>
      <c r="C6287" s="27">
        <v>532</v>
      </c>
      <c r="D6287" s="14" t="s">
        <v>275</v>
      </c>
      <c r="E6287" s="112"/>
      <c r="F6287" s="139" t="s">
        <v>18262</v>
      </c>
      <c r="G6287" s="140"/>
      <c r="H6287" s="141"/>
      <c r="I6287" s="26">
        <v>40696</v>
      </c>
      <c r="J6287" s="117"/>
      <c r="K6287" s="120"/>
      <c r="L6287" s="121"/>
      <c r="M6287" s="120"/>
      <c r="N6287" s="121"/>
      <c r="O6287" s="120"/>
      <c r="P6287" s="121"/>
      <c r="Q6287" s="120"/>
      <c r="R6287" s="121"/>
      <c r="S6287" s="120"/>
      <c r="T6287" s="121"/>
      <c r="U6287" s="120"/>
      <c r="V6287" s="123"/>
      <c r="W6287" s="125"/>
      <c r="X6287" s="142" t="s">
        <v>11808</v>
      </c>
      <c r="Y6287" s="143"/>
      <c r="Z6287" s="143"/>
      <c r="AA6287" s="143"/>
      <c r="AB6287" s="144"/>
      <c r="AC6287" s="16" t="s">
        <v>21</v>
      </c>
      <c r="AD6287" s="17" t="s">
        <v>1886</v>
      </c>
      <c r="AE6287" s="145" t="s">
        <v>1614</v>
      </c>
      <c r="AF6287" s="146"/>
      <c r="AG6287" s="146"/>
      <c r="AH6287" s="146"/>
      <c r="AI6287" s="147"/>
      <c r="AJ6287" s="148"/>
      <c r="AK6287" s="143"/>
      <c r="AL6287" s="144"/>
      <c r="AM6287" s="22"/>
      <c r="AN6287" s="149" t="s">
        <v>2511</v>
      </c>
      <c r="AO6287" s="144"/>
      <c r="AP6287" s="148">
        <v>80019</v>
      </c>
      <c r="AQ6287" s="144"/>
      <c r="AR6287" s="120"/>
      <c r="AS6287" s="121"/>
      <c r="AT6287" s="120"/>
      <c r="AU6287" s="121"/>
      <c r="AV6287" s="120"/>
      <c r="AW6287" s="121"/>
      <c r="AX6287" s="120"/>
      <c r="AY6287" s="121"/>
      <c r="AZ6287" s="138"/>
    </row>
    <row r="6288" spans="1:52" ht="17.100000000000001" customHeight="1" thickTop="1">
      <c r="A6288" s="109" t="s">
        <v>18257</v>
      </c>
      <c r="B6288" s="28">
        <v>46072</v>
      </c>
      <c r="C6288" s="25">
        <v>1319</v>
      </c>
      <c r="D6288" s="13" t="s">
        <v>1640</v>
      </c>
      <c r="E6288" s="111"/>
      <c r="F6288" s="113" t="s">
        <v>18263</v>
      </c>
      <c r="G6288" s="114"/>
      <c r="H6288" s="115"/>
      <c r="I6288" s="24"/>
      <c r="J6288" s="116">
        <v>4.5</v>
      </c>
      <c r="K6288" s="118">
        <v>1455000</v>
      </c>
      <c r="L6288" s="119"/>
      <c r="M6288" s="118">
        <f t="shared" ref="M6288" si="8507">K6288*0.1</f>
        <v>145500</v>
      </c>
      <c r="N6288" s="119"/>
      <c r="O6288" s="118">
        <v>0</v>
      </c>
      <c r="P6288" s="119"/>
      <c r="Q6288" s="118">
        <v>12550</v>
      </c>
      <c r="R6288" s="119"/>
      <c r="S6288" s="118">
        <v>18700</v>
      </c>
      <c r="T6288" s="119"/>
      <c r="U6288" s="118">
        <f t="shared" ref="U6288" si="8508">SUM(K6288:T6289)</f>
        <v>1631750</v>
      </c>
      <c r="V6288" s="122"/>
      <c r="W6288" s="124"/>
      <c r="X6288" s="126" t="s">
        <v>18624</v>
      </c>
      <c r="Y6288" s="127"/>
      <c r="Z6288" s="127"/>
      <c r="AA6288" s="127"/>
      <c r="AB6288" s="128"/>
      <c r="AC6288" s="15" t="s">
        <v>20</v>
      </c>
      <c r="AD6288" s="129" t="s">
        <v>18271</v>
      </c>
      <c r="AE6288" s="130"/>
      <c r="AF6288" s="130"/>
      <c r="AG6288" s="130"/>
      <c r="AH6288" s="130"/>
      <c r="AI6288" s="131"/>
      <c r="AJ6288" s="132"/>
      <c r="AK6288" s="127"/>
      <c r="AL6288" s="128"/>
      <c r="AM6288" s="21"/>
      <c r="AN6288" s="133">
        <v>46088</v>
      </c>
      <c r="AO6288" s="134"/>
      <c r="AP6288" s="135">
        <v>1291</v>
      </c>
      <c r="AQ6288" s="136"/>
      <c r="AR6288" s="118">
        <v>1530000</v>
      </c>
      <c r="AS6288" s="119"/>
      <c r="AT6288" s="118">
        <f t="shared" ref="AT6288" si="8509">AR6288*0.1</f>
        <v>153000</v>
      </c>
      <c r="AU6288" s="119"/>
      <c r="AV6288" s="118">
        <v>12550</v>
      </c>
      <c r="AW6288" s="119"/>
      <c r="AX6288" s="118">
        <f t="shared" ref="AX6288" si="8510">SUM(AR6288:AW6288)</f>
        <v>1695550</v>
      </c>
      <c r="AY6288" s="119"/>
      <c r="AZ6288" s="137">
        <v>46091</v>
      </c>
    </row>
    <row r="6289" spans="1:52" ht="17.100000000000001" customHeight="1" thickBot="1">
      <c r="A6289" s="110"/>
      <c r="B6289" s="27" t="s">
        <v>13663</v>
      </c>
      <c r="C6289" s="27">
        <v>607</v>
      </c>
      <c r="D6289" s="14" t="s">
        <v>275</v>
      </c>
      <c r="E6289" s="112"/>
      <c r="F6289" s="139" t="s">
        <v>18270</v>
      </c>
      <c r="G6289" s="140"/>
      <c r="H6289" s="141"/>
      <c r="I6289" s="26">
        <v>54966</v>
      </c>
      <c r="J6289" s="117"/>
      <c r="K6289" s="120"/>
      <c r="L6289" s="121"/>
      <c r="M6289" s="120"/>
      <c r="N6289" s="121"/>
      <c r="O6289" s="120"/>
      <c r="P6289" s="121"/>
      <c r="Q6289" s="120"/>
      <c r="R6289" s="121"/>
      <c r="S6289" s="120"/>
      <c r="T6289" s="121"/>
      <c r="U6289" s="120"/>
      <c r="V6289" s="123"/>
      <c r="W6289" s="125"/>
      <c r="X6289" s="142" t="s">
        <v>1861</v>
      </c>
      <c r="Y6289" s="143"/>
      <c r="Z6289" s="143"/>
      <c r="AA6289" s="143"/>
      <c r="AB6289" s="144"/>
      <c r="AC6289" s="16" t="s">
        <v>21</v>
      </c>
      <c r="AD6289" s="17" t="s">
        <v>1886</v>
      </c>
      <c r="AE6289" s="145" t="s">
        <v>18625</v>
      </c>
      <c r="AF6289" s="146"/>
      <c r="AG6289" s="146"/>
      <c r="AH6289" s="146"/>
      <c r="AI6289" s="147"/>
      <c r="AJ6289" s="148"/>
      <c r="AK6289" s="143"/>
      <c r="AL6289" s="144"/>
      <c r="AM6289" s="22"/>
      <c r="AN6289" s="149" t="s">
        <v>2511</v>
      </c>
      <c r="AO6289" s="144"/>
      <c r="AP6289" s="148">
        <v>153</v>
      </c>
      <c r="AQ6289" s="144"/>
      <c r="AR6289" s="120"/>
      <c r="AS6289" s="121"/>
      <c r="AT6289" s="120"/>
      <c r="AU6289" s="121"/>
      <c r="AV6289" s="120"/>
      <c r="AW6289" s="121"/>
      <c r="AX6289" s="120"/>
      <c r="AY6289" s="121"/>
      <c r="AZ6289" s="138"/>
    </row>
    <row r="6290" spans="1:52" ht="17.100000000000001" customHeight="1" thickTop="1">
      <c r="A6290" s="109" t="s">
        <v>18258</v>
      </c>
      <c r="B6290" s="28">
        <v>46072</v>
      </c>
      <c r="C6290" s="25">
        <v>1319</v>
      </c>
      <c r="D6290" s="13" t="s">
        <v>1714</v>
      </c>
      <c r="E6290" s="111"/>
      <c r="F6290" s="113" t="s">
        <v>18264</v>
      </c>
      <c r="G6290" s="114"/>
      <c r="H6290" s="115"/>
      <c r="I6290" s="24"/>
      <c r="J6290" s="116">
        <v>4</v>
      </c>
      <c r="K6290" s="118">
        <v>1695000</v>
      </c>
      <c r="L6290" s="119"/>
      <c r="M6290" s="118">
        <f t="shared" ref="M6290" si="8511">K6290*0.1</f>
        <v>169500</v>
      </c>
      <c r="N6290" s="119"/>
      <c r="O6290" s="118">
        <v>0</v>
      </c>
      <c r="P6290" s="119"/>
      <c r="Q6290" s="118">
        <v>21650</v>
      </c>
      <c r="R6290" s="119"/>
      <c r="S6290" s="118">
        <v>16500</v>
      </c>
      <c r="T6290" s="119"/>
      <c r="U6290" s="118">
        <f t="shared" ref="U6290" si="8512">SUM(K6290:T6291)</f>
        <v>1902650</v>
      </c>
      <c r="V6290" s="122"/>
      <c r="W6290" s="124"/>
      <c r="X6290" s="126" t="s">
        <v>18935</v>
      </c>
      <c r="Y6290" s="127"/>
      <c r="Z6290" s="127"/>
      <c r="AA6290" s="127"/>
      <c r="AB6290" s="128"/>
      <c r="AC6290" s="15" t="s">
        <v>20</v>
      </c>
      <c r="AD6290" s="129" t="s">
        <v>12452</v>
      </c>
      <c r="AE6290" s="130"/>
      <c r="AF6290" s="130"/>
      <c r="AG6290" s="130"/>
      <c r="AH6290" s="130"/>
      <c r="AI6290" s="131"/>
      <c r="AJ6290" s="132"/>
      <c r="AK6290" s="127"/>
      <c r="AL6290" s="128"/>
      <c r="AM6290" s="21"/>
      <c r="AN6290" s="133">
        <v>46081</v>
      </c>
      <c r="AO6290" s="134"/>
      <c r="AP6290" s="135">
        <v>1290</v>
      </c>
      <c r="AQ6290" s="136"/>
      <c r="AR6290" s="118">
        <v>1850000</v>
      </c>
      <c r="AS6290" s="119"/>
      <c r="AT6290" s="118">
        <f t="shared" ref="AT6290" si="8513">AR6290*0.1</f>
        <v>185000</v>
      </c>
      <c r="AU6290" s="119"/>
      <c r="AV6290" s="118">
        <v>21650</v>
      </c>
      <c r="AW6290" s="119"/>
      <c r="AX6290" s="118">
        <f t="shared" ref="AX6290" si="8514">SUM(AR6290:AW6290)</f>
        <v>2056650</v>
      </c>
      <c r="AY6290" s="119"/>
      <c r="AZ6290" s="137">
        <v>46086</v>
      </c>
    </row>
    <row r="6291" spans="1:52" ht="17.100000000000001" customHeight="1" thickBot="1">
      <c r="A6291" s="110"/>
      <c r="B6291" s="27" t="s">
        <v>13663</v>
      </c>
      <c r="C6291" s="27">
        <v>618</v>
      </c>
      <c r="D6291" s="14" t="s">
        <v>133</v>
      </c>
      <c r="E6291" s="112"/>
      <c r="F6291" s="139" t="s">
        <v>18265</v>
      </c>
      <c r="G6291" s="140"/>
      <c r="H6291" s="141"/>
      <c r="I6291" s="26">
        <v>64343</v>
      </c>
      <c r="J6291" s="117"/>
      <c r="K6291" s="120"/>
      <c r="L6291" s="121"/>
      <c r="M6291" s="120"/>
      <c r="N6291" s="121"/>
      <c r="O6291" s="120"/>
      <c r="P6291" s="121"/>
      <c r="Q6291" s="120"/>
      <c r="R6291" s="121"/>
      <c r="S6291" s="120"/>
      <c r="T6291" s="121"/>
      <c r="U6291" s="120"/>
      <c r="V6291" s="123"/>
      <c r="W6291" s="125"/>
      <c r="X6291" s="142" t="s">
        <v>1861</v>
      </c>
      <c r="Y6291" s="143"/>
      <c r="Z6291" s="143"/>
      <c r="AA6291" s="143"/>
      <c r="AB6291" s="144"/>
      <c r="AC6291" s="16" t="s">
        <v>21</v>
      </c>
      <c r="AD6291" s="17" t="s">
        <v>3616</v>
      </c>
      <c r="AE6291" s="145" t="s">
        <v>1614</v>
      </c>
      <c r="AF6291" s="146"/>
      <c r="AG6291" s="146"/>
      <c r="AH6291" s="146"/>
      <c r="AI6291" s="147"/>
      <c r="AJ6291" s="148"/>
      <c r="AK6291" s="143"/>
      <c r="AL6291" s="144"/>
      <c r="AM6291" s="22"/>
      <c r="AN6291" s="149" t="s">
        <v>6748</v>
      </c>
      <c r="AO6291" s="144"/>
      <c r="AP6291" s="148">
        <v>80280</v>
      </c>
      <c r="AQ6291" s="144"/>
      <c r="AR6291" s="120"/>
      <c r="AS6291" s="121"/>
      <c r="AT6291" s="120"/>
      <c r="AU6291" s="121"/>
      <c r="AV6291" s="120"/>
      <c r="AW6291" s="121"/>
      <c r="AX6291" s="120"/>
      <c r="AY6291" s="121"/>
      <c r="AZ6291" s="138"/>
    </row>
    <row r="6292" spans="1:52" ht="17.100000000000001" customHeight="1" thickTop="1">
      <c r="A6292" s="109" t="s">
        <v>18317</v>
      </c>
      <c r="B6292" s="28">
        <v>46072</v>
      </c>
      <c r="C6292" s="25">
        <v>2146</v>
      </c>
      <c r="D6292" s="13" t="s">
        <v>2390</v>
      </c>
      <c r="E6292" s="111"/>
      <c r="F6292" s="113" t="s">
        <v>18331</v>
      </c>
      <c r="G6292" s="114"/>
      <c r="H6292" s="115"/>
      <c r="I6292" s="24" t="s">
        <v>11124</v>
      </c>
      <c r="J6292" s="116">
        <v>4</v>
      </c>
      <c r="K6292" s="118">
        <v>278000</v>
      </c>
      <c r="L6292" s="119"/>
      <c r="M6292" s="118">
        <f t="shared" ref="M6292" si="8515">K6292*0.1</f>
        <v>27800</v>
      </c>
      <c r="N6292" s="119"/>
      <c r="O6292" s="118">
        <v>0</v>
      </c>
      <c r="P6292" s="119"/>
      <c r="Q6292" s="118">
        <v>9770</v>
      </c>
      <c r="R6292" s="119"/>
      <c r="S6292" s="118">
        <v>14300</v>
      </c>
      <c r="T6292" s="119"/>
      <c r="U6292" s="118">
        <f t="shared" ref="U6292" si="8516">SUM(K6292:T6293)</f>
        <v>329870</v>
      </c>
      <c r="V6292" s="122"/>
      <c r="W6292" s="124"/>
      <c r="X6292" s="126" t="s">
        <v>18811</v>
      </c>
      <c r="Y6292" s="127"/>
      <c r="Z6292" s="127"/>
      <c r="AA6292" s="127"/>
      <c r="AB6292" s="128"/>
      <c r="AC6292" s="15" t="s">
        <v>20</v>
      </c>
      <c r="AD6292" s="129"/>
      <c r="AE6292" s="130"/>
      <c r="AF6292" s="130"/>
      <c r="AG6292" s="130"/>
      <c r="AH6292" s="130"/>
      <c r="AI6292" s="131"/>
      <c r="AJ6292" s="132"/>
      <c r="AK6292" s="127"/>
      <c r="AL6292" s="128"/>
      <c r="AM6292" s="21"/>
      <c r="AN6292" s="133">
        <v>46078</v>
      </c>
      <c r="AO6292" s="134"/>
      <c r="AP6292" s="135">
        <v>1006</v>
      </c>
      <c r="AQ6292" s="136"/>
      <c r="AR6292" s="118">
        <v>340000</v>
      </c>
      <c r="AS6292" s="119"/>
      <c r="AT6292" s="118">
        <f t="shared" ref="AT6292" si="8517">AR6292*0.1</f>
        <v>34000</v>
      </c>
      <c r="AU6292" s="119"/>
      <c r="AV6292" s="118">
        <v>9770</v>
      </c>
      <c r="AW6292" s="119"/>
      <c r="AX6292" s="118">
        <f t="shared" ref="AX6292" si="8518">SUM(AR6292:AW6292)</f>
        <v>383770</v>
      </c>
      <c r="AY6292" s="119"/>
      <c r="AZ6292" s="137">
        <v>46083</v>
      </c>
    </row>
    <row r="6293" spans="1:52" ht="17.100000000000001" customHeight="1" thickBot="1">
      <c r="A6293" s="110"/>
      <c r="B6293" s="27" t="s">
        <v>3281</v>
      </c>
      <c r="C6293" s="27">
        <v>95</v>
      </c>
      <c r="D6293" s="14" t="s">
        <v>1576</v>
      </c>
      <c r="E6293" s="112"/>
      <c r="F6293" s="139" t="s">
        <v>18324</v>
      </c>
      <c r="G6293" s="140"/>
      <c r="H6293" s="141"/>
      <c r="I6293" s="26">
        <v>58303</v>
      </c>
      <c r="J6293" s="117"/>
      <c r="K6293" s="120"/>
      <c r="L6293" s="121"/>
      <c r="M6293" s="120"/>
      <c r="N6293" s="121"/>
      <c r="O6293" s="120"/>
      <c r="P6293" s="121"/>
      <c r="Q6293" s="120"/>
      <c r="R6293" s="121"/>
      <c r="S6293" s="120"/>
      <c r="T6293" s="121"/>
      <c r="U6293" s="120"/>
      <c r="V6293" s="123"/>
      <c r="W6293" s="125"/>
      <c r="X6293" s="142" t="s">
        <v>18812</v>
      </c>
      <c r="Y6293" s="143"/>
      <c r="Z6293" s="143"/>
      <c r="AA6293" s="143"/>
      <c r="AB6293" s="144"/>
      <c r="AC6293" s="16" t="s">
        <v>21</v>
      </c>
      <c r="AD6293" s="17" t="s">
        <v>18720</v>
      </c>
      <c r="AE6293" s="145" t="s">
        <v>19189</v>
      </c>
      <c r="AF6293" s="146"/>
      <c r="AG6293" s="146"/>
      <c r="AH6293" s="146"/>
      <c r="AI6293" s="147"/>
      <c r="AJ6293" s="148" t="s">
        <v>18627</v>
      </c>
      <c r="AK6293" s="143"/>
      <c r="AL6293" s="144"/>
      <c r="AM6293" s="22"/>
      <c r="AN6293" s="149" t="s">
        <v>2794</v>
      </c>
      <c r="AO6293" s="144"/>
      <c r="AP6293" s="148">
        <v>5073</v>
      </c>
      <c r="AQ6293" s="144"/>
      <c r="AR6293" s="120"/>
      <c r="AS6293" s="121"/>
      <c r="AT6293" s="120"/>
      <c r="AU6293" s="121"/>
      <c r="AV6293" s="120"/>
      <c r="AW6293" s="121"/>
      <c r="AX6293" s="120"/>
      <c r="AY6293" s="121"/>
      <c r="AZ6293" s="138"/>
    </row>
    <row r="6294" spans="1:52" ht="17.100000000000001" customHeight="1" thickTop="1">
      <c r="A6294" s="109" t="s">
        <v>18318</v>
      </c>
      <c r="B6294" s="28">
        <v>46072</v>
      </c>
      <c r="C6294" s="25">
        <v>2146</v>
      </c>
      <c r="D6294" s="13" t="s">
        <v>2100</v>
      </c>
      <c r="E6294" s="111"/>
      <c r="F6294" s="113" t="s">
        <v>18332</v>
      </c>
      <c r="G6294" s="114"/>
      <c r="H6294" s="115"/>
      <c r="I6294" s="24"/>
      <c r="J6294" s="116">
        <v>3.5</v>
      </c>
      <c r="K6294" s="118">
        <v>534000</v>
      </c>
      <c r="L6294" s="119"/>
      <c r="M6294" s="118">
        <f t="shared" ref="M6294" si="8519">K6294*0.1</f>
        <v>53400</v>
      </c>
      <c r="N6294" s="119"/>
      <c r="O6294" s="118">
        <v>0</v>
      </c>
      <c r="P6294" s="119"/>
      <c r="Q6294" s="118">
        <v>8030</v>
      </c>
      <c r="R6294" s="119"/>
      <c r="S6294" s="118">
        <v>14300</v>
      </c>
      <c r="T6294" s="119"/>
      <c r="U6294" s="118">
        <f t="shared" ref="U6294" si="8520">SUM(K6294:T6295)</f>
        <v>609730</v>
      </c>
      <c r="V6294" s="122"/>
      <c r="W6294" s="124"/>
      <c r="X6294" s="126" t="s">
        <v>18967</v>
      </c>
      <c r="Y6294" s="127"/>
      <c r="Z6294" s="127"/>
      <c r="AA6294" s="127"/>
      <c r="AB6294" s="128"/>
      <c r="AC6294" s="15" t="s">
        <v>20</v>
      </c>
      <c r="AD6294" s="129" t="s">
        <v>1670</v>
      </c>
      <c r="AE6294" s="130"/>
      <c r="AF6294" s="130"/>
      <c r="AG6294" s="130"/>
      <c r="AH6294" s="130"/>
      <c r="AI6294" s="131"/>
      <c r="AJ6294" s="132"/>
      <c r="AK6294" s="127"/>
      <c r="AL6294" s="128"/>
      <c r="AM6294" s="21"/>
      <c r="AN6294" s="133">
        <v>46095</v>
      </c>
      <c r="AO6294" s="134"/>
      <c r="AP6294" s="135">
        <v>1292</v>
      </c>
      <c r="AQ6294" s="136"/>
      <c r="AR6294" s="118">
        <v>580000</v>
      </c>
      <c r="AS6294" s="119"/>
      <c r="AT6294" s="118">
        <f t="shared" ref="AT6294" si="8521">AR6294*0.1</f>
        <v>58000</v>
      </c>
      <c r="AU6294" s="119"/>
      <c r="AV6294" s="118">
        <v>8030</v>
      </c>
      <c r="AW6294" s="119"/>
      <c r="AX6294" s="118">
        <f t="shared" ref="AX6294" si="8522">SUM(AR6294:AW6294)</f>
        <v>646030</v>
      </c>
      <c r="AY6294" s="119"/>
      <c r="AZ6294" s="137">
        <v>46098</v>
      </c>
    </row>
    <row r="6295" spans="1:52" ht="17.100000000000001" customHeight="1" thickBot="1">
      <c r="A6295" s="110"/>
      <c r="B6295" s="27" t="s">
        <v>3281</v>
      </c>
      <c r="C6295" s="27">
        <v>196</v>
      </c>
      <c r="D6295" s="14" t="s">
        <v>1720</v>
      </c>
      <c r="E6295" s="112"/>
      <c r="F6295" s="139" t="s">
        <v>18325</v>
      </c>
      <c r="G6295" s="140"/>
      <c r="H6295" s="141"/>
      <c r="I6295" s="26">
        <v>51642</v>
      </c>
      <c r="J6295" s="117"/>
      <c r="K6295" s="120"/>
      <c r="L6295" s="121"/>
      <c r="M6295" s="120"/>
      <c r="N6295" s="121"/>
      <c r="O6295" s="120"/>
      <c r="P6295" s="121"/>
      <c r="Q6295" s="120"/>
      <c r="R6295" s="121"/>
      <c r="S6295" s="120"/>
      <c r="T6295" s="121"/>
      <c r="U6295" s="120"/>
      <c r="V6295" s="123"/>
      <c r="W6295" s="125"/>
      <c r="X6295" s="142" t="s">
        <v>18968</v>
      </c>
      <c r="Y6295" s="143"/>
      <c r="Z6295" s="143"/>
      <c r="AA6295" s="143"/>
      <c r="AB6295" s="144"/>
      <c r="AC6295" s="16" t="s">
        <v>21</v>
      </c>
      <c r="AD6295" s="17" t="s">
        <v>18720</v>
      </c>
      <c r="AE6295" s="145" t="s">
        <v>171</v>
      </c>
      <c r="AF6295" s="146"/>
      <c r="AG6295" s="146"/>
      <c r="AH6295" s="146"/>
      <c r="AI6295" s="147"/>
      <c r="AJ6295" s="148"/>
      <c r="AK6295" s="143"/>
      <c r="AL6295" s="144"/>
      <c r="AM6295" s="22"/>
      <c r="AN6295" s="149" t="s">
        <v>2511</v>
      </c>
      <c r="AO6295" s="144"/>
      <c r="AP6295" s="148">
        <v>60075</v>
      </c>
      <c r="AQ6295" s="144"/>
      <c r="AR6295" s="120"/>
      <c r="AS6295" s="121"/>
      <c r="AT6295" s="120"/>
      <c r="AU6295" s="121"/>
      <c r="AV6295" s="120"/>
      <c r="AW6295" s="121"/>
      <c r="AX6295" s="120"/>
      <c r="AY6295" s="121"/>
      <c r="AZ6295" s="138"/>
    </row>
    <row r="6296" spans="1:52" ht="17.100000000000001" customHeight="1" thickTop="1">
      <c r="A6296" s="109" t="s">
        <v>18319</v>
      </c>
      <c r="B6296" s="28">
        <v>46072</v>
      </c>
      <c r="C6296" s="25">
        <v>2146</v>
      </c>
      <c r="D6296" s="13" t="s">
        <v>2014</v>
      </c>
      <c r="E6296" s="111"/>
      <c r="F6296" s="113" t="s">
        <v>8589</v>
      </c>
      <c r="G6296" s="114"/>
      <c r="H6296" s="115"/>
      <c r="I6296" s="24" t="s">
        <v>18333</v>
      </c>
      <c r="J6296" s="116">
        <v>4.5</v>
      </c>
      <c r="K6296" s="118">
        <v>1305000</v>
      </c>
      <c r="L6296" s="119"/>
      <c r="M6296" s="118">
        <f t="shared" ref="M6296" si="8523">K6296*0.1</f>
        <v>130500</v>
      </c>
      <c r="N6296" s="119"/>
      <c r="O6296" s="118">
        <v>0</v>
      </c>
      <c r="P6296" s="119"/>
      <c r="Q6296" s="118">
        <v>8130</v>
      </c>
      <c r="R6296" s="119"/>
      <c r="S6296" s="118">
        <v>14300</v>
      </c>
      <c r="T6296" s="119"/>
      <c r="U6296" s="118">
        <f t="shared" ref="U6296" si="8524">SUM(K6296:T6297)</f>
        <v>1457930</v>
      </c>
      <c r="V6296" s="122"/>
      <c r="W6296" s="124"/>
      <c r="X6296" s="126" t="s">
        <v>18808</v>
      </c>
      <c r="Y6296" s="127"/>
      <c r="Z6296" s="127"/>
      <c r="AA6296" s="127"/>
      <c r="AB6296" s="128"/>
      <c r="AC6296" s="15" t="s">
        <v>20</v>
      </c>
      <c r="AD6296" s="129" t="s">
        <v>18334</v>
      </c>
      <c r="AE6296" s="130"/>
      <c r="AF6296" s="130"/>
      <c r="AG6296" s="130"/>
      <c r="AH6296" s="130"/>
      <c r="AI6296" s="131"/>
      <c r="AJ6296" s="132"/>
      <c r="AK6296" s="127"/>
      <c r="AL6296" s="128"/>
      <c r="AM6296" s="21"/>
      <c r="AN6296" s="133">
        <v>46078</v>
      </c>
      <c r="AO6296" s="134"/>
      <c r="AP6296" s="135">
        <v>1006</v>
      </c>
      <c r="AQ6296" s="136"/>
      <c r="AR6296" s="118">
        <v>1345000</v>
      </c>
      <c r="AS6296" s="119"/>
      <c r="AT6296" s="118">
        <f t="shared" ref="AT6296" si="8525">AR6296*0.1</f>
        <v>134500</v>
      </c>
      <c r="AU6296" s="119"/>
      <c r="AV6296" s="118">
        <v>8130</v>
      </c>
      <c r="AW6296" s="119"/>
      <c r="AX6296" s="118">
        <f t="shared" ref="AX6296" si="8526">SUM(AR6296:AW6296)</f>
        <v>1487630</v>
      </c>
      <c r="AY6296" s="119"/>
      <c r="AZ6296" s="137">
        <v>46083</v>
      </c>
    </row>
    <row r="6297" spans="1:52" ht="17.100000000000001" customHeight="1" thickBot="1">
      <c r="A6297" s="110"/>
      <c r="B6297" s="27" t="s">
        <v>3281</v>
      </c>
      <c r="C6297" s="27">
        <v>2518</v>
      </c>
      <c r="D6297" s="14" t="s">
        <v>2601</v>
      </c>
      <c r="E6297" s="112"/>
      <c r="F6297" s="139" t="s">
        <v>18326</v>
      </c>
      <c r="G6297" s="140"/>
      <c r="H6297" s="141"/>
      <c r="I6297" s="26">
        <v>17027</v>
      </c>
      <c r="J6297" s="117"/>
      <c r="K6297" s="120"/>
      <c r="L6297" s="121"/>
      <c r="M6297" s="120"/>
      <c r="N6297" s="121"/>
      <c r="O6297" s="120"/>
      <c r="P6297" s="121"/>
      <c r="Q6297" s="120"/>
      <c r="R6297" s="121"/>
      <c r="S6297" s="120"/>
      <c r="T6297" s="121"/>
      <c r="U6297" s="120"/>
      <c r="V6297" s="123"/>
      <c r="W6297" s="125"/>
      <c r="X6297" s="142" t="s">
        <v>2440</v>
      </c>
      <c r="Y6297" s="143"/>
      <c r="Z6297" s="143"/>
      <c r="AA6297" s="143"/>
      <c r="AB6297" s="144"/>
      <c r="AC6297" s="16" t="s">
        <v>21</v>
      </c>
      <c r="AD6297" s="17" t="s">
        <v>18720</v>
      </c>
      <c r="AE6297" s="145" t="s">
        <v>18809</v>
      </c>
      <c r="AF6297" s="146"/>
      <c r="AG6297" s="146"/>
      <c r="AH6297" s="146"/>
      <c r="AI6297" s="147"/>
      <c r="AJ6297" s="148"/>
      <c r="AK6297" s="143"/>
      <c r="AL6297" s="144"/>
      <c r="AM6297" s="22"/>
      <c r="AN6297" s="149" t="s">
        <v>2794</v>
      </c>
      <c r="AO6297" s="144"/>
      <c r="AP6297" s="148">
        <v>5085</v>
      </c>
      <c r="AQ6297" s="144"/>
      <c r="AR6297" s="120"/>
      <c r="AS6297" s="121"/>
      <c r="AT6297" s="120"/>
      <c r="AU6297" s="121"/>
      <c r="AV6297" s="120"/>
      <c r="AW6297" s="121"/>
      <c r="AX6297" s="120"/>
      <c r="AY6297" s="121"/>
      <c r="AZ6297" s="138"/>
    </row>
    <row r="6298" spans="1:52" ht="17.100000000000001" customHeight="1" thickTop="1">
      <c r="A6298" s="109" t="s">
        <v>18320</v>
      </c>
      <c r="B6298" s="28">
        <v>46072</v>
      </c>
      <c r="C6298" s="25">
        <v>2146</v>
      </c>
      <c r="D6298" s="13" t="s">
        <v>2859</v>
      </c>
      <c r="E6298" s="111"/>
      <c r="F6298" s="113" t="s">
        <v>18335</v>
      </c>
      <c r="G6298" s="114"/>
      <c r="H6298" s="115"/>
      <c r="I6298" s="24"/>
      <c r="J6298" s="116">
        <v>4.5</v>
      </c>
      <c r="K6298" s="118">
        <v>651000</v>
      </c>
      <c r="L6298" s="119"/>
      <c r="M6298" s="118">
        <f t="shared" ref="M6298" si="8527">K6298*0.1</f>
        <v>65100</v>
      </c>
      <c r="N6298" s="119"/>
      <c r="O6298" s="118">
        <v>0</v>
      </c>
      <c r="P6298" s="119"/>
      <c r="Q6298" s="118">
        <v>9200</v>
      </c>
      <c r="R6298" s="119"/>
      <c r="S6298" s="118">
        <v>14300</v>
      </c>
      <c r="T6298" s="119"/>
      <c r="U6298" s="118">
        <f t="shared" ref="U6298" si="8528">SUM(K6298:T6299)</f>
        <v>739600</v>
      </c>
      <c r="V6298" s="122"/>
      <c r="W6298" s="124"/>
      <c r="X6298" s="126" t="s">
        <v>18969</v>
      </c>
      <c r="Y6298" s="127"/>
      <c r="Z6298" s="127"/>
      <c r="AA6298" s="127"/>
      <c r="AB6298" s="128"/>
      <c r="AC6298" s="15" t="s">
        <v>20</v>
      </c>
      <c r="AD6298" s="129"/>
      <c r="AE6298" s="130"/>
      <c r="AF6298" s="130"/>
      <c r="AG6298" s="130"/>
      <c r="AH6298" s="130"/>
      <c r="AI6298" s="131"/>
      <c r="AJ6298" s="132"/>
      <c r="AK6298" s="127"/>
      <c r="AL6298" s="128"/>
      <c r="AM6298" s="21"/>
      <c r="AN6298" s="133">
        <v>46078</v>
      </c>
      <c r="AO6298" s="134"/>
      <c r="AP6298" s="135">
        <v>1006</v>
      </c>
      <c r="AQ6298" s="136"/>
      <c r="AR6298" s="118">
        <v>750000</v>
      </c>
      <c r="AS6298" s="119"/>
      <c r="AT6298" s="118">
        <f t="shared" ref="AT6298" si="8529">AR6298*0.1</f>
        <v>75000</v>
      </c>
      <c r="AU6298" s="119"/>
      <c r="AV6298" s="118">
        <v>9200</v>
      </c>
      <c r="AW6298" s="119"/>
      <c r="AX6298" s="118">
        <f t="shared" ref="AX6298" si="8530">SUM(AR6298:AW6298)</f>
        <v>834200</v>
      </c>
      <c r="AY6298" s="119"/>
      <c r="AZ6298" s="137">
        <v>46084</v>
      </c>
    </row>
    <row r="6299" spans="1:52" ht="17.100000000000001" customHeight="1" thickBot="1">
      <c r="A6299" s="110"/>
      <c r="B6299" s="27" t="s">
        <v>3281</v>
      </c>
      <c r="C6299" s="27">
        <v>2531</v>
      </c>
      <c r="D6299" s="14" t="s">
        <v>275</v>
      </c>
      <c r="E6299" s="112"/>
      <c r="F6299" s="139" t="s">
        <v>18327</v>
      </c>
      <c r="G6299" s="140"/>
      <c r="H6299" s="141"/>
      <c r="I6299" s="26">
        <v>75539</v>
      </c>
      <c r="J6299" s="117"/>
      <c r="K6299" s="120"/>
      <c r="L6299" s="121"/>
      <c r="M6299" s="120"/>
      <c r="N6299" s="121"/>
      <c r="O6299" s="120"/>
      <c r="P6299" s="121"/>
      <c r="Q6299" s="120"/>
      <c r="R6299" s="121"/>
      <c r="S6299" s="120"/>
      <c r="T6299" s="121"/>
      <c r="U6299" s="120"/>
      <c r="V6299" s="123"/>
      <c r="W6299" s="125"/>
      <c r="X6299" s="142" t="s">
        <v>8699</v>
      </c>
      <c r="Y6299" s="143"/>
      <c r="Z6299" s="143"/>
      <c r="AA6299" s="143"/>
      <c r="AB6299" s="144"/>
      <c r="AC6299" s="16" t="s">
        <v>21</v>
      </c>
      <c r="AD6299" s="17" t="s">
        <v>18720</v>
      </c>
      <c r="AE6299" s="145" t="s">
        <v>18970</v>
      </c>
      <c r="AF6299" s="146"/>
      <c r="AG6299" s="146"/>
      <c r="AH6299" s="146"/>
      <c r="AI6299" s="147"/>
      <c r="AJ6299" s="148"/>
      <c r="AK6299" s="143"/>
      <c r="AL6299" s="144"/>
      <c r="AM6299" s="22"/>
      <c r="AN6299" s="149" t="s">
        <v>8809</v>
      </c>
      <c r="AO6299" s="144"/>
      <c r="AP6299" s="148">
        <v>5091</v>
      </c>
      <c r="AQ6299" s="144"/>
      <c r="AR6299" s="120"/>
      <c r="AS6299" s="121"/>
      <c r="AT6299" s="120"/>
      <c r="AU6299" s="121"/>
      <c r="AV6299" s="120"/>
      <c r="AW6299" s="121"/>
      <c r="AX6299" s="120"/>
      <c r="AY6299" s="121"/>
      <c r="AZ6299" s="138"/>
    </row>
    <row r="6300" spans="1:52" ht="17.100000000000001" customHeight="1" thickTop="1">
      <c r="A6300" s="109" t="s">
        <v>18321</v>
      </c>
      <c r="B6300" s="28">
        <v>46072</v>
      </c>
      <c r="C6300" s="25">
        <v>2146</v>
      </c>
      <c r="D6300" s="13" t="s">
        <v>1688</v>
      </c>
      <c r="E6300" s="111"/>
      <c r="F6300" s="113" t="s">
        <v>15949</v>
      </c>
      <c r="G6300" s="114"/>
      <c r="H6300" s="115"/>
      <c r="I6300" s="24"/>
      <c r="J6300" s="116">
        <v>4.5</v>
      </c>
      <c r="K6300" s="118">
        <v>655000</v>
      </c>
      <c r="L6300" s="119"/>
      <c r="M6300" s="118">
        <f t="shared" ref="M6300" si="8531">K6300*0.1</f>
        <v>65500</v>
      </c>
      <c r="N6300" s="119"/>
      <c r="O6300" s="118">
        <v>0</v>
      </c>
      <c r="P6300" s="119"/>
      <c r="Q6300" s="118">
        <v>6550</v>
      </c>
      <c r="R6300" s="119"/>
      <c r="S6300" s="118">
        <v>14300</v>
      </c>
      <c r="T6300" s="119"/>
      <c r="U6300" s="118">
        <f t="shared" ref="U6300" si="8532">SUM(K6300:T6301)</f>
        <v>741350</v>
      </c>
      <c r="V6300" s="122"/>
      <c r="W6300" s="124"/>
      <c r="X6300" s="126" t="s">
        <v>18802</v>
      </c>
      <c r="Y6300" s="127"/>
      <c r="Z6300" s="127"/>
      <c r="AA6300" s="127"/>
      <c r="AB6300" s="128"/>
      <c r="AC6300" s="15" t="s">
        <v>20</v>
      </c>
      <c r="AD6300" s="129" t="s">
        <v>18336</v>
      </c>
      <c r="AE6300" s="130"/>
      <c r="AF6300" s="130"/>
      <c r="AG6300" s="130"/>
      <c r="AH6300" s="130"/>
      <c r="AI6300" s="131"/>
      <c r="AJ6300" s="132"/>
      <c r="AK6300" s="127"/>
      <c r="AL6300" s="128"/>
      <c r="AM6300" s="21"/>
      <c r="AN6300" s="133">
        <v>46077</v>
      </c>
      <c r="AO6300" s="134"/>
      <c r="AP6300" s="135">
        <v>1930</v>
      </c>
      <c r="AQ6300" s="136"/>
      <c r="AR6300" s="118">
        <v>691000</v>
      </c>
      <c r="AS6300" s="119"/>
      <c r="AT6300" s="118">
        <f t="shared" ref="AT6300" si="8533">AR6300*0.1</f>
        <v>69100</v>
      </c>
      <c r="AU6300" s="119"/>
      <c r="AV6300" s="118">
        <v>6550</v>
      </c>
      <c r="AW6300" s="119"/>
      <c r="AX6300" s="118">
        <f t="shared" ref="AX6300" si="8534">SUM(AR6300:AW6300)</f>
        <v>766650</v>
      </c>
      <c r="AY6300" s="119"/>
      <c r="AZ6300" s="137"/>
    </row>
    <row r="6301" spans="1:52" ht="17.100000000000001" customHeight="1" thickBot="1">
      <c r="A6301" s="110"/>
      <c r="B6301" s="27" t="s">
        <v>3281</v>
      </c>
      <c r="C6301" s="27">
        <v>2552</v>
      </c>
      <c r="D6301" s="14" t="s">
        <v>3793</v>
      </c>
      <c r="E6301" s="112"/>
      <c r="F6301" s="139" t="s">
        <v>18328</v>
      </c>
      <c r="G6301" s="140"/>
      <c r="H6301" s="141"/>
      <c r="I6301" s="26">
        <v>5759</v>
      </c>
      <c r="J6301" s="117"/>
      <c r="K6301" s="120"/>
      <c r="L6301" s="121"/>
      <c r="M6301" s="120"/>
      <c r="N6301" s="121"/>
      <c r="O6301" s="120"/>
      <c r="P6301" s="121"/>
      <c r="Q6301" s="120"/>
      <c r="R6301" s="121"/>
      <c r="S6301" s="120"/>
      <c r="T6301" s="121"/>
      <c r="U6301" s="120"/>
      <c r="V6301" s="123"/>
      <c r="W6301" s="125"/>
      <c r="X6301" s="142" t="s">
        <v>18803</v>
      </c>
      <c r="Y6301" s="143"/>
      <c r="Z6301" s="143"/>
      <c r="AA6301" s="143"/>
      <c r="AB6301" s="144"/>
      <c r="AC6301" s="16" t="s">
        <v>21</v>
      </c>
      <c r="AD6301" s="17" t="s">
        <v>18720</v>
      </c>
      <c r="AE6301" s="145" t="s">
        <v>18804</v>
      </c>
      <c r="AF6301" s="146"/>
      <c r="AG6301" s="146"/>
      <c r="AH6301" s="146"/>
      <c r="AI6301" s="147"/>
      <c r="AJ6301" s="148"/>
      <c r="AK6301" s="143"/>
      <c r="AL6301" s="144"/>
      <c r="AM6301" s="22"/>
      <c r="AN6301" s="149" t="s">
        <v>2131</v>
      </c>
      <c r="AO6301" s="144"/>
      <c r="AP6301" s="148">
        <v>3267</v>
      </c>
      <c r="AQ6301" s="144"/>
      <c r="AR6301" s="120"/>
      <c r="AS6301" s="121"/>
      <c r="AT6301" s="120"/>
      <c r="AU6301" s="121"/>
      <c r="AV6301" s="120"/>
      <c r="AW6301" s="121"/>
      <c r="AX6301" s="120"/>
      <c r="AY6301" s="121"/>
      <c r="AZ6301" s="138"/>
    </row>
    <row r="6302" spans="1:52" ht="17.100000000000001" customHeight="1" thickTop="1">
      <c r="A6302" s="109" t="s">
        <v>18322</v>
      </c>
      <c r="B6302" s="28">
        <v>46072</v>
      </c>
      <c r="C6302" s="25">
        <v>2146</v>
      </c>
      <c r="D6302" s="13" t="s">
        <v>2689</v>
      </c>
      <c r="E6302" s="111"/>
      <c r="F6302" s="113" t="s">
        <v>18337</v>
      </c>
      <c r="G6302" s="114"/>
      <c r="H6302" s="115"/>
      <c r="I6302" s="24"/>
      <c r="J6302" s="116">
        <v>4</v>
      </c>
      <c r="K6302" s="118">
        <v>1044000</v>
      </c>
      <c r="L6302" s="119"/>
      <c r="M6302" s="118">
        <f t="shared" ref="M6302" si="8535">K6302*0.1</f>
        <v>104400</v>
      </c>
      <c r="N6302" s="119"/>
      <c r="O6302" s="118">
        <v>0</v>
      </c>
      <c r="P6302" s="119"/>
      <c r="Q6302" s="118">
        <v>8790</v>
      </c>
      <c r="R6302" s="119"/>
      <c r="S6302" s="118">
        <v>14300</v>
      </c>
      <c r="T6302" s="119"/>
      <c r="U6302" s="118">
        <f t="shared" ref="U6302" si="8536">SUM(K6302:T6303)</f>
        <v>1171490</v>
      </c>
      <c r="V6302" s="122"/>
      <c r="W6302" s="124"/>
      <c r="X6302" s="126" t="s">
        <v>18810</v>
      </c>
      <c r="Y6302" s="127"/>
      <c r="Z6302" s="127"/>
      <c r="AA6302" s="127"/>
      <c r="AB6302" s="128"/>
      <c r="AC6302" s="15" t="s">
        <v>20</v>
      </c>
      <c r="AD6302" s="129"/>
      <c r="AE6302" s="130"/>
      <c r="AF6302" s="130"/>
      <c r="AG6302" s="130"/>
      <c r="AH6302" s="130"/>
      <c r="AI6302" s="131"/>
      <c r="AJ6302" s="132"/>
      <c r="AK6302" s="127"/>
      <c r="AL6302" s="128"/>
      <c r="AM6302" s="21"/>
      <c r="AN6302" s="133">
        <v>46078</v>
      </c>
      <c r="AO6302" s="134"/>
      <c r="AP6302" s="135">
        <v>1006</v>
      </c>
      <c r="AQ6302" s="136"/>
      <c r="AR6302" s="118">
        <v>1115000</v>
      </c>
      <c r="AS6302" s="119"/>
      <c r="AT6302" s="118">
        <f t="shared" ref="AT6302" si="8537">AR6302*0.1</f>
        <v>111500</v>
      </c>
      <c r="AU6302" s="119"/>
      <c r="AV6302" s="118">
        <v>8790</v>
      </c>
      <c r="AW6302" s="119"/>
      <c r="AX6302" s="118">
        <f t="shared" ref="AX6302" si="8538">SUM(AR6302:AW6302)</f>
        <v>1235290</v>
      </c>
      <c r="AY6302" s="119"/>
      <c r="AZ6302" s="137">
        <v>46083</v>
      </c>
    </row>
    <row r="6303" spans="1:52" ht="17.100000000000001" customHeight="1" thickBot="1">
      <c r="A6303" s="110"/>
      <c r="B6303" s="27" t="s">
        <v>3281</v>
      </c>
      <c r="C6303" s="27">
        <v>2582</v>
      </c>
      <c r="D6303" s="14" t="s">
        <v>18339</v>
      </c>
      <c r="E6303" s="112"/>
      <c r="F6303" s="139" t="s">
        <v>18329</v>
      </c>
      <c r="G6303" s="140"/>
      <c r="H6303" s="141"/>
      <c r="I6303" s="26">
        <v>23524</v>
      </c>
      <c r="J6303" s="117"/>
      <c r="K6303" s="120"/>
      <c r="L6303" s="121"/>
      <c r="M6303" s="120"/>
      <c r="N6303" s="121"/>
      <c r="O6303" s="120"/>
      <c r="P6303" s="121"/>
      <c r="Q6303" s="120"/>
      <c r="R6303" s="121"/>
      <c r="S6303" s="120"/>
      <c r="T6303" s="121"/>
      <c r="U6303" s="120"/>
      <c r="V6303" s="123"/>
      <c r="W6303" s="125"/>
      <c r="X6303" s="142" t="s">
        <v>2440</v>
      </c>
      <c r="Y6303" s="143"/>
      <c r="Z6303" s="143"/>
      <c r="AA6303" s="143"/>
      <c r="AB6303" s="144"/>
      <c r="AC6303" s="16" t="s">
        <v>21</v>
      </c>
      <c r="AD6303" s="17" t="s">
        <v>18720</v>
      </c>
      <c r="AE6303" s="145" t="s">
        <v>2269</v>
      </c>
      <c r="AF6303" s="146"/>
      <c r="AG6303" s="146"/>
      <c r="AH6303" s="146"/>
      <c r="AI6303" s="147"/>
      <c r="AJ6303" s="148"/>
      <c r="AK6303" s="143"/>
      <c r="AL6303" s="144"/>
      <c r="AM6303" s="22"/>
      <c r="AN6303" s="149" t="s">
        <v>2794</v>
      </c>
      <c r="AO6303" s="144"/>
      <c r="AP6303" s="148">
        <v>5077</v>
      </c>
      <c r="AQ6303" s="144"/>
      <c r="AR6303" s="120"/>
      <c r="AS6303" s="121"/>
      <c r="AT6303" s="120"/>
      <c r="AU6303" s="121"/>
      <c r="AV6303" s="120"/>
      <c r="AW6303" s="121"/>
      <c r="AX6303" s="120"/>
      <c r="AY6303" s="121"/>
      <c r="AZ6303" s="138"/>
    </row>
    <row r="6304" spans="1:52" ht="17.100000000000001" customHeight="1" thickTop="1">
      <c r="A6304" s="109" t="s">
        <v>18323</v>
      </c>
      <c r="B6304" s="28">
        <v>46072</v>
      </c>
      <c r="C6304" s="25">
        <v>2146</v>
      </c>
      <c r="D6304" s="13" t="s">
        <v>3836</v>
      </c>
      <c r="E6304" s="111"/>
      <c r="F6304" s="113" t="s">
        <v>18338</v>
      </c>
      <c r="G6304" s="114"/>
      <c r="H6304" s="115"/>
      <c r="I6304" s="24"/>
      <c r="J6304" s="116">
        <v>4</v>
      </c>
      <c r="K6304" s="118">
        <v>315000</v>
      </c>
      <c r="L6304" s="119"/>
      <c r="M6304" s="118">
        <f t="shared" ref="M6304" si="8539">K6304*0.1</f>
        <v>31500</v>
      </c>
      <c r="N6304" s="119"/>
      <c r="O6304" s="118">
        <v>0</v>
      </c>
      <c r="P6304" s="119"/>
      <c r="Q6304" s="118">
        <v>9070</v>
      </c>
      <c r="R6304" s="119"/>
      <c r="S6304" s="118">
        <v>14300</v>
      </c>
      <c r="T6304" s="119"/>
      <c r="U6304" s="118">
        <f t="shared" ref="U6304" si="8540">SUM(K6304:T6305)</f>
        <v>369870</v>
      </c>
      <c r="V6304" s="122"/>
      <c r="W6304" s="124"/>
      <c r="X6304" s="126" t="s">
        <v>18813</v>
      </c>
      <c r="Y6304" s="127"/>
      <c r="Z6304" s="127"/>
      <c r="AA6304" s="127"/>
      <c r="AB6304" s="128"/>
      <c r="AC6304" s="15" t="s">
        <v>20</v>
      </c>
      <c r="AD6304" s="129"/>
      <c r="AE6304" s="130"/>
      <c r="AF6304" s="130"/>
      <c r="AG6304" s="130"/>
      <c r="AH6304" s="130"/>
      <c r="AI6304" s="131"/>
      <c r="AJ6304" s="132"/>
      <c r="AK6304" s="127"/>
      <c r="AL6304" s="128"/>
      <c r="AM6304" s="21"/>
      <c r="AN6304" s="133">
        <v>46078</v>
      </c>
      <c r="AO6304" s="134"/>
      <c r="AP6304" s="135">
        <v>1006</v>
      </c>
      <c r="AQ6304" s="136"/>
      <c r="AR6304" s="118">
        <v>415000</v>
      </c>
      <c r="AS6304" s="119"/>
      <c r="AT6304" s="118">
        <f t="shared" ref="AT6304" si="8541">AR6304*0.1</f>
        <v>41500</v>
      </c>
      <c r="AU6304" s="119"/>
      <c r="AV6304" s="118">
        <v>9070</v>
      </c>
      <c r="AW6304" s="119"/>
      <c r="AX6304" s="118">
        <f t="shared" ref="AX6304" si="8542">SUM(AR6304:AW6304)</f>
        <v>465570</v>
      </c>
      <c r="AY6304" s="119"/>
      <c r="AZ6304" s="137">
        <v>46083</v>
      </c>
    </row>
    <row r="6305" spans="1:52" ht="17.100000000000001" customHeight="1" thickBot="1">
      <c r="A6305" s="110"/>
      <c r="B6305" s="27" t="s">
        <v>3281</v>
      </c>
      <c r="C6305" s="27">
        <v>35259</v>
      </c>
      <c r="D6305" s="14" t="s">
        <v>3327</v>
      </c>
      <c r="E6305" s="112"/>
      <c r="F6305" s="139" t="s">
        <v>18330</v>
      </c>
      <c r="G6305" s="140"/>
      <c r="H6305" s="141"/>
      <c r="I6305" s="26">
        <v>57234</v>
      </c>
      <c r="J6305" s="117"/>
      <c r="K6305" s="120"/>
      <c r="L6305" s="121"/>
      <c r="M6305" s="120"/>
      <c r="N6305" s="121"/>
      <c r="O6305" s="120"/>
      <c r="P6305" s="121"/>
      <c r="Q6305" s="120"/>
      <c r="R6305" s="121"/>
      <c r="S6305" s="120"/>
      <c r="T6305" s="121"/>
      <c r="U6305" s="120"/>
      <c r="V6305" s="123"/>
      <c r="W6305" s="125"/>
      <c r="X6305" s="142" t="s">
        <v>18814</v>
      </c>
      <c r="Y6305" s="143"/>
      <c r="Z6305" s="143"/>
      <c r="AA6305" s="143"/>
      <c r="AB6305" s="144"/>
      <c r="AC6305" s="16" t="s">
        <v>21</v>
      </c>
      <c r="AD6305" s="17" t="s">
        <v>18720</v>
      </c>
      <c r="AE6305" s="145" t="s">
        <v>3624</v>
      </c>
      <c r="AF6305" s="146"/>
      <c r="AG6305" s="146"/>
      <c r="AH6305" s="146"/>
      <c r="AI6305" s="147"/>
      <c r="AJ6305" s="148"/>
      <c r="AK6305" s="143"/>
      <c r="AL6305" s="144"/>
      <c r="AM6305" s="22"/>
      <c r="AN6305" s="149" t="s">
        <v>2794</v>
      </c>
      <c r="AO6305" s="144"/>
      <c r="AP6305" s="148">
        <v>5067</v>
      </c>
      <c r="AQ6305" s="144"/>
      <c r="AR6305" s="120"/>
      <c r="AS6305" s="121"/>
      <c r="AT6305" s="120"/>
      <c r="AU6305" s="121"/>
      <c r="AV6305" s="120"/>
      <c r="AW6305" s="121"/>
      <c r="AX6305" s="120"/>
      <c r="AY6305" s="121"/>
      <c r="AZ6305" s="138"/>
    </row>
    <row r="6306" spans="1:52" ht="17.100000000000001" customHeight="1" thickTop="1">
      <c r="A6306" s="109" t="s">
        <v>18340</v>
      </c>
      <c r="B6306" s="28">
        <v>46072</v>
      </c>
      <c r="C6306" s="25">
        <v>2015</v>
      </c>
      <c r="D6306" s="13" t="s">
        <v>2196</v>
      </c>
      <c r="E6306" s="111"/>
      <c r="F6306" s="113" t="s">
        <v>18356</v>
      </c>
      <c r="G6306" s="114"/>
      <c r="H6306" s="115"/>
      <c r="I6306" s="24"/>
      <c r="J6306" s="116">
        <v>4</v>
      </c>
      <c r="K6306" s="118">
        <v>1257000</v>
      </c>
      <c r="L6306" s="119"/>
      <c r="M6306" s="118">
        <f t="shared" ref="M6306" si="8543">K6306*0.1</f>
        <v>125700</v>
      </c>
      <c r="N6306" s="119"/>
      <c r="O6306" s="118">
        <v>0</v>
      </c>
      <c r="P6306" s="119"/>
      <c r="Q6306" s="118">
        <v>10360</v>
      </c>
      <c r="R6306" s="119"/>
      <c r="S6306" s="118">
        <v>22000</v>
      </c>
      <c r="T6306" s="119"/>
      <c r="U6306" s="118">
        <f t="shared" ref="U6306" si="8544">SUM(K6306:T6307)</f>
        <v>1415060</v>
      </c>
      <c r="V6306" s="122"/>
      <c r="W6306" s="124"/>
      <c r="X6306" s="126" t="s">
        <v>18979</v>
      </c>
      <c r="Y6306" s="127"/>
      <c r="Z6306" s="127"/>
      <c r="AA6306" s="127"/>
      <c r="AB6306" s="128"/>
      <c r="AC6306" s="15" t="s">
        <v>20</v>
      </c>
      <c r="AD6306" s="129" t="s">
        <v>18357</v>
      </c>
      <c r="AE6306" s="130"/>
      <c r="AF6306" s="130"/>
      <c r="AG6306" s="130"/>
      <c r="AH6306" s="130"/>
      <c r="AI6306" s="131"/>
      <c r="AJ6306" s="132"/>
      <c r="AK6306" s="127"/>
      <c r="AL6306" s="128"/>
      <c r="AM6306" s="21"/>
      <c r="AN6306" s="133"/>
      <c r="AO6306" s="134"/>
      <c r="AP6306" s="135"/>
      <c r="AQ6306" s="136"/>
      <c r="AR6306" s="118"/>
      <c r="AS6306" s="119"/>
      <c r="AT6306" s="118">
        <f t="shared" ref="AT6306" si="8545">AR6306*0.1</f>
        <v>0</v>
      </c>
      <c r="AU6306" s="119"/>
      <c r="AV6306" s="118"/>
      <c r="AW6306" s="119"/>
      <c r="AX6306" s="118">
        <f t="shared" ref="AX6306" si="8546">SUM(AR6306:AW6306)</f>
        <v>0</v>
      </c>
      <c r="AY6306" s="119"/>
      <c r="AZ6306" s="137"/>
    </row>
    <row r="6307" spans="1:52" ht="17.100000000000001" customHeight="1" thickBot="1">
      <c r="A6307" s="110"/>
      <c r="B6307" s="27" t="s">
        <v>2200</v>
      </c>
      <c r="C6307" s="27">
        <v>30020</v>
      </c>
      <c r="D6307" s="14" t="s">
        <v>2040</v>
      </c>
      <c r="E6307" s="112"/>
      <c r="F6307" s="139" t="s">
        <v>18348</v>
      </c>
      <c r="G6307" s="140"/>
      <c r="H6307" s="141"/>
      <c r="I6307" s="26">
        <v>40020</v>
      </c>
      <c r="J6307" s="117"/>
      <c r="K6307" s="120"/>
      <c r="L6307" s="121"/>
      <c r="M6307" s="120"/>
      <c r="N6307" s="121"/>
      <c r="O6307" s="120"/>
      <c r="P6307" s="121"/>
      <c r="Q6307" s="120"/>
      <c r="R6307" s="121"/>
      <c r="S6307" s="120"/>
      <c r="T6307" s="121"/>
      <c r="U6307" s="120"/>
      <c r="V6307" s="123"/>
      <c r="W6307" s="125"/>
      <c r="X6307" s="142" t="s">
        <v>18980</v>
      </c>
      <c r="Y6307" s="143"/>
      <c r="Z6307" s="143"/>
      <c r="AA6307" s="143"/>
      <c r="AB6307" s="144"/>
      <c r="AC6307" s="16" t="s">
        <v>21</v>
      </c>
      <c r="AD6307" s="17" t="s">
        <v>18720</v>
      </c>
      <c r="AE6307" s="145" t="s">
        <v>6911</v>
      </c>
      <c r="AF6307" s="146"/>
      <c r="AG6307" s="146"/>
      <c r="AH6307" s="146"/>
      <c r="AI6307" s="147"/>
      <c r="AJ6307" s="148"/>
      <c r="AK6307" s="143"/>
      <c r="AL6307" s="144"/>
      <c r="AM6307" s="22"/>
      <c r="AN6307" s="149"/>
      <c r="AO6307" s="144"/>
      <c r="AP6307" s="148"/>
      <c r="AQ6307" s="144"/>
      <c r="AR6307" s="120"/>
      <c r="AS6307" s="121"/>
      <c r="AT6307" s="120"/>
      <c r="AU6307" s="121"/>
      <c r="AV6307" s="120"/>
      <c r="AW6307" s="121"/>
      <c r="AX6307" s="120"/>
      <c r="AY6307" s="121"/>
      <c r="AZ6307" s="138"/>
    </row>
    <row r="6308" spans="1:52" ht="17.100000000000001" customHeight="1" thickTop="1">
      <c r="A6308" s="109" t="s">
        <v>18341</v>
      </c>
      <c r="B6308" s="28">
        <v>46072</v>
      </c>
      <c r="C6308" s="25">
        <v>2015</v>
      </c>
      <c r="D6308" s="13" t="s">
        <v>1902</v>
      </c>
      <c r="E6308" s="111"/>
      <c r="F6308" s="113" t="s">
        <v>9020</v>
      </c>
      <c r="G6308" s="114"/>
      <c r="H6308" s="115"/>
      <c r="I6308" s="24"/>
      <c r="J6308" s="116">
        <v>4</v>
      </c>
      <c r="K6308" s="118">
        <v>1168000</v>
      </c>
      <c r="L6308" s="119"/>
      <c r="M6308" s="118">
        <f t="shared" ref="M6308" si="8547">K6308*0.1</f>
        <v>116800</v>
      </c>
      <c r="N6308" s="119"/>
      <c r="O6308" s="118">
        <v>0</v>
      </c>
      <c r="P6308" s="119"/>
      <c r="Q6308" s="118">
        <v>7440</v>
      </c>
      <c r="R6308" s="119"/>
      <c r="S6308" s="118">
        <v>22000</v>
      </c>
      <c r="T6308" s="119"/>
      <c r="U6308" s="118">
        <f t="shared" ref="U6308" si="8548">SUM(K6308:T6309)</f>
        <v>1314240</v>
      </c>
      <c r="V6308" s="122"/>
      <c r="W6308" s="124"/>
      <c r="X6308" s="126" t="s">
        <v>18807</v>
      </c>
      <c r="Y6308" s="127"/>
      <c r="Z6308" s="127"/>
      <c r="AA6308" s="127"/>
      <c r="AB6308" s="128"/>
      <c r="AC6308" s="15" t="s">
        <v>20</v>
      </c>
      <c r="AD6308" s="129" t="s">
        <v>4608</v>
      </c>
      <c r="AE6308" s="130"/>
      <c r="AF6308" s="130"/>
      <c r="AG6308" s="130"/>
      <c r="AH6308" s="130"/>
      <c r="AI6308" s="131"/>
      <c r="AJ6308" s="132"/>
      <c r="AK6308" s="127"/>
      <c r="AL6308" s="128"/>
      <c r="AM6308" s="21"/>
      <c r="AN6308" s="133">
        <v>46078</v>
      </c>
      <c r="AO6308" s="134"/>
      <c r="AP6308" s="135">
        <v>1006</v>
      </c>
      <c r="AQ6308" s="136"/>
      <c r="AR6308" s="118">
        <v>1215000</v>
      </c>
      <c r="AS6308" s="119"/>
      <c r="AT6308" s="118">
        <f t="shared" ref="AT6308" si="8549">AR6308*0.1</f>
        <v>121500</v>
      </c>
      <c r="AU6308" s="119"/>
      <c r="AV6308" s="118">
        <v>7440</v>
      </c>
      <c r="AW6308" s="119"/>
      <c r="AX6308" s="118">
        <f t="shared" ref="AX6308" si="8550">SUM(AR6308:AW6308)</f>
        <v>1343940</v>
      </c>
      <c r="AY6308" s="119"/>
      <c r="AZ6308" s="137">
        <v>46083</v>
      </c>
    </row>
    <row r="6309" spans="1:52" ht="17.100000000000001" customHeight="1" thickBot="1">
      <c r="A6309" s="110"/>
      <c r="B6309" s="27" t="s">
        <v>2200</v>
      </c>
      <c r="C6309" s="27">
        <v>30087</v>
      </c>
      <c r="D6309" s="14" t="s">
        <v>1720</v>
      </c>
      <c r="E6309" s="112"/>
      <c r="F6309" s="139" t="s">
        <v>18349</v>
      </c>
      <c r="G6309" s="140"/>
      <c r="H6309" s="141"/>
      <c r="I6309" s="26">
        <v>50859</v>
      </c>
      <c r="J6309" s="117"/>
      <c r="K6309" s="120"/>
      <c r="L6309" s="121"/>
      <c r="M6309" s="120"/>
      <c r="N6309" s="121"/>
      <c r="O6309" s="120"/>
      <c r="P6309" s="121"/>
      <c r="Q6309" s="120"/>
      <c r="R6309" s="121"/>
      <c r="S6309" s="120"/>
      <c r="T6309" s="121"/>
      <c r="U6309" s="120"/>
      <c r="V6309" s="123"/>
      <c r="W6309" s="125"/>
      <c r="X6309" s="142" t="s">
        <v>16380</v>
      </c>
      <c r="Y6309" s="143"/>
      <c r="Z6309" s="143"/>
      <c r="AA6309" s="143"/>
      <c r="AB6309" s="144"/>
      <c r="AC6309" s="16" t="s">
        <v>21</v>
      </c>
      <c r="AD6309" s="17" t="s">
        <v>18720</v>
      </c>
      <c r="AE6309" s="145" t="s">
        <v>4608</v>
      </c>
      <c r="AF6309" s="146"/>
      <c r="AG6309" s="146"/>
      <c r="AH6309" s="146"/>
      <c r="AI6309" s="147"/>
      <c r="AJ6309" s="148"/>
      <c r="AK6309" s="143"/>
      <c r="AL6309" s="144"/>
      <c r="AM6309" s="22"/>
      <c r="AN6309" s="149" t="s">
        <v>2794</v>
      </c>
      <c r="AO6309" s="144"/>
      <c r="AP6309" s="148">
        <v>5088</v>
      </c>
      <c r="AQ6309" s="144"/>
      <c r="AR6309" s="120"/>
      <c r="AS6309" s="121"/>
      <c r="AT6309" s="120"/>
      <c r="AU6309" s="121"/>
      <c r="AV6309" s="120"/>
      <c r="AW6309" s="121"/>
      <c r="AX6309" s="120"/>
      <c r="AY6309" s="121"/>
      <c r="AZ6309" s="138"/>
    </row>
    <row r="6310" spans="1:52" ht="17.100000000000001" customHeight="1" thickTop="1">
      <c r="A6310" s="109" t="s">
        <v>18342</v>
      </c>
      <c r="B6310" s="28">
        <v>46072</v>
      </c>
      <c r="C6310" s="25">
        <v>2015</v>
      </c>
      <c r="D6310" s="13" t="s">
        <v>2226</v>
      </c>
      <c r="E6310" s="111"/>
      <c r="F6310" s="113" t="s">
        <v>18358</v>
      </c>
      <c r="G6310" s="114"/>
      <c r="H6310" s="115"/>
      <c r="I6310" s="24" t="s">
        <v>2919</v>
      </c>
      <c r="J6310" s="116">
        <v>4.5</v>
      </c>
      <c r="K6310" s="118">
        <v>835000</v>
      </c>
      <c r="L6310" s="119"/>
      <c r="M6310" s="118">
        <f t="shared" ref="M6310" si="8551">K6310*0.1</f>
        <v>83500</v>
      </c>
      <c r="N6310" s="119"/>
      <c r="O6310" s="118">
        <v>0</v>
      </c>
      <c r="P6310" s="119"/>
      <c r="Q6310" s="118">
        <v>8510</v>
      </c>
      <c r="R6310" s="119"/>
      <c r="S6310" s="118">
        <v>22000</v>
      </c>
      <c r="T6310" s="119"/>
      <c r="U6310" s="118">
        <f t="shared" ref="U6310" si="8552">SUM(K6310:T6311)</f>
        <v>949010</v>
      </c>
      <c r="V6310" s="122"/>
      <c r="W6310" s="124"/>
      <c r="X6310" s="126" t="s">
        <v>18359</v>
      </c>
      <c r="Y6310" s="127"/>
      <c r="Z6310" s="127"/>
      <c r="AA6310" s="127"/>
      <c r="AB6310" s="128"/>
      <c r="AC6310" s="15" t="s">
        <v>20</v>
      </c>
      <c r="AD6310" s="129" t="s">
        <v>1575</v>
      </c>
      <c r="AE6310" s="130"/>
      <c r="AF6310" s="130"/>
      <c r="AG6310" s="130"/>
      <c r="AH6310" s="130"/>
      <c r="AI6310" s="131"/>
      <c r="AJ6310" s="132"/>
      <c r="AK6310" s="127"/>
      <c r="AL6310" s="128"/>
      <c r="AM6310" s="21"/>
      <c r="AN6310" s="133">
        <v>46077</v>
      </c>
      <c r="AO6310" s="134"/>
      <c r="AP6310" s="135">
        <v>1930</v>
      </c>
      <c r="AQ6310" s="136"/>
      <c r="AR6310" s="118">
        <v>879000</v>
      </c>
      <c r="AS6310" s="119"/>
      <c r="AT6310" s="118">
        <f t="shared" ref="AT6310" si="8553">AR6310*0.1</f>
        <v>87900</v>
      </c>
      <c r="AU6310" s="119"/>
      <c r="AV6310" s="118">
        <v>8510</v>
      </c>
      <c r="AW6310" s="119"/>
      <c r="AX6310" s="118">
        <f t="shared" ref="AX6310" si="8554">SUM(AR6310:AW6310)</f>
        <v>975410</v>
      </c>
      <c r="AY6310" s="119"/>
      <c r="AZ6310" s="137"/>
    </row>
    <row r="6311" spans="1:52" ht="17.100000000000001" customHeight="1" thickBot="1">
      <c r="A6311" s="110"/>
      <c r="B6311" s="27" t="s">
        <v>2200</v>
      </c>
      <c r="C6311" s="27">
        <v>50093</v>
      </c>
      <c r="D6311" s="14" t="s">
        <v>1556</v>
      </c>
      <c r="E6311" s="112"/>
      <c r="F6311" s="139" t="s">
        <v>18350</v>
      </c>
      <c r="G6311" s="140"/>
      <c r="H6311" s="141"/>
      <c r="I6311" s="26">
        <v>22865</v>
      </c>
      <c r="J6311" s="117"/>
      <c r="K6311" s="120"/>
      <c r="L6311" s="121"/>
      <c r="M6311" s="120"/>
      <c r="N6311" s="121"/>
      <c r="O6311" s="120"/>
      <c r="P6311" s="121"/>
      <c r="Q6311" s="120"/>
      <c r="R6311" s="121"/>
      <c r="S6311" s="120"/>
      <c r="T6311" s="121"/>
      <c r="U6311" s="120"/>
      <c r="V6311" s="123"/>
      <c r="W6311" s="125"/>
      <c r="X6311" s="142" t="s">
        <v>5254</v>
      </c>
      <c r="Y6311" s="143"/>
      <c r="Z6311" s="143"/>
      <c r="AA6311" s="143"/>
      <c r="AB6311" s="144"/>
      <c r="AC6311" s="16" t="s">
        <v>21</v>
      </c>
      <c r="AD6311" s="17" t="s">
        <v>18720</v>
      </c>
      <c r="AE6311" s="145" t="s">
        <v>1945</v>
      </c>
      <c r="AF6311" s="146"/>
      <c r="AG6311" s="146"/>
      <c r="AH6311" s="146"/>
      <c r="AI6311" s="147"/>
      <c r="AJ6311" s="148"/>
      <c r="AK6311" s="143"/>
      <c r="AL6311" s="144"/>
      <c r="AM6311" s="22"/>
      <c r="AN6311" s="149" t="s">
        <v>2131</v>
      </c>
      <c r="AO6311" s="144"/>
      <c r="AP6311" s="148">
        <v>3361</v>
      </c>
      <c r="AQ6311" s="144"/>
      <c r="AR6311" s="120"/>
      <c r="AS6311" s="121"/>
      <c r="AT6311" s="120"/>
      <c r="AU6311" s="121"/>
      <c r="AV6311" s="120"/>
      <c r="AW6311" s="121"/>
      <c r="AX6311" s="120"/>
      <c r="AY6311" s="121"/>
      <c r="AZ6311" s="138"/>
    </row>
    <row r="6312" spans="1:52" ht="17.100000000000001" customHeight="1" thickTop="1">
      <c r="A6312" s="109" t="s">
        <v>18343</v>
      </c>
      <c r="B6312" s="28">
        <v>46072</v>
      </c>
      <c r="C6312" s="25">
        <v>2015</v>
      </c>
      <c r="D6312" s="13" t="s">
        <v>3386</v>
      </c>
      <c r="E6312" s="111"/>
      <c r="F6312" s="113" t="s">
        <v>18360</v>
      </c>
      <c r="G6312" s="114"/>
      <c r="H6312" s="115"/>
      <c r="I6312" s="24" t="s">
        <v>4096</v>
      </c>
      <c r="J6312" s="116">
        <v>4</v>
      </c>
      <c r="K6312" s="118">
        <v>1049000</v>
      </c>
      <c r="L6312" s="119"/>
      <c r="M6312" s="118">
        <f t="shared" ref="M6312" si="8555">K6312*0.1</f>
        <v>104900</v>
      </c>
      <c r="N6312" s="119"/>
      <c r="O6312" s="118">
        <v>0</v>
      </c>
      <c r="P6312" s="119"/>
      <c r="Q6312" s="118">
        <v>10330</v>
      </c>
      <c r="R6312" s="119"/>
      <c r="S6312" s="118">
        <v>22000</v>
      </c>
      <c r="T6312" s="119"/>
      <c r="U6312" s="118">
        <f t="shared" ref="U6312" si="8556">SUM(K6312:T6313)</f>
        <v>1186230</v>
      </c>
      <c r="V6312" s="122"/>
      <c r="W6312" s="124"/>
      <c r="X6312" s="126" t="s">
        <v>18361</v>
      </c>
      <c r="Y6312" s="127"/>
      <c r="Z6312" s="127"/>
      <c r="AA6312" s="127"/>
      <c r="AB6312" s="128"/>
      <c r="AC6312" s="15" t="s">
        <v>20</v>
      </c>
      <c r="AD6312" s="129" t="s">
        <v>1633</v>
      </c>
      <c r="AE6312" s="130"/>
      <c r="AF6312" s="130"/>
      <c r="AG6312" s="130"/>
      <c r="AH6312" s="130"/>
      <c r="AI6312" s="131"/>
      <c r="AJ6312" s="132"/>
      <c r="AK6312" s="127"/>
      <c r="AL6312" s="128"/>
      <c r="AM6312" s="21"/>
      <c r="AN6312" s="133">
        <v>46078</v>
      </c>
      <c r="AO6312" s="134"/>
      <c r="AP6312" s="135">
        <v>1006</v>
      </c>
      <c r="AQ6312" s="136"/>
      <c r="AR6312" s="118">
        <v>1095000</v>
      </c>
      <c r="AS6312" s="119"/>
      <c r="AT6312" s="118">
        <f t="shared" ref="AT6312" si="8557">AR6312*0.1</f>
        <v>109500</v>
      </c>
      <c r="AU6312" s="119"/>
      <c r="AV6312" s="118">
        <v>10330</v>
      </c>
      <c r="AW6312" s="119"/>
      <c r="AX6312" s="118">
        <f t="shared" ref="AX6312" si="8558">SUM(AR6312:AW6312)</f>
        <v>1214830</v>
      </c>
      <c r="AY6312" s="119"/>
      <c r="AZ6312" s="137">
        <v>46083</v>
      </c>
    </row>
    <row r="6313" spans="1:52" ht="17.100000000000001" customHeight="1" thickBot="1">
      <c r="A6313" s="110"/>
      <c r="B6313" s="27" t="s">
        <v>2200</v>
      </c>
      <c r="C6313" s="27">
        <v>50143</v>
      </c>
      <c r="D6313" s="14" t="s">
        <v>275</v>
      </c>
      <c r="E6313" s="112"/>
      <c r="F6313" s="139" t="s">
        <v>18351</v>
      </c>
      <c r="G6313" s="140"/>
      <c r="H6313" s="141"/>
      <c r="I6313" s="26">
        <v>23159</v>
      </c>
      <c r="J6313" s="117"/>
      <c r="K6313" s="120"/>
      <c r="L6313" s="121"/>
      <c r="M6313" s="120"/>
      <c r="N6313" s="121"/>
      <c r="O6313" s="120"/>
      <c r="P6313" s="121"/>
      <c r="Q6313" s="120"/>
      <c r="R6313" s="121"/>
      <c r="S6313" s="120"/>
      <c r="T6313" s="121"/>
      <c r="U6313" s="120"/>
      <c r="V6313" s="123"/>
      <c r="W6313" s="125"/>
      <c r="X6313" s="142" t="s">
        <v>7732</v>
      </c>
      <c r="Y6313" s="143"/>
      <c r="Z6313" s="143"/>
      <c r="AA6313" s="143"/>
      <c r="AB6313" s="144"/>
      <c r="AC6313" s="16" t="s">
        <v>21</v>
      </c>
      <c r="AD6313" s="17" t="s">
        <v>18720</v>
      </c>
      <c r="AE6313" s="145" t="s">
        <v>8715</v>
      </c>
      <c r="AF6313" s="146"/>
      <c r="AG6313" s="146"/>
      <c r="AH6313" s="146"/>
      <c r="AI6313" s="147"/>
      <c r="AJ6313" s="148" t="s">
        <v>18626</v>
      </c>
      <c r="AK6313" s="143"/>
      <c r="AL6313" s="144"/>
      <c r="AM6313" s="22"/>
      <c r="AN6313" s="149" t="s">
        <v>2794</v>
      </c>
      <c r="AO6313" s="144"/>
      <c r="AP6313" s="148">
        <v>5080</v>
      </c>
      <c r="AQ6313" s="144"/>
      <c r="AR6313" s="120"/>
      <c r="AS6313" s="121"/>
      <c r="AT6313" s="120"/>
      <c r="AU6313" s="121"/>
      <c r="AV6313" s="120"/>
      <c r="AW6313" s="121"/>
      <c r="AX6313" s="120"/>
      <c r="AY6313" s="121"/>
      <c r="AZ6313" s="138"/>
    </row>
    <row r="6314" spans="1:52" ht="17.100000000000001" customHeight="1" thickTop="1">
      <c r="A6314" s="109" t="s">
        <v>18344</v>
      </c>
      <c r="B6314" s="28">
        <v>46072</v>
      </c>
      <c r="C6314" s="25">
        <v>2015</v>
      </c>
      <c r="D6314" s="13" t="s">
        <v>1998</v>
      </c>
      <c r="E6314" s="111"/>
      <c r="F6314" s="113" t="s">
        <v>18362</v>
      </c>
      <c r="G6314" s="114"/>
      <c r="H6314" s="115"/>
      <c r="I6314" s="24"/>
      <c r="J6314" s="116">
        <v>4</v>
      </c>
      <c r="K6314" s="118">
        <v>963000</v>
      </c>
      <c r="L6314" s="119"/>
      <c r="M6314" s="118">
        <f t="shared" ref="M6314" si="8559">K6314*0.1</f>
        <v>96300</v>
      </c>
      <c r="N6314" s="119"/>
      <c r="O6314" s="118">
        <v>0</v>
      </c>
      <c r="P6314" s="119"/>
      <c r="Q6314" s="118">
        <v>5990</v>
      </c>
      <c r="R6314" s="119"/>
      <c r="S6314" s="118">
        <v>22000</v>
      </c>
      <c r="T6314" s="119"/>
      <c r="U6314" s="118">
        <f t="shared" ref="U6314" si="8560">SUM(K6314:T6315)</f>
        <v>1087290</v>
      </c>
      <c r="V6314" s="122"/>
      <c r="W6314" s="124"/>
      <c r="X6314" s="126" t="s">
        <v>19116</v>
      </c>
      <c r="Y6314" s="127"/>
      <c r="Z6314" s="127"/>
      <c r="AA6314" s="127"/>
      <c r="AB6314" s="128"/>
      <c r="AC6314" s="15" t="s">
        <v>20</v>
      </c>
      <c r="AD6314" s="129" t="s">
        <v>4622</v>
      </c>
      <c r="AE6314" s="130"/>
      <c r="AF6314" s="130"/>
      <c r="AG6314" s="130"/>
      <c r="AH6314" s="130"/>
      <c r="AI6314" s="131"/>
      <c r="AJ6314" s="132"/>
      <c r="AK6314" s="127"/>
      <c r="AL6314" s="128"/>
      <c r="AM6314" s="21"/>
      <c r="AN6314" s="133">
        <v>46078</v>
      </c>
      <c r="AO6314" s="134"/>
      <c r="AP6314" s="135">
        <v>1006</v>
      </c>
      <c r="AQ6314" s="136"/>
      <c r="AR6314" s="118">
        <v>1035000</v>
      </c>
      <c r="AS6314" s="119"/>
      <c r="AT6314" s="118">
        <f t="shared" ref="AT6314" si="8561">AR6314*0.1</f>
        <v>103500</v>
      </c>
      <c r="AU6314" s="119"/>
      <c r="AV6314" s="118">
        <v>5990</v>
      </c>
      <c r="AW6314" s="119"/>
      <c r="AX6314" s="118">
        <f t="shared" ref="AX6314" si="8562">SUM(AR6314:AW6314)</f>
        <v>1144490</v>
      </c>
      <c r="AY6314" s="119"/>
      <c r="AZ6314" s="137">
        <v>46084</v>
      </c>
    </row>
    <row r="6315" spans="1:52" ht="17.100000000000001" customHeight="1" thickBot="1">
      <c r="A6315" s="110"/>
      <c r="B6315" s="27" t="s">
        <v>2200</v>
      </c>
      <c r="C6315" s="27">
        <v>50166</v>
      </c>
      <c r="D6315" s="14" t="s">
        <v>18365</v>
      </c>
      <c r="E6315" s="112"/>
      <c r="F6315" s="139" t="s">
        <v>18352</v>
      </c>
      <c r="G6315" s="140"/>
      <c r="H6315" s="141"/>
      <c r="I6315" s="26">
        <v>30250</v>
      </c>
      <c r="J6315" s="117"/>
      <c r="K6315" s="120"/>
      <c r="L6315" s="121"/>
      <c r="M6315" s="120"/>
      <c r="N6315" s="121"/>
      <c r="O6315" s="120"/>
      <c r="P6315" s="121"/>
      <c r="Q6315" s="120"/>
      <c r="R6315" s="121"/>
      <c r="S6315" s="120"/>
      <c r="T6315" s="121"/>
      <c r="U6315" s="120"/>
      <c r="V6315" s="123"/>
      <c r="W6315" s="125"/>
      <c r="X6315" s="142" t="s">
        <v>16949</v>
      </c>
      <c r="Y6315" s="143"/>
      <c r="Z6315" s="143"/>
      <c r="AA6315" s="143"/>
      <c r="AB6315" s="144"/>
      <c r="AC6315" s="16" t="s">
        <v>21</v>
      </c>
      <c r="AD6315" s="17" t="s">
        <v>1902</v>
      </c>
      <c r="AE6315" s="145" t="s">
        <v>5075</v>
      </c>
      <c r="AF6315" s="146"/>
      <c r="AG6315" s="146"/>
      <c r="AH6315" s="146"/>
      <c r="AI6315" s="147"/>
      <c r="AJ6315" s="148"/>
      <c r="AK6315" s="143"/>
      <c r="AL6315" s="144"/>
      <c r="AM6315" s="22"/>
      <c r="AN6315" s="149" t="s">
        <v>2794</v>
      </c>
      <c r="AO6315" s="144"/>
      <c r="AP6315" s="148">
        <v>5076</v>
      </c>
      <c r="AQ6315" s="144"/>
      <c r="AR6315" s="120"/>
      <c r="AS6315" s="121"/>
      <c r="AT6315" s="120"/>
      <c r="AU6315" s="121"/>
      <c r="AV6315" s="120"/>
      <c r="AW6315" s="121"/>
      <c r="AX6315" s="120"/>
      <c r="AY6315" s="121"/>
      <c r="AZ6315" s="138"/>
    </row>
    <row r="6316" spans="1:52" ht="17.100000000000001" customHeight="1" thickTop="1">
      <c r="A6316" s="109" t="s">
        <v>18345</v>
      </c>
      <c r="B6316" s="28">
        <v>46072</v>
      </c>
      <c r="C6316" s="25">
        <v>2015</v>
      </c>
      <c r="D6316" s="13" t="s">
        <v>1998</v>
      </c>
      <c r="E6316" s="111"/>
      <c r="F6316" s="113" t="s">
        <v>18362</v>
      </c>
      <c r="G6316" s="114"/>
      <c r="H6316" s="115"/>
      <c r="I6316" s="24"/>
      <c r="J6316" s="116">
        <v>4</v>
      </c>
      <c r="K6316" s="118">
        <v>900000</v>
      </c>
      <c r="L6316" s="119"/>
      <c r="M6316" s="118">
        <f t="shared" ref="M6316" si="8563">K6316*0.1</f>
        <v>90000</v>
      </c>
      <c r="N6316" s="119"/>
      <c r="O6316" s="118">
        <v>0</v>
      </c>
      <c r="P6316" s="119"/>
      <c r="Q6316" s="118">
        <v>5990</v>
      </c>
      <c r="R6316" s="119"/>
      <c r="S6316" s="118">
        <v>22000</v>
      </c>
      <c r="T6316" s="119"/>
      <c r="U6316" s="118">
        <f t="shared" ref="U6316" si="8564">SUM(K6316:T6317)</f>
        <v>1017990</v>
      </c>
      <c r="V6316" s="122"/>
      <c r="W6316" s="124"/>
      <c r="X6316" s="126" t="s">
        <v>19130</v>
      </c>
      <c r="Y6316" s="127"/>
      <c r="Z6316" s="127"/>
      <c r="AA6316" s="127"/>
      <c r="AB6316" s="128"/>
      <c r="AC6316" s="15" t="s">
        <v>20</v>
      </c>
      <c r="AD6316" s="129" t="s">
        <v>4622</v>
      </c>
      <c r="AE6316" s="130"/>
      <c r="AF6316" s="130"/>
      <c r="AG6316" s="130"/>
      <c r="AH6316" s="130"/>
      <c r="AI6316" s="131"/>
      <c r="AJ6316" s="132"/>
      <c r="AK6316" s="127"/>
      <c r="AL6316" s="128"/>
      <c r="AM6316" s="21"/>
      <c r="AN6316" s="133">
        <v>46106</v>
      </c>
      <c r="AO6316" s="134"/>
      <c r="AP6316" s="135">
        <v>1010</v>
      </c>
      <c r="AQ6316" s="136"/>
      <c r="AR6316" s="118">
        <v>920000</v>
      </c>
      <c r="AS6316" s="119"/>
      <c r="AT6316" s="118">
        <f t="shared" ref="AT6316" si="8565">AR6316*0.1</f>
        <v>92000</v>
      </c>
      <c r="AU6316" s="119"/>
      <c r="AV6316" s="118">
        <v>5990</v>
      </c>
      <c r="AW6316" s="119"/>
      <c r="AX6316" s="118">
        <f t="shared" ref="AX6316" si="8566">SUM(AR6316:AW6316)</f>
        <v>1017990</v>
      </c>
      <c r="AY6316" s="119"/>
      <c r="AZ6316" s="137">
        <v>46111</v>
      </c>
    </row>
    <row r="6317" spans="1:52" ht="17.100000000000001" customHeight="1" thickBot="1">
      <c r="A6317" s="110"/>
      <c r="B6317" s="27" t="s">
        <v>2200</v>
      </c>
      <c r="C6317" s="27">
        <v>50169</v>
      </c>
      <c r="D6317" s="14" t="s">
        <v>133</v>
      </c>
      <c r="E6317" s="112"/>
      <c r="F6317" s="139" t="s">
        <v>18353</v>
      </c>
      <c r="G6317" s="140"/>
      <c r="H6317" s="141"/>
      <c r="I6317" s="26">
        <v>51467</v>
      </c>
      <c r="J6317" s="117"/>
      <c r="K6317" s="120"/>
      <c r="L6317" s="121"/>
      <c r="M6317" s="120"/>
      <c r="N6317" s="121"/>
      <c r="O6317" s="120"/>
      <c r="P6317" s="121"/>
      <c r="Q6317" s="120"/>
      <c r="R6317" s="121"/>
      <c r="S6317" s="120"/>
      <c r="T6317" s="121"/>
      <c r="U6317" s="120"/>
      <c r="V6317" s="123"/>
      <c r="W6317" s="125"/>
      <c r="X6317" s="142" t="s">
        <v>16949</v>
      </c>
      <c r="Y6317" s="143"/>
      <c r="Z6317" s="143"/>
      <c r="AA6317" s="143"/>
      <c r="AB6317" s="144"/>
      <c r="AC6317" s="16" t="s">
        <v>21</v>
      </c>
      <c r="AD6317" s="17" t="s">
        <v>1902</v>
      </c>
      <c r="AE6317" s="145" t="s">
        <v>4106</v>
      </c>
      <c r="AF6317" s="146"/>
      <c r="AG6317" s="146"/>
      <c r="AH6317" s="146"/>
      <c r="AI6317" s="147"/>
      <c r="AJ6317" s="148"/>
      <c r="AK6317" s="143"/>
      <c r="AL6317" s="144"/>
      <c r="AM6317" s="22"/>
      <c r="AN6317" s="149" t="s">
        <v>9053</v>
      </c>
      <c r="AO6317" s="144"/>
      <c r="AP6317" s="148">
        <v>2008</v>
      </c>
      <c r="AQ6317" s="144"/>
      <c r="AR6317" s="120"/>
      <c r="AS6317" s="121"/>
      <c r="AT6317" s="120"/>
      <c r="AU6317" s="121"/>
      <c r="AV6317" s="120"/>
      <c r="AW6317" s="121"/>
      <c r="AX6317" s="120"/>
      <c r="AY6317" s="121"/>
      <c r="AZ6317" s="138"/>
    </row>
    <row r="6318" spans="1:52" ht="17.100000000000001" customHeight="1" thickTop="1">
      <c r="A6318" s="109" t="s">
        <v>18346</v>
      </c>
      <c r="B6318" s="28">
        <v>46072</v>
      </c>
      <c r="C6318" s="25">
        <v>2015</v>
      </c>
      <c r="D6318" s="13" t="s">
        <v>1998</v>
      </c>
      <c r="E6318" s="111"/>
      <c r="F6318" s="113" t="s">
        <v>18363</v>
      </c>
      <c r="G6318" s="114"/>
      <c r="H6318" s="115"/>
      <c r="I6318" s="24"/>
      <c r="J6318" s="116">
        <v>4</v>
      </c>
      <c r="K6318" s="118">
        <v>937000</v>
      </c>
      <c r="L6318" s="119"/>
      <c r="M6318" s="118">
        <f t="shared" ref="M6318" si="8567">K6318*0.1</f>
        <v>93700</v>
      </c>
      <c r="N6318" s="119"/>
      <c r="O6318" s="118">
        <v>0</v>
      </c>
      <c r="P6318" s="119"/>
      <c r="Q6318" s="118">
        <v>5990</v>
      </c>
      <c r="R6318" s="119"/>
      <c r="S6318" s="118">
        <v>22000</v>
      </c>
      <c r="T6318" s="119"/>
      <c r="U6318" s="118">
        <f t="shared" ref="U6318" si="8568">SUM(K6318:T6319)</f>
        <v>1058690</v>
      </c>
      <c r="V6318" s="122"/>
      <c r="W6318" s="124"/>
      <c r="X6318" s="126" t="s">
        <v>19131</v>
      </c>
      <c r="Y6318" s="127"/>
      <c r="Z6318" s="127"/>
      <c r="AA6318" s="127"/>
      <c r="AB6318" s="128"/>
      <c r="AC6318" s="15" t="s">
        <v>20</v>
      </c>
      <c r="AD6318" s="129" t="s">
        <v>4622</v>
      </c>
      <c r="AE6318" s="130"/>
      <c r="AF6318" s="130"/>
      <c r="AG6318" s="130"/>
      <c r="AH6318" s="130"/>
      <c r="AI6318" s="131"/>
      <c r="AJ6318" s="132"/>
      <c r="AK6318" s="127"/>
      <c r="AL6318" s="128"/>
      <c r="AM6318" s="21"/>
      <c r="AN6318" s="133">
        <v>46113</v>
      </c>
      <c r="AO6318" s="134"/>
      <c r="AP6318" s="135">
        <v>1011</v>
      </c>
      <c r="AQ6318" s="136"/>
      <c r="AR6318" s="118">
        <v>975000</v>
      </c>
      <c r="AS6318" s="119"/>
      <c r="AT6318" s="118">
        <f t="shared" ref="AT6318" si="8569">AR6318*0.1</f>
        <v>97500</v>
      </c>
      <c r="AU6318" s="119"/>
      <c r="AV6318" s="118">
        <v>5990</v>
      </c>
      <c r="AW6318" s="119"/>
      <c r="AX6318" s="118">
        <f t="shared" ref="AX6318" si="8570">SUM(AR6318:AW6318)</f>
        <v>1078490</v>
      </c>
      <c r="AY6318" s="119"/>
      <c r="AZ6318" s="137">
        <v>46118</v>
      </c>
    </row>
    <row r="6319" spans="1:52" ht="17.100000000000001" customHeight="1" thickBot="1">
      <c r="A6319" s="110"/>
      <c r="B6319" s="27" t="s">
        <v>2200</v>
      </c>
      <c r="C6319" s="27">
        <v>50173</v>
      </c>
      <c r="D6319" s="14" t="s">
        <v>275</v>
      </c>
      <c r="E6319" s="112"/>
      <c r="F6319" s="139" t="s">
        <v>18354</v>
      </c>
      <c r="G6319" s="140"/>
      <c r="H6319" s="141"/>
      <c r="I6319" s="26">
        <v>46005</v>
      </c>
      <c r="J6319" s="117"/>
      <c r="K6319" s="120"/>
      <c r="L6319" s="121"/>
      <c r="M6319" s="120"/>
      <c r="N6319" s="121"/>
      <c r="O6319" s="120"/>
      <c r="P6319" s="121"/>
      <c r="Q6319" s="120"/>
      <c r="R6319" s="121"/>
      <c r="S6319" s="120"/>
      <c r="T6319" s="121"/>
      <c r="U6319" s="120"/>
      <c r="V6319" s="123"/>
      <c r="W6319" s="125"/>
      <c r="X6319" s="142" t="s">
        <v>17695</v>
      </c>
      <c r="Y6319" s="143"/>
      <c r="Z6319" s="143"/>
      <c r="AA6319" s="143"/>
      <c r="AB6319" s="144"/>
      <c r="AC6319" s="16" t="s">
        <v>21</v>
      </c>
      <c r="AD6319" s="17" t="s">
        <v>1902</v>
      </c>
      <c r="AE6319" s="145" t="s">
        <v>1742</v>
      </c>
      <c r="AF6319" s="146"/>
      <c r="AG6319" s="146"/>
      <c r="AH6319" s="146"/>
      <c r="AI6319" s="147"/>
      <c r="AJ6319" s="148"/>
      <c r="AK6319" s="143"/>
      <c r="AL6319" s="144"/>
      <c r="AM6319" s="22"/>
      <c r="AN6319" s="149" t="s">
        <v>2794</v>
      </c>
      <c r="AO6319" s="144"/>
      <c r="AP6319" s="148">
        <v>2055</v>
      </c>
      <c r="AQ6319" s="144"/>
      <c r="AR6319" s="120"/>
      <c r="AS6319" s="121"/>
      <c r="AT6319" s="120"/>
      <c r="AU6319" s="121"/>
      <c r="AV6319" s="120"/>
      <c r="AW6319" s="121"/>
      <c r="AX6319" s="120"/>
      <c r="AY6319" s="121"/>
      <c r="AZ6319" s="138"/>
    </row>
    <row r="6320" spans="1:52" ht="17.100000000000001" customHeight="1" thickTop="1">
      <c r="A6320" s="109" t="s">
        <v>18347</v>
      </c>
      <c r="B6320" s="28">
        <v>46072</v>
      </c>
      <c r="C6320" s="25">
        <v>2015</v>
      </c>
      <c r="D6320" s="13" t="s">
        <v>2329</v>
      </c>
      <c r="E6320" s="111"/>
      <c r="F6320" s="113" t="s">
        <v>2035</v>
      </c>
      <c r="G6320" s="114"/>
      <c r="H6320" s="115"/>
      <c r="I6320" s="24" t="s">
        <v>1547</v>
      </c>
      <c r="J6320" s="116">
        <v>4</v>
      </c>
      <c r="K6320" s="118">
        <v>978000</v>
      </c>
      <c r="L6320" s="119"/>
      <c r="M6320" s="118">
        <f t="shared" ref="M6320" si="8571">K6320*0.1</f>
        <v>97800</v>
      </c>
      <c r="N6320" s="119"/>
      <c r="O6320" s="118">
        <v>0</v>
      </c>
      <c r="P6320" s="119"/>
      <c r="Q6320" s="118">
        <v>8400</v>
      </c>
      <c r="R6320" s="119"/>
      <c r="S6320" s="118">
        <v>22000</v>
      </c>
      <c r="T6320" s="119"/>
      <c r="U6320" s="118">
        <f t="shared" ref="U6320" si="8572">SUM(K6320:T6321)</f>
        <v>1106200</v>
      </c>
      <c r="V6320" s="122"/>
      <c r="W6320" s="124"/>
      <c r="X6320" s="126" t="s">
        <v>18364</v>
      </c>
      <c r="Y6320" s="127"/>
      <c r="Z6320" s="127"/>
      <c r="AA6320" s="127"/>
      <c r="AB6320" s="128"/>
      <c r="AC6320" s="15" t="s">
        <v>20</v>
      </c>
      <c r="AD6320" s="129"/>
      <c r="AE6320" s="130"/>
      <c r="AF6320" s="130"/>
      <c r="AG6320" s="130"/>
      <c r="AH6320" s="130"/>
      <c r="AI6320" s="131"/>
      <c r="AJ6320" s="132"/>
      <c r="AK6320" s="127"/>
      <c r="AL6320" s="128"/>
      <c r="AM6320" s="21" t="s">
        <v>20980</v>
      </c>
      <c r="AN6320" s="133">
        <v>46109</v>
      </c>
      <c r="AO6320" s="134"/>
      <c r="AP6320" s="135"/>
      <c r="AQ6320" s="136"/>
      <c r="AR6320" s="118">
        <v>1150000</v>
      </c>
      <c r="AS6320" s="119"/>
      <c r="AT6320" s="118">
        <f t="shared" ref="AT6320" si="8573">AR6320*0.1</f>
        <v>115000</v>
      </c>
      <c r="AU6320" s="119"/>
      <c r="AV6320" s="118">
        <v>8400</v>
      </c>
      <c r="AW6320" s="119"/>
      <c r="AX6320" s="118">
        <f t="shared" ref="AX6320" si="8574">SUM(AR6320:AW6320)</f>
        <v>1273400</v>
      </c>
      <c r="AY6320" s="119"/>
      <c r="AZ6320" s="137"/>
    </row>
    <row r="6321" spans="1:52" ht="17.100000000000001" customHeight="1" thickBot="1">
      <c r="A6321" s="110"/>
      <c r="B6321" s="27" t="s">
        <v>2200</v>
      </c>
      <c r="C6321" s="27">
        <v>50187</v>
      </c>
      <c r="D6321" s="14" t="s">
        <v>2601</v>
      </c>
      <c r="E6321" s="112"/>
      <c r="F6321" s="139" t="s">
        <v>18355</v>
      </c>
      <c r="G6321" s="140"/>
      <c r="H6321" s="141"/>
      <c r="I6321" s="26">
        <v>64961</v>
      </c>
      <c r="J6321" s="117"/>
      <c r="K6321" s="120"/>
      <c r="L6321" s="121"/>
      <c r="M6321" s="120"/>
      <c r="N6321" s="121"/>
      <c r="O6321" s="120"/>
      <c r="P6321" s="121"/>
      <c r="Q6321" s="120"/>
      <c r="R6321" s="121"/>
      <c r="S6321" s="120"/>
      <c r="T6321" s="121"/>
      <c r="U6321" s="120"/>
      <c r="V6321" s="123"/>
      <c r="W6321" s="125"/>
      <c r="X6321" s="142" t="s">
        <v>18972</v>
      </c>
      <c r="Y6321" s="143"/>
      <c r="Z6321" s="143"/>
      <c r="AA6321" s="143"/>
      <c r="AB6321" s="144"/>
      <c r="AC6321" s="16" t="s">
        <v>21</v>
      </c>
      <c r="AD6321" s="17" t="s">
        <v>18720</v>
      </c>
      <c r="AE6321" s="145"/>
      <c r="AF6321" s="146"/>
      <c r="AG6321" s="146"/>
      <c r="AH6321" s="146"/>
      <c r="AI6321" s="147"/>
      <c r="AJ6321" s="148"/>
      <c r="AK6321" s="143"/>
      <c r="AL6321" s="144"/>
      <c r="AM6321" s="22"/>
      <c r="AN6321" s="149" t="s">
        <v>6789</v>
      </c>
      <c r="AO6321" s="144"/>
      <c r="AP6321" s="148">
        <v>49623</v>
      </c>
      <c r="AQ6321" s="144"/>
      <c r="AR6321" s="120"/>
      <c r="AS6321" s="121"/>
      <c r="AT6321" s="120"/>
      <c r="AU6321" s="121"/>
      <c r="AV6321" s="120"/>
      <c r="AW6321" s="121"/>
      <c r="AX6321" s="120"/>
      <c r="AY6321" s="121"/>
      <c r="AZ6321" s="138"/>
    </row>
    <row r="6322" spans="1:52" ht="17.100000000000001" customHeight="1" thickTop="1">
      <c r="A6322" s="109" t="s">
        <v>18378</v>
      </c>
      <c r="B6322" s="28">
        <v>46073</v>
      </c>
      <c r="C6322" s="25">
        <v>1194</v>
      </c>
      <c r="D6322" s="13" t="s">
        <v>818</v>
      </c>
      <c r="E6322" s="111"/>
      <c r="F6322" s="113" t="s">
        <v>18379</v>
      </c>
      <c r="G6322" s="114"/>
      <c r="H6322" s="115"/>
      <c r="I6322" s="24"/>
      <c r="J6322" s="116">
        <v>4.5</v>
      </c>
      <c r="K6322" s="118">
        <v>1925000</v>
      </c>
      <c r="L6322" s="119"/>
      <c r="M6322" s="118">
        <f t="shared" ref="M6322" si="8575">K6322*0.1</f>
        <v>192500</v>
      </c>
      <c r="N6322" s="119"/>
      <c r="O6322" s="118">
        <v>0</v>
      </c>
      <c r="P6322" s="119"/>
      <c r="Q6322" s="118">
        <v>19840</v>
      </c>
      <c r="R6322" s="119"/>
      <c r="S6322" s="118">
        <v>16500</v>
      </c>
      <c r="T6322" s="119"/>
      <c r="U6322" s="118">
        <f t="shared" ref="U6322" si="8576">SUM(K6322:T6323)</f>
        <v>2153840</v>
      </c>
      <c r="V6322" s="122"/>
      <c r="W6322" s="124"/>
      <c r="X6322" s="126" t="s">
        <v>18930</v>
      </c>
      <c r="Y6322" s="127"/>
      <c r="Z6322" s="127"/>
      <c r="AA6322" s="127"/>
      <c r="AB6322" s="128"/>
      <c r="AC6322" s="15" t="s">
        <v>20</v>
      </c>
      <c r="AD6322" s="129" t="s">
        <v>4420</v>
      </c>
      <c r="AE6322" s="130"/>
      <c r="AF6322" s="130"/>
      <c r="AG6322" s="130"/>
      <c r="AH6322" s="130"/>
      <c r="AI6322" s="131"/>
      <c r="AJ6322" s="132"/>
      <c r="AK6322" s="127"/>
      <c r="AL6322" s="128"/>
      <c r="AM6322" s="21"/>
      <c r="AN6322" s="133">
        <v>46086</v>
      </c>
      <c r="AO6322" s="134"/>
      <c r="AP6322" s="135">
        <v>1321</v>
      </c>
      <c r="AQ6322" s="136"/>
      <c r="AR6322" s="118">
        <v>2050000</v>
      </c>
      <c r="AS6322" s="119"/>
      <c r="AT6322" s="118">
        <f t="shared" ref="AT6322" si="8577">AR6322*0.1</f>
        <v>205000</v>
      </c>
      <c r="AU6322" s="119"/>
      <c r="AV6322" s="118">
        <v>19840</v>
      </c>
      <c r="AW6322" s="119"/>
      <c r="AX6322" s="118">
        <f t="shared" ref="AX6322" si="8578">SUM(AR6322:AW6322)</f>
        <v>2274840</v>
      </c>
      <c r="AY6322" s="119"/>
      <c r="AZ6322" s="137">
        <v>46087</v>
      </c>
    </row>
    <row r="6323" spans="1:52" ht="17.100000000000001" customHeight="1" thickBot="1">
      <c r="A6323" s="110"/>
      <c r="B6323" s="27" t="s">
        <v>1828</v>
      </c>
      <c r="C6323" s="27">
        <v>88039</v>
      </c>
      <c r="D6323" s="14" t="s">
        <v>1592</v>
      </c>
      <c r="E6323" s="112"/>
      <c r="F6323" s="139" t="s">
        <v>18380</v>
      </c>
      <c r="G6323" s="140"/>
      <c r="H6323" s="141"/>
      <c r="I6323" s="26">
        <v>31433</v>
      </c>
      <c r="J6323" s="117"/>
      <c r="K6323" s="120"/>
      <c r="L6323" s="121"/>
      <c r="M6323" s="120"/>
      <c r="N6323" s="121"/>
      <c r="O6323" s="120"/>
      <c r="P6323" s="121"/>
      <c r="Q6323" s="120"/>
      <c r="R6323" s="121"/>
      <c r="S6323" s="120"/>
      <c r="T6323" s="121"/>
      <c r="U6323" s="120"/>
      <c r="V6323" s="123"/>
      <c r="W6323" s="125"/>
      <c r="X6323" s="142" t="s">
        <v>15392</v>
      </c>
      <c r="Y6323" s="143"/>
      <c r="Z6323" s="143"/>
      <c r="AA6323" s="143"/>
      <c r="AB6323" s="144"/>
      <c r="AC6323" s="16" t="s">
        <v>21</v>
      </c>
      <c r="AD6323" s="17" t="s">
        <v>3616</v>
      </c>
      <c r="AE6323" s="145" t="s">
        <v>18931</v>
      </c>
      <c r="AF6323" s="146"/>
      <c r="AG6323" s="146"/>
      <c r="AH6323" s="146"/>
      <c r="AI6323" s="147"/>
      <c r="AJ6323" s="148"/>
      <c r="AK6323" s="143"/>
      <c r="AL6323" s="144"/>
      <c r="AM6323" s="22"/>
      <c r="AN6323" s="149" t="s">
        <v>19388</v>
      </c>
      <c r="AO6323" s="144"/>
      <c r="AP6323" s="148">
        <v>60</v>
      </c>
      <c r="AQ6323" s="144"/>
      <c r="AR6323" s="120"/>
      <c r="AS6323" s="121"/>
      <c r="AT6323" s="120"/>
      <c r="AU6323" s="121"/>
      <c r="AV6323" s="120"/>
      <c r="AW6323" s="121"/>
      <c r="AX6323" s="120"/>
      <c r="AY6323" s="121"/>
      <c r="AZ6323" s="138"/>
    </row>
    <row r="6324" spans="1:52" ht="17.100000000000001" customHeight="1" thickTop="1">
      <c r="A6324" s="109" t="s">
        <v>18382</v>
      </c>
      <c r="B6324" s="28">
        <v>46073</v>
      </c>
      <c r="C6324" s="25">
        <v>2123</v>
      </c>
      <c r="D6324" s="13" t="s">
        <v>1714</v>
      </c>
      <c r="E6324" s="111"/>
      <c r="F6324" s="113" t="s">
        <v>2703</v>
      </c>
      <c r="G6324" s="114"/>
      <c r="H6324" s="115"/>
      <c r="I6324" s="24"/>
      <c r="J6324" s="116">
        <v>4.5</v>
      </c>
      <c r="K6324" s="118">
        <v>1600000</v>
      </c>
      <c r="L6324" s="119"/>
      <c r="M6324" s="118">
        <f t="shared" ref="M6324" si="8579">K6324*0.1</f>
        <v>160000</v>
      </c>
      <c r="N6324" s="119"/>
      <c r="O6324" s="118">
        <v>0</v>
      </c>
      <c r="P6324" s="119"/>
      <c r="Q6324" s="118">
        <v>11740</v>
      </c>
      <c r="R6324" s="119"/>
      <c r="S6324" s="118">
        <v>27500</v>
      </c>
      <c r="T6324" s="119"/>
      <c r="U6324" s="118">
        <f t="shared" ref="U6324" si="8580">SUM(K6324:T6325)</f>
        <v>1799240</v>
      </c>
      <c r="V6324" s="122"/>
      <c r="W6324" s="124"/>
      <c r="X6324" s="126" t="s">
        <v>18934</v>
      </c>
      <c r="Y6324" s="127"/>
      <c r="Z6324" s="127"/>
      <c r="AA6324" s="127"/>
      <c r="AB6324" s="128"/>
      <c r="AC6324" s="15" t="s">
        <v>20</v>
      </c>
      <c r="AD6324" s="129" t="s">
        <v>1633</v>
      </c>
      <c r="AE6324" s="130"/>
      <c r="AF6324" s="130"/>
      <c r="AG6324" s="130"/>
      <c r="AH6324" s="130"/>
      <c r="AI6324" s="131"/>
      <c r="AJ6324" s="132"/>
      <c r="AK6324" s="127"/>
      <c r="AL6324" s="128"/>
      <c r="AM6324" s="21"/>
      <c r="AN6324" s="133"/>
      <c r="AO6324" s="134"/>
      <c r="AP6324" s="135"/>
      <c r="AQ6324" s="136"/>
      <c r="AR6324" s="118"/>
      <c r="AS6324" s="119"/>
      <c r="AT6324" s="118">
        <f t="shared" ref="AT6324" si="8581">AR6324*0.1</f>
        <v>0</v>
      </c>
      <c r="AU6324" s="119"/>
      <c r="AV6324" s="118"/>
      <c r="AW6324" s="119"/>
      <c r="AX6324" s="118">
        <f t="shared" ref="AX6324" si="8582">SUM(AR6324:AW6324)</f>
        <v>0</v>
      </c>
      <c r="AY6324" s="119"/>
      <c r="AZ6324" s="137"/>
    </row>
    <row r="6325" spans="1:52" ht="17.100000000000001" customHeight="1" thickBot="1">
      <c r="A6325" s="110"/>
      <c r="B6325" s="27" t="s">
        <v>1543</v>
      </c>
      <c r="C6325" s="27">
        <v>20155</v>
      </c>
      <c r="D6325" s="14" t="s">
        <v>275</v>
      </c>
      <c r="E6325" s="112"/>
      <c r="F6325" s="139" t="s">
        <v>18381</v>
      </c>
      <c r="G6325" s="140"/>
      <c r="H6325" s="141"/>
      <c r="I6325" s="26">
        <v>38165</v>
      </c>
      <c r="J6325" s="117"/>
      <c r="K6325" s="120"/>
      <c r="L6325" s="121"/>
      <c r="M6325" s="120"/>
      <c r="N6325" s="121"/>
      <c r="O6325" s="120"/>
      <c r="P6325" s="121"/>
      <c r="Q6325" s="120"/>
      <c r="R6325" s="121"/>
      <c r="S6325" s="120"/>
      <c r="T6325" s="121"/>
      <c r="U6325" s="120"/>
      <c r="V6325" s="123"/>
      <c r="W6325" s="125"/>
      <c r="X6325" s="142" t="s">
        <v>2918</v>
      </c>
      <c r="Y6325" s="143"/>
      <c r="Z6325" s="143"/>
      <c r="AA6325" s="143"/>
      <c r="AB6325" s="144"/>
      <c r="AC6325" s="16" t="s">
        <v>21</v>
      </c>
      <c r="AD6325" s="17" t="s">
        <v>3616</v>
      </c>
      <c r="AE6325" s="145" t="s">
        <v>11614</v>
      </c>
      <c r="AF6325" s="146"/>
      <c r="AG6325" s="146"/>
      <c r="AH6325" s="146"/>
      <c r="AI6325" s="147"/>
      <c r="AJ6325" s="148"/>
      <c r="AK6325" s="143"/>
      <c r="AL6325" s="144"/>
      <c r="AM6325" s="22"/>
      <c r="AN6325" s="149"/>
      <c r="AO6325" s="144"/>
      <c r="AP6325" s="148"/>
      <c r="AQ6325" s="144"/>
      <c r="AR6325" s="120"/>
      <c r="AS6325" s="121"/>
      <c r="AT6325" s="120"/>
      <c r="AU6325" s="121"/>
      <c r="AV6325" s="120"/>
      <c r="AW6325" s="121"/>
      <c r="AX6325" s="120"/>
      <c r="AY6325" s="121"/>
      <c r="AZ6325" s="138"/>
    </row>
    <row r="6326" spans="1:52" ht="17.100000000000001" customHeight="1" thickTop="1">
      <c r="A6326" s="109" t="s">
        <v>18383</v>
      </c>
      <c r="B6326" s="28">
        <v>46073</v>
      </c>
      <c r="C6326" s="25">
        <v>2123</v>
      </c>
      <c r="D6326" s="13" t="s">
        <v>1902</v>
      </c>
      <c r="E6326" s="111"/>
      <c r="F6326" s="113" t="s">
        <v>4559</v>
      </c>
      <c r="G6326" s="114"/>
      <c r="H6326" s="115"/>
      <c r="I6326" s="24"/>
      <c r="J6326" s="116">
        <v>4</v>
      </c>
      <c r="K6326" s="118">
        <v>1320000</v>
      </c>
      <c r="L6326" s="119"/>
      <c r="M6326" s="118">
        <f t="shared" ref="M6326" si="8583">K6326*0.1</f>
        <v>132000</v>
      </c>
      <c r="N6326" s="119"/>
      <c r="O6326" s="118">
        <v>0</v>
      </c>
      <c r="P6326" s="119"/>
      <c r="Q6326" s="118">
        <v>17600</v>
      </c>
      <c r="R6326" s="119"/>
      <c r="S6326" s="118">
        <v>16500</v>
      </c>
      <c r="T6326" s="119"/>
      <c r="U6326" s="118">
        <f t="shared" ref="U6326" si="8584">SUM(K6326:T6327)</f>
        <v>1486100</v>
      </c>
      <c r="V6326" s="122"/>
      <c r="W6326" s="124"/>
      <c r="X6326" s="126" t="s">
        <v>18911</v>
      </c>
      <c r="Y6326" s="127"/>
      <c r="Z6326" s="127"/>
      <c r="AA6326" s="127"/>
      <c r="AB6326" s="128"/>
      <c r="AC6326" s="15" t="s">
        <v>20</v>
      </c>
      <c r="AD6326" s="129"/>
      <c r="AE6326" s="130"/>
      <c r="AF6326" s="130"/>
      <c r="AG6326" s="130"/>
      <c r="AH6326" s="130"/>
      <c r="AI6326" s="131"/>
      <c r="AJ6326" s="132"/>
      <c r="AK6326" s="127"/>
      <c r="AL6326" s="128"/>
      <c r="AM6326" s="21"/>
      <c r="AN6326" s="133">
        <v>46079</v>
      </c>
      <c r="AO6326" s="134"/>
      <c r="AP6326" s="135">
        <v>1320</v>
      </c>
      <c r="AQ6326" s="136"/>
      <c r="AR6326" s="118">
        <v>1510000</v>
      </c>
      <c r="AS6326" s="119"/>
      <c r="AT6326" s="118">
        <f t="shared" ref="AT6326" si="8585">AR6326*0.1</f>
        <v>151000</v>
      </c>
      <c r="AU6326" s="119"/>
      <c r="AV6326" s="118">
        <v>17600</v>
      </c>
      <c r="AW6326" s="119"/>
      <c r="AX6326" s="118">
        <f t="shared" ref="AX6326" si="8586">SUM(AR6326:AW6326)</f>
        <v>1678600</v>
      </c>
      <c r="AY6326" s="119"/>
      <c r="AZ6326" s="137">
        <v>46080</v>
      </c>
    </row>
    <row r="6327" spans="1:52" ht="17.100000000000001" customHeight="1" thickBot="1">
      <c r="A6327" s="110"/>
      <c r="B6327" s="27" t="s">
        <v>1543</v>
      </c>
      <c r="C6327" s="27">
        <v>58142</v>
      </c>
      <c r="D6327" s="14" t="s">
        <v>1812</v>
      </c>
      <c r="E6327" s="112"/>
      <c r="F6327" s="139" t="s">
        <v>18385</v>
      </c>
      <c r="G6327" s="140"/>
      <c r="H6327" s="141"/>
      <c r="I6327" s="26">
        <v>39572</v>
      </c>
      <c r="J6327" s="117"/>
      <c r="K6327" s="120"/>
      <c r="L6327" s="121"/>
      <c r="M6327" s="120"/>
      <c r="N6327" s="121"/>
      <c r="O6327" s="120"/>
      <c r="P6327" s="121"/>
      <c r="Q6327" s="120"/>
      <c r="R6327" s="121"/>
      <c r="S6327" s="120"/>
      <c r="T6327" s="121"/>
      <c r="U6327" s="120"/>
      <c r="V6327" s="123"/>
      <c r="W6327" s="125"/>
      <c r="X6327" s="142" t="s">
        <v>3410</v>
      </c>
      <c r="Y6327" s="143"/>
      <c r="Z6327" s="143"/>
      <c r="AA6327" s="143"/>
      <c r="AB6327" s="144"/>
      <c r="AC6327" s="16" t="s">
        <v>21</v>
      </c>
      <c r="AD6327" s="17" t="s">
        <v>3616</v>
      </c>
      <c r="AE6327" s="145" t="s">
        <v>1742</v>
      </c>
      <c r="AF6327" s="146"/>
      <c r="AG6327" s="146"/>
      <c r="AH6327" s="146"/>
      <c r="AI6327" s="147"/>
      <c r="AJ6327" s="148"/>
      <c r="AK6327" s="143"/>
      <c r="AL6327" s="144"/>
      <c r="AM6327" s="22"/>
      <c r="AN6327" s="149" t="s">
        <v>13663</v>
      </c>
      <c r="AO6327" s="144"/>
      <c r="AP6327" s="148">
        <v>50</v>
      </c>
      <c r="AQ6327" s="144"/>
      <c r="AR6327" s="120"/>
      <c r="AS6327" s="121"/>
      <c r="AT6327" s="120"/>
      <c r="AU6327" s="121"/>
      <c r="AV6327" s="120"/>
      <c r="AW6327" s="121"/>
      <c r="AX6327" s="120"/>
      <c r="AY6327" s="121"/>
      <c r="AZ6327" s="138"/>
    </row>
    <row r="6328" spans="1:52" ht="17.100000000000001" customHeight="1" thickTop="1">
      <c r="A6328" s="109" t="s">
        <v>18384</v>
      </c>
      <c r="B6328" s="28">
        <v>46073</v>
      </c>
      <c r="C6328" s="25">
        <v>2123</v>
      </c>
      <c r="D6328" s="13" t="s">
        <v>1688</v>
      </c>
      <c r="E6328" s="111"/>
      <c r="F6328" s="113" t="s">
        <v>4559</v>
      </c>
      <c r="G6328" s="114"/>
      <c r="H6328" s="115"/>
      <c r="I6328" s="24"/>
      <c r="J6328" s="116">
        <v>4.5</v>
      </c>
      <c r="K6328" s="118">
        <v>1450000</v>
      </c>
      <c r="L6328" s="119"/>
      <c r="M6328" s="118">
        <f t="shared" ref="M6328" si="8587">K6328*0.1</f>
        <v>145000</v>
      </c>
      <c r="N6328" s="119"/>
      <c r="O6328" s="118">
        <v>0</v>
      </c>
      <c r="P6328" s="119"/>
      <c r="Q6328" s="118">
        <v>15750</v>
      </c>
      <c r="R6328" s="119"/>
      <c r="S6328" s="118">
        <v>16500</v>
      </c>
      <c r="T6328" s="119"/>
      <c r="U6328" s="118">
        <f t="shared" ref="U6328" si="8588">SUM(K6328:T6329)</f>
        <v>1627250</v>
      </c>
      <c r="V6328" s="122"/>
      <c r="W6328" s="124"/>
      <c r="X6328" s="126" t="s">
        <v>20347</v>
      </c>
      <c r="Y6328" s="127"/>
      <c r="Z6328" s="127"/>
      <c r="AA6328" s="127"/>
      <c r="AB6328" s="128"/>
      <c r="AC6328" s="15" t="s">
        <v>20</v>
      </c>
      <c r="AD6328" s="129" t="s">
        <v>1670</v>
      </c>
      <c r="AE6328" s="130"/>
      <c r="AF6328" s="130"/>
      <c r="AG6328" s="130"/>
      <c r="AH6328" s="130"/>
      <c r="AI6328" s="131"/>
      <c r="AJ6328" s="132"/>
      <c r="AK6328" s="127"/>
      <c r="AL6328" s="128"/>
      <c r="AM6328" s="21"/>
      <c r="AN6328" s="133">
        <v>46079</v>
      </c>
      <c r="AO6328" s="134"/>
      <c r="AP6328" s="135">
        <v>1321</v>
      </c>
      <c r="AQ6328" s="136"/>
      <c r="AR6328" s="118">
        <v>1665000</v>
      </c>
      <c r="AS6328" s="119"/>
      <c r="AT6328" s="118">
        <f t="shared" ref="AT6328" si="8589">AR6328*0.1</f>
        <v>166500</v>
      </c>
      <c r="AU6328" s="119"/>
      <c r="AV6328" s="118">
        <v>15750</v>
      </c>
      <c r="AW6328" s="119"/>
      <c r="AX6328" s="118">
        <f t="shared" ref="AX6328" si="8590">SUM(AR6328:AW6328)</f>
        <v>1847250</v>
      </c>
      <c r="AY6328" s="119"/>
      <c r="AZ6328" s="137">
        <v>46080</v>
      </c>
    </row>
    <row r="6329" spans="1:52" ht="17.100000000000001" customHeight="1" thickBot="1">
      <c r="A6329" s="110"/>
      <c r="B6329" s="27" t="s">
        <v>1543</v>
      </c>
      <c r="C6329" s="27">
        <v>58391</v>
      </c>
      <c r="D6329" s="14" t="s">
        <v>1812</v>
      </c>
      <c r="E6329" s="112"/>
      <c r="F6329" s="139" t="s">
        <v>18386</v>
      </c>
      <c r="G6329" s="140"/>
      <c r="H6329" s="141"/>
      <c r="I6329" s="26">
        <v>51721</v>
      </c>
      <c r="J6329" s="117"/>
      <c r="K6329" s="120"/>
      <c r="L6329" s="121"/>
      <c r="M6329" s="120"/>
      <c r="N6329" s="121"/>
      <c r="O6329" s="120"/>
      <c r="P6329" s="121"/>
      <c r="Q6329" s="120"/>
      <c r="R6329" s="121"/>
      <c r="S6329" s="120"/>
      <c r="T6329" s="121"/>
      <c r="U6329" s="120"/>
      <c r="V6329" s="123"/>
      <c r="W6329" s="125"/>
      <c r="X6329" s="142" t="s">
        <v>1997</v>
      </c>
      <c r="Y6329" s="143"/>
      <c r="Z6329" s="143"/>
      <c r="AA6329" s="143"/>
      <c r="AB6329" s="144"/>
      <c r="AC6329" s="16" t="s">
        <v>21</v>
      </c>
      <c r="AD6329" s="17" t="s">
        <v>3980</v>
      </c>
      <c r="AE6329" s="145" t="s">
        <v>20348</v>
      </c>
      <c r="AF6329" s="146"/>
      <c r="AG6329" s="146"/>
      <c r="AH6329" s="146"/>
      <c r="AI6329" s="147"/>
      <c r="AJ6329" s="148"/>
      <c r="AK6329" s="143"/>
      <c r="AL6329" s="144"/>
      <c r="AM6329" s="22"/>
      <c r="AN6329" s="149" t="s">
        <v>13663</v>
      </c>
      <c r="AO6329" s="144"/>
      <c r="AP6329" s="148">
        <v>504</v>
      </c>
      <c r="AQ6329" s="144"/>
      <c r="AR6329" s="120"/>
      <c r="AS6329" s="121"/>
      <c r="AT6329" s="120"/>
      <c r="AU6329" s="121"/>
      <c r="AV6329" s="120"/>
      <c r="AW6329" s="121"/>
      <c r="AX6329" s="120"/>
      <c r="AY6329" s="121"/>
      <c r="AZ6329" s="138"/>
    </row>
    <row r="6330" spans="1:52" ht="17.100000000000001" customHeight="1" thickTop="1">
      <c r="A6330" s="109" t="s">
        <v>18413</v>
      </c>
      <c r="B6330" s="28">
        <v>46073</v>
      </c>
      <c r="C6330" s="25">
        <v>94</v>
      </c>
      <c r="D6330" s="13" t="s">
        <v>2458</v>
      </c>
      <c r="E6330" s="111"/>
      <c r="F6330" s="113" t="s">
        <v>18372</v>
      </c>
      <c r="G6330" s="114"/>
      <c r="H6330" s="115"/>
      <c r="I6330" s="24" t="s">
        <v>4096</v>
      </c>
      <c r="J6330" s="116">
        <v>4</v>
      </c>
      <c r="K6330" s="118">
        <v>1275000</v>
      </c>
      <c r="L6330" s="119"/>
      <c r="M6330" s="118">
        <f t="shared" ref="M6330" si="8591">K6330*0.1</f>
        <v>127500</v>
      </c>
      <c r="N6330" s="119"/>
      <c r="O6330" s="118">
        <f>3200+320</f>
        <v>3520</v>
      </c>
      <c r="P6330" s="119"/>
      <c r="Q6330" s="118">
        <v>10120</v>
      </c>
      <c r="R6330" s="119"/>
      <c r="S6330" s="118">
        <v>44000</v>
      </c>
      <c r="T6330" s="119"/>
      <c r="U6330" s="118">
        <f t="shared" ref="U6330" si="8592">SUM(K6330:T6331)</f>
        <v>1460140</v>
      </c>
      <c r="V6330" s="122"/>
      <c r="W6330" s="124"/>
      <c r="X6330" s="126" t="s">
        <v>19832</v>
      </c>
      <c r="Y6330" s="127"/>
      <c r="Z6330" s="127"/>
      <c r="AA6330" s="127"/>
      <c r="AB6330" s="128"/>
      <c r="AC6330" s="15" t="s">
        <v>20</v>
      </c>
      <c r="AD6330" s="129" t="s">
        <v>18373</v>
      </c>
      <c r="AE6330" s="130"/>
      <c r="AF6330" s="130"/>
      <c r="AG6330" s="130"/>
      <c r="AH6330" s="130"/>
      <c r="AI6330" s="131"/>
      <c r="AJ6330" s="132"/>
      <c r="AK6330" s="127"/>
      <c r="AL6330" s="128"/>
      <c r="AM6330" s="21"/>
      <c r="AN6330" s="133">
        <v>46102</v>
      </c>
      <c r="AO6330" s="134"/>
      <c r="AP6330" s="135">
        <v>1293</v>
      </c>
      <c r="AQ6330" s="136"/>
      <c r="AR6330" s="118">
        <v>1325000</v>
      </c>
      <c r="AS6330" s="119"/>
      <c r="AT6330" s="118">
        <f t="shared" ref="AT6330" si="8593">AR6330*0.1</f>
        <v>132500</v>
      </c>
      <c r="AU6330" s="119"/>
      <c r="AV6330" s="118">
        <v>10120</v>
      </c>
      <c r="AW6330" s="119"/>
      <c r="AX6330" s="118">
        <f t="shared" ref="AX6330" si="8594">SUM(AR6330:AW6330)</f>
        <v>1467620</v>
      </c>
      <c r="AY6330" s="119"/>
      <c r="AZ6330" s="137">
        <v>46105</v>
      </c>
    </row>
    <row r="6331" spans="1:52" ht="17.100000000000001" customHeight="1" thickBot="1">
      <c r="A6331" s="110"/>
      <c r="B6331" s="27" t="s">
        <v>4544</v>
      </c>
      <c r="C6331" s="27">
        <v>1002</v>
      </c>
      <c r="D6331" s="14" t="s">
        <v>2601</v>
      </c>
      <c r="E6331" s="112"/>
      <c r="F6331" s="139" t="s">
        <v>18368</v>
      </c>
      <c r="G6331" s="140"/>
      <c r="H6331" s="141"/>
      <c r="I6331" s="26">
        <v>39052</v>
      </c>
      <c r="J6331" s="117"/>
      <c r="K6331" s="120"/>
      <c r="L6331" s="121"/>
      <c r="M6331" s="120"/>
      <c r="N6331" s="121"/>
      <c r="O6331" s="120"/>
      <c r="P6331" s="121"/>
      <c r="Q6331" s="120"/>
      <c r="R6331" s="121"/>
      <c r="S6331" s="120"/>
      <c r="T6331" s="121"/>
      <c r="U6331" s="120"/>
      <c r="V6331" s="123"/>
      <c r="W6331" s="125"/>
      <c r="X6331" s="142" t="s">
        <v>19833</v>
      </c>
      <c r="Y6331" s="143"/>
      <c r="Z6331" s="143"/>
      <c r="AA6331" s="143"/>
      <c r="AB6331" s="144"/>
      <c r="AC6331" s="16" t="s">
        <v>21</v>
      </c>
      <c r="AD6331" s="17" t="s">
        <v>1631</v>
      </c>
      <c r="AE6331" s="145" t="s">
        <v>10730</v>
      </c>
      <c r="AF6331" s="146"/>
      <c r="AG6331" s="146"/>
      <c r="AH6331" s="146"/>
      <c r="AI6331" s="147"/>
      <c r="AJ6331" s="148"/>
      <c r="AK6331" s="143"/>
      <c r="AL6331" s="144"/>
      <c r="AM6331" s="22"/>
      <c r="AN6331" s="149" t="s">
        <v>2511</v>
      </c>
      <c r="AO6331" s="144"/>
      <c r="AP6331" s="148">
        <v>37087</v>
      </c>
      <c r="AQ6331" s="144"/>
      <c r="AR6331" s="120"/>
      <c r="AS6331" s="121"/>
      <c r="AT6331" s="120"/>
      <c r="AU6331" s="121"/>
      <c r="AV6331" s="120"/>
      <c r="AW6331" s="121"/>
      <c r="AX6331" s="120"/>
      <c r="AY6331" s="121"/>
      <c r="AZ6331" s="138"/>
    </row>
    <row r="6332" spans="1:52" ht="17.100000000000001" customHeight="1" thickTop="1">
      <c r="A6332" s="109" t="s">
        <v>18414</v>
      </c>
      <c r="B6332" s="28">
        <v>46073</v>
      </c>
      <c r="C6332" s="25">
        <v>94</v>
      </c>
      <c r="D6332" s="13" t="s">
        <v>1561</v>
      </c>
      <c r="E6332" s="111"/>
      <c r="F6332" s="113" t="s">
        <v>18374</v>
      </c>
      <c r="G6332" s="114"/>
      <c r="H6332" s="115"/>
      <c r="I6332" s="24" t="s">
        <v>3923</v>
      </c>
      <c r="J6332" s="116">
        <v>3.5</v>
      </c>
      <c r="K6332" s="118">
        <v>825000</v>
      </c>
      <c r="L6332" s="119"/>
      <c r="M6332" s="118">
        <f t="shared" ref="M6332" si="8595">K6332*0.1</f>
        <v>82500</v>
      </c>
      <c r="N6332" s="119"/>
      <c r="O6332" s="118">
        <v>39500</v>
      </c>
      <c r="P6332" s="119"/>
      <c r="Q6332" s="118">
        <v>12500</v>
      </c>
      <c r="R6332" s="119"/>
      <c r="S6332" s="118">
        <v>33000</v>
      </c>
      <c r="T6332" s="119"/>
      <c r="U6332" s="118">
        <f t="shared" ref="U6332" si="8596">SUM(K6332:T6333)</f>
        <v>992500</v>
      </c>
      <c r="V6332" s="122"/>
      <c r="W6332" s="124"/>
      <c r="X6332" s="126" t="s">
        <v>21262</v>
      </c>
      <c r="Y6332" s="127"/>
      <c r="Z6332" s="127"/>
      <c r="AA6332" s="127"/>
      <c r="AB6332" s="128"/>
      <c r="AC6332" s="15" t="s">
        <v>20</v>
      </c>
      <c r="AD6332" s="129" t="s">
        <v>18375</v>
      </c>
      <c r="AE6332" s="130"/>
      <c r="AF6332" s="130"/>
      <c r="AG6332" s="130"/>
      <c r="AH6332" s="130"/>
      <c r="AI6332" s="131"/>
      <c r="AJ6332" s="132"/>
      <c r="AK6332" s="127"/>
      <c r="AL6332" s="128"/>
      <c r="AM6332" s="21"/>
      <c r="AN6332" s="133">
        <v>46113</v>
      </c>
      <c r="AO6332" s="134"/>
      <c r="AP6332" s="135">
        <v>1011</v>
      </c>
      <c r="AQ6332" s="136"/>
      <c r="AR6332" s="118">
        <v>950000</v>
      </c>
      <c r="AS6332" s="119"/>
      <c r="AT6332" s="118">
        <f t="shared" ref="AT6332" si="8597">AR6332*0.1</f>
        <v>95000</v>
      </c>
      <c r="AU6332" s="119"/>
      <c r="AV6332" s="118">
        <v>12500</v>
      </c>
      <c r="AW6332" s="119"/>
      <c r="AX6332" s="118">
        <f t="shared" ref="AX6332" si="8598">SUM(AR6332:AW6332)</f>
        <v>1057500</v>
      </c>
      <c r="AY6332" s="119"/>
      <c r="AZ6332" s="137">
        <v>46119</v>
      </c>
    </row>
    <row r="6333" spans="1:52" ht="17.100000000000001" customHeight="1" thickBot="1">
      <c r="A6333" s="110"/>
      <c r="B6333" s="27" t="s">
        <v>4544</v>
      </c>
      <c r="C6333" s="27">
        <v>1012</v>
      </c>
      <c r="D6333" s="14" t="s">
        <v>275</v>
      </c>
      <c r="E6333" s="112"/>
      <c r="F6333" s="139" t="s">
        <v>18369</v>
      </c>
      <c r="G6333" s="140"/>
      <c r="H6333" s="141"/>
      <c r="I6333" s="26">
        <v>85261</v>
      </c>
      <c r="J6333" s="117"/>
      <c r="K6333" s="120"/>
      <c r="L6333" s="121"/>
      <c r="M6333" s="120"/>
      <c r="N6333" s="121"/>
      <c r="O6333" s="120"/>
      <c r="P6333" s="121"/>
      <c r="Q6333" s="120"/>
      <c r="R6333" s="121"/>
      <c r="S6333" s="120"/>
      <c r="T6333" s="121"/>
      <c r="U6333" s="120"/>
      <c r="V6333" s="123"/>
      <c r="W6333" s="125"/>
      <c r="X6333" s="142" t="s">
        <v>21263</v>
      </c>
      <c r="Y6333" s="143"/>
      <c r="Z6333" s="143"/>
      <c r="AA6333" s="143"/>
      <c r="AB6333" s="144"/>
      <c r="AC6333" s="16" t="s">
        <v>21</v>
      </c>
      <c r="AD6333" s="17" t="s">
        <v>21230</v>
      </c>
      <c r="AE6333" s="145" t="s">
        <v>21704</v>
      </c>
      <c r="AF6333" s="146"/>
      <c r="AG6333" s="146"/>
      <c r="AH6333" s="146"/>
      <c r="AI6333" s="147"/>
      <c r="AJ6333" s="148"/>
      <c r="AK6333" s="143"/>
      <c r="AL6333" s="144"/>
      <c r="AM6333" s="22"/>
      <c r="AN6333" s="149" t="s">
        <v>2794</v>
      </c>
      <c r="AO6333" s="144"/>
      <c r="AP6333" s="148">
        <v>1146</v>
      </c>
      <c r="AQ6333" s="144"/>
      <c r="AR6333" s="120"/>
      <c r="AS6333" s="121"/>
      <c r="AT6333" s="120"/>
      <c r="AU6333" s="121"/>
      <c r="AV6333" s="120"/>
      <c r="AW6333" s="121"/>
      <c r="AX6333" s="120"/>
      <c r="AY6333" s="121"/>
      <c r="AZ6333" s="138"/>
    </row>
    <row r="6334" spans="1:52" ht="17.100000000000001" customHeight="1" thickTop="1">
      <c r="A6334" s="109" t="s">
        <v>18415</v>
      </c>
      <c r="B6334" s="28">
        <v>46073</v>
      </c>
      <c r="C6334" s="25">
        <v>94</v>
      </c>
      <c r="D6334" s="13" t="s">
        <v>1586</v>
      </c>
      <c r="E6334" s="111"/>
      <c r="F6334" s="113" t="s">
        <v>18370</v>
      </c>
      <c r="G6334" s="114"/>
      <c r="H6334" s="115"/>
      <c r="I6334" s="24" t="s">
        <v>2526</v>
      </c>
      <c r="J6334" s="116">
        <v>4</v>
      </c>
      <c r="K6334" s="118">
        <v>760000</v>
      </c>
      <c r="L6334" s="119"/>
      <c r="M6334" s="118">
        <f t="shared" ref="M6334" si="8599">K6334*0.1</f>
        <v>76000</v>
      </c>
      <c r="N6334" s="119"/>
      <c r="O6334" s="118">
        <v>0</v>
      </c>
      <c r="P6334" s="119"/>
      <c r="Q6334" s="118">
        <v>8400</v>
      </c>
      <c r="R6334" s="119"/>
      <c r="S6334" s="118">
        <v>33000</v>
      </c>
      <c r="T6334" s="119"/>
      <c r="U6334" s="118">
        <f t="shared" ref="U6334" si="8600">SUM(K6334:T6335)</f>
        <v>877400</v>
      </c>
      <c r="V6334" s="122"/>
      <c r="W6334" s="124"/>
      <c r="X6334" s="126" t="s">
        <v>20534</v>
      </c>
      <c r="Y6334" s="127"/>
      <c r="Z6334" s="127"/>
      <c r="AA6334" s="127"/>
      <c r="AB6334" s="128"/>
      <c r="AC6334" s="15" t="s">
        <v>20</v>
      </c>
      <c r="AD6334" s="129" t="s">
        <v>18371</v>
      </c>
      <c r="AE6334" s="130"/>
      <c r="AF6334" s="130"/>
      <c r="AG6334" s="130"/>
      <c r="AH6334" s="130"/>
      <c r="AI6334" s="131"/>
      <c r="AJ6334" s="132"/>
      <c r="AK6334" s="127"/>
      <c r="AL6334" s="128"/>
      <c r="AM6334" s="21"/>
      <c r="AN6334" s="133">
        <v>46116</v>
      </c>
      <c r="AO6334" s="134"/>
      <c r="AP6334" s="135">
        <v>1295</v>
      </c>
      <c r="AQ6334" s="136"/>
      <c r="AR6334" s="118">
        <v>855000</v>
      </c>
      <c r="AS6334" s="119"/>
      <c r="AT6334" s="118">
        <f t="shared" ref="AT6334" si="8601">AR6334*0.1</f>
        <v>85500</v>
      </c>
      <c r="AU6334" s="119"/>
      <c r="AV6334" s="118">
        <v>8400</v>
      </c>
      <c r="AW6334" s="119"/>
      <c r="AX6334" s="118">
        <f t="shared" ref="AX6334" si="8602">SUM(AR6334:AW6334)</f>
        <v>948900</v>
      </c>
      <c r="AY6334" s="119"/>
      <c r="AZ6334" s="137">
        <v>46119</v>
      </c>
    </row>
    <row r="6335" spans="1:52" ht="17.100000000000001" customHeight="1" thickBot="1">
      <c r="A6335" s="110"/>
      <c r="B6335" s="27" t="s">
        <v>13205</v>
      </c>
      <c r="C6335" s="27">
        <v>1027</v>
      </c>
      <c r="D6335" s="14" t="s">
        <v>904</v>
      </c>
      <c r="E6335" s="112"/>
      <c r="F6335" s="139" t="s">
        <v>18497</v>
      </c>
      <c r="G6335" s="140"/>
      <c r="H6335" s="141"/>
      <c r="I6335" s="26">
        <v>51200</v>
      </c>
      <c r="J6335" s="117"/>
      <c r="K6335" s="120"/>
      <c r="L6335" s="121"/>
      <c r="M6335" s="120"/>
      <c r="N6335" s="121"/>
      <c r="O6335" s="120"/>
      <c r="P6335" s="121"/>
      <c r="Q6335" s="120"/>
      <c r="R6335" s="121"/>
      <c r="S6335" s="120"/>
      <c r="T6335" s="121"/>
      <c r="U6335" s="120"/>
      <c r="V6335" s="123"/>
      <c r="W6335" s="125"/>
      <c r="X6335" s="142" t="s">
        <v>1656</v>
      </c>
      <c r="Y6335" s="143"/>
      <c r="Z6335" s="143"/>
      <c r="AA6335" s="143"/>
      <c r="AB6335" s="144"/>
      <c r="AC6335" s="16" t="s">
        <v>21</v>
      </c>
      <c r="AD6335" s="17" t="s">
        <v>20491</v>
      </c>
      <c r="AE6335" s="145" t="s">
        <v>20535</v>
      </c>
      <c r="AF6335" s="146"/>
      <c r="AG6335" s="146"/>
      <c r="AH6335" s="146"/>
      <c r="AI6335" s="147"/>
      <c r="AJ6335" s="148"/>
      <c r="AK6335" s="143"/>
      <c r="AL6335" s="144"/>
      <c r="AM6335" s="22"/>
      <c r="AN6335" s="149" t="s">
        <v>2511</v>
      </c>
      <c r="AO6335" s="144"/>
      <c r="AP6335" s="148">
        <v>31128</v>
      </c>
      <c r="AQ6335" s="144"/>
      <c r="AR6335" s="120"/>
      <c r="AS6335" s="121"/>
      <c r="AT6335" s="120"/>
      <c r="AU6335" s="121"/>
      <c r="AV6335" s="120"/>
      <c r="AW6335" s="121"/>
      <c r="AX6335" s="120"/>
      <c r="AY6335" s="121"/>
      <c r="AZ6335" s="138"/>
    </row>
    <row r="6336" spans="1:52" ht="17.100000000000001" customHeight="1" thickTop="1">
      <c r="A6336" s="109" t="s">
        <v>18416</v>
      </c>
      <c r="B6336" s="28">
        <v>46073</v>
      </c>
      <c r="C6336" s="25">
        <v>279</v>
      </c>
      <c r="D6336" s="13" t="s">
        <v>4860</v>
      </c>
      <c r="E6336" s="111"/>
      <c r="F6336" s="113" t="s">
        <v>12206</v>
      </c>
      <c r="G6336" s="114"/>
      <c r="H6336" s="115"/>
      <c r="I6336" s="24" t="s">
        <v>3509</v>
      </c>
      <c r="J6336" s="116">
        <v>4</v>
      </c>
      <c r="K6336" s="118">
        <v>462000</v>
      </c>
      <c r="L6336" s="119"/>
      <c r="M6336" s="118">
        <f t="shared" ref="M6336" si="8603">K6336*0.1</f>
        <v>46200</v>
      </c>
      <c r="N6336" s="119"/>
      <c r="O6336" s="118">
        <v>0</v>
      </c>
      <c r="P6336" s="119"/>
      <c r="Q6336" s="118">
        <v>8990</v>
      </c>
      <c r="R6336" s="119"/>
      <c r="S6336" s="118">
        <v>22000</v>
      </c>
      <c r="T6336" s="119"/>
      <c r="U6336" s="118">
        <f t="shared" ref="U6336" si="8604">SUM(K6336:T6337)</f>
        <v>539190</v>
      </c>
      <c r="V6336" s="122"/>
      <c r="W6336" s="124"/>
      <c r="X6336" s="126" t="s">
        <v>18484</v>
      </c>
      <c r="Y6336" s="127"/>
      <c r="Z6336" s="127"/>
      <c r="AA6336" s="127"/>
      <c r="AB6336" s="128"/>
      <c r="AC6336" s="15" t="s">
        <v>20</v>
      </c>
      <c r="AD6336" s="129"/>
      <c r="AE6336" s="130"/>
      <c r="AF6336" s="130"/>
      <c r="AG6336" s="130"/>
      <c r="AH6336" s="130"/>
      <c r="AI6336" s="131"/>
      <c r="AJ6336" s="132"/>
      <c r="AK6336" s="127"/>
      <c r="AL6336" s="128"/>
      <c r="AM6336" s="21"/>
      <c r="AN6336" s="133">
        <v>46078</v>
      </c>
      <c r="AO6336" s="134"/>
      <c r="AP6336" s="135">
        <v>1006</v>
      </c>
      <c r="AQ6336" s="136"/>
      <c r="AR6336" s="118">
        <v>535000</v>
      </c>
      <c r="AS6336" s="119"/>
      <c r="AT6336" s="118">
        <f t="shared" ref="AT6336" si="8605">AR6336*0.1</f>
        <v>53500</v>
      </c>
      <c r="AU6336" s="119"/>
      <c r="AV6336" s="118">
        <v>8990</v>
      </c>
      <c r="AW6336" s="119"/>
      <c r="AX6336" s="118">
        <f t="shared" ref="AX6336" si="8606">SUM(AR6336:AW6336)</f>
        <v>597490</v>
      </c>
      <c r="AY6336" s="119"/>
      <c r="AZ6336" s="137">
        <v>46083</v>
      </c>
    </row>
    <row r="6337" spans="1:52" ht="17.100000000000001" customHeight="1" thickBot="1">
      <c r="A6337" s="110"/>
      <c r="B6337" s="27" t="s">
        <v>3957</v>
      </c>
      <c r="C6337" s="27">
        <v>53</v>
      </c>
      <c r="D6337" s="14" t="s">
        <v>1812</v>
      </c>
      <c r="E6337" s="112"/>
      <c r="F6337" s="139" t="s">
        <v>18423</v>
      </c>
      <c r="G6337" s="140"/>
      <c r="H6337" s="141"/>
      <c r="I6337" s="26">
        <v>122228</v>
      </c>
      <c r="J6337" s="117"/>
      <c r="K6337" s="120"/>
      <c r="L6337" s="121"/>
      <c r="M6337" s="120"/>
      <c r="N6337" s="121"/>
      <c r="O6337" s="120"/>
      <c r="P6337" s="121"/>
      <c r="Q6337" s="120"/>
      <c r="R6337" s="121"/>
      <c r="S6337" s="120"/>
      <c r="T6337" s="121"/>
      <c r="U6337" s="120"/>
      <c r="V6337" s="123"/>
      <c r="W6337" s="125"/>
      <c r="X6337" s="142" t="s">
        <v>2321</v>
      </c>
      <c r="Y6337" s="143"/>
      <c r="Z6337" s="143"/>
      <c r="AA6337" s="143"/>
      <c r="AB6337" s="144"/>
      <c r="AC6337" s="16" t="s">
        <v>21</v>
      </c>
      <c r="AD6337" s="17" t="s">
        <v>18720</v>
      </c>
      <c r="AE6337" s="145"/>
      <c r="AF6337" s="146"/>
      <c r="AG6337" s="146"/>
      <c r="AH6337" s="146"/>
      <c r="AI6337" s="147"/>
      <c r="AJ6337" s="148"/>
      <c r="AK6337" s="143"/>
      <c r="AL6337" s="144"/>
      <c r="AM6337" s="22"/>
      <c r="AN6337" s="149" t="s">
        <v>2794</v>
      </c>
      <c r="AO6337" s="144"/>
      <c r="AP6337" s="148">
        <v>5173</v>
      </c>
      <c r="AQ6337" s="144"/>
      <c r="AR6337" s="120"/>
      <c r="AS6337" s="121"/>
      <c r="AT6337" s="120"/>
      <c r="AU6337" s="121"/>
      <c r="AV6337" s="120"/>
      <c r="AW6337" s="121"/>
      <c r="AX6337" s="120"/>
      <c r="AY6337" s="121"/>
      <c r="AZ6337" s="138"/>
    </row>
    <row r="6338" spans="1:52" ht="17.100000000000001" customHeight="1" thickTop="1">
      <c r="A6338" s="109" t="s">
        <v>18417</v>
      </c>
      <c r="B6338" s="28">
        <v>46073</v>
      </c>
      <c r="C6338" s="25">
        <v>279</v>
      </c>
      <c r="D6338" s="13" t="s">
        <v>1958</v>
      </c>
      <c r="E6338" s="111"/>
      <c r="F6338" s="113" t="s">
        <v>8153</v>
      </c>
      <c r="G6338" s="114"/>
      <c r="H6338" s="115"/>
      <c r="I6338" s="24" t="s">
        <v>2919</v>
      </c>
      <c r="J6338" s="116">
        <v>3.5</v>
      </c>
      <c r="K6338" s="118">
        <v>369000</v>
      </c>
      <c r="L6338" s="119"/>
      <c r="M6338" s="118">
        <f t="shared" ref="M6338" si="8607">K6338*0.1</f>
        <v>36900</v>
      </c>
      <c r="N6338" s="119"/>
      <c r="O6338" s="118">
        <v>0</v>
      </c>
      <c r="P6338" s="119"/>
      <c r="Q6338" s="118">
        <v>8850</v>
      </c>
      <c r="R6338" s="119"/>
      <c r="S6338" s="118">
        <v>22000</v>
      </c>
      <c r="T6338" s="119"/>
      <c r="U6338" s="118">
        <f t="shared" ref="U6338" si="8608">SUM(K6338:T6339)</f>
        <v>436750</v>
      </c>
      <c r="V6338" s="122"/>
      <c r="W6338" s="124"/>
      <c r="X6338" s="126" t="s">
        <v>18485</v>
      </c>
      <c r="Y6338" s="127"/>
      <c r="Z6338" s="127"/>
      <c r="AA6338" s="127"/>
      <c r="AB6338" s="128"/>
      <c r="AC6338" s="15" t="s">
        <v>20</v>
      </c>
      <c r="AD6338" s="129"/>
      <c r="AE6338" s="130"/>
      <c r="AF6338" s="130"/>
      <c r="AG6338" s="130"/>
      <c r="AH6338" s="130"/>
      <c r="AI6338" s="131"/>
      <c r="AJ6338" s="132"/>
      <c r="AK6338" s="127"/>
      <c r="AL6338" s="128"/>
      <c r="AM6338" s="21" t="s">
        <v>19434</v>
      </c>
      <c r="AN6338" s="133">
        <v>46085</v>
      </c>
      <c r="AO6338" s="134"/>
      <c r="AP6338" s="135">
        <v>1007</v>
      </c>
      <c r="AQ6338" s="136"/>
      <c r="AR6338" s="118">
        <v>450000</v>
      </c>
      <c r="AS6338" s="119"/>
      <c r="AT6338" s="118">
        <f t="shared" ref="AT6338" si="8609">AR6338*0.1</f>
        <v>45000</v>
      </c>
      <c r="AU6338" s="119"/>
      <c r="AV6338" s="118">
        <v>8850</v>
      </c>
      <c r="AW6338" s="119"/>
      <c r="AX6338" s="118">
        <f t="shared" ref="AX6338" si="8610">SUM(AR6338:AW6338)</f>
        <v>503850</v>
      </c>
      <c r="AY6338" s="119"/>
      <c r="AZ6338" s="137">
        <v>46090</v>
      </c>
    </row>
    <row r="6339" spans="1:52" ht="17.100000000000001" customHeight="1" thickBot="1">
      <c r="A6339" s="110"/>
      <c r="B6339" s="27" t="s">
        <v>3957</v>
      </c>
      <c r="C6339" s="27">
        <v>89</v>
      </c>
      <c r="D6339" s="14" t="s">
        <v>2836</v>
      </c>
      <c r="E6339" s="112"/>
      <c r="F6339" s="139" t="s">
        <v>18424</v>
      </c>
      <c r="G6339" s="140"/>
      <c r="H6339" s="141"/>
      <c r="I6339" s="26">
        <v>53118</v>
      </c>
      <c r="J6339" s="117"/>
      <c r="K6339" s="120"/>
      <c r="L6339" s="121"/>
      <c r="M6339" s="120"/>
      <c r="N6339" s="121"/>
      <c r="O6339" s="120"/>
      <c r="P6339" s="121"/>
      <c r="Q6339" s="120"/>
      <c r="R6339" s="121"/>
      <c r="S6339" s="120"/>
      <c r="T6339" s="121"/>
      <c r="U6339" s="120"/>
      <c r="V6339" s="123"/>
      <c r="W6339" s="125"/>
      <c r="X6339" s="142" t="s">
        <v>18971</v>
      </c>
      <c r="Y6339" s="143"/>
      <c r="Z6339" s="143"/>
      <c r="AA6339" s="143"/>
      <c r="AB6339" s="144"/>
      <c r="AC6339" s="16" t="s">
        <v>21</v>
      </c>
      <c r="AD6339" s="17" t="s">
        <v>18720</v>
      </c>
      <c r="AE6339" s="145" t="s">
        <v>18983</v>
      </c>
      <c r="AF6339" s="146"/>
      <c r="AG6339" s="146"/>
      <c r="AH6339" s="146"/>
      <c r="AI6339" s="147"/>
      <c r="AJ6339" s="148"/>
      <c r="AK6339" s="143"/>
      <c r="AL6339" s="144"/>
      <c r="AM6339" s="22"/>
      <c r="AN6339" s="149" t="s">
        <v>2794</v>
      </c>
      <c r="AO6339" s="144"/>
      <c r="AP6339" s="148">
        <v>2085</v>
      </c>
      <c r="AQ6339" s="144"/>
      <c r="AR6339" s="120"/>
      <c r="AS6339" s="121"/>
      <c r="AT6339" s="120"/>
      <c r="AU6339" s="121"/>
      <c r="AV6339" s="120"/>
      <c r="AW6339" s="121"/>
      <c r="AX6339" s="120"/>
      <c r="AY6339" s="121"/>
      <c r="AZ6339" s="138"/>
    </row>
    <row r="6340" spans="1:52" ht="17.100000000000001" customHeight="1" thickTop="1">
      <c r="A6340" s="109" t="s">
        <v>18418</v>
      </c>
      <c r="B6340" s="28">
        <v>46073</v>
      </c>
      <c r="C6340" s="25">
        <v>279</v>
      </c>
      <c r="D6340" s="13" t="s">
        <v>4443</v>
      </c>
      <c r="E6340" s="111"/>
      <c r="F6340" s="113" t="s">
        <v>18486</v>
      </c>
      <c r="G6340" s="114"/>
      <c r="H6340" s="115"/>
      <c r="I6340" s="24" t="s">
        <v>4096</v>
      </c>
      <c r="J6340" s="116">
        <v>4</v>
      </c>
      <c r="K6340" s="118">
        <v>210000</v>
      </c>
      <c r="L6340" s="119"/>
      <c r="M6340" s="118">
        <f t="shared" ref="M6340" si="8611">K6340*0.1</f>
        <v>21000</v>
      </c>
      <c r="N6340" s="119"/>
      <c r="O6340" s="118">
        <v>0</v>
      </c>
      <c r="P6340" s="119"/>
      <c r="Q6340" s="118">
        <v>8930</v>
      </c>
      <c r="R6340" s="119"/>
      <c r="S6340" s="118">
        <v>22000</v>
      </c>
      <c r="T6340" s="119"/>
      <c r="U6340" s="118">
        <f t="shared" ref="U6340" si="8612">SUM(K6340:T6341)</f>
        <v>261930</v>
      </c>
      <c r="V6340" s="122"/>
      <c r="W6340" s="124"/>
      <c r="X6340" s="126" t="s">
        <v>18487</v>
      </c>
      <c r="Y6340" s="127"/>
      <c r="Z6340" s="127"/>
      <c r="AA6340" s="127"/>
      <c r="AB6340" s="128"/>
      <c r="AC6340" s="15" t="s">
        <v>20</v>
      </c>
      <c r="AD6340" s="129" t="s">
        <v>18488</v>
      </c>
      <c r="AE6340" s="130"/>
      <c r="AF6340" s="130"/>
      <c r="AG6340" s="130"/>
      <c r="AH6340" s="130"/>
      <c r="AI6340" s="131"/>
      <c r="AJ6340" s="132"/>
      <c r="AK6340" s="127"/>
      <c r="AL6340" s="128"/>
      <c r="AM6340" s="21" t="s">
        <v>18982</v>
      </c>
      <c r="AN6340" s="133">
        <v>46078</v>
      </c>
      <c r="AO6340" s="134"/>
      <c r="AP6340" s="135">
        <v>1006</v>
      </c>
      <c r="AQ6340" s="136"/>
      <c r="AR6340" s="118">
        <v>280000</v>
      </c>
      <c r="AS6340" s="119"/>
      <c r="AT6340" s="118">
        <f t="shared" ref="AT6340" si="8613">AR6340*0.1</f>
        <v>28000</v>
      </c>
      <c r="AU6340" s="119"/>
      <c r="AV6340" s="118">
        <v>8930</v>
      </c>
      <c r="AW6340" s="119"/>
      <c r="AX6340" s="118">
        <f t="shared" ref="AX6340" si="8614">SUM(AR6340:AW6340)</f>
        <v>316930</v>
      </c>
      <c r="AY6340" s="119"/>
      <c r="AZ6340" s="137">
        <v>46084</v>
      </c>
    </row>
    <row r="6341" spans="1:52" ht="17.100000000000001" customHeight="1" thickBot="1">
      <c r="A6341" s="110"/>
      <c r="B6341" s="27" t="s">
        <v>3957</v>
      </c>
      <c r="C6341" s="27">
        <v>90</v>
      </c>
      <c r="D6341" s="14" t="s">
        <v>904</v>
      </c>
      <c r="E6341" s="112"/>
      <c r="F6341" s="139" t="s">
        <v>18425</v>
      </c>
      <c r="G6341" s="140"/>
      <c r="H6341" s="141"/>
      <c r="I6341" s="26">
        <v>51511</v>
      </c>
      <c r="J6341" s="117"/>
      <c r="K6341" s="120"/>
      <c r="L6341" s="121"/>
      <c r="M6341" s="120"/>
      <c r="N6341" s="121"/>
      <c r="O6341" s="120"/>
      <c r="P6341" s="121"/>
      <c r="Q6341" s="120"/>
      <c r="R6341" s="121"/>
      <c r="S6341" s="120"/>
      <c r="T6341" s="121"/>
      <c r="U6341" s="120"/>
      <c r="V6341" s="123"/>
      <c r="W6341" s="125"/>
      <c r="X6341" s="142" t="s">
        <v>18815</v>
      </c>
      <c r="Y6341" s="143"/>
      <c r="Z6341" s="143"/>
      <c r="AA6341" s="143"/>
      <c r="AB6341" s="144"/>
      <c r="AC6341" s="16" t="s">
        <v>21</v>
      </c>
      <c r="AD6341" s="17" t="s">
        <v>18720</v>
      </c>
      <c r="AE6341" s="145" t="s">
        <v>4091</v>
      </c>
      <c r="AF6341" s="146"/>
      <c r="AG6341" s="146"/>
      <c r="AH6341" s="146"/>
      <c r="AI6341" s="147"/>
      <c r="AJ6341" s="148"/>
      <c r="AK6341" s="143"/>
      <c r="AL6341" s="144"/>
      <c r="AM6341" s="22"/>
      <c r="AN6341" s="149" t="s">
        <v>2794</v>
      </c>
      <c r="AO6341" s="144"/>
      <c r="AP6341" s="148">
        <v>5149</v>
      </c>
      <c r="AQ6341" s="144"/>
      <c r="AR6341" s="120"/>
      <c r="AS6341" s="121"/>
      <c r="AT6341" s="120"/>
      <c r="AU6341" s="121"/>
      <c r="AV6341" s="120"/>
      <c r="AW6341" s="121"/>
      <c r="AX6341" s="120"/>
      <c r="AY6341" s="121"/>
      <c r="AZ6341" s="138"/>
    </row>
    <row r="6342" spans="1:52" ht="17.100000000000001" customHeight="1" thickTop="1">
      <c r="A6342" s="109" t="s">
        <v>18419</v>
      </c>
      <c r="B6342" s="28">
        <v>46073</v>
      </c>
      <c r="C6342" s="25">
        <v>279</v>
      </c>
      <c r="D6342" s="13" t="s">
        <v>1675</v>
      </c>
      <c r="E6342" s="111"/>
      <c r="F6342" s="113" t="s">
        <v>5375</v>
      </c>
      <c r="G6342" s="114"/>
      <c r="H6342" s="115"/>
      <c r="I6342" s="24"/>
      <c r="J6342" s="116">
        <v>3.5</v>
      </c>
      <c r="K6342" s="118">
        <v>156000</v>
      </c>
      <c r="L6342" s="119"/>
      <c r="M6342" s="118">
        <f t="shared" ref="M6342" si="8615">K6342*0.1</f>
        <v>15600</v>
      </c>
      <c r="N6342" s="119"/>
      <c r="O6342" s="118">
        <v>0</v>
      </c>
      <c r="P6342" s="119"/>
      <c r="Q6342" s="118">
        <v>9770</v>
      </c>
      <c r="R6342" s="119"/>
      <c r="S6342" s="118">
        <v>22000</v>
      </c>
      <c r="T6342" s="119"/>
      <c r="U6342" s="118">
        <f t="shared" ref="U6342" si="8616">SUM(K6342:T6343)</f>
        <v>203370</v>
      </c>
      <c r="V6342" s="122"/>
      <c r="W6342" s="124"/>
      <c r="X6342" s="126" t="s">
        <v>18973</v>
      </c>
      <c r="Y6342" s="127"/>
      <c r="Z6342" s="127"/>
      <c r="AA6342" s="127"/>
      <c r="AB6342" s="128"/>
      <c r="AC6342" s="15" t="s">
        <v>20</v>
      </c>
      <c r="AD6342" s="129"/>
      <c r="AE6342" s="130"/>
      <c r="AF6342" s="130"/>
      <c r="AG6342" s="130"/>
      <c r="AH6342" s="130"/>
      <c r="AI6342" s="131"/>
      <c r="AJ6342" s="132"/>
      <c r="AK6342" s="127"/>
      <c r="AL6342" s="128"/>
      <c r="AM6342" s="21"/>
      <c r="AN6342" s="133">
        <v>46088</v>
      </c>
      <c r="AO6342" s="134"/>
      <c r="AP6342" s="135">
        <v>1291</v>
      </c>
      <c r="AQ6342" s="136"/>
      <c r="AR6342" s="118">
        <v>245000</v>
      </c>
      <c r="AS6342" s="119"/>
      <c r="AT6342" s="118">
        <f t="shared" ref="AT6342" si="8617">AR6342*0.1</f>
        <v>24500</v>
      </c>
      <c r="AU6342" s="119"/>
      <c r="AV6342" s="118">
        <v>9770</v>
      </c>
      <c r="AW6342" s="119"/>
      <c r="AX6342" s="118">
        <f t="shared" ref="AX6342" si="8618">SUM(AR6342:AW6342)</f>
        <v>279270</v>
      </c>
      <c r="AY6342" s="119"/>
      <c r="AZ6342" s="137">
        <v>46091</v>
      </c>
    </row>
    <row r="6343" spans="1:52" ht="17.100000000000001" customHeight="1" thickBot="1">
      <c r="A6343" s="110"/>
      <c r="B6343" s="27" t="s">
        <v>3957</v>
      </c>
      <c r="C6343" s="27">
        <v>119</v>
      </c>
      <c r="D6343" s="14" t="s">
        <v>2800</v>
      </c>
      <c r="E6343" s="112"/>
      <c r="F6343" s="139" t="s">
        <v>18426</v>
      </c>
      <c r="G6343" s="140"/>
      <c r="H6343" s="141"/>
      <c r="I6343" s="26">
        <v>54816</v>
      </c>
      <c r="J6343" s="117"/>
      <c r="K6343" s="120"/>
      <c r="L6343" s="121"/>
      <c r="M6343" s="120"/>
      <c r="N6343" s="121"/>
      <c r="O6343" s="120"/>
      <c r="P6343" s="121"/>
      <c r="Q6343" s="120"/>
      <c r="R6343" s="121"/>
      <c r="S6343" s="120"/>
      <c r="T6343" s="121"/>
      <c r="U6343" s="120"/>
      <c r="V6343" s="123"/>
      <c r="W6343" s="125"/>
      <c r="X6343" s="142" t="s">
        <v>18974</v>
      </c>
      <c r="Y6343" s="143"/>
      <c r="Z6343" s="143"/>
      <c r="AA6343" s="143"/>
      <c r="AB6343" s="144"/>
      <c r="AC6343" s="16" t="s">
        <v>21</v>
      </c>
      <c r="AD6343" s="17" t="s">
        <v>18720</v>
      </c>
      <c r="AE6343" s="145"/>
      <c r="AF6343" s="146"/>
      <c r="AG6343" s="146"/>
      <c r="AH6343" s="146"/>
      <c r="AI6343" s="147"/>
      <c r="AJ6343" s="148"/>
      <c r="AK6343" s="143"/>
      <c r="AL6343" s="144"/>
      <c r="AM6343" s="22"/>
      <c r="AN6343" s="149" t="s">
        <v>2511</v>
      </c>
      <c r="AO6343" s="144"/>
      <c r="AP6343" s="148">
        <v>60213</v>
      </c>
      <c r="AQ6343" s="144"/>
      <c r="AR6343" s="120"/>
      <c r="AS6343" s="121"/>
      <c r="AT6343" s="120"/>
      <c r="AU6343" s="121"/>
      <c r="AV6343" s="120"/>
      <c r="AW6343" s="121"/>
      <c r="AX6343" s="120"/>
      <c r="AY6343" s="121"/>
      <c r="AZ6343" s="138"/>
    </row>
    <row r="6344" spans="1:52" ht="17.100000000000001" customHeight="1" thickTop="1">
      <c r="A6344" s="109" t="s">
        <v>18420</v>
      </c>
      <c r="B6344" s="28">
        <v>46073</v>
      </c>
      <c r="C6344" s="25">
        <v>279</v>
      </c>
      <c r="D6344" s="13" t="s">
        <v>2084</v>
      </c>
      <c r="E6344" s="111"/>
      <c r="F6344" s="113" t="s">
        <v>4218</v>
      </c>
      <c r="G6344" s="114"/>
      <c r="H6344" s="115"/>
      <c r="I6344" s="24"/>
      <c r="J6344" s="116">
        <v>4.5</v>
      </c>
      <c r="K6344" s="118">
        <v>856000</v>
      </c>
      <c r="L6344" s="119"/>
      <c r="M6344" s="118">
        <f t="shared" ref="M6344" si="8619">K6344*0.1</f>
        <v>85600</v>
      </c>
      <c r="N6344" s="119"/>
      <c r="O6344" s="118">
        <v>0</v>
      </c>
      <c r="P6344" s="119"/>
      <c r="Q6344" s="118">
        <v>6470</v>
      </c>
      <c r="R6344" s="119"/>
      <c r="S6344" s="118">
        <v>22000</v>
      </c>
      <c r="T6344" s="119"/>
      <c r="U6344" s="118">
        <f t="shared" ref="U6344" si="8620">SUM(K6344:T6345)</f>
        <v>970070</v>
      </c>
      <c r="V6344" s="122"/>
      <c r="W6344" s="124"/>
      <c r="X6344" s="126" t="s">
        <v>18914</v>
      </c>
      <c r="Y6344" s="127"/>
      <c r="Z6344" s="127"/>
      <c r="AA6344" s="127"/>
      <c r="AB6344" s="128"/>
      <c r="AC6344" s="15" t="s">
        <v>20</v>
      </c>
      <c r="AD6344" s="129" t="s">
        <v>18489</v>
      </c>
      <c r="AE6344" s="130"/>
      <c r="AF6344" s="130"/>
      <c r="AG6344" s="130"/>
      <c r="AH6344" s="130"/>
      <c r="AI6344" s="131"/>
      <c r="AJ6344" s="132"/>
      <c r="AK6344" s="127"/>
      <c r="AL6344" s="128"/>
      <c r="AM6344" s="21"/>
      <c r="AN6344" s="133">
        <v>46077</v>
      </c>
      <c r="AO6344" s="134"/>
      <c r="AP6344" s="135">
        <v>1930</v>
      </c>
      <c r="AQ6344" s="136"/>
      <c r="AR6344" s="118">
        <v>939000</v>
      </c>
      <c r="AS6344" s="119"/>
      <c r="AT6344" s="118">
        <f t="shared" ref="AT6344" si="8621">AR6344*0.1</f>
        <v>93900</v>
      </c>
      <c r="AU6344" s="119"/>
      <c r="AV6344" s="118">
        <v>6470</v>
      </c>
      <c r="AW6344" s="119"/>
      <c r="AX6344" s="118">
        <f t="shared" ref="AX6344" si="8622">SUM(AR6344:AW6344)</f>
        <v>1039370</v>
      </c>
      <c r="AY6344" s="119"/>
      <c r="AZ6344" s="137"/>
    </row>
    <row r="6345" spans="1:52" ht="17.100000000000001" customHeight="1" thickBot="1">
      <c r="A6345" s="110"/>
      <c r="B6345" s="27" t="s">
        <v>3957</v>
      </c>
      <c r="C6345" s="27">
        <v>143</v>
      </c>
      <c r="D6345" s="14" t="s">
        <v>1592</v>
      </c>
      <c r="E6345" s="112"/>
      <c r="F6345" s="139" t="s">
        <v>18427</v>
      </c>
      <c r="G6345" s="140"/>
      <c r="H6345" s="141"/>
      <c r="I6345" s="26">
        <v>5631</v>
      </c>
      <c r="J6345" s="117"/>
      <c r="K6345" s="120"/>
      <c r="L6345" s="121"/>
      <c r="M6345" s="120"/>
      <c r="N6345" s="121"/>
      <c r="O6345" s="120"/>
      <c r="P6345" s="121"/>
      <c r="Q6345" s="120"/>
      <c r="R6345" s="121"/>
      <c r="S6345" s="120"/>
      <c r="T6345" s="121"/>
      <c r="U6345" s="120"/>
      <c r="V6345" s="123"/>
      <c r="W6345" s="125"/>
      <c r="X6345" s="142" t="s">
        <v>18915</v>
      </c>
      <c r="Y6345" s="143"/>
      <c r="Z6345" s="143"/>
      <c r="AA6345" s="143"/>
      <c r="AB6345" s="144"/>
      <c r="AC6345" s="16" t="s">
        <v>21</v>
      </c>
      <c r="AD6345" s="17" t="s">
        <v>18720</v>
      </c>
      <c r="AE6345" s="145"/>
      <c r="AF6345" s="146"/>
      <c r="AG6345" s="146"/>
      <c r="AH6345" s="146"/>
      <c r="AI6345" s="147"/>
      <c r="AJ6345" s="148"/>
      <c r="AK6345" s="143"/>
      <c r="AL6345" s="144"/>
      <c r="AM6345" s="22"/>
      <c r="AN6345" s="149" t="s">
        <v>2131</v>
      </c>
      <c r="AO6345" s="144"/>
      <c r="AP6345" s="148">
        <v>3295</v>
      </c>
      <c r="AQ6345" s="144"/>
      <c r="AR6345" s="120"/>
      <c r="AS6345" s="121"/>
      <c r="AT6345" s="120"/>
      <c r="AU6345" s="121"/>
      <c r="AV6345" s="120"/>
      <c r="AW6345" s="121"/>
      <c r="AX6345" s="120"/>
      <c r="AY6345" s="121"/>
      <c r="AZ6345" s="138"/>
    </row>
    <row r="6346" spans="1:52" ht="17.100000000000001" customHeight="1" thickTop="1">
      <c r="A6346" s="109" t="s">
        <v>18421</v>
      </c>
      <c r="B6346" s="28">
        <v>46073</v>
      </c>
      <c r="C6346" s="25">
        <v>279</v>
      </c>
      <c r="D6346" s="13" t="s">
        <v>2059</v>
      </c>
      <c r="E6346" s="111"/>
      <c r="F6346" s="113" t="s">
        <v>18490</v>
      </c>
      <c r="G6346" s="114"/>
      <c r="H6346" s="115"/>
      <c r="I6346" s="24"/>
      <c r="J6346" s="116">
        <v>4</v>
      </c>
      <c r="K6346" s="118">
        <v>435000</v>
      </c>
      <c r="L6346" s="119"/>
      <c r="M6346" s="118">
        <f t="shared" ref="M6346" si="8623">K6346*0.1</f>
        <v>43500</v>
      </c>
      <c r="N6346" s="119"/>
      <c r="O6346" s="118">
        <v>0</v>
      </c>
      <c r="P6346" s="119"/>
      <c r="Q6346" s="118">
        <v>9290</v>
      </c>
      <c r="R6346" s="119"/>
      <c r="S6346" s="118">
        <v>22000</v>
      </c>
      <c r="T6346" s="119"/>
      <c r="U6346" s="118">
        <f t="shared" ref="U6346" si="8624">SUM(K6346:T6347)</f>
        <v>509790</v>
      </c>
      <c r="V6346" s="122"/>
      <c r="W6346" s="124"/>
      <c r="X6346" s="126" t="s">
        <v>18939</v>
      </c>
      <c r="Y6346" s="127"/>
      <c r="Z6346" s="127"/>
      <c r="AA6346" s="127"/>
      <c r="AB6346" s="128"/>
      <c r="AC6346" s="15" t="s">
        <v>20</v>
      </c>
      <c r="AD6346" s="129"/>
      <c r="AE6346" s="130"/>
      <c r="AF6346" s="130"/>
      <c r="AG6346" s="130"/>
      <c r="AH6346" s="130"/>
      <c r="AI6346" s="131"/>
      <c r="AJ6346" s="132"/>
      <c r="AK6346" s="127"/>
      <c r="AL6346" s="128"/>
      <c r="AM6346" s="21"/>
      <c r="AN6346" s="133">
        <v>46085</v>
      </c>
      <c r="AO6346" s="134"/>
      <c r="AP6346" s="135">
        <v>1007</v>
      </c>
      <c r="AQ6346" s="136"/>
      <c r="AR6346" s="118">
        <v>500000</v>
      </c>
      <c r="AS6346" s="119"/>
      <c r="AT6346" s="118">
        <f t="shared" ref="AT6346" si="8625">AR6346*0.1</f>
        <v>50000</v>
      </c>
      <c r="AU6346" s="119"/>
      <c r="AV6346" s="118">
        <v>9290</v>
      </c>
      <c r="AW6346" s="119"/>
      <c r="AX6346" s="118">
        <f t="shared" ref="AX6346" si="8626">SUM(AR6346:AW6346)</f>
        <v>559290</v>
      </c>
      <c r="AY6346" s="119"/>
      <c r="AZ6346" s="137">
        <v>46090</v>
      </c>
    </row>
    <row r="6347" spans="1:52" ht="17.100000000000001" customHeight="1" thickBot="1">
      <c r="A6347" s="110"/>
      <c r="B6347" s="27" t="s">
        <v>3957</v>
      </c>
      <c r="C6347" s="27">
        <v>20033</v>
      </c>
      <c r="D6347" s="14" t="s">
        <v>2040</v>
      </c>
      <c r="E6347" s="112"/>
      <c r="F6347" s="139" t="s">
        <v>18428</v>
      </c>
      <c r="G6347" s="140"/>
      <c r="H6347" s="141"/>
      <c r="I6347" s="26">
        <v>50630</v>
      </c>
      <c r="J6347" s="117"/>
      <c r="K6347" s="120"/>
      <c r="L6347" s="121"/>
      <c r="M6347" s="120"/>
      <c r="N6347" s="121"/>
      <c r="O6347" s="120"/>
      <c r="P6347" s="121"/>
      <c r="Q6347" s="120"/>
      <c r="R6347" s="121"/>
      <c r="S6347" s="120"/>
      <c r="T6347" s="121"/>
      <c r="U6347" s="120"/>
      <c r="V6347" s="123"/>
      <c r="W6347" s="125"/>
      <c r="X6347" s="142" t="s">
        <v>6913</v>
      </c>
      <c r="Y6347" s="143"/>
      <c r="Z6347" s="143"/>
      <c r="AA6347" s="143"/>
      <c r="AB6347" s="144"/>
      <c r="AC6347" s="16" t="s">
        <v>21</v>
      </c>
      <c r="AD6347" s="17" t="s">
        <v>3616</v>
      </c>
      <c r="AE6347" s="145"/>
      <c r="AF6347" s="146"/>
      <c r="AG6347" s="146"/>
      <c r="AH6347" s="146"/>
      <c r="AI6347" s="147"/>
      <c r="AJ6347" s="148"/>
      <c r="AK6347" s="143"/>
      <c r="AL6347" s="144"/>
      <c r="AM6347" s="22"/>
      <c r="AN6347" s="149" t="s">
        <v>2794</v>
      </c>
      <c r="AO6347" s="144"/>
      <c r="AP6347" s="148">
        <v>2048</v>
      </c>
      <c r="AQ6347" s="144"/>
      <c r="AR6347" s="120"/>
      <c r="AS6347" s="121"/>
      <c r="AT6347" s="120"/>
      <c r="AU6347" s="121"/>
      <c r="AV6347" s="120"/>
      <c r="AW6347" s="121"/>
      <c r="AX6347" s="120"/>
      <c r="AY6347" s="121"/>
      <c r="AZ6347" s="138"/>
    </row>
    <row r="6348" spans="1:52" ht="17.100000000000001" customHeight="1" thickTop="1">
      <c r="A6348" s="109" t="s">
        <v>18422</v>
      </c>
      <c r="B6348" s="28">
        <v>46073</v>
      </c>
      <c r="C6348" s="25">
        <v>279</v>
      </c>
      <c r="D6348" s="13" t="s">
        <v>2001</v>
      </c>
      <c r="E6348" s="111"/>
      <c r="F6348" s="113" t="s">
        <v>12319</v>
      </c>
      <c r="G6348" s="114"/>
      <c r="H6348" s="115"/>
      <c r="I6348" s="24"/>
      <c r="J6348" s="116">
        <v>4.5</v>
      </c>
      <c r="K6348" s="118">
        <v>1025000</v>
      </c>
      <c r="L6348" s="119"/>
      <c r="M6348" s="118">
        <f t="shared" ref="M6348" si="8627">K6348*0.1</f>
        <v>102500</v>
      </c>
      <c r="N6348" s="119"/>
      <c r="O6348" s="118">
        <v>0</v>
      </c>
      <c r="P6348" s="119"/>
      <c r="Q6348" s="118">
        <v>6880</v>
      </c>
      <c r="R6348" s="119"/>
      <c r="S6348" s="118">
        <v>22000</v>
      </c>
      <c r="T6348" s="119"/>
      <c r="U6348" s="118">
        <f t="shared" ref="U6348" si="8628">SUM(K6348:T6349)</f>
        <v>1156380</v>
      </c>
      <c r="V6348" s="122"/>
      <c r="W6348" s="124"/>
      <c r="X6348" s="126" t="s">
        <v>18975</v>
      </c>
      <c r="Y6348" s="127"/>
      <c r="Z6348" s="127"/>
      <c r="AA6348" s="127"/>
      <c r="AB6348" s="128"/>
      <c r="AC6348" s="15" t="s">
        <v>20</v>
      </c>
      <c r="AD6348" s="129" t="s">
        <v>2395</v>
      </c>
      <c r="AE6348" s="130"/>
      <c r="AF6348" s="130"/>
      <c r="AG6348" s="130"/>
      <c r="AH6348" s="130"/>
      <c r="AI6348" s="131"/>
      <c r="AJ6348" s="132"/>
      <c r="AK6348" s="127"/>
      <c r="AL6348" s="128"/>
      <c r="AM6348" s="21"/>
      <c r="AN6348" s="133">
        <v>46084</v>
      </c>
      <c r="AO6348" s="134"/>
      <c r="AP6348" s="135">
        <v>1931</v>
      </c>
      <c r="AQ6348" s="136"/>
      <c r="AR6348" s="118">
        <v>1082000</v>
      </c>
      <c r="AS6348" s="119"/>
      <c r="AT6348" s="118">
        <f t="shared" ref="AT6348" si="8629">AR6348*0.1</f>
        <v>108200</v>
      </c>
      <c r="AU6348" s="119"/>
      <c r="AV6348" s="118">
        <v>6880</v>
      </c>
      <c r="AW6348" s="119"/>
      <c r="AX6348" s="118">
        <f t="shared" ref="AX6348" si="8630">SUM(AR6348:AW6348)</f>
        <v>1197080</v>
      </c>
      <c r="AY6348" s="119"/>
      <c r="AZ6348" s="137">
        <v>46091</v>
      </c>
    </row>
    <row r="6349" spans="1:52" ht="17.100000000000001" customHeight="1" thickBot="1">
      <c r="A6349" s="110"/>
      <c r="B6349" s="27" t="s">
        <v>3957</v>
      </c>
      <c r="C6349" s="27">
        <v>20059</v>
      </c>
      <c r="D6349" s="14" t="s">
        <v>1635</v>
      </c>
      <c r="E6349" s="112"/>
      <c r="F6349" s="139" t="s">
        <v>18429</v>
      </c>
      <c r="G6349" s="140"/>
      <c r="H6349" s="141"/>
      <c r="I6349" s="26">
        <v>32859</v>
      </c>
      <c r="J6349" s="117"/>
      <c r="K6349" s="120"/>
      <c r="L6349" s="121"/>
      <c r="M6349" s="120"/>
      <c r="N6349" s="121"/>
      <c r="O6349" s="120"/>
      <c r="P6349" s="121"/>
      <c r="Q6349" s="120"/>
      <c r="R6349" s="121"/>
      <c r="S6349" s="120"/>
      <c r="T6349" s="121"/>
      <c r="U6349" s="120"/>
      <c r="V6349" s="123"/>
      <c r="W6349" s="125"/>
      <c r="X6349" s="142" t="s">
        <v>18976</v>
      </c>
      <c r="Y6349" s="143"/>
      <c r="Z6349" s="143"/>
      <c r="AA6349" s="143"/>
      <c r="AB6349" s="144"/>
      <c r="AC6349" s="16" t="s">
        <v>21</v>
      </c>
      <c r="AD6349" s="17" t="s">
        <v>18720</v>
      </c>
      <c r="AE6349" s="145" t="s">
        <v>2395</v>
      </c>
      <c r="AF6349" s="146"/>
      <c r="AG6349" s="146"/>
      <c r="AH6349" s="146"/>
      <c r="AI6349" s="147"/>
      <c r="AJ6349" s="148"/>
      <c r="AK6349" s="143"/>
      <c r="AL6349" s="144"/>
      <c r="AM6349" s="22"/>
      <c r="AN6349" s="149" t="s">
        <v>2131</v>
      </c>
      <c r="AO6349" s="144"/>
      <c r="AP6349" s="148">
        <v>3173</v>
      </c>
      <c r="AQ6349" s="144"/>
      <c r="AR6349" s="120"/>
      <c r="AS6349" s="121"/>
      <c r="AT6349" s="120"/>
      <c r="AU6349" s="121"/>
      <c r="AV6349" s="120"/>
      <c r="AW6349" s="121"/>
      <c r="AX6349" s="120"/>
      <c r="AY6349" s="121"/>
      <c r="AZ6349" s="138"/>
    </row>
    <row r="6350" spans="1:52" ht="17.100000000000001" customHeight="1" thickTop="1">
      <c r="A6350" s="151" t="s">
        <v>18458</v>
      </c>
      <c r="B6350" s="28">
        <v>46073</v>
      </c>
      <c r="C6350" s="25">
        <v>1407</v>
      </c>
      <c r="D6350" s="13" t="s">
        <v>2348</v>
      </c>
      <c r="E6350" s="111"/>
      <c r="F6350" s="113" t="s">
        <v>6741</v>
      </c>
      <c r="G6350" s="114"/>
      <c r="H6350" s="115"/>
      <c r="I6350" s="24"/>
      <c r="J6350" s="116">
        <v>3.5</v>
      </c>
      <c r="K6350" s="118">
        <v>611000</v>
      </c>
      <c r="L6350" s="119"/>
      <c r="M6350" s="118">
        <f t="shared" ref="M6350" si="8631">K6350*0.1</f>
        <v>61100</v>
      </c>
      <c r="N6350" s="119"/>
      <c r="O6350" s="118">
        <v>0</v>
      </c>
      <c r="P6350" s="119"/>
      <c r="Q6350" s="118">
        <v>5870</v>
      </c>
      <c r="R6350" s="119"/>
      <c r="S6350" s="118">
        <v>15400</v>
      </c>
      <c r="T6350" s="119"/>
      <c r="U6350" s="118">
        <f t="shared" ref="U6350" si="8632">SUM(K6350:T6351)</f>
        <v>693370</v>
      </c>
      <c r="V6350" s="122"/>
      <c r="W6350" s="124"/>
      <c r="X6350" s="126"/>
      <c r="Y6350" s="127"/>
      <c r="Z6350" s="127"/>
      <c r="AA6350" s="127"/>
      <c r="AB6350" s="128"/>
      <c r="AC6350" s="15" t="s">
        <v>20</v>
      </c>
      <c r="AD6350" s="129"/>
      <c r="AE6350" s="130"/>
      <c r="AF6350" s="130"/>
      <c r="AG6350" s="130"/>
      <c r="AH6350" s="130"/>
      <c r="AI6350" s="131"/>
      <c r="AJ6350" s="132" t="s">
        <v>18584</v>
      </c>
      <c r="AK6350" s="127"/>
      <c r="AL6350" s="128"/>
      <c r="AM6350" s="21"/>
      <c r="AN6350" s="133"/>
      <c r="AO6350" s="134"/>
      <c r="AP6350" s="135"/>
      <c r="AQ6350" s="136"/>
      <c r="AR6350" s="118"/>
      <c r="AS6350" s="119"/>
      <c r="AT6350" s="118">
        <f t="shared" ref="AT6350" si="8633">AR6350*0.1</f>
        <v>0</v>
      </c>
      <c r="AU6350" s="119"/>
      <c r="AV6350" s="118"/>
      <c r="AW6350" s="119"/>
      <c r="AX6350" s="118">
        <f t="shared" ref="AX6350" si="8634">SUM(AR6350:AW6350)</f>
        <v>0</v>
      </c>
      <c r="AY6350" s="119"/>
      <c r="AZ6350" s="137"/>
    </row>
    <row r="6351" spans="1:52" ht="17.100000000000001" customHeight="1" thickBot="1">
      <c r="A6351" s="152"/>
      <c r="B6351" s="27" t="s">
        <v>2641</v>
      </c>
      <c r="C6351" s="27">
        <v>3008</v>
      </c>
      <c r="D6351" s="14" t="s">
        <v>1720</v>
      </c>
      <c r="E6351" s="112"/>
      <c r="F6351" s="139" t="s">
        <v>18430</v>
      </c>
      <c r="G6351" s="140"/>
      <c r="H6351" s="141"/>
      <c r="I6351" s="26">
        <v>11937</v>
      </c>
      <c r="J6351" s="117"/>
      <c r="K6351" s="120"/>
      <c r="L6351" s="121"/>
      <c r="M6351" s="120"/>
      <c r="N6351" s="121"/>
      <c r="O6351" s="120"/>
      <c r="P6351" s="121"/>
      <c r="Q6351" s="120"/>
      <c r="R6351" s="121"/>
      <c r="S6351" s="120"/>
      <c r="T6351" s="121"/>
      <c r="U6351" s="120"/>
      <c r="V6351" s="123"/>
      <c r="W6351" s="125"/>
      <c r="X6351" s="142"/>
      <c r="Y6351" s="143"/>
      <c r="Z6351" s="143"/>
      <c r="AA6351" s="143"/>
      <c r="AB6351" s="144"/>
      <c r="AC6351" s="16" t="s">
        <v>21</v>
      </c>
      <c r="AD6351" s="17" t="s">
        <v>10540</v>
      </c>
      <c r="AE6351" s="145"/>
      <c r="AF6351" s="146"/>
      <c r="AG6351" s="146"/>
      <c r="AH6351" s="146"/>
      <c r="AI6351" s="147"/>
      <c r="AJ6351" s="148"/>
      <c r="AK6351" s="143"/>
      <c r="AL6351" s="144"/>
      <c r="AM6351" s="22"/>
      <c r="AN6351" s="149"/>
      <c r="AO6351" s="144"/>
      <c r="AP6351" s="148"/>
      <c r="AQ6351" s="144"/>
      <c r="AR6351" s="120"/>
      <c r="AS6351" s="121"/>
      <c r="AT6351" s="120"/>
      <c r="AU6351" s="121"/>
      <c r="AV6351" s="120"/>
      <c r="AW6351" s="121"/>
      <c r="AX6351" s="120"/>
      <c r="AY6351" s="121"/>
      <c r="AZ6351" s="138"/>
    </row>
    <row r="6352" spans="1:52" ht="17.100000000000001" customHeight="1" thickTop="1">
      <c r="A6352" s="109" t="s">
        <v>18459</v>
      </c>
      <c r="B6352" s="28">
        <v>46073</v>
      </c>
      <c r="C6352" s="25">
        <v>1407</v>
      </c>
      <c r="D6352" s="13" t="s">
        <v>2606</v>
      </c>
      <c r="E6352" s="111"/>
      <c r="F6352" s="113" t="s">
        <v>7085</v>
      </c>
      <c r="G6352" s="114"/>
      <c r="H6352" s="115"/>
      <c r="I6352" s="24" t="s">
        <v>18079</v>
      </c>
      <c r="J6352" s="116">
        <v>4.5</v>
      </c>
      <c r="K6352" s="118">
        <v>1595000</v>
      </c>
      <c r="L6352" s="119"/>
      <c r="M6352" s="118">
        <f t="shared" ref="M6352" si="8635">K6352*0.1</f>
        <v>159500</v>
      </c>
      <c r="N6352" s="119"/>
      <c r="O6352" s="118">
        <v>0</v>
      </c>
      <c r="P6352" s="119"/>
      <c r="Q6352" s="118">
        <v>8360</v>
      </c>
      <c r="R6352" s="119"/>
      <c r="S6352" s="118">
        <v>15400</v>
      </c>
      <c r="T6352" s="119"/>
      <c r="U6352" s="118">
        <f t="shared" ref="U6352" si="8636">SUM(K6352:T6353)</f>
        <v>1778260</v>
      </c>
      <c r="V6352" s="122"/>
      <c r="W6352" s="124"/>
      <c r="X6352" s="126" t="s">
        <v>18945</v>
      </c>
      <c r="Y6352" s="127"/>
      <c r="Z6352" s="127"/>
      <c r="AA6352" s="127"/>
      <c r="AB6352" s="128"/>
      <c r="AC6352" s="15" t="s">
        <v>20</v>
      </c>
      <c r="AD6352" s="129" t="s">
        <v>2198</v>
      </c>
      <c r="AE6352" s="130"/>
      <c r="AF6352" s="130"/>
      <c r="AG6352" s="130"/>
      <c r="AH6352" s="130"/>
      <c r="AI6352" s="131"/>
      <c r="AJ6352" s="132"/>
      <c r="AK6352" s="127"/>
      <c r="AL6352" s="128"/>
      <c r="AM6352" s="21"/>
      <c r="AN6352" s="133">
        <v>46081</v>
      </c>
      <c r="AO6352" s="134"/>
      <c r="AP6352" s="135">
        <v>1290</v>
      </c>
      <c r="AQ6352" s="136"/>
      <c r="AR6352" s="118">
        <v>1670000</v>
      </c>
      <c r="AS6352" s="119"/>
      <c r="AT6352" s="118">
        <f t="shared" ref="AT6352" si="8637">AR6352*0.1</f>
        <v>167000</v>
      </c>
      <c r="AU6352" s="119"/>
      <c r="AV6352" s="118">
        <v>8360</v>
      </c>
      <c r="AW6352" s="119"/>
      <c r="AX6352" s="118">
        <f t="shared" ref="AX6352" si="8638">SUM(AR6352:AW6352)</f>
        <v>1845360</v>
      </c>
      <c r="AY6352" s="119"/>
      <c r="AZ6352" s="137">
        <v>46084</v>
      </c>
    </row>
    <row r="6353" spans="1:52" ht="17.100000000000001" customHeight="1" thickBot="1">
      <c r="A6353" s="110"/>
      <c r="B6353" s="27" t="s">
        <v>2641</v>
      </c>
      <c r="C6353" s="27">
        <v>3010</v>
      </c>
      <c r="D6353" s="14" t="s">
        <v>1812</v>
      </c>
      <c r="E6353" s="112"/>
      <c r="F6353" s="139" t="s">
        <v>18431</v>
      </c>
      <c r="G6353" s="140"/>
      <c r="H6353" s="141"/>
      <c r="I6353" s="26">
        <v>44075</v>
      </c>
      <c r="J6353" s="117"/>
      <c r="K6353" s="120"/>
      <c r="L6353" s="121"/>
      <c r="M6353" s="120"/>
      <c r="N6353" s="121"/>
      <c r="O6353" s="120"/>
      <c r="P6353" s="121"/>
      <c r="Q6353" s="120"/>
      <c r="R6353" s="121"/>
      <c r="S6353" s="120"/>
      <c r="T6353" s="121"/>
      <c r="U6353" s="120"/>
      <c r="V6353" s="123"/>
      <c r="W6353" s="125"/>
      <c r="X6353" s="142" t="s">
        <v>18946</v>
      </c>
      <c r="Y6353" s="143"/>
      <c r="Z6353" s="143"/>
      <c r="AA6353" s="143"/>
      <c r="AB6353" s="144"/>
      <c r="AC6353" s="16" t="s">
        <v>21</v>
      </c>
      <c r="AD6353" s="17" t="s">
        <v>3616</v>
      </c>
      <c r="AE6353" s="145" t="s">
        <v>8039</v>
      </c>
      <c r="AF6353" s="146"/>
      <c r="AG6353" s="146"/>
      <c r="AH6353" s="146"/>
      <c r="AI6353" s="147"/>
      <c r="AJ6353" s="148"/>
      <c r="AK6353" s="143"/>
      <c r="AL6353" s="144"/>
      <c r="AM6353" s="22"/>
      <c r="AN6353" s="149" t="s">
        <v>2511</v>
      </c>
      <c r="AO6353" s="144"/>
      <c r="AP6353" s="148">
        <v>60224</v>
      </c>
      <c r="AQ6353" s="144"/>
      <c r="AR6353" s="120"/>
      <c r="AS6353" s="121"/>
      <c r="AT6353" s="120"/>
      <c r="AU6353" s="121"/>
      <c r="AV6353" s="120"/>
      <c r="AW6353" s="121"/>
      <c r="AX6353" s="120"/>
      <c r="AY6353" s="121"/>
      <c r="AZ6353" s="138"/>
    </row>
    <row r="6354" spans="1:52" ht="17.100000000000001" customHeight="1" thickTop="1">
      <c r="A6354" s="109" t="s">
        <v>18460</v>
      </c>
      <c r="B6354" s="28">
        <v>46073</v>
      </c>
      <c r="C6354" s="25">
        <v>1407</v>
      </c>
      <c r="D6354" s="13" t="s">
        <v>1059</v>
      </c>
      <c r="E6354" s="111"/>
      <c r="F6354" s="113" t="s">
        <v>11364</v>
      </c>
      <c r="G6354" s="114"/>
      <c r="H6354" s="115"/>
      <c r="I6354" s="24" t="s">
        <v>17254</v>
      </c>
      <c r="J6354" s="116">
        <v>4</v>
      </c>
      <c r="K6354" s="118">
        <v>950000</v>
      </c>
      <c r="L6354" s="119"/>
      <c r="M6354" s="118">
        <f t="shared" ref="M6354" si="8639">K6354*0.1</f>
        <v>95000</v>
      </c>
      <c r="N6354" s="119"/>
      <c r="O6354" s="118">
        <v>0</v>
      </c>
      <c r="P6354" s="119"/>
      <c r="Q6354" s="118">
        <v>6880</v>
      </c>
      <c r="R6354" s="119"/>
      <c r="S6354" s="118">
        <v>15400</v>
      </c>
      <c r="T6354" s="119"/>
      <c r="U6354" s="118">
        <f t="shared" ref="U6354" si="8640">SUM(K6354:T6355)</f>
        <v>1067280</v>
      </c>
      <c r="V6354" s="122"/>
      <c r="W6354" s="124"/>
      <c r="X6354" s="126" t="s">
        <v>19304</v>
      </c>
      <c r="Y6354" s="127"/>
      <c r="Z6354" s="127"/>
      <c r="AA6354" s="127"/>
      <c r="AB6354" s="128"/>
      <c r="AC6354" s="15" t="s">
        <v>20</v>
      </c>
      <c r="AD6354" s="129" t="s">
        <v>171</v>
      </c>
      <c r="AE6354" s="130"/>
      <c r="AF6354" s="130"/>
      <c r="AG6354" s="130"/>
      <c r="AH6354" s="130"/>
      <c r="AI6354" s="131"/>
      <c r="AJ6354" s="132"/>
      <c r="AK6354" s="127"/>
      <c r="AL6354" s="128"/>
      <c r="AM6354" s="21"/>
      <c r="AN6354" s="133">
        <v>46078</v>
      </c>
      <c r="AO6354" s="134"/>
      <c r="AP6354" s="135">
        <v>1006</v>
      </c>
      <c r="AQ6354" s="136"/>
      <c r="AR6354" s="118">
        <v>1020000</v>
      </c>
      <c r="AS6354" s="119"/>
      <c r="AT6354" s="118">
        <f t="shared" ref="AT6354" si="8641">AR6354*0.1</f>
        <v>102000</v>
      </c>
      <c r="AU6354" s="119"/>
      <c r="AV6354" s="118">
        <v>6880</v>
      </c>
      <c r="AW6354" s="119"/>
      <c r="AX6354" s="118">
        <f t="shared" ref="AX6354" si="8642">SUM(AR6354:AW6354)</f>
        <v>1128880</v>
      </c>
      <c r="AY6354" s="119"/>
      <c r="AZ6354" s="137">
        <v>46086</v>
      </c>
    </row>
    <row r="6355" spans="1:52" ht="17.100000000000001" customHeight="1" thickBot="1">
      <c r="A6355" s="110"/>
      <c r="B6355" s="27" t="s">
        <v>2641</v>
      </c>
      <c r="C6355" s="27">
        <v>3012</v>
      </c>
      <c r="D6355" s="14" t="s">
        <v>1635</v>
      </c>
      <c r="E6355" s="112"/>
      <c r="F6355" s="139" t="s">
        <v>18432</v>
      </c>
      <c r="G6355" s="140"/>
      <c r="H6355" s="141"/>
      <c r="I6355" s="26">
        <v>39206</v>
      </c>
      <c r="J6355" s="117"/>
      <c r="K6355" s="120"/>
      <c r="L6355" s="121"/>
      <c r="M6355" s="120"/>
      <c r="N6355" s="121"/>
      <c r="O6355" s="120"/>
      <c r="P6355" s="121"/>
      <c r="Q6355" s="120"/>
      <c r="R6355" s="121"/>
      <c r="S6355" s="120"/>
      <c r="T6355" s="121"/>
      <c r="U6355" s="120"/>
      <c r="V6355" s="123"/>
      <c r="W6355" s="125"/>
      <c r="X6355" s="142" t="s">
        <v>1673</v>
      </c>
      <c r="Y6355" s="143"/>
      <c r="Z6355" s="143"/>
      <c r="AA6355" s="143"/>
      <c r="AB6355" s="144"/>
      <c r="AC6355" s="16" t="s">
        <v>21</v>
      </c>
      <c r="AD6355" s="17" t="s">
        <v>3980</v>
      </c>
      <c r="AE6355" s="145" t="s">
        <v>19305</v>
      </c>
      <c r="AF6355" s="146"/>
      <c r="AG6355" s="146"/>
      <c r="AH6355" s="146"/>
      <c r="AI6355" s="147"/>
      <c r="AJ6355" s="148"/>
      <c r="AK6355" s="143"/>
      <c r="AL6355" s="144"/>
      <c r="AM6355" s="22"/>
      <c r="AN6355" s="149" t="s">
        <v>2794</v>
      </c>
      <c r="AO6355" s="144"/>
      <c r="AP6355" s="148">
        <v>5214</v>
      </c>
      <c r="AQ6355" s="144"/>
      <c r="AR6355" s="120"/>
      <c r="AS6355" s="121"/>
      <c r="AT6355" s="120"/>
      <c r="AU6355" s="121"/>
      <c r="AV6355" s="120"/>
      <c r="AW6355" s="121"/>
      <c r="AX6355" s="120"/>
      <c r="AY6355" s="121"/>
      <c r="AZ6355" s="138"/>
    </row>
    <row r="6356" spans="1:52" ht="17.100000000000001" customHeight="1" thickTop="1">
      <c r="A6356" s="109" t="s">
        <v>18461</v>
      </c>
      <c r="B6356" s="28">
        <v>46073</v>
      </c>
      <c r="C6356" s="25">
        <v>1407</v>
      </c>
      <c r="D6356" s="13" t="s">
        <v>3003</v>
      </c>
      <c r="E6356" s="111"/>
      <c r="F6356" s="113" t="s">
        <v>18433</v>
      </c>
      <c r="G6356" s="114"/>
      <c r="H6356" s="115"/>
      <c r="I6356" s="24" t="s">
        <v>18496</v>
      </c>
      <c r="J6356" s="116">
        <v>6</v>
      </c>
      <c r="K6356" s="118">
        <v>1598000</v>
      </c>
      <c r="L6356" s="119"/>
      <c r="M6356" s="118">
        <f t="shared" ref="M6356" si="8643">K6356*0.1</f>
        <v>159800</v>
      </c>
      <c r="N6356" s="119"/>
      <c r="O6356" s="118">
        <v>0</v>
      </c>
      <c r="P6356" s="119"/>
      <c r="Q6356" s="118">
        <v>8310</v>
      </c>
      <c r="R6356" s="119"/>
      <c r="S6356" s="118">
        <v>15400</v>
      </c>
      <c r="T6356" s="119"/>
      <c r="U6356" s="118">
        <f t="shared" ref="U6356" si="8644">SUM(K6356:T6357)</f>
        <v>1781510</v>
      </c>
      <c r="V6356" s="122"/>
      <c r="W6356" s="124"/>
      <c r="X6356" s="126" t="s">
        <v>18943</v>
      </c>
      <c r="Y6356" s="127"/>
      <c r="Z6356" s="127"/>
      <c r="AA6356" s="127"/>
      <c r="AB6356" s="128"/>
      <c r="AC6356" s="15" t="s">
        <v>20</v>
      </c>
      <c r="AD6356" s="129" t="s">
        <v>2198</v>
      </c>
      <c r="AE6356" s="130"/>
      <c r="AF6356" s="130"/>
      <c r="AG6356" s="130"/>
      <c r="AH6356" s="130"/>
      <c r="AI6356" s="131"/>
      <c r="AJ6356" s="132"/>
      <c r="AK6356" s="127"/>
      <c r="AL6356" s="128"/>
      <c r="AM6356" s="21" t="s">
        <v>20969</v>
      </c>
      <c r="AN6356" s="133">
        <v>46105</v>
      </c>
      <c r="AO6356" s="134"/>
      <c r="AP6356" s="135">
        <v>1934</v>
      </c>
      <c r="AQ6356" s="136"/>
      <c r="AR6356" s="118">
        <v>1522000</v>
      </c>
      <c r="AS6356" s="119"/>
      <c r="AT6356" s="118">
        <f t="shared" ref="AT6356" si="8645">AR6356*0.1</f>
        <v>152200</v>
      </c>
      <c r="AU6356" s="119"/>
      <c r="AV6356" s="118">
        <v>8310</v>
      </c>
      <c r="AW6356" s="119"/>
      <c r="AX6356" s="118">
        <f t="shared" ref="AX6356" si="8646">SUM(AR6356:AW6356)</f>
        <v>1682510</v>
      </c>
      <c r="AY6356" s="119"/>
      <c r="AZ6356" s="137"/>
    </row>
    <row r="6357" spans="1:52" ht="17.100000000000001" customHeight="1" thickBot="1">
      <c r="A6357" s="110"/>
      <c r="B6357" s="27" t="s">
        <v>2641</v>
      </c>
      <c r="C6357" s="27">
        <v>3102</v>
      </c>
      <c r="D6357" s="14" t="s">
        <v>275</v>
      </c>
      <c r="E6357" s="112"/>
      <c r="F6357" s="139" t="s">
        <v>18434</v>
      </c>
      <c r="G6357" s="140"/>
      <c r="H6357" s="141"/>
      <c r="I6357" s="26">
        <v>3844</v>
      </c>
      <c r="J6357" s="117"/>
      <c r="K6357" s="120"/>
      <c r="L6357" s="121"/>
      <c r="M6357" s="120"/>
      <c r="N6357" s="121"/>
      <c r="O6357" s="120"/>
      <c r="P6357" s="121"/>
      <c r="Q6357" s="120"/>
      <c r="R6357" s="121"/>
      <c r="S6357" s="120"/>
      <c r="T6357" s="121"/>
      <c r="U6357" s="120"/>
      <c r="V6357" s="123"/>
      <c r="W6357" s="125"/>
      <c r="X6357" s="142" t="s">
        <v>18944</v>
      </c>
      <c r="Y6357" s="143"/>
      <c r="Z6357" s="143"/>
      <c r="AA6357" s="143"/>
      <c r="AB6357" s="144"/>
      <c r="AC6357" s="16" t="s">
        <v>21</v>
      </c>
      <c r="AD6357" s="17" t="s">
        <v>3616</v>
      </c>
      <c r="AE6357" s="145" t="s">
        <v>2347</v>
      </c>
      <c r="AF6357" s="146"/>
      <c r="AG6357" s="146"/>
      <c r="AH6357" s="146"/>
      <c r="AI6357" s="147"/>
      <c r="AJ6357" s="148"/>
      <c r="AK6357" s="143"/>
      <c r="AL6357" s="144"/>
      <c r="AM6357" s="22"/>
      <c r="AN6357" s="149" t="s">
        <v>2131</v>
      </c>
      <c r="AO6357" s="144"/>
      <c r="AP6357" s="148">
        <v>3125</v>
      </c>
      <c r="AQ6357" s="144"/>
      <c r="AR6357" s="120"/>
      <c r="AS6357" s="121"/>
      <c r="AT6357" s="120"/>
      <c r="AU6357" s="121"/>
      <c r="AV6357" s="120"/>
      <c r="AW6357" s="121"/>
      <c r="AX6357" s="120"/>
      <c r="AY6357" s="121"/>
      <c r="AZ6357" s="138"/>
    </row>
    <row r="6358" spans="1:52" ht="17.100000000000001" customHeight="1" thickTop="1">
      <c r="A6358" s="109" t="s">
        <v>18462</v>
      </c>
      <c r="B6358" s="28">
        <v>46073</v>
      </c>
      <c r="C6358" s="25">
        <v>1407</v>
      </c>
      <c r="D6358" s="13" t="s">
        <v>2759</v>
      </c>
      <c r="E6358" s="111"/>
      <c r="F6358" s="113" t="s">
        <v>18435</v>
      </c>
      <c r="G6358" s="114"/>
      <c r="H6358" s="115"/>
      <c r="I6358" s="24" t="s">
        <v>12187</v>
      </c>
      <c r="J6358" s="116">
        <v>4</v>
      </c>
      <c r="K6358" s="118">
        <v>926000</v>
      </c>
      <c r="L6358" s="119"/>
      <c r="M6358" s="118">
        <f t="shared" ref="M6358" si="8647">K6358*0.1</f>
        <v>92600</v>
      </c>
      <c r="N6358" s="119"/>
      <c r="O6358" s="118">
        <f>2500+250</f>
        <v>2750</v>
      </c>
      <c r="P6358" s="119"/>
      <c r="Q6358" s="118">
        <v>8950</v>
      </c>
      <c r="R6358" s="119"/>
      <c r="S6358" s="118">
        <v>15400</v>
      </c>
      <c r="T6358" s="119"/>
      <c r="U6358" s="118">
        <f t="shared" ref="U6358" si="8648">SUM(K6358:T6359)</f>
        <v>1045700</v>
      </c>
      <c r="V6358" s="122"/>
      <c r="W6358" s="124"/>
      <c r="X6358" s="126" t="s">
        <v>19060</v>
      </c>
      <c r="Y6358" s="127"/>
      <c r="Z6358" s="127"/>
      <c r="AA6358" s="127"/>
      <c r="AB6358" s="128"/>
      <c r="AC6358" s="15" t="s">
        <v>20</v>
      </c>
      <c r="AD6358" s="129" t="s">
        <v>171</v>
      </c>
      <c r="AE6358" s="130"/>
      <c r="AF6358" s="130"/>
      <c r="AG6358" s="130"/>
      <c r="AH6358" s="130"/>
      <c r="AI6358" s="131"/>
      <c r="AJ6358" s="132"/>
      <c r="AK6358" s="127"/>
      <c r="AL6358" s="128"/>
      <c r="AM6358" s="21"/>
      <c r="AN6358" s="133">
        <v>46081</v>
      </c>
      <c r="AO6358" s="134"/>
      <c r="AP6358" s="135">
        <v>1290</v>
      </c>
      <c r="AQ6358" s="136"/>
      <c r="AR6358" s="118">
        <v>1170000</v>
      </c>
      <c r="AS6358" s="119"/>
      <c r="AT6358" s="118">
        <f t="shared" ref="AT6358" si="8649">AR6358*0.1</f>
        <v>117000</v>
      </c>
      <c r="AU6358" s="119"/>
      <c r="AV6358" s="118">
        <v>8950</v>
      </c>
      <c r="AW6358" s="119"/>
      <c r="AX6358" s="118">
        <f t="shared" ref="AX6358" si="8650">SUM(AR6358:AW6358)</f>
        <v>1295950</v>
      </c>
      <c r="AY6358" s="119"/>
      <c r="AZ6358" s="137">
        <v>46084</v>
      </c>
    </row>
    <row r="6359" spans="1:52" ht="17.100000000000001" customHeight="1" thickBot="1">
      <c r="A6359" s="110"/>
      <c r="B6359" s="27" t="s">
        <v>2641</v>
      </c>
      <c r="C6359" s="27">
        <v>3136</v>
      </c>
      <c r="D6359" s="14" t="s">
        <v>133</v>
      </c>
      <c r="E6359" s="112"/>
      <c r="F6359" s="139" t="s">
        <v>18436</v>
      </c>
      <c r="G6359" s="140"/>
      <c r="H6359" s="141"/>
      <c r="I6359" s="26">
        <v>39246</v>
      </c>
      <c r="J6359" s="117"/>
      <c r="K6359" s="120"/>
      <c r="L6359" s="121"/>
      <c r="M6359" s="120"/>
      <c r="N6359" s="121"/>
      <c r="O6359" s="120"/>
      <c r="P6359" s="121"/>
      <c r="Q6359" s="120"/>
      <c r="R6359" s="121"/>
      <c r="S6359" s="120"/>
      <c r="T6359" s="121"/>
      <c r="U6359" s="120"/>
      <c r="V6359" s="123"/>
      <c r="W6359" s="125"/>
      <c r="X6359" s="142" t="s">
        <v>19061</v>
      </c>
      <c r="Y6359" s="143"/>
      <c r="Z6359" s="143"/>
      <c r="AA6359" s="143"/>
      <c r="AB6359" s="144"/>
      <c r="AC6359" s="16" t="s">
        <v>21</v>
      </c>
      <c r="AD6359" s="17" t="s">
        <v>2353</v>
      </c>
      <c r="AE6359" s="145" t="s">
        <v>9867</v>
      </c>
      <c r="AF6359" s="146"/>
      <c r="AG6359" s="146"/>
      <c r="AH6359" s="146"/>
      <c r="AI6359" s="147"/>
      <c r="AJ6359" s="148"/>
      <c r="AK6359" s="143"/>
      <c r="AL6359" s="144"/>
      <c r="AM6359" s="22"/>
      <c r="AN6359" s="149" t="s">
        <v>2511</v>
      </c>
      <c r="AO6359" s="144"/>
      <c r="AP6359" s="148">
        <v>72</v>
      </c>
      <c r="AQ6359" s="144"/>
      <c r="AR6359" s="120"/>
      <c r="AS6359" s="121"/>
      <c r="AT6359" s="120"/>
      <c r="AU6359" s="121"/>
      <c r="AV6359" s="120"/>
      <c r="AW6359" s="121"/>
      <c r="AX6359" s="120"/>
      <c r="AY6359" s="121"/>
      <c r="AZ6359" s="138"/>
    </row>
    <row r="6360" spans="1:52" ht="17.100000000000001" customHeight="1" thickTop="1">
      <c r="A6360" s="109" t="s">
        <v>18463</v>
      </c>
      <c r="B6360" s="28">
        <v>46073</v>
      </c>
      <c r="C6360" s="25">
        <v>1407</v>
      </c>
      <c r="D6360" s="13" t="s">
        <v>4860</v>
      </c>
      <c r="E6360" s="111"/>
      <c r="F6360" s="113" t="s">
        <v>4585</v>
      </c>
      <c r="G6360" s="114"/>
      <c r="H6360" s="115"/>
      <c r="I6360" s="24" t="s">
        <v>8235</v>
      </c>
      <c r="J6360" s="150" t="s">
        <v>1715</v>
      </c>
      <c r="K6360" s="118">
        <v>629000</v>
      </c>
      <c r="L6360" s="119"/>
      <c r="M6360" s="118">
        <f t="shared" ref="M6360" si="8651">K6360*0.1</f>
        <v>62900</v>
      </c>
      <c r="N6360" s="119"/>
      <c r="O6360" s="118">
        <v>0</v>
      </c>
      <c r="P6360" s="119"/>
      <c r="Q6360" s="118">
        <v>9010</v>
      </c>
      <c r="R6360" s="119"/>
      <c r="S6360" s="118">
        <v>15400</v>
      </c>
      <c r="T6360" s="119"/>
      <c r="U6360" s="118">
        <f t="shared" ref="U6360" si="8652">SUM(K6360:T6361)</f>
        <v>716310</v>
      </c>
      <c r="V6360" s="122"/>
      <c r="W6360" s="124"/>
      <c r="X6360" s="126" t="s">
        <v>19363</v>
      </c>
      <c r="Y6360" s="127"/>
      <c r="Z6360" s="127"/>
      <c r="AA6360" s="127"/>
      <c r="AB6360" s="128"/>
      <c r="AC6360" s="15" t="s">
        <v>20</v>
      </c>
      <c r="AD6360" s="129" t="s">
        <v>1565</v>
      </c>
      <c r="AE6360" s="130"/>
      <c r="AF6360" s="130"/>
      <c r="AG6360" s="130"/>
      <c r="AH6360" s="130"/>
      <c r="AI6360" s="131"/>
      <c r="AJ6360" s="132"/>
      <c r="AK6360" s="127"/>
      <c r="AL6360" s="128"/>
      <c r="AM6360" s="21" t="s">
        <v>20353</v>
      </c>
      <c r="AN6360" s="133">
        <v>46095</v>
      </c>
      <c r="AO6360" s="134"/>
      <c r="AP6360" s="135">
        <v>1292</v>
      </c>
      <c r="AQ6360" s="136"/>
      <c r="AR6360" s="118">
        <v>695000</v>
      </c>
      <c r="AS6360" s="119"/>
      <c r="AT6360" s="118">
        <f t="shared" ref="AT6360" si="8653">AR6360*0.1</f>
        <v>69500</v>
      </c>
      <c r="AU6360" s="119"/>
      <c r="AV6360" s="118">
        <v>9010</v>
      </c>
      <c r="AW6360" s="119"/>
      <c r="AX6360" s="118">
        <f t="shared" ref="AX6360" si="8654">SUM(AR6360:AW6360)</f>
        <v>773510</v>
      </c>
      <c r="AY6360" s="119"/>
      <c r="AZ6360" s="137">
        <v>46100</v>
      </c>
    </row>
    <row r="6361" spans="1:52" ht="17.100000000000001" customHeight="1" thickBot="1">
      <c r="A6361" s="110"/>
      <c r="B6361" s="27" t="s">
        <v>2641</v>
      </c>
      <c r="C6361" s="27">
        <v>3224</v>
      </c>
      <c r="D6361" s="14" t="s">
        <v>2116</v>
      </c>
      <c r="E6361" s="112"/>
      <c r="F6361" s="139" t="s">
        <v>18437</v>
      </c>
      <c r="G6361" s="140"/>
      <c r="H6361" s="141"/>
      <c r="I6361" s="26">
        <v>127845</v>
      </c>
      <c r="J6361" s="117"/>
      <c r="K6361" s="120"/>
      <c r="L6361" s="121"/>
      <c r="M6361" s="120"/>
      <c r="N6361" s="121"/>
      <c r="O6361" s="120"/>
      <c r="P6361" s="121"/>
      <c r="Q6361" s="120"/>
      <c r="R6361" s="121"/>
      <c r="S6361" s="120"/>
      <c r="T6361" s="121"/>
      <c r="U6361" s="120"/>
      <c r="V6361" s="123"/>
      <c r="W6361" s="125"/>
      <c r="X6361" s="142" t="s">
        <v>19364</v>
      </c>
      <c r="Y6361" s="143"/>
      <c r="Z6361" s="143"/>
      <c r="AA6361" s="143"/>
      <c r="AB6361" s="144"/>
      <c r="AC6361" s="16" t="s">
        <v>21</v>
      </c>
      <c r="AD6361" s="17" t="s">
        <v>859</v>
      </c>
      <c r="AE6361" s="145" t="s">
        <v>19365</v>
      </c>
      <c r="AF6361" s="146"/>
      <c r="AG6361" s="146"/>
      <c r="AH6361" s="146"/>
      <c r="AI6361" s="147"/>
      <c r="AJ6361" s="148"/>
      <c r="AK6361" s="143"/>
      <c r="AL6361" s="144"/>
      <c r="AM6361" s="22"/>
      <c r="AN6361" s="149" t="s">
        <v>2511</v>
      </c>
      <c r="AO6361" s="144"/>
      <c r="AP6361" s="148">
        <v>60325</v>
      </c>
      <c r="AQ6361" s="144"/>
      <c r="AR6361" s="120"/>
      <c r="AS6361" s="121"/>
      <c r="AT6361" s="120"/>
      <c r="AU6361" s="121"/>
      <c r="AV6361" s="120"/>
      <c r="AW6361" s="121"/>
      <c r="AX6361" s="120"/>
      <c r="AY6361" s="121"/>
      <c r="AZ6361" s="138"/>
    </row>
    <row r="6362" spans="1:52" ht="17.100000000000001" customHeight="1" thickTop="1">
      <c r="A6362" s="109" t="s">
        <v>18464</v>
      </c>
      <c r="B6362" s="28">
        <v>46073</v>
      </c>
      <c r="C6362" s="25">
        <v>1407</v>
      </c>
      <c r="D6362" s="13" t="s">
        <v>1586</v>
      </c>
      <c r="E6362" s="111"/>
      <c r="F6362" s="113" t="s">
        <v>18438</v>
      </c>
      <c r="G6362" s="114"/>
      <c r="H6362" s="115"/>
      <c r="I6362" s="24"/>
      <c r="J6362" s="116">
        <v>4</v>
      </c>
      <c r="K6362" s="118">
        <v>1476000</v>
      </c>
      <c r="L6362" s="119"/>
      <c r="M6362" s="118">
        <f t="shared" ref="M6362" si="8655">K6362*0.1</f>
        <v>147600</v>
      </c>
      <c r="N6362" s="119"/>
      <c r="O6362" s="118">
        <v>0</v>
      </c>
      <c r="P6362" s="119"/>
      <c r="Q6362" s="118">
        <v>11050</v>
      </c>
      <c r="R6362" s="119"/>
      <c r="S6362" s="118">
        <v>15400</v>
      </c>
      <c r="T6362" s="119"/>
      <c r="U6362" s="118">
        <f t="shared" ref="U6362" si="8656">SUM(K6362:T6363)</f>
        <v>1650050</v>
      </c>
      <c r="V6362" s="122"/>
      <c r="W6362" s="124"/>
      <c r="X6362" s="126" t="s">
        <v>19221</v>
      </c>
      <c r="Y6362" s="127"/>
      <c r="Z6362" s="127"/>
      <c r="AA6362" s="127"/>
      <c r="AB6362" s="128"/>
      <c r="AC6362" s="15" t="s">
        <v>20</v>
      </c>
      <c r="AD6362" s="129"/>
      <c r="AE6362" s="130"/>
      <c r="AF6362" s="130"/>
      <c r="AG6362" s="130"/>
      <c r="AH6362" s="130"/>
      <c r="AI6362" s="131"/>
      <c r="AJ6362" s="132"/>
      <c r="AK6362" s="127"/>
      <c r="AL6362" s="128"/>
      <c r="AM6362" s="21"/>
      <c r="AN6362" s="133">
        <v>46085</v>
      </c>
      <c r="AO6362" s="134"/>
      <c r="AP6362" s="135">
        <v>1007</v>
      </c>
      <c r="AQ6362" s="136"/>
      <c r="AR6362" s="118">
        <v>1525000</v>
      </c>
      <c r="AS6362" s="119"/>
      <c r="AT6362" s="118">
        <f t="shared" ref="AT6362" si="8657">AR6362*0.1</f>
        <v>152500</v>
      </c>
      <c r="AU6362" s="119"/>
      <c r="AV6362" s="118">
        <v>11050</v>
      </c>
      <c r="AW6362" s="119"/>
      <c r="AX6362" s="118">
        <f t="shared" ref="AX6362" si="8658">SUM(AR6362:AW6362)</f>
        <v>1688550</v>
      </c>
      <c r="AY6362" s="119"/>
      <c r="AZ6362" s="137">
        <v>46090</v>
      </c>
    </row>
    <row r="6363" spans="1:52" ht="17.100000000000001" customHeight="1" thickBot="1">
      <c r="A6363" s="110"/>
      <c r="B6363" s="27" t="s">
        <v>2641</v>
      </c>
      <c r="C6363" s="27">
        <v>3255</v>
      </c>
      <c r="D6363" s="14" t="s">
        <v>275</v>
      </c>
      <c r="E6363" s="112"/>
      <c r="F6363" s="139" t="s">
        <v>18439</v>
      </c>
      <c r="G6363" s="140"/>
      <c r="H6363" s="141"/>
      <c r="I6363" s="26">
        <v>22023</v>
      </c>
      <c r="J6363" s="117"/>
      <c r="K6363" s="120"/>
      <c r="L6363" s="121"/>
      <c r="M6363" s="120"/>
      <c r="N6363" s="121"/>
      <c r="O6363" s="120"/>
      <c r="P6363" s="121"/>
      <c r="Q6363" s="120"/>
      <c r="R6363" s="121"/>
      <c r="S6363" s="120"/>
      <c r="T6363" s="121"/>
      <c r="U6363" s="120"/>
      <c r="V6363" s="123"/>
      <c r="W6363" s="125"/>
      <c r="X6363" s="142" t="s">
        <v>4234</v>
      </c>
      <c r="Y6363" s="143"/>
      <c r="Z6363" s="143"/>
      <c r="AA6363" s="143"/>
      <c r="AB6363" s="144"/>
      <c r="AC6363" s="16" t="s">
        <v>21</v>
      </c>
      <c r="AD6363" s="17" t="s">
        <v>1714</v>
      </c>
      <c r="AE6363" s="145" t="s">
        <v>15762</v>
      </c>
      <c r="AF6363" s="146"/>
      <c r="AG6363" s="146"/>
      <c r="AH6363" s="146"/>
      <c r="AI6363" s="147"/>
      <c r="AJ6363" s="148"/>
      <c r="AK6363" s="143"/>
      <c r="AL6363" s="144"/>
      <c r="AM6363" s="22"/>
      <c r="AN6363" s="149" t="s">
        <v>2794</v>
      </c>
      <c r="AO6363" s="144"/>
      <c r="AP6363" s="148">
        <v>6067</v>
      </c>
      <c r="AQ6363" s="144"/>
      <c r="AR6363" s="120"/>
      <c r="AS6363" s="121"/>
      <c r="AT6363" s="120"/>
      <c r="AU6363" s="121"/>
      <c r="AV6363" s="120"/>
      <c r="AW6363" s="121"/>
      <c r="AX6363" s="120"/>
      <c r="AY6363" s="121"/>
      <c r="AZ6363" s="138"/>
    </row>
    <row r="6364" spans="1:52" ht="17.100000000000001" customHeight="1" thickTop="1">
      <c r="A6364" s="109" t="s">
        <v>18465</v>
      </c>
      <c r="B6364" s="28">
        <v>46073</v>
      </c>
      <c r="C6364" s="25">
        <v>1407</v>
      </c>
      <c r="D6364" s="13" t="s">
        <v>3478</v>
      </c>
      <c r="E6364" s="111"/>
      <c r="F6364" s="113" t="s">
        <v>8621</v>
      </c>
      <c r="G6364" s="114"/>
      <c r="H6364" s="115"/>
      <c r="I6364" s="24"/>
      <c r="J6364" s="116">
        <v>4</v>
      </c>
      <c r="K6364" s="118">
        <v>869000</v>
      </c>
      <c r="L6364" s="119"/>
      <c r="M6364" s="118">
        <f t="shared" ref="M6364" si="8659">K6364*0.1</f>
        <v>86900</v>
      </c>
      <c r="N6364" s="119"/>
      <c r="O6364" s="118">
        <v>0</v>
      </c>
      <c r="P6364" s="119"/>
      <c r="Q6364" s="118">
        <v>8790</v>
      </c>
      <c r="R6364" s="119"/>
      <c r="S6364" s="118">
        <v>15400</v>
      </c>
      <c r="T6364" s="119"/>
      <c r="U6364" s="118">
        <f t="shared" ref="U6364" si="8660">SUM(K6364:T6365)</f>
        <v>980090</v>
      </c>
      <c r="V6364" s="122"/>
      <c r="W6364" s="124"/>
      <c r="X6364" s="126" t="s">
        <v>18805</v>
      </c>
      <c r="Y6364" s="127"/>
      <c r="Z6364" s="127"/>
      <c r="AA6364" s="127"/>
      <c r="AB6364" s="128"/>
      <c r="AC6364" s="15" t="s">
        <v>20</v>
      </c>
      <c r="AD6364" s="129" t="s">
        <v>171</v>
      </c>
      <c r="AE6364" s="130"/>
      <c r="AF6364" s="130"/>
      <c r="AG6364" s="130"/>
      <c r="AH6364" s="130"/>
      <c r="AI6364" s="131"/>
      <c r="AJ6364" s="132"/>
      <c r="AK6364" s="127"/>
      <c r="AL6364" s="128"/>
      <c r="AM6364" s="21"/>
      <c r="AN6364" s="133">
        <v>46078</v>
      </c>
      <c r="AO6364" s="134"/>
      <c r="AP6364" s="135">
        <v>1006</v>
      </c>
      <c r="AQ6364" s="136"/>
      <c r="AR6364" s="118">
        <v>950000</v>
      </c>
      <c r="AS6364" s="119"/>
      <c r="AT6364" s="118">
        <f t="shared" ref="AT6364" si="8661">AR6364*0.1</f>
        <v>95000</v>
      </c>
      <c r="AU6364" s="119"/>
      <c r="AV6364" s="118">
        <v>8790</v>
      </c>
      <c r="AW6364" s="119"/>
      <c r="AX6364" s="118">
        <f t="shared" ref="AX6364" si="8662">SUM(AR6364:AW6364)</f>
        <v>1053790</v>
      </c>
      <c r="AY6364" s="119"/>
      <c r="AZ6364" s="137">
        <v>46083</v>
      </c>
    </row>
    <row r="6365" spans="1:52" ht="17.100000000000001" customHeight="1" thickBot="1">
      <c r="A6365" s="110"/>
      <c r="B6365" s="27" t="s">
        <v>2641</v>
      </c>
      <c r="C6365" s="27">
        <v>7012</v>
      </c>
      <c r="D6365" s="14" t="s">
        <v>2800</v>
      </c>
      <c r="E6365" s="112"/>
      <c r="F6365" s="139" t="s">
        <v>18440</v>
      </c>
      <c r="G6365" s="140"/>
      <c r="H6365" s="141"/>
      <c r="I6365" s="26">
        <v>46632</v>
      </c>
      <c r="J6365" s="117"/>
      <c r="K6365" s="120"/>
      <c r="L6365" s="121"/>
      <c r="M6365" s="120"/>
      <c r="N6365" s="121"/>
      <c r="O6365" s="120"/>
      <c r="P6365" s="121"/>
      <c r="Q6365" s="120"/>
      <c r="R6365" s="121"/>
      <c r="S6365" s="120"/>
      <c r="T6365" s="121"/>
      <c r="U6365" s="120"/>
      <c r="V6365" s="123"/>
      <c r="W6365" s="125"/>
      <c r="X6365" s="142" t="s">
        <v>18806</v>
      </c>
      <c r="Y6365" s="143"/>
      <c r="Z6365" s="143"/>
      <c r="AA6365" s="143"/>
      <c r="AB6365" s="144"/>
      <c r="AC6365" s="16" t="s">
        <v>21</v>
      </c>
      <c r="AD6365" s="17" t="s">
        <v>18720</v>
      </c>
      <c r="AE6365" s="145" t="s">
        <v>1742</v>
      </c>
      <c r="AF6365" s="146"/>
      <c r="AG6365" s="146"/>
      <c r="AH6365" s="146"/>
      <c r="AI6365" s="147"/>
      <c r="AJ6365" s="148"/>
      <c r="AK6365" s="143"/>
      <c r="AL6365" s="144"/>
      <c r="AM6365" s="22"/>
      <c r="AN6365" s="149" t="s">
        <v>8809</v>
      </c>
      <c r="AO6365" s="144"/>
      <c r="AP6365" s="148">
        <v>5221</v>
      </c>
      <c r="AQ6365" s="144"/>
      <c r="AR6365" s="120"/>
      <c r="AS6365" s="121"/>
      <c r="AT6365" s="120"/>
      <c r="AU6365" s="121"/>
      <c r="AV6365" s="120"/>
      <c r="AW6365" s="121"/>
      <c r="AX6365" s="120"/>
      <c r="AY6365" s="121"/>
      <c r="AZ6365" s="138"/>
    </row>
    <row r="6366" spans="1:52" ht="17.100000000000001" customHeight="1" thickTop="1">
      <c r="A6366" s="109" t="s">
        <v>18466</v>
      </c>
      <c r="B6366" s="28">
        <v>46073</v>
      </c>
      <c r="C6366" s="25">
        <v>1407</v>
      </c>
      <c r="D6366" s="13" t="s">
        <v>2009</v>
      </c>
      <c r="E6366" s="111"/>
      <c r="F6366" s="113" t="s">
        <v>18441</v>
      </c>
      <c r="G6366" s="114"/>
      <c r="H6366" s="115"/>
      <c r="I6366" s="24" t="s">
        <v>18493</v>
      </c>
      <c r="J6366" s="116">
        <v>4</v>
      </c>
      <c r="K6366" s="118">
        <v>1385000</v>
      </c>
      <c r="L6366" s="119"/>
      <c r="M6366" s="118">
        <f t="shared" ref="M6366" si="8663">K6366*0.1</f>
        <v>138500</v>
      </c>
      <c r="N6366" s="119"/>
      <c r="O6366" s="118">
        <f>2500+250</f>
        <v>2750</v>
      </c>
      <c r="P6366" s="119"/>
      <c r="Q6366" s="118">
        <v>11650</v>
      </c>
      <c r="R6366" s="119"/>
      <c r="S6366" s="118">
        <v>15400</v>
      </c>
      <c r="T6366" s="119"/>
      <c r="U6366" s="118">
        <f t="shared" ref="U6366" si="8664">SUM(K6366:T6367)</f>
        <v>1553300</v>
      </c>
      <c r="V6366" s="122"/>
      <c r="W6366" s="124"/>
      <c r="X6366" s="126" t="s">
        <v>19222</v>
      </c>
      <c r="Y6366" s="127"/>
      <c r="Z6366" s="127"/>
      <c r="AA6366" s="127"/>
      <c r="AB6366" s="128"/>
      <c r="AC6366" s="15" t="s">
        <v>20</v>
      </c>
      <c r="AD6366" s="129" t="s">
        <v>4622</v>
      </c>
      <c r="AE6366" s="130"/>
      <c r="AF6366" s="130"/>
      <c r="AG6366" s="130"/>
      <c r="AH6366" s="130"/>
      <c r="AI6366" s="131"/>
      <c r="AJ6366" s="132"/>
      <c r="AK6366" s="127"/>
      <c r="AL6366" s="128"/>
      <c r="AM6366" s="21"/>
      <c r="AN6366" s="133">
        <v>46092</v>
      </c>
      <c r="AO6366" s="134"/>
      <c r="AP6366" s="135">
        <v>1008</v>
      </c>
      <c r="AQ6366" s="136"/>
      <c r="AR6366" s="118">
        <v>1450000</v>
      </c>
      <c r="AS6366" s="119"/>
      <c r="AT6366" s="118">
        <f t="shared" ref="AT6366" si="8665">AR6366*0.1</f>
        <v>145000</v>
      </c>
      <c r="AU6366" s="119"/>
      <c r="AV6366" s="118">
        <v>11650</v>
      </c>
      <c r="AW6366" s="119"/>
      <c r="AX6366" s="118">
        <f t="shared" ref="AX6366" si="8666">SUM(AR6366:AW6366)</f>
        <v>1606650</v>
      </c>
      <c r="AY6366" s="119"/>
      <c r="AZ6366" s="137">
        <v>46100</v>
      </c>
    </row>
    <row r="6367" spans="1:52" ht="17.100000000000001" customHeight="1" thickBot="1">
      <c r="A6367" s="110"/>
      <c r="B6367" s="27" t="s">
        <v>2641</v>
      </c>
      <c r="C6367" s="27">
        <v>7017</v>
      </c>
      <c r="D6367" s="14" t="s">
        <v>275</v>
      </c>
      <c r="E6367" s="112"/>
      <c r="F6367" s="139" t="s">
        <v>18442</v>
      </c>
      <c r="G6367" s="140"/>
      <c r="H6367" s="141"/>
      <c r="I6367" s="26">
        <v>77389</v>
      </c>
      <c r="J6367" s="117"/>
      <c r="K6367" s="120"/>
      <c r="L6367" s="121"/>
      <c r="M6367" s="120"/>
      <c r="N6367" s="121"/>
      <c r="O6367" s="120"/>
      <c r="P6367" s="121"/>
      <c r="Q6367" s="120"/>
      <c r="R6367" s="121"/>
      <c r="S6367" s="120"/>
      <c r="T6367" s="121"/>
      <c r="U6367" s="120"/>
      <c r="V6367" s="123"/>
      <c r="W6367" s="125"/>
      <c r="X6367" s="142" t="s">
        <v>15395</v>
      </c>
      <c r="Y6367" s="143"/>
      <c r="Z6367" s="143"/>
      <c r="AA6367" s="143"/>
      <c r="AB6367" s="144"/>
      <c r="AC6367" s="16" t="s">
        <v>21</v>
      </c>
      <c r="AD6367" s="17" t="s">
        <v>1714</v>
      </c>
      <c r="AE6367" s="145" t="s">
        <v>4622</v>
      </c>
      <c r="AF6367" s="146"/>
      <c r="AG6367" s="146"/>
      <c r="AH6367" s="146"/>
      <c r="AI6367" s="147"/>
      <c r="AJ6367" s="148"/>
      <c r="AK6367" s="143"/>
      <c r="AL6367" s="144"/>
      <c r="AM6367" s="22"/>
      <c r="AN6367" s="149" t="s">
        <v>7285</v>
      </c>
      <c r="AO6367" s="144"/>
      <c r="AP6367" s="148">
        <v>6131</v>
      </c>
      <c r="AQ6367" s="144"/>
      <c r="AR6367" s="120"/>
      <c r="AS6367" s="121"/>
      <c r="AT6367" s="120"/>
      <c r="AU6367" s="121"/>
      <c r="AV6367" s="120"/>
      <c r="AW6367" s="121"/>
      <c r="AX6367" s="120"/>
      <c r="AY6367" s="121"/>
      <c r="AZ6367" s="138"/>
    </row>
    <row r="6368" spans="1:52" ht="17.100000000000001" customHeight="1" thickTop="1">
      <c r="A6368" s="109" t="s">
        <v>18467</v>
      </c>
      <c r="B6368" s="28">
        <v>46073</v>
      </c>
      <c r="C6368" s="25">
        <v>1407</v>
      </c>
      <c r="D6368" s="13" t="s">
        <v>2322</v>
      </c>
      <c r="E6368" s="111"/>
      <c r="F6368" s="113" t="s">
        <v>18443</v>
      </c>
      <c r="G6368" s="114"/>
      <c r="H6368" s="115"/>
      <c r="I6368" s="24"/>
      <c r="J6368" s="116">
        <v>4</v>
      </c>
      <c r="K6368" s="118">
        <v>608000</v>
      </c>
      <c r="L6368" s="119"/>
      <c r="M6368" s="118">
        <f t="shared" ref="M6368" si="8667">K6368*0.1</f>
        <v>60800</v>
      </c>
      <c r="N6368" s="119"/>
      <c r="O6368" s="118">
        <v>0</v>
      </c>
      <c r="P6368" s="119"/>
      <c r="Q6368" s="118">
        <v>9670</v>
      </c>
      <c r="R6368" s="119"/>
      <c r="S6368" s="118">
        <v>15400</v>
      </c>
      <c r="T6368" s="119"/>
      <c r="U6368" s="118">
        <f t="shared" ref="U6368" si="8668">SUM(K6368:T6369)</f>
        <v>693870</v>
      </c>
      <c r="V6368" s="122"/>
      <c r="W6368" s="124"/>
      <c r="X6368" s="126" t="s">
        <v>19228</v>
      </c>
      <c r="Y6368" s="127"/>
      <c r="Z6368" s="127"/>
      <c r="AA6368" s="127"/>
      <c r="AB6368" s="128"/>
      <c r="AC6368" s="15" t="s">
        <v>20</v>
      </c>
      <c r="AD6368" s="129"/>
      <c r="AE6368" s="130"/>
      <c r="AF6368" s="130"/>
      <c r="AG6368" s="130"/>
      <c r="AH6368" s="130"/>
      <c r="AI6368" s="131"/>
      <c r="AJ6368" s="132"/>
      <c r="AK6368" s="127"/>
      <c r="AL6368" s="128"/>
      <c r="AM6368" s="21"/>
      <c r="AN6368" s="133">
        <v>46109</v>
      </c>
      <c r="AO6368" s="134"/>
      <c r="AP6368" s="135">
        <v>1294</v>
      </c>
      <c r="AQ6368" s="136"/>
      <c r="AR6368" s="118">
        <v>640000</v>
      </c>
      <c r="AS6368" s="119"/>
      <c r="AT6368" s="118">
        <f t="shared" ref="AT6368" si="8669">AR6368*0.1</f>
        <v>64000</v>
      </c>
      <c r="AU6368" s="119"/>
      <c r="AV6368" s="118">
        <v>9670</v>
      </c>
      <c r="AW6368" s="119"/>
      <c r="AX6368" s="118">
        <f t="shared" ref="AX6368" si="8670">SUM(AR6368:AW6368)</f>
        <v>713670</v>
      </c>
      <c r="AY6368" s="119"/>
      <c r="AZ6368" s="137">
        <v>46112</v>
      </c>
    </row>
    <row r="6369" spans="1:52" ht="17.100000000000001" customHeight="1" thickBot="1">
      <c r="A6369" s="110"/>
      <c r="B6369" s="27" t="s">
        <v>2641</v>
      </c>
      <c r="C6369" s="27">
        <v>7034</v>
      </c>
      <c r="D6369" s="14" t="s">
        <v>904</v>
      </c>
      <c r="E6369" s="112"/>
      <c r="F6369" s="139" t="s">
        <v>18444</v>
      </c>
      <c r="G6369" s="140"/>
      <c r="H6369" s="141"/>
      <c r="I6369" s="26">
        <v>33523</v>
      </c>
      <c r="J6369" s="117"/>
      <c r="K6369" s="120"/>
      <c r="L6369" s="121"/>
      <c r="M6369" s="120"/>
      <c r="N6369" s="121"/>
      <c r="O6369" s="120"/>
      <c r="P6369" s="121"/>
      <c r="Q6369" s="120"/>
      <c r="R6369" s="121"/>
      <c r="S6369" s="120"/>
      <c r="T6369" s="121"/>
      <c r="U6369" s="120"/>
      <c r="V6369" s="123"/>
      <c r="W6369" s="125"/>
      <c r="X6369" s="142" t="s">
        <v>7966</v>
      </c>
      <c r="Y6369" s="143"/>
      <c r="Z6369" s="143"/>
      <c r="AA6369" s="143"/>
      <c r="AB6369" s="144"/>
      <c r="AC6369" s="16" t="s">
        <v>21</v>
      </c>
      <c r="AD6369" s="17" t="s">
        <v>19229</v>
      </c>
      <c r="AE6369" s="145" t="s">
        <v>19230</v>
      </c>
      <c r="AF6369" s="146"/>
      <c r="AG6369" s="146"/>
      <c r="AH6369" s="146"/>
      <c r="AI6369" s="147"/>
      <c r="AJ6369" s="148"/>
      <c r="AK6369" s="143"/>
      <c r="AL6369" s="144"/>
      <c r="AM6369" s="22"/>
      <c r="AN6369" s="149" t="s">
        <v>21802</v>
      </c>
      <c r="AO6369" s="144"/>
      <c r="AP6369" s="148">
        <v>60140</v>
      </c>
      <c r="AQ6369" s="144"/>
      <c r="AR6369" s="120"/>
      <c r="AS6369" s="121"/>
      <c r="AT6369" s="120"/>
      <c r="AU6369" s="121"/>
      <c r="AV6369" s="120"/>
      <c r="AW6369" s="121"/>
      <c r="AX6369" s="120"/>
      <c r="AY6369" s="121"/>
      <c r="AZ6369" s="138"/>
    </row>
    <row r="6370" spans="1:52" ht="17.100000000000001" customHeight="1" thickTop="1">
      <c r="A6370" s="109" t="s">
        <v>18468</v>
      </c>
      <c r="B6370" s="28">
        <v>46073</v>
      </c>
      <c r="C6370" s="25">
        <v>1407</v>
      </c>
      <c r="D6370" s="13" t="s">
        <v>18494</v>
      </c>
      <c r="E6370" s="111"/>
      <c r="F6370" s="113" t="s">
        <v>8621</v>
      </c>
      <c r="G6370" s="114"/>
      <c r="H6370" s="115"/>
      <c r="I6370" s="24"/>
      <c r="J6370" s="116">
        <v>4</v>
      </c>
      <c r="K6370" s="118">
        <v>806000</v>
      </c>
      <c r="L6370" s="119"/>
      <c r="M6370" s="118">
        <f t="shared" ref="M6370" si="8671">K6370*0.1</f>
        <v>80600</v>
      </c>
      <c r="N6370" s="119"/>
      <c r="O6370" s="118">
        <v>0</v>
      </c>
      <c r="P6370" s="119"/>
      <c r="Q6370" s="118">
        <v>8790</v>
      </c>
      <c r="R6370" s="119"/>
      <c r="S6370" s="118">
        <v>15400</v>
      </c>
      <c r="T6370" s="119"/>
      <c r="U6370" s="118">
        <f t="shared" ref="U6370" si="8672">SUM(K6370:T6371)</f>
        <v>910790</v>
      </c>
      <c r="V6370" s="122"/>
      <c r="W6370" s="124"/>
      <c r="X6370" s="126" t="s">
        <v>18961</v>
      </c>
      <c r="Y6370" s="127"/>
      <c r="Z6370" s="127"/>
      <c r="AA6370" s="127"/>
      <c r="AB6370" s="128"/>
      <c r="AC6370" s="15" t="s">
        <v>20</v>
      </c>
      <c r="AD6370" s="129"/>
      <c r="AE6370" s="130"/>
      <c r="AF6370" s="130"/>
      <c r="AG6370" s="130"/>
      <c r="AH6370" s="130"/>
      <c r="AI6370" s="131"/>
      <c r="AJ6370" s="132"/>
      <c r="AK6370" s="127"/>
      <c r="AL6370" s="128"/>
      <c r="AM6370" s="21"/>
      <c r="AN6370" s="133">
        <v>46092</v>
      </c>
      <c r="AO6370" s="134"/>
      <c r="AP6370" s="135">
        <v>1008</v>
      </c>
      <c r="AQ6370" s="136"/>
      <c r="AR6370" s="118">
        <v>820000</v>
      </c>
      <c r="AS6370" s="119"/>
      <c r="AT6370" s="118">
        <f t="shared" ref="AT6370" si="8673">AR6370*0.1</f>
        <v>82000</v>
      </c>
      <c r="AU6370" s="119"/>
      <c r="AV6370" s="118">
        <v>8790</v>
      </c>
      <c r="AW6370" s="119"/>
      <c r="AX6370" s="118">
        <f t="shared" ref="AX6370" si="8674">SUM(AR6370:AW6370)</f>
        <v>910790</v>
      </c>
      <c r="AY6370" s="119"/>
      <c r="AZ6370" s="137">
        <v>46098</v>
      </c>
    </row>
    <row r="6371" spans="1:52" ht="17.100000000000001" customHeight="1" thickBot="1">
      <c r="A6371" s="110"/>
      <c r="B6371" s="27" t="s">
        <v>2641</v>
      </c>
      <c r="C6371" s="27">
        <v>7090</v>
      </c>
      <c r="D6371" s="14" t="s">
        <v>18495</v>
      </c>
      <c r="E6371" s="112"/>
      <c r="F6371" s="139" t="s">
        <v>18445</v>
      </c>
      <c r="G6371" s="140"/>
      <c r="H6371" s="141"/>
      <c r="I6371" s="26">
        <v>58810</v>
      </c>
      <c r="J6371" s="117"/>
      <c r="K6371" s="120"/>
      <c r="L6371" s="121"/>
      <c r="M6371" s="120"/>
      <c r="N6371" s="121"/>
      <c r="O6371" s="120"/>
      <c r="P6371" s="121"/>
      <c r="Q6371" s="120"/>
      <c r="R6371" s="121"/>
      <c r="S6371" s="120"/>
      <c r="T6371" s="121"/>
      <c r="U6371" s="120"/>
      <c r="V6371" s="123"/>
      <c r="W6371" s="125"/>
      <c r="X6371" s="142" t="s">
        <v>4847</v>
      </c>
      <c r="Y6371" s="143"/>
      <c r="Z6371" s="143"/>
      <c r="AA6371" s="143"/>
      <c r="AB6371" s="144"/>
      <c r="AC6371" s="16" t="s">
        <v>21</v>
      </c>
      <c r="AD6371" s="17" t="s">
        <v>18720</v>
      </c>
      <c r="AE6371" s="145"/>
      <c r="AF6371" s="146"/>
      <c r="AG6371" s="146"/>
      <c r="AH6371" s="146"/>
      <c r="AI6371" s="147"/>
      <c r="AJ6371" s="148"/>
      <c r="AK6371" s="143"/>
      <c r="AL6371" s="144"/>
      <c r="AM6371" s="22"/>
      <c r="AN6371" s="149" t="s">
        <v>19938</v>
      </c>
      <c r="AO6371" s="144"/>
      <c r="AP6371" s="148">
        <v>2027</v>
      </c>
      <c r="AQ6371" s="144"/>
      <c r="AR6371" s="120"/>
      <c r="AS6371" s="121"/>
      <c r="AT6371" s="120"/>
      <c r="AU6371" s="121"/>
      <c r="AV6371" s="120"/>
      <c r="AW6371" s="121"/>
      <c r="AX6371" s="120"/>
      <c r="AY6371" s="121"/>
      <c r="AZ6371" s="138"/>
    </row>
    <row r="6372" spans="1:52" ht="17.100000000000001" customHeight="1" thickTop="1">
      <c r="A6372" s="109" t="s">
        <v>18469</v>
      </c>
      <c r="B6372" s="28">
        <v>46073</v>
      </c>
      <c r="C6372" s="25">
        <v>1407</v>
      </c>
      <c r="D6372" s="13" t="s">
        <v>2084</v>
      </c>
      <c r="E6372" s="111"/>
      <c r="F6372" s="113" t="s">
        <v>18446</v>
      </c>
      <c r="G6372" s="114"/>
      <c r="H6372" s="115"/>
      <c r="I6372" s="24" t="s">
        <v>14559</v>
      </c>
      <c r="J6372" s="116">
        <v>5</v>
      </c>
      <c r="K6372" s="118">
        <v>1404000</v>
      </c>
      <c r="L6372" s="119"/>
      <c r="M6372" s="118">
        <f t="shared" ref="M6372" si="8675">K6372*0.1</f>
        <v>140400</v>
      </c>
      <c r="N6372" s="119"/>
      <c r="O6372" s="118">
        <v>0</v>
      </c>
      <c r="P6372" s="119"/>
      <c r="Q6372" s="118">
        <v>7230</v>
      </c>
      <c r="R6372" s="119"/>
      <c r="S6372" s="118">
        <v>15400</v>
      </c>
      <c r="T6372" s="119"/>
      <c r="U6372" s="118">
        <f t="shared" ref="U6372" si="8676">SUM(K6372:T6373)</f>
        <v>1567030</v>
      </c>
      <c r="V6372" s="122"/>
      <c r="W6372" s="124"/>
      <c r="X6372" s="126" t="s">
        <v>18962</v>
      </c>
      <c r="Y6372" s="127"/>
      <c r="Z6372" s="127"/>
      <c r="AA6372" s="127"/>
      <c r="AB6372" s="128"/>
      <c r="AC6372" s="15" t="s">
        <v>20</v>
      </c>
      <c r="AD6372" s="129" t="s">
        <v>171</v>
      </c>
      <c r="AE6372" s="130"/>
      <c r="AF6372" s="130"/>
      <c r="AG6372" s="130"/>
      <c r="AH6372" s="130"/>
      <c r="AI6372" s="131"/>
      <c r="AJ6372" s="132"/>
      <c r="AK6372" s="127"/>
      <c r="AL6372" s="128"/>
      <c r="AM6372" s="21" t="s">
        <v>20966</v>
      </c>
      <c r="AN6372" s="133">
        <v>46098</v>
      </c>
      <c r="AO6372" s="134"/>
      <c r="AP6372" s="135">
        <v>1933</v>
      </c>
      <c r="AQ6372" s="136"/>
      <c r="AR6372" s="118">
        <v>1455000</v>
      </c>
      <c r="AS6372" s="119"/>
      <c r="AT6372" s="118">
        <f t="shared" ref="AT6372" si="8677">AR6372*0.1</f>
        <v>145500</v>
      </c>
      <c r="AU6372" s="119"/>
      <c r="AV6372" s="118">
        <v>7230</v>
      </c>
      <c r="AW6372" s="119"/>
      <c r="AX6372" s="118">
        <f t="shared" ref="AX6372" si="8678">SUM(AR6372:AW6372)</f>
        <v>1607730</v>
      </c>
      <c r="AY6372" s="119"/>
      <c r="AZ6372" s="137"/>
    </row>
    <row r="6373" spans="1:52" ht="17.100000000000001" customHeight="1" thickBot="1">
      <c r="A6373" s="110"/>
      <c r="B6373" s="27" t="s">
        <v>2641</v>
      </c>
      <c r="C6373" s="27">
        <v>7501</v>
      </c>
      <c r="D6373" s="14" t="s">
        <v>904</v>
      </c>
      <c r="E6373" s="112"/>
      <c r="F6373" s="139" t="s">
        <v>18447</v>
      </c>
      <c r="G6373" s="140"/>
      <c r="H6373" s="141"/>
      <c r="I6373" s="26">
        <v>1966</v>
      </c>
      <c r="J6373" s="117"/>
      <c r="K6373" s="120"/>
      <c r="L6373" s="121"/>
      <c r="M6373" s="120"/>
      <c r="N6373" s="121"/>
      <c r="O6373" s="120"/>
      <c r="P6373" s="121"/>
      <c r="Q6373" s="120"/>
      <c r="R6373" s="121"/>
      <c r="S6373" s="120"/>
      <c r="T6373" s="121"/>
      <c r="U6373" s="120"/>
      <c r="V6373" s="123"/>
      <c r="W6373" s="125"/>
      <c r="X6373" s="142" t="s">
        <v>4076</v>
      </c>
      <c r="Y6373" s="143"/>
      <c r="Z6373" s="143"/>
      <c r="AA6373" s="143"/>
      <c r="AB6373" s="144"/>
      <c r="AC6373" s="16" t="s">
        <v>21</v>
      </c>
      <c r="AD6373" s="17" t="s">
        <v>18720</v>
      </c>
      <c r="AE6373" s="145" t="s">
        <v>2395</v>
      </c>
      <c r="AF6373" s="146"/>
      <c r="AG6373" s="146"/>
      <c r="AH6373" s="146"/>
      <c r="AI6373" s="147"/>
      <c r="AJ6373" s="148"/>
      <c r="AK6373" s="143"/>
      <c r="AL6373" s="144"/>
      <c r="AM6373" s="22"/>
      <c r="AN6373" s="149" t="s">
        <v>7644</v>
      </c>
      <c r="AO6373" s="144"/>
      <c r="AP6373" s="148">
        <v>3199</v>
      </c>
      <c r="AQ6373" s="144"/>
      <c r="AR6373" s="120"/>
      <c r="AS6373" s="121"/>
      <c r="AT6373" s="120"/>
      <c r="AU6373" s="121"/>
      <c r="AV6373" s="120"/>
      <c r="AW6373" s="121"/>
      <c r="AX6373" s="120"/>
      <c r="AY6373" s="121"/>
      <c r="AZ6373" s="138"/>
    </row>
    <row r="6374" spans="1:52" ht="17.100000000000001" customHeight="1" thickTop="1">
      <c r="A6374" s="109" t="s">
        <v>18470</v>
      </c>
      <c r="B6374" s="28">
        <v>46073</v>
      </c>
      <c r="C6374" s="25">
        <v>1407</v>
      </c>
      <c r="D6374" s="13" t="s">
        <v>2036</v>
      </c>
      <c r="E6374" s="111"/>
      <c r="F6374" s="113" t="s">
        <v>18448</v>
      </c>
      <c r="G6374" s="114"/>
      <c r="H6374" s="115"/>
      <c r="I6374" s="24"/>
      <c r="J6374" s="116">
        <v>4.5</v>
      </c>
      <c r="K6374" s="118">
        <v>1216000</v>
      </c>
      <c r="L6374" s="119"/>
      <c r="M6374" s="118">
        <f t="shared" ref="M6374" si="8679">K6374*0.1</f>
        <v>121600</v>
      </c>
      <c r="N6374" s="119"/>
      <c r="O6374" s="118">
        <v>0</v>
      </c>
      <c r="P6374" s="119"/>
      <c r="Q6374" s="118">
        <v>6470</v>
      </c>
      <c r="R6374" s="119"/>
      <c r="S6374" s="118">
        <v>15400</v>
      </c>
      <c r="T6374" s="119"/>
      <c r="U6374" s="118">
        <f t="shared" ref="U6374" si="8680">SUM(K6374:T6375)</f>
        <v>1359470</v>
      </c>
      <c r="V6374" s="122"/>
      <c r="W6374" s="124"/>
      <c r="X6374" s="126" t="s">
        <v>19226</v>
      </c>
      <c r="Y6374" s="127"/>
      <c r="Z6374" s="127"/>
      <c r="AA6374" s="127"/>
      <c r="AB6374" s="128"/>
      <c r="AC6374" s="15" t="s">
        <v>20</v>
      </c>
      <c r="AD6374" s="129" t="s">
        <v>1633</v>
      </c>
      <c r="AE6374" s="130"/>
      <c r="AF6374" s="130"/>
      <c r="AG6374" s="130"/>
      <c r="AH6374" s="130"/>
      <c r="AI6374" s="131"/>
      <c r="AJ6374" s="132"/>
      <c r="AK6374" s="127"/>
      <c r="AL6374" s="128"/>
      <c r="AM6374" s="21"/>
      <c r="AN6374" s="133">
        <v>46091</v>
      </c>
      <c r="AO6374" s="134"/>
      <c r="AP6374" s="135">
        <v>1932</v>
      </c>
      <c r="AQ6374" s="136"/>
      <c r="AR6374" s="118">
        <v>1240000</v>
      </c>
      <c r="AS6374" s="119"/>
      <c r="AT6374" s="118">
        <f t="shared" ref="AT6374" si="8681">AR6374*0.1</f>
        <v>124000</v>
      </c>
      <c r="AU6374" s="119"/>
      <c r="AV6374" s="118">
        <v>6470</v>
      </c>
      <c r="AW6374" s="119"/>
      <c r="AX6374" s="118">
        <f t="shared" ref="AX6374" si="8682">SUM(AR6374:AW6374)</f>
        <v>1370470</v>
      </c>
      <c r="AY6374" s="119"/>
      <c r="AZ6374" s="137"/>
    </row>
    <row r="6375" spans="1:52" ht="17.100000000000001" customHeight="1" thickBot="1">
      <c r="A6375" s="110"/>
      <c r="B6375" s="27" t="s">
        <v>2641</v>
      </c>
      <c r="C6375" s="27">
        <v>7502</v>
      </c>
      <c r="D6375" s="14" t="s">
        <v>2601</v>
      </c>
      <c r="E6375" s="112"/>
      <c r="F6375" s="139" t="s">
        <v>18449</v>
      </c>
      <c r="G6375" s="140"/>
      <c r="H6375" s="141"/>
      <c r="I6375" s="26">
        <v>11360</v>
      </c>
      <c r="J6375" s="117"/>
      <c r="K6375" s="120"/>
      <c r="L6375" s="121"/>
      <c r="M6375" s="120"/>
      <c r="N6375" s="121"/>
      <c r="O6375" s="120"/>
      <c r="P6375" s="121"/>
      <c r="Q6375" s="120"/>
      <c r="R6375" s="121"/>
      <c r="S6375" s="120"/>
      <c r="T6375" s="121"/>
      <c r="U6375" s="120"/>
      <c r="V6375" s="123"/>
      <c r="W6375" s="125"/>
      <c r="X6375" s="142" t="s">
        <v>19227</v>
      </c>
      <c r="Y6375" s="143"/>
      <c r="Z6375" s="143"/>
      <c r="AA6375" s="143"/>
      <c r="AB6375" s="144"/>
      <c r="AC6375" s="16" t="s">
        <v>21</v>
      </c>
      <c r="AD6375" s="17" t="s">
        <v>1714</v>
      </c>
      <c r="AE6375" s="145" t="s">
        <v>1742</v>
      </c>
      <c r="AF6375" s="146"/>
      <c r="AG6375" s="146"/>
      <c r="AH6375" s="146"/>
      <c r="AI6375" s="147"/>
      <c r="AJ6375" s="148"/>
      <c r="AK6375" s="143"/>
      <c r="AL6375" s="144"/>
      <c r="AM6375" s="22"/>
      <c r="AN6375" s="149" t="s">
        <v>2131</v>
      </c>
      <c r="AO6375" s="144"/>
      <c r="AP6375" s="148">
        <v>3431</v>
      </c>
      <c r="AQ6375" s="144"/>
      <c r="AR6375" s="120"/>
      <c r="AS6375" s="121"/>
      <c r="AT6375" s="120"/>
      <c r="AU6375" s="121"/>
      <c r="AV6375" s="120"/>
      <c r="AW6375" s="121"/>
      <c r="AX6375" s="120"/>
      <c r="AY6375" s="121"/>
      <c r="AZ6375" s="138"/>
    </row>
    <row r="6376" spans="1:52" ht="17.100000000000001" customHeight="1" thickTop="1">
      <c r="A6376" s="109" t="s">
        <v>18471</v>
      </c>
      <c r="B6376" s="28">
        <v>46073</v>
      </c>
      <c r="C6376" s="25">
        <v>1407</v>
      </c>
      <c r="D6376" s="13" t="s">
        <v>2226</v>
      </c>
      <c r="E6376" s="111"/>
      <c r="F6376" s="113" t="s">
        <v>18450</v>
      </c>
      <c r="G6376" s="114"/>
      <c r="H6376" s="115"/>
      <c r="I6376" s="24" t="s">
        <v>18491</v>
      </c>
      <c r="J6376" s="116">
        <v>4.5</v>
      </c>
      <c r="K6376" s="118">
        <v>1376000</v>
      </c>
      <c r="L6376" s="119"/>
      <c r="M6376" s="118">
        <f t="shared" ref="M6376" si="8683">K6376*0.1</f>
        <v>137600</v>
      </c>
      <c r="N6376" s="119"/>
      <c r="O6376" s="118">
        <f>2500+250</f>
        <v>2750</v>
      </c>
      <c r="P6376" s="119"/>
      <c r="Q6376" s="118">
        <v>7530</v>
      </c>
      <c r="R6376" s="119"/>
      <c r="S6376" s="118">
        <v>15400</v>
      </c>
      <c r="T6376" s="119"/>
      <c r="U6376" s="118">
        <f t="shared" ref="U6376" si="8684">SUM(K6376:T6377)</f>
        <v>1539280</v>
      </c>
      <c r="V6376" s="122"/>
      <c r="W6376" s="124"/>
      <c r="X6376" s="126" t="s">
        <v>18963</v>
      </c>
      <c r="Y6376" s="127"/>
      <c r="Z6376" s="127"/>
      <c r="AA6376" s="127"/>
      <c r="AB6376" s="128"/>
      <c r="AC6376" s="15" t="s">
        <v>20</v>
      </c>
      <c r="AD6376" s="129" t="s">
        <v>171</v>
      </c>
      <c r="AE6376" s="130"/>
      <c r="AF6376" s="130"/>
      <c r="AG6376" s="130"/>
      <c r="AH6376" s="130"/>
      <c r="AI6376" s="131"/>
      <c r="AJ6376" s="132"/>
      <c r="AK6376" s="127"/>
      <c r="AL6376" s="128"/>
      <c r="AM6376" s="21"/>
      <c r="AN6376" s="133">
        <v>46085</v>
      </c>
      <c r="AO6376" s="134"/>
      <c r="AP6376" s="135">
        <v>1007</v>
      </c>
      <c r="AQ6376" s="136"/>
      <c r="AR6376" s="118">
        <v>1415000</v>
      </c>
      <c r="AS6376" s="119"/>
      <c r="AT6376" s="118">
        <f t="shared" ref="AT6376" si="8685">AR6376*0.1</f>
        <v>141500</v>
      </c>
      <c r="AU6376" s="119"/>
      <c r="AV6376" s="118">
        <v>7530</v>
      </c>
      <c r="AW6376" s="119"/>
      <c r="AX6376" s="118">
        <f t="shared" ref="AX6376" si="8686">SUM(AR6376:AW6376)</f>
        <v>1564030</v>
      </c>
      <c r="AY6376" s="119"/>
      <c r="AZ6376" s="137">
        <v>46090</v>
      </c>
    </row>
    <row r="6377" spans="1:52" ht="17.100000000000001" customHeight="1" thickBot="1">
      <c r="A6377" s="110"/>
      <c r="B6377" s="27" t="s">
        <v>2641</v>
      </c>
      <c r="C6377" s="27">
        <v>7509</v>
      </c>
      <c r="D6377" s="14" t="s">
        <v>275</v>
      </c>
      <c r="E6377" s="112"/>
      <c r="F6377" s="139" t="s">
        <v>18451</v>
      </c>
      <c r="G6377" s="140"/>
      <c r="H6377" s="141"/>
      <c r="I6377" s="26">
        <v>39049</v>
      </c>
      <c r="J6377" s="117"/>
      <c r="K6377" s="120"/>
      <c r="L6377" s="121"/>
      <c r="M6377" s="120"/>
      <c r="N6377" s="121"/>
      <c r="O6377" s="120"/>
      <c r="P6377" s="121"/>
      <c r="Q6377" s="120"/>
      <c r="R6377" s="121"/>
      <c r="S6377" s="120"/>
      <c r="T6377" s="121"/>
      <c r="U6377" s="120"/>
      <c r="V6377" s="123"/>
      <c r="W6377" s="125"/>
      <c r="X6377" s="142" t="s">
        <v>18964</v>
      </c>
      <c r="Y6377" s="143"/>
      <c r="Z6377" s="143"/>
      <c r="AA6377" s="143"/>
      <c r="AB6377" s="144"/>
      <c r="AC6377" s="16" t="s">
        <v>21</v>
      </c>
      <c r="AD6377" s="17" t="s">
        <v>3616</v>
      </c>
      <c r="AE6377" s="145" t="s">
        <v>2395</v>
      </c>
      <c r="AF6377" s="146"/>
      <c r="AG6377" s="146"/>
      <c r="AH6377" s="146"/>
      <c r="AI6377" s="147"/>
      <c r="AJ6377" s="148"/>
      <c r="AK6377" s="143"/>
      <c r="AL6377" s="144"/>
      <c r="AM6377" s="22"/>
      <c r="AN6377" s="149" t="s">
        <v>2794</v>
      </c>
      <c r="AO6377" s="144"/>
      <c r="AP6377" s="148">
        <v>6070</v>
      </c>
      <c r="AQ6377" s="144"/>
      <c r="AR6377" s="120"/>
      <c r="AS6377" s="121"/>
      <c r="AT6377" s="120"/>
      <c r="AU6377" s="121"/>
      <c r="AV6377" s="120"/>
      <c r="AW6377" s="121"/>
      <c r="AX6377" s="120"/>
      <c r="AY6377" s="121"/>
      <c r="AZ6377" s="138"/>
    </row>
    <row r="6378" spans="1:52" ht="17.100000000000001" customHeight="1" thickTop="1">
      <c r="A6378" s="109" t="s">
        <v>18472</v>
      </c>
      <c r="B6378" s="28">
        <v>46073</v>
      </c>
      <c r="C6378" s="25">
        <v>1407</v>
      </c>
      <c r="D6378" s="13" t="s">
        <v>11273</v>
      </c>
      <c r="E6378" s="111"/>
      <c r="F6378" s="113" t="s">
        <v>18492</v>
      </c>
      <c r="G6378" s="114"/>
      <c r="H6378" s="115"/>
      <c r="I6378" s="24"/>
      <c r="J6378" s="116">
        <v>4</v>
      </c>
      <c r="K6378" s="118">
        <v>304000</v>
      </c>
      <c r="L6378" s="119"/>
      <c r="M6378" s="118">
        <f t="shared" ref="M6378" si="8687">K6378*0.1</f>
        <v>30400</v>
      </c>
      <c r="N6378" s="119"/>
      <c r="O6378" s="118">
        <v>0</v>
      </c>
      <c r="P6378" s="119"/>
      <c r="Q6378" s="118">
        <v>10270</v>
      </c>
      <c r="R6378" s="119"/>
      <c r="S6378" s="118">
        <v>15400</v>
      </c>
      <c r="T6378" s="119"/>
      <c r="U6378" s="118">
        <f t="shared" ref="U6378" si="8688">SUM(K6378:T6379)</f>
        <v>360070</v>
      </c>
      <c r="V6378" s="122"/>
      <c r="W6378" s="124"/>
      <c r="X6378" s="126" t="s">
        <v>19231</v>
      </c>
      <c r="Y6378" s="127"/>
      <c r="Z6378" s="127"/>
      <c r="AA6378" s="127"/>
      <c r="AB6378" s="128"/>
      <c r="AC6378" s="15" t="s">
        <v>20</v>
      </c>
      <c r="AD6378" s="129" t="s">
        <v>171</v>
      </c>
      <c r="AE6378" s="130"/>
      <c r="AF6378" s="130"/>
      <c r="AG6378" s="130"/>
      <c r="AH6378" s="130"/>
      <c r="AI6378" s="131"/>
      <c r="AJ6378" s="132"/>
      <c r="AK6378" s="127"/>
      <c r="AL6378" s="128"/>
      <c r="AM6378" s="21"/>
      <c r="AN6378" s="133">
        <v>46085</v>
      </c>
      <c r="AO6378" s="134"/>
      <c r="AP6378" s="135">
        <v>1007</v>
      </c>
      <c r="AQ6378" s="136"/>
      <c r="AR6378" s="118">
        <v>360000</v>
      </c>
      <c r="AS6378" s="119"/>
      <c r="AT6378" s="118">
        <f t="shared" ref="AT6378" si="8689">AR6378*0.1</f>
        <v>36000</v>
      </c>
      <c r="AU6378" s="119"/>
      <c r="AV6378" s="118">
        <v>10270</v>
      </c>
      <c r="AW6378" s="119"/>
      <c r="AX6378" s="118">
        <f t="shared" ref="AX6378" si="8690">SUM(AR6378:AW6378)</f>
        <v>406270</v>
      </c>
      <c r="AY6378" s="119"/>
      <c r="AZ6378" s="137">
        <v>46090</v>
      </c>
    </row>
    <row r="6379" spans="1:52" ht="17.100000000000001" customHeight="1" thickBot="1">
      <c r="A6379" s="110"/>
      <c r="B6379" s="27" t="s">
        <v>2641</v>
      </c>
      <c r="C6379" s="27">
        <v>7528</v>
      </c>
      <c r="D6379" s="14" t="s">
        <v>2601</v>
      </c>
      <c r="E6379" s="112"/>
      <c r="F6379" s="139" t="s">
        <v>18452</v>
      </c>
      <c r="G6379" s="140"/>
      <c r="H6379" s="141"/>
      <c r="I6379" s="26">
        <v>55040</v>
      </c>
      <c r="J6379" s="117"/>
      <c r="K6379" s="120"/>
      <c r="L6379" s="121"/>
      <c r="M6379" s="120"/>
      <c r="N6379" s="121"/>
      <c r="O6379" s="120"/>
      <c r="P6379" s="121"/>
      <c r="Q6379" s="120"/>
      <c r="R6379" s="121"/>
      <c r="S6379" s="120"/>
      <c r="T6379" s="121"/>
      <c r="U6379" s="120"/>
      <c r="V6379" s="123"/>
      <c r="W6379" s="125"/>
      <c r="X6379" s="142" t="s">
        <v>2643</v>
      </c>
      <c r="Y6379" s="143"/>
      <c r="Z6379" s="143"/>
      <c r="AA6379" s="143"/>
      <c r="AB6379" s="144"/>
      <c r="AC6379" s="16" t="s">
        <v>21</v>
      </c>
      <c r="AD6379" s="17" t="s">
        <v>1714</v>
      </c>
      <c r="AE6379" s="145" t="s">
        <v>2395</v>
      </c>
      <c r="AF6379" s="146"/>
      <c r="AG6379" s="146"/>
      <c r="AH6379" s="146"/>
      <c r="AI6379" s="147"/>
      <c r="AJ6379" s="148"/>
      <c r="AK6379" s="143"/>
      <c r="AL6379" s="144"/>
      <c r="AM6379" s="22"/>
      <c r="AN6379" s="149" t="s">
        <v>9053</v>
      </c>
      <c r="AO6379" s="144"/>
      <c r="AP6379" s="148">
        <v>2049</v>
      </c>
      <c r="AQ6379" s="144"/>
      <c r="AR6379" s="120"/>
      <c r="AS6379" s="121"/>
      <c r="AT6379" s="120"/>
      <c r="AU6379" s="121"/>
      <c r="AV6379" s="120"/>
      <c r="AW6379" s="121"/>
      <c r="AX6379" s="120"/>
      <c r="AY6379" s="121"/>
      <c r="AZ6379" s="138"/>
    </row>
    <row r="6380" spans="1:52" ht="17.100000000000001" customHeight="1" thickTop="1">
      <c r="A6380" s="109" t="s">
        <v>18473</v>
      </c>
      <c r="B6380" s="28">
        <v>46073</v>
      </c>
      <c r="C6380" s="25">
        <v>1407</v>
      </c>
      <c r="D6380" s="13" t="s">
        <v>7026</v>
      </c>
      <c r="E6380" s="111"/>
      <c r="F6380" s="113" t="s">
        <v>11595</v>
      </c>
      <c r="G6380" s="114"/>
      <c r="H6380" s="115"/>
      <c r="I6380" s="24" t="s">
        <v>8233</v>
      </c>
      <c r="J6380" s="116">
        <v>4</v>
      </c>
      <c r="K6380" s="118">
        <v>541000</v>
      </c>
      <c r="L6380" s="119"/>
      <c r="M6380" s="118">
        <f t="shared" ref="M6380" si="8691">K6380*0.1</f>
        <v>54100</v>
      </c>
      <c r="N6380" s="119"/>
      <c r="O6380" s="118">
        <v>0</v>
      </c>
      <c r="P6380" s="119"/>
      <c r="Q6380" s="118">
        <v>8860</v>
      </c>
      <c r="R6380" s="119"/>
      <c r="S6380" s="118">
        <v>15400</v>
      </c>
      <c r="T6380" s="119"/>
      <c r="U6380" s="118">
        <f t="shared" ref="U6380" si="8692">SUM(K6380:T6381)</f>
        <v>619360</v>
      </c>
      <c r="V6380" s="122"/>
      <c r="W6380" s="124"/>
      <c r="X6380" s="126" t="s">
        <v>18959</v>
      </c>
      <c r="Y6380" s="127"/>
      <c r="Z6380" s="127"/>
      <c r="AA6380" s="127"/>
      <c r="AB6380" s="128"/>
      <c r="AC6380" s="15" t="s">
        <v>20</v>
      </c>
      <c r="AD6380" s="129"/>
      <c r="AE6380" s="130"/>
      <c r="AF6380" s="130"/>
      <c r="AG6380" s="130"/>
      <c r="AH6380" s="130"/>
      <c r="AI6380" s="131"/>
      <c r="AJ6380" s="132"/>
      <c r="AK6380" s="127"/>
      <c r="AL6380" s="128"/>
      <c r="AM6380" s="21"/>
      <c r="AN6380" s="133">
        <v>46078</v>
      </c>
      <c r="AO6380" s="134"/>
      <c r="AP6380" s="135">
        <v>1006</v>
      </c>
      <c r="AQ6380" s="136"/>
      <c r="AR6380" s="118">
        <v>720000</v>
      </c>
      <c r="AS6380" s="119"/>
      <c r="AT6380" s="118">
        <f t="shared" ref="AT6380" si="8693">AR6380*0.1</f>
        <v>72000</v>
      </c>
      <c r="AU6380" s="119"/>
      <c r="AV6380" s="118">
        <v>8860</v>
      </c>
      <c r="AW6380" s="119"/>
      <c r="AX6380" s="118">
        <f t="shared" ref="AX6380" si="8694">SUM(AR6380:AW6380)</f>
        <v>800860</v>
      </c>
      <c r="AY6380" s="119"/>
      <c r="AZ6380" s="137">
        <v>46086</v>
      </c>
    </row>
    <row r="6381" spans="1:52" ht="17.100000000000001" customHeight="1" thickBot="1">
      <c r="A6381" s="110"/>
      <c r="B6381" s="27" t="s">
        <v>2641</v>
      </c>
      <c r="C6381" s="27">
        <v>7569</v>
      </c>
      <c r="D6381" s="14" t="s">
        <v>1556</v>
      </c>
      <c r="E6381" s="112"/>
      <c r="F6381" s="139" t="s">
        <v>18453</v>
      </c>
      <c r="G6381" s="140"/>
      <c r="H6381" s="141"/>
      <c r="I6381" s="26">
        <v>44905</v>
      </c>
      <c r="J6381" s="117"/>
      <c r="K6381" s="120"/>
      <c r="L6381" s="121"/>
      <c r="M6381" s="120"/>
      <c r="N6381" s="121"/>
      <c r="O6381" s="120"/>
      <c r="P6381" s="121"/>
      <c r="Q6381" s="120"/>
      <c r="R6381" s="121"/>
      <c r="S6381" s="120"/>
      <c r="T6381" s="121"/>
      <c r="U6381" s="120"/>
      <c r="V6381" s="123"/>
      <c r="W6381" s="125"/>
      <c r="X6381" s="142" t="s">
        <v>18960</v>
      </c>
      <c r="Y6381" s="143"/>
      <c r="Z6381" s="143"/>
      <c r="AA6381" s="143"/>
      <c r="AB6381" s="144"/>
      <c r="AC6381" s="16" t="s">
        <v>21</v>
      </c>
      <c r="AD6381" s="17" t="s">
        <v>18720</v>
      </c>
      <c r="AE6381" s="145" t="s">
        <v>4077</v>
      </c>
      <c r="AF6381" s="146"/>
      <c r="AG6381" s="146"/>
      <c r="AH6381" s="146"/>
      <c r="AI6381" s="147"/>
      <c r="AJ6381" s="148"/>
      <c r="AK6381" s="143"/>
      <c r="AL6381" s="144"/>
      <c r="AM6381" s="22"/>
      <c r="AN6381" s="149" t="s">
        <v>7285</v>
      </c>
      <c r="AO6381" s="144"/>
      <c r="AP6381" s="148">
        <v>5228</v>
      </c>
      <c r="AQ6381" s="144"/>
      <c r="AR6381" s="120"/>
      <c r="AS6381" s="121"/>
      <c r="AT6381" s="120"/>
      <c r="AU6381" s="121"/>
      <c r="AV6381" s="120"/>
      <c r="AW6381" s="121"/>
      <c r="AX6381" s="120"/>
      <c r="AY6381" s="121"/>
      <c r="AZ6381" s="138"/>
    </row>
    <row r="6382" spans="1:52" ht="17.100000000000001" customHeight="1" thickTop="1">
      <c r="A6382" s="109" t="s">
        <v>18474</v>
      </c>
      <c r="B6382" s="28">
        <v>46073</v>
      </c>
      <c r="C6382" s="25">
        <v>1407</v>
      </c>
      <c r="D6382" s="13" t="s">
        <v>2298</v>
      </c>
      <c r="E6382" s="111"/>
      <c r="F6382" s="113" t="s">
        <v>10651</v>
      </c>
      <c r="G6382" s="114"/>
      <c r="H6382" s="115"/>
      <c r="I6382" s="24"/>
      <c r="J6382" s="116">
        <v>4</v>
      </c>
      <c r="K6382" s="118">
        <v>935000</v>
      </c>
      <c r="L6382" s="119"/>
      <c r="M6382" s="118">
        <f t="shared" ref="M6382" si="8695">K6382*0.1</f>
        <v>93500</v>
      </c>
      <c r="N6382" s="119"/>
      <c r="O6382" s="118">
        <v>0</v>
      </c>
      <c r="P6382" s="119"/>
      <c r="Q6382" s="118">
        <v>8740</v>
      </c>
      <c r="R6382" s="119"/>
      <c r="S6382" s="118">
        <v>15400</v>
      </c>
      <c r="T6382" s="119"/>
      <c r="U6382" s="118">
        <f t="shared" ref="U6382" si="8696">SUM(K6382:T6383)</f>
        <v>1052640</v>
      </c>
      <c r="V6382" s="122"/>
      <c r="W6382" s="124"/>
      <c r="X6382" s="126" t="s">
        <v>18942</v>
      </c>
      <c r="Y6382" s="127"/>
      <c r="Z6382" s="127"/>
      <c r="AA6382" s="127"/>
      <c r="AB6382" s="128"/>
      <c r="AC6382" s="15" t="s">
        <v>20</v>
      </c>
      <c r="AD6382" s="129"/>
      <c r="AE6382" s="130"/>
      <c r="AF6382" s="130"/>
      <c r="AG6382" s="130"/>
      <c r="AH6382" s="130"/>
      <c r="AI6382" s="131"/>
      <c r="AJ6382" s="132"/>
      <c r="AK6382" s="127"/>
      <c r="AL6382" s="128"/>
      <c r="AM6382" s="21"/>
      <c r="AN6382" s="133">
        <v>46088</v>
      </c>
      <c r="AO6382" s="134"/>
      <c r="AP6382" s="135">
        <v>1291</v>
      </c>
      <c r="AQ6382" s="136"/>
      <c r="AR6382" s="118">
        <v>1015000</v>
      </c>
      <c r="AS6382" s="119"/>
      <c r="AT6382" s="118">
        <f t="shared" ref="AT6382" si="8697">AR6382*0.1</f>
        <v>101500</v>
      </c>
      <c r="AU6382" s="119"/>
      <c r="AV6382" s="118">
        <v>8740</v>
      </c>
      <c r="AW6382" s="119"/>
      <c r="AX6382" s="118">
        <f t="shared" ref="AX6382" si="8698">SUM(AR6382:AW6382)</f>
        <v>1125240</v>
      </c>
      <c r="AY6382" s="119"/>
      <c r="AZ6382" s="137">
        <v>46091</v>
      </c>
    </row>
    <row r="6383" spans="1:52" ht="17.100000000000001" customHeight="1" thickBot="1">
      <c r="A6383" s="110"/>
      <c r="B6383" s="27" t="s">
        <v>2641</v>
      </c>
      <c r="C6383" s="27">
        <v>7582</v>
      </c>
      <c r="D6383" s="14" t="s">
        <v>1576</v>
      </c>
      <c r="E6383" s="112"/>
      <c r="F6383" s="139" t="s">
        <v>18454</v>
      </c>
      <c r="G6383" s="140"/>
      <c r="H6383" s="141"/>
      <c r="I6383" s="26">
        <v>27719</v>
      </c>
      <c r="J6383" s="117"/>
      <c r="K6383" s="120"/>
      <c r="L6383" s="121"/>
      <c r="M6383" s="120"/>
      <c r="N6383" s="121"/>
      <c r="O6383" s="120"/>
      <c r="P6383" s="121"/>
      <c r="Q6383" s="120"/>
      <c r="R6383" s="121"/>
      <c r="S6383" s="120"/>
      <c r="T6383" s="121"/>
      <c r="U6383" s="120"/>
      <c r="V6383" s="123"/>
      <c r="W6383" s="125"/>
      <c r="X6383" s="142" t="s">
        <v>8529</v>
      </c>
      <c r="Y6383" s="143"/>
      <c r="Z6383" s="143"/>
      <c r="AA6383" s="143"/>
      <c r="AB6383" s="144"/>
      <c r="AC6383" s="16" t="s">
        <v>21</v>
      </c>
      <c r="AD6383" s="17" t="s">
        <v>3616</v>
      </c>
      <c r="AE6383" s="145" t="s">
        <v>171</v>
      </c>
      <c r="AF6383" s="146"/>
      <c r="AG6383" s="146"/>
      <c r="AH6383" s="146"/>
      <c r="AI6383" s="147"/>
      <c r="AJ6383" s="148"/>
      <c r="AK6383" s="143"/>
      <c r="AL6383" s="144"/>
      <c r="AM6383" s="22"/>
      <c r="AN6383" s="149" t="s">
        <v>2511</v>
      </c>
      <c r="AO6383" s="144"/>
      <c r="AP6383" s="148">
        <v>60228</v>
      </c>
      <c r="AQ6383" s="144"/>
      <c r="AR6383" s="120"/>
      <c r="AS6383" s="121"/>
      <c r="AT6383" s="120"/>
      <c r="AU6383" s="121"/>
      <c r="AV6383" s="120"/>
      <c r="AW6383" s="121"/>
      <c r="AX6383" s="120"/>
      <c r="AY6383" s="121"/>
      <c r="AZ6383" s="138"/>
    </row>
    <row r="6384" spans="1:52" ht="17.100000000000001" customHeight="1" thickTop="1">
      <c r="A6384" s="109" t="s">
        <v>18475</v>
      </c>
      <c r="B6384" s="28">
        <v>46073</v>
      </c>
      <c r="C6384" s="25">
        <v>1407</v>
      </c>
      <c r="D6384" s="13" t="s">
        <v>1855</v>
      </c>
      <c r="E6384" s="111"/>
      <c r="F6384" s="113" t="s">
        <v>9371</v>
      </c>
      <c r="G6384" s="114"/>
      <c r="H6384" s="115"/>
      <c r="I6384" s="24" t="s">
        <v>13262</v>
      </c>
      <c r="J6384" s="150" t="s">
        <v>1715</v>
      </c>
      <c r="K6384" s="118">
        <v>196000</v>
      </c>
      <c r="L6384" s="119"/>
      <c r="M6384" s="118">
        <f t="shared" ref="M6384" si="8699">K6384*0.1</f>
        <v>19600</v>
      </c>
      <c r="N6384" s="119"/>
      <c r="O6384" s="118">
        <v>0</v>
      </c>
      <c r="P6384" s="119"/>
      <c r="Q6384" s="118">
        <v>9790</v>
      </c>
      <c r="R6384" s="119"/>
      <c r="S6384" s="118">
        <v>15400</v>
      </c>
      <c r="T6384" s="119"/>
      <c r="U6384" s="118">
        <f t="shared" ref="U6384" si="8700">SUM(K6384:T6385)</f>
        <v>240790</v>
      </c>
      <c r="V6384" s="122"/>
      <c r="W6384" s="124"/>
      <c r="X6384" s="126" t="s">
        <v>19223</v>
      </c>
      <c r="Y6384" s="127"/>
      <c r="Z6384" s="127"/>
      <c r="AA6384" s="127"/>
      <c r="AB6384" s="128"/>
      <c r="AC6384" s="15" t="s">
        <v>20</v>
      </c>
      <c r="AD6384" s="129"/>
      <c r="AE6384" s="130"/>
      <c r="AF6384" s="130"/>
      <c r="AG6384" s="130"/>
      <c r="AH6384" s="130"/>
      <c r="AI6384" s="131"/>
      <c r="AJ6384" s="132"/>
      <c r="AK6384" s="127"/>
      <c r="AL6384" s="128"/>
      <c r="AM6384" s="21" t="s">
        <v>19437</v>
      </c>
      <c r="AN6384" s="133">
        <v>46085</v>
      </c>
      <c r="AO6384" s="134"/>
      <c r="AP6384" s="135">
        <v>1007</v>
      </c>
      <c r="AQ6384" s="136"/>
      <c r="AR6384" s="118">
        <v>195000</v>
      </c>
      <c r="AS6384" s="119"/>
      <c r="AT6384" s="118">
        <f t="shared" ref="AT6384" si="8701">AR6384*0.1</f>
        <v>19500</v>
      </c>
      <c r="AU6384" s="119"/>
      <c r="AV6384" s="118">
        <v>9790</v>
      </c>
      <c r="AW6384" s="119"/>
      <c r="AX6384" s="118">
        <f t="shared" ref="AX6384" si="8702">SUM(AR6384:AW6384)</f>
        <v>224290</v>
      </c>
      <c r="AY6384" s="119"/>
      <c r="AZ6384" s="137">
        <v>46090</v>
      </c>
    </row>
    <row r="6385" spans="1:52" ht="17.100000000000001" customHeight="1" thickBot="1">
      <c r="A6385" s="110"/>
      <c r="B6385" s="27" t="s">
        <v>2641</v>
      </c>
      <c r="C6385" s="27">
        <v>9054</v>
      </c>
      <c r="D6385" s="14" t="s">
        <v>2040</v>
      </c>
      <c r="E6385" s="112"/>
      <c r="F6385" s="139" t="s">
        <v>18455</v>
      </c>
      <c r="G6385" s="140"/>
      <c r="H6385" s="141"/>
      <c r="I6385" s="26">
        <v>137980</v>
      </c>
      <c r="J6385" s="117"/>
      <c r="K6385" s="120"/>
      <c r="L6385" s="121"/>
      <c r="M6385" s="120"/>
      <c r="N6385" s="121"/>
      <c r="O6385" s="120"/>
      <c r="P6385" s="121"/>
      <c r="Q6385" s="120"/>
      <c r="R6385" s="121"/>
      <c r="S6385" s="120"/>
      <c r="T6385" s="121"/>
      <c r="U6385" s="120"/>
      <c r="V6385" s="123"/>
      <c r="W6385" s="125"/>
      <c r="X6385" s="142" t="s">
        <v>19224</v>
      </c>
      <c r="Y6385" s="143"/>
      <c r="Z6385" s="143"/>
      <c r="AA6385" s="143"/>
      <c r="AB6385" s="144"/>
      <c r="AC6385" s="16" t="s">
        <v>21</v>
      </c>
      <c r="AD6385" s="17" t="s">
        <v>1714</v>
      </c>
      <c r="AE6385" s="145" t="s">
        <v>19225</v>
      </c>
      <c r="AF6385" s="146"/>
      <c r="AG6385" s="146"/>
      <c r="AH6385" s="146"/>
      <c r="AI6385" s="147"/>
      <c r="AJ6385" s="148"/>
      <c r="AK6385" s="143"/>
      <c r="AL6385" s="144"/>
      <c r="AM6385" s="22"/>
      <c r="AN6385" s="149" t="s">
        <v>2794</v>
      </c>
      <c r="AO6385" s="144"/>
      <c r="AP6385" s="148">
        <v>2087</v>
      </c>
      <c r="AQ6385" s="144"/>
      <c r="AR6385" s="120"/>
      <c r="AS6385" s="121"/>
      <c r="AT6385" s="120"/>
      <c r="AU6385" s="121"/>
      <c r="AV6385" s="120"/>
      <c r="AW6385" s="121"/>
      <c r="AX6385" s="120"/>
      <c r="AY6385" s="121"/>
      <c r="AZ6385" s="138"/>
    </row>
    <row r="6386" spans="1:52" ht="17.100000000000001" customHeight="1" thickTop="1">
      <c r="A6386" s="109" t="s">
        <v>18476</v>
      </c>
      <c r="B6386" s="28">
        <v>46073</v>
      </c>
      <c r="C6386" s="25">
        <v>1407</v>
      </c>
      <c r="D6386" s="13" t="s">
        <v>4224</v>
      </c>
      <c r="E6386" s="111"/>
      <c r="F6386" s="113" t="s">
        <v>18456</v>
      </c>
      <c r="G6386" s="114"/>
      <c r="H6386" s="115"/>
      <c r="I6386" s="24" t="s">
        <v>5652</v>
      </c>
      <c r="J6386" s="116">
        <v>3.5</v>
      </c>
      <c r="K6386" s="118">
        <v>176000</v>
      </c>
      <c r="L6386" s="119"/>
      <c r="M6386" s="118">
        <f t="shared" ref="M6386" si="8703">K6386*0.1</f>
        <v>17600</v>
      </c>
      <c r="N6386" s="119"/>
      <c r="O6386" s="118">
        <v>0</v>
      </c>
      <c r="P6386" s="119"/>
      <c r="Q6386" s="118">
        <v>9570</v>
      </c>
      <c r="R6386" s="119"/>
      <c r="S6386" s="118">
        <v>15400</v>
      </c>
      <c r="T6386" s="119"/>
      <c r="U6386" s="118">
        <f t="shared" ref="U6386" si="8704">SUM(K6386:T6387)</f>
        <v>218570</v>
      </c>
      <c r="V6386" s="122"/>
      <c r="W6386" s="124"/>
      <c r="X6386" s="126" t="s">
        <v>18965</v>
      </c>
      <c r="Y6386" s="127"/>
      <c r="Z6386" s="127"/>
      <c r="AA6386" s="127"/>
      <c r="AB6386" s="128"/>
      <c r="AC6386" s="15" t="s">
        <v>20</v>
      </c>
      <c r="AD6386" s="129" t="s">
        <v>171</v>
      </c>
      <c r="AE6386" s="130"/>
      <c r="AF6386" s="130"/>
      <c r="AG6386" s="130"/>
      <c r="AH6386" s="130"/>
      <c r="AI6386" s="131"/>
      <c r="AJ6386" s="132"/>
      <c r="AK6386" s="127"/>
      <c r="AL6386" s="128"/>
      <c r="AM6386" s="21"/>
      <c r="AN6386" s="133">
        <v>46081</v>
      </c>
      <c r="AO6386" s="134"/>
      <c r="AP6386" s="135">
        <v>1290</v>
      </c>
      <c r="AQ6386" s="136"/>
      <c r="AR6386" s="118">
        <v>250000</v>
      </c>
      <c r="AS6386" s="119"/>
      <c r="AT6386" s="118">
        <f t="shared" ref="AT6386" si="8705">AR6386*0.1</f>
        <v>25000</v>
      </c>
      <c r="AU6386" s="119"/>
      <c r="AV6386" s="118">
        <v>9570</v>
      </c>
      <c r="AW6386" s="119"/>
      <c r="AX6386" s="118">
        <f t="shared" ref="AX6386" si="8706">SUM(AR6386:AW6386)</f>
        <v>284570</v>
      </c>
      <c r="AY6386" s="119"/>
      <c r="AZ6386" s="137">
        <v>46084</v>
      </c>
    </row>
    <row r="6387" spans="1:52" ht="17.100000000000001" customHeight="1" thickBot="1">
      <c r="A6387" s="110"/>
      <c r="B6387" s="27" t="s">
        <v>2641</v>
      </c>
      <c r="C6387" s="27">
        <v>9215</v>
      </c>
      <c r="D6387" s="14" t="s">
        <v>133</v>
      </c>
      <c r="E6387" s="112"/>
      <c r="F6387" s="139" t="s">
        <v>18457</v>
      </c>
      <c r="G6387" s="140"/>
      <c r="H6387" s="141"/>
      <c r="I6387" s="26">
        <v>39650</v>
      </c>
      <c r="J6387" s="117"/>
      <c r="K6387" s="120"/>
      <c r="L6387" s="121"/>
      <c r="M6387" s="120"/>
      <c r="N6387" s="121"/>
      <c r="O6387" s="120"/>
      <c r="P6387" s="121"/>
      <c r="Q6387" s="120"/>
      <c r="R6387" s="121"/>
      <c r="S6387" s="120"/>
      <c r="T6387" s="121"/>
      <c r="U6387" s="120"/>
      <c r="V6387" s="123"/>
      <c r="W6387" s="125"/>
      <c r="X6387" s="142" t="s">
        <v>18966</v>
      </c>
      <c r="Y6387" s="143"/>
      <c r="Z6387" s="143"/>
      <c r="AA6387" s="143"/>
      <c r="AB6387" s="144"/>
      <c r="AC6387" s="16" t="s">
        <v>21</v>
      </c>
      <c r="AD6387" s="17" t="s">
        <v>18720</v>
      </c>
      <c r="AE6387" s="145" t="s">
        <v>9867</v>
      </c>
      <c r="AF6387" s="146"/>
      <c r="AG6387" s="146"/>
      <c r="AH6387" s="146"/>
      <c r="AI6387" s="147"/>
      <c r="AJ6387" s="148"/>
      <c r="AK6387" s="143"/>
      <c r="AL6387" s="144"/>
      <c r="AM6387" s="22"/>
      <c r="AN6387" s="149" t="s">
        <v>2511</v>
      </c>
      <c r="AO6387" s="144"/>
      <c r="AP6387" s="148">
        <v>60218</v>
      </c>
      <c r="AQ6387" s="144"/>
      <c r="AR6387" s="120"/>
      <c r="AS6387" s="121"/>
      <c r="AT6387" s="120"/>
      <c r="AU6387" s="121"/>
      <c r="AV6387" s="120"/>
      <c r="AW6387" s="121"/>
      <c r="AX6387" s="120"/>
      <c r="AY6387" s="121"/>
      <c r="AZ6387" s="138"/>
    </row>
    <row r="6388" spans="1:52" ht="17.100000000000001" customHeight="1" thickTop="1">
      <c r="A6388" s="109" t="s">
        <v>18477</v>
      </c>
      <c r="B6388" s="28">
        <v>46070</v>
      </c>
      <c r="C6388" s="25"/>
      <c r="D6388" s="13" t="s">
        <v>1675</v>
      </c>
      <c r="E6388" s="111"/>
      <c r="F6388" s="113" t="s">
        <v>18479</v>
      </c>
      <c r="G6388" s="114"/>
      <c r="H6388" s="115"/>
      <c r="I6388" s="24" t="s">
        <v>18481</v>
      </c>
      <c r="J6388" s="116"/>
      <c r="K6388" s="118">
        <v>1000000</v>
      </c>
      <c r="L6388" s="119"/>
      <c r="M6388" s="118">
        <v>0</v>
      </c>
      <c r="N6388" s="119"/>
      <c r="O6388" s="118">
        <v>0</v>
      </c>
      <c r="P6388" s="119"/>
      <c r="Q6388" s="118">
        <v>0</v>
      </c>
      <c r="R6388" s="119"/>
      <c r="S6388" s="118">
        <v>0</v>
      </c>
      <c r="T6388" s="119"/>
      <c r="U6388" s="118">
        <f t="shared" ref="U6388" si="8707">SUM(K6388:T6389)</f>
        <v>1000000</v>
      </c>
      <c r="V6388" s="122"/>
      <c r="W6388" s="124"/>
      <c r="X6388" s="126" t="s">
        <v>18482</v>
      </c>
      <c r="Y6388" s="127"/>
      <c r="Z6388" s="127"/>
      <c r="AA6388" s="127"/>
      <c r="AB6388" s="128"/>
      <c r="AC6388" s="15" t="s">
        <v>20</v>
      </c>
      <c r="AD6388" s="129"/>
      <c r="AE6388" s="130"/>
      <c r="AF6388" s="130"/>
      <c r="AG6388" s="130"/>
      <c r="AH6388" s="130"/>
      <c r="AI6388" s="131"/>
      <c r="AJ6388" s="132"/>
      <c r="AK6388" s="127"/>
      <c r="AL6388" s="128"/>
      <c r="AM6388" s="21"/>
      <c r="AN6388" s="133">
        <v>46081</v>
      </c>
      <c r="AO6388" s="134"/>
      <c r="AP6388" s="135">
        <v>1290</v>
      </c>
      <c r="AQ6388" s="136"/>
      <c r="AR6388" s="118">
        <v>1485000</v>
      </c>
      <c r="AS6388" s="119"/>
      <c r="AT6388" s="118">
        <f t="shared" ref="AT6388" si="8708">AR6388*0.1</f>
        <v>148500</v>
      </c>
      <c r="AU6388" s="119"/>
      <c r="AV6388" s="118">
        <v>19100</v>
      </c>
      <c r="AW6388" s="119"/>
      <c r="AX6388" s="118">
        <f t="shared" ref="AX6388" si="8709">SUM(AR6388:AW6388)</f>
        <v>1652600</v>
      </c>
      <c r="AY6388" s="119"/>
      <c r="AZ6388" s="137">
        <v>46084</v>
      </c>
    </row>
    <row r="6389" spans="1:52" ht="17.100000000000001" customHeight="1" thickBot="1">
      <c r="A6389" s="110"/>
      <c r="B6389" s="27" t="s">
        <v>18478</v>
      </c>
      <c r="C6389" s="27"/>
      <c r="D6389" s="14"/>
      <c r="E6389" s="112"/>
      <c r="F6389" s="139" t="s">
        <v>18480</v>
      </c>
      <c r="G6389" s="140"/>
      <c r="H6389" s="141"/>
      <c r="I6389" s="26">
        <v>89904</v>
      </c>
      <c r="J6389" s="117"/>
      <c r="K6389" s="120"/>
      <c r="L6389" s="121"/>
      <c r="M6389" s="120"/>
      <c r="N6389" s="121"/>
      <c r="O6389" s="120"/>
      <c r="P6389" s="121"/>
      <c r="Q6389" s="120"/>
      <c r="R6389" s="121"/>
      <c r="S6389" s="120"/>
      <c r="T6389" s="121"/>
      <c r="U6389" s="120"/>
      <c r="V6389" s="123"/>
      <c r="W6389" s="125"/>
      <c r="X6389" s="142" t="s">
        <v>18483</v>
      </c>
      <c r="Y6389" s="143"/>
      <c r="Z6389" s="143"/>
      <c r="AA6389" s="143"/>
      <c r="AB6389" s="144"/>
      <c r="AC6389" s="16" t="s">
        <v>21</v>
      </c>
      <c r="AD6389" s="17" t="s">
        <v>18390</v>
      </c>
      <c r="AE6389" s="145" t="s">
        <v>171</v>
      </c>
      <c r="AF6389" s="146"/>
      <c r="AG6389" s="146"/>
      <c r="AH6389" s="146"/>
      <c r="AI6389" s="147"/>
      <c r="AJ6389" s="148"/>
      <c r="AK6389" s="143"/>
      <c r="AL6389" s="144"/>
      <c r="AM6389" s="22"/>
      <c r="AN6389" s="149" t="s">
        <v>2511</v>
      </c>
      <c r="AO6389" s="144"/>
      <c r="AP6389" s="148">
        <v>82243</v>
      </c>
      <c r="AQ6389" s="144"/>
      <c r="AR6389" s="120"/>
      <c r="AS6389" s="121"/>
      <c r="AT6389" s="120"/>
      <c r="AU6389" s="121"/>
      <c r="AV6389" s="120"/>
      <c r="AW6389" s="121"/>
      <c r="AX6389" s="120"/>
      <c r="AY6389" s="121"/>
      <c r="AZ6389" s="138"/>
    </row>
    <row r="6390" spans="1:52" ht="17.100000000000001" customHeight="1" thickTop="1">
      <c r="A6390" s="109" t="s">
        <v>18501</v>
      </c>
      <c r="B6390" s="28">
        <v>46074</v>
      </c>
      <c r="C6390" s="25">
        <v>300</v>
      </c>
      <c r="D6390" s="13" t="s">
        <v>2298</v>
      </c>
      <c r="E6390" s="111"/>
      <c r="F6390" s="113" t="s">
        <v>18505</v>
      </c>
      <c r="G6390" s="114"/>
      <c r="H6390" s="115"/>
      <c r="I6390" s="24"/>
      <c r="J6390" s="116">
        <v>4.5</v>
      </c>
      <c r="K6390" s="118">
        <v>2823000</v>
      </c>
      <c r="L6390" s="119"/>
      <c r="M6390" s="118">
        <f t="shared" ref="M6390" si="8710">K6390*0.1</f>
        <v>282300</v>
      </c>
      <c r="N6390" s="119"/>
      <c r="O6390" s="118">
        <v>0</v>
      </c>
      <c r="P6390" s="119"/>
      <c r="Q6390" s="118">
        <v>22060</v>
      </c>
      <c r="R6390" s="119"/>
      <c r="S6390" s="118">
        <v>15950</v>
      </c>
      <c r="T6390" s="119"/>
      <c r="U6390" s="118">
        <f t="shared" ref="U6390" si="8711">SUM(K6390:T6391)</f>
        <v>3143310</v>
      </c>
      <c r="V6390" s="122"/>
      <c r="W6390" s="124"/>
      <c r="X6390" s="126" t="s">
        <v>18816</v>
      </c>
      <c r="Y6390" s="127"/>
      <c r="Z6390" s="127"/>
      <c r="AA6390" s="127"/>
      <c r="AB6390" s="128"/>
      <c r="AC6390" s="15" t="s">
        <v>20</v>
      </c>
      <c r="AD6390" s="129"/>
      <c r="AE6390" s="130"/>
      <c r="AF6390" s="130"/>
      <c r="AG6390" s="130"/>
      <c r="AH6390" s="130"/>
      <c r="AI6390" s="131"/>
      <c r="AJ6390" s="132"/>
      <c r="AK6390" s="127"/>
      <c r="AL6390" s="128"/>
      <c r="AM6390" s="21"/>
      <c r="AN6390" s="133">
        <v>46081</v>
      </c>
      <c r="AO6390" s="134"/>
      <c r="AP6390" s="135">
        <v>1290</v>
      </c>
      <c r="AQ6390" s="136"/>
      <c r="AR6390" s="118">
        <v>2985000</v>
      </c>
      <c r="AS6390" s="119"/>
      <c r="AT6390" s="118">
        <f t="shared" ref="AT6390" si="8712">AR6390*0.1</f>
        <v>298500</v>
      </c>
      <c r="AU6390" s="119"/>
      <c r="AV6390" s="118">
        <v>22060</v>
      </c>
      <c r="AW6390" s="119"/>
      <c r="AX6390" s="118">
        <f t="shared" ref="AX6390" si="8713">SUM(AR6390:AW6390)</f>
        <v>3305560</v>
      </c>
      <c r="AY6390" s="119"/>
      <c r="AZ6390" s="137">
        <v>46084</v>
      </c>
    </row>
    <row r="6391" spans="1:52" ht="17.100000000000001" customHeight="1" thickBot="1">
      <c r="A6391" s="110"/>
      <c r="B6391" s="27" t="s">
        <v>3574</v>
      </c>
      <c r="C6391" s="27">
        <v>5010</v>
      </c>
      <c r="D6391" s="14" t="s">
        <v>275</v>
      </c>
      <c r="E6391" s="112"/>
      <c r="F6391" s="139" t="s">
        <v>18506</v>
      </c>
      <c r="G6391" s="140"/>
      <c r="H6391" s="141"/>
      <c r="I6391" s="26">
        <v>46366</v>
      </c>
      <c r="J6391" s="117"/>
      <c r="K6391" s="120"/>
      <c r="L6391" s="121"/>
      <c r="M6391" s="120"/>
      <c r="N6391" s="121"/>
      <c r="O6391" s="120"/>
      <c r="P6391" s="121"/>
      <c r="Q6391" s="120"/>
      <c r="R6391" s="121"/>
      <c r="S6391" s="120"/>
      <c r="T6391" s="121"/>
      <c r="U6391" s="120"/>
      <c r="V6391" s="123"/>
      <c r="W6391" s="125"/>
      <c r="X6391" s="142" t="s">
        <v>18817</v>
      </c>
      <c r="Y6391" s="143"/>
      <c r="Z6391" s="143"/>
      <c r="AA6391" s="143"/>
      <c r="AB6391" s="144"/>
      <c r="AC6391" s="16" t="s">
        <v>21</v>
      </c>
      <c r="AD6391" s="17" t="s">
        <v>18720</v>
      </c>
      <c r="AE6391" s="145" t="s">
        <v>18822</v>
      </c>
      <c r="AF6391" s="146"/>
      <c r="AG6391" s="146"/>
      <c r="AH6391" s="146"/>
      <c r="AI6391" s="147"/>
      <c r="AJ6391" s="148"/>
      <c r="AK6391" s="143"/>
      <c r="AL6391" s="144"/>
      <c r="AM6391" s="22"/>
      <c r="AN6391" s="149" t="s">
        <v>2511</v>
      </c>
      <c r="AO6391" s="144"/>
      <c r="AP6391" s="148">
        <v>80034</v>
      </c>
      <c r="AQ6391" s="144"/>
      <c r="AR6391" s="120"/>
      <c r="AS6391" s="121"/>
      <c r="AT6391" s="120"/>
      <c r="AU6391" s="121"/>
      <c r="AV6391" s="120"/>
      <c r="AW6391" s="121"/>
      <c r="AX6391" s="120"/>
      <c r="AY6391" s="121"/>
      <c r="AZ6391" s="138"/>
    </row>
    <row r="6392" spans="1:52" ht="17.100000000000001" customHeight="1" thickTop="1">
      <c r="A6392" s="109" t="s">
        <v>18502</v>
      </c>
      <c r="B6392" s="28">
        <v>46074</v>
      </c>
      <c r="C6392" s="25">
        <v>1707</v>
      </c>
      <c r="D6392" s="13" t="s">
        <v>4121</v>
      </c>
      <c r="E6392" s="111"/>
      <c r="F6392" s="113" t="s">
        <v>18507</v>
      </c>
      <c r="G6392" s="114"/>
      <c r="H6392" s="115"/>
      <c r="I6392" s="24" t="s">
        <v>4193</v>
      </c>
      <c r="J6392" s="116">
        <v>4.5</v>
      </c>
      <c r="K6392" s="118">
        <v>2130000</v>
      </c>
      <c r="L6392" s="119"/>
      <c r="M6392" s="118">
        <f t="shared" ref="M6392" si="8714">K6392*0.1</f>
        <v>213000</v>
      </c>
      <c r="N6392" s="119"/>
      <c r="O6392" s="118">
        <v>3520</v>
      </c>
      <c r="P6392" s="119"/>
      <c r="Q6392" s="118">
        <v>19090</v>
      </c>
      <c r="R6392" s="119"/>
      <c r="S6392" s="118">
        <v>16500</v>
      </c>
      <c r="T6392" s="119"/>
      <c r="U6392" s="118">
        <f t="shared" ref="U6392" si="8715">SUM(K6392:T6393)</f>
        <v>2382110</v>
      </c>
      <c r="V6392" s="122"/>
      <c r="W6392" s="124"/>
      <c r="X6392" s="126" t="s">
        <v>18525</v>
      </c>
      <c r="Y6392" s="127"/>
      <c r="Z6392" s="127"/>
      <c r="AA6392" s="127"/>
      <c r="AB6392" s="128"/>
      <c r="AC6392" s="15" t="s">
        <v>20</v>
      </c>
      <c r="AD6392" s="129" t="s">
        <v>4435</v>
      </c>
      <c r="AE6392" s="130"/>
      <c r="AF6392" s="130"/>
      <c r="AG6392" s="130"/>
      <c r="AH6392" s="130"/>
      <c r="AI6392" s="131"/>
      <c r="AJ6392" s="132"/>
      <c r="AK6392" s="127"/>
      <c r="AL6392" s="128"/>
      <c r="AM6392" s="21"/>
      <c r="AN6392" s="133">
        <v>46102</v>
      </c>
      <c r="AO6392" s="134"/>
      <c r="AP6392" s="135">
        <v>1293</v>
      </c>
      <c r="AQ6392" s="136"/>
      <c r="AR6392" s="118">
        <v>2390000</v>
      </c>
      <c r="AS6392" s="119"/>
      <c r="AT6392" s="118">
        <f t="shared" ref="AT6392" si="8716">AR6392*0.1</f>
        <v>239000</v>
      </c>
      <c r="AU6392" s="119"/>
      <c r="AV6392" s="118">
        <v>19090</v>
      </c>
      <c r="AW6392" s="119"/>
      <c r="AX6392" s="118">
        <f t="shared" ref="AX6392" si="8717">SUM(AR6392:AW6392)</f>
        <v>2648090</v>
      </c>
      <c r="AY6392" s="119"/>
      <c r="AZ6392" s="137">
        <v>46105</v>
      </c>
    </row>
    <row r="6393" spans="1:52" ht="17.100000000000001" customHeight="1" thickBot="1">
      <c r="A6393" s="110"/>
      <c r="B6393" s="27" t="s">
        <v>1859</v>
      </c>
      <c r="C6393" s="27">
        <v>315</v>
      </c>
      <c r="D6393" s="14" t="s">
        <v>1592</v>
      </c>
      <c r="E6393" s="112"/>
      <c r="F6393" s="139" t="s">
        <v>18508</v>
      </c>
      <c r="G6393" s="140"/>
      <c r="H6393" s="141"/>
      <c r="I6393" s="26">
        <v>51859</v>
      </c>
      <c r="J6393" s="117"/>
      <c r="K6393" s="120"/>
      <c r="L6393" s="121"/>
      <c r="M6393" s="120"/>
      <c r="N6393" s="121"/>
      <c r="O6393" s="120"/>
      <c r="P6393" s="121"/>
      <c r="Q6393" s="120"/>
      <c r="R6393" s="121"/>
      <c r="S6393" s="120"/>
      <c r="T6393" s="121"/>
      <c r="U6393" s="120"/>
      <c r="V6393" s="123"/>
      <c r="W6393" s="125"/>
      <c r="X6393" s="142" t="s">
        <v>18819</v>
      </c>
      <c r="Y6393" s="143"/>
      <c r="Z6393" s="143"/>
      <c r="AA6393" s="143"/>
      <c r="AB6393" s="144"/>
      <c r="AC6393" s="16" t="s">
        <v>21</v>
      </c>
      <c r="AD6393" s="17" t="s">
        <v>18720</v>
      </c>
      <c r="AE6393" s="145" t="s">
        <v>1742</v>
      </c>
      <c r="AF6393" s="146"/>
      <c r="AG6393" s="146"/>
      <c r="AH6393" s="146"/>
      <c r="AI6393" s="147"/>
      <c r="AJ6393" s="148"/>
      <c r="AK6393" s="143"/>
      <c r="AL6393" s="144"/>
      <c r="AM6393" s="22"/>
      <c r="AN6393" s="149" t="s">
        <v>2511</v>
      </c>
      <c r="AO6393" s="144"/>
      <c r="AP6393" s="148">
        <v>80010</v>
      </c>
      <c r="AQ6393" s="144"/>
      <c r="AR6393" s="120"/>
      <c r="AS6393" s="121"/>
      <c r="AT6393" s="120"/>
      <c r="AU6393" s="121"/>
      <c r="AV6393" s="120"/>
      <c r="AW6393" s="121"/>
      <c r="AX6393" s="120"/>
      <c r="AY6393" s="121"/>
      <c r="AZ6393" s="138"/>
    </row>
    <row r="6394" spans="1:52" ht="17.100000000000001" customHeight="1" thickTop="1">
      <c r="A6394" s="109" t="s">
        <v>18503</v>
      </c>
      <c r="B6394" s="28">
        <v>46074</v>
      </c>
      <c r="C6394" s="25">
        <v>1454</v>
      </c>
      <c r="D6394" s="13" t="s">
        <v>2465</v>
      </c>
      <c r="E6394" s="111"/>
      <c r="F6394" s="113" t="s">
        <v>18528</v>
      </c>
      <c r="G6394" s="114"/>
      <c r="H6394" s="115"/>
      <c r="I6394" s="24" t="s">
        <v>1559</v>
      </c>
      <c r="J6394" s="116">
        <v>4</v>
      </c>
      <c r="K6394" s="118">
        <v>880000</v>
      </c>
      <c r="L6394" s="119"/>
      <c r="M6394" s="118">
        <f t="shared" ref="M6394" si="8718">K6394*0.1</f>
        <v>88000</v>
      </c>
      <c r="N6394" s="119"/>
      <c r="O6394" s="118">
        <v>3520</v>
      </c>
      <c r="P6394" s="119"/>
      <c r="Q6394" s="118">
        <v>19440</v>
      </c>
      <c r="R6394" s="119"/>
      <c r="S6394" s="118">
        <v>16500</v>
      </c>
      <c r="T6394" s="119"/>
      <c r="U6394" s="118">
        <f t="shared" ref="U6394" si="8719">SUM(K6394:T6395)</f>
        <v>1007460</v>
      </c>
      <c r="V6394" s="122"/>
      <c r="W6394" s="124"/>
      <c r="X6394" s="126" t="s">
        <v>18527</v>
      </c>
      <c r="Y6394" s="127"/>
      <c r="Z6394" s="127"/>
      <c r="AA6394" s="127"/>
      <c r="AB6394" s="128"/>
      <c r="AC6394" s="15" t="s">
        <v>20</v>
      </c>
      <c r="AD6394" s="129" t="s">
        <v>1670</v>
      </c>
      <c r="AE6394" s="130"/>
      <c r="AF6394" s="130"/>
      <c r="AG6394" s="130"/>
      <c r="AH6394" s="130"/>
      <c r="AI6394" s="131"/>
      <c r="AJ6394" s="132"/>
      <c r="AK6394" s="127"/>
      <c r="AL6394" s="128"/>
      <c r="AM6394" s="21"/>
      <c r="AN6394" s="133">
        <v>46086</v>
      </c>
      <c r="AO6394" s="134"/>
      <c r="AP6394" s="135">
        <v>1321</v>
      </c>
      <c r="AQ6394" s="136"/>
      <c r="AR6394" s="118">
        <v>1110000</v>
      </c>
      <c r="AS6394" s="119"/>
      <c r="AT6394" s="118">
        <f t="shared" ref="AT6394" si="8720">AR6394*0.1</f>
        <v>111000</v>
      </c>
      <c r="AU6394" s="119"/>
      <c r="AV6394" s="118">
        <v>19440</v>
      </c>
      <c r="AW6394" s="119"/>
      <c r="AX6394" s="118">
        <f t="shared" ref="AX6394" si="8721">SUM(AR6394:AW6394)</f>
        <v>1240440</v>
      </c>
      <c r="AY6394" s="119"/>
      <c r="AZ6394" s="137">
        <v>46087</v>
      </c>
    </row>
    <row r="6395" spans="1:52" ht="17.100000000000001" customHeight="1" thickBot="1">
      <c r="A6395" s="110"/>
      <c r="B6395" s="27" t="s">
        <v>1779</v>
      </c>
      <c r="C6395" s="27">
        <v>7322</v>
      </c>
      <c r="D6395" s="14" t="s">
        <v>904</v>
      </c>
      <c r="E6395" s="112"/>
      <c r="F6395" s="139" t="s">
        <v>18526</v>
      </c>
      <c r="G6395" s="140"/>
      <c r="H6395" s="141"/>
      <c r="I6395" s="26">
        <v>43000</v>
      </c>
      <c r="J6395" s="117"/>
      <c r="K6395" s="120"/>
      <c r="L6395" s="121"/>
      <c r="M6395" s="120"/>
      <c r="N6395" s="121"/>
      <c r="O6395" s="120"/>
      <c r="P6395" s="121"/>
      <c r="Q6395" s="120"/>
      <c r="R6395" s="121"/>
      <c r="S6395" s="120"/>
      <c r="T6395" s="121"/>
      <c r="U6395" s="120"/>
      <c r="V6395" s="123"/>
      <c r="W6395" s="125"/>
      <c r="X6395" s="142" t="s">
        <v>18821</v>
      </c>
      <c r="Y6395" s="143"/>
      <c r="Z6395" s="143"/>
      <c r="AA6395" s="143"/>
      <c r="AB6395" s="144"/>
      <c r="AC6395" s="16" t="s">
        <v>21</v>
      </c>
      <c r="AD6395" s="17" t="s">
        <v>18720</v>
      </c>
      <c r="AE6395" s="145" t="s">
        <v>1742</v>
      </c>
      <c r="AF6395" s="146"/>
      <c r="AG6395" s="146"/>
      <c r="AH6395" s="146"/>
      <c r="AI6395" s="147"/>
      <c r="AJ6395" s="148"/>
      <c r="AK6395" s="143"/>
      <c r="AL6395" s="144"/>
      <c r="AM6395" s="22"/>
      <c r="AN6395" s="149" t="s">
        <v>19388</v>
      </c>
      <c r="AO6395" s="144"/>
      <c r="AP6395" s="148">
        <v>94</v>
      </c>
      <c r="AQ6395" s="144"/>
      <c r="AR6395" s="120"/>
      <c r="AS6395" s="121"/>
      <c r="AT6395" s="120"/>
      <c r="AU6395" s="121"/>
      <c r="AV6395" s="120"/>
      <c r="AW6395" s="121"/>
      <c r="AX6395" s="120"/>
      <c r="AY6395" s="121"/>
      <c r="AZ6395" s="138"/>
    </row>
    <row r="6396" spans="1:52" ht="17.100000000000001" customHeight="1" thickTop="1">
      <c r="A6396" s="109" t="s">
        <v>18504</v>
      </c>
      <c r="B6396" s="28">
        <v>46074</v>
      </c>
      <c r="C6396" s="25">
        <v>1532</v>
      </c>
      <c r="D6396" s="13" t="s">
        <v>1572</v>
      </c>
      <c r="E6396" s="111"/>
      <c r="F6396" s="113" t="s">
        <v>18509</v>
      </c>
      <c r="G6396" s="114"/>
      <c r="H6396" s="115"/>
      <c r="I6396" s="24"/>
      <c r="J6396" s="116">
        <v>4.5</v>
      </c>
      <c r="K6396" s="118">
        <v>1400000</v>
      </c>
      <c r="L6396" s="119"/>
      <c r="M6396" s="118">
        <f t="shared" ref="M6396" si="8722">K6396*0.1</f>
        <v>140000</v>
      </c>
      <c r="N6396" s="119"/>
      <c r="O6396" s="118">
        <v>0</v>
      </c>
      <c r="P6396" s="119"/>
      <c r="Q6396" s="118">
        <v>12680</v>
      </c>
      <c r="R6396" s="119"/>
      <c r="S6396" s="118">
        <v>16500</v>
      </c>
      <c r="T6396" s="119"/>
      <c r="U6396" s="118">
        <f t="shared" ref="U6396" si="8723">SUM(K6396:T6397)</f>
        <v>1569180</v>
      </c>
      <c r="V6396" s="122"/>
      <c r="W6396" s="124"/>
      <c r="X6396" s="126" t="s">
        <v>19054</v>
      </c>
      <c r="Y6396" s="127"/>
      <c r="Z6396" s="127"/>
      <c r="AA6396" s="127"/>
      <c r="AB6396" s="128"/>
      <c r="AC6396" s="15" t="s">
        <v>20</v>
      </c>
      <c r="AD6396" s="129" t="s">
        <v>18530</v>
      </c>
      <c r="AE6396" s="130"/>
      <c r="AF6396" s="130"/>
      <c r="AG6396" s="130"/>
      <c r="AH6396" s="130"/>
      <c r="AI6396" s="131"/>
      <c r="AJ6396" s="132"/>
      <c r="AK6396" s="127"/>
      <c r="AL6396" s="128"/>
      <c r="AM6396" s="21"/>
      <c r="AN6396" s="133">
        <v>46086</v>
      </c>
      <c r="AO6396" s="134"/>
      <c r="AP6396" s="135">
        <v>1321</v>
      </c>
      <c r="AQ6396" s="136"/>
      <c r="AR6396" s="118">
        <v>1590000</v>
      </c>
      <c r="AS6396" s="119"/>
      <c r="AT6396" s="118">
        <f t="shared" ref="AT6396" si="8724">AR6396*0.1</f>
        <v>159000</v>
      </c>
      <c r="AU6396" s="119"/>
      <c r="AV6396" s="118">
        <v>12680</v>
      </c>
      <c r="AW6396" s="119"/>
      <c r="AX6396" s="118">
        <f t="shared" ref="AX6396" si="8725">SUM(AR6396:AW6396)</f>
        <v>1761680</v>
      </c>
      <c r="AY6396" s="119"/>
      <c r="AZ6396" s="137">
        <v>46087</v>
      </c>
    </row>
    <row r="6397" spans="1:52" ht="17.100000000000001" customHeight="1" thickBot="1">
      <c r="A6397" s="110"/>
      <c r="B6397" s="27" t="s">
        <v>1555</v>
      </c>
      <c r="C6397" s="27">
        <v>83282</v>
      </c>
      <c r="D6397" s="14" t="s">
        <v>2086</v>
      </c>
      <c r="E6397" s="112"/>
      <c r="F6397" s="139" t="s">
        <v>18529</v>
      </c>
      <c r="G6397" s="140"/>
      <c r="H6397" s="141"/>
      <c r="I6397" s="26">
        <v>42653</v>
      </c>
      <c r="J6397" s="117"/>
      <c r="K6397" s="120"/>
      <c r="L6397" s="121"/>
      <c r="M6397" s="120"/>
      <c r="N6397" s="121"/>
      <c r="O6397" s="120"/>
      <c r="P6397" s="121"/>
      <c r="Q6397" s="120"/>
      <c r="R6397" s="121"/>
      <c r="S6397" s="120"/>
      <c r="T6397" s="121"/>
      <c r="U6397" s="120"/>
      <c r="V6397" s="123"/>
      <c r="W6397" s="125"/>
      <c r="X6397" s="142" t="s">
        <v>19055</v>
      </c>
      <c r="Y6397" s="143"/>
      <c r="Z6397" s="143"/>
      <c r="AA6397" s="143"/>
      <c r="AB6397" s="144"/>
      <c r="AC6397" s="16" t="s">
        <v>21</v>
      </c>
      <c r="AD6397" s="17" t="s">
        <v>2353</v>
      </c>
      <c r="AE6397" s="145" t="s">
        <v>8409</v>
      </c>
      <c r="AF6397" s="146"/>
      <c r="AG6397" s="146"/>
      <c r="AH6397" s="146"/>
      <c r="AI6397" s="147"/>
      <c r="AJ6397" s="148"/>
      <c r="AK6397" s="143"/>
      <c r="AL6397" s="144"/>
      <c r="AM6397" s="22"/>
      <c r="AN6397" s="149" t="s">
        <v>19388</v>
      </c>
      <c r="AO6397" s="144"/>
      <c r="AP6397" s="148">
        <v>57</v>
      </c>
      <c r="AQ6397" s="144"/>
      <c r="AR6397" s="120"/>
      <c r="AS6397" s="121"/>
      <c r="AT6397" s="120"/>
      <c r="AU6397" s="121"/>
      <c r="AV6397" s="120"/>
      <c r="AW6397" s="121"/>
      <c r="AX6397" s="120"/>
      <c r="AY6397" s="121"/>
      <c r="AZ6397" s="138"/>
    </row>
    <row r="6398" spans="1:52" ht="17.100000000000001" customHeight="1" thickTop="1">
      <c r="A6398" s="109" t="s">
        <v>18510</v>
      </c>
      <c r="B6398" s="28">
        <v>46074</v>
      </c>
      <c r="C6398" s="25">
        <v>1289</v>
      </c>
      <c r="D6398" s="13" t="s">
        <v>1712</v>
      </c>
      <c r="E6398" s="111"/>
      <c r="F6398" s="113" t="s">
        <v>18531</v>
      </c>
      <c r="G6398" s="114"/>
      <c r="H6398" s="115"/>
      <c r="I6398" s="24"/>
      <c r="J6398" s="116">
        <v>4</v>
      </c>
      <c r="K6398" s="118">
        <v>1005000</v>
      </c>
      <c r="L6398" s="119"/>
      <c r="M6398" s="118">
        <f t="shared" ref="M6398" si="8726">K6398*0.1</f>
        <v>100500</v>
      </c>
      <c r="N6398" s="119"/>
      <c r="O6398" s="118">
        <v>0</v>
      </c>
      <c r="P6398" s="119"/>
      <c r="Q6398" s="118">
        <v>10360</v>
      </c>
      <c r="R6398" s="119"/>
      <c r="S6398" s="118">
        <v>11000</v>
      </c>
      <c r="T6398" s="119"/>
      <c r="U6398" s="118">
        <f t="shared" ref="U6398" si="8727">SUM(K6398:T6399)</f>
        <v>1126860</v>
      </c>
      <c r="V6398" s="122"/>
      <c r="W6398" s="124"/>
      <c r="X6398" s="126" t="s">
        <v>19050</v>
      </c>
      <c r="Y6398" s="127"/>
      <c r="Z6398" s="127"/>
      <c r="AA6398" s="127"/>
      <c r="AB6398" s="128"/>
      <c r="AC6398" s="15" t="s">
        <v>20</v>
      </c>
      <c r="AD6398" s="129" t="s">
        <v>3828</v>
      </c>
      <c r="AE6398" s="130"/>
      <c r="AF6398" s="130"/>
      <c r="AG6398" s="130"/>
      <c r="AH6398" s="130"/>
      <c r="AI6398" s="131"/>
      <c r="AJ6398" s="132"/>
      <c r="AK6398" s="127"/>
      <c r="AL6398" s="128"/>
      <c r="AM6398" s="21"/>
      <c r="AN6398" s="133">
        <v>46078</v>
      </c>
      <c r="AO6398" s="134"/>
      <c r="AP6398" s="135">
        <v>1006</v>
      </c>
      <c r="AQ6398" s="136"/>
      <c r="AR6398" s="118">
        <v>1115000</v>
      </c>
      <c r="AS6398" s="119"/>
      <c r="AT6398" s="118">
        <f t="shared" ref="AT6398" si="8728">AR6398*0.1</f>
        <v>111500</v>
      </c>
      <c r="AU6398" s="119"/>
      <c r="AV6398" s="118">
        <v>10360</v>
      </c>
      <c r="AW6398" s="119"/>
      <c r="AX6398" s="118">
        <f t="shared" ref="AX6398" si="8729">SUM(AR6398:AW6398)</f>
        <v>1236860</v>
      </c>
      <c r="AY6398" s="119"/>
      <c r="AZ6398" s="137">
        <v>46084</v>
      </c>
    </row>
    <row r="6399" spans="1:52" ht="17.100000000000001" customHeight="1" thickBot="1">
      <c r="A6399" s="110"/>
      <c r="B6399" s="27" t="s">
        <v>2511</v>
      </c>
      <c r="C6399" s="27">
        <v>2</v>
      </c>
      <c r="D6399" s="14" t="s">
        <v>2601</v>
      </c>
      <c r="E6399" s="112"/>
      <c r="F6399" s="139" t="s">
        <v>18532</v>
      </c>
      <c r="G6399" s="140"/>
      <c r="H6399" s="141"/>
      <c r="I6399" s="26">
        <v>50418</v>
      </c>
      <c r="J6399" s="117"/>
      <c r="K6399" s="120"/>
      <c r="L6399" s="121"/>
      <c r="M6399" s="120"/>
      <c r="N6399" s="121"/>
      <c r="O6399" s="120"/>
      <c r="P6399" s="121"/>
      <c r="Q6399" s="120"/>
      <c r="R6399" s="121"/>
      <c r="S6399" s="120"/>
      <c r="T6399" s="121"/>
      <c r="U6399" s="120"/>
      <c r="V6399" s="123"/>
      <c r="W6399" s="125"/>
      <c r="X6399" s="142" t="s">
        <v>19051</v>
      </c>
      <c r="Y6399" s="143"/>
      <c r="Z6399" s="143"/>
      <c r="AA6399" s="143"/>
      <c r="AB6399" s="144"/>
      <c r="AC6399" s="16" t="s">
        <v>21</v>
      </c>
      <c r="AD6399" s="17" t="s">
        <v>2353</v>
      </c>
      <c r="AE6399" s="145" t="s">
        <v>9506</v>
      </c>
      <c r="AF6399" s="146"/>
      <c r="AG6399" s="146"/>
      <c r="AH6399" s="146"/>
      <c r="AI6399" s="147"/>
      <c r="AJ6399" s="148"/>
      <c r="AK6399" s="143"/>
      <c r="AL6399" s="144"/>
      <c r="AM6399" s="22"/>
      <c r="AN6399" s="149" t="s">
        <v>2794</v>
      </c>
      <c r="AO6399" s="144"/>
      <c r="AP6399" s="148">
        <v>5115</v>
      </c>
      <c r="AQ6399" s="144"/>
      <c r="AR6399" s="120"/>
      <c r="AS6399" s="121"/>
      <c r="AT6399" s="120"/>
      <c r="AU6399" s="121"/>
      <c r="AV6399" s="120"/>
      <c r="AW6399" s="121"/>
      <c r="AX6399" s="120"/>
      <c r="AY6399" s="121"/>
      <c r="AZ6399" s="138"/>
    </row>
    <row r="6400" spans="1:52" ht="17.100000000000001" customHeight="1" thickTop="1">
      <c r="A6400" s="109" t="s">
        <v>18511</v>
      </c>
      <c r="B6400" s="28">
        <v>46074</v>
      </c>
      <c r="C6400" s="25">
        <v>1289</v>
      </c>
      <c r="D6400" s="13" t="s">
        <v>1902</v>
      </c>
      <c r="E6400" s="111"/>
      <c r="F6400" s="113" t="s">
        <v>18533</v>
      </c>
      <c r="G6400" s="114"/>
      <c r="H6400" s="115"/>
      <c r="I6400" s="24" t="s">
        <v>2152</v>
      </c>
      <c r="J6400" s="116">
        <v>4</v>
      </c>
      <c r="K6400" s="118">
        <v>2195000</v>
      </c>
      <c r="L6400" s="119"/>
      <c r="M6400" s="118">
        <f t="shared" ref="M6400" si="8730">K6400*0.1</f>
        <v>219500</v>
      </c>
      <c r="N6400" s="119"/>
      <c r="O6400" s="118">
        <v>3960</v>
      </c>
      <c r="P6400" s="119"/>
      <c r="Q6400" s="118">
        <v>15740</v>
      </c>
      <c r="R6400" s="119"/>
      <c r="S6400" s="118">
        <v>12100</v>
      </c>
      <c r="T6400" s="119"/>
      <c r="U6400" s="118">
        <f t="shared" ref="U6400" si="8731">SUM(K6400:T6401)</f>
        <v>2446300</v>
      </c>
      <c r="V6400" s="122"/>
      <c r="W6400" s="124"/>
      <c r="X6400" s="126" t="s">
        <v>18535</v>
      </c>
      <c r="Y6400" s="127"/>
      <c r="Z6400" s="127"/>
      <c r="AA6400" s="127"/>
      <c r="AB6400" s="128"/>
      <c r="AC6400" s="15" t="s">
        <v>20</v>
      </c>
      <c r="AD6400" s="129" t="s">
        <v>17954</v>
      </c>
      <c r="AE6400" s="130"/>
      <c r="AF6400" s="130"/>
      <c r="AG6400" s="130"/>
      <c r="AH6400" s="130"/>
      <c r="AI6400" s="131"/>
      <c r="AJ6400" s="132"/>
      <c r="AK6400" s="127"/>
      <c r="AL6400" s="128"/>
      <c r="AM6400" s="21"/>
      <c r="AN6400" s="133">
        <v>46078</v>
      </c>
      <c r="AO6400" s="134"/>
      <c r="AP6400" s="135">
        <v>1006</v>
      </c>
      <c r="AQ6400" s="136"/>
      <c r="AR6400" s="118">
        <v>2650000</v>
      </c>
      <c r="AS6400" s="119"/>
      <c r="AT6400" s="118">
        <f t="shared" ref="AT6400" si="8732">AR6400*0.1</f>
        <v>265000</v>
      </c>
      <c r="AU6400" s="119"/>
      <c r="AV6400" s="118">
        <v>15740</v>
      </c>
      <c r="AW6400" s="119"/>
      <c r="AX6400" s="118">
        <f t="shared" ref="AX6400" si="8733">SUM(AR6400:AW6400)</f>
        <v>2930740</v>
      </c>
      <c r="AY6400" s="119"/>
      <c r="AZ6400" s="137">
        <v>46084</v>
      </c>
    </row>
    <row r="6401" spans="1:52" ht="17.100000000000001" customHeight="1" thickBot="1">
      <c r="A6401" s="110"/>
      <c r="B6401" s="27" t="s">
        <v>2511</v>
      </c>
      <c r="C6401" s="27">
        <v>31012</v>
      </c>
      <c r="D6401" s="14" t="s">
        <v>275</v>
      </c>
      <c r="E6401" s="112"/>
      <c r="F6401" s="139" t="s">
        <v>18534</v>
      </c>
      <c r="G6401" s="140"/>
      <c r="H6401" s="141"/>
      <c r="I6401" s="26">
        <v>46129</v>
      </c>
      <c r="J6401" s="117"/>
      <c r="K6401" s="120"/>
      <c r="L6401" s="121"/>
      <c r="M6401" s="120"/>
      <c r="N6401" s="121"/>
      <c r="O6401" s="120"/>
      <c r="P6401" s="121"/>
      <c r="Q6401" s="120"/>
      <c r="R6401" s="121"/>
      <c r="S6401" s="120"/>
      <c r="T6401" s="121"/>
      <c r="U6401" s="120"/>
      <c r="V6401" s="123"/>
      <c r="W6401" s="125"/>
      <c r="X6401" s="142" t="s">
        <v>19066</v>
      </c>
      <c r="Y6401" s="143"/>
      <c r="Z6401" s="143"/>
      <c r="AA6401" s="143"/>
      <c r="AB6401" s="144"/>
      <c r="AC6401" s="16" t="s">
        <v>21</v>
      </c>
      <c r="AD6401" s="17" t="s">
        <v>2353</v>
      </c>
      <c r="AE6401" s="145" t="s">
        <v>18157</v>
      </c>
      <c r="AF6401" s="146"/>
      <c r="AG6401" s="146"/>
      <c r="AH6401" s="146"/>
      <c r="AI6401" s="147"/>
      <c r="AJ6401" s="148"/>
      <c r="AK6401" s="143"/>
      <c r="AL6401" s="144"/>
      <c r="AM6401" s="22"/>
      <c r="AN6401" s="149" t="s">
        <v>7285</v>
      </c>
      <c r="AO6401" s="144"/>
      <c r="AP6401" s="148">
        <v>5132</v>
      </c>
      <c r="AQ6401" s="144"/>
      <c r="AR6401" s="120"/>
      <c r="AS6401" s="121"/>
      <c r="AT6401" s="120"/>
      <c r="AU6401" s="121"/>
      <c r="AV6401" s="120"/>
      <c r="AW6401" s="121"/>
      <c r="AX6401" s="120"/>
      <c r="AY6401" s="121"/>
      <c r="AZ6401" s="138"/>
    </row>
    <row r="6402" spans="1:52" ht="17.100000000000001" customHeight="1" thickTop="1">
      <c r="A6402" s="109" t="s">
        <v>18512</v>
      </c>
      <c r="B6402" s="28">
        <v>46074</v>
      </c>
      <c r="C6402" s="25">
        <v>1289</v>
      </c>
      <c r="D6402" s="13" t="s">
        <v>1853</v>
      </c>
      <c r="E6402" s="111"/>
      <c r="F6402" s="113" t="s">
        <v>18536</v>
      </c>
      <c r="G6402" s="114"/>
      <c r="H6402" s="115"/>
      <c r="I6402" s="24" t="s">
        <v>10871</v>
      </c>
      <c r="J6402" s="116">
        <v>4</v>
      </c>
      <c r="K6402" s="118">
        <v>2880000</v>
      </c>
      <c r="L6402" s="119"/>
      <c r="M6402" s="118">
        <f t="shared" ref="M6402" si="8734">K6402*0.1</f>
        <v>288000</v>
      </c>
      <c r="N6402" s="119"/>
      <c r="O6402" s="118">
        <v>3960</v>
      </c>
      <c r="P6402" s="119"/>
      <c r="Q6402" s="118">
        <v>14900</v>
      </c>
      <c r="R6402" s="119"/>
      <c r="S6402" s="118">
        <v>23100</v>
      </c>
      <c r="T6402" s="119"/>
      <c r="U6402" s="118">
        <f t="shared" ref="U6402" si="8735">SUM(K6402:T6403)</f>
        <v>3209960</v>
      </c>
      <c r="V6402" s="122"/>
      <c r="W6402" s="124"/>
      <c r="X6402" s="126" t="s">
        <v>18538</v>
      </c>
      <c r="Y6402" s="127"/>
      <c r="Z6402" s="127"/>
      <c r="AA6402" s="127"/>
      <c r="AB6402" s="128"/>
      <c r="AC6402" s="15" t="s">
        <v>20</v>
      </c>
      <c r="AD6402" s="129" t="s">
        <v>18539</v>
      </c>
      <c r="AE6402" s="130"/>
      <c r="AF6402" s="130"/>
      <c r="AG6402" s="130"/>
      <c r="AH6402" s="130"/>
      <c r="AI6402" s="131"/>
      <c r="AJ6402" s="132"/>
      <c r="AK6402" s="127"/>
      <c r="AL6402" s="128"/>
      <c r="AM6402" s="21" t="s">
        <v>19981</v>
      </c>
      <c r="AN6402" s="133">
        <v>46113</v>
      </c>
      <c r="AO6402" s="134"/>
      <c r="AP6402" s="135">
        <v>1011</v>
      </c>
      <c r="AQ6402" s="136"/>
      <c r="AR6402" s="118">
        <v>3050000</v>
      </c>
      <c r="AS6402" s="119"/>
      <c r="AT6402" s="118">
        <f t="shared" ref="AT6402" si="8736">AR6402*0.1</f>
        <v>305000</v>
      </c>
      <c r="AU6402" s="119"/>
      <c r="AV6402" s="118">
        <v>14900</v>
      </c>
      <c r="AW6402" s="119"/>
      <c r="AX6402" s="118">
        <f t="shared" ref="AX6402" si="8737">SUM(AR6402:AW6402)</f>
        <v>3369900</v>
      </c>
      <c r="AY6402" s="119"/>
      <c r="AZ6402" s="137">
        <v>46119</v>
      </c>
    </row>
    <row r="6403" spans="1:52" ht="17.100000000000001" customHeight="1" thickBot="1">
      <c r="A6403" s="110"/>
      <c r="B6403" s="27" t="s">
        <v>2511</v>
      </c>
      <c r="C6403" s="27">
        <v>31051</v>
      </c>
      <c r="D6403" s="14" t="s">
        <v>2601</v>
      </c>
      <c r="E6403" s="112"/>
      <c r="F6403" s="139" t="s">
        <v>18537</v>
      </c>
      <c r="G6403" s="140"/>
      <c r="H6403" s="141"/>
      <c r="I6403" s="26">
        <v>44990</v>
      </c>
      <c r="J6403" s="117"/>
      <c r="K6403" s="120"/>
      <c r="L6403" s="121"/>
      <c r="M6403" s="120"/>
      <c r="N6403" s="121"/>
      <c r="O6403" s="120"/>
      <c r="P6403" s="121"/>
      <c r="Q6403" s="120"/>
      <c r="R6403" s="121"/>
      <c r="S6403" s="120"/>
      <c r="T6403" s="121"/>
      <c r="U6403" s="120"/>
      <c r="V6403" s="123"/>
      <c r="W6403" s="125"/>
      <c r="X6403" s="142" t="s">
        <v>2918</v>
      </c>
      <c r="Y6403" s="143"/>
      <c r="Z6403" s="143"/>
      <c r="AA6403" s="143"/>
      <c r="AB6403" s="144"/>
      <c r="AC6403" s="16" t="s">
        <v>21</v>
      </c>
      <c r="AD6403" s="17" t="s">
        <v>2353</v>
      </c>
      <c r="AE6403" s="145" t="s">
        <v>19067</v>
      </c>
      <c r="AF6403" s="146"/>
      <c r="AG6403" s="146"/>
      <c r="AH6403" s="146"/>
      <c r="AI6403" s="147"/>
      <c r="AJ6403" s="148"/>
      <c r="AK6403" s="143"/>
      <c r="AL6403" s="144"/>
      <c r="AM6403" s="22"/>
      <c r="AN6403" s="149" t="s">
        <v>21942</v>
      </c>
      <c r="AO6403" s="144"/>
      <c r="AP6403" s="148">
        <v>6033</v>
      </c>
      <c r="AQ6403" s="144"/>
      <c r="AR6403" s="120"/>
      <c r="AS6403" s="121"/>
      <c r="AT6403" s="120"/>
      <c r="AU6403" s="121"/>
      <c r="AV6403" s="120"/>
      <c r="AW6403" s="121"/>
      <c r="AX6403" s="120"/>
      <c r="AY6403" s="121"/>
      <c r="AZ6403" s="138"/>
    </row>
    <row r="6404" spans="1:52" ht="17.100000000000001" customHeight="1" thickTop="1">
      <c r="A6404" s="109" t="s">
        <v>18513</v>
      </c>
      <c r="B6404" s="28">
        <v>46074</v>
      </c>
      <c r="C6404" s="25">
        <v>1289</v>
      </c>
      <c r="D6404" s="13" t="s">
        <v>1845</v>
      </c>
      <c r="E6404" s="111"/>
      <c r="F6404" s="113" t="s">
        <v>18540</v>
      </c>
      <c r="G6404" s="114"/>
      <c r="H6404" s="115"/>
      <c r="I6404" s="24" t="s">
        <v>4390</v>
      </c>
      <c r="J6404" s="116">
        <v>4.5</v>
      </c>
      <c r="K6404" s="118">
        <v>935000</v>
      </c>
      <c r="L6404" s="119"/>
      <c r="M6404" s="118">
        <f t="shared" ref="M6404" si="8738">K6404*0.1</f>
        <v>93500</v>
      </c>
      <c r="N6404" s="119"/>
      <c r="O6404" s="118">
        <v>0</v>
      </c>
      <c r="P6404" s="119"/>
      <c r="Q6404" s="118">
        <v>8110</v>
      </c>
      <c r="R6404" s="119"/>
      <c r="S6404" s="118">
        <v>13200</v>
      </c>
      <c r="T6404" s="119"/>
      <c r="U6404" s="118">
        <f t="shared" ref="U6404" si="8739">SUM(K6404:T6405)</f>
        <v>1049810</v>
      </c>
      <c r="V6404" s="122"/>
      <c r="W6404" s="124"/>
      <c r="X6404" s="126" t="s">
        <v>18542</v>
      </c>
      <c r="Y6404" s="127"/>
      <c r="Z6404" s="127"/>
      <c r="AA6404" s="127"/>
      <c r="AB6404" s="128"/>
      <c r="AC6404" s="15" t="s">
        <v>20</v>
      </c>
      <c r="AD6404" s="129" t="s">
        <v>15198</v>
      </c>
      <c r="AE6404" s="130"/>
      <c r="AF6404" s="130"/>
      <c r="AG6404" s="130"/>
      <c r="AH6404" s="130"/>
      <c r="AI6404" s="131"/>
      <c r="AJ6404" s="132"/>
      <c r="AK6404" s="127"/>
      <c r="AL6404" s="128"/>
      <c r="AM6404" s="21" t="s">
        <v>19855</v>
      </c>
      <c r="AN6404" s="133">
        <v>46088</v>
      </c>
      <c r="AO6404" s="134"/>
      <c r="AP6404" s="135">
        <v>1291</v>
      </c>
      <c r="AQ6404" s="136"/>
      <c r="AR6404" s="118">
        <v>1000000</v>
      </c>
      <c r="AS6404" s="119"/>
      <c r="AT6404" s="118">
        <f t="shared" ref="AT6404" si="8740">AR6404*0.1</f>
        <v>100000</v>
      </c>
      <c r="AU6404" s="119"/>
      <c r="AV6404" s="118">
        <v>8110</v>
      </c>
      <c r="AW6404" s="119"/>
      <c r="AX6404" s="118">
        <f t="shared" ref="AX6404" si="8741">SUM(AR6404:AW6404)</f>
        <v>1108110</v>
      </c>
      <c r="AY6404" s="119"/>
      <c r="AZ6404" s="137">
        <v>46093</v>
      </c>
    </row>
    <row r="6405" spans="1:52" ht="17.100000000000001" customHeight="1" thickBot="1">
      <c r="A6405" s="110"/>
      <c r="B6405" s="27" t="s">
        <v>2511</v>
      </c>
      <c r="C6405" s="27">
        <v>31420</v>
      </c>
      <c r="D6405" s="14" t="s">
        <v>275</v>
      </c>
      <c r="E6405" s="112"/>
      <c r="F6405" s="139" t="s">
        <v>18541</v>
      </c>
      <c r="G6405" s="140"/>
      <c r="H6405" s="141"/>
      <c r="I6405" s="26">
        <v>57459</v>
      </c>
      <c r="J6405" s="117"/>
      <c r="K6405" s="120"/>
      <c r="L6405" s="121"/>
      <c r="M6405" s="120"/>
      <c r="N6405" s="121"/>
      <c r="O6405" s="120"/>
      <c r="P6405" s="121"/>
      <c r="Q6405" s="120"/>
      <c r="R6405" s="121"/>
      <c r="S6405" s="120"/>
      <c r="T6405" s="121"/>
      <c r="U6405" s="120"/>
      <c r="V6405" s="123"/>
      <c r="W6405" s="125"/>
      <c r="X6405" s="142" t="s">
        <v>2321</v>
      </c>
      <c r="Y6405" s="143"/>
      <c r="Z6405" s="143"/>
      <c r="AA6405" s="143"/>
      <c r="AB6405" s="144"/>
      <c r="AC6405" s="16" t="s">
        <v>21</v>
      </c>
      <c r="AD6405" s="17" t="s">
        <v>2353</v>
      </c>
      <c r="AE6405" s="145" t="s">
        <v>1614</v>
      </c>
      <c r="AF6405" s="146"/>
      <c r="AG6405" s="146"/>
      <c r="AH6405" s="146"/>
      <c r="AI6405" s="147"/>
      <c r="AJ6405" s="148"/>
      <c r="AK6405" s="143"/>
      <c r="AL6405" s="144"/>
      <c r="AM6405" s="22"/>
      <c r="AN6405" s="149" t="s">
        <v>6748</v>
      </c>
      <c r="AO6405" s="144"/>
      <c r="AP6405" s="148">
        <v>60234</v>
      </c>
      <c r="AQ6405" s="144"/>
      <c r="AR6405" s="120"/>
      <c r="AS6405" s="121"/>
      <c r="AT6405" s="120"/>
      <c r="AU6405" s="121"/>
      <c r="AV6405" s="120"/>
      <c r="AW6405" s="121"/>
      <c r="AX6405" s="120"/>
      <c r="AY6405" s="121"/>
      <c r="AZ6405" s="138"/>
    </row>
    <row r="6406" spans="1:52" ht="17.100000000000001" customHeight="1" thickTop="1">
      <c r="A6406" s="109" t="s">
        <v>18514</v>
      </c>
      <c r="B6406" s="28">
        <v>46074</v>
      </c>
      <c r="C6406" s="25">
        <v>1289</v>
      </c>
      <c r="D6406" s="13" t="s">
        <v>4443</v>
      </c>
      <c r="E6406" s="111"/>
      <c r="F6406" s="113" t="s">
        <v>18543</v>
      </c>
      <c r="G6406" s="114"/>
      <c r="H6406" s="115"/>
      <c r="I6406" s="24" t="s">
        <v>5214</v>
      </c>
      <c r="J6406" s="116">
        <v>4</v>
      </c>
      <c r="K6406" s="118">
        <v>830000</v>
      </c>
      <c r="L6406" s="119"/>
      <c r="M6406" s="118">
        <f t="shared" ref="M6406" si="8742">K6406*0.1</f>
        <v>83000</v>
      </c>
      <c r="N6406" s="119"/>
      <c r="O6406" s="118">
        <v>4070</v>
      </c>
      <c r="P6406" s="119"/>
      <c r="Q6406" s="118">
        <v>9670</v>
      </c>
      <c r="R6406" s="119"/>
      <c r="S6406" s="118">
        <v>12100</v>
      </c>
      <c r="T6406" s="119"/>
      <c r="U6406" s="118">
        <f t="shared" ref="U6406" si="8743">SUM(K6406:T6407)</f>
        <v>938840</v>
      </c>
      <c r="V6406" s="122"/>
      <c r="W6406" s="124"/>
      <c r="X6406" s="126" t="s">
        <v>18545</v>
      </c>
      <c r="Y6406" s="127"/>
      <c r="Z6406" s="127"/>
      <c r="AA6406" s="127"/>
      <c r="AB6406" s="128"/>
      <c r="AC6406" s="15" t="s">
        <v>20</v>
      </c>
      <c r="AD6406" s="129"/>
      <c r="AE6406" s="130"/>
      <c r="AF6406" s="130"/>
      <c r="AG6406" s="130"/>
      <c r="AH6406" s="130"/>
      <c r="AI6406" s="131"/>
      <c r="AJ6406" s="132"/>
      <c r="AK6406" s="127"/>
      <c r="AL6406" s="128"/>
      <c r="AM6406" s="21"/>
      <c r="AN6406" s="133">
        <v>46081</v>
      </c>
      <c r="AO6406" s="134"/>
      <c r="AP6406" s="135">
        <v>1290</v>
      </c>
      <c r="AQ6406" s="136"/>
      <c r="AR6406" s="118">
        <v>875000</v>
      </c>
      <c r="AS6406" s="119"/>
      <c r="AT6406" s="118">
        <f t="shared" ref="AT6406" si="8744">AR6406*0.1</f>
        <v>87500</v>
      </c>
      <c r="AU6406" s="119"/>
      <c r="AV6406" s="118">
        <v>9670</v>
      </c>
      <c r="AW6406" s="119"/>
      <c r="AX6406" s="118">
        <f t="shared" ref="AX6406" si="8745">SUM(AR6406:AW6406)</f>
        <v>972170</v>
      </c>
      <c r="AY6406" s="119"/>
      <c r="AZ6406" s="137">
        <v>46084</v>
      </c>
    </row>
    <row r="6407" spans="1:52" ht="17.100000000000001" customHeight="1" thickBot="1">
      <c r="A6407" s="110"/>
      <c r="B6407" s="27" t="s">
        <v>2511</v>
      </c>
      <c r="C6407" s="27">
        <v>35219</v>
      </c>
      <c r="D6407" s="14" t="s">
        <v>2601</v>
      </c>
      <c r="E6407" s="112"/>
      <c r="F6407" s="139" t="s">
        <v>18544</v>
      </c>
      <c r="G6407" s="140"/>
      <c r="H6407" s="141"/>
      <c r="I6407" s="26">
        <v>106448</v>
      </c>
      <c r="J6407" s="117"/>
      <c r="K6407" s="120"/>
      <c r="L6407" s="121"/>
      <c r="M6407" s="120"/>
      <c r="N6407" s="121"/>
      <c r="O6407" s="120"/>
      <c r="P6407" s="121"/>
      <c r="Q6407" s="120"/>
      <c r="R6407" s="121"/>
      <c r="S6407" s="120"/>
      <c r="T6407" s="121"/>
      <c r="U6407" s="120"/>
      <c r="V6407" s="123"/>
      <c r="W6407" s="125"/>
      <c r="X6407" s="142" t="s">
        <v>1997</v>
      </c>
      <c r="Y6407" s="143"/>
      <c r="Z6407" s="143"/>
      <c r="AA6407" s="143"/>
      <c r="AB6407" s="144"/>
      <c r="AC6407" s="16" t="s">
        <v>21</v>
      </c>
      <c r="AD6407" s="17" t="s">
        <v>2353</v>
      </c>
      <c r="AE6407" s="145" t="s">
        <v>19068</v>
      </c>
      <c r="AF6407" s="146"/>
      <c r="AG6407" s="146"/>
      <c r="AH6407" s="146"/>
      <c r="AI6407" s="147"/>
      <c r="AJ6407" s="148"/>
      <c r="AK6407" s="143"/>
      <c r="AL6407" s="144"/>
      <c r="AM6407" s="22"/>
      <c r="AN6407" s="149" t="s">
        <v>2511</v>
      </c>
      <c r="AO6407" s="144"/>
      <c r="AP6407" s="148">
        <v>50015</v>
      </c>
      <c r="AQ6407" s="144"/>
      <c r="AR6407" s="120"/>
      <c r="AS6407" s="121"/>
      <c r="AT6407" s="120"/>
      <c r="AU6407" s="121"/>
      <c r="AV6407" s="120"/>
      <c r="AW6407" s="121"/>
      <c r="AX6407" s="120"/>
      <c r="AY6407" s="121"/>
      <c r="AZ6407" s="138"/>
    </row>
    <row r="6408" spans="1:52" ht="17.100000000000001" customHeight="1" thickTop="1">
      <c r="A6408" s="109" t="s">
        <v>18515</v>
      </c>
      <c r="B6408" s="28">
        <v>46074</v>
      </c>
      <c r="C6408" s="25">
        <v>1289</v>
      </c>
      <c r="D6408" s="13" t="s">
        <v>1863</v>
      </c>
      <c r="E6408" s="111"/>
      <c r="F6408" s="113" t="s">
        <v>18546</v>
      </c>
      <c r="G6408" s="114"/>
      <c r="H6408" s="115"/>
      <c r="I6408" s="24" t="s">
        <v>8231</v>
      </c>
      <c r="J6408" s="116">
        <v>4.5</v>
      </c>
      <c r="K6408" s="118">
        <v>995000</v>
      </c>
      <c r="L6408" s="119"/>
      <c r="M6408" s="118">
        <f t="shared" ref="M6408" si="8746">K6408*0.1</f>
        <v>99500</v>
      </c>
      <c r="N6408" s="119"/>
      <c r="O6408" s="118">
        <v>0</v>
      </c>
      <c r="P6408" s="119"/>
      <c r="Q6408" s="118">
        <v>9810</v>
      </c>
      <c r="R6408" s="119"/>
      <c r="S6408" s="118">
        <v>12100</v>
      </c>
      <c r="T6408" s="119"/>
      <c r="U6408" s="118">
        <f t="shared" ref="U6408" si="8747">SUM(K6408:T6409)</f>
        <v>1116410</v>
      </c>
      <c r="V6408" s="122"/>
      <c r="W6408" s="124"/>
      <c r="X6408" s="126" t="s">
        <v>18548</v>
      </c>
      <c r="Y6408" s="127"/>
      <c r="Z6408" s="127"/>
      <c r="AA6408" s="127"/>
      <c r="AB6408" s="128"/>
      <c r="AC6408" s="15" t="s">
        <v>20</v>
      </c>
      <c r="AD6408" s="129" t="s">
        <v>3828</v>
      </c>
      <c r="AE6408" s="130"/>
      <c r="AF6408" s="130"/>
      <c r="AG6408" s="130"/>
      <c r="AH6408" s="130"/>
      <c r="AI6408" s="131"/>
      <c r="AJ6408" s="132"/>
      <c r="AK6408" s="127"/>
      <c r="AL6408" s="128"/>
      <c r="AM6408" s="21"/>
      <c r="AN6408" s="133">
        <v>46092</v>
      </c>
      <c r="AO6408" s="134"/>
      <c r="AP6408" s="135">
        <v>1008</v>
      </c>
      <c r="AQ6408" s="136"/>
      <c r="AR6408" s="118">
        <v>1100000</v>
      </c>
      <c r="AS6408" s="119"/>
      <c r="AT6408" s="118">
        <f t="shared" ref="AT6408" si="8748">AR6408*0.1</f>
        <v>110000</v>
      </c>
      <c r="AU6408" s="119"/>
      <c r="AV6408" s="118">
        <v>9810</v>
      </c>
      <c r="AW6408" s="119"/>
      <c r="AX6408" s="118">
        <f t="shared" ref="AX6408" si="8749">SUM(AR6408:AW6408)</f>
        <v>1219810</v>
      </c>
      <c r="AY6408" s="119"/>
      <c r="AZ6408" s="137">
        <v>46098</v>
      </c>
    </row>
    <row r="6409" spans="1:52" ht="17.100000000000001" customHeight="1" thickBot="1">
      <c r="A6409" s="110"/>
      <c r="B6409" s="27" t="s">
        <v>2511</v>
      </c>
      <c r="C6409" s="27">
        <v>35877</v>
      </c>
      <c r="D6409" s="14" t="s">
        <v>55</v>
      </c>
      <c r="E6409" s="112"/>
      <c r="F6409" s="139" t="s">
        <v>18547</v>
      </c>
      <c r="G6409" s="140"/>
      <c r="H6409" s="141"/>
      <c r="I6409" s="26">
        <v>63210</v>
      </c>
      <c r="J6409" s="117"/>
      <c r="K6409" s="120"/>
      <c r="L6409" s="121"/>
      <c r="M6409" s="120"/>
      <c r="N6409" s="121"/>
      <c r="O6409" s="120"/>
      <c r="P6409" s="121"/>
      <c r="Q6409" s="120"/>
      <c r="R6409" s="121"/>
      <c r="S6409" s="120"/>
      <c r="T6409" s="121"/>
      <c r="U6409" s="120"/>
      <c r="V6409" s="123"/>
      <c r="W6409" s="125"/>
      <c r="X6409" s="142" t="s">
        <v>19069</v>
      </c>
      <c r="Y6409" s="143"/>
      <c r="Z6409" s="143"/>
      <c r="AA6409" s="143"/>
      <c r="AB6409" s="144"/>
      <c r="AC6409" s="16" t="s">
        <v>21</v>
      </c>
      <c r="AD6409" s="17" t="s">
        <v>2353</v>
      </c>
      <c r="AE6409" s="145" t="s">
        <v>19070</v>
      </c>
      <c r="AF6409" s="146"/>
      <c r="AG6409" s="146"/>
      <c r="AH6409" s="146"/>
      <c r="AI6409" s="147"/>
      <c r="AJ6409" s="148"/>
      <c r="AK6409" s="143"/>
      <c r="AL6409" s="144"/>
      <c r="AM6409" s="22"/>
      <c r="AN6409" s="149" t="s">
        <v>19938</v>
      </c>
      <c r="AO6409" s="144"/>
      <c r="AP6409" s="148">
        <v>6035</v>
      </c>
      <c r="AQ6409" s="144"/>
      <c r="AR6409" s="120"/>
      <c r="AS6409" s="121"/>
      <c r="AT6409" s="120"/>
      <c r="AU6409" s="121"/>
      <c r="AV6409" s="120"/>
      <c r="AW6409" s="121"/>
      <c r="AX6409" s="120"/>
      <c r="AY6409" s="121"/>
      <c r="AZ6409" s="138"/>
    </row>
    <row r="6410" spans="1:52" ht="17.100000000000001" customHeight="1" thickTop="1">
      <c r="A6410" s="109" t="s">
        <v>18516</v>
      </c>
      <c r="B6410" s="28">
        <v>46074</v>
      </c>
      <c r="C6410" s="25">
        <v>1289</v>
      </c>
      <c r="D6410" s="13" t="s">
        <v>2179</v>
      </c>
      <c r="E6410" s="111"/>
      <c r="F6410" s="113" t="s">
        <v>15956</v>
      </c>
      <c r="G6410" s="114"/>
      <c r="H6410" s="115"/>
      <c r="I6410" s="24" t="s">
        <v>1547</v>
      </c>
      <c r="J6410" s="116">
        <v>4.5</v>
      </c>
      <c r="K6410" s="118">
        <v>755000</v>
      </c>
      <c r="L6410" s="119"/>
      <c r="M6410" s="118">
        <f t="shared" ref="M6410" si="8750">K6410*0.1</f>
        <v>75500</v>
      </c>
      <c r="N6410" s="119"/>
      <c r="O6410" s="118">
        <v>3080</v>
      </c>
      <c r="P6410" s="119"/>
      <c r="Q6410" s="118">
        <v>9130</v>
      </c>
      <c r="R6410" s="119"/>
      <c r="S6410" s="118">
        <v>12100</v>
      </c>
      <c r="T6410" s="119"/>
      <c r="U6410" s="118">
        <f t="shared" ref="U6410" si="8751">SUM(K6410:T6411)</f>
        <v>854810</v>
      </c>
      <c r="V6410" s="122"/>
      <c r="W6410" s="124"/>
      <c r="X6410" s="126" t="s">
        <v>19056</v>
      </c>
      <c r="Y6410" s="127"/>
      <c r="Z6410" s="127"/>
      <c r="AA6410" s="127"/>
      <c r="AB6410" s="128"/>
      <c r="AC6410" s="15" t="s">
        <v>20</v>
      </c>
      <c r="AD6410" s="129" t="s">
        <v>7231</v>
      </c>
      <c r="AE6410" s="130"/>
      <c r="AF6410" s="130"/>
      <c r="AG6410" s="130"/>
      <c r="AH6410" s="130"/>
      <c r="AI6410" s="131"/>
      <c r="AJ6410" s="132"/>
      <c r="AK6410" s="127"/>
      <c r="AL6410" s="128"/>
      <c r="AM6410" s="21" t="s">
        <v>19984</v>
      </c>
      <c r="AN6410" s="133">
        <v>46120</v>
      </c>
      <c r="AO6410" s="134"/>
      <c r="AP6410" s="135">
        <v>1012</v>
      </c>
      <c r="AQ6410" s="136"/>
      <c r="AR6410" s="118">
        <v>825000</v>
      </c>
      <c r="AS6410" s="119"/>
      <c r="AT6410" s="118">
        <f t="shared" ref="AT6410" si="8752">AR6410*0.1</f>
        <v>82500</v>
      </c>
      <c r="AU6410" s="119"/>
      <c r="AV6410" s="118">
        <v>9130</v>
      </c>
      <c r="AW6410" s="119"/>
      <c r="AX6410" s="118">
        <f t="shared" ref="AX6410" si="8753">SUM(AR6410:AW6410)</f>
        <v>916630</v>
      </c>
      <c r="AY6410" s="119"/>
      <c r="AZ6410" s="137">
        <v>46125</v>
      </c>
    </row>
    <row r="6411" spans="1:52" ht="17.100000000000001" customHeight="1" thickBot="1">
      <c r="A6411" s="110"/>
      <c r="B6411" s="27" t="s">
        <v>2511</v>
      </c>
      <c r="C6411" s="27">
        <v>37811</v>
      </c>
      <c r="D6411" s="14" t="s">
        <v>2601</v>
      </c>
      <c r="E6411" s="112"/>
      <c r="F6411" s="139" t="s">
        <v>18549</v>
      </c>
      <c r="G6411" s="140"/>
      <c r="H6411" s="141"/>
      <c r="I6411" s="26">
        <v>96658</v>
      </c>
      <c r="J6411" s="117"/>
      <c r="K6411" s="120"/>
      <c r="L6411" s="121"/>
      <c r="M6411" s="120"/>
      <c r="N6411" s="121"/>
      <c r="O6411" s="120"/>
      <c r="P6411" s="121"/>
      <c r="Q6411" s="120"/>
      <c r="R6411" s="121"/>
      <c r="S6411" s="120"/>
      <c r="T6411" s="121"/>
      <c r="U6411" s="120"/>
      <c r="V6411" s="123"/>
      <c r="W6411" s="125"/>
      <c r="X6411" s="142" t="s">
        <v>19071</v>
      </c>
      <c r="Y6411" s="143"/>
      <c r="Z6411" s="143"/>
      <c r="AA6411" s="143"/>
      <c r="AB6411" s="144"/>
      <c r="AC6411" s="16" t="s">
        <v>21</v>
      </c>
      <c r="AD6411" s="17" t="s">
        <v>2353</v>
      </c>
      <c r="AE6411" s="145" t="s">
        <v>19193</v>
      </c>
      <c r="AF6411" s="146"/>
      <c r="AG6411" s="146"/>
      <c r="AH6411" s="146"/>
      <c r="AI6411" s="147"/>
      <c r="AJ6411" s="148"/>
      <c r="AK6411" s="143"/>
      <c r="AL6411" s="144"/>
      <c r="AM6411" s="22"/>
      <c r="AN6411" s="149" t="s">
        <v>2794</v>
      </c>
      <c r="AO6411" s="144"/>
      <c r="AP6411" s="148">
        <v>6097</v>
      </c>
      <c r="AQ6411" s="144"/>
      <c r="AR6411" s="120"/>
      <c r="AS6411" s="121"/>
      <c r="AT6411" s="120"/>
      <c r="AU6411" s="121"/>
      <c r="AV6411" s="120"/>
      <c r="AW6411" s="121"/>
      <c r="AX6411" s="120"/>
      <c r="AY6411" s="121"/>
      <c r="AZ6411" s="138"/>
    </row>
    <row r="6412" spans="1:52" ht="17.100000000000001" customHeight="1" thickTop="1">
      <c r="A6412" s="109" t="s">
        <v>18517</v>
      </c>
      <c r="B6412" s="28">
        <v>46074</v>
      </c>
      <c r="C6412" s="25">
        <v>1289</v>
      </c>
      <c r="D6412" s="13" t="s">
        <v>2359</v>
      </c>
      <c r="E6412" s="111"/>
      <c r="F6412" s="113" t="s">
        <v>17575</v>
      </c>
      <c r="G6412" s="114"/>
      <c r="H6412" s="115"/>
      <c r="I6412" s="24"/>
      <c r="J6412" s="116">
        <v>4.5</v>
      </c>
      <c r="K6412" s="118">
        <v>885000</v>
      </c>
      <c r="L6412" s="119"/>
      <c r="M6412" s="118">
        <f t="shared" ref="M6412" si="8754">K6412*0.1</f>
        <v>88500</v>
      </c>
      <c r="N6412" s="119"/>
      <c r="O6412" s="118">
        <v>0</v>
      </c>
      <c r="P6412" s="119"/>
      <c r="Q6412" s="118">
        <v>7440</v>
      </c>
      <c r="R6412" s="119"/>
      <c r="S6412" s="118">
        <v>13200</v>
      </c>
      <c r="T6412" s="119"/>
      <c r="U6412" s="118">
        <f t="shared" ref="U6412" si="8755">SUM(K6412:T6413)</f>
        <v>994140</v>
      </c>
      <c r="V6412" s="122"/>
      <c r="W6412" s="124"/>
      <c r="X6412" s="126" t="s">
        <v>19072</v>
      </c>
      <c r="Y6412" s="127"/>
      <c r="Z6412" s="127"/>
      <c r="AA6412" s="127"/>
      <c r="AB6412" s="128"/>
      <c r="AC6412" s="15" t="s">
        <v>20</v>
      </c>
      <c r="AD6412" s="129"/>
      <c r="AE6412" s="130"/>
      <c r="AF6412" s="130"/>
      <c r="AG6412" s="130"/>
      <c r="AH6412" s="130"/>
      <c r="AI6412" s="131"/>
      <c r="AJ6412" s="132"/>
      <c r="AK6412" s="127"/>
      <c r="AL6412" s="128"/>
      <c r="AM6412" s="21"/>
      <c r="AN6412" s="133">
        <v>46088</v>
      </c>
      <c r="AO6412" s="134"/>
      <c r="AP6412" s="135">
        <v>1291</v>
      </c>
      <c r="AQ6412" s="136"/>
      <c r="AR6412" s="118">
        <v>1000000</v>
      </c>
      <c r="AS6412" s="119"/>
      <c r="AT6412" s="118">
        <f t="shared" ref="AT6412" si="8756">AR6412*0.1</f>
        <v>100000</v>
      </c>
      <c r="AU6412" s="119"/>
      <c r="AV6412" s="118">
        <v>7440</v>
      </c>
      <c r="AW6412" s="119"/>
      <c r="AX6412" s="118">
        <f t="shared" ref="AX6412" si="8757">SUM(AR6412:AW6412)</f>
        <v>1107440</v>
      </c>
      <c r="AY6412" s="119"/>
      <c r="AZ6412" s="137">
        <v>46098</v>
      </c>
    </row>
    <row r="6413" spans="1:52" ht="17.100000000000001" customHeight="1" thickBot="1">
      <c r="A6413" s="110"/>
      <c r="B6413" s="27" t="s">
        <v>2511</v>
      </c>
      <c r="C6413" s="27">
        <v>40093</v>
      </c>
      <c r="D6413" s="14" t="s">
        <v>1720</v>
      </c>
      <c r="E6413" s="112"/>
      <c r="F6413" s="139" t="s">
        <v>18550</v>
      </c>
      <c r="G6413" s="140"/>
      <c r="H6413" s="141"/>
      <c r="I6413" s="26">
        <v>47521</v>
      </c>
      <c r="J6413" s="117"/>
      <c r="K6413" s="120"/>
      <c r="L6413" s="121"/>
      <c r="M6413" s="120"/>
      <c r="N6413" s="121"/>
      <c r="O6413" s="120"/>
      <c r="P6413" s="121"/>
      <c r="Q6413" s="120"/>
      <c r="R6413" s="121"/>
      <c r="S6413" s="120"/>
      <c r="T6413" s="121"/>
      <c r="U6413" s="120"/>
      <c r="V6413" s="123"/>
      <c r="W6413" s="125"/>
      <c r="X6413" s="142" t="s">
        <v>2918</v>
      </c>
      <c r="Y6413" s="143"/>
      <c r="Z6413" s="143"/>
      <c r="AA6413" s="143"/>
      <c r="AB6413" s="144"/>
      <c r="AC6413" s="16" t="s">
        <v>21</v>
      </c>
      <c r="AD6413" s="17" t="s">
        <v>2353</v>
      </c>
      <c r="AE6413" s="145"/>
      <c r="AF6413" s="146"/>
      <c r="AG6413" s="146"/>
      <c r="AH6413" s="146"/>
      <c r="AI6413" s="147"/>
      <c r="AJ6413" s="148"/>
      <c r="AK6413" s="143"/>
      <c r="AL6413" s="144"/>
      <c r="AM6413" s="22"/>
      <c r="AN6413" s="149" t="s">
        <v>6748</v>
      </c>
      <c r="AO6413" s="144"/>
      <c r="AP6413" s="148">
        <v>41009</v>
      </c>
      <c r="AQ6413" s="144"/>
      <c r="AR6413" s="120"/>
      <c r="AS6413" s="121"/>
      <c r="AT6413" s="120"/>
      <c r="AU6413" s="121"/>
      <c r="AV6413" s="120"/>
      <c r="AW6413" s="121"/>
      <c r="AX6413" s="120"/>
      <c r="AY6413" s="121"/>
      <c r="AZ6413" s="138"/>
    </row>
    <row r="6414" spans="1:52" ht="17.100000000000001" customHeight="1" thickTop="1">
      <c r="A6414" s="109" t="s">
        <v>18518</v>
      </c>
      <c r="B6414" s="28">
        <v>46074</v>
      </c>
      <c r="C6414" s="25">
        <v>1289</v>
      </c>
      <c r="D6414" s="13" t="s">
        <v>1847</v>
      </c>
      <c r="E6414" s="111"/>
      <c r="F6414" s="113" t="s">
        <v>16016</v>
      </c>
      <c r="G6414" s="114"/>
      <c r="H6414" s="115"/>
      <c r="I6414" s="24" t="s">
        <v>4096</v>
      </c>
      <c r="J6414" s="116">
        <v>4.5</v>
      </c>
      <c r="K6414" s="118">
        <v>1475000</v>
      </c>
      <c r="L6414" s="119"/>
      <c r="M6414" s="118">
        <f t="shared" ref="M6414" si="8758">K6414*0.1</f>
        <v>147500</v>
      </c>
      <c r="N6414" s="119"/>
      <c r="O6414" s="118">
        <v>0</v>
      </c>
      <c r="P6414" s="119"/>
      <c r="Q6414" s="118">
        <v>7230</v>
      </c>
      <c r="R6414" s="119"/>
      <c r="S6414" s="118">
        <v>12100</v>
      </c>
      <c r="T6414" s="119"/>
      <c r="U6414" s="118">
        <f t="shared" ref="U6414" si="8759">SUM(K6414:T6415)</f>
        <v>1641830</v>
      </c>
      <c r="V6414" s="122"/>
      <c r="W6414" s="124"/>
      <c r="X6414" s="126" t="s">
        <v>18552</v>
      </c>
      <c r="Y6414" s="127"/>
      <c r="Z6414" s="127"/>
      <c r="AA6414" s="127"/>
      <c r="AB6414" s="128"/>
      <c r="AC6414" s="15" t="s">
        <v>20</v>
      </c>
      <c r="AD6414" s="129" t="s">
        <v>18553</v>
      </c>
      <c r="AE6414" s="130"/>
      <c r="AF6414" s="130"/>
      <c r="AG6414" s="130"/>
      <c r="AH6414" s="130"/>
      <c r="AI6414" s="131"/>
      <c r="AJ6414" s="132"/>
      <c r="AK6414" s="127"/>
      <c r="AL6414" s="128"/>
      <c r="AM6414" s="21" t="s">
        <v>20979</v>
      </c>
      <c r="AN6414" s="133">
        <v>46123</v>
      </c>
      <c r="AO6414" s="134"/>
      <c r="AP6414" s="135">
        <v>1296</v>
      </c>
      <c r="AQ6414" s="136"/>
      <c r="AR6414" s="118">
        <v>1495000</v>
      </c>
      <c r="AS6414" s="119"/>
      <c r="AT6414" s="118">
        <f t="shared" ref="AT6414" si="8760">AR6414*0.1</f>
        <v>149500</v>
      </c>
      <c r="AU6414" s="119"/>
      <c r="AV6414" s="118">
        <v>7230</v>
      </c>
      <c r="AW6414" s="119"/>
      <c r="AX6414" s="118">
        <f t="shared" ref="AX6414" si="8761">SUM(AR6414:AW6414)</f>
        <v>1651730</v>
      </c>
      <c r="AY6414" s="119"/>
      <c r="AZ6414" s="137">
        <v>46126</v>
      </c>
    </row>
    <row r="6415" spans="1:52" ht="17.100000000000001" customHeight="1" thickBot="1">
      <c r="A6415" s="110"/>
      <c r="B6415" s="27" t="s">
        <v>2511</v>
      </c>
      <c r="C6415" s="27">
        <v>65213</v>
      </c>
      <c r="D6415" s="14" t="s">
        <v>1700</v>
      </c>
      <c r="E6415" s="112"/>
      <c r="F6415" s="139" t="s">
        <v>18551</v>
      </c>
      <c r="G6415" s="140"/>
      <c r="H6415" s="141"/>
      <c r="I6415" s="26">
        <v>12347</v>
      </c>
      <c r="J6415" s="117"/>
      <c r="K6415" s="120"/>
      <c r="L6415" s="121"/>
      <c r="M6415" s="120"/>
      <c r="N6415" s="121"/>
      <c r="O6415" s="120"/>
      <c r="P6415" s="121"/>
      <c r="Q6415" s="120"/>
      <c r="R6415" s="121"/>
      <c r="S6415" s="120"/>
      <c r="T6415" s="121"/>
      <c r="U6415" s="120"/>
      <c r="V6415" s="123"/>
      <c r="W6415" s="125"/>
      <c r="X6415" s="142" t="s">
        <v>19093</v>
      </c>
      <c r="Y6415" s="143"/>
      <c r="Z6415" s="143"/>
      <c r="AA6415" s="143"/>
      <c r="AB6415" s="144"/>
      <c r="AC6415" s="16" t="s">
        <v>21</v>
      </c>
      <c r="AD6415" s="17" t="s">
        <v>2353</v>
      </c>
      <c r="AE6415" s="145" t="s">
        <v>2347</v>
      </c>
      <c r="AF6415" s="146"/>
      <c r="AG6415" s="146"/>
      <c r="AH6415" s="146"/>
      <c r="AI6415" s="147"/>
      <c r="AJ6415" s="148"/>
      <c r="AK6415" s="143"/>
      <c r="AL6415" s="144"/>
      <c r="AM6415" s="22"/>
      <c r="AN6415" s="149" t="s">
        <v>2511</v>
      </c>
      <c r="AO6415" s="144"/>
      <c r="AP6415" s="148">
        <v>60434</v>
      </c>
      <c r="AQ6415" s="144"/>
      <c r="AR6415" s="120"/>
      <c r="AS6415" s="121"/>
      <c r="AT6415" s="120"/>
      <c r="AU6415" s="121"/>
      <c r="AV6415" s="120"/>
      <c r="AW6415" s="121"/>
      <c r="AX6415" s="120"/>
      <c r="AY6415" s="121"/>
      <c r="AZ6415" s="138"/>
    </row>
    <row r="6416" spans="1:52" ht="17.100000000000001" customHeight="1" thickTop="1">
      <c r="A6416" s="109" t="s">
        <v>18519</v>
      </c>
      <c r="B6416" s="28">
        <v>46074</v>
      </c>
      <c r="C6416" s="25">
        <v>1289</v>
      </c>
      <c r="D6416" s="13" t="s">
        <v>1786</v>
      </c>
      <c r="E6416" s="111"/>
      <c r="F6416" s="113" t="s">
        <v>15962</v>
      </c>
      <c r="G6416" s="114"/>
      <c r="H6416" s="115"/>
      <c r="I6416" s="24"/>
      <c r="J6416" s="116">
        <v>4.5</v>
      </c>
      <c r="K6416" s="118">
        <v>1240000</v>
      </c>
      <c r="L6416" s="119"/>
      <c r="M6416" s="118">
        <f t="shared" ref="M6416" si="8762">K6416*0.1</f>
        <v>124000</v>
      </c>
      <c r="N6416" s="119"/>
      <c r="O6416" s="118">
        <v>0</v>
      </c>
      <c r="P6416" s="119"/>
      <c r="Q6416" s="118">
        <v>6850</v>
      </c>
      <c r="R6416" s="119"/>
      <c r="S6416" s="118">
        <v>12100</v>
      </c>
      <c r="T6416" s="119"/>
      <c r="U6416" s="118">
        <f t="shared" ref="U6416" si="8763">SUM(K6416:T6417)</f>
        <v>1382950</v>
      </c>
      <c r="V6416" s="122"/>
      <c r="W6416" s="124"/>
      <c r="X6416" s="126" t="s">
        <v>19094</v>
      </c>
      <c r="Y6416" s="127"/>
      <c r="Z6416" s="127"/>
      <c r="AA6416" s="127"/>
      <c r="AB6416" s="128"/>
      <c r="AC6416" s="15" t="s">
        <v>20</v>
      </c>
      <c r="AD6416" s="129" t="s">
        <v>3828</v>
      </c>
      <c r="AE6416" s="130"/>
      <c r="AF6416" s="130"/>
      <c r="AG6416" s="130"/>
      <c r="AH6416" s="130"/>
      <c r="AI6416" s="131"/>
      <c r="AJ6416" s="132"/>
      <c r="AK6416" s="127"/>
      <c r="AL6416" s="128"/>
      <c r="AM6416" s="21"/>
      <c r="AN6416" s="133">
        <v>46085</v>
      </c>
      <c r="AO6416" s="134"/>
      <c r="AP6416" s="135">
        <v>1007</v>
      </c>
      <c r="AQ6416" s="136"/>
      <c r="AR6416" s="118">
        <v>1320000</v>
      </c>
      <c r="AS6416" s="119"/>
      <c r="AT6416" s="118">
        <f t="shared" ref="AT6416" si="8764">AR6416*0.1</f>
        <v>132000</v>
      </c>
      <c r="AU6416" s="119"/>
      <c r="AV6416" s="118">
        <v>6850</v>
      </c>
      <c r="AW6416" s="119"/>
      <c r="AX6416" s="118">
        <f t="shared" ref="AX6416" si="8765">SUM(AR6416:AW6416)</f>
        <v>1458850</v>
      </c>
      <c r="AY6416" s="119"/>
      <c r="AZ6416" s="137">
        <v>46090</v>
      </c>
    </row>
    <row r="6417" spans="1:52" ht="17.100000000000001" customHeight="1" thickBot="1">
      <c r="A6417" s="110"/>
      <c r="B6417" s="27" t="s">
        <v>2511</v>
      </c>
      <c r="C6417" s="27">
        <v>65531</v>
      </c>
      <c r="D6417" s="14" t="s">
        <v>2601</v>
      </c>
      <c r="E6417" s="112"/>
      <c r="F6417" s="139" t="s">
        <v>18554</v>
      </c>
      <c r="G6417" s="140"/>
      <c r="H6417" s="141"/>
      <c r="I6417" s="26">
        <v>45485</v>
      </c>
      <c r="J6417" s="117"/>
      <c r="K6417" s="120"/>
      <c r="L6417" s="121"/>
      <c r="M6417" s="120"/>
      <c r="N6417" s="121"/>
      <c r="O6417" s="120"/>
      <c r="P6417" s="121"/>
      <c r="Q6417" s="120"/>
      <c r="R6417" s="121"/>
      <c r="S6417" s="120"/>
      <c r="T6417" s="121"/>
      <c r="U6417" s="120"/>
      <c r="V6417" s="123"/>
      <c r="W6417" s="125"/>
      <c r="X6417" s="142" t="s">
        <v>2918</v>
      </c>
      <c r="Y6417" s="143"/>
      <c r="Z6417" s="143"/>
      <c r="AA6417" s="143"/>
      <c r="AB6417" s="144"/>
      <c r="AC6417" s="16" t="s">
        <v>21</v>
      </c>
      <c r="AD6417" s="17" t="s">
        <v>2353</v>
      </c>
      <c r="AE6417" s="145" t="s">
        <v>2051</v>
      </c>
      <c r="AF6417" s="146"/>
      <c r="AG6417" s="146"/>
      <c r="AH6417" s="146"/>
      <c r="AI6417" s="147"/>
      <c r="AJ6417" s="148"/>
      <c r="AK6417" s="143"/>
      <c r="AL6417" s="144"/>
      <c r="AM6417" s="22"/>
      <c r="AN6417" s="149" t="s">
        <v>2794</v>
      </c>
      <c r="AO6417" s="144"/>
      <c r="AP6417" s="148">
        <v>2024</v>
      </c>
      <c r="AQ6417" s="144"/>
      <c r="AR6417" s="120"/>
      <c r="AS6417" s="121"/>
      <c r="AT6417" s="120"/>
      <c r="AU6417" s="121"/>
      <c r="AV6417" s="120"/>
      <c r="AW6417" s="121"/>
      <c r="AX6417" s="120"/>
      <c r="AY6417" s="121"/>
      <c r="AZ6417" s="138"/>
    </row>
    <row r="6418" spans="1:52" ht="17.100000000000001" customHeight="1" thickTop="1">
      <c r="A6418" s="109" t="s">
        <v>18520</v>
      </c>
      <c r="B6418" s="28">
        <v>46074</v>
      </c>
      <c r="C6418" s="25">
        <v>1289</v>
      </c>
      <c r="D6418" s="13" t="s">
        <v>2970</v>
      </c>
      <c r="E6418" s="111"/>
      <c r="F6418" s="113" t="s">
        <v>16025</v>
      </c>
      <c r="G6418" s="114"/>
      <c r="H6418" s="115"/>
      <c r="I6418" s="24" t="s">
        <v>10644</v>
      </c>
      <c r="J6418" s="116">
        <v>4.5</v>
      </c>
      <c r="K6418" s="118">
        <v>905000</v>
      </c>
      <c r="L6418" s="119"/>
      <c r="M6418" s="118">
        <f t="shared" ref="M6418" si="8766">K6418*0.1</f>
        <v>90500</v>
      </c>
      <c r="N6418" s="119"/>
      <c r="O6418" s="118">
        <v>0</v>
      </c>
      <c r="P6418" s="119"/>
      <c r="Q6418" s="118">
        <v>8640</v>
      </c>
      <c r="R6418" s="119"/>
      <c r="S6418" s="118">
        <v>12100</v>
      </c>
      <c r="T6418" s="119"/>
      <c r="U6418" s="118">
        <f t="shared" ref="U6418" si="8767">SUM(K6418:T6419)</f>
        <v>1016240</v>
      </c>
      <c r="V6418" s="122"/>
      <c r="W6418" s="124"/>
      <c r="X6418" s="126" t="s">
        <v>18556</v>
      </c>
      <c r="Y6418" s="127"/>
      <c r="Z6418" s="127"/>
      <c r="AA6418" s="127"/>
      <c r="AB6418" s="128"/>
      <c r="AC6418" s="15" t="s">
        <v>20</v>
      </c>
      <c r="AD6418" s="129" t="s">
        <v>15583</v>
      </c>
      <c r="AE6418" s="130"/>
      <c r="AF6418" s="130"/>
      <c r="AG6418" s="130"/>
      <c r="AH6418" s="130"/>
      <c r="AI6418" s="131"/>
      <c r="AJ6418" s="132"/>
      <c r="AK6418" s="127"/>
      <c r="AL6418" s="128"/>
      <c r="AM6418" s="21"/>
      <c r="AN6418" s="133">
        <v>46078</v>
      </c>
      <c r="AO6418" s="134"/>
      <c r="AP6418" s="135">
        <v>1006</v>
      </c>
      <c r="AQ6418" s="136"/>
      <c r="AR6418" s="118">
        <v>935000</v>
      </c>
      <c r="AS6418" s="119"/>
      <c r="AT6418" s="118">
        <f t="shared" ref="AT6418" si="8768">AR6418*0.1</f>
        <v>93500</v>
      </c>
      <c r="AU6418" s="119"/>
      <c r="AV6418" s="118">
        <v>8640</v>
      </c>
      <c r="AW6418" s="119"/>
      <c r="AX6418" s="118">
        <f t="shared" ref="AX6418" si="8769">SUM(AR6418:AW6418)</f>
        <v>1037140</v>
      </c>
      <c r="AY6418" s="119"/>
      <c r="AZ6418" s="137">
        <v>46084</v>
      </c>
    </row>
    <row r="6419" spans="1:52" ht="17.100000000000001" customHeight="1" thickBot="1">
      <c r="A6419" s="110"/>
      <c r="B6419" s="27" t="s">
        <v>2511</v>
      </c>
      <c r="C6419" s="27">
        <v>65543</v>
      </c>
      <c r="D6419" s="14" t="s">
        <v>2800</v>
      </c>
      <c r="E6419" s="112"/>
      <c r="F6419" s="139" t="s">
        <v>18555</v>
      </c>
      <c r="G6419" s="140"/>
      <c r="H6419" s="141"/>
      <c r="I6419" s="26">
        <v>60286</v>
      </c>
      <c r="J6419" s="117"/>
      <c r="K6419" s="120"/>
      <c r="L6419" s="121"/>
      <c r="M6419" s="120"/>
      <c r="N6419" s="121"/>
      <c r="O6419" s="120"/>
      <c r="P6419" s="121"/>
      <c r="Q6419" s="120"/>
      <c r="R6419" s="121"/>
      <c r="S6419" s="120"/>
      <c r="T6419" s="121"/>
      <c r="U6419" s="120"/>
      <c r="V6419" s="123"/>
      <c r="W6419" s="125"/>
      <c r="X6419" s="142" t="s">
        <v>19052</v>
      </c>
      <c r="Y6419" s="143"/>
      <c r="Z6419" s="143"/>
      <c r="AA6419" s="143"/>
      <c r="AB6419" s="144"/>
      <c r="AC6419" s="16" t="s">
        <v>21</v>
      </c>
      <c r="AD6419" s="17" t="s">
        <v>2353</v>
      </c>
      <c r="AE6419" s="145" t="s">
        <v>19053</v>
      </c>
      <c r="AF6419" s="146"/>
      <c r="AG6419" s="146"/>
      <c r="AH6419" s="146"/>
      <c r="AI6419" s="147"/>
      <c r="AJ6419" s="148"/>
      <c r="AK6419" s="143"/>
      <c r="AL6419" s="144"/>
      <c r="AM6419" s="22"/>
      <c r="AN6419" s="149" t="s">
        <v>2794</v>
      </c>
      <c r="AO6419" s="144"/>
      <c r="AP6419" s="148">
        <v>2080</v>
      </c>
      <c r="AQ6419" s="144"/>
      <c r="AR6419" s="120"/>
      <c r="AS6419" s="121"/>
      <c r="AT6419" s="120"/>
      <c r="AU6419" s="121"/>
      <c r="AV6419" s="120"/>
      <c r="AW6419" s="121"/>
      <c r="AX6419" s="120"/>
      <c r="AY6419" s="121"/>
      <c r="AZ6419" s="138"/>
    </row>
    <row r="6420" spans="1:52" ht="17.100000000000001" customHeight="1" thickTop="1">
      <c r="A6420" s="109" t="s">
        <v>18521</v>
      </c>
      <c r="B6420" s="28">
        <v>46074</v>
      </c>
      <c r="C6420" s="25">
        <v>1289</v>
      </c>
      <c r="D6420" s="13" t="s">
        <v>818</v>
      </c>
      <c r="E6420" s="111"/>
      <c r="F6420" s="113" t="s">
        <v>15535</v>
      </c>
      <c r="G6420" s="114"/>
      <c r="H6420" s="115"/>
      <c r="I6420" s="24"/>
      <c r="J6420" s="116">
        <v>4.5</v>
      </c>
      <c r="K6420" s="118">
        <v>915000</v>
      </c>
      <c r="L6420" s="119"/>
      <c r="M6420" s="118">
        <f t="shared" ref="M6420" si="8770">K6420*0.1</f>
        <v>91500</v>
      </c>
      <c r="N6420" s="119"/>
      <c r="O6420" s="118">
        <v>0</v>
      </c>
      <c r="P6420" s="119"/>
      <c r="Q6420" s="118">
        <v>7150</v>
      </c>
      <c r="R6420" s="119"/>
      <c r="S6420" s="118">
        <v>12100</v>
      </c>
      <c r="T6420" s="119"/>
      <c r="U6420" s="118">
        <f t="shared" ref="U6420" si="8771">SUM(K6420:T6421)</f>
        <v>1025750</v>
      </c>
      <c r="V6420" s="122"/>
      <c r="W6420" s="124"/>
      <c r="X6420" s="126" t="s">
        <v>19132</v>
      </c>
      <c r="Y6420" s="127"/>
      <c r="Z6420" s="127"/>
      <c r="AA6420" s="127"/>
      <c r="AB6420" s="128"/>
      <c r="AC6420" s="15" t="s">
        <v>20</v>
      </c>
      <c r="AD6420" s="129" t="s">
        <v>5302</v>
      </c>
      <c r="AE6420" s="130"/>
      <c r="AF6420" s="130"/>
      <c r="AG6420" s="130"/>
      <c r="AH6420" s="130"/>
      <c r="AI6420" s="131"/>
      <c r="AJ6420" s="132"/>
      <c r="AK6420" s="127"/>
      <c r="AL6420" s="128"/>
      <c r="AM6420" s="21"/>
      <c r="AN6420" s="133">
        <v>46155</v>
      </c>
      <c r="AO6420" s="134"/>
      <c r="AP6420" s="135">
        <v>1016</v>
      </c>
      <c r="AQ6420" s="136"/>
      <c r="AR6420" s="118">
        <v>985000</v>
      </c>
      <c r="AS6420" s="119"/>
      <c r="AT6420" s="118">
        <f t="shared" ref="AT6420" si="8772">AR6420*0.1</f>
        <v>98500</v>
      </c>
      <c r="AU6420" s="119"/>
      <c r="AV6420" s="118">
        <v>7150</v>
      </c>
      <c r="AW6420" s="119"/>
      <c r="AX6420" s="118">
        <f t="shared" ref="AX6420" si="8773">SUM(AR6420:AW6420)</f>
        <v>1090650</v>
      </c>
      <c r="AY6420" s="119"/>
      <c r="AZ6420" s="137">
        <v>46160</v>
      </c>
    </row>
    <row r="6421" spans="1:52" ht="17.100000000000001" customHeight="1" thickBot="1">
      <c r="A6421" s="110"/>
      <c r="B6421" s="27" t="s">
        <v>2511</v>
      </c>
      <c r="C6421" s="27">
        <v>65592</v>
      </c>
      <c r="D6421" s="14" t="s">
        <v>275</v>
      </c>
      <c r="E6421" s="112"/>
      <c r="F6421" s="139" t="s">
        <v>18557</v>
      </c>
      <c r="G6421" s="140"/>
      <c r="H6421" s="141"/>
      <c r="I6421" s="26">
        <v>67940</v>
      </c>
      <c r="J6421" s="117"/>
      <c r="K6421" s="120"/>
      <c r="L6421" s="121"/>
      <c r="M6421" s="120"/>
      <c r="N6421" s="121"/>
      <c r="O6421" s="120"/>
      <c r="P6421" s="121"/>
      <c r="Q6421" s="120"/>
      <c r="R6421" s="121"/>
      <c r="S6421" s="120"/>
      <c r="T6421" s="121"/>
      <c r="U6421" s="120"/>
      <c r="V6421" s="123"/>
      <c r="W6421" s="125"/>
      <c r="X6421" s="142" t="s">
        <v>3884</v>
      </c>
      <c r="Y6421" s="143"/>
      <c r="Z6421" s="143"/>
      <c r="AA6421" s="143"/>
      <c r="AB6421" s="144"/>
      <c r="AC6421" s="16" t="s">
        <v>21</v>
      </c>
      <c r="AD6421" s="17" t="s">
        <v>1902</v>
      </c>
      <c r="AE6421" s="145" t="s">
        <v>19133</v>
      </c>
      <c r="AF6421" s="146"/>
      <c r="AG6421" s="146"/>
      <c r="AH6421" s="146"/>
      <c r="AI6421" s="147"/>
      <c r="AJ6421" s="148"/>
      <c r="AK6421" s="143"/>
      <c r="AL6421" s="144"/>
      <c r="AM6421" s="22"/>
      <c r="AN6421" s="149" t="s">
        <v>2794</v>
      </c>
      <c r="AO6421" s="144"/>
      <c r="AP6421" s="148">
        <v>2011</v>
      </c>
      <c r="AQ6421" s="144"/>
      <c r="AR6421" s="120"/>
      <c r="AS6421" s="121"/>
      <c r="AT6421" s="120"/>
      <c r="AU6421" s="121"/>
      <c r="AV6421" s="120"/>
      <c r="AW6421" s="121"/>
      <c r="AX6421" s="120"/>
      <c r="AY6421" s="121"/>
      <c r="AZ6421" s="138"/>
    </row>
    <row r="6422" spans="1:52" ht="17.100000000000001" customHeight="1" thickTop="1">
      <c r="A6422" s="109" t="s">
        <v>18522</v>
      </c>
      <c r="B6422" s="28">
        <v>46074</v>
      </c>
      <c r="C6422" s="25">
        <v>1289</v>
      </c>
      <c r="D6422" s="13" t="s">
        <v>1712</v>
      </c>
      <c r="E6422" s="111"/>
      <c r="F6422" s="113" t="s">
        <v>16689</v>
      </c>
      <c r="G6422" s="114"/>
      <c r="H6422" s="115"/>
      <c r="I6422" s="24" t="s">
        <v>13506</v>
      </c>
      <c r="J6422" s="116">
        <v>4.5</v>
      </c>
      <c r="K6422" s="118">
        <v>800000</v>
      </c>
      <c r="L6422" s="119"/>
      <c r="M6422" s="118">
        <f t="shared" ref="M6422" si="8774">K6422*0.1</f>
        <v>80000</v>
      </c>
      <c r="N6422" s="119"/>
      <c r="O6422" s="118">
        <v>0</v>
      </c>
      <c r="P6422" s="119"/>
      <c r="Q6422" s="118">
        <v>9790</v>
      </c>
      <c r="R6422" s="119"/>
      <c r="S6422" s="118">
        <v>13200</v>
      </c>
      <c r="T6422" s="119"/>
      <c r="U6422" s="118">
        <f t="shared" ref="U6422" si="8775">SUM(K6422:T6423)</f>
        <v>902990</v>
      </c>
      <c r="V6422" s="122"/>
      <c r="W6422" s="124"/>
      <c r="X6422" s="126" t="s">
        <v>18559</v>
      </c>
      <c r="Y6422" s="127"/>
      <c r="Z6422" s="127"/>
      <c r="AA6422" s="127"/>
      <c r="AB6422" s="128"/>
      <c r="AC6422" s="15" t="s">
        <v>20</v>
      </c>
      <c r="AD6422" s="129"/>
      <c r="AE6422" s="130"/>
      <c r="AF6422" s="130"/>
      <c r="AG6422" s="130"/>
      <c r="AH6422" s="130"/>
      <c r="AI6422" s="131"/>
      <c r="AJ6422" s="132"/>
      <c r="AK6422" s="127"/>
      <c r="AL6422" s="128"/>
      <c r="AM6422" s="21"/>
      <c r="AN6422" s="133">
        <v>46120</v>
      </c>
      <c r="AO6422" s="134"/>
      <c r="AP6422" s="135">
        <v>1012</v>
      </c>
      <c r="AQ6422" s="136"/>
      <c r="AR6422" s="118">
        <v>910000</v>
      </c>
      <c r="AS6422" s="119"/>
      <c r="AT6422" s="118">
        <f t="shared" ref="AT6422" si="8776">AR6422*0.1</f>
        <v>91000</v>
      </c>
      <c r="AU6422" s="119"/>
      <c r="AV6422" s="118">
        <v>9790</v>
      </c>
      <c r="AW6422" s="119"/>
      <c r="AX6422" s="118">
        <f t="shared" ref="AX6422" si="8777">SUM(AR6422:AW6422)</f>
        <v>1010790</v>
      </c>
      <c r="AY6422" s="119"/>
      <c r="AZ6422" s="137">
        <v>46125</v>
      </c>
    </row>
    <row r="6423" spans="1:52" ht="17.100000000000001" customHeight="1" thickBot="1">
      <c r="A6423" s="110"/>
      <c r="B6423" s="27" t="s">
        <v>2511</v>
      </c>
      <c r="C6423" s="27">
        <v>65671</v>
      </c>
      <c r="D6423" s="14" t="s">
        <v>2601</v>
      </c>
      <c r="E6423" s="112"/>
      <c r="F6423" s="139" t="s">
        <v>18558</v>
      </c>
      <c r="G6423" s="140"/>
      <c r="H6423" s="141"/>
      <c r="I6423" s="26">
        <v>54840</v>
      </c>
      <c r="J6423" s="117"/>
      <c r="K6423" s="120"/>
      <c r="L6423" s="121"/>
      <c r="M6423" s="120"/>
      <c r="N6423" s="121"/>
      <c r="O6423" s="120"/>
      <c r="P6423" s="121"/>
      <c r="Q6423" s="120"/>
      <c r="R6423" s="121"/>
      <c r="S6423" s="120"/>
      <c r="T6423" s="121"/>
      <c r="U6423" s="120"/>
      <c r="V6423" s="123"/>
      <c r="W6423" s="125"/>
      <c r="X6423" s="142" t="s">
        <v>19095</v>
      </c>
      <c r="Y6423" s="143"/>
      <c r="Z6423" s="143"/>
      <c r="AA6423" s="143"/>
      <c r="AB6423" s="144"/>
      <c r="AC6423" s="16" t="s">
        <v>21</v>
      </c>
      <c r="AD6423" s="17" t="s">
        <v>2353</v>
      </c>
      <c r="AE6423" s="145"/>
      <c r="AF6423" s="146"/>
      <c r="AG6423" s="146"/>
      <c r="AH6423" s="146"/>
      <c r="AI6423" s="147"/>
      <c r="AJ6423" s="148"/>
      <c r="AK6423" s="143"/>
      <c r="AL6423" s="144"/>
      <c r="AM6423" s="22"/>
      <c r="AN6423" s="149" t="s">
        <v>2794</v>
      </c>
      <c r="AO6423" s="144"/>
      <c r="AP6423" s="148">
        <v>2031</v>
      </c>
      <c r="AQ6423" s="144"/>
      <c r="AR6423" s="120"/>
      <c r="AS6423" s="121"/>
      <c r="AT6423" s="120"/>
      <c r="AU6423" s="121"/>
      <c r="AV6423" s="120"/>
      <c r="AW6423" s="121"/>
      <c r="AX6423" s="120"/>
      <c r="AY6423" s="121"/>
      <c r="AZ6423" s="138"/>
    </row>
    <row r="6424" spans="1:52" ht="17.100000000000001" customHeight="1" thickTop="1">
      <c r="A6424" s="109" t="s">
        <v>18523</v>
      </c>
      <c r="B6424" s="28">
        <v>46074</v>
      </c>
      <c r="C6424" s="25">
        <v>1289</v>
      </c>
      <c r="D6424" s="13" t="s">
        <v>2036</v>
      </c>
      <c r="E6424" s="111"/>
      <c r="F6424" s="113" t="s">
        <v>18560</v>
      </c>
      <c r="G6424" s="114"/>
      <c r="H6424" s="115"/>
      <c r="I6424" s="24"/>
      <c r="J6424" s="116">
        <v>4</v>
      </c>
      <c r="K6424" s="118">
        <v>1700000</v>
      </c>
      <c r="L6424" s="119"/>
      <c r="M6424" s="118">
        <f t="shared" ref="M6424" si="8778">K6424*0.1</f>
        <v>170000</v>
      </c>
      <c r="N6424" s="119"/>
      <c r="O6424" s="118">
        <v>0</v>
      </c>
      <c r="P6424" s="119"/>
      <c r="Q6424" s="118">
        <v>11810</v>
      </c>
      <c r="R6424" s="119"/>
      <c r="S6424" s="118">
        <v>23100</v>
      </c>
      <c r="T6424" s="119"/>
      <c r="U6424" s="118">
        <f t="shared" ref="U6424" si="8779">SUM(K6424:T6425)</f>
        <v>1904910</v>
      </c>
      <c r="V6424" s="122"/>
      <c r="W6424" s="124"/>
      <c r="X6424" s="126" t="s">
        <v>19057</v>
      </c>
      <c r="Y6424" s="127"/>
      <c r="Z6424" s="127"/>
      <c r="AA6424" s="127"/>
      <c r="AB6424" s="128"/>
      <c r="AC6424" s="15" t="s">
        <v>20</v>
      </c>
      <c r="AD6424" s="129" t="s">
        <v>18562</v>
      </c>
      <c r="AE6424" s="130"/>
      <c r="AF6424" s="130"/>
      <c r="AG6424" s="130"/>
      <c r="AH6424" s="130"/>
      <c r="AI6424" s="131"/>
      <c r="AJ6424" s="132"/>
      <c r="AK6424" s="127"/>
      <c r="AL6424" s="128"/>
      <c r="AM6424" s="21"/>
      <c r="AN6424" s="133">
        <v>46109</v>
      </c>
      <c r="AO6424" s="134"/>
      <c r="AP6424" s="135">
        <v>1294</v>
      </c>
      <c r="AQ6424" s="136"/>
      <c r="AR6424" s="118">
        <v>1950000</v>
      </c>
      <c r="AS6424" s="119"/>
      <c r="AT6424" s="118">
        <f t="shared" ref="AT6424" si="8780">AR6424*0.1</f>
        <v>195000</v>
      </c>
      <c r="AU6424" s="119"/>
      <c r="AV6424" s="118">
        <v>11810</v>
      </c>
      <c r="AW6424" s="119"/>
      <c r="AX6424" s="118">
        <f t="shared" ref="AX6424" si="8781">SUM(AR6424:AW6424)</f>
        <v>2156810</v>
      </c>
      <c r="AY6424" s="119"/>
      <c r="AZ6424" s="137">
        <v>46112</v>
      </c>
    </row>
    <row r="6425" spans="1:52" ht="17.100000000000001" customHeight="1" thickBot="1">
      <c r="A6425" s="110"/>
      <c r="B6425" s="27" t="s">
        <v>2511</v>
      </c>
      <c r="C6425" s="27">
        <v>82038</v>
      </c>
      <c r="D6425" s="14" t="s">
        <v>133</v>
      </c>
      <c r="E6425" s="112"/>
      <c r="F6425" s="139" t="s">
        <v>18561</v>
      </c>
      <c r="G6425" s="140"/>
      <c r="H6425" s="141"/>
      <c r="I6425" s="26">
        <v>24230</v>
      </c>
      <c r="J6425" s="117"/>
      <c r="K6425" s="120"/>
      <c r="L6425" s="121"/>
      <c r="M6425" s="120"/>
      <c r="N6425" s="121"/>
      <c r="O6425" s="120"/>
      <c r="P6425" s="121"/>
      <c r="Q6425" s="120"/>
      <c r="R6425" s="121"/>
      <c r="S6425" s="120"/>
      <c r="T6425" s="121"/>
      <c r="U6425" s="120"/>
      <c r="V6425" s="123"/>
      <c r="W6425" s="125"/>
      <c r="X6425" s="142" t="s">
        <v>19058</v>
      </c>
      <c r="Y6425" s="143"/>
      <c r="Z6425" s="143"/>
      <c r="AA6425" s="143"/>
      <c r="AB6425" s="144"/>
      <c r="AC6425" s="16" t="s">
        <v>21</v>
      </c>
      <c r="AD6425" s="17" t="s">
        <v>2353</v>
      </c>
      <c r="AE6425" s="145" t="s">
        <v>19059</v>
      </c>
      <c r="AF6425" s="146"/>
      <c r="AG6425" s="146"/>
      <c r="AH6425" s="146"/>
      <c r="AI6425" s="147"/>
      <c r="AJ6425" s="148"/>
      <c r="AK6425" s="143"/>
      <c r="AL6425" s="144"/>
      <c r="AM6425" s="22"/>
      <c r="AN6425" s="149" t="s">
        <v>21802</v>
      </c>
      <c r="AO6425" s="144"/>
      <c r="AP6425" s="148">
        <v>80110</v>
      </c>
      <c r="AQ6425" s="144"/>
      <c r="AR6425" s="120"/>
      <c r="AS6425" s="121"/>
      <c r="AT6425" s="120"/>
      <c r="AU6425" s="121"/>
      <c r="AV6425" s="120"/>
      <c r="AW6425" s="121"/>
      <c r="AX6425" s="120"/>
      <c r="AY6425" s="121"/>
      <c r="AZ6425" s="138"/>
    </row>
    <row r="6426" spans="1:52" ht="17.100000000000001" customHeight="1" thickTop="1">
      <c r="A6426" s="109" t="s">
        <v>18524</v>
      </c>
      <c r="B6426" s="28">
        <v>46074</v>
      </c>
      <c r="C6426" s="25">
        <v>1289</v>
      </c>
      <c r="D6426" s="13" t="s">
        <v>18564</v>
      </c>
      <c r="E6426" s="111"/>
      <c r="F6426" s="113" t="s">
        <v>18563</v>
      </c>
      <c r="G6426" s="114"/>
      <c r="H6426" s="115"/>
      <c r="I6426" s="24"/>
      <c r="J6426" s="116">
        <v>3.5</v>
      </c>
      <c r="K6426" s="118">
        <v>541000</v>
      </c>
      <c r="L6426" s="119"/>
      <c r="M6426" s="118">
        <f t="shared" ref="M6426" si="8782">K6426*0.1</f>
        <v>54100</v>
      </c>
      <c r="N6426" s="119"/>
      <c r="O6426" s="118">
        <v>0</v>
      </c>
      <c r="P6426" s="119"/>
      <c r="Q6426" s="118">
        <v>9070</v>
      </c>
      <c r="R6426" s="119"/>
      <c r="S6426" s="118">
        <v>8800</v>
      </c>
      <c r="T6426" s="119"/>
      <c r="U6426" s="118">
        <f t="shared" ref="U6426" si="8783">SUM(K6426:T6427)</f>
        <v>612970</v>
      </c>
      <c r="V6426" s="122"/>
      <c r="W6426" s="124"/>
      <c r="X6426" s="126" t="s">
        <v>19096</v>
      </c>
      <c r="Y6426" s="127"/>
      <c r="Z6426" s="127"/>
      <c r="AA6426" s="127"/>
      <c r="AB6426" s="128"/>
      <c r="AC6426" s="15" t="s">
        <v>20</v>
      </c>
      <c r="AD6426" s="129"/>
      <c r="AE6426" s="130"/>
      <c r="AF6426" s="130"/>
      <c r="AG6426" s="130"/>
      <c r="AH6426" s="130"/>
      <c r="AI6426" s="131"/>
      <c r="AJ6426" s="132"/>
      <c r="AK6426" s="127"/>
      <c r="AL6426" s="128"/>
      <c r="AM6426" s="21"/>
      <c r="AN6426" s="133">
        <v>46095</v>
      </c>
      <c r="AO6426" s="134"/>
      <c r="AP6426" s="135">
        <v>1292</v>
      </c>
      <c r="AQ6426" s="136"/>
      <c r="AR6426" s="118">
        <v>550000</v>
      </c>
      <c r="AS6426" s="119"/>
      <c r="AT6426" s="118">
        <f t="shared" ref="AT6426" si="8784">AR6426*0.1</f>
        <v>55000</v>
      </c>
      <c r="AU6426" s="119"/>
      <c r="AV6426" s="118">
        <v>9070</v>
      </c>
      <c r="AW6426" s="119"/>
      <c r="AX6426" s="118">
        <f t="shared" ref="AX6426" si="8785">SUM(AR6426:AW6426)</f>
        <v>614070</v>
      </c>
      <c r="AY6426" s="119"/>
      <c r="AZ6426" s="137">
        <v>46098</v>
      </c>
    </row>
    <row r="6427" spans="1:52" ht="16.5" customHeight="1" thickBot="1">
      <c r="A6427" s="110"/>
      <c r="B6427" s="27" t="s">
        <v>2511</v>
      </c>
      <c r="C6427" s="27">
        <v>90002</v>
      </c>
      <c r="D6427" s="14" t="s">
        <v>1592</v>
      </c>
      <c r="E6427" s="112"/>
      <c r="F6427" s="139" t="s">
        <v>18565</v>
      </c>
      <c r="G6427" s="140"/>
      <c r="H6427" s="141"/>
      <c r="I6427" s="26">
        <v>53965</v>
      </c>
      <c r="J6427" s="117"/>
      <c r="K6427" s="120"/>
      <c r="L6427" s="121"/>
      <c r="M6427" s="120"/>
      <c r="N6427" s="121"/>
      <c r="O6427" s="120"/>
      <c r="P6427" s="121"/>
      <c r="Q6427" s="120"/>
      <c r="R6427" s="121"/>
      <c r="S6427" s="120"/>
      <c r="T6427" s="121"/>
      <c r="U6427" s="120"/>
      <c r="V6427" s="123"/>
      <c r="W6427" s="125"/>
      <c r="X6427" s="142" t="s">
        <v>19097</v>
      </c>
      <c r="Y6427" s="143"/>
      <c r="Z6427" s="143"/>
      <c r="AA6427" s="143"/>
      <c r="AB6427" s="144"/>
      <c r="AC6427" s="16" t="s">
        <v>21</v>
      </c>
      <c r="AD6427" s="17" t="s">
        <v>2353</v>
      </c>
      <c r="AE6427" s="145"/>
      <c r="AF6427" s="146"/>
      <c r="AG6427" s="146"/>
      <c r="AH6427" s="146"/>
      <c r="AI6427" s="147"/>
      <c r="AJ6427" s="148"/>
      <c r="AK6427" s="143"/>
      <c r="AL6427" s="144"/>
      <c r="AM6427" s="22"/>
      <c r="AN6427" s="149" t="s">
        <v>2511</v>
      </c>
      <c r="AO6427" s="144"/>
      <c r="AP6427" s="148">
        <v>60331</v>
      </c>
      <c r="AQ6427" s="144"/>
      <c r="AR6427" s="120"/>
      <c r="AS6427" s="121"/>
      <c r="AT6427" s="120"/>
      <c r="AU6427" s="121"/>
      <c r="AV6427" s="120"/>
      <c r="AW6427" s="121"/>
      <c r="AX6427" s="120"/>
      <c r="AY6427" s="121"/>
      <c r="AZ6427" s="138"/>
    </row>
    <row r="6428" spans="1:52" ht="17.100000000000001" customHeight="1" thickTop="1">
      <c r="A6428" s="109" t="s">
        <v>18572</v>
      </c>
      <c r="B6428" s="28">
        <v>46074</v>
      </c>
      <c r="C6428" s="25"/>
      <c r="D6428" s="13" t="s">
        <v>4338</v>
      </c>
      <c r="E6428" s="111"/>
      <c r="F6428" s="113" t="s">
        <v>18567</v>
      </c>
      <c r="G6428" s="114"/>
      <c r="H6428" s="115"/>
      <c r="I6428" s="24" t="s">
        <v>18569</v>
      </c>
      <c r="J6428" s="116"/>
      <c r="K6428" s="118">
        <v>30000</v>
      </c>
      <c r="L6428" s="119"/>
      <c r="M6428" s="118">
        <v>0</v>
      </c>
      <c r="N6428" s="119"/>
      <c r="O6428" s="118">
        <v>0</v>
      </c>
      <c r="P6428" s="119"/>
      <c r="Q6428" s="118">
        <v>0</v>
      </c>
      <c r="R6428" s="119"/>
      <c r="S6428" s="118">
        <v>0</v>
      </c>
      <c r="T6428" s="119"/>
      <c r="U6428" s="118">
        <f t="shared" ref="U6428" si="8786">SUM(K6428:T6429)</f>
        <v>30000</v>
      </c>
      <c r="V6428" s="122"/>
      <c r="W6428" s="124"/>
      <c r="X6428" s="126" t="s">
        <v>18570</v>
      </c>
      <c r="Y6428" s="127"/>
      <c r="Z6428" s="127"/>
      <c r="AA6428" s="127"/>
      <c r="AB6428" s="128"/>
      <c r="AC6428" s="15" t="s">
        <v>20</v>
      </c>
      <c r="AD6428" s="129"/>
      <c r="AE6428" s="130"/>
      <c r="AF6428" s="130"/>
      <c r="AG6428" s="130"/>
      <c r="AH6428" s="130"/>
      <c r="AI6428" s="131"/>
      <c r="AJ6428" s="132"/>
      <c r="AK6428" s="127"/>
      <c r="AL6428" s="128"/>
      <c r="AM6428" s="21"/>
      <c r="AN6428" s="133">
        <v>46092</v>
      </c>
      <c r="AO6428" s="134"/>
      <c r="AP6428" s="135">
        <v>1008</v>
      </c>
      <c r="AQ6428" s="136"/>
      <c r="AR6428" s="118">
        <v>70000</v>
      </c>
      <c r="AS6428" s="119"/>
      <c r="AT6428" s="118">
        <f t="shared" ref="AT6428" si="8787">AR6428*0.1</f>
        <v>7000</v>
      </c>
      <c r="AU6428" s="119"/>
      <c r="AV6428" s="118">
        <v>11460</v>
      </c>
      <c r="AW6428" s="119"/>
      <c r="AX6428" s="118">
        <f t="shared" ref="AX6428" si="8788">SUM(AR6428:AW6428)</f>
        <v>88460</v>
      </c>
      <c r="AY6428" s="119"/>
      <c r="AZ6428" s="137">
        <v>46098</v>
      </c>
    </row>
    <row r="6429" spans="1:52" ht="17.100000000000001" customHeight="1" thickBot="1">
      <c r="A6429" s="110"/>
      <c r="B6429" s="27" t="s">
        <v>18566</v>
      </c>
      <c r="C6429" s="27"/>
      <c r="D6429" s="14" t="s">
        <v>133</v>
      </c>
      <c r="E6429" s="112"/>
      <c r="F6429" s="139" t="s">
        <v>18568</v>
      </c>
      <c r="G6429" s="140"/>
      <c r="H6429" s="141"/>
      <c r="I6429" s="26"/>
      <c r="J6429" s="117"/>
      <c r="K6429" s="120"/>
      <c r="L6429" s="121"/>
      <c r="M6429" s="120"/>
      <c r="N6429" s="121"/>
      <c r="O6429" s="120"/>
      <c r="P6429" s="121"/>
      <c r="Q6429" s="120"/>
      <c r="R6429" s="121"/>
      <c r="S6429" s="120"/>
      <c r="T6429" s="121"/>
      <c r="U6429" s="120"/>
      <c r="V6429" s="123"/>
      <c r="W6429" s="125"/>
      <c r="X6429" s="142" t="s">
        <v>18571</v>
      </c>
      <c r="Y6429" s="143"/>
      <c r="Z6429" s="143"/>
      <c r="AA6429" s="143"/>
      <c r="AB6429" s="144"/>
      <c r="AC6429" s="16" t="s">
        <v>21</v>
      </c>
      <c r="AD6429" s="17" t="s">
        <v>18390</v>
      </c>
      <c r="AE6429" s="145" t="s">
        <v>4462</v>
      </c>
      <c r="AF6429" s="146"/>
      <c r="AG6429" s="146"/>
      <c r="AH6429" s="146"/>
      <c r="AI6429" s="147"/>
      <c r="AJ6429" s="148"/>
      <c r="AK6429" s="143"/>
      <c r="AL6429" s="144"/>
      <c r="AM6429" s="22"/>
      <c r="AN6429" s="149" t="s">
        <v>19938</v>
      </c>
      <c r="AO6429" s="144"/>
      <c r="AP6429" s="148">
        <v>9091</v>
      </c>
      <c r="AQ6429" s="144"/>
      <c r="AR6429" s="120"/>
      <c r="AS6429" s="121"/>
      <c r="AT6429" s="120"/>
      <c r="AU6429" s="121"/>
      <c r="AV6429" s="120"/>
      <c r="AW6429" s="121"/>
      <c r="AX6429" s="120"/>
      <c r="AY6429" s="121"/>
      <c r="AZ6429" s="138"/>
    </row>
    <row r="6430" spans="1:52" ht="17.100000000000001" customHeight="1" thickTop="1">
      <c r="A6430" s="109" t="s">
        <v>18573</v>
      </c>
      <c r="B6430" s="28">
        <v>46074</v>
      </c>
      <c r="C6430" s="25"/>
      <c r="D6430" s="13" t="s">
        <v>2272</v>
      </c>
      <c r="E6430" s="111"/>
      <c r="F6430" s="113" t="s">
        <v>18576</v>
      </c>
      <c r="G6430" s="114"/>
      <c r="H6430" s="115"/>
      <c r="I6430" s="24" t="s">
        <v>3847</v>
      </c>
      <c r="J6430" s="116"/>
      <c r="K6430" s="118">
        <v>7600000</v>
      </c>
      <c r="L6430" s="119"/>
      <c r="M6430" s="118">
        <v>0</v>
      </c>
      <c r="N6430" s="119"/>
      <c r="O6430" s="118">
        <v>0</v>
      </c>
      <c r="P6430" s="119"/>
      <c r="Q6430" s="118">
        <v>0</v>
      </c>
      <c r="R6430" s="119"/>
      <c r="S6430" s="118">
        <v>0</v>
      </c>
      <c r="T6430" s="119"/>
      <c r="U6430" s="118">
        <f t="shared" ref="U6430" si="8789">SUM(K6430:T6431)</f>
        <v>7600000</v>
      </c>
      <c r="V6430" s="122"/>
      <c r="W6430" s="124"/>
      <c r="X6430" s="126" t="s">
        <v>18578</v>
      </c>
      <c r="Y6430" s="127"/>
      <c r="Z6430" s="127"/>
      <c r="AA6430" s="127"/>
      <c r="AB6430" s="128"/>
      <c r="AC6430" s="15" t="s">
        <v>20</v>
      </c>
      <c r="AD6430" s="129"/>
      <c r="AE6430" s="130"/>
      <c r="AF6430" s="130"/>
      <c r="AG6430" s="130"/>
      <c r="AH6430" s="130"/>
      <c r="AI6430" s="131"/>
      <c r="AJ6430" s="132"/>
      <c r="AK6430" s="127"/>
      <c r="AL6430" s="128"/>
      <c r="AM6430" s="21" t="s">
        <v>20985</v>
      </c>
      <c r="AN6430" s="133">
        <v>46130</v>
      </c>
      <c r="AO6430" s="134"/>
      <c r="AP6430" s="135">
        <v>1297</v>
      </c>
      <c r="AQ6430" s="136"/>
      <c r="AR6430" s="118">
        <v>7440000</v>
      </c>
      <c r="AS6430" s="119"/>
      <c r="AT6430" s="118">
        <f t="shared" ref="AT6430" si="8790">AR6430*0.1</f>
        <v>744000</v>
      </c>
      <c r="AU6430" s="119"/>
      <c r="AV6430" s="118">
        <v>15700</v>
      </c>
      <c r="AW6430" s="119"/>
      <c r="AX6430" s="118">
        <f t="shared" ref="AX6430" si="8791">SUM(AR6430:AW6430)</f>
        <v>8199700</v>
      </c>
      <c r="AY6430" s="119"/>
      <c r="AZ6430" s="137">
        <v>46133</v>
      </c>
    </row>
    <row r="6431" spans="1:52" ht="17.100000000000001" customHeight="1" thickBot="1">
      <c r="A6431" s="110"/>
      <c r="B6431" s="27" t="s">
        <v>18575</v>
      </c>
      <c r="C6431" s="27"/>
      <c r="D6431" s="14" t="s">
        <v>275</v>
      </c>
      <c r="E6431" s="112"/>
      <c r="F6431" s="139" t="s">
        <v>18577</v>
      </c>
      <c r="G6431" s="140"/>
      <c r="H6431" s="141"/>
      <c r="I6431" s="26">
        <v>7597</v>
      </c>
      <c r="J6431" s="117"/>
      <c r="K6431" s="120"/>
      <c r="L6431" s="121"/>
      <c r="M6431" s="120"/>
      <c r="N6431" s="121"/>
      <c r="O6431" s="120"/>
      <c r="P6431" s="121"/>
      <c r="Q6431" s="120"/>
      <c r="R6431" s="121"/>
      <c r="S6431" s="120"/>
      <c r="T6431" s="121"/>
      <c r="U6431" s="120"/>
      <c r="V6431" s="123"/>
      <c r="W6431" s="125"/>
      <c r="X6431" s="142" t="s">
        <v>18579</v>
      </c>
      <c r="Y6431" s="143"/>
      <c r="Z6431" s="143"/>
      <c r="AA6431" s="143"/>
      <c r="AB6431" s="144"/>
      <c r="AC6431" s="16" t="s">
        <v>21</v>
      </c>
      <c r="AD6431" s="17" t="s">
        <v>18390</v>
      </c>
      <c r="AE6431" s="145" t="s">
        <v>7432</v>
      </c>
      <c r="AF6431" s="146"/>
      <c r="AG6431" s="146"/>
      <c r="AH6431" s="146"/>
      <c r="AI6431" s="147"/>
      <c r="AJ6431" s="148"/>
      <c r="AK6431" s="143"/>
      <c r="AL6431" s="144"/>
      <c r="AM6431" s="22"/>
      <c r="AN6431" s="149" t="s">
        <v>2511</v>
      </c>
      <c r="AO6431" s="144"/>
      <c r="AP6431" s="148">
        <v>37443</v>
      </c>
      <c r="AQ6431" s="144"/>
      <c r="AR6431" s="120"/>
      <c r="AS6431" s="121"/>
      <c r="AT6431" s="120"/>
      <c r="AU6431" s="121"/>
      <c r="AV6431" s="120"/>
      <c r="AW6431" s="121"/>
      <c r="AX6431" s="120"/>
      <c r="AY6431" s="121"/>
      <c r="AZ6431" s="138"/>
    </row>
    <row r="6432" spans="1:52" ht="17.100000000000001" customHeight="1" thickTop="1">
      <c r="A6432" s="109" t="s">
        <v>18574</v>
      </c>
      <c r="B6432" s="28">
        <v>46074</v>
      </c>
      <c r="C6432" s="25"/>
      <c r="D6432" s="13" t="s">
        <v>1712</v>
      </c>
      <c r="E6432" s="111"/>
      <c r="F6432" s="113" t="s">
        <v>17097</v>
      </c>
      <c r="G6432" s="114"/>
      <c r="H6432" s="115"/>
      <c r="I6432" s="24" t="s">
        <v>3642</v>
      </c>
      <c r="J6432" s="116"/>
      <c r="K6432" s="118">
        <v>530000</v>
      </c>
      <c r="L6432" s="119"/>
      <c r="M6432" s="118">
        <v>0</v>
      </c>
      <c r="N6432" s="119"/>
      <c r="O6432" s="118">
        <v>0</v>
      </c>
      <c r="P6432" s="119"/>
      <c r="Q6432" s="118">
        <v>0</v>
      </c>
      <c r="R6432" s="119"/>
      <c r="S6432" s="118">
        <v>0</v>
      </c>
      <c r="T6432" s="119"/>
      <c r="U6432" s="118">
        <f t="shared" ref="U6432" si="8792">SUM(K6432:T6433)</f>
        <v>530000</v>
      </c>
      <c r="V6432" s="122"/>
      <c r="W6432" s="124"/>
      <c r="X6432" s="126" t="s">
        <v>18582</v>
      </c>
      <c r="Y6432" s="127"/>
      <c r="Z6432" s="127"/>
      <c r="AA6432" s="127"/>
      <c r="AB6432" s="128"/>
      <c r="AC6432" s="15" t="s">
        <v>20</v>
      </c>
      <c r="AD6432" s="129"/>
      <c r="AE6432" s="130"/>
      <c r="AF6432" s="130"/>
      <c r="AG6432" s="130"/>
      <c r="AH6432" s="130"/>
      <c r="AI6432" s="131"/>
      <c r="AJ6432" s="132"/>
      <c r="AK6432" s="127"/>
      <c r="AL6432" s="128"/>
      <c r="AM6432" s="21"/>
      <c r="AN6432" s="133">
        <v>46081</v>
      </c>
      <c r="AO6432" s="134"/>
      <c r="AP6432" s="135">
        <v>1290</v>
      </c>
      <c r="AQ6432" s="136"/>
      <c r="AR6432" s="118">
        <v>730000</v>
      </c>
      <c r="AS6432" s="119"/>
      <c r="AT6432" s="118">
        <f t="shared" ref="AT6432" si="8793">AR6432*0.1</f>
        <v>73000</v>
      </c>
      <c r="AU6432" s="119"/>
      <c r="AV6432" s="118">
        <v>9200</v>
      </c>
      <c r="AW6432" s="119"/>
      <c r="AX6432" s="118">
        <f t="shared" ref="AX6432" si="8794">SUM(AR6432:AW6432)</f>
        <v>812200</v>
      </c>
      <c r="AY6432" s="119"/>
      <c r="AZ6432" s="137">
        <v>46086</v>
      </c>
    </row>
    <row r="6433" spans="1:52" ht="17.100000000000001" customHeight="1" thickBot="1">
      <c r="A6433" s="110"/>
      <c r="B6433" s="27" t="s">
        <v>18580</v>
      </c>
      <c r="C6433" s="27"/>
      <c r="D6433" s="14" t="s">
        <v>1592</v>
      </c>
      <c r="E6433" s="112"/>
      <c r="F6433" s="139" t="s">
        <v>18581</v>
      </c>
      <c r="G6433" s="140"/>
      <c r="H6433" s="141"/>
      <c r="I6433" s="26"/>
      <c r="J6433" s="117"/>
      <c r="K6433" s="120"/>
      <c r="L6433" s="121"/>
      <c r="M6433" s="120"/>
      <c r="N6433" s="121"/>
      <c r="O6433" s="120"/>
      <c r="P6433" s="121"/>
      <c r="Q6433" s="120"/>
      <c r="R6433" s="121"/>
      <c r="S6433" s="120"/>
      <c r="T6433" s="121"/>
      <c r="U6433" s="120"/>
      <c r="V6433" s="123"/>
      <c r="W6433" s="125"/>
      <c r="X6433" s="142" t="s">
        <v>18585</v>
      </c>
      <c r="Y6433" s="143"/>
      <c r="Z6433" s="143"/>
      <c r="AA6433" s="143"/>
      <c r="AB6433" s="144"/>
      <c r="AC6433" s="16" t="s">
        <v>21</v>
      </c>
      <c r="AD6433" s="17" t="s">
        <v>18390</v>
      </c>
      <c r="AE6433" s="145" t="s">
        <v>171</v>
      </c>
      <c r="AF6433" s="146"/>
      <c r="AG6433" s="146"/>
      <c r="AH6433" s="146"/>
      <c r="AI6433" s="147"/>
      <c r="AJ6433" s="148"/>
      <c r="AK6433" s="143"/>
      <c r="AL6433" s="144"/>
      <c r="AM6433" s="22"/>
      <c r="AN6433" s="149" t="s">
        <v>2511</v>
      </c>
      <c r="AO6433" s="144"/>
      <c r="AP6433" s="148">
        <v>65403</v>
      </c>
      <c r="AQ6433" s="144"/>
      <c r="AR6433" s="120"/>
      <c r="AS6433" s="121"/>
      <c r="AT6433" s="120"/>
      <c r="AU6433" s="121"/>
      <c r="AV6433" s="120"/>
      <c r="AW6433" s="121"/>
      <c r="AX6433" s="120"/>
      <c r="AY6433" s="121"/>
      <c r="AZ6433" s="138"/>
    </row>
    <row r="6434" spans="1:52" ht="17.100000000000001" customHeight="1" thickTop="1">
      <c r="A6434" s="109" t="s">
        <v>18630</v>
      </c>
      <c r="B6434" s="28">
        <v>46076</v>
      </c>
      <c r="C6434" s="25"/>
      <c r="D6434" s="13" t="s">
        <v>2606</v>
      </c>
      <c r="E6434" s="111"/>
      <c r="F6434" s="113" t="s">
        <v>18632</v>
      </c>
      <c r="G6434" s="114"/>
      <c r="H6434" s="115"/>
      <c r="I6434" s="24"/>
      <c r="J6434" s="116">
        <v>4</v>
      </c>
      <c r="K6434" s="118">
        <v>1627000</v>
      </c>
      <c r="L6434" s="119"/>
      <c r="M6434" s="118">
        <f t="shared" ref="M6434" si="8795">K6434*0.1</f>
        <v>162700</v>
      </c>
      <c r="N6434" s="119"/>
      <c r="O6434" s="118">
        <v>0</v>
      </c>
      <c r="P6434" s="119"/>
      <c r="Q6434" s="118">
        <v>19070</v>
      </c>
      <c r="R6434" s="119"/>
      <c r="S6434" s="118">
        <v>15950</v>
      </c>
      <c r="T6434" s="119"/>
      <c r="U6434" s="118">
        <f t="shared" ref="U6434" si="8796">SUM(K6434:T6435)</f>
        <v>1824720</v>
      </c>
      <c r="V6434" s="122"/>
      <c r="W6434" s="124"/>
      <c r="X6434" s="126" t="s">
        <v>19187</v>
      </c>
      <c r="Y6434" s="127"/>
      <c r="Z6434" s="127"/>
      <c r="AA6434" s="127"/>
      <c r="AB6434" s="128"/>
      <c r="AC6434" s="15" t="s">
        <v>20</v>
      </c>
      <c r="AD6434" s="129"/>
      <c r="AE6434" s="130"/>
      <c r="AF6434" s="130"/>
      <c r="AG6434" s="130"/>
      <c r="AH6434" s="130"/>
      <c r="AI6434" s="131"/>
      <c r="AJ6434" s="132"/>
      <c r="AK6434" s="127"/>
      <c r="AL6434" s="128"/>
      <c r="AM6434" s="21"/>
      <c r="AN6434" s="133">
        <v>46081</v>
      </c>
      <c r="AO6434" s="134"/>
      <c r="AP6434" s="135">
        <v>1290</v>
      </c>
      <c r="AQ6434" s="136"/>
      <c r="AR6434" s="118">
        <v>1780000</v>
      </c>
      <c r="AS6434" s="119"/>
      <c r="AT6434" s="118">
        <f t="shared" ref="AT6434" si="8797">AR6434*0.1</f>
        <v>178000</v>
      </c>
      <c r="AU6434" s="119"/>
      <c r="AV6434" s="118">
        <v>19070</v>
      </c>
      <c r="AW6434" s="119"/>
      <c r="AX6434" s="118">
        <f t="shared" ref="AX6434" si="8798">SUM(AR6434:AW6434)</f>
        <v>1977070</v>
      </c>
      <c r="AY6434" s="119"/>
      <c r="AZ6434" s="137">
        <v>46086</v>
      </c>
    </row>
    <row r="6435" spans="1:52" ht="17.100000000000001" customHeight="1" thickBot="1">
      <c r="A6435" s="110"/>
      <c r="B6435" s="27" t="s">
        <v>2774</v>
      </c>
      <c r="C6435" s="27">
        <v>80236</v>
      </c>
      <c r="D6435" s="14" t="s">
        <v>2601</v>
      </c>
      <c r="E6435" s="112"/>
      <c r="F6435" s="139" t="s">
        <v>19186</v>
      </c>
      <c r="G6435" s="140"/>
      <c r="H6435" s="141"/>
      <c r="I6435" s="26">
        <v>32552</v>
      </c>
      <c r="J6435" s="117"/>
      <c r="K6435" s="120"/>
      <c r="L6435" s="121"/>
      <c r="M6435" s="120"/>
      <c r="N6435" s="121"/>
      <c r="O6435" s="120"/>
      <c r="P6435" s="121"/>
      <c r="Q6435" s="120"/>
      <c r="R6435" s="121"/>
      <c r="S6435" s="120"/>
      <c r="T6435" s="121"/>
      <c r="U6435" s="120"/>
      <c r="V6435" s="123"/>
      <c r="W6435" s="125"/>
      <c r="X6435" s="142" t="s">
        <v>2776</v>
      </c>
      <c r="Y6435" s="143"/>
      <c r="Z6435" s="143"/>
      <c r="AA6435" s="143"/>
      <c r="AB6435" s="144"/>
      <c r="AC6435" s="16" t="s">
        <v>21</v>
      </c>
      <c r="AD6435" s="17" t="s">
        <v>1714</v>
      </c>
      <c r="AE6435" s="145" t="s">
        <v>7857</v>
      </c>
      <c r="AF6435" s="146"/>
      <c r="AG6435" s="146"/>
      <c r="AH6435" s="146"/>
      <c r="AI6435" s="147"/>
      <c r="AJ6435" s="148"/>
      <c r="AK6435" s="143"/>
      <c r="AL6435" s="144"/>
      <c r="AM6435" s="22"/>
      <c r="AN6435" s="149" t="s">
        <v>2511</v>
      </c>
      <c r="AO6435" s="144"/>
      <c r="AP6435" s="148">
        <v>80057</v>
      </c>
      <c r="AQ6435" s="144"/>
      <c r="AR6435" s="120"/>
      <c r="AS6435" s="121"/>
      <c r="AT6435" s="120"/>
      <c r="AU6435" s="121"/>
      <c r="AV6435" s="120"/>
      <c r="AW6435" s="121"/>
      <c r="AX6435" s="120"/>
      <c r="AY6435" s="121"/>
      <c r="AZ6435" s="138"/>
    </row>
    <row r="6436" spans="1:52" ht="17.100000000000001" customHeight="1" thickTop="1">
      <c r="A6436" s="109" t="s">
        <v>18631</v>
      </c>
      <c r="B6436" s="28">
        <v>46076</v>
      </c>
      <c r="C6436" s="25"/>
      <c r="D6436" s="13" t="s">
        <v>2616</v>
      </c>
      <c r="E6436" s="111"/>
      <c r="F6436" s="113" t="s">
        <v>18633</v>
      </c>
      <c r="G6436" s="114"/>
      <c r="H6436" s="115"/>
      <c r="I6436" s="24" t="s">
        <v>3509</v>
      </c>
      <c r="J6436" s="116">
        <v>4.5</v>
      </c>
      <c r="K6436" s="118">
        <v>1504000</v>
      </c>
      <c r="L6436" s="119"/>
      <c r="M6436" s="118">
        <f t="shared" ref="M6436" si="8799">K6436*0.1</f>
        <v>150400</v>
      </c>
      <c r="N6436" s="119"/>
      <c r="O6436" s="118">
        <v>3300</v>
      </c>
      <c r="P6436" s="119"/>
      <c r="Q6436" s="118">
        <v>13890</v>
      </c>
      <c r="R6436" s="119"/>
      <c r="S6436" s="118">
        <v>15950</v>
      </c>
      <c r="T6436" s="119"/>
      <c r="U6436" s="118">
        <f t="shared" ref="U6436" si="8800">SUM(K6436:T6437)</f>
        <v>1687540</v>
      </c>
      <c r="V6436" s="122"/>
      <c r="W6436" s="124"/>
      <c r="X6436" s="126" t="s">
        <v>18634</v>
      </c>
      <c r="Y6436" s="127"/>
      <c r="Z6436" s="127"/>
      <c r="AA6436" s="127"/>
      <c r="AB6436" s="128"/>
      <c r="AC6436" s="15" t="s">
        <v>20</v>
      </c>
      <c r="AD6436" s="129" t="s">
        <v>1670</v>
      </c>
      <c r="AE6436" s="130"/>
      <c r="AF6436" s="130"/>
      <c r="AG6436" s="130"/>
      <c r="AH6436" s="130"/>
      <c r="AI6436" s="131"/>
      <c r="AJ6436" s="132"/>
      <c r="AK6436" s="127"/>
      <c r="AL6436" s="128"/>
      <c r="AM6436" s="21"/>
      <c r="AN6436" s="133">
        <v>46081</v>
      </c>
      <c r="AO6436" s="134"/>
      <c r="AP6436" s="135">
        <v>1290</v>
      </c>
      <c r="AQ6436" s="136"/>
      <c r="AR6436" s="118">
        <v>1690000</v>
      </c>
      <c r="AS6436" s="119"/>
      <c r="AT6436" s="118">
        <f t="shared" ref="AT6436" si="8801">AR6436*0.1</f>
        <v>169000</v>
      </c>
      <c r="AU6436" s="119"/>
      <c r="AV6436" s="118">
        <v>13890</v>
      </c>
      <c r="AW6436" s="119"/>
      <c r="AX6436" s="118">
        <f t="shared" ref="AX6436" si="8802">SUM(AR6436:AW6436)</f>
        <v>1872890</v>
      </c>
      <c r="AY6436" s="119"/>
      <c r="AZ6436" s="137">
        <v>46086</v>
      </c>
    </row>
    <row r="6437" spans="1:52" ht="17.100000000000001" customHeight="1" thickBot="1">
      <c r="A6437" s="110"/>
      <c r="B6437" s="27" t="s">
        <v>4862</v>
      </c>
      <c r="C6437" s="27">
        <v>55082</v>
      </c>
      <c r="D6437" s="14" t="s">
        <v>904</v>
      </c>
      <c r="E6437" s="112"/>
      <c r="F6437" s="139" t="s">
        <v>19113</v>
      </c>
      <c r="G6437" s="140"/>
      <c r="H6437" s="141"/>
      <c r="I6437" s="26">
        <v>39284</v>
      </c>
      <c r="J6437" s="117"/>
      <c r="K6437" s="120"/>
      <c r="L6437" s="121"/>
      <c r="M6437" s="120"/>
      <c r="N6437" s="121"/>
      <c r="O6437" s="120"/>
      <c r="P6437" s="121"/>
      <c r="Q6437" s="120"/>
      <c r="R6437" s="121"/>
      <c r="S6437" s="120"/>
      <c r="T6437" s="121"/>
      <c r="U6437" s="120"/>
      <c r="V6437" s="123"/>
      <c r="W6437" s="125"/>
      <c r="X6437" s="142" t="s">
        <v>19114</v>
      </c>
      <c r="Y6437" s="143"/>
      <c r="Z6437" s="143"/>
      <c r="AA6437" s="143"/>
      <c r="AB6437" s="144"/>
      <c r="AC6437" s="16" t="s">
        <v>21</v>
      </c>
      <c r="AD6437" s="17" t="s">
        <v>1902</v>
      </c>
      <c r="AE6437" s="145" t="s">
        <v>19115</v>
      </c>
      <c r="AF6437" s="146"/>
      <c r="AG6437" s="146"/>
      <c r="AH6437" s="146"/>
      <c r="AI6437" s="147"/>
      <c r="AJ6437" s="148"/>
      <c r="AK6437" s="143"/>
      <c r="AL6437" s="144"/>
      <c r="AM6437" s="22"/>
      <c r="AN6437" s="149" t="s">
        <v>2511</v>
      </c>
      <c r="AO6437" s="144"/>
      <c r="AP6437" s="148">
        <v>80361</v>
      </c>
      <c r="AQ6437" s="144"/>
      <c r="AR6437" s="120"/>
      <c r="AS6437" s="121"/>
      <c r="AT6437" s="120"/>
      <c r="AU6437" s="121"/>
      <c r="AV6437" s="120"/>
      <c r="AW6437" s="121"/>
      <c r="AX6437" s="120"/>
      <c r="AY6437" s="121"/>
      <c r="AZ6437" s="138"/>
    </row>
    <row r="6438" spans="1:52" ht="17.100000000000001" customHeight="1" thickTop="1">
      <c r="A6438" s="109" t="s">
        <v>18635</v>
      </c>
      <c r="B6438" s="28">
        <v>46076</v>
      </c>
      <c r="C6438" s="25">
        <v>2082</v>
      </c>
      <c r="D6438" s="13" t="s">
        <v>1615</v>
      </c>
      <c r="E6438" s="111"/>
      <c r="F6438" s="113" t="s">
        <v>18641</v>
      </c>
      <c r="G6438" s="114"/>
      <c r="H6438" s="115"/>
      <c r="I6438" s="24"/>
      <c r="J6438" s="116">
        <v>4</v>
      </c>
      <c r="K6438" s="118">
        <v>1420000</v>
      </c>
      <c r="L6438" s="119"/>
      <c r="M6438" s="118">
        <f t="shared" ref="M6438" si="8803">K6438*0.1</f>
        <v>142000</v>
      </c>
      <c r="N6438" s="119"/>
      <c r="O6438" s="118">
        <v>0</v>
      </c>
      <c r="P6438" s="119"/>
      <c r="Q6438" s="118">
        <v>21240</v>
      </c>
      <c r="R6438" s="119"/>
      <c r="S6438" s="118">
        <v>11000</v>
      </c>
      <c r="T6438" s="119"/>
      <c r="U6438" s="118">
        <f t="shared" ref="U6438" si="8804">SUM(K6438:T6439)</f>
        <v>1594240</v>
      </c>
      <c r="V6438" s="122"/>
      <c r="W6438" s="124"/>
      <c r="X6438" s="126" t="s">
        <v>18818</v>
      </c>
      <c r="Y6438" s="127"/>
      <c r="Z6438" s="127"/>
      <c r="AA6438" s="127"/>
      <c r="AB6438" s="128"/>
      <c r="AC6438" s="15" t="s">
        <v>20</v>
      </c>
      <c r="AD6438" s="129" t="s">
        <v>171</v>
      </c>
      <c r="AE6438" s="130"/>
      <c r="AF6438" s="130"/>
      <c r="AG6438" s="130"/>
      <c r="AH6438" s="130"/>
      <c r="AI6438" s="131"/>
      <c r="AJ6438" s="132"/>
      <c r="AK6438" s="127"/>
      <c r="AL6438" s="128"/>
      <c r="AM6438" s="21"/>
      <c r="AN6438" s="133">
        <v>46116</v>
      </c>
      <c r="AO6438" s="134"/>
      <c r="AP6438" s="135">
        <v>1295</v>
      </c>
      <c r="AQ6438" s="136"/>
      <c r="AR6438" s="118">
        <v>1520000</v>
      </c>
      <c r="AS6438" s="119"/>
      <c r="AT6438" s="118">
        <f t="shared" ref="AT6438" si="8805">AR6438*0.1</f>
        <v>152000</v>
      </c>
      <c r="AU6438" s="119"/>
      <c r="AV6438" s="118">
        <v>21240</v>
      </c>
      <c r="AW6438" s="119"/>
      <c r="AX6438" s="118">
        <f t="shared" ref="AX6438" si="8806">SUM(AR6438:AW6438)</f>
        <v>1693240</v>
      </c>
      <c r="AY6438" s="119"/>
      <c r="AZ6438" s="137">
        <v>46119</v>
      </c>
    </row>
    <row r="6439" spans="1:52" ht="17.100000000000001" customHeight="1" thickBot="1">
      <c r="A6439" s="110"/>
      <c r="B6439" s="27" t="s">
        <v>83</v>
      </c>
      <c r="C6439" s="27">
        <v>31002</v>
      </c>
      <c r="D6439" s="14" t="s">
        <v>2086</v>
      </c>
      <c r="E6439" s="112"/>
      <c r="F6439" s="139" t="s">
        <v>18642</v>
      </c>
      <c r="G6439" s="140"/>
      <c r="H6439" s="141"/>
      <c r="I6439" s="26">
        <v>118393</v>
      </c>
      <c r="J6439" s="117"/>
      <c r="K6439" s="120"/>
      <c r="L6439" s="121"/>
      <c r="M6439" s="120"/>
      <c r="N6439" s="121"/>
      <c r="O6439" s="120"/>
      <c r="P6439" s="121"/>
      <c r="Q6439" s="120"/>
      <c r="R6439" s="121"/>
      <c r="S6439" s="120"/>
      <c r="T6439" s="121"/>
      <c r="U6439" s="120"/>
      <c r="V6439" s="123"/>
      <c r="W6439" s="125"/>
      <c r="X6439" s="142" t="s">
        <v>9685</v>
      </c>
      <c r="Y6439" s="143"/>
      <c r="Z6439" s="143"/>
      <c r="AA6439" s="143"/>
      <c r="AB6439" s="144"/>
      <c r="AC6439" s="16" t="s">
        <v>21</v>
      </c>
      <c r="AD6439" s="17" t="s">
        <v>18720</v>
      </c>
      <c r="AE6439" s="145" t="s">
        <v>1742</v>
      </c>
      <c r="AF6439" s="146"/>
      <c r="AG6439" s="146"/>
      <c r="AH6439" s="146"/>
      <c r="AI6439" s="147"/>
      <c r="AJ6439" s="148"/>
      <c r="AK6439" s="143"/>
      <c r="AL6439" s="144"/>
      <c r="AM6439" s="22"/>
      <c r="AN6439" s="149" t="s">
        <v>2511</v>
      </c>
      <c r="AO6439" s="144"/>
      <c r="AP6439" s="148">
        <v>80069</v>
      </c>
      <c r="AQ6439" s="144"/>
      <c r="AR6439" s="120"/>
      <c r="AS6439" s="121"/>
      <c r="AT6439" s="120"/>
      <c r="AU6439" s="121"/>
      <c r="AV6439" s="120"/>
      <c r="AW6439" s="121"/>
      <c r="AX6439" s="120"/>
      <c r="AY6439" s="121"/>
      <c r="AZ6439" s="138"/>
    </row>
    <row r="6440" spans="1:52" ht="17.100000000000001" customHeight="1" thickTop="1">
      <c r="A6440" s="109" t="s">
        <v>18636</v>
      </c>
      <c r="B6440" s="28">
        <v>46076</v>
      </c>
      <c r="C6440" s="25">
        <v>2082</v>
      </c>
      <c r="D6440" s="13" t="s">
        <v>2914</v>
      </c>
      <c r="E6440" s="111"/>
      <c r="F6440" s="113" t="s">
        <v>18643</v>
      </c>
      <c r="G6440" s="114"/>
      <c r="H6440" s="115"/>
      <c r="I6440" s="24" t="s">
        <v>2064</v>
      </c>
      <c r="J6440" s="116">
        <v>4.5</v>
      </c>
      <c r="K6440" s="118">
        <v>2410000</v>
      </c>
      <c r="L6440" s="119"/>
      <c r="M6440" s="118">
        <f t="shared" ref="M6440" si="8807">K6440*0.1</f>
        <v>241000</v>
      </c>
      <c r="N6440" s="119"/>
      <c r="O6440" s="118">
        <f>3200+320</f>
        <v>3520</v>
      </c>
      <c r="P6440" s="119"/>
      <c r="Q6440" s="118">
        <v>22420</v>
      </c>
      <c r="R6440" s="119"/>
      <c r="S6440" s="118">
        <v>11000</v>
      </c>
      <c r="T6440" s="119"/>
      <c r="U6440" s="118">
        <f t="shared" ref="U6440" si="8808">SUM(K6440:T6441)</f>
        <v>2687940</v>
      </c>
      <c r="V6440" s="122"/>
      <c r="W6440" s="124"/>
      <c r="X6440" s="126" t="s">
        <v>18645</v>
      </c>
      <c r="Y6440" s="127"/>
      <c r="Z6440" s="127"/>
      <c r="AA6440" s="127"/>
      <c r="AB6440" s="128"/>
      <c r="AC6440" s="15" t="s">
        <v>20</v>
      </c>
      <c r="AD6440" s="129" t="s">
        <v>171</v>
      </c>
      <c r="AE6440" s="130"/>
      <c r="AF6440" s="130"/>
      <c r="AG6440" s="130"/>
      <c r="AH6440" s="130"/>
      <c r="AI6440" s="131"/>
      <c r="AJ6440" s="132"/>
      <c r="AK6440" s="127"/>
      <c r="AL6440" s="128"/>
      <c r="AM6440" s="21"/>
      <c r="AN6440" s="133"/>
      <c r="AO6440" s="134"/>
      <c r="AP6440" s="135"/>
      <c r="AQ6440" s="136"/>
      <c r="AR6440" s="118"/>
      <c r="AS6440" s="119"/>
      <c r="AT6440" s="118">
        <f t="shared" ref="AT6440" si="8809">AR6440*0.1</f>
        <v>0</v>
      </c>
      <c r="AU6440" s="119"/>
      <c r="AV6440" s="118"/>
      <c r="AW6440" s="119"/>
      <c r="AX6440" s="118">
        <f t="shared" ref="AX6440" si="8810">SUM(AR6440:AW6440)</f>
        <v>0</v>
      </c>
      <c r="AY6440" s="119"/>
      <c r="AZ6440" s="137"/>
    </row>
    <row r="6441" spans="1:52" ht="17.100000000000001" customHeight="1" thickBot="1">
      <c r="A6441" s="110"/>
      <c r="B6441" s="27" t="s">
        <v>83</v>
      </c>
      <c r="C6441" s="27">
        <v>33501</v>
      </c>
      <c r="D6441" s="14" t="s">
        <v>275</v>
      </c>
      <c r="E6441" s="112"/>
      <c r="F6441" s="139" t="s">
        <v>18644</v>
      </c>
      <c r="G6441" s="140"/>
      <c r="H6441" s="141"/>
      <c r="I6441" s="26">
        <v>59755</v>
      </c>
      <c r="J6441" s="117"/>
      <c r="K6441" s="120"/>
      <c r="L6441" s="121"/>
      <c r="M6441" s="120"/>
      <c r="N6441" s="121"/>
      <c r="O6441" s="120"/>
      <c r="P6441" s="121"/>
      <c r="Q6441" s="120"/>
      <c r="R6441" s="121"/>
      <c r="S6441" s="120"/>
      <c r="T6441" s="121"/>
      <c r="U6441" s="120"/>
      <c r="V6441" s="123"/>
      <c r="W6441" s="125"/>
      <c r="X6441" s="142" t="s">
        <v>18957</v>
      </c>
      <c r="Y6441" s="143"/>
      <c r="Z6441" s="143"/>
      <c r="AA6441" s="143"/>
      <c r="AB6441" s="144"/>
      <c r="AC6441" s="16" t="s">
        <v>21</v>
      </c>
      <c r="AD6441" s="17" t="s">
        <v>18720</v>
      </c>
      <c r="AE6441" s="145" t="s">
        <v>1742</v>
      </c>
      <c r="AF6441" s="146"/>
      <c r="AG6441" s="146"/>
      <c r="AH6441" s="146"/>
      <c r="AI6441" s="147"/>
      <c r="AJ6441" s="148"/>
      <c r="AK6441" s="143"/>
      <c r="AL6441" s="144"/>
      <c r="AM6441" s="22"/>
      <c r="AN6441" s="149"/>
      <c r="AO6441" s="144"/>
      <c r="AP6441" s="148"/>
      <c r="AQ6441" s="144"/>
      <c r="AR6441" s="120"/>
      <c r="AS6441" s="121"/>
      <c r="AT6441" s="120"/>
      <c r="AU6441" s="121"/>
      <c r="AV6441" s="120"/>
      <c r="AW6441" s="121"/>
      <c r="AX6441" s="120"/>
      <c r="AY6441" s="121"/>
      <c r="AZ6441" s="138"/>
    </row>
    <row r="6442" spans="1:52" ht="17.100000000000001" customHeight="1" thickTop="1">
      <c r="A6442" s="109" t="s">
        <v>18637</v>
      </c>
      <c r="B6442" s="28">
        <v>46076</v>
      </c>
      <c r="C6442" s="25">
        <v>2082</v>
      </c>
      <c r="D6442" s="13" t="s">
        <v>2442</v>
      </c>
      <c r="E6442" s="111"/>
      <c r="F6442" s="113" t="s">
        <v>6724</v>
      </c>
      <c r="G6442" s="114"/>
      <c r="H6442" s="115"/>
      <c r="I6442" s="24"/>
      <c r="J6442" s="116">
        <v>3.5</v>
      </c>
      <c r="K6442" s="118">
        <v>783000</v>
      </c>
      <c r="L6442" s="119"/>
      <c r="M6442" s="118">
        <f t="shared" ref="M6442" si="8811">K6442*0.1</f>
        <v>78300</v>
      </c>
      <c r="N6442" s="119"/>
      <c r="O6442" s="118">
        <v>0</v>
      </c>
      <c r="P6442" s="119"/>
      <c r="Q6442" s="118">
        <v>16580</v>
      </c>
      <c r="R6442" s="119"/>
      <c r="S6442" s="118">
        <v>11000</v>
      </c>
      <c r="T6442" s="119"/>
      <c r="U6442" s="118">
        <f t="shared" ref="U6442" si="8812">SUM(K6442:T6443)</f>
        <v>888880</v>
      </c>
      <c r="V6442" s="122"/>
      <c r="W6442" s="124"/>
      <c r="X6442" s="126" t="s">
        <v>18958</v>
      </c>
      <c r="Y6442" s="127"/>
      <c r="Z6442" s="127"/>
      <c r="AA6442" s="127"/>
      <c r="AB6442" s="128"/>
      <c r="AC6442" s="15" t="s">
        <v>20</v>
      </c>
      <c r="AD6442" s="129" t="s">
        <v>171</v>
      </c>
      <c r="AE6442" s="130"/>
      <c r="AF6442" s="130"/>
      <c r="AG6442" s="130"/>
      <c r="AH6442" s="130"/>
      <c r="AI6442" s="131"/>
      <c r="AJ6442" s="132"/>
      <c r="AK6442" s="127"/>
      <c r="AL6442" s="128"/>
      <c r="AM6442" s="21"/>
      <c r="AN6442" s="133">
        <v>46095</v>
      </c>
      <c r="AO6442" s="134"/>
      <c r="AP6442" s="135">
        <v>1292</v>
      </c>
      <c r="AQ6442" s="136"/>
      <c r="AR6442" s="118">
        <v>905000</v>
      </c>
      <c r="AS6442" s="119"/>
      <c r="AT6442" s="118">
        <f t="shared" ref="AT6442" si="8813">AR6442*0.1</f>
        <v>90500</v>
      </c>
      <c r="AU6442" s="119"/>
      <c r="AV6442" s="118">
        <v>16580</v>
      </c>
      <c r="AW6442" s="119"/>
      <c r="AX6442" s="118">
        <f t="shared" ref="AX6442" si="8814">SUM(AR6442:AW6442)</f>
        <v>1012080</v>
      </c>
      <c r="AY6442" s="119"/>
      <c r="AZ6442" s="137">
        <v>46098</v>
      </c>
    </row>
    <row r="6443" spans="1:52" ht="17.100000000000001" customHeight="1" thickBot="1">
      <c r="A6443" s="110"/>
      <c r="B6443" s="27" t="s">
        <v>83</v>
      </c>
      <c r="C6443" s="27">
        <v>34516</v>
      </c>
      <c r="D6443" s="14" t="s">
        <v>1592</v>
      </c>
      <c r="E6443" s="112"/>
      <c r="F6443" s="139" t="s">
        <v>18646</v>
      </c>
      <c r="G6443" s="140"/>
      <c r="H6443" s="141"/>
      <c r="I6443" s="26">
        <v>50084</v>
      </c>
      <c r="J6443" s="117"/>
      <c r="K6443" s="120"/>
      <c r="L6443" s="121"/>
      <c r="M6443" s="120"/>
      <c r="N6443" s="121"/>
      <c r="O6443" s="120"/>
      <c r="P6443" s="121"/>
      <c r="Q6443" s="120"/>
      <c r="R6443" s="121"/>
      <c r="S6443" s="120"/>
      <c r="T6443" s="121"/>
      <c r="U6443" s="120"/>
      <c r="V6443" s="123"/>
      <c r="W6443" s="125"/>
      <c r="X6443" s="142" t="s">
        <v>12708</v>
      </c>
      <c r="Y6443" s="143"/>
      <c r="Z6443" s="143"/>
      <c r="AA6443" s="143"/>
      <c r="AB6443" s="144"/>
      <c r="AC6443" s="16" t="s">
        <v>21</v>
      </c>
      <c r="AD6443" s="17" t="s">
        <v>18720</v>
      </c>
      <c r="AE6443" s="145" t="s">
        <v>19444</v>
      </c>
      <c r="AF6443" s="146"/>
      <c r="AG6443" s="146"/>
      <c r="AH6443" s="146"/>
      <c r="AI6443" s="147"/>
      <c r="AJ6443" s="148"/>
      <c r="AK6443" s="143"/>
      <c r="AL6443" s="144"/>
      <c r="AM6443" s="22"/>
      <c r="AN6443" s="149" t="s">
        <v>2511</v>
      </c>
      <c r="AO6443" s="144"/>
      <c r="AP6443" s="148">
        <v>80070</v>
      </c>
      <c r="AQ6443" s="144"/>
      <c r="AR6443" s="120"/>
      <c r="AS6443" s="121"/>
      <c r="AT6443" s="120"/>
      <c r="AU6443" s="121"/>
      <c r="AV6443" s="120"/>
      <c r="AW6443" s="121"/>
      <c r="AX6443" s="120"/>
      <c r="AY6443" s="121"/>
      <c r="AZ6443" s="138"/>
    </row>
    <row r="6444" spans="1:52" ht="17.100000000000001" customHeight="1" thickTop="1">
      <c r="A6444" s="109" t="s">
        <v>18638</v>
      </c>
      <c r="B6444" s="28">
        <v>46076</v>
      </c>
      <c r="C6444" s="25">
        <v>2082</v>
      </c>
      <c r="D6444" s="13" t="s">
        <v>2458</v>
      </c>
      <c r="E6444" s="111"/>
      <c r="F6444" s="113" t="s">
        <v>18647</v>
      </c>
      <c r="G6444" s="114"/>
      <c r="H6444" s="115"/>
      <c r="I6444" s="24" t="s">
        <v>4096</v>
      </c>
      <c r="J6444" s="116">
        <v>4.5</v>
      </c>
      <c r="K6444" s="118">
        <v>1240000</v>
      </c>
      <c r="L6444" s="119"/>
      <c r="M6444" s="118">
        <f t="shared" ref="M6444" si="8815">K6444*0.1</f>
        <v>124000</v>
      </c>
      <c r="N6444" s="119"/>
      <c r="O6444" s="118">
        <f>2800+280</f>
        <v>3080</v>
      </c>
      <c r="P6444" s="119"/>
      <c r="Q6444" s="118">
        <v>19090</v>
      </c>
      <c r="R6444" s="119"/>
      <c r="S6444" s="118">
        <v>11000</v>
      </c>
      <c r="T6444" s="119"/>
      <c r="U6444" s="118">
        <f t="shared" ref="U6444" si="8816">SUM(K6444:T6445)</f>
        <v>1397170</v>
      </c>
      <c r="V6444" s="122"/>
      <c r="W6444" s="124"/>
      <c r="X6444" s="126" t="s">
        <v>18649</v>
      </c>
      <c r="Y6444" s="127"/>
      <c r="Z6444" s="127"/>
      <c r="AA6444" s="127"/>
      <c r="AB6444" s="128"/>
      <c r="AC6444" s="15" t="s">
        <v>20</v>
      </c>
      <c r="AD6444" s="129" t="s">
        <v>171</v>
      </c>
      <c r="AE6444" s="130"/>
      <c r="AF6444" s="130"/>
      <c r="AG6444" s="130"/>
      <c r="AH6444" s="130"/>
      <c r="AI6444" s="131"/>
      <c r="AJ6444" s="132"/>
      <c r="AK6444" s="127"/>
      <c r="AL6444" s="128"/>
      <c r="AM6444" s="21"/>
      <c r="AN6444" s="133">
        <v>46088</v>
      </c>
      <c r="AO6444" s="134"/>
      <c r="AP6444" s="135">
        <v>1291</v>
      </c>
      <c r="AQ6444" s="136"/>
      <c r="AR6444" s="118">
        <v>1475000</v>
      </c>
      <c r="AS6444" s="119"/>
      <c r="AT6444" s="118">
        <f t="shared" ref="AT6444" si="8817">AR6444*0.1</f>
        <v>147500</v>
      </c>
      <c r="AU6444" s="119"/>
      <c r="AV6444" s="118">
        <v>19090</v>
      </c>
      <c r="AW6444" s="119"/>
      <c r="AX6444" s="118">
        <f t="shared" ref="AX6444" si="8818">SUM(AR6444:AW6444)</f>
        <v>1641590</v>
      </c>
      <c r="AY6444" s="119"/>
      <c r="AZ6444" s="137">
        <v>46091</v>
      </c>
    </row>
    <row r="6445" spans="1:52" ht="17.100000000000001" customHeight="1" thickBot="1">
      <c r="A6445" s="110"/>
      <c r="B6445" s="27" t="s">
        <v>83</v>
      </c>
      <c r="C6445" s="27">
        <v>34521</v>
      </c>
      <c r="D6445" s="14" t="s">
        <v>133</v>
      </c>
      <c r="E6445" s="112"/>
      <c r="F6445" s="139" t="s">
        <v>18648</v>
      </c>
      <c r="G6445" s="140"/>
      <c r="H6445" s="141"/>
      <c r="I6445" s="26">
        <v>31728</v>
      </c>
      <c r="J6445" s="117"/>
      <c r="K6445" s="120"/>
      <c r="L6445" s="121"/>
      <c r="M6445" s="120"/>
      <c r="N6445" s="121"/>
      <c r="O6445" s="120"/>
      <c r="P6445" s="121"/>
      <c r="Q6445" s="120"/>
      <c r="R6445" s="121"/>
      <c r="S6445" s="120"/>
      <c r="T6445" s="121"/>
      <c r="U6445" s="120"/>
      <c r="V6445" s="123"/>
      <c r="W6445" s="125"/>
      <c r="X6445" s="142" t="s">
        <v>15773</v>
      </c>
      <c r="Y6445" s="143"/>
      <c r="Z6445" s="143"/>
      <c r="AA6445" s="143"/>
      <c r="AB6445" s="144"/>
      <c r="AC6445" s="16" t="s">
        <v>21</v>
      </c>
      <c r="AD6445" s="17" t="s">
        <v>2353</v>
      </c>
      <c r="AE6445" s="145" t="s">
        <v>1742</v>
      </c>
      <c r="AF6445" s="146"/>
      <c r="AG6445" s="146"/>
      <c r="AH6445" s="146"/>
      <c r="AI6445" s="147"/>
      <c r="AJ6445" s="148"/>
      <c r="AK6445" s="143"/>
      <c r="AL6445" s="144"/>
      <c r="AM6445" s="22"/>
      <c r="AN6445" s="149" t="s">
        <v>2511</v>
      </c>
      <c r="AO6445" s="144"/>
      <c r="AP6445" s="148">
        <v>80045</v>
      </c>
      <c r="AQ6445" s="144"/>
      <c r="AR6445" s="120"/>
      <c r="AS6445" s="121"/>
      <c r="AT6445" s="120"/>
      <c r="AU6445" s="121"/>
      <c r="AV6445" s="120"/>
      <c r="AW6445" s="121"/>
      <c r="AX6445" s="120"/>
      <c r="AY6445" s="121"/>
      <c r="AZ6445" s="138"/>
    </row>
    <row r="6446" spans="1:52" ht="17.100000000000001" customHeight="1" thickTop="1">
      <c r="A6446" s="109" t="s">
        <v>18639</v>
      </c>
      <c r="B6446" s="28">
        <v>46076</v>
      </c>
      <c r="C6446" s="25">
        <v>2082</v>
      </c>
      <c r="D6446" s="13" t="s">
        <v>2322</v>
      </c>
      <c r="E6446" s="111"/>
      <c r="F6446" s="113" t="s">
        <v>3221</v>
      </c>
      <c r="G6446" s="114"/>
      <c r="H6446" s="115"/>
      <c r="I6446" s="24" t="s">
        <v>3509</v>
      </c>
      <c r="J6446" s="116">
        <v>4.5</v>
      </c>
      <c r="K6446" s="118">
        <v>1090000</v>
      </c>
      <c r="L6446" s="119"/>
      <c r="M6446" s="118">
        <f t="shared" ref="M6446" si="8819">K6446*0.1</f>
        <v>109000</v>
      </c>
      <c r="N6446" s="119"/>
      <c r="O6446" s="118">
        <f>3200+320</f>
        <v>3520</v>
      </c>
      <c r="P6446" s="119"/>
      <c r="Q6446" s="118">
        <v>19090</v>
      </c>
      <c r="R6446" s="119"/>
      <c r="S6446" s="118">
        <v>11000</v>
      </c>
      <c r="T6446" s="119"/>
      <c r="U6446" s="118">
        <f t="shared" ref="U6446" si="8820">SUM(K6446:T6447)</f>
        <v>1232610</v>
      </c>
      <c r="V6446" s="122"/>
      <c r="W6446" s="124"/>
      <c r="X6446" s="126" t="s">
        <v>18652</v>
      </c>
      <c r="Y6446" s="127"/>
      <c r="Z6446" s="127"/>
      <c r="AA6446" s="127"/>
      <c r="AB6446" s="128"/>
      <c r="AC6446" s="15" t="s">
        <v>20</v>
      </c>
      <c r="AD6446" s="129" t="s">
        <v>171</v>
      </c>
      <c r="AE6446" s="130"/>
      <c r="AF6446" s="130"/>
      <c r="AG6446" s="130"/>
      <c r="AH6446" s="130"/>
      <c r="AI6446" s="131"/>
      <c r="AJ6446" s="132"/>
      <c r="AK6446" s="127"/>
      <c r="AL6446" s="128"/>
      <c r="AM6446" s="21"/>
      <c r="AN6446" s="133">
        <v>46088</v>
      </c>
      <c r="AO6446" s="134"/>
      <c r="AP6446" s="135">
        <v>1291</v>
      </c>
      <c r="AQ6446" s="136"/>
      <c r="AR6446" s="118">
        <v>1245000</v>
      </c>
      <c r="AS6446" s="119"/>
      <c r="AT6446" s="118">
        <f t="shared" ref="AT6446" si="8821">AR6446*0.1</f>
        <v>124500</v>
      </c>
      <c r="AU6446" s="119"/>
      <c r="AV6446" s="118">
        <v>19090</v>
      </c>
      <c r="AW6446" s="119"/>
      <c r="AX6446" s="118">
        <f t="shared" ref="AX6446" si="8822">SUM(AR6446:AW6446)</f>
        <v>1388590</v>
      </c>
      <c r="AY6446" s="119"/>
      <c r="AZ6446" s="137">
        <v>46091</v>
      </c>
    </row>
    <row r="6447" spans="1:52" ht="17.100000000000001" customHeight="1" thickBot="1">
      <c r="A6447" s="110"/>
      <c r="B6447" s="27" t="s">
        <v>83</v>
      </c>
      <c r="C6447" s="27">
        <v>34522</v>
      </c>
      <c r="D6447" s="14" t="s">
        <v>18650</v>
      </c>
      <c r="E6447" s="112"/>
      <c r="F6447" s="139" t="s">
        <v>18651</v>
      </c>
      <c r="G6447" s="140"/>
      <c r="H6447" s="141"/>
      <c r="I6447" s="26">
        <v>77098</v>
      </c>
      <c r="J6447" s="117"/>
      <c r="K6447" s="120"/>
      <c r="L6447" s="121"/>
      <c r="M6447" s="120"/>
      <c r="N6447" s="121"/>
      <c r="O6447" s="120"/>
      <c r="P6447" s="121"/>
      <c r="Q6447" s="120"/>
      <c r="R6447" s="121"/>
      <c r="S6447" s="120"/>
      <c r="T6447" s="121"/>
      <c r="U6447" s="120"/>
      <c r="V6447" s="123"/>
      <c r="W6447" s="125"/>
      <c r="X6447" s="142" t="s">
        <v>15773</v>
      </c>
      <c r="Y6447" s="143"/>
      <c r="Z6447" s="143"/>
      <c r="AA6447" s="143"/>
      <c r="AB6447" s="144"/>
      <c r="AC6447" s="16" t="s">
        <v>21</v>
      </c>
      <c r="AD6447" s="17" t="s">
        <v>2353</v>
      </c>
      <c r="AE6447" s="145" t="s">
        <v>1742</v>
      </c>
      <c r="AF6447" s="146"/>
      <c r="AG6447" s="146"/>
      <c r="AH6447" s="146"/>
      <c r="AI6447" s="147"/>
      <c r="AJ6447" s="148"/>
      <c r="AK6447" s="143"/>
      <c r="AL6447" s="144"/>
      <c r="AM6447" s="22"/>
      <c r="AN6447" s="149" t="s">
        <v>2511</v>
      </c>
      <c r="AO6447" s="144"/>
      <c r="AP6447" s="148">
        <v>80061</v>
      </c>
      <c r="AQ6447" s="144"/>
      <c r="AR6447" s="120"/>
      <c r="AS6447" s="121"/>
      <c r="AT6447" s="120"/>
      <c r="AU6447" s="121"/>
      <c r="AV6447" s="120"/>
      <c r="AW6447" s="121"/>
      <c r="AX6447" s="120"/>
      <c r="AY6447" s="121"/>
      <c r="AZ6447" s="138"/>
    </row>
    <row r="6448" spans="1:52" ht="17.100000000000001" customHeight="1" thickTop="1">
      <c r="A6448" s="109" t="s">
        <v>18640</v>
      </c>
      <c r="B6448" s="28">
        <v>46076</v>
      </c>
      <c r="C6448" s="25">
        <v>2082</v>
      </c>
      <c r="D6448" s="13" t="s">
        <v>7328</v>
      </c>
      <c r="E6448" s="111"/>
      <c r="F6448" s="113" t="s">
        <v>18653</v>
      </c>
      <c r="G6448" s="114"/>
      <c r="H6448" s="115"/>
      <c r="I6448" s="24"/>
      <c r="J6448" s="116">
        <v>4</v>
      </c>
      <c r="K6448" s="118">
        <v>277000</v>
      </c>
      <c r="L6448" s="119"/>
      <c r="M6448" s="118">
        <f t="shared" ref="M6448" si="8823">K6448*0.1</f>
        <v>27700</v>
      </c>
      <c r="N6448" s="119"/>
      <c r="O6448" s="118">
        <v>0</v>
      </c>
      <c r="P6448" s="119"/>
      <c r="Q6448" s="118">
        <v>16100</v>
      </c>
      <c r="R6448" s="119"/>
      <c r="S6448" s="118">
        <v>11000</v>
      </c>
      <c r="T6448" s="119"/>
      <c r="U6448" s="118">
        <f t="shared" ref="U6448" si="8824">SUM(K6448:T6449)</f>
        <v>331800</v>
      </c>
      <c r="V6448" s="122"/>
      <c r="W6448" s="124"/>
      <c r="X6448" s="126" t="s">
        <v>18956</v>
      </c>
      <c r="Y6448" s="127"/>
      <c r="Z6448" s="127"/>
      <c r="AA6448" s="127"/>
      <c r="AB6448" s="128"/>
      <c r="AC6448" s="15" t="s">
        <v>20</v>
      </c>
      <c r="AD6448" s="129"/>
      <c r="AE6448" s="130"/>
      <c r="AF6448" s="130"/>
      <c r="AG6448" s="130"/>
      <c r="AH6448" s="130"/>
      <c r="AI6448" s="131"/>
      <c r="AJ6448" s="132"/>
      <c r="AK6448" s="127"/>
      <c r="AL6448" s="128"/>
      <c r="AM6448" s="21"/>
      <c r="AN6448" s="133"/>
      <c r="AO6448" s="134"/>
      <c r="AP6448" s="135"/>
      <c r="AQ6448" s="136"/>
      <c r="AR6448" s="118"/>
      <c r="AS6448" s="119"/>
      <c r="AT6448" s="118">
        <f t="shared" ref="AT6448" si="8825">AR6448*0.1</f>
        <v>0</v>
      </c>
      <c r="AU6448" s="119"/>
      <c r="AV6448" s="118"/>
      <c r="AW6448" s="119"/>
      <c r="AX6448" s="118">
        <f t="shared" ref="AX6448" si="8826">SUM(AR6448:AW6448)</f>
        <v>0</v>
      </c>
      <c r="AY6448" s="119"/>
      <c r="AZ6448" s="137"/>
    </row>
    <row r="6449" spans="1:52" ht="17.100000000000001" customHeight="1" thickBot="1">
      <c r="A6449" s="110"/>
      <c r="B6449" s="27" t="s">
        <v>83</v>
      </c>
      <c r="C6449" s="27">
        <v>34531</v>
      </c>
      <c r="D6449" s="14" t="s">
        <v>1720</v>
      </c>
      <c r="E6449" s="112"/>
      <c r="F6449" s="139" t="s">
        <v>18654</v>
      </c>
      <c r="G6449" s="140"/>
      <c r="H6449" s="141"/>
      <c r="I6449" s="26">
        <v>53044</v>
      </c>
      <c r="J6449" s="117"/>
      <c r="K6449" s="120"/>
      <c r="L6449" s="121"/>
      <c r="M6449" s="120"/>
      <c r="N6449" s="121"/>
      <c r="O6449" s="120"/>
      <c r="P6449" s="121"/>
      <c r="Q6449" s="120"/>
      <c r="R6449" s="121"/>
      <c r="S6449" s="120"/>
      <c r="T6449" s="121"/>
      <c r="U6449" s="120"/>
      <c r="V6449" s="123"/>
      <c r="W6449" s="125"/>
      <c r="X6449" s="142" t="s">
        <v>293</v>
      </c>
      <c r="Y6449" s="143"/>
      <c r="Z6449" s="143"/>
      <c r="AA6449" s="143"/>
      <c r="AB6449" s="144"/>
      <c r="AC6449" s="16" t="s">
        <v>21</v>
      </c>
      <c r="AD6449" s="17" t="s">
        <v>18720</v>
      </c>
      <c r="AE6449" s="145"/>
      <c r="AF6449" s="146"/>
      <c r="AG6449" s="146"/>
      <c r="AH6449" s="146"/>
      <c r="AI6449" s="147"/>
      <c r="AJ6449" s="148"/>
      <c r="AK6449" s="143"/>
      <c r="AL6449" s="144"/>
      <c r="AM6449" s="22"/>
      <c r="AN6449" s="149"/>
      <c r="AO6449" s="144"/>
      <c r="AP6449" s="148"/>
      <c r="AQ6449" s="144"/>
      <c r="AR6449" s="120"/>
      <c r="AS6449" s="121"/>
      <c r="AT6449" s="120"/>
      <c r="AU6449" s="121"/>
      <c r="AV6449" s="120"/>
      <c r="AW6449" s="121"/>
      <c r="AX6449" s="120"/>
      <c r="AY6449" s="121"/>
      <c r="AZ6449" s="138"/>
    </row>
    <row r="6450" spans="1:52" ht="17.100000000000001" customHeight="1" thickTop="1">
      <c r="A6450" s="109" t="s">
        <v>18656</v>
      </c>
      <c r="B6450" s="28">
        <v>46077</v>
      </c>
      <c r="C6450" s="25">
        <v>1082</v>
      </c>
      <c r="D6450" s="13" t="s">
        <v>2963</v>
      </c>
      <c r="E6450" s="111"/>
      <c r="F6450" s="113" t="s">
        <v>18668</v>
      </c>
      <c r="G6450" s="114"/>
      <c r="H6450" s="115"/>
      <c r="I6450" s="24" t="s">
        <v>12624</v>
      </c>
      <c r="J6450" s="116">
        <v>4</v>
      </c>
      <c r="K6450" s="118">
        <v>2295000</v>
      </c>
      <c r="L6450" s="119"/>
      <c r="M6450" s="118">
        <f t="shared" ref="M6450" si="8827">K6450*0.1</f>
        <v>229500</v>
      </c>
      <c r="N6450" s="119"/>
      <c r="O6450" s="118">
        <v>3300</v>
      </c>
      <c r="P6450" s="119"/>
      <c r="Q6450" s="118">
        <v>18170</v>
      </c>
      <c r="R6450" s="119"/>
      <c r="S6450" s="118">
        <v>16500</v>
      </c>
      <c r="T6450" s="119"/>
      <c r="U6450" s="118">
        <f t="shared" ref="U6450" si="8828">SUM(K6450:T6451)</f>
        <v>2562470</v>
      </c>
      <c r="V6450" s="122"/>
      <c r="W6450" s="124"/>
      <c r="X6450" s="126" t="s">
        <v>18671</v>
      </c>
      <c r="Y6450" s="127"/>
      <c r="Z6450" s="127"/>
      <c r="AA6450" s="127"/>
      <c r="AB6450" s="128"/>
      <c r="AC6450" s="15" t="s">
        <v>20</v>
      </c>
      <c r="AD6450" s="129"/>
      <c r="AE6450" s="130"/>
      <c r="AF6450" s="130"/>
      <c r="AG6450" s="130"/>
      <c r="AH6450" s="130"/>
      <c r="AI6450" s="131"/>
      <c r="AJ6450" s="132"/>
      <c r="AK6450" s="127"/>
      <c r="AL6450" s="128"/>
      <c r="AM6450" s="21"/>
      <c r="AN6450" s="133">
        <v>46081</v>
      </c>
      <c r="AO6450" s="134"/>
      <c r="AP6450" s="135">
        <v>1290</v>
      </c>
      <c r="AQ6450" s="136"/>
      <c r="AR6450" s="118">
        <v>2520000</v>
      </c>
      <c r="AS6450" s="119"/>
      <c r="AT6450" s="118">
        <f t="shared" ref="AT6450" si="8829">AR6450*0.1</f>
        <v>252000</v>
      </c>
      <c r="AU6450" s="119"/>
      <c r="AV6450" s="118">
        <v>18170</v>
      </c>
      <c r="AW6450" s="119"/>
      <c r="AX6450" s="118">
        <f t="shared" ref="AX6450" si="8830">SUM(AR6450:AW6450)</f>
        <v>2790170</v>
      </c>
      <c r="AY6450" s="119"/>
      <c r="AZ6450" s="137">
        <v>46084</v>
      </c>
    </row>
    <row r="6451" spans="1:52" ht="17.100000000000001" customHeight="1" thickBot="1">
      <c r="A6451" s="110"/>
      <c r="B6451" s="27" t="s">
        <v>18667</v>
      </c>
      <c r="C6451" s="27">
        <v>82007</v>
      </c>
      <c r="D6451" s="14" t="s">
        <v>1700</v>
      </c>
      <c r="E6451" s="112"/>
      <c r="F6451" s="139" t="s">
        <v>18670</v>
      </c>
      <c r="G6451" s="140"/>
      <c r="H6451" s="141"/>
      <c r="I6451" s="26">
        <v>24100</v>
      </c>
      <c r="J6451" s="117"/>
      <c r="K6451" s="120"/>
      <c r="L6451" s="121"/>
      <c r="M6451" s="120"/>
      <c r="N6451" s="121"/>
      <c r="O6451" s="120"/>
      <c r="P6451" s="121"/>
      <c r="Q6451" s="120"/>
      <c r="R6451" s="121"/>
      <c r="S6451" s="120"/>
      <c r="T6451" s="121"/>
      <c r="U6451" s="120"/>
      <c r="V6451" s="123"/>
      <c r="W6451" s="125"/>
      <c r="X6451" s="142" t="s">
        <v>5285</v>
      </c>
      <c r="Y6451" s="143"/>
      <c r="Z6451" s="143"/>
      <c r="AA6451" s="143"/>
      <c r="AB6451" s="144"/>
      <c r="AC6451" s="16" t="s">
        <v>21</v>
      </c>
      <c r="AD6451" s="17" t="s">
        <v>2353</v>
      </c>
      <c r="AE6451" s="145"/>
      <c r="AF6451" s="146"/>
      <c r="AG6451" s="146"/>
      <c r="AH6451" s="146"/>
      <c r="AI6451" s="147"/>
      <c r="AJ6451" s="148"/>
      <c r="AK6451" s="143"/>
      <c r="AL6451" s="144"/>
      <c r="AM6451" s="22"/>
      <c r="AN6451" s="149" t="s">
        <v>2511</v>
      </c>
      <c r="AO6451" s="144"/>
      <c r="AP6451" s="148">
        <v>80344</v>
      </c>
      <c r="AQ6451" s="144"/>
      <c r="AR6451" s="120"/>
      <c r="AS6451" s="121"/>
      <c r="AT6451" s="120"/>
      <c r="AU6451" s="121"/>
      <c r="AV6451" s="120"/>
      <c r="AW6451" s="121"/>
      <c r="AX6451" s="120"/>
      <c r="AY6451" s="121"/>
      <c r="AZ6451" s="138"/>
    </row>
    <row r="6452" spans="1:52" ht="17.100000000000001" customHeight="1" thickTop="1">
      <c r="A6452" s="109" t="s">
        <v>18657</v>
      </c>
      <c r="B6452" s="28">
        <v>46077</v>
      </c>
      <c r="C6452" s="25">
        <v>1082</v>
      </c>
      <c r="D6452" s="13" t="s">
        <v>2359</v>
      </c>
      <c r="E6452" s="111"/>
      <c r="F6452" s="113" t="s">
        <v>18672</v>
      </c>
      <c r="G6452" s="114"/>
      <c r="H6452" s="115"/>
      <c r="I6452" s="24"/>
      <c r="J6452" s="116">
        <v>4.5</v>
      </c>
      <c r="K6452" s="118">
        <v>2835000</v>
      </c>
      <c r="L6452" s="119"/>
      <c r="M6452" s="118">
        <f t="shared" ref="M6452" si="8831">K6452*0.1</f>
        <v>283500</v>
      </c>
      <c r="N6452" s="119"/>
      <c r="O6452" s="118">
        <v>0</v>
      </c>
      <c r="P6452" s="119"/>
      <c r="Q6452" s="118">
        <v>21750</v>
      </c>
      <c r="R6452" s="119"/>
      <c r="S6452" s="118">
        <v>16500</v>
      </c>
      <c r="T6452" s="119"/>
      <c r="U6452" s="118">
        <f t="shared" ref="U6452" si="8832">SUM(K6452:T6453)</f>
        <v>3156750</v>
      </c>
      <c r="V6452" s="122"/>
      <c r="W6452" s="124"/>
      <c r="X6452" s="126" t="s">
        <v>19232</v>
      </c>
      <c r="Y6452" s="127"/>
      <c r="Z6452" s="127"/>
      <c r="AA6452" s="127"/>
      <c r="AB6452" s="128"/>
      <c r="AC6452" s="15" t="s">
        <v>20</v>
      </c>
      <c r="AD6452" s="129" t="s">
        <v>7231</v>
      </c>
      <c r="AE6452" s="130"/>
      <c r="AF6452" s="130"/>
      <c r="AG6452" s="130"/>
      <c r="AH6452" s="130"/>
      <c r="AI6452" s="131"/>
      <c r="AJ6452" s="132"/>
      <c r="AK6452" s="127"/>
      <c r="AL6452" s="128"/>
      <c r="AM6452" s="21"/>
      <c r="AN6452" s="133">
        <v>46081</v>
      </c>
      <c r="AO6452" s="134"/>
      <c r="AP6452" s="135">
        <v>1290</v>
      </c>
      <c r="AQ6452" s="136"/>
      <c r="AR6452" s="118">
        <v>3000000</v>
      </c>
      <c r="AS6452" s="119"/>
      <c r="AT6452" s="118">
        <f t="shared" ref="AT6452" si="8833">AR6452*0.1</f>
        <v>300000</v>
      </c>
      <c r="AU6452" s="119"/>
      <c r="AV6452" s="118">
        <v>21750</v>
      </c>
      <c r="AW6452" s="119"/>
      <c r="AX6452" s="118">
        <f t="shared" ref="AX6452" si="8834">SUM(AR6452:AW6452)</f>
        <v>3321750</v>
      </c>
      <c r="AY6452" s="119"/>
      <c r="AZ6452" s="137">
        <v>46086</v>
      </c>
    </row>
    <row r="6453" spans="1:52" ht="17.100000000000001" customHeight="1" thickBot="1">
      <c r="A6453" s="110"/>
      <c r="B6453" s="27" t="s">
        <v>18667</v>
      </c>
      <c r="C6453" s="27">
        <v>82140</v>
      </c>
      <c r="D6453" s="14" t="s">
        <v>1720</v>
      </c>
      <c r="E6453" s="112"/>
      <c r="F6453" s="139" t="s">
        <v>18673</v>
      </c>
      <c r="G6453" s="140"/>
      <c r="H6453" s="141"/>
      <c r="I6453" s="26">
        <v>64033</v>
      </c>
      <c r="J6453" s="117"/>
      <c r="K6453" s="120"/>
      <c r="L6453" s="121"/>
      <c r="M6453" s="120"/>
      <c r="N6453" s="121"/>
      <c r="O6453" s="120"/>
      <c r="P6453" s="121"/>
      <c r="Q6453" s="120"/>
      <c r="R6453" s="121"/>
      <c r="S6453" s="120"/>
      <c r="T6453" s="121"/>
      <c r="U6453" s="120"/>
      <c r="V6453" s="123"/>
      <c r="W6453" s="125"/>
      <c r="X6453" s="142" t="s">
        <v>3513</v>
      </c>
      <c r="Y6453" s="143"/>
      <c r="Z6453" s="143"/>
      <c r="AA6453" s="143"/>
      <c r="AB6453" s="144"/>
      <c r="AC6453" s="16" t="s">
        <v>21</v>
      </c>
      <c r="AD6453" s="17" t="s">
        <v>1714</v>
      </c>
      <c r="AE6453" s="145" t="s">
        <v>1614</v>
      </c>
      <c r="AF6453" s="146"/>
      <c r="AG6453" s="146"/>
      <c r="AH6453" s="146"/>
      <c r="AI6453" s="147"/>
      <c r="AJ6453" s="148"/>
      <c r="AK6453" s="143"/>
      <c r="AL6453" s="144"/>
      <c r="AM6453" s="22"/>
      <c r="AN6453" s="149" t="s">
        <v>2511</v>
      </c>
      <c r="AO6453" s="144"/>
      <c r="AP6453" s="148">
        <v>80137</v>
      </c>
      <c r="AQ6453" s="144"/>
      <c r="AR6453" s="120"/>
      <c r="AS6453" s="121"/>
      <c r="AT6453" s="120"/>
      <c r="AU6453" s="121"/>
      <c r="AV6453" s="120"/>
      <c r="AW6453" s="121"/>
      <c r="AX6453" s="120"/>
      <c r="AY6453" s="121"/>
      <c r="AZ6453" s="138"/>
    </row>
    <row r="6454" spans="1:52" ht="17.100000000000001" customHeight="1" thickTop="1">
      <c r="A6454" s="109" t="s">
        <v>18658</v>
      </c>
      <c r="B6454" s="28">
        <v>46077</v>
      </c>
      <c r="C6454" s="25">
        <v>1082</v>
      </c>
      <c r="D6454" s="13" t="s">
        <v>2859</v>
      </c>
      <c r="E6454" s="111"/>
      <c r="F6454" s="113" t="s">
        <v>18669</v>
      </c>
      <c r="G6454" s="114"/>
      <c r="H6454" s="115"/>
      <c r="I6454" s="24"/>
      <c r="J6454" s="116">
        <v>4</v>
      </c>
      <c r="K6454" s="118">
        <v>590000</v>
      </c>
      <c r="L6454" s="119"/>
      <c r="M6454" s="118">
        <f t="shared" ref="M6454" si="8835">K6454*0.1</f>
        <v>59000</v>
      </c>
      <c r="N6454" s="119"/>
      <c r="O6454" s="118">
        <v>0</v>
      </c>
      <c r="P6454" s="119"/>
      <c r="Q6454" s="118">
        <v>19120</v>
      </c>
      <c r="R6454" s="119"/>
      <c r="S6454" s="118">
        <v>16500</v>
      </c>
      <c r="T6454" s="119"/>
      <c r="U6454" s="118">
        <f t="shared" ref="U6454" si="8836">SUM(K6454:T6455)</f>
        <v>684620</v>
      </c>
      <c r="V6454" s="122"/>
      <c r="W6454" s="124"/>
      <c r="X6454" s="126" t="s">
        <v>19735</v>
      </c>
      <c r="Y6454" s="127"/>
      <c r="Z6454" s="127"/>
      <c r="AA6454" s="127"/>
      <c r="AB6454" s="128"/>
      <c r="AC6454" s="15" t="s">
        <v>20</v>
      </c>
      <c r="AD6454" s="129" t="s">
        <v>1670</v>
      </c>
      <c r="AE6454" s="130"/>
      <c r="AF6454" s="130"/>
      <c r="AG6454" s="130"/>
      <c r="AH6454" s="130"/>
      <c r="AI6454" s="131"/>
      <c r="AJ6454" s="132"/>
      <c r="AK6454" s="127"/>
      <c r="AL6454" s="128"/>
      <c r="AM6454" s="21"/>
      <c r="AN6454" s="133">
        <v>46088</v>
      </c>
      <c r="AO6454" s="134"/>
      <c r="AP6454" s="135">
        <v>1291</v>
      </c>
      <c r="AQ6454" s="136"/>
      <c r="AR6454" s="118">
        <v>700000</v>
      </c>
      <c r="AS6454" s="119"/>
      <c r="AT6454" s="118">
        <f t="shared" ref="AT6454" si="8837">AR6454*0.1</f>
        <v>70000</v>
      </c>
      <c r="AU6454" s="119"/>
      <c r="AV6454" s="118">
        <v>19120</v>
      </c>
      <c r="AW6454" s="119"/>
      <c r="AX6454" s="118">
        <f t="shared" ref="AX6454" si="8838">SUM(AR6454:AW6454)</f>
        <v>789120</v>
      </c>
      <c r="AY6454" s="119"/>
      <c r="AZ6454" s="137">
        <v>46091</v>
      </c>
    </row>
    <row r="6455" spans="1:52" ht="17.100000000000001" customHeight="1" thickBot="1">
      <c r="A6455" s="110"/>
      <c r="B6455" s="27" t="s">
        <v>18667</v>
      </c>
      <c r="C6455" s="27">
        <v>84194</v>
      </c>
      <c r="D6455" s="14" t="s">
        <v>1720</v>
      </c>
      <c r="E6455" s="112"/>
      <c r="F6455" s="139" t="s">
        <v>18674</v>
      </c>
      <c r="G6455" s="140"/>
      <c r="H6455" s="141"/>
      <c r="I6455" s="26">
        <v>64703</v>
      </c>
      <c r="J6455" s="117"/>
      <c r="K6455" s="120"/>
      <c r="L6455" s="121"/>
      <c r="M6455" s="120"/>
      <c r="N6455" s="121"/>
      <c r="O6455" s="120"/>
      <c r="P6455" s="121"/>
      <c r="Q6455" s="120"/>
      <c r="R6455" s="121"/>
      <c r="S6455" s="120"/>
      <c r="T6455" s="121"/>
      <c r="U6455" s="120"/>
      <c r="V6455" s="123"/>
      <c r="W6455" s="125"/>
      <c r="X6455" s="142" t="s">
        <v>19736</v>
      </c>
      <c r="Y6455" s="143"/>
      <c r="Z6455" s="143"/>
      <c r="AA6455" s="143"/>
      <c r="AB6455" s="144"/>
      <c r="AC6455" s="16" t="s">
        <v>21</v>
      </c>
      <c r="AD6455" s="17" t="s">
        <v>2689</v>
      </c>
      <c r="AE6455" s="145" t="s">
        <v>19737</v>
      </c>
      <c r="AF6455" s="146"/>
      <c r="AG6455" s="146"/>
      <c r="AH6455" s="146"/>
      <c r="AI6455" s="147"/>
      <c r="AJ6455" s="148"/>
      <c r="AK6455" s="143"/>
      <c r="AL6455" s="144"/>
      <c r="AM6455" s="22"/>
      <c r="AN6455" s="149" t="s">
        <v>2511</v>
      </c>
      <c r="AO6455" s="144"/>
      <c r="AP6455" s="148">
        <v>80111</v>
      </c>
      <c r="AQ6455" s="144"/>
      <c r="AR6455" s="120"/>
      <c r="AS6455" s="121"/>
      <c r="AT6455" s="120"/>
      <c r="AU6455" s="121"/>
      <c r="AV6455" s="120"/>
      <c r="AW6455" s="121"/>
      <c r="AX6455" s="120"/>
      <c r="AY6455" s="121"/>
      <c r="AZ6455" s="138"/>
    </row>
    <row r="6456" spans="1:52" ht="17.100000000000001" customHeight="1" thickTop="1">
      <c r="A6456" s="109" t="s">
        <v>18659</v>
      </c>
      <c r="B6456" s="28">
        <v>46077</v>
      </c>
      <c r="C6456" s="25">
        <v>1930</v>
      </c>
      <c r="D6456" s="13" t="s">
        <v>1845</v>
      </c>
      <c r="E6456" s="111"/>
      <c r="F6456" s="113" t="s">
        <v>18675</v>
      </c>
      <c r="G6456" s="114"/>
      <c r="H6456" s="115"/>
      <c r="I6456" s="24" t="s">
        <v>4390</v>
      </c>
      <c r="J6456" s="116">
        <v>4</v>
      </c>
      <c r="K6456" s="118">
        <v>828000</v>
      </c>
      <c r="L6456" s="119"/>
      <c r="M6456" s="118">
        <f t="shared" ref="M6456" si="8839">K6456*0.1</f>
        <v>82800</v>
      </c>
      <c r="N6456" s="119"/>
      <c r="O6456" s="118">
        <v>0</v>
      </c>
      <c r="P6456" s="119"/>
      <c r="Q6456" s="118">
        <v>8430</v>
      </c>
      <c r="R6456" s="119"/>
      <c r="S6456" s="118">
        <v>15950</v>
      </c>
      <c r="T6456" s="119"/>
      <c r="U6456" s="118">
        <f t="shared" ref="U6456" si="8840">SUM(K6456:T6457)</f>
        <v>935180</v>
      </c>
      <c r="V6456" s="122"/>
      <c r="W6456" s="124"/>
      <c r="X6456" s="126" t="s">
        <v>18693</v>
      </c>
      <c r="Y6456" s="127"/>
      <c r="Z6456" s="127"/>
      <c r="AA6456" s="127"/>
      <c r="AB6456" s="128"/>
      <c r="AC6456" s="15" t="s">
        <v>20</v>
      </c>
      <c r="AD6456" s="129" t="s">
        <v>18694</v>
      </c>
      <c r="AE6456" s="130"/>
      <c r="AF6456" s="130"/>
      <c r="AG6456" s="130"/>
      <c r="AH6456" s="130"/>
      <c r="AI6456" s="131"/>
      <c r="AJ6456" s="132"/>
      <c r="AK6456" s="127"/>
      <c r="AL6456" s="128"/>
      <c r="AM6456" s="21" t="s">
        <v>20970</v>
      </c>
      <c r="AN6456" s="133">
        <v>46113</v>
      </c>
      <c r="AO6456" s="134"/>
      <c r="AP6456" s="135">
        <v>1011</v>
      </c>
      <c r="AQ6456" s="136"/>
      <c r="AR6456" s="118">
        <v>945000</v>
      </c>
      <c r="AS6456" s="119"/>
      <c r="AT6456" s="118">
        <f t="shared" ref="AT6456" si="8841">AR6456*0.1</f>
        <v>94500</v>
      </c>
      <c r="AU6456" s="119"/>
      <c r="AV6456" s="118">
        <v>8430</v>
      </c>
      <c r="AW6456" s="119"/>
      <c r="AX6456" s="118">
        <f t="shared" ref="AX6456" si="8842">SUM(AR6456:AW6456)</f>
        <v>1047930</v>
      </c>
      <c r="AY6456" s="119"/>
      <c r="AZ6456" s="137">
        <v>46118</v>
      </c>
    </row>
    <row r="6457" spans="1:52" ht="17.100000000000001" customHeight="1" thickBot="1">
      <c r="A6457" s="110"/>
      <c r="B6457" s="27" t="s">
        <v>2131</v>
      </c>
      <c r="C6457" s="27">
        <v>3269</v>
      </c>
      <c r="D6457" s="14" t="s">
        <v>275</v>
      </c>
      <c r="E6457" s="112"/>
      <c r="F6457" s="139" t="s">
        <v>18676</v>
      </c>
      <c r="G6457" s="140"/>
      <c r="H6457" s="141"/>
      <c r="I6457" s="26">
        <v>58917</v>
      </c>
      <c r="J6457" s="117"/>
      <c r="K6457" s="120"/>
      <c r="L6457" s="121"/>
      <c r="M6457" s="120"/>
      <c r="N6457" s="121"/>
      <c r="O6457" s="120"/>
      <c r="P6457" s="121"/>
      <c r="Q6457" s="120"/>
      <c r="R6457" s="121"/>
      <c r="S6457" s="120"/>
      <c r="T6457" s="121"/>
      <c r="U6457" s="120"/>
      <c r="V6457" s="123"/>
      <c r="W6457" s="125"/>
      <c r="X6457" s="142" t="s">
        <v>19215</v>
      </c>
      <c r="Y6457" s="143"/>
      <c r="Z6457" s="143"/>
      <c r="AA6457" s="143"/>
      <c r="AB6457" s="144"/>
      <c r="AC6457" s="16" t="s">
        <v>21</v>
      </c>
      <c r="AD6457" s="17" t="s">
        <v>1714</v>
      </c>
      <c r="AE6457" s="145" t="s">
        <v>19216</v>
      </c>
      <c r="AF6457" s="146"/>
      <c r="AG6457" s="146"/>
      <c r="AH6457" s="146"/>
      <c r="AI6457" s="147"/>
      <c r="AJ6457" s="148"/>
      <c r="AK6457" s="143"/>
      <c r="AL6457" s="144"/>
      <c r="AM6457" s="22"/>
      <c r="AN6457" s="149" t="s">
        <v>2794</v>
      </c>
      <c r="AO6457" s="144"/>
      <c r="AP6457" s="148">
        <v>2068</v>
      </c>
      <c r="AQ6457" s="144"/>
      <c r="AR6457" s="120"/>
      <c r="AS6457" s="121"/>
      <c r="AT6457" s="120"/>
      <c r="AU6457" s="121"/>
      <c r="AV6457" s="120"/>
      <c r="AW6457" s="121"/>
      <c r="AX6457" s="120"/>
      <c r="AY6457" s="121"/>
      <c r="AZ6457" s="138"/>
    </row>
    <row r="6458" spans="1:52" ht="17.100000000000001" customHeight="1" thickTop="1">
      <c r="A6458" s="109" t="s">
        <v>18660</v>
      </c>
      <c r="B6458" s="28">
        <v>46077</v>
      </c>
      <c r="C6458" s="25">
        <v>1930</v>
      </c>
      <c r="D6458" s="13" t="s">
        <v>1714</v>
      </c>
      <c r="E6458" s="111"/>
      <c r="F6458" s="113" t="s">
        <v>18677</v>
      </c>
      <c r="G6458" s="114"/>
      <c r="H6458" s="115"/>
      <c r="I6458" s="24"/>
      <c r="J6458" s="116">
        <v>4.5</v>
      </c>
      <c r="K6458" s="118">
        <v>2286000</v>
      </c>
      <c r="L6458" s="119"/>
      <c r="M6458" s="118">
        <f t="shared" ref="M6458" si="8843">K6458*0.1</f>
        <v>228600</v>
      </c>
      <c r="N6458" s="119"/>
      <c r="O6458" s="118">
        <v>0</v>
      </c>
      <c r="P6458" s="119"/>
      <c r="Q6458" s="118">
        <v>19560</v>
      </c>
      <c r="R6458" s="119"/>
      <c r="S6458" s="118">
        <v>19250</v>
      </c>
      <c r="T6458" s="119"/>
      <c r="U6458" s="118">
        <f t="shared" ref="U6458" si="8844">SUM(K6458:T6459)</f>
        <v>2553410</v>
      </c>
      <c r="V6458" s="122"/>
      <c r="W6458" s="124"/>
      <c r="X6458" s="126" t="s">
        <v>19177</v>
      </c>
      <c r="Y6458" s="127"/>
      <c r="Z6458" s="127"/>
      <c r="AA6458" s="127"/>
      <c r="AB6458" s="128"/>
      <c r="AC6458" s="15" t="s">
        <v>20</v>
      </c>
      <c r="AD6458" s="129" t="s">
        <v>1670</v>
      </c>
      <c r="AE6458" s="130"/>
      <c r="AF6458" s="130"/>
      <c r="AG6458" s="130"/>
      <c r="AH6458" s="130"/>
      <c r="AI6458" s="131"/>
      <c r="AJ6458" s="132"/>
      <c r="AK6458" s="127"/>
      <c r="AL6458" s="128"/>
      <c r="AM6458" s="21"/>
      <c r="AN6458" s="133">
        <v>46081</v>
      </c>
      <c r="AO6458" s="134"/>
      <c r="AP6458" s="135">
        <v>1290</v>
      </c>
      <c r="AQ6458" s="136"/>
      <c r="AR6458" s="118">
        <v>2330000</v>
      </c>
      <c r="AS6458" s="119"/>
      <c r="AT6458" s="118">
        <f t="shared" ref="AT6458" si="8845">AR6458*0.1</f>
        <v>233000</v>
      </c>
      <c r="AU6458" s="119"/>
      <c r="AV6458" s="118">
        <v>19560</v>
      </c>
      <c r="AW6458" s="119"/>
      <c r="AX6458" s="118">
        <f t="shared" ref="AX6458" si="8846">SUM(AR6458:AW6458)</f>
        <v>2582560</v>
      </c>
      <c r="AY6458" s="119"/>
      <c r="AZ6458" s="137">
        <v>46086</v>
      </c>
    </row>
    <row r="6459" spans="1:52" ht="17.100000000000001" customHeight="1" thickBot="1">
      <c r="A6459" s="110"/>
      <c r="B6459" s="27" t="s">
        <v>2131</v>
      </c>
      <c r="C6459" s="27">
        <v>5006</v>
      </c>
      <c r="D6459" s="14" t="s">
        <v>1576</v>
      </c>
      <c r="E6459" s="112"/>
      <c r="F6459" s="139" t="s">
        <v>18695</v>
      </c>
      <c r="G6459" s="140"/>
      <c r="H6459" s="141"/>
      <c r="I6459" s="26">
        <v>48919</v>
      </c>
      <c r="J6459" s="117"/>
      <c r="K6459" s="120"/>
      <c r="L6459" s="121"/>
      <c r="M6459" s="120"/>
      <c r="N6459" s="121"/>
      <c r="O6459" s="120"/>
      <c r="P6459" s="121"/>
      <c r="Q6459" s="120"/>
      <c r="R6459" s="121"/>
      <c r="S6459" s="120"/>
      <c r="T6459" s="121"/>
      <c r="U6459" s="120"/>
      <c r="V6459" s="123"/>
      <c r="W6459" s="125"/>
      <c r="X6459" s="142" t="s">
        <v>9553</v>
      </c>
      <c r="Y6459" s="143"/>
      <c r="Z6459" s="143"/>
      <c r="AA6459" s="143"/>
      <c r="AB6459" s="144"/>
      <c r="AC6459" s="16" t="s">
        <v>21</v>
      </c>
      <c r="AD6459" s="17" t="s">
        <v>1714</v>
      </c>
      <c r="AE6459" s="145" t="s">
        <v>9490</v>
      </c>
      <c r="AF6459" s="146"/>
      <c r="AG6459" s="146"/>
      <c r="AH6459" s="146"/>
      <c r="AI6459" s="147"/>
      <c r="AJ6459" s="148"/>
      <c r="AK6459" s="143"/>
      <c r="AL6459" s="144"/>
      <c r="AM6459" s="22"/>
      <c r="AN6459" s="149" t="s">
        <v>2511</v>
      </c>
      <c r="AO6459" s="144"/>
      <c r="AP6459" s="148">
        <v>80140</v>
      </c>
      <c r="AQ6459" s="144"/>
      <c r="AR6459" s="120"/>
      <c r="AS6459" s="121"/>
      <c r="AT6459" s="120"/>
      <c r="AU6459" s="121"/>
      <c r="AV6459" s="120"/>
      <c r="AW6459" s="121"/>
      <c r="AX6459" s="120"/>
      <c r="AY6459" s="121"/>
      <c r="AZ6459" s="138"/>
    </row>
    <row r="6460" spans="1:52" ht="17.100000000000001" customHeight="1" thickTop="1">
      <c r="A6460" s="109" t="s">
        <v>18661</v>
      </c>
      <c r="B6460" s="28">
        <v>46077</v>
      </c>
      <c r="C6460" s="25">
        <v>1930</v>
      </c>
      <c r="D6460" s="13" t="s">
        <v>2759</v>
      </c>
      <c r="E6460" s="111"/>
      <c r="F6460" s="113" t="s">
        <v>18678</v>
      </c>
      <c r="G6460" s="114"/>
      <c r="H6460" s="115"/>
      <c r="I6460" s="24" t="s">
        <v>2577</v>
      </c>
      <c r="J6460" s="116">
        <v>3.5</v>
      </c>
      <c r="K6460" s="118">
        <v>765000</v>
      </c>
      <c r="L6460" s="119"/>
      <c r="M6460" s="118">
        <f t="shared" ref="M6460" si="8847">K6460*0.1</f>
        <v>76500</v>
      </c>
      <c r="N6460" s="119"/>
      <c r="O6460" s="118">
        <v>0</v>
      </c>
      <c r="P6460" s="119"/>
      <c r="Q6460" s="118">
        <v>8740</v>
      </c>
      <c r="R6460" s="119"/>
      <c r="S6460" s="118">
        <v>15950</v>
      </c>
      <c r="T6460" s="119"/>
      <c r="U6460" s="118">
        <f t="shared" ref="U6460" si="8848">SUM(K6460:T6461)</f>
        <v>866190</v>
      </c>
      <c r="V6460" s="122"/>
      <c r="W6460" s="124"/>
      <c r="X6460" s="126" t="s">
        <v>19220</v>
      </c>
      <c r="Y6460" s="127"/>
      <c r="Z6460" s="127"/>
      <c r="AA6460" s="127"/>
      <c r="AB6460" s="128"/>
      <c r="AC6460" s="15" t="s">
        <v>20</v>
      </c>
      <c r="AD6460" s="129" t="s">
        <v>3896</v>
      </c>
      <c r="AE6460" s="130"/>
      <c r="AF6460" s="130"/>
      <c r="AG6460" s="130"/>
      <c r="AH6460" s="130"/>
      <c r="AI6460" s="131"/>
      <c r="AJ6460" s="132"/>
      <c r="AK6460" s="127"/>
      <c r="AL6460" s="128"/>
      <c r="AM6460" s="21"/>
      <c r="AN6460" s="133">
        <v>46081</v>
      </c>
      <c r="AO6460" s="134"/>
      <c r="AP6460" s="135">
        <v>1290</v>
      </c>
      <c r="AQ6460" s="136"/>
      <c r="AR6460" s="118">
        <v>930000</v>
      </c>
      <c r="AS6460" s="119"/>
      <c r="AT6460" s="118">
        <f t="shared" ref="AT6460" si="8849">AR6460*0.1</f>
        <v>93000</v>
      </c>
      <c r="AU6460" s="119"/>
      <c r="AV6460" s="118">
        <v>8740</v>
      </c>
      <c r="AW6460" s="119"/>
      <c r="AX6460" s="118">
        <f t="shared" ref="AX6460" si="8850">SUM(AR6460:AW6460)</f>
        <v>1031740</v>
      </c>
      <c r="AY6460" s="119"/>
      <c r="AZ6460" s="137">
        <v>46091</v>
      </c>
    </row>
    <row r="6461" spans="1:52" ht="17.100000000000001" customHeight="1" thickBot="1">
      <c r="A6461" s="110"/>
      <c r="B6461" s="27" t="s">
        <v>2131</v>
      </c>
      <c r="C6461" s="27">
        <v>5473</v>
      </c>
      <c r="D6461" s="14" t="s">
        <v>2601</v>
      </c>
      <c r="E6461" s="112"/>
      <c r="F6461" s="139" t="s">
        <v>18679</v>
      </c>
      <c r="G6461" s="140"/>
      <c r="H6461" s="141"/>
      <c r="I6461" s="26">
        <v>51671</v>
      </c>
      <c r="J6461" s="117"/>
      <c r="K6461" s="120"/>
      <c r="L6461" s="121"/>
      <c r="M6461" s="120"/>
      <c r="N6461" s="121"/>
      <c r="O6461" s="120"/>
      <c r="P6461" s="121"/>
      <c r="Q6461" s="120"/>
      <c r="R6461" s="121"/>
      <c r="S6461" s="120"/>
      <c r="T6461" s="121"/>
      <c r="U6461" s="120"/>
      <c r="V6461" s="123"/>
      <c r="W6461" s="125"/>
      <c r="X6461" s="142" t="s">
        <v>5254</v>
      </c>
      <c r="Y6461" s="143"/>
      <c r="Z6461" s="143"/>
      <c r="AA6461" s="143"/>
      <c r="AB6461" s="144"/>
      <c r="AC6461" s="16" t="s">
        <v>21</v>
      </c>
      <c r="AD6461" s="17" t="s">
        <v>1714</v>
      </c>
      <c r="AE6461" s="145" t="s">
        <v>19219</v>
      </c>
      <c r="AF6461" s="146"/>
      <c r="AG6461" s="146"/>
      <c r="AH6461" s="146"/>
      <c r="AI6461" s="147"/>
      <c r="AJ6461" s="148"/>
      <c r="AK6461" s="143"/>
      <c r="AL6461" s="144"/>
      <c r="AM6461" s="22"/>
      <c r="AN6461" s="149" t="s">
        <v>19375</v>
      </c>
      <c r="AO6461" s="144"/>
      <c r="AP6461" s="148">
        <v>60472</v>
      </c>
      <c r="AQ6461" s="144"/>
      <c r="AR6461" s="120"/>
      <c r="AS6461" s="121"/>
      <c r="AT6461" s="120"/>
      <c r="AU6461" s="121"/>
      <c r="AV6461" s="120"/>
      <c r="AW6461" s="121"/>
      <c r="AX6461" s="120"/>
      <c r="AY6461" s="121"/>
      <c r="AZ6461" s="138"/>
    </row>
    <row r="6462" spans="1:52" ht="17.100000000000001" customHeight="1" thickTop="1">
      <c r="A6462" s="109" t="s">
        <v>18662</v>
      </c>
      <c r="B6462" s="28">
        <v>46077</v>
      </c>
      <c r="C6462" s="25">
        <v>808</v>
      </c>
      <c r="D6462" s="13" t="s">
        <v>2066</v>
      </c>
      <c r="E6462" s="111"/>
      <c r="F6462" s="113" t="s">
        <v>16278</v>
      </c>
      <c r="G6462" s="114"/>
      <c r="H6462" s="115"/>
      <c r="I6462" s="24"/>
      <c r="J6462" s="116">
        <v>4</v>
      </c>
      <c r="K6462" s="118">
        <v>738000</v>
      </c>
      <c r="L6462" s="119"/>
      <c r="M6462" s="118">
        <f t="shared" ref="M6462" si="8851">K6462*0.1</f>
        <v>73800</v>
      </c>
      <c r="N6462" s="119"/>
      <c r="O6462" s="118">
        <v>0</v>
      </c>
      <c r="P6462" s="119"/>
      <c r="Q6462" s="118">
        <v>8510</v>
      </c>
      <c r="R6462" s="119"/>
      <c r="S6462" s="118">
        <v>15950</v>
      </c>
      <c r="T6462" s="119"/>
      <c r="U6462" s="118">
        <f t="shared" ref="U6462" si="8852">SUM(K6462:T6463)</f>
        <v>836260</v>
      </c>
      <c r="V6462" s="122"/>
      <c r="W6462" s="124"/>
      <c r="X6462" s="126" t="s">
        <v>19182</v>
      </c>
      <c r="Y6462" s="127"/>
      <c r="Z6462" s="127"/>
      <c r="AA6462" s="127"/>
      <c r="AB6462" s="128"/>
      <c r="AC6462" s="15" t="s">
        <v>20</v>
      </c>
      <c r="AD6462" s="129" t="s">
        <v>18696</v>
      </c>
      <c r="AE6462" s="130"/>
      <c r="AF6462" s="130"/>
      <c r="AG6462" s="130"/>
      <c r="AH6462" s="130"/>
      <c r="AI6462" s="131"/>
      <c r="AJ6462" s="132"/>
      <c r="AK6462" s="127"/>
      <c r="AL6462" s="128"/>
      <c r="AM6462" s="21"/>
      <c r="AN6462" s="133">
        <v>46081</v>
      </c>
      <c r="AO6462" s="134"/>
      <c r="AP6462" s="135">
        <v>1290</v>
      </c>
      <c r="AQ6462" s="136"/>
      <c r="AR6462" s="118">
        <v>815000</v>
      </c>
      <c r="AS6462" s="119"/>
      <c r="AT6462" s="118">
        <f t="shared" ref="AT6462" si="8853">AR6462*0.1</f>
        <v>81500</v>
      </c>
      <c r="AU6462" s="119"/>
      <c r="AV6462" s="118">
        <v>8510</v>
      </c>
      <c r="AW6462" s="119"/>
      <c r="AX6462" s="118">
        <f t="shared" ref="AX6462" si="8854">SUM(AR6462:AW6462)</f>
        <v>905010</v>
      </c>
      <c r="AY6462" s="119"/>
      <c r="AZ6462" s="137">
        <v>46086</v>
      </c>
    </row>
    <row r="6463" spans="1:52" ht="17.100000000000001" customHeight="1" thickBot="1">
      <c r="A6463" s="110"/>
      <c r="B6463" s="27" t="s">
        <v>3367</v>
      </c>
      <c r="C6463" s="27">
        <v>3016</v>
      </c>
      <c r="D6463" s="14" t="s">
        <v>1592</v>
      </c>
      <c r="E6463" s="112"/>
      <c r="F6463" s="139" t="s">
        <v>18680</v>
      </c>
      <c r="G6463" s="140"/>
      <c r="H6463" s="141"/>
      <c r="I6463" s="26">
        <v>29378</v>
      </c>
      <c r="J6463" s="117"/>
      <c r="K6463" s="120"/>
      <c r="L6463" s="121"/>
      <c r="M6463" s="120"/>
      <c r="N6463" s="121"/>
      <c r="O6463" s="120"/>
      <c r="P6463" s="121"/>
      <c r="Q6463" s="120"/>
      <c r="R6463" s="121"/>
      <c r="S6463" s="120"/>
      <c r="T6463" s="121"/>
      <c r="U6463" s="120"/>
      <c r="V6463" s="123"/>
      <c r="W6463" s="125"/>
      <c r="X6463" s="142" t="s">
        <v>7445</v>
      </c>
      <c r="Y6463" s="143"/>
      <c r="Z6463" s="143"/>
      <c r="AA6463" s="143"/>
      <c r="AB6463" s="144"/>
      <c r="AC6463" s="16" t="s">
        <v>21</v>
      </c>
      <c r="AD6463" s="17" t="s">
        <v>1714</v>
      </c>
      <c r="AE6463" s="145" t="s">
        <v>1633</v>
      </c>
      <c r="AF6463" s="146"/>
      <c r="AG6463" s="146"/>
      <c r="AH6463" s="146"/>
      <c r="AI6463" s="147"/>
      <c r="AJ6463" s="148"/>
      <c r="AK6463" s="143"/>
      <c r="AL6463" s="144"/>
      <c r="AM6463" s="22"/>
      <c r="AN6463" s="149" t="s">
        <v>2511</v>
      </c>
      <c r="AO6463" s="144"/>
      <c r="AP6463" s="148">
        <v>60478</v>
      </c>
      <c r="AQ6463" s="144"/>
      <c r="AR6463" s="120"/>
      <c r="AS6463" s="121"/>
      <c r="AT6463" s="120"/>
      <c r="AU6463" s="121"/>
      <c r="AV6463" s="120"/>
      <c r="AW6463" s="121"/>
      <c r="AX6463" s="120"/>
      <c r="AY6463" s="121"/>
      <c r="AZ6463" s="138"/>
    </row>
    <row r="6464" spans="1:52" ht="17.100000000000001" customHeight="1" thickTop="1">
      <c r="A6464" s="109" t="s">
        <v>18663</v>
      </c>
      <c r="B6464" s="28">
        <v>46077</v>
      </c>
      <c r="C6464" s="25">
        <v>808</v>
      </c>
      <c r="D6464" s="13" t="s">
        <v>1767</v>
      </c>
      <c r="E6464" s="111"/>
      <c r="F6464" s="113" t="s">
        <v>18681</v>
      </c>
      <c r="G6464" s="114"/>
      <c r="H6464" s="115"/>
      <c r="I6464" s="24"/>
      <c r="J6464" s="116">
        <v>4</v>
      </c>
      <c r="K6464" s="118">
        <v>764000</v>
      </c>
      <c r="L6464" s="119"/>
      <c r="M6464" s="118">
        <f t="shared" ref="M6464" si="8855">K6464*0.1</f>
        <v>76400</v>
      </c>
      <c r="N6464" s="119"/>
      <c r="O6464" s="118">
        <v>0</v>
      </c>
      <c r="P6464" s="119"/>
      <c r="Q6464" s="118">
        <v>9790</v>
      </c>
      <c r="R6464" s="119"/>
      <c r="S6464" s="118">
        <v>15950</v>
      </c>
      <c r="T6464" s="119"/>
      <c r="U6464" s="118">
        <f t="shared" ref="U6464" si="8856">SUM(K6464:T6465)</f>
        <v>866140</v>
      </c>
      <c r="V6464" s="122"/>
      <c r="W6464" s="124"/>
      <c r="X6464" s="126" t="s">
        <v>19183</v>
      </c>
      <c r="Y6464" s="127"/>
      <c r="Z6464" s="127"/>
      <c r="AA6464" s="127"/>
      <c r="AB6464" s="128"/>
      <c r="AC6464" s="15" t="s">
        <v>20</v>
      </c>
      <c r="AD6464" s="129"/>
      <c r="AE6464" s="130"/>
      <c r="AF6464" s="130"/>
      <c r="AG6464" s="130"/>
      <c r="AH6464" s="130"/>
      <c r="AI6464" s="131"/>
      <c r="AJ6464" s="132"/>
      <c r="AK6464" s="127"/>
      <c r="AL6464" s="128"/>
      <c r="AM6464" s="21"/>
      <c r="AN6464" s="133">
        <v>46081</v>
      </c>
      <c r="AO6464" s="134"/>
      <c r="AP6464" s="135">
        <v>1290</v>
      </c>
      <c r="AQ6464" s="136"/>
      <c r="AR6464" s="118">
        <v>815000</v>
      </c>
      <c r="AS6464" s="119"/>
      <c r="AT6464" s="118">
        <f t="shared" ref="AT6464" si="8857">AR6464*0.1</f>
        <v>81500</v>
      </c>
      <c r="AU6464" s="119"/>
      <c r="AV6464" s="118">
        <v>9790</v>
      </c>
      <c r="AW6464" s="119"/>
      <c r="AX6464" s="118">
        <f t="shared" ref="AX6464" si="8858">SUM(AR6464:AW6464)</f>
        <v>906290</v>
      </c>
      <c r="AY6464" s="119"/>
      <c r="AZ6464" s="137">
        <v>46086</v>
      </c>
    </row>
    <row r="6465" spans="1:52" ht="17.100000000000001" customHeight="1" thickBot="1">
      <c r="A6465" s="110"/>
      <c r="B6465" s="27" t="s">
        <v>3367</v>
      </c>
      <c r="C6465" s="27">
        <v>3081</v>
      </c>
      <c r="D6465" s="14" t="s">
        <v>275</v>
      </c>
      <c r="E6465" s="112"/>
      <c r="F6465" s="139" t="s">
        <v>18682</v>
      </c>
      <c r="G6465" s="140"/>
      <c r="H6465" s="141"/>
      <c r="I6465" s="26">
        <v>62152</v>
      </c>
      <c r="J6465" s="117"/>
      <c r="K6465" s="120"/>
      <c r="L6465" s="121"/>
      <c r="M6465" s="120"/>
      <c r="N6465" s="121"/>
      <c r="O6465" s="120"/>
      <c r="P6465" s="121"/>
      <c r="Q6465" s="120"/>
      <c r="R6465" s="121"/>
      <c r="S6465" s="120"/>
      <c r="T6465" s="121"/>
      <c r="U6465" s="120"/>
      <c r="V6465" s="123"/>
      <c r="W6465" s="125"/>
      <c r="X6465" s="142" t="s">
        <v>16224</v>
      </c>
      <c r="Y6465" s="143"/>
      <c r="Z6465" s="143"/>
      <c r="AA6465" s="143"/>
      <c r="AB6465" s="144"/>
      <c r="AC6465" s="16" t="s">
        <v>21</v>
      </c>
      <c r="AD6465" s="17" t="s">
        <v>1714</v>
      </c>
      <c r="AE6465" s="145" t="s">
        <v>7842</v>
      </c>
      <c r="AF6465" s="146"/>
      <c r="AG6465" s="146"/>
      <c r="AH6465" s="146"/>
      <c r="AI6465" s="147"/>
      <c r="AJ6465" s="148"/>
      <c r="AK6465" s="143"/>
      <c r="AL6465" s="144"/>
      <c r="AM6465" s="22"/>
      <c r="AN6465" s="149" t="s">
        <v>2511</v>
      </c>
      <c r="AO6465" s="144"/>
      <c r="AP6465" s="148">
        <v>60485</v>
      </c>
      <c r="AQ6465" s="144"/>
      <c r="AR6465" s="120"/>
      <c r="AS6465" s="121"/>
      <c r="AT6465" s="120"/>
      <c r="AU6465" s="121"/>
      <c r="AV6465" s="120"/>
      <c r="AW6465" s="121"/>
      <c r="AX6465" s="120"/>
      <c r="AY6465" s="121"/>
      <c r="AZ6465" s="138"/>
    </row>
    <row r="6466" spans="1:52" ht="17.100000000000001" customHeight="1" thickTop="1">
      <c r="A6466" s="109" t="s">
        <v>18664</v>
      </c>
      <c r="B6466" s="28">
        <v>46077</v>
      </c>
      <c r="C6466" s="25">
        <v>808</v>
      </c>
      <c r="D6466" s="13" t="s">
        <v>1640</v>
      </c>
      <c r="E6466" s="111"/>
      <c r="F6466" s="113" t="s">
        <v>18683</v>
      </c>
      <c r="G6466" s="114"/>
      <c r="H6466" s="115"/>
      <c r="I6466" s="24"/>
      <c r="J6466" s="116">
        <v>4</v>
      </c>
      <c r="K6466" s="118">
        <v>949000</v>
      </c>
      <c r="L6466" s="119"/>
      <c r="M6466" s="118">
        <f t="shared" ref="M6466" si="8859">K6466*0.1</f>
        <v>94900</v>
      </c>
      <c r="N6466" s="119"/>
      <c r="O6466" s="118">
        <v>0</v>
      </c>
      <c r="P6466" s="119"/>
      <c r="Q6466" s="118">
        <v>19610</v>
      </c>
      <c r="R6466" s="119"/>
      <c r="S6466" s="118">
        <v>15950</v>
      </c>
      <c r="T6466" s="119"/>
      <c r="U6466" s="118">
        <f t="shared" ref="U6466" si="8860">SUM(K6466:T6467)</f>
        <v>1079460</v>
      </c>
      <c r="V6466" s="122"/>
      <c r="W6466" s="124"/>
      <c r="X6466" s="126" t="s">
        <v>19196</v>
      </c>
      <c r="Y6466" s="127"/>
      <c r="Z6466" s="127"/>
      <c r="AA6466" s="127"/>
      <c r="AB6466" s="128"/>
      <c r="AC6466" s="15" t="s">
        <v>20</v>
      </c>
      <c r="AD6466" s="129"/>
      <c r="AE6466" s="130"/>
      <c r="AF6466" s="130"/>
      <c r="AG6466" s="130"/>
      <c r="AH6466" s="130"/>
      <c r="AI6466" s="131"/>
      <c r="AJ6466" s="132"/>
      <c r="AK6466" s="127"/>
      <c r="AL6466" s="128"/>
      <c r="AM6466" s="21"/>
      <c r="AN6466" s="133">
        <v>46088</v>
      </c>
      <c r="AO6466" s="134"/>
      <c r="AP6466" s="135">
        <v>1291</v>
      </c>
      <c r="AQ6466" s="136"/>
      <c r="AR6466" s="118">
        <v>1175000</v>
      </c>
      <c r="AS6466" s="119"/>
      <c r="AT6466" s="118">
        <f t="shared" ref="AT6466" si="8861">AR6466*0.1</f>
        <v>117500</v>
      </c>
      <c r="AU6466" s="119"/>
      <c r="AV6466" s="118">
        <v>19610</v>
      </c>
      <c r="AW6466" s="119"/>
      <c r="AX6466" s="118">
        <f t="shared" ref="AX6466" si="8862">SUM(AR6466:AW6466)</f>
        <v>1312110</v>
      </c>
      <c r="AY6466" s="119"/>
      <c r="AZ6466" s="137">
        <v>46091</v>
      </c>
    </row>
    <row r="6467" spans="1:52" ht="17.100000000000001" customHeight="1" thickBot="1">
      <c r="A6467" s="110"/>
      <c r="B6467" s="27" t="s">
        <v>3367</v>
      </c>
      <c r="C6467" s="27">
        <v>70081</v>
      </c>
      <c r="D6467" s="14" t="s">
        <v>1592</v>
      </c>
      <c r="E6467" s="112"/>
      <c r="F6467" s="139" t="s">
        <v>18697</v>
      </c>
      <c r="G6467" s="140"/>
      <c r="H6467" s="141"/>
      <c r="I6467" s="26">
        <v>61590</v>
      </c>
      <c r="J6467" s="117"/>
      <c r="K6467" s="120"/>
      <c r="L6467" s="121"/>
      <c r="M6467" s="120"/>
      <c r="N6467" s="121"/>
      <c r="O6467" s="120"/>
      <c r="P6467" s="121"/>
      <c r="Q6467" s="120"/>
      <c r="R6467" s="121"/>
      <c r="S6467" s="120"/>
      <c r="T6467" s="121"/>
      <c r="U6467" s="120"/>
      <c r="V6467" s="123"/>
      <c r="W6467" s="125"/>
      <c r="X6467" s="142" t="s">
        <v>14043</v>
      </c>
      <c r="Y6467" s="143"/>
      <c r="Z6467" s="143"/>
      <c r="AA6467" s="143"/>
      <c r="AB6467" s="144"/>
      <c r="AC6467" s="16" t="s">
        <v>21</v>
      </c>
      <c r="AD6467" s="17" t="s">
        <v>1714</v>
      </c>
      <c r="AE6467" s="145" t="s">
        <v>2195</v>
      </c>
      <c r="AF6467" s="146"/>
      <c r="AG6467" s="146"/>
      <c r="AH6467" s="146"/>
      <c r="AI6467" s="147"/>
      <c r="AJ6467" s="148"/>
      <c r="AK6467" s="143"/>
      <c r="AL6467" s="144"/>
      <c r="AM6467" s="22"/>
      <c r="AN6467" s="149" t="s">
        <v>2511</v>
      </c>
      <c r="AO6467" s="144"/>
      <c r="AP6467" s="148">
        <v>80385</v>
      </c>
      <c r="AQ6467" s="144"/>
      <c r="AR6467" s="120"/>
      <c r="AS6467" s="121"/>
      <c r="AT6467" s="120"/>
      <c r="AU6467" s="121"/>
      <c r="AV6467" s="120"/>
      <c r="AW6467" s="121"/>
      <c r="AX6467" s="120"/>
      <c r="AY6467" s="121"/>
      <c r="AZ6467" s="138"/>
    </row>
    <row r="6468" spans="1:52" ht="17.100000000000001" customHeight="1" thickTop="1">
      <c r="A6468" s="109" t="s">
        <v>18665</v>
      </c>
      <c r="B6468" s="28">
        <v>46077</v>
      </c>
      <c r="C6468" s="25">
        <v>928</v>
      </c>
      <c r="D6468" s="13" t="s">
        <v>1870</v>
      </c>
      <c r="E6468" s="111"/>
      <c r="F6468" s="113" t="s">
        <v>18687</v>
      </c>
      <c r="G6468" s="114"/>
      <c r="H6468" s="115"/>
      <c r="I6468" s="24"/>
      <c r="J6468" s="116">
        <v>4</v>
      </c>
      <c r="K6468" s="118">
        <v>541000</v>
      </c>
      <c r="L6468" s="119"/>
      <c r="M6468" s="118">
        <f t="shared" ref="M6468" si="8863">K6468*0.1</f>
        <v>54100</v>
      </c>
      <c r="N6468" s="119"/>
      <c r="O6468" s="118">
        <v>0</v>
      </c>
      <c r="P6468" s="119"/>
      <c r="Q6468" s="118">
        <v>9130</v>
      </c>
      <c r="R6468" s="119"/>
      <c r="S6468" s="118">
        <v>15950</v>
      </c>
      <c r="T6468" s="119"/>
      <c r="U6468" s="118">
        <f t="shared" ref="U6468" si="8864">SUM(K6468:T6469)</f>
        <v>620180</v>
      </c>
      <c r="V6468" s="122"/>
      <c r="W6468" s="124"/>
      <c r="X6468" s="126" t="s">
        <v>19217</v>
      </c>
      <c r="Y6468" s="127"/>
      <c r="Z6468" s="127"/>
      <c r="AA6468" s="127"/>
      <c r="AB6468" s="128"/>
      <c r="AC6468" s="15" t="s">
        <v>20</v>
      </c>
      <c r="AD6468" s="129" t="s">
        <v>3178</v>
      </c>
      <c r="AE6468" s="130"/>
      <c r="AF6468" s="130"/>
      <c r="AG6468" s="130"/>
      <c r="AH6468" s="130"/>
      <c r="AI6468" s="131"/>
      <c r="AJ6468" s="132"/>
      <c r="AK6468" s="127"/>
      <c r="AL6468" s="128"/>
      <c r="AM6468" s="21"/>
      <c r="AN6468" s="133">
        <v>46113</v>
      </c>
      <c r="AO6468" s="134"/>
      <c r="AP6468" s="135">
        <v>1011</v>
      </c>
      <c r="AQ6468" s="136"/>
      <c r="AR6468" s="118">
        <v>600000</v>
      </c>
      <c r="AS6468" s="119"/>
      <c r="AT6468" s="118">
        <f t="shared" ref="AT6468" si="8865">AR6468*0.1</f>
        <v>60000</v>
      </c>
      <c r="AU6468" s="119"/>
      <c r="AV6468" s="118">
        <v>9130</v>
      </c>
      <c r="AW6468" s="119"/>
      <c r="AX6468" s="118">
        <f t="shared" ref="AX6468" si="8866">SUM(AR6468:AW6468)</f>
        <v>669130</v>
      </c>
      <c r="AY6468" s="119"/>
      <c r="AZ6468" s="137">
        <v>46118</v>
      </c>
    </row>
    <row r="6469" spans="1:52" ht="17.100000000000001" customHeight="1" thickBot="1">
      <c r="A6469" s="110"/>
      <c r="B6469" s="27" t="s">
        <v>2699</v>
      </c>
      <c r="C6469" s="27">
        <v>173</v>
      </c>
      <c r="D6469" s="14" t="s">
        <v>2601</v>
      </c>
      <c r="E6469" s="112"/>
      <c r="F6469" s="139" t="s">
        <v>18688</v>
      </c>
      <c r="G6469" s="140"/>
      <c r="H6469" s="141"/>
      <c r="I6469" s="26">
        <v>104069</v>
      </c>
      <c r="J6469" s="117"/>
      <c r="K6469" s="120"/>
      <c r="L6469" s="121"/>
      <c r="M6469" s="120"/>
      <c r="N6469" s="121"/>
      <c r="O6469" s="120"/>
      <c r="P6469" s="121"/>
      <c r="Q6469" s="120"/>
      <c r="R6469" s="121"/>
      <c r="S6469" s="120"/>
      <c r="T6469" s="121"/>
      <c r="U6469" s="120"/>
      <c r="V6469" s="123"/>
      <c r="W6469" s="125"/>
      <c r="X6469" s="142" t="s">
        <v>19218</v>
      </c>
      <c r="Y6469" s="143"/>
      <c r="Z6469" s="143"/>
      <c r="AA6469" s="143"/>
      <c r="AB6469" s="144"/>
      <c r="AC6469" s="16" t="s">
        <v>21</v>
      </c>
      <c r="AD6469" s="17" t="s">
        <v>1714</v>
      </c>
      <c r="AE6469" s="145" t="s">
        <v>4929</v>
      </c>
      <c r="AF6469" s="146"/>
      <c r="AG6469" s="146"/>
      <c r="AH6469" s="146"/>
      <c r="AI6469" s="147"/>
      <c r="AJ6469" s="148"/>
      <c r="AK6469" s="143"/>
      <c r="AL6469" s="144"/>
      <c r="AM6469" s="22"/>
      <c r="AN6469" s="149" t="s">
        <v>2794</v>
      </c>
      <c r="AO6469" s="144"/>
      <c r="AP6469" s="148">
        <v>6134</v>
      </c>
      <c r="AQ6469" s="144"/>
      <c r="AR6469" s="120"/>
      <c r="AS6469" s="121"/>
      <c r="AT6469" s="120"/>
      <c r="AU6469" s="121"/>
      <c r="AV6469" s="120"/>
      <c r="AW6469" s="121"/>
      <c r="AX6469" s="120"/>
      <c r="AY6469" s="121"/>
      <c r="AZ6469" s="138"/>
    </row>
    <row r="6470" spans="1:52" ht="17.100000000000001" customHeight="1" thickTop="1">
      <c r="A6470" s="109" t="s">
        <v>18666</v>
      </c>
      <c r="B6470" s="28">
        <v>46077</v>
      </c>
      <c r="C6470" s="25">
        <v>928</v>
      </c>
      <c r="D6470" s="13" t="s">
        <v>1586</v>
      </c>
      <c r="E6470" s="111"/>
      <c r="F6470" s="113" t="s">
        <v>15815</v>
      </c>
      <c r="G6470" s="114"/>
      <c r="H6470" s="115"/>
      <c r="I6470" s="24"/>
      <c r="J6470" s="116">
        <v>4</v>
      </c>
      <c r="K6470" s="118">
        <v>912000</v>
      </c>
      <c r="L6470" s="119"/>
      <c r="M6470" s="118">
        <f t="shared" ref="M6470" si="8867">K6470*0.1</f>
        <v>91200</v>
      </c>
      <c r="N6470" s="119"/>
      <c r="O6470" s="118">
        <v>0</v>
      </c>
      <c r="P6470" s="119"/>
      <c r="Q6470" s="118">
        <v>9200</v>
      </c>
      <c r="R6470" s="119"/>
      <c r="S6470" s="118">
        <v>15950</v>
      </c>
      <c r="T6470" s="119"/>
      <c r="U6470" s="118">
        <f t="shared" ref="U6470" si="8868">SUM(K6470:T6471)</f>
        <v>1028350</v>
      </c>
      <c r="V6470" s="122"/>
      <c r="W6470" s="124"/>
      <c r="X6470" s="126" t="s">
        <v>19178</v>
      </c>
      <c r="Y6470" s="127"/>
      <c r="Z6470" s="127"/>
      <c r="AA6470" s="127"/>
      <c r="AB6470" s="128"/>
      <c r="AC6470" s="15" t="s">
        <v>20</v>
      </c>
      <c r="AD6470" s="129"/>
      <c r="AE6470" s="130"/>
      <c r="AF6470" s="130"/>
      <c r="AG6470" s="130"/>
      <c r="AH6470" s="130"/>
      <c r="AI6470" s="131"/>
      <c r="AJ6470" s="132"/>
      <c r="AK6470" s="127"/>
      <c r="AL6470" s="128"/>
      <c r="AM6470" s="21"/>
      <c r="AN6470" s="133">
        <v>46081</v>
      </c>
      <c r="AO6470" s="134"/>
      <c r="AP6470" s="135">
        <v>1290</v>
      </c>
      <c r="AQ6470" s="136"/>
      <c r="AR6470" s="118">
        <v>990000</v>
      </c>
      <c r="AS6470" s="119"/>
      <c r="AT6470" s="118">
        <f t="shared" ref="AT6470" si="8869">AR6470*0.1</f>
        <v>99000</v>
      </c>
      <c r="AU6470" s="119"/>
      <c r="AV6470" s="118">
        <v>9200</v>
      </c>
      <c r="AW6470" s="119"/>
      <c r="AX6470" s="118">
        <f t="shared" ref="AX6470" si="8870">SUM(AR6470:AW6470)</f>
        <v>1098200</v>
      </c>
      <c r="AY6470" s="119"/>
      <c r="AZ6470" s="137">
        <v>46086</v>
      </c>
    </row>
    <row r="6471" spans="1:52" ht="17.100000000000001" customHeight="1" thickBot="1">
      <c r="A6471" s="110"/>
      <c r="B6471" s="27" t="s">
        <v>2699</v>
      </c>
      <c r="C6471" s="27">
        <v>3140</v>
      </c>
      <c r="D6471" s="14" t="s">
        <v>275</v>
      </c>
      <c r="E6471" s="112"/>
      <c r="F6471" s="139" t="s">
        <v>18689</v>
      </c>
      <c r="G6471" s="140"/>
      <c r="H6471" s="141"/>
      <c r="I6471" s="26">
        <v>42173</v>
      </c>
      <c r="J6471" s="117"/>
      <c r="K6471" s="120"/>
      <c r="L6471" s="121"/>
      <c r="M6471" s="120"/>
      <c r="N6471" s="121"/>
      <c r="O6471" s="120"/>
      <c r="P6471" s="121"/>
      <c r="Q6471" s="120"/>
      <c r="R6471" s="121"/>
      <c r="S6471" s="120"/>
      <c r="T6471" s="121"/>
      <c r="U6471" s="120"/>
      <c r="V6471" s="123"/>
      <c r="W6471" s="125"/>
      <c r="X6471" s="142" t="s">
        <v>12819</v>
      </c>
      <c r="Y6471" s="143"/>
      <c r="Z6471" s="143"/>
      <c r="AA6471" s="143"/>
      <c r="AB6471" s="144"/>
      <c r="AC6471" s="16" t="s">
        <v>21</v>
      </c>
      <c r="AD6471" s="17" t="s">
        <v>1714</v>
      </c>
      <c r="AE6471" s="145"/>
      <c r="AF6471" s="146"/>
      <c r="AG6471" s="146"/>
      <c r="AH6471" s="146"/>
      <c r="AI6471" s="147"/>
      <c r="AJ6471" s="148"/>
      <c r="AK6471" s="143"/>
      <c r="AL6471" s="144"/>
      <c r="AM6471" s="22"/>
      <c r="AN6471" s="149" t="s">
        <v>2511</v>
      </c>
      <c r="AO6471" s="144"/>
      <c r="AP6471" s="148">
        <v>60444</v>
      </c>
      <c r="AQ6471" s="144"/>
      <c r="AR6471" s="120"/>
      <c r="AS6471" s="121"/>
      <c r="AT6471" s="120"/>
      <c r="AU6471" s="121"/>
      <c r="AV6471" s="120"/>
      <c r="AW6471" s="121"/>
      <c r="AX6471" s="120"/>
      <c r="AY6471" s="121"/>
      <c r="AZ6471" s="138"/>
    </row>
    <row r="6472" spans="1:52" ht="17.100000000000001" customHeight="1" thickTop="1">
      <c r="A6472" s="109" t="s">
        <v>18684</v>
      </c>
      <c r="B6472" s="28">
        <v>46077</v>
      </c>
      <c r="C6472" s="25">
        <v>928</v>
      </c>
      <c r="D6472" s="13" t="s">
        <v>1688</v>
      </c>
      <c r="E6472" s="111"/>
      <c r="F6472" s="113" t="s">
        <v>16016</v>
      </c>
      <c r="G6472" s="114"/>
      <c r="H6472" s="115"/>
      <c r="I6472" s="24"/>
      <c r="J6472" s="116">
        <v>4.5</v>
      </c>
      <c r="K6472" s="118">
        <v>1302000</v>
      </c>
      <c r="L6472" s="119"/>
      <c r="M6472" s="118">
        <f t="shared" ref="M6472" si="8871">K6472*0.1</f>
        <v>130200</v>
      </c>
      <c r="N6472" s="119"/>
      <c r="O6472" s="118">
        <v>0</v>
      </c>
      <c r="P6472" s="119"/>
      <c r="Q6472" s="118">
        <v>7040</v>
      </c>
      <c r="R6472" s="119"/>
      <c r="S6472" s="118">
        <v>15950</v>
      </c>
      <c r="T6472" s="119"/>
      <c r="U6472" s="118">
        <f t="shared" ref="U6472" si="8872">SUM(K6472:T6473)</f>
        <v>1455190</v>
      </c>
      <c r="V6472" s="122"/>
      <c r="W6472" s="124"/>
      <c r="X6472" s="126" t="s">
        <v>19180</v>
      </c>
      <c r="Y6472" s="127"/>
      <c r="Z6472" s="127"/>
      <c r="AA6472" s="127"/>
      <c r="AB6472" s="128"/>
      <c r="AC6472" s="15" t="s">
        <v>20</v>
      </c>
      <c r="AD6472" s="129" t="s">
        <v>4435</v>
      </c>
      <c r="AE6472" s="130"/>
      <c r="AF6472" s="130"/>
      <c r="AG6472" s="130"/>
      <c r="AH6472" s="130"/>
      <c r="AI6472" s="131"/>
      <c r="AJ6472" s="132"/>
      <c r="AK6472" s="127"/>
      <c r="AL6472" s="128"/>
      <c r="AM6472" s="21"/>
      <c r="AN6472" s="133">
        <v>46081</v>
      </c>
      <c r="AO6472" s="134"/>
      <c r="AP6472" s="135">
        <v>1290</v>
      </c>
      <c r="AQ6472" s="136"/>
      <c r="AR6472" s="118">
        <v>1400000</v>
      </c>
      <c r="AS6472" s="119"/>
      <c r="AT6472" s="118">
        <f t="shared" ref="AT6472" si="8873">AR6472*0.1</f>
        <v>140000</v>
      </c>
      <c r="AU6472" s="119"/>
      <c r="AV6472" s="118">
        <v>7040</v>
      </c>
      <c r="AW6472" s="119"/>
      <c r="AX6472" s="118">
        <f t="shared" ref="AX6472" si="8874">SUM(AR6472:AW6472)</f>
        <v>1547040</v>
      </c>
      <c r="AY6472" s="119"/>
      <c r="AZ6472" s="137">
        <v>46086</v>
      </c>
    </row>
    <row r="6473" spans="1:52" ht="17.100000000000001" customHeight="1" thickBot="1">
      <c r="A6473" s="110"/>
      <c r="B6473" s="27" t="s">
        <v>2699</v>
      </c>
      <c r="C6473" s="27">
        <v>3150</v>
      </c>
      <c r="D6473" s="14" t="s">
        <v>2601</v>
      </c>
      <c r="E6473" s="112"/>
      <c r="F6473" s="139" t="s">
        <v>18690</v>
      </c>
      <c r="G6473" s="140"/>
      <c r="H6473" s="141"/>
      <c r="I6473" s="26">
        <v>37309</v>
      </c>
      <c r="J6473" s="117"/>
      <c r="K6473" s="120"/>
      <c r="L6473" s="121"/>
      <c r="M6473" s="120"/>
      <c r="N6473" s="121"/>
      <c r="O6473" s="120"/>
      <c r="P6473" s="121"/>
      <c r="Q6473" s="120"/>
      <c r="R6473" s="121"/>
      <c r="S6473" s="120"/>
      <c r="T6473" s="121"/>
      <c r="U6473" s="120"/>
      <c r="V6473" s="123"/>
      <c r="W6473" s="125"/>
      <c r="X6473" s="142" t="s">
        <v>19181</v>
      </c>
      <c r="Y6473" s="143"/>
      <c r="Z6473" s="143"/>
      <c r="AA6473" s="143"/>
      <c r="AB6473" s="144"/>
      <c r="AC6473" s="16" t="s">
        <v>21</v>
      </c>
      <c r="AD6473" s="17" t="s">
        <v>1714</v>
      </c>
      <c r="AE6473" s="145" t="s">
        <v>9867</v>
      </c>
      <c r="AF6473" s="146"/>
      <c r="AG6473" s="146"/>
      <c r="AH6473" s="146"/>
      <c r="AI6473" s="147"/>
      <c r="AJ6473" s="148"/>
      <c r="AK6473" s="143"/>
      <c r="AL6473" s="144"/>
      <c r="AM6473" s="22"/>
      <c r="AN6473" s="149" t="s">
        <v>2511</v>
      </c>
      <c r="AO6473" s="144"/>
      <c r="AP6473" s="148">
        <v>60484</v>
      </c>
      <c r="AQ6473" s="144"/>
      <c r="AR6473" s="120"/>
      <c r="AS6473" s="121"/>
      <c r="AT6473" s="120"/>
      <c r="AU6473" s="121"/>
      <c r="AV6473" s="120"/>
      <c r="AW6473" s="121"/>
      <c r="AX6473" s="120"/>
      <c r="AY6473" s="121"/>
      <c r="AZ6473" s="138"/>
    </row>
    <row r="6474" spans="1:52" ht="17.100000000000001" customHeight="1" thickTop="1">
      <c r="A6474" s="109" t="s">
        <v>18685</v>
      </c>
      <c r="B6474" s="28">
        <v>46077</v>
      </c>
      <c r="C6474" s="25">
        <v>928</v>
      </c>
      <c r="D6474" s="13" t="s">
        <v>2363</v>
      </c>
      <c r="E6474" s="111"/>
      <c r="F6474" s="113" t="s">
        <v>15215</v>
      </c>
      <c r="G6474" s="114"/>
      <c r="H6474" s="115"/>
      <c r="I6474" s="24" t="s">
        <v>6716</v>
      </c>
      <c r="J6474" s="116">
        <v>5</v>
      </c>
      <c r="K6474" s="118">
        <v>1202000</v>
      </c>
      <c r="L6474" s="119"/>
      <c r="M6474" s="118">
        <f t="shared" ref="M6474" si="8875">K6474*0.1</f>
        <v>120200</v>
      </c>
      <c r="N6474" s="119"/>
      <c r="O6474" s="118">
        <v>0</v>
      </c>
      <c r="P6474" s="119"/>
      <c r="Q6474" s="118">
        <v>8350</v>
      </c>
      <c r="R6474" s="119"/>
      <c r="S6474" s="118">
        <v>15950</v>
      </c>
      <c r="T6474" s="119"/>
      <c r="U6474" s="118">
        <f t="shared" ref="U6474" si="8876">SUM(K6474:T6475)</f>
        <v>1346500</v>
      </c>
      <c r="V6474" s="122"/>
      <c r="W6474" s="124"/>
      <c r="X6474" s="126" t="s">
        <v>18698</v>
      </c>
      <c r="Y6474" s="127"/>
      <c r="Z6474" s="127"/>
      <c r="AA6474" s="127"/>
      <c r="AB6474" s="128"/>
      <c r="AC6474" s="15" t="s">
        <v>20</v>
      </c>
      <c r="AD6474" s="129" t="s">
        <v>18696</v>
      </c>
      <c r="AE6474" s="130"/>
      <c r="AF6474" s="130"/>
      <c r="AG6474" s="130"/>
      <c r="AH6474" s="130"/>
      <c r="AI6474" s="131"/>
      <c r="AJ6474" s="132"/>
      <c r="AK6474" s="127"/>
      <c r="AL6474" s="128"/>
      <c r="AM6474" s="21"/>
      <c r="AN6474" s="133">
        <v>46081</v>
      </c>
      <c r="AO6474" s="134"/>
      <c r="AP6474" s="135">
        <v>1290</v>
      </c>
      <c r="AQ6474" s="136"/>
      <c r="AR6474" s="118">
        <v>1255000</v>
      </c>
      <c r="AS6474" s="119"/>
      <c r="AT6474" s="118">
        <f t="shared" ref="AT6474" si="8877">AR6474*0.1</f>
        <v>125500</v>
      </c>
      <c r="AU6474" s="119"/>
      <c r="AV6474" s="118">
        <v>8350</v>
      </c>
      <c r="AW6474" s="119"/>
      <c r="AX6474" s="118">
        <f t="shared" ref="AX6474" si="8878">SUM(AR6474:AW6474)</f>
        <v>1388850</v>
      </c>
      <c r="AY6474" s="119"/>
      <c r="AZ6474" s="137">
        <v>46086</v>
      </c>
    </row>
    <row r="6475" spans="1:52" ht="17.100000000000001" customHeight="1" thickBot="1">
      <c r="A6475" s="110"/>
      <c r="B6475" s="27" t="s">
        <v>2699</v>
      </c>
      <c r="C6475" s="27">
        <v>3158</v>
      </c>
      <c r="D6475" s="14" t="s">
        <v>2800</v>
      </c>
      <c r="E6475" s="112"/>
      <c r="F6475" s="139" t="s">
        <v>18691</v>
      </c>
      <c r="G6475" s="140"/>
      <c r="H6475" s="141"/>
      <c r="I6475" s="26">
        <v>4997</v>
      </c>
      <c r="J6475" s="117"/>
      <c r="K6475" s="120"/>
      <c r="L6475" s="121"/>
      <c r="M6475" s="120"/>
      <c r="N6475" s="121"/>
      <c r="O6475" s="120"/>
      <c r="P6475" s="121"/>
      <c r="Q6475" s="120"/>
      <c r="R6475" s="121"/>
      <c r="S6475" s="120"/>
      <c r="T6475" s="121"/>
      <c r="U6475" s="120"/>
      <c r="V6475" s="123"/>
      <c r="W6475" s="125"/>
      <c r="X6475" s="142" t="s">
        <v>19179</v>
      </c>
      <c r="Y6475" s="143"/>
      <c r="Z6475" s="143"/>
      <c r="AA6475" s="143"/>
      <c r="AB6475" s="144"/>
      <c r="AC6475" s="16" t="s">
        <v>21</v>
      </c>
      <c r="AD6475" s="17" t="s">
        <v>1714</v>
      </c>
      <c r="AE6475" s="145" t="s">
        <v>1742</v>
      </c>
      <c r="AF6475" s="146"/>
      <c r="AG6475" s="146"/>
      <c r="AH6475" s="146"/>
      <c r="AI6475" s="147"/>
      <c r="AJ6475" s="148"/>
      <c r="AK6475" s="143"/>
      <c r="AL6475" s="144"/>
      <c r="AM6475" s="22"/>
      <c r="AN6475" s="149" t="s">
        <v>2511</v>
      </c>
      <c r="AO6475" s="144"/>
      <c r="AP6475" s="148">
        <v>60483</v>
      </c>
      <c r="AQ6475" s="144"/>
      <c r="AR6475" s="120"/>
      <c r="AS6475" s="121"/>
      <c r="AT6475" s="120"/>
      <c r="AU6475" s="121"/>
      <c r="AV6475" s="120"/>
      <c r="AW6475" s="121"/>
      <c r="AX6475" s="120"/>
      <c r="AY6475" s="121"/>
      <c r="AZ6475" s="138"/>
    </row>
    <row r="6476" spans="1:52" ht="17.100000000000001" customHeight="1" thickTop="1">
      <c r="A6476" s="109" t="s">
        <v>18686</v>
      </c>
      <c r="B6476" s="28">
        <v>46077</v>
      </c>
      <c r="C6476" s="25">
        <v>928</v>
      </c>
      <c r="D6476" s="13" t="s">
        <v>1688</v>
      </c>
      <c r="E6476" s="111"/>
      <c r="F6476" s="113" t="s">
        <v>18692</v>
      </c>
      <c r="G6476" s="114"/>
      <c r="H6476" s="115"/>
      <c r="I6476" s="24"/>
      <c r="J6476" s="116">
        <v>4.5</v>
      </c>
      <c r="K6476" s="118">
        <v>1948000</v>
      </c>
      <c r="L6476" s="119"/>
      <c r="M6476" s="118">
        <f t="shared" ref="M6476" si="8879">K6476*0.1</f>
        <v>194800</v>
      </c>
      <c r="N6476" s="119"/>
      <c r="O6476" s="118">
        <v>0</v>
      </c>
      <c r="P6476" s="119"/>
      <c r="Q6476" s="118">
        <v>15130</v>
      </c>
      <c r="R6476" s="119"/>
      <c r="S6476" s="118">
        <v>15950</v>
      </c>
      <c r="T6476" s="119"/>
      <c r="U6476" s="118">
        <f t="shared" ref="U6476" si="8880">SUM(K6476:T6477)</f>
        <v>2173880</v>
      </c>
      <c r="V6476" s="122"/>
      <c r="W6476" s="124"/>
      <c r="X6476" s="126" t="s">
        <v>19194</v>
      </c>
      <c r="Y6476" s="127"/>
      <c r="Z6476" s="127"/>
      <c r="AA6476" s="127"/>
      <c r="AB6476" s="128"/>
      <c r="AC6476" s="15" t="s">
        <v>20</v>
      </c>
      <c r="AD6476" s="129" t="s">
        <v>4435</v>
      </c>
      <c r="AE6476" s="130"/>
      <c r="AF6476" s="130"/>
      <c r="AG6476" s="130"/>
      <c r="AH6476" s="130"/>
      <c r="AI6476" s="131"/>
      <c r="AJ6476" s="132"/>
      <c r="AK6476" s="127"/>
      <c r="AL6476" s="128"/>
      <c r="AM6476" s="21"/>
      <c r="AN6476" s="133">
        <v>46088</v>
      </c>
      <c r="AO6476" s="134"/>
      <c r="AP6476" s="135">
        <v>1291</v>
      </c>
      <c r="AQ6476" s="136"/>
      <c r="AR6476" s="118">
        <v>2110000</v>
      </c>
      <c r="AS6476" s="119"/>
      <c r="AT6476" s="118">
        <f t="shared" ref="AT6476" si="8881">AR6476*0.1</f>
        <v>211000</v>
      </c>
      <c r="AU6476" s="119"/>
      <c r="AV6476" s="118">
        <v>15130</v>
      </c>
      <c r="AW6476" s="119"/>
      <c r="AX6476" s="118">
        <f t="shared" ref="AX6476" si="8882">SUM(AR6476:AW6476)</f>
        <v>2336130</v>
      </c>
      <c r="AY6476" s="119"/>
      <c r="AZ6476" s="137">
        <v>46091</v>
      </c>
    </row>
    <row r="6477" spans="1:52" ht="17.100000000000001" customHeight="1" thickBot="1">
      <c r="A6477" s="110"/>
      <c r="B6477" s="27" t="s">
        <v>2699</v>
      </c>
      <c r="C6477" s="27">
        <v>5032</v>
      </c>
      <c r="D6477" s="14" t="s">
        <v>2601</v>
      </c>
      <c r="E6477" s="112"/>
      <c r="F6477" s="139" t="s">
        <v>18699</v>
      </c>
      <c r="G6477" s="140"/>
      <c r="H6477" s="141"/>
      <c r="I6477" s="26">
        <v>38122</v>
      </c>
      <c r="J6477" s="117"/>
      <c r="K6477" s="120"/>
      <c r="L6477" s="121"/>
      <c r="M6477" s="120"/>
      <c r="N6477" s="121"/>
      <c r="O6477" s="120"/>
      <c r="P6477" s="121"/>
      <c r="Q6477" s="120"/>
      <c r="R6477" s="121"/>
      <c r="S6477" s="120"/>
      <c r="T6477" s="121"/>
      <c r="U6477" s="120"/>
      <c r="V6477" s="123"/>
      <c r="W6477" s="125"/>
      <c r="X6477" s="142" t="s">
        <v>4486</v>
      </c>
      <c r="Y6477" s="143"/>
      <c r="Z6477" s="143"/>
      <c r="AA6477" s="143"/>
      <c r="AB6477" s="144"/>
      <c r="AC6477" s="16" t="s">
        <v>21</v>
      </c>
      <c r="AD6477" s="17" t="s">
        <v>1714</v>
      </c>
      <c r="AE6477" s="145" t="s">
        <v>3609</v>
      </c>
      <c r="AF6477" s="146"/>
      <c r="AG6477" s="146"/>
      <c r="AH6477" s="146"/>
      <c r="AI6477" s="147"/>
      <c r="AJ6477" s="148"/>
      <c r="AK6477" s="143"/>
      <c r="AL6477" s="144"/>
      <c r="AM6477" s="22"/>
      <c r="AN6477" s="149" t="s">
        <v>2511</v>
      </c>
      <c r="AO6477" s="144"/>
      <c r="AP6477" s="148">
        <v>80008</v>
      </c>
      <c r="AQ6477" s="144"/>
      <c r="AR6477" s="120"/>
      <c r="AS6477" s="121"/>
      <c r="AT6477" s="120"/>
      <c r="AU6477" s="121"/>
      <c r="AV6477" s="120"/>
      <c r="AW6477" s="121"/>
      <c r="AX6477" s="120"/>
      <c r="AY6477" s="121"/>
      <c r="AZ6477" s="138"/>
    </row>
    <row r="6478" spans="1:52" ht="17.100000000000001" customHeight="1" thickTop="1">
      <c r="A6478" s="151" t="s">
        <v>18700</v>
      </c>
      <c r="B6478" s="28">
        <v>46077</v>
      </c>
      <c r="C6478" s="25">
        <v>979</v>
      </c>
      <c r="D6478" s="13" t="s">
        <v>1688</v>
      </c>
      <c r="E6478" s="111"/>
      <c r="F6478" s="113" t="s">
        <v>7775</v>
      </c>
      <c r="G6478" s="114"/>
      <c r="H6478" s="115"/>
      <c r="I6478" s="24"/>
      <c r="J6478" s="116">
        <v>4</v>
      </c>
      <c r="K6478" s="118">
        <v>528000</v>
      </c>
      <c r="L6478" s="119"/>
      <c r="M6478" s="118">
        <f t="shared" ref="M6478" si="8883">K6478*0.1</f>
        <v>52800</v>
      </c>
      <c r="N6478" s="119"/>
      <c r="O6478" s="118">
        <v>0</v>
      </c>
      <c r="P6478" s="119"/>
      <c r="Q6478" s="118">
        <v>5690</v>
      </c>
      <c r="R6478" s="119"/>
      <c r="S6478" s="118">
        <v>22000</v>
      </c>
      <c r="T6478" s="119"/>
      <c r="U6478" s="118">
        <f t="shared" ref="U6478" si="8884">SUM(K6478:T6479)</f>
        <v>608490</v>
      </c>
      <c r="V6478" s="122"/>
      <c r="W6478" s="124"/>
      <c r="X6478" s="126"/>
      <c r="Y6478" s="127"/>
      <c r="Z6478" s="127"/>
      <c r="AA6478" s="127"/>
      <c r="AB6478" s="128"/>
      <c r="AC6478" s="15" t="s">
        <v>20</v>
      </c>
      <c r="AD6478" s="129" t="s">
        <v>1670</v>
      </c>
      <c r="AE6478" s="130"/>
      <c r="AF6478" s="130"/>
      <c r="AG6478" s="130"/>
      <c r="AH6478" s="130"/>
      <c r="AI6478" s="131"/>
      <c r="AJ6478" s="132" t="s">
        <v>19383</v>
      </c>
      <c r="AK6478" s="127"/>
      <c r="AL6478" s="128"/>
      <c r="AM6478" s="21"/>
      <c r="AN6478" s="133"/>
      <c r="AO6478" s="134"/>
      <c r="AP6478" s="135"/>
      <c r="AQ6478" s="136"/>
      <c r="AR6478" s="118"/>
      <c r="AS6478" s="119"/>
      <c r="AT6478" s="118">
        <f t="shared" ref="AT6478" si="8885">AR6478*0.1</f>
        <v>0</v>
      </c>
      <c r="AU6478" s="119"/>
      <c r="AV6478" s="118"/>
      <c r="AW6478" s="119"/>
      <c r="AX6478" s="118">
        <f t="shared" ref="AX6478" si="8886">SUM(AR6478:AW6478)</f>
        <v>0</v>
      </c>
      <c r="AY6478" s="119"/>
      <c r="AZ6478" s="137"/>
    </row>
    <row r="6479" spans="1:52" ht="17.100000000000001" customHeight="1" thickBot="1">
      <c r="A6479" s="152"/>
      <c r="B6479" s="27" t="s">
        <v>18196</v>
      </c>
      <c r="C6479" s="27">
        <v>91</v>
      </c>
      <c r="D6479" s="14" t="s">
        <v>2800</v>
      </c>
      <c r="E6479" s="112"/>
      <c r="F6479" s="139" t="s">
        <v>18704</v>
      </c>
      <c r="G6479" s="140"/>
      <c r="H6479" s="141"/>
      <c r="I6479" s="26">
        <v>56440</v>
      </c>
      <c r="J6479" s="117"/>
      <c r="K6479" s="120"/>
      <c r="L6479" s="121"/>
      <c r="M6479" s="120"/>
      <c r="N6479" s="121"/>
      <c r="O6479" s="120"/>
      <c r="P6479" s="121"/>
      <c r="Q6479" s="120"/>
      <c r="R6479" s="121"/>
      <c r="S6479" s="120"/>
      <c r="T6479" s="121"/>
      <c r="U6479" s="120"/>
      <c r="V6479" s="123"/>
      <c r="W6479" s="125"/>
      <c r="X6479" s="142"/>
      <c r="Y6479" s="143"/>
      <c r="Z6479" s="143"/>
      <c r="AA6479" s="143"/>
      <c r="AB6479" s="144"/>
      <c r="AC6479" s="16" t="s">
        <v>21</v>
      </c>
      <c r="AD6479" s="17" t="s">
        <v>19384</v>
      </c>
      <c r="AE6479" s="145"/>
      <c r="AF6479" s="146"/>
      <c r="AG6479" s="146"/>
      <c r="AH6479" s="146"/>
      <c r="AI6479" s="147"/>
      <c r="AJ6479" s="148"/>
      <c r="AK6479" s="143"/>
      <c r="AL6479" s="144"/>
      <c r="AM6479" s="22"/>
      <c r="AN6479" s="149"/>
      <c r="AO6479" s="144"/>
      <c r="AP6479" s="148"/>
      <c r="AQ6479" s="144"/>
      <c r="AR6479" s="120"/>
      <c r="AS6479" s="121"/>
      <c r="AT6479" s="120"/>
      <c r="AU6479" s="121"/>
      <c r="AV6479" s="120"/>
      <c r="AW6479" s="121"/>
      <c r="AX6479" s="120"/>
      <c r="AY6479" s="121"/>
      <c r="AZ6479" s="138"/>
    </row>
    <row r="6480" spans="1:52" ht="17.100000000000001" customHeight="1" thickTop="1">
      <c r="A6480" s="151" t="s">
        <v>18701</v>
      </c>
      <c r="B6480" s="28">
        <v>46077</v>
      </c>
      <c r="C6480" s="25">
        <v>979</v>
      </c>
      <c r="D6480" s="13" t="s">
        <v>2036</v>
      </c>
      <c r="E6480" s="111"/>
      <c r="F6480" s="113" t="s">
        <v>7775</v>
      </c>
      <c r="G6480" s="114"/>
      <c r="H6480" s="115"/>
      <c r="I6480" s="24"/>
      <c r="J6480" s="116">
        <v>4</v>
      </c>
      <c r="K6480" s="118">
        <v>578000</v>
      </c>
      <c r="L6480" s="119"/>
      <c r="M6480" s="118">
        <f t="shared" ref="M6480" si="8887">K6480*0.1</f>
        <v>57800</v>
      </c>
      <c r="N6480" s="119"/>
      <c r="O6480" s="118">
        <v>0</v>
      </c>
      <c r="P6480" s="119"/>
      <c r="Q6480" s="118">
        <v>5690</v>
      </c>
      <c r="R6480" s="119"/>
      <c r="S6480" s="118">
        <v>22000</v>
      </c>
      <c r="T6480" s="119"/>
      <c r="U6480" s="118">
        <f t="shared" ref="U6480" si="8888">SUM(K6480:T6481)</f>
        <v>663490</v>
      </c>
      <c r="V6480" s="122"/>
      <c r="W6480" s="124"/>
      <c r="X6480" s="126"/>
      <c r="Y6480" s="127"/>
      <c r="Z6480" s="127"/>
      <c r="AA6480" s="127"/>
      <c r="AB6480" s="128"/>
      <c r="AC6480" s="15" t="s">
        <v>20</v>
      </c>
      <c r="AD6480" s="129" t="s">
        <v>1670</v>
      </c>
      <c r="AE6480" s="130"/>
      <c r="AF6480" s="130"/>
      <c r="AG6480" s="130"/>
      <c r="AH6480" s="130"/>
      <c r="AI6480" s="131"/>
      <c r="AJ6480" s="132" t="s">
        <v>19385</v>
      </c>
      <c r="AK6480" s="127"/>
      <c r="AL6480" s="128"/>
      <c r="AM6480" s="21"/>
      <c r="AN6480" s="133"/>
      <c r="AO6480" s="134"/>
      <c r="AP6480" s="135"/>
      <c r="AQ6480" s="136"/>
      <c r="AR6480" s="118"/>
      <c r="AS6480" s="119"/>
      <c r="AT6480" s="118">
        <f t="shared" ref="AT6480" si="8889">AR6480*0.1</f>
        <v>0</v>
      </c>
      <c r="AU6480" s="119"/>
      <c r="AV6480" s="118"/>
      <c r="AW6480" s="119"/>
      <c r="AX6480" s="118">
        <f t="shared" ref="AX6480" si="8890">SUM(AR6480:AW6480)</f>
        <v>0</v>
      </c>
      <c r="AY6480" s="119"/>
      <c r="AZ6480" s="137"/>
    </row>
    <row r="6481" spans="1:52" ht="17.100000000000001" customHeight="1" thickBot="1">
      <c r="A6481" s="152"/>
      <c r="B6481" s="27" t="s">
        <v>18196</v>
      </c>
      <c r="C6481" s="27">
        <v>93</v>
      </c>
      <c r="D6481" s="14" t="s">
        <v>1592</v>
      </c>
      <c r="E6481" s="112"/>
      <c r="F6481" s="139" t="s">
        <v>18705</v>
      </c>
      <c r="G6481" s="140"/>
      <c r="H6481" s="141"/>
      <c r="I6481" s="26">
        <v>49296</v>
      </c>
      <c r="J6481" s="117"/>
      <c r="K6481" s="120"/>
      <c r="L6481" s="121"/>
      <c r="M6481" s="120"/>
      <c r="N6481" s="121"/>
      <c r="O6481" s="120"/>
      <c r="P6481" s="121"/>
      <c r="Q6481" s="120"/>
      <c r="R6481" s="121"/>
      <c r="S6481" s="120"/>
      <c r="T6481" s="121"/>
      <c r="U6481" s="120"/>
      <c r="V6481" s="123"/>
      <c r="W6481" s="125"/>
      <c r="X6481" s="142"/>
      <c r="Y6481" s="143"/>
      <c r="Z6481" s="143"/>
      <c r="AA6481" s="143"/>
      <c r="AB6481" s="144"/>
      <c r="AC6481" s="16" t="s">
        <v>21</v>
      </c>
      <c r="AD6481" s="17" t="s">
        <v>19384</v>
      </c>
      <c r="AE6481" s="145"/>
      <c r="AF6481" s="146"/>
      <c r="AG6481" s="146"/>
      <c r="AH6481" s="146"/>
      <c r="AI6481" s="147"/>
      <c r="AJ6481" s="148"/>
      <c r="AK6481" s="143"/>
      <c r="AL6481" s="144"/>
      <c r="AM6481" s="22"/>
      <c r="AN6481" s="149"/>
      <c r="AO6481" s="144"/>
      <c r="AP6481" s="148"/>
      <c r="AQ6481" s="144"/>
      <c r="AR6481" s="120"/>
      <c r="AS6481" s="121"/>
      <c r="AT6481" s="120"/>
      <c r="AU6481" s="121"/>
      <c r="AV6481" s="120"/>
      <c r="AW6481" s="121"/>
      <c r="AX6481" s="120"/>
      <c r="AY6481" s="121"/>
      <c r="AZ6481" s="138"/>
    </row>
    <row r="6482" spans="1:52" ht="17.100000000000001" customHeight="1" thickTop="1">
      <c r="A6482" s="151" t="s">
        <v>18702</v>
      </c>
      <c r="B6482" s="28">
        <v>46077</v>
      </c>
      <c r="C6482" s="25">
        <v>979</v>
      </c>
      <c r="D6482" s="13" t="s">
        <v>818</v>
      </c>
      <c r="E6482" s="111"/>
      <c r="F6482" s="113" t="s">
        <v>18706</v>
      </c>
      <c r="G6482" s="114"/>
      <c r="H6482" s="115"/>
      <c r="I6482" s="24"/>
      <c r="J6482" s="116">
        <v>4</v>
      </c>
      <c r="K6482" s="118">
        <v>829000</v>
      </c>
      <c r="L6482" s="119"/>
      <c r="M6482" s="118">
        <f t="shared" ref="M6482" si="8891">K6482*0.1</f>
        <v>82900</v>
      </c>
      <c r="N6482" s="119"/>
      <c r="O6482" s="118">
        <v>0</v>
      </c>
      <c r="P6482" s="119"/>
      <c r="Q6482" s="118">
        <v>8110</v>
      </c>
      <c r="R6482" s="119"/>
      <c r="S6482" s="118">
        <v>22000</v>
      </c>
      <c r="T6482" s="119"/>
      <c r="U6482" s="118">
        <f t="shared" ref="U6482" si="8892">SUM(K6482:T6483)</f>
        <v>942010</v>
      </c>
      <c r="V6482" s="122"/>
      <c r="W6482" s="124"/>
      <c r="X6482" s="126"/>
      <c r="Y6482" s="127"/>
      <c r="Z6482" s="127"/>
      <c r="AA6482" s="127"/>
      <c r="AB6482" s="128"/>
      <c r="AC6482" s="15" t="s">
        <v>20</v>
      </c>
      <c r="AD6482" s="129" t="s">
        <v>16303</v>
      </c>
      <c r="AE6482" s="130"/>
      <c r="AF6482" s="130"/>
      <c r="AG6482" s="130"/>
      <c r="AH6482" s="130"/>
      <c r="AI6482" s="131"/>
      <c r="AJ6482" s="132" t="s">
        <v>19386</v>
      </c>
      <c r="AK6482" s="127"/>
      <c r="AL6482" s="128"/>
      <c r="AM6482" s="21"/>
      <c r="AN6482" s="133"/>
      <c r="AO6482" s="134"/>
      <c r="AP6482" s="135"/>
      <c r="AQ6482" s="136"/>
      <c r="AR6482" s="118"/>
      <c r="AS6482" s="119"/>
      <c r="AT6482" s="118">
        <f t="shared" ref="AT6482" si="8893">AR6482*0.1</f>
        <v>0</v>
      </c>
      <c r="AU6482" s="119"/>
      <c r="AV6482" s="118"/>
      <c r="AW6482" s="119"/>
      <c r="AX6482" s="118">
        <f t="shared" ref="AX6482" si="8894">SUM(AR6482:AW6482)</f>
        <v>0</v>
      </c>
      <c r="AY6482" s="119"/>
      <c r="AZ6482" s="137"/>
    </row>
    <row r="6483" spans="1:52" ht="17.100000000000001" customHeight="1" thickBot="1">
      <c r="A6483" s="152"/>
      <c r="B6483" s="27" t="s">
        <v>18196</v>
      </c>
      <c r="C6483" s="27">
        <v>1047</v>
      </c>
      <c r="D6483" s="14" t="s">
        <v>1720</v>
      </c>
      <c r="E6483" s="112"/>
      <c r="F6483" s="139" t="s">
        <v>18707</v>
      </c>
      <c r="G6483" s="140"/>
      <c r="H6483" s="141"/>
      <c r="I6483" s="26">
        <v>57531</v>
      </c>
      <c r="J6483" s="117"/>
      <c r="K6483" s="120"/>
      <c r="L6483" s="121"/>
      <c r="M6483" s="120"/>
      <c r="N6483" s="121"/>
      <c r="O6483" s="120"/>
      <c r="P6483" s="121"/>
      <c r="Q6483" s="120"/>
      <c r="R6483" s="121"/>
      <c r="S6483" s="120"/>
      <c r="T6483" s="121"/>
      <c r="U6483" s="120"/>
      <c r="V6483" s="123"/>
      <c r="W6483" s="125"/>
      <c r="X6483" s="142"/>
      <c r="Y6483" s="143"/>
      <c r="Z6483" s="143"/>
      <c r="AA6483" s="143"/>
      <c r="AB6483" s="144"/>
      <c r="AC6483" s="16" t="s">
        <v>21</v>
      </c>
      <c r="AD6483" s="17" t="s">
        <v>19384</v>
      </c>
      <c r="AE6483" s="145"/>
      <c r="AF6483" s="146"/>
      <c r="AG6483" s="146"/>
      <c r="AH6483" s="146"/>
      <c r="AI6483" s="147"/>
      <c r="AJ6483" s="148"/>
      <c r="AK6483" s="143"/>
      <c r="AL6483" s="144"/>
      <c r="AM6483" s="22"/>
      <c r="AN6483" s="149"/>
      <c r="AO6483" s="144"/>
      <c r="AP6483" s="148"/>
      <c r="AQ6483" s="144"/>
      <c r="AR6483" s="120"/>
      <c r="AS6483" s="121"/>
      <c r="AT6483" s="120"/>
      <c r="AU6483" s="121"/>
      <c r="AV6483" s="120"/>
      <c r="AW6483" s="121"/>
      <c r="AX6483" s="120"/>
      <c r="AY6483" s="121"/>
      <c r="AZ6483" s="138"/>
    </row>
    <row r="6484" spans="1:52" ht="17.100000000000001" customHeight="1" thickTop="1">
      <c r="A6484" s="151" t="s">
        <v>18703</v>
      </c>
      <c r="B6484" s="28">
        <v>46077</v>
      </c>
      <c r="C6484" s="25">
        <v>979</v>
      </c>
      <c r="D6484" s="13" t="s">
        <v>818</v>
      </c>
      <c r="E6484" s="111"/>
      <c r="F6484" s="113" t="s">
        <v>15289</v>
      </c>
      <c r="G6484" s="114"/>
      <c r="H6484" s="115"/>
      <c r="I6484" s="24"/>
      <c r="J6484" s="116">
        <v>4</v>
      </c>
      <c r="K6484" s="118">
        <v>1048000</v>
      </c>
      <c r="L6484" s="119"/>
      <c r="M6484" s="118">
        <f t="shared" ref="M6484" si="8895">K6484*0.1</f>
        <v>104800</v>
      </c>
      <c r="N6484" s="119"/>
      <c r="O6484" s="118">
        <v>0</v>
      </c>
      <c r="P6484" s="119"/>
      <c r="Q6484" s="118">
        <v>9310</v>
      </c>
      <c r="R6484" s="119"/>
      <c r="S6484" s="118">
        <v>22000</v>
      </c>
      <c r="T6484" s="119"/>
      <c r="U6484" s="118">
        <f t="shared" ref="U6484" si="8896">SUM(K6484:T6485)</f>
        <v>1184110</v>
      </c>
      <c r="V6484" s="122"/>
      <c r="W6484" s="124"/>
      <c r="X6484" s="126"/>
      <c r="Y6484" s="127"/>
      <c r="Z6484" s="127"/>
      <c r="AA6484" s="127"/>
      <c r="AB6484" s="128"/>
      <c r="AC6484" s="15" t="s">
        <v>20</v>
      </c>
      <c r="AD6484" s="129" t="s">
        <v>16303</v>
      </c>
      <c r="AE6484" s="130"/>
      <c r="AF6484" s="130"/>
      <c r="AG6484" s="130"/>
      <c r="AH6484" s="130"/>
      <c r="AI6484" s="131"/>
      <c r="AJ6484" s="132" t="s">
        <v>19387</v>
      </c>
      <c r="AK6484" s="127"/>
      <c r="AL6484" s="128"/>
      <c r="AM6484" s="21"/>
      <c r="AN6484" s="133"/>
      <c r="AO6484" s="134"/>
      <c r="AP6484" s="135"/>
      <c r="AQ6484" s="136"/>
      <c r="AR6484" s="118"/>
      <c r="AS6484" s="119"/>
      <c r="AT6484" s="118">
        <f t="shared" ref="AT6484" si="8897">AR6484*0.1</f>
        <v>0</v>
      </c>
      <c r="AU6484" s="119"/>
      <c r="AV6484" s="118"/>
      <c r="AW6484" s="119"/>
      <c r="AX6484" s="118">
        <f t="shared" ref="AX6484" si="8898">SUM(AR6484:AW6484)</f>
        <v>0</v>
      </c>
      <c r="AY6484" s="119"/>
      <c r="AZ6484" s="137"/>
    </row>
    <row r="6485" spans="1:52" ht="17.100000000000001" customHeight="1" thickBot="1">
      <c r="A6485" s="152"/>
      <c r="B6485" s="27" t="s">
        <v>18196</v>
      </c>
      <c r="C6485" s="27">
        <v>1048</v>
      </c>
      <c r="D6485" s="14" t="s">
        <v>17308</v>
      </c>
      <c r="E6485" s="112"/>
      <c r="F6485" s="139" t="s">
        <v>18708</v>
      </c>
      <c r="G6485" s="140"/>
      <c r="H6485" s="141"/>
      <c r="I6485" s="26">
        <v>49885</v>
      </c>
      <c r="J6485" s="117"/>
      <c r="K6485" s="120"/>
      <c r="L6485" s="121"/>
      <c r="M6485" s="120"/>
      <c r="N6485" s="121"/>
      <c r="O6485" s="120"/>
      <c r="P6485" s="121"/>
      <c r="Q6485" s="120"/>
      <c r="R6485" s="121"/>
      <c r="S6485" s="120"/>
      <c r="T6485" s="121"/>
      <c r="U6485" s="120"/>
      <c r="V6485" s="123"/>
      <c r="W6485" s="125"/>
      <c r="X6485" s="142"/>
      <c r="Y6485" s="143"/>
      <c r="Z6485" s="143"/>
      <c r="AA6485" s="143"/>
      <c r="AB6485" s="144"/>
      <c r="AC6485" s="16" t="s">
        <v>21</v>
      </c>
      <c r="AD6485" s="17" t="s">
        <v>19384</v>
      </c>
      <c r="AE6485" s="145"/>
      <c r="AF6485" s="146"/>
      <c r="AG6485" s="146"/>
      <c r="AH6485" s="146"/>
      <c r="AI6485" s="147"/>
      <c r="AJ6485" s="148"/>
      <c r="AK6485" s="143"/>
      <c r="AL6485" s="144"/>
      <c r="AM6485" s="22"/>
      <c r="AN6485" s="149"/>
      <c r="AO6485" s="144"/>
      <c r="AP6485" s="148"/>
      <c r="AQ6485" s="144"/>
      <c r="AR6485" s="120"/>
      <c r="AS6485" s="121"/>
      <c r="AT6485" s="120"/>
      <c r="AU6485" s="121"/>
      <c r="AV6485" s="120"/>
      <c r="AW6485" s="121"/>
      <c r="AX6485" s="120"/>
      <c r="AY6485" s="121"/>
      <c r="AZ6485" s="138"/>
    </row>
    <row r="6486" spans="1:52" ht="17.100000000000001" customHeight="1" thickTop="1">
      <c r="A6486" s="109" t="s">
        <v>18709</v>
      </c>
      <c r="B6486" s="28">
        <v>46078</v>
      </c>
      <c r="C6486" s="25">
        <v>1006</v>
      </c>
      <c r="D6486" s="13" t="s">
        <v>3324</v>
      </c>
      <c r="E6486" s="111"/>
      <c r="F6486" s="113" t="s">
        <v>18711</v>
      </c>
      <c r="G6486" s="114"/>
      <c r="H6486" s="115"/>
      <c r="I6486" s="24" t="s">
        <v>2571</v>
      </c>
      <c r="J6486" s="116">
        <v>4.5</v>
      </c>
      <c r="K6486" s="118">
        <v>2390000</v>
      </c>
      <c r="L6486" s="119"/>
      <c r="M6486" s="118">
        <f t="shared" ref="M6486" si="8899">K6486*0.1</f>
        <v>239000</v>
      </c>
      <c r="N6486" s="119"/>
      <c r="O6486" s="118">
        <v>2750</v>
      </c>
      <c r="P6486" s="119"/>
      <c r="Q6486" s="118">
        <v>11650</v>
      </c>
      <c r="R6486" s="119"/>
      <c r="S6486" s="118">
        <v>12100</v>
      </c>
      <c r="T6486" s="119"/>
      <c r="U6486" s="118">
        <f t="shared" ref="U6486" si="8900">SUM(K6486:T6487)</f>
        <v>2655500</v>
      </c>
      <c r="V6486" s="122"/>
      <c r="W6486" s="124"/>
      <c r="X6486" s="126" t="s">
        <v>18714</v>
      </c>
      <c r="Y6486" s="127"/>
      <c r="Z6486" s="127"/>
      <c r="AA6486" s="127"/>
      <c r="AB6486" s="128"/>
      <c r="AC6486" s="15" t="s">
        <v>20</v>
      </c>
      <c r="AD6486" s="129" t="s">
        <v>18715</v>
      </c>
      <c r="AE6486" s="130"/>
      <c r="AF6486" s="130"/>
      <c r="AG6486" s="130"/>
      <c r="AH6486" s="130"/>
      <c r="AI6486" s="131"/>
      <c r="AJ6486" s="132"/>
      <c r="AK6486" s="127"/>
      <c r="AL6486" s="128"/>
      <c r="AM6486" s="21"/>
      <c r="AN6486" s="133">
        <v>46081</v>
      </c>
      <c r="AO6486" s="134"/>
      <c r="AP6486" s="135">
        <v>1290</v>
      </c>
      <c r="AQ6486" s="136"/>
      <c r="AR6486" s="118">
        <v>2455000</v>
      </c>
      <c r="AS6486" s="119"/>
      <c r="AT6486" s="118">
        <f t="shared" ref="AT6486" si="8901">AR6486*0.1</f>
        <v>245500</v>
      </c>
      <c r="AU6486" s="119"/>
      <c r="AV6486" s="118">
        <v>11650</v>
      </c>
      <c r="AW6486" s="119"/>
      <c r="AX6486" s="118">
        <f t="shared" ref="AX6486" si="8902">SUM(AR6486:AW6486)</f>
        <v>2712150</v>
      </c>
      <c r="AY6486" s="119"/>
      <c r="AZ6486" s="137">
        <v>46086</v>
      </c>
    </row>
    <row r="6487" spans="1:52" ht="17.100000000000001" customHeight="1" thickBot="1">
      <c r="A6487" s="110"/>
      <c r="B6487" s="27" t="s">
        <v>2794</v>
      </c>
      <c r="C6487" s="27">
        <v>1247</v>
      </c>
      <c r="D6487" s="14" t="s">
        <v>275</v>
      </c>
      <c r="E6487" s="112"/>
      <c r="F6487" s="139" t="s">
        <v>18712</v>
      </c>
      <c r="G6487" s="140"/>
      <c r="H6487" s="141"/>
      <c r="I6487" s="26">
        <v>12347</v>
      </c>
      <c r="J6487" s="117"/>
      <c r="K6487" s="120"/>
      <c r="L6487" s="121"/>
      <c r="M6487" s="120"/>
      <c r="N6487" s="121"/>
      <c r="O6487" s="120"/>
      <c r="P6487" s="121"/>
      <c r="Q6487" s="120"/>
      <c r="R6487" s="121"/>
      <c r="S6487" s="120"/>
      <c r="T6487" s="121"/>
      <c r="U6487" s="120"/>
      <c r="V6487" s="123"/>
      <c r="W6487" s="125"/>
      <c r="X6487" s="142" t="s">
        <v>19302</v>
      </c>
      <c r="Y6487" s="143"/>
      <c r="Z6487" s="143"/>
      <c r="AA6487" s="143"/>
      <c r="AB6487" s="144"/>
      <c r="AC6487" s="16" t="s">
        <v>21</v>
      </c>
      <c r="AD6487" s="17" t="s">
        <v>3980</v>
      </c>
      <c r="AE6487" s="145" t="s">
        <v>19303</v>
      </c>
      <c r="AF6487" s="146"/>
      <c r="AG6487" s="146"/>
      <c r="AH6487" s="146"/>
      <c r="AI6487" s="147"/>
      <c r="AJ6487" s="148"/>
      <c r="AK6487" s="143"/>
      <c r="AL6487" s="144"/>
      <c r="AM6487" s="22"/>
      <c r="AN6487" s="149" t="s">
        <v>2511</v>
      </c>
      <c r="AO6487" s="144"/>
      <c r="AP6487" s="148">
        <v>164</v>
      </c>
      <c r="AQ6487" s="144"/>
      <c r="AR6487" s="120"/>
      <c r="AS6487" s="121"/>
      <c r="AT6487" s="120"/>
      <c r="AU6487" s="121"/>
      <c r="AV6487" s="120"/>
      <c r="AW6487" s="121"/>
      <c r="AX6487" s="120"/>
      <c r="AY6487" s="121"/>
      <c r="AZ6487" s="138"/>
    </row>
    <row r="6488" spans="1:52" ht="17.100000000000001" customHeight="1" thickTop="1">
      <c r="A6488" s="109" t="s">
        <v>18710</v>
      </c>
      <c r="B6488" s="28">
        <v>46078</v>
      </c>
      <c r="C6488" s="25">
        <v>1006</v>
      </c>
      <c r="D6488" s="13" t="s">
        <v>3296</v>
      </c>
      <c r="E6488" s="111"/>
      <c r="F6488" s="113" t="s">
        <v>15853</v>
      </c>
      <c r="G6488" s="114"/>
      <c r="H6488" s="115"/>
      <c r="I6488" s="24" t="s">
        <v>2976</v>
      </c>
      <c r="J6488" s="116">
        <v>3.5</v>
      </c>
      <c r="K6488" s="118">
        <v>505000</v>
      </c>
      <c r="L6488" s="119"/>
      <c r="M6488" s="118">
        <f t="shared" ref="M6488" si="8903">K6488*0.1</f>
        <v>50500</v>
      </c>
      <c r="N6488" s="119"/>
      <c r="O6488" s="118">
        <v>0</v>
      </c>
      <c r="P6488" s="119"/>
      <c r="Q6488" s="118">
        <v>9080</v>
      </c>
      <c r="R6488" s="119"/>
      <c r="S6488" s="118">
        <v>11000</v>
      </c>
      <c r="T6488" s="119"/>
      <c r="U6488" s="118">
        <f t="shared" ref="U6488" si="8904">SUM(K6488:T6489)</f>
        <v>575580</v>
      </c>
      <c r="V6488" s="122"/>
      <c r="W6488" s="124"/>
      <c r="X6488" s="126" t="s">
        <v>19419</v>
      </c>
      <c r="Y6488" s="127"/>
      <c r="Z6488" s="127"/>
      <c r="AA6488" s="127"/>
      <c r="AB6488" s="128"/>
      <c r="AC6488" s="15" t="s">
        <v>20</v>
      </c>
      <c r="AD6488" s="129" t="s">
        <v>3896</v>
      </c>
      <c r="AE6488" s="130"/>
      <c r="AF6488" s="130"/>
      <c r="AG6488" s="130"/>
      <c r="AH6488" s="130"/>
      <c r="AI6488" s="131"/>
      <c r="AJ6488" s="132"/>
      <c r="AK6488" s="127"/>
      <c r="AL6488" s="128"/>
      <c r="AM6488" s="21" t="s">
        <v>20978</v>
      </c>
      <c r="AN6488" s="133"/>
      <c r="AO6488" s="134"/>
      <c r="AP6488" s="135"/>
      <c r="AQ6488" s="136"/>
      <c r="AR6488" s="118"/>
      <c r="AS6488" s="119"/>
      <c r="AT6488" s="118">
        <f t="shared" ref="AT6488" si="8905">AR6488*0.1</f>
        <v>0</v>
      </c>
      <c r="AU6488" s="119"/>
      <c r="AV6488" s="118"/>
      <c r="AW6488" s="119"/>
      <c r="AX6488" s="118">
        <f t="shared" ref="AX6488" si="8906">SUM(AR6488:AW6488)</f>
        <v>0</v>
      </c>
      <c r="AY6488" s="119"/>
      <c r="AZ6488" s="137"/>
    </row>
    <row r="6489" spans="1:52" ht="17.100000000000001" customHeight="1" thickBot="1">
      <c r="A6489" s="110"/>
      <c r="B6489" s="27" t="s">
        <v>2794</v>
      </c>
      <c r="C6489" s="27">
        <v>2069</v>
      </c>
      <c r="D6489" s="14" t="s">
        <v>275</v>
      </c>
      <c r="E6489" s="112"/>
      <c r="F6489" s="139" t="s">
        <v>18713</v>
      </c>
      <c r="G6489" s="140"/>
      <c r="H6489" s="141"/>
      <c r="I6489" s="26">
        <v>89624</v>
      </c>
      <c r="J6489" s="117"/>
      <c r="K6489" s="120"/>
      <c r="L6489" s="121"/>
      <c r="M6489" s="120"/>
      <c r="N6489" s="121"/>
      <c r="O6489" s="120"/>
      <c r="P6489" s="121"/>
      <c r="Q6489" s="120"/>
      <c r="R6489" s="121"/>
      <c r="S6489" s="120"/>
      <c r="T6489" s="121"/>
      <c r="U6489" s="120"/>
      <c r="V6489" s="123"/>
      <c r="W6489" s="125"/>
      <c r="X6489" s="142" t="s">
        <v>19420</v>
      </c>
      <c r="Y6489" s="143"/>
      <c r="Z6489" s="143"/>
      <c r="AA6489" s="143"/>
      <c r="AB6489" s="144"/>
      <c r="AC6489" s="16" t="s">
        <v>21</v>
      </c>
      <c r="AD6489" s="17" t="s">
        <v>19391</v>
      </c>
      <c r="AE6489" s="145" t="s">
        <v>19421</v>
      </c>
      <c r="AF6489" s="146"/>
      <c r="AG6489" s="146"/>
      <c r="AH6489" s="146"/>
      <c r="AI6489" s="147"/>
      <c r="AJ6489" s="148"/>
      <c r="AK6489" s="143"/>
      <c r="AL6489" s="144"/>
      <c r="AM6489" s="22"/>
      <c r="AN6489" s="149"/>
      <c r="AO6489" s="144"/>
      <c r="AP6489" s="148"/>
      <c r="AQ6489" s="144"/>
      <c r="AR6489" s="120"/>
      <c r="AS6489" s="121"/>
      <c r="AT6489" s="120"/>
      <c r="AU6489" s="121"/>
      <c r="AV6489" s="120"/>
      <c r="AW6489" s="121"/>
      <c r="AX6489" s="120"/>
      <c r="AY6489" s="121"/>
      <c r="AZ6489" s="138"/>
    </row>
    <row r="6490" spans="1:52" ht="17.100000000000001" customHeight="1" thickTop="1">
      <c r="A6490" s="109" t="s">
        <v>18726</v>
      </c>
      <c r="B6490" s="28">
        <v>46077</v>
      </c>
      <c r="C6490" s="25">
        <v>1277</v>
      </c>
      <c r="D6490" s="13" t="s">
        <v>1725</v>
      </c>
      <c r="E6490" s="111"/>
      <c r="F6490" s="113" t="s">
        <v>18730</v>
      </c>
      <c r="G6490" s="114"/>
      <c r="H6490" s="115"/>
      <c r="I6490" s="24"/>
      <c r="J6490" s="116">
        <v>4</v>
      </c>
      <c r="K6490" s="118">
        <v>1613000</v>
      </c>
      <c r="L6490" s="119"/>
      <c r="M6490" s="118">
        <f t="shared" ref="M6490" si="8907">K6490*0.1</f>
        <v>161300</v>
      </c>
      <c r="N6490" s="119"/>
      <c r="O6490" s="118">
        <v>0</v>
      </c>
      <c r="P6490" s="119"/>
      <c r="Q6490" s="118">
        <v>20410</v>
      </c>
      <c r="R6490" s="119"/>
      <c r="S6490" s="118">
        <v>18150</v>
      </c>
      <c r="T6490" s="119"/>
      <c r="U6490" s="118">
        <f t="shared" ref="U6490" si="8908">SUM(K6490:T6491)</f>
        <v>1812860</v>
      </c>
      <c r="V6490" s="122"/>
      <c r="W6490" s="124"/>
      <c r="X6490" s="126" t="s">
        <v>19188</v>
      </c>
      <c r="Y6490" s="127"/>
      <c r="Z6490" s="127"/>
      <c r="AA6490" s="127"/>
      <c r="AB6490" s="128"/>
      <c r="AC6490" s="15" t="s">
        <v>20</v>
      </c>
      <c r="AD6490" s="129"/>
      <c r="AE6490" s="130"/>
      <c r="AF6490" s="130"/>
      <c r="AG6490" s="130"/>
      <c r="AH6490" s="130"/>
      <c r="AI6490" s="131"/>
      <c r="AJ6490" s="132"/>
      <c r="AK6490" s="127"/>
      <c r="AL6490" s="128"/>
      <c r="AM6490" s="21"/>
      <c r="AN6490" s="133">
        <v>46081</v>
      </c>
      <c r="AO6490" s="134"/>
      <c r="AP6490" s="135">
        <v>1290</v>
      </c>
      <c r="AQ6490" s="136"/>
      <c r="AR6490" s="118">
        <v>1770000</v>
      </c>
      <c r="AS6490" s="119"/>
      <c r="AT6490" s="118">
        <f t="shared" ref="AT6490" si="8909">AR6490*0.1</f>
        <v>177000</v>
      </c>
      <c r="AU6490" s="119"/>
      <c r="AV6490" s="118">
        <v>20410</v>
      </c>
      <c r="AW6490" s="119"/>
      <c r="AX6490" s="118">
        <f t="shared" ref="AX6490" si="8910">SUM(AR6490:AW6490)</f>
        <v>1967410</v>
      </c>
      <c r="AY6490" s="119"/>
      <c r="AZ6490" s="137">
        <v>46086</v>
      </c>
    </row>
    <row r="6491" spans="1:52" ht="17.100000000000001" customHeight="1" thickBot="1">
      <c r="A6491" s="110"/>
      <c r="B6491" s="27" t="s">
        <v>18724</v>
      </c>
      <c r="C6491" s="27">
        <v>38025</v>
      </c>
      <c r="D6491" s="14" t="s">
        <v>275</v>
      </c>
      <c r="E6491" s="112"/>
      <c r="F6491" s="139" t="s">
        <v>18725</v>
      </c>
      <c r="G6491" s="140"/>
      <c r="H6491" s="141"/>
      <c r="I6491" s="26">
        <v>45863</v>
      </c>
      <c r="J6491" s="117"/>
      <c r="K6491" s="120"/>
      <c r="L6491" s="121"/>
      <c r="M6491" s="120"/>
      <c r="N6491" s="121"/>
      <c r="O6491" s="120"/>
      <c r="P6491" s="121"/>
      <c r="Q6491" s="120"/>
      <c r="R6491" s="121"/>
      <c r="S6491" s="120"/>
      <c r="T6491" s="121"/>
      <c r="U6491" s="120"/>
      <c r="V6491" s="123"/>
      <c r="W6491" s="125"/>
      <c r="X6491" s="142" t="s">
        <v>1997</v>
      </c>
      <c r="Y6491" s="143"/>
      <c r="Z6491" s="143"/>
      <c r="AA6491" s="143"/>
      <c r="AB6491" s="144"/>
      <c r="AC6491" s="16" t="s">
        <v>21</v>
      </c>
      <c r="AD6491" s="17" t="s">
        <v>1714</v>
      </c>
      <c r="AE6491" s="145" t="s">
        <v>12689</v>
      </c>
      <c r="AF6491" s="146"/>
      <c r="AG6491" s="146"/>
      <c r="AH6491" s="146"/>
      <c r="AI6491" s="147"/>
      <c r="AJ6491" s="148"/>
      <c r="AK6491" s="143"/>
      <c r="AL6491" s="144"/>
      <c r="AM6491" s="22"/>
      <c r="AN6491" s="149" t="s">
        <v>6748</v>
      </c>
      <c r="AO6491" s="144"/>
      <c r="AP6491" s="148">
        <v>80354</v>
      </c>
      <c r="AQ6491" s="144"/>
      <c r="AR6491" s="120"/>
      <c r="AS6491" s="121"/>
      <c r="AT6491" s="120"/>
      <c r="AU6491" s="121"/>
      <c r="AV6491" s="120"/>
      <c r="AW6491" s="121"/>
      <c r="AX6491" s="120"/>
      <c r="AY6491" s="121"/>
      <c r="AZ6491" s="138"/>
    </row>
    <row r="6492" spans="1:52" ht="17.100000000000001" customHeight="1" thickTop="1">
      <c r="A6492" s="109" t="s">
        <v>18727</v>
      </c>
      <c r="B6492" s="28">
        <v>46077</v>
      </c>
      <c r="C6492" s="25">
        <v>979</v>
      </c>
      <c r="D6492" s="13" t="s">
        <v>1688</v>
      </c>
      <c r="E6492" s="111"/>
      <c r="F6492" s="113" t="s">
        <v>7775</v>
      </c>
      <c r="G6492" s="114"/>
      <c r="H6492" s="115"/>
      <c r="I6492" s="24"/>
      <c r="J6492" s="116">
        <v>4</v>
      </c>
      <c r="K6492" s="118">
        <v>528000</v>
      </c>
      <c r="L6492" s="119"/>
      <c r="M6492" s="118">
        <f t="shared" ref="M6492" si="8911">K6492*0.1</f>
        <v>52800</v>
      </c>
      <c r="N6492" s="119"/>
      <c r="O6492" s="118">
        <v>0</v>
      </c>
      <c r="P6492" s="119"/>
      <c r="Q6492" s="118">
        <v>5690</v>
      </c>
      <c r="R6492" s="119"/>
      <c r="S6492" s="118">
        <v>22000</v>
      </c>
      <c r="T6492" s="119"/>
      <c r="U6492" s="118">
        <f t="shared" ref="U6492" si="8912">SUM(K6492:T6493)</f>
        <v>608490</v>
      </c>
      <c r="V6492" s="122"/>
      <c r="W6492" s="124"/>
      <c r="X6492" s="126" t="s">
        <v>19406</v>
      </c>
      <c r="Y6492" s="127"/>
      <c r="Z6492" s="127"/>
      <c r="AA6492" s="127"/>
      <c r="AB6492" s="128"/>
      <c r="AC6492" s="15" t="s">
        <v>20</v>
      </c>
      <c r="AD6492" s="129" t="s">
        <v>1670</v>
      </c>
      <c r="AE6492" s="130"/>
      <c r="AF6492" s="130"/>
      <c r="AG6492" s="130"/>
      <c r="AH6492" s="130"/>
      <c r="AI6492" s="131"/>
      <c r="AJ6492" s="132"/>
      <c r="AK6492" s="127"/>
      <c r="AL6492" s="128"/>
      <c r="AM6492" s="21"/>
      <c r="AN6492" s="133">
        <v>46091</v>
      </c>
      <c r="AO6492" s="134"/>
      <c r="AP6492" s="135">
        <v>1932</v>
      </c>
      <c r="AQ6492" s="136"/>
      <c r="AR6492" s="118">
        <v>601000</v>
      </c>
      <c r="AS6492" s="119"/>
      <c r="AT6492" s="118">
        <f t="shared" ref="AT6492" si="8913">AR6492*0.1</f>
        <v>60100</v>
      </c>
      <c r="AU6492" s="119"/>
      <c r="AV6492" s="118">
        <v>5690</v>
      </c>
      <c r="AW6492" s="119"/>
      <c r="AX6492" s="118">
        <f t="shared" ref="AX6492" si="8914">SUM(AR6492:AW6492)</f>
        <v>666790</v>
      </c>
      <c r="AY6492" s="119"/>
      <c r="AZ6492" s="137"/>
    </row>
    <row r="6493" spans="1:52" ht="17.100000000000001" customHeight="1" thickBot="1">
      <c r="A6493" s="110"/>
      <c r="B6493" s="27" t="s">
        <v>18196</v>
      </c>
      <c r="C6493" s="27">
        <v>91</v>
      </c>
      <c r="D6493" s="14" t="s">
        <v>2800</v>
      </c>
      <c r="E6493" s="112"/>
      <c r="F6493" s="139" t="s">
        <v>18704</v>
      </c>
      <c r="G6493" s="140"/>
      <c r="H6493" s="141"/>
      <c r="I6493" s="26">
        <v>56440</v>
      </c>
      <c r="J6493" s="117"/>
      <c r="K6493" s="120"/>
      <c r="L6493" s="121"/>
      <c r="M6493" s="120"/>
      <c r="N6493" s="121"/>
      <c r="O6493" s="120"/>
      <c r="P6493" s="121"/>
      <c r="Q6493" s="120"/>
      <c r="R6493" s="121"/>
      <c r="S6493" s="120"/>
      <c r="T6493" s="121"/>
      <c r="U6493" s="120"/>
      <c r="V6493" s="123"/>
      <c r="W6493" s="125"/>
      <c r="X6493" s="142" t="s">
        <v>19407</v>
      </c>
      <c r="Y6493" s="143"/>
      <c r="Z6493" s="143"/>
      <c r="AA6493" s="143"/>
      <c r="AB6493" s="144"/>
      <c r="AC6493" s="16" t="s">
        <v>21</v>
      </c>
      <c r="AD6493" s="17" t="s">
        <v>19391</v>
      </c>
      <c r="AE6493" s="145" t="s">
        <v>19381</v>
      </c>
      <c r="AF6493" s="146"/>
      <c r="AG6493" s="146"/>
      <c r="AH6493" s="146"/>
      <c r="AI6493" s="147"/>
      <c r="AJ6493" s="148"/>
      <c r="AK6493" s="143"/>
      <c r="AL6493" s="144"/>
      <c r="AM6493" s="22"/>
      <c r="AN6493" s="149" t="s">
        <v>2131</v>
      </c>
      <c r="AO6493" s="144"/>
      <c r="AP6493" s="148">
        <v>3119</v>
      </c>
      <c r="AQ6493" s="144"/>
      <c r="AR6493" s="120"/>
      <c r="AS6493" s="121"/>
      <c r="AT6493" s="120"/>
      <c r="AU6493" s="121"/>
      <c r="AV6493" s="120"/>
      <c r="AW6493" s="121"/>
      <c r="AX6493" s="120"/>
      <c r="AY6493" s="121"/>
      <c r="AZ6493" s="138"/>
    </row>
    <row r="6494" spans="1:52" ht="17.100000000000001" customHeight="1" thickTop="1">
      <c r="A6494" s="109" t="s">
        <v>18728</v>
      </c>
      <c r="B6494" s="28">
        <v>46077</v>
      </c>
      <c r="C6494" s="25">
        <v>979</v>
      </c>
      <c r="D6494" s="13" t="s">
        <v>2036</v>
      </c>
      <c r="E6494" s="111"/>
      <c r="F6494" s="113" t="s">
        <v>7775</v>
      </c>
      <c r="G6494" s="114"/>
      <c r="H6494" s="115"/>
      <c r="I6494" s="24"/>
      <c r="J6494" s="116">
        <v>4</v>
      </c>
      <c r="K6494" s="118">
        <v>578000</v>
      </c>
      <c r="L6494" s="119"/>
      <c r="M6494" s="118">
        <f t="shared" ref="M6494" si="8915">K6494*0.1</f>
        <v>57800</v>
      </c>
      <c r="N6494" s="119"/>
      <c r="O6494" s="118">
        <v>0</v>
      </c>
      <c r="P6494" s="119"/>
      <c r="Q6494" s="118">
        <v>5690</v>
      </c>
      <c r="R6494" s="119"/>
      <c r="S6494" s="118">
        <v>22000</v>
      </c>
      <c r="T6494" s="119"/>
      <c r="U6494" s="118">
        <f t="shared" ref="U6494" si="8916">SUM(K6494:T6495)</f>
        <v>663490</v>
      </c>
      <c r="V6494" s="122"/>
      <c r="W6494" s="124"/>
      <c r="X6494" s="126" t="s">
        <v>19408</v>
      </c>
      <c r="Y6494" s="127"/>
      <c r="Z6494" s="127"/>
      <c r="AA6494" s="127"/>
      <c r="AB6494" s="128"/>
      <c r="AC6494" s="15" t="s">
        <v>20</v>
      </c>
      <c r="AD6494" s="129" t="s">
        <v>1670</v>
      </c>
      <c r="AE6494" s="130"/>
      <c r="AF6494" s="130"/>
      <c r="AG6494" s="130"/>
      <c r="AH6494" s="130"/>
      <c r="AI6494" s="131"/>
      <c r="AJ6494" s="132"/>
      <c r="AK6494" s="127"/>
      <c r="AL6494" s="128"/>
      <c r="AM6494" s="21"/>
      <c r="AN6494" s="133">
        <v>46091</v>
      </c>
      <c r="AO6494" s="134"/>
      <c r="AP6494" s="135">
        <v>1932</v>
      </c>
      <c r="AQ6494" s="136"/>
      <c r="AR6494" s="118">
        <v>646000</v>
      </c>
      <c r="AS6494" s="119"/>
      <c r="AT6494" s="118">
        <f t="shared" ref="AT6494" si="8917">AR6494*0.1</f>
        <v>64600</v>
      </c>
      <c r="AU6494" s="119"/>
      <c r="AV6494" s="118">
        <v>5690</v>
      </c>
      <c r="AW6494" s="119"/>
      <c r="AX6494" s="118">
        <f t="shared" ref="AX6494" si="8918">SUM(AR6494:AW6494)</f>
        <v>716290</v>
      </c>
      <c r="AY6494" s="119"/>
      <c r="AZ6494" s="137"/>
    </row>
    <row r="6495" spans="1:52" ht="17.100000000000001" customHeight="1" thickBot="1">
      <c r="A6495" s="110"/>
      <c r="B6495" s="27" t="s">
        <v>18196</v>
      </c>
      <c r="C6495" s="27">
        <v>93</v>
      </c>
      <c r="D6495" s="14" t="s">
        <v>1592</v>
      </c>
      <c r="E6495" s="112"/>
      <c r="F6495" s="139" t="s">
        <v>18705</v>
      </c>
      <c r="G6495" s="140"/>
      <c r="H6495" s="141"/>
      <c r="I6495" s="26">
        <v>49296</v>
      </c>
      <c r="J6495" s="117"/>
      <c r="K6495" s="120"/>
      <c r="L6495" s="121"/>
      <c r="M6495" s="120"/>
      <c r="N6495" s="121"/>
      <c r="O6495" s="120"/>
      <c r="P6495" s="121"/>
      <c r="Q6495" s="120"/>
      <c r="R6495" s="121"/>
      <c r="S6495" s="120"/>
      <c r="T6495" s="121"/>
      <c r="U6495" s="120"/>
      <c r="V6495" s="123"/>
      <c r="W6495" s="125"/>
      <c r="X6495" s="142" t="s">
        <v>19407</v>
      </c>
      <c r="Y6495" s="143"/>
      <c r="Z6495" s="143"/>
      <c r="AA6495" s="143"/>
      <c r="AB6495" s="144"/>
      <c r="AC6495" s="16" t="s">
        <v>21</v>
      </c>
      <c r="AD6495" s="17" t="s">
        <v>19391</v>
      </c>
      <c r="AE6495" s="145" t="s">
        <v>19381</v>
      </c>
      <c r="AF6495" s="146"/>
      <c r="AG6495" s="146"/>
      <c r="AH6495" s="146"/>
      <c r="AI6495" s="147"/>
      <c r="AJ6495" s="148"/>
      <c r="AK6495" s="143"/>
      <c r="AL6495" s="144"/>
      <c r="AM6495" s="22"/>
      <c r="AN6495" s="149" t="s">
        <v>2131</v>
      </c>
      <c r="AO6495" s="144"/>
      <c r="AP6495" s="148">
        <v>3171</v>
      </c>
      <c r="AQ6495" s="144"/>
      <c r="AR6495" s="120"/>
      <c r="AS6495" s="121"/>
      <c r="AT6495" s="120"/>
      <c r="AU6495" s="121"/>
      <c r="AV6495" s="120"/>
      <c r="AW6495" s="121"/>
      <c r="AX6495" s="120"/>
      <c r="AY6495" s="121"/>
      <c r="AZ6495" s="138"/>
    </row>
    <row r="6496" spans="1:52" ht="17.100000000000001" customHeight="1" thickTop="1">
      <c r="A6496" s="109" t="s">
        <v>18729</v>
      </c>
      <c r="B6496" s="28">
        <v>46077</v>
      </c>
      <c r="C6496" s="25">
        <v>979</v>
      </c>
      <c r="D6496" s="13" t="s">
        <v>818</v>
      </c>
      <c r="E6496" s="111"/>
      <c r="F6496" s="113" t="s">
        <v>4145</v>
      </c>
      <c r="G6496" s="114"/>
      <c r="H6496" s="115"/>
      <c r="I6496" s="24"/>
      <c r="J6496" s="116">
        <v>4</v>
      </c>
      <c r="K6496" s="118">
        <v>829000</v>
      </c>
      <c r="L6496" s="119"/>
      <c r="M6496" s="118">
        <f t="shared" ref="M6496" si="8919">K6496*0.1</f>
        <v>82900</v>
      </c>
      <c r="N6496" s="119"/>
      <c r="O6496" s="118">
        <v>0</v>
      </c>
      <c r="P6496" s="119"/>
      <c r="Q6496" s="118">
        <v>8110</v>
      </c>
      <c r="R6496" s="119"/>
      <c r="S6496" s="118">
        <v>22000</v>
      </c>
      <c r="T6496" s="119"/>
      <c r="U6496" s="118">
        <f t="shared" ref="U6496" si="8920">SUM(K6496:T6497)</f>
        <v>942010</v>
      </c>
      <c r="V6496" s="122"/>
      <c r="W6496" s="124"/>
      <c r="X6496" s="126" t="s">
        <v>19409</v>
      </c>
      <c r="Y6496" s="127"/>
      <c r="Z6496" s="127"/>
      <c r="AA6496" s="127"/>
      <c r="AB6496" s="128"/>
      <c r="AC6496" s="15" t="s">
        <v>20</v>
      </c>
      <c r="AD6496" s="129" t="s">
        <v>6730</v>
      </c>
      <c r="AE6496" s="130"/>
      <c r="AF6496" s="130"/>
      <c r="AG6496" s="130"/>
      <c r="AH6496" s="130"/>
      <c r="AI6496" s="131"/>
      <c r="AJ6496" s="132"/>
      <c r="AK6496" s="127"/>
      <c r="AL6496" s="128"/>
      <c r="AM6496" s="21"/>
      <c r="AN6496" s="133">
        <v>46099</v>
      </c>
      <c r="AO6496" s="134"/>
      <c r="AP6496" s="135">
        <v>1009</v>
      </c>
      <c r="AQ6496" s="136"/>
      <c r="AR6496" s="118">
        <v>875000</v>
      </c>
      <c r="AS6496" s="119"/>
      <c r="AT6496" s="118">
        <f t="shared" ref="AT6496" si="8921">AR6496*0.1</f>
        <v>87500</v>
      </c>
      <c r="AU6496" s="119"/>
      <c r="AV6496" s="118">
        <v>8110</v>
      </c>
      <c r="AW6496" s="119"/>
      <c r="AX6496" s="118">
        <f t="shared" ref="AX6496" si="8922">SUM(AR6496:AW6496)</f>
        <v>970610</v>
      </c>
      <c r="AY6496" s="119"/>
      <c r="AZ6496" s="137">
        <v>46105</v>
      </c>
    </row>
    <row r="6497" spans="1:52" ht="17.100000000000001" customHeight="1" thickBot="1">
      <c r="A6497" s="110"/>
      <c r="B6497" s="27" t="s">
        <v>18196</v>
      </c>
      <c r="C6497" s="27">
        <v>1047</v>
      </c>
      <c r="D6497" s="14" t="s">
        <v>1720</v>
      </c>
      <c r="E6497" s="112"/>
      <c r="F6497" s="139" t="s">
        <v>18707</v>
      </c>
      <c r="G6497" s="140"/>
      <c r="H6497" s="141"/>
      <c r="I6497" s="26">
        <v>57531</v>
      </c>
      <c r="J6497" s="117"/>
      <c r="K6497" s="120"/>
      <c r="L6497" s="121"/>
      <c r="M6497" s="120"/>
      <c r="N6497" s="121"/>
      <c r="O6497" s="120"/>
      <c r="P6497" s="121"/>
      <c r="Q6497" s="120"/>
      <c r="R6497" s="121"/>
      <c r="S6497" s="120"/>
      <c r="T6497" s="121"/>
      <c r="U6497" s="120"/>
      <c r="V6497" s="123"/>
      <c r="W6497" s="125"/>
      <c r="X6497" s="142" t="s">
        <v>19410</v>
      </c>
      <c r="Y6497" s="143"/>
      <c r="Z6497" s="143"/>
      <c r="AA6497" s="143"/>
      <c r="AB6497" s="144"/>
      <c r="AC6497" s="16" t="s">
        <v>21</v>
      </c>
      <c r="AD6497" s="17" t="s">
        <v>19391</v>
      </c>
      <c r="AE6497" s="145" t="s">
        <v>19382</v>
      </c>
      <c r="AF6497" s="146"/>
      <c r="AG6497" s="146"/>
      <c r="AH6497" s="146"/>
      <c r="AI6497" s="147"/>
      <c r="AJ6497" s="148"/>
      <c r="AK6497" s="143"/>
      <c r="AL6497" s="144"/>
      <c r="AM6497" s="22"/>
      <c r="AN6497" s="149" t="s">
        <v>2794</v>
      </c>
      <c r="AO6497" s="144"/>
      <c r="AP6497" s="148">
        <v>5093</v>
      </c>
      <c r="AQ6497" s="144"/>
      <c r="AR6497" s="120"/>
      <c r="AS6497" s="121"/>
      <c r="AT6497" s="120"/>
      <c r="AU6497" s="121"/>
      <c r="AV6497" s="120"/>
      <c r="AW6497" s="121"/>
      <c r="AX6497" s="120"/>
      <c r="AY6497" s="121"/>
      <c r="AZ6497" s="138"/>
    </row>
    <row r="6498" spans="1:52" ht="17.100000000000001" customHeight="1" thickTop="1">
      <c r="A6498" s="109" t="s">
        <v>18731</v>
      </c>
      <c r="B6498" s="28">
        <v>46077</v>
      </c>
      <c r="C6498" s="25">
        <v>979</v>
      </c>
      <c r="D6498" s="13" t="s">
        <v>818</v>
      </c>
      <c r="E6498" s="111"/>
      <c r="F6498" s="113" t="s">
        <v>9226</v>
      </c>
      <c r="G6498" s="114"/>
      <c r="H6498" s="115"/>
      <c r="I6498" s="24"/>
      <c r="J6498" s="116">
        <v>4</v>
      </c>
      <c r="K6498" s="118">
        <v>1048000</v>
      </c>
      <c r="L6498" s="119"/>
      <c r="M6498" s="118">
        <f t="shared" ref="M6498" si="8923">K6498*0.1</f>
        <v>104800</v>
      </c>
      <c r="N6498" s="119"/>
      <c r="O6498" s="118">
        <v>0</v>
      </c>
      <c r="P6498" s="119"/>
      <c r="Q6498" s="118">
        <v>9310</v>
      </c>
      <c r="R6498" s="119"/>
      <c r="S6498" s="118">
        <v>22000</v>
      </c>
      <c r="T6498" s="119"/>
      <c r="U6498" s="118">
        <f t="shared" ref="U6498" si="8924">SUM(K6498:T6499)</f>
        <v>1184110</v>
      </c>
      <c r="V6498" s="122"/>
      <c r="W6498" s="124"/>
      <c r="X6498" s="126" t="s">
        <v>19411</v>
      </c>
      <c r="Y6498" s="127"/>
      <c r="Z6498" s="127"/>
      <c r="AA6498" s="127"/>
      <c r="AB6498" s="128"/>
      <c r="AC6498" s="15" t="s">
        <v>20</v>
      </c>
      <c r="AD6498" s="129" t="s">
        <v>6730</v>
      </c>
      <c r="AE6498" s="130"/>
      <c r="AF6498" s="130"/>
      <c r="AG6498" s="130"/>
      <c r="AH6498" s="130"/>
      <c r="AI6498" s="131"/>
      <c r="AJ6498" s="132"/>
      <c r="AK6498" s="127"/>
      <c r="AL6498" s="128"/>
      <c r="AM6498" s="21"/>
      <c r="AN6498" s="133">
        <v>46099</v>
      </c>
      <c r="AO6498" s="134"/>
      <c r="AP6498" s="135">
        <v>1009</v>
      </c>
      <c r="AQ6498" s="136"/>
      <c r="AR6498" s="118">
        <v>1125000</v>
      </c>
      <c r="AS6498" s="119"/>
      <c r="AT6498" s="118">
        <f t="shared" ref="AT6498" si="8925">AR6498*0.1</f>
        <v>112500</v>
      </c>
      <c r="AU6498" s="119"/>
      <c r="AV6498" s="118">
        <v>9310</v>
      </c>
      <c r="AW6498" s="119"/>
      <c r="AX6498" s="118">
        <f t="shared" ref="AX6498" si="8926">SUM(AR6498:AW6498)</f>
        <v>1246810</v>
      </c>
      <c r="AY6498" s="119"/>
      <c r="AZ6498" s="137">
        <v>46105</v>
      </c>
    </row>
    <row r="6499" spans="1:52" ht="17.100000000000001" customHeight="1" thickBot="1">
      <c r="A6499" s="110"/>
      <c r="B6499" s="27" t="s">
        <v>18196</v>
      </c>
      <c r="C6499" s="27">
        <v>1048</v>
      </c>
      <c r="D6499" s="14" t="s">
        <v>2836</v>
      </c>
      <c r="E6499" s="112"/>
      <c r="F6499" s="139" t="s">
        <v>18708</v>
      </c>
      <c r="G6499" s="140"/>
      <c r="H6499" s="141"/>
      <c r="I6499" s="26">
        <v>49885</v>
      </c>
      <c r="J6499" s="117"/>
      <c r="K6499" s="120"/>
      <c r="L6499" s="121"/>
      <c r="M6499" s="120"/>
      <c r="N6499" s="121"/>
      <c r="O6499" s="120"/>
      <c r="P6499" s="121"/>
      <c r="Q6499" s="120"/>
      <c r="R6499" s="121"/>
      <c r="S6499" s="120"/>
      <c r="T6499" s="121"/>
      <c r="U6499" s="120"/>
      <c r="V6499" s="123"/>
      <c r="W6499" s="125"/>
      <c r="X6499" s="142" t="s">
        <v>19410</v>
      </c>
      <c r="Y6499" s="143"/>
      <c r="Z6499" s="143"/>
      <c r="AA6499" s="143"/>
      <c r="AB6499" s="144"/>
      <c r="AC6499" s="16" t="s">
        <v>21</v>
      </c>
      <c r="AD6499" s="17" t="s">
        <v>19391</v>
      </c>
      <c r="AE6499" s="145" t="s">
        <v>19382</v>
      </c>
      <c r="AF6499" s="146"/>
      <c r="AG6499" s="146"/>
      <c r="AH6499" s="146"/>
      <c r="AI6499" s="147"/>
      <c r="AJ6499" s="148"/>
      <c r="AK6499" s="143"/>
      <c r="AL6499" s="144"/>
      <c r="AM6499" s="22"/>
      <c r="AN6499" s="149" t="s">
        <v>2794</v>
      </c>
      <c r="AO6499" s="144"/>
      <c r="AP6499" s="148">
        <v>4024</v>
      </c>
      <c r="AQ6499" s="144"/>
      <c r="AR6499" s="120"/>
      <c r="AS6499" s="121"/>
      <c r="AT6499" s="120"/>
      <c r="AU6499" s="121"/>
      <c r="AV6499" s="120"/>
      <c r="AW6499" s="121"/>
      <c r="AX6499" s="120"/>
      <c r="AY6499" s="121"/>
      <c r="AZ6499" s="138"/>
    </row>
    <row r="6500" spans="1:52" ht="17.100000000000001" customHeight="1" thickTop="1">
      <c r="A6500" s="109" t="s">
        <v>18732</v>
      </c>
      <c r="B6500" s="28">
        <v>46078</v>
      </c>
      <c r="C6500" s="25">
        <v>1827</v>
      </c>
      <c r="D6500" s="13" t="s">
        <v>1712</v>
      </c>
      <c r="E6500" s="111"/>
      <c r="F6500" s="113" t="s">
        <v>4848</v>
      </c>
      <c r="G6500" s="114"/>
      <c r="H6500" s="115"/>
      <c r="I6500" s="24"/>
      <c r="J6500" s="116">
        <v>4.5</v>
      </c>
      <c r="K6500" s="118">
        <v>666000</v>
      </c>
      <c r="L6500" s="119"/>
      <c r="M6500" s="118">
        <f t="shared" ref="M6500" si="8927">K6500*0.1</f>
        <v>66600</v>
      </c>
      <c r="N6500" s="119"/>
      <c r="O6500" s="118">
        <v>0</v>
      </c>
      <c r="P6500" s="119"/>
      <c r="Q6500" s="118">
        <v>9790</v>
      </c>
      <c r="R6500" s="119"/>
      <c r="S6500" s="118">
        <v>18150</v>
      </c>
      <c r="T6500" s="119"/>
      <c r="U6500" s="118">
        <f t="shared" ref="U6500" si="8928">SUM(K6500:T6501)</f>
        <v>760540</v>
      </c>
      <c r="V6500" s="122"/>
      <c r="W6500" s="124"/>
      <c r="X6500" s="126" t="s">
        <v>19341</v>
      </c>
      <c r="Y6500" s="127"/>
      <c r="Z6500" s="127"/>
      <c r="AA6500" s="127"/>
      <c r="AB6500" s="128"/>
      <c r="AC6500" s="15" t="s">
        <v>20</v>
      </c>
      <c r="AD6500" s="129" t="s">
        <v>4453</v>
      </c>
      <c r="AE6500" s="130"/>
      <c r="AF6500" s="130"/>
      <c r="AG6500" s="130"/>
      <c r="AH6500" s="130"/>
      <c r="AI6500" s="131"/>
      <c r="AJ6500" s="132"/>
      <c r="AK6500" s="127"/>
      <c r="AL6500" s="128"/>
      <c r="AM6500" s="21"/>
      <c r="AN6500" s="133">
        <v>46106</v>
      </c>
      <c r="AO6500" s="134"/>
      <c r="AP6500" s="135">
        <v>1010</v>
      </c>
      <c r="AQ6500" s="136"/>
      <c r="AR6500" s="118">
        <v>710000</v>
      </c>
      <c r="AS6500" s="119"/>
      <c r="AT6500" s="118">
        <f t="shared" ref="AT6500" si="8929">AR6500*0.1</f>
        <v>71000</v>
      </c>
      <c r="AU6500" s="119"/>
      <c r="AV6500" s="118">
        <v>9790</v>
      </c>
      <c r="AW6500" s="119"/>
      <c r="AX6500" s="118">
        <f t="shared" ref="AX6500" si="8930">SUM(AR6500:AW6500)</f>
        <v>790790</v>
      </c>
      <c r="AY6500" s="119"/>
      <c r="AZ6500" s="137">
        <v>46111</v>
      </c>
    </row>
    <row r="6501" spans="1:52" ht="17.100000000000001" customHeight="1" thickBot="1">
      <c r="A6501" s="110"/>
      <c r="B6501" s="27" t="s">
        <v>2559</v>
      </c>
      <c r="C6501" s="27">
        <v>3102</v>
      </c>
      <c r="D6501" s="14" t="s">
        <v>275</v>
      </c>
      <c r="E6501" s="112"/>
      <c r="F6501" s="139" t="s">
        <v>18739</v>
      </c>
      <c r="G6501" s="140"/>
      <c r="H6501" s="141"/>
      <c r="I6501" s="26">
        <v>77385</v>
      </c>
      <c r="J6501" s="117"/>
      <c r="K6501" s="120"/>
      <c r="L6501" s="121"/>
      <c r="M6501" s="120"/>
      <c r="N6501" s="121"/>
      <c r="O6501" s="120"/>
      <c r="P6501" s="121"/>
      <c r="Q6501" s="120"/>
      <c r="R6501" s="121"/>
      <c r="S6501" s="120"/>
      <c r="T6501" s="121"/>
      <c r="U6501" s="120"/>
      <c r="V6501" s="123"/>
      <c r="W6501" s="125"/>
      <c r="X6501" s="142" t="s">
        <v>19342</v>
      </c>
      <c r="Y6501" s="143"/>
      <c r="Z6501" s="143"/>
      <c r="AA6501" s="143"/>
      <c r="AB6501" s="144"/>
      <c r="AC6501" s="16" t="s">
        <v>21</v>
      </c>
      <c r="AD6501" s="17" t="s">
        <v>859</v>
      </c>
      <c r="AE6501" s="145" t="s">
        <v>1742</v>
      </c>
      <c r="AF6501" s="146"/>
      <c r="AG6501" s="146"/>
      <c r="AH6501" s="146"/>
      <c r="AI6501" s="147"/>
      <c r="AJ6501" s="148"/>
      <c r="AK6501" s="143"/>
      <c r="AL6501" s="144"/>
      <c r="AM6501" s="22"/>
      <c r="AN6501" s="149" t="s">
        <v>2794</v>
      </c>
      <c r="AO6501" s="144"/>
      <c r="AP6501" s="148">
        <v>2018</v>
      </c>
      <c r="AQ6501" s="144"/>
      <c r="AR6501" s="120"/>
      <c r="AS6501" s="121"/>
      <c r="AT6501" s="120"/>
      <c r="AU6501" s="121"/>
      <c r="AV6501" s="120"/>
      <c r="AW6501" s="121"/>
      <c r="AX6501" s="120"/>
      <c r="AY6501" s="121"/>
      <c r="AZ6501" s="138"/>
    </row>
    <row r="6502" spans="1:52" ht="17.100000000000001" customHeight="1" thickTop="1">
      <c r="A6502" s="109" t="s">
        <v>18733</v>
      </c>
      <c r="B6502" s="28">
        <v>46078</v>
      </c>
      <c r="C6502" s="25">
        <v>1827</v>
      </c>
      <c r="D6502" s="13" t="s">
        <v>2407</v>
      </c>
      <c r="E6502" s="111"/>
      <c r="F6502" s="113" t="s">
        <v>10867</v>
      </c>
      <c r="G6502" s="114"/>
      <c r="H6502" s="115"/>
      <c r="I6502" s="24"/>
      <c r="J6502" s="116">
        <v>4</v>
      </c>
      <c r="K6502" s="118">
        <v>580000</v>
      </c>
      <c r="L6502" s="119"/>
      <c r="M6502" s="118">
        <f t="shared" ref="M6502" si="8931">K6502*0.1</f>
        <v>58000</v>
      </c>
      <c r="N6502" s="119"/>
      <c r="O6502" s="118">
        <v>0</v>
      </c>
      <c r="P6502" s="119"/>
      <c r="Q6502" s="118">
        <v>14340</v>
      </c>
      <c r="R6502" s="119"/>
      <c r="S6502" s="118">
        <v>18150</v>
      </c>
      <c r="T6502" s="119"/>
      <c r="U6502" s="118">
        <f t="shared" ref="U6502" si="8932">SUM(K6502:T6503)</f>
        <v>670490</v>
      </c>
      <c r="V6502" s="122"/>
      <c r="W6502" s="124"/>
      <c r="X6502" s="126" t="s">
        <v>19447</v>
      </c>
      <c r="Y6502" s="127"/>
      <c r="Z6502" s="127"/>
      <c r="AA6502" s="127"/>
      <c r="AB6502" s="128"/>
      <c r="AC6502" s="15" t="s">
        <v>20</v>
      </c>
      <c r="AD6502" s="129" t="s">
        <v>18741</v>
      </c>
      <c r="AE6502" s="130"/>
      <c r="AF6502" s="130"/>
      <c r="AG6502" s="130"/>
      <c r="AH6502" s="130"/>
      <c r="AI6502" s="131"/>
      <c r="AJ6502" s="132"/>
      <c r="AK6502" s="127"/>
      <c r="AL6502" s="128"/>
      <c r="AM6502" s="21"/>
      <c r="AN6502" s="133"/>
      <c r="AO6502" s="134"/>
      <c r="AP6502" s="135"/>
      <c r="AQ6502" s="136"/>
      <c r="AR6502" s="118"/>
      <c r="AS6502" s="119"/>
      <c r="AT6502" s="118">
        <f t="shared" ref="AT6502" si="8933">AR6502*0.1</f>
        <v>0</v>
      </c>
      <c r="AU6502" s="119"/>
      <c r="AV6502" s="118"/>
      <c r="AW6502" s="119"/>
      <c r="AX6502" s="118">
        <f t="shared" ref="AX6502" si="8934">SUM(AR6502:AW6502)</f>
        <v>0</v>
      </c>
      <c r="AY6502" s="119"/>
      <c r="AZ6502" s="137"/>
    </row>
    <row r="6503" spans="1:52" ht="17.100000000000001" customHeight="1" thickBot="1">
      <c r="A6503" s="110"/>
      <c r="B6503" s="27" t="s">
        <v>2559</v>
      </c>
      <c r="C6503" s="27">
        <v>11079</v>
      </c>
      <c r="D6503" s="14" t="s">
        <v>275</v>
      </c>
      <c r="E6503" s="112"/>
      <c r="F6503" s="139" t="s">
        <v>18740</v>
      </c>
      <c r="G6503" s="140"/>
      <c r="H6503" s="141"/>
      <c r="I6503" s="26">
        <v>106218</v>
      </c>
      <c r="J6503" s="117"/>
      <c r="K6503" s="120"/>
      <c r="L6503" s="121"/>
      <c r="M6503" s="120"/>
      <c r="N6503" s="121"/>
      <c r="O6503" s="120"/>
      <c r="P6503" s="121"/>
      <c r="Q6503" s="120"/>
      <c r="R6503" s="121"/>
      <c r="S6503" s="120"/>
      <c r="T6503" s="121"/>
      <c r="U6503" s="120"/>
      <c r="V6503" s="123"/>
      <c r="W6503" s="125"/>
      <c r="X6503" s="142" t="s">
        <v>19448</v>
      </c>
      <c r="Y6503" s="143"/>
      <c r="Z6503" s="143"/>
      <c r="AA6503" s="143"/>
      <c r="AB6503" s="144"/>
      <c r="AC6503" s="16" t="s">
        <v>21</v>
      </c>
      <c r="AD6503" s="17" t="s">
        <v>2681</v>
      </c>
      <c r="AE6503" s="145" t="s">
        <v>5083</v>
      </c>
      <c r="AF6503" s="146"/>
      <c r="AG6503" s="146"/>
      <c r="AH6503" s="146"/>
      <c r="AI6503" s="147"/>
      <c r="AJ6503" s="148"/>
      <c r="AK6503" s="143"/>
      <c r="AL6503" s="144"/>
      <c r="AM6503" s="22"/>
      <c r="AN6503" s="149"/>
      <c r="AO6503" s="144"/>
      <c r="AP6503" s="148"/>
      <c r="AQ6503" s="144"/>
      <c r="AR6503" s="120"/>
      <c r="AS6503" s="121"/>
      <c r="AT6503" s="120"/>
      <c r="AU6503" s="121"/>
      <c r="AV6503" s="120"/>
      <c r="AW6503" s="121"/>
      <c r="AX6503" s="120"/>
      <c r="AY6503" s="121"/>
      <c r="AZ6503" s="138"/>
    </row>
    <row r="6504" spans="1:52" ht="17.100000000000001" customHeight="1" thickTop="1">
      <c r="A6504" s="109" t="s">
        <v>18734</v>
      </c>
      <c r="B6504" s="28">
        <v>46078</v>
      </c>
      <c r="C6504" s="25">
        <v>1827</v>
      </c>
      <c r="D6504" s="13" t="s">
        <v>1549</v>
      </c>
      <c r="E6504" s="111"/>
      <c r="F6504" s="113" t="s">
        <v>18742</v>
      </c>
      <c r="G6504" s="114"/>
      <c r="H6504" s="115"/>
      <c r="I6504" s="24"/>
      <c r="J6504" s="116">
        <v>4</v>
      </c>
      <c r="K6504" s="118">
        <v>835000</v>
      </c>
      <c r="L6504" s="119"/>
      <c r="M6504" s="118">
        <f t="shared" ref="M6504" si="8935">K6504*0.1</f>
        <v>83500</v>
      </c>
      <c r="N6504" s="119"/>
      <c r="O6504" s="118">
        <v>0</v>
      </c>
      <c r="P6504" s="119"/>
      <c r="Q6504" s="118">
        <v>12030</v>
      </c>
      <c r="R6504" s="119"/>
      <c r="S6504" s="118">
        <v>18150</v>
      </c>
      <c r="T6504" s="119"/>
      <c r="U6504" s="118">
        <f t="shared" ref="U6504" si="8936">SUM(K6504:T6505)</f>
        <v>948680</v>
      </c>
      <c r="V6504" s="122"/>
      <c r="W6504" s="124"/>
      <c r="X6504" s="126" t="s">
        <v>19184</v>
      </c>
      <c r="Y6504" s="127"/>
      <c r="Z6504" s="127"/>
      <c r="AA6504" s="127"/>
      <c r="AB6504" s="128"/>
      <c r="AC6504" s="15" t="s">
        <v>20</v>
      </c>
      <c r="AD6504" s="129"/>
      <c r="AE6504" s="130"/>
      <c r="AF6504" s="130"/>
      <c r="AG6504" s="130"/>
      <c r="AH6504" s="130"/>
      <c r="AI6504" s="131"/>
      <c r="AJ6504" s="132"/>
      <c r="AK6504" s="127"/>
      <c r="AL6504" s="128"/>
      <c r="AM6504" s="21"/>
      <c r="AN6504" s="133">
        <v>46081</v>
      </c>
      <c r="AO6504" s="134"/>
      <c r="AP6504" s="135">
        <v>1290</v>
      </c>
      <c r="AQ6504" s="136"/>
      <c r="AR6504" s="118">
        <v>895000</v>
      </c>
      <c r="AS6504" s="119"/>
      <c r="AT6504" s="118">
        <f t="shared" ref="AT6504" si="8937">AR6504*0.1</f>
        <v>89500</v>
      </c>
      <c r="AU6504" s="119"/>
      <c r="AV6504" s="118">
        <v>12030</v>
      </c>
      <c r="AW6504" s="119"/>
      <c r="AX6504" s="118">
        <f t="shared" ref="AX6504" si="8938">SUM(AR6504:AW6504)</f>
        <v>996530</v>
      </c>
      <c r="AY6504" s="119"/>
      <c r="AZ6504" s="137">
        <v>46086</v>
      </c>
    </row>
    <row r="6505" spans="1:52" ht="17.100000000000001" customHeight="1" thickBot="1">
      <c r="A6505" s="110"/>
      <c r="B6505" s="27" t="s">
        <v>2559</v>
      </c>
      <c r="C6505" s="27">
        <v>30006</v>
      </c>
      <c r="D6505" s="14" t="s">
        <v>275</v>
      </c>
      <c r="E6505" s="112"/>
      <c r="F6505" s="139" t="s">
        <v>18743</v>
      </c>
      <c r="G6505" s="140"/>
      <c r="H6505" s="141"/>
      <c r="I6505" s="26">
        <v>95564</v>
      </c>
      <c r="J6505" s="117"/>
      <c r="K6505" s="120"/>
      <c r="L6505" s="121"/>
      <c r="M6505" s="120"/>
      <c r="N6505" s="121"/>
      <c r="O6505" s="120"/>
      <c r="P6505" s="121"/>
      <c r="Q6505" s="120"/>
      <c r="R6505" s="121"/>
      <c r="S6505" s="120"/>
      <c r="T6505" s="121"/>
      <c r="U6505" s="120"/>
      <c r="V6505" s="123"/>
      <c r="W6505" s="125"/>
      <c r="X6505" s="142" t="s">
        <v>9727</v>
      </c>
      <c r="Y6505" s="143"/>
      <c r="Z6505" s="143"/>
      <c r="AA6505" s="143"/>
      <c r="AB6505" s="144"/>
      <c r="AC6505" s="16" t="s">
        <v>21</v>
      </c>
      <c r="AD6505" s="17" t="s">
        <v>1714</v>
      </c>
      <c r="AE6505" s="145" t="s">
        <v>19185</v>
      </c>
      <c r="AF6505" s="146"/>
      <c r="AG6505" s="146"/>
      <c r="AH6505" s="146"/>
      <c r="AI6505" s="147"/>
      <c r="AJ6505" s="148"/>
      <c r="AK6505" s="143"/>
      <c r="AL6505" s="144"/>
      <c r="AM6505" s="22"/>
      <c r="AN6505" s="149" t="s">
        <v>2511</v>
      </c>
      <c r="AO6505" s="144"/>
      <c r="AP6505" s="148">
        <v>132</v>
      </c>
      <c r="AQ6505" s="144"/>
      <c r="AR6505" s="120"/>
      <c r="AS6505" s="121"/>
      <c r="AT6505" s="120"/>
      <c r="AU6505" s="121"/>
      <c r="AV6505" s="120"/>
      <c r="AW6505" s="121"/>
      <c r="AX6505" s="120"/>
      <c r="AY6505" s="121"/>
      <c r="AZ6505" s="138"/>
    </row>
    <row r="6506" spans="1:52" ht="17.100000000000001" customHeight="1" thickTop="1">
      <c r="A6506" s="109" t="s">
        <v>18735</v>
      </c>
      <c r="B6506" s="28">
        <v>46078</v>
      </c>
      <c r="C6506" s="25">
        <v>1827</v>
      </c>
      <c r="D6506" s="13" t="s">
        <v>5627</v>
      </c>
      <c r="E6506" s="111"/>
      <c r="F6506" s="113" t="s">
        <v>18744</v>
      </c>
      <c r="G6506" s="114"/>
      <c r="H6506" s="115"/>
      <c r="I6506" s="24" t="s">
        <v>1559</v>
      </c>
      <c r="J6506" s="116">
        <v>4</v>
      </c>
      <c r="K6506" s="118">
        <v>995000</v>
      </c>
      <c r="L6506" s="119"/>
      <c r="M6506" s="118">
        <f t="shared" ref="M6506" si="8939">K6506*0.1</f>
        <v>99500</v>
      </c>
      <c r="N6506" s="119"/>
      <c r="O6506" s="118">
        <f>3700+370</f>
        <v>4070</v>
      </c>
      <c r="P6506" s="119"/>
      <c r="Q6506" s="118">
        <v>16260</v>
      </c>
      <c r="R6506" s="119"/>
      <c r="S6506" s="118">
        <v>18150</v>
      </c>
      <c r="T6506" s="119"/>
      <c r="U6506" s="118">
        <f t="shared" ref="U6506" si="8940">SUM(K6506:T6507)</f>
        <v>1132980</v>
      </c>
      <c r="V6506" s="122"/>
      <c r="W6506" s="124"/>
      <c r="X6506" s="126" t="s">
        <v>18746</v>
      </c>
      <c r="Y6506" s="127"/>
      <c r="Z6506" s="127"/>
      <c r="AA6506" s="127"/>
      <c r="AB6506" s="128"/>
      <c r="AC6506" s="15" t="s">
        <v>20</v>
      </c>
      <c r="AD6506" s="129"/>
      <c r="AE6506" s="130"/>
      <c r="AF6506" s="130"/>
      <c r="AG6506" s="130"/>
      <c r="AH6506" s="130"/>
      <c r="AI6506" s="131"/>
      <c r="AJ6506" s="132"/>
      <c r="AK6506" s="127"/>
      <c r="AL6506" s="128"/>
      <c r="AM6506" s="21" t="s">
        <v>20341</v>
      </c>
      <c r="AN6506" s="133"/>
      <c r="AO6506" s="134"/>
      <c r="AP6506" s="135"/>
      <c r="AQ6506" s="136"/>
      <c r="AR6506" s="118"/>
      <c r="AS6506" s="119"/>
      <c r="AT6506" s="118">
        <f t="shared" ref="AT6506" si="8941">AR6506*0.1</f>
        <v>0</v>
      </c>
      <c r="AU6506" s="119"/>
      <c r="AV6506" s="118"/>
      <c r="AW6506" s="119"/>
      <c r="AX6506" s="118">
        <f t="shared" ref="AX6506" si="8942">SUM(AR6506:AW6506)</f>
        <v>0</v>
      </c>
      <c r="AY6506" s="119"/>
      <c r="AZ6506" s="137"/>
    </row>
    <row r="6507" spans="1:52" ht="17.100000000000001" customHeight="1" thickBot="1">
      <c r="A6507" s="110"/>
      <c r="B6507" s="27" t="s">
        <v>2559</v>
      </c>
      <c r="C6507" s="27">
        <v>30175</v>
      </c>
      <c r="D6507" s="14" t="s">
        <v>2601</v>
      </c>
      <c r="E6507" s="112"/>
      <c r="F6507" s="139" t="s">
        <v>18745</v>
      </c>
      <c r="G6507" s="140"/>
      <c r="H6507" s="141"/>
      <c r="I6507" s="26">
        <v>95689</v>
      </c>
      <c r="J6507" s="117"/>
      <c r="K6507" s="120"/>
      <c r="L6507" s="121"/>
      <c r="M6507" s="120"/>
      <c r="N6507" s="121"/>
      <c r="O6507" s="120"/>
      <c r="P6507" s="121"/>
      <c r="Q6507" s="120"/>
      <c r="R6507" s="121"/>
      <c r="S6507" s="120"/>
      <c r="T6507" s="121"/>
      <c r="U6507" s="120"/>
      <c r="V6507" s="123"/>
      <c r="W6507" s="125"/>
      <c r="X6507" s="142" t="s">
        <v>3455</v>
      </c>
      <c r="Y6507" s="143"/>
      <c r="Z6507" s="143"/>
      <c r="AA6507" s="143"/>
      <c r="AB6507" s="144"/>
      <c r="AC6507" s="16" t="s">
        <v>21</v>
      </c>
      <c r="AD6507" s="17" t="s">
        <v>1902</v>
      </c>
      <c r="AE6507" s="145" t="s">
        <v>19167</v>
      </c>
      <c r="AF6507" s="146"/>
      <c r="AG6507" s="146"/>
      <c r="AH6507" s="146"/>
      <c r="AI6507" s="147"/>
      <c r="AJ6507" s="148"/>
      <c r="AK6507" s="143"/>
      <c r="AL6507" s="144"/>
      <c r="AM6507" s="22"/>
      <c r="AN6507" s="149"/>
      <c r="AO6507" s="144"/>
      <c r="AP6507" s="148"/>
      <c r="AQ6507" s="144"/>
      <c r="AR6507" s="120"/>
      <c r="AS6507" s="121"/>
      <c r="AT6507" s="120"/>
      <c r="AU6507" s="121"/>
      <c r="AV6507" s="120"/>
      <c r="AW6507" s="121"/>
      <c r="AX6507" s="120"/>
      <c r="AY6507" s="121"/>
      <c r="AZ6507" s="138"/>
    </row>
    <row r="6508" spans="1:52" ht="17.100000000000001" customHeight="1" thickTop="1">
      <c r="A6508" s="109" t="s">
        <v>18736</v>
      </c>
      <c r="B6508" s="28">
        <v>46078</v>
      </c>
      <c r="C6508" s="25">
        <v>1827</v>
      </c>
      <c r="D6508" s="13" t="s">
        <v>1920</v>
      </c>
      <c r="E6508" s="111"/>
      <c r="F6508" s="113" t="s">
        <v>18747</v>
      </c>
      <c r="G6508" s="114"/>
      <c r="H6508" s="115"/>
      <c r="I6508" s="24"/>
      <c r="J6508" s="116">
        <v>4</v>
      </c>
      <c r="K6508" s="118">
        <v>1005000</v>
      </c>
      <c r="L6508" s="119"/>
      <c r="M6508" s="118">
        <f t="shared" ref="M6508" si="8943">K6508*0.1</f>
        <v>100500</v>
      </c>
      <c r="N6508" s="119"/>
      <c r="O6508" s="118">
        <v>0</v>
      </c>
      <c r="P6508" s="119"/>
      <c r="Q6508" s="118">
        <v>9810</v>
      </c>
      <c r="R6508" s="119"/>
      <c r="S6508" s="118">
        <v>18150</v>
      </c>
      <c r="T6508" s="119"/>
      <c r="U6508" s="118">
        <f t="shared" ref="U6508" si="8944">SUM(K6508:T6509)</f>
        <v>1133460</v>
      </c>
      <c r="V6508" s="122"/>
      <c r="W6508" s="124"/>
      <c r="X6508" s="126" t="s">
        <v>19389</v>
      </c>
      <c r="Y6508" s="127"/>
      <c r="Z6508" s="127"/>
      <c r="AA6508" s="127"/>
      <c r="AB6508" s="128"/>
      <c r="AC6508" s="15" t="s">
        <v>20</v>
      </c>
      <c r="AD6508" s="129" t="s">
        <v>186</v>
      </c>
      <c r="AE6508" s="130"/>
      <c r="AF6508" s="130"/>
      <c r="AG6508" s="130"/>
      <c r="AH6508" s="130"/>
      <c r="AI6508" s="131"/>
      <c r="AJ6508" s="132"/>
      <c r="AK6508" s="127"/>
      <c r="AL6508" s="128"/>
      <c r="AM6508" s="21"/>
      <c r="AN6508" s="133">
        <v>46081</v>
      </c>
      <c r="AO6508" s="134"/>
      <c r="AP6508" s="135">
        <v>1290</v>
      </c>
      <c r="AQ6508" s="136"/>
      <c r="AR6508" s="118">
        <v>1150000</v>
      </c>
      <c r="AS6508" s="119"/>
      <c r="AT6508" s="118">
        <f t="shared" ref="AT6508" si="8945">AR6508*0.1</f>
        <v>115000</v>
      </c>
      <c r="AU6508" s="119"/>
      <c r="AV6508" s="118">
        <v>9810</v>
      </c>
      <c r="AW6508" s="119"/>
      <c r="AX6508" s="118">
        <f t="shared" ref="AX6508" si="8946">SUM(AR6508:AW6508)</f>
        <v>1274810</v>
      </c>
      <c r="AY6508" s="119"/>
      <c r="AZ6508" s="137">
        <v>46091</v>
      </c>
    </row>
    <row r="6509" spans="1:52" ht="17.100000000000001" customHeight="1" thickBot="1">
      <c r="A6509" s="110"/>
      <c r="B6509" s="27" t="s">
        <v>2559</v>
      </c>
      <c r="C6509" s="27">
        <v>36530</v>
      </c>
      <c r="D6509" s="14" t="s">
        <v>275</v>
      </c>
      <c r="E6509" s="112"/>
      <c r="F6509" s="139" t="s">
        <v>18748</v>
      </c>
      <c r="G6509" s="140"/>
      <c r="H6509" s="141"/>
      <c r="I6509" s="26">
        <v>41307</v>
      </c>
      <c r="J6509" s="117"/>
      <c r="K6509" s="120"/>
      <c r="L6509" s="121"/>
      <c r="M6509" s="120"/>
      <c r="N6509" s="121"/>
      <c r="O6509" s="120"/>
      <c r="P6509" s="121"/>
      <c r="Q6509" s="120"/>
      <c r="R6509" s="121"/>
      <c r="S6509" s="120"/>
      <c r="T6509" s="121"/>
      <c r="U6509" s="120"/>
      <c r="V6509" s="123"/>
      <c r="W6509" s="125"/>
      <c r="X6509" s="142" t="s">
        <v>19390</v>
      </c>
      <c r="Y6509" s="143"/>
      <c r="Z6509" s="143"/>
      <c r="AA6509" s="143"/>
      <c r="AB6509" s="144"/>
      <c r="AC6509" s="16" t="s">
        <v>21</v>
      </c>
      <c r="AD6509" s="17" t="s">
        <v>19391</v>
      </c>
      <c r="AE6509" s="145" t="s">
        <v>19392</v>
      </c>
      <c r="AF6509" s="146"/>
      <c r="AG6509" s="146"/>
      <c r="AH6509" s="146"/>
      <c r="AI6509" s="147"/>
      <c r="AJ6509" s="148"/>
      <c r="AK6509" s="143"/>
      <c r="AL6509" s="144"/>
      <c r="AM6509" s="22"/>
      <c r="AN6509" s="149" t="s">
        <v>6748</v>
      </c>
      <c r="AO6509" s="144"/>
      <c r="AP6509" s="148">
        <v>212</v>
      </c>
      <c r="AQ6509" s="144"/>
      <c r="AR6509" s="120"/>
      <c r="AS6509" s="121"/>
      <c r="AT6509" s="120"/>
      <c r="AU6509" s="121"/>
      <c r="AV6509" s="120"/>
      <c r="AW6509" s="121"/>
      <c r="AX6509" s="120"/>
      <c r="AY6509" s="121"/>
      <c r="AZ6509" s="138"/>
    </row>
    <row r="6510" spans="1:52" ht="17.100000000000001" customHeight="1" thickTop="1">
      <c r="A6510" s="151" t="s">
        <v>18737</v>
      </c>
      <c r="B6510" s="28">
        <v>46078</v>
      </c>
      <c r="C6510" s="25">
        <v>1827</v>
      </c>
      <c r="D6510" s="13" t="s">
        <v>3550</v>
      </c>
      <c r="E6510" s="111"/>
      <c r="F6510" s="113" t="s">
        <v>18749</v>
      </c>
      <c r="G6510" s="114"/>
      <c r="H6510" s="115"/>
      <c r="I6510" s="24"/>
      <c r="J6510" s="116">
        <v>4.5</v>
      </c>
      <c r="K6510" s="118">
        <v>2085000</v>
      </c>
      <c r="L6510" s="119"/>
      <c r="M6510" s="118">
        <f t="shared" ref="M6510" si="8947">K6510*0.1</f>
        <v>208500</v>
      </c>
      <c r="N6510" s="119"/>
      <c r="O6510" s="118">
        <v>0</v>
      </c>
      <c r="P6510" s="119"/>
      <c r="Q6510" s="118">
        <v>17800</v>
      </c>
      <c r="R6510" s="119"/>
      <c r="S6510" s="118">
        <v>18150</v>
      </c>
      <c r="T6510" s="119"/>
      <c r="U6510" s="118">
        <f t="shared" ref="U6510" si="8948">SUM(K6510:T6511)</f>
        <v>2329450</v>
      </c>
      <c r="V6510" s="122"/>
      <c r="W6510" s="124"/>
      <c r="X6510" s="126" t="s">
        <v>19318</v>
      </c>
      <c r="Y6510" s="127"/>
      <c r="Z6510" s="127"/>
      <c r="AA6510" s="127"/>
      <c r="AB6510" s="128"/>
      <c r="AC6510" s="15" t="s">
        <v>20</v>
      </c>
      <c r="AD6510" s="129"/>
      <c r="AE6510" s="130"/>
      <c r="AF6510" s="130"/>
      <c r="AG6510" s="130"/>
      <c r="AH6510" s="130"/>
      <c r="AI6510" s="131"/>
      <c r="AJ6510" s="132" t="s">
        <v>19368</v>
      </c>
      <c r="AK6510" s="127"/>
      <c r="AL6510" s="128"/>
      <c r="AM6510" s="21"/>
      <c r="AN6510" s="133"/>
      <c r="AO6510" s="134"/>
      <c r="AP6510" s="135"/>
      <c r="AQ6510" s="136"/>
      <c r="AR6510" s="118"/>
      <c r="AS6510" s="119"/>
      <c r="AT6510" s="118">
        <f t="shared" ref="AT6510" si="8949">AR6510*0.1</f>
        <v>0</v>
      </c>
      <c r="AU6510" s="119"/>
      <c r="AV6510" s="118"/>
      <c r="AW6510" s="119"/>
      <c r="AX6510" s="118">
        <f t="shared" ref="AX6510" si="8950">SUM(AR6510:AW6510)</f>
        <v>0</v>
      </c>
      <c r="AY6510" s="119"/>
      <c r="AZ6510" s="137"/>
    </row>
    <row r="6511" spans="1:52" ht="17.100000000000001" customHeight="1" thickBot="1">
      <c r="A6511" s="152"/>
      <c r="B6511" s="27" t="s">
        <v>2559</v>
      </c>
      <c r="C6511" s="27">
        <v>38065</v>
      </c>
      <c r="D6511" s="14" t="s">
        <v>275</v>
      </c>
      <c r="E6511" s="112"/>
      <c r="F6511" s="139" t="s">
        <v>18750</v>
      </c>
      <c r="G6511" s="140"/>
      <c r="H6511" s="141"/>
      <c r="I6511" s="26">
        <v>35112</v>
      </c>
      <c r="J6511" s="117"/>
      <c r="K6511" s="120"/>
      <c r="L6511" s="121"/>
      <c r="M6511" s="120"/>
      <c r="N6511" s="121"/>
      <c r="O6511" s="120"/>
      <c r="P6511" s="121"/>
      <c r="Q6511" s="120"/>
      <c r="R6511" s="121"/>
      <c r="S6511" s="120"/>
      <c r="T6511" s="121"/>
      <c r="U6511" s="120"/>
      <c r="V6511" s="123"/>
      <c r="W6511" s="125"/>
      <c r="X6511" s="142" t="s">
        <v>4423</v>
      </c>
      <c r="Y6511" s="143"/>
      <c r="Z6511" s="143"/>
      <c r="AA6511" s="143"/>
      <c r="AB6511" s="144"/>
      <c r="AC6511" s="16" t="s">
        <v>21</v>
      </c>
      <c r="AD6511" s="17" t="s">
        <v>859</v>
      </c>
      <c r="AE6511" s="145" t="s">
        <v>171</v>
      </c>
      <c r="AF6511" s="146"/>
      <c r="AG6511" s="146"/>
      <c r="AH6511" s="146"/>
      <c r="AI6511" s="147"/>
      <c r="AJ6511" s="148"/>
      <c r="AK6511" s="143"/>
      <c r="AL6511" s="144"/>
      <c r="AM6511" s="22"/>
      <c r="AN6511" s="149"/>
      <c r="AO6511" s="144"/>
      <c r="AP6511" s="148"/>
      <c r="AQ6511" s="144"/>
      <c r="AR6511" s="120"/>
      <c r="AS6511" s="121"/>
      <c r="AT6511" s="120"/>
      <c r="AU6511" s="121"/>
      <c r="AV6511" s="120"/>
      <c r="AW6511" s="121"/>
      <c r="AX6511" s="120"/>
      <c r="AY6511" s="121"/>
      <c r="AZ6511" s="138"/>
    </row>
    <row r="6512" spans="1:52" ht="17.100000000000001" customHeight="1" thickTop="1">
      <c r="A6512" s="109" t="s">
        <v>18738</v>
      </c>
      <c r="B6512" s="28">
        <v>46078</v>
      </c>
      <c r="C6512" s="25">
        <v>1827</v>
      </c>
      <c r="D6512" s="13" t="s">
        <v>2179</v>
      </c>
      <c r="E6512" s="111"/>
      <c r="F6512" s="113" t="s">
        <v>1938</v>
      </c>
      <c r="G6512" s="114"/>
      <c r="H6512" s="115"/>
      <c r="I6512" s="24" t="s">
        <v>2571</v>
      </c>
      <c r="J6512" s="116">
        <v>4.5</v>
      </c>
      <c r="K6512" s="118">
        <v>255000</v>
      </c>
      <c r="L6512" s="119"/>
      <c r="M6512" s="118">
        <f t="shared" ref="M6512" si="8951">K6512*0.1</f>
        <v>25500</v>
      </c>
      <c r="N6512" s="119"/>
      <c r="O6512" s="118">
        <f>2800+280</f>
        <v>3080</v>
      </c>
      <c r="P6512" s="119"/>
      <c r="Q6512" s="118">
        <v>17700</v>
      </c>
      <c r="R6512" s="119"/>
      <c r="S6512" s="118">
        <v>18150</v>
      </c>
      <c r="T6512" s="119"/>
      <c r="U6512" s="118">
        <f t="shared" ref="U6512" si="8952">SUM(K6512:T6513)</f>
        <v>319430</v>
      </c>
      <c r="V6512" s="122"/>
      <c r="W6512" s="124"/>
      <c r="X6512" s="126" t="s">
        <v>18752</v>
      </c>
      <c r="Y6512" s="127"/>
      <c r="Z6512" s="127"/>
      <c r="AA6512" s="127"/>
      <c r="AB6512" s="128"/>
      <c r="AC6512" s="15" t="s">
        <v>20</v>
      </c>
      <c r="AD6512" s="129" t="s">
        <v>1670</v>
      </c>
      <c r="AE6512" s="130"/>
      <c r="AF6512" s="130"/>
      <c r="AG6512" s="130"/>
      <c r="AH6512" s="130"/>
      <c r="AI6512" s="131"/>
      <c r="AJ6512" s="132"/>
      <c r="AK6512" s="127"/>
      <c r="AL6512" s="128"/>
      <c r="AM6512" s="21"/>
      <c r="AN6512" s="133">
        <v>46088</v>
      </c>
      <c r="AO6512" s="134"/>
      <c r="AP6512" s="135">
        <v>1291</v>
      </c>
      <c r="AQ6512" s="136"/>
      <c r="AR6512" s="118">
        <v>505000</v>
      </c>
      <c r="AS6512" s="119"/>
      <c r="AT6512" s="118">
        <f t="shared" ref="AT6512" si="8953">AR6512*0.1</f>
        <v>50500</v>
      </c>
      <c r="AU6512" s="119"/>
      <c r="AV6512" s="118">
        <v>17700</v>
      </c>
      <c r="AW6512" s="119"/>
      <c r="AX6512" s="118">
        <f t="shared" ref="AX6512" si="8954">SUM(AR6512:AW6512)</f>
        <v>573200</v>
      </c>
      <c r="AY6512" s="119"/>
      <c r="AZ6512" s="137">
        <v>46091</v>
      </c>
    </row>
    <row r="6513" spans="1:52" ht="17.100000000000001" customHeight="1" thickBot="1">
      <c r="A6513" s="110"/>
      <c r="B6513" s="27" t="s">
        <v>2559</v>
      </c>
      <c r="C6513" s="27">
        <v>38104</v>
      </c>
      <c r="D6513" s="14" t="s">
        <v>1576</v>
      </c>
      <c r="E6513" s="112"/>
      <c r="F6513" s="139" t="s">
        <v>18751</v>
      </c>
      <c r="G6513" s="140"/>
      <c r="H6513" s="141"/>
      <c r="I6513" s="26">
        <v>76151</v>
      </c>
      <c r="J6513" s="117"/>
      <c r="K6513" s="120"/>
      <c r="L6513" s="121"/>
      <c r="M6513" s="120"/>
      <c r="N6513" s="121"/>
      <c r="O6513" s="120"/>
      <c r="P6513" s="121"/>
      <c r="Q6513" s="120"/>
      <c r="R6513" s="121"/>
      <c r="S6513" s="120"/>
      <c r="T6513" s="121"/>
      <c r="U6513" s="120"/>
      <c r="V6513" s="123"/>
      <c r="W6513" s="125"/>
      <c r="X6513" s="142" t="s">
        <v>19122</v>
      </c>
      <c r="Y6513" s="143"/>
      <c r="Z6513" s="143"/>
      <c r="AA6513" s="143"/>
      <c r="AB6513" s="144"/>
      <c r="AC6513" s="16" t="s">
        <v>21</v>
      </c>
      <c r="AD6513" s="17" t="s">
        <v>1902</v>
      </c>
      <c r="AE6513" s="145" t="s">
        <v>1742</v>
      </c>
      <c r="AF6513" s="146"/>
      <c r="AG6513" s="146"/>
      <c r="AH6513" s="146"/>
      <c r="AI6513" s="147"/>
      <c r="AJ6513" s="148"/>
      <c r="AK6513" s="143"/>
      <c r="AL6513" s="144"/>
      <c r="AM6513" s="22"/>
      <c r="AN6513" s="149" t="s">
        <v>2511</v>
      </c>
      <c r="AO6513" s="144"/>
      <c r="AP6513" s="148">
        <v>80039</v>
      </c>
      <c r="AQ6513" s="144"/>
      <c r="AR6513" s="120"/>
      <c r="AS6513" s="121"/>
      <c r="AT6513" s="120"/>
      <c r="AU6513" s="121"/>
      <c r="AV6513" s="120"/>
      <c r="AW6513" s="121"/>
      <c r="AX6513" s="120"/>
      <c r="AY6513" s="121"/>
      <c r="AZ6513" s="138"/>
    </row>
    <row r="6514" spans="1:52" ht="17.100000000000001" customHeight="1" thickTop="1">
      <c r="A6514" s="109" t="s">
        <v>18755</v>
      </c>
      <c r="B6514" s="28">
        <v>46079</v>
      </c>
      <c r="C6514" s="25">
        <v>2016</v>
      </c>
      <c r="D6514" s="13" t="s">
        <v>1597</v>
      </c>
      <c r="E6514" s="111"/>
      <c r="F6514" s="113" t="s">
        <v>18771</v>
      </c>
      <c r="G6514" s="114"/>
      <c r="H6514" s="115"/>
      <c r="I6514" s="24" t="s">
        <v>2956</v>
      </c>
      <c r="J6514" s="116">
        <v>4</v>
      </c>
      <c r="K6514" s="118">
        <v>1126000</v>
      </c>
      <c r="L6514" s="119"/>
      <c r="M6514" s="118">
        <f t="shared" ref="M6514" si="8955">K6514*0.1</f>
        <v>112600</v>
      </c>
      <c r="N6514" s="119"/>
      <c r="O6514" s="118">
        <f>3200+320</f>
        <v>3520</v>
      </c>
      <c r="P6514" s="119"/>
      <c r="Q6514" s="118">
        <v>10230</v>
      </c>
      <c r="R6514" s="119"/>
      <c r="S6514" s="118">
        <v>22000</v>
      </c>
      <c r="T6514" s="119"/>
      <c r="U6514" s="118">
        <f t="shared" ref="U6514" si="8956">SUM(K6514:T6515)</f>
        <v>1274350</v>
      </c>
      <c r="V6514" s="122"/>
      <c r="W6514" s="124"/>
      <c r="X6514" s="126" t="s">
        <v>18773</v>
      </c>
      <c r="Y6514" s="127"/>
      <c r="Z6514" s="127"/>
      <c r="AA6514" s="127"/>
      <c r="AB6514" s="128"/>
      <c r="AC6514" s="15" t="s">
        <v>20</v>
      </c>
      <c r="AD6514" s="129" t="s">
        <v>186</v>
      </c>
      <c r="AE6514" s="130"/>
      <c r="AF6514" s="130"/>
      <c r="AG6514" s="130"/>
      <c r="AH6514" s="130"/>
      <c r="AI6514" s="131"/>
      <c r="AJ6514" s="132"/>
      <c r="AK6514" s="127"/>
      <c r="AL6514" s="128"/>
      <c r="AM6514" s="21"/>
      <c r="AN6514" s="133">
        <v>46092</v>
      </c>
      <c r="AO6514" s="134"/>
      <c r="AP6514" s="135">
        <v>1008</v>
      </c>
      <c r="AQ6514" s="136"/>
      <c r="AR6514" s="118">
        <v>1210000</v>
      </c>
      <c r="AS6514" s="119"/>
      <c r="AT6514" s="118">
        <f t="shared" ref="AT6514" si="8957">AR6514*0.1</f>
        <v>121000</v>
      </c>
      <c r="AU6514" s="119"/>
      <c r="AV6514" s="118">
        <v>10230</v>
      </c>
      <c r="AW6514" s="119"/>
      <c r="AX6514" s="118">
        <f t="shared" ref="AX6514" si="8958">SUM(AR6514:AW6514)</f>
        <v>1341230</v>
      </c>
      <c r="AY6514" s="119"/>
      <c r="AZ6514" s="137">
        <v>46098</v>
      </c>
    </row>
    <row r="6515" spans="1:52" ht="17.100000000000001" customHeight="1" thickBot="1">
      <c r="A6515" s="110"/>
      <c r="B6515" s="27" t="s">
        <v>18753</v>
      </c>
      <c r="C6515" s="27">
        <v>30032</v>
      </c>
      <c r="D6515" s="14" t="s">
        <v>2601</v>
      </c>
      <c r="E6515" s="112"/>
      <c r="F6515" s="139" t="s">
        <v>18772</v>
      </c>
      <c r="G6515" s="140"/>
      <c r="H6515" s="141"/>
      <c r="I6515" s="26">
        <v>147591</v>
      </c>
      <c r="J6515" s="117"/>
      <c r="K6515" s="120"/>
      <c r="L6515" s="121"/>
      <c r="M6515" s="120"/>
      <c r="N6515" s="121"/>
      <c r="O6515" s="120"/>
      <c r="P6515" s="121"/>
      <c r="Q6515" s="120"/>
      <c r="R6515" s="121"/>
      <c r="S6515" s="120"/>
      <c r="T6515" s="121"/>
      <c r="U6515" s="120"/>
      <c r="V6515" s="123"/>
      <c r="W6515" s="125"/>
      <c r="X6515" s="142" t="s">
        <v>19358</v>
      </c>
      <c r="Y6515" s="143"/>
      <c r="Z6515" s="143"/>
      <c r="AA6515" s="143"/>
      <c r="AB6515" s="144"/>
      <c r="AC6515" s="16" t="s">
        <v>21</v>
      </c>
      <c r="AD6515" s="17" t="s">
        <v>859</v>
      </c>
      <c r="AE6515" s="145" t="s">
        <v>2441</v>
      </c>
      <c r="AF6515" s="146"/>
      <c r="AG6515" s="146"/>
      <c r="AH6515" s="146"/>
      <c r="AI6515" s="147"/>
      <c r="AJ6515" s="148"/>
      <c r="AK6515" s="143"/>
      <c r="AL6515" s="144"/>
      <c r="AM6515" s="22"/>
      <c r="AN6515" s="149" t="s">
        <v>19938</v>
      </c>
      <c r="AO6515" s="144"/>
      <c r="AP6515" s="148">
        <v>6127</v>
      </c>
      <c r="AQ6515" s="144"/>
      <c r="AR6515" s="120"/>
      <c r="AS6515" s="121"/>
      <c r="AT6515" s="120"/>
      <c r="AU6515" s="121"/>
      <c r="AV6515" s="120"/>
      <c r="AW6515" s="121"/>
      <c r="AX6515" s="120"/>
      <c r="AY6515" s="121"/>
      <c r="AZ6515" s="138"/>
    </row>
    <row r="6516" spans="1:52" ht="17.100000000000001" customHeight="1" thickTop="1">
      <c r="A6516" s="109" t="s">
        <v>18756</v>
      </c>
      <c r="B6516" s="28">
        <v>46079</v>
      </c>
      <c r="C6516" s="25">
        <v>2016</v>
      </c>
      <c r="D6516" s="13" t="s">
        <v>1776</v>
      </c>
      <c r="E6516" s="111"/>
      <c r="F6516" s="113" t="s">
        <v>18852</v>
      </c>
      <c r="G6516" s="114"/>
      <c r="H6516" s="115"/>
      <c r="I6516" s="24"/>
      <c r="J6516" s="116">
        <v>4</v>
      </c>
      <c r="K6516" s="118">
        <v>1298000</v>
      </c>
      <c r="L6516" s="119"/>
      <c r="M6516" s="118">
        <f t="shared" ref="M6516" si="8959">K6516*0.1</f>
        <v>129800</v>
      </c>
      <c r="N6516" s="119"/>
      <c r="O6516" s="118">
        <v>0</v>
      </c>
      <c r="P6516" s="119"/>
      <c r="Q6516" s="118">
        <v>12030</v>
      </c>
      <c r="R6516" s="119"/>
      <c r="S6516" s="118">
        <v>22000</v>
      </c>
      <c r="T6516" s="119"/>
      <c r="U6516" s="118">
        <f t="shared" ref="U6516" si="8960">SUM(K6516:T6517)</f>
        <v>1461830</v>
      </c>
      <c r="V6516" s="122"/>
      <c r="W6516" s="124"/>
      <c r="X6516" s="126" t="s">
        <v>19403</v>
      </c>
      <c r="Y6516" s="127"/>
      <c r="Z6516" s="127"/>
      <c r="AA6516" s="127"/>
      <c r="AB6516" s="128"/>
      <c r="AC6516" s="15" t="s">
        <v>20</v>
      </c>
      <c r="AD6516" s="129" t="s">
        <v>18853</v>
      </c>
      <c r="AE6516" s="130"/>
      <c r="AF6516" s="130"/>
      <c r="AG6516" s="130"/>
      <c r="AH6516" s="130"/>
      <c r="AI6516" s="131"/>
      <c r="AJ6516" s="132"/>
      <c r="AK6516" s="127"/>
      <c r="AL6516" s="128"/>
      <c r="AM6516" s="21"/>
      <c r="AN6516" s="133">
        <v>46099</v>
      </c>
      <c r="AO6516" s="134"/>
      <c r="AP6516" s="135">
        <v>1009</v>
      </c>
      <c r="AQ6516" s="136"/>
      <c r="AR6516" s="118">
        <v>1325000</v>
      </c>
      <c r="AS6516" s="119"/>
      <c r="AT6516" s="118">
        <f t="shared" ref="AT6516" si="8961">AR6516*0.1</f>
        <v>132500</v>
      </c>
      <c r="AU6516" s="119"/>
      <c r="AV6516" s="118">
        <v>12030</v>
      </c>
      <c r="AW6516" s="119"/>
      <c r="AX6516" s="118">
        <f t="shared" ref="AX6516" si="8962">SUM(AR6516:AW6516)</f>
        <v>1469530</v>
      </c>
      <c r="AY6516" s="119"/>
      <c r="AZ6516" s="137">
        <v>46105</v>
      </c>
    </row>
    <row r="6517" spans="1:52" ht="17.100000000000001" customHeight="1" thickBot="1">
      <c r="A6517" s="110"/>
      <c r="B6517" s="27" t="s">
        <v>18753</v>
      </c>
      <c r="C6517" s="27">
        <v>30054</v>
      </c>
      <c r="D6517" s="14" t="s">
        <v>275</v>
      </c>
      <c r="E6517" s="112"/>
      <c r="F6517" s="139" t="s">
        <v>18846</v>
      </c>
      <c r="G6517" s="140"/>
      <c r="H6517" s="141"/>
      <c r="I6517" s="26">
        <v>40371</v>
      </c>
      <c r="J6517" s="117"/>
      <c r="K6517" s="120"/>
      <c r="L6517" s="121"/>
      <c r="M6517" s="120"/>
      <c r="N6517" s="121"/>
      <c r="O6517" s="120"/>
      <c r="P6517" s="121"/>
      <c r="Q6517" s="120"/>
      <c r="R6517" s="121"/>
      <c r="S6517" s="120"/>
      <c r="T6517" s="121"/>
      <c r="U6517" s="120"/>
      <c r="V6517" s="123"/>
      <c r="W6517" s="125"/>
      <c r="X6517" s="142" t="s">
        <v>19404</v>
      </c>
      <c r="Y6517" s="143"/>
      <c r="Z6517" s="143"/>
      <c r="AA6517" s="143"/>
      <c r="AB6517" s="144"/>
      <c r="AC6517" s="16" t="s">
        <v>21</v>
      </c>
      <c r="AD6517" s="17" t="s">
        <v>19391</v>
      </c>
      <c r="AE6517" s="145" t="s">
        <v>19405</v>
      </c>
      <c r="AF6517" s="146"/>
      <c r="AG6517" s="146"/>
      <c r="AH6517" s="146"/>
      <c r="AI6517" s="147"/>
      <c r="AJ6517" s="148"/>
      <c r="AK6517" s="143"/>
      <c r="AL6517" s="144"/>
      <c r="AM6517" s="22"/>
      <c r="AN6517" s="149" t="s">
        <v>2794</v>
      </c>
      <c r="AO6517" s="144"/>
      <c r="AP6517" s="148">
        <v>6055</v>
      </c>
      <c r="AQ6517" s="144"/>
      <c r="AR6517" s="120"/>
      <c r="AS6517" s="121"/>
      <c r="AT6517" s="120"/>
      <c r="AU6517" s="121"/>
      <c r="AV6517" s="120"/>
      <c r="AW6517" s="121"/>
      <c r="AX6517" s="120"/>
      <c r="AY6517" s="121"/>
      <c r="AZ6517" s="138"/>
    </row>
    <row r="6518" spans="1:52" ht="17.100000000000001" customHeight="1" thickTop="1">
      <c r="A6518" s="109" t="s">
        <v>18757</v>
      </c>
      <c r="B6518" s="28">
        <v>46079</v>
      </c>
      <c r="C6518" s="25">
        <v>2016</v>
      </c>
      <c r="D6518" s="13" t="s">
        <v>1615</v>
      </c>
      <c r="E6518" s="111"/>
      <c r="F6518" s="113" t="s">
        <v>18356</v>
      </c>
      <c r="G6518" s="114"/>
      <c r="H6518" s="115"/>
      <c r="I6518" s="24" t="s">
        <v>2976</v>
      </c>
      <c r="J6518" s="116">
        <v>4.5</v>
      </c>
      <c r="K6518" s="118">
        <v>1325000</v>
      </c>
      <c r="L6518" s="119"/>
      <c r="M6518" s="118">
        <f t="shared" ref="M6518" si="8963">K6518*0.1</f>
        <v>132500</v>
      </c>
      <c r="N6518" s="119"/>
      <c r="O6518" s="118">
        <f>2800+280</f>
        <v>3080</v>
      </c>
      <c r="P6518" s="119"/>
      <c r="Q6518" s="118">
        <v>10360</v>
      </c>
      <c r="R6518" s="119"/>
      <c r="S6518" s="118">
        <v>22000</v>
      </c>
      <c r="T6518" s="119"/>
      <c r="U6518" s="118">
        <f t="shared" ref="U6518" si="8964">SUM(K6518:T6519)</f>
        <v>1492940</v>
      </c>
      <c r="V6518" s="122"/>
      <c r="W6518" s="124"/>
      <c r="X6518" s="126" t="s">
        <v>18854</v>
      </c>
      <c r="Y6518" s="127"/>
      <c r="Z6518" s="127"/>
      <c r="AA6518" s="127"/>
      <c r="AB6518" s="128"/>
      <c r="AC6518" s="15" t="s">
        <v>20</v>
      </c>
      <c r="AD6518" s="129" t="s">
        <v>2198</v>
      </c>
      <c r="AE6518" s="130"/>
      <c r="AF6518" s="130"/>
      <c r="AG6518" s="130"/>
      <c r="AH6518" s="130"/>
      <c r="AI6518" s="131"/>
      <c r="AJ6518" s="132"/>
      <c r="AK6518" s="127"/>
      <c r="AL6518" s="128"/>
      <c r="AM6518" s="21"/>
      <c r="AN6518" s="133">
        <v>46092</v>
      </c>
      <c r="AO6518" s="134"/>
      <c r="AP6518" s="135">
        <v>1008</v>
      </c>
      <c r="AQ6518" s="136"/>
      <c r="AR6518" s="118">
        <v>1375000</v>
      </c>
      <c r="AS6518" s="119"/>
      <c r="AT6518" s="118">
        <f t="shared" ref="AT6518" si="8965">AR6518*0.1</f>
        <v>137500</v>
      </c>
      <c r="AU6518" s="119"/>
      <c r="AV6518" s="118">
        <v>10360</v>
      </c>
      <c r="AW6518" s="119"/>
      <c r="AX6518" s="118">
        <f t="shared" ref="AX6518" si="8966">SUM(AR6518:AW6518)</f>
        <v>1522860</v>
      </c>
      <c r="AY6518" s="119"/>
      <c r="AZ6518" s="137">
        <v>46098</v>
      </c>
    </row>
    <row r="6519" spans="1:52" ht="17.100000000000001" customHeight="1" thickBot="1">
      <c r="A6519" s="110"/>
      <c r="B6519" s="27" t="s">
        <v>18753</v>
      </c>
      <c r="C6519" s="27">
        <v>30084</v>
      </c>
      <c r="D6519" s="14" t="s">
        <v>2040</v>
      </c>
      <c r="E6519" s="112"/>
      <c r="F6519" s="139" t="s">
        <v>18847</v>
      </c>
      <c r="G6519" s="140"/>
      <c r="H6519" s="141"/>
      <c r="I6519" s="26">
        <v>18410</v>
      </c>
      <c r="J6519" s="117"/>
      <c r="K6519" s="120"/>
      <c r="L6519" s="121"/>
      <c r="M6519" s="120"/>
      <c r="N6519" s="121"/>
      <c r="O6519" s="120"/>
      <c r="P6519" s="121"/>
      <c r="Q6519" s="120"/>
      <c r="R6519" s="121"/>
      <c r="S6519" s="120"/>
      <c r="T6519" s="121"/>
      <c r="U6519" s="120"/>
      <c r="V6519" s="123"/>
      <c r="W6519" s="125"/>
      <c r="X6519" s="142" t="s">
        <v>19357</v>
      </c>
      <c r="Y6519" s="143"/>
      <c r="Z6519" s="143"/>
      <c r="AA6519" s="143"/>
      <c r="AB6519" s="144"/>
      <c r="AC6519" s="16" t="s">
        <v>21</v>
      </c>
      <c r="AD6519" s="17" t="s">
        <v>859</v>
      </c>
      <c r="AE6519" s="145" t="s">
        <v>9504</v>
      </c>
      <c r="AF6519" s="146"/>
      <c r="AG6519" s="146"/>
      <c r="AH6519" s="146"/>
      <c r="AI6519" s="147"/>
      <c r="AJ6519" s="148"/>
      <c r="AK6519" s="143"/>
      <c r="AL6519" s="144"/>
      <c r="AM6519" s="22"/>
      <c r="AN6519" s="149" t="s">
        <v>19938</v>
      </c>
      <c r="AO6519" s="144"/>
      <c r="AP6519" s="148">
        <v>6133</v>
      </c>
      <c r="AQ6519" s="144"/>
      <c r="AR6519" s="120"/>
      <c r="AS6519" s="121"/>
      <c r="AT6519" s="120"/>
      <c r="AU6519" s="121"/>
      <c r="AV6519" s="120"/>
      <c r="AW6519" s="121"/>
      <c r="AX6519" s="120"/>
      <c r="AY6519" s="121"/>
      <c r="AZ6519" s="138"/>
    </row>
    <row r="6520" spans="1:52" ht="17.100000000000001" customHeight="1" thickTop="1">
      <c r="A6520" s="109" t="s">
        <v>18758</v>
      </c>
      <c r="B6520" s="28">
        <v>46079</v>
      </c>
      <c r="C6520" s="25">
        <v>2016</v>
      </c>
      <c r="D6520" s="13" t="s">
        <v>2179</v>
      </c>
      <c r="E6520" s="111"/>
      <c r="F6520" s="113" t="s">
        <v>18855</v>
      </c>
      <c r="G6520" s="114"/>
      <c r="H6520" s="115"/>
      <c r="I6520" s="24" t="s">
        <v>1547</v>
      </c>
      <c r="J6520" s="116">
        <v>4</v>
      </c>
      <c r="K6520" s="118">
        <v>1049000</v>
      </c>
      <c r="L6520" s="119"/>
      <c r="M6520" s="118">
        <f t="shared" ref="M6520" si="8967">K6520*0.1</f>
        <v>104900</v>
      </c>
      <c r="N6520" s="119"/>
      <c r="O6520" s="118">
        <f>3200+320</f>
        <v>3520</v>
      </c>
      <c r="P6520" s="119"/>
      <c r="Q6520" s="118">
        <v>12030</v>
      </c>
      <c r="R6520" s="119"/>
      <c r="S6520" s="118">
        <v>22000</v>
      </c>
      <c r="T6520" s="119"/>
      <c r="U6520" s="118">
        <f t="shared" ref="U6520" si="8968">SUM(K6520:T6521)</f>
        <v>1191450</v>
      </c>
      <c r="V6520" s="122"/>
      <c r="W6520" s="124"/>
      <c r="X6520" s="126" t="s">
        <v>18856</v>
      </c>
      <c r="Y6520" s="127"/>
      <c r="Z6520" s="127"/>
      <c r="AA6520" s="127"/>
      <c r="AB6520" s="128"/>
      <c r="AC6520" s="15" t="s">
        <v>20</v>
      </c>
      <c r="AD6520" s="129" t="s">
        <v>1581</v>
      </c>
      <c r="AE6520" s="130"/>
      <c r="AF6520" s="130"/>
      <c r="AG6520" s="130"/>
      <c r="AH6520" s="130"/>
      <c r="AI6520" s="131"/>
      <c r="AJ6520" s="132"/>
      <c r="AK6520" s="127"/>
      <c r="AL6520" s="128"/>
      <c r="AM6520" s="21"/>
      <c r="AN6520" s="133">
        <v>46085</v>
      </c>
      <c r="AO6520" s="134"/>
      <c r="AP6520" s="135">
        <v>1007</v>
      </c>
      <c r="AQ6520" s="136"/>
      <c r="AR6520" s="118">
        <v>1140000</v>
      </c>
      <c r="AS6520" s="119"/>
      <c r="AT6520" s="118">
        <f t="shared" ref="AT6520" si="8969">AR6520*0.1</f>
        <v>114000</v>
      </c>
      <c r="AU6520" s="119"/>
      <c r="AV6520" s="118">
        <v>12030</v>
      </c>
      <c r="AW6520" s="119"/>
      <c r="AX6520" s="118">
        <f t="shared" ref="AX6520" si="8970">SUM(AR6520:AW6520)</f>
        <v>1266030</v>
      </c>
      <c r="AY6520" s="119"/>
      <c r="AZ6520" s="137">
        <v>46090</v>
      </c>
    </row>
    <row r="6521" spans="1:52" ht="17.100000000000001" customHeight="1" thickBot="1">
      <c r="A6521" s="110"/>
      <c r="B6521" s="27" t="s">
        <v>18753</v>
      </c>
      <c r="C6521" s="27">
        <v>30120</v>
      </c>
      <c r="D6521" s="14" t="s">
        <v>2601</v>
      </c>
      <c r="E6521" s="112"/>
      <c r="F6521" s="139" t="s">
        <v>18848</v>
      </c>
      <c r="G6521" s="140"/>
      <c r="H6521" s="141"/>
      <c r="I6521" s="26">
        <v>121400</v>
      </c>
      <c r="J6521" s="117"/>
      <c r="K6521" s="120"/>
      <c r="L6521" s="121"/>
      <c r="M6521" s="120"/>
      <c r="N6521" s="121"/>
      <c r="O6521" s="120"/>
      <c r="P6521" s="121"/>
      <c r="Q6521" s="120"/>
      <c r="R6521" s="121"/>
      <c r="S6521" s="120"/>
      <c r="T6521" s="121"/>
      <c r="U6521" s="120"/>
      <c r="V6521" s="123"/>
      <c r="W6521" s="125"/>
      <c r="X6521" s="142" t="s">
        <v>19312</v>
      </c>
      <c r="Y6521" s="143"/>
      <c r="Z6521" s="143"/>
      <c r="AA6521" s="143"/>
      <c r="AB6521" s="144"/>
      <c r="AC6521" s="16" t="s">
        <v>21</v>
      </c>
      <c r="AD6521" s="17" t="s">
        <v>859</v>
      </c>
      <c r="AE6521" s="145" t="s">
        <v>2395</v>
      </c>
      <c r="AF6521" s="146"/>
      <c r="AG6521" s="146"/>
      <c r="AH6521" s="146"/>
      <c r="AI6521" s="147"/>
      <c r="AJ6521" s="148"/>
      <c r="AK6521" s="143"/>
      <c r="AL6521" s="144"/>
      <c r="AM6521" s="22"/>
      <c r="AN6521" s="149" t="s">
        <v>2794</v>
      </c>
      <c r="AO6521" s="144"/>
      <c r="AP6521" s="148">
        <v>5106</v>
      </c>
      <c r="AQ6521" s="144"/>
      <c r="AR6521" s="120"/>
      <c r="AS6521" s="121"/>
      <c r="AT6521" s="120"/>
      <c r="AU6521" s="121"/>
      <c r="AV6521" s="120"/>
      <c r="AW6521" s="121"/>
      <c r="AX6521" s="120"/>
      <c r="AY6521" s="121"/>
      <c r="AZ6521" s="138"/>
    </row>
    <row r="6522" spans="1:52" ht="17.100000000000001" customHeight="1" thickTop="1">
      <c r="A6522" s="109" t="s">
        <v>18759</v>
      </c>
      <c r="B6522" s="28">
        <v>46079</v>
      </c>
      <c r="C6522" s="25">
        <v>2016</v>
      </c>
      <c r="D6522" s="13" t="s">
        <v>11997</v>
      </c>
      <c r="E6522" s="111"/>
      <c r="F6522" s="113" t="s">
        <v>18774</v>
      </c>
      <c r="G6522" s="114"/>
      <c r="H6522" s="115"/>
      <c r="I6522" s="24" t="s">
        <v>4487</v>
      </c>
      <c r="J6522" s="116">
        <v>4</v>
      </c>
      <c r="K6522" s="118">
        <v>213000</v>
      </c>
      <c r="L6522" s="119"/>
      <c r="M6522" s="118">
        <f t="shared" ref="M6522" si="8971">K6522*0.1</f>
        <v>21300</v>
      </c>
      <c r="N6522" s="119"/>
      <c r="O6522" s="118">
        <v>0</v>
      </c>
      <c r="P6522" s="119"/>
      <c r="Q6522" s="118">
        <v>8930</v>
      </c>
      <c r="R6522" s="119"/>
      <c r="S6522" s="118">
        <v>22000</v>
      </c>
      <c r="T6522" s="119"/>
      <c r="U6522" s="118">
        <f t="shared" ref="U6522" si="8972">SUM(K6522:T6523)</f>
        <v>265230</v>
      </c>
      <c r="V6522" s="122"/>
      <c r="W6522" s="124"/>
      <c r="X6522" s="126" t="s">
        <v>18776</v>
      </c>
      <c r="Y6522" s="127"/>
      <c r="Z6522" s="127"/>
      <c r="AA6522" s="127"/>
      <c r="AB6522" s="128"/>
      <c r="AC6522" s="15" t="s">
        <v>20</v>
      </c>
      <c r="AD6522" s="129"/>
      <c r="AE6522" s="130"/>
      <c r="AF6522" s="130"/>
      <c r="AG6522" s="130"/>
      <c r="AH6522" s="130"/>
      <c r="AI6522" s="131"/>
      <c r="AJ6522" s="132"/>
      <c r="AK6522" s="127"/>
      <c r="AL6522" s="128"/>
      <c r="AM6522" s="21" t="s">
        <v>20042</v>
      </c>
      <c r="AN6522" s="133">
        <v>46092</v>
      </c>
      <c r="AO6522" s="134"/>
      <c r="AP6522" s="135">
        <v>1008</v>
      </c>
      <c r="AQ6522" s="136"/>
      <c r="AR6522" s="118">
        <v>225000</v>
      </c>
      <c r="AS6522" s="119"/>
      <c r="AT6522" s="118">
        <f t="shared" ref="AT6522" si="8973">AR6522*0.1</f>
        <v>22500</v>
      </c>
      <c r="AU6522" s="119"/>
      <c r="AV6522" s="118">
        <v>8930</v>
      </c>
      <c r="AW6522" s="119"/>
      <c r="AX6522" s="118">
        <f t="shared" ref="AX6522" si="8974">SUM(AR6522:AW6522)</f>
        <v>256430</v>
      </c>
      <c r="AY6522" s="119"/>
      <c r="AZ6522" s="137">
        <v>46098</v>
      </c>
    </row>
    <row r="6523" spans="1:52" ht="17.100000000000001" customHeight="1" thickBot="1">
      <c r="A6523" s="110"/>
      <c r="B6523" s="27" t="s">
        <v>18753</v>
      </c>
      <c r="C6523" s="27">
        <v>50012</v>
      </c>
      <c r="D6523" s="14" t="s">
        <v>3855</v>
      </c>
      <c r="E6523" s="112"/>
      <c r="F6523" s="139" t="s">
        <v>18775</v>
      </c>
      <c r="G6523" s="140"/>
      <c r="H6523" s="141"/>
      <c r="I6523" s="26">
        <v>44100</v>
      </c>
      <c r="J6523" s="117"/>
      <c r="K6523" s="120"/>
      <c r="L6523" s="121"/>
      <c r="M6523" s="120"/>
      <c r="N6523" s="121"/>
      <c r="O6523" s="120"/>
      <c r="P6523" s="121"/>
      <c r="Q6523" s="120"/>
      <c r="R6523" s="121"/>
      <c r="S6523" s="120"/>
      <c r="T6523" s="121"/>
      <c r="U6523" s="120"/>
      <c r="V6523" s="123"/>
      <c r="W6523" s="125"/>
      <c r="X6523" s="142" t="s">
        <v>19353</v>
      </c>
      <c r="Y6523" s="143"/>
      <c r="Z6523" s="143"/>
      <c r="AA6523" s="143"/>
      <c r="AB6523" s="144"/>
      <c r="AC6523" s="16" t="s">
        <v>21</v>
      </c>
      <c r="AD6523" s="17" t="s">
        <v>859</v>
      </c>
      <c r="AE6523" s="145" t="s">
        <v>19354</v>
      </c>
      <c r="AF6523" s="146"/>
      <c r="AG6523" s="146"/>
      <c r="AH6523" s="146"/>
      <c r="AI6523" s="147"/>
      <c r="AJ6523" s="148"/>
      <c r="AK6523" s="143"/>
      <c r="AL6523" s="144"/>
      <c r="AM6523" s="22"/>
      <c r="AN6523" s="149" t="s">
        <v>19938</v>
      </c>
      <c r="AO6523" s="144"/>
      <c r="AP6523" s="148">
        <v>2034</v>
      </c>
      <c r="AQ6523" s="144"/>
      <c r="AR6523" s="120"/>
      <c r="AS6523" s="121"/>
      <c r="AT6523" s="120"/>
      <c r="AU6523" s="121"/>
      <c r="AV6523" s="120"/>
      <c r="AW6523" s="121"/>
      <c r="AX6523" s="120"/>
      <c r="AY6523" s="121"/>
      <c r="AZ6523" s="138"/>
    </row>
    <row r="6524" spans="1:52" ht="17.100000000000001" customHeight="1" thickTop="1">
      <c r="A6524" s="109" t="s">
        <v>18760</v>
      </c>
      <c r="B6524" s="28">
        <v>46079</v>
      </c>
      <c r="C6524" s="25">
        <v>2016</v>
      </c>
      <c r="D6524" s="13" t="s">
        <v>1586</v>
      </c>
      <c r="E6524" s="111"/>
      <c r="F6524" s="113" t="s">
        <v>18777</v>
      </c>
      <c r="G6524" s="114"/>
      <c r="H6524" s="115"/>
      <c r="I6524" s="24"/>
      <c r="J6524" s="116">
        <v>4</v>
      </c>
      <c r="K6524" s="118">
        <v>843000</v>
      </c>
      <c r="L6524" s="119"/>
      <c r="M6524" s="118">
        <f t="shared" ref="M6524" si="8975">K6524*0.1</f>
        <v>84300</v>
      </c>
      <c r="N6524" s="119"/>
      <c r="O6524" s="118">
        <v>0</v>
      </c>
      <c r="P6524" s="119"/>
      <c r="Q6524" s="118">
        <v>9310</v>
      </c>
      <c r="R6524" s="119"/>
      <c r="S6524" s="118">
        <v>22000</v>
      </c>
      <c r="T6524" s="119"/>
      <c r="U6524" s="118">
        <f t="shared" ref="U6524" si="8976">SUM(K6524:T6525)</f>
        <v>958610</v>
      </c>
      <c r="V6524" s="122"/>
      <c r="W6524" s="124"/>
      <c r="X6524" s="126" t="s">
        <v>19351</v>
      </c>
      <c r="Y6524" s="127"/>
      <c r="Z6524" s="127"/>
      <c r="AA6524" s="127"/>
      <c r="AB6524" s="128"/>
      <c r="AC6524" s="15" t="s">
        <v>20</v>
      </c>
      <c r="AD6524" s="129" t="s">
        <v>2198</v>
      </c>
      <c r="AE6524" s="130"/>
      <c r="AF6524" s="130"/>
      <c r="AG6524" s="130"/>
      <c r="AH6524" s="130"/>
      <c r="AI6524" s="131"/>
      <c r="AJ6524" s="132"/>
      <c r="AK6524" s="127"/>
      <c r="AL6524" s="128"/>
      <c r="AM6524" s="21"/>
      <c r="AN6524" s="133">
        <v>46099</v>
      </c>
      <c r="AO6524" s="134"/>
      <c r="AP6524" s="135">
        <v>1009</v>
      </c>
      <c r="AQ6524" s="136"/>
      <c r="AR6524" s="118">
        <v>855000</v>
      </c>
      <c r="AS6524" s="119"/>
      <c r="AT6524" s="118">
        <f t="shared" ref="AT6524" si="8977">AR6524*0.1</f>
        <v>85500</v>
      </c>
      <c r="AU6524" s="119"/>
      <c r="AV6524" s="118">
        <v>9310</v>
      </c>
      <c r="AW6524" s="119"/>
      <c r="AX6524" s="118">
        <f t="shared" ref="AX6524" si="8978">SUM(AR6524:AW6524)</f>
        <v>949810</v>
      </c>
      <c r="AY6524" s="119"/>
      <c r="AZ6524" s="137">
        <v>46105</v>
      </c>
    </row>
    <row r="6525" spans="1:52" ht="17.100000000000001" customHeight="1" thickBot="1">
      <c r="A6525" s="110"/>
      <c r="B6525" s="27" t="s">
        <v>18753</v>
      </c>
      <c r="C6525" s="27">
        <v>50018</v>
      </c>
      <c r="D6525" s="14" t="s">
        <v>275</v>
      </c>
      <c r="E6525" s="112"/>
      <c r="F6525" s="139" t="s">
        <v>18778</v>
      </c>
      <c r="G6525" s="140"/>
      <c r="H6525" s="141"/>
      <c r="I6525" s="26">
        <v>59091</v>
      </c>
      <c r="J6525" s="117"/>
      <c r="K6525" s="120"/>
      <c r="L6525" s="121"/>
      <c r="M6525" s="120"/>
      <c r="N6525" s="121"/>
      <c r="O6525" s="120"/>
      <c r="P6525" s="121"/>
      <c r="Q6525" s="120"/>
      <c r="R6525" s="121"/>
      <c r="S6525" s="120"/>
      <c r="T6525" s="121"/>
      <c r="U6525" s="120"/>
      <c r="V6525" s="123"/>
      <c r="W6525" s="125"/>
      <c r="X6525" s="142" t="s">
        <v>19352</v>
      </c>
      <c r="Y6525" s="143"/>
      <c r="Z6525" s="143"/>
      <c r="AA6525" s="143"/>
      <c r="AB6525" s="144"/>
      <c r="AC6525" s="16" t="s">
        <v>21</v>
      </c>
      <c r="AD6525" s="17" t="s">
        <v>859</v>
      </c>
      <c r="AE6525" s="145" t="s">
        <v>1742</v>
      </c>
      <c r="AF6525" s="146"/>
      <c r="AG6525" s="146"/>
      <c r="AH6525" s="146"/>
      <c r="AI6525" s="147"/>
      <c r="AJ6525" s="148"/>
      <c r="AK6525" s="143"/>
      <c r="AL6525" s="144"/>
      <c r="AM6525" s="22"/>
      <c r="AN6525" s="149" t="s">
        <v>2794</v>
      </c>
      <c r="AO6525" s="144"/>
      <c r="AP6525" s="148">
        <v>2034</v>
      </c>
      <c r="AQ6525" s="144"/>
      <c r="AR6525" s="120"/>
      <c r="AS6525" s="121"/>
      <c r="AT6525" s="120"/>
      <c r="AU6525" s="121"/>
      <c r="AV6525" s="120"/>
      <c r="AW6525" s="121"/>
      <c r="AX6525" s="120"/>
      <c r="AY6525" s="121"/>
      <c r="AZ6525" s="138"/>
    </row>
    <row r="6526" spans="1:52" ht="17.100000000000001" customHeight="1" thickTop="1">
      <c r="A6526" s="109" t="s">
        <v>18761</v>
      </c>
      <c r="B6526" s="28">
        <v>46079</v>
      </c>
      <c r="C6526" s="25">
        <v>2016</v>
      </c>
      <c r="D6526" s="13" t="s">
        <v>2970</v>
      </c>
      <c r="E6526" s="111"/>
      <c r="F6526" s="113" t="s">
        <v>18096</v>
      </c>
      <c r="G6526" s="114"/>
      <c r="H6526" s="115"/>
      <c r="I6526" s="24" t="s">
        <v>4109</v>
      </c>
      <c r="J6526" s="116">
        <v>4</v>
      </c>
      <c r="K6526" s="118">
        <v>812000</v>
      </c>
      <c r="L6526" s="119"/>
      <c r="M6526" s="118">
        <f t="shared" ref="M6526" si="8979">K6526*0.1</f>
        <v>81200</v>
      </c>
      <c r="N6526" s="119"/>
      <c r="O6526" s="118">
        <v>0</v>
      </c>
      <c r="P6526" s="119"/>
      <c r="Q6526" s="118">
        <v>8550</v>
      </c>
      <c r="R6526" s="119"/>
      <c r="S6526" s="118">
        <v>22000</v>
      </c>
      <c r="T6526" s="119"/>
      <c r="U6526" s="118">
        <f t="shared" ref="U6526" si="8980">SUM(K6526:T6527)</f>
        <v>923750</v>
      </c>
      <c r="V6526" s="122"/>
      <c r="W6526" s="124"/>
      <c r="X6526" s="126" t="s">
        <v>18780</v>
      </c>
      <c r="Y6526" s="127"/>
      <c r="Z6526" s="127"/>
      <c r="AA6526" s="127"/>
      <c r="AB6526" s="128"/>
      <c r="AC6526" s="15" t="s">
        <v>20</v>
      </c>
      <c r="AD6526" s="129"/>
      <c r="AE6526" s="130"/>
      <c r="AF6526" s="130"/>
      <c r="AG6526" s="130"/>
      <c r="AH6526" s="130"/>
      <c r="AI6526" s="131"/>
      <c r="AJ6526" s="132"/>
      <c r="AK6526" s="127"/>
      <c r="AL6526" s="128"/>
      <c r="AM6526" s="21"/>
      <c r="AN6526" s="133">
        <v>46141</v>
      </c>
      <c r="AO6526" s="134"/>
      <c r="AP6526" s="135">
        <v>1015</v>
      </c>
      <c r="AQ6526" s="136"/>
      <c r="AR6526" s="118">
        <v>830000</v>
      </c>
      <c r="AS6526" s="119"/>
      <c r="AT6526" s="118">
        <f t="shared" ref="AT6526" si="8981">AR6526*0.1</f>
        <v>83000</v>
      </c>
      <c r="AU6526" s="119"/>
      <c r="AV6526" s="118">
        <v>8550</v>
      </c>
      <c r="AW6526" s="119"/>
      <c r="AX6526" s="118">
        <f t="shared" ref="AX6526" si="8982">SUM(AR6526:AW6526)</f>
        <v>921550</v>
      </c>
      <c r="AY6526" s="119"/>
      <c r="AZ6526" s="137">
        <v>46153</v>
      </c>
    </row>
    <row r="6527" spans="1:52" ht="17.100000000000001" customHeight="1" thickBot="1">
      <c r="A6527" s="110"/>
      <c r="B6527" s="27" t="s">
        <v>18753</v>
      </c>
      <c r="C6527" s="27">
        <v>50019</v>
      </c>
      <c r="D6527" s="14" t="s">
        <v>18226</v>
      </c>
      <c r="E6527" s="112"/>
      <c r="F6527" s="139" t="s">
        <v>18779</v>
      </c>
      <c r="G6527" s="140"/>
      <c r="H6527" s="141"/>
      <c r="I6527" s="26">
        <v>58920</v>
      </c>
      <c r="J6527" s="117"/>
      <c r="K6527" s="120"/>
      <c r="L6527" s="121"/>
      <c r="M6527" s="120"/>
      <c r="N6527" s="121"/>
      <c r="O6527" s="120"/>
      <c r="P6527" s="121"/>
      <c r="Q6527" s="120"/>
      <c r="R6527" s="121"/>
      <c r="S6527" s="120"/>
      <c r="T6527" s="121"/>
      <c r="U6527" s="120"/>
      <c r="V6527" s="123"/>
      <c r="W6527" s="125"/>
      <c r="X6527" s="142" t="s">
        <v>19415</v>
      </c>
      <c r="Y6527" s="143"/>
      <c r="Z6527" s="143"/>
      <c r="AA6527" s="143"/>
      <c r="AB6527" s="144"/>
      <c r="AC6527" s="16" t="s">
        <v>21</v>
      </c>
      <c r="AD6527" s="17" t="s">
        <v>19391</v>
      </c>
      <c r="AE6527" s="145" t="s">
        <v>19416</v>
      </c>
      <c r="AF6527" s="146"/>
      <c r="AG6527" s="146"/>
      <c r="AH6527" s="146"/>
      <c r="AI6527" s="147"/>
      <c r="AJ6527" s="148"/>
      <c r="AK6527" s="143"/>
      <c r="AL6527" s="144"/>
      <c r="AM6527" s="22"/>
      <c r="AN6527" s="149" t="s">
        <v>2794</v>
      </c>
      <c r="AO6527" s="144"/>
      <c r="AP6527" s="148">
        <v>2024</v>
      </c>
      <c r="AQ6527" s="144"/>
      <c r="AR6527" s="120"/>
      <c r="AS6527" s="121"/>
      <c r="AT6527" s="120"/>
      <c r="AU6527" s="121"/>
      <c r="AV6527" s="120"/>
      <c r="AW6527" s="121"/>
      <c r="AX6527" s="120"/>
      <c r="AY6527" s="121"/>
      <c r="AZ6527" s="138"/>
    </row>
    <row r="6528" spans="1:52" ht="17.100000000000001" customHeight="1" thickTop="1">
      <c r="A6528" s="109" t="s">
        <v>18762</v>
      </c>
      <c r="B6528" s="28">
        <v>46079</v>
      </c>
      <c r="C6528" s="25">
        <v>2016</v>
      </c>
      <c r="D6528" s="13" t="s">
        <v>1615</v>
      </c>
      <c r="E6528" s="111"/>
      <c r="F6528" s="113" t="s">
        <v>18781</v>
      </c>
      <c r="G6528" s="114"/>
      <c r="H6528" s="115"/>
      <c r="I6528" s="24" t="s">
        <v>4737</v>
      </c>
      <c r="J6528" s="116">
        <v>4</v>
      </c>
      <c r="K6528" s="118">
        <v>737000</v>
      </c>
      <c r="L6528" s="119"/>
      <c r="M6528" s="118">
        <f t="shared" ref="M6528" si="8983">K6528*0.1</f>
        <v>73700</v>
      </c>
      <c r="N6528" s="119"/>
      <c r="O6528" s="118">
        <v>0</v>
      </c>
      <c r="P6528" s="119"/>
      <c r="Q6528" s="118">
        <v>8230</v>
      </c>
      <c r="R6528" s="119"/>
      <c r="S6528" s="118">
        <v>22000</v>
      </c>
      <c r="T6528" s="119"/>
      <c r="U6528" s="118">
        <f t="shared" ref="U6528" si="8984">SUM(K6528:T6529)</f>
        <v>840930</v>
      </c>
      <c r="V6528" s="122"/>
      <c r="W6528" s="124"/>
      <c r="X6528" s="126" t="s">
        <v>18783</v>
      </c>
      <c r="Y6528" s="127"/>
      <c r="Z6528" s="127"/>
      <c r="AA6528" s="127"/>
      <c r="AB6528" s="128"/>
      <c r="AC6528" s="15" t="s">
        <v>20</v>
      </c>
      <c r="AD6528" s="129"/>
      <c r="AE6528" s="130"/>
      <c r="AF6528" s="130"/>
      <c r="AG6528" s="130"/>
      <c r="AH6528" s="130"/>
      <c r="AI6528" s="131"/>
      <c r="AJ6528" s="132"/>
      <c r="AK6528" s="127"/>
      <c r="AL6528" s="128"/>
      <c r="AM6528" s="21" t="s">
        <v>19430</v>
      </c>
      <c r="AN6528" s="133">
        <v>46085</v>
      </c>
      <c r="AO6528" s="134"/>
      <c r="AP6528" s="135">
        <v>1007</v>
      </c>
      <c r="AQ6528" s="136"/>
      <c r="AR6528" s="118">
        <v>790000</v>
      </c>
      <c r="AS6528" s="119"/>
      <c r="AT6528" s="118">
        <f t="shared" ref="AT6528" si="8985">AR6528*0.1</f>
        <v>79000</v>
      </c>
      <c r="AU6528" s="119"/>
      <c r="AV6528" s="118">
        <v>8230</v>
      </c>
      <c r="AW6528" s="119"/>
      <c r="AX6528" s="118">
        <f t="shared" ref="AX6528" si="8986">SUM(AR6528:AW6528)</f>
        <v>877230</v>
      </c>
      <c r="AY6528" s="119"/>
      <c r="AZ6528" s="137">
        <v>46090</v>
      </c>
    </row>
    <row r="6529" spans="1:52" ht="17.100000000000001" customHeight="1" thickBot="1">
      <c r="A6529" s="110"/>
      <c r="B6529" s="27" t="s">
        <v>18753</v>
      </c>
      <c r="C6529" s="27">
        <v>50041</v>
      </c>
      <c r="D6529" s="14" t="s">
        <v>2040</v>
      </c>
      <c r="E6529" s="112"/>
      <c r="F6529" s="139" t="s">
        <v>18782</v>
      </c>
      <c r="G6529" s="140"/>
      <c r="H6529" s="141"/>
      <c r="I6529" s="26">
        <v>27319</v>
      </c>
      <c r="J6529" s="117"/>
      <c r="K6529" s="120"/>
      <c r="L6529" s="121"/>
      <c r="M6529" s="120"/>
      <c r="N6529" s="121"/>
      <c r="O6529" s="120"/>
      <c r="P6529" s="121"/>
      <c r="Q6529" s="120"/>
      <c r="R6529" s="121"/>
      <c r="S6529" s="120"/>
      <c r="T6529" s="121"/>
      <c r="U6529" s="120"/>
      <c r="V6529" s="123"/>
      <c r="W6529" s="125"/>
      <c r="X6529" s="142" t="s">
        <v>19313</v>
      </c>
      <c r="Y6529" s="143"/>
      <c r="Z6529" s="143"/>
      <c r="AA6529" s="143"/>
      <c r="AB6529" s="144"/>
      <c r="AC6529" s="16" t="s">
        <v>21</v>
      </c>
      <c r="AD6529" s="17" t="s">
        <v>859</v>
      </c>
      <c r="AE6529" s="145" t="s">
        <v>17718</v>
      </c>
      <c r="AF6529" s="146"/>
      <c r="AG6529" s="146"/>
      <c r="AH6529" s="146"/>
      <c r="AI6529" s="147"/>
      <c r="AJ6529" s="148"/>
      <c r="AK6529" s="143"/>
      <c r="AL6529" s="144"/>
      <c r="AM6529" s="22"/>
      <c r="AN6529" s="149" t="s">
        <v>2794</v>
      </c>
      <c r="AO6529" s="144"/>
      <c r="AP6529" s="148">
        <v>5049</v>
      </c>
      <c r="AQ6529" s="144"/>
      <c r="AR6529" s="120"/>
      <c r="AS6529" s="121"/>
      <c r="AT6529" s="120"/>
      <c r="AU6529" s="121"/>
      <c r="AV6529" s="120"/>
      <c r="AW6529" s="121"/>
      <c r="AX6529" s="120"/>
      <c r="AY6529" s="121"/>
      <c r="AZ6529" s="138"/>
    </row>
    <row r="6530" spans="1:52" ht="17.100000000000001" customHeight="1" thickTop="1">
      <c r="A6530" s="109" t="s">
        <v>18763</v>
      </c>
      <c r="B6530" s="28">
        <v>46079</v>
      </c>
      <c r="C6530" s="25">
        <v>2016</v>
      </c>
      <c r="D6530" s="13" t="s">
        <v>1906</v>
      </c>
      <c r="E6530" s="111"/>
      <c r="F6530" s="113" t="s">
        <v>14159</v>
      </c>
      <c r="G6530" s="114"/>
      <c r="H6530" s="115"/>
      <c r="I6530" s="24"/>
      <c r="J6530" s="116">
        <v>4.5</v>
      </c>
      <c r="K6530" s="118">
        <v>1130000</v>
      </c>
      <c r="L6530" s="119"/>
      <c r="M6530" s="118">
        <f t="shared" ref="M6530" si="8987">K6530*0.1</f>
        <v>113000</v>
      </c>
      <c r="N6530" s="119"/>
      <c r="O6530" s="118">
        <v>0</v>
      </c>
      <c r="P6530" s="119"/>
      <c r="Q6530" s="118">
        <v>8130</v>
      </c>
      <c r="R6530" s="119"/>
      <c r="S6530" s="118">
        <v>22000</v>
      </c>
      <c r="T6530" s="119"/>
      <c r="U6530" s="118">
        <f t="shared" ref="U6530" si="8988">SUM(K6530:T6531)</f>
        <v>1273130</v>
      </c>
      <c r="V6530" s="122"/>
      <c r="W6530" s="124"/>
      <c r="X6530" s="126" t="s">
        <v>19307</v>
      </c>
      <c r="Y6530" s="127"/>
      <c r="Z6530" s="127"/>
      <c r="AA6530" s="127"/>
      <c r="AB6530" s="128"/>
      <c r="AC6530" s="15" t="s">
        <v>20</v>
      </c>
      <c r="AD6530" s="129" t="s">
        <v>1670</v>
      </c>
      <c r="AE6530" s="130"/>
      <c r="AF6530" s="130"/>
      <c r="AG6530" s="130"/>
      <c r="AH6530" s="130"/>
      <c r="AI6530" s="131"/>
      <c r="AJ6530" s="132"/>
      <c r="AK6530" s="127"/>
      <c r="AL6530" s="128"/>
      <c r="AM6530" s="21"/>
      <c r="AN6530" s="133">
        <v>46084</v>
      </c>
      <c r="AO6530" s="134"/>
      <c r="AP6530" s="135">
        <v>1931</v>
      </c>
      <c r="AQ6530" s="136"/>
      <c r="AR6530" s="118">
        <v>1251000</v>
      </c>
      <c r="AS6530" s="119"/>
      <c r="AT6530" s="118">
        <f t="shared" ref="AT6530" si="8989">AR6530*0.1</f>
        <v>125100</v>
      </c>
      <c r="AU6530" s="119"/>
      <c r="AV6530" s="118">
        <v>8130</v>
      </c>
      <c r="AW6530" s="119"/>
      <c r="AX6530" s="118">
        <f t="shared" ref="AX6530" si="8990">SUM(AR6530:AW6530)</f>
        <v>1384230</v>
      </c>
      <c r="AY6530" s="119"/>
      <c r="AZ6530" s="137">
        <v>46091</v>
      </c>
    </row>
    <row r="6531" spans="1:52" ht="17.100000000000001" customHeight="1" thickBot="1">
      <c r="A6531" s="110"/>
      <c r="B6531" s="27" t="s">
        <v>18753</v>
      </c>
      <c r="C6531" s="27">
        <v>50058</v>
      </c>
      <c r="D6531" s="14" t="s">
        <v>1635</v>
      </c>
      <c r="E6531" s="112"/>
      <c r="F6531" s="139" t="s">
        <v>18784</v>
      </c>
      <c r="G6531" s="140"/>
      <c r="H6531" s="141"/>
      <c r="I6531" s="26">
        <v>4101</v>
      </c>
      <c r="J6531" s="117"/>
      <c r="K6531" s="120"/>
      <c r="L6531" s="121"/>
      <c r="M6531" s="120"/>
      <c r="N6531" s="121"/>
      <c r="O6531" s="120"/>
      <c r="P6531" s="121"/>
      <c r="Q6531" s="120"/>
      <c r="R6531" s="121"/>
      <c r="S6531" s="120"/>
      <c r="T6531" s="121"/>
      <c r="U6531" s="120"/>
      <c r="V6531" s="123"/>
      <c r="W6531" s="125"/>
      <c r="X6531" s="142" t="s">
        <v>11902</v>
      </c>
      <c r="Y6531" s="143"/>
      <c r="Z6531" s="143"/>
      <c r="AA6531" s="143"/>
      <c r="AB6531" s="144"/>
      <c r="AC6531" s="16" t="s">
        <v>21</v>
      </c>
      <c r="AD6531" s="17" t="s">
        <v>859</v>
      </c>
      <c r="AE6531" s="145" t="s">
        <v>15753</v>
      </c>
      <c r="AF6531" s="146"/>
      <c r="AG6531" s="146"/>
      <c r="AH6531" s="146"/>
      <c r="AI6531" s="147"/>
      <c r="AJ6531" s="148"/>
      <c r="AK6531" s="143"/>
      <c r="AL6531" s="144"/>
      <c r="AM6531" s="22"/>
      <c r="AN6531" s="149" t="s">
        <v>2131</v>
      </c>
      <c r="AO6531" s="144"/>
      <c r="AP6531" s="148">
        <v>3251</v>
      </c>
      <c r="AQ6531" s="144"/>
      <c r="AR6531" s="120"/>
      <c r="AS6531" s="121"/>
      <c r="AT6531" s="120"/>
      <c r="AU6531" s="121"/>
      <c r="AV6531" s="120"/>
      <c r="AW6531" s="121"/>
      <c r="AX6531" s="120"/>
      <c r="AY6531" s="121"/>
      <c r="AZ6531" s="138"/>
    </row>
    <row r="6532" spans="1:52" ht="17.100000000000001" customHeight="1" thickTop="1">
      <c r="A6532" s="109" t="s">
        <v>18764</v>
      </c>
      <c r="B6532" s="28">
        <v>46079</v>
      </c>
      <c r="C6532" s="25">
        <v>2016</v>
      </c>
      <c r="D6532" s="13" t="s">
        <v>1059</v>
      </c>
      <c r="E6532" s="111"/>
      <c r="F6532" s="113" t="s">
        <v>12302</v>
      </c>
      <c r="G6532" s="114"/>
      <c r="H6532" s="115"/>
      <c r="I6532" s="24" t="s">
        <v>4314</v>
      </c>
      <c r="J6532" s="116">
        <v>4</v>
      </c>
      <c r="K6532" s="118">
        <v>1090000</v>
      </c>
      <c r="L6532" s="119"/>
      <c r="M6532" s="118">
        <f t="shared" ref="M6532" si="8991">K6532*0.1</f>
        <v>109000</v>
      </c>
      <c r="N6532" s="119"/>
      <c r="O6532" s="118">
        <v>0</v>
      </c>
      <c r="P6532" s="119"/>
      <c r="Q6532" s="118">
        <v>7040</v>
      </c>
      <c r="R6532" s="119"/>
      <c r="S6532" s="118">
        <v>22000</v>
      </c>
      <c r="T6532" s="119"/>
      <c r="U6532" s="118">
        <f t="shared" ref="U6532" si="8992">SUM(K6532:T6533)</f>
        <v>1228040</v>
      </c>
      <c r="V6532" s="122"/>
      <c r="W6532" s="124"/>
      <c r="X6532" s="126" t="s">
        <v>18786</v>
      </c>
      <c r="Y6532" s="127"/>
      <c r="Z6532" s="127"/>
      <c r="AA6532" s="127"/>
      <c r="AB6532" s="128"/>
      <c r="AC6532" s="15" t="s">
        <v>20</v>
      </c>
      <c r="AD6532" s="129"/>
      <c r="AE6532" s="130"/>
      <c r="AF6532" s="130"/>
      <c r="AG6532" s="130"/>
      <c r="AH6532" s="130"/>
      <c r="AI6532" s="131"/>
      <c r="AJ6532" s="132"/>
      <c r="AK6532" s="127"/>
      <c r="AL6532" s="128"/>
      <c r="AM6532" s="21" t="s">
        <v>20048</v>
      </c>
      <c r="AN6532" s="133">
        <v>46092</v>
      </c>
      <c r="AO6532" s="134"/>
      <c r="AP6532" s="135">
        <v>1008</v>
      </c>
      <c r="AQ6532" s="136"/>
      <c r="AR6532" s="118">
        <v>1090000</v>
      </c>
      <c r="AS6532" s="119"/>
      <c r="AT6532" s="118">
        <f t="shared" ref="AT6532" si="8993">AR6532*0.1</f>
        <v>109000</v>
      </c>
      <c r="AU6532" s="119"/>
      <c r="AV6532" s="118">
        <v>7040</v>
      </c>
      <c r="AW6532" s="119"/>
      <c r="AX6532" s="118">
        <f t="shared" ref="AX6532" si="8994">SUM(AR6532:AW6532)</f>
        <v>1206040</v>
      </c>
      <c r="AY6532" s="119"/>
      <c r="AZ6532" s="137">
        <v>46098</v>
      </c>
    </row>
    <row r="6533" spans="1:52" ht="17.100000000000001" customHeight="1" thickBot="1">
      <c r="A6533" s="110"/>
      <c r="B6533" s="27" t="s">
        <v>18753</v>
      </c>
      <c r="C6533" s="27">
        <v>50093</v>
      </c>
      <c r="D6533" s="14" t="s">
        <v>2836</v>
      </c>
      <c r="E6533" s="112"/>
      <c r="F6533" s="139" t="s">
        <v>18785</v>
      </c>
      <c r="G6533" s="140"/>
      <c r="H6533" s="141"/>
      <c r="I6533" s="26">
        <v>35779</v>
      </c>
      <c r="J6533" s="117"/>
      <c r="K6533" s="120"/>
      <c r="L6533" s="121"/>
      <c r="M6533" s="120"/>
      <c r="N6533" s="121"/>
      <c r="O6533" s="120"/>
      <c r="P6533" s="121"/>
      <c r="Q6533" s="120"/>
      <c r="R6533" s="121"/>
      <c r="S6533" s="120"/>
      <c r="T6533" s="121"/>
      <c r="U6533" s="120"/>
      <c r="V6533" s="123"/>
      <c r="W6533" s="125"/>
      <c r="X6533" s="142" t="s">
        <v>19347</v>
      </c>
      <c r="Y6533" s="143"/>
      <c r="Z6533" s="143"/>
      <c r="AA6533" s="143"/>
      <c r="AB6533" s="144"/>
      <c r="AC6533" s="16" t="s">
        <v>21</v>
      </c>
      <c r="AD6533" s="17" t="s">
        <v>859</v>
      </c>
      <c r="AE6533" s="145" t="s">
        <v>1742</v>
      </c>
      <c r="AF6533" s="146"/>
      <c r="AG6533" s="146"/>
      <c r="AH6533" s="146"/>
      <c r="AI6533" s="147"/>
      <c r="AJ6533" s="148"/>
      <c r="AK6533" s="143"/>
      <c r="AL6533" s="144"/>
      <c r="AM6533" s="22"/>
      <c r="AN6533" s="149" t="s">
        <v>19938</v>
      </c>
      <c r="AO6533" s="144"/>
      <c r="AP6533" s="148">
        <v>2048</v>
      </c>
      <c r="AQ6533" s="144"/>
      <c r="AR6533" s="120"/>
      <c r="AS6533" s="121"/>
      <c r="AT6533" s="120"/>
      <c r="AU6533" s="121"/>
      <c r="AV6533" s="120"/>
      <c r="AW6533" s="121"/>
      <c r="AX6533" s="120"/>
      <c r="AY6533" s="121"/>
      <c r="AZ6533" s="138"/>
    </row>
    <row r="6534" spans="1:52" ht="17.100000000000001" customHeight="1" thickTop="1">
      <c r="A6534" s="109" t="s">
        <v>18765</v>
      </c>
      <c r="B6534" s="28">
        <v>46079</v>
      </c>
      <c r="C6534" s="25">
        <v>2016</v>
      </c>
      <c r="D6534" s="13" t="s">
        <v>1686</v>
      </c>
      <c r="E6534" s="111"/>
      <c r="F6534" s="113" t="s">
        <v>9673</v>
      </c>
      <c r="G6534" s="114"/>
      <c r="H6534" s="115"/>
      <c r="I6534" s="24" t="s">
        <v>1559</v>
      </c>
      <c r="J6534" s="116">
        <v>4</v>
      </c>
      <c r="K6534" s="118">
        <v>815000</v>
      </c>
      <c r="L6534" s="119"/>
      <c r="M6534" s="118">
        <f t="shared" ref="M6534" si="8995">K6534*0.1</f>
        <v>81500</v>
      </c>
      <c r="N6534" s="119"/>
      <c r="O6534" s="118">
        <v>0</v>
      </c>
      <c r="P6534" s="119"/>
      <c r="Q6534" s="118">
        <v>9790</v>
      </c>
      <c r="R6534" s="119"/>
      <c r="S6534" s="118">
        <v>22000</v>
      </c>
      <c r="T6534" s="119"/>
      <c r="U6534" s="118">
        <f t="shared" ref="U6534" si="8996">SUM(K6534:T6535)</f>
        <v>928290</v>
      </c>
      <c r="V6534" s="122"/>
      <c r="W6534" s="124"/>
      <c r="X6534" s="126" t="s">
        <v>18788</v>
      </c>
      <c r="Y6534" s="127"/>
      <c r="Z6534" s="127"/>
      <c r="AA6534" s="127"/>
      <c r="AB6534" s="128"/>
      <c r="AC6534" s="15" t="s">
        <v>20</v>
      </c>
      <c r="AD6534" s="129" t="s">
        <v>9186</v>
      </c>
      <c r="AE6534" s="130"/>
      <c r="AF6534" s="130"/>
      <c r="AG6534" s="130"/>
      <c r="AH6534" s="130"/>
      <c r="AI6534" s="131"/>
      <c r="AJ6534" s="132"/>
      <c r="AK6534" s="127"/>
      <c r="AL6534" s="128"/>
      <c r="AM6534" s="21" t="s">
        <v>20044</v>
      </c>
      <c r="AN6534" s="133">
        <v>46092</v>
      </c>
      <c r="AO6534" s="134"/>
      <c r="AP6534" s="135">
        <v>1008</v>
      </c>
      <c r="AQ6534" s="136"/>
      <c r="AR6534" s="118">
        <v>820000</v>
      </c>
      <c r="AS6534" s="119"/>
      <c r="AT6534" s="118">
        <f t="shared" ref="AT6534" si="8997">AR6534*0.1</f>
        <v>82000</v>
      </c>
      <c r="AU6534" s="119"/>
      <c r="AV6534" s="118">
        <v>9790</v>
      </c>
      <c r="AW6534" s="119"/>
      <c r="AX6534" s="118">
        <f t="shared" ref="AX6534" si="8998">SUM(AR6534:AW6534)</f>
        <v>911790</v>
      </c>
      <c r="AY6534" s="119"/>
      <c r="AZ6534" s="137">
        <v>46098</v>
      </c>
    </row>
    <row r="6535" spans="1:52" ht="17.100000000000001" customHeight="1" thickBot="1">
      <c r="A6535" s="110"/>
      <c r="B6535" s="27" t="s">
        <v>18753</v>
      </c>
      <c r="C6535" s="27">
        <v>50101</v>
      </c>
      <c r="D6535" s="14" t="s">
        <v>2601</v>
      </c>
      <c r="E6535" s="112"/>
      <c r="F6535" s="139" t="s">
        <v>18787</v>
      </c>
      <c r="G6535" s="140"/>
      <c r="H6535" s="141"/>
      <c r="I6535" s="26">
        <v>42771</v>
      </c>
      <c r="J6535" s="117"/>
      <c r="K6535" s="120"/>
      <c r="L6535" s="121"/>
      <c r="M6535" s="120"/>
      <c r="N6535" s="121"/>
      <c r="O6535" s="120"/>
      <c r="P6535" s="121"/>
      <c r="Q6535" s="120"/>
      <c r="R6535" s="121"/>
      <c r="S6535" s="120"/>
      <c r="T6535" s="121"/>
      <c r="U6535" s="120"/>
      <c r="V6535" s="123"/>
      <c r="W6535" s="125"/>
      <c r="X6535" s="142" t="s">
        <v>19347</v>
      </c>
      <c r="Y6535" s="143"/>
      <c r="Z6535" s="143"/>
      <c r="AA6535" s="143"/>
      <c r="AB6535" s="144"/>
      <c r="AC6535" s="16" t="s">
        <v>21</v>
      </c>
      <c r="AD6535" s="17" t="s">
        <v>859</v>
      </c>
      <c r="AE6535" s="145" t="s">
        <v>19355</v>
      </c>
      <c r="AF6535" s="146"/>
      <c r="AG6535" s="146"/>
      <c r="AH6535" s="146"/>
      <c r="AI6535" s="147"/>
      <c r="AJ6535" s="148"/>
      <c r="AK6535" s="143"/>
      <c r="AL6535" s="144"/>
      <c r="AM6535" s="22"/>
      <c r="AN6535" s="149" t="s">
        <v>19938</v>
      </c>
      <c r="AO6535" s="144"/>
      <c r="AP6535" s="148">
        <v>2024</v>
      </c>
      <c r="AQ6535" s="144"/>
      <c r="AR6535" s="120"/>
      <c r="AS6535" s="121"/>
      <c r="AT6535" s="120"/>
      <c r="AU6535" s="121"/>
      <c r="AV6535" s="120"/>
      <c r="AW6535" s="121"/>
      <c r="AX6535" s="120"/>
      <c r="AY6535" s="121"/>
      <c r="AZ6535" s="138"/>
    </row>
    <row r="6536" spans="1:52" ht="17.100000000000001" customHeight="1" thickTop="1">
      <c r="A6536" s="109" t="s">
        <v>18766</v>
      </c>
      <c r="B6536" s="28">
        <v>46079</v>
      </c>
      <c r="C6536" s="25">
        <v>2016</v>
      </c>
      <c r="D6536" s="13" t="s">
        <v>859</v>
      </c>
      <c r="E6536" s="111"/>
      <c r="F6536" s="113" t="s">
        <v>18096</v>
      </c>
      <c r="G6536" s="114"/>
      <c r="H6536" s="115"/>
      <c r="I6536" s="24"/>
      <c r="J6536" s="116">
        <v>4.5</v>
      </c>
      <c r="K6536" s="118">
        <v>900000</v>
      </c>
      <c r="L6536" s="119"/>
      <c r="M6536" s="118">
        <f t="shared" ref="M6536" si="8999">K6536*0.1</f>
        <v>90000</v>
      </c>
      <c r="N6536" s="119"/>
      <c r="O6536" s="118">
        <v>0</v>
      </c>
      <c r="P6536" s="119"/>
      <c r="Q6536" s="118">
        <v>8550</v>
      </c>
      <c r="R6536" s="119"/>
      <c r="S6536" s="118">
        <v>22000</v>
      </c>
      <c r="T6536" s="119"/>
      <c r="U6536" s="118">
        <f t="shared" ref="U6536" si="9000">SUM(K6536:T6537)</f>
        <v>1020550</v>
      </c>
      <c r="V6536" s="122"/>
      <c r="W6536" s="124"/>
      <c r="X6536" s="126" t="s">
        <v>19346</v>
      </c>
      <c r="Y6536" s="127"/>
      <c r="Z6536" s="127"/>
      <c r="AA6536" s="127"/>
      <c r="AB6536" s="128"/>
      <c r="AC6536" s="15" t="s">
        <v>20</v>
      </c>
      <c r="AD6536" s="129"/>
      <c r="AE6536" s="130"/>
      <c r="AF6536" s="130"/>
      <c r="AG6536" s="130"/>
      <c r="AH6536" s="130"/>
      <c r="AI6536" s="131"/>
      <c r="AJ6536" s="132"/>
      <c r="AK6536" s="127"/>
      <c r="AL6536" s="128"/>
      <c r="AM6536" s="21"/>
      <c r="AN6536" s="133">
        <v>46091</v>
      </c>
      <c r="AO6536" s="134"/>
      <c r="AP6536" s="135">
        <v>1932</v>
      </c>
      <c r="AQ6536" s="136"/>
      <c r="AR6536" s="118">
        <v>925000</v>
      </c>
      <c r="AS6536" s="119"/>
      <c r="AT6536" s="118">
        <f t="shared" ref="AT6536" si="9001">AR6536*0.1</f>
        <v>92500</v>
      </c>
      <c r="AU6536" s="119"/>
      <c r="AV6536" s="118">
        <v>8550</v>
      </c>
      <c r="AW6536" s="119"/>
      <c r="AX6536" s="118">
        <f t="shared" ref="AX6536" si="9002">SUM(AR6536:AW6536)</f>
        <v>1026050</v>
      </c>
      <c r="AY6536" s="119"/>
      <c r="AZ6536" s="137"/>
    </row>
    <row r="6537" spans="1:52" ht="17.100000000000001" customHeight="1" thickBot="1">
      <c r="A6537" s="110"/>
      <c r="B6537" s="27" t="s">
        <v>18753</v>
      </c>
      <c r="C6537" s="27">
        <v>50121</v>
      </c>
      <c r="D6537" s="14" t="s">
        <v>2601</v>
      </c>
      <c r="E6537" s="112"/>
      <c r="F6537" s="139" t="s">
        <v>18789</v>
      </c>
      <c r="G6537" s="140"/>
      <c r="H6537" s="141"/>
      <c r="I6537" s="26">
        <v>43528</v>
      </c>
      <c r="J6537" s="117"/>
      <c r="K6537" s="120"/>
      <c r="L6537" s="121"/>
      <c r="M6537" s="120"/>
      <c r="N6537" s="121"/>
      <c r="O6537" s="120"/>
      <c r="P6537" s="121"/>
      <c r="Q6537" s="120"/>
      <c r="R6537" s="121"/>
      <c r="S6537" s="120"/>
      <c r="T6537" s="121"/>
      <c r="U6537" s="120"/>
      <c r="V6537" s="123"/>
      <c r="W6537" s="125"/>
      <c r="X6537" s="142" t="s">
        <v>19347</v>
      </c>
      <c r="Y6537" s="143"/>
      <c r="Z6537" s="143"/>
      <c r="AA6537" s="143"/>
      <c r="AB6537" s="144"/>
      <c r="AC6537" s="16" t="s">
        <v>21</v>
      </c>
      <c r="AD6537" s="17" t="s">
        <v>859</v>
      </c>
      <c r="AE6537" s="145" t="s">
        <v>5140</v>
      </c>
      <c r="AF6537" s="146"/>
      <c r="AG6537" s="146"/>
      <c r="AH6537" s="146"/>
      <c r="AI6537" s="147"/>
      <c r="AJ6537" s="148"/>
      <c r="AK6537" s="143"/>
      <c r="AL6537" s="144"/>
      <c r="AM6537" s="22"/>
      <c r="AN6537" s="149" t="s">
        <v>2131</v>
      </c>
      <c r="AO6537" s="144"/>
      <c r="AP6537" s="148">
        <v>3149</v>
      </c>
      <c r="AQ6537" s="144"/>
      <c r="AR6537" s="120"/>
      <c r="AS6537" s="121"/>
      <c r="AT6537" s="120"/>
      <c r="AU6537" s="121"/>
      <c r="AV6537" s="120"/>
      <c r="AW6537" s="121"/>
      <c r="AX6537" s="120"/>
      <c r="AY6537" s="121"/>
      <c r="AZ6537" s="138"/>
    </row>
    <row r="6538" spans="1:52" ht="17.100000000000001" customHeight="1" thickTop="1">
      <c r="A6538" s="109" t="s">
        <v>18767</v>
      </c>
      <c r="B6538" s="28">
        <v>46079</v>
      </c>
      <c r="C6538" s="25">
        <v>2016</v>
      </c>
      <c r="D6538" s="13" t="s">
        <v>2963</v>
      </c>
      <c r="E6538" s="111"/>
      <c r="F6538" s="113" t="s">
        <v>2790</v>
      </c>
      <c r="G6538" s="114"/>
      <c r="H6538" s="115"/>
      <c r="I6538" s="24" t="s">
        <v>1547</v>
      </c>
      <c r="J6538" s="116">
        <v>4.5</v>
      </c>
      <c r="K6538" s="118">
        <v>1253000</v>
      </c>
      <c r="L6538" s="119"/>
      <c r="M6538" s="118">
        <f t="shared" ref="M6538" si="9003">K6538*0.1</f>
        <v>125300</v>
      </c>
      <c r="N6538" s="119"/>
      <c r="O6538" s="118">
        <v>0</v>
      </c>
      <c r="P6538" s="119"/>
      <c r="Q6538" s="118">
        <v>8550</v>
      </c>
      <c r="R6538" s="119"/>
      <c r="S6538" s="118">
        <v>22000</v>
      </c>
      <c r="T6538" s="119"/>
      <c r="U6538" s="118">
        <f t="shared" ref="U6538" si="9004">SUM(K6538:T6539)</f>
        <v>1408850</v>
      </c>
      <c r="V6538" s="122"/>
      <c r="W6538" s="124"/>
      <c r="X6538" s="126" t="s">
        <v>18791</v>
      </c>
      <c r="Y6538" s="127"/>
      <c r="Z6538" s="127"/>
      <c r="AA6538" s="127"/>
      <c r="AB6538" s="128"/>
      <c r="AC6538" s="15" t="s">
        <v>20</v>
      </c>
      <c r="AD6538" s="129" t="s">
        <v>8255</v>
      </c>
      <c r="AE6538" s="130"/>
      <c r="AF6538" s="130"/>
      <c r="AG6538" s="130"/>
      <c r="AH6538" s="130"/>
      <c r="AI6538" s="131"/>
      <c r="AJ6538" s="132"/>
      <c r="AK6538" s="127"/>
      <c r="AL6538" s="128"/>
      <c r="AM6538" s="21" t="s">
        <v>20006</v>
      </c>
      <c r="AN6538" s="133">
        <v>46091</v>
      </c>
      <c r="AO6538" s="134"/>
      <c r="AP6538" s="135">
        <v>1932</v>
      </c>
      <c r="AQ6538" s="136"/>
      <c r="AR6538" s="118">
        <v>1267000</v>
      </c>
      <c r="AS6538" s="119"/>
      <c r="AT6538" s="118">
        <f t="shared" ref="AT6538" si="9005">AR6538*0.1</f>
        <v>126700</v>
      </c>
      <c r="AU6538" s="119"/>
      <c r="AV6538" s="118">
        <v>8550</v>
      </c>
      <c r="AW6538" s="119"/>
      <c r="AX6538" s="118">
        <f t="shared" ref="AX6538" si="9006">SUM(AR6538:AW6538)</f>
        <v>1402250</v>
      </c>
      <c r="AY6538" s="119"/>
      <c r="AZ6538" s="137"/>
    </row>
    <row r="6539" spans="1:52" ht="17.100000000000001" customHeight="1" thickBot="1">
      <c r="A6539" s="110"/>
      <c r="B6539" s="27" t="s">
        <v>18753</v>
      </c>
      <c r="C6539" s="27">
        <v>50124</v>
      </c>
      <c r="D6539" s="14" t="s">
        <v>2601</v>
      </c>
      <c r="E6539" s="112"/>
      <c r="F6539" s="139" t="s">
        <v>18790</v>
      </c>
      <c r="G6539" s="140"/>
      <c r="H6539" s="141"/>
      <c r="I6539" s="26">
        <v>22131</v>
      </c>
      <c r="J6539" s="117"/>
      <c r="K6539" s="120"/>
      <c r="L6539" s="121"/>
      <c r="M6539" s="120"/>
      <c r="N6539" s="121"/>
      <c r="O6539" s="120"/>
      <c r="P6539" s="121"/>
      <c r="Q6539" s="120"/>
      <c r="R6539" s="121"/>
      <c r="S6539" s="120"/>
      <c r="T6539" s="121"/>
      <c r="U6539" s="120"/>
      <c r="V6539" s="123"/>
      <c r="W6539" s="125"/>
      <c r="X6539" s="142" t="s">
        <v>19347</v>
      </c>
      <c r="Y6539" s="143"/>
      <c r="Z6539" s="143"/>
      <c r="AA6539" s="143"/>
      <c r="AB6539" s="144"/>
      <c r="AC6539" s="16" t="s">
        <v>21</v>
      </c>
      <c r="AD6539" s="17" t="s">
        <v>859</v>
      </c>
      <c r="AE6539" s="145" t="s">
        <v>10527</v>
      </c>
      <c r="AF6539" s="146"/>
      <c r="AG6539" s="146"/>
      <c r="AH6539" s="146"/>
      <c r="AI6539" s="147"/>
      <c r="AJ6539" s="148"/>
      <c r="AK6539" s="143"/>
      <c r="AL6539" s="144"/>
      <c r="AM6539" s="22"/>
      <c r="AN6539" s="149" t="s">
        <v>2131</v>
      </c>
      <c r="AO6539" s="144"/>
      <c r="AP6539" s="148">
        <v>3143</v>
      </c>
      <c r="AQ6539" s="144"/>
      <c r="AR6539" s="120"/>
      <c r="AS6539" s="121"/>
      <c r="AT6539" s="120"/>
      <c r="AU6539" s="121"/>
      <c r="AV6539" s="120"/>
      <c r="AW6539" s="121"/>
      <c r="AX6539" s="120"/>
      <c r="AY6539" s="121"/>
      <c r="AZ6539" s="138"/>
    </row>
    <row r="6540" spans="1:52" ht="17.100000000000001" customHeight="1" thickTop="1">
      <c r="A6540" s="109" t="s">
        <v>18768</v>
      </c>
      <c r="B6540" s="28">
        <v>46079</v>
      </c>
      <c r="C6540" s="25">
        <v>2016</v>
      </c>
      <c r="D6540" s="13" t="s">
        <v>1714</v>
      </c>
      <c r="E6540" s="111"/>
      <c r="F6540" s="113" t="s">
        <v>5192</v>
      </c>
      <c r="G6540" s="114"/>
      <c r="H6540" s="115"/>
      <c r="I6540" s="24"/>
      <c r="J6540" s="116">
        <v>3.5</v>
      </c>
      <c r="K6540" s="118">
        <v>805000</v>
      </c>
      <c r="L6540" s="119"/>
      <c r="M6540" s="118">
        <f t="shared" ref="M6540" si="9007">K6540*0.1</f>
        <v>80500</v>
      </c>
      <c r="N6540" s="119"/>
      <c r="O6540" s="118">
        <v>0</v>
      </c>
      <c r="P6540" s="119"/>
      <c r="Q6540" s="118">
        <v>8790</v>
      </c>
      <c r="R6540" s="119"/>
      <c r="S6540" s="118">
        <v>22000</v>
      </c>
      <c r="T6540" s="119"/>
      <c r="U6540" s="118">
        <f t="shared" ref="U6540" si="9008">SUM(K6540:T6541)</f>
        <v>916290</v>
      </c>
      <c r="V6540" s="122"/>
      <c r="W6540" s="124"/>
      <c r="X6540" s="126" t="s">
        <v>19377</v>
      </c>
      <c r="Y6540" s="127"/>
      <c r="Z6540" s="127"/>
      <c r="AA6540" s="127"/>
      <c r="AB6540" s="128"/>
      <c r="AC6540" s="15" t="s">
        <v>20</v>
      </c>
      <c r="AD6540" s="129" t="s">
        <v>8818</v>
      </c>
      <c r="AE6540" s="130"/>
      <c r="AF6540" s="130"/>
      <c r="AG6540" s="130"/>
      <c r="AH6540" s="130"/>
      <c r="AI6540" s="131"/>
      <c r="AJ6540" s="132"/>
      <c r="AK6540" s="127"/>
      <c r="AL6540" s="128"/>
      <c r="AM6540" s="21"/>
      <c r="AN6540" s="133">
        <v>46085</v>
      </c>
      <c r="AO6540" s="134"/>
      <c r="AP6540" s="135">
        <v>1007</v>
      </c>
      <c r="AQ6540" s="136"/>
      <c r="AR6540" s="118">
        <v>970000</v>
      </c>
      <c r="AS6540" s="119"/>
      <c r="AT6540" s="118">
        <f t="shared" ref="AT6540" si="9009">AR6540*0.1</f>
        <v>97000</v>
      </c>
      <c r="AU6540" s="119"/>
      <c r="AV6540" s="118">
        <v>8790</v>
      </c>
      <c r="AW6540" s="119"/>
      <c r="AX6540" s="118">
        <f t="shared" ref="AX6540" si="9010">SUM(AR6540:AW6540)</f>
        <v>1075790</v>
      </c>
      <c r="AY6540" s="119"/>
      <c r="AZ6540" s="137">
        <v>46090</v>
      </c>
    </row>
    <row r="6541" spans="1:52" ht="17.100000000000001" customHeight="1" thickBot="1">
      <c r="A6541" s="110"/>
      <c r="B6541" s="27" t="s">
        <v>18753</v>
      </c>
      <c r="C6541" s="27">
        <v>50138</v>
      </c>
      <c r="D6541" s="14" t="s">
        <v>2601</v>
      </c>
      <c r="E6541" s="112"/>
      <c r="F6541" s="139" t="s">
        <v>18792</v>
      </c>
      <c r="G6541" s="140"/>
      <c r="H6541" s="141"/>
      <c r="I6541" s="26">
        <v>26510</v>
      </c>
      <c r="J6541" s="117"/>
      <c r="K6541" s="120"/>
      <c r="L6541" s="121"/>
      <c r="M6541" s="120"/>
      <c r="N6541" s="121"/>
      <c r="O6541" s="120"/>
      <c r="P6541" s="121"/>
      <c r="Q6541" s="120"/>
      <c r="R6541" s="121"/>
      <c r="S6541" s="120"/>
      <c r="T6541" s="121"/>
      <c r="U6541" s="120"/>
      <c r="V6541" s="123"/>
      <c r="W6541" s="125"/>
      <c r="X6541" s="142" t="s">
        <v>19378</v>
      </c>
      <c r="Y6541" s="143"/>
      <c r="Z6541" s="143"/>
      <c r="AA6541" s="143"/>
      <c r="AB6541" s="144"/>
      <c r="AC6541" s="16" t="s">
        <v>21</v>
      </c>
      <c r="AD6541" s="17" t="s">
        <v>19379</v>
      </c>
      <c r="AE6541" s="145" t="s">
        <v>19380</v>
      </c>
      <c r="AF6541" s="146"/>
      <c r="AG6541" s="146"/>
      <c r="AH6541" s="146"/>
      <c r="AI6541" s="147"/>
      <c r="AJ6541" s="148"/>
      <c r="AK6541" s="143"/>
      <c r="AL6541" s="144"/>
      <c r="AM6541" s="22"/>
      <c r="AN6541" s="149" t="s">
        <v>19376</v>
      </c>
      <c r="AO6541" s="144"/>
      <c r="AP6541" s="148">
        <v>5074</v>
      </c>
      <c r="AQ6541" s="144"/>
      <c r="AR6541" s="120"/>
      <c r="AS6541" s="121"/>
      <c r="AT6541" s="120"/>
      <c r="AU6541" s="121"/>
      <c r="AV6541" s="120"/>
      <c r="AW6541" s="121"/>
      <c r="AX6541" s="120"/>
      <c r="AY6541" s="121"/>
      <c r="AZ6541" s="138"/>
    </row>
    <row r="6542" spans="1:52" ht="17.100000000000001" customHeight="1" thickTop="1">
      <c r="A6542" s="109" t="s">
        <v>18769</v>
      </c>
      <c r="B6542" s="28">
        <v>46079</v>
      </c>
      <c r="C6542" s="25">
        <v>2016</v>
      </c>
      <c r="D6542" s="13" t="s">
        <v>1714</v>
      </c>
      <c r="E6542" s="111"/>
      <c r="F6542" s="113" t="s">
        <v>18096</v>
      </c>
      <c r="G6542" s="114"/>
      <c r="H6542" s="115"/>
      <c r="I6542" s="24"/>
      <c r="J6542" s="116">
        <v>4.5</v>
      </c>
      <c r="K6542" s="118">
        <v>914000</v>
      </c>
      <c r="L6542" s="119"/>
      <c r="M6542" s="118">
        <f t="shared" ref="M6542" si="9011">K6542*0.1</f>
        <v>91400</v>
      </c>
      <c r="N6542" s="119"/>
      <c r="O6542" s="118">
        <v>0</v>
      </c>
      <c r="P6542" s="119"/>
      <c r="Q6542" s="118">
        <v>8550</v>
      </c>
      <c r="R6542" s="119"/>
      <c r="S6542" s="118">
        <v>22000</v>
      </c>
      <c r="T6542" s="119"/>
      <c r="U6542" s="118">
        <f t="shared" ref="U6542" si="9012">SUM(K6542:T6543)</f>
        <v>1035950</v>
      </c>
      <c r="V6542" s="122"/>
      <c r="W6542" s="124"/>
      <c r="X6542" s="126" t="s">
        <v>19348</v>
      </c>
      <c r="Y6542" s="127"/>
      <c r="Z6542" s="127"/>
      <c r="AA6542" s="127"/>
      <c r="AB6542" s="128"/>
      <c r="AC6542" s="15" t="s">
        <v>20</v>
      </c>
      <c r="AD6542" s="129"/>
      <c r="AE6542" s="130"/>
      <c r="AF6542" s="130"/>
      <c r="AG6542" s="130"/>
      <c r="AH6542" s="130"/>
      <c r="AI6542" s="131"/>
      <c r="AJ6542" s="132"/>
      <c r="AK6542" s="127"/>
      <c r="AL6542" s="128"/>
      <c r="AM6542" s="21"/>
      <c r="AN6542" s="133">
        <v>46098</v>
      </c>
      <c r="AO6542" s="134"/>
      <c r="AP6542" s="135">
        <v>1933</v>
      </c>
      <c r="AQ6542" s="136"/>
      <c r="AR6542" s="118">
        <v>973000</v>
      </c>
      <c r="AS6542" s="119"/>
      <c r="AT6542" s="118">
        <f t="shared" ref="AT6542" si="9013">AR6542*0.1</f>
        <v>97300</v>
      </c>
      <c r="AU6542" s="119"/>
      <c r="AV6542" s="118">
        <v>8550</v>
      </c>
      <c r="AW6542" s="119"/>
      <c r="AX6542" s="118">
        <f t="shared" ref="AX6542" si="9014">SUM(AR6542:AW6542)</f>
        <v>1078850</v>
      </c>
      <c r="AY6542" s="119"/>
      <c r="AZ6542" s="137"/>
    </row>
    <row r="6543" spans="1:52" ht="17.100000000000001" customHeight="1" thickBot="1">
      <c r="A6543" s="110"/>
      <c r="B6543" s="27" t="s">
        <v>18753</v>
      </c>
      <c r="C6543" s="27">
        <v>50139</v>
      </c>
      <c r="D6543" s="14" t="s">
        <v>2601</v>
      </c>
      <c r="E6543" s="112"/>
      <c r="F6543" s="139" t="s">
        <v>18793</v>
      </c>
      <c r="G6543" s="140"/>
      <c r="H6543" s="141"/>
      <c r="I6543" s="26">
        <v>43592</v>
      </c>
      <c r="J6543" s="117"/>
      <c r="K6543" s="120"/>
      <c r="L6543" s="121"/>
      <c r="M6543" s="120"/>
      <c r="N6543" s="121"/>
      <c r="O6543" s="120"/>
      <c r="P6543" s="121"/>
      <c r="Q6543" s="120"/>
      <c r="R6543" s="121"/>
      <c r="S6543" s="120"/>
      <c r="T6543" s="121"/>
      <c r="U6543" s="120"/>
      <c r="V6543" s="123"/>
      <c r="W6543" s="125"/>
      <c r="X6543" s="142" t="s">
        <v>19347</v>
      </c>
      <c r="Y6543" s="143"/>
      <c r="Z6543" s="143"/>
      <c r="AA6543" s="143"/>
      <c r="AB6543" s="144"/>
      <c r="AC6543" s="16" t="s">
        <v>21</v>
      </c>
      <c r="AD6543" s="17" t="s">
        <v>859</v>
      </c>
      <c r="AE6543" s="145" t="s">
        <v>5140</v>
      </c>
      <c r="AF6543" s="146"/>
      <c r="AG6543" s="146"/>
      <c r="AH6543" s="146"/>
      <c r="AI6543" s="147"/>
      <c r="AJ6543" s="148"/>
      <c r="AK6543" s="143"/>
      <c r="AL6543" s="144"/>
      <c r="AM6543" s="22"/>
      <c r="AN6543" s="149" t="s">
        <v>2131</v>
      </c>
      <c r="AO6543" s="144"/>
      <c r="AP6543" s="148">
        <v>3131</v>
      </c>
      <c r="AQ6543" s="144"/>
      <c r="AR6543" s="120"/>
      <c r="AS6543" s="121"/>
      <c r="AT6543" s="120"/>
      <c r="AU6543" s="121"/>
      <c r="AV6543" s="120"/>
      <c r="AW6543" s="121"/>
      <c r="AX6543" s="120"/>
      <c r="AY6543" s="121"/>
      <c r="AZ6543" s="138"/>
    </row>
    <row r="6544" spans="1:52" ht="17.100000000000001" customHeight="1" thickTop="1">
      <c r="A6544" s="109" t="s">
        <v>18770</v>
      </c>
      <c r="B6544" s="28">
        <v>46079</v>
      </c>
      <c r="C6544" s="25">
        <v>2016</v>
      </c>
      <c r="D6544" s="13" t="s">
        <v>3386</v>
      </c>
      <c r="E6544" s="111"/>
      <c r="F6544" s="113" t="s">
        <v>4297</v>
      </c>
      <c r="G6544" s="114"/>
      <c r="H6544" s="115"/>
      <c r="I6544" s="24" t="s">
        <v>4096</v>
      </c>
      <c r="J6544" s="116">
        <v>4.5</v>
      </c>
      <c r="K6544" s="118">
        <v>1262000</v>
      </c>
      <c r="L6544" s="119"/>
      <c r="M6544" s="118">
        <f t="shared" ref="M6544" si="9015">K6544*0.1</f>
        <v>126200</v>
      </c>
      <c r="N6544" s="119"/>
      <c r="O6544" s="118">
        <v>0</v>
      </c>
      <c r="P6544" s="119"/>
      <c r="Q6544" s="118">
        <v>8550</v>
      </c>
      <c r="R6544" s="119"/>
      <c r="S6544" s="118">
        <v>22000</v>
      </c>
      <c r="T6544" s="119"/>
      <c r="U6544" s="118">
        <f t="shared" ref="U6544" si="9016">SUM(K6544:T6545)</f>
        <v>1418750</v>
      </c>
      <c r="V6544" s="122"/>
      <c r="W6544" s="124"/>
      <c r="X6544" s="126" t="s">
        <v>18795</v>
      </c>
      <c r="Y6544" s="127"/>
      <c r="Z6544" s="127"/>
      <c r="AA6544" s="127"/>
      <c r="AB6544" s="128"/>
      <c r="AC6544" s="15" t="s">
        <v>20</v>
      </c>
      <c r="AD6544" s="129"/>
      <c r="AE6544" s="130"/>
      <c r="AF6544" s="130"/>
      <c r="AG6544" s="130"/>
      <c r="AH6544" s="130"/>
      <c r="AI6544" s="131"/>
      <c r="AJ6544" s="132"/>
      <c r="AK6544" s="127"/>
      <c r="AL6544" s="128"/>
      <c r="AM6544" s="21" t="s">
        <v>19369</v>
      </c>
      <c r="AN6544" s="133">
        <v>46084</v>
      </c>
      <c r="AO6544" s="134"/>
      <c r="AP6544" s="135">
        <v>1931</v>
      </c>
      <c r="AQ6544" s="136"/>
      <c r="AR6544" s="118">
        <v>1336000</v>
      </c>
      <c r="AS6544" s="119"/>
      <c r="AT6544" s="118">
        <f t="shared" ref="AT6544" si="9017">AR6544*0.1</f>
        <v>133600</v>
      </c>
      <c r="AU6544" s="119"/>
      <c r="AV6544" s="118">
        <v>8550</v>
      </c>
      <c r="AW6544" s="119"/>
      <c r="AX6544" s="118">
        <f t="shared" ref="AX6544" si="9018">SUM(AR6544:AW6544)</f>
        <v>1478150</v>
      </c>
      <c r="AY6544" s="119"/>
      <c r="AZ6544" s="137">
        <v>46091</v>
      </c>
    </row>
    <row r="6545" spans="1:52" ht="17.100000000000001" customHeight="1" thickBot="1">
      <c r="A6545" s="110"/>
      <c r="B6545" s="27" t="s">
        <v>18753</v>
      </c>
      <c r="C6545" s="27">
        <v>50169</v>
      </c>
      <c r="D6545" s="14" t="s">
        <v>2601</v>
      </c>
      <c r="E6545" s="112"/>
      <c r="F6545" s="139" t="s">
        <v>18794</v>
      </c>
      <c r="G6545" s="140"/>
      <c r="H6545" s="141"/>
      <c r="I6545" s="26">
        <v>24897</v>
      </c>
      <c r="J6545" s="117"/>
      <c r="K6545" s="120"/>
      <c r="L6545" s="121"/>
      <c r="M6545" s="120"/>
      <c r="N6545" s="121"/>
      <c r="O6545" s="120"/>
      <c r="P6545" s="121"/>
      <c r="Q6545" s="120"/>
      <c r="R6545" s="121"/>
      <c r="S6545" s="120"/>
      <c r="T6545" s="121"/>
      <c r="U6545" s="120"/>
      <c r="V6545" s="123"/>
      <c r="W6545" s="125"/>
      <c r="X6545" s="142" t="s">
        <v>3018</v>
      </c>
      <c r="Y6545" s="143"/>
      <c r="Z6545" s="143"/>
      <c r="AA6545" s="143"/>
      <c r="AB6545" s="144"/>
      <c r="AC6545" s="16" t="s">
        <v>21</v>
      </c>
      <c r="AD6545" s="17" t="s">
        <v>859</v>
      </c>
      <c r="AE6545" s="145" t="s">
        <v>2051</v>
      </c>
      <c r="AF6545" s="146"/>
      <c r="AG6545" s="146"/>
      <c r="AH6545" s="146"/>
      <c r="AI6545" s="147"/>
      <c r="AJ6545" s="148"/>
      <c r="AK6545" s="143"/>
      <c r="AL6545" s="144"/>
      <c r="AM6545" s="22"/>
      <c r="AN6545" s="149" t="s">
        <v>2131</v>
      </c>
      <c r="AO6545" s="144"/>
      <c r="AP6545" s="148">
        <v>3265</v>
      </c>
      <c r="AQ6545" s="144"/>
      <c r="AR6545" s="120"/>
      <c r="AS6545" s="121"/>
      <c r="AT6545" s="120"/>
      <c r="AU6545" s="121"/>
      <c r="AV6545" s="120"/>
      <c r="AW6545" s="121"/>
      <c r="AX6545" s="120"/>
      <c r="AY6545" s="121"/>
      <c r="AZ6545" s="138"/>
    </row>
    <row r="6546" spans="1:52" ht="17.100000000000001" customHeight="1" thickTop="1">
      <c r="A6546" s="109" t="s">
        <v>18835</v>
      </c>
      <c r="B6546" s="28">
        <v>46079</v>
      </c>
      <c r="C6546" s="25">
        <v>2016</v>
      </c>
      <c r="D6546" s="13" t="s">
        <v>1686</v>
      </c>
      <c r="E6546" s="111"/>
      <c r="F6546" s="113" t="s">
        <v>18796</v>
      </c>
      <c r="G6546" s="114"/>
      <c r="H6546" s="115"/>
      <c r="I6546" s="24" t="s">
        <v>1559</v>
      </c>
      <c r="J6546" s="116">
        <v>4</v>
      </c>
      <c r="K6546" s="118">
        <v>562000</v>
      </c>
      <c r="L6546" s="119"/>
      <c r="M6546" s="118">
        <f t="shared" ref="M6546" si="9019">K6546*0.1</f>
        <v>56200</v>
      </c>
      <c r="N6546" s="119"/>
      <c r="O6546" s="118">
        <v>0</v>
      </c>
      <c r="P6546" s="119"/>
      <c r="Q6546" s="118">
        <v>9670</v>
      </c>
      <c r="R6546" s="119"/>
      <c r="S6546" s="118">
        <v>22000</v>
      </c>
      <c r="T6546" s="119"/>
      <c r="U6546" s="118">
        <f t="shared" ref="U6546" si="9020">SUM(K6546:T6547)</f>
        <v>649870</v>
      </c>
      <c r="V6546" s="122"/>
      <c r="W6546" s="124"/>
      <c r="X6546" s="126" t="s">
        <v>18798</v>
      </c>
      <c r="Y6546" s="127"/>
      <c r="Z6546" s="127"/>
      <c r="AA6546" s="127"/>
      <c r="AB6546" s="128"/>
      <c r="AC6546" s="15" t="s">
        <v>20</v>
      </c>
      <c r="AD6546" s="129" t="s">
        <v>10536</v>
      </c>
      <c r="AE6546" s="130"/>
      <c r="AF6546" s="130"/>
      <c r="AG6546" s="130"/>
      <c r="AH6546" s="130"/>
      <c r="AI6546" s="131"/>
      <c r="AJ6546" s="132"/>
      <c r="AK6546" s="127"/>
      <c r="AL6546" s="128"/>
      <c r="AM6546" s="21" t="s">
        <v>19432</v>
      </c>
      <c r="AN6546" s="133">
        <v>46085</v>
      </c>
      <c r="AO6546" s="134"/>
      <c r="AP6546" s="135">
        <v>1007</v>
      </c>
      <c r="AQ6546" s="136"/>
      <c r="AR6546" s="118">
        <v>650000</v>
      </c>
      <c r="AS6546" s="119"/>
      <c r="AT6546" s="118">
        <f t="shared" ref="AT6546" si="9021">AR6546*0.1</f>
        <v>65000</v>
      </c>
      <c r="AU6546" s="119"/>
      <c r="AV6546" s="118">
        <v>9670</v>
      </c>
      <c r="AW6546" s="119"/>
      <c r="AX6546" s="118">
        <f t="shared" ref="AX6546" si="9022">SUM(AR6546:AW6546)</f>
        <v>724670</v>
      </c>
      <c r="AY6546" s="119"/>
      <c r="AZ6546" s="137">
        <v>46090</v>
      </c>
    </row>
    <row r="6547" spans="1:52" ht="17.100000000000001" customHeight="1" thickBot="1">
      <c r="A6547" s="110"/>
      <c r="B6547" s="27" t="s">
        <v>18753</v>
      </c>
      <c r="C6547" s="27">
        <v>50173</v>
      </c>
      <c r="D6547" s="14" t="s">
        <v>1576</v>
      </c>
      <c r="E6547" s="112"/>
      <c r="F6547" s="139" t="s">
        <v>18797</v>
      </c>
      <c r="G6547" s="140"/>
      <c r="H6547" s="141"/>
      <c r="I6547" s="26">
        <v>43001</v>
      </c>
      <c r="J6547" s="117"/>
      <c r="K6547" s="120"/>
      <c r="L6547" s="121"/>
      <c r="M6547" s="120"/>
      <c r="N6547" s="121"/>
      <c r="O6547" s="120"/>
      <c r="P6547" s="121"/>
      <c r="Q6547" s="120"/>
      <c r="R6547" s="121"/>
      <c r="S6547" s="120"/>
      <c r="T6547" s="121"/>
      <c r="U6547" s="120"/>
      <c r="V6547" s="123"/>
      <c r="W6547" s="125"/>
      <c r="X6547" s="142" t="s">
        <v>19316</v>
      </c>
      <c r="Y6547" s="143"/>
      <c r="Z6547" s="143"/>
      <c r="AA6547" s="143"/>
      <c r="AB6547" s="144"/>
      <c r="AC6547" s="16" t="s">
        <v>21</v>
      </c>
      <c r="AD6547" s="17" t="s">
        <v>859</v>
      </c>
      <c r="AE6547" s="145" t="s">
        <v>2051</v>
      </c>
      <c r="AF6547" s="146"/>
      <c r="AG6547" s="146"/>
      <c r="AH6547" s="146"/>
      <c r="AI6547" s="147"/>
      <c r="AJ6547" s="148"/>
      <c r="AK6547" s="143"/>
      <c r="AL6547" s="144"/>
      <c r="AM6547" s="22"/>
      <c r="AN6547" s="149" t="s">
        <v>2794</v>
      </c>
      <c r="AO6547" s="144"/>
      <c r="AP6547" s="148">
        <v>5051</v>
      </c>
      <c r="AQ6547" s="144"/>
      <c r="AR6547" s="120"/>
      <c r="AS6547" s="121"/>
      <c r="AT6547" s="120"/>
      <c r="AU6547" s="121"/>
      <c r="AV6547" s="120"/>
      <c r="AW6547" s="121"/>
      <c r="AX6547" s="120"/>
      <c r="AY6547" s="121"/>
      <c r="AZ6547" s="138"/>
    </row>
    <row r="6548" spans="1:52" ht="17.100000000000001" customHeight="1" thickTop="1">
      <c r="A6548" s="109" t="s">
        <v>18836</v>
      </c>
      <c r="B6548" s="28">
        <v>46079</v>
      </c>
      <c r="C6548" s="25">
        <v>2016</v>
      </c>
      <c r="D6548" s="13" t="s">
        <v>1651</v>
      </c>
      <c r="E6548" s="111"/>
      <c r="F6548" s="113" t="s">
        <v>18096</v>
      </c>
      <c r="G6548" s="114"/>
      <c r="H6548" s="115"/>
      <c r="I6548" s="24"/>
      <c r="J6548" s="116">
        <v>4.5</v>
      </c>
      <c r="K6548" s="118">
        <v>1047000</v>
      </c>
      <c r="L6548" s="119"/>
      <c r="M6548" s="118">
        <f t="shared" ref="M6548" si="9023">K6548*0.1</f>
        <v>104700</v>
      </c>
      <c r="N6548" s="119"/>
      <c r="O6548" s="118">
        <v>0</v>
      </c>
      <c r="P6548" s="119"/>
      <c r="Q6548" s="118">
        <v>8550</v>
      </c>
      <c r="R6548" s="119"/>
      <c r="S6548" s="118">
        <v>22000</v>
      </c>
      <c r="T6548" s="119"/>
      <c r="U6548" s="118">
        <f t="shared" ref="U6548" si="9024">SUM(K6548:T6549)</f>
        <v>1182250</v>
      </c>
      <c r="V6548" s="122"/>
      <c r="W6548" s="124"/>
      <c r="X6548" s="126" t="s">
        <v>19308</v>
      </c>
      <c r="Y6548" s="127"/>
      <c r="Z6548" s="127"/>
      <c r="AA6548" s="127"/>
      <c r="AB6548" s="128"/>
      <c r="AC6548" s="15" t="s">
        <v>20</v>
      </c>
      <c r="AD6548" s="129" t="s">
        <v>1670</v>
      </c>
      <c r="AE6548" s="130"/>
      <c r="AF6548" s="130"/>
      <c r="AG6548" s="130"/>
      <c r="AH6548" s="130"/>
      <c r="AI6548" s="131"/>
      <c r="AJ6548" s="132"/>
      <c r="AK6548" s="127"/>
      <c r="AL6548" s="128"/>
      <c r="AM6548" s="21"/>
      <c r="AN6548" s="133">
        <v>46084</v>
      </c>
      <c r="AO6548" s="134"/>
      <c r="AP6548" s="135">
        <v>1931</v>
      </c>
      <c r="AQ6548" s="136"/>
      <c r="AR6548" s="118">
        <v>1079000</v>
      </c>
      <c r="AS6548" s="119"/>
      <c r="AT6548" s="118">
        <f t="shared" ref="AT6548" si="9025">AR6548*0.1</f>
        <v>107900</v>
      </c>
      <c r="AU6548" s="119"/>
      <c r="AV6548" s="118">
        <v>8550</v>
      </c>
      <c r="AW6548" s="119"/>
      <c r="AX6548" s="118">
        <f t="shared" ref="AX6548" si="9026">SUM(AR6548:AW6548)</f>
        <v>1195450</v>
      </c>
      <c r="AY6548" s="119"/>
      <c r="AZ6548" s="137">
        <v>46091</v>
      </c>
    </row>
    <row r="6549" spans="1:52" ht="17.100000000000001" customHeight="1" thickBot="1">
      <c r="A6549" s="110"/>
      <c r="B6549" s="27" t="s">
        <v>18753</v>
      </c>
      <c r="C6549" s="27">
        <v>50198</v>
      </c>
      <c r="D6549" s="14" t="s">
        <v>275</v>
      </c>
      <c r="E6549" s="112"/>
      <c r="F6549" s="139" t="s">
        <v>18799</v>
      </c>
      <c r="G6549" s="140"/>
      <c r="H6549" s="141"/>
      <c r="I6549" s="26">
        <v>28780</v>
      </c>
      <c r="J6549" s="117"/>
      <c r="K6549" s="120"/>
      <c r="L6549" s="121"/>
      <c r="M6549" s="120"/>
      <c r="N6549" s="121"/>
      <c r="O6549" s="120"/>
      <c r="P6549" s="121"/>
      <c r="Q6549" s="120"/>
      <c r="R6549" s="121"/>
      <c r="S6549" s="120"/>
      <c r="T6549" s="121"/>
      <c r="U6549" s="120"/>
      <c r="V6549" s="123"/>
      <c r="W6549" s="125"/>
      <c r="X6549" s="142" t="s">
        <v>3018</v>
      </c>
      <c r="Y6549" s="143"/>
      <c r="Z6549" s="143"/>
      <c r="AA6549" s="143"/>
      <c r="AB6549" s="144"/>
      <c r="AC6549" s="16" t="s">
        <v>21</v>
      </c>
      <c r="AD6549" s="17" t="s">
        <v>859</v>
      </c>
      <c r="AE6549" s="145" t="s">
        <v>2051</v>
      </c>
      <c r="AF6549" s="146"/>
      <c r="AG6549" s="146"/>
      <c r="AH6549" s="146"/>
      <c r="AI6549" s="147"/>
      <c r="AJ6549" s="148"/>
      <c r="AK6549" s="143"/>
      <c r="AL6549" s="144"/>
      <c r="AM6549" s="22"/>
      <c r="AN6549" s="149" t="s">
        <v>2131</v>
      </c>
      <c r="AO6549" s="144"/>
      <c r="AP6549" s="148">
        <v>3259</v>
      </c>
      <c r="AQ6549" s="144"/>
      <c r="AR6549" s="120"/>
      <c r="AS6549" s="121"/>
      <c r="AT6549" s="120"/>
      <c r="AU6549" s="121"/>
      <c r="AV6549" s="120"/>
      <c r="AW6549" s="121"/>
      <c r="AX6549" s="120"/>
      <c r="AY6549" s="121"/>
      <c r="AZ6549" s="138"/>
    </row>
    <row r="6550" spans="1:52" ht="17.100000000000001" customHeight="1" thickTop="1">
      <c r="A6550" s="109" t="s">
        <v>18837</v>
      </c>
      <c r="B6550" s="28">
        <v>46079</v>
      </c>
      <c r="C6550" s="25">
        <v>2016</v>
      </c>
      <c r="D6550" s="13" t="s">
        <v>3324</v>
      </c>
      <c r="E6550" s="111"/>
      <c r="F6550" s="113" t="s">
        <v>5464</v>
      </c>
      <c r="G6550" s="114"/>
      <c r="H6550" s="115"/>
      <c r="I6550" s="24" t="s">
        <v>3317</v>
      </c>
      <c r="J6550" s="116">
        <v>5</v>
      </c>
      <c r="K6550" s="118">
        <v>1171000</v>
      </c>
      <c r="L6550" s="119"/>
      <c r="M6550" s="118">
        <f t="shared" ref="M6550" si="9027">K6550*0.1</f>
        <v>117100</v>
      </c>
      <c r="N6550" s="119"/>
      <c r="O6550" s="118">
        <v>0</v>
      </c>
      <c r="P6550" s="119"/>
      <c r="Q6550" s="118">
        <v>8310</v>
      </c>
      <c r="R6550" s="119"/>
      <c r="S6550" s="118">
        <v>22000</v>
      </c>
      <c r="T6550" s="119"/>
      <c r="U6550" s="118">
        <f t="shared" ref="U6550" si="9028">SUM(K6550:T6551)</f>
        <v>1318410</v>
      </c>
      <c r="V6550" s="122"/>
      <c r="W6550" s="124"/>
      <c r="X6550" s="126" t="s">
        <v>18801</v>
      </c>
      <c r="Y6550" s="127"/>
      <c r="Z6550" s="127"/>
      <c r="AA6550" s="127"/>
      <c r="AB6550" s="128"/>
      <c r="AC6550" s="15" t="s">
        <v>20</v>
      </c>
      <c r="AD6550" s="129"/>
      <c r="AE6550" s="130"/>
      <c r="AF6550" s="130"/>
      <c r="AG6550" s="130"/>
      <c r="AH6550" s="130"/>
      <c r="AI6550" s="131"/>
      <c r="AJ6550" s="132"/>
      <c r="AK6550" s="127"/>
      <c r="AL6550" s="128"/>
      <c r="AM6550" s="21" t="s">
        <v>19370</v>
      </c>
      <c r="AN6550" s="133">
        <v>46084</v>
      </c>
      <c r="AO6550" s="134"/>
      <c r="AP6550" s="135">
        <v>1931</v>
      </c>
      <c r="AQ6550" s="136"/>
      <c r="AR6550" s="118">
        <v>1203000</v>
      </c>
      <c r="AS6550" s="119"/>
      <c r="AT6550" s="118">
        <f t="shared" ref="AT6550" si="9029">AR6550*0.1</f>
        <v>120300</v>
      </c>
      <c r="AU6550" s="119"/>
      <c r="AV6550" s="118">
        <v>8310</v>
      </c>
      <c r="AW6550" s="119"/>
      <c r="AX6550" s="118">
        <f t="shared" ref="AX6550" si="9030">SUM(AR6550:AW6550)</f>
        <v>1331610</v>
      </c>
      <c r="AY6550" s="119"/>
      <c r="AZ6550" s="137">
        <v>46091</v>
      </c>
    </row>
    <row r="6551" spans="1:52" ht="17.100000000000001" customHeight="1" thickBot="1">
      <c r="A6551" s="110"/>
      <c r="B6551" s="27" t="s">
        <v>18753</v>
      </c>
      <c r="C6551" s="27">
        <v>50224</v>
      </c>
      <c r="D6551" s="14" t="s">
        <v>2601</v>
      </c>
      <c r="E6551" s="112"/>
      <c r="F6551" s="139" t="s">
        <v>18800</v>
      </c>
      <c r="G6551" s="140"/>
      <c r="H6551" s="141"/>
      <c r="I6551" s="26">
        <v>4373</v>
      </c>
      <c r="J6551" s="117"/>
      <c r="K6551" s="120"/>
      <c r="L6551" s="121"/>
      <c r="M6551" s="120"/>
      <c r="N6551" s="121"/>
      <c r="O6551" s="120"/>
      <c r="P6551" s="121"/>
      <c r="Q6551" s="120"/>
      <c r="R6551" s="121"/>
      <c r="S6551" s="120"/>
      <c r="T6551" s="121"/>
      <c r="U6551" s="120"/>
      <c r="V6551" s="123"/>
      <c r="W6551" s="125"/>
      <c r="X6551" s="142" t="s">
        <v>19306</v>
      </c>
      <c r="Y6551" s="143"/>
      <c r="Z6551" s="143"/>
      <c r="AA6551" s="143"/>
      <c r="AB6551" s="144"/>
      <c r="AC6551" s="16" t="s">
        <v>21</v>
      </c>
      <c r="AD6551" s="17" t="s">
        <v>859</v>
      </c>
      <c r="AE6551" s="145" t="s">
        <v>1742</v>
      </c>
      <c r="AF6551" s="146"/>
      <c r="AG6551" s="146"/>
      <c r="AH6551" s="146"/>
      <c r="AI6551" s="147"/>
      <c r="AJ6551" s="148"/>
      <c r="AK6551" s="143"/>
      <c r="AL6551" s="144"/>
      <c r="AM6551" s="22"/>
      <c r="AN6551" s="149" t="s">
        <v>2131</v>
      </c>
      <c r="AO6551" s="144"/>
      <c r="AP6551" s="148">
        <v>3267</v>
      </c>
      <c r="AQ6551" s="144"/>
      <c r="AR6551" s="120"/>
      <c r="AS6551" s="121"/>
      <c r="AT6551" s="120"/>
      <c r="AU6551" s="121"/>
      <c r="AV6551" s="120"/>
      <c r="AW6551" s="121"/>
      <c r="AX6551" s="120"/>
      <c r="AY6551" s="121"/>
      <c r="AZ6551" s="138"/>
    </row>
    <row r="6552" spans="1:52" ht="17.100000000000001" customHeight="1" thickTop="1">
      <c r="A6552" s="109" t="s">
        <v>18838</v>
      </c>
      <c r="B6552" s="28">
        <v>46079</v>
      </c>
      <c r="C6552" s="25">
        <v>1972</v>
      </c>
      <c r="D6552" s="13" t="s">
        <v>1714</v>
      </c>
      <c r="E6552" s="111"/>
      <c r="F6552" s="113" t="s">
        <v>18823</v>
      </c>
      <c r="G6552" s="114"/>
      <c r="H6552" s="115"/>
      <c r="I6552" s="24"/>
      <c r="J6552" s="116">
        <v>4.5</v>
      </c>
      <c r="K6552" s="118">
        <v>688000</v>
      </c>
      <c r="L6552" s="119"/>
      <c r="M6552" s="118">
        <f t="shared" ref="M6552" si="9031">K6552*0.1</f>
        <v>68800</v>
      </c>
      <c r="N6552" s="119"/>
      <c r="O6552" s="118">
        <v>0</v>
      </c>
      <c r="P6552" s="119"/>
      <c r="Q6552" s="118">
        <v>7510</v>
      </c>
      <c r="R6552" s="119"/>
      <c r="S6552" s="118">
        <v>17050</v>
      </c>
      <c r="T6552" s="119"/>
      <c r="U6552" s="118">
        <f t="shared" ref="U6552" si="9032">SUM(K6552:T6553)</f>
        <v>781360</v>
      </c>
      <c r="V6552" s="122"/>
      <c r="W6552" s="124"/>
      <c r="X6552" s="126" t="s">
        <v>19048</v>
      </c>
      <c r="Y6552" s="127"/>
      <c r="Z6552" s="127"/>
      <c r="AA6552" s="127"/>
      <c r="AB6552" s="128"/>
      <c r="AC6552" s="15" t="s">
        <v>20</v>
      </c>
      <c r="AD6552" s="129"/>
      <c r="AE6552" s="130"/>
      <c r="AF6552" s="130"/>
      <c r="AG6552" s="130"/>
      <c r="AH6552" s="130"/>
      <c r="AI6552" s="131"/>
      <c r="AJ6552" s="132"/>
      <c r="AK6552" s="127"/>
      <c r="AL6552" s="128"/>
      <c r="AM6552" s="21"/>
      <c r="AN6552" s="133">
        <v>46088</v>
      </c>
      <c r="AO6552" s="134"/>
      <c r="AP6552" s="135">
        <v>1291</v>
      </c>
      <c r="AQ6552" s="136"/>
      <c r="AR6552" s="118">
        <v>780000</v>
      </c>
      <c r="AS6552" s="119"/>
      <c r="AT6552" s="118">
        <f t="shared" ref="AT6552" si="9033">AR6552*0.1</f>
        <v>78000</v>
      </c>
      <c r="AU6552" s="119"/>
      <c r="AV6552" s="118">
        <v>7510</v>
      </c>
      <c r="AW6552" s="119"/>
      <c r="AX6552" s="118">
        <f t="shared" ref="AX6552" si="9034">SUM(AR6552:AW6552)</f>
        <v>865510</v>
      </c>
      <c r="AY6552" s="119"/>
      <c r="AZ6552" s="137">
        <v>46091</v>
      </c>
    </row>
    <row r="6553" spans="1:52" ht="17.100000000000001" customHeight="1" thickBot="1">
      <c r="A6553" s="110"/>
      <c r="B6553" s="27" t="s">
        <v>3792</v>
      </c>
      <c r="C6553" s="27">
        <v>3087</v>
      </c>
      <c r="D6553" s="14" t="s">
        <v>1592</v>
      </c>
      <c r="E6553" s="112"/>
      <c r="F6553" s="139" t="s">
        <v>18824</v>
      </c>
      <c r="G6553" s="140"/>
      <c r="H6553" s="141"/>
      <c r="I6553" s="26">
        <v>24362</v>
      </c>
      <c r="J6553" s="117"/>
      <c r="K6553" s="120"/>
      <c r="L6553" s="121"/>
      <c r="M6553" s="120"/>
      <c r="N6553" s="121"/>
      <c r="O6553" s="120"/>
      <c r="P6553" s="121"/>
      <c r="Q6553" s="120"/>
      <c r="R6553" s="121"/>
      <c r="S6553" s="120"/>
      <c r="T6553" s="121"/>
      <c r="U6553" s="120"/>
      <c r="V6553" s="123"/>
      <c r="W6553" s="125"/>
      <c r="X6553" s="142" t="s">
        <v>8800</v>
      </c>
      <c r="Y6553" s="143"/>
      <c r="Z6553" s="143"/>
      <c r="AA6553" s="143"/>
      <c r="AB6553" s="144"/>
      <c r="AC6553" s="16" t="s">
        <v>21</v>
      </c>
      <c r="AD6553" s="17" t="s">
        <v>2353</v>
      </c>
      <c r="AE6553" s="145"/>
      <c r="AF6553" s="146"/>
      <c r="AG6553" s="146"/>
      <c r="AH6553" s="146"/>
      <c r="AI6553" s="147"/>
      <c r="AJ6553" s="148"/>
      <c r="AK6553" s="143"/>
      <c r="AL6553" s="144"/>
      <c r="AM6553" s="22"/>
      <c r="AN6553" s="149" t="s">
        <v>2511</v>
      </c>
      <c r="AO6553" s="144"/>
      <c r="AP6553" s="148">
        <v>60064</v>
      </c>
      <c r="AQ6553" s="144"/>
      <c r="AR6553" s="120"/>
      <c r="AS6553" s="121"/>
      <c r="AT6553" s="120"/>
      <c r="AU6553" s="121"/>
      <c r="AV6553" s="120"/>
      <c r="AW6553" s="121"/>
      <c r="AX6553" s="120"/>
      <c r="AY6553" s="121"/>
      <c r="AZ6553" s="138"/>
    </row>
    <row r="6554" spans="1:52" ht="17.100000000000001" customHeight="1" thickTop="1">
      <c r="A6554" s="109" t="s">
        <v>18839</v>
      </c>
      <c r="B6554" s="28">
        <v>46079</v>
      </c>
      <c r="C6554" s="25">
        <v>1972</v>
      </c>
      <c r="D6554" s="13" t="s">
        <v>1712</v>
      </c>
      <c r="E6554" s="111"/>
      <c r="F6554" s="113" t="s">
        <v>4585</v>
      </c>
      <c r="G6554" s="114"/>
      <c r="H6554" s="115"/>
      <c r="I6554" s="24"/>
      <c r="J6554" s="116">
        <v>4</v>
      </c>
      <c r="K6554" s="118">
        <v>1103000</v>
      </c>
      <c r="L6554" s="119"/>
      <c r="M6554" s="118">
        <f t="shared" ref="M6554" si="9035">K6554*0.1</f>
        <v>110300</v>
      </c>
      <c r="N6554" s="119"/>
      <c r="O6554" s="118">
        <v>0</v>
      </c>
      <c r="P6554" s="119"/>
      <c r="Q6554" s="118">
        <v>9010</v>
      </c>
      <c r="R6554" s="119"/>
      <c r="S6554" s="118">
        <v>20900</v>
      </c>
      <c r="T6554" s="119"/>
      <c r="U6554" s="118">
        <f t="shared" ref="U6554" si="9036">SUM(K6554:T6555)</f>
        <v>1243210</v>
      </c>
      <c r="V6554" s="122"/>
      <c r="W6554" s="124"/>
      <c r="X6554" s="126" t="s">
        <v>19134</v>
      </c>
      <c r="Y6554" s="127"/>
      <c r="Z6554" s="127"/>
      <c r="AA6554" s="127"/>
      <c r="AB6554" s="128"/>
      <c r="AC6554" s="15" t="s">
        <v>20</v>
      </c>
      <c r="AD6554" s="129" t="s">
        <v>2930</v>
      </c>
      <c r="AE6554" s="130"/>
      <c r="AF6554" s="130"/>
      <c r="AG6554" s="130"/>
      <c r="AH6554" s="130"/>
      <c r="AI6554" s="131"/>
      <c r="AJ6554" s="132"/>
      <c r="AK6554" s="127"/>
      <c r="AL6554" s="128"/>
      <c r="AM6554" s="21"/>
      <c r="AN6554" s="133">
        <v>46120</v>
      </c>
      <c r="AO6554" s="134"/>
      <c r="AP6554" s="135">
        <v>1012</v>
      </c>
      <c r="AQ6554" s="136"/>
      <c r="AR6554" s="118">
        <v>1160000</v>
      </c>
      <c r="AS6554" s="119"/>
      <c r="AT6554" s="118">
        <f t="shared" ref="AT6554" si="9037">AR6554*0.1</f>
        <v>116000</v>
      </c>
      <c r="AU6554" s="119"/>
      <c r="AV6554" s="118">
        <v>9010</v>
      </c>
      <c r="AW6554" s="119"/>
      <c r="AX6554" s="118">
        <f t="shared" ref="AX6554" si="9038">SUM(AR6554:AW6554)</f>
        <v>1285010</v>
      </c>
      <c r="AY6554" s="119"/>
      <c r="AZ6554" s="137">
        <v>46125</v>
      </c>
    </row>
    <row r="6555" spans="1:52" ht="17.100000000000001" customHeight="1" thickBot="1">
      <c r="A6555" s="110"/>
      <c r="B6555" s="27" t="s">
        <v>3792</v>
      </c>
      <c r="C6555" s="27">
        <v>3558</v>
      </c>
      <c r="D6555" s="14" t="s">
        <v>2560</v>
      </c>
      <c r="E6555" s="112"/>
      <c r="F6555" s="139" t="s">
        <v>18825</v>
      </c>
      <c r="G6555" s="140"/>
      <c r="H6555" s="141"/>
      <c r="I6555" s="26">
        <v>44046</v>
      </c>
      <c r="J6555" s="117"/>
      <c r="K6555" s="120"/>
      <c r="L6555" s="121"/>
      <c r="M6555" s="120"/>
      <c r="N6555" s="121"/>
      <c r="O6555" s="120"/>
      <c r="P6555" s="121"/>
      <c r="Q6555" s="120"/>
      <c r="R6555" s="121"/>
      <c r="S6555" s="120"/>
      <c r="T6555" s="121"/>
      <c r="U6555" s="120"/>
      <c r="V6555" s="123"/>
      <c r="W6555" s="125"/>
      <c r="X6555" s="142" t="s">
        <v>9064</v>
      </c>
      <c r="Y6555" s="143"/>
      <c r="Z6555" s="143"/>
      <c r="AA6555" s="143"/>
      <c r="AB6555" s="144"/>
      <c r="AC6555" s="16" t="s">
        <v>21</v>
      </c>
      <c r="AD6555" s="17" t="s">
        <v>1902</v>
      </c>
      <c r="AE6555" s="145" t="s">
        <v>1633</v>
      </c>
      <c r="AF6555" s="146"/>
      <c r="AG6555" s="146"/>
      <c r="AH6555" s="146"/>
      <c r="AI6555" s="147"/>
      <c r="AJ6555" s="148"/>
      <c r="AK6555" s="143"/>
      <c r="AL6555" s="144"/>
      <c r="AM6555" s="22"/>
      <c r="AN6555" s="149" t="s">
        <v>2794</v>
      </c>
      <c r="AO6555" s="144"/>
      <c r="AP6555" s="148">
        <v>2016</v>
      </c>
      <c r="AQ6555" s="144"/>
      <c r="AR6555" s="120"/>
      <c r="AS6555" s="121"/>
      <c r="AT6555" s="120"/>
      <c r="AU6555" s="121"/>
      <c r="AV6555" s="120"/>
      <c r="AW6555" s="121"/>
      <c r="AX6555" s="120"/>
      <c r="AY6555" s="121"/>
      <c r="AZ6555" s="138"/>
    </row>
    <row r="6556" spans="1:52" ht="17.100000000000001" customHeight="1" thickTop="1">
      <c r="A6556" s="109" t="s">
        <v>18840</v>
      </c>
      <c r="B6556" s="28">
        <v>46079</v>
      </c>
      <c r="C6556" s="25">
        <v>1972</v>
      </c>
      <c r="D6556" s="13" t="s">
        <v>2322</v>
      </c>
      <c r="E6556" s="111"/>
      <c r="F6556" s="113" t="s">
        <v>10452</v>
      </c>
      <c r="G6556" s="114"/>
      <c r="H6556" s="115"/>
      <c r="I6556" s="24"/>
      <c r="J6556" s="116">
        <v>4</v>
      </c>
      <c r="K6556" s="118">
        <v>1045000</v>
      </c>
      <c r="L6556" s="119"/>
      <c r="M6556" s="118">
        <f t="shared" ref="M6556" si="9039">K6556*0.1</f>
        <v>104500</v>
      </c>
      <c r="N6556" s="119"/>
      <c r="O6556" s="118">
        <v>0</v>
      </c>
      <c r="P6556" s="119"/>
      <c r="Q6556" s="118">
        <v>22520</v>
      </c>
      <c r="R6556" s="119"/>
      <c r="S6556" s="118">
        <v>15950</v>
      </c>
      <c r="T6556" s="119"/>
      <c r="U6556" s="118">
        <f t="shared" ref="U6556" si="9040">SUM(K6556:T6557)</f>
        <v>1187970</v>
      </c>
      <c r="V6556" s="122"/>
      <c r="W6556" s="124"/>
      <c r="X6556" s="126" t="s">
        <v>19322</v>
      </c>
      <c r="Y6556" s="127"/>
      <c r="Z6556" s="127"/>
      <c r="AA6556" s="127"/>
      <c r="AB6556" s="128"/>
      <c r="AC6556" s="15" t="s">
        <v>20</v>
      </c>
      <c r="AD6556" s="129"/>
      <c r="AE6556" s="130"/>
      <c r="AF6556" s="130"/>
      <c r="AG6556" s="130"/>
      <c r="AH6556" s="130"/>
      <c r="AI6556" s="131"/>
      <c r="AJ6556" s="132"/>
      <c r="AK6556" s="127"/>
      <c r="AL6556" s="128"/>
      <c r="AM6556" s="21"/>
      <c r="AN6556" s="133">
        <v>46088</v>
      </c>
      <c r="AO6556" s="134"/>
      <c r="AP6556" s="135">
        <v>1291</v>
      </c>
      <c r="AQ6556" s="136"/>
      <c r="AR6556" s="118">
        <v>1215000</v>
      </c>
      <c r="AS6556" s="119"/>
      <c r="AT6556" s="118">
        <f t="shared" ref="AT6556" si="9041">AR6556*0.1</f>
        <v>121500</v>
      </c>
      <c r="AU6556" s="119"/>
      <c r="AV6556" s="118">
        <v>22520</v>
      </c>
      <c r="AW6556" s="119"/>
      <c r="AX6556" s="118">
        <f t="shared" ref="AX6556" si="9042">SUM(AR6556:AW6556)</f>
        <v>1359020</v>
      </c>
      <c r="AY6556" s="119"/>
      <c r="AZ6556" s="137">
        <v>46091</v>
      </c>
    </row>
    <row r="6557" spans="1:52" ht="17.100000000000001" customHeight="1" thickBot="1">
      <c r="A6557" s="110"/>
      <c r="B6557" s="27" t="s">
        <v>3792</v>
      </c>
      <c r="C6557" s="27">
        <v>5010</v>
      </c>
      <c r="D6557" s="14" t="s">
        <v>275</v>
      </c>
      <c r="E6557" s="112"/>
      <c r="F6557" s="139" t="s">
        <v>18826</v>
      </c>
      <c r="G6557" s="140"/>
      <c r="H6557" s="141"/>
      <c r="I6557" s="26">
        <v>48375</v>
      </c>
      <c r="J6557" s="117"/>
      <c r="K6557" s="120"/>
      <c r="L6557" s="121"/>
      <c r="M6557" s="120"/>
      <c r="N6557" s="121"/>
      <c r="O6557" s="120"/>
      <c r="P6557" s="121"/>
      <c r="Q6557" s="120"/>
      <c r="R6557" s="121"/>
      <c r="S6557" s="120"/>
      <c r="T6557" s="121"/>
      <c r="U6557" s="120"/>
      <c r="V6557" s="123"/>
      <c r="W6557" s="125"/>
      <c r="X6557" s="142" t="s">
        <v>19323</v>
      </c>
      <c r="Y6557" s="143"/>
      <c r="Z6557" s="143"/>
      <c r="AA6557" s="143"/>
      <c r="AB6557" s="144"/>
      <c r="AC6557" s="16" t="s">
        <v>21</v>
      </c>
      <c r="AD6557" s="17" t="s">
        <v>859</v>
      </c>
      <c r="AE6557" s="145" t="s">
        <v>2195</v>
      </c>
      <c r="AF6557" s="146"/>
      <c r="AG6557" s="146"/>
      <c r="AH6557" s="146"/>
      <c r="AI6557" s="147"/>
      <c r="AJ6557" s="148"/>
      <c r="AK6557" s="143"/>
      <c r="AL6557" s="144"/>
      <c r="AM6557" s="22"/>
      <c r="AN6557" s="149" t="s">
        <v>2511</v>
      </c>
      <c r="AO6557" s="144"/>
      <c r="AP6557" s="148">
        <v>80065</v>
      </c>
      <c r="AQ6557" s="144"/>
      <c r="AR6557" s="120"/>
      <c r="AS6557" s="121"/>
      <c r="AT6557" s="120"/>
      <c r="AU6557" s="121"/>
      <c r="AV6557" s="120"/>
      <c r="AW6557" s="121"/>
      <c r="AX6557" s="120"/>
      <c r="AY6557" s="121"/>
      <c r="AZ6557" s="138"/>
    </row>
    <row r="6558" spans="1:52" ht="17.100000000000001" customHeight="1" thickTop="1">
      <c r="A6558" s="109" t="s">
        <v>18841</v>
      </c>
      <c r="B6558" s="28">
        <v>46079</v>
      </c>
      <c r="C6558" s="25">
        <v>1555</v>
      </c>
      <c r="D6558" s="13" t="s">
        <v>1586</v>
      </c>
      <c r="E6558" s="111"/>
      <c r="F6558" s="113" t="s">
        <v>18827</v>
      </c>
      <c r="G6558" s="114"/>
      <c r="H6558" s="115"/>
      <c r="I6558" s="24"/>
      <c r="J6558" s="116">
        <v>4</v>
      </c>
      <c r="K6558" s="118">
        <v>1860000</v>
      </c>
      <c r="L6558" s="119"/>
      <c r="M6558" s="118">
        <f t="shared" ref="M6558" si="9043">K6558*0.1</f>
        <v>186000</v>
      </c>
      <c r="N6558" s="119"/>
      <c r="O6558" s="118">
        <v>0</v>
      </c>
      <c r="P6558" s="119"/>
      <c r="Q6558" s="118">
        <v>21580</v>
      </c>
      <c r="R6558" s="119"/>
      <c r="S6558" s="118">
        <v>16500</v>
      </c>
      <c r="T6558" s="119"/>
      <c r="U6558" s="118">
        <f t="shared" ref="U6558" si="9044">SUM(K6558:T6559)</f>
        <v>2084080</v>
      </c>
      <c r="V6558" s="122"/>
      <c r="W6558" s="124"/>
      <c r="X6558" s="126" t="s">
        <v>19120</v>
      </c>
      <c r="Y6558" s="127"/>
      <c r="Z6558" s="127"/>
      <c r="AA6558" s="127"/>
      <c r="AB6558" s="128"/>
      <c r="AC6558" s="15" t="s">
        <v>20</v>
      </c>
      <c r="AD6558" s="129" t="s">
        <v>1670</v>
      </c>
      <c r="AE6558" s="130"/>
      <c r="AF6558" s="130"/>
      <c r="AG6558" s="130"/>
      <c r="AH6558" s="130"/>
      <c r="AI6558" s="131"/>
      <c r="AJ6558" s="132"/>
      <c r="AK6558" s="127"/>
      <c r="AL6558" s="128"/>
      <c r="AM6558" s="21"/>
      <c r="AN6558" s="133"/>
      <c r="AO6558" s="134"/>
      <c r="AP6558" s="135"/>
      <c r="AQ6558" s="136"/>
      <c r="AR6558" s="118"/>
      <c r="AS6558" s="119"/>
      <c r="AT6558" s="118">
        <f t="shared" ref="AT6558" si="9045">AR6558*0.1</f>
        <v>0</v>
      </c>
      <c r="AU6558" s="119"/>
      <c r="AV6558" s="118"/>
      <c r="AW6558" s="119"/>
      <c r="AX6558" s="118">
        <f t="shared" ref="AX6558" si="9046">SUM(AR6558:AW6558)</f>
        <v>0</v>
      </c>
      <c r="AY6558" s="119"/>
      <c r="AZ6558" s="137"/>
    </row>
    <row r="6559" spans="1:52" ht="17.100000000000001" customHeight="1" thickBot="1">
      <c r="A6559" s="110"/>
      <c r="B6559" s="27" t="s">
        <v>1600</v>
      </c>
      <c r="C6559" s="27">
        <v>75451</v>
      </c>
      <c r="D6559" s="14" t="s">
        <v>1576</v>
      </c>
      <c r="E6559" s="112"/>
      <c r="F6559" s="139" t="s">
        <v>18828</v>
      </c>
      <c r="G6559" s="140"/>
      <c r="H6559" s="141"/>
      <c r="I6559" s="26">
        <v>33064</v>
      </c>
      <c r="J6559" s="117"/>
      <c r="K6559" s="120"/>
      <c r="L6559" s="121"/>
      <c r="M6559" s="120"/>
      <c r="N6559" s="121"/>
      <c r="O6559" s="120"/>
      <c r="P6559" s="121"/>
      <c r="Q6559" s="120"/>
      <c r="R6559" s="121"/>
      <c r="S6559" s="120"/>
      <c r="T6559" s="121"/>
      <c r="U6559" s="120"/>
      <c r="V6559" s="123"/>
      <c r="W6559" s="125"/>
      <c r="X6559" s="142" t="s">
        <v>19121</v>
      </c>
      <c r="Y6559" s="143"/>
      <c r="Z6559" s="143"/>
      <c r="AA6559" s="143"/>
      <c r="AB6559" s="144"/>
      <c r="AC6559" s="16" t="s">
        <v>21</v>
      </c>
      <c r="AD6559" s="17" t="s">
        <v>1902</v>
      </c>
      <c r="AE6559" s="145" t="s">
        <v>1945</v>
      </c>
      <c r="AF6559" s="146"/>
      <c r="AG6559" s="146"/>
      <c r="AH6559" s="146"/>
      <c r="AI6559" s="147"/>
      <c r="AJ6559" s="148"/>
      <c r="AK6559" s="143"/>
      <c r="AL6559" s="144"/>
      <c r="AM6559" s="22"/>
      <c r="AN6559" s="149"/>
      <c r="AO6559" s="144"/>
      <c r="AP6559" s="148"/>
      <c r="AQ6559" s="144"/>
      <c r="AR6559" s="120"/>
      <c r="AS6559" s="121"/>
      <c r="AT6559" s="120"/>
      <c r="AU6559" s="121"/>
      <c r="AV6559" s="120"/>
      <c r="AW6559" s="121"/>
      <c r="AX6559" s="120"/>
      <c r="AY6559" s="121"/>
      <c r="AZ6559" s="138"/>
    </row>
    <row r="6560" spans="1:52" ht="17.100000000000001" customHeight="1" thickTop="1">
      <c r="A6560" s="109" t="s">
        <v>18842</v>
      </c>
      <c r="B6560" s="28">
        <v>46079</v>
      </c>
      <c r="C6560" s="25">
        <v>1555</v>
      </c>
      <c r="D6560" s="13" t="s">
        <v>1714</v>
      </c>
      <c r="E6560" s="111"/>
      <c r="F6560" s="113" t="s">
        <v>18850</v>
      </c>
      <c r="G6560" s="114"/>
      <c r="H6560" s="115"/>
      <c r="I6560" s="24"/>
      <c r="J6560" s="116">
        <v>4.5</v>
      </c>
      <c r="K6560" s="118">
        <v>2830000</v>
      </c>
      <c r="L6560" s="119"/>
      <c r="M6560" s="118">
        <f t="shared" ref="M6560" si="9047">K6560*0.1</f>
        <v>283000</v>
      </c>
      <c r="N6560" s="119"/>
      <c r="O6560" s="118">
        <v>0</v>
      </c>
      <c r="P6560" s="119"/>
      <c r="Q6560" s="118">
        <v>21570</v>
      </c>
      <c r="R6560" s="119"/>
      <c r="S6560" s="118">
        <v>16500</v>
      </c>
      <c r="T6560" s="119"/>
      <c r="U6560" s="118">
        <f t="shared" ref="U6560" si="9048">SUM(K6560:T6561)</f>
        <v>3151070</v>
      </c>
      <c r="V6560" s="122"/>
      <c r="W6560" s="124"/>
      <c r="X6560" s="126" t="s">
        <v>19738</v>
      </c>
      <c r="Y6560" s="127"/>
      <c r="Z6560" s="127"/>
      <c r="AA6560" s="127"/>
      <c r="AB6560" s="128"/>
      <c r="AC6560" s="15" t="s">
        <v>20</v>
      </c>
      <c r="AD6560" s="129"/>
      <c r="AE6560" s="130"/>
      <c r="AF6560" s="130"/>
      <c r="AG6560" s="130"/>
      <c r="AH6560" s="130"/>
      <c r="AI6560" s="131"/>
      <c r="AJ6560" s="132"/>
      <c r="AK6560" s="127"/>
      <c r="AL6560" s="128"/>
      <c r="AM6560" s="21"/>
      <c r="AN6560" s="133"/>
      <c r="AO6560" s="134"/>
      <c r="AP6560" s="135"/>
      <c r="AQ6560" s="136"/>
      <c r="AR6560" s="118"/>
      <c r="AS6560" s="119"/>
      <c r="AT6560" s="118">
        <f t="shared" ref="AT6560" si="9049">AR6560*0.1</f>
        <v>0</v>
      </c>
      <c r="AU6560" s="119"/>
      <c r="AV6560" s="118"/>
      <c r="AW6560" s="119"/>
      <c r="AX6560" s="118">
        <f t="shared" ref="AX6560" si="9050">SUM(AR6560:AW6560)</f>
        <v>0</v>
      </c>
      <c r="AY6560" s="119"/>
      <c r="AZ6560" s="137"/>
    </row>
    <row r="6561" spans="1:52" ht="17.100000000000001" customHeight="1" thickBot="1">
      <c r="A6561" s="110"/>
      <c r="B6561" s="27" t="s">
        <v>1600</v>
      </c>
      <c r="C6561" s="27">
        <v>76182</v>
      </c>
      <c r="D6561" s="14" t="s">
        <v>1576</v>
      </c>
      <c r="E6561" s="112"/>
      <c r="F6561" s="139" t="s">
        <v>18851</v>
      </c>
      <c r="G6561" s="140"/>
      <c r="H6561" s="141"/>
      <c r="I6561" s="26">
        <v>58337</v>
      </c>
      <c r="J6561" s="117"/>
      <c r="K6561" s="120"/>
      <c r="L6561" s="121"/>
      <c r="M6561" s="120"/>
      <c r="N6561" s="121"/>
      <c r="O6561" s="120"/>
      <c r="P6561" s="121"/>
      <c r="Q6561" s="120"/>
      <c r="R6561" s="121"/>
      <c r="S6561" s="120"/>
      <c r="T6561" s="121"/>
      <c r="U6561" s="120"/>
      <c r="V6561" s="123"/>
      <c r="W6561" s="125"/>
      <c r="X6561" s="142" t="s">
        <v>19739</v>
      </c>
      <c r="Y6561" s="143"/>
      <c r="Z6561" s="143"/>
      <c r="AA6561" s="143"/>
      <c r="AB6561" s="144"/>
      <c r="AC6561" s="16" t="s">
        <v>21</v>
      </c>
      <c r="AD6561" s="17" t="s">
        <v>2689</v>
      </c>
      <c r="AE6561" s="145" t="s">
        <v>4077</v>
      </c>
      <c r="AF6561" s="146"/>
      <c r="AG6561" s="146"/>
      <c r="AH6561" s="146"/>
      <c r="AI6561" s="147"/>
      <c r="AJ6561" s="148"/>
      <c r="AK6561" s="143"/>
      <c r="AL6561" s="144"/>
      <c r="AM6561" s="22"/>
      <c r="AN6561" s="149"/>
      <c r="AO6561" s="144"/>
      <c r="AP6561" s="148"/>
      <c r="AQ6561" s="144"/>
      <c r="AR6561" s="120"/>
      <c r="AS6561" s="121"/>
      <c r="AT6561" s="120"/>
      <c r="AU6561" s="121"/>
      <c r="AV6561" s="120"/>
      <c r="AW6561" s="121"/>
      <c r="AX6561" s="120"/>
      <c r="AY6561" s="121"/>
      <c r="AZ6561" s="138"/>
    </row>
    <row r="6562" spans="1:52" ht="17.100000000000001" customHeight="1" thickTop="1">
      <c r="A6562" s="109" t="s">
        <v>18843</v>
      </c>
      <c r="B6562" s="28">
        <v>46079</v>
      </c>
      <c r="C6562" s="25">
        <v>1320</v>
      </c>
      <c r="D6562" s="13" t="s">
        <v>2970</v>
      </c>
      <c r="E6562" s="111"/>
      <c r="F6562" s="113" t="s">
        <v>18829</v>
      </c>
      <c r="G6562" s="114"/>
      <c r="H6562" s="115"/>
      <c r="I6562" s="24"/>
      <c r="J6562" s="116">
        <v>4.5</v>
      </c>
      <c r="K6562" s="118">
        <v>3590000</v>
      </c>
      <c r="L6562" s="119"/>
      <c r="M6562" s="118">
        <f t="shared" ref="M6562" si="9051">K6562*0.1</f>
        <v>359000</v>
      </c>
      <c r="N6562" s="119"/>
      <c r="O6562" s="118">
        <v>0</v>
      </c>
      <c r="P6562" s="119"/>
      <c r="Q6562" s="118">
        <v>17580</v>
      </c>
      <c r="R6562" s="119"/>
      <c r="S6562" s="118">
        <v>24200</v>
      </c>
      <c r="T6562" s="119"/>
      <c r="U6562" s="118">
        <f t="shared" ref="U6562" si="9052">SUM(K6562:T6563)</f>
        <v>3990780</v>
      </c>
      <c r="V6562" s="122"/>
      <c r="W6562" s="124"/>
      <c r="X6562" s="126" t="s">
        <v>19192</v>
      </c>
      <c r="Y6562" s="127"/>
      <c r="Z6562" s="127"/>
      <c r="AA6562" s="127"/>
      <c r="AB6562" s="128"/>
      <c r="AC6562" s="15" t="s">
        <v>20</v>
      </c>
      <c r="AD6562" s="129" t="s">
        <v>1633</v>
      </c>
      <c r="AE6562" s="130"/>
      <c r="AF6562" s="130"/>
      <c r="AG6562" s="130"/>
      <c r="AH6562" s="130"/>
      <c r="AI6562" s="131"/>
      <c r="AJ6562" s="132"/>
      <c r="AK6562" s="127"/>
      <c r="AL6562" s="128"/>
      <c r="AM6562" s="21"/>
      <c r="AN6562" s="133">
        <v>46088</v>
      </c>
      <c r="AO6562" s="134"/>
      <c r="AP6562" s="135">
        <v>1291</v>
      </c>
      <c r="AQ6562" s="136"/>
      <c r="AR6562" s="118">
        <v>3760000</v>
      </c>
      <c r="AS6562" s="119"/>
      <c r="AT6562" s="118">
        <f t="shared" ref="AT6562" si="9053">AR6562*0.1</f>
        <v>376000</v>
      </c>
      <c r="AU6562" s="119"/>
      <c r="AV6562" s="118">
        <v>17580</v>
      </c>
      <c r="AW6562" s="119"/>
      <c r="AX6562" s="118">
        <f t="shared" ref="AX6562" si="9054">SUM(AR6562:AW6562)</f>
        <v>4153580</v>
      </c>
      <c r="AY6562" s="119"/>
      <c r="AZ6562" s="137">
        <v>46091</v>
      </c>
    </row>
    <row r="6563" spans="1:52" ht="17.100000000000001" customHeight="1" thickBot="1">
      <c r="A6563" s="110"/>
      <c r="B6563" s="27" t="s">
        <v>13663</v>
      </c>
      <c r="C6563" s="27">
        <v>40</v>
      </c>
      <c r="D6563" s="14" t="s">
        <v>1720</v>
      </c>
      <c r="E6563" s="112"/>
      <c r="F6563" s="139" t="s">
        <v>18830</v>
      </c>
      <c r="G6563" s="140"/>
      <c r="H6563" s="141"/>
      <c r="I6563" s="26">
        <v>48352</v>
      </c>
      <c r="J6563" s="117"/>
      <c r="K6563" s="120"/>
      <c r="L6563" s="121"/>
      <c r="M6563" s="120"/>
      <c r="N6563" s="121"/>
      <c r="O6563" s="120"/>
      <c r="P6563" s="121"/>
      <c r="Q6563" s="120"/>
      <c r="R6563" s="121"/>
      <c r="S6563" s="120"/>
      <c r="T6563" s="121"/>
      <c r="U6563" s="120"/>
      <c r="V6563" s="123"/>
      <c r="W6563" s="125"/>
      <c r="X6563" s="142" t="s">
        <v>1861</v>
      </c>
      <c r="Y6563" s="143"/>
      <c r="Z6563" s="143"/>
      <c r="AA6563" s="143"/>
      <c r="AB6563" s="144"/>
      <c r="AC6563" s="16" t="s">
        <v>21</v>
      </c>
      <c r="AD6563" s="17" t="s">
        <v>1714</v>
      </c>
      <c r="AE6563" s="145" t="s">
        <v>1742</v>
      </c>
      <c r="AF6563" s="146"/>
      <c r="AG6563" s="146"/>
      <c r="AH6563" s="146"/>
      <c r="AI6563" s="147"/>
      <c r="AJ6563" s="148"/>
      <c r="AK6563" s="143"/>
      <c r="AL6563" s="144"/>
      <c r="AM6563" s="22"/>
      <c r="AN6563" s="149" t="s">
        <v>2511</v>
      </c>
      <c r="AO6563" s="144"/>
      <c r="AP6563" s="148">
        <v>80007</v>
      </c>
      <c r="AQ6563" s="144"/>
      <c r="AR6563" s="120"/>
      <c r="AS6563" s="121"/>
      <c r="AT6563" s="120"/>
      <c r="AU6563" s="121"/>
      <c r="AV6563" s="120"/>
      <c r="AW6563" s="121"/>
      <c r="AX6563" s="120"/>
      <c r="AY6563" s="121"/>
      <c r="AZ6563" s="138"/>
    </row>
    <row r="6564" spans="1:52" ht="17.100000000000001" customHeight="1" thickTop="1">
      <c r="A6564" s="109" t="s">
        <v>18844</v>
      </c>
      <c r="B6564" s="28">
        <v>46079</v>
      </c>
      <c r="C6564" s="25">
        <v>1320</v>
      </c>
      <c r="D6564" s="13" t="s">
        <v>3478</v>
      </c>
      <c r="E6564" s="111"/>
      <c r="F6564" s="113" t="s">
        <v>12448</v>
      </c>
      <c r="G6564" s="114"/>
      <c r="H6564" s="115"/>
      <c r="I6564" s="24"/>
      <c r="J6564" s="116">
        <v>4.5</v>
      </c>
      <c r="K6564" s="118">
        <v>1965000</v>
      </c>
      <c r="L6564" s="119"/>
      <c r="M6564" s="118">
        <f t="shared" ref="M6564" si="9055">K6564*0.1</f>
        <v>196500</v>
      </c>
      <c r="N6564" s="119"/>
      <c r="O6564" s="118">
        <v>0</v>
      </c>
      <c r="P6564" s="119"/>
      <c r="Q6564" s="118">
        <v>22050</v>
      </c>
      <c r="R6564" s="119"/>
      <c r="S6564" s="118">
        <v>16500</v>
      </c>
      <c r="T6564" s="119"/>
      <c r="U6564" s="118">
        <f t="shared" ref="U6564" si="9056">SUM(K6564:T6565)</f>
        <v>2200050</v>
      </c>
      <c r="V6564" s="122"/>
      <c r="W6564" s="124"/>
      <c r="X6564" s="126" t="s">
        <v>19195</v>
      </c>
      <c r="Y6564" s="127"/>
      <c r="Z6564" s="127"/>
      <c r="AA6564" s="127"/>
      <c r="AB6564" s="128"/>
      <c r="AC6564" s="15" t="s">
        <v>20</v>
      </c>
      <c r="AD6564" s="129" t="s">
        <v>1633</v>
      </c>
      <c r="AE6564" s="130"/>
      <c r="AF6564" s="130"/>
      <c r="AG6564" s="130"/>
      <c r="AH6564" s="130"/>
      <c r="AI6564" s="131"/>
      <c r="AJ6564" s="132"/>
      <c r="AK6564" s="127"/>
      <c r="AL6564" s="128"/>
      <c r="AM6564" s="21"/>
      <c r="AN6564" s="133">
        <v>46088</v>
      </c>
      <c r="AO6564" s="134"/>
      <c r="AP6564" s="135">
        <v>1291</v>
      </c>
      <c r="AQ6564" s="136"/>
      <c r="AR6564" s="118">
        <v>2200000</v>
      </c>
      <c r="AS6564" s="119"/>
      <c r="AT6564" s="118">
        <f t="shared" ref="AT6564" si="9057">AR6564*0.1</f>
        <v>220000</v>
      </c>
      <c r="AU6564" s="119"/>
      <c r="AV6564" s="118">
        <v>22050</v>
      </c>
      <c r="AW6564" s="119"/>
      <c r="AX6564" s="118">
        <f t="shared" ref="AX6564" si="9058">SUM(AR6564:AW6564)</f>
        <v>2442050</v>
      </c>
      <c r="AY6564" s="119"/>
      <c r="AZ6564" s="137">
        <v>46091</v>
      </c>
    </row>
    <row r="6565" spans="1:52" ht="17.100000000000001" customHeight="1" thickBot="1">
      <c r="A6565" s="110"/>
      <c r="B6565" s="27" t="s">
        <v>13663</v>
      </c>
      <c r="C6565" s="27">
        <v>44</v>
      </c>
      <c r="D6565" s="14" t="s">
        <v>1576</v>
      </c>
      <c r="E6565" s="112"/>
      <c r="F6565" s="139" t="s">
        <v>18831</v>
      </c>
      <c r="G6565" s="140"/>
      <c r="H6565" s="141"/>
      <c r="I6565" s="26">
        <v>35580</v>
      </c>
      <c r="J6565" s="117"/>
      <c r="K6565" s="120"/>
      <c r="L6565" s="121"/>
      <c r="M6565" s="120"/>
      <c r="N6565" s="121"/>
      <c r="O6565" s="120"/>
      <c r="P6565" s="121"/>
      <c r="Q6565" s="120"/>
      <c r="R6565" s="121"/>
      <c r="S6565" s="120"/>
      <c r="T6565" s="121"/>
      <c r="U6565" s="120"/>
      <c r="V6565" s="123"/>
      <c r="W6565" s="125"/>
      <c r="X6565" s="142" t="s">
        <v>1861</v>
      </c>
      <c r="Y6565" s="143"/>
      <c r="Z6565" s="143"/>
      <c r="AA6565" s="143"/>
      <c r="AB6565" s="144"/>
      <c r="AC6565" s="16" t="s">
        <v>21</v>
      </c>
      <c r="AD6565" s="17" t="s">
        <v>1714</v>
      </c>
      <c r="AE6565" s="145" t="s">
        <v>1614</v>
      </c>
      <c r="AF6565" s="146"/>
      <c r="AG6565" s="146"/>
      <c r="AH6565" s="146"/>
      <c r="AI6565" s="147"/>
      <c r="AJ6565" s="148"/>
      <c r="AK6565" s="143"/>
      <c r="AL6565" s="144"/>
      <c r="AM6565" s="22"/>
      <c r="AN6565" s="149" t="s">
        <v>2511</v>
      </c>
      <c r="AO6565" s="144"/>
      <c r="AP6565" s="148">
        <v>80020</v>
      </c>
      <c r="AQ6565" s="144"/>
      <c r="AR6565" s="120"/>
      <c r="AS6565" s="121"/>
      <c r="AT6565" s="120"/>
      <c r="AU6565" s="121"/>
      <c r="AV6565" s="120"/>
      <c r="AW6565" s="121"/>
      <c r="AX6565" s="120"/>
      <c r="AY6565" s="121"/>
      <c r="AZ6565" s="138"/>
    </row>
    <row r="6566" spans="1:52" ht="17.100000000000001" customHeight="1" thickTop="1">
      <c r="A6566" s="109" t="s">
        <v>18845</v>
      </c>
      <c r="B6566" s="28">
        <v>46079</v>
      </c>
      <c r="C6566" s="25">
        <v>1320</v>
      </c>
      <c r="D6566" s="13" t="s">
        <v>1853</v>
      </c>
      <c r="E6566" s="111"/>
      <c r="F6566" s="113" t="s">
        <v>16415</v>
      </c>
      <c r="G6566" s="114"/>
      <c r="H6566" s="115"/>
      <c r="I6566" s="24"/>
      <c r="J6566" s="116">
        <v>4.5</v>
      </c>
      <c r="K6566" s="118">
        <v>2910000</v>
      </c>
      <c r="L6566" s="119"/>
      <c r="M6566" s="118">
        <f t="shared" ref="M6566" si="9059">K6566*0.1</f>
        <v>291000</v>
      </c>
      <c r="N6566" s="119"/>
      <c r="O6566" s="118">
        <v>0</v>
      </c>
      <c r="P6566" s="119"/>
      <c r="Q6566" s="118">
        <v>21570</v>
      </c>
      <c r="R6566" s="119"/>
      <c r="S6566" s="118">
        <v>16500</v>
      </c>
      <c r="T6566" s="119"/>
      <c r="U6566" s="118">
        <f t="shared" ref="U6566" si="9060">SUM(K6566:T6567)</f>
        <v>3239070</v>
      </c>
      <c r="V6566" s="122"/>
      <c r="W6566" s="124"/>
      <c r="X6566" s="126" t="s">
        <v>19190</v>
      </c>
      <c r="Y6566" s="127"/>
      <c r="Z6566" s="127"/>
      <c r="AA6566" s="127"/>
      <c r="AB6566" s="128"/>
      <c r="AC6566" s="15" t="s">
        <v>20</v>
      </c>
      <c r="AD6566" s="129" t="s">
        <v>1633</v>
      </c>
      <c r="AE6566" s="130"/>
      <c r="AF6566" s="130"/>
      <c r="AG6566" s="130"/>
      <c r="AH6566" s="130"/>
      <c r="AI6566" s="131"/>
      <c r="AJ6566" s="132"/>
      <c r="AK6566" s="127"/>
      <c r="AL6566" s="128"/>
      <c r="AM6566" s="21"/>
      <c r="AN6566" s="133">
        <v>46088</v>
      </c>
      <c r="AO6566" s="134"/>
      <c r="AP6566" s="135">
        <v>1291</v>
      </c>
      <c r="AQ6566" s="136"/>
      <c r="AR6566" s="118">
        <v>3105000</v>
      </c>
      <c r="AS6566" s="119"/>
      <c r="AT6566" s="118">
        <f t="shared" ref="AT6566" si="9061">AR6566*0.1</f>
        <v>310500</v>
      </c>
      <c r="AU6566" s="119"/>
      <c r="AV6566" s="118">
        <v>21570</v>
      </c>
      <c r="AW6566" s="119"/>
      <c r="AX6566" s="118">
        <f t="shared" ref="AX6566" si="9062">SUM(AR6566:AW6566)</f>
        <v>3437070</v>
      </c>
      <c r="AY6566" s="119"/>
      <c r="AZ6566" s="137">
        <v>46091</v>
      </c>
    </row>
    <row r="6567" spans="1:52" ht="17.100000000000001" customHeight="1" thickBot="1">
      <c r="A6567" s="110"/>
      <c r="B6567" s="27" t="s">
        <v>13663</v>
      </c>
      <c r="C6567" s="27">
        <v>95</v>
      </c>
      <c r="D6567" s="14" t="s">
        <v>2601</v>
      </c>
      <c r="E6567" s="112"/>
      <c r="F6567" s="139" t="s">
        <v>18832</v>
      </c>
      <c r="G6567" s="140"/>
      <c r="H6567" s="141"/>
      <c r="I6567" s="26">
        <v>49155</v>
      </c>
      <c r="J6567" s="117"/>
      <c r="K6567" s="120"/>
      <c r="L6567" s="121"/>
      <c r="M6567" s="120"/>
      <c r="N6567" s="121"/>
      <c r="O6567" s="120"/>
      <c r="P6567" s="121"/>
      <c r="Q6567" s="120"/>
      <c r="R6567" s="121"/>
      <c r="S6567" s="120"/>
      <c r="T6567" s="121"/>
      <c r="U6567" s="120"/>
      <c r="V6567" s="123"/>
      <c r="W6567" s="125"/>
      <c r="X6567" s="142" t="s">
        <v>1861</v>
      </c>
      <c r="Y6567" s="143"/>
      <c r="Z6567" s="143"/>
      <c r="AA6567" s="143"/>
      <c r="AB6567" s="144"/>
      <c r="AC6567" s="16" t="s">
        <v>21</v>
      </c>
      <c r="AD6567" s="17" t="s">
        <v>1714</v>
      </c>
      <c r="AE6567" s="145" t="s">
        <v>1742</v>
      </c>
      <c r="AF6567" s="146"/>
      <c r="AG6567" s="146"/>
      <c r="AH6567" s="146"/>
      <c r="AI6567" s="147"/>
      <c r="AJ6567" s="148"/>
      <c r="AK6567" s="143"/>
      <c r="AL6567" s="144"/>
      <c r="AM6567" s="22"/>
      <c r="AN6567" s="149" t="s">
        <v>2511</v>
      </c>
      <c r="AO6567" s="144"/>
      <c r="AP6567" s="148">
        <v>80006</v>
      </c>
      <c r="AQ6567" s="144"/>
      <c r="AR6567" s="120"/>
      <c r="AS6567" s="121"/>
      <c r="AT6567" s="120"/>
      <c r="AU6567" s="121"/>
      <c r="AV6567" s="120"/>
      <c r="AW6567" s="121"/>
      <c r="AX6567" s="120"/>
      <c r="AY6567" s="121"/>
      <c r="AZ6567" s="138"/>
    </row>
    <row r="6568" spans="1:52" ht="17.100000000000001" customHeight="1" thickTop="1">
      <c r="A6568" s="109" t="s">
        <v>18849</v>
      </c>
      <c r="B6568" s="28">
        <v>46079</v>
      </c>
      <c r="C6568" s="25">
        <v>1320</v>
      </c>
      <c r="D6568" s="13" t="s">
        <v>1586</v>
      </c>
      <c r="E6568" s="111"/>
      <c r="F6568" s="113" t="s">
        <v>18833</v>
      </c>
      <c r="G6568" s="114"/>
      <c r="H6568" s="115"/>
      <c r="I6568" s="24"/>
      <c r="J6568" s="116">
        <v>4</v>
      </c>
      <c r="K6568" s="118">
        <v>890000</v>
      </c>
      <c r="L6568" s="119"/>
      <c r="M6568" s="118">
        <f t="shared" ref="M6568" si="9063">K6568*0.1</f>
        <v>89000</v>
      </c>
      <c r="N6568" s="119"/>
      <c r="O6568" s="118">
        <v>0</v>
      </c>
      <c r="P6568" s="119"/>
      <c r="Q6568" s="118">
        <v>18780</v>
      </c>
      <c r="R6568" s="119"/>
      <c r="S6568" s="118">
        <v>16500</v>
      </c>
      <c r="T6568" s="119"/>
      <c r="U6568" s="118">
        <f t="shared" ref="U6568" si="9064">SUM(K6568:T6569)</f>
        <v>1014280</v>
      </c>
      <c r="V6568" s="122"/>
      <c r="W6568" s="124"/>
      <c r="X6568" s="126" t="s">
        <v>19191</v>
      </c>
      <c r="Y6568" s="127"/>
      <c r="Z6568" s="127"/>
      <c r="AA6568" s="127"/>
      <c r="AB6568" s="128"/>
      <c r="AC6568" s="15" t="s">
        <v>20</v>
      </c>
      <c r="AD6568" s="129"/>
      <c r="AE6568" s="130"/>
      <c r="AF6568" s="130"/>
      <c r="AG6568" s="130"/>
      <c r="AH6568" s="130"/>
      <c r="AI6568" s="131"/>
      <c r="AJ6568" s="132"/>
      <c r="AK6568" s="127"/>
      <c r="AL6568" s="128"/>
      <c r="AM6568" s="21"/>
      <c r="AN6568" s="133">
        <v>46084</v>
      </c>
      <c r="AO6568" s="134"/>
      <c r="AP6568" s="135">
        <v>1007</v>
      </c>
      <c r="AQ6568" s="136"/>
      <c r="AR6568" s="118">
        <v>990000</v>
      </c>
      <c r="AS6568" s="119"/>
      <c r="AT6568" s="118">
        <f t="shared" ref="AT6568" si="9065">AR6568*0.1</f>
        <v>99000</v>
      </c>
      <c r="AU6568" s="119"/>
      <c r="AV6568" s="118">
        <v>18780</v>
      </c>
      <c r="AW6568" s="119"/>
      <c r="AX6568" s="118">
        <f t="shared" ref="AX6568" si="9066">SUM(AR6568:AW6568)</f>
        <v>1107780</v>
      </c>
      <c r="AY6568" s="119"/>
      <c r="AZ6568" s="137">
        <v>46090</v>
      </c>
    </row>
    <row r="6569" spans="1:52" ht="17.100000000000001" customHeight="1" thickBot="1">
      <c r="A6569" s="110"/>
      <c r="B6569" s="27" t="s">
        <v>13663</v>
      </c>
      <c r="C6569" s="27">
        <v>805</v>
      </c>
      <c r="D6569" s="14" t="s">
        <v>1592</v>
      </c>
      <c r="E6569" s="112"/>
      <c r="F6569" s="139" t="s">
        <v>18834</v>
      </c>
      <c r="G6569" s="140"/>
      <c r="H6569" s="141"/>
      <c r="I6569" s="26">
        <v>50692</v>
      </c>
      <c r="J6569" s="117"/>
      <c r="K6569" s="120"/>
      <c r="L6569" s="121"/>
      <c r="M6569" s="120"/>
      <c r="N6569" s="121"/>
      <c r="O6569" s="120"/>
      <c r="P6569" s="121"/>
      <c r="Q6569" s="120"/>
      <c r="R6569" s="121"/>
      <c r="S6569" s="120"/>
      <c r="T6569" s="121"/>
      <c r="U6569" s="120"/>
      <c r="V6569" s="123"/>
      <c r="W6569" s="125"/>
      <c r="X6569" s="142" t="s">
        <v>1861</v>
      </c>
      <c r="Y6569" s="143"/>
      <c r="Z6569" s="143"/>
      <c r="AA6569" s="143"/>
      <c r="AB6569" s="144"/>
      <c r="AC6569" s="16" t="s">
        <v>21</v>
      </c>
      <c r="AD6569" s="17" t="s">
        <v>1714</v>
      </c>
      <c r="AE6569" s="145" t="s">
        <v>2441</v>
      </c>
      <c r="AF6569" s="146"/>
      <c r="AG6569" s="146"/>
      <c r="AH6569" s="146"/>
      <c r="AI6569" s="147"/>
      <c r="AJ6569" s="148"/>
      <c r="AK6569" s="143"/>
      <c r="AL6569" s="144"/>
      <c r="AM6569" s="22"/>
      <c r="AN6569" s="149" t="s">
        <v>2794</v>
      </c>
      <c r="AO6569" s="144"/>
      <c r="AP6569" s="148">
        <v>5033</v>
      </c>
      <c r="AQ6569" s="144"/>
      <c r="AR6569" s="120"/>
      <c r="AS6569" s="121"/>
      <c r="AT6569" s="120"/>
      <c r="AU6569" s="121"/>
      <c r="AV6569" s="120"/>
      <c r="AW6569" s="121"/>
      <c r="AX6569" s="120"/>
      <c r="AY6569" s="121"/>
      <c r="AZ6569" s="138"/>
    </row>
    <row r="6570" spans="1:52" ht="17.100000000000001" customHeight="1" thickTop="1">
      <c r="A6570" s="109" t="s">
        <v>18871</v>
      </c>
      <c r="B6570" s="28">
        <v>46079</v>
      </c>
      <c r="C6570" s="25">
        <v>2147</v>
      </c>
      <c r="D6570" s="13" t="s">
        <v>1902</v>
      </c>
      <c r="E6570" s="111"/>
      <c r="F6570" s="113" t="s">
        <v>8009</v>
      </c>
      <c r="G6570" s="114"/>
      <c r="H6570" s="115"/>
      <c r="I6570" s="24" t="s">
        <v>11583</v>
      </c>
      <c r="J6570" s="116">
        <v>4.5</v>
      </c>
      <c r="K6570" s="118">
        <v>1203000</v>
      </c>
      <c r="L6570" s="119"/>
      <c r="M6570" s="118">
        <f t="shared" ref="M6570" si="9067">K6570*0.1</f>
        <v>120300</v>
      </c>
      <c r="N6570" s="119"/>
      <c r="O6570" s="118">
        <v>0</v>
      </c>
      <c r="P6570" s="119"/>
      <c r="Q6570" s="118">
        <v>8740</v>
      </c>
      <c r="R6570" s="119"/>
      <c r="S6570" s="118">
        <v>14300</v>
      </c>
      <c r="T6570" s="119"/>
      <c r="U6570" s="118">
        <f t="shared" ref="U6570" si="9068">SUM(K6570:T6571)</f>
        <v>1346340</v>
      </c>
      <c r="V6570" s="122"/>
      <c r="W6570" s="124"/>
      <c r="X6570" s="126" t="s">
        <v>18893</v>
      </c>
      <c r="Y6570" s="127"/>
      <c r="Z6570" s="127"/>
      <c r="AA6570" s="127"/>
      <c r="AB6570" s="128"/>
      <c r="AC6570" s="15" t="s">
        <v>20</v>
      </c>
      <c r="AD6570" s="129"/>
      <c r="AE6570" s="130"/>
      <c r="AF6570" s="130"/>
      <c r="AG6570" s="130"/>
      <c r="AH6570" s="130"/>
      <c r="AI6570" s="131"/>
      <c r="AJ6570" s="132"/>
      <c r="AK6570" s="127"/>
      <c r="AL6570" s="128"/>
      <c r="AM6570" s="21" t="s">
        <v>20977</v>
      </c>
      <c r="AN6570" s="133"/>
      <c r="AO6570" s="134"/>
      <c r="AP6570" s="135"/>
      <c r="AQ6570" s="136"/>
      <c r="AR6570" s="118"/>
      <c r="AS6570" s="119"/>
      <c r="AT6570" s="118">
        <f t="shared" ref="AT6570" si="9069">AR6570*0.1</f>
        <v>0</v>
      </c>
      <c r="AU6570" s="119"/>
      <c r="AV6570" s="118"/>
      <c r="AW6570" s="119"/>
      <c r="AX6570" s="118">
        <f t="shared" ref="AX6570" si="9070">SUM(AR6570:AW6570)</f>
        <v>0</v>
      </c>
      <c r="AY6570" s="119"/>
      <c r="AZ6570" s="137"/>
    </row>
    <row r="6571" spans="1:52" ht="17.100000000000001" customHeight="1" thickBot="1">
      <c r="A6571" s="110"/>
      <c r="B6571" s="27" t="s">
        <v>3281</v>
      </c>
      <c r="C6571" s="27">
        <v>2017</v>
      </c>
      <c r="D6571" s="14" t="s">
        <v>2601</v>
      </c>
      <c r="E6571" s="112"/>
      <c r="F6571" s="139" t="s">
        <v>18857</v>
      </c>
      <c r="G6571" s="140"/>
      <c r="H6571" s="141"/>
      <c r="I6571" s="26">
        <v>29341</v>
      </c>
      <c r="J6571" s="117"/>
      <c r="K6571" s="120"/>
      <c r="L6571" s="121"/>
      <c r="M6571" s="120"/>
      <c r="N6571" s="121"/>
      <c r="O6571" s="120"/>
      <c r="P6571" s="121"/>
      <c r="Q6571" s="120"/>
      <c r="R6571" s="121"/>
      <c r="S6571" s="120"/>
      <c r="T6571" s="121"/>
      <c r="U6571" s="120"/>
      <c r="V6571" s="123"/>
      <c r="W6571" s="125"/>
      <c r="X6571" s="142" t="s">
        <v>19345</v>
      </c>
      <c r="Y6571" s="143"/>
      <c r="Z6571" s="143"/>
      <c r="AA6571" s="143"/>
      <c r="AB6571" s="144"/>
      <c r="AC6571" s="16" t="s">
        <v>21</v>
      </c>
      <c r="AD6571" s="17" t="s">
        <v>859</v>
      </c>
      <c r="AE6571" s="145" t="s">
        <v>171</v>
      </c>
      <c r="AF6571" s="146"/>
      <c r="AG6571" s="146"/>
      <c r="AH6571" s="146"/>
      <c r="AI6571" s="147"/>
      <c r="AJ6571" s="148"/>
      <c r="AK6571" s="143"/>
      <c r="AL6571" s="144"/>
      <c r="AM6571" s="22"/>
      <c r="AN6571" s="149"/>
      <c r="AO6571" s="144"/>
      <c r="AP6571" s="148"/>
      <c r="AQ6571" s="144"/>
      <c r="AR6571" s="120"/>
      <c r="AS6571" s="121"/>
      <c r="AT6571" s="120"/>
      <c r="AU6571" s="121"/>
      <c r="AV6571" s="120"/>
      <c r="AW6571" s="121"/>
      <c r="AX6571" s="120"/>
      <c r="AY6571" s="121"/>
      <c r="AZ6571" s="138"/>
    </row>
    <row r="6572" spans="1:52" ht="17.100000000000001" customHeight="1" thickTop="1">
      <c r="A6572" s="109" t="s">
        <v>18872</v>
      </c>
      <c r="B6572" s="28">
        <v>46079</v>
      </c>
      <c r="C6572" s="25">
        <v>2147</v>
      </c>
      <c r="D6572" s="13" t="s">
        <v>1714</v>
      </c>
      <c r="E6572" s="111"/>
      <c r="F6572" s="113" t="s">
        <v>18894</v>
      </c>
      <c r="G6572" s="114"/>
      <c r="H6572" s="115"/>
      <c r="I6572" s="24"/>
      <c r="J6572" s="116">
        <v>4</v>
      </c>
      <c r="K6572" s="118">
        <v>886000</v>
      </c>
      <c r="L6572" s="119"/>
      <c r="M6572" s="118">
        <f t="shared" ref="M6572" si="9071">K6572*0.1</f>
        <v>88600</v>
      </c>
      <c r="N6572" s="119"/>
      <c r="O6572" s="118">
        <v>0</v>
      </c>
      <c r="P6572" s="119"/>
      <c r="Q6572" s="118">
        <v>8550</v>
      </c>
      <c r="R6572" s="119"/>
      <c r="S6572" s="118">
        <v>14300</v>
      </c>
      <c r="T6572" s="119"/>
      <c r="U6572" s="118">
        <f t="shared" ref="U6572" si="9072">SUM(K6572:T6573)</f>
        <v>997450</v>
      </c>
      <c r="V6572" s="122"/>
      <c r="W6572" s="124"/>
      <c r="X6572" s="126" t="s">
        <v>19200</v>
      </c>
      <c r="Y6572" s="127"/>
      <c r="Z6572" s="127"/>
      <c r="AA6572" s="127"/>
      <c r="AB6572" s="128"/>
      <c r="AC6572" s="15" t="s">
        <v>20</v>
      </c>
      <c r="AD6572" s="129" t="s">
        <v>1670</v>
      </c>
      <c r="AE6572" s="130"/>
      <c r="AF6572" s="130"/>
      <c r="AG6572" s="130"/>
      <c r="AH6572" s="130"/>
      <c r="AI6572" s="131"/>
      <c r="AJ6572" s="132"/>
      <c r="AK6572" s="127"/>
      <c r="AL6572" s="128"/>
      <c r="AM6572" s="21"/>
      <c r="AN6572" s="133">
        <v>46084</v>
      </c>
      <c r="AO6572" s="134"/>
      <c r="AP6572" s="135">
        <v>1931</v>
      </c>
      <c r="AQ6572" s="136"/>
      <c r="AR6572" s="118">
        <v>936000</v>
      </c>
      <c r="AS6572" s="119"/>
      <c r="AT6572" s="118">
        <v>93600</v>
      </c>
      <c r="AU6572" s="119"/>
      <c r="AV6572" s="118">
        <v>8550</v>
      </c>
      <c r="AW6572" s="119"/>
      <c r="AX6572" s="118">
        <f t="shared" ref="AX6572" si="9073">SUM(AR6572:AW6572)</f>
        <v>1038150</v>
      </c>
      <c r="AY6572" s="119"/>
      <c r="AZ6572" s="137">
        <v>46091</v>
      </c>
    </row>
    <row r="6573" spans="1:52" ht="17.100000000000001" customHeight="1" thickBot="1">
      <c r="A6573" s="110"/>
      <c r="B6573" s="27" t="s">
        <v>3281</v>
      </c>
      <c r="C6573" s="27">
        <v>2053</v>
      </c>
      <c r="D6573" s="14" t="s">
        <v>2601</v>
      </c>
      <c r="E6573" s="112"/>
      <c r="F6573" s="139" t="s">
        <v>18858</v>
      </c>
      <c r="G6573" s="140"/>
      <c r="H6573" s="141"/>
      <c r="I6573" s="26">
        <v>48647</v>
      </c>
      <c r="J6573" s="117"/>
      <c r="K6573" s="120"/>
      <c r="L6573" s="121"/>
      <c r="M6573" s="120"/>
      <c r="N6573" s="121"/>
      <c r="O6573" s="120"/>
      <c r="P6573" s="121"/>
      <c r="Q6573" s="120"/>
      <c r="R6573" s="121"/>
      <c r="S6573" s="120"/>
      <c r="T6573" s="121"/>
      <c r="U6573" s="120"/>
      <c r="V6573" s="123"/>
      <c r="W6573" s="125"/>
      <c r="X6573" s="142" t="s">
        <v>7934</v>
      </c>
      <c r="Y6573" s="143"/>
      <c r="Z6573" s="143"/>
      <c r="AA6573" s="143"/>
      <c r="AB6573" s="144"/>
      <c r="AC6573" s="16" t="s">
        <v>21</v>
      </c>
      <c r="AD6573" s="17" t="s">
        <v>1714</v>
      </c>
      <c r="AE6573" s="145" t="s">
        <v>1670</v>
      </c>
      <c r="AF6573" s="146"/>
      <c r="AG6573" s="146"/>
      <c r="AH6573" s="146"/>
      <c r="AI6573" s="147"/>
      <c r="AJ6573" s="148"/>
      <c r="AK6573" s="143"/>
      <c r="AL6573" s="144"/>
      <c r="AM6573" s="22"/>
      <c r="AN6573" s="149" t="s">
        <v>2131</v>
      </c>
      <c r="AO6573" s="144"/>
      <c r="AP6573" s="148">
        <v>3415</v>
      </c>
      <c r="AQ6573" s="144"/>
      <c r="AR6573" s="120"/>
      <c r="AS6573" s="121"/>
      <c r="AT6573" s="120"/>
      <c r="AU6573" s="121"/>
      <c r="AV6573" s="120"/>
      <c r="AW6573" s="121"/>
      <c r="AX6573" s="120"/>
      <c r="AY6573" s="121"/>
      <c r="AZ6573" s="138"/>
    </row>
    <row r="6574" spans="1:52" ht="17.100000000000001" customHeight="1" thickTop="1">
      <c r="A6574" s="109" t="s">
        <v>18873</v>
      </c>
      <c r="B6574" s="28">
        <v>46079</v>
      </c>
      <c r="C6574" s="25">
        <v>2147</v>
      </c>
      <c r="D6574" s="13" t="s">
        <v>3386</v>
      </c>
      <c r="E6574" s="111"/>
      <c r="F6574" s="113" t="s">
        <v>18895</v>
      </c>
      <c r="G6574" s="114"/>
      <c r="H6574" s="115"/>
      <c r="I6574" s="24"/>
      <c r="J6574" s="116">
        <v>4.5</v>
      </c>
      <c r="K6574" s="118">
        <v>910000</v>
      </c>
      <c r="L6574" s="119"/>
      <c r="M6574" s="118">
        <f t="shared" ref="M6574" si="9074">K6574*0.1</f>
        <v>91000</v>
      </c>
      <c r="N6574" s="119"/>
      <c r="O6574" s="118">
        <v>0</v>
      </c>
      <c r="P6574" s="119"/>
      <c r="Q6574" s="118">
        <v>8510</v>
      </c>
      <c r="R6574" s="119"/>
      <c r="S6574" s="118">
        <v>14300</v>
      </c>
      <c r="T6574" s="119"/>
      <c r="U6574" s="118">
        <f t="shared" ref="U6574" si="9075">SUM(K6574:T6575)</f>
        <v>1023810</v>
      </c>
      <c r="V6574" s="122"/>
      <c r="W6574" s="124"/>
      <c r="X6574" s="126" t="s">
        <v>19201</v>
      </c>
      <c r="Y6574" s="127"/>
      <c r="Z6574" s="127"/>
      <c r="AA6574" s="127"/>
      <c r="AB6574" s="128"/>
      <c r="AC6574" s="15" t="s">
        <v>20</v>
      </c>
      <c r="AD6574" s="129" t="s">
        <v>1633</v>
      </c>
      <c r="AE6574" s="130"/>
      <c r="AF6574" s="130"/>
      <c r="AG6574" s="130"/>
      <c r="AH6574" s="130"/>
      <c r="AI6574" s="131"/>
      <c r="AJ6574" s="132"/>
      <c r="AK6574" s="127"/>
      <c r="AL6574" s="128"/>
      <c r="AM6574" s="21"/>
      <c r="AN6574" s="133">
        <v>46141</v>
      </c>
      <c r="AO6574" s="134"/>
      <c r="AP6574" s="135">
        <v>1015</v>
      </c>
      <c r="AQ6574" s="136"/>
      <c r="AR6574" s="118">
        <v>875000</v>
      </c>
      <c r="AS6574" s="119"/>
      <c r="AT6574" s="118">
        <f t="shared" ref="AT6574" si="9076">AR6574*0.1</f>
        <v>87500</v>
      </c>
      <c r="AU6574" s="119"/>
      <c r="AV6574" s="118">
        <v>8510</v>
      </c>
      <c r="AW6574" s="119"/>
      <c r="AX6574" s="118">
        <f t="shared" ref="AX6574" si="9077">SUM(AR6574:AW6574)</f>
        <v>971010</v>
      </c>
      <c r="AY6574" s="119"/>
      <c r="AZ6574" s="137">
        <v>46153</v>
      </c>
    </row>
    <row r="6575" spans="1:52" ht="17.100000000000001" customHeight="1" thickBot="1">
      <c r="A6575" s="110"/>
      <c r="B6575" s="27" t="s">
        <v>3281</v>
      </c>
      <c r="C6575" s="27">
        <v>2153</v>
      </c>
      <c r="D6575" s="14" t="s">
        <v>2601</v>
      </c>
      <c r="E6575" s="112"/>
      <c r="F6575" s="139" t="s">
        <v>18859</v>
      </c>
      <c r="G6575" s="140"/>
      <c r="H6575" s="141"/>
      <c r="I6575" s="26">
        <v>53005</v>
      </c>
      <c r="J6575" s="117"/>
      <c r="K6575" s="120"/>
      <c r="L6575" s="121"/>
      <c r="M6575" s="120"/>
      <c r="N6575" s="121"/>
      <c r="O6575" s="120"/>
      <c r="P6575" s="121"/>
      <c r="Q6575" s="120"/>
      <c r="R6575" s="121"/>
      <c r="S6575" s="120"/>
      <c r="T6575" s="121"/>
      <c r="U6575" s="120"/>
      <c r="V6575" s="123"/>
      <c r="W6575" s="125"/>
      <c r="X6575" s="142" t="s">
        <v>19202</v>
      </c>
      <c r="Y6575" s="143"/>
      <c r="Z6575" s="143"/>
      <c r="AA6575" s="143"/>
      <c r="AB6575" s="144"/>
      <c r="AC6575" s="16" t="s">
        <v>21</v>
      </c>
      <c r="AD6575" s="17" t="s">
        <v>1714</v>
      </c>
      <c r="AE6575" s="145" t="s">
        <v>1742</v>
      </c>
      <c r="AF6575" s="146"/>
      <c r="AG6575" s="146"/>
      <c r="AH6575" s="146"/>
      <c r="AI6575" s="147"/>
      <c r="AJ6575" s="148"/>
      <c r="AK6575" s="143"/>
      <c r="AL6575" s="144"/>
      <c r="AM6575" s="22"/>
      <c r="AN6575" s="149" t="s">
        <v>2794</v>
      </c>
      <c r="AO6575" s="144"/>
      <c r="AP6575" s="148">
        <v>2075</v>
      </c>
      <c r="AQ6575" s="144"/>
      <c r="AR6575" s="120"/>
      <c r="AS6575" s="121"/>
      <c r="AT6575" s="120"/>
      <c r="AU6575" s="121"/>
      <c r="AV6575" s="120"/>
      <c r="AW6575" s="121"/>
      <c r="AX6575" s="120"/>
      <c r="AY6575" s="121"/>
      <c r="AZ6575" s="138"/>
    </row>
    <row r="6576" spans="1:52" ht="17.100000000000001" customHeight="1" thickTop="1">
      <c r="A6576" s="109" t="s">
        <v>18874</v>
      </c>
      <c r="B6576" s="28">
        <v>46079</v>
      </c>
      <c r="C6576" s="25">
        <v>2147</v>
      </c>
      <c r="D6576" s="13" t="s">
        <v>4860</v>
      </c>
      <c r="E6576" s="111"/>
      <c r="F6576" s="113" t="s">
        <v>8912</v>
      </c>
      <c r="G6576" s="114"/>
      <c r="H6576" s="115"/>
      <c r="I6576" s="24" t="s">
        <v>2919</v>
      </c>
      <c r="J6576" s="116">
        <v>4</v>
      </c>
      <c r="K6576" s="118">
        <v>590000</v>
      </c>
      <c r="L6576" s="119"/>
      <c r="M6576" s="118">
        <f t="shared" ref="M6576" si="9078">K6576*0.1</f>
        <v>59000</v>
      </c>
      <c r="N6576" s="119"/>
      <c r="O6576" s="118">
        <v>0</v>
      </c>
      <c r="P6576" s="119"/>
      <c r="Q6576" s="118">
        <v>7950</v>
      </c>
      <c r="R6576" s="119"/>
      <c r="S6576" s="118">
        <v>14300</v>
      </c>
      <c r="T6576" s="119"/>
      <c r="U6576" s="118">
        <f t="shared" ref="U6576" si="9079">SUM(K6576:T6577)</f>
        <v>671250</v>
      </c>
      <c r="V6576" s="122"/>
      <c r="W6576" s="124"/>
      <c r="X6576" s="126" t="s">
        <v>18896</v>
      </c>
      <c r="Y6576" s="127"/>
      <c r="Z6576" s="127"/>
      <c r="AA6576" s="127"/>
      <c r="AB6576" s="128"/>
      <c r="AC6576" s="15" t="s">
        <v>20</v>
      </c>
      <c r="AD6576" s="129" t="s">
        <v>1670</v>
      </c>
      <c r="AE6576" s="130"/>
      <c r="AF6576" s="130"/>
      <c r="AG6576" s="130"/>
      <c r="AH6576" s="130"/>
      <c r="AI6576" s="131"/>
      <c r="AJ6576" s="132"/>
      <c r="AK6576" s="127"/>
      <c r="AL6576" s="128"/>
      <c r="AM6576" s="21" t="s">
        <v>19433</v>
      </c>
      <c r="AN6576" s="133">
        <v>46085</v>
      </c>
      <c r="AO6576" s="134"/>
      <c r="AP6576" s="135">
        <v>1007</v>
      </c>
      <c r="AQ6576" s="136"/>
      <c r="AR6576" s="118">
        <v>650000</v>
      </c>
      <c r="AS6576" s="119"/>
      <c r="AT6576" s="118">
        <f t="shared" ref="AT6576" si="9080">AR6576*0.1</f>
        <v>65000</v>
      </c>
      <c r="AU6576" s="119"/>
      <c r="AV6576" s="118">
        <v>7950</v>
      </c>
      <c r="AW6576" s="119"/>
      <c r="AX6576" s="118">
        <f t="shared" ref="AX6576" si="9081">SUM(AR6576:AW6576)</f>
        <v>722950</v>
      </c>
      <c r="AY6576" s="119"/>
      <c r="AZ6576" s="137">
        <v>46090</v>
      </c>
    </row>
    <row r="6577" spans="1:52" ht="17.100000000000001" customHeight="1" thickBot="1">
      <c r="A6577" s="110"/>
      <c r="B6577" s="27" t="s">
        <v>3281</v>
      </c>
      <c r="C6577" s="27">
        <v>2511</v>
      </c>
      <c r="D6577" s="14" t="s">
        <v>3855</v>
      </c>
      <c r="E6577" s="112"/>
      <c r="F6577" s="139" t="s">
        <v>18860</v>
      </c>
      <c r="G6577" s="140"/>
      <c r="H6577" s="141"/>
      <c r="I6577" s="26">
        <v>51361</v>
      </c>
      <c r="J6577" s="117"/>
      <c r="K6577" s="120"/>
      <c r="L6577" s="121"/>
      <c r="M6577" s="120"/>
      <c r="N6577" s="121"/>
      <c r="O6577" s="120"/>
      <c r="P6577" s="121"/>
      <c r="Q6577" s="120"/>
      <c r="R6577" s="121"/>
      <c r="S6577" s="120"/>
      <c r="T6577" s="121"/>
      <c r="U6577" s="120"/>
      <c r="V6577" s="123"/>
      <c r="W6577" s="125"/>
      <c r="X6577" s="142" t="s">
        <v>19203</v>
      </c>
      <c r="Y6577" s="143"/>
      <c r="Z6577" s="143"/>
      <c r="AA6577" s="143"/>
      <c r="AB6577" s="144"/>
      <c r="AC6577" s="16" t="s">
        <v>21</v>
      </c>
      <c r="AD6577" s="17" t="s">
        <v>1714</v>
      </c>
      <c r="AE6577" s="145" t="s">
        <v>4134</v>
      </c>
      <c r="AF6577" s="146"/>
      <c r="AG6577" s="146"/>
      <c r="AH6577" s="146"/>
      <c r="AI6577" s="147"/>
      <c r="AJ6577" s="148"/>
      <c r="AK6577" s="143"/>
      <c r="AL6577" s="144"/>
      <c r="AM6577" s="22"/>
      <c r="AN6577" s="149" t="s">
        <v>2794</v>
      </c>
      <c r="AO6577" s="144"/>
      <c r="AP6577" s="148">
        <v>5027</v>
      </c>
      <c r="AQ6577" s="144"/>
      <c r="AR6577" s="120"/>
      <c r="AS6577" s="121"/>
      <c r="AT6577" s="120"/>
      <c r="AU6577" s="121"/>
      <c r="AV6577" s="120"/>
      <c r="AW6577" s="121"/>
      <c r="AX6577" s="120"/>
      <c r="AY6577" s="121"/>
      <c r="AZ6577" s="138"/>
    </row>
    <row r="6578" spans="1:52" ht="17.100000000000001" customHeight="1" thickTop="1">
      <c r="A6578" s="109" t="s">
        <v>18875</v>
      </c>
      <c r="B6578" s="28">
        <v>46079</v>
      </c>
      <c r="C6578" s="25">
        <v>2147</v>
      </c>
      <c r="D6578" s="13" t="s">
        <v>1937</v>
      </c>
      <c r="E6578" s="111"/>
      <c r="F6578" s="113" t="s">
        <v>10607</v>
      </c>
      <c r="G6578" s="114"/>
      <c r="H6578" s="115"/>
      <c r="I6578" s="24" t="s">
        <v>12567</v>
      </c>
      <c r="J6578" s="116">
        <v>4</v>
      </c>
      <c r="K6578" s="118">
        <v>725000</v>
      </c>
      <c r="L6578" s="119"/>
      <c r="M6578" s="118">
        <f t="shared" ref="M6578" si="9082">K6578*0.1</f>
        <v>72500</v>
      </c>
      <c r="N6578" s="119"/>
      <c r="O6578" s="118">
        <v>0</v>
      </c>
      <c r="P6578" s="119"/>
      <c r="Q6578" s="118">
        <v>9790</v>
      </c>
      <c r="R6578" s="119"/>
      <c r="S6578" s="118">
        <v>14300</v>
      </c>
      <c r="T6578" s="119"/>
      <c r="U6578" s="118">
        <f t="shared" ref="U6578" si="9083">SUM(K6578:T6579)</f>
        <v>821590</v>
      </c>
      <c r="V6578" s="122"/>
      <c r="W6578" s="124"/>
      <c r="X6578" s="126" t="s">
        <v>18897</v>
      </c>
      <c r="Y6578" s="127"/>
      <c r="Z6578" s="127"/>
      <c r="AA6578" s="127"/>
      <c r="AB6578" s="128"/>
      <c r="AC6578" s="15" t="s">
        <v>20</v>
      </c>
      <c r="AD6578" s="129" t="s">
        <v>2745</v>
      </c>
      <c r="AE6578" s="130"/>
      <c r="AF6578" s="130"/>
      <c r="AG6578" s="130"/>
      <c r="AH6578" s="130"/>
      <c r="AI6578" s="131"/>
      <c r="AJ6578" s="132"/>
      <c r="AK6578" s="127"/>
      <c r="AL6578" s="128"/>
      <c r="AM6578" s="21" t="s">
        <v>20043</v>
      </c>
      <c r="AN6578" s="133">
        <v>46092</v>
      </c>
      <c r="AO6578" s="134"/>
      <c r="AP6578" s="135">
        <v>1008</v>
      </c>
      <c r="AQ6578" s="136"/>
      <c r="AR6578" s="118">
        <v>770000</v>
      </c>
      <c r="AS6578" s="119"/>
      <c r="AT6578" s="118">
        <f t="shared" ref="AT6578" si="9084">AR6578*0.1</f>
        <v>77000</v>
      </c>
      <c r="AU6578" s="119"/>
      <c r="AV6578" s="118">
        <v>9790</v>
      </c>
      <c r="AW6578" s="119"/>
      <c r="AX6578" s="118">
        <f t="shared" ref="AX6578" si="9085">SUM(AR6578:AW6578)</f>
        <v>856790</v>
      </c>
      <c r="AY6578" s="119"/>
      <c r="AZ6578" s="137">
        <v>46098</v>
      </c>
    </row>
    <row r="6579" spans="1:52" ht="17.100000000000001" customHeight="1" thickBot="1">
      <c r="A6579" s="110"/>
      <c r="B6579" s="27" t="s">
        <v>3281</v>
      </c>
      <c r="C6579" s="27">
        <v>2533</v>
      </c>
      <c r="D6579" s="14" t="s">
        <v>2601</v>
      </c>
      <c r="E6579" s="112"/>
      <c r="F6579" s="139" t="s">
        <v>18861</v>
      </c>
      <c r="G6579" s="140"/>
      <c r="H6579" s="141"/>
      <c r="I6579" s="26">
        <v>44745</v>
      </c>
      <c r="J6579" s="117"/>
      <c r="K6579" s="120"/>
      <c r="L6579" s="121"/>
      <c r="M6579" s="120"/>
      <c r="N6579" s="121"/>
      <c r="O6579" s="120"/>
      <c r="P6579" s="121"/>
      <c r="Q6579" s="120"/>
      <c r="R6579" s="121"/>
      <c r="S6579" s="120"/>
      <c r="T6579" s="121"/>
      <c r="U6579" s="120"/>
      <c r="V6579" s="123"/>
      <c r="W6579" s="125"/>
      <c r="X6579" s="142" t="s">
        <v>19197</v>
      </c>
      <c r="Y6579" s="143"/>
      <c r="Z6579" s="143"/>
      <c r="AA6579" s="143"/>
      <c r="AB6579" s="144"/>
      <c r="AC6579" s="16" t="s">
        <v>21</v>
      </c>
      <c r="AD6579" s="17" t="s">
        <v>1714</v>
      </c>
      <c r="AE6579" s="145" t="s">
        <v>2441</v>
      </c>
      <c r="AF6579" s="146"/>
      <c r="AG6579" s="146"/>
      <c r="AH6579" s="146"/>
      <c r="AI6579" s="147"/>
      <c r="AJ6579" s="148"/>
      <c r="AK6579" s="143"/>
      <c r="AL6579" s="144"/>
      <c r="AM6579" s="22"/>
      <c r="AN6579" s="149" t="s">
        <v>19938</v>
      </c>
      <c r="AO6579" s="144"/>
      <c r="AP6579" s="148">
        <v>2033</v>
      </c>
      <c r="AQ6579" s="144"/>
      <c r="AR6579" s="120"/>
      <c r="AS6579" s="121"/>
      <c r="AT6579" s="120"/>
      <c r="AU6579" s="121"/>
      <c r="AV6579" s="120"/>
      <c r="AW6579" s="121"/>
      <c r="AX6579" s="120"/>
      <c r="AY6579" s="121"/>
      <c r="AZ6579" s="138"/>
    </row>
    <row r="6580" spans="1:52" ht="17.100000000000001" customHeight="1" thickTop="1">
      <c r="A6580" s="109" t="s">
        <v>18876</v>
      </c>
      <c r="B6580" s="28">
        <v>46079</v>
      </c>
      <c r="C6580" s="25">
        <v>2147</v>
      </c>
      <c r="D6580" s="13" t="s">
        <v>1586</v>
      </c>
      <c r="E6580" s="111"/>
      <c r="F6580" s="113" t="s">
        <v>4145</v>
      </c>
      <c r="G6580" s="114"/>
      <c r="H6580" s="115"/>
      <c r="I6580" s="24"/>
      <c r="J6580" s="116">
        <v>4</v>
      </c>
      <c r="K6580" s="118">
        <v>691000</v>
      </c>
      <c r="L6580" s="119"/>
      <c r="M6580" s="118">
        <f t="shared" ref="M6580" si="9086">K6580*0.1</f>
        <v>69100</v>
      </c>
      <c r="N6580" s="119"/>
      <c r="O6580" s="118">
        <v>0</v>
      </c>
      <c r="P6580" s="119"/>
      <c r="Q6580" s="118">
        <v>8110</v>
      </c>
      <c r="R6580" s="119"/>
      <c r="S6580" s="118">
        <v>14300</v>
      </c>
      <c r="T6580" s="119"/>
      <c r="U6580" s="118">
        <f t="shared" ref="U6580" si="9087">SUM(K6580:T6581)</f>
        <v>782510</v>
      </c>
      <c r="V6580" s="122"/>
      <c r="W6580" s="124"/>
      <c r="X6580" s="126" t="s">
        <v>19198</v>
      </c>
      <c r="Y6580" s="127"/>
      <c r="Z6580" s="127"/>
      <c r="AA6580" s="127"/>
      <c r="AB6580" s="128"/>
      <c r="AC6580" s="15" t="s">
        <v>20</v>
      </c>
      <c r="AD6580" s="129" t="s">
        <v>2745</v>
      </c>
      <c r="AE6580" s="130"/>
      <c r="AF6580" s="130"/>
      <c r="AG6580" s="130"/>
      <c r="AH6580" s="130"/>
      <c r="AI6580" s="131"/>
      <c r="AJ6580" s="132"/>
      <c r="AK6580" s="127"/>
      <c r="AL6580" s="128"/>
      <c r="AM6580" s="21"/>
      <c r="AN6580" s="133">
        <v>46092</v>
      </c>
      <c r="AO6580" s="134"/>
      <c r="AP6580" s="135">
        <v>1008</v>
      </c>
      <c r="AQ6580" s="136"/>
      <c r="AR6580" s="118">
        <v>720000</v>
      </c>
      <c r="AS6580" s="119"/>
      <c r="AT6580" s="118">
        <f t="shared" ref="AT6580" si="9088">AR6580*0.1</f>
        <v>72000</v>
      </c>
      <c r="AU6580" s="119"/>
      <c r="AV6580" s="118">
        <v>8110</v>
      </c>
      <c r="AW6580" s="119"/>
      <c r="AX6580" s="118">
        <f t="shared" ref="AX6580" si="9089">SUM(AR6580:AW6580)</f>
        <v>800110</v>
      </c>
      <c r="AY6580" s="119"/>
      <c r="AZ6580" s="137">
        <v>46098</v>
      </c>
    </row>
    <row r="6581" spans="1:52" ht="17.100000000000001" customHeight="1" thickBot="1">
      <c r="A6581" s="110"/>
      <c r="B6581" s="27" t="s">
        <v>3281</v>
      </c>
      <c r="C6581" s="27">
        <v>2544</v>
      </c>
      <c r="D6581" s="14" t="s">
        <v>1720</v>
      </c>
      <c r="E6581" s="112"/>
      <c r="F6581" s="139" t="s">
        <v>18862</v>
      </c>
      <c r="G6581" s="140"/>
      <c r="H6581" s="141"/>
      <c r="I6581" s="26">
        <v>44198</v>
      </c>
      <c r="J6581" s="117"/>
      <c r="K6581" s="120"/>
      <c r="L6581" s="121"/>
      <c r="M6581" s="120"/>
      <c r="N6581" s="121"/>
      <c r="O6581" s="120"/>
      <c r="P6581" s="121"/>
      <c r="Q6581" s="120"/>
      <c r="R6581" s="121"/>
      <c r="S6581" s="120"/>
      <c r="T6581" s="121"/>
      <c r="U6581" s="120"/>
      <c r="V6581" s="123"/>
      <c r="W6581" s="125"/>
      <c r="X6581" s="142" t="s">
        <v>19199</v>
      </c>
      <c r="Y6581" s="143"/>
      <c r="Z6581" s="143"/>
      <c r="AA6581" s="143"/>
      <c r="AB6581" s="144"/>
      <c r="AC6581" s="16" t="s">
        <v>21</v>
      </c>
      <c r="AD6581" s="17" t="s">
        <v>1714</v>
      </c>
      <c r="AE6581" s="145" t="s">
        <v>2441</v>
      </c>
      <c r="AF6581" s="146"/>
      <c r="AG6581" s="146"/>
      <c r="AH6581" s="146"/>
      <c r="AI6581" s="147"/>
      <c r="AJ6581" s="148"/>
      <c r="AK6581" s="143"/>
      <c r="AL6581" s="144"/>
      <c r="AM6581" s="22"/>
      <c r="AN6581" s="149" t="s">
        <v>19938</v>
      </c>
      <c r="AO6581" s="144"/>
      <c r="AP6581" s="148">
        <v>2041</v>
      </c>
      <c r="AQ6581" s="144"/>
      <c r="AR6581" s="120"/>
      <c r="AS6581" s="121"/>
      <c r="AT6581" s="120"/>
      <c r="AU6581" s="121"/>
      <c r="AV6581" s="120"/>
      <c r="AW6581" s="121"/>
      <c r="AX6581" s="120"/>
      <c r="AY6581" s="121"/>
      <c r="AZ6581" s="138"/>
    </row>
    <row r="6582" spans="1:52" ht="17.100000000000001" customHeight="1" thickTop="1">
      <c r="A6582" s="109" t="s">
        <v>18877</v>
      </c>
      <c r="B6582" s="28">
        <v>46079</v>
      </c>
      <c r="C6582" s="25">
        <v>2147</v>
      </c>
      <c r="D6582" s="13" t="s">
        <v>1537</v>
      </c>
      <c r="E6582" s="111"/>
      <c r="F6582" s="113" t="s">
        <v>18898</v>
      </c>
      <c r="G6582" s="114"/>
      <c r="H6582" s="115"/>
      <c r="I6582" s="24" t="s">
        <v>18899</v>
      </c>
      <c r="J6582" s="116">
        <v>4</v>
      </c>
      <c r="K6582" s="118">
        <v>695000</v>
      </c>
      <c r="L6582" s="119"/>
      <c r="M6582" s="118">
        <f t="shared" ref="M6582" si="9090">K6582*0.1</f>
        <v>69500</v>
      </c>
      <c r="N6582" s="119"/>
      <c r="O6582" s="118">
        <v>0</v>
      </c>
      <c r="P6582" s="119"/>
      <c r="Q6582" s="118">
        <v>9140</v>
      </c>
      <c r="R6582" s="119"/>
      <c r="S6582" s="118">
        <v>14300</v>
      </c>
      <c r="T6582" s="119"/>
      <c r="U6582" s="118">
        <f t="shared" ref="U6582" si="9091">SUM(K6582:T6583)</f>
        <v>787940</v>
      </c>
      <c r="V6582" s="122"/>
      <c r="W6582" s="124"/>
      <c r="X6582" s="126" t="s">
        <v>18900</v>
      </c>
      <c r="Y6582" s="127"/>
      <c r="Z6582" s="127"/>
      <c r="AA6582" s="127"/>
      <c r="AB6582" s="128"/>
      <c r="AC6582" s="15" t="s">
        <v>20</v>
      </c>
      <c r="AD6582" s="129" t="s">
        <v>1575</v>
      </c>
      <c r="AE6582" s="130"/>
      <c r="AF6582" s="130"/>
      <c r="AG6582" s="130"/>
      <c r="AH6582" s="130"/>
      <c r="AI6582" s="131"/>
      <c r="AJ6582" s="132"/>
      <c r="AK6582" s="127"/>
      <c r="AL6582" s="128"/>
      <c r="AM6582" s="21"/>
      <c r="AN6582" s="133">
        <v>46120</v>
      </c>
      <c r="AO6582" s="134"/>
      <c r="AP6582" s="135">
        <v>1012</v>
      </c>
      <c r="AQ6582" s="136"/>
      <c r="AR6582" s="118">
        <v>725000</v>
      </c>
      <c r="AS6582" s="119"/>
      <c r="AT6582" s="118">
        <f t="shared" ref="AT6582" si="9092">AR6582*0.1</f>
        <v>72500</v>
      </c>
      <c r="AU6582" s="119"/>
      <c r="AV6582" s="118">
        <v>9140</v>
      </c>
      <c r="AW6582" s="119"/>
      <c r="AX6582" s="118">
        <f t="shared" ref="AX6582" si="9093">SUM(AR6582:AW6582)</f>
        <v>806640</v>
      </c>
      <c r="AY6582" s="119"/>
      <c r="AZ6582" s="137">
        <v>46125</v>
      </c>
    </row>
    <row r="6583" spans="1:52" ht="17.100000000000001" customHeight="1" thickBot="1">
      <c r="A6583" s="110"/>
      <c r="B6583" s="27" t="s">
        <v>3281</v>
      </c>
      <c r="C6583" s="27">
        <v>2559</v>
      </c>
      <c r="D6583" s="14" t="s">
        <v>275</v>
      </c>
      <c r="E6583" s="112"/>
      <c r="F6583" s="139" t="s">
        <v>18863</v>
      </c>
      <c r="G6583" s="140"/>
      <c r="H6583" s="141"/>
      <c r="I6583" s="26">
        <v>55341</v>
      </c>
      <c r="J6583" s="117"/>
      <c r="K6583" s="120"/>
      <c r="L6583" s="121"/>
      <c r="M6583" s="120"/>
      <c r="N6583" s="121"/>
      <c r="O6583" s="120"/>
      <c r="P6583" s="121"/>
      <c r="Q6583" s="120"/>
      <c r="R6583" s="121"/>
      <c r="S6583" s="120"/>
      <c r="T6583" s="121"/>
      <c r="U6583" s="120"/>
      <c r="V6583" s="123"/>
      <c r="W6583" s="125"/>
      <c r="X6583" s="142" t="s">
        <v>19204</v>
      </c>
      <c r="Y6583" s="143"/>
      <c r="Z6583" s="143"/>
      <c r="AA6583" s="143"/>
      <c r="AB6583" s="144"/>
      <c r="AC6583" s="16" t="s">
        <v>21</v>
      </c>
      <c r="AD6583" s="17" t="s">
        <v>1714</v>
      </c>
      <c r="AE6583" s="145" t="s">
        <v>18376</v>
      </c>
      <c r="AF6583" s="146"/>
      <c r="AG6583" s="146"/>
      <c r="AH6583" s="146"/>
      <c r="AI6583" s="147"/>
      <c r="AJ6583" s="148"/>
      <c r="AK6583" s="143"/>
      <c r="AL6583" s="144"/>
      <c r="AM6583" s="22"/>
      <c r="AN6583" s="149" t="s">
        <v>2794</v>
      </c>
      <c r="AO6583" s="144"/>
      <c r="AP6583" s="148">
        <v>2037</v>
      </c>
      <c r="AQ6583" s="144"/>
      <c r="AR6583" s="120"/>
      <c r="AS6583" s="121"/>
      <c r="AT6583" s="120"/>
      <c r="AU6583" s="121"/>
      <c r="AV6583" s="120"/>
      <c r="AW6583" s="121"/>
      <c r="AX6583" s="120"/>
      <c r="AY6583" s="121"/>
      <c r="AZ6583" s="138"/>
    </row>
    <row r="6584" spans="1:52" ht="17.100000000000001" customHeight="1" thickTop="1">
      <c r="A6584" s="109" t="s">
        <v>18878</v>
      </c>
      <c r="B6584" s="28">
        <v>46079</v>
      </c>
      <c r="C6584" s="25">
        <v>2147</v>
      </c>
      <c r="D6584" s="13" t="s">
        <v>3461</v>
      </c>
      <c r="E6584" s="111"/>
      <c r="F6584" s="113" t="s">
        <v>18096</v>
      </c>
      <c r="G6584" s="114"/>
      <c r="H6584" s="115"/>
      <c r="I6584" s="24" t="s">
        <v>18901</v>
      </c>
      <c r="J6584" s="116">
        <v>4</v>
      </c>
      <c r="K6584" s="118">
        <v>826000</v>
      </c>
      <c r="L6584" s="119"/>
      <c r="M6584" s="118">
        <f t="shared" ref="M6584" si="9094">K6584*0.1</f>
        <v>82600</v>
      </c>
      <c r="N6584" s="119"/>
      <c r="O6584" s="118">
        <v>0</v>
      </c>
      <c r="P6584" s="119"/>
      <c r="Q6584" s="118">
        <v>8550</v>
      </c>
      <c r="R6584" s="119"/>
      <c r="S6584" s="118">
        <v>14300</v>
      </c>
      <c r="T6584" s="119"/>
      <c r="U6584" s="118">
        <f t="shared" ref="U6584" si="9095">SUM(K6584:T6585)</f>
        <v>931450</v>
      </c>
      <c r="V6584" s="122"/>
      <c r="W6584" s="124"/>
      <c r="X6584" s="126" t="s">
        <v>19344</v>
      </c>
      <c r="Y6584" s="127"/>
      <c r="Z6584" s="127"/>
      <c r="AA6584" s="127"/>
      <c r="AB6584" s="128"/>
      <c r="AC6584" s="15" t="s">
        <v>20</v>
      </c>
      <c r="AD6584" s="129" t="s">
        <v>18902</v>
      </c>
      <c r="AE6584" s="130"/>
      <c r="AF6584" s="130"/>
      <c r="AG6584" s="130"/>
      <c r="AH6584" s="130"/>
      <c r="AI6584" s="131"/>
      <c r="AJ6584" s="132"/>
      <c r="AK6584" s="127"/>
      <c r="AL6584" s="128"/>
      <c r="AM6584" s="21" t="s">
        <v>20045</v>
      </c>
      <c r="AN6584" s="133">
        <v>46092</v>
      </c>
      <c r="AO6584" s="134"/>
      <c r="AP6584" s="135">
        <v>1008</v>
      </c>
      <c r="AQ6584" s="136"/>
      <c r="AR6584" s="118">
        <v>895000</v>
      </c>
      <c r="AS6584" s="119"/>
      <c r="AT6584" s="118">
        <f t="shared" ref="AT6584" si="9096">AR6584*0.1</f>
        <v>89500</v>
      </c>
      <c r="AU6584" s="119"/>
      <c r="AV6584" s="118">
        <v>8550</v>
      </c>
      <c r="AW6584" s="119"/>
      <c r="AX6584" s="118">
        <f t="shared" ref="AX6584" si="9097">SUM(AR6584:AW6584)</f>
        <v>993050</v>
      </c>
      <c r="AY6584" s="119"/>
      <c r="AZ6584" s="137">
        <v>46098</v>
      </c>
    </row>
    <row r="6585" spans="1:52" ht="17.100000000000001" customHeight="1" thickBot="1">
      <c r="A6585" s="110"/>
      <c r="B6585" s="27" t="s">
        <v>3281</v>
      </c>
      <c r="C6585" s="27">
        <v>2571</v>
      </c>
      <c r="D6585" s="14" t="s">
        <v>1720</v>
      </c>
      <c r="E6585" s="112"/>
      <c r="F6585" s="139" t="s">
        <v>18864</v>
      </c>
      <c r="G6585" s="140"/>
      <c r="H6585" s="141"/>
      <c r="I6585" s="26">
        <v>39216</v>
      </c>
      <c r="J6585" s="117"/>
      <c r="K6585" s="120"/>
      <c r="L6585" s="121"/>
      <c r="M6585" s="120"/>
      <c r="N6585" s="121"/>
      <c r="O6585" s="120"/>
      <c r="P6585" s="121"/>
      <c r="Q6585" s="120"/>
      <c r="R6585" s="121"/>
      <c r="S6585" s="120"/>
      <c r="T6585" s="121"/>
      <c r="U6585" s="120"/>
      <c r="V6585" s="123"/>
      <c r="W6585" s="125"/>
      <c r="X6585" s="142" t="s">
        <v>19343</v>
      </c>
      <c r="Y6585" s="143"/>
      <c r="Z6585" s="143"/>
      <c r="AA6585" s="143"/>
      <c r="AB6585" s="144"/>
      <c r="AC6585" s="16" t="s">
        <v>21</v>
      </c>
      <c r="AD6585" s="17" t="s">
        <v>859</v>
      </c>
      <c r="AE6585" s="145" t="s">
        <v>171</v>
      </c>
      <c r="AF6585" s="146"/>
      <c r="AG6585" s="146"/>
      <c r="AH6585" s="146"/>
      <c r="AI6585" s="147"/>
      <c r="AJ6585" s="148"/>
      <c r="AK6585" s="143"/>
      <c r="AL6585" s="144"/>
      <c r="AM6585" s="22"/>
      <c r="AN6585" s="149" t="s">
        <v>19938</v>
      </c>
      <c r="AO6585" s="144"/>
      <c r="AP6585" s="148">
        <v>2044</v>
      </c>
      <c r="AQ6585" s="144"/>
      <c r="AR6585" s="120"/>
      <c r="AS6585" s="121"/>
      <c r="AT6585" s="120"/>
      <c r="AU6585" s="121"/>
      <c r="AV6585" s="120"/>
      <c r="AW6585" s="121"/>
      <c r="AX6585" s="120"/>
      <c r="AY6585" s="121"/>
      <c r="AZ6585" s="138"/>
    </row>
    <row r="6586" spans="1:52" ht="17.100000000000001" customHeight="1" thickTop="1">
      <c r="A6586" s="109" t="s">
        <v>18879</v>
      </c>
      <c r="B6586" s="28">
        <v>46079</v>
      </c>
      <c r="C6586" s="25">
        <v>2147</v>
      </c>
      <c r="D6586" s="13" t="s">
        <v>2355</v>
      </c>
      <c r="E6586" s="111"/>
      <c r="F6586" s="113" t="s">
        <v>4683</v>
      </c>
      <c r="G6586" s="114"/>
      <c r="H6586" s="115"/>
      <c r="I6586" s="24" t="s">
        <v>14681</v>
      </c>
      <c r="J6586" s="116">
        <v>4</v>
      </c>
      <c r="K6586" s="118">
        <v>1355000</v>
      </c>
      <c r="L6586" s="119"/>
      <c r="M6586" s="118">
        <f t="shared" ref="M6586" si="9098">K6586*0.1</f>
        <v>135500</v>
      </c>
      <c r="N6586" s="119"/>
      <c r="O6586" s="118">
        <v>0</v>
      </c>
      <c r="P6586" s="119"/>
      <c r="Q6586" s="118">
        <v>8630</v>
      </c>
      <c r="R6586" s="119"/>
      <c r="S6586" s="118">
        <v>14300</v>
      </c>
      <c r="T6586" s="119"/>
      <c r="U6586" s="118">
        <f t="shared" ref="U6586" si="9099">SUM(K6586:T6587)</f>
        <v>1513430</v>
      </c>
      <c r="V6586" s="122"/>
      <c r="W6586" s="124"/>
      <c r="X6586" s="126" t="s">
        <v>18903</v>
      </c>
      <c r="Y6586" s="127"/>
      <c r="Z6586" s="127"/>
      <c r="AA6586" s="127"/>
      <c r="AB6586" s="128"/>
      <c r="AC6586" s="15" t="s">
        <v>20</v>
      </c>
      <c r="AD6586" s="129" t="s">
        <v>1732</v>
      </c>
      <c r="AE6586" s="130"/>
      <c r="AF6586" s="130"/>
      <c r="AG6586" s="130"/>
      <c r="AH6586" s="130"/>
      <c r="AI6586" s="131"/>
      <c r="AJ6586" s="132"/>
      <c r="AK6586" s="127"/>
      <c r="AL6586" s="128"/>
      <c r="AM6586" s="21" t="s">
        <v>20050</v>
      </c>
      <c r="AN6586" s="133">
        <v>46092</v>
      </c>
      <c r="AO6586" s="134"/>
      <c r="AP6586" s="135">
        <v>1008</v>
      </c>
      <c r="AQ6586" s="136"/>
      <c r="AR6586" s="118">
        <v>1390000</v>
      </c>
      <c r="AS6586" s="119"/>
      <c r="AT6586" s="118">
        <f t="shared" ref="AT6586" si="9100">AR6586*0.1</f>
        <v>139000</v>
      </c>
      <c r="AU6586" s="119"/>
      <c r="AV6586" s="118">
        <v>8630</v>
      </c>
      <c r="AW6586" s="119"/>
      <c r="AX6586" s="118">
        <f t="shared" ref="AX6586" si="9101">SUM(AR6586:AW6586)</f>
        <v>1537630</v>
      </c>
      <c r="AY6586" s="119"/>
      <c r="AZ6586" s="137">
        <v>46098</v>
      </c>
    </row>
    <row r="6587" spans="1:52" ht="17.100000000000001" customHeight="1" thickBot="1">
      <c r="A6587" s="110"/>
      <c r="B6587" s="27" t="s">
        <v>3281</v>
      </c>
      <c r="C6587" s="27">
        <v>2572</v>
      </c>
      <c r="D6587" s="14" t="s">
        <v>4023</v>
      </c>
      <c r="E6587" s="112"/>
      <c r="F6587" s="139" t="s">
        <v>18865</v>
      </c>
      <c r="G6587" s="140"/>
      <c r="H6587" s="141"/>
      <c r="I6587" s="26">
        <v>13834</v>
      </c>
      <c r="J6587" s="117"/>
      <c r="K6587" s="120"/>
      <c r="L6587" s="121"/>
      <c r="M6587" s="120"/>
      <c r="N6587" s="121"/>
      <c r="O6587" s="120"/>
      <c r="P6587" s="121"/>
      <c r="Q6587" s="120"/>
      <c r="R6587" s="121"/>
      <c r="S6587" s="120"/>
      <c r="T6587" s="121"/>
      <c r="U6587" s="120"/>
      <c r="V6587" s="123"/>
      <c r="W6587" s="125"/>
      <c r="X6587" s="142" t="s">
        <v>19343</v>
      </c>
      <c r="Y6587" s="143"/>
      <c r="Z6587" s="143"/>
      <c r="AA6587" s="143"/>
      <c r="AB6587" s="144"/>
      <c r="AC6587" s="16" t="s">
        <v>21</v>
      </c>
      <c r="AD6587" s="17" t="s">
        <v>859</v>
      </c>
      <c r="AE6587" s="145" t="s">
        <v>1742</v>
      </c>
      <c r="AF6587" s="146"/>
      <c r="AG6587" s="146"/>
      <c r="AH6587" s="146"/>
      <c r="AI6587" s="147"/>
      <c r="AJ6587" s="148"/>
      <c r="AK6587" s="143"/>
      <c r="AL6587" s="144"/>
      <c r="AM6587" s="22"/>
      <c r="AN6587" s="149" t="s">
        <v>19938</v>
      </c>
      <c r="AO6587" s="144"/>
      <c r="AP6587" s="148">
        <v>2030</v>
      </c>
      <c r="AQ6587" s="144"/>
      <c r="AR6587" s="120"/>
      <c r="AS6587" s="121"/>
      <c r="AT6587" s="120"/>
      <c r="AU6587" s="121"/>
      <c r="AV6587" s="120"/>
      <c r="AW6587" s="121"/>
      <c r="AX6587" s="120"/>
      <c r="AY6587" s="121"/>
      <c r="AZ6587" s="138"/>
    </row>
    <row r="6588" spans="1:52" ht="17.100000000000001" customHeight="1" thickTop="1">
      <c r="A6588" s="109" t="s">
        <v>18880</v>
      </c>
      <c r="B6588" s="28">
        <v>46079</v>
      </c>
      <c r="C6588" s="25">
        <v>2147</v>
      </c>
      <c r="D6588" s="13" t="s">
        <v>1922</v>
      </c>
      <c r="E6588" s="111"/>
      <c r="F6588" s="113" t="s">
        <v>14159</v>
      </c>
      <c r="G6588" s="114"/>
      <c r="H6588" s="115"/>
      <c r="I6588" s="24" t="s">
        <v>18904</v>
      </c>
      <c r="J6588" s="116">
        <v>4</v>
      </c>
      <c r="K6588" s="118">
        <v>1014000</v>
      </c>
      <c r="L6588" s="119"/>
      <c r="M6588" s="118">
        <f t="shared" ref="M6588" si="9102">K6588*0.1</f>
        <v>101400</v>
      </c>
      <c r="N6588" s="119"/>
      <c r="O6588" s="118">
        <v>0</v>
      </c>
      <c r="P6588" s="119"/>
      <c r="Q6588" s="118">
        <v>8130</v>
      </c>
      <c r="R6588" s="119"/>
      <c r="S6588" s="118">
        <v>14300</v>
      </c>
      <c r="T6588" s="119"/>
      <c r="U6588" s="118">
        <f t="shared" ref="U6588" si="9103">SUM(K6588:T6589)</f>
        <v>1137830</v>
      </c>
      <c r="V6588" s="122"/>
      <c r="W6588" s="124"/>
      <c r="X6588" s="126" t="s">
        <v>18905</v>
      </c>
      <c r="Y6588" s="127"/>
      <c r="Z6588" s="127"/>
      <c r="AA6588" s="127"/>
      <c r="AB6588" s="128"/>
      <c r="AC6588" s="15" t="s">
        <v>20</v>
      </c>
      <c r="AD6588" s="129"/>
      <c r="AE6588" s="130"/>
      <c r="AF6588" s="130"/>
      <c r="AG6588" s="130"/>
      <c r="AH6588" s="130"/>
      <c r="AI6588" s="131"/>
      <c r="AJ6588" s="132"/>
      <c r="AK6588" s="127"/>
      <c r="AL6588" s="128"/>
      <c r="AM6588" s="21" t="s">
        <v>20049</v>
      </c>
      <c r="AN6588" s="133">
        <v>46092</v>
      </c>
      <c r="AO6588" s="134"/>
      <c r="AP6588" s="135">
        <v>1008</v>
      </c>
      <c r="AQ6588" s="136"/>
      <c r="AR6588" s="118">
        <v>1060000</v>
      </c>
      <c r="AS6588" s="119"/>
      <c r="AT6588" s="118">
        <f t="shared" ref="AT6588" si="9104">AR6588*0.1</f>
        <v>106000</v>
      </c>
      <c r="AU6588" s="119"/>
      <c r="AV6588" s="118">
        <v>8130</v>
      </c>
      <c r="AW6588" s="119"/>
      <c r="AX6588" s="118">
        <f t="shared" ref="AX6588" si="9105">SUM(AR6588:AW6588)</f>
        <v>1174130</v>
      </c>
      <c r="AY6588" s="119"/>
      <c r="AZ6588" s="137">
        <v>46098</v>
      </c>
    </row>
    <row r="6589" spans="1:52" ht="17.100000000000001" customHeight="1" thickBot="1">
      <c r="A6589" s="110"/>
      <c r="B6589" s="27" t="s">
        <v>3281</v>
      </c>
      <c r="C6589" s="27">
        <v>2573</v>
      </c>
      <c r="D6589" s="14" t="s">
        <v>904</v>
      </c>
      <c r="E6589" s="112"/>
      <c r="F6589" s="139" t="s">
        <v>18866</v>
      </c>
      <c r="G6589" s="140"/>
      <c r="H6589" s="141"/>
      <c r="I6589" s="26">
        <v>48750</v>
      </c>
      <c r="J6589" s="117"/>
      <c r="K6589" s="120"/>
      <c r="L6589" s="121"/>
      <c r="M6589" s="120"/>
      <c r="N6589" s="121"/>
      <c r="O6589" s="120"/>
      <c r="P6589" s="121"/>
      <c r="Q6589" s="120"/>
      <c r="R6589" s="121"/>
      <c r="S6589" s="120"/>
      <c r="T6589" s="121"/>
      <c r="U6589" s="120"/>
      <c r="V6589" s="123"/>
      <c r="W6589" s="125"/>
      <c r="X6589" s="142" t="s">
        <v>4681</v>
      </c>
      <c r="Y6589" s="143"/>
      <c r="Z6589" s="143"/>
      <c r="AA6589" s="143"/>
      <c r="AB6589" s="144"/>
      <c r="AC6589" s="16" t="s">
        <v>21</v>
      </c>
      <c r="AD6589" s="17" t="s">
        <v>2689</v>
      </c>
      <c r="AE6589" s="145" t="s">
        <v>4091</v>
      </c>
      <c r="AF6589" s="146"/>
      <c r="AG6589" s="146"/>
      <c r="AH6589" s="146"/>
      <c r="AI6589" s="147"/>
      <c r="AJ6589" s="148"/>
      <c r="AK6589" s="143"/>
      <c r="AL6589" s="144"/>
      <c r="AM6589" s="22"/>
      <c r="AN6589" s="149" t="s">
        <v>19938</v>
      </c>
      <c r="AO6589" s="144"/>
      <c r="AP6589" s="148">
        <v>2029</v>
      </c>
      <c r="AQ6589" s="144"/>
      <c r="AR6589" s="120"/>
      <c r="AS6589" s="121"/>
      <c r="AT6589" s="120"/>
      <c r="AU6589" s="121"/>
      <c r="AV6589" s="120"/>
      <c r="AW6589" s="121"/>
      <c r="AX6589" s="120"/>
      <c r="AY6589" s="121"/>
      <c r="AZ6589" s="138"/>
    </row>
    <row r="6590" spans="1:52" ht="17.100000000000001" customHeight="1" thickTop="1">
      <c r="A6590" s="109" t="s">
        <v>18881</v>
      </c>
      <c r="B6590" s="28">
        <v>46079</v>
      </c>
      <c r="C6590" s="25">
        <v>2147</v>
      </c>
      <c r="D6590" s="13" t="s">
        <v>1930</v>
      </c>
      <c r="E6590" s="111"/>
      <c r="F6590" s="113" t="s">
        <v>8009</v>
      </c>
      <c r="G6590" s="114"/>
      <c r="H6590" s="115"/>
      <c r="I6590" s="24"/>
      <c r="J6590" s="116">
        <v>4.5</v>
      </c>
      <c r="K6590" s="118">
        <v>1451000</v>
      </c>
      <c r="L6590" s="119"/>
      <c r="M6590" s="118">
        <f t="shared" ref="M6590" si="9106">K6590*0.1</f>
        <v>145100</v>
      </c>
      <c r="N6590" s="119"/>
      <c r="O6590" s="118">
        <v>0</v>
      </c>
      <c r="P6590" s="119"/>
      <c r="Q6590" s="118">
        <v>7230</v>
      </c>
      <c r="R6590" s="119"/>
      <c r="S6590" s="118">
        <v>14300</v>
      </c>
      <c r="T6590" s="119"/>
      <c r="U6590" s="118">
        <f t="shared" ref="U6590" si="9107">SUM(K6590:T6591)</f>
        <v>1617630</v>
      </c>
      <c r="V6590" s="122"/>
      <c r="W6590" s="124"/>
      <c r="X6590" s="126" t="s">
        <v>19209</v>
      </c>
      <c r="Y6590" s="127"/>
      <c r="Z6590" s="127"/>
      <c r="AA6590" s="127"/>
      <c r="AB6590" s="128"/>
      <c r="AC6590" s="15" t="s">
        <v>20</v>
      </c>
      <c r="AD6590" s="129"/>
      <c r="AE6590" s="130"/>
      <c r="AF6590" s="130"/>
      <c r="AG6590" s="130"/>
      <c r="AH6590" s="130"/>
      <c r="AI6590" s="131"/>
      <c r="AJ6590" s="132"/>
      <c r="AK6590" s="127"/>
      <c r="AL6590" s="128"/>
      <c r="AM6590" s="21"/>
      <c r="AN6590" s="133">
        <v>46091</v>
      </c>
      <c r="AO6590" s="134"/>
      <c r="AP6590" s="135">
        <v>1932</v>
      </c>
      <c r="AQ6590" s="136"/>
      <c r="AR6590" s="118">
        <v>1488000</v>
      </c>
      <c r="AS6590" s="119"/>
      <c r="AT6590" s="118">
        <f t="shared" ref="AT6590" si="9108">AR6590*0.1</f>
        <v>148800</v>
      </c>
      <c r="AU6590" s="119"/>
      <c r="AV6590" s="118">
        <v>7230</v>
      </c>
      <c r="AW6590" s="119"/>
      <c r="AX6590" s="118">
        <f t="shared" ref="AX6590" si="9109">SUM(AR6590:AW6590)</f>
        <v>1644030</v>
      </c>
      <c r="AY6590" s="119"/>
      <c r="AZ6590" s="137"/>
    </row>
    <row r="6591" spans="1:52" ht="17.100000000000001" customHeight="1" thickBot="1">
      <c r="A6591" s="110"/>
      <c r="B6591" s="27" t="s">
        <v>3281</v>
      </c>
      <c r="C6591" s="27">
        <v>2576</v>
      </c>
      <c r="D6591" s="14" t="s">
        <v>133</v>
      </c>
      <c r="E6591" s="112"/>
      <c r="F6591" s="139" t="s">
        <v>18867</v>
      </c>
      <c r="G6591" s="140"/>
      <c r="H6591" s="141"/>
      <c r="I6591" s="26">
        <v>7723</v>
      </c>
      <c r="J6591" s="117"/>
      <c r="K6591" s="120"/>
      <c r="L6591" s="121"/>
      <c r="M6591" s="120"/>
      <c r="N6591" s="121"/>
      <c r="O6591" s="120"/>
      <c r="P6591" s="121"/>
      <c r="Q6591" s="120"/>
      <c r="R6591" s="121"/>
      <c r="S6591" s="120"/>
      <c r="T6591" s="121"/>
      <c r="U6591" s="120"/>
      <c r="V6591" s="123"/>
      <c r="W6591" s="125"/>
      <c r="X6591" s="142" t="s">
        <v>2440</v>
      </c>
      <c r="Y6591" s="143"/>
      <c r="Z6591" s="143"/>
      <c r="AA6591" s="143"/>
      <c r="AB6591" s="144"/>
      <c r="AC6591" s="16" t="s">
        <v>21</v>
      </c>
      <c r="AD6591" s="17" t="s">
        <v>1714</v>
      </c>
      <c r="AE6591" s="145"/>
      <c r="AF6591" s="146"/>
      <c r="AG6591" s="146"/>
      <c r="AH6591" s="146"/>
      <c r="AI6591" s="147"/>
      <c r="AJ6591" s="148"/>
      <c r="AK6591" s="143"/>
      <c r="AL6591" s="144"/>
      <c r="AM6591" s="22"/>
      <c r="AN6591" s="149" t="s">
        <v>2131</v>
      </c>
      <c r="AO6591" s="144"/>
      <c r="AP6591" s="148">
        <v>3175</v>
      </c>
      <c r="AQ6591" s="144"/>
      <c r="AR6591" s="120"/>
      <c r="AS6591" s="121"/>
      <c r="AT6591" s="120"/>
      <c r="AU6591" s="121"/>
      <c r="AV6591" s="120"/>
      <c r="AW6591" s="121"/>
      <c r="AX6591" s="120"/>
      <c r="AY6591" s="121"/>
      <c r="AZ6591" s="138"/>
    </row>
    <row r="6592" spans="1:52" ht="17.100000000000001" customHeight="1" thickTop="1">
      <c r="A6592" s="109" t="s">
        <v>18882</v>
      </c>
      <c r="B6592" s="28">
        <v>46079</v>
      </c>
      <c r="C6592" s="25">
        <v>2147</v>
      </c>
      <c r="D6592" s="13" t="s">
        <v>1847</v>
      </c>
      <c r="E6592" s="111"/>
      <c r="F6592" s="113" t="s">
        <v>18906</v>
      </c>
      <c r="G6592" s="114"/>
      <c r="H6592" s="115"/>
      <c r="I6592" s="24" t="s">
        <v>18907</v>
      </c>
      <c r="J6592" s="116">
        <v>3.5</v>
      </c>
      <c r="K6592" s="118">
        <v>945000</v>
      </c>
      <c r="L6592" s="119"/>
      <c r="M6592" s="118">
        <f t="shared" ref="M6592" si="9110">K6592*0.1</f>
        <v>94500</v>
      </c>
      <c r="N6592" s="119"/>
      <c r="O6592" s="118">
        <v>0</v>
      </c>
      <c r="P6592" s="119"/>
      <c r="Q6592" s="118">
        <v>8130</v>
      </c>
      <c r="R6592" s="119"/>
      <c r="S6592" s="118">
        <v>14300</v>
      </c>
      <c r="T6592" s="119"/>
      <c r="U6592" s="118">
        <f t="shared" ref="U6592" si="9111">SUM(K6592:T6593)</f>
        <v>1061930</v>
      </c>
      <c r="V6592" s="122"/>
      <c r="W6592" s="124"/>
      <c r="X6592" s="126" t="s">
        <v>18908</v>
      </c>
      <c r="Y6592" s="127"/>
      <c r="Z6592" s="127"/>
      <c r="AA6592" s="127"/>
      <c r="AB6592" s="128"/>
      <c r="AC6592" s="15" t="s">
        <v>20</v>
      </c>
      <c r="AD6592" s="129" t="s">
        <v>19206</v>
      </c>
      <c r="AE6592" s="130"/>
      <c r="AF6592" s="130"/>
      <c r="AG6592" s="130"/>
      <c r="AH6592" s="130"/>
      <c r="AI6592" s="131"/>
      <c r="AJ6592" s="132"/>
      <c r="AK6592" s="127"/>
      <c r="AL6592" s="128"/>
      <c r="AM6592" s="21" t="s">
        <v>20971</v>
      </c>
      <c r="AN6592" s="133">
        <v>46102</v>
      </c>
      <c r="AO6592" s="134"/>
      <c r="AP6592" s="135">
        <v>1293</v>
      </c>
      <c r="AQ6592" s="136"/>
      <c r="AR6592" s="118">
        <v>1110000</v>
      </c>
      <c r="AS6592" s="119"/>
      <c r="AT6592" s="118">
        <f t="shared" ref="AT6592" si="9112">AR6592*0.1</f>
        <v>111000</v>
      </c>
      <c r="AU6592" s="119"/>
      <c r="AV6592" s="118">
        <v>8130</v>
      </c>
      <c r="AW6592" s="119"/>
      <c r="AX6592" s="118">
        <f t="shared" ref="AX6592" si="9113">SUM(AR6592:AW6592)</f>
        <v>1229130</v>
      </c>
      <c r="AY6592" s="119"/>
      <c r="AZ6592" s="137">
        <v>46107</v>
      </c>
    </row>
    <row r="6593" spans="1:52" ht="17.100000000000001" customHeight="1" thickBot="1">
      <c r="A6593" s="110"/>
      <c r="B6593" s="27" t="s">
        <v>3281</v>
      </c>
      <c r="C6593" s="27">
        <v>2577</v>
      </c>
      <c r="D6593" s="14" t="s">
        <v>1812</v>
      </c>
      <c r="E6593" s="112"/>
      <c r="F6593" s="139" t="s">
        <v>18868</v>
      </c>
      <c r="G6593" s="140"/>
      <c r="H6593" s="141"/>
      <c r="I6593" s="26">
        <v>58554</v>
      </c>
      <c r="J6593" s="117"/>
      <c r="K6593" s="120"/>
      <c r="L6593" s="121"/>
      <c r="M6593" s="120"/>
      <c r="N6593" s="121"/>
      <c r="O6593" s="120"/>
      <c r="P6593" s="121"/>
      <c r="Q6593" s="120"/>
      <c r="R6593" s="121"/>
      <c r="S6593" s="120"/>
      <c r="T6593" s="121"/>
      <c r="U6593" s="120"/>
      <c r="V6593" s="123"/>
      <c r="W6593" s="125"/>
      <c r="X6593" s="142" t="s">
        <v>7096</v>
      </c>
      <c r="Y6593" s="143"/>
      <c r="Z6593" s="143"/>
      <c r="AA6593" s="143"/>
      <c r="AB6593" s="144"/>
      <c r="AC6593" s="16" t="s">
        <v>21</v>
      </c>
      <c r="AD6593" s="17" t="s">
        <v>1714</v>
      </c>
      <c r="AE6593" s="145" t="s">
        <v>19205</v>
      </c>
      <c r="AF6593" s="146"/>
      <c r="AG6593" s="146"/>
      <c r="AH6593" s="146"/>
      <c r="AI6593" s="147"/>
      <c r="AJ6593" s="148"/>
      <c r="AK6593" s="143"/>
      <c r="AL6593" s="144"/>
      <c r="AM6593" s="22"/>
      <c r="AN6593" s="149" t="s">
        <v>2511</v>
      </c>
      <c r="AO6593" s="144"/>
      <c r="AP6593" s="148">
        <v>60270</v>
      </c>
      <c r="AQ6593" s="144"/>
      <c r="AR6593" s="120"/>
      <c r="AS6593" s="121"/>
      <c r="AT6593" s="120"/>
      <c r="AU6593" s="121"/>
      <c r="AV6593" s="120"/>
      <c r="AW6593" s="121"/>
      <c r="AX6593" s="120"/>
      <c r="AY6593" s="121"/>
      <c r="AZ6593" s="138"/>
    </row>
    <row r="6594" spans="1:52" ht="17.100000000000001" customHeight="1" thickTop="1">
      <c r="A6594" s="109" t="s">
        <v>18883</v>
      </c>
      <c r="B6594" s="28">
        <v>46079</v>
      </c>
      <c r="C6594" s="25">
        <v>2147</v>
      </c>
      <c r="D6594" s="13" t="s">
        <v>1642</v>
      </c>
      <c r="E6594" s="111"/>
      <c r="F6594" s="113" t="s">
        <v>4026</v>
      </c>
      <c r="G6594" s="114"/>
      <c r="H6594" s="115"/>
      <c r="I6594" s="24"/>
      <c r="J6594" s="116">
        <v>4</v>
      </c>
      <c r="K6594" s="118">
        <v>944000</v>
      </c>
      <c r="L6594" s="119"/>
      <c r="M6594" s="118">
        <f t="shared" ref="M6594" si="9114">K6594*0.1</f>
        <v>94400</v>
      </c>
      <c r="N6594" s="119"/>
      <c r="O6594" s="118">
        <v>0</v>
      </c>
      <c r="P6594" s="119"/>
      <c r="Q6594" s="118">
        <v>6830</v>
      </c>
      <c r="R6594" s="119"/>
      <c r="S6594" s="118">
        <v>14300</v>
      </c>
      <c r="T6594" s="119"/>
      <c r="U6594" s="118">
        <f t="shared" ref="U6594" si="9115">SUM(K6594:T6595)</f>
        <v>1059530</v>
      </c>
      <c r="V6594" s="122"/>
      <c r="W6594" s="124"/>
      <c r="X6594" s="126" t="s">
        <v>19208</v>
      </c>
      <c r="Y6594" s="127"/>
      <c r="Z6594" s="127"/>
      <c r="AA6594" s="127"/>
      <c r="AB6594" s="128"/>
      <c r="AC6594" s="15" t="s">
        <v>20</v>
      </c>
      <c r="AD6594" s="129"/>
      <c r="AE6594" s="130"/>
      <c r="AF6594" s="130"/>
      <c r="AG6594" s="130"/>
      <c r="AH6594" s="130"/>
      <c r="AI6594" s="131"/>
      <c r="AJ6594" s="132"/>
      <c r="AK6594" s="127"/>
      <c r="AL6594" s="128"/>
      <c r="AM6594" s="21"/>
      <c r="AN6594" s="133">
        <v>46092</v>
      </c>
      <c r="AO6594" s="134"/>
      <c r="AP6594" s="135">
        <v>1008</v>
      </c>
      <c r="AQ6594" s="136"/>
      <c r="AR6594" s="118">
        <v>1010000</v>
      </c>
      <c r="AS6594" s="119"/>
      <c r="AT6594" s="118">
        <f t="shared" ref="AT6594" si="9116">AR6594*0.1</f>
        <v>101000</v>
      </c>
      <c r="AU6594" s="119"/>
      <c r="AV6594" s="118">
        <v>6830</v>
      </c>
      <c r="AW6594" s="119"/>
      <c r="AX6594" s="118">
        <f t="shared" ref="AX6594" si="9117">SUM(AR6594:AW6594)</f>
        <v>1117830</v>
      </c>
      <c r="AY6594" s="119"/>
      <c r="AZ6594" s="137">
        <v>46098</v>
      </c>
    </row>
    <row r="6595" spans="1:52" ht="17.100000000000001" customHeight="1" thickBot="1">
      <c r="A6595" s="110"/>
      <c r="B6595" s="27" t="s">
        <v>3281</v>
      </c>
      <c r="C6595" s="27">
        <v>2578</v>
      </c>
      <c r="D6595" s="14" t="s">
        <v>1556</v>
      </c>
      <c r="E6595" s="112"/>
      <c r="F6595" s="139" t="s">
        <v>18869</v>
      </c>
      <c r="G6595" s="140"/>
      <c r="H6595" s="141"/>
      <c r="I6595" s="26">
        <v>26586</v>
      </c>
      <c r="J6595" s="117"/>
      <c r="K6595" s="120"/>
      <c r="L6595" s="121"/>
      <c r="M6595" s="120"/>
      <c r="N6595" s="121"/>
      <c r="O6595" s="120"/>
      <c r="P6595" s="121"/>
      <c r="Q6595" s="120"/>
      <c r="R6595" s="121"/>
      <c r="S6595" s="120"/>
      <c r="T6595" s="121"/>
      <c r="U6595" s="120"/>
      <c r="V6595" s="123"/>
      <c r="W6595" s="125"/>
      <c r="X6595" s="142" t="s">
        <v>2440</v>
      </c>
      <c r="Y6595" s="143"/>
      <c r="Z6595" s="143"/>
      <c r="AA6595" s="143"/>
      <c r="AB6595" s="144"/>
      <c r="AC6595" s="16" t="s">
        <v>21</v>
      </c>
      <c r="AD6595" s="17" t="s">
        <v>1714</v>
      </c>
      <c r="AE6595" s="145"/>
      <c r="AF6595" s="146"/>
      <c r="AG6595" s="146"/>
      <c r="AH6595" s="146"/>
      <c r="AI6595" s="147"/>
      <c r="AJ6595" s="148"/>
      <c r="AK6595" s="143"/>
      <c r="AL6595" s="144"/>
      <c r="AM6595" s="22"/>
      <c r="AN6595" s="149" t="s">
        <v>19938</v>
      </c>
      <c r="AO6595" s="144"/>
      <c r="AP6595" s="148">
        <v>2035</v>
      </c>
      <c r="AQ6595" s="144"/>
      <c r="AR6595" s="120"/>
      <c r="AS6595" s="121"/>
      <c r="AT6595" s="120"/>
      <c r="AU6595" s="121"/>
      <c r="AV6595" s="120"/>
      <c r="AW6595" s="121"/>
      <c r="AX6595" s="120"/>
      <c r="AY6595" s="121"/>
      <c r="AZ6595" s="138"/>
    </row>
    <row r="6596" spans="1:52" ht="17.100000000000001" customHeight="1" thickTop="1">
      <c r="A6596" s="109" t="s">
        <v>18884</v>
      </c>
      <c r="B6596" s="28">
        <v>46079</v>
      </c>
      <c r="C6596" s="25">
        <v>2147</v>
      </c>
      <c r="D6596" s="13" t="s">
        <v>1902</v>
      </c>
      <c r="E6596" s="111"/>
      <c r="F6596" s="113" t="s">
        <v>18909</v>
      </c>
      <c r="G6596" s="114"/>
      <c r="H6596" s="115"/>
      <c r="I6596" s="24" t="s">
        <v>6716</v>
      </c>
      <c r="J6596" s="116">
        <v>4.5</v>
      </c>
      <c r="K6596" s="118">
        <v>548000</v>
      </c>
      <c r="L6596" s="119"/>
      <c r="M6596" s="118">
        <f t="shared" ref="M6596" si="9118">K6596*0.1</f>
        <v>54800</v>
      </c>
      <c r="N6596" s="119"/>
      <c r="O6596" s="118">
        <v>0</v>
      </c>
      <c r="P6596" s="119"/>
      <c r="Q6596" s="118">
        <v>6540</v>
      </c>
      <c r="R6596" s="119"/>
      <c r="S6596" s="118">
        <v>14300</v>
      </c>
      <c r="T6596" s="119"/>
      <c r="U6596" s="118">
        <f t="shared" ref="U6596" si="9119">SUM(K6596:T6597)</f>
        <v>623640</v>
      </c>
      <c r="V6596" s="122"/>
      <c r="W6596" s="124"/>
      <c r="X6596" s="126" t="s">
        <v>18910</v>
      </c>
      <c r="Y6596" s="127"/>
      <c r="Z6596" s="127"/>
      <c r="AA6596" s="127"/>
      <c r="AB6596" s="128"/>
      <c r="AC6596" s="15" t="s">
        <v>20</v>
      </c>
      <c r="AD6596" s="129"/>
      <c r="AE6596" s="130"/>
      <c r="AF6596" s="130"/>
      <c r="AG6596" s="130"/>
      <c r="AH6596" s="130"/>
      <c r="AI6596" s="131"/>
      <c r="AJ6596" s="132"/>
      <c r="AK6596" s="127"/>
      <c r="AL6596" s="128"/>
      <c r="AM6596" s="21" t="s">
        <v>20047</v>
      </c>
      <c r="AN6596" s="133">
        <v>46092</v>
      </c>
      <c r="AO6596" s="134"/>
      <c r="AP6596" s="135">
        <v>1008</v>
      </c>
      <c r="AQ6596" s="136"/>
      <c r="AR6596" s="118">
        <v>550000</v>
      </c>
      <c r="AS6596" s="119"/>
      <c r="AT6596" s="118">
        <f t="shared" ref="AT6596" si="9120">AR6596*0.1</f>
        <v>55000</v>
      </c>
      <c r="AU6596" s="119"/>
      <c r="AV6596" s="118">
        <v>6540</v>
      </c>
      <c r="AW6596" s="119"/>
      <c r="AX6596" s="118">
        <f t="shared" ref="AX6596" si="9121">SUM(AR6596:AW6596)</f>
        <v>611540</v>
      </c>
      <c r="AY6596" s="119"/>
      <c r="AZ6596" s="137">
        <v>46098</v>
      </c>
    </row>
    <row r="6597" spans="1:52" ht="17.100000000000001" customHeight="1" thickBot="1">
      <c r="A6597" s="110"/>
      <c r="B6597" s="27" t="s">
        <v>3281</v>
      </c>
      <c r="C6597" s="27">
        <v>2582</v>
      </c>
      <c r="D6597" s="14" t="s">
        <v>1592</v>
      </c>
      <c r="E6597" s="112"/>
      <c r="F6597" s="139" t="s">
        <v>18870</v>
      </c>
      <c r="G6597" s="140"/>
      <c r="H6597" s="141"/>
      <c r="I6597" s="26">
        <v>52441</v>
      </c>
      <c r="J6597" s="117"/>
      <c r="K6597" s="120"/>
      <c r="L6597" s="121"/>
      <c r="M6597" s="120"/>
      <c r="N6597" s="121"/>
      <c r="O6597" s="120"/>
      <c r="P6597" s="121"/>
      <c r="Q6597" s="120"/>
      <c r="R6597" s="121"/>
      <c r="S6597" s="120"/>
      <c r="T6597" s="121"/>
      <c r="U6597" s="120"/>
      <c r="V6597" s="123"/>
      <c r="W6597" s="125"/>
      <c r="X6597" s="142" t="s">
        <v>19207</v>
      </c>
      <c r="Y6597" s="143"/>
      <c r="Z6597" s="143"/>
      <c r="AA6597" s="143"/>
      <c r="AB6597" s="144"/>
      <c r="AC6597" s="16" t="s">
        <v>21</v>
      </c>
      <c r="AD6597" s="17" t="s">
        <v>1714</v>
      </c>
      <c r="AE6597" s="145"/>
      <c r="AF6597" s="146"/>
      <c r="AG6597" s="146"/>
      <c r="AH6597" s="146"/>
      <c r="AI6597" s="147"/>
      <c r="AJ6597" s="148"/>
      <c r="AK6597" s="143"/>
      <c r="AL6597" s="144"/>
      <c r="AM6597" s="22"/>
      <c r="AN6597" s="149" t="s">
        <v>19938</v>
      </c>
      <c r="AO6597" s="144"/>
      <c r="AP6597" s="148">
        <v>2046</v>
      </c>
      <c r="AQ6597" s="144"/>
      <c r="AR6597" s="120"/>
      <c r="AS6597" s="121"/>
      <c r="AT6597" s="120"/>
      <c r="AU6597" s="121"/>
      <c r="AV6597" s="120"/>
      <c r="AW6597" s="121"/>
      <c r="AX6597" s="120"/>
      <c r="AY6597" s="121"/>
      <c r="AZ6597" s="138"/>
    </row>
    <row r="6598" spans="1:52" ht="17.100000000000001" customHeight="1" thickTop="1">
      <c r="A6598" s="109" t="s">
        <v>18985</v>
      </c>
      <c r="B6598" s="28">
        <v>46080</v>
      </c>
      <c r="C6598" s="25">
        <v>280</v>
      </c>
      <c r="D6598" s="13" t="s">
        <v>1586</v>
      </c>
      <c r="E6598" s="111"/>
      <c r="F6598" s="113" t="s">
        <v>9187</v>
      </c>
      <c r="G6598" s="114"/>
      <c r="H6598" s="115"/>
      <c r="I6598" s="24"/>
      <c r="J6598" s="116">
        <v>4</v>
      </c>
      <c r="K6598" s="118">
        <v>590000</v>
      </c>
      <c r="L6598" s="119"/>
      <c r="M6598" s="118">
        <f t="shared" ref="M6598" si="9122">K6598*0.1</f>
        <v>59000</v>
      </c>
      <c r="N6598" s="119"/>
      <c r="O6598" s="118">
        <v>0</v>
      </c>
      <c r="P6598" s="119"/>
      <c r="Q6598" s="118">
        <v>9310</v>
      </c>
      <c r="R6598" s="119"/>
      <c r="S6598" s="118">
        <v>22000</v>
      </c>
      <c r="T6598" s="119"/>
      <c r="U6598" s="118">
        <f t="shared" ref="U6598" si="9123">SUM(K6598:T6599)</f>
        <v>680310</v>
      </c>
      <c r="V6598" s="122"/>
      <c r="W6598" s="124"/>
      <c r="X6598" s="126" t="s">
        <v>19349</v>
      </c>
      <c r="Y6598" s="127"/>
      <c r="Z6598" s="127"/>
      <c r="AA6598" s="127"/>
      <c r="AB6598" s="128"/>
      <c r="AC6598" s="15" t="s">
        <v>20</v>
      </c>
      <c r="AD6598" s="129"/>
      <c r="AE6598" s="130"/>
      <c r="AF6598" s="130"/>
      <c r="AG6598" s="130"/>
      <c r="AH6598" s="130"/>
      <c r="AI6598" s="131"/>
      <c r="AJ6598" s="132"/>
      <c r="AK6598" s="127"/>
      <c r="AL6598" s="128"/>
      <c r="AM6598" s="21"/>
      <c r="AN6598" s="133">
        <v>46102</v>
      </c>
      <c r="AO6598" s="134"/>
      <c r="AP6598" s="135">
        <v>1293</v>
      </c>
      <c r="AQ6598" s="136"/>
      <c r="AR6598" s="118">
        <v>660000</v>
      </c>
      <c r="AS6598" s="119"/>
      <c r="AT6598" s="118">
        <f t="shared" ref="AT6598" si="9124">AR6598*0.1</f>
        <v>66000</v>
      </c>
      <c r="AU6598" s="119"/>
      <c r="AV6598" s="118">
        <v>9310</v>
      </c>
      <c r="AW6598" s="119"/>
      <c r="AX6598" s="118">
        <f t="shared" ref="AX6598" si="9125">SUM(AR6598:AW6598)</f>
        <v>735310</v>
      </c>
      <c r="AY6598" s="119"/>
      <c r="AZ6598" s="137">
        <v>46111</v>
      </c>
    </row>
    <row r="6599" spans="1:52" ht="17.100000000000001" customHeight="1" thickBot="1">
      <c r="A6599" s="110"/>
      <c r="B6599" s="27" t="s">
        <v>3957</v>
      </c>
      <c r="C6599" s="27">
        <v>5</v>
      </c>
      <c r="D6599" s="14" t="s">
        <v>3855</v>
      </c>
      <c r="E6599" s="112"/>
      <c r="F6599" s="139" t="s">
        <v>18885</v>
      </c>
      <c r="G6599" s="140"/>
      <c r="H6599" s="141"/>
      <c r="I6599" s="26">
        <v>46261</v>
      </c>
      <c r="J6599" s="117"/>
      <c r="K6599" s="120"/>
      <c r="L6599" s="121"/>
      <c r="M6599" s="120"/>
      <c r="N6599" s="121"/>
      <c r="O6599" s="120"/>
      <c r="P6599" s="121"/>
      <c r="Q6599" s="120"/>
      <c r="R6599" s="121"/>
      <c r="S6599" s="120"/>
      <c r="T6599" s="121"/>
      <c r="U6599" s="120"/>
      <c r="V6599" s="123"/>
      <c r="W6599" s="125"/>
      <c r="X6599" s="142" t="s">
        <v>19350</v>
      </c>
      <c r="Y6599" s="143"/>
      <c r="Z6599" s="143"/>
      <c r="AA6599" s="143"/>
      <c r="AB6599" s="144"/>
      <c r="AC6599" s="16" t="s">
        <v>21</v>
      </c>
      <c r="AD6599" s="17" t="s">
        <v>859</v>
      </c>
      <c r="AE6599" s="145"/>
      <c r="AF6599" s="146"/>
      <c r="AG6599" s="146"/>
      <c r="AH6599" s="146"/>
      <c r="AI6599" s="147"/>
      <c r="AJ6599" s="148"/>
      <c r="AK6599" s="143"/>
      <c r="AL6599" s="144"/>
      <c r="AM6599" s="22"/>
      <c r="AN6599" s="149" t="s">
        <v>6748</v>
      </c>
      <c r="AO6599" s="144"/>
      <c r="AP6599" s="148">
        <v>60076</v>
      </c>
      <c r="AQ6599" s="144"/>
      <c r="AR6599" s="120"/>
      <c r="AS6599" s="121"/>
      <c r="AT6599" s="120"/>
      <c r="AU6599" s="121"/>
      <c r="AV6599" s="120"/>
      <c r="AW6599" s="121"/>
      <c r="AX6599" s="120"/>
      <c r="AY6599" s="121"/>
      <c r="AZ6599" s="138"/>
    </row>
    <row r="6600" spans="1:52" ht="17.100000000000001" customHeight="1" thickTop="1">
      <c r="A6600" s="109" t="s">
        <v>18986</v>
      </c>
      <c r="B6600" s="28">
        <v>46080</v>
      </c>
      <c r="C6600" s="25">
        <v>280</v>
      </c>
      <c r="D6600" s="13" t="s">
        <v>2272</v>
      </c>
      <c r="E6600" s="111"/>
      <c r="F6600" s="113" t="s">
        <v>5228</v>
      </c>
      <c r="G6600" s="114"/>
      <c r="H6600" s="115"/>
      <c r="I6600" s="24" t="s">
        <v>6716</v>
      </c>
      <c r="J6600" s="150" t="s">
        <v>1715</v>
      </c>
      <c r="K6600" s="118">
        <v>648000</v>
      </c>
      <c r="L6600" s="119"/>
      <c r="M6600" s="118">
        <f t="shared" ref="M6600" si="9126">K6600*0.1</f>
        <v>64800</v>
      </c>
      <c r="N6600" s="119"/>
      <c r="O6600" s="118">
        <v>0</v>
      </c>
      <c r="P6600" s="119"/>
      <c r="Q6600" s="118">
        <v>11100</v>
      </c>
      <c r="R6600" s="119"/>
      <c r="S6600" s="118">
        <v>22000</v>
      </c>
      <c r="T6600" s="119"/>
      <c r="U6600" s="118">
        <f t="shared" ref="U6600" si="9127">SUM(K6600:T6601)</f>
        <v>745900</v>
      </c>
      <c r="V6600" s="122"/>
      <c r="W6600" s="124"/>
      <c r="X6600" s="126" t="s">
        <v>18887</v>
      </c>
      <c r="Y6600" s="127"/>
      <c r="Z6600" s="127"/>
      <c r="AA6600" s="127"/>
      <c r="AB6600" s="128"/>
      <c r="AC6600" s="15" t="s">
        <v>20</v>
      </c>
      <c r="AD6600" s="129"/>
      <c r="AE6600" s="130"/>
      <c r="AF6600" s="130"/>
      <c r="AG6600" s="130"/>
      <c r="AH6600" s="130"/>
      <c r="AI6600" s="131"/>
      <c r="AJ6600" s="132" t="s">
        <v>20293</v>
      </c>
      <c r="AK6600" s="127"/>
      <c r="AL6600" s="128"/>
      <c r="AM6600" s="21" t="s">
        <v>20046</v>
      </c>
      <c r="AN6600" s="133">
        <v>46092</v>
      </c>
      <c r="AO6600" s="134"/>
      <c r="AP6600" s="135">
        <v>1008</v>
      </c>
      <c r="AQ6600" s="136"/>
      <c r="AR6600" s="118">
        <v>745000</v>
      </c>
      <c r="AS6600" s="119"/>
      <c r="AT6600" s="118">
        <f t="shared" ref="AT6600" si="9128">AR6600*0.1</f>
        <v>74500</v>
      </c>
      <c r="AU6600" s="119"/>
      <c r="AV6600" s="118">
        <v>11100</v>
      </c>
      <c r="AW6600" s="119"/>
      <c r="AX6600" s="118">
        <f t="shared" ref="AX6600" si="9129">SUM(AR6600:AW6600)</f>
        <v>830600</v>
      </c>
      <c r="AY6600" s="119"/>
      <c r="AZ6600" s="137">
        <v>46098</v>
      </c>
    </row>
    <row r="6601" spans="1:52" ht="17.100000000000001" customHeight="1" thickBot="1">
      <c r="A6601" s="110"/>
      <c r="B6601" s="27" t="s">
        <v>3957</v>
      </c>
      <c r="C6601" s="27">
        <v>49</v>
      </c>
      <c r="D6601" s="14" t="s">
        <v>1720</v>
      </c>
      <c r="E6601" s="112"/>
      <c r="F6601" s="139" t="s">
        <v>18886</v>
      </c>
      <c r="G6601" s="140"/>
      <c r="H6601" s="141"/>
      <c r="I6601" s="26">
        <v>13167</v>
      </c>
      <c r="J6601" s="117"/>
      <c r="K6601" s="120"/>
      <c r="L6601" s="121"/>
      <c r="M6601" s="120"/>
      <c r="N6601" s="121"/>
      <c r="O6601" s="120"/>
      <c r="P6601" s="121"/>
      <c r="Q6601" s="120"/>
      <c r="R6601" s="121"/>
      <c r="S6601" s="120"/>
      <c r="T6601" s="121"/>
      <c r="U6601" s="120"/>
      <c r="V6601" s="123"/>
      <c r="W6601" s="125"/>
      <c r="X6601" s="142" t="s">
        <v>19356</v>
      </c>
      <c r="Y6601" s="143"/>
      <c r="Z6601" s="143"/>
      <c r="AA6601" s="143"/>
      <c r="AB6601" s="144"/>
      <c r="AC6601" s="16" t="s">
        <v>21</v>
      </c>
      <c r="AD6601" s="17" t="s">
        <v>859</v>
      </c>
      <c r="AE6601" s="145" t="s">
        <v>171</v>
      </c>
      <c r="AF6601" s="146"/>
      <c r="AG6601" s="146"/>
      <c r="AH6601" s="146"/>
      <c r="AI6601" s="147"/>
      <c r="AJ6601" s="148" t="s">
        <v>20294</v>
      </c>
      <c r="AK6601" s="143"/>
      <c r="AL6601" s="144"/>
      <c r="AM6601" s="22"/>
      <c r="AN6601" s="149" t="s">
        <v>19938</v>
      </c>
      <c r="AO6601" s="144"/>
      <c r="AP6601" s="148">
        <v>2040</v>
      </c>
      <c r="AQ6601" s="144"/>
      <c r="AR6601" s="120"/>
      <c r="AS6601" s="121"/>
      <c r="AT6601" s="120"/>
      <c r="AU6601" s="121"/>
      <c r="AV6601" s="120"/>
      <c r="AW6601" s="121"/>
      <c r="AX6601" s="120"/>
      <c r="AY6601" s="121"/>
      <c r="AZ6601" s="138"/>
    </row>
    <row r="6602" spans="1:52" ht="17.100000000000001" customHeight="1" thickTop="1">
      <c r="A6602" s="109" t="s">
        <v>18987</v>
      </c>
      <c r="B6602" s="28">
        <v>46080</v>
      </c>
      <c r="C6602" s="25">
        <v>280</v>
      </c>
      <c r="D6602" s="13" t="s">
        <v>2564</v>
      </c>
      <c r="E6602" s="111"/>
      <c r="F6602" s="113" t="s">
        <v>7065</v>
      </c>
      <c r="G6602" s="114"/>
      <c r="H6602" s="115"/>
      <c r="I6602" s="24"/>
      <c r="J6602" s="116">
        <v>3.5</v>
      </c>
      <c r="K6602" s="118">
        <v>210000</v>
      </c>
      <c r="L6602" s="119"/>
      <c r="M6602" s="118">
        <f t="shared" ref="M6602" si="9130">K6602*0.1</f>
        <v>21000</v>
      </c>
      <c r="N6602" s="119"/>
      <c r="O6602" s="118">
        <v>0</v>
      </c>
      <c r="P6602" s="119"/>
      <c r="Q6602" s="118">
        <v>8930</v>
      </c>
      <c r="R6602" s="119"/>
      <c r="S6602" s="118">
        <v>22000</v>
      </c>
      <c r="T6602" s="119"/>
      <c r="U6602" s="118">
        <f t="shared" ref="U6602" si="9131">SUM(K6602:T6603)</f>
        <v>261930</v>
      </c>
      <c r="V6602" s="122"/>
      <c r="W6602" s="124"/>
      <c r="X6602" s="126" t="s">
        <v>19311</v>
      </c>
      <c r="Y6602" s="127"/>
      <c r="Z6602" s="127"/>
      <c r="AA6602" s="127"/>
      <c r="AB6602" s="128"/>
      <c r="AC6602" s="15" t="s">
        <v>20</v>
      </c>
      <c r="AD6602" s="129"/>
      <c r="AE6602" s="130"/>
      <c r="AF6602" s="130"/>
      <c r="AG6602" s="130"/>
      <c r="AH6602" s="130"/>
      <c r="AI6602" s="131"/>
      <c r="AJ6602" s="132"/>
      <c r="AK6602" s="127"/>
      <c r="AL6602" s="128"/>
      <c r="AM6602" s="21"/>
      <c r="AN6602" s="133">
        <v>46085</v>
      </c>
      <c r="AO6602" s="134"/>
      <c r="AP6602" s="135">
        <v>1007</v>
      </c>
      <c r="AQ6602" s="136"/>
      <c r="AR6602" s="118">
        <v>305000</v>
      </c>
      <c r="AS6602" s="119"/>
      <c r="AT6602" s="118">
        <f t="shared" ref="AT6602" si="9132">AR6602*0.1</f>
        <v>30500</v>
      </c>
      <c r="AU6602" s="119"/>
      <c r="AV6602" s="118">
        <v>8930</v>
      </c>
      <c r="AW6602" s="119"/>
      <c r="AX6602" s="118">
        <f t="shared" ref="AX6602" si="9133">SUM(AR6602:AW6602)</f>
        <v>344430</v>
      </c>
      <c r="AY6602" s="119"/>
      <c r="AZ6602" s="137">
        <v>46090</v>
      </c>
    </row>
    <row r="6603" spans="1:52" ht="17.100000000000001" customHeight="1" thickBot="1">
      <c r="A6603" s="110"/>
      <c r="B6603" s="27" t="s">
        <v>3957</v>
      </c>
      <c r="C6603" s="27">
        <v>50</v>
      </c>
      <c r="D6603" s="14" t="s">
        <v>133</v>
      </c>
      <c r="E6603" s="112"/>
      <c r="F6603" s="139" t="s">
        <v>18889</v>
      </c>
      <c r="G6603" s="140"/>
      <c r="H6603" s="141"/>
      <c r="I6603" s="26">
        <v>56602</v>
      </c>
      <c r="J6603" s="117"/>
      <c r="K6603" s="120"/>
      <c r="L6603" s="121"/>
      <c r="M6603" s="120"/>
      <c r="N6603" s="121"/>
      <c r="O6603" s="120"/>
      <c r="P6603" s="121"/>
      <c r="Q6603" s="120"/>
      <c r="R6603" s="121"/>
      <c r="S6603" s="120"/>
      <c r="T6603" s="121"/>
      <c r="U6603" s="120"/>
      <c r="V6603" s="123"/>
      <c r="W6603" s="125"/>
      <c r="X6603" s="142" t="s">
        <v>4423</v>
      </c>
      <c r="Y6603" s="143"/>
      <c r="Z6603" s="143"/>
      <c r="AA6603" s="143"/>
      <c r="AB6603" s="144"/>
      <c r="AC6603" s="16" t="s">
        <v>21</v>
      </c>
      <c r="AD6603" s="17" t="s">
        <v>859</v>
      </c>
      <c r="AE6603" s="145" t="s">
        <v>10697</v>
      </c>
      <c r="AF6603" s="146"/>
      <c r="AG6603" s="146"/>
      <c r="AH6603" s="146"/>
      <c r="AI6603" s="147"/>
      <c r="AJ6603" s="148"/>
      <c r="AK6603" s="143"/>
      <c r="AL6603" s="144"/>
      <c r="AM6603" s="22"/>
      <c r="AN6603" s="149" t="s">
        <v>2794</v>
      </c>
      <c r="AO6603" s="144"/>
      <c r="AP6603" s="148">
        <v>5102</v>
      </c>
      <c r="AQ6603" s="144"/>
      <c r="AR6603" s="120"/>
      <c r="AS6603" s="121"/>
      <c r="AT6603" s="120"/>
      <c r="AU6603" s="121"/>
      <c r="AV6603" s="120"/>
      <c r="AW6603" s="121"/>
      <c r="AX6603" s="120"/>
      <c r="AY6603" s="121"/>
      <c r="AZ6603" s="138"/>
    </row>
    <row r="6604" spans="1:52" ht="17.100000000000001" customHeight="1" thickTop="1">
      <c r="A6604" s="109" t="s">
        <v>18988</v>
      </c>
      <c r="B6604" s="28">
        <v>46080</v>
      </c>
      <c r="C6604" s="25">
        <v>280</v>
      </c>
      <c r="D6604" s="13" t="s">
        <v>1714</v>
      </c>
      <c r="E6604" s="111"/>
      <c r="F6604" s="113" t="s">
        <v>12302</v>
      </c>
      <c r="G6604" s="114"/>
      <c r="H6604" s="115"/>
      <c r="I6604" s="24" t="s">
        <v>2526</v>
      </c>
      <c r="J6604" s="116">
        <v>4.5</v>
      </c>
      <c r="K6604" s="118">
        <v>1153000</v>
      </c>
      <c r="L6604" s="119"/>
      <c r="M6604" s="118">
        <f t="shared" ref="M6604" si="9134">K6604*0.1</f>
        <v>115300</v>
      </c>
      <c r="N6604" s="119"/>
      <c r="O6604" s="118">
        <v>0</v>
      </c>
      <c r="P6604" s="119"/>
      <c r="Q6604" s="118">
        <v>8740</v>
      </c>
      <c r="R6604" s="119"/>
      <c r="S6604" s="118">
        <v>22000</v>
      </c>
      <c r="T6604" s="119"/>
      <c r="U6604" s="118">
        <f t="shared" ref="U6604" si="9135">SUM(K6604:T6605)</f>
        <v>1299040</v>
      </c>
      <c r="V6604" s="122"/>
      <c r="W6604" s="124"/>
      <c r="X6604" s="126" t="s">
        <v>19412</v>
      </c>
      <c r="Y6604" s="127"/>
      <c r="Z6604" s="127"/>
      <c r="AA6604" s="127"/>
      <c r="AB6604" s="128"/>
      <c r="AC6604" s="15" t="s">
        <v>20</v>
      </c>
      <c r="AD6604" s="129"/>
      <c r="AE6604" s="130"/>
      <c r="AF6604" s="130"/>
      <c r="AG6604" s="130"/>
      <c r="AH6604" s="130"/>
      <c r="AI6604" s="131"/>
      <c r="AJ6604" s="132"/>
      <c r="AK6604" s="127"/>
      <c r="AL6604" s="128"/>
      <c r="AM6604" s="21"/>
      <c r="AN6604" s="133">
        <v>46091</v>
      </c>
      <c r="AO6604" s="134"/>
      <c r="AP6604" s="135">
        <v>1932</v>
      </c>
      <c r="AQ6604" s="136"/>
      <c r="AR6604" s="118">
        <v>1188000</v>
      </c>
      <c r="AS6604" s="119"/>
      <c r="AT6604" s="118">
        <f t="shared" ref="AT6604" si="9136">AR6604*0.1</f>
        <v>118800</v>
      </c>
      <c r="AU6604" s="119"/>
      <c r="AV6604" s="118">
        <v>8740</v>
      </c>
      <c r="AW6604" s="119"/>
      <c r="AX6604" s="118">
        <f t="shared" ref="AX6604" si="9137">SUM(AR6604:AW6604)</f>
        <v>1315540</v>
      </c>
      <c r="AY6604" s="119"/>
      <c r="AZ6604" s="137"/>
    </row>
    <row r="6605" spans="1:52" ht="17.100000000000001" customHeight="1" thickBot="1">
      <c r="A6605" s="110"/>
      <c r="B6605" s="27" t="s">
        <v>3957</v>
      </c>
      <c r="C6605" s="27">
        <v>52</v>
      </c>
      <c r="D6605" s="14" t="s">
        <v>2836</v>
      </c>
      <c r="E6605" s="112"/>
      <c r="F6605" s="139" t="s">
        <v>18888</v>
      </c>
      <c r="G6605" s="140"/>
      <c r="H6605" s="141"/>
      <c r="I6605" s="26">
        <v>27893</v>
      </c>
      <c r="J6605" s="117"/>
      <c r="K6605" s="120"/>
      <c r="L6605" s="121"/>
      <c r="M6605" s="120"/>
      <c r="N6605" s="121"/>
      <c r="O6605" s="120"/>
      <c r="P6605" s="121"/>
      <c r="Q6605" s="120"/>
      <c r="R6605" s="121"/>
      <c r="S6605" s="120"/>
      <c r="T6605" s="121"/>
      <c r="U6605" s="120"/>
      <c r="V6605" s="123"/>
      <c r="W6605" s="125"/>
      <c r="X6605" s="142" t="s">
        <v>19413</v>
      </c>
      <c r="Y6605" s="143"/>
      <c r="Z6605" s="143"/>
      <c r="AA6605" s="143"/>
      <c r="AB6605" s="144"/>
      <c r="AC6605" s="16" t="s">
        <v>21</v>
      </c>
      <c r="AD6605" s="17" t="s">
        <v>19391</v>
      </c>
      <c r="AE6605" s="145" t="s">
        <v>19414</v>
      </c>
      <c r="AF6605" s="146"/>
      <c r="AG6605" s="146"/>
      <c r="AH6605" s="146"/>
      <c r="AI6605" s="147"/>
      <c r="AJ6605" s="148"/>
      <c r="AK6605" s="143"/>
      <c r="AL6605" s="144"/>
      <c r="AM6605" s="22"/>
      <c r="AN6605" s="149" t="s">
        <v>2131</v>
      </c>
      <c r="AO6605" s="144"/>
      <c r="AP6605" s="148">
        <v>3185</v>
      </c>
      <c r="AQ6605" s="144"/>
      <c r="AR6605" s="120"/>
      <c r="AS6605" s="121"/>
      <c r="AT6605" s="120"/>
      <c r="AU6605" s="121"/>
      <c r="AV6605" s="120"/>
      <c r="AW6605" s="121"/>
      <c r="AX6605" s="120"/>
      <c r="AY6605" s="121"/>
      <c r="AZ6605" s="138"/>
    </row>
    <row r="6606" spans="1:52" ht="17.100000000000001" customHeight="1" thickTop="1">
      <c r="A6606" s="109" t="s">
        <v>18989</v>
      </c>
      <c r="B6606" s="28">
        <v>46080</v>
      </c>
      <c r="C6606" s="25">
        <v>280</v>
      </c>
      <c r="D6606" s="13" t="s">
        <v>2043</v>
      </c>
      <c r="E6606" s="111"/>
      <c r="F6606" s="113" t="s">
        <v>4653</v>
      </c>
      <c r="G6606" s="114"/>
      <c r="H6606" s="115"/>
      <c r="I6606" s="24" t="s">
        <v>3317</v>
      </c>
      <c r="J6606" s="116">
        <v>4.5</v>
      </c>
      <c r="K6606" s="118">
        <v>1888000</v>
      </c>
      <c r="L6606" s="119"/>
      <c r="M6606" s="118">
        <f t="shared" ref="M6606" si="9138">K6606*0.1</f>
        <v>188800</v>
      </c>
      <c r="N6606" s="119"/>
      <c r="O6606" s="118">
        <v>0</v>
      </c>
      <c r="P6606" s="119"/>
      <c r="Q6606" s="118">
        <v>6180</v>
      </c>
      <c r="R6606" s="119"/>
      <c r="S6606" s="118">
        <v>22000</v>
      </c>
      <c r="T6606" s="119"/>
      <c r="U6606" s="118">
        <f t="shared" ref="U6606" si="9139">SUM(K6606:T6607)</f>
        <v>2104980</v>
      </c>
      <c r="V6606" s="122"/>
      <c r="W6606" s="124"/>
      <c r="X6606" s="126" t="s">
        <v>18891</v>
      </c>
      <c r="Y6606" s="127"/>
      <c r="Z6606" s="127"/>
      <c r="AA6606" s="127"/>
      <c r="AB6606" s="128"/>
      <c r="AC6606" s="15" t="s">
        <v>20</v>
      </c>
      <c r="AD6606" s="129" t="s">
        <v>7905</v>
      </c>
      <c r="AE6606" s="130"/>
      <c r="AF6606" s="130"/>
      <c r="AG6606" s="130"/>
      <c r="AH6606" s="130"/>
      <c r="AI6606" s="131"/>
      <c r="AJ6606" s="132"/>
      <c r="AK6606" s="127"/>
      <c r="AL6606" s="128"/>
      <c r="AM6606" s="21" t="s">
        <v>20976</v>
      </c>
      <c r="AN6606" s="133">
        <v>46127</v>
      </c>
      <c r="AO6606" s="134"/>
      <c r="AP6606" s="135">
        <v>1013</v>
      </c>
      <c r="AQ6606" s="136"/>
      <c r="AR6606" s="118">
        <v>1950000</v>
      </c>
      <c r="AS6606" s="119"/>
      <c r="AT6606" s="118">
        <f t="shared" ref="AT6606" si="9140">AR6606*0.1</f>
        <v>195000</v>
      </c>
      <c r="AU6606" s="119"/>
      <c r="AV6606" s="118">
        <v>6180</v>
      </c>
      <c r="AW6606" s="119"/>
      <c r="AX6606" s="118">
        <f t="shared" ref="AX6606" si="9141">SUM(AR6606:AW6606)</f>
        <v>2151180</v>
      </c>
      <c r="AY6606" s="119"/>
      <c r="AZ6606" s="137">
        <v>46132</v>
      </c>
    </row>
    <row r="6607" spans="1:52" ht="17.100000000000001" customHeight="1" thickBot="1">
      <c r="A6607" s="110"/>
      <c r="B6607" s="27" t="s">
        <v>3957</v>
      </c>
      <c r="C6607" s="27">
        <v>104</v>
      </c>
      <c r="D6607" s="14" t="s">
        <v>1812</v>
      </c>
      <c r="E6607" s="112"/>
      <c r="F6607" s="139" t="s">
        <v>18890</v>
      </c>
      <c r="G6607" s="140"/>
      <c r="H6607" s="141"/>
      <c r="I6607" s="26">
        <v>3736</v>
      </c>
      <c r="J6607" s="117"/>
      <c r="K6607" s="120"/>
      <c r="L6607" s="121"/>
      <c r="M6607" s="120"/>
      <c r="N6607" s="121"/>
      <c r="O6607" s="120"/>
      <c r="P6607" s="121"/>
      <c r="Q6607" s="120"/>
      <c r="R6607" s="121"/>
      <c r="S6607" s="120"/>
      <c r="T6607" s="121"/>
      <c r="U6607" s="120"/>
      <c r="V6607" s="123"/>
      <c r="W6607" s="125"/>
      <c r="X6607" s="142" t="s">
        <v>1693</v>
      </c>
      <c r="Y6607" s="143"/>
      <c r="Z6607" s="143"/>
      <c r="AA6607" s="143"/>
      <c r="AB6607" s="144"/>
      <c r="AC6607" s="16" t="s">
        <v>21</v>
      </c>
      <c r="AD6607" s="17" t="s">
        <v>859</v>
      </c>
      <c r="AE6607" s="145" t="s">
        <v>1742</v>
      </c>
      <c r="AF6607" s="146"/>
      <c r="AG6607" s="146"/>
      <c r="AH6607" s="146"/>
      <c r="AI6607" s="147"/>
      <c r="AJ6607" s="148"/>
      <c r="AK6607" s="143"/>
      <c r="AL6607" s="144"/>
      <c r="AM6607" s="22"/>
      <c r="AN6607" s="149" t="s">
        <v>23333</v>
      </c>
      <c r="AO6607" s="144"/>
      <c r="AP6607" s="148">
        <v>2096</v>
      </c>
      <c r="AQ6607" s="144"/>
      <c r="AR6607" s="120"/>
      <c r="AS6607" s="121"/>
      <c r="AT6607" s="120"/>
      <c r="AU6607" s="121"/>
      <c r="AV6607" s="120"/>
      <c r="AW6607" s="121"/>
      <c r="AX6607" s="120"/>
      <c r="AY6607" s="121"/>
      <c r="AZ6607" s="138"/>
    </row>
    <row r="6608" spans="1:52" ht="17.100000000000001" customHeight="1" thickTop="1">
      <c r="A6608" s="109" t="s">
        <v>18990</v>
      </c>
      <c r="B6608" s="28">
        <v>46080</v>
      </c>
      <c r="C6608" s="25">
        <v>280</v>
      </c>
      <c r="D6608" s="13" t="s">
        <v>2465</v>
      </c>
      <c r="E6608" s="111"/>
      <c r="F6608" s="113" t="s">
        <v>3908</v>
      </c>
      <c r="G6608" s="114"/>
      <c r="H6608" s="115"/>
      <c r="I6608" s="24"/>
      <c r="J6608" s="116">
        <v>4</v>
      </c>
      <c r="K6608" s="118">
        <v>644000</v>
      </c>
      <c r="L6608" s="119"/>
      <c r="M6608" s="118">
        <f t="shared" ref="M6608" si="9142">K6608*0.1</f>
        <v>64400</v>
      </c>
      <c r="N6608" s="119"/>
      <c r="O6608" s="118">
        <v>0</v>
      </c>
      <c r="P6608" s="119"/>
      <c r="Q6608" s="118">
        <v>7950</v>
      </c>
      <c r="R6608" s="119"/>
      <c r="S6608" s="118">
        <v>22000</v>
      </c>
      <c r="T6608" s="119"/>
      <c r="U6608" s="118">
        <f t="shared" ref="U6608" si="9143">SUM(K6608:T6609)</f>
        <v>738350</v>
      </c>
      <c r="V6608" s="122"/>
      <c r="W6608" s="124"/>
      <c r="X6608" s="126" t="s">
        <v>19459</v>
      </c>
      <c r="Y6608" s="127"/>
      <c r="Z6608" s="127"/>
      <c r="AA6608" s="127"/>
      <c r="AB6608" s="128"/>
      <c r="AC6608" s="15" t="s">
        <v>20</v>
      </c>
      <c r="AD6608" s="129" t="s">
        <v>9186</v>
      </c>
      <c r="AE6608" s="130"/>
      <c r="AF6608" s="130"/>
      <c r="AG6608" s="130"/>
      <c r="AH6608" s="130"/>
      <c r="AI6608" s="131"/>
      <c r="AJ6608" s="132"/>
      <c r="AK6608" s="127"/>
      <c r="AL6608" s="128"/>
      <c r="AM6608" s="21"/>
      <c r="AN6608" s="133">
        <v>46134</v>
      </c>
      <c r="AO6608" s="134"/>
      <c r="AP6608" s="135">
        <v>1014</v>
      </c>
      <c r="AQ6608" s="136"/>
      <c r="AR6608" s="118">
        <v>710000</v>
      </c>
      <c r="AS6608" s="119"/>
      <c r="AT6608" s="118">
        <f t="shared" ref="AT6608" si="9144">AR6608*0.1</f>
        <v>71000</v>
      </c>
      <c r="AU6608" s="119"/>
      <c r="AV6608" s="118">
        <v>7950</v>
      </c>
      <c r="AW6608" s="119"/>
      <c r="AX6608" s="118">
        <f t="shared" ref="AX6608" si="9145">SUM(AR6608:AW6608)</f>
        <v>788950</v>
      </c>
      <c r="AY6608" s="119"/>
      <c r="AZ6608" s="137">
        <v>46139</v>
      </c>
    </row>
    <row r="6609" spans="1:52" ht="17.100000000000001" customHeight="1" thickBot="1">
      <c r="A6609" s="110"/>
      <c r="B6609" s="27" t="s">
        <v>3957</v>
      </c>
      <c r="C6609" s="27">
        <v>80064</v>
      </c>
      <c r="D6609" s="14" t="s">
        <v>18226</v>
      </c>
      <c r="E6609" s="112"/>
      <c r="F6609" s="139" t="s">
        <v>18892</v>
      </c>
      <c r="G6609" s="140"/>
      <c r="H6609" s="141"/>
      <c r="I6609" s="26">
        <v>20324</v>
      </c>
      <c r="J6609" s="117"/>
      <c r="K6609" s="120"/>
      <c r="L6609" s="121"/>
      <c r="M6609" s="120"/>
      <c r="N6609" s="121"/>
      <c r="O6609" s="120"/>
      <c r="P6609" s="121"/>
      <c r="Q6609" s="120"/>
      <c r="R6609" s="121"/>
      <c r="S6609" s="120"/>
      <c r="T6609" s="121"/>
      <c r="U6609" s="120"/>
      <c r="V6609" s="123"/>
      <c r="W6609" s="125"/>
      <c r="X6609" s="142" t="s">
        <v>17728</v>
      </c>
      <c r="Y6609" s="143"/>
      <c r="Z6609" s="143"/>
      <c r="AA6609" s="143"/>
      <c r="AB6609" s="144"/>
      <c r="AC6609" s="16" t="s">
        <v>21</v>
      </c>
      <c r="AD6609" s="17" t="s">
        <v>2681</v>
      </c>
      <c r="AE6609" s="145" t="s">
        <v>10559</v>
      </c>
      <c r="AF6609" s="146"/>
      <c r="AG6609" s="146"/>
      <c r="AH6609" s="146"/>
      <c r="AI6609" s="147"/>
      <c r="AJ6609" s="148" t="s">
        <v>19161</v>
      </c>
      <c r="AK6609" s="143"/>
      <c r="AL6609" s="144"/>
      <c r="AM6609" s="22"/>
      <c r="AN6609" s="149" t="s">
        <v>23987</v>
      </c>
      <c r="AO6609" s="144"/>
      <c r="AP6609" s="148">
        <v>2012</v>
      </c>
      <c r="AQ6609" s="144"/>
      <c r="AR6609" s="120"/>
      <c r="AS6609" s="121"/>
      <c r="AT6609" s="120"/>
      <c r="AU6609" s="121"/>
      <c r="AV6609" s="120"/>
      <c r="AW6609" s="121"/>
      <c r="AX6609" s="120"/>
      <c r="AY6609" s="121"/>
      <c r="AZ6609" s="138"/>
    </row>
    <row r="6610" spans="1:52" ht="17.100000000000001" customHeight="1" thickTop="1">
      <c r="A6610" s="109" t="s">
        <v>18991</v>
      </c>
      <c r="B6610" s="28">
        <v>46080</v>
      </c>
      <c r="C6610" s="25">
        <v>96</v>
      </c>
      <c r="D6610" s="13" t="s">
        <v>3461</v>
      </c>
      <c r="E6610" s="111"/>
      <c r="F6610" s="113" t="s">
        <v>9488</v>
      </c>
      <c r="G6610" s="114"/>
      <c r="H6610" s="115"/>
      <c r="I6610" s="24" t="s">
        <v>2584</v>
      </c>
      <c r="J6610" s="116">
        <v>4.5</v>
      </c>
      <c r="K6610" s="118">
        <v>1575000</v>
      </c>
      <c r="L6610" s="119"/>
      <c r="M6610" s="118">
        <f t="shared" ref="M6610" si="9146">K6610*0.1</f>
        <v>157500</v>
      </c>
      <c r="N6610" s="119"/>
      <c r="O6610" s="118">
        <v>0</v>
      </c>
      <c r="P6610" s="119"/>
      <c r="Q6610" s="118">
        <v>7470</v>
      </c>
      <c r="R6610" s="119"/>
      <c r="S6610" s="118">
        <v>0</v>
      </c>
      <c r="T6610" s="119"/>
      <c r="U6610" s="118">
        <f t="shared" ref="U6610" si="9147">SUM(K6610:T6611)</f>
        <v>1739970</v>
      </c>
      <c r="V6610" s="122"/>
      <c r="W6610" s="124"/>
      <c r="X6610" s="126" t="s">
        <v>21325</v>
      </c>
      <c r="Y6610" s="127"/>
      <c r="Z6610" s="127"/>
      <c r="AA6610" s="127"/>
      <c r="AB6610" s="128"/>
      <c r="AC6610" s="15" t="s">
        <v>20</v>
      </c>
      <c r="AD6610" s="129" t="s">
        <v>18371</v>
      </c>
      <c r="AE6610" s="130"/>
      <c r="AF6610" s="130"/>
      <c r="AG6610" s="130"/>
      <c r="AH6610" s="130"/>
      <c r="AI6610" s="131"/>
      <c r="AJ6610" s="132"/>
      <c r="AK6610" s="127"/>
      <c r="AL6610" s="128"/>
      <c r="AM6610" s="21"/>
      <c r="AN6610" s="133">
        <v>46102</v>
      </c>
      <c r="AO6610" s="134"/>
      <c r="AP6610" s="135">
        <v>1293</v>
      </c>
      <c r="AQ6610" s="136"/>
      <c r="AR6610" s="118">
        <v>1625000</v>
      </c>
      <c r="AS6610" s="119"/>
      <c r="AT6610" s="118">
        <f t="shared" ref="AT6610" si="9148">AR6610*0.1</f>
        <v>162500</v>
      </c>
      <c r="AU6610" s="119"/>
      <c r="AV6610" s="118">
        <v>7470</v>
      </c>
      <c r="AW6610" s="119"/>
      <c r="AX6610" s="118">
        <f t="shared" ref="AX6610" si="9149">SUM(AR6610:AW6610)</f>
        <v>1794970</v>
      </c>
      <c r="AY6610" s="119"/>
      <c r="AZ6610" s="137">
        <v>46111</v>
      </c>
    </row>
    <row r="6611" spans="1:52" ht="17.100000000000001" customHeight="1" thickBot="1">
      <c r="A6611" s="110"/>
      <c r="B6611" s="27" t="s">
        <v>4544</v>
      </c>
      <c r="C6611" s="27">
        <v>1028</v>
      </c>
      <c r="D6611" s="14" t="s">
        <v>2601</v>
      </c>
      <c r="E6611" s="112"/>
      <c r="F6611" s="139" t="s">
        <v>18947</v>
      </c>
      <c r="G6611" s="140"/>
      <c r="H6611" s="141"/>
      <c r="I6611" s="26">
        <v>36965</v>
      </c>
      <c r="J6611" s="117"/>
      <c r="K6611" s="120"/>
      <c r="L6611" s="121"/>
      <c r="M6611" s="120"/>
      <c r="N6611" s="121"/>
      <c r="O6611" s="120"/>
      <c r="P6611" s="121"/>
      <c r="Q6611" s="120"/>
      <c r="R6611" s="121"/>
      <c r="S6611" s="120"/>
      <c r="T6611" s="121"/>
      <c r="U6611" s="120"/>
      <c r="V6611" s="123"/>
      <c r="W6611" s="125"/>
      <c r="X6611" s="142" t="s">
        <v>21326</v>
      </c>
      <c r="Y6611" s="143"/>
      <c r="Z6611" s="143"/>
      <c r="AA6611" s="143"/>
      <c r="AB6611" s="144"/>
      <c r="AC6611" s="16" t="s">
        <v>21</v>
      </c>
      <c r="AD6611" s="17" t="s">
        <v>21317</v>
      </c>
      <c r="AE6611" s="145" t="s">
        <v>21327</v>
      </c>
      <c r="AF6611" s="146"/>
      <c r="AG6611" s="146"/>
      <c r="AH6611" s="146"/>
      <c r="AI6611" s="147"/>
      <c r="AJ6611" s="148"/>
      <c r="AK6611" s="143"/>
      <c r="AL6611" s="144"/>
      <c r="AM6611" s="22"/>
      <c r="AN6611" s="149" t="s">
        <v>2511</v>
      </c>
      <c r="AO6611" s="144"/>
      <c r="AP6611" s="148">
        <v>37107</v>
      </c>
      <c r="AQ6611" s="144"/>
      <c r="AR6611" s="120"/>
      <c r="AS6611" s="121"/>
      <c r="AT6611" s="120"/>
      <c r="AU6611" s="121"/>
      <c r="AV6611" s="120"/>
      <c r="AW6611" s="121"/>
      <c r="AX6611" s="120"/>
      <c r="AY6611" s="121"/>
      <c r="AZ6611" s="138"/>
    </row>
    <row r="6612" spans="1:52" ht="17.100000000000001" customHeight="1" thickTop="1">
      <c r="A6612" s="109" t="s">
        <v>18992</v>
      </c>
      <c r="B6612" s="28">
        <v>46080</v>
      </c>
      <c r="C6612" s="25">
        <v>1780</v>
      </c>
      <c r="D6612" s="13" t="s">
        <v>1714</v>
      </c>
      <c r="E6612" s="111"/>
      <c r="F6612" s="113" t="s">
        <v>1573</v>
      </c>
      <c r="G6612" s="114"/>
      <c r="H6612" s="115"/>
      <c r="I6612" s="24"/>
      <c r="J6612" s="116">
        <v>5</v>
      </c>
      <c r="K6612" s="118">
        <v>2397000</v>
      </c>
      <c r="L6612" s="119"/>
      <c r="M6612" s="118">
        <f t="shared" ref="M6612" si="9150">K6612*0.1</f>
        <v>239700</v>
      </c>
      <c r="N6612" s="119"/>
      <c r="O6612" s="118">
        <v>0</v>
      </c>
      <c r="P6612" s="119"/>
      <c r="Q6612" s="118">
        <v>16160</v>
      </c>
      <c r="R6612" s="119"/>
      <c r="S6612" s="118">
        <v>17600</v>
      </c>
      <c r="T6612" s="119"/>
      <c r="U6612" s="118">
        <f t="shared" ref="U6612" si="9151">SUM(K6612:T6613)</f>
        <v>2670460</v>
      </c>
      <c r="V6612" s="122"/>
      <c r="W6612" s="124"/>
      <c r="X6612" s="126" t="s">
        <v>19325</v>
      </c>
      <c r="Y6612" s="127"/>
      <c r="Z6612" s="127"/>
      <c r="AA6612" s="127"/>
      <c r="AB6612" s="128"/>
      <c r="AC6612" s="15" t="s">
        <v>20</v>
      </c>
      <c r="AD6612" s="129" t="s">
        <v>1633</v>
      </c>
      <c r="AE6612" s="130"/>
      <c r="AF6612" s="130"/>
      <c r="AG6612" s="130"/>
      <c r="AH6612" s="130"/>
      <c r="AI6612" s="131"/>
      <c r="AJ6612" s="132"/>
      <c r="AK6612" s="127"/>
      <c r="AL6612" s="128"/>
      <c r="AM6612" s="21"/>
      <c r="AN6612" s="133"/>
      <c r="AO6612" s="134"/>
      <c r="AP6612" s="135"/>
      <c r="AQ6612" s="136"/>
      <c r="AR6612" s="118"/>
      <c r="AS6612" s="119"/>
      <c r="AT6612" s="118">
        <f t="shared" ref="AT6612" si="9152">AR6612*0.1</f>
        <v>0</v>
      </c>
      <c r="AU6612" s="119"/>
      <c r="AV6612" s="118" t="s">
        <v>3178</v>
      </c>
      <c r="AW6612" s="119"/>
      <c r="AX6612" s="118">
        <f t="shared" ref="AX6612" si="9153">SUM(AR6612:AW6612)</f>
        <v>0</v>
      </c>
      <c r="AY6612" s="119"/>
      <c r="AZ6612" s="137"/>
    </row>
    <row r="6613" spans="1:52" ht="17.100000000000001" customHeight="1" thickBot="1">
      <c r="A6613" s="110"/>
      <c r="B6613" s="27" t="s">
        <v>2492</v>
      </c>
      <c r="C6613" s="27">
        <v>5074</v>
      </c>
      <c r="D6613" s="14" t="s">
        <v>1576</v>
      </c>
      <c r="E6613" s="112"/>
      <c r="F6613" s="139" t="s">
        <v>18948</v>
      </c>
      <c r="G6613" s="140"/>
      <c r="H6613" s="141"/>
      <c r="I6613" s="26">
        <v>19052</v>
      </c>
      <c r="J6613" s="117"/>
      <c r="K6613" s="120"/>
      <c r="L6613" s="121"/>
      <c r="M6613" s="120"/>
      <c r="N6613" s="121"/>
      <c r="O6613" s="120"/>
      <c r="P6613" s="121"/>
      <c r="Q6613" s="120"/>
      <c r="R6613" s="121"/>
      <c r="S6613" s="120"/>
      <c r="T6613" s="121"/>
      <c r="U6613" s="120"/>
      <c r="V6613" s="123"/>
      <c r="W6613" s="125"/>
      <c r="X6613" s="142" t="s">
        <v>19326</v>
      </c>
      <c r="Y6613" s="143"/>
      <c r="Z6613" s="143"/>
      <c r="AA6613" s="143"/>
      <c r="AB6613" s="144"/>
      <c r="AC6613" s="16" t="s">
        <v>21</v>
      </c>
      <c r="AD6613" s="17" t="s">
        <v>859</v>
      </c>
      <c r="AE6613" s="145" t="s">
        <v>1614</v>
      </c>
      <c r="AF6613" s="146"/>
      <c r="AG6613" s="146"/>
      <c r="AH6613" s="146"/>
      <c r="AI6613" s="147"/>
      <c r="AJ6613" s="148"/>
      <c r="AK6613" s="143"/>
      <c r="AL6613" s="144"/>
      <c r="AM6613" s="22"/>
      <c r="AN6613" s="149"/>
      <c r="AO6613" s="144"/>
      <c r="AP6613" s="148"/>
      <c r="AQ6613" s="144"/>
      <c r="AR6613" s="120"/>
      <c r="AS6613" s="121"/>
      <c r="AT6613" s="120"/>
      <c r="AU6613" s="121"/>
      <c r="AV6613" s="120"/>
      <c r="AW6613" s="121"/>
      <c r="AX6613" s="120"/>
      <c r="AY6613" s="121"/>
      <c r="AZ6613" s="138"/>
    </row>
    <row r="6614" spans="1:52" ht="17.100000000000001" customHeight="1" thickTop="1">
      <c r="A6614" s="109" t="s">
        <v>18993</v>
      </c>
      <c r="B6614" s="28">
        <v>46080</v>
      </c>
      <c r="C6614" s="25">
        <v>2124</v>
      </c>
      <c r="D6614" s="13" t="s">
        <v>1688</v>
      </c>
      <c r="E6614" s="111"/>
      <c r="F6614" s="113" t="s">
        <v>18949</v>
      </c>
      <c r="G6614" s="114"/>
      <c r="H6614" s="115"/>
      <c r="I6614" s="24"/>
      <c r="J6614" s="116">
        <v>5</v>
      </c>
      <c r="K6614" s="118">
        <v>2540000</v>
      </c>
      <c r="L6614" s="119"/>
      <c r="M6614" s="118">
        <f t="shared" ref="M6614" si="9154">K6614*0.1</f>
        <v>254000</v>
      </c>
      <c r="N6614" s="119"/>
      <c r="O6614" s="118">
        <v>0</v>
      </c>
      <c r="P6614" s="119"/>
      <c r="Q6614" s="118">
        <v>19530</v>
      </c>
      <c r="R6614" s="119"/>
      <c r="S6614" s="118">
        <v>16500</v>
      </c>
      <c r="T6614" s="119"/>
      <c r="U6614" s="118">
        <f t="shared" ref="U6614" si="9155">SUM(K6614:T6615)</f>
        <v>2830030</v>
      </c>
      <c r="V6614" s="122"/>
      <c r="W6614" s="124"/>
      <c r="X6614" s="126" t="s">
        <v>19319</v>
      </c>
      <c r="Y6614" s="127"/>
      <c r="Z6614" s="127"/>
      <c r="AA6614" s="127"/>
      <c r="AB6614" s="128"/>
      <c r="AC6614" s="15" t="s">
        <v>20</v>
      </c>
      <c r="AD6614" s="129" t="s">
        <v>1945</v>
      </c>
      <c r="AE6614" s="130"/>
      <c r="AF6614" s="130"/>
      <c r="AG6614" s="130"/>
      <c r="AH6614" s="130"/>
      <c r="AI6614" s="131"/>
      <c r="AJ6614" s="132"/>
      <c r="AK6614" s="127"/>
      <c r="AL6614" s="128"/>
      <c r="AM6614" s="21"/>
      <c r="AN6614" s="133">
        <v>46100</v>
      </c>
      <c r="AO6614" s="134"/>
      <c r="AP6614" s="135">
        <v>1323</v>
      </c>
      <c r="AQ6614" s="136"/>
      <c r="AR6614" s="118">
        <v>2685000</v>
      </c>
      <c r="AS6614" s="119"/>
      <c r="AT6614" s="118">
        <f t="shared" ref="AT6614" si="9156">AR6614*0.1</f>
        <v>268500</v>
      </c>
      <c r="AU6614" s="119"/>
      <c r="AV6614" s="118">
        <v>19530</v>
      </c>
      <c r="AW6614" s="119"/>
      <c r="AX6614" s="118">
        <f t="shared" ref="AX6614" si="9157">SUM(AR6614:AW6614)</f>
        <v>2973030</v>
      </c>
      <c r="AY6614" s="119"/>
      <c r="AZ6614" s="137">
        <v>46101</v>
      </c>
    </row>
    <row r="6615" spans="1:52" ht="17.100000000000001" customHeight="1" thickBot="1">
      <c r="A6615" s="110"/>
      <c r="B6615" s="27" t="s">
        <v>1543</v>
      </c>
      <c r="C6615" s="27">
        <v>58838</v>
      </c>
      <c r="D6615" s="14" t="s">
        <v>904</v>
      </c>
      <c r="E6615" s="112"/>
      <c r="F6615" s="139" t="s">
        <v>18950</v>
      </c>
      <c r="G6615" s="140"/>
      <c r="H6615" s="141"/>
      <c r="I6615" s="26">
        <v>10255</v>
      </c>
      <c r="J6615" s="117"/>
      <c r="K6615" s="120"/>
      <c r="L6615" s="121"/>
      <c r="M6615" s="120"/>
      <c r="N6615" s="121"/>
      <c r="O6615" s="120"/>
      <c r="P6615" s="121"/>
      <c r="Q6615" s="120"/>
      <c r="R6615" s="121"/>
      <c r="S6615" s="120"/>
      <c r="T6615" s="121"/>
      <c r="U6615" s="120"/>
      <c r="V6615" s="123"/>
      <c r="W6615" s="125"/>
      <c r="X6615" s="142" t="s">
        <v>1997</v>
      </c>
      <c r="Y6615" s="143"/>
      <c r="Z6615" s="143"/>
      <c r="AA6615" s="143"/>
      <c r="AB6615" s="144"/>
      <c r="AC6615" s="16" t="s">
        <v>21</v>
      </c>
      <c r="AD6615" s="17" t="s">
        <v>859</v>
      </c>
      <c r="AE6615" s="145" t="s">
        <v>1614</v>
      </c>
      <c r="AF6615" s="146"/>
      <c r="AG6615" s="146"/>
      <c r="AH6615" s="146"/>
      <c r="AI6615" s="147"/>
      <c r="AJ6615" s="148"/>
      <c r="AK6615" s="143"/>
      <c r="AL6615" s="144"/>
      <c r="AM6615" s="22"/>
      <c r="AN6615" s="149" t="s">
        <v>1747</v>
      </c>
      <c r="AO6615" s="144"/>
      <c r="AP6615" s="148">
        <v>314</v>
      </c>
      <c r="AQ6615" s="144"/>
      <c r="AR6615" s="120"/>
      <c r="AS6615" s="121"/>
      <c r="AT6615" s="120"/>
      <c r="AU6615" s="121"/>
      <c r="AV6615" s="120"/>
      <c r="AW6615" s="121"/>
      <c r="AX6615" s="120"/>
      <c r="AY6615" s="121"/>
      <c r="AZ6615" s="138"/>
    </row>
    <row r="6616" spans="1:52" ht="17.100000000000001" customHeight="1" thickTop="1">
      <c r="A6616" s="109" t="s">
        <v>18994</v>
      </c>
      <c r="B6616" s="28">
        <v>46080</v>
      </c>
      <c r="C6616" s="25">
        <v>2124</v>
      </c>
      <c r="D6616" s="13" t="s">
        <v>3832</v>
      </c>
      <c r="E6616" s="111"/>
      <c r="F6616" s="113" t="s">
        <v>18951</v>
      </c>
      <c r="G6616" s="114"/>
      <c r="H6616" s="115"/>
      <c r="I6616" s="24" t="s">
        <v>18953</v>
      </c>
      <c r="J6616" s="116">
        <v>4.5</v>
      </c>
      <c r="K6616" s="118">
        <v>1220000</v>
      </c>
      <c r="L6616" s="119"/>
      <c r="M6616" s="118">
        <f t="shared" ref="M6616" si="9158">K6616*0.1</f>
        <v>122000</v>
      </c>
      <c r="N6616" s="119"/>
      <c r="O6616" s="118">
        <f>2500+250</f>
        <v>2750</v>
      </c>
      <c r="P6616" s="119"/>
      <c r="Q6616" s="118">
        <v>11810</v>
      </c>
      <c r="R6616" s="119"/>
      <c r="S6616" s="118">
        <v>16500</v>
      </c>
      <c r="T6616" s="119"/>
      <c r="U6616" s="118">
        <f t="shared" ref="U6616" si="9159">SUM(K6616:T6617)</f>
        <v>1373060</v>
      </c>
      <c r="V6616" s="122"/>
      <c r="W6616" s="124"/>
      <c r="X6616" s="126" t="s">
        <v>18954</v>
      </c>
      <c r="Y6616" s="127"/>
      <c r="Z6616" s="127"/>
      <c r="AA6616" s="127"/>
      <c r="AB6616" s="128"/>
      <c r="AC6616" s="15" t="s">
        <v>20</v>
      </c>
      <c r="AD6616" s="129" t="s">
        <v>1670</v>
      </c>
      <c r="AE6616" s="130"/>
      <c r="AF6616" s="130"/>
      <c r="AG6616" s="130"/>
      <c r="AH6616" s="130"/>
      <c r="AI6616" s="131"/>
      <c r="AJ6616" s="132"/>
      <c r="AK6616" s="127"/>
      <c r="AL6616" s="128"/>
      <c r="AM6616" s="21"/>
      <c r="AN6616" s="133">
        <v>46093</v>
      </c>
      <c r="AO6616" s="134"/>
      <c r="AP6616" s="135">
        <v>1322</v>
      </c>
      <c r="AQ6616" s="136"/>
      <c r="AR6616" s="118">
        <v>1400000</v>
      </c>
      <c r="AS6616" s="119"/>
      <c r="AT6616" s="118">
        <f t="shared" ref="AT6616" si="9160">AR6616*0.1</f>
        <v>140000</v>
      </c>
      <c r="AU6616" s="119"/>
      <c r="AV6616" s="118">
        <v>11810</v>
      </c>
      <c r="AW6616" s="119"/>
      <c r="AX6616" s="118">
        <f t="shared" ref="AX6616" si="9161">SUM(AR6616:AW6616)</f>
        <v>1551810</v>
      </c>
      <c r="AY6616" s="119"/>
      <c r="AZ6616" s="137">
        <v>46094</v>
      </c>
    </row>
    <row r="6617" spans="1:52" ht="17.100000000000001" customHeight="1" thickBot="1">
      <c r="A6617" s="110"/>
      <c r="B6617" s="27" t="s">
        <v>1543</v>
      </c>
      <c r="C6617" s="27">
        <v>58879</v>
      </c>
      <c r="D6617" s="14" t="s">
        <v>904</v>
      </c>
      <c r="E6617" s="112"/>
      <c r="F6617" s="139" t="s">
        <v>18952</v>
      </c>
      <c r="G6617" s="140"/>
      <c r="H6617" s="141"/>
      <c r="I6617" s="26">
        <v>29050</v>
      </c>
      <c r="J6617" s="117"/>
      <c r="K6617" s="120"/>
      <c r="L6617" s="121"/>
      <c r="M6617" s="120"/>
      <c r="N6617" s="121"/>
      <c r="O6617" s="120"/>
      <c r="P6617" s="121"/>
      <c r="Q6617" s="120"/>
      <c r="R6617" s="121"/>
      <c r="S6617" s="120"/>
      <c r="T6617" s="121"/>
      <c r="U6617" s="120"/>
      <c r="V6617" s="123"/>
      <c r="W6617" s="125"/>
      <c r="X6617" s="142" t="s">
        <v>19321</v>
      </c>
      <c r="Y6617" s="143"/>
      <c r="Z6617" s="143"/>
      <c r="AA6617" s="143"/>
      <c r="AB6617" s="144"/>
      <c r="AC6617" s="16" t="s">
        <v>21</v>
      </c>
      <c r="AD6617" s="17" t="s">
        <v>859</v>
      </c>
      <c r="AE6617" s="145" t="s">
        <v>19442</v>
      </c>
      <c r="AF6617" s="146"/>
      <c r="AG6617" s="146"/>
      <c r="AH6617" s="146"/>
      <c r="AI6617" s="147"/>
      <c r="AJ6617" s="148"/>
      <c r="AK6617" s="143"/>
      <c r="AL6617" s="144"/>
      <c r="AM6617" s="22"/>
      <c r="AN6617" s="149" t="s">
        <v>1747</v>
      </c>
      <c r="AO6617" s="144"/>
      <c r="AP6617" s="148">
        <v>78</v>
      </c>
      <c r="AQ6617" s="144"/>
      <c r="AR6617" s="120"/>
      <c r="AS6617" s="121"/>
      <c r="AT6617" s="120"/>
      <c r="AU6617" s="121"/>
      <c r="AV6617" s="120"/>
      <c r="AW6617" s="121"/>
      <c r="AX6617" s="120"/>
      <c r="AY6617" s="121"/>
      <c r="AZ6617" s="138"/>
    </row>
    <row r="6618" spans="1:52" ht="17.100000000000001" customHeight="1" thickTop="1">
      <c r="A6618" s="109" t="s">
        <v>18995</v>
      </c>
      <c r="B6618" s="28">
        <v>46080</v>
      </c>
      <c r="C6618" s="25">
        <v>2124</v>
      </c>
      <c r="D6618" s="13" t="s">
        <v>2187</v>
      </c>
      <c r="E6618" s="111"/>
      <c r="F6618" s="113" t="s">
        <v>7180</v>
      </c>
      <c r="G6618" s="114"/>
      <c r="H6618" s="115"/>
      <c r="I6618" s="24"/>
      <c r="J6618" s="116">
        <v>4.5</v>
      </c>
      <c r="K6618" s="118">
        <v>1760000</v>
      </c>
      <c r="L6618" s="119"/>
      <c r="M6618" s="118">
        <f t="shared" ref="M6618" si="9162">K6618*0.1</f>
        <v>176000</v>
      </c>
      <c r="N6618" s="119"/>
      <c r="O6618" s="118">
        <v>0</v>
      </c>
      <c r="P6618" s="119"/>
      <c r="Q6618" s="118">
        <v>17800</v>
      </c>
      <c r="R6618" s="119"/>
      <c r="S6618" s="118">
        <v>16500</v>
      </c>
      <c r="T6618" s="119"/>
      <c r="U6618" s="118">
        <f t="shared" ref="U6618" si="9163">SUM(K6618:T6619)</f>
        <v>1970300</v>
      </c>
      <c r="V6618" s="122"/>
      <c r="W6618" s="124"/>
      <c r="X6618" s="126" t="s">
        <v>19320</v>
      </c>
      <c r="Y6618" s="127"/>
      <c r="Z6618" s="127"/>
      <c r="AA6618" s="127"/>
      <c r="AB6618" s="128"/>
      <c r="AC6618" s="15" t="s">
        <v>20</v>
      </c>
      <c r="AD6618" s="129" t="s">
        <v>1565</v>
      </c>
      <c r="AE6618" s="130"/>
      <c r="AF6618" s="130"/>
      <c r="AG6618" s="130"/>
      <c r="AH6618" s="130"/>
      <c r="AI6618" s="131"/>
      <c r="AJ6618" s="132"/>
      <c r="AK6618" s="127"/>
      <c r="AL6618" s="128"/>
      <c r="AM6618" s="21"/>
      <c r="AN6618" s="133">
        <v>46093</v>
      </c>
      <c r="AO6618" s="134"/>
      <c r="AP6618" s="135">
        <v>1322</v>
      </c>
      <c r="AQ6618" s="136"/>
      <c r="AR6618" s="118">
        <v>1940000</v>
      </c>
      <c r="AS6618" s="119"/>
      <c r="AT6618" s="118">
        <f t="shared" ref="AT6618" si="9164">AR6618*0.1</f>
        <v>194000</v>
      </c>
      <c r="AU6618" s="119"/>
      <c r="AV6618" s="118">
        <v>17800</v>
      </c>
      <c r="AW6618" s="119"/>
      <c r="AX6618" s="118">
        <f t="shared" ref="AX6618" si="9165">SUM(AR6618:AW6618)</f>
        <v>2151800</v>
      </c>
      <c r="AY6618" s="119"/>
      <c r="AZ6618" s="137">
        <v>46094</v>
      </c>
    </row>
    <row r="6619" spans="1:52" ht="17.100000000000001" customHeight="1" thickBot="1">
      <c r="A6619" s="110"/>
      <c r="B6619" s="27" t="s">
        <v>1543</v>
      </c>
      <c r="C6619" s="27">
        <v>58902</v>
      </c>
      <c r="D6619" s="14" t="s">
        <v>275</v>
      </c>
      <c r="E6619" s="112"/>
      <c r="F6619" s="139" t="s">
        <v>18984</v>
      </c>
      <c r="G6619" s="140"/>
      <c r="H6619" s="141"/>
      <c r="I6619" s="26">
        <v>45095</v>
      </c>
      <c r="J6619" s="117"/>
      <c r="K6619" s="120"/>
      <c r="L6619" s="121"/>
      <c r="M6619" s="120"/>
      <c r="N6619" s="121"/>
      <c r="O6619" s="120"/>
      <c r="P6619" s="121"/>
      <c r="Q6619" s="120"/>
      <c r="R6619" s="121"/>
      <c r="S6619" s="120"/>
      <c r="T6619" s="121"/>
      <c r="U6619" s="120"/>
      <c r="V6619" s="123"/>
      <c r="W6619" s="125"/>
      <c r="X6619" s="142" t="s">
        <v>2309</v>
      </c>
      <c r="Y6619" s="143"/>
      <c r="Z6619" s="143"/>
      <c r="AA6619" s="143"/>
      <c r="AB6619" s="144"/>
      <c r="AC6619" s="16" t="s">
        <v>21</v>
      </c>
      <c r="AD6619" s="17" t="s">
        <v>859</v>
      </c>
      <c r="AE6619" s="145" t="s">
        <v>1742</v>
      </c>
      <c r="AF6619" s="146"/>
      <c r="AG6619" s="146"/>
      <c r="AH6619" s="146"/>
      <c r="AI6619" s="147"/>
      <c r="AJ6619" s="148"/>
      <c r="AK6619" s="143"/>
      <c r="AL6619" s="144"/>
      <c r="AM6619" s="22"/>
      <c r="AN6619" s="149" t="s">
        <v>1747</v>
      </c>
      <c r="AO6619" s="144"/>
      <c r="AP6619" s="148">
        <v>94</v>
      </c>
      <c r="AQ6619" s="144"/>
      <c r="AR6619" s="120"/>
      <c r="AS6619" s="121"/>
      <c r="AT6619" s="120"/>
      <c r="AU6619" s="121"/>
      <c r="AV6619" s="120"/>
      <c r="AW6619" s="121"/>
      <c r="AX6619" s="120"/>
      <c r="AY6619" s="121"/>
      <c r="AZ6619" s="138"/>
    </row>
    <row r="6620" spans="1:52" ht="17.100000000000001" customHeight="1" thickTop="1">
      <c r="A6620" s="109" t="s">
        <v>18996</v>
      </c>
      <c r="B6620" s="28">
        <v>46080</v>
      </c>
      <c r="C6620" s="25">
        <v>1408</v>
      </c>
      <c r="D6620" s="13" t="s">
        <v>1870</v>
      </c>
      <c r="E6620" s="111"/>
      <c r="F6620" s="113" t="s">
        <v>5111</v>
      </c>
      <c r="G6620" s="114"/>
      <c r="H6620" s="115"/>
      <c r="I6620" s="24"/>
      <c r="J6620" s="116">
        <v>3.5</v>
      </c>
      <c r="K6620" s="118">
        <v>434000</v>
      </c>
      <c r="L6620" s="119"/>
      <c r="M6620" s="118">
        <f t="shared" ref="M6620" si="9166">K6620*0.1</f>
        <v>43400</v>
      </c>
      <c r="N6620" s="119"/>
      <c r="O6620" s="118">
        <v>0</v>
      </c>
      <c r="P6620" s="119"/>
      <c r="Q6620" s="118">
        <v>9790</v>
      </c>
      <c r="R6620" s="119"/>
      <c r="S6620" s="118">
        <v>15400</v>
      </c>
      <c r="T6620" s="119"/>
      <c r="U6620" s="118">
        <f t="shared" ref="U6620" si="9167">SUM(K6620:T6621)</f>
        <v>502590</v>
      </c>
      <c r="V6620" s="122"/>
      <c r="W6620" s="124"/>
      <c r="X6620" s="126" t="s">
        <v>19826</v>
      </c>
      <c r="Y6620" s="127"/>
      <c r="Z6620" s="127"/>
      <c r="AA6620" s="127"/>
      <c r="AB6620" s="128"/>
      <c r="AC6620" s="15" t="s">
        <v>20</v>
      </c>
      <c r="AD6620" s="129" t="s">
        <v>19038</v>
      </c>
      <c r="AE6620" s="130"/>
      <c r="AF6620" s="130"/>
      <c r="AG6620" s="130"/>
      <c r="AH6620" s="130"/>
      <c r="AI6620" s="131"/>
      <c r="AJ6620" s="132"/>
      <c r="AK6620" s="127"/>
      <c r="AL6620" s="128"/>
      <c r="AM6620" s="21"/>
      <c r="AN6620" s="133">
        <v>46088</v>
      </c>
      <c r="AO6620" s="134"/>
      <c r="AP6620" s="135">
        <v>1291</v>
      </c>
      <c r="AQ6620" s="136"/>
      <c r="AR6620" s="118">
        <v>550000</v>
      </c>
      <c r="AS6620" s="119"/>
      <c r="AT6620" s="118">
        <f t="shared" ref="AT6620" si="9168">AR6620*0.1</f>
        <v>55000</v>
      </c>
      <c r="AU6620" s="119"/>
      <c r="AV6620" s="118">
        <v>9790</v>
      </c>
      <c r="AW6620" s="119"/>
      <c r="AX6620" s="118">
        <f t="shared" ref="AX6620" si="9169">SUM(AR6620:AW6620)</f>
        <v>614790</v>
      </c>
      <c r="AY6620" s="119"/>
      <c r="AZ6620" s="137">
        <v>46098</v>
      </c>
    </row>
    <row r="6621" spans="1:52" ht="17.100000000000001" customHeight="1" thickBot="1">
      <c r="A6621" s="110"/>
      <c r="B6621" s="27" t="s">
        <v>2641</v>
      </c>
      <c r="C6621" s="27">
        <v>1804</v>
      </c>
      <c r="D6621" s="14" t="s">
        <v>3855</v>
      </c>
      <c r="E6621" s="112"/>
      <c r="F6621" s="139" t="s">
        <v>19013</v>
      </c>
      <c r="G6621" s="140"/>
      <c r="H6621" s="141"/>
      <c r="I6621" s="26">
        <v>19705</v>
      </c>
      <c r="J6621" s="117"/>
      <c r="K6621" s="120"/>
      <c r="L6621" s="121"/>
      <c r="M6621" s="120"/>
      <c r="N6621" s="121"/>
      <c r="O6621" s="120"/>
      <c r="P6621" s="121"/>
      <c r="Q6621" s="120"/>
      <c r="R6621" s="121"/>
      <c r="S6621" s="120"/>
      <c r="T6621" s="121"/>
      <c r="U6621" s="120"/>
      <c r="V6621" s="123"/>
      <c r="W6621" s="125"/>
      <c r="X6621" s="142" t="s">
        <v>19827</v>
      </c>
      <c r="Y6621" s="143"/>
      <c r="Z6621" s="143"/>
      <c r="AA6621" s="143"/>
      <c r="AB6621" s="144"/>
      <c r="AC6621" s="16" t="s">
        <v>21</v>
      </c>
      <c r="AD6621" s="17" t="s">
        <v>1631</v>
      </c>
      <c r="AE6621" s="145" t="s">
        <v>1670</v>
      </c>
      <c r="AF6621" s="146"/>
      <c r="AG6621" s="146"/>
      <c r="AH6621" s="146"/>
      <c r="AI6621" s="147"/>
      <c r="AJ6621" s="148"/>
      <c r="AK6621" s="143"/>
      <c r="AL6621" s="144"/>
      <c r="AM6621" s="22"/>
      <c r="AN6621" s="149" t="s">
        <v>6748</v>
      </c>
      <c r="AO6621" s="144"/>
      <c r="AP6621" s="148">
        <v>60422</v>
      </c>
      <c r="AQ6621" s="144"/>
      <c r="AR6621" s="120"/>
      <c r="AS6621" s="121"/>
      <c r="AT6621" s="120"/>
      <c r="AU6621" s="121"/>
      <c r="AV6621" s="120"/>
      <c r="AW6621" s="121"/>
      <c r="AX6621" s="120"/>
      <c r="AY6621" s="121"/>
      <c r="AZ6621" s="138"/>
    </row>
    <row r="6622" spans="1:52" ht="17.100000000000001" customHeight="1" thickTop="1">
      <c r="A6622" s="109" t="s">
        <v>18997</v>
      </c>
      <c r="B6622" s="28">
        <v>46080</v>
      </c>
      <c r="C6622" s="25">
        <v>1408</v>
      </c>
      <c r="D6622" s="13" t="s">
        <v>1586</v>
      </c>
      <c r="E6622" s="111"/>
      <c r="F6622" s="113" t="s">
        <v>10103</v>
      </c>
      <c r="G6622" s="114"/>
      <c r="H6622" s="115"/>
      <c r="I6622" s="24"/>
      <c r="J6622" s="116">
        <v>3.5</v>
      </c>
      <c r="K6622" s="118">
        <v>411000</v>
      </c>
      <c r="L6622" s="119"/>
      <c r="M6622" s="118">
        <f t="shared" ref="M6622" si="9170">K6622*0.1</f>
        <v>41100</v>
      </c>
      <c r="N6622" s="119"/>
      <c r="O6622" s="118">
        <v>0</v>
      </c>
      <c r="P6622" s="119"/>
      <c r="Q6622" s="118">
        <v>8430</v>
      </c>
      <c r="R6622" s="119"/>
      <c r="S6622" s="118">
        <v>15400</v>
      </c>
      <c r="T6622" s="119"/>
      <c r="U6622" s="118">
        <f t="shared" ref="U6622" si="9171">SUM(K6622:T6623)</f>
        <v>475930</v>
      </c>
      <c r="V6622" s="122"/>
      <c r="W6622" s="124"/>
      <c r="X6622" s="126" t="s">
        <v>19362</v>
      </c>
      <c r="Y6622" s="127"/>
      <c r="Z6622" s="127"/>
      <c r="AA6622" s="127"/>
      <c r="AB6622" s="128"/>
      <c r="AC6622" s="15" t="s">
        <v>20</v>
      </c>
      <c r="AD6622" s="129"/>
      <c r="AE6622" s="130"/>
      <c r="AF6622" s="130"/>
      <c r="AG6622" s="130"/>
      <c r="AH6622" s="130"/>
      <c r="AI6622" s="131"/>
      <c r="AJ6622" s="132"/>
      <c r="AK6622" s="127"/>
      <c r="AL6622" s="128"/>
      <c r="AM6622" s="21"/>
      <c r="AN6622" s="133">
        <v>46102</v>
      </c>
      <c r="AO6622" s="134"/>
      <c r="AP6622" s="135">
        <v>1293</v>
      </c>
      <c r="AQ6622" s="136"/>
      <c r="AR6622" s="118">
        <v>455000</v>
      </c>
      <c r="AS6622" s="119"/>
      <c r="AT6622" s="118">
        <f t="shared" ref="AT6622" si="9172">AR6622*0.1</f>
        <v>45500</v>
      </c>
      <c r="AU6622" s="119"/>
      <c r="AV6622" s="118">
        <v>8430</v>
      </c>
      <c r="AW6622" s="119"/>
      <c r="AX6622" s="118">
        <f t="shared" ref="AX6622" si="9173">SUM(AR6622:AW6622)</f>
        <v>508930</v>
      </c>
      <c r="AY6622" s="119"/>
      <c r="AZ6622" s="137">
        <v>46105</v>
      </c>
    </row>
    <row r="6623" spans="1:52" ht="17.100000000000001" customHeight="1" thickBot="1">
      <c r="A6623" s="110"/>
      <c r="B6623" s="27" t="s">
        <v>2641</v>
      </c>
      <c r="C6623" s="27">
        <v>2171</v>
      </c>
      <c r="D6623" s="14" t="s">
        <v>1720</v>
      </c>
      <c r="E6623" s="112"/>
      <c r="F6623" s="139" t="s">
        <v>19014</v>
      </c>
      <c r="G6623" s="140"/>
      <c r="H6623" s="141"/>
      <c r="I6623" s="26">
        <v>31393</v>
      </c>
      <c r="J6623" s="117"/>
      <c r="K6623" s="120"/>
      <c r="L6623" s="121"/>
      <c r="M6623" s="120"/>
      <c r="N6623" s="121"/>
      <c r="O6623" s="120"/>
      <c r="P6623" s="121"/>
      <c r="Q6623" s="120"/>
      <c r="R6623" s="121"/>
      <c r="S6623" s="120"/>
      <c r="T6623" s="121"/>
      <c r="U6623" s="120"/>
      <c r="V6623" s="123"/>
      <c r="W6623" s="125"/>
      <c r="X6623" s="142" t="s">
        <v>3835</v>
      </c>
      <c r="Y6623" s="143"/>
      <c r="Z6623" s="143"/>
      <c r="AA6623" s="143"/>
      <c r="AB6623" s="144"/>
      <c r="AC6623" s="16" t="s">
        <v>21</v>
      </c>
      <c r="AD6623" s="17" t="s">
        <v>859</v>
      </c>
      <c r="AE6623" s="145" t="s">
        <v>171</v>
      </c>
      <c r="AF6623" s="146"/>
      <c r="AG6623" s="146"/>
      <c r="AH6623" s="146"/>
      <c r="AI6623" s="147"/>
      <c r="AJ6623" s="148"/>
      <c r="AK6623" s="143"/>
      <c r="AL6623" s="144"/>
      <c r="AM6623" s="22"/>
      <c r="AN6623" s="149" t="s">
        <v>2511</v>
      </c>
      <c r="AO6623" s="144"/>
      <c r="AP6623" s="148">
        <v>60144</v>
      </c>
      <c r="AQ6623" s="144"/>
      <c r="AR6623" s="120"/>
      <c r="AS6623" s="121"/>
      <c r="AT6623" s="120"/>
      <c r="AU6623" s="121"/>
      <c r="AV6623" s="120"/>
      <c r="AW6623" s="121"/>
      <c r="AX6623" s="120"/>
      <c r="AY6623" s="121"/>
      <c r="AZ6623" s="138"/>
    </row>
    <row r="6624" spans="1:52" ht="17.100000000000001" customHeight="1" thickTop="1">
      <c r="A6624" s="109" t="s">
        <v>18998</v>
      </c>
      <c r="B6624" s="28">
        <v>46080</v>
      </c>
      <c r="C6624" s="25">
        <v>1408</v>
      </c>
      <c r="D6624" s="13" t="s">
        <v>1640</v>
      </c>
      <c r="E6624" s="111"/>
      <c r="F6624" s="113" t="s">
        <v>19015</v>
      </c>
      <c r="G6624" s="114"/>
      <c r="H6624" s="115"/>
      <c r="I6624" s="24"/>
      <c r="J6624" s="116">
        <v>4</v>
      </c>
      <c r="K6624" s="118">
        <v>705000</v>
      </c>
      <c r="L6624" s="119"/>
      <c r="M6624" s="118">
        <f t="shared" ref="M6624" si="9174">K6624*0.1</f>
        <v>70500</v>
      </c>
      <c r="N6624" s="119"/>
      <c r="O6624" s="118">
        <v>0</v>
      </c>
      <c r="P6624" s="119"/>
      <c r="Q6624" s="118">
        <v>9200</v>
      </c>
      <c r="R6624" s="119"/>
      <c r="S6624" s="118">
        <v>15400</v>
      </c>
      <c r="T6624" s="119"/>
      <c r="U6624" s="118">
        <f t="shared" ref="U6624" si="9175">SUM(K6624:T6625)</f>
        <v>800100</v>
      </c>
      <c r="V6624" s="122"/>
      <c r="W6624" s="124"/>
      <c r="X6624" s="126" t="s">
        <v>19360</v>
      </c>
      <c r="Y6624" s="127"/>
      <c r="Z6624" s="127"/>
      <c r="AA6624" s="127"/>
      <c r="AB6624" s="128"/>
      <c r="AC6624" s="15" t="s">
        <v>20</v>
      </c>
      <c r="AD6624" s="129"/>
      <c r="AE6624" s="130"/>
      <c r="AF6624" s="130"/>
      <c r="AG6624" s="130"/>
      <c r="AH6624" s="130"/>
      <c r="AI6624" s="131"/>
      <c r="AJ6624" s="132"/>
      <c r="AK6624" s="127"/>
      <c r="AL6624" s="128"/>
      <c r="AM6624" s="21"/>
      <c r="AN6624" s="133">
        <v>46099</v>
      </c>
      <c r="AO6624" s="134"/>
      <c r="AP6624" s="135">
        <v>1009</v>
      </c>
      <c r="AQ6624" s="136"/>
      <c r="AR6624" s="118">
        <v>750000</v>
      </c>
      <c r="AS6624" s="119"/>
      <c r="AT6624" s="118">
        <f t="shared" ref="AT6624" si="9176">AR6624*0.1</f>
        <v>75000</v>
      </c>
      <c r="AU6624" s="119"/>
      <c r="AV6624" s="118">
        <v>9200</v>
      </c>
      <c r="AW6624" s="119"/>
      <c r="AX6624" s="118">
        <f t="shared" ref="AX6624" si="9177">SUM(AR6624:AW6624)</f>
        <v>834200</v>
      </c>
      <c r="AY6624" s="119"/>
      <c r="AZ6624" s="137">
        <v>46105</v>
      </c>
    </row>
    <row r="6625" spans="1:52" ht="17.100000000000001" customHeight="1" thickBot="1">
      <c r="A6625" s="110"/>
      <c r="B6625" s="27" t="s">
        <v>2641</v>
      </c>
      <c r="C6625" s="27">
        <v>2221</v>
      </c>
      <c r="D6625" s="14" t="s">
        <v>3855</v>
      </c>
      <c r="E6625" s="112"/>
      <c r="F6625" s="139" t="s">
        <v>19016</v>
      </c>
      <c r="G6625" s="140"/>
      <c r="H6625" s="141"/>
      <c r="I6625" s="26">
        <v>42685</v>
      </c>
      <c r="J6625" s="117"/>
      <c r="K6625" s="120"/>
      <c r="L6625" s="121"/>
      <c r="M6625" s="120"/>
      <c r="N6625" s="121"/>
      <c r="O6625" s="120"/>
      <c r="P6625" s="121"/>
      <c r="Q6625" s="120"/>
      <c r="R6625" s="121"/>
      <c r="S6625" s="120"/>
      <c r="T6625" s="121"/>
      <c r="U6625" s="120"/>
      <c r="V6625" s="123"/>
      <c r="W6625" s="125"/>
      <c r="X6625" s="142" t="s">
        <v>3835</v>
      </c>
      <c r="Y6625" s="143"/>
      <c r="Z6625" s="143"/>
      <c r="AA6625" s="143"/>
      <c r="AB6625" s="144"/>
      <c r="AC6625" s="16" t="s">
        <v>21</v>
      </c>
      <c r="AD6625" s="17" t="s">
        <v>859</v>
      </c>
      <c r="AE6625" s="145" t="s">
        <v>171</v>
      </c>
      <c r="AF6625" s="146"/>
      <c r="AG6625" s="146"/>
      <c r="AH6625" s="146"/>
      <c r="AI6625" s="147"/>
      <c r="AJ6625" s="148"/>
      <c r="AK6625" s="143"/>
      <c r="AL6625" s="144"/>
      <c r="AM6625" s="22"/>
      <c r="AN6625" s="149" t="s">
        <v>2794</v>
      </c>
      <c r="AO6625" s="144"/>
      <c r="AP6625" s="148">
        <v>2033</v>
      </c>
      <c r="AQ6625" s="144"/>
      <c r="AR6625" s="120"/>
      <c r="AS6625" s="121"/>
      <c r="AT6625" s="120"/>
      <c r="AU6625" s="121"/>
      <c r="AV6625" s="120"/>
      <c r="AW6625" s="121"/>
      <c r="AX6625" s="120"/>
      <c r="AY6625" s="121"/>
      <c r="AZ6625" s="138"/>
    </row>
    <row r="6626" spans="1:52" ht="17.100000000000001" customHeight="1" thickTop="1">
      <c r="A6626" s="109" t="s">
        <v>18999</v>
      </c>
      <c r="B6626" s="28">
        <v>46080</v>
      </c>
      <c r="C6626" s="25">
        <v>1408</v>
      </c>
      <c r="D6626" s="13" t="s">
        <v>1059</v>
      </c>
      <c r="E6626" s="111"/>
      <c r="F6626" s="113" t="s">
        <v>5404</v>
      </c>
      <c r="G6626" s="114"/>
      <c r="H6626" s="115"/>
      <c r="I6626" s="24" t="s">
        <v>16012</v>
      </c>
      <c r="J6626" s="116">
        <v>4</v>
      </c>
      <c r="K6626" s="118">
        <v>700000</v>
      </c>
      <c r="L6626" s="119"/>
      <c r="M6626" s="118">
        <f t="shared" ref="M6626" si="9178">K6626*0.1</f>
        <v>70000</v>
      </c>
      <c r="N6626" s="119"/>
      <c r="O6626" s="118">
        <v>0</v>
      </c>
      <c r="P6626" s="119"/>
      <c r="Q6626" s="118">
        <v>5870</v>
      </c>
      <c r="R6626" s="119"/>
      <c r="S6626" s="118">
        <v>15400</v>
      </c>
      <c r="T6626" s="119"/>
      <c r="U6626" s="118">
        <f t="shared" ref="U6626" si="9179">SUM(K6626:T6627)</f>
        <v>791270</v>
      </c>
      <c r="V6626" s="122"/>
      <c r="W6626" s="124"/>
      <c r="X6626" s="126" t="s">
        <v>19314</v>
      </c>
      <c r="Y6626" s="127"/>
      <c r="Z6626" s="127"/>
      <c r="AA6626" s="127"/>
      <c r="AB6626" s="128"/>
      <c r="AC6626" s="15" t="s">
        <v>20</v>
      </c>
      <c r="AD6626" s="129" t="s">
        <v>171</v>
      </c>
      <c r="AE6626" s="130"/>
      <c r="AF6626" s="130"/>
      <c r="AG6626" s="130"/>
      <c r="AH6626" s="130"/>
      <c r="AI6626" s="131"/>
      <c r="AJ6626" s="132"/>
      <c r="AK6626" s="127"/>
      <c r="AL6626" s="128"/>
      <c r="AM6626" s="21" t="s">
        <v>19431</v>
      </c>
      <c r="AN6626" s="133">
        <v>46085</v>
      </c>
      <c r="AO6626" s="134"/>
      <c r="AP6626" s="135">
        <v>1007</v>
      </c>
      <c r="AQ6626" s="136"/>
      <c r="AR6626" s="118">
        <v>760000</v>
      </c>
      <c r="AS6626" s="119"/>
      <c r="AT6626" s="118">
        <f t="shared" ref="AT6626" si="9180">AR6626*0.1</f>
        <v>76000</v>
      </c>
      <c r="AU6626" s="119"/>
      <c r="AV6626" s="118">
        <v>5870</v>
      </c>
      <c r="AW6626" s="119"/>
      <c r="AX6626" s="118">
        <f t="shared" ref="AX6626" si="9181">SUM(AR6626:AW6626)</f>
        <v>841870</v>
      </c>
      <c r="AY6626" s="119"/>
      <c r="AZ6626" s="137">
        <v>46090</v>
      </c>
    </row>
    <row r="6627" spans="1:52" ht="17.100000000000001" customHeight="1" thickBot="1">
      <c r="A6627" s="110"/>
      <c r="B6627" s="27" t="s">
        <v>2641</v>
      </c>
      <c r="C6627" s="27">
        <v>3012</v>
      </c>
      <c r="D6627" s="14" t="s">
        <v>1720</v>
      </c>
      <c r="E6627" s="112"/>
      <c r="F6627" s="139" t="s">
        <v>19017</v>
      </c>
      <c r="G6627" s="140"/>
      <c r="H6627" s="141"/>
      <c r="I6627" s="26">
        <v>46838</v>
      </c>
      <c r="J6627" s="117"/>
      <c r="K6627" s="120"/>
      <c r="L6627" s="121"/>
      <c r="M6627" s="120"/>
      <c r="N6627" s="121"/>
      <c r="O6627" s="120"/>
      <c r="P6627" s="121"/>
      <c r="Q6627" s="120"/>
      <c r="R6627" s="121"/>
      <c r="S6627" s="120"/>
      <c r="T6627" s="121"/>
      <c r="U6627" s="120"/>
      <c r="V6627" s="123"/>
      <c r="W6627" s="125"/>
      <c r="X6627" s="142" t="s">
        <v>19315</v>
      </c>
      <c r="Y6627" s="143"/>
      <c r="Z6627" s="143"/>
      <c r="AA6627" s="143"/>
      <c r="AB6627" s="144"/>
      <c r="AC6627" s="16" t="s">
        <v>21</v>
      </c>
      <c r="AD6627" s="17" t="s">
        <v>859</v>
      </c>
      <c r="AE6627" s="145" t="s">
        <v>1633</v>
      </c>
      <c r="AF6627" s="146"/>
      <c r="AG6627" s="146"/>
      <c r="AH6627" s="146"/>
      <c r="AI6627" s="147"/>
      <c r="AJ6627" s="148"/>
      <c r="AK6627" s="143"/>
      <c r="AL6627" s="144"/>
      <c r="AM6627" s="22"/>
      <c r="AN6627" s="149" t="s">
        <v>2794</v>
      </c>
      <c r="AO6627" s="144"/>
      <c r="AP6627" s="148">
        <v>5064</v>
      </c>
      <c r="AQ6627" s="144"/>
      <c r="AR6627" s="120"/>
      <c r="AS6627" s="121"/>
      <c r="AT6627" s="120"/>
      <c r="AU6627" s="121"/>
      <c r="AV6627" s="120"/>
      <c r="AW6627" s="121"/>
      <c r="AX6627" s="120"/>
      <c r="AY6627" s="121"/>
      <c r="AZ6627" s="138"/>
    </row>
    <row r="6628" spans="1:52" ht="17.100000000000001" customHeight="1" thickTop="1">
      <c r="A6628" s="151" t="s">
        <v>19000</v>
      </c>
      <c r="B6628" s="28">
        <v>46080</v>
      </c>
      <c r="C6628" s="25">
        <v>1408</v>
      </c>
      <c r="D6628" s="13" t="s">
        <v>1725</v>
      </c>
      <c r="E6628" s="111"/>
      <c r="F6628" s="113" t="s">
        <v>19018</v>
      </c>
      <c r="G6628" s="114"/>
      <c r="H6628" s="115"/>
      <c r="I6628" s="24"/>
      <c r="J6628" s="116">
        <v>4</v>
      </c>
      <c r="K6628" s="118">
        <v>559000</v>
      </c>
      <c r="L6628" s="119"/>
      <c r="M6628" s="118">
        <f t="shared" ref="M6628" si="9182">K6628*0.1</f>
        <v>55900</v>
      </c>
      <c r="N6628" s="119"/>
      <c r="O6628" s="118">
        <v>0</v>
      </c>
      <c r="P6628" s="119"/>
      <c r="Q6628" s="118">
        <v>8550</v>
      </c>
      <c r="R6628" s="119"/>
      <c r="S6628" s="118">
        <v>15400</v>
      </c>
      <c r="T6628" s="119"/>
      <c r="U6628" s="118">
        <f t="shared" ref="U6628" si="9183">SUM(K6628:T6629)</f>
        <v>638850</v>
      </c>
      <c r="V6628" s="122"/>
      <c r="W6628" s="124"/>
      <c r="X6628" s="126" t="s">
        <v>19327</v>
      </c>
      <c r="Y6628" s="127"/>
      <c r="Z6628" s="127"/>
      <c r="AA6628" s="127"/>
      <c r="AB6628" s="128"/>
      <c r="AC6628" s="15" t="s">
        <v>20</v>
      </c>
      <c r="AD6628" s="129" t="s">
        <v>19034</v>
      </c>
      <c r="AE6628" s="130"/>
      <c r="AF6628" s="130"/>
      <c r="AG6628" s="130"/>
      <c r="AH6628" s="130"/>
      <c r="AI6628" s="131"/>
      <c r="AJ6628" s="132" t="s">
        <v>20071</v>
      </c>
      <c r="AK6628" s="127"/>
      <c r="AL6628" s="128"/>
      <c r="AM6628" s="21"/>
      <c r="AN6628" s="133"/>
      <c r="AO6628" s="134"/>
      <c r="AP6628" s="135"/>
      <c r="AQ6628" s="136"/>
      <c r="AR6628" s="118"/>
      <c r="AS6628" s="119"/>
      <c r="AT6628" s="118">
        <f t="shared" ref="AT6628" si="9184">AR6628*0.1</f>
        <v>0</v>
      </c>
      <c r="AU6628" s="119"/>
      <c r="AV6628" s="118"/>
      <c r="AW6628" s="119"/>
      <c r="AX6628" s="118">
        <f t="shared" ref="AX6628" si="9185">SUM(AR6628:AW6628)</f>
        <v>0</v>
      </c>
      <c r="AY6628" s="119"/>
      <c r="AZ6628" s="137"/>
    </row>
    <row r="6629" spans="1:52" ht="17.100000000000001" customHeight="1" thickBot="1">
      <c r="A6629" s="152"/>
      <c r="B6629" s="27" t="s">
        <v>2641</v>
      </c>
      <c r="C6629" s="27">
        <v>3057</v>
      </c>
      <c r="D6629" s="14" t="s">
        <v>1576</v>
      </c>
      <c r="E6629" s="112"/>
      <c r="F6629" s="139" t="s">
        <v>19019</v>
      </c>
      <c r="G6629" s="140"/>
      <c r="H6629" s="141"/>
      <c r="I6629" s="26">
        <v>46908</v>
      </c>
      <c r="J6629" s="117"/>
      <c r="K6629" s="120"/>
      <c r="L6629" s="121"/>
      <c r="M6629" s="120"/>
      <c r="N6629" s="121"/>
      <c r="O6629" s="120"/>
      <c r="P6629" s="121"/>
      <c r="Q6629" s="120"/>
      <c r="R6629" s="121"/>
      <c r="S6629" s="120"/>
      <c r="T6629" s="121"/>
      <c r="U6629" s="120"/>
      <c r="V6629" s="123"/>
      <c r="W6629" s="125"/>
      <c r="X6629" s="142" t="s">
        <v>19328</v>
      </c>
      <c r="Y6629" s="143"/>
      <c r="Z6629" s="143"/>
      <c r="AA6629" s="143"/>
      <c r="AB6629" s="144"/>
      <c r="AC6629" s="16" t="s">
        <v>21</v>
      </c>
      <c r="AD6629" s="17" t="s">
        <v>859</v>
      </c>
      <c r="AE6629" s="145" t="s">
        <v>20072</v>
      </c>
      <c r="AF6629" s="146"/>
      <c r="AG6629" s="146"/>
      <c r="AH6629" s="146"/>
      <c r="AI6629" s="147"/>
      <c r="AJ6629" s="148"/>
      <c r="AK6629" s="143"/>
      <c r="AL6629" s="144"/>
      <c r="AM6629" s="22"/>
      <c r="AN6629" s="149"/>
      <c r="AO6629" s="144"/>
      <c r="AP6629" s="148"/>
      <c r="AQ6629" s="144"/>
      <c r="AR6629" s="120"/>
      <c r="AS6629" s="121"/>
      <c r="AT6629" s="120"/>
      <c r="AU6629" s="121"/>
      <c r="AV6629" s="120"/>
      <c r="AW6629" s="121"/>
      <c r="AX6629" s="120"/>
      <c r="AY6629" s="121"/>
      <c r="AZ6629" s="138"/>
    </row>
    <row r="6630" spans="1:52" ht="17.100000000000001" customHeight="1" thickTop="1">
      <c r="A6630" s="109" t="s">
        <v>19001</v>
      </c>
      <c r="B6630" s="28">
        <v>46080</v>
      </c>
      <c r="C6630" s="25">
        <v>1408</v>
      </c>
      <c r="D6630" s="13" t="s">
        <v>2043</v>
      </c>
      <c r="E6630" s="111"/>
      <c r="F6630" s="113" t="s">
        <v>5217</v>
      </c>
      <c r="G6630" s="114"/>
      <c r="H6630" s="115"/>
      <c r="I6630" s="24" t="s">
        <v>19036</v>
      </c>
      <c r="J6630" s="116">
        <v>6</v>
      </c>
      <c r="K6630" s="118">
        <v>3252000</v>
      </c>
      <c r="L6630" s="119"/>
      <c r="M6630" s="118">
        <f t="shared" ref="M6630" si="9186">K6630*0.1</f>
        <v>325200</v>
      </c>
      <c r="N6630" s="119"/>
      <c r="O6630" s="118">
        <v>3300</v>
      </c>
      <c r="P6630" s="119"/>
      <c r="Q6630" s="118">
        <v>12250</v>
      </c>
      <c r="R6630" s="119"/>
      <c r="S6630" s="118">
        <v>15400</v>
      </c>
      <c r="T6630" s="119"/>
      <c r="U6630" s="118">
        <f t="shared" ref="U6630" si="9187">SUM(K6630:T6631)</f>
        <v>3608150</v>
      </c>
      <c r="V6630" s="122"/>
      <c r="W6630" s="124"/>
      <c r="X6630" s="126" t="s">
        <v>19309</v>
      </c>
      <c r="Y6630" s="127"/>
      <c r="Z6630" s="127"/>
      <c r="AA6630" s="127"/>
      <c r="AB6630" s="128"/>
      <c r="AC6630" s="15" t="s">
        <v>20</v>
      </c>
      <c r="AD6630" s="129" t="s">
        <v>7698</v>
      </c>
      <c r="AE6630" s="130"/>
      <c r="AF6630" s="130"/>
      <c r="AG6630" s="130"/>
      <c r="AH6630" s="130"/>
      <c r="AI6630" s="131"/>
      <c r="AJ6630" s="132"/>
      <c r="AK6630" s="127"/>
      <c r="AL6630" s="128"/>
      <c r="AM6630" s="21"/>
      <c r="AN6630" s="133">
        <v>46085</v>
      </c>
      <c r="AO6630" s="134"/>
      <c r="AP6630" s="135">
        <v>1007</v>
      </c>
      <c r="AQ6630" s="136"/>
      <c r="AR6630" s="118">
        <v>3360000</v>
      </c>
      <c r="AS6630" s="119"/>
      <c r="AT6630" s="118">
        <f t="shared" ref="AT6630" si="9188">AR6630*0.1</f>
        <v>336000</v>
      </c>
      <c r="AU6630" s="119"/>
      <c r="AV6630" s="118">
        <v>12250</v>
      </c>
      <c r="AW6630" s="119"/>
      <c r="AX6630" s="118">
        <f t="shared" ref="AX6630" si="9189">SUM(AR6630:AW6630)</f>
        <v>3708250</v>
      </c>
      <c r="AY6630" s="119"/>
      <c r="AZ6630" s="137">
        <v>46090</v>
      </c>
    </row>
    <row r="6631" spans="1:52" ht="17.100000000000001" customHeight="1" thickBot="1">
      <c r="A6631" s="110"/>
      <c r="B6631" s="27" t="s">
        <v>2641</v>
      </c>
      <c r="C6631" s="27">
        <v>3060</v>
      </c>
      <c r="D6631" s="14" t="s">
        <v>2601</v>
      </c>
      <c r="E6631" s="112"/>
      <c r="F6631" s="139" t="s">
        <v>19035</v>
      </c>
      <c r="G6631" s="140"/>
      <c r="H6631" s="141"/>
      <c r="I6631" s="26">
        <v>4811</v>
      </c>
      <c r="J6631" s="117"/>
      <c r="K6631" s="120"/>
      <c r="L6631" s="121"/>
      <c r="M6631" s="120"/>
      <c r="N6631" s="121"/>
      <c r="O6631" s="120"/>
      <c r="P6631" s="121"/>
      <c r="Q6631" s="120"/>
      <c r="R6631" s="121"/>
      <c r="S6631" s="120"/>
      <c r="T6631" s="121"/>
      <c r="U6631" s="120"/>
      <c r="V6631" s="123"/>
      <c r="W6631" s="125"/>
      <c r="X6631" s="142" t="s">
        <v>19310</v>
      </c>
      <c r="Y6631" s="143"/>
      <c r="Z6631" s="143"/>
      <c r="AA6631" s="143"/>
      <c r="AB6631" s="144"/>
      <c r="AC6631" s="16" t="s">
        <v>21</v>
      </c>
      <c r="AD6631" s="17" t="s">
        <v>859</v>
      </c>
      <c r="AE6631" s="145" t="s">
        <v>3123</v>
      </c>
      <c r="AF6631" s="146"/>
      <c r="AG6631" s="146"/>
      <c r="AH6631" s="146"/>
      <c r="AI6631" s="147"/>
      <c r="AJ6631" s="148"/>
      <c r="AK6631" s="143"/>
      <c r="AL6631" s="144"/>
      <c r="AM6631" s="22"/>
      <c r="AN6631" s="149" t="s">
        <v>2794</v>
      </c>
      <c r="AO6631" s="144"/>
      <c r="AP6631" s="148">
        <v>5099</v>
      </c>
      <c r="AQ6631" s="144"/>
      <c r="AR6631" s="120"/>
      <c r="AS6631" s="121"/>
      <c r="AT6631" s="120"/>
      <c r="AU6631" s="121"/>
      <c r="AV6631" s="120"/>
      <c r="AW6631" s="121"/>
      <c r="AX6631" s="120"/>
      <c r="AY6631" s="121"/>
      <c r="AZ6631" s="138"/>
    </row>
    <row r="6632" spans="1:52" ht="16.5" customHeight="1" thickTop="1">
      <c r="A6632" s="109" t="s">
        <v>19002</v>
      </c>
      <c r="B6632" s="28">
        <v>46080</v>
      </c>
      <c r="C6632" s="25">
        <v>1408</v>
      </c>
      <c r="D6632" s="13" t="s">
        <v>1986</v>
      </c>
      <c r="E6632" s="111"/>
      <c r="F6632" s="113" t="s">
        <v>10843</v>
      </c>
      <c r="G6632" s="114"/>
      <c r="H6632" s="115"/>
      <c r="I6632" s="24" t="s">
        <v>13268</v>
      </c>
      <c r="J6632" s="116">
        <v>4.5</v>
      </c>
      <c r="K6632" s="118">
        <v>902000</v>
      </c>
      <c r="L6632" s="119"/>
      <c r="M6632" s="118">
        <f t="shared" ref="M6632" si="9190">K6632*0.1</f>
        <v>90200</v>
      </c>
      <c r="N6632" s="119"/>
      <c r="O6632" s="118">
        <v>2200</v>
      </c>
      <c r="P6632" s="119"/>
      <c r="Q6632" s="118">
        <v>9150</v>
      </c>
      <c r="R6632" s="119"/>
      <c r="S6632" s="118">
        <v>15400</v>
      </c>
      <c r="T6632" s="119"/>
      <c r="U6632" s="118">
        <f t="shared" ref="U6632" si="9191">SUM(K6632:T6633)</f>
        <v>1018950</v>
      </c>
      <c r="V6632" s="122"/>
      <c r="W6632" s="124"/>
      <c r="X6632" s="126" t="s">
        <v>19460</v>
      </c>
      <c r="Y6632" s="127"/>
      <c r="Z6632" s="127"/>
      <c r="AA6632" s="127"/>
      <c r="AB6632" s="128"/>
      <c r="AC6632" s="15" t="s">
        <v>20</v>
      </c>
      <c r="AD6632" s="129" t="s">
        <v>1633</v>
      </c>
      <c r="AE6632" s="130"/>
      <c r="AF6632" s="130"/>
      <c r="AG6632" s="130"/>
      <c r="AH6632" s="130"/>
      <c r="AI6632" s="131"/>
      <c r="AJ6632" s="132"/>
      <c r="AK6632" s="127"/>
      <c r="AL6632" s="128"/>
      <c r="AM6632" s="21"/>
      <c r="AN6632" s="133">
        <v>46127</v>
      </c>
      <c r="AO6632" s="134"/>
      <c r="AP6632" s="135">
        <v>1013</v>
      </c>
      <c r="AQ6632" s="136"/>
      <c r="AR6632" s="118">
        <v>935000</v>
      </c>
      <c r="AS6632" s="119"/>
      <c r="AT6632" s="118">
        <f t="shared" ref="AT6632" si="9192">AR6632*0.1</f>
        <v>93500</v>
      </c>
      <c r="AU6632" s="119"/>
      <c r="AV6632" s="118">
        <v>9150</v>
      </c>
      <c r="AW6632" s="119"/>
      <c r="AX6632" s="118">
        <f t="shared" ref="AX6632" si="9193">SUM(AR6632:AW6632)</f>
        <v>1037650</v>
      </c>
      <c r="AY6632" s="119"/>
      <c r="AZ6632" s="137">
        <v>46132</v>
      </c>
    </row>
    <row r="6633" spans="1:52" ht="17.100000000000001" customHeight="1" thickBot="1">
      <c r="A6633" s="110"/>
      <c r="B6633" s="27" t="s">
        <v>2641</v>
      </c>
      <c r="C6633" s="27">
        <v>3115</v>
      </c>
      <c r="D6633" s="14" t="s">
        <v>275</v>
      </c>
      <c r="E6633" s="112"/>
      <c r="F6633" s="139" t="s">
        <v>19020</v>
      </c>
      <c r="G6633" s="140"/>
      <c r="H6633" s="141"/>
      <c r="I6633" s="26">
        <v>61829</v>
      </c>
      <c r="J6633" s="117"/>
      <c r="K6633" s="120"/>
      <c r="L6633" s="121"/>
      <c r="M6633" s="120"/>
      <c r="N6633" s="121"/>
      <c r="O6633" s="120"/>
      <c r="P6633" s="121"/>
      <c r="Q6633" s="120"/>
      <c r="R6633" s="121"/>
      <c r="S6633" s="120"/>
      <c r="T6633" s="121"/>
      <c r="U6633" s="120"/>
      <c r="V6633" s="123"/>
      <c r="W6633" s="125"/>
      <c r="X6633" s="142" t="s">
        <v>19461</v>
      </c>
      <c r="Y6633" s="143"/>
      <c r="Z6633" s="143"/>
      <c r="AA6633" s="143"/>
      <c r="AB6633" s="144"/>
      <c r="AC6633" s="16" t="s">
        <v>21</v>
      </c>
      <c r="AD6633" s="17" t="s">
        <v>2681</v>
      </c>
      <c r="AE6633" s="145" t="s">
        <v>20000</v>
      </c>
      <c r="AF6633" s="146"/>
      <c r="AG6633" s="146"/>
      <c r="AH6633" s="146"/>
      <c r="AI6633" s="147"/>
      <c r="AJ6633" s="148"/>
      <c r="AK6633" s="143"/>
      <c r="AL6633" s="144"/>
      <c r="AM6633" s="22"/>
      <c r="AN6633" s="149" t="s">
        <v>2794</v>
      </c>
      <c r="AO6633" s="144"/>
      <c r="AP6633" s="148">
        <v>6097</v>
      </c>
      <c r="AQ6633" s="144"/>
      <c r="AR6633" s="120"/>
      <c r="AS6633" s="121"/>
      <c r="AT6633" s="120"/>
      <c r="AU6633" s="121"/>
      <c r="AV6633" s="120"/>
      <c r="AW6633" s="121"/>
      <c r="AX6633" s="120"/>
      <c r="AY6633" s="121"/>
      <c r="AZ6633" s="138"/>
    </row>
    <row r="6634" spans="1:52" ht="17.100000000000001" customHeight="1" thickTop="1">
      <c r="A6634" s="109" t="s">
        <v>19003</v>
      </c>
      <c r="B6634" s="28">
        <v>46080</v>
      </c>
      <c r="C6634" s="25">
        <v>1408</v>
      </c>
      <c r="D6634" s="13" t="s">
        <v>1586</v>
      </c>
      <c r="E6634" s="111"/>
      <c r="F6634" s="113" t="s">
        <v>8614</v>
      </c>
      <c r="G6634" s="114"/>
      <c r="H6634" s="115"/>
      <c r="I6634" s="24" t="s">
        <v>12603</v>
      </c>
      <c r="J6634" s="116">
        <v>3.5</v>
      </c>
      <c r="K6634" s="118">
        <v>1660000</v>
      </c>
      <c r="L6634" s="119"/>
      <c r="M6634" s="118">
        <f t="shared" ref="M6634" si="9194">K6634*0.1</f>
        <v>166000</v>
      </c>
      <c r="N6634" s="119"/>
      <c r="O6634" s="118">
        <f>3700+370</f>
        <v>4070</v>
      </c>
      <c r="P6634" s="119"/>
      <c r="Q6634" s="118">
        <v>13480</v>
      </c>
      <c r="R6634" s="119"/>
      <c r="S6634" s="118">
        <v>15400</v>
      </c>
      <c r="T6634" s="119"/>
      <c r="U6634" s="118">
        <f t="shared" ref="U6634" si="9195">SUM(K6634:T6635)</f>
        <v>1858950</v>
      </c>
      <c r="V6634" s="122"/>
      <c r="W6634" s="124"/>
      <c r="X6634" s="126" t="s">
        <v>19337</v>
      </c>
      <c r="Y6634" s="127"/>
      <c r="Z6634" s="127"/>
      <c r="AA6634" s="127"/>
      <c r="AB6634" s="128"/>
      <c r="AC6634" s="15" t="s">
        <v>20</v>
      </c>
      <c r="AD6634" s="129" t="s">
        <v>6835</v>
      </c>
      <c r="AE6634" s="130"/>
      <c r="AF6634" s="130"/>
      <c r="AG6634" s="130"/>
      <c r="AH6634" s="130"/>
      <c r="AI6634" s="131"/>
      <c r="AJ6634" s="132"/>
      <c r="AK6634" s="127"/>
      <c r="AL6634" s="128"/>
      <c r="AM6634" s="21"/>
      <c r="AN6634" s="133">
        <v>46155</v>
      </c>
      <c r="AO6634" s="134"/>
      <c r="AP6634" s="135">
        <v>1016</v>
      </c>
      <c r="AQ6634" s="136"/>
      <c r="AR6634" s="118">
        <v>1935000</v>
      </c>
      <c r="AS6634" s="119"/>
      <c r="AT6634" s="118">
        <f t="shared" ref="AT6634" si="9196">AR6634*0.1</f>
        <v>193500</v>
      </c>
      <c r="AU6634" s="119"/>
      <c r="AV6634" s="118">
        <v>13480</v>
      </c>
      <c r="AW6634" s="119"/>
      <c r="AX6634" s="118">
        <f t="shared" ref="AX6634" si="9197">SUM(AR6634:AW6634)</f>
        <v>2141980</v>
      </c>
      <c r="AY6634" s="119"/>
      <c r="AZ6634" s="137">
        <v>46160</v>
      </c>
    </row>
    <row r="6635" spans="1:52" ht="17.100000000000001" customHeight="1" thickBot="1">
      <c r="A6635" s="110"/>
      <c r="B6635" s="27" t="s">
        <v>2641</v>
      </c>
      <c r="C6635" s="27">
        <v>3192</v>
      </c>
      <c r="D6635" s="14" t="s">
        <v>2601</v>
      </c>
      <c r="E6635" s="112"/>
      <c r="F6635" s="139" t="s">
        <v>19021</v>
      </c>
      <c r="G6635" s="140"/>
      <c r="H6635" s="141"/>
      <c r="I6635" s="26">
        <v>22876</v>
      </c>
      <c r="J6635" s="117"/>
      <c r="K6635" s="120"/>
      <c r="L6635" s="121"/>
      <c r="M6635" s="120"/>
      <c r="N6635" s="121"/>
      <c r="O6635" s="120"/>
      <c r="P6635" s="121"/>
      <c r="Q6635" s="120"/>
      <c r="R6635" s="121"/>
      <c r="S6635" s="120"/>
      <c r="T6635" s="121"/>
      <c r="U6635" s="120"/>
      <c r="V6635" s="123"/>
      <c r="W6635" s="125"/>
      <c r="X6635" s="142" t="s">
        <v>19338</v>
      </c>
      <c r="Y6635" s="143"/>
      <c r="Z6635" s="143"/>
      <c r="AA6635" s="143"/>
      <c r="AB6635" s="144"/>
      <c r="AC6635" s="16" t="s">
        <v>21</v>
      </c>
      <c r="AD6635" s="17" t="s">
        <v>859</v>
      </c>
      <c r="AE6635" s="145" t="s">
        <v>4608</v>
      </c>
      <c r="AF6635" s="146"/>
      <c r="AG6635" s="146"/>
      <c r="AH6635" s="146"/>
      <c r="AI6635" s="147"/>
      <c r="AJ6635" s="148"/>
      <c r="AK6635" s="143"/>
      <c r="AL6635" s="144"/>
      <c r="AM6635" s="22"/>
      <c r="AN6635" s="149" t="s">
        <v>9053</v>
      </c>
      <c r="AO6635" s="144"/>
      <c r="AP6635" s="148">
        <v>5185</v>
      </c>
      <c r="AQ6635" s="144"/>
      <c r="AR6635" s="120"/>
      <c r="AS6635" s="121"/>
      <c r="AT6635" s="120"/>
      <c r="AU6635" s="121"/>
      <c r="AV6635" s="120"/>
      <c r="AW6635" s="121"/>
      <c r="AX6635" s="120"/>
      <c r="AY6635" s="121"/>
      <c r="AZ6635" s="138"/>
    </row>
    <row r="6636" spans="1:52" ht="17.100000000000001" customHeight="1" thickTop="1">
      <c r="A6636" s="109" t="s">
        <v>19004</v>
      </c>
      <c r="B6636" s="28">
        <v>46080</v>
      </c>
      <c r="C6636" s="25">
        <v>1408</v>
      </c>
      <c r="D6636" s="13" t="s">
        <v>2941</v>
      </c>
      <c r="E6636" s="111"/>
      <c r="F6636" s="113" t="s">
        <v>19022</v>
      </c>
      <c r="G6636" s="114"/>
      <c r="H6636" s="115"/>
      <c r="I6636" s="24" t="s">
        <v>4093</v>
      </c>
      <c r="J6636" s="116">
        <v>5</v>
      </c>
      <c r="K6636" s="118">
        <v>884000</v>
      </c>
      <c r="L6636" s="119"/>
      <c r="M6636" s="118">
        <f t="shared" ref="M6636" si="9198">K6636*0.1</f>
        <v>88400</v>
      </c>
      <c r="N6636" s="119"/>
      <c r="O6636" s="118">
        <f>2400+240</f>
        <v>2640</v>
      </c>
      <c r="P6636" s="119"/>
      <c r="Q6636" s="118">
        <v>8190</v>
      </c>
      <c r="R6636" s="119"/>
      <c r="S6636" s="118">
        <v>15400</v>
      </c>
      <c r="T6636" s="119"/>
      <c r="U6636" s="118">
        <f t="shared" ref="U6636" si="9199">SUM(K6636:T6637)</f>
        <v>998630</v>
      </c>
      <c r="V6636" s="122"/>
      <c r="W6636" s="124"/>
      <c r="X6636" s="126" t="s">
        <v>19396</v>
      </c>
      <c r="Y6636" s="127"/>
      <c r="Z6636" s="127"/>
      <c r="AA6636" s="127"/>
      <c r="AB6636" s="128"/>
      <c r="AC6636" s="15" t="s">
        <v>20</v>
      </c>
      <c r="AD6636" s="129" t="s">
        <v>6835</v>
      </c>
      <c r="AE6636" s="130"/>
      <c r="AF6636" s="130"/>
      <c r="AG6636" s="130"/>
      <c r="AH6636" s="130"/>
      <c r="AI6636" s="131"/>
      <c r="AJ6636" s="132"/>
      <c r="AK6636" s="127"/>
      <c r="AL6636" s="128"/>
      <c r="AM6636" s="21"/>
      <c r="AN6636" s="133">
        <v>46085</v>
      </c>
      <c r="AO6636" s="134"/>
      <c r="AP6636" s="135">
        <v>1007</v>
      </c>
      <c r="AQ6636" s="136"/>
      <c r="AR6636" s="118">
        <v>915000</v>
      </c>
      <c r="AS6636" s="119"/>
      <c r="AT6636" s="118">
        <f t="shared" ref="AT6636" si="9200">AR6636*0.1</f>
        <v>91500</v>
      </c>
      <c r="AU6636" s="119"/>
      <c r="AV6636" s="118">
        <v>8190</v>
      </c>
      <c r="AW6636" s="119"/>
      <c r="AX6636" s="118">
        <f t="shared" ref="AX6636" si="9201">SUM(AR6636:AW6636)</f>
        <v>1014690</v>
      </c>
      <c r="AY6636" s="119"/>
      <c r="AZ6636" s="137">
        <v>46090</v>
      </c>
    </row>
    <row r="6637" spans="1:52" ht="17.100000000000001" customHeight="1" thickBot="1">
      <c r="A6637" s="110"/>
      <c r="B6637" s="27" t="s">
        <v>2641</v>
      </c>
      <c r="C6637" s="27">
        <v>3235</v>
      </c>
      <c r="D6637" s="14" t="s">
        <v>1812</v>
      </c>
      <c r="E6637" s="112"/>
      <c r="F6637" s="139" t="s">
        <v>19023</v>
      </c>
      <c r="G6637" s="140"/>
      <c r="H6637" s="141"/>
      <c r="I6637" s="26">
        <v>7306</v>
      </c>
      <c r="J6637" s="117"/>
      <c r="K6637" s="120"/>
      <c r="L6637" s="121"/>
      <c r="M6637" s="120"/>
      <c r="N6637" s="121"/>
      <c r="O6637" s="120"/>
      <c r="P6637" s="121"/>
      <c r="Q6637" s="120"/>
      <c r="R6637" s="121"/>
      <c r="S6637" s="120"/>
      <c r="T6637" s="121"/>
      <c r="U6637" s="120"/>
      <c r="V6637" s="123"/>
      <c r="W6637" s="125"/>
      <c r="X6637" s="142" t="s">
        <v>19397</v>
      </c>
      <c r="Y6637" s="143"/>
      <c r="Z6637" s="143"/>
      <c r="AA6637" s="143"/>
      <c r="AB6637" s="144"/>
      <c r="AC6637" s="16" t="s">
        <v>21</v>
      </c>
      <c r="AD6637" s="17" t="s">
        <v>19391</v>
      </c>
      <c r="AE6637" s="145" t="s">
        <v>19398</v>
      </c>
      <c r="AF6637" s="146"/>
      <c r="AG6637" s="146"/>
      <c r="AH6637" s="146"/>
      <c r="AI6637" s="147"/>
      <c r="AJ6637" s="148"/>
      <c r="AK6637" s="143"/>
      <c r="AL6637" s="144"/>
      <c r="AM6637" s="22"/>
      <c r="AN6637" s="149" t="s">
        <v>2794</v>
      </c>
      <c r="AO6637" s="144"/>
      <c r="AP6637" s="148">
        <v>5095</v>
      </c>
      <c r="AQ6637" s="144"/>
      <c r="AR6637" s="120"/>
      <c r="AS6637" s="121"/>
      <c r="AT6637" s="120"/>
      <c r="AU6637" s="121"/>
      <c r="AV6637" s="120"/>
      <c r="AW6637" s="121"/>
      <c r="AX6637" s="120"/>
      <c r="AY6637" s="121"/>
      <c r="AZ6637" s="138"/>
    </row>
    <row r="6638" spans="1:52" ht="17.100000000000001" customHeight="1" thickTop="1">
      <c r="A6638" s="109" t="s">
        <v>19005</v>
      </c>
      <c r="B6638" s="28">
        <v>46080</v>
      </c>
      <c r="C6638" s="25">
        <v>1408</v>
      </c>
      <c r="D6638" s="13" t="s">
        <v>3478</v>
      </c>
      <c r="E6638" s="111"/>
      <c r="F6638" s="113" t="s">
        <v>7409</v>
      </c>
      <c r="G6638" s="114"/>
      <c r="H6638" s="115"/>
      <c r="I6638" s="24"/>
      <c r="J6638" s="116">
        <v>4</v>
      </c>
      <c r="K6638" s="118">
        <v>742000</v>
      </c>
      <c r="L6638" s="119"/>
      <c r="M6638" s="118">
        <f t="shared" ref="M6638" si="9202">K6638*0.1</f>
        <v>74200</v>
      </c>
      <c r="N6638" s="119"/>
      <c r="O6638" s="118">
        <v>0</v>
      </c>
      <c r="P6638" s="119"/>
      <c r="Q6638" s="118">
        <v>8400</v>
      </c>
      <c r="R6638" s="119"/>
      <c r="S6638" s="118">
        <v>15400</v>
      </c>
      <c r="T6638" s="119"/>
      <c r="U6638" s="118">
        <f t="shared" ref="U6638" si="9203">SUM(K6638:T6639)</f>
        <v>840000</v>
      </c>
      <c r="V6638" s="122"/>
      <c r="W6638" s="124"/>
      <c r="X6638" s="126" t="s">
        <v>19359</v>
      </c>
      <c r="Y6638" s="127"/>
      <c r="Z6638" s="127"/>
      <c r="AA6638" s="127"/>
      <c r="AB6638" s="128"/>
      <c r="AC6638" s="15" t="s">
        <v>20</v>
      </c>
      <c r="AD6638" s="129"/>
      <c r="AE6638" s="130"/>
      <c r="AF6638" s="130"/>
      <c r="AG6638" s="130"/>
      <c r="AH6638" s="130"/>
      <c r="AI6638" s="131"/>
      <c r="AJ6638" s="132"/>
      <c r="AK6638" s="127"/>
      <c r="AL6638" s="128"/>
      <c r="AM6638" s="21"/>
      <c r="AN6638" s="133">
        <v>46134</v>
      </c>
      <c r="AO6638" s="134"/>
      <c r="AP6638" s="135">
        <v>1014</v>
      </c>
      <c r="AQ6638" s="136"/>
      <c r="AR6638" s="118">
        <v>775000</v>
      </c>
      <c r="AS6638" s="119"/>
      <c r="AT6638" s="118">
        <v>77500</v>
      </c>
      <c r="AU6638" s="119"/>
      <c r="AV6638" s="118">
        <v>8400</v>
      </c>
      <c r="AW6638" s="119"/>
      <c r="AX6638" s="118">
        <f t="shared" ref="AX6638" si="9204">SUM(AR6638:AW6638)</f>
        <v>860900</v>
      </c>
      <c r="AY6638" s="119"/>
      <c r="AZ6638" s="137">
        <v>46139</v>
      </c>
    </row>
    <row r="6639" spans="1:52" ht="17.100000000000001" customHeight="1" thickBot="1">
      <c r="A6639" s="110"/>
      <c r="B6639" s="27" t="s">
        <v>2641</v>
      </c>
      <c r="C6639" s="27">
        <v>3260</v>
      </c>
      <c r="D6639" s="14" t="s">
        <v>2836</v>
      </c>
      <c r="E6639" s="112"/>
      <c r="F6639" s="139" t="s">
        <v>19024</v>
      </c>
      <c r="G6639" s="140"/>
      <c r="H6639" s="141"/>
      <c r="I6639" s="26">
        <v>44241</v>
      </c>
      <c r="J6639" s="117"/>
      <c r="K6639" s="120"/>
      <c r="L6639" s="121"/>
      <c r="M6639" s="120"/>
      <c r="N6639" s="121"/>
      <c r="O6639" s="120"/>
      <c r="P6639" s="121"/>
      <c r="Q6639" s="120"/>
      <c r="R6639" s="121"/>
      <c r="S6639" s="120"/>
      <c r="T6639" s="121"/>
      <c r="U6639" s="120"/>
      <c r="V6639" s="123"/>
      <c r="W6639" s="125"/>
      <c r="X6639" s="142" t="s">
        <v>3835</v>
      </c>
      <c r="Y6639" s="143"/>
      <c r="Z6639" s="143"/>
      <c r="AA6639" s="143"/>
      <c r="AB6639" s="144"/>
      <c r="AC6639" s="16" t="s">
        <v>21</v>
      </c>
      <c r="AD6639" s="17" t="s">
        <v>859</v>
      </c>
      <c r="AE6639" s="145"/>
      <c r="AF6639" s="146"/>
      <c r="AG6639" s="146"/>
      <c r="AH6639" s="146"/>
      <c r="AI6639" s="147"/>
      <c r="AJ6639" s="148"/>
      <c r="AK6639" s="143"/>
      <c r="AL6639" s="144"/>
      <c r="AM6639" s="22"/>
      <c r="AN6639" s="149" t="s">
        <v>23987</v>
      </c>
      <c r="AO6639" s="144"/>
      <c r="AP6639" s="148">
        <v>2027</v>
      </c>
      <c r="AQ6639" s="144"/>
      <c r="AR6639" s="120"/>
      <c r="AS6639" s="121"/>
      <c r="AT6639" s="120"/>
      <c r="AU6639" s="121"/>
      <c r="AV6639" s="120"/>
      <c r="AW6639" s="121"/>
      <c r="AX6639" s="120"/>
      <c r="AY6639" s="121"/>
      <c r="AZ6639" s="138"/>
    </row>
    <row r="6640" spans="1:52" ht="17.100000000000001" customHeight="1" thickTop="1">
      <c r="A6640" s="109" t="s">
        <v>19006</v>
      </c>
      <c r="B6640" s="28">
        <v>46080</v>
      </c>
      <c r="C6640" s="25">
        <v>1408</v>
      </c>
      <c r="D6640" s="13" t="s">
        <v>1825</v>
      </c>
      <c r="E6640" s="111"/>
      <c r="F6640" s="113" t="s">
        <v>17498</v>
      </c>
      <c r="G6640" s="114"/>
      <c r="H6640" s="115"/>
      <c r="I6640" s="24" t="s">
        <v>19033</v>
      </c>
      <c r="J6640" s="116">
        <v>4</v>
      </c>
      <c r="K6640" s="118">
        <v>1913000</v>
      </c>
      <c r="L6640" s="119"/>
      <c r="M6640" s="118">
        <f t="shared" ref="M6640" si="9205">K6640*0.1</f>
        <v>191300</v>
      </c>
      <c r="N6640" s="119"/>
      <c r="O6640" s="118">
        <v>3300</v>
      </c>
      <c r="P6640" s="119"/>
      <c r="Q6640" s="118">
        <v>10000</v>
      </c>
      <c r="R6640" s="119"/>
      <c r="S6640" s="118">
        <v>15400</v>
      </c>
      <c r="T6640" s="119"/>
      <c r="U6640" s="118">
        <f t="shared" ref="U6640" si="9206">SUM(K6640:T6641)</f>
        <v>2133000</v>
      </c>
      <c r="V6640" s="122"/>
      <c r="W6640" s="124"/>
      <c r="X6640" s="126" t="s">
        <v>19417</v>
      </c>
      <c r="Y6640" s="127"/>
      <c r="Z6640" s="127"/>
      <c r="AA6640" s="127"/>
      <c r="AB6640" s="128"/>
      <c r="AC6640" s="15" t="s">
        <v>20</v>
      </c>
      <c r="AD6640" s="129" t="s">
        <v>171</v>
      </c>
      <c r="AE6640" s="130"/>
      <c r="AF6640" s="130"/>
      <c r="AG6640" s="130"/>
      <c r="AH6640" s="130"/>
      <c r="AI6640" s="131"/>
      <c r="AJ6640" s="132"/>
      <c r="AK6640" s="127"/>
      <c r="AL6640" s="128"/>
      <c r="AM6640" s="21"/>
      <c r="AN6640" s="133">
        <v>46092</v>
      </c>
      <c r="AO6640" s="134"/>
      <c r="AP6640" s="135">
        <v>1008</v>
      </c>
      <c r="AQ6640" s="136"/>
      <c r="AR6640" s="118">
        <v>1995000</v>
      </c>
      <c r="AS6640" s="119"/>
      <c r="AT6640" s="118">
        <f t="shared" ref="AT6640" si="9207">AR6640*0.1</f>
        <v>199500</v>
      </c>
      <c r="AU6640" s="119"/>
      <c r="AV6640" s="118">
        <v>10000</v>
      </c>
      <c r="AW6640" s="119"/>
      <c r="AX6640" s="118">
        <f t="shared" ref="AX6640" si="9208">SUM(AR6640:AW6640)</f>
        <v>2204500</v>
      </c>
      <c r="AY6640" s="119"/>
      <c r="AZ6640" s="137">
        <v>46098</v>
      </c>
    </row>
    <row r="6641" spans="1:52" ht="17.100000000000001" customHeight="1" thickBot="1">
      <c r="A6641" s="110"/>
      <c r="B6641" s="27" t="s">
        <v>2641</v>
      </c>
      <c r="C6641" s="27">
        <v>3293</v>
      </c>
      <c r="D6641" s="14" t="s">
        <v>2116</v>
      </c>
      <c r="E6641" s="112"/>
      <c r="F6641" s="139" t="s">
        <v>19025</v>
      </c>
      <c r="G6641" s="140"/>
      <c r="H6641" s="141"/>
      <c r="I6641" s="26">
        <v>23872</v>
      </c>
      <c r="J6641" s="117"/>
      <c r="K6641" s="120"/>
      <c r="L6641" s="121"/>
      <c r="M6641" s="120"/>
      <c r="N6641" s="121"/>
      <c r="O6641" s="120"/>
      <c r="P6641" s="121"/>
      <c r="Q6641" s="120"/>
      <c r="R6641" s="121"/>
      <c r="S6641" s="120"/>
      <c r="T6641" s="121"/>
      <c r="U6641" s="120"/>
      <c r="V6641" s="123"/>
      <c r="W6641" s="125"/>
      <c r="X6641" s="142" t="s">
        <v>19418</v>
      </c>
      <c r="Y6641" s="143"/>
      <c r="Z6641" s="143"/>
      <c r="AA6641" s="143"/>
      <c r="AB6641" s="144"/>
      <c r="AC6641" s="16" t="s">
        <v>21</v>
      </c>
      <c r="AD6641" s="17" t="s">
        <v>19391</v>
      </c>
      <c r="AE6641" s="145" t="s">
        <v>10559</v>
      </c>
      <c r="AF6641" s="146"/>
      <c r="AG6641" s="146"/>
      <c r="AH6641" s="146"/>
      <c r="AI6641" s="147"/>
      <c r="AJ6641" s="148"/>
      <c r="AK6641" s="143"/>
      <c r="AL6641" s="144"/>
      <c r="AM6641" s="22"/>
      <c r="AN6641" s="149" t="s">
        <v>19938</v>
      </c>
      <c r="AO6641" s="144"/>
      <c r="AP6641" s="148">
        <v>6134</v>
      </c>
      <c r="AQ6641" s="144"/>
      <c r="AR6641" s="120"/>
      <c r="AS6641" s="121"/>
      <c r="AT6641" s="120"/>
      <c r="AU6641" s="121"/>
      <c r="AV6641" s="120"/>
      <c r="AW6641" s="121"/>
      <c r="AX6641" s="120"/>
      <c r="AY6641" s="121"/>
      <c r="AZ6641" s="138"/>
    </row>
    <row r="6642" spans="1:52" ht="17.100000000000001" customHeight="1" thickTop="1">
      <c r="A6642" s="109" t="s">
        <v>19007</v>
      </c>
      <c r="B6642" s="28">
        <v>46080</v>
      </c>
      <c r="C6642" s="25">
        <v>1408</v>
      </c>
      <c r="D6642" s="13" t="s">
        <v>1586</v>
      </c>
      <c r="E6642" s="111"/>
      <c r="F6642" s="113" t="s">
        <v>19037</v>
      </c>
      <c r="G6642" s="114"/>
      <c r="H6642" s="115"/>
      <c r="I6642" s="24"/>
      <c r="J6642" s="116">
        <v>4</v>
      </c>
      <c r="K6642" s="118">
        <v>1416000</v>
      </c>
      <c r="L6642" s="119"/>
      <c r="M6642" s="118">
        <f t="shared" ref="M6642" si="9209">K6642*0.1</f>
        <v>141600</v>
      </c>
      <c r="N6642" s="119"/>
      <c r="O6642" s="118">
        <v>0</v>
      </c>
      <c r="P6642" s="119"/>
      <c r="Q6642" s="118">
        <v>20540</v>
      </c>
      <c r="R6642" s="119"/>
      <c r="S6642" s="118">
        <v>15400</v>
      </c>
      <c r="T6642" s="119"/>
      <c r="U6642" s="118">
        <f t="shared" ref="U6642" si="9210">SUM(K6642:T6643)</f>
        <v>1593540</v>
      </c>
      <c r="V6642" s="122"/>
      <c r="W6642" s="124"/>
      <c r="X6642" s="126" t="s">
        <v>19317</v>
      </c>
      <c r="Y6642" s="127"/>
      <c r="Z6642" s="127"/>
      <c r="AA6642" s="127"/>
      <c r="AB6642" s="128"/>
      <c r="AC6642" s="15" t="s">
        <v>20</v>
      </c>
      <c r="AD6642" s="129" t="s">
        <v>171</v>
      </c>
      <c r="AE6642" s="130"/>
      <c r="AF6642" s="130"/>
      <c r="AG6642" s="130"/>
      <c r="AH6642" s="130"/>
      <c r="AI6642" s="131"/>
      <c r="AJ6642" s="132"/>
      <c r="AK6642" s="127"/>
      <c r="AL6642" s="128"/>
      <c r="AM6642" s="21"/>
      <c r="AN6642" s="133">
        <v>46086</v>
      </c>
      <c r="AO6642" s="134"/>
      <c r="AP6642" s="135">
        <v>1321</v>
      </c>
      <c r="AQ6642" s="136"/>
      <c r="AR6642" s="118">
        <v>1565000</v>
      </c>
      <c r="AS6642" s="119"/>
      <c r="AT6642" s="118">
        <f t="shared" ref="AT6642" si="9211">AR6642*0.1</f>
        <v>156500</v>
      </c>
      <c r="AU6642" s="119"/>
      <c r="AV6642" s="118">
        <v>20540</v>
      </c>
      <c r="AW6642" s="119"/>
      <c r="AX6642" s="118">
        <f t="shared" ref="AX6642" si="9212">SUM(AR6642:AW6642)</f>
        <v>1742040</v>
      </c>
      <c r="AY6642" s="119"/>
      <c r="AZ6642" s="137">
        <v>46087</v>
      </c>
    </row>
    <row r="6643" spans="1:52" ht="17.100000000000001" customHeight="1" thickBot="1">
      <c r="A6643" s="110"/>
      <c r="B6643" s="27" t="s">
        <v>2641</v>
      </c>
      <c r="C6643" s="27">
        <v>7003</v>
      </c>
      <c r="D6643" s="14" t="s">
        <v>275</v>
      </c>
      <c r="E6643" s="112"/>
      <c r="F6643" s="139" t="s">
        <v>19026</v>
      </c>
      <c r="G6643" s="140"/>
      <c r="H6643" s="141"/>
      <c r="I6643" s="26">
        <v>59745</v>
      </c>
      <c r="J6643" s="117"/>
      <c r="K6643" s="120"/>
      <c r="L6643" s="121"/>
      <c r="M6643" s="120"/>
      <c r="N6643" s="121"/>
      <c r="O6643" s="120"/>
      <c r="P6643" s="121"/>
      <c r="Q6643" s="120"/>
      <c r="R6643" s="121"/>
      <c r="S6643" s="120"/>
      <c r="T6643" s="121"/>
      <c r="U6643" s="120"/>
      <c r="V6643" s="123"/>
      <c r="W6643" s="125"/>
      <c r="X6643" s="142" t="s">
        <v>8807</v>
      </c>
      <c r="Y6643" s="143"/>
      <c r="Z6643" s="143"/>
      <c r="AA6643" s="143"/>
      <c r="AB6643" s="144"/>
      <c r="AC6643" s="16" t="s">
        <v>21</v>
      </c>
      <c r="AD6643" s="17" t="s">
        <v>859</v>
      </c>
      <c r="AE6643" s="145" t="s">
        <v>1614</v>
      </c>
      <c r="AF6643" s="146"/>
      <c r="AG6643" s="146"/>
      <c r="AH6643" s="146"/>
      <c r="AI6643" s="147"/>
      <c r="AJ6643" s="148"/>
      <c r="AK6643" s="143"/>
      <c r="AL6643" s="144"/>
      <c r="AM6643" s="22"/>
      <c r="AN6643" s="149" t="s">
        <v>19388</v>
      </c>
      <c r="AO6643" s="144"/>
      <c r="AP6643" s="148">
        <v>174</v>
      </c>
      <c r="AQ6643" s="144"/>
      <c r="AR6643" s="120"/>
      <c r="AS6643" s="121"/>
      <c r="AT6643" s="120"/>
      <c r="AU6643" s="121"/>
      <c r="AV6643" s="120"/>
      <c r="AW6643" s="121"/>
      <c r="AX6643" s="120"/>
      <c r="AY6643" s="121"/>
      <c r="AZ6643" s="138"/>
    </row>
    <row r="6644" spans="1:52" ht="17.100000000000001" customHeight="1" thickTop="1">
      <c r="A6644" s="109" t="s">
        <v>19008</v>
      </c>
      <c r="B6644" s="28">
        <v>46080</v>
      </c>
      <c r="C6644" s="25">
        <v>1408</v>
      </c>
      <c r="D6644" s="13" t="s">
        <v>1549</v>
      </c>
      <c r="E6644" s="111"/>
      <c r="F6644" s="113" t="s">
        <v>10642</v>
      </c>
      <c r="G6644" s="114"/>
      <c r="H6644" s="115"/>
      <c r="I6644" s="24"/>
      <c r="J6644" s="116">
        <v>3.5</v>
      </c>
      <c r="K6644" s="118">
        <v>403000</v>
      </c>
      <c r="L6644" s="119"/>
      <c r="M6644" s="118">
        <f t="shared" ref="M6644" si="9213">K6644*0.1</f>
        <v>40300</v>
      </c>
      <c r="N6644" s="119"/>
      <c r="O6644" s="118">
        <v>0</v>
      </c>
      <c r="P6644" s="119"/>
      <c r="Q6644" s="118">
        <v>9130</v>
      </c>
      <c r="R6644" s="119"/>
      <c r="S6644" s="118">
        <v>15400</v>
      </c>
      <c r="T6644" s="119"/>
      <c r="U6644" s="118">
        <f t="shared" ref="U6644" si="9214">SUM(K6644:T6645)</f>
        <v>467830</v>
      </c>
      <c r="V6644" s="122"/>
      <c r="W6644" s="124"/>
      <c r="X6644" s="126" t="s">
        <v>19367</v>
      </c>
      <c r="Y6644" s="127"/>
      <c r="Z6644" s="127"/>
      <c r="AA6644" s="127"/>
      <c r="AB6644" s="128"/>
      <c r="AC6644" s="15" t="s">
        <v>20</v>
      </c>
      <c r="AD6644" s="129"/>
      <c r="AE6644" s="130"/>
      <c r="AF6644" s="130"/>
      <c r="AG6644" s="130"/>
      <c r="AH6644" s="130"/>
      <c r="AI6644" s="131"/>
      <c r="AJ6644" s="132"/>
      <c r="AK6644" s="127"/>
      <c r="AL6644" s="128"/>
      <c r="AM6644" s="21"/>
      <c r="AN6644" s="133">
        <v>46092</v>
      </c>
      <c r="AO6644" s="134"/>
      <c r="AP6644" s="135">
        <v>1008</v>
      </c>
      <c r="AQ6644" s="136"/>
      <c r="AR6644" s="118">
        <v>480000</v>
      </c>
      <c r="AS6644" s="119"/>
      <c r="AT6644" s="118">
        <f t="shared" ref="AT6644" si="9215">AR6644*0.1</f>
        <v>48000</v>
      </c>
      <c r="AU6644" s="119"/>
      <c r="AV6644" s="118">
        <v>9130</v>
      </c>
      <c r="AW6644" s="119"/>
      <c r="AX6644" s="118">
        <f t="shared" ref="AX6644" si="9216">SUM(AR6644:AW6644)</f>
        <v>537130</v>
      </c>
      <c r="AY6644" s="119"/>
      <c r="AZ6644" s="137">
        <v>46098</v>
      </c>
    </row>
    <row r="6645" spans="1:52" ht="17.100000000000001" customHeight="1" thickBot="1">
      <c r="A6645" s="110"/>
      <c r="B6645" s="27" t="s">
        <v>2641</v>
      </c>
      <c r="C6645" s="27">
        <v>9009</v>
      </c>
      <c r="D6645" s="14" t="s">
        <v>904</v>
      </c>
      <c r="E6645" s="112"/>
      <c r="F6645" s="139" t="s">
        <v>19027</v>
      </c>
      <c r="G6645" s="140"/>
      <c r="H6645" s="141"/>
      <c r="I6645" s="26">
        <v>52918</v>
      </c>
      <c r="J6645" s="117"/>
      <c r="K6645" s="120"/>
      <c r="L6645" s="121"/>
      <c r="M6645" s="120"/>
      <c r="N6645" s="121"/>
      <c r="O6645" s="120"/>
      <c r="P6645" s="121"/>
      <c r="Q6645" s="120"/>
      <c r="R6645" s="121"/>
      <c r="S6645" s="120"/>
      <c r="T6645" s="121"/>
      <c r="U6645" s="120"/>
      <c r="V6645" s="123"/>
      <c r="W6645" s="125"/>
      <c r="X6645" s="142" t="s">
        <v>3835</v>
      </c>
      <c r="Y6645" s="143"/>
      <c r="Z6645" s="143"/>
      <c r="AA6645" s="143"/>
      <c r="AB6645" s="144"/>
      <c r="AC6645" s="16" t="s">
        <v>21</v>
      </c>
      <c r="AD6645" s="17" t="s">
        <v>859</v>
      </c>
      <c r="AE6645" s="145" t="s">
        <v>19438</v>
      </c>
      <c r="AF6645" s="146"/>
      <c r="AG6645" s="146"/>
      <c r="AH6645" s="146"/>
      <c r="AI6645" s="147"/>
      <c r="AJ6645" s="148"/>
      <c r="AK6645" s="143"/>
      <c r="AL6645" s="144"/>
      <c r="AM6645" s="22"/>
      <c r="AN6645" s="149" t="s">
        <v>19938</v>
      </c>
      <c r="AO6645" s="144"/>
      <c r="AP6645" s="148">
        <v>6025</v>
      </c>
      <c r="AQ6645" s="144"/>
      <c r="AR6645" s="120"/>
      <c r="AS6645" s="121"/>
      <c r="AT6645" s="120"/>
      <c r="AU6645" s="121"/>
      <c r="AV6645" s="120"/>
      <c r="AW6645" s="121"/>
      <c r="AX6645" s="120"/>
      <c r="AY6645" s="121"/>
      <c r="AZ6645" s="138"/>
    </row>
    <row r="6646" spans="1:52" ht="17.100000000000001" customHeight="1" thickTop="1">
      <c r="A6646" s="109" t="s">
        <v>19009</v>
      </c>
      <c r="B6646" s="28">
        <v>46080</v>
      </c>
      <c r="C6646" s="25">
        <v>1408</v>
      </c>
      <c r="D6646" s="13" t="s">
        <v>1870</v>
      </c>
      <c r="E6646" s="111"/>
      <c r="F6646" s="113" t="s">
        <v>17030</v>
      </c>
      <c r="G6646" s="114"/>
      <c r="H6646" s="115"/>
      <c r="I6646" s="24"/>
      <c r="J6646" s="150" t="s">
        <v>1715</v>
      </c>
      <c r="K6646" s="118">
        <v>448000</v>
      </c>
      <c r="L6646" s="119"/>
      <c r="M6646" s="118">
        <v>44800</v>
      </c>
      <c r="N6646" s="119"/>
      <c r="O6646" s="118">
        <v>0</v>
      </c>
      <c r="P6646" s="119"/>
      <c r="Q6646" s="118">
        <v>10830</v>
      </c>
      <c r="R6646" s="119"/>
      <c r="S6646" s="118">
        <v>15400</v>
      </c>
      <c r="T6646" s="119"/>
      <c r="U6646" s="118">
        <f t="shared" ref="U6646" si="9217">SUM(K6646:T6647)</f>
        <v>519030</v>
      </c>
      <c r="V6646" s="122"/>
      <c r="W6646" s="124"/>
      <c r="X6646" s="126" t="s">
        <v>19366</v>
      </c>
      <c r="Y6646" s="127"/>
      <c r="Z6646" s="127"/>
      <c r="AA6646" s="127"/>
      <c r="AB6646" s="128"/>
      <c r="AC6646" s="15" t="s">
        <v>20</v>
      </c>
      <c r="AD6646" s="129"/>
      <c r="AE6646" s="130"/>
      <c r="AF6646" s="130"/>
      <c r="AG6646" s="130"/>
      <c r="AH6646" s="130"/>
      <c r="AI6646" s="131"/>
      <c r="AJ6646" s="132"/>
      <c r="AK6646" s="127"/>
      <c r="AL6646" s="128"/>
      <c r="AM6646" s="21"/>
      <c r="AN6646" s="133"/>
      <c r="AO6646" s="134"/>
      <c r="AP6646" s="135"/>
      <c r="AQ6646" s="136"/>
      <c r="AR6646" s="118"/>
      <c r="AS6646" s="119"/>
      <c r="AT6646" s="118">
        <f t="shared" ref="AT6646" si="9218">AR6646*0.1</f>
        <v>0</v>
      </c>
      <c r="AU6646" s="119"/>
      <c r="AV6646" s="118"/>
      <c r="AW6646" s="119"/>
      <c r="AX6646" s="118">
        <f t="shared" ref="AX6646" si="9219">SUM(AR6646:AW6646)</f>
        <v>0</v>
      </c>
      <c r="AY6646" s="119"/>
      <c r="AZ6646" s="137"/>
    </row>
    <row r="6647" spans="1:52" ht="17.100000000000001" customHeight="1" thickBot="1">
      <c r="A6647" s="110"/>
      <c r="B6647" s="27" t="s">
        <v>2641</v>
      </c>
      <c r="C6647" s="27">
        <v>9017</v>
      </c>
      <c r="D6647" s="14" t="s">
        <v>2601</v>
      </c>
      <c r="E6647" s="112"/>
      <c r="F6647" s="139" t="s">
        <v>19028</v>
      </c>
      <c r="G6647" s="140"/>
      <c r="H6647" s="141"/>
      <c r="I6647" s="26">
        <v>157785</v>
      </c>
      <c r="J6647" s="117"/>
      <c r="K6647" s="120"/>
      <c r="L6647" s="121"/>
      <c r="M6647" s="120"/>
      <c r="N6647" s="121"/>
      <c r="O6647" s="120"/>
      <c r="P6647" s="121"/>
      <c r="Q6647" s="120"/>
      <c r="R6647" s="121"/>
      <c r="S6647" s="120"/>
      <c r="T6647" s="121"/>
      <c r="U6647" s="120"/>
      <c r="V6647" s="123"/>
      <c r="W6647" s="125"/>
      <c r="X6647" s="142" t="s">
        <v>3835</v>
      </c>
      <c r="Y6647" s="143"/>
      <c r="Z6647" s="143"/>
      <c r="AA6647" s="143"/>
      <c r="AB6647" s="144"/>
      <c r="AC6647" s="16" t="s">
        <v>21</v>
      </c>
      <c r="AD6647" s="17" t="s">
        <v>859</v>
      </c>
      <c r="AE6647" s="145" t="s">
        <v>19439</v>
      </c>
      <c r="AF6647" s="146"/>
      <c r="AG6647" s="146"/>
      <c r="AH6647" s="146"/>
      <c r="AI6647" s="147"/>
      <c r="AJ6647" s="148"/>
      <c r="AK6647" s="143"/>
      <c r="AL6647" s="144"/>
      <c r="AM6647" s="22"/>
      <c r="AN6647" s="149"/>
      <c r="AO6647" s="144"/>
      <c r="AP6647" s="148"/>
      <c r="AQ6647" s="144"/>
      <c r="AR6647" s="120"/>
      <c r="AS6647" s="121"/>
      <c r="AT6647" s="120"/>
      <c r="AU6647" s="121"/>
      <c r="AV6647" s="120"/>
      <c r="AW6647" s="121"/>
      <c r="AX6647" s="120"/>
      <c r="AY6647" s="121"/>
      <c r="AZ6647" s="138"/>
    </row>
    <row r="6648" spans="1:52" ht="17.100000000000001" customHeight="1" thickTop="1">
      <c r="A6648" s="109" t="s">
        <v>19010</v>
      </c>
      <c r="B6648" s="28">
        <v>46080</v>
      </c>
      <c r="C6648" s="25">
        <v>1408</v>
      </c>
      <c r="D6648" s="13" t="s">
        <v>1725</v>
      </c>
      <c r="E6648" s="111"/>
      <c r="F6648" s="113" t="s">
        <v>19029</v>
      </c>
      <c r="G6648" s="114"/>
      <c r="H6648" s="115"/>
      <c r="I6648" s="24"/>
      <c r="J6648" s="116">
        <v>4</v>
      </c>
      <c r="K6648" s="118">
        <v>405000</v>
      </c>
      <c r="L6648" s="119"/>
      <c r="M6648" s="118">
        <f t="shared" ref="M6648" si="9220">K6648*0.1</f>
        <v>40500</v>
      </c>
      <c r="N6648" s="119"/>
      <c r="O6648" s="118">
        <v>0</v>
      </c>
      <c r="P6648" s="119"/>
      <c r="Q6648" s="118">
        <v>9310</v>
      </c>
      <c r="R6648" s="119"/>
      <c r="S6648" s="118">
        <v>15400</v>
      </c>
      <c r="T6648" s="119"/>
      <c r="U6648" s="118">
        <f t="shared" ref="U6648" si="9221">SUM(K6648:T6649)</f>
        <v>470210</v>
      </c>
      <c r="V6648" s="122"/>
      <c r="W6648" s="124"/>
      <c r="X6648" s="126" t="s">
        <v>19339</v>
      </c>
      <c r="Y6648" s="127"/>
      <c r="Z6648" s="127"/>
      <c r="AA6648" s="127"/>
      <c r="AB6648" s="128"/>
      <c r="AC6648" s="15" t="s">
        <v>20</v>
      </c>
      <c r="AD6648" s="129" t="s">
        <v>171</v>
      </c>
      <c r="AE6648" s="130"/>
      <c r="AF6648" s="130"/>
      <c r="AG6648" s="130"/>
      <c r="AH6648" s="130"/>
      <c r="AI6648" s="131"/>
      <c r="AJ6648" s="132"/>
      <c r="AK6648" s="127"/>
      <c r="AL6648" s="128"/>
      <c r="AM6648" s="21"/>
      <c r="AN6648" s="133">
        <v>46095</v>
      </c>
      <c r="AO6648" s="134"/>
      <c r="AP6648" s="135">
        <v>1292</v>
      </c>
      <c r="AQ6648" s="136"/>
      <c r="AR6648" s="118">
        <v>415000</v>
      </c>
      <c r="AS6648" s="119"/>
      <c r="AT6648" s="118">
        <f t="shared" ref="AT6648" si="9222">AR6648*0.1</f>
        <v>41500</v>
      </c>
      <c r="AU6648" s="119"/>
      <c r="AV6648" s="118">
        <v>9310</v>
      </c>
      <c r="AW6648" s="119"/>
      <c r="AX6648" s="118">
        <f t="shared" ref="AX6648" si="9223">SUM(AR6648:AW6648)</f>
        <v>465810</v>
      </c>
      <c r="AY6648" s="119"/>
      <c r="AZ6648" s="137">
        <v>46098</v>
      </c>
    </row>
    <row r="6649" spans="1:52" ht="17.100000000000001" customHeight="1" thickBot="1">
      <c r="A6649" s="110"/>
      <c r="B6649" s="27" t="s">
        <v>2641</v>
      </c>
      <c r="C6649" s="27">
        <v>9018</v>
      </c>
      <c r="D6649" s="14" t="s">
        <v>1812</v>
      </c>
      <c r="E6649" s="112"/>
      <c r="F6649" s="139" t="s">
        <v>19030</v>
      </c>
      <c r="G6649" s="140"/>
      <c r="H6649" s="141"/>
      <c r="I6649" s="26">
        <v>96836</v>
      </c>
      <c r="J6649" s="117"/>
      <c r="K6649" s="120"/>
      <c r="L6649" s="121"/>
      <c r="M6649" s="120"/>
      <c r="N6649" s="121"/>
      <c r="O6649" s="120"/>
      <c r="P6649" s="121"/>
      <c r="Q6649" s="120"/>
      <c r="R6649" s="121"/>
      <c r="S6649" s="120"/>
      <c r="T6649" s="121"/>
      <c r="U6649" s="120"/>
      <c r="V6649" s="123"/>
      <c r="W6649" s="125"/>
      <c r="X6649" s="142" t="s">
        <v>19340</v>
      </c>
      <c r="Y6649" s="143"/>
      <c r="Z6649" s="143"/>
      <c r="AA6649" s="143"/>
      <c r="AB6649" s="144"/>
      <c r="AC6649" s="16" t="s">
        <v>21</v>
      </c>
      <c r="AD6649" s="17" t="s">
        <v>859</v>
      </c>
      <c r="AE6649" s="145" t="s">
        <v>171</v>
      </c>
      <c r="AF6649" s="146"/>
      <c r="AG6649" s="146"/>
      <c r="AH6649" s="146"/>
      <c r="AI6649" s="147"/>
      <c r="AJ6649" s="148"/>
      <c r="AK6649" s="143"/>
      <c r="AL6649" s="144"/>
      <c r="AM6649" s="22"/>
      <c r="AN6649" s="149" t="s">
        <v>2511</v>
      </c>
      <c r="AO6649" s="144"/>
      <c r="AP6649" s="148">
        <v>60103</v>
      </c>
      <c r="AQ6649" s="144"/>
      <c r="AR6649" s="120"/>
      <c r="AS6649" s="121"/>
      <c r="AT6649" s="120"/>
      <c r="AU6649" s="121"/>
      <c r="AV6649" s="120"/>
      <c r="AW6649" s="121"/>
      <c r="AX6649" s="120"/>
      <c r="AY6649" s="121"/>
      <c r="AZ6649" s="138"/>
    </row>
    <row r="6650" spans="1:52" ht="17.100000000000001" customHeight="1" thickTop="1">
      <c r="A6650" s="109" t="s">
        <v>19011</v>
      </c>
      <c r="B6650" s="28">
        <v>46080</v>
      </c>
      <c r="C6650" s="25">
        <v>1408</v>
      </c>
      <c r="D6650" s="13" t="s">
        <v>4443</v>
      </c>
      <c r="E6650" s="111"/>
      <c r="F6650" s="113" t="s">
        <v>19039</v>
      </c>
      <c r="G6650" s="114"/>
      <c r="H6650" s="115"/>
      <c r="I6650" s="24" t="s">
        <v>10855</v>
      </c>
      <c r="J6650" s="116">
        <v>4</v>
      </c>
      <c r="K6650" s="118">
        <v>551000</v>
      </c>
      <c r="L6650" s="119"/>
      <c r="M6650" s="118">
        <v>55100</v>
      </c>
      <c r="N6650" s="119"/>
      <c r="O6650" s="118">
        <f>2800+280</f>
        <v>3080</v>
      </c>
      <c r="P6650" s="119"/>
      <c r="Q6650" s="118">
        <v>10460</v>
      </c>
      <c r="R6650" s="119"/>
      <c r="S6650" s="118">
        <v>15400</v>
      </c>
      <c r="T6650" s="119"/>
      <c r="U6650" s="118">
        <f t="shared" ref="U6650" si="9224">SUM(K6650:T6651)</f>
        <v>635040</v>
      </c>
      <c r="V6650" s="122"/>
      <c r="W6650" s="124"/>
      <c r="X6650" s="126" t="s">
        <v>19458</v>
      </c>
      <c r="Y6650" s="127"/>
      <c r="Z6650" s="127"/>
      <c r="AA6650" s="127"/>
      <c r="AB6650" s="128"/>
      <c r="AC6650" s="15" t="s">
        <v>20</v>
      </c>
      <c r="AD6650" s="129"/>
      <c r="AE6650" s="130"/>
      <c r="AF6650" s="130"/>
      <c r="AG6650" s="130"/>
      <c r="AH6650" s="130"/>
      <c r="AI6650" s="131"/>
      <c r="AJ6650" s="132" t="s">
        <v>22311</v>
      </c>
      <c r="AK6650" s="127"/>
      <c r="AL6650" s="128"/>
      <c r="AM6650" s="21"/>
      <c r="AN6650" s="133">
        <v>46085</v>
      </c>
      <c r="AO6650" s="134"/>
      <c r="AP6650" s="135">
        <v>1007</v>
      </c>
      <c r="AQ6650" s="136"/>
      <c r="AR6650" s="118">
        <v>780000</v>
      </c>
      <c r="AS6650" s="119"/>
      <c r="AT6650" s="118">
        <f t="shared" ref="AT6650" si="9225">AR6650*0.1</f>
        <v>78000</v>
      </c>
      <c r="AU6650" s="119"/>
      <c r="AV6650" s="118">
        <v>10460</v>
      </c>
      <c r="AW6650" s="119"/>
      <c r="AX6650" s="118">
        <f t="shared" ref="AX6650" si="9226">SUM(AR6650:AW6650)</f>
        <v>868460</v>
      </c>
      <c r="AY6650" s="119"/>
      <c r="AZ6650" s="137">
        <v>46092</v>
      </c>
    </row>
    <row r="6651" spans="1:52" ht="17.100000000000001" customHeight="1" thickBot="1">
      <c r="A6651" s="110"/>
      <c r="B6651" s="27" t="s">
        <v>2641</v>
      </c>
      <c r="C6651" s="27">
        <v>9059</v>
      </c>
      <c r="D6651" s="14" t="s">
        <v>2601</v>
      </c>
      <c r="E6651" s="112"/>
      <c r="F6651" s="139" t="s">
        <v>19031</v>
      </c>
      <c r="G6651" s="140"/>
      <c r="H6651" s="141"/>
      <c r="I6651" s="26">
        <v>43059</v>
      </c>
      <c r="J6651" s="117"/>
      <c r="K6651" s="120"/>
      <c r="L6651" s="121"/>
      <c r="M6651" s="120"/>
      <c r="N6651" s="121"/>
      <c r="O6651" s="120"/>
      <c r="P6651" s="121"/>
      <c r="Q6651" s="120"/>
      <c r="R6651" s="121"/>
      <c r="S6651" s="120"/>
      <c r="T6651" s="121"/>
      <c r="U6651" s="120"/>
      <c r="V6651" s="123"/>
      <c r="W6651" s="125"/>
      <c r="X6651" s="142" t="s">
        <v>4285</v>
      </c>
      <c r="Y6651" s="143"/>
      <c r="Z6651" s="143"/>
      <c r="AA6651" s="143"/>
      <c r="AB6651" s="144"/>
      <c r="AC6651" s="16" t="s">
        <v>21</v>
      </c>
      <c r="AD6651" s="17" t="s">
        <v>2681</v>
      </c>
      <c r="AE6651" s="145"/>
      <c r="AF6651" s="146"/>
      <c r="AG6651" s="146"/>
      <c r="AH6651" s="146"/>
      <c r="AI6651" s="147"/>
      <c r="AJ6651" s="148"/>
      <c r="AK6651" s="143"/>
      <c r="AL6651" s="144"/>
      <c r="AM6651" s="22"/>
      <c r="AN6651" s="149" t="s">
        <v>2794</v>
      </c>
      <c r="AO6651" s="144"/>
      <c r="AP6651" s="148">
        <v>5110</v>
      </c>
      <c r="AQ6651" s="144"/>
      <c r="AR6651" s="120"/>
      <c r="AS6651" s="121"/>
      <c r="AT6651" s="120"/>
      <c r="AU6651" s="121"/>
      <c r="AV6651" s="120"/>
      <c r="AW6651" s="121"/>
      <c r="AX6651" s="120"/>
      <c r="AY6651" s="121"/>
      <c r="AZ6651" s="138"/>
    </row>
    <row r="6652" spans="1:52" ht="17.100000000000001" customHeight="1" thickTop="1">
      <c r="A6652" s="109" t="s">
        <v>19012</v>
      </c>
      <c r="B6652" s="28">
        <v>46080</v>
      </c>
      <c r="C6652" s="25">
        <v>1408</v>
      </c>
      <c r="D6652" s="13" t="s">
        <v>1675</v>
      </c>
      <c r="E6652" s="111"/>
      <c r="F6652" s="113" t="s">
        <v>4580</v>
      </c>
      <c r="G6652" s="114"/>
      <c r="H6652" s="115"/>
      <c r="I6652" s="24"/>
      <c r="J6652" s="116">
        <v>3</v>
      </c>
      <c r="K6652" s="118">
        <v>133000</v>
      </c>
      <c r="L6652" s="119"/>
      <c r="M6652" s="118">
        <f t="shared" ref="M6652" si="9227">K6652*0.1</f>
        <v>13300</v>
      </c>
      <c r="N6652" s="119"/>
      <c r="O6652" s="118">
        <v>0</v>
      </c>
      <c r="P6652" s="119"/>
      <c r="Q6652" s="118">
        <v>9790</v>
      </c>
      <c r="R6652" s="119"/>
      <c r="S6652" s="118">
        <v>15400</v>
      </c>
      <c r="T6652" s="119"/>
      <c r="U6652" s="118">
        <f t="shared" ref="U6652" si="9228">SUM(K6652:T6653)</f>
        <v>171490</v>
      </c>
      <c r="V6652" s="122"/>
      <c r="W6652" s="124"/>
      <c r="X6652" s="126" t="s">
        <v>19361</v>
      </c>
      <c r="Y6652" s="127"/>
      <c r="Z6652" s="127"/>
      <c r="AA6652" s="127"/>
      <c r="AB6652" s="128"/>
      <c r="AC6652" s="15" t="s">
        <v>20</v>
      </c>
      <c r="AD6652" s="129"/>
      <c r="AE6652" s="130"/>
      <c r="AF6652" s="130"/>
      <c r="AG6652" s="130"/>
      <c r="AH6652" s="130"/>
      <c r="AI6652" s="131"/>
      <c r="AJ6652" s="132"/>
      <c r="AK6652" s="127"/>
      <c r="AL6652" s="128"/>
      <c r="AM6652" s="21"/>
      <c r="AN6652" s="133"/>
      <c r="AO6652" s="134"/>
      <c r="AP6652" s="135"/>
      <c r="AQ6652" s="136"/>
      <c r="AR6652" s="118"/>
      <c r="AS6652" s="119"/>
      <c r="AT6652" s="118">
        <f t="shared" ref="AT6652" si="9229">AR6652*0.1</f>
        <v>0</v>
      </c>
      <c r="AU6652" s="119"/>
      <c r="AV6652" s="118"/>
      <c r="AW6652" s="119"/>
      <c r="AX6652" s="118">
        <f t="shared" ref="AX6652" si="9230">SUM(AR6652:AW6652)</f>
        <v>0</v>
      </c>
      <c r="AY6652" s="119"/>
      <c r="AZ6652" s="137"/>
    </row>
    <row r="6653" spans="1:52" ht="17.100000000000001" customHeight="1" thickBot="1">
      <c r="A6653" s="110"/>
      <c r="B6653" s="27" t="s">
        <v>2641</v>
      </c>
      <c r="C6653" s="27">
        <v>9067</v>
      </c>
      <c r="D6653" s="14" t="s">
        <v>275</v>
      </c>
      <c r="E6653" s="112"/>
      <c r="F6653" s="139" t="s">
        <v>19032</v>
      </c>
      <c r="G6653" s="140"/>
      <c r="H6653" s="141"/>
      <c r="I6653" s="26">
        <v>140219</v>
      </c>
      <c r="J6653" s="117"/>
      <c r="K6653" s="120"/>
      <c r="L6653" s="121"/>
      <c r="M6653" s="120"/>
      <c r="N6653" s="121"/>
      <c r="O6653" s="120"/>
      <c r="P6653" s="121"/>
      <c r="Q6653" s="120"/>
      <c r="R6653" s="121"/>
      <c r="S6653" s="120"/>
      <c r="T6653" s="121"/>
      <c r="U6653" s="120"/>
      <c r="V6653" s="123"/>
      <c r="W6653" s="125"/>
      <c r="X6653" s="142" t="s">
        <v>3835</v>
      </c>
      <c r="Y6653" s="143"/>
      <c r="Z6653" s="143"/>
      <c r="AA6653" s="143"/>
      <c r="AB6653" s="144"/>
      <c r="AC6653" s="16" t="s">
        <v>21</v>
      </c>
      <c r="AD6653" s="17" t="s">
        <v>859</v>
      </c>
      <c r="AE6653" s="145" t="s">
        <v>2441</v>
      </c>
      <c r="AF6653" s="146"/>
      <c r="AG6653" s="146"/>
      <c r="AH6653" s="146"/>
      <c r="AI6653" s="147"/>
      <c r="AJ6653" s="148"/>
      <c r="AK6653" s="143"/>
      <c r="AL6653" s="144"/>
      <c r="AM6653" s="22"/>
      <c r="AN6653" s="149"/>
      <c r="AO6653" s="144"/>
      <c r="AP6653" s="148"/>
      <c r="AQ6653" s="144"/>
      <c r="AR6653" s="120"/>
      <c r="AS6653" s="121"/>
      <c r="AT6653" s="120"/>
      <c r="AU6653" s="121"/>
      <c r="AV6653" s="120"/>
      <c r="AW6653" s="121"/>
      <c r="AX6653" s="120"/>
      <c r="AY6653" s="121"/>
      <c r="AZ6653" s="138"/>
    </row>
    <row r="6654" spans="1:52" ht="17.100000000000001" customHeight="1" thickTop="1">
      <c r="A6654" s="109" t="s">
        <v>19117</v>
      </c>
      <c r="B6654" s="28">
        <v>46081</v>
      </c>
      <c r="C6654" s="25">
        <v>1708</v>
      </c>
      <c r="D6654" s="13" t="s">
        <v>2359</v>
      </c>
      <c r="E6654" s="111"/>
      <c r="F6654" s="113" t="s">
        <v>16415</v>
      </c>
      <c r="G6654" s="114"/>
      <c r="H6654" s="115"/>
      <c r="I6654" s="24"/>
      <c r="J6654" s="116">
        <v>4.5</v>
      </c>
      <c r="K6654" s="118">
        <v>2490000</v>
      </c>
      <c r="L6654" s="119"/>
      <c r="M6654" s="118">
        <f t="shared" ref="M6654" si="9231">K6654*0.1</f>
        <v>249000</v>
      </c>
      <c r="N6654" s="119"/>
      <c r="O6654" s="118">
        <v>0</v>
      </c>
      <c r="P6654" s="119"/>
      <c r="Q6654" s="118">
        <v>21570</v>
      </c>
      <c r="R6654" s="119"/>
      <c r="S6654" s="118">
        <v>16500</v>
      </c>
      <c r="T6654" s="119"/>
      <c r="U6654" s="118">
        <f t="shared" ref="U6654" si="9232">SUM(K6654:T6655)</f>
        <v>2777070</v>
      </c>
      <c r="V6654" s="122"/>
      <c r="W6654" s="124"/>
      <c r="X6654" s="126" t="s">
        <v>19425</v>
      </c>
      <c r="Y6654" s="127"/>
      <c r="Z6654" s="127"/>
      <c r="AA6654" s="127"/>
      <c r="AB6654" s="128"/>
      <c r="AC6654" s="15" t="s">
        <v>20</v>
      </c>
      <c r="AD6654" s="129" t="s">
        <v>1732</v>
      </c>
      <c r="AE6654" s="130"/>
      <c r="AF6654" s="130"/>
      <c r="AG6654" s="130"/>
      <c r="AH6654" s="130"/>
      <c r="AI6654" s="131"/>
      <c r="AJ6654" s="132"/>
      <c r="AK6654" s="127"/>
      <c r="AL6654" s="128"/>
      <c r="AM6654" s="21"/>
      <c r="AN6654" s="133">
        <v>46116</v>
      </c>
      <c r="AO6654" s="134"/>
      <c r="AP6654" s="135">
        <v>1295</v>
      </c>
      <c r="AQ6654" s="136"/>
      <c r="AR6654" s="118">
        <v>2620000</v>
      </c>
      <c r="AS6654" s="119"/>
      <c r="AT6654" s="118">
        <f t="shared" ref="AT6654" si="9233">AR6654*0.1</f>
        <v>262000</v>
      </c>
      <c r="AU6654" s="119"/>
      <c r="AV6654" s="118">
        <v>21570</v>
      </c>
      <c r="AW6654" s="119"/>
      <c r="AX6654" s="118">
        <f t="shared" ref="AX6654" si="9234">SUM(AR6654:AW6654)</f>
        <v>2903570</v>
      </c>
      <c r="AY6654" s="119"/>
      <c r="AZ6654" s="137">
        <v>46119</v>
      </c>
    </row>
    <row r="6655" spans="1:52" ht="17.100000000000001" customHeight="1" thickBot="1">
      <c r="A6655" s="110"/>
      <c r="B6655" s="27" t="s">
        <v>1859</v>
      </c>
      <c r="C6655" s="27">
        <v>548</v>
      </c>
      <c r="D6655" s="14" t="s">
        <v>133</v>
      </c>
      <c r="E6655" s="112"/>
      <c r="F6655" s="139" t="s">
        <v>19119</v>
      </c>
      <c r="G6655" s="140"/>
      <c r="H6655" s="141"/>
      <c r="I6655" s="26">
        <v>64771</v>
      </c>
      <c r="J6655" s="117"/>
      <c r="K6655" s="120"/>
      <c r="L6655" s="121"/>
      <c r="M6655" s="120"/>
      <c r="N6655" s="121"/>
      <c r="O6655" s="120"/>
      <c r="P6655" s="121"/>
      <c r="Q6655" s="120"/>
      <c r="R6655" s="121"/>
      <c r="S6655" s="120"/>
      <c r="T6655" s="121"/>
      <c r="U6655" s="120"/>
      <c r="V6655" s="123"/>
      <c r="W6655" s="125"/>
      <c r="X6655" s="142" t="s">
        <v>19426</v>
      </c>
      <c r="Y6655" s="143"/>
      <c r="Z6655" s="143"/>
      <c r="AA6655" s="143"/>
      <c r="AB6655" s="144"/>
      <c r="AC6655" s="16" t="s">
        <v>21</v>
      </c>
      <c r="AD6655" s="17" t="s">
        <v>19391</v>
      </c>
      <c r="AE6655" s="145" t="s">
        <v>19424</v>
      </c>
      <c r="AF6655" s="146"/>
      <c r="AG6655" s="146"/>
      <c r="AH6655" s="146"/>
      <c r="AI6655" s="147"/>
      <c r="AJ6655" s="148"/>
      <c r="AK6655" s="143"/>
      <c r="AL6655" s="144"/>
      <c r="AM6655" s="22"/>
      <c r="AN6655" s="149" t="s">
        <v>2511</v>
      </c>
      <c r="AO6655" s="144"/>
      <c r="AP6655" s="148">
        <v>80076</v>
      </c>
      <c r="AQ6655" s="144"/>
      <c r="AR6655" s="120"/>
      <c r="AS6655" s="121"/>
      <c r="AT6655" s="120"/>
      <c r="AU6655" s="121"/>
      <c r="AV6655" s="120"/>
      <c r="AW6655" s="121"/>
      <c r="AX6655" s="120"/>
      <c r="AY6655" s="121"/>
      <c r="AZ6655" s="138"/>
    </row>
    <row r="6656" spans="1:52" ht="17.100000000000001" customHeight="1" thickTop="1">
      <c r="A6656" s="109" t="s">
        <v>19118</v>
      </c>
      <c r="B6656" s="28">
        <v>46081</v>
      </c>
      <c r="C6656" s="25">
        <v>1533</v>
      </c>
      <c r="D6656" s="13" t="s">
        <v>2359</v>
      </c>
      <c r="E6656" s="111"/>
      <c r="F6656" s="113" t="s">
        <v>1938</v>
      </c>
      <c r="G6656" s="114"/>
      <c r="H6656" s="115"/>
      <c r="I6656" s="24"/>
      <c r="J6656" s="116">
        <v>4</v>
      </c>
      <c r="K6656" s="118">
        <v>1460000</v>
      </c>
      <c r="L6656" s="119"/>
      <c r="M6656" s="118">
        <f t="shared" ref="M6656" si="9235">K6656*0.1</f>
        <v>146000</v>
      </c>
      <c r="N6656" s="119"/>
      <c r="O6656" s="118">
        <v>0</v>
      </c>
      <c r="P6656" s="119"/>
      <c r="Q6656" s="118">
        <v>17600</v>
      </c>
      <c r="R6656" s="119"/>
      <c r="S6656" s="118">
        <v>16500</v>
      </c>
      <c r="T6656" s="119"/>
      <c r="U6656" s="118">
        <f t="shared" ref="U6656" si="9236">SUM(K6656:T6657)</f>
        <v>1640100</v>
      </c>
      <c r="V6656" s="122"/>
      <c r="W6656" s="124"/>
      <c r="X6656" s="126" t="s">
        <v>19462</v>
      </c>
      <c r="Y6656" s="127"/>
      <c r="Z6656" s="127"/>
      <c r="AA6656" s="127"/>
      <c r="AB6656" s="128"/>
      <c r="AC6656" s="15" t="s">
        <v>20</v>
      </c>
      <c r="AD6656" s="129" t="s">
        <v>1633</v>
      </c>
      <c r="AE6656" s="130"/>
      <c r="AF6656" s="130"/>
      <c r="AG6656" s="130"/>
      <c r="AH6656" s="130"/>
      <c r="AI6656" s="131"/>
      <c r="AJ6656" s="132"/>
      <c r="AK6656" s="127"/>
      <c r="AL6656" s="128"/>
      <c r="AM6656" s="21"/>
      <c r="AN6656" s="133">
        <v>46100</v>
      </c>
      <c r="AO6656" s="134"/>
      <c r="AP6656" s="135">
        <v>1323</v>
      </c>
      <c r="AQ6656" s="136"/>
      <c r="AR6656" s="118">
        <v>1690000</v>
      </c>
      <c r="AS6656" s="119"/>
      <c r="AT6656" s="118">
        <f t="shared" ref="AT6656" si="9237">AR6656*0.1</f>
        <v>169000</v>
      </c>
      <c r="AU6656" s="119"/>
      <c r="AV6656" s="118">
        <v>17600</v>
      </c>
      <c r="AW6656" s="119"/>
      <c r="AX6656" s="118">
        <f t="shared" ref="AX6656" si="9238">SUM(AR6656:AW6656)</f>
        <v>1876600</v>
      </c>
      <c r="AY6656" s="119"/>
      <c r="AZ6656" s="137">
        <v>46101</v>
      </c>
    </row>
    <row r="6657" spans="1:52" ht="17.100000000000001" customHeight="1" thickBot="1">
      <c r="A6657" s="110"/>
      <c r="B6657" s="27" t="s">
        <v>1555</v>
      </c>
      <c r="C6657" s="27">
        <v>83173</v>
      </c>
      <c r="D6657" s="14" t="s">
        <v>1592</v>
      </c>
      <c r="E6657" s="112"/>
      <c r="F6657" s="139" t="s">
        <v>19112</v>
      </c>
      <c r="G6657" s="140"/>
      <c r="H6657" s="141"/>
      <c r="I6657" s="26">
        <v>44736</v>
      </c>
      <c r="J6657" s="117"/>
      <c r="K6657" s="120"/>
      <c r="L6657" s="121"/>
      <c r="M6657" s="120"/>
      <c r="N6657" s="121"/>
      <c r="O6657" s="120"/>
      <c r="P6657" s="121"/>
      <c r="Q6657" s="120"/>
      <c r="R6657" s="121"/>
      <c r="S6657" s="120"/>
      <c r="T6657" s="121"/>
      <c r="U6657" s="120"/>
      <c r="V6657" s="123"/>
      <c r="W6657" s="125"/>
      <c r="X6657" s="142" t="s">
        <v>2918</v>
      </c>
      <c r="Y6657" s="143"/>
      <c r="Z6657" s="143"/>
      <c r="AA6657" s="143"/>
      <c r="AB6657" s="144"/>
      <c r="AC6657" s="16" t="s">
        <v>21</v>
      </c>
      <c r="AD6657" s="17" t="s">
        <v>2681</v>
      </c>
      <c r="AE6657" s="145" t="s">
        <v>1742</v>
      </c>
      <c r="AF6657" s="146"/>
      <c r="AG6657" s="146"/>
      <c r="AH6657" s="146"/>
      <c r="AI6657" s="147"/>
      <c r="AJ6657" s="148"/>
      <c r="AK6657" s="143"/>
      <c r="AL6657" s="144"/>
      <c r="AM6657" s="22"/>
      <c r="AN6657" s="149" t="s">
        <v>1747</v>
      </c>
      <c r="AO6657" s="144"/>
      <c r="AP6657" s="148">
        <v>972</v>
      </c>
      <c r="AQ6657" s="144"/>
      <c r="AR6657" s="120"/>
      <c r="AS6657" s="121"/>
      <c r="AT6657" s="120"/>
      <c r="AU6657" s="121"/>
      <c r="AV6657" s="120"/>
      <c r="AW6657" s="121"/>
      <c r="AX6657" s="120"/>
      <c r="AY6657" s="121"/>
      <c r="AZ6657" s="138"/>
    </row>
    <row r="6658" spans="1:52" ht="17.100000000000001" customHeight="1" thickTop="1">
      <c r="A6658" s="109" t="s">
        <v>19135</v>
      </c>
      <c r="B6658" s="28">
        <v>46081</v>
      </c>
      <c r="C6658" s="25">
        <v>1290</v>
      </c>
      <c r="D6658" s="13" t="s">
        <v>2654</v>
      </c>
      <c r="E6658" s="111"/>
      <c r="F6658" s="113" t="s">
        <v>19073</v>
      </c>
      <c r="G6658" s="114"/>
      <c r="H6658" s="115"/>
      <c r="I6658" s="24" t="s">
        <v>9379</v>
      </c>
      <c r="J6658" s="116">
        <v>4</v>
      </c>
      <c r="K6658" s="118">
        <v>1010000</v>
      </c>
      <c r="L6658" s="119"/>
      <c r="M6658" s="118">
        <f t="shared" ref="M6658" si="9239">K6658*0.1</f>
        <v>101000</v>
      </c>
      <c r="N6658" s="119"/>
      <c r="O6658" s="118">
        <f>2200</f>
        <v>2200</v>
      </c>
      <c r="P6658" s="119"/>
      <c r="Q6658" s="118">
        <v>9630</v>
      </c>
      <c r="R6658" s="119"/>
      <c r="S6658" s="118">
        <v>12100</v>
      </c>
      <c r="T6658" s="119"/>
      <c r="U6658" s="118">
        <f t="shared" ref="U6658" si="9240">SUM(K6658:T6659)</f>
        <v>1134930</v>
      </c>
      <c r="V6658" s="122"/>
      <c r="W6658" s="124"/>
      <c r="X6658" s="126" t="s">
        <v>19075</v>
      </c>
      <c r="Y6658" s="127"/>
      <c r="Z6658" s="127"/>
      <c r="AA6658" s="127"/>
      <c r="AB6658" s="128"/>
      <c r="AC6658" s="15" t="s">
        <v>20</v>
      </c>
      <c r="AD6658" s="129" t="s">
        <v>1670</v>
      </c>
      <c r="AE6658" s="130"/>
      <c r="AF6658" s="130"/>
      <c r="AG6658" s="130"/>
      <c r="AH6658" s="130"/>
      <c r="AI6658" s="131"/>
      <c r="AJ6658" s="132"/>
      <c r="AK6658" s="127"/>
      <c r="AL6658" s="128"/>
      <c r="AM6658" s="21" t="s">
        <v>21209</v>
      </c>
      <c r="AN6658" s="133">
        <v>46141</v>
      </c>
      <c r="AO6658" s="134"/>
      <c r="AP6658" s="135">
        <v>1015</v>
      </c>
      <c r="AQ6658" s="136"/>
      <c r="AR6658" s="118">
        <v>1100000</v>
      </c>
      <c r="AS6658" s="119"/>
      <c r="AT6658" s="118">
        <f t="shared" ref="AT6658" si="9241">AR6658*0.1</f>
        <v>110000</v>
      </c>
      <c r="AU6658" s="119"/>
      <c r="AV6658" s="118">
        <v>9630</v>
      </c>
      <c r="AW6658" s="119"/>
      <c r="AX6658" s="118">
        <f t="shared" ref="AX6658" si="9242">SUM(AR6658:AW6658)</f>
        <v>1219630</v>
      </c>
      <c r="AY6658" s="119"/>
      <c r="AZ6658" s="137">
        <v>46156</v>
      </c>
    </row>
    <row r="6659" spans="1:52" ht="17.100000000000001" customHeight="1" thickBot="1">
      <c r="A6659" s="110"/>
      <c r="B6659" s="27" t="s">
        <v>2511</v>
      </c>
      <c r="C6659" s="27">
        <v>31201</v>
      </c>
      <c r="D6659" s="14" t="s">
        <v>2601</v>
      </c>
      <c r="E6659" s="112"/>
      <c r="F6659" s="139" t="s">
        <v>19074</v>
      </c>
      <c r="G6659" s="140"/>
      <c r="H6659" s="141"/>
      <c r="I6659" s="26">
        <v>36985</v>
      </c>
      <c r="J6659" s="117"/>
      <c r="K6659" s="120"/>
      <c r="L6659" s="121"/>
      <c r="M6659" s="120"/>
      <c r="N6659" s="121"/>
      <c r="O6659" s="120"/>
      <c r="P6659" s="121"/>
      <c r="Q6659" s="120"/>
      <c r="R6659" s="121"/>
      <c r="S6659" s="120"/>
      <c r="T6659" s="121"/>
      <c r="U6659" s="120"/>
      <c r="V6659" s="123"/>
      <c r="W6659" s="125"/>
      <c r="X6659" s="142" t="s">
        <v>2918</v>
      </c>
      <c r="Y6659" s="143"/>
      <c r="Z6659" s="143"/>
      <c r="AA6659" s="143"/>
      <c r="AB6659" s="144"/>
      <c r="AC6659" s="16" t="s">
        <v>21</v>
      </c>
      <c r="AD6659" s="17" t="s">
        <v>2681</v>
      </c>
      <c r="AE6659" s="145" t="s">
        <v>2395</v>
      </c>
      <c r="AF6659" s="146"/>
      <c r="AG6659" s="146"/>
      <c r="AH6659" s="146"/>
      <c r="AI6659" s="147"/>
      <c r="AJ6659" s="148"/>
      <c r="AK6659" s="143"/>
      <c r="AL6659" s="144"/>
      <c r="AM6659" s="22"/>
      <c r="AN6659" s="149" t="s">
        <v>8809</v>
      </c>
      <c r="AO6659" s="144"/>
      <c r="AP6659" s="148">
        <v>6015</v>
      </c>
      <c r="AQ6659" s="144"/>
      <c r="AR6659" s="120"/>
      <c r="AS6659" s="121"/>
      <c r="AT6659" s="120"/>
      <c r="AU6659" s="121"/>
      <c r="AV6659" s="120"/>
      <c r="AW6659" s="121"/>
      <c r="AX6659" s="120"/>
      <c r="AY6659" s="121"/>
      <c r="AZ6659" s="138"/>
    </row>
    <row r="6660" spans="1:52" ht="17.100000000000001" customHeight="1" thickTop="1">
      <c r="A6660" s="109" t="s">
        <v>19136</v>
      </c>
      <c r="B6660" s="28">
        <v>46081</v>
      </c>
      <c r="C6660" s="25">
        <v>1290</v>
      </c>
      <c r="D6660" s="13" t="s">
        <v>3801</v>
      </c>
      <c r="E6660" s="111"/>
      <c r="F6660" s="113" t="s">
        <v>5094</v>
      </c>
      <c r="G6660" s="114"/>
      <c r="H6660" s="115"/>
      <c r="I6660" s="24" t="s">
        <v>10342</v>
      </c>
      <c r="J6660" s="116">
        <v>4</v>
      </c>
      <c r="K6660" s="118">
        <v>2900000</v>
      </c>
      <c r="L6660" s="119"/>
      <c r="M6660" s="118">
        <f t="shared" ref="M6660" si="9243">K6660*0.1</f>
        <v>290000</v>
      </c>
      <c r="N6660" s="119"/>
      <c r="O6660" s="118">
        <f>3600+360</f>
        <v>3960</v>
      </c>
      <c r="P6660" s="119"/>
      <c r="Q6660" s="118">
        <v>14900</v>
      </c>
      <c r="R6660" s="119"/>
      <c r="S6660" s="118">
        <v>23100</v>
      </c>
      <c r="T6660" s="119"/>
      <c r="U6660" s="118">
        <f t="shared" ref="U6660" si="9244">SUM(K6660:T6661)</f>
        <v>3231960</v>
      </c>
      <c r="V6660" s="122"/>
      <c r="W6660" s="124"/>
      <c r="X6660" s="126" t="s">
        <v>19077</v>
      </c>
      <c r="Y6660" s="127"/>
      <c r="Z6660" s="127"/>
      <c r="AA6660" s="127"/>
      <c r="AB6660" s="128"/>
      <c r="AC6660" s="15" t="s">
        <v>20</v>
      </c>
      <c r="AD6660" s="129" t="s">
        <v>1670</v>
      </c>
      <c r="AE6660" s="130"/>
      <c r="AF6660" s="130"/>
      <c r="AG6660" s="130"/>
      <c r="AH6660" s="130"/>
      <c r="AI6660" s="131"/>
      <c r="AJ6660" s="132"/>
      <c r="AK6660" s="127"/>
      <c r="AL6660" s="128"/>
      <c r="AM6660" s="21" t="s">
        <v>19979</v>
      </c>
      <c r="AN6660" s="133">
        <v>46099</v>
      </c>
      <c r="AO6660" s="134"/>
      <c r="AP6660" s="135">
        <v>1009</v>
      </c>
      <c r="AQ6660" s="136"/>
      <c r="AR6660" s="118">
        <v>3100000</v>
      </c>
      <c r="AS6660" s="119"/>
      <c r="AT6660" s="118">
        <f t="shared" ref="AT6660" si="9245">AR6660*0.1</f>
        <v>310000</v>
      </c>
      <c r="AU6660" s="119"/>
      <c r="AV6660" s="118">
        <v>14900</v>
      </c>
      <c r="AW6660" s="119"/>
      <c r="AX6660" s="118">
        <f t="shared" ref="AX6660" si="9246">SUM(AR6660:AW6660)</f>
        <v>3424900</v>
      </c>
      <c r="AY6660" s="119"/>
      <c r="AZ6660" s="137">
        <v>46106</v>
      </c>
    </row>
    <row r="6661" spans="1:52" ht="17.100000000000001" customHeight="1" thickBot="1">
      <c r="A6661" s="110"/>
      <c r="B6661" s="27" t="s">
        <v>2511</v>
      </c>
      <c r="C6661" s="27">
        <v>31269</v>
      </c>
      <c r="D6661" s="14" t="s">
        <v>275</v>
      </c>
      <c r="E6661" s="112"/>
      <c r="F6661" s="139" t="s">
        <v>19076</v>
      </c>
      <c r="G6661" s="140"/>
      <c r="H6661" s="141"/>
      <c r="I6661" s="26">
        <v>26425</v>
      </c>
      <c r="J6661" s="117"/>
      <c r="K6661" s="120"/>
      <c r="L6661" s="121"/>
      <c r="M6661" s="120"/>
      <c r="N6661" s="121"/>
      <c r="O6661" s="120"/>
      <c r="P6661" s="121"/>
      <c r="Q6661" s="120"/>
      <c r="R6661" s="121"/>
      <c r="S6661" s="120"/>
      <c r="T6661" s="121"/>
      <c r="U6661" s="120"/>
      <c r="V6661" s="123"/>
      <c r="W6661" s="125"/>
      <c r="X6661" s="142" t="s">
        <v>19501</v>
      </c>
      <c r="Y6661" s="143"/>
      <c r="Z6661" s="143"/>
      <c r="AA6661" s="143"/>
      <c r="AB6661" s="144"/>
      <c r="AC6661" s="16" t="s">
        <v>21</v>
      </c>
      <c r="AD6661" s="17" t="s">
        <v>2681</v>
      </c>
      <c r="AE6661" s="145" t="s">
        <v>2347</v>
      </c>
      <c r="AF6661" s="146"/>
      <c r="AG6661" s="146"/>
      <c r="AH6661" s="146"/>
      <c r="AI6661" s="147"/>
      <c r="AJ6661" s="148"/>
      <c r="AK6661" s="143"/>
      <c r="AL6661" s="144"/>
      <c r="AM6661" s="22"/>
      <c r="AN6661" s="149" t="s">
        <v>7285</v>
      </c>
      <c r="AO6661" s="144"/>
      <c r="AP6661" s="148">
        <v>5076</v>
      </c>
      <c r="AQ6661" s="144"/>
      <c r="AR6661" s="120"/>
      <c r="AS6661" s="121"/>
      <c r="AT6661" s="120"/>
      <c r="AU6661" s="121"/>
      <c r="AV6661" s="120"/>
      <c r="AW6661" s="121"/>
      <c r="AX6661" s="120"/>
      <c r="AY6661" s="121"/>
      <c r="AZ6661" s="138"/>
    </row>
    <row r="6662" spans="1:52" ht="17.100000000000001" customHeight="1" thickTop="1">
      <c r="A6662" s="109" t="s">
        <v>19137</v>
      </c>
      <c r="B6662" s="28">
        <v>46081</v>
      </c>
      <c r="C6662" s="25">
        <v>1290</v>
      </c>
      <c r="D6662" s="13" t="s">
        <v>1758</v>
      </c>
      <c r="E6662" s="111"/>
      <c r="F6662" s="113" t="s">
        <v>19078</v>
      </c>
      <c r="G6662" s="114"/>
      <c r="H6662" s="115"/>
      <c r="I6662" s="24" t="s">
        <v>4193</v>
      </c>
      <c r="J6662" s="116">
        <v>4</v>
      </c>
      <c r="K6662" s="118">
        <v>600000</v>
      </c>
      <c r="L6662" s="119"/>
      <c r="M6662" s="118">
        <f t="shared" ref="M6662" si="9247">K6662*0.1</f>
        <v>60000</v>
      </c>
      <c r="N6662" s="119"/>
      <c r="O6662" s="118">
        <f>2800+280</f>
        <v>3080</v>
      </c>
      <c r="P6662" s="119"/>
      <c r="Q6662" s="118">
        <v>9130</v>
      </c>
      <c r="R6662" s="119"/>
      <c r="S6662" s="118">
        <v>12100</v>
      </c>
      <c r="T6662" s="119"/>
      <c r="U6662" s="118">
        <f t="shared" ref="U6662" si="9248">SUM(K6662:T6663)</f>
        <v>684310</v>
      </c>
      <c r="V6662" s="122"/>
      <c r="W6662" s="124"/>
      <c r="X6662" s="126" t="s">
        <v>19080</v>
      </c>
      <c r="Y6662" s="127"/>
      <c r="Z6662" s="127"/>
      <c r="AA6662" s="127"/>
      <c r="AB6662" s="128"/>
      <c r="AC6662" s="15" t="s">
        <v>20</v>
      </c>
      <c r="AD6662" s="129" t="s">
        <v>19081</v>
      </c>
      <c r="AE6662" s="130"/>
      <c r="AF6662" s="130"/>
      <c r="AG6662" s="130"/>
      <c r="AH6662" s="130"/>
      <c r="AI6662" s="131"/>
      <c r="AJ6662" s="132"/>
      <c r="AK6662" s="127"/>
      <c r="AL6662" s="128"/>
      <c r="AM6662" s="21"/>
      <c r="AN6662" s="133">
        <v>46109</v>
      </c>
      <c r="AO6662" s="134"/>
      <c r="AP6662" s="135">
        <v>1294</v>
      </c>
      <c r="AQ6662" s="136"/>
      <c r="AR6662" s="118">
        <v>600000</v>
      </c>
      <c r="AS6662" s="119"/>
      <c r="AT6662" s="118">
        <f t="shared" ref="AT6662" si="9249">AR6662*0.1</f>
        <v>60000</v>
      </c>
      <c r="AU6662" s="119"/>
      <c r="AV6662" s="118">
        <v>9130</v>
      </c>
      <c r="AW6662" s="119"/>
      <c r="AX6662" s="118">
        <f t="shared" ref="AX6662" si="9250">SUM(AR6662:AW6662)</f>
        <v>669130</v>
      </c>
      <c r="AY6662" s="119"/>
      <c r="AZ6662" s="137">
        <v>46112</v>
      </c>
    </row>
    <row r="6663" spans="1:52" ht="17.100000000000001" customHeight="1" thickBot="1">
      <c r="A6663" s="110"/>
      <c r="B6663" s="27" t="s">
        <v>2511</v>
      </c>
      <c r="C6663" s="27">
        <v>35254</v>
      </c>
      <c r="D6663" s="14" t="s">
        <v>2601</v>
      </c>
      <c r="E6663" s="112"/>
      <c r="F6663" s="139" t="s">
        <v>19079</v>
      </c>
      <c r="G6663" s="140"/>
      <c r="H6663" s="141"/>
      <c r="I6663" s="26">
        <v>104390</v>
      </c>
      <c r="J6663" s="117"/>
      <c r="K6663" s="120"/>
      <c r="L6663" s="121"/>
      <c r="M6663" s="120"/>
      <c r="N6663" s="121"/>
      <c r="O6663" s="120"/>
      <c r="P6663" s="121"/>
      <c r="Q6663" s="120"/>
      <c r="R6663" s="121"/>
      <c r="S6663" s="120"/>
      <c r="T6663" s="121"/>
      <c r="U6663" s="120"/>
      <c r="V6663" s="123"/>
      <c r="W6663" s="125"/>
      <c r="X6663" s="142" t="s">
        <v>19502</v>
      </c>
      <c r="Y6663" s="143"/>
      <c r="Z6663" s="143"/>
      <c r="AA6663" s="143"/>
      <c r="AB6663" s="144"/>
      <c r="AC6663" s="16" t="s">
        <v>21</v>
      </c>
      <c r="AD6663" s="17" t="s">
        <v>2681</v>
      </c>
      <c r="AE6663" s="145" t="s">
        <v>19503</v>
      </c>
      <c r="AF6663" s="146"/>
      <c r="AG6663" s="146"/>
      <c r="AH6663" s="146"/>
      <c r="AI6663" s="147"/>
      <c r="AJ6663" s="148"/>
      <c r="AK6663" s="143"/>
      <c r="AL6663" s="144"/>
      <c r="AM6663" s="22"/>
      <c r="AN6663" s="149" t="s">
        <v>21802</v>
      </c>
      <c r="AO6663" s="144"/>
      <c r="AP6663" s="148">
        <v>55061</v>
      </c>
      <c r="AQ6663" s="144"/>
      <c r="AR6663" s="120"/>
      <c r="AS6663" s="121"/>
      <c r="AT6663" s="120"/>
      <c r="AU6663" s="121"/>
      <c r="AV6663" s="120"/>
      <c r="AW6663" s="121"/>
      <c r="AX6663" s="120"/>
      <c r="AY6663" s="121"/>
      <c r="AZ6663" s="138"/>
    </row>
    <row r="6664" spans="1:52" ht="17.100000000000001" customHeight="1" thickTop="1">
      <c r="A6664" s="109" t="s">
        <v>19138</v>
      </c>
      <c r="B6664" s="28">
        <v>46081</v>
      </c>
      <c r="C6664" s="25">
        <v>1290</v>
      </c>
      <c r="D6664" s="13" t="s">
        <v>1986</v>
      </c>
      <c r="E6664" s="111"/>
      <c r="F6664" s="113" t="s">
        <v>19082</v>
      </c>
      <c r="G6664" s="114"/>
      <c r="H6664" s="115"/>
      <c r="I6664" s="24" t="s">
        <v>19084</v>
      </c>
      <c r="J6664" s="116">
        <v>4</v>
      </c>
      <c r="K6664" s="118">
        <v>585000</v>
      </c>
      <c r="L6664" s="119"/>
      <c r="M6664" s="118">
        <f t="shared" ref="M6664" si="9251">K6664*0.1</f>
        <v>58500</v>
      </c>
      <c r="N6664" s="119"/>
      <c r="O6664" s="118">
        <v>0</v>
      </c>
      <c r="P6664" s="119"/>
      <c r="Q6664" s="118">
        <v>5870</v>
      </c>
      <c r="R6664" s="119"/>
      <c r="S6664" s="118">
        <v>12100</v>
      </c>
      <c r="T6664" s="119"/>
      <c r="U6664" s="118">
        <f t="shared" ref="U6664" si="9252">SUM(K6664:T6665)</f>
        <v>661470</v>
      </c>
      <c r="V6664" s="122"/>
      <c r="W6664" s="124"/>
      <c r="X6664" s="126" t="s">
        <v>19085</v>
      </c>
      <c r="Y6664" s="127"/>
      <c r="Z6664" s="127"/>
      <c r="AA6664" s="127"/>
      <c r="AB6664" s="128"/>
      <c r="AC6664" s="15" t="s">
        <v>20</v>
      </c>
      <c r="AD6664" s="129"/>
      <c r="AE6664" s="130"/>
      <c r="AF6664" s="130"/>
      <c r="AG6664" s="130"/>
      <c r="AH6664" s="130"/>
      <c r="AI6664" s="131"/>
      <c r="AJ6664" s="132"/>
      <c r="AK6664" s="127"/>
      <c r="AL6664" s="128"/>
      <c r="AM6664" s="21" t="s">
        <v>20350</v>
      </c>
      <c r="AN6664" s="133">
        <v>46092</v>
      </c>
      <c r="AO6664" s="134"/>
      <c r="AP6664" s="135">
        <v>1008</v>
      </c>
      <c r="AQ6664" s="136"/>
      <c r="AR6664" s="118">
        <v>650000</v>
      </c>
      <c r="AS6664" s="119"/>
      <c r="AT6664" s="118">
        <f t="shared" ref="AT6664" si="9253">AR6664*0.1</f>
        <v>65000</v>
      </c>
      <c r="AU6664" s="119"/>
      <c r="AV6664" s="118">
        <v>5870</v>
      </c>
      <c r="AW6664" s="119"/>
      <c r="AX6664" s="118">
        <f t="shared" ref="AX6664" si="9254">SUM(AR6664:AW6664)</f>
        <v>720870</v>
      </c>
      <c r="AY6664" s="119"/>
      <c r="AZ6664" s="137">
        <v>46100</v>
      </c>
    </row>
    <row r="6665" spans="1:52" ht="17.100000000000001" customHeight="1" thickBot="1">
      <c r="A6665" s="110"/>
      <c r="B6665" s="27" t="s">
        <v>2511</v>
      </c>
      <c r="C6665" s="27">
        <v>65114</v>
      </c>
      <c r="D6665" s="14" t="s">
        <v>275</v>
      </c>
      <c r="E6665" s="112"/>
      <c r="F6665" s="139" t="s">
        <v>19083</v>
      </c>
      <c r="G6665" s="140"/>
      <c r="H6665" s="141"/>
      <c r="I6665" s="26">
        <v>31258</v>
      </c>
      <c r="J6665" s="117"/>
      <c r="K6665" s="120"/>
      <c r="L6665" s="121"/>
      <c r="M6665" s="120"/>
      <c r="N6665" s="121"/>
      <c r="O6665" s="120"/>
      <c r="P6665" s="121"/>
      <c r="Q6665" s="120"/>
      <c r="R6665" s="121"/>
      <c r="S6665" s="120"/>
      <c r="T6665" s="121"/>
      <c r="U6665" s="120"/>
      <c r="V6665" s="123"/>
      <c r="W6665" s="125"/>
      <c r="X6665" s="142" t="s">
        <v>19504</v>
      </c>
      <c r="Y6665" s="143"/>
      <c r="Z6665" s="143"/>
      <c r="AA6665" s="143"/>
      <c r="AB6665" s="144"/>
      <c r="AC6665" s="16" t="s">
        <v>21</v>
      </c>
      <c r="AD6665" s="17" t="s">
        <v>2681</v>
      </c>
      <c r="AE6665" s="145" t="s">
        <v>19505</v>
      </c>
      <c r="AF6665" s="146"/>
      <c r="AG6665" s="146"/>
      <c r="AH6665" s="146"/>
      <c r="AI6665" s="147"/>
      <c r="AJ6665" s="148"/>
      <c r="AK6665" s="143"/>
      <c r="AL6665" s="144"/>
      <c r="AM6665" s="22"/>
      <c r="AN6665" s="149" t="s">
        <v>7285</v>
      </c>
      <c r="AO6665" s="144"/>
      <c r="AP6665" s="148">
        <v>2020</v>
      </c>
      <c r="AQ6665" s="144"/>
      <c r="AR6665" s="120"/>
      <c r="AS6665" s="121"/>
      <c r="AT6665" s="120"/>
      <c r="AU6665" s="121"/>
      <c r="AV6665" s="120"/>
      <c r="AW6665" s="121"/>
      <c r="AX6665" s="120"/>
      <c r="AY6665" s="121"/>
      <c r="AZ6665" s="138"/>
    </row>
    <row r="6666" spans="1:52" ht="16.5" customHeight="1" thickTop="1">
      <c r="A6666" s="109" t="s">
        <v>19139</v>
      </c>
      <c r="B6666" s="28">
        <v>46081</v>
      </c>
      <c r="C6666" s="25">
        <v>1290</v>
      </c>
      <c r="D6666" s="13" t="s">
        <v>2477</v>
      </c>
      <c r="E6666" s="111"/>
      <c r="F6666" s="113" t="s">
        <v>4026</v>
      </c>
      <c r="G6666" s="114"/>
      <c r="H6666" s="115"/>
      <c r="I6666" s="24" t="s">
        <v>19099</v>
      </c>
      <c r="J6666" s="116">
        <v>6</v>
      </c>
      <c r="K6666" s="118">
        <v>1265000</v>
      </c>
      <c r="L6666" s="119"/>
      <c r="M6666" s="118">
        <f t="shared" ref="M6666" si="9255">K6666*0.1</f>
        <v>126500</v>
      </c>
      <c r="N6666" s="119"/>
      <c r="O6666" s="118">
        <v>0</v>
      </c>
      <c r="P6666" s="119"/>
      <c r="Q6666" s="118">
        <v>8350</v>
      </c>
      <c r="R6666" s="119"/>
      <c r="S6666" s="118">
        <v>12100</v>
      </c>
      <c r="T6666" s="119"/>
      <c r="U6666" s="118">
        <f t="shared" ref="U6666" si="9256">SUM(K6666:T6667)</f>
        <v>1411950</v>
      </c>
      <c r="V6666" s="122"/>
      <c r="W6666" s="124"/>
      <c r="X6666" s="126" t="s">
        <v>19100</v>
      </c>
      <c r="Y6666" s="127"/>
      <c r="Z6666" s="127"/>
      <c r="AA6666" s="127"/>
      <c r="AB6666" s="128"/>
      <c r="AC6666" s="15" t="s">
        <v>20</v>
      </c>
      <c r="AD6666" s="129" t="s">
        <v>1670</v>
      </c>
      <c r="AE6666" s="130"/>
      <c r="AF6666" s="130"/>
      <c r="AG6666" s="130"/>
      <c r="AH6666" s="130"/>
      <c r="AI6666" s="131"/>
      <c r="AJ6666" s="132"/>
      <c r="AK6666" s="127"/>
      <c r="AL6666" s="128"/>
      <c r="AM6666" s="21" t="s">
        <v>20005</v>
      </c>
      <c r="AN6666" s="133">
        <v>46091</v>
      </c>
      <c r="AO6666" s="134"/>
      <c r="AP6666" s="135">
        <v>1932</v>
      </c>
      <c r="AQ6666" s="136"/>
      <c r="AR6666" s="118">
        <v>1285000</v>
      </c>
      <c r="AS6666" s="119"/>
      <c r="AT6666" s="118">
        <f t="shared" ref="AT6666" si="9257">AR6666*0.1</f>
        <v>128500</v>
      </c>
      <c r="AU6666" s="119"/>
      <c r="AV6666" s="118">
        <v>8350</v>
      </c>
      <c r="AW6666" s="119"/>
      <c r="AX6666" s="118">
        <f t="shared" ref="AX6666" si="9258">SUM(AR6666:AW6666)</f>
        <v>1421850</v>
      </c>
      <c r="AY6666" s="119"/>
      <c r="AZ6666" s="137"/>
    </row>
    <row r="6667" spans="1:52" ht="17.100000000000001" customHeight="1" thickBot="1">
      <c r="A6667" s="110"/>
      <c r="B6667" s="27" t="s">
        <v>2511</v>
      </c>
      <c r="C6667" s="27">
        <v>65176</v>
      </c>
      <c r="D6667" s="14" t="s">
        <v>1556</v>
      </c>
      <c r="E6667" s="112"/>
      <c r="F6667" s="139" t="s">
        <v>19098</v>
      </c>
      <c r="G6667" s="140"/>
      <c r="H6667" s="141"/>
      <c r="I6667" s="26">
        <v>2882</v>
      </c>
      <c r="J6667" s="117"/>
      <c r="K6667" s="120"/>
      <c r="L6667" s="121"/>
      <c r="M6667" s="120"/>
      <c r="N6667" s="121"/>
      <c r="O6667" s="120"/>
      <c r="P6667" s="121"/>
      <c r="Q6667" s="120"/>
      <c r="R6667" s="121"/>
      <c r="S6667" s="120"/>
      <c r="T6667" s="121"/>
      <c r="U6667" s="120"/>
      <c r="V6667" s="123"/>
      <c r="W6667" s="125"/>
      <c r="X6667" s="142" t="s">
        <v>8531</v>
      </c>
      <c r="Y6667" s="143"/>
      <c r="Z6667" s="143"/>
      <c r="AA6667" s="143"/>
      <c r="AB6667" s="144"/>
      <c r="AC6667" s="16" t="s">
        <v>21</v>
      </c>
      <c r="AD6667" s="17" t="s">
        <v>2681</v>
      </c>
      <c r="AE6667" s="145" t="s">
        <v>2395</v>
      </c>
      <c r="AF6667" s="146"/>
      <c r="AG6667" s="146"/>
      <c r="AH6667" s="146"/>
      <c r="AI6667" s="147"/>
      <c r="AJ6667" s="148"/>
      <c r="AK6667" s="143"/>
      <c r="AL6667" s="144"/>
      <c r="AM6667" s="22"/>
      <c r="AN6667" s="149" t="s">
        <v>2131</v>
      </c>
      <c r="AO6667" s="144"/>
      <c r="AP6667" s="148">
        <v>3173</v>
      </c>
      <c r="AQ6667" s="144"/>
      <c r="AR6667" s="120"/>
      <c r="AS6667" s="121"/>
      <c r="AT6667" s="120"/>
      <c r="AU6667" s="121"/>
      <c r="AV6667" s="120"/>
      <c r="AW6667" s="121"/>
      <c r="AX6667" s="120"/>
      <c r="AY6667" s="121"/>
      <c r="AZ6667" s="138"/>
    </row>
    <row r="6668" spans="1:52" ht="17.100000000000001" customHeight="1" thickTop="1">
      <c r="A6668" s="109" t="s">
        <v>19140</v>
      </c>
      <c r="B6668" s="28">
        <v>46081</v>
      </c>
      <c r="C6668" s="25">
        <v>1290</v>
      </c>
      <c r="D6668" s="13" t="s">
        <v>2359</v>
      </c>
      <c r="E6668" s="111"/>
      <c r="F6668" s="113" t="s">
        <v>19101</v>
      </c>
      <c r="G6668" s="114"/>
      <c r="H6668" s="115"/>
      <c r="I6668" s="24"/>
      <c r="J6668" s="116">
        <v>4.5</v>
      </c>
      <c r="K6668" s="118">
        <v>1020000</v>
      </c>
      <c r="L6668" s="119"/>
      <c r="M6668" s="118">
        <f t="shared" ref="M6668" si="9259">K6668*0.1</f>
        <v>102000</v>
      </c>
      <c r="N6668" s="119"/>
      <c r="O6668" s="118">
        <v>0</v>
      </c>
      <c r="P6668" s="119"/>
      <c r="Q6668" s="118">
        <v>8790</v>
      </c>
      <c r="R6668" s="119"/>
      <c r="S6668" s="118">
        <v>12100</v>
      </c>
      <c r="T6668" s="119"/>
      <c r="U6668" s="118">
        <f t="shared" ref="U6668" si="9260">SUM(K6668:T6669)</f>
        <v>1142890</v>
      </c>
      <c r="V6668" s="122"/>
      <c r="W6668" s="124"/>
      <c r="X6668" s="126" t="s">
        <v>19492</v>
      </c>
      <c r="Y6668" s="127"/>
      <c r="Z6668" s="127"/>
      <c r="AA6668" s="127"/>
      <c r="AB6668" s="128"/>
      <c r="AC6668" s="15" t="s">
        <v>20</v>
      </c>
      <c r="AD6668" s="129" t="s">
        <v>19103</v>
      </c>
      <c r="AE6668" s="130"/>
      <c r="AF6668" s="130"/>
      <c r="AG6668" s="130"/>
      <c r="AH6668" s="130"/>
      <c r="AI6668" s="131"/>
      <c r="AJ6668" s="132"/>
      <c r="AK6668" s="127"/>
      <c r="AL6668" s="128"/>
      <c r="AM6668" s="21"/>
      <c r="AN6668" s="133">
        <v>46084</v>
      </c>
      <c r="AO6668" s="134"/>
      <c r="AP6668" s="135">
        <v>1931</v>
      </c>
      <c r="AQ6668" s="136"/>
      <c r="AR6668" s="118">
        <v>1097000</v>
      </c>
      <c r="AS6668" s="119"/>
      <c r="AT6668" s="118">
        <f t="shared" ref="AT6668" si="9261">AR6668*0.1</f>
        <v>109700</v>
      </c>
      <c r="AU6668" s="119"/>
      <c r="AV6668" s="118">
        <v>8790</v>
      </c>
      <c r="AW6668" s="119"/>
      <c r="AX6668" s="118">
        <f t="shared" ref="AX6668" si="9262">SUM(AR6668:AW6668)</f>
        <v>1215490</v>
      </c>
      <c r="AY6668" s="119"/>
      <c r="AZ6668" s="137">
        <v>46091</v>
      </c>
    </row>
    <row r="6669" spans="1:52" ht="17.100000000000001" customHeight="1" thickBot="1">
      <c r="A6669" s="110"/>
      <c r="B6669" s="27" t="s">
        <v>2511</v>
      </c>
      <c r="C6669" s="27">
        <v>65223</v>
      </c>
      <c r="D6669" s="14" t="s">
        <v>2601</v>
      </c>
      <c r="E6669" s="112"/>
      <c r="F6669" s="139" t="s">
        <v>19102</v>
      </c>
      <c r="G6669" s="140"/>
      <c r="H6669" s="141"/>
      <c r="I6669" s="26">
        <v>52984</v>
      </c>
      <c r="J6669" s="117"/>
      <c r="K6669" s="120"/>
      <c r="L6669" s="121"/>
      <c r="M6669" s="120"/>
      <c r="N6669" s="121"/>
      <c r="O6669" s="120"/>
      <c r="P6669" s="121"/>
      <c r="Q6669" s="120"/>
      <c r="R6669" s="121"/>
      <c r="S6669" s="120"/>
      <c r="T6669" s="121"/>
      <c r="U6669" s="120"/>
      <c r="V6669" s="123"/>
      <c r="W6669" s="125"/>
      <c r="X6669" s="142" t="s">
        <v>10732</v>
      </c>
      <c r="Y6669" s="143"/>
      <c r="Z6669" s="143"/>
      <c r="AA6669" s="143"/>
      <c r="AB6669" s="144"/>
      <c r="AC6669" s="16" t="s">
        <v>21</v>
      </c>
      <c r="AD6669" s="17" t="s">
        <v>2681</v>
      </c>
      <c r="AE6669" s="145" t="s">
        <v>19493</v>
      </c>
      <c r="AF6669" s="146"/>
      <c r="AG6669" s="146"/>
      <c r="AH6669" s="146"/>
      <c r="AI6669" s="147"/>
      <c r="AJ6669" s="148"/>
      <c r="AK6669" s="143"/>
      <c r="AL6669" s="144"/>
      <c r="AM6669" s="22"/>
      <c r="AN6669" s="149" t="s">
        <v>2131</v>
      </c>
      <c r="AO6669" s="144"/>
      <c r="AP6669" s="148">
        <v>3161</v>
      </c>
      <c r="AQ6669" s="144"/>
      <c r="AR6669" s="120"/>
      <c r="AS6669" s="121"/>
      <c r="AT6669" s="120"/>
      <c r="AU6669" s="121"/>
      <c r="AV6669" s="120"/>
      <c r="AW6669" s="121"/>
      <c r="AX6669" s="120"/>
      <c r="AY6669" s="121"/>
      <c r="AZ6669" s="138"/>
    </row>
    <row r="6670" spans="1:52" ht="17.100000000000001" customHeight="1" thickTop="1">
      <c r="A6670" s="109" t="s">
        <v>19141</v>
      </c>
      <c r="B6670" s="28">
        <v>46081</v>
      </c>
      <c r="C6670" s="25">
        <v>1290</v>
      </c>
      <c r="D6670" s="13" t="s">
        <v>1537</v>
      </c>
      <c r="E6670" s="111"/>
      <c r="F6670" s="113" t="s">
        <v>5435</v>
      </c>
      <c r="G6670" s="114"/>
      <c r="H6670" s="115"/>
      <c r="I6670" s="24"/>
      <c r="J6670" s="116">
        <v>4</v>
      </c>
      <c r="K6670" s="118">
        <v>525000</v>
      </c>
      <c r="L6670" s="119"/>
      <c r="M6670" s="118">
        <f t="shared" ref="M6670" si="9263">K6670*0.1</f>
        <v>52500</v>
      </c>
      <c r="N6670" s="119"/>
      <c r="O6670" s="118">
        <v>0</v>
      </c>
      <c r="P6670" s="119"/>
      <c r="Q6670" s="118">
        <v>7950</v>
      </c>
      <c r="R6670" s="119"/>
      <c r="S6670" s="118">
        <v>12100</v>
      </c>
      <c r="T6670" s="119"/>
      <c r="U6670" s="118">
        <f t="shared" ref="U6670" si="9264">SUM(K6670:T6671)</f>
        <v>597550</v>
      </c>
      <c r="V6670" s="122"/>
      <c r="W6670" s="124"/>
      <c r="X6670" s="126" t="s">
        <v>19506</v>
      </c>
      <c r="Y6670" s="127"/>
      <c r="Z6670" s="127"/>
      <c r="AA6670" s="127"/>
      <c r="AB6670" s="128"/>
      <c r="AC6670" s="15" t="s">
        <v>20</v>
      </c>
      <c r="AD6670" s="129" t="s">
        <v>8818</v>
      </c>
      <c r="AE6670" s="130"/>
      <c r="AF6670" s="130"/>
      <c r="AG6670" s="130"/>
      <c r="AH6670" s="130"/>
      <c r="AI6670" s="131"/>
      <c r="AJ6670" s="132"/>
      <c r="AK6670" s="127"/>
      <c r="AL6670" s="128"/>
      <c r="AM6670" s="21"/>
      <c r="AN6670" s="133">
        <v>46095</v>
      </c>
      <c r="AO6670" s="134"/>
      <c r="AP6670" s="135">
        <v>1292</v>
      </c>
      <c r="AQ6670" s="136"/>
      <c r="AR6670" s="118">
        <v>610000</v>
      </c>
      <c r="AS6670" s="119"/>
      <c r="AT6670" s="118">
        <f t="shared" ref="AT6670" si="9265">AR6670*0.1</f>
        <v>61000</v>
      </c>
      <c r="AU6670" s="119"/>
      <c r="AV6670" s="118">
        <v>7950</v>
      </c>
      <c r="AW6670" s="119"/>
      <c r="AX6670" s="118">
        <f t="shared" ref="AX6670" si="9266">SUM(AR6670:AW6670)</f>
        <v>678950</v>
      </c>
      <c r="AY6670" s="119"/>
      <c r="AZ6670" s="137">
        <v>46098</v>
      </c>
    </row>
    <row r="6671" spans="1:52" ht="17.100000000000001" customHeight="1" thickBot="1">
      <c r="A6671" s="110"/>
      <c r="B6671" s="27" t="s">
        <v>2511</v>
      </c>
      <c r="C6671" s="27">
        <v>65225</v>
      </c>
      <c r="D6671" s="14" t="s">
        <v>2601</v>
      </c>
      <c r="E6671" s="112"/>
      <c r="F6671" s="139" t="s">
        <v>19092</v>
      </c>
      <c r="G6671" s="140"/>
      <c r="H6671" s="141"/>
      <c r="I6671" s="26">
        <v>74372</v>
      </c>
      <c r="J6671" s="117"/>
      <c r="K6671" s="120"/>
      <c r="L6671" s="121"/>
      <c r="M6671" s="120"/>
      <c r="N6671" s="121"/>
      <c r="O6671" s="120"/>
      <c r="P6671" s="121"/>
      <c r="Q6671" s="120"/>
      <c r="R6671" s="121"/>
      <c r="S6671" s="120"/>
      <c r="T6671" s="121"/>
      <c r="U6671" s="120"/>
      <c r="V6671" s="123"/>
      <c r="W6671" s="125"/>
      <c r="X6671" s="142" t="s">
        <v>2918</v>
      </c>
      <c r="Y6671" s="143"/>
      <c r="Z6671" s="143"/>
      <c r="AA6671" s="143"/>
      <c r="AB6671" s="144"/>
      <c r="AC6671" s="16" t="s">
        <v>21</v>
      </c>
      <c r="AD6671" s="17" t="s">
        <v>2681</v>
      </c>
      <c r="AE6671" s="145" t="s">
        <v>6936</v>
      </c>
      <c r="AF6671" s="146"/>
      <c r="AG6671" s="146"/>
      <c r="AH6671" s="146"/>
      <c r="AI6671" s="147"/>
      <c r="AJ6671" s="148"/>
      <c r="AK6671" s="143"/>
      <c r="AL6671" s="144"/>
      <c r="AM6671" s="22"/>
      <c r="AN6671" s="149" t="s">
        <v>2511</v>
      </c>
      <c r="AO6671" s="144"/>
      <c r="AP6671" s="148">
        <v>60143</v>
      </c>
      <c r="AQ6671" s="144"/>
      <c r="AR6671" s="120"/>
      <c r="AS6671" s="121"/>
      <c r="AT6671" s="120"/>
      <c r="AU6671" s="121"/>
      <c r="AV6671" s="120"/>
      <c r="AW6671" s="121"/>
      <c r="AX6671" s="120"/>
      <c r="AY6671" s="121"/>
      <c r="AZ6671" s="138"/>
    </row>
    <row r="6672" spans="1:52" ht="17.100000000000001" customHeight="1" thickTop="1">
      <c r="A6672" s="109" t="s">
        <v>19142</v>
      </c>
      <c r="B6672" s="28">
        <v>46081</v>
      </c>
      <c r="C6672" s="25">
        <v>1290</v>
      </c>
      <c r="D6672" s="13" t="s">
        <v>1688</v>
      </c>
      <c r="E6672" s="111"/>
      <c r="F6672" s="113" t="s">
        <v>4603</v>
      </c>
      <c r="G6672" s="114"/>
      <c r="H6672" s="115"/>
      <c r="I6672" s="24"/>
      <c r="J6672" s="116">
        <v>4.5</v>
      </c>
      <c r="K6672" s="118">
        <v>1020000</v>
      </c>
      <c r="L6672" s="119"/>
      <c r="M6672" s="118">
        <f t="shared" ref="M6672" si="9267">K6672*0.1</f>
        <v>102000</v>
      </c>
      <c r="N6672" s="119"/>
      <c r="O6672" s="118">
        <v>0</v>
      </c>
      <c r="P6672" s="119"/>
      <c r="Q6672" s="118">
        <v>8200</v>
      </c>
      <c r="R6672" s="119"/>
      <c r="S6672" s="118">
        <v>12100</v>
      </c>
      <c r="T6672" s="119"/>
      <c r="U6672" s="118">
        <f t="shared" ref="U6672" si="9268">SUM(K6672:T6673)</f>
        <v>1142300</v>
      </c>
      <c r="V6672" s="122"/>
      <c r="W6672" s="124"/>
      <c r="X6672" s="126" t="s">
        <v>19494</v>
      </c>
      <c r="Y6672" s="127"/>
      <c r="Z6672" s="127"/>
      <c r="AA6672" s="127"/>
      <c r="AB6672" s="128"/>
      <c r="AC6672" s="15" t="s">
        <v>20</v>
      </c>
      <c r="AD6672" s="129" t="s">
        <v>1633</v>
      </c>
      <c r="AE6672" s="130"/>
      <c r="AF6672" s="130"/>
      <c r="AG6672" s="130"/>
      <c r="AH6672" s="130"/>
      <c r="AI6672" s="131"/>
      <c r="AJ6672" s="132"/>
      <c r="AK6672" s="127"/>
      <c r="AL6672" s="128"/>
      <c r="AM6672" s="21"/>
      <c r="AN6672" s="133">
        <v>46085</v>
      </c>
      <c r="AO6672" s="134"/>
      <c r="AP6672" s="135">
        <v>1007</v>
      </c>
      <c r="AQ6672" s="136"/>
      <c r="AR6672" s="118">
        <v>1100000</v>
      </c>
      <c r="AS6672" s="119"/>
      <c r="AT6672" s="118">
        <f t="shared" ref="AT6672" si="9269">AR6672*0.1</f>
        <v>110000</v>
      </c>
      <c r="AU6672" s="119"/>
      <c r="AV6672" s="118">
        <v>8200</v>
      </c>
      <c r="AW6672" s="119"/>
      <c r="AX6672" s="118">
        <f t="shared" ref="AX6672" si="9270">SUM(AR6672:AW6672)</f>
        <v>1218200</v>
      </c>
      <c r="AY6672" s="119"/>
      <c r="AZ6672" s="137">
        <v>46092</v>
      </c>
    </row>
    <row r="6673" spans="1:52" ht="17.100000000000001" customHeight="1" thickBot="1">
      <c r="A6673" s="110"/>
      <c r="B6673" s="27" t="s">
        <v>2511</v>
      </c>
      <c r="C6673" s="27">
        <v>65470</v>
      </c>
      <c r="D6673" s="14" t="s">
        <v>1576</v>
      </c>
      <c r="E6673" s="112"/>
      <c r="F6673" s="139" t="s">
        <v>19104</v>
      </c>
      <c r="G6673" s="140"/>
      <c r="H6673" s="141"/>
      <c r="I6673" s="26">
        <v>32792</v>
      </c>
      <c r="J6673" s="117"/>
      <c r="K6673" s="120"/>
      <c r="L6673" s="121"/>
      <c r="M6673" s="120"/>
      <c r="N6673" s="121"/>
      <c r="O6673" s="120"/>
      <c r="P6673" s="121"/>
      <c r="Q6673" s="120"/>
      <c r="R6673" s="121"/>
      <c r="S6673" s="120"/>
      <c r="T6673" s="121"/>
      <c r="U6673" s="120"/>
      <c r="V6673" s="123"/>
      <c r="W6673" s="125"/>
      <c r="X6673" s="142" t="s">
        <v>19495</v>
      </c>
      <c r="Y6673" s="143"/>
      <c r="Z6673" s="143"/>
      <c r="AA6673" s="143"/>
      <c r="AB6673" s="144"/>
      <c r="AC6673" s="16" t="s">
        <v>21</v>
      </c>
      <c r="AD6673" s="17" t="s">
        <v>2681</v>
      </c>
      <c r="AE6673" s="145" t="s">
        <v>19496</v>
      </c>
      <c r="AF6673" s="146"/>
      <c r="AG6673" s="146"/>
      <c r="AH6673" s="146"/>
      <c r="AI6673" s="147"/>
      <c r="AJ6673" s="148"/>
      <c r="AK6673" s="143"/>
      <c r="AL6673" s="144"/>
      <c r="AM6673" s="22"/>
      <c r="AN6673" s="149" t="s">
        <v>7285</v>
      </c>
      <c r="AO6673" s="144"/>
      <c r="AP6673" s="148">
        <v>2081</v>
      </c>
      <c r="AQ6673" s="144"/>
      <c r="AR6673" s="120"/>
      <c r="AS6673" s="121"/>
      <c r="AT6673" s="120"/>
      <c r="AU6673" s="121"/>
      <c r="AV6673" s="120"/>
      <c r="AW6673" s="121"/>
      <c r="AX6673" s="120"/>
      <c r="AY6673" s="121"/>
      <c r="AZ6673" s="138"/>
    </row>
    <row r="6674" spans="1:52" ht="17.100000000000001" customHeight="1" thickTop="1">
      <c r="A6674" s="109" t="s">
        <v>19143</v>
      </c>
      <c r="B6674" s="28">
        <v>46081</v>
      </c>
      <c r="C6674" s="25">
        <v>1290</v>
      </c>
      <c r="D6674" s="13" t="s">
        <v>2458</v>
      </c>
      <c r="E6674" s="111"/>
      <c r="F6674" s="113" t="s">
        <v>19149</v>
      </c>
      <c r="G6674" s="114"/>
      <c r="H6674" s="115"/>
      <c r="I6674" s="24" t="s">
        <v>19150</v>
      </c>
      <c r="J6674" s="116">
        <v>4.5</v>
      </c>
      <c r="K6674" s="118">
        <v>2060000</v>
      </c>
      <c r="L6674" s="119"/>
      <c r="M6674" s="118">
        <f t="shared" ref="M6674" si="9271">K6674*0.1</f>
        <v>206000</v>
      </c>
      <c r="N6674" s="119"/>
      <c r="O6674" s="118">
        <f>3200+320</f>
        <v>3520</v>
      </c>
      <c r="P6674" s="119"/>
      <c r="Q6674" s="118">
        <v>21090</v>
      </c>
      <c r="R6674" s="119"/>
      <c r="S6674" s="118">
        <v>16500</v>
      </c>
      <c r="T6674" s="119"/>
      <c r="U6674" s="118">
        <f t="shared" ref="U6674" si="9272">SUM(K6674:T6675)</f>
        <v>2307110</v>
      </c>
      <c r="V6674" s="122"/>
      <c r="W6674" s="124"/>
      <c r="X6674" s="126" t="s">
        <v>19151</v>
      </c>
      <c r="Y6674" s="127"/>
      <c r="Z6674" s="127"/>
      <c r="AA6674" s="127"/>
      <c r="AB6674" s="128"/>
      <c r="AC6674" s="15" t="s">
        <v>20</v>
      </c>
      <c r="AD6674" s="129" t="s">
        <v>1633</v>
      </c>
      <c r="AE6674" s="130"/>
      <c r="AF6674" s="130"/>
      <c r="AG6674" s="130"/>
      <c r="AH6674" s="130"/>
      <c r="AI6674" s="131"/>
      <c r="AJ6674" s="132"/>
      <c r="AK6674" s="127"/>
      <c r="AL6674" s="128"/>
      <c r="AM6674" s="21" t="s">
        <v>20342</v>
      </c>
      <c r="AN6674" s="133"/>
      <c r="AO6674" s="134"/>
      <c r="AP6674" s="135"/>
      <c r="AQ6674" s="136"/>
      <c r="AR6674" s="118"/>
      <c r="AS6674" s="119"/>
      <c r="AT6674" s="118">
        <f t="shared" ref="AT6674" si="9273">AR6674*0.1</f>
        <v>0</v>
      </c>
      <c r="AU6674" s="119"/>
      <c r="AV6674" s="118"/>
      <c r="AW6674" s="119"/>
      <c r="AX6674" s="118">
        <f t="shared" ref="AX6674" si="9274">SUM(AR6674:AW6674)</f>
        <v>0</v>
      </c>
      <c r="AY6674" s="119"/>
      <c r="AZ6674" s="137"/>
    </row>
    <row r="6675" spans="1:52" ht="17.100000000000001" customHeight="1" thickBot="1">
      <c r="A6675" s="110"/>
      <c r="B6675" s="27" t="s">
        <v>2511</v>
      </c>
      <c r="C6675" s="27">
        <v>80299</v>
      </c>
      <c r="D6675" s="14" t="s">
        <v>1720</v>
      </c>
      <c r="E6675" s="112"/>
      <c r="F6675" s="139" t="s">
        <v>23479</v>
      </c>
      <c r="G6675" s="140"/>
      <c r="H6675" s="141"/>
      <c r="I6675" s="26">
        <v>54643</v>
      </c>
      <c r="J6675" s="117"/>
      <c r="K6675" s="120"/>
      <c r="L6675" s="121"/>
      <c r="M6675" s="120"/>
      <c r="N6675" s="121"/>
      <c r="O6675" s="120"/>
      <c r="P6675" s="121"/>
      <c r="Q6675" s="120"/>
      <c r="R6675" s="121"/>
      <c r="S6675" s="120"/>
      <c r="T6675" s="121"/>
      <c r="U6675" s="120"/>
      <c r="V6675" s="123"/>
      <c r="W6675" s="125"/>
      <c r="X6675" s="142" t="s">
        <v>2321</v>
      </c>
      <c r="Y6675" s="143"/>
      <c r="Z6675" s="143"/>
      <c r="AA6675" s="143"/>
      <c r="AB6675" s="144"/>
      <c r="AC6675" s="16" t="s">
        <v>21</v>
      </c>
      <c r="AD6675" s="17" t="s">
        <v>2681</v>
      </c>
      <c r="AE6675" s="145" t="s">
        <v>1742</v>
      </c>
      <c r="AF6675" s="146"/>
      <c r="AG6675" s="146"/>
      <c r="AH6675" s="146"/>
      <c r="AI6675" s="147"/>
      <c r="AJ6675" s="148"/>
      <c r="AK6675" s="143"/>
      <c r="AL6675" s="144"/>
      <c r="AM6675" s="22"/>
      <c r="AN6675" s="149"/>
      <c r="AO6675" s="144"/>
      <c r="AP6675" s="148"/>
      <c r="AQ6675" s="144"/>
      <c r="AR6675" s="120"/>
      <c r="AS6675" s="121"/>
      <c r="AT6675" s="120"/>
      <c r="AU6675" s="121"/>
      <c r="AV6675" s="120"/>
      <c r="AW6675" s="121"/>
      <c r="AX6675" s="120"/>
      <c r="AY6675" s="121"/>
      <c r="AZ6675" s="138"/>
    </row>
    <row r="6676" spans="1:52" ht="17.100000000000001" customHeight="1" thickTop="1">
      <c r="A6676" s="109" t="s">
        <v>19144</v>
      </c>
      <c r="B6676" s="28">
        <v>46081</v>
      </c>
      <c r="C6676" s="25">
        <v>1290</v>
      </c>
      <c r="D6676" s="13" t="s">
        <v>1902</v>
      </c>
      <c r="E6676" s="111"/>
      <c r="F6676" s="113" t="s">
        <v>1871</v>
      </c>
      <c r="G6676" s="114"/>
      <c r="H6676" s="115"/>
      <c r="I6676" s="24"/>
      <c r="J6676" s="116">
        <v>4</v>
      </c>
      <c r="K6676" s="118">
        <v>1400000</v>
      </c>
      <c r="L6676" s="119"/>
      <c r="M6676" s="118">
        <f t="shared" ref="M6676" si="9275">K6676*0.1</f>
        <v>140000</v>
      </c>
      <c r="N6676" s="119"/>
      <c r="O6676" s="118">
        <v>0</v>
      </c>
      <c r="P6676" s="119"/>
      <c r="Q6676" s="118">
        <v>17600</v>
      </c>
      <c r="R6676" s="119"/>
      <c r="S6676" s="118">
        <v>16500</v>
      </c>
      <c r="T6676" s="119"/>
      <c r="U6676" s="118">
        <f t="shared" ref="U6676" si="9276">SUM(K6676:T6677)</f>
        <v>1574100</v>
      </c>
      <c r="V6676" s="122"/>
      <c r="W6676" s="124"/>
      <c r="X6676" s="126" t="s">
        <v>19499</v>
      </c>
      <c r="Y6676" s="127"/>
      <c r="Z6676" s="127"/>
      <c r="AA6676" s="127"/>
      <c r="AB6676" s="128"/>
      <c r="AC6676" s="15" t="s">
        <v>20</v>
      </c>
      <c r="AD6676" s="129" t="s">
        <v>171</v>
      </c>
      <c r="AE6676" s="130"/>
      <c r="AF6676" s="130"/>
      <c r="AG6676" s="130"/>
      <c r="AH6676" s="130"/>
      <c r="AI6676" s="131"/>
      <c r="AJ6676" s="132"/>
      <c r="AK6676" s="127"/>
      <c r="AL6676" s="128"/>
      <c r="AM6676" s="21"/>
      <c r="AN6676" s="133">
        <v>46155</v>
      </c>
      <c r="AO6676" s="134"/>
      <c r="AP6676" s="135">
        <v>1016</v>
      </c>
      <c r="AQ6676" s="136"/>
      <c r="AR6676" s="118">
        <v>1560000</v>
      </c>
      <c r="AS6676" s="119"/>
      <c r="AT6676" s="118">
        <f t="shared" ref="AT6676" si="9277">AR6676*0.1</f>
        <v>156000</v>
      </c>
      <c r="AU6676" s="119"/>
      <c r="AV6676" s="118">
        <v>17600</v>
      </c>
      <c r="AW6676" s="119"/>
      <c r="AX6676" s="118">
        <f t="shared" ref="AX6676" si="9278">SUM(AR6676:AW6676)</f>
        <v>1733600</v>
      </c>
      <c r="AY6676" s="119"/>
      <c r="AZ6676" s="137">
        <v>46160</v>
      </c>
    </row>
    <row r="6677" spans="1:52" ht="17.100000000000001" customHeight="1" thickBot="1">
      <c r="A6677" s="110"/>
      <c r="B6677" s="27" t="s">
        <v>2511</v>
      </c>
      <c r="C6677" s="27">
        <v>81042</v>
      </c>
      <c r="D6677" s="14" t="s">
        <v>275</v>
      </c>
      <c r="E6677" s="112"/>
      <c r="F6677" s="139" t="s">
        <v>19086</v>
      </c>
      <c r="G6677" s="140"/>
      <c r="H6677" s="141"/>
      <c r="I6677" s="26">
        <v>44380</v>
      </c>
      <c r="J6677" s="117"/>
      <c r="K6677" s="120"/>
      <c r="L6677" s="121"/>
      <c r="M6677" s="120"/>
      <c r="N6677" s="121"/>
      <c r="O6677" s="120"/>
      <c r="P6677" s="121"/>
      <c r="Q6677" s="120"/>
      <c r="R6677" s="121"/>
      <c r="S6677" s="120"/>
      <c r="T6677" s="121"/>
      <c r="U6677" s="120"/>
      <c r="V6677" s="123"/>
      <c r="W6677" s="125"/>
      <c r="X6677" s="142" t="s">
        <v>1594</v>
      </c>
      <c r="Y6677" s="143"/>
      <c r="Z6677" s="143"/>
      <c r="AA6677" s="143"/>
      <c r="AB6677" s="144"/>
      <c r="AC6677" s="16" t="s">
        <v>21</v>
      </c>
      <c r="AD6677" s="17" t="s">
        <v>2681</v>
      </c>
      <c r="AE6677" s="145" t="s">
        <v>5083</v>
      </c>
      <c r="AF6677" s="146"/>
      <c r="AG6677" s="146"/>
      <c r="AH6677" s="146"/>
      <c r="AI6677" s="147"/>
      <c r="AJ6677" s="148"/>
      <c r="AK6677" s="143"/>
      <c r="AL6677" s="144"/>
      <c r="AM6677" s="22"/>
      <c r="AN6677" s="149" t="s">
        <v>2794</v>
      </c>
      <c r="AO6677" s="144"/>
      <c r="AP6677" s="148">
        <v>6059</v>
      </c>
      <c r="AQ6677" s="144"/>
      <c r="AR6677" s="120"/>
      <c r="AS6677" s="121"/>
      <c r="AT6677" s="120"/>
      <c r="AU6677" s="121"/>
      <c r="AV6677" s="120"/>
      <c r="AW6677" s="121"/>
      <c r="AX6677" s="120"/>
      <c r="AY6677" s="121"/>
      <c r="AZ6677" s="138"/>
    </row>
    <row r="6678" spans="1:52" ht="17.100000000000001" customHeight="1" thickTop="1">
      <c r="A6678" s="109" t="s">
        <v>19145</v>
      </c>
      <c r="B6678" s="28">
        <v>46081</v>
      </c>
      <c r="C6678" s="25">
        <v>1290</v>
      </c>
      <c r="D6678" s="13" t="s">
        <v>2359</v>
      </c>
      <c r="E6678" s="111"/>
      <c r="F6678" s="113" t="s">
        <v>19105</v>
      </c>
      <c r="G6678" s="114"/>
      <c r="H6678" s="115"/>
      <c r="I6678" s="24"/>
      <c r="J6678" s="116">
        <v>4.5</v>
      </c>
      <c r="K6678" s="118">
        <v>2200000</v>
      </c>
      <c r="L6678" s="119"/>
      <c r="M6678" s="118">
        <f t="shared" ref="M6678" si="9279">K6678*0.1</f>
        <v>220000</v>
      </c>
      <c r="N6678" s="119"/>
      <c r="O6678" s="118">
        <v>0</v>
      </c>
      <c r="P6678" s="119"/>
      <c r="Q6678" s="118">
        <v>19090</v>
      </c>
      <c r="R6678" s="119"/>
      <c r="S6678" s="118">
        <v>23100</v>
      </c>
      <c r="T6678" s="119"/>
      <c r="U6678" s="118">
        <f t="shared" ref="U6678" si="9280">SUM(K6678:T6679)</f>
        <v>2462190</v>
      </c>
      <c r="V6678" s="122"/>
      <c r="W6678" s="124"/>
      <c r="X6678" s="126" t="s">
        <v>19500</v>
      </c>
      <c r="Y6678" s="127"/>
      <c r="Z6678" s="127"/>
      <c r="AA6678" s="127"/>
      <c r="AB6678" s="128"/>
      <c r="AC6678" s="15" t="s">
        <v>20</v>
      </c>
      <c r="AD6678" s="129" t="s">
        <v>1633</v>
      </c>
      <c r="AE6678" s="130"/>
      <c r="AF6678" s="130"/>
      <c r="AG6678" s="130"/>
      <c r="AH6678" s="130"/>
      <c r="AI6678" s="131"/>
      <c r="AJ6678" s="132"/>
      <c r="AK6678" s="127"/>
      <c r="AL6678" s="128"/>
      <c r="AM6678" s="21"/>
      <c r="AN6678" s="133">
        <v>46088</v>
      </c>
      <c r="AO6678" s="134"/>
      <c r="AP6678" s="135">
        <v>1291</v>
      </c>
      <c r="AQ6678" s="136"/>
      <c r="AR6678" s="118">
        <v>2345000</v>
      </c>
      <c r="AS6678" s="119"/>
      <c r="AT6678" s="118">
        <f t="shared" ref="AT6678" si="9281">AR6678*0.1</f>
        <v>234500</v>
      </c>
      <c r="AU6678" s="119"/>
      <c r="AV6678" s="118">
        <v>19090</v>
      </c>
      <c r="AW6678" s="119"/>
      <c r="AX6678" s="118">
        <f t="shared" ref="AX6678" si="9282">SUM(AR6678:AW6678)</f>
        <v>2598590</v>
      </c>
      <c r="AY6678" s="119"/>
      <c r="AZ6678" s="137">
        <v>46091</v>
      </c>
    </row>
    <row r="6679" spans="1:52" ht="17.100000000000001" customHeight="1" thickBot="1">
      <c r="A6679" s="110"/>
      <c r="B6679" s="27" t="s">
        <v>2511</v>
      </c>
      <c r="C6679" s="27">
        <v>81043</v>
      </c>
      <c r="D6679" s="14" t="s">
        <v>1592</v>
      </c>
      <c r="E6679" s="112"/>
      <c r="F6679" s="139" t="s">
        <v>19106</v>
      </c>
      <c r="G6679" s="140"/>
      <c r="H6679" s="141"/>
      <c r="I6679" s="26">
        <v>60638</v>
      </c>
      <c r="J6679" s="117"/>
      <c r="K6679" s="120"/>
      <c r="L6679" s="121"/>
      <c r="M6679" s="120"/>
      <c r="N6679" s="121"/>
      <c r="O6679" s="120"/>
      <c r="P6679" s="121"/>
      <c r="Q6679" s="120"/>
      <c r="R6679" s="121"/>
      <c r="S6679" s="120"/>
      <c r="T6679" s="121"/>
      <c r="U6679" s="120"/>
      <c r="V6679" s="123"/>
      <c r="W6679" s="125"/>
      <c r="X6679" s="142" t="s">
        <v>441</v>
      </c>
      <c r="Y6679" s="143"/>
      <c r="Z6679" s="143"/>
      <c r="AA6679" s="143"/>
      <c r="AB6679" s="144"/>
      <c r="AC6679" s="16" t="s">
        <v>21</v>
      </c>
      <c r="AD6679" s="17" t="s">
        <v>2681</v>
      </c>
      <c r="AE6679" s="145" t="s">
        <v>1742</v>
      </c>
      <c r="AF6679" s="146"/>
      <c r="AG6679" s="146"/>
      <c r="AH6679" s="146"/>
      <c r="AI6679" s="147"/>
      <c r="AJ6679" s="148"/>
      <c r="AK6679" s="143"/>
      <c r="AL6679" s="144"/>
      <c r="AM6679" s="22"/>
      <c r="AN6679" s="149" t="s">
        <v>2511</v>
      </c>
      <c r="AO6679" s="144"/>
      <c r="AP6679" s="148">
        <v>80060</v>
      </c>
      <c r="AQ6679" s="144"/>
      <c r="AR6679" s="120"/>
      <c r="AS6679" s="121"/>
      <c r="AT6679" s="120"/>
      <c r="AU6679" s="121"/>
      <c r="AV6679" s="120"/>
      <c r="AW6679" s="121"/>
      <c r="AX6679" s="120"/>
      <c r="AY6679" s="121"/>
      <c r="AZ6679" s="138"/>
    </row>
    <row r="6680" spans="1:52" ht="17.100000000000001" customHeight="1" thickTop="1">
      <c r="A6680" s="109" t="s">
        <v>19146</v>
      </c>
      <c r="B6680" s="28">
        <v>46081</v>
      </c>
      <c r="C6680" s="25">
        <v>1290</v>
      </c>
      <c r="D6680" s="13" t="s">
        <v>1986</v>
      </c>
      <c r="E6680" s="111"/>
      <c r="F6680" s="113" t="s">
        <v>19087</v>
      </c>
      <c r="G6680" s="114"/>
      <c r="H6680" s="115"/>
      <c r="I6680" s="24"/>
      <c r="J6680" s="116">
        <v>4.5</v>
      </c>
      <c r="K6680" s="118">
        <v>2215000</v>
      </c>
      <c r="L6680" s="119"/>
      <c r="M6680" s="118">
        <f t="shared" ref="M6680" si="9283">K6680*0.1</f>
        <v>221500</v>
      </c>
      <c r="N6680" s="119"/>
      <c r="O6680" s="118">
        <v>0</v>
      </c>
      <c r="P6680" s="119"/>
      <c r="Q6680" s="118">
        <v>19180</v>
      </c>
      <c r="R6680" s="119"/>
      <c r="S6680" s="118">
        <v>16500</v>
      </c>
      <c r="T6680" s="119"/>
      <c r="U6680" s="118">
        <f t="shared" ref="U6680" si="9284">SUM(K6680:T6681)</f>
        <v>2472180</v>
      </c>
      <c r="V6680" s="122"/>
      <c r="W6680" s="124"/>
      <c r="X6680" s="126" t="s">
        <v>19497</v>
      </c>
      <c r="Y6680" s="127"/>
      <c r="Z6680" s="127"/>
      <c r="AA6680" s="127"/>
      <c r="AB6680" s="128"/>
      <c r="AC6680" s="15" t="s">
        <v>2995</v>
      </c>
      <c r="AD6680" s="129" t="s">
        <v>1732</v>
      </c>
      <c r="AE6680" s="130"/>
      <c r="AF6680" s="130"/>
      <c r="AG6680" s="130"/>
      <c r="AH6680" s="130"/>
      <c r="AI6680" s="131"/>
      <c r="AJ6680" s="132"/>
      <c r="AK6680" s="127"/>
      <c r="AL6680" s="128"/>
      <c r="AM6680" s="21"/>
      <c r="AN6680" s="133">
        <v>46088</v>
      </c>
      <c r="AO6680" s="134"/>
      <c r="AP6680" s="135">
        <v>1291</v>
      </c>
      <c r="AQ6680" s="136"/>
      <c r="AR6680" s="118">
        <v>2330000</v>
      </c>
      <c r="AS6680" s="119"/>
      <c r="AT6680" s="118">
        <f t="shared" ref="AT6680" si="9285">AR6680*0.1</f>
        <v>233000</v>
      </c>
      <c r="AU6680" s="119"/>
      <c r="AV6680" s="118">
        <v>19180</v>
      </c>
      <c r="AW6680" s="119"/>
      <c r="AX6680" s="118">
        <f t="shared" ref="AX6680" si="9286">SUM(AR6680:AW6680)</f>
        <v>2582180</v>
      </c>
      <c r="AY6680" s="119"/>
      <c r="AZ6680" s="137">
        <v>46091</v>
      </c>
    </row>
    <row r="6681" spans="1:52" ht="17.100000000000001" customHeight="1" thickBot="1">
      <c r="A6681" s="110"/>
      <c r="B6681" s="27" t="s">
        <v>2511</v>
      </c>
      <c r="C6681" s="27">
        <v>81084</v>
      </c>
      <c r="D6681" s="14" t="s">
        <v>1592</v>
      </c>
      <c r="E6681" s="112"/>
      <c r="F6681" s="139" t="s">
        <v>19088</v>
      </c>
      <c r="G6681" s="140"/>
      <c r="H6681" s="141"/>
      <c r="I6681" s="26">
        <v>49115</v>
      </c>
      <c r="J6681" s="117"/>
      <c r="K6681" s="120"/>
      <c r="L6681" s="121"/>
      <c r="M6681" s="120"/>
      <c r="N6681" s="121"/>
      <c r="O6681" s="120"/>
      <c r="P6681" s="121"/>
      <c r="Q6681" s="120"/>
      <c r="R6681" s="121"/>
      <c r="S6681" s="120"/>
      <c r="T6681" s="121"/>
      <c r="U6681" s="120"/>
      <c r="V6681" s="123"/>
      <c r="W6681" s="125"/>
      <c r="X6681" s="142" t="s">
        <v>12695</v>
      </c>
      <c r="Y6681" s="143"/>
      <c r="Z6681" s="143"/>
      <c r="AA6681" s="143"/>
      <c r="AB6681" s="144"/>
      <c r="AC6681" s="16" t="s">
        <v>21</v>
      </c>
      <c r="AD6681" s="17" t="s">
        <v>2681</v>
      </c>
      <c r="AE6681" s="145" t="s">
        <v>2080</v>
      </c>
      <c r="AF6681" s="146"/>
      <c r="AG6681" s="146"/>
      <c r="AH6681" s="146"/>
      <c r="AI6681" s="147"/>
      <c r="AJ6681" s="148"/>
      <c r="AK6681" s="143"/>
      <c r="AL6681" s="144"/>
      <c r="AM6681" s="22"/>
      <c r="AN6681" s="149" t="s">
        <v>2511</v>
      </c>
      <c r="AO6681" s="144"/>
      <c r="AP6681" s="148">
        <v>80064</v>
      </c>
      <c r="AQ6681" s="144"/>
      <c r="AR6681" s="120"/>
      <c r="AS6681" s="121"/>
      <c r="AT6681" s="120"/>
      <c r="AU6681" s="121"/>
      <c r="AV6681" s="120"/>
      <c r="AW6681" s="121"/>
      <c r="AX6681" s="120"/>
      <c r="AY6681" s="121"/>
      <c r="AZ6681" s="138"/>
    </row>
    <row r="6682" spans="1:52" ht="17.100000000000001" customHeight="1" thickTop="1">
      <c r="A6682" s="109" t="s">
        <v>19147</v>
      </c>
      <c r="B6682" s="28">
        <v>46081</v>
      </c>
      <c r="C6682" s="25">
        <v>1290</v>
      </c>
      <c r="D6682" s="13" t="s">
        <v>2654</v>
      </c>
      <c r="E6682" s="111"/>
      <c r="F6682" s="113" t="s">
        <v>2724</v>
      </c>
      <c r="G6682" s="114"/>
      <c r="H6682" s="115"/>
      <c r="I6682" s="24" t="s">
        <v>19090</v>
      </c>
      <c r="J6682" s="116">
        <v>4</v>
      </c>
      <c r="K6682" s="118">
        <v>805000</v>
      </c>
      <c r="L6682" s="119"/>
      <c r="M6682" s="118">
        <f t="shared" ref="M6682" si="9287">K6682*0.1</f>
        <v>80500</v>
      </c>
      <c r="N6682" s="119"/>
      <c r="O6682" s="118">
        <v>3300</v>
      </c>
      <c r="P6682" s="119"/>
      <c r="Q6682" s="118">
        <v>19090</v>
      </c>
      <c r="R6682" s="119"/>
      <c r="S6682" s="118">
        <v>16500</v>
      </c>
      <c r="T6682" s="119"/>
      <c r="U6682" s="118">
        <f t="shared" ref="U6682" si="9288">SUM(K6682:T6683)</f>
        <v>924390</v>
      </c>
      <c r="V6682" s="122"/>
      <c r="W6682" s="124"/>
      <c r="X6682" s="126" t="s">
        <v>19091</v>
      </c>
      <c r="Y6682" s="127"/>
      <c r="Z6682" s="127"/>
      <c r="AA6682" s="127"/>
      <c r="AB6682" s="128"/>
      <c r="AC6682" s="15" t="s">
        <v>20</v>
      </c>
      <c r="AD6682" s="129" t="s">
        <v>186</v>
      </c>
      <c r="AE6682" s="130"/>
      <c r="AF6682" s="130"/>
      <c r="AG6682" s="130"/>
      <c r="AH6682" s="130"/>
      <c r="AI6682" s="131"/>
      <c r="AJ6682" s="132"/>
      <c r="AK6682" s="127"/>
      <c r="AL6682" s="128"/>
      <c r="AM6682" s="21" t="s">
        <v>19776</v>
      </c>
      <c r="AN6682" s="133">
        <v>46099</v>
      </c>
      <c r="AO6682" s="134"/>
      <c r="AP6682" s="135">
        <v>1009</v>
      </c>
      <c r="AQ6682" s="136"/>
      <c r="AR6682" s="118">
        <v>960000</v>
      </c>
      <c r="AS6682" s="119"/>
      <c r="AT6682" s="118">
        <f t="shared" ref="AT6682" si="9289">AR6682*0.1</f>
        <v>96000</v>
      </c>
      <c r="AU6682" s="119"/>
      <c r="AV6682" s="118">
        <v>19090</v>
      </c>
      <c r="AW6682" s="119"/>
      <c r="AX6682" s="118">
        <f t="shared" ref="AX6682" si="9290">SUM(AR6682:AW6682)</f>
        <v>1075090</v>
      </c>
      <c r="AY6682" s="119"/>
      <c r="AZ6682" s="137">
        <v>46105</v>
      </c>
    </row>
    <row r="6683" spans="1:52" ht="17.100000000000001" customHeight="1" thickBot="1">
      <c r="A6683" s="110"/>
      <c r="B6683" s="27" t="s">
        <v>2511</v>
      </c>
      <c r="C6683" s="27">
        <v>81100</v>
      </c>
      <c r="D6683" s="14" t="s">
        <v>275</v>
      </c>
      <c r="E6683" s="112"/>
      <c r="F6683" s="139" t="s">
        <v>19089</v>
      </c>
      <c r="G6683" s="140"/>
      <c r="H6683" s="141"/>
      <c r="I6683" s="26">
        <v>99883</v>
      </c>
      <c r="J6683" s="117"/>
      <c r="K6683" s="120"/>
      <c r="L6683" s="121"/>
      <c r="M6683" s="120"/>
      <c r="N6683" s="121"/>
      <c r="O6683" s="120"/>
      <c r="P6683" s="121"/>
      <c r="Q6683" s="120"/>
      <c r="R6683" s="121"/>
      <c r="S6683" s="120"/>
      <c r="T6683" s="121"/>
      <c r="U6683" s="120"/>
      <c r="V6683" s="123"/>
      <c r="W6683" s="125"/>
      <c r="X6683" s="142" t="s">
        <v>1594</v>
      </c>
      <c r="Y6683" s="143"/>
      <c r="Z6683" s="143"/>
      <c r="AA6683" s="143"/>
      <c r="AB6683" s="144"/>
      <c r="AC6683" s="16" t="s">
        <v>21</v>
      </c>
      <c r="AD6683" s="17" t="s">
        <v>2681</v>
      </c>
      <c r="AE6683" s="145" t="s">
        <v>3364</v>
      </c>
      <c r="AF6683" s="146"/>
      <c r="AG6683" s="146"/>
      <c r="AH6683" s="146"/>
      <c r="AI6683" s="147"/>
      <c r="AJ6683" s="148"/>
      <c r="AK6683" s="143"/>
      <c r="AL6683" s="144"/>
      <c r="AM6683" s="22"/>
      <c r="AN6683" s="149" t="s">
        <v>2794</v>
      </c>
      <c r="AO6683" s="144"/>
      <c r="AP6683" s="148">
        <v>6125</v>
      </c>
      <c r="AQ6683" s="144"/>
      <c r="AR6683" s="120"/>
      <c r="AS6683" s="121"/>
      <c r="AT6683" s="120"/>
      <c r="AU6683" s="121"/>
      <c r="AV6683" s="120"/>
      <c r="AW6683" s="121"/>
      <c r="AX6683" s="120"/>
      <c r="AY6683" s="121"/>
      <c r="AZ6683" s="138"/>
    </row>
    <row r="6684" spans="1:52" ht="17.100000000000001" customHeight="1" thickTop="1">
      <c r="A6684" s="109" t="s">
        <v>19148</v>
      </c>
      <c r="B6684" s="28">
        <v>46081</v>
      </c>
      <c r="C6684" s="25">
        <v>1290</v>
      </c>
      <c r="D6684" s="13" t="s">
        <v>1725</v>
      </c>
      <c r="E6684" s="111"/>
      <c r="F6684" s="113" t="s">
        <v>18829</v>
      </c>
      <c r="G6684" s="114"/>
      <c r="H6684" s="115"/>
      <c r="I6684" s="24"/>
      <c r="J6684" s="116">
        <v>4.5</v>
      </c>
      <c r="K6684" s="118">
        <v>1685000</v>
      </c>
      <c r="L6684" s="119"/>
      <c r="M6684" s="118">
        <f t="shared" ref="M6684" si="9291">K6684*0.1</f>
        <v>168500</v>
      </c>
      <c r="N6684" s="119"/>
      <c r="O6684" s="118">
        <v>0</v>
      </c>
      <c r="P6684" s="119"/>
      <c r="Q6684" s="118">
        <v>17820</v>
      </c>
      <c r="R6684" s="119"/>
      <c r="S6684" s="118">
        <v>16500</v>
      </c>
      <c r="T6684" s="119"/>
      <c r="U6684" s="118">
        <f t="shared" ref="U6684" si="9292">SUM(K6684:T6685)</f>
        <v>1887820</v>
      </c>
      <c r="V6684" s="122"/>
      <c r="W6684" s="124"/>
      <c r="X6684" s="126" t="s">
        <v>19498</v>
      </c>
      <c r="Y6684" s="127"/>
      <c r="Z6684" s="127"/>
      <c r="AA6684" s="127"/>
      <c r="AB6684" s="128"/>
      <c r="AC6684" s="15" t="s">
        <v>20</v>
      </c>
      <c r="AD6684" s="129" t="s">
        <v>171</v>
      </c>
      <c r="AE6684" s="130"/>
      <c r="AF6684" s="130"/>
      <c r="AG6684" s="130"/>
      <c r="AH6684" s="130"/>
      <c r="AI6684" s="131"/>
      <c r="AJ6684" s="132"/>
      <c r="AK6684" s="127"/>
      <c r="AL6684" s="128"/>
      <c r="AM6684" s="21"/>
      <c r="AN6684" s="133">
        <v>46095</v>
      </c>
      <c r="AO6684" s="134"/>
      <c r="AP6684" s="135"/>
      <c r="AQ6684" s="136"/>
      <c r="AR6684" s="118">
        <v>1990000</v>
      </c>
      <c r="AS6684" s="119"/>
      <c r="AT6684" s="118">
        <f t="shared" ref="AT6684" si="9293">AR6684*0.1</f>
        <v>199000</v>
      </c>
      <c r="AU6684" s="119"/>
      <c r="AV6684" s="118">
        <v>17820</v>
      </c>
      <c r="AW6684" s="119"/>
      <c r="AX6684" s="118">
        <f t="shared" ref="AX6684" si="9294">SUM(AR6684:AW6684)</f>
        <v>2206820</v>
      </c>
      <c r="AY6684" s="119"/>
      <c r="AZ6684" s="137"/>
    </row>
    <row r="6685" spans="1:52" ht="17.100000000000001" customHeight="1" thickBot="1">
      <c r="A6685" s="110"/>
      <c r="B6685" s="27" t="s">
        <v>2511</v>
      </c>
      <c r="C6685" s="27">
        <v>82250</v>
      </c>
      <c r="D6685" s="14" t="s">
        <v>55</v>
      </c>
      <c r="E6685" s="112"/>
      <c r="F6685" s="139" t="s">
        <v>19107</v>
      </c>
      <c r="G6685" s="140"/>
      <c r="H6685" s="141"/>
      <c r="I6685" s="26">
        <v>65568</v>
      </c>
      <c r="J6685" s="117"/>
      <c r="K6685" s="120"/>
      <c r="L6685" s="121"/>
      <c r="M6685" s="120"/>
      <c r="N6685" s="121"/>
      <c r="O6685" s="120"/>
      <c r="P6685" s="121"/>
      <c r="Q6685" s="120"/>
      <c r="R6685" s="121"/>
      <c r="S6685" s="120"/>
      <c r="T6685" s="121"/>
      <c r="U6685" s="120"/>
      <c r="V6685" s="123"/>
      <c r="W6685" s="125"/>
      <c r="X6685" s="142" t="s">
        <v>1861</v>
      </c>
      <c r="Y6685" s="143"/>
      <c r="Z6685" s="143"/>
      <c r="AA6685" s="143"/>
      <c r="AB6685" s="144"/>
      <c r="AC6685" s="16" t="s">
        <v>21</v>
      </c>
      <c r="AD6685" s="17" t="s">
        <v>2681</v>
      </c>
      <c r="AE6685" s="145" t="s">
        <v>11914</v>
      </c>
      <c r="AF6685" s="146"/>
      <c r="AG6685" s="146"/>
      <c r="AH6685" s="146"/>
      <c r="AI6685" s="147"/>
      <c r="AJ6685" s="148"/>
      <c r="AK6685" s="143"/>
      <c r="AL6685" s="144"/>
      <c r="AM6685" s="22"/>
      <c r="AN6685" s="149" t="s">
        <v>6789</v>
      </c>
      <c r="AO6685" s="144"/>
      <c r="AP6685" s="148">
        <v>52525</v>
      </c>
      <c r="AQ6685" s="144"/>
      <c r="AR6685" s="120"/>
      <c r="AS6685" s="121"/>
      <c r="AT6685" s="120"/>
      <c r="AU6685" s="121"/>
      <c r="AV6685" s="120"/>
      <c r="AW6685" s="121"/>
      <c r="AX6685" s="120"/>
      <c r="AY6685" s="121"/>
      <c r="AZ6685" s="138"/>
    </row>
    <row r="6686" spans="1:52" ht="17.100000000000001" customHeight="1" thickTop="1">
      <c r="A6686" s="109" t="s">
        <v>19170</v>
      </c>
      <c r="B6686" s="28">
        <v>46083</v>
      </c>
      <c r="C6686" s="25"/>
      <c r="D6686" s="13" t="s">
        <v>1640</v>
      </c>
      <c r="E6686" s="111"/>
      <c r="F6686" s="113" t="s">
        <v>1938</v>
      </c>
      <c r="G6686" s="114"/>
      <c r="H6686" s="115"/>
      <c r="I6686" s="24"/>
      <c r="J6686" s="116">
        <v>5</v>
      </c>
      <c r="K6686" s="118">
        <v>941000</v>
      </c>
      <c r="L6686" s="119"/>
      <c r="M6686" s="118">
        <f t="shared" ref="M6686" si="9295">K6686*0.1</f>
        <v>94100</v>
      </c>
      <c r="N6686" s="119"/>
      <c r="O6686" s="118">
        <v>0</v>
      </c>
      <c r="P6686" s="119"/>
      <c r="Q6686" s="118">
        <v>18960</v>
      </c>
      <c r="R6686" s="119"/>
      <c r="S6686" s="118">
        <v>14850</v>
      </c>
      <c r="T6686" s="119"/>
      <c r="U6686" s="118">
        <f t="shared" ref="U6686" si="9296">SUM(K6686:T6687)</f>
        <v>1068910</v>
      </c>
      <c r="V6686" s="122"/>
      <c r="W6686" s="124"/>
      <c r="X6686" s="126" t="s">
        <v>19422</v>
      </c>
      <c r="Y6686" s="127"/>
      <c r="Z6686" s="127"/>
      <c r="AA6686" s="127"/>
      <c r="AB6686" s="128"/>
      <c r="AC6686" s="15" t="s">
        <v>20</v>
      </c>
      <c r="AD6686" s="129" t="s">
        <v>1670</v>
      </c>
      <c r="AE6686" s="130"/>
      <c r="AF6686" s="130"/>
      <c r="AG6686" s="130"/>
      <c r="AH6686" s="130"/>
      <c r="AI6686" s="131"/>
      <c r="AJ6686" s="132"/>
      <c r="AK6686" s="127"/>
      <c r="AL6686" s="128"/>
      <c r="AM6686" s="21"/>
      <c r="AN6686" s="133">
        <v>46088</v>
      </c>
      <c r="AO6686" s="134"/>
      <c r="AP6686" s="135">
        <v>1709</v>
      </c>
      <c r="AQ6686" s="136"/>
      <c r="AR6686" s="118">
        <v>1115000</v>
      </c>
      <c r="AS6686" s="119"/>
      <c r="AT6686" s="118">
        <f t="shared" ref="AT6686" si="9297">AR6686*0.1</f>
        <v>111500</v>
      </c>
      <c r="AU6686" s="119"/>
      <c r="AV6686" s="118">
        <v>18960</v>
      </c>
      <c r="AW6686" s="119"/>
      <c r="AX6686" s="118">
        <f t="shared" ref="AX6686" si="9298">SUM(AR6686:AW6686)</f>
        <v>1245460</v>
      </c>
      <c r="AY6686" s="119"/>
      <c r="AZ6686" s="137">
        <v>46089</v>
      </c>
    </row>
    <row r="6687" spans="1:52" ht="17.100000000000001" customHeight="1" thickBot="1">
      <c r="A6687" s="110"/>
      <c r="B6687" s="27" t="s">
        <v>9959</v>
      </c>
      <c r="C6687" s="27">
        <v>10027</v>
      </c>
      <c r="D6687" s="14" t="s">
        <v>1576</v>
      </c>
      <c r="E6687" s="112"/>
      <c r="F6687" s="139" t="s">
        <v>19152</v>
      </c>
      <c r="G6687" s="140"/>
      <c r="H6687" s="141"/>
      <c r="I6687" s="26">
        <v>10965</v>
      </c>
      <c r="J6687" s="117"/>
      <c r="K6687" s="120"/>
      <c r="L6687" s="121"/>
      <c r="M6687" s="120"/>
      <c r="N6687" s="121"/>
      <c r="O6687" s="120"/>
      <c r="P6687" s="121"/>
      <c r="Q6687" s="120"/>
      <c r="R6687" s="121"/>
      <c r="S6687" s="120"/>
      <c r="T6687" s="121"/>
      <c r="U6687" s="120"/>
      <c r="V6687" s="123"/>
      <c r="W6687" s="125"/>
      <c r="X6687" s="142" t="s">
        <v>19423</v>
      </c>
      <c r="Y6687" s="143"/>
      <c r="Z6687" s="143"/>
      <c r="AA6687" s="143"/>
      <c r="AB6687" s="144"/>
      <c r="AC6687" s="16" t="s">
        <v>21</v>
      </c>
      <c r="AD6687" s="17" t="s">
        <v>19391</v>
      </c>
      <c r="AE6687" s="145" t="s">
        <v>19424</v>
      </c>
      <c r="AF6687" s="146"/>
      <c r="AG6687" s="146"/>
      <c r="AH6687" s="146"/>
      <c r="AI6687" s="147"/>
      <c r="AJ6687" s="148"/>
      <c r="AK6687" s="143"/>
      <c r="AL6687" s="144"/>
      <c r="AM6687" s="22"/>
      <c r="AN6687" s="149" t="s">
        <v>1859</v>
      </c>
      <c r="AO6687" s="144"/>
      <c r="AP6687" s="148">
        <v>560</v>
      </c>
      <c r="AQ6687" s="144"/>
      <c r="AR6687" s="120"/>
      <c r="AS6687" s="121"/>
      <c r="AT6687" s="120"/>
      <c r="AU6687" s="121"/>
      <c r="AV6687" s="120"/>
      <c r="AW6687" s="121"/>
      <c r="AX6687" s="120"/>
      <c r="AY6687" s="121"/>
      <c r="AZ6687" s="138"/>
    </row>
    <row r="6688" spans="1:52" ht="17.100000000000001" customHeight="1" thickTop="1">
      <c r="A6688" s="109" t="s">
        <v>19171</v>
      </c>
      <c r="B6688" s="28">
        <v>46083</v>
      </c>
      <c r="C6688" s="25"/>
      <c r="D6688" s="13" t="s">
        <v>2329</v>
      </c>
      <c r="E6688" s="111"/>
      <c r="F6688" s="113" t="s">
        <v>19153</v>
      </c>
      <c r="G6688" s="114"/>
      <c r="H6688" s="115"/>
      <c r="I6688" s="24"/>
      <c r="J6688" s="116">
        <v>4</v>
      </c>
      <c r="K6688" s="118">
        <v>1832000</v>
      </c>
      <c r="L6688" s="119"/>
      <c r="M6688" s="118">
        <f t="shared" ref="M6688" si="9299">K6688*0.1</f>
        <v>183200</v>
      </c>
      <c r="N6688" s="119"/>
      <c r="O6688" s="118">
        <v>0</v>
      </c>
      <c r="P6688" s="119"/>
      <c r="Q6688" s="118">
        <v>18100</v>
      </c>
      <c r="R6688" s="119"/>
      <c r="S6688" s="118">
        <v>14850</v>
      </c>
      <c r="T6688" s="119"/>
      <c r="U6688" s="118">
        <f t="shared" ref="U6688" si="9300">SUM(K6688:T6689)</f>
        <v>2048150</v>
      </c>
      <c r="V6688" s="122"/>
      <c r="W6688" s="124"/>
      <c r="X6688" s="126" t="s">
        <v>19450</v>
      </c>
      <c r="Y6688" s="127"/>
      <c r="Z6688" s="127"/>
      <c r="AA6688" s="127"/>
      <c r="AB6688" s="128"/>
      <c r="AC6688" s="15" t="s">
        <v>20</v>
      </c>
      <c r="AD6688" s="129"/>
      <c r="AE6688" s="130"/>
      <c r="AF6688" s="130"/>
      <c r="AG6688" s="130"/>
      <c r="AH6688" s="130"/>
      <c r="AI6688" s="131"/>
      <c r="AJ6688" s="132"/>
      <c r="AK6688" s="127"/>
      <c r="AL6688" s="128"/>
      <c r="AM6688" s="21"/>
      <c r="AN6688" s="133">
        <v>46095</v>
      </c>
      <c r="AO6688" s="134"/>
      <c r="AP6688" s="135">
        <v>1292</v>
      </c>
      <c r="AQ6688" s="136"/>
      <c r="AR6688" s="118">
        <v>1975000</v>
      </c>
      <c r="AS6688" s="119"/>
      <c r="AT6688" s="118">
        <f t="shared" ref="AT6688" si="9301">AR6688*0.1</f>
        <v>197500</v>
      </c>
      <c r="AU6688" s="119"/>
      <c r="AV6688" s="118">
        <v>18100</v>
      </c>
      <c r="AW6688" s="119"/>
      <c r="AX6688" s="118">
        <f t="shared" ref="AX6688" si="9302">SUM(AR6688:AW6688)</f>
        <v>2190600</v>
      </c>
      <c r="AY6688" s="119"/>
      <c r="AZ6688" s="137">
        <v>46098</v>
      </c>
    </row>
    <row r="6689" spans="1:52" ht="17.100000000000001" customHeight="1" thickBot="1">
      <c r="A6689" s="110"/>
      <c r="B6689" s="27" t="s">
        <v>4862</v>
      </c>
      <c r="C6689" s="27">
        <v>50013</v>
      </c>
      <c r="D6689" s="14" t="s">
        <v>1592</v>
      </c>
      <c r="E6689" s="112"/>
      <c r="F6689" s="139" t="s">
        <v>19449</v>
      </c>
      <c r="G6689" s="140"/>
      <c r="H6689" s="141"/>
      <c r="I6689" s="26">
        <v>22968</v>
      </c>
      <c r="J6689" s="117"/>
      <c r="K6689" s="120"/>
      <c r="L6689" s="121"/>
      <c r="M6689" s="120"/>
      <c r="N6689" s="121"/>
      <c r="O6689" s="120"/>
      <c r="P6689" s="121"/>
      <c r="Q6689" s="120"/>
      <c r="R6689" s="121"/>
      <c r="S6689" s="120"/>
      <c r="T6689" s="121"/>
      <c r="U6689" s="120"/>
      <c r="V6689" s="123"/>
      <c r="W6689" s="125"/>
      <c r="X6689" s="142" t="s">
        <v>19451</v>
      </c>
      <c r="Y6689" s="143"/>
      <c r="Z6689" s="143"/>
      <c r="AA6689" s="143"/>
      <c r="AB6689" s="144"/>
      <c r="AC6689" s="16" t="s">
        <v>21</v>
      </c>
      <c r="AD6689" s="17" t="s">
        <v>2681</v>
      </c>
      <c r="AE6689" s="145" t="s">
        <v>7859</v>
      </c>
      <c r="AF6689" s="146"/>
      <c r="AG6689" s="146"/>
      <c r="AH6689" s="146"/>
      <c r="AI6689" s="147"/>
      <c r="AJ6689" s="148"/>
      <c r="AK6689" s="143"/>
      <c r="AL6689" s="144"/>
      <c r="AM6689" s="22"/>
      <c r="AN6689" s="149" t="s">
        <v>2511</v>
      </c>
      <c r="AO6689" s="144"/>
      <c r="AP6689" s="148">
        <v>80100</v>
      </c>
      <c r="AQ6689" s="144"/>
      <c r="AR6689" s="120"/>
      <c r="AS6689" s="121"/>
      <c r="AT6689" s="120"/>
      <c r="AU6689" s="121"/>
      <c r="AV6689" s="120"/>
      <c r="AW6689" s="121"/>
      <c r="AX6689" s="120"/>
      <c r="AY6689" s="121"/>
      <c r="AZ6689" s="138"/>
    </row>
    <row r="6690" spans="1:52" ht="17.100000000000001" customHeight="1" thickTop="1">
      <c r="A6690" s="109" t="s">
        <v>19172</v>
      </c>
      <c r="B6690" s="28">
        <v>46083</v>
      </c>
      <c r="C6690" s="25"/>
      <c r="D6690" s="13" t="s">
        <v>1845</v>
      </c>
      <c r="E6690" s="111"/>
      <c r="F6690" s="113" t="s">
        <v>19154</v>
      </c>
      <c r="G6690" s="114"/>
      <c r="H6690" s="115"/>
      <c r="I6690" s="24" t="s">
        <v>4390</v>
      </c>
      <c r="J6690" s="116">
        <v>4</v>
      </c>
      <c r="K6690" s="118">
        <v>1570000</v>
      </c>
      <c r="L6690" s="119"/>
      <c r="M6690" s="118">
        <f t="shared" ref="M6690" si="9303">K6690*0.1</f>
        <v>157000</v>
      </c>
      <c r="N6690" s="119"/>
      <c r="O6690" s="118">
        <v>30500</v>
      </c>
      <c r="P6690" s="119"/>
      <c r="Q6690" s="118">
        <v>17800</v>
      </c>
      <c r="R6690" s="119"/>
      <c r="S6690" s="118">
        <v>14850</v>
      </c>
      <c r="T6690" s="119"/>
      <c r="U6690" s="118">
        <f t="shared" ref="U6690" si="9304">SUM(K6690:T6691)</f>
        <v>1790150</v>
      </c>
      <c r="V6690" s="122"/>
      <c r="W6690" s="124"/>
      <c r="X6690" s="126" t="s">
        <v>19155</v>
      </c>
      <c r="Y6690" s="127"/>
      <c r="Z6690" s="127"/>
      <c r="AA6690" s="127"/>
      <c r="AB6690" s="128"/>
      <c r="AC6690" s="15" t="s">
        <v>20</v>
      </c>
      <c r="AD6690" s="129" t="s">
        <v>1575</v>
      </c>
      <c r="AE6690" s="130"/>
      <c r="AF6690" s="130"/>
      <c r="AG6690" s="130"/>
      <c r="AH6690" s="130"/>
      <c r="AI6690" s="131"/>
      <c r="AJ6690" s="132"/>
      <c r="AK6690" s="127"/>
      <c r="AL6690" s="128"/>
      <c r="AM6690" s="21"/>
      <c r="AN6690" s="133">
        <v>46113</v>
      </c>
      <c r="AO6690" s="134"/>
      <c r="AP6690" s="135">
        <v>1011</v>
      </c>
      <c r="AQ6690" s="136"/>
      <c r="AR6690" s="118">
        <v>1680000</v>
      </c>
      <c r="AS6690" s="119"/>
      <c r="AT6690" s="118">
        <f t="shared" ref="AT6690" si="9305">AR6690*0.1</f>
        <v>168000</v>
      </c>
      <c r="AU6690" s="119"/>
      <c r="AV6690" s="118">
        <v>17800</v>
      </c>
      <c r="AW6690" s="119"/>
      <c r="AX6690" s="118">
        <f t="shared" ref="AX6690" si="9306">SUM(AR6690:AW6690)</f>
        <v>1865800</v>
      </c>
      <c r="AY6690" s="119"/>
      <c r="AZ6690" s="137">
        <v>46119</v>
      </c>
    </row>
    <row r="6691" spans="1:52" ht="17.100000000000001" customHeight="1" thickBot="1">
      <c r="A6691" s="110"/>
      <c r="B6691" s="27" t="s">
        <v>4862</v>
      </c>
      <c r="C6691" s="27">
        <v>50074</v>
      </c>
      <c r="D6691" s="14" t="s">
        <v>1592</v>
      </c>
      <c r="E6691" s="112"/>
      <c r="F6691" s="139" t="s">
        <v>19452</v>
      </c>
      <c r="G6691" s="140"/>
      <c r="H6691" s="141"/>
      <c r="I6691" s="26">
        <v>27438</v>
      </c>
      <c r="J6691" s="117"/>
      <c r="K6691" s="120"/>
      <c r="L6691" s="121"/>
      <c r="M6691" s="120"/>
      <c r="N6691" s="121"/>
      <c r="O6691" s="120"/>
      <c r="P6691" s="121"/>
      <c r="Q6691" s="120"/>
      <c r="R6691" s="121"/>
      <c r="S6691" s="120"/>
      <c r="T6691" s="121"/>
      <c r="U6691" s="120"/>
      <c r="V6691" s="123"/>
      <c r="W6691" s="125"/>
      <c r="X6691" s="142" t="s">
        <v>4167</v>
      </c>
      <c r="Y6691" s="143"/>
      <c r="Z6691" s="143"/>
      <c r="AA6691" s="143"/>
      <c r="AB6691" s="144"/>
      <c r="AC6691" s="16" t="s">
        <v>21</v>
      </c>
      <c r="AD6691" s="17" t="s">
        <v>2681</v>
      </c>
      <c r="AE6691" s="145" t="s">
        <v>4579</v>
      </c>
      <c r="AF6691" s="146"/>
      <c r="AG6691" s="146"/>
      <c r="AH6691" s="146"/>
      <c r="AI6691" s="147"/>
      <c r="AJ6691" s="148"/>
      <c r="AK6691" s="143"/>
      <c r="AL6691" s="144"/>
      <c r="AM6691" s="22"/>
      <c r="AN6691" s="149" t="s">
        <v>21942</v>
      </c>
      <c r="AO6691" s="144"/>
      <c r="AP6691" s="148">
        <v>6094</v>
      </c>
      <c r="AQ6691" s="144"/>
      <c r="AR6691" s="120"/>
      <c r="AS6691" s="121"/>
      <c r="AT6691" s="120"/>
      <c r="AU6691" s="121"/>
      <c r="AV6691" s="120"/>
      <c r="AW6691" s="121"/>
      <c r="AX6691" s="120"/>
      <c r="AY6691" s="121"/>
      <c r="AZ6691" s="138"/>
    </row>
    <row r="6692" spans="1:52" ht="17.100000000000001" customHeight="1" thickTop="1">
      <c r="A6692" s="109" t="s">
        <v>19173</v>
      </c>
      <c r="B6692" s="28">
        <v>46083</v>
      </c>
      <c r="C6692" s="25"/>
      <c r="D6692" s="13" t="s">
        <v>2914</v>
      </c>
      <c r="E6692" s="111"/>
      <c r="F6692" s="113" t="s">
        <v>19168</v>
      </c>
      <c r="G6692" s="114"/>
      <c r="H6692" s="115"/>
      <c r="I6692" s="24"/>
      <c r="J6692" s="116">
        <v>4</v>
      </c>
      <c r="K6692" s="118">
        <v>1729000</v>
      </c>
      <c r="L6692" s="119"/>
      <c r="M6692" s="118">
        <f t="shared" ref="M6692" si="9307">K6692*0.1</f>
        <v>172900</v>
      </c>
      <c r="N6692" s="119"/>
      <c r="O6692" s="118">
        <v>0</v>
      </c>
      <c r="P6692" s="119"/>
      <c r="Q6692" s="118">
        <v>19090</v>
      </c>
      <c r="R6692" s="119"/>
      <c r="S6692" s="118">
        <v>14850</v>
      </c>
      <c r="T6692" s="119"/>
      <c r="U6692" s="118">
        <f t="shared" ref="U6692" si="9308">SUM(K6692:T6693)</f>
        <v>1935840</v>
      </c>
      <c r="V6692" s="122"/>
      <c r="W6692" s="124"/>
      <c r="X6692" s="126" t="s">
        <v>19743</v>
      </c>
      <c r="Y6692" s="127"/>
      <c r="Z6692" s="127"/>
      <c r="AA6692" s="127"/>
      <c r="AB6692" s="128"/>
      <c r="AC6692" s="15" t="s">
        <v>20</v>
      </c>
      <c r="AD6692" s="129"/>
      <c r="AE6692" s="130"/>
      <c r="AF6692" s="130"/>
      <c r="AG6692" s="130"/>
      <c r="AH6692" s="130"/>
      <c r="AI6692" s="131"/>
      <c r="AJ6692" s="132"/>
      <c r="AK6692" s="127"/>
      <c r="AL6692" s="128"/>
      <c r="AM6692" s="21"/>
      <c r="AN6692" s="133">
        <v>46095</v>
      </c>
      <c r="AO6692" s="134"/>
      <c r="AP6692" s="135">
        <v>1292</v>
      </c>
      <c r="AQ6692" s="136"/>
      <c r="AR6692" s="118">
        <v>1880000</v>
      </c>
      <c r="AS6692" s="119"/>
      <c r="AT6692" s="118">
        <f t="shared" ref="AT6692" si="9309">AR6692*0.1</f>
        <v>188000</v>
      </c>
      <c r="AU6692" s="119"/>
      <c r="AV6692" s="118">
        <v>19090</v>
      </c>
      <c r="AW6692" s="119"/>
      <c r="AX6692" s="118">
        <f t="shared" ref="AX6692" si="9310">SUM(AR6692:AW6692)</f>
        <v>2087090</v>
      </c>
      <c r="AY6692" s="119"/>
      <c r="AZ6692" s="137">
        <v>46100</v>
      </c>
    </row>
    <row r="6693" spans="1:52" ht="17.100000000000001" customHeight="1" thickBot="1">
      <c r="A6693" s="110"/>
      <c r="B6693" s="27" t="s">
        <v>2774</v>
      </c>
      <c r="C6693" s="27">
        <v>80265</v>
      </c>
      <c r="D6693" s="14" t="s">
        <v>12120</v>
      </c>
      <c r="E6693" s="112"/>
      <c r="F6693" s="139" t="s">
        <v>19742</v>
      </c>
      <c r="G6693" s="140"/>
      <c r="H6693" s="141"/>
      <c r="I6693" s="26">
        <v>44670</v>
      </c>
      <c r="J6693" s="117"/>
      <c r="K6693" s="120"/>
      <c r="L6693" s="121"/>
      <c r="M6693" s="120"/>
      <c r="N6693" s="121"/>
      <c r="O6693" s="120"/>
      <c r="P6693" s="121"/>
      <c r="Q6693" s="120"/>
      <c r="R6693" s="121"/>
      <c r="S6693" s="120"/>
      <c r="T6693" s="121"/>
      <c r="U6693" s="120"/>
      <c r="V6693" s="123"/>
      <c r="W6693" s="125"/>
      <c r="X6693" s="142" t="s">
        <v>9908</v>
      </c>
      <c r="Y6693" s="143"/>
      <c r="Z6693" s="143"/>
      <c r="AA6693" s="143"/>
      <c r="AB6693" s="144"/>
      <c r="AC6693" s="16" t="s">
        <v>21</v>
      </c>
      <c r="AD6693" s="17" t="s">
        <v>3014</v>
      </c>
      <c r="AE6693" s="145" t="s">
        <v>19441</v>
      </c>
      <c r="AF6693" s="146"/>
      <c r="AG6693" s="146"/>
      <c r="AH6693" s="146"/>
      <c r="AI6693" s="147"/>
      <c r="AJ6693" s="148"/>
      <c r="AK6693" s="143"/>
      <c r="AL6693" s="144"/>
      <c r="AM6693" s="22"/>
      <c r="AN6693" s="149" t="s">
        <v>6748</v>
      </c>
      <c r="AO6693" s="144"/>
      <c r="AP6693" s="148">
        <v>80181</v>
      </c>
      <c r="AQ6693" s="144"/>
      <c r="AR6693" s="120"/>
      <c r="AS6693" s="121"/>
      <c r="AT6693" s="120"/>
      <c r="AU6693" s="121"/>
      <c r="AV6693" s="120"/>
      <c r="AW6693" s="121"/>
      <c r="AX6693" s="120"/>
      <c r="AY6693" s="121"/>
      <c r="AZ6693" s="138"/>
    </row>
    <row r="6694" spans="1:52" ht="17.100000000000001" customHeight="1" thickTop="1">
      <c r="A6694" s="109" t="s">
        <v>19174</v>
      </c>
      <c r="B6694" s="28">
        <v>46083</v>
      </c>
      <c r="C6694" s="25">
        <v>2083</v>
      </c>
      <c r="D6694" s="13" t="s">
        <v>3801</v>
      </c>
      <c r="E6694" s="111"/>
      <c r="F6694" s="113" t="s">
        <v>19156</v>
      </c>
      <c r="G6694" s="114"/>
      <c r="H6694" s="115"/>
      <c r="I6694" s="24" t="s">
        <v>3931</v>
      </c>
      <c r="J6694" s="116">
        <v>4.5</v>
      </c>
      <c r="K6694" s="118">
        <v>2445000</v>
      </c>
      <c r="L6694" s="119"/>
      <c r="M6694" s="118">
        <f t="shared" ref="M6694" si="9311">K6694*0.1</f>
        <v>244500</v>
      </c>
      <c r="N6694" s="119"/>
      <c r="O6694" s="118">
        <v>36000</v>
      </c>
      <c r="P6694" s="119"/>
      <c r="Q6694" s="118">
        <v>19560</v>
      </c>
      <c r="R6694" s="119"/>
      <c r="S6694" s="118">
        <v>11000</v>
      </c>
      <c r="T6694" s="119"/>
      <c r="U6694" s="118">
        <f t="shared" ref="U6694" si="9312">SUM(K6694:T6695)</f>
        <v>2756060</v>
      </c>
      <c r="V6694" s="122"/>
      <c r="W6694" s="124"/>
      <c r="X6694" s="126" t="s">
        <v>19158</v>
      </c>
      <c r="Y6694" s="127"/>
      <c r="Z6694" s="127"/>
      <c r="AA6694" s="127"/>
      <c r="AB6694" s="128"/>
      <c r="AC6694" s="15" t="s">
        <v>20</v>
      </c>
      <c r="AD6694" s="129" t="s">
        <v>171</v>
      </c>
      <c r="AE6694" s="130"/>
      <c r="AF6694" s="130"/>
      <c r="AG6694" s="130"/>
      <c r="AH6694" s="130"/>
      <c r="AI6694" s="131"/>
      <c r="AJ6694" s="132"/>
      <c r="AK6694" s="127"/>
      <c r="AL6694" s="128"/>
      <c r="AM6694" s="21"/>
      <c r="AN6694" s="133">
        <v>46088</v>
      </c>
      <c r="AO6694" s="134"/>
      <c r="AP6694" s="135">
        <v>1291</v>
      </c>
      <c r="AQ6694" s="136"/>
      <c r="AR6694" s="118">
        <v>2590000</v>
      </c>
      <c r="AS6694" s="119"/>
      <c r="AT6694" s="118">
        <f t="shared" ref="AT6694" si="9313">AR6694*0.1</f>
        <v>259000</v>
      </c>
      <c r="AU6694" s="119"/>
      <c r="AV6694" s="118">
        <v>19560</v>
      </c>
      <c r="AW6694" s="119"/>
      <c r="AX6694" s="118">
        <f t="shared" ref="AX6694" si="9314">SUM(AR6694:AW6694)</f>
        <v>2868560</v>
      </c>
      <c r="AY6694" s="119"/>
      <c r="AZ6694" s="137">
        <v>46091</v>
      </c>
    </row>
    <row r="6695" spans="1:52" ht="17.100000000000001" customHeight="1" thickBot="1">
      <c r="A6695" s="110"/>
      <c r="B6695" s="27" t="s">
        <v>83</v>
      </c>
      <c r="C6695" s="27">
        <v>33507</v>
      </c>
      <c r="D6695" s="14" t="s">
        <v>1592</v>
      </c>
      <c r="E6695" s="112"/>
      <c r="F6695" s="139" t="s">
        <v>19157</v>
      </c>
      <c r="G6695" s="140"/>
      <c r="H6695" s="141"/>
      <c r="I6695" s="26">
        <v>41991</v>
      </c>
      <c r="J6695" s="117"/>
      <c r="K6695" s="120"/>
      <c r="L6695" s="121"/>
      <c r="M6695" s="120"/>
      <c r="N6695" s="121"/>
      <c r="O6695" s="120"/>
      <c r="P6695" s="121"/>
      <c r="Q6695" s="120"/>
      <c r="R6695" s="121"/>
      <c r="S6695" s="120"/>
      <c r="T6695" s="121"/>
      <c r="U6695" s="120"/>
      <c r="V6695" s="123"/>
      <c r="W6695" s="125"/>
      <c r="X6695" s="142" t="s">
        <v>19427</v>
      </c>
      <c r="Y6695" s="143"/>
      <c r="Z6695" s="143"/>
      <c r="AA6695" s="143"/>
      <c r="AB6695" s="144"/>
      <c r="AC6695" s="16" t="s">
        <v>21</v>
      </c>
      <c r="AD6695" s="17" t="s">
        <v>19391</v>
      </c>
      <c r="AE6695" s="145" t="s">
        <v>19445</v>
      </c>
      <c r="AF6695" s="146"/>
      <c r="AG6695" s="146"/>
      <c r="AH6695" s="146"/>
      <c r="AI6695" s="147"/>
      <c r="AJ6695" s="148"/>
      <c r="AK6695" s="143"/>
      <c r="AL6695" s="144"/>
      <c r="AM6695" s="22"/>
      <c r="AN6695" s="149" t="s">
        <v>2511</v>
      </c>
      <c r="AO6695" s="144"/>
      <c r="AP6695" s="148">
        <v>80336</v>
      </c>
      <c r="AQ6695" s="144"/>
      <c r="AR6695" s="120"/>
      <c r="AS6695" s="121"/>
      <c r="AT6695" s="120"/>
      <c r="AU6695" s="121"/>
      <c r="AV6695" s="120"/>
      <c r="AW6695" s="121"/>
      <c r="AX6695" s="120"/>
      <c r="AY6695" s="121"/>
      <c r="AZ6695" s="138"/>
    </row>
    <row r="6696" spans="1:52" ht="17.100000000000001" customHeight="1" thickTop="1">
      <c r="A6696" s="109" t="s">
        <v>19175</v>
      </c>
      <c r="B6696" s="28">
        <v>46083</v>
      </c>
      <c r="C6696" s="25">
        <v>2083</v>
      </c>
      <c r="D6696" s="13" t="s">
        <v>2458</v>
      </c>
      <c r="E6696" s="111"/>
      <c r="F6696" s="113" t="s">
        <v>7315</v>
      </c>
      <c r="G6696" s="114"/>
      <c r="H6696" s="115"/>
      <c r="I6696" s="24" t="s">
        <v>4096</v>
      </c>
      <c r="J6696" s="116">
        <v>4.5</v>
      </c>
      <c r="K6696" s="118">
        <v>530000</v>
      </c>
      <c r="L6696" s="119"/>
      <c r="M6696" s="118">
        <f t="shared" ref="M6696" si="9315">K6696*0.1</f>
        <v>53000</v>
      </c>
      <c r="N6696" s="119"/>
      <c r="O6696" s="118">
        <v>34500</v>
      </c>
      <c r="P6696" s="119"/>
      <c r="Q6696" s="118">
        <v>17700</v>
      </c>
      <c r="R6696" s="119"/>
      <c r="S6696" s="118">
        <v>11000</v>
      </c>
      <c r="T6696" s="119"/>
      <c r="U6696" s="118">
        <f t="shared" ref="U6696" si="9316">SUM(K6696:T6697)</f>
        <v>646200</v>
      </c>
      <c r="V6696" s="122"/>
      <c r="W6696" s="124"/>
      <c r="X6696" s="126" t="s">
        <v>19160</v>
      </c>
      <c r="Y6696" s="127"/>
      <c r="Z6696" s="127"/>
      <c r="AA6696" s="127"/>
      <c r="AB6696" s="128"/>
      <c r="AC6696" s="15" t="s">
        <v>20</v>
      </c>
      <c r="AD6696" s="129"/>
      <c r="AE6696" s="130"/>
      <c r="AF6696" s="130"/>
      <c r="AG6696" s="130"/>
      <c r="AH6696" s="130"/>
      <c r="AI6696" s="131"/>
      <c r="AJ6696" s="132"/>
      <c r="AK6696" s="127"/>
      <c r="AL6696" s="128"/>
      <c r="AM6696" s="21"/>
      <c r="AN6696" s="133">
        <v>46095</v>
      </c>
      <c r="AO6696" s="134"/>
      <c r="AP6696" s="135">
        <v>1292</v>
      </c>
      <c r="AQ6696" s="136"/>
      <c r="AR6696" s="118">
        <v>795000</v>
      </c>
      <c r="AS6696" s="119"/>
      <c r="AT6696" s="118">
        <f t="shared" ref="AT6696" si="9317">AR6696*0.1</f>
        <v>79500</v>
      </c>
      <c r="AU6696" s="119"/>
      <c r="AV6696" s="118">
        <v>17700</v>
      </c>
      <c r="AW6696" s="119"/>
      <c r="AX6696" s="118">
        <f t="shared" ref="AX6696" si="9318">SUM(AR6696:AW6696)</f>
        <v>892200</v>
      </c>
      <c r="AY6696" s="119"/>
      <c r="AZ6696" s="137">
        <v>46098</v>
      </c>
    </row>
    <row r="6697" spans="1:52" ht="17.100000000000001" customHeight="1" thickBot="1">
      <c r="A6697" s="110"/>
      <c r="B6697" s="27" t="s">
        <v>83</v>
      </c>
      <c r="C6697" s="27">
        <v>34516</v>
      </c>
      <c r="D6697" s="14" t="s">
        <v>1556</v>
      </c>
      <c r="E6697" s="112"/>
      <c r="F6697" s="139" t="s">
        <v>19159</v>
      </c>
      <c r="G6697" s="140"/>
      <c r="H6697" s="141"/>
      <c r="I6697" s="26">
        <v>39356</v>
      </c>
      <c r="J6697" s="117"/>
      <c r="K6697" s="120"/>
      <c r="L6697" s="121"/>
      <c r="M6697" s="120"/>
      <c r="N6697" s="121"/>
      <c r="O6697" s="120"/>
      <c r="P6697" s="121"/>
      <c r="Q6697" s="120"/>
      <c r="R6697" s="121"/>
      <c r="S6697" s="120"/>
      <c r="T6697" s="121"/>
      <c r="U6697" s="120"/>
      <c r="V6697" s="123"/>
      <c r="W6697" s="125"/>
      <c r="X6697" s="142" t="s">
        <v>19324</v>
      </c>
      <c r="Y6697" s="143"/>
      <c r="Z6697" s="143"/>
      <c r="AA6697" s="143"/>
      <c r="AB6697" s="144"/>
      <c r="AC6697" s="16" t="s">
        <v>21</v>
      </c>
      <c r="AD6697" s="17" t="s">
        <v>859</v>
      </c>
      <c r="AE6697" s="145" t="s">
        <v>1742</v>
      </c>
      <c r="AF6697" s="146"/>
      <c r="AG6697" s="146"/>
      <c r="AH6697" s="146"/>
      <c r="AI6697" s="147"/>
      <c r="AJ6697" s="148"/>
      <c r="AK6697" s="143"/>
      <c r="AL6697" s="144"/>
      <c r="AM6697" s="22"/>
      <c r="AN6697" s="149" t="s">
        <v>2511</v>
      </c>
      <c r="AO6697" s="144"/>
      <c r="AP6697" s="148">
        <v>80068</v>
      </c>
      <c r="AQ6697" s="144"/>
      <c r="AR6697" s="120"/>
      <c r="AS6697" s="121"/>
      <c r="AT6697" s="120"/>
      <c r="AU6697" s="121"/>
      <c r="AV6697" s="120"/>
      <c r="AW6697" s="121"/>
      <c r="AX6697" s="120"/>
      <c r="AY6697" s="121"/>
      <c r="AZ6697" s="138"/>
    </row>
    <row r="6698" spans="1:52" ht="17.100000000000001" customHeight="1" thickTop="1">
      <c r="A6698" s="109" t="s">
        <v>19233</v>
      </c>
      <c r="B6698" s="28">
        <v>46084</v>
      </c>
      <c r="C6698" s="25">
        <v>2083</v>
      </c>
      <c r="D6698" s="13" t="s">
        <v>4121</v>
      </c>
      <c r="E6698" s="111"/>
      <c r="F6698" s="113" t="s">
        <v>19282</v>
      </c>
      <c r="G6698" s="114"/>
      <c r="H6698" s="115"/>
      <c r="I6698" s="24" t="s">
        <v>4193</v>
      </c>
      <c r="J6698" s="116">
        <v>4.5</v>
      </c>
      <c r="K6698" s="118">
        <v>2250000</v>
      </c>
      <c r="L6698" s="119"/>
      <c r="M6698" s="118">
        <f t="shared" ref="M6698" si="9319">K6698*0.1</f>
        <v>225000</v>
      </c>
      <c r="N6698" s="119"/>
      <c r="O6698" s="118">
        <v>39500</v>
      </c>
      <c r="P6698" s="119"/>
      <c r="Q6698" s="118">
        <v>18890</v>
      </c>
      <c r="R6698" s="119"/>
      <c r="S6698" s="118">
        <v>17600</v>
      </c>
      <c r="T6698" s="119"/>
      <c r="U6698" s="118">
        <f t="shared" ref="U6698" si="9320">SUM(K6698:T6699)</f>
        <v>2550990</v>
      </c>
      <c r="V6698" s="122"/>
      <c r="W6698" s="124"/>
      <c r="X6698" s="126" t="s">
        <v>19283</v>
      </c>
      <c r="Y6698" s="127"/>
      <c r="Z6698" s="127"/>
      <c r="AA6698" s="127"/>
      <c r="AB6698" s="128"/>
      <c r="AC6698" s="15" t="s">
        <v>20</v>
      </c>
      <c r="AD6698" s="129" t="s">
        <v>19284</v>
      </c>
      <c r="AE6698" s="130"/>
      <c r="AF6698" s="130"/>
      <c r="AG6698" s="130"/>
      <c r="AH6698" s="130"/>
      <c r="AI6698" s="131"/>
      <c r="AJ6698" s="132"/>
      <c r="AK6698" s="127"/>
      <c r="AL6698" s="128"/>
      <c r="AM6698" s="21"/>
      <c r="AN6698" s="133">
        <v>46137</v>
      </c>
      <c r="AO6698" s="134"/>
      <c r="AP6698" s="135">
        <v>1298</v>
      </c>
      <c r="AQ6698" s="136"/>
      <c r="AR6698" s="118">
        <v>2360000</v>
      </c>
      <c r="AS6698" s="119"/>
      <c r="AT6698" s="118">
        <f t="shared" ref="AT6698" si="9321">AR6698*0.1</f>
        <v>236000</v>
      </c>
      <c r="AU6698" s="119"/>
      <c r="AV6698" s="118">
        <v>18890</v>
      </c>
      <c r="AW6698" s="119"/>
      <c r="AX6698" s="118">
        <f t="shared" ref="AX6698" si="9322">SUM(AR6698:AW6698)</f>
        <v>2614890</v>
      </c>
      <c r="AY6698" s="119"/>
      <c r="AZ6698" s="137">
        <v>46154</v>
      </c>
    </row>
    <row r="6699" spans="1:52" ht="17.100000000000001" customHeight="1" thickBot="1">
      <c r="A6699" s="110"/>
      <c r="B6699" s="27" t="s">
        <v>83</v>
      </c>
      <c r="C6699" s="27">
        <v>32019</v>
      </c>
      <c r="D6699" s="14" t="s">
        <v>904</v>
      </c>
      <c r="E6699" s="112"/>
      <c r="F6699" s="139" t="s">
        <v>19428</v>
      </c>
      <c r="G6699" s="140"/>
      <c r="H6699" s="141"/>
      <c r="I6699" s="26">
        <v>34495</v>
      </c>
      <c r="J6699" s="117"/>
      <c r="K6699" s="120"/>
      <c r="L6699" s="121"/>
      <c r="M6699" s="120"/>
      <c r="N6699" s="121"/>
      <c r="O6699" s="120"/>
      <c r="P6699" s="121"/>
      <c r="Q6699" s="120"/>
      <c r="R6699" s="121"/>
      <c r="S6699" s="120"/>
      <c r="T6699" s="121"/>
      <c r="U6699" s="120"/>
      <c r="V6699" s="123"/>
      <c r="W6699" s="125"/>
      <c r="X6699" s="142" t="s">
        <v>19429</v>
      </c>
      <c r="Y6699" s="143"/>
      <c r="Z6699" s="143"/>
      <c r="AA6699" s="143"/>
      <c r="AB6699" s="144"/>
      <c r="AC6699" s="16" t="s">
        <v>21</v>
      </c>
      <c r="AD6699" s="17" t="s">
        <v>19391</v>
      </c>
      <c r="AE6699" s="145" t="s">
        <v>19424</v>
      </c>
      <c r="AF6699" s="146"/>
      <c r="AG6699" s="146"/>
      <c r="AH6699" s="146"/>
      <c r="AI6699" s="147"/>
      <c r="AJ6699" s="148"/>
      <c r="AK6699" s="143"/>
      <c r="AL6699" s="144"/>
      <c r="AM6699" s="22"/>
      <c r="AN6699" s="149" t="s">
        <v>24854</v>
      </c>
      <c r="AO6699" s="144"/>
      <c r="AP6699" s="148">
        <v>80254</v>
      </c>
      <c r="AQ6699" s="144"/>
      <c r="AR6699" s="120"/>
      <c r="AS6699" s="121"/>
      <c r="AT6699" s="120"/>
      <c r="AU6699" s="121"/>
      <c r="AV6699" s="120"/>
      <c r="AW6699" s="121"/>
      <c r="AX6699" s="120"/>
      <c r="AY6699" s="121"/>
      <c r="AZ6699" s="138"/>
    </row>
    <row r="6700" spans="1:52" ht="17.100000000000001" customHeight="1" thickTop="1">
      <c r="A6700" s="109" t="s">
        <v>19234</v>
      </c>
      <c r="B6700" s="28">
        <v>46084</v>
      </c>
      <c r="C6700" s="25">
        <v>1083</v>
      </c>
      <c r="D6700" s="13" t="s">
        <v>2122</v>
      </c>
      <c r="E6700" s="111"/>
      <c r="F6700" s="113" t="s">
        <v>19247</v>
      </c>
      <c r="G6700" s="114"/>
      <c r="H6700" s="115"/>
      <c r="I6700" s="24" t="s">
        <v>19250</v>
      </c>
      <c r="J6700" s="116">
        <v>5</v>
      </c>
      <c r="K6700" s="118">
        <v>3515000</v>
      </c>
      <c r="L6700" s="119"/>
      <c r="M6700" s="118">
        <f t="shared" ref="M6700" si="9323">K6700*0.1</f>
        <v>351500</v>
      </c>
      <c r="N6700" s="119"/>
      <c r="O6700" s="118">
        <v>30500</v>
      </c>
      <c r="P6700" s="119"/>
      <c r="Q6700" s="118">
        <v>17120</v>
      </c>
      <c r="R6700" s="119"/>
      <c r="S6700" s="118">
        <v>16500</v>
      </c>
      <c r="T6700" s="119"/>
      <c r="U6700" s="118">
        <f t="shared" ref="U6700" si="9324">SUM(K6700:T6701)</f>
        <v>3930620</v>
      </c>
      <c r="V6700" s="122"/>
      <c r="W6700" s="124"/>
      <c r="X6700" s="126" t="s">
        <v>19251</v>
      </c>
      <c r="Y6700" s="127"/>
      <c r="Z6700" s="127"/>
      <c r="AA6700" s="127"/>
      <c r="AB6700" s="128"/>
      <c r="AC6700" s="15" t="s">
        <v>20</v>
      </c>
      <c r="AD6700" s="129" t="s">
        <v>18208</v>
      </c>
      <c r="AE6700" s="130"/>
      <c r="AF6700" s="130"/>
      <c r="AG6700" s="130"/>
      <c r="AH6700" s="130"/>
      <c r="AI6700" s="131"/>
      <c r="AJ6700" s="132"/>
      <c r="AK6700" s="127"/>
      <c r="AL6700" s="128"/>
      <c r="AM6700" s="21"/>
      <c r="AN6700" s="133">
        <v>46099</v>
      </c>
      <c r="AO6700" s="134"/>
      <c r="AP6700" s="135">
        <v>1009</v>
      </c>
      <c r="AQ6700" s="136"/>
      <c r="AR6700" s="118">
        <v>3810000</v>
      </c>
      <c r="AS6700" s="119"/>
      <c r="AT6700" s="118">
        <f t="shared" ref="AT6700" si="9325">AR6700*0.1</f>
        <v>381000</v>
      </c>
      <c r="AU6700" s="119"/>
      <c r="AV6700" s="118">
        <v>17120</v>
      </c>
      <c r="AW6700" s="119"/>
      <c r="AX6700" s="118">
        <f t="shared" ref="AX6700" si="9326">SUM(AR6700:AW6700)</f>
        <v>4208120</v>
      </c>
      <c r="AY6700" s="119"/>
      <c r="AZ6700" s="137">
        <v>46105</v>
      </c>
    </row>
    <row r="6701" spans="1:52" ht="17.100000000000001" customHeight="1" thickBot="1">
      <c r="A6701" s="110"/>
      <c r="B6701" s="27" t="s">
        <v>1591</v>
      </c>
      <c r="C6701" s="27">
        <v>82055</v>
      </c>
      <c r="D6701" s="14" t="s">
        <v>1700</v>
      </c>
      <c r="E6701" s="112"/>
      <c r="F6701" s="139" t="s">
        <v>19249</v>
      </c>
      <c r="G6701" s="140"/>
      <c r="H6701" s="141"/>
      <c r="I6701" s="26">
        <v>10214</v>
      </c>
      <c r="J6701" s="117"/>
      <c r="K6701" s="120"/>
      <c r="L6701" s="121"/>
      <c r="M6701" s="120"/>
      <c r="N6701" s="121"/>
      <c r="O6701" s="120"/>
      <c r="P6701" s="121"/>
      <c r="Q6701" s="120"/>
      <c r="R6701" s="121"/>
      <c r="S6701" s="120"/>
      <c r="T6701" s="121"/>
      <c r="U6701" s="120"/>
      <c r="V6701" s="123"/>
      <c r="W6701" s="125"/>
      <c r="X6701" s="142" t="s">
        <v>1861</v>
      </c>
      <c r="Y6701" s="143"/>
      <c r="Z6701" s="143"/>
      <c r="AA6701" s="143"/>
      <c r="AB6701" s="144"/>
      <c r="AC6701" s="16" t="s">
        <v>21</v>
      </c>
      <c r="AD6701" s="17" t="s">
        <v>2689</v>
      </c>
      <c r="AE6701" s="145" t="s">
        <v>1614</v>
      </c>
      <c r="AF6701" s="146"/>
      <c r="AG6701" s="146"/>
      <c r="AH6701" s="146"/>
      <c r="AI6701" s="147"/>
      <c r="AJ6701" s="148"/>
      <c r="AK6701" s="143"/>
      <c r="AL6701" s="144"/>
      <c r="AM6701" s="22"/>
      <c r="AN6701" s="149" t="s">
        <v>2794</v>
      </c>
      <c r="AO6701" s="144"/>
      <c r="AP6701" s="148">
        <v>6102</v>
      </c>
      <c r="AQ6701" s="144"/>
      <c r="AR6701" s="120"/>
      <c r="AS6701" s="121"/>
      <c r="AT6701" s="120"/>
      <c r="AU6701" s="121"/>
      <c r="AV6701" s="120"/>
      <c r="AW6701" s="121"/>
      <c r="AX6701" s="120"/>
      <c r="AY6701" s="121"/>
      <c r="AZ6701" s="138"/>
    </row>
    <row r="6702" spans="1:52" ht="17.100000000000001" customHeight="1" thickTop="1">
      <c r="A6702" s="151" t="s">
        <v>19235</v>
      </c>
      <c r="B6702" s="28">
        <v>46084</v>
      </c>
      <c r="C6702" s="25">
        <v>1083</v>
      </c>
      <c r="D6702" s="13" t="s">
        <v>4121</v>
      </c>
      <c r="E6702" s="111"/>
      <c r="F6702" s="113" t="s">
        <v>19248</v>
      </c>
      <c r="G6702" s="114"/>
      <c r="H6702" s="115"/>
      <c r="I6702" s="24" t="s">
        <v>19253</v>
      </c>
      <c r="J6702" s="116">
        <v>4.5</v>
      </c>
      <c r="K6702" s="118">
        <v>3115000</v>
      </c>
      <c r="L6702" s="119"/>
      <c r="M6702" s="118">
        <f t="shared" ref="M6702" si="9327">K6702*0.1</f>
        <v>311500</v>
      </c>
      <c r="N6702" s="119"/>
      <c r="O6702" s="118">
        <v>66500</v>
      </c>
      <c r="P6702" s="119"/>
      <c r="Q6702" s="118">
        <v>17640</v>
      </c>
      <c r="R6702" s="119"/>
      <c r="S6702" s="118">
        <v>16500</v>
      </c>
      <c r="T6702" s="119"/>
      <c r="U6702" s="118">
        <f t="shared" ref="U6702" si="9328">SUM(K6702:T6703)</f>
        <v>3527140</v>
      </c>
      <c r="V6702" s="122"/>
      <c r="W6702" s="124"/>
      <c r="X6702" s="126" t="s">
        <v>19254</v>
      </c>
      <c r="Y6702" s="127"/>
      <c r="Z6702" s="127"/>
      <c r="AA6702" s="127"/>
      <c r="AB6702" s="128"/>
      <c r="AC6702" s="15" t="s">
        <v>20</v>
      </c>
      <c r="AD6702" s="129" t="s">
        <v>15223</v>
      </c>
      <c r="AE6702" s="130"/>
      <c r="AF6702" s="130"/>
      <c r="AG6702" s="130"/>
      <c r="AH6702" s="130"/>
      <c r="AI6702" s="131"/>
      <c r="AJ6702" s="132" t="s">
        <v>19974</v>
      </c>
      <c r="AK6702" s="127"/>
      <c r="AL6702" s="128"/>
      <c r="AM6702" s="21"/>
      <c r="AN6702" s="133"/>
      <c r="AO6702" s="134"/>
      <c r="AP6702" s="135"/>
      <c r="AQ6702" s="136"/>
      <c r="AR6702" s="118"/>
      <c r="AS6702" s="119"/>
      <c r="AT6702" s="118">
        <f t="shared" ref="AT6702" si="9329">AR6702*0.1</f>
        <v>0</v>
      </c>
      <c r="AU6702" s="119"/>
      <c r="AV6702" s="118"/>
      <c r="AW6702" s="119"/>
      <c r="AX6702" s="118">
        <f t="shared" ref="AX6702" si="9330">SUM(AR6702:AW6702)</f>
        <v>0</v>
      </c>
      <c r="AY6702" s="119"/>
      <c r="AZ6702" s="137"/>
    </row>
    <row r="6703" spans="1:52" ht="17.100000000000001" customHeight="1" thickBot="1">
      <c r="A6703" s="152"/>
      <c r="B6703" s="27" t="s">
        <v>1591</v>
      </c>
      <c r="C6703" s="27">
        <v>82091</v>
      </c>
      <c r="D6703" s="14" t="s">
        <v>1700</v>
      </c>
      <c r="E6703" s="112"/>
      <c r="F6703" s="139" t="s">
        <v>19252</v>
      </c>
      <c r="G6703" s="140"/>
      <c r="H6703" s="141"/>
      <c r="I6703" s="26">
        <v>33886</v>
      </c>
      <c r="J6703" s="117"/>
      <c r="K6703" s="120"/>
      <c r="L6703" s="121"/>
      <c r="M6703" s="120"/>
      <c r="N6703" s="121"/>
      <c r="O6703" s="120"/>
      <c r="P6703" s="121"/>
      <c r="Q6703" s="120"/>
      <c r="R6703" s="121"/>
      <c r="S6703" s="120"/>
      <c r="T6703" s="121"/>
      <c r="U6703" s="120"/>
      <c r="V6703" s="123"/>
      <c r="W6703" s="125"/>
      <c r="X6703" s="142" t="s">
        <v>1997</v>
      </c>
      <c r="Y6703" s="143"/>
      <c r="Z6703" s="143"/>
      <c r="AA6703" s="143"/>
      <c r="AB6703" s="144"/>
      <c r="AC6703" s="16" t="s">
        <v>21</v>
      </c>
      <c r="AD6703" s="17" t="s">
        <v>2681</v>
      </c>
      <c r="AE6703" s="145" t="s">
        <v>19780</v>
      </c>
      <c r="AF6703" s="146"/>
      <c r="AG6703" s="146"/>
      <c r="AH6703" s="146"/>
      <c r="AI6703" s="147"/>
      <c r="AJ6703" s="148"/>
      <c r="AK6703" s="143"/>
      <c r="AL6703" s="144"/>
      <c r="AM6703" s="22"/>
      <c r="AN6703" s="149"/>
      <c r="AO6703" s="144"/>
      <c r="AP6703" s="148"/>
      <c r="AQ6703" s="144"/>
      <c r="AR6703" s="120"/>
      <c r="AS6703" s="121"/>
      <c r="AT6703" s="120"/>
      <c r="AU6703" s="121"/>
      <c r="AV6703" s="120"/>
      <c r="AW6703" s="121"/>
      <c r="AX6703" s="120"/>
      <c r="AY6703" s="121"/>
      <c r="AZ6703" s="138"/>
    </row>
    <row r="6704" spans="1:52" ht="17.100000000000001" customHeight="1" thickTop="1">
      <c r="A6704" s="109" t="s">
        <v>19236</v>
      </c>
      <c r="B6704" s="28">
        <v>46084</v>
      </c>
      <c r="C6704" s="25">
        <v>980</v>
      </c>
      <c r="D6704" s="13" t="s">
        <v>1853</v>
      </c>
      <c r="E6704" s="111"/>
      <c r="F6704" s="113" t="s">
        <v>15593</v>
      </c>
      <c r="G6704" s="114"/>
      <c r="H6704" s="115"/>
      <c r="I6704" s="24"/>
      <c r="J6704" s="116">
        <v>4</v>
      </c>
      <c r="K6704" s="118">
        <v>1146000</v>
      </c>
      <c r="L6704" s="119"/>
      <c r="M6704" s="118">
        <f t="shared" ref="M6704" si="9331">K6704*0.1</f>
        <v>114600</v>
      </c>
      <c r="N6704" s="119"/>
      <c r="O6704" s="118">
        <v>0</v>
      </c>
      <c r="P6704" s="119"/>
      <c r="Q6704" s="118">
        <v>9810</v>
      </c>
      <c r="R6704" s="119"/>
      <c r="S6704" s="118">
        <v>22000</v>
      </c>
      <c r="T6704" s="119"/>
      <c r="U6704" s="118">
        <f t="shared" ref="U6704" si="9332">SUM(K6704:T6705)</f>
        <v>1292410</v>
      </c>
      <c r="V6704" s="122"/>
      <c r="W6704" s="124"/>
      <c r="X6704" s="126" t="s">
        <v>20059</v>
      </c>
      <c r="Y6704" s="127"/>
      <c r="Z6704" s="127"/>
      <c r="AA6704" s="127"/>
      <c r="AB6704" s="128"/>
      <c r="AC6704" s="15" t="s">
        <v>20</v>
      </c>
      <c r="AD6704" s="129" t="s">
        <v>2054</v>
      </c>
      <c r="AE6704" s="130"/>
      <c r="AF6704" s="130"/>
      <c r="AG6704" s="130"/>
      <c r="AH6704" s="130"/>
      <c r="AI6704" s="131"/>
      <c r="AJ6704" s="132"/>
      <c r="AK6704" s="127"/>
      <c r="AL6704" s="128"/>
      <c r="AM6704" s="21"/>
      <c r="AN6704" s="133">
        <v>46095</v>
      </c>
      <c r="AO6704" s="134"/>
      <c r="AP6704" s="135">
        <v>1292</v>
      </c>
      <c r="AQ6704" s="136"/>
      <c r="AR6704" s="118">
        <v>1250000</v>
      </c>
      <c r="AS6704" s="119"/>
      <c r="AT6704" s="118">
        <f t="shared" ref="AT6704" si="9333">AR6704*0.1</f>
        <v>125000</v>
      </c>
      <c r="AU6704" s="119"/>
      <c r="AV6704" s="118">
        <v>9810</v>
      </c>
      <c r="AW6704" s="119"/>
      <c r="AX6704" s="118">
        <f t="shared" ref="AX6704" si="9334">SUM(AR6704:AW6704)</f>
        <v>1384810</v>
      </c>
      <c r="AY6704" s="119"/>
      <c r="AZ6704" s="137">
        <v>46098</v>
      </c>
    </row>
    <row r="6705" spans="1:52" ht="17.100000000000001" customHeight="1" thickBot="1">
      <c r="A6705" s="110"/>
      <c r="B6705" s="27" t="s">
        <v>18196</v>
      </c>
      <c r="C6705" s="27">
        <v>20</v>
      </c>
      <c r="D6705" s="14" t="s">
        <v>1592</v>
      </c>
      <c r="E6705" s="112"/>
      <c r="F6705" s="139" t="s">
        <v>19255</v>
      </c>
      <c r="G6705" s="140"/>
      <c r="H6705" s="141"/>
      <c r="I6705" s="26">
        <v>51743</v>
      </c>
      <c r="J6705" s="117"/>
      <c r="K6705" s="120"/>
      <c r="L6705" s="121"/>
      <c r="M6705" s="120"/>
      <c r="N6705" s="121"/>
      <c r="O6705" s="120"/>
      <c r="P6705" s="121"/>
      <c r="Q6705" s="120"/>
      <c r="R6705" s="121"/>
      <c r="S6705" s="120"/>
      <c r="T6705" s="121"/>
      <c r="U6705" s="120"/>
      <c r="V6705" s="123"/>
      <c r="W6705" s="125"/>
      <c r="X6705" s="142" t="s">
        <v>2482</v>
      </c>
      <c r="Y6705" s="143"/>
      <c r="Z6705" s="143"/>
      <c r="AA6705" s="143"/>
      <c r="AB6705" s="144"/>
      <c r="AC6705" s="16" t="s">
        <v>21</v>
      </c>
      <c r="AD6705" s="17" t="s">
        <v>20053</v>
      </c>
      <c r="AE6705" s="145" t="s">
        <v>8524</v>
      </c>
      <c r="AF6705" s="146"/>
      <c r="AG6705" s="146"/>
      <c r="AH6705" s="146"/>
      <c r="AI6705" s="147"/>
      <c r="AJ6705" s="148"/>
      <c r="AK6705" s="143"/>
      <c r="AL6705" s="144"/>
      <c r="AM6705" s="22"/>
      <c r="AN6705" s="149" t="s">
        <v>2511</v>
      </c>
      <c r="AO6705" s="144"/>
      <c r="AP6705" s="148">
        <v>30218</v>
      </c>
      <c r="AQ6705" s="144"/>
      <c r="AR6705" s="120"/>
      <c r="AS6705" s="121"/>
      <c r="AT6705" s="120"/>
      <c r="AU6705" s="121"/>
      <c r="AV6705" s="120"/>
      <c r="AW6705" s="121"/>
      <c r="AX6705" s="120"/>
      <c r="AY6705" s="121"/>
      <c r="AZ6705" s="138"/>
    </row>
    <row r="6706" spans="1:52" ht="17.100000000000001" customHeight="1" thickTop="1">
      <c r="A6706" s="109" t="s">
        <v>19237</v>
      </c>
      <c r="B6706" s="28">
        <v>46084</v>
      </c>
      <c r="C6706" s="25">
        <v>980</v>
      </c>
      <c r="D6706" s="13" t="s">
        <v>2355</v>
      </c>
      <c r="E6706" s="111"/>
      <c r="F6706" s="113" t="s">
        <v>15949</v>
      </c>
      <c r="G6706" s="114"/>
      <c r="H6706" s="115"/>
      <c r="I6706" s="24"/>
      <c r="J6706" s="116">
        <v>4</v>
      </c>
      <c r="K6706" s="118">
        <v>736000</v>
      </c>
      <c r="L6706" s="119"/>
      <c r="M6706" s="118">
        <f t="shared" ref="M6706" si="9335">K6706*0.1</f>
        <v>73600</v>
      </c>
      <c r="N6706" s="119"/>
      <c r="O6706" s="118">
        <v>0</v>
      </c>
      <c r="P6706" s="119"/>
      <c r="Q6706" s="118">
        <v>6550</v>
      </c>
      <c r="R6706" s="119"/>
      <c r="S6706" s="118">
        <v>22000</v>
      </c>
      <c r="T6706" s="119"/>
      <c r="U6706" s="118">
        <f t="shared" ref="U6706" si="9336">SUM(K6706:T6707)</f>
        <v>838150</v>
      </c>
      <c r="V6706" s="122"/>
      <c r="W6706" s="124"/>
      <c r="X6706" s="126" t="s">
        <v>20058</v>
      </c>
      <c r="Y6706" s="127"/>
      <c r="Z6706" s="127"/>
      <c r="AA6706" s="127"/>
      <c r="AB6706" s="128"/>
      <c r="AC6706" s="15" t="s">
        <v>20</v>
      </c>
      <c r="AD6706" s="129" t="s">
        <v>14984</v>
      </c>
      <c r="AE6706" s="130"/>
      <c r="AF6706" s="130"/>
      <c r="AG6706" s="130"/>
      <c r="AH6706" s="130"/>
      <c r="AI6706" s="131"/>
      <c r="AJ6706" s="132"/>
      <c r="AK6706" s="127"/>
      <c r="AL6706" s="128"/>
      <c r="AM6706" s="21"/>
      <c r="AN6706" s="133">
        <v>46106</v>
      </c>
      <c r="AO6706" s="134"/>
      <c r="AP6706" s="135">
        <v>1010</v>
      </c>
      <c r="AQ6706" s="136"/>
      <c r="AR6706" s="118">
        <v>775000</v>
      </c>
      <c r="AS6706" s="119"/>
      <c r="AT6706" s="118">
        <f t="shared" ref="AT6706" si="9337">AR6706*0.1</f>
        <v>77500</v>
      </c>
      <c r="AU6706" s="119"/>
      <c r="AV6706" s="118">
        <v>6550</v>
      </c>
      <c r="AW6706" s="119"/>
      <c r="AX6706" s="118">
        <f t="shared" ref="AX6706" si="9338">SUM(AR6706:AW6706)</f>
        <v>859050</v>
      </c>
      <c r="AY6706" s="119"/>
      <c r="AZ6706" s="137">
        <v>46111</v>
      </c>
    </row>
    <row r="6707" spans="1:52" ht="17.100000000000001" customHeight="1" thickBot="1">
      <c r="A6707" s="110"/>
      <c r="B6707" s="27" t="s">
        <v>18196</v>
      </c>
      <c r="C6707" s="27">
        <v>1006</v>
      </c>
      <c r="D6707" s="14" t="s">
        <v>3793</v>
      </c>
      <c r="E6707" s="112"/>
      <c r="F6707" s="139" t="s">
        <v>19256</v>
      </c>
      <c r="G6707" s="140"/>
      <c r="H6707" s="141"/>
      <c r="I6707" s="26">
        <v>34310</v>
      </c>
      <c r="J6707" s="117"/>
      <c r="K6707" s="120"/>
      <c r="L6707" s="121"/>
      <c r="M6707" s="120"/>
      <c r="N6707" s="121"/>
      <c r="O6707" s="120"/>
      <c r="P6707" s="121"/>
      <c r="Q6707" s="120"/>
      <c r="R6707" s="121"/>
      <c r="S6707" s="120"/>
      <c r="T6707" s="121"/>
      <c r="U6707" s="120"/>
      <c r="V6707" s="123"/>
      <c r="W6707" s="125"/>
      <c r="X6707" s="142" t="s">
        <v>2482</v>
      </c>
      <c r="Y6707" s="143"/>
      <c r="Z6707" s="143"/>
      <c r="AA6707" s="143"/>
      <c r="AB6707" s="144"/>
      <c r="AC6707" s="16" t="s">
        <v>21</v>
      </c>
      <c r="AD6707" s="17" t="s">
        <v>20053</v>
      </c>
      <c r="AE6707" s="145" t="s">
        <v>21295</v>
      </c>
      <c r="AF6707" s="146"/>
      <c r="AG6707" s="146"/>
      <c r="AH6707" s="146"/>
      <c r="AI6707" s="147"/>
      <c r="AJ6707" s="148"/>
      <c r="AK6707" s="143"/>
      <c r="AL6707" s="144"/>
      <c r="AM6707" s="22"/>
      <c r="AN6707" s="149" t="s">
        <v>2794</v>
      </c>
      <c r="AO6707" s="144"/>
      <c r="AP6707" s="148">
        <v>5021</v>
      </c>
      <c r="AQ6707" s="144"/>
      <c r="AR6707" s="120"/>
      <c r="AS6707" s="121"/>
      <c r="AT6707" s="120"/>
      <c r="AU6707" s="121"/>
      <c r="AV6707" s="120"/>
      <c r="AW6707" s="121"/>
      <c r="AX6707" s="120"/>
      <c r="AY6707" s="121"/>
      <c r="AZ6707" s="138"/>
    </row>
    <row r="6708" spans="1:52" ht="17.100000000000001" customHeight="1" thickTop="1">
      <c r="A6708" s="109" t="s">
        <v>19238</v>
      </c>
      <c r="B6708" s="28">
        <v>46084</v>
      </c>
      <c r="C6708" s="25">
        <v>1931</v>
      </c>
      <c r="D6708" s="13" t="s">
        <v>1688</v>
      </c>
      <c r="E6708" s="111"/>
      <c r="F6708" s="113" t="s">
        <v>15533</v>
      </c>
      <c r="G6708" s="114"/>
      <c r="H6708" s="115"/>
      <c r="I6708" s="24"/>
      <c r="J6708" s="116">
        <v>3.5</v>
      </c>
      <c r="K6708" s="118">
        <v>490000</v>
      </c>
      <c r="L6708" s="119"/>
      <c r="M6708" s="118">
        <f t="shared" ref="M6708" si="9339">K6708*0.1</f>
        <v>49000</v>
      </c>
      <c r="N6708" s="119"/>
      <c r="O6708" s="118">
        <v>0</v>
      </c>
      <c r="P6708" s="119"/>
      <c r="Q6708" s="118">
        <v>6550</v>
      </c>
      <c r="R6708" s="119"/>
      <c r="S6708" s="118">
        <v>15950</v>
      </c>
      <c r="T6708" s="119"/>
      <c r="U6708" s="118">
        <f t="shared" ref="U6708" si="9340">SUM(K6708:T6709)</f>
        <v>561500</v>
      </c>
      <c r="V6708" s="122"/>
      <c r="W6708" s="124"/>
      <c r="X6708" s="126" t="s">
        <v>19797</v>
      </c>
      <c r="Y6708" s="127"/>
      <c r="Z6708" s="127"/>
      <c r="AA6708" s="127"/>
      <c r="AB6708" s="128"/>
      <c r="AC6708" s="15" t="s">
        <v>20</v>
      </c>
      <c r="AD6708" s="129" t="s">
        <v>1670</v>
      </c>
      <c r="AE6708" s="130"/>
      <c r="AF6708" s="130"/>
      <c r="AG6708" s="130"/>
      <c r="AH6708" s="130"/>
      <c r="AI6708" s="131"/>
      <c r="AJ6708" s="132"/>
      <c r="AK6708" s="127"/>
      <c r="AL6708" s="128"/>
      <c r="AM6708" s="21"/>
      <c r="AN6708" s="133">
        <v>46088</v>
      </c>
      <c r="AO6708" s="134"/>
      <c r="AP6708" s="135">
        <v>1291</v>
      </c>
      <c r="AQ6708" s="136"/>
      <c r="AR6708" s="118">
        <v>600000</v>
      </c>
      <c r="AS6708" s="119"/>
      <c r="AT6708" s="118">
        <f t="shared" ref="AT6708" si="9341">AR6708*0.1</f>
        <v>60000</v>
      </c>
      <c r="AU6708" s="119"/>
      <c r="AV6708" s="118">
        <v>6550</v>
      </c>
      <c r="AW6708" s="119"/>
      <c r="AX6708" s="118">
        <f t="shared" ref="AX6708" si="9342">SUM(AR6708:AW6708)</f>
        <v>666550</v>
      </c>
      <c r="AY6708" s="119"/>
      <c r="AZ6708" s="137">
        <v>46093</v>
      </c>
    </row>
    <row r="6709" spans="1:52" ht="17.100000000000001" customHeight="1" thickBot="1">
      <c r="A6709" s="110"/>
      <c r="B6709" s="27" t="s">
        <v>2131</v>
      </c>
      <c r="C6709" s="27">
        <v>3027</v>
      </c>
      <c r="D6709" s="14" t="s">
        <v>1720</v>
      </c>
      <c r="E6709" s="112"/>
      <c r="F6709" s="139" t="s">
        <v>19257</v>
      </c>
      <c r="G6709" s="140"/>
      <c r="H6709" s="141"/>
      <c r="I6709" s="26">
        <v>47554</v>
      </c>
      <c r="J6709" s="117"/>
      <c r="K6709" s="120"/>
      <c r="L6709" s="121"/>
      <c r="M6709" s="120"/>
      <c r="N6709" s="121"/>
      <c r="O6709" s="120"/>
      <c r="P6709" s="121"/>
      <c r="Q6709" s="120"/>
      <c r="R6709" s="121"/>
      <c r="S6709" s="120"/>
      <c r="T6709" s="121"/>
      <c r="U6709" s="120"/>
      <c r="V6709" s="123"/>
      <c r="W6709" s="125"/>
      <c r="X6709" s="142" t="s">
        <v>7450</v>
      </c>
      <c r="Y6709" s="143"/>
      <c r="Z6709" s="143"/>
      <c r="AA6709" s="143"/>
      <c r="AB6709" s="144"/>
      <c r="AC6709" s="16" t="s">
        <v>21</v>
      </c>
      <c r="AD6709" s="17" t="s">
        <v>1631</v>
      </c>
      <c r="AE6709" s="145" t="s">
        <v>11427</v>
      </c>
      <c r="AF6709" s="146"/>
      <c r="AG6709" s="146"/>
      <c r="AH6709" s="146"/>
      <c r="AI6709" s="147"/>
      <c r="AJ6709" s="148"/>
      <c r="AK6709" s="143"/>
      <c r="AL6709" s="144"/>
      <c r="AM6709" s="22"/>
      <c r="AN6709" s="149" t="s">
        <v>6748</v>
      </c>
      <c r="AO6709" s="144"/>
      <c r="AP6709" s="148">
        <v>60456</v>
      </c>
      <c r="AQ6709" s="144"/>
      <c r="AR6709" s="120"/>
      <c r="AS6709" s="121"/>
      <c r="AT6709" s="120"/>
      <c r="AU6709" s="121"/>
      <c r="AV6709" s="120"/>
      <c r="AW6709" s="121"/>
      <c r="AX6709" s="120"/>
      <c r="AY6709" s="121"/>
      <c r="AZ6709" s="138"/>
    </row>
    <row r="6710" spans="1:52" ht="17.100000000000001" customHeight="1" thickTop="1">
      <c r="A6710" s="109" t="s">
        <v>19239</v>
      </c>
      <c r="B6710" s="28">
        <v>46084</v>
      </c>
      <c r="C6710" s="25">
        <v>1931</v>
      </c>
      <c r="D6710" s="13" t="s">
        <v>2914</v>
      </c>
      <c r="E6710" s="111"/>
      <c r="F6710" s="113" t="s">
        <v>19880</v>
      </c>
      <c r="G6710" s="114"/>
      <c r="H6710" s="115"/>
      <c r="I6710" s="24"/>
      <c r="J6710" s="116">
        <v>4</v>
      </c>
      <c r="K6710" s="118">
        <v>922000</v>
      </c>
      <c r="L6710" s="119"/>
      <c r="M6710" s="118">
        <f t="shared" ref="M6710" si="9343">K6710*0.1</f>
        <v>92200</v>
      </c>
      <c r="N6710" s="119"/>
      <c r="O6710" s="118">
        <v>0</v>
      </c>
      <c r="P6710" s="119"/>
      <c r="Q6710" s="118">
        <v>8790</v>
      </c>
      <c r="R6710" s="119"/>
      <c r="S6710" s="118">
        <v>15950</v>
      </c>
      <c r="T6710" s="119"/>
      <c r="U6710" s="118">
        <f t="shared" ref="U6710" si="9344">SUM(K6710:T6711)</f>
        <v>1038940</v>
      </c>
      <c r="V6710" s="122"/>
      <c r="W6710" s="124"/>
      <c r="X6710" s="126" t="s">
        <v>19825</v>
      </c>
      <c r="Y6710" s="127"/>
      <c r="Z6710" s="127"/>
      <c r="AA6710" s="127"/>
      <c r="AB6710" s="128"/>
      <c r="AC6710" s="15" t="s">
        <v>20</v>
      </c>
      <c r="AD6710" s="129" t="s">
        <v>1670</v>
      </c>
      <c r="AE6710" s="130"/>
      <c r="AF6710" s="130"/>
      <c r="AG6710" s="130"/>
      <c r="AH6710" s="130"/>
      <c r="AI6710" s="131"/>
      <c r="AJ6710" s="132"/>
      <c r="AK6710" s="127"/>
      <c r="AL6710" s="128"/>
      <c r="AM6710" s="21"/>
      <c r="AN6710" s="133">
        <v>46120</v>
      </c>
      <c r="AO6710" s="134"/>
      <c r="AP6710" s="135">
        <v>1012</v>
      </c>
      <c r="AQ6710" s="136"/>
      <c r="AR6710" s="118">
        <v>1000000</v>
      </c>
      <c r="AS6710" s="119"/>
      <c r="AT6710" s="118">
        <f t="shared" ref="AT6710" si="9345">AR6710*0.1</f>
        <v>100000</v>
      </c>
      <c r="AU6710" s="119"/>
      <c r="AV6710" s="118">
        <v>8790</v>
      </c>
      <c r="AW6710" s="119"/>
      <c r="AX6710" s="118">
        <f t="shared" ref="AX6710" si="9346">SUM(AR6710:AW6710)</f>
        <v>1108790</v>
      </c>
      <c r="AY6710" s="119"/>
      <c r="AZ6710" s="137">
        <v>46125</v>
      </c>
    </row>
    <row r="6711" spans="1:52" ht="17.100000000000001" customHeight="1" thickBot="1">
      <c r="A6711" s="110"/>
      <c r="B6711" s="27" t="s">
        <v>2131</v>
      </c>
      <c r="C6711" s="27">
        <v>3224</v>
      </c>
      <c r="D6711" s="14" t="s">
        <v>2601</v>
      </c>
      <c r="E6711" s="112"/>
      <c r="F6711" s="139" t="s">
        <v>19258</v>
      </c>
      <c r="G6711" s="140"/>
      <c r="H6711" s="141"/>
      <c r="I6711" s="26">
        <v>45078</v>
      </c>
      <c r="J6711" s="117"/>
      <c r="K6711" s="120"/>
      <c r="L6711" s="121"/>
      <c r="M6711" s="120"/>
      <c r="N6711" s="121"/>
      <c r="O6711" s="120"/>
      <c r="P6711" s="121"/>
      <c r="Q6711" s="120"/>
      <c r="R6711" s="121"/>
      <c r="S6711" s="120"/>
      <c r="T6711" s="121"/>
      <c r="U6711" s="120"/>
      <c r="V6711" s="123"/>
      <c r="W6711" s="125"/>
      <c r="X6711" s="142" t="s">
        <v>11156</v>
      </c>
      <c r="Y6711" s="143"/>
      <c r="Z6711" s="143"/>
      <c r="AA6711" s="143"/>
      <c r="AB6711" s="144"/>
      <c r="AC6711" s="16" t="s">
        <v>21</v>
      </c>
      <c r="AD6711" s="17" t="s">
        <v>1631</v>
      </c>
      <c r="AE6711" s="145" t="s">
        <v>1670</v>
      </c>
      <c r="AF6711" s="146"/>
      <c r="AG6711" s="146"/>
      <c r="AH6711" s="146"/>
      <c r="AI6711" s="147"/>
      <c r="AJ6711" s="148"/>
      <c r="AK6711" s="143"/>
      <c r="AL6711" s="144"/>
      <c r="AM6711" s="22"/>
      <c r="AN6711" s="149" t="s">
        <v>7285</v>
      </c>
      <c r="AO6711" s="144"/>
      <c r="AP6711" s="148">
        <v>2051</v>
      </c>
      <c r="AQ6711" s="144"/>
      <c r="AR6711" s="120"/>
      <c r="AS6711" s="121"/>
      <c r="AT6711" s="120"/>
      <c r="AU6711" s="121"/>
      <c r="AV6711" s="120"/>
      <c r="AW6711" s="121"/>
      <c r="AX6711" s="120"/>
      <c r="AY6711" s="121"/>
      <c r="AZ6711" s="138"/>
    </row>
    <row r="6712" spans="1:52" ht="17.100000000000001" customHeight="1" thickTop="1">
      <c r="A6712" s="109" t="s">
        <v>19240</v>
      </c>
      <c r="B6712" s="28">
        <v>46084</v>
      </c>
      <c r="C6712" s="25">
        <v>1931</v>
      </c>
      <c r="D6712" s="13" t="s">
        <v>4609</v>
      </c>
      <c r="E6712" s="111"/>
      <c r="F6712" s="113" t="s">
        <v>16633</v>
      </c>
      <c r="G6712" s="114"/>
      <c r="H6712" s="115"/>
      <c r="I6712" s="24"/>
      <c r="J6712" s="116">
        <v>4</v>
      </c>
      <c r="K6712" s="118">
        <v>217000</v>
      </c>
      <c r="L6712" s="119"/>
      <c r="M6712" s="118">
        <f t="shared" ref="M6712" si="9347">K6712*0.1</f>
        <v>21700</v>
      </c>
      <c r="N6712" s="119"/>
      <c r="O6712" s="118">
        <v>0</v>
      </c>
      <c r="P6712" s="119"/>
      <c r="Q6712" s="118">
        <v>9200</v>
      </c>
      <c r="R6712" s="119"/>
      <c r="S6712" s="118">
        <v>15950</v>
      </c>
      <c r="T6712" s="119"/>
      <c r="U6712" s="118">
        <f t="shared" ref="U6712" si="9348">SUM(K6712:T6713)</f>
        <v>263850</v>
      </c>
      <c r="V6712" s="122"/>
      <c r="W6712" s="124"/>
      <c r="X6712" s="126" t="s">
        <v>19823</v>
      </c>
      <c r="Y6712" s="127"/>
      <c r="Z6712" s="127"/>
      <c r="AA6712" s="127"/>
      <c r="AB6712" s="128"/>
      <c r="AC6712" s="15" t="s">
        <v>20</v>
      </c>
      <c r="AD6712" s="129"/>
      <c r="AE6712" s="130"/>
      <c r="AF6712" s="130"/>
      <c r="AG6712" s="130"/>
      <c r="AH6712" s="130"/>
      <c r="AI6712" s="131"/>
      <c r="AJ6712" s="132"/>
      <c r="AK6712" s="127"/>
      <c r="AL6712" s="128"/>
      <c r="AM6712" s="21"/>
      <c r="AN6712" s="133">
        <v>46134</v>
      </c>
      <c r="AO6712" s="134"/>
      <c r="AP6712" s="135">
        <v>1014</v>
      </c>
      <c r="AQ6712" s="136"/>
      <c r="AR6712" s="118">
        <v>250000</v>
      </c>
      <c r="AS6712" s="119"/>
      <c r="AT6712" s="118">
        <f t="shared" ref="AT6712" si="9349">AR6712*0.1</f>
        <v>25000</v>
      </c>
      <c r="AU6712" s="119"/>
      <c r="AV6712" s="118">
        <v>9200</v>
      </c>
      <c r="AW6712" s="119"/>
      <c r="AX6712" s="118">
        <f t="shared" ref="AX6712" si="9350">SUM(AR6712:AW6712)</f>
        <v>284200</v>
      </c>
      <c r="AY6712" s="119"/>
      <c r="AZ6712" s="137">
        <v>46139</v>
      </c>
    </row>
    <row r="6713" spans="1:52" ht="17.100000000000001" customHeight="1" thickBot="1">
      <c r="A6713" s="110"/>
      <c r="B6713" s="27" t="s">
        <v>2131</v>
      </c>
      <c r="C6713" s="27">
        <v>3247</v>
      </c>
      <c r="D6713" s="14" t="s">
        <v>1592</v>
      </c>
      <c r="E6713" s="112"/>
      <c r="F6713" s="139" t="s">
        <v>19259</v>
      </c>
      <c r="G6713" s="140"/>
      <c r="H6713" s="141"/>
      <c r="I6713" s="26">
        <v>57008</v>
      </c>
      <c r="J6713" s="117"/>
      <c r="K6713" s="120"/>
      <c r="L6713" s="121"/>
      <c r="M6713" s="120"/>
      <c r="N6713" s="121"/>
      <c r="O6713" s="120"/>
      <c r="P6713" s="121"/>
      <c r="Q6713" s="120"/>
      <c r="R6713" s="121"/>
      <c r="S6713" s="120"/>
      <c r="T6713" s="121"/>
      <c r="U6713" s="120"/>
      <c r="V6713" s="123"/>
      <c r="W6713" s="125"/>
      <c r="X6713" s="142" t="s">
        <v>19824</v>
      </c>
      <c r="Y6713" s="143"/>
      <c r="Z6713" s="143"/>
      <c r="AA6713" s="143"/>
      <c r="AB6713" s="144"/>
      <c r="AC6713" s="16" t="s">
        <v>21</v>
      </c>
      <c r="AD6713" s="17" t="s">
        <v>1631</v>
      </c>
      <c r="AE6713" s="145"/>
      <c r="AF6713" s="146"/>
      <c r="AG6713" s="146"/>
      <c r="AH6713" s="146"/>
      <c r="AI6713" s="147"/>
      <c r="AJ6713" s="148"/>
      <c r="AK6713" s="143"/>
      <c r="AL6713" s="144"/>
      <c r="AM6713" s="22"/>
      <c r="AN6713" s="149" t="s">
        <v>8809</v>
      </c>
      <c r="AO6713" s="144"/>
      <c r="AP6713" s="148">
        <v>2065</v>
      </c>
      <c r="AQ6713" s="144"/>
      <c r="AR6713" s="120"/>
      <c r="AS6713" s="121"/>
      <c r="AT6713" s="120"/>
      <c r="AU6713" s="121"/>
      <c r="AV6713" s="120"/>
      <c r="AW6713" s="121"/>
      <c r="AX6713" s="120"/>
      <c r="AY6713" s="121"/>
      <c r="AZ6713" s="138"/>
    </row>
    <row r="6714" spans="1:52" ht="17.100000000000001" customHeight="1" thickTop="1">
      <c r="A6714" s="109" t="s">
        <v>19241</v>
      </c>
      <c r="B6714" s="28">
        <v>46084</v>
      </c>
      <c r="C6714" s="25">
        <v>1931</v>
      </c>
      <c r="D6714" s="13" t="s">
        <v>5089</v>
      </c>
      <c r="E6714" s="111"/>
      <c r="F6714" s="113" t="s">
        <v>19260</v>
      </c>
      <c r="G6714" s="114"/>
      <c r="H6714" s="115"/>
      <c r="I6714" s="24"/>
      <c r="J6714" s="116">
        <v>4</v>
      </c>
      <c r="K6714" s="118">
        <v>196000</v>
      </c>
      <c r="L6714" s="119"/>
      <c r="M6714" s="118">
        <f t="shared" ref="M6714" si="9351">K6714*0.1</f>
        <v>19600</v>
      </c>
      <c r="N6714" s="119"/>
      <c r="O6714" s="118">
        <v>0</v>
      </c>
      <c r="P6714" s="119"/>
      <c r="Q6714" s="118">
        <v>8570</v>
      </c>
      <c r="R6714" s="119"/>
      <c r="S6714" s="118">
        <v>15950</v>
      </c>
      <c r="T6714" s="119"/>
      <c r="U6714" s="118">
        <f t="shared" ref="U6714" si="9352">SUM(K6714:T6715)</f>
        <v>240120</v>
      </c>
      <c r="V6714" s="122"/>
      <c r="W6714" s="124"/>
      <c r="X6714" s="126" t="s">
        <v>19800</v>
      </c>
      <c r="Y6714" s="127"/>
      <c r="Z6714" s="127"/>
      <c r="AA6714" s="127"/>
      <c r="AB6714" s="128"/>
      <c r="AC6714" s="15" t="s">
        <v>20</v>
      </c>
      <c r="AD6714" s="129"/>
      <c r="AE6714" s="130"/>
      <c r="AF6714" s="130"/>
      <c r="AG6714" s="130"/>
      <c r="AH6714" s="130"/>
      <c r="AI6714" s="131"/>
      <c r="AJ6714" s="132"/>
      <c r="AK6714" s="127"/>
      <c r="AL6714" s="128"/>
      <c r="AM6714" s="21"/>
      <c r="AN6714" s="133">
        <v>46088</v>
      </c>
      <c r="AO6714" s="134"/>
      <c r="AP6714" s="135">
        <v>1291</v>
      </c>
      <c r="AQ6714" s="136"/>
      <c r="AR6714" s="118">
        <v>515000</v>
      </c>
      <c r="AS6714" s="119"/>
      <c r="AT6714" s="118">
        <f t="shared" ref="AT6714" si="9353">AR6714*0.1</f>
        <v>51500</v>
      </c>
      <c r="AU6714" s="119"/>
      <c r="AV6714" s="118">
        <v>8570</v>
      </c>
      <c r="AW6714" s="119"/>
      <c r="AX6714" s="118">
        <f t="shared" ref="AX6714" si="9354">SUM(AR6714:AW6714)</f>
        <v>575070</v>
      </c>
      <c r="AY6714" s="119"/>
      <c r="AZ6714" s="137">
        <v>46093</v>
      </c>
    </row>
    <row r="6715" spans="1:52" ht="17.100000000000001" customHeight="1" thickBot="1">
      <c r="A6715" s="110"/>
      <c r="B6715" s="27" t="s">
        <v>2131</v>
      </c>
      <c r="C6715" s="27">
        <v>3354</v>
      </c>
      <c r="D6715" s="14" t="s">
        <v>3793</v>
      </c>
      <c r="E6715" s="112"/>
      <c r="F6715" s="139" t="s">
        <v>19261</v>
      </c>
      <c r="G6715" s="140"/>
      <c r="H6715" s="141"/>
      <c r="I6715" s="26">
        <v>8584</v>
      </c>
      <c r="J6715" s="117"/>
      <c r="K6715" s="120"/>
      <c r="L6715" s="121"/>
      <c r="M6715" s="120"/>
      <c r="N6715" s="121"/>
      <c r="O6715" s="120"/>
      <c r="P6715" s="121"/>
      <c r="Q6715" s="120"/>
      <c r="R6715" s="121"/>
      <c r="S6715" s="120"/>
      <c r="T6715" s="121"/>
      <c r="U6715" s="120"/>
      <c r="V6715" s="123"/>
      <c r="W6715" s="125"/>
      <c r="X6715" s="142" t="s">
        <v>10418</v>
      </c>
      <c r="Y6715" s="143"/>
      <c r="Z6715" s="143"/>
      <c r="AA6715" s="143"/>
      <c r="AB6715" s="144"/>
      <c r="AC6715" s="16" t="s">
        <v>21</v>
      </c>
      <c r="AD6715" s="17" t="s">
        <v>1631</v>
      </c>
      <c r="AE6715" s="145"/>
      <c r="AF6715" s="146"/>
      <c r="AG6715" s="146"/>
      <c r="AH6715" s="146"/>
      <c r="AI6715" s="147"/>
      <c r="AJ6715" s="148"/>
      <c r="AK6715" s="143"/>
      <c r="AL6715" s="144"/>
      <c r="AM6715" s="22"/>
      <c r="AN6715" s="149" t="s">
        <v>2511</v>
      </c>
      <c r="AO6715" s="144"/>
      <c r="AP6715" s="148">
        <v>60467</v>
      </c>
      <c r="AQ6715" s="144"/>
      <c r="AR6715" s="120"/>
      <c r="AS6715" s="121"/>
      <c r="AT6715" s="120"/>
      <c r="AU6715" s="121"/>
      <c r="AV6715" s="120"/>
      <c r="AW6715" s="121"/>
      <c r="AX6715" s="120"/>
      <c r="AY6715" s="121"/>
      <c r="AZ6715" s="138"/>
    </row>
    <row r="6716" spans="1:52" ht="17.100000000000001" customHeight="1" thickTop="1">
      <c r="A6716" s="109" t="s">
        <v>19242</v>
      </c>
      <c r="B6716" s="28">
        <v>46084</v>
      </c>
      <c r="C6716" s="25">
        <v>1931</v>
      </c>
      <c r="D6716" s="13" t="s">
        <v>1688</v>
      </c>
      <c r="E6716" s="111"/>
      <c r="F6716" s="113" t="s">
        <v>15533</v>
      </c>
      <c r="G6716" s="114"/>
      <c r="H6716" s="115"/>
      <c r="I6716" s="24"/>
      <c r="J6716" s="116">
        <v>4.5</v>
      </c>
      <c r="K6716" s="118">
        <v>591000</v>
      </c>
      <c r="L6716" s="119"/>
      <c r="M6716" s="118">
        <f t="shared" ref="M6716" si="9355">K6716*0.1</f>
        <v>59100</v>
      </c>
      <c r="N6716" s="119"/>
      <c r="O6716" s="118">
        <v>0</v>
      </c>
      <c r="P6716" s="119"/>
      <c r="Q6716" s="118">
        <v>6550</v>
      </c>
      <c r="R6716" s="119"/>
      <c r="S6716" s="118">
        <v>15950</v>
      </c>
      <c r="T6716" s="119"/>
      <c r="U6716" s="118">
        <f t="shared" ref="U6716" si="9356">SUM(K6716:T6717)</f>
        <v>672600</v>
      </c>
      <c r="V6716" s="122"/>
      <c r="W6716" s="124"/>
      <c r="X6716" s="126" t="s">
        <v>19799</v>
      </c>
      <c r="Y6716" s="127"/>
      <c r="Z6716" s="127"/>
      <c r="AA6716" s="127"/>
      <c r="AB6716" s="128"/>
      <c r="AC6716" s="15" t="s">
        <v>20</v>
      </c>
      <c r="AD6716" s="129" t="s">
        <v>1670</v>
      </c>
      <c r="AE6716" s="130"/>
      <c r="AF6716" s="130"/>
      <c r="AG6716" s="130"/>
      <c r="AH6716" s="130"/>
      <c r="AI6716" s="131"/>
      <c r="AJ6716" s="132"/>
      <c r="AK6716" s="127"/>
      <c r="AL6716" s="128"/>
      <c r="AM6716" s="21"/>
      <c r="AN6716" s="133">
        <v>46088</v>
      </c>
      <c r="AO6716" s="134"/>
      <c r="AP6716" s="135">
        <v>1291</v>
      </c>
      <c r="AQ6716" s="136"/>
      <c r="AR6716" s="118">
        <v>660000</v>
      </c>
      <c r="AS6716" s="119"/>
      <c r="AT6716" s="118">
        <f t="shared" ref="AT6716" si="9357">AR6716*0.1</f>
        <v>66000</v>
      </c>
      <c r="AU6716" s="119"/>
      <c r="AV6716" s="118">
        <v>6550</v>
      </c>
      <c r="AW6716" s="119"/>
      <c r="AX6716" s="118">
        <f t="shared" ref="AX6716" si="9358">SUM(AR6716:AW6716)</f>
        <v>732550</v>
      </c>
      <c r="AY6716" s="119"/>
      <c r="AZ6716" s="137">
        <v>46093</v>
      </c>
    </row>
    <row r="6717" spans="1:52" ht="17.100000000000001" customHeight="1" thickBot="1">
      <c r="A6717" s="110"/>
      <c r="B6717" s="27" t="s">
        <v>2131</v>
      </c>
      <c r="C6717" s="27">
        <v>3407</v>
      </c>
      <c r="D6717" s="14" t="s">
        <v>1720</v>
      </c>
      <c r="E6717" s="112"/>
      <c r="F6717" s="139" t="s">
        <v>19262</v>
      </c>
      <c r="G6717" s="140"/>
      <c r="H6717" s="141"/>
      <c r="I6717" s="26">
        <v>29554</v>
      </c>
      <c r="J6717" s="117"/>
      <c r="K6717" s="120"/>
      <c r="L6717" s="121"/>
      <c r="M6717" s="120"/>
      <c r="N6717" s="121"/>
      <c r="O6717" s="120"/>
      <c r="P6717" s="121"/>
      <c r="Q6717" s="120"/>
      <c r="R6717" s="121"/>
      <c r="S6717" s="120"/>
      <c r="T6717" s="121"/>
      <c r="U6717" s="120"/>
      <c r="V6717" s="123"/>
      <c r="W6717" s="125"/>
      <c r="X6717" s="142" t="s">
        <v>7450</v>
      </c>
      <c r="Y6717" s="143"/>
      <c r="Z6717" s="143"/>
      <c r="AA6717" s="143"/>
      <c r="AB6717" s="144"/>
      <c r="AC6717" s="16" t="s">
        <v>21</v>
      </c>
      <c r="AD6717" s="17" t="s">
        <v>1631</v>
      </c>
      <c r="AE6717" s="145" t="s">
        <v>11427</v>
      </c>
      <c r="AF6717" s="146"/>
      <c r="AG6717" s="146"/>
      <c r="AH6717" s="146"/>
      <c r="AI6717" s="147"/>
      <c r="AJ6717" s="148"/>
      <c r="AK6717" s="143"/>
      <c r="AL6717" s="144"/>
      <c r="AM6717" s="22"/>
      <c r="AN6717" s="149" t="s">
        <v>2511</v>
      </c>
      <c r="AO6717" s="144"/>
      <c r="AP6717" s="148">
        <v>60486</v>
      </c>
      <c r="AQ6717" s="144"/>
      <c r="AR6717" s="120"/>
      <c r="AS6717" s="121"/>
      <c r="AT6717" s="120"/>
      <c r="AU6717" s="121"/>
      <c r="AV6717" s="120"/>
      <c r="AW6717" s="121"/>
      <c r="AX6717" s="120"/>
      <c r="AY6717" s="121"/>
      <c r="AZ6717" s="138"/>
    </row>
    <row r="6718" spans="1:52" ht="17.100000000000001" customHeight="1" thickTop="1">
      <c r="A6718" s="109" t="s">
        <v>19243</v>
      </c>
      <c r="B6718" s="28">
        <v>46084</v>
      </c>
      <c r="C6718" s="25">
        <v>1931</v>
      </c>
      <c r="D6718" s="13" t="s">
        <v>2179</v>
      </c>
      <c r="E6718" s="111"/>
      <c r="F6718" s="113" t="s">
        <v>19733</v>
      </c>
      <c r="G6718" s="114"/>
      <c r="H6718" s="115"/>
      <c r="I6718" s="24"/>
      <c r="J6718" s="116">
        <v>4</v>
      </c>
      <c r="K6718" s="118">
        <v>1273000</v>
      </c>
      <c r="L6718" s="119"/>
      <c r="M6718" s="118">
        <f t="shared" ref="M6718" si="9359">K6718*0.1</f>
        <v>127300</v>
      </c>
      <c r="N6718" s="119"/>
      <c r="O6718" s="118">
        <v>0</v>
      </c>
      <c r="P6718" s="119"/>
      <c r="Q6718" s="118">
        <v>20860</v>
      </c>
      <c r="R6718" s="119"/>
      <c r="S6718" s="118">
        <v>15950</v>
      </c>
      <c r="T6718" s="119"/>
      <c r="U6718" s="118">
        <f t="shared" ref="U6718" si="9360">SUM(K6718:T6719)</f>
        <v>1437110</v>
      </c>
      <c r="V6718" s="122"/>
      <c r="W6718" s="124"/>
      <c r="X6718" s="126" t="s">
        <v>19798</v>
      </c>
      <c r="Y6718" s="127"/>
      <c r="Z6718" s="127"/>
      <c r="AA6718" s="127"/>
      <c r="AB6718" s="128"/>
      <c r="AC6718" s="15" t="s">
        <v>20</v>
      </c>
      <c r="AD6718" s="129"/>
      <c r="AE6718" s="130"/>
      <c r="AF6718" s="130"/>
      <c r="AG6718" s="130"/>
      <c r="AH6718" s="130"/>
      <c r="AI6718" s="131"/>
      <c r="AJ6718" s="132"/>
      <c r="AK6718" s="127"/>
      <c r="AL6718" s="128"/>
      <c r="AM6718" s="21"/>
      <c r="AN6718" s="133">
        <v>46088</v>
      </c>
      <c r="AO6718" s="134"/>
      <c r="AP6718" s="135">
        <v>1291</v>
      </c>
      <c r="AQ6718" s="136"/>
      <c r="AR6718" s="118">
        <v>1385000</v>
      </c>
      <c r="AS6718" s="119"/>
      <c r="AT6718" s="118">
        <f t="shared" ref="AT6718" si="9361">AR6718*0.1</f>
        <v>138500</v>
      </c>
      <c r="AU6718" s="119"/>
      <c r="AV6718" s="118">
        <v>20860</v>
      </c>
      <c r="AW6718" s="119"/>
      <c r="AX6718" s="118">
        <f t="shared" ref="AX6718" si="9362">SUM(AR6718:AW6718)</f>
        <v>1544360</v>
      </c>
      <c r="AY6718" s="119"/>
      <c r="AZ6718" s="137">
        <v>46093</v>
      </c>
    </row>
    <row r="6719" spans="1:52" ht="17.100000000000001" customHeight="1" thickBot="1">
      <c r="A6719" s="110"/>
      <c r="B6719" s="27" t="s">
        <v>2131</v>
      </c>
      <c r="C6719" s="27">
        <v>32041</v>
      </c>
      <c r="D6719" s="14" t="s">
        <v>1592</v>
      </c>
      <c r="E6719" s="112"/>
      <c r="F6719" s="139" t="s">
        <v>19796</v>
      </c>
      <c r="G6719" s="140"/>
      <c r="H6719" s="141"/>
      <c r="I6719" s="26">
        <v>21384</v>
      </c>
      <c r="J6719" s="117"/>
      <c r="K6719" s="120"/>
      <c r="L6719" s="121"/>
      <c r="M6719" s="120"/>
      <c r="N6719" s="121"/>
      <c r="O6719" s="120"/>
      <c r="P6719" s="121"/>
      <c r="Q6719" s="120"/>
      <c r="R6719" s="121"/>
      <c r="S6719" s="120"/>
      <c r="T6719" s="121"/>
      <c r="U6719" s="120"/>
      <c r="V6719" s="123"/>
      <c r="W6719" s="125"/>
      <c r="X6719" s="142" t="s">
        <v>3390</v>
      </c>
      <c r="Y6719" s="143"/>
      <c r="Z6719" s="143"/>
      <c r="AA6719" s="143"/>
      <c r="AB6719" s="144"/>
      <c r="AC6719" s="16" t="s">
        <v>21</v>
      </c>
      <c r="AD6719" s="17" t="s">
        <v>1631</v>
      </c>
      <c r="AE6719" s="145"/>
      <c r="AF6719" s="146"/>
      <c r="AG6719" s="146"/>
      <c r="AH6719" s="146"/>
      <c r="AI6719" s="147"/>
      <c r="AJ6719" s="148"/>
      <c r="AK6719" s="143"/>
      <c r="AL6719" s="144"/>
      <c r="AM6719" s="22"/>
      <c r="AN6719" s="149" t="s">
        <v>2511</v>
      </c>
      <c r="AO6719" s="144"/>
      <c r="AP6719" s="148">
        <v>80341</v>
      </c>
      <c r="AQ6719" s="144"/>
      <c r="AR6719" s="120"/>
      <c r="AS6719" s="121"/>
      <c r="AT6719" s="120"/>
      <c r="AU6719" s="121"/>
      <c r="AV6719" s="120"/>
      <c r="AW6719" s="121"/>
      <c r="AX6719" s="120"/>
      <c r="AY6719" s="121"/>
      <c r="AZ6719" s="138"/>
    </row>
    <row r="6720" spans="1:52" ht="17.100000000000001" customHeight="1" thickTop="1">
      <c r="A6720" s="109" t="s">
        <v>19244</v>
      </c>
      <c r="B6720" s="28">
        <v>46084</v>
      </c>
      <c r="C6720" s="25">
        <v>809</v>
      </c>
      <c r="D6720" s="13" t="s">
        <v>1642</v>
      </c>
      <c r="E6720" s="111"/>
      <c r="F6720" s="113" t="s">
        <v>15851</v>
      </c>
      <c r="G6720" s="114"/>
      <c r="H6720" s="115"/>
      <c r="I6720" s="24"/>
      <c r="J6720" s="116">
        <v>4</v>
      </c>
      <c r="K6720" s="118">
        <v>706000</v>
      </c>
      <c r="L6720" s="119"/>
      <c r="M6720" s="118">
        <f t="shared" ref="M6720" si="9363">K6720*0.1</f>
        <v>70600</v>
      </c>
      <c r="N6720" s="119"/>
      <c r="O6720" s="118">
        <v>0</v>
      </c>
      <c r="P6720" s="119"/>
      <c r="Q6720" s="118">
        <v>8430</v>
      </c>
      <c r="R6720" s="119"/>
      <c r="S6720" s="118">
        <v>15950</v>
      </c>
      <c r="T6720" s="119"/>
      <c r="U6720" s="118">
        <f t="shared" ref="U6720" si="9364">SUM(K6720:T6721)</f>
        <v>800980</v>
      </c>
      <c r="V6720" s="122"/>
      <c r="W6720" s="124"/>
      <c r="X6720" s="126" t="s">
        <v>19801</v>
      </c>
      <c r="Y6720" s="127"/>
      <c r="Z6720" s="127"/>
      <c r="AA6720" s="127"/>
      <c r="AB6720" s="128"/>
      <c r="AC6720" s="15" t="s">
        <v>20</v>
      </c>
      <c r="AD6720" s="129" t="s">
        <v>3485</v>
      </c>
      <c r="AE6720" s="130"/>
      <c r="AF6720" s="130"/>
      <c r="AG6720" s="130"/>
      <c r="AH6720" s="130"/>
      <c r="AI6720" s="131"/>
      <c r="AJ6720" s="132"/>
      <c r="AK6720" s="127"/>
      <c r="AL6720" s="128"/>
      <c r="AM6720" s="21"/>
      <c r="AN6720" s="133">
        <v>46088</v>
      </c>
      <c r="AO6720" s="134"/>
      <c r="AP6720" s="135">
        <v>1291</v>
      </c>
      <c r="AQ6720" s="136"/>
      <c r="AR6720" s="118">
        <v>785000</v>
      </c>
      <c r="AS6720" s="119"/>
      <c r="AT6720" s="118">
        <f t="shared" ref="AT6720" si="9365">AR6720*0.1</f>
        <v>78500</v>
      </c>
      <c r="AU6720" s="119"/>
      <c r="AV6720" s="118">
        <v>8430</v>
      </c>
      <c r="AW6720" s="119"/>
      <c r="AX6720" s="118">
        <f t="shared" ref="AX6720" si="9366">SUM(AR6720:AW6720)</f>
        <v>871930</v>
      </c>
      <c r="AY6720" s="119"/>
      <c r="AZ6720" s="137">
        <v>46093</v>
      </c>
    </row>
    <row r="6721" spans="1:52" ht="17.100000000000001" customHeight="1" thickBot="1">
      <c r="A6721" s="110"/>
      <c r="B6721" s="27" t="s">
        <v>3367</v>
      </c>
      <c r="C6721" s="27">
        <v>3022</v>
      </c>
      <c r="D6721" s="14" t="s">
        <v>1592</v>
      </c>
      <c r="E6721" s="112"/>
      <c r="F6721" s="139" t="s">
        <v>19263</v>
      </c>
      <c r="G6721" s="140"/>
      <c r="H6721" s="141"/>
      <c r="I6721" s="26">
        <v>25519</v>
      </c>
      <c r="J6721" s="117"/>
      <c r="K6721" s="120"/>
      <c r="L6721" s="121"/>
      <c r="M6721" s="120"/>
      <c r="N6721" s="121"/>
      <c r="O6721" s="120"/>
      <c r="P6721" s="121"/>
      <c r="Q6721" s="120"/>
      <c r="R6721" s="121"/>
      <c r="S6721" s="120"/>
      <c r="T6721" s="121"/>
      <c r="U6721" s="120"/>
      <c r="V6721" s="123"/>
      <c r="W6721" s="125"/>
      <c r="X6721" s="142" t="s">
        <v>19802</v>
      </c>
      <c r="Y6721" s="143"/>
      <c r="Z6721" s="143"/>
      <c r="AA6721" s="143"/>
      <c r="AB6721" s="144"/>
      <c r="AC6721" s="16" t="s">
        <v>21</v>
      </c>
      <c r="AD6721" s="17" t="s">
        <v>1631</v>
      </c>
      <c r="AE6721" s="145" t="s">
        <v>19446</v>
      </c>
      <c r="AF6721" s="146"/>
      <c r="AG6721" s="146"/>
      <c r="AH6721" s="146"/>
      <c r="AI6721" s="147"/>
      <c r="AJ6721" s="148"/>
      <c r="AK6721" s="143"/>
      <c r="AL6721" s="144"/>
      <c r="AM6721" s="22"/>
      <c r="AN6721" s="149" t="s">
        <v>2511</v>
      </c>
      <c r="AO6721" s="144"/>
      <c r="AP6721" s="148">
        <v>60369</v>
      </c>
      <c r="AQ6721" s="144"/>
      <c r="AR6721" s="120"/>
      <c r="AS6721" s="121"/>
      <c r="AT6721" s="120"/>
      <c r="AU6721" s="121"/>
      <c r="AV6721" s="120"/>
      <c r="AW6721" s="121"/>
      <c r="AX6721" s="120"/>
      <c r="AY6721" s="121"/>
      <c r="AZ6721" s="138"/>
    </row>
    <row r="6722" spans="1:52" ht="17.100000000000001" customHeight="1" thickTop="1">
      <c r="A6722" s="109" t="s">
        <v>19245</v>
      </c>
      <c r="B6722" s="28">
        <v>46084</v>
      </c>
      <c r="C6722" s="25">
        <v>809</v>
      </c>
      <c r="D6722" s="13" t="s">
        <v>1615</v>
      </c>
      <c r="E6722" s="111"/>
      <c r="F6722" s="113" t="s">
        <v>19264</v>
      </c>
      <c r="G6722" s="114"/>
      <c r="H6722" s="115"/>
      <c r="I6722" s="24" t="s">
        <v>2976</v>
      </c>
      <c r="J6722" s="116">
        <v>4.5</v>
      </c>
      <c r="K6722" s="118">
        <v>1194000</v>
      </c>
      <c r="L6722" s="119"/>
      <c r="M6722" s="118">
        <f t="shared" ref="M6722" si="9367">K6722*0.1</f>
        <v>119400</v>
      </c>
      <c r="N6722" s="119"/>
      <c r="O6722" s="118">
        <v>39500</v>
      </c>
      <c r="P6722" s="119"/>
      <c r="Q6722" s="118">
        <v>15280</v>
      </c>
      <c r="R6722" s="119"/>
      <c r="S6722" s="118">
        <v>15950</v>
      </c>
      <c r="T6722" s="119"/>
      <c r="U6722" s="118">
        <f t="shared" ref="U6722" si="9368">SUM(K6722:T6723)</f>
        <v>1384130</v>
      </c>
      <c r="V6722" s="122"/>
      <c r="W6722" s="124"/>
      <c r="X6722" s="126" t="s">
        <v>19286</v>
      </c>
      <c r="Y6722" s="127"/>
      <c r="Z6722" s="127"/>
      <c r="AA6722" s="127"/>
      <c r="AB6722" s="128"/>
      <c r="AC6722" s="15" t="s">
        <v>20</v>
      </c>
      <c r="AD6722" s="129" t="s">
        <v>18373</v>
      </c>
      <c r="AE6722" s="130"/>
      <c r="AF6722" s="130"/>
      <c r="AG6722" s="130"/>
      <c r="AH6722" s="130"/>
      <c r="AI6722" s="131"/>
      <c r="AJ6722" s="132"/>
      <c r="AK6722" s="127"/>
      <c r="AL6722" s="128"/>
      <c r="AM6722" s="21" t="s">
        <v>20067</v>
      </c>
      <c r="AN6722" s="133"/>
      <c r="AO6722" s="134"/>
      <c r="AP6722" s="135"/>
      <c r="AQ6722" s="136"/>
      <c r="AR6722" s="118"/>
      <c r="AS6722" s="119"/>
      <c r="AT6722" s="118">
        <f t="shared" ref="AT6722" si="9369">AR6722*0.1</f>
        <v>0</v>
      </c>
      <c r="AU6722" s="119"/>
      <c r="AV6722" s="118"/>
      <c r="AW6722" s="119"/>
      <c r="AX6722" s="118">
        <f t="shared" ref="AX6722" si="9370">SUM(AR6722:AW6722)</f>
        <v>0</v>
      </c>
      <c r="AY6722" s="119"/>
      <c r="AZ6722" s="137"/>
    </row>
    <row r="6723" spans="1:52" ht="17.100000000000001" customHeight="1" thickBot="1">
      <c r="A6723" s="110"/>
      <c r="B6723" s="27" t="s">
        <v>3367</v>
      </c>
      <c r="C6723" s="27">
        <v>5004</v>
      </c>
      <c r="D6723" s="14" t="s">
        <v>904</v>
      </c>
      <c r="E6723" s="112"/>
      <c r="F6723" s="139" t="s">
        <v>19285</v>
      </c>
      <c r="G6723" s="140"/>
      <c r="H6723" s="141"/>
      <c r="I6723" s="26">
        <v>53085</v>
      </c>
      <c r="J6723" s="117"/>
      <c r="K6723" s="120"/>
      <c r="L6723" s="121"/>
      <c r="M6723" s="120"/>
      <c r="N6723" s="121"/>
      <c r="O6723" s="120"/>
      <c r="P6723" s="121"/>
      <c r="Q6723" s="120"/>
      <c r="R6723" s="121"/>
      <c r="S6723" s="120"/>
      <c r="T6723" s="121"/>
      <c r="U6723" s="120"/>
      <c r="V6723" s="123"/>
      <c r="W6723" s="125"/>
      <c r="X6723" s="142" t="s">
        <v>19828</v>
      </c>
      <c r="Y6723" s="143"/>
      <c r="Z6723" s="143"/>
      <c r="AA6723" s="143"/>
      <c r="AB6723" s="144"/>
      <c r="AC6723" s="16" t="s">
        <v>21</v>
      </c>
      <c r="AD6723" s="17" t="s">
        <v>1631</v>
      </c>
      <c r="AE6723" s="145" t="s">
        <v>2195</v>
      </c>
      <c r="AF6723" s="146"/>
      <c r="AG6723" s="146"/>
      <c r="AH6723" s="146"/>
      <c r="AI6723" s="147"/>
      <c r="AJ6723" s="148"/>
      <c r="AK6723" s="143"/>
      <c r="AL6723" s="144"/>
      <c r="AM6723" s="22"/>
      <c r="AN6723" s="149"/>
      <c r="AO6723" s="144"/>
      <c r="AP6723" s="148"/>
      <c r="AQ6723" s="144"/>
      <c r="AR6723" s="120"/>
      <c r="AS6723" s="121"/>
      <c r="AT6723" s="120"/>
      <c r="AU6723" s="121"/>
      <c r="AV6723" s="120"/>
      <c r="AW6723" s="121"/>
      <c r="AX6723" s="120"/>
      <c r="AY6723" s="121"/>
      <c r="AZ6723" s="138"/>
    </row>
    <row r="6724" spans="1:52" ht="17.100000000000001" customHeight="1" thickTop="1">
      <c r="A6724" s="109" t="s">
        <v>19246</v>
      </c>
      <c r="B6724" s="28">
        <v>46084</v>
      </c>
      <c r="C6724" s="25">
        <v>809</v>
      </c>
      <c r="D6724" s="13" t="s">
        <v>3381</v>
      </c>
      <c r="E6724" s="111"/>
      <c r="F6724" s="113" t="s">
        <v>19265</v>
      </c>
      <c r="G6724" s="114"/>
      <c r="H6724" s="115"/>
      <c r="I6724" s="24"/>
      <c r="J6724" s="116">
        <v>4</v>
      </c>
      <c r="K6724" s="118">
        <v>1079000</v>
      </c>
      <c r="L6724" s="119"/>
      <c r="M6724" s="118">
        <f t="shared" ref="M6724" si="9371">K6724*0.1</f>
        <v>107900</v>
      </c>
      <c r="N6724" s="119"/>
      <c r="O6724" s="118">
        <v>0</v>
      </c>
      <c r="P6724" s="119"/>
      <c r="Q6724" s="118">
        <v>11480</v>
      </c>
      <c r="R6724" s="119"/>
      <c r="S6724" s="118">
        <v>15950</v>
      </c>
      <c r="T6724" s="119"/>
      <c r="U6724" s="118">
        <f t="shared" ref="U6724" si="9372">SUM(K6724:T6725)</f>
        <v>1214330</v>
      </c>
      <c r="V6724" s="122"/>
      <c r="W6724" s="124"/>
      <c r="X6724" s="126" t="s">
        <v>19822</v>
      </c>
      <c r="Y6724" s="127"/>
      <c r="Z6724" s="127"/>
      <c r="AA6724" s="127"/>
      <c r="AB6724" s="128"/>
      <c r="AC6724" s="15" t="s">
        <v>20</v>
      </c>
      <c r="AD6724" s="129"/>
      <c r="AE6724" s="130"/>
      <c r="AF6724" s="130"/>
      <c r="AG6724" s="130"/>
      <c r="AH6724" s="130"/>
      <c r="AI6724" s="131"/>
      <c r="AJ6724" s="132"/>
      <c r="AK6724" s="127"/>
      <c r="AL6724" s="128"/>
      <c r="AM6724" s="21"/>
      <c r="AN6724" s="133">
        <v>46088</v>
      </c>
      <c r="AO6724" s="134"/>
      <c r="AP6724" s="135">
        <v>1291</v>
      </c>
      <c r="AQ6724" s="136"/>
      <c r="AR6724" s="118">
        <v>1200000</v>
      </c>
      <c r="AS6724" s="119"/>
      <c r="AT6724" s="118">
        <f t="shared" ref="AT6724" si="9373">AR6724*0.1</f>
        <v>120000</v>
      </c>
      <c r="AU6724" s="119"/>
      <c r="AV6724" s="118">
        <v>11480</v>
      </c>
      <c r="AW6724" s="119"/>
      <c r="AX6724" s="118">
        <f t="shared" ref="AX6724" si="9374">SUM(AR6724:AW6724)</f>
        <v>1331480</v>
      </c>
      <c r="AY6724" s="119"/>
      <c r="AZ6724" s="137">
        <v>46098</v>
      </c>
    </row>
    <row r="6725" spans="1:52" ht="17.100000000000001" customHeight="1" thickBot="1">
      <c r="A6725" s="110"/>
      <c r="B6725" s="27" t="s">
        <v>3367</v>
      </c>
      <c r="C6725" s="27">
        <v>70040</v>
      </c>
      <c r="D6725" s="14" t="s">
        <v>2601</v>
      </c>
      <c r="E6725" s="112"/>
      <c r="F6725" s="139" t="s">
        <v>19266</v>
      </c>
      <c r="G6725" s="140"/>
      <c r="H6725" s="141"/>
      <c r="I6725" s="26">
        <v>110615</v>
      </c>
      <c r="J6725" s="117"/>
      <c r="K6725" s="120"/>
      <c r="L6725" s="121"/>
      <c r="M6725" s="120"/>
      <c r="N6725" s="121"/>
      <c r="O6725" s="120"/>
      <c r="P6725" s="121"/>
      <c r="Q6725" s="120"/>
      <c r="R6725" s="121"/>
      <c r="S6725" s="120"/>
      <c r="T6725" s="121"/>
      <c r="U6725" s="120"/>
      <c r="V6725" s="123"/>
      <c r="W6725" s="125"/>
      <c r="X6725" s="142" t="s">
        <v>9875</v>
      </c>
      <c r="Y6725" s="143"/>
      <c r="Z6725" s="143"/>
      <c r="AA6725" s="143"/>
      <c r="AB6725" s="144"/>
      <c r="AC6725" s="16" t="s">
        <v>21</v>
      </c>
      <c r="AD6725" s="17" t="s">
        <v>1631</v>
      </c>
      <c r="AE6725" s="145" t="s">
        <v>2195</v>
      </c>
      <c r="AF6725" s="146"/>
      <c r="AG6725" s="146"/>
      <c r="AH6725" s="146"/>
      <c r="AI6725" s="147"/>
      <c r="AJ6725" s="148"/>
      <c r="AK6725" s="143"/>
      <c r="AL6725" s="144"/>
      <c r="AM6725" s="22"/>
      <c r="AN6725" s="149" t="s">
        <v>6748</v>
      </c>
      <c r="AO6725" s="144"/>
      <c r="AP6725" s="148">
        <v>110</v>
      </c>
      <c r="AQ6725" s="144"/>
      <c r="AR6725" s="120"/>
      <c r="AS6725" s="121"/>
      <c r="AT6725" s="120"/>
      <c r="AU6725" s="121"/>
      <c r="AV6725" s="120"/>
      <c r="AW6725" s="121"/>
      <c r="AX6725" s="120"/>
      <c r="AY6725" s="121"/>
      <c r="AZ6725" s="138"/>
    </row>
    <row r="6726" spans="1:52" ht="17.100000000000001" customHeight="1" thickTop="1">
      <c r="A6726" s="109" t="s">
        <v>19267</v>
      </c>
      <c r="B6726" s="28">
        <v>46084</v>
      </c>
      <c r="C6726" s="25">
        <v>929</v>
      </c>
      <c r="D6726" s="13" t="s">
        <v>4824</v>
      </c>
      <c r="E6726" s="111"/>
      <c r="F6726" s="113" t="s">
        <v>19273</v>
      </c>
      <c r="G6726" s="114"/>
      <c r="H6726" s="115"/>
      <c r="I6726" s="24" t="s">
        <v>4314</v>
      </c>
      <c r="J6726" s="116">
        <v>4</v>
      </c>
      <c r="K6726" s="118">
        <v>580000</v>
      </c>
      <c r="L6726" s="119"/>
      <c r="M6726" s="118">
        <f t="shared" ref="M6726" si="9375">K6726*0.1</f>
        <v>58000</v>
      </c>
      <c r="N6726" s="119"/>
      <c r="O6726" s="118">
        <v>10800</v>
      </c>
      <c r="P6726" s="119"/>
      <c r="Q6726" s="118">
        <v>9790</v>
      </c>
      <c r="R6726" s="119"/>
      <c r="S6726" s="118">
        <v>15950</v>
      </c>
      <c r="T6726" s="119"/>
      <c r="U6726" s="118">
        <f t="shared" ref="U6726" si="9376">SUM(K6726:T6727)</f>
        <v>674540</v>
      </c>
      <c r="V6726" s="122"/>
      <c r="W6726" s="124"/>
      <c r="X6726" s="126" t="s">
        <v>19288</v>
      </c>
      <c r="Y6726" s="127"/>
      <c r="Z6726" s="127"/>
      <c r="AA6726" s="127"/>
      <c r="AB6726" s="128"/>
      <c r="AC6726" s="15" t="s">
        <v>20</v>
      </c>
      <c r="AD6726" s="129" t="s">
        <v>18373</v>
      </c>
      <c r="AE6726" s="130"/>
      <c r="AF6726" s="130"/>
      <c r="AG6726" s="130"/>
      <c r="AH6726" s="130"/>
      <c r="AI6726" s="131"/>
      <c r="AJ6726" s="132"/>
      <c r="AK6726" s="127"/>
      <c r="AL6726" s="128"/>
      <c r="AM6726" s="21" t="s">
        <v>20983</v>
      </c>
      <c r="AN6726" s="133"/>
      <c r="AO6726" s="134"/>
      <c r="AP6726" s="135"/>
      <c r="AQ6726" s="136"/>
      <c r="AR6726" s="118"/>
      <c r="AS6726" s="119"/>
      <c r="AT6726" s="118">
        <f t="shared" ref="AT6726" si="9377">AR6726*0.1</f>
        <v>0</v>
      </c>
      <c r="AU6726" s="119"/>
      <c r="AV6726" s="118"/>
      <c r="AW6726" s="119"/>
      <c r="AX6726" s="118">
        <f t="shared" ref="AX6726" si="9378">SUM(AR6726:AW6726)</f>
        <v>0</v>
      </c>
      <c r="AY6726" s="119"/>
      <c r="AZ6726" s="137"/>
    </row>
    <row r="6727" spans="1:52" ht="17.100000000000001" customHeight="1" thickBot="1">
      <c r="A6727" s="110"/>
      <c r="B6727" s="27" t="s">
        <v>2699</v>
      </c>
      <c r="C6727" s="27">
        <v>3016</v>
      </c>
      <c r="D6727" s="14" t="s">
        <v>19287</v>
      </c>
      <c r="E6727" s="112"/>
      <c r="F6727" s="139" t="s">
        <v>19274</v>
      </c>
      <c r="G6727" s="140"/>
      <c r="H6727" s="141"/>
      <c r="I6727" s="26">
        <v>43402</v>
      </c>
      <c r="J6727" s="117"/>
      <c r="K6727" s="120"/>
      <c r="L6727" s="121"/>
      <c r="M6727" s="120"/>
      <c r="N6727" s="121"/>
      <c r="O6727" s="120"/>
      <c r="P6727" s="121"/>
      <c r="Q6727" s="120"/>
      <c r="R6727" s="121"/>
      <c r="S6727" s="120"/>
      <c r="T6727" s="121"/>
      <c r="U6727" s="120"/>
      <c r="V6727" s="123"/>
      <c r="W6727" s="125"/>
      <c r="X6727" s="142" t="s">
        <v>4076</v>
      </c>
      <c r="Y6727" s="143"/>
      <c r="Z6727" s="143"/>
      <c r="AA6727" s="143"/>
      <c r="AB6727" s="144"/>
      <c r="AC6727" s="16" t="s">
        <v>21</v>
      </c>
      <c r="AD6727" s="17" t="s">
        <v>1631</v>
      </c>
      <c r="AE6727" s="145" t="s">
        <v>19443</v>
      </c>
      <c r="AF6727" s="146"/>
      <c r="AG6727" s="146"/>
      <c r="AH6727" s="146"/>
      <c r="AI6727" s="147"/>
      <c r="AJ6727" s="148"/>
      <c r="AK6727" s="143"/>
      <c r="AL6727" s="144"/>
      <c r="AM6727" s="22"/>
      <c r="AN6727" s="149"/>
      <c r="AO6727" s="144"/>
      <c r="AP6727" s="148"/>
      <c r="AQ6727" s="144"/>
      <c r="AR6727" s="120"/>
      <c r="AS6727" s="121"/>
      <c r="AT6727" s="120"/>
      <c r="AU6727" s="121"/>
      <c r="AV6727" s="120"/>
      <c r="AW6727" s="121"/>
      <c r="AX6727" s="120"/>
      <c r="AY6727" s="121"/>
      <c r="AZ6727" s="138"/>
    </row>
    <row r="6728" spans="1:52" ht="17.100000000000001" customHeight="1" thickTop="1">
      <c r="A6728" s="109" t="s">
        <v>19268</v>
      </c>
      <c r="B6728" s="28">
        <v>46084</v>
      </c>
      <c r="C6728" s="25">
        <v>929</v>
      </c>
      <c r="D6728" s="13" t="s">
        <v>2066</v>
      </c>
      <c r="E6728" s="111"/>
      <c r="F6728" s="113" t="s">
        <v>16844</v>
      </c>
      <c r="G6728" s="114"/>
      <c r="H6728" s="115"/>
      <c r="I6728" s="24" t="s">
        <v>2571</v>
      </c>
      <c r="J6728" s="116">
        <v>4</v>
      </c>
      <c r="K6728" s="118">
        <v>683000</v>
      </c>
      <c r="L6728" s="119"/>
      <c r="M6728" s="118">
        <f t="shared" ref="M6728" si="9379">K6728*0.1</f>
        <v>68300</v>
      </c>
      <c r="N6728" s="119"/>
      <c r="O6728" s="118">
        <v>10800</v>
      </c>
      <c r="P6728" s="119"/>
      <c r="Q6728" s="118">
        <v>6470</v>
      </c>
      <c r="R6728" s="119"/>
      <c r="S6728" s="118">
        <v>15950</v>
      </c>
      <c r="T6728" s="119"/>
      <c r="U6728" s="118">
        <f t="shared" ref="U6728" si="9380">SUM(K6728:T6729)</f>
        <v>784520</v>
      </c>
      <c r="V6728" s="122"/>
      <c r="W6728" s="124"/>
      <c r="X6728" s="126" t="s">
        <v>19289</v>
      </c>
      <c r="Y6728" s="127"/>
      <c r="Z6728" s="127"/>
      <c r="AA6728" s="127"/>
      <c r="AB6728" s="128"/>
      <c r="AC6728" s="15" t="s">
        <v>20</v>
      </c>
      <c r="AD6728" s="129" t="s">
        <v>19294</v>
      </c>
      <c r="AE6728" s="130"/>
      <c r="AF6728" s="130"/>
      <c r="AG6728" s="130"/>
      <c r="AH6728" s="130"/>
      <c r="AI6728" s="131"/>
      <c r="AJ6728" s="132"/>
      <c r="AK6728" s="127"/>
      <c r="AL6728" s="128"/>
      <c r="AM6728" s="21" t="s">
        <v>20004</v>
      </c>
      <c r="AN6728" s="133">
        <v>46088</v>
      </c>
      <c r="AO6728" s="134"/>
      <c r="AP6728" s="135">
        <v>1291</v>
      </c>
      <c r="AQ6728" s="136"/>
      <c r="AR6728" s="118">
        <v>775000</v>
      </c>
      <c r="AS6728" s="119"/>
      <c r="AT6728" s="118">
        <f t="shared" ref="AT6728" si="9381">AR6728*0.1</f>
        <v>77500</v>
      </c>
      <c r="AU6728" s="119"/>
      <c r="AV6728" s="118">
        <v>6470</v>
      </c>
      <c r="AW6728" s="119"/>
      <c r="AX6728" s="118">
        <f t="shared" ref="AX6728" si="9382">SUM(AR6728:AW6728)</f>
        <v>858970</v>
      </c>
      <c r="AY6728" s="119"/>
      <c r="AZ6728" s="137">
        <v>46098</v>
      </c>
    </row>
    <row r="6729" spans="1:52" ht="17.100000000000001" customHeight="1" thickBot="1">
      <c r="A6729" s="110"/>
      <c r="B6729" s="27" t="s">
        <v>2699</v>
      </c>
      <c r="C6729" s="27">
        <v>3028</v>
      </c>
      <c r="D6729" s="14" t="s">
        <v>1592</v>
      </c>
      <c r="E6729" s="112"/>
      <c r="F6729" s="139" t="s">
        <v>19275</v>
      </c>
      <c r="G6729" s="140"/>
      <c r="H6729" s="141"/>
      <c r="I6729" s="26">
        <v>56777</v>
      </c>
      <c r="J6729" s="117"/>
      <c r="K6729" s="120"/>
      <c r="L6729" s="121"/>
      <c r="M6729" s="120"/>
      <c r="N6729" s="121"/>
      <c r="O6729" s="120"/>
      <c r="P6729" s="121"/>
      <c r="Q6729" s="120"/>
      <c r="R6729" s="121"/>
      <c r="S6729" s="120"/>
      <c r="T6729" s="121"/>
      <c r="U6729" s="120"/>
      <c r="V6729" s="123"/>
      <c r="W6729" s="125"/>
      <c r="X6729" s="142" t="s">
        <v>15395</v>
      </c>
      <c r="Y6729" s="143"/>
      <c r="Z6729" s="143"/>
      <c r="AA6729" s="143"/>
      <c r="AB6729" s="144"/>
      <c r="AC6729" s="16" t="s">
        <v>21</v>
      </c>
      <c r="AD6729" s="17" t="s">
        <v>3386</v>
      </c>
      <c r="AE6729" s="145"/>
      <c r="AF6729" s="146"/>
      <c r="AG6729" s="146"/>
      <c r="AH6729" s="146"/>
      <c r="AI6729" s="147"/>
      <c r="AJ6729" s="148" t="s">
        <v>19973</v>
      </c>
      <c r="AK6729" s="143"/>
      <c r="AL6729" s="144"/>
      <c r="AM6729" s="22"/>
      <c r="AN6729" s="149" t="s">
        <v>2511</v>
      </c>
      <c r="AO6729" s="144"/>
      <c r="AP6729" s="148">
        <v>60448</v>
      </c>
      <c r="AQ6729" s="144"/>
      <c r="AR6729" s="120"/>
      <c r="AS6729" s="121"/>
      <c r="AT6729" s="120"/>
      <c r="AU6729" s="121"/>
      <c r="AV6729" s="120"/>
      <c r="AW6729" s="121"/>
      <c r="AX6729" s="120"/>
      <c r="AY6729" s="121"/>
      <c r="AZ6729" s="138"/>
    </row>
    <row r="6730" spans="1:52" ht="17.100000000000001" customHeight="1" thickTop="1">
      <c r="A6730" s="109" t="s">
        <v>19269</v>
      </c>
      <c r="B6730" s="28">
        <v>46084</v>
      </c>
      <c r="C6730" s="25">
        <v>929</v>
      </c>
      <c r="D6730" s="13" t="s">
        <v>1714</v>
      </c>
      <c r="E6730" s="111"/>
      <c r="F6730" s="113" t="s">
        <v>19276</v>
      </c>
      <c r="G6730" s="114"/>
      <c r="H6730" s="115"/>
      <c r="I6730" s="24"/>
      <c r="J6730" s="116">
        <v>4</v>
      </c>
      <c r="K6730" s="118">
        <v>2514000</v>
      </c>
      <c r="L6730" s="119"/>
      <c r="M6730" s="118">
        <f t="shared" ref="M6730" si="9383">K6730*0.1</f>
        <v>251400</v>
      </c>
      <c r="N6730" s="119"/>
      <c r="O6730" s="118">
        <v>0</v>
      </c>
      <c r="P6730" s="119"/>
      <c r="Q6730" s="118">
        <v>17800</v>
      </c>
      <c r="R6730" s="119"/>
      <c r="S6730" s="118">
        <v>15950</v>
      </c>
      <c r="T6730" s="119"/>
      <c r="U6730" s="118">
        <f t="shared" ref="U6730" si="9384">SUM(K6730:T6731)</f>
        <v>2799150</v>
      </c>
      <c r="V6730" s="122"/>
      <c r="W6730" s="124"/>
      <c r="X6730" s="126" t="s">
        <v>19830</v>
      </c>
      <c r="Y6730" s="127"/>
      <c r="Z6730" s="127"/>
      <c r="AA6730" s="127"/>
      <c r="AB6730" s="128"/>
      <c r="AC6730" s="15" t="s">
        <v>20</v>
      </c>
      <c r="AD6730" s="129"/>
      <c r="AE6730" s="130"/>
      <c r="AF6730" s="130"/>
      <c r="AG6730" s="130"/>
      <c r="AH6730" s="130"/>
      <c r="AI6730" s="131"/>
      <c r="AJ6730" s="132"/>
      <c r="AK6730" s="127"/>
      <c r="AL6730" s="128"/>
      <c r="AM6730" s="21"/>
      <c r="AN6730" s="133"/>
      <c r="AO6730" s="134"/>
      <c r="AP6730" s="135"/>
      <c r="AQ6730" s="136"/>
      <c r="AR6730" s="118"/>
      <c r="AS6730" s="119"/>
      <c r="AT6730" s="118">
        <f t="shared" ref="AT6730" si="9385">AR6730*0.1</f>
        <v>0</v>
      </c>
      <c r="AU6730" s="119"/>
      <c r="AV6730" s="118"/>
      <c r="AW6730" s="119"/>
      <c r="AX6730" s="118">
        <f t="shared" ref="AX6730" si="9386">SUM(AR6730:AW6730)</f>
        <v>0</v>
      </c>
      <c r="AY6730" s="119"/>
      <c r="AZ6730" s="137"/>
    </row>
    <row r="6731" spans="1:52" ht="17.100000000000001" customHeight="1" thickBot="1">
      <c r="A6731" s="110"/>
      <c r="B6731" s="27" t="s">
        <v>2699</v>
      </c>
      <c r="C6731" s="27">
        <v>5001</v>
      </c>
      <c r="D6731" s="14" t="s">
        <v>1568</v>
      </c>
      <c r="E6731" s="112"/>
      <c r="F6731" s="139" t="s">
        <v>19290</v>
      </c>
      <c r="G6731" s="140"/>
      <c r="H6731" s="141"/>
      <c r="I6731" s="26">
        <v>35419</v>
      </c>
      <c r="J6731" s="117"/>
      <c r="K6731" s="120"/>
      <c r="L6731" s="121"/>
      <c r="M6731" s="120"/>
      <c r="N6731" s="121"/>
      <c r="O6731" s="120"/>
      <c r="P6731" s="121"/>
      <c r="Q6731" s="120"/>
      <c r="R6731" s="121"/>
      <c r="S6731" s="120"/>
      <c r="T6731" s="121"/>
      <c r="U6731" s="120"/>
      <c r="V6731" s="123"/>
      <c r="W6731" s="125"/>
      <c r="X6731" s="142" t="s">
        <v>3562</v>
      </c>
      <c r="Y6731" s="143"/>
      <c r="Z6731" s="143"/>
      <c r="AA6731" s="143"/>
      <c r="AB6731" s="144"/>
      <c r="AC6731" s="16" t="s">
        <v>21</v>
      </c>
      <c r="AD6731" s="17" t="s">
        <v>1631</v>
      </c>
      <c r="AE6731" s="145" t="s">
        <v>19831</v>
      </c>
      <c r="AF6731" s="146"/>
      <c r="AG6731" s="146"/>
      <c r="AH6731" s="146"/>
      <c r="AI6731" s="147"/>
      <c r="AJ6731" s="148"/>
      <c r="AK6731" s="143"/>
      <c r="AL6731" s="144"/>
      <c r="AM6731" s="22"/>
      <c r="AN6731" s="149"/>
      <c r="AO6731" s="144"/>
      <c r="AP6731" s="148"/>
      <c r="AQ6731" s="144"/>
      <c r="AR6731" s="120"/>
      <c r="AS6731" s="121"/>
      <c r="AT6731" s="120"/>
      <c r="AU6731" s="121"/>
      <c r="AV6731" s="120"/>
      <c r="AW6731" s="121"/>
      <c r="AX6731" s="120"/>
      <c r="AY6731" s="121"/>
      <c r="AZ6731" s="138"/>
    </row>
    <row r="6732" spans="1:52" ht="17.100000000000001" customHeight="1" thickTop="1">
      <c r="A6732" s="109" t="s">
        <v>19270</v>
      </c>
      <c r="B6732" s="28">
        <v>46084</v>
      </c>
      <c r="C6732" s="25">
        <v>1230</v>
      </c>
      <c r="D6732" s="13" t="s">
        <v>3478</v>
      </c>
      <c r="E6732" s="111"/>
      <c r="F6732" s="113" t="s">
        <v>5435</v>
      </c>
      <c r="G6732" s="114"/>
      <c r="H6732" s="115"/>
      <c r="I6732" s="24"/>
      <c r="J6732" s="116">
        <v>4</v>
      </c>
      <c r="K6732" s="118">
        <v>659000</v>
      </c>
      <c r="L6732" s="119"/>
      <c r="M6732" s="118">
        <f t="shared" ref="M6732" si="9387">K6732*0.1</f>
        <v>65900</v>
      </c>
      <c r="N6732" s="119"/>
      <c r="O6732" s="118">
        <v>0</v>
      </c>
      <c r="P6732" s="119"/>
      <c r="Q6732" s="118">
        <v>7950</v>
      </c>
      <c r="R6732" s="119"/>
      <c r="S6732" s="118">
        <v>17050</v>
      </c>
      <c r="T6732" s="119"/>
      <c r="U6732" s="118">
        <f t="shared" ref="U6732" si="9388">SUM(K6732:T6733)</f>
        <v>749900</v>
      </c>
      <c r="V6732" s="122"/>
      <c r="W6732" s="124"/>
      <c r="X6732" s="126" t="s">
        <v>19837</v>
      </c>
      <c r="Y6732" s="127"/>
      <c r="Z6732" s="127"/>
      <c r="AA6732" s="127"/>
      <c r="AB6732" s="128"/>
      <c r="AC6732" s="15" t="s">
        <v>20</v>
      </c>
      <c r="AD6732" s="129"/>
      <c r="AE6732" s="130"/>
      <c r="AF6732" s="130"/>
      <c r="AG6732" s="130"/>
      <c r="AH6732" s="130"/>
      <c r="AI6732" s="131"/>
      <c r="AJ6732" s="132"/>
      <c r="AK6732" s="127"/>
      <c r="AL6732" s="128"/>
      <c r="AM6732" s="21"/>
      <c r="AN6732" s="133"/>
      <c r="AO6732" s="134"/>
      <c r="AP6732" s="135"/>
      <c r="AQ6732" s="136"/>
      <c r="AR6732" s="118"/>
      <c r="AS6732" s="119"/>
      <c r="AT6732" s="118">
        <f t="shared" ref="AT6732" si="9389">AR6732*0.1</f>
        <v>0</v>
      </c>
      <c r="AU6732" s="119"/>
      <c r="AV6732" s="118"/>
      <c r="AW6732" s="119"/>
      <c r="AX6732" s="118">
        <f t="shared" ref="AX6732" si="9390">SUM(AR6732:AW6732)</f>
        <v>0</v>
      </c>
      <c r="AY6732" s="119"/>
      <c r="AZ6732" s="137"/>
    </row>
    <row r="6733" spans="1:52" ht="17.100000000000001" customHeight="1" thickBot="1">
      <c r="A6733" s="110"/>
      <c r="B6733" s="27" t="s">
        <v>2379</v>
      </c>
      <c r="C6733" s="27">
        <v>3718</v>
      </c>
      <c r="D6733" s="14" t="s">
        <v>1592</v>
      </c>
      <c r="E6733" s="112"/>
      <c r="F6733" s="139" t="s">
        <v>19277</v>
      </c>
      <c r="G6733" s="140"/>
      <c r="H6733" s="141"/>
      <c r="I6733" s="26">
        <v>50209</v>
      </c>
      <c r="J6733" s="117"/>
      <c r="K6733" s="120"/>
      <c r="L6733" s="121"/>
      <c r="M6733" s="120"/>
      <c r="N6733" s="121"/>
      <c r="O6733" s="120"/>
      <c r="P6733" s="121"/>
      <c r="Q6733" s="120"/>
      <c r="R6733" s="121"/>
      <c r="S6733" s="120"/>
      <c r="T6733" s="121"/>
      <c r="U6733" s="120"/>
      <c r="V6733" s="123"/>
      <c r="W6733" s="125"/>
      <c r="X6733" s="142" t="s">
        <v>19838</v>
      </c>
      <c r="Y6733" s="143"/>
      <c r="Z6733" s="143"/>
      <c r="AA6733" s="143"/>
      <c r="AB6733" s="144"/>
      <c r="AC6733" s="16" t="s">
        <v>21</v>
      </c>
      <c r="AD6733" s="17" t="s">
        <v>1631</v>
      </c>
      <c r="AE6733" s="145" t="s">
        <v>20065</v>
      </c>
      <c r="AF6733" s="146"/>
      <c r="AG6733" s="146"/>
      <c r="AH6733" s="146"/>
      <c r="AI6733" s="147"/>
      <c r="AJ6733" s="148"/>
      <c r="AK6733" s="143"/>
      <c r="AL6733" s="144"/>
      <c r="AM6733" s="22"/>
      <c r="AN6733" s="149"/>
      <c r="AO6733" s="144"/>
      <c r="AP6733" s="148"/>
      <c r="AQ6733" s="144"/>
      <c r="AR6733" s="120"/>
      <c r="AS6733" s="121"/>
      <c r="AT6733" s="120"/>
      <c r="AU6733" s="121"/>
      <c r="AV6733" s="120"/>
      <c r="AW6733" s="121"/>
      <c r="AX6733" s="120"/>
      <c r="AY6733" s="121"/>
      <c r="AZ6733" s="138"/>
    </row>
    <row r="6734" spans="1:52" ht="17.100000000000001" customHeight="1" thickTop="1">
      <c r="A6734" s="109" t="s">
        <v>19271</v>
      </c>
      <c r="B6734" s="28">
        <v>46084</v>
      </c>
      <c r="C6734" s="25">
        <v>1230</v>
      </c>
      <c r="D6734" s="13" t="s">
        <v>2859</v>
      </c>
      <c r="E6734" s="111"/>
      <c r="F6734" s="113" t="s">
        <v>19278</v>
      </c>
      <c r="G6734" s="114"/>
      <c r="H6734" s="115"/>
      <c r="I6734" s="24"/>
      <c r="J6734" s="116">
        <v>3.5</v>
      </c>
      <c r="K6734" s="118">
        <v>1280000</v>
      </c>
      <c r="L6734" s="119"/>
      <c r="M6734" s="118">
        <f t="shared" ref="M6734" si="9391">K6734*0.1</f>
        <v>128000</v>
      </c>
      <c r="N6734" s="119"/>
      <c r="O6734" s="118">
        <v>0</v>
      </c>
      <c r="P6734" s="119"/>
      <c r="Q6734" s="118">
        <v>15280</v>
      </c>
      <c r="R6734" s="119"/>
      <c r="S6734" s="118">
        <v>15950</v>
      </c>
      <c r="T6734" s="119"/>
      <c r="U6734" s="118">
        <f t="shared" ref="U6734" si="9392">SUM(K6734:T6735)</f>
        <v>1439230</v>
      </c>
      <c r="V6734" s="122"/>
      <c r="W6734" s="124"/>
      <c r="X6734" s="126" t="s">
        <v>19839</v>
      </c>
      <c r="Y6734" s="127"/>
      <c r="Z6734" s="127"/>
      <c r="AA6734" s="127"/>
      <c r="AB6734" s="128"/>
      <c r="AC6734" s="15" t="s">
        <v>20</v>
      </c>
      <c r="AD6734" s="129"/>
      <c r="AE6734" s="130"/>
      <c r="AF6734" s="130"/>
      <c r="AG6734" s="130"/>
      <c r="AH6734" s="130"/>
      <c r="AI6734" s="131"/>
      <c r="AJ6734" s="132"/>
      <c r="AK6734" s="127"/>
      <c r="AL6734" s="128"/>
      <c r="AM6734" s="21"/>
      <c r="AN6734" s="133">
        <v>46130</v>
      </c>
      <c r="AO6734" s="134"/>
      <c r="AP6734" s="135">
        <v>1297</v>
      </c>
      <c r="AQ6734" s="136"/>
      <c r="AR6734" s="118">
        <v>1380000</v>
      </c>
      <c r="AS6734" s="119"/>
      <c r="AT6734" s="118">
        <f t="shared" ref="AT6734" si="9393">AR6734*0.1</f>
        <v>138000</v>
      </c>
      <c r="AU6734" s="119"/>
      <c r="AV6734" s="118">
        <v>15280</v>
      </c>
      <c r="AW6734" s="119"/>
      <c r="AX6734" s="118">
        <f t="shared" ref="AX6734" si="9394">SUM(AR6734:AW6734)</f>
        <v>1533280</v>
      </c>
      <c r="AY6734" s="119"/>
      <c r="AZ6734" s="137">
        <v>46139</v>
      </c>
    </row>
    <row r="6735" spans="1:52" ht="17.100000000000001" customHeight="1" thickBot="1">
      <c r="A6735" s="110"/>
      <c r="B6735" s="27" t="s">
        <v>2379</v>
      </c>
      <c r="C6735" s="27">
        <v>5069</v>
      </c>
      <c r="D6735" s="14" t="s">
        <v>904</v>
      </c>
      <c r="E6735" s="112"/>
      <c r="F6735" s="139" t="s">
        <v>19291</v>
      </c>
      <c r="G6735" s="140"/>
      <c r="H6735" s="141"/>
      <c r="I6735" s="26">
        <v>16285</v>
      </c>
      <c r="J6735" s="117"/>
      <c r="K6735" s="120"/>
      <c r="L6735" s="121"/>
      <c r="M6735" s="120"/>
      <c r="N6735" s="121"/>
      <c r="O6735" s="120"/>
      <c r="P6735" s="121"/>
      <c r="Q6735" s="120"/>
      <c r="R6735" s="121"/>
      <c r="S6735" s="120"/>
      <c r="T6735" s="121"/>
      <c r="U6735" s="120"/>
      <c r="V6735" s="123"/>
      <c r="W6735" s="125"/>
      <c r="X6735" s="142" t="s">
        <v>19840</v>
      </c>
      <c r="Y6735" s="143"/>
      <c r="Z6735" s="143"/>
      <c r="AA6735" s="143"/>
      <c r="AB6735" s="144"/>
      <c r="AC6735" s="16" t="s">
        <v>21</v>
      </c>
      <c r="AD6735" s="17" t="s">
        <v>1631</v>
      </c>
      <c r="AE6735" s="145" t="s">
        <v>19841</v>
      </c>
      <c r="AF6735" s="146"/>
      <c r="AG6735" s="146"/>
      <c r="AH6735" s="146"/>
      <c r="AI6735" s="147"/>
      <c r="AJ6735" s="148"/>
      <c r="AK6735" s="143"/>
      <c r="AL6735" s="144"/>
      <c r="AM6735" s="22"/>
      <c r="AN6735" s="149" t="s">
        <v>24093</v>
      </c>
      <c r="AO6735" s="144"/>
      <c r="AP6735" s="148">
        <v>80198</v>
      </c>
      <c r="AQ6735" s="144"/>
      <c r="AR6735" s="120"/>
      <c r="AS6735" s="121"/>
      <c r="AT6735" s="120"/>
      <c r="AU6735" s="121"/>
      <c r="AV6735" s="120"/>
      <c r="AW6735" s="121"/>
      <c r="AX6735" s="120"/>
      <c r="AY6735" s="121"/>
      <c r="AZ6735" s="138"/>
    </row>
    <row r="6736" spans="1:52" ht="17.100000000000001" customHeight="1" thickTop="1">
      <c r="A6736" s="109" t="s">
        <v>19272</v>
      </c>
      <c r="B6736" s="28">
        <v>46084</v>
      </c>
      <c r="C6736" s="25">
        <v>1230</v>
      </c>
      <c r="D6736" s="13" t="s">
        <v>1712</v>
      </c>
      <c r="E6736" s="111"/>
      <c r="F6736" s="113" t="s">
        <v>19279</v>
      </c>
      <c r="G6736" s="114"/>
      <c r="H6736" s="115"/>
      <c r="I6736" s="24"/>
      <c r="J6736" s="116">
        <v>4</v>
      </c>
      <c r="K6736" s="118">
        <v>737000</v>
      </c>
      <c r="L6736" s="119"/>
      <c r="M6736" s="118">
        <f t="shared" ref="M6736" si="9395">K6736*0.1</f>
        <v>73700</v>
      </c>
      <c r="N6736" s="119"/>
      <c r="O6736" s="118">
        <v>0</v>
      </c>
      <c r="P6736" s="119"/>
      <c r="Q6736" s="118">
        <v>22520</v>
      </c>
      <c r="R6736" s="119"/>
      <c r="S6736" s="118">
        <v>15950</v>
      </c>
      <c r="T6736" s="119"/>
      <c r="U6736" s="118">
        <f t="shared" ref="U6736" si="9396">SUM(K6736:T6737)</f>
        <v>849170</v>
      </c>
      <c r="V6736" s="122"/>
      <c r="W6736" s="124"/>
      <c r="X6736" s="126" t="s">
        <v>19844</v>
      </c>
      <c r="Y6736" s="127"/>
      <c r="Z6736" s="127"/>
      <c r="AA6736" s="127"/>
      <c r="AB6736" s="128"/>
      <c r="AC6736" s="15" t="s">
        <v>20</v>
      </c>
      <c r="AD6736" s="129"/>
      <c r="AE6736" s="130"/>
      <c r="AF6736" s="130"/>
      <c r="AG6736" s="130"/>
      <c r="AH6736" s="130"/>
      <c r="AI6736" s="131"/>
      <c r="AJ6736" s="132"/>
      <c r="AK6736" s="127"/>
      <c r="AL6736" s="128"/>
      <c r="AM6736" s="21"/>
      <c r="AN6736" s="133"/>
      <c r="AO6736" s="134"/>
      <c r="AP6736" s="135"/>
      <c r="AQ6736" s="136"/>
      <c r="AR6736" s="118"/>
      <c r="AS6736" s="119"/>
      <c r="AT6736" s="118">
        <f t="shared" ref="AT6736" si="9397">AR6736*0.1</f>
        <v>0</v>
      </c>
      <c r="AU6736" s="119"/>
      <c r="AV6736" s="118"/>
      <c r="AW6736" s="119"/>
      <c r="AX6736" s="118">
        <f t="shared" ref="AX6736" si="9398">SUM(AR6736:AW6736)</f>
        <v>0</v>
      </c>
      <c r="AY6736" s="119"/>
      <c r="AZ6736" s="137"/>
    </row>
    <row r="6737" spans="1:52" ht="17.100000000000001" customHeight="1" thickBot="1">
      <c r="A6737" s="110"/>
      <c r="B6737" s="27" t="s">
        <v>2379</v>
      </c>
      <c r="C6737" s="27">
        <v>30015</v>
      </c>
      <c r="D6737" s="14" t="s">
        <v>1576</v>
      </c>
      <c r="E6737" s="112"/>
      <c r="F6737" s="139" t="s">
        <v>19292</v>
      </c>
      <c r="G6737" s="140"/>
      <c r="H6737" s="141"/>
      <c r="I6737" s="26">
        <v>58944</v>
      </c>
      <c r="J6737" s="117"/>
      <c r="K6737" s="120"/>
      <c r="L6737" s="121"/>
      <c r="M6737" s="120"/>
      <c r="N6737" s="121"/>
      <c r="O6737" s="120"/>
      <c r="P6737" s="121"/>
      <c r="Q6737" s="120"/>
      <c r="R6737" s="121"/>
      <c r="S6737" s="120"/>
      <c r="T6737" s="121"/>
      <c r="U6737" s="120"/>
      <c r="V6737" s="123"/>
      <c r="W6737" s="125"/>
      <c r="X6737" s="142" t="s">
        <v>16907</v>
      </c>
      <c r="Y6737" s="143"/>
      <c r="Z6737" s="143"/>
      <c r="AA6737" s="143"/>
      <c r="AB6737" s="144"/>
      <c r="AC6737" s="16" t="s">
        <v>21</v>
      </c>
      <c r="AD6737" s="17" t="s">
        <v>1631</v>
      </c>
      <c r="AE6737" s="145" t="s">
        <v>2195</v>
      </c>
      <c r="AF6737" s="146"/>
      <c r="AG6737" s="146"/>
      <c r="AH6737" s="146"/>
      <c r="AI6737" s="147"/>
      <c r="AJ6737" s="148"/>
      <c r="AK6737" s="143"/>
      <c r="AL6737" s="144"/>
      <c r="AM6737" s="22"/>
      <c r="AN6737" s="149"/>
      <c r="AO6737" s="144"/>
      <c r="AP6737" s="148"/>
      <c r="AQ6737" s="144"/>
      <c r="AR6737" s="120"/>
      <c r="AS6737" s="121"/>
      <c r="AT6737" s="120"/>
      <c r="AU6737" s="121"/>
      <c r="AV6737" s="120"/>
      <c r="AW6737" s="121"/>
      <c r="AX6737" s="120"/>
      <c r="AY6737" s="121"/>
      <c r="AZ6737" s="138"/>
    </row>
    <row r="6738" spans="1:52" ht="17.100000000000001" customHeight="1" thickTop="1">
      <c r="A6738" s="109" t="s">
        <v>19281</v>
      </c>
      <c r="B6738" s="28">
        <v>46084</v>
      </c>
      <c r="C6738" s="25">
        <v>1230</v>
      </c>
      <c r="D6738" s="13" t="s">
        <v>2234</v>
      </c>
      <c r="E6738" s="111"/>
      <c r="F6738" s="113" t="s">
        <v>19280</v>
      </c>
      <c r="G6738" s="114"/>
      <c r="H6738" s="115"/>
      <c r="I6738" s="24"/>
      <c r="J6738" s="116">
        <v>4</v>
      </c>
      <c r="K6738" s="118">
        <v>644000</v>
      </c>
      <c r="L6738" s="119"/>
      <c r="M6738" s="118">
        <f t="shared" ref="M6738" si="9399">K6738*0.1</f>
        <v>64400</v>
      </c>
      <c r="N6738" s="119"/>
      <c r="O6738" s="118">
        <v>0</v>
      </c>
      <c r="P6738" s="119"/>
      <c r="Q6738" s="118">
        <v>20170</v>
      </c>
      <c r="R6738" s="119"/>
      <c r="S6738" s="118">
        <v>15950</v>
      </c>
      <c r="T6738" s="119"/>
      <c r="U6738" s="118">
        <f t="shared" ref="U6738" si="9400">SUM(K6738:T6739)</f>
        <v>744520</v>
      </c>
      <c r="V6738" s="122"/>
      <c r="W6738" s="124"/>
      <c r="X6738" s="126" t="s">
        <v>19843</v>
      </c>
      <c r="Y6738" s="127"/>
      <c r="Z6738" s="127"/>
      <c r="AA6738" s="127"/>
      <c r="AB6738" s="128"/>
      <c r="AC6738" s="15" t="s">
        <v>20</v>
      </c>
      <c r="AD6738" s="129"/>
      <c r="AE6738" s="130"/>
      <c r="AF6738" s="130"/>
      <c r="AG6738" s="130"/>
      <c r="AH6738" s="130"/>
      <c r="AI6738" s="131"/>
      <c r="AJ6738" s="132"/>
      <c r="AK6738" s="127"/>
      <c r="AL6738" s="128"/>
      <c r="AM6738" s="21"/>
      <c r="AN6738" s="133">
        <v>46095</v>
      </c>
      <c r="AO6738" s="134"/>
      <c r="AP6738" s="135">
        <v>1292</v>
      </c>
      <c r="AQ6738" s="136"/>
      <c r="AR6738" s="118">
        <v>760000</v>
      </c>
      <c r="AS6738" s="119"/>
      <c r="AT6738" s="118">
        <f t="shared" ref="AT6738" si="9401">AR6738*0.1</f>
        <v>76000</v>
      </c>
      <c r="AU6738" s="119"/>
      <c r="AV6738" s="118">
        <v>20170</v>
      </c>
      <c r="AW6738" s="119"/>
      <c r="AX6738" s="118">
        <f t="shared" ref="AX6738" si="9402">SUM(AR6738:AW6738)</f>
        <v>856170</v>
      </c>
      <c r="AY6738" s="119"/>
      <c r="AZ6738" s="137">
        <v>46098</v>
      </c>
    </row>
    <row r="6739" spans="1:52" ht="17.100000000000001" customHeight="1" thickBot="1">
      <c r="A6739" s="110"/>
      <c r="B6739" s="27" t="s">
        <v>2379</v>
      </c>
      <c r="C6739" s="27">
        <v>32024</v>
      </c>
      <c r="D6739" s="14" t="s">
        <v>904</v>
      </c>
      <c r="E6739" s="112"/>
      <c r="F6739" s="139" t="s">
        <v>19293</v>
      </c>
      <c r="G6739" s="140"/>
      <c r="H6739" s="141"/>
      <c r="I6739" s="26">
        <v>66056</v>
      </c>
      <c r="J6739" s="117"/>
      <c r="K6739" s="120"/>
      <c r="L6739" s="121"/>
      <c r="M6739" s="120"/>
      <c r="N6739" s="121"/>
      <c r="O6739" s="120"/>
      <c r="P6739" s="121"/>
      <c r="Q6739" s="120"/>
      <c r="R6739" s="121"/>
      <c r="S6739" s="120"/>
      <c r="T6739" s="121"/>
      <c r="U6739" s="120"/>
      <c r="V6739" s="123"/>
      <c r="W6739" s="125"/>
      <c r="X6739" s="142" t="s">
        <v>5281</v>
      </c>
      <c r="Y6739" s="143"/>
      <c r="Z6739" s="143"/>
      <c r="AA6739" s="143"/>
      <c r="AB6739" s="144"/>
      <c r="AC6739" s="16" t="s">
        <v>21</v>
      </c>
      <c r="AD6739" s="17" t="s">
        <v>1631</v>
      </c>
      <c r="AE6739" s="145" t="s">
        <v>19842</v>
      </c>
      <c r="AF6739" s="146"/>
      <c r="AG6739" s="146"/>
      <c r="AH6739" s="146"/>
      <c r="AI6739" s="147"/>
      <c r="AJ6739" s="148"/>
      <c r="AK6739" s="143"/>
      <c r="AL6739" s="144"/>
      <c r="AM6739" s="22"/>
      <c r="AN6739" s="149" t="s">
        <v>2511</v>
      </c>
      <c r="AO6739" s="144"/>
      <c r="AP6739" s="148">
        <v>80017</v>
      </c>
      <c r="AQ6739" s="144"/>
      <c r="AR6739" s="120"/>
      <c r="AS6739" s="121"/>
      <c r="AT6739" s="120"/>
      <c r="AU6739" s="121"/>
      <c r="AV6739" s="120"/>
      <c r="AW6739" s="121"/>
      <c r="AX6739" s="120"/>
      <c r="AY6739" s="121"/>
      <c r="AZ6739" s="138"/>
    </row>
    <row r="6740" spans="1:52" ht="17.100000000000001" customHeight="1" thickTop="1">
      <c r="A6740" s="109" t="s">
        <v>19295</v>
      </c>
      <c r="B6740" s="28">
        <v>46085</v>
      </c>
      <c r="C6740" s="25">
        <v>2345</v>
      </c>
      <c r="D6740" s="13" t="s">
        <v>2963</v>
      </c>
      <c r="E6740" s="111"/>
      <c r="F6740" s="113" t="s">
        <v>4358</v>
      </c>
      <c r="G6740" s="114"/>
      <c r="H6740" s="115"/>
      <c r="I6740" s="24"/>
      <c r="J6740" s="116">
        <v>4.5</v>
      </c>
      <c r="K6740" s="118">
        <v>705000</v>
      </c>
      <c r="L6740" s="119"/>
      <c r="M6740" s="118">
        <f t="shared" ref="M6740" si="9403">K6740*0.1</f>
        <v>70500</v>
      </c>
      <c r="N6740" s="119"/>
      <c r="O6740" s="118">
        <v>0</v>
      </c>
      <c r="P6740" s="119"/>
      <c r="Q6740" s="118">
        <v>7510</v>
      </c>
      <c r="R6740" s="119"/>
      <c r="S6740" s="118">
        <v>16500</v>
      </c>
      <c r="T6740" s="119"/>
      <c r="U6740" s="118">
        <f t="shared" ref="U6740" si="9404">SUM(K6740:T6741)</f>
        <v>799510</v>
      </c>
      <c r="V6740" s="122"/>
      <c r="W6740" s="124"/>
      <c r="X6740" s="126" t="s">
        <v>20057</v>
      </c>
      <c r="Y6740" s="127"/>
      <c r="Z6740" s="127"/>
      <c r="AA6740" s="127"/>
      <c r="AB6740" s="128"/>
      <c r="AC6740" s="15" t="s">
        <v>20</v>
      </c>
      <c r="AD6740" s="129" t="s">
        <v>1670</v>
      </c>
      <c r="AE6740" s="130"/>
      <c r="AF6740" s="130"/>
      <c r="AG6740" s="130"/>
      <c r="AH6740" s="130"/>
      <c r="AI6740" s="131"/>
      <c r="AJ6740" s="132"/>
      <c r="AK6740" s="127"/>
      <c r="AL6740" s="128"/>
      <c r="AM6740" s="21"/>
      <c r="AN6740" s="133">
        <v>46116</v>
      </c>
      <c r="AO6740" s="134"/>
      <c r="AP6740" s="135">
        <v>1295</v>
      </c>
      <c r="AQ6740" s="136"/>
      <c r="AR6740" s="118">
        <v>750000</v>
      </c>
      <c r="AS6740" s="119"/>
      <c r="AT6740" s="118">
        <f t="shared" ref="AT6740" si="9405">AR6740*0.1</f>
        <v>75000</v>
      </c>
      <c r="AU6740" s="119"/>
      <c r="AV6740" s="118">
        <v>7510</v>
      </c>
      <c r="AW6740" s="119"/>
      <c r="AX6740" s="118">
        <f t="shared" ref="AX6740" si="9406">SUM(AR6740:AW6740)</f>
        <v>832510</v>
      </c>
      <c r="AY6740" s="119"/>
      <c r="AZ6740" s="137">
        <v>46126</v>
      </c>
    </row>
    <row r="6741" spans="1:52" ht="17.100000000000001" customHeight="1" thickBot="1">
      <c r="A6741" s="110"/>
      <c r="B6741" s="27" t="s">
        <v>3422</v>
      </c>
      <c r="C6741" s="27">
        <v>20198</v>
      </c>
      <c r="D6741" s="14" t="s">
        <v>1592</v>
      </c>
      <c r="E6741" s="112"/>
      <c r="F6741" s="139" t="s">
        <v>19297</v>
      </c>
      <c r="G6741" s="140"/>
      <c r="H6741" s="141"/>
      <c r="I6741" s="26">
        <v>50828</v>
      </c>
      <c r="J6741" s="117"/>
      <c r="K6741" s="120"/>
      <c r="L6741" s="121"/>
      <c r="M6741" s="120"/>
      <c r="N6741" s="121"/>
      <c r="O6741" s="120"/>
      <c r="P6741" s="121"/>
      <c r="Q6741" s="120"/>
      <c r="R6741" s="121"/>
      <c r="S6741" s="120"/>
      <c r="T6741" s="121"/>
      <c r="U6741" s="120"/>
      <c r="V6741" s="123"/>
      <c r="W6741" s="125"/>
      <c r="X6741" s="142" t="s">
        <v>4389</v>
      </c>
      <c r="Y6741" s="143"/>
      <c r="Z6741" s="143"/>
      <c r="AA6741" s="143"/>
      <c r="AB6741" s="144"/>
      <c r="AC6741" s="16" t="s">
        <v>21</v>
      </c>
      <c r="AD6741" s="17" t="s">
        <v>20053</v>
      </c>
      <c r="AE6741" s="145" t="s">
        <v>11427</v>
      </c>
      <c r="AF6741" s="146"/>
      <c r="AG6741" s="146"/>
      <c r="AH6741" s="146"/>
      <c r="AI6741" s="147"/>
      <c r="AJ6741" s="148"/>
      <c r="AK6741" s="143"/>
      <c r="AL6741" s="144"/>
      <c r="AM6741" s="22"/>
      <c r="AN6741" s="149" t="s">
        <v>6748</v>
      </c>
      <c r="AO6741" s="144"/>
      <c r="AP6741" s="148">
        <v>60139</v>
      </c>
      <c r="AQ6741" s="144"/>
      <c r="AR6741" s="120"/>
      <c r="AS6741" s="121"/>
      <c r="AT6741" s="120"/>
      <c r="AU6741" s="121"/>
      <c r="AV6741" s="120"/>
      <c r="AW6741" s="121"/>
      <c r="AX6741" s="120"/>
      <c r="AY6741" s="121"/>
      <c r="AZ6741" s="138"/>
    </row>
    <row r="6742" spans="1:52" ht="17.100000000000001" customHeight="1" thickTop="1">
      <c r="A6742" s="109" t="s">
        <v>19296</v>
      </c>
      <c r="B6742" s="28">
        <v>46085</v>
      </c>
      <c r="C6742" s="25">
        <v>2345</v>
      </c>
      <c r="D6742" s="13" t="s">
        <v>3381</v>
      </c>
      <c r="E6742" s="111"/>
      <c r="F6742" s="113" t="s">
        <v>19298</v>
      </c>
      <c r="G6742" s="114"/>
      <c r="H6742" s="115"/>
      <c r="I6742" s="24"/>
      <c r="J6742" s="116">
        <v>4</v>
      </c>
      <c r="K6742" s="118">
        <v>1115000</v>
      </c>
      <c r="L6742" s="119"/>
      <c r="M6742" s="118">
        <f t="shared" ref="M6742" si="9407">K6742*0.1</f>
        <v>111500</v>
      </c>
      <c r="N6742" s="119"/>
      <c r="O6742" s="118">
        <v>0</v>
      </c>
      <c r="P6742" s="119"/>
      <c r="Q6742" s="118">
        <v>11010</v>
      </c>
      <c r="R6742" s="119"/>
      <c r="S6742" s="118">
        <v>16500</v>
      </c>
      <c r="T6742" s="119"/>
      <c r="U6742" s="118">
        <f t="shared" ref="U6742" si="9408">SUM(K6742:T6743)</f>
        <v>1254010</v>
      </c>
      <c r="V6742" s="122"/>
      <c r="W6742" s="124"/>
      <c r="X6742" s="126" t="s">
        <v>19740</v>
      </c>
      <c r="Y6742" s="127"/>
      <c r="Z6742" s="127"/>
      <c r="AA6742" s="127"/>
      <c r="AB6742" s="128"/>
      <c r="AC6742" s="15" t="s">
        <v>20</v>
      </c>
      <c r="AD6742" s="129" t="s">
        <v>19300</v>
      </c>
      <c r="AE6742" s="130"/>
      <c r="AF6742" s="130"/>
      <c r="AG6742" s="130"/>
      <c r="AH6742" s="130"/>
      <c r="AI6742" s="131"/>
      <c r="AJ6742" s="132"/>
      <c r="AK6742" s="127"/>
      <c r="AL6742" s="128"/>
      <c r="AM6742" s="21"/>
      <c r="AN6742" s="133">
        <v>46099</v>
      </c>
      <c r="AO6742" s="134"/>
      <c r="AP6742" s="135">
        <v>1009</v>
      </c>
      <c r="AQ6742" s="136"/>
      <c r="AR6742" s="118">
        <v>1200000</v>
      </c>
      <c r="AS6742" s="119"/>
      <c r="AT6742" s="118">
        <f t="shared" ref="AT6742" si="9409">AR6742*0.1</f>
        <v>120000</v>
      </c>
      <c r="AU6742" s="119"/>
      <c r="AV6742" s="118">
        <v>11010</v>
      </c>
      <c r="AW6742" s="119"/>
      <c r="AX6742" s="118">
        <f t="shared" ref="AX6742" si="9410">SUM(AR6742:AW6742)</f>
        <v>1331010</v>
      </c>
      <c r="AY6742" s="119"/>
      <c r="AZ6742" s="137">
        <v>46106</v>
      </c>
    </row>
    <row r="6743" spans="1:52" ht="17.100000000000001" customHeight="1" thickBot="1">
      <c r="A6743" s="110"/>
      <c r="B6743" s="27" t="s">
        <v>3422</v>
      </c>
      <c r="C6743" s="27">
        <v>60232</v>
      </c>
      <c r="D6743" s="14" t="s">
        <v>2601</v>
      </c>
      <c r="E6743" s="112"/>
      <c r="F6743" s="139" t="s">
        <v>19299</v>
      </c>
      <c r="G6743" s="140"/>
      <c r="H6743" s="141"/>
      <c r="I6743" s="26">
        <v>38816</v>
      </c>
      <c r="J6743" s="117"/>
      <c r="K6743" s="120"/>
      <c r="L6743" s="121"/>
      <c r="M6743" s="120"/>
      <c r="N6743" s="121"/>
      <c r="O6743" s="120"/>
      <c r="P6743" s="121"/>
      <c r="Q6743" s="120"/>
      <c r="R6743" s="121"/>
      <c r="S6743" s="120"/>
      <c r="T6743" s="121"/>
      <c r="U6743" s="120"/>
      <c r="V6743" s="123"/>
      <c r="W6743" s="125"/>
      <c r="X6743" s="142" t="s">
        <v>13389</v>
      </c>
      <c r="Y6743" s="143"/>
      <c r="Z6743" s="143"/>
      <c r="AA6743" s="143"/>
      <c r="AB6743" s="144"/>
      <c r="AC6743" s="16" t="s">
        <v>21</v>
      </c>
      <c r="AD6743" s="17" t="s">
        <v>2689</v>
      </c>
      <c r="AE6743" s="145" t="s">
        <v>19741</v>
      </c>
      <c r="AF6743" s="146"/>
      <c r="AG6743" s="146"/>
      <c r="AH6743" s="146"/>
      <c r="AI6743" s="147"/>
      <c r="AJ6743" s="148"/>
      <c r="AK6743" s="143"/>
      <c r="AL6743" s="144"/>
      <c r="AM6743" s="22"/>
      <c r="AN6743" s="149" t="s">
        <v>7285</v>
      </c>
      <c r="AO6743" s="144"/>
      <c r="AP6743" s="148">
        <v>5152</v>
      </c>
      <c r="AQ6743" s="144"/>
      <c r="AR6743" s="120"/>
      <c r="AS6743" s="121"/>
      <c r="AT6743" s="120"/>
      <c r="AU6743" s="121"/>
      <c r="AV6743" s="120"/>
      <c r="AW6743" s="121"/>
      <c r="AX6743" s="120"/>
      <c r="AY6743" s="121"/>
      <c r="AZ6743" s="138"/>
    </row>
    <row r="6744" spans="1:52" ht="17.100000000000001" customHeight="1" thickTop="1">
      <c r="A6744" s="109" t="s">
        <v>19457</v>
      </c>
      <c r="B6744" s="28">
        <v>46083</v>
      </c>
      <c r="C6744" s="25"/>
      <c r="D6744" s="13" t="s">
        <v>1823</v>
      </c>
      <c r="E6744" s="111"/>
      <c r="F6744" s="113" t="s">
        <v>4347</v>
      </c>
      <c r="G6744" s="114"/>
      <c r="H6744" s="115"/>
      <c r="I6744" s="24" t="s">
        <v>19455</v>
      </c>
      <c r="J6744" s="116"/>
      <c r="K6744" s="118">
        <v>1700000</v>
      </c>
      <c r="L6744" s="119"/>
      <c r="M6744" s="118">
        <v>0</v>
      </c>
      <c r="N6744" s="119"/>
      <c r="O6744" s="118">
        <v>0</v>
      </c>
      <c r="P6744" s="119"/>
      <c r="Q6744" s="118"/>
      <c r="R6744" s="119"/>
      <c r="S6744" s="118"/>
      <c r="T6744" s="119"/>
      <c r="U6744" s="118">
        <f t="shared" ref="U6744" si="9411">SUM(K6744:T6745)</f>
        <v>1700000</v>
      </c>
      <c r="V6744" s="122"/>
      <c r="W6744" s="124"/>
      <c r="X6744" s="126" t="s">
        <v>19456</v>
      </c>
      <c r="Y6744" s="127"/>
      <c r="Z6744" s="127"/>
      <c r="AA6744" s="127"/>
      <c r="AB6744" s="128"/>
      <c r="AC6744" s="15" t="s">
        <v>20</v>
      </c>
      <c r="AD6744" s="129"/>
      <c r="AE6744" s="130"/>
      <c r="AF6744" s="130"/>
      <c r="AG6744" s="130"/>
      <c r="AH6744" s="130"/>
      <c r="AI6744" s="131"/>
      <c r="AJ6744" s="132"/>
      <c r="AK6744" s="127"/>
      <c r="AL6744" s="128"/>
      <c r="AM6744" s="21" t="s">
        <v>20986</v>
      </c>
      <c r="AN6744" s="133"/>
      <c r="AO6744" s="134"/>
      <c r="AP6744" s="135"/>
      <c r="AQ6744" s="136"/>
      <c r="AR6744" s="118"/>
      <c r="AS6744" s="119"/>
      <c r="AT6744" s="118">
        <f t="shared" ref="AT6744" si="9412">AR6744*0.1</f>
        <v>0</v>
      </c>
      <c r="AU6744" s="119"/>
      <c r="AV6744" s="118"/>
      <c r="AW6744" s="119"/>
      <c r="AX6744" s="118">
        <f t="shared" ref="AX6744" si="9413">SUM(AR6744:AW6744)</f>
        <v>0</v>
      </c>
      <c r="AY6744" s="119"/>
      <c r="AZ6744" s="137"/>
    </row>
    <row r="6745" spans="1:52" ht="17.100000000000001" customHeight="1" thickBot="1">
      <c r="A6745" s="110"/>
      <c r="B6745" s="27" t="s">
        <v>19453</v>
      </c>
      <c r="C6745" s="27"/>
      <c r="D6745" s="14"/>
      <c r="E6745" s="112"/>
      <c r="F6745" s="139" t="s">
        <v>19454</v>
      </c>
      <c r="G6745" s="140"/>
      <c r="H6745" s="141"/>
      <c r="I6745" s="26">
        <v>54328</v>
      </c>
      <c r="J6745" s="117"/>
      <c r="K6745" s="120"/>
      <c r="L6745" s="121"/>
      <c r="M6745" s="120"/>
      <c r="N6745" s="121"/>
      <c r="O6745" s="120"/>
      <c r="P6745" s="121"/>
      <c r="Q6745" s="120"/>
      <c r="R6745" s="121"/>
      <c r="S6745" s="120"/>
      <c r="T6745" s="121"/>
      <c r="U6745" s="120"/>
      <c r="V6745" s="123"/>
      <c r="W6745" s="125"/>
      <c r="X6745" s="142" t="s">
        <v>3602</v>
      </c>
      <c r="Y6745" s="143"/>
      <c r="Z6745" s="143"/>
      <c r="AA6745" s="143"/>
      <c r="AB6745" s="144"/>
      <c r="AC6745" s="16" t="s">
        <v>21</v>
      </c>
      <c r="AD6745" s="17" t="s">
        <v>2359</v>
      </c>
      <c r="AE6745" s="145" t="s">
        <v>171</v>
      </c>
      <c r="AF6745" s="146"/>
      <c r="AG6745" s="146"/>
      <c r="AH6745" s="146"/>
      <c r="AI6745" s="147"/>
      <c r="AJ6745" s="148"/>
      <c r="AK6745" s="143"/>
      <c r="AL6745" s="144"/>
      <c r="AM6745" s="22"/>
      <c r="AN6745" s="149"/>
      <c r="AO6745" s="144"/>
      <c r="AP6745" s="148"/>
      <c r="AQ6745" s="144"/>
      <c r="AR6745" s="120"/>
      <c r="AS6745" s="121"/>
      <c r="AT6745" s="120"/>
      <c r="AU6745" s="121"/>
      <c r="AV6745" s="120"/>
      <c r="AW6745" s="121"/>
      <c r="AX6745" s="120"/>
      <c r="AY6745" s="121"/>
      <c r="AZ6745" s="138"/>
    </row>
    <row r="6746" spans="1:52" ht="17.100000000000001" customHeight="1" thickTop="1">
      <c r="A6746" s="109" t="s">
        <v>19464</v>
      </c>
      <c r="B6746" s="28">
        <v>46085</v>
      </c>
      <c r="C6746" s="25">
        <v>1828</v>
      </c>
      <c r="D6746" s="13" t="s">
        <v>2428</v>
      </c>
      <c r="E6746" s="111"/>
      <c r="F6746" s="113" t="s">
        <v>19471</v>
      </c>
      <c r="G6746" s="114"/>
      <c r="H6746" s="115"/>
      <c r="I6746" s="24"/>
      <c r="J6746" s="116">
        <v>4.5</v>
      </c>
      <c r="K6746" s="118">
        <v>796000</v>
      </c>
      <c r="L6746" s="119"/>
      <c r="M6746" s="118">
        <f t="shared" ref="M6746" si="9414">K6746*0.1</f>
        <v>79600</v>
      </c>
      <c r="N6746" s="119"/>
      <c r="O6746" s="118">
        <v>0</v>
      </c>
      <c r="P6746" s="119"/>
      <c r="Q6746" s="118">
        <v>7860</v>
      </c>
      <c r="R6746" s="119"/>
      <c r="S6746" s="118">
        <v>18150</v>
      </c>
      <c r="T6746" s="119"/>
      <c r="U6746" s="118">
        <f t="shared" ref="U6746" si="9415">SUM(K6746:T6747)</f>
        <v>901610</v>
      </c>
      <c r="V6746" s="122"/>
      <c r="W6746" s="124"/>
      <c r="X6746" s="126" t="s">
        <v>19490</v>
      </c>
      <c r="Y6746" s="127"/>
      <c r="Z6746" s="127"/>
      <c r="AA6746" s="127"/>
      <c r="AB6746" s="128"/>
      <c r="AC6746" s="15" t="s">
        <v>20</v>
      </c>
      <c r="AD6746" s="129" t="s">
        <v>186</v>
      </c>
      <c r="AE6746" s="130"/>
      <c r="AF6746" s="130"/>
      <c r="AG6746" s="130"/>
      <c r="AH6746" s="130"/>
      <c r="AI6746" s="131"/>
      <c r="AJ6746" s="132"/>
      <c r="AK6746" s="127"/>
      <c r="AL6746" s="128"/>
      <c r="AM6746" s="21"/>
      <c r="AN6746" s="133">
        <v>46095</v>
      </c>
      <c r="AO6746" s="134"/>
      <c r="AP6746" s="135">
        <v>1292</v>
      </c>
      <c r="AQ6746" s="136"/>
      <c r="AR6746" s="118">
        <v>865000</v>
      </c>
      <c r="AS6746" s="119"/>
      <c r="AT6746" s="118">
        <f t="shared" ref="AT6746" si="9416">AR6746*0.1</f>
        <v>86500</v>
      </c>
      <c r="AU6746" s="119"/>
      <c r="AV6746" s="118">
        <v>7860</v>
      </c>
      <c r="AW6746" s="119"/>
      <c r="AX6746" s="118">
        <f t="shared" ref="AX6746" si="9417">SUM(AR6746:AW6746)</f>
        <v>959360</v>
      </c>
      <c r="AY6746" s="119"/>
      <c r="AZ6746" s="137">
        <v>46098</v>
      </c>
    </row>
    <row r="6747" spans="1:52" ht="17.100000000000001" customHeight="1" thickBot="1">
      <c r="A6747" s="110"/>
      <c r="B6747" s="27" t="s">
        <v>19463</v>
      </c>
      <c r="C6747" s="27">
        <v>3151</v>
      </c>
      <c r="D6747" s="14" t="s">
        <v>1720</v>
      </c>
      <c r="E6747" s="112"/>
      <c r="F6747" s="139" t="s">
        <v>19472</v>
      </c>
      <c r="G6747" s="140"/>
      <c r="H6747" s="141"/>
      <c r="I6747" s="26">
        <v>44306</v>
      </c>
      <c r="J6747" s="117"/>
      <c r="K6747" s="120"/>
      <c r="L6747" s="121"/>
      <c r="M6747" s="120"/>
      <c r="N6747" s="121"/>
      <c r="O6747" s="120"/>
      <c r="P6747" s="121"/>
      <c r="Q6747" s="120"/>
      <c r="R6747" s="121"/>
      <c r="S6747" s="120"/>
      <c r="T6747" s="121"/>
      <c r="U6747" s="120"/>
      <c r="V6747" s="123"/>
      <c r="W6747" s="125"/>
      <c r="X6747" s="142" t="s">
        <v>9352</v>
      </c>
      <c r="Y6747" s="143"/>
      <c r="Z6747" s="143"/>
      <c r="AA6747" s="143"/>
      <c r="AB6747" s="144"/>
      <c r="AC6747" s="16" t="s">
        <v>21</v>
      </c>
      <c r="AD6747" s="17" t="s">
        <v>2681</v>
      </c>
      <c r="AE6747" s="145" t="s">
        <v>19491</v>
      </c>
      <c r="AF6747" s="146"/>
      <c r="AG6747" s="146"/>
      <c r="AH6747" s="146"/>
      <c r="AI6747" s="147"/>
      <c r="AJ6747" s="148"/>
      <c r="AK6747" s="143"/>
      <c r="AL6747" s="144"/>
      <c r="AM6747" s="22"/>
      <c r="AN6747" s="149" t="s">
        <v>2511</v>
      </c>
      <c r="AO6747" s="144"/>
      <c r="AP6747" s="148">
        <v>60318</v>
      </c>
      <c r="AQ6747" s="144"/>
      <c r="AR6747" s="120"/>
      <c r="AS6747" s="121"/>
      <c r="AT6747" s="120"/>
      <c r="AU6747" s="121"/>
      <c r="AV6747" s="120"/>
      <c r="AW6747" s="121"/>
      <c r="AX6747" s="120"/>
      <c r="AY6747" s="121"/>
      <c r="AZ6747" s="138"/>
    </row>
    <row r="6748" spans="1:52" ht="17.100000000000001" customHeight="1" thickTop="1">
      <c r="A6748" s="109" t="s">
        <v>19465</v>
      </c>
      <c r="B6748" s="28">
        <v>46085</v>
      </c>
      <c r="C6748" s="25">
        <v>1828</v>
      </c>
      <c r="D6748" s="13" t="s">
        <v>2329</v>
      </c>
      <c r="E6748" s="111"/>
      <c r="F6748" s="113" t="s">
        <v>7635</v>
      </c>
      <c r="G6748" s="114"/>
      <c r="H6748" s="115"/>
      <c r="I6748" s="24" t="s">
        <v>4314</v>
      </c>
      <c r="J6748" s="116">
        <v>4.5</v>
      </c>
      <c r="K6748" s="118">
        <v>1012000</v>
      </c>
      <c r="L6748" s="119"/>
      <c r="M6748" s="118">
        <f t="shared" ref="M6748" si="9418">K6748*0.1</f>
        <v>101200</v>
      </c>
      <c r="N6748" s="119"/>
      <c r="O6748" s="118">
        <v>10800</v>
      </c>
      <c r="P6748" s="119"/>
      <c r="Q6748" s="118">
        <v>9080</v>
      </c>
      <c r="R6748" s="119"/>
      <c r="S6748" s="118">
        <v>18150</v>
      </c>
      <c r="T6748" s="119"/>
      <c r="U6748" s="118">
        <f t="shared" ref="U6748" si="9419">SUM(K6748:T6749)</f>
        <v>1151230</v>
      </c>
      <c r="V6748" s="122"/>
      <c r="W6748" s="124"/>
      <c r="X6748" s="126" t="s">
        <v>19476</v>
      </c>
      <c r="Y6748" s="127"/>
      <c r="Z6748" s="127"/>
      <c r="AA6748" s="127"/>
      <c r="AB6748" s="128"/>
      <c r="AC6748" s="15" t="s">
        <v>20</v>
      </c>
      <c r="AD6748" s="129"/>
      <c r="AE6748" s="130"/>
      <c r="AF6748" s="130"/>
      <c r="AG6748" s="130"/>
      <c r="AH6748" s="130"/>
      <c r="AI6748" s="131"/>
      <c r="AJ6748" s="132"/>
      <c r="AK6748" s="127"/>
      <c r="AL6748" s="128"/>
      <c r="AM6748" s="21"/>
      <c r="AN6748" s="133">
        <v>46088</v>
      </c>
      <c r="AO6748" s="134"/>
      <c r="AP6748" s="135">
        <v>1291</v>
      </c>
      <c r="AQ6748" s="136"/>
      <c r="AR6748" s="118">
        <v>1070000</v>
      </c>
      <c r="AS6748" s="119"/>
      <c r="AT6748" s="118">
        <f t="shared" ref="AT6748" si="9420">AR6748*0.1</f>
        <v>107000</v>
      </c>
      <c r="AU6748" s="119"/>
      <c r="AV6748" s="118">
        <v>9080</v>
      </c>
      <c r="AW6748" s="119"/>
      <c r="AX6748" s="118">
        <f t="shared" ref="AX6748" si="9421">SUM(AR6748:AW6748)</f>
        <v>1186080</v>
      </c>
      <c r="AY6748" s="119"/>
      <c r="AZ6748" s="137">
        <v>46093</v>
      </c>
    </row>
    <row r="6749" spans="1:52" ht="17.100000000000001" customHeight="1" thickBot="1">
      <c r="A6749" s="110"/>
      <c r="B6749" s="27" t="s">
        <v>19463</v>
      </c>
      <c r="C6749" s="27">
        <v>3206</v>
      </c>
      <c r="D6749" s="14" t="s">
        <v>4023</v>
      </c>
      <c r="E6749" s="112"/>
      <c r="F6749" s="139" t="s">
        <v>19475</v>
      </c>
      <c r="G6749" s="140"/>
      <c r="H6749" s="141"/>
      <c r="I6749" s="26">
        <v>27473</v>
      </c>
      <c r="J6749" s="117"/>
      <c r="K6749" s="120"/>
      <c r="L6749" s="121"/>
      <c r="M6749" s="120"/>
      <c r="N6749" s="121"/>
      <c r="O6749" s="120"/>
      <c r="P6749" s="121"/>
      <c r="Q6749" s="120"/>
      <c r="R6749" s="121"/>
      <c r="S6749" s="120"/>
      <c r="T6749" s="121"/>
      <c r="U6749" s="120"/>
      <c r="V6749" s="123"/>
      <c r="W6749" s="125"/>
      <c r="X6749" s="142" t="s">
        <v>4423</v>
      </c>
      <c r="Y6749" s="143"/>
      <c r="Z6749" s="143"/>
      <c r="AA6749" s="143"/>
      <c r="AB6749" s="144"/>
      <c r="AC6749" s="16" t="s">
        <v>21</v>
      </c>
      <c r="AD6749" s="17" t="s">
        <v>1631</v>
      </c>
      <c r="AE6749" s="145" t="s">
        <v>171</v>
      </c>
      <c r="AF6749" s="146"/>
      <c r="AG6749" s="146"/>
      <c r="AH6749" s="146"/>
      <c r="AI6749" s="147"/>
      <c r="AJ6749" s="148"/>
      <c r="AK6749" s="143"/>
      <c r="AL6749" s="144"/>
      <c r="AM6749" s="22"/>
      <c r="AN6749" s="149" t="s">
        <v>2511</v>
      </c>
      <c r="AO6749" s="144"/>
      <c r="AP6749" s="148">
        <v>60472</v>
      </c>
      <c r="AQ6749" s="144"/>
      <c r="AR6749" s="120"/>
      <c r="AS6749" s="121"/>
      <c r="AT6749" s="120"/>
      <c r="AU6749" s="121"/>
      <c r="AV6749" s="120"/>
      <c r="AW6749" s="121"/>
      <c r="AX6749" s="120"/>
      <c r="AY6749" s="121"/>
      <c r="AZ6749" s="138"/>
    </row>
    <row r="6750" spans="1:52" ht="17.100000000000001" customHeight="1" thickTop="1">
      <c r="A6750" s="109" t="s">
        <v>19466</v>
      </c>
      <c r="B6750" s="28">
        <v>46085</v>
      </c>
      <c r="C6750" s="25">
        <v>1828</v>
      </c>
      <c r="D6750" s="13" t="s">
        <v>1855</v>
      </c>
      <c r="E6750" s="111"/>
      <c r="F6750" s="113" t="s">
        <v>19477</v>
      </c>
      <c r="G6750" s="114"/>
      <c r="H6750" s="115"/>
      <c r="I6750" s="24"/>
      <c r="J6750" s="116">
        <v>4</v>
      </c>
      <c r="K6750" s="118">
        <v>1085000</v>
      </c>
      <c r="L6750" s="119"/>
      <c r="M6750" s="118">
        <f t="shared" ref="M6750" si="9422">K6750*0.1</f>
        <v>108500</v>
      </c>
      <c r="N6750" s="119"/>
      <c r="O6750" s="118">
        <v>0</v>
      </c>
      <c r="P6750" s="119"/>
      <c r="Q6750" s="118">
        <v>12470</v>
      </c>
      <c r="R6750" s="119"/>
      <c r="S6750" s="118">
        <v>18150</v>
      </c>
      <c r="T6750" s="119"/>
      <c r="U6750" s="118">
        <f t="shared" ref="U6750" si="9423">SUM(K6750:T6751)</f>
        <v>1224120</v>
      </c>
      <c r="V6750" s="122"/>
      <c r="W6750" s="124"/>
      <c r="X6750" s="126" t="s">
        <v>20024</v>
      </c>
      <c r="Y6750" s="127"/>
      <c r="Z6750" s="127"/>
      <c r="AA6750" s="127"/>
      <c r="AB6750" s="128"/>
      <c r="AC6750" s="15" t="s">
        <v>20</v>
      </c>
      <c r="AD6750" s="129"/>
      <c r="AE6750" s="130"/>
      <c r="AF6750" s="130"/>
      <c r="AG6750" s="130"/>
      <c r="AH6750" s="130"/>
      <c r="AI6750" s="131"/>
      <c r="AJ6750" s="132"/>
      <c r="AK6750" s="127"/>
      <c r="AL6750" s="128"/>
      <c r="AM6750" s="21"/>
      <c r="AN6750" s="133">
        <v>46088</v>
      </c>
      <c r="AO6750" s="134"/>
      <c r="AP6750" s="135">
        <v>1291</v>
      </c>
      <c r="AQ6750" s="136"/>
      <c r="AR6750" s="118">
        <v>1150000</v>
      </c>
      <c r="AS6750" s="119"/>
      <c r="AT6750" s="118">
        <f t="shared" ref="AT6750" si="9424">AR6750*0.1</f>
        <v>115000</v>
      </c>
      <c r="AU6750" s="119"/>
      <c r="AV6750" s="118">
        <v>12470</v>
      </c>
      <c r="AW6750" s="119"/>
      <c r="AX6750" s="118">
        <f t="shared" ref="AX6750" si="9425">SUM(AR6750:AW6750)</f>
        <v>1277470</v>
      </c>
      <c r="AY6750" s="119"/>
      <c r="AZ6750" s="137">
        <v>46098</v>
      </c>
    </row>
    <row r="6751" spans="1:52" ht="17.100000000000001" customHeight="1" thickBot="1">
      <c r="A6751" s="110"/>
      <c r="B6751" s="27" t="s">
        <v>19463</v>
      </c>
      <c r="C6751" s="27">
        <v>30196</v>
      </c>
      <c r="D6751" s="14" t="s">
        <v>275</v>
      </c>
      <c r="E6751" s="112"/>
      <c r="F6751" s="139" t="s">
        <v>19478</v>
      </c>
      <c r="G6751" s="140"/>
      <c r="H6751" s="141"/>
      <c r="I6751" s="26">
        <v>96338</v>
      </c>
      <c r="J6751" s="117"/>
      <c r="K6751" s="120"/>
      <c r="L6751" s="121"/>
      <c r="M6751" s="120"/>
      <c r="N6751" s="121"/>
      <c r="O6751" s="120"/>
      <c r="P6751" s="121"/>
      <c r="Q6751" s="120"/>
      <c r="R6751" s="121"/>
      <c r="S6751" s="120"/>
      <c r="T6751" s="121"/>
      <c r="U6751" s="120"/>
      <c r="V6751" s="123"/>
      <c r="W6751" s="125"/>
      <c r="X6751" s="142" t="s">
        <v>20025</v>
      </c>
      <c r="Y6751" s="143"/>
      <c r="Z6751" s="143"/>
      <c r="AA6751" s="143"/>
      <c r="AB6751" s="144"/>
      <c r="AC6751" s="16" t="s">
        <v>21</v>
      </c>
      <c r="AD6751" s="17" t="s">
        <v>3386</v>
      </c>
      <c r="AE6751" s="145" t="s">
        <v>20026</v>
      </c>
      <c r="AF6751" s="146"/>
      <c r="AG6751" s="146"/>
      <c r="AH6751" s="146"/>
      <c r="AI6751" s="147"/>
      <c r="AJ6751" s="148"/>
      <c r="AK6751" s="143"/>
      <c r="AL6751" s="144"/>
      <c r="AM6751" s="22"/>
      <c r="AN6751" s="149" t="s">
        <v>6748</v>
      </c>
      <c r="AO6751" s="144"/>
      <c r="AP6751" s="148">
        <v>142</v>
      </c>
      <c r="AQ6751" s="144"/>
      <c r="AR6751" s="120"/>
      <c r="AS6751" s="121"/>
      <c r="AT6751" s="120"/>
      <c r="AU6751" s="121"/>
      <c r="AV6751" s="120"/>
      <c r="AW6751" s="121"/>
      <c r="AX6751" s="120"/>
      <c r="AY6751" s="121"/>
      <c r="AZ6751" s="138"/>
    </row>
    <row r="6752" spans="1:52" ht="17.100000000000001" customHeight="1" thickTop="1">
      <c r="A6752" s="109" t="s">
        <v>19467</v>
      </c>
      <c r="B6752" s="28">
        <v>46085</v>
      </c>
      <c r="C6752" s="25">
        <v>1828</v>
      </c>
      <c r="D6752" s="13" t="s">
        <v>1758</v>
      </c>
      <c r="E6752" s="111"/>
      <c r="F6752" s="113" t="s">
        <v>1938</v>
      </c>
      <c r="G6752" s="114"/>
      <c r="H6752" s="115"/>
      <c r="I6752" s="24" t="s">
        <v>1559</v>
      </c>
      <c r="J6752" s="116">
        <v>4</v>
      </c>
      <c r="K6752" s="118">
        <v>490000</v>
      </c>
      <c r="L6752" s="119"/>
      <c r="M6752" s="118">
        <f t="shared" ref="M6752" si="9426">K6752*0.1</f>
        <v>49000</v>
      </c>
      <c r="N6752" s="119"/>
      <c r="O6752" s="118">
        <v>34500</v>
      </c>
      <c r="P6752" s="119"/>
      <c r="Q6752" s="118">
        <v>17700</v>
      </c>
      <c r="R6752" s="119"/>
      <c r="S6752" s="118">
        <v>18150</v>
      </c>
      <c r="T6752" s="119"/>
      <c r="U6752" s="118">
        <f t="shared" ref="U6752" si="9427">SUM(K6752:T6753)</f>
        <v>609350</v>
      </c>
      <c r="V6752" s="122"/>
      <c r="W6752" s="124"/>
      <c r="X6752" s="126" t="s">
        <v>19480</v>
      </c>
      <c r="Y6752" s="127"/>
      <c r="Z6752" s="127"/>
      <c r="AA6752" s="127"/>
      <c r="AB6752" s="128"/>
      <c r="AC6752" s="15" t="s">
        <v>20</v>
      </c>
      <c r="AD6752" s="129"/>
      <c r="AE6752" s="130"/>
      <c r="AF6752" s="130"/>
      <c r="AG6752" s="130"/>
      <c r="AH6752" s="130"/>
      <c r="AI6752" s="131"/>
      <c r="AJ6752" s="132"/>
      <c r="AK6752" s="127"/>
      <c r="AL6752" s="128"/>
      <c r="AM6752" s="21"/>
      <c r="AN6752" s="133">
        <v>46088</v>
      </c>
      <c r="AO6752" s="134"/>
      <c r="AP6752" s="135">
        <v>1291</v>
      </c>
      <c r="AQ6752" s="136"/>
      <c r="AR6752" s="118">
        <v>620000</v>
      </c>
      <c r="AS6752" s="119"/>
      <c r="AT6752" s="118">
        <f t="shared" ref="AT6752" si="9428">AR6752*0.1</f>
        <v>62000</v>
      </c>
      <c r="AU6752" s="119"/>
      <c r="AV6752" s="118">
        <v>17700</v>
      </c>
      <c r="AW6752" s="119"/>
      <c r="AX6752" s="118">
        <f t="shared" ref="AX6752" si="9429">SUM(AR6752:AW6752)</f>
        <v>699700</v>
      </c>
      <c r="AY6752" s="119"/>
      <c r="AZ6752" s="137">
        <v>46093</v>
      </c>
    </row>
    <row r="6753" spans="1:52" ht="17.100000000000001" customHeight="1" thickBot="1">
      <c r="A6753" s="110"/>
      <c r="B6753" s="27" t="s">
        <v>19463</v>
      </c>
      <c r="C6753" s="27">
        <v>38044</v>
      </c>
      <c r="D6753" s="14" t="s">
        <v>17888</v>
      </c>
      <c r="E6753" s="112"/>
      <c r="F6753" s="139" t="s">
        <v>19479</v>
      </c>
      <c r="G6753" s="140"/>
      <c r="H6753" s="141"/>
      <c r="I6753" s="26">
        <v>65858</v>
      </c>
      <c r="J6753" s="117"/>
      <c r="K6753" s="120"/>
      <c r="L6753" s="121"/>
      <c r="M6753" s="120"/>
      <c r="N6753" s="121"/>
      <c r="O6753" s="120"/>
      <c r="P6753" s="121"/>
      <c r="Q6753" s="120"/>
      <c r="R6753" s="121"/>
      <c r="S6753" s="120"/>
      <c r="T6753" s="121"/>
      <c r="U6753" s="120"/>
      <c r="V6753" s="123"/>
      <c r="W6753" s="125"/>
      <c r="X6753" s="142" t="s">
        <v>19835</v>
      </c>
      <c r="Y6753" s="143"/>
      <c r="Z6753" s="143"/>
      <c r="AA6753" s="143"/>
      <c r="AB6753" s="144"/>
      <c r="AC6753" s="16" t="s">
        <v>21</v>
      </c>
      <c r="AD6753" s="17" t="s">
        <v>1631</v>
      </c>
      <c r="AE6753" s="145" t="s">
        <v>19836</v>
      </c>
      <c r="AF6753" s="146"/>
      <c r="AG6753" s="146"/>
      <c r="AH6753" s="146"/>
      <c r="AI6753" s="147"/>
      <c r="AJ6753" s="148"/>
      <c r="AK6753" s="143"/>
      <c r="AL6753" s="144"/>
      <c r="AM6753" s="22"/>
      <c r="AN6753" s="149" t="s">
        <v>6748</v>
      </c>
      <c r="AO6753" s="144"/>
      <c r="AP6753" s="148">
        <v>80349</v>
      </c>
      <c r="AQ6753" s="144"/>
      <c r="AR6753" s="120"/>
      <c r="AS6753" s="121"/>
      <c r="AT6753" s="120"/>
      <c r="AU6753" s="121"/>
      <c r="AV6753" s="120"/>
      <c r="AW6753" s="121"/>
      <c r="AX6753" s="120"/>
      <c r="AY6753" s="121"/>
      <c r="AZ6753" s="138"/>
    </row>
    <row r="6754" spans="1:52" ht="17.100000000000001" customHeight="1" thickTop="1">
      <c r="A6754" s="109" t="s">
        <v>19468</v>
      </c>
      <c r="B6754" s="28">
        <v>46085</v>
      </c>
      <c r="C6754" s="25">
        <v>1828</v>
      </c>
      <c r="D6754" s="13" t="s">
        <v>3921</v>
      </c>
      <c r="E6754" s="111"/>
      <c r="F6754" s="113" t="s">
        <v>19481</v>
      </c>
      <c r="G6754" s="114"/>
      <c r="H6754" s="115"/>
      <c r="I6754" s="24"/>
      <c r="J6754" s="116">
        <v>5</v>
      </c>
      <c r="K6754" s="118">
        <v>1310000</v>
      </c>
      <c r="L6754" s="119"/>
      <c r="M6754" s="118">
        <f t="shared" ref="M6754" si="9430">K6754*0.1</f>
        <v>131000</v>
      </c>
      <c r="N6754" s="119"/>
      <c r="O6754" s="118">
        <v>0</v>
      </c>
      <c r="P6754" s="119"/>
      <c r="Q6754" s="118">
        <v>18780</v>
      </c>
      <c r="R6754" s="119"/>
      <c r="S6754" s="118">
        <v>18150</v>
      </c>
      <c r="T6754" s="119"/>
      <c r="U6754" s="118">
        <f t="shared" ref="U6754" si="9431">SUM(K6754:T6755)</f>
        <v>1477930</v>
      </c>
      <c r="V6754" s="122"/>
      <c r="W6754" s="124"/>
      <c r="X6754" s="126" t="s">
        <v>19845</v>
      </c>
      <c r="Y6754" s="127"/>
      <c r="Z6754" s="127"/>
      <c r="AA6754" s="127"/>
      <c r="AB6754" s="128"/>
      <c r="AC6754" s="15" t="s">
        <v>20</v>
      </c>
      <c r="AD6754" s="129"/>
      <c r="AE6754" s="130"/>
      <c r="AF6754" s="130"/>
      <c r="AG6754" s="130"/>
      <c r="AH6754" s="130"/>
      <c r="AI6754" s="131"/>
      <c r="AJ6754" s="132"/>
      <c r="AK6754" s="127"/>
      <c r="AL6754" s="128"/>
      <c r="AM6754" s="21"/>
      <c r="AN6754" s="133">
        <v>46095</v>
      </c>
      <c r="AO6754" s="134"/>
      <c r="AP6754" s="135">
        <v>1292</v>
      </c>
      <c r="AQ6754" s="136"/>
      <c r="AR6754" s="118">
        <v>1430000</v>
      </c>
      <c r="AS6754" s="119"/>
      <c r="AT6754" s="118">
        <f t="shared" ref="AT6754" si="9432">AR6754*0.1</f>
        <v>143000</v>
      </c>
      <c r="AU6754" s="119"/>
      <c r="AV6754" s="118">
        <v>18780</v>
      </c>
      <c r="AW6754" s="119"/>
      <c r="AX6754" s="118">
        <f t="shared" ref="AX6754" si="9433">SUM(AR6754:AW6754)</f>
        <v>1591780</v>
      </c>
      <c r="AY6754" s="119"/>
      <c r="AZ6754" s="137">
        <v>46098</v>
      </c>
    </row>
    <row r="6755" spans="1:52" ht="17.100000000000001" customHeight="1" thickBot="1">
      <c r="A6755" s="110"/>
      <c r="B6755" s="27" t="s">
        <v>19463</v>
      </c>
      <c r="C6755" s="27">
        <v>38065</v>
      </c>
      <c r="D6755" s="14" t="s">
        <v>2601</v>
      </c>
      <c r="E6755" s="112"/>
      <c r="F6755" s="139" t="s">
        <v>19482</v>
      </c>
      <c r="G6755" s="140"/>
      <c r="H6755" s="141"/>
      <c r="I6755" s="26">
        <v>22297</v>
      </c>
      <c r="J6755" s="117"/>
      <c r="K6755" s="120"/>
      <c r="L6755" s="121"/>
      <c r="M6755" s="120"/>
      <c r="N6755" s="121"/>
      <c r="O6755" s="120"/>
      <c r="P6755" s="121"/>
      <c r="Q6755" s="120"/>
      <c r="R6755" s="121"/>
      <c r="S6755" s="120"/>
      <c r="T6755" s="121"/>
      <c r="U6755" s="120"/>
      <c r="V6755" s="123"/>
      <c r="W6755" s="125"/>
      <c r="X6755" s="142" t="s">
        <v>4423</v>
      </c>
      <c r="Y6755" s="143"/>
      <c r="Z6755" s="143"/>
      <c r="AA6755" s="143"/>
      <c r="AB6755" s="144"/>
      <c r="AC6755" s="16" t="s">
        <v>21</v>
      </c>
      <c r="AD6755" s="17" t="s">
        <v>1631</v>
      </c>
      <c r="AE6755" s="145" t="s">
        <v>1742</v>
      </c>
      <c r="AF6755" s="146"/>
      <c r="AG6755" s="146"/>
      <c r="AH6755" s="146"/>
      <c r="AI6755" s="147"/>
      <c r="AJ6755" s="148"/>
      <c r="AK6755" s="143"/>
      <c r="AL6755" s="144"/>
      <c r="AM6755" s="22"/>
      <c r="AN6755" s="149" t="s">
        <v>2511</v>
      </c>
      <c r="AO6755" s="144"/>
      <c r="AP6755" s="148">
        <v>80015</v>
      </c>
      <c r="AQ6755" s="144"/>
      <c r="AR6755" s="120"/>
      <c r="AS6755" s="121"/>
      <c r="AT6755" s="120"/>
      <c r="AU6755" s="121"/>
      <c r="AV6755" s="120"/>
      <c r="AW6755" s="121"/>
      <c r="AX6755" s="120"/>
      <c r="AY6755" s="121"/>
      <c r="AZ6755" s="138"/>
    </row>
    <row r="6756" spans="1:52" ht="17.100000000000001" customHeight="1" thickTop="1">
      <c r="A6756" s="109" t="s">
        <v>19469</v>
      </c>
      <c r="B6756" s="28">
        <v>46085</v>
      </c>
      <c r="C6756" s="25">
        <v>1828</v>
      </c>
      <c r="D6756" s="13" t="s">
        <v>2009</v>
      </c>
      <c r="E6756" s="111"/>
      <c r="F6756" s="113" t="s">
        <v>19483</v>
      </c>
      <c r="G6756" s="114"/>
      <c r="H6756" s="115"/>
      <c r="I6756" s="24" t="s">
        <v>2064</v>
      </c>
      <c r="J6756" s="116">
        <v>4.5</v>
      </c>
      <c r="K6756" s="118">
        <v>1760000</v>
      </c>
      <c r="L6756" s="119"/>
      <c r="M6756" s="118">
        <f t="shared" ref="M6756" si="9434">K6756*0.1</f>
        <v>176000</v>
      </c>
      <c r="N6756" s="119"/>
      <c r="O6756" s="118">
        <v>30500</v>
      </c>
      <c r="P6756" s="119"/>
      <c r="Q6756" s="118">
        <v>18330</v>
      </c>
      <c r="R6756" s="119"/>
      <c r="S6756" s="118">
        <v>18150</v>
      </c>
      <c r="T6756" s="119"/>
      <c r="U6756" s="118">
        <f t="shared" ref="U6756" si="9435">SUM(K6756:T6757)</f>
        <v>2002980</v>
      </c>
      <c r="V6756" s="122"/>
      <c r="W6756" s="124"/>
      <c r="X6756" s="126" t="s">
        <v>19485</v>
      </c>
      <c r="Y6756" s="127"/>
      <c r="Z6756" s="127"/>
      <c r="AA6756" s="127"/>
      <c r="AB6756" s="128"/>
      <c r="AC6756" s="15" t="s">
        <v>20</v>
      </c>
      <c r="AD6756" s="129" t="s">
        <v>19486</v>
      </c>
      <c r="AE6756" s="130"/>
      <c r="AF6756" s="130"/>
      <c r="AG6756" s="130"/>
      <c r="AH6756" s="130"/>
      <c r="AI6756" s="131"/>
      <c r="AJ6756" s="132"/>
      <c r="AK6756" s="127"/>
      <c r="AL6756" s="128"/>
      <c r="AM6756" s="21"/>
      <c r="AN6756" s="133">
        <v>46144</v>
      </c>
      <c r="AO6756" s="134"/>
      <c r="AP6756" s="135">
        <v>1299</v>
      </c>
      <c r="AQ6756" s="136"/>
      <c r="AR6756" s="118">
        <v>1880000</v>
      </c>
      <c r="AS6756" s="119"/>
      <c r="AT6756" s="118">
        <f t="shared" ref="AT6756" si="9436">AR6756*0.1</f>
        <v>188000</v>
      </c>
      <c r="AU6756" s="119"/>
      <c r="AV6756" s="118">
        <v>18330</v>
      </c>
      <c r="AW6756" s="119"/>
      <c r="AX6756" s="118">
        <f t="shared" ref="AX6756" si="9437">SUM(AR6756:AW6756)</f>
        <v>2086330</v>
      </c>
      <c r="AY6756" s="119"/>
      <c r="AZ6756" s="137">
        <v>46156</v>
      </c>
    </row>
    <row r="6757" spans="1:52" ht="17.100000000000001" customHeight="1" thickBot="1">
      <c r="A6757" s="110"/>
      <c r="B6757" s="27" t="s">
        <v>19463</v>
      </c>
      <c r="C6757" s="27">
        <v>38109</v>
      </c>
      <c r="D6757" s="14" t="s">
        <v>2800</v>
      </c>
      <c r="E6757" s="112"/>
      <c r="F6757" s="139" t="s">
        <v>19484</v>
      </c>
      <c r="G6757" s="140"/>
      <c r="H6757" s="141"/>
      <c r="I6757" s="26">
        <v>59253</v>
      </c>
      <c r="J6757" s="117"/>
      <c r="K6757" s="120"/>
      <c r="L6757" s="121"/>
      <c r="M6757" s="120"/>
      <c r="N6757" s="121"/>
      <c r="O6757" s="120"/>
      <c r="P6757" s="121"/>
      <c r="Q6757" s="120"/>
      <c r="R6757" s="121"/>
      <c r="S6757" s="120"/>
      <c r="T6757" s="121"/>
      <c r="U6757" s="120"/>
      <c r="V6757" s="123"/>
      <c r="W6757" s="125"/>
      <c r="X6757" s="142" t="s">
        <v>19846</v>
      </c>
      <c r="Y6757" s="143"/>
      <c r="Z6757" s="143"/>
      <c r="AA6757" s="143"/>
      <c r="AB6757" s="144"/>
      <c r="AC6757" s="16" t="s">
        <v>21</v>
      </c>
      <c r="AD6757" s="17" t="s">
        <v>1631</v>
      </c>
      <c r="AE6757" s="145" t="s">
        <v>1614</v>
      </c>
      <c r="AF6757" s="146"/>
      <c r="AG6757" s="146"/>
      <c r="AH6757" s="146"/>
      <c r="AI6757" s="147"/>
      <c r="AJ6757" s="148"/>
      <c r="AK6757" s="143"/>
      <c r="AL6757" s="144"/>
      <c r="AM6757" s="22"/>
      <c r="AN6757" s="149" t="s">
        <v>6748</v>
      </c>
      <c r="AO6757" s="144"/>
      <c r="AP6757" s="148">
        <v>80037</v>
      </c>
      <c r="AQ6757" s="144"/>
      <c r="AR6757" s="120"/>
      <c r="AS6757" s="121"/>
      <c r="AT6757" s="120"/>
      <c r="AU6757" s="121"/>
      <c r="AV6757" s="120"/>
      <c r="AW6757" s="121"/>
      <c r="AX6757" s="120"/>
      <c r="AY6757" s="121"/>
      <c r="AZ6757" s="138"/>
    </row>
    <row r="6758" spans="1:52" ht="17.100000000000001" customHeight="1" thickTop="1">
      <c r="A6758" s="109" t="s">
        <v>19470</v>
      </c>
      <c r="B6758" s="28">
        <v>46085</v>
      </c>
      <c r="C6758" s="25">
        <v>1828</v>
      </c>
      <c r="D6758" s="13" t="s">
        <v>2141</v>
      </c>
      <c r="E6758" s="111"/>
      <c r="F6758" s="113" t="s">
        <v>19477</v>
      </c>
      <c r="G6758" s="114"/>
      <c r="H6758" s="115"/>
      <c r="I6758" s="24"/>
      <c r="J6758" s="116">
        <v>4</v>
      </c>
      <c r="K6758" s="118">
        <v>1163000</v>
      </c>
      <c r="L6758" s="119"/>
      <c r="M6758" s="118">
        <f t="shared" ref="M6758" si="9438">K6758*0.1</f>
        <v>116300</v>
      </c>
      <c r="N6758" s="119"/>
      <c r="O6758" s="118">
        <v>0</v>
      </c>
      <c r="P6758" s="119"/>
      <c r="Q6758" s="118">
        <v>12470</v>
      </c>
      <c r="R6758" s="119"/>
      <c r="S6758" s="118">
        <v>18150</v>
      </c>
      <c r="T6758" s="119"/>
      <c r="U6758" s="118">
        <f t="shared" ref="U6758" si="9439">SUM(K6758:T6759)</f>
        <v>1309920</v>
      </c>
      <c r="V6758" s="122"/>
      <c r="W6758" s="124"/>
      <c r="X6758" s="126" t="s">
        <v>19834</v>
      </c>
      <c r="Y6758" s="127"/>
      <c r="Z6758" s="127"/>
      <c r="AA6758" s="127"/>
      <c r="AB6758" s="128"/>
      <c r="AC6758" s="15" t="s">
        <v>20</v>
      </c>
      <c r="AD6758" s="129"/>
      <c r="AE6758" s="130"/>
      <c r="AF6758" s="130"/>
      <c r="AG6758" s="130"/>
      <c r="AH6758" s="130"/>
      <c r="AI6758" s="131"/>
      <c r="AJ6758" s="132"/>
      <c r="AK6758" s="127"/>
      <c r="AL6758" s="128"/>
      <c r="AM6758" s="21"/>
      <c r="AN6758" s="133">
        <v>46088</v>
      </c>
      <c r="AO6758" s="134"/>
      <c r="AP6758" s="135">
        <v>1291</v>
      </c>
      <c r="AQ6758" s="136"/>
      <c r="AR6758" s="118">
        <v>1250000</v>
      </c>
      <c r="AS6758" s="119"/>
      <c r="AT6758" s="118">
        <f t="shared" ref="AT6758" si="9440">AR6758*0.1</f>
        <v>125000</v>
      </c>
      <c r="AU6758" s="119"/>
      <c r="AV6758" s="118">
        <v>12470</v>
      </c>
      <c r="AW6758" s="119"/>
      <c r="AX6758" s="118">
        <f t="shared" ref="AX6758" si="9441">SUM(AR6758:AW6758)</f>
        <v>1387470</v>
      </c>
      <c r="AY6758" s="119"/>
      <c r="AZ6758" s="137">
        <v>46093</v>
      </c>
    </row>
    <row r="6759" spans="1:52" ht="17.100000000000001" customHeight="1" thickBot="1">
      <c r="A6759" s="110"/>
      <c r="B6759" s="27" t="s">
        <v>19463</v>
      </c>
      <c r="C6759" s="27">
        <v>90182</v>
      </c>
      <c r="D6759" s="14" t="s">
        <v>2601</v>
      </c>
      <c r="E6759" s="112"/>
      <c r="F6759" s="139" t="s">
        <v>19487</v>
      </c>
      <c r="G6759" s="140"/>
      <c r="H6759" s="141"/>
      <c r="I6759" s="26">
        <v>87284</v>
      </c>
      <c r="J6759" s="117"/>
      <c r="K6759" s="120"/>
      <c r="L6759" s="121"/>
      <c r="M6759" s="120"/>
      <c r="N6759" s="121"/>
      <c r="O6759" s="120"/>
      <c r="P6759" s="121"/>
      <c r="Q6759" s="120"/>
      <c r="R6759" s="121"/>
      <c r="S6759" s="120"/>
      <c r="T6759" s="121"/>
      <c r="U6759" s="120"/>
      <c r="V6759" s="123"/>
      <c r="W6759" s="125"/>
      <c r="X6759" s="142" t="s">
        <v>2802</v>
      </c>
      <c r="Y6759" s="143"/>
      <c r="Z6759" s="143"/>
      <c r="AA6759" s="143"/>
      <c r="AB6759" s="144"/>
      <c r="AC6759" s="16" t="s">
        <v>21</v>
      </c>
      <c r="AD6759" s="17" t="s">
        <v>1631</v>
      </c>
      <c r="AE6759" s="145" t="s">
        <v>9806</v>
      </c>
      <c r="AF6759" s="146"/>
      <c r="AG6759" s="146"/>
      <c r="AH6759" s="146"/>
      <c r="AI6759" s="147"/>
      <c r="AJ6759" s="148"/>
      <c r="AK6759" s="143"/>
      <c r="AL6759" s="144"/>
      <c r="AM6759" s="22"/>
      <c r="AN6759" s="149" t="s">
        <v>2511</v>
      </c>
      <c r="AO6759" s="144"/>
      <c r="AP6759" s="148">
        <v>151</v>
      </c>
      <c r="AQ6759" s="144"/>
      <c r="AR6759" s="120"/>
      <c r="AS6759" s="121"/>
      <c r="AT6759" s="120"/>
      <c r="AU6759" s="121"/>
      <c r="AV6759" s="120"/>
      <c r="AW6759" s="121"/>
      <c r="AX6759" s="120"/>
      <c r="AY6759" s="121"/>
      <c r="AZ6759" s="138"/>
    </row>
    <row r="6760" spans="1:52" ht="17.100000000000001" customHeight="1" thickTop="1">
      <c r="A6760" s="109" t="s">
        <v>19474</v>
      </c>
      <c r="B6760" s="28">
        <v>46086</v>
      </c>
      <c r="C6760" s="25">
        <v>1321</v>
      </c>
      <c r="D6760" s="13" t="s">
        <v>1986</v>
      </c>
      <c r="E6760" s="111"/>
      <c r="F6760" s="113" t="s">
        <v>19489</v>
      </c>
      <c r="G6760" s="114"/>
      <c r="H6760" s="115"/>
      <c r="I6760" s="24"/>
      <c r="J6760" s="116">
        <v>4.5</v>
      </c>
      <c r="K6760" s="118">
        <v>1965000</v>
      </c>
      <c r="L6760" s="119"/>
      <c r="M6760" s="118">
        <f t="shared" ref="M6760" si="9442">K6760*0.1</f>
        <v>196500</v>
      </c>
      <c r="N6760" s="119"/>
      <c r="O6760" s="118">
        <v>0</v>
      </c>
      <c r="P6760" s="119"/>
      <c r="Q6760" s="118">
        <v>18170</v>
      </c>
      <c r="R6760" s="119"/>
      <c r="S6760" s="118">
        <v>16500</v>
      </c>
      <c r="T6760" s="119"/>
      <c r="U6760" s="118">
        <f t="shared" ref="U6760" si="9443">SUM(K6760:T6761)</f>
        <v>2196170</v>
      </c>
      <c r="V6760" s="122"/>
      <c r="W6760" s="124"/>
      <c r="X6760" s="126" t="s">
        <v>19488</v>
      </c>
      <c r="Y6760" s="127"/>
      <c r="Z6760" s="127"/>
      <c r="AA6760" s="127"/>
      <c r="AB6760" s="128"/>
      <c r="AC6760" s="15" t="s">
        <v>20</v>
      </c>
      <c r="AD6760" s="129" t="s">
        <v>1732</v>
      </c>
      <c r="AE6760" s="130"/>
      <c r="AF6760" s="130"/>
      <c r="AG6760" s="130"/>
      <c r="AH6760" s="130"/>
      <c r="AI6760" s="131"/>
      <c r="AJ6760" s="132"/>
      <c r="AK6760" s="127"/>
      <c r="AL6760" s="128"/>
      <c r="AM6760" s="21"/>
      <c r="AN6760" s="133"/>
      <c r="AO6760" s="134"/>
      <c r="AP6760" s="135"/>
      <c r="AQ6760" s="136"/>
      <c r="AR6760" s="118"/>
      <c r="AS6760" s="119"/>
      <c r="AT6760" s="118">
        <f t="shared" ref="AT6760" si="9444">AR6760*0.1</f>
        <v>0</v>
      </c>
      <c r="AU6760" s="119"/>
      <c r="AV6760" s="118"/>
      <c r="AW6760" s="119"/>
      <c r="AX6760" s="118">
        <f t="shared" ref="AX6760" si="9445">SUM(AR6760:AW6760)</f>
        <v>0</v>
      </c>
      <c r="AY6760" s="119"/>
      <c r="AZ6760" s="137"/>
    </row>
    <row r="6761" spans="1:52" ht="17.100000000000001" customHeight="1" thickBot="1">
      <c r="A6761" s="110"/>
      <c r="B6761" s="27" t="s">
        <v>13663</v>
      </c>
      <c r="C6761" s="27">
        <v>350</v>
      </c>
      <c r="D6761" s="14" t="s">
        <v>1576</v>
      </c>
      <c r="E6761" s="112"/>
      <c r="F6761" s="139" t="s">
        <v>19473</v>
      </c>
      <c r="G6761" s="140"/>
      <c r="H6761" s="141"/>
      <c r="I6761" s="26">
        <v>62517</v>
      </c>
      <c r="J6761" s="117"/>
      <c r="K6761" s="120"/>
      <c r="L6761" s="121"/>
      <c r="M6761" s="120"/>
      <c r="N6761" s="121"/>
      <c r="O6761" s="120"/>
      <c r="P6761" s="121"/>
      <c r="Q6761" s="120"/>
      <c r="R6761" s="121"/>
      <c r="S6761" s="120"/>
      <c r="T6761" s="121"/>
      <c r="U6761" s="120"/>
      <c r="V6761" s="123"/>
      <c r="W6761" s="125"/>
      <c r="X6761" s="142" t="s">
        <v>10748</v>
      </c>
      <c r="Y6761" s="143"/>
      <c r="Z6761" s="143"/>
      <c r="AA6761" s="143"/>
      <c r="AB6761" s="144"/>
      <c r="AC6761" s="16" t="s">
        <v>21</v>
      </c>
      <c r="AD6761" s="17" t="s">
        <v>2681</v>
      </c>
      <c r="AE6761" s="145" t="s">
        <v>1614</v>
      </c>
      <c r="AF6761" s="146"/>
      <c r="AG6761" s="146"/>
      <c r="AH6761" s="146"/>
      <c r="AI6761" s="147"/>
      <c r="AJ6761" s="148"/>
      <c r="AK6761" s="143"/>
      <c r="AL6761" s="144"/>
      <c r="AM6761" s="22"/>
      <c r="AN6761" s="149"/>
      <c r="AO6761" s="144"/>
      <c r="AP6761" s="148"/>
      <c r="AQ6761" s="144"/>
      <c r="AR6761" s="120"/>
      <c r="AS6761" s="121"/>
      <c r="AT6761" s="120"/>
      <c r="AU6761" s="121"/>
      <c r="AV6761" s="120"/>
      <c r="AW6761" s="121"/>
      <c r="AX6761" s="120"/>
      <c r="AY6761" s="121"/>
      <c r="AZ6761" s="138"/>
    </row>
    <row r="6762" spans="1:52" ht="17.100000000000001" customHeight="1" thickTop="1">
      <c r="A6762" s="109" t="s">
        <v>19507</v>
      </c>
      <c r="B6762" s="28">
        <v>46086</v>
      </c>
      <c r="C6762" s="25">
        <v>1556</v>
      </c>
      <c r="D6762" s="13" t="s">
        <v>2616</v>
      </c>
      <c r="E6762" s="111"/>
      <c r="F6762" s="113" t="s">
        <v>19656</v>
      </c>
      <c r="G6762" s="114"/>
      <c r="H6762" s="115"/>
      <c r="I6762" s="24" t="s">
        <v>3923</v>
      </c>
      <c r="J6762" s="116">
        <v>4.5</v>
      </c>
      <c r="K6762" s="118">
        <v>3090000</v>
      </c>
      <c r="L6762" s="119"/>
      <c r="M6762" s="118">
        <f t="shared" ref="M6762" si="9446">K6762*0.1</f>
        <v>309000</v>
      </c>
      <c r="N6762" s="119"/>
      <c r="O6762" s="118">
        <v>36000</v>
      </c>
      <c r="P6762" s="119"/>
      <c r="Q6762" s="118">
        <v>17670</v>
      </c>
      <c r="R6762" s="119"/>
      <c r="S6762" s="118">
        <v>16500</v>
      </c>
      <c r="T6762" s="119"/>
      <c r="U6762" s="118">
        <f t="shared" ref="U6762" si="9447">SUM(K6762:T6763)</f>
        <v>3469170</v>
      </c>
      <c r="V6762" s="122"/>
      <c r="W6762" s="124"/>
      <c r="X6762" s="126" t="s">
        <v>19658</v>
      </c>
      <c r="Y6762" s="127"/>
      <c r="Z6762" s="127"/>
      <c r="AA6762" s="127"/>
      <c r="AB6762" s="128"/>
      <c r="AC6762" s="15" t="s">
        <v>20</v>
      </c>
      <c r="AD6762" s="129" t="s">
        <v>1670</v>
      </c>
      <c r="AE6762" s="130"/>
      <c r="AF6762" s="130"/>
      <c r="AG6762" s="130"/>
      <c r="AH6762" s="130"/>
      <c r="AI6762" s="131"/>
      <c r="AJ6762" s="132"/>
      <c r="AK6762" s="127"/>
      <c r="AL6762" s="128"/>
      <c r="AM6762" s="21"/>
      <c r="AN6762" s="133"/>
      <c r="AO6762" s="134"/>
      <c r="AP6762" s="135"/>
      <c r="AQ6762" s="136"/>
      <c r="AR6762" s="118"/>
      <c r="AS6762" s="119"/>
      <c r="AT6762" s="118">
        <f t="shared" ref="AT6762" si="9448">AR6762*0.1</f>
        <v>0</v>
      </c>
      <c r="AU6762" s="119"/>
      <c r="AV6762" s="118"/>
      <c r="AW6762" s="119"/>
      <c r="AX6762" s="118">
        <f t="shared" ref="AX6762" si="9449">SUM(AR6762:AW6762)</f>
        <v>0</v>
      </c>
      <c r="AY6762" s="119"/>
      <c r="AZ6762" s="137"/>
    </row>
    <row r="6763" spans="1:52" ht="17.100000000000001" customHeight="1" thickBot="1">
      <c r="A6763" s="110"/>
      <c r="B6763" s="27" t="s">
        <v>1600</v>
      </c>
      <c r="C6763" s="27">
        <v>75617</v>
      </c>
      <c r="D6763" s="14" t="s">
        <v>2183</v>
      </c>
      <c r="E6763" s="112"/>
      <c r="F6763" s="139" t="s">
        <v>19657</v>
      </c>
      <c r="G6763" s="140"/>
      <c r="H6763" s="141"/>
      <c r="I6763" s="26">
        <v>33860</v>
      </c>
      <c r="J6763" s="117"/>
      <c r="K6763" s="120"/>
      <c r="L6763" s="121"/>
      <c r="M6763" s="120"/>
      <c r="N6763" s="121"/>
      <c r="O6763" s="120"/>
      <c r="P6763" s="121"/>
      <c r="Q6763" s="120"/>
      <c r="R6763" s="121"/>
      <c r="S6763" s="120"/>
      <c r="T6763" s="121"/>
      <c r="U6763" s="120"/>
      <c r="V6763" s="123"/>
      <c r="W6763" s="125"/>
      <c r="X6763" s="142" t="s">
        <v>19993</v>
      </c>
      <c r="Y6763" s="143"/>
      <c r="Z6763" s="143"/>
      <c r="AA6763" s="143"/>
      <c r="AB6763" s="144"/>
      <c r="AC6763" s="16" t="s">
        <v>21</v>
      </c>
      <c r="AD6763" s="17" t="s">
        <v>3386</v>
      </c>
      <c r="AE6763" s="145" t="s">
        <v>3123</v>
      </c>
      <c r="AF6763" s="146"/>
      <c r="AG6763" s="146"/>
      <c r="AH6763" s="146"/>
      <c r="AI6763" s="147"/>
      <c r="AJ6763" s="148"/>
      <c r="AK6763" s="143"/>
      <c r="AL6763" s="144"/>
      <c r="AM6763" s="22"/>
      <c r="AN6763" s="149"/>
      <c r="AO6763" s="144"/>
      <c r="AP6763" s="148"/>
      <c r="AQ6763" s="144"/>
      <c r="AR6763" s="120"/>
      <c r="AS6763" s="121"/>
      <c r="AT6763" s="120"/>
      <c r="AU6763" s="121"/>
      <c r="AV6763" s="120"/>
      <c r="AW6763" s="121"/>
      <c r="AX6763" s="120"/>
      <c r="AY6763" s="121"/>
      <c r="AZ6763" s="138"/>
    </row>
    <row r="6764" spans="1:52" ht="17.100000000000001" customHeight="1" thickTop="1">
      <c r="A6764" s="109" t="s">
        <v>19508</v>
      </c>
      <c r="B6764" s="28">
        <v>46086</v>
      </c>
      <c r="C6764" s="25">
        <v>2017</v>
      </c>
      <c r="D6764" s="13" t="s">
        <v>1906</v>
      </c>
      <c r="E6764" s="111"/>
      <c r="F6764" s="113" t="s">
        <v>19659</v>
      </c>
      <c r="G6764" s="114"/>
      <c r="H6764" s="115"/>
      <c r="I6764" s="24" t="s">
        <v>2533</v>
      </c>
      <c r="J6764" s="116">
        <v>4.5</v>
      </c>
      <c r="K6764" s="118">
        <v>2704000</v>
      </c>
      <c r="L6764" s="119"/>
      <c r="M6764" s="118">
        <f t="shared" ref="M6764" si="9450">K6764*0.1</f>
        <v>270400</v>
      </c>
      <c r="N6764" s="119"/>
      <c r="O6764" s="118">
        <v>30500</v>
      </c>
      <c r="P6764" s="119"/>
      <c r="Q6764" s="118">
        <v>11740</v>
      </c>
      <c r="R6764" s="119"/>
      <c r="S6764" s="118">
        <v>22000</v>
      </c>
      <c r="T6764" s="119"/>
      <c r="U6764" s="118">
        <f t="shared" ref="U6764" si="9451">SUM(K6764:T6765)</f>
        <v>3038640</v>
      </c>
      <c r="V6764" s="122"/>
      <c r="W6764" s="124"/>
      <c r="X6764" s="126" t="s">
        <v>19660</v>
      </c>
      <c r="Y6764" s="127"/>
      <c r="Z6764" s="127"/>
      <c r="AA6764" s="127"/>
      <c r="AB6764" s="128"/>
      <c r="AC6764" s="15" t="s">
        <v>2995</v>
      </c>
      <c r="AD6764" s="129" t="s">
        <v>17239</v>
      </c>
      <c r="AE6764" s="130"/>
      <c r="AF6764" s="130"/>
      <c r="AG6764" s="130"/>
      <c r="AH6764" s="130"/>
      <c r="AI6764" s="131"/>
      <c r="AJ6764" s="132"/>
      <c r="AK6764" s="127"/>
      <c r="AL6764" s="128"/>
      <c r="AM6764" s="21"/>
      <c r="AN6764" s="133">
        <v>46099</v>
      </c>
      <c r="AO6764" s="134"/>
      <c r="AP6764" s="135">
        <v>1009</v>
      </c>
      <c r="AQ6764" s="136"/>
      <c r="AR6764" s="118">
        <v>2805000</v>
      </c>
      <c r="AS6764" s="119"/>
      <c r="AT6764" s="118">
        <f t="shared" ref="AT6764" si="9452">AR6764*0.1</f>
        <v>280500</v>
      </c>
      <c r="AU6764" s="119"/>
      <c r="AV6764" s="118">
        <v>11740</v>
      </c>
      <c r="AW6764" s="119"/>
      <c r="AX6764" s="118">
        <f t="shared" ref="AX6764" si="9453">SUM(AR6764:AW6764)</f>
        <v>3097240</v>
      </c>
      <c r="AY6764" s="119"/>
      <c r="AZ6764" s="137">
        <v>46105</v>
      </c>
    </row>
    <row r="6765" spans="1:52" ht="17.100000000000001" customHeight="1" thickBot="1">
      <c r="A6765" s="110"/>
      <c r="B6765" s="27" t="s">
        <v>2727</v>
      </c>
      <c r="C6765" s="27">
        <v>30156</v>
      </c>
      <c r="D6765" s="14" t="s">
        <v>2183</v>
      </c>
      <c r="E6765" s="112"/>
      <c r="F6765" s="139" t="s">
        <v>19532</v>
      </c>
      <c r="G6765" s="140"/>
      <c r="H6765" s="141"/>
      <c r="I6765" s="26">
        <v>116621</v>
      </c>
      <c r="J6765" s="117"/>
      <c r="K6765" s="120"/>
      <c r="L6765" s="121"/>
      <c r="M6765" s="120"/>
      <c r="N6765" s="121"/>
      <c r="O6765" s="120"/>
      <c r="P6765" s="121"/>
      <c r="Q6765" s="120"/>
      <c r="R6765" s="121"/>
      <c r="S6765" s="120"/>
      <c r="T6765" s="121"/>
      <c r="U6765" s="120"/>
      <c r="V6765" s="123"/>
      <c r="W6765" s="125"/>
      <c r="X6765" s="142" t="s">
        <v>20287</v>
      </c>
      <c r="Y6765" s="143"/>
      <c r="Z6765" s="143"/>
      <c r="AA6765" s="143"/>
      <c r="AB6765" s="144"/>
      <c r="AC6765" s="16" t="s">
        <v>21</v>
      </c>
      <c r="AD6765" s="17" t="s">
        <v>2702</v>
      </c>
      <c r="AE6765" s="145" t="s">
        <v>1614</v>
      </c>
      <c r="AF6765" s="146"/>
      <c r="AG6765" s="146"/>
      <c r="AH6765" s="146"/>
      <c r="AI6765" s="147"/>
      <c r="AJ6765" s="148"/>
      <c r="AK6765" s="143"/>
      <c r="AL6765" s="144"/>
      <c r="AM6765" s="22"/>
      <c r="AN6765" s="149" t="s">
        <v>2794</v>
      </c>
      <c r="AO6765" s="144"/>
      <c r="AP6765" s="148">
        <v>6086</v>
      </c>
      <c r="AQ6765" s="144"/>
      <c r="AR6765" s="120"/>
      <c r="AS6765" s="121"/>
      <c r="AT6765" s="120"/>
      <c r="AU6765" s="121"/>
      <c r="AV6765" s="120"/>
      <c r="AW6765" s="121"/>
      <c r="AX6765" s="120"/>
      <c r="AY6765" s="121"/>
      <c r="AZ6765" s="138"/>
    </row>
    <row r="6766" spans="1:52" ht="17.100000000000001" customHeight="1" thickTop="1">
      <c r="A6766" s="109" t="s">
        <v>19509</v>
      </c>
      <c r="B6766" s="28">
        <v>46086</v>
      </c>
      <c r="C6766" s="25">
        <v>2017</v>
      </c>
      <c r="D6766" s="13" t="s">
        <v>2066</v>
      </c>
      <c r="E6766" s="111"/>
      <c r="F6766" s="113" t="s">
        <v>19661</v>
      </c>
      <c r="G6766" s="114"/>
      <c r="H6766" s="115"/>
      <c r="I6766" s="24"/>
      <c r="J6766" s="116">
        <v>4.5</v>
      </c>
      <c r="K6766" s="118">
        <v>2228000</v>
      </c>
      <c r="L6766" s="119"/>
      <c r="M6766" s="118">
        <f t="shared" ref="M6766" si="9454">K6766*0.1</f>
        <v>222800</v>
      </c>
      <c r="N6766" s="119"/>
      <c r="O6766" s="118">
        <v>0</v>
      </c>
      <c r="P6766" s="119"/>
      <c r="Q6766" s="118">
        <v>11740</v>
      </c>
      <c r="R6766" s="119"/>
      <c r="S6766" s="118">
        <v>22000</v>
      </c>
      <c r="T6766" s="119"/>
      <c r="U6766" s="118">
        <f t="shared" ref="U6766" si="9455">SUM(K6766:T6767)</f>
        <v>2484540</v>
      </c>
      <c r="V6766" s="122"/>
      <c r="W6766" s="124"/>
      <c r="X6766" s="126" t="s">
        <v>20023</v>
      </c>
      <c r="Y6766" s="127"/>
      <c r="Z6766" s="127"/>
      <c r="AA6766" s="127"/>
      <c r="AB6766" s="128"/>
      <c r="AC6766" s="15" t="s">
        <v>20</v>
      </c>
      <c r="AD6766" s="129" t="s">
        <v>19662</v>
      </c>
      <c r="AE6766" s="130"/>
      <c r="AF6766" s="130"/>
      <c r="AG6766" s="130"/>
      <c r="AH6766" s="130"/>
      <c r="AI6766" s="131"/>
      <c r="AJ6766" s="132"/>
      <c r="AK6766" s="127"/>
      <c r="AL6766" s="128"/>
      <c r="AM6766" s="21"/>
      <c r="AN6766" s="133">
        <v>46106</v>
      </c>
      <c r="AO6766" s="134"/>
      <c r="AP6766" s="135">
        <v>1010</v>
      </c>
      <c r="AQ6766" s="136"/>
      <c r="AR6766" s="118">
        <v>2285000</v>
      </c>
      <c r="AS6766" s="119"/>
      <c r="AT6766" s="118">
        <f t="shared" ref="AT6766" si="9456">AR6766*0.1</f>
        <v>228500</v>
      </c>
      <c r="AU6766" s="119"/>
      <c r="AV6766" s="118">
        <v>11740</v>
      </c>
      <c r="AW6766" s="119"/>
      <c r="AX6766" s="118">
        <f t="shared" ref="AX6766" si="9457">SUM(AR6766:AW6766)</f>
        <v>2525240</v>
      </c>
      <c r="AY6766" s="119"/>
      <c r="AZ6766" s="137">
        <v>46111</v>
      </c>
    </row>
    <row r="6767" spans="1:52" ht="17.100000000000001" customHeight="1" thickBot="1">
      <c r="A6767" s="110"/>
      <c r="B6767" s="27" t="s">
        <v>2727</v>
      </c>
      <c r="C6767" s="27">
        <v>30168</v>
      </c>
      <c r="D6767" s="14" t="s">
        <v>2601</v>
      </c>
      <c r="E6767" s="112"/>
      <c r="F6767" s="139" t="s">
        <v>19533</v>
      </c>
      <c r="G6767" s="140"/>
      <c r="H6767" s="141"/>
      <c r="I6767" s="26">
        <v>31872</v>
      </c>
      <c r="J6767" s="117"/>
      <c r="K6767" s="120"/>
      <c r="L6767" s="121"/>
      <c r="M6767" s="120"/>
      <c r="N6767" s="121"/>
      <c r="O6767" s="120"/>
      <c r="P6767" s="121"/>
      <c r="Q6767" s="120"/>
      <c r="R6767" s="121"/>
      <c r="S6767" s="120"/>
      <c r="T6767" s="121"/>
      <c r="U6767" s="120"/>
      <c r="V6767" s="123"/>
      <c r="W6767" s="125"/>
      <c r="X6767" s="142" t="s">
        <v>11902</v>
      </c>
      <c r="Y6767" s="143"/>
      <c r="Z6767" s="143"/>
      <c r="AA6767" s="143"/>
      <c r="AB6767" s="144"/>
      <c r="AC6767" s="16" t="s">
        <v>21</v>
      </c>
      <c r="AD6767" s="17" t="s">
        <v>3386</v>
      </c>
      <c r="AE6767" s="145" t="s">
        <v>14617</v>
      </c>
      <c r="AF6767" s="146"/>
      <c r="AG6767" s="146"/>
      <c r="AH6767" s="146"/>
      <c r="AI6767" s="147"/>
      <c r="AJ6767" s="148"/>
      <c r="AK6767" s="143"/>
      <c r="AL6767" s="144"/>
      <c r="AM6767" s="22"/>
      <c r="AN6767" s="149" t="s">
        <v>2794</v>
      </c>
      <c r="AO6767" s="144"/>
      <c r="AP6767" s="148">
        <v>6116</v>
      </c>
      <c r="AQ6767" s="144"/>
      <c r="AR6767" s="120"/>
      <c r="AS6767" s="121"/>
      <c r="AT6767" s="120"/>
      <c r="AU6767" s="121"/>
      <c r="AV6767" s="120"/>
      <c r="AW6767" s="121"/>
      <c r="AX6767" s="120"/>
      <c r="AY6767" s="121"/>
      <c r="AZ6767" s="138"/>
    </row>
    <row r="6768" spans="1:52" ht="17.100000000000001" customHeight="1" thickTop="1">
      <c r="A6768" s="109" t="s">
        <v>19510</v>
      </c>
      <c r="B6768" s="28">
        <v>46086</v>
      </c>
      <c r="C6768" s="25">
        <v>2017</v>
      </c>
      <c r="D6768" s="13" t="s">
        <v>1651</v>
      </c>
      <c r="E6768" s="111"/>
      <c r="F6768" s="113" t="s">
        <v>19663</v>
      </c>
      <c r="G6768" s="114"/>
      <c r="H6768" s="115"/>
      <c r="I6768" s="24"/>
      <c r="J6768" s="116">
        <v>4</v>
      </c>
      <c r="K6768" s="118">
        <v>3453000</v>
      </c>
      <c r="L6768" s="119"/>
      <c r="M6768" s="118">
        <f t="shared" ref="M6768" si="9458">K6768*0.1</f>
        <v>345300</v>
      </c>
      <c r="N6768" s="119"/>
      <c r="O6768" s="118">
        <v>0</v>
      </c>
      <c r="P6768" s="119"/>
      <c r="Q6768" s="118">
        <v>12550</v>
      </c>
      <c r="R6768" s="119"/>
      <c r="S6768" s="118">
        <v>22000</v>
      </c>
      <c r="T6768" s="119"/>
      <c r="U6768" s="118">
        <f t="shared" ref="U6768" si="9459">SUM(K6768:T6769)</f>
        <v>3832850</v>
      </c>
      <c r="V6768" s="122"/>
      <c r="W6768" s="124"/>
      <c r="X6768" s="126" t="s">
        <v>20288</v>
      </c>
      <c r="Y6768" s="127"/>
      <c r="Z6768" s="127"/>
      <c r="AA6768" s="127"/>
      <c r="AB6768" s="128"/>
      <c r="AC6768" s="15" t="s">
        <v>20</v>
      </c>
      <c r="AD6768" s="129" t="s">
        <v>4435</v>
      </c>
      <c r="AE6768" s="130"/>
      <c r="AF6768" s="130"/>
      <c r="AG6768" s="130"/>
      <c r="AH6768" s="130"/>
      <c r="AI6768" s="131"/>
      <c r="AJ6768" s="132"/>
      <c r="AK6768" s="127"/>
      <c r="AL6768" s="128"/>
      <c r="AM6768" s="21"/>
      <c r="AN6768" s="133">
        <v>46099</v>
      </c>
      <c r="AO6768" s="134"/>
      <c r="AP6768" s="135">
        <v>1009</v>
      </c>
      <c r="AQ6768" s="136"/>
      <c r="AR6768" s="118">
        <v>3900000</v>
      </c>
      <c r="AS6768" s="119"/>
      <c r="AT6768" s="118">
        <f t="shared" ref="AT6768" si="9460">AR6768*0.1</f>
        <v>390000</v>
      </c>
      <c r="AU6768" s="119"/>
      <c r="AV6768" s="118">
        <v>12550</v>
      </c>
      <c r="AW6768" s="119"/>
      <c r="AX6768" s="118">
        <f t="shared" ref="AX6768" si="9461">SUM(AR6768:AW6768)</f>
        <v>4302550</v>
      </c>
      <c r="AY6768" s="119"/>
      <c r="AZ6768" s="137">
        <v>46105</v>
      </c>
    </row>
    <row r="6769" spans="1:52" ht="17.100000000000001" customHeight="1" thickBot="1">
      <c r="A6769" s="110"/>
      <c r="B6769" s="27" t="s">
        <v>2727</v>
      </c>
      <c r="C6769" s="27">
        <v>30185</v>
      </c>
      <c r="D6769" s="14" t="s">
        <v>2601</v>
      </c>
      <c r="E6769" s="112"/>
      <c r="F6769" s="139" t="s">
        <v>19534</v>
      </c>
      <c r="G6769" s="140"/>
      <c r="H6769" s="141"/>
      <c r="I6769" s="26">
        <v>12292</v>
      </c>
      <c r="J6769" s="117"/>
      <c r="K6769" s="120"/>
      <c r="L6769" s="121"/>
      <c r="M6769" s="120"/>
      <c r="N6769" s="121"/>
      <c r="O6769" s="120"/>
      <c r="P6769" s="121"/>
      <c r="Q6769" s="120"/>
      <c r="R6769" s="121"/>
      <c r="S6769" s="120"/>
      <c r="T6769" s="121"/>
      <c r="U6769" s="120"/>
      <c r="V6769" s="123"/>
      <c r="W6769" s="125"/>
      <c r="X6769" s="142" t="s">
        <v>15032</v>
      </c>
      <c r="Y6769" s="143"/>
      <c r="Z6769" s="143"/>
      <c r="AA6769" s="143"/>
      <c r="AB6769" s="144"/>
      <c r="AC6769" s="16" t="s">
        <v>21</v>
      </c>
      <c r="AD6769" s="17" t="s">
        <v>2702</v>
      </c>
      <c r="AE6769" s="145" t="s">
        <v>1742</v>
      </c>
      <c r="AF6769" s="146"/>
      <c r="AG6769" s="146"/>
      <c r="AH6769" s="146"/>
      <c r="AI6769" s="147"/>
      <c r="AJ6769" s="148"/>
      <c r="AK6769" s="143"/>
      <c r="AL6769" s="144"/>
      <c r="AM6769" s="22"/>
      <c r="AN6769" s="149" t="s">
        <v>2794</v>
      </c>
      <c r="AO6769" s="144"/>
      <c r="AP6769" s="148">
        <v>6098</v>
      </c>
      <c r="AQ6769" s="144"/>
      <c r="AR6769" s="120"/>
      <c r="AS6769" s="121"/>
      <c r="AT6769" s="120"/>
      <c r="AU6769" s="121"/>
      <c r="AV6769" s="120"/>
      <c r="AW6769" s="121"/>
      <c r="AX6769" s="120"/>
      <c r="AY6769" s="121"/>
      <c r="AZ6769" s="138"/>
    </row>
    <row r="6770" spans="1:52" ht="17.100000000000001" customHeight="1" thickTop="1">
      <c r="A6770" s="109" t="s">
        <v>19511</v>
      </c>
      <c r="B6770" s="28">
        <v>46086</v>
      </c>
      <c r="C6770" s="25">
        <v>2017</v>
      </c>
      <c r="D6770" s="13" t="s">
        <v>2272</v>
      </c>
      <c r="E6770" s="111"/>
      <c r="F6770" s="113" t="s">
        <v>19664</v>
      </c>
      <c r="G6770" s="114"/>
      <c r="H6770" s="115"/>
      <c r="I6770" s="24" t="s">
        <v>3923</v>
      </c>
      <c r="J6770" s="116">
        <v>4</v>
      </c>
      <c r="K6770" s="118">
        <v>608000</v>
      </c>
      <c r="L6770" s="119"/>
      <c r="M6770" s="118">
        <f t="shared" ref="M6770" si="9462">K6770*0.1</f>
        <v>60800</v>
      </c>
      <c r="N6770" s="119"/>
      <c r="O6770" s="118">
        <v>0</v>
      </c>
      <c r="P6770" s="119"/>
      <c r="Q6770" s="118">
        <v>8510</v>
      </c>
      <c r="R6770" s="119"/>
      <c r="S6770" s="118">
        <v>22000</v>
      </c>
      <c r="T6770" s="119"/>
      <c r="U6770" s="118">
        <f t="shared" ref="U6770" si="9463">SUM(K6770:T6771)</f>
        <v>699310</v>
      </c>
      <c r="V6770" s="122"/>
      <c r="W6770" s="124"/>
      <c r="X6770" s="126" t="s">
        <v>19991</v>
      </c>
      <c r="Y6770" s="127"/>
      <c r="Z6770" s="127"/>
      <c r="AA6770" s="127"/>
      <c r="AB6770" s="128"/>
      <c r="AC6770" s="15" t="s">
        <v>20</v>
      </c>
      <c r="AD6770" s="129" t="s">
        <v>19665</v>
      </c>
      <c r="AE6770" s="130"/>
      <c r="AF6770" s="130"/>
      <c r="AG6770" s="130"/>
      <c r="AH6770" s="130"/>
      <c r="AI6770" s="131"/>
      <c r="AJ6770" s="132"/>
      <c r="AK6770" s="127"/>
      <c r="AL6770" s="128"/>
      <c r="AM6770" s="21"/>
      <c r="AN6770" s="133">
        <v>46092</v>
      </c>
      <c r="AO6770" s="134"/>
      <c r="AP6770" s="135">
        <v>1008</v>
      </c>
      <c r="AQ6770" s="136"/>
      <c r="AR6770" s="118">
        <v>670000</v>
      </c>
      <c r="AS6770" s="119"/>
      <c r="AT6770" s="118">
        <f t="shared" ref="AT6770" si="9464">AR6770*0.1</f>
        <v>67000</v>
      </c>
      <c r="AU6770" s="119"/>
      <c r="AV6770" s="118">
        <v>8510</v>
      </c>
      <c r="AW6770" s="119"/>
      <c r="AX6770" s="118">
        <f t="shared" ref="AX6770" si="9465">SUM(AR6770:AW6770)</f>
        <v>745510</v>
      </c>
      <c r="AY6770" s="119"/>
      <c r="AZ6770" s="137">
        <v>46098</v>
      </c>
    </row>
    <row r="6771" spans="1:52" ht="17.100000000000001" customHeight="1" thickBot="1">
      <c r="A6771" s="110"/>
      <c r="B6771" s="27" t="s">
        <v>2727</v>
      </c>
      <c r="C6771" s="27">
        <v>50034</v>
      </c>
      <c r="D6771" s="14" t="s">
        <v>1592</v>
      </c>
      <c r="E6771" s="112"/>
      <c r="F6771" s="139" t="s">
        <v>19535</v>
      </c>
      <c r="G6771" s="140"/>
      <c r="H6771" s="141"/>
      <c r="I6771" s="26">
        <v>67173</v>
      </c>
      <c r="J6771" s="117"/>
      <c r="K6771" s="120"/>
      <c r="L6771" s="121"/>
      <c r="M6771" s="120"/>
      <c r="N6771" s="121"/>
      <c r="O6771" s="120"/>
      <c r="P6771" s="121"/>
      <c r="Q6771" s="120"/>
      <c r="R6771" s="121"/>
      <c r="S6771" s="120"/>
      <c r="T6771" s="121"/>
      <c r="U6771" s="120"/>
      <c r="V6771" s="123"/>
      <c r="W6771" s="125"/>
      <c r="X6771" s="142" t="s">
        <v>3986</v>
      </c>
      <c r="Y6771" s="143"/>
      <c r="Z6771" s="143"/>
      <c r="AA6771" s="143"/>
      <c r="AB6771" s="144"/>
      <c r="AC6771" s="16" t="s">
        <v>21</v>
      </c>
      <c r="AD6771" s="17" t="s">
        <v>3386</v>
      </c>
      <c r="AE6771" s="145" t="s">
        <v>5525</v>
      </c>
      <c r="AF6771" s="146"/>
      <c r="AG6771" s="146"/>
      <c r="AH6771" s="146"/>
      <c r="AI6771" s="147"/>
      <c r="AJ6771" s="148"/>
      <c r="AK6771" s="143"/>
      <c r="AL6771" s="144"/>
      <c r="AM6771" s="22"/>
      <c r="AN6771" s="149" t="s">
        <v>19938</v>
      </c>
      <c r="AO6771" s="144"/>
      <c r="AP6771" s="148">
        <v>5065</v>
      </c>
      <c r="AQ6771" s="144"/>
      <c r="AR6771" s="120"/>
      <c r="AS6771" s="121"/>
      <c r="AT6771" s="120"/>
      <c r="AU6771" s="121"/>
      <c r="AV6771" s="120"/>
      <c r="AW6771" s="121"/>
      <c r="AX6771" s="120"/>
      <c r="AY6771" s="121"/>
      <c r="AZ6771" s="138"/>
    </row>
    <row r="6772" spans="1:52" ht="17.100000000000001" customHeight="1" thickTop="1">
      <c r="A6772" s="109" t="s">
        <v>19512</v>
      </c>
      <c r="B6772" s="28">
        <v>46086</v>
      </c>
      <c r="C6772" s="25">
        <v>2017</v>
      </c>
      <c r="D6772" s="13" t="s">
        <v>1725</v>
      </c>
      <c r="E6772" s="111"/>
      <c r="F6772" s="113" t="s">
        <v>19666</v>
      </c>
      <c r="G6772" s="114"/>
      <c r="H6772" s="115"/>
      <c r="I6772" s="24"/>
      <c r="J6772" s="116">
        <v>4</v>
      </c>
      <c r="K6772" s="118">
        <v>980000</v>
      </c>
      <c r="L6772" s="119"/>
      <c r="M6772" s="118">
        <f t="shared" ref="M6772" si="9466">K6772*0.1</f>
        <v>98000</v>
      </c>
      <c r="N6772" s="119"/>
      <c r="O6772" s="118">
        <v>0</v>
      </c>
      <c r="P6772" s="119"/>
      <c r="Q6772" s="118">
        <v>8110</v>
      </c>
      <c r="R6772" s="119"/>
      <c r="S6772" s="118">
        <v>22000</v>
      </c>
      <c r="T6772" s="119"/>
      <c r="U6772" s="118">
        <f t="shared" ref="U6772" si="9467">SUM(K6772:T6773)</f>
        <v>1108110</v>
      </c>
      <c r="V6772" s="122"/>
      <c r="W6772" s="124"/>
      <c r="X6772" s="126" t="s">
        <v>20018</v>
      </c>
      <c r="Y6772" s="127"/>
      <c r="Z6772" s="127"/>
      <c r="AA6772" s="127"/>
      <c r="AB6772" s="128"/>
      <c r="AC6772" s="15" t="s">
        <v>20</v>
      </c>
      <c r="AD6772" s="129"/>
      <c r="AE6772" s="130"/>
      <c r="AF6772" s="130"/>
      <c r="AG6772" s="130"/>
      <c r="AH6772" s="130"/>
      <c r="AI6772" s="131"/>
      <c r="AJ6772" s="132"/>
      <c r="AK6772" s="127"/>
      <c r="AL6772" s="128"/>
      <c r="AM6772" s="21"/>
      <c r="AN6772" s="133">
        <v>46130</v>
      </c>
      <c r="AO6772" s="134"/>
      <c r="AP6772" s="135">
        <v>1297</v>
      </c>
      <c r="AQ6772" s="136"/>
      <c r="AR6772" s="118">
        <v>1050000</v>
      </c>
      <c r="AS6772" s="119"/>
      <c r="AT6772" s="118">
        <f t="shared" ref="AT6772" si="9468">AR6772*0.1</f>
        <v>105000</v>
      </c>
      <c r="AU6772" s="119"/>
      <c r="AV6772" s="118">
        <v>8110</v>
      </c>
      <c r="AW6772" s="119"/>
      <c r="AX6772" s="118">
        <f t="shared" ref="AX6772" si="9469">SUM(AR6772:AW6772)</f>
        <v>1163110</v>
      </c>
      <c r="AY6772" s="119"/>
      <c r="AZ6772" s="137">
        <v>46135</v>
      </c>
    </row>
    <row r="6773" spans="1:52" ht="17.100000000000001" customHeight="1" thickBot="1">
      <c r="A6773" s="110"/>
      <c r="B6773" s="27" t="s">
        <v>2727</v>
      </c>
      <c r="C6773" s="27">
        <v>50069</v>
      </c>
      <c r="D6773" s="14" t="s">
        <v>2325</v>
      </c>
      <c r="E6773" s="112"/>
      <c r="F6773" s="139" t="s">
        <v>19536</v>
      </c>
      <c r="G6773" s="140"/>
      <c r="H6773" s="141"/>
      <c r="I6773" s="26">
        <v>40138</v>
      </c>
      <c r="J6773" s="117"/>
      <c r="K6773" s="120"/>
      <c r="L6773" s="121"/>
      <c r="M6773" s="120"/>
      <c r="N6773" s="121"/>
      <c r="O6773" s="120"/>
      <c r="P6773" s="121"/>
      <c r="Q6773" s="120"/>
      <c r="R6773" s="121"/>
      <c r="S6773" s="120"/>
      <c r="T6773" s="121"/>
      <c r="U6773" s="120"/>
      <c r="V6773" s="123"/>
      <c r="W6773" s="125"/>
      <c r="X6773" s="142" t="s">
        <v>3018</v>
      </c>
      <c r="Y6773" s="143"/>
      <c r="Z6773" s="143"/>
      <c r="AA6773" s="143"/>
      <c r="AB6773" s="144"/>
      <c r="AC6773" s="16" t="s">
        <v>21</v>
      </c>
      <c r="AD6773" s="17" t="s">
        <v>3386</v>
      </c>
      <c r="AE6773" s="145" t="s">
        <v>2441</v>
      </c>
      <c r="AF6773" s="146"/>
      <c r="AG6773" s="146"/>
      <c r="AH6773" s="146"/>
      <c r="AI6773" s="147"/>
      <c r="AJ6773" s="148"/>
      <c r="AK6773" s="143"/>
      <c r="AL6773" s="144"/>
      <c r="AM6773" s="22"/>
      <c r="AN6773" s="149" t="s">
        <v>6748</v>
      </c>
      <c r="AO6773" s="144"/>
      <c r="AP6773" s="148">
        <v>60003</v>
      </c>
      <c r="AQ6773" s="144"/>
      <c r="AR6773" s="120"/>
      <c r="AS6773" s="121"/>
      <c r="AT6773" s="120"/>
      <c r="AU6773" s="121"/>
      <c r="AV6773" s="120"/>
      <c r="AW6773" s="121"/>
      <c r="AX6773" s="120"/>
      <c r="AY6773" s="121"/>
      <c r="AZ6773" s="138"/>
    </row>
    <row r="6774" spans="1:52" ht="17.100000000000001" customHeight="1" thickTop="1">
      <c r="A6774" s="109" t="s">
        <v>19513</v>
      </c>
      <c r="B6774" s="28">
        <v>46086</v>
      </c>
      <c r="C6774" s="25">
        <v>2017</v>
      </c>
      <c r="D6774" s="13" t="s">
        <v>3399</v>
      </c>
      <c r="E6774" s="111"/>
      <c r="F6774" s="113" t="s">
        <v>19667</v>
      </c>
      <c r="G6774" s="114"/>
      <c r="H6774" s="115"/>
      <c r="I6774" s="24" t="s">
        <v>6716</v>
      </c>
      <c r="J6774" s="150" t="s">
        <v>4203</v>
      </c>
      <c r="K6774" s="118">
        <v>1201000</v>
      </c>
      <c r="L6774" s="119"/>
      <c r="M6774" s="118">
        <f t="shared" ref="M6774" si="9470">K6774*0.1</f>
        <v>120100</v>
      </c>
      <c r="N6774" s="119"/>
      <c r="O6774" s="118">
        <v>0</v>
      </c>
      <c r="P6774" s="119"/>
      <c r="Q6774" s="118">
        <v>8200</v>
      </c>
      <c r="R6774" s="119"/>
      <c r="S6774" s="118">
        <v>22000</v>
      </c>
      <c r="T6774" s="119"/>
      <c r="U6774" s="118">
        <f t="shared" ref="U6774" si="9471">SUM(K6774:T6775)</f>
        <v>1351300</v>
      </c>
      <c r="V6774" s="122"/>
      <c r="W6774" s="124"/>
      <c r="X6774" s="126" t="s">
        <v>19668</v>
      </c>
      <c r="Y6774" s="127"/>
      <c r="Z6774" s="127"/>
      <c r="AA6774" s="127"/>
      <c r="AB6774" s="128"/>
      <c r="AC6774" s="15" t="s">
        <v>20</v>
      </c>
      <c r="AD6774" s="129" t="s">
        <v>7254</v>
      </c>
      <c r="AE6774" s="130"/>
      <c r="AF6774" s="130"/>
      <c r="AG6774" s="130"/>
      <c r="AH6774" s="130"/>
      <c r="AI6774" s="131"/>
      <c r="AJ6774" s="132"/>
      <c r="AK6774" s="127"/>
      <c r="AL6774" s="128"/>
      <c r="AM6774" s="21" t="s">
        <v>21931</v>
      </c>
      <c r="AN6774" s="133">
        <v>46113</v>
      </c>
      <c r="AO6774" s="134"/>
      <c r="AP6774" s="135">
        <v>1011</v>
      </c>
      <c r="AQ6774" s="136"/>
      <c r="AR6774" s="118">
        <v>1215000</v>
      </c>
      <c r="AS6774" s="119"/>
      <c r="AT6774" s="118">
        <f t="shared" ref="AT6774" si="9472">AR6774*0.1</f>
        <v>121500</v>
      </c>
      <c r="AU6774" s="119"/>
      <c r="AV6774" s="118">
        <v>8200</v>
      </c>
      <c r="AW6774" s="119"/>
      <c r="AX6774" s="118">
        <f t="shared" ref="AX6774" si="9473">SUM(AR6774:AW6774)</f>
        <v>1344700</v>
      </c>
      <c r="AY6774" s="119"/>
      <c r="AZ6774" s="137">
        <v>46119</v>
      </c>
    </row>
    <row r="6775" spans="1:52" ht="17.100000000000001" customHeight="1" thickBot="1">
      <c r="A6775" s="110"/>
      <c r="B6775" s="27" t="s">
        <v>2727</v>
      </c>
      <c r="C6775" s="27">
        <v>50095</v>
      </c>
      <c r="D6775" s="14" t="s">
        <v>1720</v>
      </c>
      <c r="E6775" s="112"/>
      <c r="F6775" s="139" t="s">
        <v>19537</v>
      </c>
      <c r="G6775" s="140"/>
      <c r="H6775" s="141"/>
      <c r="I6775" s="26">
        <v>90</v>
      </c>
      <c r="J6775" s="117"/>
      <c r="K6775" s="120"/>
      <c r="L6775" s="121"/>
      <c r="M6775" s="120"/>
      <c r="N6775" s="121"/>
      <c r="O6775" s="120"/>
      <c r="P6775" s="121"/>
      <c r="Q6775" s="120"/>
      <c r="R6775" s="121"/>
      <c r="S6775" s="120"/>
      <c r="T6775" s="121"/>
      <c r="U6775" s="120"/>
      <c r="V6775" s="123"/>
      <c r="W6775" s="125"/>
      <c r="X6775" s="142" t="s">
        <v>20019</v>
      </c>
      <c r="Y6775" s="143"/>
      <c r="Z6775" s="143"/>
      <c r="AA6775" s="143"/>
      <c r="AB6775" s="144"/>
      <c r="AC6775" s="16" t="s">
        <v>21</v>
      </c>
      <c r="AD6775" s="17" t="s">
        <v>3386</v>
      </c>
      <c r="AE6775" s="145" t="s">
        <v>1732</v>
      </c>
      <c r="AF6775" s="146"/>
      <c r="AG6775" s="146"/>
      <c r="AH6775" s="146"/>
      <c r="AI6775" s="147"/>
      <c r="AJ6775" s="148"/>
      <c r="AK6775" s="143"/>
      <c r="AL6775" s="144"/>
      <c r="AM6775" s="22"/>
      <c r="AN6775" s="149" t="s">
        <v>2794</v>
      </c>
      <c r="AO6775" s="144"/>
      <c r="AP6775" s="148">
        <v>5036</v>
      </c>
      <c r="AQ6775" s="144"/>
      <c r="AR6775" s="120"/>
      <c r="AS6775" s="121"/>
      <c r="AT6775" s="120"/>
      <c r="AU6775" s="121"/>
      <c r="AV6775" s="120"/>
      <c r="AW6775" s="121"/>
      <c r="AX6775" s="120"/>
      <c r="AY6775" s="121"/>
      <c r="AZ6775" s="138"/>
    </row>
    <row r="6776" spans="1:52" ht="17.100000000000001" customHeight="1" thickTop="1">
      <c r="A6776" s="109" t="s">
        <v>19514</v>
      </c>
      <c r="B6776" s="28">
        <v>46086</v>
      </c>
      <c r="C6776" s="25">
        <v>2017</v>
      </c>
      <c r="D6776" s="13" t="s">
        <v>2681</v>
      </c>
      <c r="E6776" s="111"/>
      <c r="F6776" s="113" t="s">
        <v>15214</v>
      </c>
      <c r="G6776" s="114"/>
      <c r="H6776" s="115"/>
      <c r="I6776" s="24"/>
      <c r="J6776" s="116">
        <v>4</v>
      </c>
      <c r="K6776" s="118">
        <v>1103000</v>
      </c>
      <c r="L6776" s="119"/>
      <c r="M6776" s="118">
        <f t="shared" ref="M6776" si="9474">K6776*0.1</f>
        <v>110300</v>
      </c>
      <c r="N6776" s="119"/>
      <c r="O6776" s="118">
        <v>0</v>
      </c>
      <c r="P6776" s="119"/>
      <c r="Q6776" s="118">
        <v>8550</v>
      </c>
      <c r="R6776" s="119"/>
      <c r="S6776" s="118">
        <v>22000</v>
      </c>
      <c r="T6776" s="119"/>
      <c r="U6776" s="118">
        <f t="shared" ref="U6776" si="9475">SUM(K6776:T6777)</f>
        <v>1243850</v>
      </c>
      <c r="V6776" s="122"/>
      <c r="W6776" s="124"/>
      <c r="X6776" s="126" t="s">
        <v>20022</v>
      </c>
      <c r="Y6776" s="127"/>
      <c r="Z6776" s="127"/>
      <c r="AA6776" s="127"/>
      <c r="AB6776" s="128"/>
      <c r="AC6776" s="15" t="s">
        <v>20</v>
      </c>
      <c r="AD6776" s="129" t="s">
        <v>19669</v>
      </c>
      <c r="AE6776" s="130"/>
      <c r="AF6776" s="130"/>
      <c r="AG6776" s="130"/>
      <c r="AH6776" s="130"/>
      <c r="AI6776" s="131"/>
      <c r="AJ6776" s="132"/>
      <c r="AK6776" s="127"/>
      <c r="AL6776" s="128"/>
      <c r="AM6776" s="21"/>
      <c r="AN6776" s="133">
        <v>46112</v>
      </c>
      <c r="AO6776" s="134"/>
      <c r="AP6776" s="135"/>
      <c r="AQ6776" s="136"/>
      <c r="AR6776" s="118">
        <v>1250000</v>
      </c>
      <c r="AS6776" s="119"/>
      <c r="AT6776" s="118">
        <f t="shared" ref="AT6776" si="9476">AR6776*0.1</f>
        <v>125000</v>
      </c>
      <c r="AU6776" s="119"/>
      <c r="AV6776" s="118">
        <v>8550</v>
      </c>
      <c r="AW6776" s="119"/>
      <c r="AX6776" s="118">
        <f t="shared" ref="AX6776" si="9477">SUM(AR6776:AW6776)</f>
        <v>1383550</v>
      </c>
      <c r="AY6776" s="119"/>
      <c r="AZ6776" s="137"/>
    </row>
    <row r="6777" spans="1:52" ht="17.100000000000001" customHeight="1" thickBot="1">
      <c r="A6777" s="110"/>
      <c r="B6777" s="27" t="s">
        <v>2727</v>
      </c>
      <c r="C6777" s="27">
        <v>50161</v>
      </c>
      <c r="D6777" s="14" t="s">
        <v>275</v>
      </c>
      <c r="E6777" s="112"/>
      <c r="F6777" s="139" t="s">
        <v>19538</v>
      </c>
      <c r="G6777" s="140"/>
      <c r="H6777" s="141"/>
      <c r="I6777" s="26">
        <v>32430</v>
      </c>
      <c r="J6777" s="117"/>
      <c r="K6777" s="120"/>
      <c r="L6777" s="121"/>
      <c r="M6777" s="120"/>
      <c r="N6777" s="121"/>
      <c r="O6777" s="120"/>
      <c r="P6777" s="121"/>
      <c r="Q6777" s="120"/>
      <c r="R6777" s="121"/>
      <c r="S6777" s="120"/>
      <c r="T6777" s="121"/>
      <c r="U6777" s="120"/>
      <c r="V6777" s="123"/>
      <c r="W6777" s="125"/>
      <c r="X6777" s="142" t="s">
        <v>11902</v>
      </c>
      <c r="Y6777" s="143"/>
      <c r="Z6777" s="143"/>
      <c r="AA6777" s="143"/>
      <c r="AB6777" s="144"/>
      <c r="AC6777" s="16" t="s">
        <v>21</v>
      </c>
      <c r="AD6777" s="17" t="s">
        <v>3386</v>
      </c>
      <c r="AE6777" s="145" t="s">
        <v>4106</v>
      </c>
      <c r="AF6777" s="146"/>
      <c r="AG6777" s="146"/>
      <c r="AH6777" s="146"/>
      <c r="AI6777" s="147"/>
      <c r="AJ6777" s="148"/>
      <c r="AK6777" s="143"/>
      <c r="AL6777" s="144"/>
      <c r="AM6777" s="22"/>
      <c r="AN6777" s="149" t="s">
        <v>6789</v>
      </c>
      <c r="AO6777" s="144"/>
      <c r="AP6777" s="148">
        <v>49651</v>
      </c>
      <c r="AQ6777" s="144"/>
      <c r="AR6777" s="120"/>
      <c r="AS6777" s="121"/>
      <c r="AT6777" s="120"/>
      <c r="AU6777" s="121"/>
      <c r="AV6777" s="120"/>
      <c r="AW6777" s="121"/>
      <c r="AX6777" s="120"/>
      <c r="AY6777" s="121"/>
      <c r="AZ6777" s="138"/>
    </row>
    <row r="6778" spans="1:52" ht="17.100000000000001" customHeight="1" thickTop="1">
      <c r="A6778" s="109" t="s">
        <v>19515</v>
      </c>
      <c r="B6778" s="28">
        <v>46086</v>
      </c>
      <c r="C6778" s="25">
        <v>2017</v>
      </c>
      <c r="D6778" s="13" t="s">
        <v>1642</v>
      </c>
      <c r="E6778" s="111"/>
      <c r="F6778" s="113" t="s">
        <v>19670</v>
      </c>
      <c r="G6778" s="114"/>
      <c r="H6778" s="115"/>
      <c r="I6778" s="24" t="s">
        <v>1559</v>
      </c>
      <c r="J6778" s="116">
        <v>4</v>
      </c>
      <c r="K6778" s="118">
        <v>1064000</v>
      </c>
      <c r="L6778" s="119"/>
      <c r="M6778" s="118">
        <f t="shared" ref="M6778" si="9478">K6778*0.1</f>
        <v>106400</v>
      </c>
      <c r="N6778" s="119"/>
      <c r="O6778" s="118">
        <v>0</v>
      </c>
      <c r="P6778" s="119"/>
      <c r="Q6778" s="118">
        <v>8510</v>
      </c>
      <c r="R6778" s="119"/>
      <c r="S6778" s="118">
        <v>22000</v>
      </c>
      <c r="T6778" s="119"/>
      <c r="U6778" s="118">
        <f t="shared" ref="U6778" si="9479">SUM(K6778:T6779)</f>
        <v>1200910</v>
      </c>
      <c r="V6778" s="122"/>
      <c r="W6778" s="124"/>
      <c r="X6778" s="126" t="s">
        <v>19671</v>
      </c>
      <c r="Y6778" s="127"/>
      <c r="Z6778" s="127"/>
      <c r="AA6778" s="127"/>
      <c r="AB6778" s="128"/>
      <c r="AC6778" s="15" t="s">
        <v>20</v>
      </c>
      <c r="AD6778" s="129" t="s">
        <v>19672</v>
      </c>
      <c r="AE6778" s="130"/>
      <c r="AF6778" s="130"/>
      <c r="AG6778" s="130"/>
      <c r="AH6778" s="130"/>
      <c r="AI6778" s="131"/>
      <c r="AJ6778" s="132"/>
      <c r="AK6778" s="127"/>
      <c r="AL6778" s="128"/>
      <c r="AM6778" s="21" t="s">
        <v>20981</v>
      </c>
      <c r="AN6778" s="133">
        <v>46102</v>
      </c>
      <c r="AO6778" s="134"/>
      <c r="AP6778" s="135">
        <v>1293</v>
      </c>
      <c r="AQ6778" s="136"/>
      <c r="AR6778" s="118">
        <v>1200000</v>
      </c>
      <c r="AS6778" s="119"/>
      <c r="AT6778" s="118">
        <f t="shared" ref="AT6778" si="9480">AR6778*0.1</f>
        <v>120000</v>
      </c>
      <c r="AU6778" s="119"/>
      <c r="AV6778" s="118">
        <v>8510</v>
      </c>
      <c r="AW6778" s="119"/>
      <c r="AX6778" s="118">
        <f t="shared" ref="AX6778" si="9481">SUM(AR6778:AW6778)</f>
        <v>1328510</v>
      </c>
      <c r="AY6778" s="119"/>
      <c r="AZ6778" s="137">
        <v>46107</v>
      </c>
    </row>
    <row r="6779" spans="1:52" ht="17.100000000000001" customHeight="1" thickBot="1">
      <c r="A6779" s="110"/>
      <c r="B6779" s="27" t="s">
        <v>2727</v>
      </c>
      <c r="C6779" s="27">
        <v>50170</v>
      </c>
      <c r="D6779" s="14" t="s">
        <v>275</v>
      </c>
      <c r="E6779" s="112"/>
      <c r="F6779" s="139" t="s">
        <v>19539</v>
      </c>
      <c r="G6779" s="140"/>
      <c r="H6779" s="141"/>
      <c r="I6779" s="26">
        <v>40229</v>
      </c>
      <c r="J6779" s="117"/>
      <c r="K6779" s="120"/>
      <c r="L6779" s="121"/>
      <c r="M6779" s="120"/>
      <c r="N6779" s="121"/>
      <c r="O6779" s="120"/>
      <c r="P6779" s="121"/>
      <c r="Q6779" s="120"/>
      <c r="R6779" s="121"/>
      <c r="S6779" s="120"/>
      <c r="T6779" s="121"/>
      <c r="U6779" s="120"/>
      <c r="V6779" s="123"/>
      <c r="W6779" s="125"/>
      <c r="X6779" s="142" t="s">
        <v>2321</v>
      </c>
      <c r="Y6779" s="143"/>
      <c r="Z6779" s="143"/>
      <c r="AA6779" s="143"/>
      <c r="AB6779" s="144"/>
      <c r="AC6779" s="16" t="s">
        <v>21</v>
      </c>
      <c r="AD6779" s="17" t="s">
        <v>3386</v>
      </c>
      <c r="AE6779" s="145" t="s">
        <v>1742</v>
      </c>
      <c r="AF6779" s="146"/>
      <c r="AG6779" s="146"/>
      <c r="AH6779" s="146"/>
      <c r="AI6779" s="147"/>
      <c r="AJ6779" s="148"/>
      <c r="AK6779" s="143"/>
      <c r="AL6779" s="144"/>
      <c r="AM6779" s="22"/>
      <c r="AN6779" s="149" t="s">
        <v>6748</v>
      </c>
      <c r="AO6779" s="144"/>
      <c r="AP6779" s="148">
        <v>60111</v>
      </c>
      <c r="AQ6779" s="144"/>
      <c r="AR6779" s="120"/>
      <c r="AS6779" s="121"/>
      <c r="AT6779" s="120"/>
      <c r="AU6779" s="121"/>
      <c r="AV6779" s="120"/>
      <c r="AW6779" s="121"/>
      <c r="AX6779" s="120"/>
      <c r="AY6779" s="121"/>
      <c r="AZ6779" s="138"/>
    </row>
    <row r="6780" spans="1:52" ht="17.100000000000001" customHeight="1" thickTop="1">
      <c r="A6780" s="109" t="s">
        <v>19516</v>
      </c>
      <c r="B6780" s="28">
        <v>46086</v>
      </c>
      <c r="C6780" s="25">
        <v>2148</v>
      </c>
      <c r="D6780" s="13" t="s">
        <v>2359</v>
      </c>
      <c r="E6780" s="111"/>
      <c r="F6780" s="113" t="s">
        <v>15949</v>
      </c>
      <c r="G6780" s="114"/>
      <c r="H6780" s="115"/>
      <c r="I6780" s="24"/>
      <c r="J6780" s="116">
        <v>4</v>
      </c>
      <c r="K6780" s="118">
        <v>314000</v>
      </c>
      <c r="L6780" s="119"/>
      <c r="M6780" s="118">
        <f t="shared" ref="M6780" si="9482">K6780*0.1</f>
        <v>31400</v>
      </c>
      <c r="N6780" s="119"/>
      <c r="O6780" s="118">
        <v>0</v>
      </c>
      <c r="P6780" s="119"/>
      <c r="Q6780" s="118">
        <v>7140</v>
      </c>
      <c r="R6780" s="119"/>
      <c r="S6780" s="118">
        <v>14300</v>
      </c>
      <c r="T6780" s="119"/>
      <c r="U6780" s="118">
        <f t="shared" ref="U6780" si="9483">SUM(K6780:T6781)</f>
        <v>366840</v>
      </c>
      <c r="V6780" s="122"/>
      <c r="W6780" s="124"/>
      <c r="X6780" s="126" t="s">
        <v>19809</v>
      </c>
      <c r="Y6780" s="127"/>
      <c r="Z6780" s="127"/>
      <c r="AA6780" s="127"/>
      <c r="AB6780" s="128"/>
      <c r="AC6780" s="15" t="s">
        <v>20</v>
      </c>
      <c r="AD6780" s="129" t="s">
        <v>4435</v>
      </c>
      <c r="AE6780" s="130"/>
      <c r="AF6780" s="130"/>
      <c r="AG6780" s="130"/>
      <c r="AH6780" s="130"/>
      <c r="AI6780" s="131"/>
      <c r="AJ6780" s="132"/>
      <c r="AK6780" s="127"/>
      <c r="AL6780" s="128"/>
      <c r="AM6780" s="21"/>
      <c r="AN6780" s="133">
        <v>46099</v>
      </c>
      <c r="AO6780" s="134"/>
      <c r="AP6780" s="135">
        <v>1009</v>
      </c>
      <c r="AQ6780" s="136"/>
      <c r="AR6780" s="118">
        <v>415000</v>
      </c>
      <c r="AS6780" s="119"/>
      <c r="AT6780" s="118">
        <f t="shared" ref="AT6780" si="9484">AR6780*0.1</f>
        <v>41500</v>
      </c>
      <c r="AU6780" s="119"/>
      <c r="AV6780" s="118">
        <v>7140</v>
      </c>
      <c r="AW6780" s="119"/>
      <c r="AX6780" s="118">
        <f t="shared" ref="AX6780" si="9485">SUM(AR6780:AW6780)</f>
        <v>463640</v>
      </c>
      <c r="AY6780" s="119"/>
      <c r="AZ6780" s="137">
        <v>46105</v>
      </c>
    </row>
    <row r="6781" spans="1:52" ht="17.100000000000001" customHeight="1" thickBot="1">
      <c r="A6781" s="110"/>
      <c r="B6781" s="27" t="s">
        <v>1940</v>
      </c>
      <c r="C6781" s="27">
        <v>2062</v>
      </c>
      <c r="D6781" s="14" t="s">
        <v>1720</v>
      </c>
      <c r="E6781" s="112"/>
      <c r="F6781" s="139" t="s">
        <v>19558</v>
      </c>
      <c r="G6781" s="140"/>
      <c r="H6781" s="141"/>
      <c r="I6781" s="26">
        <v>53626</v>
      </c>
      <c r="J6781" s="117"/>
      <c r="K6781" s="120"/>
      <c r="L6781" s="121"/>
      <c r="M6781" s="120"/>
      <c r="N6781" s="121"/>
      <c r="O6781" s="120"/>
      <c r="P6781" s="121"/>
      <c r="Q6781" s="120"/>
      <c r="R6781" s="121"/>
      <c r="S6781" s="120"/>
      <c r="T6781" s="121"/>
      <c r="U6781" s="120"/>
      <c r="V6781" s="123"/>
      <c r="W6781" s="125"/>
      <c r="X6781" s="142" t="s">
        <v>19810</v>
      </c>
      <c r="Y6781" s="143"/>
      <c r="Z6781" s="143"/>
      <c r="AA6781" s="143"/>
      <c r="AB6781" s="144"/>
      <c r="AC6781" s="16" t="s">
        <v>21</v>
      </c>
      <c r="AD6781" s="17" t="s">
        <v>1631</v>
      </c>
      <c r="AE6781" s="145" t="s">
        <v>2395</v>
      </c>
      <c r="AF6781" s="146"/>
      <c r="AG6781" s="146"/>
      <c r="AH6781" s="146"/>
      <c r="AI6781" s="147"/>
      <c r="AJ6781" s="148"/>
      <c r="AK6781" s="143"/>
      <c r="AL6781" s="144"/>
      <c r="AM6781" s="22"/>
      <c r="AN6781" s="149" t="s">
        <v>2794</v>
      </c>
      <c r="AO6781" s="144"/>
      <c r="AP6781" s="148">
        <v>2043</v>
      </c>
      <c r="AQ6781" s="144"/>
      <c r="AR6781" s="120"/>
      <c r="AS6781" s="121"/>
      <c r="AT6781" s="120"/>
      <c r="AU6781" s="121"/>
      <c r="AV6781" s="120"/>
      <c r="AW6781" s="121"/>
      <c r="AX6781" s="120"/>
      <c r="AY6781" s="121"/>
      <c r="AZ6781" s="138"/>
    </row>
    <row r="6782" spans="1:52" ht="17.100000000000001" customHeight="1" thickTop="1">
      <c r="A6782" s="109" t="s">
        <v>19517</v>
      </c>
      <c r="B6782" s="28">
        <v>46086</v>
      </c>
      <c r="C6782" s="25">
        <v>2148</v>
      </c>
      <c r="D6782" s="13" t="s">
        <v>2359</v>
      </c>
      <c r="E6782" s="111"/>
      <c r="F6782" s="113" t="s">
        <v>19631</v>
      </c>
      <c r="G6782" s="114"/>
      <c r="H6782" s="115"/>
      <c r="I6782" s="24"/>
      <c r="J6782" s="116">
        <v>4</v>
      </c>
      <c r="K6782" s="118">
        <v>299000</v>
      </c>
      <c r="L6782" s="119"/>
      <c r="M6782" s="118">
        <f t="shared" ref="M6782" si="9486">K6782*0.1</f>
        <v>29900</v>
      </c>
      <c r="N6782" s="119"/>
      <c r="O6782" s="118">
        <v>0</v>
      </c>
      <c r="P6782" s="119"/>
      <c r="Q6782" s="118">
        <v>7140</v>
      </c>
      <c r="R6782" s="119"/>
      <c r="S6782" s="118">
        <v>14300</v>
      </c>
      <c r="T6782" s="119"/>
      <c r="U6782" s="118">
        <f t="shared" ref="U6782" si="9487">SUM(K6782:T6783)</f>
        <v>350340</v>
      </c>
      <c r="V6782" s="122"/>
      <c r="W6782" s="124"/>
      <c r="X6782" s="126" t="s">
        <v>19811</v>
      </c>
      <c r="Y6782" s="127"/>
      <c r="Z6782" s="127"/>
      <c r="AA6782" s="127"/>
      <c r="AB6782" s="128"/>
      <c r="AC6782" s="15" t="s">
        <v>20</v>
      </c>
      <c r="AD6782" s="129" t="s">
        <v>4435</v>
      </c>
      <c r="AE6782" s="130"/>
      <c r="AF6782" s="130"/>
      <c r="AG6782" s="130"/>
      <c r="AH6782" s="130"/>
      <c r="AI6782" s="131"/>
      <c r="AJ6782" s="132"/>
      <c r="AK6782" s="127"/>
      <c r="AL6782" s="128"/>
      <c r="AM6782" s="21"/>
      <c r="AN6782" s="133">
        <v>46092</v>
      </c>
      <c r="AO6782" s="134"/>
      <c r="AP6782" s="135">
        <v>1008</v>
      </c>
      <c r="AQ6782" s="136"/>
      <c r="AR6782" s="118">
        <v>450000</v>
      </c>
      <c r="AS6782" s="119"/>
      <c r="AT6782" s="118">
        <f t="shared" ref="AT6782" si="9488">AR6782*0.1</f>
        <v>45000</v>
      </c>
      <c r="AU6782" s="119"/>
      <c r="AV6782" s="118">
        <v>7140</v>
      </c>
      <c r="AW6782" s="119"/>
      <c r="AX6782" s="118">
        <f t="shared" ref="AX6782" si="9489">SUM(AR6782:AW6782)</f>
        <v>502140</v>
      </c>
      <c r="AY6782" s="119"/>
      <c r="AZ6782" s="137">
        <v>46098</v>
      </c>
    </row>
    <row r="6783" spans="1:52" ht="17.100000000000001" customHeight="1" thickBot="1">
      <c r="A6783" s="110"/>
      <c r="B6783" s="27" t="s">
        <v>1940</v>
      </c>
      <c r="C6783" s="27">
        <v>2092</v>
      </c>
      <c r="D6783" s="14" t="s">
        <v>1720</v>
      </c>
      <c r="E6783" s="112"/>
      <c r="F6783" s="139" t="s">
        <v>19559</v>
      </c>
      <c r="G6783" s="140"/>
      <c r="H6783" s="141"/>
      <c r="I6783" s="26">
        <v>47679</v>
      </c>
      <c r="J6783" s="117"/>
      <c r="K6783" s="120"/>
      <c r="L6783" s="121"/>
      <c r="M6783" s="120"/>
      <c r="N6783" s="121"/>
      <c r="O6783" s="120"/>
      <c r="P6783" s="121"/>
      <c r="Q6783" s="120"/>
      <c r="R6783" s="121"/>
      <c r="S6783" s="120"/>
      <c r="T6783" s="121"/>
      <c r="U6783" s="120"/>
      <c r="V6783" s="123"/>
      <c r="W6783" s="125"/>
      <c r="X6783" s="142" t="s">
        <v>19810</v>
      </c>
      <c r="Y6783" s="143"/>
      <c r="Z6783" s="143"/>
      <c r="AA6783" s="143"/>
      <c r="AB6783" s="144"/>
      <c r="AC6783" s="16" t="s">
        <v>21</v>
      </c>
      <c r="AD6783" s="17" t="s">
        <v>1631</v>
      </c>
      <c r="AE6783" s="145" t="s">
        <v>171</v>
      </c>
      <c r="AF6783" s="146"/>
      <c r="AG6783" s="146"/>
      <c r="AH6783" s="146"/>
      <c r="AI6783" s="147"/>
      <c r="AJ6783" s="148"/>
      <c r="AK6783" s="143"/>
      <c r="AL6783" s="144"/>
      <c r="AM6783" s="22"/>
      <c r="AN6783" s="149" t="s">
        <v>19938</v>
      </c>
      <c r="AO6783" s="144"/>
      <c r="AP6783" s="148">
        <v>5060</v>
      </c>
      <c r="AQ6783" s="144"/>
      <c r="AR6783" s="120"/>
      <c r="AS6783" s="121"/>
      <c r="AT6783" s="120"/>
      <c r="AU6783" s="121"/>
      <c r="AV6783" s="120"/>
      <c r="AW6783" s="121"/>
      <c r="AX6783" s="120"/>
      <c r="AY6783" s="121"/>
      <c r="AZ6783" s="138"/>
    </row>
    <row r="6784" spans="1:52" ht="17.100000000000001" customHeight="1" thickTop="1">
      <c r="A6784" s="109" t="s">
        <v>19518</v>
      </c>
      <c r="B6784" s="28">
        <v>46086</v>
      </c>
      <c r="C6784" s="25">
        <v>2148</v>
      </c>
      <c r="D6784" s="13" t="s">
        <v>1561</v>
      </c>
      <c r="E6784" s="111"/>
      <c r="F6784" s="113" t="s">
        <v>16633</v>
      </c>
      <c r="G6784" s="114"/>
      <c r="H6784" s="115"/>
      <c r="I6784" s="24" t="s">
        <v>5485</v>
      </c>
      <c r="J6784" s="116">
        <v>4</v>
      </c>
      <c r="K6784" s="118">
        <v>304000</v>
      </c>
      <c r="L6784" s="119"/>
      <c r="M6784" s="118">
        <f t="shared" ref="M6784" si="9490">K6784*0.1</f>
        <v>30400</v>
      </c>
      <c r="N6784" s="119"/>
      <c r="O6784" s="118">
        <v>10800</v>
      </c>
      <c r="P6784" s="119"/>
      <c r="Q6784" s="118">
        <v>9550</v>
      </c>
      <c r="R6784" s="119"/>
      <c r="S6784" s="118">
        <v>14300</v>
      </c>
      <c r="T6784" s="119"/>
      <c r="U6784" s="118">
        <f t="shared" ref="U6784" si="9491">SUM(K6784:T6785)</f>
        <v>369050</v>
      </c>
      <c r="V6784" s="122"/>
      <c r="W6784" s="124"/>
      <c r="X6784" s="126" t="s">
        <v>19632</v>
      </c>
      <c r="Y6784" s="127"/>
      <c r="Z6784" s="127"/>
      <c r="AA6784" s="127"/>
      <c r="AB6784" s="128"/>
      <c r="AC6784" s="15" t="s">
        <v>20</v>
      </c>
      <c r="AD6784" s="129" t="s">
        <v>19633</v>
      </c>
      <c r="AE6784" s="130"/>
      <c r="AF6784" s="130"/>
      <c r="AG6784" s="130"/>
      <c r="AH6784" s="130"/>
      <c r="AI6784" s="131"/>
      <c r="AJ6784" s="132"/>
      <c r="AK6784" s="127"/>
      <c r="AL6784" s="128"/>
      <c r="AM6784" s="21"/>
      <c r="AN6784" s="133">
        <v>46092</v>
      </c>
      <c r="AO6784" s="134"/>
      <c r="AP6784" s="135">
        <v>1008</v>
      </c>
      <c r="AQ6784" s="136"/>
      <c r="AR6784" s="118">
        <v>370000</v>
      </c>
      <c r="AS6784" s="119"/>
      <c r="AT6784" s="118">
        <f t="shared" ref="AT6784" si="9492">AR6784*0.1</f>
        <v>37000</v>
      </c>
      <c r="AU6784" s="119"/>
      <c r="AV6784" s="118">
        <v>9550</v>
      </c>
      <c r="AW6784" s="119"/>
      <c r="AX6784" s="118">
        <f t="shared" ref="AX6784" si="9493">SUM(AR6784:AW6784)</f>
        <v>416550</v>
      </c>
      <c r="AY6784" s="119"/>
      <c r="AZ6784" s="137">
        <v>46098</v>
      </c>
    </row>
    <row r="6785" spans="1:52" ht="17.100000000000001" customHeight="1" thickBot="1">
      <c r="A6785" s="110"/>
      <c r="B6785" s="27" t="s">
        <v>1940</v>
      </c>
      <c r="C6785" s="27">
        <v>2150</v>
      </c>
      <c r="D6785" s="14" t="s">
        <v>1720</v>
      </c>
      <c r="E6785" s="112"/>
      <c r="F6785" s="139" t="s">
        <v>19560</v>
      </c>
      <c r="G6785" s="140"/>
      <c r="H6785" s="141"/>
      <c r="I6785" s="26">
        <v>39120</v>
      </c>
      <c r="J6785" s="117"/>
      <c r="K6785" s="120"/>
      <c r="L6785" s="121"/>
      <c r="M6785" s="120"/>
      <c r="N6785" s="121"/>
      <c r="O6785" s="120"/>
      <c r="P6785" s="121"/>
      <c r="Q6785" s="120"/>
      <c r="R6785" s="121"/>
      <c r="S6785" s="120"/>
      <c r="T6785" s="121"/>
      <c r="U6785" s="120"/>
      <c r="V6785" s="123"/>
      <c r="W6785" s="125"/>
      <c r="X6785" s="142" t="s">
        <v>19803</v>
      </c>
      <c r="Y6785" s="143"/>
      <c r="Z6785" s="143"/>
      <c r="AA6785" s="143"/>
      <c r="AB6785" s="144"/>
      <c r="AC6785" s="16" t="s">
        <v>21</v>
      </c>
      <c r="AD6785" s="17" t="s">
        <v>1631</v>
      </c>
      <c r="AE6785" s="145" t="s">
        <v>19807</v>
      </c>
      <c r="AF6785" s="146"/>
      <c r="AG6785" s="146"/>
      <c r="AH6785" s="146"/>
      <c r="AI6785" s="147"/>
      <c r="AJ6785" s="148" t="s">
        <v>19746</v>
      </c>
      <c r="AK6785" s="143"/>
      <c r="AL6785" s="144"/>
      <c r="AM6785" s="22"/>
      <c r="AN6785" s="149" t="s">
        <v>19938</v>
      </c>
      <c r="AO6785" s="144"/>
      <c r="AP6785" s="148">
        <v>5094</v>
      </c>
      <c r="AQ6785" s="144"/>
      <c r="AR6785" s="120"/>
      <c r="AS6785" s="121"/>
      <c r="AT6785" s="120"/>
      <c r="AU6785" s="121"/>
      <c r="AV6785" s="120"/>
      <c r="AW6785" s="121"/>
      <c r="AX6785" s="120"/>
      <c r="AY6785" s="121"/>
      <c r="AZ6785" s="138"/>
    </row>
    <row r="6786" spans="1:52" ht="17.100000000000001" customHeight="1" thickTop="1">
      <c r="A6786" s="109" t="s">
        <v>19519</v>
      </c>
      <c r="B6786" s="28">
        <v>46086</v>
      </c>
      <c r="C6786" s="25">
        <v>2148</v>
      </c>
      <c r="D6786" s="13" t="s">
        <v>2963</v>
      </c>
      <c r="E6786" s="111"/>
      <c r="F6786" s="113" t="s">
        <v>19634</v>
      </c>
      <c r="G6786" s="114"/>
      <c r="H6786" s="115"/>
      <c r="I6786" s="24" t="s">
        <v>19635</v>
      </c>
      <c r="J6786" s="116">
        <v>4</v>
      </c>
      <c r="K6786" s="118">
        <v>1386000</v>
      </c>
      <c r="L6786" s="119"/>
      <c r="M6786" s="118">
        <f t="shared" ref="M6786" si="9494">K6786*0.1</f>
        <v>138600</v>
      </c>
      <c r="N6786" s="119"/>
      <c r="O6786" s="118">
        <v>10800</v>
      </c>
      <c r="P6786" s="119"/>
      <c r="Q6786" s="118">
        <v>8550</v>
      </c>
      <c r="R6786" s="119"/>
      <c r="S6786" s="118">
        <v>14300</v>
      </c>
      <c r="T6786" s="119"/>
      <c r="U6786" s="118">
        <f t="shared" ref="U6786" si="9495">SUM(K6786:T6787)</f>
        <v>1558250</v>
      </c>
      <c r="V6786" s="122"/>
      <c r="W6786" s="124"/>
      <c r="X6786" s="126" t="s">
        <v>19636</v>
      </c>
      <c r="Y6786" s="127"/>
      <c r="Z6786" s="127"/>
      <c r="AA6786" s="127"/>
      <c r="AB6786" s="128"/>
      <c r="AC6786" s="15" t="s">
        <v>20</v>
      </c>
      <c r="AD6786" s="129" t="s">
        <v>4435</v>
      </c>
      <c r="AE6786" s="130"/>
      <c r="AF6786" s="130"/>
      <c r="AG6786" s="130"/>
      <c r="AH6786" s="130"/>
      <c r="AI6786" s="131"/>
      <c r="AJ6786" s="132"/>
      <c r="AK6786" s="127"/>
      <c r="AL6786" s="128"/>
      <c r="AM6786" s="21"/>
      <c r="AN6786" s="133">
        <v>46099</v>
      </c>
      <c r="AO6786" s="134"/>
      <c r="AP6786" s="135">
        <v>1009</v>
      </c>
      <c r="AQ6786" s="136"/>
      <c r="AR6786" s="118">
        <v>1445000</v>
      </c>
      <c r="AS6786" s="119"/>
      <c r="AT6786" s="118">
        <f t="shared" ref="AT6786" si="9496">AR6786*0.1</f>
        <v>144500</v>
      </c>
      <c r="AU6786" s="119"/>
      <c r="AV6786" s="118">
        <v>8550</v>
      </c>
      <c r="AW6786" s="119"/>
      <c r="AX6786" s="118">
        <f t="shared" ref="AX6786" si="9497">SUM(AR6786:AW6786)</f>
        <v>1598050</v>
      </c>
      <c r="AY6786" s="119"/>
      <c r="AZ6786" s="137">
        <v>46105</v>
      </c>
    </row>
    <row r="6787" spans="1:52" ht="17.100000000000001" customHeight="1" thickBot="1">
      <c r="A6787" s="110"/>
      <c r="B6787" s="27" t="s">
        <v>1940</v>
      </c>
      <c r="C6787" s="27">
        <v>2513</v>
      </c>
      <c r="D6787" s="14" t="s">
        <v>2601</v>
      </c>
      <c r="E6787" s="112"/>
      <c r="F6787" s="139" t="s">
        <v>19561</v>
      </c>
      <c r="G6787" s="140"/>
      <c r="H6787" s="141"/>
      <c r="I6787" s="26">
        <v>17663</v>
      </c>
      <c r="J6787" s="117"/>
      <c r="K6787" s="120"/>
      <c r="L6787" s="121"/>
      <c r="M6787" s="120"/>
      <c r="N6787" s="121"/>
      <c r="O6787" s="120"/>
      <c r="P6787" s="121"/>
      <c r="Q6787" s="120"/>
      <c r="R6787" s="121"/>
      <c r="S6787" s="120"/>
      <c r="T6787" s="121"/>
      <c r="U6787" s="120"/>
      <c r="V6787" s="123"/>
      <c r="W6787" s="125"/>
      <c r="X6787" s="142" t="s">
        <v>19812</v>
      </c>
      <c r="Y6787" s="143"/>
      <c r="Z6787" s="143"/>
      <c r="AA6787" s="143"/>
      <c r="AB6787" s="144"/>
      <c r="AC6787" s="16" t="s">
        <v>21</v>
      </c>
      <c r="AD6787" s="17" t="s">
        <v>1631</v>
      </c>
      <c r="AE6787" s="145" t="s">
        <v>171</v>
      </c>
      <c r="AF6787" s="146"/>
      <c r="AG6787" s="146"/>
      <c r="AH6787" s="146"/>
      <c r="AI6787" s="147"/>
      <c r="AJ6787" s="148"/>
      <c r="AK6787" s="143"/>
      <c r="AL6787" s="144"/>
      <c r="AM6787" s="22"/>
      <c r="AN6787" s="149" t="s">
        <v>2794</v>
      </c>
      <c r="AO6787" s="144"/>
      <c r="AP6787" s="148">
        <v>2050</v>
      </c>
      <c r="AQ6787" s="144"/>
      <c r="AR6787" s="120"/>
      <c r="AS6787" s="121"/>
      <c r="AT6787" s="120"/>
      <c r="AU6787" s="121"/>
      <c r="AV6787" s="120"/>
      <c r="AW6787" s="121"/>
      <c r="AX6787" s="120"/>
      <c r="AY6787" s="121"/>
      <c r="AZ6787" s="138"/>
    </row>
    <row r="6788" spans="1:52" ht="17.100000000000001" customHeight="1" thickTop="1">
      <c r="A6788" s="109" t="s">
        <v>19520</v>
      </c>
      <c r="B6788" s="28">
        <v>46086</v>
      </c>
      <c r="C6788" s="25">
        <v>2148</v>
      </c>
      <c r="D6788" s="13" t="s">
        <v>2001</v>
      </c>
      <c r="E6788" s="111"/>
      <c r="F6788" s="113" t="s">
        <v>19637</v>
      </c>
      <c r="G6788" s="114"/>
      <c r="H6788" s="115"/>
      <c r="I6788" s="24" t="s">
        <v>10854</v>
      </c>
      <c r="J6788" s="116">
        <v>4</v>
      </c>
      <c r="K6788" s="118">
        <v>586000</v>
      </c>
      <c r="L6788" s="119"/>
      <c r="M6788" s="118">
        <f t="shared" ref="M6788" si="9498">K6788*0.1</f>
        <v>58600</v>
      </c>
      <c r="N6788" s="119"/>
      <c r="O6788" s="118">
        <v>5000</v>
      </c>
      <c r="P6788" s="119"/>
      <c r="Q6788" s="118">
        <v>6320</v>
      </c>
      <c r="R6788" s="119"/>
      <c r="S6788" s="118">
        <v>14300</v>
      </c>
      <c r="T6788" s="119"/>
      <c r="U6788" s="118">
        <f t="shared" ref="U6788" si="9499">SUM(K6788:T6789)</f>
        <v>670220</v>
      </c>
      <c r="V6788" s="122"/>
      <c r="W6788" s="124"/>
      <c r="X6788" s="126" t="s">
        <v>19986</v>
      </c>
      <c r="Y6788" s="127"/>
      <c r="Z6788" s="127"/>
      <c r="AA6788" s="127"/>
      <c r="AB6788" s="128"/>
      <c r="AC6788" s="15" t="s">
        <v>20</v>
      </c>
      <c r="AD6788" s="129" t="s">
        <v>3896</v>
      </c>
      <c r="AE6788" s="130"/>
      <c r="AF6788" s="130"/>
      <c r="AG6788" s="130"/>
      <c r="AH6788" s="130"/>
      <c r="AI6788" s="131"/>
      <c r="AJ6788" s="132"/>
      <c r="AK6788" s="127"/>
      <c r="AL6788" s="128"/>
      <c r="AM6788" s="21"/>
      <c r="AN6788" s="133">
        <v>46092</v>
      </c>
      <c r="AO6788" s="134"/>
      <c r="AP6788" s="135">
        <v>1008</v>
      </c>
      <c r="AQ6788" s="136"/>
      <c r="AR6788" s="118">
        <v>675000</v>
      </c>
      <c r="AS6788" s="119"/>
      <c r="AT6788" s="118">
        <f t="shared" ref="AT6788" si="9500">AR6788*0.1</f>
        <v>67500</v>
      </c>
      <c r="AU6788" s="119"/>
      <c r="AV6788" s="118">
        <v>6320</v>
      </c>
      <c r="AW6788" s="119"/>
      <c r="AX6788" s="118">
        <f t="shared" ref="AX6788" si="9501">SUM(AR6788:AW6788)</f>
        <v>748820</v>
      </c>
      <c r="AY6788" s="119"/>
      <c r="AZ6788" s="137">
        <v>46098</v>
      </c>
    </row>
    <row r="6789" spans="1:52" ht="17.100000000000001" customHeight="1" thickBot="1">
      <c r="A6789" s="110"/>
      <c r="B6789" s="27" t="s">
        <v>1940</v>
      </c>
      <c r="C6789" s="27">
        <v>2639</v>
      </c>
      <c r="D6789" s="14" t="s">
        <v>1592</v>
      </c>
      <c r="E6789" s="112"/>
      <c r="F6789" s="139" t="s">
        <v>19562</v>
      </c>
      <c r="G6789" s="140"/>
      <c r="H6789" s="141"/>
      <c r="I6789" s="26">
        <v>19115</v>
      </c>
      <c r="J6789" s="117"/>
      <c r="K6789" s="120"/>
      <c r="L6789" s="121"/>
      <c r="M6789" s="120"/>
      <c r="N6789" s="121"/>
      <c r="O6789" s="120"/>
      <c r="P6789" s="121"/>
      <c r="Q6789" s="120"/>
      <c r="R6789" s="121"/>
      <c r="S6789" s="120"/>
      <c r="T6789" s="121"/>
      <c r="U6789" s="120"/>
      <c r="V6789" s="123"/>
      <c r="W6789" s="125"/>
      <c r="X6789" s="142" t="s">
        <v>2440</v>
      </c>
      <c r="Y6789" s="143"/>
      <c r="Z6789" s="143"/>
      <c r="AA6789" s="143"/>
      <c r="AB6789" s="144"/>
      <c r="AC6789" s="16" t="s">
        <v>21</v>
      </c>
      <c r="AD6789" s="17" t="s">
        <v>3386</v>
      </c>
      <c r="AE6789" s="145" t="s">
        <v>19987</v>
      </c>
      <c r="AF6789" s="146"/>
      <c r="AG6789" s="146"/>
      <c r="AH6789" s="146"/>
      <c r="AI6789" s="147"/>
      <c r="AJ6789" s="148"/>
      <c r="AK6789" s="143"/>
      <c r="AL6789" s="144"/>
      <c r="AM6789" s="22"/>
      <c r="AN6789" s="149" t="s">
        <v>19938</v>
      </c>
      <c r="AO6789" s="144"/>
      <c r="AP6789" s="148">
        <v>5085</v>
      </c>
      <c r="AQ6789" s="144"/>
      <c r="AR6789" s="120"/>
      <c r="AS6789" s="121"/>
      <c r="AT6789" s="120"/>
      <c r="AU6789" s="121"/>
      <c r="AV6789" s="120"/>
      <c r="AW6789" s="121"/>
      <c r="AX6789" s="120"/>
      <c r="AY6789" s="121"/>
      <c r="AZ6789" s="138"/>
    </row>
    <row r="6790" spans="1:52" ht="17.100000000000001" customHeight="1" thickTop="1">
      <c r="A6790" s="109" t="s">
        <v>19521</v>
      </c>
      <c r="B6790" s="28">
        <v>46086</v>
      </c>
      <c r="C6790" s="25">
        <v>2148</v>
      </c>
      <c r="D6790" s="13" t="s">
        <v>2359</v>
      </c>
      <c r="E6790" s="111"/>
      <c r="F6790" s="113" t="s">
        <v>19638</v>
      </c>
      <c r="G6790" s="114"/>
      <c r="H6790" s="115"/>
      <c r="I6790" s="24" t="s">
        <v>14743</v>
      </c>
      <c r="J6790" s="116">
        <v>4</v>
      </c>
      <c r="K6790" s="118">
        <v>1077000</v>
      </c>
      <c r="L6790" s="119"/>
      <c r="M6790" s="118">
        <f t="shared" ref="M6790" si="9502">K6790*0.1</f>
        <v>107700</v>
      </c>
      <c r="N6790" s="119"/>
      <c r="O6790" s="118">
        <v>10800</v>
      </c>
      <c r="P6790" s="119"/>
      <c r="Q6790" s="118">
        <v>9140</v>
      </c>
      <c r="R6790" s="119"/>
      <c r="S6790" s="118">
        <v>14300</v>
      </c>
      <c r="T6790" s="119"/>
      <c r="U6790" s="118">
        <f t="shared" ref="U6790" si="9503">SUM(K6790:T6791)</f>
        <v>1218940</v>
      </c>
      <c r="V6790" s="122"/>
      <c r="W6790" s="124"/>
      <c r="X6790" s="126" t="s">
        <v>19639</v>
      </c>
      <c r="Y6790" s="127"/>
      <c r="Z6790" s="127"/>
      <c r="AA6790" s="127"/>
      <c r="AB6790" s="128"/>
      <c r="AC6790" s="15" t="s">
        <v>20</v>
      </c>
      <c r="AD6790" s="129" t="s">
        <v>1670</v>
      </c>
      <c r="AE6790" s="130"/>
      <c r="AF6790" s="130"/>
      <c r="AG6790" s="130"/>
      <c r="AH6790" s="130"/>
      <c r="AI6790" s="131"/>
      <c r="AJ6790" s="132"/>
      <c r="AK6790" s="127"/>
      <c r="AL6790" s="128"/>
      <c r="AM6790" s="21" t="s">
        <v>22270</v>
      </c>
      <c r="AN6790" s="133">
        <v>46113</v>
      </c>
      <c r="AO6790" s="134"/>
      <c r="AP6790" s="135">
        <v>1011</v>
      </c>
      <c r="AQ6790" s="136"/>
      <c r="AR6790" s="118">
        <v>1150000</v>
      </c>
      <c r="AS6790" s="119"/>
      <c r="AT6790" s="118">
        <f t="shared" ref="AT6790" si="9504">AR6790*0.1</f>
        <v>115000</v>
      </c>
      <c r="AU6790" s="119"/>
      <c r="AV6790" s="118">
        <v>9140</v>
      </c>
      <c r="AW6790" s="119"/>
      <c r="AX6790" s="118">
        <f t="shared" ref="AX6790" si="9505">SUM(AR6790:AW6790)</f>
        <v>1274140</v>
      </c>
      <c r="AY6790" s="119"/>
      <c r="AZ6790" s="137">
        <v>46121</v>
      </c>
    </row>
    <row r="6791" spans="1:52" ht="17.100000000000001" customHeight="1" thickBot="1">
      <c r="A6791" s="110"/>
      <c r="B6791" s="27" t="s">
        <v>1940</v>
      </c>
      <c r="C6791" s="27">
        <v>2648</v>
      </c>
      <c r="D6791" s="14" t="s">
        <v>2325</v>
      </c>
      <c r="E6791" s="112"/>
      <c r="F6791" s="139" t="s">
        <v>19563</v>
      </c>
      <c r="G6791" s="140"/>
      <c r="H6791" s="141"/>
      <c r="I6791" s="26">
        <v>31042</v>
      </c>
      <c r="J6791" s="117"/>
      <c r="K6791" s="120"/>
      <c r="L6791" s="121"/>
      <c r="M6791" s="120"/>
      <c r="N6791" s="121"/>
      <c r="O6791" s="120"/>
      <c r="P6791" s="121"/>
      <c r="Q6791" s="120"/>
      <c r="R6791" s="121"/>
      <c r="S6791" s="120"/>
      <c r="T6791" s="121"/>
      <c r="U6791" s="120"/>
      <c r="V6791" s="123"/>
      <c r="W6791" s="125"/>
      <c r="X6791" s="142" t="s">
        <v>19204</v>
      </c>
      <c r="Y6791" s="143"/>
      <c r="Z6791" s="143"/>
      <c r="AA6791" s="143"/>
      <c r="AB6791" s="144"/>
      <c r="AC6791" s="16" t="s">
        <v>21</v>
      </c>
      <c r="AD6791" s="17" t="s">
        <v>1631</v>
      </c>
      <c r="AE6791" s="145" t="s">
        <v>9867</v>
      </c>
      <c r="AF6791" s="146"/>
      <c r="AG6791" s="146"/>
      <c r="AH6791" s="146"/>
      <c r="AI6791" s="147"/>
      <c r="AJ6791" s="148"/>
      <c r="AK6791" s="143"/>
      <c r="AL6791" s="144"/>
      <c r="AM6791" s="22"/>
      <c r="AN6791" s="149" t="s">
        <v>8809</v>
      </c>
      <c r="AO6791" s="144"/>
      <c r="AP6791" s="148">
        <v>2133</v>
      </c>
      <c r="AQ6791" s="144"/>
      <c r="AR6791" s="120"/>
      <c r="AS6791" s="121"/>
      <c r="AT6791" s="120"/>
      <c r="AU6791" s="121"/>
      <c r="AV6791" s="120"/>
      <c r="AW6791" s="121"/>
      <c r="AX6791" s="120"/>
      <c r="AY6791" s="121"/>
      <c r="AZ6791" s="138"/>
    </row>
    <row r="6792" spans="1:52" ht="17.100000000000001" customHeight="1" thickTop="1">
      <c r="A6792" s="109" t="s">
        <v>19522</v>
      </c>
      <c r="B6792" s="28">
        <v>46086</v>
      </c>
      <c r="C6792" s="25">
        <v>2148</v>
      </c>
      <c r="D6792" s="13" t="s">
        <v>2442</v>
      </c>
      <c r="E6792" s="111"/>
      <c r="F6792" s="113" t="s">
        <v>19640</v>
      </c>
      <c r="G6792" s="114"/>
      <c r="H6792" s="115"/>
      <c r="I6792" s="24" t="s">
        <v>2584</v>
      </c>
      <c r="J6792" s="116">
        <v>4.5</v>
      </c>
      <c r="K6792" s="118">
        <v>875000</v>
      </c>
      <c r="L6792" s="119"/>
      <c r="M6792" s="118">
        <f t="shared" ref="M6792" si="9506">K6792*0.1</f>
        <v>87500</v>
      </c>
      <c r="N6792" s="119"/>
      <c r="O6792" s="118">
        <v>10800</v>
      </c>
      <c r="P6792" s="119"/>
      <c r="Q6792" s="118">
        <v>9200</v>
      </c>
      <c r="R6792" s="119"/>
      <c r="S6792" s="118">
        <v>14300</v>
      </c>
      <c r="T6792" s="119"/>
      <c r="U6792" s="118">
        <f t="shared" ref="U6792" si="9507">SUM(K6792:T6793)</f>
        <v>996800</v>
      </c>
      <c r="V6792" s="122"/>
      <c r="W6792" s="124"/>
      <c r="X6792" s="126" t="s">
        <v>19641</v>
      </c>
      <c r="Y6792" s="127"/>
      <c r="Z6792" s="127"/>
      <c r="AA6792" s="127"/>
      <c r="AB6792" s="128"/>
      <c r="AC6792" s="15" t="s">
        <v>20</v>
      </c>
      <c r="AD6792" s="129" t="s">
        <v>1670</v>
      </c>
      <c r="AE6792" s="130"/>
      <c r="AF6792" s="130"/>
      <c r="AG6792" s="130"/>
      <c r="AH6792" s="130"/>
      <c r="AI6792" s="131"/>
      <c r="AJ6792" s="132"/>
      <c r="AK6792" s="127"/>
      <c r="AL6792" s="128"/>
      <c r="AM6792" s="21"/>
      <c r="AN6792" s="133">
        <v>46098</v>
      </c>
      <c r="AO6792" s="134"/>
      <c r="AP6792" s="135">
        <v>1933</v>
      </c>
      <c r="AQ6792" s="136"/>
      <c r="AR6792" s="118">
        <v>906000</v>
      </c>
      <c r="AS6792" s="119"/>
      <c r="AT6792" s="118">
        <f t="shared" ref="AT6792" si="9508">AR6792*0.1</f>
        <v>90600</v>
      </c>
      <c r="AU6792" s="119"/>
      <c r="AV6792" s="118">
        <v>9200</v>
      </c>
      <c r="AW6792" s="119"/>
      <c r="AX6792" s="118">
        <f t="shared" ref="AX6792" si="9509">SUM(AR6792:AW6792)</f>
        <v>1005800</v>
      </c>
      <c r="AY6792" s="119"/>
      <c r="AZ6792" s="137"/>
    </row>
    <row r="6793" spans="1:52" ht="17.100000000000001" customHeight="1" thickBot="1">
      <c r="A6793" s="110"/>
      <c r="B6793" s="27" t="s">
        <v>1940</v>
      </c>
      <c r="C6793" s="27">
        <v>2677</v>
      </c>
      <c r="D6793" s="14" t="s">
        <v>275</v>
      </c>
      <c r="E6793" s="112"/>
      <c r="F6793" s="139" t="s">
        <v>19564</v>
      </c>
      <c r="G6793" s="140"/>
      <c r="H6793" s="141"/>
      <c r="I6793" s="26">
        <v>49486</v>
      </c>
      <c r="J6793" s="117"/>
      <c r="K6793" s="120"/>
      <c r="L6793" s="121"/>
      <c r="M6793" s="120"/>
      <c r="N6793" s="121"/>
      <c r="O6793" s="120"/>
      <c r="P6793" s="121"/>
      <c r="Q6793" s="120"/>
      <c r="R6793" s="121"/>
      <c r="S6793" s="120"/>
      <c r="T6793" s="121"/>
      <c r="U6793" s="120"/>
      <c r="V6793" s="123"/>
      <c r="W6793" s="125"/>
      <c r="X6793" s="142" t="s">
        <v>19808</v>
      </c>
      <c r="Y6793" s="143"/>
      <c r="Z6793" s="143"/>
      <c r="AA6793" s="143"/>
      <c r="AB6793" s="144"/>
      <c r="AC6793" s="16" t="s">
        <v>21</v>
      </c>
      <c r="AD6793" s="17" t="s">
        <v>1631</v>
      </c>
      <c r="AE6793" s="145" t="s">
        <v>1670</v>
      </c>
      <c r="AF6793" s="146"/>
      <c r="AG6793" s="146"/>
      <c r="AH6793" s="146"/>
      <c r="AI6793" s="147"/>
      <c r="AJ6793" s="148"/>
      <c r="AK6793" s="143"/>
      <c r="AL6793" s="144"/>
      <c r="AM6793" s="22"/>
      <c r="AN6793" s="149" t="s">
        <v>2131</v>
      </c>
      <c r="AO6793" s="144"/>
      <c r="AP6793" s="148">
        <v>3191</v>
      </c>
      <c r="AQ6793" s="144"/>
      <c r="AR6793" s="120"/>
      <c r="AS6793" s="121"/>
      <c r="AT6793" s="120"/>
      <c r="AU6793" s="121"/>
      <c r="AV6793" s="120"/>
      <c r="AW6793" s="121"/>
      <c r="AX6793" s="120"/>
      <c r="AY6793" s="121"/>
      <c r="AZ6793" s="138"/>
    </row>
    <row r="6794" spans="1:52" ht="17.100000000000001" customHeight="1" thickTop="1">
      <c r="A6794" s="109" t="s">
        <v>19523</v>
      </c>
      <c r="B6794" s="28">
        <v>46086</v>
      </c>
      <c r="C6794" s="25">
        <v>2148</v>
      </c>
      <c r="D6794" s="13" t="s">
        <v>2359</v>
      </c>
      <c r="E6794" s="111"/>
      <c r="F6794" s="113" t="s">
        <v>19642</v>
      </c>
      <c r="G6794" s="114"/>
      <c r="H6794" s="115"/>
      <c r="I6794" s="24"/>
      <c r="J6794" s="116">
        <v>4</v>
      </c>
      <c r="K6794" s="118">
        <v>382000</v>
      </c>
      <c r="L6794" s="119"/>
      <c r="M6794" s="118">
        <f t="shared" ref="M6794" si="9510">K6794*0.1</f>
        <v>38200</v>
      </c>
      <c r="N6794" s="119"/>
      <c r="O6794" s="118">
        <v>0</v>
      </c>
      <c r="P6794" s="119"/>
      <c r="Q6794" s="118">
        <v>7140</v>
      </c>
      <c r="R6794" s="119"/>
      <c r="S6794" s="118">
        <v>14300</v>
      </c>
      <c r="T6794" s="119"/>
      <c r="U6794" s="118">
        <f t="shared" ref="U6794" si="9511">SUM(K6794:T6795)</f>
        <v>441640</v>
      </c>
      <c r="V6794" s="122"/>
      <c r="W6794" s="124"/>
      <c r="X6794" s="126" t="s">
        <v>19804</v>
      </c>
      <c r="Y6794" s="127"/>
      <c r="Z6794" s="127"/>
      <c r="AA6794" s="127"/>
      <c r="AB6794" s="128"/>
      <c r="AC6794" s="15" t="s">
        <v>20</v>
      </c>
      <c r="AD6794" s="129" t="s">
        <v>4435</v>
      </c>
      <c r="AE6794" s="130"/>
      <c r="AF6794" s="130"/>
      <c r="AG6794" s="130"/>
      <c r="AH6794" s="130"/>
      <c r="AI6794" s="131"/>
      <c r="AJ6794" s="132"/>
      <c r="AK6794" s="127"/>
      <c r="AL6794" s="128"/>
      <c r="AM6794" s="21"/>
      <c r="AN6794" s="133">
        <v>46092</v>
      </c>
      <c r="AO6794" s="134"/>
      <c r="AP6794" s="135">
        <v>1008</v>
      </c>
      <c r="AQ6794" s="136"/>
      <c r="AR6794" s="118">
        <v>430000</v>
      </c>
      <c r="AS6794" s="119"/>
      <c r="AT6794" s="118">
        <f t="shared" ref="AT6794" si="9512">AR6794*0.1</f>
        <v>43000</v>
      </c>
      <c r="AU6794" s="119"/>
      <c r="AV6794" s="118">
        <v>7140</v>
      </c>
      <c r="AW6794" s="119"/>
      <c r="AX6794" s="118">
        <f t="shared" ref="AX6794" si="9513">SUM(AR6794:AW6794)</f>
        <v>480140</v>
      </c>
      <c r="AY6794" s="119"/>
      <c r="AZ6794" s="137">
        <v>46098</v>
      </c>
    </row>
    <row r="6795" spans="1:52" ht="17.100000000000001" customHeight="1" thickBot="1">
      <c r="A6795" s="110"/>
      <c r="B6795" s="27" t="s">
        <v>1940</v>
      </c>
      <c r="C6795" s="27">
        <v>2678</v>
      </c>
      <c r="D6795" s="14" t="s">
        <v>1720</v>
      </c>
      <c r="E6795" s="112"/>
      <c r="F6795" s="139" t="s">
        <v>19565</v>
      </c>
      <c r="G6795" s="140"/>
      <c r="H6795" s="141"/>
      <c r="I6795" s="26">
        <v>22591</v>
      </c>
      <c r="J6795" s="117"/>
      <c r="K6795" s="120"/>
      <c r="L6795" s="121"/>
      <c r="M6795" s="120"/>
      <c r="N6795" s="121"/>
      <c r="O6795" s="120"/>
      <c r="P6795" s="121"/>
      <c r="Q6795" s="120"/>
      <c r="R6795" s="121"/>
      <c r="S6795" s="120"/>
      <c r="T6795" s="121"/>
      <c r="U6795" s="120"/>
      <c r="V6795" s="123"/>
      <c r="W6795" s="125"/>
      <c r="X6795" s="142" t="s">
        <v>4045</v>
      </c>
      <c r="Y6795" s="143"/>
      <c r="Z6795" s="143"/>
      <c r="AA6795" s="143"/>
      <c r="AB6795" s="144"/>
      <c r="AC6795" s="16" t="s">
        <v>21</v>
      </c>
      <c r="AD6795" s="17" t="s">
        <v>1631</v>
      </c>
      <c r="AE6795" s="145" t="s">
        <v>15769</v>
      </c>
      <c r="AF6795" s="146"/>
      <c r="AG6795" s="146"/>
      <c r="AH6795" s="146"/>
      <c r="AI6795" s="147"/>
      <c r="AJ6795" s="148"/>
      <c r="AK6795" s="143"/>
      <c r="AL6795" s="144"/>
      <c r="AM6795" s="22"/>
      <c r="AN6795" s="149" t="s">
        <v>19938</v>
      </c>
      <c r="AO6795" s="144"/>
      <c r="AP6795" s="148">
        <v>5086</v>
      </c>
      <c r="AQ6795" s="144"/>
      <c r="AR6795" s="120"/>
      <c r="AS6795" s="121"/>
      <c r="AT6795" s="120"/>
      <c r="AU6795" s="121"/>
      <c r="AV6795" s="120"/>
      <c r="AW6795" s="121"/>
      <c r="AX6795" s="120"/>
      <c r="AY6795" s="121"/>
      <c r="AZ6795" s="138"/>
    </row>
    <row r="6796" spans="1:52" ht="17.100000000000001" customHeight="1" thickTop="1">
      <c r="A6796" s="109" t="s">
        <v>19524</v>
      </c>
      <c r="B6796" s="28">
        <v>46086</v>
      </c>
      <c r="C6796" s="25">
        <v>2148</v>
      </c>
      <c r="D6796" s="13" t="s">
        <v>2914</v>
      </c>
      <c r="E6796" s="111"/>
      <c r="F6796" s="113" t="s">
        <v>19643</v>
      </c>
      <c r="G6796" s="114"/>
      <c r="H6796" s="115"/>
      <c r="I6796" s="24" t="s">
        <v>19644</v>
      </c>
      <c r="J6796" s="116">
        <v>4</v>
      </c>
      <c r="K6796" s="118">
        <v>461000</v>
      </c>
      <c r="L6796" s="119"/>
      <c r="M6796" s="118">
        <f t="shared" ref="M6796" si="9514">K6796*0.1</f>
        <v>46100</v>
      </c>
      <c r="N6796" s="119"/>
      <c r="O6796" s="118">
        <v>10800</v>
      </c>
      <c r="P6796" s="119"/>
      <c r="Q6796" s="118">
        <v>7140</v>
      </c>
      <c r="R6796" s="119"/>
      <c r="S6796" s="118">
        <v>14300</v>
      </c>
      <c r="T6796" s="119"/>
      <c r="U6796" s="118">
        <f t="shared" ref="U6796" si="9515">SUM(K6796:T6797)</f>
        <v>539340</v>
      </c>
      <c r="V6796" s="122"/>
      <c r="W6796" s="124"/>
      <c r="X6796" s="126" t="s">
        <v>19645</v>
      </c>
      <c r="Y6796" s="127"/>
      <c r="Z6796" s="127"/>
      <c r="AA6796" s="127"/>
      <c r="AB6796" s="128"/>
      <c r="AC6796" s="15" t="s">
        <v>20</v>
      </c>
      <c r="AD6796" s="129" t="s">
        <v>7254</v>
      </c>
      <c r="AE6796" s="130"/>
      <c r="AF6796" s="130"/>
      <c r="AG6796" s="130"/>
      <c r="AH6796" s="130"/>
      <c r="AI6796" s="131"/>
      <c r="AJ6796" s="132"/>
      <c r="AK6796" s="127"/>
      <c r="AL6796" s="128"/>
      <c r="AM6796" s="21"/>
      <c r="AN6796" s="133">
        <v>46092</v>
      </c>
      <c r="AO6796" s="134"/>
      <c r="AP6796" s="135">
        <v>1008</v>
      </c>
      <c r="AQ6796" s="136"/>
      <c r="AR6796" s="118">
        <v>510000</v>
      </c>
      <c r="AS6796" s="119"/>
      <c r="AT6796" s="118">
        <f t="shared" ref="AT6796" si="9516">AR6796*0.1</f>
        <v>51000</v>
      </c>
      <c r="AU6796" s="119"/>
      <c r="AV6796" s="118">
        <v>7140</v>
      </c>
      <c r="AW6796" s="119"/>
      <c r="AX6796" s="118">
        <f t="shared" ref="AX6796" si="9517">SUM(AR6796:AW6796)</f>
        <v>568140</v>
      </c>
      <c r="AY6796" s="119"/>
      <c r="AZ6796" s="137">
        <v>46098</v>
      </c>
    </row>
    <row r="6797" spans="1:52" ht="17.100000000000001" customHeight="1" thickBot="1">
      <c r="A6797" s="110"/>
      <c r="B6797" s="27" t="s">
        <v>1940</v>
      </c>
      <c r="C6797" s="27">
        <v>2684</v>
      </c>
      <c r="D6797" s="14" t="s">
        <v>2601</v>
      </c>
      <c r="E6797" s="112"/>
      <c r="F6797" s="139" t="s">
        <v>19566</v>
      </c>
      <c r="G6797" s="140"/>
      <c r="H6797" s="141"/>
      <c r="I6797" s="26">
        <v>27378</v>
      </c>
      <c r="J6797" s="117"/>
      <c r="K6797" s="120"/>
      <c r="L6797" s="121"/>
      <c r="M6797" s="120"/>
      <c r="N6797" s="121"/>
      <c r="O6797" s="120"/>
      <c r="P6797" s="121"/>
      <c r="Q6797" s="120"/>
      <c r="R6797" s="121"/>
      <c r="S6797" s="120"/>
      <c r="T6797" s="121"/>
      <c r="U6797" s="120"/>
      <c r="V6797" s="123"/>
      <c r="W6797" s="125"/>
      <c r="X6797" s="142" t="s">
        <v>19814</v>
      </c>
      <c r="Y6797" s="143"/>
      <c r="Z6797" s="143"/>
      <c r="AA6797" s="143"/>
      <c r="AB6797" s="144"/>
      <c r="AC6797" s="16" t="s">
        <v>21</v>
      </c>
      <c r="AD6797" s="17" t="s">
        <v>1631</v>
      </c>
      <c r="AE6797" s="145" t="s">
        <v>20064</v>
      </c>
      <c r="AF6797" s="146"/>
      <c r="AG6797" s="146"/>
      <c r="AH6797" s="146"/>
      <c r="AI6797" s="147"/>
      <c r="AJ6797" s="148"/>
      <c r="AK6797" s="143"/>
      <c r="AL6797" s="144"/>
      <c r="AM6797" s="22"/>
      <c r="AN6797" s="149" t="s">
        <v>19938</v>
      </c>
      <c r="AO6797" s="144"/>
      <c r="AP6797" s="148">
        <v>5089</v>
      </c>
      <c r="AQ6797" s="144"/>
      <c r="AR6797" s="120"/>
      <c r="AS6797" s="121"/>
      <c r="AT6797" s="120"/>
      <c r="AU6797" s="121"/>
      <c r="AV6797" s="120"/>
      <c r="AW6797" s="121"/>
      <c r="AX6797" s="120"/>
      <c r="AY6797" s="121"/>
      <c r="AZ6797" s="138"/>
    </row>
    <row r="6798" spans="1:52" ht="17.100000000000001" customHeight="1" thickTop="1">
      <c r="A6798" s="109" t="s">
        <v>19525</v>
      </c>
      <c r="B6798" s="28">
        <v>46086</v>
      </c>
      <c r="C6798" s="25">
        <v>2148</v>
      </c>
      <c r="D6798" s="13" t="s">
        <v>2528</v>
      </c>
      <c r="E6798" s="111"/>
      <c r="F6798" s="113" t="s">
        <v>19646</v>
      </c>
      <c r="G6798" s="114"/>
      <c r="H6798" s="115"/>
      <c r="I6798" s="24" t="s">
        <v>19647</v>
      </c>
      <c r="J6798" s="116">
        <v>4</v>
      </c>
      <c r="K6798" s="118">
        <v>354000</v>
      </c>
      <c r="L6798" s="119"/>
      <c r="M6798" s="118">
        <f t="shared" ref="M6798" si="9518">K6798*0.1</f>
        <v>35400</v>
      </c>
      <c r="N6798" s="119"/>
      <c r="O6798" s="118">
        <v>4000</v>
      </c>
      <c r="P6798" s="119"/>
      <c r="Q6798" s="118">
        <v>5190</v>
      </c>
      <c r="R6798" s="119"/>
      <c r="S6798" s="118">
        <v>14300</v>
      </c>
      <c r="T6798" s="119"/>
      <c r="U6798" s="118">
        <f t="shared" ref="U6798" si="9519">SUM(K6798:T6799)</f>
        <v>412890</v>
      </c>
      <c r="V6798" s="122"/>
      <c r="W6798" s="124"/>
      <c r="X6798" s="126" t="s">
        <v>19648</v>
      </c>
      <c r="Y6798" s="127"/>
      <c r="Z6798" s="127"/>
      <c r="AA6798" s="127"/>
      <c r="AB6798" s="128"/>
      <c r="AC6798" s="15" t="s">
        <v>20</v>
      </c>
      <c r="AD6798" s="129" t="s">
        <v>19649</v>
      </c>
      <c r="AE6798" s="130"/>
      <c r="AF6798" s="130"/>
      <c r="AG6798" s="130"/>
      <c r="AH6798" s="130"/>
      <c r="AI6798" s="131"/>
      <c r="AJ6798" s="132"/>
      <c r="AK6798" s="127"/>
      <c r="AL6798" s="128"/>
      <c r="AM6798" s="21" t="s">
        <v>20051</v>
      </c>
      <c r="AN6798" s="133">
        <v>46092</v>
      </c>
      <c r="AO6798" s="134"/>
      <c r="AP6798" s="135">
        <v>1008</v>
      </c>
      <c r="AQ6798" s="136"/>
      <c r="AR6798" s="118">
        <v>375000</v>
      </c>
      <c r="AS6798" s="119"/>
      <c r="AT6798" s="118">
        <f t="shared" ref="AT6798" si="9520">AR6798*0.1</f>
        <v>37500</v>
      </c>
      <c r="AU6798" s="119"/>
      <c r="AV6798" s="118">
        <v>5190</v>
      </c>
      <c r="AW6798" s="119"/>
      <c r="AX6798" s="118">
        <f t="shared" ref="AX6798" si="9521">SUM(AR6798:AW6798)</f>
        <v>417690</v>
      </c>
      <c r="AY6798" s="119"/>
      <c r="AZ6798" s="137">
        <v>46098</v>
      </c>
    </row>
    <row r="6799" spans="1:52" ht="17.100000000000001" customHeight="1" thickBot="1">
      <c r="A6799" s="110"/>
      <c r="B6799" s="27" t="s">
        <v>1940</v>
      </c>
      <c r="C6799" s="27">
        <v>2685</v>
      </c>
      <c r="D6799" s="14" t="s">
        <v>1592</v>
      </c>
      <c r="E6799" s="112"/>
      <c r="F6799" s="139" t="s">
        <v>19567</v>
      </c>
      <c r="G6799" s="140"/>
      <c r="H6799" s="141"/>
      <c r="I6799" s="26">
        <v>31378</v>
      </c>
      <c r="J6799" s="117"/>
      <c r="K6799" s="120"/>
      <c r="L6799" s="121"/>
      <c r="M6799" s="120"/>
      <c r="N6799" s="121"/>
      <c r="O6799" s="120"/>
      <c r="P6799" s="121"/>
      <c r="Q6799" s="120"/>
      <c r="R6799" s="121"/>
      <c r="S6799" s="120"/>
      <c r="T6799" s="121"/>
      <c r="U6799" s="120"/>
      <c r="V6799" s="123"/>
      <c r="W6799" s="125"/>
      <c r="X6799" s="142" t="s">
        <v>19813</v>
      </c>
      <c r="Y6799" s="143"/>
      <c r="Z6799" s="143"/>
      <c r="AA6799" s="143"/>
      <c r="AB6799" s="144"/>
      <c r="AC6799" s="16" t="s">
        <v>21</v>
      </c>
      <c r="AD6799" s="17" t="s">
        <v>1631</v>
      </c>
      <c r="AE6799" s="145" t="s">
        <v>1633</v>
      </c>
      <c r="AF6799" s="146"/>
      <c r="AG6799" s="146"/>
      <c r="AH6799" s="146"/>
      <c r="AI6799" s="147"/>
      <c r="AJ6799" s="148"/>
      <c r="AK6799" s="143"/>
      <c r="AL6799" s="144"/>
      <c r="AM6799" s="22"/>
      <c r="AN6799" s="149" t="s">
        <v>19938</v>
      </c>
      <c r="AO6799" s="144"/>
      <c r="AP6799" s="148">
        <v>5043</v>
      </c>
      <c r="AQ6799" s="144"/>
      <c r="AR6799" s="120"/>
      <c r="AS6799" s="121"/>
      <c r="AT6799" s="120"/>
      <c r="AU6799" s="121"/>
      <c r="AV6799" s="120"/>
      <c r="AW6799" s="121"/>
      <c r="AX6799" s="120"/>
      <c r="AY6799" s="121"/>
      <c r="AZ6799" s="138"/>
    </row>
    <row r="6800" spans="1:52" ht="17.100000000000001" customHeight="1" thickTop="1">
      <c r="A6800" s="109" t="s">
        <v>19526</v>
      </c>
      <c r="B6800" s="28">
        <v>46086</v>
      </c>
      <c r="C6800" s="25">
        <v>2148</v>
      </c>
      <c r="D6800" s="13" t="s">
        <v>2838</v>
      </c>
      <c r="E6800" s="111"/>
      <c r="F6800" s="113" t="s">
        <v>19650</v>
      </c>
      <c r="G6800" s="114"/>
      <c r="H6800" s="115"/>
      <c r="I6800" s="24"/>
      <c r="J6800" s="116">
        <v>4</v>
      </c>
      <c r="K6800" s="118">
        <v>926000</v>
      </c>
      <c r="L6800" s="119"/>
      <c r="M6800" s="118">
        <f t="shared" ref="M6800" si="9522">K6800*0.1</f>
        <v>92600</v>
      </c>
      <c r="N6800" s="119"/>
      <c r="O6800" s="118">
        <v>0</v>
      </c>
      <c r="P6800" s="119"/>
      <c r="Q6800" s="118">
        <v>7230</v>
      </c>
      <c r="R6800" s="119"/>
      <c r="S6800" s="118">
        <v>14300</v>
      </c>
      <c r="T6800" s="119"/>
      <c r="U6800" s="118">
        <f t="shared" ref="U6800" si="9523">SUM(K6800:T6801)</f>
        <v>1040130</v>
      </c>
      <c r="V6800" s="122"/>
      <c r="W6800" s="124"/>
      <c r="X6800" s="126" t="s">
        <v>19821</v>
      </c>
      <c r="Y6800" s="127"/>
      <c r="Z6800" s="127"/>
      <c r="AA6800" s="127"/>
      <c r="AB6800" s="128"/>
      <c r="AC6800" s="15" t="s">
        <v>20</v>
      </c>
      <c r="AD6800" s="129"/>
      <c r="AE6800" s="130"/>
      <c r="AF6800" s="130"/>
      <c r="AG6800" s="130"/>
      <c r="AH6800" s="130"/>
      <c r="AI6800" s="131"/>
      <c r="AJ6800" s="132"/>
      <c r="AK6800" s="127"/>
      <c r="AL6800" s="128"/>
      <c r="AM6800" s="21"/>
      <c r="AN6800" s="133">
        <v>46092</v>
      </c>
      <c r="AO6800" s="134"/>
      <c r="AP6800" s="135">
        <v>1008</v>
      </c>
      <c r="AQ6800" s="136"/>
      <c r="AR6800" s="118">
        <v>1150000</v>
      </c>
      <c r="AS6800" s="119"/>
      <c r="AT6800" s="118">
        <f t="shared" ref="AT6800" si="9524">AR6800*0.1</f>
        <v>115000</v>
      </c>
      <c r="AU6800" s="119"/>
      <c r="AV6800" s="118">
        <v>7230</v>
      </c>
      <c r="AW6800" s="119"/>
      <c r="AX6800" s="118">
        <f t="shared" ref="AX6800" si="9525">SUM(AR6800:AW6800)</f>
        <v>1272230</v>
      </c>
      <c r="AY6800" s="119"/>
      <c r="AZ6800" s="137">
        <v>46098</v>
      </c>
    </row>
    <row r="6801" spans="1:52" ht="17.100000000000001" customHeight="1" thickBot="1">
      <c r="A6801" s="110"/>
      <c r="B6801" s="27" t="s">
        <v>1940</v>
      </c>
      <c r="C6801" s="27">
        <v>2692</v>
      </c>
      <c r="D6801" s="14" t="s">
        <v>2800</v>
      </c>
      <c r="E6801" s="112"/>
      <c r="F6801" s="139" t="s">
        <v>19568</v>
      </c>
      <c r="G6801" s="140"/>
      <c r="H6801" s="141"/>
      <c r="I6801" s="26">
        <v>6291</v>
      </c>
      <c r="J6801" s="117"/>
      <c r="K6801" s="120"/>
      <c r="L6801" s="121"/>
      <c r="M6801" s="120"/>
      <c r="N6801" s="121"/>
      <c r="O6801" s="120"/>
      <c r="P6801" s="121"/>
      <c r="Q6801" s="120"/>
      <c r="R6801" s="121"/>
      <c r="S6801" s="120"/>
      <c r="T6801" s="121"/>
      <c r="U6801" s="120"/>
      <c r="V6801" s="123"/>
      <c r="W6801" s="125"/>
      <c r="X6801" s="142" t="s">
        <v>2440</v>
      </c>
      <c r="Y6801" s="143"/>
      <c r="Z6801" s="143"/>
      <c r="AA6801" s="143"/>
      <c r="AB6801" s="144"/>
      <c r="AC6801" s="16" t="s">
        <v>21</v>
      </c>
      <c r="AD6801" s="17" t="s">
        <v>1631</v>
      </c>
      <c r="AE6801" s="145" t="s">
        <v>19744</v>
      </c>
      <c r="AF6801" s="146"/>
      <c r="AG6801" s="146"/>
      <c r="AH6801" s="146"/>
      <c r="AI6801" s="147"/>
      <c r="AJ6801" s="148"/>
      <c r="AK6801" s="143"/>
      <c r="AL6801" s="144"/>
      <c r="AM6801" s="22"/>
      <c r="AN6801" s="149" t="s">
        <v>7285</v>
      </c>
      <c r="AO6801" s="144"/>
      <c r="AP6801" s="148">
        <v>5072</v>
      </c>
      <c r="AQ6801" s="144"/>
      <c r="AR6801" s="120"/>
      <c r="AS6801" s="121"/>
      <c r="AT6801" s="120"/>
      <c r="AU6801" s="121"/>
      <c r="AV6801" s="120"/>
      <c r="AW6801" s="121"/>
      <c r="AX6801" s="120"/>
      <c r="AY6801" s="121"/>
      <c r="AZ6801" s="138"/>
    </row>
    <row r="6802" spans="1:52" ht="17.100000000000001" customHeight="1" thickTop="1">
      <c r="A6802" s="109" t="s">
        <v>19527</v>
      </c>
      <c r="B6802" s="28">
        <v>46086</v>
      </c>
      <c r="C6802" s="25">
        <v>2148</v>
      </c>
      <c r="D6802" s="13" t="s">
        <v>2477</v>
      </c>
      <c r="E6802" s="111"/>
      <c r="F6802" s="113" t="s">
        <v>16687</v>
      </c>
      <c r="G6802" s="114"/>
      <c r="H6802" s="115"/>
      <c r="I6802" s="24"/>
      <c r="J6802" s="116">
        <v>4.5</v>
      </c>
      <c r="K6802" s="118">
        <v>1679000</v>
      </c>
      <c r="L6802" s="119"/>
      <c r="M6802" s="118">
        <f t="shared" ref="M6802" si="9526">K6802*0.1</f>
        <v>167900</v>
      </c>
      <c r="N6802" s="119"/>
      <c r="O6802" s="118">
        <v>0</v>
      </c>
      <c r="P6802" s="119"/>
      <c r="Q6802" s="118">
        <v>8910</v>
      </c>
      <c r="R6802" s="119"/>
      <c r="S6802" s="118">
        <v>14300</v>
      </c>
      <c r="T6802" s="119"/>
      <c r="U6802" s="118">
        <f t="shared" ref="U6802" si="9527">SUM(K6802:T6803)</f>
        <v>1870110</v>
      </c>
      <c r="V6802" s="122"/>
      <c r="W6802" s="124"/>
      <c r="X6802" s="126" t="s">
        <v>19820</v>
      </c>
      <c r="Y6802" s="127"/>
      <c r="Z6802" s="127"/>
      <c r="AA6802" s="127"/>
      <c r="AB6802" s="128"/>
      <c r="AC6802" s="15" t="s">
        <v>20</v>
      </c>
      <c r="AD6802" s="129"/>
      <c r="AE6802" s="130"/>
      <c r="AF6802" s="130"/>
      <c r="AG6802" s="130"/>
      <c r="AH6802" s="130"/>
      <c r="AI6802" s="131"/>
      <c r="AJ6802" s="132"/>
      <c r="AK6802" s="127"/>
      <c r="AL6802" s="128"/>
      <c r="AM6802" s="21"/>
      <c r="AN6802" s="133">
        <v>46098</v>
      </c>
      <c r="AO6802" s="134"/>
      <c r="AP6802" s="135">
        <v>1933</v>
      </c>
      <c r="AQ6802" s="136"/>
      <c r="AR6802" s="118">
        <v>1775000</v>
      </c>
      <c r="AS6802" s="119"/>
      <c r="AT6802" s="118">
        <f t="shared" ref="AT6802" si="9528">AR6802*0.1</f>
        <v>177500</v>
      </c>
      <c r="AU6802" s="119"/>
      <c r="AV6802" s="118">
        <v>8910</v>
      </c>
      <c r="AW6802" s="119"/>
      <c r="AX6802" s="118">
        <f t="shared" ref="AX6802" si="9529">SUM(AR6802:AW6802)</f>
        <v>1961410</v>
      </c>
      <c r="AY6802" s="119"/>
      <c r="AZ6802" s="137"/>
    </row>
    <row r="6803" spans="1:52" ht="17.100000000000001" customHeight="1" thickBot="1">
      <c r="A6803" s="110"/>
      <c r="B6803" s="27" t="s">
        <v>1940</v>
      </c>
      <c r="C6803" s="27">
        <v>2693</v>
      </c>
      <c r="D6803" s="14" t="s">
        <v>2601</v>
      </c>
      <c r="E6803" s="112"/>
      <c r="F6803" s="139" t="s">
        <v>19569</v>
      </c>
      <c r="G6803" s="140"/>
      <c r="H6803" s="141"/>
      <c r="I6803" s="26">
        <v>4251</v>
      </c>
      <c r="J6803" s="117"/>
      <c r="K6803" s="120"/>
      <c r="L6803" s="121"/>
      <c r="M6803" s="120"/>
      <c r="N6803" s="121"/>
      <c r="O6803" s="120"/>
      <c r="P6803" s="121"/>
      <c r="Q6803" s="120"/>
      <c r="R6803" s="121"/>
      <c r="S6803" s="120"/>
      <c r="T6803" s="121"/>
      <c r="U6803" s="120"/>
      <c r="V6803" s="123"/>
      <c r="W6803" s="125"/>
      <c r="X6803" s="142" t="s">
        <v>2440</v>
      </c>
      <c r="Y6803" s="143"/>
      <c r="Z6803" s="143"/>
      <c r="AA6803" s="143"/>
      <c r="AB6803" s="144"/>
      <c r="AC6803" s="16" t="s">
        <v>21</v>
      </c>
      <c r="AD6803" s="17" t="s">
        <v>1631</v>
      </c>
      <c r="AE6803" s="145"/>
      <c r="AF6803" s="146"/>
      <c r="AG6803" s="146"/>
      <c r="AH6803" s="146"/>
      <c r="AI6803" s="147"/>
      <c r="AJ6803" s="148"/>
      <c r="AK6803" s="143"/>
      <c r="AL6803" s="144"/>
      <c r="AM6803" s="22"/>
      <c r="AN6803" s="149" t="s">
        <v>2131</v>
      </c>
      <c r="AO6803" s="144"/>
      <c r="AP6803" s="148">
        <v>3189</v>
      </c>
      <c r="AQ6803" s="144"/>
      <c r="AR6803" s="120"/>
      <c r="AS6803" s="121"/>
      <c r="AT6803" s="120"/>
      <c r="AU6803" s="121"/>
      <c r="AV6803" s="120"/>
      <c r="AW6803" s="121"/>
      <c r="AX6803" s="120"/>
      <c r="AY6803" s="121"/>
      <c r="AZ6803" s="138"/>
    </row>
    <row r="6804" spans="1:52" ht="17.100000000000001" customHeight="1" thickTop="1">
      <c r="A6804" s="109" t="s">
        <v>19528</v>
      </c>
      <c r="B6804" s="28">
        <v>46086</v>
      </c>
      <c r="C6804" s="25">
        <v>2148</v>
      </c>
      <c r="D6804" s="13" t="s">
        <v>2084</v>
      </c>
      <c r="E6804" s="111"/>
      <c r="F6804" s="113" t="s">
        <v>19879</v>
      </c>
      <c r="G6804" s="114"/>
      <c r="H6804" s="115"/>
      <c r="I6804" s="24"/>
      <c r="J6804" s="116">
        <v>4.5</v>
      </c>
      <c r="K6804" s="118">
        <v>1159000</v>
      </c>
      <c r="L6804" s="119"/>
      <c r="M6804" s="118">
        <f t="shared" ref="M6804" si="9530">K6804*0.1</f>
        <v>115900</v>
      </c>
      <c r="N6804" s="119"/>
      <c r="O6804" s="118">
        <v>0</v>
      </c>
      <c r="P6804" s="119"/>
      <c r="Q6804" s="118">
        <v>8130</v>
      </c>
      <c r="R6804" s="119"/>
      <c r="S6804" s="118">
        <v>14300</v>
      </c>
      <c r="T6804" s="119"/>
      <c r="U6804" s="118">
        <f t="shared" ref="U6804" si="9531">SUM(K6804:T6805)</f>
        <v>1297330</v>
      </c>
      <c r="V6804" s="122"/>
      <c r="W6804" s="124"/>
      <c r="X6804" s="126" t="s">
        <v>19819</v>
      </c>
      <c r="Y6804" s="127"/>
      <c r="Z6804" s="127"/>
      <c r="AA6804" s="127"/>
      <c r="AB6804" s="128"/>
      <c r="AC6804" s="15" t="s">
        <v>20</v>
      </c>
      <c r="AD6804" s="129"/>
      <c r="AE6804" s="130"/>
      <c r="AF6804" s="130"/>
      <c r="AG6804" s="130"/>
      <c r="AH6804" s="130"/>
      <c r="AI6804" s="131"/>
      <c r="AJ6804" s="132"/>
      <c r="AK6804" s="127"/>
      <c r="AL6804" s="128"/>
      <c r="AM6804" s="21"/>
      <c r="AN6804" s="133">
        <v>46091</v>
      </c>
      <c r="AO6804" s="134"/>
      <c r="AP6804" s="135">
        <v>1932</v>
      </c>
      <c r="AQ6804" s="136"/>
      <c r="AR6804" s="118">
        <v>1206000</v>
      </c>
      <c r="AS6804" s="119"/>
      <c r="AT6804" s="118">
        <f t="shared" ref="AT6804" si="9532">AR6804*0.1</f>
        <v>120600</v>
      </c>
      <c r="AU6804" s="119"/>
      <c r="AV6804" s="118">
        <v>8130</v>
      </c>
      <c r="AW6804" s="119"/>
      <c r="AX6804" s="118">
        <f t="shared" ref="AX6804" si="9533">SUM(AR6804:AW6804)</f>
        <v>1334730</v>
      </c>
      <c r="AY6804" s="119"/>
      <c r="AZ6804" s="137"/>
    </row>
    <row r="6805" spans="1:52" ht="17.100000000000001" customHeight="1" thickBot="1">
      <c r="A6805" s="110"/>
      <c r="B6805" s="27" t="s">
        <v>1940</v>
      </c>
      <c r="C6805" s="27">
        <v>2697</v>
      </c>
      <c r="D6805" s="14" t="s">
        <v>2282</v>
      </c>
      <c r="E6805" s="112"/>
      <c r="F6805" s="139" t="s">
        <v>19570</v>
      </c>
      <c r="G6805" s="140"/>
      <c r="H6805" s="141"/>
      <c r="I6805" s="26">
        <v>20179</v>
      </c>
      <c r="J6805" s="117"/>
      <c r="K6805" s="120"/>
      <c r="L6805" s="121"/>
      <c r="M6805" s="120"/>
      <c r="N6805" s="121"/>
      <c r="O6805" s="120"/>
      <c r="P6805" s="121"/>
      <c r="Q6805" s="120"/>
      <c r="R6805" s="121"/>
      <c r="S6805" s="120"/>
      <c r="T6805" s="121"/>
      <c r="U6805" s="120"/>
      <c r="V6805" s="123"/>
      <c r="W6805" s="125"/>
      <c r="X6805" s="142" t="s">
        <v>2440</v>
      </c>
      <c r="Y6805" s="143"/>
      <c r="Z6805" s="143"/>
      <c r="AA6805" s="143"/>
      <c r="AB6805" s="144"/>
      <c r="AC6805" s="16" t="s">
        <v>21</v>
      </c>
      <c r="AD6805" s="17" t="s">
        <v>1631</v>
      </c>
      <c r="AE6805" s="145"/>
      <c r="AF6805" s="146"/>
      <c r="AG6805" s="146"/>
      <c r="AH6805" s="146"/>
      <c r="AI6805" s="147"/>
      <c r="AJ6805" s="148"/>
      <c r="AK6805" s="143"/>
      <c r="AL6805" s="144"/>
      <c r="AM6805" s="22"/>
      <c r="AN6805" s="149" t="s">
        <v>2131</v>
      </c>
      <c r="AO6805" s="144"/>
      <c r="AP6805" s="148">
        <v>3553</v>
      </c>
      <c r="AQ6805" s="144"/>
      <c r="AR6805" s="120"/>
      <c r="AS6805" s="121"/>
      <c r="AT6805" s="120"/>
      <c r="AU6805" s="121"/>
      <c r="AV6805" s="120"/>
      <c r="AW6805" s="121"/>
      <c r="AX6805" s="120"/>
      <c r="AY6805" s="121"/>
      <c r="AZ6805" s="138"/>
    </row>
    <row r="6806" spans="1:52" ht="17.100000000000001" customHeight="1" thickTop="1">
      <c r="A6806" s="109" t="s">
        <v>19529</v>
      </c>
      <c r="B6806" s="28">
        <v>46086</v>
      </c>
      <c r="C6806" s="25">
        <v>2148</v>
      </c>
      <c r="D6806" s="13" t="s">
        <v>4840</v>
      </c>
      <c r="E6806" s="111"/>
      <c r="F6806" s="113" t="s">
        <v>19651</v>
      </c>
      <c r="G6806" s="114"/>
      <c r="H6806" s="115"/>
      <c r="I6806" s="24"/>
      <c r="J6806" s="116">
        <v>4</v>
      </c>
      <c r="K6806" s="118">
        <v>258000</v>
      </c>
      <c r="L6806" s="119"/>
      <c r="M6806" s="118">
        <f t="shared" ref="M6806" si="9534">K6806*0.1</f>
        <v>25800</v>
      </c>
      <c r="N6806" s="119"/>
      <c r="O6806" s="118">
        <v>0</v>
      </c>
      <c r="P6806" s="119"/>
      <c r="Q6806" s="118">
        <v>8140</v>
      </c>
      <c r="R6806" s="119"/>
      <c r="S6806" s="118">
        <v>14300</v>
      </c>
      <c r="T6806" s="119"/>
      <c r="U6806" s="118">
        <f t="shared" ref="U6806" si="9535">SUM(K6806:T6807)</f>
        <v>306240</v>
      </c>
      <c r="V6806" s="122"/>
      <c r="W6806" s="124"/>
      <c r="X6806" s="126" t="s">
        <v>19805</v>
      </c>
      <c r="Y6806" s="127"/>
      <c r="Z6806" s="127"/>
      <c r="AA6806" s="127"/>
      <c r="AB6806" s="128"/>
      <c r="AC6806" s="15" t="s">
        <v>20</v>
      </c>
      <c r="AD6806" s="129" t="s">
        <v>19652</v>
      </c>
      <c r="AE6806" s="130"/>
      <c r="AF6806" s="130"/>
      <c r="AG6806" s="130"/>
      <c r="AH6806" s="130"/>
      <c r="AI6806" s="131"/>
      <c r="AJ6806" s="132"/>
      <c r="AK6806" s="127"/>
      <c r="AL6806" s="128"/>
      <c r="AM6806" s="21"/>
      <c r="AN6806" s="133">
        <v>46092</v>
      </c>
      <c r="AO6806" s="134"/>
      <c r="AP6806" s="135">
        <v>1008</v>
      </c>
      <c r="AQ6806" s="136"/>
      <c r="AR6806" s="118">
        <v>355000</v>
      </c>
      <c r="AS6806" s="119"/>
      <c r="AT6806" s="118">
        <f t="shared" ref="AT6806" si="9536">AR6806*0.1</f>
        <v>35500</v>
      </c>
      <c r="AU6806" s="119"/>
      <c r="AV6806" s="118">
        <v>8140</v>
      </c>
      <c r="AW6806" s="119"/>
      <c r="AX6806" s="118">
        <f t="shared" ref="AX6806" si="9537">SUM(AR6806:AW6806)</f>
        <v>398640</v>
      </c>
      <c r="AY6806" s="119"/>
      <c r="AZ6806" s="137">
        <v>46098</v>
      </c>
    </row>
    <row r="6807" spans="1:52" ht="17.100000000000001" customHeight="1" thickBot="1">
      <c r="A6807" s="110"/>
      <c r="B6807" s="27" t="s">
        <v>1940</v>
      </c>
      <c r="C6807" s="27">
        <v>2698</v>
      </c>
      <c r="D6807" s="14" t="s">
        <v>3855</v>
      </c>
      <c r="E6807" s="112"/>
      <c r="F6807" s="139" t="s">
        <v>19571</v>
      </c>
      <c r="G6807" s="140"/>
      <c r="H6807" s="141"/>
      <c r="I6807" s="26">
        <v>47566</v>
      </c>
      <c r="J6807" s="117"/>
      <c r="K6807" s="120"/>
      <c r="L6807" s="121"/>
      <c r="M6807" s="120"/>
      <c r="N6807" s="121"/>
      <c r="O6807" s="120"/>
      <c r="P6807" s="121"/>
      <c r="Q6807" s="120"/>
      <c r="R6807" s="121"/>
      <c r="S6807" s="120"/>
      <c r="T6807" s="121"/>
      <c r="U6807" s="120"/>
      <c r="V6807" s="123"/>
      <c r="W6807" s="125"/>
      <c r="X6807" s="142" t="s">
        <v>19806</v>
      </c>
      <c r="Y6807" s="143"/>
      <c r="Z6807" s="143"/>
      <c r="AA6807" s="143"/>
      <c r="AB6807" s="144"/>
      <c r="AC6807" s="16" t="s">
        <v>21</v>
      </c>
      <c r="AD6807" s="17" t="s">
        <v>1631</v>
      </c>
      <c r="AE6807" s="145" t="s">
        <v>7043</v>
      </c>
      <c r="AF6807" s="146"/>
      <c r="AG6807" s="146"/>
      <c r="AH6807" s="146"/>
      <c r="AI6807" s="147"/>
      <c r="AJ6807" s="148"/>
      <c r="AK6807" s="143"/>
      <c r="AL6807" s="144"/>
      <c r="AM6807" s="22"/>
      <c r="AN6807" s="149" t="s">
        <v>19938</v>
      </c>
      <c r="AO6807" s="144"/>
      <c r="AP6807" s="148">
        <v>5041</v>
      </c>
      <c r="AQ6807" s="144"/>
      <c r="AR6807" s="120"/>
      <c r="AS6807" s="121"/>
      <c r="AT6807" s="120"/>
      <c r="AU6807" s="121"/>
      <c r="AV6807" s="120"/>
      <c r="AW6807" s="121"/>
      <c r="AX6807" s="120"/>
      <c r="AY6807" s="121"/>
      <c r="AZ6807" s="138"/>
    </row>
    <row r="6808" spans="1:52" ht="17.100000000000001" customHeight="1" thickTop="1">
      <c r="A6808" s="109" t="s">
        <v>19530</v>
      </c>
      <c r="B6808" s="28">
        <v>46086</v>
      </c>
      <c r="C6808" s="25">
        <v>2148</v>
      </c>
      <c r="D6808" s="13" t="s">
        <v>1847</v>
      </c>
      <c r="E6808" s="111"/>
      <c r="F6808" s="113" t="s">
        <v>15488</v>
      </c>
      <c r="G6808" s="114"/>
      <c r="H6808" s="115"/>
      <c r="I6808" s="24"/>
      <c r="J6808" s="116">
        <v>4</v>
      </c>
      <c r="K6808" s="118">
        <v>1321000</v>
      </c>
      <c r="L6808" s="119"/>
      <c r="M6808" s="118">
        <f t="shared" ref="M6808" si="9538">K6808*0.1</f>
        <v>132100</v>
      </c>
      <c r="N6808" s="119"/>
      <c r="O6808" s="118">
        <v>0</v>
      </c>
      <c r="P6808" s="119"/>
      <c r="Q6808" s="118">
        <v>11100</v>
      </c>
      <c r="R6808" s="119"/>
      <c r="S6808" s="118">
        <v>14300</v>
      </c>
      <c r="T6808" s="119"/>
      <c r="U6808" s="118">
        <f t="shared" ref="U6808" si="9539">SUM(K6808:T6809)</f>
        <v>1478500</v>
      </c>
      <c r="V6808" s="122"/>
      <c r="W6808" s="124"/>
      <c r="X6808" s="126" t="s">
        <v>19818</v>
      </c>
      <c r="Y6808" s="127"/>
      <c r="Z6808" s="127"/>
      <c r="AA6808" s="127"/>
      <c r="AB6808" s="128"/>
      <c r="AC6808" s="15" t="s">
        <v>20</v>
      </c>
      <c r="AD6808" s="129"/>
      <c r="AE6808" s="130"/>
      <c r="AF6808" s="130"/>
      <c r="AG6808" s="130"/>
      <c r="AH6808" s="130"/>
      <c r="AI6808" s="131"/>
      <c r="AJ6808" s="132"/>
      <c r="AK6808" s="127"/>
      <c r="AL6808" s="128"/>
      <c r="AM6808" s="21"/>
      <c r="AN6808" s="133">
        <v>46113</v>
      </c>
      <c r="AO6808" s="134"/>
      <c r="AP6808" s="135">
        <v>1011</v>
      </c>
      <c r="AQ6808" s="136"/>
      <c r="AR6808" s="118">
        <v>1360000</v>
      </c>
      <c r="AS6808" s="119"/>
      <c r="AT6808" s="118">
        <f t="shared" ref="AT6808" si="9540">AR6808*0.1</f>
        <v>136000</v>
      </c>
      <c r="AU6808" s="119"/>
      <c r="AV6808" s="118">
        <v>11100</v>
      </c>
      <c r="AW6808" s="119"/>
      <c r="AX6808" s="118">
        <f t="shared" ref="AX6808" si="9541">SUM(AR6808:AW6808)</f>
        <v>1507100</v>
      </c>
      <c r="AY6808" s="119"/>
      <c r="AZ6808" s="137">
        <v>46118</v>
      </c>
    </row>
    <row r="6809" spans="1:52" ht="17.100000000000001" customHeight="1" thickBot="1">
      <c r="A6809" s="110"/>
      <c r="B6809" s="27" t="s">
        <v>1940</v>
      </c>
      <c r="C6809" s="27">
        <v>2699</v>
      </c>
      <c r="D6809" s="14" t="s">
        <v>133</v>
      </c>
      <c r="E6809" s="112"/>
      <c r="F6809" s="139" t="s">
        <v>19572</v>
      </c>
      <c r="G6809" s="140"/>
      <c r="H6809" s="141"/>
      <c r="I6809" s="26">
        <v>3497</v>
      </c>
      <c r="J6809" s="117"/>
      <c r="K6809" s="120"/>
      <c r="L6809" s="121"/>
      <c r="M6809" s="120"/>
      <c r="N6809" s="121"/>
      <c r="O6809" s="120"/>
      <c r="P6809" s="121"/>
      <c r="Q6809" s="120"/>
      <c r="R6809" s="121"/>
      <c r="S6809" s="120"/>
      <c r="T6809" s="121"/>
      <c r="U6809" s="120"/>
      <c r="V6809" s="123"/>
      <c r="W6809" s="125"/>
      <c r="X6809" s="142" t="s">
        <v>2440</v>
      </c>
      <c r="Y6809" s="143"/>
      <c r="Z6809" s="143"/>
      <c r="AA6809" s="143"/>
      <c r="AB6809" s="144"/>
      <c r="AC6809" s="16" t="s">
        <v>21</v>
      </c>
      <c r="AD6809" s="17" t="s">
        <v>1631</v>
      </c>
      <c r="AE6809" s="145" t="s">
        <v>2269</v>
      </c>
      <c r="AF6809" s="146"/>
      <c r="AG6809" s="146"/>
      <c r="AH6809" s="146"/>
      <c r="AI6809" s="147"/>
      <c r="AJ6809" s="148"/>
      <c r="AK6809" s="143"/>
      <c r="AL6809" s="144"/>
      <c r="AM6809" s="22"/>
      <c r="AN6809" s="149" t="s">
        <v>2794</v>
      </c>
      <c r="AO6809" s="144"/>
      <c r="AP6809" s="148">
        <v>2079</v>
      </c>
      <c r="AQ6809" s="144"/>
      <c r="AR6809" s="120"/>
      <c r="AS6809" s="121"/>
      <c r="AT6809" s="120"/>
      <c r="AU6809" s="121"/>
      <c r="AV6809" s="120"/>
      <c r="AW6809" s="121"/>
      <c r="AX6809" s="120"/>
      <c r="AY6809" s="121"/>
      <c r="AZ6809" s="138"/>
    </row>
    <row r="6810" spans="1:52" ht="17.100000000000001" customHeight="1" thickTop="1">
      <c r="A6810" s="109" t="s">
        <v>19531</v>
      </c>
      <c r="B6810" s="28">
        <v>46086</v>
      </c>
      <c r="C6810" s="25">
        <v>2148</v>
      </c>
      <c r="D6810" s="13" t="s">
        <v>1825</v>
      </c>
      <c r="E6810" s="111"/>
      <c r="F6810" s="113" t="s">
        <v>19879</v>
      </c>
      <c r="G6810" s="114"/>
      <c r="H6810" s="115"/>
      <c r="I6810" s="24"/>
      <c r="J6810" s="116">
        <v>4</v>
      </c>
      <c r="K6810" s="118">
        <v>1108000</v>
      </c>
      <c r="L6810" s="119"/>
      <c r="M6810" s="118">
        <f t="shared" ref="M6810" si="9542">K6810*0.1</f>
        <v>110800</v>
      </c>
      <c r="N6810" s="119"/>
      <c r="O6810" s="118">
        <v>0</v>
      </c>
      <c r="P6810" s="119"/>
      <c r="Q6810" s="118">
        <v>8130</v>
      </c>
      <c r="R6810" s="119"/>
      <c r="S6810" s="118">
        <v>14300</v>
      </c>
      <c r="T6810" s="119"/>
      <c r="U6810" s="118">
        <f t="shared" ref="U6810" si="9543">SUM(K6810:T6811)</f>
        <v>1241230</v>
      </c>
      <c r="V6810" s="122"/>
      <c r="W6810" s="124"/>
      <c r="X6810" s="126" t="s">
        <v>19817</v>
      </c>
      <c r="Y6810" s="127"/>
      <c r="Z6810" s="127"/>
      <c r="AA6810" s="127"/>
      <c r="AB6810" s="128"/>
      <c r="AC6810" s="15" t="s">
        <v>20</v>
      </c>
      <c r="AD6810" s="129"/>
      <c r="AE6810" s="130"/>
      <c r="AF6810" s="130"/>
      <c r="AG6810" s="130"/>
      <c r="AH6810" s="130"/>
      <c r="AI6810" s="131"/>
      <c r="AJ6810" s="132"/>
      <c r="AK6810" s="127"/>
      <c r="AL6810" s="128"/>
      <c r="AM6810" s="21"/>
      <c r="AN6810" s="133">
        <v>46099</v>
      </c>
      <c r="AO6810" s="134"/>
      <c r="AP6810" s="135">
        <v>1009</v>
      </c>
      <c r="AQ6810" s="136"/>
      <c r="AR6810" s="118">
        <v>1165000</v>
      </c>
      <c r="AS6810" s="119"/>
      <c r="AT6810" s="118">
        <f t="shared" ref="AT6810" si="9544">AR6810*0.1</f>
        <v>116500</v>
      </c>
      <c r="AU6810" s="119"/>
      <c r="AV6810" s="118">
        <v>8130</v>
      </c>
      <c r="AW6810" s="119"/>
      <c r="AX6810" s="118">
        <f t="shared" ref="AX6810" si="9545">SUM(AR6810:AW6810)</f>
        <v>1289630</v>
      </c>
      <c r="AY6810" s="119"/>
      <c r="AZ6810" s="137">
        <v>46105</v>
      </c>
    </row>
    <row r="6811" spans="1:52" ht="17.100000000000001" customHeight="1" thickBot="1">
      <c r="A6811" s="110"/>
      <c r="B6811" s="27" t="s">
        <v>1940</v>
      </c>
      <c r="C6811" s="27">
        <v>2702</v>
      </c>
      <c r="D6811" s="14" t="s">
        <v>15580</v>
      </c>
      <c r="E6811" s="112"/>
      <c r="F6811" s="139" t="s">
        <v>20459</v>
      </c>
      <c r="G6811" s="140"/>
      <c r="H6811" s="141"/>
      <c r="I6811" s="26">
        <v>40486</v>
      </c>
      <c r="J6811" s="117"/>
      <c r="K6811" s="120"/>
      <c r="L6811" s="121"/>
      <c r="M6811" s="120"/>
      <c r="N6811" s="121"/>
      <c r="O6811" s="120"/>
      <c r="P6811" s="121"/>
      <c r="Q6811" s="120"/>
      <c r="R6811" s="121"/>
      <c r="S6811" s="120"/>
      <c r="T6811" s="121"/>
      <c r="U6811" s="120"/>
      <c r="V6811" s="123"/>
      <c r="W6811" s="125"/>
      <c r="X6811" s="142" t="s">
        <v>2440</v>
      </c>
      <c r="Y6811" s="143"/>
      <c r="Z6811" s="143"/>
      <c r="AA6811" s="143"/>
      <c r="AB6811" s="144"/>
      <c r="AC6811" s="16" t="s">
        <v>21</v>
      </c>
      <c r="AD6811" s="17" t="s">
        <v>1631</v>
      </c>
      <c r="AE6811" s="145" t="s">
        <v>2269</v>
      </c>
      <c r="AF6811" s="146"/>
      <c r="AG6811" s="146"/>
      <c r="AH6811" s="146"/>
      <c r="AI6811" s="147"/>
      <c r="AJ6811" s="148"/>
      <c r="AK6811" s="143"/>
      <c r="AL6811" s="144"/>
      <c r="AM6811" s="22"/>
      <c r="AN6811" s="149" t="s">
        <v>2794</v>
      </c>
      <c r="AO6811" s="144"/>
      <c r="AP6811" s="148">
        <v>2020</v>
      </c>
      <c r="AQ6811" s="144"/>
      <c r="AR6811" s="120"/>
      <c r="AS6811" s="121"/>
      <c r="AT6811" s="120"/>
      <c r="AU6811" s="121"/>
      <c r="AV6811" s="120"/>
      <c r="AW6811" s="121"/>
      <c r="AX6811" s="120"/>
      <c r="AY6811" s="121"/>
      <c r="AZ6811" s="138"/>
    </row>
    <row r="6812" spans="1:52" ht="17.100000000000001" customHeight="1" thickTop="1">
      <c r="A6812" s="109" t="s">
        <v>19540</v>
      </c>
      <c r="B6812" s="28">
        <v>46086</v>
      </c>
      <c r="C6812" s="25">
        <v>2148</v>
      </c>
      <c r="D6812" s="13" t="s">
        <v>2508</v>
      </c>
      <c r="E6812" s="111"/>
      <c r="F6812" s="113" t="s">
        <v>19879</v>
      </c>
      <c r="G6812" s="114"/>
      <c r="H6812" s="115"/>
      <c r="I6812" s="24" t="s">
        <v>19654</v>
      </c>
      <c r="J6812" s="116">
        <v>4.5</v>
      </c>
      <c r="K6812" s="118">
        <v>1203000</v>
      </c>
      <c r="L6812" s="119"/>
      <c r="M6812" s="118">
        <f t="shared" ref="M6812" si="9546">K6812*0.1</f>
        <v>120300</v>
      </c>
      <c r="N6812" s="119"/>
      <c r="O6812" s="118">
        <v>10800</v>
      </c>
      <c r="P6812" s="119"/>
      <c r="Q6812" s="118">
        <v>8130</v>
      </c>
      <c r="R6812" s="119"/>
      <c r="S6812" s="118">
        <v>14300</v>
      </c>
      <c r="T6812" s="119"/>
      <c r="U6812" s="118">
        <f t="shared" ref="U6812" si="9547">SUM(K6812:T6813)</f>
        <v>1356530</v>
      </c>
      <c r="V6812" s="122"/>
      <c r="W6812" s="124"/>
      <c r="X6812" s="126" t="s">
        <v>19655</v>
      </c>
      <c r="Y6812" s="127"/>
      <c r="Z6812" s="127"/>
      <c r="AA6812" s="127"/>
      <c r="AB6812" s="128"/>
      <c r="AC6812" s="15" t="s">
        <v>20</v>
      </c>
      <c r="AD6812" s="129"/>
      <c r="AE6812" s="130"/>
      <c r="AF6812" s="130"/>
      <c r="AG6812" s="130"/>
      <c r="AH6812" s="130"/>
      <c r="AI6812" s="131"/>
      <c r="AJ6812" s="132"/>
      <c r="AK6812" s="127"/>
      <c r="AL6812" s="128"/>
      <c r="AM6812" s="21"/>
      <c r="AN6812" s="133">
        <v>46091</v>
      </c>
      <c r="AO6812" s="134"/>
      <c r="AP6812" s="135">
        <v>1932</v>
      </c>
      <c r="AQ6812" s="136"/>
      <c r="AR6812" s="118">
        <v>1264000</v>
      </c>
      <c r="AS6812" s="119"/>
      <c r="AT6812" s="118">
        <f t="shared" ref="AT6812" si="9548">AR6812*0.1</f>
        <v>126400</v>
      </c>
      <c r="AU6812" s="119"/>
      <c r="AV6812" s="118">
        <v>8130</v>
      </c>
      <c r="AW6812" s="119"/>
      <c r="AX6812" s="118">
        <f t="shared" ref="AX6812" si="9549">SUM(AR6812:AW6812)</f>
        <v>1398530</v>
      </c>
      <c r="AY6812" s="119"/>
      <c r="AZ6812" s="137"/>
    </row>
    <row r="6813" spans="1:52" ht="17.100000000000001" customHeight="1" thickBot="1">
      <c r="A6813" s="110"/>
      <c r="B6813" s="27" t="s">
        <v>1940</v>
      </c>
      <c r="C6813" s="27">
        <v>2704</v>
      </c>
      <c r="D6813" s="14" t="s">
        <v>19653</v>
      </c>
      <c r="E6813" s="112"/>
      <c r="F6813" s="139" t="s">
        <v>19573</v>
      </c>
      <c r="G6813" s="140"/>
      <c r="H6813" s="141"/>
      <c r="I6813" s="26">
        <v>2598</v>
      </c>
      <c r="J6813" s="117"/>
      <c r="K6813" s="120"/>
      <c r="L6813" s="121"/>
      <c r="M6813" s="120"/>
      <c r="N6813" s="121"/>
      <c r="O6813" s="120"/>
      <c r="P6813" s="121"/>
      <c r="Q6813" s="120"/>
      <c r="R6813" s="121"/>
      <c r="S6813" s="120"/>
      <c r="T6813" s="121"/>
      <c r="U6813" s="120"/>
      <c r="V6813" s="123"/>
      <c r="W6813" s="125"/>
      <c r="X6813" s="142" t="s">
        <v>20073</v>
      </c>
      <c r="Y6813" s="143"/>
      <c r="Z6813" s="143"/>
      <c r="AA6813" s="143"/>
      <c r="AB6813" s="144"/>
      <c r="AC6813" s="16" t="s">
        <v>21</v>
      </c>
      <c r="AD6813" s="17" t="s">
        <v>3666</v>
      </c>
      <c r="AE6813" s="145"/>
      <c r="AF6813" s="146"/>
      <c r="AG6813" s="146"/>
      <c r="AH6813" s="146"/>
      <c r="AI6813" s="147"/>
      <c r="AJ6813" s="148"/>
      <c r="AK6813" s="143"/>
      <c r="AL6813" s="144"/>
      <c r="AM6813" s="22"/>
      <c r="AN6813" s="149" t="s">
        <v>2131</v>
      </c>
      <c r="AO6813" s="144"/>
      <c r="AP6813" s="148">
        <v>3551</v>
      </c>
      <c r="AQ6813" s="144"/>
      <c r="AR6813" s="120"/>
      <c r="AS6813" s="121"/>
      <c r="AT6813" s="120"/>
      <c r="AU6813" s="121"/>
      <c r="AV6813" s="120"/>
      <c r="AW6813" s="121"/>
      <c r="AX6813" s="120"/>
      <c r="AY6813" s="121"/>
      <c r="AZ6813" s="138"/>
    </row>
    <row r="6814" spans="1:52" ht="17.100000000000001" customHeight="1" thickTop="1">
      <c r="A6814" s="109" t="s">
        <v>19541</v>
      </c>
      <c r="B6814" s="28">
        <v>46086</v>
      </c>
      <c r="C6814" s="25">
        <v>2148</v>
      </c>
      <c r="D6814" s="13" t="s">
        <v>2363</v>
      </c>
      <c r="E6814" s="111"/>
      <c r="F6814" s="113" t="s">
        <v>15488</v>
      </c>
      <c r="G6814" s="114"/>
      <c r="H6814" s="115"/>
      <c r="I6814" s="24"/>
      <c r="J6814" s="116">
        <v>4</v>
      </c>
      <c r="K6814" s="118">
        <v>1354000</v>
      </c>
      <c r="L6814" s="119"/>
      <c r="M6814" s="118">
        <f t="shared" ref="M6814" si="9550">K6814*0.1</f>
        <v>135400</v>
      </c>
      <c r="N6814" s="119"/>
      <c r="O6814" s="118">
        <v>0</v>
      </c>
      <c r="P6814" s="119"/>
      <c r="Q6814" s="118">
        <v>14200</v>
      </c>
      <c r="R6814" s="119"/>
      <c r="S6814" s="118">
        <v>14300</v>
      </c>
      <c r="T6814" s="119"/>
      <c r="U6814" s="118">
        <f t="shared" ref="U6814" si="9551">SUM(K6814:T6815)</f>
        <v>1517900</v>
      </c>
      <c r="V6814" s="122"/>
      <c r="W6814" s="124"/>
      <c r="X6814" s="126" t="s">
        <v>19816</v>
      </c>
      <c r="Y6814" s="127"/>
      <c r="Z6814" s="127"/>
      <c r="AA6814" s="127"/>
      <c r="AB6814" s="128"/>
      <c r="AC6814" s="15" t="s">
        <v>20</v>
      </c>
      <c r="AD6814" s="129"/>
      <c r="AE6814" s="130"/>
      <c r="AF6814" s="130"/>
      <c r="AG6814" s="130"/>
      <c r="AH6814" s="130"/>
      <c r="AI6814" s="131"/>
      <c r="AJ6814" s="132"/>
      <c r="AK6814" s="127"/>
      <c r="AL6814" s="128"/>
      <c r="AM6814" s="21"/>
      <c r="AN6814" s="133">
        <v>46155</v>
      </c>
      <c r="AO6814" s="134"/>
      <c r="AP6814" s="135">
        <v>1016</v>
      </c>
      <c r="AQ6814" s="136"/>
      <c r="AR6814" s="118">
        <v>1570000</v>
      </c>
      <c r="AS6814" s="119"/>
      <c r="AT6814" s="118">
        <f t="shared" ref="AT6814" si="9552">AR6814*0.1</f>
        <v>157000</v>
      </c>
      <c r="AU6814" s="119"/>
      <c r="AV6814" s="118">
        <v>14200</v>
      </c>
      <c r="AW6814" s="119"/>
      <c r="AX6814" s="118">
        <f t="shared" ref="AX6814" si="9553">SUM(AR6814:AW6814)</f>
        <v>1741200</v>
      </c>
      <c r="AY6814" s="119"/>
      <c r="AZ6814" s="137">
        <v>46160</v>
      </c>
    </row>
    <row r="6815" spans="1:52" ht="17.100000000000001" customHeight="1" thickBot="1">
      <c r="A6815" s="110"/>
      <c r="B6815" s="27" t="s">
        <v>1940</v>
      </c>
      <c r="C6815" s="27">
        <v>2706</v>
      </c>
      <c r="D6815" s="14" t="s">
        <v>133</v>
      </c>
      <c r="E6815" s="112"/>
      <c r="F6815" s="139" t="s">
        <v>19574</v>
      </c>
      <c r="G6815" s="140"/>
      <c r="H6815" s="141"/>
      <c r="I6815" s="26">
        <v>1403</v>
      </c>
      <c r="J6815" s="117"/>
      <c r="K6815" s="120"/>
      <c r="L6815" s="121"/>
      <c r="M6815" s="120"/>
      <c r="N6815" s="121"/>
      <c r="O6815" s="120"/>
      <c r="P6815" s="121"/>
      <c r="Q6815" s="120"/>
      <c r="R6815" s="121"/>
      <c r="S6815" s="120"/>
      <c r="T6815" s="121"/>
      <c r="U6815" s="120"/>
      <c r="V6815" s="123"/>
      <c r="W6815" s="125"/>
      <c r="X6815" s="142" t="s">
        <v>2440</v>
      </c>
      <c r="Y6815" s="143"/>
      <c r="Z6815" s="143"/>
      <c r="AA6815" s="143"/>
      <c r="AB6815" s="144"/>
      <c r="AC6815" s="16" t="s">
        <v>21</v>
      </c>
      <c r="AD6815" s="17" t="s">
        <v>1631</v>
      </c>
      <c r="AE6815" s="145" t="s">
        <v>2269</v>
      </c>
      <c r="AF6815" s="146"/>
      <c r="AG6815" s="146"/>
      <c r="AH6815" s="146"/>
      <c r="AI6815" s="147"/>
      <c r="AJ6815" s="148"/>
      <c r="AK6815" s="143"/>
      <c r="AL6815" s="144"/>
      <c r="AM6815" s="22"/>
      <c r="AN6815" s="149" t="s">
        <v>9053</v>
      </c>
      <c r="AO6815" s="144"/>
      <c r="AP6815" s="148">
        <v>2015</v>
      </c>
      <c r="AQ6815" s="144"/>
      <c r="AR6815" s="120"/>
      <c r="AS6815" s="121"/>
      <c r="AT6815" s="120"/>
      <c r="AU6815" s="121"/>
      <c r="AV6815" s="120"/>
      <c r="AW6815" s="121"/>
      <c r="AX6815" s="120"/>
      <c r="AY6815" s="121"/>
      <c r="AZ6815" s="138"/>
    </row>
    <row r="6816" spans="1:52" ht="17.100000000000001" customHeight="1" thickTop="1">
      <c r="A6816" s="109" t="s">
        <v>19542</v>
      </c>
      <c r="B6816" s="28">
        <v>46086</v>
      </c>
      <c r="C6816" s="25">
        <v>2148</v>
      </c>
      <c r="D6816" s="13" t="s">
        <v>1688</v>
      </c>
      <c r="E6816" s="111"/>
      <c r="F6816" s="113" t="s">
        <v>19650</v>
      </c>
      <c r="G6816" s="114"/>
      <c r="H6816" s="115"/>
      <c r="I6816" s="24"/>
      <c r="J6816" s="116">
        <v>4.5</v>
      </c>
      <c r="K6816" s="118">
        <v>879000</v>
      </c>
      <c r="L6816" s="119"/>
      <c r="M6816" s="118">
        <f t="shared" ref="M6816" si="9554">K6816*0.1</f>
        <v>87900</v>
      </c>
      <c r="N6816" s="119"/>
      <c r="O6816" s="118">
        <v>0</v>
      </c>
      <c r="P6816" s="119"/>
      <c r="Q6816" s="118">
        <v>7040</v>
      </c>
      <c r="R6816" s="119"/>
      <c r="S6816" s="118">
        <v>14300</v>
      </c>
      <c r="T6816" s="119"/>
      <c r="U6816" s="118">
        <f t="shared" ref="U6816" si="9555">SUM(K6816:T6817)</f>
        <v>988240</v>
      </c>
      <c r="V6816" s="122"/>
      <c r="W6816" s="124"/>
      <c r="X6816" s="126" t="s">
        <v>19815</v>
      </c>
      <c r="Y6816" s="127"/>
      <c r="Z6816" s="127"/>
      <c r="AA6816" s="127"/>
      <c r="AB6816" s="128"/>
      <c r="AC6816" s="15" t="s">
        <v>20</v>
      </c>
      <c r="AD6816" s="129"/>
      <c r="AE6816" s="130"/>
      <c r="AF6816" s="130"/>
      <c r="AG6816" s="130"/>
      <c r="AH6816" s="130"/>
      <c r="AI6816" s="131"/>
      <c r="AJ6816" s="132"/>
      <c r="AK6816" s="127"/>
      <c r="AL6816" s="128"/>
      <c r="AM6816" s="21"/>
      <c r="AN6816" s="133">
        <v>46092</v>
      </c>
      <c r="AO6816" s="134"/>
      <c r="AP6816" s="135">
        <v>1008</v>
      </c>
      <c r="AQ6816" s="136"/>
      <c r="AR6816" s="118">
        <v>955000</v>
      </c>
      <c r="AS6816" s="119"/>
      <c r="AT6816" s="118">
        <f t="shared" ref="AT6816" si="9556">AR6816*0.1</f>
        <v>95500</v>
      </c>
      <c r="AU6816" s="119"/>
      <c r="AV6816" s="118">
        <v>7040</v>
      </c>
      <c r="AW6816" s="119"/>
      <c r="AX6816" s="118">
        <f t="shared" ref="AX6816" si="9557">SUM(AR6816:AW6816)</f>
        <v>1057540</v>
      </c>
      <c r="AY6816" s="119"/>
      <c r="AZ6816" s="137">
        <v>46098</v>
      </c>
    </row>
    <row r="6817" spans="1:52" ht="17.100000000000001" customHeight="1" thickBot="1">
      <c r="A6817" s="110"/>
      <c r="B6817" s="27" t="s">
        <v>1940</v>
      </c>
      <c r="C6817" s="27">
        <v>2713</v>
      </c>
      <c r="D6817" s="14" t="s">
        <v>1700</v>
      </c>
      <c r="E6817" s="112"/>
      <c r="F6817" s="139" t="s">
        <v>19575</v>
      </c>
      <c r="G6817" s="140"/>
      <c r="H6817" s="141"/>
      <c r="I6817" s="26">
        <v>10452</v>
      </c>
      <c r="J6817" s="117"/>
      <c r="K6817" s="120"/>
      <c r="L6817" s="121"/>
      <c r="M6817" s="120"/>
      <c r="N6817" s="121"/>
      <c r="O6817" s="120"/>
      <c r="P6817" s="121"/>
      <c r="Q6817" s="120"/>
      <c r="R6817" s="121"/>
      <c r="S6817" s="120"/>
      <c r="T6817" s="121"/>
      <c r="U6817" s="120"/>
      <c r="V6817" s="123"/>
      <c r="W6817" s="125"/>
      <c r="X6817" s="142" t="s">
        <v>2440</v>
      </c>
      <c r="Y6817" s="143"/>
      <c r="Z6817" s="143"/>
      <c r="AA6817" s="143"/>
      <c r="AB6817" s="144"/>
      <c r="AC6817" s="16" t="s">
        <v>21</v>
      </c>
      <c r="AD6817" s="17" t="s">
        <v>1631</v>
      </c>
      <c r="AE6817" s="145" t="s">
        <v>19747</v>
      </c>
      <c r="AF6817" s="146"/>
      <c r="AG6817" s="146"/>
      <c r="AH6817" s="146"/>
      <c r="AI6817" s="147"/>
      <c r="AJ6817" s="148"/>
      <c r="AK6817" s="143"/>
      <c r="AL6817" s="144"/>
      <c r="AM6817" s="22"/>
      <c r="AN6817" s="149" t="s">
        <v>19938</v>
      </c>
      <c r="AO6817" s="144"/>
      <c r="AP6817" s="148">
        <v>5051</v>
      </c>
      <c r="AQ6817" s="144"/>
      <c r="AR6817" s="120"/>
      <c r="AS6817" s="121"/>
      <c r="AT6817" s="120"/>
      <c r="AU6817" s="121"/>
      <c r="AV6817" s="120"/>
      <c r="AW6817" s="121"/>
      <c r="AX6817" s="120"/>
      <c r="AY6817" s="121"/>
      <c r="AZ6817" s="138"/>
    </row>
    <row r="6818" spans="1:52" ht="17.100000000000001" customHeight="1" thickTop="1">
      <c r="A6818" s="151" t="s">
        <v>19543</v>
      </c>
      <c r="B6818" s="28">
        <v>46087</v>
      </c>
      <c r="C6818" s="25">
        <v>1409</v>
      </c>
      <c r="D6818" s="13" t="s">
        <v>1853</v>
      </c>
      <c r="E6818" s="111"/>
      <c r="F6818" s="113" t="s">
        <v>19576</v>
      </c>
      <c r="G6818" s="114"/>
      <c r="H6818" s="115"/>
      <c r="I6818" s="24"/>
      <c r="J6818" s="116">
        <v>4</v>
      </c>
      <c r="K6818" s="118">
        <v>1706000</v>
      </c>
      <c r="L6818" s="119"/>
      <c r="M6818" s="118">
        <f t="shared" ref="M6818" si="9558">K6818*0.1</f>
        <v>170600</v>
      </c>
      <c r="N6818" s="119"/>
      <c r="O6818" s="118">
        <v>0</v>
      </c>
      <c r="P6818" s="119"/>
      <c r="Q6818" s="118">
        <v>18220</v>
      </c>
      <c r="R6818" s="119"/>
      <c r="S6818" s="118">
        <v>15400</v>
      </c>
      <c r="T6818" s="119"/>
      <c r="U6818" s="118">
        <f t="shared" ref="U6818" si="9559">SUM(K6818:T6819)</f>
        <v>1910220</v>
      </c>
      <c r="V6818" s="122"/>
      <c r="W6818" s="124"/>
      <c r="X6818" s="126" t="s">
        <v>20007</v>
      </c>
      <c r="Y6818" s="127"/>
      <c r="Z6818" s="127"/>
      <c r="AA6818" s="127"/>
      <c r="AB6818" s="128"/>
      <c r="AC6818" s="15" t="s">
        <v>20</v>
      </c>
      <c r="AD6818" s="129" t="s">
        <v>19677</v>
      </c>
      <c r="AE6818" s="130"/>
      <c r="AF6818" s="130"/>
      <c r="AG6818" s="130"/>
      <c r="AH6818" s="130"/>
      <c r="AI6818" s="131"/>
      <c r="AJ6818" s="132" t="s">
        <v>19974</v>
      </c>
      <c r="AK6818" s="127"/>
      <c r="AL6818" s="128"/>
      <c r="AM6818" s="21"/>
      <c r="AN6818" s="133"/>
      <c r="AO6818" s="134"/>
      <c r="AP6818" s="135"/>
      <c r="AQ6818" s="136"/>
      <c r="AR6818" s="118"/>
      <c r="AS6818" s="119"/>
      <c r="AT6818" s="118">
        <f t="shared" ref="AT6818" si="9560">AR6818*0.1</f>
        <v>0</v>
      </c>
      <c r="AU6818" s="119"/>
      <c r="AV6818" s="118"/>
      <c r="AW6818" s="119"/>
      <c r="AX6818" s="118">
        <f t="shared" ref="AX6818" si="9561">SUM(AR6818:AW6818)</f>
        <v>0</v>
      </c>
      <c r="AY6818" s="119"/>
      <c r="AZ6818" s="137"/>
    </row>
    <row r="6819" spans="1:52" ht="17.100000000000001" customHeight="1" thickBot="1">
      <c r="A6819" s="152"/>
      <c r="B6819" s="27" t="s">
        <v>2641</v>
      </c>
      <c r="C6819" s="27">
        <v>3029</v>
      </c>
      <c r="D6819" s="14" t="s">
        <v>275</v>
      </c>
      <c r="E6819" s="112"/>
      <c r="F6819" s="139" t="s">
        <v>19760</v>
      </c>
      <c r="G6819" s="140"/>
      <c r="H6819" s="141"/>
      <c r="I6819" s="26">
        <v>35408</v>
      </c>
      <c r="J6819" s="117"/>
      <c r="K6819" s="120"/>
      <c r="L6819" s="121"/>
      <c r="M6819" s="120"/>
      <c r="N6819" s="121"/>
      <c r="O6819" s="120"/>
      <c r="P6819" s="121"/>
      <c r="Q6819" s="120"/>
      <c r="R6819" s="121"/>
      <c r="S6819" s="120"/>
      <c r="T6819" s="121"/>
      <c r="U6819" s="120"/>
      <c r="V6819" s="123"/>
      <c r="W6819" s="125"/>
      <c r="X6819" s="142" t="s">
        <v>4234</v>
      </c>
      <c r="Y6819" s="143"/>
      <c r="Z6819" s="143"/>
      <c r="AA6819" s="143"/>
      <c r="AB6819" s="144"/>
      <c r="AC6819" s="16" t="s">
        <v>21</v>
      </c>
      <c r="AD6819" s="17" t="s">
        <v>3386</v>
      </c>
      <c r="AE6819" s="145" t="s">
        <v>2750</v>
      </c>
      <c r="AF6819" s="146"/>
      <c r="AG6819" s="146"/>
      <c r="AH6819" s="146"/>
      <c r="AI6819" s="147"/>
      <c r="AJ6819" s="148"/>
      <c r="AK6819" s="143"/>
      <c r="AL6819" s="144"/>
      <c r="AM6819" s="22"/>
      <c r="AN6819" s="149"/>
      <c r="AO6819" s="144"/>
      <c r="AP6819" s="148"/>
      <c r="AQ6819" s="144"/>
      <c r="AR6819" s="120"/>
      <c r="AS6819" s="121"/>
      <c r="AT6819" s="120"/>
      <c r="AU6819" s="121"/>
      <c r="AV6819" s="120"/>
      <c r="AW6819" s="121"/>
      <c r="AX6819" s="120"/>
      <c r="AY6819" s="121"/>
      <c r="AZ6819" s="138"/>
    </row>
    <row r="6820" spans="1:52" ht="17.100000000000001" customHeight="1" thickTop="1">
      <c r="A6820" s="109" t="s">
        <v>19544</v>
      </c>
      <c r="B6820" s="28">
        <v>46087</v>
      </c>
      <c r="C6820" s="25">
        <v>1409</v>
      </c>
      <c r="D6820" s="13" t="s">
        <v>4860</v>
      </c>
      <c r="E6820" s="111"/>
      <c r="F6820" s="113" t="s">
        <v>15980</v>
      </c>
      <c r="G6820" s="114"/>
      <c r="H6820" s="115"/>
      <c r="I6820" s="24" t="s">
        <v>3502</v>
      </c>
      <c r="J6820" s="116">
        <v>3.5</v>
      </c>
      <c r="K6820" s="118">
        <v>236000</v>
      </c>
      <c r="L6820" s="119"/>
      <c r="M6820" s="118">
        <f t="shared" ref="M6820" si="9562">K6820*0.1</f>
        <v>23600</v>
      </c>
      <c r="N6820" s="119"/>
      <c r="O6820" s="118">
        <v>10800</v>
      </c>
      <c r="P6820" s="119"/>
      <c r="Q6820" s="118">
        <v>8460</v>
      </c>
      <c r="R6820" s="119"/>
      <c r="S6820" s="118">
        <v>15400</v>
      </c>
      <c r="T6820" s="119"/>
      <c r="U6820" s="118">
        <f t="shared" ref="U6820" si="9563">SUM(K6820:T6821)</f>
        <v>294260</v>
      </c>
      <c r="V6820" s="122"/>
      <c r="W6820" s="124"/>
      <c r="X6820" s="126" t="s">
        <v>20078</v>
      </c>
      <c r="Y6820" s="127"/>
      <c r="Z6820" s="127"/>
      <c r="AA6820" s="127"/>
      <c r="AB6820" s="128"/>
      <c r="AC6820" s="15" t="s">
        <v>20</v>
      </c>
      <c r="AD6820" s="129" t="s">
        <v>17325</v>
      </c>
      <c r="AE6820" s="130"/>
      <c r="AF6820" s="130"/>
      <c r="AG6820" s="130"/>
      <c r="AH6820" s="130"/>
      <c r="AI6820" s="131"/>
      <c r="AJ6820" s="132"/>
      <c r="AK6820" s="127"/>
      <c r="AL6820" s="128"/>
      <c r="AM6820" s="21"/>
      <c r="AN6820" s="133">
        <v>46102</v>
      </c>
      <c r="AO6820" s="134"/>
      <c r="AP6820" s="135">
        <v>1293</v>
      </c>
      <c r="AQ6820" s="136"/>
      <c r="AR6820" s="118">
        <v>350000</v>
      </c>
      <c r="AS6820" s="119"/>
      <c r="AT6820" s="118">
        <f t="shared" ref="AT6820" si="9564">AR6820*0.1</f>
        <v>35000</v>
      </c>
      <c r="AU6820" s="119"/>
      <c r="AV6820" s="118">
        <v>8460</v>
      </c>
      <c r="AW6820" s="119"/>
      <c r="AX6820" s="118">
        <f t="shared" ref="AX6820" si="9565">SUM(AR6820:AW6820)</f>
        <v>393460</v>
      </c>
      <c r="AY6820" s="119"/>
      <c r="AZ6820" s="137">
        <v>46111</v>
      </c>
    </row>
    <row r="6821" spans="1:52" ht="17.100000000000001" customHeight="1" thickBot="1">
      <c r="A6821" s="110"/>
      <c r="B6821" s="27" t="s">
        <v>2641</v>
      </c>
      <c r="C6821" s="27">
        <v>3068</v>
      </c>
      <c r="D6821" s="14" t="s">
        <v>275</v>
      </c>
      <c r="E6821" s="112"/>
      <c r="F6821" s="139" t="s">
        <v>19577</v>
      </c>
      <c r="G6821" s="140"/>
      <c r="H6821" s="141"/>
      <c r="I6821" s="26">
        <v>82794</v>
      </c>
      <c r="J6821" s="117"/>
      <c r="K6821" s="120"/>
      <c r="L6821" s="121"/>
      <c r="M6821" s="120"/>
      <c r="N6821" s="121"/>
      <c r="O6821" s="120"/>
      <c r="P6821" s="121"/>
      <c r="Q6821" s="120"/>
      <c r="R6821" s="121"/>
      <c r="S6821" s="120"/>
      <c r="T6821" s="121"/>
      <c r="U6821" s="120"/>
      <c r="V6821" s="123"/>
      <c r="W6821" s="125"/>
      <c r="X6821" s="142" t="s">
        <v>3334</v>
      </c>
      <c r="Y6821" s="143"/>
      <c r="Z6821" s="143"/>
      <c r="AA6821" s="143"/>
      <c r="AB6821" s="144"/>
      <c r="AC6821" s="16" t="s">
        <v>21</v>
      </c>
      <c r="AD6821" s="17" t="s">
        <v>3666</v>
      </c>
      <c r="AE6821" s="145" t="s">
        <v>9546</v>
      </c>
      <c r="AF6821" s="146"/>
      <c r="AG6821" s="146"/>
      <c r="AH6821" s="146"/>
      <c r="AI6821" s="147"/>
      <c r="AJ6821" s="148"/>
      <c r="AK6821" s="143"/>
      <c r="AL6821" s="144"/>
      <c r="AM6821" s="22"/>
      <c r="AN6821" s="149" t="s">
        <v>21216</v>
      </c>
      <c r="AO6821" s="144"/>
      <c r="AP6821" s="148">
        <v>60186</v>
      </c>
      <c r="AQ6821" s="144"/>
      <c r="AR6821" s="120"/>
      <c r="AS6821" s="121"/>
      <c r="AT6821" s="120"/>
      <c r="AU6821" s="121"/>
      <c r="AV6821" s="120"/>
      <c r="AW6821" s="121"/>
      <c r="AX6821" s="120"/>
      <c r="AY6821" s="121"/>
      <c r="AZ6821" s="138"/>
    </row>
    <row r="6822" spans="1:52" ht="17.100000000000001" customHeight="1" thickTop="1">
      <c r="A6822" s="109" t="s">
        <v>19545</v>
      </c>
      <c r="B6822" s="28">
        <v>46087</v>
      </c>
      <c r="C6822" s="25">
        <v>1409</v>
      </c>
      <c r="D6822" s="13" t="s">
        <v>1825</v>
      </c>
      <c r="E6822" s="111"/>
      <c r="F6822" s="113" t="s">
        <v>19578</v>
      </c>
      <c r="G6822" s="114"/>
      <c r="H6822" s="115"/>
      <c r="I6822" s="24"/>
      <c r="J6822" s="116">
        <v>4.5</v>
      </c>
      <c r="K6822" s="118">
        <v>1166000</v>
      </c>
      <c r="L6822" s="119"/>
      <c r="M6822" s="118">
        <f t="shared" ref="M6822" si="9566">K6822*0.1</f>
        <v>116600</v>
      </c>
      <c r="N6822" s="119"/>
      <c r="O6822" s="118">
        <v>0</v>
      </c>
      <c r="P6822" s="119"/>
      <c r="Q6822" s="118">
        <v>8270</v>
      </c>
      <c r="R6822" s="119"/>
      <c r="S6822" s="118">
        <v>15400</v>
      </c>
      <c r="T6822" s="119"/>
      <c r="U6822" s="118">
        <f t="shared" ref="U6822" si="9567">SUM(K6822:T6823)</f>
        <v>1306270</v>
      </c>
      <c r="V6822" s="122"/>
      <c r="W6822" s="124"/>
      <c r="X6822" s="126" t="s">
        <v>20008</v>
      </c>
      <c r="Y6822" s="127"/>
      <c r="Z6822" s="127"/>
      <c r="AA6822" s="127"/>
      <c r="AB6822" s="128"/>
      <c r="AC6822" s="15" t="s">
        <v>20</v>
      </c>
      <c r="AD6822" s="129" t="s">
        <v>17368</v>
      </c>
      <c r="AE6822" s="130"/>
      <c r="AF6822" s="130"/>
      <c r="AG6822" s="130"/>
      <c r="AH6822" s="130"/>
      <c r="AI6822" s="131"/>
      <c r="AJ6822" s="132"/>
      <c r="AK6822" s="127"/>
      <c r="AL6822" s="128"/>
      <c r="AM6822" s="21"/>
      <c r="AN6822" s="133">
        <v>46099</v>
      </c>
      <c r="AO6822" s="134"/>
      <c r="AP6822" s="135">
        <v>1009</v>
      </c>
      <c r="AQ6822" s="136"/>
      <c r="AR6822" s="118">
        <v>1210000</v>
      </c>
      <c r="AS6822" s="119"/>
      <c r="AT6822" s="118">
        <f t="shared" ref="AT6822" si="9568">AR6822*0.1</f>
        <v>121000</v>
      </c>
      <c r="AU6822" s="119"/>
      <c r="AV6822" s="118">
        <v>8270</v>
      </c>
      <c r="AW6822" s="119"/>
      <c r="AX6822" s="118">
        <f t="shared" ref="AX6822" si="9569">SUM(AR6822:AW6822)</f>
        <v>1339270</v>
      </c>
      <c r="AY6822" s="119"/>
      <c r="AZ6822" s="137">
        <v>46105</v>
      </c>
    </row>
    <row r="6823" spans="1:52" ht="17.100000000000001" customHeight="1" thickBot="1">
      <c r="A6823" s="110"/>
      <c r="B6823" s="27" t="s">
        <v>2641</v>
      </c>
      <c r="C6823" s="27">
        <v>3083</v>
      </c>
      <c r="D6823" s="14" t="s">
        <v>2800</v>
      </c>
      <c r="E6823" s="112"/>
      <c r="F6823" s="139" t="s">
        <v>19579</v>
      </c>
      <c r="G6823" s="140"/>
      <c r="H6823" s="141"/>
      <c r="I6823" s="26">
        <v>6980</v>
      </c>
      <c r="J6823" s="117"/>
      <c r="K6823" s="120"/>
      <c r="L6823" s="121"/>
      <c r="M6823" s="120"/>
      <c r="N6823" s="121"/>
      <c r="O6823" s="120"/>
      <c r="P6823" s="121"/>
      <c r="Q6823" s="120"/>
      <c r="R6823" s="121"/>
      <c r="S6823" s="120"/>
      <c r="T6823" s="121"/>
      <c r="U6823" s="120"/>
      <c r="V6823" s="123"/>
      <c r="W6823" s="125"/>
      <c r="X6823" s="142" t="s">
        <v>10380</v>
      </c>
      <c r="Y6823" s="143"/>
      <c r="Z6823" s="143"/>
      <c r="AA6823" s="143"/>
      <c r="AB6823" s="144"/>
      <c r="AC6823" s="16" t="s">
        <v>21</v>
      </c>
      <c r="AD6823" s="17" t="s">
        <v>3386</v>
      </c>
      <c r="AE6823" s="145" t="s">
        <v>20027</v>
      </c>
      <c r="AF6823" s="146"/>
      <c r="AG6823" s="146"/>
      <c r="AH6823" s="146"/>
      <c r="AI6823" s="147"/>
      <c r="AJ6823" s="148"/>
      <c r="AK6823" s="143"/>
      <c r="AL6823" s="144"/>
      <c r="AM6823" s="22"/>
      <c r="AN6823" s="149" t="s">
        <v>2794</v>
      </c>
      <c r="AO6823" s="144"/>
      <c r="AP6823" s="148">
        <v>6088</v>
      </c>
      <c r="AQ6823" s="144"/>
      <c r="AR6823" s="120"/>
      <c r="AS6823" s="121"/>
      <c r="AT6823" s="120"/>
      <c r="AU6823" s="121"/>
      <c r="AV6823" s="120"/>
      <c r="AW6823" s="121"/>
      <c r="AX6823" s="120"/>
      <c r="AY6823" s="121"/>
      <c r="AZ6823" s="138"/>
    </row>
    <row r="6824" spans="1:52" ht="17.100000000000001" customHeight="1" thickTop="1">
      <c r="A6824" s="109" t="s">
        <v>19546</v>
      </c>
      <c r="B6824" s="28">
        <v>46087</v>
      </c>
      <c r="C6824" s="25">
        <v>1409</v>
      </c>
      <c r="D6824" s="13" t="s">
        <v>2301</v>
      </c>
      <c r="E6824" s="111"/>
      <c r="F6824" s="113" t="s">
        <v>19878</v>
      </c>
      <c r="G6824" s="114"/>
      <c r="H6824" s="115"/>
      <c r="I6824" s="24" t="s">
        <v>10637</v>
      </c>
      <c r="J6824" s="116">
        <v>4</v>
      </c>
      <c r="K6824" s="118">
        <v>805000</v>
      </c>
      <c r="L6824" s="119"/>
      <c r="M6824" s="118">
        <f t="shared" ref="M6824" si="9570">K6824*0.1</f>
        <v>80500</v>
      </c>
      <c r="N6824" s="119"/>
      <c r="O6824" s="118">
        <v>10800</v>
      </c>
      <c r="P6824" s="119"/>
      <c r="Q6824" s="118">
        <v>8790</v>
      </c>
      <c r="R6824" s="119"/>
      <c r="S6824" s="118">
        <v>15400</v>
      </c>
      <c r="T6824" s="119"/>
      <c r="U6824" s="118">
        <f t="shared" ref="U6824" si="9571">SUM(K6824:T6825)</f>
        <v>920490</v>
      </c>
      <c r="V6824" s="122"/>
      <c r="W6824" s="124"/>
      <c r="X6824" s="126" t="s">
        <v>20009</v>
      </c>
      <c r="Y6824" s="127"/>
      <c r="Z6824" s="127"/>
      <c r="AA6824" s="127"/>
      <c r="AB6824" s="128"/>
      <c r="AC6824" s="15" t="s">
        <v>20</v>
      </c>
      <c r="AD6824" s="129" t="s">
        <v>13027</v>
      </c>
      <c r="AE6824" s="130"/>
      <c r="AF6824" s="130"/>
      <c r="AG6824" s="130"/>
      <c r="AH6824" s="130"/>
      <c r="AI6824" s="131"/>
      <c r="AJ6824" s="132"/>
      <c r="AK6824" s="127"/>
      <c r="AL6824" s="128"/>
      <c r="AM6824" s="21" t="s">
        <v>23078</v>
      </c>
      <c r="AN6824" s="133">
        <v>46120</v>
      </c>
      <c r="AO6824" s="134"/>
      <c r="AP6824" s="135">
        <v>1012</v>
      </c>
      <c r="AQ6824" s="136"/>
      <c r="AR6824" s="118">
        <v>860000</v>
      </c>
      <c r="AS6824" s="119"/>
      <c r="AT6824" s="118">
        <f t="shared" ref="AT6824" si="9572">AR6824*0.1</f>
        <v>86000</v>
      </c>
      <c r="AU6824" s="119"/>
      <c r="AV6824" s="118">
        <v>8790</v>
      </c>
      <c r="AW6824" s="119"/>
      <c r="AX6824" s="118">
        <f t="shared" ref="AX6824" si="9573">SUM(AR6824:AW6824)</f>
        <v>954790</v>
      </c>
      <c r="AY6824" s="119"/>
      <c r="AZ6824" s="137">
        <v>46128</v>
      </c>
    </row>
    <row r="6825" spans="1:52" ht="17.100000000000001" customHeight="1" thickBot="1">
      <c r="A6825" s="110"/>
      <c r="B6825" s="27" t="s">
        <v>2641</v>
      </c>
      <c r="C6825" s="27">
        <v>3098</v>
      </c>
      <c r="D6825" s="14" t="s">
        <v>1700</v>
      </c>
      <c r="E6825" s="112"/>
      <c r="F6825" s="139" t="s">
        <v>19580</v>
      </c>
      <c r="G6825" s="140"/>
      <c r="H6825" s="141"/>
      <c r="I6825" s="26">
        <v>36605</v>
      </c>
      <c r="J6825" s="117"/>
      <c r="K6825" s="120"/>
      <c r="L6825" s="121"/>
      <c r="M6825" s="120"/>
      <c r="N6825" s="121"/>
      <c r="O6825" s="120"/>
      <c r="P6825" s="121"/>
      <c r="Q6825" s="120"/>
      <c r="R6825" s="121"/>
      <c r="S6825" s="120"/>
      <c r="T6825" s="121"/>
      <c r="U6825" s="120"/>
      <c r="V6825" s="123"/>
      <c r="W6825" s="125"/>
      <c r="X6825" s="142" t="s">
        <v>1997</v>
      </c>
      <c r="Y6825" s="143"/>
      <c r="Z6825" s="143"/>
      <c r="AA6825" s="143"/>
      <c r="AB6825" s="144"/>
      <c r="AC6825" s="16" t="s">
        <v>21</v>
      </c>
      <c r="AD6825" s="17" t="s">
        <v>3386</v>
      </c>
      <c r="AE6825" s="145" t="s">
        <v>2441</v>
      </c>
      <c r="AF6825" s="146"/>
      <c r="AG6825" s="146"/>
      <c r="AH6825" s="146"/>
      <c r="AI6825" s="147"/>
      <c r="AJ6825" s="148"/>
      <c r="AK6825" s="143"/>
      <c r="AL6825" s="144"/>
      <c r="AM6825" s="22"/>
      <c r="AN6825" s="149" t="s">
        <v>23070</v>
      </c>
      <c r="AO6825" s="144"/>
      <c r="AP6825" s="148">
        <v>2047</v>
      </c>
      <c r="AQ6825" s="144"/>
      <c r="AR6825" s="120"/>
      <c r="AS6825" s="121"/>
      <c r="AT6825" s="120"/>
      <c r="AU6825" s="121"/>
      <c r="AV6825" s="120"/>
      <c r="AW6825" s="121"/>
      <c r="AX6825" s="120"/>
      <c r="AY6825" s="121"/>
      <c r="AZ6825" s="138"/>
    </row>
    <row r="6826" spans="1:52" ht="17.100000000000001" customHeight="1" thickTop="1">
      <c r="A6826" s="109" t="s">
        <v>19547</v>
      </c>
      <c r="B6826" s="28">
        <v>46087</v>
      </c>
      <c r="C6826" s="25">
        <v>1409</v>
      </c>
      <c r="D6826" s="13" t="s">
        <v>1642</v>
      </c>
      <c r="E6826" s="111"/>
      <c r="F6826" s="113" t="s">
        <v>15571</v>
      </c>
      <c r="G6826" s="114"/>
      <c r="H6826" s="115"/>
      <c r="I6826" s="24" t="s">
        <v>11255</v>
      </c>
      <c r="J6826" s="116">
        <v>4</v>
      </c>
      <c r="K6826" s="118">
        <v>603000</v>
      </c>
      <c r="L6826" s="119"/>
      <c r="M6826" s="118">
        <f t="shared" ref="M6826" si="9574">K6826*0.1</f>
        <v>60300</v>
      </c>
      <c r="N6826" s="119"/>
      <c r="O6826" s="118">
        <v>10800</v>
      </c>
      <c r="P6826" s="119"/>
      <c r="Q6826" s="118">
        <v>6470</v>
      </c>
      <c r="R6826" s="119"/>
      <c r="S6826" s="118">
        <v>15400</v>
      </c>
      <c r="T6826" s="119"/>
      <c r="U6826" s="118">
        <f t="shared" ref="U6826" si="9575">SUM(K6826:T6827)</f>
        <v>695970</v>
      </c>
      <c r="V6826" s="122"/>
      <c r="W6826" s="124"/>
      <c r="X6826" s="126" t="s">
        <v>20462</v>
      </c>
      <c r="Y6826" s="127"/>
      <c r="Z6826" s="127"/>
      <c r="AA6826" s="127"/>
      <c r="AB6826" s="128"/>
      <c r="AC6826" s="15" t="s">
        <v>20</v>
      </c>
      <c r="AD6826" s="129" t="s">
        <v>4435</v>
      </c>
      <c r="AE6826" s="130"/>
      <c r="AF6826" s="130"/>
      <c r="AG6826" s="130"/>
      <c r="AH6826" s="130"/>
      <c r="AI6826" s="131"/>
      <c r="AJ6826" s="132"/>
      <c r="AK6826" s="127"/>
      <c r="AL6826" s="128"/>
      <c r="AM6826" s="21"/>
      <c r="AN6826" s="133">
        <v>46092</v>
      </c>
      <c r="AO6826" s="134"/>
      <c r="AP6826" s="135">
        <v>1008</v>
      </c>
      <c r="AQ6826" s="136"/>
      <c r="AR6826" s="118">
        <v>650000</v>
      </c>
      <c r="AS6826" s="119"/>
      <c r="AT6826" s="118">
        <f t="shared" ref="AT6826" si="9576">AR6826*0.1</f>
        <v>65000</v>
      </c>
      <c r="AU6826" s="119"/>
      <c r="AV6826" s="118">
        <v>6470</v>
      </c>
      <c r="AW6826" s="119"/>
      <c r="AX6826" s="118">
        <f>SUM(AR6826:AW6826)</f>
        <v>721470</v>
      </c>
      <c r="AY6826" s="119"/>
      <c r="AZ6826" s="137">
        <v>46100</v>
      </c>
    </row>
    <row r="6827" spans="1:52" ht="17.100000000000001" customHeight="1" thickBot="1">
      <c r="A6827" s="110"/>
      <c r="B6827" s="27" t="s">
        <v>2641</v>
      </c>
      <c r="C6827" s="27">
        <v>3146</v>
      </c>
      <c r="D6827" s="14" t="s">
        <v>275</v>
      </c>
      <c r="E6827" s="112"/>
      <c r="F6827" s="139" t="s">
        <v>19581</v>
      </c>
      <c r="G6827" s="140"/>
      <c r="H6827" s="141"/>
      <c r="I6827" s="26">
        <v>34044</v>
      </c>
      <c r="J6827" s="117"/>
      <c r="K6827" s="120"/>
      <c r="L6827" s="121"/>
      <c r="M6827" s="120"/>
      <c r="N6827" s="121"/>
      <c r="O6827" s="120"/>
      <c r="P6827" s="121"/>
      <c r="Q6827" s="120"/>
      <c r="R6827" s="121"/>
      <c r="S6827" s="120"/>
      <c r="T6827" s="121"/>
      <c r="U6827" s="120"/>
      <c r="V6827" s="123"/>
      <c r="W6827" s="125"/>
      <c r="X6827" s="142" t="s">
        <v>20463</v>
      </c>
      <c r="Y6827" s="143"/>
      <c r="Z6827" s="143"/>
      <c r="AA6827" s="143"/>
      <c r="AB6827" s="144"/>
      <c r="AC6827" s="16" t="s">
        <v>21</v>
      </c>
      <c r="AD6827" s="17" t="s">
        <v>3980</v>
      </c>
      <c r="AE6827" s="145" t="s">
        <v>1633</v>
      </c>
      <c r="AF6827" s="146"/>
      <c r="AG6827" s="146"/>
      <c r="AH6827" s="146"/>
      <c r="AI6827" s="147"/>
      <c r="AJ6827" s="148"/>
      <c r="AK6827" s="143"/>
      <c r="AL6827" s="144"/>
      <c r="AM6827" s="22"/>
      <c r="AN6827" s="149" t="s">
        <v>19938</v>
      </c>
      <c r="AO6827" s="144"/>
      <c r="AP6827" s="148">
        <v>5116</v>
      </c>
      <c r="AQ6827" s="144"/>
      <c r="AR6827" s="120"/>
      <c r="AS6827" s="121"/>
      <c r="AT6827" s="120"/>
      <c r="AU6827" s="121"/>
      <c r="AV6827" s="120"/>
      <c r="AW6827" s="121"/>
      <c r="AX6827" s="120"/>
      <c r="AY6827" s="121"/>
      <c r="AZ6827" s="138"/>
    </row>
    <row r="6828" spans="1:52" ht="17.100000000000001" customHeight="1" thickTop="1">
      <c r="A6828" s="109" t="s">
        <v>19548</v>
      </c>
      <c r="B6828" s="28">
        <v>46087</v>
      </c>
      <c r="C6828" s="25">
        <v>1409</v>
      </c>
      <c r="D6828" s="13" t="s">
        <v>2759</v>
      </c>
      <c r="E6828" s="111"/>
      <c r="F6828" s="113" t="s">
        <v>17939</v>
      </c>
      <c r="G6828" s="114"/>
      <c r="H6828" s="115"/>
      <c r="I6828" s="24" t="s">
        <v>5124</v>
      </c>
      <c r="J6828" s="116">
        <v>4</v>
      </c>
      <c r="K6828" s="118">
        <v>969000</v>
      </c>
      <c r="L6828" s="119"/>
      <c r="M6828" s="118">
        <f t="shared" ref="M6828" si="9577">K6828*0.1</f>
        <v>96900</v>
      </c>
      <c r="N6828" s="119"/>
      <c r="O6828" s="118">
        <v>25000</v>
      </c>
      <c r="P6828" s="119"/>
      <c r="Q6828" s="118">
        <v>9750</v>
      </c>
      <c r="R6828" s="119"/>
      <c r="S6828" s="118">
        <v>15400</v>
      </c>
      <c r="T6828" s="119"/>
      <c r="U6828" s="118">
        <f t="shared" ref="U6828" si="9578">SUM(K6828:T6829)</f>
        <v>1116050</v>
      </c>
      <c r="V6828" s="122"/>
      <c r="W6828" s="124"/>
      <c r="X6828" s="126" t="s">
        <v>20076</v>
      </c>
      <c r="Y6828" s="127"/>
      <c r="Z6828" s="127"/>
      <c r="AA6828" s="127"/>
      <c r="AB6828" s="128"/>
      <c r="AC6828" s="15" t="s">
        <v>20</v>
      </c>
      <c r="AD6828" s="129"/>
      <c r="AE6828" s="130"/>
      <c r="AF6828" s="130"/>
      <c r="AG6828" s="130"/>
      <c r="AH6828" s="130"/>
      <c r="AI6828" s="131"/>
      <c r="AJ6828" s="132"/>
      <c r="AK6828" s="127"/>
      <c r="AL6828" s="128"/>
      <c r="AM6828" s="21"/>
      <c r="AN6828" s="133">
        <v>46099</v>
      </c>
      <c r="AO6828" s="134"/>
      <c r="AP6828" s="135">
        <v>1009</v>
      </c>
      <c r="AQ6828" s="136"/>
      <c r="AR6828" s="118">
        <v>1040000</v>
      </c>
      <c r="AS6828" s="119"/>
      <c r="AT6828" s="118">
        <f t="shared" ref="AT6828" si="9579">AR6828*0.1</f>
        <v>104000</v>
      </c>
      <c r="AU6828" s="119"/>
      <c r="AV6828" s="118">
        <v>9750</v>
      </c>
      <c r="AW6828" s="119"/>
      <c r="AX6828" s="118">
        <f t="shared" ref="AX6828" si="9580">SUM(AR6828:AW6828)</f>
        <v>1153750</v>
      </c>
      <c r="AY6828" s="119"/>
      <c r="AZ6828" s="137">
        <v>46106</v>
      </c>
    </row>
    <row r="6829" spans="1:52" ht="17.100000000000001" customHeight="1" thickBot="1">
      <c r="A6829" s="110"/>
      <c r="B6829" s="27" t="s">
        <v>2641</v>
      </c>
      <c r="C6829" s="27">
        <v>3240</v>
      </c>
      <c r="D6829" s="14" t="s">
        <v>2560</v>
      </c>
      <c r="E6829" s="112"/>
      <c r="F6829" s="139" t="s">
        <v>19582</v>
      </c>
      <c r="G6829" s="140"/>
      <c r="H6829" s="141"/>
      <c r="I6829" s="26">
        <v>60990</v>
      </c>
      <c r="J6829" s="117"/>
      <c r="K6829" s="120"/>
      <c r="L6829" s="121"/>
      <c r="M6829" s="120"/>
      <c r="N6829" s="121"/>
      <c r="O6829" s="120"/>
      <c r="P6829" s="121"/>
      <c r="Q6829" s="120"/>
      <c r="R6829" s="121"/>
      <c r="S6829" s="120"/>
      <c r="T6829" s="121"/>
      <c r="U6829" s="120"/>
      <c r="V6829" s="123"/>
      <c r="W6829" s="125"/>
      <c r="X6829" s="142" t="s">
        <v>20077</v>
      </c>
      <c r="Y6829" s="143"/>
      <c r="Z6829" s="143"/>
      <c r="AA6829" s="143"/>
      <c r="AB6829" s="144"/>
      <c r="AC6829" s="16" t="s">
        <v>21</v>
      </c>
      <c r="AD6829" s="17" t="s">
        <v>3666</v>
      </c>
      <c r="AE6829" s="145"/>
      <c r="AF6829" s="146"/>
      <c r="AG6829" s="146"/>
      <c r="AH6829" s="146"/>
      <c r="AI6829" s="147"/>
      <c r="AJ6829" s="148"/>
      <c r="AK6829" s="143"/>
      <c r="AL6829" s="144"/>
      <c r="AM6829" s="22"/>
      <c r="AN6829" s="149" t="s">
        <v>20958</v>
      </c>
      <c r="AO6829" s="144"/>
      <c r="AP6829" s="148">
        <v>6100</v>
      </c>
      <c r="AQ6829" s="144"/>
      <c r="AR6829" s="120"/>
      <c r="AS6829" s="121"/>
      <c r="AT6829" s="120"/>
      <c r="AU6829" s="121"/>
      <c r="AV6829" s="120"/>
      <c r="AW6829" s="121"/>
      <c r="AX6829" s="120"/>
      <c r="AY6829" s="121"/>
      <c r="AZ6829" s="138"/>
    </row>
    <row r="6830" spans="1:52" ht="17.100000000000001" customHeight="1" thickTop="1">
      <c r="A6830" s="109" t="s">
        <v>19549</v>
      </c>
      <c r="B6830" s="28">
        <v>46087</v>
      </c>
      <c r="C6830" s="25">
        <v>1409</v>
      </c>
      <c r="D6830" s="13" t="s">
        <v>2465</v>
      </c>
      <c r="E6830" s="111"/>
      <c r="F6830" s="113" t="s">
        <v>7340</v>
      </c>
      <c r="G6830" s="114"/>
      <c r="H6830" s="115"/>
      <c r="I6830" s="24"/>
      <c r="J6830" s="116">
        <v>4</v>
      </c>
      <c r="K6830" s="118">
        <v>626000</v>
      </c>
      <c r="L6830" s="119"/>
      <c r="M6830" s="118">
        <f t="shared" ref="M6830" si="9581">K6830*0.1</f>
        <v>62600</v>
      </c>
      <c r="N6830" s="119"/>
      <c r="O6830" s="118">
        <v>0</v>
      </c>
      <c r="P6830" s="119"/>
      <c r="Q6830" s="118">
        <v>8400</v>
      </c>
      <c r="R6830" s="119"/>
      <c r="S6830" s="118">
        <v>15400</v>
      </c>
      <c r="T6830" s="119"/>
      <c r="U6830" s="118">
        <f t="shared" ref="U6830" si="9582">SUM(K6830:T6831)</f>
        <v>712400</v>
      </c>
      <c r="V6830" s="122"/>
      <c r="W6830" s="124"/>
      <c r="X6830" s="126" t="s">
        <v>20461</v>
      </c>
      <c r="Y6830" s="127"/>
      <c r="Z6830" s="127"/>
      <c r="AA6830" s="127"/>
      <c r="AB6830" s="128"/>
      <c r="AC6830" s="15" t="s">
        <v>20</v>
      </c>
      <c r="AD6830" s="129" t="s">
        <v>4435</v>
      </c>
      <c r="AE6830" s="130"/>
      <c r="AF6830" s="130"/>
      <c r="AG6830" s="130"/>
      <c r="AH6830" s="130"/>
      <c r="AI6830" s="131"/>
      <c r="AJ6830" s="132"/>
      <c r="AK6830" s="127"/>
      <c r="AL6830" s="128"/>
      <c r="AM6830" s="21"/>
      <c r="AN6830" s="133">
        <v>46092</v>
      </c>
      <c r="AO6830" s="134"/>
      <c r="AP6830" s="135">
        <v>1008</v>
      </c>
      <c r="AQ6830" s="136"/>
      <c r="AR6830" s="118">
        <v>660000</v>
      </c>
      <c r="AS6830" s="119"/>
      <c r="AT6830" s="118">
        <f t="shared" ref="AT6830" si="9583">AR6830*0.1</f>
        <v>66000</v>
      </c>
      <c r="AU6830" s="119"/>
      <c r="AV6830" s="118">
        <v>8400</v>
      </c>
      <c r="AW6830" s="119"/>
      <c r="AX6830" s="118">
        <f t="shared" ref="AX6830" si="9584">SUM(AR6830:AW6830)</f>
        <v>734400</v>
      </c>
      <c r="AY6830" s="119"/>
      <c r="AZ6830" s="137">
        <v>46100</v>
      </c>
    </row>
    <row r="6831" spans="1:52" ht="17.100000000000001" customHeight="1" thickBot="1">
      <c r="A6831" s="110"/>
      <c r="B6831" s="27" t="s">
        <v>2641</v>
      </c>
      <c r="C6831" s="27">
        <v>3257</v>
      </c>
      <c r="D6831" s="14" t="s">
        <v>2282</v>
      </c>
      <c r="E6831" s="112"/>
      <c r="F6831" s="139" t="s">
        <v>19583</v>
      </c>
      <c r="G6831" s="140"/>
      <c r="H6831" s="141"/>
      <c r="I6831" s="26">
        <v>42107</v>
      </c>
      <c r="J6831" s="117"/>
      <c r="K6831" s="120"/>
      <c r="L6831" s="121"/>
      <c r="M6831" s="120"/>
      <c r="N6831" s="121"/>
      <c r="O6831" s="120"/>
      <c r="P6831" s="121"/>
      <c r="Q6831" s="120"/>
      <c r="R6831" s="121"/>
      <c r="S6831" s="120"/>
      <c r="T6831" s="121"/>
      <c r="U6831" s="120"/>
      <c r="V6831" s="123"/>
      <c r="W6831" s="125"/>
      <c r="X6831" s="142" t="s">
        <v>3334</v>
      </c>
      <c r="Y6831" s="143"/>
      <c r="Z6831" s="143"/>
      <c r="AA6831" s="143"/>
      <c r="AB6831" s="144"/>
      <c r="AC6831" s="16" t="s">
        <v>21</v>
      </c>
      <c r="AD6831" s="17" t="s">
        <v>3980</v>
      </c>
      <c r="AE6831" s="145" t="s">
        <v>1633</v>
      </c>
      <c r="AF6831" s="146"/>
      <c r="AG6831" s="146"/>
      <c r="AH6831" s="146"/>
      <c r="AI6831" s="147"/>
      <c r="AJ6831" s="148"/>
      <c r="AK6831" s="143"/>
      <c r="AL6831" s="144"/>
      <c r="AM6831" s="22"/>
      <c r="AN6831" s="149" t="s">
        <v>19938</v>
      </c>
      <c r="AO6831" s="144"/>
      <c r="AP6831" s="148">
        <v>5121</v>
      </c>
      <c r="AQ6831" s="144"/>
      <c r="AR6831" s="120"/>
      <c r="AS6831" s="121"/>
      <c r="AT6831" s="120"/>
      <c r="AU6831" s="121"/>
      <c r="AV6831" s="120"/>
      <c r="AW6831" s="121"/>
      <c r="AX6831" s="120"/>
      <c r="AY6831" s="121"/>
      <c r="AZ6831" s="138"/>
    </row>
    <row r="6832" spans="1:52" ht="17.100000000000001" customHeight="1" thickTop="1">
      <c r="A6832" s="109" t="s">
        <v>19550</v>
      </c>
      <c r="B6832" s="28">
        <v>46087</v>
      </c>
      <c r="C6832" s="25">
        <v>1409</v>
      </c>
      <c r="D6832" s="13" t="s">
        <v>1623</v>
      </c>
      <c r="E6832" s="111"/>
      <c r="F6832" s="113" t="s">
        <v>19584</v>
      </c>
      <c r="G6832" s="114"/>
      <c r="H6832" s="115"/>
      <c r="I6832" s="24" t="s">
        <v>19678</v>
      </c>
      <c r="J6832" s="116">
        <v>4</v>
      </c>
      <c r="K6832" s="118">
        <v>345000</v>
      </c>
      <c r="L6832" s="119"/>
      <c r="M6832" s="118">
        <f t="shared" ref="M6832" si="9585">K6832*0.1</f>
        <v>34500</v>
      </c>
      <c r="N6832" s="119"/>
      <c r="O6832" s="118">
        <v>7200</v>
      </c>
      <c r="P6832" s="119"/>
      <c r="Q6832" s="118">
        <v>9550</v>
      </c>
      <c r="R6832" s="119"/>
      <c r="S6832" s="118">
        <v>15400</v>
      </c>
      <c r="T6832" s="119"/>
      <c r="U6832" s="118">
        <f t="shared" ref="U6832" si="9586">SUM(K6832:T6833)</f>
        <v>411650</v>
      </c>
      <c r="V6832" s="122"/>
      <c r="W6832" s="124"/>
      <c r="X6832" s="126" t="s">
        <v>20016</v>
      </c>
      <c r="Y6832" s="127"/>
      <c r="Z6832" s="127"/>
      <c r="AA6832" s="127"/>
      <c r="AB6832" s="128"/>
      <c r="AC6832" s="15" t="s">
        <v>20</v>
      </c>
      <c r="AD6832" s="129" t="s">
        <v>19679</v>
      </c>
      <c r="AE6832" s="130"/>
      <c r="AF6832" s="130"/>
      <c r="AG6832" s="130"/>
      <c r="AH6832" s="130"/>
      <c r="AI6832" s="131"/>
      <c r="AJ6832" s="132"/>
      <c r="AK6832" s="127"/>
      <c r="AL6832" s="128"/>
      <c r="AM6832" s="21"/>
      <c r="AN6832" s="133">
        <v>46095</v>
      </c>
      <c r="AO6832" s="134"/>
      <c r="AP6832" s="135">
        <v>1292</v>
      </c>
      <c r="AQ6832" s="136"/>
      <c r="AR6832" s="118">
        <v>450000</v>
      </c>
      <c r="AS6832" s="119"/>
      <c r="AT6832" s="118">
        <f t="shared" ref="AT6832" si="9587">AR6832*0.1</f>
        <v>45000</v>
      </c>
      <c r="AU6832" s="119"/>
      <c r="AV6832" s="118">
        <v>9550</v>
      </c>
      <c r="AW6832" s="119"/>
      <c r="AX6832" s="118">
        <f t="shared" ref="AX6832" si="9588">SUM(AR6832:AW6832)</f>
        <v>504550</v>
      </c>
      <c r="AY6832" s="119"/>
      <c r="AZ6832" s="137">
        <v>46100</v>
      </c>
    </row>
    <row r="6833" spans="1:52" ht="17.100000000000001" customHeight="1" thickBot="1">
      <c r="A6833" s="110"/>
      <c r="B6833" s="27" t="s">
        <v>2641</v>
      </c>
      <c r="C6833" s="27">
        <v>7012</v>
      </c>
      <c r="D6833" s="14" t="s">
        <v>3855</v>
      </c>
      <c r="E6833" s="112"/>
      <c r="F6833" s="139" t="s">
        <v>19585</v>
      </c>
      <c r="G6833" s="140"/>
      <c r="H6833" s="141"/>
      <c r="I6833" s="26">
        <v>31610</v>
      </c>
      <c r="J6833" s="117"/>
      <c r="K6833" s="120"/>
      <c r="L6833" s="121"/>
      <c r="M6833" s="120"/>
      <c r="N6833" s="121"/>
      <c r="O6833" s="120"/>
      <c r="P6833" s="121"/>
      <c r="Q6833" s="120"/>
      <c r="R6833" s="121"/>
      <c r="S6833" s="120"/>
      <c r="T6833" s="121"/>
      <c r="U6833" s="120"/>
      <c r="V6833" s="123"/>
      <c r="W6833" s="125"/>
      <c r="X6833" s="142" t="s">
        <v>10732</v>
      </c>
      <c r="Y6833" s="143"/>
      <c r="Z6833" s="143"/>
      <c r="AA6833" s="143"/>
      <c r="AB6833" s="144"/>
      <c r="AC6833" s="16" t="s">
        <v>21</v>
      </c>
      <c r="AD6833" s="17" t="s">
        <v>3386</v>
      </c>
      <c r="AE6833" s="145" t="s">
        <v>20017</v>
      </c>
      <c r="AF6833" s="146"/>
      <c r="AG6833" s="146"/>
      <c r="AH6833" s="146"/>
      <c r="AI6833" s="147"/>
      <c r="AJ6833" s="148"/>
      <c r="AK6833" s="143"/>
      <c r="AL6833" s="144"/>
      <c r="AM6833" s="22"/>
      <c r="AN6833" s="149" t="s">
        <v>6748</v>
      </c>
      <c r="AO6833" s="144"/>
      <c r="AP6833" s="148">
        <v>60178</v>
      </c>
      <c r="AQ6833" s="144"/>
      <c r="AR6833" s="120"/>
      <c r="AS6833" s="121"/>
      <c r="AT6833" s="120"/>
      <c r="AU6833" s="121"/>
      <c r="AV6833" s="120"/>
      <c r="AW6833" s="121"/>
      <c r="AX6833" s="120"/>
      <c r="AY6833" s="121"/>
      <c r="AZ6833" s="138"/>
    </row>
    <row r="6834" spans="1:52" ht="17.100000000000001" customHeight="1" thickTop="1">
      <c r="A6834" s="109" t="s">
        <v>19551</v>
      </c>
      <c r="B6834" s="28">
        <v>46087</v>
      </c>
      <c r="C6834" s="25">
        <v>1409</v>
      </c>
      <c r="D6834" s="13" t="s">
        <v>2196</v>
      </c>
      <c r="E6834" s="111"/>
      <c r="F6834" s="113" t="s">
        <v>19680</v>
      </c>
      <c r="G6834" s="114"/>
      <c r="H6834" s="115"/>
      <c r="I6834" s="24" t="s">
        <v>4455</v>
      </c>
      <c r="J6834" s="116">
        <v>4.5</v>
      </c>
      <c r="K6834" s="118">
        <v>744000</v>
      </c>
      <c r="L6834" s="119"/>
      <c r="M6834" s="118">
        <f t="shared" ref="M6834" si="9589">K6834*0.1</f>
        <v>74400</v>
      </c>
      <c r="N6834" s="119"/>
      <c r="O6834" s="118">
        <v>10800</v>
      </c>
      <c r="P6834" s="119"/>
      <c r="Q6834" s="118">
        <v>8790</v>
      </c>
      <c r="R6834" s="119"/>
      <c r="S6834" s="118">
        <v>15400</v>
      </c>
      <c r="T6834" s="119"/>
      <c r="U6834" s="118">
        <f t="shared" ref="U6834" si="9590">SUM(K6834:T6835)</f>
        <v>853390</v>
      </c>
      <c r="V6834" s="122"/>
      <c r="W6834" s="124"/>
      <c r="X6834" s="126" t="s">
        <v>20015</v>
      </c>
      <c r="Y6834" s="127"/>
      <c r="Z6834" s="127"/>
      <c r="AA6834" s="127"/>
      <c r="AB6834" s="128"/>
      <c r="AC6834" s="15" t="s">
        <v>20</v>
      </c>
      <c r="AD6834" s="129"/>
      <c r="AE6834" s="130"/>
      <c r="AF6834" s="130"/>
      <c r="AG6834" s="130"/>
      <c r="AH6834" s="130"/>
      <c r="AI6834" s="131"/>
      <c r="AJ6834" s="132"/>
      <c r="AK6834" s="127"/>
      <c r="AL6834" s="128"/>
      <c r="AM6834" s="21" t="s">
        <v>23801</v>
      </c>
      <c r="AN6834" s="133"/>
      <c r="AO6834" s="134"/>
      <c r="AP6834" s="135"/>
      <c r="AQ6834" s="136"/>
      <c r="AR6834" s="118"/>
      <c r="AS6834" s="119"/>
      <c r="AT6834" s="118">
        <f t="shared" ref="AT6834" si="9591">AR6834*0.1</f>
        <v>0</v>
      </c>
      <c r="AU6834" s="119"/>
      <c r="AV6834" s="118"/>
      <c r="AW6834" s="119"/>
      <c r="AX6834" s="118">
        <f t="shared" ref="AX6834" si="9592">SUM(AR6834:AW6834)</f>
        <v>0</v>
      </c>
      <c r="AY6834" s="119"/>
      <c r="AZ6834" s="137"/>
    </row>
    <row r="6835" spans="1:52" ht="17.100000000000001" customHeight="1" thickBot="1">
      <c r="A6835" s="110"/>
      <c r="B6835" s="27" t="s">
        <v>2641</v>
      </c>
      <c r="C6835" s="27">
        <v>7026</v>
      </c>
      <c r="D6835" s="14" t="s">
        <v>1812</v>
      </c>
      <c r="E6835" s="112"/>
      <c r="F6835" s="139" t="s">
        <v>19586</v>
      </c>
      <c r="G6835" s="140"/>
      <c r="H6835" s="141"/>
      <c r="I6835" s="26">
        <v>402779</v>
      </c>
      <c r="J6835" s="117"/>
      <c r="K6835" s="120"/>
      <c r="L6835" s="121"/>
      <c r="M6835" s="120"/>
      <c r="N6835" s="121"/>
      <c r="O6835" s="120"/>
      <c r="P6835" s="121"/>
      <c r="Q6835" s="120"/>
      <c r="R6835" s="121"/>
      <c r="S6835" s="120"/>
      <c r="T6835" s="121"/>
      <c r="U6835" s="120"/>
      <c r="V6835" s="123"/>
      <c r="W6835" s="125"/>
      <c r="X6835" s="142" t="s">
        <v>10732</v>
      </c>
      <c r="Y6835" s="143"/>
      <c r="Z6835" s="143"/>
      <c r="AA6835" s="143"/>
      <c r="AB6835" s="144"/>
      <c r="AC6835" s="16" t="s">
        <v>21</v>
      </c>
      <c r="AD6835" s="17" t="s">
        <v>3386</v>
      </c>
      <c r="AE6835" s="145"/>
      <c r="AF6835" s="146"/>
      <c r="AG6835" s="146"/>
      <c r="AH6835" s="146"/>
      <c r="AI6835" s="147"/>
      <c r="AJ6835" s="148"/>
      <c r="AK6835" s="143"/>
      <c r="AL6835" s="144"/>
      <c r="AM6835" s="22"/>
      <c r="AN6835" s="149"/>
      <c r="AO6835" s="144"/>
      <c r="AP6835" s="148"/>
      <c r="AQ6835" s="144"/>
      <c r="AR6835" s="120"/>
      <c r="AS6835" s="121"/>
      <c r="AT6835" s="120"/>
      <c r="AU6835" s="121"/>
      <c r="AV6835" s="120"/>
      <c r="AW6835" s="121"/>
      <c r="AX6835" s="120"/>
      <c r="AY6835" s="121"/>
      <c r="AZ6835" s="138"/>
    </row>
    <row r="6836" spans="1:52" ht="17.100000000000001" customHeight="1" thickTop="1">
      <c r="A6836" s="109" t="s">
        <v>19552</v>
      </c>
      <c r="B6836" s="28">
        <v>46087</v>
      </c>
      <c r="C6836" s="25">
        <v>1409</v>
      </c>
      <c r="D6836" s="13" t="s">
        <v>3461</v>
      </c>
      <c r="E6836" s="111"/>
      <c r="F6836" s="113" t="s">
        <v>19587</v>
      </c>
      <c r="G6836" s="114"/>
      <c r="H6836" s="115"/>
      <c r="I6836" s="24"/>
      <c r="J6836" s="116">
        <v>4</v>
      </c>
      <c r="K6836" s="118">
        <v>2140000</v>
      </c>
      <c r="L6836" s="119"/>
      <c r="M6836" s="118">
        <f t="shared" ref="M6836" si="9593">K6836*0.1</f>
        <v>214000</v>
      </c>
      <c r="N6836" s="119"/>
      <c r="O6836" s="118">
        <v>0</v>
      </c>
      <c r="P6836" s="119"/>
      <c r="Q6836" s="118">
        <v>11710</v>
      </c>
      <c r="R6836" s="119"/>
      <c r="S6836" s="118">
        <v>15400</v>
      </c>
      <c r="T6836" s="119"/>
      <c r="U6836" s="118">
        <f t="shared" ref="U6836" si="9594">SUM(K6836:T6837)</f>
        <v>2381110</v>
      </c>
      <c r="V6836" s="122"/>
      <c r="W6836" s="124"/>
      <c r="X6836" s="126" t="s">
        <v>20052</v>
      </c>
      <c r="Y6836" s="127"/>
      <c r="Z6836" s="127"/>
      <c r="AA6836" s="127"/>
      <c r="AB6836" s="128"/>
      <c r="AC6836" s="15" t="s">
        <v>20</v>
      </c>
      <c r="AD6836" s="129"/>
      <c r="AE6836" s="130"/>
      <c r="AF6836" s="130"/>
      <c r="AG6836" s="130"/>
      <c r="AH6836" s="130"/>
      <c r="AI6836" s="131"/>
      <c r="AJ6836" s="132"/>
      <c r="AK6836" s="127"/>
      <c r="AL6836" s="128"/>
      <c r="AM6836" s="21"/>
      <c r="AN6836" s="133">
        <v>46092</v>
      </c>
      <c r="AO6836" s="134"/>
      <c r="AP6836" s="135">
        <v>1008</v>
      </c>
      <c r="AQ6836" s="136"/>
      <c r="AR6836" s="118">
        <v>2230000</v>
      </c>
      <c r="AS6836" s="119"/>
      <c r="AT6836" s="118">
        <f t="shared" ref="AT6836" si="9595">AR6836*0.1</f>
        <v>223000</v>
      </c>
      <c r="AU6836" s="119"/>
      <c r="AV6836" s="118">
        <v>11710</v>
      </c>
      <c r="AW6836" s="119"/>
      <c r="AX6836" s="118">
        <f t="shared" ref="AX6836" si="9596">SUM(AR6836:AW6836)</f>
        <v>2464710</v>
      </c>
      <c r="AY6836" s="119"/>
      <c r="AZ6836" s="137">
        <v>46098</v>
      </c>
    </row>
    <row r="6837" spans="1:52" ht="17.100000000000001" customHeight="1" thickBot="1">
      <c r="A6837" s="110"/>
      <c r="B6837" s="27" t="s">
        <v>2641</v>
      </c>
      <c r="C6837" s="27">
        <v>7104</v>
      </c>
      <c r="D6837" s="14" t="s">
        <v>275</v>
      </c>
      <c r="E6837" s="112"/>
      <c r="F6837" s="139" t="s">
        <v>19588</v>
      </c>
      <c r="G6837" s="140"/>
      <c r="H6837" s="141"/>
      <c r="I6837" s="26">
        <v>41318</v>
      </c>
      <c r="J6837" s="117"/>
      <c r="K6837" s="120"/>
      <c r="L6837" s="121"/>
      <c r="M6837" s="120"/>
      <c r="N6837" s="121"/>
      <c r="O6837" s="120"/>
      <c r="P6837" s="121"/>
      <c r="Q6837" s="120"/>
      <c r="R6837" s="121"/>
      <c r="S6837" s="120"/>
      <c r="T6837" s="121"/>
      <c r="U6837" s="120"/>
      <c r="V6837" s="123"/>
      <c r="W6837" s="125"/>
      <c r="X6837" s="142" t="s">
        <v>18602</v>
      </c>
      <c r="Y6837" s="143"/>
      <c r="Z6837" s="143"/>
      <c r="AA6837" s="143"/>
      <c r="AB6837" s="144"/>
      <c r="AC6837" s="16" t="s">
        <v>21</v>
      </c>
      <c r="AD6837" s="17" t="s">
        <v>20053</v>
      </c>
      <c r="AE6837" s="145" t="s">
        <v>6835</v>
      </c>
      <c r="AF6837" s="146"/>
      <c r="AG6837" s="146"/>
      <c r="AH6837" s="146"/>
      <c r="AI6837" s="147"/>
      <c r="AJ6837" s="148"/>
      <c r="AK6837" s="143"/>
      <c r="AL6837" s="144"/>
      <c r="AM6837" s="22"/>
      <c r="AN6837" s="149" t="s">
        <v>19938</v>
      </c>
      <c r="AO6837" s="144"/>
      <c r="AP6837" s="148">
        <v>5114</v>
      </c>
      <c r="AQ6837" s="144"/>
      <c r="AR6837" s="120"/>
      <c r="AS6837" s="121"/>
      <c r="AT6837" s="120"/>
      <c r="AU6837" s="121"/>
      <c r="AV6837" s="120"/>
      <c r="AW6837" s="121"/>
      <c r="AX6837" s="120"/>
      <c r="AY6837" s="121"/>
      <c r="AZ6837" s="138"/>
    </row>
    <row r="6838" spans="1:52" ht="17.100000000000001" customHeight="1" thickTop="1">
      <c r="A6838" s="109" t="s">
        <v>19553</v>
      </c>
      <c r="B6838" s="28">
        <v>46087</v>
      </c>
      <c r="C6838" s="25">
        <v>1409</v>
      </c>
      <c r="D6838" s="13" t="s">
        <v>1786</v>
      </c>
      <c r="E6838" s="111"/>
      <c r="F6838" s="113" t="s">
        <v>19589</v>
      </c>
      <c r="G6838" s="114"/>
      <c r="H6838" s="115"/>
      <c r="I6838" s="24" t="s">
        <v>19681</v>
      </c>
      <c r="J6838" s="116">
        <v>4.5</v>
      </c>
      <c r="K6838" s="118">
        <v>1373000</v>
      </c>
      <c r="L6838" s="119"/>
      <c r="M6838" s="118">
        <f t="shared" ref="M6838" si="9597">K6838*0.1</f>
        <v>137300</v>
      </c>
      <c r="N6838" s="119"/>
      <c r="O6838" s="118">
        <v>10800</v>
      </c>
      <c r="P6838" s="119"/>
      <c r="Q6838" s="118">
        <v>7530</v>
      </c>
      <c r="R6838" s="119"/>
      <c r="S6838" s="118">
        <v>15400</v>
      </c>
      <c r="T6838" s="119"/>
      <c r="U6838" s="118">
        <f t="shared" ref="U6838" si="9598">SUM(K6838:T6839)</f>
        <v>1544030</v>
      </c>
      <c r="V6838" s="122"/>
      <c r="W6838" s="124"/>
      <c r="X6838" s="126" t="s">
        <v>19988</v>
      </c>
      <c r="Y6838" s="127"/>
      <c r="Z6838" s="127"/>
      <c r="AA6838" s="127"/>
      <c r="AB6838" s="128"/>
      <c r="AC6838" s="15" t="s">
        <v>20</v>
      </c>
      <c r="AD6838" s="129" t="s">
        <v>19665</v>
      </c>
      <c r="AE6838" s="130"/>
      <c r="AF6838" s="130"/>
      <c r="AG6838" s="130"/>
      <c r="AH6838" s="130"/>
      <c r="AI6838" s="131"/>
      <c r="AJ6838" s="132"/>
      <c r="AK6838" s="127"/>
      <c r="AL6838" s="128"/>
      <c r="AM6838" s="21"/>
      <c r="AN6838" s="133">
        <v>46092</v>
      </c>
      <c r="AO6838" s="134"/>
      <c r="AP6838" s="135">
        <v>1008</v>
      </c>
      <c r="AQ6838" s="136"/>
      <c r="AR6838" s="118">
        <v>1405000</v>
      </c>
      <c r="AS6838" s="119"/>
      <c r="AT6838" s="118">
        <f t="shared" ref="AT6838" si="9599">AR6838*0.1</f>
        <v>140500</v>
      </c>
      <c r="AU6838" s="119"/>
      <c r="AV6838" s="118">
        <v>7530</v>
      </c>
      <c r="AW6838" s="119"/>
      <c r="AX6838" s="118">
        <f t="shared" ref="AX6838" si="9600">SUM(AR6838:AW6838)</f>
        <v>1553030</v>
      </c>
      <c r="AY6838" s="119"/>
      <c r="AZ6838" s="137">
        <v>46098</v>
      </c>
    </row>
    <row r="6839" spans="1:52" ht="17.100000000000001" customHeight="1" thickBot="1">
      <c r="A6839" s="110"/>
      <c r="B6839" s="27" t="s">
        <v>2641</v>
      </c>
      <c r="C6839" s="27">
        <v>7137</v>
      </c>
      <c r="D6839" s="14" t="s">
        <v>2282</v>
      </c>
      <c r="E6839" s="112"/>
      <c r="F6839" s="139" t="s">
        <v>19590</v>
      </c>
      <c r="G6839" s="140"/>
      <c r="H6839" s="141"/>
      <c r="I6839" s="26">
        <v>35611</v>
      </c>
      <c r="J6839" s="117"/>
      <c r="K6839" s="120"/>
      <c r="L6839" s="121"/>
      <c r="M6839" s="120"/>
      <c r="N6839" s="121"/>
      <c r="O6839" s="120"/>
      <c r="P6839" s="121"/>
      <c r="Q6839" s="120"/>
      <c r="R6839" s="121"/>
      <c r="S6839" s="120"/>
      <c r="T6839" s="121"/>
      <c r="U6839" s="120"/>
      <c r="V6839" s="123"/>
      <c r="W6839" s="125"/>
      <c r="X6839" s="142" t="s">
        <v>6882</v>
      </c>
      <c r="Y6839" s="143"/>
      <c r="Z6839" s="143"/>
      <c r="AA6839" s="143"/>
      <c r="AB6839" s="144"/>
      <c r="AC6839" s="16" t="s">
        <v>21</v>
      </c>
      <c r="AD6839" s="17" t="s">
        <v>3386</v>
      </c>
      <c r="AE6839" s="145" t="s">
        <v>5525</v>
      </c>
      <c r="AF6839" s="146"/>
      <c r="AG6839" s="146"/>
      <c r="AH6839" s="146"/>
      <c r="AI6839" s="147"/>
      <c r="AJ6839" s="148"/>
      <c r="AK6839" s="143"/>
      <c r="AL6839" s="144"/>
      <c r="AM6839" s="22"/>
      <c r="AN6839" s="149" t="s">
        <v>19938</v>
      </c>
      <c r="AO6839" s="144"/>
      <c r="AP6839" s="148">
        <v>5079</v>
      </c>
      <c r="AQ6839" s="144"/>
      <c r="AR6839" s="120"/>
      <c r="AS6839" s="121"/>
      <c r="AT6839" s="120"/>
      <c r="AU6839" s="121"/>
      <c r="AV6839" s="120"/>
      <c r="AW6839" s="121"/>
      <c r="AX6839" s="120"/>
      <c r="AY6839" s="121"/>
      <c r="AZ6839" s="138"/>
    </row>
    <row r="6840" spans="1:52" ht="17.100000000000001" customHeight="1" thickTop="1">
      <c r="A6840" s="109" t="s">
        <v>19554</v>
      </c>
      <c r="B6840" s="28">
        <v>46087</v>
      </c>
      <c r="C6840" s="25">
        <v>1409</v>
      </c>
      <c r="D6840" s="13" t="s">
        <v>3324</v>
      </c>
      <c r="E6840" s="111"/>
      <c r="F6840" s="113" t="s">
        <v>19591</v>
      </c>
      <c r="G6840" s="114"/>
      <c r="H6840" s="115"/>
      <c r="I6840" s="24" t="s">
        <v>19682</v>
      </c>
      <c r="J6840" s="116">
        <v>4</v>
      </c>
      <c r="K6840" s="118">
        <v>1003000</v>
      </c>
      <c r="L6840" s="119"/>
      <c r="M6840" s="118">
        <f t="shared" ref="M6840" si="9601">K6840*0.1</f>
        <v>100300</v>
      </c>
      <c r="N6840" s="119"/>
      <c r="O6840" s="118">
        <v>10800</v>
      </c>
      <c r="P6840" s="119"/>
      <c r="Q6840" s="118">
        <v>8310</v>
      </c>
      <c r="R6840" s="119"/>
      <c r="S6840" s="118">
        <v>15400</v>
      </c>
      <c r="T6840" s="119"/>
      <c r="U6840" s="118">
        <f t="shared" ref="U6840" si="9602">SUM(K6840:T6841)</f>
        <v>1137810</v>
      </c>
      <c r="V6840" s="122"/>
      <c r="W6840" s="124"/>
      <c r="X6840" s="126" t="s">
        <v>20010</v>
      </c>
      <c r="Y6840" s="127"/>
      <c r="Z6840" s="127"/>
      <c r="AA6840" s="127"/>
      <c r="AB6840" s="128"/>
      <c r="AC6840" s="15" t="s">
        <v>20</v>
      </c>
      <c r="AD6840" s="129" t="s">
        <v>18373</v>
      </c>
      <c r="AE6840" s="130"/>
      <c r="AF6840" s="130"/>
      <c r="AG6840" s="130"/>
      <c r="AH6840" s="130"/>
      <c r="AI6840" s="131"/>
      <c r="AJ6840" s="132"/>
      <c r="AK6840" s="127"/>
      <c r="AL6840" s="128"/>
      <c r="AM6840" s="21" t="s">
        <v>20551</v>
      </c>
      <c r="AN6840" s="133">
        <v>46099</v>
      </c>
      <c r="AO6840" s="134"/>
      <c r="AP6840" s="135">
        <v>1009</v>
      </c>
      <c r="AQ6840" s="136"/>
      <c r="AR6840" s="118">
        <v>1035000</v>
      </c>
      <c r="AS6840" s="119"/>
      <c r="AT6840" s="118">
        <f t="shared" ref="AT6840" si="9603">AR6840*0.1</f>
        <v>103500</v>
      </c>
      <c r="AU6840" s="119"/>
      <c r="AV6840" s="118">
        <v>8310</v>
      </c>
      <c r="AW6840" s="119"/>
      <c r="AX6840" s="118">
        <f t="shared" ref="AX6840" si="9604">SUM(AR6840:AW6840)</f>
        <v>1146810</v>
      </c>
      <c r="AY6840" s="119"/>
      <c r="AZ6840" s="137">
        <v>46105</v>
      </c>
    </row>
    <row r="6841" spans="1:52" ht="17.100000000000001" customHeight="1" thickBot="1">
      <c r="A6841" s="110"/>
      <c r="B6841" s="27" t="s">
        <v>2641</v>
      </c>
      <c r="C6841" s="27">
        <v>9001</v>
      </c>
      <c r="D6841" s="14" t="s">
        <v>1700</v>
      </c>
      <c r="E6841" s="112"/>
      <c r="F6841" s="139" t="s">
        <v>19592</v>
      </c>
      <c r="G6841" s="140"/>
      <c r="H6841" s="141"/>
      <c r="I6841" s="26">
        <v>2513</v>
      </c>
      <c r="J6841" s="117"/>
      <c r="K6841" s="120"/>
      <c r="L6841" s="121"/>
      <c r="M6841" s="120"/>
      <c r="N6841" s="121"/>
      <c r="O6841" s="120"/>
      <c r="P6841" s="121"/>
      <c r="Q6841" s="120"/>
      <c r="R6841" s="121"/>
      <c r="S6841" s="120"/>
      <c r="T6841" s="121"/>
      <c r="U6841" s="120"/>
      <c r="V6841" s="123"/>
      <c r="W6841" s="125"/>
      <c r="X6841" s="142" t="s">
        <v>20011</v>
      </c>
      <c r="Y6841" s="143"/>
      <c r="Z6841" s="143"/>
      <c r="AA6841" s="143"/>
      <c r="AB6841" s="144"/>
      <c r="AC6841" s="16" t="s">
        <v>21</v>
      </c>
      <c r="AD6841" s="17" t="s">
        <v>3386</v>
      </c>
      <c r="AE6841" s="145" t="s">
        <v>2269</v>
      </c>
      <c r="AF6841" s="146"/>
      <c r="AG6841" s="146"/>
      <c r="AH6841" s="146"/>
      <c r="AI6841" s="147"/>
      <c r="AJ6841" s="148"/>
      <c r="AK6841" s="143"/>
      <c r="AL6841" s="144"/>
      <c r="AM6841" s="22"/>
      <c r="AN6841" s="149" t="s">
        <v>2794</v>
      </c>
      <c r="AO6841" s="144"/>
      <c r="AP6841" s="148">
        <v>2045</v>
      </c>
      <c r="AQ6841" s="144"/>
      <c r="AR6841" s="120"/>
      <c r="AS6841" s="121"/>
      <c r="AT6841" s="120"/>
      <c r="AU6841" s="121"/>
      <c r="AV6841" s="120"/>
      <c r="AW6841" s="121"/>
      <c r="AX6841" s="120"/>
      <c r="AY6841" s="121"/>
      <c r="AZ6841" s="138"/>
    </row>
    <row r="6842" spans="1:52" ht="17.100000000000001" customHeight="1" thickTop="1">
      <c r="A6842" s="109" t="s">
        <v>19555</v>
      </c>
      <c r="B6842" s="28">
        <v>46087</v>
      </c>
      <c r="C6842" s="25">
        <v>1409</v>
      </c>
      <c r="D6842" s="13" t="s">
        <v>1888</v>
      </c>
      <c r="E6842" s="111"/>
      <c r="F6842" s="113" t="s">
        <v>19593</v>
      </c>
      <c r="G6842" s="114"/>
      <c r="H6842" s="115"/>
      <c r="I6842" s="24" t="s">
        <v>19992</v>
      </c>
      <c r="J6842" s="116">
        <v>4</v>
      </c>
      <c r="K6842" s="118">
        <v>835000</v>
      </c>
      <c r="L6842" s="119"/>
      <c r="M6842" s="118">
        <f t="shared" ref="M6842" si="9605">K6842*0.1</f>
        <v>83500</v>
      </c>
      <c r="N6842" s="119"/>
      <c r="O6842" s="118">
        <v>10800</v>
      </c>
      <c r="P6842" s="119"/>
      <c r="Q6842" s="118">
        <v>8790</v>
      </c>
      <c r="R6842" s="119"/>
      <c r="S6842" s="118">
        <v>15400</v>
      </c>
      <c r="T6842" s="119"/>
      <c r="U6842" s="118">
        <f t="shared" ref="U6842" si="9606">SUM(K6842:T6843)</f>
        <v>953490</v>
      </c>
      <c r="V6842" s="122"/>
      <c r="W6842" s="124"/>
      <c r="X6842" s="126" t="s">
        <v>19989</v>
      </c>
      <c r="Y6842" s="127"/>
      <c r="Z6842" s="127"/>
      <c r="AA6842" s="127"/>
      <c r="AB6842" s="128"/>
      <c r="AC6842" s="15" t="s">
        <v>20</v>
      </c>
      <c r="AD6842" s="129"/>
      <c r="AE6842" s="130"/>
      <c r="AF6842" s="130"/>
      <c r="AG6842" s="130"/>
      <c r="AH6842" s="130"/>
      <c r="AI6842" s="131"/>
      <c r="AJ6842" s="132"/>
      <c r="AK6842" s="127"/>
      <c r="AL6842" s="128"/>
      <c r="AM6842" s="21"/>
      <c r="AN6842" s="133">
        <v>46092</v>
      </c>
      <c r="AO6842" s="134"/>
      <c r="AP6842" s="135">
        <v>1008</v>
      </c>
      <c r="AQ6842" s="136"/>
      <c r="AR6842" s="118">
        <v>935000</v>
      </c>
      <c r="AS6842" s="119"/>
      <c r="AT6842" s="118">
        <f t="shared" ref="AT6842" si="9607">AR6842*0.1</f>
        <v>93500</v>
      </c>
      <c r="AU6842" s="119"/>
      <c r="AV6842" s="118">
        <v>8790</v>
      </c>
      <c r="AW6842" s="119"/>
      <c r="AX6842" s="118">
        <f t="shared" ref="AX6842" si="9608">SUM(AR6842:AW6842)</f>
        <v>1037290</v>
      </c>
      <c r="AY6842" s="119"/>
      <c r="AZ6842" s="137">
        <v>46098</v>
      </c>
    </row>
    <row r="6843" spans="1:52" ht="17.100000000000001" customHeight="1" thickBot="1">
      <c r="A6843" s="110"/>
      <c r="B6843" s="27" t="s">
        <v>2641</v>
      </c>
      <c r="C6843" s="27">
        <v>9010</v>
      </c>
      <c r="D6843" s="14" t="s">
        <v>19683</v>
      </c>
      <c r="E6843" s="112"/>
      <c r="F6843" s="139" t="s">
        <v>19594</v>
      </c>
      <c r="G6843" s="140"/>
      <c r="H6843" s="141"/>
      <c r="I6843" s="26">
        <v>56111</v>
      </c>
      <c r="J6843" s="117"/>
      <c r="K6843" s="120"/>
      <c r="L6843" s="121"/>
      <c r="M6843" s="120"/>
      <c r="N6843" s="121"/>
      <c r="O6843" s="120"/>
      <c r="P6843" s="121"/>
      <c r="Q6843" s="120"/>
      <c r="R6843" s="121"/>
      <c r="S6843" s="120"/>
      <c r="T6843" s="121"/>
      <c r="U6843" s="120"/>
      <c r="V6843" s="123"/>
      <c r="W6843" s="125"/>
      <c r="X6843" s="142" t="s">
        <v>1997</v>
      </c>
      <c r="Y6843" s="143"/>
      <c r="Z6843" s="143"/>
      <c r="AA6843" s="143"/>
      <c r="AB6843" s="144"/>
      <c r="AC6843" s="16" t="s">
        <v>21</v>
      </c>
      <c r="AD6843" s="17" t="s">
        <v>3386</v>
      </c>
      <c r="AE6843" s="145" t="s">
        <v>19990</v>
      </c>
      <c r="AF6843" s="146"/>
      <c r="AG6843" s="146"/>
      <c r="AH6843" s="146"/>
      <c r="AI6843" s="147"/>
      <c r="AJ6843" s="148"/>
      <c r="AK6843" s="143"/>
      <c r="AL6843" s="144"/>
      <c r="AM6843" s="22"/>
      <c r="AN6843" s="149" t="s">
        <v>19938</v>
      </c>
      <c r="AO6843" s="144"/>
      <c r="AP6843" s="148">
        <v>5098</v>
      </c>
      <c r="AQ6843" s="144"/>
      <c r="AR6843" s="120"/>
      <c r="AS6843" s="121"/>
      <c r="AT6843" s="120"/>
      <c r="AU6843" s="121"/>
      <c r="AV6843" s="120"/>
      <c r="AW6843" s="121"/>
      <c r="AX6843" s="120"/>
      <c r="AY6843" s="121"/>
      <c r="AZ6843" s="138"/>
    </row>
    <row r="6844" spans="1:52" ht="17.100000000000001" customHeight="1" thickTop="1">
      <c r="A6844" s="109" t="s">
        <v>19556</v>
      </c>
      <c r="B6844" s="28">
        <v>46087</v>
      </c>
      <c r="C6844" s="25">
        <v>1409</v>
      </c>
      <c r="D6844" s="13" t="s">
        <v>5627</v>
      </c>
      <c r="E6844" s="111"/>
      <c r="F6844" s="113" t="s">
        <v>19595</v>
      </c>
      <c r="G6844" s="114"/>
      <c r="H6844" s="115"/>
      <c r="I6844" s="24"/>
      <c r="J6844" s="116">
        <v>4</v>
      </c>
      <c r="K6844" s="118">
        <v>346000</v>
      </c>
      <c r="L6844" s="119"/>
      <c r="M6844" s="118">
        <f t="shared" ref="M6844" si="9609">K6844*0.1</f>
        <v>34600</v>
      </c>
      <c r="N6844" s="119"/>
      <c r="O6844" s="118">
        <v>0</v>
      </c>
      <c r="P6844" s="119"/>
      <c r="Q6844" s="118">
        <v>5190</v>
      </c>
      <c r="R6844" s="119"/>
      <c r="S6844" s="118">
        <v>15400</v>
      </c>
      <c r="T6844" s="119"/>
      <c r="U6844" s="118">
        <f t="shared" ref="U6844" si="9610">SUM(K6844:T6845)</f>
        <v>401190</v>
      </c>
      <c r="V6844" s="122"/>
      <c r="W6844" s="124"/>
      <c r="X6844" s="126" t="s">
        <v>20012</v>
      </c>
      <c r="Y6844" s="127"/>
      <c r="Z6844" s="127"/>
      <c r="AA6844" s="127"/>
      <c r="AB6844" s="128"/>
      <c r="AC6844" s="15" t="s">
        <v>20</v>
      </c>
      <c r="AD6844" s="129"/>
      <c r="AE6844" s="130"/>
      <c r="AF6844" s="130"/>
      <c r="AG6844" s="130"/>
      <c r="AH6844" s="130"/>
      <c r="AI6844" s="131"/>
      <c r="AJ6844" s="132"/>
      <c r="AK6844" s="127"/>
      <c r="AL6844" s="128"/>
      <c r="AM6844" s="21"/>
      <c r="AN6844" s="133">
        <v>46116</v>
      </c>
      <c r="AO6844" s="134"/>
      <c r="AP6844" s="135">
        <v>1295</v>
      </c>
      <c r="AQ6844" s="136"/>
      <c r="AR6844" s="118">
        <v>410000</v>
      </c>
      <c r="AS6844" s="119"/>
      <c r="AT6844" s="118">
        <f t="shared" ref="AT6844" si="9611">AR6844*0.1</f>
        <v>41000</v>
      </c>
      <c r="AU6844" s="119"/>
      <c r="AV6844" s="118">
        <v>5190</v>
      </c>
      <c r="AW6844" s="119"/>
      <c r="AX6844" s="118">
        <f t="shared" ref="AX6844" si="9612">SUM(AR6844:AW6844)</f>
        <v>456190</v>
      </c>
      <c r="AY6844" s="119"/>
      <c r="AZ6844" s="137">
        <v>46126</v>
      </c>
    </row>
    <row r="6845" spans="1:52" ht="17.100000000000001" customHeight="1" thickBot="1">
      <c r="A6845" s="110"/>
      <c r="B6845" s="27" t="s">
        <v>2641</v>
      </c>
      <c r="C6845" s="27">
        <v>9016</v>
      </c>
      <c r="D6845" s="14" t="s">
        <v>1720</v>
      </c>
      <c r="E6845" s="112"/>
      <c r="F6845" s="139" t="s">
        <v>19596</v>
      </c>
      <c r="G6845" s="140"/>
      <c r="H6845" s="141"/>
      <c r="I6845" s="26">
        <v>18952</v>
      </c>
      <c r="J6845" s="117"/>
      <c r="K6845" s="120"/>
      <c r="L6845" s="121"/>
      <c r="M6845" s="120"/>
      <c r="N6845" s="121"/>
      <c r="O6845" s="120"/>
      <c r="P6845" s="121"/>
      <c r="Q6845" s="120"/>
      <c r="R6845" s="121"/>
      <c r="S6845" s="120"/>
      <c r="T6845" s="121"/>
      <c r="U6845" s="120"/>
      <c r="V6845" s="123"/>
      <c r="W6845" s="125"/>
      <c r="X6845" s="142" t="s">
        <v>1997</v>
      </c>
      <c r="Y6845" s="143"/>
      <c r="Z6845" s="143"/>
      <c r="AA6845" s="143"/>
      <c r="AB6845" s="144"/>
      <c r="AC6845" s="16" t="s">
        <v>21</v>
      </c>
      <c r="AD6845" s="17" t="s">
        <v>3386</v>
      </c>
      <c r="AE6845" s="145"/>
      <c r="AF6845" s="146"/>
      <c r="AG6845" s="146"/>
      <c r="AH6845" s="146"/>
      <c r="AI6845" s="147"/>
      <c r="AJ6845" s="148"/>
      <c r="AK6845" s="143"/>
      <c r="AL6845" s="144"/>
      <c r="AM6845" s="22"/>
      <c r="AN6845" s="149" t="s">
        <v>6748</v>
      </c>
      <c r="AO6845" s="144"/>
      <c r="AP6845" s="148">
        <v>60172</v>
      </c>
      <c r="AQ6845" s="144"/>
      <c r="AR6845" s="120"/>
      <c r="AS6845" s="121"/>
      <c r="AT6845" s="120"/>
      <c r="AU6845" s="121"/>
      <c r="AV6845" s="120"/>
      <c r="AW6845" s="121"/>
      <c r="AX6845" s="120"/>
      <c r="AY6845" s="121"/>
      <c r="AZ6845" s="138"/>
    </row>
    <row r="6846" spans="1:52" ht="17.100000000000001" customHeight="1" thickTop="1">
      <c r="A6846" s="109" t="s">
        <v>19557</v>
      </c>
      <c r="B6846" s="28">
        <v>46087</v>
      </c>
      <c r="C6846" s="25">
        <v>1409</v>
      </c>
      <c r="D6846" s="13" t="s">
        <v>4478</v>
      </c>
      <c r="E6846" s="111"/>
      <c r="F6846" s="113" t="s">
        <v>19597</v>
      </c>
      <c r="G6846" s="114"/>
      <c r="H6846" s="115"/>
      <c r="I6846" s="24"/>
      <c r="J6846" s="150" t="s">
        <v>1715</v>
      </c>
      <c r="K6846" s="118">
        <v>1180000</v>
      </c>
      <c r="L6846" s="119"/>
      <c r="M6846" s="118">
        <f t="shared" ref="M6846" si="9613">K6846*0.1</f>
        <v>118000</v>
      </c>
      <c r="N6846" s="119"/>
      <c r="O6846" s="118">
        <v>0</v>
      </c>
      <c r="P6846" s="119"/>
      <c r="Q6846" s="118">
        <v>13020</v>
      </c>
      <c r="R6846" s="119"/>
      <c r="S6846" s="118">
        <v>15400</v>
      </c>
      <c r="T6846" s="119"/>
      <c r="U6846" s="118">
        <f t="shared" ref="U6846" si="9614">SUM(K6846:T6847)</f>
        <v>1326420</v>
      </c>
      <c r="V6846" s="122"/>
      <c r="W6846" s="124"/>
      <c r="X6846" s="126" t="s">
        <v>20013</v>
      </c>
      <c r="Y6846" s="127"/>
      <c r="Z6846" s="127"/>
      <c r="AA6846" s="127"/>
      <c r="AB6846" s="128"/>
      <c r="AC6846" s="15" t="s">
        <v>20</v>
      </c>
      <c r="AD6846" s="129"/>
      <c r="AE6846" s="130"/>
      <c r="AF6846" s="130"/>
      <c r="AG6846" s="130"/>
      <c r="AH6846" s="130"/>
      <c r="AI6846" s="131"/>
      <c r="AJ6846" s="132"/>
      <c r="AK6846" s="127"/>
      <c r="AL6846" s="128"/>
      <c r="AM6846" s="21"/>
      <c r="AN6846" s="133">
        <v>46095</v>
      </c>
      <c r="AO6846" s="134"/>
      <c r="AP6846" s="135">
        <v>1292</v>
      </c>
      <c r="AQ6846" s="136"/>
      <c r="AR6846" s="118">
        <v>1250000</v>
      </c>
      <c r="AS6846" s="119"/>
      <c r="AT6846" s="118">
        <f t="shared" ref="AT6846" si="9615">AR6846*0.1</f>
        <v>125000</v>
      </c>
      <c r="AU6846" s="119"/>
      <c r="AV6846" s="118">
        <v>13020</v>
      </c>
      <c r="AW6846" s="119"/>
      <c r="AX6846" s="118">
        <f t="shared" ref="AX6846" si="9616">SUM(AR6846:AW6846)</f>
        <v>1388020</v>
      </c>
      <c r="AY6846" s="119"/>
      <c r="AZ6846" s="137">
        <v>46098</v>
      </c>
    </row>
    <row r="6847" spans="1:52" ht="17.100000000000001" customHeight="1" thickBot="1">
      <c r="A6847" s="110"/>
      <c r="B6847" s="27" t="s">
        <v>2641</v>
      </c>
      <c r="C6847" s="27">
        <v>9060</v>
      </c>
      <c r="D6847" s="14" t="s">
        <v>1720</v>
      </c>
      <c r="E6847" s="112"/>
      <c r="F6847" s="139" t="s">
        <v>19598</v>
      </c>
      <c r="G6847" s="140"/>
      <c r="H6847" s="141"/>
      <c r="I6847" s="26">
        <v>150216</v>
      </c>
      <c r="J6847" s="117"/>
      <c r="K6847" s="120"/>
      <c r="L6847" s="121"/>
      <c r="M6847" s="120"/>
      <c r="N6847" s="121"/>
      <c r="O6847" s="120"/>
      <c r="P6847" s="121"/>
      <c r="Q6847" s="120"/>
      <c r="R6847" s="121"/>
      <c r="S6847" s="120"/>
      <c r="T6847" s="121"/>
      <c r="U6847" s="120"/>
      <c r="V6847" s="123"/>
      <c r="W6847" s="125"/>
      <c r="X6847" s="142" t="s">
        <v>20014</v>
      </c>
      <c r="Y6847" s="143"/>
      <c r="Z6847" s="143"/>
      <c r="AA6847" s="143"/>
      <c r="AB6847" s="144"/>
      <c r="AC6847" s="16" t="s">
        <v>21</v>
      </c>
      <c r="AD6847" s="17" t="s">
        <v>3386</v>
      </c>
      <c r="AE6847" s="145" t="s">
        <v>2269</v>
      </c>
      <c r="AF6847" s="146"/>
      <c r="AG6847" s="146"/>
      <c r="AH6847" s="146"/>
      <c r="AI6847" s="147"/>
      <c r="AJ6847" s="148"/>
      <c r="AK6847" s="143"/>
      <c r="AL6847" s="144"/>
      <c r="AM6847" s="22"/>
      <c r="AN6847" s="149" t="s">
        <v>2511</v>
      </c>
      <c r="AO6847" s="144"/>
      <c r="AP6847" s="148">
        <v>50031</v>
      </c>
      <c r="AQ6847" s="144"/>
      <c r="AR6847" s="120"/>
      <c r="AS6847" s="121"/>
      <c r="AT6847" s="120"/>
      <c r="AU6847" s="121"/>
      <c r="AV6847" s="120"/>
      <c r="AW6847" s="121"/>
      <c r="AX6847" s="120"/>
      <c r="AY6847" s="121"/>
      <c r="AZ6847" s="138"/>
    </row>
    <row r="6848" spans="1:52" ht="17.100000000000001" customHeight="1" thickTop="1">
      <c r="A6848" s="109" t="s">
        <v>19599</v>
      </c>
      <c r="B6848" s="28">
        <v>46087</v>
      </c>
      <c r="C6848" s="25">
        <v>281</v>
      </c>
      <c r="D6848" s="13" t="s">
        <v>1998</v>
      </c>
      <c r="E6848" s="111"/>
      <c r="F6848" s="113" t="s">
        <v>19684</v>
      </c>
      <c r="G6848" s="114"/>
      <c r="H6848" s="115"/>
      <c r="I6848" s="24" t="s">
        <v>6716</v>
      </c>
      <c r="J6848" s="116">
        <v>4.5</v>
      </c>
      <c r="K6848" s="118">
        <v>1076000</v>
      </c>
      <c r="L6848" s="119"/>
      <c r="M6848" s="118">
        <f t="shared" ref="M6848" si="9617">K6848*0.1</f>
        <v>107600</v>
      </c>
      <c r="N6848" s="119"/>
      <c r="O6848" s="118">
        <v>0</v>
      </c>
      <c r="P6848" s="119"/>
      <c r="Q6848" s="118">
        <v>8200</v>
      </c>
      <c r="R6848" s="119"/>
      <c r="S6848" s="118">
        <v>22000</v>
      </c>
      <c r="T6848" s="119"/>
      <c r="U6848" s="118">
        <f t="shared" ref="U6848" si="9618">SUM(K6848:T6849)</f>
        <v>1213800</v>
      </c>
      <c r="V6848" s="122"/>
      <c r="W6848" s="124"/>
      <c r="X6848" s="126" t="s">
        <v>19685</v>
      </c>
      <c r="Y6848" s="127"/>
      <c r="Z6848" s="127"/>
      <c r="AA6848" s="127"/>
      <c r="AB6848" s="128"/>
      <c r="AC6848" s="15" t="s">
        <v>20</v>
      </c>
      <c r="AD6848" s="129"/>
      <c r="AE6848" s="130"/>
      <c r="AF6848" s="130"/>
      <c r="AG6848" s="130"/>
      <c r="AH6848" s="130"/>
      <c r="AI6848" s="131"/>
      <c r="AJ6848" s="132"/>
      <c r="AK6848" s="127"/>
      <c r="AL6848" s="128"/>
      <c r="AM6848" s="21"/>
      <c r="AN6848" s="133">
        <v>46091</v>
      </c>
      <c r="AO6848" s="134"/>
      <c r="AP6848" s="135">
        <v>1932</v>
      </c>
      <c r="AQ6848" s="136"/>
      <c r="AR6848" s="118">
        <v>1233000</v>
      </c>
      <c r="AS6848" s="119"/>
      <c r="AT6848" s="118">
        <f t="shared" ref="AT6848" si="9619">AR6848*0.1</f>
        <v>123300</v>
      </c>
      <c r="AU6848" s="119"/>
      <c r="AV6848" s="118">
        <v>8200</v>
      </c>
      <c r="AW6848" s="119"/>
      <c r="AX6848" s="118">
        <f t="shared" ref="AX6848" si="9620">SUM(AR6848:AW6848)</f>
        <v>1364500</v>
      </c>
      <c r="AY6848" s="119"/>
      <c r="AZ6848" s="137"/>
    </row>
    <row r="6849" spans="1:52" ht="17.100000000000001" customHeight="1" thickBot="1">
      <c r="A6849" s="110"/>
      <c r="B6849" s="27" t="s">
        <v>15877</v>
      </c>
      <c r="C6849" s="27">
        <v>60</v>
      </c>
      <c r="D6849" s="14" t="s">
        <v>275</v>
      </c>
      <c r="E6849" s="112"/>
      <c r="F6849" s="139" t="s">
        <v>19611</v>
      </c>
      <c r="G6849" s="140"/>
      <c r="H6849" s="141"/>
      <c r="I6849" s="26">
        <v>9390</v>
      </c>
      <c r="J6849" s="117"/>
      <c r="K6849" s="120"/>
      <c r="L6849" s="121"/>
      <c r="M6849" s="120"/>
      <c r="N6849" s="121"/>
      <c r="O6849" s="120"/>
      <c r="P6849" s="121"/>
      <c r="Q6849" s="120"/>
      <c r="R6849" s="121"/>
      <c r="S6849" s="120"/>
      <c r="T6849" s="121"/>
      <c r="U6849" s="120"/>
      <c r="V6849" s="123"/>
      <c r="W6849" s="125"/>
      <c r="X6849" s="142" t="s">
        <v>19985</v>
      </c>
      <c r="Y6849" s="143"/>
      <c r="Z6849" s="143"/>
      <c r="AA6849" s="143"/>
      <c r="AB6849" s="144"/>
      <c r="AC6849" s="16" t="s">
        <v>21</v>
      </c>
      <c r="AD6849" s="17" t="s">
        <v>3386</v>
      </c>
      <c r="AE6849" s="145" t="s">
        <v>1670</v>
      </c>
      <c r="AF6849" s="146"/>
      <c r="AG6849" s="146"/>
      <c r="AH6849" s="146"/>
      <c r="AI6849" s="147"/>
      <c r="AJ6849" s="148"/>
      <c r="AK6849" s="143"/>
      <c r="AL6849" s="144"/>
      <c r="AM6849" s="22"/>
      <c r="AN6849" s="149" t="s">
        <v>2131</v>
      </c>
      <c r="AO6849" s="144"/>
      <c r="AP6849" s="148">
        <v>3669</v>
      </c>
      <c r="AQ6849" s="144"/>
      <c r="AR6849" s="120"/>
      <c r="AS6849" s="121"/>
      <c r="AT6849" s="120"/>
      <c r="AU6849" s="121"/>
      <c r="AV6849" s="120"/>
      <c r="AW6849" s="121"/>
      <c r="AX6849" s="120"/>
      <c r="AY6849" s="121"/>
      <c r="AZ6849" s="138"/>
    </row>
    <row r="6850" spans="1:52" ht="17.100000000000001" customHeight="1" thickTop="1">
      <c r="A6850" s="109" t="s">
        <v>19600</v>
      </c>
      <c r="B6850" s="28">
        <v>46087</v>
      </c>
      <c r="C6850" s="25">
        <v>281</v>
      </c>
      <c r="D6850" s="13" t="s">
        <v>11273</v>
      </c>
      <c r="E6850" s="111"/>
      <c r="F6850" s="113" t="s">
        <v>15279</v>
      </c>
      <c r="G6850" s="114"/>
      <c r="H6850" s="115"/>
      <c r="I6850" s="24"/>
      <c r="J6850" s="116">
        <v>4</v>
      </c>
      <c r="K6850" s="118">
        <v>395000</v>
      </c>
      <c r="L6850" s="119"/>
      <c r="M6850" s="118">
        <f t="shared" ref="M6850" si="9621">K6850*0.1</f>
        <v>39500</v>
      </c>
      <c r="N6850" s="119"/>
      <c r="O6850" s="118">
        <v>0</v>
      </c>
      <c r="P6850" s="119"/>
      <c r="Q6850" s="118">
        <v>9170</v>
      </c>
      <c r="R6850" s="119"/>
      <c r="S6850" s="118">
        <v>22000</v>
      </c>
      <c r="T6850" s="119"/>
      <c r="U6850" s="118">
        <f t="shared" ref="U6850" si="9622">SUM(K6850:T6851)</f>
        <v>465670</v>
      </c>
      <c r="V6850" s="122"/>
      <c r="W6850" s="124"/>
      <c r="X6850" s="126" t="s">
        <v>20020</v>
      </c>
      <c r="Y6850" s="127"/>
      <c r="Z6850" s="127"/>
      <c r="AA6850" s="127"/>
      <c r="AB6850" s="128"/>
      <c r="AC6850" s="15" t="s">
        <v>20</v>
      </c>
      <c r="AD6850" s="129"/>
      <c r="AE6850" s="130"/>
      <c r="AF6850" s="130"/>
      <c r="AG6850" s="130"/>
      <c r="AH6850" s="130"/>
      <c r="AI6850" s="131"/>
      <c r="AJ6850" s="132"/>
      <c r="AK6850" s="127"/>
      <c r="AL6850" s="128"/>
      <c r="AM6850" s="21"/>
      <c r="AN6850" s="133">
        <v>46092</v>
      </c>
      <c r="AO6850" s="134"/>
      <c r="AP6850" s="135">
        <v>1008</v>
      </c>
      <c r="AQ6850" s="136"/>
      <c r="AR6850" s="118">
        <v>500000</v>
      </c>
      <c r="AS6850" s="119"/>
      <c r="AT6850" s="118">
        <f t="shared" ref="AT6850" si="9623">AR6850*0.1</f>
        <v>50000</v>
      </c>
      <c r="AU6850" s="119"/>
      <c r="AV6850" s="118">
        <v>9170</v>
      </c>
      <c r="AW6850" s="119"/>
      <c r="AX6850" s="118">
        <f t="shared" ref="AX6850" si="9624">SUM(AR6850:AW6850)</f>
        <v>559170</v>
      </c>
      <c r="AY6850" s="119"/>
      <c r="AZ6850" s="137">
        <v>46100</v>
      </c>
    </row>
    <row r="6851" spans="1:52" ht="17.100000000000001" customHeight="1" thickBot="1">
      <c r="A6851" s="110"/>
      <c r="B6851" s="27" t="s">
        <v>15877</v>
      </c>
      <c r="C6851" s="27">
        <v>101</v>
      </c>
      <c r="D6851" s="14" t="s">
        <v>904</v>
      </c>
      <c r="E6851" s="112"/>
      <c r="F6851" s="139" t="s">
        <v>19612</v>
      </c>
      <c r="G6851" s="140"/>
      <c r="H6851" s="141"/>
      <c r="I6851" s="26">
        <v>83305</v>
      </c>
      <c r="J6851" s="117"/>
      <c r="K6851" s="120"/>
      <c r="L6851" s="121"/>
      <c r="M6851" s="120"/>
      <c r="N6851" s="121"/>
      <c r="O6851" s="120"/>
      <c r="P6851" s="121"/>
      <c r="Q6851" s="120"/>
      <c r="R6851" s="121"/>
      <c r="S6851" s="120"/>
      <c r="T6851" s="121"/>
      <c r="U6851" s="120"/>
      <c r="V6851" s="123"/>
      <c r="W6851" s="125"/>
      <c r="X6851" s="142" t="s">
        <v>20021</v>
      </c>
      <c r="Y6851" s="143"/>
      <c r="Z6851" s="143"/>
      <c r="AA6851" s="143"/>
      <c r="AB6851" s="144"/>
      <c r="AC6851" s="16" t="s">
        <v>21</v>
      </c>
      <c r="AD6851" s="17" t="s">
        <v>3386</v>
      </c>
      <c r="AE6851" s="145" t="s">
        <v>14070</v>
      </c>
      <c r="AF6851" s="146"/>
      <c r="AG6851" s="146"/>
      <c r="AH6851" s="146"/>
      <c r="AI6851" s="147"/>
      <c r="AJ6851" s="148"/>
      <c r="AK6851" s="143"/>
      <c r="AL6851" s="144"/>
      <c r="AM6851" s="22"/>
      <c r="AN6851" s="149" t="s">
        <v>7285</v>
      </c>
      <c r="AO6851" s="144"/>
      <c r="AP6851" s="148">
        <v>5092</v>
      </c>
      <c r="AQ6851" s="144"/>
      <c r="AR6851" s="120"/>
      <c r="AS6851" s="121"/>
      <c r="AT6851" s="120"/>
      <c r="AU6851" s="121"/>
      <c r="AV6851" s="120"/>
      <c r="AW6851" s="121"/>
      <c r="AX6851" s="120"/>
      <c r="AY6851" s="121"/>
      <c r="AZ6851" s="138"/>
    </row>
    <row r="6852" spans="1:52" ht="17.100000000000001" customHeight="1" thickTop="1">
      <c r="A6852" s="109" t="s">
        <v>19601</v>
      </c>
      <c r="B6852" s="28">
        <v>46087</v>
      </c>
      <c r="C6852" s="25">
        <v>1196</v>
      </c>
      <c r="D6852" s="13" t="s">
        <v>2066</v>
      </c>
      <c r="E6852" s="111"/>
      <c r="F6852" s="113" t="s">
        <v>15962</v>
      </c>
      <c r="G6852" s="114"/>
      <c r="H6852" s="115"/>
      <c r="I6852" s="24" t="s">
        <v>5662</v>
      </c>
      <c r="J6852" s="116">
        <v>4.5</v>
      </c>
      <c r="K6852" s="118">
        <v>1250000</v>
      </c>
      <c r="L6852" s="119"/>
      <c r="M6852" s="118">
        <f t="shared" ref="M6852" si="9625">K6852*0.1</f>
        <v>125000</v>
      </c>
      <c r="N6852" s="119"/>
      <c r="O6852" s="118">
        <v>10800</v>
      </c>
      <c r="P6852" s="119"/>
      <c r="Q6852" s="118">
        <v>6850</v>
      </c>
      <c r="R6852" s="119"/>
      <c r="S6852" s="118">
        <v>23100</v>
      </c>
      <c r="T6852" s="119"/>
      <c r="U6852" s="118">
        <f t="shared" ref="U6852" si="9626">SUM(K6852:T6853)</f>
        <v>1415750</v>
      </c>
      <c r="V6852" s="122"/>
      <c r="W6852" s="124"/>
      <c r="X6852" s="126" t="s">
        <v>19686</v>
      </c>
      <c r="Y6852" s="127"/>
      <c r="Z6852" s="127"/>
      <c r="AA6852" s="127"/>
      <c r="AB6852" s="128"/>
      <c r="AC6852" s="15" t="s">
        <v>20</v>
      </c>
      <c r="AD6852" s="129" t="s">
        <v>19687</v>
      </c>
      <c r="AE6852" s="130"/>
      <c r="AF6852" s="130"/>
      <c r="AG6852" s="130"/>
      <c r="AH6852" s="130"/>
      <c r="AI6852" s="131"/>
      <c r="AJ6852" s="132"/>
      <c r="AK6852" s="127"/>
      <c r="AL6852" s="128"/>
      <c r="AM6852" s="21"/>
      <c r="AN6852" s="133">
        <v>46113</v>
      </c>
      <c r="AO6852" s="134"/>
      <c r="AP6852" s="135">
        <v>1011</v>
      </c>
      <c r="AQ6852" s="136"/>
      <c r="AR6852" s="118">
        <v>1360000</v>
      </c>
      <c r="AS6852" s="119"/>
      <c r="AT6852" s="118">
        <f t="shared" ref="AT6852" si="9627">AR6852*0.1</f>
        <v>136000</v>
      </c>
      <c r="AU6852" s="119"/>
      <c r="AV6852" s="118">
        <v>6850</v>
      </c>
      <c r="AW6852" s="119"/>
      <c r="AX6852" s="118">
        <f t="shared" ref="AX6852" si="9628">SUM(AR6852:AW6852)</f>
        <v>1502850</v>
      </c>
      <c r="AY6852" s="119"/>
      <c r="AZ6852" s="137">
        <v>46118</v>
      </c>
    </row>
    <row r="6853" spans="1:52" ht="17.100000000000001" customHeight="1" thickBot="1">
      <c r="A6853" s="110"/>
      <c r="B6853" s="27" t="s">
        <v>1828</v>
      </c>
      <c r="C6853" s="27">
        <v>7258</v>
      </c>
      <c r="D6853" s="14" t="s">
        <v>2601</v>
      </c>
      <c r="E6853" s="112"/>
      <c r="F6853" s="139" t="s">
        <v>19613</v>
      </c>
      <c r="G6853" s="140"/>
      <c r="H6853" s="141"/>
      <c r="I6853" s="26">
        <v>50873</v>
      </c>
      <c r="J6853" s="117"/>
      <c r="K6853" s="120"/>
      <c r="L6853" s="121"/>
      <c r="M6853" s="120"/>
      <c r="N6853" s="121"/>
      <c r="O6853" s="120"/>
      <c r="P6853" s="121"/>
      <c r="Q6853" s="120"/>
      <c r="R6853" s="121"/>
      <c r="S6853" s="120"/>
      <c r="T6853" s="121"/>
      <c r="U6853" s="120"/>
      <c r="V6853" s="123"/>
      <c r="W6853" s="125"/>
      <c r="X6853" s="142" t="s">
        <v>3602</v>
      </c>
      <c r="Y6853" s="143"/>
      <c r="Z6853" s="143"/>
      <c r="AA6853" s="143"/>
      <c r="AB6853" s="144"/>
      <c r="AC6853" s="16" t="s">
        <v>21</v>
      </c>
      <c r="AD6853" s="17" t="s">
        <v>20053</v>
      </c>
      <c r="AE6853" s="145" t="s">
        <v>1945</v>
      </c>
      <c r="AF6853" s="146"/>
      <c r="AG6853" s="146"/>
      <c r="AH6853" s="146"/>
      <c r="AI6853" s="147"/>
      <c r="AJ6853" s="148"/>
      <c r="AK6853" s="143"/>
      <c r="AL6853" s="144"/>
      <c r="AM6853" s="22"/>
      <c r="AN6853" s="149" t="s">
        <v>2794</v>
      </c>
      <c r="AO6853" s="144"/>
      <c r="AP6853" s="148">
        <v>2019</v>
      </c>
      <c r="AQ6853" s="144"/>
      <c r="AR6853" s="120"/>
      <c r="AS6853" s="121"/>
      <c r="AT6853" s="120"/>
      <c r="AU6853" s="121"/>
      <c r="AV6853" s="120"/>
      <c r="AW6853" s="121"/>
      <c r="AX6853" s="120"/>
      <c r="AY6853" s="121"/>
      <c r="AZ6853" s="138"/>
    </row>
    <row r="6854" spans="1:52" ht="17.100000000000001" customHeight="1" thickTop="1">
      <c r="A6854" s="109" t="s">
        <v>19602</v>
      </c>
      <c r="B6854" s="28">
        <v>46087</v>
      </c>
      <c r="C6854" s="25">
        <v>1196</v>
      </c>
      <c r="D6854" s="13" t="s">
        <v>1606</v>
      </c>
      <c r="E6854" s="111"/>
      <c r="F6854" s="113" t="s">
        <v>15886</v>
      </c>
      <c r="G6854" s="114"/>
      <c r="H6854" s="115"/>
      <c r="I6854" s="24" t="s">
        <v>19689</v>
      </c>
      <c r="J6854" s="116">
        <v>4</v>
      </c>
      <c r="K6854" s="118">
        <v>700000</v>
      </c>
      <c r="L6854" s="119"/>
      <c r="M6854" s="118">
        <f t="shared" ref="M6854" si="9629">K6854*0.1</f>
        <v>70000</v>
      </c>
      <c r="N6854" s="119"/>
      <c r="O6854" s="118">
        <v>39500</v>
      </c>
      <c r="P6854" s="119"/>
      <c r="Q6854" s="118">
        <v>19440</v>
      </c>
      <c r="R6854" s="119"/>
      <c r="S6854" s="118">
        <v>16500</v>
      </c>
      <c r="T6854" s="119"/>
      <c r="U6854" s="118">
        <f t="shared" ref="U6854" si="9630">SUM(K6854:T6855)</f>
        <v>845440</v>
      </c>
      <c r="V6854" s="122"/>
      <c r="W6854" s="124"/>
      <c r="X6854" s="126" t="s">
        <v>19690</v>
      </c>
      <c r="Y6854" s="127"/>
      <c r="Z6854" s="127"/>
      <c r="AA6854" s="127"/>
      <c r="AB6854" s="128"/>
      <c r="AC6854" s="15" t="s">
        <v>20</v>
      </c>
      <c r="AD6854" s="129" t="s">
        <v>3828</v>
      </c>
      <c r="AE6854" s="130"/>
      <c r="AF6854" s="130"/>
      <c r="AG6854" s="130"/>
      <c r="AH6854" s="130"/>
      <c r="AI6854" s="131"/>
      <c r="AJ6854" s="132"/>
      <c r="AK6854" s="127"/>
      <c r="AL6854" s="128"/>
      <c r="AM6854" s="21"/>
      <c r="AN6854" s="133">
        <v>46093</v>
      </c>
      <c r="AO6854" s="134"/>
      <c r="AP6854" s="135">
        <v>1322</v>
      </c>
      <c r="AQ6854" s="136"/>
      <c r="AR6854" s="118">
        <v>900000</v>
      </c>
      <c r="AS6854" s="119"/>
      <c r="AT6854" s="118">
        <f t="shared" ref="AT6854" si="9631">AR6854*0.1</f>
        <v>90000</v>
      </c>
      <c r="AU6854" s="119"/>
      <c r="AV6854" s="118">
        <v>19440</v>
      </c>
      <c r="AW6854" s="119"/>
      <c r="AX6854" s="118">
        <f t="shared" ref="AX6854" si="9632">SUM(AR6854:AW6854)</f>
        <v>1009440</v>
      </c>
      <c r="AY6854" s="119"/>
      <c r="AZ6854" s="137">
        <v>46094</v>
      </c>
    </row>
    <row r="6855" spans="1:52" ht="17.100000000000001" customHeight="1" thickBot="1">
      <c r="A6855" s="110"/>
      <c r="B6855" s="27" t="s">
        <v>1828</v>
      </c>
      <c r="C6855" s="27">
        <v>88129</v>
      </c>
      <c r="D6855" s="14" t="s">
        <v>1592</v>
      </c>
      <c r="E6855" s="112"/>
      <c r="F6855" s="139" t="s">
        <v>19688</v>
      </c>
      <c r="G6855" s="140"/>
      <c r="H6855" s="141"/>
      <c r="I6855" s="26">
        <v>68625</v>
      </c>
      <c r="J6855" s="117"/>
      <c r="K6855" s="120"/>
      <c r="L6855" s="121"/>
      <c r="M6855" s="120"/>
      <c r="N6855" s="121"/>
      <c r="O6855" s="120"/>
      <c r="P6855" s="121"/>
      <c r="Q6855" s="120"/>
      <c r="R6855" s="121"/>
      <c r="S6855" s="120"/>
      <c r="T6855" s="121"/>
      <c r="U6855" s="120"/>
      <c r="V6855" s="123"/>
      <c r="W6855" s="125"/>
      <c r="X6855" s="142" t="s">
        <v>19829</v>
      </c>
      <c r="Y6855" s="143"/>
      <c r="Z6855" s="143"/>
      <c r="AA6855" s="143"/>
      <c r="AB6855" s="144"/>
      <c r="AC6855" s="16" t="s">
        <v>21</v>
      </c>
      <c r="AD6855" s="17" t="s">
        <v>1631</v>
      </c>
      <c r="AE6855" s="145" t="s">
        <v>20063</v>
      </c>
      <c r="AF6855" s="146"/>
      <c r="AG6855" s="146"/>
      <c r="AH6855" s="146"/>
      <c r="AI6855" s="147"/>
      <c r="AJ6855" s="148"/>
      <c r="AK6855" s="143"/>
      <c r="AL6855" s="144"/>
      <c r="AM6855" s="22"/>
      <c r="AN6855" s="149" t="s">
        <v>1747</v>
      </c>
      <c r="AO6855" s="144"/>
      <c r="AP6855" s="148">
        <v>71</v>
      </c>
      <c r="AQ6855" s="144"/>
      <c r="AR6855" s="120"/>
      <c r="AS6855" s="121"/>
      <c r="AT6855" s="120"/>
      <c r="AU6855" s="121"/>
      <c r="AV6855" s="120"/>
      <c r="AW6855" s="121"/>
      <c r="AX6855" s="120"/>
      <c r="AY6855" s="121"/>
      <c r="AZ6855" s="138"/>
    </row>
    <row r="6856" spans="1:52" ht="17.100000000000001" customHeight="1" thickTop="1">
      <c r="A6856" s="109" t="s">
        <v>19603</v>
      </c>
      <c r="B6856" s="28">
        <v>46087</v>
      </c>
      <c r="C6856" s="25">
        <v>2125</v>
      </c>
      <c r="D6856" s="13" t="s">
        <v>2036</v>
      </c>
      <c r="E6856" s="111"/>
      <c r="F6856" s="113" t="s">
        <v>421</v>
      </c>
      <c r="G6856" s="114"/>
      <c r="H6856" s="115"/>
      <c r="I6856" s="24"/>
      <c r="J6856" s="116">
        <v>5</v>
      </c>
      <c r="K6856" s="118">
        <v>2444000</v>
      </c>
      <c r="L6856" s="119"/>
      <c r="M6856" s="118">
        <f t="shared" ref="M6856" si="9633">K6856*0.1</f>
        <v>244400</v>
      </c>
      <c r="N6856" s="119"/>
      <c r="O6856" s="118">
        <v>0</v>
      </c>
      <c r="P6856" s="119"/>
      <c r="Q6856" s="118">
        <v>16240</v>
      </c>
      <c r="R6856" s="119"/>
      <c r="S6856" s="118">
        <v>16500</v>
      </c>
      <c r="T6856" s="119"/>
      <c r="U6856" s="118">
        <f t="shared" ref="U6856" si="9634">SUM(K6856:T6857)</f>
        <v>2721140</v>
      </c>
      <c r="V6856" s="122"/>
      <c r="W6856" s="124"/>
      <c r="X6856" s="126" t="s">
        <v>19995</v>
      </c>
      <c r="Y6856" s="127"/>
      <c r="Z6856" s="127"/>
      <c r="AA6856" s="127"/>
      <c r="AB6856" s="128"/>
      <c r="AC6856" s="15" t="s">
        <v>20</v>
      </c>
      <c r="AD6856" s="129" t="s">
        <v>1670</v>
      </c>
      <c r="AE6856" s="130"/>
      <c r="AF6856" s="130"/>
      <c r="AG6856" s="130"/>
      <c r="AH6856" s="130"/>
      <c r="AI6856" s="131"/>
      <c r="AJ6856" s="132"/>
      <c r="AK6856" s="127"/>
      <c r="AL6856" s="128"/>
      <c r="AM6856" s="21"/>
      <c r="AN6856" s="133">
        <v>46093</v>
      </c>
      <c r="AO6856" s="134"/>
      <c r="AP6856" s="135">
        <v>1322</v>
      </c>
      <c r="AQ6856" s="136"/>
      <c r="AR6856" s="118">
        <v>2675000</v>
      </c>
      <c r="AS6856" s="119"/>
      <c r="AT6856" s="118">
        <f t="shared" ref="AT6856" si="9635">AR6856*0.1</f>
        <v>267500</v>
      </c>
      <c r="AU6856" s="119"/>
      <c r="AV6856" s="118">
        <v>16240</v>
      </c>
      <c r="AW6856" s="119"/>
      <c r="AX6856" s="118">
        <f t="shared" ref="AX6856" si="9636">SUM(AR6856:AW6856)</f>
        <v>2958740</v>
      </c>
      <c r="AY6856" s="119"/>
      <c r="AZ6856" s="137">
        <v>46094</v>
      </c>
    </row>
    <row r="6857" spans="1:52" ht="17.100000000000001" customHeight="1" thickBot="1">
      <c r="A6857" s="110"/>
      <c r="B6857" s="27" t="s">
        <v>1543</v>
      </c>
      <c r="C6857" s="27">
        <v>58187</v>
      </c>
      <c r="D6857" s="14" t="s">
        <v>1812</v>
      </c>
      <c r="E6857" s="112"/>
      <c r="F6857" s="139" t="s">
        <v>19691</v>
      </c>
      <c r="G6857" s="140"/>
      <c r="H6857" s="141"/>
      <c r="I6857" s="26">
        <v>27390</v>
      </c>
      <c r="J6857" s="117"/>
      <c r="K6857" s="120"/>
      <c r="L6857" s="121"/>
      <c r="M6857" s="120"/>
      <c r="N6857" s="121"/>
      <c r="O6857" s="120"/>
      <c r="P6857" s="121"/>
      <c r="Q6857" s="120"/>
      <c r="R6857" s="121"/>
      <c r="S6857" s="120"/>
      <c r="T6857" s="121"/>
      <c r="U6857" s="120"/>
      <c r="V6857" s="123"/>
      <c r="W6857" s="125"/>
      <c r="X6857" s="142" t="s">
        <v>4537</v>
      </c>
      <c r="Y6857" s="143"/>
      <c r="Z6857" s="143"/>
      <c r="AA6857" s="143"/>
      <c r="AB6857" s="144"/>
      <c r="AC6857" s="16" t="s">
        <v>21</v>
      </c>
      <c r="AD6857" s="17" t="s">
        <v>3386</v>
      </c>
      <c r="AE6857" s="145" t="s">
        <v>19996</v>
      </c>
      <c r="AF6857" s="146"/>
      <c r="AG6857" s="146"/>
      <c r="AH6857" s="146"/>
      <c r="AI6857" s="147"/>
      <c r="AJ6857" s="148"/>
      <c r="AK6857" s="143"/>
      <c r="AL6857" s="144"/>
      <c r="AM6857" s="22"/>
      <c r="AN6857" s="149" t="s">
        <v>1747</v>
      </c>
      <c r="AO6857" s="144"/>
      <c r="AP6857" s="148">
        <v>63</v>
      </c>
      <c r="AQ6857" s="144"/>
      <c r="AR6857" s="120"/>
      <c r="AS6857" s="121"/>
      <c r="AT6857" s="120"/>
      <c r="AU6857" s="121"/>
      <c r="AV6857" s="120"/>
      <c r="AW6857" s="121"/>
      <c r="AX6857" s="120"/>
      <c r="AY6857" s="121"/>
      <c r="AZ6857" s="138"/>
    </row>
    <row r="6858" spans="1:52" ht="17.100000000000001" customHeight="1" thickTop="1">
      <c r="A6858" s="109" t="s">
        <v>19604</v>
      </c>
      <c r="B6858" s="28">
        <v>46087</v>
      </c>
      <c r="C6858" s="25">
        <v>2125</v>
      </c>
      <c r="D6858" s="13" t="s">
        <v>2359</v>
      </c>
      <c r="E6858" s="111"/>
      <c r="F6858" s="113" t="s">
        <v>15578</v>
      </c>
      <c r="G6858" s="114"/>
      <c r="H6858" s="115"/>
      <c r="I6858" s="24"/>
      <c r="J6858" s="116">
        <v>4.5</v>
      </c>
      <c r="K6858" s="118">
        <v>2740000</v>
      </c>
      <c r="L6858" s="119"/>
      <c r="M6858" s="118">
        <f t="shared" ref="M6858" si="9637">K6858*0.1</f>
        <v>274000</v>
      </c>
      <c r="N6858" s="119"/>
      <c r="O6858" s="118">
        <v>0</v>
      </c>
      <c r="P6858" s="119"/>
      <c r="Q6858" s="118">
        <v>21570</v>
      </c>
      <c r="R6858" s="119"/>
      <c r="S6858" s="118">
        <v>16500</v>
      </c>
      <c r="T6858" s="119"/>
      <c r="U6858" s="118">
        <f t="shared" ref="U6858" si="9638">SUM(K6858:T6859)</f>
        <v>3052070</v>
      </c>
      <c r="V6858" s="122"/>
      <c r="W6858" s="124"/>
      <c r="X6858" s="126" t="s">
        <v>20060</v>
      </c>
      <c r="Y6858" s="127"/>
      <c r="Z6858" s="127"/>
      <c r="AA6858" s="127"/>
      <c r="AB6858" s="128"/>
      <c r="AC6858" s="15" t="s">
        <v>20</v>
      </c>
      <c r="AD6858" s="129" t="s">
        <v>19693</v>
      </c>
      <c r="AE6858" s="130"/>
      <c r="AF6858" s="130"/>
      <c r="AG6858" s="130"/>
      <c r="AH6858" s="130"/>
      <c r="AI6858" s="131"/>
      <c r="AJ6858" s="132"/>
      <c r="AK6858" s="127"/>
      <c r="AL6858" s="128"/>
      <c r="AM6858" s="21"/>
      <c r="AN6858" s="133">
        <v>46100</v>
      </c>
      <c r="AO6858" s="134"/>
      <c r="AP6858" s="135">
        <v>1323</v>
      </c>
      <c r="AQ6858" s="136"/>
      <c r="AR6858" s="118">
        <v>2980000</v>
      </c>
      <c r="AS6858" s="119"/>
      <c r="AT6858" s="118">
        <f t="shared" ref="AT6858" si="9639">AR6858*0.1</f>
        <v>298000</v>
      </c>
      <c r="AU6858" s="119"/>
      <c r="AV6858" s="118">
        <v>21570</v>
      </c>
      <c r="AW6858" s="119"/>
      <c r="AX6858" s="118">
        <f t="shared" ref="AX6858" si="9640">SUM(AR6858:AW6858)</f>
        <v>3299570</v>
      </c>
      <c r="AY6858" s="119"/>
      <c r="AZ6858" s="137">
        <v>46101</v>
      </c>
    </row>
    <row r="6859" spans="1:52" ht="17.100000000000001" customHeight="1" thickBot="1">
      <c r="A6859" s="110"/>
      <c r="B6859" s="27" t="s">
        <v>1543</v>
      </c>
      <c r="C6859" s="27">
        <v>58344</v>
      </c>
      <c r="D6859" s="14" t="s">
        <v>1592</v>
      </c>
      <c r="E6859" s="112"/>
      <c r="F6859" s="139" t="s">
        <v>19692</v>
      </c>
      <c r="G6859" s="140"/>
      <c r="H6859" s="141"/>
      <c r="I6859" s="26">
        <v>58019</v>
      </c>
      <c r="J6859" s="117"/>
      <c r="K6859" s="120"/>
      <c r="L6859" s="121"/>
      <c r="M6859" s="120"/>
      <c r="N6859" s="121"/>
      <c r="O6859" s="120"/>
      <c r="P6859" s="121"/>
      <c r="Q6859" s="120"/>
      <c r="R6859" s="121"/>
      <c r="S6859" s="120"/>
      <c r="T6859" s="121"/>
      <c r="U6859" s="120"/>
      <c r="V6859" s="123"/>
      <c r="W6859" s="125"/>
      <c r="X6859" s="142" t="s">
        <v>3410</v>
      </c>
      <c r="Y6859" s="143"/>
      <c r="Z6859" s="143"/>
      <c r="AA6859" s="143"/>
      <c r="AB6859" s="144"/>
      <c r="AC6859" s="16" t="s">
        <v>21</v>
      </c>
      <c r="AD6859" s="17" t="s">
        <v>20053</v>
      </c>
      <c r="AE6859" s="145" t="s">
        <v>20061</v>
      </c>
      <c r="AF6859" s="146"/>
      <c r="AG6859" s="146"/>
      <c r="AH6859" s="146"/>
      <c r="AI6859" s="147"/>
      <c r="AJ6859" s="148"/>
      <c r="AK6859" s="143"/>
      <c r="AL6859" s="144"/>
      <c r="AM6859" s="22"/>
      <c r="AN6859" s="149" t="s">
        <v>9132</v>
      </c>
      <c r="AO6859" s="144"/>
      <c r="AP6859" s="148">
        <v>971</v>
      </c>
      <c r="AQ6859" s="144"/>
      <c r="AR6859" s="120"/>
      <c r="AS6859" s="121"/>
      <c r="AT6859" s="120"/>
      <c r="AU6859" s="121"/>
      <c r="AV6859" s="120"/>
      <c r="AW6859" s="121"/>
      <c r="AX6859" s="120"/>
      <c r="AY6859" s="121"/>
      <c r="AZ6859" s="138"/>
    </row>
    <row r="6860" spans="1:52" ht="17.100000000000001" customHeight="1" thickTop="1">
      <c r="A6860" s="109" t="s">
        <v>19605</v>
      </c>
      <c r="B6860" s="28">
        <v>46087</v>
      </c>
      <c r="C6860" s="25"/>
      <c r="D6860" s="13" t="s">
        <v>2211</v>
      </c>
      <c r="E6860" s="111"/>
      <c r="F6860" s="113" t="s">
        <v>19673</v>
      </c>
      <c r="G6860" s="114"/>
      <c r="H6860" s="115"/>
      <c r="I6860" s="24" t="s">
        <v>7694</v>
      </c>
      <c r="J6860" s="116">
        <v>4.5</v>
      </c>
      <c r="K6860" s="118">
        <v>5310000</v>
      </c>
      <c r="L6860" s="119"/>
      <c r="M6860" s="118">
        <f t="shared" ref="M6860" si="9641">K6860*0.1</f>
        <v>531000</v>
      </c>
      <c r="N6860" s="119"/>
      <c r="O6860" s="118">
        <v>0</v>
      </c>
      <c r="P6860" s="119"/>
      <c r="Q6860" s="118">
        <v>18950</v>
      </c>
      <c r="R6860" s="119"/>
      <c r="S6860" s="118">
        <v>0</v>
      </c>
      <c r="T6860" s="119"/>
      <c r="U6860" s="118">
        <f t="shared" ref="U6860" si="9642">SUM(K6860:T6861)</f>
        <v>5859950</v>
      </c>
      <c r="V6860" s="122"/>
      <c r="W6860" s="124"/>
      <c r="X6860" s="126" t="s">
        <v>21302</v>
      </c>
      <c r="Y6860" s="127"/>
      <c r="Z6860" s="127"/>
      <c r="AA6860" s="127"/>
      <c r="AB6860" s="128"/>
      <c r="AC6860" s="15" t="s">
        <v>20</v>
      </c>
      <c r="AD6860" s="129" t="s">
        <v>3868</v>
      </c>
      <c r="AE6860" s="130"/>
      <c r="AF6860" s="130"/>
      <c r="AG6860" s="130"/>
      <c r="AH6860" s="130"/>
      <c r="AI6860" s="131"/>
      <c r="AJ6860" s="132"/>
      <c r="AK6860" s="127"/>
      <c r="AL6860" s="128"/>
      <c r="AM6860" s="21"/>
      <c r="AN6860" s="133">
        <v>46106</v>
      </c>
      <c r="AO6860" s="134"/>
      <c r="AP6860" s="135">
        <v>1010</v>
      </c>
      <c r="AQ6860" s="136"/>
      <c r="AR6860" s="118">
        <v>5450000</v>
      </c>
      <c r="AS6860" s="119"/>
      <c r="AT6860" s="118">
        <f t="shared" ref="AT6860" si="9643">AR6860*0.1</f>
        <v>545000</v>
      </c>
      <c r="AU6860" s="119"/>
      <c r="AV6860" s="118">
        <v>18950</v>
      </c>
      <c r="AW6860" s="119"/>
      <c r="AX6860" s="118">
        <f t="shared" ref="AX6860" si="9644">SUM(AR6860:AW6860)</f>
        <v>6013950</v>
      </c>
      <c r="AY6860" s="119"/>
      <c r="AZ6860" s="137">
        <v>46111</v>
      </c>
    </row>
    <row r="6861" spans="1:52" ht="17.100000000000001" customHeight="1" thickBot="1">
      <c r="A6861" s="110"/>
      <c r="B6861" s="27" t="s">
        <v>1718</v>
      </c>
      <c r="C6861" s="27" t="s">
        <v>19614</v>
      </c>
      <c r="D6861" s="14" t="s">
        <v>2601</v>
      </c>
      <c r="E6861" s="112"/>
      <c r="F6861" s="139" t="s">
        <v>19615</v>
      </c>
      <c r="G6861" s="140"/>
      <c r="H6861" s="141"/>
      <c r="I6861" s="26">
        <v>29978</v>
      </c>
      <c r="J6861" s="117"/>
      <c r="K6861" s="120"/>
      <c r="L6861" s="121"/>
      <c r="M6861" s="120"/>
      <c r="N6861" s="121"/>
      <c r="O6861" s="120"/>
      <c r="P6861" s="121"/>
      <c r="Q6861" s="120"/>
      <c r="R6861" s="121"/>
      <c r="S6861" s="120"/>
      <c r="T6861" s="121"/>
      <c r="U6861" s="120"/>
      <c r="V6861" s="123"/>
      <c r="W6861" s="125"/>
      <c r="X6861" s="142" t="s">
        <v>21303</v>
      </c>
      <c r="Y6861" s="143"/>
      <c r="Z6861" s="143"/>
      <c r="AA6861" s="143"/>
      <c r="AB6861" s="144"/>
      <c r="AC6861" s="16" t="s">
        <v>21</v>
      </c>
      <c r="AD6861" s="17" t="s">
        <v>21304</v>
      </c>
      <c r="AE6861" s="145" t="s">
        <v>21305</v>
      </c>
      <c r="AF6861" s="146"/>
      <c r="AG6861" s="146"/>
      <c r="AH6861" s="146"/>
      <c r="AI6861" s="147"/>
      <c r="AJ6861" s="148"/>
      <c r="AK6861" s="143"/>
      <c r="AL6861" s="144"/>
      <c r="AM6861" s="22"/>
      <c r="AN6861" s="149" t="s">
        <v>2794</v>
      </c>
      <c r="AO6861" s="144"/>
      <c r="AP6861" s="148">
        <v>1050</v>
      </c>
      <c r="AQ6861" s="144"/>
      <c r="AR6861" s="120"/>
      <c r="AS6861" s="121"/>
      <c r="AT6861" s="120"/>
      <c r="AU6861" s="121"/>
      <c r="AV6861" s="120"/>
      <c r="AW6861" s="121"/>
      <c r="AX6861" s="120"/>
      <c r="AY6861" s="121"/>
      <c r="AZ6861" s="138"/>
    </row>
    <row r="6862" spans="1:52" ht="17.100000000000001" customHeight="1" thickTop="1">
      <c r="A6862" s="109" t="s">
        <v>19606</v>
      </c>
      <c r="B6862" s="28">
        <v>46087</v>
      </c>
      <c r="C6862" s="25"/>
      <c r="D6862" s="13" t="s">
        <v>3381</v>
      </c>
      <c r="E6862" s="111"/>
      <c r="F6862" s="113" t="s">
        <v>19675</v>
      </c>
      <c r="G6862" s="114"/>
      <c r="H6862" s="115"/>
      <c r="I6862" s="24" t="s">
        <v>19676</v>
      </c>
      <c r="J6862" s="116">
        <v>4.5</v>
      </c>
      <c r="K6862" s="118">
        <v>585000</v>
      </c>
      <c r="L6862" s="119"/>
      <c r="M6862" s="118">
        <f t="shared" ref="M6862" si="9645">K6862*0.1</f>
        <v>58500</v>
      </c>
      <c r="N6862" s="119"/>
      <c r="O6862" s="118">
        <v>0</v>
      </c>
      <c r="P6862" s="119"/>
      <c r="Q6862" s="118">
        <v>8140</v>
      </c>
      <c r="R6862" s="119"/>
      <c r="S6862" s="118">
        <v>0</v>
      </c>
      <c r="T6862" s="119"/>
      <c r="U6862" s="118">
        <f t="shared" ref="U6862" si="9646">SUM(K6862:T6863)</f>
        <v>651640</v>
      </c>
      <c r="V6862" s="122"/>
      <c r="W6862" s="124"/>
      <c r="X6862" s="126" t="s">
        <v>21286</v>
      </c>
      <c r="Y6862" s="127"/>
      <c r="Z6862" s="127"/>
      <c r="AA6862" s="127"/>
      <c r="AB6862" s="128"/>
      <c r="AC6862" s="15" t="s">
        <v>20</v>
      </c>
      <c r="AD6862" s="129" t="s">
        <v>3868</v>
      </c>
      <c r="AE6862" s="130"/>
      <c r="AF6862" s="130"/>
      <c r="AG6862" s="130"/>
      <c r="AH6862" s="130"/>
      <c r="AI6862" s="131"/>
      <c r="AJ6862" s="132"/>
      <c r="AK6862" s="127"/>
      <c r="AL6862" s="128"/>
      <c r="AM6862" s="21"/>
      <c r="AN6862" s="133">
        <v>46130</v>
      </c>
      <c r="AO6862" s="134"/>
      <c r="AP6862" s="135">
        <v>1297</v>
      </c>
      <c r="AQ6862" s="136"/>
      <c r="AR6862" s="118">
        <v>605000</v>
      </c>
      <c r="AS6862" s="119"/>
      <c r="AT6862" s="118">
        <f t="shared" ref="AT6862" si="9647">AR6862*0.1</f>
        <v>60500</v>
      </c>
      <c r="AU6862" s="119"/>
      <c r="AV6862" s="118">
        <v>8140</v>
      </c>
      <c r="AW6862" s="119"/>
      <c r="AX6862" s="118">
        <f t="shared" ref="AX6862" si="9648">SUM(AR6862:AW6862)</f>
        <v>673640</v>
      </c>
      <c r="AY6862" s="119"/>
      <c r="AZ6862" s="137">
        <v>46133</v>
      </c>
    </row>
    <row r="6863" spans="1:52" ht="17.100000000000001" customHeight="1" thickBot="1">
      <c r="A6863" s="110"/>
      <c r="B6863" s="27" t="s">
        <v>1718</v>
      </c>
      <c r="C6863" s="27" t="s">
        <v>19616</v>
      </c>
      <c r="D6863" s="14" t="s">
        <v>17888</v>
      </c>
      <c r="E6863" s="112"/>
      <c r="F6863" s="139" t="s">
        <v>21285</v>
      </c>
      <c r="G6863" s="140"/>
      <c r="H6863" s="141"/>
      <c r="I6863" s="26">
        <v>39993</v>
      </c>
      <c r="J6863" s="117"/>
      <c r="K6863" s="120"/>
      <c r="L6863" s="121"/>
      <c r="M6863" s="120"/>
      <c r="N6863" s="121"/>
      <c r="O6863" s="120"/>
      <c r="P6863" s="121"/>
      <c r="Q6863" s="120"/>
      <c r="R6863" s="121"/>
      <c r="S6863" s="120"/>
      <c r="T6863" s="121"/>
      <c r="U6863" s="120"/>
      <c r="V6863" s="123"/>
      <c r="W6863" s="125"/>
      <c r="X6863" s="142" t="s">
        <v>21287</v>
      </c>
      <c r="Y6863" s="143"/>
      <c r="Z6863" s="143"/>
      <c r="AA6863" s="143"/>
      <c r="AB6863" s="144"/>
      <c r="AC6863" s="16" t="s">
        <v>21</v>
      </c>
      <c r="AD6863" s="17" t="s">
        <v>21249</v>
      </c>
      <c r="AE6863" s="145" t="s">
        <v>7043</v>
      </c>
      <c r="AF6863" s="146"/>
      <c r="AG6863" s="146"/>
      <c r="AH6863" s="146"/>
      <c r="AI6863" s="147"/>
      <c r="AJ6863" s="148"/>
      <c r="AK6863" s="143"/>
      <c r="AL6863" s="144"/>
      <c r="AM6863" s="22"/>
      <c r="AN6863" s="149" t="s">
        <v>2511</v>
      </c>
      <c r="AO6863" s="144"/>
      <c r="AP6863" s="148">
        <v>31205</v>
      </c>
      <c r="AQ6863" s="144"/>
      <c r="AR6863" s="120"/>
      <c r="AS6863" s="121"/>
      <c r="AT6863" s="120"/>
      <c r="AU6863" s="121"/>
      <c r="AV6863" s="120"/>
      <c r="AW6863" s="121"/>
      <c r="AX6863" s="120"/>
      <c r="AY6863" s="121"/>
      <c r="AZ6863" s="138"/>
    </row>
    <row r="6864" spans="1:52" ht="17.100000000000001" customHeight="1" thickTop="1">
      <c r="A6864" s="109" t="s">
        <v>19607</v>
      </c>
      <c r="B6864" s="28">
        <v>46087</v>
      </c>
      <c r="C6864" s="25"/>
      <c r="D6864" s="13" t="s">
        <v>2329</v>
      </c>
      <c r="E6864" s="111"/>
      <c r="F6864" s="113" t="s">
        <v>4288</v>
      </c>
      <c r="G6864" s="114"/>
      <c r="H6864" s="115"/>
      <c r="I6864" s="24" t="s">
        <v>19674</v>
      </c>
      <c r="J6864" s="116">
        <v>4</v>
      </c>
      <c r="K6864" s="118">
        <v>995000</v>
      </c>
      <c r="L6864" s="119"/>
      <c r="M6864" s="118">
        <f t="shared" ref="M6864" si="9649">K6864*0.1</f>
        <v>99500</v>
      </c>
      <c r="N6864" s="119"/>
      <c r="O6864" s="118">
        <v>0</v>
      </c>
      <c r="P6864" s="119"/>
      <c r="Q6864" s="118">
        <v>7150</v>
      </c>
      <c r="R6864" s="119"/>
      <c r="S6864" s="118">
        <v>0</v>
      </c>
      <c r="T6864" s="119"/>
      <c r="U6864" s="118">
        <f t="shared" ref="U6864" si="9650">SUM(K6864:T6865)</f>
        <v>1101650</v>
      </c>
      <c r="V6864" s="122"/>
      <c r="W6864" s="124"/>
      <c r="X6864" s="126" t="s">
        <v>22595</v>
      </c>
      <c r="Y6864" s="127"/>
      <c r="Z6864" s="127"/>
      <c r="AA6864" s="127"/>
      <c r="AB6864" s="128"/>
      <c r="AC6864" s="15" t="s">
        <v>20</v>
      </c>
      <c r="AD6864" s="129" t="s">
        <v>4435</v>
      </c>
      <c r="AE6864" s="130"/>
      <c r="AF6864" s="130"/>
      <c r="AG6864" s="130"/>
      <c r="AH6864" s="130"/>
      <c r="AI6864" s="131"/>
      <c r="AJ6864" s="132"/>
      <c r="AK6864" s="127"/>
      <c r="AL6864" s="128"/>
      <c r="AM6864" s="21"/>
      <c r="AN6864" s="133">
        <v>46130</v>
      </c>
      <c r="AO6864" s="134"/>
      <c r="AP6864" s="135">
        <v>1297</v>
      </c>
      <c r="AQ6864" s="136"/>
      <c r="AR6864" s="118">
        <v>910000</v>
      </c>
      <c r="AS6864" s="119"/>
      <c r="AT6864" s="118">
        <f t="shared" ref="AT6864" si="9651">AR6864*0.1</f>
        <v>91000</v>
      </c>
      <c r="AU6864" s="119"/>
      <c r="AV6864" s="118">
        <v>7150</v>
      </c>
      <c r="AW6864" s="119"/>
      <c r="AX6864" s="118">
        <f t="shared" ref="AX6864" si="9652">SUM(AR6864:AW6864)</f>
        <v>1008150</v>
      </c>
      <c r="AY6864" s="119"/>
      <c r="AZ6864" s="137">
        <v>46133</v>
      </c>
    </row>
    <row r="6865" spans="1:52" ht="17.100000000000001" customHeight="1" thickBot="1">
      <c r="A6865" s="110"/>
      <c r="B6865" s="27" t="s">
        <v>1718</v>
      </c>
      <c r="C6865" s="27" t="s">
        <v>19617</v>
      </c>
      <c r="D6865" s="14" t="s">
        <v>2601</v>
      </c>
      <c r="E6865" s="112"/>
      <c r="F6865" s="139" t="s">
        <v>19618</v>
      </c>
      <c r="G6865" s="140"/>
      <c r="H6865" s="141"/>
      <c r="I6865" s="26">
        <v>38576</v>
      </c>
      <c r="J6865" s="117"/>
      <c r="K6865" s="120"/>
      <c r="L6865" s="121"/>
      <c r="M6865" s="120"/>
      <c r="N6865" s="121"/>
      <c r="O6865" s="120"/>
      <c r="P6865" s="121"/>
      <c r="Q6865" s="120"/>
      <c r="R6865" s="121"/>
      <c r="S6865" s="120"/>
      <c r="T6865" s="121"/>
      <c r="U6865" s="120"/>
      <c r="V6865" s="123"/>
      <c r="W6865" s="125"/>
      <c r="X6865" s="142" t="s">
        <v>22596</v>
      </c>
      <c r="Y6865" s="143"/>
      <c r="Z6865" s="143"/>
      <c r="AA6865" s="143"/>
      <c r="AB6865" s="144"/>
      <c r="AC6865" s="16" t="s">
        <v>21</v>
      </c>
      <c r="AD6865" s="17" t="s">
        <v>22552</v>
      </c>
      <c r="AE6865" s="145" t="s">
        <v>22597</v>
      </c>
      <c r="AF6865" s="146"/>
      <c r="AG6865" s="146"/>
      <c r="AH6865" s="146"/>
      <c r="AI6865" s="147"/>
      <c r="AJ6865" s="148"/>
      <c r="AK6865" s="143"/>
      <c r="AL6865" s="144"/>
      <c r="AM6865" s="22"/>
      <c r="AN6865" s="149" t="s">
        <v>2511</v>
      </c>
      <c r="AO6865" s="144"/>
      <c r="AP6865" s="148">
        <v>31215</v>
      </c>
      <c r="AQ6865" s="144"/>
      <c r="AR6865" s="120"/>
      <c r="AS6865" s="121"/>
      <c r="AT6865" s="120"/>
      <c r="AU6865" s="121"/>
      <c r="AV6865" s="120"/>
      <c r="AW6865" s="121"/>
      <c r="AX6865" s="120"/>
      <c r="AY6865" s="121"/>
      <c r="AZ6865" s="138"/>
    </row>
    <row r="6866" spans="1:52" ht="17.100000000000001" customHeight="1" thickTop="1">
      <c r="A6866" s="109" t="s">
        <v>19608</v>
      </c>
      <c r="B6866" s="28">
        <v>46087</v>
      </c>
      <c r="C6866" s="25">
        <v>98</v>
      </c>
      <c r="D6866" s="13" t="s">
        <v>2963</v>
      </c>
      <c r="E6866" s="111"/>
      <c r="F6866" s="113" t="s">
        <v>19661</v>
      </c>
      <c r="G6866" s="114"/>
      <c r="H6866" s="115"/>
      <c r="I6866" s="24" t="s">
        <v>1559</v>
      </c>
      <c r="J6866" s="116">
        <v>4.5</v>
      </c>
      <c r="K6866" s="118">
        <v>2575000</v>
      </c>
      <c r="L6866" s="119"/>
      <c r="M6866" s="118">
        <f t="shared" ref="M6866" si="9653">K6866*0.1</f>
        <v>257500</v>
      </c>
      <c r="N6866" s="119"/>
      <c r="O6866" s="118">
        <v>30500</v>
      </c>
      <c r="P6866" s="119"/>
      <c r="Q6866" s="118">
        <v>11740</v>
      </c>
      <c r="R6866" s="119"/>
      <c r="S6866" s="118">
        <v>66000</v>
      </c>
      <c r="T6866" s="119"/>
      <c r="U6866" s="118">
        <f t="shared" ref="U6866" si="9654">SUM(K6866:T6867)</f>
        <v>2940740</v>
      </c>
      <c r="V6866" s="122"/>
      <c r="W6866" s="124"/>
      <c r="X6866" s="126" t="s">
        <v>23327</v>
      </c>
      <c r="Y6866" s="127"/>
      <c r="Z6866" s="127"/>
      <c r="AA6866" s="127"/>
      <c r="AB6866" s="128"/>
      <c r="AC6866" s="15" t="s">
        <v>20</v>
      </c>
      <c r="AD6866" s="129" t="s">
        <v>18375</v>
      </c>
      <c r="AE6866" s="130"/>
      <c r="AF6866" s="130"/>
      <c r="AG6866" s="130"/>
      <c r="AH6866" s="130"/>
      <c r="AI6866" s="131"/>
      <c r="AJ6866" s="132"/>
      <c r="AK6866" s="127"/>
      <c r="AL6866" s="128"/>
      <c r="AM6866" s="21" t="s">
        <v>23845</v>
      </c>
      <c r="AN6866" s="133">
        <v>46155</v>
      </c>
      <c r="AO6866" s="134"/>
      <c r="AP6866" s="135">
        <v>1016</v>
      </c>
      <c r="AQ6866" s="136"/>
      <c r="AR6866" s="118">
        <v>2845000</v>
      </c>
      <c r="AS6866" s="119"/>
      <c r="AT6866" s="118">
        <f t="shared" ref="AT6866" si="9655">AR6866*0.1</f>
        <v>284500</v>
      </c>
      <c r="AU6866" s="119"/>
      <c r="AV6866" s="118">
        <v>11740</v>
      </c>
      <c r="AW6866" s="119"/>
      <c r="AX6866" s="118">
        <f t="shared" ref="AX6866" si="9656">SUM(AR6866:AW6866)</f>
        <v>3141240</v>
      </c>
      <c r="AY6866" s="119"/>
      <c r="AZ6866" s="137">
        <v>46160</v>
      </c>
    </row>
    <row r="6867" spans="1:52" ht="17.100000000000001" customHeight="1" thickBot="1">
      <c r="A6867" s="110"/>
      <c r="B6867" s="27" t="s">
        <v>4544</v>
      </c>
      <c r="C6867" s="27">
        <v>1002</v>
      </c>
      <c r="D6867" s="14" t="s">
        <v>2601</v>
      </c>
      <c r="E6867" s="112"/>
      <c r="F6867" s="139" t="s">
        <v>19619</v>
      </c>
      <c r="G6867" s="140"/>
      <c r="H6867" s="141"/>
      <c r="I6867" s="26">
        <v>60058</v>
      </c>
      <c r="J6867" s="117"/>
      <c r="K6867" s="120"/>
      <c r="L6867" s="121"/>
      <c r="M6867" s="120"/>
      <c r="N6867" s="121"/>
      <c r="O6867" s="120"/>
      <c r="P6867" s="121"/>
      <c r="Q6867" s="120"/>
      <c r="R6867" s="121"/>
      <c r="S6867" s="120"/>
      <c r="T6867" s="121"/>
      <c r="U6867" s="120"/>
      <c r="V6867" s="123"/>
      <c r="W6867" s="125"/>
      <c r="X6867" s="142" t="s">
        <v>23328</v>
      </c>
      <c r="Y6867" s="143"/>
      <c r="Z6867" s="143"/>
      <c r="AA6867" s="143"/>
      <c r="AB6867" s="144"/>
      <c r="AC6867" s="16" t="s">
        <v>21</v>
      </c>
      <c r="AD6867" s="17" t="s">
        <v>23320</v>
      </c>
      <c r="AE6867" s="145" t="s">
        <v>10730</v>
      </c>
      <c r="AF6867" s="146"/>
      <c r="AG6867" s="146"/>
      <c r="AH6867" s="146"/>
      <c r="AI6867" s="147"/>
      <c r="AJ6867" s="148"/>
      <c r="AK6867" s="143"/>
      <c r="AL6867" s="144"/>
      <c r="AM6867" s="22"/>
      <c r="AN6867" s="149" t="s">
        <v>2794</v>
      </c>
      <c r="AO6867" s="144"/>
      <c r="AP6867" s="148">
        <v>1079</v>
      </c>
      <c r="AQ6867" s="144"/>
      <c r="AR6867" s="120"/>
      <c r="AS6867" s="121"/>
      <c r="AT6867" s="120"/>
      <c r="AU6867" s="121"/>
      <c r="AV6867" s="120"/>
      <c r="AW6867" s="121"/>
      <c r="AX6867" s="120"/>
      <c r="AY6867" s="121"/>
      <c r="AZ6867" s="138"/>
    </row>
    <row r="6868" spans="1:52" ht="17.100000000000001" customHeight="1" thickTop="1">
      <c r="A6868" s="159" t="s">
        <v>19609</v>
      </c>
      <c r="B6868" s="28">
        <v>46087</v>
      </c>
      <c r="C6868" s="25">
        <v>98</v>
      </c>
      <c r="D6868" s="13" t="s">
        <v>2196</v>
      </c>
      <c r="E6868" s="111"/>
      <c r="F6868" s="113" t="s">
        <v>19694</v>
      </c>
      <c r="G6868" s="114"/>
      <c r="H6868" s="115"/>
      <c r="I6868" s="24" t="s">
        <v>4390</v>
      </c>
      <c r="J6868" s="116">
        <v>4.5</v>
      </c>
      <c r="K6868" s="118">
        <v>2035000</v>
      </c>
      <c r="L6868" s="119"/>
      <c r="M6868" s="118">
        <f t="shared" ref="M6868" si="9657">K6868*0.1</f>
        <v>203500</v>
      </c>
      <c r="N6868" s="119"/>
      <c r="O6868" s="118">
        <v>39500</v>
      </c>
      <c r="P6868" s="119"/>
      <c r="Q6868" s="118">
        <v>12470</v>
      </c>
      <c r="R6868" s="119"/>
      <c r="S6868" s="118">
        <v>66000</v>
      </c>
      <c r="T6868" s="119"/>
      <c r="U6868" s="118">
        <f t="shared" ref="U6868" si="9658">SUM(K6868:T6869)</f>
        <v>2356470</v>
      </c>
      <c r="V6868" s="122"/>
      <c r="W6868" s="124"/>
      <c r="X6868" s="126" t="s">
        <v>20614</v>
      </c>
      <c r="Y6868" s="127"/>
      <c r="Z6868" s="127"/>
      <c r="AA6868" s="127"/>
      <c r="AB6868" s="128"/>
      <c r="AC6868" s="15" t="s">
        <v>20</v>
      </c>
      <c r="AD6868" s="129" t="s">
        <v>18375</v>
      </c>
      <c r="AE6868" s="130"/>
      <c r="AF6868" s="130"/>
      <c r="AG6868" s="130"/>
      <c r="AH6868" s="130"/>
      <c r="AI6868" s="131"/>
      <c r="AJ6868" s="132"/>
      <c r="AK6868" s="127"/>
      <c r="AL6868" s="128"/>
      <c r="AM6868" s="21" t="s">
        <v>22430</v>
      </c>
      <c r="AN6868" s="133">
        <v>46130</v>
      </c>
      <c r="AO6868" s="134"/>
      <c r="AP6868" s="135">
        <v>1297</v>
      </c>
      <c r="AQ6868" s="136"/>
      <c r="AR6868" s="118">
        <v>1890000</v>
      </c>
      <c r="AS6868" s="119"/>
      <c r="AT6868" s="118">
        <f t="shared" ref="AT6868" si="9659">AR6868*0.1</f>
        <v>189000</v>
      </c>
      <c r="AU6868" s="119"/>
      <c r="AV6868" s="118">
        <v>12470</v>
      </c>
      <c r="AW6868" s="119"/>
      <c r="AX6868" s="118">
        <f t="shared" ref="AX6868" si="9660">SUM(AR6868:AW6868)</f>
        <v>2091470</v>
      </c>
      <c r="AY6868" s="119"/>
      <c r="AZ6868" s="137">
        <v>46133</v>
      </c>
    </row>
    <row r="6869" spans="1:52" ht="17.100000000000001" customHeight="1" thickBot="1">
      <c r="A6869" s="160"/>
      <c r="B6869" s="27" t="s">
        <v>4544</v>
      </c>
      <c r="C6869" s="27">
        <v>1018</v>
      </c>
      <c r="D6869" s="14" t="s">
        <v>275</v>
      </c>
      <c r="E6869" s="112"/>
      <c r="F6869" s="139" t="s">
        <v>19620</v>
      </c>
      <c r="G6869" s="140"/>
      <c r="H6869" s="141"/>
      <c r="I6869" s="26">
        <v>37381</v>
      </c>
      <c r="J6869" s="117"/>
      <c r="K6869" s="120"/>
      <c r="L6869" s="121"/>
      <c r="M6869" s="120"/>
      <c r="N6869" s="121"/>
      <c r="O6869" s="120"/>
      <c r="P6869" s="121"/>
      <c r="Q6869" s="120"/>
      <c r="R6869" s="121"/>
      <c r="S6869" s="120"/>
      <c r="T6869" s="121"/>
      <c r="U6869" s="120"/>
      <c r="V6869" s="123"/>
      <c r="W6869" s="125"/>
      <c r="X6869" s="142" t="s">
        <v>20615</v>
      </c>
      <c r="Y6869" s="143"/>
      <c r="Z6869" s="143"/>
      <c r="AA6869" s="143"/>
      <c r="AB6869" s="144"/>
      <c r="AC6869" s="16" t="s">
        <v>21</v>
      </c>
      <c r="AD6869" s="17" t="s">
        <v>2382</v>
      </c>
      <c r="AE6869" s="145" t="s">
        <v>1614</v>
      </c>
      <c r="AF6869" s="146"/>
      <c r="AG6869" s="146"/>
      <c r="AH6869" s="146"/>
      <c r="AI6869" s="147"/>
      <c r="AJ6869" s="148"/>
      <c r="AK6869" s="143"/>
      <c r="AL6869" s="144"/>
      <c r="AM6869" s="22"/>
      <c r="AN6869" s="149" t="s">
        <v>2511</v>
      </c>
      <c r="AO6869" s="144"/>
      <c r="AP6869" s="148">
        <v>37171</v>
      </c>
      <c r="AQ6869" s="144"/>
      <c r="AR6869" s="120"/>
      <c r="AS6869" s="121"/>
      <c r="AT6869" s="120"/>
      <c r="AU6869" s="121"/>
      <c r="AV6869" s="120"/>
      <c r="AW6869" s="121"/>
      <c r="AX6869" s="120"/>
      <c r="AY6869" s="121"/>
      <c r="AZ6869" s="138"/>
    </row>
    <row r="6870" spans="1:52" ht="17.100000000000001" customHeight="1" thickTop="1">
      <c r="A6870" s="109" t="s">
        <v>19610</v>
      </c>
      <c r="B6870" s="28">
        <v>46087</v>
      </c>
      <c r="C6870" s="25">
        <v>98</v>
      </c>
      <c r="D6870" s="13" t="s">
        <v>1767</v>
      </c>
      <c r="E6870" s="111"/>
      <c r="F6870" s="113" t="s">
        <v>19695</v>
      </c>
      <c r="G6870" s="114"/>
      <c r="H6870" s="115"/>
      <c r="I6870" s="24" t="s">
        <v>4487</v>
      </c>
      <c r="J6870" s="116">
        <v>4</v>
      </c>
      <c r="K6870" s="118">
        <v>660000</v>
      </c>
      <c r="L6870" s="119"/>
      <c r="M6870" s="118">
        <f t="shared" ref="M6870" si="9661">K6870*0.1</f>
        <v>66000</v>
      </c>
      <c r="N6870" s="119"/>
      <c r="O6870" s="118">
        <v>10800</v>
      </c>
      <c r="P6870" s="119"/>
      <c r="Q6870" s="118">
        <v>9790</v>
      </c>
      <c r="R6870" s="119"/>
      <c r="S6870" s="118">
        <v>33000</v>
      </c>
      <c r="T6870" s="119"/>
      <c r="U6870" s="118">
        <f t="shared" ref="U6870" si="9662">SUM(K6870:T6871)</f>
        <v>779590</v>
      </c>
      <c r="V6870" s="122"/>
      <c r="W6870" s="124"/>
      <c r="X6870" s="126" t="s">
        <v>21328</v>
      </c>
      <c r="Y6870" s="127"/>
      <c r="Z6870" s="127"/>
      <c r="AA6870" s="127"/>
      <c r="AB6870" s="128"/>
      <c r="AC6870" s="15" t="s">
        <v>20</v>
      </c>
      <c r="AD6870" s="129" t="s">
        <v>19696</v>
      </c>
      <c r="AE6870" s="130"/>
      <c r="AF6870" s="130"/>
      <c r="AG6870" s="130"/>
      <c r="AH6870" s="130"/>
      <c r="AI6870" s="131"/>
      <c r="AJ6870" s="132" t="s">
        <v>22273</v>
      </c>
      <c r="AK6870" s="127"/>
      <c r="AL6870" s="128"/>
      <c r="AM6870" s="21" t="s">
        <v>21661</v>
      </c>
      <c r="AN6870" s="133">
        <v>46113</v>
      </c>
      <c r="AO6870" s="134"/>
      <c r="AP6870" s="135">
        <v>1011</v>
      </c>
      <c r="AQ6870" s="136"/>
      <c r="AR6870" s="118">
        <v>780000</v>
      </c>
      <c r="AS6870" s="119"/>
      <c r="AT6870" s="118">
        <f t="shared" ref="AT6870" si="9663">AR6870*0.1</f>
        <v>78000</v>
      </c>
      <c r="AU6870" s="119"/>
      <c r="AV6870" s="118">
        <v>9790</v>
      </c>
      <c r="AW6870" s="119"/>
      <c r="AX6870" s="118">
        <f t="shared" ref="AX6870" si="9664">SUM(AR6870:AW6870)</f>
        <v>867790</v>
      </c>
      <c r="AY6870" s="119"/>
      <c r="AZ6870" s="137">
        <v>46121</v>
      </c>
    </row>
    <row r="6871" spans="1:52" ht="17.100000000000001" customHeight="1" thickBot="1">
      <c r="A6871" s="110"/>
      <c r="B6871" s="27" t="s">
        <v>4544</v>
      </c>
      <c r="C6871" s="27">
        <v>1025</v>
      </c>
      <c r="D6871" s="14" t="s">
        <v>275</v>
      </c>
      <c r="E6871" s="112"/>
      <c r="F6871" s="139" t="s">
        <v>19621</v>
      </c>
      <c r="G6871" s="140"/>
      <c r="H6871" s="141"/>
      <c r="I6871" s="26">
        <v>67771</v>
      </c>
      <c r="J6871" s="117"/>
      <c r="K6871" s="120"/>
      <c r="L6871" s="121"/>
      <c r="M6871" s="120"/>
      <c r="N6871" s="121"/>
      <c r="O6871" s="120"/>
      <c r="P6871" s="121"/>
      <c r="Q6871" s="120"/>
      <c r="R6871" s="121"/>
      <c r="S6871" s="120"/>
      <c r="T6871" s="121"/>
      <c r="U6871" s="120"/>
      <c r="V6871" s="123"/>
      <c r="W6871" s="125"/>
      <c r="X6871" s="142" t="s">
        <v>21329</v>
      </c>
      <c r="Y6871" s="143"/>
      <c r="Z6871" s="143"/>
      <c r="AA6871" s="143"/>
      <c r="AB6871" s="144"/>
      <c r="AC6871" s="16" t="s">
        <v>21</v>
      </c>
      <c r="AD6871" s="17" t="s">
        <v>21317</v>
      </c>
      <c r="AE6871" s="145" t="s">
        <v>21330</v>
      </c>
      <c r="AF6871" s="146"/>
      <c r="AG6871" s="146"/>
      <c r="AH6871" s="146"/>
      <c r="AI6871" s="147"/>
      <c r="AJ6871" s="148"/>
      <c r="AK6871" s="143"/>
      <c r="AL6871" s="144"/>
      <c r="AM6871" s="22"/>
      <c r="AN6871" s="149" t="s">
        <v>7285</v>
      </c>
      <c r="AO6871" s="144"/>
      <c r="AP6871" s="148">
        <v>4018</v>
      </c>
      <c r="AQ6871" s="144"/>
      <c r="AR6871" s="120"/>
      <c r="AS6871" s="121"/>
      <c r="AT6871" s="120"/>
      <c r="AU6871" s="121"/>
      <c r="AV6871" s="120"/>
      <c r="AW6871" s="121"/>
      <c r="AX6871" s="120"/>
      <c r="AY6871" s="121"/>
      <c r="AZ6871" s="138"/>
    </row>
    <row r="6872" spans="1:52" ht="17.100000000000001" customHeight="1" thickTop="1">
      <c r="A6872" s="109" t="s">
        <v>19622</v>
      </c>
      <c r="B6872" s="28">
        <v>46088</v>
      </c>
      <c r="C6872" s="25">
        <v>1534</v>
      </c>
      <c r="D6872" s="13" t="s">
        <v>2970</v>
      </c>
      <c r="E6872" s="111"/>
      <c r="F6872" s="113" t="s">
        <v>19697</v>
      </c>
      <c r="G6872" s="114"/>
      <c r="H6872" s="115"/>
      <c r="I6872" s="24" t="s">
        <v>4955</v>
      </c>
      <c r="J6872" s="116">
        <v>5</v>
      </c>
      <c r="K6872" s="118">
        <v>1790000</v>
      </c>
      <c r="L6872" s="119"/>
      <c r="M6872" s="118">
        <f t="shared" ref="M6872" si="9665">K6872*0.1</f>
        <v>179000</v>
      </c>
      <c r="N6872" s="119"/>
      <c r="O6872" s="118">
        <v>30500</v>
      </c>
      <c r="P6872" s="119"/>
      <c r="Q6872" s="118">
        <v>12370</v>
      </c>
      <c r="R6872" s="119"/>
      <c r="S6872" s="118">
        <v>27500</v>
      </c>
      <c r="T6872" s="119"/>
      <c r="U6872" s="118">
        <f t="shared" ref="U6872" si="9666">SUM(K6872:T6873)</f>
        <v>2039370</v>
      </c>
      <c r="V6872" s="122"/>
      <c r="W6872" s="124"/>
      <c r="X6872" s="126" t="s">
        <v>19714</v>
      </c>
      <c r="Y6872" s="127"/>
      <c r="Z6872" s="127"/>
      <c r="AA6872" s="127"/>
      <c r="AB6872" s="128"/>
      <c r="AC6872" s="15" t="s">
        <v>20</v>
      </c>
      <c r="AD6872" s="129" t="s">
        <v>4435</v>
      </c>
      <c r="AE6872" s="130"/>
      <c r="AF6872" s="130"/>
      <c r="AG6872" s="130"/>
      <c r="AH6872" s="130"/>
      <c r="AI6872" s="131"/>
      <c r="AJ6872" s="132"/>
      <c r="AK6872" s="127"/>
      <c r="AL6872" s="128"/>
      <c r="AM6872" s="21"/>
      <c r="AN6872" s="133"/>
      <c r="AO6872" s="134"/>
      <c r="AP6872" s="135"/>
      <c r="AQ6872" s="136"/>
      <c r="AR6872" s="118"/>
      <c r="AS6872" s="119"/>
      <c r="AT6872" s="118">
        <f t="shared" ref="AT6872" si="9667">AR6872*0.1</f>
        <v>0</v>
      </c>
      <c r="AU6872" s="119"/>
      <c r="AV6872" s="118"/>
      <c r="AW6872" s="119"/>
      <c r="AX6872" s="118">
        <f t="shared" ref="AX6872" si="9668">SUM(AR6872:AW6872)</f>
        <v>0</v>
      </c>
      <c r="AY6872" s="119"/>
      <c r="AZ6872" s="137"/>
    </row>
    <row r="6873" spans="1:52" ht="17.100000000000001" customHeight="1" thickBot="1">
      <c r="A6873" s="110"/>
      <c r="B6873" s="27" t="s">
        <v>1555</v>
      </c>
      <c r="C6873" s="27">
        <v>83260</v>
      </c>
      <c r="D6873" s="14" t="s">
        <v>275</v>
      </c>
      <c r="E6873" s="112"/>
      <c r="F6873" s="139" t="s">
        <v>19713</v>
      </c>
      <c r="G6873" s="140"/>
      <c r="H6873" s="141"/>
      <c r="I6873" s="26">
        <v>32899</v>
      </c>
      <c r="J6873" s="117"/>
      <c r="K6873" s="120"/>
      <c r="L6873" s="121"/>
      <c r="M6873" s="120"/>
      <c r="N6873" s="121"/>
      <c r="O6873" s="120"/>
      <c r="P6873" s="121"/>
      <c r="Q6873" s="120"/>
      <c r="R6873" s="121"/>
      <c r="S6873" s="120"/>
      <c r="T6873" s="121"/>
      <c r="U6873" s="120"/>
      <c r="V6873" s="123"/>
      <c r="W6873" s="125"/>
      <c r="X6873" s="142" t="s">
        <v>20074</v>
      </c>
      <c r="Y6873" s="143"/>
      <c r="Z6873" s="143"/>
      <c r="AA6873" s="143"/>
      <c r="AB6873" s="144"/>
      <c r="AC6873" s="16" t="s">
        <v>21</v>
      </c>
      <c r="AD6873" s="17" t="s">
        <v>3666</v>
      </c>
      <c r="AE6873" s="145" t="s">
        <v>7427</v>
      </c>
      <c r="AF6873" s="146"/>
      <c r="AG6873" s="146"/>
      <c r="AH6873" s="146"/>
      <c r="AI6873" s="147"/>
      <c r="AJ6873" s="148"/>
      <c r="AK6873" s="143"/>
      <c r="AL6873" s="144"/>
      <c r="AM6873" s="22"/>
      <c r="AN6873" s="149"/>
      <c r="AO6873" s="144"/>
      <c r="AP6873" s="148"/>
      <c r="AQ6873" s="144"/>
      <c r="AR6873" s="120"/>
      <c r="AS6873" s="121"/>
      <c r="AT6873" s="120"/>
      <c r="AU6873" s="121"/>
      <c r="AV6873" s="120"/>
      <c r="AW6873" s="121"/>
      <c r="AX6873" s="120"/>
      <c r="AY6873" s="121"/>
      <c r="AZ6873" s="138"/>
    </row>
    <row r="6874" spans="1:52" ht="17.100000000000001" customHeight="1" thickTop="1">
      <c r="A6874" s="109" t="s">
        <v>19623</v>
      </c>
      <c r="B6874" s="28">
        <v>46088</v>
      </c>
      <c r="C6874" s="25">
        <v>1291</v>
      </c>
      <c r="D6874" s="13" t="s">
        <v>1640</v>
      </c>
      <c r="E6874" s="111"/>
      <c r="F6874" s="113" t="s">
        <v>19701</v>
      </c>
      <c r="G6874" s="114"/>
      <c r="H6874" s="115"/>
      <c r="I6874" s="24" t="s">
        <v>19715</v>
      </c>
      <c r="J6874" s="116">
        <v>4.5</v>
      </c>
      <c r="K6874" s="118">
        <v>1055000</v>
      </c>
      <c r="L6874" s="119"/>
      <c r="M6874" s="118">
        <f t="shared" ref="M6874" si="9669">K6874*0.1</f>
        <v>105500</v>
      </c>
      <c r="N6874" s="119"/>
      <c r="O6874" s="118">
        <v>34500</v>
      </c>
      <c r="P6874" s="119"/>
      <c r="Q6874" s="118">
        <v>11010</v>
      </c>
      <c r="R6874" s="119"/>
      <c r="S6874" s="118">
        <v>12100</v>
      </c>
      <c r="T6874" s="119"/>
      <c r="U6874" s="118">
        <f t="shared" ref="U6874" si="9670">SUM(K6874:T6875)</f>
        <v>1218110</v>
      </c>
      <c r="V6874" s="122"/>
      <c r="W6874" s="124"/>
      <c r="X6874" s="126" t="s">
        <v>19716</v>
      </c>
      <c r="Y6874" s="127"/>
      <c r="Z6874" s="127"/>
      <c r="AA6874" s="127"/>
      <c r="AB6874" s="128"/>
      <c r="AC6874" s="15" t="s">
        <v>20</v>
      </c>
      <c r="AD6874" s="129" t="s">
        <v>19717</v>
      </c>
      <c r="AE6874" s="130"/>
      <c r="AF6874" s="130"/>
      <c r="AG6874" s="130"/>
      <c r="AH6874" s="130"/>
      <c r="AI6874" s="131"/>
      <c r="AJ6874" s="132" t="s">
        <v>20910</v>
      </c>
      <c r="AK6874" s="127"/>
      <c r="AL6874" s="128"/>
      <c r="AM6874" s="21" t="s">
        <v>20984</v>
      </c>
      <c r="AN6874" s="133">
        <v>46120</v>
      </c>
      <c r="AO6874" s="134"/>
      <c r="AP6874" s="135">
        <v>1012</v>
      </c>
      <c r="AQ6874" s="136"/>
      <c r="AR6874" s="118">
        <v>1150000</v>
      </c>
      <c r="AS6874" s="119"/>
      <c r="AT6874" s="118">
        <f t="shared" ref="AT6874" si="9671">AR6874*0.1</f>
        <v>115000</v>
      </c>
      <c r="AU6874" s="119"/>
      <c r="AV6874" s="118">
        <v>11010</v>
      </c>
      <c r="AW6874" s="119"/>
      <c r="AX6874" s="118">
        <f t="shared" ref="AX6874" si="9672">SUM(AR6874:AW6874)</f>
        <v>1276010</v>
      </c>
      <c r="AY6874" s="119"/>
      <c r="AZ6874" s="137">
        <v>46126</v>
      </c>
    </row>
    <row r="6875" spans="1:52" ht="17.100000000000001" customHeight="1" thickBot="1">
      <c r="A6875" s="110"/>
      <c r="B6875" s="27" t="s">
        <v>2511</v>
      </c>
      <c r="C6875" s="27">
        <v>30155</v>
      </c>
      <c r="D6875" s="14" t="s">
        <v>2601</v>
      </c>
      <c r="E6875" s="112"/>
      <c r="F6875" s="139" t="s">
        <v>19702</v>
      </c>
      <c r="G6875" s="140"/>
      <c r="H6875" s="141"/>
      <c r="I6875" s="26">
        <v>48393</v>
      </c>
      <c r="J6875" s="117"/>
      <c r="K6875" s="120"/>
      <c r="L6875" s="121"/>
      <c r="M6875" s="120"/>
      <c r="N6875" s="121"/>
      <c r="O6875" s="120"/>
      <c r="P6875" s="121"/>
      <c r="Q6875" s="120"/>
      <c r="R6875" s="121"/>
      <c r="S6875" s="120"/>
      <c r="T6875" s="121"/>
      <c r="U6875" s="120"/>
      <c r="V6875" s="123"/>
      <c r="W6875" s="125"/>
      <c r="X6875" s="142" t="s">
        <v>20176</v>
      </c>
      <c r="Y6875" s="143"/>
      <c r="Z6875" s="143"/>
      <c r="AA6875" s="143"/>
      <c r="AB6875" s="144"/>
      <c r="AC6875" s="16" t="s">
        <v>21</v>
      </c>
      <c r="AD6875" s="17" t="s">
        <v>3666</v>
      </c>
      <c r="AE6875" s="145" t="s">
        <v>20909</v>
      </c>
      <c r="AF6875" s="146"/>
      <c r="AG6875" s="146"/>
      <c r="AH6875" s="146"/>
      <c r="AI6875" s="147"/>
      <c r="AJ6875" s="148"/>
      <c r="AK6875" s="143"/>
      <c r="AL6875" s="144"/>
      <c r="AM6875" s="22"/>
      <c r="AN6875" s="149" t="s">
        <v>22579</v>
      </c>
      <c r="AO6875" s="144"/>
      <c r="AP6875" s="148">
        <v>6035</v>
      </c>
      <c r="AQ6875" s="144"/>
      <c r="AR6875" s="120"/>
      <c r="AS6875" s="121"/>
      <c r="AT6875" s="120"/>
      <c r="AU6875" s="121"/>
      <c r="AV6875" s="120"/>
      <c r="AW6875" s="121"/>
      <c r="AX6875" s="120"/>
      <c r="AY6875" s="121"/>
      <c r="AZ6875" s="138"/>
    </row>
    <row r="6876" spans="1:52" ht="17.100000000000001" customHeight="1" thickTop="1">
      <c r="A6876" s="109" t="s">
        <v>19624</v>
      </c>
      <c r="B6876" s="28">
        <v>46088</v>
      </c>
      <c r="C6876" s="25">
        <v>1291</v>
      </c>
      <c r="D6876" s="13" t="s">
        <v>1586</v>
      </c>
      <c r="E6876" s="111"/>
      <c r="F6876" s="113" t="s">
        <v>15255</v>
      </c>
      <c r="G6876" s="114"/>
      <c r="H6876" s="115"/>
      <c r="I6876" s="24"/>
      <c r="J6876" s="116">
        <v>4.5</v>
      </c>
      <c r="K6876" s="118">
        <v>1070000</v>
      </c>
      <c r="L6876" s="119"/>
      <c r="M6876" s="118">
        <f t="shared" ref="M6876" si="9673">K6876*0.1</f>
        <v>107000</v>
      </c>
      <c r="N6876" s="119"/>
      <c r="O6876" s="118">
        <v>0</v>
      </c>
      <c r="P6876" s="119"/>
      <c r="Q6876" s="118">
        <v>10190</v>
      </c>
      <c r="R6876" s="119"/>
      <c r="S6876" s="118">
        <v>13200</v>
      </c>
      <c r="T6876" s="119"/>
      <c r="U6876" s="118">
        <f t="shared" ref="U6876" si="9674">SUM(K6876:T6877)</f>
        <v>1200390</v>
      </c>
      <c r="V6876" s="122"/>
      <c r="W6876" s="124"/>
      <c r="X6876" s="126" t="s">
        <v>20181</v>
      </c>
      <c r="Y6876" s="127"/>
      <c r="Z6876" s="127"/>
      <c r="AA6876" s="127"/>
      <c r="AB6876" s="128"/>
      <c r="AC6876" s="15" t="s">
        <v>20</v>
      </c>
      <c r="AD6876" s="129" t="s">
        <v>4435</v>
      </c>
      <c r="AE6876" s="130"/>
      <c r="AF6876" s="130"/>
      <c r="AG6876" s="130"/>
      <c r="AH6876" s="130"/>
      <c r="AI6876" s="131"/>
      <c r="AJ6876" s="132"/>
      <c r="AK6876" s="127"/>
      <c r="AL6876" s="128"/>
      <c r="AM6876" s="21"/>
      <c r="AN6876" s="133">
        <v>46092</v>
      </c>
      <c r="AO6876" s="134"/>
      <c r="AP6876" s="135">
        <v>1008</v>
      </c>
      <c r="AQ6876" s="136"/>
      <c r="AR6876" s="118">
        <v>1170000</v>
      </c>
      <c r="AS6876" s="119"/>
      <c r="AT6876" s="118">
        <f t="shared" ref="AT6876" si="9675">AR6876*0.1</f>
        <v>117000</v>
      </c>
      <c r="AU6876" s="119"/>
      <c r="AV6876" s="118">
        <v>10190</v>
      </c>
      <c r="AW6876" s="119"/>
      <c r="AX6876" s="118">
        <f t="shared" ref="AX6876" si="9676">SUM(AR6876:AW6876)</f>
        <v>1297190</v>
      </c>
      <c r="AY6876" s="119"/>
      <c r="AZ6876" s="137">
        <v>46098</v>
      </c>
    </row>
    <row r="6877" spans="1:52" ht="17.100000000000001" customHeight="1" thickBot="1">
      <c r="A6877" s="110"/>
      <c r="B6877" s="27" t="s">
        <v>2511</v>
      </c>
      <c r="C6877" s="27">
        <v>35738</v>
      </c>
      <c r="D6877" s="14" t="s">
        <v>2601</v>
      </c>
      <c r="E6877" s="112"/>
      <c r="F6877" s="139" t="s">
        <v>19703</v>
      </c>
      <c r="G6877" s="140"/>
      <c r="H6877" s="141"/>
      <c r="I6877" s="26">
        <v>78988</v>
      </c>
      <c r="J6877" s="117"/>
      <c r="K6877" s="120"/>
      <c r="L6877" s="121"/>
      <c r="M6877" s="120"/>
      <c r="N6877" s="121"/>
      <c r="O6877" s="120"/>
      <c r="P6877" s="121"/>
      <c r="Q6877" s="120"/>
      <c r="R6877" s="121"/>
      <c r="S6877" s="120"/>
      <c r="T6877" s="121"/>
      <c r="U6877" s="120"/>
      <c r="V6877" s="123"/>
      <c r="W6877" s="125"/>
      <c r="X6877" s="142" t="s">
        <v>20182</v>
      </c>
      <c r="Y6877" s="143"/>
      <c r="Z6877" s="143"/>
      <c r="AA6877" s="143"/>
      <c r="AB6877" s="144"/>
      <c r="AC6877" s="16" t="s">
        <v>21</v>
      </c>
      <c r="AD6877" s="17" t="s">
        <v>3666</v>
      </c>
      <c r="AE6877" s="145" t="s">
        <v>20183</v>
      </c>
      <c r="AF6877" s="146"/>
      <c r="AG6877" s="146"/>
      <c r="AH6877" s="146"/>
      <c r="AI6877" s="147"/>
      <c r="AJ6877" s="148"/>
      <c r="AK6877" s="143"/>
      <c r="AL6877" s="144"/>
      <c r="AM6877" s="22"/>
      <c r="AN6877" s="149" t="s">
        <v>19938</v>
      </c>
      <c r="AO6877" s="144"/>
      <c r="AP6877" s="148">
        <v>5117</v>
      </c>
      <c r="AQ6877" s="144"/>
      <c r="AR6877" s="120"/>
      <c r="AS6877" s="121"/>
      <c r="AT6877" s="120"/>
      <c r="AU6877" s="121"/>
      <c r="AV6877" s="120"/>
      <c r="AW6877" s="121"/>
      <c r="AX6877" s="120"/>
      <c r="AY6877" s="121"/>
      <c r="AZ6877" s="138"/>
    </row>
    <row r="6878" spans="1:52" ht="17.100000000000001" customHeight="1" thickTop="1">
      <c r="A6878" s="109" t="s">
        <v>19625</v>
      </c>
      <c r="B6878" s="28">
        <v>46088</v>
      </c>
      <c r="C6878" s="25">
        <v>1291</v>
      </c>
      <c r="D6878" s="13" t="s">
        <v>2759</v>
      </c>
      <c r="E6878" s="111"/>
      <c r="F6878" s="113" t="s">
        <v>15853</v>
      </c>
      <c r="G6878" s="114"/>
      <c r="H6878" s="115"/>
      <c r="I6878" s="24" t="s">
        <v>17277</v>
      </c>
      <c r="J6878" s="116">
        <v>4.5</v>
      </c>
      <c r="K6878" s="118">
        <v>990000</v>
      </c>
      <c r="L6878" s="119"/>
      <c r="M6878" s="118">
        <f t="shared" ref="M6878" si="9677">K6878*0.1</f>
        <v>99000</v>
      </c>
      <c r="N6878" s="119"/>
      <c r="O6878" s="118">
        <v>10800</v>
      </c>
      <c r="P6878" s="119"/>
      <c r="Q6878" s="118">
        <v>8390</v>
      </c>
      <c r="R6878" s="119"/>
      <c r="S6878" s="118">
        <v>12100</v>
      </c>
      <c r="T6878" s="119"/>
      <c r="U6878" s="118">
        <f t="shared" ref="U6878" si="9678">SUM(K6878:T6879)</f>
        <v>1120290</v>
      </c>
      <c r="V6878" s="122"/>
      <c r="W6878" s="124"/>
      <c r="X6878" s="126" t="s">
        <v>19718</v>
      </c>
      <c r="Y6878" s="127"/>
      <c r="Z6878" s="127"/>
      <c r="AA6878" s="127"/>
      <c r="AB6878" s="128"/>
      <c r="AC6878" s="15" t="s">
        <v>20</v>
      </c>
      <c r="AD6878" s="129" t="s">
        <v>1670</v>
      </c>
      <c r="AE6878" s="130"/>
      <c r="AF6878" s="130"/>
      <c r="AG6878" s="130"/>
      <c r="AH6878" s="130"/>
      <c r="AI6878" s="131"/>
      <c r="AJ6878" s="132"/>
      <c r="AK6878" s="127"/>
      <c r="AL6878" s="128"/>
      <c r="AM6878" s="21"/>
      <c r="AN6878" s="133">
        <v>46095</v>
      </c>
      <c r="AO6878" s="134"/>
      <c r="AP6878" s="135">
        <v>1292</v>
      </c>
      <c r="AQ6878" s="136"/>
      <c r="AR6878" s="118">
        <v>1035000</v>
      </c>
      <c r="AS6878" s="119"/>
      <c r="AT6878" s="118">
        <f t="shared" ref="AT6878" si="9679">AR6878*0.1</f>
        <v>103500</v>
      </c>
      <c r="AU6878" s="119"/>
      <c r="AV6878" s="118">
        <v>8390</v>
      </c>
      <c r="AW6878" s="119"/>
      <c r="AX6878" s="118">
        <f t="shared" ref="AX6878" si="9680">SUM(AR6878:AW6878)</f>
        <v>1146890</v>
      </c>
      <c r="AY6878" s="119"/>
      <c r="AZ6878" s="137">
        <v>46098</v>
      </c>
    </row>
    <row r="6879" spans="1:52" ht="17.100000000000001" customHeight="1" thickBot="1">
      <c r="A6879" s="110"/>
      <c r="B6879" s="27" t="s">
        <v>2511</v>
      </c>
      <c r="C6879" s="27">
        <v>65557</v>
      </c>
      <c r="D6879" s="14" t="s">
        <v>1592</v>
      </c>
      <c r="E6879" s="112"/>
      <c r="F6879" s="139" t="s">
        <v>19704</v>
      </c>
      <c r="G6879" s="140"/>
      <c r="H6879" s="141"/>
      <c r="I6879" s="26">
        <v>37167</v>
      </c>
      <c r="J6879" s="117"/>
      <c r="K6879" s="120"/>
      <c r="L6879" s="121"/>
      <c r="M6879" s="120"/>
      <c r="N6879" s="121"/>
      <c r="O6879" s="120"/>
      <c r="P6879" s="121"/>
      <c r="Q6879" s="120"/>
      <c r="R6879" s="121"/>
      <c r="S6879" s="120"/>
      <c r="T6879" s="121"/>
      <c r="U6879" s="120"/>
      <c r="V6879" s="123"/>
      <c r="W6879" s="125"/>
      <c r="X6879" s="142" t="s">
        <v>12698</v>
      </c>
      <c r="Y6879" s="143"/>
      <c r="Z6879" s="143"/>
      <c r="AA6879" s="143"/>
      <c r="AB6879" s="144"/>
      <c r="AC6879" s="16" t="s">
        <v>21</v>
      </c>
      <c r="AD6879" s="17" t="s">
        <v>3666</v>
      </c>
      <c r="AE6879" s="145" t="s">
        <v>20177</v>
      </c>
      <c r="AF6879" s="146"/>
      <c r="AG6879" s="146"/>
      <c r="AH6879" s="146"/>
      <c r="AI6879" s="147"/>
      <c r="AJ6879" s="148" t="s">
        <v>19745</v>
      </c>
      <c r="AK6879" s="143"/>
      <c r="AL6879" s="144"/>
      <c r="AM6879" s="22"/>
      <c r="AN6879" s="149" t="s">
        <v>2511</v>
      </c>
      <c r="AO6879" s="144"/>
      <c r="AP6879" s="148">
        <v>60003</v>
      </c>
      <c r="AQ6879" s="144"/>
      <c r="AR6879" s="120"/>
      <c r="AS6879" s="121"/>
      <c r="AT6879" s="120"/>
      <c r="AU6879" s="121"/>
      <c r="AV6879" s="120"/>
      <c r="AW6879" s="121"/>
      <c r="AX6879" s="120"/>
      <c r="AY6879" s="121"/>
      <c r="AZ6879" s="138"/>
    </row>
    <row r="6880" spans="1:52" ht="17.100000000000001" customHeight="1" thickTop="1">
      <c r="A6880" s="109" t="s">
        <v>19626</v>
      </c>
      <c r="B6880" s="28">
        <v>46088</v>
      </c>
      <c r="C6880" s="25">
        <v>1291</v>
      </c>
      <c r="D6880" s="13" t="s">
        <v>1642</v>
      </c>
      <c r="E6880" s="111"/>
      <c r="F6880" s="113" t="s">
        <v>19705</v>
      </c>
      <c r="G6880" s="114"/>
      <c r="H6880" s="115"/>
      <c r="I6880" s="24" t="s">
        <v>16077</v>
      </c>
      <c r="J6880" s="116">
        <v>4.5</v>
      </c>
      <c r="K6880" s="118">
        <v>965000</v>
      </c>
      <c r="L6880" s="119"/>
      <c r="M6880" s="118">
        <f t="shared" ref="M6880" si="9681">K6880*0.1</f>
        <v>96500</v>
      </c>
      <c r="N6880" s="119"/>
      <c r="O6880" s="118">
        <v>10800</v>
      </c>
      <c r="P6880" s="119"/>
      <c r="Q6880" s="118">
        <v>8640</v>
      </c>
      <c r="R6880" s="119"/>
      <c r="S6880" s="118">
        <v>12100</v>
      </c>
      <c r="T6880" s="119"/>
      <c r="U6880" s="118">
        <f t="shared" ref="U6880" si="9682">SUM(K6880:T6881)</f>
        <v>1093040</v>
      </c>
      <c r="V6880" s="122"/>
      <c r="W6880" s="124"/>
      <c r="X6880" s="126" t="s">
        <v>19719</v>
      </c>
      <c r="Y6880" s="127"/>
      <c r="Z6880" s="127"/>
      <c r="AA6880" s="127"/>
      <c r="AB6880" s="128"/>
      <c r="AC6880" s="15" t="s">
        <v>20</v>
      </c>
      <c r="AD6880" s="129" t="s">
        <v>19720</v>
      </c>
      <c r="AE6880" s="130"/>
      <c r="AF6880" s="130"/>
      <c r="AG6880" s="130"/>
      <c r="AH6880" s="130"/>
      <c r="AI6880" s="131"/>
      <c r="AJ6880" s="132"/>
      <c r="AK6880" s="127"/>
      <c r="AL6880" s="128"/>
      <c r="AM6880" s="21"/>
      <c r="AN6880" s="133">
        <v>46092</v>
      </c>
      <c r="AO6880" s="134"/>
      <c r="AP6880" s="135">
        <v>1008</v>
      </c>
      <c r="AQ6880" s="136"/>
      <c r="AR6880" s="118">
        <v>1055000</v>
      </c>
      <c r="AS6880" s="119"/>
      <c r="AT6880" s="118">
        <f t="shared" ref="AT6880" si="9683">AR6880*0.1</f>
        <v>105500</v>
      </c>
      <c r="AU6880" s="119"/>
      <c r="AV6880" s="118">
        <v>8640</v>
      </c>
      <c r="AW6880" s="119"/>
      <c r="AX6880" s="118">
        <f t="shared" ref="AX6880" si="9684">SUM(AR6880:AW6880)</f>
        <v>1169140</v>
      </c>
      <c r="AY6880" s="119"/>
      <c r="AZ6880" s="137">
        <v>46098</v>
      </c>
    </row>
    <row r="6881" spans="1:52" ht="17.100000000000001" customHeight="1" thickBot="1">
      <c r="A6881" s="110"/>
      <c r="B6881" s="27" t="s">
        <v>2511</v>
      </c>
      <c r="C6881" s="27">
        <v>65595</v>
      </c>
      <c r="D6881" s="14" t="s">
        <v>2800</v>
      </c>
      <c r="E6881" s="112"/>
      <c r="F6881" s="139" t="s">
        <v>19706</v>
      </c>
      <c r="G6881" s="140"/>
      <c r="H6881" s="141"/>
      <c r="I6881" s="26">
        <v>47690</v>
      </c>
      <c r="J6881" s="117"/>
      <c r="K6881" s="120"/>
      <c r="L6881" s="121"/>
      <c r="M6881" s="120"/>
      <c r="N6881" s="121"/>
      <c r="O6881" s="120"/>
      <c r="P6881" s="121"/>
      <c r="Q6881" s="120"/>
      <c r="R6881" s="121"/>
      <c r="S6881" s="120"/>
      <c r="T6881" s="121"/>
      <c r="U6881" s="120"/>
      <c r="V6881" s="123"/>
      <c r="W6881" s="125"/>
      <c r="X6881" s="142" t="s">
        <v>1656</v>
      </c>
      <c r="Y6881" s="143"/>
      <c r="Z6881" s="143"/>
      <c r="AA6881" s="143"/>
      <c r="AB6881" s="144"/>
      <c r="AC6881" s="16" t="s">
        <v>21</v>
      </c>
      <c r="AD6881" s="17" t="s">
        <v>3666</v>
      </c>
      <c r="AE6881" s="145" t="s">
        <v>20180</v>
      </c>
      <c r="AF6881" s="146"/>
      <c r="AG6881" s="146"/>
      <c r="AH6881" s="146"/>
      <c r="AI6881" s="147"/>
      <c r="AJ6881" s="148"/>
      <c r="AK6881" s="143"/>
      <c r="AL6881" s="144"/>
      <c r="AM6881" s="22"/>
      <c r="AN6881" s="149" t="s">
        <v>19938</v>
      </c>
      <c r="AO6881" s="144"/>
      <c r="AP6881" s="148">
        <v>2076</v>
      </c>
      <c r="AQ6881" s="144"/>
      <c r="AR6881" s="120"/>
      <c r="AS6881" s="121"/>
      <c r="AT6881" s="120"/>
      <c r="AU6881" s="121"/>
      <c r="AV6881" s="120"/>
      <c r="AW6881" s="121"/>
      <c r="AX6881" s="120"/>
      <c r="AY6881" s="121"/>
      <c r="AZ6881" s="138"/>
    </row>
    <row r="6882" spans="1:52" ht="17.100000000000001" customHeight="1" thickTop="1">
      <c r="A6882" s="109" t="s">
        <v>19627</v>
      </c>
      <c r="B6882" s="28">
        <v>46088</v>
      </c>
      <c r="C6882" s="25">
        <v>1291</v>
      </c>
      <c r="D6882" s="13" t="s">
        <v>2179</v>
      </c>
      <c r="E6882" s="111"/>
      <c r="F6882" s="113" t="s">
        <v>19707</v>
      </c>
      <c r="G6882" s="114"/>
      <c r="H6882" s="115"/>
      <c r="I6882" s="24"/>
      <c r="J6882" s="116">
        <v>4.5</v>
      </c>
      <c r="K6882" s="118">
        <v>800000</v>
      </c>
      <c r="L6882" s="119"/>
      <c r="M6882" s="118">
        <f t="shared" ref="M6882" si="9685">K6882*0.1</f>
        <v>80000</v>
      </c>
      <c r="N6882" s="119"/>
      <c r="O6882" s="118">
        <v>0</v>
      </c>
      <c r="P6882" s="119"/>
      <c r="Q6882" s="118">
        <v>19440</v>
      </c>
      <c r="R6882" s="119"/>
      <c r="S6882" s="118">
        <v>16500</v>
      </c>
      <c r="T6882" s="119"/>
      <c r="U6882" s="118">
        <f t="shared" ref="U6882" si="9686">SUM(K6882:T6883)</f>
        <v>915940</v>
      </c>
      <c r="V6882" s="122"/>
      <c r="W6882" s="124"/>
      <c r="X6882" s="126" t="s">
        <v>20187</v>
      </c>
      <c r="Y6882" s="127"/>
      <c r="Z6882" s="127"/>
      <c r="AA6882" s="127"/>
      <c r="AB6882" s="128"/>
      <c r="AC6882" s="15" t="s">
        <v>20</v>
      </c>
      <c r="AD6882" s="129"/>
      <c r="AE6882" s="130"/>
      <c r="AF6882" s="130"/>
      <c r="AG6882" s="130"/>
      <c r="AH6882" s="130"/>
      <c r="AI6882" s="131"/>
      <c r="AJ6882" s="132"/>
      <c r="AK6882" s="127"/>
      <c r="AL6882" s="128"/>
      <c r="AM6882" s="21"/>
      <c r="AN6882" s="133">
        <v>46102</v>
      </c>
      <c r="AO6882" s="134"/>
      <c r="AP6882" s="135">
        <v>1293</v>
      </c>
      <c r="AQ6882" s="136"/>
      <c r="AR6882" s="118">
        <v>900000</v>
      </c>
      <c r="AS6882" s="119"/>
      <c r="AT6882" s="118">
        <f t="shared" ref="AT6882" si="9687">AR6882*0.1</f>
        <v>90000</v>
      </c>
      <c r="AU6882" s="119"/>
      <c r="AV6882" s="118">
        <v>19440</v>
      </c>
      <c r="AW6882" s="119"/>
      <c r="AX6882" s="118">
        <f t="shared" ref="AX6882" si="9688">SUM(AR6882:AW6882)</f>
        <v>1009440</v>
      </c>
      <c r="AY6882" s="119"/>
      <c r="AZ6882" s="137">
        <v>46105</v>
      </c>
    </row>
    <row r="6883" spans="1:52" ht="17.100000000000001" customHeight="1" thickBot="1">
      <c r="A6883" s="110"/>
      <c r="B6883" s="27" t="s">
        <v>2511</v>
      </c>
      <c r="C6883" s="27">
        <v>72018</v>
      </c>
      <c r="D6883" s="14" t="s">
        <v>2325</v>
      </c>
      <c r="E6883" s="112"/>
      <c r="F6883" s="139" t="s">
        <v>19721</v>
      </c>
      <c r="G6883" s="140"/>
      <c r="H6883" s="141"/>
      <c r="I6883" s="26">
        <v>36928</v>
      </c>
      <c r="J6883" s="117"/>
      <c r="K6883" s="120"/>
      <c r="L6883" s="121"/>
      <c r="M6883" s="120"/>
      <c r="N6883" s="121"/>
      <c r="O6883" s="120"/>
      <c r="P6883" s="121"/>
      <c r="Q6883" s="120"/>
      <c r="R6883" s="121"/>
      <c r="S6883" s="120"/>
      <c r="T6883" s="121"/>
      <c r="U6883" s="120"/>
      <c r="V6883" s="123"/>
      <c r="W6883" s="125"/>
      <c r="X6883" s="142" t="s">
        <v>20188</v>
      </c>
      <c r="Y6883" s="143"/>
      <c r="Z6883" s="143"/>
      <c r="AA6883" s="143"/>
      <c r="AB6883" s="144"/>
      <c r="AC6883" s="16" t="s">
        <v>21</v>
      </c>
      <c r="AD6883" s="17" t="s">
        <v>3666</v>
      </c>
      <c r="AE6883" s="145" t="s">
        <v>20309</v>
      </c>
      <c r="AF6883" s="146"/>
      <c r="AG6883" s="146"/>
      <c r="AH6883" s="146"/>
      <c r="AI6883" s="147"/>
      <c r="AJ6883" s="148"/>
      <c r="AK6883" s="143"/>
      <c r="AL6883" s="144"/>
      <c r="AM6883" s="22"/>
      <c r="AN6883" s="149" t="s">
        <v>2511</v>
      </c>
      <c r="AO6883" s="144"/>
      <c r="AP6883" s="148">
        <v>80073</v>
      </c>
      <c r="AQ6883" s="144"/>
      <c r="AR6883" s="120"/>
      <c r="AS6883" s="121"/>
      <c r="AT6883" s="120"/>
      <c r="AU6883" s="121"/>
      <c r="AV6883" s="120"/>
      <c r="AW6883" s="121"/>
      <c r="AX6883" s="120"/>
      <c r="AY6883" s="121"/>
      <c r="AZ6883" s="138"/>
    </row>
    <row r="6884" spans="1:52" ht="17.100000000000001" customHeight="1" thickTop="1">
      <c r="A6884" s="109" t="s">
        <v>19628</v>
      </c>
      <c r="B6884" s="28">
        <v>46088</v>
      </c>
      <c r="C6884" s="25">
        <v>1291</v>
      </c>
      <c r="D6884" s="13" t="s">
        <v>1563</v>
      </c>
      <c r="E6884" s="111"/>
      <c r="F6884" s="113" t="s">
        <v>19708</v>
      </c>
      <c r="G6884" s="114"/>
      <c r="H6884" s="115"/>
      <c r="I6884" s="24" t="s">
        <v>2064</v>
      </c>
      <c r="J6884" s="116">
        <v>4</v>
      </c>
      <c r="K6884" s="118">
        <v>1645000</v>
      </c>
      <c r="L6884" s="119"/>
      <c r="M6884" s="118">
        <f t="shared" ref="M6884" si="9689">K6884*0.1</f>
        <v>164500</v>
      </c>
      <c r="N6884" s="119"/>
      <c r="O6884" s="118">
        <v>30500</v>
      </c>
      <c r="P6884" s="119"/>
      <c r="Q6884" s="118">
        <v>17600</v>
      </c>
      <c r="R6884" s="119"/>
      <c r="S6884" s="118">
        <v>16500</v>
      </c>
      <c r="T6884" s="119"/>
      <c r="U6884" s="118">
        <f t="shared" ref="U6884" si="9690">SUM(K6884:T6885)</f>
        <v>1874100</v>
      </c>
      <c r="V6884" s="122"/>
      <c r="W6884" s="124"/>
      <c r="X6884" s="126" t="s">
        <v>19723</v>
      </c>
      <c r="Y6884" s="127"/>
      <c r="Z6884" s="127"/>
      <c r="AA6884" s="127"/>
      <c r="AB6884" s="128"/>
      <c r="AC6884" s="15" t="s">
        <v>20</v>
      </c>
      <c r="AD6884" s="129" t="s">
        <v>19724</v>
      </c>
      <c r="AE6884" s="130"/>
      <c r="AF6884" s="130"/>
      <c r="AG6884" s="130"/>
      <c r="AH6884" s="130"/>
      <c r="AI6884" s="131"/>
      <c r="AJ6884" s="132" t="s">
        <v>12101</v>
      </c>
      <c r="AK6884" s="127"/>
      <c r="AL6884" s="128"/>
      <c r="AM6884" s="21"/>
      <c r="AN6884" s="133">
        <v>46093</v>
      </c>
      <c r="AO6884" s="134"/>
      <c r="AP6884" s="135">
        <v>1322</v>
      </c>
      <c r="AQ6884" s="136"/>
      <c r="AR6884" s="118">
        <v>2010000</v>
      </c>
      <c r="AS6884" s="119"/>
      <c r="AT6884" s="118">
        <f t="shared" ref="AT6884" si="9691">AR6884*0.1</f>
        <v>201000</v>
      </c>
      <c r="AU6884" s="119"/>
      <c r="AV6884" s="118">
        <v>17890</v>
      </c>
      <c r="AW6884" s="119"/>
      <c r="AX6884" s="118">
        <f t="shared" ref="AX6884" si="9692">SUM(AR6884:AW6884)</f>
        <v>2228890</v>
      </c>
      <c r="AY6884" s="119"/>
      <c r="AZ6884" s="137">
        <v>46094</v>
      </c>
    </row>
    <row r="6885" spans="1:52" ht="17.100000000000001" customHeight="1" thickBot="1">
      <c r="A6885" s="110"/>
      <c r="B6885" s="27" t="s">
        <v>2511</v>
      </c>
      <c r="C6885" s="27">
        <v>82037</v>
      </c>
      <c r="D6885" s="14" t="s">
        <v>275</v>
      </c>
      <c r="E6885" s="112"/>
      <c r="F6885" s="139" t="s">
        <v>19722</v>
      </c>
      <c r="G6885" s="140"/>
      <c r="H6885" s="141"/>
      <c r="I6885" s="26">
        <v>26441</v>
      </c>
      <c r="J6885" s="117"/>
      <c r="K6885" s="120"/>
      <c r="L6885" s="121"/>
      <c r="M6885" s="120"/>
      <c r="N6885" s="121"/>
      <c r="O6885" s="120"/>
      <c r="P6885" s="121"/>
      <c r="Q6885" s="120"/>
      <c r="R6885" s="121"/>
      <c r="S6885" s="120"/>
      <c r="T6885" s="121"/>
      <c r="U6885" s="120"/>
      <c r="V6885" s="123"/>
      <c r="W6885" s="125"/>
      <c r="X6885" s="142" t="s">
        <v>20173</v>
      </c>
      <c r="Y6885" s="143"/>
      <c r="Z6885" s="143"/>
      <c r="AA6885" s="143"/>
      <c r="AB6885" s="144"/>
      <c r="AC6885" s="16" t="s">
        <v>21</v>
      </c>
      <c r="AD6885" s="17" t="s">
        <v>3666</v>
      </c>
      <c r="AE6885" s="145" t="s">
        <v>20280</v>
      </c>
      <c r="AF6885" s="146"/>
      <c r="AG6885" s="146"/>
      <c r="AH6885" s="146"/>
      <c r="AI6885" s="147"/>
      <c r="AJ6885" s="161" t="s">
        <v>20502</v>
      </c>
      <c r="AK6885" s="143"/>
      <c r="AL6885" s="144"/>
      <c r="AM6885" s="22"/>
      <c r="AN6885" s="149" t="s">
        <v>1747</v>
      </c>
      <c r="AO6885" s="144"/>
      <c r="AP6885" s="148">
        <v>87</v>
      </c>
      <c r="AQ6885" s="144"/>
      <c r="AR6885" s="120"/>
      <c r="AS6885" s="121"/>
      <c r="AT6885" s="120"/>
      <c r="AU6885" s="121"/>
      <c r="AV6885" s="120"/>
      <c r="AW6885" s="121"/>
      <c r="AX6885" s="120"/>
      <c r="AY6885" s="121"/>
      <c r="AZ6885" s="138"/>
    </row>
    <row r="6886" spans="1:52" ht="17.100000000000001" customHeight="1" thickTop="1">
      <c r="A6886" s="109" t="s">
        <v>19629</v>
      </c>
      <c r="B6886" s="28">
        <v>46088</v>
      </c>
      <c r="C6886" s="25">
        <v>1291</v>
      </c>
      <c r="D6886" s="13" t="s">
        <v>1640</v>
      </c>
      <c r="E6886" s="111"/>
      <c r="F6886" s="113" t="s">
        <v>19709</v>
      </c>
      <c r="G6886" s="114"/>
      <c r="H6886" s="115"/>
      <c r="I6886" s="24"/>
      <c r="J6886" s="116">
        <v>4</v>
      </c>
      <c r="K6886" s="118">
        <v>460000</v>
      </c>
      <c r="L6886" s="119"/>
      <c r="M6886" s="118">
        <f t="shared" ref="M6886" si="9693">K6886*0.1</f>
        <v>46000</v>
      </c>
      <c r="N6886" s="119"/>
      <c r="O6886" s="118">
        <v>0</v>
      </c>
      <c r="P6886" s="119"/>
      <c r="Q6886" s="118">
        <v>16260</v>
      </c>
      <c r="R6886" s="119"/>
      <c r="S6886" s="118">
        <v>16500</v>
      </c>
      <c r="T6886" s="119"/>
      <c r="U6886" s="118">
        <f t="shared" ref="U6886" si="9694">SUM(K6886:T6887)</f>
        <v>538760</v>
      </c>
      <c r="V6886" s="122"/>
      <c r="W6886" s="124"/>
      <c r="X6886" s="126" t="s">
        <v>20178</v>
      </c>
      <c r="Y6886" s="127"/>
      <c r="Z6886" s="127"/>
      <c r="AA6886" s="127"/>
      <c r="AB6886" s="128"/>
      <c r="AC6886" s="15" t="s">
        <v>20</v>
      </c>
      <c r="AD6886" s="129" t="s">
        <v>4435</v>
      </c>
      <c r="AE6886" s="130"/>
      <c r="AF6886" s="130"/>
      <c r="AG6886" s="130"/>
      <c r="AH6886" s="130"/>
      <c r="AI6886" s="131"/>
      <c r="AJ6886" s="132"/>
      <c r="AK6886" s="127"/>
      <c r="AL6886" s="128"/>
      <c r="AM6886" s="21"/>
      <c r="AN6886" s="133">
        <v>46093</v>
      </c>
      <c r="AO6886" s="134"/>
      <c r="AP6886" s="135">
        <v>1322</v>
      </c>
      <c r="AQ6886" s="136"/>
      <c r="AR6886" s="118">
        <v>615000</v>
      </c>
      <c r="AS6886" s="119"/>
      <c r="AT6886" s="118">
        <f t="shared" ref="AT6886" si="9695">AR6886*0.1</f>
        <v>61500</v>
      </c>
      <c r="AU6886" s="119"/>
      <c r="AV6886" s="118">
        <v>16260</v>
      </c>
      <c r="AW6886" s="119"/>
      <c r="AX6886" s="118">
        <f t="shared" ref="AX6886" si="9696">SUM(AR6886:AW6886)</f>
        <v>692760</v>
      </c>
      <c r="AY6886" s="119"/>
      <c r="AZ6886" s="137">
        <v>46093</v>
      </c>
    </row>
    <row r="6887" spans="1:52" ht="17.100000000000001" customHeight="1" thickBot="1">
      <c r="A6887" s="110"/>
      <c r="B6887" s="27" t="s">
        <v>2511</v>
      </c>
      <c r="C6887" s="27">
        <v>82093</v>
      </c>
      <c r="D6887" s="14" t="s">
        <v>904</v>
      </c>
      <c r="E6887" s="112"/>
      <c r="F6887" s="139" t="s">
        <v>19725</v>
      </c>
      <c r="G6887" s="140"/>
      <c r="H6887" s="141"/>
      <c r="I6887" s="26">
        <v>48128</v>
      </c>
      <c r="J6887" s="117"/>
      <c r="K6887" s="120"/>
      <c r="L6887" s="121"/>
      <c r="M6887" s="120"/>
      <c r="N6887" s="121"/>
      <c r="O6887" s="120"/>
      <c r="P6887" s="121"/>
      <c r="Q6887" s="120"/>
      <c r="R6887" s="121"/>
      <c r="S6887" s="120"/>
      <c r="T6887" s="121"/>
      <c r="U6887" s="120"/>
      <c r="V6887" s="123"/>
      <c r="W6887" s="125"/>
      <c r="X6887" s="142" t="s">
        <v>20179</v>
      </c>
      <c r="Y6887" s="143"/>
      <c r="Z6887" s="143"/>
      <c r="AA6887" s="143"/>
      <c r="AB6887" s="144"/>
      <c r="AC6887" s="16" t="s">
        <v>21</v>
      </c>
      <c r="AD6887" s="17" t="s">
        <v>3666</v>
      </c>
      <c r="AE6887" s="145" t="s">
        <v>171</v>
      </c>
      <c r="AF6887" s="146"/>
      <c r="AG6887" s="146"/>
      <c r="AH6887" s="146"/>
      <c r="AI6887" s="147"/>
      <c r="AJ6887" s="148"/>
      <c r="AK6887" s="143"/>
      <c r="AL6887" s="144"/>
      <c r="AM6887" s="22"/>
      <c r="AN6887" s="149" t="s">
        <v>1747</v>
      </c>
      <c r="AO6887" s="144"/>
      <c r="AP6887" s="148">
        <v>39</v>
      </c>
      <c r="AQ6887" s="144"/>
      <c r="AR6887" s="120"/>
      <c r="AS6887" s="121"/>
      <c r="AT6887" s="120"/>
      <c r="AU6887" s="121"/>
      <c r="AV6887" s="120"/>
      <c r="AW6887" s="121"/>
      <c r="AX6887" s="120"/>
      <c r="AY6887" s="121"/>
      <c r="AZ6887" s="138"/>
    </row>
    <row r="6888" spans="1:52" ht="17.100000000000001" customHeight="1" thickTop="1">
      <c r="A6888" s="109" t="s">
        <v>19630</v>
      </c>
      <c r="B6888" s="28">
        <v>46088</v>
      </c>
      <c r="C6888" s="25">
        <v>1291</v>
      </c>
      <c r="D6888" s="13" t="s">
        <v>1714</v>
      </c>
      <c r="E6888" s="111"/>
      <c r="F6888" s="113" t="s">
        <v>19710</v>
      </c>
      <c r="G6888" s="114"/>
      <c r="H6888" s="115"/>
      <c r="I6888" s="24"/>
      <c r="J6888" s="116">
        <v>4.5</v>
      </c>
      <c r="K6888" s="118">
        <v>2275000</v>
      </c>
      <c r="L6888" s="119"/>
      <c r="M6888" s="118">
        <f t="shared" ref="M6888" si="9697">K6888*0.1</f>
        <v>227500</v>
      </c>
      <c r="N6888" s="119"/>
      <c r="O6888" s="118">
        <v>0</v>
      </c>
      <c r="P6888" s="119"/>
      <c r="Q6888" s="118">
        <v>19180</v>
      </c>
      <c r="R6888" s="119"/>
      <c r="S6888" s="118">
        <v>16500</v>
      </c>
      <c r="T6888" s="119"/>
      <c r="U6888" s="118">
        <f t="shared" ref="U6888" si="9698">SUM(K6888:T6889)</f>
        <v>2538180</v>
      </c>
      <c r="V6888" s="122"/>
      <c r="W6888" s="124"/>
      <c r="X6888" s="126" t="s">
        <v>20174</v>
      </c>
      <c r="Y6888" s="127"/>
      <c r="Z6888" s="127"/>
      <c r="AA6888" s="127"/>
      <c r="AB6888" s="128"/>
      <c r="AC6888" s="15" t="s">
        <v>20</v>
      </c>
      <c r="AD6888" s="129" t="s">
        <v>1670</v>
      </c>
      <c r="AE6888" s="130"/>
      <c r="AF6888" s="130"/>
      <c r="AG6888" s="130"/>
      <c r="AH6888" s="130"/>
      <c r="AI6888" s="131"/>
      <c r="AJ6888" s="132"/>
      <c r="AK6888" s="127"/>
      <c r="AL6888" s="128"/>
      <c r="AM6888" s="21"/>
      <c r="AN6888" s="133">
        <v>46116</v>
      </c>
      <c r="AO6888" s="134"/>
      <c r="AP6888" s="135">
        <v>1295</v>
      </c>
      <c r="AQ6888" s="136"/>
      <c r="AR6888" s="118">
        <v>2360000</v>
      </c>
      <c r="AS6888" s="119"/>
      <c r="AT6888" s="118">
        <f t="shared" ref="AT6888" si="9699">AR6888*0.1</f>
        <v>236000</v>
      </c>
      <c r="AU6888" s="119"/>
      <c r="AV6888" s="118">
        <v>19180</v>
      </c>
      <c r="AW6888" s="119"/>
      <c r="AX6888" s="118">
        <f t="shared" ref="AX6888" si="9700">SUM(AR6888:AW6888)</f>
        <v>2615180</v>
      </c>
      <c r="AY6888" s="119"/>
      <c r="AZ6888" s="137">
        <v>46119</v>
      </c>
    </row>
    <row r="6889" spans="1:52" ht="17.100000000000001" customHeight="1" thickBot="1">
      <c r="A6889" s="110"/>
      <c r="B6889" s="27" t="s">
        <v>2511</v>
      </c>
      <c r="C6889" s="27">
        <v>82175</v>
      </c>
      <c r="D6889" s="14" t="s">
        <v>1700</v>
      </c>
      <c r="E6889" s="112"/>
      <c r="F6889" s="139" t="s">
        <v>19726</v>
      </c>
      <c r="G6889" s="140"/>
      <c r="H6889" s="141"/>
      <c r="I6889" s="26">
        <v>42208</v>
      </c>
      <c r="J6889" s="117"/>
      <c r="K6889" s="120"/>
      <c r="L6889" s="121"/>
      <c r="M6889" s="120"/>
      <c r="N6889" s="121"/>
      <c r="O6889" s="120"/>
      <c r="P6889" s="121"/>
      <c r="Q6889" s="120"/>
      <c r="R6889" s="121"/>
      <c r="S6889" s="120"/>
      <c r="T6889" s="121"/>
      <c r="U6889" s="120"/>
      <c r="V6889" s="123"/>
      <c r="W6889" s="125"/>
      <c r="X6889" s="142" t="s">
        <v>20175</v>
      </c>
      <c r="Y6889" s="143"/>
      <c r="Z6889" s="143"/>
      <c r="AA6889" s="143"/>
      <c r="AB6889" s="144"/>
      <c r="AC6889" s="16" t="s">
        <v>21</v>
      </c>
      <c r="AD6889" s="17" t="s">
        <v>3666</v>
      </c>
      <c r="AE6889" s="145" t="s">
        <v>1742</v>
      </c>
      <c r="AF6889" s="146"/>
      <c r="AG6889" s="146"/>
      <c r="AH6889" s="146"/>
      <c r="AI6889" s="147"/>
      <c r="AJ6889" s="148"/>
      <c r="AK6889" s="143"/>
      <c r="AL6889" s="144"/>
      <c r="AM6889" s="22"/>
      <c r="AN6889" s="149" t="s">
        <v>2511</v>
      </c>
      <c r="AO6889" s="144"/>
      <c r="AP6889" s="148">
        <v>80067</v>
      </c>
      <c r="AQ6889" s="144"/>
      <c r="AR6889" s="120"/>
      <c r="AS6889" s="121"/>
      <c r="AT6889" s="120"/>
      <c r="AU6889" s="121"/>
      <c r="AV6889" s="120"/>
      <c r="AW6889" s="121"/>
      <c r="AX6889" s="120"/>
      <c r="AY6889" s="121"/>
      <c r="AZ6889" s="138"/>
    </row>
    <row r="6890" spans="1:52" ht="17.100000000000001" customHeight="1" thickTop="1">
      <c r="A6890" s="109" t="s">
        <v>19698</v>
      </c>
      <c r="B6890" s="28">
        <v>46088</v>
      </c>
      <c r="C6890" s="25">
        <v>1291</v>
      </c>
      <c r="D6890" s="13" t="s">
        <v>2970</v>
      </c>
      <c r="E6890" s="111"/>
      <c r="F6890" s="113" t="s">
        <v>19711</v>
      </c>
      <c r="G6890" s="114"/>
      <c r="H6890" s="115"/>
      <c r="I6890" s="24"/>
      <c r="J6890" s="116">
        <v>4.5</v>
      </c>
      <c r="K6890" s="118">
        <v>1085000</v>
      </c>
      <c r="L6890" s="119"/>
      <c r="M6890" s="118">
        <f t="shared" ref="M6890" si="9701">K6890*0.1</f>
        <v>108500</v>
      </c>
      <c r="N6890" s="119"/>
      <c r="O6890" s="118">
        <v>0</v>
      </c>
      <c r="P6890" s="119"/>
      <c r="Q6890" s="118">
        <v>11810</v>
      </c>
      <c r="R6890" s="119"/>
      <c r="S6890" s="118">
        <v>16500</v>
      </c>
      <c r="T6890" s="119"/>
      <c r="U6890" s="118">
        <f t="shared" ref="U6890" si="9702">SUM(K6890:T6891)</f>
        <v>1221810</v>
      </c>
      <c r="V6890" s="122"/>
      <c r="W6890" s="124"/>
      <c r="X6890" s="126" t="s">
        <v>20185</v>
      </c>
      <c r="Y6890" s="127"/>
      <c r="Z6890" s="127"/>
      <c r="AA6890" s="127"/>
      <c r="AB6890" s="128"/>
      <c r="AC6890" s="15" t="s">
        <v>20</v>
      </c>
      <c r="AD6890" s="129" t="s">
        <v>4435</v>
      </c>
      <c r="AE6890" s="130"/>
      <c r="AF6890" s="130"/>
      <c r="AG6890" s="130"/>
      <c r="AH6890" s="130"/>
      <c r="AI6890" s="131"/>
      <c r="AJ6890" s="132"/>
      <c r="AK6890" s="127"/>
      <c r="AL6890" s="128"/>
      <c r="AM6890" s="21"/>
      <c r="AN6890" s="133">
        <v>46137</v>
      </c>
      <c r="AO6890" s="134"/>
      <c r="AP6890" s="135">
        <v>1298</v>
      </c>
      <c r="AQ6890" s="136"/>
      <c r="AR6890" s="118">
        <v>1200000</v>
      </c>
      <c r="AS6890" s="119"/>
      <c r="AT6890" s="118">
        <f t="shared" ref="AT6890" si="9703">AR6890*0.1</f>
        <v>120000</v>
      </c>
      <c r="AU6890" s="119"/>
      <c r="AV6890" s="118">
        <v>11810</v>
      </c>
      <c r="AW6890" s="119"/>
      <c r="AX6890" s="118">
        <f t="shared" ref="AX6890" si="9704">SUM(AR6890:AW6890)</f>
        <v>1331810</v>
      </c>
      <c r="AY6890" s="119"/>
      <c r="AZ6890" s="137">
        <v>46140</v>
      </c>
    </row>
    <row r="6891" spans="1:52" ht="17.100000000000001" customHeight="1" thickBot="1">
      <c r="A6891" s="110"/>
      <c r="B6891" s="27" t="s">
        <v>2511</v>
      </c>
      <c r="C6891" s="27">
        <v>82244</v>
      </c>
      <c r="D6891" s="14" t="s">
        <v>133</v>
      </c>
      <c r="E6891" s="112"/>
      <c r="F6891" s="139" t="s">
        <v>19727</v>
      </c>
      <c r="G6891" s="140"/>
      <c r="H6891" s="141"/>
      <c r="I6891" s="26">
        <v>40238</v>
      </c>
      <c r="J6891" s="117"/>
      <c r="K6891" s="120"/>
      <c r="L6891" s="121"/>
      <c r="M6891" s="120"/>
      <c r="N6891" s="121"/>
      <c r="O6891" s="120"/>
      <c r="P6891" s="121"/>
      <c r="Q6891" s="120"/>
      <c r="R6891" s="121"/>
      <c r="S6891" s="120"/>
      <c r="T6891" s="121"/>
      <c r="U6891" s="120"/>
      <c r="V6891" s="123"/>
      <c r="W6891" s="125"/>
      <c r="X6891" s="142" t="s">
        <v>20186</v>
      </c>
      <c r="Y6891" s="143"/>
      <c r="Z6891" s="143"/>
      <c r="AA6891" s="143"/>
      <c r="AB6891" s="144"/>
      <c r="AC6891" s="16" t="s">
        <v>21</v>
      </c>
      <c r="AD6891" s="17" t="s">
        <v>3666</v>
      </c>
      <c r="AE6891" s="145" t="s">
        <v>1633</v>
      </c>
      <c r="AF6891" s="146"/>
      <c r="AG6891" s="146"/>
      <c r="AH6891" s="146"/>
      <c r="AI6891" s="147"/>
      <c r="AJ6891" s="148"/>
      <c r="AK6891" s="143"/>
      <c r="AL6891" s="144"/>
      <c r="AM6891" s="22"/>
      <c r="AN6891" s="149" t="s">
        <v>2511</v>
      </c>
      <c r="AO6891" s="144"/>
      <c r="AP6891" s="148">
        <v>80239</v>
      </c>
      <c r="AQ6891" s="144"/>
      <c r="AR6891" s="120"/>
      <c r="AS6891" s="121"/>
      <c r="AT6891" s="120"/>
      <c r="AU6891" s="121"/>
      <c r="AV6891" s="120"/>
      <c r="AW6891" s="121"/>
      <c r="AX6891" s="120"/>
      <c r="AY6891" s="121"/>
      <c r="AZ6891" s="138"/>
    </row>
    <row r="6892" spans="1:52" ht="17.100000000000001" customHeight="1" thickTop="1">
      <c r="A6892" s="109" t="s">
        <v>19699</v>
      </c>
      <c r="B6892" s="28">
        <v>46088</v>
      </c>
      <c r="C6892" s="25">
        <v>1291</v>
      </c>
      <c r="D6892" s="13" t="s">
        <v>859</v>
      </c>
      <c r="E6892" s="111"/>
      <c r="F6892" s="113" t="s">
        <v>4559</v>
      </c>
      <c r="G6892" s="114"/>
      <c r="H6892" s="115"/>
      <c r="I6892" s="24" t="s">
        <v>3923</v>
      </c>
      <c r="J6892" s="116">
        <v>4.5</v>
      </c>
      <c r="K6892" s="118">
        <v>1255000</v>
      </c>
      <c r="L6892" s="119"/>
      <c r="M6892" s="118">
        <f t="shared" ref="M6892" si="9705">K6892*0.1</f>
        <v>125500</v>
      </c>
      <c r="N6892" s="119"/>
      <c r="O6892" s="118">
        <v>30500</v>
      </c>
      <c r="P6892" s="119"/>
      <c r="Q6892" s="118">
        <v>16240</v>
      </c>
      <c r="R6892" s="119"/>
      <c r="S6892" s="118">
        <v>16500</v>
      </c>
      <c r="T6892" s="119"/>
      <c r="U6892" s="118">
        <f t="shared" ref="U6892" si="9706">SUM(K6892:T6893)</f>
        <v>1443740</v>
      </c>
      <c r="V6892" s="122"/>
      <c r="W6892" s="124"/>
      <c r="X6892" s="126" t="s">
        <v>19729</v>
      </c>
      <c r="Y6892" s="127"/>
      <c r="Z6892" s="127"/>
      <c r="AA6892" s="127"/>
      <c r="AB6892" s="128"/>
      <c r="AC6892" s="15" t="s">
        <v>20</v>
      </c>
      <c r="AD6892" s="129" t="s">
        <v>3828</v>
      </c>
      <c r="AE6892" s="130"/>
      <c r="AF6892" s="130"/>
      <c r="AG6892" s="130"/>
      <c r="AH6892" s="130"/>
      <c r="AI6892" s="131"/>
      <c r="AJ6892" s="132"/>
      <c r="AK6892" s="127"/>
      <c r="AL6892" s="128"/>
      <c r="AM6892" s="21"/>
      <c r="AN6892" s="133">
        <v>46109</v>
      </c>
      <c r="AO6892" s="134"/>
      <c r="AP6892" s="135">
        <v>1294</v>
      </c>
      <c r="AQ6892" s="136"/>
      <c r="AR6892" s="118">
        <v>1330000</v>
      </c>
      <c r="AS6892" s="119"/>
      <c r="AT6892" s="118">
        <f t="shared" ref="AT6892" si="9707">AR6892*0.1</f>
        <v>133000</v>
      </c>
      <c r="AU6892" s="119"/>
      <c r="AV6892" s="118">
        <v>16240</v>
      </c>
      <c r="AW6892" s="119"/>
      <c r="AX6892" s="118">
        <f t="shared" ref="AX6892" si="9708">SUM(AR6892:AW6892)</f>
        <v>1479240</v>
      </c>
      <c r="AY6892" s="119"/>
      <c r="AZ6892" s="137">
        <v>46112</v>
      </c>
    </row>
    <row r="6893" spans="1:52" ht="17.100000000000001" customHeight="1" thickBot="1">
      <c r="A6893" s="110"/>
      <c r="B6893" s="27" t="s">
        <v>2511</v>
      </c>
      <c r="C6893" s="27">
        <v>82369</v>
      </c>
      <c r="D6893" s="14" t="s">
        <v>904</v>
      </c>
      <c r="E6893" s="112"/>
      <c r="F6893" s="139" t="s">
        <v>19728</v>
      </c>
      <c r="G6893" s="140"/>
      <c r="H6893" s="141"/>
      <c r="I6893" s="26">
        <v>40298</v>
      </c>
      <c r="J6893" s="117"/>
      <c r="K6893" s="120"/>
      <c r="L6893" s="121"/>
      <c r="M6893" s="120"/>
      <c r="N6893" s="121"/>
      <c r="O6893" s="120"/>
      <c r="P6893" s="121"/>
      <c r="Q6893" s="120"/>
      <c r="R6893" s="121"/>
      <c r="S6893" s="120"/>
      <c r="T6893" s="121"/>
      <c r="U6893" s="120"/>
      <c r="V6893" s="123"/>
      <c r="W6893" s="125"/>
      <c r="X6893" s="142" t="s">
        <v>2887</v>
      </c>
      <c r="Y6893" s="143"/>
      <c r="Z6893" s="143"/>
      <c r="AA6893" s="143"/>
      <c r="AB6893" s="144"/>
      <c r="AC6893" s="16" t="s">
        <v>21</v>
      </c>
      <c r="AD6893" s="17" t="s">
        <v>3666</v>
      </c>
      <c r="AE6893" s="145" t="s">
        <v>20184</v>
      </c>
      <c r="AF6893" s="146"/>
      <c r="AG6893" s="146"/>
      <c r="AH6893" s="146"/>
      <c r="AI6893" s="147"/>
      <c r="AJ6893" s="148"/>
      <c r="AK6893" s="143"/>
      <c r="AL6893" s="144"/>
      <c r="AM6893" s="22"/>
      <c r="AN6893" s="149" t="s">
        <v>21802</v>
      </c>
      <c r="AO6893" s="144"/>
      <c r="AP6893" s="148">
        <v>80107</v>
      </c>
      <c r="AQ6893" s="144"/>
      <c r="AR6893" s="120"/>
      <c r="AS6893" s="121"/>
      <c r="AT6893" s="120"/>
      <c r="AU6893" s="121"/>
      <c r="AV6893" s="120"/>
      <c r="AW6893" s="121"/>
      <c r="AX6893" s="120"/>
      <c r="AY6893" s="121"/>
      <c r="AZ6893" s="138"/>
    </row>
    <row r="6894" spans="1:52" ht="17.100000000000001" customHeight="1" thickTop="1">
      <c r="A6894" s="109" t="s">
        <v>19700</v>
      </c>
      <c r="B6894" s="28">
        <v>46088</v>
      </c>
      <c r="C6894" s="25">
        <v>1291</v>
      </c>
      <c r="D6894" s="13" t="s">
        <v>2606</v>
      </c>
      <c r="E6894" s="111"/>
      <c r="F6894" s="113" t="s">
        <v>19712</v>
      </c>
      <c r="G6894" s="114"/>
      <c r="H6894" s="115"/>
      <c r="I6894" s="24" t="s">
        <v>4096</v>
      </c>
      <c r="J6894" s="116">
        <v>4.5</v>
      </c>
      <c r="K6894" s="118">
        <v>1700000</v>
      </c>
      <c r="L6894" s="119"/>
      <c r="M6894" s="118">
        <f t="shared" ref="M6894" si="9709">K6894*0.1</f>
        <v>170000</v>
      </c>
      <c r="N6894" s="119"/>
      <c r="O6894" s="118">
        <v>30500</v>
      </c>
      <c r="P6894" s="119"/>
      <c r="Q6894" s="118">
        <v>16160</v>
      </c>
      <c r="R6894" s="119"/>
      <c r="S6894" s="118">
        <v>23100</v>
      </c>
      <c r="T6894" s="119"/>
      <c r="U6894" s="118">
        <f t="shared" ref="U6894" si="9710">SUM(K6894:T6895)</f>
        <v>1939760</v>
      </c>
      <c r="V6894" s="122"/>
      <c r="W6894" s="124"/>
      <c r="X6894" s="126" t="s">
        <v>19732</v>
      </c>
      <c r="Y6894" s="127"/>
      <c r="Z6894" s="127"/>
      <c r="AA6894" s="127"/>
      <c r="AB6894" s="128"/>
      <c r="AC6894" s="15" t="s">
        <v>20</v>
      </c>
      <c r="AD6894" s="129" t="s">
        <v>3821</v>
      </c>
      <c r="AE6894" s="130"/>
      <c r="AF6894" s="130"/>
      <c r="AG6894" s="130"/>
      <c r="AH6894" s="130"/>
      <c r="AI6894" s="131"/>
      <c r="AJ6894" s="132"/>
      <c r="AK6894" s="127"/>
      <c r="AL6894" s="128"/>
      <c r="AM6894" s="21" t="s">
        <v>22426</v>
      </c>
      <c r="AN6894" s="133"/>
      <c r="AO6894" s="134"/>
      <c r="AP6894" s="135"/>
      <c r="AQ6894" s="136"/>
      <c r="AR6894" s="118"/>
      <c r="AS6894" s="119"/>
      <c r="AT6894" s="118">
        <f t="shared" ref="AT6894" si="9711">AR6894*0.1</f>
        <v>0</v>
      </c>
      <c r="AU6894" s="119"/>
      <c r="AV6894" s="118"/>
      <c r="AW6894" s="119"/>
      <c r="AX6894" s="118">
        <f t="shared" ref="AX6894" si="9712">SUM(AR6894:AW6894)</f>
        <v>0</v>
      </c>
      <c r="AY6894" s="119"/>
      <c r="AZ6894" s="137"/>
    </row>
    <row r="6895" spans="1:52" ht="17.100000000000001" customHeight="1" thickBot="1">
      <c r="A6895" s="110"/>
      <c r="B6895" s="27" t="s">
        <v>2511</v>
      </c>
      <c r="C6895" s="27">
        <v>82475</v>
      </c>
      <c r="D6895" s="14" t="s">
        <v>19730</v>
      </c>
      <c r="E6895" s="112"/>
      <c r="F6895" s="139" t="s">
        <v>19731</v>
      </c>
      <c r="G6895" s="140"/>
      <c r="H6895" s="141"/>
      <c r="I6895" s="26">
        <v>30451</v>
      </c>
      <c r="J6895" s="117"/>
      <c r="K6895" s="120"/>
      <c r="L6895" s="121"/>
      <c r="M6895" s="120"/>
      <c r="N6895" s="121"/>
      <c r="O6895" s="120"/>
      <c r="P6895" s="121"/>
      <c r="Q6895" s="120"/>
      <c r="R6895" s="121"/>
      <c r="S6895" s="120"/>
      <c r="T6895" s="121"/>
      <c r="U6895" s="120"/>
      <c r="V6895" s="123"/>
      <c r="W6895" s="125"/>
      <c r="X6895" s="142" t="s">
        <v>12695</v>
      </c>
      <c r="Y6895" s="143"/>
      <c r="Z6895" s="143"/>
      <c r="AA6895" s="143"/>
      <c r="AB6895" s="144"/>
      <c r="AC6895" s="16" t="s">
        <v>21</v>
      </c>
      <c r="AD6895" s="17" t="s">
        <v>3666</v>
      </c>
      <c r="AE6895" s="145" t="s">
        <v>3123</v>
      </c>
      <c r="AF6895" s="146"/>
      <c r="AG6895" s="146"/>
      <c r="AH6895" s="146"/>
      <c r="AI6895" s="147"/>
      <c r="AJ6895" s="148"/>
      <c r="AK6895" s="143"/>
      <c r="AL6895" s="144"/>
      <c r="AM6895" s="22"/>
      <c r="AN6895" s="149"/>
      <c r="AO6895" s="144"/>
      <c r="AP6895" s="148"/>
      <c r="AQ6895" s="144"/>
      <c r="AR6895" s="120"/>
      <c r="AS6895" s="121"/>
      <c r="AT6895" s="120"/>
      <c r="AU6895" s="121"/>
      <c r="AV6895" s="120"/>
      <c r="AW6895" s="121"/>
      <c r="AX6895" s="120"/>
      <c r="AY6895" s="121"/>
      <c r="AZ6895" s="138"/>
    </row>
    <row r="6896" spans="1:52" ht="17.100000000000001" customHeight="1" thickTop="1">
      <c r="A6896" s="151" t="s">
        <v>19781</v>
      </c>
      <c r="B6896" s="28">
        <v>46090</v>
      </c>
      <c r="C6896" s="25">
        <v>2084</v>
      </c>
      <c r="D6896" s="13" t="s">
        <v>1922</v>
      </c>
      <c r="E6896" s="111"/>
      <c r="F6896" s="113" t="s">
        <v>19748</v>
      </c>
      <c r="G6896" s="114"/>
      <c r="H6896" s="115"/>
      <c r="I6896" s="24" t="s">
        <v>2571</v>
      </c>
      <c r="J6896" s="116">
        <v>4.5</v>
      </c>
      <c r="K6896" s="118">
        <v>2035000</v>
      </c>
      <c r="L6896" s="119"/>
      <c r="M6896" s="118">
        <f t="shared" ref="M6896" si="9713">K6896*0.1</f>
        <v>203500</v>
      </c>
      <c r="N6896" s="119"/>
      <c r="O6896" s="118">
        <v>25000</v>
      </c>
      <c r="P6896" s="119"/>
      <c r="Q6896" s="118">
        <v>14000</v>
      </c>
      <c r="R6896" s="119"/>
      <c r="S6896" s="118">
        <v>11000</v>
      </c>
      <c r="T6896" s="119"/>
      <c r="U6896" s="118">
        <f t="shared" ref="U6896" si="9714">SUM(K6896:T6897)</f>
        <v>2288500</v>
      </c>
      <c r="V6896" s="122"/>
      <c r="W6896" s="124"/>
      <c r="X6896" s="126" t="s">
        <v>19750</v>
      </c>
      <c r="Y6896" s="127"/>
      <c r="Z6896" s="127"/>
      <c r="AA6896" s="127"/>
      <c r="AB6896" s="128"/>
      <c r="AC6896" s="15" t="s">
        <v>20</v>
      </c>
      <c r="AD6896" s="129" t="s">
        <v>19751</v>
      </c>
      <c r="AE6896" s="130"/>
      <c r="AF6896" s="130"/>
      <c r="AG6896" s="130"/>
      <c r="AH6896" s="130"/>
      <c r="AI6896" s="131"/>
      <c r="AJ6896" s="132" t="s">
        <v>8040</v>
      </c>
      <c r="AK6896" s="127"/>
      <c r="AL6896" s="128"/>
      <c r="AM6896" s="21"/>
      <c r="AN6896" s="133"/>
      <c r="AO6896" s="134"/>
      <c r="AP6896" s="135"/>
      <c r="AQ6896" s="136"/>
      <c r="AR6896" s="118"/>
      <c r="AS6896" s="119"/>
      <c r="AT6896" s="118">
        <f t="shared" ref="AT6896" si="9715">AR6896*0.1</f>
        <v>0</v>
      </c>
      <c r="AU6896" s="119"/>
      <c r="AV6896" s="118"/>
      <c r="AW6896" s="119"/>
      <c r="AX6896" s="118">
        <f t="shared" ref="AX6896" si="9716">SUM(AR6896:AW6896)</f>
        <v>0</v>
      </c>
      <c r="AY6896" s="119"/>
      <c r="AZ6896" s="137"/>
    </row>
    <row r="6897" spans="1:52" ht="17.100000000000001" customHeight="1" thickBot="1">
      <c r="A6897" s="152"/>
      <c r="B6897" s="27" t="s">
        <v>83</v>
      </c>
      <c r="C6897" s="27">
        <v>33515</v>
      </c>
      <c r="D6897" s="14" t="s">
        <v>275</v>
      </c>
      <c r="E6897" s="112"/>
      <c r="F6897" s="139" t="s">
        <v>19749</v>
      </c>
      <c r="G6897" s="140"/>
      <c r="H6897" s="141"/>
      <c r="I6897" s="26">
        <v>24232</v>
      </c>
      <c r="J6897" s="117"/>
      <c r="K6897" s="120"/>
      <c r="L6897" s="121"/>
      <c r="M6897" s="120"/>
      <c r="N6897" s="121"/>
      <c r="O6897" s="120"/>
      <c r="P6897" s="121"/>
      <c r="Q6897" s="120"/>
      <c r="R6897" s="121"/>
      <c r="S6897" s="120"/>
      <c r="T6897" s="121"/>
      <c r="U6897" s="120"/>
      <c r="V6897" s="123"/>
      <c r="W6897" s="125"/>
      <c r="X6897" s="142"/>
      <c r="Y6897" s="143"/>
      <c r="Z6897" s="143"/>
      <c r="AA6897" s="143"/>
      <c r="AB6897" s="144"/>
      <c r="AC6897" s="16" t="s">
        <v>21</v>
      </c>
      <c r="AD6897" s="17" t="s">
        <v>10540</v>
      </c>
      <c r="AE6897" s="145" t="s">
        <v>20062</v>
      </c>
      <c r="AF6897" s="146"/>
      <c r="AG6897" s="146"/>
      <c r="AH6897" s="146"/>
      <c r="AI6897" s="147"/>
      <c r="AJ6897" s="148"/>
      <c r="AK6897" s="143"/>
      <c r="AL6897" s="144"/>
      <c r="AM6897" s="22"/>
      <c r="AN6897" s="149"/>
      <c r="AO6897" s="144"/>
      <c r="AP6897" s="148"/>
      <c r="AQ6897" s="144"/>
      <c r="AR6897" s="120"/>
      <c r="AS6897" s="121"/>
      <c r="AT6897" s="120"/>
      <c r="AU6897" s="121"/>
      <c r="AV6897" s="120"/>
      <c r="AW6897" s="121"/>
      <c r="AX6897" s="120"/>
      <c r="AY6897" s="121"/>
      <c r="AZ6897" s="138"/>
    </row>
    <row r="6898" spans="1:52" ht="17.100000000000001" customHeight="1" thickTop="1">
      <c r="A6898" s="109" t="s">
        <v>19782</v>
      </c>
      <c r="B6898" s="28">
        <v>46090</v>
      </c>
      <c r="C6898" s="25">
        <v>2084</v>
      </c>
      <c r="D6898" s="13" t="s">
        <v>1847</v>
      </c>
      <c r="E6898" s="111"/>
      <c r="F6898" s="113" t="s">
        <v>1147</v>
      </c>
      <c r="G6898" s="114"/>
      <c r="H6898" s="115"/>
      <c r="I6898" s="24" t="s">
        <v>4096</v>
      </c>
      <c r="J6898" s="116">
        <v>4</v>
      </c>
      <c r="K6898" s="118">
        <v>2195000</v>
      </c>
      <c r="L6898" s="119"/>
      <c r="M6898" s="118">
        <f t="shared" ref="M6898" si="9717">K6898*0.1</f>
        <v>219500</v>
      </c>
      <c r="N6898" s="119"/>
      <c r="O6898" s="118">
        <v>36000</v>
      </c>
      <c r="P6898" s="119"/>
      <c r="Q6898" s="118">
        <v>15750</v>
      </c>
      <c r="R6898" s="119"/>
      <c r="S6898" s="118">
        <v>11000</v>
      </c>
      <c r="T6898" s="119"/>
      <c r="U6898" s="118">
        <f t="shared" ref="U6898" si="9718">SUM(K6898:T6899)</f>
        <v>2477250</v>
      </c>
      <c r="V6898" s="122"/>
      <c r="W6898" s="124"/>
      <c r="X6898" s="126" t="s">
        <v>20075</v>
      </c>
      <c r="Y6898" s="127"/>
      <c r="Z6898" s="127"/>
      <c r="AA6898" s="127"/>
      <c r="AB6898" s="128"/>
      <c r="AC6898" s="15" t="s">
        <v>20</v>
      </c>
      <c r="AD6898" s="129" t="s">
        <v>1633</v>
      </c>
      <c r="AE6898" s="130"/>
      <c r="AF6898" s="130"/>
      <c r="AG6898" s="130"/>
      <c r="AH6898" s="130"/>
      <c r="AI6898" s="131"/>
      <c r="AJ6898" s="132"/>
      <c r="AK6898" s="127"/>
      <c r="AL6898" s="128"/>
      <c r="AM6898" s="21"/>
      <c r="AN6898" s="133"/>
      <c r="AO6898" s="134"/>
      <c r="AP6898" s="135"/>
      <c r="AQ6898" s="136"/>
      <c r="AR6898" s="118"/>
      <c r="AS6898" s="119"/>
      <c r="AT6898" s="118">
        <f t="shared" ref="AT6898" si="9719">AR6898*0.1</f>
        <v>0</v>
      </c>
      <c r="AU6898" s="119"/>
      <c r="AV6898" s="118"/>
      <c r="AW6898" s="119"/>
      <c r="AX6898" s="118">
        <f t="shared" ref="AX6898" si="9720">SUM(AR6898:AW6898)</f>
        <v>0</v>
      </c>
      <c r="AY6898" s="119"/>
      <c r="AZ6898" s="137"/>
    </row>
    <row r="6899" spans="1:52" ht="17.100000000000001" customHeight="1" thickBot="1">
      <c r="A6899" s="110"/>
      <c r="B6899" s="27" t="s">
        <v>83</v>
      </c>
      <c r="C6899" s="27">
        <v>34501</v>
      </c>
      <c r="D6899" s="14" t="s">
        <v>275</v>
      </c>
      <c r="E6899" s="112"/>
      <c r="F6899" s="139" t="s">
        <v>19752</v>
      </c>
      <c r="G6899" s="140"/>
      <c r="H6899" s="141"/>
      <c r="I6899" s="26">
        <v>44175</v>
      </c>
      <c r="J6899" s="117"/>
      <c r="K6899" s="120"/>
      <c r="L6899" s="121"/>
      <c r="M6899" s="120"/>
      <c r="N6899" s="121"/>
      <c r="O6899" s="120"/>
      <c r="P6899" s="121"/>
      <c r="Q6899" s="120"/>
      <c r="R6899" s="121"/>
      <c r="S6899" s="120"/>
      <c r="T6899" s="121"/>
      <c r="U6899" s="120"/>
      <c r="V6899" s="123"/>
      <c r="W6899" s="125"/>
      <c r="X6899" s="142" t="s">
        <v>8394</v>
      </c>
      <c r="Y6899" s="143"/>
      <c r="Z6899" s="143"/>
      <c r="AA6899" s="143"/>
      <c r="AB6899" s="144"/>
      <c r="AC6899" s="16" t="s">
        <v>21</v>
      </c>
      <c r="AD6899" s="17" t="s">
        <v>3666</v>
      </c>
      <c r="AE6899" s="145" t="s">
        <v>1742</v>
      </c>
      <c r="AF6899" s="146"/>
      <c r="AG6899" s="146"/>
      <c r="AH6899" s="146"/>
      <c r="AI6899" s="147"/>
      <c r="AJ6899" s="148"/>
      <c r="AK6899" s="143"/>
      <c r="AL6899" s="144"/>
      <c r="AM6899" s="22"/>
      <c r="AN6899" s="149"/>
      <c r="AO6899" s="144"/>
      <c r="AP6899" s="148"/>
      <c r="AQ6899" s="144"/>
      <c r="AR6899" s="120"/>
      <c r="AS6899" s="121"/>
      <c r="AT6899" s="120"/>
      <c r="AU6899" s="121"/>
      <c r="AV6899" s="120"/>
      <c r="AW6899" s="121"/>
      <c r="AX6899" s="120"/>
      <c r="AY6899" s="121"/>
      <c r="AZ6899" s="138"/>
    </row>
    <row r="6900" spans="1:52" ht="17.100000000000001" customHeight="1" thickTop="1">
      <c r="A6900" s="109" t="s">
        <v>19783</v>
      </c>
      <c r="B6900" s="28">
        <v>46090</v>
      </c>
      <c r="C6900" s="25">
        <v>2084</v>
      </c>
      <c r="D6900" s="13" t="s">
        <v>1870</v>
      </c>
      <c r="E6900" s="111"/>
      <c r="F6900" s="113" t="s">
        <v>19753</v>
      </c>
      <c r="G6900" s="114"/>
      <c r="H6900" s="115"/>
      <c r="I6900" s="24" t="s">
        <v>4109</v>
      </c>
      <c r="J6900" s="116">
        <v>4</v>
      </c>
      <c r="K6900" s="118">
        <v>703000</v>
      </c>
      <c r="L6900" s="119"/>
      <c r="M6900" s="118">
        <f t="shared" ref="M6900" si="9721">K6900*0.1</f>
        <v>70300</v>
      </c>
      <c r="N6900" s="119"/>
      <c r="O6900" s="118">
        <v>39500</v>
      </c>
      <c r="P6900" s="119"/>
      <c r="Q6900" s="118">
        <v>23940</v>
      </c>
      <c r="R6900" s="119"/>
      <c r="S6900" s="118">
        <v>11000</v>
      </c>
      <c r="T6900" s="119"/>
      <c r="U6900" s="118">
        <f t="shared" ref="U6900" si="9722">SUM(K6900:T6901)</f>
        <v>847740</v>
      </c>
      <c r="V6900" s="122"/>
      <c r="W6900" s="124"/>
      <c r="X6900" s="126" t="s">
        <v>19755</v>
      </c>
      <c r="Y6900" s="127"/>
      <c r="Z6900" s="127"/>
      <c r="AA6900" s="127"/>
      <c r="AB6900" s="128"/>
      <c r="AC6900" s="15" t="s">
        <v>20</v>
      </c>
      <c r="AD6900" s="129" t="s">
        <v>1605</v>
      </c>
      <c r="AE6900" s="130"/>
      <c r="AF6900" s="130"/>
      <c r="AG6900" s="130"/>
      <c r="AH6900" s="130"/>
      <c r="AI6900" s="131"/>
      <c r="AJ6900" s="132"/>
      <c r="AK6900" s="127"/>
      <c r="AL6900" s="128"/>
      <c r="AM6900" s="21"/>
      <c r="AN6900" s="133">
        <v>46095</v>
      </c>
      <c r="AO6900" s="134"/>
      <c r="AP6900" s="135">
        <v>1292</v>
      </c>
      <c r="AQ6900" s="136"/>
      <c r="AR6900" s="118">
        <v>895000</v>
      </c>
      <c r="AS6900" s="119"/>
      <c r="AT6900" s="118">
        <f t="shared" ref="AT6900" si="9723">AR6900*0.1</f>
        <v>89500</v>
      </c>
      <c r="AU6900" s="119"/>
      <c r="AV6900" s="118">
        <v>23940</v>
      </c>
      <c r="AW6900" s="119"/>
      <c r="AX6900" s="118">
        <f t="shared" ref="AX6900" si="9724">SUM(AR6900:AW6900)</f>
        <v>1008440</v>
      </c>
      <c r="AY6900" s="119"/>
      <c r="AZ6900" s="137">
        <v>46098</v>
      </c>
    </row>
    <row r="6901" spans="1:52" ht="17.100000000000001" customHeight="1" thickBot="1">
      <c r="A6901" s="110"/>
      <c r="B6901" s="27" t="s">
        <v>83</v>
      </c>
      <c r="C6901" s="27">
        <v>34504</v>
      </c>
      <c r="D6901" s="14" t="s">
        <v>1592</v>
      </c>
      <c r="E6901" s="112"/>
      <c r="F6901" s="139" t="s">
        <v>19754</v>
      </c>
      <c r="G6901" s="140"/>
      <c r="H6901" s="141"/>
      <c r="I6901" s="26">
        <v>75000</v>
      </c>
      <c r="J6901" s="117"/>
      <c r="K6901" s="120"/>
      <c r="L6901" s="121"/>
      <c r="M6901" s="120"/>
      <c r="N6901" s="121"/>
      <c r="O6901" s="120"/>
      <c r="P6901" s="121"/>
      <c r="Q6901" s="120"/>
      <c r="R6901" s="121"/>
      <c r="S6901" s="120"/>
      <c r="T6901" s="121"/>
      <c r="U6901" s="120"/>
      <c r="V6901" s="123"/>
      <c r="W6901" s="125"/>
      <c r="X6901" s="142" t="s">
        <v>293</v>
      </c>
      <c r="Y6901" s="143"/>
      <c r="Z6901" s="143"/>
      <c r="AA6901" s="143"/>
      <c r="AB6901" s="144"/>
      <c r="AC6901" s="16" t="s">
        <v>21</v>
      </c>
      <c r="AD6901" s="17" t="s">
        <v>3386</v>
      </c>
      <c r="AE6901" s="145" t="s">
        <v>5275</v>
      </c>
      <c r="AF6901" s="146"/>
      <c r="AG6901" s="146"/>
      <c r="AH6901" s="146"/>
      <c r="AI6901" s="147"/>
      <c r="AJ6901" s="148"/>
      <c r="AK6901" s="143"/>
      <c r="AL6901" s="144"/>
      <c r="AM6901" s="22"/>
      <c r="AN6901" s="149" t="s">
        <v>2511</v>
      </c>
      <c r="AO6901" s="144"/>
      <c r="AP6901" s="148">
        <v>80222</v>
      </c>
      <c r="AQ6901" s="144"/>
      <c r="AR6901" s="120"/>
      <c r="AS6901" s="121"/>
      <c r="AT6901" s="120"/>
      <c r="AU6901" s="121"/>
      <c r="AV6901" s="120"/>
      <c r="AW6901" s="121"/>
      <c r="AX6901" s="120"/>
      <c r="AY6901" s="121"/>
      <c r="AZ6901" s="138"/>
    </row>
    <row r="6902" spans="1:52" ht="17.100000000000001" customHeight="1" thickTop="1">
      <c r="A6902" s="109" t="s">
        <v>19784</v>
      </c>
      <c r="B6902" s="28">
        <v>46090</v>
      </c>
      <c r="C6902" s="25">
        <v>2084</v>
      </c>
      <c r="D6902" s="13" t="s">
        <v>2179</v>
      </c>
      <c r="E6902" s="111"/>
      <c r="F6902" s="113" t="s">
        <v>19756</v>
      </c>
      <c r="G6902" s="114"/>
      <c r="H6902" s="115"/>
      <c r="I6902" s="24" t="s">
        <v>1547</v>
      </c>
      <c r="J6902" s="116">
        <v>4</v>
      </c>
      <c r="K6902" s="118">
        <v>625000</v>
      </c>
      <c r="L6902" s="119"/>
      <c r="M6902" s="118">
        <f t="shared" ref="M6902" si="9725">K6902*0.1</f>
        <v>62500</v>
      </c>
      <c r="N6902" s="119"/>
      <c r="O6902" s="118">
        <v>39500</v>
      </c>
      <c r="P6902" s="119"/>
      <c r="Q6902" s="118">
        <v>19330</v>
      </c>
      <c r="R6902" s="119"/>
      <c r="S6902" s="118">
        <v>11000</v>
      </c>
      <c r="T6902" s="119"/>
      <c r="U6902" s="118">
        <f t="shared" ref="U6902" si="9726">SUM(K6902:T6903)</f>
        <v>757330</v>
      </c>
      <c r="V6902" s="122"/>
      <c r="W6902" s="124"/>
      <c r="X6902" s="126" t="s">
        <v>19758</v>
      </c>
      <c r="Y6902" s="127"/>
      <c r="Z6902" s="127"/>
      <c r="AA6902" s="127"/>
      <c r="AB6902" s="128"/>
      <c r="AC6902" s="15" t="s">
        <v>20</v>
      </c>
      <c r="AD6902" s="129" t="s">
        <v>171</v>
      </c>
      <c r="AE6902" s="130"/>
      <c r="AF6902" s="130"/>
      <c r="AG6902" s="130"/>
      <c r="AH6902" s="130"/>
      <c r="AI6902" s="131"/>
      <c r="AJ6902" s="132"/>
      <c r="AK6902" s="127"/>
      <c r="AL6902" s="128"/>
      <c r="AM6902" s="21"/>
      <c r="AN6902" s="133">
        <v>46095</v>
      </c>
      <c r="AO6902" s="134"/>
      <c r="AP6902" s="135">
        <v>1292</v>
      </c>
      <c r="AQ6902" s="136"/>
      <c r="AR6902" s="118">
        <v>780000</v>
      </c>
      <c r="AS6902" s="119"/>
      <c r="AT6902" s="118">
        <f t="shared" ref="AT6902" si="9727">AR6902*0.1</f>
        <v>78000</v>
      </c>
      <c r="AU6902" s="119"/>
      <c r="AV6902" s="118">
        <v>19330</v>
      </c>
      <c r="AW6902" s="119"/>
      <c r="AX6902" s="118">
        <f t="shared" ref="AX6902" si="9728">SUM(AR6902:AW6902)</f>
        <v>877330</v>
      </c>
      <c r="AY6902" s="119"/>
      <c r="AZ6902" s="137">
        <v>46098</v>
      </c>
    </row>
    <row r="6903" spans="1:52" ht="17.100000000000001" customHeight="1" thickBot="1">
      <c r="A6903" s="110"/>
      <c r="B6903" s="27" t="s">
        <v>83</v>
      </c>
      <c r="C6903" s="27">
        <v>34505</v>
      </c>
      <c r="D6903" s="14" t="s">
        <v>1592</v>
      </c>
      <c r="E6903" s="112"/>
      <c r="F6903" s="139" t="s">
        <v>19757</v>
      </c>
      <c r="G6903" s="140"/>
      <c r="H6903" s="141"/>
      <c r="I6903" s="26">
        <v>68980</v>
      </c>
      <c r="J6903" s="117"/>
      <c r="K6903" s="120"/>
      <c r="L6903" s="121"/>
      <c r="M6903" s="120"/>
      <c r="N6903" s="121"/>
      <c r="O6903" s="120"/>
      <c r="P6903" s="121"/>
      <c r="Q6903" s="120"/>
      <c r="R6903" s="121"/>
      <c r="S6903" s="120"/>
      <c r="T6903" s="121"/>
      <c r="U6903" s="120"/>
      <c r="V6903" s="123"/>
      <c r="W6903" s="125"/>
      <c r="X6903" s="142" t="s">
        <v>293</v>
      </c>
      <c r="Y6903" s="143"/>
      <c r="Z6903" s="143"/>
      <c r="AA6903" s="143"/>
      <c r="AB6903" s="144"/>
      <c r="AC6903" s="16" t="s">
        <v>21</v>
      </c>
      <c r="AD6903" s="17" t="s">
        <v>3386</v>
      </c>
      <c r="AE6903" s="145" t="s">
        <v>1945</v>
      </c>
      <c r="AF6903" s="146"/>
      <c r="AG6903" s="146"/>
      <c r="AH6903" s="146"/>
      <c r="AI6903" s="147"/>
      <c r="AJ6903" s="148"/>
      <c r="AK6903" s="143"/>
      <c r="AL6903" s="144"/>
      <c r="AM6903" s="22"/>
      <c r="AN6903" s="149" t="s">
        <v>2511</v>
      </c>
      <c r="AO6903" s="144"/>
      <c r="AP6903" s="148">
        <v>80221</v>
      </c>
      <c r="AQ6903" s="144"/>
      <c r="AR6903" s="120"/>
      <c r="AS6903" s="121"/>
      <c r="AT6903" s="120"/>
      <c r="AU6903" s="121"/>
      <c r="AV6903" s="120"/>
      <c r="AW6903" s="121"/>
      <c r="AX6903" s="120"/>
      <c r="AY6903" s="121"/>
      <c r="AZ6903" s="138"/>
    </row>
    <row r="6904" spans="1:52" ht="17.100000000000001" customHeight="1" thickTop="1">
      <c r="A6904" s="109" t="s">
        <v>19785</v>
      </c>
      <c r="B6904" s="28">
        <v>46090</v>
      </c>
      <c r="C6904" s="25">
        <v>2084</v>
      </c>
      <c r="D6904" s="13" t="s">
        <v>1597</v>
      </c>
      <c r="E6904" s="111"/>
      <c r="F6904" s="113" t="s">
        <v>7513</v>
      </c>
      <c r="G6904" s="114"/>
      <c r="H6904" s="115"/>
      <c r="I6904" s="24"/>
      <c r="J6904" s="116">
        <v>4.5</v>
      </c>
      <c r="K6904" s="118">
        <v>725000</v>
      </c>
      <c r="L6904" s="119"/>
      <c r="M6904" s="118">
        <f t="shared" ref="M6904" si="9729">K6904*0.1</f>
        <v>72500</v>
      </c>
      <c r="N6904" s="119"/>
      <c r="O6904" s="118">
        <v>0</v>
      </c>
      <c r="P6904" s="119"/>
      <c r="Q6904" s="118">
        <v>16580</v>
      </c>
      <c r="R6904" s="119"/>
      <c r="S6904" s="118">
        <v>11000</v>
      </c>
      <c r="T6904" s="119"/>
      <c r="U6904" s="118">
        <f t="shared" ref="U6904" si="9730">SUM(K6904:T6905)</f>
        <v>825080</v>
      </c>
      <c r="V6904" s="122"/>
      <c r="W6904" s="124"/>
      <c r="X6904" s="126" t="s">
        <v>19994</v>
      </c>
      <c r="Y6904" s="127"/>
      <c r="Z6904" s="127"/>
      <c r="AA6904" s="127"/>
      <c r="AB6904" s="128"/>
      <c r="AC6904" s="15" t="s">
        <v>20</v>
      </c>
      <c r="AD6904" s="129" t="s">
        <v>171</v>
      </c>
      <c r="AE6904" s="130"/>
      <c r="AF6904" s="130"/>
      <c r="AG6904" s="130"/>
      <c r="AH6904" s="130"/>
      <c r="AI6904" s="131"/>
      <c r="AJ6904" s="132"/>
      <c r="AK6904" s="127"/>
      <c r="AL6904" s="128"/>
      <c r="AM6904" s="21"/>
      <c r="AN6904" s="133">
        <v>46102</v>
      </c>
      <c r="AO6904" s="134"/>
      <c r="AP6904" s="135">
        <v>1293</v>
      </c>
      <c r="AQ6904" s="136"/>
      <c r="AR6904" s="118">
        <v>875000</v>
      </c>
      <c r="AS6904" s="119"/>
      <c r="AT6904" s="118">
        <f t="shared" ref="AT6904" si="9731">AR6904*0.1</f>
        <v>87500</v>
      </c>
      <c r="AU6904" s="119"/>
      <c r="AV6904" s="118">
        <v>16580</v>
      </c>
      <c r="AW6904" s="119"/>
      <c r="AX6904" s="118">
        <f t="shared" ref="AX6904" si="9732">SUM(AR6904:AW6904)</f>
        <v>979080</v>
      </c>
      <c r="AY6904" s="119"/>
      <c r="AZ6904" s="137">
        <v>46105</v>
      </c>
    </row>
    <row r="6905" spans="1:52" ht="17.100000000000001" customHeight="1" thickBot="1">
      <c r="A6905" s="110"/>
      <c r="B6905" s="27" t="s">
        <v>83</v>
      </c>
      <c r="C6905" s="27">
        <v>34515</v>
      </c>
      <c r="D6905" s="14" t="s">
        <v>1556</v>
      </c>
      <c r="E6905" s="112"/>
      <c r="F6905" s="139" t="s">
        <v>19759</v>
      </c>
      <c r="G6905" s="140"/>
      <c r="H6905" s="141"/>
      <c r="I6905" s="26">
        <v>33085</v>
      </c>
      <c r="J6905" s="117"/>
      <c r="K6905" s="120"/>
      <c r="L6905" s="121"/>
      <c r="M6905" s="120"/>
      <c r="N6905" s="121"/>
      <c r="O6905" s="120"/>
      <c r="P6905" s="121"/>
      <c r="Q6905" s="120"/>
      <c r="R6905" s="121"/>
      <c r="S6905" s="120"/>
      <c r="T6905" s="121"/>
      <c r="U6905" s="120"/>
      <c r="V6905" s="123"/>
      <c r="W6905" s="125"/>
      <c r="X6905" s="142" t="s">
        <v>4058</v>
      </c>
      <c r="Y6905" s="143"/>
      <c r="Z6905" s="143"/>
      <c r="AA6905" s="143"/>
      <c r="AB6905" s="144"/>
      <c r="AC6905" s="16" t="s">
        <v>21</v>
      </c>
      <c r="AD6905" s="17" t="s">
        <v>3386</v>
      </c>
      <c r="AE6905" s="145" t="s">
        <v>20292</v>
      </c>
      <c r="AF6905" s="146"/>
      <c r="AG6905" s="146"/>
      <c r="AH6905" s="146"/>
      <c r="AI6905" s="147"/>
      <c r="AJ6905" s="148"/>
      <c r="AK6905" s="143"/>
      <c r="AL6905" s="144"/>
      <c r="AM6905" s="22"/>
      <c r="AN6905" s="149" t="s">
        <v>2511</v>
      </c>
      <c r="AO6905" s="144"/>
      <c r="AP6905" s="148">
        <v>80077</v>
      </c>
      <c r="AQ6905" s="144"/>
      <c r="AR6905" s="120"/>
      <c r="AS6905" s="121"/>
      <c r="AT6905" s="120"/>
      <c r="AU6905" s="121"/>
      <c r="AV6905" s="120"/>
      <c r="AW6905" s="121"/>
      <c r="AX6905" s="120"/>
      <c r="AY6905" s="121"/>
      <c r="AZ6905" s="138"/>
    </row>
    <row r="6906" spans="1:52" ht="17.100000000000001" customHeight="1" thickTop="1">
      <c r="A6906" s="109" t="s">
        <v>19786</v>
      </c>
      <c r="B6906" s="28">
        <v>46090</v>
      </c>
      <c r="C6906" s="25"/>
      <c r="D6906" s="13" t="s">
        <v>2442</v>
      </c>
      <c r="E6906" s="111"/>
      <c r="F6906" s="113" t="s">
        <v>5536</v>
      </c>
      <c r="G6906" s="114"/>
      <c r="H6906" s="115"/>
      <c r="I6906" s="24" t="s">
        <v>2584</v>
      </c>
      <c r="J6906" s="116">
        <v>4</v>
      </c>
      <c r="K6906" s="118">
        <v>1592000</v>
      </c>
      <c r="L6906" s="119"/>
      <c r="M6906" s="118">
        <f t="shared" ref="M6906" si="9733">K6906*0.1</f>
        <v>159200</v>
      </c>
      <c r="N6906" s="119"/>
      <c r="O6906" s="118">
        <v>34500</v>
      </c>
      <c r="P6906" s="119"/>
      <c r="Q6906" s="118">
        <v>16240</v>
      </c>
      <c r="R6906" s="119"/>
      <c r="S6906" s="118">
        <v>14850</v>
      </c>
      <c r="T6906" s="119"/>
      <c r="U6906" s="118">
        <f t="shared" ref="U6906" si="9734">SUM(K6906:T6907)</f>
        <v>1816790</v>
      </c>
      <c r="V6906" s="122"/>
      <c r="W6906" s="124"/>
      <c r="X6906" s="126" t="s">
        <v>19761</v>
      </c>
      <c r="Y6906" s="127"/>
      <c r="Z6906" s="127"/>
      <c r="AA6906" s="127"/>
      <c r="AB6906" s="128"/>
      <c r="AC6906" s="15" t="s">
        <v>20</v>
      </c>
      <c r="AD6906" s="129"/>
      <c r="AE6906" s="130"/>
      <c r="AF6906" s="130"/>
      <c r="AG6906" s="130"/>
      <c r="AH6906" s="130"/>
      <c r="AI6906" s="131"/>
      <c r="AJ6906" s="132"/>
      <c r="AK6906" s="127"/>
      <c r="AL6906" s="128"/>
      <c r="AM6906" s="21"/>
      <c r="AN6906" s="133">
        <v>46095</v>
      </c>
      <c r="AO6906" s="134"/>
      <c r="AP6906" s="135">
        <v>1292</v>
      </c>
      <c r="AQ6906" s="136"/>
      <c r="AR6906" s="118">
        <v>1705000</v>
      </c>
      <c r="AS6906" s="119"/>
      <c r="AT6906" s="118">
        <f t="shared" ref="AT6906" si="9735">AR6906*0.1</f>
        <v>170500</v>
      </c>
      <c r="AU6906" s="119"/>
      <c r="AV6906" s="118">
        <v>16240</v>
      </c>
      <c r="AW6906" s="119"/>
      <c r="AX6906" s="118">
        <f t="shared" ref="AX6906" si="9736">SUM(AR6906:AW6906)</f>
        <v>1891740</v>
      </c>
      <c r="AY6906" s="119"/>
      <c r="AZ6906" s="137">
        <v>46100</v>
      </c>
    </row>
    <row r="6907" spans="1:52" ht="17.100000000000001" customHeight="1" thickBot="1">
      <c r="A6907" s="110"/>
      <c r="B6907" s="27" t="s">
        <v>2774</v>
      </c>
      <c r="C6907" s="27">
        <v>80257</v>
      </c>
      <c r="D6907" s="14" t="s">
        <v>12120</v>
      </c>
      <c r="E6907" s="112"/>
      <c r="F6907" s="139" t="s">
        <v>20290</v>
      </c>
      <c r="G6907" s="140"/>
      <c r="H6907" s="141"/>
      <c r="I6907" s="26">
        <v>52914</v>
      </c>
      <c r="J6907" s="117"/>
      <c r="K6907" s="120"/>
      <c r="L6907" s="121"/>
      <c r="M6907" s="120"/>
      <c r="N6907" s="121"/>
      <c r="O6907" s="120"/>
      <c r="P6907" s="121"/>
      <c r="Q6907" s="120"/>
      <c r="R6907" s="121"/>
      <c r="S6907" s="120"/>
      <c r="T6907" s="121"/>
      <c r="U6907" s="120"/>
      <c r="V6907" s="123"/>
      <c r="W6907" s="125"/>
      <c r="X6907" s="142" t="s">
        <v>20291</v>
      </c>
      <c r="Y6907" s="143"/>
      <c r="Z6907" s="143"/>
      <c r="AA6907" s="143"/>
      <c r="AB6907" s="144"/>
      <c r="AC6907" s="16" t="s">
        <v>21</v>
      </c>
      <c r="AD6907" s="17" t="s">
        <v>2702</v>
      </c>
      <c r="AE6907" s="145"/>
      <c r="AF6907" s="146"/>
      <c r="AG6907" s="146"/>
      <c r="AH6907" s="146"/>
      <c r="AI6907" s="147"/>
      <c r="AJ6907" s="148"/>
      <c r="AK6907" s="143"/>
      <c r="AL6907" s="144"/>
      <c r="AM6907" s="22"/>
      <c r="AN6907" s="149" t="s">
        <v>2511</v>
      </c>
      <c r="AO6907" s="144"/>
      <c r="AP6907" s="148">
        <v>80073</v>
      </c>
      <c r="AQ6907" s="144"/>
      <c r="AR6907" s="120"/>
      <c r="AS6907" s="121"/>
      <c r="AT6907" s="120"/>
      <c r="AU6907" s="121"/>
      <c r="AV6907" s="120"/>
      <c r="AW6907" s="121"/>
      <c r="AX6907" s="120"/>
      <c r="AY6907" s="121"/>
      <c r="AZ6907" s="138"/>
    </row>
    <row r="6908" spans="1:52" ht="17.100000000000001" customHeight="1" thickTop="1">
      <c r="A6908" s="109" t="s">
        <v>19787</v>
      </c>
      <c r="B6908" s="28">
        <v>46090</v>
      </c>
      <c r="C6908" s="25"/>
      <c r="D6908" s="13" t="s">
        <v>2059</v>
      </c>
      <c r="E6908" s="111"/>
      <c r="F6908" s="113" t="s">
        <v>19762</v>
      </c>
      <c r="G6908" s="114"/>
      <c r="H6908" s="115"/>
      <c r="I6908" s="24" t="s">
        <v>4096</v>
      </c>
      <c r="J6908" s="116">
        <v>4</v>
      </c>
      <c r="K6908" s="118">
        <v>415000</v>
      </c>
      <c r="L6908" s="119"/>
      <c r="M6908" s="118">
        <f t="shared" ref="M6908" si="9737">K6908*0.1</f>
        <v>41500</v>
      </c>
      <c r="N6908" s="119"/>
      <c r="O6908" s="118">
        <v>39500</v>
      </c>
      <c r="P6908" s="119"/>
      <c r="Q6908" s="118">
        <v>20420</v>
      </c>
      <c r="R6908" s="119"/>
      <c r="S6908" s="118">
        <v>14850</v>
      </c>
      <c r="T6908" s="119"/>
      <c r="U6908" s="118">
        <f t="shared" ref="U6908" si="9738">SUM(K6908:T6909)</f>
        <v>531270</v>
      </c>
      <c r="V6908" s="122"/>
      <c r="W6908" s="124"/>
      <c r="X6908" s="126" t="s">
        <v>19763</v>
      </c>
      <c r="Y6908" s="127"/>
      <c r="Z6908" s="127"/>
      <c r="AA6908" s="127"/>
      <c r="AB6908" s="128"/>
      <c r="AC6908" s="15" t="s">
        <v>20</v>
      </c>
      <c r="AD6908" s="129" t="s">
        <v>19764</v>
      </c>
      <c r="AE6908" s="130"/>
      <c r="AF6908" s="130"/>
      <c r="AG6908" s="130"/>
      <c r="AH6908" s="130"/>
      <c r="AI6908" s="131"/>
      <c r="AJ6908" s="132"/>
      <c r="AK6908" s="127"/>
      <c r="AL6908" s="128"/>
      <c r="AM6908" s="21"/>
      <c r="AN6908" s="133">
        <v>46095</v>
      </c>
      <c r="AO6908" s="134"/>
      <c r="AP6908" s="135">
        <v>1292</v>
      </c>
      <c r="AQ6908" s="136"/>
      <c r="AR6908" s="118">
        <v>550000</v>
      </c>
      <c r="AS6908" s="119"/>
      <c r="AT6908" s="118">
        <f t="shared" ref="AT6908" si="9739">AR6908*0.1</f>
        <v>55000</v>
      </c>
      <c r="AU6908" s="119"/>
      <c r="AV6908" s="118">
        <v>20420</v>
      </c>
      <c r="AW6908" s="119"/>
      <c r="AX6908" s="118">
        <f t="shared" ref="AX6908" si="9740">SUM(AR6908:AW6908)</f>
        <v>625420</v>
      </c>
      <c r="AY6908" s="119"/>
      <c r="AZ6908" s="137">
        <v>46100</v>
      </c>
    </row>
    <row r="6909" spans="1:52" ht="17.100000000000001" customHeight="1" thickBot="1">
      <c r="A6909" s="110"/>
      <c r="B6909" s="27" t="s">
        <v>2774</v>
      </c>
      <c r="C6909" s="27">
        <v>80260</v>
      </c>
      <c r="D6909" s="14" t="s">
        <v>904</v>
      </c>
      <c r="E6909" s="112"/>
      <c r="F6909" s="139" t="s">
        <v>20289</v>
      </c>
      <c r="G6909" s="140"/>
      <c r="H6909" s="141"/>
      <c r="I6909" s="26">
        <v>46750</v>
      </c>
      <c r="J6909" s="117"/>
      <c r="K6909" s="120"/>
      <c r="L6909" s="121"/>
      <c r="M6909" s="120"/>
      <c r="N6909" s="121"/>
      <c r="O6909" s="120"/>
      <c r="P6909" s="121"/>
      <c r="Q6909" s="120"/>
      <c r="R6909" s="121"/>
      <c r="S6909" s="120"/>
      <c r="T6909" s="121"/>
      <c r="U6909" s="120"/>
      <c r="V6909" s="123"/>
      <c r="W6909" s="125"/>
      <c r="X6909" s="142" t="s">
        <v>3300</v>
      </c>
      <c r="Y6909" s="143"/>
      <c r="Z6909" s="143"/>
      <c r="AA6909" s="143"/>
      <c r="AB6909" s="144"/>
      <c r="AC6909" s="16" t="s">
        <v>21</v>
      </c>
      <c r="AD6909" s="17" t="s">
        <v>2702</v>
      </c>
      <c r="AE6909" s="145" t="s">
        <v>9450</v>
      </c>
      <c r="AF6909" s="146"/>
      <c r="AG6909" s="146"/>
      <c r="AH6909" s="146"/>
      <c r="AI6909" s="147"/>
      <c r="AJ6909" s="148"/>
      <c r="AK6909" s="143"/>
      <c r="AL6909" s="144"/>
      <c r="AM6909" s="22"/>
      <c r="AN6909" s="149" t="s">
        <v>2511</v>
      </c>
      <c r="AO6909" s="144"/>
      <c r="AP6909" s="148">
        <v>80072</v>
      </c>
      <c r="AQ6909" s="144"/>
      <c r="AR6909" s="120"/>
      <c r="AS6909" s="121"/>
      <c r="AT6909" s="120"/>
      <c r="AU6909" s="121"/>
      <c r="AV6909" s="120"/>
      <c r="AW6909" s="121"/>
      <c r="AX6909" s="120"/>
      <c r="AY6909" s="121"/>
      <c r="AZ6909" s="138"/>
    </row>
    <row r="6910" spans="1:52" ht="17.100000000000001" customHeight="1" thickTop="1">
      <c r="A6910" s="109" t="s">
        <v>19788</v>
      </c>
      <c r="B6910" s="28">
        <v>46090</v>
      </c>
      <c r="C6910" s="25"/>
      <c r="D6910" s="13" t="s">
        <v>1958</v>
      </c>
      <c r="E6910" s="111"/>
      <c r="F6910" s="113" t="s">
        <v>19773</v>
      </c>
      <c r="G6910" s="114"/>
      <c r="H6910" s="115"/>
      <c r="I6910" s="24" t="s">
        <v>19674</v>
      </c>
      <c r="J6910" s="116">
        <v>4</v>
      </c>
      <c r="K6910" s="118">
        <f>550000/1.1</f>
        <v>499999.99999999994</v>
      </c>
      <c r="L6910" s="119"/>
      <c r="M6910" s="118">
        <f t="shared" ref="M6910" si="9741">K6910*0.1</f>
        <v>50000</v>
      </c>
      <c r="N6910" s="119"/>
      <c r="O6910" s="118">
        <v>0</v>
      </c>
      <c r="P6910" s="119"/>
      <c r="Q6910" s="118">
        <v>8600</v>
      </c>
      <c r="R6910" s="119"/>
      <c r="S6910" s="118">
        <v>0</v>
      </c>
      <c r="T6910" s="119"/>
      <c r="U6910" s="118">
        <f t="shared" ref="U6910" si="9742">SUM(K6910:T6911)</f>
        <v>558600</v>
      </c>
      <c r="V6910" s="122"/>
      <c r="W6910" s="124"/>
      <c r="X6910" s="126" t="s">
        <v>20929</v>
      </c>
      <c r="Y6910" s="127"/>
      <c r="Z6910" s="127"/>
      <c r="AA6910" s="127"/>
      <c r="AB6910" s="128"/>
      <c r="AC6910" s="15" t="s">
        <v>20</v>
      </c>
      <c r="AD6910" s="129" t="s">
        <v>3888</v>
      </c>
      <c r="AE6910" s="130"/>
      <c r="AF6910" s="130"/>
      <c r="AG6910" s="130"/>
      <c r="AH6910" s="130"/>
      <c r="AI6910" s="131"/>
      <c r="AJ6910" s="132"/>
      <c r="AK6910" s="127"/>
      <c r="AL6910" s="128"/>
      <c r="AM6910" s="21"/>
      <c r="AN6910" s="133">
        <v>46113</v>
      </c>
      <c r="AO6910" s="134"/>
      <c r="AP6910" s="135">
        <v>1011</v>
      </c>
      <c r="AQ6910" s="136"/>
      <c r="AR6910" s="118">
        <v>615000</v>
      </c>
      <c r="AS6910" s="119"/>
      <c r="AT6910" s="118">
        <f t="shared" ref="AT6910" si="9743">AR6910*0.1</f>
        <v>61500</v>
      </c>
      <c r="AU6910" s="119"/>
      <c r="AV6910" s="118">
        <v>8600</v>
      </c>
      <c r="AW6910" s="119"/>
      <c r="AX6910" s="118">
        <f t="shared" ref="AX6910" si="9744">SUM(AR6910:AW6910)</f>
        <v>685100</v>
      </c>
      <c r="AY6910" s="119"/>
      <c r="AZ6910" s="137">
        <v>46118</v>
      </c>
    </row>
    <row r="6911" spans="1:52" ht="17.100000000000001" customHeight="1" thickBot="1">
      <c r="A6911" s="110"/>
      <c r="B6911" s="27" t="s">
        <v>1718</v>
      </c>
      <c r="C6911" s="27" t="s">
        <v>19765</v>
      </c>
      <c r="D6911" s="14" t="s">
        <v>1592</v>
      </c>
      <c r="E6911" s="112"/>
      <c r="F6911" s="139" t="s">
        <v>19766</v>
      </c>
      <c r="G6911" s="140"/>
      <c r="H6911" s="141"/>
      <c r="I6911" s="26">
        <v>55553</v>
      </c>
      <c r="J6911" s="117"/>
      <c r="K6911" s="120"/>
      <c r="L6911" s="121"/>
      <c r="M6911" s="120"/>
      <c r="N6911" s="121"/>
      <c r="O6911" s="120"/>
      <c r="P6911" s="121"/>
      <c r="Q6911" s="120"/>
      <c r="R6911" s="121"/>
      <c r="S6911" s="120"/>
      <c r="T6911" s="121"/>
      <c r="U6911" s="120"/>
      <c r="V6911" s="123"/>
      <c r="W6911" s="125"/>
      <c r="X6911" s="142" t="s">
        <v>20930</v>
      </c>
      <c r="Y6911" s="143"/>
      <c r="Z6911" s="143"/>
      <c r="AA6911" s="143"/>
      <c r="AB6911" s="144"/>
      <c r="AC6911" s="16" t="s">
        <v>21</v>
      </c>
      <c r="AD6911" s="17" t="s">
        <v>20913</v>
      </c>
      <c r="AE6911" s="145" t="s">
        <v>20931</v>
      </c>
      <c r="AF6911" s="146"/>
      <c r="AG6911" s="146"/>
      <c r="AH6911" s="146"/>
      <c r="AI6911" s="147"/>
      <c r="AJ6911" s="148"/>
      <c r="AK6911" s="143"/>
      <c r="AL6911" s="144"/>
      <c r="AM6911" s="22"/>
      <c r="AN6911" s="149" t="s">
        <v>2794</v>
      </c>
      <c r="AO6911" s="144"/>
      <c r="AP6911" s="148">
        <v>1149</v>
      </c>
      <c r="AQ6911" s="144"/>
      <c r="AR6911" s="120"/>
      <c r="AS6911" s="121"/>
      <c r="AT6911" s="120"/>
      <c r="AU6911" s="121"/>
      <c r="AV6911" s="120"/>
      <c r="AW6911" s="121"/>
      <c r="AX6911" s="120"/>
      <c r="AY6911" s="121"/>
      <c r="AZ6911" s="138"/>
    </row>
    <row r="6912" spans="1:52" ht="17.100000000000001" customHeight="1" thickTop="1">
      <c r="A6912" s="109" t="s">
        <v>19789</v>
      </c>
      <c r="B6912" s="28">
        <v>46090</v>
      </c>
      <c r="C6912" s="25"/>
      <c r="D6912" s="13" t="s">
        <v>3439</v>
      </c>
      <c r="E6912" s="111"/>
      <c r="F6912" s="113" t="s">
        <v>19768</v>
      </c>
      <c r="G6912" s="114"/>
      <c r="H6912" s="115"/>
      <c r="I6912" s="24" t="s">
        <v>3974</v>
      </c>
      <c r="J6912" s="116">
        <v>3</v>
      </c>
      <c r="K6912" s="118">
        <f>372900/1.1</f>
        <v>339000</v>
      </c>
      <c r="L6912" s="119"/>
      <c r="M6912" s="118">
        <f t="shared" ref="M6912" si="9745">K6912*0.1</f>
        <v>33900</v>
      </c>
      <c r="N6912" s="119"/>
      <c r="O6912" s="118">
        <v>0</v>
      </c>
      <c r="P6912" s="119"/>
      <c r="Q6912" s="118">
        <v>16520</v>
      </c>
      <c r="R6912" s="119"/>
      <c r="S6912" s="118">
        <v>0</v>
      </c>
      <c r="T6912" s="119"/>
      <c r="U6912" s="118">
        <f t="shared" ref="U6912" si="9746">SUM(K6912:T6913)</f>
        <v>389420</v>
      </c>
      <c r="V6912" s="122"/>
      <c r="W6912" s="124"/>
      <c r="X6912" s="126" t="s">
        <v>21319</v>
      </c>
      <c r="Y6912" s="127"/>
      <c r="Z6912" s="127"/>
      <c r="AA6912" s="127"/>
      <c r="AB6912" s="128"/>
      <c r="AC6912" s="15" t="s">
        <v>20</v>
      </c>
      <c r="AD6912" s="129" t="s">
        <v>1797</v>
      </c>
      <c r="AE6912" s="130"/>
      <c r="AF6912" s="130"/>
      <c r="AG6912" s="130"/>
      <c r="AH6912" s="130"/>
      <c r="AI6912" s="131"/>
      <c r="AJ6912" s="132"/>
      <c r="AK6912" s="127"/>
      <c r="AL6912" s="128"/>
      <c r="AM6912" s="21"/>
      <c r="AN6912" s="133">
        <v>46113</v>
      </c>
      <c r="AO6912" s="134"/>
      <c r="AP6912" s="135">
        <v>1011</v>
      </c>
      <c r="AQ6912" s="136"/>
      <c r="AR6912" s="118">
        <v>1160000</v>
      </c>
      <c r="AS6912" s="119"/>
      <c r="AT6912" s="118">
        <f t="shared" ref="AT6912" si="9747">AR6912*0.1</f>
        <v>116000</v>
      </c>
      <c r="AU6912" s="119"/>
      <c r="AV6912" s="118">
        <v>16520</v>
      </c>
      <c r="AW6912" s="119"/>
      <c r="AX6912" s="118">
        <f t="shared" ref="AX6912" si="9748">SUM(AR6912:AW6912)</f>
        <v>1292520</v>
      </c>
      <c r="AY6912" s="119"/>
      <c r="AZ6912" s="137">
        <v>46118</v>
      </c>
    </row>
    <row r="6913" spans="1:52" ht="17.100000000000001" customHeight="1" thickBot="1">
      <c r="A6913" s="110"/>
      <c r="B6913" s="27" t="s">
        <v>1718</v>
      </c>
      <c r="C6913" s="27" t="s">
        <v>19767</v>
      </c>
      <c r="D6913" s="14" t="s">
        <v>275</v>
      </c>
      <c r="E6913" s="112"/>
      <c r="F6913" s="139" t="s">
        <v>19769</v>
      </c>
      <c r="G6913" s="140"/>
      <c r="H6913" s="141"/>
      <c r="I6913" s="26">
        <v>151177</v>
      </c>
      <c r="J6913" s="117"/>
      <c r="K6913" s="120"/>
      <c r="L6913" s="121"/>
      <c r="M6913" s="120"/>
      <c r="N6913" s="121"/>
      <c r="O6913" s="120"/>
      <c r="P6913" s="121"/>
      <c r="Q6913" s="120"/>
      <c r="R6913" s="121"/>
      <c r="S6913" s="120"/>
      <c r="T6913" s="121"/>
      <c r="U6913" s="120"/>
      <c r="V6913" s="123"/>
      <c r="W6913" s="125"/>
      <c r="X6913" s="142" t="s">
        <v>21320</v>
      </c>
      <c r="Y6913" s="143"/>
      <c r="Z6913" s="143"/>
      <c r="AA6913" s="143"/>
      <c r="AB6913" s="144"/>
      <c r="AC6913" s="16" t="s">
        <v>21</v>
      </c>
      <c r="AD6913" s="17" t="s">
        <v>21317</v>
      </c>
      <c r="AE6913" s="145" t="s">
        <v>21321</v>
      </c>
      <c r="AF6913" s="146"/>
      <c r="AG6913" s="146"/>
      <c r="AH6913" s="146"/>
      <c r="AI6913" s="147"/>
      <c r="AJ6913" s="148"/>
      <c r="AK6913" s="143"/>
      <c r="AL6913" s="144"/>
      <c r="AM6913" s="22"/>
      <c r="AN6913" s="149" t="s">
        <v>2794</v>
      </c>
      <c r="AO6913" s="144"/>
      <c r="AP6913" s="148">
        <v>1084</v>
      </c>
      <c r="AQ6913" s="144"/>
      <c r="AR6913" s="120"/>
      <c r="AS6913" s="121"/>
      <c r="AT6913" s="120"/>
      <c r="AU6913" s="121"/>
      <c r="AV6913" s="120"/>
      <c r="AW6913" s="121"/>
      <c r="AX6913" s="120"/>
      <c r="AY6913" s="121"/>
      <c r="AZ6913" s="138"/>
    </row>
    <row r="6914" spans="1:52" ht="17.100000000000001" customHeight="1" thickTop="1">
      <c r="A6914" s="109" t="s">
        <v>19790</v>
      </c>
      <c r="B6914" s="28">
        <v>46090</v>
      </c>
      <c r="C6914" s="25"/>
      <c r="D6914" s="13" t="s">
        <v>2508</v>
      </c>
      <c r="E6914" s="111"/>
      <c r="F6914" s="113" t="s">
        <v>8215</v>
      </c>
      <c r="G6914" s="114"/>
      <c r="H6914" s="115"/>
      <c r="I6914" s="24" t="s">
        <v>19772</v>
      </c>
      <c r="J6914" s="116">
        <v>5</v>
      </c>
      <c r="K6914" s="118">
        <f>5731000/1.1</f>
        <v>5210000</v>
      </c>
      <c r="L6914" s="119"/>
      <c r="M6914" s="118">
        <f t="shared" ref="M6914" si="9749">K6914*0.1</f>
        <v>521000</v>
      </c>
      <c r="N6914" s="119"/>
      <c r="O6914" s="118">
        <v>0</v>
      </c>
      <c r="P6914" s="119"/>
      <c r="Q6914" s="118">
        <v>14230</v>
      </c>
      <c r="R6914" s="119"/>
      <c r="S6914" s="118">
        <v>0</v>
      </c>
      <c r="T6914" s="119"/>
      <c r="U6914" s="118">
        <f t="shared" ref="U6914" si="9750">SUM(K6914:T6915)</f>
        <v>5745230</v>
      </c>
      <c r="V6914" s="122"/>
      <c r="W6914" s="124"/>
      <c r="X6914" s="126" t="s">
        <v>23315</v>
      </c>
      <c r="Y6914" s="127"/>
      <c r="Z6914" s="127"/>
      <c r="AA6914" s="127"/>
      <c r="AB6914" s="128"/>
      <c r="AC6914" s="15" t="s">
        <v>20</v>
      </c>
      <c r="AD6914" s="129" t="s">
        <v>1575</v>
      </c>
      <c r="AE6914" s="130"/>
      <c r="AF6914" s="130"/>
      <c r="AG6914" s="130"/>
      <c r="AH6914" s="130"/>
      <c r="AI6914" s="131"/>
      <c r="AJ6914" s="132"/>
      <c r="AK6914" s="127"/>
      <c r="AL6914" s="128"/>
      <c r="AM6914" s="21"/>
      <c r="AN6914" s="133">
        <v>46123</v>
      </c>
      <c r="AO6914" s="134"/>
      <c r="AP6914" s="135">
        <v>1296</v>
      </c>
      <c r="AQ6914" s="136"/>
      <c r="AR6914" s="118">
        <v>5330000</v>
      </c>
      <c r="AS6914" s="119"/>
      <c r="AT6914" s="118">
        <f>AR6914*0.1</f>
        <v>533000</v>
      </c>
      <c r="AU6914" s="119"/>
      <c r="AV6914" s="118">
        <v>14230</v>
      </c>
      <c r="AW6914" s="119"/>
      <c r="AX6914" s="118">
        <f t="shared" ref="AX6914" si="9751">SUM(AR6914:AW6914)</f>
        <v>5877230</v>
      </c>
      <c r="AY6914" s="119"/>
      <c r="AZ6914" s="137">
        <v>46133</v>
      </c>
    </row>
    <row r="6915" spans="1:52" ht="17.100000000000001" customHeight="1" thickBot="1">
      <c r="A6915" s="110"/>
      <c r="B6915" s="27" t="s">
        <v>1718</v>
      </c>
      <c r="C6915" s="27" t="s">
        <v>19770</v>
      </c>
      <c r="D6915" s="14" t="s">
        <v>275</v>
      </c>
      <c r="E6915" s="112"/>
      <c r="F6915" s="139" t="s">
        <v>19771</v>
      </c>
      <c r="G6915" s="140"/>
      <c r="H6915" s="141"/>
      <c r="I6915" s="26">
        <v>4775</v>
      </c>
      <c r="J6915" s="117"/>
      <c r="K6915" s="120"/>
      <c r="L6915" s="121"/>
      <c r="M6915" s="120"/>
      <c r="N6915" s="121"/>
      <c r="O6915" s="120"/>
      <c r="P6915" s="121"/>
      <c r="Q6915" s="120"/>
      <c r="R6915" s="121"/>
      <c r="S6915" s="120"/>
      <c r="T6915" s="121"/>
      <c r="U6915" s="120"/>
      <c r="V6915" s="123"/>
      <c r="W6915" s="125"/>
      <c r="X6915" s="142" t="s">
        <v>12393</v>
      </c>
      <c r="Y6915" s="143"/>
      <c r="Z6915" s="143"/>
      <c r="AA6915" s="143"/>
      <c r="AB6915" s="144"/>
      <c r="AC6915" s="16" t="s">
        <v>21</v>
      </c>
      <c r="AD6915" s="17" t="s">
        <v>23316</v>
      </c>
      <c r="AE6915" s="145" t="s">
        <v>23317</v>
      </c>
      <c r="AF6915" s="146"/>
      <c r="AG6915" s="146"/>
      <c r="AH6915" s="146"/>
      <c r="AI6915" s="147"/>
      <c r="AJ6915" s="148"/>
      <c r="AK6915" s="143"/>
      <c r="AL6915" s="144"/>
      <c r="AM6915" s="22"/>
      <c r="AN6915" s="149" t="s">
        <v>2511</v>
      </c>
      <c r="AO6915" s="144"/>
      <c r="AP6915" s="148">
        <v>37759</v>
      </c>
      <c r="AQ6915" s="144"/>
      <c r="AR6915" s="120"/>
      <c r="AS6915" s="121"/>
      <c r="AT6915" s="120"/>
      <c r="AU6915" s="121"/>
      <c r="AV6915" s="120"/>
      <c r="AW6915" s="121"/>
      <c r="AX6915" s="120"/>
      <c r="AY6915" s="121"/>
      <c r="AZ6915" s="138"/>
    </row>
    <row r="6916" spans="1:52" ht="17.100000000000001" customHeight="1" thickTop="1">
      <c r="A6916" s="109" t="s">
        <v>19791</v>
      </c>
      <c r="B6916" s="28">
        <v>46090</v>
      </c>
      <c r="C6916" s="25"/>
      <c r="D6916" s="13" t="s">
        <v>2508</v>
      </c>
      <c r="E6916" s="111"/>
      <c r="F6916" s="113" t="s">
        <v>8215</v>
      </c>
      <c r="G6916" s="114"/>
      <c r="H6916" s="115"/>
      <c r="I6916" s="24" t="s">
        <v>19779</v>
      </c>
      <c r="J6916" s="116">
        <v>5</v>
      </c>
      <c r="K6916" s="118">
        <f>5775000/1.1</f>
        <v>5250000</v>
      </c>
      <c r="L6916" s="119"/>
      <c r="M6916" s="118">
        <f t="shared" ref="M6916" si="9752">K6916*0.1</f>
        <v>525000</v>
      </c>
      <c r="N6916" s="119"/>
      <c r="O6916" s="118">
        <v>0</v>
      </c>
      <c r="P6916" s="119"/>
      <c r="Q6916" s="118">
        <v>14230</v>
      </c>
      <c r="R6916" s="119"/>
      <c r="S6916" s="118">
        <v>0</v>
      </c>
      <c r="T6916" s="119"/>
      <c r="U6916" s="118">
        <f t="shared" ref="U6916" si="9753">SUM(K6916:T6917)</f>
        <v>5789230</v>
      </c>
      <c r="V6916" s="122"/>
      <c r="W6916" s="124"/>
      <c r="X6916" s="126" t="s">
        <v>20596</v>
      </c>
      <c r="Y6916" s="127"/>
      <c r="Z6916" s="127"/>
      <c r="AA6916" s="127"/>
      <c r="AB6916" s="128"/>
      <c r="AC6916" s="15" t="s">
        <v>20</v>
      </c>
      <c r="AD6916" s="129" t="s">
        <v>1732</v>
      </c>
      <c r="AE6916" s="130"/>
      <c r="AF6916" s="130"/>
      <c r="AG6916" s="130"/>
      <c r="AH6916" s="130"/>
      <c r="AI6916" s="131"/>
      <c r="AJ6916" s="132"/>
      <c r="AK6916" s="127"/>
      <c r="AL6916" s="128"/>
      <c r="AM6916" s="21"/>
      <c r="AN6916" s="133">
        <v>46116</v>
      </c>
      <c r="AO6916" s="134"/>
      <c r="AP6916" s="135">
        <v>1295</v>
      </c>
      <c r="AQ6916" s="136"/>
      <c r="AR6916" s="118">
        <v>5345000</v>
      </c>
      <c r="AS6916" s="119"/>
      <c r="AT6916" s="118">
        <f t="shared" ref="AT6916" si="9754">AR6916*0.1</f>
        <v>534500</v>
      </c>
      <c r="AU6916" s="119"/>
      <c r="AV6916" s="118">
        <v>14230</v>
      </c>
      <c r="AW6916" s="119"/>
      <c r="AX6916" s="118">
        <f t="shared" ref="AX6916" si="9755">SUM(AR6916:AW6916)</f>
        <v>5893730</v>
      </c>
      <c r="AY6916" s="119"/>
      <c r="AZ6916" s="137">
        <v>46119</v>
      </c>
    </row>
    <row r="6917" spans="1:52" ht="17.100000000000001" customHeight="1" thickBot="1">
      <c r="A6917" s="110"/>
      <c r="B6917" s="27" t="s">
        <v>1718</v>
      </c>
      <c r="C6917" s="27" t="s">
        <v>19777</v>
      </c>
      <c r="D6917" s="14" t="s">
        <v>2601</v>
      </c>
      <c r="E6917" s="112"/>
      <c r="F6917" s="139" t="s">
        <v>19778</v>
      </c>
      <c r="G6917" s="140"/>
      <c r="H6917" s="141"/>
      <c r="I6917" s="26">
        <v>4399</v>
      </c>
      <c r="J6917" s="117"/>
      <c r="K6917" s="120"/>
      <c r="L6917" s="121"/>
      <c r="M6917" s="120"/>
      <c r="N6917" s="121"/>
      <c r="O6917" s="120"/>
      <c r="P6917" s="121"/>
      <c r="Q6917" s="120"/>
      <c r="R6917" s="121"/>
      <c r="S6917" s="120"/>
      <c r="T6917" s="121"/>
      <c r="U6917" s="120"/>
      <c r="V6917" s="123"/>
      <c r="W6917" s="125"/>
      <c r="X6917" s="142" t="s">
        <v>20597</v>
      </c>
      <c r="Y6917" s="143"/>
      <c r="Z6917" s="143"/>
      <c r="AA6917" s="143"/>
      <c r="AB6917" s="144"/>
      <c r="AC6917" s="16" t="s">
        <v>21</v>
      </c>
      <c r="AD6917" s="17" t="s">
        <v>2382</v>
      </c>
      <c r="AE6917" s="145" t="s">
        <v>20598</v>
      </c>
      <c r="AF6917" s="146"/>
      <c r="AG6917" s="146"/>
      <c r="AH6917" s="146"/>
      <c r="AI6917" s="147"/>
      <c r="AJ6917" s="148"/>
      <c r="AK6917" s="143"/>
      <c r="AL6917" s="144"/>
      <c r="AM6917" s="22"/>
      <c r="AN6917" s="149" t="s">
        <v>2511</v>
      </c>
      <c r="AO6917" s="144"/>
      <c r="AP6917" s="148">
        <v>37558</v>
      </c>
      <c r="AQ6917" s="144"/>
      <c r="AR6917" s="120"/>
      <c r="AS6917" s="121"/>
      <c r="AT6917" s="120"/>
      <c r="AU6917" s="121"/>
      <c r="AV6917" s="120"/>
      <c r="AW6917" s="121"/>
      <c r="AX6917" s="120"/>
      <c r="AY6917" s="121"/>
      <c r="AZ6917" s="138"/>
    </row>
    <row r="6918" spans="1:52" ht="17.100000000000001" customHeight="1" thickTop="1">
      <c r="A6918" s="109" t="s">
        <v>19792</v>
      </c>
      <c r="B6918" s="28">
        <v>46090</v>
      </c>
      <c r="C6918" s="25"/>
      <c r="D6918" s="13" t="s">
        <v>1971</v>
      </c>
      <c r="E6918" s="111"/>
      <c r="F6918" s="113" t="s">
        <v>19795</v>
      </c>
      <c r="G6918" s="114"/>
      <c r="H6918" s="115"/>
      <c r="I6918" s="24" t="s">
        <v>3502</v>
      </c>
      <c r="J6918" s="116">
        <v>4.5</v>
      </c>
      <c r="K6918" s="118">
        <f>2150500/1.1</f>
        <v>1954999.9999999998</v>
      </c>
      <c r="L6918" s="119"/>
      <c r="M6918" s="118">
        <f t="shared" ref="M6918" si="9756">K6918*0.1</f>
        <v>195500</v>
      </c>
      <c r="N6918" s="119"/>
      <c r="O6918" s="118">
        <v>0</v>
      </c>
      <c r="P6918" s="119"/>
      <c r="Q6918" s="118">
        <v>6180</v>
      </c>
      <c r="R6918" s="119"/>
      <c r="S6918" s="118">
        <v>0</v>
      </c>
      <c r="T6918" s="119"/>
      <c r="U6918" s="118">
        <f t="shared" ref="U6918" si="9757">SUM(K6918:T6919)</f>
        <v>2156680</v>
      </c>
      <c r="V6918" s="122"/>
      <c r="W6918" s="124"/>
      <c r="X6918" s="126" t="s">
        <v>20955</v>
      </c>
      <c r="Y6918" s="127"/>
      <c r="Z6918" s="127"/>
      <c r="AA6918" s="127"/>
      <c r="AB6918" s="128"/>
      <c r="AC6918" s="15" t="s">
        <v>20</v>
      </c>
      <c r="AD6918" s="129" t="s">
        <v>1945</v>
      </c>
      <c r="AE6918" s="130"/>
      <c r="AF6918" s="130"/>
      <c r="AG6918" s="130"/>
      <c r="AH6918" s="130"/>
      <c r="AI6918" s="131"/>
      <c r="AJ6918" s="132"/>
      <c r="AK6918" s="127"/>
      <c r="AL6918" s="128"/>
      <c r="AM6918" s="21"/>
      <c r="AN6918" s="133"/>
      <c r="AO6918" s="134"/>
      <c r="AP6918" s="135"/>
      <c r="AQ6918" s="136"/>
      <c r="AR6918" s="118"/>
      <c r="AS6918" s="119"/>
      <c r="AT6918" s="118">
        <f t="shared" ref="AT6918" si="9758">AR6918*0.1</f>
        <v>0</v>
      </c>
      <c r="AU6918" s="119"/>
      <c r="AV6918" s="118"/>
      <c r="AW6918" s="119"/>
      <c r="AX6918" s="118">
        <f t="shared" ref="AX6918" si="9759">SUM(AR6918:AW6918)</f>
        <v>0</v>
      </c>
      <c r="AY6918" s="119"/>
      <c r="AZ6918" s="137"/>
    </row>
    <row r="6919" spans="1:52" ht="17.100000000000001" customHeight="1" thickBot="1">
      <c r="A6919" s="110"/>
      <c r="B6919" s="27" t="s">
        <v>1718</v>
      </c>
      <c r="C6919" s="27" t="s">
        <v>19793</v>
      </c>
      <c r="D6919" s="14" t="s">
        <v>1592</v>
      </c>
      <c r="E6919" s="112"/>
      <c r="F6919" s="139" t="s">
        <v>19794</v>
      </c>
      <c r="G6919" s="140"/>
      <c r="H6919" s="141"/>
      <c r="I6919" s="26">
        <v>21951</v>
      </c>
      <c r="J6919" s="117"/>
      <c r="K6919" s="120"/>
      <c r="L6919" s="121"/>
      <c r="M6919" s="120"/>
      <c r="N6919" s="121"/>
      <c r="O6919" s="120"/>
      <c r="P6919" s="121"/>
      <c r="Q6919" s="120"/>
      <c r="R6919" s="121"/>
      <c r="S6919" s="120"/>
      <c r="T6919" s="121"/>
      <c r="U6919" s="120"/>
      <c r="V6919" s="123"/>
      <c r="W6919" s="125"/>
      <c r="X6919" s="142" t="s">
        <v>20956</v>
      </c>
      <c r="Y6919" s="143"/>
      <c r="Z6919" s="143"/>
      <c r="AA6919" s="143"/>
      <c r="AB6919" s="144"/>
      <c r="AC6919" s="16" t="s">
        <v>21</v>
      </c>
      <c r="AD6919" s="17" t="s">
        <v>20948</v>
      </c>
      <c r="AE6919" s="145" t="s">
        <v>20941</v>
      </c>
      <c r="AF6919" s="146"/>
      <c r="AG6919" s="146"/>
      <c r="AH6919" s="146"/>
      <c r="AI6919" s="147"/>
      <c r="AJ6919" s="148"/>
      <c r="AK6919" s="143"/>
      <c r="AL6919" s="144"/>
      <c r="AM6919" s="22"/>
      <c r="AN6919" s="149"/>
      <c r="AO6919" s="144"/>
      <c r="AP6919" s="148"/>
      <c r="AQ6919" s="144"/>
      <c r="AR6919" s="120"/>
      <c r="AS6919" s="121"/>
      <c r="AT6919" s="120"/>
      <c r="AU6919" s="121"/>
      <c r="AV6919" s="120"/>
      <c r="AW6919" s="121"/>
      <c r="AX6919" s="120"/>
      <c r="AY6919" s="121"/>
      <c r="AZ6919" s="138"/>
    </row>
    <row r="6920" spans="1:52" ht="17.100000000000001" customHeight="1" thickTop="1">
      <c r="A6920" s="109" t="s">
        <v>19848</v>
      </c>
      <c r="B6920" s="28">
        <v>46091</v>
      </c>
      <c r="C6920" s="25"/>
      <c r="D6920" s="13" t="s">
        <v>19849</v>
      </c>
      <c r="E6920" s="111"/>
      <c r="F6920" s="113" t="s">
        <v>19850</v>
      </c>
      <c r="G6920" s="114"/>
      <c r="H6920" s="115"/>
      <c r="I6920" s="24" t="s">
        <v>19852</v>
      </c>
      <c r="J6920" s="116"/>
      <c r="K6920" s="118">
        <v>250000</v>
      </c>
      <c r="L6920" s="119"/>
      <c r="M6920" s="118">
        <v>0</v>
      </c>
      <c r="N6920" s="119"/>
      <c r="O6920" s="118">
        <v>0</v>
      </c>
      <c r="P6920" s="119"/>
      <c r="Q6920" s="118">
        <v>0</v>
      </c>
      <c r="R6920" s="119"/>
      <c r="S6920" s="118">
        <v>0</v>
      </c>
      <c r="T6920" s="119"/>
      <c r="U6920" s="118">
        <f t="shared" ref="U6920" si="9760">SUM(K6920:T6921)</f>
        <v>250000</v>
      </c>
      <c r="V6920" s="122"/>
      <c r="W6920" s="124"/>
      <c r="X6920" s="126" t="s">
        <v>19853</v>
      </c>
      <c r="Y6920" s="127"/>
      <c r="Z6920" s="127"/>
      <c r="AA6920" s="127"/>
      <c r="AB6920" s="128"/>
      <c r="AC6920" s="15" t="s">
        <v>20</v>
      </c>
      <c r="AD6920" s="129"/>
      <c r="AE6920" s="130"/>
      <c r="AF6920" s="130"/>
      <c r="AG6920" s="130"/>
      <c r="AH6920" s="130"/>
      <c r="AI6920" s="131"/>
      <c r="AJ6920" s="132"/>
      <c r="AK6920" s="127"/>
      <c r="AL6920" s="128"/>
      <c r="AM6920" s="21"/>
      <c r="AN6920" s="133">
        <v>46102</v>
      </c>
      <c r="AO6920" s="134"/>
      <c r="AP6920" s="135">
        <v>1293</v>
      </c>
      <c r="AQ6920" s="136"/>
      <c r="AR6920" s="118">
        <v>270000</v>
      </c>
      <c r="AS6920" s="119"/>
      <c r="AT6920" s="118">
        <f t="shared" ref="AT6920" si="9761">AR6920*0.1</f>
        <v>27000</v>
      </c>
      <c r="AU6920" s="119"/>
      <c r="AV6920" s="118">
        <v>12770</v>
      </c>
      <c r="AW6920" s="119"/>
      <c r="AX6920" s="118">
        <f t="shared" ref="AX6920" si="9762">SUM(AR6920:AW6920)</f>
        <v>309770</v>
      </c>
      <c r="AY6920" s="119"/>
      <c r="AZ6920" s="137">
        <v>46105</v>
      </c>
    </row>
    <row r="6921" spans="1:52" ht="17.100000000000001" customHeight="1" thickBot="1">
      <c r="A6921" s="110"/>
      <c r="B6921" s="27" t="s">
        <v>19847</v>
      </c>
      <c r="C6921" s="27"/>
      <c r="D6921" s="14"/>
      <c r="E6921" s="112"/>
      <c r="F6921" s="139" t="s">
        <v>19851</v>
      </c>
      <c r="G6921" s="140"/>
      <c r="H6921" s="141"/>
      <c r="I6921" s="26"/>
      <c r="J6921" s="117"/>
      <c r="K6921" s="120"/>
      <c r="L6921" s="121"/>
      <c r="M6921" s="120"/>
      <c r="N6921" s="121"/>
      <c r="O6921" s="120"/>
      <c r="P6921" s="121"/>
      <c r="Q6921" s="120"/>
      <c r="R6921" s="121"/>
      <c r="S6921" s="120"/>
      <c r="T6921" s="121"/>
      <c r="U6921" s="120"/>
      <c r="V6921" s="123"/>
      <c r="W6921" s="125"/>
      <c r="X6921" s="142" t="s">
        <v>19854</v>
      </c>
      <c r="Y6921" s="143"/>
      <c r="Z6921" s="143"/>
      <c r="AA6921" s="143"/>
      <c r="AB6921" s="144"/>
      <c r="AC6921" s="16" t="s">
        <v>21</v>
      </c>
      <c r="AD6921" s="17" t="s">
        <v>1631</v>
      </c>
      <c r="AE6921" s="145" t="s">
        <v>171</v>
      </c>
      <c r="AF6921" s="146"/>
      <c r="AG6921" s="146"/>
      <c r="AH6921" s="146"/>
      <c r="AI6921" s="147"/>
      <c r="AJ6921" s="148"/>
      <c r="AK6921" s="143"/>
      <c r="AL6921" s="144"/>
      <c r="AM6921" s="22"/>
      <c r="AN6921" s="149" t="s">
        <v>2511</v>
      </c>
      <c r="AO6921" s="144"/>
      <c r="AP6921" s="148">
        <v>37105</v>
      </c>
      <c r="AQ6921" s="144"/>
      <c r="AR6921" s="120"/>
      <c r="AS6921" s="121"/>
      <c r="AT6921" s="120"/>
      <c r="AU6921" s="121"/>
      <c r="AV6921" s="120"/>
      <c r="AW6921" s="121"/>
      <c r="AX6921" s="120"/>
      <c r="AY6921" s="121"/>
      <c r="AZ6921" s="138"/>
    </row>
    <row r="6922" spans="1:52" ht="17.100000000000001" customHeight="1" thickTop="1">
      <c r="A6922" s="109" t="s">
        <v>19860</v>
      </c>
      <c r="B6922" s="28">
        <v>46091</v>
      </c>
      <c r="C6922" s="25">
        <v>981</v>
      </c>
      <c r="D6922" s="13" t="s">
        <v>1847</v>
      </c>
      <c r="E6922" s="111"/>
      <c r="F6922" s="113" t="s">
        <v>17887</v>
      </c>
      <c r="G6922" s="114"/>
      <c r="H6922" s="115"/>
      <c r="I6922" s="24"/>
      <c r="J6922" s="116">
        <v>4</v>
      </c>
      <c r="K6922" s="118">
        <v>1506000</v>
      </c>
      <c r="L6922" s="119"/>
      <c r="M6922" s="118">
        <f t="shared" ref="M6922" si="9763">K6922*0.1</f>
        <v>150600</v>
      </c>
      <c r="N6922" s="119"/>
      <c r="O6922" s="118">
        <v>0</v>
      </c>
      <c r="P6922" s="119"/>
      <c r="Q6922" s="118">
        <v>11100</v>
      </c>
      <c r="R6922" s="119"/>
      <c r="S6922" s="118">
        <v>22000</v>
      </c>
      <c r="T6922" s="119"/>
      <c r="U6922" s="118">
        <f t="shared" ref="U6922" si="9764">SUM(K6922:T6923)</f>
        <v>1689700</v>
      </c>
      <c r="V6922" s="122"/>
      <c r="W6922" s="124"/>
      <c r="X6922" s="126" t="s">
        <v>20539</v>
      </c>
      <c r="Y6922" s="127"/>
      <c r="Z6922" s="127"/>
      <c r="AA6922" s="127"/>
      <c r="AB6922" s="128"/>
      <c r="AC6922" s="15" t="s">
        <v>20</v>
      </c>
      <c r="AD6922" s="129" t="s">
        <v>1670</v>
      </c>
      <c r="AE6922" s="130"/>
      <c r="AF6922" s="130"/>
      <c r="AG6922" s="130"/>
      <c r="AH6922" s="130"/>
      <c r="AI6922" s="131"/>
      <c r="AJ6922" s="132"/>
      <c r="AK6922" s="127"/>
      <c r="AL6922" s="128"/>
      <c r="AM6922" s="21"/>
      <c r="AN6922" s="133">
        <v>46102</v>
      </c>
      <c r="AO6922" s="134"/>
      <c r="AP6922" s="135">
        <v>1293</v>
      </c>
      <c r="AQ6922" s="136"/>
      <c r="AR6922" s="118">
        <v>1590000</v>
      </c>
      <c r="AS6922" s="119"/>
      <c r="AT6922" s="118">
        <f t="shared" ref="AT6922" si="9765">AR6922*0.1</f>
        <v>159000</v>
      </c>
      <c r="AU6922" s="119"/>
      <c r="AV6922" s="118">
        <v>11100</v>
      </c>
      <c r="AW6922" s="119"/>
      <c r="AX6922" s="118">
        <f t="shared" ref="AX6922" si="9766">SUM(AR6922:AW6922)</f>
        <v>1760100</v>
      </c>
      <c r="AY6922" s="119"/>
      <c r="AZ6922" s="137">
        <v>46111</v>
      </c>
    </row>
    <row r="6923" spans="1:52" ht="17.100000000000001" customHeight="1" thickBot="1">
      <c r="A6923" s="110"/>
      <c r="B6923" s="27" t="s">
        <v>18196</v>
      </c>
      <c r="C6923" s="27">
        <v>103</v>
      </c>
      <c r="D6923" s="14" t="s">
        <v>2601</v>
      </c>
      <c r="E6923" s="112"/>
      <c r="F6923" s="139" t="s">
        <v>19871</v>
      </c>
      <c r="G6923" s="140"/>
      <c r="H6923" s="141"/>
      <c r="I6923" s="26">
        <v>11727</v>
      </c>
      <c r="J6923" s="117"/>
      <c r="K6923" s="120"/>
      <c r="L6923" s="121"/>
      <c r="M6923" s="120"/>
      <c r="N6923" s="121"/>
      <c r="O6923" s="120"/>
      <c r="P6923" s="121"/>
      <c r="Q6923" s="120"/>
      <c r="R6923" s="121"/>
      <c r="S6923" s="120"/>
      <c r="T6923" s="121"/>
      <c r="U6923" s="120"/>
      <c r="V6923" s="123"/>
      <c r="W6923" s="125"/>
      <c r="X6923" s="142" t="s">
        <v>2482</v>
      </c>
      <c r="Y6923" s="143"/>
      <c r="Z6923" s="143"/>
      <c r="AA6923" s="143"/>
      <c r="AB6923" s="144"/>
      <c r="AC6923" s="16" t="s">
        <v>21</v>
      </c>
      <c r="AD6923" s="17" t="s">
        <v>20491</v>
      </c>
      <c r="AE6923" s="145" t="s">
        <v>9056</v>
      </c>
      <c r="AF6923" s="146"/>
      <c r="AG6923" s="146"/>
      <c r="AH6923" s="146"/>
      <c r="AI6923" s="147"/>
      <c r="AJ6923" s="148"/>
      <c r="AK6923" s="143"/>
      <c r="AL6923" s="144"/>
      <c r="AM6923" s="22"/>
      <c r="AN6923" s="149" t="s">
        <v>21216</v>
      </c>
      <c r="AO6923" s="144"/>
      <c r="AP6923" s="148">
        <v>62022</v>
      </c>
      <c r="AQ6923" s="144"/>
      <c r="AR6923" s="120"/>
      <c r="AS6923" s="121"/>
      <c r="AT6923" s="120"/>
      <c r="AU6923" s="121"/>
      <c r="AV6923" s="120"/>
      <c r="AW6923" s="121"/>
      <c r="AX6923" s="120"/>
      <c r="AY6923" s="121"/>
      <c r="AZ6923" s="138"/>
    </row>
    <row r="6924" spans="1:52" ht="17.100000000000001" customHeight="1" thickTop="1">
      <c r="A6924" s="109" t="s">
        <v>19861</v>
      </c>
      <c r="B6924" s="28">
        <v>46091</v>
      </c>
      <c r="C6924" s="25">
        <v>981</v>
      </c>
      <c r="D6924" s="13" t="s">
        <v>1586</v>
      </c>
      <c r="E6924" s="111"/>
      <c r="F6924" s="113" t="s">
        <v>19869</v>
      </c>
      <c r="G6924" s="114"/>
      <c r="H6924" s="115"/>
      <c r="I6924" s="24"/>
      <c r="J6924" s="116">
        <v>3.5</v>
      </c>
      <c r="K6924" s="118">
        <v>876000</v>
      </c>
      <c r="L6924" s="119"/>
      <c r="M6924" s="118">
        <f t="shared" ref="M6924" si="9767">K6924*0.1</f>
        <v>87600</v>
      </c>
      <c r="N6924" s="119"/>
      <c r="O6924" s="118">
        <v>0</v>
      </c>
      <c r="P6924" s="119"/>
      <c r="Q6924" s="118">
        <v>8110</v>
      </c>
      <c r="R6924" s="119"/>
      <c r="S6924" s="118">
        <v>22000</v>
      </c>
      <c r="T6924" s="119"/>
      <c r="U6924" s="118">
        <f t="shared" ref="U6924" si="9768">SUM(K6924:T6925)</f>
        <v>993710</v>
      </c>
      <c r="V6924" s="122"/>
      <c r="W6924" s="124"/>
      <c r="X6924" s="126" t="s">
        <v>20538</v>
      </c>
      <c r="Y6924" s="127"/>
      <c r="Z6924" s="127"/>
      <c r="AA6924" s="127"/>
      <c r="AB6924" s="128"/>
      <c r="AC6924" s="15" t="s">
        <v>20</v>
      </c>
      <c r="AD6924" s="129" t="s">
        <v>2054</v>
      </c>
      <c r="AE6924" s="130"/>
      <c r="AF6924" s="130"/>
      <c r="AG6924" s="130"/>
      <c r="AH6924" s="130"/>
      <c r="AI6924" s="131"/>
      <c r="AJ6924" s="132"/>
      <c r="AK6924" s="127"/>
      <c r="AL6924" s="128"/>
      <c r="AM6924" s="21"/>
      <c r="AN6924" s="133">
        <v>46109</v>
      </c>
      <c r="AO6924" s="134"/>
      <c r="AP6924" s="135">
        <v>1294</v>
      </c>
      <c r="AQ6924" s="136"/>
      <c r="AR6924" s="118">
        <v>1035000</v>
      </c>
      <c r="AS6924" s="119"/>
      <c r="AT6924" s="118">
        <f t="shared" ref="AT6924" si="9769">AR6924*0.1</f>
        <v>103500</v>
      </c>
      <c r="AU6924" s="119"/>
      <c r="AV6924" s="118">
        <v>8110</v>
      </c>
      <c r="AW6924" s="119"/>
      <c r="AX6924" s="118">
        <f t="shared" ref="AX6924" si="9770">SUM(AR6924:AW6924)</f>
        <v>1146610</v>
      </c>
      <c r="AY6924" s="119"/>
      <c r="AZ6924" s="137">
        <v>46112</v>
      </c>
    </row>
    <row r="6925" spans="1:52" ht="17.100000000000001" customHeight="1" thickBot="1">
      <c r="A6925" s="110"/>
      <c r="B6925" s="27" t="s">
        <v>18196</v>
      </c>
      <c r="C6925" s="27">
        <v>113</v>
      </c>
      <c r="D6925" s="14" t="s">
        <v>275</v>
      </c>
      <c r="E6925" s="112"/>
      <c r="F6925" s="139" t="s">
        <v>19870</v>
      </c>
      <c r="G6925" s="140"/>
      <c r="H6925" s="141"/>
      <c r="I6925" s="26">
        <v>21893</v>
      </c>
      <c r="J6925" s="117"/>
      <c r="K6925" s="120"/>
      <c r="L6925" s="121"/>
      <c r="M6925" s="120"/>
      <c r="N6925" s="121"/>
      <c r="O6925" s="120"/>
      <c r="P6925" s="121"/>
      <c r="Q6925" s="120"/>
      <c r="R6925" s="121"/>
      <c r="S6925" s="120"/>
      <c r="T6925" s="121"/>
      <c r="U6925" s="120"/>
      <c r="V6925" s="123"/>
      <c r="W6925" s="125"/>
      <c r="X6925" s="142" t="s">
        <v>2482</v>
      </c>
      <c r="Y6925" s="143"/>
      <c r="Z6925" s="143"/>
      <c r="AA6925" s="143"/>
      <c r="AB6925" s="144"/>
      <c r="AC6925" s="16" t="s">
        <v>21</v>
      </c>
      <c r="AD6925" s="17" t="s">
        <v>20491</v>
      </c>
      <c r="AE6925" s="145" t="s">
        <v>8061</v>
      </c>
      <c r="AF6925" s="146"/>
      <c r="AG6925" s="146"/>
      <c r="AH6925" s="146"/>
      <c r="AI6925" s="147"/>
      <c r="AJ6925" s="148"/>
      <c r="AK6925" s="143"/>
      <c r="AL6925" s="144"/>
      <c r="AM6925" s="22"/>
      <c r="AN6925" s="149" t="s">
        <v>21802</v>
      </c>
      <c r="AO6925" s="144"/>
      <c r="AP6925" s="148">
        <v>62029</v>
      </c>
      <c r="AQ6925" s="144"/>
      <c r="AR6925" s="120"/>
      <c r="AS6925" s="121"/>
      <c r="AT6925" s="120"/>
      <c r="AU6925" s="121"/>
      <c r="AV6925" s="120"/>
      <c r="AW6925" s="121"/>
      <c r="AX6925" s="120"/>
      <c r="AY6925" s="121"/>
      <c r="AZ6925" s="138"/>
    </row>
    <row r="6926" spans="1:52" ht="17.100000000000001" customHeight="1" thickTop="1">
      <c r="A6926" s="109" t="s">
        <v>19862</v>
      </c>
      <c r="B6926" s="28">
        <v>46091</v>
      </c>
      <c r="C6926" s="25">
        <v>1932</v>
      </c>
      <c r="D6926" s="13" t="s">
        <v>2616</v>
      </c>
      <c r="E6926" s="111"/>
      <c r="F6926" s="113" t="s">
        <v>19667</v>
      </c>
      <c r="G6926" s="114"/>
      <c r="H6926" s="115"/>
      <c r="I6926" s="24" t="s">
        <v>4487</v>
      </c>
      <c r="J6926" s="116">
        <v>3.5</v>
      </c>
      <c r="K6926" s="118">
        <v>477000</v>
      </c>
      <c r="L6926" s="119"/>
      <c r="M6926" s="118">
        <f t="shared" ref="M6926" si="9771">K6926*0.1</f>
        <v>47700</v>
      </c>
      <c r="N6926" s="119"/>
      <c r="O6926" s="118">
        <v>5000</v>
      </c>
      <c r="P6926" s="119"/>
      <c r="Q6926" s="118">
        <v>8400</v>
      </c>
      <c r="R6926" s="119"/>
      <c r="S6926" s="118">
        <v>15950</v>
      </c>
      <c r="T6926" s="119"/>
      <c r="U6926" s="118">
        <f t="shared" ref="U6926" si="9772">SUM(K6926:T6927)</f>
        <v>554050</v>
      </c>
      <c r="V6926" s="122"/>
      <c r="W6926" s="124"/>
      <c r="X6926" s="126" t="s">
        <v>19918</v>
      </c>
      <c r="Y6926" s="127"/>
      <c r="Z6926" s="127"/>
      <c r="AA6926" s="127"/>
      <c r="AB6926" s="128"/>
      <c r="AC6926" s="15" t="s">
        <v>20</v>
      </c>
      <c r="AD6926" s="129" t="s">
        <v>19919</v>
      </c>
      <c r="AE6926" s="130"/>
      <c r="AF6926" s="130"/>
      <c r="AG6926" s="130"/>
      <c r="AH6926" s="130"/>
      <c r="AI6926" s="131"/>
      <c r="AJ6926" s="132"/>
      <c r="AK6926" s="127"/>
      <c r="AL6926" s="128"/>
      <c r="AM6926" s="21" t="s">
        <v>20973</v>
      </c>
      <c r="AN6926" s="133">
        <v>46102</v>
      </c>
      <c r="AO6926" s="134"/>
      <c r="AP6926" s="135">
        <v>1293</v>
      </c>
      <c r="AQ6926" s="136"/>
      <c r="AR6926" s="118">
        <v>525000</v>
      </c>
      <c r="AS6926" s="119"/>
      <c r="AT6926" s="118">
        <f t="shared" ref="AT6926" si="9773">AR6926*0.1</f>
        <v>52500</v>
      </c>
      <c r="AU6926" s="119"/>
      <c r="AV6926" s="118">
        <v>8400</v>
      </c>
      <c r="AW6926" s="119"/>
      <c r="AX6926" s="118">
        <f t="shared" ref="AX6926" si="9774">SUM(AR6926:AW6926)</f>
        <v>585900</v>
      </c>
      <c r="AY6926" s="119"/>
      <c r="AZ6926" s="137">
        <v>46107</v>
      </c>
    </row>
    <row r="6927" spans="1:52" ht="17.100000000000001" customHeight="1" thickBot="1">
      <c r="A6927" s="110"/>
      <c r="B6927" s="27" t="s">
        <v>2131</v>
      </c>
      <c r="C6927" s="27">
        <v>3003</v>
      </c>
      <c r="D6927" s="14" t="s">
        <v>1592</v>
      </c>
      <c r="E6927" s="112"/>
      <c r="F6927" s="139" t="s">
        <v>19872</v>
      </c>
      <c r="G6927" s="140"/>
      <c r="H6927" s="141"/>
      <c r="I6927" s="26">
        <v>56069</v>
      </c>
      <c r="J6927" s="117"/>
      <c r="K6927" s="120"/>
      <c r="L6927" s="121"/>
      <c r="M6927" s="120"/>
      <c r="N6927" s="121"/>
      <c r="O6927" s="120"/>
      <c r="P6927" s="121"/>
      <c r="Q6927" s="120"/>
      <c r="R6927" s="121"/>
      <c r="S6927" s="120"/>
      <c r="T6927" s="121"/>
      <c r="U6927" s="120"/>
      <c r="V6927" s="123"/>
      <c r="W6927" s="125"/>
      <c r="X6927" s="142" t="s">
        <v>20580</v>
      </c>
      <c r="Y6927" s="143"/>
      <c r="Z6927" s="143"/>
      <c r="AA6927" s="143"/>
      <c r="AB6927" s="144"/>
      <c r="AC6927" s="16" t="s">
        <v>21</v>
      </c>
      <c r="AD6927" s="17" t="s">
        <v>20553</v>
      </c>
      <c r="AE6927" s="145" t="s">
        <v>3485</v>
      </c>
      <c r="AF6927" s="146"/>
      <c r="AG6927" s="146"/>
      <c r="AH6927" s="146"/>
      <c r="AI6927" s="147"/>
      <c r="AJ6927" s="148"/>
      <c r="AK6927" s="143"/>
      <c r="AL6927" s="144"/>
      <c r="AM6927" s="22"/>
      <c r="AN6927" s="149" t="s">
        <v>2511</v>
      </c>
      <c r="AO6927" s="144"/>
      <c r="AP6927" s="148">
        <v>60038</v>
      </c>
      <c r="AQ6927" s="144"/>
      <c r="AR6927" s="120"/>
      <c r="AS6927" s="121"/>
      <c r="AT6927" s="120"/>
      <c r="AU6927" s="121"/>
      <c r="AV6927" s="120"/>
      <c r="AW6927" s="121"/>
      <c r="AX6927" s="120"/>
      <c r="AY6927" s="121"/>
      <c r="AZ6927" s="138"/>
    </row>
    <row r="6928" spans="1:52" ht="17.100000000000001" customHeight="1" thickTop="1">
      <c r="A6928" s="109" t="s">
        <v>19863</v>
      </c>
      <c r="B6928" s="28">
        <v>46091</v>
      </c>
      <c r="C6928" s="25">
        <v>1932</v>
      </c>
      <c r="D6928" s="13" t="s">
        <v>1561</v>
      </c>
      <c r="E6928" s="111"/>
      <c r="F6928" s="113" t="s">
        <v>5713</v>
      </c>
      <c r="G6928" s="114"/>
      <c r="H6928" s="115"/>
      <c r="I6928" s="24"/>
      <c r="J6928" s="116">
        <v>4</v>
      </c>
      <c r="K6928" s="118">
        <v>487000</v>
      </c>
      <c r="L6928" s="119"/>
      <c r="M6928" s="118">
        <f t="shared" ref="M6928" si="9775">K6928*0.1</f>
        <v>48700</v>
      </c>
      <c r="N6928" s="119"/>
      <c r="O6928" s="118">
        <v>0</v>
      </c>
      <c r="P6928" s="119"/>
      <c r="Q6928" s="118">
        <v>8860</v>
      </c>
      <c r="R6928" s="119"/>
      <c r="S6928" s="118">
        <v>15950</v>
      </c>
      <c r="T6928" s="119"/>
      <c r="U6928" s="118">
        <f t="shared" ref="U6928" si="9776">SUM(K6928:T6929)</f>
        <v>560510</v>
      </c>
      <c r="V6928" s="122"/>
      <c r="W6928" s="124"/>
      <c r="X6928" s="126" t="s">
        <v>20578</v>
      </c>
      <c r="Y6928" s="127"/>
      <c r="Z6928" s="127"/>
      <c r="AA6928" s="127"/>
      <c r="AB6928" s="128"/>
      <c r="AC6928" s="15" t="s">
        <v>20</v>
      </c>
      <c r="AD6928" s="129"/>
      <c r="AE6928" s="130"/>
      <c r="AF6928" s="130"/>
      <c r="AG6928" s="130"/>
      <c r="AH6928" s="130"/>
      <c r="AI6928" s="131"/>
      <c r="AJ6928" s="132"/>
      <c r="AK6928" s="127"/>
      <c r="AL6928" s="128"/>
      <c r="AM6928" s="21"/>
      <c r="AN6928" s="133">
        <v>46120</v>
      </c>
      <c r="AO6928" s="134"/>
      <c r="AP6928" s="135">
        <v>1012</v>
      </c>
      <c r="AQ6928" s="136"/>
      <c r="AR6928" s="118">
        <v>560000</v>
      </c>
      <c r="AS6928" s="119"/>
      <c r="AT6928" s="118">
        <f t="shared" ref="AT6928" si="9777">AR6928*0.1</f>
        <v>56000</v>
      </c>
      <c r="AU6928" s="119"/>
      <c r="AV6928" s="118">
        <v>8860</v>
      </c>
      <c r="AW6928" s="119"/>
      <c r="AX6928" s="118">
        <f t="shared" ref="AX6928" si="9778">SUM(AR6928:AW6928)</f>
        <v>624860</v>
      </c>
      <c r="AY6928" s="119"/>
      <c r="AZ6928" s="137">
        <v>46126</v>
      </c>
    </row>
    <row r="6929" spans="1:52" ht="17.100000000000001" customHeight="1" thickBot="1">
      <c r="A6929" s="110"/>
      <c r="B6929" s="27" t="s">
        <v>2131</v>
      </c>
      <c r="C6929" s="27">
        <v>3275</v>
      </c>
      <c r="D6929" s="14" t="s">
        <v>1748</v>
      </c>
      <c r="E6929" s="112"/>
      <c r="F6929" s="139" t="s">
        <v>19873</v>
      </c>
      <c r="G6929" s="140"/>
      <c r="H6929" s="141"/>
      <c r="I6929" s="26">
        <v>52647</v>
      </c>
      <c r="J6929" s="117"/>
      <c r="K6929" s="120"/>
      <c r="L6929" s="121"/>
      <c r="M6929" s="120"/>
      <c r="N6929" s="121"/>
      <c r="O6929" s="120"/>
      <c r="P6929" s="121"/>
      <c r="Q6929" s="120"/>
      <c r="R6929" s="121"/>
      <c r="S6929" s="120"/>
      <c r="T6929" s="121"/>
      <c r="U6929" s="120"/>
      <c r="V6929" s="123"/>
      <c r="W6929" s="125"/>
      <c r="X6929" s="142" t="s">
        <v>20579</v>
      </c>
      <c r="Y6929" s="143"/>
      <c r="Z6929" s="143"/>
      <c r="AA6929" s="143"/>
      <c r="AB6929" s="144"/>
      <c r="AC6929" s="16" t="s">
        <v>21</v>
      </c>
      <c r="AD6929" s="17" t="s">
        <v>20553</v>
      </c>
      <c r="AE6929" s="145" t="s">
        <v>20308</v>
      </c>
      <c r="AF6929" s="146"/>
      <c r="AG6929" s="146"/>
      <c r="AH6929" s="146"/>
      <c r="AI6929" s="147"/>
      <c r="AJ6929" s="148"/>
      <c r="AK6929" s="143"/>
      <c r="AL6929" s="144"/>
      <c r="AM6929" s="22"/>
      <c r="AN6929" s="149" t="s">
        <v>22579</v>
      </c>
      <c r="AO6929" s="144"/>
      <c r="AP6929" s="148">
        <v>2040</v>
      </c>
      <c r="AQ6929" s="144"/>
      <c r="AR6929" s="120"/>
      <c r="AS6929" s="121"/>
      <c r="AT6929" s="120"/>
      <c r="AU6929" s="121"/>
      <c r="AV6929" s="120"/>
      <c r="AW6929" s="121"/>
      <c r="AX6929" s="120"/>
      <c r="AY6929" s="121"/>
      <c r="AZ6929" s="138"/>
    </row>
    <row r="6930" spans="1:52" ht="17.100000000000001" customHeight="1" thickTop="1">
      <c r="A6930" s="109" t="s">
        <v>19864</v>
      </c>
      <c r="B6930" s="28">
        <v>46091</v>
      </c>
      <c r="C6930" s="25">
        <v>1932</v>
      </c>
      <c r="D6930" s="13" t="s">
        <v>1863</v>
      </c>
      <c r="E6930" s="111"/>
      <c r="F6930" s="113" t="s">
        <v>19874</v>
      </c>
      <c r="G6930" s="114"/>
      <c r="H6930" s="115"/>
      <c r="I6930" s="24"/>
      <c r="J6930" s="116">
        <v>3.5</v>
      </c>
      <c r="K6930" s="118">
        <v>794000</v>
      </c>
      <c r="L6930" s="119"/>
      <c r="M6930" s="118">
        <f t="shared" ref="M6930" si="9779">K6930*0.1</f>
        <v>79400</v>
      </c>
      <c r="N6930" s="119"/>
      <c r="O6930" s="118">
        <v>0</v>
      </c>
      <c r="P6930" s="119"/>
      <c r="Q6930" s="118">
        <v>9200</v>
      </c>
      <c r="R6930" s="119"/>
      <c r="S6930" s="118">
        <v>15950</v>
      </c>
      <c r="T6930" s="119"/>
      <c r="U6930" s="118">
        <f t="shared" ref="U6930" si="9780">SUM(K6930:T6931)</f>
        <v>898550</v>
      </c>
      <c r="V6930" s="122"/>
      <c r="W6930" s="124"/>
      <c r="X6930" s="126" t="s">
        <v>20581</v>
      </c>
      <c r="Y6930" s="127"/>
      <c r="Z6930" s="127"/>
      <c r="AA6930" s="127"/>
      <c r="AB6930" s="128"/>
      <c r="AC6930" s="15" t="s">
        <v>20</v>
      </c>
      <c r="AD6930" s="129" t="s">
        <v>16862</v>
      </c>
      <c r="AE6930" s="130"/>
      <c r="AF6930" s="130"/>
      <c r="AG6930" s="130"/>
      <c r="AH6930" s="130"/>
      <c r="AI6930" s="131"/>
      <c r="AJ6930" s="132"/>
      <c r="AK6930" s="127"/>
      <c r="AL6930" s="128"/>
      <c r="AM6930" s="21"/>
      <c r="AN6930" s="133"/>
      <c r="AO6930" s="134"/>
      <c r="AP6930" s="135"/>
      <c r="AQ6930" s="136"/>
      <c r="AR6930" s="118"/>
      <c r="AS6930" s="119"/>
      <c r="AT6930" s="118">
        <f t="shared" ref="AT6930" si="9781">AR6930*0.1</f>
        <v>0</v>
      </c>
      <c r="AU6930" s="119"/>
      <c r="AV6930" s="118"/>
      <c r="AW6930" s="119"/>
      <c r="AX6930" s="118">
        <f t="shared" ref="AX6930" si="9782">SUM(AR6930:AW6930)</f>
        <v>0</v>
      </c>
      <c r="AY6930" s="119"/>
      <c r="AZ6930" s="137"/>
    </row>
    <row r="6931" spans="1:52" ht="17.100000000000001" customHeight="1" thickBot="1">
      <c r="A6931" s="110"/>
      <c r="B6931" s="27" t="s">
        <v>2131</v>
      </c>
      <c r="C6931" s="27">
        <v>3504</v>
      </c>
      <c r="D6931" s="14" t="s">
        <v>275</v>
      </c>
      <c r="E6931" s="112"/>
      <c r="F6931" s="139" t="s">
        <v>19875</v>
      </c>
      <c r="G6931" s="140"/>
      <c r="H6931" s="141"/>
      <c r="I6931" s="26">
        <v>56901</v>
      </c>
      <c r="J6931" s="117"/>
      <c r="K6931" s="120"/>
      <c r="L6931" s="121"/>
      <c r="M6931" s="120"/>
      <c r="N6931" s="121"/>
      <c r="O6931" s="120"/>
      <c r="P6931" s="121"/>
      <c r="Q6931" s="120"/>
      <c r="R6931" s="121"/>
      <c r="S6931" s="120"/>
      <c r="T6931" s="121"/>
      <c r="U6931" s="120"/>
      <c r="V6931" s="123"/>
      <c r="W6931" s="125"/>
      <c r="X6931" s="142" t="s">
        <v>20582</v>
      </c>
      <c r="Y6931" s="143"/>
      <c r="Z6931" s="143"/>
      <c r="AA6931" s="143"/>
      <c r="AB6931" s="144"/>
      <c r="AC6931" s="16" t="s">
        <v>21</v>
      </c>
      <c r="AD6931" s="17" t="s">
        <v>20553</v>
      </c>
      <c r="AE6931" s="145" t="s">
        <v>1614</v>
      </c>
      <c r="AF6931" s="146"/>
      <c r="AG6931" s="146"/>
      <c r="AH6931" s="146"/>
      <c r="AI6931" s="147"/>
      <c r="AJ6931" s="148"/>
      <c r="AK6931" s="143"/>
      <c r="AL6931" s="144"/>
      <c r="AM6931" s="22"/>
      <c r="AN6931" s="149"/>
      <c r="AO6931" s="144"/>
      <c r="AP6931" s="148"/>
      <c r="AQ6931" s="144"/>
      <c r="AR6931" s="120"/>
      <c r="AS6931" s="121"/>
      <c r="AT6931" s="120"/>
      <c r="AU6931" s="121"/>
      <c r="AV6931" s="120"/>
      <c r="AW6931" s="121"/>
      <c r="AX6931" s="120"/>
      <c r="AY6931" s="121"/>
      <c r="AZ6931" s="138"/>
    </row>
    <row r="6932" spans="1:52" ht="17.100000000000001" customHeight="1" thickTop="1">
      <c r="A6932" s="109" t="s">
        <v>19865</v>
      </c>
      <c r="B6932" s="28">
        <v>46091</v>
      </c>
      <c r="C6932" s="25">
        <v>1932</v>
      </c>
      <c r="D6932" s="13" t="s">
        <v>1888</v>
      </c>
      <c r="E6932" s="111"/>
      <c r="F6932" s="113" t="s">
        <v>19876</v>
      </c>
      <c r="G6932" s="114"/>
      <c r="H6932" s="115"/>
      <c r="I6932" s="24"/>
      <c r="J6932" s="116">
        <v>4</v>
      </c>
      <c r="K6932" s="118">
        <v>614000</v>
      </c>
      <c r="L6932" s="119"/>
      <c r="M6932" s="118">
        <f t="shared" ref="M6932" si="9783">K6932*0.1</f>
        <v>61400</v>
      </c>
      <c r="N6932" s="119"/>
      <c r="O6932" s="118">
        <v>0</v>
      </c>
      <c r="P6932" s="119"/>
      <c r="Q6932" s="118">
        <v>17250</v>
      </c>
      <c r="R6932" s="119"/>
      <c r="S6932" s="118">
        <v>15950</v>
      </c>
      <c r="T6932" s="119"/>
      <c r="U6932" s="118">
        <f t="shared" ref="U6932" si="9784">SUM(K6932:T6933)</f>
        <v>708600</v>
      </c>
      <c r="V6932" s="122"/>
      <c r="W6932" s="124"/>
      <c r="X6932" s="126" t="s">
        <v>20563</v>
      </c>
      <c r="Y6932" s="127"/>
      <c r="Z6932" s="127"/>
      <c r="AA6932" s="127"/>
      <c r="AB6932" s="128"/>
      <c r="AC6932" s="15" t="s">
        <v>20</v>
      </c>
      <c r="AD6932" s="129"/>
      <c r="AE6932" s="130"/>
      <c r="AF6932" s="130"/>
      <c r="AG6932" s="130"/>
      <c r="AH6932" s="130"/>
      <c r="AI6932" s="131"/>
      <c r="AJ6932" s="132"/>
      <c r="AK6932" s="127"/>
      <c r="AL6932" s="128"/>
      <c r="AM6932" s="21"/>
      <c r="AN6932" s="133">
        <v>46109</v>
      </c>
      <c r="AO6932" s="134"/>
      <c r="AP6932" s="135">
        <v>1294</v>
      </c>
      <c r="AQ6932" s="136"/>
      <c r="AR6932" s="118">
        <v>710000</v>
      </c>
      <c r="AS6932" s="119"/>
      <c r="AT6932" s="118">
        <f t="shared" ref="AT6932" si="9785">AR6932*0.1</f>
        <v>71000</v>
      </c>
      <c r="AU6932" s="119"/>
      <c r="AV6932" s="118">
        <v>17250</v>
      </c>
      <c r="AW6932" s="119"/>
      <c r="AX6932" s="118">
        <f t="shared" ref="AX6932" si="9786">SUM(AR6932:AW6932)</f>
        <v>798250</v>
      </c>
      <c r="AY6932" s="119"/>
      <c r="AZ6932" s="137">
        <v>46112</v>
      </c>
    </row>
    <row r="6933" spans="1:52" ht="17.100000000000001" customHeight="1" thickBot="1">
      <c r="A6933" s="110"/>
      <c r="B6933" s="27" t="s">
        <v>2131</v>
      </c>
      <c r="C6933" s="27">
        <v>5027</v>
      </c>
      <c r="D6933" s="14" t="s">
        <v>19920</v>
      </c>
      <c r="E6933" s="112"/>
      <c r="F6933" s="139" t="s">
        <v>19921</v>
      </c>
      <c r="G6933" s="140"/>
      <c r="H6933" s="141"/>
      <c r="I6933" s="26">
        <v>34540</v>
      </c>
      <c r="J6933" s="117"/>
      <c r="K6933" s="120"/>
      <c r="L6933" s="121"/>
      <c r="M6933" s="120"/>
      <c r="N6933" s="121"/>
      <c r="O6933" s="120"/>
      <c r="P6933" s="121"/>
      <c r="Q6933" s="120"/>
      <c r="R6933" s="121"/>
      <c r="S6933" s="120"/>
      <c r="T6933" s="121"/>
      <c r="U6933" s="120"/>
      <c r="V6933" s="123"/>
      <c r="W6933" s="125"/>
      <c r="X6933" s="142" t="s">
        <v>5250</v>
      </c>
      <c r="Y6933" s="143"/>
      <c r="Z6933" s="143"/>
      <c r="AA6933" s="143"/>
      <c r="AB6933" s="144"/>
      <c r="AC6933" s="16" t="s">
        <v>21</v>
      </c>
      <c r="AD6933" s="17" t="s">
        <v>20553</v>
      </c>
      <c r="AE6933" s="145" t="s">
        <v>20066</v>
      </c>
      <c r="AF6933" s="146"/>
      <c r="AG6933" s="146"/>
      <c r="AH6933" s="146"/>
      <c r="AI6933" s="147"/>
      <c r="AJ6933" s="148"/>
      <c r="AK6933" s="143"/>
      <c r="AL6933" s="144"/>
      <c r="AM6933" s="22"/>
      <c r="AN6933" s="149" t="s">
        <v>21802</v>
      </c>
      <c r="AO6933" s="144"/>
      <c r="AP6933" s="148">
        <v>80129</v>
      </c>
      <c r="AQ6933" s="144"/>
      <c r="AR6933" s="120"/>
      <c r="AS6933" s="121"/>
      <c r="AT6933" s="120"/>
      <c r="AU6933" s="121"/>
      <c r="AV6933" s="120"/>
      <c r="AW6933" s="121"/>
      <c r="AX6933" s="120"/>
      <c r="AY6933" s="121"/>
      <c r="AZ6933" s="138"/>
    </row>
    <row r="6934" spans="1:52" ht="17.100000000000001" customHeight="1" thickTop="1">
      <c r="A6934" s="109" t="s">
        <v>19866</v>
      </c>
      <c r="B6934" s="28">
        <v>46091</v>
      </c>
      <c r="C6934" s="25">
        <v>1932</v>
      </c>
      <c r="D6934" s="13" t="s">
        <v>1977</v>
      </c>
      <c r="E6934" s="111"/>
      <c r="F6934" s="113" t="s">
        <v>19877</v>
      </c>
      <c r="G6934" s="114"/>
      <c r="H6934" s="115"/>
      <c r="I6934" s="24"/>
      <c r="J6934" s="116">
        <v>4</v>
      </c>
      <c r="K6934" s="118">
        <v>881000</v>
      </c>
      <c r="L6934" s="119"/>
      <c r="M6934" s="118">
        <f t="shared" ref="M6934" si="9787">K6934*0.1</f>
        <v>88100</v>
      </c>
      <c r="N6934" s="119"/>
      <c r="O6934" s="118">
        <v>0</v>
      </c>
      <c r="P6934" s="119"/>
      <c r="Q6934" s="118">
        <v>8790</v>
      </c>
      <c r="R6934" s="119"/>
      <c r="S6934" s="118">
        <v>15950</v>
      </c>
      <c r="T6934" s="119"/>
      <c r="U6934" s="118">
        <f t="shared" ref="U6934" si="9788">SUM(K6934:T6935)</f>
        <v>993840</v>
      </c>
      <c r="V6934" s="122"/>
      <c r="W6934" s="124"/>
      <c r="X6934" s="126" t="s">
        <v>20576</v>
      </c>
      <c r="Y6934" s="127"/>
      <c r="Z6934" s="127"/>
      <c r="AA6934" s="127"/>
      <c r="AB6934" s="128"/>
      <c r="AC6934" s="15" t="s">
        <v>20</v>
      </c>
      <c r="AD6934" s="129"/>
      <c r="AE6934" s="130"/>
      <c r="AF6934" s="130"/>
      <c r="AG6934" s="130"/>
      <c r="AH6934" s="130"/>
      <c r="AI6934" s="131"/>
      <c r="AJ6934" s="132"/>
      <c r="AK6934" s="127"/>
      <c r="AL6934" s="128"/>
      <c r="AM6934" s="21"/>
      <c r="AN6934" s="133">
        <v>46113</v>
      </c>
      <c r="AO6934" s="134"/>
      <c r="AP6934" s="135">
        <v>1011</v>
      </c>
      <c r="AQ6934" s="136"/>
      <c r="AR6934" s="118">
        <v>890000</v>
      </c>
      <c r="AS6934" s="119"/>
      <c r="AT6934" s="118">
        <f t="shared" ref="AT6934" si="9789">AR6934*0.1</f>
        <v>89000</v>
      </c>
      <c r="AU6934" s="119"/>
      <c r="AV6934" s="118">
        <v>8790</v>
      </c>
      <c r="AW6934" s="119"/>
      <c r="AX6934" s="118">
        <f t="shared" ref="AX6934" si="9790">SUM(AR6934:AW6934)</f>
        <v>987790</v>
      </c>
      <c r="AY6934" s="119"/>
      <c r="AZ6934" s="137">
        <v>46118</v>
      </c>
    </row>
    <row r="6935" spans="1:52" ht="17.100000000000001" customHeight="1" thickBot="1">
      <c r="A6935" s="110"/>
      <c r="B6935" s="27" t="s">
        <v>2131</v>
      </c>
      <c r="C6935" s="27">
        <v>5449</v>
      </c>
      <c r="D6935" s="14" t="s">
        <v>2800</v>
      </c>
      <c r="E6935" s="112"/>
      <c r="F6935" s="139" t="s">
        <v>19882</v>
      </c>
      <c r="G6935" s="140"/>
      <c r="H6935" s="141"/>
      <c r="I6935" s="26">
        <v>47897</v>
      </c>
      <c r="J6935" s="117"/>
      <c r="K6935" s="120"/>
      <c r="L6935" s="121"/>
      <c r="M6935" s="120"/>
      <c r="N6935" s="121"/>
      <c r="O6935" s="120"/>
      <c r="P6935" s="121"/>
      <c r="Q6935" s="120"/>
      <c r="R6935" s="121"/>
      <c r="S6935" s="120"/>
      <c r="T6935" s="121"/>
      <c r="U6935" s="120"/>
      <c r="V6935" s="123"/>
      <c r="W6935" s="125"/>
      <c r="X6935" s="142" t="s">
        <v>20577</v>
      </c>
      <c r="Y6935" s="143"/>
      <c r="Z6935" s="143"/>
      <c r="AA6935" s="143"/>
      <c r="AB6935" s="144"/>
      <c r="AC6935" s="16" t="s">
        <v>21</v>
      </c>
      <c r="AD6935" s="17" t="s">
        <v>20553</v>
      </c>
      <c r="AE6935" s="145" t="s">
        <v>20069</v>
      </c>
      <c r="AF6935" s="146"/>
      <c r="AG6935" s="146"/>
      <c r="AH6935" s="146"/>
      <c r="AI6935" s="147"/>
      <c r="AJ6935" s="148"/>
      <c r="AK6935" s="143"/>
      <c r="AL6935" s="144"/>
      <c r="AM6935" s="22"/>
      <c r="AN6935" s="149" t="s">
        <v>2794</v>
      </c>
      <c r="AO6935" s="144"/>
      <c r="AP6935" s="148">
        <v>2072</v>
      </c>
      <c r="AQ6935" s="144"/>
      <c r="AR6935" s="120"/>
      <c r="AS6935" s="121"/>
      <c r="AT6935" s="120"/>
      <c r="AU6935" s="121"/>
      <c r="AV6935" s="120"/>
      <c r="AW6935" s="121"/>
      <c r="AX6935" s="120"/>
      <c r="AY6935" s="121"/>
      <c r="AZ6935" s="138"/>
    </row>
    <row r="6936" spans="1:52" ht="17.100000000000001" customHeight="1" thickTop="1">
      <c r="A6936" s="109" t="s">
        <v>19867</v>
      </c>
      <c r="B6936" s="28">
        <v>46091</v>
      </c>
      <c r="C6936" s="25">
        <v>1932</v>
      </c>
      <c r="D6936" s="13" t="s">
        <v>2036</v>
      </c>
      <c r="E6936" s="111"/>
      <c r="F6936" s="113" t="s">
        <v>15533</v>
      </c>
      <c r="G6936" s="114"/>
      <c r="H6936" s="115"/>
      <c r="I6936" s="24"/>
      <c r="J6936" s="116">
        <v>4</v>
      </c>
      <c r="K6936" s="118">
        <v>373000</v>
      </c>
      <c r="L6936" s="119"/>
      <c r="M6936" s="118">
        <f t="shared" ref="M6936" si="9791">K6936*0.1</f>
        <v>37300</v>
      </c>
      <c r="N6936" s="119"/>
      <c r="O6936" s="118">
        <v>0</v>
      </c>
      <c r="P6936" s="119"/>
      <c r="Q6936" s="118">
        <v>6550</v>
      </c>
      <c r="R6936" s="119"/>
      <c r="S6936" s="118">
        <v>15950</v>
      </c>
      <c r="T6936" s="119"/>
      <c r="U6936" s="118">
        <f t="shared" ref="U6936" si="9792">SUM(K6936:T6937)</f>
        <v>432800</v>
      </c>
      <c r="V6936" s="122"/>
      <c r="W6936" s="124"/>
      <c r="X6936" s="126" t="s">
        <v>20558</v>
      </c>
      <c r="Y6936" s="127"/>
      <c r="Z6936" s="127"/>
      <c r="AA6936" s="127"/>
      <c r="AB6936" s="128"/>
      <c r="AC6936" s="15" t="s">
        <v>20</v>
      </c>
      <c r="AD6936" s="129" t="s">
        <v>1670</v>
      </c>
      <c r="AE6936" s="130"/>
      <c r="AF6936" s="130"/>
      <c r="AG6936" s="130"/>
      <c r="AH6936" s="130"/>
      <c r="AI6936" s="131"/>
      <c r="AJ6936" s="132"/>
      <c r="AK6936" s="127"/>
      <c r="AL6936" s="128"/>
      <c r="AM6936" s="21"/>
      <c r="AN6936" s="133">
        <v>46095</v>
      </c>
      <c r="AO6936" s="134"/>
      <c r="AP6936" s="135">
        <v>1292</v>
      </c>
      <c r="AQ6936" s="136"/>
      <c r="AR6936" s="118">
        <v>605000</v>
      </c>
      <c r="AS6936" s="119"/>
      <c r="AT6936" s="118">
        <f t="shared" ref="AT6936" si="9793">AR6936*0.1</f>
        <v>60500</v>
      </c>
      <c r="AU6936" s="119"/>
      <c r="AV6936" s="118">
        <v>6550</v>
      </c>
      <c r="AW6936" s="119"/>
      <c r="AX6936" s="118">
        <f t="shared" ref="AX6936" si="9794">SUM(AR6936:AW6936)</f>
        <v>672050</v>
      </c>
      <c r="AY6936" s="119"/>
      <c r="AZ6936" s="137">
        <v>46105</v>
      </c>
    </row>
    <row r="6937" spans="1:52" ht="17.100000000000001" customHeight="1" thickBot="1">
      <c r="A6937" s="110"/>
      <c r="B6937" s="27" t="s">
        <v>2131</v>
      </c>
      <c r="C6937" s="27">
        <v>76036</v>
      </c>
      <c r="D6937" s="14" t="s">
        <v>1720</v>
      </c>
      <c r="E6937" s="112"/>
      <c r="F6937" s="139" t="s">
        <v>19883</v>
      </c>
      <c r="G6937" s="140"/>
      <c r="H6937" s="141"/>
      <c r="I6937" s="26">
        <v>29862</v>
      </c>
      <c r="J6937" s="117"/>
      <c r="K6937" s="120"/>
      <c r="L6937" s="121"/>
      <c r="M6937" s="120"/>
      <c r="N6937" s="121"/>
      <c r="O6937" s="120"/>
      <c r="P6937" s="121"/>
      <c r="Q6937" s="120"/>
      <c r="R6937" s="121"/>
      <c r="S6937" s="120"/>
      <c r="T6937" s="121"/>
      <c r="U6937" s="120"/>
      <c r="V6937" s="123"/>
      <c r="W6937" s="125"/>
      <c r="X6937" s="142" t="s">
        <v>7450</v>
      </c>
      <c r="Y6937" s="143"/>
      <c r="Z6937" s="143"/>
      <c r="AA6937" s="143"/>
      <c r="AB6937" s="144"/>
      <c r="AC6937" s="16" t="s">
        <v>21</v>
      </c>
      <c r="AD6937" s="17" t="s">
        <v>20553</v>
      </c>
      <c r="AE6937" s="145" t="s">
        <v>11427</v>
      </c>
      <c r="AF6937" s="146"/>
      <c r="AG6937" s="146"/>
      <c r="AH6937" s="146"/>
      <c r="AI6937" s="147"/>
      <c r="AJ6937" s="148"/>
      <c r="AK6937" s="143"/>
      <c r="AL6937" s="144"/>
      <c r="AM6937" s="22"/>
      <c r="AN6937" s="149" t="s">
        <v>2511</v>
      </c>
      <c r="AO6937" s="144"/>
      <c r="AP6937" s="148">
        <v>60545</v>
      </c>
      <c r="AQ6937" s="144"/>
      <c r="AR6937" s="120"/>
      <c r="AS6937" s="121"/>
      <c r="AT6937" s="120"/>
      <c r="AU6937" s="121"/>
      <c r="AV6937" s="120"/>
      <c r="AW6937" s="121"/>
      <c r="AX6937" s="120"/>
      <c r="AY6937" s="121"/>
      <c r="AZ6937" s="138"/>
    </row>
    <row r="6938" spans="1:52" ht="17.100000000000001" customHeight="1" thickTop="1">
      <c r="A6938" s="109" t="s">
        <v>19868</v>
      </c>
      <c r="B6938" s="28">
        <v>46091</v>
      </c>
      <c r="C6938" s="25">
        <v>810</v>
      </c>
      <c r="D6938" s="13" t="s">
        <v>1712</v>
      </c>
      <c r="E6938" s="111"/>
      <c r="F6938" s="113" t="s">
        <v>18687</v>
      </c>
      <c r="G6938" s="114"/>
      <c r="H6938" s="115"/>
      <c r="I6938" s="24"/>
      <c r="J6938" s="116">
        <v>4</v>
      </c>
      <c r="K6938" s="118">
        <v>903000</v>
      </c>
      <c r="L6938" s="119"/>
      <c r="M6938" s="118">
        <f t="shared" ref="M6938" si="9795">K6938*0.1</f>
        <v>90300</v>
      </c>
      <c r="N6938" s="119"/>
      <c r="O6938" s="118">
        <v>0</v>
      </c>
      <c r="P6938" s="119"/>
      <c r="Q6938" s="118">
        <v>9130</v>
      </c>
      <c r="R6938" s="119"/>
      <c r="S6938" s="118">
        <v>17050</v>
      </c>
      <c r="T6938" s="119"/>
      <c r="U6938" s="118">
        <f t="shared" ref="U6938" si="9796">SUM(K6938:T6939)</f>
        <v>1019480</v>
      </c>
      <c r="V6938" s="122"/>
      <c r="W6938" s="124"/>
      <c r="X6938" s="126" t="s">
        <v>20589</v>
      </c>
      <c r="Y6938" s="127"/>
      <c r="Z6938" s="127"/>
      <c r="AA6938" s="127"/>
      <c r="AB6938" s="128"/>
      <c r="AC6938" s="15" t="s">
        <v>20</v>
      </c>
      <c r="AD6938" s="129"/>
      <c r="AE6938" s="130"/>
      <c r="AF6938" s="130"/>
      <c r="AG6938" s="130"/>
      <c r="AH6938" s="130"/>
      <c r="AI6938" s="131"/>
      <c r="AJ6938" s="132"/>
      <c r="AK6938" s="127"/>
      <c r="AL6938" s="128"/>
      <c r="AM6938" s="21"/>
      <c r="AN6938" s="133">
        <v>46106</v>
      </c>
      <c r="AO6938" s="134"/>
      <c r="AP6938" s="135">
        <v>1010</v>
      </c>
      <c r="AQ6938" s="136"/>
      <c r="AR6938" s="118">
        <v>1000000</v>
      </c>
      <c r="AS6938" s="119"/>
      <c r="AT6938" s="118">
        <f t="shared" ref="AT6938" si="9797">AR6938*0.1</f>
        <v>100000</v>
      </c>
      <c r="AU6938" s="119"/>
      <c r="AV6938" s="118">
        <v>9130</v>
      </c>
      <c r="AW6938" s="119"/>
      <c r="AX6938" s="118">
        <f t="shared" ref="AX6938" si="9798">SUM(AR6938:AW6938)</f>
        <v>1109130</v>
      </c>
      <c r="AY6938" s="119"/>
      <c r="AZ6938" s="137">
        <v>46114</v>
      </c>
    </row>
    <row r="6939" spans="1:52" ht="17.100000000000001" customHeight="1" thickBot="1">
      <c r="A6939" s="110"/>
      <c r="B6939" s="27" t="s">
        <v>3367</v>
      </c>
      <c r="C6939" s="27">
        <v>2019</v>
      </c>
      <c r="D6939" s="14" t="s">
        <v>275</v>
      </c>
      <c r="E6939" s="112"/>
      <c r="F6939" s="139" t="s">
        <v>19884</v>
      </c>
      <c r="G6939" s="140"/>
      <c r="H6939" s="141"/>
      <c r="I6939" s="26">
        <v>70557</v>
      </c>
      <c r="J6939" s="117"/>
      <c r="K6939" s="120"/>
      <c r="L6939" s="121"/>
      <c r="M6939" s="120"/>
      <c r="N6939" s="121"/>
      <c r="O6939" s="120"/>
      <c r="P6939" s="121"/>
      <c r="Q6939" s="120"/>
      <c r="R6939" s="121"/>
      <c r="S6939" s="120"/>
      <c r="T6939" s="121"/>
      <c r="U6939" s="120"/>
      <c r="V6939" s="123"/>
      <c r="W6939" s="125"/>
      <c r="X6939" s="142" t="s">
        <v>20590</v>
      </c>
      <c r="Y6939" s="143"/>
      <c r="Z6939" s="143"/>
      <c r="AA6939" s="143"/>
      <c r="AB6939" s="144"/>
      <c r="AC6939" s="16" t="s">
        <v>21</v>
      </c>
      <c r="AD6939" s="17" t="s">
        <v>20553</v>
      </c>
      <c r="AE6939" s="145"/>
      <c r="AF6939" s="146"/>
      <c r="AG6939" s="146"/>
      <c r="AH6939" s="146"/>
      <c r="AI6939" s="147"/>
      <c r="AJ6939" s="148"/>
      <c r="AK6939" s="143"/>
      <c r="AL6939" s="144"/>
      <c r="AM6939" s="22"/>
      <c r="AN6939" s="149" t="s">
        <v>7285</v>
      </c>
      <c r="AO6939" s="144"/>
      <c r="AP6939" s="148">
        <v>6142</v>
      </c>
      <c r="AQ6939" s="144"/>
      <c r="AR6939" s="120"/>
      <c r="AS6939" s="121"/>
      <c r="AT6939" s="120"/>
      <c r="AU6939" s="121"/>
      <c r="AV6939" s="120"/>
      <c r="AW6939" s="121"/>
      <c r="AX6939" s="120"/>
      <c r="AY6939" s="121"/>
      <c r="AZ6939" s="138"/>
    </row>
    <row r="6940" spans="1:52" ht="17.100000000000001" customHeight="1" thickTop="1">
      <c r="A6940" s="109" t="s">
        <v>19885</v>
      </c>
      <c r="B6940" s="28">
        <v>46091</v>
      </c>
      <c r="C6940" s="25">
        <v>930</v>
      </c>
      <c r="D6940" s="13" t="s">
        <v>2359</v>
      </c>
      <c r="E6940" s="111"/>
      <c r="F6940" s="113" t="s">
        <v>19894</v>
      </c>
      <c r="G6940" s="114"/>
      <c r="H6940" s="115"/>
      <c r="I6940" s="24"/>
      <c r="J6940" s="116">
        <v>4.5</v>
      </c>
      <c r="K6940" s="118">
        <v>955000</v>
      </c>
      <c r="L6940" s="119"/>
      <c r="M6940" s="118">
        <f t="shared" ref="M6940" si="9799">K6940*0.1</f>
        <v>95500</v>
      </c>
      <c r="N6940" s="119"/>
      <c r="O6940" s="118">
        <v>0</v>
      </c>
      <c r="P6940" s="119"/>
      <c r="Q6940" s="118">
        <v>8790</v>
      </c>
      <c r="R6940" s="119"/>
      <c r="S6940" s="118">
        <v>15950</v>
      </c>
      <c r="T6940" s="119"/>
      <c r="U6940" s="118">
        <f t="shared" ref="U6940" si="9800">SUM(K6940:T6941)</f>
        <v>1075240</v>
      </c>
      <c r="V6940" s="122"/>
      <c r="W6940" s="124"/>
      <c r="X6940" s="126" t="s">
        <v>20572</v>
      </c>
      <c r="Y6940" s="127"/>
      <c r="Z6940" s="127"/>
      <c r="AA6940" s="127"/>
      <c r="AB6940" s="128"/>
      <c r="AC6940" s="15" t="s">
        <v>20</v>
      </c>
      <c r="AD6940" s="129" t="s">
        <v>16862</v>
      </c>
      <c r="AE6940" s="130"/>
      <c r="AF6940" s="130"/>
      <c r="AG6940" s="130"/>
      <c r="AH6940" s="130"/>
      <c r="AI6940" s="131"/>
      <c r="AJ6940" s="132"/>
      <c r="AK6940" s="127"/>
      <c r="AL6940" s="128"/>
      <c r="AM6940" s="21"/>
      <c r="AN6940" s="133"/>
      <c r="AO6940" s="134"/>
      <c r="AP6940" s="135"/>
      <c r="AQ6940" s="136"/>
      <c r="AR6940" s="118"/>
      <c r="AS6940" s="119"/>
      <c r="AT6940" s="118">
        <f t="shared" ref="AT6940" si="9801">AR6940*0.1</f>
        <v>0</v>
      </c>
      <c r="AU6940" s="119"/>
      <c r="AV6940" s="118"/>
      <c r="AW6940" s="119"/>
      <c r="AX6940" s="118">
        <f t="shared" ref="AX6940" si="9802">SUM(AR6940:AW6940)</f>
        <v>0</v>
      </c>
      <c r="AY6940" s="119"/>
      <c r="AZ6940" s="137"/>
    </row>
    <row r="6941" spans="1:52" ht="17.100000000000001" customHeight="1" thickBot="1">
      <c r="A6941" s="110"/>
      <c r="B6941" s="27" t="s">
        <v>2699</v>
      </c>
      <c r="C6941" s="27">
        <v>3005</v>
      </c>
      <c r="D6941" s="14" t="s">
        <v>904</v>
      </c>
      <c r="E6941" s="112"/>
      <c r="F6941" s="139" t="s">
        <v>19895</v>
      </c>
      <c r="G6941" s="140"/>
      <c r="H6941" s="141"/>
      <c r="I6941" s="26">
        <v>53771</v>
      </c>
      <c r="J6941" s="117"/>
      <c r="K6941" s="120"/>
      <c r="L6941" s="121"/>
      <c r="M6941" s="120"/>
      <c r="N6941" s="121"/>
      <c r="O6941" s="120"/>
      <c r="P6941" s="121"/>
      <c r="Q6941" s="120"/>
      <c r="R6941" s="121"/>
      <c r="S6941" s="120"/>
      <c r="T6941" s="121"/>
      <c r="U6941" s="120"/>
      <c r="V6941" s="123"/>
      <c r="W6941" s="125"/>
      <c r="X6941" s="142" t="s">
        <v>20573</v>
      </c>
      <c r="Y6941" s="143"/>
      <c r="Z6941" s="143"/>
      <c r="AA6941" s="143"/>
      <c r="AB6941" s="144"/>
      <c r="AC6941" s="16" t="s">
        <v>21</v>
      </c>
      <c r="AD6941" s="17" t="s">
        <v>20553</v>
      </c>
      <c r="AE6941" s="145" t="s">
        <v>7849</v>
      </c>
      <c r="AF6941" s="146"/>
      <c r="AG6941" s="146"/>
      <c r="AH6941" s="146"/>
      <c r="AI6941" s="147"/>
      <c r="AJ6941" s="148"/>
      <c r="AK6941" s="143"/>
      <c r="AL6941" s="144"/>
      <c r="AM6941" s="22"/>
      <c r="AN6941" s="149"/>
      <c r="AO6941" s="144"/>
      <c r="AP6941" s="148"/>
      <c r="AQ6941" s="144"/>
      <c r="AR6941" s="120"/>
      <c r="AS6941" s="121"/>
      <c r="AT6941" s="120"/>
      <c r="AU6941" s="121"/>
      <c r="AV6941" s="120"/>
      <c r="AW6941" s="121"/>
      <c r="AX6941" s="120"/>
      <c r="AY6941" s="121"/>
      <c r="AZ6941" s="138"/>
    </row>
    <row r="6942" spans="1:52" ht="17.100000000000001" customHeight="1" thickTop="1">
      <c r="A6942" s="109" t="s">
        <v>19886</v>
      </c>
      <c r="B6942" s="28">
        <v>46091</v>
      </c>
      <c r="C6942" s="25">
        <v>930</v>
      </c>
      <c r="D6942" s="13" t="s">
        <v>2838</v>
      </c>
      <c r="E6942" s="111"/>
      <c r="F6942" s="113" t="s">
        <v>16278</v>
      </c>
      <c r="G6942" s="114"/>
      <c r="H6942" s="115"/>
      <c r="I6942" s="24" t="s">
        <v>2112</v>
      </c>
      <c r="J6942" s="116">
        <v>5</v>
      </c>
      <c r="K6942" s="118">
        <v>948000</v>
      </c>
      <c r="L6942" s="119"/>
      <c r="M6942" s="118">
        <f t="shared" ref="M6942" si="9803">K6942*0.1</f>
        <v>94800</v>
      </c>
      <c r="N6942" s="119"/>
      <c r="O6942" s="118">
        <v>5000</v>
      </c>
      <c r="P6942" s="119"/>
      <c r="Q6942" s="118">
        <v>8510</v>
      </c>
      <c r="R6942" s="119"/>
      <c r="S6942" s="118">
        <v>15950</v>
      </c>
      <c r="T6942" s="119"/>
      <c r="U6942" s="118">
        <f t="shared" ref="U6942" si="9804">SUM(K6942:T6943)</f>
        <v>1072260</v>
      </c>
      <c r="V6942" s="122"/>
      <c r="W6942" s="124"/>
      <c r="X6942" s="126" t="s">
        <v>19922</v>
      </c>
      <c r="Y6942" s="127"/>
      <c r="Z6942" s="127"/>
      <c r="AA6942" s="127"/>
      <c r="AB6942" s="128"/>
      <c r="AC6942" s="15" t="s">
        <v>20</v>
      </c>
      <c r="AD6942" s="129" t="s">
        <v>4435</v>
      </c>
      <c r="AE6942" s="130"/>
      <c r="AF6942" s="130"/>
      <c r="AG6942" s="130"/>
      <c r="AH6942" s="130"/>
      <c r="AI6942" s="131"/>
      <c r="AJ6942" s="132"/>
      <c r="AK6942" s="127"/>
      <c r="AL6942" s="128"/>
      <c r="AM6942" s="21"/>
      <c r="AN6942" s="133">
        <v>46095</v>
      </c>
      <c r="AO6942" s="134"/>
      <c r="AP6942" s="135">
        <v>1292</v>
      </c>
      <c r="AQ6942" s="136"/>
      <c r="AR6942" s="118">
        <v>1045000</v>
      </c>
      <c r="AS6942" s="119"/>
      <c r="AT6942" s="118">
        <f t="shared" ref="AT6942" si="9805">AR6942*0.1</f>
        <v>104500</v>
      </c>
      <c r="AU6942" s="119"/>
      <c r="AV6942" s="118">
        <v>8510</v>
      </c>
      <c r="AW6942" s="119"/>
      <c r="AX6942" s="118">
        <f t="shared" ref="AX6942" si="9806">SUM(AR6942:AW6942)</f>
        <v>1158010</v>
      </c>
      <c r="AY6942" s="119"/>
      <c r="AZ6942" s="137">
        <v>46105</v>
      </c>
    </row>
    <row r="6943" spans="1:52" ht="17.100000000000001" customHeight="1" thickBot="1">
      <c r="A6943" s="110"/>
      <c r="B6943" s="27" t="s">
        <v>2699</v>
      </c>
      <c r="C6943" s="27">
        <v>3087</v>
      </c>
      <c r="D6943" s="14" t="s">
        <v>1592</v>
      </c>
      <c r="E6943" s="112"/>
      <c r="F6943" s="139" t="s">
        <v>19896</v>
      </c>
      <c r="G6943" s="140"/>
      <c r="H6943" s="141"/>
      <c r="I6943" s="26">
        <v>4183</v>
      </c>
      <c r="J6943" s="117"/>
      <c r="K6943" s="120"/>
      <c r="L6943" s="121"/>
      <c r="M6943" s="120"/>
      <c r="N6943" s="121"/>
      <c r="O6943" s="120"/>
      <c r="P6943" s="121"/>
      <c r="Q6943" s="120"/>
      <c r="R6943" s="121"/>
      <c r="S6943" s="120"/>
      <c r="T6943" s="121"/>
      <c r="U6943" s="120"/>
      <c r="V6943" s="123"/>
      <c r="W6943" s="125"/>
      <c r="X6943" s="142" t="s">
        <v>20556</v>
      </c>
      <c r="Y6943" s="143"/>
      <c r="Z6943" s="143"/>
      <c r="AA6943" s="143"/>
      <c r="AB6943" s="144"/>
      <c r="AC6943" s="16" t="s">
        <v>21</v>
      </c>
      <c r="AD6943" s="17" t="s">
        <v>20553</v>
      </c>
      <c r="AE6943" s="145" t="s">
        <v>7427</v>
      </c>
      <c r="AF6943" s="146"/>
      <c r="AG6943" s="146"/>
      <c r="AH6943" s="146"/>
      <c r="AI6943" s="147"/>
      <c r="AJ6943" s="148"/>
      <c r="AK6943" s="143"/>
      <c r="AL6943" s="144"/>
      <c r="AM6943" s="22"/>
      <c r="AN6943" s="149" t="s">
        <v>2511</v>
      </c>
      <c r="AO6943" s="144"/>
      <c r="AP6943" s="148">
        <v>60237</v>
      </c>
      <c r="AQ6943" s="144"/>
      <c r="AR6943" s="120"/>
      <c r="AS6943" s="121"/>
      <c r="AT6943" s="120"/>
      <c r="AU6943" s="121"/>
      <c r="AV6943" s="120"/>
      <c r="AW6943" s="121"/>
      <c r="AX6943" s="120"/>
      <c r="AY6943" s="121"/>
      <c r="AZ6943" s="138"/>
    </row>
    <row r="6944" spans="1:52" ht="17.100000000000001" customHeight="1" thickTop="1">
      <c r="A6944" s="109" t="s">
        <v>19887</v>
      </c>
      <c r="B6944" s="28">
        <v>46091</v>
      </c>
      <c r="C6944" s="25">
        <v>930</v>
      </c>
      <c r="D6944" s="13" t="s">
        <v>2681</v>
      </c>
      <c r="E6944" s="111"/>
      <c r="F6944" s="113" t="s">
        <v>19897</v>
      </c>
      <c r="G6944" s="114"/>
      <c r="H6944" s="115"/>
      <c r="I6944" s="24" t="s">
        <v>2064</v>
      </c>
      <c r="J6944" s="116">
        <v>4</v>
      </c>
      <c r="K6944" s="118">
        <v>960000</v>
      </c>
      <c r="L6944" s="119"/>
      <c r="M6944" s="118">
        <f t="shared" ref="M6944" si="9807">K6944*0.1</f>
        <v>96000</v>
      </c>
      <c r="N6944" s="119"/>
      <c r="O6944" s="118">
        <v>10800</v>
      </c>
      <c r="P6944" s="119"/>
      <c r="Q6944" s="118">
        <v>7150</v>
      </c>
      <c r="R6944" s="119"/>
      <c r="S6944" s="118">
        <v>15950</v>
      </c>
      <c r="T6944" s="119"/>
      <c r="U6944" s="118">
        <f t="shared" ref="U6944" si="9808">SUM(K6944:T6945)</f>
        <v>1089900</v>
      </c>
      <c r="V6944" s="122"/>
      <c r="W6944" s="124"/>
      <c r="X6944" s="126" t="s">
        <v>19923</v>
      </c>
      <c r="Y6944" s="127"/>
      <c r="Z6944" s="127"/>
      <c r="AA6944" s="127"/>
      <c r="AB6944" s="128"/>
      <c r="AC6944" s="15" t="s">
        <v>20</v>
      </c>
      <c r="AD6944" s="129" t="s">
        <v>19672</v>
      </c>
      <c r="AE6944" s="130"/>
      <c r="AF6944" s="130"/>
      <c r="AG6944" s="130"/>
      <c r="AH6944" s="130"/>
      <c r="AI6944" s="131"/>
      <c r="AJ6944" s="132"/>
      <c r="AK6944" s="127"/>
      <c r="AL6944" s="128"/>
      <c r="AM6944" s="21"/>
      <c r="AN6944" s="133">
        <v>46116</v>
      </c>
      <c r="AO6944" s="134"/>
      <c r="AP6944" s="135">
        <v>1295</v>
      </c>
      <c r="AQ6944" s="136"/>
      <c r="AR6944" s="118">
        <v>1040000</v>
      </c>
      <c r="AS6944" s="119"/>
      <c r="AT6944" s="118">
        <f t="shared" ref="AT6944" si="9809">AR6944*0.1</f>
        <v>104000</v>
      </c>
      <c r="AU6944" s="119"/>
      <c r="AV6944" s="118">
        <v>7150</v>
      </c>
      <c r="AW6944" s="119"/>
      <c r="AX6944" s="118">
        <f t="shared" ref="AX6944" si="9810">SUM(AR6944:AW6944)</f>
        <v>1151150</v>
      </c>
      <c r="AY6944" s="119"/>
      <c r="AZ6944" s="137">
        <v>46119</v>
      </c>
    </row>
    <row r="6945" spans="1:52" ht="17.100000000000001" customHeight="1" thickBot="1">
      <c r="A6945" s="110"/>
      <c r="B6945" s="27" t="s">
        <v>2699</v>
      </c>
      <c r="C6945" s="27">
        <v>3123</v>
      </c>
      <c r="D6945" s="14" t="s">
        <v>275</v>
      </c>
      <c r="E6945" s="112"/>
      <c r="F6945" s="139" t="s">
        <v>19898</v>
      </c>
      <c r="G6945" s="140"/>
      <c r="H6945" s="141"/>
      <c r="I6945" s="26">
        <v>24749</v>
      </c>
      <c r="J6945" s="117"/>
      <c r="K6945" s="120"/>
      <c r="L6945" s="121"/>
      <c r="M6945" s="120"/>
      <c r="N6945" s="121"/>
      <c r="O6945" s="120"/>
      <c r="P6945" s="121"/>
      <c r="Q6945" s="120"/>
      <c r="R6945" s="121"/>
      <c r="S6945" s="120"/>
      <c r="T6945" s="121"/>
      <c r="U6945" s="120"/>
      <c r="V6945" s="123"/>
      <c r="W6945" s="125"/>
      <c r="X6945" s="142" t="s">
        <v>14367</v>
      </c>
      <c r="Y6945" s="143"/>
      <c r="Z6945" s="143"/>
      <c r="AA6945" s="143"/>
      <c r="AB6945" s="144"/>
      <c r="AC6945" s="16" t="s">
        <v>21</v>
      </c>
      <c r="AD6945" s="17" t="s">
        <v>20553</v>
      </c>
      <c r="AE6945" s="145" t="s">
        <v>171</v>
      </c>
      <c r="AF6945" s="146"/>
      <c r="AG6945" s="146"/>
      <c r="AH6945" s="146"/>
      <c r="AI6945" s="147"/>
      <c r="AJ6945" s="148"/>
      <c r="AK6945" s="143"/>
      <c r="AL6945" s="144"/>
      <c r="AM6945" s="22"/>
      <c r="AN6945" s="149" t="s">
        <v>2511</v>
      </c>
      <c r="AO6945" s="144"/>
      <c r="AP6945" s="148">
        <v>60067</v>
      </c>
      <c r="AQ6945" s="144"/>
      <c r="AR6945" s="120"/>
      <c r="AS6945" s="121"/>
      <c r="AT6945" s="120"/>
      <c r="AU6945" s="121"/>
      <c r="AV6945" s="120"/>
      <c r="AW6945" s="121"/>
      <c r="AX6945" s="120"/>
      <c r="AY6945" s="121"/>
      <c r="AZ6945" s="138"/>
    </row>
    <row r="6946" spans="1:52" ht="17.100000000000001" customHeight="1" thickTop="1">
      <c r="A6946" s="109" t="s">
        <v>19888</v>
      </c>
      <c r="B6946" s="28">
        <v>46091</v>
      </c>
      <c r="C6946" s="25">
        <v>930</v>
      </c>
      <c r="D6946" s="13" t="s">
        <v>2838</v>
      </c>
      <c r="E6946" s="111"/>
      <c r="F6946" s="113" t="s">
        <v>15680</v>
      </c>
      <c r="G6946" s="114"/>
      <c r="H6946" s="115"/>
      <c r="I6946" s="24" t="s">
        <v>3733</v>
      </c>
      <c r="J6946" s="116">
        <v>4</v>
      </c>
      <c r="K6946" s="118">
        <v>903000</v>
      </c>
      <c r="L6946" s="119"/>
      <c r="M6946" s="118">
        <f t="shared" ref="M6946" si="9811">K6946*0.1</f>
        <v>90300</v>
      </c>
      <c r="N6946" s="119"/>
      <c r="O6946" s="118">
        <v>10800</v>
      </c>
      <c r="P6946" s="119"/>
      <c r="Q6946" s="118">
        <v>8130</v>
      </c>
      <c r="R6946" s="119"/>
      <c r="S6946" s="118">
        <v>15950</v>
      </c>
      <c r="T6946" s="119"/>
      <c r="U6946" s="118">
        <f t="shared" ref="U6946" si="9812">SUM(K6946:T6947)</f>
        <v>1028180</v>
      </c>
      <c r="V6946" s="122"/>
      <c r="W6946" s="124"/>
      <c r="X6946" s="126" t="s">
        <v>19924</v>
      </c>
      <c r="Y6946" s="127"/>
      <c r="Z6946" s="127"/>
      <c r="AA6946" s="127"/>
      <c r="AB6946" s="128"/>
      <c r="AC6946" s="15" t="s">
        <v>20</v>
      </c>
      <c r="AD6946" s="129" t="s">
        <v>19672</v>
      </c>
      <c r="AE6946" s="130"/>
      <c r="AF6946" s="130"/>
      <c r="AG6946" s="130"/>
      <c r="AH6946" s="130"/>
      <c r="AI6946" s="131"/>
      <c r="AJ6946" s="132"/>
      <c r="AK6946" s="127"/>
      <c r="AL6946" s="128"/>
      <c r="AM6946" s="21" t="s">
        <v>20972</v>
      </c>
      <c r="AN6946" s="133">
        <v>46101</v>
      </c>
      <c r="AO6946" s="134"/>
      <c r="AP6946" s="135"/>
      <c r="AQ6946" s="136"/>
      <c r="AR6946" s="118">
        <v>1200000</v>
      </c>
      <c r="AS6946" s="119"/>
      <c r="AT6946" s="118">
        <f t="shared" ref="AT6946" si="9813">AR6946*0.1</f>
        <v>120000</v>
      </c>
      <c r="AU6946" s="119"/>
      <c r="AV6946" s="118">
        <v>8130</v>
      </c>
      <c r="AW6946" s="119"/>
      <c r="AX6946" s="118">
        <f t="shared" ref="AX6946" si="9814">SUM(AR6946:AW6946)</f>
        <v>1328130</v>
      </c>
      <c r="AY6946" s="119"/>
      <c r="AZ6946" s="137"/>
    </row>
    <row r="6947" spans="1:52" ht="17.100000000000001" customHeight="1" thickBot="1">
      <c r="A6947" s="110"/>
      <c r="B6947" s="27" t="s">
        <v>2699</v>
      </c>
      <c r="C6947" s="27">
        <v>3171</v>
      </c>
      <c r="D6947" s="14" t="s">
        <v>55</v>
      </c>
      <c r="E6947" s="112"/>
      <c r="F6947" s="139" t="s">
        <v>19906</v>
      </c>
      <c r="G6947" s="140"/>
      <c r="H6947" s="141"/>
      <c r="I6947" s="26">
        <v>1694</v>
      </c>
      <c r="J6947" s="117"/>
      <c r="K6947" s="120"/>
      <c r="L6947" s="121"/>
      <c r="M6947" s="120"/>
      <c r="N6947" s="121"/>
      <c r="O6947" s="120"/>
      <c r="P6947" s="121"/>
      <c r="Q6947" s="120"/>
      <c r="R6947" s="121"/>
      <c r="S6947" s="120"/>
      <c r="T6947" s="121"/>
      <c r="U6947" s="120"/>
      <c r="V6947" s="123"/>
      <c r="W6947" s="125"/>
      <c r="X6947" s="142" t="s">
        <v>13173</v>
      </c>
      <c r="Y6947" s="143"/>
      <c r="Z6947" s="143"/>
      <c r="AA6947" s="143"/>
      <c r="AB6947" s="144"/>
      <c r="AC6947" s="16" t="s">
        <v>21</v>
      </c>
      <c r="AD6947" s="17" t="s">
        <v>20553</v>
      </c>
      <c r="AE6947" s="145" t="s">
        <v>171</v>
      </c>
      <c r="AF6947" s="146"/>
      <c r="AG6947" s="146"/>
      <c r="AH6947" s="146"/>
      <c r="AI6947" s="147"/>
      <c r="AJ6947" s="148"/>
      <c r="AK6947" s="143"/>
      <c r="AL6947" s="144"/>
      <c r="AM6947" s="22"/>
      <c r="AN6947" s="149" t="s">
        <v>6789</v>
      </c>
      <c r="AO6947" s="144"/>
      <c r="AP6947" s="148">
        <v>51444</v>
      </c>
      <c r="AQ6947" s="144"/>
      <c r="AR6947" s="120"/>
      <c r="AS6947" s="121"/>
      <c r="AT6947" s="120"/>
      <c r="AU6947" s="121"/>
      <c r="AV6947" s="120"/>
      <c r="AW6947" s="121"/>
      <c r="AX6947" s="120"/>
      <c r="AY6947" s="121"/>
      <c r="AZ6947" s="138"/>
    </row>
    <row r="6948" spans="1:52" ht="17.100000000000001" customHeight="1" thickTop="1">
      <c r="A6948" s="109" t="s">
        <v>19889</v>
      </c>
      <c r="B6948" s="28">
        <v>46091</v>
      </c>
      <c r="C6948" s="25">
        <v>930</v>
      </c>
      <c r="D6948" s="13" t="s">
        <v>2689</v>
      </c>
      <c r="E6948" s="111"/>
      <c r="F6948" s="113" t="s">
        <v>19907</v>
      </c>
      <c r="G6948" s="114"/>
      <c r="H6948" s="115"/>
      <c r="I6948" s="24"/>
      <c r="J6948" s="116">
        <v>4</v>
      </c>
      <c r="K6948" s="118">
        <v>654000</v>
      </c>
      <c r="L6948" s="119"/>
      <c r="M6948" s="118">
        <f t="shared" ref="M6948" si="9815">K6948*0.1</f>
        <v>65400</v>
      </c>
      <c r="N6948" s="119"/>
      <c r="O6948" s="118">
        <v>0</v>
      </c>
      <c r="P6948" s="119"/>
      <c r="Q6948" s="118">
        <v>7510</v>
      </c>
      <c r="R6948" s="119"/>
      <c r="S6948" s="118">
        <v>15950</v>
      </c>
      <c r="T6948" s="119"/>
      <c r="U6948" s="118">
        <f t="shared" ref="U6948" si="9816">SUM(K6948:T6949)</f>
        <v>742860</v>
      </c>
      <c r="V6948" s="122"/>
      <c r="W6948" s="124"/>
      <c r="X6948" s="126" t="s">
        <v>20570</v>
      </c>
      <c r="Y6948" s="127"/>
      <c r="Z6948" s="127"/>
      <c r="AA6948" s="127"/>
      <c r="AB6948" s="128"/>
      <c r="AC6948" s="15" t="s">
        <v>20</v>
      </c>
      <c r="AD6948" s="129"/>
      <c r="AE6948" s="130"/>
      <c r="AF6948" s="130"/>
      <c r="AG6948" s="130"/>
      <c r="AH6948" s="130"/>
      <c r="AI6948" s="131"/>
      <c r="AJ6948" s="132"/>
      <c r="AK6948" s="127"/>
      <c r="AL6948" s="128"/>
      <c r="AM6948" s="21"/>
      <c r="AN6948" s="133">
        <v>46102</v>
      </c>
      <c r="AO6948" s="134"/>
      <c r="AP6948" s="135">
        <v>1293</v>
      </c>
      <c r="AQ6948" s="136"/>
      <c r="AR6948" s="118">
        <v>750000</v>
      </c>
      <c r="AS6948" s="119"/>
      <c r="AT6948" s="118">
        <f t="shared" ref="AT6948" si="9817">AR6948*0.1</f>
        <v>75000</v>
      </c>
      <c r="AU6948" s="119"/>
      <c r="AV6948" s="118">
        <v>7510</v>
      </c>
      <c r="AW6948" s="119"/>
      <c r="AX6948" s="118">
        <f t="shared" ref="AX6948" si="9818">SUM(AR6948:AW6948)</f>
        <v>832510</v>
      </c>
      <c r="AY6948" s="119"/>
      <c r="AZ6948" s="137">
        <v>46105</v>
      </c>
    </row>
    <row r="6949" spans="1:52" ht="17.100000000000001" customHeight="1" thickBot="1">
      <c r="A6949" s="110"/>
      <c r="B6949" s="27" t="s">
        <v>2699</v>
      </c>
      <c r="C6949" s="27">
        <v>3201</v>
      </c>
      <c r="D6949" s="14" t="s">
        <v>1592</v>
      </c>
      <c r="E6949" s="112"/>
      <c r="F6949" s="139" t="s">
        <v>19908</v>
      </c>
      <c r="G6949" s="140"/>
      <c r="H6949" s="141"/>
      <c r="I6949" s="26">
        <v>47519</v>
      </c>
      <c r="J6949" s="117"/>
      <c r="K6949" s="120"/>
      <c r="L6949" s="121"/>
      <c r="M6949" s="120"/>
      <c r="N6949" s="121"/>
      <c r="O6949" s="120"/>
      <c r="P6949" s="121"/>
      <c r="Q6949" s="120"/>
      <c r="R6949" s="121"/>
      <c r="S6949" s="120"/>
      <c r="T6949" s="121"/>
      <c r="U6949" s="120"/>
      <c r="V6949" s="123"/>
      <c r="W6949" s="125"/>
      <c r="X6949" s="142" t="s">
        <v>20571</v>
      </c>
      <c r="Y6949" s="143"/>
      <c r="Z6949" s="143"/>
      <c r="AA6949" s="143"/>
      <c r="AB6949" s="144"/>
      <c r="AC6949" s="16" t="s">
        <v>21</v>
      </c>
      <c r="AD6949" s="17" t="s">
        <v>20553</v>
      </c>
      <c r="AE6949" s="145" t="s">
        <v>2269</v>
      </c>
      <c r="AF6949" s="146"/>
      <c r="AG6949" s="146"/>
      <c r="AH6949" s="146"/>
      <c r="AI6949" s="147"/>
      <c r="AJ6949" s="148"/>
      <c r="AK6949" s="143"/>
      <c r="AL6949" s="144"/>
      <c r="AM6949" s="22"/>
      <c r="AN6949" s="149" t="s">
        <v>2511</v>
      </c>
      <c r="AO6949" s="144"/>
      <c r="AP6949" s="148">
        <v>60045</v>
      </c>
      <c r="AQ6949" s="144"/>
      <c r="AR6949" s="120"/>
      <c r="AS6949" s="121"/>
      <c r="AT6949" s="120"/>
      <c r="AU6949" s="121"/>
      <c r="AV6949" s="120"/>
      <c r="AW6949" s="121"/>
      <c r="AX6949" s="120"/>
      <c r="AY6949" s="121"/>
      <c r="AZ6949" s="138"/>
    </row>
    <row r="6950" spans="1:52" ht="17.100000000000001" customHeight="1" thickTop="1">
      <c r="A6950" s="109" t="s">
        <v>19890</v>
      </c>
      <c r="B6950" s="28">
        <v>46091</v>
      </c>
      <c r="C6950" s="25">
        <v>930</v>
      </c>
      <c r="D6950" s="13" t="s">
        <v>3832</v>
      </c>
      <c r="E6950" s="111"/>
      <c r="F6950" s="113" t="s">
        <v>15865</v>
      </c>
      <c r="G6950" s="114"/>
      <c r="H6950" s="115"/>
      <c r="I6950" s="24"/>
      <c r="J6950" s="116">
        <v>4.5</v>
      </c>
      <c r="K6950" s="118">
        <v>940000</v>
      </c>
      <c r="L6950" s="119"/>
      <c r="M6950" s="118">
        <f t="shared" ref="M6950" si="9819">K6950*0.1</f>
        <v>94000</v>
      </c>
      <c r="N6950" s="119"/>
      <c r="O6950" s="118">
        <v>0</v>
      </c>
      <c r="P6950" s="119"/>
      <c r="Q6950" s="118">
        <v>8010</v>
      </c>
      <c r="R6950" s="119"/>
      <c r="S6950" s="118">
        <v>15950</v>
      </c>
      <c r="T6950" s="119"/>
      <c r="U6950" s="118">
        <f t="shared" ref="U6950" si="9820">SUM(K6950:T6951)</f>
        <v>1057960</v>
      </c>
      <c r="V6950" s="122"/>
      <c r="W6950" s="124"/>
      <c r="X6950" s="126" t="s">
        <v>20574</v>
      </c>
      <c r="Y6950" s="127"/>
      <c r="Z6950" s="127"/>
      <c r="AA6950" s="127"/>
      <c r="AB6950" s="128"/>
      <c r="AC6950" s="15" t="s">
        <v>20</v>
      </c>
      <c r="AD6950" s="129"/>
      <c r="AE6950" s="130"/>
      <c r="AF6950" s="130"/>
      <c r="AG6950" s="130"/>
      <c r="AH6950" s="130"/>
      <c r="AI6950" s="131"/>
      <c r="AJ6950" s="132"/>
      <c r="AK6950" s="127"/>
      <c r="AL6950" s="128"/>
      <c r="AM6950" s="21"/>
      <c r="AN6950" s="133">
        <v>46102</v>
      </c>
      <c r="AO6950" s="134"/>
      <c r="AP6950" s="135">
        <v>1293</v>
      </c>
      <c r="AQ6950" s="136"/>
      <c r="AR6950" s="118">
        <v>1030000</v>
      </c>
      <c r="AS6950" s="119"/>
      <c r="AT6950" s="118">
        <f t="shared" ref="AT6950" si="9821">AR6950*0.1</f>
        <v>103000</v>
      </c>
      <c r="AU6950" s="119"/>
      <c r="AV6950" s="118">
        <v>8010</v>
      </c>
      <c r="AW6950" s="119"/>
      <c r="AX6950" s="118">
        <f t="shared" ref="AX6950" si="9822">SUM(AR6950:AW6950)</f>
        <v>1141010</v>
      </c>
      <c r="AY6950" s="119"/>
      <c r="AZ6950" s="137">
        <v>46105</v>
      </c>
    </row>
    <row r="6951" spans="1:52" ht="17.100000000000001" customHeight="1" thickBot="1">
      <c r="A6951" s="110"/>
      <c r="B6951" s="27" t="s">
        <v>2699</v>
      </c>
      <c r="C6951" s="27">
        <v>3210</v>
      </c>
      <c r="D6951" s="14" t="s">
        <v>1720</v>
      </c>
      <c r="E6951" s="112"/>
      <c r="F6951" s="139" t="s">
        <v>19909</v>
      </c>
      <c r="G6951" s="140"/>
      <c r="H6951" s="141"/>
      <c r="I6951" s="26">
        <v>54127</v>
      </c>
      <c r="J6951" s="117"/>
      <c r="K6951" s="120"/>
      <c r="L6951" s="121"/>
      <c r="M6951" s="120"/>
      <c r="N6951" s="121"/>
      <c r="O6951" s="120"/>
      <c r="P6951" s="121"/>
      <c r="Q6951" s="120"/>
      <c r="R6951" s="121"/>
      <c r="S6951" s="120"/>
      <c r="T6951" s="121"/>
      <c r="U6951" s="120"/>
      <c r="V6951" s="123"/>
      <c r="W6951" s="125"/>
      <c r="X6951" s="142" t="s">
        <v>20575</v>
      </c>
      <c r="Y6951" s="143"/>
      <c r="Z6951" s="143"/>
      <c r="AA6951" s="143"/>
      <c r="AB6951" s="144"/>
      <c r="AC6951" s="16" t="s">
        <v>21</v>
      </c>
      <c r="AD6951" s="17" t="s">
        <v>20553</v>
      </c>
      <c r="AE6951" s="145" t="s">
        <v>7841</v>
      </c>
      <c r="AF6951" s="146"/>
      <c r="AG6951" s="146"/>
      <c r="AH6951" s="146"/>
      <c r="AI6951" s="147"/>
      <c r="AJ6951" s="148"/>
      <c r="AK6951" s="143"/>
      <c r="AL6951" s="144"/>
      <c r="AM6951" s="22"/>
      <c r="AN6951" s="149" t="s">
        <v>2511</v>
      </c>
      <c r="AO6951" s="144"/>
      <c r="AP6951" s="148">
        <v>60423</v>
      </c>
      <c r="AQ6951" s="144"/>
      <c r="AR6951" s="120"/>
      <c r="AS6951" s="121"/>
      <c r="AT6951" s="120"/>
      <c r="AU6951" s="121"/>
      <c r="AV6951" s="120"/>
      <c r="AW6951" s="121"/>
      <c r="AX6951" s="120"/>
      <c r="AY6951" s="121"/>
      <c r="AZ6951" s="138"/>
    </row>
    <row r="6952" spans="1:52" ht="17.100000000000001" customHeight="1" thickTop="1">
      <c r="A6952" s="109" t="s">
        <v>19891</v>
      </c>
      <c r="B6952" s="28">
        <v>46091</v>
      </c>
      <c r="C6952" s="25">
        <v>930</v>
      </c>
      <c r="D6952" s="13" t="s">
        <v>1688</v>
      </c>
      <c r="E6952" s="111"/>
      <c r="F6952" s="113" t="s">
        <v>19910</v>
      </c>
      <c r="G6952" s="114"/>
      <c r="H6952" s="115"/>
      <c r="I6952" s="24"/>
      <c r="J6952" s="116">
        <v>4.5</v>
      </c>
      <c r="K6952" s="118">
        <v>2102000</v>
      </c>
      <c r="L6952" s="119"/>
      <c r="M6952" s="118">
        <f t="shared" ref="M6952" si="9823">K6952*0.1</f>
        <v>210200</v>
      </c>
      <c r="N6952" s="119"/>
      <c r="O6952" s="118">
        <v>0</v>
      </c>
      <c r="P6952" s="119"/>
      <c r="Q6952" s="118">
        <v>15910</v>
      </c>
      <c r="R6952" s="119"/>
      <c r="S6952" s="118">
        <v>15950</v>
      </c>
      <c r="T6952" s="119"/>
      <c r="U6952" s="118">
        <f t="shared" ref="U6952" si="9824">SUM(K6952:T6953)</f>
        <v>2344060</v>
      </c>
      <c r="V6952" s="122"/>
      <c r="W6952" s="124"/>
      <c r="X6952" s="126" t="s">
        <v>20557</v>
      </c>
      <c r="Y6952" s="127"/>
      <c r="Z6952" s="127"/>
      <c r="AA6952" s="127"/>
      <c r="AB6952" s="128"/>
      <c r="AC6952" s="15" t="s">
        <v>20</v>
      </c>
      <c r="AD6952" s="129" t="s">
        <v>1670</v>
      </c>
      <c r="AE6952" s="130"/>
      <c r="AF6952" s="130"/>
      <c r="AG6952" s="130"/>
      <c r="AH6952" s="130"/>
      <c r="AI6952" s="131"/>
      <c r="AJ6952" s="132"/>
      <c r="AK6952" s="127"/>
      <c r="AL6952" s="128"/>
      <c r="AM6952" s="21"/>
      <c r="AN6952" s="133">
        <v>46095</v>
      </c>
      <c r="AO6952" s="134"/>
      <c r="AP6952" s="135">
        <v>1292</v>
      </c>
      <c r="AQ6952" s="136"/>
      <c r="AR6952" s="118">
        <v>2320000</v>
      </c>
      <c r="AS6952" s="119"/>
      <c r="AT6952" s="118">
        <f t="shared" ref="AT6952" si="9825">AR6952*0.1</f>
        <v>232000</v>
      </c>
      <c r="AU6952" s="119"/>
      <c r="AV6952" s="118">
        <v>15910</v>
      </c>
      <c r="AW6952" s="119"/>
      <c r="AX6952" s="118">
        <f t="shared" ref="AX6952" si="9826">SUM(AR6952:AW6952)</f>
        <v>2567910</v>
      </c>
      <c r="AY6952" s="119"/>
      <c r="AZ6952" s="137">
        <v>46105</v>
      </c>
    </row>
    <row r="6953" spans="1:52" ht="17.100000000000001" customHeight="1" thickBot="1">
      <c r="A6953" s="110"/>
      <c r="B6953" s="27" t="s">
        <v>2699</v>
      </c>
      <c r="C6953" s="27">
        <v>5008</v>
      </c>
      <c r="D6953" s="14" t="s">
        <v>2800</v>
      </c>
      <c r="E6953" s="112"/>
      <c r="F6953" s="139" t="s">
        <v>19925</v>
      </c>
      <c r="G6953" s="140"/>
      <c r="H6953" s="141"/>
      <c r="I6953" s="26">
        <v>22615</v>
      </c>
      <c r="J6953" s="117"/>
      <c r="K6953" s="120"/>
      <c r="L6953" s="121"/>
      <c r="M6953" s="120"/>
      <c r="N6953" s="121"/>
      <c r="O6953" s="120"/>
      <c r="P6953" s="121"/>
      <c r="Q6953" s="120"/>
      <c r="R6953" s="121"/>
      <c r="S6953" s="120"/>
      <c r="T6953" s="121"/>
      <c r="U6953" s="120"/>
      <c r="V6953" s="123"/>
      <c r="W6953" s="125"/>
      <c r="X6953" s="142" t="s">
        <v>3007</v>
      </c>
      <c r="Y6953" s="143"/>
      <c r="Z6953" s="143"/>
      <c r="AA6953" s="143"/>
      <c r="AB6953" s="144"/>
      <c r="AC6953" s="16" t="s">
        <v>21</v>
      </c>
      <c r="AD6953" s="17" t="s">
        <v>20553</v>
      </c>
      <c r="AE6953" s="145" t="s">
        <v>16385</v>
      </c>
      <c r="AF6953" s="146"/>
      <c r="AG6953" s="146"/>
      <c r="AH6953" s="146"/>
      <c r="AI6953" s="147"/>
      <c r="AJ6953" s="148"/>
      <c r="AK6953" s="143"/>
      <c r="AL6953" s="144"/>
      <c r="AM6953" s="22"/>
      <c r="AN6953" s="149" t="s">
        <v>6748</v>
      </c>
      <c r="AO6953" s="144"/>
      <c r="AP6953" s="148">
        <v>80371</v>
      </c>
      <c r="AQ6953" s="144"/>
      <c r="AR6953" s="120"/>
      <c r="AS6953" s="121"/>
      <c r="AT6953" s="120"/>
      <c r="AU6953" s="121"/>
      <c r="AV6953" s="120"/>
      <c r="AW6953" s="121"/>
      <c r="AX6953" s="120"/>
      <c r="AY6953" s="121"/>
      <c r="AZ6953" s="138"/>
    </row>
    <row r="6954" spans="1:52" ht="17.100000000000001" customHeight="1" thickTop="1">
      <c r="A6954" s="109" t="s">
        <v>19892</v>
      </c>
      <c r="B6954" s="28">
        <v>46091</v>
      </c>
      <c r="C6954" s="25">
        <v>930</v>
      </c>
      <c r="D6954" s="13" t="s">
        <v>1825</v>
      </c>
      <c r="E6954" s="111"/>
      <c r="F6954" s="113" t="s">
        <v>19911</v>
      </c>
      <c r="G6954" s="114"/>
      <c r="H6954" s="115"/>
      <c r="I6954" s="24"/>
      <c r="J6954" s="116">
        <v>4</v>
      </c>
      <c r="K6954" s="118">
        <v>2023000</v>
      </c>
      <c r="L6954" s="119"/>
      <c r="M6954" s="118">
        <f t="shared" ref="M6954" si="9827">K6954*0.1</f>
        <v>202300</v>
      </c>
      <c r="N6954" s="119"/>
      <c r="O6954" s="118">
        <v>0</v>
      </c>
      <c r="P6954" s="119"/>
      <c r="Q6954" s="118">
        <v>15180</v>
      </c>
      <c r="R6954" s="119"/>
      <c r="S6954" s="118">
        <v>20900</v>
      </c>
      <c r="T6954" s="119"/>
      <c r="U6954" s="118">
        <f t="shared" ref="U6954" si="9828">SUM(K6954:T6955)</f>
        <v>2261380</v>
      </c>
      <c r="V6954" s="122"/>
      <c r="W6954" s="124"/>
      <c r="X6954" s="126" t="s">
        <v>20561</v>
      </c>
      <c r="Y6954" s="127"/>
      <c r="Z6954" s="127"/>
      <c r="AA6954" s="127"/>
      <c r="AB6954" s="128"/>
      <c r="AC6954" s="15" t="s">
        <v>20</v>
      </c>
      <c r="AD6954" s="129"/>
      <c r="AE6954" s="130"/>
      <c r="AF6954" s="130"/>
      <c r="AG6954" s="130"/>
      <c r="AH6954" s="130"/>
      <c r="AI6954" s="131"/>
      <c r="AJ6954" s="132"/>
      <c r="AK6954" s="127"/>
      <c r="AL6954" s="128"/>
      <c r="AM6954" s="21"/>
      <c r="AN6954" s="133"/>
      <c r="AO6954" s="134"/>
      <c r="AP6954" s="135"/>
      <c r="AQ6954" s="136"/>
      <c r="AR6954" s="118"/>
      <c r="AS6954" s="119"/>
      <c r="AT6954" s="118">
        <f t="shared" ref="AT6954" si="9829">AR6954*0.1</f>
        <v>0</v>
      </c>
      <c r="AU6954" s="119"/>
      <c r="AV6954" s="118"/>
      <c r="AW6954" s="119"/>
      <c r="AX6954" s="118">
        <f t="shared" ref="AX6954" si="9830">SUM(AR6954:AW6954)</f>
        <v>0</v>
      </c>
      <c r="AY6954" s="119"/>
      <c r="AZ6954" s="137"/>
    </row>
    <row r="6955" spans="1:52" ht="17.100000000000001" customHeight="1" thickBot="1">
      <c r="A6955" s="110"/>
      <c r="B6955" s="27" t="s">
        <v>2699</v>
      </c>
      <c r="C6955" s="27">
        <v>5022</v>
      </c>
      <c r="D6955" s="14" t="s">
        <v>275</v>
      </c>
      <c r="E6955" s="112"/>
      <c r="F6955" s="139" t="s">
        <v>19926</v>
      </c>
      <c r="G6955" s="140"/>
      <c r="H6955" s="141"/>
      <c r="I6955" s="26">
        <v>21092</v>
      </c>
      <c r="J6955" s="117"/>
      <c r="K6955" s="120"/>
      <c r="L6955" s="121"/>
      <c r="M6955" s="120"/>
      <c r="N6955" s="121"/>
      <c r="O6955" s="120"/>
      <c r="P6955" s="121"/>
      <c r="Q6955" s="120"/>
      <c r="R6955" s="121"/>
      <c r="S6955" s="120"/>
      <c r="T6955" s="121"/>
      <c r="U6955" s="120"/>
      <c r="V6955" s="123"/>
      <c r="W6955" s="125"/>
      <c r="X6955" s="142" t="s">
        <v>16203</v>
      </c>
      <c r="Y6955" s="143"/>
      <c r="Z6955" s="143"/>
      <c r="AA6955" s="143"/>
      <c r="AB6955" s="144"/>
      <c r="AC6955" s="16" t="s">
        <v>21</v>
      </c>
      <c r="AD6955" s="17" t="s">
        <v>20553</v>
      </c>
      <c r="AE6955" s="145" t="s">
        <v>21297</v>
      </c>
      <c r="AF6955" s="146"/>
      <c r="AG6955" s="146"/>
      <c r="AH6955" s="146"/>
      <c r="AI6955" s="147"/>
      <c r="AJ6955" s="148"/>
      <c r="AK6955" s="143"/>
      <c r="AL6955" s="144"/>
      <c r="AM6955" s="22"/>
      <c r="AN6955" s="149"/>
      <c r="AO6955" s="144"/>
      <c r="AP6955" s="148"/>
      <c r="AQ6955" s="144"/>
      <c r="AR6955" s="120"/>
      <c r="AS6955" s="121"/>
      <c r="AT6955" s="120"/>
      <c r="AU6955" s="121"/>
      <c r="AV6955" s="120"/>
      <c r="AW6955" s="121"/>
      <c r="AX6955" s="120"/>
      <c r="AY6955" s="121"/>
      <c r="AZ6955" s="138"/>
    </row>
    <row r="6956" spans="1:52" ht="17.100000000000001" customHeight="1" thickTop="1">
      <c r="A6956" s="109" t="s">
        <v>19893</v>
      </c>
      <c r="B6956" s="28">
        <v>46091</v>
      </c>
      <c r="C6956" s="25">
        <v>930</v>
      </c>
      <c r="D6956" s="13" t="s">
        <v>1606</v>
      </c>
      <c r="E6956" s="111"/>
      <c r="F6956" s="113" t="s">
        <v>2724</v>
      </c>
      <c r="G6956" s="114"/>
      <c r="H6956" s="115"/>
      <c r="I6956" s="24"/>
      <c r="J6956" s="116">
        <v>4.5</v>
      </c>
      <c r="K6956" s="118">
        <v>622000</v>
      </c>
      <c r="L6956" s="119"/>
      <c r="M6956" s="118">
        <f t="shared" ref="M6956" si="9831">K6956*0.1</f>
        <v>62200</v>
      </c>
      <c r="N6956" s="119"/>
      <c r="O6956" s="118">
        <v>0</v>
      </c>
      <c r="P6956" s="119"/>
      <c r="Q6956" s="118">
        <v>17700</v>
      </c>
      <c r="R6956" s="119"/>
      <c r="S6956" s="118">
        <v>15950</v>
      </c>
      <c r="T6956" s="119"/>
      <c r="U6956" s="118">
        <f t="shared" ref="U6956" si="9832">SUM(K6956:T6957)</f>
        <v>717850</v>
      </c>
      <c r="V6956" s="122"/>
      <c r="W6956" s="124"/>
      <c r="X6956" s="126" t="s">
        <v>20562</v>
      </c>
      <c r="Y6956" s="127"/>
      <c r="Z6956" s="127"/>
      <c r="AA6956" s="127"/>
      <c r="AB6956" s="128"/>
      <c r="AC6956" s="15" t="s">
        <v>20</v>
      </c>
      <c r="AD6956" s="129"/>
      <c r="AE6956" s="130"/>
      <c r="AF6956" s="130"/>
      <c r="AG6956" s="130"/>
      <c r="AH6956" s="130"/>
      <c r="AI6956" s="131"/>
      <c r="AJ6956" s="132"/>
      <c r="AK6956" s="127"/>
      <c r="AL6956" s="128"/>
      <c r="AM6956" s="21"/>
      <c r="AN6956" s="133"/>
      <c r="AO6956" s="134"/>
      <c r="AP6956" s="135"/>
      <c r="AQ6956" s="136"/>
      <c r="AR6956" s="118"/>
      <c r="AS6956" s="119"/>
      <c r="AT6956" s="118">
        <f t="shared" ref="AT6956" si="9833">AR6956*0.1</f>
        <v>0</v>
      </c>
      <c r="AU6956" s="119"/>
      <c r="AV6956" s="118"/>
      <c r="AW6956" s="119"/>
      <c r="AX6956" s="118">
        <f t="shared" ref="AX6956" si="9834">SUM(AR6956:AW6956)</f>
        <v>0</v>
      </c>
      <c r="AY6956" s="119"/>
      <c r="AZ6956" s="137"/>
    </row>
    <row r="6957" spans="1:52" ht="17.100000000000001" customHeight="1" thickBot="1">
      <c r="A6957" s="110"/>
      <c r="B6957" s="27" t="s">
        <v>2699</v>
      </c>
      <c r="C6957" s="27">
        <v>5023</v>
      </c>
      <c r="D6957" s="14" t="s">
        <v>2800</v>
      </c>
      <c r="E6957" s="112"/>
      <c r="F6957" s="139" t="s">
        <v>19927</v>
      </c>
      <c r="G6957" s="140"/>
      <c r="H6957" s="141"/>
      <c r="I6957" s="26">
        <v>71316</v>
      </c>
      <c r="J6957" s="117"/>
      <c r="K6957" s="120"/>
      <c r="L6957" s="121"/>
      <c r="M6957" s="120"/>
      <c r="N6957" s="121"/>
      <c r="O6957" s="120"/>
      <c r="P6957" s="121"/>
      <c r="Q6957" s="120"/>
      <c r="R6957" s="121"/>
      <c r="S6957" s="120"/>
      <c r="T6957" s="121"/>
      <c r="U6957" s="120"/>
      <c r="V6957" s="123"/>
      <c r="W6957" s="125"/>
      <c r="X6957" s="142" t="s">
        <v>16203</v>
      </c>
      <c r="Y6957" s="143"/>
      <c r="Z6957" s="143"/>
      <c r="AA6957" s="143"/>
      <c r="AB6957" s="144"/>
      <c r="AC6957" s="16" t="s">
        <v>21</v>
      </c>
      <c r="AD6957" s="17" t="s">
        <v>20553</v>
      </c>
      <c r="AE6957" s="145"/>
      <c r="AF6957" s="146"/>
      <c r="AG6957" s="146"/>
      <c r="AH6957" s="146"/>
      <c r="AI6957" s="147"/>
      <c r="AJ6957" s="148"/>
      <c r="AK6957" s="143"/>
      <c r="AL6957" s="144"/>
      <c r="AM6957" s="22"/>
      <c r="AN6957" s="149"/>
      <c r="AO6957" s="144"/>
      <c r="AP6957" s="148"/>
      <c r="AQ6957" s="144"/>
      <c r="AR6957" s="120"/>
      <c r="AS6957" s="121"/>
      <c r="AT6957" s="120"/>
      <c r="AU6957" s="121"/>
      <c r="AV6957" s="120"/>
      <c r="AW6957" s="121"/>
      <c r="AX6957" s="120"/>
      <c r="AY6957" s="121"/>
      <c r="AZ6957" s="138"/>
    </row>
    <row r="6958" spans="1:52" ht="17.100000000000001" customHeight="1" thickTop="1">
      <c r="A6958" s="109" t="s">
        <v>19899</v>
      </c>
      <c r="B6958" s="28">
        <v>46091</v>
      </c>
      <c r="C6958" s="25">
        <v>930</v>
      </c>
      <c r="D6958" s="13" t="s">
        <v>19928</v>
      </c>
      <c r="E6958" s="111"/>
      <c r="F6958" s="113" t="s">
        <v>19642</v>
      </c>
      <c r="G6958" s="114"/>
      <c r="H6958" s="115"/>
      <c r="I6958" s="24"/>
      <c r="J6958" s="116">
        <v>4</v>
      </c>
      <c r="K6958" s="118">
        <v>328000</v>
      </c>
      <c r="L6958" s="119"/>
      <c r="M6958" s="118">
        <f t="shared" ref="M6958" si="9835">K6958*0.1</f>
        <v>32800</v>
      </c>
      <c r="N6958" s="119"/>
      <c r="O6958" s="118">
        <v>0</v>
      </c>
      <c r="P6958" s="119"/>
      <c r="Q6958" s="118">
        <v>7140</v>
      </c>
      <c r="R6958" s="119"/>
      <c r="S6958" s="118">
        <v>15950</v>
      </c>
      <c r="T6958" s="119"/>
      <c r="U6958" s="118">
        <f t="shared" ref="U6958" si="9836">SUM(K6958:T6959)</f>
        <v>383890</v>
      </c>
      <c r="V6958" s="122"/>
      <c r="W6958" s="124"/>
      <c r="X6958" s="126" t="s">
        <v>20559</v>
      </c>
      <c r="Y6958" s="127"/>
      <c r="Z6958" s="127"/>
      <c r="AA6958" s="127"/>
      <c r="AB6958" s="128"/>
      <c r="AC6958" s="15" t="s">
        <v>20</v>
      </c>
      <c r="AD6958" s="129"/>
      <c r="AE6958" s="130"/>
      <c r="AF6958" s="130"/>
      <c r="AG6958" s="130"/>
      <c r="AH6958" s="130"/>
      <c r="AI6958" s="131"/>
      <c r="AJ6958" s="132"/>
      <c r="AK6958" s="127"/>
      <c r="AL6958" s="128"/>
      <c r="AM6958" s="21"/>
      <c r="AN6958" s="133">
        <v>46095</v>
      </c>
      <c r="AO6958" s="134"/>
      <c r="AP6958" s="135">
        <v>1292</v>
      </c>
      <c r="AQ6958" s="136"/>
      <c r="AR6958" s="118">
        <v>440000</v>
      </c>
      <c r="AS6958" s="119"/>
      <c r="AT6958" s="118">
        <f t="shared" ref="AT6958" si="9837">AR6958*0.1</f>
        <v>44000</v>
      </c>
      <c r="AU6958" s="119"/>
      <c r="AV6958" s="118">
        <v>7140</v>
      </c>
      <c r="AW6958" s="119"/>
      <c r="AX6958" s="118">
        <f t="shared" ref="AX6958" si="9838">SUM(AR6958:AW6958)</f>
        <v>491140</v>
      </c>
      <c r="AY6958" s="119"/>
      <c r="AZ6958" s="137">
        <v>46105</v>
      </c>
    </row>
    <row r="6959" spans="1:52" ht="17.100000000000001" customHeight="1" thickBot="1">
      <c r="A6959" s="110"/>
      <c r="B6959" s="27" t="s">
        <v>2699</v>
      </c>
      <c r="C6959" s="27">
        <v>7184</v>
      </c>
      <c r="D6959" s="14" t="s">
        <v>19929</v>
      </c>
      <c r="E6959" s="112"/>
      <c r="F6959" s="139" t="s">
        <v>19912</v>
      </c>
      <c r="G6959" s="140"/>
      <c r="H6959" s="141"/>
      <c r="I6959" s="26">
        <v>30703</v>
      </c>
      <c r="J6959" s="117"/>
      <c r="K6959" s="120"/>
      <c r="L6959" s="121"/>
      <c r="M6959" s="120"/>
      <c r="N6959" s="121"/>
      <c r="O6959" s="120"/>
      <c r="P6959" s="121"/>
      <c r="Q6959" s="120"/>
      <c r="R6959" s="121"/>
      <c r="S6959" s="120"/>
      <c r="T6959" s="121"/>
      <c r="U6959" s="120"/>
      <c r="V6959" s="123"/>
      <c r="W6959" s="125"/>
      <c r="X6959" s="142" t="s">
        <v>20560</v>
      </c>
      <c r="Y6959" s="143"/>
      <c r="Z6959" s="143"/>
      <c r="AA6959" s="143"/>
      <c r="AB6959" s="144"/>
      <c r="AC6959" s="16" t="s">
        <v>21</v>
      </c>
      <c r="AD6959" s="17" t="s">
        <v>20553</v>
      </c>
      <c r="AE6959" s="145"/>
      <c r="AF6959" s="146"/>
      <c r="AG6959" s="146"/>
      <c r="AH6959" s="146"/>
      <c r="AI6959" s="147"/>
      <c r="AJ6959" s="148"/>
      <c r="AK6959" s="143"/>
      <c r="AL6959" s="144"/>
      <c r="AM6959" s="22"/>
      <c r="AN6959" s="149" t="s">
        <v>2511</v>
      </c>
      <c r="AO6959" s="144"/>
      <c r="AP6959" s="148">
        <v>60501</v>
      </c>
      <c r="AQ6959" s="144"/>
      <c r="AR6959" s="120"/>
      <c r="AS6959" s="121"/>
      <c r="AT6959" s="120"/>
      <c r="AU6959" s="121"/>
      <c r="AV6959" s="120"/>
      <c r="AW6959" s="121"/>
      <c r="AX6959" s="120"/>
      <c r="AY6959" s="121"/>
      <c r="AZ6959" s="138"/>
    </row>
    <row r="6960" spans="1:52" ht="17.100000000000001" customHeight="1" thickTop="1">
      <c r="A6960" s="109" t="s">
        <v>19900</v>
      </c>
      <c r="B6960" s="28">
        <v>46091</v>
      </c>
      <c r="C6960" s="25">
        <v>930</v>
      </c>
      <c r="D6960" s="13" t="s">
        <v>1902</v>
      </c>
      <c r="E6960" s="111"/>
      <c r="F6960" s="113" t="s">
        <v>17575</v>
      </c>
      <c r="G6960" s="114"/>
      <c r="H6960" s="115"/>
      <c r="I6960" s="24"/>
      <c r="J6960" s="116">
        <v>4.5</v>
      </c>
      <c r="K6960" s="118">
        <v>707000</v>
      </c>
      <c r="L6960" s="119"/>
      <c r="M6960" s="118">
        <f t="shared" ref="M6960" si="9839">K6960*0.1</f>
        <v>70700</v>
      </c>
      <c r="N6960" s="119"/>
      <c r="O6960" s="118">
        <v>0</v>
      </c>
      <c r="P6960" s="119"/>
      <c r="Q6960" s="118">
        <v>7440</v>
      </c>
      <c r="R6960" s="119"/>
      <c r="S6960" s="118">
        <v>15950</v>
      </c>
      <c r="T6960" s="119"/>
      <c r="U6960" s="118">
        <f t="shared" ref="U6960" si="9840">SUM(K6960:T6961)</f>
        <v>801090</v>
      </c>
      <c r="V6960" s="122"/>
      <c r="W6960" s="124"/>
      <c r="X6960" s="126" t="s">
        <v>20591</v>
      </c>
      <c r="Y6960" s="127"/>
      <c r="Z6960" s="127"/>
      <c r="AA6960" s="127"/>
      <c r="AB6960" s="128"/>
      <c r="AC6960" s="15" t="s">
        <v>20</v>
      </c>
      <c r="AD6960" s="129"/>
      <c r="AE6960" s="130"/>
      <c r="AF6960" s="130"/>
      <c r="AG6960" s="130"/>
      <c r="AH6960" s="130"/>
      <c r="AI6960" s="131"/>
      <c r="AJ6960" s="132"/>
      <c r="AK6960" s="127"/>
      <c r="AL6960" s="128"/>
      <c r="AM6960" s="21"/>
      <c r="AN6960" s="133">
        <v>46106</v>
      </c>
      <c r="AO6960" s="134"/>
      <c r="AP6960" s="135">
        <v>1010</v>
      </c>
      <c r="AQ6960" s="136"/>
      <c r="AR6960" s="118">
        <v>845000</v>
      </c>
      <c r="AS6960" s="119"/>
      <c r="AT6960" s="118">
        <f t="shared" ref="AT6960" si="9841">AR6960*0.1</f>
        <v>84500</v>
      </c>
      <c r="AU6960" s="119"/>
      <c r="AV6960" s="118">
        <v>7440</v>
      </c>
      <c r="AW6960" s="119"/>
      <c r="AX6960" s="118">
        <f t="shared" ref="AX6960" si="9842">SUM(AR6960:AW6960)</f>
        <v>936940</v>
      </c>
      <c r="AY6960" s="119"/>
      <c r="AZ6960" s="137">
        <v>46111</v>
      </c>
    </row>
    <row r="6961" spans="1:52" ht="17.100000000000001" customHeight="1" thickBot="1">
      <c r="A6961" s="110"/>
      <c r="B6961" s="27" t="s">
        <v>2699</v>
      </c>
      <c r="C6961" s="27">
        <v>62041</v>
      </c>
      <c r="D6961" s="14" t="s">
        <v>1720</v>
      </c>
      <c r="E6961" s="112"/>
      <c r="F6961" s="139" t="s">
        <v>19913</v>
      </c>
      <c r="G6961" s="140"/>
      <c r="H6961" s="141"/>
      <c r="I6961" s="26">
        <v>48709</v>
      </c>
      <c r="J6961" s="117"/>
      <c r="K6961" s="120"/>
      <c r="L6961" s="121"/>
      <c r="M6961" s="120"/>
      <c r="N6961" s="121"/>
      <c r="O6961" s="120"/>
      <c r="P6961" s="121"/>
      <c r="Q6961" s="120"/>
      <c r="R6961" s="121"/>
      <c r="S6961" s="120"/>
      <c r="T6961" s="121"/>
      <c r="U6961" s="120"/>
      <c r="V6961" s="123"/>
      <c r="W6961" s="125"/>
      <c r="X6961" s="142" t="s">
        <v>8712</v>
      </c>
      <c r="Y6961" s="143"/>
      <c r="Z6961" s="143"/>
      <c r="AA6961" s="143"/>
      <c r="AB6961" s="144"/>
      <c r="AC6961" s="16" t="s">
        <v>21</v>
      </c>
      <c r="AD6961" s="17" t="s">
        <v>20553</v>
      </c>
      <c r="AE6961" s="145" t="s">
        <v>10327</v>
      </c>
      <c r="AF6961" s="146"/>
      <c r="AG6961" s="146"/>
      <c r="AH6961" s="146"/>
      <c r="AI6961" s="147"/>
      <c r="AJ6961" s="148"/>
      <c r="AK6961" s="143"/>
      <c r="AL6961" s="144"/>
      <c r="AM6961" s="22"/>
      <c r="AN6961" s="149" t="s">
        <v>2794</v>
      </c>
      <c r="AO6961" s="144"/>
      <c r="AP6961" s="148">
        <v>80088</v>
      </c>
      <c r="AQ6961" s="144"/>
      <c r="AR6961" s="120"/>
      <c r="AS6961" s="121"/>
      <c r="AT6961" s="120"/>
      <c r="AU6961" s="121"/>
      <c r="AV6961" s="120"/>
      <c r="AW6961" s="121"/>
      <c r="AX6961" s="120"/>
      <c r="AY6961" s="121"/>
      <c r="AZ6961" s="138"/>
    </row>
    <row r="6962" spans="1:52" ht="17.100000000000001" customHeight="1" thickTop="1">
      <c r="A6962" s="109" t="s">
        <v>19901</v>
      </c>
      <c r="B6962" s="28">
        <v>46091</v>
      </c>
      <c r="C6962" s="25">
        <v>1231</v>
      </c>
      <c r="D6962" s="13" t="s">
        <v>1714</v>
      </c>
      <c r="E6962" s="111"/>
      <c r="F6962" s="113" t="s">
        <v>19914</v>
      </c>
      <c r="G6962" s="114"/>
      <c r="H6962" s="115"/>
      <c r="I6962" s="24"/>
      <c r="J6962" s="116">
        <v>4</v>
      </c>
      <c r="K6962" s="118">
        <v>1000000</v>
      </c>
      <c r="L6962" s="119"/>
      <c r="M6962" s="118">
        <f t="shared" ref="M6962" si="9843">K6962*0.1</f>
        <v>100000</v>
      </c>
      <c r="N6962" s="119"/>
      <c r="O6962" s="118">
        <v>0</v>
      </c>
      <c r="P6962" s="119"/>
      <c r="Q6962" s="118">
        <v>12270</v>
      </c>
      <c r="R6962" s="119"/>
      <c r="S6962" s="118">
        <v>20900</v>
      </c>
      <c r="T6962" s="119"/>
      <c r="U6962" s="118">
        <f t="shared" ref="U6962" si="9844">SUM(K6962:T6963)</f>
        <v>1133170</v>
      </c>
      <c r="V6962" s="122"/>
      <c r="W6962" s="124"/>
      <c r="X6962" s="126" t="s">
        <v>20564</v>
      </c>
      <c r="Y6962" s="127"/>
      <c r="Z6962" s="127"/>
      <c r="AA6962" s="127"/>
      <c r="AB6962" s="128"/>
      <c r="AC6962" s="15" t="s">
        <v>20</v>
      </c>
      <c r="AD6962" s="129" t="s">
        <v>16862</v>
      </c>
      <c r="AE6962" s="130"/>
      <c r="AF6962" s="130"/>
      <c r="AG6962" s="130"/>
      <c r="AH6962" s="130"/>
      <c r="AI6962" s="131"/>
      <c r="AJ6962" s="132"/>
      <c r="AK6962" s="127"/>
      <c r="AL6962" s="128"/>
      <c r="AM6962" s="21"/>
      <c r="AN6962" s="133">
        <v>46130</v>
      </c>
      <c r="AO6962" s="134"/>
      <c r="AP6962" s="135">
        <v>1297</v>
      </c>
      <c r="AQ6962" s="136"/>
      <c r="AR6962" s="118">
        <v>1090000</v>
      </c>
      <c r="AS6962" s="119"/>
      <c r="AT6962" s="118">
        <f t="shared" ref="AT6962" si="9845">AR6962*0.1</f>
        <v>109000</v>
      </c>
      <c r="AU6962" s="119"/>
      <c r="AV6962" s="118">
        <v>12270</v>
      </c>
      <c r="AW6962" s="119"/>
      <c r="AX6962" s="118">
        <f t="shared" ref="AX6962" si="9846">SUM(AR6962:AW6962)</f>
        <v>1211270</v>
      </c>
      <c r="AY6962" s="119"/>
      <c r="AZ6962" s="137">
        <v>46133</v>
      </c>
    </row>
    <row r="6963" spans="1:52" ht="17.100000000000001" customHeight="1" thickBot="1">
      <c r="A6963" s="110"/>
      <c r="B6963" s="27" t="s">
        <v>2379</v>
      </c>
      <c r="C6963" s="27">
        <v>5048</v>
      </c>
      <c r="D6963" s="14" t="s">
        <v>1556</v>
      </c>
      <c r="E6963" s="112"/>
      <c r="F6963" s="139" t="s">
        <v>19930</v>
      </c>
      <c r="G6963" s="140"/>
      <c r="H6963" s="141"/>
      <c r="I6963" s="26">
        <v>9073</v>
      </c>
      <c r="J6963" s="117"/>
      <c r="K6963" s="120"/>
      <c r="L6963" s="121"/>
      <c r="M6963" s="120"/>
      <c r="N6963" s="121"/>
      <c r="O6963" s="120"/>
      <c r="P6963" s="121"/>
      <c r="Q6963" s="120"/>
      <c r="R6963" s="121"/>
      <c r="S6963" s="120"/>
      <c r="T6963" s="121"/>
      <c r="U6963" s="120"/>
      <c r="V6963" s="123"/>
      <c r="W6963" s="125"/>
      <c r="X6963" s="142" t="s">
        <v>20565</v>
      </c>
      <c r="Y6963" s="143"/>
      <c r="Z6963" s="143"/>
      <c r="AA6963" s="143"/>
      <c r="AB6963" s="144"/>
      <c r="AC6963" s="16" t="s">
        <v>21</v>
      </c>
      <c r="AD6963" s="17" t="s">
        <v>20553</v>
      </c>
      <c r="AE6963" s="145" t="s">
        <v>20184</v>
      </c>
      <c r="AF6963" s="146"/>
      <c r="AG6963" s="146"/>
      <c r="AH6963" s="146"/>
      <c r="AI6963" s="147"/>
      <c r="AJ6963" s="148"/>
      <c r="AK6963" s="143"/>
      <c r="AL6963" s="144"/>
      <c r="AM6963" s="22"/>
      <c r="AN6963" s="149" t="s">
        <v>2511</v>
      </c>
      <c r="AO6963" s="144"/>
      <c r="AP6963" s="148">
        <v>80202</v>
      </c>
      <c r="AQ6963" s="144"/>
      <c r="AR6963" s="120"/>
      <c r="AS6963" s="121"/>
      <c r="AT6963" s="120"/>
      <c r="AU6963" s="121"/>
      <c r="AV6963" s="120"/>
      <c r="AW6963" s="121"/>
      <c r="AX6963" s="120"/>
      <c r="AY6963" s="121"/>
      <c r="AZ6963" s="138"/>
    </row>
    <row r="6964" spans="1:52" ht="17.100000000000001" customHeight="1" thickTop="1">
      <c r="A6964" s="109" t="s">
        <v>19902</v>
      </c>
      <c r="B6964" s="28">
        <v>46091</v>
      </c>
      <c r="C6964" s="25">
        <v>1231</v>
      </c>
      <c r="D6964" s="13" t="s">
        <v>2298</v>
      </c>
      <c r="E6964" s="111"/>
      <c r="F6964" s="113" t="s">
        <v>19932</v>
      </c>
      <c r="G6964" s="114"/>
      <c r="H6964" s="115"/>
      <c r="I6964" s="24"/>
      <c r="J6964" s="116">
        <v>4.5</v>
      </c>
      <c r="K6964" s="118">
        <v>966000</v>
      </c>
      <c r="L6964" s="119"/>
      <c r="M6964" s="118">
        <v>0</v>
      </c>
      <c r="N6964" s="119"/>
      <c r="O6964" s="118">
        <v>0</v>
      </c>
      <c r="P6964" s="119"/>
      <c r="Q6964" s="118">
        <v>8510</v>
      </c>
      <c r="R6964" s="119"/>
      <c r="S6964" s="118">
        <v>15950</v>
      </c>
      <c r="T6964" s="119"/>
      <c r="U6964" s="118">
        <f t="shared" ref="U6964" si="9847">SUM(K6964:T6965)</f>
        <v>990460</v>
      </c>
      <c r="V6964" s="122"/>
      <c r="W6964" s="124"/>
      <c r="X6964" s="126" t="s">
        <v>20583</v>
      </c>
      <c r="Y6964" s="127"/>
      <c r="Z6964" s="127"/>
      <c r="AA6964" s="127"/>
      <c r="AB6964" s="128"/>
      <c r="AC6964" s="15" t="s">
        <v>20</v>
      </c>
      <c r="AD6964" s="129"/>
      <c r="AE6964" s="130"/>
      <c r="AF6964" s="130"/>
      <c r="AG6964" s="130"/>
      <c r="AH6964" s="130"/>
      <c r="AI6964" s="131"/>
      <c r="AJ6964" s="132"/>
      <c r="AK6964" s="127"/>
      <c r="AL6964" s="128"/>
      <c r="AM6964" s="21"/>
      <c r="AN6964" s="133"/>
      <c r="AO6964" s="134"/>
      <c r="AP6964" s="135"/>
      <c r="AQ6964" s="136"/>
      <c r="AR6964" s="118"/>
      <c r="AS6964" s="119"/>
      <c r="AT6964" s="118">
        <f t="shared" ref="AT6964" si="9848">AR6964*0.1</f>
        <v>0</v>
      </c>
      <c r="AU6964" s="119"/>
      <c r="AV6964" s="118"/>
      <c r="AW6964" s="119"/>
      <c r="AX6964" s="118">
        <f t="shared" ref="AX6964" si="9849">SUM(AR6964:AW6964)</f>
        <v>0</v>
      </c>
      <c r="AY6964" s="119"/>
      <c r="AZ6964" s="137"/>
    </row>
    <row r="6965" spans="1:52" ht="17.100000000000001" customHeight="1" thickBot="1">
      <c r="A6965" s="110"/>
      <c r="B6965" s="27" t="s">
        <v>2379</v>
      </c>
      <c r="C6965" s="27">
        <v>8003</v>
      </c>
      <c r="D6965" s="14" t="s">
        <v>2601</v>
      </c>
      <c r="E6965" s="112"/>
      <c r="F6965" s="139" t="s">
        <v>19931</v>
      </c>
      <c r="G6965" s="140"/>
      <c r="H6965" s="141"/>
      <c r="I6965" s="26">
        <v>56802</v>
      </c>
      <c r="J6965" s="117"/>
      <c r="K6965" s="120"/>
      <c r="L6965" s="121"/>
      <c r="M6965" s="120"/>
      <c r="N6965" s="121"/>
      <c r="O6965" s="120"/>
      <c r="P6965" s="121"/>
      <c r="Q6965" s="120"/>
      <c r="R6965" s="121"/>
      <c r="S6965" s="120"/>
      <c r="T6965" s="121"/>
      <c r="U6965" s="120"/>
      <c r="V6965" s="123"/>
      <c r="W6965" s="125"/>
      <c r="X6965" s="142" t="s">
        <v>9352</v>
      </c>
      <c r="Y6965" s="143"/>
      <c r="Z6965" s="143"/>
      <c r="AA6965" s="143"/>
      <c r="AB6965" s="144"/>
      <c r="AC6965" s="16" t="s">
        <v>21</v>
      </c>
      <c r="AD6965" s="17" t="s">
        <v>20553</v>
      </c>
      <c r="AE6965" s="145" t="s">
        <v>20965</v>
      </c>
      <c r="AF6965" s="146"/>
      <c r="AG6965" s="146"/>
      <c r="AH6965" s="146"/>
      <c r="AI6965" s="147"/>
      <c r="AJ6965" s="148"/>
      <c r="AK6965" s="143"/>
      <c r="AL6965" s="144"/>
      <c r="AM6965" s="22"/>
      <c r="AN6965" s="149"/>
      <c r="AO6965" s="144"/>
      <c r="AP6965" s="148"/>
      <c r="AQ6965" s="144"/>
      <c r="AR6965" s="120"/>
      <c r="AS6965" s="121"/>
      <c r="AT6965" s="120"/>
      <c r="AU6965" s="121"/>
      <c r="AV6965" s="120"/>
      <c r="AW6965" s="121"/>
      <c r="AX6965" s="120"/>
      <c r="AY6965" s="121"/>
      <c r="AZ6965" s="138"/>
    </row>
    <row r="6966" spans="1:52" ht="17.100000000000001" customHeight="1" thickTop="1">
      <c r="A6966" s="109" t="s">
        <v>19903</v>
      </c>
      <c r="B6966" s="28">
        <v>46091</v>
      </c>
      <c r="C6966" s="25">
        <v>1231</v>
      </c>
      <c r="D6966" s="13" t="s">
        <v>2348</v>
      </c>
      <c r="E6966" s="111"/>
      <c r="F6966" s="113" t="s">
        <v>19915</v>
      </c>
      <c r="G6966" s="114"/>
      <c r="H6966" s="115"/>
      <c r="I6966" s="24" t="s">
        <v>3931</v>
      </c>
      <c r="J6966" s="116">
        <v>4</v>
      </c>
      <c r="K6966" s="118">
        <v>1897000</v>
      </c>
      <c r="L6966" s="119"/>
      <c r="M6966" s="118">
        <f t="shared" ref="M6966" si="9850">K6966*0.1</f>
        <v>189700</v>
      </c>
      <c r="N6966" s="119"/>
      <c r="O6966" s="118">
        <v>39500</v>
      </c>
      <c r="P6966" s="119"/>
      <c r="Q6966" s="118">
        <v>22280</v>
      </c>
      <c r="R6966" s="119"/>
      <c r="S6966" s="118">
        <v>15950</v>
      </c>
      <c r="T6966" s="119"/>
      <c r="U6966" s="118">
        <f t="shared" ref="U6966" si="9851">SUM(K6966:T6967)</f>
        <v>2164430</v>
      </c>
      <c r="V6966" s="122"/>
      <c r="W6966" s="124"/>
      <c r="X6966" s="126" t="s">
        <v>19934</v>
      </c>
      <c r="Y6966" s="127"/>
      <c r="Z6966" s="127"/>
      <c r="AA6966" s="127"/>
      <c r="AB6966" s="128"/>
      <c r="AC6966" s="15" t="s">
        <v>20</v>
      </c>
      <c r="AD6966" s="129"/>
      <c r="AE6966" s="130"/>
      <c r="AF6966" s="130"/>
      <c r="AG6966" s="130"/>
      <c r="AH6966" s="130"/>
      <c r="AI6966" s="131"/>
      <c r="AJ6966" s="132"/>
      <c r="AK6966" s="127"/>
      <c r="AL6966" s="128"/>
      <c r="AM6966" s="21"/>
      <c r="AN6966" s="133">
        <v>46102</v>
      </c>
      <c r="AO6966" s="134"/>
      <c r="AP6966" s="135">
        <v>1293</v>
      </c>
      <c r="AQ6966" s="136"/>
      <c r="AR6966" s="118">
        <v>2050000</v>
      </c>
      <c r="AS6966" s="119"/>
      <c r="AT6966" s="118">
        <f t="shared" ref="AT6966" si="9852">AR6966*0.1</f>
        <v>205000</v>
      </c>
      <c r="AU6966" s="119"/>
      <c r="AV6966" s="118">
        <v>29423</v>
      </c>
      <c r="AW6966" s="119"/>
      <c r="AX6966" s="118">
        <f t="shared" ref="AX6966" si="9853">SUM(AR6966:AW6966)</f>
        <v>2284423</v>
      </c>
      <c r="AY6966" s="119"/>
      <c r="AZ6966" s="137">
        <v>46107</v>
      </c>
    </row>
    <row r="6967" spans="1:52" ht="17.100000000000001" customHeight="1" thickBot="1">
      <c r="A6967" s="110"/>
      <c r="B6967" s="27" t="s">
        <v>2379</v>
      </c>
      <c r="C6967" s="27">
        <v>32018</v>
      </c>
      <c r="D6967" s="14" t="s">
        <v>1592</v>
      </c>
      <c r="E6967" s="112"/>
      <c r="F6967" s="139" t="s">
        <v>19933</v>
      </c>
      <c r="G6967" s="140"/>
      <c r="H6967" s="141"/>
      <c r="I6967" s="26">
        <v>29423</v>
      </c>
      <c r="J6967" s="117"/>
      <c r="K6967" s="120"/>
      <c r="L6967" s="121"/>
      <c r="M6967" s="120"/>
      <c r="N6967" s="121"/>
      <c r="O6967" s="120"/>
      <c r="P6967" s="121"/>
      <c r="Q6967" s="120"/>
      <c r="R6967" s="121"/>
      <c r="S6967" s="120"/>
      <c r="T6967" s="121"/>
      <c r="U6967" s="120"/>
      <c r="V6967" s="123"/>
      <c r="W6967" s="125"/>
      <c r="X6967" s="142" t="s">
        <v>5281</v>
      </c>
      <c r="Y6967" s="143"/>
      <c r="Z6967" s="143"/>
      <c r="AA6967" s="143"/>
      <c r="AB6967" s="144"/>
      <c r="AC6967" s="16" t="s">
        <v>21</v>
      </c>
      <c r="AD6967" s="17" t="s">
        <v>20553</v>
      </c>
      <c r="AE6967" s="145" t="s">
        <v>3364</v>
      </c>
      <c r="AF6967" s="146"/>
      <c r="AG6967" s="146"/>
      <c r="AH6967" s="146"/>
      <c r="AI6967" s="147"/>
      <c r="AJ6967" s="148"/>
      <c r="AK6967" s="143"/>
      <c r="AL6967" s="144"/>
      <c r="AM6967" s="22"/>
      <c r="AN6967" s="149" t="s">
        <v>20957</v>
      </c>
      <c r="AO6967" s="144"/>
      <c r="AP6967" s="148">
        <v>80015</v>
      </c>
      <c r="AQ6967" s="144"/>
      <c r="AR6967" s="120"/>
      <c r="AS6967" s="121"/>
      <c r="AT6967" s="120"/>
      <c r="AU6967" s="121"/>
      <c r="AV6967" s="120"/>
      <c r="AW6967" s="121"/>
      <c r="AX6967" s="120"/>
      <c r="AY6967" s="121"/>
      <c r="AZ6967" s="138"/>
    </row>
    <row r="6968" spans="1:52" ht="17.100000000000001" customHeight="1" thickTop="1">
      <c r="A6968" s="109" t="s">
        <v>19904</v>
      </c>
      <c r="B6968" s="28">
        <v>46091</v>
      </c>
      <c r="C6968" s="25">
        <v>1231</v>
      </c>
      <c r="D6968" s="13" t="s">
        <v>1847</v>
      </c>
      <c r="E6968" s="111"/>
      <c r="F6968" s="113" t="s">
        <v>19916</v>
      </c>
      <c r="G6968" s="114"/>
      <c r="H6968" s="115"/>
      <c r="I6968" s="24"/>
      <c r="J6968" s="116">
        <v>4.5</v>
      </c>
      <c r="K6968" s="118">
        <v>1261000</v>
      </c>
      <c r="L6968" s="119"/>
      <c r="M6968" s="118">
        <f t="shared" ref="M6968" si="9854">K6968*0.1</f>
        <v>126100</v>
      </c>
      <c r="N6968" s="119"/>
      <c r="O6968" s="118">
        <v>0</v>
      </c>
      <c r="P6968" s="119"/>
      <c r="Q6968" s="118">
        <v>8990</v>
      </c>
      <c r="R6968" s="119"/>
      <c r="S6968" s="118">
        <v>15950</v>
      </c>
      <c r="T6968" s="119"/>
      <c r="U6968" s="118">
        <f t="shared" ref="U6968" si="9855">SUM(K6968:T6969)</f>
        <v>1412040</v>
      </c>
      <c r="V6968" s="122"/>
      <c r="W6968" s="124"/>
      <c r="X6968" s="126" t="s">
        <v>20554</v>
      </c>
      <c r="Y6968" s="127"/>
      <c r="Z6968" s="127"/>
      <c r="AA6968" s="127"/>
      <c r="AB6968" s="128"/>
      <c r="AC6968" s="15" t="s">
        <v>20</v>
      </c>
      <c r="AD6968" s="129" t="s">
        <v>1670</v>
      </c>
      <c r="AE6968" s="130"/>
      <c r="AF6968" s="130"/>
      <c r="AG6968" s="130"/>
      <c r="AH6968" s="130"/>
      <c r="AI6968" s="131"/>
      <c r="AJ6968" s="132"/>
      <c r="AK6968" s="127"/>
      <c r="AL6968" s="128"/>
      <c r="AM6968" s="21"/>
      <c r="AN6968" s="133">
        <v>46095</v>
      </c>
      <c r="AO6968" s="134"/>
      <c r="AP6968" s="135">
        <v>1292</v>
      </c>
      <c r="AQ6968" s="136"/>
      <c r="AR6968" s="118">
        <v>1390000</v>
      </c>
      <c r="AS6968" s="119"/>
      <c r="AT6968" s="118">
        <f t="shared" ref="AT6968" si="9856">AR6968*0.1</f>
        <v>139000</v>
      </c>
      <c r="AU6968" s="119"/>
      <c r="AV6968" s="118">
        <v>8990</v>
      </c>
      <c r="AW6968" s="119"/>
      <c r="AX6968" s="118">
        <f t="shared" ref="AX6968" si="9857">SUM(AR6968:AW6968)</f>
        <v>1537990</v>
      </c>
      <c r="AY6968" s="119"/>
      <c r="AZ6968" s="137">
        <v>46105</v>
      </c>
    </row>
    <row r="6969" spans="1:52" ht="17.100000000000001" customHeight="1" thickBot="1">
      <c r="A6969" s="110"/>
      <c r="B6969" s="27" t="s">
        <v>2379</v>
      </c>
      <c r="C6969" s="27">
        <v>62021</v>
      </c>
      <c r="D6969" s="14" t="s">
        <v>1720</v>
      </c>
      <c r="E6969" s="112"/>
      <c r="F6969" s="139" t="s">
        <v>19917</v>
      </c>
      <c r="G6969" s="140"/>
      <c r="H6969" s="141"/>
      <c r="I6969" s="26">
        <v>11647</v>
      </c>
      <c r="J6969" s="117"/>
      <c r="K6969" s="120"/>
      <c r="L6969" s="121"/>
      <c r="M6969" s="120"/>
      <c r="N6969" s="121"/>
      <c r="O6969" s="120"/>
      <c r="P6969" s="121"/>
      <c r="Q6969" s="120"/>
      <c r="R6969" s="121"/>
      <c r="S6969" s="120"/>
      <c r="T6969" s="121"/>
      <c r="U6969" s="120"/>
      <c r="V6969" s="123"/>
      <c r="W6969" s="125"/>
      <c r="X6969" s="142" t="s">
        <v>20555</v>
      </c>
      <c r="Y6969" s="143"/>
      <c r="Z6969" s="143"/>
      <c r="AA6969" s="143"/>
      <c r="AB6969" s="144"/>
      <c r="AC6969" s="16" t="s">
        <v>21</v>
      </c>
      <c r="AD6969" s="17" t="s">
        <v>20553</v>
      </c>
      <c r="AE6969" s="145" t="s">
        <v>12124</v>
      </c>
      <c r="AF6969" s="146"/>
      <c r="AG6969" s="146"/>
      <c r="AH6969" s="146"/>
      <c r="AI6969" s="147"/>
      <c r="AJ6969" s="148"/>
      <c r="AK6969" s="143"/>
      <c r="AL6969" s="144"/>
      <c r="AM6969" s="22"/>
      <c r="AN6969" s="149" t="s">
        <v>2511</v>
      </c>
      <c r="AO6969" s="144"/>
      <c r="AP6969" s="148">
        <v>41057</v>
      </c>
      <c r="AQ6969" s="144"/>
      <c r="AR6969" s="120"/>
      <c r="AS6969" s="121"/>
      <c r="AT6969" s="120"/>
      <c r="AU6969" s="121"/>
      <c r="AV6969" s="120"/>
      <c r="AW6969" s="121"/>
      <c r="AX6969" s="120"/>
      <c r="AY6969" s="121"/>
      <c r="AZ6969" s="138"/>
    </row>
    <row r="6970" spans="1:52" ht="17.100000000000001" customHeight="1" thickTop="1">
      <c r="A6970" s="109" t="s">
        <v>19905</v>
      </c>
      <c r="B6970" s="28">
        <v>46092</v>
      </c>
      <c r="C6970" s="25">
        <v>1008</v>
      </c>
      <c r="D6970" s="13" t="s">
        <v>19945</v>
      </c>
      <c r="E6970" s="111"/>
      <c r="F6970" s="113" t="s">
        <v>19939</v>
      </c>
      <c r="G6970" s="114"/>
      <c r="H6970" s="115"/>
      <c r="I6970" s="24" t="s">
        <v>19946</v>
      </c>
      <c r="J6970" s="116">
        <v>4.5</v>
      </c>
      <c r="K6970" s="118">
        <v>1215000</v>
      </c>
      <c r="L6970" s="119"/>
      <c r="M6970" s="118">
        <f t="shared" ref="M6970" si="9858">K6970*0.1</f>
        <v>121500</v>
      </c>
      <c r="N6970" s="119"/>
      <c r="O6970" s="118">
        <v>10800</v>
      </c>
      <c r="P6970" s="119"/>
      <c r="Q6970" s="118">
        <v>8640</v>
      </c>
      <c r="R6970" s="119"/>
      <c r="S6970" s="118">
        <v>12100</v>
      </c>
      <c r="T6970" s="119"/>
      <c r="U6970" s="118">
        <f t="shared" ref="U6970" si="9859">SUM(K6970:T6971)</f>
        <v>1368040</v>
      </c>
      <c r="V6970" s="122"/>
      <c r="W6970" s="124"/>
      <c r="X6970" s="126" t="s">
        <v>19947</v>
      </c>
      <c r="Y6970" s="127"/>
      <c r="Z6970" s="127"/>
      <c r="AA6970" s="127"/>
      <c r="AB6970" s="128"/>
      <c r="AC6970" s="15" t="s">
        <v>20</v>
      </c>
      <c r="AD6970" s="129" t="s">
        <v>19948</v>
      </c>
      <c r="AE6970" s="130"/>
      <c r="AF6970" s="130"/>
      <c r="AG6970" s="130"/>
      <c r="AH6970" s="130"/>
      <c r="AI6970" s="131"/>
      <c r="AJ6970" s="132"/>
      <c r="AK6970" s="127"/>
      <c r="AL6970" s="128"/>
      <c r="AM6970" s="21"/>
      <c r="AN6970" s="133">
        <v>46098</v>
      </c>
      <c r="AO6970" s="134"/>
      <c r="AP6970" s="135">
        <v>1933</v>
      </c>
      <c r="AQ6970" s="136"/>
      <c r="AR6970" s="118">
        <v>1252000</v>
      </c>
      <c r="AS6970" s="119"/>
      <c r="AT6970" s="118">
        <f t="shared" ref="AT6970" si="9860">AR6970*0.1</f>
        <v>125200</v>
      </c>
      <c r="AU6970" s="119"/>
      <c r="AV6970" s="118">
        <v>8640</v>
      </c>
      <c r="AW6970" s="119"/>
      <c r="AX6970" s="118">
        <f t="shared" ref="AX6970" si="9861">SUM(AR6970:AW6970)</f>
        <v>1385840</v>
      </c>
      <c r="AY6970" s="119"/>
      <c r="AZ6970" s="137"/>
    </row>
    <row r="6971" spans="1:52" ht="17.100000000000001" customHeight="1" thickBot="1">
      <c r="A6971" s="110"/>
      <c r="B6971" s="27" t="s">
        <v>19938</v>
      </c>
      <c r="C6971" s="27">
        <v>1063</v>
      </c>
      <c r="D6971" s="14" t="s">
        <v>1700</v>
      </c>
      <c r="E6971" s="112"/>
      <c r="F6971" s="139" t="s">
        <v>19940</v>
      </c>
      <c r="G6971" s="140"/>
      <c r="H6971" s="141"/>
      <c r="I6971" s="26">
        <v>28226</v>
      </c>
      <c r="J6971" s="117"/>
      <c r="K6971" s="120"/>
      <c r="L6971" s="121"/>
      <c r="M6971" s="120"/>
      <c r="N6971" s="121"/>
      <c r="O6971" s="120"/>
      <c r="P6971" s="121"/>
      <c r="Q6971" s="120"/>
      <c r="R6971" s="121"/>
      <c r="S6971" s="120"/>
      <c r="T6971" s="121"/>
      <c r="U6971" s="120"/>
      <c r="V6971" s="123"/>
      <c r="W6971" s="125"/>
      <c r="X6971" s="142" t="s">
        <v>20498</v>
      </c>
      <c r="Y6971" s="143"/>
      <c r="Z6971" s="143"/>
      <c r="AA6971" s="143"/>
      <c r="AB6971" s="144"/>
      <c r="AC6971" s="16" t="s">
        <v>21</v>
      </c>
      <c r="AD6971" s="17" t="s">
        <v>20491</v>
      </c>
      <c r="AE6971" s="145" t="s">
        <v>2360</v>
      </c>
      <c r="AF6971" s="146"/>
      <c r="AG6971" s="146"/>
      <c r="AH6971" s="146"/>
      <c r="AI6971" s="147"/>
      <c r="AJ6971" s="148"/>
      <c r="AK6971" s="143"/>
      <c r="AL6971" s="144"/>
      <c r="AM6971" s="22"/>
      <c r="AN6971" s="149" t="s">
        <v>2131</v>
      </c>
      <c r="AO6971" s="144"/>
      <c r="AP6971" s="148">
        <v>3257</v>
      </c>
      <c r="AQ6971" s="144"/>
      <c r="AR6971" s="120"/>
      <c r="AS6971" s="121"/>
      <c r="AT6971" s="120"/>
      <c r="AU6971" s="121"/>
      <c r="AV6971" s="120"/>
      <c r="AW6971" s="121"/>
      <c r="AX6971" s="120"/>
      <c r="AY6971" s="121"/>
      <c r="AZ6971" s="138"/>
    </row>
    <row r="6972" spans="1:52" ht="17.100000000000001" customHeight="1" thickTop="1">
      <c r="A6972" s="109" t="s">
        <v>19936</v>
      </c>
      <c r="B6972" s="28">
        <v>46092</v>
      </c>
      <c r="C6972" s="25">
        <v>1008</v>
      </c>
      <c r="D6972" s="13" t="s">
        <v>19949</v>
      </c>
      <c r="E6972" s="111"/>
      <c r="F6972" s="113" t="s">
        <v>19941</v>
      </c>
      <c r="G6972" s="114"/>
      <c r="H6972" s="115"/>
      <c r="I6972" s="24" t="s">
        <v>19950</v>
      </c>
      <c r="J6972" s="116">
        <v>6</v>
      </c>
      <c r="K6972" s="118">
        <v>1405000</v>
      </c>
      <c r="L6972" s="119"/>
      <c r="M6972" s="118">
        <f t="shared" ref="M6972" si="9862">K6972*0.1</f>
        <v>140500</v>
      </c>
      <c r="N6972" s="119"/>
      <c r="O6972" s="118">
        <v>10800</v>
      </c>
      <c r="P6972" s="119"/>
      <c r="Q6972" s="118">
        <v>11100</v>
      </c>
      <c r="R6972" s="119"/>
      <c r="S6972" s="118">
        <v>12100</v>
      </c>
      <c r="T6972" s="119"/>
      <c r="U6972" s="118">
        <f t="shared" ref="U6972" si="9863">SUM(K6972:T6973)</f>
        <v>1579500</v>
      </c>
      <c r="V6972" s="122"/>
      <c r="W6972" s="124"/>
      <c r="X6972" s="126" t="s">
        <v>19951</v>
      </c>
      <c r="Y6972" s="127"/>
      <c r="Z6972" s="127"/>
      <c r="AA6972" s="127"/>
      <c r="AB6972" s="128"/>
      <c r="AC6972" s="15" t="s">
        <v>20</v>
      </c>
      <c r="AD6972" s="129" t="s">
        <v>19952</v>
      </c>
      <c r="AE6972" s="130"/>
      <c r="AF6972" s="130"/>
      <c r="AG6972" s="130"/>
      <c r="AH6972" s="130"/>
      <c r="AI6972" s="131"/>
      <c r="AJ6972" s="132"/>
      <c r="AK6972" s="127"/>
      <c r="AL6972" s="128"/>
      <c r="AM6972" s="21"/>
      <c r="AN6972" s="133">
        <v>46098</v>
      </c>
      <c r="AO6972" s="134"/>
      <c r="AP6972" s="135">
        <v>1933</v>
      </c>
      <c r="AQ6972" s="136"/>
      <c r="AR6972" s="118">
        <v>1431000</v>
      </c>
      <c r="AS6972" s="119"/>
      <c r="AT6972" s="118">
        <f t="shared" ref="AT6972" si="9864">AR6972*0.1</f>
        <v>143100</v>
      </c>
      <c r="AU6972" s="119"/>
      <c r="AV6972" s="118">
        <v>11100</v>
      </c>
      <c r="AW6972" s="119"/>
      <c r="AX6972" s="118">
        <f t="shared" ref="AX6972" si="9865">SUM(AR6972:AW6972)</f>
        <v>1585200</v>
      </c>
      <c r="AY6972" s="119"/>
      <c r="AZ6972" s="137"/>
    </row>
    <row r="6973" spans="1:52" ht="17.100000000000001" customHeight="1" thickBot="1">
      <c r="A6973" s="110"/>
      <c r="B6973" s="27" t="s">
        <v>19938</v>
      </c>
      <c r="C6973" s="27">
        <v>1085</v>
      </c>
      <c r="D6973" s="14" t="s">
        <v>2601</v>
      </c>
      <c r="E6973" s="112"/>
      <c r="F6973" s="139" t="s">
        <v>19942</v>
      </c>
      <c r="G6973" s="140"/>
      <c r="H6973" s="141"/>
      <c r="I6973" s="26">
        <v>1855</v>
      </c>
      <c r="J6973" s="117"/>
      <c r="K6973" s="120"/>
      <c r="L6973" s="121"/>
      <c r="M6973" s="120"/>
      <c r="N6973" s="121"/>
      <c r="O6973" s="120"/>
      <c r="P6973" s="121"/>
      <c r="Q6973" s="120"/>
      <c r="R6973" s="121"/>
      <c r="S6973" s="120"/>
      <c r="T6973" s="121"/>
      <c r="U6973" s="120"/>
      <c r="V6973" s="123"/>
      <c r="W6973" s="125"/>
      <c r="X6973" s="142" t="s">
        <v>20498</v>
      </c>
      <c r="Y6973" s="143"/>
      <c r="Z6973" s="143"/>
      <c r="AA6973" s="143"/>
      <c r="AB6973" s="144"/>
      <c r="AC6973" s="16" t="s">
        <v>21</v>
      </c>
      <c r="AD6973" s="17" t="s">
        <v>20491</v>
      </c>
      <c r="AE6973" s="145" t="s">
        <v>1742</v>
      </c>
      <c r="AF6973" s="146"/>
      <c r="AG6973" s="146"/>
      <c r="AH6973" s="146"/>
      <c r="AI6973" s="147"/>
      <c r="AJ6973" s="148"/>
      <c r="AK6973" s="143"/>
      <c r="AL6973" s="144"/>
      <c r="AM6973" s="22"/>
      <c r="AN6973" s="149" t="s">
        <v>2131</v>
      </c>
      <c r="AO6973" s="144"/>
      <c r="AP6973" s="148">
        <v>3263</v>
      </c>
      <c r="AQ6973" s="144"/>
      <c r="AR6973" s="120"/>
      <c r="AS6973" s="121"/>
      <c r="AT6973" s="120"/>
      <c r="AU6973" s="121"/>
      <c r="AV6973" s="120"/>
      <c r="AW6973" s="121"/>
      <c r="AX6973" s="120"/>
      <c r="AY6973" s="121"/>
      <c r="AZ6973" s="138"/>
    </row>
    <row r="6974" spans="1:52" ht="17.100000000000001" customHeight="1" thickTop="1">
      <c r="A6974" s="109" t="s">
        <v>19937</v>
      </c>
      <c r="B6974" s="28">
        <v>46092</v>
      </c>
      <c r="C6974" s="25">
        <v>1008</v>
      </c>
      <c r="D6974" s="13" t="s">
        <v>19953</v>
      </c>
      <c r="E6974" s="111"/>
      <c r="F6974" s="113" t="s">
        <v>19943</v>
      </c>
      <c r="G6974" s="114"/>
      <c r="H6974" s="115"/>
      <c r="I6974" s="24"/>
      <c r="J6974" s="116">
        <v>4.5</v>
      </c>
      <c r="K6974" s="118">
        <v>2755000</v>
      </c>
      <c r="L6974" s="119"/>
      <c r="M6974" s="118">
        <f t="shared" ref="M6974" si="9866">K6974*0.1</f>
        <v>275500</v>
      </c>
      <c r="N6974" s="119"/>
      <c r="O6974" s="118">
        <v>0</v>
      </c>
      <c r="P6974" s="119"/>
      <c r="Q6974" s="118">
        <v>10510</v>
      </c>
      <c r="R6974" s="119"/>
      <c r="S6974" s="118">
        <v>12100</v>
      </c>
      <c r="T6974" s="119"/>
      <c r="U6974" s="118">
        <f t="shared" ref="U6974" si="9867">SUM(K6974:T6975)</f>
        <v>3053110</v>
      </c>
      <c r="V6974" s="122"/>
      <c r="W6974" s="124"/>
      <c r="X6974" s="126" t="s">
        <v>20497</v>
      </c>
      <c r="Y6974" s="127"/>
      <c r="Z6974" s="127"/>
      <c r="AA6974" s="127"/>
      <c r="AB6974" s="128"/>
      <c r="AC6974" s="15" t="s">
        <v>20</v>
      </c>
      <c r="AD6974" s="129" t="s">
        <v>19952</v>
      </c>
      <c r="AE6974" s="130"/>
      <c r="AF6974" s="130"/>
      <c r="AG6974" s="130"/>
      <c r="AH6974" s="130"/>
      <c r="AI6974" s="131"/>
      <c r="AJ6974" s="132"/>
      <c r="AK6974" s="127"/>
      <c r="AL6974" s="128"/>
      <c r="AM6974" s="21"/>
      <c r="AN6974" s="133">
        <v>46095</v>
      </c>
      <c r="AO6974" s="134"/>
      <c r="AP6974" s="135">
        <v>1292</v>
      </c>
      <c r="AQ6974" s="136"/>
      <c r="AR6974" s="118">
        <v>2910000</v>
      </c>
      <c r="AS6974" s="119"/>
      <c r="AT6974" s="118">
        <f t="shared" ref="AT6974" si="9868">AR6974*0.1</f>
        <v>291000</v>
      </c>
      <c r="AU6974" s="119"/>
      <c r="AV6974" s="118">
        <v>10510</v>
      </c>
      <c r="AW6974" s="119"/>
      <c r="AX6974" s="118">
        <f t="shared" ref="AX6974" si="9869">SUM(AR6974:AW6974)</f>
        <v>3211510</v>
      </c>
      <c r="AY6974" s="119"/>
      <c r="AZ6974" s="137">
        <v>46105</v>
      </c>
    </row>
    <row r="6975" spans="1:52" ht="17.100000000000001" customHeight="1" thickBot="1">
      <c r="A6975" s="110"/>
      <c r="B6975" s="27" t="s">
        <v>19938</v>
      </c>
      <c r="C6975" s="27">
        <v>1148</v>
      </c>
      <c r="D6975" s="14" t="s">
        <v>19954</v>
      </c>
      <c r="E6975" s="112"/>
      <c r="F6975" s="139" t="s">
        <v>19944</v>
      </c>
      <c r="G6975" s="140"/>
      <c r="H6975" s="141"/>
      <c r="I6975" s="26">
        <v>37770</v>
      </c>
      <c r="J6975" s="117"/>
      <c r="K6975" s="120"/>
      <c r="L6975" s="121"/>
      <c r="M6975" s="120"/>
      <c r="N6975" s="121"/>
      <c r="O6975" s="120"/>
      <c r="P6975" s="121"/>
      <c r="Q6975" s="120"/>
      <c r="R6975" s="121"/>
      <c r="S6975" s="120"/>
      <c r="T6975" s="121"/>
      <c r="U6975" s="120"/>
      <c r="V6975" s="123"/>
      <c r="W6975" s="125"/>
      <c r="X6975" s="142" t="s">
        <v>2918</v>
      </c>
      <c r="Y6975" s="143"/>
      <c r="Z6975" s="143"/>
      <c r="AA6975" s="143"/>
      <c r="AB6975" s="144"/>
      <c r="AC6975" s="16" t="s">
        <v>21</v>
      </c>
      <c r="AD6975" s="17" t="s">
        <v>20491</v>
      </c>
      <c r="AE6975" s="145" t="s">
        <v>1742</v>
      </c>
      <c r="AF6975" s="146"/>
      <c r="AG6975" s="146"/>
      <c r="AH6975" s="146"/>
      <c r="AI6975" s="147"/>
      <c r="AJ6975" s="148"/>
      <c r="AK6975" s="143"/>
      <c r="AL6975" s="144"/>
      <c r="AM6975" s="22"/>
      <c r="AN6975" s="149" t="s">
        <v>6748</v>
      </c>
      <c r="AO6975" s="144"/>
      <c r="AP6975" s="148">
        <v>164</v>
      </c>
      <c r="AQ6975" s="144"/>
      <c r="AR6975" s="120"/>
      <c r="AS6975" s="121"/>
      <c r="AT6975" s="120"/>
      <c r="AU6975" s="121"/>
      <c r="AV6975" s="120"/>
      <c r="AW6975" s="121"/>
      <c r="AX6975" s="120"/>
      <c r="AY6975" s="121"/>
      <c r="AZ6975" s="138"/>
    </row>
    <row r="6976" spans="1:52" ht="17.100000000000001" customHeight="1" thickTop="1">
      <c r="A6976" s="109" t="s">
        <v>19957</v>
      </c>
      <c r="B6976" s="28">
        <v>46092</v>
      </c>
      <c r="C6976" s="25">
        <v>2346</v>
      </c>
      <c r="D6976" s="13" t="s">
        <v>1675</v>
      </c>
      <c r="E6976" s="111"/>
      <c r="F6976" s="113" t="s">
        <v>19955</v>
      </c>
      <c r="G6976" s="114"/>
      <c r="H6976" s="115"/>
      <c r="I6976" s="24"/>
      <c r="J6976" s="116">
        <v>4</v>
      </c>
      <c r="K6976" s="118">
        <v>1095000</v>
      </c>
      <c r="L6976" s="119"/>
      <c r="M6976" s="118">
        <f t="shared" ref="M6976" si="9870">K6976*0.1</f>
        <v>109500</v>
      </c>
      <c r="N6976" s="119"/>
      <c r="O6976" s="118">
        <v>0</v>
      </c>
      <c r="P6976" s="119"/>
      <c r="Q6976" s="118">
        <v>12030</v>
      </c>
      <c r="R6976" s="119"/>
      <c r="S6976" s="118">
        <v>16500</v>
      </c>
      <c r="T6976" s="119"/>
      <c r="U6976" s="118">
        <f t="shared" ref="U6976" si="9871">SUM(K6976:T6977)</f>
        <v>1233030</v>
      </c>
      <c r="V6976" s="122"/>
      <c r="W6976" s="124"/>
      <c r="X6976" s="126" t="s">
        <v>20054</v>
      </c>
      <c r="Y6976" s="127"/>
      <c r="Z6976" s="127"/>
      <c r="AA6976" s="127"/>
      <c r="AB6976" s="128"/>
      <c r="AC6976" s="15" t="s">
        <v>20</v>
      </c>
      <c r="AD6976" s="129" t="s">
        <v>11993</v>
      </c>
      <c r="AE6976" s="130"/>
      <c r="AF6976" s="130"/>
      <c r="AG6976" s="130"/>
      <c r="AH6976" s="130"/>
      <c r="AI6976" s="131"/>
      <c r="AJ6976" s="132"/>
      <c r="AK6976" s="127"/>
      <c r="AL6976" s="128"/>
      <c r="AM6976" s="21"/>
      <c r="AN6976" s="133">
        <v>46095</v>
      </c>
      <c r="AO6976" s="134"/>
      <c r="AP6976" s="135">
        <v>1292</v>
      </c>
      <c r="AQ6976" s="136"/>
      <c r="AR6976" s="118">
        <v>1220000</v>
      </c>
      <c r="AS6976" s="119"/>
      <c r="AT6976" s="118">
        <f t="shared" ref="AT6976" si="9872">AR6976*0.1</f>
        <v>122000</v>
      </c>
      <c r="AU6976" s="119"/>
      <c r="AV6976" s="118">
        <v>12030</v>
      </c>
      <c r="AW6976" s="119"/>
      <c r="AX6976" s="118">
        <f t="shared" ref="AX6976" si="9873">SUM(AR6976:AW6976)</f>
        <v>1354030</v>
      </c>
      <c r="AY6976" s="119"/>
      <c r="AZ6976" s="137">
        <v>46098</v>
      </c>
    </row>
    <row r="6977" spans="1:52" ht="17.100000000000001" customHeight="1" thickBot="1">
      <c r="A6977" s="110"/>
      <c r="B6977" s="27" t="s">
        <v>3422</v>
      </c>
      <c r="C6977" s="27">
        <v>60278</v>
      </c>
      <c r="D6977" s="14" t="s">
        <v>2601</v>
      </c>
      <c r="E6977" s="112"/>
      <c r="F6977" s="139" t="s">
        <v>19956</v>
      </c>
      <c r="G6977" s="140"/>
      <c r="H6977" s="141"/>
      <c r="I6977" s="26">
        <v>54190</v>
      </c>
      <c r="J6977" s="117"/>
      <c r="K6977" s="120"/>
      <c r="L6977" s="121"/>
      <c r="M6977" s="120"/>
      <c r="N6977" s="121"/>
      <c r="O6977" s="120"/>
      <c r="P6977" s="121"/>
      <c r="Q6977" s="120"/>
      <c r="R6977" s="121"/>
      <c r="S6977" s="120"/>
      <c r="T6977" s="121"/>
      <c r="U6977" s="120"/>
      <c r="V6977" s="123"/>
      <c r="W6977" s="125"/>
      <c r="X6977" s="142" t="s">
        <v>20055</v>
      </c>
      <c r="Y6977" s="143"/>
      <c r="Z6977" s="143"/>
      <c r="AA6977" s="143"/>
      <c r="AB6977" s="144"/>
      <c r="AC6977" s="16" t="s">
        <v>21</v>
      </c>
      <c r="AD6977" s="17" t="s">
        <v>20053</v>
      </c>
      <c r="AE6977" s="145" t="s">
        <v>20056</v>
      </c>
      <c r="AF6977" s="146"/>
      <c r="AG6977" s="146"/>
      <c r="AH6977" s="146"/>
      <c r="AI6977" s="147"/>
      <c r="AJ6977" s="148"/>
      <c r="AK6977" s="143"/>
      <c r="AL6977" s="144"/>
      <c r="AM6977" s="22"/>
      <c r="AN6977" s="149" t="s">
        <v>2511</v>
      </c>
      <c r="AO6977" s="144"/>
      <c r="AP6977" s="148">
        <v>114</v>
      </c>
      <c r="AQ6977" s="144"/>
      <c r="AR6977" s="120"/>
      <c r="AS6977" s="121"/>
      <c r="AT6977" s="120"/>
      <c r="AU6977" s="121"/>
      <c r="AV6977" s="120"/>
      <c r="AW6977" s="121"/>
      <c r="AX6977" s="120"/>
      <c r="AY6977" s="121"/>
      <c r="AZ6977" s="138"/>
    </row>
    <row r="6978" spans="1:52" ht="17.100000000000001" customHeight="1" thickTop="1">
      <c r="A6978" s="109" t="s">
        <v>19959</v>
      </c>
      <c r="B6978" s="28">
        <v>46092</v>
      </c>
      <c r="C6978" s="25">
        <v>1322</v>
      </c>
      <c r="D6978" s="13" t="s">
        <v>2196</v>
      </c>
      <c r="E6978" s="111"/>
      <c r="F6978" s="113" t="s">
        <v>1938</v>
      </c>
      <c r="G6978" s="114"/>
      <c r="H6978" s="115"/>
      <c r="I6978" s="24" t="s">
        <v>12571</v>
      </c>
      <c r="J6978" s="116">
        <v>4</v>
      </c>
      <c r="K6978" s="118">
        <v>764000</v>
      </c>
      <c r="L6978" s="119"/>
      <c r="M6978" s="118">
        <f t="shared" ref="M6978" si="9874">K6978*0.1</f>
        <v>76400</v>
      </c>
      <c r="N6978" s="119"/>
      <c r="O6978" s="118">
        <f>34500</f>
        <v>34500</v>
      </c>
      <c r="P6978" s="119"/>
      <c r="Q6978" s="118">
        <v>17600</v>
      </c>
      <c r="R6978" s="119"/>
      <c r="S6978" s="118">
        <v>15400</v>
      </c>
      <c r="T6978" s="119"/>
      <c r="U6978" s="118">
        <f t="shared" ref="U6978" si="9875">SUM(K6978:T6979)</f>
        <v>907900</v>
      </c>
      <c r="V6978" s="122"/>
      <c r="W6978" s="124"/>
      <c r="X6978" s="126" t="s">
        <v>20600</v>
      </c>
      <c r="Y6978" s="127"/>
      <c r="Z6978" s="127"/>
      <c r="AA6978" s="127"/>
      <c r="AB6978" s="128"/>
      <c r="AC6978" s="15" t="s">
        <v>20</v>
      </c>
      <c r="AD6978" s="129"/>
      <c r="AE6978" s="130"/>
      <c r="AF6978" s="130"/>
      <c r="AG6978" s="130"/>
      <c r="AH6978" s="130"/>
      <c r="AI6978" s="131"/>
      <c r="AJ6978" s="132"/>
      <c r="AK6978" s="127"/>
      <c r="AL6978" s="128"/>
      <c r="AM6978" s="21"/>
      <c r="AN6978" s="133">
        <v>46102</v>
      </c>
      <c r="AO6978" s="134"/>
      <c r="AP6978" s="135">
        <v>1293</v>
      </c>
      <c r="AQ6978" s="136"/>
      <c r="AR6978" s="118">
        <v>945000</v>
      </c>
      <c r="AS6978" s="119"/>
      <c r="AT6978" s="118">
        <f t="shared" ref="AT6978" si="9876">AR6978*0.1</f>
        <v>94500</v>
      </c>
      <c r="AU6978" s="119"/>
      <c r="AV6978" s="118">
        <v>17600</v>
      </c>
      <c r="AW6978" s="119"/>
      <c r="AX6978" s="118">
        <f t="shared" ref="AX6978" si="9877">SUM(AR6978:AW6978)</f>
        <v>1057100</v>
      </c>
      <c r="AY6978" s="119"/>
      <c r="AZ6978" s="137">
        <v>46105</v>
      </c>
    </row>
    <row r="6979" spans="1:52" ht="17.100000000000001" customHeight="1" thickBot="1">
      <c r="A6979" s="110"/>
      <c r="B6979" s="27" t="s">
        <v>5292</v>
      </c>
      <c r="C6979" s="27">
        <v>3083</v>
      </c>
      <c r="D6979" s="14" t="s">
        <v>1576</v>
      </c>
      <c r="E6979" s="112"/>
      <c r="F6979" s="139" t="s">
        <v>19958</v>
      </c>
      <c r="G6979" s="140"/>
      <c r="H6979" s="141"/>
      <c r="I6979" s="26">
        <v>54260</v>
      </c>
      <c r="J6979" s="117"/>
      <c r="K6979" s="120"/>
      <c r="L6979" s="121"/>
      <c r="M6979" s="120"/>
      <c r="N6979" s="121"/>
      <c r="O6979" s="120"/>
      <c r="P6979" s="121"/>
      <c r="Q6979" s="120"/>
      <c r="R6979" s="121"/>
      <c r="S6979" s="120"/>
      <c r="T6979" s="121"/>
      <c r="U6979" s="120"/>
      <c r="V6979" s="123"/>
      <c r="W6979" s="125"/>
      <c r="X6979" s="142" t="s">
        <v>20601</v>
      </c>
      <c r="Y6979" s="143"/>
      <c r="Z6979" s="143"/>
      <c r="AA6979" s="143"/>
      <c r="AB6979" s="144"/>
      <c r="AC6979" s="16" t="s">
        <v>21</v>
      </c>
      <c r="AD6979" s="17" t="s">
        <v>2382</v>
      </c>
      <c r="AE6979" s="145" t="s">
        <v>12689</v>
      </c>
      <c r="AF6979" s="146"/>
      <c r="AG6979" s="146"/>
      <c r="AH6979" s="146"/>
      <c r="AI6979" s="147"/>
      <c r="AJ6979" s="148"/>
      <c r="AK6979" s="143"/>
      <c r="AL6979" s="144"/>
      <c r="AM6979" s="22"/>
      <c r="AN6979" s="149" t="s">
        <v>2511</v>
      </c>
      <c r="AO6979" s="144"/>
      <c r="AP6979" s="148">
        <v>80067</v>
      </c>
      <c r="AQ6979" s="144"/>
      <c r="AR6979" s="120"/>
      <c r="AS6979" s="121"/>
      <c r="AT6979" s="120"/>
      <c r="AU6979" s="121"/>
      <c r="AV6979" s="120"/>
      <c r="AW6979" s="121"/>
      <c r="AX6979" s="120"/>
      <c r="AY6979" s="121"/>
      <c r="AZ6979" s="138"/>
    </row>
    <row r="6980" spans="1:52" ht="17.100000000000001" customHeight="1" thickTop="1">
      <c r="A6980" s="109" t="s">
        <v>19960</v>
      </c>
      <c r="B6980" s="28">
        <v>46092</v>
      </c>
      <c r="C6980" s="25">
        <v>1829</v>
      </c>
      <c r="D6980" s="13" t="s">
        <v>1059</v>
      </c>
      <c r="E6980" s="111"/>
      <c r="F6980" s="113" t="s">
        <v>7688</v>
      </c>
      <c r="G6980" s="114"/>
      <c r="H6980" s="115"/>
      <c r="I6980" s="24"/>
      <c r="J6980" s="116">
        <v>4.5</v>
      </c>
      <c r="K6980" s="118">
        <v>908000</v>
      </c>
      <c r="L6980" s="119"/>
      <c r="M6980" s="118">
        <f t="shared" ref="M6980" si="9878">K6980*0.1</f>
        <v>90800</v>
      </c>
      <c r="N6980" s="119"/>
      <c r="O6980" s="118">
        <v>0</v>
      </c>
      <c r="P6980" s="119"/>
      <c r="Q6980" s="118">
        <v>8010</v>
      </c>
      <c r="R6980" s="119"/>
      <c r="S6980" s="118">
        <v>18150</v>
      </c>
      <c r="T6980" s="119"/>
      <c r="U6980" s="118">
        <f t="shared" ref="U6980" si="9879">SUM(K6980:T6981)</f>
        <v>1024960</v>
      </c>
      <c r="V6980" s="122"/>
      <c r="W6980" s="124"/>
      <c r="X6980" s="126" t="s">
        <v>20360</v>
      </c>
      <c r="Y6980" s="127"/>
      <c r="Z6980" s="127"/>
      <c r="AA6980" s="127"/>
      <c r="AB6980" s="128"/>
      <c r="AC6980" s="15" t="s">
        <v>20</v>
      </c>
      <c r="AD6980" s="129" t="s">
        <v>3178</v>
      </c>
      <c r="AE6980" s="130"/>
      <c r="AF6980" s="130"/>
      <c r="AG6980" s="130"/>
      <c r="AH6980" s="130"/>
      <c r="AI6980" s="131"/>
      <c r="AJ6980" s="132"/>
      <c r="AK6980" s="127"/>
      <c r="AL6980" s="128"/>
      <c r="AM6980" s="21"/>
      <c r="AN6980" s="133">
        <v>46102</v>
      </c>
      <c r="AO6980" s="134"/>
      <c r="AP6980" s="135">
        <v>1293</v>
      </c>
      <c r="AQ6980" s="136"/>
      <c r="AR6980" s="118">
        <v>1000000</v>
      </c>
      <c r="AS6980" s="119"/>
      <c r="AT6980" s="118">
        <f t="shared" ref="AT6980" si="9880">AR6980*0.1</f>
        <v>100000</v>
      </c>
      <c r="AU6980" s="119"/>
      <c r="AV6980" s="118">
        <v>8010</v>
      </c>
      <c r="AW6980" s="119"/>
      <c r="AX6980" s="118">
        <f t="shared" ref="AX6980" si="9881">SUM(AR6980:AW6980)</f>
        <v>1108010</v>
      </c>
      <c r="AY6980" s="119"/>
      <c r="AZ6980" s="137">
        <v>46107</v>
      </c>
    </row>
    <row r="6981" spans="1:52" ht="17.100000000000001" customHeight="1" thickBot="1">
      <c r="A6981" s="110"/>
      <c r="B6981" s="27" t="s">
        <v>2559</v>
      </c>
      <c r="C6981" s="27">
        <v>3297</v>
      </c>
      <c r="D6981" s="14" t="s">
        <v>19964</v>
      </c>
      <c r="E6981" s="112"/>
      <c r="F6981" s="139" t="s">
        <v>19965</v>
      </c>
      <c r="G6981" s="140"/>
      <c r="H6981" s="141"/>
      <c r="I6981" s="26">
        <v>29827</v>
      </c>
      <c r="J6981" s="117"/>
      <c r="K6981" s="120"/>
      <c r="L6981" s="121"/>
      <c r="M6981" s="120"/>
      <c r="N6981" s="121"/>
      <c r="O6981" s="120"/>
      <c r="P6981" s="121"/>
      <c r="Q6981" s="120"/>
      <c r="R6981" s="121"/>
      <c r="S6981" s="120"/>
      <c r="T6981" s="121"/>
      <c r="U6981" s="120"/>
      <c r="V6981" s="123"/>
      <c r="W6981" s="125"/>
      <c r="X6981" s="142" t="s">
        <v>1997</v>
      </c>
      <c r="Y6981" s="143"/>
      <c r="Z6981" s="143"/>
      <c r="AA6981" s="143"/>
      <c r="AB6981" s="144"/>
      <c r="AC6981" s="16" t="s">
        <v>21</v>
      </c>
      <c r="AD6981" s="17" t="s">
        <v>2376</v>
      </c>
      <c r="AE6981" s="145" t="s">
        <v>171</v>
      </c>
      <c r="AF6981" s="146"/>
      <c r="AG6981" s="146"/>
      <c r="AH6981" s="146"/>
      <c r="AI6981" s="147"/>
      <c r="AJ6981" s="148"/>
      <c r="AK6981" s="143"/>
      <c r="AL6981" s="144"/>
      <c r="AM6981" s="22"/>
      <c r="AN6981" s="149" t="s">
        <v>6748</v>
      </c>
      <c r="AO6981" s="144"/>
      <c r="AP6981" s="148">
        <v>60183</v>
      </c>
      <c r="AQ6981" s="144"/>
      <c r="AR6981" s="120"/>
      <c r="AS6981" s="121"/>
      <c r="AT6981" s="120"/>
      <c r="AU6981" s="121"/>
      <c r="AV6981" s="120"/>
      <c r="AW6981" s="121"/>
      <c r="AX6981" s="120"/>
      <c r="AY6981" s="121"/>
      <c r="AZ6981" s="138"/>
    </row>
    <row r="6982" spans="1:52" ht="17.100000000000001" customHeight="1" thickTop="1">
      <c r="A6982" s="109" t="s">
        <v>19961</v>
      </c>
      <c r="B6982" s="28">
        <v>46092</v>
      </c>
      <c r="C6982" s="25">
        <v>1829</v>
      </c>
      <c r="D6982" s="13" t="s">
        <v>1712</v>
      </c>
      <c r="E6982" s="111"/>
      <c r="F6982" s="113" t="s">
        <v>19966</v>
      </c>
      <c r="G6982" s="114"/>
      <c r="H6982" s="115"/>
      <c r="I6982" s="24"/>
      <c r="J6982" s="116">
        <v>4.5</v>
      </c>
      <c r="K6982" s="118">
        <v>942000</v>
      </c>
      <c r="L6982" s="119"/>
      <c r="M6982" s="118">
        <f t="shared" ref="M6982" si="9882">K6982*0.1</f>
        <v>94200</v>
      </c>
      <c r="N6982" s="119"/>
      <c r="O6982" s="118">
        <v>0</v>
      </c>
      <c r="P6982" s="119"/>
      <c r="Q6982" s="118">
        <v>9010</v>
      </c>
      <c r="R6982" s="119"/>
      <c r="S6982" s="118">
        <v>18150</v>
      </c>
      <c r="T6982" s="119"/>
      <c r="U6982" s="118">
        <f t="shared" ref="U6982" si="9883">SUM(K6982:T6983)</f>
        <v>1063360</v>
      </c>
      <c r="V6982" s="122"/>
      <c r="W6982" s="124"/>
      <c r="X6982" s="126" t="s">
        <v>20359</v>
      </c>
      <c r="Y6982" s="127"/>
      <c r="Z6982" s="127"/>
      <c r="AA6982" s="127"/>
      <c r="AB6982" s="128"/>
      <c r="AC6982" s="15" t="s">
        <v>20</v>
      </c>
      <c r="AD6982" s="129"/>
      <c r="AE6982" s="130"/>
      <c r="AF6982" s="130"/>
      <c r="AG6982" s="130"/>
      <c r="AH6982" s="130"/>
      <c r="AI6982" s="131"/>
      <c r="AJ6982" s="132"/>
      <c r="AK6982" s="127"/>
      <c r="AL6982" s="128"/>
      <c r="AM6982" s="21"/>
      <c r="AN6982" s="133">
        <v>46155</v>
      </c>
      <c r="AO6982" s="134"/>
      <c r="AP6982" s="135">
        <v>1016</v>
      </c>
      <c r="AQ6982" s="136"/>
      <c r="AR6982" s="118">
        <v>1065000</v>
      </c>
      <c r="AS6982" s="119"/>
      <c r="AT6982" s="118">
        <f t="shared" ref="AT6982" si="9884">AR6982*0.1</f>
        <v>106500</v>
      </c>
      <c r="AU6982" s="119"/>
      <c r="AV6982" s="118">
        <v>9010</v>
      </c>
      <c r="AW6982" s="119"/>
      <c r="AX6982" s="118">
        <f t="shared" ref="AX6982" si="9885">SUM(AR6982:AW6982)</f>
        <v>1180510</v>
      </c>
      <c r="AY6982" s="119"/>
      <c r="AZ6982" s="137">
        <v>46160</v>
      </c>
    </row>
    <row r="6983" spans="1:52" ht="17.100000000000001" customHeight="1" thickBot="1">
      <c r="A6983" s="110"/>
      <c r="B6983" s="27" t="s">
        <v>2559</v>
      </c>
      <c r="C6983" s="27">
        <v>3422</v>
      </c>
      <c r="D6983" s="14" t="s">
        <v>1635</v>
      </c>
      <c r="E6983" s="112"/>
      <c r="F6983" s="139" t="s">
        <v>19967</v>
      </c>
      <c r="G6983" s="140"/>
      <c r="H6983" s="141"/>
      <c r="I6983" s="26">
        <v>42007</v>
      </c>
      <c r="J6983" s="117"/>
      <c r="K6983" s="120"/>
      <c r="L6983" s="121"/>
      <c r="M6983" s="120"/>
      <c r="N6983" s="121"/>
      <c r="O6983" s="120"/>
      <c r="P6983" s="121"/>
      <c r="Q6983" s="120"/>
      <c r="R6983" s="121"/>
      <c r="S6983" s="120"/>
      <c r="T6983" s="121"/>
      <c r="U6983" s="120"/>
      <c r="V6983" s="123"/>
      <c r="W6983" s="125"/>
      <c r="X6983" s="142" t="s">
        <v>1997</v>
      </c>
      <c r="Y6983" s="143"/>
      <c r="Z6983" s="143"/>
      <c r="AA6983" s="143"/>
      <c r="AB6983" s="144"/>
      <c r="AC6983" s="16" t="s">
        <v>21</v>
      </c>
      <c r="AD6983" s="17" t="s">
        <v>2376</v>
      </c>
      <c r="AE6983" s="145"/>
      <c r="AF6983" s="146"/>
      <c r="AG6983" s="146"/>
      <c r="AH6983" s="146"/>
      <c r="AI6983" s="147"/>
      <c r="AJ6983" s="148"/>
      <c r="AK6983" s="143"/>
      <c r="AL6983" s="144"/>
      <c r="AM6983" s="22"/>
      <c r="AN6983" s="149" t="s">
        <v>2794</v>
      </c>
      <c r="AO6983" s="144"/>
      <c r="AP6983" s="148">
        <v>2044</v>
      </c>
      <c r="AQ6983" s="144"/>
      <c r="AR6983" s="120"/>
      <c r="AS6983" s="121"/>
      <c r="AT6983" s="120"/>
      <c r="AU6983" s="121"/>
      <c r="AV6983" s="120"/>
      <c r="AW6983" s="121"/>
      <c r="AX6983" s="120"/>
      <c r="AY6983" s="121"/>
      <c r="AZ6983" s="138"/>
    </row>
    <row r="6984" spans="1:52" ht="17.100000000000001" customHeight="1" thickTop="1">
      <c r="A6984" s="109" t="s">
        <v>19962</v>
      </c>
      <c r="B6984" s="28">
        <v>46092</v>
      </c>
      <c r="C6984" s="25">
        <v>1829</v>
      </c>
      <c r="D6984" s="13" t="s">
        <v>19968</v>
      </c>
      <c r="E6984" s="111"/>
      <c r="F6984" s="113" t="s">
        <v>4274</v>
      </c>
      <c r="G6984" s="114"/>
      <c r="H6984" s="115"/>
      <c r="I6984" s="24"/>
      <c r="J6984" s="116">
        <v>4</v>
      </c>
      <c r="K6984" s="118">
        <v>525000</v>
      </c>
      <c r="L6984" s="119"/>
      <c r="M6984" s="118">
        <f t="shared" ref="M6984" si="9886">K6984*0.1</f>
        <v>52500</v>
      </c>
      <c r="N6984" s="119"/>
      <c r="O6984" s="118">
        <v>0</v>
      </c>
      <c r="P6984" s="119"/>
      <c r="Q6984" s="118">
        <v>8670</v>
      </c>
      <c r="R6984" s="119"/>
      <c r="S6984" s="118">
        <v>18150</v>
      </c>
      <c r="T6984" s="119"/>
      <c r="U6984" s="118">
        <f t="shared" ref="U6984" si="9887">SUM(K6984:T6985)</f>
        <v>604320</v>
      </c>
      <c r="V6984" s="122"/>
      <c r="W6984" s="124"/>
      <c r="X6984" s="126" t="s">
        <v>20526</v>
      </c>
      <c r="Y6984" s="127"/>
      <c r="Z6984" s="127"/>
      <c r="AA6984" s="127"/>
      <c r="AB6984" s="128"/>
      <c r="AC6984" s="15" t="s">
        <v>20</v>
      </c>
      <c r="AD6984" s="129" t="s">
        <v>1670</v>
      </c>
      <c r="AE6984" s="130"/>
      <c r="AF6984" s="130"/>
      <c r="AG6984" s="130"/>
      <c r="AH6984" s="130"/>
      <c r="AI6984" s="131"/>
      <c r="AJ6984" s="132"/>
      <c r="AK6984" s="127"/>
      <c r="AL6984" s="128"/>
      <c r="AM6984" s="21"/>
      <c r="AN6984" s="133">
        <v>46130</v>
      </c>
      <c r="AO6984" s="134"/>
      <c r="AP6984" s="135">
        <v>1297</v>
      </c>
      <c r="AQ6984" s="136"/>
      <c r="AR6984" s="118">
        <v>600000</v>
      </c>
      <c r="AS6984" s="119"/>
      <c r="AT6984" s="118">
        <f t="shared" ref="AT6984" si="9888">AR6984*0.1</f>
        <v>60000</v>
      </c>
      <c r="AU6984" s="119"/>
      <c r="AV6984" s="118">
        <v>8670</v>
      </c>
      <c r="AW6984" s="119"/>
      <c r="AX6984" s="118">
        <f t="shared" ref="AX6984" si="9889">SUM(AR6984:AW6984)</f>
        <v>668670</v>
      </c>
      <c r="AY6984" s="119"/>
      <c r="AZ6984" s="137">
        <v>46139</v>
      </c>
    </row>
    <row r="6985" spans="1:52" ht="17.100000000000001" customHeight="1" thickBot="1">
      <c r="A6985" s="110"/>
      <c r="B6985" s="27" t="s">
        <v>2559</v>
      </c>
      <c r="C6985" s="27">
        <v>13081</v>
      </c>
      <c r="D6985" s="14" t="s">
        <v>1576</v>
      </c>
      <c r="E6985" s="112"/>
      <c r="F6985" s="139" t="s">
        <v>19969</v>
      </c>
      <c r="G6985" s="140"/>
      <c r="H6985" s="141"/>
      <c r="I6985" s="26">
        <v>42049</v>
      </c>
      <c r="J6985" s="117"/>
      <c r="K6985" s="120"/>
      <c r="L6985" s="121"/>
      <c r="M6985" s="120"/>
      <c r="N6985" s="121"/>
      <c r="O6985" s="120"/>
      <c r="P6985" s="121"/>
      <c r="Q6985" s="120"/>
      <c r="R6985" s="121"/>
      <c r="S6985" s="120"/>
      <c r="T6985" s="121"/>
      <c r="U6985" s="120"/>
      <c r="V6985" s="123"/>
      <c r="W6985" s="125"/>
      <c r="X6985" s="142" t="s">
        <v>4423</v>
      </c>
      <c r="Y6985" s="143"/>
      <c r="Z6985" s="143"/>
      <c r="AA6985" s="143"/>
      <c r="AB6985" s="144"/>
      <c r="AC6985" s="16" t="s">
        <v>21</v>
      </c>
      <c r="AD6985" s="17" t="s">
        <v>20491</v>
      </c>
      <c r="AE6985" s="145" t="s">
        <v>171</v>
      </c>
      <c r="AF6985" s="146"/>
      <c r="AG6985" s="146"/>
      <c r="AH6985" s="146"/>
      <c r="AI6985" s="147"/>
      <c r="AJ6985" s="148"/>
      <c r="AK6985" s="143"/>
      <c r="AL6985" s="144"/>
      <c r="AM6985" s="22"/>
      <c r="AN6985" s="149" t="s">
        <v>24179</v>
      </c>
      <c r="AO6985" s="144"/>
      <c r="AP6985" s="148">
        <v>60042</v>
      </c>
      <c r="AQ6985" s="144"/>
      <c r="AR6985" s="120"/>
      <c r="AS6985" s="121"/>
      <c r="AT6985" s="120"/>
      <c r="AU6985" s="121"/>
      <c r="AV6985" s="120"/>
      <c r="AW6985" s="121"/>
      <c r="AX6985" s="120"/>
      <c r="AY6985" s="121"/>
      <c r="AZ6985" s="138"/>
    </row>
    <row r="6986" spans="1:52" ht="17.100000000000001" customHeight="1" thickTop="1">
      <c r="A6986" s="109" t="s">
        <v>19963</v>
      </c>
      <c r="B6986" s="28">
        <v>46092</v>
      </c>
      <c r="C6986" s="25">
        <v>1829</v>
      </c>
      <c r="D6986" s="13" t="s">
        <v>1615</v>
      </c>
      <c r="E6986" s="111"/>
      <c r="F6986" s="113" t="s">
        <v>19970</v>
      </c>
      <c r="G6986" s="114"/>
      <c r="H6986" s="115"/>
      <c r="I6986" s="24" t="s">
        <v>2976</v>
      </c>
      <c r="J6986" s="116">
        <v>4</v>
      </c>
      <c r="K6986" s="118">
        <v>1040000</v>
      </c>
      <c r="L6986" s="119"/>
      <c r="M6986" s="118">
        <f t="shared" ref="M6986" si="9890">K6986*0.1</f>
        <v>104000</v>
      </c>
      <c r="N6986" s="119"/>
      <c r="O6986" s="118">
        <v>34500</v>
      </c>
      <c r="P6986" s="119"/>
      <c r="Q6986" s="118">
        <v>18570</v>
      </c>
      <c r="R6986" s="119"/>
      <c r="S6986" s="118">
        <v>18150</v>
      </c>
      <c r="T6986" s="119"/>
      <c r="U6986" s="118">
        <f t="shared" ref="U6986" si="9891">SUM(K6986:T6987)</f>
        <v>1215220</v>
      </c>
      <c r="V6986" s="122"/>
      <c r="W6986" s="124"/>
      <c r="X6986" s="126" t="s">
        <v>19972</v>
      </c>
      <c r="Y6986" s="127"/>
      <c r="Z6986" s="127"/>
      <c r="AA6986" s="127"/>
      <c r="AB6986" s="128"/>
      <c r="AC6986" s="15" t="s">
        <v>20</v>
      </c>
      <c r="AD6986" s="129"/>
      <c r="AE6986" s="130"/>
      <c r="AF6986" s="130"/>
      <c r="AG6986" s="130"/>
      <c r="AH6986" s="130"/>
      <c r="AI6986" s="131"/>
      <c r="AJ6986" s="132"/>
      <c r="AK6986" s="127"/>
      <c r="AL6986" s="128"/>
      <c r="AM6986" s="21"/>
      <c r="AN6986" s="133">
        <v>46095</v>
      </c>
      <c r="AO6986" s="134"/>
      <c r="AP6986" s="135">
        <v>1292</v>
      </c>
      <c r="AQ6986" s="136"/>
      <c r="AR6986" s="118">
        <v>1140000</v>
      </c>
      <c r="AS6986" s="119"/>
      <c r="AT6986" s="118">
        <f t="shared" ref="AT6986" si="9892">AR6986*0.1</f>
        <v>114000</v>
      </c>
      <c r="AU6986" s="119"/>
      <c r="AV6986" s="118">
        <v>18570</v>
      </c>
      <c r="AW6986" s="119"/>
      <c r="AX6986" s="118">
        <f t="shared" ref="AX6986" si="9893">SUM(AR6986:AW6986)</f>
        <v>1272570</v>
      </c>
      <c r="AY6986" s="119"/>
      <c r="AZ6986" s="137">
        <v>46100</v>
      </c>
    </row>
    <row r="6987" spans="1:52" ht="17.100000000000001" customHeight="1" thickBot="1">
      <c r="A6987" s="110"/>
      <c r="B6987" s="27" t="s">
        <v>2559</v>
      </c>
      <c r="C6987" s="27">
        <v>38012</v>
      </c>
      <c r="D6987" s="14" t="s">
        <v>904</v>
      </c>
      <c r="E6987" s="112"/>
      <c r="F6987" s="139" t="s">
        <v>19971</v>
      </c>
      <c r="G6987" s="140"/>
      <c r="H6987" s="141"/>
      <c r="I6987" s="26">
        <v>48966</v>
      </c>
      <c r="J6987" s="117"/>
      <c r="K6987" s="120"/>
      <c r="L6987" s="121"/>
      <c r="M6987" s="120"/>
      <c r="N6987" s="121"/>
      <c r="O6987" s="120"/>
      <c r="P6987" s="121"/>
      <c r="Q6987" s="120"/>
      <c r="R6987" s="121"/>
      <c r="S6987" s="120"/>
      <c r="T6987" s="121"/>
      <c r="U6987" s="120"/>
      <c r="V6987" s="123"/>
      <c r="W6987" s="125"/>
      <c r="X6987" s="142" t="s">
        <v>20358</v>
      </c>
      <c r="Y6987" s="143"/>
      <c r="Z6987" s="143"/>
      <c r="AA6987" s="143"/>
      <c r="AB6987" s="144"/>
      <c r="AC6987" s="16" t="s">
        <v>21</v>
      </c>
      <c r="AD6987" s="17" t="s">
        <v>2376</v>
      </c>
      <c r="AE6987" s="145"/>
      <c r="AF6987" s="146"/>
      <c r="AG6987" s="146"/>
      <c r="AH6987" s="146"/>
      <c r="AI6987" s="147"/>
      <c r="AJ6987" s="148"/>
      <c r="AK6987" s="143"/>
      <c r="AL6987" s="144"/>
      <c r="AM6987" s="22"/>
      <c r="AN6987" s="149" t="s">
        <v>20944</v>
      </c>
      <c r="AO6987" s="144"/>
      <c r="AP6987" s="148">
        <v>80325</v>
      </c>
      <c r="AQ6987" s="144"/>
      <c r="AR6987" s="120"/>
      <c r="AS6987" s="121"/>
      <c r="AT6987" s="120"/>
      <c r="AU6987" s="121"/>
      <c r="AV6987" s="120"/>
      <c r="AW6987" s="121"/>
      <c r="AX6987" s="120"/>
      <c r="AY6987" s="121"/>
      <c r="AZ6987" s="138"/>
    </row>
    <row r="6988" spans="1:52" ht="17.100000000000001" customHeight="1" thickTop="1">
      <c r="A6988" s="109" t="s">
        <v>20028</v>
      </c>
      <c r="B6988" s="28">
        <v>46093</v>
      </c>
      <c r="C6988" s="25">
        <v>1322</v>
      </c>
      <c r="D6988" s="13" t="s">
        <v>3530</v>
      </c>
      <c r="E6988" s="111"/>
      <c r="F6988" s="113" t="s">
        <v>20031</v>
      </c>
      <c r="G6988" s="114"/>
      <c r="H6988" s="115"/>
      <c r="I6988" s="24"/>
      <c r="J6988" s="116">
        <v>4</v>
      </c>
      <c r="K6988" s="118">
        <v>1690000</v>
      </c>
      <c r="L6988" s="119"/>
      <c r="M6988" s="118">
        <f t="shared" ref="M6988" si="9894">K6988*0.1</f>
        <v>169000</v>
      </c>
      <c r="N6988" s="119"/>
      <c r="O6988" s="118">
        <v>0</v>
      </c>
      <c r="P6988" s="119"/>
      <c r="Q6988" s="118">
        <v>20730</v>
      </c>
      <c r="R6988" s="119"/>
      <c r="S6988" s="118">
        <v>16500</v>
      </c>
      <c r="T6988" s="119"/>
      <c r="U6988" s="118">
        <f t="shared" ref="U6988" si="9895">SUM(K6988:T6989)</f>
        <v>1896230</v>
      </c>
      <c r="V6988" s="122"/>
      <c r="W6988" s="124"/>
      <c r="X6988" s="126" t="s">
        <v>20366</v>
      </c>
      <c r="Y6988" s="127"/>
      <c r="Z6988" s="127"/>
      <c r="AA6988" s="127"/>
      <c r="AB6988" s="128"/>
      <c r="AC6988" s="15" t="s">
        <v>20</v>
      </c>
      <c r="AD6988" s="129" t="s">
        <v>1565</v>
      </c>
      <c r="AE6988" s="130"/>
      <c r="AF6988" s="130"/>
      <c r="AG6988" s="130"/>
      <c r="AH6988" s="130"/>
      <c r="AI6988" s="131"/>
      <c r="AJ6988" s="132"/>
      <c r="AK6988" s="127"/>
      <c r="AL6988" s="128"/>
      <c r="AM6988" s="21"/>
      <c r="AN6988" s="133"/>
      <c r="AO6988" s="134"/>
      <c r="AP6988" s="135"/>
      <c r="AQ6988" s="136"/>
      <c r="AR6988" s="118"/>
      <c r="AS6988" s="119"/>
      <c r="AT6988" s="118">
        <f t="shared" ref="AT6988" si="9896">AR6988*0.1</f>
        <v>0</v>
      </c>
      <c r="AU6988" s="119"/>
      <c r="AV6988" s="118"/>
      <c r="AW6988" s="119"/>
      <c r="AX6988" s="118">
        <f t="shared" ref="AX6988" si="9897">SUM(AR6988:AW6988)</f>
        <v>0</v>
      </c>
      <c r="AY6988" s="119"/>
      <c r="AZ6988" s="137"/>
    </row>
    <row r="6989" spans="1:52" ht="17.100000000000001" customHeight="1" thickBot="1">
      <c r="A6989" s="110"/>
      <c r="B6989" s="27" t="s">
        <v>1747</v>
      </c>
      <c r="C6989" s="27">
        <v>171</v>
      </c>
      <c r="D6989" s="14" t="s">
        <v>904</v>
      </c>
      <c r="E6989" s="112"/>
      <c r="F6989" s="139" t="s">
        <v>20032</v>
      </c>
      <c r="G6989" s="140"/>
      <c r="H6989" s="141"/>
      <c r="I6989" s="26">
        <v>46741</v>
      </c>
      <c r="J6989" s="117"/>
      <c r="K6989" s="120"/>
      <c r="L6989" s="121"/>
      <c r="M6989" s="120"/>
      <c r="N6989" s="121"/>
      <c r="O6989" s="120"/>
      <c r="P6989" s="121"/>
      <c r="Q6989" s="120"/>
      <c r="R6989" s="121"/>
      <c r="S6989" s="120"/>
      <c r="T6989" s="121"/>
      <c r="U6989" s="120"/>
      <c r="V6989" s="123"/>
      <c r="W6989" s="125"/>
      <c r="X6989" s="142" t="s">
        <v>3535</v>
      </c>
      <c r="Y6989" s="143"/>
      <c r="Z6989" s="143"/>
      <c r="AA6989" s="143"/>
      <c r="AB6989" s="144"/>
      <c r="AC6989" s="16" t="s">
        <v>21</v>
      </c>
      <c r="AD6989" s="17" t="s">
        <v>2376</v>
      </c>
      <c r="AE6989" s="145" t="s">
        <v>1614</v>
      </c>
      <c r="AF6989" s="146"/>
      <c r="AG6989" s="146"/>
      <c r="AH6989" s="146"/>
      <c r="AI6989" s="147"/>
      <c r="AJ6989" s="148"/>
      <c r="AK6989" s="143"/>
      <c r="AL6989" s="144"/>
      <c r="AM6989" s="22"/>
      <c r="AN6989" s="149"/>
      <c r="AO6989" s="144"/>
      <c r="AP6989" s="148"/>
      <c r="AQ6989" s="144"/>
      <c r="AR6989" s="120"/>
      <c r="AS6989" s="121"/>
      <c r="AT6989" s="120"/>
      <c r="AU6989" s="121"/>
      <c r="AV6989" s="120"/>
      <c r="AW6989" s="121"/>
      <c r="AX6989" s="120"/>
      <c r="AY6989" s="121"/>
      <c r="AZ6989" s="138"/>
    </row>
    <row r="6990" spans="1:52" ht="17.100000000000001" customHeight="1" thickTop="1">
      <c r="A6990" s="109" t="s">
        <v>20029</v>
      </c>
      <c r="B6990" s="28">
        <v>46093</v>
      </c>
      <c r="C6990" s="25">
        <v>1322</v>
      </c>
      <c r="D6990" s="13" t="s">
        <v>1714</v>
      </c>
      <c r="E6990" s="111"/>
      <c r="F6990" s="113" t="s">
        <v>20033</v>
      </c>
      <c r="G6990" s="114"/>
      <c r="H6990" s="115"/>
      <c r="I6990" s="24"/>
      <c r="J6990" s="116">
        <v>4.5</v>
      </c>
      <c r="K6990" s="118">
        <v>2550000</v>
      </c>
      <c r="L6990" s="119"/>
      <c r="M6990" s="118">
        <f t="shared" ref="M6990" si="9898">K6990*0.1</f>
        <v>255000</v>
      </c>
      <c r="N6990" s="119"/>
      <c r="O6990" s="118">
        <v>0</v>
      </c>
      <c r="P6990" s="119"/>
      <c r="Q6990" s="118">
        <v>18170</v>
      </c>
      <c r="R6990" s="119"/>
      <c r="S6990" s="118">
        <v>24200</v>
      </c>
      <c r="T6990" s="119"/>
      <c r="U6990" s="118">
        <f t="shared" ref="U6990" si="9899">SUM(K6990:T6991)</f>
        <v>2847370</v>
      </c>
      <c r="V6990" s="122"/>
      <c r="W6990" s="124"/>
      <c r="X6990" s="126" t="s">
        <v>20367</v>
      </c>
      <c r="Y6990" s="127"/>
      <c r="Z6990" s="127"/>
      <c r="AA6990" s="127"/>
      <c r="AB6990" s="128"/>
      <c r="AC6990" s="15" t="s">
        <v>20</v>
      </c>
      <c r="AD6990" s="129" t="s">
        <v>1732</v>
      </c>
      <c r="AE6990" s="130"/>
      <c r="AF6990" s="130"/>
      <c r="AG6990" s="130"/>
      <c r="AH6990" s="130"/>
      <c r="AI6990" s="131"/>
      <c r="AJ6990" s="132"/>
      <c r="AK6990" s="127"/>
      <c r="AL6990" s="128"/>
      <c r="AM6990" s="21"/>
      <c r="AN6990" s="133">
        <v>46109</v>
      </c>
      <c r="AO6990" s="134"/>
      <c r="AP6990" s="135">
        <v>1294</v>
      </c>
      <c r="AQ6990" s="136"/>
      <c r="AR6990" s="118">
        <v>2700000</v>
      </c>
      <c r="AS6990" s="119"/>
      <c r="AT6990" s="118">
        <f t="shared" ref="AT6990" si="9900">AR6990*0.1</f>
        <v>270000</v>
      </c>
      <c r="AU6990" s="119"/>
      <c r="AV6990" s="118">
        <v>18170</v>
      </c>
      <c r="AW6990" s="119"/>
      <c r="AX6990" s="118">
        <f t="shared" ref="AX6990" si="9901">SUM(AR6990:AW6990)</f>
        <v>2988170</v>
      </c>
      <c r="AY6990" s="119"/>
      <c r="AZ6990" s="137">
        <v>46112</v>
      </c>
    </row>
    <row r="6991" spans="1:52" ht="17.100000000000001" customHeight="1" thickBot="1">
      <c r="A6991" s="110"/>
      <c r="B6991" s="27" t="s">
        <v>1747</v>
      </c>
      <c r="C6991" s="27">
        <v>339</v>
      </c>
      <c r="D6991" s="14" t="s">
        <v>133</v>
      </c>
      <c r="E6991" s="112"/>
      <c r="F6991" s="139" t="s">
        <v>20034</v>
      </c>
      <c r="G6991" s="140"/>
      <c r="H6991" s="141"/>
      <c r="I6991" s="26">
        <v>30906</v>
      </c>
      <c r="J6991" s="117"/>
      <c r="K6991" s="120"/>
      <c r="L6991" s="121"/>
      <c r="M6991" s="120"/>
      <c r="N6991" s="121"/>
      <c r="O6991" s="120"/>
      <c r="P6991" s="121"/>
      <c r="Q6991" s="120"/>
      <c r="R6991" s="121"/>
      <c r="S6991" s="120"/>
      <c r="T6991" s="121"/>
      <c r="U6991" s="120"/>
      <c r="V6991" s="123"/>
      <c r="W6991" s="125"/>
      <c r="X6991" s="142" t="s">
        <v>10748</v>
      </c>
      <c r="Y6991" s="143"/>
      <c r="Z6991" s="143"/>
      <c r="AA6991" s="143"/>
      <c r="AB6991" s="144"/>
      <c r="AC6991" s="16" t="s">
        <v>21</v>
      </c>
      <c r="AD6991" s="17" t="s">
        <v>2376</v>
      </c>
      <c r="AE6991" s="145" t="s">
        <v>1614</v>
      </c>
      <c r="AF6991" s="146"/>
      <c r="AG6991" s="146"/>
      <c r="AH6991" s="146"/>
      <c r="AI6991" s="147"/>
      <c r="AJ6991" s="148"/>
      <c r="AK6991" s="143"/>
      <c r="AL6991" s="144"/>
      <c r="AM6991" s="22"/>
      <c r="AN6991" s="149" t="s">
        <v>21802</v>
      </c>
      <c r="AO6991" s="144"/>
      <c r="AP6991" s="148">
        <v>80069</v>
      </c>
      <c r="AQ6991" s="144"/>
      <c r="AR6991" s="120"/>
      <c r="AS6991" s="121"/>
      <c r="AT6991" s="120"/>
      <c r="AU6991" s="121"/>
      <c r="AV6991" s="120"/>
      <c r="AW6991" s="121"/>
      <c r="AX6991" s="120"/>
      <c r="AY6991" s="121"/>
      <c r="AZ6991" s="138"/>
    </row>
    <row r="6992" spans="1:52" ht="17.100000000000001" customHeight="1" thickTop="1">
      <c r="A6992" s="151" t="s">
        <v>20030</v>
      </c>
      <c r="B6992" s="28">
        <v>46093</v>
      </c>
      <c r="C6992" s="25">
        <v>1322</v>
      </c>
      <c r="D6992" s="13" t="s">
        <v>2122</v>
      </c>
      <c r="E6992" s="111"/>
      <c r="F6992" s="113" t="s">
        <v>20035</v>
      </c>
      <c r="G6992" s="114"/>
      <c r="H6992" s="115"/>
      <c r="I6992" s="24" t="s">
        <v>4390</v>
      </c>
      <c r="J6992" s="116">
        <v>4</v>
      </c>
      <c r="K6992" s="118">
        <v>2695000</v>
      </c>
      <c r="L6992" s="119"/>
      <c r="M6992" s="118">
        <f t="shared" ref="M6992" si="9902">K6992*0.1</f>
        <v>269500</v>
      </c>
      <c r="N6992" s="119"/>
      <c r="O6992" s="118">
        <v>36000</v>
      </c>
      <c r="P6992" s="119"/>
      <c r="Q6992" s="118">
        <v>18550</v>
      </c>
      <c r="R6992" s="119"/>
      <c r="S6992" s="118">
        <v>16500</v>
      </c>
      <c r="T6992" s="119"/>
      <c r="U6992" s="118">
        <f t="shared" ref="U6992" si="9903">SUM(K6992:T6993)</f>
        <v>3035550</v>
      </c>
      <c r="V6992" s="122"/>
      <c r="W6992" s="124"/>
      <c r="X6992" s="126" t="s">
        <v>20037</v>
      </c>
      <c r="Y6992" s="127"/>
      <c r="Z6992" s="127"/>
      <c r="AA6992" s="127"/>
      <c r="AB6992" s="128"/>
      <c r="AC6992" s="15" t="s">
        <v>20</v>
      </c>
      <c r="AD6992" s="129" t="s">
        <v>1633</v>
      </c>
      <c r="AE6992" s="130"/>
      <c r="AF6992" s="130"/>
      <c r="AG6992" s="130"/>
      <c r="AH6992" s="130"/>
      <c r="AI6992" s="131"/>
      <c r="AJ6992" s="132" t="s">
        <v>20464</v>
      </c>
      <c r="AK6992" s="127"/>
      <c r="AL6992" s="128"/>
      <c r="AM6992" s="21"/>
      <c r="AN6992" s="133"/>
      <c r="AO6992" s="134"/>
      <c r="AP6992" s="135"/>
      <c r="AQ6992" s="136"/>
      <c r="AR6992" s="118"/>
      <c r="AS6992" s="119"/>
      <c r="AT6992" s="118">
        <f t="shared" ref="AT6992" si="9904">AR6992*0.1</f>
        <v>0</v>
      </c>
      <c r="AU6992" s="119"/>
      <c r="AV6992" s="118"/>
      <c r="AW6992" s="119"/>
      <c r="AX6992" s="118">
        <f t="shared" ref="AX6992" si="9905">SUM(AR6992:AW6992)</f>
        <v>0</v>
      </c>
      <c r="AY6992" s="119"/>
      <c r="AZ6992" s="137"/>
    </row>
    <row r="6993" spans="1:52" ht="17.100000000000001" customHeight="1" thickBot="1">
      <c r="A6993" s="152"/>
      <c r="B6993" s="27" t="s">
        <v>1747</v>
      </c>
      <c r="C6993" s="27">
        <v>551</v>
      </c>
      <c r="D6993" s="14" t="s">
        <v>904</v>
      </c>
      <c r="E6993" s="112"/>
      <c r="F6993" s="139" t="s">
        <v>20036</v>
      </c>
      <c r="G6993" s="140"/>
      <c r="H6993" s="141"/>
      <c r="I6993" s="26">
        <v>2414</v>
      </c>
      <c r="J6993" s="117"/>
      <c r="K6993" s="120"/>
      <c r="L6993" s="121"/>
      <c r="M6993" s="120"/>
      <c r="N6993" s="121"/>
      <c r="O6993" s="120"/>
      <c r="P6993" s="121"/>
      <c r="Q6993" s="120"/>
      <c r="R6993" s="121"/>
      <c r="S6993" s="120"/>
      <c r="T6993" s="121"/>
      <c r="U6993" s="120"/>
      <c r="V6993" s="123"/>
      <c r="W6993" s="125"/>
      <c r="X6993" s="142" t="s">
        <v>20365</v>
      </c>
      <c r="Y6993" s="143"/>
      <c r="Z6993" s="143"/>
      <c r="AA6993" s="143"/>
      <c r="AB6993" s="144"/>
      <c r="AC6993" s="16" t="s">
        <v>21</v>
      </c>
      <c r="AD6993" s="17" t="s">
        <v>2376</v>
      </c>
      <c r="AE6993" s="145" t="s">
        <v>1742</v>
      </c>
      <c r="AF6993" s="146"/>
      <c r="AG6993" s="146"/>
      <c r="AH6993" s="146"/>
      <c r="AI6993" s="147"/>
      <c r="AJ6993" s="148"/>
      <c r="AK6993" s="143"/>
      <c r="AL6993" s="144"/>
      <c r="AM6993" s="22"/>
      <c r="AN6993" s="149"/>
      <c r="AO6993" s="144"/>
      <c r="AP6993" s="148"/>
      <c r="AQ6993" s="144"/>
      <c r="AR6993" s="120"/>
      <c r="AS6993" s="121"/>
      <c r="AT6993" s="120"/>
      <c r="AU6993" s="121"/>
      <c r="AV6993" s="120"/>
      <c r="AW6993" s="121"/>
      <c r="AX6993" s="120"/>
      <c r="AY6993" s="121"/>
      <c r="AZ6993" s="138"/>
    </row>
    <row r="6994" spans="1:52" ht="17.100000000000001" customHeight="1" thickTop="1">
      <c r="A6994" s="109" t="s">
        <v>20038</v>
      </c>
      <c r="B6994" s="28">
        <v>46093</v>
      </c>
      <c r="C6994" s="25">
        <v>1557</v>
      </c>
      <c r="D6994" s="13" t="s">
        <v>2001</v>
      </c>
      <c r="E6994" s="111"/>
      <c r="F6994" s="113" t="s">
        <v>20039</v>
      </c>
      <c r="G6994" s="114"/>
      <c r="H6994" s="115"/>
      <c r="I6994" s="24"/>
      <c r="J6994" s="116">
        <v>5</v>
      </c>
      <c r="K6994" s="118">
        <v>3210000</v>
      </c>
      <c r="L6994" s="119"/>
      <c r="M6994" s="118">
        <f t="shared" ref="M6994" si="9906">K6994*0.1</f>
        <v>321000</v>
      </c>
      <c r="N6994" s="119"/>
      <c r="O6994" s="118">
        <v>0</v>
      </c>
      <c r="P6994" s="119"/>
      <c r="Q6994" s="118">
        <v>21190</v>
      </c>
      <c r="R6994" s="119"/>
      <c r="S6994" s="118">
        <v>16500</v>
      </c>
      <c r="T6994" s="119"/>
      <c r="U6994" s="118">
        <f t="shared" ref="U6994" si="9907">SUM(K6994:T6995)</f>
        <v>3568690</v>
      </c>
      <c r="V6994" s="122"/>
      <c r="W6994" s="124"/>
      <c r="X6994" s="126" t="s">
        <v>20512</v>
      </c>
      <c r="Y6994" s="127"/>
      <c r="Z6994" s="127"/>
      <c r="AA6994" s="127"/>
      <c r="AB6994" s="128"/>
      <c r="AC6994" s="15" t="s">
        <v>20</v>
      </c>
      <c r="AD6994" s="129" t="s">
        <v>1670</v>
      </c>
      <c r="AE6994" s="130"/>
      <c r="AF6994" s="130"/>
      <c r="AG6994" s="130"/>
      <c r="AH6994" s="130"/>
      <c r="AI6994" s="131"/>
      <c r="AJ6994" s="132"/>
      <c r="AK6994" s="127"/>
      <c r="AL6994" s="128"/>
      <c r="AM6994" s="21"/>
      <c r="AN6994" s="133"/>
      <c r="AO6994" s="134"/>
      <c r="AP6994" s="135"/>
      <c r="AQ6994" s="136"/>
      <c r="AR6994" s="118"/>
      <c r="AS6994" s="119"/>
      <c r="AT6994" s="118">
        <f t="shared" ref="AT6994" si="9908">AR6994*0.1</f>
        <v>0</v>
      </c>
      <c r="AU6994" s="119"/>
      <c r="AV6994" s="118"/>
      <c r="AW6994" s="119"/>
      <c r="AX6994" s="118">
        <f t="shared" ref="AX6994" si="9909">SUM(AR6994:AW6994)</f>
        <v>0</v>
      </c>
      <c r="AY6994" s="119"/>
      <c r="AZ6994" s="137"/>
    </row>
    <row r="6995" spans="1:52" ht="17.100000000000001" customHeight="1" thickBot="1">
      <c r="A6995" s="110"/>
      <c r="B6995" s="27" t="s">
        <v>1600</v>
      </c>
      <c r="C6995" s="27">
        <v>76121</v>
      </c>
      <c r="D6995" s="14" t="s">
        <v>275</v>
      </c>
      <c r="E6995" s="112"/>
      <c r="F6995" s="139" t="s">
        <v>20040</v>
      </c>
      <c r="G6995" s="140"/>
      <c r="H6995" s="141"/>
      <c r="I6995" s="26">
        <v>14116</v>
      </c>
      <c r="J6995" s="117"/>
      <c r="K6995" s="120"/>
      <c r="L6995" s="121"/>
      <c r="M6995" s="120"/>
      <c r="N6995" s="121"/>
      <c r="O6995" s="120"/>
      <c r="P6995" s="121"/>
      <c r="Q6995" s="120"/>
      <c r="R6995" s="121"/>
      <c r="S6995" s="120"/>
      <c r="T6995" s="121"/>
      <c r="U6995" s="120"/>
      <c r="V6995" s="123"/>
      <c r="W6995" s="125"/>
      <c r="X6995" s="142" t="s">
        <v>20513</v>
      </c>
      <c r="Y6995" s="143"/>
      <c r="Z6995" s="143"/>
      <c r="AA6995" s="143"/>
      <c r="AB6995" s="144"/>
      <c r="AC6995" s="16" t="s">
        <v>21</v>
      </c>
      <c r="AD6995" s="17" t="s">
        <v>20491</v>
      </c>
      <c r="AE6995" s="145" t="s">
        <v>1614</v>
      </c>
      <c r="AF6995" s="146"/>
      <c r="AG6995" s="146"/>
      <c r="AH6995" s="146"/>
      <c r="AI6995" s="147"/>
      <c r="AJ6995" s="148"/>
      <c r="AK6995" s="143"/>
      <c r="AL6995" s="144"/>
      <c r="AM6995" s="22"/>
      <c r="AN6995" s="149"/>
      <c r="AO6995" s="144"/>
      <c r="AP6995" s="148"/>
      <c r="AQ6995" s="144"/>
      <c r="AR6995" s="120"/>
      <c r="AS6995" s="121"/>
      <c r="AT6995" s="120"/>
      <c r="AU6995" s="121"/>
      <c r="AV6995" s="120"/>
      <c r="AW6995" s="121"/>
      <c r="AX6995" s="120"/>
      <c r="AY6995" s="121"/>
      <c r="AZ6995" s="138"/>
    </row>
    <row r="6996" spans="1:52" ht="17.100000000000001" customHeight="1" thickTop="1">
      <c r="A6996" s="109" t="s">
        <v>20079</v>
      </c>
      <c r="B6996" s="28">
        <v>46093</v>
      </c>
      <c r="C6996" s="25">
        <v>2149</v>
      </c>
      <c r="D6996" s="13" t="s">
        <v>1615</v>
      </c>
      <c r="E6996" s="111"/>
      <c r="F6996" s="113" t="s">
        <v>20088</v>
      </c>
      <c r="G6996" s="114"/>
      <c r="H6996" s="115"/>
      <c r="I6996" s="24" t="s">
        <v>14330</v>
      </c>
      <c r="J6996" s="116">
        <v>4.5</v>
      </c>
      <c r="K6996" s="118">
        <v>811000</v>
      </c>
      <c r="L6996" s="119"/>
      <c r="M6996" s="118">
        <f t="shared" ref="M6996" si="9910">K6996*0.1</f>
        <v>81100</v>
      </c>
      <c r="N6996" s="119"/>
      <c r="O6996" s="118">
        <v>10800</v>
      </c>
      <c r="P6996" s="119"/>
      <c r="Q6996" s="118">
        <v>8790</v>
      </c>
      <c r="R6996" s="119"/>
      <c r="S6996" s="118">
        <v>14300</v>
      </c>
      <c r="T6996" s="119"/>
      <c r="U6996" s="118">
        <f t="shared" ref="U6996" si="9911">SUM(K6996:T6997)</f>
        <v>925990</v>
      </c>
      <c r="V6996" s="122"/>
      <c r="W6996" s="124"/>
      <c r="X6996" s="126" t="s">
        <v>20521</v>
      </c>
      <c r="Y6996" s="127"/>
      <c r="Z6996" s="127"/>
      <c r="AA6996" s="127"/>
      <c r="AB6996" s="128"/>
      <c r="AC6996" s="15" t="s">
        <v>20</v>
      </c>
      <c r="AD6996" s="129" t="s">
        <v>5525</v>
      </c>
      <c r="AE6996" s="130"/>
      <c r="AF6996" s="130"/>
      <c r="AG6996" s="130"/>
      <c r="AH6996" s="130"/>
      <c r="AI6996" s="131"/>
      <c r="AJ6996" s="132"/>
      <c r="AK6996" s="127"/>
      <c r="AL6996" s="128"/>
      <c r="AM6996" s="21" t="s">
        <v>23802</v>
      </c>
      <c r="AN6996" s="133"/>
      <c r="AO6996" s="134"/>
      <c r="AP6996" s="135"/>
      <c r="AQ6996" s="136"/>
      <c r="AR6996" s="118"/>
      <c r="AS6996" s="119"/>
      <c r="AT6996" s="118">
        <f t="shared" ref="AT6996" si="9912">AR6996*0.1</f>
        <v>0</v>
      </c>
      <c r="AU6996" s="119"/>
      <c r="AV6996" s="118"/>
      <c r="AW6996" s="119"/>
      <c r="AX6996" s="118">
        <f t="shared" ref="AX6996" si="9913">SUM(AR6996:AW6996)</f>
        <v>0</v>
      </c>
      <c r="AY6996" s="119"/>
      <c r="AZ6996" s="137"/>
    </row>
    <row r="6997" spans="1:52" ht="17.100000000000001" customHeight="1" thickBot="1">
      <c r="A6997" s="110"/>
      <c r="B6997" s="27" t="s">
        <v>3281</v>
      </c>
      <c r="C6997" s="27">
        <v>2063</v>
      </c>
      <c r="D6997" s="14" t="s">
        <v>3793</v>
      </c>
      <c r="E6997" s="112"/>
      <c r="F6997" s="139" t="s">
        <v>20084</v>
      </c>
      <c r="G6997" s="140"/>
      <c r="H6997" s="141"/>
      <c r="I6997" s="26">
        <v>52370</v>
      </c>
      <c r="J6997" s="117"/>
      <c r="K6997" s="120"/>
      <c r="L6997" s="121"/>
      <c r="M6997" s="120"/>
      <c r="N6997" s="121"/>
      <c r="O6997" s="120"/>
      <c r="P6997" s="121"/>
      <c r="Q6997" s="120"/>
      <c r="R6997" s="121"/>
      <c r="S6997" s="120"/>
      <c r="T6997" s="121"/>
      <c r="U6997" s="120"/>
      <c r="V6997" s="123"/>
      <c r="W6997" s="125"/>
      <c r="X6997" s="142" t="s">
        <v>20522</v>
      </c>
      <c r="Y6997" s="143"/>
      <c r="Z6997" s="143"/>
      <c r="AA6997" s="143"/>
      <c r="AB6997" s="144"/>
      <c r="AC6997" s="16" t="s">
        <v>21</v>
      </c>
      <c r="AD6997" s="17" t="s">
        <v>20491</v>
      </c>
      <c r="AE6997" s="145" t="s">
        <v>4617</v>
      </c>
      <c r="AF6997" s="146"/>
      <c r="AG6997" s="146"/>
      <c r="AH6997" s="146"/>
      <c r="AI6997" s="147"/>
      <c r="AJ6997" s="148"/>
      <c r="AK6997" s="143"/>
      <c r="AL6997" s="144"/>
      <c r="AM6997" s="22"/>
      <c r="AN6997" s="149"/>
      <c r="AO6997" s="144"/>
      <c r="AP6997" s="148"/>
      <c r="AQ6997" s="144"/>
      <c r="AR6997" s="120"/>
      <c r="AS6997" s="121"/>
      <c r="AT6997" s="120"/>
      <c r="AU6997" s="121"/>
      <c r="AV6997" s="120"/>
      <c r="AW6997" s="121"/>
      <c r="AX6997" s="120"/>
      <c r="AY6997" s="121"/>
      <c r="AZ6997" s="138"/>
    </row>
    <row r="6998" spans="1:52" ht="17.100000000000001" customHeight="1" thickTop="1">
      <c r="A6998" s="109" t="s">
        <v>20080</v>
      </c>
      <c r="B6998" s="28">
        <v>46093</v>
      </c>
      <c r="C6998" s="25">
        <v>2149</v>
      </c>
      <c r="D6998" s="13" t="s">
        <v>1853</v>
      </c>
      <c r="E6998" s="111"/>
      <c r="F6998" s="113" t="s">
        <v>20089</v>
      </c>
      <c r="G6998" s="114"/>
      <c r="H6998" s="115"/>
      <c r="I6998" s="24"/>
      <c r="J6998" s="116">
        <v>4.5</v>
      </c>
      <c r="K6998" s="118">
        <v>1050000</v>
      </c>
      <c r="L6998" s="119"/>
      <c r="M6998" s="118">
        <f t="shared" ref="M6998" si="9914">K6998*0.1</f>
        <v>105000</v>
      </c>
      <c r="N6998" s="119"/>
      <c r="O6998" s="118">
        <v>0</v>
      </c>
      <c r="P6998" s="119"/>
      <c r="Q6998" s="118">
        <v>8790</v>
      </c>
      <c r="R6998" s="119"/>
      <c r="S6998" s="118">
        <v>14300</v>
      </c>
      <c r="T6998" s="119"/>
      <c r="U6998" s="118">
        <f t="shared" ref="U6998" si="9915">SUM(K6998:T6999)</f>
        <v>1178090</v>
      </c>
      <c r="V6998" s="122"/>
      <c r="W6998" s="124"/>
      <c r="X6998" s="126" t="s">
        <v>20493</v>
      </c>
      <c r="Y6998" s="127"/>
      <c r="Z6998" s="127"/>
      <c r="AA6998" s="127"/>
      <c r="AB6998" s="128"/>
      <c r="AC6998" s="15" t="s">
        <v>20</v>
      </c>
      <c r="AD6998" s="129"/>
      <c r="AE6998" s="130"/>
      <c r="AF6998" s="130"/>
      <c r="AG6998" s="130"/>
      <c r="AH6998" s="130"/>
      <c r="AI6998" s="131"/>
      <c r="AJ6998" s="132"/>
      <c r="AK6998" s="127"/>
      <c r="AL6998" s="128"/>
      <c r="AM6998" s="21"/>
      <c r="AN6998" s="133">
        <v>46098</v>
      </c>
      <c r="AO6998" s="134"/>
      <c r="AP6998" s="135">
        <v>1933</v>
      </c>
      <c r="AQ6998" s="136"/>
      <c r="AR6998" s="118">
        <v>1082000</v>
      </c>
      <c r="AS6998" s="119"/>
      <c r="AT6998" s="118">
        <f t="shared" ref="AT6998" si="9916">AR6998*0.1</f>
        <v>108200</v>
      </c>
      <c r="AU6998" s="119"/>
      <c r="AV6998" s="118">
        <v>8790</v>
      </c>
      <c r="AW6998" s="119"/>
      <c r="AX6998" s="118">
        <f t="shared" ref="AX6998" si="9917">SUM(AR6998:AW6998)</f>
        <v>1198990</v>
      </c>
      <c r="AY6998" s="119"/>
      <c r="AZ6998" s="137"/>
    </row>
    <row r="6999" spans="1:52" ht="17.100000000000001" customHeight="1" thickBot="1">
      <c r="A6999" s="110"/>
      <c r="B6999" s="27" t="s">
        <v>3281</v>
      </c>
      <c r="C6999" s="27">
        <v>2584</v>
      </c>
      <c r="D6999" s="14" t="s">
        <v>2800</v>
      </c>
      <c r="E6999" s="112"/>
      <c r="F6999" s="139" t="s">
        <v>20085</v>
      </c>
      <c r="G6999" s="140"/>
      <c r="H6999" s="141"/>
      <c r="I6999" s="26">
        <v>40573</v>
      </c>
      <c r="J6999" s="117"/>
      <c r="K6999" s="120"/>
      <c r="L6999" s="121"/>
      <c r="M6999" s="120"/>
      <c r="N6999" s="121"/>
      <c r="O6999" s="120"/>
      <c r="P6999" s="121"/>
      <c r="Q6999" s="120"/>
      <c r="R6999" s="121"/>
      <c r="S6999" s="120"/>
      <c r="T6999" s="121"/>
      <c r="U6999" s="120"/>
      <c r="V6999" s="123"/>
      <c r="W6999" s="125"/>
      <c r="X6999" s="142" t="s">
        <v>2992</v>
      </c>
      <c r="Y6999" s="143"/>
      <c r="Z6999" s="143"/>
      <c r="AA6999" s="143"/>
      <c r="AB6999" s="144"/>
      <c r="AC6999" s="16" t="s">
        <v>21</v>
      </c>
      <c r="AD6999" s="17" t="s">
        <v>20491</v>
      </c>
      <c r="AE6999" s="145"/>
      <c r="AF6999" s="146"/>
      <c r="AG6999" s="146"/>
      <c r="AH6999" s="146"/>
      <c r="AI6999" s="147"/>
      <c r="AJ6999" s="148"/>
      <c r="AK6999" s="143"/>
      <c r="AL6999" s="144"/>
      <c r="AM6999" s="22"/>
      <c r="AN6999" s="149" t="s">
        <v>2131</v>
      </c>
      <c r="AO6999" s="144"/>
      <c r="AP6999" s="148">
        <v>3267</v>
      </c>
      <c r="AQ6999" s="144"/>
      <c r="AR6999" s="120"/>
      <c r="AS6999" s="121"/>
      <c r="AT6999" s="120"/>
      <c r="AU6999" s="121"/>
      <c r="AV6999" s="120"/>
      <c r="AW6999" s="121"/>
      <c r="AX6999" s="120"/>
      <c r="AY6999" s="121"/>
      <c r="AZ6999" s="138"/>
    </row>
    <row r="7000" spans="1:52" ht="17.100000000000001" customHeight="1" thickTop="1">
      <c r="A7000" s="109" t="s">
        <v>20081</v>
      </c>
      <c r="B7000" s="28">
        <v>46093</v>
      </c>
      <c r="C7000" s="25">
        <v>2149</v>
      </c>
      <c r="D7000" s="13" t="s">
        <v>1760</v>
      </c>
      <c r="E7000" s="111"/>
      <c r="F7000" s="113" t="s">
        <v>20090</v>
      </c>
      <c r="G7000" s="114"/>
      <c r="H7000" s="115"/>
      <c r="I7000" s="24"/>
      <c r="J7000" s="116">
        <v>4.5</v>
      </c>
      <c r="K7000" s="118">
        <v>1160000</v>
      </c>
      <c r="L7000" s="119"/>
      <c r="M7000" s="118">
        <f t="shared" ref="M7000" si="9918">K7000*0.1</f>
        <v>116000</v>
      </c>
      <c r="N7000" s="119"/>
      <c r="O7000" s="118">
        <v>0</v>
      </c>
      <c r="P7000" s="119"/>
      <c r="Q7000" s="118">
        <v>7150</v>
      </c>
      <c r="R7000" s="119"/>
      <c r="S7000" s="118">
        <v>14300</v>
      </c>
      <c r="T7000" s="119"/>
      <c r="U7000" s="118">
        <f t="shared" ref="U7000" si="9919">SUM(K7000:T7001)</f>
        <v>1297450</v>
      </c>
      <c r="V7000" s="122"/>
      <c r="W7000" s="124"/>
      <c r="X7000" s="126" t="s">
        <v>20494</v>
      </c>
      <c r="Y7000" s="127"/>
      <c r="Z7000" s="127"/>
      <c r="AA7000" s="127"/>
      <c r="AB7000" s="128"/>
      <c r="AC7000" s="15" t="s">
        <v>20</v>
      </c>
      <c r="AD7000" s="129" t="s">
        <v>20091</v>
      </c>
      <c r="AE7000" s="130"/>
      <c r="AF7000" s="130"/>
      <c r="AG7000" s="130"/>
      <c r="AH7000" s="130"/>
      <c r="AI7000" s="131"/>
      <c r="AJ7000" s="132"/>
      <c r="AK7000" s="127"/>
      <c r="AL7000" s="128"/>
      <c r="AM7000" s="21"/>
      <c r="AN7000" s="133">
        <v>46098</v>
      </c>
      <c r="AO7000" s="134"/>
      <c r="AP7000" s="135">
        <v>1933</v>
      </c>
      <c r="AQ7000" s="136"/>
      <c r="AR7000" s="118">
        <v>1191000</v>
      </c>
      <c r="AS7000" s="119"/>
      <c r="AT7000" s="118">
        <f t="shared" ref="AT7000" si="9920">AR7000*0.1</f>
        <v>119100</v>
      </c>
      <c r="AU7000" s="119"/>
      <c r="AV7000" s="118">
        <v>7150</v>
      </c>
      <c r="AW7000" s="119"/>
      <c r="AX7000" s="118">
        <f t="shared" ref="AX7000" si="9921">SUM(AR7000:AW7000)</f>
        <v>1317250</v>
      </c>
      <c r="AY7000" s="119"/>
      <c r="AZ7000" s="137"/>
    </row>
    <row r="7001" spans="1:52" ht="17.100000000000001" customHeight="1" thickBot="1">
      <c r="A7001" s="110"/>
      <c r="B7001" s="27" t="s">
        <v>3281</v>
      </c>
      <c r="C7001" s="27">
        <v>2586</v>
      </c>
      <c r="D7001" s="14" t="s">
        <v>275</v>
      </c>
      <c r="E7001" s="112"/>
      <c r="F7001" s="139" t="s">
        <v>20086</v>
      </c>
      <c r="G7001" s="140"/>
      <c r="H7001" s="141"/>
      <c r="I7001" s="26">
        <v>22857</v>
      </c>
      <c r="J7001" s="117"/>
      <c r="K7001" s="120"/>
      <c r="L7001" s="121"/>
      <c r="M7001" s="120"/>
      <c r="N7001" s="121"/>
      <c r="O7001" s="120"/>
      <c r="P7001" s="121"/>
      <c r="Q7001" s="120"/>
      <c r="R7001" s="121"/>
      <c r="S7001" s="120"/>
      <c r="T7001" s="121"/>
      <c r="U7001" s="120"/>
      <c r="V7001" s="123"/>
      <c r="W7001" s="125"/>
      <c r="X7001" s="142" t="s">
        <v>2992</v>
      </c>
      <c r="Y7001" s="143"/>
      <c r="Z7001" s="143"/>
      <c r="AA7001" s="143"/>
      <c r="AB7001" s="144"/>
      <c r="AC7001" s="16" t="s">
        <v>21</v>
      </c>
      <c r="AD7001" s="17" t="s">
        <v>20491</v>
      </c>
      <c r="AE7001" s="145" t="s">
        <v>171</v>
      </c>
      <c r="AF7001" s="146"/>
      <c r="AG7001" s="146"/>
      <c r="AH7001" s="146"/>
      <c r="AI7001" s="147"/>
      <c r="AJ7001" s="148"/>
      <c r="AK7001" s="143"/>
      <c r="AL7001" s="144"/>
      <c r="AM7001" s="22"/>
      <c r="AN7001" s="149" t="s">
        <v>2131</v>
      </c>
      <c r="AO7001" s="144"/>
      <c r="AP7001" s="148">
        <v>3171</v>
      </c>
      <c r="AQ7001" s="144"/>
      <c r="AR7001" s="120"/>
      <c r="AS7001" s="121"/>
      <c r="AT7001" s="120"/>
      <c r="AU7001" s="121"/>
      <c r="AV7001" s="120"/>
      <c r="AW7001" s="121"/>
      <c r="AX7001" s="120"/>
      <c r="AY7001" s="121"/>
      <c r="AZ7001" s="138"/>
    </row>
    <row r="7002" spans="1:52" ht="17.100000000000001" customHeight="1" thickTop="1">
      <c r="A7002" s="109" t="s">
        <v>20082</v>
      </c>
      <c r="B7002" s="28">
        <v>46093</v>
      </c>
      <c r="C7002" s="25">
        <v>2149</v>
      </c>
      <c r="D7002" s="13" t="s">
        <v>2689</v>
      </c>
      <c r="E7002" s="111"/>
      <c r="F7002" s="113" t="s">
        <v>5369</v>
      </c>
      <c r="G7002" s="114"/>
      <c r="H7002" s="115"/>
      <c r="I7002" s="24" t="s">
        <v>5662</v>
      </c>
      <c r="J7002" s="116">
        <v>4</v>
      </c>
      <c r="K7002" s="118">
        <v>651000</v>
      </c>
      <c r="L7002" s="119"/>
      <c r="M7002" s="118">
        <f t="shared" ref="M7002" si="9922">K7002*0.1</f>
        <v>65100</v>
      </c>
      <c r="N7002" s="119"/>
      <c r="O7002" s="118">
        <v>10800</v>
      </c>
      <c r="P7002" s="119"/>
      <c r="Q7002" s="118">
        <v>6470</v>
      </c>
      <c r="R7002" s="119"/>
      <c r="S7002" s="118">
        <v>14300</v>
      </c>
      <c r="T7002" s="119"/>
      <c r="U7002" s="118">
        <f t="shared" ref="U7002" si="9923">SUM(K7002:T7003)</f>
        <v>747670</v>
      </c>
      <c r="V7002" s="122"/>
      <c r="W7002" s="124"/>
      <c r="X7002" s="126" t="s">
        <v>20092</v>
      </c>
      <c r="Y7002" s="127"/>
      <c r="Z7002" s="127"/>
      <c r="AA7002" s="127"/>
      <c r="AB7002" s="128"/>
      <c r="AC7002" s="15" t="s">
        <v>20</v>
      </c>
      <c r="AD7002" s="129" t="s">
        <v>1945</v>
      </c>
      <c r="AE7002" s="130"/>
      <c r="AF7002" s="130"/>
      <c r="AG7002" s="130"/>
      <c r="AH7002" s="130"/>
      <c r="AI7002" s="131"/>
      <c r="AJ7002" s="132"/>
      <c r="AK7002" s="127"/>
      <c r="AL7002" s="128"/>
      <c r="AM7002" s="21" t="s">
        <v>23805</v>
      </c>
      <c r="AN7002" s="133">
        <v>46141</v>
      </c>
      <c r="AO7002" s="134"/>
      <c r="AP7002" s="135">
        <v>1015</v>
      </c>
      <c r="AQ7002" s="136"/>
      <c r="AR7002" s="118">
        <v>700000</v>
      </c>
      <c r="AS7002" s="119"/>
      <c r="AT7002" s="118">
        <f t="shared" ref="AT7002" si="9924">AR7002*0.1</f>
        <v>70000</v>
      </c>
      <c r="AU7002" s="119"/>
      <c r="AV7002" s="118">
        <v>6470</v>
      </c>
      <c r="AW7002" s="119"/>
      <c r="AX7002" s="118">
        <f t="shared" ref="AX7002" si="9925">SUM(AR7002:AW7002)</f>
        <v>776470</v>
      </c>
      <c r="AY7002" s="119"/>
      <c r="AZ7002" s="137">
        <v>46156</v>
      </c>
    </row>
    <row r="7003" spans="1:52" ht="17.100000000000001" customHeight="1" thickBot="1">
      <c r="A7003" s="110"/>
      <c r="B7003" s="27" t="s">
        <v>3281</v>
      </c>
      <c r="C7003" s="27">
        <v>2592</v>
      </c>
      <c r="D7003" s="14" t="s">
        <v>1720</v>
      </c>
      <c r="E7003" s="112"/>
      <c r="F7003" s="139" t="s">
        <v>20503</v>
      </c>
      <c r="G7003" s="140"/>
      <c r="H7003" s="141"/>
      <c r="I7003" s="26">
        <v>40481</v>
      </c>
      <c r="J7003" s="117"/>
      <c r="K7003" s="120"/>
      <c r="L7003" s="121"/>
      <c r="M7003" s="120"/>
      <c r="N7003" s="121"/>
      <c r="O7003" s="120"/>
      <c r="P7003" s="121"/>
      <c r="Q7003" s="120"/>
      <c r="R7003" s="121"/>
      <c r="S7003" s="120"/>
      <c r="T7003" s="121"/>
      <c r="U7003" s="120"/>
      <c r="V7003" s="123"/>
      <c r="W7003" s="125"/>
      <c r="X7003" s="142" t="s">
        <v>12076</v>
      </c>
      <c r="Y7003" s="143"/>
      <c r="Z7003" s="143"/>
      <c r="AA7003" s="143"/>
      <c r="AB7003" s="144"/>
      <c r="AC7003" s="16" t="s">
        <v>21</v>
      </c>
      <c r="AD7003" s="17" t="s">
        <v>20491</v>
      </c>
      <c r="AE7003" s="145" t="s">
        <v>171</v>
      </c>
      <c r="AF7003" s="146"/>
      <c r="AG7003" s="146"/>
      <c r="AH7003" s="146"/>
      <c r="AI7003" s="147"/>
      <c r="AJ7003" s="148"/>
      <c r="AK7003" s="143"/>
      <c r="AL7003" s="144"/>
      <c r="AM7003" s="22"/>
      <c r="AN7003" s="149" t="s">
        <v>25326</v>
      </c>
      <c r="AO7003" s="144"/>
      <c r="AP7003" s="148">
        <v>2057</v>
      </c>
      <c r="AQ7003" s="144"/>
      <c r="AR7003" s="120"/>
      <c r="AS7003" s="121"/>
      <c r="AT7003" s="120"/>
      <c r="AU7003" s="121"/>
      <c r="AV7003" s="120"/>
      <c r="AW7003" s="121"/>
      <c r="AX7003" s="120"/>
      <c r="AY7003" s="121"/>
      <c r="AZ7003" s="138"/>
    </row>
    <row r="7004" spans="1:52" ht="17.100000000000001" customHeight="1" thickTop="1">
      <c r="A7004" s="109" t="s">
        <v>20083</v>
      </c>
      <c r="B7004" s="28">
        <v>46093</v>
      </c>
      <c r="C7004" s="25">
        <v>2149</v>
      </c>
      <c r="D7004" s="13" t="s">
        <v>2272</v>
      </c>
      <c r="E7004" s="111"/>
      <c r="F7004" s="113" t="s">
        <v>10019</v>
      </c>
      <c r="G7004" s="114"/>
      <c r="H7004" s="115"/>
      <c r="I7004" s="24"/>
      <c r="J7004" s="116">
        <v>4.5</v>
      </c>
      <c r="K7004" s="118">
        <v>1450000</v>
      </c>
      <c r="L7004" s="119"/>
      <c r="M7004" s="118">
        <f t="shared" ref="M7004" si="9926">K7004*0.1</f>
        <v>145000</v>
      </c>
      <c r="N7004" s="119"/>
      <c r="O7004" s="118">
        <v>0</v>
      </c>
      <c r="P7004" s="119"/>
      <c r="Q7004" s="118">
        <v>7230</v>
      </c>
      <c r="R7004" s="119"/>
      <c r="S7004" s="118">
        <v>14300</v>
      </c>
      <c r="T7004" s="119"/>
      <c r="U7004" s="118">
        <f t="shared" ref="U7004" si="9927">SUM(K7004:T7005)</f>
        <v>1616530</v>
      </c>
      <c r="V7004" s="122"/>
      <c r="W7004" s="124"/>
      <c r="X7004" s="126" t="s">
        <v>20492</v>
      </c>
      <c r="Y7004" s="127"/>
      <c r="Z7004" s="127"/>
      <c r="AA7004" s="127"/>
      <c r="AB7004" s="128"/>
      <c r="AC7004" s="15" t="s">
        <v>20</v>
      </c>
      <c r="AD7004" s="129"/>
      <c r="AE7004" s="130"/>
      <c r="AF7004" s="130"/>
      <c r="AG7004" s="130"/>
      <c r="AH7004" s="130"/>
      <c r="AI7004" s="131"/>
      <c r="AJ7004" s="132"/>
      <c r="AK7004" s="127"/>
      <c r="AL7004" s="128"/>
      <c r="AM7004" s="21"/>
      <c r="AN7004" s="133">
        <v>46098</v>
      </c>
      <c r="AO7004" s="134"/>
      <c r="AP7004" s="135">
        <v>1933</v>
      </c>
      <c r="AQ7004" s="136"/>
      <c r="AR7004" s="118">
        <v>1500000</v>
      </c>
      <c r="AS7004" s="119"/>
      <c r="AT7004" s="118">
        <f t="shared" ref="AT7004" si="9928">AR7004*0.1</f>
        <v>150000</v>
      </c>
      <c r="AU7004" s="119"/>
      <c r="AV7004" s="118">
        <v>7230</v>
      </c>
      <c r="AW7004" s="119"/>
      <c r="AX7004" s="118">
        <f t="shared" ref="AX7004" si="9929">SUM(AR7004:AW7004)</f>
        <v>1657230</v>
      </c>
      <c r="AY7004" s="119"/>
      <c r="AZ7004" s="137"/>
    </row>
    <row r="7005" spans="1:52" ht="17.100000000000001" customHeight="1" thickBot="1">
      <c r="A7005" s="110"/>
      <c r="B7005" s="27" t="s">
        <v>3281</v>
      </c>
      <c r="C7005" s="27">
        <v>2605</v>
      </c>
      <c r="D7005" s="14" t="s">
        <v>2601</v>
      </c>
      <c r="E7005" s="112"/>
      <c r="F7005" s="139" t="s">
        <v>20087</v>
      </c>
      <c r="G7005" s="140"/>
      <c r="H7005" s="141"/>
      <c r="I7005" s="26">
        <v>9090</v>
      </c>
      <c r="J7005" s="117"/>
      <c r="K7005" s="120"/>
      <c r="L7005" s="121"/>
      <c r="M7005" s="120"/>
      <c r="N7005" s="121"/>
      <c r="O7005" s="120"/>
      <c r="P7005" s="121"/>
      <c r="Q7005" s="120"/>
      <c r="R7005" s="121"/>
      <c r="S7005" s="120"/>
      <c r="T7005" s="121"/>
      <c r="U7005" s="120"/>
      <c r="V7005" s="123"/>
      <c r="W7005" s="125"/>
      <c r="X7005" s="142" t="s">
        <v>2440</v>
      </c>
      <c r="Y7005" s="143"/>
      <c r="Z7005" s="143"/>
      <c r="AA7005" s="143"/>
      <c r="AB7005" s="144"/>
      <c r="AC7005" s="16" t="s">
        <v>21</v>
      </c>
      <c r="AD7005" s="17" t="s">
        <v>20491</v>
      </c>
      <c r="AE7005" s="145"/>
      <c r="AF7005" s="146"/>
      <c r="AG7005" s="146"/>
      <c r="AH7005" s="146"/>
      <c r="AI7005" s="147"/>
      <c r="AJ7005" s="148"/>
      <c r="AK7005" s="143"/>
      <c r="AL7005" s="144"/>
      <c r="AM7005" s="22"/>
      <c r="AN7005" s="149" t="s">
        <v>2131</v>
      </c>
      <c r="AO7005" s="144"/>
      <c r="AP7005" s="148">
        <v>3247</v>
      </c>
      <c r="AQ7005" s="144"/>
      <c r="AR7005" s="120"/>
      <c r="AS7005" s="121"/>
      <c r="AT7005" s="120"/>
      <c r="AU7005" s="121"/>
      <c r="AV7005" s="120"/>
      <c r="AW7005" s="121"/>
      <c r="AX7005" s="120"/>
      <c r="AY7005" s="121"/>
      <c r="AZ7005" s="138"/>
    </row>
    <row r="7006" spans="1:52" ht="17.100000000000001" customHeight="1" thickTop="1">
      <c r="A7006" s="109" t="s">
        <v>20093</v>
      </c>
      <c r="B7006" s="28">
        <v>46093</v>
      </c>
      <c r="C7006" s="25">
        <v>2018</v>
      </c>
      <c r="D7006" s="13" t="s">
        <v>1825</v>
      </c>
      <c r="E7006" s="111"/>
      <c r="F7006" s="113" t="s">
        <v>20121</v>
      </c>
      <c r="G7006" s="114"/>
      <c r="H7006" s="115"/>
      <c r="I7006" s="24"/>
      <c r="J7006" s="116">
        <v>4.5</v>
      </c>
      <c r="K7006" s="118">
        <v>3980000</v>
      </c>
      <c r="L7006" s="119"/>
      <c r="M7006" s="118">
        <f t="shared" ref="M7006" si="9930">K7006*0.1</f>
        <v>398000</v>
      </c>
      <c r="N7006" s="119"/>
      <c r="O7006" s="118">
        <v>0</v>
      </c>
      <c r="P7006" s="119"/>
      <c r="Q7006" s="118">
        <v>15540</v>
      </c>
      <c r="R7006" s="119"/>
      <c r="S7006" s="118">
        <v>22000</v>
      </c>
      <c r="T7006" s="119"/>
      <c r="U7006" s="118">
        <f t="shared" ref="U7006" si="9931">SUM(K7006:T7007)</f>
        <v>4415540</v>
      </c>
      <c r="V7006" s="122"/>
      <c r="W7006" s="124"/>
      <c r="X7006" s="126" t="s">
        <v>20587</v>
      </c>
      <c r="Y7006" s="127"/>
      <c r="Z7006" s="127"/>
      <c r="AA7006" s="127"/>
      <c r="AB7006" s="128"/>
      <c r="AC7006" s="15" t="s">
        <v>20</v>
      </c>
      <c r="AD7006" s="129" t="s">
        <v>1732</v>
      </c>
      <c r="AE7006" s="130"/>
      <c r="AF7006" s="130"/>
      <c r="AG7006" s="130"/>
      <c r="AH7006" s="130"/>
      <c r="AI7006" s="131"/>
      <c r="AJ7006" s="132"/>
      <c r="AK7006" s="127"/>
      <c r="AL7006" s="128"/>
      <c r="AM7006" s="21"/>
      <c r="AN7006" s="133">
        <v>46113</v>
      </c>
      <c r="AO7006" s="134"/>
      <c r="AP7006" s="135">
        <v>1011</v>
      </c>
      <c r="AQ7006" s="136"/>
      <c r="AR7006" s="118">
        <v>4075000</v>
      </c>
      <c r="AS7006" s="119"/>
      <c r="AT7006" s="118">
        <f t="shared" ref="AT7006" si="9932">AR7006*0.1</f>
        <v>407500</v>
      </c>
      <c r="AU7006" s="119"/>
      <c r="AV7006" s="118">
        <v>15540</v>
      </c>
      <c r="AW7006" s="119"/>
      <c r="AX7006" s="118">
        <f t="shared" ref="AX7006" si="9933">SUM(AR7006:AW7006)</f>
        <v>4498040</v>
      </c>
      <c r="AY7006" s="119"/>
      <c r="AZ7006" s="137">
        <v>46118</v>
      </c>
    </row>
    <row r="7007" spans="1:52" ht="17.100000000000001" customHeight="1" thickBot="1">
      <c r="A7007" s="110"/>
      <c r="B7007" s="27" t="s">
        <v>18753</v>
      </c>
      <c r="C7007" s="27">
        <v>30053</v>
      </c>
      <c r="D7007" s="14" t="s">
        <v>275</v>
      </c>
      <c r="E7007" s="112"/>
      <c r="F7007" s="139" t="s">
        <v>20104</v>
      </c>
      <c r="G7007" s="140"/>
      <c r="H7007" s="141"/>
      <c r="I7007" s="26">
        <v>16497</v>
      </c>
      <c r="J7007" s="117"/>
      <c r="K7007" s="120"/>
      <c r="L7007" s="121"/>
      <c r="M7007" s="120"/>
      <c r="N7007" s="121"/>
      <c r="O7007" s="120"/>
      <c r="P7007" s="121"/>
      <c r="Q7007" s="120"/>
      <c r="R7007" s="121"/>
      <c r="S7007" s="120"/>
      <c r="T7007" s="121"/>
      <c r="U7007" s="120"/>
      <c r="V7007" s="123"/>
      <c r="W7007" s="125"/>
      <c r="X7007" s="142" t="s">
        <v>16946</v>
      </c>
      <c r="Y7007" s="143"/>
      <c r="Z7007" s="143"/>
      <c r="AA7007" s="143"/>
      <c r="AB7007" s="144"/>
      <c r="AC7007" s="16" t="s">
        <v>21</v>
      </c>
      <c r="AD7007" s="17" t="s">
        <v>20553</v>
      </c>
      <c r="AE7007" s="145" t="s">
        <v>20588</v>
      </c>
      <c r="AF7007" s="146"/>
      <c r="AG7007" s="146"/>
      <c r="AH7007" s="146"/>
      <c r="AI7007" s="147"/>
      <c r="AJ7007" s="148"/>
      <c r="AK7007" s="143"/>
      <c r="AL7007" s="144"/>
      <c r="AM7007" s="22"/>
      <c r="AN7007" s="149" t="s">
        <v>2794</v>
      </c>
      <c r="AO7007" s="144"/>
      <c r="AP7007" s="148">
        <v>6095</v>
      </c>
      <c r="AQ7007" s="144"/>
      <c r="AR7007" s="120"/>
      <c r="AS7007" s="121"/>
      <c r="AT7007" s="120"/>
      <c r="AU7007" s="121"/>
      <c r="AV7007" s="120"/>
      <c r="AW7007" s="121"/>
      <c r="AX7007" s="120"/>
      <c r="AY7007" s="121"/>
      <c r="AZ7007" s="138"/>
    </row>
    <row r="7008" spans="1:52" ht="17.100000000000001" customHeight="1" thickTop="1">
      <c r="A7008" s="109" t="s">
        <v>20094</v>
      </c>
      <c r="B7008" s="28">
        <v>46093</v>
      </c>
      <c r="C7008" s="25">
        <v>2018</v>
      </c>
      <c r="D7008" s="13" t="s">
        <v>1853</v>
      </c>
      <c r="E7008" s="111"/>
      <c r="F7008" s="113" t="s">
        <v>20118</v>
      </c>
      <c r="G7008" s="114"/>
      <c r="H7008" s="115"/>
      <c r="I7008" s="24" t="s">
        <v>4487</v>
      </c>
      <c r="J7008" s="116">
        <v>4</v>
      </c>
      <c r="K7008" s="118">
        <v>2638000</v>
      </c>
      <c r="L7008" s="119"/>
      <c r="M7008" s="118">
        <f t="shared" ref="M7008" si="9934">K7008*0.1</f>
        <v>263800</v>
      </c>
      <c r="N7008" s="119"/>
      <c r="O7008" s="118">
        <v>43500</v>
      </c>
      <c r="P7008" s="119"/>
      <c r="Q7008" s="118">
        <v>14900</v>
      </c>
      <c r="R7008" s="119"/>
      <c r="S7008" s="118">
        <v>22000</v>
      </c>
      <c r="T7008" s="119"/>
      <c r="U7008" s="118">
        <f t="shared" ref="U7008" si="9935">SUM(K7008:T7009)</f>
        <v>2982200</v>
      </c>
      <c r="V7008" s="122"/>
      <c r="W7008" s="124"/>
      <c r="X7008" s="126" t="s">
        <v>20119</v>
      </c>
      <c r="Y7008" s="127"/>
      <c r="Z7008" s="127"/>
      <c r="AA7008" s="127"/>
      <c r="AB7008" s="128"/>
      <c r="AC7008" s="15" t="s">
        <v>20</v>
      </c>
      <c r="AD7008" s="129" t="s">
        <v>20120</v>
      </c>
      <c r="AE7008" s="130"/>
      <c r="AF7008" s="130"/>
      <c r="AG7008" s="130"/>
      <c r="AH7008" s="130"/>
      <c r="AI7008" s="131"/>
      <c r="AJ7008" s="132"/>
      <c r="AK7008" s="127"/>
      <c r="AL7008" s="128"/>
      <c r="AM7008" s="21" t="s">
        <v>21210</v>
      </c>
      <c r="AN7008" s="133">
        <v>46116</v>
      </c>
      <c r="AO7008" s="134"/>
      <c r="AP7008" s="135">
        <v>1295</v>
      </c>
      <c r="AQ7008" s="136"/>
      <c r="AR7008" s="118">
        <v>2710000</v>
      </c>
      <c r="AS7008" s="119"/>
      <c r="AT7008" s="118">
        <f t="shared" ref="AT7008" si="9936">AR7008*0.1</f>
        <v>271000</v>
      </c>
      <c r="AU7008" s="119"/>
      <c r="AV7008" s="118">
        <v>14900</v>
      </c>
      <c r="AW7008" s="119"/>
      <c r="AX7008" s="118">
        <f t="shared" ref="AX7008" si="9937">SUM(AR7008:AW7008)</f>
        <v>2995900</v>
      </c>
      <c r="AY7008" s="119"/>
      <c r="AZ7008" s="137">
        <v>46119</v>
      </c>
    </row>
    <row r="7009" spans="1:52" ht="17.100000000000001" customHeight="1" thickBot="1">
      <c r="A7009" s="110"/>
      <c r="B7009" s="27" t="s">
        <v>18753</v>
      </c>
      <c r="C7009" s="27">
        <v>30078</v>
      </c>
      <c r="D7009" s="14" t="s">
        <v>2601</v>
      </c>
      <c r="E7009" s="112"/>
      <c r="F7009" s="139" t="s">
        <v>20105</v>
      </c>
      <c r="G7009" s="140"/>
      <c r="H7009" s="141"/>
      <c r="I7009" s="26">
        <v>65261</v>
      </c>
      <c r="J7009" s="117"/>
      <c r="K7009" s="120"/>
      <c r="L7009" s="121"/>
      <c r="M7009" s="120"/>
      <c r="N7009" s="121"/>
      <c r="O7009" s="120"/>
      <c r="P7009" s="121"/>
      <c r="Q7009" s="120"/>
      <c r="R7009" s="121"/>
      <c r="S7009" s="120"/>
      <c r="T7009" s="121"/>
      <c r="U7009" s="120"/>
      <c r="V7009" s="123"/>
      <c r="W7009" s="125"/>
      <c r="X7009" s="142" t="s">
        <v>4150</v>
      </c>
      <c r="Y7009" s="143"/>
      <c r="Z7009" s="143"/>
      <c r="AA7009" s="143"/>
      <c r="AB7009" s="144"/>
      <c r="AC7009" s="16" t="s">
        <v>21</v>
      </c>
      <c r="AD7009" s="17" t="s">
        <v>20553</v>
      </c>
      <c r="AE7009" s="145" t="s">
        <v>20585</v>
      </c>
      <c r="AF7009" s="146"/>
      <c r="AG7009" s="146"/>
      <c r="AH7009" s="146"/>
      <c r="AI7009" s="147"/>
      <c r="AJ7009" s="148"/>
      <c r="AK7009" s="143"/>
      <c r="AL7009" s="144"/>
      <c r="AM7009" s="22"/>
      <c r="AN7009" s="149" t="s">
        <v>2511</v>
      </c>
      <c r="AO7009" s="144"/>
      <c r="AP7009" s="148">
        <v>13298</v>
      </c>
      <c r="AQ7009" s="144"/>
      <c r="AR7009" s="120"/>
      <c r="AS7009" s="121"/>
      <c r="AT7009" s="120"/>
      <c r="AU7009" s="121"/>
      <c r="AV7009" s="120"/>
      <c r="AW7009" s="121"/>
      <c r="AX7009" s="120"/>
      <c r="AY7009" s="121"/>
      <c r="AZ7009" s="138"/>
    </row>
    <row r="7010" spans="1:52" ht="17.100000000000001" customHeight="1" thickTop="1">
      <c r="A7010" s="109" t="s">
        <v>20095</v>
      </c>
      <c r="B7010" s="28">
        <v>46093</v>
      </c>
      <c r="C7010" s="25">
        <v>2018</v>
      </c>
      <c r="D7010" s="13" t="s">
        <v>1953</v>
      </c>
      <c r="E7010" s="111"/>
      <c r="F7010" s="113" t="s">
        <v>13785</v>
      </c>
      <c r="G7010" s="114"/>
      <c r="H7010" s="115"/>
      <c r="I7010" s="24" t="s">
        <v>3923</v>
      </c>
      <c r="J7010" s="116">
        <v>4</v>
      </c>
      <c r="K7010" s="118">
        <v>2410000</v>
      </c>
      <c r="L7010" s="119"/>
      <c r="M7010" s="118">
        <f t="shared" ref="M7010" si="9938">K7010*0.1</f>
        <v>241000</v>
      </c>
      <c r="N7010" s="119"/>
      <c r="O7010" s="118">
        <v>45000</v>
      </c>
      <c r="P7010" s="119"/>
      <c r="Q7010" s="118">
        <v>16550</v>
      </c>
      <c r="R7010" s="119"/>
      <c r="S7010" s="118">
        <v>22000</v>
      </c>
      <c r="T7010" s="119"/>
      <c r="U7010" s="118">
        <f t="shared" ref="U7010" si="9939">SUM(K7010:T7011)</f>
        <v>2734550</v>
      </c>
      <c r="V7010" s="122"/>
      <c r="W7010" s="124"/>
      <c r="X7010" s="126" t="s">
        <v>20117</v>
      </c>
      <c r="Y7010" s="127"/>
      <c r="Z7010" s="127"/>
      <c r="AA7010" s="127"/>
      <c r="AB7010" s="128"/>
      <c r="AC7010" s="15" t="s">
        <v>20</v>
      </c>
      <c r="AD7010" s="129" t="s">
        <v>18853</v>
      </c>
      <c r="AE7010" s="130"/>
      <c r="AF7010" s="130"/>
      <c r="AG7010" s="130"/>
      <c r="AH7010" s="130"/>
      <c r="AI7010" s="131"/>
      <c r="AJ7010" s="132"/>
      <c r="AK7010" s="127"/>
      <c r="AL7010" s="128"/>
      <c r="AM7010" s="21"/>
      <c r="AN7010" s="133">
        <v>46106</v>
      </c>
      <c r="AO7010" s="134"/>
      <c r="AP7010" s="135">
        <v>1010</v>
      </c>
      <c r="AQ7010" s="136"/>
      <c r="AR7010" s="118">
        <v>2495000</v>
      </c>
      <c r="AS7010" s="119"/>
      <c r="AT7010" s="118">
        <f t="shared" ref="AT7010" si="9940">AR7010*0.1</f>
        <v>249500</v>
      </c>
      <c r="AU7010" s="119"/>
      <c r="AV7010" s="118">
        <v>16550</v>
      </c>
      <c r="AW7010" s="119"/>
      <c r="AX7010" s="118">
        <f t="shared" ref="AX7010" si="9941">SUM(AR7010:AW7010)</f>
        <v>2761050</v>
      </c>
      <c r="AY7010" s="119"/>
      <c r="AZ7010" s="137">
        <v>46111</v>
      </c>
    </row>
    <row r="7011" spans="1:52" ht="17.100000000000001" customHeight="1" thickBot="1">
      <c r="A7011" s="110"/>
      <c r="B7011" s="27" t="s">
        <v>18753</v>
      </c>
      <c r="C7011" s="27">
        <v>30103</v>
      </c>
      <c r="D7011" s="14" t="s">
        <v>2601</v>
      </c>
      <c r="E7011" s="112"/>
      <c r="F7011" s="139" t="s">
        <v>20106</v>
      </c>
      <c r="G7011" s="140"/>
      <c r="H7011" s="141"/>
      <c r="I7011" s="26">
        <v>44762</v>
      </c>
      <c r="J7011" s="117"/>
      <c r="K7011" s="120"/>
      <c r="L7011" s="121"/>
      <c r="M7011" s="120"/>
      <c r="N7011" s="121"/>
      <c r="O7011" s="120"/>
      <c r="P7011" s="121"/>
      <c r="Q7011" s="120"/>
      <c r="R7011" s="121"/>
      <c r="S7011" s="120"/>
      <c r="T7011" s="121"/>
      <c r="U7011" s="120"/>
      <c r="V7011" s="123"/>
      <c r="W7011" s="125"/>
      <c r="X7011" s="142" t="s">
        <v>16380</v>
      </c>
      <c r="Y7011" s="143"/>
      <c r="Z7011" s="143"/>
      <c r="AA7011" s="143"/>
      <c r="AB7011" s="144"/>
      <c r="AC7011" s="16" t="s">
        <v>21</v>
      </c>
      <c r="AD7011" s="17" t="s">
        <v>20553</v>
      </c>
      <c r="AE7011" s="145" t="s">
        <v>20586</v>
      </c>
      <c r="AF7011" s="146"/>
      <c r="AG7011" s="146"/>
      <c r="AH7011" s="146"/>
      <c r="AI7011" s="147"/>
      <c r="AJ7011" s="148"/>
      <c r="AK7011" s="143"/>
      <c r="AL7011" s="144"/>
      <c r="AM7011" s="22"/>
      <c r="AN7011" s="149" t="s">
        <v>2794</v>
      </c>
      <c r="AO7011" s="144"/>
      <c r="AP7011" s="148">
        <v>6059</v>
      </c>
      <c r="AQ7011" s="144"/>
      <c r="AR7011" s="120"/>
      <c r="AS7011" s="121"/>
      <c r="AT7011" s="120"/>
      <c r="AU7011" s="121"/>
      <c r="AV7011" s="120"/>
      <c r="AW7011" s="121"/>
      <c r="AX7011" s="120"/>
      <c r="AY7011" s="121"/>
      <c r="AZ7011" s="138"/>
    </row>
    <row r="7012" spans="1:52" ht="17.100000000000001" customHeight="1" thickTop="1">
      <c r="A7012" s="109" t="s">
        <v>20096</v>
      </c>
      <c r="B7012" s="28">
        <v>46093</v>
      </c>
      <c r="C7012" s="25">
        <v>2018</v>
      </c>
      <c r="D7012" s="13" t="s">
        <v>2014</v>
      </c>
      <c r="E7012" s="111"/>
      <c r="F7012" s="113" t="s">
        <v>14821</v>
      </c>
      <c r="G7012" s="114"/>
      <c r="H7012" s="115"/>
      <c r="I7012" s="24" t="s">
        <v>2956</v>
      </c>
      <c r="J7012" s="116">
        <v>4.5</v>
      </c>
      <c r="K7012" s="118">
        <v>2030000</v>
      </c>
      <c r="L7012" s="119"/>
      <c r="M7012" s="118">
        <f t="shared" ref="M7012" si="9942">K7012*0.1</f>
        <v>203000</v>
      </c>
      <c r="N7012" s="119"/>
      <c r="O7012" s="118">
        <v>30500</v>
      </c>
      <c r="P7012" s="119"/>
      <c r="Q7012" s="118">
        <v>11650</v>
      </c>
      <c r="R7012" s="119"/>
      <c r="S7012" s="118">
        <v>22000</v>
      </c>
      <c r="T7012" s="119"/>
      <c r="U7012" s="118">
        <f t="shared" ref="U7012" si="9943">SUM(K7012:T7013)</f>
        <v>2297150</v>
      </c>
      <c r="V7012" s="122"/>
      <c r="W7012" s="124"/>
      <c r="X7012" s="126" t="s">
        <v>20116</v>
      </c>
      <c r="Y7012" s="127"/>
      <c r="Z7012" s="127"/>
      <c r="AA7012" s="127"/>
      <c r="AB7012" s="128"/>
      <c r="AC7012" s="15" t="s">
        <v>20</v>
      </c>
      <c r="AD7012" s="129" t="s">
        <v>16502</v>
      </c>
      <c r="AE7012" s="130"/>
      <c r="AF7012" s="130"/>
      <c r="AG7012" s="130"/>
      <c r="AH7012" s="130"/>
      <c r="AI7012" s="131"/>
      <c r="AJ7012" s="132"/>
      <c r="AK7012" s="127"/>
      <c r="AL7012" s="128"/>
      <c r="AM7012" s="21"/>
      <c r="AN7012" s="133">
        <v>46102</v>
      </c>
      <c r="AO7012" s="134"/>
      <c r="AP7012" s="135">
        <v>1293</v>
      </c>
      <c r="AQ7012" s="136"/>
      <c r="AR7012" s="118">
        <v>2150000</v>
      </c>
      <c r="AS7012" s="119"/>
      <c r="AT7012" s="118">
        <f t="shared" ref="AT7012" si="9944">AR7012*0.1</f>
        <v>215000</v>
      </c>
      <c r="AU7012" s="119"/>
      <c r="AV7012" s="118">
        <v>11650</v>
      </c>
      <c r="AW7012" s="119"/>
      <c r="AX7012" s="118">
        <f t="shared" ref="AX7012" si="9945">SUM(AR7012:AW7012)</f>
        <v>2376650</v>
      </c>
      <c r="AY7012" s="119"/>
      <c r="AZ7012" s="137">
        <v>46107</v>
      </c>
    </row>
    <row r="7013" spans="1:52" ht="17.100000000000001" customHeight="1" thickBot="1">
      <c r="A7013" s="110"/>
      <c r="B7013" s="27" t="s">
        <v>18753</v>
      </c>
      <c r="C7013" s="27">
        <v>30201</v>
      </c>
      <c r="D7013" s="14" t="s">
        <v>2601</v>
      </c>
      <c r="E7013" s="112"/>
      <c r="F7013" s="139" t="s">
        <v>20107</v>
      </c>
      <c r="G7013" s="140"/>
      <c r="H7013" s="141"/>
      <c r="I7013" s="26">
        <v>18659</v>
      </c>
      <c r="J7013" s="117"/>
      <c r="K7013" s="120"/>
      <c r="L7013" s="121"/>
      <c r="M7013" s="120"/>
      <c r="N7013" s="121"/>
      <c r="O7013" s="120"/>
      <c r="P7013" s="121"/>
      <c r="Q7013" s="120"/>
      <c r="R7013" s="121"/>
      <c r="S7013" s="120"/>
      <c r="T7013" s="121"/>
      <c r="U7013" s="120"/>
      <c r="V7013" s="123"/>
      <c r="W7013" s="125"/>
      <c r="X7013" s="142" t="s">
        <v>2321</v>
      </c>
      <c r="Y7013" s="143"/>
      <c r="Z7013" s="143"/>
      <c r="AA7013" s="143"/>
      <c r="AB7013" s="144"/>
      <c r="AC7013" s="16" t="s">
        <v>21</v>
      </c>
      <c r="AD7013" s="17" t="s">
        <v>20491</v>
      </c>
      <c r="AE7013" s="145" t="s">
        <v>20530</v>
      </c>
      <c r="AF7013" s="146"/>
      <c r="AG7013" s="146"/>
      <c r="AH7013" s="146"/>
      <c r="AI7013" s="147"/>
      <c r="AJ7013" s="148"/>
      <c r="AK7013" s="143"/>
      <c r="AL7013" s="144"/>
      <c r="AM7013" s="22"/>
      <c r="AN7013" s="149" t="s">
        <v>2511</v>
      </c>
      <c r="AO7013" s="144"/>
      <c r="AP7013" s="148">
        <v>55081</v>
      </c>
      <c r="AQ7013" s="144"/>
      <c r="AR7013" s="120"/>
      <c r="AS7013" s="121"/>
      <c r="AT7013" s="120"/>
      <c r="AU7013" s="121"/>
      <c r="AV7013" s="120"/>
      <c r="AW7013" s="121"/>
      <c r="AX7013" s="120"/>
      <c r="AY7013" s="121"/>
      <c r="AZ7013" s="138"/>
    </row>
    <row r="7014" spans="1:52" ht="17.100000000000001" customHeight="1" thickTop="1">
      <c r="A7014" s="109" t="s">
        <v>20097</v>
      </c>
      <c r="B7014" s="28">
        <v>46093</v>
      </c>
      <c r="C7014" s="25">
        <v>2018</v>
      </c>
      <c r="D7014" s="13" t="s">
        <v>1906</v>
      </c>
      <c r="E7014" s="111"/>
      <c r="F7014" s="113" t="s">
        <v>20115</v>
      </c>
      <c r="G7014" s="114"/>
      <c r="H7014" s="115"/>
      <c r="I7014" s="24"/>
      <c r="J7014" s="116">
        <v>4.5</v>
      </c>
      <c r="K7014" s="118">
        <v>1572000</v>
      </c>
      <c r="L7014" s="119"/>
      <c r="M7014" s="118">
        <f t="shared" ref="M7014" si="9946">K7014*0.1</f>
        <v>157200</v>
      </c>
      <c r="N7014" s="119"/>
      <c r="O7014" s="118">
        <v>0</v>
      </c>
      <c r="P7014" s="119"/>
      <c r="Q7014" s="118">
        <v>8600</v>
      </c>
      <c r="R7014" s="119"/>
      <c r="S7014" s="118">
        <v>22000</v>
      </c>
      <c r="T7014" s="119"/>
      <c r="U7014" s="118">
        <f t="shared" ref="U7014" si="9947">SUM(K7014:T7015)</f>
        <v>1759800</v>
      </c>
      <c r="V7014" s="122"/>
      <c r="W7014" s="124"/>
      <c r="X7014" s="126" t="s">
        <v>20532</v>
      </c>
      <c r="Y7014" s="127"/>
      <c r="Z7014" s="127"/>
      <c r="AA7014" s="127"/>
      <c r="AB7014" s="128"/>
      <c r="AC7014" s="15" t="s">
        <v>20</v>
      </c>
      <c r="AD7014" s="129" t="s">
        <v>2781</v>
      </c>
      <c r="AE7014" s="130"/>
      <c r="AF7014" s="130"/>
      <c r="AG7014" s="130"/>
      <c r="AH7014" s="130"/>
      <c r="AI7014" s="131"/>
      <c r="AJ7014" s="132"/>
      <c r="AK7014" s="127"/>
      <c r="AL7014" s="128"/>
      <c r="AM7014" s="21"/>
      <c r="AN7014" s="133">
        <v>46108</v>
      </c>
      <c r="AO7014" s="134"/>
      <c r="AP7014" s="135"/>
      <c r="AQ7014" s="136"/>
      <c r="AR7014" s="118">
        <v>1720000</v>
      </c>
      <c r="AS7014" s="119"/>
      <c r="AT7014" s="118">
        <f t="shared" ref="AT7014" si="9948">AR7014*0.1</f>
        <v>172000</v>
      </c>
      <c r="AU7014" s="119"/>
      <c r="AV7014" s="118">
        <v>8600</v>
      </c>
      <c r="AW7014" s="119"/>
      <c r="AX7014" s="118">
        <f t="shared" ref="AX7014" si="9949">SUM(AR7014:AW7014)</f>
        <v>1900600</v>
      </c>
      <c r="AY7014" s="119"/>
      <c r="AZ7014" s="137"/>
    </row>
    <row r="7015" spans="1:52" ht="17.100000000000001" customHeight="1" thickBot="1">
      <c r="A7015" s="110"/>
      <c r="B7015" s="27" t="s">
        <v>18753</v>
      </c>
      <c r="C7015" s="27">
        <v>30220</v>
      </c>
      <c r="D7015" s="14" t="s">
        <v>2040</v>
      </c>
      <c r="E7015" s="112"/>
      <c r="F7015" s="139" t="s">
        <v>20108</v>
      </c>
      <c r="G7015" s="140"/>
      <c r="H7015" s="141"/>
      <c r="I7015" s="26">
        <v>19342</v>
      </c>
      <c r="J7015" s="117"/>
      <c r="K7015" s="120"/>
      <c r="L7015" s="121"/>
      <c r="M7015" s="120"/>
      <c r="N7015" s="121"/>
      <c r="O7015" s="120"/>
      <c r="P7015" s="121"/>
      <c r="Q7015" s="120"/>
      <c r="R7015" s="121"/>
      <c r="S7015" s="120"/>
      <c r="T7015" s="121"/>
      <c r="U7015" s="120"/>
      <c r="V7015" s="123"/>
      <c r="W7015" s="125"/>
      <c r="X7015" s="142" t="s">
        <v>13172</v>
      </c>
      <c r="Y7015" s="143"/>
      <c r="Z7015" s="143"/>
      <c r="AA7015" s="143"/>
      <c r="AB7015" s="144"/>
      <c r="AC7015" s="16" t="s">
        <v>21</v>
      </c>
      <c r="AD7015" s="17" t="s">
        <v>20491</v>
      </c>
      <c r="AE7015" s="145" t="s">
        <v>20533</v>
      </c>
      <c r="AF7015" s="146"/>
      <c r="AG7015" s="146"/>
      <c r="AH7015" s="146"/>
      <c r="AI7015" s="147"/>
      <c r="AJ7015" s="148"/>
      <c r="AK7015" s="143"/>
      <c r="AL7015" s="144"/>
      <c r="AM7015" s="22"/>
      <c r="AN7015" s="149" t="s">
        <v>6789</v>
      </c>
      <c r="AO7015" s="144"/>
      <c r="AP7015" s="148">
        <v>49684</v>
      </c>
      <c r="AQ7015" s="144"/>
      <c r="AR7015" s="120"/>
      <c r="AS7015" s="121"/>
      <c r="AT7015" s="120"/>
      <c r="AU7015" s="121"/>
      <c r="AV7015" s="120"/>
      <c r="AW7015" s="121"/>
      <c r="AX7015" s="120"/>
      <c r="AY7015" s="121"/>
      <c r="AZ7015" s="138"/>
    </row>
    <row r="7016" spans="1:52" ht="17.100000000000001" customHeight="1" thickTop="1">
      <c r="A7016" s="109" t="s">
        <v>20098</v>
      </c>
      <c r="B7016" s="28">
        <v>46093</v>
      </c>
      <c r="C7016" s="25">
        <v>2018</v>
      </c>
      <c r="D7016" s="13" t="s">
        <v>2363</v>
      </c>
      <c r="E7016" s="111"/>
      <c r="F7016" s="113" t="s">
        <v>12224</v>
      </c>
      <c r="G7016" s="114"/>
      <c r="H7016" s="115"/>
      <c r="I7016" s="24" t="s">
        <v>1559</v>
      </c>
      <c r="J7016" s="116">
        <v>6</v>
      </c>
      <c r="K7016" s="118">
        <v>1113000</v>
      </c>
      <c r="L7016" s="119"/>
      <c r="M7016" s="118">
        <f t="shared" ref="M7016" si="9950">K7016*0.1</f>
        <v>111300</v>
      </c>
      <c r="N7016" s="119"/>
      <c r="O7016" s="118">
        <v>0</v>
      </c>
      <c r="P7016" s="119"/>
      <c r="Q7016" s="118">
        <v>9150</v>
      </c>
      <c r="R7016" s="119"/>
      <c r="S7016" s="118">
        <v>22000</v>
      </c>
      <c r="T7016" s="119"/>
      <c r="U7016" s="118">
        <f t="shared" ref="U7016" si="9951">SUM(K7016:T7017)</f>
        <v>1255450</v>
      </c>
      <c r="V7016" s="122"/>
      <c r="W7016" s="124"/>
      <c r="X7016" s="126" t="s">
        <v>20125</v>
      </c>
      <c r="Y7016" s="127"/>
      <c r="Z7016" s="127"/>
      <c r="AA7016" s="127"/>
      <c r="AB7016" s="128"/>
      <c r="AC7016" s="15" t="s">
        <v>20</v>
      </c>
      <c r="AD7016" s="129" t="s">
        <v>4608</v>
      </c>
      <c r="AE7016" s="130"/>
      <c r="AF7016" s="130"/>
      <c r="AG7016" s="130"/>
      <c r="AH7016" s="130"/>
      <c r="AI7016" s="131"/>
      <c r="AJ7016" s="132"/>
      <c r="AK7016" s="127"/>
      <c r="AL7016" s="128"/>
      <c r="AM7016" s="21"/>
      <c r="AN7016" s="133">
        <v>46098</v>
      </c>
      <c r="AO7016" s="134"/>
      <c r="AP7016" s="135">
        <v>1933</v>
      </c>
      <c r="AQ7016" s="136"/>
      <c r="AR7016" s="118">
        <v>1215000</v>
      </c>
      <c r="AS7016" s="119"/>
      <c r="AT7016" s="118">
        <f t="shared" ref="AT7016" si="9952">AR7016*0.1</f>
        <v>121500</v>
      </c>
      <c r="AU7016" s="119"/>
      <c r="AV7016" s="118">
        <v>9150</v>
      </c>
      <c r="AW7016" s="119"/>
      <c r="AX7016" s="118">
        <f t="shared" ref="AX7016" si="9953">SUM(AR7016:AW7016)</f>
        <v>1345650</v>
      </c>
      <c r="AY7016" s="119"/>
      <c r="AZ7016" s="137">
        <v>46104</v>
      </c>
    </row>
    <row r="7017" spans="1:52" ht="17.100000000000001" customHeight="1" thickBot="1">
      <c r="A7017" s="110"/>
      <c r="B7017" s="27" t="s">
        <v>18753</v>
      </c>
      <c r="C7017" s="27">
        <v>50028</v>
      </c>
      <c r="D7017" s="14" t="s">
        <v>275</v>
      </c>
      <c r="E7017" s="112"/>
      <c r="F7017" s="139" t="s">
        <v>20109</v>
      </c>
      <c r="G7017" s="140"/>
      <c r="H7017" s="141"/>
      <c r="I7017" s="26">
        <v>1286</v>
      </c>
      <c r="J7017" s="117"/>
      <c r="K7017" s="120"/>
      <c r="L7017" s="121"/>
      <c r="M7017" s="120"/>
      <c r="N7017" s="121"/>
      <c r="O7017" s="120"/>
      <c r="P7017" s="121"/>
      <c r="Q7017" s="120"/>
      <c r="R7017" s="121"/>
      <c r="S7017" s="120"/>
      <c r="T7017" s="121"/>
      <c r="U7017" s="120"/>
      <c r="V7017" s="123"/>
      <c r="W7017" s="125"/>
      <c r="X7017" s="142" t="s">
        <v>20499</v>
      </c>
      <c r="Y7017" s="143"/>
      <c r="Z7017" s="143"/>
      <c r="AA7017" s="143"/>
      <c r="AB7017" s="144"/>
      <c r="AC7017" s="16" t="s">
        <v>21</v>
      </c>
      <c r="AD7017" s="17" t="s">
        <v>20491</v>
      </c>
      <c r="AE7017" s="145" t="s">
        <v>10527</v>
      </c>
      <c r="AF7017" s="146"/>
      <c r="AG7017" s="146"/>
      <c r="AH7017" s="146"/>
      <c r="AI7017" s="147"/>
      <c r="AJ7017" s="148"/>
      <c r="AK7017" s="143"/>
      <c r="AL7017" s="144"/>
      <c r="AM7017" s="22"/>
      <c r="AN7017" s="149" t="s">
        <v>7644</v>
      </c>
      <c r="AO7017" s="144"/>
      <c r="AP7017" s="148">
        <v>3173</v>
      </c>
      <c r="AQ7017" s="144"/>
      <c r="AR7017" s="120"/>
      <c r="AS7017" s="121"/>
      <c r="AT7017" s="120"/>
      <c r="AU7017" s="121"/>
      <c r="AV7017" s="120"/>
      <c r="AW7017" s="121"/>
      <c r="AX7017" s="120"/>
      <c r="AY7017" s="121"/>
      <c r="AZ7017" s="138"/>
    </row>
    <row r="7018" spans="1:52" ht="17.100000000000001" customHeight="1" thickTop="1">
      <c r="A7018" s="109" t="s">
        <v>20099</v>
      </c>
      <c r="B7018" s="28">
        <v>46093</v>
      </c>
      <c r="C7018" s="25">
        <v>2018</v>
      </c>
      <c r="D7018" s="13" t="s">
        <v>4121</v>
      </c>
      <c r="E7018" s="111"/>
      <c r="F7018" s="113" t="s">
        <v>20123</v>
      </c>
      <c r="G7018" s="114"/>
      <c r="H7018" s="115"/>
      <c r="I7018" s="24"/>
      <c r="J7018" s="116">
        <v>4</v>
      </c>
      <c r="K7018" s="118">
        <v>798000</v>
      </c>
      <c r="L7018" s="119"/>
      <c r="M7018" s="118">
        <f t="shared" ref="M7018" si="9954">K7018*0.1</f>
        <v>79800</v>
      </c>
      <c r="N7018" s="119"/>
      <c r="O7018" s="118">
        <v>0</v>
      </c>
      <c r="P7018" s="119"/>
      <c r="Q7018" s="118">
        <v>9310</v>
      </c>
      <c r="R7018" s="119"/>
      <c r="S7018" s="118">
        <v>22000</v>
      </c>
      <c r="T7018" s="119"/>
      <c r="U7018" s="118">
        <f t="shared" ref="U7018" si="9955">SUM(K7018:T7019)</f>
        <v>909110</v>
      </c>
      <c r="V7018" s="122"/>
      <c r="W7018" s="124"/>
      <c r="X7018" s="126" t="s">
        <v>20531</v>
      </c>
      <c r="Y7018" s="127"/>
      <c r="Z7018" s="127"/>
      <c r="AA7018" s="127"/>
      <c r="AB7018" s="128"/>
      <c r="AC7018" s="15" t="s">
        <v>20</v>
      </c>
      <c r="AD7018" s="129" t="s">
        <v>20124</v>
      </c>
      <c r="AE7018" s="130"/>
      <c r="AF7018" s="130"/>
      <c r="AG7018" s="130"/>
      <c r="AH7018" s="130"/>
      <c r="AI7018" s="131"/>
      <c r="AJ7018" s="132"/>
      <c r="AK7018" s="127"/>
      <c r="AL7018" s="128"/>
      <c r="AM7018" s="21"/>
      <c r="AN7018" s="133"/>
      <c r="AO7018" s="134"/>
      <c r="AP7018" s="135"/>
      <c r="AQ7018" s="136"/>
      <c r="AR7018" s="118"/>
      <c r="AS7018" s="119"/>
      <c r="AT7018" s="118">
        <f t="shared" ref="AT7018" si="9956">AR7018*0.1</f>
        <v>0</v>
      </c>
      <c r="AU7018" s="119"/>
      <c r="AV7018" s="118"/>
      <c r="AW7018" s="119"/>
      <c r="AX7018" s="118">
        <f t="shared" ref="AX7018" si="9957">SUM(AR7018:AW7018)</f>
        <v>0</v>
      </c>
      <c r="AY7018" s="119"/>
      <c r="AZ7018" s="137"/>
    </row>
    <row r="7019" spans="1:52" ht="17.100000000000001" customHeight="1" thickBot="1">
      <c r="A7019" s="110"/>
      <c r="B7019" s="27" t="s">
        <v>18753</v>
      </c>
      <c r="C7019" s="27">
        <v>50119</v>
      </c>
      <c r="D7019" s="14" t="s">
        <v>3855</v>
      </c>
      <c r="E7019" s="112"/>
      <c r="F7019" s="139" t="s">
        <v>20110</v>
      </c>
      <c r="G7019" s="140"/>
      <c r="H7019" s="141"/>
      <c r="I7019" s="26">
        <v>55794</v>
      </c>
      <c r="J7019" s="117"/>
      <c r="K7019" s="120"/>
      <c r="L7019" s="121"/>
      <c r="M7019" s="120"/>
      <c r="N7019" s="121"/>
      <c r="O7019" s="120"/>
      <c r="P7019" s="121"/>
      <c r="Q7019" s="120"/>
      <c r="R7019" s="121"/>
      <c r="S7019" s="120"/>
      <c r="T7019" s="121"/>
      <c r="U7019" s="120"/>
      <c r="V7019" s="123"/>
      <c r="W7019" s="125"/>
      <c r="X7019" s="142" t="s">
        <v>2918</v>
      </c>
      <c r="Y7019" s="143"/>
      <c r="Z7019" s="143"/>
      <c r="AA7019" s="143"/>
      <c r="AB7019" s="144"/>
      <c r="AC7019" s="16" t="s">
        <v>21</v>
      </c>
      <c r="AD7019" s="17" t="s">
        <v>20491</v>
      </c>
      <c r="AE7019" s="145" t="s">
        <v>4608</v>
      </c>
      <c r="AF7019" s="146"/>
      <c r="AG7019" s="146"/>
      <c r="AH7019" s="146"/>
      <c r="AI7019" s="147"/>
      <c r="AJ7019" s="148"/>
      <c r="AK7019" s="143"/>
      <c r="AL7019" s="144"/>
      <c r="AM7019" s="22"/>
      <c r="AN7019" s="149"/>
      <c r="AO7019" s="144"/>
      <c r="AP7019" s="148"/>
      <c r="AQ7019" s="144"/>
      <c r="AR7019" s="120"/>
      <c r="AS7019" s="121"/>
      <c r="AT7019" s="120"/>
      <c r="AU7019" s="121"/>
      <c r="AV7019" s="120"/>
      <c r="AW7019" s="121"/>
      <c r="AX7019" s="120"/>
      <c r="AY7019" s="121"/>
      <c r="AZ7019" s="138"/>
    </row>
    <row r="7020" spans="1:52" ht="17.100000000000001" customHeight="1" thickTop="1">
      <c r="A7020" s="109" t="s">
        <v>20100</v>
      </c>
      <c r="B7020" s="28">
        <v>46093</v>
      </c>
      <c r="C7020" s="25">
        <v>2018</v>
      </c>
      <c r="D7020" s="13" t="s">
        <v>2022</v>
      </c>
      <c r="E7020" s="111"/>
      <c r="F7020" s="113" t="s">
        <v>4145</v>
      </c>
      <c r="G7020" s="114"/>
      <c r="H7020" s="115"/>
      <c r="I7020" s="24"/>
      <c r="J7020" s="116">
        <v>4.5</v>
      </c>
      <c r="K7020" s="118">
        <v>647000</v>
      </c>
      <c r="L7020" s="119"/>
      <c r="M7020" s="118">
        <f t="shared" ref="M7020" si="9958">K7020*0.1</f>
        <v>64700</v>
      </c>
      <c r="N7020" s="119"/>
      <c r="O7020" s="118">
        <v>0</v>
      </c>
      <c r="P7020" s="119"/>
      <c r="Q7020" s="118">
        <v>8110</v>
      </c>
      <c r="R7020" s="119"/>
      <c r="S7020" s="118">
        <v>22000</v>
      </c>
      <c r="T7020" s="119"/>
      <c r="U7020" s="118">
        <f t="shared" ref="U7020" si="9959">SUM(K7020:T7021)</f>
        <v>741810</v>
      </c>
      <c r="V7020" s="122"/>
      <c r="W7020" s="124"/>
      <c r="X7020" s="126" t="s">
        <v>20529</v>
      </c>
      <c r="Y7020" s="127"/>
      <c r="Z7020" s="127"/>
      <c r="AA7020" s="127"/>
      <c r="AB7020" s="128"/>
      <c r="AC7020" s="15" t="s">
        <v>20</v>
      </c>
      <c r="AD7020" s="129" t="s">
        <v>1732</v>
      </c>
      <c r="AE7020" s="130"/>
      <c r="AF7020" s="130"/>
      <c r="AG7020" s="130"/>
      <c r="AH7020" s="130"/>
      <c r="AI7020" s="131"/>
      <c r="AJ7020" s="132"/>
      <c r="AK7020" s="127"/>
      <c r="AL7020" s="128"/>
      <c r="AM7020" s="21"/>
      <c r="AN7020" s="133">
        <v>46106</v>
      </c>
      <c r="AO7020" s="134"/>
      <c r="AP7020" s="135">
        <v>1010</v>
      </c>
      <c r="AQ7020" s="136"/>
      <c r="AR7020" s="118">
        <v>695000</v>
      </c>
      <c r="AS7020" s="119"/>
      <c r="AT7020" s="118">
        <f t="shared" ref="AT7020" si="9960">AR7020*0.1</f>
        <v>69500</v>
      </c>
      <c r="AU7020" s="119"/>
      <c r="AV7020" s="118">
        <v>8110</v>
      </c>
      <c r="AW7020" s="119"/>
      <c r="AX7020" s="118">
        <f t="shared" ref="AX7020" si="9961">SUM(AR7020:AW7020)</f>
        <v>772610</v>
      </c>
      <c r="AY7020" s="119"/>
      <c r="AZ7020" s="137">
        <v>46111</v>
      </c>
    </row>
    <row r="7021" spans="1:52" ht="17.100000000000001" customHeight="1" thickBot="1">
      <c r="A7021" s="110"/>
      <c r="B7021" s="27" t="s">
        <v>18753</v>
      </c>
      <c r="C7021" s="27">
        <v>50122</v>
      </c>
      <c r="D7021" s="14" t="s">
        <v>2836</v>
      </c>
      <c r="E7021" s="112"/>
      <c r="F7021" s="139" t="s">
        <v>20111</v>
      </c>
      <c r="G7021" s="140"/>
      <c r="H7021" s="141"/>
      <c r="I7021" s="26">
        <v>57751</v>
      </c>
      <c r="J7021" s="117"/>
      <c r="K7021" s="120"/>
      <c r="L7021" s="121"/>
      <c r="M7021" s="120"/>
      <c r="N7021" s="121"/>
      <c r="O7021" s="120"/>
      <c r="P7021" s="121"/>
      <c r="Q7021" s="120"/>
      <c r="R7021" s="121"/>
      <c r="S7021" s="120"/>
      <c r="T7021" s="121"/>
      <c r="U7021" s="120"/>
      <c r="V7021" s="123"/>
      <c r="W7021" s="125"/>
      <c r="X7021" s="142" t="s">
        <v>6904</v>
      </c>
      <c r="Y7021" s="143"/>
      <c r="Z7021" s="143"/>
      <c r="AA7021" s="143"/>
      <c r="AB7021" s="144"/>
      <c r="AC7021" s="16" t="s">
        <v>21</v>
      </c>
      <c r="AD7021" s="17" t="s">
        <v>20491</v>
      </c>
      <c r="AE7021" s="145" t="s">
        <v>20530</v>
      </c>
      <c r="AF7021" s="146"/>
      <c r="AG7021" s="146"/>
      <c r="AH7021" s="146"/>
      <c r="AI7021" s="147"/>
      <c r="AJ7021" s="148"/>
      <c r="AK7021" s="143"/>
      <c r="AL7021" s="144"/>
      <c r="AM7021" s="22"/>
      <c r="AN7021" s="149" t="s">
        <v>2794</v>
      </c>
      <c r="AO7021" s="144"/>
      <c r="AP7021" s="148">
        <v>2064</v>
      </c>
      <c r="AQ7021" s="144"/>
      <c r="AR7021" s="120"/>
      <c r="AS7021" s="121"/>
      <c r="AT7021" s="120"/>
      <c r="AU7021" s="121"/>
      <c r="AV7021" s="120"/>
      <c r="AW7021" s="121"/>
      <c r="AX7021" s="120"/>
      <c r="AY7021" s="121"/>
      <c r="AZ7021" s="138"/>
    </row>
    <row r="7022" spans="1:52" ht="17.100000000000001" customHeight="1" thickTop="1">
      <c r="A7022" s="109" t="s">
        <v>20101</v>
      </c>
      <c r="B7022" s="28">
        <v>46093</v>
      </c>
      <c r="C7022" s="25">
        <v>2018</v>
      </c>
      <c r="D7022" s="13" t="s">
        <v>2464</v>
      </c>
      <c r="E7022" s="111"/>
      <c r="F7022" s="113" t="s">
        <v>12224</v>
      </c>
      <c r="G7022" s="114"/>
      <c r="H7022" s="115"/>
      <c r="I7022" s="24"/>
      <c r="J7022" s="116">
        <v>4.5</v>
      </c>
      <c r="K7022" s="118">
        <v>1104000</v>
      </c>
      <c r="L7022" s="119"/>
      <c r="M7022" s="118">
        <f t="shared" ref="M7022" si="9962">K7022*0.1</f>
        <v>110400</v>
      </c>
      <c r="N7022" s="119"/>
      <c r="O7022" s="118">
        <v>0</v>
      </c>
      <c r="P7022" s="119"/>
      <c r="Q7022" s="118">
        <v>9150</v>
      </c>
      <c r="R7022" s="119"/>
      <c r="S7022" s="118">
        <v>22000</v>
      </c>
      <c r="T7022" s="119"/>
      <c r="U7022" s="118">
        <f t="shared" ref="U7022" si="9963">SUM(K7022:T7023)</f>
        <v>1245550</v>
      </c>
      <c r="V7022" s="122"/>
      <c r="W7022" s="124"/>
      <c r="X7022" s="126" t="s">
        <v>20552</v>
      </c>
      <c r="Y7022" s="127"/>
      <c r="Z7022" s="127"/>
      <c r="AA7022" s="127"/>
      <c r="AB7022" s="128"/>
      <c r="AC7022" s="15" t="s">
        <v>20</v>
      </c>
      <c r="AD7022" s="129" t="s">
        <v>1670</v>
      </c>
      <c r="AE7022" s="130"/>
      <c r="AF7022" s="130"/>
      <c r="AG7022" s="130"/>
      <c r="AH7022" s="130"/>
      <c r="AI7022" s="131"/>
      <c r="AJ7022" s="132"/>
      <c r="AK7022" s="127"/>
      <c r="AL7022" s="128"/>
      <c r="AM7022" s="21"/>
      <c r="AN7022" s="133">
        <v>46099</v>
      </c>
      <c r="AO7022" s="134"/>
      <c r="AP7022" s="135">
        <v>1009</v>
      </c>
      <c r="AQ7022" s="136"/>
      <c r="AR7022" s="118">
        <v>1150000</v>
      </c>
      <c r="AS7022" s="119"/>
      <c r="AT7022" s="118">
        <f t="shared" ref="AT7022" si="9964">AR7022*0.1</f>
        <v>115000</v>
      </c>
      <c r="AU7022" s="119"/>
      <c r="AV7022" s="118">
        <v>9150</v>
      </c>
      <c r="AW7022" s="119"/>
      <c r="AX7022" s="118">
        <f t="shared" ref="AX7022" si="9965">SUM(AR7022:AW7022)</f>
        <v>1274150</v>
      </c>
      <c r="AY7022" s="119"/>
      <c r="AZ7022" s="137">
        <v>46105</v>
      </c>
    </row>
    <row r="7023" spans="1:52" ht="17.100000000000001" customHeight="1" thickBot="1">
      <c r="A7023" s="110"/>
      <c r="B7023" s="27" t="s">
        <v>18753</v>
      </c>
      <c r="C7023" s="27">
        <v>50138</v>
      </c>
      <c r="D7023" s="14" t="s">
        <v>275</v>
      </c>
      <c r="E7023" s="112"/>
      <c r="F7023" s="139" t="s">
        <v>20112</v>
      </c>
      <c r="G7023" s="140"/>
      <c r="H7023" s="141"/>
      <c r="I7023" s="26">
        <v>7909</v>
      </c>
      <c r="J7023" s="117"/>
      <c r="K7023" s="120"/>
      <c r="L7023" s="121"/>
      <c r="M7023" s="120"/>
      <c r="N7023" s="121"/>
      <c r="O7023" s="120"/>
      <c r="P7023" s="121"/>
      <c r="Q7023" s="120"/>
      <c r="R7023" s="121"/>
      <c r="S7023" s="120"/>
      <c r="T7023" s="121"/>
      <c r="U7023" s="120"/>
      <c r="V7023" s="123"/>
      <c r="W7023" s="125"/>
      <c r="X7023" s="142" t="s">
        <v>7096</v>
      </c>
      <c r="Y7023" s="143"/>
      <c r="Z7023" s="143"/>
      <c r="AA7023" s="143"/>
      <c r="AB7023" s="144"/>
      <c r="AC7023" s="16" t="s">
        <v>21</v>
      </c>
      <c r="AD7023" s="17" t="s">
        <v>20553</v>
      </c>
      <c r="AE7023" s="145" t="s">
        <v>1633</v>
      </c>
      <c r="AF7023" s="146"/>
      <c r="AG7023" s="146"/>
      <c r="AH7023" s="146"/>
      <c r="AI7023" s="147"/>
      <c r="AJ7023" s="148"/>
      <c r="AK7023" s="143"/>
      <c r="AL7023" s="144"/>
      <c r="AM7023" s="22"/>
      <c r="AN7023" s="149" t="s">
        <v>2794</v>
      </c>
      <c r="AO7023" s="144"/>
      <c r="AP7023" s="148">
        <v>5107</v>
      </c>
      <c r="AQ7023" s="144"/>
      <c r="AR7023" s="120"/>
      <c r="AS7023" s="121"/>
      <c r="AT7023" s="120"/>
      <c r="AU7023" s="121"/>
      <c r="AV7023" s="120"/>
      <c r="AW7023" s="121"/>
      <c r="AX7023" s="120"/>
      <c r="AY7023" s="121"/>
      <c r="AZ7023" s="138"/>
    </row>
    <row r="7024" spans="1:52" ht="17.100000000000001" customHeight="1" thickTop="1">
      <c r="A7024" s="109" t="s">
        <v>20102</v>
      </c>
      <c r="B7024" s="28">
        <v>46093</v>
      </c>
      <c r="C7024" s="25">
        <v>2018</v>
      </c>
      <c r="D7024" s="13" t="s">
        <v>1853</v>
      </c>
      <c r="E7024" s="111"/>
      <c r="F7024" s="113" t="s">
        <v>4145</v>
      </c>
      <c r="G7024" s="114"/>
      <c r="H7024" s="115"/>
      <c r="I7024" s="24"/>
      <c r="J7024" s="116">
        <v>4</v>
      </c>
      <c r="K7024" s="118">
        <v>688000</v>
      </c>
      <c r="L7024" s="119"/>
      <c r="M7024" s="118">
        <f t="shared" ref="M7024" si="9966">K7024*0.1</f>
        <v>68800</v>
      </c>
      <c r="N7024" s="119"/>
      <c r="O7024" s="118">
        <v>0</v>
      </c>
      <c r="P7024" s="119"/>
      <c r="Q7024" s="118">
        <v>8110</v>
      </c>
      <c r="R7024" s="119"/>
      <c r="S7024" s="118">
        <v>22000</v>
      </c>
      <c r="T7024" s="119"/>
      <c r="U7024" s="118">
        <f t="shared" ref="U7024" si="9967">SUM(K7024:T7025)</f>
        <v>786910</v>
      </c>
      <c r="V7024" s="122"/>
      <c r="W7024" s="124"/>
      <c r="X7024" s="126" t="s">
        <v>20527</v>
      </c>
      <c r="Y7024" s="127"/>
      <c r="Z7024" s="127"/>
      <c r="AA7024" s="127"/>
      <c r="AB7024" s="128"/>
      <c r="AC7024" s="15" t="s">
        <v>20</v>
      </c>
      <c r="AD7024" s="129" t="s">
        <v>1565</v>
      </c>
      <c r="AE7024" s="130"/>
      <c r="AF7024" s="130"/>
      <c r="AG7024" s="130"/>
      <c r="AH7024" s="130"/>
      <c r="AI7024" s="131"/>
      <c r="AJ7024" s="132"/>
      <c r="AK7024" s="127"/>
      <c r="AL7024" s="128"/>
      <c r="AM7024" s="21"/>
      <c r="AN7024" s="133">
        <v>46113</v>
      </c>
      <c r="AO7024" s="134"/>
      <c r="AP7024" s="135">
        <v>1011</v>
      </c>
      <c r="AQ7024" s="136"/>
      <c r="AR7024" s="118">
        <v>720000</v>
      </c>
      <c r="AS7024" s="119"/>
      <c r="AT7024" s="118">
        <f t="shared" ref="AT7024" si="9968">AR7024*0.1</f>
        <v>72000</v>
      </c>
      <c r="AU7024" s="119"/>
      <c r="AV7024" s="118">
        <v>8110</v>
      </c>
      <c r="AW7024" s="119"/>
      <c r="AX7024" s="118">
        <f t="shared" ref="AX7024" si="9969">SUM(AR7024:AW7024)</f>
        <v>800110</v>
      </c>
      <c r="AY7024" s="119"/>
      <c r="AZ7024" s="137">
        <v>46118</v>
      </c>
    </row>
    <row r="7025" spans="1:52" ht="17.100000000000001" customHeight="1" thickBot="1">
      <c r="A7025" s="110"/>
      <c r="B7025" s="27" t="s">
        <v>18753</v>
      </c>
      <c r="C7025" s="27">
        <v>50140</v>
      </c>
      <c r="D7025" s="14" t="s">
        <v>1720</v>
      </c>
      <c r="E7025" s="112"/>
      <c r="F7025" s="139" t="s">
        <v>20113</v>
      </c>
      <c r="G7025" s="140"/>
      <c r="H7025" s="141"/>
      <c r="I7025" s="26">
        <v>43024</v>
      </c>
      <c r="J7025" s="117"/>
      <c r="K7025" s="120"/>
      <c r="L7025" s="121"/>
      <c r="M7025" s="120"/>
      <c r="N7025" s="121"/>
      <c r="O7025" s="120"/>
      <c r="P7025" s="121"/>
      <c r="Q7025" s="120"/>
      <c r="R7025" s="121"/>
      <c r="S7025" s="120"/>
      <c r="T7025" s="121"/>
      <c r="U7025" s="120"/>
      <c r="V7025" s="123"/>
      <c r="W7025" s="125"/>
      <c r="X7025" s="142" t="s">
        <v>3986</v>
      </c>
      <c r="Y7025" s="143"/>
      <c r="Z7025" s="143"/>
      <c r="AA7025" s="143"/>
      <c r="AB7025" s="144"/>
      <c r="AC7025" s="16" t="s">
        <v>21</v>
      </c>
      <c r="AD7025" s="17" t="s">
        <v>20491</v>
      </c>
      <c r="AE7025" s="145" t="s">
        <v>20528</v>
      </c>
      <c r="AF7025" s="146"/>
      <c r="AG7025" s="146"/>
      <c r="AH7025" s="146"/>
      <c r="AI7025" s="147"/>
      <c r="AJ7025" s="148"/>
      <c r="AK7025" s="143"/>
      <c r="AL7025" s="144"/>
      <c r="AM7025" s="22"/>
      <c r="AN7025" s="149" t="s">
        <v>2794</v>
      </c>
      <c r="AO7025" s="144"/>
      <c r="AP7025" s="148">
        <v>2052</v>
      </c>
      <c r="AQ7025" s="144"/>
      <c r="AR7025" s="120"/>
      <c r="AS7025" s="121"/>
      <c r="AT7025" s="120"/>
      <c r="AU7025" s="121"/>
      <c r="AV7025" s="120"/>
      <c r="AW7025" s="121"/>
      <c r="AX7025" s="120"/>
      <c r="AY7025" s="121"/>
      <c r="AZ7025" s="138"/>
    </row>
    <row r="7026" spans="1:52" ht="17.100000000000001" customHeight="1" thickTop="1">
      <c r="A7026" s="109" t="s">
        <v>20103</v>
      </c>
      <c r="B7026" s="28">
        <v>46093</v>
      </c>
      <c r="C7026" s="25">
        <v>2018</v>
      </c>
      <c r="D7026" s="13" t="s">
        <v>2226</v>
      </c>
      <c r="E7026" s="111"/>
      <c r="F7026" s="113" t="s">
        <v>6997</v>
      </c>
      <c r="G7026" s="114"/>
      <c r="H7026" s="115"/>
      <c r="I7026" s="24" t="s">
        <v>2956</v>
      </c>
      <c r="J7026" s="116">
        <v>4</v>
      </c>
      <c r="K7026" s="118">
        <v>1414000</v>
      </c>
      <c r="L7026" s="119"/>
      <c r="M7026" s="118">
        <f t="shared" ref="M7026" si="9970">K7026*0.1</f>
        <v>141400</v>
      </c>
      <c r="N7026" s="119"/>
      <c r="O7026" s="118">
        <v>0</v>
      </c>
      <c r="P7026" s="119"/>
      <c r="Q7026" s="118">
        <v>11100</v>
      </c>
      <c r="R7026" s="119"/>
      <c r="S7026" s="118">
        <v>22000</v>
      </c>
      <c r="T7026" s="119"/>
      <c r="U7026" s="118">
        <f t="shared" ref="U7026" si="9971">SUM(K7026:T7027)</f>
        <v>1588500</v>
      </c>
      <c r="V7026" s="122"/>
      <c r="W7026" s="124"/>
      <c r="X7026" s="126" t="s">
        <v>20122</v>
      </c>
      <c r="Y7026" s="127"/>
      <c r="Z7026" s="127"/>
      <c r="AA7026" s="127"/>
      <c r="AB7026" s="128"/>
      <c r="AC7026" s="15" t="s">
        <v>20</v>
      </c>
      <c r="AD7026" s="129" t="s">
        <v>16502</v>
      </c>
      <c r="AE7026" s="130"/>
      <c r="AF7026" s="130"/>
      <c r="AG7026" s="130"/>
      <c r="AH7026" s="130"/>
      <c r="AI7026" s="131"/>
      <c r="AJ7026" s="132"/>
      <c r="AK7026" s="127"/>
      <c r="AL7026" s="128"/>
      <c r="AM7026" s="21" t="s">
        <v>20550</v>
      </c>
      <c r="AN7026" s="133">
        <v>46099</v>
      </c>
      <c r="AO7026" s="134"/>
      <c r="AP7026" s="135">
        <v>1009</v>
      </c>
      <c r="AQ7026" s="136"/>
      <c r="AR7026" s="118">
        <v>1515000</v>
      </c>
      <c r="AS7026" s="119"/>
      <c r="AT7026" s="118">
        <f t="shared" ref="AT7026" si="9972">AR7026*0.1</f>
        <v>151500</v>
      </c>
      <c r="AU7026" s="119"/>
      <c r="AV7026" s="118">
        <v>11100</v>
      </c>
      <c r="AW7026" s="119"/>
      <c r="AX7026" s="118">
        <f t="shared" ref="AX7026" si="9973">SUM(AR7026:AW7026)</f>
        <v>1677600</v>
      </c>
      <c r="AY7026" s="119"/>
      <c r="AZ7026" s="137">
        <v>46105</v>
      </c>
    </row>
    <row r="7027" spans="1:52" ht="17.100000000000001" customHeight="1" thickBot="1">
      <c r="A7027" s="110"/>
      <c r="B7027" s="27" t="s">
        <v>18753</v>
      </c>
      <c r="C7027" s="27">
        <v>50176</v>
      </c>
      <c r="D7027" s="14" t="s">
        <v>275</v>
      </c>
      <c r="E7027" s="112"/>
      <c r="F7027" s="139" t="s">
        <v>20114</v>
      </c>
      <c r="G7027" s="140"/>
      <c r="H7027" s="141"/>
      <c r="I7027" s="26">
        <v>11867</v>
      </c>
      <c r="J7027" s="117"/>
      <c r="K7027" s="120"/>
      <c r="L7027" s="121"/>
      <c r="M7027" s="120"/>
      <c r="N7027" s="121"/>
      <c r="O7027" s="120"/>
      <c r="P7027" s="121"/>
      <c r="Q7027" s="120"/>
      <c r="R7027" s="121"/>
      <c r="S7027" s="120"/>
      <c r="T7027" s="121"/>
      <c r="U7027" s="120"/>
      <c r="V7027" s="123"/>
      <c r="W7027" s="125"/>
      <c r="X7027" s="142" t="s">
        <v>2321</v>
      </c>
      <c r="Y7027" s="143"/>
      <c r="Z7027" s="143"/>
      <c r="AA7027" s="143"/>
      <c r="AB7027" s="144"/>
      <c r="AC7027" s="16" t="s">
        <v>21</v>
      </c>
      <c r="AD7027" s="17" t="s">
        <v>20491</v>
      </c>
      <c r="AE7027" s="145" t="s">
        <v>12689</v>
      </c>
      <c r="AF7027" s="146"/>
      <c r="AG7027" s="146"/>
      <c r="AH7027" s="146"/>
      <c r="AI7027" s="147"/>
      <c r="AJ7027" s="148"/>
      <c r="AK7027" s="143"/>
      <c r="AL7027" s="144"/>
      <c r="AM7027" s="22"/>
      <c r="AN7027" s="149" t="s">
        <v>2794</v>
      </c>
      <c r="AO7027" s="144"/>
      <c r="AP7027" s="148">
        <v>5100</v>
      </c>
      <c r="AQ7027" s="144"/>
      <c r="AR7027" s="120"/>
      <c r="AS7027" s="121"/>
      <c r="AT7027" s="120"/>
      <c r="AU7027" s="121"/>
      <c r="AV7027" s="120"/>
      <c r="AW7027" s="121"/>
      <c r="AX7027" s="120"/>
      <c r="AY7027" s="121"/>
      <c r="AZ7027" s="138"/>
    </row>
    <row r="7028" spans="1:52" ht="17.100000000000001" customHeight="1" thickTop="1">
      <c r="A7028" s="109" t="s">
        <v>20128</v>
      </c>
      <c r="B7028" s="28">
        <v>46094</v>
      </c>
      <c r="C7028" s="25">
        <v>1782</v>
      </c>
      <c r="D7028" s="13" t="s">
        <v>1795</v>
      </c>
      <c r="E7028" s="111"/>
      <c r="F7028" s="113" t="s">
        <v>20126</v>
      </c>
      <c r="G7028" s="114"/>
      <c r="H7028" s="115"/>
      <c r="I7028" s="24"/>
      <c r="J7028" s="116">
        <v>4.5</v>
      </c>
      <c r="K7028" s="118">
        <v>4140000</v>
      </c>
      <c r="L7028" s="119"/>
      <c r="M7028" s="118">
        <f t="shared" ref="M7028" si="9974">K7028*0.1</f>
        <v>414000</v>
      </c>
      <c r="N7028" s="119"/>
      <c r="O7028" s="118">
        <v>0</v>
      </c>
      <c r="P7028" s="119"/>
      <c r="Q7028" s="118">
        <v>17640</v>
      </c>
      <c r="R7028" s="119"/>
      <c r="S7028" s="118">
        <v>17600</v>
      </c>
      <c r="T7028" s="119"/>
      <c r="U7028" s="118">
        <f t="shared" ref="U7028" si="9975">SUM(K7028:T7029)</f>
        <v>4589240</v>
      </c>
      <c r="V7028" s="122"/>
      <c r="W7028" s="124"/>
      <c r="X7028" s="126" t="s">
        <v>20509</v>
      </c>
      <c r="Y7028" s="127"/>
      <c r="Z7028" s="127"/>
      <c r="AA7028" s="127"/>
      <c r="AB7028" s="128"/>
      <c r="AC7028" s="15" t="s">
        <v>20</v>
      </c>
      <c r="AD7028" s="129" t="s">
        <v>1633</v>
      </c>
      <c r="AE7028" s="130"/>
      <c r="AF7028" s="130"/>
      <c r="AG7028" s="130"/>
      <c r="AH7028" s="130"/>
      <c r="AI7028" s="131"/>
      <c r="AJ7028" s="132"/>
      <c r="AK7028" s="127"/>
      <c r="AL7028" s="128"/>
      <c r="AM7028" s="21"/>
      <c r="AN7028" s="133">
        <v>46134</v>
      </c>
      <c r="AO7028" s="134"/>
      <c r="AP7028" s="135">
        <v>1014</v>
      </c>
      <c r="AQ7028" s="136"/>
      <c r="AR7028" s="118">
        <v>4275000</v>
      </c>
      <c r="AS7028" s="119"/>
      <c r="AT7028" s="118">
        <f t="shared" ref="AT7028" si="9976">AR7028*0.1</f>
        <v>427500</v>
      </c>
      <c r="AU7028" s="119"/>
      <c r="AV7028" s="118">
        <v>17640</v>
      </c>
      <c r="AW7028" s="119"/>
      <c r="AX7028" s="118">
        <f t="shared" ref="AX7028" si="9977">SUM(AR7028:AW7028)</f>
        <v>4720140</v>
      </c>
      <c r="AY7028" s="119"/>
      <c r="AZ7028" s="137">
        <v>46139</v>
      </c>
    </row>
    <row r="7029" spans="1:52" ht="17.100000000000001" customHeight="1" thickBot="1">
      <c r="A7029" s="110"/>
      <c r="B7029" s="27" t="s">
        <v>2492</v>
      </c>
      <c r="C7029" s="27">
        <v>5042</v>
      </c>
      <c r="D7029" s="14" t="s">
        <v>1592</v>
      </c>
      <c r="E7029" s="112"/>
      <c r="F7029" s="139" t="s">
        <v>20127</v>
      </c>
      <c r="G7029" s="140"/>
      <c r="H7029" s="141"/>
      <c r="I7029" s="26">
        <v>30293</v>
      </c>
      <c r="J7029" s="117"/>
      <c r="K7029" s="120"/>
      <c r="L7029" s="121"/>
      <c r="M7029" s="120"/>
      <c r="N7029" s="121"/>
      <c r="O7029" s="120"/>
      <c r="P7029" s="121"/>
      <c r="Q7029" s="120"/>
      <c r="R7029" s="121"/>
      <c r="S7029" s="120"/>
      <c r="T7029" s="121"/>
      <c r="U7029" s="120"/>
      <c r="V7029" s="123"/>
      <c r="W7029" s="125"/>
      <c r="X7029" s="142" t="s">
        <v>20510</v>
      </c>
      <c r="Y7029" s="143"/>
      <c r="Z7029" s="143"/>
      <c r="AA7029" s="143"/>
      <c r="AB7029" s="144"/>
      <c r="AC7029" s="16" t="s">
        <v>21</v>
      </c>
      <c r="AD7029" s="17" t="s">
        <v>20491</v>
      </c>
      <c r="AE7029" s="145" t="s">
        <v>1742</v>
      </c>
      <c r="AF7029" s="146"/>
      <c r="AG7029" s="146"/>
      <c r="AH7029" s="146"/>
      <c r="AI7029" s="147"/>
      <c r="AJ7029" s="148"/>
      <c r="AK7029" s="143"/>
      <c r="AL7029" s="144"/>
      <c r="AM7029" s="22"/>
      <c r="AN7029" s="149" t="s">
        <v>9053</v>
      </c>
      <c r="AO7029" s="144"/>
      <c r="AP7029" s="148">
        <v>6028</v>
      </c>
      <c r="AQ7029" s="144"/>
      <c r="AR7029" s="120"/>
      <c r="AS7029" s="121"/>
      <c r="AT7029" s="120"/>
      <c r="AU7029" s="121"/>
      <c r="AV7029" s="120"/>
      <c r="AW7029" s="121"/>
      <c r="AX7029" s="120"/>
      <c r="AY7029" s="121"/>
      <c r="AZ7029" s="138"/>
    </row>
    <row r="7030" spans="1:52" ht="17.100000000000001" customHeight="1" thickTop="1">
      <c r="A7030" s="109" t="s">
        <v>20129</v>
      </c>
      <c r="B7030" s="28">
        <v>46094</v>
      </c>
      <c r="C7030" s="25">
        <v>1197</v>
      </c>
      <c r="D7030" s="13" t="s">
        <v>1714</v>
      </c>
      <c r="E7030" s="111"/>
      <c r="F7030" s="113" t="s">
        <v>20136</v>
      </c>
      <c r="G7030" s="114"/>
      <c r="H7030" s="115"/>
      <c r="I7030" s="24"/>
      <c r="J7030" s="116">
        <v>4.5</v>
      </c>
      <c r="K7030" s="118">
        <v>1995000</v>
      </c>
      <c r="L7030" s="119"/>
      <c r="M7030" s="118">
        <f t="shared" ref="M7030" si="9978">K7030*0.1</f>
        <v>199500</v>
      </c>
      <c r="N7030" s="119"/>
      <c r="O7030" s="118">
        <v>0</v>
      </c>
      <c r="P7030" s="119"/>
      <c r="Q7030" s="118">
        <v>21720</v>
      </c>
      <c r="R7030" s="119"/>
      <c r="S7030" s="118">
        <v>16500</v>
      </c>
      <c r="T7030" s="119"/>
      <c r="U7030" s="118">
        <f t="shared" ref="U7030" si="9979">SUM(K7030:T7031)</f>
        <v>2232720</v>
      </c>
      <c r="V7030" s="122"/>
      <c r="W7030" s="124"/>
      <c r="X7030" s="126" t="s">
        <v>20566</v>
      </c>
      <c r="Y7030" s="127"/>
      <c r="Z7030" s="127"/>
      <c r="AA7030" s="127"/>
      <c r="AB7030" s="128"/>
      <c r="AC7030" s="15" t="s">
        <v>20</v>
      </c>
      <c r="AD7030" s="129" t="s">
        <v>1690</v>
      </c>
      <c r="AE7030" s="130"/>
      <c r="AF7030" s="130"/>
      <c r="AG7030" s="130"/>
      <c r="AH7030" s="130"/>
      <c r="AI7030" s="131"/>
      <c r="AJ7030" s="132"/>
      <c r="AK7030" s="127"/>
      <c r="AL7030" s="128"/>
      <c r="AM7030" s="21"/>
      <c r="AN7030" s="133"/>
      <c r="AO7030" s="134"/>
      <c r="AP7030" s="135"/>
      <c r="AQ7030" s="136"/>
      <c r="AR7030" s="118"/>
      <c r="AS7030" s="119"/>
      <c r="AT7030" s="118">
        <f t="shared" ref="AT7030" si="9980">AR7030*0.1</f>
        <v>0</v>
      </c>
      <c r="AU7030" s="119"/>
      <c r="AV7030" s="118"/>
      <c r="AW7030" s="119"/>
      <c r="AX7030" s="118">
        <f t="shared" ref="AX7030" si="9981">SUM(AR7030:AW7030)</f>
        <v>0</v>
      </c>
      <c r="AY7030" s="119"/>
      <c r="AZ7030" s="137"/>
    </row>
    <row r="7031" spans="1:52" ht="17.100000000000001" customHeight="1" thickBot="1">
      <c r="A7031" s="110"/>
      <c r="B7031" s="27" t="s">
        <v>1828</v>
      </c>
      <c r="C7031" s="27">
        <v>88067</v>
      </c>
      <c r="D7031" s="14" t="s">
        <v>275</v>
      </c>
      <c r="E7031" s="112"/>
      <c r="F7031" s="139" t="s">
        <v>20137</v>
      </c>
      <c r="G7031" s="140"/>
      <c r="H7031" s="141"/>
      <c r="I7031" s="26">
        <v>67790</v>
      </c>
      <c r="J7031" s="117"/>
      <c r="K7031" s="120"/>
      <c r="L7031" s="121"/>
      <c r="M7031" s="120"/>
      <c r="N7031" s="121"/>
      <c r="O7031" s="120"/>
      <c r="P7031" s="121"/>
      <c r="Q7031" s="120"/>
      <c r="R7031" s="121"/>
      <c r="S7031" s="120"/>
      <c r="T7031" s="121"/>
      <c r="U7031" s="120"/>
      <c r="V7031" s="123"/>
      <c r="W7031" s="125"/>
      <c r="X7031" s="142" t="s">
        <v>4796</v>
      </c>
      <c r="Y7031" s="143"/>
      <c r="Z7031" s="143"/>
      <c r="AA7031" s="143"/>
      <c r="AB7031" s="144"/>
      <c r="AC7031" s="16" t="s">
        <v>21</v>
      </c>
      <c r="AD7031" s="17" t="s">
        <v>20553</v>
      </c>
      <c r="AE7031" s="145" t="s">
        <v>20567</v>
      </c>
      <c r="AF7031" s="146"/>
      <c r="AG7031" s="146"/>
      <c r="AH7031" s="146"/>
      <c r="AI7031" s="147"/>
      <c r="AJ7031" s="148"/>
      <c r="AK7031" s="143"/>
      <c r="AL7031" s="144"/>
      <c r="AM7031" s="22"/>
      <c r="AN7031" s="149"/>
      <c r="AO7031" s="144"/>
      <c r="AP7031" s="148"/>
      <c r="AQ7031" s="144"/>
      <c r="AR7031" s="120"/>
      <c r="AS7031" s="121"/>
      <c r="AT7031" s="120"/>
      <c r="AU7031" s="121"/>
      <c r="AV7031" s="120"/>
      <c r="AW7031" s="121"/>
      <c r="AX7031" s="120"/>
      <c r="AY7031" s="121"/>
      <c r="AZ7031" s="138"/>
    </row>
    <row r="7032" spans="1:52" ht="17.100000000000001" customHeight="1" thickTop="1">
      <c r="A7032" s="109" t="s">
        <v>20130</v>
      </c>
      <c r="B7032" s="28">
        <v>46094</v>
      </c>
      <c r="C7032" s="25">
        <v>1197</v>
      </c>
      <c r="D7032" s="13" t="s">
        <v>1786</v>
      </c>
      <c r="E7032" s="111"/>
      <c r="F7032" s="113" t="s">
        <v>7513</v>
      </c>
      <c r="G7032" s="114"/>
      <c r="H7032" s="115"/>
      <c r="I7032" s="24"/>
      <c r="J7032" s="116">
        <v>4.5</v>
      </c>
      <c r="K7032" s="118">
        <v>1770000</v>
      </c>
      <c r="L7032" s="119"/>
      <c r="M7032" s="118">
        <f t="shared" ref="M7032" si="9982">K7032*0.1</f>
        <v>177000</v>
      </c>
      <c r="N7032" s="119"/>
      <c r="O7032" s="118">
        <v>0</v>
      </c>
      <c r="P7032" s="119"/>
      <c r="Q7032" s="118">
        <v>16580</v>
      </c>
      <c r="R7032" s="119"/>
      <c r="S7032" s="118">
        <v>16500</v>
      </c>
      <c r="T7032" s="119"/>
      <c r="U7032" s="118">
        <f t="shared" ref="U7032" si="9983">SUM(K7032:T7033)</f>
        <v>1980080</v>
      </c>
      <c r="V7032" s="122"/>
      <c r="W7032" s="124"/>
      <c r="X7032" s="126" t="s">
        <v>20568</v>
      </c>
      <c r="Y7032" s="127"/>
      <c r="Z7032" s="127"/>
      <c r="AA7032" s="127"/>
      <c r="AB7032" s="128"/>
      <c r="AC7032" s="15" t="s">
        <v>20</v>
      </c>
      <c r="AD7032" s="129" t="s">
        <v>1670</v>
      </c>
      <c r="AE7032" s="130"/>
      <c r="AF7032" s="130"/>
      <c r="AG7032" s="130"/>
      <c r="AH7032" s="130"/>
      <c r="AI7032" s="131"/>
      <c r="AJ7032" s="132"/>
      <c r="AK7032" s="127"/>
      <c r="AL7032" s="128"/>
      <c r="AM7032" s="21"/>
      <c r="AN7032" s="133">
        <v>46106</v>
      </c>
      <c r="AO7032" s="134"/>
      <c r="AP7032" s="135">
        <v>1010</v>
      </c>
      <c r="AQ7032" s="136"/>
      <c r="AR7032" s="118">
        <v>1860000</v>
      </c>
      <c r="AS7032" s="119"/>
      <c r="AT7032" s="118">
        <f t="shared" ref="AT7032" si="9984">AR7032*0.1</f>
        <v>186000</v>
      </c>
      <c r="AU7032" s="119"/>
      <c r="AV7032" s="118">
        <v>16580</v>
      </c>
      <c r="AW7032" s="119"/>
      <c r="AX7032" s="118">
        <f t="shared" ref="AX7032" si="9985">SUM(AR7032:AW7032)</f>
        <v>2062580</v>
      </c>
      <c r="AY7032" s="119"/>
      <c r="AZ7032" s="137">
        <v>46111</v>
      </c>
    </row>
    <row r="7033" spans="1:52" ht="17.100000000000001" customHeight="1" thickBot="1">
      <c r="A7033" s="110"/>
      <c r="B7033" s="27" t="s">
        <v>1828</v>
      </c>
      <c r="C7033" s="27">
        <v>88125</v>
      </c>
      <c r="D7033" s="14" t="s">
        <v>2800</v>
      </c>
      <c r="E7033" s="112"/>
      <c r="F7033" s="139" t="s">
        <v>20135</v>
      </c>
      <c r="G7033" s="140"/>
      <c r="H7033" s="141"/>
      <c r="I7033" s="26">
        <v>20402</v>
      </c>
      <c r="J7033" s="117"/>
      <c r="K7033" s="120"/>
      <c r="L7033" s="121"/>
      <c r="M7033" s="120"/>
      <c r="N7033" s="121"/>
      <c r="O7033" s="120"/>
      <c r="P7033" s="121"/>
      <c r="Q7033" s="120"/>
      <c r="R7033" s="121"/>
      <c r="S7033" s="120"/>
      <c r="T7033" s="121"/>
      <c r="U7033" s="120"/>
      <c r="V7033" s="123"/>
      <c r="W7033" s="125"/>
      <c r="X7033" s="142" t="s">
        <v>20569</v>
      </c>
      <c r="Y7033" s="143"/>
      <c r="Z7033" s="143"/>
      <c r="AA7033" s="143"/>
      <c r="AB7033" s="144"/>
      <c r="AC7033" s="16" t="s">
        <v>21</v>
      </c>
      <c r="AD7033" s="17" t="s">
        <v>20553</v>
      </c>
      <c r="AE7033" s="145" t="s">
        <v>1742</v>
      </c>
      <c r="AF7033" s="146"/>
      <c r="AG7033" s="146"/>
      <c r="AH7033" s="146"/>
      <c r="AI7033" s="147"/>
      <c r="AJ7033" s="148"/>
      <c r="AK7033" s="143"/>
      <c r="AL7033" s="144"/>
      <c r="AM7033" s="22"/>
      <c r="AN7033" s="149" t="s">
        <v>2794</v>
      </c>
      <c r="AO7033" s="144"/>
      <c r="AP7033" s="148">
        <v>5057</v>
      </c>
      <c r="AQ7033" s="144"/>
      <c r="AR7033" s="120"/>
      <c r="AS7033" s="121"/>
      <c r="AT7033" s="120"/>
      <c r="AU7033" s="121"/>
      <c r="AV7033" s="120"/>
      <c r="AW7033" s="121"/>
      <c r="AX7033" s="120"/>
      <c r="AY7033" s="121"/>
      <c r="AZ7033" s="138"/>
    </row>
    <row r="7034" spans="1:52" ht="17.100000000000001" customHeight="1" thickTop="1">
      <c r="A7034" s="109" t="s">
        <v>20131</v>
      </c>
      <c r="B7034" s="28">
        <v>46094</v>
      </c>
      <c r="C7034" s="25">
        <v>2126</v>
      </c>
      <c r="D7034" s="13" t="s">
        <v>2196</v>
      </c>
      <c r="E7034" s="111"/>
      <c r="F7034" s="113" t="s">
        <v>2703</v>
      </c>
      <c r="G7034" s="114"/>
      <c r="H7034" s="115"/>
      <c r="I7034" s="24" t="s">
        <v>10850</v>
      </c>
      <c r="J7034" s="116">
        <v>4.5</v>
      </c>
      <c r="K7034" s="118">
        <v>1520000</v>
      </c>
      <c r="L7034" s="119"/>
      <c r="M7034" s="118">
        <f t="shared" ref="M7034" si="9986">K7034*0.1</f>
        <v>152000</v>
      </c>
      <c r="N7034" s="119"/>
      <c r="O7034" s="118">
        <v>34500</v>
      </c>
      <c r="P7034" s="119"/>
      <c r="Q7034" s="118">
        <v>11740</v>
      </c>
      <c r="R7034" s="119"/>
      <c r="S7034" s="118">
        <v>27500</v>
      </c>
      <c r="T7034" s="119"/>
      <c r="U7034" s="118">
        <f t="shared" ref="U7034" si="9987">SUM(K7034:T7035)</f>
        <v>1745740</v>
      </c>
      <c r="V7034" s="122"/>
      <c r="W7034" s="124"/>
      <c r="X7034" s="126" t="s">
        <v>20504</v>
      </c>
      <c r="Y7034" s="127"/>
      <c r="Z7034" s="127"/>
      <c r="AA7034" s="127"/>
      <c r="AB7034" s="128"/>
      <c r="AC7034" s="15" t="s">
        <v>20</v>
      </c>
      <c r="AD7034" s="129"/>
      <c r="AE7034" s="130"/>
      <c r="AF7034" s="130"/>
      <c r="AG7034" s="130"/>
      <c r="AH7034" s="130"/>
      <c r="AI7034" s="131"/>
      <c r="AJ7034" s="132"/>
      <c r="AK7034" s="127"/>
      <c r="AL7034" s="128"/>
      <c r="AM7034" s="21"/>
      <c r="AN7034" s="133">
        <v>46107</v>
      </c>
      <c r="AO7034" s="134"/>
      <c r="AP7034" s="135">
        <v>1324</v>
      </c>
      <c r="AQ7034" s="136"/>
      <c r="AR7034" s="118">
        <v>1550000</v>
      </c>
      <c r="AS7034" s="119"/>
      <c r="AT7034" s="118">
        <f t="shared" ref="AT7034" si="9988">AR7034*0.1</f>
        <v>155000</v>
      </c>
      <c r="AU7034" s="119"/>
      <c r="AV7034" s="118">
        <v>11740</v>
      </c>
      <c r="AW7034" s="119"/>
      <c r="AX7034" s="118">
        <f t="shared" ref="AX7034" si="9989">SUM(AR7034:AW7034)</f>
        <v>1716740</v>
      </c>
      <c r="AY7034" s="119"/>
      <c r="AZ7034" s="137">
        <v>46108</v>
      </c>
    </row>
    <row r="7035" spans="1:52" ht="17.100000000000001" customHeight="1" thickBot="1">
      <c r="A7035" s="110"/>
      <c r="B7035" s="27" t="s">
        <v>1543</v>
      </c>
      <c r="C7035" s="27">
        <v>20311</v>
      </c>
      <c r="D7035" s="14" t="s">
        <v>133</v>
      </c>
      <c r="E7035" s="112"/>
      <c r="F7035" s="139" t="s">
        <v>20141</v>
      </c>
      <c r="G7035" s="140"/>
      <c r="H7035" s="141"/>
      <c r="I7035" s="26">
        <v>42106</v>
      </c>
      <c r="J7035" s="117"/>
      <c r="K7035" s="120"/>
      <c r="L7035" s="121"/>
      <c r="M7035" s="120"/>
      <c r="N7035" s="121"/>
      <c r="O7035" s="120"/>
      <c r="P7035" s="121"/>
      <c r="Q7035" s="120"/>
      <c r="R7035" s="121"/>
      <c r="S7035" s="120"/>
      <c r="T7035" s="121"/>
      <c r="U7035" s="120"/>
      <c r="V7035" s="123"/>
      <c r="W7035" s="125"/>
      <c r="X7035" s="142" t="s">
        <v>20505</v>
      </c>
      <c r="Y7035" s="143"/>
      <c r="Z7035" s="143"/>
      <c r="AA7035" s="143"/>
      <c r="AB7035" s="144"/>
      <c r="AC7035" s="16" t="s">
        <v>21</v>
      </c>
      <c r="AD7035" s="17" t="s">
        <v>20491</v>
      </c>
      <c r="AE7035" s="145" t="s">
        <v>20964</v>
      </c>
      <c r="AF7035" s="146"/>
      <c r="AG7035" s="146"/>
      <c r="AH7035" s="146"/>
      <c r="AI7035" s="147"/>
      <c r="AJ7035" s="148"/>
      <c r="AK7035" s="143"/>
      <c r="AL7035" s="144"/>
      <c r="AM7035" s="22"/>
      <c r="AN7035" s="149" t="s">
        <v>21214</v>
      </c>
      <c r="AO7035" s="144"/>
      <c r="AP7035" s="148">
        <v>1</v>
      </c>
      <c r="AQ7035" s="144"/>
      <c r="AR7035" s="120"/>
      <c r="AS7035" s="121"/>
      <c r="AT7035" s="120"/>
      <c r="AU7035" s="121"/>
      <c r="AV7035" s="120"/>
      <c r="AW7035" s="121"/>
      <c r="AX7035" s="120"/>
      <c r="AY7035" s="121"/>
      <c r="AZ7035" s="138"/>
    </row>
    <row r="7036" spans="1:52" ht="17.100000000000001" customHeight="1" thickTop="1">
      <c r="A7036" s="109" t="s">
        <v>20132</v>
      </c>
      <c r="B7036" s="28">
        <v>46094</v>
      </c>
      <c r="C7036" s="25">
        <v>2126</v>
      </c>
      <c r="D7036" s="13" t="s">
        <v>1986</v>
      </c>
      <c r="E7036" s="111"/>
      <c r="F7036" s="113" t="s">
        <v>4559</v>
      </c>
      <c r="G7036" s="114"/>
      <c r="H7036" s="115"/>
      <c r="I7036" s="24"/>
      <c r="J7036" s="116">
        <v>4.5</v>
      </c>
      <c r="K7036" s="118">
        <v>1020000</v>
      </c>
      <c r="L7036" s="119"/>
      <c r="M7036" s="118">
        <f t="shared" ref="M7036" si="9990">K7036*0.1</f>
        <v>102000</v>
      </c>
      <c r="N7036" s="119"/>
      <c r="O7036" s="118">
        <v>0</v>
      </c>
      <c r="P7036" s="119"/>
      <c r="Q7036" s="118">
        <v>16240</v>
      </c>
      <c r="R7036" s="119"/>
      <c r="S7036" s="118">
        <v>16500</v>
      </c>
      <c r="T7036" s="119"/>
      <c r="U7036" s="118">
        <f t="shared" ref="U7036" si="9991">SUM(K7036:T7037)</f>
        <v>1154740</v>
      </c>
      <c r="V7036" s="122"/>
      <c r="W7036" s="124"/>
      <c r="X7036" s="126" t="s">
        <v>20511</v>
      </c>
      <c r="Y7036" s="127"/>
      <c r="Z7036" s="127"/>
      <c r="AA7036" s="127"/>
      <c r="AB7036" s="128"/>
      <c r="AC7036" s="15" t="s">
        <v>20</v>
      </c>
      <c r="AD7036" s="129" t="s">
        <v>1945</v>
      </c>
      <c r="AE7036" s="130"/>
      <c r="AF7036" s="130"/>
      <c r="AG7036" s="130"/>
      <c r="AH7036" s="130"/>
      <c r="AI7036" s="131"/>
      <c r="AJ7036" s="132"/>
      <c r="AK7036" s="127"/>
      <c r="AL7036" s="128"/>
      <c r="AM7036" s="21"/>
      <c r="AN7036" s="133">
        <v>46107</v>
      </c>
      <c r="AO7036" s="134"/>
      <c r="AP7036" s="135">
        <v>1324</v>
      </c>
      <c r="AQ7036" s="136"/>
      <c r="AR7036" s="118">
        <v>1320000</v>
      </c>
      <c r="AS7036" s="119"/>
      <c r="AT7036" s="118">
        <f t="shared" ref="AT7036" si="9992">AR7036*0.1</f>
        <v>132000</v>
      </c>
      <c r="AU7036" s="119"/>
      <c r="AV7036" s="118">
        <v>16240</v>
      </c>
      <c r="AW7036" s="119"/>
      <c r="AX7036" s="118">
        <f t="shared" ref="AX7036" si="9993">SUM(AR7036:AW7036)</f>
        <v>1468240</v>
      </c>
      <c r="AY7036" s="119"/>
      <c r="AZ7036" s="137">
        <v>46108</v>
      </c>
    </row>
    <row r="7037" spans="1:52" ht="17.100000000000001" customHeight="1" thickBot="1">
      <c r="A7037" s="110"/>
      <c r="B7037" s="27" t="s">
        <v>1543</v>
      </c>
      <c r="C7037" s="27">
        <v>58110</v>
      </c>
      <c r="D7037" s="14" t="s">
        <v>1592</v>
      </c>
      <c r="E7037" s="112"/>
      <c r="F7037" s="139" t="s">
        <v>20140</v>
      </c>
      <c r="G7037" s="140"/>
      <c r="H7037" s="141"/>
      <c r="I7037" s="26">
        <v>50051</v>
      </c>
      <c r="J7037" s="117"/>
      <c r="K7037" s="120"/>
      <c r="L7037" s="121"/>
      <c r="M7037" s="120"/>
      <c r="N7037" s="121"/>
      <c r="O7037" s="120"/>
      <c r="P7037" s="121"/>
      <c r="Q7037" s="120"/>
      <c r="R7037" s="121"/>
      <c r="S7037" s="120"/>
      <c r="T7037" s="121"/>
      <c r="U7037" s="120"/>
      <c r="V7037" s="123"/>
      <c r="W7037" s="125"/>
      <c r="X7037" s="142" t="s">
        <v>1594</v>
      </c>
      <c r="Y7037" s="143"/>
      <c r="Z7037" s="143"/>
      <c r="AA7037" s="143"/>
      <c r="AB7037" s="144"/>
      <c r="AC7037" s="16" t="s">
        <v>21</v>
      </c>
      <c r="AD7037" s="17" t="s">
        <v>20491</v>
      </c>
      <c r="AE7037" s="145" t="s">
        <v>1614</v>
      </c>
      <c r="AF7037" s="146"/>
      <c r="AG7037" s="146"/>
      <c r="AH7037" s="146"/>
      <c r="AI7037" s="147"/>
      <c r="AJ7037" s="148"/>
      <c r="AK7037" s="143"/>
      <c r="AL7037" s="144"/>
      <c r="AM7037" s="22"/>
      <c r="AN7037" s="149" t="s">
        <v>21215</v>
      </c>
      <c r="AO7037" s="144"/>
      <c r="AP7037" s="148">
        <v>973</v>
      </c>
      <c r="AQ7037" s="144"/>
      <c r="AR7037" s="120"/>
      <c r="AS7037" s="121"/>
      <c r="AT7037" s="120"/>
      <c r="AU7037" s="121"/>
      <c r="AV7037" s="120"/>
      <c r="AW7037" s="121"/>
      <c r="AX7037" s="120"/>
      <c r="AY7037" s="121"/>
      <c r="AZ7037" s="138"/>
    </row>
    <row r="7038" spans="1:52" ht="17.100000000000001" customHeight="1" thickTop="1">
      <c r="A7038" s="109" t="s">
        <v>20133</v>
      </c>
      <c r="B7038" s="28">
        <v>46094</v>
      </c>
      <c r="C7038" s="25">
        <v>2126</v>
      </c>
      <c r="D7038" s="13" t="s">
        <v>1986</v>
      </c>
      <c r="E7038" s="111"/>
      <c r="F7038" s="113" t="s">
        <v>20138</v>
      </c>
      <c r="G7038" s="114"/>
      <c r="H7038" s="115"/>
      <c r="I7038" s="24"/>
      <c r="J7038" s="116">
        <v>5</v>
      </c>
      <c r="K7038" s="118">
        <v>1320000</v>
      </c>
      <c r="L7038" s="119"/>
      <c r="M7038" s="118">
        <f t="shared" ref="M7038" si="9994">K7038*0.1</f>
        <v>132000</v>
      </c>
      <c r="N7038" s="119"/>
      <c r="O7038" s="118">
        <v>0</v>
      </c>
      <c r="P7038" s="119"/>
      <c r="Q7038" s="118">
        <v>15100</v>
      </c>
      <c r="R7038" s="119"/>
      <c r="S7038" s="118">
        <v>16500</v>
      </c>
      <c r="T7038" s="119"/>
      <c r="U7038" s="118">
        <f t="shared" ref="U7038" si="9995">SUM(K7038:T7039)</f>
        <v>1483600</v>
      </c>
      <c r="V7038" s="122"/>
      <c r="W7038" s="124"/>
      <c r="X7038" s="126" t="s">
        <v>20508</v>
      </c>
      <c r="Y7038" s="127"/>
      <c r="Z7038" s="127"/>
      <c r="AA7038" s="127"/>
      <c r="AB7038" s="128"/>
      <c r="AC7038" s="15" t="s">
        <v>20</v>
      </c>
      <c r="AD7038" s="129" t="s">
        <v>1633</v>
      </c>
      <c r="AE7038" s="130"/>
      <c r="AF7038" s="130"/>
      <c r="AG7038" s="130"/>
      <c r="AH7038" s="130"/>
      <c r="AI7038" s="131"/>
      <c r="AJ7038" s="132"/>
      <c r="AK7038" s="127"/>
      <c r="AL7038" s="128"/>
      <c r="AM7038" s="21"/>
      <c r="AN7038" s="133">
        <v>46114</v>
      </c>
      <c r="AO7038" s="134"/>
      <c r="AP7038" s="135">
        <v>1325</v>
      </c>
      <c r="AQ7038" s="136"/>
      <c r="AR7038" s="118">
        <v>1430000</v>
      </c>
      <c r="AS7038" s="119"/>
      <c r="AT7038" s="118">
        <f t="shared" ref="AT7038" si="9996">AR7038*0.1</f>
        <v>143000</v>
      </c>
      <c r="AU7038" s="119"/>
      <c r="AV7038" s="118">
        <v>15100</v>
      </c>
      <c r="AW7038" s="119"/>
      <c r="AX7038" s="118">
        <f t="shared" ref="AX7038" si="9997">SUM(AR7038:AW7038)</f>
        <v>1588100</v>
      </c>
      <c r="AY7038" s="119"/>
      <c r="AZ7038" s="137">
        <v>46115</v>
      </c>
    </row>
    <row r="7039" spans="1:52" ht="17.100000000000001" customHeight="1" thickBot="1">
      <c r="A7039" s="110"/>
      <c r="B7039" s="27" t="s">
        <v>1543</v>
      </c>
      <c r="C7039" s="27">
        <v>58356</v>
      </c>
      <c r="D7039" s="14" t="s">
        <v>904</v>
      </c>
      <c r="E7039" s="112"/>
      <c r="F7039" s="139" t="s">
        <v>20139</v>
      </c>
      <c r="G7039" s="140"/>
      <c r="H7039" s="141"/>
      <c r="I7039" s="26">
        <v>13994</v>
      </c>
      <c r="J7039" s="117"/>
      <c r="K7039" s="120"/>
      <c r="L7039" s="121"/>
      <c r="M7039" s="120"/>
      <c r="N7039" s="121"/>
      <c r="O7039" s="120"/>
      <c r="P7039" s="121"/>
      <c r="Q7039" s="120"/>
      <c r="R7039" s="121"/>
      <c r="S7039" s="120"/>
      <c r="T7039" s="121"/>
      <c r="U7039" s="120"/>
      <c r="V7039" s="123"/>
      <c r="W7039" s="125"/>
      <c r="X7039" s="142" t="s">
        <v>13847</v>
      </c>
      <c r="Y7039" s="143"/>
      <c r="Z7039" s="143"/>
      <c r="AA7039" s="143"/>
      <c r="AB7039" s="144"/>
      <c r="AC7039" s="16" t="s">
        <v>21</v>
      </c>
      <c r="AD7039" s="17" t="s">
        <v>20491</v>
      </c>
      <c r="AE7039" s="145" t="s">
        <v>1742</v>
      </c>
      <c r="AF7039" s="146"/>
      <c r="AG7039" s="146"/>
      <c r="AH7039" s="146"/>
      <c r="AI7039" s="147"/>
      <c r="AJ7039" s="148"/>
      <c r="AK7039" s="143"/>
      <c r="AL7039" s="144"/>
      <c r="AM7039" s="22"/>
      <c r="AN7039" s="149" t="s">
        <v>14586</v>
      </c>
      <c r="AO7039" s="144"/>
      <c r="AP7039" s="148">
        <v>973</v>
      </c>
      <c r="AQ7039" s="144"/>
      <c r="AR7039" s="120"/>
      <c r="AS7039" s="121"/>
      <c r="AT7039" s="120"/>
      <c r="AU7039" s="121"/>
      <c r="AV7039" s="120"/>
      <c r="AW7039" s="121"/>
      <c r="AX7039" s="120"/>
      <c r="AY7039" s="121"/>
      <c r="AZ7039" s="138"/>
    </row>
    <row r="7040" spans="1:52" ht="17.100000000000001" customHeight="1" thickTop="1">
      <c r="A7040" s="109" t="s">
        <v>20134</v>
      </c>
      <c r="B7040" s="28">
        <v>46094</v>
      </c>
      <c r="C7040" s="25"/>
      <c r="D7040" s="13" t="s">
        <v>20155</v>
      </c>
      <c r="E7040" s="111"/>
      <c r="F7040" s="113" t="s">
        <v>4274</v>
      </c>
      <c r="G7040" s="114"/>
      <c r="H7040" s="115"/>
      <c r="I7040" s="24" t="s">
        <v>10342</v>
      </c>
      <c r="J7040" s="150" t="s">
        <v>1715</v>
      </c>
      <c r="K7040" s="118">
        <f>415800/1.1</f>
        <v>377999.99999999994</v>
      </c>
      <c r="L7040" s="119"/>
      <c r="M7040" s="118">
        <f t="shared" ref="M7040" si="9998">K7040*0.1</f>
        <v>37799.999999999993</v>
      </c>
      <c r="N7040" s="119"/>
      <c r="O7040" s="118">
        <v>0</v>
      </c>
      <c r="P7040" s="119"/>
      <c r="Q7040" s="118">
        <v>8670</v>
      </c>
      <c r="R7040" s="119"/>
      <c r="S7040" s="118">
        <v>0</v>
      </c>
      <c r="T7040" s="119"/>
      <c r="U7040" s="118">
        <f t="shared" ref="U7040" si="9999">SUM(K7040:T7041)</f>
        <v>424469.99999999994</v>
      </c>
      <c r="V7040" s="122"/>
      <c r="W7040" s="124"/>
      <c r="X7040" s="126" t="s">
        <v>20932</v>
      </c>
      <c r="Y7040" s="127"/>
      <c r="Z7040" s="127"/>
      <c r="AA7040" s="127"/>
      <c r="AB7040" s="128"/>
      <c r="AC7040" s="15" t="s">
        <v>20</v>
      </c>
      <c r="AD7040" s="129"/>
      <c r="AE7040" s="130"/>
      <c r="AF7040" s="130"/>
      <c r="AG7040" s="130"/>
      <c r="AH7040" s="130"/>
      <c r="AI7040" s="131"/>
      <c r="AJ7040" s="132"/>
      <c r="AK7040" s="127"/>
      <c r="AL7040" s="128"/>
      <c r="AM7040" s="85" t="s">
        <v>20932</v>
      </c>
      <c r="AN7040" s="133">
        <v>46123</v>
      </c>
      <c r="AO7040" s="134"/>
      <c r="AP7040" s="135">
        <v>1296</v>
      </c>
      <c r="AQ7040" s="136"/>
      <c r="AR7040" s="118">
        <v>385000</v>
      </c>
      <c r="AS7040" s="119"/>
      <c r="AT7040" s="118">
        <f t="shared" ref="AT7040" si="10000">AR7040*0.1</f>
        <v>38500</v>
      </c>
      <c r="AU7040" s="119"/>
      <c r="AV7040" s="118">
        <v>8670</v>
      </c>
      <c r="AW7040" s="119"/>
      <c r="AX7040" s="118">
        <f t="shared" ref="AX7040" si="10001">SUM(AR7040:AW7040)</f>
        <v>432170</v>
      </c>
      <c r="AY7040" s="119"/>
      <c r="AZ7040" s="137">
        <v>46126</v>
      </c>
    </row>
    <row r="7041" spans="1:52" ht="17.100000000000001" customHeight="1" thickBot="1">
      <c r="A7041" s="110"/>
      <c r="B7041" s="27" t="s">
        <v>1718</v>
      </c>
      <c r="C7041" s="27" t="s">
        <v>20145</v>
      </c>
      <c r="D7041" s="14" t="s">
        <v>1576</v>
      </c>
      <c r="E7041" s="112"/>
      <c r="F7041" s="139" t="s">
        <v>20146</v>
      </c>
      <c r="G7041" s="140"/>
      <c r="H7041" s="141"/>
      <c r="I7041" s="26">
        <v>152000</v>
      </c>
      <c r="J7041" s="117"/>
      <c r="K7041" s="120"/>
      <c r="L7041" s="121"/>
      <c r="M7041" s="120"/>
      <c r="N7041" s="121"/>
      <c r="O7041" s="120"/>
      <c r="P7041" s="121"/>
      <c r="Q7041" s="120"/>
      <c r="R7041" s="121"/>
      <c r="S7041" s="120"/>
      <c r="T7041" s="121"/>
      <c r="U7041" s="120"/>
      <c r="V7041" s="123"/>
      <c r="W7041" s="125"/>
      <c r="X7041" s="142" t="s">
        <v>20933</v>
      </c>
      <c r="Y7041" s="143"/>
      <c r="Z7041" s="143"/>
      <c r="AA7041" s="143"/>
      <c r="AB7041" s="144"/>
      <c r="AC7041" s="16" t="s">
        <v>21</v>
      </c>
      <c r="AD7041" s="17" t="s">
        <v>20913</v>
      </c>
      <c r="AE7041" s="145" t="s">
        <v>20920</v>
      </c>
      <c r="AF7041" s="146"/>
      <c r="AG7041" s="146"/>
      <c r="AH7041" s="146"/>
      <c r="AI7041" s="147"/>
      <c r="AJ7041" s="148"/>
      <c r="AK7041" s="143"/>
      <c r="AL7041" s="144"/>
      <c r="AM7041" s="22"/>
      <c r="AN7041" s="149" t="s">
        <v>2511</v>
      </c>
      <c r="AO7041" s="144"/>
      <c r="AP7041" s="148">
        <v>62018</v>
      </c>
      <c r="AQ7041" s="144"/>
      <c r="AR7041" s="120"/>
      <c r="AS7041" s="121"/>
      <c r="AT7041" s="120"/>
      <c r="AU7041" s="121"/>
      <c r="AV7041" s="120"/>
      <c r="AW7041" s="121"/>
      <c r="AX7041" s="120"/>
      <c r="AY7041" s="121"/>
      <c r="AZ7041" s="138"/>
    </row>
    <row r="7042" spans="1:52" ht="17.100000000000001" customHeight="1" thickTop="1">
      <c r="A7042" s="151" t="s">
        <v>20142</v>
      </c>
      <c r="B7042" s="28">
        <v>46094</v>
      </c>
      <c r="C7042" s="25"/>
      <c r="D7042" s="13" t="s">
        <v>1712</v>
      </c>
      <c r="E7042" s="111"/>
      <c r="F7042" s="113" t="s">
        <v>20153</v>
      </c>
      <c r="G7042" s="114"/>
      <c r="H7042" s="115"/>
      <c r="I7042" s="24" t="s">
        <v>3538</v>
      </c>
      <c r="J7042" s="116">
        <v>4.5</v>
      </c>
      <c r="K7042" s="118">
        <v>635000</v>
      </c>
      <c r="L7042" s="119"/>
      <c r="M7042" s="118">
        <v>63500</v>
      </c>
      <c r="N7042" s="119"/>
      <c r="O7042" s="118">
        <v>0</v>
      </c>
      <c r="P7042" s="119"/>
      <c r="Q7042" s="118">
        <v>9290</v>
      </c>
      <c r="R7042" s="119"/>
      <c r="S7042" s="118">
        <v>0</v>
      </c>
      <c r="T7042" s="119"/>
      <c r="U7042" s="118">
        <f t="shared" ref="U7042" si="10002">SUM(K7042:T7043)</f>
        <v>707790</v>
      </c>
      <c r="V7042" s="122"/>
      <c r="W7042" s="124"/>
      <c r="X7042" s="126"/>
      <c r="Y7042" s="127"/>
      <c r="Z7042" s="127"/>
      <c r="AA7042" s="127"/>
      <c r="AB7042" s="128"/>
      <c r="AC7042" s="15" t="s">
        <v>20</v>
      </c>
      <c r="AD7042" s="129" t="s">
        <v>171</v>
      </c>
      <c r="AE7042" s="130"/>
      <c r="AF7042" s="130"/>
      <c r="AG7042" s="130"/>
      <c r="AH7042" s="130"/>
      <c r="AI7042" s="131"/>
      <c r="AJ7042" s="132" t="s">
        <v>8040</v>
      </c>
      <c r="AK7042" s="127"/>
      <c r="AL7042" s="128"/>
      <c r="AM7042" s="21"/>
      <c r="AN7042" s="133"/>
      <c r="AO7042" s="134"/>
      <c r="AP7042" s="135"/>
      <c r="AQ7042" s="136"/>
      <c r="AR7042" s="118"/>
      <c r="AS7042" s="119"/>
      <c r="AT7042" s="118">
        <f t="shared" ref="AT7042" si="10003">AR7042*0.1</f>
        <v>0</v>
      </c>
      <c r="AU7042" s="119"/>
      <c r="AV7042" s="118"/>
      <c r="AW7042" s="119"/>
      <c r="AX7042" s="118">
        <f t="shared" ref="AX7042" si="10004">SUM(AR7042:AW7042)</f>
        <v>0</v>
      </c>
      <c r="AY7042" s="119"/>
      <c r="AZ7042" s="137"/>
    </row>
    <row r="7043" spans="1:52" ht="17.100000000000001" customHeight="1" thickBot="1">
      <c r="A7043" s="152"/>
      <c r="B7043" s="27" t="s">
        <v>1718</v>
      </c>
      <c r="C7043" s="27" t="s">
        <v>20147</v>
      </c>
      <c r="D7043" s="14" t="s">
        <v>1720</v>
      </c>
      <c r="E7043" s="112"/>
      <c r="F7043" s="139" t="s">
        <v>20148</v>
      </c>
      <c r="G7043" s="140"/>
      <c r="H7043" s="141"/>
      <c r="I7043" s="26">
        <v>22742</v>
      </c>
      <c r="J7043" s="117"/>
      <c r="K7043" s="120"/>
      <c r="L7043" s="121"/>
      <c r="M7043" s="120"/>
      <c r="N7043" s="121"/>
      <c r="O7043" s="120"/>
      <c r="P7043" s="121"/>
      <c r="Q7043" s="120"/>
      <c r="R7043" s="121"/>
      <c r="S7043" s="120"/>
      <c r="T7043" s="121"/>
      <c r="U7043" s="120"/>
      <c r="V7043" s="123"/>
      <c r="W7043" s="125"/>
      <c r="X7043" s="142"/>
      <c r="Y7043" s="143"/>
      <c r="Z7043" s="143"/>
      <c r="AA7043" s="143"/>
      <c r="AB7043" s="144"/>
      <c r="AC7043" s="16" t="s">
        <v>21</v>
      </c>
      <c r="AD7043" s="17" t="s">
        <v>10540</v>
      </c>
      <c r="AE7043" s="145"/>
      <c r="AF7043" s="146"/>
      <c r="AG7043" s="146"/>
      <c r="AH7043" s="146"/>
      <c r="AI7043" s="147"/>
      <c r="AJ7043" s="148"/>
      <c r="AK7043" s="143"/>
      <c r="AL7043" s="144"/>
      <c r="AM7043" s="22"/>
      <c r="AN7043" s="149"/>
      <c r="AO7043" s="144"/>
      <c r="AP7043" s="148"/>
      <c r="AQ7043" s="144"/>
      <c r="AR7043" s="120"/>
      <c r="AS7043" s="121"/>
      <c r="AT7043" s="120"/>
      <c r="AU7043" s="121"/>
      <c r="AV7043" s="120"/>
      <c r="AW7043" s="121"/>
      <c r="AX7043" s="120"/>
      <c r="AY7043" s="121"/>
      <c r="AZ7043" s="138"/>
    </row>
    <row r="7044" spans="1:52" ht="17.100000000000001" customHeight="1" thickTop="1">
      <c r="A7044" s="109" t="s">
        <v>20143</v>
      </c>
      <c r="B7044" s="28">
        <v>46094</v>
      </c>
      <c r="C7044" s="25"/>
      <c r="D7044" s="13" t="s">
        <v>1695</v>
      </c>
      <c r="E7044" s="111"/>
      <c r="F7044" s="113" t="s">
        <v>8220</v>
      </c>
      <c r="G7044" s="114"/>
      <c r="H7044" s="115"/>
      <c r="I7044" s="24" t="s">
        <v>20154</v>
      </c>
      <c r="J7044" s="116">
        <v>4</v>
      </c>
      <c r="K7044" s="118">
        <f>561000/1.1</f>
        <v>509999.99999999994</v>
      </c>
      <c r="L7044" s="119"/>
      <c r="M7044" s="118">
        <f t="shared" ref="M7044" si="10005">K7044*0.1</f>
        <v>51000</v>
      </c>
      <c r="N7044" s="119"/>
      <c r="O7044" s="118">
        <v>0</v>
      </c>
      <c r="P7044" s="119"/>
      <c r="Q7044" s="118">
        <v>9790</v>
      </c>
      <c r="R7044" s="119"/>
      <c r="S7044" s="118">
        <v>0</v>
      </c>
      <c r="T7044" s="119"/>
      <c r="U7044" s="118">
        <f t="shared" ref="U7044" si="10006">SUM(K7044:T7045)</f>
        <v>570790</v>
      </c>
      <c r="V7044" s="122"/>
      <c r="W7044" s="124"/>
      <c r="X7044" s="126" t="s">
        <v>20628</v>
      </c>
      <c r="Y7044" s="127"/>
      <c r="Z7044" s="127"/>
      <c r="AA7044" s="127"/>
      <c r="AB7044" s="128"/>
      <c r="AC7044" s="15" t="s">
        <v>20</v>
      </c>
      <c r="AD7044" s="129" t="s">
        <v>171</v>
      </c>
      <c r="AE7044" s="130"/>
      <c r="AF7044" s="130"/>
      <c r="AG7044" s="130"/>
      <c r="AH7044" s="130"/>
      <c r="AI7044" s="131"/>
      <c r="AJ7044" s="132"/>
      <c r="AK7044" s="127"/>
      <c r="AL7044" s="128"/>
      <c r="AM7044" s="21" t="s">
        <v>23809</v>
      </c>
      <c r="AN7044" s="133">
        <v>46137</v>
      </c>
      <c r="AO7044" s="134"/>
      <c r="AP7044" s="135">
        <v>1298</v>
      </c>
      <c r="AQ7044" s="136"/>
      <c r="AR7044" s="118">
        <v>600000</v>
      </c>
      <c r="AS7044" s="119"/>
      <c r="AT7044" s="118">
        <f t="shared" ref="AT7044" si="10007">AR7044*0.1</f>
        <v>60000</v>
      </c>
      <c r="AU7044" s="119"/>
      <c r="AV7044" s="118">
        <v>9790</v>
      </c>
      <c r="AW7044" s="119"/>
      <c r="AX7044" s="118">
        <f t="shared" ref="AX7044" si="10008">SUM(AR7044:AW7044)</f>
        <v>669790</v>
      </c>
      <c r="AY7044" s="119"/>
      <c r="AZ7044" s="137">
        <v>46140</v>
      </c>
    </row>
    <row r="7045" spans="1:52" ht="17.100000000000001" customHeight="1" thickBot="1">
      <c r="A7045" s="110"/>
      <c r="B7045" s="27" t="s">
        <v>1718</v>
      </c>
      <c r="C7045" s="27" t="s">
        <v>20149</v>
      </c>
      <c r="D7045" s="14" t="s">
        <v>2040</v>
      </c>
      <c r="E7045" s="112"/>
      <c r="F7045" s="139" t="s">
        <v>20150</v>
      </c>
      <c r="G7045" s="140"/>
      <c r="H7045" s="141"/>
      <c r="I7045" s="26">
        <v>77729</v>
      </c>
      <c r="J7045" s="117"/>
      <c r="K7045" s="120"/>
      <c r="L7045" s="121"/>
      <c r="M7045" s="120"/>
      <c r="N7045" s="121"/>
      <c r="O7045" s="120"/>
      <c r="P7045" s="121"/>
      <c r="Q7045" s="120"/>
      <c r="R7045" s="121"/>
      <c r="S7045" s="120"/>
      <c r="T7045" s="121"/>
      <c r="U7045" s="120"/>
      <c r="V7045" s="123"/>
      <c r="W7045" s="125"/>
      <c r="X7045" s="142" t="s">
        <v>20629</v>
      </c>
      <c r="Y7045" s="143"/>
      <c r="Z7045" s="143"/>
      <c r="AA7045" s="143"/>
      <c r="AB7045" s="144"/>
      <c r="AC7045" s="16" t="s">
        <v>21</v>
      </c>
      <c r="AD7045" s="17" t="s">
        <v>2382</v>
      </c>
      <c r="AE7045" s="145" t="s">
        <v>1742</v>
      </c>
      <c r="AF7045" s="146"/>
      <c r="AG7045" s="146"/>
      <c r="AH7045" s="146"/>
      <c r="AI7045" s="147"/>
      <c r="AJ7045" s="148"/>
      <c r="AK7045" s="143"/>
      <c r="AL7045" s="144"/>
      <c r="AM7045" s="22"/>
      <c r="AN7045" s="149" t="s">
        <v>2511</v>
      </c>
      <c r="AO7045" s="144"/>
      <c r="AP7045" s="148">
        <v>60029</v>
      </c>
      <c r="AQ7045" s="144"/>
      <c r="AR7045" s="120"/>
      <c r="AS7045" s="121"/>
      <c r="AT7045" s="120"/>
      <c r="AU7045" s="121"/>
      <c r="AV7045" s="120"/>
      <c r="AW7045" s="121"/>
      <c r="AX7045" s="120"/>
      <c r="AY7045" s="121"/>
      <c r="AZ7045" s="138"/>
    </row>
    <row r="7046" spans="1:52" ht="17.100000000000001" customHeight="1" thickTop="1">
      <c r="A7046" s="109" t="s">
        <v>20144</v>
      </c>
      <c r="B7046" s="28">
        <v>46094</v>
      </c>
      <c r="C7046" s="25"/>
      <c r="D7046" s="13" t="s">
        <v>2970</v>
      </c>
      <c r="E7046" s="111"/>
      <c r="F7046" s="113" t="s">
        <v>4297</v>
      </c>
      <c r="G7046" s="114"/>
      <c r="H7046" s="115"/>
      <c r="I7046" s="24" t="s">
        <v>4946</v>
      </c>
      <c r="J7046" s="116">
        <v>4.5</v>
      </c>
      <c r="K7046" s="118">
        <f>1215500/1.1</f>
        <v>1105000</v>
      </c>
      <c r="L7046" s="119"/>
      <c r="M7046" s="118">
        <f t="shared" ref="M7046" si="10009">K7046*0.1</f>
        <v>110500</v>
      </c>
      <c r="N7046" s="119"/>
      <c r="O7046" s="118">
        <v>0</v>
      </c>
      <c r="P7046" s="119"/>
      <c r="Q7046" s="118">
        <v>8550</v>
      </c>
      <c r="R7046" s="119"/>
      <c r="S7046" s="118">
        <v>0</v>
      </c>
      <c r="T7046" s="119"/>
      <c r="U7046" s="118">
        <f t="shared" ref="U7046" si="10010">SUM(K7046:T7047)</f>
        <v>1224050</v>
      </c>
      <c r="V7046" s="122"/>
      <c r="W7046" s="124"/>
      <c r="X7046" s="126"/>
      <c r="Y7046" s="127"/>
      <c r="Z7046" s="127"/>
      <c r="AA7046" s="127"/>
      <c r="AB7046" s="128"/>
      <c r="AC7046" s="15" t="s">
        <v>20</v>
      </c>
      <c r="AD7046" s="129" t="s">
        <v>1575</v>
      </c>
      <c r="AE7046" s="130"/>
      <c r="AF7046" s="130"/>
      <c r="AG7046" s="130"/>
      <c r="AH7046" s="130"/>
      <c r="AI7046" s="131"/>
      <c r="AJ7046" s="132"/>
      <c r="AK7046" s="127"/>
      <c r="AL7046" s="128"/>
      <c r="AM7046" s="21"/>
      <c r="AN7046" s="133"/>
      <c r="AO7046" s="134"/>
      <c r="AP7046" s="135"/>
      <c r="AQ7046" s="136"/>
      <c r="AR7046" s="118"/>
      <c r="AS7046" s="119"/>
      <c r="AT7046" s="118">
        <f t="shared" ref="AT7046" si="10011">AR7046*0.1</f>
        <v>0</v>
      </c>
      <c r="AU7046" s="119"/>
      <c r="AV7046" s="118"/>
      <c r="AW7046" s="119"/>
      <c r="AX7046" s="118">
        <f t="shared" ref="AX7046" si="10012">SUM(AR7046:AW7046)</f>
        <v>0</v>
      </c>
      <c r="AY7046" s="119"/>
      <c r="AZ7046" s="137"/>
    </row>
    <row r="7047" spans="1:52" ht="17.100000000000001" customHeight="1" thickBot="1">
      <c r="A7047" s="110"/>
      <c r="B7047" s="27" t="s">
        <v>1718</v>
      </c>
      <c r="C7047" s="27" t="s">
        <v>20151</v>
      </c>
      <c r="D7047" s="14" t="s">
        <v>2601</v>
      </c>
      <c r="E7047" s="112"/>
      <c r="F7047" s="139" t="s">
        <v>20152</v>
      </c>
      <c r="G7047" s="140"/>
      <c r="H7047" s="141"/>
      <c r="I7047" s="26">
        <v>54168</v>
      </c>
      <c r="J7047" s="117"/>
      <c r="K7047" s="120"/>
      <c r="L7047" s="121"/>
      <c r="M7047" s="120"/>
      <c r="N7047" s="121"/>
      <c r="O7047" s="120"/>
      <c r="P7047" s="121"/>
      <c r="Q7047" s="120"/>
      <c r="R7047" s="121"/>
      <c r="S7047" s="120"/>
      <c r="T7047" s="121"/>
      <c r="U7047" s="120"/>
      <c r="V7047" s="123"/>
      <c r="W7047" s="125"/>
      <c r="X7047" s="142"/>
      <c r="Y7047" s="143"/>
      <c r="Z7047" s="143"/>
      <c r="AA7047" s="143"/>
      <c r="AB7047" s="144"/>
      <c r="AC7047" s="16" t="s">
        <v>21</v>
      </c>
      <c r="AD7047" s="17"/>
      <c r="AE7047" s="145"/>
      <c r="AF7047" s="146"/>
      <c r="AG7047" s="146"/>
      <c r="AH7047" s="146"/>
      <c r="AI7047" s="147"/>
      <c r="AJ7047" s="148"/>
      <c r="AK7047" s="143"/>
      <c r="AL7047" s="144"/>
      <c r="AM7047" s="22"/>
      <c r="AN7047" s="149"/>
      <c r="AO7047" s="144"/>
      <c r="AP7047" s="148"/>
      <c r="AQ7047" s="144"/>
      <c r="AR7047" s="120"/>
      <c r="AS7047" s="121"/>
      <c r="AT7047" s="120"/>
      <c r="AU7047" s="121"/>
      <c r="AV7047" s="120"/>
      <c r="AW7047" s="121"/>
      <c r="AX7047" s="120"/>
      <c r="AY7047" s="121"/>
      <c r="AZ7047" s="138"/>
    </row>
    <row r="7048" spans="1:52" ht="16.5" customHeight="1" thickTop="1">
      <c r="A7048" s="109" t="s">
        <v>20157</v>
      </c>
      <c r="B7048" s="28">
        <v>46094</v>
      </c>
      <c r="C7048" s="25">
        <v>282</v>
      </c>
      <c r="D7048" s="13" t="s">
        <v>4287</v>
      </c>
      <c r="E7048" s="111"/>
      <c r="F7048" s="113" t="s">
        <v>20123</v>
      </c>
      <c r="G7048" s="114"/>
      <c r="H7048" s="115"/>
      <c r="I7048" s="24" t="s">
        <v>4193</v>
      </c>
      <c r="J7048" s="116">
        <v>4.5</v>
      </c>
      <c r="K7048" s="118">
        <v>1117000</v>
      </c>
      <c r="L7048" s="119"/>
      <c r="M7048" s="118">
        <f t="shared" ref="M7048" si="10013">K7048*0.1</f>
        <v>111700</v>
      </c>
      <c r="N7048" s="119"/>
      <c r="O7048" s="118">
        <v>0</v>
      </c>
      <c r="P7048" s="119"/>
      <c r="Q7048" s="118">
        <v>7040</v>
      </c>
      <c r="R7048" s="119"/>
      <c r="S7048" s="118">
        <v>22000</v>
      </c>
      <c r="T7048" s="119"/>
      <c r="U7048" s="118">
        <f t="shared" ref="U7048" si="10014">SUM(K7048:T7049)</f>
        <v>1257740</v>
      </c>
      <c r="V7048" s="122"/>
      <c r="W7048" s="124"/>
      <c r="X7048" s="126" t="s">
        <v>20361</v>
      </c>
      <c r="Y7048" s="127"/>
      <c r="Z7048" s="127"/>
      <c r="AA7048" s="127"/>
      <c r="AB7048" s="128"/>
      <c r="AC7048" s="15" t="s">
        <v>20</v>
      </c>
      <c r="AD7048" s="129" t="s">
        <v>5325</v>
      </c>
      <c r="AE7048" s="130"/>
      <c r="AF7048" s="130"/>
      <c r="AG7048" s="130"/>
      <c r="AH7048" s="130"/>
      <c r="AI7048" s="131"/>
      <c r="AJ7048" s="132"/>
      <c r="AK7048" s="127"/>
      <c r="AL7048" s="128"/>
      <c r="AM7048" s="21"/>
      <c r="AN7048" s="133">
        <v>46098</v>
      </c>
      <c r="AO7048" s="134"/>
      <c r="AP7048" s="135">
        <v>1933</v>
      </c>
      <c r="AQ7048" s="136"/>
      <c r="AR7048" s="118">
        <v>1173000</v>
      </c>
      <c r="AS7048" s="119"/>
      <c r="AT7048" s="118">
        <f t="shared" ref="AT7048" si="10015">AR7048*0.1</f>
        <v>117300</v>
      </c>
      <c r="AU7048" s="119"/>
      <c r="AV7048" s="118">
        <v>7040</v>
      </c>
      <c r="AW7048" s="119"/>
      <c r="AX7048" s="118">
        <f t="shared" ref="AX7048" si="10016">SUM(AR7048:AW7048)</f>
        <v>1297340</v>
      </c>
      <c r="AY7048" s="119"/>
      <c r="AZ7048" s="137"/>
    </row>
    <row r="7049" spans="1:52" ht="17.100000000000001" customHeight="1" thickBot="1">
      <c r="A7049" s="110"/>
      <c r="B7049" s="27" t="s">
        <v>20156</v>
      </c>
      <c r="C7049" s="27">
        <v>11</v>
      </c>
      <c r="D7049" s="14" t="s">
        <v>2601</v>
      </c>
      <c r="E7049" s="112"/>
      <c r="F7049" s="139" t="s">
        <v>20163</v>
      </c>
      <c r="G7049" s="140"/>
      <c r="H7049" s="141"/>
      <c r="I7049" s="26">
        <v>27140</v>
      </c>
      <c r="J7049" s="117"/>
      <c r="K7049" s="120"/>
      <c r="L7049" s="121"/>
      <c r="M7049" s="120"/>
      <c r="N7049" s="121"/>
      <c r="O7049" s="120"/>
      <c r="P7049" s="121"/>
      <c r="Q7049" s="120"/>
      <c r="R7049" s="121"/>
      <c r="S7049" s="120"/>
      <c r="T7049" s="121"/>
      <c r="U7049" s="120"/>
      <c r="V7049" s="123"/>
      <c r="W7049" s="125"/>
      <c r="X7049" s="142" t="s">
        <v>20362</v>
      </c>
      <c r="Y7049" s="143"/>
      <c r="Z7049" s="143"/>
      <c r="AA7049" s="143"/>
      <c r="AB7049" s="144"/>
      <c r="AC7049" s="16" t="s">
        <v>21</v>
      </c>
      <c r="AD7049" s="17" t="s">
        <v>2376</v>
      </c>
      <c r="AE7049" s="145" t="s">
        <v>9546</v>
      </c>
      <c r="AF7049" s="146"/>
      <c r="AG7049" s="146"/>
      <c r="AH7049" s="146"/>
      <c r="AI7049" s="147"/>
      <c r="AJ7049" s="148"/>
      <c r="AK7049" s="143"/>
      <c r="AL7049" s="144"/>
      <c r="AM7049" s="22"/>
      <c r="AN7049" s="149" t="s">
        <v>2131</v>
      </c>
      <c r="AO7049" s="144"/>
      <c r="AP7049" s="148">
        <v>3467</v>
      </c>
      <c r="AQ7049" s="144"/>
      <c r="AR7049" s="120"/>
      <c r="AS7049" s="121"/>
      <c r="AT7049" s="120"/>
      <c r="AU7049" s="121"/>
      <c r="AV7049" s="120"/>
      <c r="AW7049" s="121"/>
      <c r="AX7049" s="120"/>
      <c r="AY7049" s="121"/>
      <c r="AZ7049" s="138"/>
    </row>
    <row r="7050" spans="1:52" ht="17.100000000000001" customHeight="1" thickTop="1">
      <c r="A7050" s="109" t="s">
        <v>20158</v>
      </c>
      <c r="B7050" s="28">
        <v>46094</v>
      </c>
      <c r="C7050" s="25">
        <v>282</v>
      </c>
      <c r="D7050" s="13" t="s">
        <v>1870</v>
      </c>
      <c r="E7050" s="111"/>
      <c r="F7050" s="113" t="s">
        <v>20172</v>
      </c>
      <c r="G7050" s="114"/>
      <c r="H7050" s="115"/>
      <c r="I7050" s="24"/>
      <c r="J7050" s="116">
        <v>4</v>
      </c>
      <c r="K7050" s="118">
        <v>213000</v>
      </c>
      <c r="L7050" s="119"/>
      <c r="M7050" s="118">
        <f t="shared" ref="M7050" si="10017">K7050*0.1</f>
        <v>21300</v>
      </c>
      <c r="N7050" s="119"/>
      <c r="O7050" s="118">
        <v>0</v>
      </c>
      <c r="P7050" s="119"/>
      <c r="Q7050" s="118">
        <v>7320</v>
      </c>
      <c r="R7050" s="119"/>
      <c r="S7050" s="118">
        <v>22000</v>
      </c>
      <c r="T7050" s="119"/>
      <c r="U7050" s="118">
        <f t="shared" ref="U7050" si="10018">SUM(K7050:T7051)</f>
        <v>263620</v>
      </c>
      <c r="V7050" s="122"/>
      <c r="W7050" s="124"/>
      <c r="X7050" s="126" t="s">
        <v>20364</v>
      </c>
      <c r="Y7050" s="127"/>
      <c r="Z7050" s="127"/>
      <c r="AA7050" s="127"/>
      <c r="AB7050" s="128"/>
      <c r="AC7050" s="15" t="s">
        <v>20</v>
      </c>
      <c r="AD7050" s="129"/>
      <c r="AE7050" s="130"/>
      <c r="AF7050" s="130"/>
      <c r="AG7050" s="130"/>
      <c r="AH7050" s="130"/>
      <c r="AI7050" s="131"/>
      <c r="AJ7050" s="132"/>
      <c r="AK7050" s="127"/>
      <c r="AL7050" s="128"/>
      <c r="AM7050" s="21"/>
      <c r="AN7050" s="133">
        <v>46120</v>
      </c>
      <c r="AO7050" s="134"/>
      <c r="AP7050" s="135">
        <v>1012</v>
      </c>
      <c r="AQ7050" s="136"/>
      <c r="AR7050" s="118">
        <v>250000</v>
      </c>
      <c r="AS7050" s="119"/>
      <c r="AT7050" s="118">
        <f t="shared" ref="AT7050" si="10019">AR7050*0.1</f>
        <v>25000</v>
      </c>
      <c r="AU7050" s="119"/>
      <c r="AV7050" s="118">
        <v>7320</v>
      </c>
      <c r="AW7050" s="119"/>
      <c r="AX7050" s="118">
        <f t="shared" ref="AX7050" si="10020">SUM(AR7050:AW7050)</f>
        <v>282320</v>
      </c>
      <c r="AY7050" s="119"/>
      <c r="AZ7050" s="137">
        <v>46125</v>
      </c>
    </row>
    <row r="7051" spans="1:52" ht="17.100000000000001" customHeight="1" thickBot="1">
      <c r="A7051" s="110"/>
      <c r="B7051" s="27" t="s">
        <v>20156</v>
      </c>
      <c r="C7051" s="27">
        <v>38</v>
      </c>
      <c r="D7051" s="14" t="s">
        <v>2836</v>
      </c>
      <c r="E7051" s="112"/>
      <c r="F7051" s="139" t="s">
        <v>20164</v>
      </c>
      <c r="G7051" s="140"/>
      <c r="H7051" s="141"/>
      <c r="I7051" s="26">
        <v>31032</v>
      </c>
      <c r="J7051" s="117"/>
      <c r="K7051" s="120"/>
      <c r="L7051" s="121"/>
      <c r="M7051" s="120"/>
      <c r="N7051" s="121"/>
      <c r="O7051" s="120"/>
      <c r="P7051" s="121"/>
      <c r="Q7051" s="120"/>
      <c r="R7051" s="121"/>
      <c r="S7051" s="120"/>
      <c r="T7051" s="121"/>
      <c r="U7051" s="120"/>
      <c r="V7051" s="123"/>
      <c r="W7051" s="125"/>
      <c r="X7051" s="142" t="s">
        <v>2659</v>
      </c>
      <c r="Y7051" s="143"/>
      <c r="Z7051" s="143"/>
      <c r="AA7051" s="143"/>
      <c r="AB7051" s="144"/>
      <c r="AC7051" s="16" t="s">
        <v>21</v>
      </c>
      <c r="AD7051" s="17" t="s">
        <v>2376</v>
      </c>
      <c r="AE7051" s="145" t="s">
        <v>4488</v>
      </c>
      <c r="AF7051" s="146"/>
      <c r="AG7051" s="146"/>
      <c r="AH7051" s="146"/>
      <c r="AI7051" s="147"/>
      <c r="AJ7051" s="148"/>
      <c r="AK7051" s="143"/>
      <c r="AL7051" s="144"/>
      <c r="AM7051" s="22"/>
      <c r="AN7051" s="149" t="s">
        <v>2794</v>
      </c>
      <c r="AO7051" s="144"/>
      <c r="AP7051" s="148">
        <v>2066</v>
      </c>
      <c r="AQ7051" s="144"/>
      <c r="AR7051" s="120"/>
      <c r="AS7051" s="121"/>
      <c r="AT7051" s="120"/>
      <c r="AU7051" s="121"/>
      <c r="AV7051" s="120"/>
      <c r="AW7051" s="121"/>
      <c r="AX7051" s="120"/>
      <c r="AY7051" s="121"/>
      <c r="AZ7051" s="138"/>
    </row>
    <row r="7052" spans="1:52" ht="17.100000000000001" customHeight="1" thickTop="1">
      <c r="A7052" s="109" t="s">
        <v>20159</v>
      </c>
      <c r="B7052" s="28">
        <v>46094</v>
      </c>
      <c r="C7052" s="25">
        <v>282</v>
      </c>
      <c r="D7052" s="13" t="s">
        <v>1714</v>
      </c>
      <c r="E7052" s="111"/>
      <c r="F7052" s="113" t="s">
        <v>20171</v>
      </c>
      <c r="G7052" s="114"/>
      <c r="H7052" s="115"/>
      <c r="I7052" s="24"/>
      <c r="J7052" s="116">
        <v>4</v>
      </c>
      <c r="K7052" s="118">
        <v>565000</v>
      </c>
      <c r="L7052" s="119"/>
      <c r="M7052" s="118">
        <f t="shared" ref="M7052" si="10021">K7052*0.1</f>
        <v>56500</v>
      </c>
      <c r="N7052" s="119"/>
      <c r="O7052" s="118">
        <v>0</v>
      </c>
      <c r="P7052" s="119"/>
      <c r="Q7052" s="118">
        <v>8740</v>
      </c>
      <c r="R7052" s="119"/>
      <c r="S7052" s="118">
        <v>22000</v>
      </c>
      <c r="T7052" s="119"/>
      <c r="U7052" s="118">
        <f t="shared" ref="U7052" si="10022">SUM(K7052:T7053)</f>
        <v>652240</v>
      </c>
      <c r="V7052" s="122"/>
      <c r="W7052" s="124"/>
      <c r="X7052" s="126" t="s">
        <v>20541</v>
      </c>
      <c r="Y7052" s="127"/>
      <c r="Z7052" s="127"/>
      <c r="AA7052" s="127"/>
      <c r="AB7052" s="128"/>
      <c r="AC7052" s="15" t="s">
        <v>20</v>
      </c>
      <c r="AD7052" s="129" t="s">
        <v>9186</v>
      </c>
      <c r="AE7052" s="130"/>
      <c r="AF7052" s="130"/>
      <c r="AG7052" s="130"/>
      <c r="AH7052" s="130"/>
      <c r="AI7052" s="131"/>
      <c r="AJ7052" s="132"/>
      <c r="AK7052" s="127"/>
      <c r="AL7052" s="128"/>
      <c r="AM7052" s="21"/>
      <c r="AN7052" s="133">
        <v>46099</v>
      </c>
      <c r="AO7052" s="134"/>
      <c r="AP7052" s="135">
        <v>1009</v>
      </c>
      <c r="AQ7052" s="136"/>
      <c r="AR7052" s="118">
        <v>670000</v>
      </c>
      <c r="AS7052" s="119"/>
      <c r="AT7052" s="118">
        <f t="shared" ref="AT7052" si="10023">AR7052*0.1</f>
        <v>67000</v>
      </c>
      <c r="AU7052" s="119"/>
      <c r="AV7052" s="118">
        <v>8740</v>
      </c>
      <c r="AW7052" s="119"/>
      <c r="AX7052" s="118">
        <f t="shared" ref="AX7052" si="10024">SUM(AR7052:AW7052)</f>
        <v>745740</v>
      </c>
      <c r="AY7052" s="119"/>
      <c r="AZ7052" s="137">
        <v>46105</v>
      </c>
    </row>
    <row r="7053" spans="1:52" ht="17.100000000000001" customHeight="1" thickBot="1">
      <c r="A7053" s="110"/>
      <c r="B7053" s="27" t="s">
        <v>20156</v>
      </c>
      <c r="C7053" s="27">
        <v>91</v>
      </c>
      <c r="D7053" s="14" t="s">
        <v>1576</v>
      </c>
      <c r="E7053" s="112"/>
      <c r="F7053" s="139" t="s">
        <v>20165</v>
      </c>
      <c r="G7053" s="140"/>
      <c r="H7053" s="141"/>
      <c r="I7053" s="26">
        <v>60811</v>
      </c>
      <c r="J7053" s="117"/>
      <c r="K7053" s="120"/>
      <c r="L7053" s="121"/>
      <c r="M7053" s="120"/>
      <c r="N7053" s="121"/>
      <c r="O7053" s="120"/>
      <c r="P7053" s="121"/>
      <c r="Q7053" s="120"/>
      <c r="R7053" s="121"/>
      <c r="S7053" s="120"/>
      <c r="T7053" s="121"/>
      <c r="U7053" s="120"/>
      <c r="V7053" s="123"/>
      <c r="W7053" s="125"/>
      <c r="X7053" s="142" t="s">
        <v>13172</v>
      </c>
      <c r="Y7053" s="143"/>
      <c r="Z7053" s="143"/>
      <c r="AA7053" s="143"/>
      <c r="AB7053" s="144"/>
      <c r="AC7053" s="16" t="s">
        <v>21</v>
      </c>
      <c r="AD7053" s="17" t="s">
        <v>20491</v>
      </c>
      <c r="AE7053" s="145" t="s">
        <v>9186</v>
      </c>
      <c r="AF7053" s="146"/>
      <c r="AG7053" s="146"/>
      <c r="AH7053" s="146"/>
      <c r="AI7053" s="147"/>
      <c r="AJ7053" s="148"/>
      <c r="AK7053" s="143"/>
      <c r="AL7053" s="144"/>
      <c r="AM7053" s="22"/>
      <c r="AN7053" s="149" t="s">
        <v>20958</v>
      </c>
      <c r="AO7053" s="144"/>
      <c r="AP7053" s="148">
        <v>5127</v>
      </c>
      <c r="AQ7053" s="144"/>
      <c r="AR7053" s="120"/>
      <c r="AS7053" s="121"/>
      <c r="AT7053" s="120"/>
      <c r="AU7053" s="121"/>
      <c r="AV7053" s="120"/>
      <c r="AW7053" s="121"/>
      <c r="AX7053" s="120"/>
      <c r="AY7053" s="121"/>
      <c r="AZ7053" s="138"/>
    </row>
    <row r="7054" spans="1:52" ht="17.100000000000001" customHeight="1" thickTop="1">
      <c r="A7054" s="109" t="s">
        <v>20160</v>
      </c>
      <c r="B7054" s="28">
        <v>46094</v>
      </c>
      <c r="C7054" s="25">
        <v>282</v>
      </c>
      <c r="D7054" s="13" t="s">
        <v>1615</v>
      </c>
      <c r="E7054" s="111"/>
      <c r="F7054" s="113" t="s">
        <v>4585</v>
      </c>
      <c r="G7054" s="114"/>
      <c r="H7054" s="115"/>
      <c r="I7054" s="24"/>
      <c r="J7054" s="116">
        <v>4</v>
      </c>
      <c r="K7054" s="118">
        <v>695000</v>
      </c>
      <c r="L7054" s="119"/>
      <c r="M7054" s="118">
        <f t="shared" ref="M7054" si="10025">K7054*0.1</f>
        <v>69500</v>
      </c>
      <c r="N7054" s="119"/>
      <c r="O7054" s="118">
        <v>0</v>
      </c>
      <c r="P7054" s="119"/>
      <c r="Q7054" s="118">
        <v>9010</v>
      </c>
      <c r="R7054" s="119"/>
      <c r="S7054" s="118">
        <v>22000</v>
      </c>
      <c r="T7054" s="119"/>
      <c r="U7054" s="118">
        <f t="shared" ref="U7054" si="10026">SUM(K7054:T7055)</f>
        <v>795510</v>
      </c>
      <c r="V7054" s="122"/>
      <c r="W7054" s="124"/>
      <c r="X7054" s="126" t="s">
        <v>20500</v>
      </c>
      <c r="Y7054" s="127"/>
      <c r="Z7054" s="127"/>
      <c r="AA7054" s="127"/>
      <c r="AB7054" s="128"/>
      <c r="AC7054" s="15" t="s">
        <v>20</v>
      </c>
      <c r="AD7054" s="129" t="s">
        <v>3485</v>
      </c>
      <c r="AE7054" s="130"/>
      <c r="AF7054" s="130"/>
      <c r="AG7054" s="130"/>
      <c r="AH7054" s="130"/>
      <c r="AI7054" s="131"/>
      <c r="AJ7054" s="132"/>
      <c r="AK7054" s="127"/>
      <c r="AL7054" s="128"/>
      <c r="AM7054" s="21"/>
      <c r="AN7054" s="133">
        <v>46098</v>
      </c>
      <c r="AO7054" s="134"/>
      <c r="AP7054" s="135"/>
      <c r="AQ7054" s="136"/>
      <c r="AR7054" s="118">
        <v>850000</v>
      </c>
      <c r="AS7054" s="119"/>
      <c r="AT7054" s="118">
        <f t="shared" ref="AT7054" si="10027">AR7054*0.1</f>
        <v>85000</v>
      </c>
      <c r="AU7054" s="119"/>
      <c r="AV7054" s="118">
        <v>9010</v>
      </c>
      <c r="AW7054" s="119"/>
      <c r="AX7054" s="118">
        <f t="shared" ref="AX7054" si="10028">SUM(AR7054:AW7054)</f>
        <v>944010</v>
      </c>
      <c r="AY7054" s="119"/>
      <c r="AZ7054" s="137"/>
    </row>
    <row r="7055" spans="1:52" ht="17.100000000000001" customHeight="1" thickBot="1">
      <c r="A7055" s="110"/>
      <c r="B7055" s="27" t="s">
        <v>20156</v>
      </c>
      <c r="C7055" s="27">
        <v>98</v>
      </c>
      <c r="D7055" s="14" t="s">
        <v>2601</v>
      </c>
      <c r="E7055" s="112"/>
      <c r="F7055" s="139" t="s">
        <v>20166</v>
      </c>
      <c r="G7055" s="140"/>
      <c r="H7055" s="141"/>
      <c r="I7055" s="26">
        <v>115900</v>
      </c>
      <c r="J7055" s="117"/>
      <c r="K7055" s="120"/>
      <c r="L7055" s="121"/>
      <c r="M7055" s="120"/>
      <c r="N7055" s="121"/>
      <c r="O7055" s="120"/>
      <c r="P7055" s="121"/>
      <c r="Q7055" s="120"/>
      <c r="R7055" s="121"/>
      <c r="S7055" s="120"/>
      <c r="T7055" s="121"/>
      <c r="U7055" s="120"/>
      <c r="V7055" s="123"/>
      <c r="W7055" s="125"/>
      <c r="X7055" s="142" t="s">
        <v>20501</v>
      </c>
      <c r="Y7055" s="143"/>
      <c r="Z7055" s="143"/>
      <c r="AA7055" s="143"/>
      <c r="AB7055" s="144"/>
      <c r="AC7055" s="16" t="s">
        <v>21</v>
      </c>
      <c r="AD7055" s="17" t="s">
        <v>20491</v>
      </c>
      <c r="AE7055" s="145" t="s">
        <v>2269</v>
      </c>
      <c r="AF7055" s="146"/>
      <c r="AG7055" s="146"/>
      <c r="AH7055" s="146"/>
      <c r="AI7055" s="147"/>
      <c r="AJ7055" s="148"/>
      <c r="AK7055" s="143"/>
      <c r="AL7055" s="144"/>
      <c r="AM7055" s="22"/>
      <c r="AN7055" s="149" t="s">
        <v>6789</v>
      </c>
      <c r="AO7055" s="144"/>
      <c r="AP7055" s="148">
        <v>87165</v>
      </c>
      <c r="AQ7055" s="144"/>
      <c r="AR7055" s="120"/>
      <c r="AS7055" s="121"/>
      <c r="AT7055" s="120"/>
      <c r="AU7055" s="121"/>
      <c r="AV7055" s="120"/>
      <c r="AW7055" s="121"/>
      <c r="AX7055" s="120"/>
      <c r="AY7055" s="121"/>
      <c r="AZ7055" s="138"/>
    </row>
    <row r="7056" spans="1:52" ht="17.100000000000001" customHeight="1" thickTop="1">
      <c r="A7056" s="109" t="s">
        <v>20161</v>
      </c>
      <c r="B7056" s="28">
        <v>46094</v>
      </c>
      <c r="C7056" s="25">
        <v>282</v>
      </c>
      <c r="D7056" s="13" t="s">
        <v>1767</v>
      </c>
      <c r="E7056" s="111"/>
      <c r="F7056" s="113" t="s">
        <v>20170</v>
      </c>
      <c r="G7056" s="114"/>
      <c r="H7056" s="115"/>
      <c r="I7056" s="24" t="s">
        <v>2152</v>
      </c>
      <c r="J7056" s="116">
        <v>4.5</v>
      </c>
      <c r="K7056" s="118">
        <v>216000</v>
      </c>
      <c r="L7056" s="119"/>
      <c r="M7056" s="118">
        <f t="shared" ref="M7056" si="10029">K7056*0.1</f>
        <v>21600</v>
      </c>
      <c r="N7056" s="119"/>
      <c r="O7056" s="118">
        <v>0</v>
      </c>
      <c r="P7056" s="119"/>
      <c r="Q7056" s="118">
        <v>7320</v>
      </c>
      <c r="R7056" s="119"/>
      <c r="S7056" s="118">
        <v>22000</v>
      </c>
      <c r="T7056" s="119"/>
      <c r="U7056" s="118">
        <f t="shared" ref="U7056" si="10030">SUM(K7056:T7057)</f>
        <v>266920</v>
      </c>
      <c r="V7056" s="122"/>
      <c r="W7056" s="124"/>
      <c r="X7056" s="126" t="s">
        <v>20540</v>
      </c>
      <c r="Y7056" s="127"/>
      <c r="Z7056" s="127"/>
      <c r="AA7056" s="127"/>
      <c r="AB7056" s="128"/>
      <c r="AC7056" s="15" t="s">
        <v>20</v>
      </c>
      <c r="AD7056" s="129" t="s">
        <v>3896</v>
      </c>
      <c r="AE7056" s="130"/>
      <c r="AF7056" s="130"/>
      <c r="AG7056" s="130"/>
      <c r="AH7056" s="130"/>
      <c r="AI7056" s="131"/>
      <c r="AJ7056" s="132"/>
      <c r="AK7056" s="127"/>
      <c r="AL7056" s="128"/>
      <c r="AM7056" s="21"/>
      <c r="AN7056" s="133">
        <v>46106</v>
      </c>
      <c r="AO7056" s="134"/>
      <c r="AP7056" s="135">
        <v>1010</v>
      </c>
      <c r="AQ7056" s="136"/>
      <c r="AR7056" s="118">
        <v>265000</v>
      </c>
      <c r="AS7056" s="119"/>
      <c r="AT7056" s="118">
        <f t="shared" ref="AT7056" si="10031">AR7056*0.1</f>
        <v>26500</v>
      </c>
      <c r="AU7056" s="119"/>
      <c r="AV7056" s="118">
        <v>7320</v>
      </c>
      <c r="AW7056" s="119"/>
      <c r="AX7056" s="118">
        <f t="shared" ref="AX7056" si="10032">SUM(AR7056:AW7056)</f>
        <v>298820</v>
      </c>
      <c r="AY7056" s="119"/>
      <c r="AZ7056" s="137">
        <v>46111</v>
      </c>
    </row>
    <row r="7057" spans="1:52" ht="17.100000000000001" customHeight="1" thickBot="1">
      <c r="A7057" s="110"/>
      <c r="B7057" s="27" t="s">
        <v>20156</v>
      </c>
      <c r="C7057" s="27">
        <v>99</v>
      </c>
      <c r="D7057" s="14" t="s">
        <v>1592</v>
      </c>
      <c r="E7057" s="112"/>
      <c r="F7057" s="139" t="s">
        <v>20167</v>
      </c>
      <c r="G7057" s="140"/>
      <c r="H7057" s="141"/>
      <c r="I7057" s="26">
        <v>49935</v>
      </c>
      <c r="J7057" s="117"/>
      <c r="K7057" s="120"/>
      <c r="L7057" s="121"/>
      <c r="M7057" s="120"/>
      <c r="N7057" s="121"/>
      <c r="O7057" s="120"/>
      <c r="P7057" s="121"/>
      <c r="Q7057" s="120"/>
      <c r="R7057" s="121"/>
      <c r="S7057" s="120"/>
      <c r="T7057" s="121"/>
      <c r="U7057" s="120"/>
      <c r="V7057" s="123"/>
      <c r="W7057" s="125"/>
      <c r="X7057" s="142" t="s">
        <v>2659</v>
      </c>
      <c r="Y7057" s="143"/>
      <c r="Z7057" s="143"/>
      <c r="AA7057" s="143"/>
      <c r="AB7057" s="144"/>
      <c r="AC7057" s="16" t="s">
        <v>21</v>
      </c>
      <c r="AD7057" s="17" t="s">
        <v>20491</v>
      </c>
      <c r="AE7057" s="145" t="s">
        <v>3896</v>
      </c>
      <c r="AF7057" s="146"/>
      <c r="AG7057" s="146"/>
      <c r="AH7057" s="146"/>
      <c r="AI7057" s="147"/>
      <c r="AJ7057" s="148"/>
      <c r="AK7057" s="143"/>
      <c r="AL7057" s="144"/>
      <c r="AM7057" s="22"/>
      <c r="AN7057" s="149" t="s">
        <v>2794</v>
      </c>
      <c r="AO7057" s="144"/>
      <c r="AP7057" s="148">
        <v>5093</v>
      </c>
      <c r="AQ7057" s="144"/>
      <c r="AR7057" s="120"/>
      <c r="AS7057" s="121"/>
      <c r="AT7057" s="120"/>
      <c r="AU7057" s="121"/>
      <c r="AV7057" s="120"/>
      <c r="AW7057" s="121"/>
      <c r="AX7057" s="120"/>
      <c r="AY7057" s="121"/>
      <c r="AZ7057" s="138"/>
    </row>
    <row r="7058" spans="1:52" ht="17.100000000000001" customHeight="1" thickTop="1">
      <c r="A7058" s="109" t="s">
        <v>20162</v>
      </c>
      <c r="B7058" s="28">
        <v>46094</v>
      </c>
      <c r="C7058" s="25">
        <v>282</v>
      </c>
      <c r="D7058" s="13" t="s">
        <v>2914</v>
      </c>
      <c r="E7058" s="111"/>
      <c r="F7058" s="113" t="s">
        <v>20169</v>
      </c>
      <c r="G7058" s="114"/>
      <c r="H7058" s="115"/>
      <c r="I7058" s="24"/>
      <c r="J7058" s="116">
        <v>4</v>
      </c>
      <c r="K7058" s="118">
        <v>994000</v>
      </c>
      <c r="L7058" s="119"/>
      <c r="M7058" s="118">
        <f t="shared" ref="M7058" si="10033">K7058*0.1</f>
        <v>99400</v>
      </c>
      <c r="N7058" s="119"/>
      <c r="O7058" s="118">
        <v>0</v>
      </c>
      <c r="P7058" s="119"/>
      <c r="Q7058" s="118">
        <v>8400</v>
      </c>
      <c r="R7058" s="119"/>
      <c r="S7058" s="118">
        <v>22000</v>
      </c>
      <c r="T7058" s="119"/>
      <c r="U7058" s="118">
        <f t="shared" ref="U7058" si="10034">SUM(K7058:T7059)</f>
        <v>1123800</v>
      </c>
      <c r="V7058" s="122"/>
      <c r="W7058" s="124"/>
      <c r="X7058" s="126" t="s">
        <v>20363</v>
      </c>
      <c r="Y7058" s="127"/>
      <c r="Z7058" s="127"/>
      <c r="AA7058" s="127"/>
      <c r="AB7058" s="128"/>
      <c r="AC7058" s="15" t="s">
        <v>20</v>
      </c>
      <c r="AD7058" s="129" t="s">
        <v>9186</v>
      </c>
      <c r="AE7058" s="130"/>
      <c r="AF7058" s="130"/>
      <c r="AG7058" s="130"/>
      <c r="AH7058" s="130"/>
      <c r="AI7058" s="131"/>
      <c r="AJ7058" s="132"/>
      <c r="AK7058" s="127"/>
      <c r="AL7058" s="128"/>
      <c r="AM7058" s="21"/>
      <c r="AN7058" s="133">
        <v>46099</v>
      </c>
      <c r="AO7058" s="134"/>
      <c r="AP7058" s="135">
        <v>1009</v>
      </c>
      <c r="AQ7058" s="136"/>
      <c r="AR7058" s="118">
        <v>1060000</v>
      </c>
      <c r="AS7058" s="119"/>
      <c r="AT7058" s="118">
        <f t="shared" ref="AT7058" si="10035">AR7058*0.1</f>
        <v>106000</v>
      </c>
      <c r="AU7058" s="119"/>
      <c r="AV7058" s="118">
        <v>8400</v>
      </c>
      <c r="AW7058" s="119"/>
      <c r="AX7058" s="118">
        <f t="shared" ref="AX7058" si="10036">SUM(AR7058:AW7058)</f>
        <v>1174400</v>
      </c>
      <c r="AY7058" s="119"/>
      <c r="AZ7058" s="137">
        <v>46105</v>
      </c>
    </row>
    <row r="7059" spans="1:52" ht="17.100000000000001" customHeight="1" thickBot="1">
      <c r="A7059" s="110"/>
      <c r="B7059" s="27" t="s">
        <v>20156</v>
      </c>
      <c r="C7059" s="27">
        <v>20010</v>
      </c>
      <c r="D7059" s="14" t="s">
        <v>1592</v>
      </c>
      <c r="E7059" s="112"/>
      <c r="F7059" s="139" t="s">
        <v>20168</v>
      </c>
      <c r="G7059" s="140"/>
      <c r="H7059" s="141"/>
      <c r="I7059" s="26">
        <v>23759</v>
      </c>
      <c r="J7059" s="117"/>
      <c r="K7059" s="120"/>
      <c r="L7059" s="121"/>
      <c r="M7059" s="120"/>
      <c r="N7059" s="121"/>
      <c r="O7059" s="120"/>
      <c r="P7059" s="121"/>
      <c r="Q7059" s="120"/>
      <c r="R7059" s="121"/>
      <c r="S7059" s="120"/>
      <c r="T7059" s="121"/>
      <c r="U7059" s="120"/>
      <c r="V7059" s="123"/>
      <c r="W7059" s="125"/>
      <c r="X7059" s="142" t="s">
        <v>8800</v>
      </c>
      <c r="Y7059" s="143"/>
      <c r="Z7059" s="143"/>
      <c r="AA7059" s="143"/>
      <c r="AB7059" s="144"/>
      <c r="AC7059" s="16" t="s">
        <v>21</v>
      </c>
      <c r="AD7059" s="17" t="s">
        <v>2376</v>
      </c>
      <c r="AE7059" s="145" t="s">
        <v>9186</v>
      </c>
      <c r="AF7059" s="146"/>
      <c r="AG7059" s="146"/>
      <c r="AH7059" s="146"/>
      <c r="AI7059" s="147"/>
      <c r="AJ7059" s="148"/>
      <c r="AK7059" s="143"/>
      <c r="AL7059" s="144"/>
      <c r="AM7059" s="22"/>
      <c r="AN7059" s="149" t="s">
        <v>2794</v>
      </c>
      <c r="AO7059" s="144"/>
      <c r="AP7059" s="148">
        <v>5161</v>
      </c>
      <c r="AQ7059" s="144"/>
      <c r="AR7059" s="120"/>
      <c r="AS7059" s="121"/>
      <c r="AT7059" s="120"/>
      <c r="AU7059" s="121"/>
      <c r="AV7059" s="120"/>
      <c r="AW7059" s="121"/>
      <c r="AX7059" s="120"/>
      <c r="AY7059" s="121"/>
      <c r="AZ7059" s="138"/>
    </row>
    <row r="7060" spans="1:52" ht="17.100000000000001" customHeight="1" thickTop="1">
      <c r="A7060" s="109" t="s">
        <v>20189</v>
      </c>
      <c r="B7060" s="28">
        <v>46094</v>
      </c>
      <c r="C7060" s="25">
        <v>1410</v>
      </c>
      <c r="D7060" s="13" t="s">
        <v>1537</v>
      </c>
      <c r="E7060" s="111"/>
      <c r="F7060" s="113" t="s">
        <v>17176</v>
      </c>
      <c r="G7060" s="114"/>
      <c r="H7060" s="115"/>
      <c r="I7060" s="24"/>
      <c r="J7060" s="116">
        <v>4.5</v>
      </c>
      <c r="K7060" s="118">
        <v>1359000</v>
      </c>
      <c r="L7060" s="119"/>
      <c r="M7060" s="118">
        <f t="shared" ref="M7060" si="10037">K7060*0.1</f>
        <v>135900</v>
      </c>
      <c r="N7060" s="119"/>
      <c r="O7060" s="118">
        <v>0</v>
      </c>
      <c r="P7060" s="119"/>
      <c r="Q7060" s="118">
        <v>7790</v>
      </c>
      <c r="R7060" s="119"/>
      <c r="S7060" s="118">
        <v>15400</v>
      </c>
      <c r="T7060" s="119"/>
      <c r="U7060" s="118">
        <f t="shared" ref="U7060" si="10038">SUM(K7060:T7061)</f>
        <v>1518090</v>
      </c>
      <c r="V7060" s="122"/>
      <c r="W7060" s="124"/>
      <c r="X7060" s="126" t="s">
        <v>20543</v>
      </c>
      <c r="Y7060" s="127"/>
      <c r="Z7060" s="127"/>
      <c r="AA7060" s="127"/>
      <c r="AB7060" s="128"/>
      <c r="AC7060" s="15" t="s">
        <v>20</v>
      </c>
      <c r="AD7060" s="129"/>
      <c r="AE7060" s="130"/>
      <c r="AF7060" s="130"/>
      <c r="AG7060" s="130"/>
      <c r="AH7060" s="130"/>
      <c r="AI7060" s="131"/>
      <c r="AJ7060" s="132"/>
      <c r="AK7060" s="127"/>
      <c r="AL7060" s="128"/>
      <c r="AM7060" s="21"/>
      <c r="AN7060" s="133">
        <v>46106</v>
      </c>
      <c r="AO7060" s="134"/>
      <c r="AP7060" s="135">
        <v>1010</v>
      </c>
      <c r="AQ7060" s="136"/>
      <c r="AR7060" s="118">
        <v>1370000</v>
      </c>
      <c r="AS7060" s="119"/>
      <c r="AT7060" s="118">
        <f t="shared" ref="AT7060" si="10039">AR7060*0.1</f>
        <v>137000</v>
      </c>
      <c r="AU7060" s="119"/>
      <c r="AV7060" s="118">
        <v>7790</v>
      </c>
      <c r="AW7060" s="119"/>
      <c r="AX7060" s="118">
        <f t="shared" ref="AX7060" si="10040">SUM(AR7060:AW7060)</f>
        <v>1514790</v>
      </c>
      <c r="AY7060" s="119"/>
      <c r="AZ7060" s="137">
        <v>46111</v>
      </c>
    </row>
    <row r="7061" spans="1:52" ht="17.100000000000001" customHeight="1" thickBot="1">
      <c r="A7061" s="110"/>
      <c r="B7061" s="27" t="s">
        <v>2641</v>
      </c>
      <c r="C7061" s="27">
        <v>3031</v>
      </c>
      <c r="D7061" s="14" t="s">
        <v>2601</v>
      </c>
      <c r="E7061" s="112"/>
      <c r="F7061" s="139" t="s">
        <v>20204</v>
      </c>
      <c r="G7061" s="140"/>
      <c r="H7061" s="141"/>
      <c r="I7061" s="26">
        <v>36370</v>
      </c>
      <c r="J7061" s="117"/>
      <c r="K7061" s="120"/>
      <c r="L7061" s="121"/>
      <c r="M7061" s="120"/>
      <c r="N7061" s="121"/>
      <c r="O7061" s="120"/>
      <c r="P7061" s="121"/>
      <c r="Q7061" s="120"/>
      <c r="R7061" s="121"/>
      <c r="S7061" s="120"/>
      <c r="T7061" s="121"/>
      <c r="U7061" s="120"/>
      <c r="V7061" s="123"/>
      <c r="W7061" s="125"/>
      <c r="X7061" s="142" t="s">
        <v>20544</v>
      </c>
      <c r="Y7061" s="143"/>
      <c r="Z7061" s="143"/>
      <c r="AA7061" s="143"/>
      <c r="AB7061" s="144"/>
      <c r="AC7061" s="16" t="s">
        <v>21</v>
      </c>
      <c r="AD7061" s="17" t="s">
        <v>20491</v>
      </c>
      <c r="AE7061" s="145" t="s">
        <v>20545</v>
      </c>
      <c r="AF7061" s="146"/>
      <c r="AG7061" s="146"/>
      <c r="AH7061" s="146"/>
      <c r="AI7061" s="147"/>
      <c r="AJ7061" s="148"/>
      <c r="AK7061" s="143"/>
      <c r="AL7061" s="144"/>
      <c r="AM7061" s="22"/>
      <c r="AN7061" s="149" t="s">
        <v>2794</v>
      </c>
      <c r="AO7061" s="144"/>
      <c r="AP7061" s="148">
        <v>2070</v>
      </c>
      <c r="AQ7061" s="144"/>
      <c r="AR7061" s="120"/>
      <c r="AS7061" s="121"/>
      <c r="AT7061" s="120"/>
      <c r="AU7061" s="121"/>
      <c r="AV7061" s="120"/>
      <c r="AW7061" s="121"/>
      <c r="AX7061" s="120"/>
      <c r="AY7061" s="121"/>
      <c r="AZ7061" s="138"/>
    </row>
    <row r="7062" spans="1:52" ht="17.100000000000001" customHeight="1" thickTop="1">
      <c r="A7062" s="109" t="s">
        <v>20190</v>
      </c>
      <c r="B7062" s="28">
        <v>46094</v>
      </c>
      <c r="C7062" s="25">
        <v>1410</v>
      </c>
      <c r="D7062" s="13" t="s">
        <v>1714</v>
      </c>
      <c r="E7062" s="111"/>
      <c r="F7062" s="113" t="s">
        <v>18209</v>
      </c>
      <c r="G7062" s="114"/>
      <c r="H7062" s="115"/>
      <c r="I7062" s="24"/>
      <c r="J7062" s="116">
        <v>4.5</v>
      </c>
      <c r="K7062" s="118">
        <v>1091000</v>
      </c>
      <c r="L7062" s="119"/>
      <c r="M7062" s="118">
        <f t="shared" ref="M7062" si="10041">K7062*0.1</f>
        <v>109100</v>
      </c>
      <c r="N7062" s="119"/>
      <c r="O7062" s="118">
        <v>0</v>
      </c>
      <c r="P7062" s="119"/>
      <c r="Q7062" s="118">
        <v>9140</v>
      </c>
      <c r="R7062" s="119"/>
      <c r="S7062" s="118">
        <v>15400</v>
      </c>
      <c r="T7062" s="119"/>
      <c r="U7062" s="118">
        <f t="shared" ref="U7062" si="10042">SUM(K7062:T7063)</f>
        <v>1224640</v>
      </c>
      <c r="V7062" s="122"/>
      <c r="W7062" s="124"/>
      <c r="X7062" s="126" t="s">
        <v>20584</v>
      </c>
      <c r="Y7062" s="127"/>
      <c r="Z7062" s="127"/>
      <c r="AA7062" s="127"/>
      <c r="AB7062" s="128"/>
      <c r="AC7062" s="15" t="s">
        <v>20</v>
      </c>
      <c r="AD7062" s="129" t="s">
        <v>20258</v>
      </c>
      <c r="AE7062" s="130"/>
      <c r="AF7062" s="130"/>
      <c r="AG7062" s="130"/>
      <c r="AH7062" s="130"/>
      <c r="AI7062" s="131"/>
      <c r="AJ7062" s="132"/>
      <c r="AK7062" s="127"/>
      <c r="AL7062" s="128"/>
      <c r="AM7062" s="21"/>
      <c r="AN7062" s="133"/>
      <c r="AO7062" s="134"/>
      <c r="AP7062" s="135"/>
      <c r="AQ7062" s="136"/>
      <c r="AR7062" s="118"/>
      <c r="AS7062" s="119"/>
      <c r="AT7062" s="118">
        <f t="shared" ref="AT7062" si="10043">AR7062*0.1</f>
        <v>0</v>
      </c>
      <c r="AU7062" s="119"/>
      <c r="AV7062" s="118"/>
      <c r="AW7062" s="119"/>
      <c r="AX7062" s="118">
        <f t="shared" ref="AX7062" si="10044">SUM(AR7062:AW7062)</f>
        <v>0</v>
      </c>
      <c r="AY7062" s="119"/>
      <c r="AZ7062" s="137"/>
    </row>
    <row r="7063" spans="1:52" ht="17.100000000000001" customHeight="1" thickBot="1">
      <c r="A7063" s="110"/>
      <c r="B7063" s="27" t="s">
        <v>2641</v>
      </c>
      <c r="C7063" s="27">
        <v>3071</v>
      </c>
      <c r="D7063" s="14" t="s">
        <v>275</v>
      </c>
      <c r="E7063" s="112"/>
      <c r="F7063" s="139" t="s">
        <v>20205</v>
      </c>
      <c r="G7063" s="140"/>
      <c r="H7063" s="141"/>
      <c r="I7063" s="26">
        <v>48405</v>
      </c>
      <c r="J7063" s="117"/>
      <c r="K7063" s="120"/>
      <c r="L7063" s="121"/>
      <c r="M7063" s="120"/>
      <c r="N7063" s="121"/>
      <c r="O7063" s="120"/>
      <c r="P7063" s="121"/>
      <c r="Q7063" s="120"/>
      <c r="R7063" s="121"/>
      <c r="S7063" s="120"/>
      <c r="T7063" s="121"/>
      <c r="U7063" s="120"/>
      <c r="V7063" s="123"/>
      <c r="W7063" s="125"/>
      <c r="X7063" s="142" t="s">
        <v>3334</v>
      </c>
      <c r="Y7063" s="143"/>
      <c r="Z7063" s="143"/>
      <c r="AA7063" s="143"/>
      <c r="AB7063" s="144"/>
      <c r="AC7063" s="16" t="s">
        <v>21</v>
      </c>
      <c r="AD7063" s="17" t="s">
        <v>20553</v>
      </c>
      <c r="AE7063" s="145" t="s">
        <v>18376</v>
      </c>
      <c r="AF7063" s="146"/>
      <c r="AG7063" s="146"/>
      <c r="AH7063" s="146"/>
      <c r="AI7063" s="147"/>
      <c r="AJ7063" s="148"/>
      <c r="AK7063" s="143"/>
      <c r="AL7063" s="144"/>
      <c r="AM7063" s="22"/>
      <c r="AN7063" s="149"/>
      <c r="AO7063" s="144"/>
      <c r="AP7063" s="148"/>
      <c r="AQ7063" s="144"/>
      <c r="AR7063" s="120"/>
      <c r="AS7063" s="121"/>
      <c r="AT7063" s="120"/>
      <c r="AU7063" s="121"/>
      <c r="AV7063" s="120"/>
      <c r="AW7063" s="121"/>
      <c r="AX7063" s="120"/>
      <c r="AY7063" s="121"/>
      <c r="AZ7063" s="138"/>
    </row>
    <row r="7064" spans="1:52" ht="17.100000000000001" customHeight="1" thickTop="1">
      <c r="A7064" s="109" t="s">
        <v>20191</v>
      </c>
      <c r="B7064" s="28">
        <v>46094</v>
      </c>
      <c r="C7064" s="25">
        <v>1410</v>
      </c>
      <c r="D7064" s="13" t="s">
        <v>2141</v>
      </c>
      <c r="E7064" s="111"/>
      <c r="F7064" s="113" t="s">
        <v>20206</v>
      </c>
      <c r="G7064" s="114"/>
      <c r="H7064" s="115"/>
      <c r="I7064" s="24"/>
      <c r="J7064" s="116">
        <v>4</v>
      </c>
      <c r="K7064" s="118">
        <v>825000</v>
      </c>
      <c r="L7064" s="119"/>
      <c r="M7064" s="118">
        <f t="shared" ref="M7064" si="10045">K7064*0.1</f>
        <v>82500</v>
      </c>
      <c r="N7064" s="119"/>
      <c r="O7064" s="118">
        <v>0</v>
      </c>
      <c r="P7064" s="119"/>
      <c r="Q7064" s="118">
        <v>12030</v>
      </c>
      <c r="R7064" s="119"/>
      <c r="S7064" s="118">
        <v>15400</v>
      </c>
      <c r="T7064" s="119"/>
      <c r="U7064" s="118">
        <f t="shared" ref="U7064" si="10046">SUM(K7064:T7065)</f>
        <v>934930</v>
      </c>
      <c r="V7064" s="122"/>
      <c r="W7064" s="124"/>
      <c r="X7064" s="126" t="s">
        <v>20496</v>
      </c>
      <c r="Y7064" s="127"/>
      <c r="Z7064" s="127"/>
      <c r="AA7064" s="127"/>
      <c r="AB7064" s="128"/>
      <c r="AC7064" s="15" t="s">
        <v>20</v>
      </c>
      <c r="AD7064" s="129"/>
      <c r="AE7064" s="130"/>
      <c r="AF7064" s="130"/>
      <c r="AG7064" s="130"/>
      <c r="AH7064" s="130"/>
      <c r="AI7064" s="131"/>
      <c r="AJ7064" s="132"/>
      <c r="AK7064" s="127"/>
      <c r="AL7064" s="128"/>
      <c r="AM7064" s="21"/>
      <c r="AN7064" s="133">
        <v>46099</v>
      </c>
      <c r="AO7064" s="134"/>
      <c r="AP7064" s="135">
        <v>1009</v>
      </c>
      <c r="AQ7064" s="136"/>
      <c r="AR7064" s="118">
        <v>980000</v>
      </c>
      <c r="AS7064" s="119"/>
      <c r="AT7064" s="118">
        <f t="shared" ref="AT7064" si="10047">AR7064*0.1</f>
        <v>98000</v>
      </c>
      <c r="AU7064" s="119"/>
      <c r="AV7064" s="118">
        <v>12030</v>
      </c>
      <c r="AW7064" s="119"/>
      <c r="AX7064" s="118">
        <f t="shared" ref="AX7064" si="10048">SUM(AR7064:AW7064)</f>
        <v>1090030</v>
      </c>
      <c r="AY7064" s="119"/>
      <c r="AZ7064" s="137">
        <v>46105</v>
      </c>
    </row>
    <row r="7065" spans="1:52" ht="17.100000000000001" customHeight="1" thickBot="1">
      <c r="A7065" s="110"/>
      <c r="B7065" s="27" t="s">
        <v>2641</v>
      </c>
      <c r="C7065" s="27">
        <v>3172</v>
      </c>
      <c r="D7065" s="14" t="s">
        <v>2601</v>
      </c>
      <c r="E7065" s="112"/>
      <c r="F7065" s="139" t="s">
        <v>20207</v>
      </c>
      <c r="G7065" s="140"/>
      <c r="H7065" s="141"/>
      <c r="I7065" s="26">
        <v>105000</v>
      </c>
      <c r="J7065" s="117"/>
      <c r="K7065" s="120"/>
      <c r="L7065" s="121"/>
      <c r="M7065" s="120"/>
      <c r="N7065" s="121"/>
      <c r="O7065" s="120"/>
      <c r="P7065" s="121"/>
      <c r="Q7065" s="120"/>
      <c r="R7065" s="121"/>
      <c r="S7065" s="120"/>
      <c r="T7065" s="121"/>
      <c r="U7065" s="120"/>
      <c r="V7065" s="123"/>
      <c r="W7065" s="125"/>
      <c r="X7065" s="142" t="s">
        <v>1997</v>
      </c>
      <c r="Y7065" s="143"/>
      <c r="Z7065" s="143"/>
      <c r="AA7065" s="143"/>
      <c r="AB7065" s="144"/>
      <c r="AC7065" s="16" t="s">
        <v>21</v>
      </c>
      <c r="AD7065" s="17" t="s">
        <v>20491</v>
      </c>
      <c r="AE7065" s="145" t="s">
        <v>15058</v>
      </c>
      <c r="AF7065" s="146"/>
      <c r="AG7065" s="146"/>
      <c r="AH7065" s="146"/>
      <c r="AI7065" s="147"/>
      <c r="AJ7065" s="148"/>
      <c r="AK7065" s="143"/>
      <c r="AL7065" s="144"/>
      <c r="AM7065" s="22"/>
      <c r="AN7065" s="149" t="s">
        <v>2794</v>
      </c>
      <c r="AO7065" s="144"/>
      <c r="AP7065" s="148">
        <v>5121</v>
      </c>
      <c r="AQ7065" s="144"/>
      <c r="AR7065" s="120"/>
      <c r="AS7065" s="121"/>
      <c r="AT7065" s="120"/>
      <c r="AU7065" s="121"/>
      <c r="AV7065" s="120"/>
      <c r="AW7065" s="121"/>
      <c r="AX7065" s="120"/>
      <c r="AY7065" s="121"/>
      <c r="AZ7065" s="138"/>
    </row>
    <row r="7066" spans="1:52" ht="17.100000000000001" customHeight="1" thickTop="1">
      <c r="A7066" s="109" t="s">
        <v>20192</v>
      </c>
      <c r="B7066" s="28">
        <v>46094</v>
      </c>
      <c r="C7066" s="25">
        <v>1410</v>
      </c>
      <c r="D7066" s="13" t="s">
        <v>4287</v>
      </c>
      <c r="E7066" s="111"/>
      <c r="F7066" s="113" t="s">
        <v>7632</v>
      </c>
      <c r="G7066" s="114"/>
      <c r="H7066" s="115"/>
      <c r="I7066" s="24" t="s">
        <v>13277</v>
      </c>
      <c r="J7066" s="116">
        <v>5</v>
      </c>
      <c r="K7066" s="118">
        <v>1100000</v>
      </c>
      <c r="L7066" s="119"/>
      <c r="M7066" s="118">
        <f t="shared" ref="M7066" si="10049">K7066*0.1</f>
        <v>110000</v>
      </c>
      <c r="N7066" s="119"/>
      <c r="O7066" s="118">
        <v>10800</v>
      </c>
      <c r="P7066" s="119"/>
      <c r="Q7066" s="118">
        <v>5670</v>
      </c>
      <c r="R7066" s="119"/>
      <c r="S7066" s="118">
        <v>15400</v>
      </c>
      <c r="T7066" s="119"/>
      <c r="U7066" s="118">
        <f t="shared" ref="U7066" si="10050">SUM(K7066:T7067)</f>
        <v>1241870</v>
      </c>
      <c r="V7066" s="122"/>
      <c r="W7066" s="124"/>
      <c r="X7066" s="126" t="s">
        <v>20546</v>
      </c>
      <c r="Y7066" s="127"/>
      <c r="Z7066" s="127"/>
      <c r="AA7066" s="127"/>
      <c r="AB7066" s="128"/>
      <c r="AC7066" s="15" t="s">
        <v>20</v>
      </c>
      <c r="AD7066" s="129" t="s">
        <v>5208</v>
      </c>
      <c r="AE7066" s="130"/>
      <c r="AF7066" s="130"/>
      <c r="AG7066" s="130"/>
      <c r="AH7066" s="130"/>
      <c r="AI7066" s="131"/>
      <c r="AJ7066" s="132"/>
      <c r="AK7066" s="127"/>
      <c r="AL7066" s="128"/>
      <c r="AM7066" s="21"/>
      <c r="AN7066" s="133">
        <v>46106</v>
      </c>
      <c r="AO7066" s="134"/>
      <c r="AP7066" s="135">
        <v>1010</v>
      </c>
      <c r="AQ7066" s="136"/>
      <c r="AR7066" s="118">
        <v>1180000</v>
      </c>
      <c r="AS7066" s="119"/>
      <c r="AT7066" s="118">
        <f t="shared" ref="AT7066" si="10051">AR7066*0.1</f>
        <v>118000</v>
      </c>
      <c r="AU7066" s="119"/>
      <c r="AV7066" s="118">
        <v>5670</v>
      </c>
      <c r="AW7066" s="119"/>
      <c r="AX7066" s="118">
        <f t="shared" ref="AX7066" si="10052">SUM(AR7066:AW7066)</f>
        <v>1303670</v>
      </c>
      <c r="AY7066" s="119"/>
      <c r="AZ7066" s="137">
        <v>46111</v>
      </c>
    </row>
    <row r="7067" spans="1:52" ht="17.100000000000001" customHeight="1" thickBot="1">
      <c r="A7067" s="110"/>
      <c r="B7067" s="27" t="s">
        <v>2641</v>
      </c>
      <c r="C7067" s="27">
        <v>7015</v>
      </c>
      <c r="D7067" s="14" t="s">
        <v>1592</v>
      </c>
      <c r="E7067" s="112"/>
      <c r="F7067" s="139" t="s">
        <v>20208</v>
      </c>
      <c r="G7067" s="140"/>
      <c r="H7067" s="141"/>
      <c r="I7067" s="26">
        <v>11958</v>
      </c>
      <c r="J7067" s="117"/>
      <c r="K7067" s="120"/>
      <c r="L7067" s="121"/>
      <c r="M7067" s="120"/>
      <c r="N7067" s="121"/>
      <c r="O7067" s="120"/>
      <c r="P7067" s="121"/>
      <c r="Q7067" s="120"/>
      <c r="R7067" s="121"/>
      <c r="S7067" s="120"/>
      <c r="T7067" s="121"/>
      <c r="U7067" s="120"/>
      <c r="V7067" s="123"/>
      <c r="W7067" s="125"/>
      <c r="X7067" s="142" t="s">
        <v>20547</v>
      </c>
      <c r="Y7067" s="143"/>
      <c r="Z7067" s="143"/>
      <c r="AA7067" s="143"/>
      <c r="AB7067" s="144"/>
      <c r="AC7067" s="16" t="s">
        <v>21</v>
      </c>
      <c r="AD7067" s="17" t="s">
        <v>20491</v>
      </c>
      <c r="AE7067" s="145" t="s">
        <v>171</v>
      </c>
      <c r="AF7067" s="146"/>
      <c r="AG7067" s="146"/>
      <c r="AH7067" s="146"/>
      <c r="AI7067" s="147"/>
      <c r="AJ7067" s="148"/>
      <c r="AK7067" s="143"/>
      <c r="AL7067" s="144"/>
      <c r="AM7067" s="22"/>
      <c r="AN7067" s="149" t="s">
        <v>2794</v>
      </c>
      <c r="AO7067" s="144"/>
      <c r="AP7067" s="148">
        <v>5144</v>
      </c>
      <c r="AQ7067" s="144"/>
      <c r="AR7067" s="120"/>
      <c r="AS7067" s="121"/>
      <c r="AT7067" s="120"/>
      <c r="AU7067" s="121"/>
      <c r="AV7067" s="120"/>
      <c r="AW7067" s="121"/>
      <c r="AX7067" s="120"/>
      <c r="AY7067" s="121"/>
      <c r="AZ7067" s="138"/>
    </row>
    <row r="7068" spans="1:52" ht="17.100000000000001" customHeight="1" thickTop="1">
      <c r="A7068" s="109" t="s">
        <v>20193</v>
      </c>
      <c r="B7068" s="28">
        <v>46094</v>
      </c>
      <c r="C7068" s="25">
        <v>1410</v>
      </c>
      <c r="D7068" s="13" t="s">
        <v>2226</v>
      </c>
      <c r="E7068" s="111"/>
      <c r="F7068" s="113" t="s">
        <v>15865</v>
      </c>
      <c r="G7068" s="114"/>
      <c r="H7068" s="115"/>
      <c r="I7068" s="24" t="s">
        <v>4538</v>
      </c>
      <c r="J7068" s="116">
        <v>5</v>
      </c>
      <c r="K7068" s="118">
        <v>1167000</v>
      </c>
      <c r="L7068" s="119"/>
      <c r="M7068" s="118">
        <f t="shared" ref="M7068" si="10053">K7068*0.1</f>
        <v>116700</v>
      </c>
      <c r="N7068" s="119"/>
      <c r="O7068" s="118">
        <v>5000</v>
      </c>
      <c r="P7068" s="119"/>
      <c r="Q7068" s="118">
        <v>8200</v>
      </c>
      <c r="R7068" s="119"/>
      <c r="S7068" s="118">
        <v>15400</v>
      </c>
      <c r="T7068" s="119"/>
      <c r="U7068" s="118">
        <f t="shared" ref="U7068" si="10054">SUM(K7068:T7069)</f>
        <v>1312300</v>
      </c>
      <c r="V7068" s="122"/>
      <c r="W7068" s="124"/>
      <c r="X7068" s="126" t="s">
        <v>20495</v>
      </c>
      <c r="Y7068" s="127"/>
      <c r="Z7068" s="127"/>
      <c r="AA7068" s="127"/>
      <c r="AB7068" s="128"/>
      <c r="AC7068" s="15" t="s">
        <v>20</v>
      </c>
      <c r="AD7068" s="129" t="s">
        <v>4435</v>
      </c>
      <c r="AE7068" s="130"/>
      <c r="AF7068" s="130"/>
      <c r="AG7068" s="130"/>
      <c r="AH7068" s="130"/>
      <c r="AI7068" s="131"/>
      <c r="AJ7068" s="132"/>
      <c r="AK7068" s="127"/>
      <c r="AL7068" s="128"/>
      <c r="AM7068" s="21"/>
      <c r="AN7068" s="133">
        <v>46099</v>
      </c>
      <c r="AO7068" s="134"/>
      <c r="AP7068" s="135">
        <v>1009</v>
      </c>
      <c r="AQ7068" s="136"/>
      <c r="AR7068" s="118">
        <v>1240000</v>
      </c>
      <c r="AS7068" s="119"/>
      <c r="AT7068" s="118">
        <f t="shared" ref="AT7068" si="10055">AR7068*0.1</f>
        <v>124000</v>
      </c>
      <c r="AU7068" s="119"/>
      <c r="AV7068" s="118">
        <v>8200</v>
      </c>
      <c r="AW7068" s="119"/>
      <c r="AX7068" s="118">
        <f t="shared" ref="AX7068" si="10056">SUM(AR7068:AW7068)</f>
        <v>1372200</v>
      </c>
      <c r="AY7068" s="119"/>
      <c r="AZ7068" s="137">
        <v>46105</v>
      </c>
    </row>
    <row r="7069" spans="1:52" ht="17.100000000000001" customHeight="1" thickBot="1">
      <c r="A7069" s="110"/>
      <c r="B7069" s="27" t="s">
        <v>2641</v>
      </c>
      <c r="C7069" s="27">
        <v>7509</v>
      </c>
      <c r="D7069" s="14" t="s">
        <v>275</v>
      </c>
      <c r="E7069" s="112"/>
      <c r="F7069" s="139" t="s">
        <v>20209</v>
      </c>
      <c r="G7069" s="140"/>
      <c r="H7069" s="141"/>
      <c r="I7069" s="26">
        <v>7379</v>
      </c>
      <c r="J7069" s="117"/>
      <c r="K7069" s="120"/>
      <c r="L7069" s="121"/>
      <c r="M7069" s="120"/>
      <c r="N7069" s="121"/>
      <c r="O7069" s="120"/>
      <c r="P7069" s="121"/>
      <c r="Q7069" s="120"/>
      <c r="R7069" s="121"/>
      <c r="S7069" s="120"/>
      <c r="T7069" s="121"/>
      <c r="U7069" s="120"/>
      <c r="V7069" s="123"/>
      <c r="W7069" s="125"/>
      <c r="X7069" s="142" t="s">
        <v>4076</v>
      </c>
      <c r="Y7069" s="143"/>
      <c r="Z7069" s="143"/>
      <c r="AA7069" s="143"/>
      <c r="AB7069" s="144"/>
      <c r="AC7069" s="16" t="s">
        <v>21</v>
      </c>
      <c r="AD7069" s="17" t="s">
        <v>20491</v>
      </c>
      <c r="AE7069" s="145" t="s">
        <v>171</v>
      </c>
      <c r="AF7069" s="146"/>
      <c r="AG7069" s="146"/>
      <c r="AH7069" s="146"/>
      <c r="AI7069" s="147"/>
      <c r="AJ7069" s="148"/>
      <c r="AK7069" s="143"/>
      <c r="AL7069" s="144"/>
      <c r="AM7069" s="22"/>
      <c r="AN7069" s="149" t="s">
        <v>2794</v>
      </c>
      <c r="AO7069" s="144"/>
      <c r="AP7069" s="148">
        <v>5138</v>
      </c>
      <c r="AQ7069" s="144"/>
      <c r="AR7069" s="120"/>
      <c r="AS7069" s="121"/>
      <c r="AT7069" s="120"/>
      <c r="AU7069" s="121"/>
      <c r="AV7069" s="120"/>
      <c r="AW7069" s="121"/>
      <c r="AX7069" s="120"/>
      <c r="AY7069" s="121"/>
      <c r="AZ7069" s="138"/>
    </row>
    <row r="7070" spans="1:52" ht="17.100000000000001" customHeight="1" thickTop="1">
      <c r="A7070" s="109" t="s">
        <v>20194</v>
      </c>
      <c r="B7070" s="28">
        <v>46094</v>
      </c>
      <c r="C7070" s="25">
        <v>1410</v>
      </c>
      <c r="D7070" s="13" t="s">
        <v>1615</v>
      </c>
      <c r="E7070" s="111"/>
      <c r="F7070" s="113" t="s">
        <v>17939</v>
      </c>
      <c r="G7070" s="114"/>
      <c r="H7070" s="115"/>
      <c r="I7070" s="24"/>
      <c r="J7070" s="116">
        <v>4.5</v>
      </c>
      <c r="K7070" s="118">
        <v>1102000</v>
      </c>
      <c r="L7070" s="119"/>
      <c r="M7070" s="118">
        <f t="shared" ref="M7070" si="10057">K7070*0.1</f>
        <v>110200</v>
      </c>
      <c r="N7070" s="119"/>
      <c r="O7070" s="118">
        <v>0</v>
      </c>
      <c r="P7070" s="119"/>
      <c r="Q7070" s="118">
        <v>9750</v>
      </c>
      <c r="R7070" s="119"/>
      <c r="S7070" s="118">
        <v>15400</v>
      </c>
      <c r="T7070" s="119"/>
      <c r="U7070" s="118">
        <f t="shared" ref="U7070" si="10058">SUM(K7070:T7071)</f>
        <v>1237350</v>
      </c>
      <c r="V7070" s="122"/>
      <c r="W7070" s="124"/>
      <c r="X7070" s="126" t="s">
        <v>20595</v>
      </c>
      <c r="Y7070" s="127"/>
      <c r="Z7070" s="127"/>
      <c r="AA7070" s="127"/>
      <c r="AB7070" s="128"/>
      <c r="AC7070" s="15" t="s">
        <v>20</v>
      </c>
      <c r="AD7070" s="129"/>
      <c r="AE7070" s="130"/>
      <c r="AF7070" s="130"/>
      <c r="AG7070" s="130"/>
      <c r="AH7070" s="130"/>
      <c r="AI7070" s="131"/>
      <c r="AJ7070" s="132"/>
      <c r="AK7070" s="127"/>
      <c r="AL7070" s="128"/>
      <c r="AM7070" s="21"/>
      <c r="AN7070" s="133">
        <v>46099</v>
      </c>
      <c r="AO7070" s="134"/>
      <c r="AP7070" s="135">
        <v>1009</v>
      </c>
      <c r="AQ7070" s="136"/>
      <c r="AR7070" s="118">
        <v>1215000</v>
      </c>
      <c r="AS7070" s="119"/>
      <c r="AT7070" s="118">
        <f t="shared" ref="AT7070" si="10059">AR7070*0.1</f>
        <v>121500</v>
      </c>
      <c r="AU7070" s="119"/>
      <c r="AV7070" s="118">
        <v>9750</v>
      </c>
      <c r="AW7070" s="119"/>
      <c r="AX7070" s="118">
        <f t="shared" ref="AX7070" si="10060">SUM(AR7070:AW7070)</f>
        <v>1346250</v>
      </c>
      <c r="AY7070" s="119"/>
      <c r="AZ7070" s="137">
        <v>46105</v>
      </c>
    </row>
    <row r="7071" spans="1:52" ht="17.100000000000001" customHeight="1" thickBot="1">
      <c r="A7071" s="110"/>
      <c r="B7071" s="27" t="s">
        <v>2641</v>
      </c>
      <c r="C7071" s="27">
        <v>7510</v>
      </c>
      <c r="D7071" s="14" t="s">
        <v>1568</v>
      </c>
      <c r="E7071" s="112"/>
      <c r="F7071" s="139" t="s">
        <v>20210</v>
      </c>
      <c r="G7071" s="140"/>
      <c r="H7071" s="141"/>
      <c r="I7071" s="26">
        <v>39369</v>
      </c>
      <c r="J7071" s="117"/>
      <c r="K7071" s="120"/>
      <c r="L7071" s="121"/>
      <c r="M7071" s="120"/>
      <c r="N7071" s="121"/>
      <c r="O7071" s="120"/>
      <c r="P7071" s="121"/>
      <c r="Q7071" s="120"/>
      <c r="R7071" s="121"/>
      <c r="S7071" s="120"/>
      <c r="T7071" s="121"/>
      <c r="U7071" s="120"/>
      <c r="V7071" s="123"/>
      <c r="W7071" s="125"/>
      <c r="X7071" s="142" t="s">
        <v>20592</v>
      </c>
      <c r="Y7071" s="143"/>
      <c r="Z7071" s="143"/>
      <c r="AA7071" s="143"/>
      <c r="AB7071" s="144"/>
      <c r="AC7071" s="16" t="s">
        <v>21</v>
      </c>
      <c r="AD7071" s="17" t="s">
        <v>2382</v>
      </c>
      <c r="AE7071" s="145" t="s">
        <v>7860</v>
      </c>
      <c r="AF7071" s="146"/>
      <c r="AG7071" s="146"/>
      <c r="AH7071" s="146"/>
      <c r="AI7071" s="147"/>
      <c r="AJ7071" s="148"/>
      <c r="AK7071" s="143"/>
      <c r="AL7071" s="144"/>
      <c r="AM7071" s="22"/>
      <c r="AN7071" s="149" t="s">
        <v>2794</v>
      </c>
      <c r="AO7071" s="144"/>
      <c r="AP7071" s="148">
        <v>5122</v>
      </c>
      <c r="AQ7071" s="144"/>
      <c r="AR7071" s="120"/>
      <c r="AS7071" s="121"/>
      <c r="AT7071" s="120"/>
      <c r="AU7071" s="121"/>
      <c r="AV7071" s="120"/>
      <c r="AW7071" s="121"/>
      <c r="AX7071" s="120"/>
      <c r="AY7071" s="121"/>
      <c r="AZ7071" s="138"/>
    </row>
    <row r="7072" spans="1:52" ht="17.100000000000001" customHeight="1" thickTop="1">
      <c r="A7072" s="109" t="s">
        <v>20195</v>
      </c>
      <c r="B7072" s="28">
        <v>46094</v>
      </c>
      <c r="C7072" s="25">
        <v>1410</v>
      </c>
      <c r="D7072" s="13" t="s">
        <v>1649</v>
      </c>
      <c r="E7072" s="111"/>
      <c r="F7072" s="113" t="s">
        <v>20211</v>
      </c>
      <c r="G7072" s="114"/>
      <c r="H7072" s="115"/>
      <c r="I7072" s="24"/>
      <c r="J7072" s="116">
        <v>4</v>
      </c>
      <c r="K7072" s="118">
        <v>212000</v>
      </c>
      <c r="L7072" s="119"/>
      <c r="M7072" s="118">
        <f t="shared" ref="M7072" si="10061">K7072*0.1</f>
        <v>21200</v>
      </c>
      <c r="N7072" s="119"/>
      <c r="O7072" s="118">
        <v>0</v>
      </c>
      <c r="P7072" s="119"/>
      <c r="Q7072" s="118">
        <v>8460</v>
      </c>
      <c r="R7072" s="119"/>
      <c r="S7072" s="118">
        <v>15400</v>
      </c>
      <c r="T7072" s="119"/>
      <c r="U7072" s="118">
        <f t="shared" ref="U7072" si="10062">SUM(K7072:T7073)</f>
        <v>257060</v>
      </c>
      <c r="V7072" s="122"/>
      <c r="W7072" s="124"/>
      <c r="X7072" s="126" t="s">
        <v>20594</v>
      </c>
      <c r="Y7072" s="127"/>
      <c r="Z7072" s="127"/>
      <c r="AA7072" s="127"/>
      <c r="AB7072" s="128"/>
      <c r="AC7072" s="15" t="s">
        <v>20</v>
      </c>
      <c r="AD7072" s="129"/>
      <c r="AE7072" s="130"/>
      <c r="AF7072" s="130"/>
      <c r="AG7072" s="130"/>
      <c r="AH7072" s="130"/>
      <c r="AI7072" s="131"/>
      <c r="AJ7072" s="132"/>
      <c r="AK7072" s="127"/>
      <c r="AL7072" s="128"/>
      <c r="AM7072" s="21"/>
      <c r="AN7072" s="133">
        <v>46099</v>
      </c>
      <c r="AO7072" s="134"/>
      <c r="AP7072" s="135">
        <v>1009</v>
      </c>
      <c r="AQ7072" s="136"/>
      <c r="AR7072" s="118">
        <v>320000</v>
      </c>
      <c r="AS7072" s="119"/>
      <c r="AT7072" s="118">
        <f t="shared" ref="AT7072" si="10063">AR7072*0.1</f>
        <v>32000</v>
      </c>
      <c r="AU7072" s="119"/>
      <c r="AV7072" s="118">
        <v>8460</v>
      </c>
      <c r="AW7072" s="119"/>
      <c r="AX7072" s="118">
        <f t="shared" ref="AX7072" si="10064">SUM(AR7072:AW7072)</f>
        <v>360460</v>
      </c>
      <c r="AY7072" s="119"/>
      <c r="AZ7072" s="137">
        <v>46105</v>
      </c>
    </row>
    <row r="7073" spans="1:52" ht="17.100000000000001" customHeight="1" thickBot="1">
      <c r="A7073" s="110"/>
      <c r="B7073" s="27" t="s">
        <v>2641</v>
      </c>
      <c r="C7073" s="27">
        <v>7524</v>
      </c>
      <c r="D7073" s="14" t="s">
        <v>1720</v>
      </c>
      <c r="E7073" s="112"/>
      <c r="F7073" s="139" t="s">
        <v>20212</v>
      </c>
      <c r="G7073" s="140"/>
      <c r="H7073" s="141"/>
      <c r="I7073" s="26">
        <v>44254</v>
      </c>
      <c r="J7073" s="117"/>
      <c r="K7073" s="120"/>
      <c r="L7073" s="121"/>
      <c r="M7073" s="120"/>
      <c r="N7073" s="121"/>
      <c r="O7073" s="120"/>
      <c r="P7073" s="121"/>
      <c r="Q7073" s="120"/>
      <c r="R7073" s="121"/>
      <c r="S7073" s="120"/>
      <c r="T7073" s="121"/>
      <c r="U7073" s="120"/>
      <c r="V7073" s="123"/>
      <c r="W7073" s="125"/>
      <c r="X7073" s="142" t="s">
        <v>20592</v>
      </c>
      <c r="Y7073" s="143"/>
      <c r="Z7073" s="143"/>
      <c r="AA7073" s="143"/>
      <c r="AB7073" s="144"/>
      <c r="AC7073" s="16" t="s">
        <v>21</v>
      </c>
      <c r="AD7073" s="17" t="s">
        <v>2382</v>
      </c>
      <c r="AE7073" s="145"/>
      <c r="AF7073" s="146"/>
      <c r="AG7073" s="146"/>
      <c r="AH7073" s="146"/>
      <c r="AI7073" s="147"/>
      <c r="AJ7073" s="148"/>
      <c r="AK7073" s="143"/>
      <c r="AL7073" s="144"/>
      <c r="AM7073" s="22"/>
      <c r="AN7073" s="149" t="s">
        <v>2794</v>
      </c>
      <c r="AO7073" s="144"/>
      <c r="AP7073" s="148">
        <v>5117</v>
      </c>
      <c r="AQ7073" s="144"/>
      <c r="AR7073" s="120"/>
      <c r="AS7073" s="121"/>
      <c r="AT7073" s="120"/>
      <c r="AU7073" s="121"/>
      <c r="AV7073" s="120"/>
      <c r="AW7073" s="121"/>
      <c r="AX7073" s="120"/>
      <c r="AY7073" s="121"/>
      <c r="AZ7073" s="138"/>
    </row>
    <row r="7074" spans="1:52" ht="17.100000000000001" customHeight="1" thickTop="1">
      <c r="A7074" s="109" t="s">
        <v>20196</v>
      </c>
      <c r="B7074" s="28">
        <v>46094</v>
      </c>
      <c r="C7074" s="25">
        <v>1410</v>
      </c>
      <c r="D7074" s="13" t="s">
        <v>2906</v>
      </c>
      <c r="E7074" s="111"/>
      <c r="F7074" s="113" t="s">
        <v>4218</v>
      </c>
      <c r="G7074" s="114"/>
      <c r="H7074" s="115"/>
      <c r="I7074" s="24"/>
      <c r="J7074" s="116">
        <v>4</v>
      </c>
      <c r="K7074" s="118">
        <v>216000</v>
      </c>
      <c r="L7074" s="119"/>
      <c r="M7074" s="118">
        <f t="shared" ref="M7074" si="10065">K7074*0.1</f>
        <v>21600</v>
      </c>
      <c r="N7074" s="119"/>
      <c r="O7074" s="118">
        <v>0</v>
      </c>
      <c r="P7074" s="119"/>
      <c r="Q7074" s="118">
        <v>9780</v>
      </c>
      <c r="R7074" s="119"/>
      <c r="S7074" s="118">
        <v>15400</v>
      </c>
      <c r="T7074" s="119"/>
      <c r="U7074" s="118">
        <f t="shared" ref="U7074" si="10066">SUM(K7074:T7075)</f>
        <v>262780</v>
      </c>
      <c r="V7074" s="122"/>
      <c r="W7074" s="124"/>
      <c r="X7074" s="126" t="s">
        <v>20593</v>
      </c>
      <c r="Y7074" s="127"/>
      <c r="Z7074" s="127"/>
      <c r="AA7074" s="127"/>
      <c r="AB7074" s="128"/>
      <c r="AC7074" s="15" t="s">
        <v>20</v>
      </c>
      <c r="AD7074" s="129"/>
      <c r="AE7074" s="130"/>
      <c r="AF7074" s="130"/>
      <c r="AG7074" s="130"/>
      <c r="AH7074" s="130"/>
      <c r="AI7074" s="131"/>
      <c r="AJ7074" s="132"/>
      <c r="AK7074" s="127"/>
      <c r="AL7074" s="128"/>
      <c r="AM7074" s="21"/>
      <c r="AN7074" s="133">
        <v>46099</v>
      </c>
      <c r="AO7074" s="134"/>
      <c r="AP7074" s="135">
        <v>1009</v>
      </c>
      <c r="AQ7074" s="136"/>
      <c r="AR7074" s="118">
        <v>285000</v>
      </c>
      <c r="AS7074" s="119"/>
      <c r="AT7074" s="118">
        <f t="shared" ref="AT7074" si="10067">AR7074*0.1</f>
        <v>28500</v>
      </c>
      <c r="AU7074" s="119"/>
      <c r="AV7074" s="118">
        <v>9780</v>
      </c>
      <c r="AW7074" s="119"/>
      <c r="AX7074" s="118">
        <f t="shared" ref="AX7074" si="10068">SUM(AR7074:AW7074)</f>
        <v>323280</v>
      </c>
      <c r="AY7074" s="119"/>
      <c r="AZ7074" s="137">
        <v>46105</v>
      </c>
    </row>
    <row r="7075" spans="1:52" ht="17.100000000000001" customHeight="1" thickBot="1">
      <c r="A7075" s="110"/>
      <c r="B7075" s="27" t="s">
        <v>2641</v>
      </c>
      <c r="C7075" s="27">
        <v>7530</v>
      </c>
      <c r="D7075" s="14" t="s">
        <v>1720</v>
      </c>
      <c r="E7075" s="112"/>
      <c r="F7075" s="139" t="s">
        <v>20460</v>
      </c>
      <c r="G7075" s="140"/>
      <c r="H7075" s="141"/>
      <c r="I7075" s="26">
        <v>50742</v>
      </c>
      <c r="J7075" s="117"/>
      <c r="K7075" s="120"/>
      <c r="L7075" s="121"/>
      <c r="M7075" s="120"/>
      <c r="N7075" s="121"/>
      <c r="O7075" s="120"/>
      <c r="P7075" s="121"/>
      <c r="Q7075" s="120"/>
      <c r="R7075" s="121"/>
      <c r="S7075" s="120"/>
      <c r="T7075" s="121"/>
      <c r="U7075" s="120"/>
      <c r="V7075" s="123"/>
      <c r="W7075" s="125"/>
      <c r="X7075" s="142" t="s">
        <v>20592</v>
      </c>
      <c r="Y7075" s="143"/>
      <c r="Z7075" s="143"/>
      <c r="AA7075" s="143"/>
      <c r="AB7075" s="144"/>
      <c r="AC7075" s="16" t="s">
        <v>21</v>
      </c>
      <c r="AD7075" s="17" t="s">
        <v>2382</v>
      </c>
      <c r="AE7075" s="145" t="s">
        <v>2269</v>
      </c>
      <c r="AF7075" s="146"/>
      <c r="AG7075" s="146"/>
      <c r="AH7075" s="146"/>
      <c r="AI7075" s="147"/>
      <c r="AJ7075" s="148"/>
      <c r="AK7075" s="143"/>
      <c r="AL7075" s="144"/>
      <c r="AM7075" s="22"/>
      <c r="AN7075" s="149" t="s">
        <v>2794</v>
      </c>
      <c r="AO7075" s="144"/>
      <c r="AP7075" s="148">
        <v>5146</v>
      </c>
      <c r="AQ7075" s="144"/>
      <c r="AR7075" s="120"/>
      <c r="AS7075" s="121"/>
      <c r="AT7075" s="120"/>
      <c r="AU7075" s="121"/>
      <c r="AV7075" s="120"/>
      <c r="AW7075" s="121"/>
      <c r="AX7075" s="120"/>
      <c r="AY7075" s="121"/>
      <c r="AZ7075" s="138"/>
    </row>
    <row r="7076" spans="1:52" ht="17.100000000000001" customHeight="1" thickTop="1">
      <c r="A7076" s="109" t="s">
        <v>20197</v>
      </c>
      <c r="B7076" s="28">
        <v>46094</v>
      </c>
      <c r="C7076" s="25">
        <v>1410</v>
      </c>
      <c r="D7076" s="13" t="s">
        <v>2122</v>
      </c>
      <c r="E7076" s="111"/>
      <c r="F7076" s="113" t="s">
        <v>7794</v>
      </c>
      <c r="G7076" s="114"/>
      <c r="H7076" s="115"/>
      <c r="I7076" s="24" t="s">
        <v>2533</v>
      </c>
      <c r="J7076" s="116">
        <v>4.5</v>
      </c>
      <c r="K7076" s="118">
        <v>1098000</v>
      </c>
      <c r="L7076" s="119"/>
      <c r="M7076" s="118">
        <f t="shared" ref="M7076" si="10069">K7076*0.1</f>
        <v>109800</v>
      </c>
      <c r="N7076" s="119"/>
      <c r="O7076" s="118">
        <v>5000</v>
      </c>
      <c r="P7076" s="119"/>
      <c r="Q7076" s="118">
        <v>8200</v>
      </c>
      <c r="R7076" s="119"/>
      <c r="S7076" s="118">
        <v>15400</v>
      </c>
      <c r="T7076" s="119"/>
      <c r="U7076" s="118">
        <f t="shared" ref="U7076" si="10070">SUM(K7076:T7077)</f>
        <v>1236400</v>
      </c>
      <c r="V7076" s="122"/>
      <c r="W7076" s="124"/>
      <c r="X7076" s="126" t="s">
        <v>21039</v>
      </c>
      <c r="Y7076" s="127"/>
      <c r="Z7076" s="127"/>
      <c r="AA7076" s="127"/>
      <c r="AB7076" s="128"/>
      <c r="AC7076" s="15" t="s">
        <v>20</v>
      </c>
      <c r="AD7076" s="129" t="s">
        <v>17881</v>
      </c>
      <c r="AE7076" s="130"/>
      <c r="AF7076" s="130"/>
      <c r="AG7076" s="130"/>
      <c r="AH7076" s="130"/>
      <c r="AI7076" s="131"/>
      <c r="AJ7076" s="132"/>
      <c r="AK7076" s="127"/>
      <c r="AL7076" s="128"/>
      <c r="AM7076" s="21"/>
      <c r="AN7076" s="133">
        <v>46099</v>
      </c>
      <c r="AO7076" s="134"/>
      <c r="AP7076" s="135">
        <v>1009</v>
      </c>
      <c r="AQ7076" s="136"/>
      <c r="AR7076" s="118">
        <v>1160000</v>
      </c>
      <c r="AS7076" s="119"/>
      <c r="AT7076" s="118">
        <f t="shared" ref="AT7076" si="10071">AR7076*0.1</f>
        <v>116000</v>
      </c>
      <c r="AU7076" s="119"/>
      <c r="AV7076" s="118">
        <v>8200</v>
      </c>
      <c r="AW7076" s="119"/>
      <c r="AX7076" s="118">
        <f t="shared" ref="AX7076" si="10072">SUM(AR7076:AW7076)</f>
        <v>1284200</v>
      </c>
      <c r="AY7076" s="119"/>
      <c r="AZ7076" s="137">
        <v>46106</v>
      </c>
    </row>
    <row r="7077" spans="1:52" ht="17.100000000000001" customHeight="1" thickBot="1">
      <c r="A7077" s="110"/>
      <c r="B7077" s="27" t="s">
        <v>2641</v>
      </c>
      <c r="C7077" s="27">
        <v>7533</v>
      </c>
      <c r="D7077" s="14" t="s">
        <v>1720</v>
      </c>
      <c r="E7077" s="112"/>
      <c r="F7077" s="139" t="s">
        <v>20213</v>
      </c>
      <c r="G7077" s="140"/>
      <c r="H7077" s="141"/>
      <c r="I7077" s="26">
        <v>5959</v>
      </c>
      <c r="J7077" s="117"/>
      <c r="K7077" s="120"/>
      <c r="L7077" s="121"/>
      <c r="M7077" s="120"/>
      <c r="N7077" s="121"/>
      <c r="O7077" s="120"/>
      <c r="P7077" s="121"/>
      <c r="Q7077" s="120"/>
      <c r="R7077" s="121"/>
      <c r="S7077" s="120"/>
      <c r="T7077" s="121"/>
      <c r="U7077" s="120"/>
      <c r="V7077" s="123"/>
      <c r="W7077" s="125"/>
      <c r="X7077" s="142" t="s">
        <v>21040</v>
      </c>
      <c r="Y7077" s="143"/>
      <c r="Z7077" s="143"/>
      <c r="AA7077" s="143"/>
      <c r="AB7077" s="144"/>
      <c r="AC7077" s="16" t="s">
        <v>21</v>
      </c>
      <c r="AD7077" s="17" t="s">
        <v>20900</v>
      </c>
      <c r="AE7077" s="145" t="s">
        <v>4617</v>
      </c>
      <c r="AF7077" s="146"/>
      <c r="AG7077" s="146"/>
      <c r="AH7077" s="146"/>
      <c r="AI7077" s="147"/>
      <c r="AJ7077" s="148"/>
      <c r="AK7077" s="143"/>
      <c r="AL7077" s="144"/>
      <c r="AM7077" s="22"/>
      <c r="AN7077" s="149" t="s">
        <v>2794</v>
      </c>
      <c r="AO7077" s="144"/>
      <c r="AP7077" s="148">
        <v>5134</v>
      </c>
      <c r="AQ7077" s="144"/>
      <c r="AR7077" s="120"/>
      <c r="AS7077" s="121"/>
      <c r="AT7077" s="120"/>
      <c r="AU7077" s="121"/>
      <c r="AV7077" s="120"/>
      <c r="AW7077" s="121"/>
      <c r="AX7077" s="120"/>
      <c r="AY7077" s="121"/>
      <c r="AZ7077" s="138"/>
    </row>
    <row r="7078" spans="1:52" ht="17.100000000000001" customHeight="1" thickTop="1">
      <c r="A7078" s="109" t="s">
        <v>20198</v>
      </c>
      <c r="B7078" s="28">
        <v>46094</v>
      </c>
      <c r="C7078" s="25">
        <v>1410</v>
      </c>
      <c r="D7078" s="13" t="s">
        <v>2359</v>
      </c>
      <c r="E7078" s="111"/>
      <c r="F7078" s="113" t="s">
        <v>20214</v>
      </c>
      <c r="G7078" s="114"/>
      <c r="H7078" s="115"/>
      <c r="I7078" s="24"/>
      <c r="J7078" s="116">
        <v>4.5</v>
      </c>
      <c r="K7078" s="118">
        <v>1207000</v>
      </c>
      <c r="L7078" s="119"/>
      <c r="M7078" s="118">
        <f t="shared" ref="M7078" si="10073">K7078*0.1</f>
        <v>120700</v>
      </c>
      <c r="N7078" s="119"/>
      <c r="O7078" s="118">
        <v>0</v>
      </c>
      <c r="P7078" s="119"/>
      <c r="Q7078" s="118">
        <v>6830</v>
      </c>
      <c r="R7078" s="119"/>
      <c r="S7078" s="118">
        <v>15400</v>
      </c>
      <c r="T7078" s="119"/>
      <c r="U7078" s="118">
        <f t="shared" ref="U7078" si="10074">SUM(K7078:T7079)</f>
        <v>1349930</v>
      </c>
      <c r="V7078" s="122"/>
      <c r="W7078" s="124"/>
      <c r="X7078" s="126" t="s">
        <v>21036</v>
      </c>
      <c r="Y7078" s="127"/>
      <c r="Z7078" s="127"/>
      <c r="AA7078" s="127"/>
      <c r="AB7078" s="128"/>
      <c r="AC7078" s="15" t="s">
        <v>20</v>
      </c>
      <c r="AD7078" s="129" t="s">
        <v>5208</v>
      </c>
      <c r="AE7078" s="130"/>
      <c r="AF7078" s="130"/>
      <c r="AG7078" s="130"/>
      <c r="AH7078" s="130"/>
      <c r="AI7078" s="131"/>
      <c r="AJ7078" s="132"/>
      <c r="AK7078" s="127"/>
      <c r="AL7078" s="128"/>
      <c r="AM7078" s="21"/>
      <c r="AN7078" s="133">
        <v>46099</v>
      </c>
      <c r="AO7078" s="134"/>
      <c r="AP7078" s="135">
        <v>1009</v>
      </c>
      <c r="AQ7078" s="136"/>
      <c r="AR7078" s="118">
        <v>1250000</v>
      </c>
      <c r="AS7078" s="119"/>
      <c r="AT7078" s="118">
        <f t="shared" ref="AT7078" si="10075">AR7078*0.1</f>
        <v>125000</v>
      </c>
      <c r="AU7078" s="119"/>
      <c r="AV7078" s="118">
        <v>6830</v>
      </c>
      <c r="AW7078" s="119"/>
      <c r="AX7078" s="118">
        <f t="shared" ref="AX7078" si="10076">SUM(AR7078:AW7078)</f>
        <v>1381830</v>
      </c>
      <c r="AY7078" s="119"/>
      <c r="AZ7078" s="137">
        <v>46106</v>
      </c>
    </row>
    <row r="7079" spans="1:52" ht="17.100000000000001" customHeight="1" thickBot="1">
      <c r="A7079" s="110"/>
      <c r="B7079" s="27" t="s">
        <v>2641</v>
      </c>
      <c r="C7079" s="27">
        <v>7539</v>
      </c>
      <c r="D7079" s="14" t="s">
        <v>1610</v>
      </c>
      <c r="E7079" s="112"/>
      <c r="F7079" s="139" t="s">
        <v>20215</v>
      </c>
      <c r="G7079" s="140"/>
      <c r="H7079" s="141"/>
      <c r="I7079" s="26">
        <v>26230</v>
      </c>
      <c r="J7079" s="117"/>
      <c r="K7079" s="120"/>
      <c r="L7079" s="121"/>
      <c r="M7079" s="120"/>
      <c r="N7079" s="121"/>
      <c r="O7079" s="120"/>
      <c r="P7079" s="121"/>
      <c r="Q7079" s="120"/>
      <c r="R7079" s="121"/>
      <c r="S7079" s="120"/>
      <c r="T7079" s="121"/>
      <c r="U7079" s="120"/>
      <c r="V7079" s="123"/>
      <c r="W7079" s="125"/>
      <c r="X7079" s="142" t="s">
        <v>21037</v>
      </c>
      <c r="Y7079" s="143"/>
      <c r="Z7079" s="143"/>
      <c r="AA7079" s="143"/>
      <c r="AB7079" s="144"/>
      <c r="AC7079" s="16" t="s">
        <v>21</v>
      </c>
      <c r="AD7079" s="17" t="s">
        <v>20900</v>
      </c>
      <c r="AE7079" s="145" t="s">
        <v>21038</v>
      </c>
      <c r="AF7079" s="146"/>
      <c r="AG7079" s="146"/>
      <c r="AH7079" s="146"/>
      <c r="AI7079" s="147"/>
      <c r="AJ7079" s="148"/>
      <c r="AK7079" s="143"/>
      <c r="AL7079" s="144"/>
      <c r="AM7079" s="22"/>
      <c r="AN7079" s="149" t="s">
        <v>2794</v>
      </c>
      <c r="AO7079" s="144"/>
      <c r="AP7079" s="148">
        <v>5133</v>
      </c>
      <c r="AQ7079" s="144"/>
      <c r="AR7079" s="120"/>
      <c r="AS7079" s="121"/>
      <c r="AT7079" s="120"/>
      <c r="AU7079" s="121"/>
      <c r="AV7079" s="120"/>
      <c r="AW7079" s="121"/>
      <c r="AX7079" s="120"/>
      <c r="AY7079" s="121"/>
      <c r="AZ7079" s="138"/>
    </row>
    <row r="7080" spans="1:52" ht="17.100000000000001" customHeight="1" thickTop="1">
      <c r="A7080" s="109" t="s">
        <v>20199</v>
      </c>
      <c r="B7080" s="28">
        <v>46094</v>
      </c>
      <c r="C7080" s="25">
        <v>1410</v>
      </c>
      <c r="D7080" s="13" t="s">
        <v>1870</v>
      </c>
      <c r="E7080" s="111"/>
      <c r="F7080" s="113" t="s">
        <v>7340</v>
      </c>
      <c r="G7080" s="114"/>
      <c r="H7080" s="115"/>
      <c r="I7080" s="24"/>
      <c r="J7080" s="116">
        <v>4</v>
      </c>
      <c r="K7080" s="118">
        <v>568000</v>
      </c>
      <c r="L7080" s="119"/>
      <c r="M7080" s="118">
        <f t="shared" ref="M7080" si="10077">K7080*0.1</f>
        <v>56800</v>
      </c>
      <c r="N7080" s="119"/>
      <c r="O7080" s="118">
        <v>0</v>
      </c>
      <c r="P7080" s="119"/>
      <c r="Q7080" s="118">
        <v>8400</v>
      </c>
      <c r="R7080" s="119"/>
      <c r="S7080" s="118">
        <v>15400</v>
      </c>
      <c r="T7080" s="119"/>
      <c r="U7080" s="118">
        <f t="shared" ref="U7080" si="10078">SUM(K7080:T7081)</f>
        <v>648600</v>
      </c>
      <c r="V7080" s="122"/>
      <c r="W7080" s="124"/>
      <c r="X7080" s="126" t="s">
        <v>20625</v>
      </c>
      <c r="Y7080" s="127"/>
      <c r="Z7080" s="127"/>
      <c r="AA7080" s="127"/>
      <c r="AB7080" s="128"/>
      <c r="AC7080" s="15" t="s">
        <v>20</v>
      </c>
      <c r="AD7080" s="129"/>
      <c r="AE7080" s="130"/>
      <c r="AF7080" s="130"/>
      <c r="AG7080" s="130"/>
      <c r="AH7080" s="130"/>
      <c r="AI7080" s="131"/>
      <c r="AJ7080" s="132"/>
      <c r="AK7080" s="127"/>
      <c r="AL7080" s="128"/>
      <c r="AM7080" s="21"/>
      <c r="AN7080" s="133">
        <v>46113</v>
      </c>
      <c r="AO7080" s="134"/>
      <c r="AP7080" s="135">
        <v>1011</v>
      </c>
      <c r="AQ7080" s="136"/>
      <c r="AR7080" s="118">
        <v>650000</v>
      </c>
      <c r="AS7080" s="119"/>
      <c r="AT7080" s="118">
        <f t="shared" ref="AT7080" si="10079">AR7080*0.1</f>
        <v>65000</v>
      </c>
      <c r="AU7080" s="119"/>
      <c r="AV7080" s="118">
        <v>8400</v>
      </c>
      <c r="AW7080" s="119"/>
      <c r="AX7080" s="118">
        <f t="shared" ref="AX7080" si="10080">SUM(AR7080:AW7080)</f>
        <v>723400</v>
      </c>
      <c r="AY7080" s="119"/>
      <c r="AZ7080" s="137">
        <v>46121</v>
      </c>
    </row>
    <row r="7081" spans="1:52" ht="17.100000000000001" customHeight="1" thickBot="1">
      <c r="A7081" s="110"/>
      <c r="B7081" s="27" t="s">
        <v>2641</v>
      </c>
      <c r="C7081" s="27">
        <v>7552</v>
      </c>
      <c r="D7081" s="14" t="s">
        <v>3855</v>
      </c>
      <c r="E7081" s="112"/>
      <c r="F7081" s="139" t="s">
        <v>20216</v>
      </c>
      <c r="G7081" s="140"/>
      <c r="H7081" s="141"/>
      <c r="I7081" s="26">
        <v>33842</v>
      </c>
      <c r="J7081" s="117"/>
      <c r="K7081" s="120"/>
      <c r="L7081" s="121"/>
      <c r="M7081" s="120"/>
      <c r="N7081" s="121"/>
      <c r="O7081" s="120"/>
      <c r="P7081" s="121"/>
      <c r="Q7081" s="120"/>
      <c r="R7081" s="121"/>
      <c r="S7081" s="120"/>
      <c r="T7081" s="121"/>
      <c r="U7081" s="120"/>
      <c r="V7081" s="123"/>
      <c r="W7081" s="125"/>
      <c r="X7081" s="142" t="s">
        <v>20592</v>
      </c>
      <c r="Y7081" s="143"/>
      <c r="Z7081" s="143"/>
      <c r="AA7081" s="143"/>
      <c r="AB7081" s="144"/>
      <c r="AC7081" s="16" t="s">
        <v>21</v>
      </c>
      <c r="AD7081" s="17" t="s">
        <v>2382</v>
      </c>
      <c r="AE7081" s="145"/>
      <c r="AF7081" s="146"/>
      <c r="AG7081" s="146"/>
      <c r="AH7081" s="146"/>
      <c r="AI7081" s="147"/>
      <c r="AJ7081" s="148"/>
      <c r="AK7081" s="143"/>
      <c r="AL7081" s="144"/>
      <c r="AM7081" s="22"/>
      <c r="AN7081" s="149" t="s">
        <v>8809</v>
      </c>
      <c r="AO7081" s="144"/>
      <c r="AP7081" s="148">
        <v>2067</v>
      </c>
      <c r="AQ7081" s="144"/>
      <c r="AR7081" s="120"/>
      <c r="AS7081" s="121"/>
      <c r="AT7081" s="120"/>
      <c r="AU7081" s="121"/>
      <c r="AV7081" s="120"/>
      <c r="AW7081" s="121"/>
      <c r="AX7081" s="120"/>
      <c r="AY7081" s="121"/>
      <c r="AZ7081" s="138"/>
    </row>
    <row r="7082" spans="1:52" ht="17.100000000000001" customHeight="1" thickTop="1">
      <c r="A7082" s="109" t="s">
        <v>20200</v>
      </c>
      <c r="B7082" s="28">
        <v>46094</v>
      </c>
      <c r="C7082" s="25">
        <v>1410</v>
      </c>
      <c r="D7082" s="13" t="s">
        <v>2654</v>
      </c>
      <c r="E7082" s="111"/>
      <c r="F7082" s="113" t="s">
        <v>15204</v>
      </c>
      <c r="G7082" s="114"/>
      <c r="H7082" s="115"/>
      <c r="I7082" s="24" t="s">
        <v>7531</v>
      </c>
      <c r="J7082" s="116">
        <v>4.5</v>
      </c>
      <c r="K7082" s="118">
        <v>701000</v>
      </c>
      <c r="L7082" s="119"/>
      <c r="M7082" s="118">
        <f t="shared" ref="M7082" si="10081">K7082*0.1</f>
        <v>70100</v>
      </c>
      <c r="N7082" s="119"/>
      <c r="O7082" s="118">
        <v>10800</v>
      </c>
      <c r="P7082" s="119"/>
      <c r="Q7082" s="118">
        <v>7950</v>
      </c>
      <c r="R7082" s="119"/>
      <c r="S7082" s="118">
        <v>15400</v>
      </c>
      <c r="T7082" s="119"/>
      <c r="U7082" s="118">
        <f t="shared" ref="U7082" si="10082">SUM(K7082:T7083)</f>
        <v>805250</v>
      </c>
      <c r="V7082" s="122"/>
      <c r="W7082" s="124"/>
      <c r="X7082" s="126" t="s">
        <v>21041</v>
      </c>
      <c r="Y7082" s="127"/>
      <c r="Z7082" s="127"/>
      <c r="AA7082" s="127"/>
      <c r="AB7082" s="128"/>
      <c r="AC7082" s="15" t="s">
        <v>20</v>
      </c>
      <c r="AD7082" s="129"/>
      <c r="AE7082" s="130"/>
      <c r="AF7082" s="130"/>
      <c r="AG7082" s="130"/>
      <c r="AH7082" s="130"/>
      <c r="AI7082" s="131"/>
      <c r="AJ7082" s="132"/>
      <c r="AK7082" s="127"/>
      <c r="AL7082" s="128"/>
      <c r="AM7082" s="21"/>
      <c r="AN7082" s="133">
        <v>46099</v>
      </c>
      <c r="AO7082" s="134"/>
      <c r="AP7082" s="135">
        <v>1009</v>
      </c>
      <c r="AQ7082" s="136"/>
      <c r="AR7082" s="118">
        <v>755000</v>
      </c>
      <c r="AS7082" s="119"/>
      <c r="AT7082" s="118">
        <f t="shared" ref="AT7082" si="10083">AR7082*0.1</f>
        <v>75500</v>
      </c>
      <c r="AU7082" s="119"/>
      <c r="AV7082" s="118">
        <v>7950</v>
      </c>
      <c r="AW7082" s="119"/>
      <c r="AX7082" s="118">
        <f t="shared" ref="AX7082" si="10084">SUM(AR7082:AW7082)</f>
        <v>838450</v>
      </c>
      <c r="AY7082" s="119"/>
      <c r="AZ7082" s="137">
        <v>46106</v>
      </c>
    </row>
    <row r="7083" spans="1:52" ht="17.100000000000001" customHeight="1" thickBot="1">
      <c r="A7083" s="110"/>
      <c r="B7083" s="27" t="s">
        <v>2641</v>
      </c>
      <c r="C7083" s="27">
        <v>7553</v>
      </c>
      <c r="D7083" s="14" t="s">
        <v>1700</v>
      </c>
      <c r="E7083" s="112"/>
      <c r="F7083" s="139" t="s">
        <v>20217</v>
      </c>
      <c r="G7083" s="140"/>
      <c r="H7083" s="141"/>
      <c r="I7083" s="26">
        <v>40187</v>
      </c>
      <c r="J7083" s="117"/>
      <c r="K7083" s="120"/>
      <c r="L7083" s="121"/>
      <c r="M7083" s="120"/>
      <c r="N7083" s="121"/>
      <c r="O7083" s="120"/>
      <c r="P7083" s="121"/>
      <c r="Q7083" s="120"/>
      <c r="R7083" s="121"/>
      <c r="S7083" s="120"/>
      <c r="T7083" s="121"/>
      <c r="U7083" s="120"/>
      <c r="V7083" s="123"/>
      <c r="W7083" s="125"/>
      <c r="X7083" s="142" t="s">
        <v>4553</v>
      </c>
      <c r="Y7083" s="143"/>
      <c r="Z7083" s="143"/>
      <c r="AA7083" s="143"/>
      <c r="AB7083" s="144"/>
      <c r="AC7083" s="16" t="s">
        <v>21</v>
      </c>
      <c r="AD7083" s="17" t="s">
        <v>20900</v>
      </c>
      <c r="AE7083" s="145" t="s">
        <v>4488</v>
      </c>
      <c r="AF7083" s="146"/>
      <c r="AG7083" s="146"/>
      <c r="AH7083" s="146"/>
      <c r="AI7083" s="147"/>
      <c r="AJ7083" s="148"/>
      <c r="AK7083" s="143"/>
      <c r="AL7083" s="144"/>
      <c r="AM7083" s="22"/>
      <c r="AN7083" s="149" t="s">
        <v>2794</v>
      </c>
      <c r="AO7083" s="144"/>
      <c r="AP7083" s="148">
        <v>5118</v>
      </c>
      <c r="AQ7083" s="144"/>
      <c r="AR7083" s="120"/>
      <c r="AS7083" s="121"/>
      <c r="AT7083" s="120"/>
      <c r="AU7083" s="121"/>
      <c r="AV7083" s="120"/>
      <c r="AW7083" s="121"/>
      <c r="AX7083" s="120"/>
      <c r="AY7083" s="121"/>
      <c r="AZ7083" s="138"/>
    </row>
    <row r="7084" spans="1:52" ht="17.100000000000001" customHeight="1" thickTop="1">
      <c r="A7084" s="109" t="s">
        <v>20201</v>
      </c>
      <c r="B7084" s="28">
        <v>46094</v>
      </c>
      <c r="C7084" s="25">
        <v>1410</v>
      </c>
      <c r="D7084" s="13" t="s">
        <v>20259</v>
      </c>
      <c r="E7084" s="111"/>
      <c r="F7084" s="113" t="s">
        <v>15204</v>
      </c>
      <c r="G7084" s="114"/>
      <c r="H7084" s="115"/>
      <c r="I7084" s="24"/>
      <c r="J7084" s="116">
        <v>3.5</v>
      </c>
      <c r="K7084" s="118">
        <v>390000</v>
      </c>
      <c r="L7084" s="119"/>
      <c r="M7084" s="118">
        <f t="shared" ref="M7084" si="10085">K7084*0.1</f>
        <v>39000</v>
      </c>
      <c r="N7084" s="119"/>
      <c r="O7084" s="118">
        <v>0</v>
      </c>
      <c r="P7084" s="119"/>
      <c r="Q7084" s="118">
        <v>7950</v>
      </c>
      <c r="R7084" s="119"/>
      <c r="S7084" s="118">
        <v>15400</v>
      </c>
      <c r="T7084" s="119"/>
      <c r="U7084" s="118">
        <f t="shared" ref="U7084" si="10086">SUM(K7084:T7085)</f>
        <v>452350</v>
      </c>
      <c r="V7084" s="122"/>
      <c r="W7084" s="124"/>
      <c r="X7084" s="126" t="s">
        <v>20548</v>
      </c>
      <c r="Y7084" s="127"/>
      <c r="Z7084" s="127"/>
      <c r="AA7084" s="127"/>
      <c r="AB7084" s="128"/>
      <c r="AC7084" s="15" t="s">
        <v>20</v>
      </c>
      <c r="AD7084" s="129"/>
      <c r="AE7084" s="130"/>
      <c r="AF7084" s="130"/>
      <c r="AG7084" s="130"/>
      <c r="AH7084" s="130"/>
      <c r="AI7084" s="131"/>
      <c r="AJ7084" s="132"/>
      <c r="AK7084" s="127"/>
      <c r="AL7084" s="128"/>
      <c r="AM7084" s="21"/>
      <c r="AN7084" s="133">
        <v>46105</v>
      </c>
      <c r="AO7084" s="134"/>
      <c r="AP7084" s="135"/>
      <c r="AQ7084" s="136"/>
      <c r="AR7084" s="118">
        <v>600000</v>
      </c>
      <c r="AS7084" s="119"/>
      <c r="AT7084" s="118">
        <f t="shared" ref="AT7084" si="10087">AR7084*0.1</f>
        <v>60000</v>
      </c>
      <c r="AU7084" s="119"/>
      <c r="AV7084" s="118">
        <v>7950</v>
      </c>
      <c r="AW7084" s="119"/>
      <c r="AX7084" s="118">
        <f t="shared" ref="AX7084" si="10088">SUM(AR7084:AW7084)</f>
        <v>667950</v>
      </c>
      <c r="AY7084" s="119"/>
      <c r="AZ7084" s="137"/>
    </row>
    <row r="7085" spans="1:52" ht="17.100000000000001" customHeight="1" thickBot="1">
      <c r="A7085" s="110"/>
      <c r="B7085" s="27" t="s">
        <v>2641</v>
      </c>
      <c r="C7085" s="27">
        <v>7557</v>
      </c>
      <c r="D7085" s="14" t="s">
        <v>2601</v>
      </c>
      <c r="E7085" s="112"/>
      <c r="F7085" s="139" t="s">
        <v>20218</v>
      </c>
      <c r="G7085" s="140"/>
      <c r="H7085" s="141"/>
      <c r="I7085" s="26">
        <v>78066</v>
      </c>
      <c r="J7085" s="117"/>
      <c r="K7085" s="120"/>
      <c r="L7085" s="121"/>
      <c r="M7085" s="120"/>
      <c r="N7085" s="121"/>
      <c r="O7085" s="120"/>
      <c r="P7085" s="121"/>
      <c r="Q7085" s="120"/>
      <c r="R7085" s="121"/>
      <c r="S7085" s="120"/>
      <c r="T7085" s="121"/>
      <c r="U7085" s="120"/>
      <c r="V7085" s="123"/>
      <c r="W7085" s="125"/>
      <c r="X7085" s="142" t="s">
        <v>20549</v>
      </c>
      <c r="Y7085" s="143"/>
      <c r="Z7085" s="143"/>
      <c r="AA7085" s="143"/>
      <c r="AB7085" s="144"/>
      <c r="AC7085" s="16" t="s">
        <v>21</v>
      </c>
      <c r="AD7085" s="17" t="s">
        <v>20491</v>
      </c>
      <c r="AE7085" s="145" t="s">
        <v>14165</v>
      </c>
      <c r="AF7085" s="146"/>
      <c r="AG7085" s="146"/>
      <c r="AH7085" s="146"/>
      <c r="AI7085" s="147"/>
      <c r="AJ7085" s="148"/>
      <c r="AK7085" s="143"/>
      <c r="AL7085" s="144"/>
      <c r="AM7085" s="22"/>
      <c r="AN7085" s="149" t="s">
        <v>6789</v>
      </c>
      <c r="AO7085" s="144"/>
      <c r="AP7085" s="148">
        <v>51484</v>
      </c>
      <c r="AQ7085" s="144"/>
      <c r="AR7085" s="120"/>
      <c r="AS7085" s="121"/>
      <c r="AT7085" s="120"/>
      <c r="AU7085" s="121"/>
      <c r="AV7085" s="120"/>
      <c r="AW7085" s="121"/>
      <c r="AX7085" s="120"/>
      <c r="AY7085" s="121"/>
      <c r="AZ7085" s="138"/>
    </row>
    <row r="7086" spans="1:52" ht="17.100000000000001" customHeight="1" thickTop="1">
      <c r="A7086" s="109" t="s">
        <v>20202</v>
      </c>
      <c r="B7086" s="28">
        <v>46094</v>
      </c>
      <c r="C7086" s="25">
        <v>1410</v>
      </c>
      <c r="D7086" s="13" t="s">
        <v>2226</v>
      </c>
      <c r="E7086" s="111"/>
      <c r="F7086" s="113" t="s">
        <v>20219</v>
      </c>
      <c r="G7086" s="114"/>
      <c r="H7086" s="115"/>
      <c r="I7086" s="24" t="s">
        <v>3471</v>
      </c>
      <c r="J7086" s="116">
        <v>5</v>
      </c>
      <c r="K7086" s="118">
        <v>1303000</v>
      </c>
      <c r="L7086" s="119"/>
      <c r="M7086" s="118">
        <f t="shared" ref="M7086" si="10089">K7086*0.1</f>
        <v>130300</v>
      </c>
      <c r="N7086" s="119"/>
      <c r="O7086" s="118">
        <v>5000</v>
      </c>
      <c r="P7086" s="119"/>
      <c r="Q7086" s="118">
        <v>8200</v>
      </c>
      <c r="R7086" s="119"/>
      <c r="S7086" s="118">
        <v>15400</v>
      </c>
      <c r="T7086" s="119"/>
      <c r="U7086" s="118">
        <f t="shared" ref="U7086" si="10090">SUM(K7086:T7087)</f>
        <v>1461900</v>
      </c>
      <c r="V7086" s="122"/>
      <c r="W7086" s="124"/>
      <c r="X7086" s="126" t="s">
        <v>20542</v>
      </c>
      <c r="Y7086" s="127"/>
      <c r="Z7086" s="127"/>
      <c r="AA7086" s="127"/>
      <c r="AB7086" s="128"/>
      <c r="AC7086" s="15" t="s">
        <v>20</v>
      </c>
      <c r="AD7086" s="129" t="s">
        <v>5208</v>
      </c>
      <c r="AE7086" s="130"/>
      <c r="AF7086" s="130"/>
      <c r="AG7086" s="130"/>
      <c r="AH7086" s="130"/>
      <c r="AI7086" s="131"/>
      <c r="AJ7086" s="132"/>
      <c r="AK7086" s="127"/>
      <c r="AL7086" s="128"/>
      <c r="AM7086" s="21"/>
      <c r="AN7086" s="133">
        <v>46106</v>
      </c>
      <c r="AO7086" s="134"/>
      <c r="AP7086" s="135">
        <v>1010</v>
      </c>
      <c r="AQ7086" s="136"/>
      <c r="AR7086" s="118">
        <v>1355000</v>
      </c>
      <c r="AS7086" s="119"/>
      <c r="AT7086" s="118">
        <f t="shared" ref="AT7086" si="10091">AR7086*0.1</f>
        <v>135500</v>
      </c>
      <c r="AU7086" s="119"/>
      <c r="AV7086" s="118">
        <v>8200</v>
      </c>
      <c r="AW7086" s="119"/>
      <c r="AX7086" s="118">
        <f t="shared" ref="AX7086" si="10092">SUM(AR7086:AW7086)</f>
        <v>1498700</v>
      </c>
      <c r="AY7086" s="119"/>
      <c r="AZ7086" s="137">
        <v>46111</v>
      </c>
    </row>
    <row r="7087" spans="1:52" ht="17.100000000000001" customHeight="1" thickBot="1">
      <c r="A7087" s="110"/>
      <c r="B7087" s="27" t="s">
        <v>2641</v>
      </c>
      <c r="C7087" s="27">
        <v>7561</v>
      </c>
      <c r="D7087" s="14" t="s">
        <v>2601</v>
      </c>
      <c r="E7087" s="112"/>
      <c r="F7087" s="139" t="s">
        <v>20220</v>
      </c>
      <c r="G7087" s="140"/>
      <c r="H7087" s="141"/>
      <c r="I7087" s="26">
        <v>2306</v>
      </c>
      <c r="J7087" s="117"/>
      <c r="K7087" s="120"/>
      <c r="L7087" s="121"/>
      <c r="M7087" s="120"/>
      <c r="N7087" s="121"/>
      <c r="O7087" s="120"/>
      <c r="P7087" s="121"/>
      <c r="Q7087" s="120"/>
      <c r="R7087" s="121"/>
      <c r="S7087" s="120"/>
      <c r="T7087" s="121"/>
      <c r="U7087" s="120"/>
      <c r="V7087" s="123"/>
      <c r="W7087" s="125"/>
      <c r="X7087" s="142" t="s">
        <v>18960</v>
      </c>
      <c r="Y7087" s="143"/>
      <c r="Z7087" s="143"/>
      <c r="AA7087" s="143"/>
      <c r="AB7087" s="144"/>
      <c r="AC7087" s="16" t="s">
        <v>21</v>
      </c>
      <c r="AD7087" s="17" t="s">
        <v>20491</v>
      </c>
      <c r="AE7087" s="145" t="s">
        <v>171</v>
      </c>
      <c r="AF7087" s="146"/>
      <c r="AG7087" s="146"/>
      <c r="AH7087" s="146"/>
      <c r="AI7087" s="147"/>
      <c r="AJ7087" s="148"/>
      <c r="AK7087" s="143"/>
      <c r="AL7087" s="144"/>
      <c r="AM7087" s="22"/>
      <c r="AN7087" s="149" t="s">
        <v>2794</v>
      </c>
      <c r="AO7087" s="144"/>
      <c r="AP7087" s="148">
        <v>2082</v>
      </c>
      <c r="AQ7087" s="144"/>
      <c r="AR7087" s="120"/>
      <c r="AS7087" s="121"/>
      <c r="AT7087" s="120"/>
      <c r="AU7087" s="121"/>
      <c r="AV7087" s="120"/>
      <c r="AW7087" s="121"/>
      <c r="AX7087" s="120"/>
      <c r="AY7087" s="121"/>
      <c r="AZ7087" s="138"/>
    </row>
    <row r="7088" spans="1:52" ht="17.100000000000001" customHeight="1" thickTop="1">
      <c r="A7088" s="109" t="s">
        <v>20203</v>
      </c>
      <c r="B7088" s="28">
        <v>46094</v>
      </c>
      <c r="C7088" s="25">
        <v>1410</v>
      </c>
      <c r="D7088" s="13" t="s">
        <v>2941</v>
      </c>
      <c r="E7088" s="111"/>
      <c r="F7088" s="113" t="s">
        <v>15531</v>
      </c>
      <c r="G7088" s="114"/>
      <c r="H7088" s="115"/>
      <c r="I7088" s="24"/>
      <c r="J7088" s="116">
        <v>3.5</v>
      </c>
      <c r="K7088" s="118">
        <v>453000</v>
      </c>
      <c r="L7088" s="119"/>
      <c r="M7088" s="118">
        <f t="shared" ref="M7088" si="10093">K7088*0.1</f>
        <v>45300</v>
      </c>
      <c r="N7088" s="119"/>
      <c r="O7088" s="118">
        <v>0</v>
      </c>
      <c r="P7088" s="119"/>
      <c r="Q7088" s="118">
        <v>8850</v>
      </c>
      <c r="R7088" s="119"/>
      <c r="S7088" s="118">
        <v>15400</v>
      </c>
      <c r="T7088" s="119"/>
      <c r="U7088" s="118">
        <f t="shared" ref="U7088" si="10094">SUM(K7088:T7089)</f>
        <v>522550</v>
      </c>
      <c r="V7088" s="122"/>
      <c r="W7088" s="124"/>
      <c r="X7088" s="126" t="s">
        <v>20624</v>
      </c>
      <c r="Y7088" s="127"/>
      <c r="Z7088" s="127"/>
      <c r="AA7088" s="127"/>
      <c r="AB7088" s="128"/>
      <c r="AC7088" s="15" t="s">
        <v>20</v>
      </c>
      <c r="AD7088" s="129" t="s">
        <v>1690</v>
      </c>
      <c r="AE7088" s="130"/>
      <c r="AF7088" s="130"/>
      <c r="AG7088" s="130"/>
      <c r="AH7088" s="130"/>
      <c r="AI7088" s="131"/>
      <c r="AJ7088" s="132"/>
      <c r="AK7088" s="127"/>
      <c r="AL7088" s="128"/>
      <c r="AM7088" s="21"/>
      <c r="AN7088" s="133">
        <v>46106</v>
      </c>
      <c r="AO7088" s="134"/>
      <c r="AP7088" s="135">
        <v>1010</v>
      </c>
      <c r="AQ7088" s="136"/>
      <c r="AR7088" s="118">
        <v>550000</v>
      </c>
      <c r="AS7088" s="119"/>
      <c r="AT7088" s="118">
        <f t="shared" ref="AT7088" si="10095">AR7088*0.1</f>
        <v>55000</v>
      </c>
      <c r="AU7088" s="119"/>
      <c r="AV7088" s="118">
        <v>8850</v>
      </c>
      <c r="AW7088" s="119"/>
      <c r="AX7088" s="118">
        <f t="shared" ref="AX7088" si="10096">SUM(AR7088:AW7088)</f>
        <v>613850</v>
      </c>
      <c r="AY7088" s="119"/>
      <c r="AZ7088" s="137">
        <v>46112</v>
      </c>
    </row>
    <row r="7089" spans="1:52" ht="17.100000000000001" customHeight="1" thickBot="1">
      <c r="A7089" s="110"/>
      <c r="B7089" s="27" t="s">
        <v>2641</v>
      </c>
      <c r="C7089" s="27">
        <v>7574</v>
      </c>
      <c r="D7089" s="14" t="s">
        <v>2601</v>
      </c>
      <c r="E7089" s="112"/>
      <c r="F7089" s="139" t="s">
        <v>20221</v>
      </c>
      <c r="G7089" s="140"/>
      <c r="H7089" s="141"/>
      <c r="I7089" s="26">
        <v>53292</v>
      </c>
      <c r="J7089" s="117"/>
      <c r="K7089" s="120"/>
      <c r="L7089" s="121"/>
      <c r="M7089" s="120"/>
      <c r="N7089" s="121"/>
      <c r="O7089" s="120"/>
      <c r="P7089" s="121"/>
      <c r="Q7089" s="120"/>
      <c r="R7089" s="121"/>
      <c r="S7089" s="120"/>
      <c r="T7089" s="121"/>
      <c r="U7089" s="120"/>
      <c r="V7089" s="123"/>
      <c r="W7089" s="125"/>
      <c r="X7089" s="142" t="s">
        <v>4619</v>
      </c>
      <c r="Y7089" s="143"/>
      <c r="Z7089" s="143"/>
      <c r="AA7089" s="143"/>
      <c r="AB7089" s="144"/>
      <c r="AC7089" s="16" t="s">
        <v>21</v>
      </c>
      <c r="AD7089" s="17" t="s">
        <v>2382</v>
      </c>
      <c r="AE7089" s="145" t="s">
        <v>4091</v>
      </c>
      <c r="AF7089" s="146"/>
      <c r="AG7089" s="146"/>
      <c r="AH7089" s="146"/>
      <c r="AI7089" s="147"/>
      <c r="AJ7089" s="148"/>
      <c r="AK7089" s="143"/>
      <c r="AL7089" s="144"/>
      <c r="AM7089" s="22"/>
      <c r="AN7089" s="149" t="s">
        <v>8809</v>
      </c>
      <c r="AO7089" s="144"/>
      <c r="AP7089" s="148">
        <v>5102</v>
      </c>
      <c r="AQ7089" s="144"/>
      <c r="AR7089" s="120"/>
      <c r="AS7089" s="121"/>
      <c r="AT7089" s="120"/>
      <c r="AU7089" s="121"/>
      <c r="AV7089" s="120"/>
      <c r="AW7089" s="121"/>
      <c r="AX7089" s="120"/>
      <c r="AY7089" s="121"/>
      <c r="AZ7089" s="138"/>
    </row>
    <row r="7090" spans="1:52" ht="17.100000000000001" customHeight="1" thickTop="1">
      <c r="A7090" s="109" t="s">
        <v>20223</v>
      </c>
      <c r="B7090" s="28">
        <v>46094</v>
      </c>
      <c r="C7090" s="25">
        <v>1410</v>
      </c>
      <c r="D7090" s="13" t="s">
        <v>1953</v>
      </c>
      <c r="E7090" s="111"/>
      <c r="F7090" s="113" t="s">
        <v>15865</v>
      </c>
      <c r="G7090" s="114"/>
      <c r="H7090" s="115"/>
      <c r="I7090" s="24" t="s">
        <v>15508</v>
      </c>
      <c r="J7090" s="116">
        <v>3.5</v>
      </c>
      <c r="K7090" s="118">
        <v>683000</v>
      </c>
      <c r="L7090" s="119"/>
      <c r="M7090" s="118">
        <f t="shared" ref="M7090" si="10097">K7090*0.1</f>
        <v>68300</v>
      </c>
      <c r="N7090" s="119"/>
      <c r="O7090" s="118">
        <v>5000</v>
      </c>
      <c r="P7090" s="119"/>
      <c r="Q7090" s="118">
        <v>8400</v>
      </c>
      <c r="R7090" s="119"/>
      <c r="S7090" s="118">
        <v>15400</v>
      </c>
      <c r="T7090" s="119"/>
      <c r="U7090" s="118">
        <f t="shared" ref="U7090" si="10098">SUM(K7090:T7091)</f>
        <v>780100</v>
      </c>
      <c r="V7090" s="122"/>
      <c r="W7090" s="124"/>
      <c r="X7090" s="126" t="s">
        <v>20626</v>
      </c>
      <c r="Y7090" s="127"/>
      <c r="Z7090" s="127"/>
      <c r="AA7090" s="127"/>
      <c r="AB7090" s="128"/>
      <c r="AC7090" s="15" t="s">
        <v>20</v>
      </c>
      <c r="AD7090" s="129"/>
      <c r="AE7090" s="130"/>
      <c r="AF7090" s="130"/>
      <c r="AG7090" s="130"/>
      <c r="AH7090" s="130"/>
      <c r="AI7090" s="131"/>
      <c r="AJ7090" s="132"/>
      <c r="AK7090" s="127"/>
      <c r="AL7090" s="128"/>
      <c r="AM7090" s="21"/>
      <c r="AN7090" s="133">
        <v>46099</v>
      </c>
      <c r="AO7090" s="134"/>
      <c r="AP7090" s="135">
        <v>1009</v>
      </c>
      <c r="AQ7090" s="136"/>
      <c r="AR7090" s="118">
        <v>780000</v>
      </c>
      <c r="AS7090" s="119"/>
      <c r="AT7090" s="118">
        <f t="shared" ref="AT7090" si="10099">AR7090*0.1</f>
        <v>78000</v>
      </c>
      <c r="AU7090" s="119"/>
      <c r="AV7090" s="118">
        <v>8400</v>
      </c>
      <c r="AW7090" s="119"/>
      <c r="AX7090" s="118">
        <f t="shared" ref="AX7090" si="10100">SUM(AR7090:AW7090)</f>
        <v>866400</v>
      </c>
      <c r="AY7090" s="119"/>
      <c r="AZ7090" s="137">
        <v>46106</v>
      </c>
    </row>
    <row r="7091" spans="1:52" ht="17.100000000000001" customHeight="1" thickBot="1">
      <c r="A7091" s="110"/>
      <c r="B7091" s="27" t="s">
        <v>2641</v>
      </c>
      <c r="C7091" s="27">
        <v>7576</v>
      </c>
      <c r="D7091" s="14" t="s">
        <v>1720</v>
      </c>
      <c r="E7091" s="112"/>
      <c r="F7091" s="139" t="s">
        <v>20222</v>
      </c>
      <c r="G7091" s="140"/>
      <c r="H7091" s="141"/>
      <c r="I7091" s="26">
        <v>25174</v>
      </c>
      <c r="J7091" s="117"/>
      <c r="K7091" s="120"/>
      <c r="L7091" s="121"/>
      <c r="M7091" s="120"/>
      <c r="N7091" s="121"/>
      <c r="O7091" s="120"/>
      <c r="P7091" s="121"/>
      <c r="Q7091" s="120"/>
      <c r="R7091" s="121"/>
      <c r="S7091" s="120"/>
      <c r="T7091" s="121"/>
      <c r="U7091" s="120"/>
      <c r="V7091" s="123"/>
      <c r="W7091" s="125"/>
      <c r="X7091" s="142" t="s">
        <v>20592</v>
      </c>
      <c r="Y7091" s="143"/>
      <c r="Z7091" s="143"/>
      <c r="AA7091" s="143"/>
      <c r="AB7091" s="144"/>
      <c r="AC7091" s="16" t="s">
        <v>21</v>
      </c>
      <c r="AD7091" s="17" t="s">
        <v>2382</v>
      </c>
      <c r="AE7091" s="145"/>
      <c r="AF7091" s="146"/>
      <c r="AG7091" s="146"/>
      <c r="AH7091" s="146"/>
      <c r="AI7091" s="147"/>
      <c r="AJ7091" s="148"/>
      <c r="AK7091" s="143"/>
      <c r="AL7091" s="144"/>
      <c r="AM7091" s="22"/>
      <c r="AN7091" s="149" t="s">
        <v>20958</v>
      </c>
      <c r="AO7091" s="144"/>
      <c r="AP7091" s="148">
        <v>5144</v>
      </c>
      <c r="AQ7091" s="144"/>
      <c r="AR7091" s="120"/>
      <c r="AS7091" s="121"/>
      <c r="AT7091" s="120"/>
      <c r="AU7091" s="121"/>
      <c r="AV7091" s="120"/>
      <c r="AW7091" s="121"/>
      <c r="AX7091" s="120"/>
      <c r="AY7091" s="121"/>
      <c r="AZ7091" s="138"/>
    </row>
    <row r="7092" spans="1:52" ht="17.100000000000001" customHeight="1" thickTop="1">
      <c r="A7092" s="109" t="s">
        <v>20224</v>
      </c>
      <c r="B7092" s="28">
        <v>46095</v>
      </c>
      <c r="C7092" s="25">
        <v>1457</v>
      </c>
      <c r="D7092" s="13" t="s">
        <v>1712</v>
      </c>
      <c r="E7092" s="111"/>
      <c r="F7092" s="113" t="s">
        <v>2724</v>
      </c>
      <c r="G7092" s="114"/>
      <c r="H7092" s="115"/>
      <c r="I7092" s="24"/>
      <c r="J7092" s="116">
        <v>4</v>
      </c>
      <c r="K7092" s="118">
        <v>1070000</v>
      </c>
      <c r="L7092" s="119"/>
      <c r="M7092" s="118">
        <f t="shared" ref="M7092" si="10101">K7092*0.1</f>
        <v>107000</v>
      </c>
      <c r="N7092" s="119"/>
      <c r="O7092" s="118">
        <v>0</v>
      </c>
      <c r="P7092" s="119"/>
      <c r="Q7092" s="118">
        <v>19090</v>
      </c>
      <c r="R7092" s="119"/>
      <c r="S7092" s="118">
        <v>16500</v>
      </c>
      <c r="T7092" s="119"/>
      <c r="U7092" s="118">
        <f t="shared" ref="U7092" si="10102">SUM(K7092:T7093)</f>
        <v>1212590</v>
      </c>
      <c r="V7092" s="122"/>
      <c r="W7092" s="124"/>
      <c r="X7092" s="126" t="s">
        <v>20506</v>
      </c>
      <c r="Y7092" s="127"/>
      <c r="Z7092" s="127"/>
      <c r="AA7092" s="127"/>
      <c r="AB7092" s="128"/>
      <c r="AC7092" s="15" t="s">
        <v>20</v>
      </c>
      <c r="AD7092" s="129"/>
      <c r="AE7092" s="130"/>
      <c r="AF7092" s="130"/>
      <c r="AG7092" s="130"/>
      <c r="AH7092" s="130"/>
      <c r="AI7092" s="131"/>
      <c r="AJ7092" s="132"/>
      <c r="AK7092" s="127"/>
      <c r="AL7092" s="128"/>
      <c r="AM7092" s="21"/>
      <c r="AN7092" s="133">
        <v>46137</v>
      </c>
      <c r="AO7092" s="134"/>
      <c r="AP7092" s="135">
        <v>1298</v>
      </c>
      <c r="AQ7092" s="136"/>
      <c r="AR7092" s="118">
        <v>1200000</v>
      </c>
      <c r="AS7092" s="119"/>
      <c r="AT7092" s="118">
        <f t="shared" ref="AT7092" si="10103">AR7092*0.1</f>
        <v>120000</v>
      </c>
      <c r="AU7092" s="119"/>
      <c r="AV7092" s="118">
        <v>19090</v>
      </c>
      <c r="AW7092" s="119"/>
      <c r="AX7092" s="118">
        <f t="shared" ref="AX7092" si="10104">SUM(AR7092:AW7092)</f>
        <v>1339090</v>
      </c>
      <c r="AY7092" s="119"/>
      <c r="AZ7092" s="137">
        <v>46140</v>
      </c>
    </row>
    <row r="7093" spans="1:52" ht="17.100000000000001" customHeight="1" thickBot="1">
      <c r="A7093" s="110"/>
      <c r="B7093" s="27" t="s">
        <v>1779</v>
      </c>
      <c r="C7093" s="27">
        <v>5006</v>
      </c>
      <c r="D7093" s="14" t="s">
        <v>2601</v>
      </c>
      <c r="E7093" s="112"/>
      <c r="F7093" s="139" t="s">
        <v>20260</v>
      </c>
      <c r="G7093" s="140"/>
      <c r="H7093" s="141"/>
      <c r="I7093" s="26">
        <v>76719</v>
      </c>
      <c r="J7093" s="117"/>
      <c r="K7093" s="120"/>
      <c r="L7093" s="121"/>
      <c r="M7093" s="120"/>
      <c r="N7093" s="121"/>
      <c r="O7093" s="120"/>
      <c r="P7093" s="121"/>
      <c r="Q7093" s="120"/>
      <c r="R7093" s="121"/>
      <c r="S7093" s="120"/>
      <c r="T7093" s="121"/>
      <c r="U7093" s="120"/>
      <c r="V7093" s="123"/>
      <c r="W7093" s="125"/>
      <c r="X7093" s="142" t="s">
        <v>10691</v>
      </c>
      <c r="Y7093" s="143"/>
      <c r="Z7093" s="143"/>
      <c r="AA7093" s="143"/>
      <c r="AB7093" s="144"/>
      <c r="AC7093" s="16" t="s">
        <v>21</v>
      </c>
      <c r="AD7093" s="17" t="s">
        <v>20491</v>
      </c>
      <c r="AE7093" s="145" t="s">
        <v>1742</v>
      </c>
      <c r="AF7093" s="146"/>
      <c r="AG7093" s="146"/>
      <c r="AH7093" s="146"/>
      <c r="AI7093" s="147"/>
      <c r="AJ7093" s="148"/>
      <c r="AK7093" s="143"/>
      <c r="AL7093" s="144"/>
      <c r="AM7093" s="22"/>
      <c r="AN7093" s="149" t="s">
        <v>2511</v>
      </c>
      <c r="AO7093" s="144"/>
      <c r="AP7093" s="148">
        <v>80184</v>
      </c>
      <c r="AQ7093" s="144"/>
      <c r="AR7093" s="120"/>
      <c r="AS7093" s="121"/>
      <c r="AT7093" s="120"/>
      <c r="AU7093" s="121"/>
      <c r="AV7093" s="120"/>
      <c r="AW7093" s="121"/>
      <c r="AX7093" s="120"/>
      <c r="AY7093" s="121"/>
      <c r="AZ7093" s="138"/>
    </row>
    <row r="7094" spans="1:52" ht="17.100000000000001" customHeight="1" thickTop="1">
      <c r="A7094" s="109" t="s">
        <v>20225</v>
      </c>
      <c r="B7094" s="28">
        <v>46095</v>
      </c>
      <c r="C7094" s="25">
        <v>1535</v>
      </c>
      <c r="D7094" s="13" t="s">
        <v>1586</v>
      </c>
      <c r="E7094" s="111"/>
      <c r="F7094" s="113" t="s">
        <v>20232</v>
      </c>
      <c r="G7094" s="114"/>
      <c r="H7094" s="115"/>
      <c r="I7094" s="24"/>
      <c r="J7094" s="116">
        <v>4.5</v>
      </c>
      <c r="K7094" s="118">
        <v>1280000</v>
      </c>
      <c r="L7094" s="119"/>
      <c r="M7094" s="118">
        <f t="shared" ref="M7094" si="10105">K7094*0.1</f>
        <v>128000</v>
      </c>
      <c r="N7094" s="119"/>
      <c r="O7094" s="118">
        <v>0</v>
      </c>
      <c r="P7094" s="119"/>
      <c r="Q7094" s="118">
        <v>20860</v>
      </c>
      <c r="R7094" s="119"/>
      <c r="S7094" s="118">
        <v>16500</v>
      </c>
      <c r="T7094" s="119"/>
      <c r="U7094" s="118">
        <f t="shared" ref="U7094" si="10106">SUM(K7094:T7095)</f>
        <v>1445360</v>
      </c>
      <c r="V7094" s="122"/>
      <c r="W7094" s="124"/>
      <c r="X7094" s="126" t="s">
        <v>20514</v>
      </c>
      <c r="Y7094" s="127"/>
      <c r="Z7094" s="127"/>
      <c r="AA7094" s="127"/>
      <c r="AB7094" s="128"/>
      <c r="AC7094" s="15" t="s">
        <v>20</v>
      </c>
      <c r="AD7094" s="129" t="s">
        <v>20262</v>
      </c>
      <c r="AE7094" s="130"/>
      <c r="AF7094" s="130"/>
      <c r="AG7094" s="130"/>
      <c r="AH7094" s="130"/>
      <c r="AI7094" s="131"/>
      <c r="AJ7094" s="132"/>
      <c r="AK7094" s="127"/>
      <c r="AL7094" s="128"/>
      <c r="AM7094" s="21"/>
      <c r="AN7094" s="133"/>
      <c r="AO7094" s="134"/>
      <c r="AP7094" s="135"/>
      <c r="AQ7094" s="136"/>
      <c r="AR7094" s="118"/>
      <c r="AS7094" s="119"/>
      <c r="AT7094" s="118">
        <f t="shared" ref="AT7094" si="10107">AR7094*0.1</f>
        <v>0</v>
      </c>
      <c r="AU7094" s="119"/>
      <c r="AV7094" s="118"/>
      <c r="AW7094" s="119"/>
      <c r="AX7094" s="118">
        <f t="shared" ref="AX7094" si="10108">SUM(AR7094:AW7094)</f>
        <v>0</v>
      </c>
      <c r="AY7094" s="119"/>
      <c r="AZ7094" s="137"/>
    </row>
    <row r="7095" spans="1:52" ht="17.100000000000001" customHeight="1" thickBot="1">
      <c r="A7095" s="110"/>
      <c r="B7095" s="27" t="s">
        <v>1555</v>
      </c>
      <c r="C7095" s="27">
        <v>83098</v>
      </c>
      <c r="D7095" s="14" t="s">
        <v>1720</v>
      </c>
      <c r="E7095" s="112"/>
      <c r="F7095" s="139" t="s">
        <v>20261</v>
      </c>
      <c r="G7095" s="140"/>
      <c r="H7095" s="141"/>
      <c r="I7095" s="26">
        <v>50700</v>
      </c>
      <c r="J7095" s="117"/>
      <c r="K7095" s="120"/>
      <c r="L7095" s="121"/>
      <c r="M7095" s="120"/>
      <c r="N7095" s="121"/>
      <c r="O7095" s="120"/>
      <c r="P7095" s="121"/>
      <c r="Q7095" s="120"/>
      <c r="R7095" s="121"/>
      <c r="S7095" s="120"/>
      <c r="T7095" s="121"/>
      <c r="U7095" s="120"/>
      <c r="V7095" s="123"/>
      <c r="W7095" s="125"/>
      <c r="X7095" s="142" t="s">
        <v>20515</v>
      </c>
      <c r="Y7095" s="143"/>
      <c r="Z7095" s="143"/>
      <c r="AA7095" s="143"/>
      <c r="AB7095" s="144"/>
      <c r="AC7095" s="16" t="s">
        <v>21</v>
      </c>
      <c r="AD7095" s="17" t="s">
        <v>20491</v>
      </c>
      <c r="AE7095" s="145" t="s">
        <v>21164</v>
      </c>
      <c r="AF7095" s="146"/>
      <c r="AG7095" s="146"/>
      <c r="AH7095" s="146"/>
      <c r="AI7095" s="147"/>
      <c r="AJ7095" s="148"/>
      <c r="AK7095" s="143"/>
      <c r="AL7095" s="144"/>
      <c r="AM7095" s="22"/>
      <c r="AN7095" s="149"/>
      <c r="AO7095" s="144"/>
      <c r="AP7095" s="148"/>
      <c r="AQ7095" s="144"/>
      <c r="AR7095" s="120"/>
      <c r="AS7095" s="121"/>
      <c r="AT7095" s="120"/>
      <c r="AU7095" s="121"/>
      <c r="AV7095" s="120"/>
      <c r="AW7095" s="121"/>
      <c r="AX7095" s="120"/>
      <c r="AY7095" s="121"/>
      <c r="AZ7095" s="138"/>
    </row>
    <row r="7096" spans="1:52" ht="17.100000000000001" customHeight="1" thickTop="1">
      <c r="A7096" s="151" t="s">
        <v>20226</v>
      </c>
      <c r="B7096" s="28">
        <v>46095</v>
      </c>
      <c r="C7096" s="25">
        <v>1535</v>
      </c>
      <c r="D7096" s="13" t="s">
        <v>2329</v>
      </c>
      <c r="E7096" s="111"/>
      <c r="F7096" s="113" t="s">
        <v>18182</v>
      </c>
      <c r="G7096" s="114"/>
      <c r="H7096" s="115"/>
      <c r="I7096" s="24"/>
      <c r="J7096" s="116">
        <v>4.5</v>
      </c>
      <c r="K7096" s="118">
        <v>820000</v>
      </c>
      <c r="L7096" s="119"/>
      <c r="M7096" s="118">
        <f t="shared" ref="M7096" si="10109">K7096*0.1</f>
        <v>82000</v>
      </c>
      <c r="N7096" s="119"/>
      <c r="O7096" s="118">
        <v>0</v>
      </c>
      <c r="P7096" s="119"/>
      <c r="Q7096" s="118">
        <v>12470</v>
      </c>
      <c r="R7096" s="119"/>
      <c r="S7096" s="118">
        <v>16500</v>
      </c>
      <c r="T7096" s="119"/>
      <c r="U7096" s="118">
        <f t="shared" ref="U7096" si="10110">SUM(K7096:T7097)</f>
        <v>930970</v>
      </c>
      <c r="V7096" s="122"/>
      <c r="W7096" s="124"/>
      <c r="X7096" s="126" t="s">
        <v>20516</v>
      </c>
      <c r="Y7096" s="127"/>
      <c r="Z7096" s="127"/>
      <c r="AA7096" s="127"/>
      <c r="AB7096" s="128"/>
      <c r="AC7096" s="15" t="s">
        <v>20</v>
      </c>
      <c r="AD7096" s="129"/>
      <c r="AE7096" s="130"/>
      <c r="AF7096" s="130"/>
      <c r="AG7096" s="130"/>
      <c r="AH7096" s="130"/>
      <c r="AI7096" s="131"/>
      <c r="AJ7096" s="132" t="s">
        <v>21143</v>
      </c>
      <c r="AK7096" s="127"/>
      <c r="AL7096" s="128"/>
      <c r="AM7096" s="21"/>
      <c r="AN7096" s="133"/>
      <c r="AO7096" s="134"/>
      <c r="AP7096" s="135"/>
      <c r="AQ7096" s="136"/>
      <c r="AR7096" s="118"/>
      <c r="AS7096" s="119"/>
      <c r="AT7096" s="118">
        <f t="shared" ref="AT7096" si="10111">AR7096*0.1</f>
        <v>0</v>
      </c>
      <c r="AU7096" s="119"/>
      <c r="AV7096" s="118"/>
      <c r="AW7096" s="119"/>
      <c r="AX7096" s="118">
        <f t="shared" ref="AX7096" si="10112">SUM(AR7096:AW7096)</f>
        <v>0</v>
      </c>
      <c r="AY7096" s="119"/>
      <c r="AZ7096" s="137"/>
    </row>
    <row r="7097" spans="1:52" ht="17.100000000000001" customHeight="1" thickBot="1">
      <c r="A7097" s="152"/>
      <c r="B7097" s="27" t="s">
        <v>1555</v>
      </c>
      <c r="C7097" s="27">
        <v>83217</v>
      </c>
      <c r="D7097" s="14" t="s">
        <v>3793</v>
      </c>
      <c r="E7097" s="112"/>
      <c r="F7097" s="139" t="s">
        <v>20263</v>
      </c>
      <c r="G7097" s="140"/>
      <c r="H7097" s="141"/>
      <c r="I7097" s="26">
        <v>31160</v>
      </c>
      <c r="J7097" s="117"/>
      <c r="K7097" s="120"/>
      <c r="L7097" s="121"/>
      <c r="M7097" s="120"/>
      <c r="N7097" s="121"/>
      <c r="O7097" s="120"/>
      <c r="P7097" s="121"/>
      <c r="Q7097" s="120"/>
      <c r="R7097" s="121"/>
      <c r="S7097" s="120"/>
      <c r="T7097" s="121"/>
      <c r="U7097" s="120"/>
      <c r="V7097" s="123"/>
      <c r="W7097" s="125"/>
      <c r="X7097" s="142" t="s">
        <v>4296</v>
      </c>
      <c r="Y7097" s="143"/>
      <c r="Z7097" s="143"/>
      <c r="AA7097" s="143"/>
      <c r="AB7097" s="144"/>
      <c r="AC7097" s="16" t="s">
        <v>21</v>
      </c>
      <c r="AD7097" s="17" t="s">
        <v>20491</v>
      </c>
      <c r="AE7097" s="145"/>
      <c r="AF7097" s="146"/>
      <c r="AG7097" s="146"/>
      <c r="AH7097" s="146"/>
      <c r="AI7097" s="147"/>
      <c r="AJ7097" s="148"/>
      <c r="AK7097" s="143"/>
      <c r="AL7097" s="144"/>
      <c r="AM7097" s="22"/>
      <c r="AN7097" s="149"/>
      <c r="AO7097" s="144"/>
      <c r="AP7097" s="148"/>
      <c r="AQ7097" s="144"/>
      <c r="AR7097" s="120"/>
      <c r="AS7097" s="121"/>
      <c r="AT7097" s="120"/>
      <c r="AU7097" s="121"/>
      <c r="AV7097" s="120"/>
      <c r="AW7097" s="121"/>
      <c r="AX7097" s="120"/>
      <c r="AY7097" s="121"/>
      <c r="AZ7097" s="138"/>
    </row>
    <row r="7098" spans="1:52" ht="17.100000000000001" customHeight="1" thickTop="1">
      <c r="A7098" s="109" t="s">
        <v>20227</v>
      </c>
      <c r="B7098" s="28">
        <v>46095</v>
      </c>
      <c r="C7098" s="25">
        <v>1535</v>
      </c>
      <c r="D7098" s="13" t="s">
        <v>1712</v>
      </c>
      <c r="E7098" s="111"/>
      <c r="F7098" s="113" t="s">
        <v>15293</v>
      </c>
      <c r="G7098" s="114"/>
      <c r="H7098" s="115"/>
      <c r="I7098" s="24"/>
      <c r="J7098" s="116">
        <v>4.5</v>
      </c>
      <c r="K7098" s="118">
        <v>780000</v>
      </c>
      <c r="L7098" s="119"/>
      <c r="M7098" s="118">
        <f t="shared" ref="M7098" si="10113">K7098*0.1</f>
        <v>78000</v>
      </c>
      <c r="N7098" s="119"/>
      <c r="O7098" s="118">
        <v>0</v>
      </c>
      <c r="P7098" s="119"/>
      <c r="Q7098" s="118">
        <v>18960</v>
      </c>
      <c r="R7098" s="119"/>
      <c r="S7098" s="118">
        <v>16500</v>
      </c>
      <c r="T7098" s="119"/>
      <c r="U7098" s="118">
        <f t="shared" ref="U7098" si="10114">SUM(K7098:T7099)</f>
        <v>893460</v>
      </c>
      <c r="V7098" s="122"/>
      <c r="W7098" s="124"/>
      <c r="X7098" s="126" t="s">
        <v>20630</v>
      </c>
      <c r="Y7098" s="127"/>
      <c r="Z7098" s="127"/>
      <c r="AA7098" s="127"/>
      <c r="AB7098" s="128"/>
      <c r="AC7098" s="15" t="s">
        <v>20</v>
      </c>
      <c r="AD7098" s="129" t="s">
        <v>1670</v>
      </c>
      <c r="AE7098" s="130"/>
      <c r="AF7098" s="130"/>
      <c r="AG7098" s="130"/>
      <c r="AH7098" s="130"/>
      <c r="AI7098" s="131"/>
      <c r="AJ7098" s="132"/>
      <c r="AK7098" s="127"/>
      <c r="AL7098" s="128"/>
      <c r="AM7098" s="21"/>
      <c r="AN7098" s="133">
        <v>46116</v>
      </c>
      <c r="AO7098" s="134"/>
      <c r="AP7098" s="135">
        <v>1295</v>
      </c>
      <c r="AQ7098" s="136"/>
      <c r="AR7098" s="118">
        <v>920000</v>
      </c>
      <c r="AS7098" s="119"/>
      <c r="AT7098" s="118">
        <f t="shared" ref="AT7098" si="10115">AR7098*0.1</f>
        <v>92000</v>
      </c>
      <c r="AU7098" s="119"/>
      <c r="AV7098" s="118">
        <v>18960</v>
      </c>
      <c r="AW7098" s="119"/>
      <c r="AX7098" s="118">
        <f t="shared" ref="AX7098" si="10116">SUM(AR7098:AW7098)</f>
        <v>1030960</v>
      </c>
      <c r="AY7098" s="119"/>
      <c r="AZ7098" s="137">
        <v>46119</v>
      </c>
    </row>
    <row r="7099" spans="1:52" ht="17.100000000000001" customHeight="1" thickBot="1">
      <c r="A7099" s="110"/>
      <c r="B7099" s="27" t="s">
        <v>1555</v>
      </c>
      <c r="C7099" s="27">
        <v>83229</v>
      </c>
      <c r="D7099" s="14" t="s">
        <v>1700</v>
      </c>
      <c r="E7099" s="112"/>
      <c r="F7099" s="139" t="s">
        <v>20264</v>
      </c>
      <c r="G7099" s="140"/>
      <c r="H7099" s="141"/>
      <c r="I7099" s="26">
        <v>48883</v>
      </c>
      <c r="J7099" s="117"/>
      <c r="K7099" s="120"/>
      <c r="L7099" s="121"/>
      <c r="M7099" s="120"/>
      <c r="N7099" s="121"/>
      <c r="O7099" s="120"/>
      <c r="P7099" s="121"/>
      <c r="Q7099" s="120"/>
      <c r="R7099" s="121"/>
      <c r="S7099" s="120"/>
      <c r="T7099" s="121"/>
      <c r="U7099" s="120"/>
      <c r="V7099" s="123"/>
      <c r="W7099" s="125"/>
      <c r="X7099" s="142" t="s">
        <v>3410</v>
      </c>
      <c r="Y7099" s="143"/>
      <c r="Z7099" s="143"/>
      <c r="AA7099" s="143"/>
      <c r="AB7099" s="144"/>
      <c r="AC7099" s="16" t="s">
        <v>21</v>
      </c>
      <c r="AD7099" s="17" t="s">
        <v>2382</v>
      </c>
      <c r="AE7099" s="145" t="s">
        <v>19445</v>
      </c>
      <c r="AF7099" s="146"/>
      <c r="AG7099" s="146"/>
      <c r="AH7099" s="146"/>
      <c r="AI7099" s="147"/>
      <c r="AJ7099" s="148"/>
      <c r="AK7099" s="143"/>
      <c r="AL7099" s="144"/>
      <c r="AM7099" s="22"/>
      <c r="AN7099" s="149" t="s">
        <v>2511</v>
      </c>
      <c r="AO7099" s="144"/>
      <c r="AP7099" s="148">
        <v>80039</v>
      </c>
      <c r="AQ7099" s="144"/>
      <c r="AR7099" s="120"/>
      <c r="AS7099" s="121"/>
      <c r="AT7099" s="120"/>
      <c r="AU7099" s="121"/>
      <c r="AV7099" s="120"/>
      <c r="AW7099" s="121"/>
      <c r="AX7099" s="120"/>
      <c r="AY7099" s="121"/>
      <c r="AZ7099" s="138"/>
    </row>
    <row r="7100" spans="1:52" ht="17.100000000000001" customHeight="1" thickTop="1">
      <c r="A7100" s="109" t="s">
        <v>20228</v>
      </c>
      <c r="B7100" s="28">
        <v>46095</v>
      </c>
      <c r="C7100" s="25">
        <v>1292</v>
      </c>
      <c r="D7100" s="13" t="s">
        <v>1929</v>
      </c>
      <c r="E7100" s="111"/>
      <c r="F7100" s="113" t="s">
        <v>20240</v>
      </c>
      <c r="G7100" s="114"/>
      <c r="H7100" s="115"/>
      <c r="I7100" s="24"/>
      <c r="J7100" s="116">
        <v>4</v>
      </c>
      <c r="K7100" s="118">
        <v>850000</v>
      </c>
      <c r="L7100" s="119"/>
      <c r="M7100" s="118">
        <f t="shared" ref="M7100" si="10117">K7100*0.1</f>
        <v>85000</v>
      </c>
      <c r="N7100" s="119"/>
      <c r="O7100" s="118">
        <v>0</v>
      </c>
      <c r="P7100" s="119"/>
      <c r="Q7100" s="118">
        <v>12030</v>
      </c>
      <c r="R7100" s="119"/>
      <c r="S7100" s="118">
        <v>12100</v>
      </c>
      <c r="T7100" s="119"/>
      <c r="U7100" s="118">
        <f t="shared" ref="U7100" si="10118">SUM(K7100:T7101)</f>
        <v>959130</v>
      </c>
      <c r="V7100" s="122"/>
      <c r="W7100" s="124"/>
      <c r="X7100" s="126" t="s">
        <v>20916</v>
      </c>
      <c r="Y7100" s="127"/>
      <c r="Z7100" s="127"/>
      <c r="AA7100" s="127"/>
      <c r="AB7100" s="128"/>
      <c r="AC7100" s="15" t="s">
        <v>20</v>
      </c>
      <c r="AD7100" s="129"/>
      <c r="AE7100" s="130"/>
      <c r="AF7100" s="130"/>
      <c r="AG7100" s="130"/>
      <c r="AH7100" s="130"/>
      <c r="AI7100" s="131"/>
      <c r="AJ7100" s="132"/>
      <c r="AK7100" s="127"/>
      <c r="AL7100" s="128"/>
      <c r="AM7100" s="21"/>
      <c r="AN7100" s="133">
        <v>46099</v>
      </c>
      <c r="AO7100" s="134"/>
      <c r="AP7100" s="135">
        <v>1009</v>
      </c>
      <c r="AQ7100" s="136"/>
      <c r="AR7100" s="118">
        <v>955000</v>
      </c>
      <c r="AS7100" s="119"/>
      <c r="AT7100" s="118">
        <f t="shared" ref="AT7100" si="10119">AR7100*0.1</f>
        <v>95500</v>
      </c>
      <c r="AU7100" s="119"/>
      <c r="AV7100" s="118">
        <v>12030</v>
      </c>
      <c r="AW7100" s="119"/>
      <c r="AX7100" s="118">
        <f t="shared" ref="AX7100" si="10120">SUM(AR7100:AW7100)</f>
        <v>1062530</v>
      </c>
      <c r="AY7100" s="119"/>
      <c r="AZ7100" s="137">
        <v>46105</v>
      </c>
    </row>
    <row r="7101" spans="1:52" ht="17.100000000000001" customHeight="1" thickBot="1">
      <c r="A7101" s="110"/>
      <c r="B7101" s="27" t="s">
        <v>2511</v>
      </c>
      <c r="C7101" s="27">
        <v>30081</v>
      </c>
      <c r="D7101" s="14" t="s">
        <v>2601</v>
      </c>
      <c r="E7101" s="112"/>
      <c r="F7101" s="139" t="s">
        <v>20241</v>
      </c>
      <c r="G7101" s="140"/>
      <c r="H7101" s="141"/>
      <c r="I7101" s="26">
        <v>105075</v>
      </c>
      <c r="J7101" s="117"/>
      <c r="K7101" s="120"/>
      <c r="L7101" s="121"/>
      <c r="M7101" s="120"/>
      <c r="N7101" s="121"/>
      <c r="O7101" s="120"/>
      <c r="P7101" s="121"/>
      <c r="Q7101" s="120"/>
      <c r="R7101" s="121"/>
      <c r="S7101" s="120"/>
      <c r="T7101" s="121"/>
      <c r="U7101" s="120"/>
      <c r="V7101" s="123"/>
      <c r="W7101" s="125"/>
      <c r="X7101" s="142" t="s">
        <v>20917</v>
      </c>
      <c r="Y7101" s="143"/>
      <c r="Z7101" s="143"/>
      <c r="AA7101" s="143"/>
      <c r="AB7101" s="144"/>
      <c r="AC7101" s="16" t="s">
        <v>21</v>
      </c>
      <c r="AD7101" s="17" t="s">
        <v>20913</v>
      </c>
      <c r="AE7101" s="145" t="s">
        <v>20918</v>
      </c>
      <c r="AF7101" s="146"/>
      <c r="AG7101" s="146"/>
      <c r="AH7101" s="146"/>
      <c r="AI7101" s="147"/>
      <c r="AJ7101" s="148"/>
      <c r="AK7101" s="143"/>
      <c r="AL7101" s="144"/>
      <c r="AM7101" s="22"/>
      <c r="AN7101" s="149" t="s">
        <v>2794</v>
      </c>
      <c r="AO7101" s="144"/>
      <c r="AP7101" s="148">
        <v>5156</v>
      </c>
      <c r="AQ7101" s="144"/>
      <c r="AR7101" s="120"/>
      <c r="AS7101" s="121"/>
      <c r="AT7101" s="120"/>
      <c r="AU7101" s="121"/>
      <c r="AV7101" s="120"/>
      <c r="AW7101" s="121"/>
      <c r="AX7101" s="120"/>
      <c r="AY7101" s="121"/>
      <c r="AZ7101" s="138"/>
    </row>
    <row r="7102" spans="1:52" ht="17.100000000000001" customHeight="1" thickTop="1">
      <c r="A7102" s="109" t="s">
        <v>20229</v>
      </c>
      <c r="B7102" s="28">
        <v>46095</v>
      </c>
      <c r="C7102" s="25">
        <v>1292</v>
      </c>
      <c r="D7102" s="13" t="s">
        <v>5627</v>
      </c>
      <c r="E7102" s="111"/>
      <c r="F7102" s="113" t="s">
        <v>20242</v>
      </c>
      <c r="G7102" s="114"/>
      <c r="H7102" s="115"/>
      <c r="I7102" s="24" t="s">
        <v>1559</v>
      </c>
      <c r="J7102" s="116">
        <v>4</v>
      </c>
      <c r="K7102" s="118">
        <v>660000</v>
      </c>
      <c r="L7102" s="119"/>
      <c r="M7102" s="118">
        <f t="shared" ref="M7102" si="10121">K7102*0.1</f>
        <v>66000</v>
      </c>
      <c r="N7102" s="119"/>
      <c r="O7102" s="118">
        <v>39500</v>
      </c>
      <c r="P7102" s="119"/>
      <c r="Q7102" s="118">
        <v>11820</v>
      </c>
      <c r="R7102" s="119"/>
      <c r="S7102" s="118">
        <v>12100</v>
      </c>
      <c r="T7102" s="119"/>
      <c r="U7102" s="118">
        <f t="shared" ref="U7102" si="10122">SUM(K7102:T7103)</f>
        <v>789420</v>
      </c>
      <c r="V7102" s="122"/>
      <c r="W7102" s="124"/>
      <c r="X7102" s="126" t="s">
        <v>20265</v>
      </c>
      <c r="Y7102" s="127"/>
      <c r="Z7102" s="127"/>
      <c r="AA7102" s="127"/>
      <c r="AB7102" s="128"/>
      <c r="AC7102" s="15" t="s">
        <v>20</v>
      </c>
      <c r="AD7102" s="129" t="s">
        <v>16662</v>
      </c>
      <c r="AE7102" s="130"/>
      <c r="AF7102" s="130"/>
      <c r="AG7102" s="130"/>
      <c r="AH7102" s="130"/>
      <c r="AI7102" s="131"/>
      <c r="AJ7102" s="132"/>
      <c r="AK7102" s="127"/>
      <c r="AL7102" s="128"/>
      <c r="AM7102" s="21"/>
      <c r="AN7102" s="133">
        <v>46113</v>
      </c>
      <c r="AO7102" s="134"/>
      <c r="AP7102" s="135">
        <v>1011</v>
      </c>
      <c r="AQ7102" s="136"/>
      <c r="AR7102" s="118">
        <v>785000</v>
      </c>
      <c r="AS7102" s="119"/>
      <c r="AT7102" s="118">
        <f t="shared" ref="AT7102" si="10123">AR7102*0.1</f>
        <v>78500</v>
      </c>
      <c r="AU7102" s="119"/>
      <c r="AV7102" s="118">
        <v>11820</v>
      </c>
      <c r="AW7102" s="119"/>
      <c r="AX7102" s="118">
        <f t="shared" ref="AX7102" si="10124">SUM(AR7102:AW7102)</f>
        <v>875320</v>
      </c>
      <c r="AY7102" s="119"/>
      <c r="AZ7102" s="137">
        <v>46118</v>
      </c>
    </row>
    <row r="7103" spans="1:52" ht="17.100000000000001" customHeight="1" thickBot="1">
      <c r="A7103" s="110"/>
      <c r="B7103" s="27" t="s">
        <v>2511</v>
      </c>
      <c r="C7103" s="27">
        <v>30145</v>
      </c>
      <c r="D7103" s="14" t="s">
        <v>2601</v>
      </c>
      <c r="E7103" s="112"/>
      <c r="F7103" s="139" t="s">
        <v>20243</v>
      </c>
      <c r="G7103" s="140"/>
      <c r="H7103" s="141"/>
      <c r="I7103" s="26">
        <v>92446</v>
      </c>
      <c r="J7103" s="117"/>
      <c r="K7103" s="120"/>
      <c r="L7103" s="121"/>
      <c r="M7103" s="120"/>
      <c r="N7103" s="121"/>
      <c r="O7103" s="120"/>
      <c r="P7103" s="121"/>
      <c r="Q7103" s="120"/>
      <c r="R7103" s="121"/>
      <c r="S7103" s="120"/>
      <c r="T7103" s="121"/>
      <c r="U7103" s="120"/>
      <c r="V7103" s="123"/>
      <c r="W7103" s="125"/>
      <c r="X7103" s="142" t="s">
        <v>20942</v>
      </c>
      <c r="Y7103" s="143"/>
      <c r="Z7103" s="143"/>
      <c r="AA7103" s="143"/>
      <c r="AB7103" s="144"/>
      <c r="AC7103" s="16" t="s">
        <v>21</v>
      </c>
      <c r="AD7103" s="17" t="s">
        <v>20913</v>
      </c>
      <c r="AE7103" s="145" t="s">
        <v>20943</v>
      </c>
      <c r="AF7103" s="146"/>
      <c r="AG7103" s="146"/>
      <c r="AH7103" s="146"/>
      <c r="AI7103" s="147"/>
      <c r="AJ7103" s="148"/>
      <c r="AK7103" s="143"/>
      <c r="AL7103" s="144"/>
      <c r="AM7103" s="22"/>
      <c r="AN7103" s="149" t="s">
        <v>9053</v>
      </c>
      <c r="AO7103" s="144"/>
      <c r="AP7103" s="148">
        <v>6092</v>
      </c>
      <c r="AQ7103" s="144"/>
      <c r="AR7103" s="120"/>
      <c r="AS7103" s="121"/>
      <c r="AT7103" s="120"/>
      <c r="AU7103" s="121"/>
      <c r="AV7103" s="120"/>
      <c r="AW7103" s="121"/>
      <c r="AX7103" s="120"/>
      <c r="AY7103" s="121"/>
      <c r="AZ7103" s="138"/>
    </row>
    <row r="7104" spans="1:52" ht="17.100000000000001" customHeight="1" thickTop="1">
      <c r="A7104" s="109" t="s">
        <v>20230</v>
      </c>
      <c r="B7104" s="28">
        <v>46095</v>
      </c>
      <c r="C7104" s="25">
        <v>1292</v>
      </c>
      <c r="D7104" s="13" t="s">
        <v>1651</v>
      </c>
      <c r="E7104" s="111"/>
      <c r="F7104" s="113" t="s">
        <v>20244</v>
      </c>
      <c r="G7104" s="114"/>
      <c r="H7104" s="115"/>
      <c r="I7104" s="24"/>
      <c r="J7104" s="116">
        <v>4.5</v>
      </c>
      <c r="K7104" s="118">
        <v>2165000</v>
      </c>
      <c r="L7104" s="119"/>
      <c r="M7104" s="118">
        <f t="shared" ref="M7104" si="10125">K7104*0.1</f>
        <v>216500</v>
      </c>
      <c r="N7104" s="119"/>
      <c r="O7104" s="118">
        <v>0</v>
      </c>
      <c r="P7104" s="119"/>
      <c r="Q7104" s="118">
        <v>14650</v>
      </c>
      <c r="R7104" s="119"/>
      <c r="S7104" s="118">
        <v>12100</v>
      </c>
      <c r="T7104" s="119"/>
      <c r="U7104" s="118">
        <f t="shared" ref="U7104" si="10126">SUM(K7104:T7105)</f>
        <v>2408250</v>
      </c>
      <c r="V7104" s="122"/>
      <c r="W7104" s="124"/>
      <c r="X7104" s="126" t="s">
        <v>20939</v>
      </c>
      <c r="Y7104" s="127"/>
      <c r="Z7104" s="127"/>
      <c r="AA7104" s="127"/>
      <c r="AB7104" s="128"/>
      <c r="AC7104" s="15" t="s">
        <v>20</v>
      </c>
      <c r="AD7104" s="129" t="s">
        <v>7231</v>
      </c>
      <c r="AE7104" s="130"/>
      <c r="AF7104" s="130"/>
      <c r="AG7104" s="130"/>
      <c r="AH7104" s="130"/>
      <c r="AI7104" s="131"/>
      <c r="AJ7104" s="132"/>
      <c r="AK7104" s="127"/>
      <c r="AL7104" s="128"/>
      <c r="AM7104" s="21"/>
      <c r="AN7104" s="133">
        <v>46106</v>
      </c>
      <c r="AO7104" s="134"/>
      <c r="AP7104" s="135">
        <v>1010</v>
      </c>
      <c r="AQ7104" s="136"/>
      <c r="AR7104" s="118">
        <v>2220000</v>
      </c>
      <c r="AS7104" s="119"/>
      <c r="AT7104" s="118">
        <f t="shared" ref="AT7104" si="10127">AR7104*0.1</f>
        <v>222000</v>
      </c>
      <c r="AU7104" s="119"/>
      <c r="AV7104" s="118">
        <v>14650</v>
      </c>
      <c r="AW7104" s="119"/>
      <c r="AX7104" s="118">
        <f t="shared" ref="AX7104" si="10128">SUM(AR7104:AW7104)</f>
        <v>2456650</v>
      </c>
      <c r="AY7104" s="119"/>
      <c r="AZ7104" s="137">
        <v>46111</v>
      </c>
    </row>
    <row r="7105" spans="1:52" ht="17.100000000000001" customHeight="1" thickBot="1">
      <c r="A7105" s="110"/>
      <c r="B7105" s="27" t="s">
        <v>2511</v>
      </c>
      <c r="C7105" s="27">
        <v>31314</v>
      </c>
      <c r="D7105" s="14" t="s">
        <v>2601</v>
      </c>
      <c r="E7105" s="112"/>
      <c r="F7105" s="139" t="s">
        <v>20245</v>
      </c>
      <c r="G7105" s="140"/>
      <c r="H7105" s="141"/>
      <c r="I7105" s="26">
        <v>47423</v>
      </c>
      <c r="J7105" s="117"/>
      <c r="K7105" s="120"/>
      <c r="L7105" s="121"/>
      <c r="M7105" s="120"/>
      <c r="N7105" s="121"/>
      <c r="O7105" s="120"/>
      <c r="P7105" s="121"/>
      <c r="Q7105" s="120"/>
      <c r="R7105" s="121"/>
      <c r="S7105" s="120"/>
      <c r="T7105" s="121"/>
      <c r="U7105" s="120"/>
      <c r="V7105" s="123"/>
      <c r="W7105" s="125"/>
      <c r="X7105" s="142" t="s">
        <v>20940</v>
      </c>
      <c r="Y7105" s="143"/>
      <c r="Z7105" s="143"/>
      <c r="AA7105" s="143"/>
      <c r="AB7105" s="144"/>
      <c r="AC7105" s="16" t="s">
        <v>21</v>
      </c>
      <c r="AD7105" s="17" t="s">
        <v>20913</v>
      </c>
      <c r="AE7105" s="145" t="s">
        <v>20941</v>
      </c>
      <c r="AF7105" s="146"/>
      <c r="AG7105" s="146"/>
      <c r="AH7105" s="146"/>
      <c r="AI7105" s="147"/>
      <c r="AJ7105" s="148"/>
      <c r="AK7105" s="143"/>
      <c r="AL7105" s="144"/>
      <c r="AM7105" s="22"/>
      <c r="AN7105" s="149" t="s">
        <v>2794</v>
      </c>
      <c r="AO7105" s="144"/>
      <c r="AP7105" s="148">
        <v>6101</v>
      </c>
      <c r="AQ7105" s="144"/>
      <c r="AR7105" s="120"/>
      <c r="AS7105" s="121"/>
      <c r="AT7105" s="120"/>
      <c r="AU7105" s="121"/>
      <c r="AV7105" s="120"/>
      <c r="AW7105" s="121"/>
      <c r="AX7105" s="120"/>
      <c r="AY7105" s="121"/>
      <c r="AZ7105" s="138"/>
    </row>
    <row r="7106" spans="1:52" ht="17.100000000000001" customHeight="1" thickTop="1">
      <c r="A7106" s="109" t="s">
        <v>20231</v>
      </c>
      <c r="B7106" s="28">
        <v>46095</v>
      </c>
      <c r="C7106" s="25">
        <v>1292</v>
      </c>
      <c r="D7106" s="13" t="s">
        <v>1686</v>
      </c>
      <c r="E7106" s="111"/>
      <c r="F7106" s="113" t="s">
        <v>15809</v>
      </c>
      <c r="G7106" s="114"/>
      <c r="H7106" s="115"/>
      <c r="I7106" s="24" t="s">
        <v>11255</v>
      </c>
      <c r="J7106" s="116">
        <v>4</v>
      </c>
      <c r="K7106" s="118">
        <v>1200000</v>
      </c>
      <c r="L7106" s="119"/>
      <c r="M7106" s="118">
        <f t="shared" ref="M7106" si="10129">K7106*0.1</f>
        <v>120000</v>
      </c>
      <c r="N7106" s="119"/>
      <c r="O7106" s="118">
        <v>38500</v>
      </c>
      <c r="P7106" s="119"/>
      <c r="Q7106" s="118">
        <v>11480</v>
      </c>
      <c r="R7106" s="119"/>
      <c r="S7106" s="118">
        <v>12100</v>
      </c>
      <c r="T7106" s="119"/>
      <c r="U7106" s="118">
        <f t="shared" ref="U7106" si="10130">SUM(K7106:T7107)</f>
        <v>1382080</v>
      </c>
      <c r="V7106" s="122"/>
      <c r="W7106" s="124"/>
      <c r="X7106" s="126" t="s">
        <v>20266</v>
      </c>
      <c r="Y7106" s="127"/>
      <c r="Z7106" s="127"/>
      <c r="AA7106" s="127"/>
      <c r="AB7106" s="128"/>
      <c r="AC7106" s="15" t="s">
        <v>20</v>
      </c>
      <c r="AD7106" s="129" t="s">
        <v>4435</v>
      </c>
      <c r="AE7106" s="130"/>
      <c r="AF7106" s="130"/>
      <c r="AG7106" s="130"/>
      <c r="AH7106" s="130"/>
      <c r="AI7106" s="131"/>
      <c r="AJ7106" s="132"/>
      <c r="AK7106" s="127"/>
      <c r="AL7106" s="128"/>
      <c r="AM7106" s="21"/>
      <c r="AN7106" s="133">
        <v>46099</v>
      </c>
      <c r="AO7106" s="134"/>
      <c r="AP7106" s="135">
        <v>1009</v>
      </c>
      <c r="AQ7106" s="136"/>
      <c r="AR7106" s="118">
        <v>1470000</v>
      </c>
      <c r="AS7106" s="119"/>
      <c r="AT7106" s="118">
        <f t="shared" ref="AT7106" si="10131">AR7106*0.1</f>
        <v>147000</v>
      </c>
      <c r="AU7106" s="119"/>
      <c r="AV7106" s="118">
        <v>11480</v>
      </c>
      <c r="AW7106" s="119"/>
      <c r="AX7106" s="118">
        <f t="shared" ref="AX7106" si="10132">SUM(AR7106:AW7106)</f>
        <v>1628480</v>
      </c>
      <c r="AY7106" s="119"/>
      <c r="AZ7106" s="137">
        <v>46105</v>
      </c>
    </row>
    <row r="7107" spans="1:52" ht="17.100000000000001" customHeight="1" thickBot="1">
      <c r="A7107" s="110"/>
      <c r="B7107" s="27" t="s">
        <v>2511</v>
      </c>
      <c r="C7107" s="27">
        <v>35208</v>
      </c>
      <c r="D7107" s="14" t="s">
        <v>2601</v>
      </c>
      <c r="E7107" s="112"/>
      <c r="F7107" s="139" t="s">
        <v>20246</v>
      </c>
      <c r="G7107" s="140"/>
      <c r="H7107" s="141"/>
      <c r="I7107" s="26">
        <v>106608</v>
      </c>
      <c r="J7107" s="117"/>
      <c r="K7107" s="120"/>
      <c r="L7107" s="121"/>
      <c r="M7107" s="120"/>
      <c r="N7107" s="121"/>
      <c r="O7107" s="120"/>
      <c r="P7107" s="121"/>
      <c r="Q7107" s="120"/>
      <c r="R7107" s="121"/>
      <c r="S7107" s="120"/>
      <c r="T7107" s="121"/>
      <c r="U7107" s="120"/>
      <c r="V7107" s="123"/>
      <c r="W7107" s="125"/>
      <c r="X7107" s="142" t="s">
        <v>20914</v>
      </c>
      <c r="Y7107" s="143"/>
      <c r="Z7107" s="143"/>
      <c r="AA7107" s="143"/>
      <c r="AB7107" s="144"/>
      <c r="AC7107" s="16" t="s">
        <v>21</v>
      </c>
      <c r="AD7107" s="17" t="s">
        <v>20913</v>
      </c>
      <c r="AE7107" s="145" t="s">
        <v>20915</v>
      </c>
      <c r="AF7107" s="146"/>
      <c r="AG7107" s="146"/>
      <c r="AH7107" s="146"/>
      <c r="AI7107" s="147"/>
      <c r="AJ7107" s="148" t="s">
        <v>14444</v>
      </c>
      <c r="AK7107" s="143"/>
      <c r="AL7107" s="144"/>
      <c r="AM7107" s="22"/>
      <c r="AN7107" s="149" t="s">
        <v>2794</v>
      </c>
      <c r="AO7107" s="144"/>
      <c r="AP7107" s="148">
        <v>5171</v>
      </c>
      <c r="AQ7107" s="144"/>
      <c r="AR7107" s="120"/>
      <c r="AS7107" s="121"/>
      <c r="AT7107" s="120"/>
      <c r="AU7107" s="121"/>
      <c r="AV7107" s="120"/>
      <c r="AW7107" s="121"/>
      <c r="AX7107" s="120"/>
      <c r="AY7107" s="121"/>
      <c r="AZ7107" s="138"/>
    </row>
    <row r="7108" spans="1:52" ht="17.100000000000001" customHeight="1" thickTop="1">
      <c r="A7108" s="109" t="s">
        <v>20233</v>
      </c>
      <c r="B7108" s="28">
        <v>46095</v>
      </c>
      <c r="C7108" s="25">
        <v>1292</v>
      </c>
      <c r="D7108" s="13" t="s">
        <v>1712</v>
      </c>
      <c r="E7108" s="111"/>
      <c r="F7108" s="113" t="s">
        <v>7632</v>
      </c>
      <c r="G7108" s="114"/>
      <c r="H7108" s="115"/>
      <c r="I7108" s="24"/>
      <c r="J7108" s="116">
        <v>4</v>
      </c>
      <c r="K7108" s="118">
        <v>620000</v>
      </c>
      <c r="L7108" s="119"/>
      <c r="M7108" s="118">
        <f t="shared" ref="M7108" si="10133">K7108*0.1</f>
        <v>62000</v>
      </c>
      <c r="N7108" s="119"/>
      <c r="O7108" s="118">
        <v>0</v>
      </c>
      <c r="P7108" s="119"/>
      <c r="Q7108" s="118">
        <v>7950</v>
      </c>
      <c r="R7108" s="119"/>
      <c r="S7108" s="118">
        <v>12100</v>
      </c>
      <c r="T7108" s="119"/>
      <c r="U7108" s="118">
        <f t="shared" ref="U7108" si="10134">SUM(K7108:T7109)</f>
        <v>702050</v>
      </c>
      <c r="V7108" s="122"/>
      <c r="W7108" s="124"/>
      <c r="X7108" s="126" t="s">
        <v>20936</v>
      </c>
      <c r="Y7108" s="127"/>
      <c r="Z7108" s="127"/>
      <c r="AA7108" s="127"/>
      <c r="AB7108" s="128"/>
      <c r="AC7108" s="15" t="s">
        <v>20</v>
      </c>
      <c r="AD7108" s="129" t="s">
        <v>17306</v>
      </c>
      <c r="AE7108" s="130"/>
      <c r="AF7108" s="130"/>
      <c r="AG7108" s="130"/>
      <c r="AH7108" s="130"/>
      <c r="AI7108" s="131"/>
      <c r="AJ7108" s="132"/>
      <c r="AK7108" s="127"/>
      <c r="AL7108" s="128"/>
      <c r="AM7108" s="21"/>
      <c r="AN7108" s="133">
        <v>46106</v>
      </c>
      <c r="AO7108" s="134"/>
      <c r="AP7108" s="135">
        <v>1010</v>
      </c>
      <c r="AQ7108" s="136"/>
      <c r="AR7108" s="118">
        <v>740000</v>
      </c>
      <c r="AS7108" s="119"/>
      <c r="AT7108" s="118">
        <f t="shared" ref="AT7108" si="10135">AR7108*0.1</f>
        <v>74000</v>
      </c>
      <c r="AU7108" s="119"/>
      <c r="AV7108" s="118">
        <v>7950</v>
      </c>
      <c r="AW7108" s="119"/>
      <c r="AX7108" s="118">
        <f t="shared" ref="AX7108" si="10136">SUM(AR7108:AW7108)</f>
        <v>821950</v>
      </c>
      <c r="AY7108" s="119"/>
      <c r="AZ7108" s="137">
        <v>46111</v>
      </c>
    </row>
    <row r="7109" spans="1:52" ht="17.100000000000001" customHeight="1" thickBot="1">
      <c r="A7109" s="110"/>
      <c r="B7109" s="27" t="s">
        <v>2511</v>
      </c>
      <c r="C7109" s="27">
        <v>65455</v>
      </c>
      <c r="D7109" s="14" t="s">
        <v>3855</v>
      </c>
      <c r="E7109" s="112"/>
      <c r="F7109" s="139" t="s">
        <v>20247</v>
      </c>
      <c r="G7109" s="140"/>
      <c r="H7109" s="141"/>
      <c r="I7109" s="26">
        <v>44714</v>
      </c>
      <c r="J7109" s="117"/>
      <c r="K7109" s="120"/>
      <c r="L7109" s="121"/>
      <c r="M7109" s="120"/>
      <c r="N7109" s="121"/>
      <c r="O7109" s="120"/>
      <c r="P7109" s="121"/>
      <c r="Q7109" s="120"/>
      <c r="R7109" s="121"/>
      <c r="S7109" s="120"/>
      <c r="T7109" s="121"/>
      <c r="U7109" s="120"/>
      <c r="V7109" s="123"/>
      <c r="W7109" s="125"/>
      <c r="X7109" s="142" t="s">
        <v>20937</v>
      </c>
      <c r="Y7109" s="143"/>
      <c r="Z7109" s="143"/>
      <c r="AA7109" s="143"/>
      <c r="AB7109" s="144"/>
      <c r="AC7109" s="16" t="s">
        <v>21</v>
      </c>
      <c r="AD7109" s="17" t="s">
        <v>20913</v>
      </c>
      <c r="AE7109" s="145" t="s">
        <v>20938</v>
      </c>
      <c r="AF7109" s="146"/>
      <c r="AG7109" s="146"/>
      <c r="AH7109" s="146"/>
      <c r="AI7109" s="147"/>
      <c r="AJ7109" s="148"/>
      <c r="AK7109" s="143"/>
      <c r="AL7109" s="144"/>
      <c r="AM7109" s="22"/>
      <c r="AN7109" s="149" t="s">
        <v>2794</v>
      </c>
      <c r="AO7109" s="144"/>
      <c r="AP7109" s="148">
        <v>2013</v>
      </c>
      <c r="AQ7109" s="144"/>
      <c r="AR7109" s="120"/>
      <c r="AS7109" s="121"/>
      <c r="AT7109" s="120"/>
      <c r="AU7109" s="121"/>
      <c r="AV7109" s="120"/>
      <c r="AW7109" s="121"/>
      <c r="AX7109" s="120"/>
      <c r="AY7109" s="121"/>
      <c r="AZ7109" s="138"/>
    </row>
    <row r="7110" spans="1:52" ht="17.100000000000001" customHeight="1" thickTop="1">
      <c r="A7110" s="109" t="s">
        <v>20234</v>
      </c>
      <c r="B7110" s="28">
        <v>46095</v>
      </c>
      <c r="C7110" s="25">
        <v>1292</v>
      </c>
      <c r="D7110" s="13" t="s">
        <v>4287</v>
      </c>
      <c r="E7110" s="111"/>
      <c r="F7110" s="113" t="s">
        <v>20248</v>
      </c>
      <c r="G7110" s="114"/>
      <c r="H7110" s="115"/>
      <c r="I7110" s="24" t="s">
        <v>2956</v>
      </c>
      <c r="J7110" s="116">
        <v>4.5</v>
      </c>
      <c r="K7110" s="118">
        <v>845000</v>
      </c>
      <c r="L7110" s="119"/>
      <c r="M7110" s="118">
        <f t="shared" ref="M7110" si="10137">K7110*0.1</f>
        <v>84500</v>
      </c>
      <c r="N7110" s="119"/>
      <c r="O7110" s="118">
        <v>5000</v>
      </c>
      <c r="P7110" s="119"/>
      <c r="Q7110" s="118">
        <v>8510</v>
      </c>
      <c r="R7110" s="119"/>
      <c r="S7110" s="118">
        <v>12100</v>
      </c>
      <c r="T7110" s="119"/>
      <c r="U7110" s="118">
        <f t="shared" ref="U7110" si="10138">SUM(K7110:T7111)</f>
        <v>955110</v>
      </c>
      <c r="V7110" s="122"/>
      <c r="W7110" s="124"/>
      <c r="X7110" s="126" t="s">
        <v>20267</v>
      </c>
      <c r="Y7110" s="127"/>
      <c r="Z7110" s="127"/>
      <c r="AA7110" s="127"/>
      <c r="AB7110" s="128"/>
      <c r="AC7110" s="15" t="s">
        <v>20</v>
      </c>
      <c r="AD7110" s="129" t="s">
        <v>1670</v>
      </c>
      <c r="AE7110" s="130"/>
      <c r="AF7110" s="130"/>
      <c r="AG7110" s="130"/>
      <c r="AH7110" s="130"/>
      <c r="AI7110" s="131"/>
      <c r="AJ7110" s="132"/>
      <c r="AK7110" s="127"/>
      <c r="AL7110" s="128"/>
      <c r="AM7110" s="21"/>
      <c r="AN7110" s="133">
        <v>46102</v>
      </c>
      <c r="AO7110" s="134"/>
      <c r="AP7110" s="135">
        <v>1293</v>
      </c>
      <c r="AQ7110" s="136"/>
      <c r="AR7110" s="118">
        <v>915000</v>
      </c>
      <c r="AS7110" s="119"/>
      <c r="AT7110" s="118">
        <f t="shared" ref="AT7110" si="10139">AR7110*0.1</f>
        <v>91500</v>
      </c>
      <c r="AU7110" s="119"/>
      <c r="AV7110" s="118">
        <v>8510</v>
      </c>
      <c r="AW7110" s="119"/>
      <c r="AX7110" s="118">
        <f t="shared" ref="AX7110" si="10140">SUM(AR7110:AW7110)</f>
        <v>1015010</v>
      </c>
      <c r="AY7110" s="119"/>
      <c r="AZ7110" s="137">
        <v>46105</v>
      </c>
    </row>
    <row r="7111" spans="1:52" ht="17.100000000000001" customHeight="1" thickBot="1">
      <c r="A7111" s="110"/>
      <c r="B7111" s="27" t="s">
        <v>2511</v>
      </c>
      <c r="C7111" s="27">
        <v>65561</v>
      </c>
      <c r="D7111" s="14" t="s">
        <v>1720</v>
      </c>
      <c r="E7111" s="112"/>
      <c r="F7111" s="139" t="s">
        <v>20249</v>
      </c>
      <c r="G7111" s="140"/>
      <c r="H7111" s="141"/>
      <c r="I7111" s="26">
        <v>54998</v>
      </c>
      <c r="J7111" s="117"/>
      <c r="K7111" s="120"/>
      <c r="L7111" s="121"/>
      <c r="M7111" s="120"/>
      <c r="N7111" s="121"/>
      <c r="O7111" s="120"/>
      <c r="P7111" s="121"/>
      <c r="Q7111" s="120"/>
      <c r="R7111" s="121"/>
      <c r="S7111" s="120"/>
      <c r="T7111" s="121"/>
      <c r="U7111" s="120"/>
      <c r="V7111" s="123"/>
      <c r="W7111" s="125"/>
      <c r="X7111" s="142" t="s">
        <v>20919</v>
      </c>
      <c r="Y7111" s="143"/>
      <c r="Z7111" s="143"/>
      <c r="AA7111" s="143"/>
      <c r="AB7111" s="144"/>
      <c r="AC7111" s="16" t="s">
        <v>21</v>
      </c>
      <c r="AD7111" s="17" t="s">
        <v>20913</v>
      </c>
      <c r="AE7111" s="145" t="s">
        <v>20920</v>
      </c>
      <c r="AF7111" s="146"/>
      <c r="AG7111" s="146"/>
      <c r="AH7111" s="146"/>
      <c r="AI7111" s="147"/>
      <c r="AJ7111" s="148"/>
      <c r="AK7111" s="143"/>
      <c r="AL7111" s="144"/>
      <c r="AM7111" s="22"/>
      <c r="AN7111" s="149" t="s">
        <v>2511</v>
      </c>
      <c r="AO7111" s="144"/>
      <c r="AP7111" s="148">
        <v>60300</v>
      </c>
      <c r="AQ7111" s="144"/>
      <c r="AR7111" s="120"/>
      <c r="AS7111" s="121"/>
      <c r="AT7111" s="120"/>
      <c r="AU7111" s="121"/>
      <c r="AV7111" s="120"/>
      <c r="AW7111" s="121"/>
      <c r="AX7111" s="120"/>
      <c r="AY7111" s="121"/>
      <c r="AZ7111" s="138"/>
    </row>
    <row r="7112" spans="1:52" ht="17.100000000000001" customHeight="1" thickTop="1">
      <c r="A7112" s="109" t="s">
        <v>20235</v>
      </c>
      <c r="B7112" s="28">
        <v>46095</v>
      </c>
      <c r="C7112" s="25">
        <v>1292</v>
      </c>
      <c r="D7112" s="13" t="s">
        <v>2359</v>
      </c>
      <c r="E7112" s="111"/>
      <c r="F7112" s="113" t="s">
        <v>20250</v>
      </c>
      <c r="G7112" s="114"/>
      <c r="H7112" s="115"/>
      <c r="I7112" s="24" t="s">
        <v>12810</v>
      </c>
      <c r="J7112" s="116">
        <v>4.5</v>
      </c>
      <c r="K7112" s="118">
        <v>4000000</v>
      </c>
      <c r="L7112" s="119"/>
      <c r="M7112" s="118">
        <f t="shared" ref="M7112" si="10141">K7112*0.1</f>
        <v>400000</v>
      </c>
      <c r="N7112" s="119"/>
      <c r="O7112" s="118">
        <v>36000</v>
      </c>
      <c r="P7112" s="119"/>
      <c r="Q7112" s="118">
        <v>24520</v>
      </c>
      <c r="R7112" s="119"/>
      <c r="S7112" s="118">
        <v>23100</v>
      </c>
      <c r="T7112" s="119"/>
      <c r="U7112" s="118">
        <f t="shared" ref="U7112" si="10142">SUM(K7112:T7113)</f>
        <v>4483620</v>
      </c>
      <c r="V7112" s="122"/>
      <c r="W7112" s="124"/>
      <c r="X7112" s="126" t="s">
        <v>20269</v>
      </c>
      <c r="Y7112" s="127"/>
      <c r="Z7112" s="127"/>
      <c r="AA7112" s="127"/>
      <c r="AB7112" s="128"/>
      <c r="AC7112" s="15" t="s">
        <v>20</v>
      </c>
      <c r="AD7112" s="129" t="s">
        <v>20270</v>
      </c>
      <c r="AE7112" s="130"/>
      <c r="AF7112" s="130"/>
      <c r="AG7112" s="130"/>
      <c r="AH7112" s="130"/>
      <c r="AI7112" s="131"/>
      <c r="AJ7112" s="132"/>
      <c r="AK7112" s="127"/>
      <c r="AL7112" s="128"/>
      <c r="AM7112" s="21"/>
      <c r="AN7112" s="133">
        <v>46107</v>
      </c>
      <c r="AO7112" s="134"/>
      <c r="AP7112" s="135">
        <v>1324</v>
      </c>
      <c r="AQ7112" s="136"/>
      <c r="AR7112" s="118">
        <v>4330000</v>
      </c>
      <c r="AS7112" s="119"/>
      <c r="AT7112" s="118">
        <f t="shared" ref="AT7112" si="10143">AR7112*0.1</f>
        <v>433000</v>
      </c>
      <c r="AU7112" s="119"/>
      <c r="AV7112" s="118">
        <v>24520</v>
      </c>
      <c r="AW7112" s="119"/>
      <c r="AX7112" s="118">
        <f t="shared" ref="AX7112" si="10144">SUM(AR7112:AW7112)</f>
        <v>4787520</v>
      </c>
      <c r="AY7112" s="119"/>
      <c r="AZ7112" s="137">
        <v>46108</v>
      </c>
    </row>
    <row r="7113" spans="1:52" ht="17.100000000000001" customHeight="1" thickBot="1">
      <c r="A7113" s="110"/>
      <c r="B7113" s="27" t="s">
        <v>2511</v>
      </c>
      <c r="C7113" s="27">
        <v>72036</v>
      </c>
      <c r="D7113" s="14" t="s">
        <v>1592</v>
      </c>
      <c r="E7113" s="112"/>
      <c r="F7113" s="139" t="s">
        <v>20268</v>
      </c>
      <c r="G7113" s="140"/>
      <c r="H7113" s="141"/>
      <c r="I7113" s="26">
        <v>50537</v>
      </c>
      <c r="J7113" s="117"/>
      <c r="K7113" s="120"/>
      <c r="L7113" s="121"/>
      <c r="M7113" s="120"/>
      <c r="N7113" s="121"/>
      <c r="O7113" s="120"/>
      <c r="P7113" s="121"/>
      <c r="Q7113" s="120"/>
      <c r="R7113" s="121"/>
      <c r="S7113" s="120"/>
      <c r="T7113" s="121"/>
      <c r="U7113" s="120"/>
      <c r="V7113" s="123"/>
      <c r="W7113" s="125"/>
      <c r="X7113" s="142" t="s">
        <v>20912</v>
      </c>
      <c r="Y7113" s="143"/>
      <c r="Z7113" s="143"/>
      <c r="AA7113" s="143"/>
      <c r="AB7113" s="144"/>
      <c r="AC7113" s="16" t="s">
        <v>21</v>
      </c>
      <c r="AD7113" s="17" t="s">
        <v>20913</v>
      </c>
      <c r="AE7113" s="145" t="s">
        <v>1565</v>
      </c>
      <c r="AF7113" s="146"/>
      <c r="AG7113" s="146"/>
      <c r="AH7113" s="146"/>
      <c r="AI7113" s="147"/>
      <c r="AJ7113" s="148"/>
      <c r="AK7113" s="143"/>
      <c r="AL7113" s="144"/>
      <c r="AM7113" s="22"/>
      <c r="AN7113" s="149" t="s">
        <v>21215</v>
      </c>
      <c r="AO7113" s="144"/>
      <c r="AP7113" s="148">
        <v>971</v>
      </c>
      <c r="AQ7113" s="144"/>
      <c r="AR7113" s="120"/>
      <c r="AS7113" s="121"/>
      <c r="AT7113" s="120"/>
      <c r="AU7113" s="121"/>
      <c r="AV7113" s="120"/>
      <c r="AW7113" s="121"/>
      <c r="AX7113" s="120"/>
      <c r="AY7113" s="121"/>
      <c r="AZ7113" s="138"/>
    </row>
    <row r="7114" spans="1:52" ht="17.100000000000001" customHeight="1" thickTop="1">
      <c r="A7114" s="109" t="s">
        <v>20236</v>
      </c>
      <c r="B7114" s="28">
        <v>46095</v>
      </c>
      <c r="C7114" s="25">
        <v>1292</v>
      </c>
      <c r="D7114" s="13" t="s">
        <v>2606</v>
      </c>
      <c r="E7114" s="111"/>
      <c r="F7114" s="113" t="s">
        <v>16059</v>
      </c>
      <c r="G7114" s="114"/>
      <c r="H7114" s="115"/>
      <c r="I7114" s="24"/>
      <c r="J7114" s="116">
        <v>4.5</v>
      </c>
      <c r="K7114" s="118">
        <v>1760000</v>
      </c>
      <c r="L7114" s="119"/>
      <c r="M7114" s="118">
        <f t="shared" ref="M7114" si="10145">K7114*0.1</f>
        <v>176000</v>
      </c>
      <c r="N7114" s="119"/>
      <c r="O7114" s="118">
        <v>0</v>
      </c>
      <c r="P7114" s="119"/>
      <c r="Q7114" s="118">
        <v>16240</v>
      </c>
      <c r="R7114" s="119"/>
      <c r="S7114" s="118">
        <v>16500</v>
      </c>
      <c r="T7114" s="119"/>
      <c r="U7114" s="118">
        <f t="shared" ref="U7114" si="10146">SUM(K7114:T7115)</f>
        <v>1968740</v>
      </c>
      <c r="V7114" s="122"/>
      <c r="W7114" s="124"/>
      <c r="X7114" s="126" t="s">
        <v>20925</v>
      </c>
      <c r="Y7114" s="127"/>
      <c r="Z7114" s="127"/>
      <c r="AA7114" s="127"/>
      <c r="AB7114" s="128"/>
      <c r="AC7114" s="15" t="s">
        <v>20</v>
      </c>
      <c r="AD7114" s="129"/>
      <c r="AE7114" s="130"/>
      <c r="AF7114" s="130"/>
      <c r="AG7114" s="130"/>
      <c r="AH7114" s="130"/>
      <c r="AI7114" s="131"/>
      <c r="AJ7114" s="132"/>
      <c r="AK7114" s="127"/>
      <c r="AL7114" s="128"/>
      <c r="AM7114" s="21"/>
      <c r="AN7114" s="133">
        <v>46127</v>
      </c>
      <c r="AO7114" s="134"/>
      <c r="AP7114" s="135">
        <v>1013</v>
      </c>
      <c r="AQ7114" s="136"/>
      <c r="AR7114" s="118">
        <v>1855000</v>
      </c>
      <c r="AS7114" s="119"/>
      <c r="AT7114" s="118">
        <f t="shared" ref="AT7114" si="10147">AR7114*0.1</f>
        <v>185500</v>
      </c>
      <c r="AU7114" s="119"/>
      <c r="AV7114" s="118">
        <v>16240</v>
      </c>
      <c r="AW7114" s="119"/>
      <c r="AX7114" s="118">
        <f t="shared" ref="AX7114" si="10148">SUM(AR7114:AW7114)</f>
        <v>2056740</v>
      </c>
      <c r="AY7114" s="119"/>
      <c r="AZ7114" s="137">
        <v>46132</v>
      </c>
    </row>
    <row r="7115" spans="1:52" ht="17.100000000000001" customHeight="1" thickBot="1">
      <c r="A7115" s="110"/>
      <c r="B7115" s="27" t="s">
        <v>2511</v>
      </c>
      <c r="C7115" s="27">
        <v>80271</v>
      </c>
      <c r="D7115" s="14" t="s">
        <v>1610</v>
      </c>
      <c r="E7115" s="112"/>
      <c r="F7115" s="139" t="s">
        <v>20271</v>
      </c>
      <c r="G7115" s="140"/>
      <c r="H7115" s="141"/>
      <c r="I7115" s="26">
        <v>38738</v>
      </c>
      <c r="J7115" s="117"/>
      <c r="K7115" s="120"/>
      <c r="L7115" s="121"/>
      <c r="M7115" s="120"/>
      <c r="N7115" s="121"/>
      <c r="O7115" s="120"/>
      <c r="P7115" s="121"/>
      <c r="Q7115" s="120"/>
      <c r="R7115" s="121"/>
      <c r="S7115" s="120"/>
      <c r="T7115" s="121"/>
      <c r="U7115" s="120"/>
      <c r="V7115" s="123"/>
      <c r="W7115" s="125"/>
      <c r="X7115" s="142" t="s">
        <v>20926</v>
      </c>
      <c r="Y7115" s="143"/>
      <c r="Z7115" s="143"/>
      <c r="AA7115" s="143"/>
      <c r="AB7115" s="144"/>
      <c r="AC7115" s="16" t="s">
        <v>21</v>
      </c>
      <c r="AD7115" s="17" t="s">
        <v>20913</v>
      </c>
      <c r="AE7115" s="145" t="s">
        <v>2195</v>
      </c>
      <c r="AF7115" s="146"/>
      <c r="AG7115" s="146"/>
      <c r="AH7115" s="146"/>
      <c r="AI7115" s="147"/>
      <c r="AJ7115" s="148"/>
      <c r="AK7115" s="143"/>
      <c r="AL7115" s="144"/>
      <c r="AM7115" s="22"/>
      <c r="AN7115" s="149" t="s">
        <v>2794</v>
      </c>
      <c r="AO7115" s="144"/>
      <c r="AP7115" s="148">
        <v>5059</v>
      </c>
      <c r="AQ7115" s="144"/>
      <c r="AR7115" s="120"/>
      <c r="AS7115" s="121"/>
      <c r="AT7115" s="120"/>
      <c r="AU7115" s="121"/>
      <c r="AV7115" s="120"/>
      <c r="AW7115" s="121"/>
      <c r="AX7115" s="120"/>
      <c r="AY7115" s="121"/>
      <c r="AZ7115" s="138"/>
    </row>
    <row r="7116" spans="1:52" ht="17.100000000000001" customHeight="1" thickTop="1">
      <c r="A7116" s="109" t="s">
        <v>20237</v>
      </c>
      <c r="B7116" s="28">
        <v>46095</v>
      </c>
      <c r="C7116" s="25">
        <v>1292</v>
      </c>
      <c r="D7116" s="13" t="s">
        <v>1795</v>
      </c>
      <c r="E7116" s="111"/>
      <c r="F7116" s="113" t="s">
        <v>20251</v>
      </c>
      <c r="G7116" s="114"/>
      <c r="H7116" s="115"/>
      <c r="I7116" s="24" t="s">
        <v>19689</v>
      </c>
      <c r="J7116" s="116">
        <v>4.5</v>
      </c>
      <c r="K7116" s="118">
        <v>2910000</v>
      </c>
      <c r="L7116" s="119"/>
      <c r="M7116" s="118">
        <f t="shared" ref="M7116" si="10149">K7116*0.1</f>
        <v>291000</v>
      </c>
      <c r="N7116" s="119"/>
      <c r="O7116" s="118">
        <v>36000</v>
      </c>
      <c r="P7116" s="119"/>
      <c r="Q7116" s="118">
        <v>22030</v>
      </c>
      <c r="R7116" s="119"/>
      <c r="S7116" s="118">
        <v>23100</v>
      </c>
      <c r="T7116" s="119"/>
      <c r="U7116" s="118">
        <f t="shared" ref="U7116" si="10150">SUM(K7116:T7117)</f>
        <v>3282130</v>
      </c>
      <c r="V7116" s="122"/>
      <c r="W7116" s="124"/>
      <c r="X7116" s="126" t="s">
        <v>20273</v>
      </c>
      <c r="Y7116" s="127"/>
      <c r="Z7116" s="127"/>
      <c r="AA7116" s="127"/>
      <c r="AB7116" s="128"/>
      <c r="AC7116" s="15" t="s">
        <v>20</v>
      </c>
      <c r="AD7116" s="129" t="s">
        <v>3828</v>
      </c>
      <c r="AE7116" s="130"/>
      <c r="AF7116" s="130"/>
      <c r="AG7116" s="130"/>
      <c r="AH7116" s="130"/>
      <c r="AI7116" s="131"/>
      <c r="AJ7116" s="132"/>
      <c r="AK7116" s="127"/>
      <c r="AL7116" s="128"/>
      <c r="AM7116" s="21"/>
      <c r="AN7116" s="133">
        <v>46107</v>
      </c>
      <c r="AO7116" s="134"/>
      <c r="AP7116" s="135">
        <v>1324</v>
      </c>
      <c r="AQ7116" s="136"/>
      <c r="AR7116" s="118">
        <v>3120000</v>
      </c>
      <c r="AS7116" s="119"/>
      <c r="AT7116" s="118">
        <f t="shared" ref="AT7116" si="10151">AR7116*0.1</f>
        <v>312000</v>
      </c>
      <c r="AU7116" s="119"/>
      <c r="AV7116" s="118">
        <v>22030</v>
      </c>
      <c r="AW7116" s="119"/>
      <c r="AX7116" s="118">
        <f t="shared" ref="AX7116" si="10152">SUM(AR7116:AW7116)</f>
        <v>3454030</v>
      </c>
      <c r="AY7116" s="119"/>
      <c r="AZ7116" s="137">
        <v>46108</v>
      </c>
    </row>
    <row r="7117" spans="1:52" ht="17.100000000000001" customHeight="1" thickBot="1">
      <c r="A7117" s="110"/>
      <c r="B7117" s="27" t="s">
        <v>2511</v>
      </c>
      <c r="C7117" s="27">
        <v>81036</v>
      </c>
      <c r="D7117" s="14" t="s">
        <v>1720</v>
      </c>
      <c r="E7117" s="112"/>
      <c r="F7117" s="139" t="s">
        <v>20272</v>
      </c>
      <c r="G7117" s="140"/>
      <c r="H7117" s="141"/>
      <c r="I7117" s="26">
        <v>49472</v>
      </c>
      <c r="J7117" s="117"/>
      <c r="K7117" s="120"/>
      <c r="L7117" s="121"/>
      <c r="M7117" s="120"/>
      <c r="N7117" s="121"/>
      <c r="O7117" s="120"/>
      <c r="P7117" s="121"/>
      <c r="Q7117" s="120"/>
      <c r="R7117" s="121"/>
      <c r="S7117" s="120"/>
      <c r="T7117" s="121"/>
      <c r="U7117" s="120"/>
      <c r="V7117" s="123"/>
      <c r="W7117" s="125"/>
      <c r="X7117" s="142" t="s">
        <v>20914</v>
      </c>
      <c r="Y7117" s="143"/>
      <c r="Z7117" s="143"/>
      <c r="AA7117" s="143"/>
      <c r="AB7117" s="144"/>
      <c r="AC7117" s="16" t="s">
        <v>21</v>
      </c>
      <c r="AD7117" s="17" t="s">
        <v>20913</v>
      </c>
      <c r="AE7117" s="145" t="s">
        <v>20924</v>
      </c>
      <c r="AF7117" s="146"/>
      <c r="AG7117" s="146"/>
      <c r="AH7117" s="146"/>
      <c r="AI7117" s="147"/>
      <c r="AJ7117" s="148"/>
      <c r="AK7117" s="143"/>
      <c r="AL7117" s="144"/>
      <c r="AM7117" s="22"/>
      <c r="AN7117" s="149" t="s">
        <v>21214</v>
      </c>
      <c r="AO7117" s="144"/>
      <c r="AP7117" s="148">
        <v>536</v>
      </c>
      <c r="AQ7117" s="144"/>
      <c r="AR7117" s="120"/>
      <c r="AS7117" s="121"/>
      <c r="AT7117" s="120"/>
      <c r="AU7117" s="121"/>
      <c r="AV7117" s="120"/>
      <c r="AW7117" s="121"/>
      <c r="AX7117" s="120"/>
      <c r="AY7117" s="121"/>
      <c r="AZ7117" s="138"/>
    </row>
    <row r="7118" spans="1:52" ht="17.100000000000001" customHeight="1" thickTop="1">
      <c r="A7118" s="109" t="s">
        <v>20238</v>
      </c>
      <c r="B7118" s="28">
        <v>46095</v>
      </c>
      <c r="C7118" s="25">
        <v>1292</v>
      </c>
      <c r="D7118" s="13" t="s">
        <v>1888</v>
      </c>
      <c r="E7118" s="111"/>
      <c r="F7118" s="113" t="s">
        <v>20274</v>
      </c>
      <c r="G7118" s="114"/>
      <c r="H7118" s="115"/>
      <c r="I7118" s="24"/>
      <c r="J7118" s="116">
        <v>4.5</v>
      </c>
      <c r="K7118" s="118">
        <v>1905000</v>
      </c>
      <c r="L7118" s="119"/>
      <c r="M7118" s="118">
        <f t="shared" ref="M7118" si="10153">K7118*0.1</f>
        <v>190500</v>
      </c>
      <c r="N7118" s="119"/>
      <c r="O7118" s="118">
        <v>0</v>
      </c>
      <c r="P7118" s="119"/>
      <c r="Q7118" s="118">
        <v>19860</v>
      </c>
      <c r="R7118" s="119"/>
      <c r="S7118" s="118">
        <v>16500</v>
      </c>
      <c r="T7118" s="119"/>
      <c r="U7118" s="118">
        <f t="shared" ref="U7118" si="10154">SUM(K7118:T7119)</f>
        <v>2131860</v>
      </c>
      <c r="V7118" s="122"/>
      <c r="W7118" s="124"/>
      <c r="X7118" s="126" t="s">
        <v>20922</v>
      </c>
      <c r="Y7118" s="127"/>
      <c r="Z7118" s="127"/>
      <c r="AA7118" s="127"/>
      <c r="AB7118" s="128"/>
      <c r="AC7118" s="15" t="s">
        <v>20</v>
      </c>
      <c r="AD7118" s="129" t="s">
        <v>4435</v>
      </c>
      <c r="AE7118" s="130"/>
      <c r="AF7118" s="130"/>
      <c r="AG7118" s="130"/>
      <c r="AH7118" s="130"/>
      <c r="AI7118" s="131"/>
      <c r="AJ7118" s="132"/>
      <c r="AK7118" s="127"/>
      <c r="AL7118" s="128"/>
      <c r="AM7118" s="21"/>
      <c r="AN7118" s="133"/>
      <c r="AO7118" s="134"/>
      <c r="AP7118" s="135"/>
      <c r="AQ7118" s="136"/>
      <c r="AR7118" s="118"/>
      <c r="AS7118" s="119"/>
      <c r="AT7118" s="118">
        <f t="shared" ref="AT7118" si="10155">AR7118*0.1</f>
        <v>0</v>
      </c>
      <c r="AU7118" s="119"/>
      <c r="AV7118" s="118"/>
      <c r="AW7118" s="119"/>
      <c r="AX7118" s="118">
        <f t="shared" ref="AX7118" si="10156">SUM(AR7118:AW7118)</f>
        <v>0</v>
      </c>
      <c r="AY7118" s="119"/>
      <c r="AZ7118" s="137"/>
    </row>
    <row r="7119" spans="1:52" ht="17.100000000000001" customHeight="1" thickBot="1">
      <c r="A7119" s="110"/>
      <c r="B7119" s="27" t="s">
        <v>2511</v>
      </c>
      <c r="C7119" s="27">
        <v>82113</v>
      </c>
      <c r="D7119" s="14" t="s">
        <v>2601</v>
      </c>
      <c r="E7119" s="112"/>
      <c r="F7119" s="139" t="s">
        <v>20275</v>
      </c>
      <c r="G7119" s="140"/>
      <c r="H7119" s="141"/>
      <c r="I7119" s="26">
        <v>47895</v>
      </c>
      <c r="J7119" s="117"/>
      <c r="K7119" s="120"/>
      <c r="L7119" s="121"/>
      <c r="M7119" s="120"/>
      <c r="N7119" s="121"/>
      <c r="O7119" s="120"/>
      <c r="P7119" s="121"/>
      <c r="Q7119" s="120"/>
      <c r="R7119" s="121"/>
      <c r="S7119" s="120"/>
      <c r="T7119" s="121"/>
      <c r="U7119" s="120"/>
      <c r="V7119" s="123"/>
      <c r="W7119" s="125"/>
      <c r="X7119" s="142" t="s">
        <v>20923</v>
      </c>
      <c r="Y7119" s="143"/>
      <c r="Z7119" s="143"/>
      <c r="AA7119" s="143"/>
      <c r="AB7119" s="144"/>
      <c r="AC7119" s="16" t="s">
        <v>21</v>
      </c>
      <c r="AD7119" s="17" t="s">
        <v>20913</v>
      </c>
      <c r="AE7119" s="145" t="s">
        <v>20920</v>
      </c>
      <c r="AF7119" s="146"/>
      <c r="AG7119" s="146"/>
      <c r="AH7119" s="146"/>
      <c r="AI7119" s="147"/>
      <c r="AJ7119" s="148"/>
      <c r="AK7119" s="143"/>
      <c r="AL7119" s="144"/>
      <c r="AM7119" s="22"/>
      <c r="AN7119" s="149"/>
      <c r="AO7119" s="144"/>
      <c r="AP7119" s="148"/>
      <c r="AQ7119" s="144"/>
      <c r="AR7119" s="120"/>
      <c r="AS7119" s="121"/>
      <c r="AT7119" s="120"/>
      <c r="AU7119" s="121"/>
      <c r="AV7119" s="120"/>
      <c r="AW7119" s="121"/>
      <c r="AX7119" s="120"/>
      <c r="AY7119" s="121"/>
      <c r="AZ7119" s="138"/>
    </row>
    <row r="7120" spans="1:52" ht="17.100000000000001" customHeight="1" thickTop="1">
      <c r="A7120" s="109" t="s">
        <v>20239</v>
      </c>
      <c r="B7120" s="28">
        <v>46095</v>
      </c>
      <c r="C7120" s="25">
        <v>1292</v>
      </c>
      <c r="D7120" s="13" t="s">
        <v>3921</v>
      </c>
      <c r="E7120" s="111"/>
      <c r="F7120" s="113" t="s">
        <v>2724</v>
      </c>
      <c r="G7120" s="114"/>
      <c r="H7120" s="115"/>
      <c r="I7120" s="24"/>
      <c r="J7120" s="116">
        <v>4.5</v>
      </c>
      <c r="K7120" s="118">
        <v>1650000</v>
      </c>
      <c r="L7120" s="119"/>
      <c r="M7120" s="118">
        <f t="shared" ref="M7120" si="10157">K7120*0.1</f>
        <v>165000</v>
      </c>
      <c r="N7120" s="119"/>
      <c r="O7120" s="118">
        <v>0</v>
      </c>
      <c r="P7120" s="119"/>
      <c r="Q7120" s="118">
        <v>19440</v>
      </c>
      <c r="R7120" s="119"/>
      <c r="S7120" s="118">
        <v>23100</v>
      </c>
      <c r="T7120" s="119"/>
      <c r="U7120" s="118">
        <f t="shared" ref="U7120" si="10158">SUM(K7120:T7121)</f>
        <v>1857540</v>
      </c>
      <c r="V7120" s="122"/>
      <c r="W7120" s="124"/>
      <c r="X7120" s="126" t="s">
        <v>20927</v>
      </c>
      <c r="Y7120" s="127"/>
      <c r="Z7120" s="127"/>
      <c r="AA7120" s="127"/>
      <c r="AB7120" s="128"/>
      <c r="AC7120" s="15" t="s">
        <v>20</v>
      </c>
      <c r="AD7120" s="129"/>
      <c r="AE7120" s="130"/>
      <c r="AF7120" s="130"/>
      <c r="AG7120" s="130"/>
      <c r="AH7120" s="130"/>
      <c r="AI7120" s="131"/>
      <c r="AJ7120" s="132"/>
      <c r="AK7120" s="127"/>
      <c r="AL7120" s="128"/>
      <c r="AM7120" s="21"/>
      <c r="AN7120" s="133">
        <v>46109</v>
      </c>
      <c r="AO7120" s="134"/>
      <c r="AP7120" s="135">
        <v>1294</v>
      </c>
      <c r="AQ7120" s="136"/>
      <c r="AR7120" s="118">
        <v>1780000</v>
      </c>
      <c r="AS7120" s="119"/>
      <c r="AT7120" s="118">
        <f t="shared" ref="AT7120" si="10159">AR7120*0.1</f>
        <v>178000</v>
      </c>
      <c r="AU7120" s="119"/>
      <c r="AV7120" s="118">
        <v>19440</v>
      </c>
      <c r="AW7120" s="119"/>
      <c r="AX7120" s="118">
        <f t="shared" ref="AX7120" si="10160">SUM(AR7120:AW7120)</f>
        <v>1977440</v>
      </c>
      <c r="AY7120" s="119"/>
      <c r="AZ7120" s="137">
        <v>46112</v>
      </c>
    </row>
    <row r="7121" spans="1:52" ht="17.100000000000001" customHeight="1" thickBot="1">
      <c r="A7121" s="110"/>
      <c r="B7121" s="27" t="s">
        <v>2511</v>
      </c>
      <c r="C7121" s="27">
        <v>82769</v>
      </c>
      <c r="D7121" s="14" t="s">
        <v>1592</v>
      </c>
      <c r="E7121" s="112"/>
      <c r="F7121" s="139" t="s">
        <v>20276</v>
      </c>
      <c r="G7121" s="140"/>
      <c r="H7121" s="141"/>
      <c r="I7121" s="26">
        <v>18050</v>
      </c>
      <c r="J7121" s="117"/>
      <c r="K7121" s="120"/>
      <c r="L7121" s="121"/>
      <c r="M7121" s="120"/>
      <c r="N7121" s="121"/>
      <c r="O7121" s="120"/>
      <c r="P7121" s="121"/>
      <c r="Q7121" s="120"/>
      <c r="R7121" s="121"/>
      <c r="S7121" s="120"/>
      <c r="T7121" s="121"/>
      <c r="U7121" s="120"/>
      <c r="V7121" s="123"/>
      <c r="W7121" s="125"/>
      <c r="X7121" s="142" t="s">
        <v>20928</v>
      </c>
      <c r="Y7121" s="143"/>
      <c r="Z7121" s="143"/>
      <c r="AA7121" s="143"/>
      <c r="AB7121" s="144"/>
      <c r="AC7121" s="16" t="s">
        <v>21</v>
      </c>
      <c r="AD7121" s="17" t="s">
        <v>20913</v>
      </c>
      <c r="AE7121" s="145"/>
      <c r="AF7121" s="146"/>
      <c r="AG7121" s="146"/>
      <c r="AH7121" s="146"/>
      <c r="AI7121" s="147"/>
      <c r="AJ7121" s="148"/>
      <c r="AK7121" s="143"/>
      <c r="AL7121" s="144"/>
      <c r="AM7121" s="22"/>
      <c r="AN7121" s="149" t="s">
        <v>21802</v>
      </c>
      <c r="AO7121" s="144"/>
      <c r="AP7121" s="148">
        <v>80116</v>
      </c>
      <c r="AQ7121" s="144"/>
      <c r="AR7121" s="120"/>
      <c r="AS7121" s="121"/>
      <c r="AT7121" s="120"/>
      <c r="AU7121" s="121"/>
      <c r="AV7121" s="120"/>
      <c r="AW7121" s="121"/>
      <c r="AX7121" s="120"/>
      <c r="AY7121" s="121"/>
      <c r="AZ7121" s="138"/>
    </row>
    <row r="7122" spans="1:52" ht="17.100000000000001" customHeight="1" thickTop="1">
      <c r="A7122" s="109" t="s">
        <v>20252</v>
      </c>
      <c r="B7122" s="28">
        <v>46095</v>
      </c>
      <c r="C7122" s="25">
        <v>303</v>
      </c>
      <c r="D7122" s="13" t="s">
        <v>4860</v>
      </c>
      <c r="E7122" s="111"/>
      <c r="F7122" s="113" t="s">
        <v>19694</v>
      </c>
      <c r="G7122" s="114"/>
      <c r="H7122" s="115"/>
      <c r="I7122" s="24"/>
      <c r="J7122" s="116">
        <v>4</v>
      </c>
      <c r="K7122" s="118">
        <v>1064000</v>
      </c>
      <c r="L7122" s="119"/>
      <c r="M7122" s="118">
        <f t="shared" ref="M7122" si="10161">K7122*0.1</f>
        <v>106400</v>
      </c>
      <c r="N7122" s="119"/>
      <c r="O7122" s="118">
        <v>0</v>
      </c>
      <c r="P7122" s="119"/>
      <c r="Q7122" s="118">
        <v>12470</v>
      </c>
      <c r="R7122" s="119"/>
      <c r="S7122" s="118">
        <v>15950</v>
      </c>
      <c r="T7122" s="119"/>
      <c r="U7122" s="118">
        <f t="shared" ref="U7122" si="10162">SUM(K7122:T7123)</f>
        <v>1198820</v>
      </c>
      <c r="V7122" s="122"/>
      <c r="W7122" s="124"/>
      <c r="X7122" s="126" t="s">
        <v>20536</v>
      </c>
      <c r="Y7122" s="127"/>
      <c r="Z7122" s="127"/>
      <c r="AA7122" s="127"/>
      <c r="AB7122" s="128"/>
      <c r="AC7122" s="15" t="s">
        <v>20</v>
      </c>
      <c r="AD7122" s="129"/>
      <c r="AE7122" s="130"/>
      <c r="AF7122" s="130"/>
      <c r="AG7122" s="130"/>
      <c r="AH7122" s="130"/>
      <c r="AI7122" s="131"/>
      <c r="AJ7122" s="132"/>
      <c r="AK7122" s="127"/>
      <c r="AL7122" s="128"/>
      <c r="AM7122" s="21"/>
      <c r="AN7122" s="133">
        <v>46127</v>
      </c>
      <c r="AO7122" s="134"/>
      <c r="AP7122" s="135">
        <v>1013</v>
      </c>
      <c r="AQ7122" s="136"/>
      <c r="AR7122" s="118">
        <v>1100000</v>
      </c>
      <c r="AS7122" s="119"/>
      <c r="AT7122" s="118">
        <f t="shared" ref="AT7122" si="10163">AR7122*0.1</f>
        <v>110000</v>
      </c>
      <c r="AU7122" s="119"/>
      <c r="AV7122" s="118">
        <v>12470</v>
      </c>
      <c r="AW7122" s="119"/>
      <c r="AX7122" s="118">
        <f t="shared" ref="AX7122" si="10164">SUM(AR7122:AW7122)</f>
        <v>1222470</v>
      </c>
      <c r="AY7122" s="119"/>
      <c r="AZ7122" s="137">
        <v>46133</v>
      </c>
    </row>
    <row r="7123" spans="1:52" ht="17.100000000000001" customHeight="1" thickBot="1">
      <c r="A7123" s="110"/>
      <c r="B7123" s="27" t="s">
        <v>3574</v>
      </c>
      <c r="C7123" s="27">
        <v>98</v>
      </c>
      <c r="D7123" s="14" t="s">
        <v>275</v>
      </c>
      <c r="E7123" s="112"/>
      <c r="F7123" s="139" t="s">
        <v>20255</v>
      </c>
      <c r="G7123" s="140"/>
      <c r="H7123" s="141"/>
      <c r="I7123" s="26">
        <v>90454</v>
      </c>
      <c r="J7123" s="117"/>
      <c r="K7123" s="120"/>
      <c r="L7123" s="121"/>
      <c r="M7123" s="120"/>
      <c r="N7123" s="121"/>
      <c r="O7123" s="120"/>
      <c r="P7123" s="121"/>
      <c r="Q7123" s="120"/>
      <c r="R7123" s="121"/>
      <c r="S7123" s="120"/>
      <c r="T7123" s="121"/>
      <c r="U7123" s="120"/>
      <c r="V7123" s="123"/>
      <c r="W7123" s="125"/>
      <c r="X7123" s="142" t="s">
        <v>20537</v>
      </c>
      <c r="Y7123" s="143"/>
      <c r="Z7123" s="143"/>
      <c r="AA7123" s="143"/>
      <c r="AB7123" s="144"/>
      <c r="AC7123" s="16" t="s">
        <v>21</v>
      </c>
      <c r="AD7123" s="17" t="s">
        <v>20491</v>
      </c>
      <c r="AE7123" s="145" t="s">
        <v>20627</v>
      </c>
      <c r="AF7123" s="146"/>
      <c r="AG7123" s="146"/>
      <c r="AH7123" s="146"/>
      <c r="AI7123" s="147"/>
      <c r="AJ7123" s="148"/>
      <c r="AK7123" s="143"/>
      <c r="AL7123" s="144"/>
      <c r="AM7123" s="22"/>
      <c r="AN7123" s="149" t="s">
        <v>7285</v>
      </c>
      <c r="AO7123" s="144"/>
      <c r="AP7123" s="148">
        <v>6036</v>
      </c>
      <c r="AQ7123" s="144"/>
      <c r="AR7123" s="120"/>
      <c r="AS7123" s="121"/>
      <c r="AT7123" s="120"/>
      <c r="AU7123" s="121"/>
      <c r="AV7123" s="120"/>
      <c r="AW7123" s="121"/>
      <c r="AX7123" s="120"/>
      <c r="AY7123" s="121"/>
      <c r="AZ7123" s="138"/>
    </row>
    <row r="7124" spans="1:52" ht="17.100000000000001" customHeight="1" thickTop="1">
      <c r="A7124" s="109" t="s">
        <v>20253</v>
      </c>
      <c r="B7124" s="28">
        <v>46095</v>
      </c>
      <c r="C7124" s="25">
        <v>1014</v>
      </c>
      <c r="D7124" s="13" t="s">
        <v>2759</v>
      </c>
      <c r="E7124" s="111"/>
      <c r="F7124" s="113" t="s">
        <v>20256</v>
      </c>
      <c r="G7124" s="114"/>
      <c r="H7124" s="115"/>
      <c r="I7124" s="24" t="s">
        <v>2577</v>
      </c>
      <c r="J7124" s="116">
        <v>4.5</v>
      </c>
      <c r="K7124" s="118">
        <v>2436000</v>
      </c>
      <c r="L7124" s="119"/>
      <c r="M7124" s="118">
        <f t="shared" ref="M7124" si="10165">K7124*0.1</f>
        <v>243600</v>
      </c>
      <c r="N7124" s="119"/>
      <c r="O7124" s="118">
        <v>36000</v>
      </c>
      <c r="P7124" s="119"/>
      <c r="Q7124" s="118">
        <v>19180</v>
      </c>
      <c r="R7124" s="119"/>
      <c r="S7124" s="118">
        <v>15950</v>
      </c>
      <c r="T7124" s="119"/>
      <c r="U7124" s="118">
        <f t="shared" ref="U7124" si="10166">SUM(K7124:T7125)</f>
        <v>2750730</v>
      </c>
      <c r="V7124" s="122"/>
      <c r="W7124" s="124"/>
      <c r="X7124" s="126" t="s">
        <v>20278</v>
      </c>
      <c r="Y7124" s="127"/>
      <c r="Z7124" s="127"/>
      <c r="AA7124" s="127"/>
      <c r="AB7124" s="128"/>
      <c r="AC7124" s="15" t="s">
        <v>20</v>
      </c>
      <c r="AD7124" s="129" t="s">
        <v>1670</v>
      </c>
      <c r="AE7124" s="130"/>
      <c r="AF7124" s="130"/>
      <c r="AG7124" s="130"/>
      <c r="AH7124" s="130"/>
      <c r="AI7124" s="131"/>
      <c r="AJ7124" s="132"/>
      <c r="AK7124" s="127"/>
      <c r="AL7124" s="128"/>
      <c r="AM7124" s="21" t="s">
        <v>22951</v>
      </c>
      <c r="AN7124" s="133">
        <v>46128</v>
      </c>
      <c r="AO7124" s="134"/>
      <c r="AP7124" s="135">
        <v>1327</v>
      </c>
      <c r="AQ7124" s="136"/>
      <c r="AR7124" s="118">
        <v>2615000</v>
      </c>
      <c r="AS7124" s="119"/>
      <c r="AT7124" s="118">
        <f t="shared" ref="AT7124" si="10167">AR7124*0.1</f>
        <v>261500</v>
      </c>
      <c r="AU7124" s="119"/>
      <c r="AV7124" s="118">
        <v>19180</v>
      </c>
      <c r="AW7124" s="119"/>
      <c r="AX7124" s="118">
        <f t="shared" ref="AX7124" si="10168">SUM(AR7124:AW7124)</f>
        <v>2895680</v>
      </c>
      <c r="AY7124" s="119"/>
      <c r="AZ7124" s="137">
        <v>46129</v>
      </c>
    </row>
    <row r="7125" spans="1:52" ht="17.100000000000001" customHeight="1" thickBot="1">
      <c r="A7125" s="110"/>
      <c r="B7125" s="27" t="s">
        <v>1707</v>
      </c>
      <c r="C7125" s="27">
        <v>5062</v>
      </c>
      <c r="D7125" s="14" t="s">
        <v>275</v>
      </c>
      <c r="E7125" s="112"/>
      <c r="F7125" s="139" t="s">
        <v>20277</v>
      </c>
      <c r="G7125" s="140"/>
      <c r="H7125" s="141"/>
      <c r="I7125" s="26">
        <v>22401</v>
      </c>
      <c r="J7125" s="117"/>
      <c r="K7125" s="120"/>
      <c r="L7125" s="121"/>
      <c r="M7125" s="120"/>
      <c r="N7125" s="121"/>
      <c r="O7125" s="120"/>
      <c r="P7125" s="121"/>
      <c r="Q7125" s="120"/>
      <c r="R7125" s="121"/>
      <c r="S7125" s="120"/>
      <c r="T7125" s="121"/>
      <c r="U7125" s="120"/>
      <c r="V7125" s="123"/>
      <c r="W7125" s="125"/>
      <c r="X7125" s="142" t="s">
        <v>4356</v>
      </c>
      <c r="Y7125" s="143"/>
      <c r="Z7125" s="143"/>
      <c r="AA7125" s="143"/>
      <c r="AB7125" s="144"/>
      <c r="AC7125" s="16" t="s">
        <v>21</v>
      </c>
      <c r="AD7125" s="17" t="s">
        <v>20491</v>
      </c>
      <c r="AE7125" s="145" t="s">
        <v>1658</v>
      </c>
      <c r="AF7125" s="146"/>
      <c r="AG7125" s="146"/>
      <c r="AH7125" s="146"/>
      <c r="AI7125" s="147"/>
      <c r="AJ7125" s="148"/>
      <c r="AK7125" s="143"/>
      <c r="AL7125" s="144"/>
      <c r="AM7125" s="22"/>
      <c r="AN7125" s="149" t="s">
        <v>23284</v>
      </c>
      <c r="AO7125" s="144"/>
      <c r="AP7125" s="148">
        <v>156</v>
      </c>
      <c r="AQ7125" s="144"/>
      <c r="AR7125" s="120"/>
      <c r="AS7125" s="121"/>
      <c r="AT7125" s="120"/>
      <c r="AU7125" s="121"/>
      <c r="AV7125" s="120"/>
      <c r="AW7125" s="121"/>
      <c r="AX7125" s="120"/>
      <c r="AY7125" s="121"/>
      <c r="AZ7125" s="138"/>
    </row>
    <row r="7126" spans="1:52" ht="17.100000000000001" customHeight="1" thickTop="1">
      <c r="A7126" s="109" t="s">
        <v>20254</v>
      </c>
      <c r="B7126" s="28">
        <v>46095</v>
      </c>
      <c r="C7126" s="25">
        <v>1014</v>
      </c>
      <c r="D7126" s="13" t="s">
        <v>4121</v>
      </c>
      <c r="E7126" s="111"/>
      <c r="F7126" s="113" t="s">
        <v>20257</v>
      </c>
      <c r="G7126" s="114"/>
      <c r="H7126" s="115"/>
      <c r="I7126" s="24"/>
      <c r="J7126" s="116">
        <v>4.5</v>
      </c>
      <c r="K7126" s="118">
        <v>1478000</v>
      </c>
      <c r="L7126" s="119"/>
      <c r="M7126" s="118">
        <f t="shared" ref="M7126" si="10169">K7126*0.1</f>
        <v>147800</v>
      </c>
      <c r="N7126" s="119"/>
      <c r="O7126" s="118">
        <v>0</v>
      </c>
      <c r="P7126" s="119"/>
      <c r="Q7126" s="118">
        <v>17800</v>
      </c>
      <c r="R7126" s="119"/>
      <c r="S7126" s="118">
        <v>15950</v>
      </c>
      <c r="T7126" s="119"/>
      <c r="U7126" s="118">
        <f t="shared" ref="U7126" si="10170">SUM(K7126:T7127)</f>
        <v>1659550</v>
      </c>
      <c r="V7126" s="122"/>
      <c r="W7126" s="124"/>
      <c r="X7126" s="126" t="s">
        <v>20507</v>
      </c>
      <c r="Y7126" s="127"/>
      <c r="Z7126" s="127"/>
      <c r="AA7126" s="127"/>
      <c r="AB7126" s="128"/>
      <c r="AC7126" s="15" t="s">
        <v>20</v>
      </c>
      <c r="AD7126" s="129" t="s">
        <v>1670</v>
      </c>
      <c r="AE7126" s="130"/>
      <c r="AF7126" s="130"/>
      <c r="AG7126" s="130"/>
      <c r="AH7126" s="130"/>
      <c r="AI7126" s="131"/>
      <c r="AJ7126" s="132"/>
      <c r="AK7126" s="127"/>
      <c r="AL7126" s="128"/>
      <c r="AM7126" s="21"/>
      <c r="AN7126" s="133">
        <v>46100</v>
      </c>
      <c r="AO7126" s="134"/>
      <c r="AP7126" s="135">
        <v>1323</v>
      </c>
      <c r="AQ7126" s="136"/>
      <c r="AR7126" s="118">
        <v>1695000</v>
      </c>
      <c r="AS7126" s="119"/>
      <c r="AT7126" s="118">
        <f t="shared" ref="AT7126" si="10171">AR7126*0.1</f>
        <v>169500</v>
      </c>
      <c r="AU7126" s="119"/>
      <c r="AV7126" s="118">
        <v>17800</v>
      </c>
      <c r="AW7126" s="119"/>
      <c r="AX7126" s="118">
        <f t="shared" ref="AX7126" si="10172">SUM(AR7126:AW7126)</f>
        <v>1882300</v>
      </c>
      <c r="AY7126" s="119"/>
      <c r="AZ7126" s="137">
        <v>46101</v>
      </c>
    </row>
    <row r="7127" spans="1:52" ht="17.100000000000001" customHeight="1" thickBot="1">
      <c r="A7127" s="110"/>
      <c r="B7127" s="27" t="s">
        <v>1707</v>
      </c>
      <c r="C7127" s="27">
        <v>5080</v>
      </c>
      <c r="D7127" s="14" t="s">
        <v>1635</v>
      </c>
      <c r="E7127" s="112"/>
      <c r="F7127" s="139" t="s">
        <v>20279</v>
      </c>
      <c r="G7127" s="140"/>
      <c r="H7127" s="141"/>
      <c r="I7127" s="26">
        <v>50017</v>
      </c>
      <c r="J7127" s="117"/>
      <c r="K7127" s="120"/>
      <c r="L7127" s="121"/>
      <c r="M7127" s="120"/>
      <c r="N7127" s="121"/>
      <c r="O7127" s="120"/>
      <c r="P7127" s="121"/>
      <c r="Q7127" s="120"/>
      <c r="R7127" s="121"/>
      <c r="S7127" s="120"/>
      <c r="T7127" s="121"/>
      <c r="U7127" s="120"/>
      <c r="V7127" s="123"/>
      <c r="W7127" s="125"/>
      <c r="X7127" s="142" t="s">
        <v>4356</v>
      </c>
      <c r="Y7127" s="143"/>
      <c r="Z7127" s="143"/>
      <c r="AA7127" s="143"/>
      <c r="AB7127" s="144"/>
      <c r="AC7127" s="16" t="s">
        <v>21</v>
      </c>
      <c r="AD7127" s="17" t="s">
        <v>20491</v>
      </c>
      <c r="AE7127" s="145" t="s">
        <v>1742</v>
      </c>
      <c r="AF7127" s="146"/>
      <c r="AG7127" s="146"/>
      <c r="AH7127" s="146"/>
      <c r="AI7127" s="147"/>
      <c r="AJ7127" s="148"/>
      <c r="AK7127" s="143"/>
      <c r="AL7127" s="144"/>
      <c r="AM7127" s="22"/>
      <c r="AN7127" s="149" t="s">
        <v>1747</v>
      </c>
      <c r="AO7127" s="144"/>
      <c r="AP7127" s="148">
        <v>176</v>
      </c>
      <c r="AQ7127" s="144"/>
      <c r="AR7127" s="120"/>
      <c r="AS7127" s="121"/>
      <c r="AT7127" s="120"/>
      <c r="AU7127" s="121"/>
      <c r="AV7127" s="120"/>
      <c r="AW7127" s="121"/>
      <c r="AX7127" s="120"/>
      <c r="AY7127" s="121"/>
      <c r="AZ7127" s="138"/>
    </row>
    <row r="7128" spans="1:52" ht="17.100000000000001" customHeight="1" thickTop="1">
      <c r="A7128" s="109" t="s">
        <v>20296</v>
      </c>
      <c r="B7128" s="28">
        <v>46096</v>
      </c>
      <c r="C7128" s="25"/>
      <c r="D7128" s="13" t="s">
        <v>3478</v>
      </c>
      <c r="E7128" s="111"/>
      <c r="F7128" s="113" t="s">
        <v>20298</v>
      </c>
      <c r="G7128" s="114"/>
      <c r="H7128" s="115"/>
      <c r="I7128" s="24" t="s">
        <v>15245</v>
      </c>
      <c r="J7128" s="116"/>
      <c r="K7128" s="118">
        <v>1600000</v>
      </c>
      <c r="L7128" s="119"/>
      <c r="M7128" s="118">
        <v>0</v>
      </c>
      <c r="N7128" s="119"/>
      <c r="O7128" s="118">
        <v>0</v>
      </c>
      <c r="P7128" s="119"/>
      <c r="Q7128" s="118">
        <v>0</v>
      </c>
      <c r="R7128" s="119"/>
      <c r="S7128" s="118">
        <v>0</v>
      </c>
      <c r="T7128" s="119"/>
      <c r="U7128" s="118">
        <f t="shared" ref="U7128" si="10173">SUM(K7128:T7129)</f>
        <v>1600000</v>
      </c>
      <c r="V7128" s="122"/>
      <c r="W7128" s="124"/>
      <c r="X7128" s="126" t="s">
        <v>20300</v>
      </c>
      <c r="Y7128" s="127"/>
      <c r="Z7128" s="127"/>
      <c r="AA7128" s="127"/>
      <c r="AB7128" s="128"/>
      <c r="AC7128" s="15" t="s">
        <v>20</v>
      </c>
      <c r="AD7128" s="129"/>
      <c r="AE7128" s="130"/>
      <c r="AF7128" s="130"/>
      <c r="AG7128" s="130"/>
      <c r="AH7128" s="130"/>
      <c r="AI7128" s="131"/>
      <c r="AJ7128" s="132"/>
      <c r="AK7128" s="127"/>
      <c r="AL7128" s="128"/>
      <c r="AM7128" s="21" t="s">
        <v>20987</v>
      </c>
      <c r="AN7128" s="133">
        <v>46109</v>
      </c>
      <c r="AO7128" s="134"/>
      <c r="AP7128" s="135">
        <v>1294</v>
      </c>
      <c r="AQ7128" s="136"/>
      <c r="AR7128" s="118">
        <v>1610000</v>
      </c>
      <c r="AS7128" s="119"/>
      <c r="AT7128" s="118">
        <f t="shared" ref="AT7128" si="10174">AR7128*0.1</f>
        <v>161000</v>
      </c>
      <c r="AU7128" s="119"/>
      <c r="AV7128" s="118">
        <v>19090</v>
      </c>
      <c r="AW7128" s="119"/>
      <c r="AX7128" s="118">
        <f t="shared" ref="AX7128" si="10175">SUM(AR7128:AW7128)</f>
        <v>1790090</v>
      </c>
      <c r="AY7128" s="119"/>
      <c r="AZ7128" s="137">
        <v>46112</v>
      </c>
    </row>
    <row r="7129" spans="1:52" ht="17.100000000000001" customHeight="1" thickBot="1">
      <c r="A7129" s="110"/>
      <c r="B7129" s="27" t="s">
        <v>20295</v>
      </c>
      <c r="C7129" s="27"/>
      <c r="D7129" s="14"/>
      <c r="E7129" s="112"/>
      <c r="F7129" s="139" t="s">
        <v>20299</v>
      </c>
      <c r="G7129" s="140"/>
      <c r="H7129" s="141"/>
      <c r="I7129" s="26">
        <v>61772</v>
      </c>
      <c r="J7129" s="117"/>
      <c r="K7129" s="120"/>
      <c r="L7129" s="121"/>
      <c r="M7129" s="120"/>
      <c r="N7129" s="121"/>
      <c r="O7129" s="120"/>
      <c r="P7129" s="121"/>
      <c r="Q7129" s="120"/>
      <c r="R7129" s="121"/>
      <c r="S7129" s="120"/>
      <c r="T7129" s="121"/>
      <c r="U7129" s="120"/>
      <c r="V7129" s="123"/>
      <c r="W7129" s="125"/>
      <c r="X7129" s="142" t="s">
        <v>20305</v>
      </c>
      <c r="Y7129" s="143"/>
      <c r="Z7129" s="143"/>
      <c r="AA7129" s="143"/>
      <c r="AB7129" s="144"/>
      <c r="AC7129" s="16" t="s">
        <v>21</v>
      </c>
      <c r="AD7129" s="17" t="s">
        <v>3653</v>
      </c>
      <c r="AE7129" s="145" t="s">
        <v>1742</v>
      </c>
      <c r="AF7129" s="146"/>
      <c r="AG7129" s="146"/>
      <c r="AH7129" s="146"/>
      <c r="AI7129" s="147"/>
      <c r="AJ7129" s="148"/>
      <c r="AK7129" s="143"/>
      <c r="AL7129" s="144"/>
      <c r="AM7129" s="22"/>
      <c r="AN7129" s="149" t="s">
        <v>21802</v>
      </c>
      <c r="AO7129" s="144"/>
      <c r="AP7129" s="148">
        <v>82228</v>
      </c>
      <c r="AQ7129" s="144"/>
      <c r="AR7129" s="120"/>
      <c r="AS7129" s="121"/>
      <c r="AT7129" s="120"/>
      <c r="AU7129" s="121"/>
      <c r="AV7129" s="120"/>
      <c r="AW7129" s="121"/>
      <c r="AX7129" s="120"/>
      <c r="AY7129" s="121"/>
      <c r="AZ7129" s="138"/>
    </row>
    <row r="7130" spans="1:52" ht="17.100000000000001" customHeight="1" thickTop="1">
      <c r="A7130" s="109" t="s">
        <v>20297</v>
      </c>
      <c r="B7130" s="28">
        <v>46096</v>
      </c>
      <c r="C7130" s="25"/>
      <c r="D7130" s="13" t="s">
        <v>2340</v>
      </c>
      <c r="E7130" s="111"/>
      <c r="F7130" s="113" t="s">
        <v>20302</v>
      </c>
      <c r="G7130" s="114"/>
      <c r="H7130" s="115"/>
      <c r="I7130" s="24" t="s">
        <v>20304</v>
      </c>
      <c r="J7130" s="116"/>
      <c r="K7130" s="118">
        <v>500000</v>
      </c>
      <c r="L7130" s="119"/>
      <c r="M7130" s="118">
        <v>0</v>
      </c>
      <c r="N7130" s="119"/>
      <c r="O7130" s="118">
        <v>0</v>
      </c>
      <c r="P7130" s="119"/>
      <c r="Q7130" s="118">
        <v>0</v>
      </c>
      <c r="R7130" s="119"/>
      <c r="S7130" s="118">
        <v>0</v>
      </c>
      <c r="T7130" s="119"/>
      <c r="U7130" s="118">
        <f t="shared" ref="U7130" si="10176">SUM(K7130:T7131)</f>
        <v>500000</v>
      </c>
      <c r="V7130" s="122"/>
      <c r="W7130" s="124"/>
      <c r="X7130" s="126" t="s">
        <v>20306</v>
      </c>
      <c r="Y7130" s="127"/>
      <c r="Z7130" s="127"/>
      <c r="AA7130" s="127"/>
      <c r="AB7130" s="128"/>
      <c r="AC7130" s="15" t="s">
        <v>20</v>
      </c>
      <c r="AD7130" s="129"/>
      <c r="AE7130" s="130"/>
      <c r="AF7130" s="130"/>
      <c r="AG7130" s="130"/>
      <c r="AH7130" s="130"/>
      <c r="AI7130" s="131"/>
      <c r="AJ7130" s="132"/>
      <c r="AK7130" s="127"/>
      <c r="AL7130" s="128"/>
      <c r="AM7130" s="21"/>
      <c r="AN7130" s="133">
        <v>46102</v>
      </c>
      <c r="AO7130" s="134"/>
      <c r="AP7130" s="135">
        <v>1293</v>
      </c>
      <c r="AQ7130" s="136"/>
      <c r="AR7130" s="118">
        <v>495000</v>
      </c>
      <c r="AS7130" s="119"/>
      <c r="AT7130" s="118">
        <f t="shared" ref="AT7130" si="10177">AR7130*0.1</f>
        <v>49500</v>
      </c>
      <c r="AU7130" s="119"/>
      <c r="AV7130" s="118">
        <v>14040</v>
      </c>
      <c r="AW7130" s="119"/>
      <c r="AX7130" s="118">
        <f t="shared" ref="AX7130" si="10178">SUM(AR7130:AW7130)</f>
        <v>558540</v>
      </c>
      <c r="AY7130" s="119"/>
      <c r="AZ7130" s="137">
        <v>46107</v>
      </c>
    </row>
    <row r="7131" spans="1:52" ht="17.100000000000001" customHeight="1" thickBot="1">
      <c r="A7131" s="110"/>
      <c r="B7131" s="27" t="s">
        <v>20301</v>
      </c>
      <c r="C7131" s="27"/>
      <c r="D7131" s="14" t="s">
        <v>275</v>
      </c>
      <c r="E7131" s="112"/>
      <c r="F7131" s="139" t="s">
        <v>20303</v>
      </c>
      <c r="G7131" s="140"/>
      <c r="H7131" s="141"/>
      <c r="I7131" s="26"/>
      <c r="J7131" s="117"/>
      <c r="K7131" s="120"/>
      <c r="L7131" s="121"/>
      <c r="M7131" s="120"/>
      <c r="N7131" s="121"/>
      <c r="O7131" s="120"/>
      <c r="P7131" s="121"/>
      <c r="Q7131" s="120"/>
      <c r="R7131" s="121"/>
      <c r="S7131" s="120"/>
      <c r="T7131" s="121"/>
      <c r="U7131" s="120"/>
      <c r="V7131" s="123"/>
      <c r="W7131" s="125"/>
      <c r="X7131" s="142" t="s">
        <v>20307</v>
      </c>
      <c r="Y7131" s="143"/>
      <c r="Z7131" s="143"/>
      <c r="AA7131" s="143"/>
      <c r="AB7131" s="144"/>
      <c r="AC7131" s="16" t="s">
        <v>21</v>
      </c>
      <c r="AD7131" s="17" t="s">
        <v>3653</v>
      </c>
      <c r="AE7131" s="145"/>
      <c r="AF7131" s="146"/>
      <c r="AG7131" s="146"/>
      <c r="AH7131" s="146"/>
      <c r="AI7131" s="147"/>
      <c r="AJ7131" s="148"/>
      <c r="AK7131" s="143"/>
      <c r="AL7131" s="144"/>
      <c r="AM7131" s="22"/>
      <c r="AN7131" s="149" t="s">
        <v>2511</v>
      </c>
      <c r="AO7131" s="144"/>
      <c r="AP7131" s="148">
        <v>37316</v>
      </c>
      <c r="AQ7131" s="144"/>
      <c r="AR7131" s="120"/>
      <c r="AS7131" s="121"/>
      <c r="AT7131" s="120"/>
      <c r="AU7131" s="121"/>
      <c r="AV7131" s="120"/>
      <c r="AW7131" s="121"/>
      <c r="AX7131" s="120"/>
      <c r="AY7131" s="121"/>
      <c r="AZ7131" s="138"/>
    </row>
    <row r="7132" spans="1:52" ht="17.100000000000001" customHeight="1" thickTop="1">
      <c r="A7132" s="109" t="s">
        <v>20310</v>
      </c>
      <c r="B7132" s="28">
        <v>46097</v>
      </c>
      <c r="C7132" s="25">
        <v>2085</v>
      </c>
      <c r="D7132" s="13" t="s">
        <v>2298</v>
      </c>
      <c r="E7132" s="111"/>
      <c r="F7132" s="113" t="s">
        <v>20315</v>
      </c>
      <c r="G7132" s="114"/>
      <c r="H7132" s="115"/>
      <c r="I7132" s="24" t="s">
        <v>2584</v>
      </c>
      <c r="J7132" s="116">
        <v>4.5</v>
      </c>
      <c r="K7132" s="118">
        <v>1630000</v>
      </c>
      <c r="L7132" s="119"/>
      <c r="M7132" s="118">
        <f t="shared" ref="M7132" si="10179">K7132*0.1</f>
        <v>163000</v>
      </c>
      <c r="N7132" s="119"/>
      <c r="O7132" s="118">
        <v>30500</v>
      </c>
      <c r="P7132" s="119"/>
      <c r="Q7132" s="118">
        <v>19130</v>
      </c>
      <c r="R7132" s="119"/>
      <c r="S7132" s="118">
        <v>11000</v>
      </c>
      <c r="T7132" s="119"/>
      <c r="U7132" s="118">
        <f t="shared" ref="U7132" si="10180">SUM(K7132:T7133)</f>
        <v>1853630</v>
      </c>
      <c r="V7132" s="122"/>
      <c r="W7132" s="124"/>
      <c r="X7132" s="126" t="s">
        <v>20317</v>
      </c>
      <c r="Y7132" s="127"/>
      <c r="Z7132" s="127"/>
      <c r="AA7132" s="127"/>
      <c r="AB7132" s="128"/>
      <c r="AC7132" s="15" t="s">
        <v>20</v>
      </c>
      <c r="AD7132" s="129" t="s">
        <v>20322</v>
      </c>
      <c r="AE7132" s="130"/>
      <c r="AF7132" s="130"/>
      <c r="AG7132" s="130"/>
      <c r="AH7132" s="130"/>
      <c r="AI7132" s="131"/>
      <c r="AJ7132" s="132"/>
      <c r="AK7132" s="127"/>
      <c r="AL7132" s="128"/>
      <c r="AM7132" s="21"/>
      <c r="AN7132" s="133">
        <v>46114</v>
      </c>
      <c r="AO7132" s="134"/>
      <c r="AP7132" s="135">
        <v>1325</v>
      </c>
      <c r="AQ7132" s="136"/>
      <c r="AR7132" s="118">
        <v>1885000</v>
      </c>
      <c r="AS7132" s="119"/>
      <c r="AT7132" s="118">
        <f t="shared" ref="AT7132" si="10181">AR7132*0.1</f>
        <v>188500</v>
      </c>
      <c r="AU7132" s="119"/>
      <c r="AV7132" s="118">
        <v>19130</v>
      </c>
      <c r="AW7132" s="119"/>
      <c r="AX7132" s="118">
        <f t="shared" ref="AX7132" si="10182">SUM(AR7132:AW7132)</f>
        <v>2092630</v>
      </c>
      <c r="AY7132" s="119"/>
      <c r="AZ7132" s="137">
        <v>46115</v>
      </c>
    </row>
    <row r="7133" spans="1:52" ht="17.100000000000001" customHeight="1" thickBot="1">
      <c r="A7133" s="110"/>
      <c r="B7133" s="27" t="s">
        <v>83</v>
      </c>
      <c r="C7133" s="27">
        <v>32028</v>
      </c>
      <c r="D7133" s="14" t="s">
        <v>2601</v>
      </c>
      <c r="E7133" s="112"/>
      <c r="F7133" s="139" t="s">
        <v>20316</v>
      </c>
      <c r="G7133" s="140"/>
      <c r="H7133" s="141"/>
      <c r="I7133" s="26">
        <v>46403</v>
      </c>
      <c r="J7133" s="117"/>
      <c r="K7133" s="120"/>
      <c r="L7133" s="121"/>
      <c r="M7133" s="120"/>
      <c r="N7133" s="121"/>
      <c r="O7133" s="120"/>
      <c r="P7133" s="121"/>
      <c r="Q7133" s="120"/>
      <c r="R7133" s="121"/>
      <c r="S7133" s="120"/>
      <c r="T7133" s="121"/>
      <c r="U7133" s="120"/>
      <c r="V7133" s="123"/>
      <c r="W7133" s="125"/>
      <c r="X7133" s="142" t="s">
        <v>1656</v>
      </c>
      <c r="Y7133" s="143"/>
      <c r="Z7133" s="143"/>
      <c r="AA7133" s="143"/>
      <c r="AB7133" s="144"/>
      <c r="AC7133" s="16" t="s">
        <v>21</v>
      </c>
      <c r="AD7133" s="17" t="s">
        <v>20553</v>
      </c>
      <c r="AE7133" s="145" t="s">
        <v>1742</v>
      </c>
      <c r="AF7133" s="146"/>
      <c r="AG7133" s="146"/>
      <c r="AH7133" s="146"/>
      <c r="AI7133" s="147"/>
      <c r="AJ7133" s="148"/>
      <c r="AK7133" s="143"/>
      <c r="AL7133" s="144"/>
      <c r="AM7133" s="22"/>
      <c r="AN7133" s="149" t="s">
        <v>13663</v>
      </c>
      <c r="AO7133" s="144"/>
      <c r="AP7133" s="148">
        <v>24</v>
      </c>
      <c r="AQ7133" s="144"/>
      <c r="AR7133" s="120"/>
      <c r="AS7133" s="121"/>
      <c r="AT7133" s="120"/>
      <c r="AU7133" s="121"/>
      <c r="AV7133" s="120"/>
      <c r="AW7133" s="121"/>
      <c r="AX7133" s="120"/>
      <c r="AY7133" s="121"/>
      <c r="AZ7133" s="138"/>
    </row>
    <row r="7134" spans="1:52" ht="17.100000000000001" customHeight="1" thickTop="1">
      <c r="A7134" s="109" t="s">
        <v>20311</v>
      </c>
      <c r="B7134" s="28">
        <v>46097</v>
      </c>
      <c r="C7134" s="25">
        <v>2085</v>
      </c>
      <c r="D7134" s="13" t="s">
        <v>2465</v>
      </c>
      <c r="E7134" s="111"/>
      <c r="F7134" s="113" t="s">
        <v>20318</v>
      </c>
      <c r="G7134" s="114"/>
      <c r="H7134" s="115"/>
      <c r="I7134" s="24" t="s">
        <v>4109</v>
      </c>
      <c r="J7134" s="116">
        <v>4</v>
      </c>
      <c r="K7134" s="118">
        <v>740000</v>
      </c>
      <c r="L7134" s="119"/>
      <c r="M7134" s="118">
        <f t="shared" ref="M7134" si="10183">K7134*0.1</f>
        <v>74000</v>
      </c>
      <c r="N7134" s="119"/>
      <c r="O7134" s="118">
        <v>39500</v>
      </c>
      <c r="P7134" s="119"/>
      <c r="Q7134" s="118">
        <v>19440</v>
      </c>
      <c r="R7134" s="119"/>
      <c r="S7134" s="118">
        <v>11000</v>
      </c>
      <c r="T7134" s="119"/>
      <c r="U7134" s="118">
        <f t="shared" ref="U7134" si="10184">SUM(K7134:T7135)</f>
        <v>883940</v>
      </c>
      <c r="V7134" s="122"/>
      <c r="W7134" s="124"/>
      <c r="X7134" s="126" t="s">
        <v>20320</v>
      </c>
      <c r="Y7134" s="127"/>
      <c r="Z7134" s="127"/>
      <c r="AA7134" s="127"/>
      <c r="AB7134" s="128"/>
      <c r="AC7134" s="15" t="s">
        <v>20</v>
      </c>
      <c r="AD7134" s="129" t="s">
        <v>20321</v>
      </c>
      <c r="AE7134" s="130"/>
      <c r="AF7134" s="130"/>
      <c r="AG7134" s="130"/>
      <c r="AH7134" s="130"/>
      <c r="AI7134" s="131"/>
      <c r="AJ7134" s="132"/>
      <c r="AK7134" s="127"/>
      <c r="AL7134" s="128"/>
      <c r="AM7134" s="21"/>
      <c r="AN7134" s="133">
        <v>46106</v>
      </c>
      <c r="AO7134" s="134"/>
      <c r="AP7134" s="135">
        <v>1010</v>
      </c>
      <c r="AQ7134" s="136"/>
      <c r="AR7134" s="118">
        <v>880000</v>
      </c>
      <c r="AS7134" s="119"/>
      <c r="AT7134" s="118">
        <f t="shared" ref="AT7134" si="10185">AR7134*0.1</f>
        <v>88000</v>
      </c>
      <c r="AU7134" s="119"/>
      <c r="AV7134" s="118">
        <v>19440</v>
      </c>
      <c r="AW7134" s="119"/>
      <c r="AX7134" s="118">
        <f t="shared" ref="AX7134" si="10186">SUM(AR7134:AW7134)</f>
        <v>987440</v>
      </c>
      <c r="AY7134" s="119"/>
      <c r="AZ7134" s="137">
        <v>46112</v>
      </c>
    </row>
    <row r="7135" spans="1:52" ht="17.100000000000001" customHeight="1" thickBot="1">
      <c r="A7135" s="110"/>
      <c r="B7135" s="27" t="s">
        <v>83</v>
      </c>
      <c r="C7135" s="27">
        <v>34551</v>
      </c>
      <c r="D7135" s="14" t="s">
        <v>55</v>
      </c>
      <c r="E7135" s="112"/>
      <c r="F7135" s="139" t="s">
        <v>20319</v>
      </c>
      <c r="G7135" s="140"/>
      <c r="H7135" s="141"/>
      <c r="I7135" s="26">
        <v>48906</v>
      </c>
      <c r="J7135" s="117"/>
      <c r="K7135" s="120"/>
      <c r="L7135" s="121"/>
      <c r="M7135" s="120"/>
      <c r="N7135" s="121"/>
      <c r="O7135" s="120"/>
      <c r="P7135" s="121"/>
      <c r="Q7135" s="120"/>
      <c r="R7135" s="121"/>
      <c r="S7135" s="120"/>
      <c r="T7135" s="121"/>
      <c r="U7135" s="120"/>
      <c r="V7135" s="123"/>
      <c r="W7135" s="125"/>
      <c r="X7135" s="142" t="s">
        <v>14359</v>
      </c>
      <c r="Y7135" s="143"/>
      <c r="Z7135" s="143"/>
      <c r="AA7135" s="143"/>
      <c r="AB7135" s="144"/>
      <c r="AC7135" s="16" t="s">
        <v>21</v>
      </c>
      <c r="AD7135" s="17" t="s">
        <v>20553</v>
      </c>
      <c r="AE7135" s="145" t="s">
        <v>2195</v>
      </c>
      <c r="AF7135" s="146"/>
      <c r="AG7135" s="146"/>
      <c r="AH7135" s="146"/>
      <c r="AI7135" s="147"/>
      <c r="AJ7135" s="148"/>
      <c r="AK7135" s="143"/>
      <c r="AL7135" s="144"/>
      <c r="AM7135" s="22"/>
      <c r="AN7135" s="149" t="s">
        <v>21324</v>
      </c>
      <c r="AO7135" s="144"/>
      <c r="AP7135" s="148">
        <v>5262</v>
      </c>
      <c r="AQ7135" s="144"/>
      <c r="AR7135" s="120"/>
      <c r="AS7135" s="121"/>
      <c r="AT7135" s="120"/>
      <c r="AU7135" s="121"/>
      <c r="AV7135" s="120"/>
      <c r="AW7135" s="121"/>
      <c r="AX7135" s="120"/>
      <c r="AY7135" s="121"/>
      <c r="AZ7135" s="138"/>
    </row>
    <row r="7136" spans="1:52" ht="17.100000000000001" customHeight="1" thickTop="1">
      <c r="A7136" s="109" t="s">
        <v>20312</v>
      </c>
      <c r="B7136" s="28">
        <v>46097</v>
      </c>
      <c r="C7136" s="25">
        <v>2085</v>
      </c>
      <c r="D7136" s="13" t="s">
        <v>2135</v>
      </c>
      <c r="E7136" s="111"/>
      <c r="F7136" s="113" t="s">
        <v>20323</v>
      </c>
      <c r="G7136" s="114"/>
      <c r="H7136" s="115"/>
      <c r="I7136" s="24" t="s">
        <v>4193</v>
      </c>
      <c r="J7136" s="116">
        <v>4</v>
      </c>
      <c r="K7136" s="118">
        <v>945000</v>
      </c>
      <c r="L7136" s="119"/>
      <c r="M7136" s="118">
        <f t="shared" ref="M7136" si="10187">K7136*0.1</f>
        <v>94500</v>
      </c>
      <c r="N7136" s="119"/>
      <c r="O7136" s="118">
        <v>34500</v>
      </c>
      <c r="P7136" s="119"/>
      <c r="Q7136" s="118">
        <v>19090</v>
      </c>
      <c r="R7136" s="119"/>
      <c r="S7136" s="118">
        <v>11000</v>
      </c>
      <c r="T7136" s="119"/>
      <c r="U7136" s="118">
        <f t="shared" ref="U7136" si="10188">SUM(K7136:T7137)</f>
        <v>1104090</v>
      </c>
      <c r="V7136" s="122"/>
      <c r="W7136" s="124"/>
      <c r="X7136" s="126" t="s">
        <v>20326</v>
      </c>
      <c r="Y7136" s="127"/>
      <c r="Z7136" s="127"/>
      <c r="AA7136" s="127"/>
      <c r="AB7136" s="128"/>
      <c r="AC7136" s="15" t="s">
        <v>20</v>
      </c>
      <c r="AD7136" s="129" t="s">
        <v>20325</v>
      </c>
      <c r="AE7136" s="130"/>
      <c r="AF7136" s="130"/>
      <c r="AG7136" s="130"/>
      <c r="AH7136" s="130"/>
      <c r="AI7136" s="131"/>
      <c r="AJ7136" s="132"/>
      <c r="AK7136" s="127"/>
      <c r="AL7136" s="128"/>
      <c r="AM7136" s="21"/>
      <c r="AN7136" s="133"/>
      <c r="AO7136" s="134"/>
      <c r="AP7136" s="135"/>
      <c r="AQ7136" s="136"/>
      <c r="AR7136" s="118"/>
      <c r="AS7136" s="119"/>
      <c r="AT7136" s="118">
        <f t="shared" ref="AT7136" si="10189">AR7136*0.1</f>
        <v>0</v>
      </c>
      <c r="AU7136" s="119"/>
      <c r="AV7136" s="118"/>
      <c r="AW7136" s="119"/>
      <c r="AX7136" s="118">
        <f t="shared" ref="AX7136" si="10190">SUM(AR7136:AW7136)</f>
        <v>0</v>
      </c>
      <c r="AY7136" s="119"/>
      <c r="AZ7136" s="137"/>
    </row>
    <row r="7137" spans="1:52" ht="17.100000000000001" customHeight="1" thickBot="1">
      <c r="A7137" s="110"/>
      <c r="B7137" s="27" t="s">
        <v>83</v>
      </c>
      <c r="C7137" s="27">
        <v>34575</v>
      </c>
      <c r="D7137" s="14" t="s">
        <v>1635</v>
      </c>
      <c r="E7137" s="112"/>
      <c r="F7137" s="139" t="s">
        <v>20324</v>
      </c>
      <c r="G7137" s="140"/>
      <c r="H7137" s="141"/>
      <c r="I7137" s="26">
        <v>89098</v>
      </c>
      <c r="J7137" s="117"/>
      <c r="K7137" s="120"/>
      <c r="L7137" s="121"/>
      <c r="M7137" s="120"/>
      <c r="N7137" s="121"/>
      <c r="O7137" s="120"/>
      <c r="P7137" s="121"/>
      <c r="Q7137" s="120"/>
      <c r="R7137" s="121"/>
      <c r="S7137" s="120"/>
      <c r="T7137" s="121"/>
      <c r="U7137" s="120"/>
      <c r="V7137" s="123"/>
      <c r="W7137" s="125"/>
      <c r="X7137" s="142" t="s">
        <v>4058</v>
      </c>
      <c r="Y7137" s="143"/>
      <c r="Z7137" s="143"/>
      <c r="AA7137" s="143"/>
      <c r="AB7137" s="144"/>
      <c r="AC7137" s="16" t="s">
        <v>13841</v>
      </c>
      <c r="AD7137" s="17" t="s">
        <v>20553</v>
      </c>
      <c r="AE7137" s="145" t="s">
        <v>21053</v>
      </c>
      <c r="AF7137" s="146"/>
      <c r="AG7137" s="146"/>
      <c r="AH7137" s="146"/>
      <c r="AI7137" s="147"/>
      <c r="AJ7137" s="148"/>
      <c r="AK7137" s="143"/>
      <c r="AL7137" s="144"/>
      <c r="AM7137" s="22"/>
      <c r="AN7137" s="149"/>
      <c r="AO7137" s="144"/>
      <c r="AP7137" s="148"/>
      <c r="AQ7137" s="144"/>
      <c r="AR7137" s="120"/>
      <c r="AS7137" s="121"/>
      <c r="AT7137" s="120"/>
      <c r="AU7137" s="121"/>
      <c r="AV7137" s="120"/>
      <c r="AW7137" s="121"/>
      <c r="AX7137" s="120"/>
      <c r="AY7137" s="121"/>
      <c r="AZ7137" s="138"/>
    </row>
    <row r="7138" spans="1:52" ht="17.100000000000001" customHeight="1" thickTop="1">
      <c r="A7138" s="109" t="s">
        <v>20313</v>
      </c>
      <c r="B7138" s="28">
        <v>46097</v>
      </c>
      <c r="C7138" s="25"/>
      <c r="D7138" s="13" t="s">
        <v>1640</v>
      </c>
      <c r="E7138" s="111"/>
      <c r="F7138" s="113" t="s">
        <v>20327</v>
      </c>
      <c r="G7138" s="114"/>
      <c r="H7138" s="115"/>
      <c r="I7138" s="24"/>
      <c r="J7138" s="116">
        <v>4.5</v>
      </c>
      <c r="K7138" s="118">
        <v>720000</v>
      </c>
      <c r="L7138" s="119"/>
      <c r="M7138" s="118">
        <f t="shared" ref="M7138" si="10191">K7138*0.1</f>
        <v>72000</v>
      </c>
      <c r="N7138" s="119"/>
      <c r="O7138" s="118">
        <v>0</v>
      </c>
      <c r="P7138" s="119"/>
      <c r="Q7138" s="118">
        <v>19440</v>
      </c>
      <c r="R7138" s="119"/>
      <c r="S7138" s="118">
        <v>14850</v>
      </c>
      <c r="T7138" s="119"/>
      <c r="U7138" s="118">
        <f t="shared" ref="U7138" si="10192">SUM(K7138:T7139)</f>
        <v>826290</v>
      </c>
      <c r="V7138" s="122"/>
      <c r="W7138" s="124"/>
      <c r="X7138" s="126" t="s">
        <v>20611</v>
      </c>
      <c r="Y7138" s="127"/>
      <c r="Z7138" s="127"/>
      <c r="AA7138" s="127"/>
      <c r="AB7138" s="128"/>
      <c r="AC7138" s="15" t="s">
        <v>20</v>
      </c>
      <c r="AD7138" s="129" t="s">
        <v>1670</v>
      </c>
      <c r="AE7138" s="130"/>
      <c r="AF7138" s="130"/>
      <c r="AG7138" s="130"/>
      <c r="AH7138" s="130"/>
      <c r="AI7138" s="131"/>
      <c r="AJ7138" s="132"/>
      <c r="AK7138" s="127"/>
      <c r="AL7138" s="128"/>
      <c r="AM7138" s="21"/>
      <c r="AN7138" s="133">
        <v>46109</v>
      </c>
      <c r="AO7138" s="134"/>
      <c r="AP7138" s="135">
        <v>1294</v>
      </c>
      <c r="AQ7138" s="136"/>
      <c r="AR7138" s="118">
        <v>880000</v>
      </c>
      <c r="AS7138" s="119"/>
      <c r="AT7138" s="118">
        <f t="shared" ref="AT7138" si="10193">AR7138*0.1</f>
        <v>88000</v>
      </c>
      <c r="AU7138" s="119"/>
      <c r="AV7138" s="118">
        <v>19440</v>
      </c>
      <c r="AW7138" s="119"/>
      <c r="AX7138" s="118">
        <f t="shared" ref="AX7138" si="10194">SUM(AR7138:AW7138)</f>
        <v>987440</v>
      </c>
      <c r="AY7138" s="119"/>
      <c r="AZ7138" s="137">
        <v>46112</v>
      </c>
    </row>
    <row r="7139" spans="1:52" ht="17.100000000000001" customHeight="1" thickBot="1">
      <c r="A7139" s="110"/>
      <c r="B7139" s="27" t="s">
        <v>4862</v>
      </c>
      <c r="C7139" s="27">
        <v>55183</v>
      </c>
      <c r="D7139" s="14" t="s">
        <v>1610</v>
      </c>
      <c r="E7139" s="112"/>
      <c r="F7139" s="139" t="s">
        <v>20328</v>
      </c>
      <c r="G7139" s="140"/>
      <c r="H7139" s="141"/>
      <c r="I7139" s="26">
        <v>47655</v>
      </c>
      <c r="J7139" s="117"/>
      <c r="K7139" s="120"/>
      <c r="L7139" s="121"/>
      <c r="M7139" s="120"/>
      <c r="N7139" s="121"/>
      <c r="O7139" s="120"/>
      <c r="P7139" s="121"/>
      <c r="Q7139" s="120"/>
      <c r="R7139" s="121"/>
      <c r="S7139" s="120"/>
      <c r="T7139" s="121"/>
      <c r="U7139" s="120"/>
      <c r="V7139" s="123"/>
      <c r="W7139" s="125"/>
      <c r="X7139" s="142" t="s">
        <v>20612</v>
      </c>
      <c r="Y7139" s="143"/>
      <c r="Z7139" s="143"/>
      <c r="AA7139" s="143"/>
      <c r="AB7139" s="144"/>
      <c r="AC7139" s="16" t="s">
        <v>21</v>
      </c>
      <c r="AD7139" s="17" t="s">
        <v>2382</v>
      </c>
      <c r="AE7139" s="145" t="s">
        <v>20961</v>
      </c>
      <c r="AF7139" s="146"/>
      <c r="AG7139" s="146"/>
      <c r="AH7139" s="146"/>
      <c r="AI7139" s="147"/>
      <c r="AJ7139" s="148"/>
      <c r="AK7139" s="143"/>
      <c r="AL7139" s="144"/>
      <c r="AM7139" s="22"/>
      <c r="AN7139" s="149" t="s">
        <v>21802</v>
      </c>
      <c r="AO7139" s="144"/>
      <c r="AP7139" s="148">
        <v>80035</v>
      </c>
      <c r="AQ7139" s="144"/>
      <c r="AR7139" s="120"/>
      <c r="AS7139" s="121"/>
      <c r="AT7139" s="120"/>
      <c r="AU7139" s="121"/>
      <c r="AV7139" s="120"/>
      <c r="AW7139" s="121"/>
      <c r="AX7139" s="120"/>
      <c r="AY7139" s="121"/>
      <c r="AZ7139" s="138"/>
    </row>
    <row r="7140" spans="1:52" ht="17.100000000000001" customHeight="1" thickTop="1">
      <c r="A7140" s="109" t="s">
        <v>20314</v>
      </c>
      <c r="B7140" s="28">
        <v>46097</v>
      </c>
      <c r="C7140" s="25"/>
      <c r="D7140" s="13" t="s">
        <v>1586</v>
      </c>
      <c r="E7140" s="111"/>
      <c r="F7140" s="113" t="s">
        <v>4559</v>
      </c>
      <c r="G7140" s="114"/>
      <c r="H7140" s="115"/>
      <c r="I7140" s="24"/>
      <c r="J7140" s="116">
        <v>4</v>
      </c>
      <c r="K7140" s="118">
        <v>800000</v>
      </c>
      <c r="L7140" s="119"/>
      <c r="M7140" s="118">
        <f t="shared" ref="M7140" si="10195">K7140*0.1</f>
        <v>80000</v>
      </c>
      <c r="N7140" s="119"/>
      <c r="O7140" s="118">
        <v>0</v>
      </c>
      <c r="P7140" s="119"/>
      <c r="Q7140" s="118">
        <v>17600</v>
      </c>
      <c r="R7140" s="119"/>
      <c r="S7140" s="118">
        <v>25850</v>
      </c>
      <c r="T7140" s="119"/>
      <c r="U7140" s="118">
        <f t="shared" ref="U7140" si="10196">SUM(K7140:T7141)</f>
        <v>923450</v>
      </c>
      <c r="V7140" s="122"/>
      <c r="W7140" s="124"/>
      <c r="X7140" s="126" t="s">
        <v>20946</v>
      </c>
      <c r="Y7140" s="127"/>
      <c r="Z7140" s="127"/>
      <c r="AA7140" s="127"/>
      <c r="AB7140" s="128"/>
      <c r="AC7140" s="15" t="s">
        <v>20</v>
      </c>
      <c r="AD7140" s="129"/>
      <c r="AE7140" s="130"/>
      <c r="AF7140" s="130"/>
      <c r="AG7140" s="130"/>
      <c r="AH7140" s="130"/>
      <c r="AI7140" s="131"/>
      <c r="AJ7140" s="132"/>
      <c r="AK7140" s="127"/>
      <c r="AL7140" s="128"/>
      <c r="AM7140" s="21"/>
      <c r="AN7140" s="133">
        <v>46116</v>
      </c>
      <c r="AO7140" s="134"/>
      <c r="AP7140" s="135">
        <v>1295</v>
      </c>
      <c r="AQ7140" s="136"/>
      <c r="AR7140" s="118">
        <v>930000</v>
      </c>
      <c r="AS7140" s="119"/>
      <c r="AT7140" s="118">
        <f t="shared" ref="AT7140" si="10197">AR7140*0.1</f>
        <v>93000</v>
      </c>
      <c r="AU7140" s="119"/>
      <c r="AV7140" s="118">
        <v>17600</v>
      </c>
      <c r="AW7140" s="119"/>
      <c r="AX7140" s="118">
        <f t="shared" ref="AX7140" si="10198">SUM(AR7140:AW7140)</f>
        <v>1040600</v>
      </c>
      <c r="AY7140" s="119"/>
      <c r="AZ7140" s="137">
        <v>46119</v>
      </c>
    </row>
    <row r="7141" spans="1:52" ht="17.100000000000001" customHeight="1" thickBot="1">
      <c r="A7141" s="110"/>
      <c r="B7141" s="27" t="s">
        <v>2774</v>
      </c>
      <c r="C7141" s="27">
        <v>80138</v>
      </c>
      <c r="D7141" s="14" t="s">
        <v>1556</v>
      </c>
      <c r="E7141" s="112"/>
      <c r="F7141" s="139" t="s">
        <v>20945</v>
      </c>
      <c r="G7141" s="140"/>
      <c r="H7141" s="141"/>
      <c r="I7141" s="26">
        <v>66120</v>
      </c>
      <c r="J7141" s="117"/>
      <c r="K7141" s="120"/>
      <c r="L7141" s="121"/>
      <c r="M7141" s="120"/>
      <c r="N7141" s="121"/>
      <c r="O7141" s="120"/>
      <c r="P7141" s="121"/>
      <c r="Q7141" s="120"/>
      <c r="R7141" s="121"/>
      <c r="S7141" s="120"/>
      <c r="T7141" s="121"/>
      <c r="U7141" s="120"/>
      <c r="V7141" s="123"/>
      <c r="W7141" s="125"/>
      <c r="X7141" s="142" t="s">
        <v>20947</v>
      </c>
      <c r="Y7141" s="143"/>
      <c r="Z7141" s="143"/>
      <c r="AA7141" s="143"/>
      <c r="AB7141" s="144"/>
      <c r="AC7141" s="16" t="s">
        <v>21</v>
      </c>
      <c r="AD7141" s="17" t="s">
        <v>20948</v>
      </c>
      <c r="AE7141" s="145" t="s">
        <v>5319</v>
      </c>
      <c r="AF7141" s="146"/>
      <c r="AG7141" s="146"/>
      <c r="AH7141" s="146"/>
      <c r="AI7141" s="147"/>
      <c r="AJ7141" s="148"/>
      <c r="AK7141" s="143"/>
      <c r="AL7141" s="144"/>
      <c r="AM7141" s="22"/>
      <c r="AN7141" s="149" t="s">
        <v>2511</v>
      </c>
      <c r="AO7141" s="144"/>
      <c r="AP7141" s="148">
        <v>80041</v>
      </c>
      <c r="AQ7141" s="144"/>
      <c r="AR7141" s="120"/>
      <c r="AS7141" s="121"/>
      <c r="AT7141" s="120"/>
      <c r="AU7141" s="121"/>
      <c r="AV7141" s="120"/>
      <c r="AW7141" s="121"/>
      <c r="AX7141" s="120"/>
      <c r="AY7141" s="121"/>
      <c r="AZ7141" s="138"/>
    </row>
    <row r="7142" spans="1:52" ht="17.100000000000001" customHeight="1" thickTop="1">
      <c r="A7142" s="109" t="s">
        <v>20329</v>
      </c>
      <c r="B7142" s="28">
        <v>46097</v>
      </c>
      <c r="C7142" s="25"/>
      <c r="D7142" s="13" t="s">
        <v>2970</v>
      </c>
      <c r="E7142" s="111"/>
      <c r="F7142" s="113" t="s">
        <v>20331</v>
      </c>
      <c r="G7142" s="114"/>
      <c r="H7142" s="115"/>
      <c r="I7142" s="24"/>
      <c r="J7142" s="116">
        <v>4.5</v>
      </c>
      <c r="K7142" s="118">
        <v>1751000</v>
      </c>
      <c r="L7142" s="119"/>
      <c r="M7142" s="118">
        <f t="shared" ref="M7142" si="10199">K7142*0.1</f>
        <v>175100</v>
      </c>
      <c r="N7142" s="119"/>
      <c r="O7142" s="118">
        <v>0</v>
      </c>
      <c r="P7142" s="119"/>
      <c r="Q7142" s="118">
        <v>18980</v>
      </c>
      <c r="R7142" s="119"/>
      <c r="S7142" s="118">
        <v>14850</v>
      </c>
      <c r="T7142" s="119"/>
      <c r="U7142" s="118">
        <f t="shared" ref="U7142" si="10200">SUM(K7142:T7143)</f>
        <v>1959930</v>
      </c>
      <c r="V7142" s="122"/>
      <c r="W7142" s="124"/>
      <c r="X7142" s="126" t="s">
        <v>20953</v>
      </c>
      <c r="Y7142" s="127"/>
      <c r="Z7142" s="127"/>
      <c r="AA7142" s="127"/>
      <c r="AB7142" s="128"/>
      <c r="AC7142" s="15" t="s">
        <v>20</v>
      </c>
      <c r="AD7142" s="129" t="s">
        <v>1670</v>
      </c>
      <c r="AE7142" s="130"/>
      <c r="AF7142" s="130"/>
      <c r="AG7142" s="130"/>
      <c r="AH7142" s="130"/>
      <c r="AI7142" s="131"/>
      <c r="AJ7142" s="132"/>
      <c r="AK7142" s="127"/>
      <c r="AL7142" s="128"/>
      <c r="AM7142" s="21"/>
      <c r="AN7142" s="133">
        <v>46109</v>
      </c>
      <c r="AO7142" s="134"/>
      <c r="AP7142" s="135">
        <v>1294</v>
      </c>
      <c r="AQ7142" s="136"/>
      <c r="AR7142" s="118">
        <v>1840000</v>
      </c>
      <c r="AS7142" s="119"/>
      <c r="AT7142" s="118">
        <f t="shared" ref="AT7142" si="10201">AR7142*0.1</f>
        <v>184000</v>
      </c>
      <c r="AU7142" s="119"/>
      <c r="AV7142" s="118">
        <v>18980</v>
      </c>
      <c r="AW7142" s="119"/>
      <c r="AX7142" s="118">
        <f t="shared" ref="AX7142" si="10202">SUM(AR7142:AW7142)</f>
        <v>2042980</v>
      </c>
      <c r="AY7142" s="119"/>
      <c r="AZ7142" s="137">
        <v>46112</v>
      </c>
    </row>
    <row r="7143" spans="1:52" ht="17.100000000000001" customHeight="1" thickBot="1">
      <c r="A7143" s="110"/>
      <c r="B7143" s="27" t="s">
        <v>2774</v>
      </c>
      <c r="C7143" s="27">
        <v>80511</v>
      </c>
      <c r="D7143" s="14" t="s">
        <v>1592</v>
      </c>
      <c r="E7143" s="112"/>
      <c r="F7143" s="139" t="s">
        <v>20952</v>
      </c>
      <c r="G7143" s="140"/>
      <c r="H7143" s="141"/>
      <c r="I7143" s="26">
        <v>52813</v>
      </c>
      <c r="J7143" s="117"/>
      <c r="K7143" s="120"/>
      <c r="L7143" s="121"/>
      <c r="M7143" s="120"/>
      <c r="N7143" s="121"/>
      <c r="O7143" s="120"/>
      <c r="P7143" s="121"/>
      <c r="Q7143" s="120"/>
      <c r="R7143" s="121"/>
      <c r="S7143" s="120"/>
      <c r="T7143" s="121"/>
      <c r="U7143" s="120"/>
      <c r="V7143" s="123"/>
      <c r="W7143" s="125"/>
      <c r="X7143" s="142" t="s">
        <v>20954</v>
      </c>
      <c r="Y7143" s="143"/>
      <c r="Z7143" s="143"/>
      <c r="AA7143" s="143"/>
      <c r="AB7143" s="144"/>
      <c r="AC7143" s="16" t="s">
        <v>21</v>
      </c>
      <c r="AD7143" s="17" t="s">
        <v>20948</v>
      </c>
      <c r="AE7143" s="145" t="s">
        <v>20924</v>
      </c>
      <c r="AF7143" s="146"/>
      <c r="AG7143" s="146"/>
      <c r="AH7143" s="146"/>
      <c r="AI7143" s="147"/>
      <c r="AJ7143" s="148"/>
      <c r="AK7143" s="143"/>
      <c r="AL7143" s="144"/>
      <c r="AM7143" s="22"/>
      <c r="AN7143" s="149" t="s">
        <v>21802</v>
      </c>
      <c r="AO7143" s="144"/>
      <c r="AP7143" s="148">
        <v>80177</v>
      </c>
      <c r="AQ7143" s="144"/>
      <c r="AR7143" s="120"/>
      <c r="AS7143" s="121"/>
      <c r="AT7143" s="120"/>
      <c r="AU7143" s="121"/>
      <c r="AV7143" s="120"/>
      <c r="AW7143" s="121"/>
      <c r="AX7143" s="120"/>
      <c r="AY7143" s="121"/>
      <c r="AZ7143" s="138"/>
    </row>
    <row r="7144" spans="1:52" ht="17.100000000000001" customHeight="1" thickTop="1">
      <c r="A7144" s="109" t="s">
        <v>20330</v>
      </c>
      <c r="B7144" s="28">
        <v>46097</v>
      </c>
      <c r="C7144" s="25"/>
      <c r="D7144" s="13" t="s">
        <v>2301</v>
      </c>
      <c r="E7144" s="111"/>
      <c r="F7144" s="113" t="s">
        <v>1938</v>
      </c>
      <c r="G7144" s="114"/>
      <c r="H7144" s="115"/>
      <c r="I7144" s="24" t="s">
        <v>2571</v>
      </c>
      <c r="J7144" s="116">
        <v>4</v>
      </c>
      <c r="K7144" s="118">
        <v>801000</v>
      </c>
      <c r="L7144" s="119"/>
      <c r="M7144" s="118">
        <f t="shared" ref="M7144" si="10203">K7144*0.1</f>
        <v>80100</v>
      </c>
      <c r="N7144" s="119"/>
      <c r="O7144" s="118">
        <v>34500</v>
      </c>
      <c r="P7144" s="119"/>
      <c r="Q7144" s="118">
        <v>17600</v>
      </c>
      <c r="R7144" s="119"/>
      <c r="S7144" s="118">
        <v>14850</v>
      </c>
      <c r="T7144" s="119"/>
      <c r="U7144" s="118">
        <f t="shared" ref="U7144" si="10204">SUM(K7144:T7145)</f>
        <v>948050</v>
      </c>
      <c r="V7144" s="122"/>
      <c r="W7144" s="124"/>
      <c r="X7144" s="126" t="s">
        <v>20332</v>
      </c>
      <c r="Y7144" s="127"/>
      <c r="Z7144" s="127"/>
      <c r="AA7144" s="127"/>
      <c r="AB7144" s="128"/>
      <c r="AC7144" s="15" t="s">
        <v>20</v>
      </c>
      <c r="AD7144" s="129"/>
      <c r="AE7144" s="130"/>
      <c r="AF7144" s="130"/>
      <c r="AG7144" s="130"/>
      <c r="AH7144" s="130"/>
      <c r="AI7144" s="131"/>
      <c r="AJ7144" s="132"/>
      <c r="AK7144" s="127"/>
      <c r="AL7144" s="128"/>
      <c r="AM7144" s="21" t="s">
        <v>22248</v>
      </c>
      <c r="AN7144" s="133">
        <v>46123</v>
      </c>
      <c r="AO7144" s="134"/>
      <c r="AP7144" s="135">
        <v>1296</v>
      </c>
      <c r="AQ7144" s="136"/>
      <c r="AR7144" s="118">
        <v>865000</v>
      </c>
      <c r="AS7144" s="119"/>
      <c r="AT7144" s="118">
        <f t="shared" ref="AT7144" si="10205">AR7144*0.1</f>
        <v>86500</v>
      </c>
      <c r="AU7144" s="119"/>
      <c r="AV7144" s="118">
        <v>17600</v>
      </c>
      <c r="AW7144" s="119"/>
      <c r="AX7144" s="118">
        <f t="shared" ref="AX7144" si="10206">SUM(AR7144:AW7144)</f>
        <v>969100</v>
      </c>
      <c r="AY7144" s="119"/>
      <c r="AZ7144" s="137">
        <v>46126</v>
      </c>
    </row>
    <row r="7145" spans="1:52" ht="17.100000000000001" customHeight="1" thickBot="1">
      <c r="A7145" s="110"/>
      <c r="B7145" s="27" t="s">
        <v>2774</v>
      </c>
      <c r="C7145" s="27">
        <v>80519</v>
      </c>
      <c r="D7145" s="14" t="s">
        <v>133</v>
      </c>
      <c r="E7145" s="112"/>
      <c r="F7145" s="139" t="s">
        <v>20949</v>
      </c>
      <c r="G7145" s="140"/>
      <c r="H7145" s="141"/>
      <c r="I7145" s="26">
        <v>79415</v>
      </c>
      <c r="J7145" s="117"/>
      <c r="K7145" s="120"/>
      <c r="L7145" s="121"/>
      <c r="M7145" s="120"/>
      <c r="N7145" s="121"/>
      <c r="O7145" s="120"/>
      <c r="P7145" s="121"/>
      <c r="Q7145" s="120"/>
      <c r="R7145" s="121"/>
      <c r="S7145" s="120"/>
      <c r="T7145" s="121"/>
      <c r="U7145" s="120"/>
      <c r="V7145" s="123"/>
      <c r="W7145" s="125"/>
      <c r="X7145" s="142" t="s">
        <v>20950</v>
      </c>
      <c r="Y7145" s="143"/>
      <c r="Z7145" s="143"/>
      <c r="AA7145" s="143"/>
      <c r="AB7145" s="144"/>
      <c r="AC7145" s="16" t="s">
        <v>21</v>
      </c>
      <c r="AD7145" s="17" t="s">
        <v>20948</v>
      </c>
      <c r="AE7145" s="145" t="s">
        <v>20951</v>
      </c>
      <c r="AF7145" s="146"/>
      <c r="AG7145" s="146"/>
      <c r="AH7145" s="146"/>
      <c r="AI7145" s="147"/>
      <c r="AJ7145" s="148"/>
      <c r="AK7145" s="143"/>
      <c r="AL7145" s="144"/>
      <c r="AM7145" s="22"/>
      <c r="AN7145" s="149" t="s">
        <v>2511</v>
      </c>
      <c r="AO7145" s="144"/>
      <c r="AP7145" s="148">
        <v>80267</v>
      </c>
      <c r="AQ7145" s="144"/>
      <c r="AR7145" s="120"/>
      <c r="AS7145" s="121"/>
      <c r="AT7145" s="120"/>
      <c r="AU7145" s="121"/>
      <c r="AV7145" s="120"/>
      <c r="AW7145" s="121"/>
      <c r="AX7145" s="120"/>
      <c r="AY7145" s="121"/>
      <c r="AZ7145" s="138"/>
    </row>
    <row r="7146" spans="1:52" ht="17.100000000000001" customHeight="1" thickTop="1">
      <c r="A7146" s="109" t="s">
        <v>20356</v>
      </c>
      <c r="B7146" s="28">
        <v>46097</v>
      </c>
      <c r="C7146" s="25"/>
      <c r="D7146" s="13" t="s">
        <v>1870</v>
      </c>
      <c r="E7146" s="111"/>
      <c r="F7146" s="113" t="s">
        <v>5448</v>
      </c>
      <c r="G7146" s="114"/>
      <c r="H7146" s="115"/>
      <c r="I7146" s="24" t="s">
        <v>20338</v>
      </c>
      <c r="J7146" s="116">
        <v>4.5</v>
      </c>
      <c r="K7146" s="118">
        <f>671000/1.1</f>
        <v>610000</v>
      </c>
      <c r="L7146" s="119"/>
      <c r="M7146" s="118">
        <f t="shared" ref="M7146" si="10207">K7146*0.1</f>
        <v>61000</v>
      </c>
      <c r="N7146" s="119"/>
      <c r="O7146" s="118">
        <v>0</v>
      </c>
      <c r="P7146" s="119"/>
      <c r="Q7146" s="118">
        <v>8400</v>
      </c>
      <c r="R7146" s="119"/>
      <c r="S7146" s="118">
        <v>0</v>
      </c>
      <c r="T7146" s="119"/>
      <c r="U7146" s="118">
        <f t="shared" ref="U7146" si="10208">SUM(K7146:T7147)</f>
        <v>679400</v>
      </c>
      <c r="V7146" s="122"/>
      <c r="W7146" s="124"/>
      <c r="X7146" s="126" t="s">
        <v>21322</v>
      </c>
      <c r="Y7146" s="127"/>
      <c r="Z7146" s="127"/>
      <c r="AA7146" s="127"/>
      <c r="AB7146" s="128"/>
      <c r="AC7146" s="15" t="s">
        <v>20</v>
      </c>
      <c r="AD7146" s="129" t="s">
        <v>1633</v>
      </c>
      <c r="AE7146" s="130"/>
      <c r="AF7146" s="130"/>
      <c r="AG7146" s="130"/>
      <c r="AH7146" s="130"/>
      <c r="AI7146" s="131"/>
      <c r="AJ7146" s="132"/>
      <c r="AK7146" s="127"/>
      <c r="AL7146" s="128"/>
      <c r="AM7146" s="21"/>
      <c r="AN7146" s="133">
        <v>46116</v>
      </c>
      <c r="AO7146" s="134"/>
      <c r="AP7146" s="135">
        <v>1295</v>
      </c>
      <c r="AQ7146" s="136"/>
      <c r="AR7146" s="118">
        <v>930000</v>
      </c>
      <c r="AS7146" s="119"/>
      <c r="AT7146" s="118">
        <f t="shared" ref="AT7146" si="10209">AR7146*0.1</f>
        <v>93000</v>
      </c>
      <c r="AU7146" s="119"/>
      <c r="AV7146" s="118">
        <v>8400</v>
      </c>
      <c r="AW7146" s="119"/>
      <c r="AX7146" s="118">
        <f t="shared" ref="AX7146" si="10210">SUM(AR7146:AW7146)</f>
        <v>1031400</v>
      </c>
      <c r="AY7146" s="119"/>
      <c r="AZ7146" s="137">
        <v>46119</v>
      </c>
    </row>
    <row r="7147" spans="1:52" ht="17.100000000000001" customHeight="1" thickBot="1">
      <c r="A7147" s="110"/>
      <c r="B7147" s="27" t="s">
        <v>1718</v>
      </c>
      <c r="C7147" s="27" t="s">
        <v>20334</v>
      </c>
      <c r="D7147" s="14" t="s">
        <v>2601</v>
      </c>
      <c r="E7147" s="112"/>
      <c r="F7147" s="139" t="s">
        <v>20335</v>
      </c>
      <c r="G7147" s="140"/>
      <c r="H7147" s="141"/>
      <c r="I7147" s="26">
        <v>57880</v>
      </c>
      <c r="J7147" s="117"/>
      <c r="K7147" s="120"/>
      <c r="L7147" s="121"/>
      <c r="M7147" s="120"/>
      <c r="N7147" s="121"/>
      <c r="O7147" s="120"/>
      <c r="P7147" s="121"/>
      <c r="Q7147" s="120"/>
      <c r="R7147" s="121"/>
      <c r="S7147" s="120"/>
      <c r="T7147" s="121"/>
      <c r="U7147" s="120"/>
      <c r="V7147" s="123"/>
      <c r="W7147" s="125"/>
      <c r="X7147" s="142" t="s">
        <v>21323</v>
      </c>
      <c r="Y7147" s="143"/>
      <c r="Z7147" s="143"/>
      <c r="AA7147" s="143"/>
      <c r="AB7147" s="144"/>
      <c r="AC7147" s="16" t="s">
        <v>21</v>
      </c>
      <c r="AD7147" s="17" t="s">
        <v>21317</v>
      </c>
      <c r="AE7147" s="145" t="s">
        <v>17008</v>
      </c>
      <c r="AF7147" s="146"/>
      <c r="AG7147" s="146"/>
      <c r="AH7147" s="146"/>
      <c r="AI7147" s="147"/>
      <c r="AJ7147" s="148"/>
      <c r="AK7147" s="143"/>
      <c r="AL7147" s="144"/>
      <c r="AM7147" s="22"/>
      <c r="AN7147" s="149" t="s">
        <v>2511</v>
      </c>
      <c r="AO7147" s="144"/>
      <c r="AP7147" s="148">
        <v>65063</v>
      </c>
      <c r="AQ7147" s="144"/>
      <c r="AR7147" s="120"/>
      <c r="AS7147" s="121"/>
      <c r="AT7147" s="120"/>
      <c r="AU7147" s="121"/>
      <c r="AV7147" s="120"/>
      <c r="AW7147" s="121"/>
      <c r="AX7147" s="120"/>
      <c r="AY7147" s="121"/>
      <c r="AZ7147" s="138"/>
    </row>
    <row r="7148" spans="1:52" ht="17.100000000000001" customHeight="1" thickTop="1">
      <c r="A7148" s="151" t="s">
        <v>20357</v>
      </c>
      <c r="B7148" s="28">
        <v>46097</v>
      </c>
      <c r="C7148" s="25"/>
      <c r="D7148" s="13" t="s">
        <v>1958</v>
      </c>
      <c r="E7148" s="111"/>
      <c r="F7148" s="113" t="s">
        <v>20339</v>
      </c>
      <c r="G7148" s="114"/>
      <c r="H7148" s="115"/>
      <c r="I7148" s="24" t="s">
        <v>4212</v>
      </c>
      <c r="J7148" s="116">
        <v>4.5</v>
      </c>
      <c r="K7148" s="118">
        <f>731500/1.1</f>
        <v>665000</v>
      </c>
      <c r="L7148" s="119"/>
      <c r="M7148" s="118">
        <f t="shared" ref="M7148" si="10211">K7148*0.1</f>
        <v>66500</v>
      </c>
      <c r="N7148" s="119"/>
      <c r="O7148" s="118">
        <v>0</v>
      </c>
      <c r="P7148" s="119"/>
      <c r="Q7148" s="118">
        <v>8430</v>
      </c>
      <c r="R7148" s="119"/>
      <c r="S7148" s="118">
        <v>0</v>
      </c>
      <c r="T7148" s="119"/>
      <c r="U7148" s="118">
        <f t="shared" ref="U7148" si="10212">SUM(K7148:T7149)</f>
        <v>739930</v>
      </c>
      <c r="V7148" s="122"/>
      <c r="W7148" s="124"/>
      <c r="X7148" s="126" t="s">
        <v>21185</v>
      </c>
      <c r="Y7148" s="127"/>
      <c r="Z7148" s="127"/>
      <c r="AA7148" s="127"/>
      <c r="AB7148" s="128"/>
      <c r="AC7148" s="15" t="s">
        <v>20</v>
      </c>
      <c r="AD7148" s="129" t="s">
        <v>1581</v>
      </c>
      <c r="AE7148" s="130"/>
      <c r="AF7148" s="130"/>
      <c r="AG7148" s="130"/>
      <c r="AH7148" s="130"/>
      <c r="AI7148" s="131"/>
      <c r="AJ7148" s="132" t="s">
        <v>21835</v>
      </c>
      <c r="AK7148" s="127"/>
      <c r="AL7148" s="128"/>
      <c r="AM7148" s="21"/>
      <c r="AN7148" s="133"/>
      <c r="AO7148" s="134"/>
      <c r="AP7148" s="135"/>
      <c r="AQ7148" s="136"/>
      <c r="AR7148" s="118"/>
      <c r="AS7148" s="119"/>
      <c r="AT7148" s="118">
        <f t="shared" ref="AT7148" si="10213">AR7148*0.1</f>
        <v>0</v>
      </c>
      <c r="AU7148" s="119"/>
      <c r="AV7148" s="118"/>
      <c r="AW7148" s="119"/>
      <c r="AX7148" s="118">
        <f t="shared" ref="AX7148" si="10214">SUM(AR7148:AW7148)</f>
        <v>0</v>
      </c>
      <c r="AY7148" s="119"/>
      <c r="AZ7148" s="137"/>
    </row>
    <row r="7149" spans="1:52" ht="17.100000000000001" customHeight="1" thickBot="1">
      <c r="A7149" s="152"/>
      <c r="B7149" s="27" t="s">
        <v>1718</v>
      </c>
      <c r="C7149" s="27" t="s">
        <v>20336</v>
      </c>
      <c r="D7149" s="14" t="s">
        <v>7268</v>
      </c>
      <c r="E7149" s="112"/>
      <c r="F7149" s="139" t="s">
        <v>20337</v>
      </c>
      <c r="G7149" s="140"/>
      <c r="H7149" s="141"/>
      <c r="I7149" s="26">
        <v>56910</v>
      </c>
      <c r="J7149" s="117"/>
      <c r="K7149" s="120"/>
      <c r="L7149" s="121"/>
      <c r="M7149" s="120"/>
      <c r="N7149" s="121"/>
      <c r="O7149" s="120"/>
      <c r="P7149" s="121"/>
      <c r="Q7149" s="120"/>
      <c r="R7149" s="121"/>
      <c r="S7149" s="120"/>
      <c r="T7149" s="121"/>
      <c r="U7149" s="120"/>
      <c r="V7149" s="123"/>
      <c r="W7149" s="125"/>
      <c r="X7149" s="142" t="s">
        <v>21186</v>
      </c>
      <c r="Y7149" s="143"/>
      <c r="Z7149" s="143"/>
      <c r="AA7149" s="143"/>
      <c r="AB7149" s="144"/>
      <c r="AC7149" s="16" t="s">
        <v>21</v>
      </c>
      <c r="AD7149" s="17" t="s">
        <v>2388</v>
      </c>
      <c r="AE7149" s="145" t="s">
        <v>1742</v>
      </c>
      <c r="AF7149" s="146"/>
      <c r="AG7149" s="146"/>
      <c r="AH7149" s="146"/>
      <c r="AI7149" s="147"/>
      <c r="AJ7149" s="148"/>
      <c r="AK7149" s="143"/>
      <c r="AL7149" s="144"/>
      <c r="AM7149" s="22"/>
      <c r="AN7149" s="149"/>
      <c r="AO7149" s="144"/>
      <c r="AP7149" s="148"/>
      <c r="AQ7149" s="144"/>
      <c r="AR7149" s="120"/>
      <c r="AS7149" s="121"/>
      <c r="AT7149" s="120"/>
      <c r="AU7149" s="121"/>
      <c r="AV7149" s="120"/>
      <c r="AW7149" s="121"/>
      <c r="AX7149" s="120"/>
      <c r="AY7149" s="121"/>
      <c r="AZ7149" s="138"/>
    </row>
    <row r="7150" spans="1:52" ht="17.100000000000001" customHeight="1" thickTop="1">
      <c r="A7150" s="109" t="s">
        <v>20369</v>
      </c>
      <c r="B7150" s="28">
        <v>46098</v>
      </c>
      <c r="C7150" s="25">
        <v>1085</v>
      </c>
      <c r="D7150" s="13" t="s">
        <v>818</v>
      </c>
      <c r="E7150" s="111"/>
      <c r="F7150" s="113" t="s">
        <v>20384</v>
      </c>
      <c r="G7150" s="114"/>
      <c r="H7150" s="115"/>
      <c r="I7150" s="24" t="s">
        <v>20386</v>
      </c>
      <c r="J7150" s="116">
        <v>4.5</v>
      </c>
      <c r="K7150" s="118">
        <v>1300000</v>
      </c>
      <c r="L7150" s="119"/>
      <c r="M7150" s="118">
        <f t="shared" ref="M7150" si="10215">K7150*0.1</f>
        <v>130000</v>
      </c>
      <c r="N7150" s="119"/>
      <c r="O7150" s="118">
        <v>30500</v>
      </c>
      <c r="P7150" s="119"/>
      <c r="Q7150" s="118">
        <v>19090</v>
      </c>
      <c r="R7150" s="119"/>
      <c r="S7150" s="118">
        <v>27500</v>
      </c>
      <c r="T7150" s="119"/>
      <c r="U7150" s="118">
        <f t="shared" ref="U7150" si="10216">SUM(K7150:T7151)</f>
        <v>1507090</v>
      </c>
      <c r="V7150" s="122"/>
      <c r="W7150" s="124"/>
      <c r="X7150" s="126" t="s">
        <v>20387</v>
      </c>
      <c r="Y7150" s="127"/>
      <c r="Z7150" s="127"/>
      <c r="AA7150" s="127"/>
      <c r="AB7150" s="128"/>
      <c r="AC7150" s="15" t="s">
        <v>20</v>
      </c>
      <c r="AD7150" s="129" t="s">
        <v>3821</v>
      </c>
      <c r="AE7150" s="130"/>
      <c r="AF7150" s="130"/>
      <c r="AG7150" s="130"/>
      <c r="AH7150" s="130"/>
      <c r="AI7150" s="131"/>
      <c r="AJ7150" s="132"/>
      <c r="AK7150" s="127"/>
      <c r="AL7150" s="128"/>
      <c r="AM7150" s="21" t="s">
        <v>22249</v>
      </c>
      <c r="AN7150" s="133">
        <v>46137</v>
      </c>
      <c r="AO7150" s="134"/>
      <c r="AP7150" s="135">
        <v>1298</v>
      </c>
      <c r="AQ7150" s="136"/>
      <c r="AR7150" s="118">
        <v>1395000</v>
      </c>
      <c r="AS7150" s="119"/>
      <c r="AT7150" s="118">
        <f t="shared" ref="AT7150" si="10217">AR7150*0.1</f>
        <v>139500</v>
      </c>
      <c r="AU7150" s="119"/>
      <c r="AV7150" s="118">
        <v>19090</v>
      </c>
      <c r="AW7150" s="119"/>
      <c r="AX7150" s="118">
        <f t="shared" ref="AX7150" si="10218">SUM(AR7150:AW7150)</f>
        <v>1553590</v>
      </c>
      <c r="AY7150" s="119"/>
      <c r="AZ7150" s="137">
        <v>46140</v>
      </c>
    </row>
    <row r="7151" spans="1:52" ht="17.100000000000001" customHeight="1" thickBot="1">
      <c r="A7151" s="110"/>
      <c r="B7151" s="27" t="s">
        <v>1591</v>
      </c>
      <c r="C7151" s="27">
        <v>84052</v>
      </c>
      <c r="D7151" s="14" t="s">
        <v>1592</v>
      </c>
      <c r="E7151" s="112"/>
      <c r="F7151" s="139" t="s">
        <v>20385</v>
      </c>
      <c r="G7151" s="140"/>
      <c r="H7151" s="141"/>
      <c r="I7151" s="26">
        <v>35875</v>
      </c>
      <c r="J7151" s="117"/>
      <c r="K7151" s="120"/>
      <c r="L7151" s="121"/>
      <c r="M7151" s="120"/>
      <c r="N7151" s="121"/>
      <c r="O7151" s="120"/>
      <c r="P7151" s="121"/>
      <c r="Q7151" s="120"/>
      <c r="R7151" s="121"/>
      <c r="S7151" s="120"/>
      <c r="T7151" s="121"/>
      <c r="U7151" s="120"/>
      <c r="V7151" s="123"/>
      <c r="W7151" s="125"/>
      <c r="X7151" s="142" t="s">
        <v>20602</v>
      </c>
      <c r="Y7151" s="143"/>
      <c r="Z7151" s="143"/>
      <c r="AA7151" s="143"/>
      <c r="AB7151" s="144"/>
      <c r="AC7151" s="16" t="s">
        <v>21</v>
      </c>
      <c r="AD7151" s="17" t="s">
        <v>2382</v>
      </c>
      <c r="AE7151" s="145" t="s">
        <v>20603</v>
      </c>
      <c r="AF7151" s="146"/>
      <c r="AG7151" s="146"/>
      <c r="AH7151" s="146"/>
      <c r="AI7151" s="147"/>
      <c r="AJ7151" s="148"/>
      <c r="AK7151" s="143"/>
      <c r="AL7151" s="144"/>
      <c r="AM7151" s="22"/>
      <c r="AN7151" s="149" t="s">
        <v>2511</v>
      </c>
      <c r="AO7151" s="144"/>
      <c r="AP7151" s="148">
        <v>80245</v>
      </c>
      <c r="AQ7151" s="144"/>
      <c r="AR7151" s="120"/>
      <c r="AS7151" s="121"/>
      <c r="AT7151" s="120"/>
      <c r="AU7151" s="121"/>
      <c r="AV7151" s="120"/>
      <c r="AW7151" s="121"/>
      <c r="AX7151" s="120"/>
      <c r="AY7151" s="121"/>
      <c r="AZ7151" s="138"/>
    </row>
    <row r="7152" spans="1:52" ht="17.100000000000001" customHeight="1" thickTop="1">
      <c r="A7152" s="109" t="s">
        <v>20370</v>
      </c>
      <c r="B7152" s="28">
        <v>46098</v>
      </c>
      <c r="C7152" s="25">
        <v>1085</v>
      </c>
      <c r="D7152" s="13" t="s">
        <v>1986</v>
      </c>
      <c r="E7152" s="111"/>
      <c r="F7152" s="113" t="s">
        <v>421</v>
      </c>
      <c r="G7152" s="114"/>
      <c r="H7152" s="115"/>
      <c r="I7152" s="24"/>
      <c r="J7152" s="116">
        <v>4.5</v>
      </c>
      <c r="K7152" s="118">
        <v>1630000</v>
      </c>
      <c r="L7152" s="119"/>
      <c r="M7152" s="118">
        <f t="shared" ref="M7152" si="10219">K7152*0.1</f>
        <v>163000</v>
      </c>
      <c r="N7152" s="119"/>
      <c r="O7152" s="118">
        <v>0</v>
      </c>
      <c r="P7152" s="119"/>
      <c r="Q7152" s="118">
        <v>17600</v>
      </c>
      <c r="R7152" s="119"/>
      <c r="S7152" s="118">
        <v>27500</v>
      </c>
      <c r="T7152" s="119"/>
      <c r="U7152" s="118">
        <f t="shared" ref="U7152" si="10220">SUM(K7152:T7153)</f>
        <v>1838100</v>
      </c>
      <c r="V7152" s="122"/>
      <c r="W7152" s="124"/>
      <c r="X7152" s="126" t="s">
        <v>20607</v>
      </c>
      <c r="Y7152" s="127"/>
      <c r="Z7152" s="127"/>
      <c r="AA7152" s="127"/>
      <c r="AB7152" s="128"/>
      <c r="AC7152" s="15" t="s">
        <v>20</v>
      </c>
      <c r="AD7152" s="129" t="s">
        <v>20389</v>
      </c>
      <c r="AE7152" s="130"/>
      <c r="AF7152" s="130"/>
      <c r="AG7152" s="130"/>
      <c r="AH7152" s="130"/>
      <c r="AI7152" s="131"/>
      <c r="AJ7152" s="132"/>
      <c r="AK7152" s="127"/>
      <c r="AL7152" s="128"/>
      <c r="AM7152" s="21"/>
      <c r="AN7152" s="133">
        <v>46109</v>
      </c>
      <c r="AO7152" s="134"/>
      <c r="AP7152" s="135">
        <v>1294</v>
      </c>
      <c r="AQ7152" s="136"/>
      <c r="AR7152" s="118">
        <v>1780000</v>
      </c>
      <c r="AS7152" s="119"/>
      <c r="AT7152" s="118">
        <f t="shared" ref="AT7152" si="10221">AR7152*0.1</f>
        <v>178000</v>
      </c>
      <c r="AU7152" s="119"/>
      <c r="AV7152" s="118">
        <v>17600</v>
      </c>
      <c r="AW7152" s="119"/>
      <c r="AX7152" s="118">
        <f t="shared" ref="AX7152" si="10222">SUM(AR7152:AW7152)</f>
        <v>1975600</v>
      </c>
      <c r="AY7152" s="119"/>
      <c r="AZ7152" s="137">
        <v>46112</v>
      </c>
    </row>
    <row r="7153" spans="1:52" ht="17.100000000000001" customHeight="1" thickBot="1">
      <c r="A7153" s="110"/>
      <c r="B7153" s="27" t="s">
        <v>1591</v>
      </c>
      <c r="C7153" s="27">
        <v>84368</v>
      </c>
      <c r="D7153" s="14" t="s">
        <v>1592</v>
      </c>
      <c r="E7153" s="112"/>
      <c r="F7153" s="139" t="s">
        <v>20388</v>
      </c>
      <c r="G7153" s="140"/>
      <c r="H7153" s="141"/>
      <c r="I7153" s="26">
        <v>46151</v>
      </c>
      <c r="J7153" s="117"/>
      <c r="K7153" s="120"/>
      <c r="L7153" s="121"/>
      <c r="M7153" s="120"/>
      <c r="N7153" s="121"/>
      <c r="O7153" s="120"/>
      <c r="P7153" s="121"/>
      <c r="Q7153" s="120"/>
      <c r="R7153" s="121"/>
      <c r="S7153" s="120"/>
      <c r="T7153" s="121"/>
      <c r="U7153" s="120"/>
      <c r="V7153" s="123"/>
      <c r="W7153" s="125"/>
      <c r="X7153" s="142" t="s">
        <v>20608</v>
      </c>
      <c r="Y7153" s="143"/>
      <c r="Z7153" s="143"/>
      <c r="AA7153" s="143"/>
      <c r="AB7153" s="144"/>
      <c r="AC7153" s="16" t="s">
        <v>21</v>
      </c>
      <c r="AD7153" s="17" t="s">
        <v>2382</v>
      </c>
      <c r="AE7153" s="145" t="s">
        <v>1742</v>
      </c>
      <c r="AF7153" s="146"/>
      <c r="AG7153" s="146"/>
      <c r="AH7153" s="146"/>
      <c r="AI7153" s="147"/>
      <c r="AJ7153" s="148"/>
      <c r="AK7153" s="143"/>
      <c r="AL7153" s="144"/>
      <c r="AM7153" s="22"/>
      <c r="AN7153" s="149" t="s">
        <v>21802</v>
      </c>
      <c r="AO7153" s="144"/>
      <c r="AP7153" s="148">
        <v>80029</v>
      </c>
      <c r="AQ7153" s="144"/>
      <c r="AR7153" s="120"/>
      <c r="AS7153" s="121"/>
      <c r="AT7153" s="120"/>
      <c r="AU7153" s="121"/>
      <c r="AV7153" s="120"/>
      <c r="AW7153" s="121"/>
      <c r="AX7153" s="120"/>
      <c r="AY7153" s="121"/>
      <c r="AZ7153" s="138"/>
    </row>
    <row r="7154" spans="1:52" ht="17.100000000000001" customHeight="1" thickTop="1">
      <c r="A7154" s="109" t="s">
        <v>20371</v>
      </c>
      <c r="B7154" s="28">
        <v>46098</v>
      </c>
      <c r="C7154" s="25">
        <v>982</v>
      </c>
      <c r="D7154" s="13" t="s">
        <v>2359</v>
      </c>
      <c r="E7154" s="111"/>
      <c r="F7154" s="113" t="s">
        <v>20390</v>
      </c>
      <c r="G7154" s="114"/>
      <c r="H7154" s="115"/>
      <c r="I7154" s="24"/>
      <c r="J7154" s="116">
        <v>3.5</v>
      </c>
      <c r="K7154" s="118">
        <v>326000</v>
      </c>
      <c r="L7154" s="119"/>
      <c r="M7154" s="118">
        <f t="shared" ref="M7154" si="10223">K7154*0.1</f>
        <v>32600</v>
      </c>
      <c r="N7154" s="119"/>
      <c r="O7154" s="118">
        <v>0</v>
      </c>
      <c r="P7154" s="119"/>
      <c r="Q7154" s="118">
        <v>6960</v>
      </c>
      <c r="R7154" s="119"/>
      <c r="S7154" s="118">
        <v>22000</v>
      </c>
      <c r="T7154" s="119"/>
      <c r="U7154" s="118">
        <f t="shared" ref="U7154" si="10224">SUM(K7154:T7155)</f>
        <v>387560</v>
      </c>
      <c r="V7154" s="122"/>
      <c r="W7154" s="124"/>
      <c r="X7154" s="126" t="s">
        <v>21356</v>
      </c>
      <c r="Y7154" s="127"/>
      <c r="Z7154" s="127"/>
      <c r="AA7154" s="127"/>
      <c r="AB7154" s="128"/>
      <c r="AC7154" s="15" t="s">
        <v>20</v>
      </c>
      <c r="AD7154" s="129" t="s">
        <v>2054</v>
      </c>
      <c r="AE7154" s="130"/>
      <c r="AF7154" s="130"/>
      <c r="AG7154" s="130"/>
      <c r="AH7154" s="130"/>
      <c r="AI7154" s="131"/>
      <c r="AJ7154" s="132"/>
      <c r="AK7154" s="127"/>
      <c r="AL7154" s="128"/>
      <c r="AM7154" s="21"/>
      <c r="AN7154" s="133">
        <v>46112</v>
      </c>
      <c r="AO7154" s="134"/>
      <c r="AP7154" s="135">
        <v>1935</v>
      </c>
      <c r="AQ7154" s="136"/>
      <c r="AR7154" s="118">
        <v>405000</v>
      </c>
      <c r="AS7154" s="119"/>
      <c r="AT7154" s="118">
        <f t="shared" ref="AT7154" si="10225">AR7154*0.1</f>
        <v>40500</v>
      </c>
      <c r="AU7154" s="119"/>
      <c r="AV7154" s="118">
        <v>6960</v>
      </c>
      <c r="AW7154" s="119"/>
      <c r="AX7154" s="118">
        <f t="shared" ref="AX7154" si="10226">SUM(AR7154:AW7154)</f>
        <v>452460</v>
      </c>
      <c r="AY7154" s="119"/>
      <c r="AZ7154" s="137">
        <v>46118</v>
      </c>
    </row>
    <row r="7155" spans="1:52" ht="17.100000000000001" customHeight="1" thickBot="1">
      <c r="A7155" s="110"/>
      <c r="B7155" s="27" t="s">
        <v>18196</v>
      </c>
      <c r="C7155" s="27">
        <v>91</v>
      </c>
      <c r="D7155" s="14" t="s">
        <v>1592</v>
      </c>
      <c r="E7155" s="112"/>
      <c r="F7155" s="139" t="s">
        <v>20391</v>
      </c>
      <c r="G7155" s="140"/>
      <c r="H7155" s="141"/>
      <c r="I7155" s="26">
        <v>18198</v>
      </c>
      <c r="J7155" s="117"/>
      <c r="K7155" s="120"/>
      <c r="L7155" s="121"/>
      <c r="M7155" s="120"/>
      <c r="N7155" s="121"/>
      <c r="O7155" s="120"/>
      <c r="P7155" s="121"/>
      <c r="Q7155" s="120"/>
      <c r="R7155" s="121"/>
      <c r="S7155" s="120"/>
      <c r="T7155" s="121"/>
      <c r="U7155" s="120"/>
      <c r="V7155" s="123"/>
      <c r="W7155" s="125"/>
      <c r="X7155" s="142" t="s">
        <v>21357</v>
      </c>
      <c r="Y7155" s="143"/>
      <c r="Z7155" s="143"/>
      <c r="AA7155" s="143"/>
      <c r="AB7155" s="144"/>
      <c r="AC7155" s="16" t="s">
        <v>21</v>
      </c>
      <c r="AD7155" s="17" t="s">
        <v>21317</v>
      </c>
      <c r="AE7155" s="145" t="s">
        <v>1670</v>
      </c>
      <c r="AF7155" s="146"/>
      <c r="AG7155" s="146"/>
      <c r="AH7155" s="146"/>
      <c r="AI7155" s="147"/>
      <c r="AJ7155" s="148"/>
      <c r="AK7155" s="143"/>
      <c r="AL7155" s="144"/>
      <c r="AM7155" s="22"/>
      <c r="AN7155" s="149" t="s">
        <v>2131</v>
      </c>
      <c r="AO7155" s="144"/>
      <c r="AP7155" s="148">
        <v>3391</v>
      </c>
      <c r="AQ7155" s="144"/>
      <c r="AR7155" s="120"/>
      <c r="AS7155" s="121"/>
      <c r="AT7155" s="120"/>
      <c r="AU7155" s="121"/>
      <c r="AV7155" s="120"/>
      <c r="AW7155" s="121"/>
      <c r="AX7155" s="120"/>
      <c r="AY7155" s="121"/>
      <c r="AZ7155" s="138"/>
    </row>
    <row r="7156" spans="1:52" ht="17.100000000000001" customHeight="1" thickTop="1">
      <c r="A7156" s="109" t="s">
        <v>20372</v>
      </c>
      <c r="B7156" s="28">
        <v>46098</v>
      </c>
      <c r="C7156" s="25">
        <v>982</v>
      </c>
      <c r="D7156" s="13" t="s">
        <v>2329</v>
      </c>
      <c r="E7156" s="111"/>
      <c r="F7156" s="113" t="s">
        <v>15289</v>
      </c>
      <c r="G7156" s="114"/>
      <c r="H7156" s="115"/>
      <c r="I7156" s="24"/>
      <c r="J7156" s="116">
        <v>4</v>
      </c>
      <c r="K7156" s="118">
        <v>926000</v>
      </c>
      <c r="L7156" s="119"/>
      <c r="M7156" s="118">
        <f t="shared" ref="M7156" si="10227">K7156*0.1</f>
        <v>92600</v>
      </c>
      <c r="N7156" s="119"/>
      <c r="O7156" s="118">
        <v>0</v>
      </c>
      <c r="P7156" s="119"/>
      <c r="Q7156" s="118">
        <v>9310</v>
      </c>
      <c r="R7156" s="119"/>
      <c r="S7156" s="118">
        <v>22000</v>
      </c>
      <c r="T7156" s="119"/>
      <c r="U7156" s="118">
        <f t="shared" ref="U7156" si="10228">SUM(K7156:T7157)</f>
        <v>1049910</v>
      </c>
      <c r="V7156" s="122"/>
      <c r="W7156" s="124"/>
      <c r="X7156" s="126" t="s">
        <v>21336</v>
      </c>
      <c r="Y7156" s="127"/>
      <c r="Z7156" s="127"/>
      <c r="AA7156" s="127"/>
      <c r="AB7156" s="128"/>
      <c r="AC7156" s="15" t="s">
        <v>20</v>
      </c>
      <c r="AD7156" s="129" t="s">
        <v>18213</v>
      </c>
      <c r="AE7156" s="130"/>
      <c r="AF7156" s="130"/>
      <c r="AG7156" s="130"/>
      <c r="AH7156" s="130"/>
      <c r="AI7156" s="131"/>
      <c r="AJ7156" s="132"/>
      <c r="AK7156" s="127"/>
      <c r="AL7156" s="128"/>
      <c r="AM7156" s="21"/>
      <c r="AN7156" s="133">
        <v>46105</v>
      </c>
      <c r="AO7156" s="134"/>
      <c r="AP7156" s="135">
        <v>1934</v>
      </c>
      <c r="AQ7156" s="136"/>
      <c r="AR7156" s="118">
        <v>1024000</v>
      </c>
      <c r="AS7156" s="119"/>
      <c r="AT7156" s="118">
        <f t="shared" ref="AT7156" si="10229">AR7156*0.1</f>
        <v>102400</v>
      </c>
      <c r="AU7156" s="119"/>
      <c r="AV7156" s="118">
        <v>9310</v>
      </c>
      <c r="AW7156" s="119"/>
      <c r="AX7156" s="118">
        <f t="shared" ref="AX7156" si="10230">SUM(AR7156:AW7156)</f>
        <v>1135710</v>
      </c>
      <c r="AY7156" s="119"/>
      <c r="AZ7156" s="137"/>
    </row>
    <row r="7157" spans="1:52" ht="17.100000000000001" customHeight="1" thickBot="1">
      <c r="A7157" s="110"/>
      <c r="B7157" s="27" t="s">
        <v>18196</v>
      </c>
      <c r="C7157" s="27">
        <v>1029</v>
      </c>
      <c r="D7157" s="14" t="s">
        <v>2601</v>
      </c>
      <c r="E7157" s="112"/>
      <c r="F7157" s="139" t="s">
        <v>20392</v>
      </c>
      <c r="G7157" s="140"/>
      <c r="H7157" s="141"/>
      <c r="I7157" s="26">
        <v>54038</v>
      </c>
      <c r="J7157" s="117"/>
      <c r="K7157" s="120"/>
      <c r="L7157" s="121"/>
      <c r="M7157" s="120"/>
      <c r="N7157" s="121"/>
      <c r="O7157" s="120"/>
      <c r="P7157" s="121"/>
      <c r="Q7157" s="120"/>
      <c r="R7157" s="121"/>
      <c r="S7157" s="120"/>
      <c r="T7157" s="121"/>
      <c r="U7157" s="120"/>
      <c r="V7157" s="123"/>
      <c r="W7157" s="125"/>
      <c r="X7157" s="142" t="s">
        <v>21337</v>
      </c>
      <c r="Y7157" s="143"/>
      <c r="Z7157" s="143"/>
      <c r="AA7157" s="143"/>
      <c r="AB7157" s="144"/>
      <c r="AC7157" s="16" t="s">
        <v>21</v>
      </c>
      <c r="AD7157" s="17" t="s">
        <v>21317</v>
      </c>
      <c r="AE7157" s="145" t="s">
        <v>9773</v>
      </c>
      <c r="AF7157" s="146"/>
      <c r="AG7157" s="146"/>
      <c r="AH7157" s="146"/>
      <c r="AI7157" s="147"/>
      <c r="AJ7157" s="148"/>
      <c r="AK7157" s="143"/>
      <c r="AL7157" s="144"/>
      <c r="AM7157" s="22"/>
      <c r="AN7157" s="149" t="s">
        <v>2131</v>
      </c>
      <c r="AO7157" s="144"/>
      <c r="AP7157" s="148">
        <v>3417</v>
      </c>
      <c r="AQ7157" s="144"/>
      <c r="AR7157" s="120"/>
      <c r="AS7157" s="121"/>
      <c r="AT7157" s="120"/>
      <c r="AU7157" s="121"/>
      <c r="AV7157" s="120"/>
      <c r="AW7157" s="121"/>
      <c r="AX7157" s="120"/>
      <c r="AY7157" s="121"/>
      <c r="AZ7157" s="138"/>
    </row>
    <row r="7158" spans="1:52" ht="17.100000000000001" customHeight="1" thickTop="1">
      <c r="A7158" s="109" t="s">
        <v>20373</v>
      </c>
      <c r="B7158" s="28">
        <v>46098</v>
      </c>
      <c r="C7158" s="25">
        <v>982</v>
      </c>
      <c r="D7158" s="13" t="s">
        <v>2654</v>
      </c>
      <c r="E7158" s="111"/>
      <c r="F7158" s="113" t="s">
        <v>7775</v>
      </c>
      <c r="G7158" s="114"/>
      <c r="H7158" s="115"/>
      <c r="I7158" s="24"/>
      <c r="J7158" s="116">
        <v>4</v>
      </c>
      <c r="K7158" s="118">
        <v>326000</v>
      </c>
      <c r="L7158" s="119"/>
      <c r="M7158" s="118">
        <f t="shared" ref="M7158" si="10231">K7158*0.1</f>
        <v>32600</v>
      </c>
      <c r="N7158" s="119"/>
      <c r="O7158" s="118">
        <v>0</v>
      </c>
      <c r="P7158" s="119"/>
      <c r="Q7158" s="118">
        <v>7500</v>
      </c>
      <c r="R7158" s="119"/>
      <c r="S7158" s="118">
        <v>22000</v>
      </c>
      <c r="T7158" s="119"/>
      <c r="U7158" s="118">
        <f t="shared" ref="U7158" si="10232">SUM(K7158:T7159)</f>
        <v>388100</v>
      </c>
      <c r="V7158" s="122"/>
      <c r="W7158" s="124"/>
      <c r="X7158" s="126" t="s">
        <v>21354</v>
      </c>
      <c r="Y7158" s="127"/>
      <c r="Z7158" s="127"/>
      <c r="AA7158" s="127"/>
      <c r="AB7158" s="128"/>
      <c r="AC7158" s="15" t="s">
        <v>20</v>
      </c>
      <c r="AD7158" s="129" t="s">
        <v>2054</v>
      </c>
      <c r="AE7158" s="130"/>
      <c r="AF7158" s="130"/>
      <c r="AG7158" s="130"/>
      <c r="AH7158" s="130"/>
      <c r="AI7158" s="131"/>
      <c r="AJ7158" s="132"/>
      <c r="AK7158" s="127"/>
      <c r="AL7158" s="128"/>
      <c r="AM7158" s="21"/>
      <c r="AN7158" s="133">
        <v>46109</v>
      </c>
      <c r="AO7158" s="134"/>
      <c r="AP7158" s="135">
        <v>1294</v>
      </c>
      <c r="AQ7158" s="136"/>
      <c r="AR7158" s="118">
        <v>440000</v>
      </c>
      <c r="AS7158" s="119"/>
      <c r="AT7158" s="118">
        <f t="shared" ref="AT7158" si="10233">AR7158*0.1</f>
        <v>44000</v>
      </c>
      <c r="AU7158" s="119"/>
      <c r="AV7158" s="118">
        <v>7500</v>
      </c>
      <c r="AW7158" s="119"/>
      <c r="AX7158" s="118">
        <f t="shared" ref="AX7158" si="10234">SUM(AR7158:AW7158)</f>
        <v>491500</v>
      </c>
      <c r="AY7158" s="119"/>
      <c r="AZ7158" s="137">
        <v>46112</v>
      </c>
    </row>
    <row r="7159" spans="1:52" ht="17.100000000000001" customHeight="1" thickBot="1">
      <c r="A7159" s="110"/>
      <c r="B7159" s="27" t="s">
        <v>18196</v>
      </c>
      <c r="C7159" s="27">
        <v>1050</v>
      </c>
      <c r="D7159" s="14" t="s">
        <v>1592</v>
      </c>
      <c r="E7159" s="112"/>
      <c r="F7159" s="139" t="s">
        <v>20393</v>
      </c>
      <c r="G7159" s="140"/>
      <c r="H7159" s="141"/>
      <c r="I7159" s="26">
        <v>30459</v>
      </c>
      <c r="J7159" s="117"/>
      <c r="K7159" s="120"/>
      <c r="L7159" s="121"/>
      <c r="M7159" s="120"/>
      <c r="N7159" s="121"/>
      <c r="O7159" s="120"/>
      <c r="P7159" s="121"/>
      <c r="Q7159" s="120"/>
      <c r="R7159" s="121"/>
      <c r="S7159" s="120"/>
      <c r="T7159" s="121"/>
      <c r="U7159" s="120"/>
      <c r="V7159" s="123"/>
      <c r="W7159" s="125"/>
      <c r="X7159" s="142" t="s">
        <v>21355</v>
      </c>
      <c r="Y7159" s="143"/>
      <c r="Z7159" s="143"/>
      <c r="AA7159" s="143"/>
      <c r="AB7159" s="144"/>
      <c r="AC7159" s="16" t="s">
        <v>21</v>
      </c>
      <c r="AD7159" s="17" t="s">
        <v>21317</v>
      </c>
      <c r="AE7159" s="145" t="s">
        <v>171</v>
      </c>
      <c r="AF7159" s="146"/>
      <c r="AG7159" s="146"/>
      <c r="AH7159" s="146"/>
      <c r="AI7159" s="147"/>
      <c r="AJ7159" s="148"/>
      <c r="AK7159" s="143"/>
      <c r="AL7159" s="144"/>
      <c r="AM7159" s="22"/>
      <c r="AN7159" s="149" t="s">
        <v>21802</v>
      </c>
      <c r="AO7159" s="144"/>
      <c r="AP7159" s="148">
        <v>62003</v>
      </c>
      <c r="AQ7159" s="144"/>
      <c r="AR7159" s="120"/>
      <c r="AS7159" s="121"/>
      <c r="AT7159" s="120"/>
      <c r="AU7159" s="121"/>
      <c r="AV7159" s="120"/>
      <c r="AW7159" s="121"/>
      <c r="AX7159" s="120"/>
      <c r="AY7159" s="121"/>
      <c r="AZ7159" s="138"/>
    </row>
    <row r="7160" spans="1:52" ht="17.100000000000001" customHeight="1" thickTop="1">
      <c r="A7160" s="109" t="s">
        <v>20374</v>
      </c>
      <c r="B7160" s="28">
        <v>46098</v>
      </c>
      <c r="C7160" s="25">
        <v>1933</v>
      </c>
      <c r="D7160" s="13" t="s">
        <v>20421</v>
      </c>
      <c r="E7160" s="111"/>
      <c r="F7160" s="113" t="s">
        <v>20402</v>
      </c>
      <c r="G7160" s="114"/>
      <c r="H7160" s="115"/>
      <c r="I7160" s="24" t="s">
        <v>1559</v>
      </c>
      <c r="J7160" s="116">
        <v>4</v>
      </c>
      <c r="K7160" s="118">
        <v>1059000</v>
      </c>
      <c r="L7160" s="119"/>
      <c r="M7160" s="118">
        <f t="shared" ref="M7160" si="10235">K7160*0.1</f>
        <v>105900</v>
      </c>
      <c r="N7160" s="119"/>
      <c r="O7160" s="118">
        <v>39500</v>
      </c>
      <c r="P7160" s="119"/>
      <c r="Q7160" s="118">
        <v>12470</v>
      </c>
      <c r="R7160" s="119"/>
      <c r="S7160" s="118">
        <v>15950</v>
      </c>
      <c r="T7160" s="119"/>
      <c r="U7160" s="118">
        <f t="shared" ref="U7160" si="10236">SUM(K7160:T7161)</f>
        <v>1232820</v>
      </c>
      <c r="V7160" s="122"/>
      <c r="W7160" s="124"/>
      <c r="X7160" s="126" t="s">
        <v>20422</v>
      </c>
      <c r="Y7160" s="127"/>
      <c r="Z7160" s="127"/>
      <c r="AA7160" s="127"/>
      <c r="AB7160" s="128"/>
      <c r="AC7160" s="15" t="s">
        <v>20</v>
      </c>
      <c r="AD7160" s="129" t="s">
        <v>16861</v>
      </c>
      <c r="AE7160" s="130"/>
      <c r="AF7160" s="130"/>
      <c r="AG7160" s="130"/>
      <c r="AH7160" s="130"/>
      <c r="AI7160" s="131"/>
      <c r="AJ7160" s="132"/>
      <c r="AK7160" s="127"/>
      <c r="AL7160" s="128"/>
      <c r="AM7160" s="21"/>
      <c r="AN7160" s="133">
        <v>46113</v>
      </c>
      <c r="AO7160" s="134"/>
      <c r="AP7160" s="135">
        <v>1011</v>
      </c>
      <c r="AQ7160" s="136"/>
      <c r="AR7160" s="118">
        <v>1150000</v>
      </c>
      <c r="AS7160" s="119"/>
      <c r="AT7160" s="118">
        <f t="shared" ref="AT7160" si="10237">AR7160*0.1</f>
        <v>115000</v>
      </c>
      <c r="AU7160" s="119"/>
      <c r="AV7160" s="118">
        <v>12470</v>
      </c>
      <c r="AW7160" s="119"/>
      <c r="AX7160" s="118">
        <f t="shared" ref="AX7160" si="10238">SUM(AR7160:AW7160)</f>
        <v>1277470</v>
      </c>
      <c r="AY7160" s="119"/>
      <c r="AZ7160" s="137">
        <v>46118</v>
      </c>
    </row>
    <row r="7161" spans="1:52" ht="17.100000000000001" customHeight="1" thickBot="1">
      <c r="A7161" s="110"/>
      <c r="B7161" s="27" t="s">
        <v>2131</v>
      </c>
      <c r="C7161" s="27">
        <v>409</v>
      </c>
      <c r="D7161" s="14" t="s">
        <v>275</v>
      </c>
      <c r="E7161" s="112"/>
      <c r="F7161" s="139" t="s">
        <v>20403</v>
      </c>
      <c r="G7161" s="140"/>
      <c r="H7161" s="141"/>
      <c r="I7161" s="26">
        <v>110162</v>
      </c>
      <c r="J7161" s="117"/>
      <c r="K7161" s="120"/>
      <c r="L7161" s="121"/>
      <c r="M7161" s="120"/>
      <c r="N7161" s="121"/>
      <c r="O7161" s="120"/>
      <c r="P7161" s="121"/>
      <c r="Q7161" s="120"/>
      <c r="R7161" s="121"/>
      <c r="S7161" s="120"/>
      <c r="T7161" s="121"/>
      <c r="U7161" s="120"/>
      <c r="V7161" s="123"/>
      <c r="W7161" s="125"/>
      <c r="X7161" s="142" t="s">
        <v>8254</v>
      </c>
      <c r="Y7161" s="143"/>
      <c r="Z7161" s="143"/>
      <c r="AA7161" s="143"/>
      <c r="AB7161" s="144"/>
      <c r="AC7161" s="16" t="s">
        <v>21</v>
      </c>
      <c r="AD7161" s="17" t="s">
        <v>21034</v>
      </c>
      <c r="AE7161" s="145" t="s">
        <v>21044</v>
      </c>
      <c r="AF7161" s="146"/>
      <c r="AG7161" s="146"/>
      <c r="AH7161" s="146"/>
      <c r="AI7161" s="147"/>
      <c r="AJ7161" s="148"/>
      <c r="AK7161" s="143"/>
      <c r="AL7161" s="144"/>
      <c r="AM7161" s="22"/>
      <c r="AN7161" s="149" t="s">
        <v>2794</v>
      </c>
      <c r="AO7161" s="144"/>
      <c r="AP7161" s="148">
        <v>5126</v>
      </c>
      <c r="AQ7161" s="144"/>
      <c r="AR7161" s="120"/>
      <c r="AS7161" s="121"/>
      <c r="AT7161" s="120"/>
      <c r="AU7161" s="121"/>
      <c r="AV7161" s="120"/>
      <c r="AW7161" s="121"/>
      <c r="AX7161" s="120"/>
      <c r="AY7161" s="121"/>
      <c r="AZ7161" s="138"/>
    </row>
    <row r="7162" spans="1:52" ht="17.100000000000001" customHeight="1" thickTop="1">
      <c r="A7162" s="109" t="s">
        <v>20375</v>
      </c>
      <c r="B7162" s="28">
        <v>46098</v>
      </c>
      <c r="C7162" s="25">
        <v>1933</v>
      </c>
      <c r="D7162" s="13" t="s">
        <v>2179</v>
      </c>
      <c r="E7162" s="111"/>
      <c r="F7162" s="113" t="s">
        <v>20240</v>
      </c>
      <c r="G7162" s="114"/>
      <c r="H7162" s="115"/>
      <c r="I7162" s="24"/>
      <c r="J7162" s="116">
        <v>4</v>
      </c>
      <c r="K7162" s="118">
        <v>1310000</v>
      </c>
      <c r="L7162" s="119"/>
      <c r="M7162" s="118">
        <f t="shared" ref="M7162" si="10239">K7162*0.1</f>
        <v>131000</v>
      </c>
      <c r="N7162" s="119"/>
      <c r="O7162" s="118">
        <v>0</v>
      </c>
      <c r="P7162" s="119"/>
      <c r="Q7162" s="118">
        <v>12030</v>
      </c>
      <c r="R7162" s="119"/>
      <c r="S7162" s="118">
        <v>17050</v>
      </c>
      <c r="T7162" s="119"/>
      <c r="U7162" s="118">
        <f t="shared" ref="U7162" si="10240">SUM(K7162:T7163)</f>
        <v>1470080</v>
      </c>
      <c r="V7162" s="122"/>
      <c r="W7162" s="124"/>
      <c r="X7162" s="126" t="s">
        <v>21042</v>
      </c>
      <c r="Y7162" s="127"/>
      <c r="Z7162" s="127"/>
      <c r="AA7162" s="127"/>
      <c r="AB7162" s="128"/>
      <c r="AC7162" s="15" t="s">
        <v>20</v>
      </c>
      <c r="AD7162" s="129"/>
      <c r="AE7162" s="130"/>
      <c r="AF7162" s="130"/>
      <c r="AG7162" s="130"/>
      <c r="AH7162" s="130"/>
      <c r="AI7162" s="131"/>
      <c r="AJ7162" s="132"/>
      <c r="AK7162" s="127"/>
      <c r="AL7162" s="128"/>
      <c r="AM7162" s="21"/>
      <c r="AN7162" s="133">
        <v>46113</v>
      </c>
      <c r="AO7162" s="134"/>
      <c r="AP7162" s="135">
        <v>1011</v>
      </c>
      <c r="AQ7162" s="136"/>
      <c r="AR7162" s="118">
        <v>1390000</v>
      </c>
      <c r="AS7162" s="119"/>
      <c r="AT7162" s="118">
        <f t="shared" ref="AT7162" si="10241">AR7162*0.1</f>
        <v>139000</v>
      </c>
      <c r="AU7162" s="119"/>
      <c r="AV7162" s="118">
        <v>12030</v>
      </c>
      <c r="AW7162" s="119"/>
      <c r="AX7162" s="118">
        <f t="shared" ref="AX7162" si="10242">SUM(AR7162:AW7162)</f>
        <v>1541030</v>
      </c>
      <c r="AY7162" s="119"/>
      <c r="AZ7162" s="137">
        <v>46118</v>
      </c>
    </row>
    <row r="7163" spans="1:52" ht="17.100000000000001" customHeight="1" thickBot="1">
      <c r="A7163" s="110"/>
      <c r="B7163" s="27" t="s">
        <v>2131</v>
      </c>
      <c r="C7163" s="27">
        <v>2260</v>
      </c>
      <c r="D7163" s="14" t="s">
        <v>2601</v>
      </c>
      <c r="E7163" s="112"/>
      <c r="F7163" s="139" t="s">
        <v>20404</v>
      </c>
      <c r="G7163" s="140"/>
      <c r="H7163" s="141"/>
      <c r="I7163" s="26">
        <v>36442</v>
      </c>
      <c r="J7163" s="117"/>
      <c r="K7163" s="120"/>
      <c r="L7163" s="121"/>
      <c r="M7163" s="120"/>
      <c r="N7163" s="121"/>
      <c r="O7163" s="120"/>
      <c r="P7163" s="121"/>
      <c r="Q7163" s="120"/>
      <c r="R7163" s="121"/>
      <c r="S7163" s="120"/>
      <c r="T7163" s="121"/>
      <c r="U7163" s="120"/>
      <c r="V7163" s="123"/>
      <c r="W7163" s="125"/>
      <c r="X7163" s="142" t="s">
        <v>21043</v>
      </c>
      <c r="Y7163" s="143"/>
      <c r="Z7163" s="143"/>
      <c r="AA7163" s="143"/>
      <c r="AB7163" s="144"/>
      <c r="AC7163" s="16" t="s">
        <v>21</v>
      </c>
      <c r="AD7163" s="17" t="s">
        <v>21034</v>
      </c>
      <c r="AE7163" s="145" t="s">
        <v>20960</v>
      </c>
      <c r="AF7163" s="146"/>
      <c r="AG7163" s="146"/>
      <c r="AH7163" s="146"/>
      <c r="AI7163" s="147"/>
      <c r="AJ7163" s="148"/>
      <c r="AK7163" s="143"/>
      <c r="AL7163" s="144"/>
      <c r="AM7163" s="22"/>
      <c r="AN7163" s="149" t="s">
        <v>2794</v>
      </c>
      <c r="AO7163" s="144"/>
      <c r="AP7163" s="148">
        <v>5120</v>
      </c>
      <c r="AQ7163" s="144"/>
      <c r="AR7163" s="120"/>
      <c r="AS7163" s="121"/>
      <c r="AT7163" s="120"/>
      <c r="AU7163" s="121"/>
      <c r="AV7163" s="120"/>
      <c r="AW7163" s="121"/>
      <c r="AX7163" s="120"/>
      <c r="AY7163" s="121"/>
      <c r="AZ7163" s="138"/>
    </row>
    <row r="7164" spans="1:52" ht="17.100000000000001" customHeight="1" thickTop="1" thickBot="1">
      <c r="A7164" s="109" t="s">
        <v>20376</v>
      </c>
      <c r="B7164" s="28">
        <v>46098</v>
      </c>
      <c r="C7164" s="25">
        <v>1933</v>
      </c>
      <c r="D7164" s="13" t="s">
        <v>1922</v>
      </c>
      <c r="E7164" s="111"/>
      <c r="F7164" s="113" t="s">
        <v>15851</v>
      </c>
      <c r="G7164" s="114"/>
      <c r="H7164" s="115"/>
      <c r="I7164" s="24" t="s">
        <v>2064</v>
      </c>
      <c r="J7164" s="116">
        <v>4.5</v>
      </c>
      <c r="K7164" s="118">
        <v>725000</v>
      </c>
      <c r="L7164" s="119"/>
      <c r="M7164" s="118">
        <f t="shared" ref="M7164" si="10243">K7164*0.1</f>
        <v>72500</v>
      </c>
      <c r="N7164" s="119"/>
      <c r="O7164" s="118">
        <v>10800</v>
      </c>
      <c r="P7164" s="119"/>
      <c r="Q7164" s="118">
        <v>8430</v>
      </c>
      <c r="R7164" s="119"/>
      <c r="S7164" s="118">
        <v>15950</v>
      </c>
      <c r="T7164" s="119"/>
      <c r="U7164" s="118">
        <f t="shared" ref="U7164" si="10244">SUM(K7164:T7165)</f>
        <v>832680</v>
      </c>
      <c r="V7164" s="122"/>
      <c r="W7164" s="124"/>
      <c r="X7164" s="142" t="s">
        <v>20423</v>
      </c>
      <c r="Y7164" s="143"/>
      <c r="Z7164" s="143"/>
      <c r="AA7164" s="143"/>
      <c r="AB7164" s="144"/>
      <c r="AC7164" s="15" t="s">
        <v>20</v>
      </c>
      <c r="AD7164" s="129" t="s">
        <v>20424</v>
      </c>
      <c r="AE7164" s="130"/>
      <c r="AF7164" s="130"/>
      <c r="AG7164" s="130"/>
      <c r="AH7164" s="130"/>
      <c r="AI7164" s="131"/>
      <c r="AJ7164" s="132"/>
      <c r="AK7164" s="127"/>
      <c r="AL7164" s="128"/>
      <c r="AM7164" s="21"/>
      <c r="AN7164" s="133">
        <v>46109</v>
      </c>
      <c r="AO7164" s="134"/>
      <c r="AP7164" s="135">
        <v>1294</v>
      </c>
      <c r="AQ7164" s="136"/>
      <c r="AR7164" s="118">
        <v>775000</v>
      </c>
      <c r="AS7164" s="119"/>
      <c r="AT7164" s="118">
        <f t="shared" ref="AT7164" si="10245">AR7164*0.1</f>
        <v>77500</v>
      </c>
      <c r="AU7164" s="119"/>
      <c r="AV7164" s="118">
        <v>8430</v>
      </c>
      <c r="AW7164" s="119"/>
      <c r="AX7164" s="118">
        <f t="shared" ref="AX7164" si="10246">SUM(AR7164:AW7164)</f>
        <v>860930</v>
      </c>
      <c r="AY7164" s="119"/>
      <c r="AZ7164" s="137">
        <v>46114</v>
      </c>
    </row>
    <row r="7165" spans="1:52" ht="17.100000000000001" customHeight="1" thickBot="1">
      <c r="A7165" s="110"/>
      <c r="B7165" s="27" t="s">
        <v>2131</v>
      </c>
      <c r="C7165" s="27">
        <v>3049</v>
      </c>
      <c r="D7165" s="14" t="s">
        <v>2601</v>
      </c>
      <c r="E7165" s="112"/>
      <c r="F7165" s="139" t="s">
        <v>20405</v>
      </c>
      <c r="G7165" s="140"/>
      <c r="H7165" s="141"/>
      <c r="I7165" s="26">
        <v>33465</v>
      </c>
      <c r="J7165" s="117"/>
      <c r="K7165" s="120"/>
      <c r="L7165" s="121"/>
      <c r="M7165" s="120"/>
      <c r="N7165" s="121"/>
      <c r="O7165" s="120"/>
      <c r="P7165" s="121"/>
      <c r="Q7165" s="120"/>
      <c r="R7165" s="121"/>
      <c r="S7165" s="120"/>
      <c r="T7165" s="121"/>
      <c r="U7165" s="120"/>
      <c r="V7165" s="123"/>
      <c r="W7165" s="125"/>
      <c r="X7165" s="142" t="s">
        <v>11198</v>
      </c>
      <c r="Y7165" s="143"/>
      <c r="Z7165" s="143"/>
      <c r="AA7165" s="143"/>
      <c r="AB7165" s="144"/>
      <c r="AC7165" s="16" t="s">
        <v>21</v>
      </c>
      <c r="AD7165" s="17" t="s">
        <v>2382</v>
      </c>
      <c r="AE7165" s="145" t="s">
        <v>20621</v>
      </c>
      <c r="AF7165" s="146"/>
      <c r="AG7165" s="146"/>
      <c r="AH7165" s="146"/>
      <c r="AI7165" s="147"/>
      <c r="AJ7165" s="148"/>
      <c r="AK7165" s="143"/>
      <c r="AL7165" s="144"/>
      <c r="AM7165" s="22"/>
      <c r="AN7165" s="149" t="s">
        <v>21802</v>
      </c>
      <c r="AO7165" s="144"/>
      <c r="AP7165" s="148">
        <v>60200</v>
      </c>
      <c r="AQ7165" s="144"/>
      <c r="AR7165" s="120"/>
      <c r="AS7165" s="121"/>
      <c r="AT7165" s="120"/>
      <c r="AU7165" s="121"/>
      <c r="AV7165" s="120"/>
      <c r="AW7165" s="121"/>
      <c r="AX7165" s="120"/>
      <c r="AY7165" s="121"/>
      <c r="AZ7165" s="138"/>
    </row>
    <row r="7166" spans="1:52" ht="17.100000000000001" customHeight="1" thickTop="1">
      <c r="A7166" s="109" t="s">
        <v>20377</v>
      </c>
      <c r="B7166" s="28">
        <v>46098</v>
      </c>
      <c r="C7166" s="25">
        <v>1933</v>
      </c>
      <c r="D7166" s="13" t="s">
        <v>3530</v>
      </c>
      <c r="E7166" s="111"/>
      <c r="F7166" s="113" t="s">
        <v>7632</v>
      </c>
      <c r="G7166" s="114"/>
      <c r="H7166" s="115"/>
      <c r="I7166" s="24" t="s">
        <v>2112</v>
      </c>
      <c r="J7166" s="116">
        <v>4</v>
      </c>
      <c r="K7166" s="118">
        <v>832000</v>
      </c>
      <c r="L7166" s="119"/>
      <c r="M7166" s="118">
        <f t="shared" ref="M7166" si="10247">K7166*0.1</f>
        <v>83200</v>
      </c>
      <c r="N7166" s="119"/>
      <c r="O7166" s="118">
        <v>10800</v>
      </c>
      <c r="P7166" s="119"/>
      <c r="Q7166" s="118">
        <v>7950</v>
      </c>
      <c r="R7166" s="119"/>
      <c r="S7166" s="118">
        <v>20900</v>
      </c>
      <c r="T7166" s="119"/>
      <c r="U7166" s="118">
        <f t="shared" ref="U7166" si="10248">SUM(K7166:T7167)</f>
        <v>954850</v>
      </c>
      <c r="V7166" s="122"/>
      <c r="W7166" s="124"/>
      <c r="X7166" s="126" t="s">
        <v>20425</v>
      </c>
      <c r="Y7166" s="127"/>
      <c r="Z7166" s="127"/>
      <c r="AA7166" s="127"/>
      <c r="AB7166" s="128"/>
      <c r="AC7166" s="15" t="s">
        <v>20</v>
      </c>
      <c r="AD7166" s="129"/>
      <c r="AE7166" s="130"/>
      <c r="AF7166" s="130"/>
      <c r="AG7166" s="130"/>
      <c r="AH7166" s="130"/>
      <c r="AI7166" s="131"/>
      <c r="AJ7166" s="132"/>
      <c r="AK7166" s="127"/>
      <c r="AL7166" s="128"/>
      <c r="AM7166" s="21" t="s">
        <v>22267</v>
      </c>
      <c r="AN7166" s="133">
        <v>46116</v>
      </c>
      <c r="AO7166" s="134"/>
      <c r="AP7166" s="135">
        <v>1295</v>
      </c>
      <c r="AQ7166" s="136"/>
      <c r="AR7166" s="118">
        <v>870000</v>
      </c>
      <c r="AS7166" s="119"/>
      <c r="AT7166" s="118">
        <f t="shared" ref="AT7166" si="10249">AR7166*0.1</f>
        <v>87000</v>
      </c>
      <c r="AU7166" s="119"/>
      <c r="AV7166" s="118">
        <v>7950</v>
      </c>
      <c r="AW7166" s="119"/>
      <c r="AX7166" s="118">
        <f t="shared" ref="AX7166" si="10250">SUM(AR7166:AW7166)</f>
        <v>964950</v>
      </c>
      <c r="AY7166" s="119"/>
      <c r="AZ7166" s="137">
        <v>46121</v>
      </c>
    </row>
    <row r="7167" spans="1:52" ht="17.100000000000001" customHeight="1" thickBot="1">
      <c r="A7167" s="110"/>
      <c r="B7167" s="27" t="s">
        <v>2131</v>
      </c>
      <c r="C7167" s="27">
        <v>3372</v>
      </c>
      <c r="D7167" s="14" t="s">
        <v>2800</v>
      </c>
      <c r="E7167" s="112"/>
      <c r="F7167" s="139" t="s">
        <v>20406</v>
      </c>
      <c r="G7167" s="140"/>
      <c r="H7167" s="141"/>
      <c r="I7167" s="26">
        <v>48017</v>
      </c>
      <c r="J7167" s="117"/>
      <c r="K7167" s="120"/>
      <c r="L7167" s="121"/>
      <c r="M7167" s="120"/>
      <c r="N7167" s="121"/>
      <c r="O7167" s="120"/>
      <c r="P7167" s="121"/>
      <c r="Q7167" s="120"/>
      <c r="R7167" s="121"/>
      <c r="S7167" s="120"/>
      <c r="T7167" s="121"/>
      <c r="U7167" s="120"/>
      <c r="V7167" s="123"/>
      <c r="W7167" s="125"/>
      <c r="X7167" s="142" t="s">
        <v>21189</v>
      </c>
      <c r="Y7167" s="143"/>
      <c r="Z7167" s="143"/>
      <c r="AA7167" s="143"/>
      <c r="AB7167" s="144"/>
      <c r="AC7167" s="16" t="s">
        <v>21</v>
      </c>
      <c r="AD7167" s="17" t="s">
        <v>2388</v>
      </c>
      <c r="AE7167" s="145" t="s">
        <v>20963</v>
      </c>
      <c r="AF7167" s="146"/>
      <c r="AG7167" s="146"/>
      <c r="AH7167" s="146"/>
      <c r="AI7167" s="147"/>
      <c r="AJ7167" s="148"/>
      <c r="AK7167" s="143"/>
      <c r="AL7167" s="144"/>
      <c r="AM7167" s="22"/>
      <c r="AN7167" s="149" t="s">
        <v>2511</v>
      </c>
      <c r="AO7167" s="144"/>
      <c r="AP7167" s="148">
        <v>60189</v>
      </c>
      <c r="AQ7167" s="144"/>
      <c r="AR7167" s="120"/>
      <c r="AS7167" s="121"/>
      <c r="AT7167" s="120"/>
      <c r="AU7167" s="121"/>
      <c r="AV7167" s="120"/>
      <c r="AW7167" s="121"/>
      <c r="AX7167" s="120"/>
      <c r="AY7167" s="121"/>
      <c r="AZ7167" s="138"/>
    </row>
    <row r="7168" spans="1:52" ht="17.100000000000001" customHeight="1" thickTop="1">
      <c r="A7168" s="109" t="s">
        <v>20378</v>
      </c>
      <c r="B7168" s="28">
        <v>46098</v>
      </c>
      <c r="C7168" s="25">
        <v>1933</v>
      </c>
      <c r="D7168" s="13" t="s">
        <v>2508</v>
      </c>
      <c r="E7168" s="111"/>
      <c r="F7168" s="113" t="s">
        <v>7794</v>
      </c>
      <c r="G7168" s="114"/>
      <c r="H7168" s="115"/>
      <c r="I7168" s="24" t="s">
        <v>1547</v>
      </c>
      <c r="J7168" s="116">
        <v>4.5</v>
      </c>
      <c r="K7168" s="118">
        <v>1056000</v>
      </c>
      <c r="L7168" s="119"/>
      <c r="M7168" s="118">
        <f t="shared" ref="M7168" si="10251">K7168*0.1</f>
        <v>105600</v>
      </c>
      <c r="N7168" s="119"/>
      <c r="O7168" s="118">
        <v>5000</v>
      </c>
      <c r="P7168" s="119"/>
      <c r="Q7168" s="118">
        <v>8200</v>
      </c>
      <c r="R7168" s="119"/>
      <c r="S7168" s="118">
        <v>15950</v>
      </c>
      <c r="T7168" s="119"/>
      <c r="U7168" s="118">
        <f t="shared" ref="U7168" si="10252">SUM(K7168:T7169)</f>
        <v>1190750</v>
      </c>
      <c r="V7168" s="122"/>
      <c r="W7168" s="124"/>
      <c r="X7168" s="126" t="s">
        <v>20426</v>
      </c>
      <c r="Y7168" s="127"/>
      <c r="Z7168" s="127"/>
      <c r="AA7168" s="127"/>
      <c r="AB7168" s="128"/>
      <c r="AC7168" s="15" t="s">
        <v>20</v>
      </c>
      <c r="AD7168" s="129"/>
      <c r="AE7168" s="130"/>
      <c r="AF7168" s="130"/>
      <c r="AG7168" s="130"/>
      <c r="AH7168" s="130"/>
      <c r="AI7168" s="131"/>
      <c r="AJ7168" s="132"/>
      <c r="AK7168" s="127"/>
      <c r="AL7168" s="128"/>
      <c r="AM7168" s="21"/>
      <c r="AN7168" s="133">
        <v>46102</v>
      </c>
      <c r="AO7168" s="134"/>
      <c r="AP7168" s="135">
        <v>1293</v>
      </c>
      <c r="AQ7168" s="136"/>
      <c r="AR7168" s="118">
        <v>1110000</v>
      </c>
      <c r="AS7168" s="119"/>
      <c r="AT7168" s="118">
        <f t="shared" ref="AT7168" si="10253">AR7168*0.1</f>
        <v>111000</v>
      </c>
      <c r="AU7168" s="119"/>
      <c r="AV7168" s="118">
        <v>8200</v>
      </c>
      <c r="AW7168" s="119"/>
      <c r="AX7168" s="118">
        <f t="shared" ref="AX7168" si="10254">SUM(AR7168:AW7168)</f>
        <v>1229200</v>
      </c>
      <c r="AY7168" s="119"/>
      <c r="AZ7168" s="137">
        <v>46105</v>
      </c>
    </row>
    <row r="7169" spans="1:52" ht="17.100000000000001" customHeight="1" thickBot="1">
      <c r="A7169" s="110"/>
      <c r="B7169" s="27" t="s">
        <v>2131</v>
      </c>
      <c r="C7169" s="27">
        <v>3417</v>
      </c>
      <c r="D7169" s="14" t="s">
        <v>1812</v>
      </c>
      <c r="E7169" s="112"/>
      <c r="F7169" s="139" t="s">
        <v>20407</v>
      </c>
      <c r="G7169" s="140"/>
      <c r="H7169" s="141"/>
      <c r="I7169" s="26">
        <v>3943</v>
      </c>
      <c r="J7169" s="117"/>
      <c r="K7169" s="120"/>
      <c r="L7169" s="121"/>
      <c r="M7169" s="120"/>
      <c r="N7169" s="121"/>
      <c r="O7169" s="120"/>
      <c r="P7169" s="121"/>
      <c r="Q7169" s="120"/>
      <c r="R7169" s="121"/>
      <c r="S7169" s="120"/>
      <c r="T7169" s="121"/>
      <c r="U7169" s="120"/>
      <c r="V7169" s="123"/>
      <c r="W7169" s="125"/>
      <c r="X7169" s="142" t="s">
        <v>20620</v>
      </c>
      <c r="Y7169" s="143"/>
      <c r="Z7169" s="143"/>
      <c r="AA7169" s="143"/>
      <c r="AB7169" s="144"/>
      <c r="AC7169" s="16" t="s">
        <v>21</v>
      </c>
      <c r="AD7169" s="17" t="s">
        <v>2382</v>
      </c>
      <c r="AE7169" s="145" t="s">
        <v>171</v>
      </c>
      <c r="AF7169" s="146"/>
      <c r="AG7169" s="146"/>
      <c r="AH7169" s="146"/>
      <c r="AI7169" s="147"/>
      <c r="AJ7169" s="148"/>
      <c r="AK7169" s="143"/>
      <c r="AL7169" s="144"/>
      <c r="AM7169" s="22"/>
      <c r="AN7169" s="149" t="s">
        <v>2511</v>
      </c>
      <c r="AO7169" s="144"/>
      <c r="AP7169" s="148">
        <v>60339</v>
      </c>
      <c r="AQ7169" s="144"/>
      <c r="AR7169" s="120"/>
      <c r="AS7169" s="121"/>
      <c r="AT7169" s="120"/>
      <c r="AU7169" s="121"/>
      <c r="AV7169" s="120"/>
      <c r="AW7169" s="121"/>
      <c r="AX7169" s="120"/>
      <c r="AY7169" s="121"/>
      <c r="AZ7169" s="138"/>
    </row>
    <row r="7170" spans="1:52" ht="17.100000000000001" customHeight="1" thickTop="1">
      <c r="A7170" s="109" t="s">
        <v>20379</v>
      </c>
      <c r="B7170" s="28">
        <v>46098</v>
      </c>
      <c r="C7170" s="25">
        <v>1933</v>
      </c>
      <c r="D7170" s="13" t="s">
        <v>3832</v>
      </c>
      <c r="E7170" s="111"/>
      <c r="F7170" s="113" t="s">
        <v>15851</v>
      </c>
      <c r="G7170" s="114"/>
      <c r="H7170" s="115"/>
      <c r="I7170" s="24"/>
      <c r="J7170" s="116">
        <v>4</v>
      </c>
      <c r="K7170" s="118">
        <v>701000</v>
      </c>
      <c r="L7170" s="119"/>
      <c r="M7170" s="118">
        <f t="shared" ref="M7170" si="10255">K7170*0.1</f>
        <v>70100</v>
      </c>
      <c r="N7170" s="119"/>
      <c r="O7170" s="118">
        <v>0</v>
      </c>
      <c r="P7170" s="119"/>
      <c r="Q7170" s="118">
        <v>8430</v>
      </c>
      <c r="R7170" s="119"/>
      <c r="S7170" s="118">
        <v>15950</v>
      </c>
      <c r="T7170" s="119"/>
      <c r="U7170" s="118">
        <f t="shared" ref="U7170" si="10256">SUM(K7170:T7171)</f>
        <v>795480</v>
      </c>
      <c r="V7170" s="122"/>
      <c r="W7170" s="124"/>
      <c r="X7170" s="126" t="s">
        <v>20622</v>
      </c>
      <c r="Y7170" s="127"/>
      <c r="Z7170" s="127"/>
      <c r="AA7170" s="127"/>
      <c r="AB7170" s="128"/>
      <c r="AC7170" s="15" t="s">
        <v>20</v>
      </c>
      <c r="AD7170" s="129" t="s">
        <v>20424</v>
      </c>
      <c r="AE7170" s="130"/>
      <c r="AF7170" s="130"/>
      <c r="AG7170" s="130"/>
      <c r="AH7170" s="130"/>
      <c r="AI7170" s="131"/>
      <c r="AJ7170" s="132"/>
      <c r="AK7170" s="127"/>
      <c r="AL7170" s="128"/>
      <c r="AM7170" s="21"/>
      <c r="AN7170" s="133">
        <v>46109</v>
      </c>
      <c r="AO7170" s="134"/>
      <c r="AP7170" s="135">
        <v>1294</v>
      </c>
      <c r="AQ7170" s="136"/>
      <c r="AR7170" s="118">
        <v>795000</v>
      </c>
      <c r="AS7170" s="119"/>
      <c r="AT7170" s="118">
        <f t="shared" ref="AT7170" si="10257">AR7170*0.1</f>
        <v>79500</v>
      </c>
      <c r="AU7170" s="119"/>
      <c r="AV7170" s="118">
        <v>8430</v>
      </c>
      <c r="AW7170" s="119"/>
      <c r="AX7170" s="118">
        <f t="shared" ref="AX7170" si="10258">SUM(AR7170:AW7170)</f>
        <v>882930</v>
      </c>
      <c r="AY7170" s="119"/>
      <c r="AZ7170" s="137">
        <v>46112</v>
      </c>
    </row>
    <row r="7171" spans="1:52" ht="17.100000000000001" customHeight="1" thickBot="1">
      <c r="A7171" s="110"/>
      <c r="B7171" s="27" t="s">
        <v>2131</v>
      </c>
      <c r="C7171" s="27">
        <v>3437</v>
      </c>
      <c r="D7171" s="14" t="s">
        <v>2601</v>
      </c>
      <c r="E7171" s="112"/>
      <c r="F7171" s="139" t="s">
        <v>20408</v>
      </c>
      <c r="G7171" s="140"/>
      <c r="H7171" s="141"/>
      <c r="I7171" s="26">
        <v>28256</v>
      </c>
      <c r="J7171" s="117"/>
      <c r="K7171" s="120"/>
      <c r="L7171" s="121"/>
      <c r="M7171" s="120"/>
      <c r="N7171" s="121"/>
      <c r="O7171" s="120"/>
      <c r="P7171" s="121"/>
      <c r="Q7171" s="120"/>
      <c r="R7171" s="121"/>
      <c r="S7171" s="120"/>
      <c r="T7171" s="121"/>
      <c r="U7171" s="120"/>
      <c r="V7171" s="123"/>
      <c r="W7171" s="125"/>
      <c r="X7171" s="142" t="s">
        <v>11198</v>
      </c>
      <c r="Y7171" s="143"/>
      <c r="Z7171" s="143"/>
      <c r="AA7171" s="143"/>
      <c r="AB7171" s="144"/>
      <c r="AC7171" s="16" t="s">
        <v>21</v>
      </c>
      <c r="AD7171" s="17" t="s">
        <v>2382</v>
      </c>
      <c r="AE7171" s="145" t="s">
        <v>20623</v>
      </c>
      <c r="AF7171" s="146"/>
      <c r="AG7171" s="146"/>
      <c r="AH7171" s="146"/>
      <c r="AI7171" s="147"/>
      <c r="AJ7171" s="148"/>
      <c r="AK7171" s="143"/>
      <c r="AL7171" s="144"/>
      <c r="AM7171" s="22"/>
      <c r="AN7171" s="149" t="s">
        <v>21802</v>
      </c>
      <c r="AO7171" s="144"/>
      <c r="AP7171" s="148">
        <v>60202</v>
      </c>
      <c r="AQ7171" s="144"/>
      <c r="AR7171" s="120"/>
      <c r="AS7171" s="121"/>
      <c r="AT7171" s="120"/>
      <c r="AU7171" s="121"/>
      <c r="AV7171" s="120"/>
      <c r="AW7171" s="121"/>
      <c r="AX7171" s="120"/>
      <c r="AY7171" s="121"/>
      <c r="AZ7171" s="138"/>
    </row>
    <row r="7172" spans="1:52" ht="17.100000000000001" customHeight="1" thickTop="1">
      <c r="A7172" s="109" t="s">
        <v>20380</v>
      </c>
      <c r="B7172" s="28">
        <v>46098</v>
      </c>
      <c r="C7172" s="25">
        <v>1933</v>
      </c>
      <c r="D7172" s="13" t="s">
        <v>1786</v>
      </c>
      <c r="E7172" s="111"/>
      <c r="F7172" s="113" t="s">
        <v>20409</v>
      </c>
      <c r="G7172" s="114"/>
      <c r="H7172" s="115"/>
      <c r="I7172" s="24" t="s">
        <v>3931</v>
      </c>
      <c r="J7172" s="116">
        <v>4</v>
      </c>
      <c r="K7172" s="118">
        <v>622000</v>
      </c>
      <c r="L7172" s="119"/>
      <c r="M7172" s="118">
        <f t="shared" ref="M7172" si="10259">K7172*0.1</f>
        <v>62200</v>
      </c>
      <c r="N7172" s="119"/>
      <c r="O7172" s="118">
        <v>10800</v>
      </c>
      <c r="P7172" s="119"/>
      <c r="Q7172" s="118">
        <v>8550</v>
      </c>
      <c r="R7172" s="119"/>
      <c r="S7172" s="118">
        <v>15950</v>
      </c>
      <c r="T7172" s="119"/>
      <c r="U7172" s="118">
        <f t="shared" ref="U7172" si="10260">SUM(K7172:T7173)</f>
        <v>719500</v>
      </c>
      <c r="V7172" s="122"/>
      <c r="W7172" s="124"/>
      <c r="X7172" s="126" t="s">
        <v>20619</v>
      </c>
      <c r="Y7172" s="127"/>
      <c r="Z7172" s="127"/>
      <c r="AA7172" s="127"/>
      <c r="AB7172" s="128"/>
      <c r="AC7172" s="15" t="s">
        <v>20</v>
      </c>
      <c r="AD7172" s="129" t="s">
        <v>20427</v>
      </c>
      <c r="AE7172" s="130"/>
      <c r="AF7172" s="130"/>
      <c r="AG7172" s="130"/>
      <c r="AH7172" s="130"/>
      <c r="AI7172" s="131"/>
      <c r="AJ7172" s="132" t="s">
        <v>25637</v>
      </c>
      <c r="AK7172" s="127"/>
      <c r="AL7172" s="128"/>
      <c r="AM7172" s="21" t="s">
        <v>23803</v>
      </c>
      <c r="AN7172" s="133">
        <v>46144</v>
      </c>
      <c r="AO7172" s="134"/>
      <c r="AP7172" s="135">
        <v>1299</v>
      </c>
      <c r="AQ7172" s="136"/>
      <c r="AR7172" s="118">
        <v>675000</v>
      </c>
      <c r="AS7172" s="119"/>
      <c r="AT7172" s="118">
        <f t="shared" ref="AT7172" si="10261">AR7172*0.1</f>
        <v>67500</v>
      </c>
      <c r="AU7172" s="119"/>
      <c r="AV7172" s="118">
        <v>8550</v>
      </c>
      <c r="AW7172" s="119"/>
      <c r="AX7172" s="118">
        <f t="shared" ref="AX7172" si="10262">SUM(AR7172:AW7172)</f>
        <v>751050</v>
      </c>
      <c r="AY7172" s="119"/>
      <c r="AZ7172" s="137">
        <v>46154</v>
      </c>
    </row>
    <row r="7173" spans="1:52" ht="16.5" customHeight="1" thickBot="1">
      <c r="A7173" s="110"/>
      <c r="B7173" s="27" t="s">
        <v>2131</v>
      </c>
      <c r="C7173" s="27">
        <v>3479</v>
      </c>
      <c r="D7173" s="14" t="s">
        <v>2325</v>
      </c>
      <c r="E7173" s="112"/>
      <c r="F7173" s="139" t="s">
        <v>20410</v>
      </c>
      <c r="G7173" s="140"/>
      <c r="H7173" s="141"/>
      <c r="I7173" s="26">
        <v>40136</v>
      </c>
      <c r="J7173" s="117"/>
      <c r="K7173" s="120"/>
      <c r="L7173" s="121"/>
      <c r="M7173" s="120"/>
      <c r="N7173" s="121"/>
      <c r="O7173" s="120"/>
      <c r="P7173" s="121"/>
      <c r="Q7173" s="120"/>
      <c r="R7173" s="121"/>
      <c r="S7173" s="120"/>
      <c r="T7173" s="121"/>
      <c r="U7173" s="120"/>
      <c r="V7173" s="123"/>
      <c r="W7173" s="125"/>
      <c r="X7173" s="142" t="s">
        <v>8383</v>
      </c>
      <c r="Y7173" s="143"/>
      <c r="Z7173" s="143"/>
      <c r="AA7173" s="143"/>
      <c r="AB7173" s="144"/>
      <c r="AC7173" s="16" t="s">
        <v>21</v>
      </c>
      <c r="AD7173" s="17" t="s">
        <v>2382</v>
      </c>
      <c r="AE7173" s="145" t="s">
        <v>25295</v>
      </c>
      <c r="AF7173" s="146"/>
      <c r="AG7173" s="146"/>
      <c r="AH7173" s="146"/>
      <c r="AI7173" s="147"/>
      <c r="AJ7173" s="148"/>
      <c r="AK7173" s="143"/>
      <c r="AL7173" s="144"/>
      <c r="AM7173" s="22"/>
      <c r="AN7173" s="149" t="s">
        <v>25047</v>
      </c>
      <c r="AO7173" s="144"/>
      <c r="AP7173" s="148">
        <v>60127</v>
      </c>
      <c r="AQ7173" s="144"/>
      <c r="AR7173" s="120"/>
      <c r="AS7173" s="121"/>
      <c r="AT7173" s="120"/>
      <c r="AU7173" s="121"/>
      <c r="AV7173" s="120"/>
      <c r="AW7173" s="121"/>
      <c r="AX7173" s="120"/>
      <c r="AY7173" s="121"/>
      <c r="AZ7173" s="138"/>
    </row>
    <row r="7174" spans="1:52" ht="17.100000000000001" customHeight="1" thickTop="1">
      <c r="A7174" s="109" t="s">
        <v>20381</v>
      </c>
      <c r="B7174" s="28">
        <v>46098</v>
      </c>
      <c r="C7174" s="25">
        <v>1933</v>
      </c>
      <c r="D7174" s="13" t="s">
        <v>1695</v>
      </c>
      <c r="E7174" s="111"/>
      <c r="F7174" s="113" t="s">
        <v>17569</v>
      </c>
      <c r="G7174" s="114"/>
      <c r="H7174" s="115"/>
      <c r="I7174" s="24"/>
      <c r="J7174" s="116">
        <v>4</v>
      </c>
      <c r="K7174" s="118">
        <v>425000</v>
      </c>
      <c r="L7174" s="119"/>
      <c r="M7174" s="118">
        <f t="shared" ref="M7174" si="10263">K7174*0.1</f>
        <v>42500</v>
      </c>
      <c r="N7174" s="119"/>
      <c r="O7174" s="118">
        <v>0</v>
      </c>
      <c r="P7174" s="119"/>
      <c r="Q7174" s="118">
        <v>17940</v>
      </c>
      <c r="R7174" s="119"/>
      <c r="S7174" s="118">
        <v>15950</v>
      </c>
      <c r="T7174" s="119"/>
      <c r="U7174" s="118">
        <f t="shared" ref="U7174" si="10264">SUM(K7174:T7175)</f>
        <v>501390</v>
      </c>
      <c r="V7174" s="122"/>
      <c r="W7174" s="124"/>
      <c r="X7174" s="126" t="s">
        <v>20609</v>
      </c>
      <c r="Y7174" s="127"/>
      <c r="Z7174" s="127"/>
      <c r="AA7174" s="127"/>
      <c r="AB7174" s="128"/>
      <c r="AC7174" s="15" t="s">
        <v>20</v>
      </c>
      <c r="AD7174" s="129"/>
      <c r="AE7174" s="130"/>
      <c r="AF7174" s="130"/>
      <c r="AG7174" s="130"/>
      <c r="AH7174" s="130"/>
      <c r="AI7174" s="131"/>
      <c r="AJ7174" s="132"/>
      <c r="AK7174" s="127"/>
      <c r="AL7174" s="128"/>
      <c r="AM7174" s="21"/>
      <c r="AN7174" s="133">
        <v>46102</v>
      </c>
      <c r="AO7174" s="134"/>
      <c r="AP7174" s="135">
        <v>1293</v>
      </c>
      <c r="AQ7174" s="136"/>
      <c r="AR7174" s="118">
        <v>550000</v>
      </c>
      <c r="AS7174" s="119"/>
      <c r="AT7174" s="118">
        <f t="shared" ref="AT7174" si="10265">AR7174*0.1</f>
        <v>55000</v>
      </c>
      <c r="AU7174" s="119"/>
      <c r="AV7174" s="118">
        <v>17940</v>
      </c>
      <c r="AW7174" s="119"/>
      <c r="AX7174" s="118">
        <f t="shared" ref="AX7174" si="10266">SUM(AR7174:AW7174)</f>
        <v>622940</v>
      </c>
      <c r="AY7174" s="119"/>
      <c r="AZ7174" s="137">
        <v>46105</v>
      </c>
    </row>
    <row r="7175" spans="1:52" ht="17.100000000000001" customHeight="1" thickBot="1">
      <c r="A7175" s="110"/>
      <c r="B7175" s="27" t="s">
        <v>2131</v>
      </c>
      <c r="C7175" s="27">
        <v>5003</v>
      </c>
      <c r="D7175" s="14" t="s">
        <v>1592</v>
      </c>
      <c r="E7175" s="112"/>
      <c r="F7175" s="139" t="s">
        <v>20428</v>
      </c>
      <c r="G7175" s="140"/>
      <c r="H7175" s="141"/>
      <c r="I7175" s="26">
        <v>58809</v>
      </c>
      <c r="J7175" s="117"/>
      <c r="K7175" s="120"/>
      <c r="L7175" s="121"/>
      <c r="M7175" s="120"/>
      <c r="N7175" s="121"/>
      <c r="O7175" s="120"/>
      <c r="P7175" s="121"/>
      <c r="Q7175" s="120"/>
      <c r="R7175" s="121"/>
      <c r="S7175" s="120"/>
      <c r="T7175" s="121"/>
      <c r="U7175" s="120"/>
      <c r="V7175" s="123"/>
      <c r="W7175" s="125"/>
      <c r="X7175" s="142" t="s">
        <v>16796</v>
      </c>
      <c r="Y7175" s="143"/>
      <c r="Z7175" s="143"/>
      <c r="AA7175" s="143"/>
      <c r="AB7175" s="144"/>
      <c r="AC7175" s="16" t="s">
        <v>21</v>
      </c>
      <c r="AD7175" s="17" t="s">
        <v>2382</v>
      </c>
      <c r="AE7175" s="145" t="s">
        <v>1742</v>
      </c>
      <c r="AF7175" s="146"/>
      <c r="AG7175" s="146"/>
      <c r="AH7175" s="146"/>
      <c r="AI7175" s="147"/>
      <c r="AJ7175" s="148"/>
      <c r="AK7175" s="143"/>
      <c r="AL7175" s="144"/>
      <c r="AM7175" s="22"/>
      <c r="AN7175" s="149" t="s">
        <v>2511</v>
      </c>
      <c r="AO7175" s="144"/>
      <c r="AP7175" s="148">
        <v>80292</v>
      </c>
      <c r="AQ7175" s="144"/>
      <c r="AR7175" s="120"/>
      <c r="AS7175" s="121"/>
      <c r="AT7175" s="120"/>
      <c r="AU7175" s="121"/>
      <c r="AV7175" s="120"/>
      <c r="AW7175" s="121"/>
      <c r="AX7175" s="120"/>
      <c r="AY7175" s="121"/>
      <c r="AZ7175" s="138"/>
    </row>
    <row r="7176" spans="1:52" ht="16.5" customHeight="1" thickTop="1">
      <c r="A7176" s="109" t="s">
        <v>20382</v>
      </c>
      <c r="B7176" s="28">
        <v>46098</v>
      </c>
      <c r="C7176" s="25">
        <v>1933</v>
      </c>
      <c r="D7176" s="13" t="s">
        <v>1855</v>
      </c>
      <c r="E7176" s="111"/>
      <c r="F7176" s="113" t="s">
        <v>15997</v>
      </c>
      <c r="G7176" s="114"/>
      <c r="H7176" s="115"/>
      <c r="I7176" s="24"/>
      <c r="J7176" s="116">
        <v>3.5</v>
      </c>
      <c r="K7176" s="118">
        <v>313000</v>
      </c>
      <c r="L7176" s="119"/>
      <c r="M7176" s="118">
        <f t="shared" ref="M7176" si="10267">K7176*0.1</f>
        <v>31300</v>
      </c>
      <c r="N7176" s="119"/>
      <c r="O7176" s="118">
        <v>0</v>
      </c>
      <c r="P7176" s="119"/>
      <c r="Q7176" s="118">
        <v>8780</v>
      </c>
      <c r="R7176" s="119"/>
      <c r="S7176" s="118">
        <v>15950</v>
      </c>
      <c r="T7176" s="119"/>
      <c r="U7176" s="118">
        <f t="shared" ref="U7176" si="10268">SUM(K7176:T7177)</f>
        <v>369030</v>
      </c>
      <c r="V7176" s="122"/>
      <c r="W7176" s="124"/>
      <c r="X7176" s="126" t="s">
        <v>21045</v>
      </c>
      <c r="Y7176" s="127"/>
      <c r="Z7176" s="127"/>
      <c r="AA7176" s="127"/>
      <c r="AB7176" s="128"/>
      <c r="AC7176" s="15" t="s">
        <v>20</v>
      </c>
      <c r="AD7176" s="129" t="s">
        <v>1670</v>
      </c>
      <c r="AE7176" s="130"/>
      <c r="AF7176" s="130"/>
      <c r="AG7176" s="130"/>
      <c r="AH7176" s="130"/>
      <c r="AI7176" s="131"/>
      <c r="AJ7176" s="132"/>
      <c r="AK7176" s="127"/>
      <c r="AL7176" s="128"/>
      <c r="AM7176" s="21"/>
      <c r="AN7176" s="133">
        <v>46116</v>
      </c>
      <c r="AO7176" s="134"/>
      <c r="AP7176" s="135">
        <v>1295</v>
      </c>
      <c r="AQ7176" s="136"/>
      <c r="AR7176" s="118">
        <v>370000</v>
      </c>
      <c r="AS7176" s="119"/>
      <c r="AT7176" s="118">
        <f t="shared" ref="AT7176" si="10269">AR7176*0.1</f>
        <v>37000</v>
      </c>
      <c r="AU7176" s="119"/>
      <c r="AV7176" s="118">
        <v>8780</v>
      </c>
      <c r="AW7176" s="119"/>
      <c r="AX7176" s="118">
        <f t="shared" ref="AX7176" si="10270">SUM(AR7176:AW7176)</f>
        <v>415780</v>
      </c>
      <c r="AY7176" s="119"/>
      <c r="AZ7176" s="137">
        <v>46119</v>
      </c>
    </row>
    <row r="7177" spans="1:52" ht="17.100000000000001" customHeight="1" thickBot="1">
      <c r="A7177" s="110"/>
      <c r="B7177" s="27" t="s">
        <v>2131</v>
      </c>
      <c r="C7177" s="27">
        <v>5431</v>
      </c>
      <c r="D7177" s="14" t="s">
        <v>133</v>
      </c>
      <c r="E7177" s="112"/>
      <c r="F7177" s="139" t="s">
        <v>20411</v>
      </c>
      <c r="G7177" s="140"/>
      <c r="H7177" s="141"/>
      <c r="I7177" s="26">
        <v>58485</v>
      </c>
      <c r="J7177" s="117"/>
      <c r="K7177" s="120"/>
      <c r="L7177" s="121"/>
      <c r="M7177" s="120"/>
      <c r="N7177" s="121"/>
      <c r="O7177" s="120"/>
      <c r="P7177" s="121"/>
      <c r="Q7177" s="120"/>
      <c r="R7177" s="121"/>
      <c r="S7177" s="120"/>
      <c r="T7177" s="121"/>
      <c r="U7177" s="120"/>
      <c r="V7177" s="123"/>
      <c r="W7177" s="125"/>
      <c r="X7177" s="142" t="s">
        <v>21046</v>
      </c>
      <c r="Y7177" s="143"/>
      <c r="Z7177" s="143"/>
      <c r="AA7177" s="143"/>
      <c r="AB7177" s="144"/>
      <c r="AC7177" s="16" t="s">
        <v>21</v>
      </c>
      <c r="AD7177" s="17" t="s">
        <v>21034</v>
      </c>
      <c r="AE7177" s="145" t="s">
        <v>14182</v>
      </c>
      <c r="AF7177" s="146"/>
      <c r="AG7177" s="146"/>
      <c r="AH7177" s="146"/>
      <c r="AI7177" s="147"/>
      <c r="AJ7177" s="148"/>
      <c r="AK7177" s="143"/>
      <c r="AL7177" s="144"/>
      <c r="AM7177" s="22"/>
      <c r="AN7177" s="149" t="s">
        <v>2511</v>
      </c>
      <c r="AO7177" s="144"/>
      <c r="AP7177" s="148">
        <v>60193</v>
      </c>
      <c r="AQ7177" s="144"/>
      <c r="AR7177" s="120"/>
      <c r="AS7177" s="121"/>
      <c r="AT7177" s="120"/>
      <c r="AU7177" s="121"/>
      <c r="AV7177" s="120"/>
      <c r="AW7177" s="121"/>
      <c r="AX7177" s="120"/>
      <c r="AY7177" s="121"/>
      <c r="AZ7177" s="138"/>
    </row>
    <row r="7178" spans="1:52" ht="17.100000000000001" customHeight="1" thickTop="1">
      <c r="A7178" s="151" t="s">
        <v>20383</v>
      </c>
      <c r="B7178" s="28">
        <v>46098</v>
      </c>
      <c r="C7178" s="25">
        <v>931</v>
      </c>
      <c r="D7178" s="13" t="s">
        <v>1586</v>
      </c>
      <c r="E7178" s="111"/>
      <c r="F7178" s="113" t="s">
        <v>15962</v>
      </c>
      <c r="G7178" s="114"/>
      <c r="H7178" s="115"/>
      <c r="I7178" s="24"/>
      <c r="J7178" s="116">
        <v>4</v>
      </c>
      <c r="K7178" s="118">
        <v>808000</v>
      </c>
      <c r="L7178" s="119"/>
      <c r="M7178" s="118">
        <f t="shared" ref="M7178" si="10271">K7178*0.1</f>
        <v>80800</v>
      </c>
      <c r="N7178" s="119"/>
      <c r="O7178" s="118">
        <v>0</v>
      </c>
      <c r="P7178" s="119"/>
      <c r="Q7178" s="118">
        <v>9080</v>
      </c>
      <c r="R7178" s="119"/>
      <c r="S7178" s="118">
        <v>15950</v>
      </c>
      <c r="T7178" s="119"/>
      <c r="U7178" s="118">
        <f t="shared" ref="U7178" si="10272">SUM(K7178:T7179)</f>
        <v>913830</v>
      </c>
      <c r="V7178" s="122"/>
      <c r="W7178" s="124"/>
      <c r="X7178" s="126" t="s">
        <v>20616</v>
      </c>
      <c r="Y7178" s="127"/>
      <c r="Z7178" s="127"/>
      <c r="AA7178" s="127"/>
      <c r="AB7178" s="128"/>
      <c r="AC7178" s="15" t="s">
        <v>20</v>
      </c>
      <c r="AD7178" s="129" t="s">
        <v>20429</v>
      </c>
      <c r="AE7178" s="130"/>
      <c r="AF7178" s="130"/>
      <c r="AG7178" s="130"/>
      <c r="AH7178" s="130"/>
      <c r="AI7178" s="131"/>
      <c r="AJ7178" s="132" t="s">
        <v>21929</v>
      </c>
      <c r="AK7178" s="127"/>
      <c r="AL7178" s="128"/>
      <c r="AM7178" s="21"/>
      <c r="AN7178" s="133"/>
      <c r="AO7178" s="134"/>
      <c r="AP7178" s="135"/>
      <c r="AQ7178" s="136"/>
      <c r="AR7178" s="118"/>
      <c r="AS7178" s="119"/>
      <c r="AT7178" s="118">
        <f t="shared" ref="AT7178" si="10273">AR7178*0.1</f>
        <v>0</v>
      </c>
      <c r="AU7178" s="119"/>
      <c r="AV7178" s="118"/>
      <c r="AW7178" s="119"/>
      <c r="AX7178" s="118">
        <f t="shared" ref="AX7178" si="10274">SUM(AR7178:AW7178)</f>
        <v>0</v>
      </c>
      <c r="AY7178" s="119"/>
      <c r="AZ7178" s="137"/>
    </row>
    <row r="7179" spans="1:52" ht="17.100000000000001" customHeight="1" thickBot="1">
      <c r="A7179" s="152"/>
      <c r="B7179" s="27" t="s">
        <v>2699</v>
      </c>
      <c r="C7179" s="27">
        <v>3032</v>
      </c>
      <c r="D7179" s="14" t="s">
        <v>275</v>
      </c>
      <c r="E7179" s="112"/>
      <c r="F7179" s="139" t="s">
        <v>20412</v>
      </c>
      <c r="G7179" s="140"/>
      <c r="H7179" s="141"/>
      <c r="I7179" s="26">
        <v>70946</v>
      </c>
      <c r="J7179" s="117"/>
      <c r="K7179" s="120"/>
      <c r="L7179" s="121"/>
      <c r="M7179" s="120"/>
      <c r="N7179" s="121"/>
      <c r="O7179" s="120"/>
      <c r="P7179" s="121"/>
      <c r="Q7179" s="120"/>
      <c r="R7179" s="121"/>
      <c r="S7179" s="120"/>
      <c r="T7179" s="121"/>
      <c r="U7179" s="120"/>
      <c r="V7179" s="123"/>
      <c r="W7179" s="125"/>
      <c r="X7179" s="142" t="s">
        <v>20617</v>
      </c>
      <c r="Y7179" s="143"/>
      <c r="Z7179" s="143"/>
      <c r="AA7179" s="143"/>
      <c r="AB7179" s="144"/>
      <c r="AC7179" s="16" t="s">
        <v>21</v>
      </c>
      <c r="AD7179" s="17" t="s">
        <v>2382</v>
      </c>
      <c r="AE7179" s="145" t="s">
        <v>11098</v>
      </c>
      <c r="AF7179" s="146"/>
      <c r="AG7179" s="146"/>
      <c r="AH7179" s="146"/>
      <c r="AI7179" s="147"/>
      <c r="AJ7179" s="148"/>
      <c r="AK7179" s="143"/>
      <c r="AL7179" s="144"/>
      <c r="AM7179" s="22"/>
      <c r="AN7179" s="149"/>
      <c r="AO7179" s="144"/>
      <c r="AP7179" s="148"/>
      <c r="AQ7179" s="144"/>
      <c r="AR7179" s="120"/>
      <c r="AS7179" s="121"/>
      <c r="AT7179" s="120"/>
      <c r="AU7179" s="121"/>
      <c r="AV7179" s="120"/>
      <c r="AW7179" s="121"/>
      <c r="AX7179" s="120"/>
      <c r="AY7179" s="121"/>
      <c r="AZ7179" s="138"/>
    </row>
    <row r="7180" spans="1:52" ht="17.100000000000001" customHeight="1" thickTop="1">
      <c r="A7180" s="109" t="s">
        <v>20394</v>
      </c>
      <c r="B7180" s="28">
        <v>46098</v>
      </c>
      <c r="C7180" s="25">
        <v>931</v>
      </c>
      <c r="D7180" s="13" t="s">
        <v>2681</v>
      </c>
      <c r="E7180" s="111"/>
      <c r="F7180" s="113" t="s">
        <v>20413</v>
      </c>
      <c r="G7180" s="114"/>
      <c r="H7180" s="115"/>
      <c r="I7180" s="24" t="s">
        <v>2064</v>
      </c>
      <c r="J7180" s="116">
        <v>4.5</v>
      </c>
      <c r="K7180" s="118">
        <v>1165000</v>
      </c>
      <c r="L7180" s="119"/>
      <c r="M7180" s="118">
        <f t="shared" ref="M7180" si="10275">K7180*0.1</f>
        <v>116500</v>
      </c>
      <c r="N7180" s="119"/>
      <c r="O7180" s="118">
        <v>10800</v>
      </c>
      <c r="P7180" s="119"/>
      <c r="Q7180" s="118">
        <v>8740</v>
      </c>
      <c r="R7180" s="119"/>
      <c r="S7180" s="118">
        <v>15950</v>
      </c>
      <c r="T7180" s="119"/>
      <c r="U7180" s="118">
        <f t="shared" ref="U7180" si="10276">SUM(K7180:T7181)</f>
        <v>1316990</v>
      </c>
      <c r="V7180" s="122"/>
      <c r="W7180" s="124"/>
      <c r="X7180" s="126" t="s">
        <v>20430</v>
      </c>
      <c r="Y7180" s="127"/>
      <c r="Z7180" s="127"/>
      <c r="AA7180" s="127"/>
      <c r="AB7180" s="128"/>
      <c r="AC7180" s="15" t="s">
        <v>20</v>
      </c>
      <c r="AD7180" s="129" t="s">
        <v>4435</v>
      </c>
      <c r="AE7180" s="130"/>
      <c r="AF7180" s="130"/>
      <c r="AG7180" s="130"/>
      <c r="AH7180" s="130"/>
      <c r="AI7180" s="131"/>
      <c r="AJ7180" s="132"/>
      <c r="AK7180" s="127"/>
      <c r="AL7180" s="128"/>
      <c r="AM7180" s="21"/>
      <c r="AN7180" s="133">
        <v>46116</v>
      </c>
      <c r="AO7180" s="134"/>
      <c r="AP7180" s="135">
        <v>1295</v>
      </c>
      <c r="AQ7180" s="136"/>
      <c r="AR7180" s="118">
        <v>1215000</v>
      </c>
      <c r="AS7180" s="119"/>
      <c r="AT7180" s="118">
        <f t="shared" ref="AT7180" si="10277">AR7180*0.1</f>
        <v>121500</v>
      </c>
      <c r="AU7180" s="119"/>
      <c r="AV7180" s="118">
        <v>8470</v>
      </c>
      <c r="AW7180" s="119"/>
      <c r="AX7180" s="118">
        <f t="shared" ref="AX7180" si="10278">SUM(AR7180:AW7180)</f>
        <v>1344970</v>
      </c>
      <c r="AY7180" s="119"/>
      <c r="AZ7180" s="137">
        <v>46119</v>
      </c>
    </row>
    <row r="7181" spans="1:52" ht="17.100000000000001" customHeight="1" thickBot="1">
      <c r="A7181" s="110"/>
      <c r="B7181" s="27" t="s">
        <v>2699</v>
      </c>
      <c r="C7181" s="27">
        <v>3050</v>
      </c>
      <c r="D7181" s="14" t="s">
        <v>2601</v>
      </c>
      <c r="E7181" s="112"/>
      <c r="F7181" s="139" t="s">
        <v>20414</v>
      </c>
      <c r="G7181" s="140"/>
      <c r="H7181" s="141"/>
      <c r="I7181" s="26">
        <v>50924</v>
      </c>
      <c r="J7181" s="117"/>
      <c r="K7181" s="120"/>
      <c r="L7181" s="121"/>
      <c r="M7181" s="120"/>
      <c r="N7181" s="121"/>
      <c r="O7181" s="120"/>
      <c r="P7181" s="121"/>
      <c r="Q7181" s="120"/>
      <c r="R7181" s="121"/>
      <c r="S7181" s="120"/>
      <c r="T7181" s="121"/>
      <c r="U7181" s="120"/>
      <c r="V7181" s="123"/>
      <c r="W7181" s="125"/>
      <c r="X7181" s="142" t="s">
        <v>14357</v>
      </c>
      <c r="Y7181" s="143"/>
      <c r="Z7181" s="143"/>
      <c r="AA7181" s="143"/>
      <c r="AB7181" s="144"/>
      <c r="AC7181" s="16" t="s">
        <v>21</v>
      </c>
      <c r="AD7181" s="17" t="s">
        <v>2382</v>
      </c>
      <c r="AE7181" s="145" t="s">
        <v>171</v>
      </c>
      <c r="AF7181" s="146"/>
      <c r="AG7181" s="146"/>
      <c r="AH7181" s="146"/>
      <c r="AI7181" s="147"/>
      <c r="AJ7181" s="148"/>
      <c r="AK7181" s="143"/>
      <c r="AL7181" s="144"/>
      <c r="AM7181" s="22"/>
      <c r="AN7181" s="149" t="s">
        <v>2511</v>
      </c>
      <c r="AO7181" s="144"/>
      <c r="AP7181" s="148">
        <v>60269</v>
      </c>
      <c r="AQ7181" s="144"/>
      <c r="AR7181" s="120"/>
      <c r="AS7181" s="121"/>
      <c r="AT7181" s="120"/>
      <c r="AU7181" s="121"/>
      <c r="AV7181" s="120"/>
      <c r="AW7181" s="121"/>
      <c r="AX7181" s="120"/>
      <c r="AY7181" s="121"/>
      <c r="AZ7181" s="138"/>
    </row>
    <row r="7182" spans="1:52" ht="17.100000000000001" customHeight="1" thickTop="1">
      <c r="A7182" s="109" t="s">
        <v>20395</v>
      </c>
      <c r="B7182" s="28">
        <v>46098</v>
      </c>
      <c r="C7182" s="25">
        <v>931</v>
      </c>
      <c r="D7182" s="13" t="s">
        <v>2001</v>
      </c>
      <c r="E7182" s="111"/>
      <c r="F7182" s="113" t="s">
        <v>15287</v>
      </c>
      <c r="G7182" s="114"/>
      <c r="H7182" s="115"/>
      <c r="I7182" s="24" t="s">
        <v>4314</v>
      </c>
      <c r="J7182" s="116">
        <v>4</v>
      </c>
      <c r="K7182" s="118">
        <v>1087000</v>
      </c>
      <c r="L7182" s="119"/>
      <c r="M7182" s="118">
        <f t="shared" ref="M7182" si="10279">K7182*0.1</f>
        <v>108700</v>
      </c>
      <c r="N7182" s="119"/>
      <c r="O7182" s="118">
        <v>5000</v>
      </c>
      <c r="P7182" s="119"/>
      <c r="Q7182" s="118">
        <v>6860</v>
      </c>
      <c r="R7182" s="119"/>
      <c r="S7182" s="118">
        <v>15950</v>
      </c>
      <c r="T7182" s="119"/>
      <c r="U7182" s="118">
        <f t="shared" ref="U7182" si="10280">SUM(K7182:T7183)</f>
        <v>1223510</v>
      </c>
      <c r="V7182" s="122"/>
      <c r="W7182" s="124"/>
      <c r="X7182" s="126" t="s">
        <v>20431</v>
      </c>
      <c r="Y7182" s="127"/>
      <c r="Z7182" s="127"/>
      <c r="AA7182" s="127"/>
      <c r="AB7182" s="128"/>
      <c r="AC7182" s="15" t="s">
        <v>20</v>
      </c>
      <c r="AD7182" s="129" t="s">
        <v>20432</v>
      </c>
      <c r="AE7182" s="130"/>
      <c r="AF7182" s="130"/>
      <c r="AG7182" s="130"/>
      <c r="AH7182" s="130"/>
      <c r="AI7182" s="131"/>
      <c r="AJ7182" s="132"/>
      <c r="AK7182" s="127"/>
      <c r="AL7182" s="128"/>
      <c r="AM7182" s="21"/>
      <c r="AN7182" s="133">
        <v>46109</v>
      </c>
      <c r="AO7182" s="134"/>
      <c r="AP7182" s="135">
        <v>1294</v>
      </c>
      <c r="AQ7182" s="136"/>
      <c r="AR7182" s="118">
        <v>1165000</v>
      </c>
      <c r="AS7182" s="119"/>
      <c r="AT7182" s="118">
        <f t="shared" ref="AT7182" si="10281">AR7182*0.1</f>
        <v>116500</v>
      </c>
      <c r="AU7182" s="119"/>
      <c r="AV7182" s="118">
        <v>6860</v>
      </c>
      <c r="AW7182" s="119"/>
      <c r="AX7182" s="118">
        <f t="shared" ref="AX7182" si="10282">SUM(AR7182:AW7182)</f>
        <v>1288360</v>
      </c>
      <c r="AY7182" s="119"/>
      <c r="AZ7182" s="137">
        <v>46112</v>
      </c>
    </row>
    <row r="7183" spans="1:52" ht="17.100000000000001" customHeight="1" thickBot="1">
      <c r="A7183" s="110"/>
      <c r="B7183" s="27" t="s">
        <v>2699</v>
      </c>
      <c r="C7183" s="27">
        <v>3055</v>
      </c>
      <c r="D7183" s="14" t="s">
        <v>904</v>
      </c>
      <c r="E7183" s="112"/>
      <c r="F7183" s="139" t="s">
        <v>20415</v>
      </c>
      <c r="G7183" s="140"/>
      <c r="H7183" s="141"/>
      <c r="I7183" s="26">
        <v>23273</v>
      </c>
      <c r="J7183" s="117"/>
      <c r="K7183" s="120"/>
      <c r="L7183" s="121"/>
      <c r="M7183" s="120"/>
      <c r="N7183" s="121"/>
      <c r="O7183" s="120"/>
      <c r="P7183" s="121"/>
      <c r="Q7183" s="120"/>
      <c r="R7183" s="121"/>
      <c r="S7183" s="120"/>
      <c r="T7183" s="121"/>
      <c r="U7183" s="120"/>
      <c r="V7183" s="123"/>
      <c r="W7183" s="125"/>
      <c r="X7183" s="142" t="s">
        <v>4928</v>
      </c>
      <c r="Y7183" s="143"/>
      <c r="Z7183" s="143"/>
      <c r="AA7183" s="143"/>
      <c r="AB7183" s="144"/>
      <c r="AC7183" s="16" t="s">
        <v>21</v>
      </c>
      <c r="AD7183" s="17" t="s">
        <v>2382</v>
      </c>
      <c r="AE7183" s="145" t="s">
        <v>13654</v>
      </c>
      <c r="AF7183" s="146"/>
      <c r="AG7183" s="146"/>
      <c r="AH7183" s="146"/>
      <c r="AI7183" s="147"/>
      <c r="AJ7183" s="148"/>
      <c r="AK7183" s="143"/>
      <c r="AL7183" s="144"/>
      <c r="AM7183" s="22"/>
      <c r="AN7183" s="149" t="s">
        <v>21802</v>
      </c>
      <c r="AO7183" s="144"/>
      <c r="AP7183" s="148">
        <v>60216</v>
      </c>
      <c r="AQ7183" s="144"/>
      <c r="AR7183" s="120"/>
      <c r="AS7183" s="121"/>
      <c r="AT7183" s="120"/>
      <c r="AU7183" s="121"/>
      <c r="AV7183" s="120"/>
      <c r="AW7183" s="121"/>
      <c r="AX7183" s="120"/>
      <c r="AY7183" s="121"/>
      <c r="AZ7183" s="138"/>
    </row>
    <row r="7184" spans="1:52" ht="17.100000000000001" customHeight="1" thickTop="1">
      <c r="A7184" s="109" t="s">
        <v>20396</v>
      </c>
      <c r="B7184" s="28">
        <v>46098</v>
      </c>
      <c r="C7184" s="25">
        <v>931</v>
      </c>
      <c r="D7184" s="13" t="s">
        <v>4004</v>
      </c>
      <c r="E7184" s="111"/>
      <c r="F7184" s="113" t="s">
        <v>20416</v>
      </c>
      <c r="G7184" s="114"/>
      <c r="H7184" s="115"/>
      <c r="I7184" s="24"/>
      <c r="J7184" s="116">
        <v>4</v>
      </c>
      <c r="K7184" s="118">
        <v>754000</v>
      </c>
      <c r="L7184" s="119"/>
      <c r="M7184" s="118">
        <f t="shared" ref="M7184" si="10283">K7184*0.1</f>
        <v>75400</v>
      </c>
      <c r="N7184" s="119"/>
      <c r="O7184" s="118">
        <v>0</v>
      </c>
      <c r="P7184" s="119"/>
      <c r="Q7184" s="118">
        <v>9790</v>
      </c>
      <c r="R7184" s="119"/>
      <c r="S7184" s="118">
        <v>15950</v>
      </c>
      <c r="T7184" s="119"/>
      <c r="U7184" s="118">
        <f t="shared" ref="U7184" si="10284">SUM(K7184:T7185)</f>
        <v>855140</v>
      </c>
      <c r="V7184" s="122"/>
      <c r="W7184" s="124"/>
      <c r="X7184" s="126" t="s">
        <v>20618</v>
      </c>
      <c r="Y7184" s="127"/>
      <c r="Z7184" s="127"/>
      <c r="AA7184" s="127"/>
      <c r="AB7184" s="128"/>
      <c r="AC7184" s="15" t="s">
        <v>20</v>
      </c>
      <c r="AD7184" s="129"/>
      <c r="AE7184" s="130"/>
      <c r="AF7184" s="130"/>
      <c r="AG7184" s="130"/>
      <c r="AH7184" s="130"/>
      <c r="AI7184" s="131"/>
      <c r="AJ7184" s="132"/>
      <c r="AK7184" s="127"/>
      <c r="AL7184" s="128"/>
      <c r="AM7184" s="21"/>
      <c r="AN7184" s="133"/>
      <c r="AO7184" s="134"/>
      <c r="AP7184" s="135"/>
      <c r="AQ7184" s="136"/>
      <c r="AR7184" s="118"/>
      <c r="AS7184" s="119"/>
      <c r="AT7184" s="118">
        <f t="shared" ref="AT7184" si="10285">AR7184*0.1</f>
        <v>0</v>
      </c>
      <c r="AU7184" s="119"/>
      <c r="AV7184" s="118"/>
      <c r="AW7184" s="119"/>
      <c r="AX7184" s="118">
        <f t="shared" ref="AX7184" si="10286">SUM(AR7184:AW7184)</f>
        <v>0</v>
      </c>
      <c r="AY7184" s="119"/>
      <c r="AZ7184" s="137"/>
    </row>
    <row r="7185" spans="1:52" ht="17.100000000000001" customHeight="1" thickBot="1">
      <c r="A7185" s="110"/>
      <c r="B7185" s="27" t="s">
        <v>2699</v>
      </c>
      <c r="C7185" s="27">
        <v>3110</v>
      </c>
      <c r="D7185" s="14" t="s">
        <v>2601</v>
      </c>
      <c r="E7185" s="112"/>
      <c r="F7185" s="139" t="s">
        <v>20417</v>
      </c>
      <c r="G7185" s="140"/>
      <c r="H7185" s="141"/>
      <c r="I7185" s="26">
        <v>50062</v>
      </c>
      <c r="J7185" s="117"/>
      <c r="K7185" s="120"/>
      <c r="L7185" s="121"/>
      <c r="M7185" s="120"/>
      <c r="N7185" s="121"/>
      <c r="O7185" s="120"/>
      <c r="P7185" s="121"/>
      <c r="Q7185" s="120"/>
      <c r="R7185" s="121"/>
      <c r="S7185" s="120"/>
      <c r="T7185" s="121"/>
      <c r="U7185" s="120"/>
      <c r="V7185" s="123"/>
      <c r="W7185" s="125"/>
      <c r="X7185" s="142" t="s">
        <v>20617</v>
      </c>
      <c r="Y7185" s="143"/>
      <c r="Z7185" s="143"/>
      <c r="AA7185" s="143"/>
      <c r="AB7185" s="144"/>
      <c r="AC7185" s="16" t="s">
        <v>21</v>
      </c>
      <c r="AD7185" s="17" t="s">
        <v>2382</v>
      </c>
      <c r="AE7185" s="145" t="s">
        <v>21291</v>
      </c>
      <c r="AF7185" s="146"/>
      <c r="AG7185" s="146"/>
      <c r="AH7185" s="146"/>
      <c r="AI7185" s="147"/>
      <c r="AJ7185" s="148"/>
      <c r="AK7185" s="143"/>
      <c r="AL7185" s="144"/>
      <c r="AM7185" s="22"/>
      <c r="AN7185" s="149"/>
      <c r="AO7185" s="144"/>
      <c r="AP7185" s="148"/>
      <c r="AQ7185" s="144"/>
      <c r="AR7185" s="120"/>
      <c r="AS7185" s="121"/>
      <c r="AT7185" s="120"/>
      <c r="AU7185" s="121"/>
      <c r="AV7185" s="120"/>
      <c r="AW7185" s="121"/>
      <c r="AX7185" s="120"/>
      <c r="AY7185" s="121"/>
      <c r="AZ7185" s="138"/>
    </row>
    <row r="7186" spans="1:52" ht="17.100000000000001" customHeight="1" thickTop="1">
      <c r="A7186" s="109" t="s">
        <v>20397</v>
      </c>
      <c r="B7186" s="28">
        <v>46098</v>
      </c>
      <c r="C7186" s="25">
        <v>931</v>
      </c>
      <c r="D7186" s="13" t="s">
        <v>1977</v>
      </c>
      <c r="E7186" s="111"/>
      <c r="F7186" s="113" t="s">
        <v>4750</v>
      </c>
      <c r="G7186" s="114"/>
      <c r="H7186" s="115"/>
      <c r="I7186" s="24" t="s">
        <v>4109</v>
      </c>
      <c r="J7186" s="116">
        <v>3</v>
      </c>
      <c r="K7186" s="118">
        <v>387000</v>
      </c>
      <c r="L7186" s="119"/>
      <c r="M7186" s="118">
        <f t="shared" ref="M7186" si="10287">K7186*0.1</f>
        <v>38700</v>
      </c>
      <c r="N7186" s="119"/>
      <c r="O7186" s="118">
        <v>10800</v>
      </c>
      <c r="P7186" s="119"/>
      <c r="Q7186" s="118">
        <v>8400</v>
      </c>
      <c r="R7186" s="119"/>
      <c r="S7186" s="118">
        <v>15950</v>
      </c>
      <c r="T7186" s="119"/>
      <c r="U7186" s="118">
        <f t="shared" ref="U7186" si="10288">SUM(K7186:T7187)</f>
        <v>460850</v>
      </c>
      <c r="V7186" s="122"/>
      <c r="W7186" s="124"/>
      <c r="X7186" s="126" t="s">
        <v>20433</v>
      </c>
      <c r="Y7186" s="127"/>
      <c r="Z7186" s="127"/>
      <c r="AA7186" s="127"/>
      <c r="AB7186" s="128"/>
      <c r="AC7186" s="15" t="s">
        <v>20</v>
      </c>
      <c r="AD7186" s="129"/>
      <c r="AE7186" s="130"/>
      <c r="AF7186" s="130"/>
      <c r="AG7186" s="130"/>
      <c r="AH7186" s="130"/>
      <c r="AI7186" s="131"/>
      <c r="AJ7186" s="132"/>
      <c r="AK7186" s="127"/>
      <c r="AL7186" s="128"/>
      <c r="AM7186" s="21"/>
      <c r="AN7186" s="133">
        <v>46102</v>
      </c>
      <c r="AO7186" s="134"/>
      <c r="AP7186" s="135">
        <v>1293</v>
      </c>
      <c r="AQ7186" s="136"/>
      <c r="AR7186" s="118">
        <v>660000</v>
      </c>
      <c r="AS7186" s="119"/>
      <c r="AT7186" s="118">
        <f t="shared" ref="AT7186" si="10289">AR7186*0.1</f>
        <v>66000</v>
      </c>
      <c r="AU7186" s="119"/>
      <c r="AV7186" s="118">
        <v>8400</v>
      </c>
      <c r="AW7186" s="119"/>
      <c r="AX7186" s="118">
        <f t="shared" ref="AX7186" si="10290">SUM(AR7186:AW7186)</f>
        <v>734400</v>
      </c>
      <c r="AY7186" s="119"/>
      <c r="AZ7186" s="137">
        <v>46105</v>
      </c>
    </row>
    <row r="7187" spans="1:52" ht="17.100000000000001" customHeight="1" thickBot="1">
      <c r="A7187" s="110"/>
      <c r="B7187" s="27" t="s">
        <v>2699</v>
      </c>
      <c r="C7187" s="27">
        <v>3139</v>
      </c>
      <c r="D7187" s="14" t="s">
        <v>1720</v>
      </c>
      <c r="E7187" s="112"/>
      <c r="F7187" s="139" t="s">
        <v>20418</v>
      </c>
      <c r="G7187" s="140"/>
      <c r="H7187" s="141"/>
      <c r="I7187" s="26">
        <v>31090</v>
      </c>
      <c r="J7187" s="117"/>
      <c r="K7187" s="120"/>
      <c r="L7187" s="121"/>
      <c r="M7187" s="120"/>
      <c r="N7187" s="121"/>
      <c r="O7187" s="120"/>
      <c r="P7187" s="121"/>
      <c r="Q7187" s="120"/>
      <c r="R7187" s="121"/>
      <c r="S7187" s="120"/>
      <c r="T7187" s="121"/>
      <c r="U7187" s="120"/>
      <c r="V7187" s="123"/>
      <c r="W7187" s="125"/>
      <c r="X7187" s="142" t="s">
        <v>20921</v>
      </c>
      <c r="Y7187" s="143"/>
      <c r="Z7187" s="143"/>
      <c r="AA7187" s="143"/>
      <c r="AB7187" s="144"/>
      <c r="AC7187" s="16" t="s">
        <v>21</v>
      </c>
      <c r="AD7187" s="17" t="s">
        <v>20913</v>
      </c>
      <c r="AE7187" s="145"/>
      <c r="AF7187" s="146"/>
      <c r="AG7187" s="146"/>
      <c r="AH7187" s="146"/>
      <c r="AI7187" s="147"/>
      <c r="AJ7187" s="148"/>
      <c r="AK7187" s="143"/>
      <c r="AL7187" s="144"/>
      <c r="AM7187" s="22"/>
      <c r="AN7187" s="149" t="s">
        <v>2511</v>
      </c>
      <c r="AO7187" s="144"/>
      <c r="AP7187" s="148">
        <v>60511</v>
      </c>
      <c r="AQ7187" s="144"/>
      <c r="AR7187" s="120"/>
      <c r="AS7187" s="121"/>
      <c r="AT7187" s="120"/>
      <c r="AU7187" s="121"/>
      <c r="AV7187" s="120"/>
      <c r="AW7187" s="121"/>
      <c r="AX7187" s="120"/>
      <c r="AY7187" s="121"/>
      <c r="AZ7187" s="138"/>
    </row>
    <row r="7188" spans="1:52" ht="17.100000000000001" customHeight="1" thickTop="1">
      <c r="A7188" s="109" t="s">
        <v>20398</v>
      </c>
      <c r="B7188" s="28">
        <v>46098</v>
      </c>
      <c r="C7188" s="25">
        <v>931</v>
      </c>
      <c r="D7188" s="13" t="s">
        <v>1714</v>
      </c>
      <c r="E7188" s="111"/>
      <c r="F7188" s="113" t="s">
        <v>20419</v>
      </c>
      <c r="G7188" s="114"/>
      <c r="H7188" s="115"/>
      <c r="I7188" s="24"/>
      <c r="J7188" s="116">
        <v>4.5</v>
      </c>
      <c r="K7188" s="118">
        <v>3109000</v>
      </c>
      <c r="L7188" s="119"/>
      <c r="M7188" s="118">
        <f t="shared" ref="M7188" si="10291">K7188*0.1</f>
        <v>310900</v>
      </c>
      <c r="N7188" s="119"/>
      <c r="O7188" s="118">
        <v>0</v>
      </c>
      <c r="P7188" s="119"/>
      <c r="Q7188" s="118">
        <v>21020</v>
      </c>
      <c r="R7188" s="119"/>
      <c r="S7188" s="118">
        <v>15950</v>
      </c>
      <c r="T7188" s="119"/>
      <c r="U7188" s="118">
        <f t="shared" ref="U7188" si="10292">SUM(K7188:T7189)</f>
        <v>3456870</v>
      </c>
      <c r="V7188" s="122"/>
      <c r="W7188" s="124"/>
      <c r="X7188" s="126" t="s">
        <v>20604</v>
      </c>
      <c r="Y7188" s="127"/>
      <c r="Z7188" s="127"/>
      <c r="AA7188" s="127"/>
      <c r="AB7188" s="128"/>
      <c r="AC7188" s="15" t="s">
        <v>20</v>
      </c>
      <c r="AD7188" s="129"/>
      <c r="AE7188" s="130"/>
      <c r="AF7188" s="130"/>
      <c r="AG7188" s="130"/>
      <c r="AH7188" s="130"/>
      <c r="AI7188" s="131"/>
      <c r="AJ7188" s="132"/>
      <c r="AK7188" s="127"/>
      <c r="AL7188" s="128"/>
      <c r="AM7188" s="21"/>
      <c r="AN7188" s="133">
        <v>46114</v>
      </c>
      <c r="AO7188" s="134"/>
      <c r="AP7188" s="135">
        <v>1325</v>
      </c>
      <c r="AQ7188" s="136"/>
      <c r="AR7188" s="118">
        <v>3330000</v>
      </c>
      <c r="AS7188" s="119"/>
      <c r="AT7188" s="118">
        <f t="shared" ref="AT7188" si="10293">AR7188*0.1</f>
        <v>333000</v>
      </c>
      <c r="AU7188" s="119"/>
      <c r="AV7188" s="118">
        <v>21020</v>
      </c>
      <c r="AW7188" s="119"/>
      <c r="AX7188" s="118">
        <f t="shared" ref="AX7188" si="10294">SUM(AR7188:AW7188)</f>
        <v>3684020</v>
      </c>
      <c r="AY7188" s="119"/>
      <c r="AZ7188" s="137">
        <v>46115</v>
      </c>
    </row>
    <row r="7189" spans="1:52" ht="17.100000000000001" customHeight="1" thickBot="1">
      <c r="A7189" s="110"/>
      <c r="B7189" s="27" t="s">
        <v>2699</v>
      </c>
      <c r="C7189" s="27">
        <v>5012</v>
      </c>
      <c r="D7189" s="14" t="s">
        <v>275</v>
      </c>
      <c r="E7189" s="112"/>
      <c r="F7189" s="139" t="s">
        <v>20434</v>
      </c>
      <c r="G7189" s="140"/>
      <c r="H7189" s="141"/>
      <c r="I7189" s="26">
        <v>54689</v>
      </c>
      <c r="J7189" s="117"/>
      <c r="K7189" s="120"/>
      <c r="L7189" s="121"/>
      <c r="M7189" s="120"/>
      <c r="N7189" s="121"/>
      <c r="O7189" s="120"/>
      <c r="P7189" s="121"/>
      <c r="Q7189" s="120"/>
      <c r="R7189" s="121"/>
      <c r="S7189" s="120"/>
      <c r="T7189" s="121"/>
      <c r="U7189" s="120"/>
      <c r="V7189" s="123"/>
      <c r="W7189" s="125"/>
      <c r="X7189" s="142" t="s">
        <v>3562</v>
      </c>
      <c r="Y7189" s="143"/>
      <c r="Z7189" s="143"/>
      <c r="AA7189" s="143"/>
      <c r="AB7189" s="144"/>
      <c r="AC7189" s="16" t="s">
        <v>21</v>
      </c>
      <c r="AD7189" s="17" t="s">
        <v>2382</v>
      </c>
      <c r="AE7189" s="145" t="s">
        <v>21297</v>
      </c>
      <c r="AF7189" s="146"/>
      <c r="AG7189" s="146"/>
      <c r="AH7189" s="146"/>
      <c r="AI7189" s="147"/>
      <c r="AJ7189" s="148"/>
      <c r="AK7189" s="143"/>
      <c r="AL7189" s="144"/>
      <c r="AM7189" s="22"/>
      <c r="AN7189" s="149" t="s">
        <v>14586</v>
      </c>
      <c r="AO7189" s="144"/>
      <c r="AP7189" s="148">
        <v>975</v>
      </c>
      <c r="AQ7189" s="144"/>
      <c r="AR7189" s="120"/>
      <c r="AS7189" s="121"/>
      <c r="AT7189" s="120"/>
      <c r="AU7189" s="121"/>
      <c r="AV7189" s="120"/>
      <c r="AW7189" s="121"/>
      <c r="AX7189" s="120"/>
      <c r="AY7189" s="121"/>
      <c r="AZ7189" s="138"/>
    </row>
    <row r="7190" spans="1:52" ht="17.100000000000001" customHeight="1" thickTop="1">
      <c r="A7190" s="109" t="s">
        <v>20399</v>
      </c>
      <c r="B7190" s="28">
        <v>46098</v>
      </c>
      <c r="C7190" s="25">
        <v>931</v>
      </c>
      <c r="D7190" s="13" t="s">
        <v>2616</v>
      </c>
      <c r="E7190" s="111"/>
      <c r="F7190" s="113" t="s">
        <v>2724</v>
      </c>
      <c r="G7190" s="114"/>
      <c r="H7190" s="115"/>
      <c r="I7190" s="24"/>
      <c r="J7190" s="116">
        <v>4</v>
      </c>
      <c r="K7190" s="118">
        <v>1390000</v>
      </c>
      <c r="L7190" s="119"/>
      <c r="M7190" s="118">
        <f t="shared" ref="M7190" si="10295">K7190*0.1</f>
        <v>139000</v>
      </c>
      <c r="N7190" s="119"/>
      <c r="O7190" s="118">
        <v>0</v>
      </c>
      <c r="P7190" s="119"/>
      <c r="Q7190" s="118">
        <v>17800</v>
      </c>
      <c r="R7190" s="119"/>
      <c r="S7190" s="118">
        <v>15950</v>
      </c>
      <c r="T7190" s="119"/>
      <c r="U7190" s="118">
        <f t="shared" ref="U7190" si="10296">SUM(K7190:T7191)</f>
        <v>1562750</v>
      </c>
      <c r="V7190" s="122"/>
      <c r="W7190" s="124"/>
      <c r="X7190" s="126" t="s">
        <v>20605</v>
      </c>
      <c r="Y7190" s="127"/>
      <c r="Z7190" s="127"/>
      <c r="AA7190" s="127"/>
      <c r="AB7190" s="128"/>
      <c r="AC7190" s="15" t="s">
        <v>20</v>
      </c>
      <c r="AD7190" s="129"/>
      <c r="AE7190" s="130"/>
      <c r="AF7190" s="130"/>
      <c r="AG7190" s="130"/>
      <c r="AH7190" s="130"/>
      <c r="AI7190" s="131"/>
      <c r="AJ7190" s="132"/>
      <c r="AK7190" s="127"/>
      <c r="AL7190" s="128"/>
      <c r="AM7190" s="21"/>
      <c r="AN7190" s="133">
        <v>46130</v>
      </c>
      <c r="AO7190" s="134"/>
      <c r="AP7190" s="135">
        <v>1297</v>
      </c>
      <c r="AQ7190" s="136"/>
      <c r="AR7190" s="118">
        <v>1520000</v>
      </c>
      <c r="AS7190" s="119"/>
      <c r="AT7190" s="118">
        <f t="shared" ref="AT7190" si="10297">AR7190*0.1</f>
        <v>152000</v>
      </c>
      <c r="AU7190" s="119"/>
      <c r="AV7190" s="118">
        <v>17800</v>
      </c>
      <c r="AW7190" s="119"/>
      <c r="AX7190" s="118">
        <f t="shared" ref="AX7190" si="10298">SUM(AR7190:AW7190)</f>
        <v>1689800</v>
      </c>
      <c r="AY7190" s="119"/>
      <c r="AZ7190" s="137">
        <v>46139</v>
      </c>
    </row>
    <row r="7191" spans="1:52" ht="17.100000000000001" customHeight="1" thickBot="1">
      <c r="A7191" s="110"/>
      <c r="B7191" s="27" t="s">
        <v>2699</v>
      </c>
      <c r="C7191" s="27">
        <v>30040</v>
      </c>
      <c r="D7191" s="14" t="s">
        <v>1635</v>
      </c>
      <c r="E7191" s="112"/>
      <c r="F7191" s="139" t="s">
        <v>20435</v>
      </c>
      <c r="G7191" s="140"/>
      <c r="H7191" s="141"/>
      <c r="I7191" s="26">
        <v>55620</v>
      </c>
      <c r="J7191" s="117"/>
      <c r="K7191" s="120"/>
      <c r="L7191" s="121"/>
      <c r="M7191" s="120"/>
      <c r="N7191" s="121"/>
      <c r="O7191" s="120"/>
      <c r="P7191" s="121"/>
      <c r="Q7191" s="120"/>
      <c r="R7191" s="121"/>
      <c r="S7191" s="120"/>
      <c r="T7191" s="121"/>
      <c r="U7191" s="120"/>
      <c r="V7191" s="123"/>
      <c r="W7191" s="125"/>
      <c r="X7191" s="142" t="s">
        <v>20606</v>
      </c>
      <c r="Y7191" s="143"/>
      <c r="Z7191" s="143"/>
      <c r="AA7191" s="143"/>
      <c r="AB7191" s="144"/>
      <c r="AC7191" s="16" t="s">
        <v>21</v>
      </c>
      <c r="AD7191" s="17" t="s">
        <v>2382</v>
      </c>
      <c r="AE7191" s="145" t="s">
        <v>7861</v>
      </c>
      <c r="AF7191" s="146"/>
      <c r="AG7191" s="146"/>
      <c r="AH7191" s="146"/>
      <c r="AI7191" s="147"/>
      <c r="AJ7191" s="148"/>
      <c r="AK7191" s="143"/>
      <c r="AL7191" s="144"/>
      <c r="AM7191" s="22"/>
      <c r="AN7191" s="149" t="s">
        <v>24092</v>
      </c>
      <c r="AO7191" s="144"/>
      <c r="AP7191" s="148">
        <v>80253</v>
      </c>
      <c r="AQ7191" s="144"/>
      <c r="AR7191" s="120"/>
      <c r="AS7191" s="121"/>
      <c r="AT7191" s="120"/>
      <c r="AU7191" s="121"/>
      <c r="AV7191" s="120"/>
      <c r="AW7191" s="121"/>
      <c r="AX7191" s="120"/>
      <c r="AY7191" s="121"/>
      <c r="AZ7191" s="138"/>
    </row>
    <row r="7192" spans="1:52" ht="17.100000000000001" customHeight="1" thickTop="1">
      <c r="A7192" s="109" t="s">
        <v>20400</v>
      </c>
      <c r="B7192" s="28">
        <v>3</v>
      </c>
      <c r="C7192" s="25">
        <v>1232</v>
      </c>
      <c r="D7192" s="13" t="s">
        <v>2036</v>
      </c>
      <c r="E7192" s="111"/>
      <c r="F7192" s="113" t="s">
        <v>20420</v>
      </c>
      <c r="G7192" s="114"/>
      <c r="H7192" s="115"/>
      <c r="I7192" s="24"/>
      <c r="J7192" s="116">
        <v>4</v>
      </c>
      <c r="K7192" s="118">
        <v>2419000</v>
      </c>
      <c r="L7192" s="119"/>
      <c r="M7192" s="118">
        <f t="shared" ref="M7192" si="10299">K7192*0.1</f>
        <v>241900</v>
      </c>
      <c r="N7192" s="119"/>
      <c r="O7192" s="118">
        <v>0</v>
      </c>
      <c r="P7192" s="119"/>
      <c r="Q7192" s="118">
        <v>15190</v>
      </c>
      <c r="R7192" s="119"/>
      <c r="S7192" s="118">
        <v>15950</v>
      </c>
      <c r="T7192" s="119"/>
      <c r="U7192" s="118">
        <f t="shared" ref="U7192" si="10300">SUM(K7192:T7193)</f>
        <v>2692040</v>
      </c>
      <c r="V7192" s="122"/>
      <c r="W7192" s="124"/>
      <c r="X7192" s="126" t="s">
        <v>21059</v>
      </c>
      <c r="Y7192" s="127"/>
      <c r="Z7192" s="127"/>
      <c r="AA7192" s="127"/>
      <c r="AB7192" s="128"/>
      <c r="AC7192" s="15" t="s">
        <v>20</v>
      </c>
      <c r="AD7192" s="129" t="s">
        <v>20437</v>
      </c>
      <c r="AE7192" s="130"/>
      <c r="AF7192" s="130"/>
      <c r="AG7192" s="130"/>
      <c r="AH7192" s="130"/>
      <c r="AI7192" s="131"/>
      <c r="AJ7192" s="132"/>
      <c r="AK7192" s="127"/>
      <c r="AL7192" s="128"/>
      <c r="AM7192" s="21"/>
      <c r="AN7192" s="133">
        <v>46116</v>
      </c>
      <c r="AO7192" s="134"/>
      <c r="AP7192" s="135">
        <v>1295</v>
      </c>
      <c r="AQ7192" s="136"/>
      <c r="AR7192" s="118">
        <v>2635000</v>
      </c>
      <c r="AS7192" s="119"/>
      <c r="AT7192" s="118">
        <f t="shared" ref="AT7192" si="10301">AR7192*0.1</f>
        <v>263500</v>
      </c>
      <c r="AU7192" s="119"/>
      <c r="AV7192" s="118">
        <v>15190</v>
      </c>
      <c r="AW7192" s="119"/>
      <c r="AX7192" s="118">
        <f t="shared" ref="AX7192" si="10302">SUM(AR7192:AW7192)</f>
        <v>2913690</v>
      </c>
      <c r="AY7192" s="119"/>
      <c r="AZ7192" s="137">
        <v>46119</v>
      </c>
    </row>
    <row r="7193" spans="1:52" ht="17.100000000000001" customHeight="1" thickBot="1">
      <c r="A7193" s="110"/>
      <c r="B7193" s="27" t="s">
        <v>2379</v>
      </c>
      <c r="C7193" s="27">
        <v>5058</v>
      </c>
      <c r="D7193" s="14" t="s">
        <v>275</v>
      </c>
      <c r="E7193" s="112"/>
      <c r="F7193" s="139" t="s">
        <v>20436</v>
      </c>
      <c r="G7193" s="140"/>
      <c r="H7193" s="141"/>
      <c r="I7193" s="26">
        <v>17588</v>
      </c>
      <c r="J7193" s="117"/>
      <c r="K7193" s="120"/>
      <c r="L7193" s="121"/>
      <c r="M7193" s="120"/>
      <c r="N7193" s="121"/>
      <c r="O7193" s="120"/>
      <c r="P7193" s="121"/>
      <c r="Q7193" s="120"/>
      <c r="R7193" s="121"/>
      <c r="S7193" s="120"/>
      <c r="T7193" s="121"/>
      <c r="U7193" s="120"/>
      <c r="V7193" s="123"/>
      <c r="W7193" s="125"/>
      <c r="X7193" s="142" t="s">
        <v>15633</v>
      </c>
      <c r="Y7193" s="143"/>
      <c r="Z7193" s="143"/>
      <c r="AA7193" s="143"/>
      <c r="AB7193" s="144"/>
      <c r="AC7193" s="16" t="s">
        <v>21</v>
      </c>
      <c r="AD7193" s="17" t="s">
        <v>21034</v>
      </c>
      <c r="AE7193" s="145" t="s">
        <v>4622</v>
      </c>
      <c r="AF7193" s="146"/>
      <c r="AG7193" s="146"/>
      <c r="AH7193" s="146"/>
      <c r="AI7193" s="147"/>
      <c r="AJ7193" s="148"/>
      <c r="AK7193" s="143"/>
      <c r="AL7193" s="144"/>
      <c r="AM7193" s="22"/>
      <c r="AN7193" s="149" t="s">
        <v>2511</v>
      </c>
      <c r="AO7193" s="144"/>
      <c r="AP7193" s="148">
        <v>80054</v>
      </c>
      <c r="AQ7193" s="144"/>
      <c r="AR7193" s="120"/>
      <c r="AS7193" s="121"/>
      <c r="AT7193" s="120"/>
      <c r="AU7193" s="121"/>
      <c r="AV7193" s="120"/>
      <c r="AW7193" s="121"/>
      <c r="AX7193" s="120"/>
      <c r="AY7193" s="121"/>
      <c r="AZ7193" s="138"/>
    </row>
    <row r="7194" spans="1:52" ht="17.100000000000001" customHeight="1" thickTop="1">
      <c r="A7194" s="109" t="s">
        <v>20401</v>
      </c>
      <c r="B7194" s="28">
        <v>46098</v>
      </c>
      <c r="C7194" s="25">
        <v>1232</v>
      </c>
      <c r="D7194" s="13" t="s">
        <v>1725</v>
      </c>
      <c r="E7194" s="111"/>
      <c r="F7194" s="113" t="s">
        <v>10446</v>
      </c>
      <c r="G7194" s="114"/>
      <c r="H7194" s="115"/>
      <c r="I7194" s="24"/>
      <c r="J7194" s="116">
        <v>4</v>
      </c>
      <c r="K7194" s="118">
        <v>461000</v>
      </c>
      <c r="L7194" s="119"/>
      <c r="M7194" s="118">
        <f t="shared" ref="M7194" si="10303">K7194*0.1</f>
        <v>46100</v>
      </c>
      <c r="N7194" s="119"/>
      <c r="O7194" s="118">
        <v>0</v>
      </c>
      <c r="P7194" s="119"/>
      <c r="Q7194" s="118">
        <v>12470</v>
      </c>
      <c r="R7194" s="119"/>
      <c r="S7194" s="118">
        <v>15950</v>
      </c>
      <c r="T7194" s="119"/>
      <c r="U7194" s="118">
        <f t="shared" ref="U7194" si="10304">SUM(K7194:T7195)</f>
        <v>535520</v>
      </c>
      <c r="V7194" s="122"/>
      <c r="W7194" s="124"/>
      <c r="X7194" s="126" t="s">
        <v>20610</v>
      </c>
      <c r="Y7194" s="127"/>
      <c r="Z7194" s="127"/>
      <c r="AA7194" s="127"/>
      <c r="AB7194" s="128"/>
      <c r="AC7194" s="15" t="s">
        <v>20</v>
      </c>
      <c r="AD7194" s="129"/>
      <c r="AE7194" s="130"/>
      <c r="AF7194" s="130"/>
      <c r="AG7194" s="130"/>
      <c r="AH7194" s="130"/>
      <c r="AI7194" s="131"/>
      <c r="AJ7194" s="132"/>
      <c r="AK7194" s="127"/>
      <c r="AL7194" s="128"/>
      <c r="AM7194" s="21"/>
      <c r="AN7194" s="133">
        <v>46116</v>
      </c>
      <c r="AO7194" s="134"/>
      <c r="AP7194" s="135">
        <v>1295</v>
      </c>
      <c r="AQ7194" s="136"/>
      <c r="AR7194" s="118">
        <v>690000</v>
      </c>
      <c r="AS7194" s="119"/>
      <c r="AT7194" s="118">
        <f t="shared" ref="AT7194" si="10305">AR7194*0.1</f>
        <v>69000</v>
      </c>
      <c r="AU7194" s="119"/>
      <c r="AV7194" s="118">
        <v>12470</v>
      </c>
      <c r="AW7194" s="119"/>
      <c r="AX7194" s="118">
        <f t="shared" ref="AX7194" si="10306">SUM(AR7194:AW7194)</f>
        <v>771470</v>
      </c>
      <c r="AY7194" s="119"/>
      <c r="AZ7194" s="137">
        <v>46119</v>
      </c>
    </row>
    <row r="7195" spans="1:52" ht="17.100000000000001" customHeight="1" thickBot="1">
      <c r="A7195" s="110"/>
      <c r="B7195" s="27" t="s">
        <v>2379</v>
      </c>
      <c r="C7195" s="27">
        <v>30087</v>
      </c>
      <c r="D7195" s="14" t="s">
        <v>1592</v>
      </c>
      <c r="E7195" s="112"/>
      <c r="F7195" s="139" t="s">
        <v>20438</v>
      </c>
      <c r="G7195" s="140"/>
      <c r="H7195" s="141"/>
      <c r="I7195" s="26">
        <v>36584</v>
      </c>
      <c r="J7195" s="117"/>
      <c r="K7195" s="120"/>
      <c r="L7195" s="121"/>
      <c r="M7195" s="120"/>
      <c r="N7195" s="121"/>
      <c r="O7195" s="120"/>
      <c r="P7195" s="121"/>
      <c r="Q7195" s="120"/>
      <c r="R7195" s="121"/>
      <c r="S7195" s="120"/>
      <c r="T7195" s="121"/>
      <c r="U7195" s="120"/>
      <c r="V7195" s="123"/>
      <c r="W7195" s="125"/>
      <c r="X7195" s="142" t="s">
        <v>16907</v>
      </c>
      <c r="Y7195" s="143"/>
      <c r="Z7195" s="143"/>
      <c r="AA7195" s="143"/>
      <c r="AB7195" s="144"/>
      <c r="AC7195" s="16" t="s">
        <v>21</v>
      </c>
      <c r="AD7195" s="17" t="s">
        <v>2382</v>
      </c>
      <c r="AE7195" s="145" t="s">
        <v>21296</v>
      </c>
      <c r="AF7195" s="146"/>
      <c r="AG7195" s="146"/>
      <c r="AH7195" s="146"/>
      <c r="AI7195" s="147"/>
      <c r="AJ7195" s="148"/>
      <c r="AK7195" s="143"/>
      <c r="AL7195" s="144"/>
      <c r="AM7195" s="22"/>
      <c r="AN7195" s="149" t="s">
        <v>2511</v>
      </c>
      <c r="AO7195" s="144"/>
      <c r="AP7195" s="148">
        <v>80047</v>
      </c>
      <c r="AQ7195" s="144"/>
      <c r="AR7195" s="120"/>
      <c r="AS7195" s="121"/>
      <c r="AT7195" s="120"/>
      <c r="AU7195" s="121"/>
      <c r="AV7195" s="120"/>
      <c r="AW7195" s="121"/>
      <c r="AX7195" s="120"/>
      <c r="AY7195" s="121"/>
      <c r="AZ7195" s="138"/>
    </row>
    <row r="7196" spans="1:52" ht="17.100000000000001" customHeight="1" thickTop="1">
      <c r="A7196" s="109" t="s">
        <v>20439</v>
      </c>
      <c r="B7196" s="28">
        <v>46098</v>
      </c>
      <c r="C7196" s="25">
        <v>1280</v>
      </c>
      <c r="D7196" s="13" t="s">
        <v>4824</v>
      </c>
      <c r="E7196" s="111"/>
      <c r="F7196" s="113" t="s">
        <v>7513</v>
      </c>
      <c r="G7196" s="114"/>
      <c r="H7196" s="115"/>
      <c r="I7196" s="24"/>
      <c r="J7196" s="116">
        <v>4</v>
      </c>
      <c r="K7196" s="118">
        <v>411000</v>
      </c>
      <c r="L7196" s="119"/>
      <c r="M7196" s="118">
        <f t="shared" ref="M7196" si="10307">K7196*0.1</f>
        <v>41100</v>
      </c>
      <c r="N7196" s="119"/>
      <c r="O7196" s="118">
        <v>0</v>
      </c>
      <c r="P7196" s="119"/>
      <c r="Q7196" s="118">
        <v>17940</v>
      </c>
      <c r="R7196" s="119"/>
      <c r="S7196" s="118">
        <v>18150</v>
      </c>
      <c r="T7196" s="119"/>
      <c r="U7196" s="118">
        <f t="shared" ref="U7196" si="10308">SUM(K7196:T7197)</f>
        <v>488190</v>
      </c>
      <c r="V7196" s="122"/>
      <c r="W7196" s="124"/>
      <c r="X7196" s="126" t="s">
        <v>20599</v>
      </c>
      <c r="Y7196" s="127"/>
      <c r="Z7196" s="127"/>
      <c r="AA7196" s="127"/>
      <c r="AB7196" s="128"/>
      <c r="AC7196" s="15" t="s">
        <v>20</v>
      </c>
      <c r="AD7196" s="129" t="s">
        <v>171</v>
      </c>
      <c r="AE7196" s="130"/>
      <c r="AF7196" s="130"/>
      <c r="AG7196" s="130"/>
      <c r="AH7196" s="130"/>
      <c r="AI7196" s="131"/>
      <c r="AJ7196" s="132"/>
      <c r="AK7196" s="127"/>
      <c r="AL7196" s="128"/>
      <c r="AM7196" s="21"/>
      <c r="AN7196" s="133">
        <v>46130</v>
      </c>
      <c r="AO7196" s="134"/>
      <c r="AP7196" s="135">
        <v>1297</v>
      </c>
      <c r="AQ7196" s="136"/>
      <c r="AR7196" s="118">
        <v>510000</v>
      </c>
      <c r="AS7196" s="119"/>
      <c r="AT7196" s="118">
        <f t="shared" ref="AT7196" si="10309">AR7196*0.1</f>
        <v>51000</v>
      </c>
      <c r="AU7196" s="119"/>
      <c r="AV7196" s="118">
        <v>17940</v>
      </c>
      <c r="AW7196" s="119"/>
      <c r="AX7196" s="118">
        <f t="shared" ref="AX7196" si="10310">SUM(AR7196:AW7196)</f>
        <v>578940</v>
      </c>
      <c r="AY7196" s="119"/>
      <c r="AZ7196" s="137">
        <v>46133</v>
      </c>
    </row>
    <row r="7197" spans="1:52" ht="17.100000000000001" customHeight="1" thickBot="1">
      <c r="A7197" s="110"/>
      <c r="B7197" s="27" t="s">
        <v>7478</v>
      </c>
      <c r="C7197" s="27">
        <v>38128</v>
      </c>
      <c r="D7197" s="14" t="s">
        <v>1812</v>
      </c>
      <c r="E7197" s="112"/>
      <c r="F7197" s="139" t="s">
        <v>20467</v>
      </c>
      <c r="G7197" s="140"/>
      <c r="H7197" s="141"/>
      <c r="I7197" s="26">
        <v>57935</v>
      </c>
      <c r="J7197" s="117"/>
      <c r="K7197" s="120"/>
      <c r="L7197" s="121"/>
      <c r="M7197" s="120"/>
      <c r="N7197" s="121"/>
      <c r="O7197" s="120"/>
      <c r="P7197" s="121"/>
      <c r="Q7197" s="120"/>
      <c r="R7197" s="121"/>
      <c r="S7197" s="120"/>
      <c r="T7197" s="121"/>
      <c r="U7197" s="120"/>
      <c r="V7197" s="123"/>
      <c r="W7197" s="125"/>
      <c r="X7197" s="142" t="s">
        <v>6904</v>
      </c>
      <c r="Y7197" s="143"/>
      <c r="Z7197" s="143"/>
      <c r="AA7197" s="143"/>
      <c r="AB7197" s="144"/>
      <c r="AC7197" s="16" t="s">
        <v>21</v>
      </c>
      <c r="AD7197" s="17" t="s">
        <v>2382</v>
      </c>
      <c r="AE7197" s="158" t="s">
        <v>1742</v>
      </c>
      <c r="AF7197" s="146"/>
      <c r="AG7197" s="146"/>
      <c r="AH7197" s="146"/>
      <c r="AI7197" s="147"/>
      <c r="AJ7197" s="148"/>
      <c r="AK7197" s="143"/>
      <c r="AL7197" s="144"/>
      <c r="AM7197" s="22"/>
      <c r="AN7197" s="149" t="s">
        <v>2511</v>
      </c>
      <c r="AO7197" s="144"/>
      <c r="AP7197" s="148">
        <v>80150</v>
      </c>
      <c r="AQ7197" s="144"/>
      <c r="AR7197" s="120"/>
      <c r="AS7197" s="121"/>
      <c r="AT7197" s="120"/>
      <c r="AU7197" s="121"/>
      <c r="AV7197" s="120"/>
      <c r="AW7197" s="121"/>
      <c r="AX7197" s="120"/>
      <c r="AY7197" s="121"/>
      <c r="AZ7197" s="138"/>
    </row>
    <row r="7198" spans="1:52" ht="17.100000000000001" customHeight="1" thickTop="1">
      <c r="A7198" s="109" t="s">
        <v>20440</v>
      </c>
      <c r="B7198" s="28">
        <v>46098</v>
      </c>
      <c r="C7198" s="25">
        <v>1280</v>
      </c>
      <c r="D7198" s="13" t="s">
        <v>1640</v>
      </c>
      <c r="E7198" s="111"/>
      <c r="F7198" s="113" t="s">
        <v>1938</v>
      </c>
      <c r="G7198" s="114"/>
      <c r="H7198" s="115"/>
      <c r="I7198" s="24" t="s">
        <v>6716</v>
      </c>
      <c r="J7198" s="116">
        <v>4.5</v>
      </c>
      <c r="K7198" s="118">
        <v>510000</v>
      </c>
      <c r="L7198" s="119"/>
      <c r="M7198" s="118">
        <f t="shared" ref="M7198" si="10311">K7198*0.1</f>
        <v>51000</v>
      </c>
      <c r="N7198" s="119"/>
      <c r="O7198" s="118">
        <v>34500</v>
      </c>
      <c r="P7198" s="119"/>
      <c r="Q7198" s="118">
        <v>17700</v>
      </c>
      <c r="R7198" s="119"/>
      <c r="S7198" s="118">
        <v>18150</v>
      </c>
      <c r="T7198" s="119"/>
      <c r="U7198" s="118">
        <f t="shared" ref="U7198" si="10312">SUM(K7198:T7199)</f>
        <v>631350</v>
      </c>
      <c r="V7198" s="122"/>
      <c r="W7198" s="124"/>
      <c r="X7198" s="126" t="s">
        <v>22274</v>
      </c>
      <c r="Y7198" s="127"/>
      <c r="Z7198" s="127"/>
      <c r="AA7198" s="127"/>
      <c r="AB7198" s="128"/>
      <c r="AC7198" s="15" t="s">
        <v>20</v>
      </c>
      <c r="AD7198" s="129"/>
      <c r="AE7198" s="130"/>
      <c r="AF7198" s="130"/>
      <c r="AG7198" s="130"/>
      <c r="AH7198" s="130"/>
      <c r="AI7198" s="131"/>
      <c r="AJ7198" s="132"/>
      <c r="AK7198" s="127"/>
      <c r="AL7198" s="128"/>
      <c r="AM7198" s="21"/>
      <c r="AN7198" s="133">
        <v>46102</v>
      </c>
      <c r="AO7198" s="134"/>
      <c r="AP7198" s="135">
        <v>1293</v>
      </c>
      <c r="AQ7198" s="136"/>
      <c r="AR7198" s="118">
        <v>700000</v>
      </c>
      <c r="AS7198" s="119"/>
      <c r="AT7198" s="118">
        <f t="shared" ref="AT7198" si="10313">AR7198*0.1</f>
        <v>70000</v>
      </c>
      <c r="AU7198" s="119"/>
      <c r="AV7198" s="118">
        <v>17700</v>
      </c>
      <c r="AW7198" s="119"/>
      <c r="AX7198" s="118">
        <f t="shared" ref="AX7198" si="10314">SUM(AR7198:AW7198)</f>
        <v>787700</v>
      </c>
      <c r="AY7198" s="119"/>
      <c r="AZ7198" s="137">
        <v>46120</v>
      </c>
    </row>
    <row r="7199" spans="1:52" ht="17.100000000000001" customHeight="1" thickBot="1">
      <c r="A7199" s="110"/>
      <c r="B7199" s="27" t="s">
        <v>7478</v>
      </c>
      <c r="C7199" s="27">
        <v>38190</v>
      </c>
      <c r="D7199" s="14" t="s">
        <v>1592</v>
      </c>
      <c r="E7199" s="112"/>
      <c r="F7199" s="139" t="s">
        <v>20468</v>
      </c>
      <c r="G7199" s="140"/>
      <c r="H7199" s="141"/>
      <c r="I7199" s="26">
        <v>49710</v>
      </c>
      <c r="J7199" s="117"/>
      <c r="K7199" s="120"/>
      <c r="L7199" s="121"/>
      <c r="M7199" s="120"/>
      <c r="N7199" s="121"/>
      <c r="O7199" s="120"/>
      <c r="P7199" s="121"/>
      <c r="Q7199" s="120"/>
      <c r="R7199" s="121"/>
      <c r="S7199" s="120"/>
      <c r="T7199" s="121"/>
      <c r="U7199" s="120"/>
      <c r="V7199" s="123"/>
      <c r="W7199" s="125"/>
      <c r="X7199" s="142" t="s">
        <v>22275</v>
      </c>
      <c r="Y7199" s="143"/>
      <c r="Z7199" s="143"/>
      <c r="AA7199" s="143"/>
      <c r="AB7199" s="144"/>
      <c r="AC7199" s="16" t="s">
        <v>21</v>
      </c>
      <c r="AD7199" s="17" t="s">
        <v>3980</v>
      </c>
      <c r="AE7199" s="145" t="s">
        <v>171</v>
      </c>
      <c r="AF7199" s="146"/>
      <c r="AG7199" s="146"/>
      <c r="AH7199" s="146"/>
      <c r="AI7199" s="147"/>
      <c r="AJ7199" s="148"/>
      <c r="AK7199" s="143"/>
      <c r="AL7199" s="144"/>
      <c r="AM7199" s="22"/>
      <c r="AN7199" s="149" t="s">
        <v>21216</v>
      </c>
      <c r="AO7199" s="144"/>
      <c r="AP7199" s="148">
        <v>80375</v>
      </c>
      <c r="AQ7199" s="144"/>
      <c r="AR7199" s="120"/>
      <c r="AS7199" s="121"/>
      <c r="AT7199" s="120"/>
      <c r="AU7199" s="121"/>
      <c r="AV7199" s="120"/>
      <c r="AW7199" s="121"/>
      <c r="AX7199" s="120"/>
      <c r="AY7199" s="121"/>
      <c r="AZ7199" s="138"/>
    </row>
    <row r="7200" spans="1:52" ht="17.100000000000001" customHeight="1" thickTop="1">
      <c r="A7200" s="109" t="s">
        <v>20441</v>
      </c>
      <c r="B7200" s="28">
        <v>46099</v>
      </c>
      <c r="C7200" s="25">
        <v>1009</v>
      </c>
      <c r="D7200" s="13" t="s">
        <v>2970</v>
      </c>
      <c r="E7200" s="111"/>
      <c r="F7200" s="113" t="s">
        <v>20445</v>
      </c>
      <c r="G7200" s="114"/>
      <c r="H7200" s="115"/>
      <c r="I7200" s="24"/>
      <c r="J7200" s="116">
        <v>4</v>
      </c>
      <c r="K7200" s="118">
        <v>1165000</v>
      </c>
      <c r="L7200" s="119"/>
      <c r="M7200" s="118">
        <f t="shared" ref="M7200" si="10315">K7200*0.1</f>
        <v>116500</v>
      </c>
      <c r="N7200" s="119"/>
      <c r="O7200" s="118">
        <v>0</v>
      </c>
      <c r="P7200" s="119"/>
      <c r="Q7200" s="118">
        <v>6830</v>
      </c>
      <c r="R7200" s="119"/>
      <c r="S7200" s="118">
        <v>12100</v>
      </c>
      <c r="T7200" s="119"/>
      <c r="U7200" s="118">
        <f t="shared" ref="U7200" si="10316">SUM(K7200:T7201)</f>
        <v>1300430</v>
      </c>
      <c r="V7200" s="122"/>
      <c r="W7200" s="124"/>
      <c r="X7200" s="126" t="s">
        <v>21162</v>
      </c>
      <c r="Y7200" s="127"/>
      <c r="Z7200" s="127"/>
      <c r="AA7200" s="127"/>
      <c r="AB7200" s="128"/>
      <c r="AC7200" s="15" t="s">
        <v>20</v>
      </c>
      <c r="AD7200" s="129" t="s">
        <v>4435</v>
      </c>
      <c r="AE7200" s="130"/>
      <c r="AF7200" s="130"/>
      <c r="AG7200" s="130"/>
      <c r="AH7200" s="130"/>
      <c r="AI7200" s="131"/>
      <c r="AJ7200" s="132"/>
      <c r="AK7200" s="127"/>
      <c r="AL7200" s="128"/>
      <c r="AM7200" s="21"/>
      <c r="AN7200" s="133">
        <v>46102</v>
      </c>
      <c r="AO7200" s="134"/>
      <c r="AP7200" s="135">
        <v>1293</v>
      </c>
      <c r="AQ7200" s="136"/>
      <c r="AR7200" s="118">
        <v>1290000</v>
      </c>
      <c r="AS7200" s="119"/>
      <c r="AT7200" s="118">
        <f t="shared" ref="AT7200" si="10317">AR7200*0.1</f>
        <v>129000</v>
      </c>
      <c r="AU7200" s="119"/>
      <c r="AV7200" s="118">
        <v>6830</v>
      </c>
      <c r="AW7200" s="119"/>
      <c r="AX7200" s="118">
        <f t="shared" ref="AX7200" si="10318">SUM(AR7200:AW7200)</f>
        <v>1425830</v>
      </c>
      <c r="AY7200" s="119"/>
      <c r="AZ7200" s="137">
        <v>46111</v>
      </c>
    </row>
    <row r="7201" spans="1:52" ht="17.100000000000001" customHeight="1" thickBot="1">
      <c r="A7201" s="110"/>
      <c r="B7201" s="27" t="s">
        <v>2794</v>
      </c>
      <c r="C7201" s="27">
        <v>1039</v>
      </c>
      <c r="D7201" s="14" t="s">
        <v>275</v>
      </c>
      <c r="E7201" s="112"/>
      <c r="F7201" s="139" t="s">
        <v>20446</v>
      </c>
      <c r="G7201" s="140"/>
      <c r="H7201" s="141"/>
      <c r="I7201" s="26">
        <v>46319</v>
      </c>
      <c r="J7201" s="117"/>
      <c r="K7201" s="120"/>
      <c r="L7201" s="121"/>
      <c r="M7201" s="120"/>
      <c r="N7201" s="121"/>
      <c r="O7201" s="120"/>
      <c r="P7201" s="121"/>
      <c r="Q7201" s="120"/>
      <c r="R7201" s="121"/>
      <c r="S7201" s="120"/>
      <c r="T7201" s="121"/>
      <c r="U7201" s="120"/>
      <c r="V7201" s="123"/>
      <c r="W7201" s="125"/>
      <c r="X7201" s="142" t="s">
        <v>5258</v>
      </c>
      <c r="Y7201" s="143"/>
      <c r="Z7201" s="143"/>
      <c r="AA7201" s="143"/>
      <c r="AB7201" s="144"/>
      <c r="AC7201" s="16" t="s">
        <v>21</v>
      </c>
      <c r="AD7201" s="17" t="s">
        <v>2388</v>
      </c>
      <c r="AE7201" s="145" t="s">
        <v>171</v>
      </c>
      <c r="AF7201" s="146"/>
      <c r="AG7201" s="146"/>
      <c r="AH7201" s="146"/>
      <c r="AI7201" s="147"/>
      <c r="AJ7201" s="148"/>
      <c r="AK7201" s="143"/>
      <c r="AL7201" s="144"/>
      <c r="AM7201" s="22"/>
      <c r="AN7201" s="149" t="s">
        <v>2511</v>
      </c>
      <c r="AO7201" s="144"/>
      <c r="AP7201" s="148">
        <v>60497</v>
      </c>
      <c r="AQ7201" s="144"/>
      <c r="AR7201" s="120"/>
      <c r="AS7201" s="121"/>
      <c r="AT7201" s="120"/>
      <c r="AU7201" s="121"/>
      <c r="AV7201" s="120"/>
      <c r="AW7201" s="121"/>
      <c r="AX7201" s="120"/>
      <c r="AY7201" s="121"/>
      <c r="AZ7201" s="138"/>
    </row>
    <row r="7202" spans="1:52" ht="17.100000000000001" customHeight="1" thickTop="1">
      <c r="A7202" s="109" t="s">
        <v>20442</v>
      </c>
      <c r="B7202" s="28">
        <v>46099</v>
      </c>
      <c r="C7202" s="25">
        <v>1009</v>
      </c>
      <c r="D7202" s="13" t="s">
        <v>2301</v>
      </c>
      <c r="E7202" s="111"/>
      <c r="F7202" s="113" t="s">
        <v>15949</v>
      </c>
      <c r="G7202" s="114"/>
      <c r="H7202" s="115"/>
      <c r="I7202" s="24" t="s">
        <v>2571</v>
      </c>
      <c r="J7202" s="116">
        <v>4</v>
      </c>
      <c r="K7202" s="118">
        <v>295000</v>
      </c>
      <c r="L7202" s="119"/>
      <c r="M7202" s="118">
        <f t="shared" ref="M7202" si="10319">K7202*0.1</f>
        <v>29500</v>
      </c>
      <c r="N7202" s="119"/>
      <c r="O7202" s="118">
        <v>10800</v>
      </c>
      <c r="P7202" s="119"/>
      <c r="Q7202" s="118">
        <v>7140</v>
      </c>
      <c r="R7202" s="119"/>
      <c r="S7202" s="118">
        <v>12100</v>
      </c>
      <c r="T7202" s="119"/>
      <c r="U7202" s="118">
        <f t="shared" ref="U7202" si="10320">SUM(K7202:T7203)</f>
        <v>354540</v>
      </c>
      <c r="V7202" s="122"/>
      <c r="W7202" s="124"/>
      <c r="X7202" s="126" t="s">
        <v>20453</v>
      </c>
      <c r="Y7202" s="127"/>
      <c r="Z7202" s="127"/>
      <c r="AA7202" s="127"/>
      <c r="AB7202" s="128"/>
      <c r="AC7202" s="15" t="s">
        <v>20</v>
      </c>
      <c r="AD7202" s="129" t="s">
        <v>20454</v>
      </c>
      <c r="AE7202" s="130"/>
      <c r="AF7202" s="130"/>
      <c r="AG7202" s="130"/>
      <c r="AH7202" s="130"/>
      <c r="AI7202" s="131"/>
      <c r="AJ7202" s="132"/>
      <c r="AK7202" s="127"/>
      <c r="AL7202" s="128"/>
      <c r="AM7202" s="21"/>
      <c r="AN7202" s="133">
        <v>46102</v>
      </c>
      <c r="AO7202" s="134"/>
      <c r="AP7202" s="135">
        <v>1293</v>
      </c>
      <c r="AQ7202" s="136"/>
      <c r="AR7202" s="118">
        <v>435000</v>
      </c>
      <c r="AS7202" s="119"/>
      <c r="AT7202" s="118">
        <f t="shared" ref="AT7202" si="10321">AR7202*0.1</f>
        <v>43500</v>
      </c>
      <c r="AU7202" s="119"/>
      <c r="AV7202" s="118">
        <v>7140</v>
      </c>
      <c r="AW7202" s="119"/>
      <c r="AX7202" s="118">
        <f t="shared" ref="AX7202" si="10322">SUM(AR7202:AW7202)</f>
        <v>485640</v>
      </c>
      <c r="AY7202" s="119"/>
      <c r="AZ7202" s="137">
        <v>46111</v>
      </c>
    </row>
    <row r="7203" spans="1:52" ht="17.100000000000001" customHeight="1" thickBot="1">
      <c r="A7203" s="110"/>
      <c r="B7203" s="27" t="s">
        <v>2794</v>
      </c>
      <c r="C7203" s="27">
        <v>1235</v>
      </c>
      <c r="D7203" s="14" t="s">
        <v>5615</v>
      </c>
      <c r="E7203" s="112"/>
      <c r="F7203" s="139" t="s">
        <v>20447</v>
      </c>
      <c r="G7203" s="140"/>
      <c r="H7203" s="141"/>
      <c r="I7203" s="26">
        <v>10134</v>
      </c>
      <c r="J7203" s="117"/>
      <c r="K7203" s="120"/>
      <c r="L7203" s="121"/>
      <c r="M7203" s="120"/>
      <c r="N7203" s="121"/>
      <c r="O7203" s="120"/>
      <c r="P7203" s="121"/>
      <c r="Q7203" s="120"/>
      <c r="R7203" s="121"/>
      <c r="S7203" s="120"/>
      <c r="T7203" s="121"/>
      <c r="U7203" s="120"/>
      <c r="V7203" s="123"/>
      <c r="W7203" s="125"/>
      <c r="X7203" s="142" t="s">
        <v>21163</v>
      </c>
      <c r="Y7203" s="143"/>
      <c r="Z7203" s="143"/>
      <c r="AA7203" s="143"/>
      <c r="AB7203" s="144"/>
      <c r="AC7203" s="16" t="s">
        <v>21</v>
      </c>
      <c r="AD7203" s="17" t="s">
        <v>2388</v>
      </c>
      <c r="AE7203" s="145" t="s">
        <v>1633</v>
      </c>
      <c r="AF7203" s="146"/>
      <c r="AG7203" s="146"/>
      <c r="AH7203" s="146"/>
      <c r="AI7203" s="147"/>
      <c r="AJ7203" s="148"/>
      <c r="AK7203" s="143"/>
      <c r="AL7203" s="144"/>
      <c r="AM7203" s="22"/>
      <c r="AN7203" s="149" t="s">
        <v>2511</v>
      </c>
      <c r="AO7203" s="144"/>
      <c r="AP7203" s="148">
        <v>60508</v>
      </c>
      <c r="AQ7203" s="144"/>
      <c r="AR7203" s="120"/>
      <c r="AS7203" s="121"/>
      <c r="AT7203" s="120"/>
      <c r="AU7203" s="121"/>
      <c r="AV7203" s="120"/>
      <c r="AW7203" s="121"/>
      <c r="AX7203" s="120"/>
      <c r="AY7203" s="121"/>
      <c r="AZ7203" s="138"/>
    </row>
    <row r="7204" spans="1:52" ht="17.100000000000001" customHeight="1" thickTop="1">
      <c r="A7204" s="109" t="s">
        <v>20443</v>
      </c>
      <c r="B7204" s="28">
        <v>46099</v>
      </c>
      <c r="C7204" s="25">
        <v>1009</v>
      </c>
      <c r="D7204" s="13" t="s">
        <v>2359</v>
      </c>
      <c r="E7204" s="111"/>
      <c r="F7204" s="113" t="s">
        <v>15215</v>
      </c>
      <c r="G7204" s="114"/>
      <c r="H7204" s="115"/>
      <c r="I7204" s="24" t="s">
        <v>6716</v>
      </c>
      <c r="J7204" s="116">
        <v>4.5</v>
      </c>
      <c r="K7204" s="118">
        <v>890000</v>
      </c>
      <c r="L7204" s="119"/>
      <c r="M7204" s="118">
        <f t="shared" ref="M7204" si="10323">K7204*0.1</f>
        <v>89000</v>
      </c>
      <c r="N7204" s="119"/>
      <c r="O7204" s="118">
        <v>10800</v>
      </c>
      <c r="P7204" s="119"/>
      <c r="Q7204" s="118">
        <v>6830</v>
      </c>
      <c r="R7204" s="119"/>
      <c r="S7204" s="118">
        <v>12100</v>
      </c>
      <c r="T7204" s="119"/>
      <c r="U7204" s="118">
        <f t="shared" ref="U7204" si="10324">SUM(K7204:T7205)</f>
        <v>1008730</v>
      </c>
      <c r="V7204" s="122"/>
      <c r="W7204" s="124"/>
      <c r="X7204" s="126" t="s">
        <v>20455</v>
      </c>
      <c r="Y7204" s="127"/>
      <c r="Z7204" s="127"/>
      <c r="AA7204" s="127"/>
      <c r="AB7204" s="128"/>
      <c r="AC7204" s="15" t="s">
        <v>20</v>
      </c>
      <c r="AD7204" s="129" t="s">
        <v>20456</v>
      </c>
      <c r="AE7204" s="130"/>
      <c r="AF7204" s="130"/>
      <c r="AG7204" s="130"/>
      <c r="AH7204" s="130"/>
      <c r="AI7204" s="131"/>
      <c r="AJ7204" s="132"/>
      <c r="AK7204" s="127"/>
      <c r="AL7204" s="128"/>
      <c r="AM7204" s="21"/>
      <c r="AN7204" s="133">
        <v>46102</v>
      </c>
      <c r="AO7204" s="134"/>
      <c r="AP7204" s="135">
        <v>1293</v>
      </c>
      <c r="AQ7204" s="136"/>
      <c r="AR7204" s="118">
        <v>1020000</v>
      </c>
      <c r="AS7204" s="119"/>
      <c r="AT7204" s="118">
        <f t="shared" ref="AT7204" si="10325">AR7204*0.1</f>
        <v>102000</v>
      </c>
      <c r="AU7204" s="119"/>
      <c r="AV7204" s="118">
        <v>6830</v>
      </c>
      <c r="AW7204" s="119"/>
      <c r="AX7204" s="118">
        <f t="shared" ref="AX7204" si="10326">SUM(AR7204:AW7204)</f>
        <v>1128830</v>
      </c>
      <c r="AY7204" s="119"/>
      <c r="AZ7204" s="137">
        <v>46111</v>
      </c>
    </row>
    <row r="7205" spans="1:52" ht="17.100000000000001" customHeight="1" thickBot="1">
      <c r="A7205" s="110"/>
      <c r="B7205" s="27" t="s">
        <v>2794</v>
      </c>
      <c r="C7205" s="27">
        <v>1292</v>
      </c>
      <c r="D7205" s="14" t="s">
        <v>2800</v>
      </c>
      <c r="E7205" s="112"/>
      <c r="F7205" s="139" t="s">
        <v>20448</v>
      </c>
      <c r="G7205" s="140"/>
      <c r="H7205" s="141"/>
      <c r="I7205" s="26">
        <v>49143</v>
      </c>
      <c r="J7205" s="117"/>
      <c r="K7205" s="120"/>
      <c r="L7205" s="121"/>
      <c r="M7205" s="120"/>
      <c r="N7205" s="121"/>
      <c r="O7205" s="120"/>
      <c r="P7205" s="121"/>
      <c r="Q7205" s="120"/>
      <c r="R7205" s="121"/>
      <c r="S7205" s="120"/>
      <c r="T7205" s="121"/>
      <c r="U7205" s="120"/>
      <c r="V7205" s="123"/>
      <c r="W7205" s="125"/>
      <c r="X7205" s="142" t="s">
        <v>19302</v>
      </c>
      <c r="Y7205" s="143"/>
      <c r="Z7205" s="143"/>
      <c r="AA7205" s="143"/>
      <c r="AB7205" s="144"/>
      <c r="AC7205" s="16" t="s">
        <v>21</v>
      </c>
      <c r="AD7205" s="17" t="s">
        <v>2388</v>
      </c>
      <c r="AE7205" s="145" t="s">
        <v>11993</v>
      </c>
      <c r="AF7205" s="146"/>
      <c r="AG7205" s="146"/>
      <c r="AH7205" s="146"/>
      <c r="AI7205" s="147"/>
      <c r="AJ7205" s="148"/>
      <c r="AK7205" s="143"/>
      <c r="AL7205" s="144"/>
      <c r="AM7205" s="22"/>
      <c r="AN7205" s="149" t="s">
        <v>21216</v>
      </c>
      <c r="AO7205" s="144"/>
      <c r="AP7205" s="148">
        <v>60510</v>
      </c>
      <c r="AQ7205" s="144"/>
      <c r="AR7205" s="120"/>
      <c r="AS7205" s="121"/>
      <c r="AT7205" s="120"/>
      <c r="AU7205" s="121"/>
      <c r="AV7205" s="120"/>
      <c r="AW7205" s="121"/>
      <c r="AX7205" s="120"/>
      <c r="AY7205" s="121"/>
      <c r="AZ7205" s="138"/>
    </row>
    <row r="7206" spans="1:52" ht="17.100000000000001" customHeight="1" thickTop="1">
      <c r="A7206" s="109" t="s">
        <v>20444</v>
      </c>
      <c r="B7206" s="28">
        <v>46099</v>
      </c>
      <c r="C7206" s="25">
        <v>1009</v>
      </c>
      <c r="D7206" s="13" t="s">
        <v>1586</v>
      </c>
      <c r="E7206" s="111"/>
      <c r="F7206" s="113" t="s">
        <v>20449</v>
      </c>
      <c r="G7206" s="114"/>
      <c r="H7206" s="115"/>
      <c r="I7206" s="24"/>
      <c r="J7206" s="116">
        <v>4</v>
      </c>
      <c r="K7206" s="118">
        <v>515000</v>
      </c>
      <c r="L7206" s="119"/>
      <c r="M7206" s="118">
        <f t="shared" ref="M7206" si="10327">K7206*0.1</f>
        <v>51500</v>
      </c>
      <c r="N7206" s="119"/>
      <c r="O7206" s="118">
        <v>0</v>
      </c>
      <c r="P7206" s="119"/>
      <c r="Q7206" s="118">
        <v>8790</v>
      </c>
      <c r="R7206" s="119"/>
      <c r="S7206" s="118">
        <v>12100</v>
      </c>
      <c r="T7206" s="119"/>
      <c r="U7206" s="118">
        <f t="shared" ref="U7206" si="10328">SUM(K7206:T7207)</f>
        <v>587390</v>
      </c>
      <c r="V7206" s="122"/>
      <c r="W7206" s="124"/>
      <c r="X7206" s="126" t="s">
        <v>21264</v>
      </c>
      <c r="Y7206" s="127"/>
      <c r="Z7206" s="127"/>
      <c r="AA7206" s="127"/>
      <c r="AB7206" s="128"/>
      <c r="AC7206" s="15" t="s">
        <v>20</v>
      </c>
      <c r="AD7206" s="129" t="s">
        <v>20457</v>
      </c>
      <c r="AE7206" s="130"/>
      <c r="AF7206" s="130"/>
      <c r="AG7206" s="130"/>
      <c r="AH7206" s="130"/>
      <c r="AI7206" s="131"/>
      <c r="AJ7206" s="132"/>
      <c r="AK7206" s="127"/>
      <c r="AL7206" s="128"/>
      <c r="AM7206" s="21"/>
      <c r="AN7206" s="133">
        <v>46109</v>
      </c>
      <c r="AO7206" s="134"/>
      <c r="AP7206" s="135">
        <v>1294</v>
      </c>
      <c r="AQ7206" s="136"/>
      <c r="AR7206" s="118">
        <v>620000</v>
      </c>
      <c r="AS7206" s="119"/>
      <c r="AT7206" s="118">
        <f t="shared" ref="AT7206" si="10329">AR7206*0.1</f>
        <v>62000</v>
      </c>
      <c r="AU7206" s="119"/>
      <c r="AV7206" s="118">
        <v>8790</v>
      </c>
      <c r="AW7206" s="119"/>
      <c r="AX7206" s="118">
        <f t="shared" ref="AX7206" si="10330">SUM(AR7206:AW7206)</f>
        <v>690790</v>
      </c>
      <c r="AY7206" s="119"/>
      <c r="AZ7206" s="137">
        <v>46112</v>
      </c>
    </row>
    <row r="7207" spans="1:52" ht="17.100000000000001" customHeight="1" thickBot="1">
      <c r="A7207" s="110"/>
      <c r="B7207" s="27" t="s">
        <v>2794</v>
      </c>
      <c r="C7207" s="27">
        <v>1317</v>
      </c>
      <c r="D7207" s="14" t="s">
        <v>1568</v>
      </c>
      <c r="E7207" s="112"/>
      <c r="F7207" s="139" t="s">
        <v>20450</v>
      </c>
      <c r="G7207" s="140"/>
      <c r="H7207" s="141"/>
      <c r="I7207" s="26">
        <v>103181</v>
      </c>
      <c r="J7207" s="117"/>
      <c r="K7207" s="120"/>
      <c r="L7207" s="121"/>
      <c r="M7207" s="120"/>
      <c r="N7207" s="121"/>
      <c r="O7207" s="120"/>
      <c r="P7207" s="121"/>
      <c r="Q7207" s="120"/>
      <c r="R7207" s="121"/>
      <c r="S7207" s="120"/>
      <c r="T7207" s="121"/>
      <c r="U7207" s="120"/>
      <c r="V7207" s="123"/>
      <c r="W7207" s="125"/>
      <c r="X7207" s="142" t="s">
        <v>21265</v>
      </c>
      <c r="Y7207" s="143"/>
      <c r="Z7207" s="143"/>
      <c r="AA7207" s="143"/>
      <c r="AB7207" s="144"/>
      <c r="AC7207" s="16" t="s">
        <v>21</v>
      </c>
      <c r="AD7207" s="17" t="s">
        <v>21230</v>
      </c>
      <c r="AE7207" s="145" t="s">
        <v>10730</v>
      </c>
      <c r="AF7207" s="146"/>
      <c r="AG7207" s="146"/>
      <c r="AH7207" s="146"/>
      <c r="AI7207" s="147"/>
      <c r="AJ7207" s="148"/>
      <c r="AK7207" s="143"/>
      <c r="AL7207" s="144"/>
      <c r="AM7207" s="22"/>
      <c r="AN7207" s="149" t="s">
        <v>21802</v>
      </c>
      <c r="AO7207" s="144"/>
      <c r="AP7207" s="148">
        <v>60193</v>
      </c>
      <c r="AQ7207" s="144"/>
      <c r="AR7207" s="120"/>
      <c r="AS7207" s="121"/>
      <c r="AT7207" s="120"/>
      <c r="AU7207" s="121"/>
      <c r="AV7207" s="120"/>
      <c r="AW7207" s="121"/>
      <c r="AX7207" s="120"/>
      <c r="AY7207" s="121"/>
      <c r="AZ7207" s="138"/>
    </row>
    <row r="7208" spans="1:52" ht="17.100000000000001" customHeight="1" thickTop="1">
      <c r="A7208" s="109" t="s">
        <v>20465</v>
      </c>
      <c r="B7208" s="28">
        <v>46099</v>
      </c>
      <c r="C7208" s="25">
        <v>1009</v>
      </c>
      <c r="D7208" s="13" t="s">
        <v>1902</v>
      </c>
      <c r="E7208" s="111"/>
      <c r="F7208" s="113" t="s">
        <v>15993</v>
      </c>
      <c r="G7208" s="114"/>
      <c r="H7208" s="115"/>
      <c r="I7208" s="24"/>
      <c r="J7208" s="116">
        <v>4.5</v>
      </c>
      <c r="K7208" s="118">
        <v>1000000</v>
      </c>
      <c r="L7208" s="119"/>
      <c r="M7208" s="118">
        <f t="shared" ref="M7208" si="10331">K7208*0.1</f>
        <v>100000</v>
      </c>
      <c r="N7208" s="119"/>
      <c r="O7208" s="118">
        <v>0</v>
      </c>
      <c r="P7208" s="119"/>
      <c r="Q7208" s="118">
        <v>6830</v>
      </c>
      <c r="R7208" s="119"/>
      <c r="S7208" s="118">
        <v>23100</v>
      </c>
      <c r="T7208" s="119"/>
      <c r="U7208" s="118">
        <f t="shared" ref="U7208" si="10332">SUM(K7208:T7209)</f>
        <v>1129930</v>
      </c>
      <c r="V7208" s="122"/>
      <c r="W7208" s="124"/>
      <c r="X7208" s="126" t="s">
        <v>21161</v>
      </c>
      <c r="Y7208" s="127"/>
      <c r="Z7208" s="127"/>
      <c r="AA7208" s="127"/>
      <c r="AB7208" s="128"/>
      <c r="AC7208" s="15" t="s">
        <v>20</v>
      </c>
      <c r="AD7208" s="129" t="s">
        <v>1670</v>
      </c>
      <c r="AE7208" s="130"/>
      <c r="AF7208" s="130"/>
      <c r="AG7208" s="130"/>
      <c r="AH7208" s="130"/>
      <c r="AI7208" s="131"/>
      <c r="AJ7208" s="132"/>
      <c r="AK7208" s="127"/>
      <c r="AL7208" s="128"/>
      <c r="AM7208" s="21"/>
      <c r="AN7208" s="133">
        <v>46102</v>
      </c>
      <c r="AO7208" s="134"/>
      <c r="AP7208" s="135">
        <v>1293</v>
      </c>
      <c r="AQ7208" s="136"/>
      <c r="AR7208" s="118">
        <v>1095000</v>
      </c>
      <c r="AS7208" s="119"/>
      <c r="AT7208" s="118">
        <f t="shared" ref="AT7208" si="10333">AR7208*0.1</f>
        <v>109500</v>
      </c>
      <c r="AU7208" s="119"/>
      <c r="AV7208" s="118">
        <v>6830</v>
      </c>
      <c r="AW7208" s="119"/>
      <c r="AX7208" s="118">
        <f t="shared" ref="AX7208" si="10334">SUM(AR7208:AW7208)</f>
        <v>1211330</v>
      </c>
      <c r="AY7208" s="119"/>
      <c r="AZ7208" s="137"/>
    </row>
    <row r="7209" spans="1:52" ht="17.100000000000001" customHeight="1" thickBot="1">
      <c r="A7209" s="110"/>
      <c r="B7209" s="27" t="s">
        <v>2794</v>
      </c>
      <c r="C7209" s="27">
        <v>1353</v>
      </c>
      <c r="D7209" s="14" t="s">
        <v>904</v>
      </c>
      <c r="E7209" s="112"/>
      <c r="F7209" s="139" t="s">
        <v>20451</v>
      </c>
      <c r="G7209" s="140"/>
      <c r="H7209" s="141"/>
      <c r="I7209" s="26">
        <v>33660</v>
      </c>
      <c r="J7209" s="117"/>
      <c r="K7209" s="120"/>
      <c r="L7209" s="121"/>
      <c r="M7209" s="120"/>
      <c r="N7209" s="121"/>
      <c r="O7209" s="120"/>
      <c r="P7209" s="121"/>
      <c r="Q7209" s="120"/>
      <c r="R7209" s="121"/>
      <c r="S7209" s="120"/>
      <c r="T7209" s="121"/>
      <c r="U7209" s="120"/>
      <c r="V7209" s="123"/>
      <c r="W7209" s="125"/>
      <c r="X7209" s="142" t="s">
        <v>3410</v>
      </c>
      <c r="Y7209" s="143"/>
      <c r="Z7209" s="143"/>
      <c r="AA7209" s="143"/>
      <c r="AB7209" s="144"/>
      <c r="AC7209" s="16" t="s">
        <v>21</v>
      </c>
      <c r="AD7209" s="17" t="s">
        <v>2388</v>
      </c>
      <c r="AE7209" s="145" t="s">
        <v>2395</v>
      </c>
      <c r="AF7209" s="146"/>
      <c r="AG7209" s="146"/>
      <c r="AH7209" s="146"/>
      <c r="AI7209" s="147"/>
      <c r="AJ7209" s="148"/>
      <c r="AK7209" s="143"/>
      <c r="AL7209" s="144"/>
      <c r="AM7209" s="22"/>
      <c r="AN7209" s="149" t="s">
        <v>2511</v>
      </c>
      <c r="AO7209" s="144"/>
      <c r="AP7209" s="148">
        <v>60498</v>
      </c>
      <c r="AQ7209" s="144"/>
      <c r="AR7209" s="120"/>
      <c r="AS7209" s="121"/>
      <c r="AT7209" s="120"/>
      <c r="AU7209" s="121"/>
      <c r="AV7209" s="120"/>
      <c r="AW7209" s="121"/>
      <c r="AX7209" s="120"/>
      <c r="AY7209" s="121"/>
      <c r="AZ7209" s="138"/>
    </row>
    <row r="7210" spans="1:52" ht="17.100000000000001" customHeight="1" thickTop="1">
      <c r="A7210" s="109" t="s">
        <v>20466</v>
      </c>
      <c r="B7210" s="28">
        <v>46099</v>
      </c>
      <c r="C7210" s="25">
        <v>1009</v>
      </c>
      <c r="D7210" s="13" t="s">
        <v>3399</v>
      </c>
      <c r="E7210" s="111"/>
      <c r="F7210" s="113" t="s">
        <v>7794</v>
      </c>
      <c r="G7210" s="114"/>
      <c r="H7210" s="115"/>
      <c r="I7210" s="24" t="s">
        <v>6716</v>
      </c>
      <c r="J7210" s="150" t="s">
        <v>4203</v>
      </c>
      <c r="K7210" s="118">
        <v>1095000</v>
      </c>
      <c r="L7210" s="119"/>
      <c r="M7210" s="118">
        <f t="shared" ref="M7210" si="10335">K7210*0.1</f>
        <v>109500</v>
      </c>
      <c r="N7210" s="119"/>
      <c r="O7210" s="118">
        <v>5000</v>
      </c>
      <c r="P7210" s="119"/>
      <c r="Q7210" s="118">
        <v>8200</v>
      </c>
      <c r="R7210" s="119"/>
      <c r="S7210" s="118">
        <v>11000</v>
      </c>
      <c r="T7210" s="119"/>
      <c r="U7210" s="118">
        <f t="shared" ref="U7210" si="10336">SUM(K7210:T7211)</f>
        <v>1228700</v>
      </c>
      <c r="V7210" s="122"/>
      <c r="W7210" s="124"/>
      <c r="X7210" s="126" t="s">
        <v>20458</v>
      </c>
      <c r="Y7210" s="127"/>
      <c r="Z7210" s="127"/>
      <c r="AA7210" s="127"/>
      <c r="AB7210" s="128"/>
      <c r="AC7210" s="15" t="s">
        <v>20</v>
      </c>
      <c r="AD7210" s="129" t="s">
        <v>1670</v>
      </c>
      <c r="AE7210" s="130"/>
      <c r="AF7210" s="130"/>
      <c r="AG7210" s="130"/>
      <c r="AH7210" s="130"/>
      <c r="AI7210" s="131"/>
      <c r="AJ7210" s="132"/>
      <c r="AK7210" s="127"/>
      <c r="AL7210" s="128"/>
      <c r="AM7210" s="21" t="s">
        <v>22268</v>
      </c>
      <c r="AN7210" s="133">
        <v>46116</v>
      </c>
      <c r="AO7210" s="134"/>
      <c r="AP7210" s="135">
        <v>1295</v>
      </c>
      <c r="AQ7210" s="136"/>
      <c r="AR7210" s="118">
        <v>1120000</v>
      </c>
      <c r="AS7210" s="119"/>
      <c r="AT7210" s="118">
        <f t="shared" ref="AT7210" si="10337">AR7210*0.1</f>
        <v>112000</v>
      </c>
      <c r="AU7210" s="119"/>
      <c r="AV7210" s="118">
        <v>8200</v>
      </c>
      <c r="AW7210" s="119"/>
      <c r="AX7210" s="118">
        <f t="shared" ref="AX7210" si="10338">SUM(AR7210:AW7210)</f>
        <v>1240200</v>
      </c>
      <c r="AY7210" s="119"/>
      <c r="AZ7210" s="137">
        <v>46121</v>
      </c>
    </row>
    <row r="7211" spans="1:52" ht="17.100000000000001" customHeight="1" thickBot="1">
      <c r="A7211" s="110"/>
      <c r="B7211" s="27" t="s">
        <v>2794</v>
      </c>
      <c r="C7211" s="27">
        <v>2075</v>
      </c>
      <c r="D7211" s="14" t="s">
        <v>275</v>
      </c>
      <c r="E7211" s="112"/>
      <c r="F7211" s="139" t="s">
        <v>20452</v>
      </c>
      <c r="G7211" s="140"/>
      <c r="H7211" s="141"/>
      <c r="I7211" s="26">
        <v>10</v>
      </c>
      <c r="J7211" s="117"/>
      <c r="K7211" s="120"/>
      <c r="L7211" s="121"/>
      <c r="M7211" s="120"/>
      <c r="N7211" s="121"/>
      <c r="O7211" s="120"/>
      <c r="P7211" s="121"/>
      <c r="Q7211" s="120"/>
      <c r="R7211" s="121"/>
      <c r="S7211" s="120"/>
      <c r="T7211" s="121"/>
      <c r="U7211" s="120"/>
      <c r="V7211" s="123"/>
      <c r="W7211" s="125"/>
      <c r="X7211" s="142" t="s">
        <v>21184</v>
      </c>
      <c r="Y7211" s="143"/>
      <c r="Z7211" s="143"/>
      <c r="AA7211" s="143"/>
      <c r="AB7211" s="144"/>
      <c r="AC7211" s="16" t="s">
        <v>21</v>
      </c>
      <c r="AD7211" s="17" t="s">
        <v>2388</v>
      </c>
      <c r="AE7211" s="145" t="s">
        <v>1945</v>
      </c>
      <c r="AF7211" s="146"/>
      <c r="AG7211" s="146"/>
      <c r="AH7211" s="146"/>
      <c r="AI7211" s="147"/>
      <c r="AJ7211" s="148"/>
      <c r="AK7211" s="143"/>
      <c r="AL7211" s="144"/>
      <c r="AM7211" s="22"/>
      <c r="AN7211" s="149" t="s">
        <v>2511</v>
      </c>
      <c r="AO7211" s="144"/>
      <c r="AP7211" s="148">
        <v>60207</v>
      </c>
      <c r="AQ7211" s="144"/>
      <c r="AR7211" s="120"/>
      <c r="AS7211" s="121"/>
      <c r="AT7211" s="120"/>
      <c r="AU7211" s="121"/>
      <c r="AV7211" s="120"/>
      <c r="AW7211" s="121"/>
      <c r="AX7211" s="120"/>
      <c r="AY7211" s="121"/>
      <c r="AZ7211" s="138"/>
    </row>
    <row r="7212" spans="1:52" ht="17.100000000000001" customHeight="1" thickTop="1">
      <c r="A7212" s="109" t="s">
        <v>20469</v>
      </c>
      <c r="B7212" s="28">
        <v>46099</v>
      </c>
      <c r="C7212" s="25">
        <v>1830</v>
      </c>
      <c r="D7212" s="13" t="s">
        <v>2963</v>
      </c>
      <c r="E7212" s="111"/>
      <c r="F7212" s="113" t="s">
        <v>20476</v>
      </c>
      <c r="G7212" s="114"/>
      <c r="H7212" s="115"/>
      <c r="I7212" s="24" t="s">
        <v>1547</v>
      </c>
      <c r="J7212" s="116">
        <v>5</v>
      </c>
      <c r="K7212" s="118">
        <v>1191000</v>
      </c>
      <c r="L7212" s="119"/>
      <c r="M7212" s="118">
        <f t="shared" ref="M7212" si="10339">K7212*0.1</f>
        <v>119100</v>
      </c>
      <c r="N7212" s="119"/>
      <c r="O7212" s="118">
        <v>10800</v>
      </c>
      <c r="P7212" s="119"/>
      <c r="Q7212" s="118">
        <v>5340</v>
      </c>
      <c r="R7212" s="119"/>
      <c r="S7212" s="118">
        <v>18150</v>
      </c>
      <c r="T7212" s="119"/>
      <c r="U7212" s="118">
        <f t="shared" ref="U7212" si="10340">SUM(K7212:T7213)</f>
        <v>1344390</v>
      </c>
      <c r="V7212" s="122"/>
      <c r="W7212" s="124"/>
      <c r="X7212" s="126" t="s">
        <v>20478</v>
      </c>
      <c r="Y7212" s="127"/>
      <c r="Z7212" s="127"/>
      <c r="AA7212" s="127"/>
      <c r="AB7212" s="128"/>
      <c r="AC7212" s="15" t="s">
        <v>20</v>
      </c>
      <c r="AD7212" s="129" t="s">
        <v>5308</v>
      </c>
      <c r="AE7212" s="130"/>
      <c r="AF7212" s="130"/>
      <c r="AG7212" s="130"/>
      <c r="AH7212" s="130"/>
      <c r="AI7212" s="131"/>
      <c r="AJ7212" s="132"/>
      <c r="AK7212" s="127"/>
      <c r="AL7212" s="128"/>
      <c r="AM7212" s="21" t="s">
        <v>23806</v>
      </c>
      <c r="AN7212" s="133">
        <v>46155</v>
      </c>
      <c r="AO7212" s="134"/>
      <c r="AP7212" s="135">
        <v>1016</v>
      </c>
      <c r="AQ7212" s="136"/>
      <c r="AR7212" s="118">
        <v>1205000</v>
      </c>
      <c r="AS7212" s="119"/>
      <c r="AT7212" s="118">
        <f t="shared" ref="AT7212" si="10341">AR7212*0.1</f>
        <v>120500</v>
      </c>
      <c r="AU7212" s="119"/>
      <c r="AV7212" s="118">
        <v>5340</v>
      </c>
      <c r="AW7212" s="119"/>
      <c r="AX7212" s="118">
        <f t="shared" ref="AX7212" si="10342">SUM(AR7212:AW7212)</f>
        <v>1330840</v>
      </c>
      <c r="AY7212" s="119"/>
      <c r="AZ7212" s="137">
        <v>46160</v>
      </c>
    </row>
    <row r="7213" spans="1:52" ht="17.100000000000001" customHeight="1" thickBot="1">
      <c r="A7213" s="110"/>
      <c r="B7213" s="27" t="s">
        <v>2559</v>
      </c>
      <c r="C7213" s="27">
        <v>3032</v>
      </c>
      <c r="D7213" s="14" t="s">
        <v>275</v>
      </c>
      <c r="E7213" s="112"/>
      <c r="F7213" s="139" t="s">
        <v>20477</v>
      </c>
      <c r="G7213" s="140"/>
      <c r="H7213" s="141"/>
      <c r="I7213" s="26">
        <v>19502</v>
      </c>
      <c r="J7213" s="117"/>
      <c r="K7213" s="120"/>
      <c r="L7213" s="121"/>
      <c r="M7213" s="120"/>
      <c r="N7213" s="121"/>
      <c r="O7213" s="120"/>
      <c r="P7213" s="121"/>
      <c r="Q7213" s="120"/>
      <c r="R7213" s="121"/>
      <c r="S7213" s="120"/>
      <c r="T7213" s="121"/>
      <c r="U7213" s="120"/>
      <c r="V7213" s="123"/>
      <c r="W7213" s="125"/>
      <c r="X7213" s="142" t="s">
        <v>21057</v>
      </c>
      <c r="Y7213" s="143"/>
      <c r="Z7213" s="143"/>
      <c r="AA7213" s="143"/>
      <c r="AB7213" s="144"/>
      <c r="AC7213" s="16" t="s">
        <v>21</v>
      </c>
      <c r="AD7213" s="17" t="s">
        <v>21034</v>
      </c>
      <c r="AE7213" s="145" t="s">
        <v>21058</v>
      </c>
      <c r="AF7213" s="146"/>
      <c r="AG7213" s="146"/>
      <c r="AH7213" s="146"/>
      <c r="AI7213" s="147"/>
      <c r="AJ7213" s="148"/>
      <c r="AK7213" s="143"/>
      <c r="AL7213" s="144"/>
      <c r="AM7213" s="22"/>
      <c r="AN7213" s="149" t="s">
        <v>2794</v>
      </c>
      <c r="AO7213" s="144"/>
      <c r="AP7213" s="148">
        <v>2031</v>
      </c>
      <c r="AQ7213" s="144"/>
      <c r="AR7213" s="120"/>
      <c r="AS7213" s="121"/>
      <c r="AT7213" s="120"/>
      <c r="AU7213" s="121"/>
      <c r="AV7213" s="120"/>
      <c r="AW7213" s="121"/>
      <c r="AX7213" s="120"/>
      <c r="AY7213" s="121"/>
      <c r="AZ7213" s="138"/>
    </row>
    <row r="7214" spans="1:52" ht="17.100000000000001" customHeight="1" thickTop="1">
      <c r="A7214" s="109" t="s">
        <v>20470</v>
      </c>
      <c r="B7214" s="28">
        <v>46099</v>
      </c>
      <c r="C7214" s="25">
        <v>1830</v>
      </c>
      <c r="D7214" s="13" t="s">
        <v>2179</v>
      </c>
      <c r="E7214" s="111"/>
      <c r="F7214" s="113" t="s">
        <v>20479</v>
      </c>
      <c r="G7214" s="114"/>
      <c r="H7214" s="115"/>
      <c r="I7214" s="24" t="s">
        <v>1547</v>
      </c>
      <c r="J7214" s="116">
        <v>4.5</v>
      </c>
      <c r="K7214" s="118">
        <v>684000</v>
      </c>
      <c r="L7214" s="119"/>
      <c r="M7214" s="118">
        <f t="shared" ref="M7214" si="10343">K7214*0.1</f>
        <v>68400</v>
      </c>
      <c r="N7214" s="119"/>
      <c r="O7214" s="118">
        <v>10800</v>
      </c>
      <c r="P7214" s="119"/>
      <c r="Q7214" s="118">
        <v>8140</v>
      </c>
      <c r="R7214" s="119"/>
      <c r="S7214" s="118">
        <v>18150</v>
      </c>
      <c r="T7214" s="119"/>
      <c r="U7214" s="118">
        <f t="shared" ref="U7214" si="10344">SUM(K7214:T7215)</f>
        <v>789490</v>
      </c>
      <c r="V7214" s="122"/>
      <c r="W7214" s="124"/>
      <c r="X7214" s="126" t="s">
        <v>20481</v>
      </c>
      <c r="Y7214" s="127"/>
      <c r="Z7214" s="127"/>
      <c r="AA7214" s="127"/>
      <c r="AB7214" s="128"/>
      <c r="AC7214" s="15" t="s">
        <v>20</v>
      </c>
      <c r="AD7214" s="129" t="s">
        <v>171</v>
      </c>
      <c r="AE7214" s="130"/>
      <c r="AF7214" s="130"/>
      <c r="AG7214" s="130"/>
      <c r="AH7214" s="130"/>
      <c r="AI7214" s="131"/>
      <c r="AJ7214" s="132"/>
      <c r="AK7214" s="127"/>
      <c r="AL7214" s="128"/>
      <c r="AM7214" s="21" t="s">
        <v>22314</v>
      </c>
      <c r="AN7214" s="133">
        <v>46113</v>
      </c>
      <c r="AO7214" s="134"/>
      <c r="AP7214" s="135">
        <v>1011</v>
      </c>
      <c r="AQ7214" s="136"/>
      <c r="AR7214" s="118">
        <v>750000</v>
      </c>
      <c r="AS7214" s="119"/>
      <c r="AT7214" s="118">
        <f t="shared" ref="AT7214" si="10345">AR7214*0.1</f>
        <v>75000</v>
      </c>
      <c r="AU7214" s="119"/>
      <c r="AV7214" s="118">
        <v>8140</v>
      </c>
      <c r="AW7214" s="119"/>
      <c r="AX7214" s="118">
        <f t="shared" ref="AX7214" si="10346">SUM(AR7214:AW7214)</f>
        <v>833140</v>
      </c>
      <c r="AY7214" s="119"/>
      <c r="AZ7214" s="137">
        <v>46121</v>
      </c>
    </row>
    <row r="7215" spans="1:52" ht="17.100000000000001" customHeight="1" thickBot="1">
      <c r="A7215" s="110"/>
      <c r="B7215" s="27" t="s">
        <v>2559</v>
      </c>
      <c r="C7215" s="27">
        <v>3043</v>
      </c>
      <c r="D7215" s="14" t="s">
        <v>2800</v>
      </c>
      <c r="E7215" s="112"/>
      <c r="F7215" s="139" t="s">
        <v>20480</v>
      </c>
      <c r="G7215" s="140"/>
      <c r="H7215" s="141"/>
      <c r="I7215" s="26">
        <v>53486</v>
      </c>
      <c r="J7215" s="117"/>
      <c r="K7215" s="120"/>
      <c r="L7215" s="121"/>
      <c r="M7215" s="120"/>
      <c r="N7215" s="121"/>
      <c r="O7215" s="120"/>
      <c r="P7215" s="121"/>
      <c r="Q7215" s="120"/>
      <c r="R7215" s="121"/>
      <c r="S7215" s="120"/>
      <c r="T7215" s="121"/>
      <c r="U7215" s="120"/>
      <c r="V7215" s="123"/>
      <c r="W7215" s="125"/>
      <c r="X7215" s="142" t="s">
        <v>14229</v>
      </c>
      <c r="Y7215" s="143"/>
      <c r="Z7215" s="143"/>
      <c r="AA7215" s="143"/>
      <c r="AB7215" s="144"/>
      <c r="AC7215" s="16" t="s">
        <v>21</v>
      </c>
      <c r="AD7215" s="17" t="s">
        <v>21034</v>
      </c>
      <c r="AE7215" s="145" t="s">
        <v>171</v>
      </c>
      <c r="AF7215" s="146"/>
      <c r="AG7215" s="146"/>
      <c r="AH7215" s="146"/>
      <c r="AI7215" s="147"/>
      <c r="AJ7215" s="148"/>
      <c r="AK7215" s="143"/>
      <c r="AL7215" s="144"/>
      <c r="AM7215" s="22"/>
      <c r="AN7215" s="149" t="s">
        <v>22288</v>
      </c>
      <c r="AO7215" s="144"/>
      <c r="AP7215" s="148">
        <v>2114</v>
      </c>
      <c r="AQ7215" s="144"/>
      <c r="AR7215" s="120"/>
      <c r="AS7215" s="121"/>
      <c r="AT7215" s="120"/>
      <c r="AU7215" s="121"/>
      <c r="AV7215" s="120"/>
      <c r="AW7215" s="121"/>
      <c r="AX7215" s="120"/>
      <c r="AY7215" s="121"/>
      <c r="AZ7215" s="138"/>
    </row>
    <row r="7216" spans="1:52" ht="17.100000000000001" customHeight="1" thickTop="1">
      <c r="A7216" s="109" t="s">
        <v>20471</v>
      </c>
      <c r="B7216" s="28">
        <v>46099</v>
      </c>
      <c r="C7216" s="25">
        <v>1830</v>
      </c>
      <c r="D7216" s="13" t="s">
        <v>2390</v>
      </c>
      <c r="E7216" s="111"/>
      <c r="F7216" s="113" t="s">
        <v>10867</v>
      </c>
      <c r="G7216" s="114"/>
      <c r="H7216" s="115"/>
      <c r="I7216" s="24" t="s">
        <v>3509</v>
      </c>
      <c r="J7216" s="116">
        <v>4.5</v>
      </c>
      <c r="K7216" s="118">
        <v>935000</v>
      </c>
      <c r="L7216" s="119"/>
      <c r="M7216" s="118">
        <f t="shared" ref="M7216" si="10347">K7216*0.1</f>
        <v>93500</v>
      </c>
      <c r="N7216" s="119"/>
      <c r="O7216" s="118">
        <v>14340</v>
      </c>
      <c r="P7216" s="119"/>
      <c r="Q7216" s="118">
        <v>45000</v>
      </c>
      <c r="R7216" s="119"/>
      <c r="S7216" s="118">
        <v>18150</v>
      </c>
      <c r="T7216" s="119"/>
      <c r="U7216" s="118">
        <f t="shared" ref="U7216" si="10348">SUM(K7216:T7217)</f>
        <v>1105990</v>
      </c>
      <c r="V7216" s="122"/>
      <c r="W7216" s="124"/>
      <c r="X7216" s="126" t="s">
        <v>20483</v>
      </c>
      <c r="Y7216" s="127"/>
      <c r="Z7216" s="127"/>
      <c r="AA7216" s="127"/>
      <c r="AB7216" s="128"/>
      <c r="AC7216" s="15" t="s">
        <v>20</v>
      </c>
      <c r="AD7216" s="129" t="s">
        <v>1945</v>
      </c>
      <c r="AE7216" s="130"/>
      <c r="AF7216" s="130"/>
      <c r="AG7216" s="130"/>
      <c r="AH7216" s="130"/>
      <c r="AI7216" s="131"/>
      <c r="AJ7216" s="132"/>
      <c r="AK7216" s="127"/>
      <c r="AL7216" s="128"/>
      <c r="AM7216" s="21"/>
      <c r="AN7216" s="133"/>
      <c r="AO7216" s="134"/>
      <c r="AP7216" s="135"/>
      <c r="AQ7216" s="136"/>
      <c r="AR7216" s="118"/>
      <c r="AS7216" s="119"/>
      <c r="AT7216" s="118">
        <f t="shared" ref="AT7216" si="10349">AR7216*0.1</f>
        <v>0</v>
      </c>
      <c r="AU7216" s="119"/>
      <c r="AV7216" s="118"/>
      <c r="AW7216" s="119"/>
      <c r="AX7216" s="118">
        <f t="shared" ref="AX7216" si="10350">SUM(AR7216:AW7216)</f>
        <v>0</v>
      </c>
      <c r="AY7216" s="119"/>
      <c r="AZ7216" s="137"/>
    </row>
    <row r="7217" spans="1:52" ht="17.100000000000001" customHeight="1" thickBot="1">
      <c r="A7217" s="110"/>
      <c r="B7217" s="27" t="s">
        <v>2559</v>
      </c>
      <c r="C7217" s="27">
        <v>30552</v>
      </c>
      <c r="D7217" s="14" t="s">
        <v>2601</v>
      </c>
      <c r="E7217" s="112"/>
      <c r="F7217" s="139" t="s">
        <v>20482</v>
      </c>
      <c r="G7217" s="140"/>
      <c r="H7217" s="141"/>
      <c r="I7217" s="26">
        <v>76666</v>
      </c>
      <c r="J7217" s="117"/>
      <c r="K7217" s="120"/>
      <c r="L7217" s="121"/>
      <c r="M7217" s="120"/>
      <c r="N7217" s="121"/>
      <c r="O7217" s="120"/>
      <c r="P7217" s="121"/>
      <c r="Q7217" s="120"/>
      <c r="R7217" s="121"/>
      <c r="S7217" s="120"/>
      <c r="T7217" s="121"/>
      <c r="U7217" s="120"/>
      <c r="V7217" s="123"/>
      <c r="W7217" s="125"/>
      <c r="X7217" s="142" t="s">
        <v>21198</v>
      </c>
      <c r="Y7217" s="143"/>
      <c r="Z7217" s="143"/>
      <c r="AA7217" s="143"/>
      <c r="AB7217" s="144"/>
      <c r="AC7217" s="16" t="s">
        <v>21</v>
      </c>
      <c r="AD7217" s="17" t="s">
        <v>2388</v>
      </c>
      <c r="AE7217" s="145" t="s">
        <v>21199</v>
      </c>
      <c r="AF7217" s="146"/>
      <c r="AG7217" s="146"/>
      <c r="AH7217" s="146"/>
      <c r="AI7217" s="147"/>
      <c r="AJ7217" s="148"/>
      <c r="AK7217" s="143"/>
      <c r="AL7217" s="144"/>
      <c r="AM7217" s="22"/>
      <c r="AN7217" s="149"/>
      <c r="AO7217" s="144"/>
      <c r="AP7217" s="148"/>
      <c r="AQ7217" s="144"/>
      <c r="AR7217" s="120"/>
      <c r="AS7217" s="121"/>
      <c r="AT7217" s="120"/>
      <c r="AU7217" s="121"/>
      <c r="AV7217" s="120"/>
      <c r="AW7217" s="121"/>
      <c r="AX7217" s="120"/>
      <c r="AY7217" s="121"/>
      <c r="AZ7217" s="138"/>
    </row>
    <row r="7218" spans="1:52" ht="17.100000000000001" customHeight="1" thickTop="1">
      <c r="A7218" s="109" t="s">
        <v>20472</v>
      </c>
      <c r="B7218" s="28">
        <v>46099</v>
      </c>
      <c r="C7218" s="25">
        <v>1830</v>
      </c>
      <c r="D7218" s="13" t="s">
        <v>2963</v>
      </c>
      <c r="E7218" s="111"/>
      <c r="F7218" s="113" t="s">
        <v>3667</v>
      </c>
      <c r="G7218" s="114"/>
      <c r="H7218" s="115"/>
      <c r="I7218" s="24" t="s">
        <v>1547</v>
      </c>
      <c r="J7218" s="116">
        <v>4.5</v>
      </c>
      <c r="K7218" s="118">
        <v>1275000</v>
      </c>
      <c r="L7218" s="119"/>
      <c r="M7218" s="118">
        <f t="shared" ref="M7218" si="10351">K7218*0.1</f>
        <v>127500</v>
      </c>
      <c r="N7218" s="119"/>
      <c r="O7218" s="118">
        <v>25000</v>
      </c>
      <c r="P7218" s="119"/>
      <c r="Q7218" s="118">
        <v>9150</v>
      </c>
      <c r="R7218" s="119"/>
      <c r="S7218" s="118">
        <v>18150</v>
      </c>
      <c r="T7218" s="119"/>
      <c r="U7218" s="118">
        <f t="shared" ref="U7218" si="10352">SUM(K7218:T7219)</f>
        <v>1454800</v>
      </c>
      <c r="V7218" s="122"/>
      <c r="W7218" s="124"/>
      <c r="X7218" s="126" t="s">
        <v>20485</v>
      </c>
      <c r="Y7218" s="127"/>
      <c r="Z7218" s="127"/>
      <c r="AA7218" s="127"/>
      <c r="AB7218" s="128"/>
      <c r="AC7218" s="15" t="s">
        <v>20</v>
      </c>
      <c r="AD7218" s="129" t="s">
        <v>5312</v>
      </c>
      <c r="AE7218" s="130"/>
      <c r="AF7218" s="130"/>
      <c r="AG7218" s="130"/>
      <c r="AH7218" s="130"/>
      <c r="AI7218" s="131"/>
      <c r="AJ7218" s="132"/>
      <c r="AK7218" s="127"/>
      <c r="AL7218" s="128"/>
      <c r="AM7218" s="21"/>
      <c r="AN7218" s="133">
        <v>46109</v>
      </c>
      <c r="AO7218" s="134"/>
      <c r="AP7218" s="135">
        <v>1294</v>
      </c>
      <c r="AQ7218" s="136"/>
      <c r="AR7218" s="118">
        <v>1390000</v>
      </c>
      <c r="AS7218" s="119"/>
      <c r="AT7218" s="118">
        <f t="shared" ref="AT7218" si="10353">AR7218*0.1</f>
        <v>139000</v>
      </c>
      <c r="AU7218" s="119"/>
      <c r="AV7218" s="118">
        <v>9150</v>
      </c>
      <c r="AW7218" s="119"/>
      <c r="AX7218" s="118">
        <f t="shared" ref="AX7218" si="10354">SUM(AR7218:AW7218)</f>
        <v>1538150</v>
      </c>
      <c r="AY7218" s="119"/>
      <c r="AZ7218" s="137">
        <v>46112</v>
      </c>
    </row>
    <row r="7219" spans="1:52" ht="17.100000000000001" customHeight="1" thickBot="1">
      <c r="A7219" s="110"/>
      <c r="B7219" s="27" t="s">
        <v>2559</v>
      </c>
      <c r="C7219" s="27">
        <v>36454</v>
      </c>
      <c r="D7219" s="14" t="s">
        <v>2800</v>
      </c>
      <c r="E7219" s="112"/>
      <c r="F7219" s="139" t="s">
        <v>20484</v>
      </c>
      <c r="G7219" s="140"/>
      <c r="H7219" s="141"/>
      <c r="I7219" s="26">
        <v>51563</v>
      </c>
      <c r="J7219" s="117"/>
      <c r="K7219" s="120"/>
      <c r="L7219" s="121"/>
      <c r="M7219" s="120"/>
      <c r="N7219" s="121"/>
      <c r="O7219" s="120"/>
      <c r="P7219" s="121"/>
      <c r="Q7219" s="120"/>
      <c r="R7219" s="121"/>
      <c r="S7219" s="120"/>
      <c r="T7219" s="121"/>
      <c r="U7219" s="120"/>
      <c r="V7219" s="123"/>
      <c r="W7219" s="125"/>
      <c r="X7219" s="142" t="s">
        <v>21195</v>
      </c>
      <c r="Y7219" s="143"/>
      <c r="Z7219" s="143"/>
      <c r="AA7219" s="143"/>
      <c r="AB7219" s="144"/>
      <c r="AC7219" s="16" t="s">
        <v>21</v>
      </c>
      <c r="AD7219" s="17" t="s">
        <v>2388</v>
      </c>
      <c r="AE7219" s="145" t="s">
        <v>21196</v>
      </c>
      <c r="AF7219" s="146"/>
      <c r="AG7219" s="146"/>
      <c r="AH7219" s="146"/>
      <c r="AI7219" s="147"/>
      <c r="AJ7219" s="148"/>
      <c r="AK7219" s="143"/>
      <c r="AL7219" s="144"/>
      <c r="AM7219" s="22"/>
      <c r="AN7219" s="149" t="s">
        <v>21802</v>
      </c>
      <c r="AO7219" s="144"/>
      <c r="AP7219" s="148">
        <v>55109</v>
      </c>
      <c r="AQ7219" s="144"/>
      <c r="AR7219" s="120"/>
      <c r="AS7219" s="121"/>
      <c r="AT7219" s="120"/>
      <c r="AU7219" s="121"/>
      <c r="AV7219" s="120"/>
      <c r="AW7219" s="121"/>
      <c r="AX7219" s="120"/>
      <c r="AY7219" s="121"/>
      <c r="AZ7219" s="138"/>
    </row>
    <row r="7220" spans="1:52" ht="17.100000000000001" customHeight="1" thickTop="1">
      <c r="A7220" s="109" t="s">
        <v>20473</v>
      </c>
      <c r="B7220" s="28">
        <v>46099</v>
      </c>
      <c r="C7220" s="25">
        <v>1830</v>
      </c>
      <c r="D7220" s="13" t="s">
        <v>1929</v>
      </c>
      <c r="E7220" s="111"/>
      <c r="F7220" s="113" t="s">
        <v>15565</v>
      </c>
      <c r="G7220" s="114"/>
      <c r="H7220" s="115"/>
      <c r="I7220" s="24"/>
      <c r="J7220" s="116">
        <v>4</v>
      </c>
      <c r="K7220" s="118">
        <v>1115000</v>
      </c>
      <c r="L7220" s="119"/>
      <c r="M7220" s="118">
        <f t="shared" ref="M7220" si="10355">K7220*0.1</f>
        <v>111500</v>
      </c>
      <c r="N7220" s="119"/>
      <c r="O7220" s="118">
        <v>0</v>
      </c>
      <c r="P7220" s="119"/>
      <c r="Q7220" s="118">
        <v>12030</v>
      </c>
      <c r="R7220" s="119"/>
      <c r="S7220" s="118">
        <v>18150</v>
      </c>
      <c r="T7220" s="119"/>
      <c r="U7220" s="118">
        <f t="shared" ref="U7220" si="10356">SUM(K7220:T7221)</f>
        <v>1256680</v>
      </c>
      <c r="V7220" s="122"/>
      <c r="W7220" s="124"/>
      <c r="X7220" s="126" t="s">
        <v>21160</v>
      </c>
      <c r="Y7220" s="127"/>
      <c r="Z7220" s="127"/>
      <c r="AA7220" s="127"/>
      <c r="AB7220" s="128"/>
      <c r="AC7220" s="15" t="s">
        <v>20</v>
      </c>
      <c r="AD7220" s="129" t="s">
        <v>1670</v>
      </c>
      <c r="AE7220" s="130"/>
      <c r="AF7220" s="130"/>
      <c r="AG7220" s="130"/>
      <c r="AH7220" s="130"/>
      <c r="AI7220" s="131"/>
      <c r="AJ7220" s="132"/>
      <c r="AK7220" s="127"/>
      <c r="AL7220" s="128"/>
      <c r="AM7220" s="21"/>
      <c r="AN7220" s="133">
        <v>46102</v>
      </c>
      <c r="AO7220" s="134"/>
      <c r="AP7220" s="135">
        <v>1293</v>
      </c>
      <c r="AQ7220" s="136"/>
      <c r="AR7220" s="118">
        <v>1220000</v>
      </c>
      <c r="AS7220" s="119"/>
      <c r="AT7220" s="118">
        <f t="shared" ref="AT7220" si="10357">AR7220*0.1</f>
        <v>122000</v>
      </c>
      <c r="AU7220" s="119"/>
      <c r="AV7220" s="118">
        <v>12030</v>
      </c>
      <c r="AW7220" s="119"/>
      <c r="AX7220" s="118">
        <f t="shared" ref="AX7220" si="10358">SUM(AR7220:AW7220)</f>
        <v>1354030</v>
      </c>
      <c r="AY7220" s="119"/>
      <c r="AZ7220" s="137">
        <v>46111</v>
      </c>
    </row>
    <row r="7221" spans="1:52" ht="17.100000000000001" customHeight="1" thickBot="1">
      <c r="A7221" s="110"/>
      <c r="B7221" s="27" t="s">
        <v>2559</v>
      </c>
      <c r="C7221" s="27">
        <v>36557</v>
      </c>
      <c r="D7221" s="14" t="s">
        <v>275</v>
      </c>
      <c r="E7221" s="112"/>
      <c r="F7221" s="139" t="s">
        <v>20486</v>
      </c>
      <c r="G7221" s="140"/>
      <c r="H7221" s="141"/>
      <c r="I7221" s="26">
        <v>50719</v>
      </c>
      <c r="J7221" s="117"/>
      <c r="K7221" s="120"/>
      <c r="L7221" s="121"/>
      <c r="M7221" s="120"/>
      <c r="N7221" s="121"/>
      <c r="O7221" s="120"/>
      <c r="P7221" s="121"/>
      <c r="Q7221" s="120"/>
      <c r="R7221" s="121"/>
      <c r="S7221" s="120"/>
      <c r="T7221" s="121"/>
      <c r="U7221" s="120"/>
      <c r="V7221" s="123"/>
      <c r="W7221" s="125"/>
      <c r="X7221" s="142" t="s">
        <v>1997</v>
      </c>
      <c r="Y7221" s="143"/>
      <c r="Z7221" s="143"/>
      <c r="AA7221" s="143"/>
      <c r="AB7221" s="144"/>
      <c r="AC7221" s="16" t="s">
        <v>21</v>
      </c>
      <c r="AD7221" s="17" t="s">
        <v>2388</v>
      </c>
      <c r="AE7221" s="145" t="s">
        <v>171</v>
      </c>
      <c r="AF7221" s="146"/>
      <c r="AG7221" s="146"/>
      <c r="AH7221" s="146"/>
      <c r="AI7221" s="147"/>
      <c r="AJ7221" s="148"/>
      <c r="AK7221" s="143"/>
      <c r="AL7221" s="144"/>
      <c r="AM7221" s="22"/>
      <c r="AN7221" s="149" t="s">
        <v>2511</v>
      </c>
      <c r="AO7221" s="144"/>
      <c r="AP7221" s="148">
        <v>131</v>
      </c>
      <c r="AQ7221" s="144"/>
      <c r="AR7221" s="120"/>
      <c r="AS7221" s="121"/>
      <c r="AT7221" s="120"/>
      <c r="AU7221" s="121"/>
      <c r="AV7221" s="120"/>
      <c r="AW7221" s="121"/>
      <c r="AX7221" s="120"/>
      <c r="AY7221" s="121"/>
      <c r="AZ7221" s="138"/>
    </row>
    <row r="7222" spans="1:52" ht="17.100000000000001" customHeight="1" thickTop="1">
      <c r="A7222" s="109" t="s">
        <v>20474</v>
      </c>
      <c r="B7222" s="28">
        <v>46099</v>
      </c>
      <c r="C7222" s="25">
        <v>1830</v>
      </c>
      <c r="D7222" s="13" t="s">
        <v>2941</v>
      </c>
      <c r="E7222" s="111"/>
      <c r="F7222" s="113" t="s">
        <v>20487</v>
      </c>
      <c r="G7222" s="114"/>
      <c r="H7222" s="115"/>
      <c r="I7222" s="24"/>
      <c r="J7222" s="116">
        <v>5</v>
      </c>
      <c r="K7222" s="118">
        <v>1295000</v>
      </c>
      <c r="L7222" s="119"/>
      <c r="M7222" s="118">
        <f t="shared" ref="M7222" si="10359">K7222*0.1</f>
        <v>129500</v>
      </c>
      <c r="N7222" s="119"/>
      <c r="O7222" s="118">
        <v>0</v>
      </c>
      <c r="P7222" s="119"/>
      <c r="Q7222" s="118">
        <v>17600</v>
      </c>
      <c r="R7222" s="119"/>
      <c r="S7222" s="118">
        <v>18150</v>
      </c>
      <c r="T7222" s="119"/>
      <c r="U7222" s="118">
        <f t="shared" ref="U7222" si="10360">SUM(K7222:T7223)</f>
        <v>1460250</v>
      </c>
      <c r="V7222" s="122"/>
      <c r="W7222" s="124"/>
      <c r="X7222" s="126" t="s">
        <v>21175</v>
      </c>
      <c r="Y7222" s="127"/>
      <c r="Z7222" s="127"/>
      <c r="AA7222" s="127"/>
      <c r="AB7222" s="128"/>
      <c r="AC7222" s="15" t="s">
        <v>20</v>
      </c>
      <c r="AD7222" s="129"/>
      <c r="AE7222" s="130"/>
      <c r="AF7222" s="130"/>
      <c r="AG7222" s="130"/>
      <c r="AH7222" s="130"/>
      <c r="AI7222" s="131"/>
      <c r="AJ7222" s="132"/>
      <c r="AK7222" s="127"/>
      <c r="AL7222" s="128"/>
      <c r="AM7222" s="21"/>
      <c r="AN7222" s="133">
        <v>46102</v>
      </c>
      <c r="AO7222" s="134"/>
      <c r="AP7222" s="135">
        <v>1293</v>
      </c>
      <c r="AQ7222" s="136"/>
      <c r="AR7222" s="118">
        <v>1420000</v>
      </c>
      <c r="AS7222" s="119"/>
      <c r="AT7222" s="118">
        <f t="shared" ref="AT7222" si="10361">AR7222*0.1</f>
        <v>142000</v>
      </c>
      <c r="AU7222" s="119"/>
      <c r="AV7222" s="118">
        <v>17800</v>
      </c>
      <c r="AW7222" s="119"/>
      <c r="AX7222" s="118">
        <f t="shared" ref="AX7222" si="10362">SUM(AR7222:AW7222)</f>
        <v>1579800</v>
      </c>
      <c r="AY7222" s="119"/>
      <c r="AZ7222" s="137">
        <v>46111</v>
      </c>
    </row>
    <row r="7223" spans="1:52" ht="17.100000000000001" customHeight="1" thickBot="1">
      <c r="A7223" s="110"/>
      <c r="B7223" s="27" t="s">
        <v>2559</v>
      </c>
      <c r="C7223" s="27">
        <v>38006</v>
      </c>
      <c r="D7223" s="14" t="s">
        <v>904</v>
      </c>
      <c r="E7223" s="112"/>
      <c r="F7223" s="139" t="s">
        <v>20488</v>
      </c>
      <c r="G7223" s="140"/>
      <c r="H7223" s="141"/>
      <c r="I7223" s="26">
        <v>38636</v>
      </c>
      <c r="J7223" s="117"/>
      <c r="K7223" s="120"/>
      <c r="L7223" s="121"/>
      <c r="M7223" s="120"/>
      <c r="N7223" s="121"/>
      <c r="O7223" s="120"/>
      <c r="P7223" s="121"/>
      <c r="Q7223" s="120"/>
      <c r="R7223" s="121"/>
      <c r="S7223" s="120"/>
      <c r="T7223" s="121"/>
      <c r="U7223" s="120"/>
      <c r="V7223" s="123"/>
      <c r="W7223" s="125"/>
      <c r="X7223" s="142" t="s">
        <v>3857</v>
      </c>
      <c r="Y7223" s="143"/>
      <c r="Z7223" s="143"/>
      <c r="AA7223" s="143"/>
      <c r="AB7223" s="144"/>
      <c r="AC7223" s="16" t="s">
        <v>21</v>
      </c>
      <c r="AD7223" s="17" t="s">
        <v>2388</v>
      </c>
      <c r="AE7223" s="145" t="s">
        <v>20959</v>
      </c>
      <c r="AF7223" s="146"/>
      <c r="AG7223" s="146"/>
      <c r="AH7223" s="146"/>
      <c r="AI7223" s="147"/>
      <c r="AJ7223" s="148"/>
      <c r="AK7223" s="143"/>
      <c r="AL7223" s="144"/>
      <c r="AM7223" s="22"/>
      <c r="AN7223" s="149" t="s">
        <v>21216</v>
      </c>
      <c r="AO7223" s="144"/>
      <c r="AP7223" s="148">
        <v>80374</v>
      </c>
      <c r="AQ7223" s="144"/>
      <c r="AR7223" s="120"/>
      <c r="AS7223" s="121"/>
      <c r="AT7223" s="120"/>
      <c r="AU7223" s="121"/>
      <c r="AV7223" s="120"/>
      <c r="AW7223" s="121"/>
      <c r="AX7223" s="120"/>
      <c r="AY7223" s="121"/>
      <c r="AZ7223" s="138"/>
    </row>
    <row r="7224" spans="1:52" ht="17.100000000000001" customHeight="1" thickTop="1">
      <c r="A7224" s="109" t="s">
        <v>20475</v>
      </c>
      <c r="B7224" s="28">
        <v>46099</v>
      </c>
      <c r="C7224" s="25">
        <v>1830</v>
      </c>
      <c r="D7224" s="13" t="s">
        <v>2616</v>
      </c>
      <c r="E7224" s="111"/>
      <c r="F7224" s="113" t="s">
        <v>4559</v>
      </c>
      <c r="G7224" s="114"/>
      <c r="H7224" s="115"/>
      <c r="I7224" s="24"/>
      <c r="J7224" s="116">
        <v>4.5</v>
      </c>
      <c r="K7224" s="118">
        <v>895000</v>
      </c>
      <c r="L7224" s="119"/>
      <c r="M7224" s="118">
        <f t="shared" ref="M7224" si="10363">K7224*0.1</f>
        <v>89500</v>
      </c>
      <c r="N7224" s="119"/>
      <c r="O7224" s="118">
        <v>0</v>
      </c>
      <c r="P7224" s="119"/>
      <c r="Q7224" s="118">
        <v>17600</v>
      </c>
      <c r="R7224" s="119"/>
      <c r="S7224" s="118">
        <v>18150</v>
      </c>
      <c r="T7224" s="119"/>
      <c r="U7224" s="118">
        <f t="shared" ref="U7224" si="10364">SUM(K7224:T7225)</f>
        <v>1020250</v>
      </c>
      <c r="V7224" s="122"/>
      <c r="W7224" s="124"/>
      <c r="X7224" s="126" t="s">
        <v>21242</v>
      </c>
      <c r="Y7224" s="127"/>
      <c r="Z7224" s="127"/>
      <c r="AA7224" s="127"/>
      <c r="AB7224" s="128"/>
      <c r="AC7224" s="15" t="s">
        <v>20</v>
      </c>
      <c r="AD7224" s="129"/>
      <c r="AE7224" s="130"/>
      <c r="AF7224" s="130"/>
      <c r="AG7224" s="130"/>
      <c r="AH7224" s="130"/>
      <c r="AI7224" s="131"/>
      <c r="AJ7224" s="132"/>
      <c r="AK7224" s="127"/>
      <c r="AL7224" s="128"/>
      <c r="AM7224" s="21"/>
      <c r="AN7224" s="133">
        <v>46106</v>
      </c>
      <c r="AO7224" s="134"/>
      <c r="AP7224" s="135">
        <v>1010</v>
      </c>
      <c r="AQ7224" s="136"/>
      <c r="AR7224" s="118">
        <v>1200000</v>
      </c>
      <c r="AS7224" s="119"/>
      <c r="AT7224" s="118">
        <f t="shared" ref="AT7224" si="10365">AR7224*0.1</f>
        <v>120000</v>
      </c>
      <c r="AU7224" s="119"/>
      <c r="AV7224" s="118">
        <v>17600</v>
      </c>
      <c r="AW7224" s="119"/>
      <c r="AX7224" s="118">
        <f t="shared" ref="AX7224" si="10366">SUM(AR7224:AW7224)</f>
        <v>1337600</v>
      </c>
      <c r="AY7224" s="119"/>
      <c r="AZ7224" s="137">
        <v>46112</v>
      </c>
    </row>
    <row r="7225" spans="1:52" ht="17.100000000000001" customHeight="1" thickBot="1">
      <c r="A7225" s="110"/>
      <c r="B7225" s="27" t="s">
        <v>2559</v>
      </c>
      <c r="C7225" s="27">
        <v>38197</v>
      </c>
      <c r="D7225" s="14" t="s">
        <v>1635</v>
      </c>
      <c r="E7225" s="112"/>
      <c r="F7225" s="139" t="s">
        <v>20489</v>
      </c>
      <c r="G7225" s="140"/>
      <c r="H7225" s="141"/>
      <c r="I7225" s="26">
        <v>57404</v>
      </c>
      <c r="J7225" s="117"/>
      <c r="K7225" s="120"/>
      <c r="L7225" s="121"/>
      <c r="M7225" s="120"/>
      <c r="N7225" s="121"/>
      <c r="O7225" s="120"/>
      <c r="P7225" s="121"/>
      <c r="Q7225" s="120"/>
      <c r="R7225" s="121"/>
      <c r="S7225" s="120"/>
      <c r="T7225" s="121"/>
      <c r="U7225" s="120"/>
      <c r="V7225" s="123"/>
      <c r="W7225" s="125"/>
      <c r="X7225" s="142" t="s">
        <v>21243</v>
      </c>
      <c r="Y7225" s="143"/>
      <c r="Z7225" s="143"/>
      <c r="AA7225" s="143"/>
      <c r="AB7225" s="144"/>
      <c r="AC7225" s="16" t="s">
        <v>21</v>
      </c>
      <c r="AD7225" s="17" t="s">
        <v>21230</v>
      </c>
      <c r="AE7225" s="145" t="s">
        <v>20962</v>
      </c>
      <c r="AF7225" s="146"/>
      <c r="AG7225" s="146"/>
      <c r="AH7225" s="146"/>
      <c r="AI7225" s="147"/>
      <c r="AJ7225" s="148"/>
      <c r="AK7225" s="143"/>
      <c r="AL7225" s="144"/>
      <c r="AM7225" s="22"/>
      <c r="AN7225" s="149" t="s">
        <v>8809</v>
      </c>
      <c r="AO7225" s="144"/>
      <c r="AP7225" s="148">
        <v>5267</v>
      </c>
      <c r="AQ7225" s="144"/>
      <c r="AR7225" s="120"/>
      <c r="AS7225" s="121"/>
      <c r="AT7225" s="120"/>
      <c r="AU7225" s="121"/>
      <c r="AV7225" s="120"/>
      <c r="AW7225" s="121"/>
      <c r="AX7225" s="120"/>
      <c r="AY7225" s="121"/>
      <c r="AZ7225" s="138"/>
    </row>
    <row r="7226" spans="1:52" ht="17.100000000000001" customHeight="1" thickTop="1">
      <c r="A7226" s="109" t="s">
        <v>20631</v>
      </c>
      <c r="B7226" s="28">
        <v>46100</v>
      </c>
      <c r="C7226" s="25">
        <v>1323</v>
      </c>
      <c r="D7226" s="13" t="s">
        <v>2322</v>
      </c>
      <c r="E7226" s="111"/>
      <c r="F7226" s="113" t="s">
        <v>20646</v>
      </c>
      <c r="G7226" s="114"/>
      <c r="H7226" s="115"/>
      <c r="I7226" s="24"/>
      <c r="J7226" s="116">
        <v>4.5</v>
      </c>
      <c r="K7226" s="118">
        <v>1105000</v>
      </c>
      <c r="L7226" s="119"/>
      <c r="M7226" s="118">
        <f t="shared" ref="M7226" si="10367">K7226*0.1</f>
        <v>110500</v>
      </c>
      <c r="N7226" s="119"/>
      <c r="O7226" s="118">
        <v>0</v>
      </c>
      <c r="P7226" s="119"/>
      <c r="Q7226" s="118">
        <v>19090</v>
      </c>
      <c r="R7226" s="119"/>
      <c r="S7226" s="118">
        <v>16500</v>
      </c>
      <c r="T7226" s="119"/>
      <c r="U7226" s="118">
        <f t="shared" ref="U7226" si="10368">SUM(K7226:T7227)</f>
        <v>1251090</v>
      </c>
      <c r="V7226" s="122"/>
      <c r="W7226" s="124"/>
      <c r="X7226" s="126" t="s">
        <v>21159</v>
      </c>
      <c r="Y7226" s="127"/>
      <c r="Z7226" s="127"/>
      <c r="AA7226" s="127"/>
      <c r="AB7226" s="128"/>
      <c r="AC7226" s="15" t="s">
        <v>20</v>
      </c>
      <c r="AD7226" s="129" t="s">
        <v>3821</v>
      </c>
      <c r="AE7226" s="130"/>
      <c r="AF7226" s="130"/>
      <c r="AG7226" s="130"/>
      <c r="AH7226" s="130"/>
      <c r="AI7226" s="131"/>
      <c r="AJ7226" s="132"/>
      <c r="AK7226" s="127"/>
      <c r="AL7226" s="128"/>
      <c r="AM7226" s="21"/>
      <c r="AN7226" s="133">
        <v>46102</v>
      </c>
      <c r="AO7226" s="134"/>
      <c r="AP7226" s="135">
        <v>1293</v>
      </c>
      <c r="AQ7226" s="136"/>
      <c r="AR7226" s="118">
        <v>1255000</v>
      </c>
      <c r="AS7226" s="119"/>
      <c r="AT7226" s="118">
        <f t="shared" ref="AT7226" si="10369">AR7226*0.1</f>
        <v>125500</v>
      </c>
      <c r="AU7226" s="119"/>
      <c r="AV7226" s="118">
        <v>19090</v>
      </c>
      <c r="AW7226" s="119"/>
      <c r="AX7226" s="118">
        <f t="shared" ref="AX7226" si="10370">SUM(AR7226:AW7226)</f>
        <v>1399590</v>
      </c>
      <c r="AY7226" s="119"/>
      <c r="AZ7226" s="137">
        <v>46111</v>
      </c>
    </row>
    <row r="7227" spans="1:52" ht="17.100000000000001" customHeight="1" thickBot="1">
      <c r="A7227" s="110"/>
      <c r="B7227" s="27" t="s">
        <v>1747</v>
      </c>
      <c r="C7227" s="27">
        <v>156</v>
      </c>
      <c r="D7227" s="14" t="s">
        <v>1592</v>
      </c>
      <c r="E7227" s="112"/>
      <c r="F7227" s="139" t="s">
        <v>20647</v>
      </c>
      <c r="G7227" s="140"/>
      <c r="H7227" s="141"/>
      <c r="I7227" s="26">
        <v>41717</v>
      </c>
      <c r="J7227" s="117"/>
      <c r="K7227" s="120"/>
      <c r="L7227" s="121"/>
      <c r="M7227" s="120"/>
      <c r="N7227" s="121"/>
      <c r="O7227" s="120"/>
      <c r="P7227" s="121"/>
      <c r="Q7227" s="120"/>
      <c r="R7227" s="121"/>
      <c r="S7227" s="120"/>
      <c r="T7227" s="121"/>
      <c r="U7227" s="120"/>
      <c r="V7227" s="123"/>
      <c r="W7227" s="125"/>
      <c r="X7227" s="142" t="s">
        <v>16203</v>
      </c>
      <c r="Y7227" s="143"/>
      <c r="Z7227" s="143"/>
      <c r="AA7227" s="143"/>
      <c r="AB7227" s="144"/>
      <c r="AC7227" s="16" t="s">
        <v>21</v>
      </c>
      <c r="AD7227" s="17" t="s">
        <v>2388</v>
      </c>
      <c r="AE7227" s="145" t="s">
        <v>1742</v>
      </c>
      <c r="AF7227" s="146"/>
      <c r="AG7227" s="146"/>
      <c r="AH7227" s="146"/>
      <c r="AI7227" s="147"/>
      <c r="AJ7227" s="148"/>
      <c r="AK7227" s="143"/>
      <c r="AL7227" s="144"/>
      <c r="AM7227" s="22"/>
      <c r="AN7227" s="149" t="s">
        <v>2511</v>
      </c>
      <c r="AO7227" s="144"/>
      <c r="AP7227" s="148">
        <v>80358</v>
      </c>
      <c r="AQ7227" s="144"/>
      <c r="AR7227" s="120"/>
      <c r="AS7227" s="121"/>
      <c r="AT7227" s="120"/>
      <c r="AU7227" s="121"/>
      <c r="AV7227" s="120"/>
      <c r="AW7227" s="121"/>
      <c r="AX7227" s="120"/>
      <c r="AY7227" s="121"/>
      <c r="AZ7227" s="138"/>
    </row>
    <row r="7228" spans="1:52" ht="17.100000000000001" customHeight="1" thickTop="1">
      <c r="A7228" s="109" t="s">
        <v>20632</v>
      </c>
      <c r="B7228" s="28">
        <v>46100</v>
      </c>
      <c r="C7228" s="25">
        <v>1323</v>
      </c>
      <c r="D7228" s="13" t="s">
        <v>2298</v>
      </c>
      <c r="E7228" s="111"/>
      <c r="F7228" s="113" t="s">
        <v>20796</v>
      </c>
      <c r="G7228" s="114"/>
      <c r="H7228" s="115"/>
      <c r="I7228" s="24"/>
      <c r="J7228" s="116">
        <v>4.5</v>
      </c>
      <c r="K7228" s="118">
        <v>2905000</v>
      </c>
      <c r="L7228" s="119"/>
      <c r="M7228" s="118">
        <f t="shared" ref="M7228" si="10371">K7228*0.1</f>
        <v>290500</v>
      </c>
      <c r="N7228" s="119"/>
      <c r="O7228" s="118">
        <v>0</v>
      </c>
      <c r="P7228" s="119"/>
      <c r="Q7228" s="118">
        <v>21360</v>
      </c>
      <c r="R7228" s="119"/>
      <c r="S7228" s="118">
        <v>16500</v>
      </c>
      <c r="T7228" s="119"/>
      <c r="U7228" s="118">
        <f t="shared" ref="U7228" si="10372">SUM(K7228:T7229)</f>
        <v>3233360</v>
      </c>
      <c r="V7228" s="122"/>
      <c r="W7228" s="124"/>
      <c r="X7228" s="126" t="s">
        <v>21279</v>
      </c>
      <c r="Y7228" s="127"/>
      <c r="Z7228" s="127"/>
      <c r="AA7228" s="127"/>
      <c r="AB7228" s="128"/>
      <c r="AC7228" s="15" t="s">
        <v>20</v>
      </c>
      <c r="AD7228" s="129" t="s">
        <v>3828</v>
      </c>
      <c r="AE7228" s="130"/>
      <c r="AF7228" s="130"/>
      <c r="AG7228" s="130"/>
      <c r="AH7228" s="130"/>
      <c r="AI7228" s="131"/>
      <c r="AJ7228" s="132"/>
      <c r="AK7228" s="127"/>
      <c r="AL7228" s="128"/>
      <c r="AM7228" s="21"/>
      <c r="AN7228" s="133"/>
      <c r="AO7228" s="134"/>
      <c r="AP7228" s="135"/>
      <c r="AQ7228" s="136"/>
      <c r="AR7228" s="118"/>
      <c r="AS7228" s="119"/>
      <c r="AT7228" s="118">
        <f t="shared" ref="AT7228" si="10373">AR7228*0.1</f>
        <v>0</v>
      </c>
      <c r="AU7228" s="119"/>
      <c r="AV7228" s="118"/>
      <c r="AW7228" s="119"/>
      <c r="AX7228" s="118">
        <f t="shared" ref="AX7228" si="10374">SUM(AR7228:AW7228)</f>
        <v>0</v>
      </c>
      <c r="AY7228" s="119"/>
      <c r="AZ7228" s="137"/>
    </row>
    <row r="7229" spans="1:52" ht="17.100000000000001" customHeight="1" thickBot="1">
      <c r="A7229" s="110"/>
      <c r="B7229" s="27" t="s">
        <v>1747</v>
      </c>
      <c r="C7229" s="27">
        <v>502</v>
      </c>
      <c r="D7229" s="14" t="s">
        <v>1592</v>
      </c>
      <c r="E7229" s="112"/>
      <c r="F7229" s="139" t="s">
        <v>20648</v>
      </c>
      <c r="G7229" s="140"/>
      <c r="H7229" s="141"/>
      <c r="I7229" s="26">
        <v>33765</v>
      </c>
      <c r="J7229" s="117"/>
      <c r="K7229" s="120"/>
      <c r="L7229" s="121"/>
      <c r="M7229" s="120"/>
      <c r="N7229" s="121"/>
      <c r="O7229" s="120"/>
      <c r="P7229" s="121"/>
      <c r="Q7229" s="120"/>
      <c r="R7229" s="121"/>
      <c r="S7229" s="120"/>
      <c r="T7229" s="121"/>
      <c r="U7229" s="120"/>
      <c r="V7229" s="123"/>
      <c r="W7229" s="125"/>
      <c r="X7229" s="142" t="s">
        <v>21268</v>
      </c>
      <c r="Y7229" s="143"/>
      <c r="Z7229" s="143"/>
      <c r="AA7229" s="143"/>
      <c r="AB7229" s="144"/>
      <c r="AC7229" s="16" t="s">
        <v>21</v>
      </c>
      <c r="AD7229" s="17" t="s">
        <v>21249</v>
      </c>
      <c r="AE7229" s="145" t="s">
        <v>21231</v>
      </c>
      <c r="AF7229" s="146"/>
      <c r="AG7229" s="146"/>
      <c r="AH7229" s="146"/>
      <c r="AI7229" s="147"/>
      <c r="AJ7229" s="148"/>
      <c r="AK7229" s="143"/>
      <c r="AL7229" s="144"/>
      <c r="AM7229" s="22"/>
      <c r="AN7229" s="149"/>
      <c r="AO7229" s="144"/>
      <c r="AP7229" s="148"/>
      <c r="AQ7229" s="144"/>
      <c r="AR7229" s="120"/>
      <c r="AS7229" s="121"/>
      <c r="AT7229" s="120"/>
      <c r="AU7229" s="121"/>
      <c r="AV7229" s="120"/>
      <c r="AW7229" s="121"/>
      <c r="AX7229" s="120"/>
      <c r="AY7229" s="121"/>
      <c r="AZ7229" s="138"/>
    </row>
    <row r="7230" spans="1:52" ht="17.100000000000001" customHeight="1" thickTop="1">
      <c r="A7230" s="109" t="s">
        <v>20633</v>
      </c>
      <c r="B7230" s="28">
        <v>46100</v>
      </c>
      <c r="C7230" s="25">
        <v>1323</v>
      </c>
      <c r="D7230" s="13" t="s">
        <v>1714</v>
      </c>
      <c r="E7230" s="111"/>
      <c r="F7230" s="113" t="s">
        <v>20649</v>
      </c>
      <c r="G7230" s="114"/>
      <c r="H7230" s="115"/>
      <c r="I7230" s="24"/>
      <c r="J7230" s="116">
        <v>4.5</v>
      </c>
      <c r="K7230" s="118">
        <v>2935000</v>
      </c>
      <c r="L7230" s="119"/>
      <c r="M7230" s="118">
        <f t="shared" ref="M7230" si="10375">K7230*0.1</f>
        <v>293500</v>
      </c>
      <c r="N7230" s="119"/>
      <c r="O7230" s="118">
        <v>0</v>
      </c>
      <c r="P7230" s="119"/>
      <c r="Q7230" s="118">
        <v>21140</v>
      </c>
      <c r="R7230" s="119"/>
      <c r="S7230" s="118">
        <v>16500</v>
      </c>
      <c r="T7230" s="119"/>
      <c r="U7230" s="118">
        <f t="shared" ref="U7230" si="10376">SUM(K7230:T7231)</f>
        <v>3266140</v>
      </c>
      <c r="V7230" s="122"/>
      <c r="W7230" s="124"/>
      <c r="X7230" s="126" t="s">
        <v>21056</v>
      </c>
      <c r="Y7230" s="127"/>
      <c r="Z7230" s="127"/>
      <c r="AA7230" s="127"/>
      <c r="AB7230" s="128"/>
      <c r="AC7230" s="15" t="s">
        <v>20</v>
      </c>
      <c r="AD7230" s="129" t="s">
        <v>3821</v>
      </c>
      <c r="AE7230" s="130"/>
      <c r="AF7230" s="130"/>
      <c r="AG7230" s="130"/>
      <c r="AH7230" s="130"/>
      <c r="AI7230" s="131"/>
      <c r="AJ7230" s="132"/>
      <c r="AK7230" s="127"/>
      <c r="AL7230" s="128"/>
      <c r="AM7230" s="21"/>
      <c r="AN7230" s="133">
        <v>46137</v>
      </c>
      <c r="AO7230" s="134"/>
      <c r="AP7230" s="135">
        <v>1298</v>
      </c>
      <c r="AQ7230" s="136"/>
      <c r="AR7230" s="118">
        <v>3100000</v>
      </c>
      <c r="AS7230" s="119"/>
      <c r="AT7230" s="118">
        <f t="shared" ref="AT7230" si="10377">AR7230*0.1</f>
        <v>310000</v>
      </c>
      <c r="AU7230" s="119"/>
      <c r="AV7230" s="118">
        <v>21140</v>
      </c>
      <c r="AW7230" s="119"/>
      <c r="AX7230" s="118">
        <f t="shared" ref="AX7230" si="10378">SUM(AR7230:AW7230)</f>
        <v>3431140</v>
      </c>
      <c r="AY7230" s="119"/>
      <c r="AZ7230" s="137">
        <v>46140</v>
      </c>
    </row>
    <row r="7231" spans="1:52" ht="17.100000000000001" customHeight="1" thickBot="1">
      <c r="A7231" s="110"/>
      <c r="B7231" s="27" t="s">
        <v>1747</v>
      </c>
      <c r="C7231" s="27">
        <v>566</v>
      </c>
      <c r="D7231" s="14" t="s">
        <v>1592</v>
      </c>
      <c r="E7231" s="112"/>
      <c r="F7231" s="139" t="s">
        <v>20650</v>
      </c>
      <c r="G7231" s="140"/>
      <c r="H7231" s="141"/>
      <c r="I7231" s="26">
        <v>39341</v>
      </c>
      <c r="J7231" s="117"/>
      <c r="K7231" s="120"/>
      <c r="L7231" s="121"/>
      <c r="M7231" s="120"/>
      <c r="N7231" s="121"/>
      <c r="O7231" s="120"/>
      <c r="P7231" s="121"/>
      <c r="Q7231" s="120"/>
      <c r="R7231" s="121"/>
      <c r="S7231" s="120"/>
      <c r="T7231" s="121"/>
      <c r="U7231" s="120"/>
      <c r="V7231" s="123"/>
      <c r="W7231" s="125"/>
      <c r="X7231" s="142" t="s">
        <v>11808</v>
      </c>
      <c r="Y7231" s="143"/>
      <c r="Z7231" s="143"/>
      <c r="AA7231" s="143"/>
      <c r="AB7231" s="144"/>
      <c r="AC7231" s="16" t="s">
        <v>21</v>
      </c>
      <c r="AD7231" s="17" t="s">
        <v>21034</v>
      </c>
      <c r="AE7231" s="145" t="s">
        <v>1742</v>
      </c>
      <c r="AF7231" s="146"/>
      <c r="AG7231" s="146"/>
      <c r="AH7231" s="146"/>
      <c r="AI7231" s="147"/>
      <c r="AJ7231" s="148"/>
      <c r="AK7231" s="143"/>
      <c r="AL7231" s="144"/>
      <c r="AM7231" s="22"/>
      <c r="AN7231" s="149" t="s">
        <v>2511</v>
      </c>
      <c r="AO7231" s="144"/>
      <c r="AP7231" s="148">
        <v>80237</v>
      </c>
      <c r="AQ7231" s="144"/>
      <c r="AR7231" s="120"/>
      <c r="AS7231" s="121"/>
      <c r="AT7231" s="120"/>
      <c r="AU7231" s="121"/>
      <c r="AV7231" s="120"/>
      <c r="AW7231" s="121"/>
      <c r="AX7231" s="120"/>
      <c r="AY7231" s="121"/>
      <c r="AZ7231" s="138"/>
    </row>
    <row r="7232" spans="1:52" ht="17.100000000000001" customHeight="1" thickTop="1">
      <c r="A7232" s="109" t="s">
        <v>20634</v>
      </c>
      <c r="B7232" s="28">
        <v>46100</v>
      </c>
      <c r="C7232" s="25">
        <v>1323</v>
      </c>
      <c r="D7232" s="13" t="s">
        <v>3014</v>
      </c>
      <c r="E7232" s="111"/>
      <c r="F7232" s="113" t="s">
        <v>20651</v>
      </c>
      <c r="G7232" s="114"/>
      <c r="H7232" s="115"/>
      <c r="I7232" s="24" t="s">
        <v>4193</v>
      </c>
      <c r="J7232" s="116">
        <v>4.5</v>
      </c>
      <c r="K7232" s="118">
        <v>1440000</v>
      </c>
      <c r="L7232" s="119"/>
      <c r="M7232" s="118">
        <f t="shared" ref="M7232" si="10379">K7232*0.1</f>
        <v>144000</v>
      </c>
      <c r="N7232" s="119"/>
      <c r="O7232" s="118">
        <v>36000</v>
      </c>
      <c r="P7232" s="119"/>
      <c r="Q7232" s="118">
        <v>20630</v>
      </c>
      <c r="R7232" s="119"/>
      <c r="S7232" s="118">
        <v>16500</v>
      </c>
      <c r="T7232" s="119"/>
      <c r="U7232" s="118">
        <f t="shared" ref="U7232" si="10380">SUM(K7232:T7233)</f>
        <v>1657130</v>
      </c>
      <c r="V7232" s="122"/>
      <c r="W7232" s="124"/>
      <c r="X7232" s="126" t="s">
        <v>20797</v>
      </c>
      <c r="Y7232" s="127"/>
      <c r="Z7232" s="127"/>
      <c r="AA7232" s="127"/>
      <c r="AB7232" s="128"/>
      <c r="AC7232" s="15" t="s">
        <v>20</v>
      </c>
      <c r="AD7232" s="129" t="s">
        <v>7231</v>
      </c>
      <c r="AE7232" s="130"/>
      <c r="AF7232" s="130"/>
      <c r="AG7232" s="130"/>
      <c r="AH7232" s="130"/>
      <c r="AI7232" s="131"/>
      <c r="AJ7232" s="132"/>
      <c r="AK7232" s="127"/>
      <c r="AL7232" s="128"/>
      <c r="AM7232" s="21"/>
      <c r="AN7232" s="133">
        <v>46123</v>
      </c>
      <c r="AO7232" s="134"/>
      <c r="AP7232" s="135">
        <v>1296</v>
      </c>
      <c r="AQ7232" s="136"/>
      <c r="AR7232" s="118">
        <v>1550000</v>
      </c>
      <c r="AS7232" s="119"/>
      <c r="AT7232" s="118">
        <f t="shared" ref="AT7232" si="10381">AR7232*0.1</f>
        <v>155000</v>
      </c>
      <c r="AU7232" s="119"/>
      <c r="AV7232" s="118">
        <v>20630</v>
      </c>
      <c r="AW7232" s="119"/>
      <c r="AX7232" s="118">
        <f t="shared" ref="AX7232" si="10382">SUM(AR7232:AW7232)</f>
        <v>1725630</v>
      </c>
      <c r="AY7232" s="119"/>
      <c r="AZ7232" s="137">
        <v>46126</v>
      </c>
    </row>
    <row r="7233" spans="1:52" ht="17.100000000000001" customHeight="1" thickBot="1">
      <c r="A7233" s="110"/>
      <c r="B7233" s="27" t="s">
        <v>1747</v>
      </c>
      <c r="C7233" s="27">
        <v>602</v>
      </c>
      <c r="D7233" s="14" t="s">
        <v>275</v>
      </c>
      <c r="E7233" s="112"/>
      <c r="F7233" s="139" t="s">
        <v>20652</v>
      </c>
      <c r="G7233" s="140"/>
      <c r="H7233" s="141"/>
      <c r="I7233" s="26">
        <v>80794</v>
      </c>
      <c r="J7233" s="117"/>
      <c r="K7233" s="120"/>
      <c r="L7233" s="121"/>
      <c r="M7233" s="120"/>
      <c r="N7233" s="121"/>
      <c r="O7233" s="120"/>
      <c r="P7233" s="121"/>
      <c r="Q7233" s="120"/>
      <c r="R7233" s="121"/>
      <c r="S7233" s="120"/>
      <c r="T7233" s="121"/>
      <c r="U7233" s="120"/>
      <c r="V7233" s="123"/>
      <c r="W7233" s="125"/>
      <c r="X7233" s="142" t="s">
        <v>1861</v>
      </c>
      <c r="Y7233" s="143"/>
      <c r="Z7233" s="143"/>
      <c r="AA7233" s="143"/>
      <c r="AB7233" s="144"/>
      <c r="AC7233" s="16" t="s">
        <v>21</v>
      </c>
      <c r="AD7233" s="17" t="s">
        <v>21034</v>
      </c>
      <c r="AE7233" s="145" t="s">
        <v>1614</v>
      </c>
      <c r="AF7233" s="146"/>
      <c r="AG7233" s="146"/>
      <c r="AH7233" s="146"/>
      <c r="AI7233" s="147"/>
      <c r="AJ7233" s="148"/>
      <c r="AK7233" s="143"/>
      <c r="AL7233" s="144"/>
      <c r="AM7233" s="22"/>
      <c r="AN7233" s="149" t="s">
        <v>23030</v>
      </c>
      <c r="AO7233" s="144"/>
      <c r="AP7233" s="148">
        <v>80353</v>
      </c>
      <c r="AQ7233" s="144"/>
      <c r="AR7233" s="120"/>
      <c r="AS7233" s="121"/>
      <c r="AT7233" s="120"/>
      <c r="AU7233" s="121"/>
      <c r="AV7233" s="120"/>
      <c r="AW7233" s="121"/>
      <c r="AX7233" s="120"/>
      <c r="AY7233" s="121"/>
      <c r="AZ7233" s="138"/>
    </row>
    <row r="7234" spans="1:52" ht="17.100000000000001" customHeight="1" thickTop="1">
      <c r="A7234" s="109" t="s">
        <v>20635</v>
      </c>
      <c r="B7234" s="28">
        <v>46100</v>
      </c>
      <c r="C7234" s="25">
        <v>1323</v>
      </c>
      <c r="D7234" s="13" t="s">
        <v>1971</v>
      </c>
      <c r="E7234" s="111"/>
      <c r="F7234" s="113" t="s">
        <v>15535</v>
      </c>
      <c r="G7234" s="114"/>
      <c r="H7234" s="115"/>
      <c r="I7234" s="24" t="s">
        <v>2919</v>
      </c>
      <c r="J7234" s="116">
        <v>4.5</v>
      </c>
      <c r="K7234" s="118">
        <v>1285000</v>
      </c>
      <c r="L7234" s="119"/>
      <c r="M7234" s="118">
        <f t="shared" ref="M7234" si="10383">K7234*0.1</f>
        <v>128500</v>
      </c>
      <c r="N7234" s="119"/>
      <c r="O7234" s="118">
        <v>10000</v>
      </c>
      <c r="P7234" s="119"/>
      <c r="Q7234" s="118">
        <v>8630</v>
      </c>
      <c r="R7234" s="119"/>
      <c r="S7234" s="118">
        <v>18700</v>
      </c>
      <c r="T7234" s="119"/>
      <c r="U7234" s="118">
        <f t="shared" ref="U7234" si="10384">SUM(K7234:T7235)</f>
        <v>1450830</v>
      </c>
      <c r="V7234" s="122"/>
      <c r="W7234" s="124"/>
      <c r="X7234" s="126" t="s">
        <v>20799</v>
      </c>
      <c r="Y7234" s="127"/>
      <c r="Z7234" s="127"/>
      <c r="AA7234" s="127"/>
      <c r="AB7234" s="128"/>
      <c r="AC7234" s="15" t="s">
        <v>20</v>
      </c>
      <c r="AD7234" s="129" t="s">
        <v>3821</v>
      </c>
      <c r="AE7234" s="130"/>
      <c r="AF7234" s="130"/>
      <c r="AG7234" s="130"/>
      <c r="AH7234" s="130"/>
      <c r="AI7234" s="131"/>
      <c r="AJ7234" s="132"/>
      <c r="AK7234" s="127"/>
      <c r="AL7234" s="128"/>
      <c r="AM7234" s="21"/>
      <c r="AN7234" s="133">
        <v>46106</v>
      </c>
      <c r="AO7234" s="134"/>
      <c r="AP7234" s="135">
        <v>1010</v>
      </c>
      <c r="AQ7234" s="136"/>
      <c r="AR7234" s="118">
        <v>1360000</v>
      </c>
      <c r="AS7234" s="119"/>
      <c r="AT7234" s="118">
        <f t="shared" ref="AT7234" si="10385">AR7234*0.1</f>
        <v>136000</v>
      </c>
      <c r="AU7234" s="119"/>
      <c r="AV7234" s="118">
        <v>8630</v>
      </c>
      <c r="AW7234" s="119"/>
      <c r="AX7234" s="118">
        <f t="shared" ref="AX7234" si="10386">SUM(AR7234:AW7234)</f>
        <v>1504630</v>
      </c>
      <c r="AY7234" s="119"/>
      <c r="AZ7234" s="137">
        <v>46111</v>
      </c>
    </row>
    <row r="7235" spans="1:52" ht="17.100000000000001" customHeight="1" thickBot="1">
      <c r="A7235" s="110"/>
      <c r="B7235" s="27" t="s">
        <v>1747</v>
      </c>
      <c r="C7235" s="27">
        <v>613</v>
      </c>
      <c r="D7235" s="14" t="s">
        <v>1592</v>
      </c>
      <c r="E7235" s="112"/>
      <c r="F7235" s="139" t="s">
        <v>20798</v>
      </c>
      <c r="G7235" s="140"/>
      <c r="H7235" s="141"/>
      <c r="I7235" s="26">
        <v>18234</v>
      </c>
      <c r="J7235" s="117"/>
      <c r="K7235" s="120"/>
      <c r="L7235" s="121"/>
      <c r="M7235" s="120"/>
      <c r="N7235" s="121"/>
      <c r="O7235" s="120"/>
      <c r="P7235" s="121"/>
      <c r="Q7235" s="120"/>
      <c r="R7235" s="121"/>
      <c r="S7235" s="120"/>
      <c r="T7235" s="121"/>
      <c r="U7235" s="120"/>
      <c r="V7235" s="123"/>
      <c r="W7235" s="125"/>
      <c r="X7235" s="142" t="s">
        <v>9448</v>
      </c>
      <c r="Y7235" s="143"/>
      <c r="Z7235" s="143"/>
      <c r="AA7235" s="143"/>
      <c r="AB7235" s="144"/>
      <c r="AC7235" s="16" t="s">
        <v>21</v>
      </c>
      <c r="AD7235" s="17" t="s">
        <v>21034</v>
      </c>
      <c r="AE7235" s="145" t="s">
        <v>1742</v>
      </c>
      <c r="AF7235" s="146"/>
      <c r="AG7235" s="146"/>
      <c r="AH7235" s="146"/>
      <c r="AI7235" s="147"/>
      <c r="AJ7235" s="148"/>
      <c r="AK7235" s="143"/>
      <c r="AL7235" s="144"/>
      <c r="AM7235" s="22"/>
      <c r="AN7235" s="149" t="s">
        <v>21324</v>
      </c>
      <c r="AO7235" s="144"/>
      <c r="AP7235" s="148">
        <v>5083</v>
      </c>
      <c r="AQ7235" s="144"/>
      <c r="AR7235" s="120"/>
      <c r="AS7235" s="121"/>
      <c r="AT7235" s="120"/>
      <c r="AU7235" s="121"/>
      <c r="AV7235" s="120"/>
      <c r="AW7235" s="121"/>
      <c r="AX7235" s="120"/>
      <c r="AY7235" s="121"/>
      <c r="AZ7235" s="138"/>
    </row>
    <row r="7236" spans="1:52" ht="17.100000000000001" customHeight="1" thickTop="1">
      <c r="A7236" s="109" t="s">
        <v>20636</v>
      </c>
      <c r="B7236" s="28">
        <v>46100</v>
      </c>
      <c r="C7236" s="25">
        <v>1323</v>
      </c>
      <c r="D7236" s="13" t="s">
        <v>2298</v>
      </c>
      <c r="E7236" s="111"/>
      <c r="F7236" s="113" t="s">
        <v>20653</v>
      </c>
      <c r="G7236" s="114"/>
      <c r="H7236" s="115"/>
      <c r="I7236" s="24"/>
      <c r="J7236" s="116">
        <v>4.5</v>
      </c>
      <c r="K7236" s="118">
        <v>3205000</v>
      </c>
      <c r="L7236" s="119"/>
      <c r="M7236" s="118">
        <f t="shared" ref="M7236" si="10387">K7236*0.1</f>
        <v>320500</v>
      </c>
      <c r="N7236" s="119"/>
      <c r="O7236" s="118">
        <v>0</v>
      </c>
      <c r="P7236" s="119"/>
      <c r="Q7236" s="118">
        <v>21020</v>
      </c>
      <c r="R7236" s="119"/>
      <c r="S7236" s="118">
        <v>16500</v>
      </c>
      <c r="T7236" s="119"/>
      <c r="U7236" s="118">
        <f t="shared" ref="U7236" si="10388">SUM(K7236:T7237)</f>
        <v>3563020</v>
      </c>
      <c r="V7236" s="122"/>
      <c r="W7236" s="124"/>
      <c r="X7236" s="126" t="s">
        <v>21267</v>
      </c>
      <c r="Y7236" s="127"/>
      <c r="Z7236" s="127"/>
      <c r="AA7236" s="127"/>
      <c r="AB7236" s="128"/>
      <c r="AC7236" s="15" t="s">
        <v>20</v>
      </c>
      <c r="AD7236" s="129" t="s">
        <v>21266</v>
      </c>
      <c r="AE7236" s="130"/>
      <c r="AF7236" s="130"/>
      <c r="AG7236" s="130"/>
      <c r="AH7236" s="130"/>
      <c r="AI7236" s="131"/>
      <c r="AJ7236" s="132" t="s">
        <v>21269</v>
      </c>
      <c r="AK7236" s="127"/>
      <c r="AL7236" s="128"/>
      <c r="AM7236" s="21"/>
      <c r="AN7236" s="133">
        <v>46102</v>
      </c>
      <c r="AO7236" s="134"/>
      <c r="AP7236" s="135">
        <v>1293</v>
      </c>
      <c r="AQ7236" s="136"/>
      <c r="AR7236" s="118">
        <v>3400000</v>
      </c>
      <c r="AS7236" s="119"/>
      <c r="AT7236" s="118">
        <f t="shared" ref="AT7236" si="10389">AR7236*0.1</f>
        <v>340000</v>
      </c>
      <c r="AU7236" s="119"/>
      <c r="AV7236" s="118">
        <v>21020</v>
      </c>
      <c r="AW7236" s="119"/>
      <c r="AX7236" s="118">
        <f t="shared" ref="AX7236" si="10390">SUM(AR7236:AW7236)</f>
        <v>3761020</v>
      </c>
      <c r="AY7236" s="119"/>
      <c r="AZ7236" s="137">
        <v>46111</v>
      </c>
    </row>
    <row r="7237" spans="1:52" ht="17.100000000000001" customHeight="1" thickBot="1">
      <c r="A7237" s="110"/>
      <c r="B7237" s="27" t="s">
        <v>1747</v>
      </c>
      <c r="C7237" s="27">
        <v>618</v>
      </c>
      <c r="D7237" s="14" t="s">
        <v>275</v>
      </c>
      <c r="E7237" s="112"/>
      <c r="F7237" s="139" t="s">
        <v>20654</v>
      </c>
      <c r="G7237" s="140"/>
      <c r="H7237" s="141"/>
      <c r="I7237" s="26" t="s">
        <v>20800</v>
      </c>
      <c r="J7237" s="117"/>
      <c r="K7237" s="120"/>
      <c r="L7237" s="121"/>
      <c r="M7237" s="120"/>
      <c r="N7237" s="121"/>
      <c r="O7237" s="120"/>
      <c r="P7237" s="121"/>
      <c r="Q7237" s="120"/>
      <c r="R7237" s="121"/>
      <c r="S7237" s="120"/>
      <c r="T7237" s="121"/>
      <c r="U7237" s="120"/>
      <c r="V7237" s="123"/>
      <c r="W7237" s="125"/>
      <c r="X7237" s="142" t="s">
        <v>21268</v>
      </c>
      <c r="Y7237" s="143"/>
      <c r="Z7237" s="143"/>
      <c r="AA7237" s="143"/>
      <c r="AB7237" s="144"/>
      <c r="AC7237" s="16" t="s">
        <v>21</v>
      </c>
      <c r="AD7237" s="17" t="s">
        <v>21249</v>
      </c>
      <c r="AE7237" s="145" t="s">
        <v>21259</v>
      </c>
      <c r="AF7237" s="146"/>
      <c r="AG7237" s="146"/>
      <c r="AH7237" s="146"/>
      <c r="AI7237" s="147"/>
      <c r="AJ7237" s="148"/>
      <c r="AK7237" s="143"/>
      <c r="AL7237" s="144"/>
      <c r="AM7237" s="22"/>
      <c r="AN7237" s="149" t="s">
        <v>2511</v>
      </c>
      <c r="AO7237" s="144"/>
      <c r="AP7237" s="148">
        <v>80357</v>
      </c>
      <c r="AQ7237" s="144"/>
      <c r="AR7237" s="120"/>
      <c r="AS7237" s="121"/>
      <c r="AT7237" s="120"/>
      <c r="AU7237" s="121"/>
      <c r="AV7237" s="120"/>
      <c r="AW7237" s="121"/>
      <c r="AX7237" s="120"/>
      <c r="AY7237" s="121"/>
      <c r="AZ7237" s="138"/>
    </row>
    <row r="7238" spans="1:52" ht="17.100000000000001" customHeight="1" thickTop="1">
      <c r="A7238" s="109" t="s">
        <v>20637</v>
      </c>
      <c r="B7238" s="28">
        <v>46100</v>
      </c>
      <c r="C7238" s="25">
        <v>2150</v>
      </c>
      <c r="D7238" s="13" t="s">
        <v>1825</v>
      </c>
      <c r="E7238" s="111"/>
      <c r="F7238" s="113" t="s">
        <v>20783</v>
      </c>
      <c r="G7238" s="114"/>
      <c r="H7238" s="115"/>
      <c r="I7238" s="24"/>
      <c r="J7238" s="116">
        <v>4.5</v>
      </c>
      <c r="K7238" s="118">
        <v>638000</v>
      </c>
      <c r="L7238" s="119"/>
      <c r="M7238" s="118">
        <f t="shared" ref="M7238" si="10391">K7238*0.1</f>
        <v>63800</v>
      </c>
      <c r="N7238" s="119"/>
      <c r="O7238" s="118">
        <v>0</v>
      </c>
      <c r="P7238" s="119"/>
      <c r="Q7238" s="118">
        <v>6550</v>
      </c>
      <c r="R7238" s="119"/>
      <c r="S7238" s="118">
        <v>14300</v>
      </c>
      <c r="T7238" s="119"/>
      <c r="U7238" s="118">
        <f t="shared" ref="U7238" si="10392">SUM(K7238:T7239)</f>
        <v>722650</v>
      </c>
      <c r="V7238" s="122"/>
      <c r="W7238" s="124"/>
      <c r="X7238" s="126" t="s">
        <v>21206</v>
      </c>
      <c r="Y7238" s="127"/>
      <c r="Z7238" s="127"/>
      <c r="AA7238" s="127"/>
      <c r="AB7238" s="128"/>
      <c r="AC7238" s="15" t="s">
        <v>20</v>
      </c>
      <c r="AD7238" s="129" t="s">
        <v>1670</v>
      </c>
      <c r="AE7238" s="130"/>
      <c r="AF7238" s="130"/>
      <c r="AG7238" s="130"/>
      <c r="AH7238" s="130"/>
      <c r="AI7238" s="131"/>
      <c r="AJ7238" s="132"/>
      <c r="AK7238" s="127"/>
      <c r="AL7238" s="128"/>
      <c r="AM7238" s="21"/>
      <c r="AN7238" s="133">
        <v>46120</v>
      </c>
      <c r="AO7238" s="134"/>
      <c r="AP7238" s="135">
        <v>1012</v>
      </c>
      <c r="AQ7238" s="136"/>
      <c r="AR7238" s="118">
        <v>660000</v>
      </c>
      <c r="AS7238" s="119"/>
      <c r="AT7238" s="118">
        <f t="shared" ref="AT7238" si="10393">AR7238*0.1</f>
        <v>66000</v>
      </c>
      <c r="AU7238" s="119"/>
      <c r="AV7238" s="118">
        <v>6550</v>
      </c>
      <c r="AW7238" s="119"/>
      <c r="AX7238" s="118">
        <f t="shared" ref="AX7238" si="10394">SUM(AR7238:AW7238)</f>
        <v>732550</v>
      </c>
      <c r="AY7238" s="119"/>
      <c r="AZ7238" s="137">
        <v>46125</v>
      </c>
    </row>
    <row r="7239" spans="1:52" ht="17.100000000000001" customHeight="1" thickBot="1">
      <c r="A7239" s="110"/>
      <c r="B7239" s="27" t="s">
        <v>1940</v>
      </c>
      <c r="C7239" s="27">
        <v>2125</v>
      </c>
      <c r="D7239" s="14" t="s">
        <v>1720</v>
      </c>
      <c r="E7239" s="112"/>
      <c r="F7239" s="139" t="s">
        <v>20693</v>
      </c>
      <c r="G7239" s="140"/>
      <c r="H7239" s="141"/>
      <c r="I7239" s="26">
        <v>13336</v>
      </c>
      <c r="J7239" s="117"/>
      <c r="K7239" s="120"/>
      <c r="L7239" s="121"/>
      <c r="M7239" s="120"/>
      <c r="N7239" s="121"/>
      <c r="O7239" s="120"/>
      <c r="P7239" s="121"/>
      <c r="Q7239" s="120"/>
      <c r="R7239" s="121"/>
      <c r="S7239" s="120"/>
      <c r="T7239" s="121"/>
      <c r="U7239" s="120"/>
      <c r="V7239" s="123"/>
      <c r="W7239" s="125"/>
      <c r="X7239" s="142" t="s">
        <v>21207</v>
      </c>
      <c r="Y7239" s="143"/>
      <c r="Z7239" s="143"/>
      <c r="AA7239" s="143"/>
      <c r="AB7239" s="144"/>
      <c r="AC7239" s="16" t="s">
        <v>21</v>
      </c>
      <c r="AD7239" s="17" t="s">
        <v>2388</v>
      </c>
      <c r="AE7239" s="145" t="s">
        <v>1670</v>
      </c>
      <c r="AF7239" s="146"/>
      <c r="AG7239" s="146"/>
      <c r="AH7239" s="146"/>
      <c r="AI7239" s="147"/>
      <c r="AJ7239" s="148"/>
      <c r="AK7239" s="143"/>
      <c r="AL7239" s="144"/>
      <c r="AM7239" s="22"/>
      <c r="AN7239" s="149" t="s">
        <v>9053</v>
      </c>
      <c r="AO7239" s="144"/>
      <c r="AP7239" s="148">
        <v>2050</v>
      </c>
      <c r="AQ7239" s="144"/>
      <c r="AR7239" s="120"/>
      <c r="AS7239" s="121"/>
      <c r="AT7239" s="120"/>
      <c r="AU7239" s="121"/>
      <c r="AV7239" s="120"/>
      <c r="AW7239" s="121"/>
      <c r="AX7239" s="120"/>
      <c r="AY7239" s="121"/>
      <c r="AZ7239" s="138"/>
    </row>
    <row r="7240" spans="1:52" ht="17.100000000000001" customHeight="1" thickTop="1">
      <c r="A7240" s="109" t="s">
        <v>20638</v>
      </c>
      <c r="B7240" s="28">
        <v>46100</v>
      </c>
      <c r="C7240" s="25">
        <v>2150</v>
      </c>
      <c r="D7240" s="13" t="s">
        <v>2355</v>
      </c>
      <c r="E7240" s="111"/>
      <c r="F7240" s="113" t="s">
        <v>15949</v>
      </c>
      <c r="G7240" s="114"/>
      <c r="H7240" s="115"/>
      <c r="I7240" s="24" t="s">
        <v>20784</v>
      </c>
      <c r="J7240" s="116">
        <v>5</v>
      </c>
      <c r="K7240" s="118">
        <v>848000</v>
      </c>
      <c r="L7240" s="119"/>
      <c r="M7240" s="118">
        <f t="shared" ref="M7240" si="10395">K7240*0.1</f>
        <v>84800</v>
      </c>
      <c r="N7240" s="119"/>
      <c r="O7240" s="118">
        <v>10800</v>
      </c>
      <c r="P7240" s="119"/>
      <c r="Q7240" s="118">
        <v>0</v>
      </c>
      <c r="R7240" s="119"/>
      <c r="S7240" s="118">
        <v>14300</v>
      </c>
      <c r="T7240" s="119"/>
      <c r="U7240" s="118">
        <f t="shared" ref="U7240" si="10396">SUM(K7240:T7241)</f>
        <v>957900</v>
      </c>
      <c r="V7240" s="122"/>
      <c r="W7240" s="124"/>
      <c r="X7240" s="126" t="s">
        <v>20785</v>
      </c>
      <c r="Y7240" s="127"/>
      <c r="Z7240" s="127"/>
      <c r="AA7240" s="127"/>
      <c r="AB7240" s="128"/>
      <c r="AC7240" s="15" t="s">
        <v>20</v>
      </c>
      <c r="AD7240" s="129"/>
      <c r="AE7240" s="130"/>
      <c r="AF7240" s="130"/>
      <c r="AG7240" s="130"/>
      <c r="AH7240" s="130"/>
      <c r="AI7240" s="131"/>
      <c r="AJ7240" s="132"/>
      <c r="AK7240" s="127"/>
      <c r="AL7240" s="128"/>
      <c r="AM7240" s="21"/>
      <c r="AN7240" s="133">
        <v>46105</v>
      </c>
      <c r="AO7240" s="134"/>
      <c r="AP7240" s="135">
        <v>1934</v>
      </c>
      <c r="AQ7240" s="136"/>
      <c r="AR7240" s="118">
        <v>891000</v>
      </c>
      <c r="AS7240" s="119"/>
      <c r="AT7240" s="118">
        <f t="shared" ref="AT7240" si="10397">AR7240*0.1</f>
        <v>89100</v>
      </c>
      <c r="AU7240" s="119"/>
      <c r="AV7240" s="118">
        <v>6550</v>
      </c>
      <c r="AW7240" s="119"/>
      <c r="AX7240" s="118">
        <f t="shared" ref="AX7240" si="10398">SUM(AR7240:AW7240)</f>
        <v>986650</v>
      </c>
      <c r="AY7240" s="119"/>
      <c r="AZ7240" s="137"/>
    </row>
    <row r="7241" spans="1:52" ht="17.100000000000001" customHeight="1" thickBot="1">
      <c r="A7241" s="110"/>
      <c r="B7241" s="27" t="s">
        <v>1940</v>
      </c>
      <c r="C7241" s="27">
        <v>2134</v>
      </c>
      <c r="D7241" s="14" t="s">
        <v>1720</v>
      </c>
      <c r="E7241" s="112"/>
      <c r="F7241" s="139" t="s">
        <v>20694</v>
      </c>
      <c r="G7241" s="140"/>
      <c r="H7241" s="141"/>
      <c r="I7241" s="26">
        <v>5456</v>
      </c>
      <c r="J7241" s="117"/>
      <c r="K7241" s="120"/>
      <c r="L7241" s="121"/>
      <c r="M7241" s="120"/>
      <c r="N7241" s="121"/>
      <c r="O7241" s="120"/>
      <c r="P7241" s="121"/>
      <c r="Q7241" s="120"/>
      <c r="R7241" s="121"/>
      <c r="S7241" s="120"/>
      <c r="T7241" s="121"/>
      <c r="U7241" s="120"/>
      <c r="V7241" s="123"/>
      <c r="W7241" s="125"/>
      <c r="X7241" s="142" t="s">
        <v>21158</v>
      </c>
      <c r="Y7241" s="143"/>
      <c r="Z7241" s="143"/>
      <c r="AA7241" s="143"/>
      <c r="AB7241" s="144"/>
      <c r="AC7241" s="16" t="s">
        <v>21</v>
      </c>
      <c r="AD7241" s="17" t="s">
        <v>2388</v>
      </c>
      <c r="AE7241" s="145" t="s">
        <v>6839</v>
      </c>
      <c r="AF7241" s="146"/>
      <c r="AG7241" s="146"/>
      <c r="AH7241" s="146"/>
      <c r="AI7241" s="147"/>
      <c r="AJ7241" s="148"/>
      <c r="AK7241" s="143"/>
      <c r="AL7241" s="144"/>
      <c r="AM7241" s="22"/>
      <c r="AN7241" s="149" t="s">
        <v>2131</v>
      </c>
      <c r="AO7241" s="144"/>
      <c r="AP7241" s="148">
        <v>3439</v>
      </c>
      <c r="AQ7241" s="144"/>
      <c r="AR7241" s="120"/>
      <c r="AS7241" s="121"/>
      <c r="AT7241" s="120"/>
      <c r="AU7241" s="121"/>
      <c r="AV7241" s="120"/>
      <c r="AW7241" s="121"/>
      <c r="AX7241" s="120"/>
      <c r="AY7241" s="121"/>
      <c r="AZ7241" s="138"/>
    </row>
    <row r="7242" spans="1:52" ht="17.100000000000001" customHeight="1" thickTop="1">
      <c r="A7242" s="109" t="s">
        <v>20639</v>
      </c>
      <c r="B7242" s="28">
        <v>46100</v>
      </c>
      <c r="C7242" s="25">
        <v>2150</v>
      </c>
      <c r="D7242" s="13" t="s">
        <v>2187</v>
      </c>
      <c r="E7242" s="111"/>
      <c r="F7242" s="113" t="s">
        <v>18540</v>
      </c>
      <c r="G7242" s="114"/>
      <c r="H7242" s="115"/>
      <c r="I7242" s="24" t="s">
        <v>14660</v>
      </c>
      <c r="J7242" s="116">
        <v>4</v>
      </c>
      <c r="K7242" s="118">
        <v>866000</v>
      </c>
      <c r="L7242" s="119"/>
      <c r="M7242" s="118">
        <f t="shared" ref="M7242" si="10399">K7242*0.1</f>
        <v>86600</v>
      </c>
      <c r="N7242" s="119"/>
      <c r="O7242" s="118">
        <v>10800</v>
      </c>
      <c r="P7242" s="119"/>
      <c r="Q7242" s="118">
        <v>8110</v>
      </c>
      <c r="R7242" s="119"/>
      <c r="S7242" s="118">
        <v>14300</v>
      </c>
      <c r="T7242" s="119"/>
      <c r="U7242" s="118">
        <f t="shared" ref="U7242" si="10400">SUM(K7242:T7243)</f>
        <v>985810</v>
      </c>
      <c r="V7242" s="122"/>
      <c r="W7242" s="124"/>
      <c r="X7242" s="126" t="s">
        <v>20786</v>
      </c>
      <c r="Y7242" s="127"/>
      <c r="Z7242" s="127"/>
      <c r="AA7242" s="127"/>
      <c r="AB7242" s="128"/>
      <c r="AC7242" s="15" t="s">
        <v>20</v>
      </c>
      <c r="AD7242" s="129" t="s">
        <v>4435</v>
      </c>
      <c r="AE7242" s="130"/>
      <c r="AF7242" s="130"/>
      <c r="AG7242" s="130"/>
      <c r="AH7242" s="130"/>
      <c r="AI7242" s="131"/>
      <c r="AJ7242" s="132"/>
      <c r="AK7242" s="127"/>
      <c r="AL7242" s="128"/>
      <c r="AM7242" s="21"/>
      <c r="AN7242" s="133">
        <v>46106</v>
      </c>
      <c r="AO7242" s="134"/>
      <c r="AP7242" s="135">
        <v>1010</v>
      </c>
      <c r="AQ7242" s="136"/>
      <c r="AR7242" s="118">
        <v>940000</v>
      </c>
      <c r="AS7242" s="119"/>
      <c r="AT7242" s="118">
        <f t="shared" ref="AT7242" si="10401">AR7242*0.1</f>
        <v>94000</v>
      </c>
      <c r="AU7242" s="119"/>
      <c r="AV7242" s="118">
        <v>8110</v>
      </c>
      <c r="AW7242" s="119"/>
      <c r="AX7242" s="118">
        <f t="shared" ref="AX7242" si="10402">SUM(AR7242:AW7242)</f>
        <v>1042110</v>
      </c>
      <c r="AY7242" s="119"/>
      <c r="AZ7242" s="137">
        <v>46111</v>
      </c>
    </row>
    <row r="7243" spans="1:52" ht="17.100000000000001" customHeight="1" thickBot="1">
      <c r="A7243" s="110"/>
      <c r="B7243" s="27" t="s">
        <v>1940</v>
      </c>
      <c r="C7243" s="27">
        <v>2523</v>
      </c>
      <c r="D7243" s="14" t="s">
        <v>275</v>
      </c>
      <c r="E7243" s="112"/>
      <c r="F7243" s="139" t="s">
        <v>20695</v>
      </c>
      <c r="G7243" s="140"/>
      <c r="H7243" s="141"/>
      <c r="I7243" s="26">
        <v>53881</v>
      </c>
      <c r="J7243" s="117"/>
      <c r="K7243" s="120"/>
      <c r="L7243" s="121"/>
      <c r="M7243" s="120"/>
      <c r="N7243" s="121"/>
      <c r="O7243" s="120"/>
      <c r="P7243" s="121"/>
      <c r="Q7243" s="120"/>
      <c r="R7243" s="121"/>
      <c r="S7243" s="120"/>
      <c r="T7243" s="121"/>
      <c r="U7243" s="120"/>
      <c r="V7243" s="123"/>
      <c r="W7243" s="125"/>
      <c r="X7243" s="142" t="s">
        <v>17681</v>
      </c>
      <c r="Y7243" s="143"/>
      <c r="Z7243" s="143"/>
      <c r="AA7243" s="143"/>
      <c r="AB7243" s="144"/>
      <c r="AC7243" s="16" t="s">
        <v>21</v>
      </c>
      <c r="AD7243" s="17" t="s">
        <v>2388</v>
      </c>
      <c r="AE7243" s="145" t="s">
        <v>4488</v>
      </c>
      <c r="AF7243" s="146"/>
      <c r="AG7243" s="146"/>
      <c r="AH7243" s="146"/>
      <c r="AI7243" s="147"/>
      <c r="AJ7243" s="148"/>
      <c r="AK7243" s="143"/>
      <c r="AL7243" s="144"/>
      <c r="AM7243" s="22"/>
      <c r="AN7243" s="149" t="s">
        <v>2794</v>
      </c>
      <c r="AO7243" s="144"/>
      <c r="AP7243" s="148">
        <v>5119</v>
      </c>
      <c r="AQ7243" s="144"/>
      <c r="AR7243" s="120"/>
      <c r="AS7243" s="121"/>
      <c r="AT7243" s="120"/>
      <c r="AU7243" s="121"/>
      <c r="AV7243" s="120"/>
      <c r="AW7243" s="121"/>
      <c r="AX7243" s="120"/>
      <c r="AY7243" s="121"/>
      <c r="AZ7243" s="138"/>
    </row>
    <row r="7244" spans="1:52" ht="17.100000000000001" customHeight="1" thickTop="1">
      <c r="A7244" s="109" t="s">
        <v>20640</v>
      </c>
      <c r="B7244" s="28">
        <v>46100</v>
      </c>
      <c r="C7244" s="25">
        <v>2150</v>
      </c>
      <c r="D7244" s="13" t="s">
        <v>1027</v>
      </c>
      <c r="E7244" s="111"/>
      <c r="F7244" s="113" t="s">
        <v>7586</v>
      </c>
      <c r="G7244" s="114"/>
      <c r="H7244" s="115"/>
      <c r="I7244" s="24"/>
      <c r="J7244" s="116">
        <v>4</v>
      </c>
      <c r="K7244" s="118">
        <v>307000</v>
      </c>
      <c r="L7244" s="119"/>
      <c r="M7244" s="118">
        <f t="shared" ref="M7244" si="10403">K7244*0.1</f>
        <v>30700</v>
      </c>
      <c r="N7244" s="119"/>
      <c r="O7244" s="118">
        <v>0</v>
      </c>
      <c r="P7244" s="119"/>
      <c r="Q7244" s="118">
        <v>9770</v>
      </c>
      <c r="R7244" s="119"/>
      <c r="S7244" s="118">
        <v>14300</v>
      </c>
      <c r="T7244" s="119"/>
      <c r="U7244" s="118">
        <f t="shared" ref="U7244" si="10404">SUM(K7244:T7245)</f>
        <v>361770</v>
      </c>
      <c r="V7244" s="122"/>
      <c r="W7244" s="124"/>
      <c r="X7244" s="126" t="s">
        <v>21617</v>
      </c>
      <c r="Y7244" s="127"/>
      <c r="Z7244" s="127"/>
      <c r="AA7244" s="127"/>
      <c r="AB7244" s="128"/>
      <c r="AC7244" s="15" t="s">
        <v>20</v>
      </c>
      <c r="AD7244" s="129"/>
      <c r="AE7244" s="130"/>
      <c r="AF7244" s="130"/>
      <c r="AG7244" s="130"/>
      <c r="AH7244" s="130"/>
      <c r="AI7244" s="131"/>
      <c r="AJ7244" s="132"/>
      <c r="AK7244" s="127"/>
      <c r="AL7244" s="128"/>
      <c r="AM7244" s="21"/>
      <c r="AN7244" s="133">
        <v>46106</v>
      </c>
      <c r="AO7244" s="134"/>
      <c r="AP7244" s="135">
        <v>1010</v>
      </c>
      <c r="AQ7244" s="136"/>
      <c r="AR7244" s="118">
        <v>370000</v>
      </c>
      <c r="AS7244" s="119"/>
      <c r="AT7244" s="118">
        <f t="shared" ref="AT7244" si="10405">AR7244*0.1</f>
        <v>37000</v>
      </c>
      <c r="AU7244" s="119"/>
      <c r="AV7244" s="118">
        <v>9770</v>
      </c>
      <c r="AW7244" s="119"/>
      <c r="AX7244" s="118">
        <f t="shared" ref="AX7244" si="10406">SUM(AR7244:AW7244)</f>
        <v>416770</v>
      </c>
      <c r="AY7244" s="119"/>
      <c r="AZ7244" s="137">
        <v>46112</v>
      </c>
    </row>
    <row r="7245" spans="1:52" ht="17.100000000000001" customHeight="1" thickBot="1">
      <c r="A7245" s="110"/>
      <c r="B7245" s="27" t="s">
        <v>1940</v>
      </c>
      <c r="C7245" s="27">
        <v>2579</v>
      </c>
      <c r="D7245" s="14" t="s">
        <v>17237</v>
      </c>
      <c r="E7245" s="112"/>
      <c r="F7245" s="139" t="s">
        <v>20696</v>
      </c>
      <c r="G7245" s="140"/>
      <c r="H7245" s="141"/>
      <c r="I7245" s="26">
        <v>28724</v>
      </c>
      <c r="J7245" s="117"/>
      <c r="K7245" s="120"/>
      <c r="L7245" s="121"/>
      <c r="M7245" s="120"/>
      <c r="N7245" s="121"/>
      <c r="O7245" s="120"/>
      <c r="P7245" s="121"/>
      <c r="Q7245" s="120"/>
      <c r="R7245" s="121"/>
      <c r="S7245" s="120"/>
      <c r="T7245" s="121"/>
      <c r="U7245" s="120"/>
      <c r="V7245" s="123"/>
      <c r="W7245" s="125"/>
      <c r="X7245" s="142" t="s">
        <v>21618</v>
      </c>
      <c r="Y7245" s="143"/>
      <c r="Z7245" s="143"/>
      <c r="AA7245" s="143"/>
      <c r="AB7245" s="144"/>
      <c r="AC7245" s="16" t="s">
        <v>21</v>
      </c>
      <c r="AD7245" s="17" t="s">
        <v>2707</v>
      </c>
      <c r="AE7245" s="145"/>
      <c r="AF7245" s="146"/>
      <c r="AG7245" s="146"/>
      <c r="AH7245" s="146"/>
      <c r="AI7245" s="147"/>
      <c r="AJ7245" s="148"/>
      <c r="AK7245" s="143"/>
      <c r="AL7245" s="144"/>
      <c r="AM7245" s="22"/>
      <c r="AN7245" s="149" t="s">
        <v>2794</v>
      </c>
      <c r="AO7245" s="144"/>
      <c r="AP7245" s="148">
        <v>5099</v>
      </c>
      <c r="AQ7245" s="144"/>
      <c r="AR7245" s="120"/>
      <c r="AS7245" s="121"/>
      <c r="AT7245" s="120"/>
      <c r="AU7245" s="121"/>
      <c r="AV7245" s="120"/>
      <c r="AW7245" s="121"/>
      <c r="AX7245" s="120"/>
      <c r="AY7245" s="121"/>
      <c r="AZ7245" s="138"/>
    </row>
    <row r="7246" spans="1:52" ht="17.100000000000001" customHeight="1" thickTop="1">
      <c r="A7246" s="109" t="s">
        <v>20641</v>
      </c>
      <c r="B7246" s="28">
        <v>46100</v>
      </c>
      <c r="C7246" s="25">
        <v>2150</v>
      </c>
      <c r="D7246" s="13" t="s">
        <v>1863</v>
      </c>
      <c r="E7246" s="111"/>
      <c r="F7246" s="113" t="s">
        <v>20787</v>
      </c>
      <c r="G7246" s="114"/>
      <c r="H7246" s="115"/>
      <c r="I7246" s="24" t="s">
        <v>7197</v>
      </c>
      <c r="J7246" s="116">
        <v>4.5</v>
      </c>
      <c r="K7246" s="118">
        <v>758000</v>
      </c>
      <c r="L7246" s="119"/>
      <c r="M7246" s="118">
        <f t="shared" ref="M7246" si="10407">K7246*0.1</f>
        <v>75800</v>
      </c>
      <c r="N7246" s="119"/>
      <c r="O7246" s="118">
        <v>0</v>
      </c>
      <c r="P7246" s="119"/>
      <c r="Q7246" s="118">
        <v>9200</v>
      </c>
      <c r="R7246" s="119"/>
      <c r="S7246" s="118">
        <v>14300</v>
      </c>
      <c r="T7246" s="119"/>
      <c r="U7246" s="118">
        <f t="shared" ref="U7246" si="10408">SUM(K7246:T7247)</f>
        <v>857300</v>
      </c>
      <c r="V7246" s="122"/>
      <c r="W7246" s="124"/>
      <c r="X7246" s="126" t="s">
        <v>21615</v>
      </c>
      <c r="Y7246" s="127"/>
      <c r="Z7246" s="127"/>
      <c r="AA7246" s="127"/>
      <c r="AB7246" s="128"/>
      <c r="AC7246" s="15" t="s">
        <v>20</v>
      </c>
      <c r="AD7246" s="129" t="s">
        <v>20788</v>
      </c>
      <c r="AE7246" s="130"/>
      <c r="AF7246" s="130"/>
      <c r="AG7246" s="130"/>
      <c r="AH7246" s="130"/>
      <c r="AI7246" s="131"/>
      <c r="AJ7246" s="132"/>
      <c r="AK7246" s="127"/>
      <c r="AL7246" s="128"/>
      <c r="AM7246" s="21"/>
      <c r="AN7246" s="133">
        <v>46106</v>
      </c>
      <c r="AO7246" s="134"/>
      <c r="AP7246" s="135">
        <v>1010</v>
      </c>
      <c r="AQ7246" s="136"/>
      <c r="AR7246" s="118">
        <v>870000</v>
      </c>
      <c r="AS7246" s="119"/>
      <c r="AT7246" s="118">
        <f t="shared" ref="AT7246" si="10409">AR7246*0.1</f>
        <v>87000</v>
      </c>
      <c r="AU7246" s="119"/>
      <c r="AV7246" s="118">
        <v>9200</v>
      </c>
      <c r="AW7246" s="119"/>
      <c r="AX7246" s="118">
        <f t="shared" ref="AX7246" si="10410">SUM(AR7246:AW7246)</f>
        <v>966200</v>
      </c>
      <c r="AY7246" s="119"/>
      <c r="AZ7246" s="137">
        <v>46112</v>
      </c>
    </row>
    <row r="7247" spans="1:52" ht="17.100000000000001" customHeight="1" thickBot="1">
      <c r="A7247" s="110"/>
      <c r="B7247" s="27" t="s">
        <v>1940</v>
      </c>
      <c r="C7247" s="27">
        <v>2591</v>
      </c>
      <c r="D7247" s="14" t="s">
        <v>1720</v>
      </c>
      <c r="E7247" s="112"/>
      <c r="F7247" s="139" t="s">
        <v>20697</v>
      </c>
      <c r="G7247" s="140"/>
      <c r="H7247" s="141"/>
      <c r="I7247" s="26">
        <v>18500</v>
      </c>
      <c r="J7247" s="117"/>
      <c r="K7247" s="120"/>
      <c r="L7247" s="121"/>
      <c r="M7247" s="120"/>
      <c r="N7247" s="121"/>
      <c r="O7247" s="120"/>
      <c r="P7247" s="121"/>
      <c r="Q7247" s="120"/>
      <c r="R7247" s="121"/>
      <c r="S7247" s="120"/>
      <c r="T7247" s="121"/>
      <c r="U7247" s="120"/>
      <c r="V7247" s="123"/>
      <c r="W7247" s="125"/>
      <c r="X7247" s="142" t="s">
        <v>21616</v>
      </c>
      <c r="Y7247" s="143"/>
      <c r="Z7247" s="143"/>
      <c r="AA7247" s="143"/>
      <c r="AB7247" s="144"/>
      <c r="AC7247" s="16" t="s">
        <v>21</v>
      </c>
      <c r="AD7247" s="17" t="s">
        <v>2707</v>
      </c>
      <c r="AE7247" s="145" t="s">
        <v>21363</v>
      </c>
      <c r="AF7247" s="146"/>
      <c r="AG7247" s="146"/>
      <c r="AH7247" s="146"/>
      <c r="AI7247" s="147"/>
      <c r="AJ7247" s="148"/>
      <c r="AK7247" s="143"/>
      <c r="AL7247" s="144"/>
      <c r="AM7247" s="22"/>
      <c r="AN7247" s="149" t="s">
        <v>7285</v>
      </c>
      <c r="AO7247" s="144"/>
      <c r="AP7247" s="148">
        <v>5087</v>
      </c>
      <c r="AQ7247" s="144"/>
      <c r="AR7247" s="120"/>
      <c r="AS7247" s="121"/>
      <c r="AT7247" s="120"/>
      <c r="AU7247" s="121"/>
      <c r="AV7247" s="120"/>
      <c r="AW7247" s="121"/>
      <c r="AX7247" s="120"/>
      <c r="AY7247" s="121"/>
      <c r="AZ7247" s="138"/>
    </row>
    <row r="7248" spans="1:52" ht="17.100000000000001" customHeight="1" thickTop="1">
      <c r="A7248" s="109" t="s">
        <v>20642</v>
      </c>
      <c r="B7248" s="28">
        <v>46100</v>
      </c>
      <c r="C7248" s="25">
        <v>2150</v>
      </c>
      <c r="D7248" s="13" t="s">
        <v>4824</v>
      </c>
      <c r="E7248" s="111"/>
      <c r="F7248" s="113" t="s">
        <v>17252</v>
      </c>
      <c r="G7248" s="114"/>
      <c r="H7248" s="115"/>
      <c r="I7248" s="24" t="s">
        <v>16525</v>
      </c>
      <c r="J7248" s="116">
        <v>4</v>
      </c>
      <c r="K7248" s="118">
        <v>688000</v>
      </c>
      <c r="L7248" s="119"/>
      <c r="M7248" s="118">
        <f t="shared" ref="M7248" si="10411">K7248*0.1</f>
        <v>68800</v>
      </c>
      <c r="N7248" s="119"/>
      <c r="O7248" s="118">
        <v>10800</v>
      </c>
      <c r="P7248" s="119"/>
      <c r="Q7248" s="118">
        <v>9790</v>
      </c>
      <c r="R7248" s="119"/>
      <c r="S7248" s="118">
        <v>14300</v>
      </c>
      <c r="T7248" s="119"/>
      <c r="U7248" s="118">
        <f t="shared" ref="U7248" si="10412">SUM(K7248:T7249)</f>
        <v>791690</v>
      </c>
      <c r="V7248" s="122"/>
      <c r="W7248" s="124"/>
      <c r="X7248" s="126" t="s">
        <v>20789</v>
      </c>
      <c r="Y7248" s="127"/>
      <c r="Z7248" s="127"/>
      <c r="AA7248" s="127"/>
      <c r="AB7248" s="128"/>
      <c r="AC7248" s="15" t="s">
        <v>20</v>
      </c>
      <c r="AD7248" s="129"/>
      <c r="AE7248" s="130"/>
      <c r="AF7248" s="130"/>
      <c r="AG7248" s="130"/>
      <c r="AH7248" s="130"/>
      <c r="AI7248" s="131"/>
      <c r="AJ7248" s="132"/>
      <c r="AK7248" s="127"/>
      <c r="AL7248" s="128"/>
      <c r="AM7248" s="21"/>
      <c r="AN7248" s="133">
        <v>46106</v>
      </c>
      <c r="AO7248" s="134"/>
      <c r="AP7248" s="135">
        <v>1010</v>
      </c>
      <c r="AQ7248" s="136"/>
      <c r="AR7248" s="118">
        <v>700000</v>
      </c>
      <c r="AS7248" s="119"/>
      <c r="AT7248" s="118">
        <f t="shared" ref="AT7248" si="10413">AR7248*0.1</f>
        <v>70000</v>
      </c>
      <c r="AU7248" s="119"/>
      <c r="AV7248" s="118">
        <v>9790</v>
      </c>
      <c r="AW7248" s="119"/>
      <c r="AX7248" s="118">
        <f t="shared" ref="AX7248" si="10414">SUM(AR7248:AW7248)</f>
        <v>779790</v>
      </c>
      <c r="AY7248" s="119"/>
      <c r="AZ7248" s="137">
        <v>46111</v>
      </c>
    </row>
    <row r="7249" spans="1:52" ht="17.100000000000001" customHeight="1" thickBot="1">
      <c r="A7249" s="110"/>
      <c r="B7249" s="27" t="s">
        <v>1940</v>
      </c>
      <c r="C7249" s="27">
        <v>2620</v>
      </c>
      <c r="D7249" s="14" t="s">
        <v>2601</v>
      </c>
      <c r="E7249" s="112"/>
      <c r="F7249" s="139" t="s">
        <v>20698</v>
      </c>
      <c r="G7249" s="140"/>
      <c r="H7249" s="141"/>
      <c r="I7249" s="26">
        <v>58661</v>
      </c>
      <c r="J7249" s="117"/>
      <c r="K7249" s="120"/>
      <c r="L7249" s="121"/>
      <c r="M7249" s="120"/>
      <c r="N7249" s="121"/>
      <c r="O7249" s="120"/>
      <c r="P7249" s="121"/>
      <c r="Q7249" s="120"/>
      <c r="R7249" s="121"/>
      <c r="S7249" s="120"/>
      <c r="T7249" s="121"/>
      <c r="U7249" s="120"/>
      <c r="V7249" s="123"/>
      <c r="W7249" s="125"/>
      <c r="X7249" s="142" t="s">
        <v>21248</v>
      </c>
      <c r="Y7249" s="143"/>
      <c r="Z7249" s="143"/>
      <c r="AA7249" s="143"/>
      <c r="AB7249" s="144"/>
      <c r="AC7249" s="16" t="s">
        <v>21</v>
      </c>
      <c r="AD7249" s="17" t="s">
        <v>21249</v>
      </c>
      <c r="AE7249" s="145" t="s">
        <v>12130</v>
      </c>
      <c r="AF7249" s="146"/>
      <c r="AG7249" s="146"/>
      <c r="AH7249" s="146"/>
      <c r="AI7249" s="147"/>
      <c r="AJ7249" s="148"/>
      <c r="AK7249" s="143"/>
      <c r="AL7249" s="144"/>
      <c r="AM7249" s="22"/>
      <c r="AN7249" s="149" t="s">
        <v>2794</v>
      </c>
      <c r="AO7249" s="144"/>
      <c r="AP7249" s="148">
        <v>5112</v>
      </c>
      <c r="AQ7249" s="144"/>
      <c r="AR7249" s="120"/>
      <c r="AS7249" s="121"/>
      <c r="AT7249" s="120"/>
      <c r="AU7249" s="121"/>
      <c r="AV7249" s="120"/>
      <c r="AW7249" s="121"/>
      <c r="AX7249" s="120"/>
      <c r="AY7249" s="121"/>
      <c r="AZ7249" s="138"/>
    </row>
    <row r="7250" spans="1:52" ht="17.100000000000001" customHeight="1" thickTop="1">
      <c r="A7250" s="109" t="s">
        <v>20643</v>
      </c>
      <c r="B7250" s="28">
        <v>46100</v>
      </c>
      <c r="C7250" s="25">
        <v>2150</v>
      </c>
      <c r="D7250" s="13" t="s">
        <v>1561</v>
      </c>
      <c r="E7250" s="111"/>
      <c r="F7250" s="113" t="s">
        <v>20790</v>
      </c>
      <c r="G7250" s="114"/>
      <c r="H7250" s="115"/>
      <c r="I7250" s="24" t="s">
        <v>3974</v>
      </c>
      <c r="J7250" s="116">
        <v>4.5</v>
      </c>
      <c r="K7250" s="118">
        <v>685000</v>
      </c>
      <c r="L7250" s="119"/>
      <c r="M7250" s="118">
        <f t="shared" ref="M7250" si="10415">K7250*0.1</f>
        <v>68500</v>
      </c>
      <c r="N7250" s="119"/>
      <c r="O7250" s="118">
        <v>10800</v>
      </c>
      <c r="P7250" s="119"/>
      <c r="Q7250" s="118">
        <v>9790</v>
      </c>
      <c r="R7250" s="119"/>
      <c r="S7250" s="118">
        <v>14300</v>
      </c>
      <c r="T7250" s="119"/>
      <c r="U7250" s="118">
        <f t="shared" ref="U7250" si="10416">SUM(K7250:T7251)</f>
        <v>788390</v>
      </c>
      <c r="V7250" s="122"/>
      <c r="W7250" s="124"/>
      <c r="X7250" s="126" t="s">
        <v>20791</v>
      </c>
      <c r="Y7250" s="127"/>
      <c r="Z7250" s="127"/>
      <c r="AA7250" s="127"/>
      <c r="AB7250" s="128"/>
      <c r="AC7250" s="15" t="s">
        <v>20</v>
      </c>
      <c r="AD7250" s="129" t="s">
        <v>3821</v>
      </c>
      <c r="AE7250" s="130"/>
      <c r="AF7250" s="130"/>
      <c r="AG7250" s="130"/>
      <c r="AH7250" s="130"/>
      <c r="AI7250" s="131"/>
      <c r="AJ7250" s="132"/>
      <c r="AK7250" s="127"/>
      <c r="AL7250" s="128"/>
      <c r="AM7250" s="21"/>
      <c r="AN7250" s="133">
        <v>46105</v>
      </c>
      <c r="AO7250" s="134"/>
      <c r="AP7250" s="135">
        <v>1934</v>
      </c>
      <c r="AQ7250" s="136"/>
      <c r="AR7250" s="118">
        <v>716000</v>
      </c>
      <c r="AS7250" s="119"/>
      <c r="AT7250" s="118">
        <f t="shared" ref="AT7250" si="10417">AR7250*0.1</f>
        <v>71600</v>
      </c>
      <c r="AU7250" s="119"/>
      <c r="AV7250" s="118">
        <v>9790</v>
      </c>
      <c r="AW7250" s="119"/>
      <c r="AX7250" s="118">
        <f t="shared" ref="AX7250" si="10418">SUM(AR7250:AW7250)</f>
        <v>797390</v>
      </c>
      <c r="AY7250" s="119"/>
      <c r="AZ7250" s="137"/>
    </row>
    <row r="7251" spans="1:52" ht="17.100000000000001" customHeight="1" thickBot="1">
      <c r="A7251" s="110"/>
      <c r="B7251" s="27" t="s">
        <v>1940</v>
      </c>
      <c r="C7251" s="27">
        <v>2636</v>
      </c>
      <c r="D7251" s="14" t="s">
        <v>15238</v>
      </c>
      <c r="E7251" s="112"/>
      <c r="F7251" s="139" t="s">
        <v>20699</v>
      </c>
      <c r="G7251" s="140"/>
      <c r="H7251" s="141"/>
      <c r="I7251" s="26">
        <v>47170</v>
      </c>
      <c r="J7251" s="117"/>
      <c r="K7251" s="120"/>
      <c r="L7251" s="121"/>
      <c r="M7251" s="120"/>
      <c r="N7251" s="121"/>
      <c r="O7251" s="120"/>
      <c r="P7251" s="121"/>
      <c r="Q7251" s="120"/>
      <c r="R7251" s="121"/>
      <c r="S7251" s="120"/>
      <c r="T7251" s="121"/>
      <c r="U7251" s="120"/>
      <c r="V7251" s="123"/>
      <c r="W7251" s="125"/>
      <c r="X7251" s="142" t="s">
        <v>21250</v>
      </c>
      <c r="Y7251" s="143"/>
      <c r="Z7251" s="143"/>
      <c r="AA7251" s="143"/>
      <c r="AB7251" s="144"/>
      <c r="AC7251" s="16" t="s">
        <v>21</v>
      </c>
      <c r="AD7251" s="17" t="s">
        <v>21249</v>
      </c>
      <c r="AE7251" s="145" t="s">
        <v>21251</v>
      </c>
      <c r="AF7251" s="146"/>
      <c r="AG7251" s="146"/>
      <c r="AH7251" s="146"/>
      <c r="AI7251" s="147"/>
      <c r="AJ7251" s="148"/>
      <c r="AK7251" s="143"/>
      <c r="AL7251" s="144"/>
      <c r="AM7251" s="22"/>
      <c r="AN7251" s="149" t="s">
        <v>2131</v>
      </c>
      <c r="AO7251" s="144"/>
      <c r="AP7251" s="148">
        <v>3435</v>
      </c>
      <c r="AQ7251" s="144"/>
      <c r="AR7251" s="120"/>
      <c r="AS7251" s="121"/>
      <c r="AT7251" s="120"/>
      <c r="AU7251" s="121"/>
      <c r="AV7251" s="120"/>
      <c r="AW7251" s="121"/>
      <c r="AX7251" s="120"/>
      <c r="AY7251" s="121"/>
      <c r="AZ7251" s="138"/>
    </row>
    <row r="7252" spans="1:52" ht="17.100000000000001" customHeight="1" thickTop="1">
      <c r="A7252" s="109" t="s">
        <v>20644</v>
      </c>
      <c r="B7252" s="28">
        <v>46100</v>
      </c>
      <c r="C7252" s="25">
        <v>2150</v>
      </c>
      <c r="D7252" s="13" t="s">
        <v>1760</v>
      </c>
      <c r="E7252" s="111"/>
      <c r="F7252" s="113" t="s">
        <v>20792</v>
      </c>
      <c r="G7252" s="114"/>
      <c r="H7252" s="115"/>
      <c r="I7252" s="24" t="s">
        <v>20793</v>
      </c>
      <c r="J7252" s="116">
        <v>4</v>
      </c>
      <c r="K7252" s="118">
        <v>1243000</v>
      </c>
      <c r="L7252" s="119"/>
      <c r="M7252" s="118">
        <f t="shared" ref="M7252" si="10419">K7252*0.1</f>
        <v>124300</v>
      </c>
      <c r="N7252" s="119"/>
      <c r="O7252" s="118">
        <v>10800</v>
      </c>
      <c r="P7252" s="119"/>
      <c r="Q7252" s="118">
        <v>8550</v>
      </c>
      <c r="R7252" s="119"/>
      <c r="S7252" s="118">
        <v>14300</v>
      </c>
      <c r="T7252" s="119"/>
      <c r="U7252" s="118">
        <f t="shared" ref="U7252" si="10420">SUM(K7252:T7253)</f>
        <v>1400950</v>
      </c>
      <c r="V7252" s="122"/>
      <c r="W7252" s="124"/>
      <c r="X7252" s="126" t="s">
        <v>20794</v>
      </c>
      <c r="Y7252" s="127"/>
      <c r="Z7252" s="127"/>
      <c r="AA7252" s="127"/>
      <c r="AB7252" s="128"/>
      <c r="AC7252" s="15" t="s">
        <v>20</v>
      </c>
      <c r="AD7252" s="129" t="s">
        <v>20795</v>
      </c>
      <c r="AE7252" s="130"/>
      <c r="AF7252" s="130"/>
      <c r="AG7252" s="130"/>
      <c r="AH7252" s="130"/>
      <c r="AI7252" s="131"/>
      <c r="AJ7252" s="132"/>
      <c r="AK7252" s="127"/>
      <c r="AL7252" s="128"/>
      <c r="AM7252" s="21" t="s">
        <v>22444</v>
      </c>
      <c r="AN7252" s="133">
        <v>46120</v>
      </c>
      <c r="AO7252" s="134"/>
      <c r="AP7252" s="135">
        <v>1012</v>
      </c>
      <c r="AQ7252" s="136"/>
      <c r="AR7252" s="118">
        <v>1290000</v>
      </c>
      <c r="AS7252" s="119"/>
      <c r="AT7252" s="118">
        <f t="shared" ref="AT7252" si="10421">AR7252*0.1</f>
        <v>129000</v>
      </c>
      <c r="AU7252" s="119"/>
      <c r="AV7252" s="118">
        <v>8550</v>
      </c>
      <c r="AW7252" s="119"/>
      <c r="AX7252" s="118">
        <f t="shared" ref="AX7252" si="10422">SUM(AR7252:AW7252)</f>
        <v>1427550</v>
      </c>
      <c r="AY7252" s="119"/>
      <c r="AZ7252" s="137">
        <v>46125</v>
      </c>
    </row>
    <row r="7253" spans="1:52" ht="17.100000000000001" customHeight="1" thickBot="1">
      <c r="A7253" s="110"/>
      <c r="B7253" s="27" t="s">
        <v>1940</v>
      </c>
      <c r="C7253" s="27">
        <v>2644</v>
      </c>
      <c r="D7253" s="14" t="s">
        <v>1592</v>
      </c>
      <c r="E7253" s="112"/>
      <c r="F7253" s="139" t="s">
        <v>20700</v>
      </c>
      <c r="G7253" s="140"/>
      <c r="H7253" s="141"/>
      <c r="I7253" s="26">
        <v>46642</v>
      </c>
      <c r="J7253" s="117"/>
      <c r="K7253" s="120"/>
      <c r="L7253" s="121"/>
      <c r="M7253" s="120"/>
      <c r="N7253" s="121"/>
      <c r="O7253" s="120"/>
      <c r="P7253" s="121"/>
      <c r="Q7253" s="120"/>
      <c r="R7253" s="121"/>
      <c r="S7253" s="120"/>
      <c r="T7253" s="121"/>
      <c r="U7253" s="120"/>
      <c r="V7253" s="123"/>
      <c r="W7253" s="125"/>
      <c r="X7253" s="142" t="s">
        <v>21205</v>
      </c>
      <c r="Y7253" s="143"/>
      <c r="Z7253" s="143"/>
      <c r="AA7253" s="143"/>
      <c r="AB7253" s="144"/>
      <c r="AC7253" s="16" t="s">
        <v>21</v>
      </c>
      <c r="AD7253" s="17" t="s">
        <v>2388</v>
      </c>
      <c r="AE7253" s="145" t="s">
        <v>1609</v>
      </c>
      <c r="AF7253" s="146"/>
      <c r="AG7253" s="146"/>
      <c r="AH7253" s="146"/>
      <c r="AI7253" s="147"/>
      <c r="AJ7253" s="148"/>
      <c r="AK7253" s="143"/>
      <c r="AL7253" s="144"/>
      <c r="AM7253" s="22"/>
      <c r="AN7253" s="149" t="s">
        <v>2794</v>
      </c>
      <c r="AO7253" s="144"/>
      <c r="AP7253" s="148">
        <v>2022</v>
      </c>
      <c r="AQ7253" s="144"/>
      <c r="AR7253" s="120"/>
      <c r="AS7253" s="121"/>
      <c r="AT7253" s="120"/>
      <c r="AU7253" s="121"/>
      <c r="AV7253" s="120"/>
      <c r="AW7253" s="121"/>
      <c r="AX7253" s="120"/>
      <c r="AY7253" s="121"/>
      <c r="AZ7253" s="138"/>
    </row>
    <row r="7254" spans="1:52" ht="17.100000000000001" customHeight="1" thickTop="1">
      <c r="A7254" s="109" t="s">
        <v>20645</v>
      </c>
      <c r="B7254" s="28">
        <v>46100</v>
      </c>
      <c r="C7254" s="25">
        <v>1558</v>
      </c>
      <c r="D7254" s="13" t="s">
        <v>3921</v>
      </c>
      <c r="E7254" s="111"/>
      <c r="F7254" s="113" t="s">
        <v>16057</v>
      </c>
      <c r="G7254" s="114"/>
      <c r="H7254" s="115"/>
      <c r="I7254" s="24" t="s">
        <v>20802</v>
      </c>
      <c r="J7254" s="116">
        <v>4</v>
      </c>
      <c r="K7254" s="118">
        <v>1410000</v>
      </c>
      <c r="L7254" s="119"/>
      <c r="M7254" s="118">
        <f t="shared" ref="M7254" si="10423">K7254*0.1</f>
        <v>141000</v>
      </c>
      <c r="N7254" s="119"/>
      <c r="O7254" s="118">
        <v>39500</v>
      </c>
      <c r="P7254" s="119"/>
      <c r="Q7254" s="118">
        <v>19090</v>
      </c>
      <c r="R7254" s="119"/>
      <c r="S7254" s="118">
        <v>16500</v>
      </c>
      <c r="T7254" s="119"/>
      <c r="U7254" s="118">
        <f t="shared" ref="U7254" si="10424">SUM(K7254:T7255)</f>
        <v>1626090</v>
      </c>
      <c r="V7254" s="122"/>
      <c r="W7254" s="124"/>
      <c r="X7254" s="126" t="s">
        <v>20803</v>
      </c>
      <c r="Y7254" s="127"/>
      <c r="Z7254" s="127"/>
      <c r="AA7254" s="127"/>
      <c r="AB7254" s="128"/>
      <c r="AC7254" s="15" t="s">
        <v>20</v>
      </c>
      <c r="AD7254" s="129" t="s">
        <v>3925</v>
      </c>
      <c r="AE7254" s="130"/>
      <c r="AF7254" s="130"/>
      <c r="AG7254" s="130"/>
      <c r="AH7254" s="130"/>
      <c r="AI7254" s="131"/>
      <c r="AJ7254" s="132"/>
      <c r="AK7254" s="127"/>
      <c r="AL7254" s="128"/>
      <c r="AM7254" s="21"/>
      <c r="AN7254" s="133">
        <v>46121</v>
      </c>
      <c r="AO7254" s="134"/>
      <c r="AP7254" s="135">
        <v>1326</v>
      </c>
      <c r="AQ7254" s="136"/>
      <c r="AR7254" s="118">
        <v>1560000</v>
      </c>
      <c r="AS7254" s="119"/>
      <c r="AT7254" s="118">
        <f t="shared" ref="AT7254" si="10425">AR7254*0.1</f>
        <v>156000</v>
      </c>
      <c r="AU7254" s="119"/>
      <c r="AV7254" s="118">
        <v>19090</v>
      </c>
      <c r="AW7254" s="119"/>
      <c r="AX7254" s="118">
        <f t="shared" ref="AX7254" si="10426">SUM(AR7254:AW7254)</f>
        <v>1735090</v>
      </c>
      <c r="AY7254" s="119"/>
      <c r="AZ7254" s="137">
        <v>46122</v>
      </c>
    </row>
    <row r="7255" spans="1:52" ht="17.100000000000001" customHeight="1" thickBot="1">
      <c r="A7255" s="110"/>
      <c r="B7255" s="27" t="s">
        <v>1600</v>
      </c>
      <c r="C7255" s="27">
        <v>78046</v>
      </c>
      <c r="D7255" s="14" t="s">
        <v>275</v>
      </c>
      <c r="E7255" s="112"/>
      <c r="F7255" s="139" t="s">
        <v>20801</v>
      </c>
      <c r="G7255" s="140"/>
      <c r="H7255" s="141"/>
      <c r="I7255" s="26">
        <v>63868</v>
      </c>
      <c r="J7255" s="117"/>
      <c r="K7255" s="120"/>
      <c r="L7255" s="121"/>
      <c r="M7255" s="120"/>
      <c r="N7255" s="121"/>
      <c r="O7255" s="120"/>
      <c r="P7255" s="121"/>
      <c r="Q7255" s="120"/>
      <c r="R7255" s="121"/>
      <c r="S7255" s="120"/>
      <c r="T7255" s="121"/>
      <c r="U7255" s="120"/>
      <c r="V7255" s="123"/>
      <c r="W7255" s="125"/>
      <c r="X7255" s="142" t="s">
        <v>21300</v>
      </c>
      <c r="Y7255" s="143"/>
      <c r="Z7255" s="143"/>
      <c r="AA7255" s="143"/>
      <c r="AB7255" s="144"/>
      <c r="AC7255" s="16" t="s">
        <v>21</v>
      </c>
      <c r="AD7255" s="17" t="s">
        <v>21301</v>
      </c>
      <c r="AE7255" s="145" t="s">
        <v>17061</v>
      </c>
      <c r="AF7255" s="146"/>
      <c r="AG7255" s="146"/>
      <c r="AH7255" s="146"/>
      <c r="AI7255" s="147"/>
      <c r="AJ7255" s="148"/>
      <c r="AK7255" s="143"/>
      <c r="AL7255" s="144"/>
      <c r="AM7255" s="22"/>
      <c r="AN7255" s="149" t="s">
        <v>13663</v>
      </c>
      <c r="AO7255" s="144"/>
      <c r="AP7255" s="148">
        <v>85</v>
      </c>
      <c r="AQ7255" s="144"/>
      <c r="AR7255" s="120"/>
      <c r="AS7255" s="121"/>
      <c r="AT7255" s="120"/>
      <c r="AU7255" s="121"/>
      <c r="AV7255" s="120"/>
      <c r="AW7255" s="121"/>
      <c r="AX7255" s="120"/>
      <c r="AY7255" s="121"/>
      <c r="AZ7255" s="138"/>
    </row>
    <row r="7256" spans="1:52" ht="17.100000000000001" customHeight="1" thickTop="1">
      <c r="A7256" s="109" t="s">
        <v>20655</v>
      </c>
      <c r="B7256" s="28">
        <v>46100</v>
      </c>
      <c r="C7256" s="25">
        <v>1975</v>
      </c>
      <c r="D7256" s="13" t="s">
        <v>2465</v>
      </c>
      <c r="E7256" s="111"/>
      <c r="F7256" s="113" t="s">
        <v>15809</v>
      </c>
      <c r="G7256" s="114"/>
      <c r="H7256" s="115"/>
      <c r="I7256" s="24"/>
      <c r="J7256" s="116">
        <v>3.5</v>
      </c>
      <c r="K7256" s="118">
        <v>1184000</v>
      </c>
      <c r="L7256" s="119"/>
      <c r="M7256" s="118">
        <f t="shared" ref="M7256" si="10427">K7256*0.1</f>
        <v>118400</v>
      </c>
      <c r="N7256" s="119"/>
      <c r="O7256" s="118">
        <v>0</v>
      </c>
      <c r="P7256" s="119"/>
      <c r="Q7256" s="118">
        <v>11480</v>
      </c>
      <c r="R7256" s="119"/>
      <c r="S7256" s="118">
        <v>15950</v>
      </c>
      <c r="T7256" s="119"/>
      <c r="U7256" s="118">
        <f t="shared" ref="U7256" si="10428">SUM(K7256:T7257)</f>
        <v>1329830</v>
      </c>
      <c r="V7256" s="122"/>
      <c r="W7256" s="124"/>
      <c r="X7256" s="126" t="s">
        <v>21255</v>
      </c>
      <c r="Y7256" s="127"/>
      <c r="Z7256" s="127"/>
      <c r="AA7256" s="127"/>
      <c r="AB7256" s="128"/>
      <c r="AC7256" s="15" t="s">
        <v>20</v>
      </c>
      <c r="AD7256" s="129"/>
      <c r="AE7256" s="130"/>
      <c r="AF7256" s="130"/>
      <c r="AG7256" s="130"/>
      <c r="AH7256" s="130"/>
      <c r="AI7256" s="131"/>
      <c r="AJ7256" s="132"/>
      <c r="AK7256" s="127"/>
      <c r="AL7256" s="128"/>
      <c r="AM7256" s="21"/>
      <c r="AN7256" s="133"/>
      <c r="AO7256" s="134"/>
      <c r="AP7256" s="135"/>
      <c r="AQ7256" s="136"/>
      <c r="AR7256" s="118"/>
      <c r="AS7256" s="119"/>
      <c r="AT7256" s="118">
        <f t="shared" ref="AT7256" si="10429">AR7256*0.1</f>
        <v>0</v>
      </c>
      <c r="AU7256" s="119"/>
      <c r="AV7256" s="118"/>
      <c r="AW7256" s="119"/>
      <c r="AX7256" s="118">
        <f t="shared" ref="AX7256" si="10430">SUM(AR7256:AW7256)</f>
        <v>0</v>
      </c>
      <c r="AY7256" s="119"/>
      <c r="AZ7256" s="137"/>
    </row>
    <row r="7257" spans="1:52" ht="17.100000000000001" customHeight="1" thickBot="1">
      <c r="A7257" s="110"/>
      <c r="B7257" s="27" t="s">
        <v>3792</v>
      </c>
      <c r="C7257" s="27">
        <v>28</v>
      </c>
      <c r="D7257" s="14" t="s">
        <v>275</v>
      </c>
      <c r="E7257" s="112"/>
      <c r="F7257" s="139" t="s">
        <v>20701</v>
      </c>
      <c r="G7257" s="140"/>
      <c r="H7257" s="141"/>
      <c r="I7257" s="26">
        <v>104119</v>
      </c>
      <c r="J7257" s="117"/>
      <c r="K7257" s="120"/>
      <c r="L7257" s="121"/>
      <c r="M7257" s="120"/>
      <c r="N7257" s="121"/>
      <c r="O7257" s="120"/>
      <c r="P7257" s="121"/>
      <c r="Q7257" s="120"/>
      <c r="R7257" s="121"/>
      <c r="S7257" s="120"/>
      <c r="T7257" s="121"/>
      <c r="U7257" s="120"/>
      <c r="V7257" s="123"/>
      <c r="W7257" s="125"/>
      <c r="X7257" s="142" t="s">
        <v>21256</v>
      </c>
      <c r="Y7257" s="143"/>
      <c r="Z7257" s="143"/>
      <c r="AA7257" s="143"/>
      <c r="AB7257" s="144"/>
      <c r="AC7257" s="16" t="s">
        <v>21</v>
      </c>
      <c r="AD7257" s="17" t="s">
        <v>21249</v>
      </c>
      <c r="AE7257" s="145" t="s">
        <v>21294</v>
      </c>
      <c r="AF7257" s="146"/>
      <c r="AG7257" s="146"/>
      <c r="AH7257" s="146"/>
      <c r="AI7257" s="147"/>
      <c r="AJ7257" s="148"/>
      <c r="AK7257" s="143"/>
      <c r="AL7257" s="144"/>
      <c r="AM7257" s="22"/>
      <c r="AN7257" s="149"/>
      <c r="AO7257" s="144"/>
      <c r="AP7257" s="148"/>
      <c r="AQ7257" s="144"/>
      <c r="AR7257" s="120"/>
      <c r="AS7257" s="121"/>
      <c r="AT7257" s="120"/>
      <c r="AU7257" s="121"/>
      <c r="AV7257" s="120"/>
      <c r="AW7257" s="121"/>
      <c r="AX7257" s="120"/>
      <c r="AY7257" s="121"/>
      <c r="AZ7257" s="138"/>
    </row>
    <row r="7258" spans="1:52" ht="17.100000000000001" customHeight="1" thickTop="1">
      <c r="A7258" s="109" t="s">
        <v>20656</v>
      </c>
      <c r="B7258" s="28">
        <v>46100</v>
      </c>
      <c r="C7258" s="25">
        <v>1975</v>
      </c>
      <c r="D7258" s="13" t="s">
        <v>1606</v>
      </c>
      <c r="E7258" s="111"/>
      <c r="F7258" s="113" t="s">
        <v>16689</v>
      </c>
      <c r="G7258" s="114"/>
      <c r="H7258" s="115"/>
      <c r="I7258" s="24" t="s">
        <v>2577</v>
      </c>
      <c r="J7258" s="116">
        <v>4</v>
      </c>
      <c r="K7258" s="118">
        <v>694000</v>
      </c>
      <c r="L7258" s="119"/>
      <c r="M7258" s="118">
        <f t="shared" ref="M7258" si="10431">K7258*0.1</f>
        <v>69400</v>
      </c>
      <c r="N7258" s="119"/>
      <c r="O7258" s="118">
        <v>10800</v>
      </c>
      <c r="P7258" s="119"/>
      <c r="Q7258" s="118">
        <v>9790</v>
      </c>
      <c r="R7258" s="119"/>
      <c r="S7258" s="118">
        <v>17050</v>
      </c>
      <c r="T7258" s="119"/>
      <c r="U7258" s="118">
        <f t="shared" ref="U7258" si="10432">SUM(K7258:T7259)</f>
        <v>801040</v>
      </c>
      <c r="V7258" s="122"/>
      <c r="W7258" s="124"/>
      <c r="X7258" s="126" t="s">
        <v>21208</v>
      </c>
      <c r="Y7258" s="127"/>
      <c r="Z7258" s="127"/>
      <c r="AA7258" s="127"/>
      <c r="AB7258" s="128"/>
      <c r="AC7258" s="15" t="s">
        <v>20</v>
      </c>
      <c r="AD7258" s="129" t="s">
        <v>3896</v>
      </c>
      <c r="AE7258" s="130"/>
      <c r="AF7258" s="130"/>
      <c r="AG7258" s="130"/>
      <c r="AH7258" s="130"/>
      <c r="AI7258" s="131"/>
      <c r="AJ7258" s="132"/>
      <c r="AK7258" s="127"/>
      <c r="AL7258" s="128"/>
      <c r="AM7258" s="21" t="s">
        <v>23808</v>
      </c>
      <c r="AN7258" s="133">
        <v>46141</v>
      </c>
      <c r="AO7258" s="134"/>
      <c r="AP7258" s="135">
        <v>1015</v>
      </c>
      <c r="AQ7258" s="136"/>
      <c r="AR7258" s="118">
        <v>780000</v>
      </c>
      <c r="AS7258" s="119"/>
      <c r="AT7258" s="118">
        <f t="shared" ref="AT7258" si="10433">AR7258*0.1</f>
        <v>78000</v>
      </c>
      <c r="AU7258" s="119"/>
      <c r="AV7258" s="118">
        <v>9790</v>
      </c>
      <c r="AW7258" s="119"/>
      <c r="AX7258" s="118">
        <f t="shared" ref="AX7258" si="10434">SUM(AR7258:AW7258)</f>
        <v>867790</v>
      </c>
      <c r="AY7258" s="119"/>
      <c r="AZ7258" s="137">
        <v>46153</v>
      </c>
    </row>
    <row r="7259" spans="1:52" ht="17.100000000000001" customHeight="1" thickBot="1">
      <c r="A7259" s="110"/>
      <c r="B7259" s="27" t="s">
        <v>3792</v>
      </c>
      <c r="C7259" s="27">
        <v>3029</v>
      </c>
      <c r="D7259" s="14" t="s">
        <v>275</v>
      </c>
      <c r="E7259" s="112"/>
      <c r="F7259" s="139" t="s">
        <v>20702</v>
      </c>
      <c r="G7259" s="140"/>
      <c r="H7259" s="141"/>
      <c r="I7259" s="26">
        <v>57528</v>
      </c>
      <c r="J7259" s="117"/>
      <c r="K7259" s="120"/>
      <c r="L7259" s="121"/>
      <c r="M7259" s="120"/>
      <c r="N7259" s="121"/>
      <c r="O7259" s="120"/>
      <c r="P7259" s="121"/>
      <c r="Q7259" s="120"/>
      <c r="R7259" s="121"/>
      <c r="S7259" s="120"/>
      <c r="T7259" s="121"/>
      <c r="U7259" s="120"/>
      <c r="V7259" s="123"/>
      <c r="W7259" s="125"/>
      <c r="X7259" s="142" t="s">
        <v>5052</v>
      </c>
      <c r="Y7259" s="143"/>
      <c r="Z7259" s="143"/>
      <c r="AA7259" s="143"/>
      <c r="AB7259" s="144"/>
      <c r="AC7259" s="16" t="s">
        <v>21</v>
      </c>
      <c r="AD7259" s="17" t="s">
        <v>2388</v>
      </c>
      <c r="AE7259" s="145" t="s">
        <v>21298</v>
      </c>
      <c r="AF7259" s="146"/>
      <c r="AG7259" s="146"/>
      <c r="AH7259" s="146"/>
      <c r="AI7259" s="147"/>
      <c r="AJ7259" s="148"/>
      <c r="AK7259" s="143"/>
      <c r="AL7259" s="144"/>
      <c r="AM7259" s="22"/>
      <c r="AN7259" s="149" t="s">
        <v>2794</v>
      </c>
      <c r="AO7259" s="144"/>
      <c r="AP7259" s="148">
        <v>2019</v>
      </c>
      <c r="AQ7259" s="144"/>
      <c r="AR7259" s="120"/>
      <c r="AS7259" s="121"/>
      <c r="AT7259" s="120"/>
      <c r="AU7259" s="121"/>
      <c r="AV7259" s="120"/>
      <c r="AW7259" s="121"/>
      <c r="AX7259" s="120"/>
      <c r="AY7259" s="121"/>
      <c r="AZ7259" s="138"/>
    </row>
    <row r="7260" spans="1:52" ht="17.100000000000001" customHeight="1" thickTop="1">
      <c r="A7260" s="109" t="s">
        <v>20657</v>
      </c>
      <c r="B7260" s="28">
        <v>46100</v>
      </c>
      <c r="C7260" s="25">
        <v>2019</v>
      </c>
      <c r="D7260" s="13" t="s">
        <v>1714</v>
      </c>
      <c r="E7260" s="111"/>
      <c r="F7260" s="113" t="s">
        <v>20703</v>
      </c>
      <c r="G7260" s="114"/>
      <c r="H7260" s="115"/>
      <c r="I7260" s="24"/>
      <c r="J7260" s="116">
        <v>4</v>
      </c>
      <c r="K7260" s="118">
        <v>1106000</v>
      </c>
      <c r="L7260" s="119"/>
      <c r="M7260" s="118">
        <f t="shared" ref="M7260" si="10435">K7260*0.1</f>
        <v>110600</v>
      </c>
      <c r="N7260" s="119"/>
      <c r="O7260" s="118">
        <v>0</v>
      </c>
      <c r="P7260" s="119"/>
      <c r="Q7260" s="118">
        <v>8170</v>
      </c>
      <c r="R7260" s="119"/>
      <c r="S7260" s="118">
        <v>22000</v>
      </c>
      <c r="T7260" s="119"/>
      <c r="U7260" s="118">
        <f t="shared" ref="U7260" si="10436">SUM(K7260:T7261)</f>
        <v>1246770</v>
      </c>
      <c r="V7260" s="122"/>
      <c r="W7260" s="124"/>
      <c r="X7260" s="126" t="s">
        <v>21167</v>
      </c>
      <c r="Y7260" s="127"/>
      <c r="Z7260" s="127"/>
      <c r="AA7260" s="127"/>
      <c r="AB7260" s="128"/>
      <c r="AC7260" s="15" t="s">
        <v>20</v>
      </c>
      <c r="AD7260" s="129" t="s">
        <v>7231</v>
      </c>
      <c r="AE7260" s="130"/>
      <c r="AF7260" s="130"/>
      <c r="AG7260" s="130"/>
      <c r="AH7260" s="130"/>
      <c r="AI7260" s="131"/>
      <c r="AJ7260" s="132"/>
      <c r="AK7260" s="127"/>
      <c r="AL7260" s="128"/>
      <c r="AM7260" s="21"/>
      <c r="AN7260" s="133">
        <v>46106</v>
      </c>
      <c r="AO7260" s="134"/>
      <c r="AP7260" s="135">
        <v>1010</v>
      </c>
      <c r="AQ7260" s="136"/>
      <c r="AR7260" s="118">
        <v>1185000</v>
      </c>
      <c r="AS7260" s="119"/>
      <c r="AT7260" s="118">
        <f t="shared" ref="AT7260" si="10437">AR7260*0.1</f>
        <v>118500</v>
      </c>
      <c r="AU7260" s="119"/>
      <c r="AV7260" s="118">
        <v>8170</v>
      </c>
      <c r="AW7260" s="119"/>
      <c r="AX7260" s="118">
        <f t="shared" ref="AX7260" si="10438">SUM(AR7260:AW7260)</f>
        <v>1311670</v>
      </c>
      <c r="AY7260" s="119"/>
      <c r="AZ7260" s="137">
        <v>46111</v>
      </c>
    </row>
    <row r="7261" spans="1:52" ht="17.100000000000001" customHeight="1" thickBot="1">
      <c r="A7261" s="110"/>
      <c r="B7261" s="27" t="s">
        <v>2727</v>
      </c>
      <c r="C7261" s="27">
        <v>30010</v>
      </c>
      <c r="D7261" s="14" t="s">
        <v>2601</v>
      </c>
      <c r="E7261" s="112"/>
      <c r="F7261" s="139" t="s">
        <v>20704</v>
      </c>
      <c r="G7261" s="140"/>
      <c r="H7261" s="141"/>
      <c r="I7261" s="26">
        <v>43260</v>
      </c>
      <c r="J7261" s="117"/>
      <c r="K7261" s="120"/>
      <c r="L7261" s="121"/>
      <c r="M7261" s="120"/>
      <c r="N7261" s="121"/>
      <c r="O7261" s="120"/>
      <c r="P7261" s="121"/>
      <c r="Q7261" s="120"/>
      <c r="R7261" s="121"/>
      <c r="S7261" s="120"/>
      <c r="T7261" s="121"/>
      <c r="U7261" s="120"/>
      <c r="V7261" s="123"/>
      <c r="W7261" s="125"/>
      <c r="X7261" s="142" t="s">
        <v>21168</v>
      </c>
      <c r="Y7261" s="143"/>
      <c r="Z7261" s="143"/>
      <c r="AA7261" s="143"/>
      <c r="AB7261" s="144"/>
      <c r="AC7261" s="16" t="s">
        <v>21</v>
      </c>
      <c r="AD7261" s="17" t="s">
        <v>2388</v>
      </c>
      <c r="AE7261" s="145" t="s">
        <v>2347</v>
      </c>
      <c r="AF7261" s="146"/>
      <c r="AG7261" s="146"/>
      <c r="AH7261" s="146"/>
      <c r="AI7261" s="147"/>
      <c r="AJ7261" s="148"/>
      <c r="AK7261" s="143"/>
      <c r="AL7261" s="144"/>
      <c r="AM7261" s="22"/>
      <c r="AN7261" s="149" t="s">
        <v>2794</v>
      </c>
      <c r="AO7261" s="144"/>
      <c r="AP7261" s="148">
        <v>5078</v>
      </c>
      <c r="AQ7261" s="144"/>
      <c r="AR7261" s="120"/>
      <c r="AS7261" s="121"/>
      <c r="AT7261" s="120"/>
      <c r="AU7261" s="121"/>
      <c r="AV7261" s="120"/>
      <c r="AW7261" s="121"/>
      <c r="AX7261" s="120"/>
      <c r="AY7261" s="121"/>
      <c r="AZ7261" s="138"/>
    </row>
    <row r="7262" spans="1:52" ht="17.100000000000001" customHeight="1" thickTop="1">
      <c r="A7262" s="109" t="s">
        <v>20658</v>
      </c>
      <c r="B7262" s="28">
        <v>46100</v>
      </c>
      <c r="C7262" s="25">
        <v>2019</v>
      </c>
      <c r="D7262" s="13" t="s">
        <v>1853</v>
      </c>
      <c r="E7262" s="111"/>
      <c r="F7262" s="113" t="s">
        <v>20805</v>
      </c>
      <c r="G7262" s="114"/>
      <c r="H7262" s="115"/>
      <c r="I7262" s="24" t="s">
        <v>1547</v>
      </c>
      <c r="J7262" s="116">
        <v>4.5</v>
      </c>
      <c r="K7262" s="118">
        <v>1560000</v>
      </c>
      <c r="L7262" s="119"/>
      <c r="M7262" s="118">
        <f t="shared" ref="M7262" si="10439">K7262*0.1</f>
        <v>156000</v>
      </c>
      <c r="N7262" s="119"/>
      <c r="O7262" s="118">
        <v>36000</v>
      </c>
      <c r="P7262" s="119"/>
      <c r="Q7262" s="118">
        <v>9490</v>
      </c>
      <c r="R7262" s="119"/>
      <c r="S7262" s="118">
        <v>22000</v>
      </c>
      <c r="T7262" s="119"/>
      <c r="U7262" s="118">
        <f t="shared" ref="U7262" si="10440">SUM(K7262:T7263)</f>
        <v>1783490</v>
      </c>
      <c r="V7262" s="122"/>
      <c r="W7262" s="124"/>
      <c r="X7262" s="126" t="s">
        <v>20804</v>
      </c>
      <c r="Y7262" s="127"/>
      <c r="Z7262" s="127"/>
      <c r="AA7262" s="127"/>
      <c r="AB7262" s="128"/>
      <c r="AC7262" s="15" t="s">
        <v>20</v>
      </c>
      <c r="AD7262" s="129" t="s">
        <v>9186</v>
      </c>
      <c r="AE7262" s="130"/>
      <c r="AF7262" s="130"/>
      <c r="AG7262" s="130"/>
      <c r="AH7262" s="130"/>
      <c r="AI7262" s="131"/>
      <c r="AJ7262" s="132"/>
      <c r="AK7262" s="127"/>
      <c r="AL7262" s="128"/>
      <c r="AM7262" s="21"/>
      <c r="AN7262" s="133">
        <v>46113</v>
      </c>
      <c r="AO7262" s="134"/>
      <c r="AP7262" s="135">
        <v>1011</v>
      </c>
      <c r="AQ7262" s="136"/>
      <c r="AR7262" s="118">
        <v>1640000</v>
      </c>
      <c r="AS7262" s="119"/>
      <c r="AT7262" s="118">
        <f t="shared" ref="AT7262" si="10441">AR7262*0.1</f>
        <v>164000</v>
      </c>
      <c r="AU7262" s="119"/>
      <c r="AV7262" s="118">
        <v>9490</v>
      </c>
      <c r="AW7262" s="119"/>
      <c r="AX7262" s="118">
        <f t="shared" ref="AX7262" si="10442">SUM(AR7262:AW7262)</f>
        <v>1813490</v>
      </c>
      <c r="AY7262" s="119"/>
      <c r="AZ7262" s="137">
        <v>46118</v>
      </c>
    </row>
    <row r="7263" spans="1:52" ht="17.100000000000001" customHeight="1" thickBot="1">
      <c r="A7263" s="110"/>
      <c r="B7263" s="27" t="s">
        <v>2727</v>
      </c>
      <c r="C7263" s="27">
        <v>30085</v>
      </c>
      <c r="D7263" s="14" t="s">
        <v>133</v>
      </c>
      <c r="E7263" s="112"/>
      <c r="F7263" s="139" t="s">
        <v>20705</v>
      </c>
      <c r="G7263" s="140"/>
      <c r="H7263" s="141"/>
      <c r="I7263" s="26">
        <v>39389</v>
      </c>
      <c r="J7263" s="117"/>
      <c r="K7263" s="120"/>
      <c r="L7263" s="121"/>
      <c r="M7263" s="120"/>
      <c r="N7263" s="121"/>
      <c r="O7263" s="120"/>
      <c r="P7263" s="121"/>
      <c r="Q7263" s="120"/>
      <c r="R7263" s="121"/>
      <c r="S7263" s="120"/>
      <c r="T7263" s="121"/>
      <c r="U7263" s="120"/>
      <c r="V7263" s="123"/>
      <c r="W7263" s="125"/>
      <c r="X7263" s="142" t="s">
        <v>21203</v>
      </c>
      <c r="Y7263" s="143"/>
      <c r="Z7263" s="143"/>
      <c r="AA7263" s="143"/>
      <c r="AB7263" s="144"/>
      <c r="AC7263" s="16" t="s">
        <v>21</v>
      </c>
      <c r="AD7263" s="17" t="s">
        <v>2388</v>
      </c>
      <c r="AE7263" s="145" t="s">
        <v>21290</v>
      </c>
      <c r="AF7263" s="146"/>
      <c r="AG7263" s="146"/>
      <c r="AH7263" s="146"/>
      <c r="AI7263" s="147"/>
      <c r="AJ7263" s="148"/>
      <c r="AK7263" s="143"/>
      <c r="AL7263" s="144"/>
      <c r="AM7263" s="22"/>
      <c r="AN7263" s="149" t="s">
        <v>2794</v>
      </c>
      <c r="AO7263" s="144"/>
      <c r="AP7263" s="148">
        <v>6015</v>
      </c>
      <c r="AQ7263" s="144"/>
      <c r="AR7263" s="120"/>
      <c r="AS7263" s="121"/>
      <c r="AT7263" s="120"/>
      <c r="AU7263" s="121"/>
      <c r="AV7263" s="120"/>
      <c r="AW7263" s="121"/>
      <c r="AX7263" s="120"/>
      <c r="AY7263" s="121"/>
      <c r="AZ7263" s="138"/>
    </row>
    <row r="7264" spans="1:52" ht="17.100000000000001" customHeight="1" thickTop="1">
      <c r="A7264" s="109" t="s">
        <v>20659</v>
      </c>
      <c r="B7264" s="28">
        <v>46100</v>
      </c>
      <c r="C7264" s="25">
        <v>2019</v>
      </c>
      <c r="D7264" s="13" t="s">
        <v>2179</v>
      </c>
      <c r="E7264" s="111"/>
      <c r="F7264" s="113" t="s">
        <v>20806</v>
      </c>
      <c r="G7264" s="114"/>
      <c r="H7264" s="115"/>
      <c r="I7264" s="24" t="s">
        <v>2526</v>
      </c>
      <c r="J7264" s="116">
        <v>4</v>
      </c>
      <c r="K7264" s="118">
        <v>2341000</v>
      </c>
      <c r="L7264" s="119"/>
      <c r="M7264" s="118">
        <f t="shared" ref="M7264" si="10443">K7264*0.1</f>
        <v>234100</v>
      </c>
      <c r="N7264" s="119"/>
      <c r="O7264" s="118">
        <v>16000</v>
      </c>
      <c r="P7264" s="119"/>
      <c r="Q7264" s="118">
        <v>9550</v>
      </c>
      <c r="R7264" s="119"/>
      <c r="S7264" s="118">
        <v>22000</v>
      </c>
      <c r="T7264" s="119"/>
      <c r="U7264" s="118">
        <f t="shared" ref="U7264" si="10444">SUM(K7264:T7265)</f>
        <v>2622650</v>
      </c>
      <c r="V7264" s="122"/>
      <c r="W7264" s="124"/>
      <c r="X7264" s="126" t="s">
        <v>20807</v>
      </c>
      <c r="Y7264" s="127"/>
      <c r="Z7264" s="127"/>
      <c r="AA7264" s="127"/>
      <c r="AB7264" s="128"/>
      <c r="AC7264" s="15" t="s">
        <v>20</v>
      </c>
      <c r="AD7264" s="129" t="s">
        <v>4435</v>
      </c>
      <c r="AE7264" s="130"/>
      <c r="AF7264" s="130"/>
      <c r="AG7264" s="130"/>
      <c r="AH7264" s="130"/>
      <c r="AI7264" s="131"/>
      <c r="AJ7264" s="132"/>
      <c r="AK7264" s="127"/>
      <c r="AL7264" s="128"/>
      <c r="AM7264" s="21"/>
      <c r="AN7264" s="133">
        <v>46106</v>
      </c>
      <c r="AO7264" s="134"/>
      <c r="AP7264" s="135">
        <v>1010</v>
      </c>
      <c r="AQ7264" s="136"/>
      <c r="AR7264" s="118">
        <v>2415000</v>
      </c>
      <c r="AS7264" s="119"/>
      <c r="AT7264" s="118">
        <f t="shared" ref="AT7264" si="10445">AR7264*0.1</f>
        <v>241500</v>
      </c>
      <c r="AU7264" s="119"/>
      <c r="AV7264" s="118">
        <v>9550</v>
      </c>
      <c r="AW7264" s="119"/>
      <c r="AX7264" s="118">
        <f t="shared" ref="AX7264" si="10446">SUM(AR7264:AW7264)</f>
        <v>2666050</v>
      </c>
      <c r="AY7264" s="119"/>
      <c r="AZ7264" s="137">
        <v>46111</v>
      </c>
    </row>
    <row r="7265" spans="1:52" ht="17.100000000000001" customHeight="1" thickBot="1">
      <c r="A7265" s="110"/>
      <c r="B7265" s="27" t="s">
        <v>2727</v>
      </c>
      <c r="C7265" s="27">
        <v>30121</v>
      </c>
      <c r="D7265" s="14" t="s">
        <v>2601</v>
      </c>
      <c r="E7265" s="112"/>
      <c r="F7265" s="139" t="s">
        <v>20706</v>
      </c>
      <c r="G7265" s="140"/>
      <c r="H7265" s="141"/>
      <c r="I7265" s="26">
        <v>29450</v>
      </c>
      <c r="J7265" s="117"/>
      <c r="K7265" s="120"/>
      <c r="L7265" s="121"/>
      <c r="M7265" s="120"/>
      <c r="N7265" s="121"/>
      <c r="O7265" s="120"/>
      <c r="P7265" s="121"/>
      <c r="Q7265" s="120"/>
      <c r="R7265" s="121"/>
      <c r="S7265" s="120"/>
      <c r="T7265" s="121"/>
      <c r="U7265" s="120"/>
      <c r="V7265" s="123"/>
      <c r="W7265" s="125"/>
      <c r="X7265" s="142" t="s">
        <v>21156</v>
      </c>
      <c r="Y7265" s="143"/>
      <c r="Z7265" s="143"/>
      <c r="AA7265" s="143"/>
      <c r="AB7265" s="144"/>
      <c r="AC7265" s="16" t="s">
        <v>21</v>
      </c>
      <c r="AD7265" s="17" t="s">
        <v>2388</v>
      </c>
      <c r="AE7265" s="145" t="s">
        <v>21157</v>
      </c>
      <c r="AF7265" s="146"/>
      <c r="AG7265" s="146"/>
      <c r="AH7265" s="146"/>
      <c r="AI7265" s="147"/>
      <c r="AJ7265" s="148"/>
      <c r="AK7265" s="143"/>
      <c r="AL7265" s="144"/>
      <c r="AM7265" s="22"/>
      <c r="AN7265" s="149" t="s">
        <v>2794</v>
      </c>
      <c r="AO7265" s="144"/>
      <c r="AP7265" s="148">
        <v>5095</v>
      </c>
      <c r="AQ7265" s="144"/>
      <c r="AR7265" s="120"/>
      <c r="AS7265" s="121"/>
      <c r="AT7265" s="120"/>
      <c r="AU7265" s="121"/>
      <c r="AV7265" s="120"/>
      <c r="AW7265" s="121"/>
      <c r="AX7265" s="120"/>
      <c r="AY7265" s="121"/>
      <c r="AZ7265" s="138"/>
    </row>
    <row r="7266" spans="1:52" ht="17.100000000000001" customHeight="1" thickTop="1">
      <c r="A7266" s="109" t="s">
        <v>20660</v>
      </c>
      <c r="B7266" s="28">
        <v>46100</v>
      </c>
      <c r="C7266" s="25">
        <v>2019</v>
      </c>
      <c r="D7266" s="13" t="s">
        <v>1929</v>
      </c>
      <c r="E7266" s="111"/>
      <c r="F7266" s="113" t="s">
        <v>20808</v>
      </c>
      <c r="G7266" s="114"/>
      <c r="H7266" s="115"/>
      <c r="I7266" s="24"/>
      <c r="J7266" s="116">
        <v>4</v>
      </c>
      <c r="K7266" s="118">
        <v>896000</v>
      </c>
      <c r="L7266" s="119"/>
      <c r="M7266" s="118">
        <f t="shared" ref="M7266" si="10447">K7266*0.1</f>
        <v>89600</v>
      </c>
      <c r="N7266" s="119"/>
      <c r="O7266" s="118">
        <v>0</v>
      </c>
      <c r="P7266" s="119"/>
      <c r="Q7266" s="118">
        <v>12500</v>
      </c>
      <c r="R7266" s="119"/>
      <c r="S7266" s="118">
        <v>22000</v>
      </c>
      <c r="T7266" s="119"/>
      <c r="U7266" s="118">
        <f t="shared" ref="U7266" si="10448">SUM(K7266:T7267)</f>
        <v>1020100</v>
      </c>
      <c r="V7266" s="122"/>
      <c r="W7266" s="124"/>
      <c r="X7266" s="126" t="s">
        <v>21171</v>
      </c>
      <c r="Y7266" s="127"/>
      <c r="Z7266" s="127"/>
      <c r="AA7266" s="127"/>
      <c r="AB7266" s="128"/>
      <c r="AC7266" s="15" t="s">
        <v>20</v>
      </c>
      <c r="AD7266" s="129" t="s">
        <v>20809</v>
      </c>
      <c r="AE7266" s="130"/>
      <c r="AF7266" s="130"/>
      <c r="AG7266" s="130"/>
      <c r="AH7266" s="130"/>
      <c r="AI7266" s="131"/>
      <c r="AJ7266" s="132"/>
      <c r="AK7266" s="127"/>
      <c r="AL7266" s="128"/>
      <c r="AM7266" s="21"/>
      <c r="AN7266" s="133">
        <v>46106</v>
      </c>
      <c r="AO7266" s="134"/>
      <c r="AP7266" s="135">
        <v>1010</v>
      </c>
      <c r="AQ7266" s="136"/>
      <c r="AR7266" s="118">
        <v>940000</v>
      </c>
      <c r="AS7266" s="119"/>
      <c r="AT7266" s="118">
        <f t="shared" ref="AT7266" si="10449">AR7266*0.1</f>
        <v>94000</v>
      </c>
      <c r="AU7266" s="119"/>
      <c r="AV7266" s="118">
        <v>12500</v>
      </c>
      <c r="AW7266" s="119"/>
      <c r="AX7266" s="118">
        <f t="shared" ref="AX7266" si="10450">SUM(AR7266:AW7266)</f>
        <v>1046500</v>
      </c>
      <c r="AY7266" s="119"/>
      <c r="AZ7266" s="137">
        <v>46111</v>
      </c>
    </row>
    <row r="7267" spans="1:52" ht="17.100000000000001" customHeight="1" thickBot="1">
      <c r="A7267" s="110"/>
      <c r="B7267" s="27" t="s">
        <v>2727</v>
      </c>
      <c r="C7267" s="27">
        <v>30140</v>
      </c>
      <c r="D7267" s="14" t="s">
        <v>1720</v>
      </c>
      <c r="E7267" s="112"/>
      <c r="F7267" s="139" t="s">
        <v>20707</v>
      </c>
      <c r="G7267" s="140"/>
      <c r="H7267" s="141"/>
      <c r="I7267" s="26">
        <v>42314</v>
      </c>
      <c r="J7267" s="117"/>
      <c r="K7267" s="120"/>
      <c r="L7267" s="121"/>
      <c r="M7267" s="120"/>
      <c r="N7267" s="121"/>
      <c r="O7267" s="120"/>
      <c r="P7267" s="121"/>
      <c r="Q7267" s="120"/>
      <c r="R7267" s="121"/>
      <c r="S7267" s="120"/>
      <c r="T7267" s="121"/>
      <c r="U7267" s="120"/>
      <c r="V7267" s="123"/>
      <c r="W7267" s="125"/>
      <c r="X7267" s="142" t="s">
        <v>21172</v>
      </c>
      <c r="Y7267" s="143"/>
      <c r="Z7267" s="143"/>
      <c r="AA7267" s="143"/>
      <c r="AB7267" s="144"/>
      <c r="AC7267" s="16" t="s">
        <v>21</v>
      </c>
      <c r="AD7267" s="17" t="s">
        <v>2388</v>
      </c>
      <c r="AE7267" s="145" t="s">
        <v>10559</v>
      </c>
      <c r="AF7267" s="146"/>
      <c r="AG7267" s="146"/>
      <c r="AH7267" s="146"/>
      <c r="AI7267" s="147"/>
      <c r="AJ7267" s="148"/>
      <c r="AK7267" s="143"/>
      <c r="AL7267" s="144"/>
      <c r="AM7267" s="22"/>
      <c r="AN7267" s="149" t="s">
        <v>2794</v>
      </c>
      <c r="AO7267" s="144"/>
      <c r="AP7267" s="148">
        <v>5092</v>
      </c>
      <c r="AQ7267" s="144"/>
      <c r="AR7267" s="120"/>
      <c r="AS7267" s="121"/>
      <c r="AT7267" s="120"/>
      <c r="AU7267" s="121"/>
      <c r="AV7267" s="120"/>
      <c r="AW7267" s="121"/>
      <c r="AX7267" s="120"/>
      <c r="AY7267" s="121"/>
      <c r="AZ7267" s="138"/>
    </row>
    <row r="7268" spans="1:52" ht="17.100000000000001" customHeight="1" thickTop="1">
      <c r="A7268" s="109" t="s">
        <v>20661</v>
      </c>
      <c r="B7268" s="28">
        <v>46100</v>
      </c>
      <c r="C7268" s="25">
        <v>2019</v>
      </c>
      <c r="D7268" s="13" t="s">
        <v>3530</v>
      </c>
      <c r="E7268" s="111"/>
      <c r="F7268" s="113" t="s">
        <v>16687</v>
      </c>
      <c r="G7268" s="114"/>
      <c r="H7268" s="115"/>
      <c r="I7268" s="24" t="s">
        <v>2112</v>
      </c>
      <c r="J7268" s="116">
        <v>4.5</v>
      </c>
      <c r="K7268" s="118">
        <v>1412000</v>
      </c>
      <c r="L7268" s="119"/>
      <c r="M7268" s="118">
        <f t="shared" ref="M7268" si="10451">K7268*0.1</f>
        <v>141200</v>
      </c>
      <c r="N7268" s="119"/>
      <c r="O7268" s="118">
        <v>0</v>
      </c>
      <c r="P7268" s="119"/>
      <c r="Q7268" s="118">
        <v>8640</v>
      </c>
      <c r="R7268" s="119"/>
      <c r="S7268" s="118">
        <v>22000</v>
      </c>
      <c r="T7268" s="119"/>
      <c r="U7268" s="118">
        <f t="shared" ref="U7268" si="10452">SUM(K7268:T7269)</f>
        <v>1583840</v>
      </c>
      <c r="V7268" s="122"/>
      <c r="W7268" s="124"/>
      <c r="X7268" s="126" t="s">
        <v>20810</v>
      </c>
      <c r="Y7268" s="127"/>
      <c r="Z7268" s="127"/>
      <c r="AA7268" s="127"/>
      <c r="AB7268" s="128"/>
      <c r="AC7268" s="15" t="s">
        <v>20</v>
      </c>
      <c r="AD7268" s="129" t="s">
        <v>20811</v>
      </c>
      <c r="AE7268" s="130"/>
      <c r="AF7268" s="130"/>
      <c r="AG7268" s="130"/>
      <c r="AH7268" s="130"/>
      <c r="AI7268" s="131"/>
      <c r="AJ7268" s="132"/>
      <c r="AK7268" s="127"/>
      <c r="AL7268" s="128"/>
      <c r="AM7268" s="21" t="s">
        <v>21930</v>
      </c>
      <c r="AN7268" s="133">
        <v>46113</v>
      </c>
      <c r="AO7268" s="134"/>
      <c r="AP7268" s="135">
        <v>1011</v>
      </c>
      <c r="AQ7268" s="136"/>
      <c r="AR7268" s="118">
        <v>1450000</v>
      </c>
      <c r="AS7268" s="119"/>
      <c r="AT7268" s="118">
        <f t="shared" ref="AT7268" si="10453">AR7268*0.1</f>
        <v>145000</v>
      </c>
      <c r="AU7268" s="119"/>
      <c r="AV7268" s="118">
        <v>8640</v>
      </c>
      <c r="AW7268" s="119"/>
      <c r="AX7268" s="118">
        <f t="shared" ref="AX7268" si="10454">SUM(AR7268:AW7268)</f>
        <v>1603640</v>
      </c>
      <c r="AY7268" s="119"/>
      <c r="AZ7268" s="137">
        <v>46119</v>
      </c>
    </row>
    <row r="7269" spans="1:52" ht="17.100000000000001" customHeight="1" thickBot="1">
      <c r="A7269" s="110"/>
      <c r="B7269" s="27" t="s">
        <v>2727</v>
      </c>
      <c r="C7269" s="27">
        <v>50089</v>
      </c>
      <c r="D7269" s="14" t="s">
        <v>904</v>
      </c>
      <c r="E7269" s="112"/>
      <c r="F7269" s="139" t="s">
        <v>20708</v>
      </c>
      <c r="G7269" s="140"/>
      <c r="H7269" s="141"/>
      <c r="I7269" s="26">
        <v>34634</v>
      </c>
      <c r="J7269" s="117"/>
      <c r="K7269" s="120"/>
      <c r="L7269" s="121"/>
      <c r="M7269" s="120"/>
      <c r="N7269" s="121"/>
      <c r="O7269" s="120"/>
      <c r="P7269" s="121"/>
      <c r="Q7269" s="120"/>
      <c r="R7269" s="121"/>
      <c r="S7269" s="120"/>
      <c r="T7269" s="121"/>
      <c r="U7269" s="120"/>
      <c r="V7269" s="123"/>
      <c r="W7269" s="125"/>
      <c r="X7269" s="142" t="s">
        <v>6893</v>
      </c>
      <c r="Y7269" s="143"/>
      <c r="Z7269" s="143"/>
      <c r="AA7269" s="143"/>
      <c r="AB7269" s="144"/>
      <c r="AC7269" s="16" t="s">
        <v>21</v>
      </c>
      <c r="AD7269" s="17" t="s">
        <v>2388</v>
      </c>
      <c r="AE7269" s="145" t="s">
        <v>13071</v>
      </c>
      <c r="AF7269" s="146"/>
      <c r="AG7269" s="146"/>
      <c r="AH7269" s="146"/>
      <c r="AI7269" s="147"/>
      <c r="AJ7269" s="148"/>
      <c r="AK7269" s="143"/>
      <c r="AL7269" s="144"/>
      <c r="AM7269" s="22"/>
      <c r="AN7269" s="149" t="s">
        <v>2794</v>
      </c>
      <c r="AO7269" s="144"/>
      <c r="AP7269" s="148">
        <v>5042</v>
      </c>
      <c r="AQ7269" s="144"/>
      <c r="AR7269" s="120"/>
      <c r="AS7269" s="121"/>
      <c r="AT7269" s="120"/>
      <c r="AU7269" s="121"/>
      <c r="AV7269" s="120"/>
      <c r="AW7269" s="121"/>
      <c r="AX7269" s="120"/>
      <c r="AY7269" s="121"/>
      <c r="AZ7269" s="138"/>
    </row>
    <row r="7270" spans="1:52" ht="17.100000000000001" customHeight="1" thickTop="1">
      <c r="A7270" s="109" t="s">
        <v>20662</v>
      </c>
      <c r="B7270" s="28">
        <v>46100</v>
      </c>
      <c r="C7270" s="25">
        <v>2019</v>
      </c>
      <c r="D7270" s="13" t="s">
        <v>2494</v>
      </c>
      <c r="E7270" s="111"/>
      <c r="F7270" s="113" t="s">
        <v>20812</v>
      </c>
      <c r="G7270" s="114"/>
      <c r="H7270" s="115"/>
      <c r="I7270" s="24" t="s">
        <v>2956</v>
      </c>
      <c r="J7270" s="150" t="s">
        <v>4203</v>
      </c>
      <c r="K7270" s="118">
        <v>1299000</v>
      </c>
      <c r="L7270" s="119"/>
      <c r="M7270" s="118">
        <f t="shared" ref="M7270" si="10455">K7270*0.1</f>
        <v>129900</v>
      </c>
      <c r="N7270" s="119"/>
      <c r="O7270" s="118">
        <v>0</v>
      </c>
      <c r="P7270" s="119"/>
      <c r="Q7270" s="118">
        <v>8450</v>
      </c>
      <c r="R7270" s="119"/>
      <c r="S7270" s="118">
        <v>22000</v>
      </c>
      <c r="T7270" s="119"/>
      <c r="U7270" s="118">
        <f t="shared" ref="U7270" si="10456">SUM(K7270:T7271)</f>
        <v>1459350</v>
      </c>
      <c r="V7270" s="122"/>
      <c r="W7270" s="124"/>
      <c r="X7270" s="126" t="s">
        <v>20813</v>
      </c>
      <c r="Y7270" s="127"/>
      <c r="Z7270" s="127"/>
      <c r="AA7270" s="127"/>
      <c r="AB7270" s="128"/>
      <c r="AC7270" s="15" t="s">
        <v>20</v>
      </c>
      <c r="AD7270" s="129" t="s">
        <v>4435</v>
      </c>
      <c r="AE7270" s="130"/>
      <c r="AF7270" s="130"/>
      <c r="AG7270" s="130"/>
      <c r="AH7270" s="130"/>
      <c r="AI7270" s="131"/>
      <c r="AJ7270" s="132"/>
      <c r="AK7270" s="127"/>
      <c r="AL7270" s="128"/>
      <c r="AM7270" s="21" t="s">
        <v>23357</v>
      </c>
      <c r="AN7270" s="133">
        <v>46127</v>
      </c>
      <c r="AO7270" s="134"/>
      <c r="AP7270" s="135">
        <v>1013</v>
      </c>
      <c r="AQ7270" s="136"/>
      <c r="AR7270" s="118">
        <v>1295000</v>
      </c>
      <c r="AS7270" s="119"/>
      <c r="AT7270" s="118">
        <f t="shared" ref="AT7270" si="10457">AR7270*0.1</f>
        <v>129500</v>
      </c>
      <c r="AU7270" s="119"/>
      <c r="AV7270" s="118">
        <v>8450</v>
      </c>
      <c r="AW7270" s="119"/>
      <c r="AX7270" s="118">
        <f t="shared" ref="AX7270" si="10458">SUM(AR7270:AW7270)</f>
        <v>1432950</v>
      </c>
      <c r="AY7270" s="119"/>
      <c r="AZ7270" s="137">
        <v>46133</v>
      </c>
    </row>
    <row r="7271" spans="1:52" ht="17.100000000000001" customHeight="1" thickBot="1">
      <c r="A7271" s="110"/>
      <c r="B7271" s="27" t="s">
        <v>2727</v>
      </c>
      <c r="C7271" s="27">
        <v>50111</v>
      </c>
      <c r="D7271" s="14" t="s">
        <v>1592</v>
      </c>
      <c r="E7271" s="112"/>
      <c r="F7271" s="139" t="s">
        <v>20709</v>
      </c>
      <c r="G7271" s="140"/>
      <c r="H7271" s="141"/>
      <c r="I7271" s="26">
        <v>6</v>
      </c>
      <c r="J7271" s="117"/>
      <c r="K7271" s="120"/>
      <c r="L7271" s="121"/>
      <c r="M7271" s="120"/>
      <c r="N7271" s="121"/>
      <c r="O7271" s="120"/>
      <c r="P7271" s="121"/>
      <c r="Q7271" s="120"/>
      <c r="R7271" s="121"/>
      <c r="S7271" s="120"/>
      <c r="T7271" s="121"/>
      <c r="U7271" s="120"/>
      <c r="V7271" s="123"/>
      <c r="W7271" s="125"/>
      <c r="X7271" s="142" t="s">
        <v>13825</v>
      </c>
      <c r="Y7271" s="143"/>
      <c r="Z7271" s="143"/>
      <c r="AA7271" s="143"/>
      <c r="AB7271" s="144"/>
      <c r="AC7271" s="16" t="s">
        <v>21</v>
      </c>
      <c r="AD7271" s="17" t="s">
        <v>2388</v>
      </c>
      <c r="AE7271" s="145" t="s">
        <v>171</v>
      </c>
      <c r="AF7271" s="146"/>
      <c r="AG7271" s="146"/>
      <c r="AH7271" s="146"/>
      <c r="AI7271" s="147"/>
      <c r="AJ7271" s="148"/>
      <c r="AK7271" s="143"/>
      <c r="AL7271" s="144"/>
      <c r="AM7271" s="22"/>
      <c r="AN7271" s="149" t="s">
        <v>2794</v>
      </c>
      <c r="AO7271" s="144"/>
      <c r="AP7271" s="148">
        <v>5091</v>
      </c>
      <c r="AQ7271" s="144"/>
      <c r="AR7271" s="120"/>
      <c r="AS7271" s="121"/>
      <c r="AT7271" s="120"/>
      <c r="AU7271" s="121"/>
      <c r="AV7271" s="120"/>
      <c r="AW7271" s="121"/>
      <c r="AX7271" s="120"/>
      <c r="AY7271" s="121"/>
      <c r="AZ7271" s="138"/>
    </row>
    <row r="7272" spans="1:52" ht="17.100000000000001" customHeight="1" thickTop="1">
      <c r="A7272" s="109" t="s">
        <v>20663</v>
      </c>
      <c r="B7272" s="28">
        <v>46100</v>
      </c>
      <c r="C7272" s="25">
        <v>2019</v>
      </c>
      <c r="D7272" s="13" t="s">
        <v>2465</v>
      </c>
      <c r="E7272" s="111"/>
      <c r="F7272" s="113" t="s">
        <v>20814</v>
      </c>
      <c r="G7272" s="114"/>
      <c r="H7272" s="115"/>
      <c r="I7272" s="24"/>
      <c r="J7272" s="116">
        <v>4</v>
      </c>
      <c r="K7272" s="118">
        <v>512000</v>
      </c>
      <c r="L7272" s="119"/>
      <c r="M7272" s="118">
        <f t="shared" ref="M7272" si="10459">K7272*0.1</f>
        <v>51200</v>
      </c>
      <c r="N7272" s="119"/>
      <c r="O7272" s="118">
        <v>0</v>
      </c>
      <c r="P7272" s="119"/>
      <c r="Q7272" s="118">
        <v>9290</v>
      </c>
      <c r="R7272" s="119"/>
      <c r="S7272" s="118">
        <v>22000</v>
      </c>
      <c r="T7272" s="119"/>
      <c r="U7272" s="118">
        <f t="shared" ref="U7272" si="10460">SUM(K7272:T7273)</f>
        <v>594490</v>
      </c>
      <c r="V7272" s="122"/>
      <c r="W7272" s="124"/>
      <c r="X7272" s="126" t="s">
        <v>21200</v>
      </c>
      <c r="Y7272" s="127"/>
      <c r="Z7272" s="127"/>
      <c r="AA7272" s="127"/>
      <c r="AB7272" s="128"/>
      <c r="AC7272" s="15" t="s">
        <v>20</v>
      </c>
      <c r="AD7272" s="129" t="s">
        <v>3828</v>
      </c>
      <c r="AE7272" s="130"/>
      <c r="AF7272" s="130"/>
      <c r="AG7272" s="130"/>
      <c r="AH7272" s="130"/>
      <c r="AI7272" s="131"/>
      <c r="AJ7272" s="132"/>
      <c r="AK7272" s="127"/>
      <c r="AL7272" s="128"/>
      <c r="AM7272" s="21"/>
      <c r="AN7272" s="133">
        <v>46113</v>
      </c>
      <c r="AO7272" s="134"/>
      <c r="AP7272" s="135">
        <v>1011</v>
      </c>
      <c r="AQ7272" s="136"/>
      <c r="AR7272" s="118">
        <v>590000</v>
      </c>
      <c r="AS7272" s="119"/>
      <c r="AT7272" s="118">
        <f t="shared" ref="AT7272" si="10461">AR7272*0.1</f>
        <v>59000</v>
      </c>
      <c r="AU7272" s="119"/>
      <c r="AV7272" s="118">
        <v>9290</v>
      </c>
      <c r="AW7272" s="119"/>
      <c r="AX7272" s="118">
        <f t="shared" ref="AX7272" si="10462">SUM(AR7272:AW7272)</f>
        <v>658290</v>
      </c>
      <c r="AY7272" s="119"/>
      <c r="AZ7272" s="137">
        <v>46120</v>
      </c>
    </row>
    <row r="7273" spans="1:52" ht="17.100000000000001" customHeight="1" thickBot="1">
      <c r="A7273" s="110"/>
      <c r="B7273" s="27" t="s">
        <v>2727</v>
      </c>
      <c r="C7273" s="27">
        <v>50119</v>
      </c>
      <c r="D7273" s="14" t="s">
        <v>2325</v>
      </c>
      <c r="E7273" s="112"/>
      <c r="F7273" s="139" t="s">
        <v>20710</v>
      </c>
      <c r="G7273" s="140"/>
      <c r="H7273" s="141"/>
      <c r="I7273" s="26">
        <v>49951</v>
      </c>
      <c r="J7273" s="117"/>
      <c r="K7273" s="120"/>
      <c r="L7273" s="121"/>
      <c r="M7273" s="120"/>
      <c r="N7273" s="121"/>
      <c r="O7273" s="120"/>
      <c r="P7273" s="121"/>
      <c r="Q7273" s="120"/>
      <c r="R7273" s="121"/>
      <c r="S7273" s="120"/>
      <c r="T7273" s="121"/>
      <c r="U7273" s="120"/>
      <c r="V7273" s="123"/>
      <c r="W7273" s="125"/>
      <c r="X7273" s="142" t="s">
        <v>6904</v>
      </c>
      <c r="Y7273" s="143"/>
      <c r="Z7273" s="143"/>
      <c r="AA7273" s="143"/>
      <c r="AB7273" s="144"/>
      <c r="AC7273" s="16" t="s">
        <v>21</v>
      </c>
      <c r="AD7273" s="17" t="s">
        <v>2388</v>
      </c>
      <c r="AE7273" s="145" t="s">
        <v>1609</v>
      </c>
      <c r="AF7273" s="146"/>
      <c r="AG7273" s="146"/>
      <c r="AH7273" s="146"/>
      <c r="AI7273" s="147"/>
      <c r="AJ7273" s="148"/>
      <c r="AK7273" s="143"/>
      <c r="AL7273" s="144"/>
      <c r="AM7273" s="22"/>
      <c r="AN7273" s="149" t="s">
        <v>8809</v>
      </c>
      <c r="AO7273" s="144"/>
      <c r="AP7273" s="148">
        <v>2027</v>
      </c>
      <c r="AQ7273" s="144"/>
      <c r="AR7273" s="120"/>
      <c r="AS7273" s="121"/>
      <c r="AT7273" s="120"/>
      <c r="AU7273" s="121"/>
      <c r="AV7273" s="120"/>
      <c r="AW7273" s="121"/>
      <c r="AX7273" s="120"/>
      <c r="AY7273" s="121"/>
      <c r="AZ7273" s="138"/>
    </row>
    <row r="7274" spans="1:52" ht="17.100000000000001" customHeight="1" thickTop="1">
      <c r="A7274" s="109" t="s">
        <v>20664</v>
      </c>
      <c r="B7274" s="28">
        <v>46100</v>
      </c>
      <c r="C7274" s="25">
        <v>2019</v>
      </c>
      <c r="D7274" s="13" t="s">
        <v>2970</v>
      </c>
      <c r="E7274" s="111"/>
      <c r="F7274" s="113" t="s">
        <v>19593</v>
      </c>
      <c r="G7274" s="114"/>
      <c r="H7274" s="115"/>
      <c r="I7274" s="24"/>
      <c r="J7274" s="116">
        <v>4</v>
      </c>
      <c r="K7274" s="118">
        <v>1006000</v>
      </c>
      <c r="L7274" s="119"/>
      <c r="M7274" s="118">
        <f t="shared" ref="M7274" si="10463">K7274*0.1</f>
        <v>100600</v>
      </c>
      <c r="N7274" s="119"/>
      <c r="O7274" s="118">
        <v>0</v>
      </c>
      <c r="P7274" s="119"/>
      <c r="Q7274" s="118">
        <v>8790</v>
      </c>
      <c r="R7274" s="119"/>
      <c r="S7274" s="118">
        <v>22000</v>
      </c>
      <c r="T7274" s="119"/>
      <c r="U7274" s="118">
        <f t="shared" ref="U7274" si="10464">SUM(K7274:T7275)</f>
        <v>1137390</v>
      </c>
      <c r="V7274" s="122"/>
      <c r="W7274" s="124"/>
      <c r="X7274" s="126" t="s">
        <v>21169</v>
      </c>
      <c r="Y7274" s="127"/>
      <c r="Z7274" s="127"/>
      <c r="AA7274" s="127"/>
      <c r="AB7274" s="128"/>
      <c r="AC7274" s="15" t="s">
        <v>20</v>
      </c>
      <c r="AD7274" s="129" t="s">
        <v>20815</v>
      </c>
      <c r="AE7274" s="130"/>
      <c r="AF7274" s="130"/>
      <c r="AG7274" s="130"/>
      <c r="AH7274" s="130"/>
      <c r="AI7274" s="131"/>
      <c r="AJ7274" s="132"/>
      <c r="AK7274" s="127"/>
      <c r="AL7274" s="128"/>
      <c r="AM7274" s="21"/>
      <c r="AN7274" s="133">
        <v>46106</v>
      </c>
      <c r="AO7274" s="134"/>
      <c r="AP7274" s="135">
        <v>1010</v>
      </c>
      <c r="AQ7274" s="136"/>
      <c r="AR7274" s="118">
        <v>1115000</v>
      </c>
      <c r="AS7274" s="119"/>
      <c r="AT7274" s="118">
        <f t="shared" ref="AT7274" si="10465">AR7274*0.1</f>
        <v>111500</v>
      </c>
      <c r="AU7274" s="119"/>
      <c r="AV7274" s="118">
        <v>8790</v>
      </c>
      <c r="AW7274" s="119"/>
      <c r="AX7274" s="118">
        <f t="shared" ref="AX7274" si="10466">SUM(AR7274:AW7274)</f>
        <v>1235290</v>
      </c>
      <c r="AY7274" s="119"/>
      <c r="AZ7274" s="137">
        <v>46111</v>
      </c>
    </row>
    <row r="7275" spans="1:52" ht="17.100000000000001" customHeight="1" thickBot="1">
      <c r="A7275" s="110"/>
      <c r="B7275" s="27" t="s">
        <v>2727</v>
      </c>
      <c r="C7275" s="27">
        <v>50129</v>
      </c>
      <c r="D7275" s="14" t="s">
        <v>2800</v>
      </c>
      <c r="E7275" s="112"/>
      <c r="F7275" s="139" t="s">
        <v>20711</v>
      </c>
      <c r="G7275" s="140"/>
      <c r="H7275" s="141"/>
      <c r="I7275" s="26">
        <v>36282</v>
      </c>
      <c r="J7275" s="117"/>
      <c r="K7275" s="120"/>
      <c r="L7275" s="121"/>
      <c r="M7275" s="120"/>
      <c r="N7275" s="121"/>
      <c r="O7275" s="120"/>
      <c r="P7275" s="121"/>
      <c r="Q7275" s="120"/>
      <c r="R7275" s="121"/>
      <c r="S7275" s="120"/>
      <c r="T7275" s="121"/>
      <c r="U7275" s="120"/>
      <c r="V7275" s="123"/>
      <c r="W7275" s="125"/>
      <c r="X7275" s="142" t="s">
        <v>6904</v>
      </c>
      <c r="Y7275" s="143"/>
      <c r="Z7275" s="143"/>
      <c r="AA7275" s="143"/>
      <c r="AB7275" s="144"/>
      <c r="AC7275" s="16" t="s">
        <v>21</v>
      </c>
      <c r="AD7275" s="17" t="s">
        <v>2388</v>
      </c>
      <c r="AE7275" s="145" t="s">
        <v>21170</v>
      </c>
      <c r="AF7275" s="146"/>
      <c r="AG7275" s="146"/>
      <c r="AH7275" s="146"/>
      <c r="AI7275" s="147"/>
      <c r="AJ7275" s="148"/>
      <c r="AK7275" s="143"/>
      <c r="AL7275" s="144"/>
      <c r="AM7275" s="22"/>
      <c r="AN7275" s="149" t="s">
        <v>2794</v>
      </c>
      <c r="AO7275" s="144"/>
      <c r="AP7275" s="148">
        <v>5084</v>
      </c>
      <c r="AQ7275" s="144"/>
      <c r="AR7275" s="120"/>
      <c r="AS7275" s="121"/>
      <c r="AT7275" s="120"/>
      <c r="AU7275" s="121"/>
      <c r="AV7275" s="120"/>
      <c r="AW7275" s="121"/>
      <c r="AX7275" s="120"/>
      <c r="AY7275" s="121"/>
      <c r="AZ7275" s="138"/>
    </row>
    <row r="7276" spans="1:52" ht="17.100000000000001" customHeight="1" thickTop="1">
      <c r="A7276" s="109" t="s">
        <v>20665</v>
      </c>
      <c r="B7276" s="28">
        <v>46100</v>
      </c>
      <c r="C7276" s="25">
        <v>2019</v>
      </c>
      <c r="D7276" s="13" t="s">
        <v>2092</v>
      </c>
      <c r="E7276" s="111"/>
      <c r="F7276" s="113" t="s">
        <v>15222</v>
      </c>
      <c r="G7276" s="114"/>
      <c r="H7276" s="115"/>
      <c r="I7276" s="24"/>
      <c r="J7276" s="116">
        <v>4</v>
      </c>
      <c r="K7276" s="118">
        <v>1406000</v>
      </c>
      <c r="L7276" s="119"/>
      <c r="M7276" s="118">
        <f t="shared" ref="M7276" si="10467">K7276*0.1</f>
        <v>140600</v>
      </c>
      <c r="N7276" s="119"/>
      <c r="O7276" s="118">
        <v>0</v>
      </c>
      <c r="P7276" s="119"/>
      <c r="Q7276" s="118">
        <v>8630</v>
      </c>
      <c r="R7276" s="119"/>
      <c r="S7276" s="118">
        <v>22000</v>
      </c>
      <c r="T7276" s="119"/>
      <c r="U7276" s="118">
        <f t="shared" ref="U7276" si="10468">SUM(K7276:T7277)</f>
        <v>1577230</v>
      </c>
      <c r="V7276" s="122"/>
      <c r="W7276" s="124"/>
      <c r="X7276" s="126" t="s">
        <v>21201</v>
      </c>
      <c r="Y7276" s="127"/>
      <c r="Z7276" s="127"/>
      <c r="AA7276" s="127"/>
      <c r="AB7276" s="128"/>
      <c r="AC7276" s="15" t="s">
        <v>20</v>
      </c>
      <c r="AD7276" s="129" t="s">
        <v>15208</v>
      </c>
      <c r="AE7276" s="130"/>
      <c r="AF7276" s="130"/>
      <c r="AG7276" s="130"/>
      <c r="AH7276" s="130"/>
      <c r="AI7276" s="131"/>
      <c r="AJ7276" s="132"/>
      <c r="AK7276" s="127"/>
      <c r="AL7276" s="128"/>
      <c r="AM7276" s="21"/>
      <c r="AN7276" s="133">
        <v>46127</v>
      </c>
      <c r="AO7276" s="134"/>
      <c r="AP7276" s="135">
        <v>1013</v>
      </c>
      <c r="AQ7276" s="136"/>
      <c r="AR7276" s="118">
        <v>1480000</v>
      </c>
      <c r="AS7276" s="119"/>
      <c r="AT7276" s="118">
        <f t="shared" ref="AT7276" si="10469">AR7276*0.1</f>
        <v>148000</v>
      </c>
      <c r="AU7276" s="119"/>
      <c r="AV7276" s="118">
        <v>8630</v>
      </c>
      <c r="AW7276" s="119"/>
      <c r="AX7276" s="118">
        <f t="shared" ref="AX7276" si="10470">SUM(AR7276:AW7276)</f>
        <v>1636630</v>
      </c>
      <c r="AY7276" s="119"/>
      <c r="AZ7276" s="137">
        <v>46132</v>
      </c>
    </row>
    <row r="7277" spans="1:52" ht="17.100000000000001" customHeight="1" thickBot="1">
      <c r="A7277" s="110"/>
      <c r="B7277" s="27" t="s">
        <v>2727</v>
      </c>
      <c r="C7277" s="27">
        <v>50153</v>
      </c>
      <c r="D7277" s="14" t="s">
        <v>2800</v>
      </c>
      <c r="E7277" s="112"/>
      <c r="F7277" s="139" t="s">
        <v>20712</v>
      </c>
      <c r="G7277" s="140"/>
      <c r="H7277" s="141"/>
      <c r="I7277" s="26">
        <v>8565</v>
      </c>
      <c r="J7277" s="117"/>
      <c r="K7277" s="120"/>
      <c r="L7277" s="121"/>
      <c r="M7277" s="120"/>
      <c r="N7277" s="121"/>
      <c r="O7277" s="120"/>
      <c r="P7277" s="121"/>
      <c r="Q7277" s="120"/>
      <c r="R7277" s="121"/>
      <c r="S7277" s="120"/>
      <c r="T7277" s="121"/>
      <c r="U7277" s="120"/>
      <c r="V7277" s="123"/>
      <c r="W7277" s="125"/>
      <c r="X7277" s="142" t="s">
        <v>21202</v>
      </c>
      <c r="Y7277" s="143"/>
      <c r="Z7277" s="143"/>
      <c r="AA7277" s="143"/>
      <c r="AB7277" s="144"/>
      <c r="AC7277" s="16" t="s">
        <v>21</v>
      </c>
      <c r="AD7277" s="17" t="s">
        <v>2388</v>
      </c>
      <c r="AE7277" s="145" t="s">
        <v>1609</v>
      </c>
      <c r="AF7277" s="146"/>
      <c r="AG7277" s="146"/>
      <c r="AH7277" s="146"/>
      <c r="AI7277" s="147"/>
      <c r="AJ7277" s="148"/>
      <c r="AK7277" s="143"/>
      <c r="AL7277" s="144"/>
      <c r="AM7277" s="22"/>
      <c r="AN7277" s="149" t="s">
        <v>2794</v>
      </c>
      <c r="AO7277" s="144"/>
      <c r="AP7277" s="148">
        <v>2034</v>
      </c>
      <c r="AQ7277" s="144"/>
      <c r="AR7277" s="120"/>
      <c r="AS7277" s="121"/>
      <c r="AT7277" s="120"/>
      <c r="AU7277" s="121"/>
      <c r="AV7277" s="120"/>
      <c r="AW7277" s="121"/>
      <c r="AX7277" s="120"/>
      <c r="AY7277" s="121"/>
      <c r="AZ7277" s="138"/>
    </row>
    <row r="7278" spans="1:52" ht="17.100000000000001" customHeight="1" thickTop="1">
      <c r="A7278" s="109" t="s">
        <v>20666</v>
      </c>
      <c r="B7278" s="28">
        <v>46100</v>
      </c>
      <c r="C7278" s="25">
        <v>2019</v>
      </c>
      <c r="D7278" s="13" t="s">
        <v>2009</v>
      </c>
      <c r="E7278" s="111"/>
      <c r="F7278" s="113" t="s">
        <v>20816</v>
      </c>
      <c r="G7278" s="114"/>
      <c r="H7278" s="115"/>
      <c r="I7278" s="24"/>
      <c r="J7278" s="116">
        <v>4</v>
      </c>
      <c r="K7278" s="118">
        <v>1384000</v>
      </c>
      <c r="L7278" s="119"/>
      <c r="M7278" s="118">
        <f t="shared" ref="M7278" si="10471">K7278*0.1</f>
        <v>138400</v>
      </c>
      <c r="N7278" s="119"/>
      <c r="O7278" s="118">
        <v>0</v>
      </c>
      <c r="P7278" s="119"/>
      <c r="Q7278" s="118">
        <v>8630</v>
      </c>
      <c r="R7278" s="119"/>
      <c r="S7278" s="118">
        <v>22000</v>
      </c>
      <c r="T7278" s="119"/>
      <c r="U7278" s="118">
        <f t="shared" ref="U7278" si="10472">SUM(K7278:T7279)</f>
        <v>1553030</v>
      </c>
      <c r="V7278" s="122"/>
      <c r="W7278" s="124"/>
      <c r="X7278" s="126" t="s">
        <v>21282</v>
      </c>
      <c r="Y7278" s="127"/>
      <c r="Z7278" s="127"/>
      <c r="AA7278" s="127"/>
      <c r="AB7278" s="128"/>
      <c r="AC7278" s="15" t="s">
        <v>20</v>
      </c>
      <c r="AD7278" s="129" t="s">
        <v>1670</v>
      </c>
      <c r="AE7278" s="130"/>
      <c r="AF7278" s="130"/>
      <c r="AG7278" s="130"/>
      <c r="AH7278" s="130"/>
      <c r="AI7278" s="131"/>
      <c r="AJ7278" s="132"/>
      <c r="AK7278" s="127"/>
      <c r="AL7278" s="128"/>
      <c r="AM7278" s="21"/>
      <c r="AN7278" s="133">
        <v>46127</v>
      </c>
      <c r="AO7278" s="134"/>
      <c r="AP7278" s="135">
        <v>1013</v>
      </c>
      <c r="AQ7278" s="136"/>
      <c r="AR7278" s="118">
        <v>1375000</v>
      </c>
      <c r="AS7278" s="119"/>
      <c r="AT7278" s="118">
        <f t="shared" ref="AT7278" si="10473">AR7278*0.1</f>
        <v>137500</v>
      </c>
      <c r="AU7278" s="119"/>
      <c r="AV7278" s="118">
        <v>8630</v>
      </c>
      <c r="AW7278" s="119"/>
      <c r="AX7278" s="118">
        <f t="shared" ref="AX7278" si="10474">SUM(AR7278:AW7278)</f>
        <v>1521130</v>
      </c>
      <c r="AY7278" s="119"/>
      <c r="AZ7278" s="137">
        <v>46132</v>
      </c>
    </row>
    <row r="7279" spans="1:52" ht="17.100000000000001" customHeight="1" thickBot="1">
      <c r="A7279" s="110"/>
      <c r="B7279" s="27" t="s">
        <v>2727</v>
      </c>
      <c r="C7279" s="27">
        <v>50182</v>
      </c>
      <c r="D7279" s="14" t="s">
        <v>2601</v>
      </c>
      <c r="E7279" s="112"/>
      <c r="F7279" s="139" t="s">
        <v>20713</v>
      </c>
      <c r="G7279" s="140"/>
      <c r="H7279" s="141"/>
      <c r="I7279" s="26">
        <v>25854</v>
      </c>
      <c r="J7279" s="117"/>
      <c r="K7279" s="120"/>
      <c r="L7279" s="121"/>
      <c r="M7279" s="120"/>
      <c r="N7279" s="121"/>
      <c r="O7279" s="120"/>
      <c r="P7279" s="121"/>
      <c r="Q7279" s="120"/>
      <c r="R7279" s="121"/>
      <c r="S7279" s="120"/>
      <c r="T7279" s="121"/>
      <c r="U7279" s="120"/>
      <c r="V7279" s="123"/>
      <c r="W7279" s="125"/>
      <c r="X7279" s="142" t="s">
        <v>21283</v>
      </c>
      <c r="Y7279" s="143"/>
      <c r="Z7279" s="143"/>
      <c r="AA7279" s="143"/>
      <c r="AB7279" s="144"/>
      <c r="AC7279" s="16" t="s">
        <v>21</v>
      </c>
      <c r="AD7279" s="17" t="s">
        <v>21249</v>
      </c>
      <c r="AE7279" s="145" t="s">
        <v>21284</v>
      </c>
      <c r="AF7279" s="146"/>
      <c r="AG7279" s="146"/>
      <c r="AH7279" s="146"/>
      <c r="AI7279" s="147"/>
      <c r="AJ7279" s="148"/>
      <c r="AK7279" s="143"/>
      <c r="AL7279" s="144"/>
      <c r="AM7279" s="22"/>
      <c r="AN7279" s="149" t="s">
        <v>2794</v>
      </c>
      <c r="AO7279" s="144"/>
      <c r="AP7279" s="148">
        <v>2021</v>
      </c>
      <c r="AQ7279" s="144"/>
      <c r="AR7279" s="120"/>
      <c r="AS7279" s="121"/>
      <c r="AT7279" s="120"/>
      <c r="AU7279" s="121"/>
      <c r="AV7279" s="120"/>
      <c r="AW7279" s="121"/>
      <c r="AX7279" s="120"/>
      <c r="AY7279" s="121"/>
      <c r="AZ7279" s="138"/>
    </row>
    <row r="7280" spans="1:52" ht="17.100000000000001" customHeight="1" thickTop="1">
      <c r="A7280" s="109" t="s">
        <v>20667</v>
      </c>
      <c r="B7280" s="28">
        <v>46101</v>
      </c>
      <c r="C7280" s="25">
        <v>102</v>
      </c>
      <c r="D7280" s="13" t="s">
        <v>2001</v>
      </c>
      <c r="E7280" s="111"/>
      <c r="F7280" s="113" t="s">
        <v>7582</v>
      </c>
      <c r="G7280" s="114"/>
      <c r="H7280" s="115"/>
      <c r="I7280" s="24" t="s">
        <v>2152</v>
      </c>
      <c r="J7280" s="116">
        <v>4</v>
      </c>
      <c r="K7280" s="118">
        <v>755000</v>
      </c>
      <c r="L7280" s="119"/>
      <c r="M7280" s="118">
        <f t="shared" ref="M7280" si="10475">K7280*0.1</f>
        <v>75500</v>
      </c>
      <c r="N7280" s="119"/>
      <c r="O7280" s="118">
        <v>0</v>
      </c>
      <c r="P7280" s="119"/>
      <c r="Q7280" s="118">
        <v>6470</v>
      </c>
      <c r="R7280" s="119"/>
      <c r="S7280" s="118">
        <v>33000</v>
      </c>
      <c r="T7280" s="119"/>
      <c r="U7280" s="118">
        <f t="shared" ref="U7280" si="10476">SUM(K7280:T7281)</f>
        <v>869970</v>
      </c>
      <c r="V7280" s="122"/>
      <c r="W7280" s="124"/>
      <c r="X7280" s="126" t="s">
        <v>21885</v>
      </c>
      <c r="Y7280" s="127"/>
      <c r="Z7280" s="127"/>
      <c r="AA7280" s="127"/>
      <c r="AB7280" s="128"/>
      <c r="AC7280" s="15" t="s">
        <v>20</v>
      </c>
      <c r="AD7280" s="129" t="s">
        <v>20817</v>
      </c>
      <c r="AE7280" s="130"/>
      <c r="AF7280" s="130"/>
      <c r="AG7280" s="130"/>
      <c r="AH7280" s="130"/>
      <c r="AI7280" s="131"/>
      <c r="AJ7280" s="132"/>
      <c r="AK7280" s="127"/>
      <c r="AL7280" s="128"/>
      <c r="AM7280" s="21" t="s">
        <v>22988</v>
      </c>
      <c r="AN7280" s="133">
        <v>46123</v>
      </c>
      <c r="AO7280" s="134"/>
      <c r="AP7280" s="135">
        <v>1296</v>
      </c>
      <c r="AQ7280" s="136"/>
      <c r="AR7280" s="118">
        <v>840000</v>
      </c>
      <c r="AS7280" s="119"/>
      <c r="AT7280" s="118">
        <f t="shared" ref="AT7280" si="10477">AR7280*0.1</f>
        <v>84000</v>
      </c>
      <c r="AU7280" s="119"/>
      <c r="AV7280" s="118">
        <v>6470</v>
      </c>
      <c r="AW7280" s="119"/>
      <c r="AX7280" s="118">
        <f t="shared" ref="AX7280" si="10478">SUM(AR7280:AW7280)</f>
        <v>930470</v>
      </c>
      <c r="AY7280" s="119"/>
      <c r="AZ7280" s="137">
        <v>46128</v>
      </c>
    </row>
    <row r="7281" spans="1:52" ht="17.100000000000001" customHeight="1" thickBot="1">
      <c r="A7281" s="110"/>
      <c r="B7281" s="27" t="s">
        <v>4544</v>
      </c>
      <c r="C7281" s="27">
        <v>1016</v>
      </c>
      <c r="D7281" s="14" t="s">
        <v>2325</v>
      </c>
      <c r="E7281" s="112"/>
      <c r="F7281" s="139" t="s">
        <v>20714</v>
      </c>
      <c r="G7281" s="140"/>
      <c r="H7281" s="141"/>
      <c r="I7281" s="26">
        <v>14888</v>
      </c>
      <c r="J7281" s="117"/>
      <c r="K7281" s="120"/>
      <c r="L7281" s="121"/>
      <c r="M7281" s="120"/>
      <c r="N7281" s="121"/>
      <c r="O7281" s="120"/>
      <c r="P7281" s="121"/>
      <c r="Q7281" s="120"/>
      <c r="R7281" s="121"/>
      <c r="S7281" s="120"/>
      <c r="T7281" s="121"/>
      <c r="U7281" s="120"/>
      <c r="V7281" s="123"/>
      <c r="W7281" s="125"/>
      <c r="X7281" s="142" t="s">
        <v>21886</v>
      </c>
      <c r="Y7281" s="143"/>
      <c r="Z7281" s="143"/>
      <c r="AA7281" s="143"/>
      <c r="AB7281" s="144"/>
      <c r="AC7281" s="16" t="s">
        <v>21</v>
      </c>
      <c r="AD7281" s="17" t="s">
        <v>1642</v>
      </c>
      <c r="AE7281" s="145" t="s">
        <v>1742</v>
      </c>
      <c r="AF7281" s="146"/>
      <c r="AG7281" s="146"/>
      <c r="AH7281" s="146"/>
      <c r="AI7281" s="147"/>
      <c r="AJ7281" s="148"/>
      <c r="AK7281" s="143"/>
      <c r="AL7281" s="144"/>
      <c r="AM7281" s="22"/>
      <c r="AN7281" s="149" t="s">
        <v>2511</v>
      </c>
      <c r="AO7281" s="144"/>
      <c r="AP7281" s="148">
        <v>31119</v>
      </c>
      <c r="AQ7281" s="144"/>
      <c r="AR7281" s="120"/>
      <c r="AS7281" s="121"/>
      <c r="AT7281" s="120"/>
      <c r="AU7281" s="121"/>
      <c r="AV7281" s="120"/>
      <c r="AW7281" s="121"/>
      <c r="AX7281" s="120"/>
      <c r="AY7281" s="121"/>
      <c r="AZ7281" s="138"/>
    </row>
    <row r="7282" spans="1:52" ht="17.100000000000001" customHeight="1" thickTop="1">
      <c r="A7282" s="109" t="s">
        <v>20668</v>
      </c>
      <c r="B7282" s="28">
        <v>46101</v>
      </c>
      <c r="C7282" s="25">
        <v>283</v>
      </c>
      <c r="D7282" s="13" t="s">
        <v>1870</v>
      </c>
      <c r="E7282" s="111"/>
      <c r="F7282" s="113" t="s">
        <v>20818</v>
      </c>
      <c r="G7282" s="114"/>
      <c r="H7282" s="115"/>
      <c r="I7282" s="24"/>
      <c r="J7282" s="116">
        <v>4.5</v>
      </c>
      <c r="K7282" s="118">
        <v>841000</v>
      </c>
      <c r="L7282" s="119"/>
      <c r="M7282" s="118">
        <f t="shared" ref="M7282" si="10479">K7282*0.1</f>
        <v>84100</v>
      </c>
      <c r="N7282" s="119"/>
      <c r="O7282" s="118">
        <v>0</v>
      </c>
      <c r="P7282" s="119"/>
      <c r="Q7282" s="118">
        <v>8990</v>
      </c>
      <c r="R7282" s="119"/>
      <c r="S7282" s="118">
        <v>22000</v>
      </c>
      <c r="T7282" s="119"/>
      <c r="U7282" s="118">
        <f t="shared" ref="U7282" si="10480">SUM(K7282:T7283)</f>
        <v>956090</v>
      </c>
      <c r="V7282" s="122"/>
      <c r="W7282" s="124"/>
      <c r="X7282" s="126" t="s">
        <v>21204</v>
      </c>
      <c r="Y7282" s="127"/>
      <c r="Z7282" s="127"/>
      <c r="AA7282" s="127"/>
      <c r="AB7282" s="128"/>
      <c r="AC7282" s="15" t="s">
        <v>20</v>
      </c>
      <c r="AD7282" s="129" t="s">
        <v>1670</v>
      </c>
      <c r="AE7282" s="130"/>
      <c r="AF7282" s="130"/>
      <c r="AG7282" s="130"/>
      <c r="AH7282" s="130"/>
      <c r="AI7282" s="131"/>
      <c r="AJ7282" s="132"/>
      <c r="AK7282" s="127"/>
      <c r="AL7282" s="128"/>
      <c r="AM7282" s="21"/>
      <c r="AN7282" s="133">
        <v>46113</v>
      </c>
      <c r="AO7282" s="134"/>
      <c r="AP7282" s="135">
        <v>1011</v>
      </c>
      <c r="AQ7282" s="136"/>
      <c r="AR7282" s="118">
        <v>890000</v>
      </c>
      <c r="AS7282" s="119"/>
      <c r="AT7282" s="118">
        <f t="shared" ref="AT7282" si="10481">AR7282*0.1</f>
        <v>89000</v>
      </c>
      <c r="AU7282" s="119"/>
      <c r="AV7282" s="118">
        <v>8990</v>
      </c>
      <c r="AW7282" s="119"/>
      <c r="AX7282" s="118">
        <f t="shared" ref="AX7282" si="10482">SUM(AR7282:AW7282)</f>
        <v>987990</v>
      </c>
      <c r="AY7282" s="119"/>
      <c r="AZ7282" s="137">
        <v>46118</v>
      </c>
    </row>
    <row r="7283" spans="1:52" ht="17.100000000000001" customHeight="1" thickBot="1">
      <c r="A7283" s="110"/>
      <c r="B7283" s="27" t="s">
        <v>15877</v>
      </c>
      <c r="C7283" s="27">
        <v>78</v>
      </c>
      <c r="D7283" s="14" t="s">
        <v>17308</v>
      </c>
      <c r="E7283" s="112"/>
      <c r="F7283" s="139" t="s">
        <v>20715</v>
      </c>
      <c r="G7283" s="140"/>
      <c r="H7283" s="141"/>
      <c r="I7283" s="26">
        <v>66586</v>
      </c>
      <c r="J7283" s="117"/>
      <c r="K7283" s="120"/>
      <c r="L7283" s="121"/>
      <c r="M7283" s="120"/>
      <c r="N7283" s="121"/>
      <c r="O7283" s="120"/>
      <c r="P7283" s="121"/>
      <c r="Q7283" s="120"/>
      <c r="R7283" s="121"/>
      <c r="S7283" s="120"/>
      <c r="T7283" s="121"/>
      <c r="U7283" s="120"/>
      <c r="V7283" s="123"/>
      <c r="W7283" s="125"/>
      <c r="X7283" s="142" t="s">
        <v>4150</v>
      </c>
      <c r="Y7283" s="143"/>
      <c r="Z7283" s="143"/>
      <c r="AA7283" s="143"/>
      <c r="AB7283" s="144"/>
      <c r="AC7283" s="16" t="s">
        <v>21</v>
      </c>
      <c r="AD7283" s="17" t="s">
        <v>2388</v>
      </c>
      <c r="AE7283" s="145" t="s">
        <v>4488</v>
      </c>
      <c r="AF7283" s="146"/>
      <c r="AG7283" s="146"/>
      <c r="AH7283" s="146"/>
      <c r="AI7283" s="147"/>
      <c r="AJ7283" s="148"/>
      <c r="AK7283" s="143"/>
      <c r="AL7283" s="144"/>
      <c r="AM7283" s="22"/>
      <c r="AN7283" s="149" t="s">
        <v>2794</v>
      </c>
      <c r="AO7283" s="144"/>
      <c r="AP7283" s="148">
        <v>2084</v>
      </c>
      <c r="AQ7283" s="144"/>
      <c r="AR7283" s="120"/>
      <c r="AS7283" s="121"/>
      <c r="AT7283" s="120"/>
      <c r="AU7283" s="121"/>
      <c r="AV7283" s="120"/>
      <c r="AW7283" s="121"/>
      <c r="AX7283" s="120"/>
      <c r="AY7283" s="121"/>
      <c r="AZ7283" s="138"/>
    </row>
    <row r="7284" spans="1:52" ht="16.5" customHeight="1" thickTop="1">
      <c r="A7284" s="109" t="s">
        <v>20669</v>
      </c>
      <c r="B7284" s="28">
        <v>46101</v>
      </c>
      <c r="C7284" s="25">
        <v>283</v>
      </c>
      <c r="D7284" s="13" t="s">
        <v>1929</v>
      </c>
      <c r="E7284" s="111"/>
      <c r="F7284" s="113" t="s">
        <v>20819</v>
      </c>
      <c r="G7284" s="114"/>
      <c r="H7284" s="115"/>
      <c r="I7284" s="24"/>
      <c r="J7284" s="116">
        <v>3.5</v>
      </c>
      <c r="K7284" s="118">
        <v>768000</v>
      </c>
      <c r="L7284" s="119"/>
      <c r="M7284" s="118">
        <f t="shared" ref="M7284" si="10483">K7284*0.1</f>
        <v>76800</v>
      </c>
      <c r="N7284" s="119"/>
      <c r="O7284" s="118">
        <v>0</v>
      </c>
      <c r="P7284" s="119"/>
      <c r="Q7284" s="118">
        <v>12030</v>
      </c>
      <c r="R7284" s="119"/>
      <c r="S7284" s="118">
        <v>22000</v>
      </c>
      <c r="T7284" s="119"/>
      <c r="U7284" s="118">
        <f t="shared" ref="U7284" si="10484">SUM(K7284:T7285)</f>
        <v>878830</v>
      </c>
      <c r="V7284" s="122"/>
      <c r="W7284" s="124"/>
      <c r="X7284" s="126" t="s">
        <v>21054</v>
      </c>
      <c r="Y7284" s="127"/>
      <c r="Z7284" s="127"/>
      <c r="AA7284" s="127"/>
      <c r="AB7284" s="128"/>
      <c r="AC7284" s="15" t="s">
        <v>20</v>
      </c>
      <c r="AD7284" s="129" t="s">
        <v>20820</v>
      </c>
      <c r="AE7284" s="130"/>
      <c r="AF7284" s="130"/>
      <c r="AG7284" s="130"/>
      <c r="AH7284" s="130"/>
      <c r="AI7284" s="131"/>
      <c r="AJ7284" s="132"/>
      <c r="AK7284" s="127"/>
      <c r="AL7284" s="128"/>
      <c r="AM7284" s="21"/>
      <c r="AN7284" s="133">
        <v>46106</v>
      </c>
      <c r="AO7284" s="134"/>
      <c r="AP7284" s="135">
        <v>1010</v>
      </c>
      <c r="AQ7284" s="136"/>
      <c r="AR7284" s="118">
        <v>895000</v>
      </c>
      <c r="AS7284" s="119"/>
      <c r="AT7284" s="118">
        <f t="shared" ref="AT7284" si="10485">AR7284*0.1</f>
        <v>89500</v>
      </c>
      <c r="AU7284" s="119"/>
      <c r="AV7284" s="118">
        <v>12030</v>
      </c>
      <c r="AW7284" s="119"/>
      <c r="AX7284" s="118">
        <f t="shared" ref="AX7284" si="10486">SUM(AR7284:AW7284)</f>
        <v>996530</v>
      </c>
      <c r="AY7284" s="119"/>
      <c r="AZ7284" s="137">
        <v>46111</v>
      </c>
    </row>
    <row r="7285" spans="1:52" ht="17.100000000000001" customHeight="1" thickBot="1">
      <c r="A7285" s="110"/>
      <c r="B7285" s="27" t="s">
        <v>15877</v>
      </c>
      <c r="C7285" s="27">
        <v>20075</v>
      </c>
      <c r="D7285" s="14" t="s">
        <v>1720</v>
      </c>
      <c r="E7285" s="112"/>
      <c r="F7285" s="139" t="s">
        <v>20716</v>
      </c>
      <c r="G7285" s="140"/>
      <c r="H7285" s="141"/>
      <c r="I7285" s="26">
        <v>69215</v>
      </c>
      <c r="J7285" s="117"/>
      <c r="K7285" s="120"/>
      <c r="L7285" s="121"/>
      <c r="M7285" s="120"/>
      <c r="N7285" s="121"/>
      <c r="O7285" s="120"/>
      <c r="P7285" s="121"/>
      <c r="Q7285" s="120"/>
      <c r="R7285" s="121"/>
      <c r="S7285" s="120"/>
      <c r="T7285" s="121"/>
      <c r="U7285" s="120"/>
      <c r="V7285" s="123"/>
      <c r="W7285" s="125"/>
      <c r="X7285" s="142" t="s">
        <v>21055</v>
      </c>
      <c r="Y7285" s="143"/>
      <c r="Z7285" s="143"/>
      <c r="AA7285" s="143"/>
      <c r="AB7285" s="144"/>
      <c r="AC7285" s="16" t="s">
        <v>21</v>
      </c>
      <c r="AD7285" s="17" t="s">
        <v>21034</v>
      </c>
      <c r="AE7285" s="145" t="s">
        <v>8715</v>
      </c>
      <c r="AF7285" s="146"/>
      <c r="AG7285" s="146"/>
      <c r="AH7285" s="146"/>
      <c r="AI7285" s="147"/>
      <c r="AJ7285" s="148"/>
      <c r="AK7285" s="143"/>
      <c r="AL7285" s="144"/>
      <c r="AM7285" s="22"/>
      <c r="AN7285" s="149" t="s">
        <v>2794</v>
      </c>
      <c r="AO7285" s="144"/>
      <c r="AP7285" s="148">
        <v>5173</v>
      </c>
      <c r="AQ7285" s="144"/>
      <c r="AR7285" s="120"/>
      <c r="AS7285" s="121"/>
      <c r="AT7285" s="120"/>
      <c r="AU7285" s="121"/>
      <c r="AV7285" s="120"/>
      <c r="AW7285" s="121"/>
      <c r="AX7285" s="120"/>
      <c r="AY7285" s="121"/>
      <c r="AZ7285" s="138"/>
    </row>
    <row r="7286" spans="1:52" ht="17.100000000000001" customHeight="1" thickTop="1">
      <c r="A7286" s="109" t="s">
        <v>20670</v>
      </c>
      <c r="B7286" s="28">
        <v>46101</v>
      </c>
      <c r="C7286" s="25">
        <v>2127</v>
      </c>
      <c r="D7286" s="13" t="s">
        <v>1902</v>
      </c>
      <c r="E7286" s="111"/>
      <c r="F7286" s="113" t="s">
        <v>20717</v>
      </c>
      <c r="G7286" s="114"/>
      <c r="H7286" s="115"/>
      <c r="I7286" s="24"/>
      <c r="J7286" s="116">
        <v>4.5</v>
      </c>
      <c r="K7286" s="118">
        <v>2550000</v>
      </c>
      <c r="L7286" s="119"/>
      <c r="M7286" s="118">
        <f t="shared" ref="M7286" si="10487">K7286*0.1</f>
        <v>255000</v>
      </c>
      <c r="N7286" s="119"/>
      <c r="O7286" s="118">
        <v>0</v>
      </c>
      <c r="P7286" s="119"/>
      <c r="Q7286" s="118">
        <v>17670</v>
      </c>
      <c r="R7286" s="119"/>
      <c r="S7286" s="118">
        <v>27500</v>
      </c>
      <c r="T7286" s="119"/>
      <c r="U7286" s="118">
        <f t="shared" ref="U7286" si="10488">SUM(K7286:T7287)</f>
        <v>2850170</v>
      </c>
      <c r="V7286" s="122"/>
      <c r="W7286" s="124"/>
      <c r="X7286" s="126" t="s">
        <v>21347</v>
      </c>
      <c r="Y7286" s="127"/>
      <c r="Z7286" s="127"/>
      <c r="AA7286" s="127"/>
      <c r="AB7286" s="128"/>
      <c r="AC7286" s="15" t="s">
        <v>20</v>
      </c>
      <c r="AD7286" s="129" t="s">
        <v>4435</v>
      </c>
      <c r="AE7286" s="130"/>
      <c r="AF7286" s="130"/>
      <c r="AG7286" s="130"/>
      <c r="AH7286" s="130"/>
      <c r="AI7286" s="131"/>
      <c r="AJ7286" s="132"/>
      <c r="AK7286" s="127"/>
      <c r="AL7286" s="128"/>
      <c r="AM7286" s="21"/>
      <c r="AN7286" s="133">
        <v>46123</v>
      </c>
      <c r="AO7286" s="134"/>
      <c r="AP7286" s="135">
        <v>1296</v>
      </c>
      <c r="AQ7286" s="136"/>
      <c r="AR7286" s="118">
        <v>2825000</v>
      </c>
      <c r="AS7286" s="119"/>
      <c r="AT7286" s="118">
        <f t="shared" ref="AT7286" si="10489">AR7286*0.1</f>
        <v>282500</v>
      </c>
      <c r="AU7286" s="119"/>
      <c r="AV7286" s="118">
        <v>17670</v>
      </c>
      <c r="AW7286" s="119"/>
      <c r="AX7286" s="118">
        <f t="shared" ref="AX7286" si="10490">SUM(AR7286:AW7286)</f>
        <v>3125170</v>
      </c>
      <c r="AY7286" s="119"/>
      <c r="AZ7286" s="137">
        <v>46126</v>
      </c>
    </row>
    <row r="7287" spans="1:52" ht="17.100000000000001" customHeight="1" thickBot="1">
      <c r="A7287" s="110"/>
      <c r="B7287" s="27" t="s">
        <v>1543</v>
      </c>
      <c r="C7287" s="27">
        <v>13014</v>
      </c>
      <c r="D7287" s="14" t="s">
        <v>904</v>
      </c>
      <c r="E7287" s="112"/>
      <c r="F7287" s="139" t="s">
        <v>20821</v>
      </c>
      <c r="G7287" s="140"/>
      <c r="H7287" s="141"/>
      <c r="I7287" s="26">
        <v>33241</v>
      </c>
      <c r="J7287" s="117"/>
      <c r="K7287" s="120"/>
      <c r="L7287" s="121"/>
      <c r="M7287" s="120"/>
      <c r="N7287" s="121"/>
      <c r="O7287" s="120"/>
      <c r="P7287" s="121"/>
      <c r="Q7287" s="120"/>
      <c r="R7287" s="121"/>
      <c r="S7287" s="120"/>
      <c r="T7287" s="121"/>
      <c r="U7287" s="120"/>
      <c r="V7287" s="123"/>
      <c r="W7287" s="125"/>
      <c r="X7287" s="142" t="s">
        <v>21348</v>
      </c>
      <c r="Y7287" s="143"/>
      <c r="Z7287" s="143"/>
      <c r="AA7287" s="143"/>
      <c r="AB7287" s="144"/>
      <c r="AC7287" s="16" t="s">
        <v>21</v>
      </c>
      <c r="AD7287" s="17" t="s">
        <v>21317</v>
      </c>
      <c r="AE7287" s="145" t="s">
        <v>21313</v>
      </c>
      <c r="AF7287" s="146"/>
      <c r="AG7287" s="146"/>
      <c r="AH7287" s="146"/>
      <c r="AI7287" s="147"/>
      <c r="AJ7287" s="148"/>
      <c r="AK7287" s="143"/>
      <c r="AL7287" s="144"/>
      <c r="AM7287" s="22"/>
      <c r="AN7287" s="149" t="s">
        <v>23030</v>
      </c>
      <c r="AO7287" s="144"/>
      <c r="AP7287" s="148">
        <v>80394</v>
      </c>
      <c r="AQ7287" s="144"/>
      <c r="AR7287" s="120"/>
      <c r="AS7287" s="121"/>
      <c r="AT7287" s="120"/>
      <c r="AU7287" s="121"/>
      <c r="AV7287" s="120"/>
      <c r="AW7287" s="121"/>
      <c r="AX7287" s="120"/>
      <c r="AY7287" s="121"/>
      <c r="AZ7287" s="138"/>
    </row>
    <row r="7288" spans="1:52" ht="17.100000000000001" customHeight="1" thickTop="1">
      <c r="A7288" s="109" t="s">
        <v>20671</v>
      </c>
      <c r="B7288" s="28">
        <v>46101</v>
      </c>
      <c r="C7288" s="25">
        <v>2127</v>
      </c>
      <c r="D7288" s="13" t="s">
        <v>1651</v>
      </c>
      <c r="E7288" s="111"/>
      <c r="F7288" s="113" t="s">
        <v>20718</v>
      </c>
      <c r="G7288" s="114"/>
      <c r="H7288" s="115"/>
      <c r="I7288" s="24"/>
      <c r="J7288" s="116">
        <v>4.5</v>
      </c>
      <c r="K7288" s="118">
        <v>2405000</v>
      </c>
      <c r="L7288" s="119"/>
      <c r="M7288" s="118">
        <f t="shared" ref="M7288" si="10491">K7288*0.1</f>
        <v>240500</v>
      </c>
      <c r="N7288" s="119"/>
      <c r="O7288" s="118">
        <v>0</v>
      </c>
      <c r="P7288" s="119"/>
      <c r="Q7288" s="118">
        <v>17850</v>
      </c>
      <c r="R7288" s="119"/>
      <c r="S7288" s="118">
        <v>16500</v>
      </c>
      <c r="T7288" s="119"/>
      <c r="U7288" s="118">
        <f t="shared" ref="U7288" si="10492">SUM(K7288:T7289)</f>
        <v>2679850</v>
      </c>
      <c r="V7288" s="122"/>
      <c r="W7288" s="124"/>
      <c r="X7288" s="126" t="s">
        <v>21228</v>
      </c>
      <c r="Y7288" s="127"/>
      <c r="Z7288" s="127"/>
      <c r="AA7288" s="127"/>
      <c r="AB7288" s="128"/>
      <c r="AC7288" s="15" t="s">
        <v>20</v>
      </c>
      <c r="AD7288" s="129" t="s">
        <v>20823</v>
      </c>
      <c r="AE7288" s="130"/>
      <c r="AF7288" s="130"/>
      <c r="AG7288" s="130"/>
      <c r="AH7288" s="130"/>
      <c r="AI7288" s="131"/>
      <c r="AJ7288" s="132"/>
      <c r="AK7288" s="127"/>
      <c r="AL7288" s="128"/>
      <c r="AM7288" s="21"/>
      <c r="AN7288" s="133">
        <v>46114</v>
      </c>
      <c r="AO7288" s="134"/>
      <c r="AP7288" s="135">
        <v>1325</v>
      </c>
      <c r="AQ7288" s="136"/>
      <c r="AR7288" s="118">
        <v>2525000</v>
      </c>
      <c r="AS7288" s="119"/>
      <c r="AT7288" s="118">
        <f t="shared" ref="AT7288" si="10493">AR7288*0.1</f>
        <v>252500</v>
      </c>
      <c r="AU7288" s="119"/>
      <c r="AV7288" s="118">
        <v>17850</v>
      </c>
      <c r="AW7288" s="119"/>
      <c r="AX7288" s="118">
        <f t="shared" ref="AX7288" si="10494">SUM(AR7288:AW7288)</f>
        <v>2795350</v>
      </c>
      <c r="AY7288" s="119"/>
      <c r="AZ7288" s="137">
        <v>46115</v>
      </c>
    </row>
    <row r="7289" spans="1:52" ht="17.100000000000001" customHeight="1" thickBot="1">
      <c r="A7289" s="110"/>
      <c r="B7289" s="27" t="s">
        <v>1543</v>
      </c>
      <c r="C7289" s="27">
        <v>13028</v>
      </c>
      <c r="D7289" s="14" t="s">
        <v>1635</v>
      </c>
      <c r="E7289" s="112"/>
      <c r="F7289" s="139" t="s">
        <v>20822</v>
      </c>
      <c r="G7289" s="140"/>
      <c r="H7289" s="141"/>
      <c r="I7289" s="26">
        <v>11226</v>
      </c>
      <c r="J7289" s="117"/>
      <c r="K7289" s="120"/>
      <c r="L7289" s="121"/>
      <c r="M7289" s="120"/>
      <c r="N7289" s="121"/>
      <c r="O7289" s="120"/>
      <c r="P7289" s="121"/>
      <c r="Q7289" s="120"/>
      <c r="R7289" s="121"/>
      <c r="S7289" s="120"/>
      <c r="T7289" s="121"/>
      <c r="U7289" s="120"/>
      <c r="V7289" s="123"/>
      <c r="W7289" s="125"/>
      <c r="X7289" s="142" t="s">
        <v>21229</v>
      </c>
      <c r="Y7289" s="143"/>
      <c r="Z7289" s="143"/>
      <c r="AA7289" s="143"/>
      <c r="AB7289" s="144"/>
      <c r="AC7289" s="16" t="s">
        <v>21</v>
      </c>
      <c r="AD7289" s="17" t="s">
        <v>21230</v>
      </c>
      <c r="AE7289" s="145" t="s">
        <v>13315</v>
      </c>
      <c r="AF7289" s="146"/>
      <c r="AG7289" s="146"/>
      <c r="AH7289" s="146"/>
      <c r="AI7289" s="147"/>
      <c r="AJ7289" s="148"/>
      <c r="AK7289" s="143"/>
      <c r="AL7289" s="144"/>
      <c r="AM7289" s="22"/>
      <c r="AN7289" s="149" t="s">
        <v>13663</v>
      </c>
      <c r="AO7289" s="144"/>
      <c r="AP7289" s="148">
        <v>337</v>
      </c>
      <c r="AQ7289" s="144"/>
      <c r="AR7289" s="120"/>
      <c r="AS7289" s="121"/>
      <c r="AT7289" s="120"/>
      <c r="AU7289" s="121"/>
      <c r="AV7289" s="120"/>
      <c r="AW7289" s="121"/>
      <c r="AX7289" s="120"/>
      <c r="AY7289" s="121"/>
      <c r="AZ7289" s="138"/>
    </row>
    <row r="7290" spans="1:52" ht="17.100000000000001" customHeight="1" thickTop="1">
      <c r="A7290" s="109" t="s">
        <v>20672</v>
      </c>
      <c r="B7290" s="28">
        <v>46101</v>
      </c>
      <c r="C7290" s="25">
        <v>2127</v>
      </c>
      <c r="D7290" s="13" t="s">
        <v>3832</v>
      </c>
      <c r="E7290" s="111"/>
      <c r="F7290" s="113" t="s">
        <v>20719</v>
      </c>
      <c r="G7290" s="114"/>
      <c r="H7290" s="115"/>
      <c r="I7290" s="24" t="s">
        <v>20825</v>
      </c>
      <c r="J7290" s="116">
        <v>4</v>
      </c>
      <c r="K7290" s="118">
        <v>1100000</v>
      </c>
      <c r="L7290" s="119"/>
      <c r="M7290" s="118">
        <f t="shared" ref="M7290" si="10495">K7290*0.1</f>
        <v>110000</v>
      </c>
      <c r="N7290" s="119"/>
      <c r="O7290" s="118">
        <v>30500</v>
      </c>
      <c r="P7290" s="119"/>
      <c r="Q7290" s="118">
        <v>11810</v>
      </c>
      <c r="R7290" s="119"/>
      <c r="S7290" s="118">
        <v>16500</v>
      </c>
      <c r="T7290" s="119"/>
      <c r="U7290" s="118">
        <f t="shared" ref="U7290" si="10496">SUM(K7290:T7291)</f>
        <v>1268810</v>
      </c>
      <c r="V7290" s="122"/>
      <c r="W7290" s="124"/>
      <c r="X7290" s="126" t="s">
        <v>20826</v>
      </c>
      <c r="Y7290" s="127"/>
      <c r="Z7290" s="127"/>
      <c r="AA7290" s="127"/>
      <c r="AB7290" s="128"/>
      <c r="AC7290" s="15" t="s">
        <v>20</v>
      </c>
      <c r="AD7290" s="129" t="s">
        <v>20827</v>
      </c>
      <c r="AE7290" s="130"/>
      <c r="AF7290" s="130"/>
      <c r="AG7290" s="130"/>
      <c r="AH7290" s="130"/>
      <c r="AI7290" s="131"/>
      <c r="AJ7290" s="132"/>
      <c r="AK7290" s="127"/>
      <c r="AL7290" s="128"/>
      <c r="AM7290" s="21" t="s">
        <v>22953</v>
      </c>
      <c r="AN7290" s="133">
        <v>46128</v>
      </c>
      <c r="AO7290" s="134"/>
      <c r="AP7290" s="135">
        <v>1327</v>
      </c>
      <c r="AQ7290" s="136"/>
      <c r="AR7290" s="118">
        <v>1165000</v>
      </c>
      <c r="AS7290" s="119"/>
      <c r="AT7290" s="118">
        <f t="shared" ref="AT7290" si="10497">AR7290*0.1</f>
        <v>116500</v>
      </c>
      <c r="AU7290" s="119"/>
      <c r="AV7290" s="118">
        <v>11810</v>
      </c>
      <c r="AW7290" s="119"/>
      <c r="AX7290" s="118">
        <f t="shared" ref="AX7290" si="10498">SUM(AR7290:AW7290)</f>
        <v>1293310</v>
      </c>
      <c r="AY7290" s="119"/>
      <c r="AZ7290" s="137">
        <v>46129</v>
      </c>
    </row>
    <row r="7291" spans="1:52" ht="17.100000000000001" customHeight="1" thickBot="1">
      <c r="A7291" s="110"/>
      <c r="B7291" s="27" t="s">
        <v>1543</v>
      </c>
      <c r="C7291" s="27">
        <v>13226</v>
      </c>
      <c r="D7291" s="14" t="s">
        <v>904</v>
      </c>
      <c r="E7291" s="112"/>
      <c r="F7291" s="139" t="s">
        <v>20824</v>
      </c>
      <c r="G7291" s="140"/>
      <c r="H7291" s="141"/>
      <c r="I7291" s="26">
        <v>16396</v>
      </c>
      <c r="J7291" s="117"/>
      <c r="K7291" s="120"/>
      <c r="L7291" s="121"/>
      <c r="M7291" s="120"/>
      <c r="N7291" s="121"/>
      <c r="O7291" s="120"/>
      <c r="P7291" s="121"/>
      <c r="Q7291" s="120"/>
      <c r="R7291" s="121"/>
      <c r="S7291" s="120"/>
      <c r="T7291" s="121"/>
      <c r="U7291" s="120"/>
      <c r="V7291" s="123"/>
      <c r="W7291" s="125"/>
      <c r="X7291" s="142" t="s">
        <v>21277</v>
      </c>
      <c r="Y7291" s="143"/>
      <c r="Z7291" s="143"/>
      <c r="AA7291" s="143"/>
      <c r="AB7291" s="144"/>
      <c r="AC7291" s="16" t="s">
        <v>21</v>
      </c>
      <c r="AD7291" s="17" t="s">
        <v>21249</v>
      </c>
      <c r="AE7291" s="145" t="s">
        <v>21278</v>
      </c>
      <c r="AF7291" s="146"/>
      <c r="AG7291" s="146"/>
      <c r="AH7291" s="146"/>
      <c r="AI7291" s="147"/>
      <c r="AJ7291" s="148"/>
      <c r="AK7291" s="143"/>
      <c r="AL7291" s="144"/>
      <c r="AM7291" s="22"/>
      <c r="AN7291" s="149" t="s">
        <v>23284</v>
      </c>
      <c r="AO7291" s="144"/>
      <c r="AP7291" s="148">
        <v>340</v>
      </c>
      <c r="AQ7291" s="144"/>
      <c r="AR7291" s="120"/>
      <c r="AS7291" s="121"/>
      <c r="AT7291" s="120"/>
      <c r="AU7291" s="121"/>
      <c r="AV7291" s="120"/>
      <c r="AW7291" s="121"/>
      <c r="AX7291" s="120"/>
      <c r="AY7291" s="121"/>
      <c r="AZ7291" s="138"/>
    </row>
    <row r="7292" spans="1:52" ht="17.100000000000001" customHeight="1" thickTop="1">
      <c r="A7292" s="109" t="s">
        <v>20673</v>
      </c>
      <c r="B7292" s="28">
        <v>46101</v>
      </c>
      <c r="C7292" s="25">
        <v>2127</v>
      </c>
      <c r="D7292" s="13" t="s">
        <v>2359</v>
      </c>
      <c r="E7292" s="111"/>
      <c r="F7292" s="113" t="s">
        <v>421</v>
      </c>
      <c r="G7292" s="114"/>
      <c r="H7292" s="115"/>
      <c r="I7292" s="24" t="s">
        <v>3811</v>
      </c>
      <c r="J7292" s="116">
        <v>4.5</v>
      </c>
      <c r="K7292" s="118">
        <v>1120000</v>
      </c>
      <c r="L7292" s="119"/>
      <c r="M7292" s="118">
        <f t="shared" ref="M7292" si="10499">K7292*0.1</f>
        <v>112000</v>
      </c>
      <c r="N7292" s="119"/>
      <c r="O7292" s="118">
        <v>36000</v>
      </c>
      <c r="P7292" s="119"/>
      <c r="Q7292" s="118">
        <v>17600</v>
      </c>
      <c r="R7292" s="119"/>
      <c r="S7292" s="118">
        <v>16500</v>
      </c>
      <c r="T7292" s="119"/>
      <c r="U7292" s="118">
        <f t="shared" ref="U7292" si="10500">SUM(K7292:T7293)</f>
        <v>1302100</v>
      </c>
      <c r="V7292" s="122"/>
      <c r="W7292" s="124"/>
      <c r="X7292" s="126" t="s">
        <v>20829</v>
      </c>
      <c r="Y7292" s="127"/>
      <c r="Z7292" s="127"/>
      <c r="AA7292" s="127"/>
      <c r="AB7292" s="128"/>
      <c r="AC7292" s="15" t="s">
        <v>20</v>
      </c>
      <c r="AD7292" s="129" t="s">
        <v>3828</v>
      </c>
      <c r="AE7292" s="130"/>
      <c r="AF7292" s="130"/>
      <c r="AG7292" s="130"/>
      <c r="AH7292" s="130"/>
      <c r="AI7292" s="131"/>
      <c r="AJ7292" s="132"/>
      <c r="AK7292" s="127"/>
      <c r="AL7292" s="128"/>
      <c r="AM7292" s="21" t="s">
        <v>22955</v>
      </c>
      <c r="AN7292" s="133"/>
      <c r="AO7292" s="134"/>
      <c r="AP7292" s="135"/>
      <c r="AQ7292" s="136"/>
      <c r="AR7292" s="118"/>
      <c r="AS7292" s="119"/>
      <c r="AT7292" s="118">
        <f t="shared" ref="AT7292" si="10501">AR7292*0.1</f>
        <v>0</v>
      </c>
      <c r="AU7292" s="119"/>
      <c r="AV7292" s="118"/>
      <c r="AW7292" s="119"/>
      <c r="AX7292" s="118">
        <f t="shared" ref="AX7292" si="10502">SUM(AR7292:AW7292)</f>
        <v>0</v>
      </c>
      <c r="AY7292" s="119"/>
      <c r="AZ7292" s="137"/>
    </row>
    <row r="7293" spans="1:52" ht="17.100000000000001" customHeight="1" thickBot="1">
      <c r="A7293" s="110"/>
      <c r="B7293" s="27" t="s">
        <v>1543</v>
      </c>
      <c r="C7293" s="27">
        <v>13304</v>
      </c>
      <c r="D7293" s="14" t="s">
        <v>275</v>
      </c>
      <c r="E7293" s="112"/>
      <c r="F7293" s="139" t="s">
        <v>20828</v>
      </c>
      <c r="G7293" s="140"/>
      <c r="H7293" s="141"/>
      <c r="I7293" s="26">
        <v>74488</v>
      </c>
      <c r="J7293" s="117"/>
      <c r="K7293" s="120"/>
      <c r="L7293" s="121"/>
      <c r="M7293" s="120"/>
      <c r="N7293" s="121"/>
      <c r="O7293" s="120"/>
      <c r="P7293" s="121"/>
      <c r="Q7293" s="120"/>
      <c r="R7293" s="121"/>
      <c r="S7293" s="120"/>
      <c r="T7293" s="121"/>
      <c r="U7293" s="120"/>
      <c r="V7293" s="123"/>
      <c r="W7293" s="125"/>
      <c r="X7293" s="142" t="s">
        <v>21229</v>
      </c>
      <c r="Y7293" s="143"/>
      <c r="Z7293" s="143"/>
      <c r="AA7293" s="143"/>
      <c r="AB7293" s="144"/>
      <c r="AC7293" s="16" t="s">
        <v>21</v>
      </c>
      <c r="AD7293" s="17" t="s">
        <v>21230</v>
      </c>
      <c r="AE7293" s="145" t="s">
        <v>21231</v>
      </c>
      <c r="AF7293" s="146"/>
      <c r="AG7293" s="146"/>
      <c r="AH7293" s="146"/>
      <c r="AI7293" s="147"/>
      <c r="AJ7293" s="148"/>
      <c r="AK7293" s="143"/>
      <c r="AL7293" s="144"/>
      <c r="AM7293" s="22"/>
      <c r="AN7293" s="149"/>
      <c r="AO7293" s="144"/>
      <c r="AP7293" s="148"/>
      <c r="AQ7293" s="144"/>
      <c r="AR7293" s="120"/>
      <c r="AS7293" s="121"/>
      <c r="AT7293" s="120"/>
      <c r="AU7293" s="121"/>
      <c r="AV7293" s="120"/>
      <c r="AW7293" s="121"/>
      <c r="AX7293" s="120"/>
      <c r="AY7293" s="121"/>
      <c r="AZ7293" s="138"/>
    </row>
    <row r="7294" spans="1:52" ht="17.100000000000001" customHeight="1" thickTop="1">
      <c r="A7294" s="109" t="s">
        <v>20674</v>
      </c>
      <c r="B7294" s="28">
        <v>46101</v>
      </c>
      <c r="C7294" s="25">
        <v>2127</v>
      </c>
      <c r="D7294" s="13" t="s">
        <v>1888</v>
      </c>
      <c r="E7294" s="111"/>
      <c r="F7294" s="113" t="s">
        <v>20720</v>
      </c>
      <c r="G7294" s="114"/>
      <c r="H7294" s="115"/>
      <c r="I7294" s="24"/>
      <c r="J7294" s="116">
        <v>4.5</v>
      </c>
      <c r="K7294" s="118">
        <v>3725000</v>
      </c>
      <c r="L7294" s="119"/>
      <c r="M7294" s="118">
        <f t="shared" ref="M7294" si="10503">K7294*0.1</f>
        <v>372500</v>
      </c>
      <c r="N7294" s="119"/>
      <c r="O7294" s="118">
        <v>0</v>
      </c>
      <c r="P7294" s="119"/>
      <c r="Q7294" s="118">
        <v>24380</v>
      </c>
      <c r="R7294" s="119"/>
      <c r="S7294" s="118">
        <v>16500</v>
      </c>
      <c r="T7294" s="119"/>
      <c r="U7294" s="118">
        <f t="shared" ref="U7294" si="10504">SUM(K7294:T7295)</f>
        <v>4138380</v>
      </c>
      <c r="V7294" s="122"/>
      <c r="W7294" s="124"/>
      <c r="X7294" s="126" t="s">
        <v>21232</v>
      </c>
      <c r="Y7294" s="127"/>
      <c r="Z7294" s="127"/>
      <c r="AA7294" s="127"/>
      <c r="AB7294" s="128"/>
      <c r="AC7294" s="15" t="s">
        <v>20</v>
      </c>
      <c r="AD7294" s="129" t="s">
        <v>3828</v>
      </c>
      <c r="AE7294" s="130"/>
      <c r="AF7294" s="130"/>
      <c r="AG7294" s="130"/>
      <c r="AH7294" s="130"/>
      <c r="AI7294" s="131"/>
      <c r="AJ7294" s="132"/>
      <c r="AK7294" s="127"/>
      <c r="AL7294" s="128"/>
      <c r="AM7294" s="21"/>
      <c r="AN7294" s="133"/>
      <c r="AO7294" s="134"/>
      <c r="AP7294" s="135"/>
      <c r="AQ7294" s="136"/>
      <c r="AR7294" s="118"/>
      <c r="AS7294" s="119"/>
      <c r="AT7294" s="118">
        <f t="shared" ref="AT7294" si="10505">AR7294*0.1</f>
        <v>0</v>
      </c>
      <c r="AU7294" s="119"/>
      <c r="AV7294" s="118"/>
      <c r="AW7294" s="119"/>
      <c r="AX7294" s="118">
        <f t="shared" ref="AX7294" si="10506">SUM(AR7294:AW7294)</f>
        <v>0</v>
      </c>
      <c r="AY7294" s="119"/>
      <c r="AZ7294" s="137"/>
    </row>
    <row r="7295" spans="1:52" ht="17.100000000000001" customHeight="1" thickBot="1">
      <c r="A7295" s="110"/>
      <c r="B7295" s="27" t="s">
        <v>1543</v>
      </c>
      <c r="C7295" s="27">
        <v>35010</v>
      </c>
      <c r="D7295" s="14" t="s">
        <v>275</v>
      </c>
      <c r="E7295" s="112"/>
      <c r="F7295" s="139" t="s">
        <v>20830</v>
      </c>
      <c r="G7295" s="140"/>
      <c r="H7295" s="141"/>
      <c r="I7295" s="26">
        <v>45527</v>
      </c>
      <c r="J7295" s="117"/>
      <c r="K7295" s="120"/>
      <c r="L7295" s="121"/>
      <c r="M7295" s="120"/>
      <c r="N7295" s="121"/>
      <c r="O7295" s="120"/>
      <c r="P7295" s="121"/>
      <c r="Q7295" s="120"/>
      <c r="R7295" s="121"/>
      <c r="S7295" s="120"/>
      <c r="T7295" s="121"/>
      <c r="U7295" s="120"/>
      <c r="V7295" s="123"/>
      <c r="W7295" s="125"/>
      <c r="X7295" s="142" t="s">
        <v>21233</v>
      </c>
      <c r="Y7295" s="143"/>
      <c r="Z7295" s="143"/>
      <c r="AA7295" s="143"/>
      <c r="AB7295" s="144"/>
      <c r="AC7295" s="16" t="s">
        <v>21</v>
      </c>
      <c r="AD7295" s="17" t="s">
        <v>21230</v>
      </c>
      <c r="AE7295" s="145" t="s">
        <v>21231</v>
      </c>
      <c r="AF7295" s="146"/>
      <c r="AG7295" s="146"/>
      <c r="AH7295" s="146"/>
      <c r="AI7295" s="147"/>
      <c r="AJ7295" s="148"/>
      <c r="AK7295" s="143"/>
      <c r="AL7295" s="144"/>
      <c r="AM7295" s="22"/>
      <c r="AN7295" s="149"/>
      <c r="AO7295" s="144"/>
      <c r="AP7295" s="148"/>
      <c r="AQ7295" s="144"/>
      <c r="AR7295" s="120"/>
      <c r="AS7295" s="121"/>
      <c r="AT7295" s="120"/>
      <c r="AU7295" s="121"/>
      <c r="AV7295" s="120"/>
      <c r="AW7295" s="121"/>
      <c r="AX7295" s="120"/>
      <c r="AY7295" s="121"/>
      <c r="AZ7295" s="138"/>
    </row>
    <row r="7296" spans="1:52" ht="17.100000000000001" customHeight="1" thickTop="1">
      <c r="A7296" s="109" t="s">
        <v>20675</v>
      </c>
      <c r="B7296" s="28">
        <v>46101</v>
      </c>
      <c r="C7296" s="25">
        <v>1411</v>
      </c>
      <c r="D7296" s="13" t="s">
        <v>3921</v>
      </c>
      <c r="E7296" s="111"/>
      <c r="F7296" s="113" t="s">
        <v>7632</v>
      </c>
      <c r="G7296" s="114"/>
      <c r="H7296" s="115"/>
      <c r="I7296" s="24" t="s">
        <v>4193</v>
      </c>
      <c r="J7296" s="116">
        <v>4</v>
      </c>
      <c r="K7296" s="118">
        <v>757000</v>
      </c>
      <c r="L7296" s="119"/>
      <c r="M7296" s="118">
        <f t="shared" ref="M7296" si="10507">K7296*0.1</f>
        <v>75700</v>
      </c>
      <c r="N7296" s="119"/>
      <c r="O7296" s="118">
        <v>10800</v>
      </c>
      <c r="P7296" s="119"/>
      <c r="Q7296" s="118">
        <v>7950</v>
      </c>
      <c r="R7296" s="119"/>
      <c r="S7296" s="118">
        <v>15400</v>
      </c>
      <c r="T7296" s="119"/>
      <c r="U7296" s="118">
        <f t="shared" ref="U7296" si="10508">SUM(K7296:T7297)</f>
        <v>866850</v>
      </c>
      <c r="V7296" s="122"/>
      <c r="W7296" s="124"/>
      <c r="X7296" s="126" t="s">
        <v>21194</v>
      </c>
      <c r="Y7296" s="127"/>
      <c r="Z7296" s="127"/>
      <c r="AA7296" s="127"/>
      <c r="AB7296" s="128"/>
      <c r="AC7296" s="15" t="s">
        <v>20</v>
      </c>
      <c r="AD7296" s="129"/>
      <c r="AE7296" s="130"/>
      <c r="AF7296" s="130"/>
      <c r="AG7296" s="130"/>
      <c r="AH7296" s="130"/>
      <c r="AI7296" s="131"/>
      <c r="AJ7296" s="132"/>
      <c r="AK7296" s="127"/>
      <c r="AL7296" s="128"/>
      <c r="AM7296" s="21" t="s">
        <v>22316</v>
      </c>
      <c r="AN7296" s="133">
        <v>46116</v>
      </c>
      <c r="AO7296" s="134"/>
      <c r="AP7296" s="135">
        <v>1295</v>
      </c>
      <c r="AQ7296" s="136"/>
      <c r="AR7296" s="118">
        <v>830000</v>
      </c>
      <c r="AS7296" s="119"/>
      <c r="AT7296" s="118">
        <f t="shared" ref="AT7296" si="10509">AR7296*0.1</f>
        <v>83000</v>
      </c>
      <c r="AU7296" s="119"/>
      <c r="AV7296" s="118">
        <v>7950</v>
      </c>
      <c r="AW7296" s="119"/>
      <c r="AX7296" s="118">
        <f t="shared" ref="AX7296" si="10510">SUM(AR7296:AW7296)</f>
        <v>920950</v>
      </c>
      <c r="AY7296" s="119"/>
      <c r="AZ7296" s="137">
        <v>46121</v>
      </c>
    </row>
    <row r="7297" spans="1:52" ht="17.100000000000001" customHeight="1" thickBot="1">
      <c r="A7297" s="110"/>
      <c r="B7297" s="27" t="s">
        <v>2641</v>
      </c>
      <c r="C7297" s="27">
        <v>1443</v>
      </c>
      <c r="D7297" s="14" t="s">
        <v>2800</v>
      </c>
      <c r="E7297" s="112"/>
      <c r="F7297" s="139" t="s">
        <v>20736</v>
      </c>
      <c r="G7297" s="140"/>
      <c r="H7297" s="141"/>
      <c r="I7297" s="26">
        <v>50987</v>
      </c>
      <c r="J7297" s="117"/>
      <c r="K7297" s="120"/>
      <c r="L7297" s="121"/>
      <c r="M7297" s="120"/>
      <c r="N7297" s="121"/>
      <c r="O7297" s="120"/>
      <c r="P7297" s="121"/>
      <c r="Q7297" s="120"/>
      <c r="R7297" s="121"/>
      <c r="S7297" s="120"/>
      <c r="T7297" s="121"/>
      <c r="U7297" s="120"/>
      <c r="V7297" s="123"/>
      <c r="W7297" s="125"/>
      <c r="X7297" s="142" t="s">
        <v>4076</v>
      </c>
      <c r="Y7297" s="143"/>
      <c r="Z7297" s="143"/>
      <c r="AA7297" s="143"/>
      <c r="AB7297" s="144"/>
      <c r="AC7297" s="16" t="s">
        <v>21</v>
      </c>
      <c r="AD7297" s="17" t="s">
        <v>2388</v>
      </c>
      <c r="AE7297" s="145" t="s">
        <v>21299</v>
      </c>
      <c r="AF7297" s="146"/>
      <c r="AG7297" s="146"/>
      <c r="AH7297" s="146"/>
      <c r="AI7297" s="147"/>
      <c r="AJ7297" s="148"/>
      <c r="AK7297" s="143"/>
      <c r="AL7297" s="144"/>
      <c r="AM7297" s="22"/>
      <c r="AN7297" s="149" t="s">
        <v>6748</v>
      </c>
      <c r="AO7297" s="144"/>
      <c r="AP7297" s="148">
        <v>60220</v>
      </c>
      <c r="AQ7297" s="144"/>
      <c r="AR7297" s="120"/>
      <c r="AS7297" s="121"/>
      <c r="AT7297" s="120"/>
      <c r="AU7297" s="121"/>
      <c r="AV7297" s="120"/>
      <c r="AW7297" s="121"/>
      <c r="AX7297" s="120"/>
      <c r="AY7297" s="121"/>
      <c r="AZ7297" s="138"/>
    </row>
    <row r="7298" spans="1:52" ht="17.100000000000001" customHeight="1" thickTop="1">
      <c r="A7298" s="109" t="s">
        <v>20676</v>
      </c>
      <c r="B7298" s="28">
        <v>46101</v>
      </c>
      <c r="C7298" s="25">
        <v>1411</v>
      </c>
      <c r="D7298" s="13" t="s">
        <v>1902</v>
      </c>
      <c r="E7298" s="111"/>
      <c r="F7298" s="113" t="s">
        <v>20737</v>
      </c>
      <c r="G7298" s="114"/>
      <c r="H7298" s="115"/>
      <c r="I7298" s="24" t="s">
        <v>20831</v>
      </c>
      <c r="J7298" s="116">
        <v>4</v>
      </c>
      <c r="K7298" s="118">
        <v>513000</v>
      </c>
      <c r="L7298" s="119"/>
      <c r="M7298" s="118">
        <f t="shared" ref="M7298" si="10511">K7298*0.1</f>
        <v>51300</v>
      </c>
      <c r="N7298" s="119"/>
      <c r="O7298" s="118">
        <v>5000</v>
      </c>
      <c r="P7298" s="119"/>
      <c r="Q7298" s="118">
        <v>8810</v>
      </c>
      <c r="R7298" s="119"/>
      <c r="S7298" s="118">
        <v>15400</v>
      </c>
      <c r="T7298" s="119"/>
      <c r="U7298" s="118">
        <f t="shared" ref="U7298" si="10512">SUM(K7298:T7299)</f>
        <v>593510</v>
      </c>
      <c r="V7298" s="122"/>
      <c r="W7298" s="124"/>
      <c r="X7298" s="126" t="s">
        <v>21338</v>
      </c>
      <c r="Y7298" s="127"/>
      <c r="Z7298" s="127"/>
      <c r="AA7298" s="127"/>
      <c r="AB7298" s="128"/>
      <c r="AC7298" s="15" t="s">
        <v>20</v>
      </c>
      <c r="AD7298" s="129"/>
      <c r="AE7298" s="130"/>
      <c r="AF7298" s="130"/>
      <c r="AG7298" s="130"/>
      <c r="AH7298" s="130"/>
      <c r="AI7298" s="131"/>
      <c r="AJ7298" s="132"/>
      <c r="AK7298" s="127"/>
      <c r="AL7298" s="128"/>
      <c r="AM7298" s="21"/>
      <c r="AN7298" s="133">
        <v>46106</v>
      </c>
      <c r="AO7298" s="134"/>
      <c r="AP7298" s="135">
        <v>1010</v>
      </c>
      <c r="AQ7298" s="136"/>
      <c r="AR7298" s="118">
        <v>560000</v>
      </c>
      <c r="AS7298" s="119"/>
      <c r="AT7298" s="118">
        <f t="shared" ref="AT7298" si="10513">AR7298*0.1</f>
        <v>56000</v>
      </c>
      <c r="AU7298" s="119"/>
      <c r="AV7298" s="118">
        <v>8810</v>
      </c>
      <c r="AW7298" s="119"/>
      <c r="AX7298" s="118">
        <f t="shared" ref="AX7298" si="10514">SUM(AR7298:AW7298)</f>
        <v>624810</v>
      </c>
      <c r="AY7298" s="119"/>
      <c r="AZ7298" s="137">
        <v>46112</v>
      </c>
    </row>
    <row r="7299" spans="1:52" ht="17.100000000000001" customHeight="1" thickBot="1">
      <c r="A7299" s="110"/>
      <c r="B7299" s="27" t="s">
        <v>2641</v>
      </c>
      <c r="C7299" s="27">
        <v>2002</v>
      </c>
      <c r="D7299" s="14" t="s">
        <v>1720</v>
      </c>
      <c r="E7299" s="112"/>
      <c r="F7299" s="139" t="s">
        <v>20738</v>
      </c>
      <c r="G7299" s="140"/>
      <c r="H7299" s="141"/>
      <c r="I7299" s="26">
        <v>67309</v>
      </c>
      <c r="J7299" s="117"/>
      <c r="K7299" s="120"/>
      <c r="L7299" s="121"/>
      <c r="M7299" s="120"/>
      <c r="N7299" s="121"/>
      <c r="O7299" s="120"/>
      <c r="P7299" s="121"/>
      <c r="Q7299" s="120"/>
      <c r="R7299" s="121"/>
      <c r="S7299" s="120"/>
      <c r="T7299" s="121"/>
      <c r="U7299" s="120"/>
      <c r="V7299" s="123"/>
      <c r="W7299" s="125"/>
      <c r="X7299" s="142" t="s">
        <v>21339</v>
      </c>
      <c r="Y7299" s="143"/>
      <c r="Z7299" s="143"/>
      <c r="AA7299" s="143"/>
      <c r="AB7299" s="144"/>
      <c r="AC7299" s="16" t="s">
        <v>21</v>
      </c>
      <c r="AD7299" s="17" t="s">
        <v>21317</v>
      </c>
      <c r="AE7299" s="145" t="s">
        <v>21313</v>
      </c>
      <c r="AF7299" s="146"/>
      <c r="AG7299" s="146"/>
      <c r="AH7299" s="146"/>
      <c r="AI7299" s="147"/>
      <c r="AJ7299" s="148"/>
      <c r="AK7299" s="143"/>
      <c r="AL7299" s="144"/>
      <c r="AM7299" s="22"/>
      <c r="AN7299" s="149" t="s">
        <v>2794</v>
      </c>
      <c r="AO7299" s="144"/>
      <c r="AP7299" s="148">
        <v>5155</v>
      </c>
      <c r="AQ7299" s="144"/>
      <c r="AR7299" s="120"/>
      <c r="AS7299" s="121"/>
      <c r="AT7299" s="120"/>
      <c r="AU7299" s="121"/>
      <c r="AV7299" s="120"/>
      <c r="AW7299" s="121"/>
      <c r="AX7299" s="120"/>
      <c r="AY7299" s="121"/>
      <c r="AZ7299" s="138"/>
    </row>
    <row r="7300" spans="1:52" ht="17.100000000000001" customHeight="1" thickTop="1">
      <c r="A7300" s="109" t="s">
        <v>20677</v>
      </c>
      <c r="B7300" s="28">
        <v>46101</v>
      </c>
      <c r="C7300" s="25">
        <v>1411</v>
      </c>
      <c r="D7300" s="13" t="s">
        <v>2390</v>
      </c>
      <c r="E7300" s="111"/>
      <c r="F7300" s="113" t="s">
        <v>15969</v>
      </c>
      <c r="G7300" s="114"/>
      <c r="H7300" s="115"/>
      <c r="I7300" s="24"/>
      <c r="J7300" s="116">
        <v>4</v>
      </c>
      <c r="K7300" s="118">
        <v>372000</v>
      </c>
      <c r="L7300" s="119"/>
      <c r="M7300" s="118">
        <f t="shared" ref="M7300" si="10515">K7300*0.1</f>
        <v>37200</v>
      </c>
      <c r="N7300" s="119"/>
      <c r="O7300" s="118">
        <v>0</v>
      </c>
      <c r="P7300" s="119"/>
      <c r="Q7300" s="118">
        <v>11820</v>
      </c>
      <c r="R7300" s="119"/>
      <c r="S7300" s="118">
        <v>15400</v>
      </c>
      <c r="T7300" s="119"/>
      <c r="U7300" s="118">
        <f t="shared" ref="U7300" si="10516">SUM(K7300:T7301)</f>
        <v>436420</v>
      </c>
      <c r="V7300" s="122"/>
      <c r="W7300" s="124"/>
      <c r="X7300" s="126" t="s">
        <v>21276</v>
      </c>
      <c r="Y7300" s="127"/>
      <c r="Z7300" s="127"/>
      <c r="AA7300" s="127"/>
      <c r="AB7300" s="128"/>
      <c r="AC7300" s="15" t="s">
        <v>20</v>
      </c>
      <c r="AD7300" s="129"/>
      <c r="AE7300" s="130"/>
      <c r="AF7300" s="130"/>
      <c r="AG7300" s="130"/>
      <c r="AH7300" s="130"/>
      <c r="AI7300" s="131"/>
      <c r="AJ7300" s="132"/>
      <c r="AK7300" s="127"/>
      <c r="AL7300" s="128"/>
      <c r="AM7300" s="21"/>
      <c r="AN7300" s="133">
        <v>46106</v>
      </c>
      <c r="AO7300" s="134"/>
      <c r="AP7300" s="135">
        <v>1010</v>
      </c>
      <c r="AQ7300" s="136"/>
      <c r="AR7300" s="118">
        <v>410000</v>
      </c>
      <c r="AS7300" s="119"/>
      <c r="AT7300" s="118">
        <f t="shared" ref="AT7300" si="10517">AR7300*0.1</f>
        <v>41000</v>
      </c>
      <c r="AU7300" s="119"/>
      <c r="AV7300" s="118">
        <v>11820</v>
      </c>
      <c r="AW7300" s="119"/>
      <c r="AX7300" s="118">
        <f t="shared" ref="AX7300" si="10518">SUM(AR7300:AW7300)</f>
        <v>462820</v>
      </c>
      <c r="AY7300" s="119"/>
      <c r="AZ7300" s="137">
        <v>46111</v>
      </c>
    </row>
    <row r="7301" spans="1:52" ht="17.100000000000001" customHeight="1" thickBot="1">
      <c r="A7301" s="110"/>
      <c r="B7301" s="27" t="s">
        <v>2641</v>
      </c>
      <c r="C7301" s="27">
        <v>2275</v>
      </c>
      <c r="D7301" s="14" t="s">
        <v>1720</v>
      </c>
      <c r="E7301" s="112"/>
      <c r="F7301" s="139" t="s">
        <v>20739</v>
      </c>
      <c r="G7301" s="140"/>
      <c r="H7301" s="141"/>
      <c r="I7301" s="26">
        <v>79065</v>
      </c>
      <c r="J7301" s="117"/>
      <c r="K7301" s="120"/>
      <c r="L7301" s="121"/>
      <c r="M7301" s="120"/>
      <c r="N7301" s="121"/>
      <c r="O7301" s="120"/>
      <c r="P7301" s="121"/>
      <c r="Q7301" s="120"/>
      <c r="R7301" s="121"/>
      <c r="S7301" s="120"/>
      <c r="T7301" s="121"/>
      <c r="U7301" s="120"/>
      <c r="V7301" s="123"/>
      <c r="W7301" s="125"/>
      <c r="X7301" s="142" t="s">
        <v>21229</v>
      </c>
      <c r="Y7301" s="143"/>
      <c r="Z7301" s="143"/>
      <c r="AA7301" s="143"/>
      <c r="AB7301" s="144"/>
      <c r="AC7301" s="16" t="s">
        <v>21</v>
      </c>
      <c r="AD7301" s="17" t="s">
        <v>21249</v>
      </c>
      <c r="AE7301" s="145" t="s">
        <v>21293</v>
      </c>
      <c r="AF7301" s="146"/>
      <c r="AG7301" s="146"/>
      <c r="AH7301" s="146"/>
      <c r="AI7301" s="147"/>
      <c r="AJ7301" s="148"/>
      <c r="AK7301" s="143"/>
      <c r="AL7301" s="144"/>
      <c r="AM7301" s="22"/>
      <c r="AN7301" s="149" t="s">
        <v>2794</v>
      </c>
      <c r="AO7301" s="144"/>
      <c r="AP7301" s="148">
        <v>5241</v>
      </c>
      <c r="AQ7301" s="144"/>
      <c r="AR7301" s="120"/>
      <c r="AS7301" s="121"/>
      <c r="AT7301" s="120"/>
      <c r="AU7301" s="121"/>
      <c r="AV7301" s="120"/>
      <c r="AW7301" s="121"/>
      <c r="AX7301" s="120"/>
      <c r="AY7301" s="121"/>
      <c r="AZ7301" s="138"/>
    </row>
    <row r="7302" spans="1:52" ht="17.100000000000001" customHeight="1" thickTop="1">
      <c r="A7302" s="109" t="s">
        <v>20678</v>
      </c>
      <c r="B7302" s="28">
        <v>46101</v>
      </c>
      <c r="C7302" s="25">
        <v>1411</v>
      </c>
      <c r="D7302" s="13" t="s">
        <v>1640</v>
      </c>
      <c r="E7302" s="111"/>
      <c r="F7302" s="113" t="s">
        <v>15809</v>
      </c>
      <c r="G7302" s="114"/>
      <c r="H7302" s="115"/>
      <c r="I7302" s="24"/>
      <c r="J7302" s="116">
        <v>4</v>
      </c>
      <c r="K7302" s="118">
        <v>1269000</v>
      </c>
      <c r="L7302" s="119"/>
      <c r="M7302" s="118">
        <f t="shared" ref="M7302" si="10519">K7302*0.1</f>
        <v>126900</v>
      </c>
      <c r="N7302" s="119"/>
      <c r="O7302" s="118">
        <v>0</v>
      </c>
      <c r="P7302" s="119"/>
      <c r="Q7302" s="118">
        <v>11480</v>
      </c>
      <c r="R7302" s="119"/>
      <c r="S7302" s="118">
        <v>15400</v>
      </c>
      <c r="T7302" s="119"/>
      <c r="U7302" s="118">
        <f t="shared" ref="U7302" si="10520">SUM(K7302:T7303)</f>
        <v>1422780</v>
      </c>
      <c r="V7302" s="122"/>
      <c r="W7302" s="124"/>
      <c r="X7302" s="126" t="s">
        <v>21340</v>
      </c>
      <c r="Y7302" s="127"/>
      <c r="Z7302" s="127"/>
      <c r="AA7302" s="127"/>
      <c r="AB7302" s="128"/>
      <c r="AC7302" s="15" t="s">
        <v>20</v>
      </c>
      <c r="AD7302" s="129"/>
      <c r="AE7302" s="130"/>
      <c r="AF7302" s="130"/>
      <c r="AG7302" s="130"/>
      <c r="AH7302" s="130"/>
      <c r="AI7302" s="131"/>
      <c r="AJ7302" s="132"/>
      <c r="AK7302" s="127"/>
      <c r="AL7302" s="128"/>
      <c r="AM7302" s="21"/>
      <c r="AN7302" s="133">
        <v>46106</v>
      </c>
      <c r="AO7302" s="134"/>
      <c r="AP7302" s="135">
        <v>1010</v>
      </c>
      <c r="AQ7302" s="136"/>
      <c r="AR7302" s="118">
        <v>1320000</v>
      </c>
      <c r="AS7302" s="119"/>
      <c r="AT7302" s="118">
        <f t="shared" ref="AT7302" si="10521">AR7302*0.1</f>
        <v>132000</v>
      </c>
      <c r="AU7302" s="119"/>
      <c r="AV7302" s="118">
        <v>11480</v>
      </c>
      <c r="AW7302" s="119"/>
      <c r="AX7302" s="118">
        <f t="shared" ref="AX7302" si="10522">SUM(AR7302:AW7302)</f>
        <v>1463480</v>
      </c>
      <c r="AY7302" s="119"/>
      <c r="AZ7302" s="137">
        <v>46112</v>
      </c>
    </row>
    <row r="7303" spans="1:52" ht="17.100000000000001" customHeight="1" thickBot="1">
      <c r="A7303" s="110"/>
      <c r="B7303" s="27" t="s">
        <v>2641</v>
      </c>
      <c r="C7303" s="27">
        <v>3028</v>
      </c>
      <c r="D7303" s="14" t="s">
        <v>275</v>
      </c>
      <c r="E7303" s="112"/>
      <c r="F7303" s="139" t="s">
        <v>20740</v>
      </c>
      <c r="G7303" s="140"/>
      <c r="H7303" s="141"/>
      <c r="I7303" s="26">
        <v>93292</v>
      </c>
      <c r="J7303" s="117"/>
      <c r="K7303" s="120"/>
      <c r="L7303" s="121"/>
      <c r="M7303" s="120"/>
      <c r="N7303" s="121"/>
      <c r="O7303" s="120"/>
      <c r="P7303" s="121"/>
      <c r="Q7303" s="120"/>
      <c r="R7303" s="121"/>
      <c r="S7303" s="120"/>
      <c r="T7303" s="121"/>
      <c r="U7303" s="120"/>
      <c r="V7303" s="123"/>
      <c r="W7303" s="125"/>
      <c r="X7303" s="142" t="s">
        <v>21341</v>
      </c>
      <c r="Y7303" s="143"/>
      <c r="Z7303" s="143"/>
      <c r="AA7303" s="143"/>
      <c r="AB7303" s="144"/>
      <c r="AC7303" s="16" t="s">
        <v>21</v>
      </c>
      <c r="AD7303" s="17" t="s">
        <v>21317</v>
      </c>
      <c r="AE7303" s="145" t="s">
        <v>20960</v>
      </c>
      <c r="AF7303" s="146"/>
      <c r="AG7303" s="146"/>
      <c r="AH7303" s="146"/>
      <c r="AI7303" s="147"/>
      <c r="AJ7303" s="148"/>
      <c r="AK7303" s="143"/>
      <c r="AL7303" s="144"/>
      <c r="AM7303" s="22"/>
      <c r="AN7303" s="149" t="s">
        <v>2794</v>
      </c>
      <c r="AO7303" s="144"/>
      <c r="AP7303" s="148">
        <v>5161</v>
      </c>
      <c r="AQ7303" s="144"/>
      <c r="AR7303" s="120"/>
      <c r="AS7303" s="121"/>
      <c r="AT7303" s="120"/>
      <c r="AU7303" s="121"/>
      <c r="AV7303" s="120"/>
      <c r="AW7303" s="121"/>
      <c r="AX7303" s="120"/>
      <c r="AY7303" s="121"/>
      <c r="AZ7303" s="138"/>
    </row>
    <row r="7304" spans="1:52" ht="17.100000000000001" customHeight="1" thickTop="1">
      <c r="A7304" s="109" t="s">
        <v>20679</v>
      </c>
      <c r="B7304" s="28">
        <v>46101</v>
      </c>
      <c r="C7304" s="25">
        <v>1411</v>
      </c>
      <c r="D7304" s="13" t="s">
        <v>1953</v>
      </c>
      <c r="E7304" s="111"/>
      <c r="F7304" s="113" t="s">
        <v>3667</v>
      </c>
      <c r="G7304" s="114"/>
      <c r="H7304" s="115"/>
      <c r="I7304" s="24"/>
      <c r="J7304" s="116">
        <v>4</v>
      </c>
      <c r="K7304" s="118">
        <v>948000</v>
      </c>
      <c r="L7304" s="119"/>
      <c r="M7304" s="118">
        <f t="shared" ref="M7304" si="10523">K7304*0.1</f>
        <v>94800</v>
      </c>
      <c r="N7304" s="119"/>
      <c r="O7304" s="118">
        <v>0</v>
      </c>
      <c r="P7304" s="119"/>
      <c r="Q7304" s="118">
        <v>9750</v>
      </c>
      <c r="R7304" s="119"/>
      <c r="S7304" s="118">
        <v>15400</v>
      </c>
      <c r="T7304" s="119"/>
      <c r="U7304" s="118">
        <f t="shared" ref="U7304" si="10524">SUM(K7304:T7305)</f>
        <v>1067950</v>
      </c>
      <c r="V7304" s="122"/>
      <c r="W7304" s="124"/>
      <c r="X7304" s="126" t="s">
        <v>21361</v>
      </c>
      <c r="Y7304" s="127"/>
      <c r="Z7304" s="127"/>
      <c r="AA7304" s="127"/>
      <c r="AB7304" s="128"/>
      <c r="AC7304" s="15" t="s">
        <v>20</v>
      </c>
      <c r="AD7304" s="129" t="s">
        <v>3828</v>
      </c>
      <c r="AE7304" s="130"/>
      <c r="AF7304" s="130"/>
      <c r="AG7304" s="130"/>
      <c r="AH7304" s="130"/>
      <c r="AI7304" s="131"/>
      <c r="AJ7304" s="132"/>
      <c r="AK7304" s="127"/>
      <c r="AL7304" s="128"/>
      <c r="AM7304" s="21"/>
      <c r="AN7304" s="133">
        <v>46113</v>
      </c>
      <c r="AO7304" s="134"/>
      <c r="AP7304" s="135">
        <v>1011</v>
      </c>
      <c r="AQ7304" s="136"/>
      <c r="AR7304" s="118">
        <v>935000</v>
      </c>
      <c r="AS7304" s="119"/>
      <c r="AT7304" s="118">
        <f t="shared" ref="AT7304" si="10525">AR7304*0.1</f>
        <v>93500</v>
      </c>
      <c r="AU7304" s="119"/>
      <c r="AV7304" s="118">
        <v>9750</v>
      </c>
      <c r="AW7304" s="119"/>
      <c r="AX7304" s="118">
        <f t="shared" ref="AX7304" si="10526">SUM(AR7304:AW7304)</f>
        <v>1038250</v>
      </c>
      <c r="AY7304" s="119"/>
      <c r="AZ7304" s="137">
        <v>46118</v>
      </c>
    </row>
    <row r="7305" spans="1:52" ht="17.100000000000001" customHeight="1" thickBot="1">
      <c r="A7305" s="110"/>
      <c r="B7305" s="27" t="s">
        <v>2641</v>
      </c>
      <c r="C7305" s="27">
        <v>3054</v>
      </c>
      <c r="D7305" s="14" t="s">
        <v>275</v>
      </c>
      <c r="E7305" s="112"/>
      <c r="F7305" s="139" t="s">
        <v>20741</v>
      </c>
      <c r="G7305" s="140"/>
      <c r="H7305" s="141"/>
      <c r="I7305" s="26">
        <v>64973</v>
      </c>
      <c r="J7305" s="117"/>
      <c r="K7305" s="120"/>
      <c r="L7305" s="121"/>
      <c r="M7305" s="120"/>
      <c r="N7305" s="121"/>
      <c r="O7305" s="120"/>
      <c r="P7305" s="121"/>
      <c r="Q7305" s="120"/>
      <c r="R7305" s="121"/>
      <c r="S7305" s="120"/>
      <c r="T7305" s="121"/>
      <c r="U7305" s="120"/>
      <c r="V7305" s="123"/>
      <c r="W7305" s="125"/>
      <c r="X7305" s="142" t="s">
        <v>21362</v>
      </c>
      <c r="Y7305" s="143"/>
      <c r="Z7305" s="143"/>
      <c r="AA7305" s="143"/>
      <c r="AB7305" s="144"/>
      <c r="AC7305" s="16" t="s">
        <v>21</v>
      </c>
      <c r="AD7305" s="17" t="s">
        <v>21317</v>
      </c>
      <c r="AE7305" s="145" t="s">
        <v>21363</v>
      </c>
      <c r="AF7305" s="146"/>
      <c r="AG7305" s="146"/>
      <c r="AH7305" s="146"/>
      <c r="AI7305" s="147"/>
      <c r="AJ7305" s="148"/>
      <c r="AK7305" s="143"/>
      <c r="AL7305" s="144"/>
      <c r="AM7305" s="22"/>
      <c r="AN7305" s="149" t="s">
        <v>2794</v>
      </c>
      <c r="AO7305" s="144"/>
      <c r="AP7305" s="148">
        <v>6141</v>
      </c>
      <c r="AQ7305" s="144"/>
      <c r="AR7305" s="120"/>
      <c r="AS7305" s="121"/>
      <c r="AT7305" s="120"/>
      <c r="AU7305" s="121"/>
      <c r="AV7305" s="120"/>
      <c r="AW7305" s="121"/>
      <c r="AX7305" s="120"/>
      <c r="AY7305" s="121"/>
      <c r="AZ7305" s="138"/>
    </row>
    <row r="7306" spans="1:52" ht="17.100000000000001" customHeight="1" thickTop="1">
      <c r="A7306" s="109" t="s">
        <v>20680</v>
      </c>
      <c r="B7306" s="28">
        <v>46101</v>
      </c>
      <c r="C7306" s="25">
        <v>1411</v>
      </c>
      <c r="D7306" s="13" t="s">
        <v>2141</v>
      </c>
      <c r="E7306" s="111"/>
      <c r="F7306" s="113" t="s">
        <v>7263</v>
      </c>
      <c r="G7306" s="114"/>
      <c r="H7306" s="115"/>
      <c r="I7306" s="24" t="s">
        <v>9319</v>
      </c>
      <c r="J7306" s="116">
        <v>4</v>
      </c>
      <c r="K7306" s="118">
        <v>649000</v>
      </c>
      <c r="L7306" s="119"/>
      <c r="M7306" s="118">
        <f t="shared" ref="M7306" si="10527">K7306*0.1</f>
        <v>64900</v>
      </c>
      <c r="N7306" s="119"/>
      <c r="O7306" s="118">
        <v>34500</v>
      </c>
      <c r="P7306" s="119"/>
      <c r="Q7306" s="118">
        <v>10360</v>
      </c>
      <c r="R7306" s="119"/>
      <c r="S7306" s="118">
        <v>15400</v>
      </c>
      <c r="T7306" s="119"/>
      <c r="U7306" s="118">
        <f t="shared" ref="U7306" si="10528">SUM(K7306:T7307)</f>
        <v>774160</v>
      </c>
      <c r="V7306" s="122"/>
      <c r="W7306" s="124"/>
      <c r="X7306" s="126" t="s">
        <v>21270</v>
      </c>
      <c r="Y7306" s="127"/>
      <c r="Z7306" s="127"/>
      <c r="AA7306" s="127"/>
      <c r="AB7306" s="128"/>
      <c r="AC7306" s="15" t="s">
        <v>20</v>
      </c>
      <c r="AD7306" s="129" t="s">
        <v>20832</v>
      </c>
      <c r="AE7306" s="130"/>
      <c r="AF7306" s="130"/>
      <c r="AG7306" s="130"/>
      <c r="AH7306" s="130"/>
      <c r="AI7306" s="131"/>
      <c r="AJ7306" s="132"/>
      <c r="AK7306" s="127"/>
      <c r="AL7306" s="128"/>
      <c r="AM7306" s="21"/>
      <c r="AN7306" s="133">
        <v>46106</v>
      </c>
      <c r="AO7306" s="134"/>
      <c r="AP7306" s="135">
        <v>1010</v>
      </c>
      <c r="AQ7306" s="136"/>
      <c r="AR7306" s="118">
        <v>720000</v>
      </c>
      <c r="AS7306" s="119"/>
      <c r="AT7306" s="118">
        <f t="shared" ref="AT7306" si="10529">AR7306*0.1</f>
        <v>72000</v>
      </c>
      <c r="AU7306" s="119"/>
      <c r="AV7306" s="118">
        <v>10360</v>
      </c>
      <c r="AW7306" s="119"/>
      <c r="AX7306" s="118">
        <f t="shared" ref="AX7306" si="10530">SUM(AR7306:AW7306)</f>
        <v>802360</v>
      </c>
      <c r="AY7306" s="119"/>
      <c r="AZ7306" s="137">
        <v>46111</v>
      </c>
    </row>
    <row r="7307" spans="1:52" ht="17.100000000000001" customHeight="1" thickBot="1">
      <c r="A7307" s="110"/>
      <c r="B7307" s="27" t="s">
        <v>2641</v>
      </c>
      <c r="C7307" s="27">
        <v>3058</v>
      </c>
      <c r="D7307" s="14" t="s">
        <v>1812</v>
      </c>
      <c r="E7307" s="112"/>
      <c r="F7307" s="139" t="s">
        <v>20742</v>
      </c>
      <c r="G7307" s="140"/>
      <c r="H7307" s="141"/>
      <c r="I7307" s="26">
        <v>55601</v>
      </c>
      <c r="J7307" s="117"/>
      <c r="K7307" s="120"/>
      <c r="L7307" s="121"/>
      <c r="M7307" s="120"/>
      <c r="N7307" s="121"/>
      <c r="O7307" s="120"/>
      <c r="P7307" s="121"/>
      <c r="Q7307" s="120"/>
      <c r="R7307" s="121"/>
      <c r="S7307" s="120"/>
      <c r="T7307" s="121"/>
      <c r="U7307" s="120"/>
      <c r="V7307" s="123"/>
      <c r="W7307" s="125"/>
      <c r="X7307" s="142" t="s">
        <v>21271</v>
      </c>
      <c r="Y7307" s="143"/>
      <c r="Z7307" s="143"/>
      <c r="AA7307" s="143"/>
      <c r="AB7307" s="144"/>
      <c r="AC7307" s="16" t="s">
        <v>21</v>
      </c>
      <c r="AD7307" s="17" t="s">
        <v>21249</v>
      </c>
      <c r="AE7307" s="145" t="s">
        <v>21272</v>
      </c>
      <c r="AF7307" s="146"/>
      <c r="AG7307" s="146"/>
      <c r="AH7307" s="146"/>
      <c r="AI7307" s="147"/>
      <c r="AJ7307" s="148"/>
      <c r="AK7307" s="143"/>
      <c r="AL7307" s="144"/>
      <c r="AM7307" s="22"/>
      <c r="AN7307" s="149" t="s">
        <v>2794</v>
      </c>
      <c r="AO7307" s="144"/>
      <c r="AP7307" s="148">
        <v>5160</v>
      </c>
      <c r="AQ7307" s="144"/>
      <c r="AR7307" s="120"/>
      <c r="AS7307" s="121"/>
      <c r="AT7307" s="120"/>
      <c r="AU7307" s="121"/>
      <c r="AV7307" s="120"/>
      <c r="AW7307" s="121"/>
      <c r="AX7307" s="120"/>
      <c r="AY7307" s="121"/>
      <c r="AZ7307" s="138"/>
    </row>
    <row r="7308" spans="1:52" ht="17.100000000000001" customHeight="1" thickTop="1">
      <c r="A7308" s="109" t="s">
        <v>20681</v>
      </c>
      <c r="B7308" s="28">
        <v>46101</v>
      </c>
      <c r="C7308" s="25">
        <v>1411</v>
      </c>
      <c r="D7308" s="13" t="s">
        <v>1714</v>
      </c>
      <c r="E7308" s="111"/>
      <c r="F7308" s="113" t="s">
        <v>15969</v>
      </c>
      <c r="G7308" s="114"/>
      <c r="H7308" s="115"/>
      <c r="I7308" s="24" t="s">
        <v>20833</v>
      </c>
      <c r="J7308" s="116">
        <v>4.5</v>
      </c>
      <c r="K7308" s="118">
        <v>1767000</v>
      </c>
      <c r="L7308" s="119"/>
      <c r="M7308" s="118">
        <f t="shared" ref="M7308" si="10531">K7308*0.1</f>
        <v>176700</v>
      </c>
      <c r="N7308" s="119"/>
      <c r="O7308" s="118">
        <v>36000</v>
      </c>
      <c r="P7308" s="119"/>
      <c r="Q7308" s="118">
        <v>11480</v>
      </c>
      <c r="R7308" s="119"/>
      <c r="S7308" s="118">
        <v>15400</v>
      </c>
      <c r="T7308" s="119"/>
      <c r="U7308" s="118">
        <f t="shared" ref="U7308" si="10532">SUM(K7308:T7309)</f>
        <v>2006580</v>
      </c>
      <c r="V7308" s="122"/>
      <c r="W7308" s="124"/>
      <c r="X7308" s="126" t="s">
        <v>21866</v>
      </c>
      <c r="Y7308" s="127"/>
      <c r="Z7308" s="127"/>
      <c r="AA7308" s="127"/>
      <c r="AB7308" s="128"/>
      <c r="AC7308" s="15" t="s">
        <v>20</v>
      </c>
      <c r="AD7308" s="129" t="s">
        <v>20834</v>
      </c>
      <c r="AE7308" s="130"/>
      <c r="AF7308" s="130"/>
      <c r="AG7308" s="130"/>
      <c r="AH7308" s="130"/>
      <c r="AI7308" s="131"/>
      <c r="AJ7308" s="132"/>
      <c r="AK7308" s="127"/>
      <c r="AL7308" s="128"/>
      <c r="AM7308" s="21"/>
      <c r="AN7308" s="133">
        <v>46113</v>
      </c>
      <c r="AO7308" s="134"/>
      <c r="AP7308" s="135">
        <v>1011</v>
      </c>
      <c r="AQ7308" s="136"/>
      <c r="AR7308" s="118">
        <v>1835000</v>
      </c>
      <c r="AS7308" s="119"/>
      <c r="AT7308" s="118">
        <f t="shared" ref="AT7308" si="10533">AR7308*0.1</f>
        <v>183500</v>
      </c>
      <c r="AU7308" s="119"/>
      <c r="AV7308" s="118">
        <v>11480</v>
      </c>
      <c r="AW7308" s="119"/>
      <c r="AX7308" s="118">
        <f t="shared" ref="AX7308" si="10534">SUM(AR7308:AW7308)</f>
        <v>2029980</v>
      </c>
      <c r="AY7308" s="119"/>
      <c r="AZ7308" s="137">
        <v>46119</v>
      </c>
    </row>
    <row r="7309" spans="1:52" ht="17.100000000000001" customHeight="1" thickBot="1">
      <c r="A7309" s="110"/>
      <c r="B7309" s="27" t="s">
        <v>2641</v>
      </c>
      <c r="C7309" s="27">
        <v>3152</v>
      </c>
      <c r="D7309" s="14" t="s">
        <v>2601</v>
      </c>
      <c r="E7309" s="112"/>
      <c r="F7309" s="139" t="s">
        <v>20743</v>
      </c>
      <c r="G7309" s="140"/>
      <c r="H7309" s="141"/>
      <c r="I7309" s="26">
        <v>79044</v>
      </c>
      <c r="J7309" s="117"/>
      <c r="K7309" s="120"/>
      <c r="L7309" s="121"/>
      <c r="M7309" s="120"/>
      <c r="N7309" s="121"/>
      <c r="O7309" s="120"/>
      <c r="P7309" s="121"/>
      <c r="Q7309" s="120"/>
      <c r="R7309" s="121"/>
      <c r="S7309" s="120"/>
      <c r="T7309" s="121"/>
      <c r="U7309" s="120"/>
      <c r="V7309" s="123"/>
      <c r="W7309" s="125"/>
      <c r="X7309" s="142" t="s">
        <v>21867</v>
      </c>
      <c r="Y7309" s="143"/>
      <c r="Z7309" s="143"/>
      <c r="AA7309" s="143"/>
      <c r="AB7309" s="144"/>
      <c r="AC7309" s="16" t="s">
        <v>21</v>
      </c>
      <c r="AD7309" s="17" t="s">
        <v>1642</v>
      </c>
      <c r="AE7309" s="145" t="s">
        <v>21974</v>
      </c>
      <c r="AF7309" s="146"/>
      <c r="AG7309" s="146"/>
      <c r="AH7309" s="146"/>
      <c r="AI7309" s="147"/>
      <c r="AJ7309" s="148"/>
      <c r="AK7309" s="143"/>
      <c r="AL7309" s="144"/>
      <c r="AM7309" s="22"/>
      <c r="AN7309" s="149" t="s">
        <v>2794</v>
      </c>
      <c r="AO7309" s="144"/>
      <c r="AP7309" s="148">
        <v>6117</v>
      </c>
      <c r="AQ7309" s="144"/>
      <c r="AR7309" s="120"/>
      <c r="AS7309" s="121"/>
      <c r="AT7309" s="120"/>
      <c r="AU7309" s="121"/>
      <c r="AV7309" s="120"/>
      <c r="AW7309" s="121"/>
      <c r="AX7309" s="120"/>
      <c r="AY7309" s="121"/>
      <c r="AZ7309" s="138"/>
    </row>
    <row r="7310" spans="1:52" ht="17.100000000000001" customHeight="1" thickTop="1">
      <c r="A7310" s="109" t="s">
        <v>20682</v>
      </c>
      <c r="B7310" s="28">
        <v>46101</v>
      </c>
      <c r="C7310" s="25">
        <v>1411</v>
      </c>
      <c r="D7310" s="13" t="s">
        <v>1823</v>
      </c>
      <c r="E7310" s="111"/>
      <c r="F7310" s="113" t="s">
        <v>20744</v>
      </c>
      <c r="G7310" s="114"/>
      <c r="H7310" s="115"/>
      <c r="I7310" s="24" t="s">
        <v>13277</v>
      </c>
      <c r="J7310" s="116">
        <v>4</v>
      </c>
      <c r="K7310" s="118">
        <v>159000</v>
      </c>
      <c r="L7310" s="119"/>
      <c r="M7310" s="118">
        <f t="shared" ref="M7310" si="10535">K7310*0.1</f>
        <v>15900</v>
      </c>
      <c r="N7310" s="119"/>
      <c r="O7310" s="118">
        <v>7200</v>
      </c>
      <c r="P7310" s="119"/>
      <c r="Q7310" s="118">
        <v>8140</v>
      </c>
      <c r="R7310" s="119"/>
      <c r="S7310" s="118">
        <v>15400</v>
      </c>
      <c r="T7310" s="119"/>
      <c r="U7310" s="118">
        <f t="shared" ref="U7310" si="10536">SUM(K7310:T7311)</f>
        <v>205640</v>
      </c>
      <c r="V7310" s="122"/>
      <c r="W7310" s="124"/>
      <c r="X7310" s="126" t="s">
        <v>21273</v>
      </c>
      <c r="Y7310" s="127"/>
      <c r="Z7310" s="127"/>
      <c r="AA7310" s="127"/>
      <c r="AB7310" s="128"/>
      <c r="AC7310" s="15" t="s">
        <v>20</v>
      </c>
      <c r="AD7310" s="129" t="s">
        <v>4435</v>
      </c>
      <c r="AE7310" s="130"/>
      <c r="AF7310" s="130"/>
      <c r="AG7310" s="130"/>
      <c r="AH7310" s="130"/>
      <c r="AI7310" s="131"/>
      <c r="AJ7310" s="132"/>
      <c r="AK7310" s="127"/>
      <c r="AL7310" s="128"/>
      <c r="AM7310" s="21"/>
      <c r="AN7310" s="133">
        <v>46106</v>
      </c>
      <c r="AO7310" s="134"/>
      <c r="AP7310" s="135">
        <v>1010</v>
      </c>
      <c r="AQ7310" s="136"/>
      <c r="AR7310" s="118">
        <v>225000</v>
      </c>
      <c r="AS7310" s="119"/>
      <c r="AT7310" s="118">
        <f t="shared" ref="AT7310" si="10537">AR7310*0.1</f>
        <v>22500</v>
      </c>
      <c r="AU7310" s="119"/>
      <c r="AV7310" s="118">
        <v>8140</v>
      </c>
      <c r="AW7310" s="119"/>
      <c r="AX7310" s="118">
        <f t="shared" ref="AX7310" si="10538">SUM(AR7310:AW7310)</f>
        <v>255640</v>
      </c>
      <c r="AY7310" s="119"/>
      <c r="AZ7310" s="137">
        <v>46111</v>
      </c>
    </row>
    <row r="7311" spans="1:52" ht="17.100000000000001" customHeight="1" thickBot="1">
      <c r="A7311" s="110"/>
      <c r="B7311" s="27" t="s">
        <v>2641</v>
      </c>
      <c r="C7311" s="27">
        <v>3255</v>
      </c>
      <c r="D7311" s="14" t="s">
        <v>19929</v>
      </c>
      <c r="E7311" s="112"/>
      <c r="F7311" s="139" t="s">
        <v>20745</v>
      </c>
      <c r="G7311" s="140"/>
      <c r="H7311" s="141"/>
      <c r="I7311" s="26">
        <v>60241</v>
      </c>
      <c r="J7311" s="117"/>
      <c r="K7311" s="120"/>
      <c r="L7311" s="121"/>
      <c r="M7311" s="120"/>
      <c r="N7311" s="121"/>
      <c r="O7311" s="120"/>
      <c r="P7311" s="121"/>
      <c r="Q7311" s="120"/>
      <c r="R7311" s="121"/>
      <c r="S7311" s="120"/>
      <c r="T7311" s="121"/>
      <c r="U7311" s="120"/>
      <c r="V7311" s="123"/>
      <c r="W7311" s="125"/>
      <c r="X7311" s="142" t="s">
        <v>21274</v>
      </c>
      <c r="Y7311" s="143"/>
      <c r="Z7311" s="143"/>
      <c r="AA7311" s="143"/>
      <c r="AB7311" s="144"/>
      <c r="AC7311" s="16" t="s">
        <v>21</v>
      </c>
      <c r="AD7311" s="17" t="s">
        <v>21249</v>
      </c>
      <c r="AE7311" s="145" t="s">
        <v>21275</v>
      </c>
      <c r="AF7311" s="146"/>
      <c r="AG7311" s="146"/>
      <c r="AH7311" s="146"/>
      <c r="AI7311" s="147"/>
      <c r="AJ7311" s="148"/>
      <c r="AK7311" s="143"/>
      <c r="AL7311" s="144"/>
      <c r="AM7311" s="22"/>
      <c r="AN7311" s="149" t="s">
        <v>2794</v>
      </c>
      <c r="AO7311" s="144"/>
      <c r="AP7311" s="148">
        <v>2099</v>
      </c>
      <c r="AQ7311" s="144"/>
      <c r="AR7311" s="120"/>
      <c r="AS7311" s="121"/>
      <c r="AT7311" s="120"/>
      <c r="AU7311" s="121"/>
      <c r="AV7311" s="120"/>
      <c r="AW7311" s="121"/>
      <c r="AX7311" s="120"/>
      <c r="AY7311" s="121"/>
      <c r="AZ7311" s="138"/>
    </row>
    <row r="7312" spans="1:52" ht="17.100000000000001" customHeight="1" thickTop="1">
      <c r="A7312" s="109" t="s">
        <v>20683</v>
      </c>
      <c r="B7312" s="28">
        <v>46101</v>
      </c>
      <c r="C7312" s="25">
        <v>1411</v>
      </c>
      <c r="D7312" s="13" t="s">
        <v>3381</v>
      </c>
      <c r="E7312" s="111"/>
      <c r="F7312" s="113" t="s">
        <v>17276</v>
      </c>
      <c r="G7312" s="114"/>
      <c r="H7312" s="115"/>
      <c r="I7312" s="24" t="s">
        <v>19099</v>
      </c>
      <c r="J7312" s="116">
        <v>4.5</v>
      </c>
      <c r="K7312" s="118">
        <v>911000</v>
      </c>
      <c r="L7312" s="119"/>
      <c r="M7312" s="118">
        <f t="shared" ref="M7312" si="10539">K7312*0.1</f>
        <v>91100</v>
      </c>
      <c r="N7312" s="119"/>
      <c r="O7312" s="118">
        <v>10800</v>
      </c>
      <c r="P7312" s="119"/>
      <c r="Q7312" s="118">
        <v>9010</v>
      </c>
      <c r="R7312" s="119"/>
      <c r="S7312" s="118">
        <v>15400</v>
      </c>
      <c r="T7312" s="119"/>
      <c r="U7312" s="118">
        <f t="shared" ref="U7312" si="10540">SUM(K7312:T7313)</f>
        <v>1037310</v>
      </c>
      <c r="V7312" s="122"/>
      <c r="W7312" s="124"/>
      <c r="X7312" s="126" t="s">
        <v>21358</v>
      </c>
      <c r="Y7312" s="127"/>
      <c r="Z7312" s="127"/>
      <c r="AA7312" s="127"/>
      <c r="AB7312" s="128"/>
      <c r="AC7312" s="15" t="s">
        <v>20</v>
      </c>
      <c r="AD7312" s="129" t="s">
        <v>4435</v>
      </c>
      <c r="AE7312" s="130"/>
      <c r="AF7312" s="130"/>
      <c r="AG7312" s="130"/>
      <c r="AH7312" s="130"/>
      <c r="AI7312" s="131"/>
      <c r="AJ7312" s="132"/>
      <c r="AK7312" s="127"/>
      <c r="AL7312" s="128"/>
      <c r="AM7312" s="21" t="s">
        <v>23358</v>
      </c>
      <c r="AN7312" s="133">
        <v>46127</v>
      </c>
      <c r="AO7312" s="134"/>
      <c r="AP7312" s="135">
        <v>1013</v>
      </c>
      <c r="AQ7312" s="136"/>
      <c r="AR7312" s="118">
        <v>960000</v>
      </c>
      <c r="AS7312" s="119"/>
      <c r="AT7312" s="118">
        <f t="shared" ref="AT7312" si="10541">AR7312*0.1</f>
        <v>96000</v>
      </c>
      <c r="AU7312" s="119"/>
      <c r="AV7312" s="118">
        <v>9010</v>
      </c>
      <c r="AW7312" s="119"/>
      <c r="AX7312" s="118">
        <f t="shared" ref="AX7312" si="10542">SUM(AR7312:AW7312)</f>
        <v>1065010</v>
      </c>
      <c r="AY7312" s="119"/>
      <c r="AZ7312" s="137">
        <v>46133</v>
      </c>
    </row>
    <row r="7313" spans="1:52" ht="17.100000000000001" customHeight="1" thickBot="1">
      <c r="A7313" s="110"/>
      <c r="B7313" s="27" t="s">
        <v>2641</v>
      </c>
      <c r="C7313" s="27">
        <v>3279</v>
      </c>
      <c r="D7313" s="14" t="s">
        <v>1592</v>
      </c>
      <c r="E7313" s="112"/>
      <c r="F7313" s="139" t="s">
        <v>20746</v>
      </c>
      <c r="G7313" s="140"/>
      <c r="H7313" s="141"/>
      <c r="I7313" s="26">
        <v>40597</v>
      </c>
      <c r="J7313" s="117"/>
      <c r="K7313" s="120"/>
      <c r="L7313" s="121"/>
      <c r="M7313" s="120"/>
      <c r="N7313" s="121"/>
      <c r="O7313" s="120"/>
      <c r="P7313" s="121"/>
      <c r="Q7313" s="120"/>
      <c r="R7313" s="121"/>
      <c r="S7313" s="120"/>
      <c r="T7313" s="121"/>
      <c r="U7313" s="120"/>
      <c r="V7313" s="123"/>
      <c r="W7313" s="125"/>
      <c r="X7313" s="142" t="s">
        <v>21359</v>
      </c>
      <c r="Y7313" s="143"/>
      <c r="Z7313" s="143"/>
      <c r="AA7313" s="143"/>
      <c r="AB7313" s="144"/>
      <c r="AC7313" s="16" t="s">
        <v>21</v>
      </c>
      <c r="AD7313" s="17" t="s">
        <v>21317</v>
      </c>
      <c r="AE7313" s="145" t="s">
        <v>21360</v>
      </c>
      <c r="AF7313" s="146"/>
      <c r="AG7313" s="146"/>
      <c r="AH7313" s="146"/>
      <c r="AI7313" s="147"/>
      <c r="AJ7313" s="148"/>
      <c r="AK7313" s="143"/>
      <c r="AL7313" s="144"/>
      <c r="AM7313" s="22"/>
      <c r="AN7313" s="149" t="s">
        <v>9053</v>
      </c>
      <c r="AO7313" s="144"/>
      <c r="AP7313" s="148">
        <v>2019</v>
      </c>
      <c r="AQ7313" s="144"/>
      <c r="AR7313" s="120"/>
      <c r="AS7313" s="121"/>
      <c r="AT7313" s="120"/>
      <c r="AU7313" s="121"/>
      <c r="AV7313" s="120"/>
      <c r="AW7313" s="121"/>
      <c r="AX7313" s="120"/>
      <c r="AY7313" s="121"/>
      <c r="AZ7313" s="138"/>
    </row>
    <row r="7314" spans="1:52" ht="17.100000000000001" customHeight="1" thickTop="1">
      <c r="A7314" s="109" t="s">
        <v>20684</v>
      </c>
      <c r="B7314" s="28">
        <v>46101</v>
      </c>
      <c r="C7314" s="25">
        <v>1411</v>
      </c>
      <c r="D7314" s="13" t="s">
        <v>2689</v>
      </c>
      <c r="E7314" s="111"/>
      <c r="F7314" s="113" t="s">
        <v>20747</v>
      </c>
      <c r="G7314" s="114"/>
      <c r="H7314" s="115"/>
      <c r="I7314" s="24" t="s">
        <v>3009</v>
      </c>
      <c r="J7314" s="116">
        <v>4.5</v>
      </c>
      <c r="K7314" s="118">
        <v>2219000</v>
      </c>
      <c r="L7314" s="119"/>
      <c r="M7314" s="118">
        <f t="shared" ref="M7314" si="10543">K7314*0.1</f>
        <v>221900</v>
      </c>
      <c r="N7314" s="119"/>
      <c r="O7314" s="118">
        <v>30500</v>
      </c>
      <c r="P7314" s="119"/>
      <c r="Q7314" s="118">
        <v>9620</v>
      </c>
      <c r="R7314" s="119"/>
      <c r="S7314" s="118">
        <v>15400</v>
      </c>
      <c r="T7314" s="119"/>
      <c r="U7314" s="118">
        <f t="shared" ref="U7314" si="10544">SUM(K7314:T7315)</f>
        <v>2496420</v>
      </c>
      <c r="V7314" s="122"/>
      <c r="W7314" s="124"/>
      <c r="X7314" s="126" t="s">
        <v>21813</v>
      </c>
      <c r="Y7314" s="127"/>
      <c r="Z7314" s="127"/>
      <c r="AA7314" s="127"/>
      <c r="AB7314" s="128"/>
      <c r="AC7314" s="15" t="s">
        <v>20</v>
      </c>
      <c r="AD7314" s="129" t="s">
        <v>3828</v>
      </c>
      <c r="AE7314" s="130"/>
      <c r="AF7314" s="130"/>
      <c r="AG7314" s="130"/>
      <c r="AH7314" s="130"/>
      <c r="AI7314" s="131"/>
      <c r="AJ7314" s="132"/>
      <c r="AK7314" s="127"/>
      <c r="AL7314" s="128"/>
      <c r="AM7314" s="21"/>
      <c r="AN7314" s="133">
        <v>46106</v>
      </c>
      <c r="AO7314" s="134"/>
      <c r="AP7314" s="135">
        <v>1010</v>
      </c>
      <c r="AQ7314" s="136"/>
      <c r="AR7314" s="118">
        <v>2315000</v>
      </c>
      <c r="AS7314" s="119"/>
      <c r="AT7314" s="118">
        <f t="shared" ref="AT7314" si="10545">AR7314*0.1</f>
        <v>231500</v>
      </c>
      <c r="AU7314" s="119"/>
      <c r="AV7314" s="118">
        <v>9620</v>
      </c>
      <c r="AW7314" s="119"/>
      <c r="AX7314" s="118">
        <f t="shared" ref="AX7314" si="10546">SUM(AR7314:AW7314)</f>
        <v>2556120</v>
      </c>
      <c r="AY7314" s="119"/>
      <c r="AZ7314" s="137">
        <v>46114</v>
      </c>
    </row>
    <row r="7315" spans="1:52" ht="17.100000000000001" customHeight="1" thickBot="1">
      <c r="A7315" s="110"/>
      <c r="B7315" s="27" t="s">
        <v>2641</v>
      </c>
      <c r="C7315" s="27">
        <v>3291</v>
      </c>
      <c r="D7315" s="14" t="s">
        <v>2601</v>
      </c>
      <c r="E7315" s="112"/>
      <c r="F7315" s="139" t="s">
        <v>20748</v>
      </c>
      <c r="G7315" s="140"/>
      <c r="H7315" s="141"/>
      <c r="I7315" s="26">
        <v>41558</v>
      </c>
      <c r="J7315" s="117"/>
      <c r="K7315" s="120"/>
      <c r="L7315" s="121"/>
      <c r="M7315" s="120"/>
      <c r="N7315" s="121"/>
      <c r="O7315" s="120"/>
      <c r="P7315" s="121"/>
      <c r="Q7315" s="120"/>
      <c r="R7315" s="121"/>
      <c r="S7315" s="120"/>
      <c r="T7315" s="121"/>
      <c r="U7315" s="120"/>
      <c r="V7315" s="123"/>
      <c r="W7315" s="125"/>
      <c r="X7315" s="142" t="s">
        <v>21814</v>
      </c>
      <c r="Y7315" s="143"/>
      <c r="Z7315" s="143"/>
      <c r="AA7315" s="143"/>
      <c r="AB7315" s="144"/>
      <c r="AC7315" s="16" t="s">
        <v>21</v>
      </c>
      <c r="AD7315" s="17" t="s">
        <v>3980</v>
      </c>
      <c r="AE7315" s="145" t="s">
        <v>21816</v>
      </c>
      <c r="AF7315" s="146"/>
      <c r="AG7315" s="146"/>
      <c r="AH7315" s="146"/>
      <c r="AI7315" s="147"/>
      <c r="AJ7315" s="148"/>
      <c r="AK7315" s="143"/>
      <c r="AL7315" s="144"/>
      <c r="AM7315" s="22"/>
      <c r="AN7315" s="149" t="s">
        <v>2794</v>
      </c>
      <c r="AO7315" s="144"/>
      <c r="AP7315" s="148">
        <v>5152</v>
      </c>
      <c r="AQ7315" s="144"/>
      <c r="AR7315" s="120"/>
      <c r="AS7315" s="121"/>
      <c r="AT7315" s="120"/>
      <c r="AU7315" s="121"/>
      <c r="AV7315" s="120"/>
      <c r="AW7315" s="121"/>
      <c r="AX7315" s="120"/>
      <c r="AY7315" s="121"/>
      <c r="AZ7315" s="138"/>
    </row>
    <row r="7316" spans="1:52" ht="17.100000000000001" customHeight="1" thickTop="1">
      <c r="A7316" s="109" t="s">
        <v>20685</v>
      </c>
      <c r="B7316" s="28">
        <v>46101</v>
      </c>
      <c r="C7316" s="25">
        <v>1411</v>
      </c>
      <c r="D7316" s="13" t="s">
        <v>1714</v>
      </c>
      <c r="E7316" s="111"/>
      <c r="F7316" s="113" t="s">
        <v>20749</v>
      </c>
      <c r="G7316" s="114"/>
      <c r="H7316" s="115"/>
      <c r="I7316" s="24" t="s">
        <v>8651</v>
      </c>
      <c r="J7316" s="116">
        <v>4</v>
      </c>
      <c r="K7316" s="118">
        <v>821000</v>
      </c>
      <c r="L7316" s="119"/>
      <c r="M7316" s="118">
        <f t="shared" ref="M7316" si="10547">K7316*0.1</f>
        <v>82100</v>
      </c>
      <c r="N7316" s="119"/>
      <c r="O7316" s="118">
        <v>10800</v>
      </c>
      <c r="P7316" s="119"/>
      <c r="Q7316" s="118">
        <v>8550</v>
      </c>
      <c r="R7316" s="119"/>
      <c r="S7316" s="118">
        <v>15400</v>
      </c>
      <c r="T7316" s="119"/>
      <c r="U7316" s="118">
        <f t="shared" ref="U7316" si="10548">SUM(K7316:T7317)</f>
        <v>937850</v>
      </c>
      <c r="V7316" s="122"/>
      <c r="W7316" s="124"/>
      <c r="X7316" s="126" t="s">
        <v>21257</v>
      </c>
      <c r="Y7316" s="127"/>
      <c r="Z7316" s="127"/>
      <c r="AA7316" s="127"/>
      <c r="AB7316" s="128"/>
      <c r="AC7316" s="15" t="s">
        <v>20</v>
      </c>
      <c r="AD7316" s="129" t="s">
        <v>20437</v>
      </c>
      <c r="AE7316" s="130"/>
      <c r="AF7316" s="130"/>
      <c r="AG7316" s="130"/>
      <c r="AH7316" s="130"/>
      <c r="AI7316" s="131"/>
      <c r="AJ7316" s="132"/>
      <c r="AK7316" s="127"/>
      <c r="AL7316" s="128"/>
      <c r="AM7316" s="21" t="s">
        <v>22986</v>
      </c>
      <c r="AN7316" s="133">
        <v>46120</v>
      </c>
      <c r="AO7316" s="134"/>
      <c r="AP7316" s="135">
        <v>1012</v>
      </c>
      <c r="AQ7316" s="136"/>
      <c r="AR7316" s="118">
        <v>900000</v>
      </c>
      <c r="AS7316" s="119"/>
      <c r="AT7316" s="118">
        <f t="shared" ref="AT7316" si="10549">AR7316*0.1</f>
        <v>90000</v>
      </c>
      <c r="AU7316" s="119"/>
      <c r="AV7316" s="118">
        <v>8550</v>
      </c>
      <c r="AW7316" s="119"/>
      <c r="AX7316" s="118">
        <f t="shared" ref="AX7316" si="10550">SUM(AR7316:AW7316)</f>
        <v>998550</v>
      </c>
      <c r="AY7316" s="119"/>
      <c r="AZ7316" s="137">
        <v>46128</v>
      </c>
    </row>
    <row r="7317" spans="1:52" ht="17.100000000000001" customHeight="1" thickBot="1">
      <c r="A7317" s="110"/>
      <c r="B7317" s="27" t="s">
        <v>2641</v>
      </c>
      <c r="C7317" s="27">
        <v>7005</v>
      </c>
      <c r="D7317" s="14" t="s">
        <v>2601</v>
      </c>
      <c r="E7317" s="112"/>
      <c r="F7317" s="139" t="s">
        <v>20750</v>
      </c>
      <c r="G7317" s="140"/>
      <c r="H7317" s="141"/>
      <c r="I7317" s="26">
        <v>56999</v>
      </c>
      <c r="J7317" s="117"/>
      <c r="K7317" s="120"/>
      <c r="L7317" s="121"/>
      <c r="M7317" s="120"/>
      <c r="N7317" s="121"/>
      <c r="O7317" s="120"/>
      <c r="P7317" s="121"/>
      <c r="Q7317" s="120"/>
      <c r="R7317" s="121"/>
      <c r="S7317" s="120"/>
      <c r="T7317" s="121"/>
      <c r="U7317" s="120"/>
      <c r="V7317" s="123"/>
      <c r="W7317" s="125"/>
      <c r="X7317" s="142" t="s">
        <v>21258</v>
      </c>
      <c r="Y7317" s="143"/>
      <c r="Z7317" s="143"/>
      <c r="AA7317" s="143"/>
      <c r="AB7317" s="144"/>
      <c r="AC7317" s="16" t="s">
        <v>21</v>
      </c>
      <c r="AD7317" s="17" t="s">
        <v>21230</v>
      </c>
      <c r="AE7317" s="145" t="s">
        <v>21259</v>
      </c>
      <c r="AF7317" s="146"/>
      <c r="AG7317" s="146"/>
      <c r="AH7317" s="146"/>
      <c r="AI7317" s="147"/>
      <c r="AJ7317" s="148"/>
      <c r="AK7317" s="143"/>
      <c r="AL7317" s="144"/>
      <c r="AM7317" s="22"/>
      <c r="AN7317" s="149" t="s">
        <v>8809</v>
      </c>
      <c r="AO7317" s="144"/>
      <c r="AP7317" s="148">
        <v>2006</v>
      </c>
      <c r="AQ7317" s="144"/>
      <c r="AR7317" s="120"/>
      <c r="AS7317" s="121"/>
      <c r="AT7317" s="120"/>
      <c r="AU7317" s="121"/>
      <c r="AV7317" s="120"/>
      <c r="AW7317" s="121"/>
      <c r="AX7317" s="120"/>
      <c r="AY7317" s="121"/>
      <c r="AZ7317" s="138"/>
    </row>
    <row r="7318" spans="1:52" ht="17.100000000000001" customHeight="1" thickTop="1">
      <c r="A7318" s="109" t="s">
        <v>20686</v>
      </c>
      <c r="B7318" s="28">
        <v>46101</v>
      </c>
      <c r="C7318" s="25">
        <v>1411</v>
      </c>
      <c r="D7318" s="13" t="s">
        <v>2355</v>
      </c>
      <c r="E7318" s="111"/>
      <c r="F7318" s="113" t="s">
        <v>20751</v>
      </c>
      <c r="G7318" s="114"/>
      <c r="H7318" s="115"/>
      <c r="I7318" s="24" t="s">
        <v>20835</v>
      </c>
      <c r="J7318" s="116">
        <v>4.5</v>
      </c>
      <c r="K7318" s="118">
        <v>799000</v>
      </c>
      <c r="L7318" s="119"/>
      <c r="M7318" s="118">
        <f t="shared" ref="M7318" si="10551">K7318*0.1</f>
        <v>79900</v>
      </c>
      <c r="N7318" s="119"/>
      <c r="O7318" s="118">
        <v>10800</v>
      </c>
      <c r="P7318" s="119"/>
      <c r="Q7318" s="118">
        <v>6880</v>
      </c>
      <c r="R7318" s="119"/>
      <c r="S7318" s="118">
        <v>15400</v>
      </c>
      <c r="T7318" s="119"/>
      <c r="U7318" s="118">
        <f t="shared" ref="U7318" si="10552">SUM(K7318:T7319)</f>
        <v>911980</v>
      </c>
      <c r="V7318" s="122"/>
      <c r="W7318" s="124"/>
      <c r="X7318" s="126" t="s">
        <v>21190</v>
      </c>
      <c r="Y7318" s="127"/>
      <c r="Z7318" s="127"/>
      <c r="AA7318" s="127"/>
      <c r="AB7318" s="128"/>
      <c r="AC7318" s="15" t="s">
        <v>20</v>
      </c>
      <c r="AD7318" s="129" t="s">
        <v>17881</v>
      </c>
      <c r="AE7318" s="130"/>
      <c r="AF7318" s="130"/>
      <c r="AG7318" s="130"/>
      <c r="AH7318" s="130"/>
      <c r="AI7318" s="131"/>
      <c r="AJ7318" s="132"/>
      <c r="AK7318" s="127"/>
      <c r="AL7318" s="128"/>
      <c r="AM7318" s="21" t="s">
        <v>22989</v>
      </c>
      <c r="AN7318" s="133">
        <v>46123</v>
      </c>
      <c r="AO7318" s="134"/>
      <c r="AP7318" s="135">
        <v>1296</v>
      </c>
      <c r="AQ7318" s="136"/>
      <c r="AR7318" s="118">
        <v>810000</v>
      </c>
      <c r="AS7318" s="119"/>
      <c r="AT7318" s="118">
        <f t="shared" ref="AT7318" si="10553">AR7318*0.1</f>
        <v>81000</v>
      </c>
      <c r="AU7318" s="119"/>
      <c r="AV7318" s="118">
        <v>6880</v>
      </c>
      <c r="AW7318" s="119"/>
      <c r="AX7318" s="118">
        <f t="shared" ref="AX7318" si="10554">SUM(AR7318:AW7318)</f>
        <v>897880</v>
      </c>
      <c r="AY7318" s="119"/>
      <c r="AZ7318" s="137">
        <v>46128</v>
      </c>
    </row>
    <row r="7319" spans="1:52" ht="17.100000000000001" customHeight="1" thickBot="1">
      <c r="A7319" s="110"/>
      <c r="B7319" s="27" t="s">
        <v>2641</v>
      </c>
      <c r="C7319" s="27">
        <v>7082</v>
      </c>
      <c r="D7319" s="14" t="s">
        <v>5615</v>
      </c>
      <c r="E7319" s="112"/>
      <c r="F7319" s="139" t="s">
        <v>20752</v>
      </c>
      <c r="G7319" s="140"/>
      <c r="H7319" s="141"/>
      <c r="I7319" s="26">
        <v>17656</v>
      </c>
      <c r="J7319" s="117"/>
      <c r="K7319" s="120"/>
      <c r="L7319" s="121"/>
      <c r="M7319" s="120"/>
      <c r="N7319" s="121"/>
      <c r="O7319" s="120"/>
      <c r="P7319" s="121"/>
      <c r="Q7319" s="120"/>
      <c r="R7319" s="121"/>
      <c r="S7319" s="120"/>
      <c r="T7319" s="121"/>
      <c r="U7319" s="120"/>
      <c r="V7319" s="123"/>
      <c r="W7319" s="125"/>
      <c r="X7319" s="142" t="s">
        <v>4234</v>
      </c>
      <c r="Y7319" s="143"/>
      <c r="Z7319" s="143"/>
      <c r="AA7319" s="143"/>
      <c r="AB7319" s="144"/>
      <c r="AC7319" s="16" t="s">
        <v>21</v>
      </c>
      <c r="AD7319" s="17" t="s">
        <v>2388</v>
      </c>
      <c r="AE7319" s="145" t="s">
        <v>4617</v>
      </c>
      <c r="AF7319" s="146"/>
      <c r="AG7319" s="146"/>
      <c r="AH7319" s="146"/>
      <c r="AI7319" s="147"/>
      <c r="AJ7319" s="148"/>
      <c r="AK7319" s="143"/>
      <c r="AL7319" s="144"/>
      <c r="AM7319" s="22"/>
      <c r="AN7319" s="149" t="s">
        <v>2511</v>
      </c>
      <c r="AO7319" s="144"/>
      <c r="AP7319" s="148">
        <v>60077</v>
      </c>
      <c r="AQ7319" s="144"/>
      <c r="AR7319" s="120"/>
      <c r="AS7319" s="121"/>
      <c r="AT7319" s="120"/>
      <c r="AU7319" s="121"/>
      <c r="AV7319" s="120"/>
      <c r="AW7319" s="121"/>
      <c r="AX7319" s="120"/>
      <c r="AY7319" s="121"/>
      <c r="AZ7319" s="138"/>
    </row>
    <row r="7320" spans="1:52" ht="17.100000000000001" customHeight="1" thickTop="1">
      <c r="A7320" s="109" t="s">
        <v>20687</v>
      </c>
      <c r="B7320" s="28">
        <v>46101</v>
      </c>
      <c r="C7320" s="25">
        <v>1411</v>
      </c>
      <c r="D7320" s="13" t="s">
        <v>1714</v>
      </c>
      <c r="E7320" s="111"/>
      <c r="F7320" s="113" t="s">
        <v>20753</v>
      </c>
      <c r="G7320" s="114"/>
      <c r="H7320" s="115"/>
      <c r="I7320" s="24"/>
      <c r="J7320" s="116">
        <v>4</v>
      </c>
      <c r="K7320" s="118">
        <v>836000</v>
      </c>
      <c r="L7320" s="119"/>
      <c r="M7320" s="118">
        <f t="shared" ref="M7320" si="10555">K7320*0.1</f>
        <v>83600</v>
      </c>
      <c r="N7320" s="119"/>
      <c r="O7320" s="118">
        <v>0</v>
      </c>
      <c r="P7320" s="119"/>
      <c r="Q7320" s="118">
        <v>8950</v>
      </c>
      <c r="R7320" s="119"/>
      <c r="S7320" s="118">
        <v>15400</v>
      </c>
      <c r="T7320" s="119"/>
      <c r="U7320" s="118">
        <f t="shared" ref="U7320" si="10556">SUM(K7320:T7321)</f>
        <v>943950</v>
      </c>
      <c r="V7320" s="122"/>
      <c r="W7320" s="124"/>
      <c r="X7320" s="126" t="s">
        <v>21213</v>
      </c>
      <c r="Y7320" s="127"/>
      <c r="Z7320" s="127"/>
      <c r="AA7320" s="127"/>
      <c r="AB7320" s="128"/>
      <c r="AC7320" s="15" t="s">
        <v>20</v>
      </c>
      <c r="AD7320" s="129" t="s">
        <v>20836</v>
      </c>
      <c r="AE7320" s="130"/>
      <c r="AF7320" s="130"/>
      <c r="AG7320" s="130"/>
      <c r="AH7320" s="130"/>
      <c r="AI7320" s="131"/>
      <c r="AJ7320" s="132"/>
      <c r="AK7320" s="127"/>
      <c r="AL7320" s="128"/>
      <c r="AM7320" s="21"/>
      <c r="AN7320" s="133">
        <v>46109</v>
      </c>
      <c r="AO7320" s="134"/>
      <c r="AP7320" s="135">
        <v>1294</v>
      </c>
      <c r="AQ7320" s="136"/>
      <c r="AR7320" s="118">
        <v>920000</v>
      </c>
      <c r="AS7320" s="119"/>
      <c r="AT7320" s="118">
        <f t="shared" ref="AT7320" si="10557">AR7320*0.1</f>
        <v>92000</v>
      </c>
      <c r="AU7320" s="119"/>
      <c r="AV7320" s="118">
        <v>8950</v>
      </c>
      <c r="AW7320" s="119"/>
      <c r="AX7320" s="118">
        <f t="shared" ref="AX7320" si="10558">SUM(AR7320:AW7320)</f>
        <v>1020950</v>
      </c>
      <c r="AY7320" s="119"/>
      <c r="AZ7320" s="137">
        <v>46112</v>
      </c>
    </row>
    <row r="7321" spans="1:52" ht="17.100000000000001" customHeight="1" thickBot="1">
      <c r="A7321" s="110"/>
      <c r="B7321" s="27" t="s">
        <v>2641</v>
      </c>
      <c r="C7321" s="27">
        <v>7091</v>
      </c>
      <c r="D7321" s="14" t="s">
        <v>1720</v>
      </c>
      <c r="E7321" s="112"/>
      <c r="F7321" s="139" t="s">
        <v>20754</v>
      </c>
      <c r="G7321" s="140"/>
      <c r="H7321" s="141"/>
      <c r="I7321" s="26">
        <v>54193</v>
      </c>
      <c r="J7321" s="117"/>
      <c r="K7321" s="120"/>
      <c r="L7321" s="121"/>
      <c r="M7321" s="120"/>
      <c r="N7321" s="121"/>
      <c r="O7321" s="120"/>
      <c r="P7321" s="121"/>
      <c r="Q7321" s="120"/>
      <c r="R7321" s="121"/>
      <c r="S7321" s="120"/>
      <c r="T7321" s="121"/>
      <c r="U7321" s="120"/>
      <c r="V7321" s="123"/>
      <c r="W7321" s="125"/>
      <c r="X7321" s="142" t="s">
        <v>8807</v>
      </c>
      <c r="Y7321" s="143"/>
      <c r="Z7321" s="143"/>
      <c r="AA7321" s="143"/>
      <c r="AB7321" s="144"/>
      <c r="AC7321" s="16" t="s">
        <v>21</v>
      </c>
      <c r="AD7321" s="17" t="s">
        <v>2388</v>
      </c>
      <c r="AE7321" s="145" t="s">
        <v>3641</v>
      </c>
      <c r="AF7321" s="146"/>
      <c r="AG7321" s="146"/>
      <c r="AH7321" s="146"/>
      <c r="AI7321" s="147"/>
      <c r="AJ7321" s="148"/>
      <c r="AK7321" s="143"/>
      <c r="AL7321" s="144"/>
      <c r="AM7321" s="22"/>
      <c r="AN7321" s="149" t="s">
        <v>21802</v>
      </c>
      <c r="AO7321" s="144"/>
      <c r="AP7321" s="148">
        <v>40</v>
      </c>
      <c r="AQ7321" s="144"/>
      <c r="AR7321" s="120"/>
      <c r="AS7321" s="121"/>
      <c r="AT7321" s="120"/>
      <c r="AU7321" s="121"/>
      <c r="AV7321" s="120"/>
      <c r="AW7321" s="121"/>
      <c r="AX7321" s="120"/>
      <c r="AY7321" s="121"/>
      <c r="AZ7321" s="138"/>
    </row>
    <row r="7322" spans="1:52" ht="17.100000000000001" customHeight="1" thickTop="1">
      <c r="A7322" s="109" t="s">
        <v>20688</v>
      </c>
      <c r="B7322" s="28">
        <v>46101</v>
      </c>
      <c r="C7322" s="25">
        <v>1411</v>
      </c>
      <c r="D7322" s="13" t="s">
        <v>4346</v>
      </c>
      <c r="E7322" s="111"/>
      <c r="F7322" s="113" t="s">
        <v>20755</v>
      </c>
      <c r="G7322" s="114"/>
      <c r="H7322" s="115"/>
      <c r="I7322" s="24"/>
      <c r="J7322" s="116">
        <v>3.5</v>
      </c>
      <c r="K7322" s="118">
        <v>978000</v>
      </c>
      <c r="L7322" s="119"/>
      <c r="M7322" s="118">
        <f t="shared" ref="M7322" si="10559">K7322*0.1</f>
        <v>97800</v>
      </c>
      <c r="N7322" s="119"/>
      <c r="O7322" s="118">
        <v>0</v>
      </c>
      <c r="P7322" s="119"/>
      <c r="Q7322" s="118">
        <v>12500</v>
      </c>
      <c r="R7322" s="119"/>
      <c r="S7322" s="118">
        <v>15400</v>
      </c>
      <c r="T7322" s="119"/>
      <c r="U7322" s="118">
        <f t="shared" ref="U7322" si="10560">SUM(K7322:T7323)</f>
        <v>1103700</v>
      </c>
      <c r="V7322" s="122"/>
      <c r="W7322" s="124"/>
      <c r="X7322" s="126" t="s">
        <v>21193</v>
      </c>
      <c r="Y7322" s="127"/>
      <c r="Z7322" s="127"/>
      <c r="AA7322" s="127"/>
      <c r="AB7322" s="128"/>
      <c r="AC7322" s="15" t="s">
        <v>20</v>
      </c>
      <c r="AD7322" s="129"/>
      <c r="AE7322" s="130"/>
      <c r="AF7322" s="130"/>
      <c r="AG7322" s="130"/>
      <c r="AH7322" s="130"/>
      <c r="AI7322" s="131"/>
      <c r="AJ7322" s="132"/>
      <c r="AK7322" s="127"/>
      <c r="AL7322" s="128"/>
      <c r="AM7322" s="21"/>
      <c r="AN7322" s="133">
        <v>46116</v>
      </c>
      <c r="AO7322" s="134"/>
      <c r="AP7322" s="135">
        <v>1295</v>
      </c>
      <c r="AQ7322" s="136"/>
      <c r="AR7322" s="118">
        <v>1200000</v>
      </c>
      <c r="AS7322" s="119"/>
      <c r="AT7322" s="118">
        <f t="shared" ref="AT7322" si="10561">AR7322*0.1</f>
        <v>120000</v>
      </c>
      <c r="AU7322" s="119"/>
      <c r="AV7322" s="118">
        <v>12500</v>
      </c>
      <c r="AW7322" s="119"/>
      <c r="AX7322" s="118">
        <f t="shared" ref="AX7322" si="10562">SUM(AR7322:AW7322)</f>
        <v>1332500</v>
      </c>
      <c r="AY7322" s="119"/>
      <c r="AZ7322" s="137">
        <v>46119</v>
      </c>
    </row>
    <row r="7323" spans="1:52" ht="17.100000000000001" customHeight="1" thickBot="1">
      <c r="A7323" s="110"/>
      <c r="B7323" s="27" t="s">
        <v>2641</v>
      </c>
      <c r="C7323" s="27">
        <v>7095</v>
      </c>
      <c r="D7323" s="14" t="s">
        <v>2040</v>
      </c>
      <c r="E7323" s="112"/>
      <c r="F7323" s="139" t="s">
        <v>20756</v>
      </c>
      <c r="G7323" s="140"/>
      <c r="H7323" s="141"/>
      <c r="I7323" s="26">
        <v>56869</v>
      </c>
      <c r="J7323" s="117"/>
      <c r="K7323" s="120"/>
      <c r="L7323" s="121"/>
      <c r="M7323" s="120"/>
      <c r="N7323" s="121"/>
      <c r="O7323" s="120"/>
      <c r="P7323" s="121"/>
      <c r="Q7323" s="120"/>
      <c r="R7323" s="121"/>
      <c r="S7323" s="120"/>
      <c r="T7323" s="121"/>
      <c r="U7323" s="120"/>
      <c r="V7323" s="123"/>
      <c r="W7323" s="125"/>
      <c r="X7323" s="142" t="s">
        <v>18602</v>
      </c>
      <c r="Y7323" s="143"/>
      <c r="Z7323" s="143"/>
      <c r="AA7323" s="143"/>
      <c r="AB7323" s="144"/>
      <c r="AC7323" s="16" t="s">
        <v>21</v>
      </c>
      <c r="AD7323" s="17" t="s">
        <v>2388</v>
      </c>
      <c r="AE7323" s="145" t="s">
        <v>21367</v>
      </c>
      <c r="AF7323" s="146"/>
      <c r="AG7323" s="146"/>
      <c r="AH7323" s="146"/>
      <c r="AI7323" s="147"/>
      <c r="AJ7323" s="148"/>
      <c r="AK7323" s="143"/>
      <c r="AL7323" s="144"/>
      <c r="AM7323" s="22"/>
      <c r="AN7323" s="149" t="s">
        <v>2511</v>
      </c>
      <c r="AO7323" s="144"/>
      <c r="AP7323" s="148">
        <v>50017</v>
      </c>
      <c r="AQ7323" s="144"/>
      <c r="AR7323" s="120"/>
      <c r="AS7323" s="121"/>
      <c r="AT7323" s="120"/>
      <c r="AU7323" s="121"/>
      <c r="AV7323" s="120"/>
      <c r="AW7323" s="121"/>
      <c r="AX7323" s="120"/>
      <c r="AY7323" s="121"/>
      <c r="AZ7323" s="138"/>
    </row>
    <row r="7324" spans="1:52" ht="17.100000000000001" customHeight="1" thickTop="1">
      <c r="A7324" s="109" t="s">
        <v>20689</v>
      </c>
      <c r="B7324" s="28">
        <v>46101</v>
      </c>
      <c r="C7324" s="25">
        <v>1411</v>
      </c>
      <c r="D7324" s="13" t="s">
        <v>3654</v>
      </c>
      <c r="E7324" s="111"/>
      <c r="F7324" s="113" t="s">
        <v>20757</v>
      </c>
      <c r="G7324" s="114"/>
      <c r="H7324" s="115"/>
      <c r="I7324" s="24"/>
      <c r="J7324" s="116">
        <v>4</v>
      </c>
      <c r="K7324" s="118">
        <v>1076000</v>
      </c>
      <c r="L7324" s="119"/>
      <c r="M7324" s="118">
        <f t="shared" ref="M7324" si="10563">K7324*0.1</f>
        <v>107600</v>
      </c>
      <c r="N7324" s="119"/>
      <c r="O7324" s="118">
        <v>0</v>
      </c>
      <c r="P7324" s="119"/>
      <c r="Q7324" s="118">
        <v>14930</v>
      </c>
      <c r="R7324" s="119"/>
      <c r="S7324" s="118">
        <v>15400</v>
      </c>
      <c r="T7324" s="119"/>
      <c r="U7324" s="118">
        <f t="shared" ref="U7324" si="10564">SUM(K7324:T7325)</f>
        <v>1213930</v>
      </c>
      <c r="V7324" s="122"/>
      <c r="W7324" s="124"/>
      <c r="X7324" s="126" t="s">
        <v>21192</v>
      </c>
      <c r="Y7324" s="127"/>
      <c r="Z7324" s="127"/>
      <c r="AA7324" s="127"/>
      <c r="AB7324" s="128"/>
      <c r="AC7324" s="15" t="s">
        <v>20</v>
      </c>
      <c r="AD7324" s="129"/>
      <c r="AE7324" s="130"/>
      <c r="AF7324" s="130"/>
      <c r="AG7324" s="130"/>
      <c r="AH7324" s="130"/>
      <c r="AI7324" s="131"/>
      <c r="AJ7324" s="132"/>
      <c r="AK7324" s="127"/>
      <c r="AL7324" s="128"/>
      <c r="AM7324" s="21"/>
      <c r="AN7324" s="133">
        <v>46120</v>
      </c>
      <c r="AO7324" s="134"/>
      <c r="AP7324" s="135">
        <v>1012</v>
      </c>
      <c r="AQ7324" s="136"/>
      <c r="AR7324" s="118">
        <v>1120000</v>
      </c>
      <c r="AS7324" s="119"/>
      <c r="AT7324" s="118">
        <f t="shared" ref="AT7324" si="10565">AR7324*0.1</f>
        <v>112000</v>
      </c>
      <c r="AU7324" s="119"/>
      <c r="AV7324" s="118">
        <v>14920</v>
      </c>
      <c r="AW7324" s="119"/>
      <c r="AX7324" s="118">
        <f t="shared" ref="AX7324" si="10566">SUM(AR7324:AW7324)</f>
        <v>1246920</v>
      </c>
      <c r="AY7324" s="119"/>
      <c r="AZ7324" s="137">
        <v>46125</v>
      </c>
    </row>
    <row r="7325" spans="1:52" ht="17.100000000000001" customHeight="1" thickBot="1">
      <c r="A7325" s="110"/>
      <c r="B7325" s="27" t="s">
        <v>2641</v>
      </c>
      <c r="C7325" s="27">
        <v>7135</v>
      </c>
      <c r="D7325" s="14" t="s">
        <v>2601</v>
      </c>
      <c r="E7325" s="112"/>
      <c r="F7325" s="139" t="s">
        <v>20758</v>
      </c>
      <c r="G7325" s="140"/>
      <c r="H7325" s="141"/>
      <c r="I7325" s="26">
        <v>88500</v>
      </c>
      <c r="J7325" s="117"/>
      <c r="K7325" s="120"/>
      <c r="L7325" s="121"/>
      <c r="M7325" s="120"/>
      <c r="N7325" s="121"/>
      <c r="O7325" s="120"/>
      <c r="P7325" s="121"/>
      <c r="Q7325" s="120"/>
      <c r="R7325" s="121"/>
      <c r="S7325" s="120"/>
      <c r="T7325" s="121"/>
      <c r="U7325" s="120"/>
      <c r="V7325" s="123"/>
      <c r="W7325" s="125"/>
      <c r="X7325" s="142" t="s">
        <v>18602</v>
      </c>
      <c r="Y7325" s="143"/>
      <c r="Z7325" s="143"/>
      <c r="AA7325" s="143"/>
      <c r="AB7325" s="144"/>
      <c r="AC7325" s="16" t="s">
        <v>21</v>
      </c>
      <c r="AD7325" s="17" t="s">
        <v>2388</v>
      </c>
      <c r="AE7325" s="145" t="s">
        <v>21292</v>
      </c>
      <c r="AF7325" s="146"/>
      <c r="AG7325" s="146"/>
      <c r="AH7325" s="146"/>
      <c r="AI7325" s="147"/>
      <c r="AJ7325" s="148"/>
      <c r="AK7325" s="143"/>
      <c r="AL7325" s="144"/>
      <c r="AM7325" s="22"/>
      <c r="AN7325" s="149" t="s">
        <v>2794</v>
      </c>
      <c r="AO7325" s="144"/>
      <c r="AP7325" s="148">
        <v>6122</v>
      </c>
      <c r="AQ7325" s="144"/>
      <c r="AR7325" s="120"/>
      <c r="AS7325" s="121"/>
      <c r="AT7325" s="120"/>
      <c r="AU7325" s="121"/>
      <c r="AV7325" s="120"/>
      <c r="AW7325" s="121"/>
      <c r="AX7325" s="120"/>
      <c r="AY7325" s="121"/>
      <c r="AZ7325" s="138"/>
    </row>
    <row r="7326" spans="1:52" ht="17.100000000000001" customHeight="1" thickTop="1">
      <c r="A7326" s="109" t="s">
        <v>20690</v>
      </c>
      <c r="B7326" s="28">
        <v>46101</v>
      </c>
      <c r="C7326" s="25">
        <v>1411</v>
      </c>
      <c r="D7326" s="13" t="s">
        <v>1686</v>
      </c>
      <c r="E7326" s="111"/>
      <c r="F7326" s="113" t="s">
        <v>17252</v>
      </c>
      <c r="G7326" s="114"/>
      <c r="H7326" s="115"/>
      <c r="I7326" s="24"/>
      <c r="J7326" s="116">
        <v>4</v>
      </c>
      <c r="K7326" s="118">
        <v>543000</v>
      </c>
      <c r="L7326" s="119"/>
      <c r="M7326" s="118">
        <f t="shared" ref="M7326" si="10567">K7326*0.1</f>
        <v>54300</v>
      </c>
      <c r="N7326" s="119"/>
      <c r="O7326" s="118">
        <v>0</v>
      </c>
      <c r="P7326" s="119"/>
      <c r="Q7326" s="118">
        <v>9790</v>
      </c>
      <c r="R7326" s="119"/>
      <c r="S7326" s="118">
        <v>15400</v>
      </c>
      <c r="T7326" s="119"/>
      <c r="U7326" s="118">
        <f t="shared" ref="U7326" si="10568">SUM(K7326:T7327)</f>
        <v>622490</v>
      </c>
      <c r="V7326" s="122"/>
      <c r="W7326" s="124"/>
      <c r="X7326" s="126" t="s">
        <v>21191</v>
      </c>
      <c r="Y7326" s="127"/>
      <c r="Z7326" s="127"/>
      <c r="AA7326" s="127"/>
      <c r="AB7326" s="128"/>
      <c r="AC7326" s="15" t="s">
        <v>20</v>
      </c>
      <c r="AD7326" s="129"/>
      <c r="AE7326" s="130"/>
      <c r="AF7326" s="130"/>
      <c r="AG7326" s="130"/>
      <c r="AH7326" s="130"/>
      <c r="AI7326" s="131"/>
      <c r="AJ7326" s="132"/>
      <c r="AK7326" s="127"/>
      <c r="AL7326" s="128"/>
      <c r="AM7326" s="21"/>
      <c r="AN7326" s="133">
        <v>46120</v>
      </c>
      <c r="AO7326" s="134"/>
      <c r="AP7326" s="135">
        <v>1012</v>
      </c>
      <c r="AQ7326" s="136"/>
      <c r="AR7326" s="118">
        <v>615000</v>
      </c>
      <c r="AS7326" s="119"/>
      <c r="AT7326" s="118">
        <f t="shared" ref="AT7326" si="10569">AR7326*0.1</f>
        <v>61500</v>
      </c>
      <c r="AU7326" s="119"/>
      <c r="AV7326" s="118">
        <v>9790</v>
      </c>
      <c r="AW7326" s="119"/>
      <c r="AX7326" s="118">
        <f t="shared" ref="AX7326" si="10570">SUM(AR7326:AW7326)</f>
        <v>686290</v>
      </c>
      <c r="AY7326" s="119"/>
      <c r="AZ7326" s="137">
        <v>46125</v>
      </c>
    </row>
    <row r="7327" spans="1:52" ht="17.100000000000001" customHeight="1" thickBot="1">
      <c r="A7327" s="110"/>
      <c r="B7327" s="27" t="s">
        <v>2641</v>
      </c>
      <c r="C7327" s="27">
        <v>9003</v>
      </c>
      <c r="D7327" s="14" t="s">
        <v>275</v>
      </c>
      <c r="E7327" s="112"/>
      <c r="F7327" s="139" t="s">
        <v>20759</v>
      </c>
      <c r="G7327" s="140"/>
      <c r="H7327" s="141"/>
      <c r="I7327" s="26">
        <v>78616</v>
      </c>
      <c r="J7327" s="117"/>
      <c r="K7327" s="120"/>
      <c r="L7327" s="121"/>
      <c r="M7327" s="120"/>
      <c r="N7327" s="121"/>
      <c r="O7327" s="120"/>
      <c r="P7327" s="121"/>
      <c r="Q7327" s="120"/>
      <c r="R7327" s="121"/>
      <c r="S7327" s="120"/>
      <c r="T7327" s="121"/>
      <c r="U7327" s="120"/>
      <c r="V7327" s="123"/>
      <c r="W7327" s="125"/>
      <c r="X7327" s="142" t="s">
        <v>1997</v>
      </c>
      <c r="Y7327" s="143"/>
      <c r="Z7327" s="143"/>
      <c r="AA7327" s="143"/>
      <c r="AB7327" s="144"/>
      <c r="AC7327" s="16" t="s">
        <v>21</v>
      </c>
      <c r="AD7327" s="17" t="s">
        <v>2388</v>
      </c>
      <c r="AE7327" s="145"/>
      <c r="AF7327" s="146"/>
      <c r="AG7327" s="146"/>
      <c r="AH7327" s="146"/>
      <c r="AI7327" s="147"/>
      <c r="AJ7327" s="148"/>
      <c r="AK7327" s="143"/>
      <c r="AL7327" s="144"/>
      <c r="AM7327" s="22"/>
      <c r="AN7327" s="149" t="s">
        <v>2794</v>
      </c>
      <c r="AO7327" s="144"/>
      <c r="AP7327" s="148">
        <v>2045</v>
      </c>
      <c r="AQ7327" s="144"/>
      <c r="AR7327" s="120"/>
      <c r="AS7327" s="121"/>
      <c r="AT7327" s="120"/>
      <c r="AU7327" s="121"/>
      <c r="AV7327" s="120"/>
      <c r="AW7327" s="121"/>
      <c r="AX7327" s="120"/>
      <c r="AY7327" s="121"/>
      <c r="AZ7327" s="138"/>
    </row>
    <row r="7328" spans="1:52" ht="17.100000000000001" customHeight="1" thickTop="1">
      <c r="A7328" s="109" t="s">
        <v>20691</v>
      </c>
      <c r="B7328" s="28">
        <v>46101</v>
      </c>
      <c r="C7328" s="25">
        <v>1411</v>
      </c>
      <c r="D7328" s="13" t="s">
        <v>3832</v>
      </c>
      <c r="E7328" s="111"/>
      <c r="F7328" s="113" t="s">
        <v>20760</v>
      </c>
      <c r="G7328" s="114"/>
      <c r="H7328" s="115"/>
      <c r="I7328" s="24" t="s">
        <v>10271</v>
      </c>
      <c r="J7328" s="150" t="s">
        <v>1715</v>
      </c>
      <c r="K7328" s="118">
        <v>451000</v>
      </c>
      <c r="L7328" s="119"/>
      <c r="M7328" s="118">
        <f t="shared" ref="M7328" si="10571">K7328*0.1</f>
        <v>45100</v>
      </c>
      <c r="N7328" s="119"/>
      <c r="O7328" s="118">
        <v>0</v>
      </c>
      <c r="P7328" s="119"/>
      <c r="Q7328" s="118">
        <v>6230</v>
      </c>
      <c r="R7328" s="119"/>
      <c r="S7328" s="118">
        <v>15400</v>
      </c>
      <c r="T7328" s="119"/>
      <c r="U7328" s="118">
        <f t="shared" ref="U7328" si="10572">SUM(K7328:T7329)</f>
        <v>517730</v>
      </c>
      <c r="V7328" s="122"/>
      <c r="W7328" s="124"/>
      <c r="X7328" s="126" t="s">
        <v>21165</v>
      </c>
      <c r="Y7328" s="127"/>
      <c r="Z7328" s="127"/>
      <c r="AA7328" s="127"/>
      <c r="AB7328" s="128"/>
      <c r="AC7328" s="15" t="s">
        <v>20</v>
      </c>
      <c r="AD7328" s="129"/>
      <c r="AE7328" s="130"/>
      <c r="AF7328" s="130"/>
      <c r="AG7328" s="130"/>
      <c r="AH7328" s="130"/>
      <c r="AI7328" s="131"/>
      <c r="AJ7328" s="132"/>
      <c r="AK7328" s="127"/>
      <c r="AL7328" s="128"/>
      <c r="AM7328" s="21"/>
      <c r="AN7328" s="133">
        <v>46106</v>
      </c>
      <c r="AO7328" s="134"/>
      <c r="AP7328" s="135">
        <v>1010</v>
      </c>
      <c r="AQ7328" s="136"/>
      <c r="AR7328" s="118">
        <v>530000</v>
      </c>
      <c r="AS7328" s="119"/>
      <c r="AT7328" s="118">
        <f t="shared" ref="AT7328" si="10573">AR7328*0.1</f>
        <v>53000</v>
      </c>
      <c r="AU7328" s="119"/>
      <c r="AV7328" s="118">
        <v>6230</v>
      </c>
      <c r="AW7328" s="119"/>
      <c r="AX7328" s="118">
        <f t="shared" ref="AX7328" si="10574">SUM(AR7328:AW7328)</f>
        <v>589230</v>
      </c>
      <c r="AY7328" s="119"/>
      <c r="AZ7328" s="137">
        <v>46111</v>
      </c>
    </row>
    <row r="7329" spans="1:52" ht="17.100000000000001" customHeight="1" thickBot="1">
      <c r="A7329" s="110"/>
      <c r="B7329" s="27" t="s">
        <v>2641</v>
      </c>
      <c r="C7329" s="27">
        <v>9008</v>
      </c>
      <c r="D7329" s="14" t="s">
        <v>1592</v>
      </c>
      <c r="E7329" s="112"/>
      <c r="F7329" s="139" t="s">
        <v>20761</v>
      </c>
      <c r="G7329" s="140"/>
      <c r="H7329" s="141"/>
      <c r="I7329" s="26">
        <v>27985</v>
      </c>
      <c r="J7329" s="117"/>
      <c r="K7329" s="120"/>
      <c r="L7329" s="121"/>
      <c r="M7329" s="120"/>
      <c r="N7329" s="121"/>
      <c r="O7329" s="120"/>
      <c r="P7329" s="121"/>
      <c r="Q7329" s="120"/>
      <c r="R7329" s="121"/>
      <c r="S7329" s="120"/>
      <c r="T7329" s="121"/>
      <c r="U7329" s="120"/>
      <c r="V7329" s="123"/>
      <c r="W7329" s="125"/>
      <c r="X7329" s="142" t="s">
        <v>21166</v>
      </c>
      <c r="Y7329" s="143"/>
      <c r="Z7329" s="143"/>
      <c r="AA7329" s="143"/>
      <c r="AB7329" s="144"/>
      <c r="AC7329" s="16" t="s">
        <v>21</v>
      </c>
      <c r="AD7329" s="17" t="s">
        <v>2388</v>
      </c>
      <c r="AE7329" s="145" t="s">
        <v>2269</v>
      </c>
      <c r="AF7329" s="146"/>
      <c r="AG7329" s="146"/>
      <c r="AH7329" s="146"/>
      <c r="AI7329" s="147"/>
      <c r="AJ7329" s="148"/>
      <c r="AK7329" s="143"/>
      <c r="AL7329" s="144"/>
      <c r="AM7329" s="22"/>
      <c r="AN7329" s="149" t="s">
        <v>2794</v>
      </c>
      <c r="AO7329" s="144"/>
      <c r="AP7329" s="148">
        <v>5233</v>
      </c>
      <c r="AQ7329" s="144"/>
      <c r="AR7329" s="120"/>
      <c r="AS7329" s="121"/>
      <c r="AT7329" s="120"/>
      <c r="AU7329" s="121"/>
      <c r="AV7329" s="120"/>
      <c r="AW7329" s="121"/>
      <c r="AX7329" s="120"/>
      <c r="AY7329" s="121"/>
      <c r="AZ7329" s="138"/>
    </row>
    <row r="7330" spans="1:52" ht="17.100000000000001" customHeight="1" thickTop="1">
      <c r="A7330" s="109" t="s">
        <v>20692</v>
      </c>
      <c r="B7330" s="28">
        <v>46101</v>
      </c>
      <c r="C7330" s="25">
        <v>1411</v>
      </c>
      <c r="D7330" s="13" t="s">
        <v>2157</v>
      </c>
      <c r="E7330" s="111"/>
      <c r="F7330" s="113" t="s">
        <v>20762</v>
      </c>
      <c r="G7330" s="114"/>
      <c r="H7330" s="115"/>
      <c r="I7330" s="24" t="s">
        <v>19674</v>
      </c>
      <c r="J7330" s="116">
        <v>4</v>
      </c>
      <c r="K7330" s="118">
        <v>274000</v>
      </c>
      <c r="L7330" s="119"/>
      <c r="M7330" s="118">
        <f t="shared" ref="M7330" si="10575">K7330*0.1</f>
        <v>27400</v>
      </c>
      <c r="N7330" s="119"/>
      <c r="O7330" s="118">
        <v>7200</v>
      </c>
      <c r="P7330" s="119"/>
      <c r="Q7330" s="118">
        <v>8140</v>
      </c>
      <c r="R7330" s="119"/>
      <c r="S7330" s="118">
        <v>15400</v>
      </c>
      <c r="T7330" s="119"/>
      <c r="U7330" s="118">
        <f t="shared" ref="U7330" si="10576">SUM(K7330:T7331)</f>
        <v>332140</v>
      </c>
      <c r="V7330" s="122"/>
      <c r="W7330" s="124"/>
      <c r="X7330" s="126" t="s">
        <v>21847</v>
      </c>
      <c r="Y7330" s="127"/>
      <c r="Z7330" s="127"/>
      <c r="AA7330" s="127"/>
      <c r="AB7330" s="128"/>
      <c r="AC7330" s="15" t="s">
        <v>20</v>
      </c>
      <c r="AD7330" s="129" t="s">
        <v>3896</v>
      </c>
      <c r="AE7330" s="130"/>
      <c r="AF7330" s="130"/>
      <c r="AG7330" s="130"/>
      <c r="AH7330" s="130"/>
      <c r="AI7330" s="131"/>
      <c r="AJ7330" s="132"/>
      <c r="AK7330" s="127"/>
      <c r="AL7330" s="128"/>
      <c r="AM7330" s="21"/>
      <c r="AN7330" s="133">
        <v>46109</v>
      </c>
      <c r="AO7330" s="134"/>
      <c r="AP7330" s="135">
        <v>1294</v>
      </c>
      <c r="AQ7330" s="136"/>
      <c r="AR7330" s="118">
        <v>440000</v>
      </c>
      <c r="AS7330" s="119"/>
      <c r="AT7330" s="118">
        <f t="shared" ref="AT7330" si="10577">AR7330*0.1</f>
        <v>44000</v>
      </c>
      <c r="AU7330" s="119"/>
      <c r="AV7330" s="118">
        <v>8140</v>
      </c>
      <c r="AW7330" s="119"/>
      <c r="AX7330" s="118">
        <f t="shared" ref="AX7330" si="10578">SUM(AR7330:AW7330)</f>
        <v>492140</v>
      </c>
      <c r="AY7330" s="119"/>
      <c r="AZ7330" s="137">
        <v>46118</v>
      </c>
    </row>
    <row r="7331" spans="1:52" ht="17.100000000000001" customHeight="1" thickBot="1">
      <c r="A7331" s="110"/>
      <c r="B7331" s="27" t="s">
        <v>2641</v>
      </c>
      <c r="C7331" s="27">
        <v>9106</v>
      </c>
      <c r="D7331" s="14" t="s">
        <v>3809</v>
      </c>
      <c r="E7331" s="112"/>
      <c r="F7331" s="139" t="s">
        <v>20763</v>
      </c>
      <c r="G7331" s="140"/>
      <c r="H7331" s="141"/>
      <c r="I7331" s="26">
        <v>36879</v>
      </c>
      <c r="J7331" s="117"/>
      <c r="K7331" s="120"/>
      <c r="L7331" s="121"/>
      <c r="M7331" s="120"/>
      <c r="N7331" s="121"/>
      <c r="O7331" s="120"/>
      <c r="P7331" s="121"/>
      <c r="Q7331" s="120"/>
      <c r="R7331" s="121"/>
      <c r="S7331" s="120"/>
      <c r="T7331" s="121"/>
      <c r="U7331" s="120"/>
      <c r="V7331" s="123"/>
      <c r="W7331" s="125"/>
      <c r="X7331" s="142" t="s">
        <v>8904</v>
      </c>
      <c r="Y7331" s="143"/>
      <c r="Z7331" s="143"/>
      <c r="AA7331" s="143"/>
      <c r="AB7331" s="144"/>
      <c r="AC7331" s="16" t="s">
        <v>21</v>
      </c>
      <c r="AD7331" s="17" t="s">
        <v>1642</v>
      </c>
      <c r="AE7331" s="145" t="s">
        <v>19219</v>
      </c>
      <c r="AF7331" s="146"/>
      <c r="AG7331" s="146"/>
      <c r="AH7331" s="146"/>
      <c r="AI7331" s="147"/>
      <c r="AJ7331" s="148"/>
      <c r="AK7331" s="143"/>
      <c r="AL7331" s="144"/>
      <c r="AM7331" s="22"/>
      <c r="AN7331" s="149" t="s">
        <v>6748</v>
      </c>
      <c r="AO7331" s="144"/>
      <c r="AP7331" s="148">
        <v>60517</v>
      </c>
      <c r="AQ7331" s="144"/>
      <c r="AR7331" s="120"/>
      <c r="AS7331" s="121"/>
      <c r="AT7331" s="120"/>
      <c r="AU7331" s="121"/>
      <c r="AV7331" s="120"/>
      <c r="AW7331" s="121"/>
      <c r="AX7331" s="120"/>
      <c r="AY7331" s="121"/>
      <c r="AZ7331" s="138"/>
    </row>
    <row r="7332" spans="1:52" ht="17.100000000000001" customHeight="1" thickTop="1">
      <c r="A7332" s="109" t="s">
        <v>20721</v>
      </c>
      <c r="B7332" s="28">
        <v>46101</v>
      </c>
      <c r="C7332" s="25">
        <v>1411</v>
      </c>
      <c r="D7332" s="13" t="s">
        <v>2970</v>
      </c>
      <c r="E7332" s="111"/>
      <c r="F7332" s="113" t="s">
        <v>15204</v>
      </c>
      <c r="G7332" s="114"/>
      <c r="H7332" s="115"/>
      <c r="I7332" s="24"/>
      <c r="J7332" s="150" t="s">
        <v>1715</v>
      </c>
      <c r="K7332" s="118">
        <v>325000</v>
      </c>
      <c r="L7332" s="119"/>
      <c r="M7332" s="118">
        <f t="shared" ref="M7332" si="10579">K7332*0.1</f>
        <v>32500</v>
      </c>
      <c r="N7332" s="119"/>
      <c r="O7332" s="118">
        <v>0</v>
      </c>
      <c r="P7332" s="119"/>
      <c r="Q7332" s="118">
        <v>5340</v>
      </c>
      <c r="R7332" s="119"/>
      <c r="S7332" s="118">
        <v>15400</v>
      </c>
      <c r="T7332" s="119"/>
      <c r="U7332" s="118">
        <f t="shared" ref="U7332" si="10580">SUM(K7332:T7333)</f>
        <v>378240</v>
      </c>
      <c r="V7332" s="122"/>
      <c r="W7332" s="124"/>
      <c r="X7332" s="126" t="s">
        <v>21846</v>
      </c>
      <c r="Y7332" s="127"/>
      <c r="Z7332" s="127"/>
      <c r="AA7332" s="127"/>
      <c r="AB7332" s="128"/>
      <c r="AC7332" s="15" t="s">
        <v>20</v>
      </c>
      <c r="AD7332" s="129"/>
      <c r="AE7332" s="130"/>
      <c r="AF7332" s="130"/>
      <c r="AG7332" s="130"/>
      <c r="AH7332" s="130"/>
      <c r="AI7332" s="131"/>
      <c r="AJ7332" s="132"/>
      <c r="AK7332" s="127"/>
      <c r="AL7332" s="128"/>
      <c r="AM7332" s="21"/>
      <c r="AN7332" s="133">
        <v>46109</v>
      </c>
      <c r="AO7332" s="134"/>
      <c r="AP7332" s="135">
        <v>1294</v>
      </c>
      <c r="AQ7332" s="136"/>
      <c r="AR7332" s="118">
        <v>455000</v>
      </c>
      <c r="AS7332" s="119"/>
      <c r="AT7332" s="118">
        <f t="shared" ref="AT7332" si="10581">AR7332*0.1</f>
        <v>45500</v>
      </c>
      <c r="AU7332" s="119"/>
      <c r="AV7332" s="118">
        <v>5340</v>
      </c>
      <c r="AW7332" s="119"/>
      <c r="AX7332" s="118">
        <f t="shared" ref="AX7332" si="10582">SUM(AR7332:AW7332)</f>
        <v>505840</v>
      </c>
      <c r="AY7332" s="119"/>
      <c r="AZ7332" s="137">
        <v>46118</v>
      </c>
    </row>
    <row r="7333" spans="1:52" ht="17.100000000000001" customHeight="1" thickBot="1">
      <c r="A7333" s="110"/>
      <c r="B7333" s="27" t="s">
        <v>2641</v>
      </c>
      <c r="C7333" s="27">
        <v>9130</v>
      </c>
      <c r="D7333" s="14" t="s">
        <v>2800</v>
      </c>
      <c r="E7333" s="112"/>
      <c r="F7333" s="139" t="s">
        <v>20764</v>
      </c>
      <c r="G7333" s="140"/>
      <c r="H7333" s="141"/>
      <c r="I7333" s="26">
        <v>50116</v>
      </c>
      <c r="J7333" s="117"/>
      <c r="K7333" s="120"/>
      <c r="L7333" s="121"/>
      <c r="M7333" s="120"/>
      <c r="N7333" s="121"/>
      <c r="O7333" s="120"/>
      <c r="P7333" s="121"/>
      <c r="Q7333" s="120"/>
      <c r="R7333" s="121"/>
      <c r="S7333" s="120"/>
      <c r="T7333" s="121"/>
      <c r="U7333" s="120"/>
      <c r="V7333" s="123"/>
      <c r="W7333" s="125"/>
      <c r="X7333" s="142" t="s">
        <v>1997</v>
      </c>
      <c r="Y7333" s="143"/>
      <c r="Z7333" s="143"/>
      <c r="AA7333" s="143"/>
      <c r="AB7333" s="144"/>
      <c r="AC7333" s="16" t="s">
        <v>21</v>
      </c>
      <c r="AD7333" s="17" t="s">
        <v>1642</v>
      </c>
      <c r="AE7333" s="145"/>
      <c r="AF7333" s="146"/>
      <c r="AG7333" s="146"/>
      <c r="AH7333" s="146"/>
      <c r="AI7333" s="147"/>
      <c r="AJ7333" s="148"/>
      <c r="AK7333" s="143"/>
      <c r="AL7333" s="144"/>
      <c r="AM7333" s="22"/>
      <c r="AN7333" s="149" t="s">
        <v>21802</v>
      </c>
      <c r="AO7333" s="144"/>
      <c r="AP7333" s="148">
        <v>60522</v>
      </c>
      <c r="AQ7333" s="144"/>
      <c r="AR7333" s="120"/>
      <c r="AS7333" s="121"/>
      <c r="AT7333" s="120"/>
      <c r="AU7333" s="121"/>
      <c r="AV7333" s="120"/>
      <c r="AW7333" s="121"/>
      <c r="AX7333" s="120"/>
      <c r="AY7333" s="121"/>
      <c r="AZ7333" s="138"/>
    </row>
    <row r="7334" spans="1:52" ht="17.100000000000001" customHeight="1" thickTop="1">
      <c r="A7334" s="109" t="s">
        <v>20722</v>
      </c>
      <c r="B7334" s="28">
        <v>46101</v>
      </c>
      <c r="C7334" s="25">
        <v>1411</v>
      </c>
      <c r="D7334" s="13" t="s">
        <v>2157</v>
      </c>
      <c r="E7334" s="111"/>
      <c r="F7334" s="113" t="s">
        <v>15166</v>
      </c>
      <c r="G7334" s="114"/>
      <c r="H7334" s="115"/>
      <c r="I7334" s="24" t="s">
        <v>5147</v>
      </c>
      <c r="J7334" s="116">
        <v>3.5</v>
      </c>
      <c r="K7334" s="118">
        <v>268000</v>
      </c>
      <c r="L7334" s="119"/>
      <c r="M7334" s="118">
        <f t="shared" ref="M7334" si="10583">K7334*0.1</f>
        <v>26800</v>
      </c>
      <c r="N7334" s="119"/>
      <c r="O7334" s="118">
        <v>45000</v>
      </c>
      <c r="P7334" s="119"/>
      <c r="Q7334" s="118">
        <v>15740</v>
      </c>
      <c r="R7334" s="119"/>
      <c r="S7334" s="118">
        <v>15400</v>
      </c>
      <c r="T7334" s="119"/>
      <c r="U7334" s="118">
        <f t="shared" ref="U7334" si="10584">SUM(K7334:T7335)</f>
        <v>370940</v>
      </c>
      <c r="V7334" s="122"/>
      <c r="W7334" s="124"/>
      <c r="X7334" s="126" t="s">
        <v>21197</v>
      </c>
      <c r="Y7334" s="127"/>
      <c r="Z7334" s="127"/>
      <c r="AA7334" s="127"/>
      <c r="AB7334" s="128"/>
      <c r="AC7334" s="15" t="s">
        <v>20</v>
      </c>
      <c r="AD7334" s="129"/>
      <c r="AE7334" s="130"/>
      <c r="AF7334" s="130"/>
      <c r="AG7334" s="130"/>
      <c r="AH7334" s="130"/>
      <c r="AI7334" s="131"/>
      <c r="AJ7334" s="132"/>
      <c r="AK7334" s="127"/>
      <c r="AL7334" s="128"/>
      <c r="AM7334" s="21" t="s">
        <v>22957</v>
      </c>
      <c r="AN7334" s="133">
        <v>46130</v>
      </c>
      <c r="AO7334" s="134"/>
      <c r="AP7334" s="135">
        <v>1297</v>
      </c>
      <c r="AQ7334" s="136"/>
      <c r="AR7334" s="118">
        <v>345000</v>
      </c>
      <c r="AS7334" s="119"/>
      <c r="AT7334" s="118">
        <f t="shared" ref="AT7334" si="10585">AR7334*0.1</f>
        <v>34500</v>
      </c>
      <c r="AU7334" s="119"/>
      <c r="AV7334" s="118">
        <v>15740</v>
      </c>
      <c r="AW7334" s="119"/>
      <c r="AX7334" s="118">
        <f t="shared" ref="AX7334" si="10586">SUM(AR7334:AW7334)</f>
        <v>395240</v>
      </c>
      <c r="AY7334" s="119"/>
      <c r="AZ7334" s="137">
        <v>46133</v>
      </c>
    </row>
    <row r="7335" spans="1:52" ht="17.100000000000001" customHeight="1" thickBot="1">
      <c r="A7335" s="110"/>
      <c r="B7335" s="27" t="s">
        <v>2641</v>
      </c>
      <c r="C7335" s="27">
        <v>9140</v>
      </c>
      <c r="D7335" s="14" t="s">
        <v>275</v>
      </c>
      <c r="E7335" s="112"/>
      <c r="F7335" s="139" t="s">
        <v>20765</v>
      </c>
      <c r="G7335" s="140"/>
      <c r="H7335" s="141"/>
      <c r="I7335" s="26">
        <v>142737</v>
      </c>
      <c r="J7335" s="117"/>
      <c r="K7335" s="120"/>
      <c r="L7335" s="121"/>
      <c r="M7335" s="120"/>
      <c r="N7335" s="121"/>
      <c r="O7335" s="120"/>
      <c r="P7335" s="121"/>
      <c r="Q7335" s="120"/>
      <c r="R7335" s="121"/>
      <c r="S7335" s="120"/>
      <c r="T7335" s="121"/>
      <c r="U7335" s="120"/>
      <c r="V7335" s="123"/>
      <c r="W7335" s="125"/>
      <c r="X7335" s="142" t="s">
        <v>2321</v>
      </c>
      <c r="Y7335" s="143"/>
      <c r="Z7335" s="143"/>
      <c r="AA7335" s="143"/>
      <c r="AB7335" s="144"/>
      <c r="AC7335" s="16" t="s">
        <v>21</v>
      </c>
      <c r="AD7335" s="17" t="s">
        <v>2388</v>
      </c>
      <c r="AE7335" s="145" t="s">
        <v>21365</v>
      </c>
      <c r="AF7335" s="146"/>
      <c r="AG7335" s="146"/>
      <c r="AH7335" s="146"/>
      <c r="AI7335" s="147"/>
      <c r="AJ7335" s="148"/>
      <c r="AK7335" s="143"/>
      <c r="AL7335" s="144"/>
      <c r="AM7335" s="22"/>
      <c r="AN7335" s="149" t="s">
        <v>2511</v>
      </c>
      <c r="AO7335" s="144"/>
      <c r="AP7335" s="148">
        <v>50280</v>
      </c>
      <c r="AQ7335" s="144"/>
      <c r="AR7335" s="120"/>
      <c r="AS7335" s="121"/>
      <c r="AT7335" s="120"/>
      <c r="AU7335" s="121"/>
      <c r="AV7335" s="120"/>
      <c r="AW7335" s="121"/>
      <c r="AX7335" s="120"/>
      <c r="AY7335" s="121"/>
      <c r="AZ7335" s="138"/>
    </row>
    <row r="7336" spans="1:52" ht="17.100000000000001" customHeight="1" thickTop="1">
      <c r="A7336" s="109" t="s">
        <v>20723</v>
      </c>
      <c r="B7336" s="28">
        <v>46101</v>
      </c>
      <c r="C7336" s="25">
        <v>1411</v>
      </c>
      <c r="D7336" s="13" t="s">
        <v>1623</v>
      </c>
      <c r="E7336" s="111"/>
      <c r="F7336" s="113" t="s">
        <v>20766</v>
      </c>
      <c r="G7336" s="114"/>
      <c r="H7336" s="115"/>
      <c r="I7336" s="24" t="s">
        <v>4123</v>
      </c>
      <c r="J7336" s="116">
        <v>3.5</v>
      </c>
      <c r="K7336" s="118">
        <v>148000</v>
      </c>
      <c r="L7336" s="119"/>
      <c r="M7336" s="118">
        <f t="shared" ref="M7336" si="10587">K7336*0.1</f>
        <v>14800</v>
      </c>
      <c r="N7336" s="119"/>
      <c r="O7336" s="118">
        <v>7200</v>
      </c>
      <c r="P7336" s="119"/>
      <c r="Q7336" s="118">
        <v>8490</v>
      </c>
      <c r="R7336" s="119"/>
      <c r="S7336" s="118">
        <v>15400</v>
      </c>
      <c r="T7336" s="119"/>
      <c r="U7336" s="118">
        <f t="shared" ref="U7336" si="10588">SUM(K7336:T7337)</f>
        <v>193890</v>
      </c>
      <c r="V7336" s="122"/>
      <c r="W7336" s="124"/>
      <c r="X7336" s="126" t="s">
        <v>21260</v>
      </c>
      <c r="Y7336" s="127"/>
      <c r="Z7336" s="127"/>
      <c r="AA7336" s="127"/>
      <c r="AB7336" s="128"/>
      <c r="AC7336" s="15" t="s">
        <v>20</v>
      </c>
      <c r="AD7336" s="129"/>
      <c r="AE7336" s="130"/>
      <c r="AF7336" s="130"/>
      <c r="AG7336" s="130"/>
      <c r="AH7336" s="130"/>
      <c r="AI7336" s="131"/>
      <c r="AJ7336" s="132"/>
      <c r="AK7336" s="127"/>
      <c r="AL7336" s="128"/>
      <c r="AM7336" s="21" t="s">
        <v>22269</v>
      </c>
      <c r="AN7336" s="133">
        <v>46116</v>
      </c>
      <c r="AO7336" s="134"/>
      <c r="AP7336" s="135">
        <v>1295</v>
      </c>
      <c r="AQ7336" s="136"/>
      <c r="AR7336" s="118">
        <v>220000</v>
      </c>
      <c r="AS7336" s="119"/>
      <c r="AT7336" s="118">
        <f t="shared" ref="AT7336" si="10589">AR7336*0.1</f>
        <v>22000</v>
      </c>
      <c r="AU7336" s="119"/>
      <c r="AV7336" s="118">
        <v>8490</v>
      </c>
      <c r="AW7336" s="119"/>
      <c r="AX7336" s="118">
        <f t="shared" ref="AX7336" si="10590">SUM(AR7336:AW7336)</f>
        <v>250490</v>
      </c>
      <c r="AY7336" s="119"/>
      <c r="AZ7336" s="137">
        <v>46121</v>
      </c>
    </row>
    <row r="7337" spans="1:52" ht="17.100000000000001" customHeight="1" thickBot="1">
      <c r="A7337" s="110"/>
      <c r="B7337" s="27" t="s">
        <v>2641</v>
      </c>
      <c r="C7337" s="27">
        <v>9379</v>
      </c>
      <c r="D7337" s="14" t="s">
        <v>1635</v>
      </c>
      <c r="E7337" s="112"/>
      <c r="F7337" s="139" t="s">
        <v>20767</v>
      </c>
      <c r="G7337" s="140"/>
      <c r="H7337" s="141"/>
      <c r="I7337" s="26">
        <v>55694</v>
      </c>
      <c r="J7337" s="117"/>
      <c r="K7337" s="120"/>
      <c r="L7337" s="121"/>
      <c r="M7337" s="120"/>
      <c r="N7337" s="121"/>
      <c r="O7337" s="120"/>
      <c r="P7337" s="121"/>
      <c r="Q7337" s="120"/>
      <c r="R7337" s="121"/>
      <c r="S7337" s="120"/>
      <c r="T7337" s="121"/>
      <c r="U7337" s="120"/>
      <c r="V7337" s="123"/>
      <c r="W7337" s="125"/>
      <c r="X7337" s="142" t="s">
        <v>21261</v>
      </c>
      <c r="Y7337" s="143"/>
      <c r="Z7337" s="143"/>
      <c r="AA7337" s="143"/>
      <c r="AB7337" s="144"/>
      <c r="AC7337" s="16" t="s">
        <v>21</v>
      </c>
      <c r="AD7337" s="17" t="s">
        <v>21230</v>
      </c>
      <c r="AE7337" s="145" t="s">
        <v>4807</v>
      </c>
      <c r="AF7337" s="146"/>
      <c r="AG7337" s="146"/>
      <c r="AH7337" s="146"/>
      <c r="AI7337" s="147"/>
      <c r="AJ7337" s="148"/>
      <c r="AK7337" s="143"/>
      <c r="AL7337" s="144"/>
      <c r="AM7337" s="22"/>
      <c r="AN7337" s="149" t="s">
        <v>2511</v>
      </c>
      <c r="AO7337" s="144"/>
      <c r="AP7337" s="148">
        <v>60482</v>
      </c>
      <c r="AQ7337" s="144"/>
      <c r="AR7337" s="120"/>
      <c r="AS7337" s="121"/>
      <c r="AT7337" s="120"/>
      <c r="AU7337" s="121"/>
      <c r="AV7337" s="120"/>
      <c r="AW7337" s="121"/>
      <c r="AX7337" s="120"/>
      <c r="AY7337" s="121"/>
      <c r="AZ7337" s="138"/>
    </row>
    <row r="7338" spans="1:52" ht="17.100000000000001" customHeight="1" thickTop="1">
      <c r="A7338" s="109" t="s">
        <v>20724</v>
      </c>
      <c r="B7338" s="28">
        <v>46101</v>
      </c>
      <c r="C7338" s="25">
        <v>1411</v>
      </c>
      <c r="D7338" s="13" t="s">
        <v>1712</v>
      </c>
      <c r="E7338" s="111"/>
      <c r="F7338" s="113" t="s">
        <v>20768</v>
      </c>
      <c r="G7338" s="114"/>
      <c r="H7338" s="115"/>
      <c r="I7338" s="24"/>
      <c r="J7338" s="116">
        <v>4</v>
      </c>
      <c r="K7338" s="118">
        <v>445000</v>
      </c>
      <c r="L7338" s="119"/>
      <c r="M7338" s="118">
        <f t="shared" ref="M7338" si="10591">K7338*0.1</f>
        <v>44500</v>
      </c>
      <c r="N7338" s="119"/>
      <c r="O7338" s="118">
        <v>0</v>
      </c>
      <c r="P7338" s="119"/>
      <c r="Q7338" s="118">
        <v>9790</v>
      </c>
      <c r="R7338" s="119"/>
      <c r="S7338" s="118">
        <v>15400</v>
      </c>
      <c r="T7338" s="119"/>
      <c r="U7338" s="118">
        <f t="shared" ref="U7338" si="10592">SUM(K7338:T7339)</f>
        <v>514690</v>
      </c>
      <c r="V7338" s="122"/>
      <c r="W7338" s="124"/>
      <c r="X7338" s="126" t="s">
        <v>21690</v>
      </c>
      <c r="Y7338" s="127"/>
      <c r="Z7338" s="127"/>
      <c r="AA7338" s="127"/>
      <c r="AB7338" s="128"/>
      <c r="AC7338" s="15" t="s">
        <v>20</v>
      </c>
      <c r="AD7338" s="129"/>
      <c r="AE7338" s="130"/>
      <c r="AF7338" s="130"/>
      <c r="AG7338" s="130"/>
      <c r="AH7338" s="130"/>
      <c r="AI7338" s="131"/>
      <c r="AJ7338" s="132"/>
      <c r="AK7338" s="127"/>
      <c r="AL7338" s="128"/>
      <c r="AM7338" s="21"/>
      <c r="AN7338" s="133">
        <v>46109</v>
      </c>
      <c r="AO7338" s="134"/>
      <c r="AP7338" s="135">
        <v>1294</v>
      </c>
      <c r="AQ7338" s="136"/>
      <c r="AR7338" s="118">
        <v>500000</v>
      </c>
      <c r="AS7338" s="119"/>
      <c r="AT7338" s="118">
        <f t="shared" ref="AT7338" si="10593">AR7338*0.1</f>
        <v>50000</v>
      </c>
      <c r="AU7338" s="119"/>
      <c r="AV7338" s="118">
        <v>9790</v>
      </c>
      <c r="AW7338" s="119"/>
      <c r="AX7338" s="118">
        <f t="shared" ref="AX7338" si="10594">SUM(AR7338:AW7338)</f>
        <v>559790</v>
      </c>
      <c r="AY7338" s="119"/>
      <c r="AZ7338" s="137">
        <v>46114</v>
      </c>
    </row>
    <row r="7339" spans="1:52" ht="17.100000000000001" customHeight="1" thickBot="1">
      <c r="A7339" s="110"/>
      <c r="B7339" s="27" t="s">
        <v>2641</v>
      </c>
      <c r="C7339" s="27">
        <v>9587</v>
      </c>
      <c r="D7339" s="14" t="s">
        <v>275</v>
      </c>
      <c r="E7339" s="112"/>
      <c r="F7339" s="139" t="s">
        <v>20769</v>
      </c>
      <c r="G7339" s="140"/>
      <c r="H7339" s="141"/>
      <c r="I7339" s="26">
        <v>61356</v>
      </c>
      <c r="J7339" s="117"/>
      <c r="K7339" s="120"/>
      <c r="L7339" s="121"/>
      <c r="M7339" s="120"/>
      <c r="N7339" s="121"/>
      <c r="O7339" s="120"/>
      <c r="P7339" s="121"/>
      <c r="Q7339" s="120"/>
      <c r="R7339" s="121"/>
      <c r="S7339" s="120"/>
      <c r="T7339" s="121"/>
      <c r="U7339" s="120"/>
      <c r="V7339" s="123"/>
      <c r="W7339" s="125"/>
      <c r="X7339" s="142" t="s">
        <v>1997</v>
      </c>
      <c r="Y7339" s="143"/>
      <c r="Z7339" s="143"/>
      <c r="AA7339" s="143"/>
      <c r="AB7339" s="144"/>
      <c r="AC7339" s="16" t="s">
        <v>21</v>
      </c>
      <c r="AD7339" s="17" t="s">
        <v>1918</v>
      </c>
      <c r="AE7339" s="145" t="s">
        <v>21299</v>
      </c>
      <c r="AF7339" s="146"/>
      <c r="AG7339" s="146"/>
      <c r="AH7339" s="146"/>
      <c r="AI7339" s="147"/>
      <c r="AJ7339" s="148"/>
      <c r="AK7339" s="143"/>
      <c r="AL7339" s="144"/>
      <c r="AM7339" s="22"/>
      <c r="AN7339" s="149" t="s">
        <v>21802</v>
      </c>
      <c r="AO7339" s="144"/>
      <c r="AP7339" s="148">
        <v>60263</v>
      </c>
      <c r="AQ7339" s="144"/>
      <c r="AR7339" s="120"/>
      <c r="AS7339" s="121"/>
      <c r="AT7339" s="120"/>
      <c r="AU7339" s="121"/>
      <c r="AV7339" s="120"/>
      <c r="AW7339" s="121"/>
      <c r="AX7339" s="120"/>
      <c r="AY7339" s="121"/>
      <c r="AZ7339" s="138"/>
    </row>
    <row r="7340" spans="1:52" ht="17.100000000000001" customHeight="1" thickTop="1">
      <c r="A7340" s="109" t="s">
        <v>20725</v>
      </c>
      <c r="B7340" s="28">
        <v>46101</v>
      </c>
      <c r="C7340" s="25">
        <v>1411</v>
      </c>
      <c r="D7340" s="13" t="s">
        <v>4107</v>
      </c>
      <c r="E7340" s="111"/>
      <c r="F7340" s="113" t="s">
        <v>7582</v>
      </c>
      <c r="G7340" s="114"/>
      <c r="H7340" s="115"/>
      <c r="I7340" s="24"/>
      <c r="J7340" s="116">
        <v>4</v>
      </c>
      <c r="K7340" s="118">
        <v>33000</v>
      </c>
      <c r="L7340" s="119"/>
      <c r="M7340" s="118">
        <f t="shared" ref="M7340" si="10595">K7340*0.1</f>
        <v>3300</v>
      </c>
      <c r="N7340" s="119"/>
      <c r="O7340" s="118">
        <v>0</v>
      </c>
      <c r="P7340" s="119"/>
      <c r="Q7340" s="118">
        <v>9880</v>
      </c>
      <c r="R7340" s="119"/>
      <c r="S7340" s="118">
        <v>15400</v>
      </c>
      <c r="T7340" s="119"/>
      <c r="U7340" s="118">
        <f t="shared" ref="U7340" si="10596">SUM(K7340:T7341)</f>
        <v>61580</v>
      </c>
      <c r="V7340" s="122"/>
      <c r="W7340" s="124"/>
      <c r="X7340" s="126" t="s">
        <v>21685</v>
      </c>
      <c r="Y7340" s="127"/>
      <c r="Z7340" s="127"/>
      <c r="AA7340" s="127"/>
      <c r="AB7340" s="128"/>
      <c r="AC7340" s="15" t="s">
        <v>20</v>
      </c>
      <c r="AD7340" s="129"/>
      <c r="AE7340" s="130"/>
      <c r="AF7340" s="130"/>
      <c r="AG7340" s="130"/>
      <c r="AH7340" s="130"/>
      <c r="AI7340" s="131"/>
      <c r="AJ7340" s="132"/>
      <c r="AK7340" s="127"/>
      <c r="AL7340" s="128"/>
      <c r="AM7340" s="21"/>
      <c r="AN7340" s="133">
        <v>46144</v>
      </c>
      <c r="AO7340" s="134"/>
      <c r="AP7340" s="135">
        <v>1299</v>
      </c>
      <c r="AQ7340" s="136"/>
      <c r="AR7340" s="118">
        <v>105000</v>
      </c>
      <c r="AS7340" s="119"/>
      <c r="AT7340" s="118">
        <f t="shared" ref="AT7340" si="10597">AR7340*0.1</f>
        <v>10500</v>
      </c>
      <c r="AU7340" s="119"/>
      <c r="AV7340" s="118">
        <v>9880</v>
      </c>
      <c r="AW7340" s="119"/>
      <c r="AX7340" s="118">
        <f t="shared" ref="AX7340" si="10598">SUM(AR7340:AW7340)</f>
        <v>125380</v>
      </c>
      <c r="AY7340" s="119"/>
      <c r="AZ7340" s="137">
        <v>46154</v>
      </c>
    </row>
    <row r="7341" spans="1:52" ht="17.100000000000001" customHeight="1" thickBot="1">
      <c r="A7341" s="110"/>
      <c r="B7341" s="27" t="s">
        <v>2641</v>
      </c>
      <c r="C7341" s="27">
        <v>9593</v>
      </c>
      <c r="D7341" s="14" t="s">
        <v>2601</v>
      </c>
      <c r="E7341" s="112"/>
      <c r="F7341" s="139" t="s">
        <v>20770</v>
      </c>
      <c r="G7341" s="140"/>
      <c r="H7341" s="141"/>
      <c r="I7341" s="26">
        <v>54815</v>
      </c>
      <c r="J7341" s="117"/>
      <c r="K7341" s="120"/>
      <c r="L7341" s="121"/>
      <c r="M7341" s="120"/>
      <c r="N7341" s="121"/>
      <c r="O7341" s="120"/>
      <c r="P7341" s="121"/>
      <c r="Q7341" s="120"/>
      <c r="R7341" s="121"/>
      <c r="S7341" s="120"/>
      <c r="T7341" s="121"/>
      <c r="U7341" s="120"/>
      <c r="V7341" s="123"/>
      <c r="W7341" s="125"/>
      <c r="X7341" s="142" t="s">
        <v>21686</v>
      </c>
      <c r="Y7341" s="143"/>
      <c r="Z7341" s="143"/>
      <c r="AA7341" s="143"/>
      <c r="AB7341" s="144"/>
      <c r="AC7341" s="16" t="s">
        <v>21</v>
      </c>
      <c r="AD7341" s="17" t="s">
        <v>1918</v>
      </c>
      <c r="AE7341" s="145" t="s">
        <v>171</v>
      </c>
      <c r="AF7341" s="146"/>
      <c r="AG7341" s="146"/>
      <c r="AH7341" s="146"/>
      <c r="AI7341" s="147"/>
      <c r="AJ7341" s="148"/>
      <c r="AK7341" s="143"/>
      <c r="AL7341" s="144"/>
      <c r="AM7341" s="22"/>
      <c r="AN7341" s="149" t="s">
        <v>25047</v>
      </c>
      <c r="AO7341" s="144"/>
      <c r="AP7341" s="148">
        <v>60149</v>
      </c>
      <c r="AQ7341" s="144"/>
      <c r="AR7341" s="120"/>
      <c r="AS7341" s="121"/>
      <c r="AT7341" s="120"/>
      <c r="AU7341" s="121"/>
      <c r="AV7341" s="120"/>
      <c r="AW7341" s="121"/>
      <c r="AX7341" s="120"/>
      <c r="AY7341" s="121"/>
      <c r="AZ7341" s="138"/>
    </row>
    <row r="7342" spans="1:52" ht="17.100000000000001" customHeight="1" thickTop="1">
      <c r="A7342" s="109" t="s">
        <v>20726</v>
      </c>
      <c r="B7342" s="28">
        <v>46101</v>
      </c>
      <c r="C7342" s="25"/>
      <c r="D7342" s="13" t="s">
        <v>2464</v>
      </c>
      <c r="E7342" s="111"/>
      <c r="F7342" s="113" t="s">
        <v>20837</v>
      </c>
      <c r="G7342" s="114"/>
      <c r="H7342" s="115"/>
      <c r="I7342" s="24" t="s">
        <v>20838</v>
      </c>
      <c r="J7342" s="116">
        <v>5</v>
      </c>
      <c r="K7342" s="118">
        <v>2715000</v>
      </c>
      <c r="L7342" s="119"/>
      <c r="M7342" s="118">
        <f t="shared" ref="M7342" si="10599">K7342*0.1</f>
        <v>271500</v>
      </c>
      <c r="N7342" s="119"/>
      <c r="O7342" s="118">
        <v>0</v>
      </c>
      <c r="P7342" s="119"/>
      <c r="Q7342" s="118">
        <v>14190</v>
      </c>
      <c r="R7342" s="119"/>
      <c r="S7342" s="118">
        <v>0</v>
      </c>
      <c r="T7342" s="119"/>
      <c r="U7342" s="118">
        <f t="shared" ref="U7342" si="10600">SUM(K7342:T7343)</f>
        <v>3000690</v>
      </c>
      <c r="V7342" s="122"/>
      <c r="W7342" s="124"/>
      <c r="X7342" s="126" t="s">
        <v>21315</v>
      </c>
      <c r="Y7342" s="127"/>
      <c r="Z7342" s="127"/>
      <c r="AA7342" s="127"/>
      <c r="AB7342" s="128"/>
      <c r="AC7342" s="15" t="s">
        <v>20</v>
      </c>
      <c r="AD7342" s="129" t="s">
        <v>7231</v>
      </c>
      <c r="AE7342" s="130"/>
      <c r="AF7342" s="130"/>
      <c r="AG7342" s="130"/>
      <c r="AH7342" s="130"/>
      <c r="AI7342" s="131"/>
      <c r="AJ7342" s="132"/>
      <c r="AK7342" s="127"/>
      <c r="AL7342" s="128"/>
      <c r="AM7342" s="21"/>
      <c r="AN7342" s="133">
        <v>46113</v>
      </c>
      <c r="AO7342" s="134"/>
      <c r="AP7342" s="135">
        <v>1011</v>
      </c>
      <c r="AQ7342" s="136"/>
      <c r="AR7342" s="118">
        <v>2865000</v>
      </c>
      <c r="AS7342" s="119"/>
      <c r="AT7342" s="118">
        <f t="shared" ref="AT7342" si="10601">AR7342*0.1</f>
        <v>286500</v>
      </c>
      <c r="AU7342" s="119"/>
      <c r="AV7342" s="118">
        <v>14190</v>
      </c>
      <c r="AW7342" s="119"/>
      <c r="AX7342" s="118">
        <f t="shared" ref="AX7342" si="10602">SUM(AR7342:AW7342)</f>
        <v>3165690</v>
      </c>
      <c r="AY7342" s="119"/>
      <c r="AZ7342" s="137">
        <v>46118</v>
      </c>
    </row>
    <row r="7343" spans="1:52" ht="17.100000000000001" customHeight="1" thickBot="1">
      <c r="A7343" s="110"/>
      <c r="B7343" s="27" t="s">
        <v>1718</v>
      </c>
      <c r="C7343" s="27" t="s">
        <v>20771</v>
      </c>
      <c r="D7343" s="14" t="s">
        <v>2601</v>
      </c>
      <c r="E7343" s="112"/>
      <c r="F7343" s="139" t="s">
        <v>20772</v>
      </c>
      <c r="G7343" s="140"/>
      <c r="H7343" s="141"/>
      <c r="I7343" s="26">
        <v>7702</v>
      </c>
      <c r="J7343" s="117"/>
      <c r="K7343" s="120"/>
      <c r="L7343" s="121"/>
      <c r="M7343" s="120"/>
      <c r="N7343" s="121"/>
      <c r="O7343" s="120"/>
      <c r="P7343" s="121"/>
      <c r="Q7343" s="120"/>
      <c r="R7343" s="121"/>
      <c r="S7343" s="120"/>
      <c r="T7343" s="121"/>
      <c r="U7343" s="120"/>
      <c r="V7343" s="123"/>
      <c r="W7343" s="125"/>
      <c r="X7343" s="142" t="s">
        <v>21316</v>
      </c>
      <c r="Y7343" s="143"/>
      <c r="Z7343" s="143"/>
      <c r="AA7343" s="143"/>
      <c r="AB7343" s="144"/>
      <c r="AC7343" s="16" t="s">
        <v>21</v>
      </c>
      <c r="AD7343" s="17" t="s">
        <v>21317</v>
      </c>
      <c r="AE7343" s="145" t="s">
        <v>21318</v>
      </c>
      <c r="AF7343" s="146"/>
      <c r="AG7343" s="146"/>
      <c r="AH7343" s="146"/>
      <c r="AI7343" s="147"/>
      <c r="AJ7343" s="148"/>
      <c r="AK7343" s="143"/>
      <c r="AL7343" s="144"/>
      <c r="AM7343" s="22"/>
      <c r="AN7343" s="149" t="s">
        <v>2794</v>
      </c>
      <c r="AO7343" s="144"/>
      <c r="AP7343" s="148">
        <v>1092</v>
      </c>
      <c r="AQ7343" s="144"/>
      <c r="AR7343" s="120"/>
      <c r="AS7343" s="121"/>
      <c r="AT7343" s="120"/>
      <c r="AU7343" s="121"/>
      <c r="AV7343" s="120"/>
      <c r="AW7343" s="121"/>
      <c r="AX7343" s="120"/>
      <c r="AY7343" s="121"/>
      <c r="AZ7343" s="138"/>
    </row>
    <row r="7344" spans="1:52" ht="17.100000000000001" customHeight="1" thickTop="1">
      <c r="A7344" s="109" t="s">
        <v>20727</v>
      </c>
      <c r="B7344" s="28">
        <v>46101</v>
      </c>
      <c r="C7344" s="25"/>
      <c r="D7344" s="13" t="s">
        <v>1971</v>
      </c>
      <c r="E7344" s="111"/>
      <c r="F7344" s="113" t="s">
        <v>20839</v>
      </c>
      <c r="G7344" s="114"/>
      <c r="H7344" s="115"/>
      <c r="I7344" s="24" t="s">
        <v>13429</v>
      </c>
      <c r="J7344" s="116">
        <v>4.5</v>
      </c>
      <c r="K7344" s="118">
        <v>2390000</v>
      </c>
      <c r="L7344" s="119"/>
      <c r="M7344" s="118">
        <f t="shared" ref="M7344" si="10603">K7344*0.1</f>
        <v>239000</v>
      </c>
      <c r="N7344" s="119"/>
      <c r="O7344" s="118">
        <v>0</v>
      </c>
      <c r="P7344" s="119"/>
      <c r="Q7344" s="118">
        <v>12250</v>
      </c>
      <c r="R7344" s="119"/>
      <c r="S7344" s="118">
        <v>0</v>
      </c>
      <c r="T7344" s="119"/>
      <c r="U7344" s="118">
        <f t="shared" ref="U7344" si="10604">SUM(K7344:T7345)</f>
        <v>2641250</v>
      </c>
      <c r="V7344" s="122"/>
      <c r="W7344" s="124"/>
      <c r="X7344" s="126" t="s">
        <v>25144</v>
      </c>
      <c r="Y7344" s="127"/>
      <c r="Z7344" s="127"/>
      <c r="AA7344" s="127"/>
      <c r="AB7344" s="128"/>
      <c r="AC7344" s="15" t="s">
        <v>20</v>
      </c>
      <c r="AD7344" s="129" t="s">
        <v>15223</v>
      </c>
      <c r="AE7344" s="130"/>
      <c r="AF7344" s="130"/>
      <c r="AG7344" s="130"/>
      <c r="AH7344" s="130"/>
      <c r="AI7344" s="131"/>
      <c r="AJ7344" s="132"/>
      <c r="AK7344" s="127"/>
      <c r="AL7344" s="128"/>
      <c r="AM7344" s="21" t="s">
        <v>25215</v>
      </c>
      <c r="AN7344" s="133">
        <v>46155</v>
      </c>
      <c r="AO7344" s="134"/>
      <c r="AP7344" s="135">
        <v>1016</v>
      </c>
      <c r="AQ7344" s="136"/>
      <c r="AR7344" s="118">
        <v>2380000</v>
      </c>
      <c r="AS7344" s="119"/>
      <c r="AT7344" s="118">
        <f t="shared" ref="AT7344" si="10605">AR7344*0.1</f>
        <v>238000</v>
      </c>
      <c r="AU7344" s="119"/>
      <c r="AV7344" s="118">
        <v>12250</v>
      </c>
      <c r="AW7344" s="119"/>
      <c r="AX7344" s="118">
        <f t="shared" ref="AX7344" si="10606">SUM(AR7344:AW7344)</f>
        <v>2630250</v>
      </c>
      <c r="AY7344" s="119"/>
      <c r="AZ7344" s="137">
        <v>46160</v>
      </c>
    </row>
    <row r="7345" spans="1:52" ht="17.100000000000001" customHeight="1" thickBot="1">
      <c r="A7345" s="110"/>
      <c r="B7345" s="27" t="s">
        <v>1718</v>
      </c>
      <c r="C7345" s="27" t="s">
        <v>20773</v>
      </c>
      <c r="D7345" s="14" t="s">
        <v>275</v>
      </c>
      <c r="E7345" s="112"/>
      <c r="F7345" s="139" t="s">
        <v>20774</v>
      </c>
      <c r="G7345" s="140"/>
      <c r="H7345" s="141"/>
      <c r="I7345" s="26">
        <v>49247</v>
      </c>
      <c r="J7345" s="117"/>
      <c r="K7345" s="120"/>
      <c r="L7345" s="121"/>
      <c r="M7345" s="120"/>
      <c r="N7345" s="121"/>
      <c r="O7345" s="120"/>
      <c r="P7345" s="121"/>
      <c r="Q7345" s="120"/>
      <c r="R7345" s="121"/>
      <c r="S7345" s="120"/>
      <c r="T7345" s="121"/>
      <c r="U7345" s="120"/>
      <c r="V7345" s="123"/>
      <c r="W7345" s="125"/>
      <c r="X7345" s="142" t="s">
        <v>25145</v>
      </c>
      <c r="Y7345" s="143"/>
      <c r="Z7345" s="143"/>
      <c r="AA7345" s="143"/>
      <c r="AB7345" s="144"/>
      <c r="AC7345" s="16" t="s">
        <v>21</v>
      </c>
      <c r="AD7345" s="17" t="s">
        <v>2009</v>
      </c>
      <c r="AE7345" s="145" t="s">
        <v>1614</v>
      </c>
      <c r="AF7345" s="146"/>
      <c r="AG7345" s="146"/>
      <c r="AH7345" s="146"/>
      <c r="AI7345" s="147"/>
      <c r="AJ7345" s="148"/>
      <c r="AK7345" s="143"/>
      <c r="AL7345" s="144"/>
      <c r="AM7345" s="22"/>
      <c r="AN7345" s="149" t="s">
        <v>2794</v>
      </c>
      <c r="AO7345" s="144"/>
      <c r="AP7345" s="148">
        <v>1171</v>
      </c>
      <c r="AQ7345" s="144"/>
      <c r="AR7345" s="120"/>
      <c r="AS7345" s="121"/>
      <c r="AT7345" s="120"/>
      <c r="AU7345" s="121"/>
      <c r="AV7345" s="120"/>
      <c r="AW7345" s="121"/>
      <c r="AX7345" s="120"/>
      <c r="AY7345" s="121"/>
      <c r="AZ7345" s="138"/>
    </row>
    <row r="7346" spans="1:52" ht="17.100000000000001" customHeight="1" thickTop="1">
      <c r="A7346" s="109" t="s">
        <v>20728</v>
      </c>
      <c r="B7346" s="28">
        <v>46101</v>
      </c>
      <c r="C7346" s="25"/>
      <c r="D7346" s="13" t="s">
        <v>2100</v>
      </c>
      <c r="E7346" s="111"/>
      <c r="F7346" s="113" t="s">
        <v>15809</v>
      </c>
      <c r="G7346" s="114"/>
      <c r="H7346" s="115"/>
      <c r="I7346" s="24" t="s">
        <v>20840</v>
      </c>
      <c r="J7346" s="116">
        <v>3.5</v>
      </c>
      <c r="K7346" s="118">
        <v>1760000</v>
      </c>
      <c r="L7346" s="119"/>
      <c r="M7346" s="118">
        <f t="shared" ref="M7346" si="10607">K7346*0.1</f>
        <v>176000</v>
      </c>
      <c r="N7346" s="119"/>
      <c r="O7346" s="118">
        <v>0</v>
      </c>
      <c r="P7346" s="119"/>
      <c r="Q7346" s="118">
        <v>11480</v>
      </c>
      <c r="R7346" s="119"/>
      <c r="S7346" s="118">
        <v>0</v>
      </c>
      <c r="T7346" s="119"/>
      <c r="U7346" s="118">
        <f t="shared" ref="U7346" si="10608">SUM(K7346:T7347)</f>
        <v>1947480</v>
      </c>
      <c r="V7346" s="122"/>
      <c r="W7346" s="124"/>
      <c r="X7346" s="126" t="s">
        <v>22420</v>
      </c>
      <c r="Y7346" s="127"/>
      <c r="Z7346" s="127"/>
      <c r="AA7346" s="127"/>
      <c r="AB7346" s="128"/>
      <c r="AC7346" s="15" t="s">
        <v>20</v>
      </c>
      <c r="AD7346" s="129" t="s">
        <v>3868</v>
      </c>
      <c r="AE7346" s="130"/>
      <c r="AF7346" s="130"/>
      <c r="AG7346" s="130"/>
      <c r="AH7346" s="130"/>
      <c r="AI7346" s="131"/>
      <c r="AJ7346" s="132"/>
      <c r="AK7346" s="127"/>
      <c r="AL7346" s="128"/>
      <c r="AM7346" s="21"/>
      <c r="AN7346" s="133">
        <v>46116</v>
      </c>
      <c r="AO7346" s="134"/>
      <c r="AP7346" s="135">
        <v>1295</v>
      </c>
      <c r="AQ7346" s="136"/>
      <c r="AR7346" s="118">
        <v>1735000</v>
      </c>
      <c r="AS7346" s="119"/>
      <c r="AT7346" s="118">
        <f t="shared" ref="AT7346" si="10609">AR7346*0.1</f>
        <v>173500</v>
      </c>
      <c r="AU7346" s="119"/>
      <c r="AV7346" s="118">
        <v>11480</v>
      </c>
      <c r="AW7346" s="119"/>
      <c r="AX7346" s="118">
        <f t="shared" ref="AX7346" si="10610">SUM(AR7346:AW7346)</f>
        <v>1919980</v>
      </c>
      <c r="AY7346" s="119"/>
      <c r="AZ7346" s="137">
        <v>46122</v>
      </c>
    </row>
    <row r="7347" spans="1:52" ht="17.100000000000001" customHeight="1" thickBot="1">
      <c r="A7347" s="110"/>
      <c r="B7347" s="27" t="s">
        <v>1718</v>
      </c>
      <c r="C7347" s="27" t="s">
        <v>20775</v>
      </c>
      <c r="D7347" s="14" t="s">
        <v>2601</v>
      </c>
      <c r="E7347" s="112"/>
      <c r="F7347" s="139" t="s">
        <v>20776</v>
      </c>
      <c r="G7347" s="140"/>
      <c r="H7347" s="141"/>
      <c r="I7347" s="26">
        <v>47570</v>
      </c>
      <c r="J7347" s="117"/>
      <c r="K7347" s="120"/>
      <c r="L7347" s="121"/>
      <c r="M7347" s="120"/>
      <c r="N7347" s="121"/>
      <c r="O7347" s="120"/>
      <c r="P7347" s="121"/>
      <c r="Q7347" s="120"/>
      <c r="R7347" s="121"/>
      <c r="S7347" s="120"/>
      <c r="T7347" s="121"/>
      <c r="U7347" s="120"/>
      <c r="V7347" s="123"/>
      <c r="W7347" s="125"/>
      <c r="X7347" s="142" t="s">
        <v>18913</v>
      </c>
      <c r="Y7347" s="143"/>
      <c r="Z7347" s="143"/>
      <c r="AA7347" s="143"/>
      <c r="AB7347" s="144"/>
      <c r="AC7347" s="16" t="s">
        <v>21</v>
      </c>
      <c r="AD7347" s="17" t="s">
        <v>3980</v>
      </c>
      <c r="AE7347" s="145" t="s">
        <v>1945</v>
      </c>
      <c r="AF7347" s="146"/>
      <c r="AG7347" s="146"/>
      <c r="AH7347" s="146"/>
      <c r="AI7347" s="147"/>
      <c r="AJ7347" s="148"/>
      <c r="AK7347" s="143"/>
      <c r="AL7347" s="144"/>
      <c r="AM7347" s="22"/>
      <c r="AN7347" s="149" t="s">
        <v>2511</v>
      </c>
      <c r="AO7347" s="144"/>
      <c r="AP7347" s="148">
        <v>37353</v>
      </c>
      <c r="AQ7347" s="144"/>
      <c r="AR7347" s="120"/>
      <c r="AS7347" s="121"/>
      <c r="AT7347" s="120"/>
      <c r="AU7347" s="121"/>
      <c r="AV7347" s="120"/>
      <c r="AW7347" s="121"/>
      <c r="AX7347" s="120"/>
      <c r="AY7347" s="121"/>
      <c r="AZ7347" s="138"/>
    </row>
    <row r="7348" spans="1:52" ht="17.100000000000001" customHeight="1" thickTop="1">
      <c r="A7348" s="151" t="s">
        <v>20729</v>
      </c>
      <c r="B7348" s="28">
        <v>46101</v>
      </c>
      <c r="C7348" s="25"/>
      <c r="D7348" s="13" t="s">
        <v>1758</v>
      </c>
      <c r="E7348" s="111"/>
      <c r="F7348" s="113" t="s">
        <v>20841</v>
      </c>
      <c r="G7348" s="114"/>
      <c r="H7348" s="115"/>
      <c r="I7348" s="24" t="s">
        <v>5662</v>
      </c>
      <c r="J7348" s="116">
        <v>4</v>
      </c>
      <c r="K7348" s="118">
        <v>257000</v>
      </c>
      <c r="L7348" s="119"/>
      <c r="M7348" s="118">
        <f t="shared" ref="M7348" si="10611">K7348*0.1</f>
        <v>25700</v>
      </c>
      <c r="N7348" s="119"/>
      <c r="O7348" s="118">
        <v>0</v>
      </c>
      <c r="P7348" s="119"/>
      <c r="Q7348" s="118">
        <v>7750</v>
      </c>
      <c r="R7348" s="119"/>
      <c r="S7348" s="118">
        <v>0</v>
      </c>
      <c r="T7348" s="119"/>
      <c r="U7348" s="118">
        <f t="shared" ref="U7348" si="10612">SUM(K7348:T7349)</f>
        <v>290450</v>
      </c>
      <c r="V7348" s="122"/>
      <c r="W7348" s="124"/>
      <c r="X7348" s="126" t="s">
        <v>24137</v>
      </c>
      <c r="Y7348" s="127"/>
      <c r="Z7348" s="127"/>
      <c r="AA7348" s="127"/>
      <c r="AB7348" s="128"/>
      <c r="AC7348" s="15" t="s">
        <v>20</v>
      </c>
      <c r="AD7348" s="129" t="s">
        <v>3868</v>
      </c>
      <c r="AE7348" s="130"/>
      <c r="AF7348" s="130"/>
      <c r="AG7348" s="130"/>
      <c r="AH7348" s="130"/>
      <c r="AI7348" s="131"/>
      <c r="AJ7348" s="132" t="s">
        <v>25183</v>
      </c>
      <c r="AK7348" s="127"/>
      <c r="AL7348" s="128"/>
      <c r="AM7348" s="21"/>
      <c r="AN7348" s="133"/>
      <c r="AO7348" s="134"/>
      <c r="AP7348" s="135"/>
      <c r="AQ7348" s="136"/>
      <c r="AR7348" s="118"/>
      <c r="AS7348" s="119"/>
      <c r="AT7348" s="118">
        <f t="shared" ref="AT7348" si="10613">AR7348*0.1</f>
        <v>0</v>
      </c>
      <c r="AU7348" s="119"/>
      <c r="AV7348" s="118"/>
      <c r="AW7348" s="119"/>
      <c r="AX7348" s="118">
        <f t="shared" ref="AX7348" si="10614">SUM(AR7348:AW7348)</f>
        <v>0</v>
      </c>
      <c r="AY7348" s="119"/>
      <c r="AZ7348" s="137"/>
    </row>
    <row r="7349" spans="1:52" ht="17.100000000000001" customHeight="1" thickBot="1">
      <c r="A7349" s="152"/>
      <c r="B7349" s="27" t="s">
        <v>1718</v>
      </c>
      <c r="C7349" s="27" t="s">
        <v>20777</v>
      </c>
      <c r="D7349" s="14" t="s">
        <v>1720</v>
      </c>
      <c r="E7349" s="112"/>
      <c r="F7349" s="139" t="s">
        <v>20778</v>
      </c>
      <c r="G7349" s="140"/>
      <c r="H7349" s="141"/>
      <c r="I7349" s="26">
        <v>38452</v>
      </c>
      <c r="J7349" s="117"/>
      <c r="K7349" s="120"/>
      <c r="L7349" s="121"/>
      <c r="M7349" s="120"/>
      <c r="N7349" s="121"/>
      <c r="O7349" s="120"/>
      <c r="P7349" s="121"/>
      <c r="Q7349" s="120"/>
      <c r="R7349" s="121"/>
      <c r="S7349" s="120"/>
      <c r="T7349" s="121"/>
      <c r="U7349" s="120"/>
      <c r="V7349" s="123"/>
      <c r="W7349" s="125"/>
      <c r="X7349" s="142" t="s">
        <v>24136</v>
      </c>
      <c r="Y7349" s="143"/>
      <c r="Z7349" s="143"/>
      <c r="AA7349" s="143"/>
      <c r="AB7349" s="144"/>
      <c r="AC7349" s="16" t="s">
        <v>21</v>
      </c>
      <c r="AD7349" s="17" t="s">
        <v>24135</v>
      </c>
      <c r="AE7349" s="145" t="s">
        <v>24138</v>
      </c>
      <c r="AF7349" s="146"/>
      <c r="AG7349" s="146"/>
      <c r="AH7349" s="146"/>
      <c r="AI7349" s="147"/>
      <c r="AJ7349" s="148"/>
      <c r="AK7349" s="143"/>
      <c r="AL7349" s="144"/>
      <c r="AM7349" s="22"/>
      <c r="AN7349" s="149"/>
      <c r="AO7349" s="144"/>
      <c r="AP7349" s="148"/>
      <c r="AQ7349" s="144"/>
      <c r="AR7349" s="120"/>
      <c r="AS7349" s="121"/>
      <c r="AT7349" s="120"/>
      <c r="AU7349" s="121"/>
      <c r="AV7349" s="120"/>
      <c r="AW7349" s="121"/>
      <c r="AX7349" s="120"/>
      <c r="AY7349" s="121"/>
      <c r="AZ7349" s="138"/>
    </row>
    <row r="7350" spans="1:52" ht="17.100000000000001" customHeight="1" thickTop="1">
      <c r="A7350" s="151" t="s">
        <v>20730</v>
      </c>
      <c r="B7350" s="28">
        <v>46101</v>
      </c>
      <c r="C7350" s="25"/>
      <c r="D7350" s="13" t="s">
        <v>2949</v>
      </c>
      <c r="E7350" s="111"/>
      <c r="F7350" s="113" t="s">
        <v>19666</v>
      </c>
      <c r="G7350" s="114"/>
      <c r="H7350" s="115"/>
      <c r="I7350" s="24" t="s">
        <v>7828</v>
      </c>
      <c r="J7350" s="116">
        <v>4.5</v>
      </c>
      <c r="K7350" s="118">
        <v>980000</v>
      </c>
      <c r="L7350" s="119"/>
      <c r="M7350" s="118">
        <f t="shared" ref="M7350" si="10615">K7350*0.1</f>
        <v>98000</v>
      </c>
      <c r="N7350" s="119"/>
      <c r="O7350" s="118">
        <v>0</v>
      </c>
      <c r="P7350" s="119"/>
      <c r="Q7350" s="118">
        <v>8110</v>
      </c>
      <c r="R7350" s="119"/>
      <c r="S7350" s="118">
        <v>0</v>
      </c>
      <c r="T7350" s="119"/>
      <c r="U7350" s="118">
        <f t="shared" ref="U7350" si="10616">SUM(K7350:T7351)</f>
        <v>1086110</v>
      </c>
      <c r="V7350" s="122"/>
      <c r="W7350" s="124"/>
      <c r="X7350" s="126"/>
      <c r="Y7350" s="127"/>
      <c r="Z7350" s="127"/>
      <c r="AA7350" s="127"/>
      <c r="AB7350" s="128"/>
      <c r="AC7350" s="15" t="s">
        <v>20</v>
      </c>
      <c r="AD7350" s="129" t="s">
        <v>3828</v>
      </c>
      <c r="AE7350" s="130"/>
      <c r="AF7350" s="130"/>
      <c r="AG7350" s="130"/>
      <c r="AH7350" s="130"/>
      <c r="AI7350" s="131"/>
      <c r="AJ7350" s="132" t="s">
        <v>8040</v>
      </c>
      <c r="AK7350" s="127"/>
      <c r="AL7350" s="128"/>
      <c r="AM7350" s="21"/>
      <c r="AN7350" s="133"/>
      <c r="AO7350" s="134"/>
      <c r="AP7350" s="135"/>
      <c r="AQ7350" s="136"/>
      <c r="AR7350" s="118"/>
      <c r="AS7350" s="119"/>
      <c r="AT7350" s="118">
        <f t="shared" ref="AT7350" si="10617">AR7350*0.1</f>
        <v>0</v>
      </c>
      <c r="AU7350" s="119"/>
      <c r="AV7350" s="118"/>
      <c r="AW7350" s="119"/>
      <c r="AX7350" s="118">
        <f t="shared" ref="AX7350" si="10618">SUM(AR7350:AW7350)</f>
        <v>0</v>
      </c>
      <c r="AY7350" s="119"/>
      <c r="AZ7350" s="137"/>
    </row>
    <row r="7351" spans="1:52" ht="17.100000000000001" customHeight="1" thickBot="1">
      <c r="A7351" s="152"/>
      <c r="B7351" s="27" t="s">
        <v>1718</v>
      </c>
      <c r="C7351" s="27" t="s">
        <v>20779</v>
      </c>
      <c r="D7351" s="14" t="s">
        <v>2601</v>
      </c>
      <c r="E7351" s="112"/>
      <c r="F7351" s="139" t="s">
        <v>20780</v>
      </c>
      <c r="G7351" s="140"/>
      <c r="H7351" s="141"/>
      <c r="I7351" s="26">
        <v>51382</v>
      </c>
      <c r="J7351" s="117"/>
      <c r="K7351" s="120"/>
      <c r="L7351" s="121"/>
      <c r="M7351" s="120"/>
      <c r="N7351" s="121"/>
      <c r="O7351" s="120"/>
      <c r="P7351" s="121"/>
      <c r="Q7351" s="120"/>
      <c r="R7351" s="121"/>
      <c r="S7351" s="120"/>
      <c r="T7351" s="121"/>
      <c r="U7351" s="120"/>
      <c r="V7351" s="123"/>
      <c r="W7351" s="125"/>
      <c r="X7351" s="142"/>
      <c r="Y7351" s="143"/>
      <c r="Z7351" s="143"/>
      <c r="AA7351" s="143"/>
      <c r="AB7351" s="144"/>
      <c r="AC7351" s="16" t="s">
        <v>21</v>
      </c>
      <c r="AD7351" s="17" t="s">
        <v>10540</v>
      </c>
      <c r="AE7351" s="145"/>
      <c r="AF7351" s="146"/>
      <c r="AG7351" s="146"/>
      <c r="AH7351" s="146"/>
      <c r="AI7351" s="147"/>
      <c r="AJ7351" s="148"/>
      <c r="AK7351" s="143"/>
      <c r="AL7351" s="144"/>
      <c r="AM7351" s="22"/>
      <c r="AN7351" s="149"/>
      <c r="AO7351" s="144"/>
      <c r="AP7351" s="148"/>
      <c r="AQ7351" s="144"/>
      <c r="AR7351" s="120"/>
      <c r="AS7351" s="121"/>
      <c r="AT7351" s="120"/>
      <c r="AU7351" s="121"/>
      <c r="AV7351" s="120"/>
      <c r="AW7351" s="121"/>
      <c r="AX7351" s="120"/>
      <c r="AY7351" s="121"/>
      <c r="AZ7351" s="138"/>
    </row>
    <row r="7352" spans="1:52" ht="17.100000000000001" customHeight="1" thickTop="1">
      <c r="A7352" s="109" t="s">
        <v>20731</v>
      </c>
      <c r="B7352" s="28">
        <v>46101</v>
      </c>
      <c r="C7352" s="25"/>
      <c r="D7352" s="13" t="s">
        <v>1537</v>
      </c>
      <c r="E7352" s="111"/>
      <c r="F7352" s="113" t="s">
        <v>20842</v>
      </c>
      <c r="G7352" s="114"/>
      <c r="H7352" s="115"/>
      <c r="I7352" s="24" t="s">
        <v>11454</v>
      </c>
      <c r="J7352" s="116">
        <v>4.5</v>
      </c>
      <c r="K7352" s="118">
        <v>609000</v>
      </c>
      <c r="L7352" s="119"/>
      <c r="M7352" s="118">
        <f t="shared" ref="M7352" si="10619">K7352*0.1</f>
        <v>60900</v>
      </c>
      <c r="N7352" s="119"/>
      <c r="O7352" s="118">
        <v>0</v>
      </c>
      <c r="P7352" s="119"/>
      <c r="Q7352" s="118">
        <v>8230</v>
      </c>
      <c r="R7352" s="119"/>
      <c r="S7352" s="118">
        <v>0</v>
      </c>
      <c r="T7352" s="119"/>
      <c r="U7352" s="118">
        <f t="shared" ref="U7352" si="10620">SUM(K7352:T7353)</f>
        <v>678130</v>
      </c>
      <c r="V7352" s="122"/>
      <c r="W7352" s="124"/>
      <c r="X7352" s="126" t="s">
        <v>23366</v>
      </c>
      <c r="Y7352" s="127"/>
      <c r="Z7352" s="127"/>
      <c r="AA7352" s="127"/>
      <c r="AB7352" s="128"/>
      <c r="AC7352" s="15" t="s">
        <v>20</v>
      </c>
      <c r="AD7352" s="129" t="s">
        <v>3868</v>
      </c>
      <c r="AE7352" s="130"/>
      <c r="AF7352" s="130"/>
      <c r="AG7352" s="130"/>
      <c r="AH7352" s="130"/>
      <c r="AI7352" s="131"/>
      <c r="AJ7352" s="132"/>
      <c r="AK7352" s="127"/>
      <c r="AL7352" s="128"/>
      <c r="AM7352" s="21"/>
      <c r="AN7352" s="133">
        <v>46123</v>
      </c>
      <c r="AO7352" s="134"/>
      <c r="AP7352" s="135">
        <v>1296</v>
      </c>
      <c r="AQ7352" s="136"/>
      <c r="AR7352" s="118">
        <v>710000</v>
      </c>
      <c r="AS7352" s="119"/>
      <c r="AT7352" s="118">
        <f t="shared" ref="AT7352" si="10621">AR7352*0.1</f>
        <v>71000</v>
      </c>
      <c r="AU7352" s="119"/>
      <c r="AV7352" s="118">
        <v>8230</v>
      </c>
      <c r="AW7352" s="119"/>
      <c r="AX7352" s="118">
        <f t="shared" ref="AX7352" si="10622">SUM(AR7352:AW7352)</f>
        <v>789230</v>
      </c>
      <c r="AY7352" s="119"/>
      <c r="AZ7352" s="137">
        <v>46133</v>
      </c>
    </row>
    <row r="7353" spans="1:52" ht="17.100000000000001" customHeight="1" thickBot="1">
      <c r="A7353" s="110"/>
      <c r="B7353" s="27" t="s">
        <v>1718</v>
      </c>
      <c r="C7353" s="27" t="s">
        <v>20781</v>
      </c>
      <c r="D7353" s="14" t="s">
        <v>1700</v>
      </c>
      <c r="E7353" s="112"/>
      <c r="F7353" s="139" t="s">
        <v>20782</v>
      </c>
      <c r="G7353" s="140"/>
      <c r="H7353" s="141"/>
      <c r="I7353" s="26">
        <v>35010</v>
      </c>
      <c r="J7353" s="117"/>
      <c r="K7353" s="120"/>
      <c r="L7353" s="121"/>
      <c r="M7353" s="120"/>
      <c r="N7353" s="121"/>
      <c r="O7353" s="120"/>
      <c r="P7353" s="121"/>
      <c r="Q7353" s="120"/>
      <c r="R7353" s="121"/>
      <c r="S7353" s="120"/>
      <c r="T7353" s="121"/>
      <c r="U7353" s="120"/>
      <c r="V7353" s="123"/>
      <c r="W7353" s="125"/>
      <c r="X7353" s="142" t="s">
        <v>23367</v>
      </c>
      <c r="Y7353" s="143"/>
      <c r="Z7353" s="143"/>
      <c r="AA7353" s="143"/>
      <c r="AB7353" s="144"/>
      <c r="AC7353" s="16" t="s">
        <v>21</v>
      </c>
      <c r="AD7353" s="17" t="s">
        <v>23316</v>
      </c>
      <c r="AE7353" s="145" t="s">
        <v>23317</v>
      </c>
      <c r="AF7353" s="146"/>
      <c r="AG7353" s="146"/>
      <c r="AH7353" s="146"/>
      <c r="AI7353" s="147"/>
      <c r="AJ7353" s="148"/>
      <c r="AK7353" s="143"/>
      <c r="AL7353" s="144"/>
      <c r="AM7353" s="22"/>
      <c r="AN7353" s="149" t="s">
        <v>2511</v>
      </c>
      <c r="AO7353" s="144"/>
      <c r="AP7353" s="148">
        <v>65462</v>
      </c>
      <c r="AQ7353" s="144"/>
      <c r="AR7353" s="120"/>
      <c r="AS7353" s="121"/>
      <c r="AT7353" s="120"/>
      <c r="AU7353" s="121"/>
      <c r="AV7353" s="120"/>
      <c r="AW7353" s="121"/>
      <c r="AX7353" s="120"/>
      <c r="AY7353" s="121"/>
      <c r="AZ7353" s="138"/>
    </row>
    <row r="7354" spans="1:52" ht="17.100000000000001" customHeight="1" thickTop="1">
      <c r="A7354" s="109" t="s">
        <v>20732</v>
      </c>
      <c r="B7354" s="28">
        <v>46101</v>
      </c>
      <c r="C7354" s="25">
        <v>2239</v>
      </c>
      <c r="D7354" s="13" t="s">
        <v>1845</v>
      </c>
      <c r="E7354" s="111"/>
      <c r="F7354" s="113" t="s">
        <v>18668</v>
      </c>
      <c r="G7354" s="114"/>
      <c r="H7354" s="115"/>
      <c r="I7354" s="24" t="s">
        <v>10850</v>
      </c>
      <c r="J7354" s="116">
        <v>4</v>
      </c>
      <c r="K7354" s="118">
        <v>1436000</v>
      </c>
      <c r="L7354" s="119"/>
      <c r="M7354" s="118">
        <f t="shared" ref="M7354" si="10623">K7354*0.1</f>
        <v>143600</v>
      </c>
      <c r="N7354" s="119"/>
      <c r="O7354" s="118">
        <v>36000</v>
      </c>
      <c r="P7354" s="119"/>
      <c r="Q7354" s="118">
        <v>19090</v>
      </c>
      <c r="R7354" s="119"/>
      <c r="S7354" s="118">
        <v>14300</v>
      </c>
      <c r="T7354" s="119"/>
      <c r="U7354" s="118">
        <f t="shared" ref="U7354" si="10624">SUM(K7354:T7355)</f>
        <v>1648990</v>
      </c>
      <c r="V7354" s="122"/>
      <c r="W7354" s="124"/>
      <c r="X7354" s="126" t="s">
        <v>21343</v>
      </c>
      <c r="Y7354" s="127"/>
      <c r="Z7354" s="127"/>
      <c r="AA7354" s="127"/>
      <c r="AB7354" s="128"/>
      <c r="AC7354" s="15" t="s">
        <v>20</v>
      </c>
      <c r="AD7354" s="129"/>
      <c r="AE7354" s="130"/>
      <c r="AF7354" s="130"/>
      <c r="AG7354" s="130"/>
      <c r="AH7354" s="130"/>
      <c r="AI7354" s="131"/>
      <c r="AJ7354" s="132"/>
      <c r="AK7354" s="127"/>
      <c r="AL7354" s="128"/>
      <c r="AM7354" s="21"/>
      <c r="AN7354" s="133">
        <v>46114</v>
      </c>
      <c r="AO7354" s="134"/>
      <c r="AP7354" s="135">
        <v>1325</v>
      </c>
      <c r="AQ7354" s="136"/>
      <c r="AR7354" s="118">
        <v>1715000</v>
      </c>
      <c r="AS7354" s="119"/>
      <c r="AT7354" s="118">
        <f t="shared" ref="AT7354" si="10625">AR7354*0.1</f>
        <v>171500</v>
      </c>
      <c r="AU7354" s="119"/>
      <c r="AV7354" s="118">
        <v>19090</v>
      </c>
      <c r="AW7354" s="119"/>
      <c r="AX7354" s="118">
        <f t="shared" ref="AX7354" si="10626">SUM(AR7354:AW7354)</f>
        <v>1905590</v>
      </c>
      <c r="AY7354" s="119"/>
      <c r="AZ7354" s="137">
        <v>46115</v>
      </c>
    </row>
    <row r="7355" spans="1:52" ht="17.100000000000001" customHeight="1" thickBot="1">
      <c r="A7355" s="110"/>
      <c r="B7355" s="27" t="s">
        <v>2438</v>
      </c>
      <c r="C7355" s="27">
        <v>3096</v>
      </c>
      <c r="D7355" s="14" t="s">
        <v>275</v>
      </c>
      <c r="E7355" s="112"/>
      <c r="F7355" s="139" t="s">
        <v>21342</v>
      </c>
      <c r="G7355" s="140"/>
      <c r="H7355" s="141"/>
      <c r="I7355" s="26">
        <v>51189</v>
      </c>
      <c r="J7355" s="117"/>
      <c r="K7355" s="120"/>
      <c r="L7355" s="121"/>
      <c r="M7355" s="120"/>
      <c r="N7355" s="121"/>
      <c r="O7355" s="120"/>
      <c r="P7355" s="121"/>
      <c r="Q7355" s="120"/>
      <c r="R7355" s="121"/>
      <c r="S7355" s="120"/>
      <c r="T7355" s="121"/>
      <c r="U7355" s="120"/>
      <c r="V7355" s="123"/>
      <c r="W7355" s="125"/>
      <c r="X7355" s="142" t="s">
        <v>21344</v>
      </c>
      <c r="Y7355" s="143"/>
      <c r="Z7355" s="143"/>
      <c r="AA7355" s="143"/>
      <c r="AB7355" s="144"/>
      <c r="AC7355" s="16" t="s">
        <v>21</v>
      </c>
      <c r="AD7355" s="17" t="s">
        <v>21317</v>
      </c>
      <c r="AE7355" s="145" t="s">
        <v>4077</v>
      </c>
      <c r="AF7355" s="146"/>
      <c r="AG7355" s="146"/>
      <c r="AH7355" s="146"/>
      <c r="AI7355" s="147"/>
      <c r="AJ7355" s="148"/>
      <c r="AK7355" s="143"/>
      <c r="AL7355" s="144"/>
      <c r="AM7355" s="22"/>
      <c r="AN7355" s="149" t="s">
        <v>13663</v>
      </c>
      <c r="AO7355" s="144"/>
      <c r="AP7355" s="148">
        <v>320</v>
      </c>
      <c r="AQ7355" s="144"/>
      <c r="AR7355" s="120"/>
      <c r="AS7355" s="121"/>
      <c r="AT7355" s="120"/>
      <c r="AU7355" s="121"/>
      <c r="AV7355" s="120"/>
      <c r="AW7355" s="121"/>
      <c r="AX7355" s="120"/>
      <c r="AY7355" s="121"/>
      <c r="AZ7355" s="138"/>
    </row>
    <row r="7356" spans="1:52" ht="17.100000000000001" customHeight="1" thickTop="1">
      <c r="A7356" s="109" t="s">
        <v>20733</v>
      </c>
      <c r="B7356" s="28">
        <v>46102</v>
      </c>
      <c r="C7356" s="25">
        <v>1536</v>
      </c>
      <c r="D7356" s="13" t="s">
        <v>3832</v>
      </c>
      <c r="E7356" s="111"/>
      <c r="F7356" s="113" t="s">
        <v>18668</v>
      </c>
      <c r="G7356" s="114"/>
      <c r="H7356" s="115"/>
      <c r="I7356" s="24" t="s">
        <v>15229</v>
      </c>
      <c r="J7356" s="116">
        <v>4.5</v>
      </c>
      <c r="K7356" s="118">
        <v>2210000</v>
      </c>
      <c r="L7356" s="119"/>
      <c r="M7356" s="118">
        <f t="shared" ref="M7356" si="10627">K7356*0.1</f>
        <v>221000</v>
      </c>
      <c r="N7356" s="119"/>
      <c r="O7356" s="118">
        <v>36000</v>
      </c>
      <c r="P7356" s="119"/>
      <c r="Q7356" s="118">
        <v>18170</v>
      </c>
      <c r="R7356" s="119"/>
      <c r="S7356" s="118">
        <v>16500</v>
      </c>
      <c r="T7356" s="119"/>
      <c r="U7356" s="118">
        <f t="shared" ref="U7356" si="10628">SUM(K7356:T7357)</f>
        <v>2501670</v>
      </c>
      <c r="V7356" s="122"/>
      <c r="W7356" s="124"/>
      <c r="X7356" s="126" t="s">
        <v>20881</v>
      </c>
      <c r="Y7356" s="127"/>
      <c r="Z7356" s="127"/>
      <c r="AA7356" s="127"/>
      <c r="AB7356" s="128"/>
      <c r="AC7356" s="15" t="s">
        <v>20</v>
      </c>
      <c r="AD7356" s="129" t="s">
        <v>3828</v>
      </c>
      <c r="AE7356" s="130"/>
      <c r="AF7356" s="130"/>
      <c r="AG7356" s="130"/>
      <c r="AH7356" s="130"/>
      <c r="AI7356" s="131"/>
      <c r="AJ7356" s="132"/>
      <c r="AK7356" s="127"/>
      <c r="AL7356" s="128"/>
      <c r="AM7356" s="21"/>
      <c r="AN7356" s="133">
        <v>46114</v>
      </c>
      <c r="AO7356" s="134"/>
      <c r="AP7356" s="135">
        <v>1325</v>
      </c>
      <c r="AQ7356" s="136"/>
      <c r="AR7356" s="118">
        <v>2410000</v>
      </c>
      <c r="AS7356" s="119"/>
      <c r="AT7356" s="118">
        <f t="shared" ref="AT7356" si="10629">AR7356*0.1</f>
        <v>241000</v>
      </c>
      <c r="AU7356" s="119"/>
      <c r="AV7356" s="118">
        <v>18170</v>
      </c>
      <c r="AW7356" s="119"/>
      <c r="AX7356" s="118">
        <f t="shared" ref="AX7356" si="10630">SUM(AR7356:AW7356)</f>
        <v>2669170</v>
      </c>
      <c r="AY7356" s="119"/>
      <c r="AZ7356" s="137">
        <v>46115</v>
      </c>
    </row>
    <row r="7357" spans="1:52" ht="17.100000000000001" customHeight="1" thickBot="1">
      <c r="A7357" s="110"/>
      <c r="B7357" s="27" t="s">
        <v>1555</v>
      </c>
      <c r="C7357" s="27">
        <v>83267</v>
      </c>
      <c r="D7357" s="14" t="s">
        <v>1720</v>
      </c>
      <c r="E7357" s="112"/>
      <c r="F7357" s="139" t="s">
        <v>20880</v>
      </c>
      <c r="G7357" s="140"/>
      <c r="H7357" s="141"/>
      <c r="I7357" s="26">
        <v>39150</v>
      </c>
      <c r="J7357" s="117"/>
      <c r="K7357" s="120"/>
      <c r="L7357" s="121"/>
      <c r="M7357" s="120"/>
      <c r="N7357" s="121"/>
      <c r="O7357" s="120"/>
      <c r="P7357" s="121"/>
      <c r="Q7357" s="120"/>
      <c r="R7357" s="121"/>
      <c r="S7357" s="120"/>
      <c r="T7357" s="121"/>
      <c r="U7357" s="120"/>
      <c r="V7357" s="123"/>
      <c r="W7357" s="125"/>
      <c r="X7357" s="142" t="s">
        <v>21345</v>
      </c>
      <c r="Y7357" s="143"/>
      <c r="Z7357" s="143"/>
      <c r="AA7357" s="143"/>
      <c r="AB7357" s="144"/>
      <c r="AC7357" s="16" t="s">
        <v>21</v>
      </c>
      <c r="AD7357" s="17" t="s">
        <v>21317</v>
      </c>
      <c r="AE7357" s="145" t="s">
        <v>21346</v>
      </c>
      <c r="AF7357" s="146"/>
      <c r="AG7357" s="146"/>
      <c r="AH7357" s="146"/>
      <c r="AI7357" s="147"/>
      <c r="AJ7357" s="148"/>
      <c r="AK7357" s="143"/>
      <c r="AL7357" s="144"/>
      <c r="AM7357" s="22"/>
      <c r="AN7357" s="149" t="s">
        <v>13663</v>
      </c>
      <c r="AO7357" s="144"/>
      <c r="AP7357" s="148">
        <v>120</v>
      </c>
      <c r="AQ7357" s="144"/>
      <c r="AR7357" s="120"/>
      <c r="AS7357" s="121"/>
      <c r="AT7357" s="120"/>
      <c r="AU7357" s="121"/>
      <c r="AV7357" s="120"/>
      <c r="AW7357" s="121"/>
      <c r="AX7357" s="120"/>
      <c r="AY7357" s="121"/>
      <c r="AZ7357" s="138"/>
    </row>
    <row r="7358" spans="1:52" ht="17.100000000000001" customHeight="1" thickTop="1">
      <c r="A7358" s="109" t="s">
        <v>20734</v>
      </c>
      <c r="B7358" s="28">
        <v>46102</v>
      </c>
      <c r="C7358" s="25">
        <v>304</v>
      </c>
      <c r="D7358" s="13" t="s">
        <v>2036</v>
      </c>
      <c r="E7358" s="111"/>
      <c r="F7358" s="113" t="s">
        <v>15533</v>
      </c>
      <c r="G7358" s="114"/>
      <c r="H7358" s="115"/>
      <c r="I7358" s="24"/>
      <c r="J7358" s="116">
        <v>4</v>
      </c>
      <c r="K7358" s="118">
        <v>598000</v>
      </c>
      <c r="L7358" s="119"/>
      <c r="M7358" s="118">
        <f t="shared" ref="M7358" si="10631">K7358*0.1</f>
        <v>59800</v>
      </c>
      <c r="N7358" s="119"/>
      <c r="O7358" s="118">
        <v>0</v>
      </c>
      <c r="P7358" s="119"/>
      <c r="Q7358" s="118">
        <v>6550</v>
      </c>
      <c r="R7358" s="119"/>
      <c r="S7358" s="118">
        <v>15950</v>
      </c>
      <c r="T7358" s="119"/>
      <c r="U7358" s="118">
        <f t="shared" ref="U7358" si="10632">SUM(K7358:T7359)</f>
        <v>680300</v>
      </c>
      <c r="V7358" s="122"/>
      <c r="W7358" s="124"/>
      <c r="X7358" s="126" t="s">
        <v>21331</v>
      </c>
      <c r="Y7358" s="127"/>
      <c r="Z7358" s="127"/>
      <c r="AA7358" s="127"/>
      <c r="AB7358" s="128"/>
      <c r="AC7358" s="15" t="s">
        <v>20</v>
      </c>
      <c r="AD7358" s="129" t="s">
        <v>1670</v>
      </c>
      <c r="AE7358" s="130"/>
      <c r="AF7358" s="130"/>
      <c r="AG7358" s="130"/>
      <c r="AH7358" s="130"/>
      <c r="AI7358" s="131"/>
      <c r="AJ7358" s="132"/>
      <c r="AK7358" s="127"/>
      <c r="AL7358" s="128"/>
      <c r="AM7358" s="21"/>
      <c r="AN7358" s="133">
        <v>46109</v>
      </c>
      <c r="AO7358" s="134"/>
      <c r="AP7358" s="135">
        <v>1294</v>
      </c>
      <c r="AQ7358" s="136"/>
      <c r="AR7358" s="118">
        <v>700000</v>
      </c>
      <c r="AS7358" s="119"/>
      <c r="AT7358" s="118">
        <f t="shared" ref="AT7358" si="10633">AR7358*0.1</f>
        <v>70000</v>
      </c>
      <c r="AU7358" s="119"/>
      <c r="AV7358" s="118">
        <v>6550</v>
      </c>
      <c r="AW7358" s="119"/>
      <c r="AX7358" s="118">
        <f t="shared" ref="AX7358" si="10634">SUM(AR7358:AW7358)</f>
        <v>776550</v>
      </c>
      <c r="AY7358" s="119"/>
      <c r="AZ7358" s="137">
        <v>46118</v>
      </c>
    </row>
    <row r="7359" spans="1:52" ht="17.100000000000001" customHeight="1" thickBot="1">
      <c r="A7359" s="110"/>
      <c r="B7359" s="27" t="s">
        <v>3574</v>
      </c>
      <c r="C7359" s="27">
        <v>3041</v>
      </c>
      <c r="D7359" s="14" t="s">
        <v>1720</v>
      </c>
      <c r="E7359" s="112"/>
      <c r="F7359" s="139" t="s">
        <v>20852</v>
      </c>
      <c r="G7359" s="140"/>
      <c r="H7359" s="141"/>
      <c r="I7359" s="26">
        <v>25271</v>
      </c>
      <c r="J7359" s="117"/>
      <c r="K7359" s="120"/>
      <c r="L7359" s="121"/>
      <c r="M7359" s="120"/>
      <c r="N7359" s="121"/>
      <c r="O7359" s="120"/>
      <c r="P7359" s="121"/>
      <c r="Q7359" s="120"/>
      <c r="R7359" s="121"/>
      <c r="S7359" s="120"/>
      <c r="T7359" s="121"/>
      <c r="U7359" s="120"/>
      <c r="V7359" s="123"/>
      <c r="W7359" s="125"/>
      <c r="X7359" s="142" t="s">
        <v>21332</v>
      </c>
      <c r="Y7359" s="143"/>
      <c r="Z7359" s="143"/>
      <c r="AA7359" s="143"/>
      <c r="AB7359" s="144"/>
      <c r="AC7359" s="16" t="s">
        <v>21</v>
      </c>
      <c r="AD7359" s="17" t="s">
        <v>21317</v>
      </c>
      <c r="AE7359" s="145" t="s">
        <v>13765</v>
      </c>
      <c r="AF7359" s="146"/>
      <c r="AG7359" s="146"/>
      <c r="AH7359" s="146"/>
      <c r="AI7359" s="147"/>
      <c r="AJ7359" s="148"/>
      <c r="AK7359" s="143"/>
      <c r="AL7359" s="144"/>
      <c r="AM7359" s="22"/>
      <c r="AN7359" s="149" t="s">
        <v>6748</v>
      </c>
      <c r="AO7359" s="144"/>
      <c r="AP7359" s="148">
        <v>60011</v>
      </c>
      <c r="AQ7359" s="144"/>
      <c r="AR7359" s="120"/>
      <c r="AS7359" s="121"/>
      <c r="AT7359" s="120"/>
      <c r="AU7359" s="121"/>
      <c r="AV7359" s="120"/>
      <c r="AW7359" s="121"/>
      <c r="AX7359" s="120"/>
      <c r="AY7359" s="121"/>
      <c r="AZ7359" s="138"/>
    </row>
    <row r="7360" spans="1:52" ht="17.100000000000001" customHeight="1" thickTop="1">
      <c r="A7360" s="109" t="s">
        <v>20735</v>
      </c>
      <c r="B7360" s="28">
        <v>46102</v>
      </c>
      <c r="C7360" s="25">
        <v>304</v>
      </c>
      <c r="D7360" s="13" t="s">
        <v>1922</v>
      </c>
      <c r="E7360" s="111"/>
      <c r="F7360" s="113" t="s">
        <v>15851</v>
      </c>
      <c r="G7360" s="114"/>
      <c r="H7360" s="115"/>
      <c r="I7360" s="24" t="s">
        <v>2064</v>
      </c>
      <c r="J7360" s="116">
        <v>4.5</v>
      </c>
      <c r="K7360" s="118">
        <v>712000</v>
      </c>
      <c r="L7360" s="119"/>
      <c r="M7360" s="118">
        <f t="shared" ref="M7360" si="10635">K7360*0.1</f>
        <v>71200</v>
      </c>
      <c r="N7360" s="119"/>
      <c r="O7360" s="118">
        <v>10800</v>
      </c>
      <c r="P7360" s="119"/>
      <c r="Q7360" s="118">
        <v>8430</v>
      </c>
      <c r="R7360" s="119"/>
      <c r="S7360" s="118">
        <v>15950</v>
      </c>
      <c r="T7360" s="119"/>
      <c r="U7360" s="118">
        <f t="shared" ref="U7360" si="10636">SUM(K7360:T7361)</f>
        <v>818380</v>
      </c>
      <c r="V7360" s="122"/>
      <c r="W7360" s="124"/>
      <c r="X7360" s="126" t="s">
        <v>20876</v>
      </c>
      <c r="Y7360" s="127"/>
      <c r="Z7360" s="127"/>
      <c r="AA7360" s="127"/>
      <c r="AB7360" s="128"/>
      <c r="AC7360" s="15" t="s">
        <v>20</v>
      </c>
      <c r="AD7360" s="129" t="s">
        <v>3485</v>
      </c>
      <c r="AE7360" s="130"/>
      <c r="AF7360" s="130"/>
      <c r="AG7360" s="130"/>
      <c r="AH7360" s="130"/>
      <c r="AI7360" s="131"/>
      <c r="AJ7360" s="132"/>
      <c r="AK7360" s="127"/>
      <c r="AL7360" s="128"/>
      <c r="AM7360" s="21"/>
      <c r="AN7360" s="133">
        <v>46109</v>
      </c>
      <c r="AO7360" s="134"/>
      <c r="AP7360" s="135">
        <v>1294</v>
      </c>
      <c r="AQ7360" s="136"/>
      <c r="AR7360" s="118">
        <v>800000</v>
      </c>
      <c r="AS7360" s="119"/>
      <c r="AT7360" s="118">
        <f t="shared" ref="AT7360" si="10637">AR7360*0.1</f>
        <v>80000</v>
      </c>
      <c r="AU7360" s="119"/>
      <c r="AV7360" s="118">
        <v>8430</v>
      </c>
      <c r="AW7360" s="119"/>
      <c r="AX7360" s="118">
        <f t="shared" ref="AX7360" si="10638">SUM(AR7360:AW7360)</f>
        <v>888430</v>
      </c>
      <c r="AY7360" s="119"/>
      <c r="AZ7360" s="137">
        <v>46112</v>
      </c>
    </row>
    <row r="7361" spans="1:52" ht="17.100000000000001" customHeight="1" thickBot="1">
      <c r="A7361" s="110"/>
      <c r="B7361" s="27" t="s">
        <v>3574</v>
      </c>
      <c r="C7361" s="27">
        <v>3109</v>
      </c>
      <c r="D7361" s="14" t="s">
        <v>2601</v>
      </c>
      <c r="E7361" s="112"/>
      <c r="F7361" s="139" t="s">
        <v>20853</v>
      </c>
      <c r="G7361" s="140"/>
      <c r="H7361" s="141"/>
      <c r="I7361" s="26">
        <v>32615</v>
      </c>
      <c r="J7361" s="117"/>
      <c r="K7361" s="120"/>
      <c r="L7361" s="121"/>
      <c r="M7361" s="120"/>
      <c r="N7361" s="121"/>
      <c r="O7361" s="120"/>
      <c r="P7361" s="121"/>
      <c r="Q7361" s="120"/>
      <c r="R7361" s="121"/>
      <c r="S7361" s="120"/>
      <c r="T7361" s="121"/>
      <c r="U7361" s="120"/>
      <c r="V7361" s="123"/>
      <c r="W7361" s="125"/>
      <c r="X7361" s="142" t="s">
        <v>11198</v>
      </c>
      <c r="Y7361" s="143"/>
      <c r="Z7361" s="143"/>
      <c r="AA7361" s="143"/>
      <c r="AB7361" s="144"/>
      <c r="AC7361" s="16" t="s">
        <v>21</v>
      </c>
      <c r="AD7361" s="17" t="s">
        <v>2388</v>
      </c>
      <c r="AE7361" s="145" t="s">
        <v>21289</v>
      </c>
      <c r="AF7361" s="146"/>
      <c r="AG7361" s="146"/>
      <c r="AH7361" s="146"/>
      <c r="AI7361" s="147"/>
      <c r="AJ7361" s="148"/>
      <c r="AK7361" s="143"/>
      <c r="AL7361" s="144"/>
      <c r="AM7361" s="22"/>
      <c r="AN7361" s="149" t="s">
        <v>21802</v>
      </c>
      <c r="AO7361" s="144"/>
      <c r="AP7361" s="148">
        <v>60029</v>
      </c>
      <c r="AQ7361" s="144"/>
      <c r="AR7361" s="120"/>
      <c r="AS7361" s="121"/>
      <c r="AT7361" s="120"/>
      <c r="AU7361" s="121"/>
      <c r="AV7361" s="120"/>
      <c r="AW7361" s="121"/>
      <c r="AX7361" s="120"/>
      <c r="AY7361" s="121"/>
      <c r="AZ7361" s="138"/>
    </row>
    <row r="7362" spans="1:52" ht="17.100000000000001" customHeight="1" thickTop="1">
      <c r="A7362" s="109" t="s">
        <v>20843</v>
      </c>
      <c r="B7362" s="28">
        <v>46102</v>
      </c>
      <c r="C7362" s="25">
        <v>304</v>
      </c>
      <c r="D7362" s="13" t="s">
        <v>1953</v>
      </c>
      <c r="E7362" s="111"/>
      <c r="F7362" s="113" t="s">
        <v>20854</v>
      </c>
      <c r="G7362" s="114"/>
      <c r="H7362" s="115"/>
      <c r="I7362" s="24"/>
      <c r="J7362" s="116">
        <v>4.5</v>
      </c>
      <c r="K7362" s="118">
        <v>782000</v>
      </c>
      <c r="L7362" s="119"/>
      <c r="M7362" s="118">
        <f t="shared" ref="M7362" si="10639">K7362*0.1</f>
        <v>78200</v>
      </c>
      <c r="N7362" s="119"/>
      <c r="O7362" s="118">
        <v>0</v>
      </c>
      <c r="P7362" s="119"/>
      <c r="Q7362" s="118">
        <v>8400</v>
      </c>
      <c r="R7362" s="119"/>
      <c r="S7362" s="118">
        <v>15950</v>
      </c>
      <c r="T7362" s="119"/>
      <c r="U7362" s="118">
        <f t="shared" ref="U7362" si="10640">SUM(K7362:T7363)</f>
        <v>884550</v>
      </c>
      <c r="V7362" s="122"/>
      <c r="W7362" s="124"/>
      <c r="X7362" s="126" t="s">
        <v>21173</v>
      </c>
      <c r="Y7362" s="127"/>
      <c r="Z7362" s="127"/>
      <c r="AA7362" s="127"/>
      <c r="AB7362" s="128"/>
      <c r="AC7362" s="15" t="s">
        <v>20</v>
      </c>
      <c r="AD7362" s="129"/>
      <c r="AE7362" s="130"/>
      <c r="AF7362" s="130"/>
      <c r="AG7362" s="130"/>
      <c r="AH7362" s="130"/>
      <c r="AI7362" s="131"/>
      <c r="AJ7362" s="132"/>
      <c r="AK7362" s="127"/>
      <c r="AL7362" s="128"/>
      <c r="AM7362" s="21"/>
      <c r="AN7362" s="133">
        <v>46109</v>
      </c>
      <c r="AO7362" s="134"/>
      <c r="AP7362" s="135">
        <v>1294</v>
      </c>
      <c r="AQ7362" s="136"/>
      <c r="AR7362" s="118">
        <v>850000</v>
      </c>
      <c r="AS7362" s="119"/>
      <c r="AT7362" s="118">
        <f t="shared" ref="AT7362" si="10641">AR7362*0.1</f>
        <v>85000</v>
      </c>
      <c r="AU7362" s="119"/>
      <c r="AV7362" s="118">
        <v>8400</v>
      </c>
      <c r="AW7362" s="119"/>
      <c r="AX7362" s="118">
        <f t="shared" ref="AX7362" si="10642">SUM(AR7362:AW7362)</f>
        <v>943400</v>
      </c>
      <c r="AY7362" s="119"/>
      <c r="AZ7362" s="137">
        <v>46114</v>
      </c>
    </row>
    <row r="7363" spans="1:52" ht="17.100000000000001" customHeight="1" thickBot="1">
      <c r="A7363" s="110"/>
      <c r="B7363" s="27" t="s">
        <v>3574</v>
      </c>
      <c r="C7363" s="27">
        <v>3185</v>
      </c>
      <c r="D7363" s="14" t="s">
        <v>904</v>
      </c>
      <c r="E7363" s="112"/>
      <c r="F7363" s="139" t="s">
        <v>20855</v>
      </c>
      <c r="G7363" s="140"/>
      <c r="H7363" s="141"/>
      <c r="I7363" s="26">
        <v>38583</v>
      </c>
      <c r="J7363" s="117"/>
      <c r="K7363" s="120"/>
      <c r="L7363" s="121"/>
      <c r="M7363" s="120"/>
      <c r="N7363" s="121"/>
      <c r="O7363" s="120"/>
      <c r="P7363" s="121"/>
      <c r="Q7363" s="120"/>
      <c r="R7363" s="121"/>
      <c r="S7363" s="120"/>
      <c r="T7363" s="121"/>
      <c r="U7363" s="120"/>
      <c r="V7363" s="123"/>
      <c r="W7363" s="125"/>
      <c r="X7363" s="142" t="s">
        <v>21174</v>
      </c>
      <c r="Y7363" s="143"/>
      <c r="Z7363" s="143"/>
      <c r="AA7363" s="143"/>
      <c r="AB7363" s="144"/>
      <c r="AC7363" s="16" t="s">
        <v>21</v>
      </c>
      <c r="AD7363" s="17" t="s">
        <v>2388</v>
      </c>
      <c r="AE7363" s="145" t="s">
        <v>7842</v>
      </c>
      <c r="AF7363" s="146"/>
      <c r="AG7363" s="146"/>
      <c r="AH7363" s="146"/>
      <c r="AI7363" s="147"/>
      <c r="AJ7363" s="148"/>
      <c r="AK7363" s="143"/>
      <c r="AL7363" s="144"/>
      <c r="AM7363" s="22"/>
      <c r="AN7363" s="149" t="s">
        <v>6748</v>
      </c>
      <c r="AO7363" s="144"/>
      <c r="AP7363" s="148">
        <v>60260</v>
      </c>
      <c r="AQ7363" s="144"/>
      <c r="AR7363" s="120"/>
      <c r="AS7363" s="121"/>
      <c r="AT7363" s="120"/>
      <c r="AU7363" s="121"/>
      <c r="AV7363" s="120"/>
      <c r="AW7363" s="121"/>
      <c r="AX7363" s="120"/>
      <c r="AY7363" s="121"/>
      <c r="AZ7363" s="138"/>
    </row>
    <row r="7364" spans="1:52" ht="17.100000000000001" customHeight="1" thickTop="1">
      <c r="A7364" s="109" t="s">
        <v>20844</v>
      </c>
      <c r="B7364" s="28">
        <v>46102</v>
      </c>
      <c r="C7364" s="25">
        <v>1015</v>
      </c>
      <c r="D7364" s="13" t="s">
        <v>4860</v>
      </c>
      <c r="E7364" s="111"/>
      <c r="F7364" s="113" t="s">
        <v>20856</v>
      </c>
      <c r="G7364" s="114"/>
      <c r="H7364" s="115"/>
      <c r="I7364" s="24"/>
      <c r="J7364" s="116">
        <v>4.5</v>
      </c>
      <c r="K7364" s="118">
        <v>922000</v>
      </c>
      <c r="L7364" s="119"/>
      <c r="M7364" s="118">
        <f t="shared" ref="M7364" si="10643">K7364*0.1</f>
        <v>92200</v>
      </c>
      <c r="N7364" s="119"/>
      <c r="O7364" s="118">
        <v>0</v>
      </c>
      <c r="P7364" s="119"/>
      <c r="Q7364" s="118">
        <v>18300</v>
      </c>
      <c r="R7364" s="119"/>
      <c r="S7364" s="118">
        <v>15950</v>
      </c>
      <c r="T7364" s="119"/>
      <c r="U7364" s="118">
        <f t="shared" ref="U7364" si="10644">SUM(K7364:T7365)</f>
        <v>1048450</v>
      </c>
      <c r="V7364" s="122"/>
      <c r="W7364" s="124"/>
      <c r="X7364" s="126" t="s">
        <v>21244</v>
      </c>
      <c r="Y7364" s="127"/>
      <c r="Z7364" s="127"/>
      <c r="AA7364" s="127"/>
      <c r="AB7364" s="128"/>
      <c r="AC7364" s="15" t="s">
        <v>20</v>
      </c>
      <c r="AD7364" s="129"/>
      <c r="AE7364" s="130"/>
      <c r="AF7364" s="130"/>
      <c r="AG7364" s="130"/>
      <c r="AH7364" s="130"/>
      <c r="AI7364" s="131"/>
      <c r="AJ7364" s="132"/>
      <c r="AK7364" s="127"/>
      <c r="AL7364" s="128"/>
      <c r="AM7364" s="21"/>
      <c r="AN7364" s="133">
        <v>46121</v>
      </c>
      <c r="AO7364" s="134"/>
      <c r="AP7364" s="135">
        <v>1326</v>
      </c>
      <c r="AQ7364" s="136"/>
      <c r="AR7364" s="118">
        <v>1055000</v>
      </c>
      <c r="AS7364" s="119"/>
      <c r="AT7364" s="118">
        <f t="shared" ref="AT7364" si="10645">AR7364*0.1</f>
        <v>105500</v>
      </c>
      <c r="AU7364" s="119"/>
      <c r="AV7364" s="118">
        <v>18300</v>
      </c>
      <c r="AW7364" s="119"/>
      <c r="AX7364" s="118">
        <f t="shared" ref="AX7364" si="10646">SUM(AR7364:AW7364)</f>
        <v>1178800</v>
      </c>
      <c r="AY7364" s="119"/>
      <c r="AZ7364" s="137">
        <v>46122</v>
      </c>
    </row>
    <row r="7365" spans="1:52" ht="17.100000000000001" customHeight="1" thickBot="1">
      <c r="A7365" s="110"/>
      <c r="B7365" s="27" t="s">
        <v>1707</v>
      </c>
      <c r="C7365" s="27">
        <v>5018</v>
      </c>
      <c r="D7365" s="14" t="s">
        <v>1592</v>
      </c>
      <c r="E7365" s="112"/>
      <c r="F7365" s="139" t="s">
        <v>20877</v>
      </c>
      <c r="G7365" s="140"/>
      <c r="H7365" s="141"/>
      <c r="I7365" s="26">
        <v>48621</v>
      </c>
      <c r="J7365" s="117"/>
      <c r="K7365" s="120"/>
      <c r="L7365" s="121"/>
      <c r="M7365" s="120"/>
      <c r="N7365" s="121"/>
      <c r="O7365" s="120"/>
      <c r="P7365" s="121"/>
      <c r="Q7365" s="120"/>
      <c r="R7365" s="121"/>
      <c r="S7365" s="120"/>
      <c r="T7365" s="121"/>
      <c r="U7365" s="120"/>
      <c r="V7365" s="123"/>
      <c r="W7365" s="125"/>
      <c r="X7365" s="142" t="s">
        <v>21245</v>
      </c>
      <c r="Y7365" s="143"/>
      <c r="Z7365" s="143"/>
      <c r="AA7365" s="143"/>
      <c r="AB7365" s="144"/>
      <c r="AC7365" s="16" t="s">
        <v>21</v>
      </c>
      <c r="AD7365" s="17" t="s">
        <v>21230</v>
      </c>
      <c r="AE7365" s="145" t="s">
        <v>21246</v>
      </c>
      <c r="AF7365" s="146"/>
      <c r="AG7365" s="146"/>
      <c r="AH7365" s="146"/>
      <c r="AI7365" s="147"/>
      <c r="AJ7365" s="148"/>
      <c r="AK7365" s="143"/>
      <c r="AL7365" s="144"/>
      <c r="AM7365" s="22"/>
      <c r="AN7365" s="149" t="s">
        <v>13663</v>
      </c>
      <c r="AO7365" s="144"/>
      <c r="AP7365" s="148">
        <v>105</v>
      </c>
      <c r="AQ7365" s="144"/>
      <c r="AR7365" s="120"/>
      <c r="AS7365" s="121"/>
      <c r="AT7365" s="120"/>
      <c r="AU7365" s="121"/>
      <c r="AV7365" s="120"/>
      <c r="AW7365" s="121"/>
      <c r="AX7365" s="120"/>
      <c r="AY7365" s="121"/>
      <c r="AZ7365" s="138"/>
    </row>
    <row r="7366" spans="1:52" ht="17.100000000000001" customHeight="1" thickTop="1">
      <c r="A7366" s="109" t="s">
        <v>20845</v>
      </c>
      <c r="B7366" s="28">
        <v>46102</v>
      </c>
      <c r="C7366" s="25">
        <v>1015</v>
      </c>
      <c r="D7366" s="13" t="s">
        <v>2036</v>
      </c>
      <c r="E7366" s="111"/>
      <c r="F7366" s="113" t="s">
        <v>20857</v>
      </c>
      <c r="G7366" s="114"/>
      <c r="H7366" s="115"/>
      <c r="I7366" s="24"/>
      <c r="J7366" s="116">
        <v>4</v>
      </c>
      <c r="K7366" s="118">
        <v>2861000</v>
      </c>
      <c r="L7366" s="119"/>
      <c r="M7366" s="118">
        <f t="shared" ref="M7366" si="10647">K7366*0.1</f>
        <v>286100</v>
      </c>
      <c r="N7366" s="119"/>
      <c r="O7366" s="118">
        <v>0</v>
      </c>
      <c r="P7366" s="119"/>
      <c r="Q7366" s="118">
        <v>21160</v>
      </c>
      <c r="R7366" s="119"/>
      <c r="S7366" s="118">
        <v>15950</v>
      </c>
      <c r="T7366" s="119"/>
      <c r="U7366" s="118">
        <f t="shared" ref="U7366" si="10648">SUM(K7366:T7367)</f>
        <v>3184210</v>
      </c>
      <c r="V7366" s="122"/>
      <c r="W7366" s="124"/>
      <c r="X7366" s="126" t="s">
        <v>21252</v>
      </c>
      <c r="Y7366" s="127"/>
      <c r="Z7366" s="127"/>
      <c r="AA7366" s="127"/>
      <c r="AB7366" s="128"/>
      <c r="AC7366" s="15" t="s">
        <v>20</v>
      </c>
      <c r="AD7366" s="129" t="s">
        <v>1670</v>
      </c>
      <c r="AE7366" s="130"/>
      <c r="AF7366" s="130"/>
      <c r="AG7366" s="130"/>
      <c r="AH7366" s="130"/>
      <c r="AI7366" s="131"/>
      <c r="AJ7366" s="132" t="s">
        <v>24655</v>
      </c>
      <c r="AK7366" s="127"/>
      <c r="AL7366" s="128"/>
      <c r="AM7366" s="21"/>
      <c r="AN7366" s="133">
        <v>46137</v>
      </c>
      <c r="AO7366" s="134"/>
      <c r="AP7366" s="135">
        <v>1298</v>
      </c>
      <c r="AQ7366" s="136"/>
      <c r="AR7366" s="118">
        <v>3000000</v>
      </c>
      <c r="AS7366" s="119"/>
      <c r="AT7366" s="118">
        <f t="shared" ref="AT7366" si="10649">AR7366*0.1</f>
        <v>300000</v>
      </c>
      <c r="AU7366" s="119"/>
      <c r="AV7366" s="118">
        <v>21160</v>
      </c>
      <c r="AW7366" s="119"/>
      <c r="AX7366" s="118">
        <f t="shared" ref="AX7366" si="10650">SUM(AR7366:AW7366)</f>
        <v>3321160</v>
      </c>
      <c r="AY7366" s="119"/>
      <c r="AZ7366" s="137">
        <v>46143</v>
      </c>
    </row>
    <row r="7367" spans="1:52" ht="17.100000000000001" customHeight="1" thickBot="1">
      <c r="A7367" s="110"/>
      <c r="B7367" s="27" t="s">
        <v>1707</v>
      </c>
      <c r="C7367" s="27">
        <v>5049</v>
      </c>
      <c r="D7367" s="14" t="s">
        <v>2800</v>
      </c>
      <c r="E7367" s="112"/>
      <c r="F7367" s="139" t="s">
        <v>20878</v>
      </c>
      <c r="G7367" s="140"/>
      <c r="H7367" s="141"/>
      <c r="I7367" s="26">
        <v>32756</v>
      </c>
      <c r="J7367" s="117"/>
      <c r="K7367" s="120"/>
      <c r="L7367" s="121"/>
      <c r="M7367" s="120"/>
      <c r="N7367" s="121"/>
      <c r="O7367" s="120"/>
      <c r="P7367" s="121"/>
      <c r="Q7367" s="120"/>
      <c r="R7367" s="121"/>
      <c r="S7367" s="120"/>
      <c r="T7367" s="121"/>
      <c r="U7367" s="120"/>
      <c r="V7367" s="123"/>
      <c r="W7367" s="125"/>
      <c r="X7367" s="142" t="s">
        <v>21253</v>
      </c>
      <c r="Y7367" s="143"/>
      <c r="Z7367" s="143"/>
      <c r="AA7367" s="143"/>
      <c r="AB7367" s="144"/>
      <c r="AC7367" s="16" t="s">
        <v>21</v>
      </c>
      <c r="AD7367" s="17" t="s">
        <v>21249</v>
      </c>
      <c r="AE7367" s="145" t="s">
        <v>21254</v>
      </c>
      <c r="AF7367" s="146"/>
      <c r="AG7367" s="146"/>
      <c r="AH7367" s="146"/>
      <c r="AI7367" s="147"/>
      <c r="AJ7367" s="148"/>
      <c r="AK7367" s="143"/>
      <c r="AL7367" s="144"/>
      <c r="AM7367" s="22"/>
      <c r="AN7367" s="149" t="s">
        <v>6748</v>
      </c>
      <c r="AO7367" s="144"/>
      <c r="AP7367" s="148">
        <v>80065</v>
      </c>
      <c r="AQ7367" s="144"/>
      <c r="AR7367" s="120"/>
      <c r="AS7367" s="121"/>
      <c r="AT7367" s="120"/>
      <c r="AU7367" s="121"/>
      <c r="AV7367" s="120"/>
      <c r="AW7367" s="121"/>
      <c r="AX7367" s="120"/>
      <c r="AY7367" s="121"/>
      <c r="AZ7367" s="138"/>
    </row>
    <row r="7368" spans="1:52" ht="17.100000000000001" customHeight="1" thickTop="1">
      <c r="A7368" s="109" t="s">
        <v>20846</v>
      </c>
      <c r="B7368" s="28">
        <v>46102</v>
      </c>
      <c r="C7368" s="25">
        <v>1015</v>
      </c>
      <c r="D7368" s="13" t="s">
        <v>1853</v>
      </c>
      <c r="E7368" s="111"/>
      <c r="F7368" s="113" t="s">
        <v>20858</v>
      </c>
      <c r="G7368" s="114"/>
      <c r="H7368" s="115"/>
      <c r="I7368" s="24"/>
      <c r="J7368" s="116">
        <v>4.5</v>
      </c>
      <c r="K7368" s="118">
        <v>1799000</v>
      </c>
      <c r="L7368" s="119"/>
      <c r="M7368" s="118">
        <f t="shared" ref="M7368" si="10651">K7368*0.1</f>
        <v>179900</v>
      </c>
      <c r="N7368" s="119"/>
      <c r="O7368" s="118">
        <v>0</v>
      </c>
      <c r="P7368" s="119"/>
      <c r="Q7368" s="118">
        <v>17800</v>
      </c>
      <c r="R7368" s="119"/>
      <c r="S7368" s="118">
        <v>15950</v>
      </c>
      <c r="T7368" s="119"/>
      <c r="U7368" s="118">
        <f t="shared" ref="U7368" si="10652">SUM(K7368:T7369)</f>
        <v>2012650</v>
      </c>
      <c r="V7368" s="122"/>
      <c r="W7368" s="124"/>
      <c r="X7368" s="126" t="s">
        <v>21176</v>
      </c>
      <c r="Y7368" s="127"/>
      <c r="Z7368" s="127"/>
      <c r="AA7368" s="127"/>
      <c r="AB7368" s="128"/>
      <c r="AC7368" s="15" t="s">
        <v>20</v>
      </c>
      <c r="AD7368" s="129"/>
      <c r="AE7368" s="130"/>
      <c r="AF7368" s="130"/>
      <c r="AG7368" s="130"/>
      <c r="AH7368" s="130"/>
      <c r="AI7368" s="131"/>
      <c r="AJ7368" s="132"/>
      <c r="AK7368" s="127"/>
      <c r="AL7368" s="128"/>
      <c r="AM7368" s="21"/>
      <c r="AN7368" s="133">
        <v>46107</v>
      </c>
      <c r="AO7368" s="134"/>
      <c r="AP7368" s="135">
        <v>1324</v>
      </c>
      <c r="AQ7368" s="136"/>
      <c r="AR7368" s="118">
        <v>2000000</v>
      </c>
      <c r="AS7368" s="119"/>
      <c r="AT7368" s="118">
        <f t="shared" ref="AT7368" si="10653">AR7368*0.1</f>
        <v>200000</v>
      </c>
      <c r="AU7368" s="119"/>
      <c r="AV7368" s="118">
        <v>17800</v>
      </c>
      <c r="AW7368" s="119"/>
      <c r="AX7368" s="118">
        <f t="shared" ref="AX7368" si="10654">SUM(AR7368:AW7368)</f>
        <v>2217800</v>
      </c>
      <c r="AY7368" s="119"/>
      <c r="AZ7368" s="137">
        <v>46108</v>
      </c>
    </row>
    <row r="7369" spans="1:52" ht="17.100000000000001" customHeight="1" thickBot="1">
      <c r="A7369" s="110"/>
      <c r="B7369" s="27" t="s">
        <v>1707</v>
      </c>
      <c r="C7369" s="27">
        <v>5087</v>
      </c>
      <c r="D7369" s="14" t="s">
        <v>275</v>
      </c>
      <c r="E7369" s="112"/>
      <c r="F7369" s="139" t="s">
        <v>20879</v>
      </c>
      <c r="G7369" s="140"/>
      <c r="H7369" s="141"/>
      <c r="I7369" s="26">
        <v>50118</v>
      </c>
      <c r="J7369" s="117"/>
      <c r="K7369" s="120"/>
      <c r="L7369" s="121"/>
      <c r="M7369" s="120"/>
      <c r="N7369" s="121"/>
      <c r="O7369" s="120"/>
      <c r="P7369" s="121"/>
      <c r="Q7369" s="120"/>
      <c r="R7369" s="121"/>
      <c r="S7369" s="120"/>
      <c r="T7369" s="121"/>
      <c r="U7369" s="120"/>
      <c r="V7369" s="123"/>
      <c r="W7369" s="125"/>
      <c r="X7369" s="142" t="s">
        <v>4970</v>
      </c>
      <c r="Y7369" s="143"/>
      <c r="Z7369" s="143"/>
      <c r="AA7369" s="143"/>
      <c r="AB7369" s="144"/>
      <c r="AC7369" s="16" t="s">
        <v>21</v>
      </c>
      <c r="AD7369" s="17" t="s">
        <v>2388</v>
      </c>
      <c r="AE7369" s="145" t="s">
        <v>5319</v>
      </c>
      <c r="AF7369" s="146"/>
      <c r="AG7369" s="146"/>
      <c r="AH7369" s="146"/>
      <c r="AI7369" s="147"/>
      <c r="AJ7369" s="148"/>
      <c r="AK7369" s="143"/>
      <c r="AL7369" s="144"/>
      <c r="AM7369" s="22"/>
      <c r="AN7369" s="149" t="s">
        <v>21214</v>
      </c>
      <c r="AO7369" s="144"/>
      <c r="AP7369" s="148">
        <v>131</v>
      </c>
      <c r="AQ7369" s="144"/>
      <c r="AR7369" s="120"/>
      <c r="AS7369" s="121"/>
      <c r="AT7369" s="120"/>
      <c r="AU7369" s="121"/>
      <c r="AV7369" s="120"/>
      <c r="AW7369" s="121"/>
      <c r="AX7369" s="120"/>
      <c r="AY7369" s="121"/>
      <c r="AZ7369" s="138"/>
    </row>
    <row r="7370" spans="1:52" ht="17.100000000000001" customHeight="1" thickTop="1">
      <c r="A7370" s="109" t="s">
        <v>20847</v>
      </c>
      <c r="B7370" s="28">
        <v>46102</v>
      </c>
      <c r="C7370" s="25">
        <v>1293</v>
      </c>
      <c r="D7370" s="13" t="s">
        <v>4287</v>
      </c>
      <c r="E7370" s="111"/>
      <c r="F7370" s="113" t="s">
        <v>17276</v>
      </c>
      <c r="G7370" s="114"/>
      <c r="H7370" s="115"/>
      <c r="I7370" s="24" t="s">
        <v>4193</v>
      </c>
      <c r="J7370" s="116">
        <v>5</v>
      </c>
      <c r="K7370" s="118">
        <v>1810000</v>
      </c>
      <c r="L7370" s="119"/>
      <c r="M7370" s="118">
        <f t="shared" ref="M7370" si="10655">K7370*0.1</f>
        <v>181000</v>
      </c>
      <c r="N7370" s="119"/>
      <c r="O7370" s="118">
        <v>10800</v>
      </c>
      <c r="P7370" s="119"/>
      <c r="Q7370" s="118">
        <v>6180</v>
      </c>
      <c r="R7370" s="119"/>
      <c r="S7370" s="118">
        <v>12100</v>
      </c>
      <c r="T7370" s="119"/>
      <c r="U7370" s="118">
        <f t="shared" ref="U7370" si="10656">SUM(K7370:T7371)</f>
        <v>2020080</v>
      </c>
      <c r="V7370" s="122"/>
      <c r="W7370" s="124"/>
      <c r="X7370" s="126" t="s">
        <v>20882</v>
      </c>
      <c r="Y7370" s="127"/>
      <c r="Z7370" s="127"/>
      <c r="AA7370" s="127"/>
      <c r="AB7370" s="128"/>
      <c r="AC7370" s="15" t="s">
        <v>20</v>
      </c>
      <c r="AD7370" s="129" t="s">
        <v>1670</v>
      </c>
      <c r="AE7370" s="130"/>
      <c r="AF7370" s="130"/>
      <c r="AG7370" s="130"/>
      <c r="AH7370" s="130"/>
      <c r="AI7370" s="131"/>
      <c r="AJ7370" s="132"/>
      <c r="AK7370" s="127"/>
      <c r="AL7370" s="128"/>
      <c r="AM7370" s="21"/>
      <c r="AN7370" s="133">
        <v>46112</v>
      </c>
      <c r="AO7370" s="134"/>
      <c r="AP7370" s="135">
        <v>1935</v>
      </c>
      <c r="AQ7370" s="136"/>
      <c r="AR7370" s="118">
        <v>1909000</v>
      </c>
      <c r="AS7370" s="119"/>
      <c r="AT7370" s="118">
        <f t="shared" ref="AT7370" si="10657">AR7370*0.1</f>
        <v>190900</v>
      </c>
      <c r="AU7370" s="119"/>
      <c r="AV7370" s="118">
        <v>6180</v>
      </c>
      <c r="AW7370" s="119"/>
      <c r="AX7370" s="118">
        <f t="shared" ref="AX7370" si="10658">SUM(AR7370:AW7370)</f>
        <v>2106080</v>
      </c>
      <c r="AY7370" s="119"/>
      <c r="AZ7370" s="137"/>
    </row>
    <row r="7371" spans="1:52" ht="17.100000000000001" customHeight="1" thickBot="1">
      <c r="A7371" s="110"/>
      <c r="B7371" s="27" t="s">
        <v>2511</v>
      </c>
      <c r="C7371" s="27">
        <v>31029</v>
      </c>
      <c r="D7371" s="14" t="s">
        <v>1812</v>
      </c>
      <c r="E7371" s="112"/>
      <c r="F7371" s="139" t="s">
        <v>20865</v>
      </c>
      <c r="G7371" s="140"/>
      <c r="H7371" s="141"/>
      <c r="I7371" s="26">
        <v>2137</v>
      </c>
      <c r="J7371" s="117"/>
      <c r="K7371" s="120"/>
      <c r="L7371" s="121"/>
      <c r="M7371" s="120"/>
      <c r="N7371" s="121"/>
      <c r="O7371" s="120"/>
      <c r="P7371" s="121"/>
      <c r="Q7371" s="120"/>
      <c r="R7371" s="121"/>
      <c r="S7371" s="120"/>
      <c r="T7371" s="121"/>
      <c r="U7371" s="120"/>
      <c r="V7371" s="123"/>
      <c r="W7371" s="125"/>
      <c r="X7371" s="142" t="s">
        <v>21383</v>
      </c>
      <c r="Y7371" s="143"/>
      <c r="Z7371" s="143"/>
      <c r="AA7371" s="143"/>
      <c r="AB7371" s="144"/>
      <c r="AC7371" s="16" t="s">
        <v>21</v>
      </c>
      <c r="AD7371" s="17" t="s">
        <v>21317</v>
      </c>
      <c r="AE7371" s="145" t="s">
        <v>21384</v>
      </c>
      <c r="AF7371" s="146"/>
      <c r="AG7371" s="146"/>
      <c r="AH7371" s="146"/>
      <c r="AI7371" s="147"/>
      <c r="AJ7371" s="148"/>
      <c r="AK7371" s="143"/>
      <c r="AL7371" s="144"/>
      <c r="AM7371" s="22"/>
      <c r="AN7371" s="149" t="s">
        <v>21744</v>
      </c>
      <c r="AO7371" s="144"/>
      <c r="AP7371" s="148">
        <v>3173</v>
      </c>
      <c r="AQ7371" s="144"/>
      <c r="AR7371" s="120"/>
      <c r="AS7371" s="121"/>
      <c r="AT7371" s="120"/>
      <c r="AU7371" s="121"/>
      <c r="AV7371" s="120"/>
      <c r="AW7371" s="121"/>
      <c r="AX7371" s="120"/>
      <c r="AY7371" s="121"/>
      <c r="AZ7371" s="138"/>
    </row>
    <row r="7372" spans="1:52" ht="17.100000000000001" customHeight="1" thickTop="1">
      <c r="A7372" s="109" t="s">
        <v>20848</v>
      </c>
      <c r="B7372" s="28">
        <v>46102</v>
      </c>
      <c r="C7372" s="25">
        <v>1293</v>
      </c>
      <c r="D7372" s="13" t="s">
        <v>2606</v>
      </c>
      <c r="E7372" s="111"/>
      <c r="F7372" s="113" t="s">
        <v>20866</v>
      </c>
      <c r="G7372" s="114"/>
      <c r="H7372" s="115"/>
      <c r="I7372" s="24" t="s">
        <v>20883</v>
      </c>
      <c r="J7372" s="116">
        <v>4</v>
      </c>
      <c r="K7372" s="118">
        <v>1400000</v>
      </c>
      <c r="L7372" s="119"/>
      <c r="M7372" s="118">
        <f t="shared" ref="M7372" si="10659">K7372*0.1</f>
        <v>140000</v>
      </c>
      <c r="N7372" s="119"/>
      <c r="O7372" s="118">
        <v>36000</v>
      </c>
      <c r="P7372" s="119"/>
      <c r="Q7372" s="118">
        <v>12030</v>
      </c>
      <c r="R7372" s="119"/>
      <c r="S7372" s="118">
        <v>13200</v>
      </c>
      <c r="T7372" s="119"/>
      <c r="U7372" s="118">
        <f t="shared" ref="U7372" si="10660">SUM(K7372:T7373)</f>
        <v>1601230</v>
      </c>
      <c r="V7372" s="122"/>
      <c r="W7372" s="124"/>
      <c r="X7372" s="126" t="s">
        <v>20884</v>
      </c>
      <c r="Y7372" s="127"/>
      <c r="Z7372" s="127"/>
      <c r="AA7372" s="127"/>
      <c r="AB7372" s="128"/>
      <c r="AC7372" s="15" t="s">
        <v>20</v>
      </c>
      <c r="AD7372" s="129" t="s">
        <v>20885</v>
      </c>
      <c r="AE7372" s="130"/>
      <c r="AF7372" s="130"/>
      <c r="AG7372" s="130"/>
      <c r="AH7372" s="130"/>
      <c r="AI7372" s="131"/>
      <c r="AJ7372" s="132"/>
      <c r="AK7372" s="127"/>
      <c r="AL7372" s="128"/>
      <c r="AM7372" s="21"/>
      <c r="AN7372" s="133">
        <v>46106</v>
      </c>
      <c r="AO7372" s="134"/>
      <c r="AP7372" s="135">
        <v>1010</v>
      </c>
      <c r="AQ7372" s="136"/>
      <c r="AR7372" s="118">
        <v>1455000</v>
      </c>
      <c r="AS7372" s="119"/>
      <c r="AT7372" s="118">
        <f t="shared" ref="AT7372" si="10661">AR7372*0.1</f>
        <v>145500</v>
      </c>
      <c r="AU7372" s="119"/>
      <c r="AV7372" s="118">
        <v>12030</v>
      </c>
      <c r="AW7372" s="119"/>
      <c r="AX7372" s="118">
        <f t="shared" ref="AX7372" si="10662">SUM(AR7372:AW7372)</f>
        <v>1612530</v>
      </c>
      <c r="AY7372" s="119"/>
      <c r="AZ7372" s="137">
        <v>46112</v>
      </c>
    </row>
    <row r="7373" spans="1:52" ht="17.100000000000001" customHeight="1" thickBot="1">
      <c r="A7373" s="110"/>
      <c r="B7373" s="27" t="s">
        <v>2511</v>
      </c>
      <c r="C7373" s="27">
        <v>35210</v>
      </c>
      <c r="D7373" s="14" t="s">
        <v>2601</v>
      </c>
      <c r="E7373" s="112"/>
      <c r="F7373" s="139" t="s">
        <v>20867</v>
      </c>
      <c r="G7373" s="140"/>
      <c r="H7373" s="141"/>
      <c r="I7373" s="26">
        <v>65050</v>
      </c>
      <c r="J7373" s="117"/>
      <c r="K7373" s="120"/>
      <c r="L7373" s="121"/>
      <c r="M7373" s="120"/>
      <c r="N7373" s="121"/>
      <c r="O7373" s="120"/>
      <c r="P7373" s="121"/>
      <c r="Q7373" s="120"/>
      <c r="R7373" s="121"/>
      <c r="S7373" s="120"/>
      <c r="T7373" s="121"/>
      <c r="U7373" s="120"/>
      <c r="V7373" s="123"/>
      <c r="W7373" s="125"/>
      <c r="X7373" s="142" t="s">
        <v>21377</v>
      </c>
      <c r="Y7373" s="143"/>
      <c r="Z7373" s="143"/>
      <c r="AA7373" s="143"/>
      <c r="AB7373" s="144"/>
      <c r="AC7373" s="16" t="s">
        <v>21</v>
      </c>
      <c r="AD7373" s="17" t="s">
        <v>21317</v>
      </c>
      <c r="AE7373" s="145" t="s">
        <v>21378</v>
      </c>
      <c r="AF7373" s="146"/>
      <c r="AG7373" s="146"/>
      <c r="AH7373" s="146"/>
      <c r="AI7373" s="147"/>
      <c r="AJ7373" s="148"/>
      <c r="AK7373" s="143"/>
      <c r="AL7373" s="144"/>
      <c r="AM7373" s="22"/>
      <c r="AN7373" s="149" t="s">
        <v>2794</v>
      </c>
      <c r="AO7373" s="144"/>
      <c r="AP7373" s="148">
        <v>5172</v>
      </c>
      <c r="AQ7373" s="144"/>
      <c r="AR7373" s="120"/>
      <c r="AS7373" s="121"/>
      <c r="AT7373" s="120"/>
      <c r="AU7373" s="121"/>
      <c r="AV7373" s="120"/>
      <c r="AW7373" s="121"/>
      <c r="AX7373" s="120"/>
      <c r="AY7373" s="121"/>
      <c r="AZ7373" s="138"/>
    </row>
    <row r="7374" spans="1:52" ht="17.100000000000001" customHeight="1" thickTop="1">
      <c r="A7374" s="109" t="s">
        <v>20849</v>
      </c>
      <c r="B7374" s="28">
        <v>46102</v>
      </c>
      <c r="C7374" s="25">
        <v>1293</v>
      </c>
      <c r="D7374" s="13" t="s">
        <v>1686</v>
      </c>
      <c r="E7374" s="111"/>
      <c r="F7374" s="113" t="s">
        <v>19694</v>
      </c>
      <c r="G7374" s="114"/>
      <c r="H7374" s="115"/>
      <c r="I7374" s="24" t="s">
        <v>16525</v>
      </c>
      <c r="J7374" s="116">
        <v>4.5</v>
      </c>
      <c r="K7374" s="118">
        <v>1045000</v>
      </c>
      <c r="L7374" s="119"/>
      <c r="M7374" s="118">
        <f t="shared" ref="M7374" si="10663">K7374*0.1</f>
        <v>104500</v>
      </c>
      <c r="N7374" s="119"/>
      <c r="O7374" s="118">
        <v>39500</v>
      </c>
      <c r="P7374" s="119"/>
      <c r="Q7374" s="118">
        <v>12470</v>
      </c>
      <c r="R7374" s="119"/>
      <c r="S7374" s="118">
        <v>12100</v>
      </c>
      <c r="T7374" s="119"/>
      <c r="U7374" s="118">
        <f t="shared" ref="U7374" si="10664">SUM(K7374:T7375)</f>
        <v>1213570</v>
      </c>
      <c r="V7374" s="122"/>
      <c r="W7374" s="124"/>
      <c r="X7374" s="126" t="s">
        <v>20886</v>
      </c>
      <c r="Y7374" s="127"/>
      <c r="Z7374" s="127"/>
      <c r="AA7374" s="127"/>
      <c r="AB7374" s="128"/>
      <c r="AC7374" s="15" t="s">
        <v>20</v>
      </c>
      <c r="AD7374" s="129" t="s">
        <v>20887</v>
      </c>
      <c r="AE7374" s="130"/>
      <c r="AF7374" s="130"/>
      <c r="AG7374" s="130"/>
      <c r="AH7374" s="130"/>
      <c r="AI7374" s="131"/>
      <c r="AJ7374" s="132"/>
      <c r="AK7374" s="127"/>
      <c r="AL7374" s="128"/>
      <c r="AM7374" s="21"/>
      <c r="AN7374" s="133">
        <v>46113</v>
      </c>
      <c r="AO7374" s="134"/>
      <c r="AP7374" s="135">
        <v>1011</v>
      </c>
      <c r="AQ7374" s="136"/>
      <c r="AR7374" s="118">
        <v>1085000</v>
      </c>
      <c r="AS7374" s="119"/>
      <c r="AT7374" s="118">
        <f t="shared" ref="AT7374" si="10665">AR7374*0.1</f>
        <v>108500</v>
      </c>
      <c r="AU7374" s="119"/>
      <c r="AV7374" s="118">
        <v>12470</v>
      </c>
      <c r="AW7374" s="119"/>
      <c r="AX7374" s="118">
        <f t="shared" ref="AX7374" si="10666">SUM(AR7374:AW7374)</f>
        <v>1205970</v>
      </c>
      <c r="AY7374" s="119"/>
      <c r="AZ7374" s="137">
        <v>46118</v>
      </c>
    </row>
    <row r="7375" spans="1:52" ht="17.100000000000001" customHeight="1" thickBot="1">
      <c r="A7375" s="110"/>
      <c r="B7375" s="27" t="s">
        <v>2511</v>
      </c>
      <c r="C7375" s="27">
        <v>37586</v>
      </c>
      <c r="D7375" s="14" t="s">
        <v>275</v>
      </c>
      <c r="E7375" s="112"/>
      <c r="F7375" s="139" t="s">
        <v>20868</v>
      </c>
      <c r="G7375" s="140"/>
      <c r="H7375" s="141"/>
      <c r="I7375" s="26">
        <v>92750</v>
      </c>
      <c r="J7375" s="117"/>
      <c r="K7375" s="120"/>
      <c r="L7375" s="121"/>
      <c r="M7375" s="120"/>
      <c r="N7375" s="121"/>
      <c r="O7375" s="120"/>
      <c r="P7375" s="121"/>
      <c r="Q7375" s="120"/>
      <c r="R7375" s="121"/>
      <c r="S7375" s="120"/>
      <c r="T7375" s="121"/>
      <c r="U7375" s="120"/>
      <c r="V7375" s="123"/>
      <c r="W7375" s="125"/>
      <c r="X7375" s="142" t="s">
        <v>21385</v>
      </c>
      <c r="Y7375" s="143"/>
      <c r="Z7375" s="143"/>
      <c r="AA7375" s="143"/>
      <c r="AB7375" s="144"/>
      <c r="AC7375" s="16" t="s">
        <v>21</v>
      </c>
      <c r="AD7375" s="17" t="s">
        <v>21317</v>
      </c>
      <c r="AE7375" s="145" t="s">
        <v>21386</v>
      </c>
      <c r="AF7375" s="146"/>
      <c r="AG7375" s="146"/>
      <c r="AH7375" s="146"/>
      <c r="AI7375" s="147"/>
      <c r="AJ7375" s="148"/>
      <c r="AK7375" s="143"/>
      <c r="AL7375" s="144"/>
      <c r="AM7375" s="22"/>
      <c r="AN7375" s="149" t="s">
        <v>2794</v>
      </c>
      <c r="AO7375" s="144"/>
      <c r="AP7375" s="148">
        <v>6121</v>
      </c>
      <c r="AQ7375" s="144"/>
      <c r="AR7375" s="120"/>
      <c r="AS7375" s="121"/>
      <c r="AT7375" s="120"/>
      <c r="AU7375" s="121"/>
      <c r="AV7375" s="120"/>
      <c r="AW7375" s="121"/>
      <c r="AX7375" s="120"/>
      <c r="AY7375" s="121"/>
      <c r="AZ7375" s="138"/>
    </row>
    <row r="7376" spans="1:52" ht="17.100000000000001" customHeight="1" thickTop="1">
      <c r="A7376" s="109" t="s">
        <v>20850</v>
      </c>
      <c r="B7376" s="28">
        <v>46102</v>
      </c>
      <c r="C7376" s="25">
        <v>1293</v>
      </c>
      <c r="D7376" s="13" t="s">
        <v>3832</v>
      </c>
      <c r="E7376" s="111"/>
      <c r="F7376" s="113" t="s">
        <v>15851</v>
      </c>
      <c r="G7376" s="114"/>
      <c r="H7376" s="115"/>
      <c r="I7376" s="24" t="s">
        <v>15229</v>
      </c>
      <c r="J7376" s="116">
        <v>4.5</v>
      </c>
      <c r="K7376" s="118">
        <v>700000</v>
      </c>
      <c r="L7376" s="119"/>
      <c r="M7376" s="118">
        <f t="shared" ref="M7376" si="10667">K7376*0.1</f>
        <v>70000</v>
      </c>
      <c r="N7376" s="119"/>
      <c r="O7376" s="118">
        <v>10800</v>
      </c>
      <c r="P7376" s="119"/>
      <c r="Q7376" s="118">
        <v>8430</v>
      </c>
      <c r="R7376" s="119"/>
      <c r="S7376" s="118">
        <v>23100</v>
      </c>
      <c r="T7376" s="119"/>
      <c r="U7376" s="118">
        <f t="shared" ref="U7376" si="10668">SUM(K7376:T7377)</f>
        <v>812330</v>
      </c>
      <c r="V7376" s="122"/>
      <c r="W7376" s="124"/>
      <c r="X7376" s="126" t="s">
        <v>20888</v>
      </c>
      <c r="Y7376" s="127"/>
      <c r="Z7376" s="127"/>
      <c r="AA7376" s="127"/>
      <c r="AB7376" s="128"/>
      <c r="AC7376" s="15" t="s">
        <v>20</v>
      </c>
      <c r="AD7376" s="129" t="s">
        <v>20889</v>
      </c>
      <c r="AE7376" s="130"/>
      <c r="AF7376" s="130"/>
      <c r="AG7376" s="130"/>
      <c r="AH7376" s="130"/>
      <c r="AI7376" s="131"/>
      <c r="AJ7376" s="132"/>
      <c r="AK7376" s="127"/>
      <c r="AL7376" s="128"/>
      <c r="AM7376" s="21"/>
      <c r="AN7376" s="133">
        <v>46106</v>
      </c>
      <c r="AO7376" s="134"/>
      <c r="AP7376" s="135">
        <v>1010</v>
      </c>
      <c r="AQ7376" s="136"/>
      <c r="AR7376" s="118">
        <v>800000</v>
      </c>
      <c r="AS7376" s="119"/>
      <c r="AT7376" s="118">
        <f t="shared" ref="AT7376" si="10669">AR7376*0.1</f>
        <v>80000</v>
      </c>
      <c r="AU7376" s="119"/>
      <c r="AV7376" s="118">
        <v>8430</v>
      </c>
      <c r="AW7376" s="119"/>
      <c r="AX7376" s="118">
        <f t="shared" ref="AX7376" si="10670">SUM(AR7376:AW7376)</f>
        <v>888430</v>
      </c>
      <c r="AY7376" s="119"/>
      <c r="AZ7376" s="137">
        <v>46112</v>
      </c>
    </row>
    <row r="7377" spans="1:52" ht="17.100000000000001" customHeight="1" thickBot="1">
      <c r="A7377" s="110"/>
      <c r="B7377" s="27" t="s">
        <v>2511</v>
      </c>
      <c r="C7377" s="27">
        <v>65261</v>
      </c>
      <c r="D7377" s="14" t="s">
        <v>1720</v>
      </c>
      <c r="E7377" s="112"/>
      <c r="F7377" s="139" t="s">
        <v>20869</v>
      </c>
      <c r="G7377" s="140"/>
      <c r="H7377" s="141"/>
      <c r="I7377" s="26">
        <v>6314</v>
      </c>
      <c r="J7377" s="117"/>
      <c r="K7377" s="120"/>
      <c r="L7377" s="121"/>
      <c r="M7377" s="120"/>
      <c r="N7377" s="121"/>
      <c r="O7377" s="120"/>
      <c r="P7377" s="121"/>
      <c r="Q7377" s="120"/>
      <c r="R7377" s="121"/>
      <c r="S7377" s="120"/>
      <c r="T7377" s="121"/>
      <c r="U7377" s="120"/>
      <c r="V7377" s="123"/>
      <c r="W7377" s="125"/>
      <c r="X7377" s="142" t="s">
        <v>21375</v>
      </c>
      <c r="Y7377" s="143"/>
      <c r="Z7377" s="143"/>
      <c r="AA7377" s="143"/>
      <c r="AB7377" s="144"/>
      <c r="AC7377" s="16" t="s">
        <v>21</v>
      </c>
      <c r="AD7377" s="17" t="s">
        <v>21317</v>
      </c>
      <c r="AE7377" s="145" t="s">
        <v>21376</v>
      </c>
      <c r="AF7377" s="146"/>
      <c r="AG7377" s="146"/>
      <c r="AH7377" s="146"/>
      <c r="AI7377" s="147"/>
      <c r="AJ7377" s="148"/>
      <c r="AK7377" s="143"/>
      <c r="AL7377" s="144"/>
      <c r="AM7377" s="22"/>
      <c r="AN7377" s="149" t="s">
        <v>21247</v>
      </c>
      <c r="AO7377" s="144"/>
      <c r="AP7377" s="148">
        <v>2091</v>
      </c>
      <c r="AQ7377" s="144"/>
      <c r="AR7377" s="120"/>
      <c r="AS7377" s="121"/>
      <c r="AT7377" s="120"/>
      <c r="AU7377" s="121"/>
      <c r="AV7377" s="120"/>
      <c r="AW7377" s="121"/>
      <c r="AX7377" s="120"/>
      <c r="AY7377" s="121"/>
      <c r="AZ7377" s="138"/>
    </row>
    <row r="7378" spans="1:52" ht="17.100000000000001" customHeight="1" thickTop="1">
      <c r="A7378" s="109" t="s">
        <v>20851</v>
      </c>
      <c r="B7378" s="28">
        <v>46102</v>
      </c>
      <c r="C7378" s="25">
        <v>1293</v>
      </c>
      <c r="D7378" s="13" t="s">
        <v>2348</v>
      </c>
      <c r="E7378" s="111"/>
      <c r="F7378" s="113" t="s">
        <v>17242</v>
      </c>
      <c r="G7378" s="114"/>
      <c r="H7378" s="115"/>
      <c r="I7378" s="24" t="s">
        <v>20154</v>
      </c>
      <c r="J7378" s="116">
        <v>4</v>
      </c>
      <c r="K7378" s="118">
        <v>1115000</v>
      </c>
      <c r="L7378" s="119"/>
      <c r="M7378" s="118">
        <f t="shared" ref="M7378" si="10671">K7378*0.1</f>
        <v>111500</v>
      </c>
      <c r="N7378" s="119"/>
      <c r="O7378" s="118">
        <v>10800</v>
      </c>
      <c r="P7378" s="119"/>
      <c r="Q7378" s="118">
        <v>9010</v>
      </c>
      <c r="R7378" s="119"/>
      <c r="S7378" s="118">
        <v>12100</v>
      </c>
      <c r="T7378" s="119"/>
      <c r="U7378" s="118">
        <f t="shared" ref="U7378" si="10672">SUM(K7378:T7379)</f>
        <v>1258410</v>
      </c>
      <c r="V7378" s="122"/>
      <c r="W7378" s="124"/>
      <c r="X7378" s="126" t="s">
        <v>20890</v>
      </c>
      <c r="Y7378" s="127"/>
      <c r="Z7378" s="127"/>
      <c r="AA7378" s="127"/>
      <c r="AB7378" s="128"/>
      <c r="AC7378" s="15" t="s">
        <v>20</v>
      </c>
      <c r="AD7378" s="129" t="s">
        <v>4435</v>
      </c>
      <c r="AE7378" s="130"/>
      <c r="AF7378" s="130"/>
      <c r="AG7378" s="130"/>
      <c r="AH7378" s="130"/>
      <c r="AI7378" s="131"/>
      <c r="AJ7378" s="132"/>
      <c r="AK7378" s="127"/>
      <c r="AL7378" s="128"/>
      <c r="AM7378" s="21" t="s">
        <v>23807</v>
      </c>
      <c r="AN7378" s="133">
        <v>46137</v>
      </c>
      <c r="AO7378" s="134"/>
      <c r="AP7378" s="135">
        <v>1298</v>
      </c>
      <c r="AQ7378" s="136"/>
      <c r="AR7378" s="118">
        <v>1155000</v>
      </c>
      <c r="AS7378" s="119"/>
      <c r="AT7378" s="118">
        <f t="shared" ref="AT7378" si="10673">AR7378*0.1</f>
        <v>115500</v>
      </c>
      <c r="AU7378" s="119"/>
      <c r="AV7378" s="118">
        <v>9010</v>
      </c>
      <c r="AW7378" s="119"/>
      <c r="AX7378" s="118">
        <f t="shared" ref="AX7378" si="10674">SUM(AR7378:AW7378)</f>
        <v>1279510</v>
      </c>
      <c r="AY7378" s="119"/>
      <c r="AZ7378" s="137">
        <v>46140</v>
      </c>
    </row>
    <row r="7379" spans="1:52" ht="17.100000000000001" customHeight="1" thickBot="1">
      <c r="A7379" s="110"/>
      <c r="B7379" s="27" t="s">
        <v>2511</v>
      </c>
      <c r="C7379" s="27">
        <v>65354</v>
      </c>
      <c r="D7379" s="14" t="s">
        <v>1812</v>
      </c>
      <c r="E7379" s="112"/>
      <c r="F7379" s="139" t="s">
        <v>20870</v>
      </c>
      <c r="G7379" s="140"/>
      <c r="H7379" s="141"/>
      <c r="I7379" s="26">
        <v>35318</v>
      </c>
      <c r="J7379" s="117"/>
      <c r="K7379" s="120"/>
      <c r="L7379" s="121"/>
      <c r="M7379" s="120"/>
      <c r="N7379" s="121"/>
      <c r="O7379" s="120"/>
      <c r="P7379" s="121"/>
      <c r="Q7379" s="120"/>
      <c r="R7379" s="121"/>
      <c r="S7379" s="120"/>
      <c r="T7379" s="121"/>
      <c r="U7379" s="120"/>
      <c r="V7379" s="123"/>
      <c r="W7379" s="125"/>
      <c r="X7379" s="142" t="s">
        <v>21382</v>
      </c>
      <c r="Y7379" s="143"/>
      <c r="Z7379" s="143"/>
      <c r="AA7379" s="143"/>
      <c r="AB7379" s="144"/>
      <c r="AC7379" s="16" t="s">
        <v>21</v>
      </c>
      <c r="AD7379" s="17" t="s">
        <v>21317</v>
      </c>
      <c r="AE7379" s="145" t="s">
        <v>10129</v>
      </c>
      <c r="AF7379" s="146"/>
      <c r="AG7379" s="146"/>
      <c r="AH7379" s="146"/>
      <c r="AI7379" s="147"/>
      <c r="AJ7379" s="148" t="s">
        <v>21288</v>
      </c>
      <c r="AK7379" s="143"/>
      <c r="AL7379" s="144"/>
      <c r="AM7379" s="22"/>
      <c r="AN7379" s="149" t="s">
        <v>2511</v>
      </c>
      <c r="AO7379" s="144"/>
      <c r="AP7379" s="148">
        <v>60066</v>
      </c>
      <c r="AQ7379" s="144"/>
      <c r="AR7379" s="120"/>
      <c r="AS7379" s="121"/>
      <c r="AT7379" s="120"/>
      <c r="AU7379" s="121"/>
      <c r="AV7379" s="120"/>
      <c r="AW7379" s="121"/>
      <c r="AX7379" s="120"/>
      <c r="AY7379" s="121"/>
      <c r="AZ7379" s="138"/>
    </row>
    <row r="7380" spans="1:52" ht="17.100000000000001" customHeight="1" thickTop="1">
      <c r="A7380" s="109" t="s">
        <v>20859</v>
      </c>
      <c r="B7380" s="28">
        <v>46102</v>
      </c>
      <c r="C7380" s="25">
        <v>1293</v>
      </c>
      <c r="D7380" s="13" t="s">
        <v>1786</v>
      </c>
      <c r="E7380" s="111"/>
      <c r="F7380" s="113" t="s">
        <v>15962</v>
      </c>
      <c r="G7380" s="114"/>
      <c r="H7380" s="115"/>
      <c r="I7380" s="24" t="s">
        <v>3931</v>
      </c>
      <c r="J7380" s="116">
        <v>4.5</v>
      </c>
      <c r="K7380" s="118">
        <v>1265000</v>
      </c>
      <c r="L7380" s="119"/>
      <c r="M7380" s="118">
        <f t="shared" ref="M7380" si="10675">K7380*0.1</f>
        <v>126500</v>
      </c>
      <c r="N7380" s="119"/>
      <c r="O7380" s="118">
        <v>10800</v>
      </c>
      <c r="P7380" s="119"/>
      <c r="Q7380" s="118">
        <v>6850</v>
      </c>
      <c r="R7380" s="119"/>
      <c r="S7380" s="118">
        <v>13200</v>
      </c>
      <c r="T7380" s="119"/>
      <c r="U7380" s="118">
        <f t="shared" ref="U7380" si="10676">SUM(K7380:T7381)</f>
        <v>1422350</v>
      </c>
      <c r="V7380" s="122"/>
      <c r="W7380" s="124"/>
      <c r="X7380" s="126" t="s">
        <v>20891</v>
      </c>
      <c r="Y7380" s="127"/>
      <c r="Z7380" s="127"/>
      <c r="AA7380" s="127"/>
      <c r="AB7380" s="128"/>
      <c r="AC7380" s="15" t="s">
        <v>20</v>
      </c>
      <c r="AD7380" s="129" t="s">
        <v>4435</v>
      </c>
      <c r="AE7380" s="130"/>
      <c r="AF7380" s="130"/>
      <c r="AG7380" s="130"/>
      <c r="AH7380" s="130"/>
      <c r="AI7380" s="131"/>
      <c r="AJ7380" s="132"/>
      <c r="AK7380" s="127"/>
      <c r="AL7380" s="128"/>
      <c r="AM7380" s="21"/>
      <c r="AN7380" s="133">
        <v>46109</v>
      </c>
      <c r="AO7380" s="134"/>
      <c r="AP7380" s="135">
        <v>1294</v>
      </c>
      <c r="AQ7380" s="136"/>
      <c r="AR7380" s="118">
        <v>1300000</v>
      </c>
      <c r="AS7380" s="119"/>
      <c r="AT7380" s="118">
        <f t="shared" ref="AT7380" si="10677">AR7380*0.1</f>
        <v>130000</v>
      </c>
      <c r="AU7380" s="119"/>
      <c r="AV7380" s="118">
        <v>6850</v>
      </c>
      <c r="AW7380" s="119"/>
      <c r="AX7380" s="118">
        <f t="shared" ref="AX7380" si="10678">SUM(AR7380:AW7380)</f>
        <v>1436850</v>
      </c>
      <c r="AY7380" s="119"/>
      <c r="AZ7380" s="137">
        <v>46112</v>
      </c>
    </row>
    <row r="7381" spans="1:52" ht="17.100000000000001" customHeight="1" thickBot="1">
      <c r="A7381" s="110"/>
      <c r="B7381" s="27" t="s">
        <v>2511</v>
      </c>
      <c r="C7381" s="27">
        <v>65355</v>
      </c>
      <c r="D7381" s="14" t="s">
        <v>275</v>
      </c>
      <c r="E7381" s="112"/>
      <c r="F7381" s="139" t="s">
        <v>20871</v>
      </c>
      <c r="G7381" s="140"/>
      <c r="H7381" s="141"/>
      <c r="I7381" s="26">
        <v>27100</v>
      </c>
      <c r="J7381" s="117"/>
      <c r="K7381" s="120"/>
      <c r="L7381" s="121"/>
      <c r="M7381" s="120"/>
      <c r="N7381" s="121"/>
      <c r="O7381" s="120"/>
      <c r="P7381" s="121"/>
      <c r="Q7381" s="120"/>
      <c r="R7381" s="121"/>
      <c r="S7381" s="120"/>
      <c r="T7381" s="121"/>
      <c r="U7381" s="120"/>
      <c r="V7381" s="123"/>
      <c r="W7381" s="125"/>
      <c r="X7381" s="142" t="s">
        <v>21381</v>
      </c>
      <c r="Y7381" s="143"/>
      <c r="Z7381" s="143"/>
      <c r="AA7381" s="143"/>
      <c r="AB7381" s="144"/>
      <c r="AC7381" s="16" t="s">
        <v>21</v>
      </c>
      <c r="AD7381" s="17" t="s">
        <v>21317</v>
      </c>
      <c r="AE7381" s="145" t="s">
        <v>21313</v>
      </c>
      <c r="AF7381" s="146"/>
      <c r="AG7381" s="146"/>
      <c r="AH7381" s="146"/>
      <c r="AI7381" s="147"/>
      <c r="AJ7381" s="148"/>
      <c r="AK7381" s="143"/>
      <c r="AL7381" s="144"/>
      <c r="AM7381" s="22"/>
      <c r="AN7381" s="149" t="s">
        <v>21802</v>
      </c>
      <c r="AO7381" s="144"/>
      <c r="AP7381" s="148">
        <v>60007</v>
      </c>
      <c r="AQ7381" s="144"/>
      <c r="AR7381" s="120"/>
      <c r="AS7381" s="121"/>
      <c r="AT7381" s="120"/>
      <c r="AU7381" s="121"/>
      <c r="AV7381" s="120"/>
      <c r="AW7381" s="121"/>
      <c r="AX7381" s="120"/>
      <c r="AY7381" s="121"/>
      <c r="AZ7381" s="138"/>
    </row>
    <row r="7382" spans="1:52" ht="17.100000000000001" customHeight="1" thickTop="1">
      <c r="A7382" s="159" t="s">
        <v>20860</v>
      </c>
      <c r="B7382" s="28">
        <v>46102</v>
      </c>
      <c r="C7382" s="25">
        <v>1293</v>
      </c>
      <c r="D7382" s="13" t="s">
        <v>2681</v>
      </c>
      <c r="E7382" s="111"/>
      <c r="F7382" s="113" t="s">
        <v>20837</v>
      </c>
      <c r="G7382" s="114"/>
      <c r="H7382" s="115"/>
      <c r="I7382" s="24"/>
      <c r="J7382" s="116">
        <v>4.5</v>
      </c>
      <c r="K7382" s="118">
        <v>2125000</v>
      </c>
      <c r="L7382" s="119"/>
      <c r="M7382" s="118">
        <f t="shared" ref="M7382" si="10679">K7382*0.1</f>
        <v>212500</v>
      </c>
      <c r="N7382" s="119"/>
      <c r="O7382" s="118">
        <v>0</v>
      </c>
      <c r="P7382" s="119"/>
      <c r="Q7382" s="118">
        <v>11740</v>
      </c>
      <c r="R7382" s="119"/>
      <c r="S7382" s="118">
        <v>12100</v>
      </c>
      <c r="T7382" s="119"/>
      <c r="U7382" s="118">
        <f t="shared" ref="U7382" si="10680">SUM(K7382:T7383)</f>
        <v>2361340</v>
      </c>
      <c r="V7382" s="122"/>
      <c r="W7382" s="124"/>
      <c r="X7382" s="126" t="s">
        <v>21613</v>
      </c>
      <c r="Y7382" s="127"/>
      <c r="Z7382" s="127"/>
      <c r="AA7382" s="127"/>
      <c r="AB7382" s="128"/>
      <c r="AC7382" s="15" t="s">
        <v>20</v>
      </c>
      <c r="AD7382" s="129" t="s">
        <v>3828</v>
      </c>
      <c r="AE7382" s="130"/>
      <c r="AF7382" s="130"/>
      <c r="AG7382" s="130"/>
      <c r="AH7382" s="130"/>
      <c r="AI7382" s="131"/>
      <c r="AJ7382" s="132"/>
      <c r="AK7382" s="127"/>
      <c r="AL7382" s="128"/>
      <c r="AM7382" s="21"/>
      <c r="AN7382" s="133">
        <v>46123</v>
      </c>
      <c r="AO7382" s="134"/>
      <c r="AP7382" s="135">
        <v>1296</v>
      </c>
      <c r="AQ7382" s="136"/>
      <c r="AR7382" s="118">
        <v>1985000</v>
      </c>
      <c r="AS7382" s="119"/>
      <c r="AT7382" s="118">
        <f t="shared" ref="AT7382" si="10681">AR7382*0.1</f>
        <v>198500</v>
      </c>
      <c r="AU7382" s="119"/>
      <c r="AV7382" s="118">
        <v>11740</v>
      </c>
      <c r="AW7382" s="119"/>
      <c r="AX7382" s="118">
        <f t="shared" ref="AX7382" si="10682">SUM(AR7382:AW7382)</f>
        <v>2195240</v>
      </c>
      <c r="AY7382" s="119"/>
      <c r="AZ7382" s="137">
        <v>46126</v>
      </c>
    </row>
    <row r="7383" spans="1:52" ht="17.100000000000001" customHeight="1" thickBot="1">
      <c r="A7383" s="160"/>
      <c r="B7383" s="27" t="s">
        <v>2511</v>
      </c>
      <c r="C7383" s="27">
        <v>72029</v>
      </c>
      <c r="D7383" s="14" t="s">
        <v>275</v>
      </c>
      <c r="E7383" s="112"/>
      <c r="F7383" s="139" t="s">
        <v>20872</v>
      </c>
      <c r="G7383" s="140"/>
      <c r="H7383" s="141"/>
      <c r="I7383" s="26">
        <v>49509</v>
      </c>
      <c r="J7383" s="117"/>
      <c r="K7383" s="120"/>
      <c r="L7383" s="121"/>
      <c r="M7383" s="120"/>
      <c r="N7383" s="121"/>
      <c r="O7383" s="120"/>
      <c r="P7383" s="121"/>
      <c r="Q7383" s="120"/>
      <c r="R7383" s="121"/>
      <c r="S7383" s="120"/>
      <c r="T7383" s="121"/>
      <c r="U7383" s="120"/>
      <c r="V7383" s="123"/>
      <c r="W7383" s="125"/>
      <c r="X7383" s="142" t="s">
        <v>21614</v>
      </c>
      <c r="Y7383" s="143"/>
      <c r="Z7383" s="143"/>
      <c r="AA7383" s="143"/>
      <c r="AB7383" s="144"/>
      <c r="AC7383" s="16" t="s">
        <v>21</v>
      </c>
      <c r="AD7383" s="17" t="s">
        <v>21317</v>
      </c>
      <c r="AE7383" s="145" t="s">
        <v>1742</v>
      </c>
      <c r="AF7383" s="146"/>
      <c r="AG7383" s="146"/>
      <c r="AH7383" s="146"/>
      <c r="AI7383" s="147"/>
      <c r="AJ7383" s="148"/>
      <c r="AK7383" s="143"/>
      <c r="AL7383" s="144"/>
      <c r="AM7383" s="22"/>
      <c r="AN7383" s="149" t="s">
        <v>2511</v>
      </c>
      <c r="AO7383" s="144"/>
      <c r="AP7383" s="148">
        <v>55130</v>
      </c>
      <c r="AQ7383" s="144"/>
      <c r="AR7383" s="120"/>
      <c r="AS7383" s="121"/>
      <c r="AT7383" s="120"/>
      <c r="AU7383" s="121"/>
      <c r="AV7383" s="120"/>
      <c r="AW7383" s="121"/>
      <c r="AX7383" s="120"/>
      <c r="AY7383" s="121"/>
      <c r="AZ7383" s="138"/>
    </row>
    <row r="7384" spans="1:52" ht="17.100000000000001" customHeight="1" thickTop="1">
      <c r="A7384" s="109" t="s">
        <v>20861</v>
      </c>
      <c r="B7384" s="28">
        <v>46102</v>
      </c>
      <c r="C7384" s="25">
        <v>1293</v>
      </c>
      <c r="D7384" s="13" t="s">
        <v>1998</v>
      </c>
      <c r="E7384" s="111"/>
      <c r="F7384" s="113" t="s">
        <v>20873</v>
      </c>
      <c r="G7384" s="114"/>
      <c r="H7384" s="115"/>
      <c r="I7384" s="24"/>
      <c r="J7384" s="116">
        <v>5</v>
      </c>
      <c r="K7384" s="118">
        <v>2350000</v>
      </c>
      <c r="L7384" s="119"/>
      <c r="M7384" s="118">
        <f t="shared" ref="M7384" si="10683">K7384*0.1</f>
        <v>235000</v>
      </c>
      <c r="N7384" s="119"/>
      <c r="O7384" s="118">
        <v>0</v>
      </c>
      <c r="P7384" s="119"/>
      <c r="Q7384" s="118">
        <v>15180</v>
      </c>
      <c r="R7384" s="119"/>
      <c r="S7384" s="118">
        <v>16500</v>
      </c>
      <c r="T7384" s="119"/>
      <c r="U7384" s="118">
        <f t="shared" ref="U7384" si="10684">SUM(K7384:T7385)</f>
        <v>2616680</v>
      </c>
      <c r="V7384" s="122"/>
      <c r="W7384" s="124"/>
      <c r="X7384" s="126" t="s">
        <v>21369</v>
      </c>
      <c r="Y7384" s="127"/>
      <c r="Z7384" s="127"/>
      <c r="AA7384" s="127"/>
      <c r="AB7384" s="128"/>
      <c r="AC7384" s="15" t="s">
        <v>20</v>
      </c>
      <c r="AD7384" s="129" t="s">
        <v>21371</v>
      </c>
      <c r="AE7384" s="130"/>
      <c r="AF7384" s="130"/>
      <c r="AG7384" s="130"/>
      <c r="AH7384" s="130"/>
      <c r="AI7384" s="131"/>
      <c r="AJ7384" s="132"/>
      <c r="AK7384" s="127"/>
      <c r="AL7384" s="128"/>
      <c r="AM7384" s="21"/>
      <c r="AN7384" s="133">
        <v>46114</v>
      </c>
      <c r="AO7384" s="134"/>
      <c r="AP7384" s="135">
        <v>1325</v>
      </c>
      <c r="AQ7384" s="136"/>
      <c r="AR7384" s="118">
        <v>2530000</v>
      </c>
      <c r="AS7384" s="119"/>
      <c r="AT7384" s="118">
        <f t="shared" ref="AT7384" si="10685">AR7384*0.1</f>
        <v>253000</v>
      </c>
      <c r="AU7384" s="119"/>
      <c r="AV7384" s="118">
        <v>15180</v>
      </c>
      <c r="AW7384" s="119"/>
      <c r="AX7384" s="118">
        <f t="shared" ref="AX7384" si="10686">SUM(AR7384:AW7384)</f>
        <v>2798180</v>
      </c>
      <c r="AY7384" s="119"/>
      <c r="AZ7384" s="137">
        <v>46115</v>
      </c>
    </row>
    <row r="7385" spans="1:52" ht="17.100000000000001" customHeight="1" thickBot="1">
      <c r="A7385" s="110"/>
      <c r="B7385" s="27" t="s">
        <v>2511</v>
      </c>
      <c r="C7385" s="27">
        <v>81050</v>
      </c>
      <c r="D7385" s="14" t="s">
        <v>133</v>
      </c>
      <c r="E7385" s="112"/>
      <c r="F7385" s="139" t="s">
        <v>20892</v>
      </c>
      <c r="G7385" s="140"/>
      <c r="H7385" s="141"/>
      <c r="I7385" s="26">
        <v>16639</v>
      </c>
      <c r="J7385" s="117"/>
      <c r="K7385" s="120"/>
      <c r="L7385" s="121"/>
      <c r="M7385" s="120"/>
      <c r="N7385" s="121"/>
      <c r="O7385" s="120"/>
      <c r="P7385" s="121"/>
      <c r="Q7385" s="120"/>
      <c r="R7385" s="121"/>
      <c r="S7385" s="120"/>
      <c r="T7385" s="121"/>
      <c r="U7385" s="120"/>
      <c r="V7385" s="123"/>
      <c r="W7385" s="125"/>
      <c r="X7385" s="142" t="s">
        <v>21370</v>
      </c>
      <c r="Y7385" s="143"/>
      <c r="Z7385" s="143"/>
      <c r="AA7385" s="143"/>
      <c r="AB7385" s="144"/>
      <c r="AC7385" s="16" t="s">
        <v>21</v>
      </c>
      <c r="AD7385" s="17" t="s">
        <v>21317</v>
      </c>
      <c r="AE7385" s="145" t="s">
        <v>21372</v>
      </c>
      <c r="AF7385" s="146"/>
      <c r="AG7385" s="146"/>
      <c r="AH7385" s="146"/>
      <c r="AI7385" s="147"/>
      <c r="AJ7385" s="148"/>
      <c r="AK7385" s="143"/>
      <c r="AL7385" s="144"/>
      <c r="AM7385" s="22"/>
      <c r="AN7385" s="149" t="s">
        <v>13663</v>
      </c>
      <c r="AO7385" s="144"/>
      <c r="AP7385" s="148">
        <v>122</v>
      </c>
      <c r="AQ7385" s="144"/>
      <c r="AR7385" s="120"/>
      <c r="AS7385" s="121"/>
      <c r="AT7385" s="120"/>
      <c r="AU7385" s="121"/>
      <c r="AV7385" s="120"/>
      <c r="AW7385" s="121"/>
      <c r="AX7385" s="120"/>
      <c r="AY7385" s="121"/>
      <c r="AZ7385" s="138"/>
    </row>
    <row r="7386" spans="1:52" ht="17.100000000000001" customHeight="1" thickTop="1">
      <c r="A7386" s="151" t="s">
        <v>20862</v>
      </c>
      <c r="B7386" s="28">
        <v>46102</v>
      </c>
      <c r="C7386" s="25">
        <v>1293</v>
      </c>
      <c r="D7386" s="13" t="s">
        <v>2135</v>
      </c>
      <c r="E7386" s="111"/>
      <c r="F7386" s="113" t="s">
        <v>1871</v>
      </c>
      <c r="G7386" s="114"/>
      <c r="H7386" s="115"/>
      <c r="I7386" s="24"/>
      <c r="J7386" s="116">
        <v>4</v>
      </c>
      <c r="K7386" s="118">
        <v>595000</v>
      </c>
      <c r="L7386" s="119"/>
      <c r="M7386" s="118">
        <f t="shared" ref="M7386" si="10687">K7386*0.1</f>
        <v>59500</v>
      </c>
      <c r="N7386" s="119"/>
      <c r="O7386" s="118">
        <v>0</v>
      </c>
      <c r="P7386" s="119"/>
      <c r="Q7386" s="118">
        <v>17700</v>
      </c>
      <c r="R7386" s="119"/>
      <c r="S7386" s="118">
        <v>16500</v>
      </c>
      <c r="T7386" s="119"/>
      <c r="U7386" s="118">
        <f t="shared" ref="U7386" si="10688">SUM(K7386:T7387)</f>
        <v>688700</v>
      </c>
      <c r="V7386" s="122"/>
      <c r="W7386" s="124"/>
      <c r="X7386" s="126"/>
      <c r="Y7386" s="127"/>
      <c r="Z7386" s="127"/>
      <c r="AA7386" s="127"/>
      <c r="AB7386" s="128"/>
      <c r="AC7386" s="15" t="s">
        <v>20</v>
      </c>
      <c r="AD7386" s="129" t="s">
        <v>21373</v>
      </c>
      <c r="AE7386" s="130"/>
      <c r="AF7386" s="130"/>
      <c r="AG7386" s="130"/>
      <c r="AH7386" s="130"/>
      <c r="AI7386" s="131"/>
      <c r="AJ7386" s="132" t="s">
        <v>21698</v>
      </c>
      <c r="AK7386" s="127"/>
      <c r="AL7386" s="128"/>
      <c r="AM7386" s="21"/>
      <c r="AN7386" s="133"/>
      <c r="AO7386" s="134"/>
      <c r="AP7386" s="135"/>
      <c r="AQ7386" s="136"/>
      <c r="AR7386" s="118"/>
      <c r="AS7386" s="119"/>
      <c r="AT7386" s="118">
        <f t="shared" ref="AT7386" si="10689">AR7386*0.1</f>
        <v>0</v>
      </c>
      <c r="AU7386" s="119"/>
      <c r="AV7386" s="118"/>
      <c r="AW7386" s="119"/>
      <c r="AX7386" s="118">
        <f t="shared" ref="AX7386" si="10690">SUM(AR7386:AW7386)</f>
        <v>0</v>
      </c>
      <c r="AY7386" s="119"/>
      <c r="AZ7386" s="137"/>
    </row>
    <row r="7387" spans="1:52" ht="17.100000000000001" customHeight="1" thickBot="1">
      <c r="A7387" s="152"/>
      <c r="B7387" s="27" t="s">
        <v>2511</v>
      </c>
      <c r="C7387" s="27">
        <v>82012</v>
      </c>
      <c r="D7387" s="14" t="s">
        <v>1812</v>
      </c>
      <c r="E7387" s="112"/>
      <c r="F7387" s="139" t="s">
        <v>20893</v>
      </c>
      <c r="G7387" s="140"/>
      <c r="H7387" s="141"/>
      <c r="I7387" s="26">
        <v>66275</v>
      </c>
      <c r="J7387" s="117"/>
      <c r="K7387" s="120"/>
      <c r="L7387" s="121"/>
      <c r="M7387" s="120"/>
      <c r="N7387" s="121"/>
      <c r="O7387" s="120"/>
      <c r="P7387" s="121"/>
      <c r="Q7387" s="120"/>
      <c r="R7387" s="121"/>
      <c r="S7387" s="120"/>
      <c r="T7387" s="121"/>
      <c r="U7387" s="120"/>
      <c r="V7387" s="123"/>
      <c r="W7387" s="125"/>
      <c r="X7387" s="142"/>
      <c r="Y7387" s="143"/>
      <c r="Z7387" s="143"/>
      <c r="AA7387" s="143"/>
      <c r="AB7387" s="144"/>
      <c r="AC7387" s="16" t="s">
        <v>21</v>
      </c>
      <c r="AD7387" s="17" t="s">
        <v>10540</v>
      </c>
      <c r="AE7387" s="145"/>
      <c r="AF7387" s="146"/>
      <c r="AG7387" s="146"/>
      <c r="AH7387" s="146"/>
      <c r="AI7387" s="147"/>
      <c r="AJ7387" s="148"/>
      <c r="AK7387" s="143"/>
      <c r="AL7387" s="144"/>
      <c r="AM7387" s="22"/>
      <c r="AN7387" s="149"/>
      <c r="AO7387" s="144"/>
      <c r="AP7387" s="148"/>
      <c r="AQ7387" s="144"/>
      <c r="AR7387" s="120"/>
      <c r="AS7387" s="121"/>
      <c r="AT7387" s="120"/>
      <c r="AU7387" s="121"/>
      <c r="AV7387" s="120"/>
      <c r="AW7387" s="121"/>
      <c r="AX7387" s="120"/>
      <c r="AY7387" s="121"/>
      <c r="AZ7387" s="138"/>
    </row>
    <row r="7388" spans="1:52" ht="17.100000000000001" customHeight="1" thickTop="1">
      <c r="A7388" s="109" t="s">
        <v>20863</v>
      </c>
      <c r="B7388" s="28">
        <v>46102</v>
      </c>
      <c r="C7388" s="25">
        <v>1293</v>
      </c>
      <c r="D7388" s="13" t="s">
        <v>2298</v>
      </c>
      <c r="E7388" s="111"/>
      <c r="F7388" s="113" t="s">
        <v>20874</v>
      </c>
      <c r="G7388" s="114"/>
      <c r="H7388" s="115"/>
      <c r="I7388" s="24" t="s">
        <v>20895</v>
      </c>
      <c r="J7388" s="116">
        <v>5</v>
      </c>
      <c r="K7388" s="118">
        <v>2000000</v>
      </c>
      <c r="L7388" s="119"/>
      <c r="M7388" s="118">
        <f t="shared" ref="M7388" si="10691">K7388*0.1</f>
        <v>200000</v>
      </c>
      <c r="N7388" s="119"/>
      <c r="O7388" s="118">
        <v>30500</v>
      </c>
      <c r="P7388" s="119"/>
      <c r="Q7388" s="118">
        <v>18100</v>
      </c>
      <c r="R7388" s="119"/>
      <c r="S7388" s="118">
        <v>23100</v>
      </c>
      <c r="T7388" s="119"/>
      <c r="U7388" s="118">
        <f t="shared" ref="U7388" si="10692">SUM(K7388:T7389)</f>
        <v>2271700</v>
      </c>
      <c r="V7388" s="122"/>
      <c r="W7388" s="124"/>
      <c r="X7388" s="126" t="s">
        <v>20896</v>
      </c>
      <c r="Y7388" s="127"/>
      <c r="Z7388" s="127"/>
      <c r="AA7388" s="127"/>
      <c r="AB7388" s="128"/>
      <c r="AC7388" s="15" t="s">
        <v>20</v>
      </c>
      <c r="AD7388" s="129" t="s">
        <v>1670</v>
      </c>
      <c r="AE7388" s="130"/>
      <c r="AF7388" s="130"/>
      <c r="AG7388" s="130"/>
      <c r="AH7388" s="130"/>
      <c r="AI7388" s="131"/>
      <c r="AJ7388" s="132"/>
      <c r="AK7388" s="127"/>
      <c r="AL7388" s="128"/>
      <c r="AM7388" s="21"/>
      <c r="AN7388" s="133">
        <v>46120</v>
      </c>
      <c r="AO7388" s="134"/>
      <c r="AP7388" s="135">
        <v>1012</v>
      </c>
      <c r="AQ7388" s="136"/>
      <c r="AR7388" s="118">
        <v>2150000</v>
      </c>
      <c r="AS7388" s="119"/>
      <c r="AT7388" s="118">
        <f t="shared" ref="AT7388" si="10693">AR7388*0.1</f>
        <v>215000</v>
      </c>
      <c r="AU7388" s="119"/>
      <c r="AV7388" s="118">
        <v>18100</v>
      </c>
      <c r="AW7388" s="119"/>
      <c r="AX7388" s="118">
        <f t="shared" ref="AX7388" si="10694">SUM(AR7388:AW7388)</f>
        <v>2383100</v>
      </c>
      <c r="AY7388" s="119"/>
      <c r="AZ7388" s="137">
        <v>46125</v>
      </c>
    </row>
    <row r="7389" spans="1:52" ht="17.100000000000001" customHeight="1" thickBot="1">
      <c r="A7389" s="110"/>
      <c r="B7389" s="27" t="s">
        <v>2511</v>
      </c>
      <c r="C7389" s="27">
        <v>82565</v>
      </c>
      <c r="D7389" s="14" t="s">
        <v>2601</v>
      </c>
      <c r="E7389" s="112"/>
      <c r="F7389" s="139" t="s">
        <v>20894</v>
      </c>
      <c r="G7389" s="140"/>
      <c r="H7389" s="141"/>
      <c r="I7389" s="26">
        <v>19646</v>
      </c>
      <c r="J7389" s="117"/>
      <c r="K7389" s="120"/>
      <c r="L7389" s="121"/>
      <c r="M7389" s="120"/>
      <c r="N7389" s="121"/>
      <c r="O7389" s="120"/>
      <c r="P7389" s="121"/>
      <c r="Q7389" s="120"/>
      <c r="R7389" s="121"/>
      <c r="S7389" s="120"/>
      <c r="T7389" s="121"/>
      <c r="U7389" s="120"/>
      <c r="V7389" s="123"/>
      <c r="W7389" s="125"/>
      <c r="X7389" s="142" t="s">
        <v>21345</v>
      </c>
      <c r="Y7389" s="143"/>
      <c r="Z7389" s="143"/>
      <c r="AA7389" s="143"/>
      <c r="AB7389" s="144"/>
      <c r="AC7389" s="16" t="s">
        <v>21</v>
      </c>
      <c r="AD7389" s="17" t="s">
        <v>21317</v>
      </c>
      <c r="AE7389" s="145" t="s">
        <v>21374</v>
      </c>
      <c r="AF7389" s="146"/>
      <c r="AG7389" s="146"/>
      <c r="AH7389" s="146"/>
      <c r="AI7389" s="147"/>
      <c r="AJ7389" s="148"/>
      <c r="AK7389" s="143"/>
      <c r="AL7389" s="144"/>
      <c r="AM7389" s="22"/>
      <c r="AN7389" s="149" t="s">
        <v>2794</v>
      </c>
      <c r="AO7389" s="144"/>
      <c r="AP7389" s="148">
        <v>6128</v>
      </c>
      <c r="AQ7389" s="144"/>
      <c r="AR7389" s="120"/>
      <c r="AS7389" s="121"/>
      <c r="AT7389" s="120"/>
      <c r="AU7389" s="121"/>
      <c r="AV7389" s="120"/>
      <c r="AW7389" s="121"/>
      <c r="AX7389" s="120"/>
      <c r="AY7389" s="121"/>
      <c r="AZ7389" s="138"/>
    </row>
    <row r="7390" spans="1:52" ht="17.100000000000001" customHeight="1" thickTop="1">
      <c r="A7390" s="109" t="s">
        <v>20864</v>
      </c>
      <c r="B7390" s="28">
        <v>46102</v>
      </c>
      <c r="C7390" s="25">
        <v>1293</v>
      </c>
      <c r="D7390" s="13" t="s">
        <v>20897</v>
      </c>
      <c r="E7390" s="111"/>
      <c r="F7390" s="113" t="s">
        <v>15279</v>
      </c>
      <c r="G7390" s="114"/>
      <c r="H7390" s="115"/>
      <c r="I7390" s="24" t="s">
        <v>20898</v>
      </c>
      <c r="J7390" s="116">
        <v>4</v>
      </c>
      <c r="K7390" s="118">
        <v>390000</v>
      </c>
      <c r="L7390" s="119"/>
      <c r="M7390" s="118">
        <f t="shared" ref="M7390" si="10695">K7390*0.1</f>
        <v>39000</v>
      </c>
      <c r="N7390" s="119"/>
      <c r="O7390" s="118">
        <v>12900</v>
      </c>
      <c r="P7390" s="119"/>
      <c r="Q7390" s="118">
        <v>9170</v>
      </c>
      <c r="R7390" s="119"/>
      <c r="S7390" s="118">
        <v>8800</v>
      </c>
      <c r="T7390" s="119"/>
      <c r="U7390" s="118">
        <f t="shared" ref="U7390" si="10696">SUM(K7390:T7391)</f>
        <v>459870</v>
      </c>
      <c r="V7390" s="122"/>
      <c r="W7390" s="124"/>
      <c r="X7390" s="126" t="s">
        <v>20899</v>
      </c>
      <c r="Y7390" s="127"/>
      <c r="Z7390" s="127"/>
      <c r="AA7390" s="127"/>
      <c r="AB7390" s="128"/>
      <c r="AC7390" s="15" t="s">
        <v>20</v>
      </c>
      <c r="AD7390" s="129"/>
      <c r="AE7390" s="130"/>
      <c r="AF7390" s="130"/>
      <c r="AG7390" s="130"/>
      <c r="AH7390" s="130"/>
      <c r="AI7390" s="131"/>
      <c r="AJ7390" s="132"/>
      <c r="AK7390" s="127"/>
      <c r="AL7390" s="128"/>
      <c r="AM7390" s="21"/>
      <c r="AN7390" s="133">
        <v>46109</v>
      </c>
      <c r="AO7390" s="134"/>
      <c r="AP7390" s="135">
        <v>1294</v>
      </c>
      <c r="AQ7390" s="136"/>
      <c r="AR7390" s="118">
        <v>465000</v>
      </c>
      <c r="AS7390" s="119"/>
      <c r="AT7390" s="118">
        <f t="shared" ref="AT7390" si="10697">AR7390*0.1</f>
        <v>46500</v>
      </c>
      <c r="AU7390" s="119"/>
      <c r="AV7390" s="118">
        <v>9170</v>
      </c>
      <c r="AW7390" s="119"/>
      <c r="AX7390" s="118">
        <f t="shared" ref="AX7390" si="10698">SUM(AR7390:AW7390)</f>
        <v>520670</v>
      </c>
      <c r="AY7390" s="119"/>
      <c r="AZ7390" s="137">
        <v>46112</v>
      </c>
    </row>
    <row r="7391" spans="1:52" ht="17.100000000000001" customHeight="1" thickBot="1">
      <c r="A7391" s="110"/>
      <c r="B7391" s="27" t="s">
        <v>2511</v>
      </c>
      <c r="C7391" s="27">
        <v>90108</v>
      </c>
      <c r="D7391" s="14" t="s">
        <v>1592</v>
      </c>
      <c r="E7391" s="112"/>
      <c r="F7391" s="139" t="s">
        <v>20875</v>
      </c>
      <c r="G7391" s="140"/>
      <c r="H7391" s="141"/>
      <c r="I7391" s="26">
        <v>88122</v>
      </c>
      <c r="J7391" s="117"/>
      <c r="K7391" s="120"/>
      <c r="L7391" s="121"/>
      <c r="M7391" s="120"/>
      <c r="N7391" s="121"/>
      <c r="O7391" s="120"/>
      <c r="P7391" s="121"/>
      <c r="Q7391" s="120"/>
      <c r="R7391" s="121"/>
      <c r="S7391" s="120"/>
      <c r="T7391" s="121"/>
      <c r="U7391" s="120"/>
      <c r="V7391" s="123"/>
      <c r="W7391" s="125"/>
      <c r="X7391" s="142" t="s">
        <v>21341</v>
      </c>
      <c r="Y7391" s="143"/>
      <c r="Z7391" s="143"/>
      <c r="AA7391" s="143"/>
      <c r="AB7391" s="144"/>
      <c r="AC7391" s="16" t="s">
        <v>21</v>
      </c>
      <c r="AD7391" s="17" t="s">
        <v>21317</v>
      </c>
      <c r="AE7391" s="145"/>
      <c r="AF7391" s="146"/>
      <c r="AG7391" s="146"/>
      <c r="AH7391" s="146"/>
      <c r="AI7391" s="147"/>
      <c r="AJ7391" s="148"/>
      <c r="AK7391" s="143"/>
      <c r="AL7391" s="144"/>
      <c r="AM7391" s="22"/>
      <c r="AN7391" s="149" t="s">
        <v>21802</v>
      </c>
      <c r="AO7391" s="144"/>
      <c r="AP7391" s="148">
        <v>60253</v>
      </c>
      <c r="AQ7391" s="144"/>
      <c r="AR7391" s="120"/>
      <c r="AS7391" s="121"/>
      <c r="AT7391" s="120"/>
      <c r="AU7391" s="121"/>
      <c r="AV7391" s="120"/>
      <c r="AW7391" s="121"/>
      <c r="AX7391" s="120"/>
      <c r="AY7391" s="121"/>
      <c r="AZ7391" s="138"/>
    </row>
    <row r="7392" spans="1:52" ht="15.75" customHeight="1" thickTop="1">
      <c r="A7392" s="109" t="s">
        <v>20901</v>
      </c>
      <c r="B7392" s="28">
        <v>46102</v>
      </c>
      <c r="C7392" s="25">
        <v>1711</v>
      </c>
      <c r="D7392" s="13" t="s">
        <v>20905</v>
      </c>
      <c r="E7392" s="111"/>
      <c r="F7392" s="113" t="s">
        <v>20903</v>
      </c>
      <c r="G7392" s="114"/>
      <c r="H7392" s="115"/>
      <c r="I7392" s="24"/>
      <c r="J7392" s="116">
        <v>4.5</v>
      </c>
      <c r="K7392" s="118">
        <v>1235000</v>
      </c>
      <c r="L7392" s="119"/>
      <c r="M7392" s="118">
        <f t="shared" ref="M7392" si="10699">K7392*0.1</f>
        <v>123500</v>
      </c>
      <c r="N7392" s="119"/>
      <c r="O7392" s="118">
        <v>0</v>
      </c>
      <c r="P7392" s="119"/>
      <c r="Q7392" s="118">
        <v>17600</v>
      </c>
      <c r="R7392" s="119"/>
      <c r="S7392" s="118">
        <v>16500</v>
      </c>
      <c r="T7392" s="119"/>
      <c r="U7392" s="118">
        <f t="shared" ref="U7392" si="10700">SUM(K7392:T7393)</f>
        <v>1392600</v>
      </c>
      <c r="V7392" s="122"/>
      <c r="W7392" s="124"/>
      <c r="X7392" s="126" t="s">
        <v>21236</v>
      </c>
      <c r="Y7392" s="127"/>
      <c r="Z7392" s="127"/>
      <c r="AA7392" s="127"/>
      <c r="AB7392" s="128"/>
      <c r="AC7392" s="15" t="s">
        <v>20</v>
      </c>
      <c r="AD7392" s="129" t="s">
        <v>20907</v>
      </c>
      <c r="AE7392" s="130"/>
      <c r="AF7392" s="130"/>
      <c r="AG7392" s="130"/>
      <c r="AH7392" s="130"/>
      <c r="AI7392" s="131"/>
      <c r="AJ7392" s="132"/>
      <c r="AK7392" s="127"/>
      <c r="AL7392" s="128"/>
      <c r="AM7392" s="21"/>
      <c r="AN7392" s="133">
        <v>46114</v>
      </c>
      <c r="AO7392" s="134"/>
      <c r="AP7392" s="135">
        <v>1325</v>
      </c>
      <c r="AQ7392" s="136"/>
      <c r="AR7392" s="118">
        <v>1400000</v>
      </c>
      <c r="AS7392" s="119"/>
      <c r="AT7392" s="118">
        <f t="shared" ref="AT7392" si="10701">AR7392*0.1</f>
        <v>140000</v>
      </c>
      <c r="AU7392" s="119"/>
      <c r="AV7392" s="118">
        <v>17600</v>
      </c>
      <c r="AW7392" s="119"/>
      <c r="AX7392" s="118">
        <f t="shared" ref="AX7392" si="10702">SUM(AR7392:AW7392)</f>
        <v>1557600</v>
      </c>
      <c r="AY7392" s="119"/>
      <c r="AZ7392" s="137">
        <v>46115</v>
      </c>
    </row>
    <row r="7393" spans="1:52" ht="17.100000000000001" customHeight="1" thickBot="1">
      <c r="A7393" s="110"/>
      <c r="B7393" s="27" t="s">
        <v>20902</v>
      </c>
      <c r="C7393" s="27">
        <v>570</v>
      </c>
      <c r="D7393" s="14" t="s">
        <v>20906</v>
      </c>
      <c r="E7393" s="112"/>
      <c r="F7393" s="139" t="s">
        <v>20904</v>
      </c>
      <c r="G7393" s="140"/>
      <c r="H7393" s="141"/>
      <c r="I7393" s="26">
        <v>27325</v>
      </c>
      <c r="J7393" s="117"/>
      <c r="K7393" s="120"/>
      <c r="L7393" s="121"/>
      <c r="M7393" s="120"/>
      <c r="N7393" s="121"/>
      <c r="O7393" s="120"/>
      <c r="P7393" s="121"/>
      <c r="Q7393" s="120"/>
      <c r="R7393" s="121"/>
      <c r="S7393" s="120"/>
      <c r="T7393" s="121"/>
      <c r="U7393" s="120"/>
      <c r="V7393" s="123"/>
      <c r="W7393" s="125"/>
      <c r="X7393" s="142" t="s">
        <v>21237</v>
      </c>
      <c r="Y7393" s="143"/>
      <c r="Z7393" s="143"/>
      <c r="AA7393" s="143"/>
      <c r="AB7393" s="144"/>
      <c r="AC7393" s="16" t="s">
        <v>21</v>
      </c>
      <c r="AD7393" s="17" t="s">
        <v>21230</v>
      </c>
      <c r="AE7393" s="145" t="s">
        <v>21231</v>
      </c>
      <c r="AF7393" s="146"/>
      <c r="AG7393" s="146"/>
      <c r="AH7393" s="146"/>
      <c r="AI7393" s="147"/>
      <c r="AJ7393" s="148"/>
      <c r="AK7393" s="143"/>
      <c r="AL7393" s="144"/>
      <c r="AM7393" s="22"/>
      <c r="AN7393" s="149" t="s">
        <v>13663</v>
      </c>
      <c r="AO7393" s="144"/>
      <c r="AP7393" s="148">
        <v>52</v>
      </c>
      <c r="AQ7393" s="144"/>
      <c r="AR7393" s="120"/>
      <c r="AS7393" s="121"/>
      <c r="AT7393" s="120"/>
      <c r="AU7393" s="121"/>
      <c r="AV7393" s="120"/>
      <c r="AW7393" s="121"/>
      <c r="AX7393" s="120"/>
      <c r="AY7393" s="121"/>
      <c r="AZ7393" s="138"/>
    </row>
    <row r="7394" spans="1:52" ht="17.100000000000001" customHeight="1" thickTop="1">
      <c r="A7394" s="109" t="s">
        <v>20988</v>
      </c>
      <c r="B7394" s="28">
        <v>46104</v>
      </c>
      <c r="C7394" s="25">
        <v>2086</v>
      </c>
      <c r="D7394" s="13" t="s">
        <v>1888</v>
      </c>
      <c r="E7394" s="111"/>
      <c r="F7394" s="113" t="s">
        <v>20993</v>
      </c>
      <c r="G7394" s="114"/>
      <c r="H7394" s="115"/>
      <c r="I7394" s="24"/>
      <c r="J7394" s="116">
        <v>4.5</v>
      </c>
      <c r="K7394" s="118">
        <v>835000</v>
      </c>
      <c r="L7394" s="119"/>
      <c r="M7394" s="118">
        <f t="shared" ref="M7394" si="10703">K7394*0.1</f>
        <v>83500</v>
      </c>
      <c r="N7394" s="119"/>
      <c r="O7394" s="118">
        <v>0</v>
      </c>
      <c r="P7394" s="119"/>
      <c r="Q7394" s="118">
        <v>22050</v>
      </c>
      <c r="R7394" s="119"/>
      <c r="S7394" s="118">
        <v>11000</v>
      </c>
      <c r="T7394" s="119"/>
      <c r="U7394" s="118">
        <f t="shared" ref="U7394" si="10704">SUM(K7394:T7395)</f>
        <v>951550</v>
      </c>
      <c r="V7394" s="122"/>
      <c r="W7394" s="124"/>
      <c r="X7394" s="126" t="s">
        <v>21234</v>
      </c>
      <c r="Y7394" s="127"/>
      <c r="Z7394" s="127"/>
      <c r="AA7394" s="127"/>
      <c r="AB7394" s="128"/>
      <c r="AC7394" s="15" t="s">
        <v>20</v>
      </c>
      <c r="AD7394" s="129" t="s">
        <v>20999</v>
      </c>
      <c r="AE7394" s="130"/>
      <c r="AF7394" s="130"/>
      <c r="AG7394" s="130"/>
      <c r="AH7394" s="130"/>
      <c r="AI7394" s="131"/>
      <c r="AJ7394" s="132"/>
      <c r="AK7394" s="127"/>
      <c r="AL7394" s="128"/>
      <c r="AM7394" s="21"/>
      <c r="AN7394" s="133">
        <v>46116</v>
      </c>
      <c r="AO7394" s="134"/>
      <c r="AP7394" s="135">
        <v>1295</v>
      </c>
      <c r="AQ7394" s="136"/>
      <c r="AR7394" s="118">
        <v>1020000</v>
      </c>
      <c r="AS7394" s="119"/>
      <c r="AT7394" s="118">
        <f t="shared" ref="AT7394" si="10705">AR7394*0.1</f>
        <v>102000</v>
      </c>
      <c r="AU7394" s="119"/>
      <c r="AV7394" s="118">
        <v>22050</v>
      </c>
      <c r="AW7394" s="119"/>
      <c r="AX7394" s="118">
        <f t="shared" ref="AX7394" si="10706">SUM(AR7394:AW7394)</f>
        <v>1144050</v>
      </c>
      <c r="AY7394" s="119"/>
      <c r="AZ7394" s="137">
        <v>46119</v>
      </c>
    </row>
    <row r="7395" spans="1:52" ht="17.100000000000001" customHeight="1" thickBot="1">
      <c r="A7395" s="110"/>
      <c r="B7395" s="27" t="s">
        <v>83</v>
      </c>
      <c r="C7395" s="27">
        <v>31008</v>
      </c>
      <c r="D7395" s="14" t="s">
        <v>1635</v>
      </c>
      <c r="E7395" s="112"/>
      <c r="F7395" s="139" t="s">
        <v>20994</v>
      </c>
      <c r="G7395" s="140"/>
      <c r="H7395" s="141"/>
      <c r="I7395" s="26">
        <v>35448</v>
      </c>
      <c r="J7395" s="117"/>
      <c r="K7395" s="120"/>
      <c r="L7395" s="121"/>
      <c r="M7395" s="120"/>
      <c r="N7395" s="121"/>
      <c r="O7395" s="120"/>
      <c r="P7395" s="121"/>
      <c r="Q7395" s="120"/>
      <c r="R7395" s="121"/>
      <c r="S7395" s="120"/>
      <c r="T7395" s="121"/>
      <c r="U7395" s="120"/>
      <c r="V7395" s="123"/>
      <c r="W7395" s="125"/>
      <c r="X7395" s="142" t="s">
        <v>21235</v>
      </c>
      <c r="Y7395" s="143"/>
      <c r="Z7395" s="143"/>
      <c r="AA7395" s="143"/>
      <c r="AB7395" s="144"/>
      <c r="AC7395" s="16" t="s">
        <v>21</v>
      </c>
      <c r="AD7395" s="17" t="s">
        <v>21230</v>
      </c>
      <c r="AE7395" s="158" t="s">
        <v>21231</v>
      </c>
      <c r="AF7395" s="146"/>
      <c r="AG7395" s="146"/>
      <c r="AH7395" s="146"/>
      <c r="AI7395" s="147"/>
      <c r="AJ7395" s="148"/>
      <c r="AK7395" s="143"/>
      <c r="AL7395" s="144"/>
      <c r="AM7395" s="22"/>
      <c r="AN7395" s="149" t="s">
        <v>2511</v>
      </c>
      <c r="AO7395" s="144"/>
      <c r="AP7395" s="148">
        <v>80364</v>
      </c>
      <c r="AQ7395" s="144"/>
      <c r="AR7395" s="120"/>
      <c r="AS7395" s="121"/>
      <c r="AT7395" s="120"/>
      <c r="AU7395" s="121"/>
      <c r="AV7395" s="120"/>
      <c r="AW7395" s="121"/>
      <c r="AX7395" s="120"/>
      <c r="AY7395" s="121"/>
      <c r="AZ7395" s="138"/>
    </row>
    <row r="7396" spans="1:52" ht="17.100000000000001" customHeight="1" thickTop="1">
      <c r="A7396" s="109" t="s">
        <v>20989</v>
      </c>
      <c r="B7396" s="28">
        <v>46104</v>
      </c>
      <c r="C7396" s="25">
        <v>2086</v>
      </c>
      <c r="D7396" s="13" t="s">
        <v>2234</v>
      </c>
      <c r="E7396" s="111"/>
      <c r="F7396" s="113" t="s">
        <v>20995</v>
      </c>
      <c r="G7396" s="114"/>
      <c r="H7396" s="115"/>
      <c r="I7396" s="24" t="s">
        <v>1559</v>
      </c>
      <c r="J7396" s="116">
        <v>4</v>
      </c>
      <c r="K7396" s="118">
        <v>1032000</v>
      </c>
      <c r="L7396" s="119"/>
      <c r="M7396" s="118">
        <f t="shared" ref="M7396" si="10707">K7396*0.1</f>
        <v>103200</v>
      </c>
      <c r="N7396" s="119"/>
      <c r="O7396" s="118">
        <v>34500</v>
      </c>
      <c r="P7396" s="119"/>
      <c r="Q7396" s="118">
        <v>15160</v>
      </c>
      <c r="R7396" s="119"/>
      <c r="S7396" s="118">
        <v>11000</v>
      </c>
      <c r="T7396" s="119"/>
      <c r="U7396" s="118">
        <f t="shared" ref="U7396" si="10708">SUM(K7396:T7397)</f>
        <v>1195860</v>
      </c>
      <c r="V7396" s="122"/>
      <c r="W7396" s="124"/>
      <c r="X7396" s="126" t="s">
        <v>20997</v>
      </c>
      <c r="Y7396" s="127"/>
      <c r="Z7396" s="127"/>
      <c r="AA7396" s="127"/>
      <c r="AB7396" s="128"/>
      <c r="AC7396" s="15" t="s">
        <v>20</v>
      </c>
      <c r="AD7396" s="129" t="s">
        <v>20998</v>
      </c>
      <c r="AE7396" s="130"/>
      <c r="AF7396" s="130"/>
      <c r="AG7396" s="130"/>
      <c r="AH7396" s="130"/>
      <c r="AI7396" s="131"/>
      <c r="AJ7396" s="132"/>
      <c r="AK7396" s="127"/>
      <c r="AL7396" s="128"/>
      <c r="AM7396" s="21"/>
      <c r="AN7396" s="133">
        <v>46116</v>
      </c>
      <c r="AO7396" s="134"/>
      <c r="AP7396" s="135">
        <v>1295</v>
      </c>
      <c r="AQ7396" s="136"/>
      <c r="AR7396" s="118">
        <v>1110000</v>
      </c>
      <c r="AS7396" s="119"/>
      <c r="AT7396" s="118">
        <f t="shared" ref="AT7396" si="10709">AR7396*0.1</f>
        <v>111000</v>
      </c>
      <c r="AU7396" s="119"/>
      <c r="AV7396" s="118">
        <v>15160</v>
      </c>
      <c r="AW7396" s="119"/>
      <c r="AX7396" s="118">
        <f t="shared" ref="AX7396" si="10710">SUM(AR7396:AW7396)</f>
        <v>1236160</v>
      </c>
      <c r="AY7396" s="119"/>
      <c r="AZ7396" s="137">
        <v>46119</v>
      </c>
    </row>
    <row r="7397" spans="1:52" ht="17.100000000000001" customHeight="1" thickBot="1">
      <c r="A7397" s="110"/>
      <c r="B7397" s="27" t="s">
        <v>83</v>
      </c>
      <c r="C7397" s="27">
        <v>33503</v>
      </c>
      <c r="D7397" s="14" t="s">
        <v>904</v>
      </c>
      <c r="E7397" s="112"/>
      <c r="F7397" s="139" t="s">
        <v>20996</v>
      </c>
      <c r="G7397" s="140"/>
      <c r="H7397" s="141"/>
      <c r="I7397" s="26">
        <v>64314</v>
      </c>
      <c r="J7397" s="117"/>
      <c r="K7397" s="120"/>
      <c r="L7397" s="121"/>
      <c r="M7397" s="120"/>
      <c r="N7397" s="121"/>
      <c r="O7397" s="120"/>
      <c r="P7397" s="121"/>
      <c r="Q7397" s="120"/>
      <c r="R7397" s="121"/>
      <c r="S7397" s="120"/>
      <c r="T7397" s="121"/>
      <c r="U7397" s="120"/>
      <c r="V7397" s="123"/>
      <c r="W7397" s="125"/>
      <c r="X7397" s="142" t="s">
        <v>4820</v>
      </c>
      <c r="Y7397" s="143"/>
      <c r="Z7397" s="143"/>
      <c r="AA7397" s="143"/>
      <c r="AB7397" s="144"/>
      <c r="AC7397" s="16" t="s">
        <v>21</v>
      </c>
      <c r="AD7397" s="17" t="s">
        <v>1918</v>
      </c>
      <c r="AE7397" s="145" t="s">
        <v>5275</v>
      </c>
      <c r="AF7397" s="146"/>
      <c r="AG7397" s="146"/>
      <c r="AH7397" s="146"/>
      <c r="AI7397" s="147"/>
      <c r="AJ7397" s="148"/>
      <c r="AK7397" s="143"/>
      <c r="AL7397" s="144"/>
      <c r="AM7397" s="22"/>
      <c r="AN7397" s="149" t="s">
        <v>2511</v>
      </c>
      <c r="AO7397" s="144"/>
      <c r="AP7397" s="148">
        <v>80005</v>
      </c>
      <c r="AQ7397" s="144"/>
      <c r="AR7397" s="120"/>
      <c r="AS7397" s="121"/>
      <c r="AT7397" s="120"/>
      <c r="AU7397" s="121"/>
      <c r="AV7397" s="120"/>
      <c r="AW7397" s="121"/>
      <c r="AX7397" s="120"/>
      <c r="AY7397" s="121"/>
      <c r="AZ7397" s="138"/>
    </row>
    <row r="7398" spans="1:52" ht="17.100000000000001" customHeight="1" thickTop="1">
      <c r="A7398" s="109" t="s">
        <v>20990</v>
      </c>
      <c r="B7398" s="28">
        <v>46104</v>
      </c>
      <c r="C7398" s="25">
        <v>2086</v>
      </c>
      <c r="D7398" s="13" t="s">
        <v>2301</v>
      </c>
      <c r="E7398" s="111"/>
      <c r="F7398" s="113" t="s">
        <v>21000</v>
      </c>
      <c r="G7398" s="114"/>
      <c r="H7398" s="115"/>
      <c r="I7398" s="24"/>
      <c r="J7398" s="116">
        <v>3.5</v>
      </c>
      <c r="K7398" s="118">
        <v>498000</v>
      </c>
      <c r="L7398" s="119"/>
      <c r="M7398" s="118">
        <f t="shared" ref="M7398" si="10711">K7398*0.1</f>
        <v>49800</v>
      </c>
      <c r="N7398" s="119"/>
      <c r="O7398" s="118">
        <v>0</v>
      </c>
      <c r="P7398" s="119"/>
      <c r="Q7398" s="118">
        <v>20710</v>
      </c>
      <c r="R7398" s="119"/>
      <c r="S7398" s="118">
        <v>11000</v>
      </c>
      <c r="T7398" s="119"/>
      <c r="U7398" s="118">
        <f t="shared" ref="U7398" si="10712">SUM(K7398:T7399)</f>
        <v>579510</v>
      </c>
      <c r="V7398" s="122"/>
      <c r="W7398" s="124"/>
      <c r="X7398" s="126" t="s">
        <v>21238</v>
      </c>
      <c r="Y7398" s="127"/>
      <c r="Z7398" s="127"/>
      <c r="AA7398" s="127"/>
      <c r="AB7398" s="128"/>
      <c r="AC7398" s="15" t="s">
        <v>20</v>
      </c>
      <c r="AD7398" s="129" t="s">
        <v>1605</v>
      </c>
      <c r="AE7398" s="130"/>
      <c r="AF7398" s="130"/>
      <c r="AG7398" s="130"/>
      <c r="AH7398" s="130"/>
      <c r="AI7398" s="131"/>
      <c r="AJ7398" s="132"/>
      <c r="AK7398" s="127"/>
      <c r="AL7398" s="128"/>
      <c r="AM7398" s="21"/>
      <c r="AN7398" s="133">
        <v>46116</v>
      </c>
      <c r="AO7398" s="134"/>
      <c r="AP7398" s="135">
        <v>1295</v>
      </c>
      <c r="AQ7398" s="136"/>
      <c r="AR7398" s="118">
        <v>815000</v>
      </c>
      <c r="AS7398" s="119"/>
      <c r="AT7398" s="118">
        <f t="shared" ref="AT7398" si="10713">AR7398*0.1</f>
        <v>81500</v>
      </c>
      <c r="AU7398" s="119"/>
      <c r="AV7398" s="118">
        <v>20710</v>
      </c>
      <c r="AW7398" s="119"/>
      <c r="AX7398" s="118">
        <f t="shared" ref="AX7398" si="10714">SUM(AR7398:AW7398)</f>
        <v>917210</v>
      </c>
      <c r="AY7398" s="119"/>
      <c r="AZ7398" s="137">
        <v>46119</v>
      </c>
    </row>
    <row r="7399" spans="1:52" ht="17.100000000000001" customHeight="1" thickBot="1">
      <c r="A7399" s="110"/>
      <c r="B7399" s="27" t="s">
        <v>83</v>
      </c>
      <c r="C7399" s="27">
        <v>34502</v>
      </c>
      <c r="D7399" s="14" t="s">
        <v>1592</v>
      </c>
      <c r="E7399" s="112"/>
      <c r="F7399" s="139" t="s">
        <v>21001</v>
      </c>
      <c r="G7399" s="140"/>
      <c r="H7399" s="141"/>
      <c r="I7399" s="26">
        <v>49835</v>
      </c>
      <c r="J7399" s="117"/>
      <c r="K7399" s="120"/>
      <c r="L7399" s="121"/>
      <c r="M7399" s="120"/>
      <c r="N7399" s="121"/>
      <c r="O7399" s="120"/>
      <c r="P7399" s="121"/>
      <c r="Q7399" s="120"/>
      <c r="R7399" s="121"/>
      <c r="S7399" s="120"/>
      <c r="T7399" s="121"/>
      <c r="U7399" s="120"/>
      <c r="V7399" s="123"/>
      <c r="W7399" s="125"/>
      <c r="X7399" s="142" t="s">
        <v>21239</v>
      </c>
      <c r="Y7399" s="143"/>
      <c r="Z7399" s="143"/>
      <c r="AA7399" s="143"/>
      <c r="AB7399" s="144"/>
      <c r="AC7399" s="16" t="s">
        <v>21</v>
      </c>
      <c r="AD7399" s="17" t="s">
        <v>21230</v>
      </c>
      <c r="AE7399" s="145" t="s">
        <v>21231</v>
      </c>
      <c r="AF7399" s="146"/>
      <c r="AG7399" s="146"/>
      <c r="AH7399" s="146"/>
      <c r="AI7399" s="147"/>
      <c r="AJ7399" s="148"/>
      <c r="AK7399" s="143"/>
      <c r="AL7399" s="144"/>
      <c r="AM7399" s="22"/>
      <c r="AN7399" s="149" t="s">
        <v>2511</v>
      </c>
      <c r="AO7399" s="144"/>
      <c r="AP7399" s="148">
        <v>80391</v>
      </c>
      <c r="AQ7399" s="144"/>
      <c r="AR7399" s="120"/>
      <c r="AS7399" s="121"/>
      <c r="AT7399" s="120"/>
      <c r="AU7399" s="121"/>
      <c r="AV7399" s="120"/>
      <c r="AW7399" s="121"/>
      <c r="AX7399" s="120"/>
      <c r="AY7399" s="121"/>
      <c r="AZ7399" s="138"/>
    </row>
    <row r="7400" spans="1:52" ht="17.100000000000001" customHeight="1" thickTop="1">
      <c r="A7400" s="109" t="s">
        <v>20991</v>
      </c>
      <c r="B7400" s="28">
        <v>46104</v>
      </c>
      <c r="C7400" s="25">
        <v>2086</v>
      </c>
      <c r="D7400" s="13" t="s">
        <v>2329</v>
      </c>
      <c r="E7400" s="111"/>
      <c r="F7400" s="113" t="s">
        <v>21002</v>
      </c>
      <c r="G7400" s="114"/>
      <c r="H7400" s="115"/>
      <c r="I7400" s="24"/>
      <c r="J7400" s="116">
        <v>4</v>
      </c>
      <c r="K7400" s="118">
        <v>2775000</v>
      </c>
      <c r="L7400" s="119"/>
      <c r="M7400" s="118">
        <f t="shared" ref="M7400" si="10715">K7400*0.1</f>
        <v>277500</v>
      </c>
      <c r="N7400" s="119"/>
      <c r="O7400" s="118">
        <v>0</v>
      </c>
      <c r="P7400" s="119"/>
      <c r="Q7400" s="118">
        <v>17800</v>
      </c>
      <c r="R7400" s="119"/>
      <c r="S7400" s="118">
        <v>11000</v>
      </c>
      <c r="T7400" s="119"/>
      <c r="U7400" s="118">
        <f t="shared" ref="U7400" si="10716">SUM(K7400:T7401)</f>
        <v>3081300</v>
      </c>
      <c r="V7400" s="122"/>
      <c r="W7400" s="124"/>
      <c r="X7400" s="126" t="s">
        <v>21240</v>
      </c>
      <c r="Y7400" s="127"/>
      <c r="Z7400" s="127"/>
      <c r="AA7400" s="127"/>
      <c r="AB7400" s="128"/>
      <c r="AC7400" s="15" t="s">
        <v>20</v>
      </c>
      <c r="AD7400" s="129" t="s">
        <v>1605</v>
      </c>
      <c r="AE7400" s="130"/>
      <c r="AF7400" s="130"/>
      <c r="AG7400" s="130"/>
      <c r="AH7400" s="130"/>
      <c r="AI7400" s="131"/>
      <c r="AJ7400" s="132"/>
      <c r="AK7400" s="127"/>
      <c r="AL7400" s="128"/>
      <c r="AM7400" s="21"/>
      <c r="AN7400" s="133">
        <v>46123</v>
      </c>
      <c r="AO7400" s="134"/>
      <c r="AP7400" s="135">
        <v>1296</v>
      </c>
      <c r="AQ7400" s="136"/>
      <c r="AR7400" s="118">
        <v>3205000</v>
      </c>
      <c r="AS7400" s="119"/>
      <c r="AT7400" s="118">
        <f t="shared" ref="AT7400" si="10717">AR7400*0.1</f>
        <v>320500</v>
      </c>
      <c r="AU7400" s="119"/>
      <c r="AV7400" s="118">
        <v>17800</v>
      </c>
      <c r="AW7400" s="119"/>
      <c r="AX7400" s="118">
        <f t="shared" ref="AX7400" si="10718">SUM(AR7400:AW7400)</f>
        <v>3543300</v>
      </c>
      <c r="AY7400" s="119"/>
      <c r="AZ7400" s="137">
        <v>46126</v>
      </c>
    </row>
    <row r="7401" spans="1:52" ht="17.100000000000001" customHeight="1" thickBot="1">
      <c r="A7401" s="110"/>
      <c r="B7401" s="27" t="s">
        <v>83</v>
      </c>
      <c r="C7401" s="27">
        <v>34504</v>
      </c>
      <c r="D7401" s="14" t="s">
        <v>275</v>
      </c>
      <c r="E7401" s="112"/>
      <c r="F7401" s="139" t="s">
        <v>21003</v>
      </c>
      <c r="G7401" s="140"/>
      <c r="H7401" s="141"/>
      <c r="I7401" s="26">
        <v>14528</v>
      </c>
      <c r="J7401" s="117"/>
      <c r="K7401" s="120"/>
      <c r="L7401" s="121"/>
      <c r="M7401" s="120"/>
      <c r="N7401" s="121"/>
      <c r="O7401" s="120"/>
      <c r="P7401" s="121"/>
      <c r="Q7401" s="120"/>
      <c r="R7401" s="121"/>
      <c r="S7401" s="120"/>
      <c r="T7401" s="121"/>
      <c r="U7401" s="120"/>
      <c r="V7401" s="123"/>
      <c r="W7401" s="125"/>
      <c r="X7401" s="142" t="s">
        <v>21239</v>
      </c>
      <c r="Y7401" s="143"/>
      <c r="Z7401" s="143"/>
      <c r="AA7401" s="143"/>
      <c r="AB7401" s="144"/>
      <c r="AC7401" s="16" t="s">
        <v>21</v>
      </c>
      <c r="AD7401" s="17" t="s">
        <v>21230</v>
      </c>
      <c r="AE7401" s="145" t="s">
        <v>21241</v>
      </c>
      <c r="AF7401" s="146"/>
      <c r="AG7401" s="146"/>
      <c r="AH7401" s="146"/>
      <c r="AI7401" s="147"/>
      <c r="AJ7401" s="148"/>
      <c r="AK7401" s="143"/>
      <c r="AL7401" s="144"/>
      <c r="AM7401" s="22"/>
      <c r="AN7401" s="149" t="s">
        <v>2511</v>
      </c>
      <c r="AO7401" s="144"/>
      <c r="AP7401" s="148">
        <v>80017</v>
      </c>
      <c r="AQ7401" s="144"/>
      <c r="AR7401" s="120"/>
      <c r="AS7401" s="121"/>
      <c r="AT7401" s="120"/>
      <c r="AU7401" s="121"/>
      <c r="AV7401" s="120"/>
      <c r="AW7401" s="121"/>
      <c r="AX7401" s="120"/>
      <c r="AY7401" s="121"/>
      <c r="AZ7401" s="138"/>
    </row>
    <row r="7402" spans="1:52" ht="17.100000000000001" customHeight="1" thickTop="1">
      <c r="A7402" s="109" t="s">
        <v>20992</v>
      </c>
      <c r="B7402" s="28">
        <v>46104</v>
      </c>
      <c r="C7402" s="25">
        <v>2086</v>
      </c>
      <c r="D7402" s="13" t="s">
        <v>3386</v>
      </c>
      <c r="E7402" s="111"/>
      <c r="F7402" s="113" t="s">
        <v>4559</v>
      </c>
      <c r="G7402" s="114"/>
      <c r="H7402" s="115"/>
      <c r="I7402" s="24" t="s">
        <v>4096</v>
      </c>
      <c r="J7402" s="116">
        <v>4.5</v>
      </c>
      <c r="K7402" s="118">
        <v>1550000</v>
      </c>
      <c r="L7402" s="119"/>
      <c r="M7402" s="118">
        <f t="shared" ref="M7402" si="10719">K7402*0.1</f>
        <v>155000</v>
      </c>
      <c r="N7402" s="119"/>
      <c r="O7402" s="118">
        <v>30500</v>
      </c>
      <c r="P7402" s="119"/>
      <c r="Q7402" s="118">
        <v>17600</v>
      </c>
      <c r="R7402" s="119"/>
      <c r="S7402" s="118">
        <v>11000</v>
      </c>
      <c r="T7402" s="119"/>
      <c r="U7402" s="118">
        <f t="shared" ref="U7402" si="10720">SUM(K7402:T7403)</f>
        <v>1764100</v>
      </c>
      <c r="V7402" s="122"/>
      <c r="W7402" s="124"/>
      <c r="X7402" s="126" t="s">
        <v>21349</v>
      </c>
      <c r="Y7402" s="127"/>
      <c r="Z7402" s="127"/>
      <c r="AA7402" s="127"/>
      <c r="AB7402" s="128"/>
      <c r="AC7402" s="15" t="s">
        <v>20</v>
      </c>
      <c r="AD7402" s="129" t="s">
        <v>1605</v>
      </c>
      <c r="AE7402" s="130"/>
      <c r="AF7402" s="130"/>
      <c r="AG7402" s="130"/>
      <c r="AH7402" s="130"/>
      <c r="AI7402" s="131"/>
      <c r="AJ7402" s="132"/>
      <c r="AK7402" s="127"/>
      <c r="AL7402" s="128"/>
      <c r="AM7402" s="21"/>
      <c r="AN7402" s="133"/>
      <c r="AO7402" s="134"/>
      <c r="AP7402" s="135"/>
      <c r="AQ7402" s="136"/>
      <c r="AR7402" s="118"/>
      <c r="AS7402" s="119"/>
      <c r="AT7402" s="118">
        <f t="shared" ref="AT7402" si="10721">AR7402*0.1</f>
        <v>0</v>
      </c>
      <c r="AU7402" s="119"/>
      <c r="AV7402" s="118"/>
      <c r="AW7402" s="119"/>
      <c r="AX7402" s="118">
        <f t="shared" ref="AX7402" si="10722">SUM(AR7402:AW7402)</f>
        <v>0</v>
      </c>
      <c r="AY7402" s="119"/>
      <c r="AZ7402" s="137"/>
    </row>
    <row r="7403" spans="1:52" ht="17.100000000000001" customHeight="1" thickBot="1">
      <c r="A7403" s="110"/>
      <c r="B7403" s="27" t="s">
        <v>83</v>
      </c>
      <c r="C7403" s="27">
        <v>34525</v>
      </c>
      <c r="D7403" s="14" t="s">
        <v>16137</v>
      </c>
      <c r="E7403" s="112"/>
      <c r="F7403" s="139" t="s">
        <v>21004</v>
      </c>
      <c r="G7403" s="140"/>
      <c r="H7403" s="141"/>
      <c r="I7403" s="26">
        <v>47049</v>
      </c>
      <c r="J7403" s="117"/>
      <c r="K7403" s="120"/>
      <c r="L7403" s="121"/>
      <c r="M7403" s="120"/>
      <c r="N7403" s="121"/>
      <c r="O7403" s="120"/>
      <c r="P7403" s="121"/>
      <c r="Q7403" s="120"/>
      <c r="R7403" s="121"/>
      <c r="S7403" s="120"/>
      <c r="T7403" s="121"/>
      <c r="U7403" s="120"/>
      <c r="V7403" s="123"/>
      <c r="W7403" s="125"/>
      <c r="X7403" s="142" t="s">
        <v>21350</v>
      </c>
      <c r="Y7403" s="143"/>
      <c r="Z7403" s="143"/>
      <c r="AA7403" s="143"/>
      <c r="AB7403" s="144"/>
      <c r="AC7403" s="16" t="s">
        <v>21</v>
      </c>
      <c r="AD7403" s="17" t="s">
        <v>21317</v>
      </c>
      <c r="AE7403" s="145" t="s">
        <v>21313</v>
      </c>
      <c r="AF7403" s="146"/>
      <c r="AG7403" s="146"/>
      <c r="AH7403" s="146"/>
      <c r="AI7403" s="147"/>
      <c r="AJ7403" s="148"/>
      <c r="AK7403" s="143"/>
      <c r="AL7403" s="144"/>
      <c r="AM7403" s="22"/>
      <c r="AN7403" s="149"/>
      <c r="AO7403" s="144"/>
      <c r="AP7403" s="148"/>
      <c r="AQ7403" s="144"/>
      <c r="AR7403" s="120"/>
      <c r="AS7403" s="121"/>
      <c r="AT7403" s="120"/>
      <c r="AU7403" s="121"/>
      <c r="AV7403" s="120"/>
      <c r="AW7403" s="121"/>
      <c r="AX7403" s="120"/>
      <c r="AY7403" s="121"/>
      <c r="AZ7403" s="138"/>
    </row>
    <row r="7404" spans="1:52" ht="17.100000000000001" customHeight="1" thickTop="1">
      <c r="A7404" s="109" t="s">
        <v>21010</v>
      </c>
      <c r="B7404" s="28">
        <v>46104</v>
      </c>
      <c r="C7404" s="25"/>
      <c r="D7404" s="13" t="s">
        <v>2348</v>
      </c>
      <c r="E7404" s="111"/>
      <c r="F7404" s="113" t="s">
        <v>17361</v>
      </c>
      <c r="G7404" s="114"/>
      <c r="H7404" s="115"/>
      <c r="I7404" s="24" t="s">
        <v>3931</v>
      </c>
      <c r="J7404" s="116">
        <v>4</v>
      </c>
      <c r="K7404" s="118">
        <v>462000</v>
      </c>
      <c r="L7404" s="119"/>
      <c r="M7404" s="118">
        <f t="shared" ref="M7404" si="10723">K7404*0.1</f>
        <v>46200</v>
      </c>
      <c r="N7404" s="119"/>
      <c r="O7404" s="118">
        <v>34500</v>
      </c>
      <c r="P7404" s="119"/>
      <c r="Q7404" s="118">
        <v>11810</v>
      </c>
      <c r="R7404" s="119"/>
      <c r="S7404" s="118">
        <v>15950</v>
      </c>
      <c r="T7404" s="119"/>
      <c r="U7404" s="118">
        <f t="shared" ref="U7404" si="10724">SUM(K7404:T7405)</f>
        <v>570460</v>
      </c>
      <c r="V7404" s="122"/>
      <c r="W7404" s="124"/>
      <c r="X7404" s="126" t="s">
        <v>21007</v>
      </c>
      <c r="Y7404" s="127"/>
      <c r="Z7404" s="127"/>
      <c r="AA7404" s="127"/>
      <c r="AB7404" s="128"/>
      <c r="AC7404" s="15" t="s">
        <v>20</v>
      </c>
      <c r="AD7404" s="129"/>
      <c r="AE7404" s="130"/>
      <c r="AF7404" s="130"/>
      <c r="AG7404" s="130"/>
      <c r="AH7404" s="130"/>
      <c r="AI7404" s="131"/>
      <c r="AJ7404" s="132"/>
      <c r="AK7404" s="127"/>
      <c r="AL7404" s="128"/>
      <c r="AM7404" s="21" t="s">
        <v>22250</v>
      </c>
      <c r="AN7404" s="133">
        <v>46123</v>
      </c>
      <c r="AO7404" s="134"/>
      <c r="AP7404" s="135">
        <v>1296</v>
      </c>
      <c r="AQ7404" s="136"/>
      <c r="AR7404" s="118">
        <v>535000</v>
      </c>
      <c r="AS7404" s="119"/>
      <c r="AT7404" s="118">
        <f t="shared" ref="AT7404" si="10725">AR7404*0.1</f>
        <v>53500</v>
      </c>
      <c r="AU7404" s="119"/>
      <c r="AV7404" s="118">
        <v>11810</v>
      </c>
      <c r="AW7404" s="119"/>
      <c r="AX7404" s="118">
        <f t="shared" ref="AX7404" si="10726">SUM(AR7404:AW7404)</f>
        <v>600310</v>
      </c>
      <c r="AY7404" s="119"/>
      <c r="AZ7404" s="137">
        <v>46126</v>
      </c>
    </row>
    <row r="7405" spans="1:52" ht="17.100000000000001" customHeight="1" thickBot="1">
      <c r="A7405" s="110"/>
      <c r="B7405" s="27" t="s">
        <v>4475</v>
      </c>
      <c r="C7405" s="27">
        <v>80256</v>
      </c>
      <c r="D7405" s="14" t="s">
        <v>1592</v>
      </c>
      <c r="E7405" s="112"/>
      <c r="F7405" s="139" t="s">
        <v>21612</v>
      </c>
      <c r="G7405" s="140"/>
      <c r="H7405" s="141"/>
      <c r="I7405" s="26">
        <v>57042</v>
      </c>
      <c r="J7405" s="117"/>
      <c r="K7405" s="120"/>
      <c r="L7405" s="121"/>
      <c r="M7405" s="120"/>
      <c r="N7405" s="121"/>
      <c r="O7405" s="120"/>
      <c r="P7405" s="121"/>
      <c r="Q7405" s="120"/>
      <c r="R7405" s="121"/>
      <c r="S7405" s="120"/>
      <c r="T7405" s="121"/>
      <c r="U7405" s="120"/>
      <c r="V7405" s="123"/>
      <c r="W7405" s="125"/>
      <c r="X7405" s="142" t="s">
        <v>21696</v>
      </c>
      <c r="Y7405" s="143"/>
      <c r="Z7405" s="143"/>
      <c r="AA7405" s="143"/>
      <c r="AB7405" s="144"/>
      <c r="AC7405" s="16" t="s">
        <v>21</v>
      </c>
      <c r="AD7405" s="17" t="s">
        <v>1918</v>
      </c>
      <c r="AE7405" s="145" t="s">
        <v>1633</v>
      </c>
      <c r="AF7405" s="146"/>
      <c r="AG7405" s="146"/>
      <c r="AH7405" s="146"/>
      <c r="AI7405" s="147"/>
      <c r="AJ7405" s="148"/>
      <c r="AK7405" s="143"/>
      <c r="AL7405" s="144"/>
      <c r="AM7405" s="22"/>
      <c r="AN7405" s="149" t="s">
        <v>2511</v>
      </c>
      <c r="AO7405" s="144"/>
      <c r="AP7405" s="148">
        <v>80103</v>
      </c>
      <c r="AQ7405" s="144"/>
      <c r="AR7405" s="120"/>
      <c r="AS7405" s="121"/>
      <c r="AT7405" s="120"/>
      <c r="AU7405" s="121"/>
      <c r="AV7405" s="120"/>
      <c r="AW7405" s="121"/>
      <c r="AX7405" s="120"/>
      <c r="AY7405" s="121"/>
      <c r="AZ7405" s="138"/>
    </row>
    <row r="7406" spans="1:52" ht="17.100000000000001" customHeight="1" thickTop="1">
      <c r="A7406" s="109" t="s">
        <v>21011</v>
      </c>
      <c r="B7406" s="28">
        <v>46104</v>
      </c>
      <c r="C7406" s="25"/>
      <c r="D7406" s="13" t="s">
        <v>1958</v>
      </c>
      <c r="E7406" s="111"/>
      <c r="F7406" s="113" t="s">
        <v>21008</v>
      </c>
      <c r="G7406" s="114"/>
      <c r="H7406" s="115"/>
      <c r="I7406" s="24" t="s">
        <v>2919</v>
      </c>
      <c r="J7406" s="116">
        <v>4.5</v>
      </c>
      <c r="K7406" s="118">
        <v>633000</v>
      </c>
      <c r="L7406" s="119"/>
      <c r="M7406" s="118">
        <f t="shared" ref="M7406" si="10727">K7406*0.1</f>
        <v>63300</v>
      </c>
      <c r="N7406" s="119"/>
      <c r="O7406" s="118">
        <v>29500</v>
      </c>
      <c r="P7406" s="119"/>
      <c r="Q7406" s="118">
        <v>14840</v>
      </c>
      <c r="R7406" s="119"/>
      <c r="S7406" s="118">
        <v>15950</v>
      </c>
      <c r="T7406" s="119"/>
      <c r="U7406" s="118">
        <f t="shared" ref="U7406" si="10728">SUM(K7406:T7407)</f>
        <v>756590</v>
      </c>
      <c r="V7406" s="122"/>
      <c r="W7406" s="124"/>
      <c r="X7406" s="126" t="s">
        <v>21009</v>
      </c>
      <c r="Y7406" s="127"/>
      <c r="Z7406" s="127"/>
      <c r="AA7406" s="127"/>
      <c r="AB7406" s="128"/>
      <c r="AC7406" s="15" t="s">
        <v>20</v>
      </c>
      <c r="AD7406" s="129" t="s">
        <v>1670</v>
      </c>
      <c r="AE7406" s="130"/>
      <c r="AF7406" s="130"/>
      <c r="AG7406" s="130"/>
      <c r="AH7406" s="130"/>
      <c r="AI7406" s="131"/>
      <c r="AJ7406" s="132"/>
      <c r="AK7406" s="127"/>
      <c r="AL7406" s="128"/>
      <c r="AM7406" s="21"/>
      <c r="AN7406" s="133">
        <v>46130</v>
      </c>
      <c r="AO7406" s="134"/>
      <c r="AP7406" s="135">
        <v>1297</v>
      </c>
      <c r="AQ7406" s="136"/>
      <c r="AR7406" s="118">
        <v>775000</v>
      </c>
      <c r="AS7406" s="119"/>
      <c r="AT7406" s="118">
        <f t="shared" ref="AT7406" si="10729">AR7406*0.1</f>
        <v>77500</v>
      </c>
      <c r="AU7406" s="119"/>
      <c r="AV7406" s="118">
        <v>14840</v>
      </c>
      <c r="AW7406" s="119"/>
      <c r="AX7406" s="118">
        <f t="shared" ref="AX7406" si="10730">SUM(AR7406:AW7406)</f>
        <v>867340</v>
      </c>
      <c r="AY7406" s="119"/>
      <c r="AZ7406" s="137">
        <v>46133</v>
      </c>
    </row>
    <row r="7407" spans="1:52" ht="17.100000000000001" customHeight="1" thickBot="1">
      <c r="A7407" s="110"/>
      <c r="B7407" s="27" t="s">
        <v>4475</v>
      </c>
      <c r="C7407" s="27">
        <v>80268</v>
      </c>
      <c r="D7407" s="14" t="s">
        <v>133</v>
      </c>
      <c r="E7407" s="112"/>
      <c r="F7407" s="139" t="s">
        <v>21697</v>
      </c>
      <c r="G7407" s="140"/>
      <c r="H7407" s="141"/>
      <c r="I7407" s="26">
        <v>59748</v>
      </c>
      <c r="J7407" s="117"/>
      <c r="K7407" s="120"/>
      <c r="L7407" s="121"/>
      <c r="M7407" s="120"/>
      <c r="N7407" s="121"/>
      <c r="O7407" s="120"/>
      <c r="P7407" s="121"/>
      <c r="Q7407" s="120"/>
      <c r="R7407" s="121"/>
      <c r="S7407" s="120"/>
      <c r="T7407" s="121"/>
      <c r="U7407" s="120"/>
      <c r="V7407" s="123"/>
      <c r="W7407" s="125"/>
      <c r="X7407" s="142" t="s">
        <v>7990</v>
      </c>
      <c r="Y7407" s="143"/>
      <c r="Z7407" s="143"/>
      <c r="AA7407" s="143"/>
      <c r="AB7407" s="144"/>
      <c r="AC7407" s="16" t="s">
        <v>21</v>
      </c>
      <c r="AD7407" s="17" t="s">
        <v>1918</v>
      </c>
      <c r="AE7407" s="145" t="s">
        <v>171</v>
      </c>
      <c r="AF7407" s="146"/>
      <c r="AG7407" s="146"/>
      <c r="AH7407" s="146"/>
      <c r="AI7407" s="147"/>
      <c r="AJ7407" s="148"/>
      <c r="AK7407" s="143"/>
      <c r="AL7407" s="144"/>
      <c r="AM7407" s="22"/>
      <c r="AN7407" s="149" t="s">
        <v>2511</v>
      </c>
      <c r="AO7407" s="144"/>
      <c r="AP7407" s="148">
        <v>80037</v>
      </c>
      <c r="AQ7407" s="144"/>
      <c r="AR7407" s="120"/>
      <c r="AS7407" s="121"/>
      <c r="AT7407" s="120"/>
      <c r="AU7407" s="121"/>
      <c r="AV7407" s="120"/>
      <c r="AW7407" s="121"/>
      <c r="AX7407" s="120"/>
      <c r="AY7407" s="121"/>
      <c r="AZ7407" s="138"/>
    </row>
    <row r="7408" spans="1:52" ht="17.100000000000001" customHeight="1" thickTop="1">
      <c r="A7408" s="109" t="s">
        <v>21012</v>
      </c>
      <c r="B7408" s="28">
        <v>46104</v>
      </c>
      <c r="C7408" s="25"/>
      <c r="D7408" s="13" t="s">
        <v>2654</v>
      </c>
      <c r="E7408" s="111"/>
      <c r="F7408" s="113" t="s">
        <v>1871</v>
      </c>
      <c r="G7408" s="114"/>
      <c r="H7408" s="115"/>
      <c r="I7408" s="24" t="s">
        <v>1559</v>
      </c>
      <c r="J7408" s="116">
        <v>4.5</v>
      </c>
      <c r="K7408" s="118">
        <v>1459000</v>
      </c>
      <c r="L7408" s="119"/>
      <c r="M7408" s="118">
        <f t="shared" ref="M7408" si="10731">K7408*0.1</f>
        <v>145900</v>
      </c>
      <c r="N7408" s="119"/>
      <c r="O7408" s="118">
        <v>36000</v>
      </c>
      <c r="P7408" s="119"/>
      <c r="Q7408" s="118">
        <v>17600</v>
      </c>
      <c r="R7408" s="119"/>
      <c r="S7408" s="118">
        <v>15950</v>
      </c>
      <c r="T7408" s="119"/>
      <c r="U7408" s="118">
        <f t="shared" ref="U7408" si="10732">SUM(K7408:T7409)</f>
        <v>1674450</v>
      </c>
      <c r="V7408" s="122"/>
      <c r="W7408" s="124"/>
      <c r="X7408" s="126" t="s">
        <v>21005</v>
      </c>
      <c r="Y7408" s="127"/>
      <c r="Z7408" s="127"/>
      <c r="AA7408" s="127"/>
      <c r="AB7408" s="128"/>
      <c r="AC7408" s="15" t="s">
        <v>20</v>
      </c>
      <c r="AD7408" s="129"/>
      <c r="AE7408" s="130"/>
      <c r="AF7408" s="130"/>
      <c r="AG7408" s="130"/>
      <c r="AH7408" s="130"/>
      <c r="AI7408" s="131"/>
      <c r="AJ7408" s="132"/>
      <c r="AK7408" s="127"/>
      <c r="AL7408" s="128"/>
      <c r="AM7408" s="21"/>
      <c r="AN7408" s="133">
        <v>46123</v>
      </c>
      <c r="AO7408" s="134"/>
      <c r="AP7408" s="135">
        <v>1714</v>
      </c>
      <c r="AQ7408" s="136"/>
      <c r="AR7408" s="118">
        <v>1600000</v>
      </c>
      <c r="AS7408" s="119"/>
      <c r="AT7408" s="118">
        <f t="shared" ref="AT7408" si="10733">AR7408*0.1</f>
        <v>160000</v>
      </c>
      <c r="AU7408" s="119"/>
      <c r="AV7408" s="118">
        <v>17600</v>
      </c>
      <c r="AW7408" s="119"/>
      <c r="AX7408" s="118">
        <f t="shared" ref="AX7408" si="10734">SUM(AR7408:AW7408)</f>
        <v>1777600</v>
      </c>
      <c r="AY7408" s="119"/>
      <c r="AZ7408" s="137">
        <v>46124</v>
      </c>
    </row>
    <row r="7409" spans="1:52" ht="17.100000000000001" customHeight="1" thickBot="1">
      <c r="A7409" s="110"/>
      <c r="B7409" s="27" t="s">
        <v>4099</v>
      </c>
      <c r="C7409" s="27">
        <v>20173</v>
      </c>
      <c r="D7409" s="14" t="s">
        <v>904</v>
      </c>
      <c r="E7409" s="112"/>
      <c r="F7409" s="139" t="s">
        <v>21006</v>
      </c>
      <c r="G7409" s="140"/>
      <c r="H7409" s="141"/>
      <c r="I7409" s="26">
        <v>18514</v>
      </c>
      <c r="J7409" s="117"/>
      <c r="K7409" s="120"/>
      <c r="L7409" s="121"/>
      <c r="M7409" s="120"/>
      <c r="N7409" s="121"/>
      <c r="O7409" s="120"/>
      <c r="P7409" s="121"/>
      <c r="Q7409" s="120"/>
      <c r="R7409" s="121"/>
      <c r="S7409" s="120"/>
      <c r="T7409" s="121"/>
      <c r="U7409" s="120"/>
      <c r="V7409" s="123"/>
      <c r="W7409" s="125"/>
      <c r="X7409" s="142" t="s">
        <v>21335</v>
      </c>
      <c r="Y7409" s="143"/>
      <c r="Z7409" s="143"/>
      <c r="AA7409" s="143"/>
      <c r="AB7409" s="144"/>
      <c r="AC7409" s="16" t="s">
        <v>21</v>
      </c>
      <c r="AD7409" s="17" t="s">
        <v>21317</v>
      </c>
      <c r="AE7409" s="145"/>
      <c r="AF7409" s="146"/>
      <c r="AG7409" s="146"/>
      <c r="AH7409" s="146"/>
      <c r="AI7409" s="147"/>
      <c r="AJ7409" s="148"/>
      <c r="AK7409" s="143"/>
      <c r="AL7409" s="144"/>
      <c r="AM7409" s="22"/>
      <c r="AN7409" s="149" t="s">
        <v>22763</v>
      </c>
      <c r="AO7409" s="144"/>
      <c r="AP7409" s="148">
        <v>329</v>
      </c>
      <c r="AQ7409" s="144"/>
      <c r="AR7409" s="120"/>
      <c r="AS7409" s="121"/>
      <c r="AT7409" s="120"/>
      <c r="AU7409" s="121"/>
      <c r="AV7409" s="120"/>
      <c r="AW7409" s="121"/>
      <c r="AX7409" s="120"/>
      <c r="AY7409" s="121"/>
      <c r="AZ7409" s="138"/>
    </row>
    <row r="7410" spans="1:52" ht="17.100000000000001" customHeight="1" thickTop="1">
      <c r="A7410" s="109" t="s">
        <v>21013</v>
      </c>
      <c r="B7410" s="28">
        <v>46076</v>
      </c>
      <c r="C7410" s="25"/>
      <c r="D7410" s="13" t="s">
        <v>3381</v>
      </c>
      <c r="E7410" s="111"/>
      <c r="F7410" s="113" t="s">
        <v>14153</v>
      </c>
      <c r="G7410" s="114"/>
      <c r="H7410" s="115"/>
      <c r="I7410" s="24" t="s">
        <v>19676</v>
      </c>
      <c r="J7410" s="116">
        <v>4</v>
      </c>
      <c r="K7410" s="118">
        <f>1584000/1.1</f>
        <v>1440000</v>
      </c>
      <c r="L7410" s="119"/>
      <c r="M7410" s="118">
        <f t="shared" ref="M7410" si="10735">K7410*0.1</f>
        <v>144000</v>
      </c>
      <c r="N7410" s="119"/>
      <c r="O7410" s="118">
        <v>0</v>
      </c>
      <c r="P7410" s="119"/>
      <c r="Q7410" s="118">
        <v>11480</v>
      </c>
      <c r="R7410" s="119"/>
      <c r="S7410" s="118">
        <v>0</v>
      </c>
      <c r="T7410" s="119"/>
      <c r="U7410" s="118">
        <f t="shared" ref="U7410" si="10736">SUM(K7410:T7411)</f>
        <v>1595480</v>
      </c>
      <c r="V7410" s="122"/>
      <c r="W7410" s="124"/>
      <c r="X7410" s="126" t="s">
        <v>21699</v>
      </c>
      <c r="Y7410" s="127"/>
      <c r="Z7410" s="127"/>
      <c r="AA7410" s="127"/>
      <c r="AB7410" s="128"/>
      <c r="AC7410" s="15" t="s">
        <v>20</v>
      </c>
      <c r="AD7410" s="129" t="s">
        <v>1945</v>
      </c>
      <c r="AE7410" s="130"/>
      <c r="AF7410" s="130"/>
      <c r="AG7410" s="130"/>
      <c r="AH7410" s="130"/>
      <c r="AI7410" s="131"/>
      <c r="AJ7410" s="132"/>
      <c r="AK7410" s="127"/>
      <c r="AL7410" s="128"/>
      <c r="AM7410" s="21"/>
      <c r="AN7410" s="133">
        <v>46134</v>
      </c>
      <c r="AO7410" s="134"/>
      <c r="AP7410" s="135">
        <v>1014</v>
      </c>
      <c r="AQ7410" s="136"/>
      <c r="AR7410" s="118">
        <v>1520000</v>
      </c>
      <c r="AS7410" s="119"/>
      <c r="AT7410" s="118">
        <f t="shared" ref="AT7410" si="10737">AR7410*0.1</f>
        <v>152000</v>
      </c>
      <c r="AU7410" s="119"/>
      <c r="AV7410" s="118">
        <v>11480</v>
      </c>
      <c r="AW7410" s="119"/>
      <c r="AX7410" s="118">
        <f t="shared" ref="AX7410" si="10738">SUM(AR7410:AW7410)</f>
        <v>1683480</v>
      </c>
      <c r="AY7410" s="119"/>
      <c r="AZ7410" s="137">
        <v>46139</v>
      </c>
    </row>
    <row r="7411" spans="1:52" ht="17.100000000000001" customHeight="1" thickBot="1">
      <c r="A7411" s="110"/>
      <c r="B7411" s="27" t="s">
        <v>1718</v>
      </c>
      <c r="C7411" s="27" t="s">
        <v>21018</v>
      </c>
      <c r="D7411" s="14" t="s">
        <v>1592</v>
      </c>
      <c r="E7411" s="112"/>
      <c r="F7411" s="139" t="s">
        <v>21019</v>
      </c>
      <c r="G7411" s="140"/>
      <c r="H7411" s="141"/>
      <c r="I7411" s="26">
        <v>40609</v>
      </c>
      <c r="J7411" s="117"/>
      <c r="K7411" s="120"/>
      <c r="L7411" s="121"/>
      <c r="M7411" s="120"/>
      <c r="N7411" s="121"/>
      <c r="O7411" s="120"/>
      <c r="P7411" s="121"/>
      <c r="Q7411" s="120"/>
      <c r="R7411" s="121"/>
      <c r="S7411" s="120"/>
      <c r="T7411" s="121"/>
      <c r="U7411" s="120"/>
      <c r="V7411" s="123"/>
      <c r="W7411" s="125"/>
      <c r="X7411" s="142" t="s">
        <v>21700</v>
      </c>
      <c r="Y7411" s="143"/>
      <c r="Z7411" s="143"/>
      <c r="AA7411" s="143"/>
      <c r="AB7411" s="144"/>
      <c r="AC7411" s="16" t="s">
        <v>21</v>
      </c>
      <c r="AD7411" s="17" t="s">
        <v>1918</v>
      </c>
      <c r="AE7411" s="145" t="s">
        <v>23795</v>
      </c>
      <c r="AF7411" s="146"/>
      <c r="AG7411" s="146"/>
      <c r="AH7411" s="146"/>
      <c r="AI7411" s="147"/>
      <c r="AJ7411" s="148"/>
      <c r="AK7411" s="143"/>
      <c r="AL7411" s="144"/>
      <c r="AM7411" s="22"/>
      <c r="AN7411" s="149" t="s">
        <v>23987</v>
      </c>
      <c r="AO7411" s="144"/>
      <c r="AP7411" s="148">
        <v>1144</v>
      </c>
      <c r="AQ7411" s="144"/>
      <c r="AR7411" s="120"/>
      <c r="AS7411" s="121"/>
      <c r="AT7411" s="120"/>
      <c r="AU7411" s="121"/>
      <c r="AV7411" s="120"/>
      <c r="AW7411" s="121"/>
      <c r="AX7411" s="120"/>
      <c r="AY7411" s="121"/>
      <c r="AZ7411" s="138"/>
    </row>
    <row r="7412" spans="1:52" ht="17.100000000000001" customHeight="1" thickTop="1">
      <c r="A7412" s="109" t="s">
        <v>21014</v>
      </c>
      <c r="B7412" s="28">
        <v>46076</v>
      </c>
      <c r="C7412" s="25"/>
      <c r="D7412" s="13" t="s">
        <v>1786</v>
      </c>
      <c r="E7412" s="111"/>
      <c r="F7412" s="113" t="s">
        <v>11922</v>
      </c>
      <c r="G7412" s="114"/>
      <c r="H7412" s="115"/>
      <c r="I7412" s="24" t="s">
        <v>16006</v>
      </c>
      <c r="J7412" s="116">
        <v>4.5</v>
      </c>
      <c r="K7412" s="118">
        <f>4026000/1.1</f>
        <v>3659999.9999999995</v>
      </c>
      <c r="L7412" s="119"/>
      <c r="M7412" s="118">
        <f t="shared" ref="M7412" si="10739">K7412*0.1</f>
        <v>366000</v>
      </c>
      <c r="N7412" s="119"/>
      <c r="O7412" s="118">
        <v>0</v>
      </c>
      <c r="P7412" s="119"/>
      <c r="Q7412" s="118">
        <v>15540</v>
      </c>
      <c r="R7412" s="119"/>
      <c r="S7412" s="118">
        <v>0</v>
      </c>
      <c r="T7412" s="119"/>
      <c r="U7412" s="118">
        <f t="shared" ref="U7412" si="10740">SUM(K7412:T7413)</f>
        <v>4041539.9999999995</v>
      </c>
      <c r="V7412" s="122"/>
      <c r="W7412" s="124"/>
      <c r="X7412" s="126" t="s">
        <v>24668</v>
      </c>
      <c r="Y7412" s="127"/>
      <c r="Z7412" s="127"/>
      <c r="AA7412" s="127"/>
      <c r="AB7412" s="128"/>
      <c r="AC7412" s="15" t="s">
        <v>20</v>
      </c>
      <c r="AD7412" s="129" t="s">
        <v>1945</v>
      </c>
      <c r="AE7412" s="130"/>
      <c r="AF7412" s="130"/>
      <c r="AG7412" s="130"/>
      <c r="AH7412" s="130"/>
      <c r="AI7412" s="131"/>
      <c r="AJ7412" s="132"/>
      <c r="AK7412" s="127"/>
      <c r="AL7412" s="128"/>
      <c r="AM7412" s="21" t="s">
        <v>25966</v>
      </c>
      <c r="AN7412" s="133"/>
      <c r="AO7412" s="134"/>
      <c r="AP7412" s="135"/>
      <c r="AQ7412" s="136"/>
      <c r="AR7412" s="118"/>
      <c r="AS7412" s="119"/>
      <c r="AT7412" s="118">
        <f t="shared" ref="AT7412" si="10741">AR7412*0.1</f>
        <v>0</v>
      </c>
      <c r="AU7412" s="119"/>
      <c r="AV7412" s="118"/>
      <c r="AW7412" s="119"/>
      <c r="AX7412" s="118">
        <f t="shared" ref="AX7412" si="10742">SUM(AR7412:AW7412)</f>
        <v>0</v>
      </c>
      <c r="AY7412" s="119"/>
      <c r="AZ7412" s="137"/>
    </row>
    <row r="7413" spans="1:52" ht="17.100000000000001" customHeight="1" thickBot="1">
      <c r="A7413" s="110"/>
      <c r="B7413" s="27" t="s">
        <v>1718</v>
      </c>
      <c r="C7413" s="27" t="s">
        <v>21020</v>
      </c>
      <c r="D7413" s="14" t="s">
        <v>275</v>
      </c>
      <c r="E7413" s="112"/>
      <c r="F7413" s="139" t="s">
        <v>21021</v>
      </c>
      <c r="G7413" s="140"/>
      <c r="H7413" s="141"/>
      <c r="I7413" s="26">
        <v>54352</v>
      </c>
      <c r="J7413" s="117"/>
      <c r="K7413" s="120"/>
      <c r="L7413" s="121"/>
      <c r="M7413" s="120"/>
      <c r="N7413" s="121"/>
      <c r="O7413" s="120"/>
      <c r="P7413" s="121"/>
      <c r="Q7413" s="120"/>
      <c r="R7413" s="121"/>
      <c r="S7413" s="120"/>
      <c r="T7413" s="121"/>
      <c r="U7413" s="120"/>
      <c r="V7413" s="123"/>
      <c r="W7413" s="125"/>
      <c r="X7413" s="142" t="s">
        <v>24669</v>
      </c>
      <c r="Y7413" s="143"/>
      <c r="Z7413" s="143"/>
      <c r="AA7413" s="143"/>
      <c r="AB7413" s="144"/>
      <c r="AC7413" s="16" t="s">
        <v>21</v>
      </c>
      <c r="AD7413" s="17" t="s">
        <v>1962</v>
      </c>
      <c r="AE7413" s="145" t="s">
        <v>24670</v>
      </c>
      <c r="AF7413" s="146"/>
      <c r="AG7413" s="146"/>
      <c r="AH7413" s="146"/>
      <c r="AI7413" s="147"/>
      <c r="AJ7413" s="148"/>
      <c r="AK7413" s="143"/>
      <c r="AL7413" s="144"/>
      <c r="AM7413" s="22"/>
      <c r="AN7413" s="149"/>
      <c r="AO7413" s="144"/>
      <c r="AP7413" s="148"/>
      <c r="AQ7413" s="144"/>
      <c r="AR7413" s="120"/>
      <c r="AS7413" s="121"/>
      <c r="AT7413" s="120"/>
      <c r="AU7413" s="121"/>
      <c r="AV7413" s="120"/>
      <c r="AW7413" s="121"/>
      <c r="AX7413" s="120"/>
      <c r="AY7413" s="121"/>
      <c r="AZ7413" s="138"/>
    </row>
    <row r="7414" spans="1:52" ht="17.100000000000001" customHeight="1" thickTop="1">
      <c r="A7414" s="109" t="s">
        <v>21015</v>
      </c>
      <c r="B7414" s="28">
        <v>46076</v>
      </c>
      <c r="C7414" s="25"/>
      <c r="D7414" s="13" t="s">
        <v>1920</v>
      </c>
      <c r="E7414" s="111"/>
      <c r="F7414" s="113" t="s">
        <v>21028</v>
      </c>
      <c r="G7414" s="114"/>
      <c r="H7414" s="115"/>
      <c r="I7414" s="24" t="s">
        <v>12506</v>
      </c>
      <c r="J7414" s="116">
        <v>4.5</v>
      </c>
      <c r="K7414" s="118">
        <f>801900/1.1</f>
        <v>728999.99999999988</v>
      </c>
      <c r="L7414" s="119"/>
      <c r="M7414" s="118">
        <f t="shared" ref="M7414" si="10743">K7414*0.1</f>
        <v>72899.999999999985</v>
      </c>
      <c r="N7414" s="119"/>
      <c r="O7414" s="118">
        <v>0</v>
      </c>
      <c r="P7414" s="119"/>
      <c r="Q7414" s="118">
        <v>9130</v>
      </c>
      <c r="R7414" s="119"/>
      <c r="S7414" s="118">
        <v>0</v>
      </c>
      <c r="T7414" s="119"/>
      <c r="U7414" s="118">
        <f t="shared" ref="U7414" si="10744">SUM(K7414:T7415)</f>
        <v>811029.99999999988</v>
      </c>
      <c r="V7414" s="122"/>
      <c r="W7414" s="124"/>
      <c r="X7414" s="126" t="s">
        <v>22458</v>
      </c>
      <c r="Y7414" s="127"/>
      <c r="Z7414" s="127"/>
      <c r="AA7414" s="127"/>
      <c r="AB7414" s="128"/>
      <c r="AC7414" s="15" t="s">
        <v>20</v>
      </c>
      <c r="AD7414" s="129"/>
      <c r="AE7414" s="130"/>
      <c r="AF7414" s="130"/>
      <c r="AG7414" s="130"/>
      <c r="AH7414" s="130"/>
      <c r="AI7414" s="131"/>
      <c r="AJ7414" s="132"/>
      <c r="AK7414" s="127"/>
      <c r="AL7414" s="128"/>
      <c r="AM7414" s="21"/>
      <c r="AN7414" s="133">
        <v>46130</v>
      </c>
      <c r="AO7414" s="134"/>
      <c r="AP7414" s="135">
        <v>1297</v>
      </c>
      <c r="AQ7414" s="136"/>
      <c r="AR7414" s="118">
        <v>780000</v>
      </c>
      <c r="AS7414" s="119"/>
      <c r="AT7414" s="118">
        <f t="shared" ref="AT7414" si="10745">AR7414*0.1</f>
        <v>78000</v>
      </c>
      <c r="AU7414" s="119"/>
      <c r="AV7414" s="118">
        <v>9130</v>
      </c>
      <c r="AW7414" s="119"/>
      <c r="AX7414" s="118">
        <f t="shared" ref="AX7414" si="10746">SUM(AR7414:AW7414)</f>
        <v>867130</v>
      </c>
      <c r="AY7414" s="119"/>
      <c r="AZ7414" s="137">
        <v>46133</v>
      </c>
    </row>
    <row r="7415" spans="1:52" ht="17.100000000000001" customHeight="1" thickBot="1">
      <c r="A7415" s="110"/>
      <c r="B7415" s="27" t="s">
        <v>1718</v>
      </c>
      <c r="C7415" s="27" t="s">
        <v>21022</v>
      </c>
      <c r="D7415" s="14" t="s">
        <v>2836</v>
      </c>
      <c r="E7415" s="112"/>
      <c r="F7415" s="139" t="s">
        <v>21023</v>
      </c>
      <c r="G7415" s="140"/>
      <c r="H7415" s="141"/>
      <c r="I7415" s="26">
        <v>75963</v>
      </c>
      <c r="J7415" s="117"/>
      <c r="K7415" s="120"/>
      <c r="L7415" s="121"/>
      <c r="M7415" s="120"/>
      <c r="N7415" s="121"/>
      <c r="O7415" s="120"/>
      <c r="P7415" s="121"/>
      <c r="Q7415" s="120"/>
      <c r="R7415" s="121"/>
      <c r="S7415" s="120"/>
      <c r="T7415" s="121"/>
      <c r="U7415" s="120"/>
      <c r="V7415" s="123"/>
      <c r="W7415" s="125"/>
      <c r="X7415" s="142" t="s">
        <v>22459</v>
      </c>
      <c r="Y7415" s="143"/>
      <c r="Z7415" s="143"/>
      <c r="AA7415" s="143"/>
      <c r="AB7415" s="144"/>
      <c r="AC7415" s="16" t="s">
        <v>21</v>
      </c>
      <c r="AD7415" s="17" t="s">
        <v>1825</v>
      </c>
      <c r="AE7415" s="145" t="s">
        <v>22460</v>
      </c>
      <c r="AF7415" s="146"/>
      <c r="AG7415" s="146"/>
      <c r="AH7415" s="146"/>
      <c r="AI7415" s="147"/>
      <c r="AJ7415" s="148"/>
      <c r="AK7415" s="143"/>
      <c r="AL7415" s="144"/>
      <c r="AM7415" s="22"/>
      <c r="AN7415" s="149" t="s">
        <v>2511</v>
      </c>
      <c r="AO7415" s="144"/>
      <c r="AP7415" s="148">
        <v>37607</v>
      </c>
      <c r="AQ7415" s="144"/>
      <c r="AR7415" s="120"/>
      <c r="AS7415" s="121"/>
      <c r="AT7415" s="120"/>
      <c r="AU7415" s="121"/>
      <c r="AV7415" s="120"/>
      <c r="AW7415" s="121"/>
      <c r="AX7415" s="120"/>
      <c r="AY7415" s="121"/>
      <c r="AZ7415" s="138"/>
    </row>
    <row r="7416" spans="1:52" ht="17.100000000000001" customHeight="1" thickTop="1">
      <c r="A7416" s="109" t="s">
        <v>21016</v>
      </c>
      <c r="B7416" s="28">
        <v>46076</v>
      </c>
      <c r="C7416" s="25"/>
      <c r="D7416" s="13" t="s">
        <v>2226</v>
      </c>
      <c r="E7416" s="111"/>
      <c r="F7416" s="113" t="s">
        <v>8215</v>
      </c>
      <c r="G7416" s="114"/>
      <c r="H7416" s="115"/>
      <c r="I7416" s="24" t="s">
        <v>21029</v>
      </c>
      <c r="J7416" s="116">
        <v>4.5</v>
      </c>
      <c r="K7416" s="118">
        <f>5775000/1.1</f>
        <v>5250000</v>
      </c>
      <c r="L7416" s="119"/>
      <c r="M7416" s="118">
        <f t="shared" ref="M7416" si="10747">K7416*0.1</f>
        <v>525000</v>
      </c>
      <c r="N7416" s="119"/>
      <c r="O7416" s="118">
        <v>0</v>
      </c>
      <c r="P7416" s="119"/>
      <c r="Q7416" s="118">
        <v>14230</v>
      </c>
      <c r="R7416" s="119"/>
      <c r="S7416" s="118">
        <v>0</v>
      </c>
      <c r="T7416" s="119"/>
      <c r="U7416" s="118">
        <f t="shared" ref="U7416" si="10748">SUM(K7416:T7417)</f>
        <v>5789230</v>
      </c>
      <c r="V7416" s="122"/>
      <c r="W7416" s="124"/>
      <c r="X7416" s="126" t="s">
        <v>24773</v>
      </c>
      <c r="Y7416" s="127"/>
      <c r="Z7416" s="127"/>
      <c r="AA7416" s="127"/>
      <c r="AB7416" s="128"/>
      <c r="AC7416" s="15" t="s">
        <v>20</v>
      </c>
      <c r="AD7416" s="129" t="s">
        <v>1575</v>
      </c>
      <c r="AE7416" s="130"/>
      <c r="AF7416" s="130"/>
      <c r="AG7416" s="130"/>
      <c r="AH7416" s="130"/>
      <c r="AI7416" s="131"/>
      <c r="AJ7416" s="132"/>
      <c r="AK7416" s="127"/>
      <c r="AL7416" s="128"/>
      <c r="AM7416" s="21" t="s">
        <v>24992</v>
      </c>
      <c r="AN7416" s="133">
        <v>46155</v>
      </c>
      <c r="AO7416" s="134"/>
      <c r="AP7416" s="135">
        <v>1016</v>
      </c>
      <c r="AQ7416" s="136"/>
      <c r="AR7416" s="118">
        <v>5380000</v>
      </c>
      <c r="AS7416" s="119"/>
      <c r="AT7416" s="118">
        <f t="shared" ref="AT7416" si="10749">AR7416*0.1</f>
        <v>538000</v>
      </c>
      <c r="AU7416" s="119"/>
      <c r="AV7416" s="118">
        <v>14230</v>
      </c>
      <c r="AW7416" s="119"/>
      <c r="AX7416" s="118">
        <f t="shared" ref="AX7416" si="10750">SUM(AR7416:AW7416)</f>
        <v>5932230</v>
      </c>
      <c r="AY7416" s="119"/>
      <c r="AZ7416" s="137">
        <v>46160</v>
      </c>
    </row>
    <row r="7417" spans="1:52" ht="17.100000000000001" customHeight="1" thickBot="1">
      <c r="A7417" s="110"/>
      <c r="B7417" s="27" t="s">
        <v>1718</v>
      </c>
      <c r="C7417" s="27" t="s">
        <v>21024</v>
      </c>
      <c r="D7417" s="14" t="s">
        <v>133</v>
      </c>
      <c r="E7417" s="112"/>
      <c r="F7417" s="139" t="s">
        <v>21025</v>
      </c>
      <c r="G7417" s="140"/>
      <c r="H7417" s="141"/>
      <c r="I7417" s="26">
        <v>5907</v>
      </c>
      <c r="J7417" s="117"/>
      <c r="K7417" s="120"/>
      <c r="L7417" s="121"/>
      <c r="M7417" s="120"/>
      <c r="N7417" s="121"/>
      <c r="O7417" s="120"/>
      <c r="P7417" s="121"/>
      <c r="Q7417" s="120"/>
      <c r="R7417" s="121"/>
      <c r="S7417" s="120"/>
      <c r="T7417" s="121"/>
      <c r="U7417" s="120"/>
      <c r="V7417" s="123"/>
      <c r="W7417" s="125"/>
      <c r="X7417" s="142" t="s">
        <v>4356</v>
      </c>
      <c r="Y7417" s="143"/>
      <c r="Z7417" s="143"/>
      <c r="AA7417" s="143"/>
      <c r="AB7417" s="144"/>
      <c r="AC7417" s="16" t="s">
        <v>21</v>
      </c>
      <c r="AD7417" s="17" t="s">
        <v>24751</v>
      </c>
      <c r="AE7417" s="145" t="s">
        <v>171</v>
      </c>
      <c r="AF7417" s="146"/>
      <c r="AG7417" s="146"/>
      <c r="AH7417" s="146"/>
      <c r="AI7417" s="147"/>
      <c r="AJ7417" s="148"/>
      <c r="AK7417" s="143"/>
      <c r="AL7417" s="144"/>
      <c r="AM7417" s="22"/>
      <c r="AN7417" s="149" t="s">
        <v>2794</v>
      </c>
      <c r="AO7417" s="144"/>
      <c r="AP7417" s="148">
        <v>1084</v>
      </c>
      <c r="AQ7417" s="144"/>
      <c r="AR7417" s="120"/>
      <c r="AS7417" s="121"/>
      <c r="AT7417" s="120"/>
      <c r="AU7417" s="121"/>
      <c r="AV7417" s="120"/>
      <c r="AW7417" s="121"/>
      <c r="AX7417" s="120"/>
      <c r="AY7417" s="121"/>
      <c r="AZ7417" s="138"/>
    </row>
    <row r="7418" spans="1:52" ht="17.100000000000001" customHeight="1" thickTop="1">
      <c r="A7418" s="109" t="s">
        <v>21017</v>
      </c>
      <c r="B7418" s="28">
        <v>46076</v>
      </c>
      <c r="C7418" s="25"/>
      <c r="D7418" s="13" t="s">
        <v>2759</v>
      </c>
      <c r="E7418" s="111"/>
      <c r="F7418" s="113" t="s">
        <v>21030</v>
      </c>
      <c r="G7418" s="114"/>
      <c r="H7418" s="115"/>
      <c r="I7418" s="24" t="s">
        <v>21031</v>
      </c>
      <c r="J7418" s="116">
        <v>4</v>
      </c>
      <c r="K7418" s="118">
        <f>2156000/1.1</f>
        <v>1959999.9999999998</v>
      </c>
      <c r="L7418" s="119"/>
      <c r="M7418" s="118">
        <f t="shared" ref="M7418" si="10751">K7418*0.1</f>
        <v>196000</v>
      </c>
      <c r="N7418" s="119"/>
      <c r="O7418" s="118">
        <v>0</v>
      </c>
      <c r="P7418" s="119"/>
      <c r="Q7418" s="118">
        <v>12400</v>
      </c>
      <c r="R7418" s="119"/>
      <c r="S7418" s="118">
        <v>0</v>
      </c>
      <c r="T7418" s="119"/>
      <c r="U7418" s="118">
        <f t="shared" ref="U7418" si="10752">SUM(K7418:T7419)</f>
        <v>2168400</v>
      </c>
      <c r="V7418" s="122"/>
      <c r="W7418" s="124"/>
      <c r="X7418" s="126" t="s">
        <v>22958</v>
      </c>
      <c r="Y7418" s="127"/>
      <c r="Z7418" s="127"/>
      <c r="AA7418" s="127"/>
      <c r="AB7418" s="128"/>
      <c r="AC7418" s="15" t="s">
        <v>20</v>
      </c>
      <c r="AD7418" s="129" t="s">
        <v>1605</v>
      </c>
      <c r="AE7418" s="130"/>
      <c r="AF7418" s="130"/>
      <c r="AG7418" s="130"/>
      <c r="AH7418" s="130"/>
      <c r="AI7418" s="131"/>
      <c r="AJ7418" s="132"/>
      <c r="AK7418" s="127"/>
      <c r="AL7418" s="128"/>
      <c r="AM7418" s="21"/>
      <c r="AN7418" s="133">
        <v>46144</v>
      </c>
      <c r="AO7418" s="134"/>
      <c r="AP7418" s="135">
        <v>1299</v>
      </c>
      <c r="AQ7418" s="136"/>
      <c r="AR7418" s="118">
        <v>2000000</v>
      </c>
      <c r="AS7418" s="119"/>
      <c r="AT7418" s="118">
        <f t="shared" ref="AT7418" si="10753">AR7418*0.1</f>
        <v>200000</v>
      </c>
      <c r="AU7418" s="119"/>
      <c r="AV7418" s="118">
        <v>12400</v>
      </c>
      <c r="AW7418" s="119"/>
      <c r="AX7418" s="118">
        <f t="shared" ref="AX7418" si="10754">SUM(AR7418:AW7418)</f>
        <v>2212400</v>
      </c>
      <c r="AY7418" s="119"/>
      <c r="AZ7418" s="137">
        <v>46154</v>
      </c>
    </row>
    <row r="7419" spans="1:52" ht="17.100000000000001" customHeight="1" thickBot="1">
      <c r="A7419" s="110"/>
      <c r="B7419" s="27" t="s">
        <v>1718</v>
      </c>
      <c r="C7419" s="27" t="s">
        <v>21026</v>
      </c>
      <c r="D7419" s="14" t="s">
        <v>275</v>
      </c>
      <c r="E7419" s="112"/>
      <c r="F7419" s="139" t="s">
        <v>21027</v>
      </c>
      <c r="G7419" s="140"/>
      <c r="H7419" s="141"/>
      <c r="I7419" s="26">
        <v>49749</v>
      </c>
      <c r="J7419" s="117"/>
      <c r="K7419" s="120"/>
      <c r="L7419" s="121"/>
      <c r="M7419" s="120"/>
      <c r="N7419" s="121"/>
      <c r="O7419" s="120"/>
      <c r="P7419" s="121"/>
      <c r="Q7419" s="120"/>
      <c r="R7419" s="121"/>
      <c r="S7419" s="120"/>
      <c r="T7419" s="121"/>
      <c r="U7419" s="120"/>
      <c r="V7419" s="123"/>
      <c r="W7419" s="125"/>
      <c r="X7419" s="142" t="s">
        <v>22959</v>
      </c>
      <c r="Y7419" s="143"/>
      <c r="Z7419" s="143"/>
      <c r="AA7419" s="143"/>
      <c r="AB7419" s="144"/>
      <c r="AC7419" s="16" t="s">
        <v>21</v>
      </c>
      <c r="AD7419" s="17" t="s">
        <v>22918</v>
      </c>
      <c r="AE7419" s="145" t="s">
        <v>22971</v>
      </c>
      <c r="AF7419" s="146"/>
      <c r="AG7419" s="146"/>
      <c r="AH7419" s="146"/>
      <c r="AI7419" s="147"/>
      <c r="AJ7419" s="148"/>
      <c r="AK7419" s="143"/>
      <c r="AL7419" s="144"/>
      <c r="AM7419" s="22"/>
      <c r="AN7419" s="149" t="s">
        <v>25323</v>
      </c>
      <c r="AO7419" s="144"/>
      <c r="AP7419" s="148">
        <v>31258</v>
      </c>
      <c r="AQ7419" s="144"/>
      <c r="AR7419" s="120"/>
      <c r="AS7419" s="121"/>
      <c r="AT7419" s="120"/>
      <c r="AU7419" s="121"/>
      <c r="AV7419" s="120"/>
      <c r="AW7419" s="121"/>
      <c r="AX7419" s="120"/>
      <c r="AY7419" s="121"/>
      <c r="AZ7419" s="138"/>
    </row>
    <row r="7420" spans="1:52" ht="17.100000000000001" customHeight="1" thickTop="1">
      <c r="A7420" s="109" t="s">
        <v>21047</v>
      </c>
      <c r="B7420" s="28">
        <v>46105</v>
      </c>
      <c r="C7420" s="25"/>
      <c r="D7420" s="13" t="s">
        <v>4443</v>
      </c>
      <c r="E7420" s="111"/>
      <c r="F7420" s="113" t="s">
        <v>21049</v>
      </c>
      <c r="G7420" s="114"/>
      <c r="H7420" s="115"/>
      <c r="I7420" s="24" t="s">
        <v>12190</v>
      </c>
      <c r="J7420" s="116"/>
      <c r="K7420" s="118">
        <v>500000</v>
      </c>
      <c r="L7420" s="119"/>
      <c r="M7420" s="118">
        <v>0</v>
      </c>
      <c r="N7420" s="119"/>
      <c r="O7420" s="118">
        <v>0</v>
      </c>
      <c r="P7420" s="119"/>
      <c r="Q7420" s="118">
        <v>0</v>
      </c>
      <c r="R7420" s="119"/>
      <c r="S7420" s="118">
        <v>0</v>
      </c>
      <c r="T7420" s="119"/>
      <c r="U7420" s="118">
        <f t="shared" ref="U7420" si="10755">SUM(K7420:T7421)</f>
        <v>500000</v>
      </c>
      <c r="V7420" s="122"/>
      <c r="W7420" s="124"/>
      <c r="X7420" s="126" t="s">
        <v>21051</v>
      </c>
      <c r="Y7420" s="127"/>
      <c r="Z7420" s="127"/>
      <c r="AA7420" s="127"/>
      <c r="AB7420" s="128"/>
      <c r="AC7420" s="15" t="s">
        <v>20</v>
      </c>
      <c r="AD7420" s="129"/>
      <c r="AE7420" s="130"/>
      <c r="AF7420" s="130"/>
      <c r="AG7420" s="130"/>
      <c r="AH7420" s="130"/>
      <c r="AI7420" s="131"/>
      <c r="AJ7420" s="132"/>
      <c r="AK7420" s="127"/>
      <c r="AL7420" s="128"/>
      <c r="AM7420" s="21"/>
      <c r="AN7420" s="133">
        <v>46158</v>
      </c>
      <c r="AO7420" s="134"/>
      <c r="AP7420" s="135">
        <v>1300</v>
      </c>
      <c r="AQ7420" s="136"/>
      <c r="AR7420" s="118">
        <v>615000</v>
      </c>
      <c r="AS7420" s="119"/>
      <c r="AT7420" s="118">
        <f t="shared" ref="AT7420" si="10756">AR7420*0.1</f>
        <v>61500</v>
      </c>
      <c r="AU7420" s="119"/>
      <c r="AV7420" s="118">
        <v>19450</v>
      </c>
      <c r="AW7420" s="119"/>
      <c r="AX7420" s="118">
        <f t="shared" ref="AX7420" si="10757">SUM(AR7420:AW7420)</f>
        <v>695950</v>
      </c>
      <c r="AY7420" s="119"/>
      <c r="AZ7420" s="137">
        <v>46161</v>
      </c>
    </row>
    <row r="7421" spans="1:52" ht="17.100000000000001" customHeight="1" thickBot="1">
      <c r="A7421" s="110"/>
      <c r="B7421" s="27" t="s">
        <v>21048</v>
      </c>
      <c r="C7421" s="27"/>
      <c r="D7421" s="14" t="s">
        <v>21097</v>
      </c>
      <c r="E7421" s="112"/>
      <c r="F7421" s="139" t="s">
        <v>21050</v>
      </c>
      <c r="G7421" s="140"/>
      <c r="H7421" s="141"/>
      <c r="I7421" s="26">
        <v>33814</v>
      </c>
      <c r="J7421" s="117"/>
      <c r="K7421" s="120"/>
      <c r="L7421" s="121"/>
      <c r="M7421" s="120"/>
      <c r="N7421" s="121"/>
      <c r="O7421" s="120"/>
      <c r="P7421" s="121"/>
      <c r="Q7421" s="120"/>
      <c r="R7421" s="121"/>
      <c r="S7421" s="120"/>
      <c r="T7421" s="121"/>
      <c r="U7421" s="120"/>
      <c r="V7421" s="123"/>
      <c r="W7421" s="125"/>
      <c r="X7421" s="142" t="s">
        <v>21052</v>
      </c>
      <c r="Y7421" s="143"/>
      <c r="Z7421" s="143"/>
      <c r="AA7421" s="143"/>
      <c r="AB7421" s="144"/>
      <c r="AC7421" s="16" t="s">
        <v>21</v>
      </c>
      <c r="AD7421" s="17" t="s">
        <v>21034</v>
      </c>
      <c r="AE7421" s="145" t="s">
        <v>1742</v>
      </c>
      <c r="AF7421" s="146"/>
      <c r="AG7421" s="146"/>
      <c r="AH7421" s="146"/>
      <c r="AI7421" s="147"/>
      <c r="AJ7421" s="148"/>
      <c r="AK7421" s="143"/>
      <c r="AL7421" s="144"/>
      <c r="AM7421" s="22"/>
      <c r="AN7421" s="149" t="s">
        <v>2511</v>
      </c>
      <c r="AO7421" s="144"/>
      <c r="AP7421" s="148">
        <v>82406</v>
      </c>
      <c r="AQ7421" s="144"/>
      <c r="AR7421" s="120"/>
      <c r="AS7421" s="121"/>
      <c r="AT7421" s="120"/>
      <c r="AU7421" s="121"/>
      <c r="AV7421" s="120"/>
      <c r="AW7421" s="121"/>
      <c r="AX7421" s="120"/>
      <c r="AY7421" s="121"/>
      <c r="AZ7421" s="138"/>
    </row>
    <row r="7422" spans="1:52" ht="17.100000000000001" customHeight="1" thickTop="1">
      <c r="A7422" s="109" t="s">
        <v>21060</v>
      </c>
      <c r="B7422" s="28">
        <v>46105</v>
      </c>
      <c r="C7422" s="25">
        <v>1934</v>
      </c>
      <c r="D7422" s="13" t="s">
        <v>1888</v>
      </c>
      <c r="E7422" s="111"/>
      <c r="F7422" s="113" t="s">
        <v>15509</v>
      </c>
      <c r="G7422" s="114"/>
      <c r="H7422" s="115"/>
      <c r="I7422" s="24"/>
      <c r="J7422" s="116">
        <v>4</v>
      </c>
      <c r="K7422" s="118">
        <v>522000</v>
      </c>
      <c r="L7422" s="119"/>
      <c r="M7422" s="118">
        <f t="shared" ref="M7422" si="10758">K7422*0.1</f>
        <v>52200</v>
      </c>
      <c r="N7422" s="119"/>
      <c r="O7422" s="118">
        <v>0</v>
      </c>
      <c r="P7422" s="119"/>
      <c r="Q7422" s="118">
        <v>8850</v>
      </c>
      <c r="R7422" s="119"/>
      <c r="S7422" s="118">
        <v>15950</v>
      </c>
      <c r="T7422" s="119"/>
      <c r="U7422" s="118">
        <f t="shared" ref="U7422" si="10759">SUM(K7422:T7423)</f>
        <v>599000</v>
      </c>
      <c r="V7422" s="122"/>
      <c r="W7422" s="124"/>
      <c r="X7422" s="126" t="s">
        <v>21675</v>
      </c>
      <c r="Y7422" s="127"/>
      <c r="Z7422" s="127"/>
      <c r="AA7422" s="127"/>
      <c r="AB7422" s="128"/>
      <c r="AC7422" s="15" t="s">
        <v>20</v>
      </c>
      <c r="AD7422" s="129" t="s">
        <v>21095</v>
      </c>
      <c r="AE7422" s="130"/>
      <c r="AF7422" s="130"/>
      <c r="AG7422" s="130"/>
      <c r="AH7422" s="130"/>
      <c r="AI7422" s="131"/>
      <c r="AJ7422" s="132"/>
      <c r="AK7422" s="127"/>
      <c r="AL7422" s="128"/>
      <c r="AM7422" s="21"/>
      <c r="AN7422" s="133"/>
      <c r="AO7422" s="134"/>
      <c r="AP7422" s="135"/>
      <c r="AQ7422" s="136"/>
      <c r="AR7422" s="118"/>
      <c r="AS7422" s="119"/>
      <c r="AT7422" s="118">
        <f t="shared" ref="AT7422" si="10760">AR7422*0.1</f>
        <v>0</v>
      </c>
      <c r="AU7422" s="119"/>
      <c r="AV7422" s="118"/>
      <c r="AW7422" s="119"/>
      <c r="AX7422" s="118">
        <f t="shared" ref="AX7422" si="10761">SUM(AR7422:AW7422)</f>
        <v>0</v>
      </c>
      <c r="AY7422" s="119"/>
      <c r="AZ7422" s="137"/>
    </row>
    <row r="7423" spans="1:52" ht="17.100000000000001" customHeight="1" thickBot="1">
      <c r="A7423" s="110"/>
      <c r="B7423" s="27" t="s">
        <v>2131</v>
      </c>
      <c r="C7423" s="27">
        <v>3006</v>
      </c>
      <c r="D7423" s="14" t="s">
        <v>2325</v>
      </c>
      <c r="E7423" s="112"/>
      <c r="F7423" s="139" t="s">
        <v>21078</v>
      </c>
      <c r="G7423" s="140"/>
      <c r="H7423" s="141"/>
      <c r="I7423" s="26">
        <v>29170</v>
      </c>
      <c r="J7423" s="117"/>
      <c r="K7423" s="120"/>
      <c r="L7423" s="121"/>
      <c r="M7423" s="120"/>
      <c r="N7423" s="121"/>
      <c r="O7423" s="120"/>
      <c r="P7423" s="121"/>
      <c r="Q7423" s="120"/>
      <c r="R7423" s="121"/>
      <c r="S7423" s="120"/>
      <c r="T7423" s="121"/>
      <c r="U7423" s="120"/>
      <c r="V7423" s="123"/>
      <c r="W7423" s="125"/>
      <c r="X7423" s="142" t="s">
        <v>9364</v>
      </c>
      <c r="Y7423" s="143"/>
      <c r="Z7423" s="143"/>
      <c r="AA7423" s="143"/>
      <c r="AB7423" s="144"/>
      <c r="AC7423" s="16" t="s">
        <v>21</v>
      </c>
      <c r="AD7423" s="17" t="s">
        <v>1918</v>
      </c>
      <c r="AE7423" s="145" t="s">
        <v>21676</v>
      </c>
      <c r="AF7423" s="146"/>
      <c r="AG7423" s="146"/>
      <c r="AH7423" s="146"/>
      <c r="AI7423" s="147"/>
      <c r="AJ7423" s="148"/>
      <c r="AK7423" s="143"/>
      <c r="AL7423" s="144"/>
      <c r="AM7423" s="22"/>
      <c r="AN7423" s="149"/>
      <c r="AO7423" s="144"/>
      <c r="AP7423" s="148"/>
      <c r="AQ7423" s="144"/>
      <c r="AR7423" s="120"/>
      <c r="AS7423" s="121"/>
      <c r="AT7423" s="120"/>
      <c r="AU7423" s="121"/>
      <c r="AV7423" s="120"/>
      <c r="AW7423" s="121"/>
      <c r="AX7423" s="120"/>
      <c r="AY7423" s="121"/>
      <c r="AZ7423" s="138"/>
    </row>
    <row r="7424" spans="1:52" ht="17.100000000000001" customHeight="1" thickTop="1">
      <c r="A7424" s="109" t="s">
        <v>21061</v>
      </c>
      <c r="B7424" s="28">
        <v>46105</v>
      </c>
      <c r="C7424" s="25">
        <v>1934</v>
      </c>
      <c r="D7424" s="13" t="s">
        <v>3832</v>
      </c>
      <c r="E7424" s="111"/>
      <c r="F7424" s="113" t="s">
        <v>15851</v>
      </c>
      <c r="G7424" s="114"/>
      <c r="H7424" s="115"/>
      <c r="I7424" s="24"/>
      <c r="J7424" s="116">
        <v>4.5</v>
      </c>
      <c r="K7424" s="118">
        <v>545000</v>
      </c>
      <c r="L7424" s="119"/>
      <c r="M7424" s="118">
        <f t="shared" ref="M7424" si="10762">K7424*0.1</f>
        <v>54500</v>
      </c>
      <c r="N7424" s="119"/>
      <c r="O7424" s="118">
        <v>0</v>
      </c>
      <c r="P7424" s="119"/>
      <c r="Q7424" s="118">
        <v>8430</v>
      </c>
      <c r="R7424" s="119"/>
      <c r="S7424" s="118">
        <v>15950</v>
      </c>
      <c r="T7424" s="119"/>
      <c r="U7424" s="118">
        <f t="shared" ref="U7424" si="10763">SUM(K7424:T7425)</f>
        <v>623880</v>
      </c>
      <c r="V7424" s="122"/>
      <c r="W7424" s="124"/>
      <c r="X7424" s="126" t="s">
        <v>21680</v>
      </c>
      <c r="Y7424" s="127"/>
      <c r="Z7424" s="127"/>
      <c r="AA7424" s="127"/>
      <c r="AB7424" s="128"/>
      <c r="AC7424" s="15" t="s">
        <v>20</v>
      </c>
      <c r="AD7424" s="129" t="s">
        <v>17270</v>
      </c>
      <c r="AE7424" s="130"/>
      <c r="AF7424" s="130"/>
      <c r="AG7424" s="130"/>
      <c r="AH7424" s="130"/>
      <c r="AI7424" s="131"/>
      <c r="AJ7424" s="132"/>
      <c r="AK7424" s="127"/>
      <c r="AL7424" s="128"/>
      <c r="AM7424" s="21"/>
      <c r="AN7424" s="133">
        <v>46116</v>
      </c>
      <c r="AO7424" s="134"/>
      <c r="AP7424" s="135">
        <v>1295</v>
      </c>
      <c r="AQ7424" s="136"/>
      <c r="AR7424" s="118">
        <v>580000</v>
      </c>
      <c r="AS7424" s="119"/>
      <c r="AT7424" s="118">
        <f t="shared" ref="AT7424" si="10764">AR7424*0.1</f>
        <v>58000</v>
      </c>
      <c r="AU7424" s="119"/>
      <c r="AV7424" s="118">
        <v>8430</v>
      </c>
      <c r="AW7424" s="119"/>
      <c r="AX7424" s="118">
        <f t="shared" ref="AX7424" si="10765">SUM(AR7424:AW7424)</f>
        <v>646430</v>
      </c>
      <c r="AY7424" s="119"/>
      <c r="AZ7424" s="137">
        <v>46119</v>
      </c>
    </row>
    <row r="7425" spans="1:52" ht="17.100000000000001" customHeight="1" thickBot="1">
      <c r="A7425" s="110"/>
      <c r="B7425" s="27" t="s">
        <v>2131</v>
      </c>
      <c r="C7425" s="27">
        <v>3302</v>
      </c>
      <c r="D7425" s="14" t="s">
        <v>2601</v>
      </c>
      <c r="E7425" s="112"/>
      <c r="F7425" s="139" t="s">
        <v>21079</v>
      </c>
      <c r="G7425" s="140"/>
      <c r="H7425" s="141"/>
      <c r="I7425" s="26">
        <v>58531</v>
      </c>
      <c r="J7425" s="117"/>
      <c r="K7425" s="120"/>
      <c r="L7425" s="121"/>
      <c r="M7425" s="120"/>
      <c r="N7425" s="121"/>
      <c r="O7425" s="120"/>
      <c r="P7425" s="121"/>
      <c r="Q7425" s="120"/>
      <c r="R7425" s="121"/>
      <c r="S7425" s="120"/>
      <c r="T7425" s="121"/>
      <c r="U7425" s="120"/>
      <c r="V7425" s="123"/>
      <c r="W7425" s="125"/>
      <c r="X7425" s="142" t="s">
        <v>11198</v>
      </c>
      <c r="Y7425" s="143"/>
      <c r="Z7425" s="143"/>
      <c r="AA7425" s="143"/>
      <c r="AB7425" s="144"/>
      <c r="AC7425" s="16" t="s">
        <v>21</v>
      </c>
      <c r="AD7425" s="17" t="s">
        <v>1918</v>
      </c>
      <c r="AE7425" s="145" t="s">
        <v>21681</v>
      </c>
      <c r="AF7425" s="146"/>
      <c r="AG7425" s="146"/>
      <c r="AH7425" s="146"/>
      <c r="AI7425" s="147"/>
      <c r="AJ7425" s="148"/>
      <c r="AK7425" s="143"/>
      <c r="AL7425" s="144"/>
      <c r="AM7425" s="22"/>
      <c r="AN7425" s="149" t="s">
        <v>2511</v>
      </c>
      <c r="AO7425" s="144"/>
      <c r="AP7425" s="148">
        <v>60152</v>
      </c>
      <c r="AQ7425" s="144"/>
      <c r="AR7425" s="120"/>
      <c r="AS7425" s="121"/>
      <c r="AT7425" s="120"/>
      <c r="AU7425" s="121"/>
      <c r="AV7425" s="120"/>
      <c r="AW7425" s="121"/>
      <c r="AX7425" s="120"/>
      <c r="AY7425" s="121"/>
      <c r="AZ7425" s="138"/>
    </row>
    <row r="7426" spans="1:52" ht="17.100000000000001" customHeight="1" thickTop="1">
      <c r="A7426" s="109" t="s">
        <v>21062</v>
      </c>
      <c r="B7426" s="28">
        <v>46105</v>
      </c>
      <c r="C7426" s="25">
        <v>1934</v>
      </c>
      <c r="D7426" s="13" t="s">
        <v>2616</v>
      </c>
      <c r="E7426" s="111"/>
      <c r="F7426" s="113" t="s">
        <v>1938</v>
      </c>
      <c r="G7426" s="114"/>
      <c r="H7426" s="115"/>
      <c r="I7426" s="24"/>
      <c r="J7426" s="116">
        <v>4.5</v>
      </c>
      <c r="K7426" s="118">
        <v>1068000</v>
      </c>
      <c r="L7426" s="119"/>
      <c r="M7426" s="118">
        <f t="shared" ref="M7426" si="10766">K7426*0.1</f>
        <v>106800</v>
      </c>
      <c r="N7426" s="119"/>
      <c r="O7426" s="118">
        <v>0</v>
      </c>
      <c r="P7426" s="119"/>
      <c r="Q7426" s="118">
        <v>16240</v>
      </c>
      <c r="R7426" s="119"/>
      <c r="S7426" s="118">
        <v>15950</v>
      </c>
      <c r="T7426" s="119"/>
      <c r="U7426" s="118">
        <f t="shared" ref="U7426" si="10767">SUM(K7426:T7427)</f>
        <v>1206990</v>
      </c>
      <c r="V7426" s="122"/>
      <c r="W7426" s="124"/>
      <c r="X7426" s="126" t="s">
        <v>21669</v>
      </c>
      <c r="Y7426" s="127"/>
      <c r="Z7426" s="127"/>
      <c r="AA7426" s="127"/>
      <c r="AB7426" s="128"/>
      <c r="AC7426" s="15" t="s">
        <v>20</v>
      </c>
      <c r="AD7426" s="129"/>
      <c r="AE7426" s="130"/>
      <c r="AF7426" s="130"/>
      <c r="AG7426" s="130"/>
      <c r="AH7426" s="130"/>
      <c r="AI7426" s="131"/>
      <c r="AJ7426" s="132"/>
      <c r="AK7426" s="127"/>
      <c r="AL7426" s="128"/>
      <c r="AM7426" s="21"/>
      <c r="AN7426" s="133"/>
      <c r="AO7426" s="134"/>
      <c r="AP7426" s="135"/>
      <c r="AQ7426" s="136"/>
      <c r="AR7426" s="118"/>
      <c r="AS7426" s="119"/>
      <c r="AT7426" s="118">
        <f t="shared" ref="AT7426" si="10768">AR7426*0.1</f>
        <v>0</v>
      </c>
      <c r="AU7426" s="119"/>
      <c r="AV7426" s="118"/>
      <c r="AW7426" s="119"/>
      <c r="AX7426" s="118">
        <f t="shared" ref="AX7426" si="10769">SUM(AR7426:AW7426)</f>
        <v>0</v>
      </c>
      <c r="AY7426" s="119"/>
      <c r="AZ7426" s="137"/>
    </row>
    <row r="7427" spans="1:52" ht="17.100000000000001" customHeight="1" thickBot="1">
      <c r="A7427" s="110"/>
      <c r="B7427" s="27" t="s">
        <v>2131</v>
      </c>
      <c r="C7427" s="27">
        <v>5009</v>
      </c>
      <c r="D7427" s="14" t="s">
        <v>2800</v>
      </c>
      <c r="E7427" s="112"/>
      <c r="F7427" s="139" t="s">
        <v>21096</v>
      </c>
      <c r="G7427" s="140"/>
      <c r="H7427" s="141"/>
      <c r="I7427" s="26">
        <v>34990</v>
      </c>
      <c r="J7427" s="117"/>
      <c r="K7427" s="120"/>
      <c r="L7427" s="121"/>
      <c r="M7427" s="120"/>
      <c r="N7427" s="121"/>
      <c r="O7427" s="120"/>
      <c r="P7427" s="121"/>
      <c r="Q7427" s="120"/>
      <c r="R7427" s="121"/>
      <c r="S7427" s="120"/>
      <c r="T7427" s="121"/>
      <c r="U7427" s="120"/>
      <c r="V7427" s="123"/>
      <c r="W7427" s="125"/>
      <c r="X7427" s="142" t="s">
        <v>21670</v>
      </c>
      <c r="Y7427" s="143"/>
      <c r="Z7427" s="143"/>
      <c r="AA7427" s="143"/>
      <c r="AB7427" s="144"/>
      <c r="AC7427" s="16" t="s">
        <v>21</v>
      </c>
      <c r="AD7427" s="17" t="s">
        <v>1918</v>
      </c>
      <c r="AE7427" s="145" t="s">
        <v>4077</v>
      </c>
      <c r="AF7427" s="146"/>
      <c r="AG7427" s="146"/>
      <c r="AH7427" s="146"/>
      <c r="AI7427" s="147"/>
      <c r="AJ7427" s="148"/>
      <c r="AK7427" s="143"/>
      <c r="AL7427" s="144"/>
      <c r="AM7427" s="22"/>
      <c r="AN7427" s="149"/>
      <c r="AO7427" s="144"/>
      <c r="AP7427" s="148"/>
      <c r="AQ7427" s="144"/>
      <c r="AR7427" s="120"/>
      <c r="AS7427" s="121"/>
      <c r="AT7427" s="120"/>
      <c r="AU7427" s="121"/>
      <c r="AV7427" s="120"/>
      <c r="AW7427" s="121"/>
      <c r="AX7427" s="120"/>
      <c r="AY7427" s="121"/>
      <c r="AZ7427" s="138"/>
    </row>
    <row r="7428" spans="1:52" ht="17.100000000000001" customHeight="1" thickTop="1">
      <c r="A7428" s="109" t="s">
        <v>21063</v>
      </c>
      <c r="B7428" s="28">
        <v>46105</v>
      </c>
      <c r="C7428" s="25">
        <v>1934</v>
      </c>
      <c r="D7428" s="13" t="s">
        <v>1929</v>
      </c>
      <c r="E7428" s="111"/>
      <c r="F7428" s="113" t="s">
        <v>21080</v>
      </c>
      <c r="G7428" s="114"/>
      <c r="H7428" s="115"/>
      <c r="I7428" s="24"/>
      <c r="J7428" s="116">
        <v>4</v>
      </c>
      <c r="K7428" s="118">
        <v>733000</v>
      </c>
      <c r="L7428" s="119"/>
      <c r="M7428" s="118">
        <f t="shared" ref="M7428" si="10770">K7428*0.1</f>
        <v>73300</v>
      </c>
      <c r="N7428" s="119"/>
      <c r="O7428" s="118">
        <v>0</v>
      </c>
      <c r="P7428" s="119"/>
      <c r="Q7428" s="118">
        <v>9490</v>
      </c>
      <c r="R7428" s="119"/>
      <c r="S7428" s="118">
        <v>15950</v>
      </c>
      <c r="T7428" s="119"/>
      <c r="U7428" s="118">
        <f t="shared" ref="U7428" si="10771">SUM(K7428:T7429)</f>
        <v>831740</v>
      </c>
      <c r="V7428" s="122"/>
      <c r="W7428" s="124"/>
      <c r="X7428" s="126" t="s">
        <v>21674</v>
      </c>
      <c r="Y7428" s="127"/>
      <c r="Z7428" s="127"/>
      <c r="AA7428" s="127"/>
      <c r="AB7428" s="128"/>
      <c r="AC7428" s="15" t="s">
        <v>20</v>
      </c>
      <c r="AD7428" s="129" t="s">
        <v>4435</v>
      </c>
      <c r="AE7428" s="130"/>
      <c r="AF7428" s="130"/>
      <c r="AG7428" s="130"/>
      <c r="AH7428" s="130"/>
      <c r="AI7428" s="131"/>
      <c r="AJ7428" s="132"/>
      <c r="AK7428" s="127"/>
      <c r="AL7428" s="128"/>
      <c r="AM7428" s="21"/>
      <c r="AN7428" s="133">
        <v>46127</v>
      </c>
      <c r="AO7428" s="134"/>
      <c r="AP7428" s="135">
        <v>1013</v>
      </c>
      <c r="AQ7428" s="136"/>
      <c r="AR7428" s="118">
        <v>775000</v>
      </c>
      <c r="AS7428" s="119"/>
      <c r="AT7428" s="118">
        <f t="shared" ref="AT7428" si="10772">AR7428*0.1</f>
        <v>77500</v>
      </c>
      <c r="AU7428" s="119"/>
      <c r="AV7428" s="118">
        <v>9490</v>
      </c>
      <c r="AW7428" s="119"/>
      <c r="AX7428" s="118">
        <f t="shared" ref="AX7428" si="10773">SUM(AR7428:AW7428)</f>
        <v>861990</v>
      </c>
      <c r="AY7428" s="119"/>
      <c r="AZ7428" s="137">
        <v>46132</v>
      </c>
    </row>
    <row r="7429" spans="1:52" ht="17.100000000000001" customHeight="1" thickBot="1">
      <c r="A7429" s="110"/>
      <c r="B7429" s="27" t="s">
        <v>2131</v>
      </c>
      <c r="C7429" s="27">
        <v>5401</v>
      </c>
      <c r="D7429" s="14" t="s">
        <v>1748</v>
      </c>
      <c r="E7429" s="112"/>
      <c r="F7429" s="139" t="s">
        <v>21081</v>
      </c>
      <c r="G7429" s="140"/>
      <c r="H7429" s="141"/>
      <c r="I7429" s="26">
        <v>31539</v>
      </c>
      <c r="J7429" s="117"/>
      <c r="K7429" s="120"/>
      <c r="L7429" s="121"/>
      <c r="M7429" s="120"/>
      <c r="N7429" s="121"/>
      <c r="O7429" s="120"/>
      <c r="P7429" s="121"/>
      <c r="Q7429" s="120"/>
      <c r="R7429" s="121"/>
      <c r="S7429" s="120"/>
      <c r="T7429" s="121"/>
      <c r="U7429" s="120"/>
      <c r="V7429" s="123"/>
      <c r="W7429" s="125"/>
      <c r="X7429" s="142" t="s">
        <v>14352</v>
      </c>
      <c r="Y7429" s="143"/>
      <c r="Z7429" s="143"/>
      <c r="AA7429" s="143"/>
      <c r="AB7429" s="144"/>
      <c r="AC7429" s="16" t="s">
        <v>21</v>
      </c>
      <c r="AD7429" s="17" t="s">
        <v>1918</v>
      </c>
      <c r="AE7429" s="145" t="s">
        <v>4134</v>
      </c>
      <c r="AF7429" s="146"/>
      <c r="AG7429" s="146"/>
      <c r="AH7429" s="146"/>
      <c r="AI7429" s="147"/>
      <c r="AJ7429" s="148"/>
      <c r="AK7429" s="143"/>
      <c r="AL7429" s="144"/>
      <c r="AM7429" s="22"/>
      <c r="AN7429" s="149" t="s">
        <v>2794</v>
      </c>
      <c r="AO7429" s="144"/>
      <c r="AP7429" s="148">
        <v>5244</v>
      </c>
      <c r="AQ7429" s="144"/>
      <c r="AR7429" s="120"/>
      <c r="AS7429" s="121"/>
      <c r="AT7429" s="120"/>
      <c r="AU7429" s="121"/>
      <c r="AV7429" s="120"/>
      <c r="AW7429" s="121"/>
      <c r="AX7429" s="120"/>
      <c r="AY7429" s="121"/>
      <c r="AZ7429" s="138"/>
    </row>
    <row r="7430" spans="1:52" ht="17.100000000000001" customHeight="1" thickTop="1">
      <c r="A7430" s="109" t="s">
        <v>21064</v>
      </c>
      <c r="B7430" s="28">
        <v>46105</v>
      </c>
      <c r="C7430" s="25">
        <v>1934</v>
      </c>
      <c r="D7430" s="13" t="s">
        <v>2036</v>
      </c>
      <c r="E7430" s="111"/>
      <c r="F7430" s="113" t="s">
        <v>15217</v>
      </c>
      <c r="G7430" s="114"/>
      <c r="H7430" s="115"/>
      <c r="I7430" s="24"/>
      <c r="J7430" s="116">
        <v>4</v>
      </c>
      <c r="K7430" s="118">
        <v>1077000</v>
      </c>
      <c r="L7430" s="119"/>
      <c r="M7430" s="118">
        <f t="shared" ref="M7430" si="10774">K7430*0.1</f>
        <v>107700</v>
      </c>
      <c r="N7430" s="119"/>
      <c r="O7430" s="118">
        <v>0</v>
      </c>
      <c r="P7430" s="119"/>
      <c r="Q7430" s="118">
        <v>8630</v>
      </c>
      <c r="R7430" s="119"/>
      <c r="S7430" s="118">
        <v>15950</v>
      </c>
      <c r="T7430" s="119"/>
      <c r="U7430" s="118">
        <f t="shared" ref="U7430" si="10775">SUM(K7430:T7431)</f>
        <v>1209280</v>
      </c>
      <c r="V7430" s="122"/>
      <c r="W7430" s="124"/>
      <c r="X7430" s="126" t="s">
        <v>21677</v>
      </c>
      <c r="Y7430" s="127"/>
      <c r="Z7430" s="127"/>
      <c r="AA7430" s="127"/>
      <c r="AB7430" s="128"/>
      <c r="AC7430" s="15" t="s">
        <v>20</v>
      </c>
      <c r="AD7430" s="129" t="s">
        <v>21098</v>
      </c>
      <c r="AE7430" s="130"/>
      <c r="AF7430" s="130"/>
      <c r="AG7430" s="130"/>
      <c r="AH7430" s="130"/>
      <c r="AI7430" s="131"/>
      <c r="AJ7430" s="132"/>
      <c r="AK7430" s="127"/>
      <c r="AL7430" s="128"/>
      <c r="AM7430" s="21"/>
      <c r="AN7430" s="133">
        <v>46158</v>
      </c>
      <c r="AO7430" s="134"/>
      <c r="AP7430" s="135">
        <v>1300</v>
      </c>
      <c r="AQ7430" s="136"/>
      <c r="AR7430" s="118">
        <v>1160000</v>
      </c>
      <c r="AS7430" s="119"/>
      <c r="AT7430" s="118">
        <f t="shared" ref="AT7430" si="10776">AR7430*0.1</f>
        <v>116000</v>
      </c>
      <c r="AU7430" s="119"/>
      <c r="AV7430" s="118">
        <v>8630</v>
      </c>
      <c r="AW7430" s="119"/>
      <c r="AX7430" s="118">
        <f t="shared" ref="AX7430" si="10777">SUM(AR7430:AW7430)</f>
        <v>1284630</v>
      </c>
      <c r="AY7430" s="119"/>
      <c r="AZ7430" s="137">
        <v>46161</v>
      </c>
    </row>
    <row r="7431" spans="1:52" ht="17.100000000000001" customHeight="1" thickBot="1">
      <c r="A7431" s="110"/>
      <c r="B7431" s="27" t="s">
        <v>2131</v>
      </c>
      <c r="C7431" s="27">
        <v>5452</v>
      </c>
      <c r="D7431" s="14" t="s">
        <v>2040</v>
      </c>
      <c r="E7431" s="112"/>
      <c r="F7431" s="139" t="s">
        <v>21082</v>
      </c>
      <c r="G7431" s="140"/>
      <c r="H7431" s="141"/>
      <c r="I7431" s="26">
        <v>19659</v>
      </c>
      <c r="J7431" s="117"/>
      <c r="K7431" s="120"/>
      <c r="L7431" s="121"/>
      <c r="M7431" s="120"/>
      <c r="N7431" s="121"/>
      <c r="O7431" s="120"/>
      <c r="P7431" s="121"/>
      <c r="Q7431" s="120"/>
      <c r="R7431" s="121"/>
      <c r="S7431" s="120"/>
      <c r="T7431" s="121"/>
      <c r="U7431" s="120"/>
      <c r="V7431" s="123"/>
      <c r="W7431" s="125"/>
      <c r="X7431" s="142" t="s">
        <v>21678</v>
      </c>
      <c r="Y7431" s="143"/>
      <c r="Z7431" s="143"/>
      <c r="AA7431" s="143"/>
      <c r="AB7431" s="144"/>
      <c r="AC7431" s="16" t="s">
        <v>21</v>
      </c>
      <c r="AD7431" s="17" t="s">
        <v>1918</v>
      </c>
      <c r="AE7431" s="145" t="s">
        <v>21679</v>
      </c>
      <c r="AF7431" s="146"/>
      <c r="AG7431" s="146"/>
      <c r="AH7431" s="146"/>
      <c r="AI7431" s="147"/>
      <c r="AJ7431" s="148"/>
      <c r="AK7431" s="143"/>
      <c r="AL7431" s="144"/>
      <c r="AM7431" s="22"/>
      <c r="AN7431" s="149" t="s">
        <v>2511</v>
      </c>
      <c r="AO7431" s="144"/>
      <c r="AP7431" s="148">
        <v>60059</v>
      </c>
      <c r="AQ7431" s="144"/>
      <c r="AR7431" s="120"/>
      <c r="AS7431" s="121"/>
      <c r="AT7431" s="120"/>
      <c r="AU7431" s="121"/>
      <c r="AV7431" s="120"/>
      <c r="AW7431" s="121"/>
      <c r="AX7431" s="120"/>
      <c r="AY7431" s="121"/>
      <c r="AZ7431" s="138"/>
    </row>
    <row r="7432" spans="1:52" ht="17.100000000000001" customHeight="1" thickTop="1">
      <c r="A7432" s="109" t="s">
        <v>21065</v>
      </c>
      <c r="B7432" s="28">
        <v>46105</v>
      </c>
      <c r="C7432" s="25">
        <v>1934</v>
      </c>
      <c r="D7432" s="13" t="s">
        <v>2322</v>
      </c>
      <c r="E7432" s="111"/>
      <c r="F7432" s="113" t="s">
        <v>21083</v>
      </c>
      <c r="G7432" s="114"/>
      <c r="H7432" s="115"/>
      <c r="I7432" s="24"/>
      <c r="J7432" s="116">
        <v>3.5</v>
      </c>
      <c r="K7432" s="118">
        <v>1153000</v>
      </c>
      <c r="L7432" s="119"/>
      <c r="M7432" s="118">
        <f t="shared" ref="M7432" si="10778">K7432*0.1</f>
        <v>115300</v>
      </c>
      <c r="N7432" s="119"/>
      <c r="O7432" s="118">
        <v>0</v>
      </c>
      <c r="P7432" s="119"/>
      <c r="Q7432" s="118">
        <v>9810</v>
      </c>
      <c r="R7432" s="119"/>
      <c r="S7432" s="118">
        <v>15950</v>
      </c>
      <c r="T7432" s="119"/>
      <c r="U7432" s="118">
        <f t="shared" ref="U7432" si="10779">SUM(K7432:T7433)</f>
        <v>1294060</v>
      </c>
      <c r="V7432" s="122"/>
      <c r="W7432" s="124"/>
      <c r="X7432" s="126" t="s">
        <v>21682</v>
      </c>
      <c r="Y7432" s="127"/>
      <c r="Z7432" s="127"/>
      <c r="AA7432" s="127"/>
      <c r="AB7432" s="128"/>
      <c r="AC7432" s="15" t="s">
        <v>20</v>
      </c>
      <c r="AD7432" s="129"/>
      <c r="AE7432" s="130"/>
      <c r="AF7432" s="130"/>
      <c r="AG7432" s="130"/>
      <c r="AH7432" s="130"/>
      <c r="AI7432" s="131"/>
      <c r="AJ7432" s="132"/>
      <c r="AK7432" s="127"/>
      <c r="AL7432" s="128"/>
      <c r="AM7432" s="21"/>
      <c r="AN7432" s="133"/>
      <c r="AO7432" s="134"/>
      <c r="AP7432" s="135"/>
      <c r="AQ7432" s="136"/>
      <c r="AR7432" s="118"/>
      <c r="AS7432" s="119"/>
      <c r="AT7432" s="118">
        <f t="shared" ref="AT7432" si="10780">AR7432*0.1</f>
        <v>0</v>
      </c>
      <c r="AU7432" s="119"/>
      <c r="AV7432" s="118"/>
      <c r="AW7432" s="119"/>
      <c r="AX7432" s="118">
        <f t="shared" ref="AX7432" si="10781">SUM(AR7432:AW7432)</f>
        <v>0</v>
      </c>
      <c r="AY7432" s="119"/>
      <c r="AZ7432" s="137"/>
    </row>
    <row r="7433" spans="1:52" ht="17.100000000000001" customHeight="1" thickBot="1">
      <c r="A7433" s="110"/>
      <c r="B7433" s="27" t="s">
        <v>2131</v>
      </c>
      <c r="C7433" s="27">
        <v>70030</v>
      </c>
      <c r="D7433" s="14" t="s">
        <v>2601</v>
      </c>
      <c r="E7433" s="112"/>
      <c r="F7433" s="139" t="s">
        <v>21084</v>
      </c>
      <c r="G7433" s="140"/>
      <c r="H7433" s="141"/>
      <c r="I7433" s="26">
        <v>54118</v>
      </c>
      <c r="J7433" s="117"/>
      <c r="K7433" s="120"/>
      <c r="L7433" s="121"/>
      <c r="M7433" s="120"/>
      <c r="N7433" s="121"/>
      <c r="O7433" s="120"/>
      <c r="P7433" s="121"/>
      <c r="Q7433" s="120"/>
      <c r="R7433" s="121"/>
      <c r="S7433" s="120"/>
      <c r="T7433" s="121"/>
      <c r="U7433" s="120"/>
      <c r="V7433" s="123"/>
      <c r="W7433" s="125"/>
      <c r="X7433" s="142" t="s">
        <v>21174</v>
      </c>
      <c r="Y7433" s="143"/>
      <c r="Z7433" s="143"/>
      <c r="AA7433" s="143"/>
      <c r="AB7433" s="144"/>
      <c r="AC7433" s="16" t="s">
        <v>21</v>
      </c>
      <c r="AD7433" s="17" t="s">
        <v>1918</v>
      </c>
      <c r="AE7433" s="145" t="s">
        <v>21625</v>
      </c>
      <c r="AF7433" s="146"/>
      <c r="AG7433" s="146"/>
      <c r="AH7433" s="146"/>
      <c r="AI7433" s="147"/>
      <c r="AJ7433" s="148"/>
      <c r="AK7433" s="143"/>
      <c r="AL7433" s="144"/>
      <c r="AM7433" s="22"/>
      <c r="AN7433" s="149"/>
      <c r="AO7433" s="144"/>
      <c r="AP7433" s="148"/>
      <c r="AQ7433" s="144"/>
      <c r="AR7433" s="120"/>
      <c r="AS7433" s="121"/>
      <c r="AT7433" s="120"/>
      <c r="AU7433" s="121"/>
      <c r="AV7433" s="120"/>
      <c r="AW7433" s="121"/>
      <c r="AX7433" s="120"/>
      <c r="AY7433" s="121"/>
      <c r="AZ7433" s="138"/>
    </row>
    <row r="7434" spans="1:52" ht="17.100000000000001" customHeight="1" thickTop="1">
      <c r="A7434" s="109" t="s">
        <v>21066</v>
      </c>
      <c r="B7434" s="28">
        <v>46105</v>
      </c>
      <c r="C7434" s="25">
        <v>812</v>
      </c>
      <c r="D7434" s="13" t="s">
        <v>2465</v>
      </c>
      <c r="E7434" s="111"/>
      <c r="F7434" s="113" t="s">
        <v>21085</v>
      </c>
      <c r="G7434" s="114"/>
      <c r="H7434" s="115"/>
      <c r="I7434" s="24"/>
      <c r="J7434" s="116">
        <v>4.5</v>
      </c>
      <c r="K7434" s="118">
        <v>740000</v>
      </c>
      <c r="L7434" s="119"/>
      <c r="M7434" s="118">
        <f t="shared" ref="M7434" si="10782">K7434*0.1</f>
        <v>74000</v>
      </c>
      <c r="N7434" s="119"/>
      <c r="O7434" s="118">
        <v>0</v>
      </c>
      <c r="P7434" s="119"/>
      <c r="Q7434" s="118">
        <v>9790</v>
      </c>
      <c r="R7434" s="119"/>
      <c r="S7434" s="118">
        <v>15950</v>
      </c>
      <c r="T7434" s="119"/>
      <c r="U7434" s="118">
        <f t="shared" ref="U7434" si="10783">SUM(K7434:T7435)</f>
        <v>839740</v>
      </c>
      <c r="V7434" s="122"/>
      <c r="W7434" s="124"/>
      <c r="X7434" s="126" t="s">
        <v>21683</v>
      </c>
      <c r="Y7434" s="127"/>
      <c r="Z7434" s="127"/>
      <c r="AA7434" s="127"/>
      <c r="AB7434" s="128"/>
      <c r="AC7434" s="15" t="s">
        <v>20</v>
      </c>
      <c r="AD7434" s="129" t="s">
        <v>16708</v>
      </c>
      <c r="AE7434" s="130"/>
      <c r="AF7434" s="130"/>
      <c r="AG7434" s="130"/>
      <c r="AH7434" s="130"/>
      <c r="AI7434" s="131"/>
      <c r="AJ7434" s="132"/>
      <c r="AK7434" s="127"/>
      <c r="AL7434" s="128"/>
      <c r="AM7434" s="21"/>
      <c r="AN7434" s="133">
        <v>46116</v>
      </c>
      <c r="AO7434" s="134"/>
      <c r="AP7434" s="135">
        <v>1295</v>
      </c>
      <c r="AQ7434" s="136"/>
      <c r="AR7434" s="118">
        <v>820000</v>
      </c>
      <c r="AS7434" s="119"/>
      <c r="AT7434" s="118">
        <f t="shared" ref="AT7434" si="10784">AR7434*0.1</f>
        <v>82000</v>
      </c>
      <c r="AU7434" s="119"/>
      <c r="AV7434" s="118">
        <v>9790</v>
      </c>
      <c r="AW7434" s="119"/>
      <c r="AX7434" s="118">
        <f t="shared" ref="AX7434" si="10785">SUM(AR7434:AW7434)</f>
        <v>911790</v>
      </c>
      <c r="AY7434" s="119"/>
      <c r="AZ7434" s="137">
        <v>46119</v>
      </c>
    </row>
    <row r="7435" spans="1:52" ht="17.100000000000001" customHeight="1" thickBot="1">
      <c r="A7435" s="110"/>
      <c r="B7435" s="27" t="s">
        <v>3367</v>
      </c>
      <c r="C7435" s="27">
        <v>3010</v>
      </c>
      <c r="D7435" s="14" t="s">
        <v>2601</v>
      </c>
      <c r="E7435" s="112"/>
      <c r="F7435" s="139" t="s">
        <v>21086</v>
      </c>
      <c r="G7435" s="140"/>
      <c r="H7435" s="141"/>
      <c r="I7435" s="26">
        <v>77646</v>
      </c>
      <c r="J7435" s="117"/>
      <c r="K7435" s="120"/>
      <c r="L7435" s="121"/>
      <c r="M7435" s="120"/>
      <c r="N7435" s="121"/>
      <c r="O7435" s="120"/>
      <c r="P7435" s="121"/>
      <c r="Q7435" s="120"/>
      <c r="R7435" s="121"/>
      <c r="S7435" s="120"/>
      <c r="T7435" s="121"/>
      <c r="U7435" s="120"/>
      <c r="V7435" s="123"/>
      <c r="W7435" s="125"/>
      <c r="X7435" s="142" t="s">
        <v>21684</v>
      </c>
      <c r="Y7435" s="143"/>
      <c r="Z7435" s="143"/>
      <c r="AA7435" s="143"/>
      <c r="AB7435" s="144"/>
      <c r="AC7435" s="16" t="s">
        <v>21</v>
      </c>
      <c r="AD7435" s="17" t="s">
        <v>1918</v>
      </c>
      <c r="AE7435" s="145" t="s">
        <v>2051</v>
      </c>
      <c r="AF7435" s="146"/>
      <c r="AG7435" s="146"/>
      <c r="AH7435" s="146"/>
      <c r="AI7435" s="147"/>
      <c r="AJ7435" s="148"/>
      <c r="AK7435" s="143"/>
      <c r="AL7435" s="144"/>
      <c r="AM7435" s="22"/>
      <c r="AN7435" s="149" t="s">
        <v>2511</v>
      </c>
      <c r="AO7435" s="144"/>
      <c r="AP7435" s="148">
        <v>60228</v>
      </c>
      <c r="AQ7435" s="144"/>
      <c r="AR7435" s="120"/>
      <c r="AS7435" s="121"/>
      <c r="AT7435" s="120"/>
      <c r="AU7435" s="121"/>
      <c r="AV7435" s="120"/>
      <c r="AW7435" s="121"/>
      <c r="AX7435" s="120"/>
      <c r="AY7435" s="121"/>
      <c r="AZ7435" s="138"/>
    </row>
    <row r="7436" spans="1:52" ht="17.100000000000001" customHeight="1" thickTop="1">
      <c r="A7436" s="109" t="s">
        <v>21067</v>
      </c>
      <c r="B7436" s="28">
        <v>46105</v>
      </c>
      <c r="C7436" s="25">
        <v>812</v>
      </c>
      <c r="D7436" s="13" t="s">
        <v>2043</v>
      </c>
      <c r="E7436" s="111"/>
      <c r="F7436" s="113" t="s">
        <v>15529</v>
      </c>
      <c r="G7436" s="114"/>
      <c r="H7436" s="115"/>
      <c r="I7436" s="24" t="s">
        <v>4390</v>
      </c>
      <c r="J7436" s="116">
        <v>5</v>
      </c>
      <c r="K7436" s="118">
        <v>1144000</v>
      </c>
      <c r="L7436" s="119"/>
      <c r="M7436" s="118">
        <f t="shared" ref="M7436" si="10786">K7436*0.1</f>
        <v>114400</v>
      </c>
      <c r="N7436" s="119"/>
      <c r="O7436" s="118">
        <v>5000</v>
      </c>
      <c r="P7436" s="119"/>
      <c r="Q7436" s="118">
        <v>9150</v>
      </c>
      <c r="R7436" s="119"/>
      <c r="S7436" s="118">
        <v>15950</v>
      </c>
      <c r="T7436" s="119"/>
      <c r="U7436" s="118">
        <f t="shared" ref="U7436" si="10787">SUM(K7436:T7437)</f>
        <v>1288500</v>
      </c>
      <c r="V7436" s="122"/>
      <c r="W7436" s="124"/>
      <c r="X7436" s="126" t="s">
        <v>21099</v>
      </c>
      <c r="Y7436" s="127"/>
      <c r="Z7436" s="127"/>
      <c r="AA7436" s="127"/>
      <c r="AB7436" s="128"/>
      <c r="AC7436" s="15" t="s">
        <v>20</v>
      </c>
      <c r="AD7436" s="129" t="s">
        <v>16862</v>
      </c>
      <c r="AE7436" s="130"/>
      <c r="AF7436" s="130"/>
      <c r="AG7436" s="130"/>
      <c r="AH7436" s="130"/>
      <c r="AI7436" s="131"/>
      <c r="AJ7436" s="132"/>
      <c r="AK7436" s="127"/>
      <c r="AL7436" s="128"/>
      <c r="AM7436" s="21"/>
      <c r="AN7436" s="133">
        <v>46109</v>
      </c>
      <c r="AO7436" s="134"/>
      <c r="AP7436" s="135">
        <v>1294</v>
      </c>
      <c r="AQ7436" s="136"/>
      <c r="AR7436" s="118">
        <v>1205000</v>
      </c>
      <c r="AS7436" s="119"/>
      <c r="AT7436" s="118">
        <f t="shared" ref="AT7436" si="10788">AR7436*0.1</f>
        <v>120500</v>
      </c>
      <c r="AU7436" s="119"/>
      <c r="AV7436" s="118">
        <v>9150</v>
      </c>
      <c r="AW7436" s="119"/>
      <c r="AX7436" s="118">
        <f t="shared" ref="AX7436" si="10789">SUM(AR7436:AW7436)</f>
        <v>1334650</v>
      </c>
      <c r="AY7436" s="119"/>
      <c r="AZ7436" s="137">
        <v>46114</v>
      </c>
    </row>
    <row r="7437" spans="1:52" ht="17.100000000000001" customHeight="1" thickBot="1">
      <c r="A7437" s="110"/>
      <c r="B7437" s="27" t="s">
        <v>3367</v>
      </c>
      <c r="C7437" s="27">
        <v>3083</v>
      </c>
      <c r="D7437" s="14" t="s">
        <v>1592</v>
      </c>
      <c r="E7437" s="112"/>
      <c r="F7437" s="139" t="s">
        <v>21087</v>
      </c>
      <c r="G7437" s="140"/>
      <c r="H7437" s="141"/>
      <c r="I7437" s="26">
        <v>7372</v>
      </c>
      <c r="J7437" s="117"/>
      <c r="K7437" s="120"/>
      <c r="L7437" s="121"/>
      <c r="M7437" s="120"/>
      <c r="N7437" s="121"/>
      <c r="O7437" s="120"/>
      <c r="P7437" s="121"/>
      <c r="Q7437" s="120"/>
      <c r="R7437" s="121"/>
      <c r="S7437" s="120"/>
      <c r="T7437" s="121"/>
      <c r="U7437" s="120"/>
      <c r="V7437" s="123"/>
      <c r="W7437" s="125"/>
      <c r="X7437" s="142" t="s">
        <v>7445</v>
      </c>
      <c r="Y7437" s="143"/>
      <c r="Z7437" s="143"/>
      <c r="AA7437" s="143"/>
      <c r="AB7437" s="144"/>
      <c r="AC7437" s="16" t="s">
        <v>21</v>
      </c>
      <c r="AD7437" s="17" t="s">
        <v>1918</v>
      </c>
      <c r="AE7437" s="145" t="s">
        <v>1633</v>
      </c>
      <c r="AF7437" s="146"/>
      <c r="AG7437" s="146"/>
      <c r="AH7437" s="146"/>
      <c r="AI7437" s="147"/>
      <c r="AJ7437" s="148"/>
      <c r="AK7437" s="143"/>
      <c r="AL7437" s="144"/>
      <c r="AM7437" s="22"/>
      <c r="AN7437" s="149" t="s">
        <v>21802</v>
      </c>
      <c r="AO7437" s="144"/>
      <c r="AP7437" s="148">
        <v>60487</v>
      </c>
      <c r="AQ7437" s="144"/>
      <c r="AR7437" s="120"/>
      <c r="AS7437" s="121"/>
      <c r="AT7437" s="120"/>
      <c r="AU7437" s="121"/>
      <c r="AV7437" s="120"/>
      <c r="AW7437" s="121"/>
      <c r="AX7437" s="120"/>
      <c r="AY7437" s="121"/>
      <c r="AZ7437" s="138"/>
    </row>
    <row r="7438" spans="1:52" ht="17.100000000000001" customHeight="1" thickTop="1">
      <c r="A7438" s="109" t="s">
        <v>21068</v>
      </c>
      <c r="B7438" s="28">
        <v>46105</v>
      </c>
      <c r="C7438" s="25">
        <v>812</v>
      </c>
      <c r="D7438" s="13" t="s">
        <v>1988</v>
      </c>
      <c r="E7438" s="111"/>
      <c r="F7438" s="113" t="s">
        <v>21088</v>
      </c>
      <c r="G7438" s="114"/>
      <c r="H7438" s="115"/>
      <c r="I7438" s="24"/>
      <c r="J7438" s="116">
        <v>4.5</v>
      </c>
      <c r="K7438" s="118">
        <v>1011000</v>
      </c>
      <c r="L7438" s="119"/>
      <c r="M7438" s="118">
        <f t="shared" ref="M7438" si="10790">K7438*0.1</f>
        <v>101100</v>
      </c>
      <c r="N7438" s="119"/>
      <c r="O7438" s="118">
        <v>0</v>
      </c>
      <c r="P7438" s="119"/>
      <c r="Q7438" s="118">
        <v>6550</v>
      </c>
      <c r="R7438" s="119"/>
      <c r="S7438" s="118">
        <v>15950</v>
      </c>
      <c r="T7438" s="119"/>
      <c r="U7438" s="118">
        <f t="shared" ref="U7438" si="10791">SUM(K7438:T7439)</f>
        <v>1134600</v>
      </c>
      <c r="V7438" s="122"/>
      <c r="W7438" s="124"/>
      <c r="X7438" s="126" t="s">
        <v>21838</v>
      </c>
      <c r="Y7438" s="127"/>
      <c r="Z7438" s="127"/>
      <c r="AA7438" s="127"/>
      <c r="AB7438" s="128"/>
      <c r="AC7438" s="15" t="s">
        <v>20</v>
      </c>
      <c r="AD7438" s="129" t="s">
        <v>17268</v>
      </c>
      <c r="AE7438" s="130"/>
      <c r="AF7438" s="130"/>
      <c r="AG7438" s="130"/>
      <c r="AH7438" s="130"/>
      <c r="AI7438" s="131"/>
      <c r="AJ7438" s="132"/>
      <c r="AK7438" s="127"/>
      <c r="AL7438" s="128"/>
      <c r="AM7438" s="21"/>
      <c r="AN7438" s="133">
        <v>46109</v>
      </c>
      <c r="AO7438" s="134"/>
      <c r="AP7438" s="135">
        <v>1294</v>
      </c>
      <c r="AQ7438" s="136"/>
      <c r="AR7438" s="118">
        <v>1135000</v>
      </c>
      <c r="AS7438" s="119"/>
      <c r="AT7438" s="118">
        <f t="shared" ref="AT7438" si="10792">AR7438*0.1</f>
        <v>113500</v>
      </c>
      <c r="AU7438" s="119"/>
      <c r="AV7438" s="118">
        <v>6550</v>
      </c>
      <c r="AW7438" s="119"/>
      <c r="AX7438" s="118">
        <f t="shared" ref="AX7438" si="10793">SUM(AR7438:AW7438)</f>
        <v>1255050</v>
      </c>
      <c r="AY7438" s="119"/>
      <c r="AZ7438" s="137">
        <v>46118</v>
      </c>
    </row>
    <row r="7439" spans="1:52" ht="17.100000000000001" customHeight="1" thickBot="1">
      <c r="A7439" s="110"/>
      <c r="B7439" s="27" t="s">
        <v>3367</v>
      </c>
      <c r="C7439" s="27">
        <v>3103</v>
      </c>
      <c r="D7439" s="14" t="s">
        <v>2601</v>
      </c>
      <c r="E7439" s="112"/>
      <c r="F7439" s="139" t="s">
        <v>21089</v>
      </c>
      <c r="G7439" s="140"/>
      <c r="H7439" s="141"/>
      <c r="I7439" s="26">
        <v>10427</v>
      </c>
      <c r="J7439" s="117"/>
      <c r="K7439" s="120"/>
      <c r="L7439" s="121"/>
      <c r="M7439" s="120"/>
      <c r="N7439" s="121"/>
      <c r="O7439" s="120"/>
      <c r="P7439" s="121"/>
      <c r="Q7439" s="120"/>
      <c r="R7439" s="121"/>
      <c r="S7439" s="120"/>
      <c r="T7439" s="121"/>
      <c r="U7439" s="120"/>
      <c r="V7439" s="123"/>
      <c r="W7439" s="125"/>
      <c r="X7439" s="142" t="s">
        <v>21839</v>
      </c>
      <c r="Y7439" s="143"/>
      <c r="Z7439" s="143"/>
      <c r="AA7439" s="143"/>
      <c r="AB7439" s="144"/>
      <c r="AC7439" s="16" t="s">
        <v>21</v>
      </c>
      <c r="AD7439" s="17" t="s">
        <v>1642</v>
      </c>
      <c r="AE7439" s="145" t="s">
        <v>12995</v>
      </c>
      <c r="AF7439" s="146"/>
      <c r="AG7439" s="146"/>
      <c r="AH7439" s="146"/>
      <c r="AI7439" s="147"/>
      <c r="AJ7439" s="148"/>
      <c r="AK7439" s="143"/>
      <c r="AL7439" s="144"/>
      <c r="AM7439" s="22"/>
      <c r="AN7439" s="149" t="s">
        <v>21802</v>
      </c>
      <c r="AO7439" s="144"/>
      <c r="AP7439" s="148">
        <v>60479</v>
      </c>
      <c r="AQ7439" s="144"/>
      <c r="AR7439" s="120"/>
      <c r="AS7439" s="121"/>
      <c r="AT7439" s="120"/>
      <c r="AU7439" s="121"/>
      <c r="AV7439" s="120"/>
      <c r="AW7439" s="121"/>
      <c r="AX7439" s="120"/>
      <c r="AY7439" s="121"/>
      <c r="AZ7439" s="138"/>
    </row>
    <row r="7440" spans="1:52" ht="17.100000000000001" customHeight="1" thickTop="1">
      <c r="A7440" s="109" t="s">
        <v>21069</v>
      </c>
      <c r="B7440" s="28">
        <v>46105</v>
      </c>
      <c r="C7440" s="25">
        <v>812</v>
      </c>
      <c r="D7440" s="13" t="s">
        <v>1863</v>
      </c>
      <c r="E7440" s="111"/>
      <c r="F7440" s="113" t="s">
        <v>2724</v>
      </c>
      <c r="G7440" s="114"/>
      <c r="H7440" s="115"/>
      <c r="I7440" s="24"/>
      <c r="J7440" s="116">
        <v>4</v>
      </c>
      <c r="K7440" s="118">
        <v>707000</v>
      </c>
      <c r="L7440" s="119"/>
      <c r="M7440" s="118">
        <f t="shared" ref="M7440" si="10794">K7440*0.1</f>
        <v>70700</v>
      </c>
      <c r="N7440" s="119"/>
      <c r="O7440" s="118">
        <v>0</v>
      </c>
      <c r="P7440" s="119"/>
      <c r="Q7440" s="118">
        <v>18960</v>
      </c>
      <c r="R7440" s="119"/>
      <c r="S7440" s="118">
        <v>19250</v>
      </c>
      <c r="T7440" s="119"/>
      <c r="U7440" s="118">
        <f t="shared" ref="U7440" si="10795">SUM(K7440:T7441)</f>
        <v>815910</v>
      </c>
      <c r="V7440" s="122"/>
      <c r="W7440" s="124"/>
      <c r="X7440" s="126" t="s">
        <v>21692</v>
      </c>
      <c r="Y7440" s="127"/>
      <c r="Z7440" s="127"/>
      <c r="AA7440" s="127"/>
      <c r="AB7440" s="128"/>
      <c r="AC7440" s="15" t="s">
        <v>20</v>
      </c>
      <c r="AD7440" s="129"/>
      <c r="AE7440" s="130"/>
      <c r="AF7440" s="130"/>
      <c r="AG7440" s="130"/>
      <c r="AH7440" s="130"/>
      <c r="AI7440" s="131"/>
      <c r="AJ7440" s="132"/>
      <c r="AK7440" s="127"/>
      <c r="AL7440" s="128"/>
      <c r="AM7440" s="21"/>
      <c r="AN7440" s="133">
        <v>46109</v>
      </c>
      <c r="AO7440" s="134"/>
      <c r="AP7440" s="135">
        <v>1294</v>
      </c>
      <c r="AQ7440" s="136"/>
      <c r="AR7440" s="118">
        <v>860000</v>
      </c>
      <c r="AS7440" s="119"/>
      <c r="AT7440" s="118">
        <f t="shared" ref="AT7440" si="10796">AR7440*0.1</f>
        <v>86000</v>
      </c>
      <c r="AU7440" s="119"/>
      <c r="AV7440" s="118">
        <v>18960</v>
      </c>
      <c r="AW7440" s="119"/>
      <c r="AX7440" s="118">
        <f t="shared" ref="AX7440" si="10797">SUM(AR7440:AW7440)</f>
        <v>964960</v>
      </c>
      <c r="AY7440" s="119"/>
      <c r="AZ7440" s="137">
        <v>46114</v>
      </c>
    </row>
    <row r="7441" spans="1:52" ht="17.100000000000001" customHeight="1" thickBot="1">
      <c r="A7441" s="110"/>
      <c r="B7441" s="27" t="s">
        <v>3367</v>
      </c>
      <c r="C7441" s="27">
        <v>5013</v>
      </c>
      <c r="D7441" s="14" t="s">
        <v>133</v>
      </c>
      <c r="E7441" s="112"/>
      <c r="F7441" s="139" t="s">
        <v>21100</v>
      </c>
      <c r="G7441" s="140"/>
      <c r="H7441" s="141"/>
      <c r="I7441" s="26">
        <v>47008</v>
      </c>
      <c r="J7441" s="117"/>
      <c r="K7441" s="120"/>
      <c r="L7441" s="121"/>
      <c r="M7441" s="120"/>
      <c r="N7441" s="121"/>
      <c r="O7441" s="120"/>
      <c r="P7441" s="121"/>
      <c r="Q7441" s="120"/>
      <c r="R7441" s="121"/>
      <c r="S7441" s="120"/>
      <c r="T7441" s="121"/>
      <c r="U7441" s="120"/>
      <c r="V7441" s="123"/>
      <c r="W7441" s="125"/>
      <c r="X7441" s="142" t="s">
        <v>12359</v>
      </c>
      <c r="Y7441" s="143"/>
      <c r="Z7441" s="143"/>
      <c r="AA7441" s="143"/>
      <c r="AB7441" s="144"/>
      <c r="AC7441" s="16" t="s">
        <v>21</v>
      </c>
      <c r="AD7441" s="17" t="s">
        <v>1918</v>
      </c>
      <c r="AE7441" s="145" t="s">
        <v>4077</v>
      </c>
      <c r="AF7441" s="146"/>
      <c r="AG7441" s="146"/>
      <c r="AH7441" s="146"/>
      <c r="AI7441" s="147"/>
      <c r="AJ7441" s="148"/>
      <c r="AK7441" s="143"/>
      <c r="AL7441" s="144"/>
      <c r="AM7441" s="22"/>
      <c r="AN7441" s="149" t="s">
        <v>21802</v>
      </c>
      <c r="AO7441" s="144"/>
      <c r="AP7441" s="148">
        <v>80391</v>
      </c>
      <c r="AQ7441" s="144"/>
      <c r="AR7441" s="120"/>
      <c r="AS7441" s="121"/>
      <c r="AT7441" s="120"/>
      <c r="AU7441" s="121"/>
      <c r="AV7441" s="120"/>
      <c r="AW7441" s="121"/>
      <c r="AX7441" s="120"/>
      <c r="AY7441" s="121"/>
      <c r="AZ7441" s="138"/>
    </row>
    <row r="7442" spans="1:52" ht="17.100000000000001" customHeight="1" thickTop="1">
      <c r="A7442" s="109" t="s">
        <v>21070</v>
      </c>
      <c r="B7442" s="28">
        <v>46105</v>
      </c>
      <c r="C7442" s="25">
        <v>812</v>
      </c>
      <c r="D7442" s="13" t="s">
        <v>2359</v>
      </c>
      <c r="E7442" s="111"/>
      <c r="F7442" s="113" t="s">
        <v>18183</v>
      </c>
      <c r="G7442" s="114"/>
      <c r="H7442" s="115"/>
      <c r="I7442" s="24" t="s">
        <v>6716</v>
      </c>
      <c r="J7442" s="116">
        <v>4.5</v>
      </c>
      <c r="K7442" s="118">
        <v>1468000</v>
      </c>
      <c r="L7442" s="119"/>
      <c r="M7442" s="118">
        <f t="shared" ref="M7442" si="10798">K7442*0.1</f>
        <v>146800</v>
      </c>
      <c r="N7442" s="119"/>
      <c r="O7442" s="118">
        <v>30500</v>
      </c>
      <c r="P7442" s="119"/>
      <c r="Q7442" s="118">
        <v>15180</v>
      </c>
      <c r="R7442" s="119"/>
      <c r="S7442" s="118">
        <v>15950</v>
      </c>
      <c r="T7442" s="119"/>
      <c r="U7442" s="118">
        <f t="shared" ref="U7442" si="10799">SUM(K7442:T7443)</f>
        <v>1676430</v>
      </c>
      <c r="V7442" s="122"/>
      <c r="W7442" s="124"/>
      <c r="X7442" s="126" t="s">
        <v>21103</v>
      </c>
      <c r="Y7442" s="127"/>
      <c r="Z7442" s="127"/>
      <c r="AA7442" s="127"/>
      <c r="AB7442" s="128"/>
      <c r="AC7442" s="15" t="s">
        <v>20</v>
      </c>
      <c r="AD7442" s="129" t="s">
        <v>16288</v>
      </c>
      <c r="AE7442" s="130"/>
      <c r="AF7442" s="130"/>
      <c r="AG7442" s="130"/>
      <c r="AH7442" s="130"/>
      <c r="AI7442" s="131"/>
      <c r="AJ7442" s="132"/>
      <c r="AK7442" s="127"/>
      <c r="AL7442" s="128"/>
      <c r="AM7442" s="21"/>
      <c r="AN7442" s="133">
        <v>46109</v>
      </c>
      <c r="AO7442" s="134"/>
      <c r="AP7442" s="135">
        <v>1294</v>
      </c>
      <c r="AQ7442" s="136"/>
      <c r="AR7442" s="118">
        <v>1660000</v>
      </c>
      <c r="AS7442" s="119"/>
      <c r="AT7442" s="118">
        <f t="shared" ref="AT7442" si="10800">AR7442*0.1</f>
        <v>166000</v>
      </c>
      <c r="AU7442" s="119"/>
      <c r="AV7442" s="118">
        <v>15180</v>
      </c>
      <c r="AW7442" s="119"/>
      <c r="AX7442" s="118">
        <f t="shared" ref="AX7442" si="10801">SUM(AR7442:AW7442)</f>
        <v>1841180</v>
      </c>
      <c r="AY7442" s="119"/>
      <c r="AZ7442" s="137">
        <v>46114</v>
      </c>
    </row>
    <row r="7443" spans="1:52" ht="17.100000000000001" customHeight="1" thickBot="1">
      <c r="A7443" s="110"/>
      <c r="B7443" s="27" t="s">
        <v>3367</v>
      </c>
      <c r="C7443" s="27">
        <v>5023</v>
      </c>
      <c r="D7443" s="14" t="s">
        <v>1556</v>
      </c>
      <c r="E7443" s="112"/>
      <c r="F7443" s="139" t="s">
        <v>21101</v>
      </c>
      <c r="G7443" s="140"/>
      <c r="H7443" s="141"/>
      <c r="I7443" s="26">
        <v>49219</v>
      </c>
      <c r="J7443" s="117"/>
      <c r="K7443" s="120"/>
      <c r="L7443" s="121"/>
      <c r="M7443" s="120"/>
      <c r="N7443" s="121"/>
      <c r="O7443" s="120"/>
      <c r="P7443" s="121"/>
      <c r="Q7443" s="120"/>
      <c r="R7443" s="121"/>
      <c r="S7443" s="120"/>
      <c r="T7443" s="121"/>
      <c r="U7443" s="120"/>
      <c r="V7443" s="123"/>
      <c r="W7443" s="125"/>
      <c r="X7443" s="142" t="s">
        <v>21691</v>
      </c>
      <c r="Y7443" s="143"/>
      <c r="Z7443" s="143"/>
      <c r="AA7443" s="143"/>
      <c r="AB7443" s="144"/>
      <c r="AC7443" s="16" t="s">
        <v>21</v>
      </c>
      <c r="AD7443" s="17" t="s">
        <v>1918</v>
      </c>
      <c r="AE7443" s="145" t="s">
        <v>1690</v>
      </c>
      <c r="AF7443" s="146"/>
      <c r="AG7443" s="146"/>
      <c r="AH7443" s="146"/>
      <c r="AI7443" s="147"/>
      <c r="AJ7443" s="148"/>
      <c r="AK7443" s="143"/>
      <c r="AL7443" s="144"/>
      <c r="AM7443" s="22"/>
      <c r="AN7443" s="149" t="s">
        <v>21802</v>
      </c>
      <c r="AO7443" s="144"/>
      <c r="AP7443" s="148">
        <v>80379</v>
      </c>
      <c r="AQ7443" s="144"/>
      <c r="AR7443" s="120"/>
      <c r="AS7443" s="121"/>
      <c r="AT7443" s="120"/>
      <c r="AU7443" s="121"/>
      <c r="AV7443" s="120"/>
      <c r="AW7443" s="121"/>
      <c r="AX7443" s="120"/>
      <c r="AY7443" s="121"/>
      <c r="AZ7443" s="138"/>
    </row>
    <row r="7444" spans="1:52" ht="17.100000000000001" customHeight="1" thickTop="1">
      <c r="A7444" s="109" t="s">
        <v>21071</v>
      </c>
      <c r="B7444" s="28">
        <v>46105</v>
      </c>
      <c r="C7444" s="25">
        <v>812</v>
      </c>
      <c r="D7444" s="13" t="s">
        <v>1803</v>
      </c>
      <c r="E7444" s="111"/>
      <c r="F7444" s="113" t="s">
        <v>2724</v>
      </c>
      <c r="G7444" s="114"/>
      <c r="H7444" s="115"/>
      <c r="I7444" s="24"/>
      <c r="J7444" s="116">
        <v>4</v>
      </c>
      <c r="K7444" s="118">
        <v>686000</v>
      </c>
      <c r="L7444" s="119"/>
      <c r="M7444" s="118">
        <f t="shared" ref="M7444" si="10802">K7444*0.1</f>
        <v>68600</v>
      </c>
      <c r="N7444" s="119"/>
      <c r="O7444" s="118">
        <v>0</v>
      </c>
      <c r="P7444" s="119"/>
      <c r="Q7444" s="118">
        <v>18960</v>
      </c>
      <c r="R7444" s="119"/>
      <c r="S7444" s="118">
        <v>15950</v>
      </c>
      <c r="T7444" s="119"/>
      <c r="U7444" s="118">
        <f t="shared" ref="U7444" si="10803">SUM(K7444:T7445)</f>
        <v>789510</v>
      </c>
      <c r="V7444" s="122"/>
      <c r="W7444" s="124"/>
      <c r="X7444" s="126" t="s">
        <v>21668</v>
      </c>
      <c r="Y7444" s="127"/>
      <c r="Z7444" s="127"/>
      <c r="AA7444" s="127"/>
      <c r="AB7444" s="128"/>
      <c r="AC7444" s="15" t="s">
        <v>20</v>
      </c>
      <c r="AD7444" s="129"/>
      <c r="AE7444" s="130"/>
      <c r="AF7444" s="130"/>
      <c r="AG7444" s="130"/>
      <c r="AH7444" s="130"/>
      <c r="AI7444" s="131"/>
      <c r="AJ7444" s="132"/>
      <c r="AK7444" s="127"/>
      <c r="AL7444" s="128"/>
      <c r="AM7444" s="21"/>
      <c r="AN7444" s="133">
        <v>46116</v>
      </c>
      <c r="AO7444" s="134"/>
      <c r="AP7444" s="135">
        <v>1295</v>
      </c>
      <c r="AQ7444" s="136"/>
      <c r="AR7444" s="118">
        <v>830000</v>
      </c>
      <c r="AS7444" s="119"/>
      <c r="AT7444" s="118">
        <f t="shared" ref="AT7444" si="10804">AR7444*0.1</f>
        <v>83000</v>
      </c>
      <c r="AU7444" s="119"/>
      <c r="AV7444" s="118">
        <v>18960</v>
      </c>
      <c r="AW7444" s="119"/>
      <c r="AX7444" s="118">
        <f t="shared" ref="AX7444" si="10805">SUM(AR7444:AW7444)</f>
        <v>931960</v>
      </c>
      <c r="AY7444" s="119"/>
      <c r="AZ7444" s="137">
        <v>46119</v>
      </c>
    </row>
    <row r="7445" spans="1:52" ht="17.100000000000001" customHeight="1" thickBot="1">
      <c r="A7445" s="110"/>
      <c r="B7445" s="27" t="s">
        <v>3367</v>
      </c>
      <c r="C7445" s="27">
        <v>5027</v>
      </c>
      <c r="D7445" s="14" t="s">
        <v>133</v>
      </c>
      <c r="E7445" s="112"/>
      <c r="F7445" s="139" t="s">
        <v>21104</v>
      </c>
      <c r="G7445" s="140"/>
      <c r="H7445" s="141"/>
      <c r="I7445" s="26">
        <v>50175</v>
      </c>
      <c r="J7445" s="117"/>
      <c r="K7445" s="120"/>
      <c r="L7445" s="121"/>
      <c r="M7445" s="120"/>
      <c r="N7445" s="121"/>
      <c r="O7445" s="120"/>
      <c r="P7445" s="121"/>
      <c r="Q7445" s="120"/>
      <c r="R7445" s="121"/>
      <c r="S7445" s="120"/>
      <c r="T7445" s="121"/>
      <c r="U7445" s="120"/>
      <c r="V7445" s="123"/>
      <c r="W7445" s="125"/>
      <c r="X7445" s="142" t="s">
        <v>12359</v>
      </c>
      <c r="Y7445" s="143"/>
      <c r="Z7445" s="143"/>
      <c r="AA7445" s="143"/>
      <c r="AB7445" s="144"/>
      <c r="AC7445" s="16" t="s">
        <v>21</v>
      </c>
      <c r="AD7445" s="17" t="s">
        <v>1918</v>
      </c>
      <c r="AE7445" s="145"/>
      <c r="AF7445" s="146"/>
      <c r="AG7445" s="146"/>
      <c r="AH7445" s="146"/>
      <c r="AI7445" s="147"/>
      <c r="AJ7445" s="148"/>
      <c r="AK7445" s="143"/>
      <c r="AL7445" s="144"/>
      <c r="AM7445" s="22"/>
      <c r="AN7445" s="149" t="s">
        <v>2511</v>
      </c>
      <c r="AO7445" s="144"/>
      <c r="AP7445" s="148">
        <v>80003</v>
      </c>
      <c r="AQ7445" s="144"/>
      <c r="AR7445" s="120"/>
      <c r="AS7445" s="121"/>
      <c r="AT7445" s="120"/>
      <c r="AU7445" s="121"/>
      <c r="AV7445" s="120"/>
      <c r="AW7445" s="121"/>
      <c r="AX7445" s="120"/>
      <c r="AY7445" s="121"/>
      <c r="AZ7445" s="138"/>
    </row>
    <row r="7446" spans="1:52" ht="17.100000000000001" customHeight="1" thickTop="1">
      <c r="A7446" s="109" t="s">
        <v>21072</v>
      </c>
      <c r="B7446" s="28">
        <v>46105</v>
      </c>
      <c r="C7446" s="25">
        <v>812</v>
      </c>
      <c r="D7446" s="13" t="s">
        <v>3296</v>
      </c>
      <c r="E7446" s="111"/>
      <c r="F7446" s="113" t="s">
        <v>21090</v>
      </c>
      <c r="G7446" s="114"/>
      <c r="H7446" s="115"/>
      <c r="I7446" s="24" t="s">
        <v>2976</v>
      </c>
      <c r="J7446" s="116">
        <v>4</v>
      </c>
      <c r="K7446" s="118">
        <v>550000</v>
      </c>
      <c r="L7446" s="119"/>
      <c r="M7446" s="118">
        <f t="shared" ref="M7446" si="10806">K7446*0.1</f>
        <v>55000</v>
      </c>
      <c r="N7446" s="119"/>
      <c r="O7446" s="118">
        <v>10800</v>
      </c>
      <c r="P7446" s="119"/>
      <c r="Q7446" s="118">
        <v>8140</v>
      </c>
      <c r="R7446" s="119"/>
      <c r="S7446" s="118">
        <v>15950</v>
      </c>
      <c r="T7446" s="119"/>
      <c r="U7446" s="118">
        <f t="shared" ref="U7446" si="10807">SUM(K7446:T7447)</f>
        <v>639890</v>
      </c>
      <c r="V7446" s="122"/>
      <c r="W7446" s="124"/>
      <c r="X7446" s="126" t="s">
        <v>21105</v>
      </c>
      <c r="Y7446" s="127"/>
      <c r="Z7446" s="127"/>
      <c r="AA7446" s="127"/>
      <c r="AB7446" s="128"/>
      <c r="AC7446" s="15" t="s">
        <v>20</v>
      </c>
      <c r="AD7446" s="129"/>
      <c r="AE7446" s="130"/>
      <c r="AF7446" s="130"/>
      <c r="AG7446" s="130"/>
      <c r="AH7446" s="130"/>
      <c r="AI7446" s="131"/>
      <c r="AJ7446" s="132"/>
      <c r="AK7446" s="127"/>
      <c r="AL7446" s="128"/>
      <c r="AM7446" s="21" t="s">
        <v>23804</v>
      </c>
      <c r="AN7446" s="133"/>
      <c r="AO7446" s="134"/>
      <c r="AP7446" s="135"/>
      <c r="AQ7446" s="136"/>
      <c r="AR7446" s="118"/>
      <c r="AS7446" s="119"/>
      <c r="AT7446" s="118">
        <f t="shared" ref="AT7446" si="10808">AR7446*0.1</f>
        <v>0</v>
      </c>
      <c r="AU7446" s="119"/>
      <c r="AV7446" s="118"/>
      <c r="AW7446" s="119"/>
      <c r="AX7446" s="118">
        <f t="shared" ref="AX7446" si="10809">SUM(AR7446:AW7446)</f>
        <v>0</v>
      </c>
      <c r="AY7446" s="119"/>
      <c r="AZ7446" s="137"/>
    </row>
    <row r="7447" spans="1:52" ht="17.100000000000001" customHeight="1" thickBot="1">
      <c r="A7447" s="110"/>
      <c r="B7447" s="27" t="s">
        <v>3367</v>
      </c>
      <c r="C7447" s="27">
        <v>9071</v>
      </c>
      <c r="D7447" s="14" t="s">
        <v>3855</v>
      </c>
      <c r="E7447" s="112"/>
      <c r="F7447" s="139" t="s">
        <v>21091</v>
      </c>
      <c r="G7447" s="140"/>
      <c r="H7447" s="141"/>
      <c r="I7447" s="26">
        <v>53272</v>
      </c>
      <c r="J7447" s="117"/>
      <c r="K7447" s="120"/>
      <c r="L7447" s="121"/>
      <c r="M7447" s="120"/>
      <c r="N7447" s="121"/>
      <c r="O7447" s="120"/>
      <c r="P7447" s="121"/>
      <c r="Q7447" s="120"/>
      <c r="R7447" s="121"/>
      <c r="S7447" s="120"/>
      <c r="T7447" s="121"/>
      <c r="U7447" s="120"/>
      <c r="V7447" s="123"/>
      <c r="W7447" s="125"/>
      <c r="X7447" s="142" t="s">
        <v>21261</v>
      </c>
      <c r="Y7447" s="143"/>
      <c r="Z7447" s="143"/>
      <c r="AA7447" s="143"/>
      <c r="AB7447" s="144"/>
      <c r="AC7447" s="16" t="s">
        <v>21</v>
      </c>
      <c r="AD7447" s="17" t="s">
        <v>1918</v>
      </c>
      <c r="AE7447" s="145" t="s">
        <v>21379</v>
      </c>
      <c r="AF7447" s="146"/>
      <c r="AG7447" s="146"/>
      <c r="AH7447" s="146"/>
      <c r="AI7447" s="147"/>
      <c r="AJ7447" s="148"/>
      <c r="AK7447" s="143"/>
      <c r="AL7447" s="144"/>
      <c r="AM7447" s="22"/>
      <c r="AN7447" s="149"/>
      <c r="AO7447" s="144"/>
      <c r="AP7447" s="148"/>
      <c r="AQ7447" s="144"/>
      <c r="AR7447" s="120"/>
      <c r="AS7447" s="121"/>
      <c r="AT7447" s="120"/>
      <c r="AU7447" s="121"/>
      <c r="AV7447" s="120"/>
      <c r="AW7447" s="121"/>
      <c r="AX7447" s="120"/>
      <c r="AY7447" s="121"/>
      <c r="AZ7447" s="138"/>
    </row>
    <row r="7448" spans="1:52" ht="17.100000000000001" customHeight="1" thickTop="1">
      <c r="A7448" s="109" t="s">
        <v>21073</v>
      </c>
      <c r="B7448" s="28">
        <v>46105</v>
      </c>
      <c r="C7448" s="25">
        <v>932</v>
      </c>
      <c r="D7448" s="13" t="s">
        <v>859</v>
      </c>
      <c r="E7448" s="111"/>
      <c r="F7448" s="113" t="s">
        <v>10048</v>
      </c>
      <c r="G7448" s="114"/>
      <c r="H7448" s="115"/>
      <c r="I7448" s="24"/>
      <c r="J7448" s="116">
        <v>4</v>
      </c>
      <c r="K7448" s="118">
        <v>1296000</v>
      </c>
      <c r="L7448" s="119"/>
      <c r="M7448" s="118">
        <f t="shared" ref="M7448" si="10810">K7448*0.1</f>
        <v>129600</v>
      </c>
      <c r="N7448" s="119"/>
      <c r="O7448" s="118">
        <v>0</v>
      </c>
      <c r="P7448" s="119"/>
      <c r="Q7448" s="118">
        <v>15100</v>
      </c>
      <c r="R7448" s="119"/>
      <c r="S7448" s="118">
        <v>15950</v>
      </c>
      <c r="T7448" s="119"/>
      <c r="U7448" s="118">
        <f t="shared" ref="U7448" si="10811">SUM(K7448:T7449)</f>
        <v>1456650</v>
      </c>
      <c r="V7448" s="122"/>
      <c r="W7448" s="124"/>
      <c r="X7448" s="126" t="s">
        <v>21693</v>
      </c>
      <c r="Y7448" s="127"/>
      <c r="Z7448" s="127"/>
      <c r="AA7448" s="127"/>
      <c r="AB7448" s="128"/>
      <c r="AC7448" s="15" t="s">
        <v>20</v>
      </c>
      <c r="AD7448" s="129"/>
      <c r="AE7448" s="130"/>
      <c r="AF7448" s="130"/>
      <c r="AG7448" s="130"/>
      <c r="AH7448" s="130"/>
      <c r="AI7448" s="131"/>
      <c r="AJ7448" s="132"/>
      <c r="AK7448" s="127"/>
      <c r="AL7448" s="128"/>
      <c r="AM7448" s="21"/>
      <c r="AN7448" s="133">
        <v>46109</v>
      </c>
      <c r="AO7448" s="134"/>
      <c r="AP7448" s="135">
        <v>1294</v>
      </c>
      <c r="AQ7448" s="136"/>
      <c r="AR7448" s="118">
        <v>1535000</v>
      </c>
      <c r="AS7448" s="119"/>
      <c r="AT7448" s="118">
        <f t="shared" ref="AT7448" si="10812">AR7448*0.1</f>
        <v>153500</v>
      </c>
      <c r="AU7448" s="119"/>
      <c r="AV7448" s="118">
        <v>15100</v>
      </c>
      <c r="AW7448" s="119"/>
      <c r="AX7448" s="118">
        <f t="shared" ref="AX7448" si="10813">SUM(AR7448:AW7448)</f>
        <v>1703600</v>
      </c>
      <c r="AY7448" s="119"/>
      <c r="AZ7448" s="137">
        <v>46114</v>
      </c>
    </row>
    <row r="7449" spans="1:52" ht="17.100000000000001" customHeight="1" thickBot="1">
      <c r="A7449" s="110"/>
      <c r="B7449" s="27" t="s">
        <v>2699</v>
      </c>
      <c r="C7449" s="27">
        <v>5026</v>
      </c>
      <c r="D7449" s="14" t="s">
        <v>2800</v>
      </c>
      <c r="E7449" s="112"/>
      <c r="F7449" s="139" t="s">
        <v>21106</v>
      </c>
      <c r="G7449" s="140"/>
      <c r="H7449" s="141"/>
      <c r="I7449" s="26">
        <v>32802</v>
      </c>
      <c r="J7449" s="117"/>
      <c r="K7449" s="120"/>
      <c r="L7449" s="121"/>
      <c r="M7449" s="120"/>
      <c r="N7449" s="121"/>
      <c r="O7449" s="120"/>
      <c r="P7449" s="121"/>
      <c r="Q7449" s="120"/>
      <c r="R7449" s="121"/>
      <c r="S7449" s="120"/>
      <c r="T7449" s="121"/>
      <c r="U7449" s="120"/>
      <c r="V7449" s="123"/>
      <c r="W7449" s="125"/>
      <c r="X7449" s="142" t="s">
        <v>16224</v>
      </c>
      <c r="Y7449" s="143"/>
      <c r="Z7449" s="143"/>
      <c r="AA7449" s="143"/>
      <c r="AB7449" s="144"/>
      <c r="AC7449" s="16" t="s">
        <v>21</v>
      </c>
      <c r="AD7449" s="17" t="s">
        <v>1918</v>
      </c>
      <c r="AE7449" s="145" t="s">
        <v>21368</v>
      </c>
      <c r="AF7449" s="146"/>
      <c r="AG7449" s="146"/>
      <c r="AH7449" s="146"/>
      <c r="AI7449" s="147"/>
      <c r="AJ7449" s="148"/>
      <c r="AK7449" s="143"/>
      <c r="AL7449" s="144"/>
      <c r="AM7449" s="22"/>
      <c r="AN7449" s="149" t="s">
        <v>21802</v>
      </c>
      <c r="AO7449" s="144"/>
      <c r="AP7449" s="148">
        <v>80400</v>
      </c>
      <c r="AQ7449" s="144"/>
      <c r="AR7449" s="120"/>
      <c r="AS7449" s="121"/>
      <c r="AT7449" s="120"/>
      <c r="AU7449" s="121"/>
      <c r="AV7449" s="120"/>
      <c r="AW7449" s="121"/>
      <c r="AX7449" s="120"/>
      <c r="AY7449" s="121"/>
      <c r="AZ7449" s="138"/>
    </row>
    <row r="7450" spans="1:52" ht="17.100000000000001" customHeight="1" thickTop="1">
      <c r="A7450" s="109" t="s">
        <v>21074</v>
      </c>
      <c r="B7450" s="28">
        <v>46105</v>
      </c>
      <c r="C7450" s="25">
        <v>1233</v>
      </c>
      <c r="D7450" s="13" t="s">
        <v>1803</v>
      </c>
      <c r="E7450" s="111"/>
      <c r="F7450" s="113" t="s">
        <v>2724</v>
      </c>
      <c r="G7450" s="114"/>
      <c r="H7450" s="115"/>
      <c r="I7450" s="24"/>
      <c r="J7450" s="116">
        <v>4</v>
      </c>
      <c r="K7450" s="118">
        <v>1405000</v>
      </c>
      <c r="L7450" s="119"/>
      <c r="M7450" s="118">
        <f t="shared" ref="M7450" si="10814">K7450*0.1</f>
        <v>140500</v>
      </c>
      <c r="N7450" s="119"/>
      <c r="O7450" s="118">
        <v>0</v>
      </c>
      <c r="P7450" s="119"/>
      <c r="Q7450" s="118">
        <v>19090</v>
      </c>
      <c r="R7450" s="119"/>
      <c r="S7450" s="118">
        <v>15950</v>
      </c>
      <c r="T7450" s="119"/>
      <c r="U7450" s="118">
        <f t="shared" ref="U7450" si="10815">SUM(K7450:T7451)</f>
        <v>1580540</v>
      </c>
      <c r="V7450" s="122"/>
      <c r="W7450" s="124"/>
      <c r="X7450" s="126" t="s">
        <v>21840</v>
      </c>
      <c r="Y7450" s="127"/>
      <c r="Z7450" s="127"/>
      <c r="AA7450" s="127"/>
      <c r="AB7450" s="128"/>
      <c r="AC7450" s="15" t="s">
        <v>20</v>
      </c>
      <c r="AD7450" s="129"/>
      <c r="AE7450" s="130"/>
      <c r="AF7450" s="130"/>
      <c r="AG7450" s="130"/>
      <c r="AH7450" s="130"/>
      <c r="AI7450" s="131"/>
      <c r="AJ7450" s="132"/>
      <c r="AK7450" s="127"/>
      <c r="AL7450" s="128"/>
      <c r="AM7450" s="21"/>
      <c r="AN7450" s="133">
        <v>46109</v>
      </c>
      <c r="AO7450" s="134"/>
      <c r="AP7450" s="135">
        <v>1294</v>
      </c>
      <c r="AQ7450" s="136"/>
      <c r="AR7450" s="118">
        <v>1545000</v>
      </c>
      <c r="AS7450" s="119"/>
      <c r="AT7450" s="118">
        <f t="shared" ref="AT7450" si="10816">AR7450*0.1</f>
        <v>154500</v>
      </c>
      <c r="AU7450" s="119"/>
      <c r="AV7450" s="118">
        <v>19090</v>
      </c>
      <c r="AW7450" s="119"/>
      <c r="AX7450" s="118">
        <f t="shared" ref="AX7450" si="10817">SUM(AR7450:AW7450)</f>
        <v>1718590</v>
      </c>
      <c r="AY7450" s="119"/>
      <c r="AZ7450" s="137">
        <v>46118</v>
      </c>
    </row>
    <row r="7451" spans="1:52" ht="17.100000000000001" customHeight="1" thickBot="1">
      <c r="A7451" s="110"/>
      <c r="B7451" s="27" t="s">
        <v>2379</v>
      </c>
      <c r="C7451" s="27">
        <v>5073</v>
      </c>
      <c r="D7451" s="14" t="s">
        <v>1576</v>
      </c>
      <c r="E7451" s="112"/>
      <c r="F7451" s="139" t="s">
        <v>21107</v>
      </c>
      <c r="G7451" s="140"/>
      <c r="H7451" s="141"/>
      <c r="I7451" s="26">
        <v>49241</v>
      </c>
      <c r="J7451" s="117"/>
      <c r="K7451" s="120"/>
      <c r="L7451" s="121"/>
      <c r="M7451" s="120"/>
      <c r="N7451" s="121"/>
      <c r="O7451" s="120"/>
      <c r="P7451" s="121"/>
      <c r="Q7451" s="120"/>
      <c r="R7451" s="121"/>
      <c r="S7451" s="120"/>
      <c r="T7451" s="121"/>
      <c r="U7451" s="120"/>
      <c r="V7451" s="123"/>
      <c r="W7451" s="125"/>
      <c r="X7451" s="142" t="s">
        <v>8252</v>
      </c>
      <c r="Y7451" s="143"/>
      <c r="Z7451" s="143"/>
      <c r="AA7451" s="143"/>
      <c r="AB7451" s="144"/>
      <c r="AC7451" s="16" t="s">
        <v>21</v>
      </c>
      <c r="AD7451" s="17" t="s">
        <v>1642</v>
      </c>
      <c r="AE7451" s="145" t="s">
        <v>4077</v>
      </c>
      <c r="AF7451" s="146"/>
      <c r="AG7451" s="146"/>
      <c r="AH7451" s="146"/>
      <c r="AI7451" s="147"/>
      <c r="AJ7451" s="148"/>
      <c r="AK7451" s="143"/>
      <c r="AL7451" s="144"/>
      <c r="AM7451" s="22"/>
      <c r="AN7451" s="149" t="s">
        <v>21802</v>
      </c>
      <c r="AO7451" s="144"/>
      <c r="AP7451" s="148">
        <v>80402</v>
      </c>
      <c r="AQ7451" s="144"/>
      <c r="AR7451" s="120"/>
      <c r="AS7451" s="121"/>
      <c r="AT7451" s="120"/>
      <c r="AU7451" s="121"/>
      <c r="AV7451" s="120"/>
      <c r="AW7451" s="121"/>
      <c r="AX7451" s="120"/>
      <c r="AY7451" s="121"/>
      <c r="AZ7451" s="138"/>
    </row>
    <row r="7452" spans="1:52" ht="17.100000000000001" customHeight="1" thickTop="1">
      <c r="A7452" s="109" t="s">
        <v>21075</v>
      </c>
      <c r="B7452" s="28">
        <v>46105</v>
      </c>
      <c r="C7452" s="25">
        <v>1233</v>
      </c>
      <c r="D7452" s="13" t="s">
        <v>1714</v>
      </c>
      <c r="E7452" s="111"/>
      <c r="F7452" s="113" t="s">
        <v>17575</v>
      </c>
      <c r="G7452" s="114"/>
      <c r="H7452" s="115"/>
      <c r="I7452" s="24"/>
      <c r="J7452" s="116">
        <v>4</v>
      </c>
      <c r="K7452" s="118">
        <v>904000</v>
      </c>
      <c r="L7452" s="119"/>
      <c r="M7452" s="118">
        <f t="shared" ref="M7452" si="10818">K7452*0.1</f>
        <v>90400</v>
      </c>
      <c r="N7452" s="119"/>
      <c r="O7452" s="118">
        <v>0</v>
      </c>
      <c r="P7452" s="119"/>
      <c r="Q7452" s="118">
        <v>7440</v>
      </c>
      <c r="R7452" s="119"/>
      <c r="S7452" s="118">
        <v>15950</v>
      </c>
      <c r="T7452" s="119"/>
      <c r="U7452" s="118">
        <f t="shared" ref="U7452" si="10819">SUM(K7452:T7453)</f>
        <v>1017790</v>
      </c>
      <c r="V7452" s="122"/>
      <c r="W7452" s="124"/>
      <c r="X7452" s="126" t="s">
        <v>21701</v>
      </c>
      <c r="Y7452" s="127"/>
      <c r="Z7452" s="127"/>
      <c r="AA7452" s="127"/>
      <c r="AB7452" s="128"/>
      <c r="AC7452" s="15" t="s">
        <v>20</v>
      </c>
      <c r="AD7452" s="129"/>
      <c r="AE7452" s="130"/>
      <c r="AF7452" s="130"/>
      <c r="AG7452" s="130"/>
      <c r="AH7452" s="130"/>
      <c r="AI7452" s="131"/>
      <c r="AJ7452" s="132"/>
      <c r="AK7452" s="127"/>
      <c r="AL7452" s="128"/>
      <c r="AM7452" s="21"/>
      <c r="AN7452" s="133">
        <v>46109</v>
      </c>
      <c r="AO7452" s="134"/>
      <c r="AP7452" s="135">
        <v>1294</v>
      </c>
      <c r="AQ7452" s="136"/>
      <c r="AR7452" s="118">
        <v>1050000</v>
      </c>
      <c r="AS7452" s="119"/>
      <c r="AT7452" s="118">
        <f t="shared" ref="AT7452" si="10820">AR7452*0.1</f>
        <v>105000</v>
      </c>
      <c r="AU7452" s="119"/>
      <c r="AV7452" s="118">
        <v>7440</v>
      </c>
      <c r="AW7452" s="119"/>
      <c r="AX7452" s="118">
        <f t="shared" ref="AX7452" si="10821">SUM(AR7452:AW7452)</f>
        <v>1162440</v>
      </c>
      <c r="AY7452" s="119"/>
      <c r="AZ7452" s="137">
        <v>46114</v>
      </c>
    </row>
    <row r="7453" spans="1:52" ht="17.100000000000001" customHeight="1" thickBot="1">
      <c r="A7453" s="110"/>
      <c r="B7453" s="27" t="s">
        <v>2379</v>
      </c>
      <c r="C7453" s="27">
        <v>62012</v>
      </c>
      <c r="D7453" s="14" t="s">
        <v>1592</v>
      </c>
      <c r="E7453" s="112"/>
      <c r="F7453" s="139" t="s">
        <v>21092</v>
      </c>
      <c r="G7453" s="140"/>
      <c r="H7453" s="141"/>
      <c r="I7453" s="26">
        <v>34613</v>
      </c>
      <c r="J7453" s="117"/>
      <c r="K7453" s="120"/>
      <c r="L7453" s="121"/>
      <c r="M7453" s="120"/>
      <c r="N7453" s="121"/>
      <c r="O7453" s="120"/>
      <c r="P7453" s="121"/>
      <c r="Q7453" s="120"/>
      <c r="R7453" s="121"/>
      <c r="S7453" s="120"/>
      <c r="T7453" s="121"/>
      <c r="U7453" s="120"/>
      <c r="V7453" s="123"/>
      <c r="W7453" s="125"/>
      <c r="X7453" s="142" t="s">
        <v>11158</v>
      </c>
      <c r="Y7453" s="143"/>
      <c r="Z7453" s="143"/>
      <c r="AA7453" s="143"/>
      <c r="AB7453" s="144"/>
      <c r="AC7453" s="16" t="s">
        <v>21</v>
      </c>
      <c r="AD7453" s="17" t="s">
        <v>1918</v>
      </c>
      <c r="AE7453" s="145" t="s">
        <v>4938</v>
      </c>
      <c r="AF7453" s="146"/>
      <c r="AG7453" s="146"/>
      <c r="AH7453" s="146"/>
      <c r="AI7453" s="147"/>
      <c r="AJ7453" s="148"/>
      <c r="AK7453" s="143"/>
      <c r="AL7453" s="144"/>
      <c r="AM7453" s="22"/>
      <c r="AN7453" s="149" t="s">
        <v>21802</v>
      </c>
      <c r="AO7453" s="144"/>
      <c r="AP7453" s="148">
        <v>41066</v>
      </c>
      <c r="AQ7453" s="144"/>
      <c r="AR7453" s="120"/>
      <c r="AS7453" s="121"/>
      <c r="AT7453" s="120"/>
      <c r="AU7453" s="121"/>
      <c r="AV7453" s="120"/>
      <c r="AW7453" s="121"/>
      <c r="AX7453" s="120"/>
      <c r="AY7453" s="121"/>
      <c r="AZ7453" s="138"/>
    </row>
    <row r="7454" spans="1:52" ht="17.100000000000001" customHeight="1" thickTop="1">
      <c r="A7454" s="109" t="s">
        <v>21076</v>
      </c>
      <c r="B7454" s="28">
        <v>46105</v>
      </c>
      <c r="C7454" s="25">
        <v>1233</v>
      </c>
      <c r="D7454" s="13" t="s">
        <v>1853</v>
      </c>
      <c r="E7454" s="111"/>
      <c r="F7454" s="113" t="s">
        <v>21093</v>
      </c>
      <c r="G7454" s="114"/>
      <c r="H7454" s="115"/>
      <c r="I7454" s="24"/>
      <c r="J7454" s="116">
        <v>4</v>
      </c>
      <c r="K7454" s="118">
        <v>1059000</v>
      </c>
      <c r="L7454" s="119"/>
      <c r="M7454" s="118">
        <f t="shared" ref="M7454" si="10822">K7454*0.1</f>
        <v>105900</v>
      </c>
      <c r="N7454" s="119"/>
      <c r="O7454" s="118">
        <v>0</v>
      </c>
      <c r="P7454" s="119"/>
      <c r="Q7454" s="118">
        <v>7440</v>
      </c>
      <c r="R7454" s="119"/>
      <c r="S7454" s="118">
        <v>15950</v>
      </c>
      <c r="T7454" s="119"/>
      <c r="U7454" s="118">
        <f t="shared" ref="U7454" si="10823">SUM(K7454:T7455)</f>
        <v>1188290</v>
      </c>
      <c r="V7454" s="122"/>
      <c r="W7454" s="124"/>
      <c r="X7454" s="126" t="s">
        <v>21702</v>
      </c>
      <c r="Y7454" s="127"/>
      <c r="Z7454" s="127"/>
      <c r="AA7454" s="127"/>
      <c r="AB7454" s="128"/>
      <c r="AC7454" s="15" t="s">
        <v>20</v>
      </c>
      <c r="AD7454" s="129"/>
      <c r="AE7454" s="130"/>
      <c r="AF7454" s="130"/>
      <c r="AG7454" s="130"/>
      <c r="AH7454" s="130"/>
      <c r="AI7454" s="131"/>
      <c r="AJ7454" s="132"/>
      <c r="AK7454" s="127"/>
      <c r="AL7454" s="128"/>
      <c r="AM7454" s="21"/>
      <c r="AN7454" s="133">
        <v>46116</v>
      </c>
      <c r="AO7454" s="134"/>
      <c r="AP7454" s="135">
        <v>1295</v>
      </c>
      <c r="AQ7454" s="136"/>
      <c r="AR7454" s="118">
        <v>1210000</v>
      </c>
      <c r="AS7454" s="119"/>
      <c r="AT7454" s="118">
        <f t="shared" ref="AT7454" si="10824">AR7454*0.1</f>
        <v>121000</v>
      </c>
      <c r="AU7454" s="119"/>
      <c r="AV7454" s="118">
        <v>7440</v>
      </c>
      <c r="AW7454" s="119"/>
      <c r="AX7454" s="118">
        <f t="shared" ref="AX7454" si="10825">SUM(AR7454:AW7454)</f>
        <v>1338440</v>
      </c>
      <c r="AY7454" s="119"/>
      <c r="AZ7454" s="137">
        <v>46119</v>
      </c>
    </row>
    <row r="7455" spans="1:52" ht="17.100000000000001" customHeight="1" thickBot="1">
      <c r="A7455" s="110"/>
      <c r="B7455" s="27" t="s">
        <v>2379</v>
      </c>
      <c r="C7455" s="27">
        <v>62023</v>
      </c>
      <c r="D7455" s="14" t="s">
        <v>1592</v>
      </c>
      <c r="E7455" s="112"/>
      <c r="F7455" s="139" t="s">
        <v>21094</v>
      </c>
      <c r="G7455" s="140"/>
      <c r="H7455" s="141"/>
      <c r="I7455" s="26">
        <v>42771</v>
      </c>
      <c r="J7455" s="117"/>
      <c r="K7455" s="120"/>
      <c r="L7455" s="121"/>
      <c r="M7455" s="120"/>
      <c r="N7455" s="121"/>
      <c r="O7455" s="120"/>
      <c r="P7455" s="121"/>
      <c r="Q7455" s="120"/>
      <c r="R7455" s="121"/>
      <c r="S7455" s="120"/>
      <c r="T7455" s="121"/>
      <c r="U7455" s="120"/>
      <c r="V7455" s="123"/>
      <c r="W7455" s="125"/>
      <c r="X7455" s="142" t="s">
        <v>21689</v>
      </c>
      <c r="Y7455" s="143"/>
      <c r="Z7455" s="143"/>
      <c r="AA7455" s="143"/>
      <c r="AB7455" s="144"/>
      <c r="AC7455" s="16" t="s">
        <v>21</v>
      </c>
      <c r="AD7455" s="17" t="s">
        <v>1918</v>
      </c>
      <c r="AE7455" s="145" t="s">
        <v>2269</v>
      </c>
      <c r="AF7455" s="146"/>
      <c r="AG7455" s="146"/>
      <c r="AH7455" s="146"/>
      <c r="AI7455" s="147"/>
      <c r="AJ7455" s="148"/>
      <c r="AK7455" s="143"/>
      <c r="AL7455" s="144"/>
      <c r="AM7455" s="22"/>
      <c r="AN7455" s="149" t="s">
        <v>2511</v>
      </c>
      <c r="AO7455" s="144"/>
      <c r="AP7455" s="148">
        <v>41014</v>
      </c>
      <c r="AQ7455" s="144"/>
      <c r="AR7455" s="120"/>
      <c r="AS7455" s="121"/>
      <c r="AT7455" s="120"/>
      <c r="AU7455" s="121"/>
      <c r="AV7455" s="120"/>
      <c r="AW7455" s="121"/>
      <c r="AX7455" s="120"/>
      <c r="AY7455" s="121"/>
      <c r="AZ7455" s="138"/>
    </row>
    <row r="7456" spans="1:52" ht="17.100000000000001" customHeight="1" thickTop="1">
      <c r="A7456" s="109" t="s">
        <v>21077</v>
      </c>
      <c r="B7456" s="28">
        <v>46105</v>
      </c>
      <c r="C7456" s="25">
        <v>983</v>
      </c>
      <c r="D7456" s="13" t="s">
        <v>2697</v>
      </c>
      <c r="E7456" s="111"/>
      <c r="F7456" s="113" t="s">
        <v>19941</v>
      </c>
      <c r="G7456" s="114"/>
      <c r="H7456" s="115"/>
      <c r="I7456" s="24"/>
      <c r="J7456" s="116">
        <v>4</v>
      </c>
      <c r="K7456" s="118">
        <v>1263000</v>
      </c>
      <c r="L7456" s="119"/>
      <c r="M7456" s="118">
        <f t="shared" ref="M7456" si="10826">K7456*0.1</f>
        <v>126300</v>
      </c>
      <c r="N7456" s="119"/>
      <c r="O7456" s="118">
        <v>0</v>
      </c>
      <c r="P7456" s="119"/>
      <c r="Q7456" s="118">
        <v>14200</v>
      </c>
      <c r="R7456" s="119"/>
      <c r="S7456" s="118">
        <v>22000</v>
      </c>
      <c r="T7456" s="119"/>
      <c r="U7456" s="118">
        <f t="shared" ref="U7456" si="10827">SUM(K7456:T7457)</f>
        <v>1425500</v>
      </c>
      <c r="V7456" s="122"/>
      <c r="W7456" s="124"/>
      <c r="X7456" s="126" t="s">
        <v>21845</v>
      </c>
      <c r="Y7456" s="127"/>
      <c r="Z7456" s="127"/>
      <c r="AA7456" s="127"/>
      <c r="AB7456" s="128"/>
      <c r="AC7456" s="15" t="s">
        <v>20</v>
      </c>
      <c r="AD7456" s="129" t="s">
        <v>1670</v>
      </c>
      <c r="AE7456" s="130"/>
      <c r="AF7456" s="130"/>
      <c r="AG7456" s="130"/>
      <c r="AH7456" s="130"/>
      <c r="AI7456" s="131"/>
      <c r="AJ7456" s="132"/>
      <c r="AK7456" s="127"/>
      <c r="AL7456" s="128"/>
      <c r="AM7456" s="21"/>
      <c r="AN7456" s="133">
        <v>46112</v>
      </c>
      <c r="AO7456" s="134"/>
      <c r="AP7456" s="135">
        <v>1935</v>
      </c>
      <c r="AQ7456" s="136"/>
      <c r="AR7456" s="118">
        <v>1310000</v>
      </c>
      <c r="AS7456" s="119"/>
      <c r="AT7456" s="118">
        <f t="shared" ref="AT7456" si="10828">AR7456*0.1</f>
        <v>131000</v>
      </c>
      <c r="AU7456" s="119"/>
      <c r="AV7456" s="118">
        <v>14200</v>
      </c>
      <c r="AW7456" s="119"/>
      <c r="AX7456" s="118">
        <f t="shared" ref="AX7456" si="10829">SUM(AR7456:AW7456)</f>
        <v>1455200</v>
      </c>
      <c r="AY7456" s="119"/>
      <c r="AZ7456" s="137"/>
    </row>
    <row r="7457" spans="1:52" ht="17.100000000000001" customHeight="1" thickBot="1">
      <c r="A7457" s="110"/>
      <c r="B7457" s="27" t="s">
        <v>18196</v>
      </c>
      <c r="C7457" s="27">
        <v>39</v>
      </c>
      <c r="D7457" s="14" t="s">
        <v>2800</v>
      </c>
      <c r="E7457" s="112"/>
      <c r="F7457" s="139" t="s">
        <v>21110</v>
      </c>
      <c r="G7457" s="140"/>
      <c r="H7457" s="141"/>
      <c r="I7457" s="26">
        <v>2245</v>
      </c>
      <c r="J7457" s="117"/>
      <c r="K7457" s="120"/>
      <c r="L7457" s="121"/>
      <c r="M7457" s="120"/>
      <c r="N7457" s="121"/>
      <c r="O7457" s="120"/>
      <c r="P7457" s="121"/>
      <c r="Q7457" s="120"/>
      <c r="R7457" s="121"/>
      <c r="S7457" s="120"/>
      <c r="T7457" s="121"/>
      <c r="U7457" s="120"/>
      <c r="V7457" s="123"/>
      <c r="W7457" s="125"/>
      <c r="X7457" s="142" t="s">
        <v>2482</v>
      </c>
      <c r="Y7457" s="143"/>
      <c r="Z7457" s="143"/>
      <c r="AA7457" s="143"/>
      <c r="AB7457" s="144"/>
      <c r="AC7457" s="16" t="s">
        <v>21</v>
      </c>
      <c r="AD7457" s="17" t="s">
        <v>1642</v>
      </c>
      <c r="AE7457" s="145" t="s">
        <v>21321</v>
      </c>
      <c r="AF7457" s="146"/>
      <c r="AG7457" s="146"/>
      <c r="AH7457" s="146"/>
      <c r="AI7457" s="147"/>
      <c r="AJ7457" s="148"/>
      <c r="AK7457" s="143"/>
      <c r="AL7457" s="144"/>
      <c r="AM7457" s="22"/>
      <c r="AN7457" s="149" t="s">
        <v>21744</v>
      </c>
      <c r="AO7457" s="144"/>
      <c r="AP7457" s="148">
        <v>3393</v>
      </c>
      <c r="AQ7457" s="144"/>
      <c r="AR7457" s="120"/>
      <c r="AS7457" s="121"/>
      <c r="AT7457" s="120"/>
      <c r="AU7457" s="121"/>
      <c r="AV7457" s="120"/>
      <c r="AW7457" s="121"/>
      <c r="AX7457" s="120"/>
      <c r="AY7457" s="121"/>
      <c r="AZ7457" s="138"/>
    </row>
    <row r="7458" spans="1:52" ht="17.100000000000001" customHeight="1" thickTop="1">
      <c r="A7458" s="109" t="s">
        <v>21108</v>
      </c>
      <c r="B7458" s="28">
        <v>46105</v>
      </c>
      <c r="C7458" s="25">
        <v>983</v>
      </c>
      <c r="D7458" s="13" t="s">
        <v>2329</v>
      </c>
      <c r="E7458" s="111"/>
      <c r="F7458" s="113" t="s">
        <v>15976</v>
      </c>
      <c r="G7458" s="114"/>
      <c r="H7458" s="115"/>
      <c r="I7458" s="24"/>
      <c r="J7458" s="116">
        <v>3.5</v>
      </c>
      <c r="K7458" s="118">
        <v>564000</v>
      </c>
      <c r="L7458" s="119"/>
      <c r="M7458" s="118">
        <f t="shared" ref="M7458" si="10830">K7458*0.1</f>
        <v>56400</v>
      </c>
      <c r="N7458" s="119"/>
      <c r="O7458" s="118">
        <v>0</v>
      </c>
      <c r="P7458" s="119"/>
      <c r="Q7458" s="118">
        <v>8400</v>
      </c>
      <c r="R7458" s="119"/>
      <c r="S7458" s="118">
        <v>22000</v>
      </c>
      <c r="T7458" s="119"/>
      <c r="U7458" s="118">
        <f t="shared" ref="U7458" si="10831">SUM(K7458:T7459)</f>
        <v>650800</v>
      </c>
      <c r="V7458" s="122"/>
      <c r="W7458" s="124"/>
      <c r="X7458" s="126" t="s">
        <v>21913</v>
      </c>
      <c r="Y7458" s="127"/>
      <c r="Z7458" s="127"/>
      <c r="AA7458" s="127"/>
      <c r="AB7458" s="128"/>
      <c r="AC7458" s="15" t="s">
        <v>20</v>
      </c>
      <c r="AD7458" s="129" t="s">
        <v>2054</v>
      </c>
      <c r="AE7458" s="130"/>
      <c r="AF7458" s="130"/>
      <c r="AG7458" s="130"/>
      <c r="AH7458" s="130"/>
      <c r="AI7458" s="131"/>
      <c r="AJ7458" s="132" t="s">
        <v>24615</v>
      </c>
      <c r="AK7458" s="127"/>
      <c r="AL7458" s="128"/>
      <c r="AM7458" s="21"/>
      <c r="AN7458" s="133">
        <v>46130</v>
      </c>
      <c r="AO7458" s="134"/>
      <c r="AP7458" s="135">
        <v>1297</v>
      </c>
      <c r="AQ7458" s="136"/>
      <c r="AR7458" s="118">
        <v>635000</v>
      </c>
      <c r="AS7458" s="119"/>
      <c r="AT7458" s="118">
        <f t="shared" ref="AT7458" si="10832">AR7458*0.1</f>
        <v>63500</v>
      </c>
      <c r="AU7458" s="119"/>
      <c r="AV7458" s="118">
        <v>8400</v>
      </c>
      <c r="AW7458" s="119"/>
      <c r="AX7458" s="118">
        <f t="shared" ref="AX7458" si="10833">SUM(AR7458:AW7458)</f>
        <v>706900</v>
      </c>
      <c r="AY7458" s="119"/>
      <c r="AZ7458" s="137">
        <v>46133</v>
      </c>
    </row>
    <row r="7459" spans="1:52" ht="17.100000000000001" customHeight="1" thickBot="1">
      <c r="A7459" s="110"/>
      <c r="B7459" s="27" t="s">
        <v>18196</v>
      </c>
      <c r="C7459" s="27">
        <v>1003</v>
      </c>
      <c r="D7459" s="14" t="s">
        <v>1592</v>
      </c>
      <c r="E7459" s="112"/>
      <c r="F7459" s="139" t="s">
        <v>21111</v>
      </c>
      <c r="G7459" s="140"/>
      <c r="H7459" s="141"/>
      <c r="I7459" s="26">
        <v>60221</v>
      </c>
      <c r="J7459" s="117"/>
      <c r="K7459" s="120"/>
      <c r="L7459" s="121"/>
      <c r="M7459" s="120"/>
      <c r="N7459" s="121"/>
      <c r="O7459" s="120"/>
      <c r="P7459" s="121"/>
      <c r="Q7459" s="120"/>
      <c r="R7459" s="121"/>
      <c r="S7459" s="120"/>
      <c r="T7459" s="121"/>
      <c r="U7459" s="120"/>
      <c r="V7459" s="123"/>
      <c r="W7459" s="125"/>
      <c r="X7459" s="142" t="s">
        <v>2482</v>
      </c>
      <c r="Y7459" s="143"/>
      <c r="Z7459" s="143"/>
      <c r="AA7459" s="143"/>
      <c r="AB7459" s="144"/>
      <c r="AC7459" s="16" t="s">
        <v>21</v>
      </c>
      <c r="AD7459" s="17" t="s">
        <v>1642</v>
      </c>
      <c r="AE7459" s="145" t="s">
        <v>21321</v>
      </c>
      <c r="AF7459" s="146"/>
      <c r="AG7459" s="146"/>
      <c r="AH7459" s="146"/>
      <c r="AI7459" s="147"/>
      <c r="AJ7459" s="148"/>
      <c r="AK7459" s="143"/>
      <c r="AL7459" s="144"/>
      <c r="AM7459" s="22"/>
      <c r="AN7459" s="149" t="s">
        <v>2511</v>
      </c>
      <c r="AO7459" s="144"/>
      <c r="AP7459" s="148">
        <v>62070</v>
      </c>
      <c r="AQ7459" s="144"/>
      <c r="AR7459" s="120"/>
      <c r="AS7459" s="121"/>
      <c r="AT7459" s="120"/>
      <c r="AU7459" s="121"/>
      <c r="AV7459" s="120"/>
      <c r="AW7459" s="121"/>
      <c r="AX7459" s="120"/>
      <c r="AY7459" s="121"/>
      <c r="AZ7459" s="138"/>
    </row>
    <row r="7460" spans="1:52" ht="17.100000000000001" customHeight="1" thickTop="1">
      <c r="A7460" s="109" t="s">
        <v>21109</v>
      </c>
      <c r="B7460" s="28">
        <v>46105</v>
      </c>
      <c r="C7460" s="25">
        <v>983</v>
      </c>
      <c r="D7460" s="13" t="s">
        <v>1958</v>
      </c>
      <c r="E7460" s="111"/>
      <c r="F7460" s="113" t="s">
        <v>21112</v>
      </c>
      <c r="G7460" s="114"/>
      <c r="H7460" s="115"/>
      <c r="I7460" s="24"/>
      <c r="J7460" s="116">
        <v>4</v>
      </c>
      <c r="K7460" s="118">
        <v>883000</v>
      </c>
      <c r="L7460" s="119"/>
      <c r="M7460" s="118">
        <f t="shared" ref="M7460" si="10834">K7460*0.1</f>
        <v>88300</v>
      </c>
      <c r="N7460" s="119"/>
      <c r="O7460" s="118">
        <v>0</v>
      </c>
      <c r="P7460" s="119"/>
      <c r="Q7460" s="118">
        <v>8110</v>
      </c>
      <c r="R7460" s="119"/>
      <c r="S7460" s="118">
        <v>22000</v>
      </c>
      <c r="T7460" s="119"/>
      <c r="U7460" s="118">
        <f t="shared" ref="U7460" si="10835">SUM(K7460:T7461)</f>
        <v>1001410</v>
      </c>
      <c r="V7460" s="122"/>
      <c r="W7460" s="124"/>
      <c r="X7460" s="126" t="s">
        <v>21914</v>
      </c>
      <c r="Y7460" s="127"/>
      <c r="Z7460" s="127"/>
      <c r="AA7460" s="127"/>
      <c r="AB7460" s="128"/>
      <c r="AC7460" s="15" t="s">
        <v>20</v>
      </c>
      <c r="AD7460" s="129" t="s">
        <v>2054</v>
      </c>
      <c r="AE7460" s="130"/>
      <c r="AF7460" s="130"/>
      <c r="AG7460" s="130"/>
      <c r="AH7460" s="130"/>
      <c r="AI7460" s="131"/>
      <c r="AJ7460" s="132"/>
      <c r="AK7460" s="127"/>
      <c r="AL7460" s="128"/>
      <c r="AM7460" s="21"/>
      <c r="AN7460" s="133"/>
      <c r="AO7460" s="134"/>
      <c r="AP7460" s="135"/>
      <c r="AQ7460" s="136"/>
      <c r="AR7460" s="118"/>
      <c r="AS7460" s="119"/>
      <c r="AT7460" s="118">
        <f t="shared" ref="AT7460" si="10836">AR7460*0.1</f>
        <v>0</v>
      </c>
      <c r="AU7460" s="119"/>
      <c r="AV7460" s="118"/>
      <c r="AW7460" s="119"/>
      <c r="AX7460" s="118">
        <f t="shared" ref="AX7460" si="10837">SUM(AR7460:AW7460)</f>
        <v>0</v>
      </c>
      <c r="AY7460" s="119"/>
      <c r="AZ7460" s="137"/>
    </row>
    <row r="7461" spans="1:52" ht="17.100000000000001" customHeight="1" thickBot="1">
      <c r="A7461" s="110"/>
      <c r="B7461" s="27" t="s">
        <v>18196</v>
      </c>
      <c r="C7461" s="27">
        <v>1023</v>
      </c>
      <c r="D7461" s="14" t="s">
        <v>1592</v>
      </c>
      <c r="E7461" s="112"/>
      <c r="F7461" s="139" t="s">
        <v>21113</v>
      </c>
      <c r="G7461" s="140"/>
      <c r="H7461" s="141"/>
      <c r="I7461" s="26">
        <v>54910</v>
      </c>
      <c r="J7461" s="117"/>
      <c r="K7461" s="120"/>
      <c r="L7461" s="121"/>
      <c r="M7461" s="120"/>
      <c r="N7461" s="121"/>
      <c r="O7461" s="120"/>
      <c r="P7461" s="121"/>
      <c r="Q7461" s="120"/>
      <c r="R7461" s="121"/>
      <c r="S7461" s="120"/>
      <c r="T7461" s="121"/>
      <c r="U7461" s="120"/>
      <c r="V7461" s="123"/>
      <c r="W7461" s="125"/>
      <c r="X7461" s="142" t="s">
        <v>2482</v>
      </c>
      <c r="Y7461" s="143"/>
      <c r="Z7461" s="143"/>
      <c r="AA7461" s="143"/>
      <c r="AB7461" s="144"/>
      <c r="AC7461" s="16" t="s">
        <v>21</v>
      </c>
      <c r="AD7461" s="17" t="s">
        <v>1642</v>
      </c>
      <c r="AE7461" s="145" t="s">
        <v>21380</v>
      </c>
      <c r="AF7461" s="146"/>
      <c r="AG7461" s="146"/>
      <c r="AH7461" s="146"/>
      <c r="AI7461" s="147"/>
      <c r="AJ7461" s="148"/>
      <c r="AK7461" s="143"/>
      <c r="AL7461" s="144"/>
      <c r="AM7461" s="22"/>
      <c r="AN7461" s="149"/>
      <c r="AO7461" s="144"/>
      <c r="AP7461" s="148"/>
      <c r="AQ7461" s="144"/>
      <c r="AR7461" s="120"/>
      <c r="AS7461" s="121"/>
      <c r="AT7461" s="120"/>
      <c r="AU7461" s="121"/>
      <c r="AV7461" s="120"/>
      <c r="AW7461" s="121"/>
      <c r="AX7461" s="120"/>
      <c r="AY7461" s="121"/>
      <c r="AZ7461" s="138"/>
    </row>
    <row r="7462" spans="1:52" ht="17.100000000000001" customHeight="1" thickTop="1">
      <c r="A7462" s="109" t="s">
        <v>21114</v>
      </c>
      <c r="B7462" s="28">
        <v>46106</v>
      </c>
      <c r="C7462" s="25">
        <v>1010</v>
      </c>
      <c r="D7462" s="13" t="s">
        <v>1667</v>
      </c>
      <c r="E7462" s="111"/>
      <c r="F7462" s="113" t="s">
        <v>21122</v>
      </c>
      <c r="G7462" s="114"/>
      <c r="H7462" s="115"/>
      <c r="I7462" s="24" t="s">
        <v>2112</v>
      </c>
      <c r="J7462" s="116">
        <v>4</v>
      </c>
      <c r="K7462" s="118">
        <v>595000</v>
      </c>
      <c r="L7462" s="119"/>
      <c r="M7462" s="118">
        <f t="shared" ref="M7462" si="10838">K7462*0.1</f>
        <v>59500</v>
      </c>
      <c r="N7462" s="119"/>
      <c r="O7462" s="118">
        <v>10800</v>
      </c>
      <c r="P7462" s="119"/>
      <c r="Q7462" s="118">
        <v>7950</v>
      </c>
      <c r="R7462" s="119"/>
      <c r="S7462" s="118">
        <v>12100</v>
      </c>
      <c r="T7462" s="119"/>
      <c r="U7462" s="118">
        <f t="shared" ref="U7462" si="10839">SUM(K7462:T7463)</f>
        <v>685350</v>
      </c>
      <c r="V7462" s="122"/>
      <c r="W7462" s="124"/>
      <c r="X7462" s="126" t="s">
        <v>21135</v>
      </c>
      <c r="Y7462" s="127"/>
      <c r="Z7462" s="127"/>
      <c r="AA7462" s="127"/>
      <c r="AB7462" s="128"/>
      <c r="AC7462" s="15" t="s">
        <v>20</v>
      </c>
      <c r="AD7462" s="129" t="s">
        <v>1670</v>
      </c>
      <c r="AE7462" s="130"/>
      <c r="AF7462" s="130"/>
      <c r="AG7462" s="130"/>
      <c r="AH7462" s="130"/>
      <c r="AI7462" s="131"/>
      <c r="AJ7462" s="132"/>
      <c r="AK7462" s="127"/>
      <c r="AL7462" s="128"/>
      <c r="AM7462" s="85" t="s">
        <v>22546</v>
      </c>
      <c r="AN7462" s="133">
        <v>46123</v>
      </c>
      <c r="AO7462" s="134"/>
      <c r="AP7462" s="135">
        <v>1296</v>
      </c>
      <c r="AQ7462" s="136"/>
      <c r="AR7462" s="118">
        <v>670000</v>
      </c>
      <c r="AS7462" s="119"/>
      <c r="AT7462" s="118">
        <f t="shared" ref="AT7462" si="10840">AR7462*0.1</f>
        <v>67000</v>
      </c>
      <c r="AU7462" s="119"/>
      <c r="AV7462" s="118">
        <v>7950</v>
      </c>
      <c r="AW7462" s="119"/>
      <c r="AX7462" s="118">
        <f t="shared" ref="AX7462" si="10841">SUM(AR7462:AW7462)</f>
        <v>744950</v>
      </c>
      <c r="AY7462" s="119"/>
      <c r="AZ7462" s="137">
        <v>46126</v>
      </c>
    </row>
    <row r="7463" spans="1:52" ht="17.100000000000001" customHeight="1" thickBot="1">
      <c r="A7463" s="110"/>
      <c r="B7463" s="27" t="s">
        <v>2794</v>
      </c>
      <c r="C7463" s="27">
        <v>1076</v>
      </c>
      <c r="D7463" s="14" t="s">
        <v>2601</v>
      </c>
      <c r="E7463" s="112"/>
      <c r="F7463" s="139" t="s">
        <v>21123</v>
      </c>
      <c r="G7463" s="140"/>
      <c r="H7463" s="141"/>
      <c r="I7463" s="26">
        <v>45181</v>
      </c>
      <c r="J7463" s="117"/>
      <c r="K7463" s="120"/>
      <c r="L7463" s="121"/>
      <c r="M7463" s="120"/>
      <c r="N7463" s="121"/>
      <c r="O7463" s="120"/>
      <c r="P7463" s="121"/>
      <c r="Q7463" s="120"/>
      <c r="R7463" s="121"/>
      <c r="S7463" s="120"/>
      <c r="T7463" s="121"/>
      <c r="U7463" s="120"/>
      <c r="V7463" s="123"/>
      <c r="W7463" s="125"/>
      <c r="X7463" s="142" t="s">
        <v>19302</v>
      </c>
      <c r="Y7463" s="143"/>
      <c r="Z7463" s="143"/>
      <c r="AA7463" s="143"/>
      <c r="AB7463" s="144"/>
      <c r="AC7463" s="16" t="s">
        <v>21</v>
      </c>
      <c r="AD7463" s="17" t="s">
        <v>1642</v>
      </c>
      <c r="AE7463" s="145" t="s">
        <v>171</v>
      </c>
      <c r="AF7463" s="146"/>
      <c r="AG7463" s="146"/>
      <c r="AH7463" s="146"/>
      <c r="AI7463" s="147"/>
      <c r="AJ7463" s="148"/>
      <c r="AK7463" s="143"/>
      <c r="AL7463" s="144"/>
      <c r="AM7463" s="22"/>
      <c r="AN7463" s="149" t="s">
        <v>2511</v>
      </c>
      <c r="AO7463" s="144"/>
      <c r="AP7463" s="148">
        <v>60149</v>
      </c>
      <c r="AQ7463" s="144"/>
      <c r="AR7463" s="120"/>
      <c r="AS7463" s="121"/>
      <c r="AT7463" s="120"/>
      <c r="AU7463" s="121"/>
      <c r="AV7463" s="120"/>
      <c r="AW7463" s="121"/>
      <c r="AX7463" s="120"/>
      <c r="AY7463" s="121"/>
      <c r="AZ7463" s="138"/>
    </row>
    <row r="7464" spans="1:52" ht="17.100000000000001" customHeight="1" thickTop="1">
      <c r="A7464" s="109" t="s">
        <v>21115</v>
      </c>
      <c r="B7464" s="28">
        <v>46106</v>
      </c>
      <c r="C7464" s="25">
        <v>1010</v>
      </c>
      <c r="D7464" s="13" t="s">
        <v>2179</v>
      </c>
      <c r="E7464" s="111"/>
      <c r="F7464" s="113" t="s">
        <v>21124</v>
      </c>
      <c r="G7464" s="114"/>
      <c r="H7464" s="115"/>
      <c r="I7464" s="24" t="s">
        <v>19635</v>
      </c>
      <c r="J7464" s="116">
        <v>4</v>
      </c>
      <c r="K7464" s="118">
        <v>490000</v>
      </c>
      <c r="L7464" s="119"/>
      <c r="M7464" s="118">
        <f t="shared" ref="M7464" si="10842">K7464*0.1</f>
        <v>49000</v>
      </c>
      <c r="N7464" s="119"/>
      <c r="O7464" s="118">
        <v>10800</v>
      </c>
      <c r="P7464" s="119"/>
      <c r="Q7464" s="118">
        <v>9790</v>
      </c>
      <c r="R7464" s="119"/>
      <c r="S7464" s="118">
        <v>12100</v>
      </c>
      <c r="T7464" s="119"/>
      <c r="U7464" s="118">
        <f t="shared" ref="U7464" si="10843">SUM(K7464:T7465)</f>
        <v>571690</v>
      </c>
      <c r="V7464" s="122"/>
      <c r="W7464" s="124"/>
      <c r="X7464" s="126" t="s">
        <v>21136</v>
      </c>
      <c r="Y7464" s="127"/>
      <c r="Z7464" s="127"/>
      <c r="AA7464" s="127"/>
      <c r="AB7464" s="128"/>
      <c r="AC7464" s="15" t="s">
        <v>20</v>
      </c>
      <c r="AD7464" s="129" t="s">
        <v>21137</v>
      </c>
      <c r="AE7464" s="130"/>
      <c r="AF7464" s="130"/>
      <c r="AG7464" s="130"/>
      <c r="AH7464" s="130"/>
      <c r="AI7464" s="131"/>
      <c r="AJ7464" s="132"/>
      <c r="AK7464" s="127"/>
      <c r="AL7464" s="128"/>
      <c r="AM7464" s="85" t="s">
        <v>22416</v>
      </c>
      <c r="AN7464" s="133">
        <v>46116</v>
      </c>
      <c r="AO7464" s="134"/>
      <c r="AP7464" s="135">
        <v>1295</v>
      </c>
      <c r="AQ7464" s="136"/>
      <c r="AR7464" s="118">
        <v>600000</v>
      </c>
      <c r="AS7464" s="119"/>
      <c r="AT7464" s="118">
        <f t="shared" ref="AT7464" si="10844">AR7464*0.1</f>
        <v>60000</v>
      </c>
      <c r="AU7464" s="119"/>
      <c r="AV7464" s="118">
        <v>9790</v>
      </c>
      <c r="AW7464" s="119"/>
      <c r="AX7464" s="118">
        <f t="shared" ref="AX7464" si="10845">SUM(AR7464:AW7464)</f>
        <v>669790</v>
      </c>
      <c r="AY7464" s="119"/>
      <c r="AZ7464" s="137">
        <v>46126</v>
      </c>
    </row>
    <row r="7465" spans="1:52" ht="17.100000000000001" customHeight="1" thickBot="1">
      <c r="A7465" s="110"/>
      <c r="B7465" s="27" t="s">
        <v>2794</v>
      </c>
      <c r="C7465" s="27">
        <v>1115</v>
      </c>
      <c r="D7465" s="14" t="s">
        <v>2325</v>
      </c>
      <c r="E7465" s="112"/>
      <c r="F7465" s="139" t="s">
        <v>21125</v>
      </c>
      <c r="G7465" s="140"/>
      <c r="H7465" s="141"/>
      <c r="I7465" s="26">
        <v>58960</v>
      </c>
      <c r="J7465" s="117"/>
      <c r="K7465" s="120"/>
      <c r="L7465" s="121"/>
      <c r="M7465" s="120"/>
      <c r="N7465" s="121"/>
      <c r="O7465" s="120"/>
      <c r="P7465" s="121"/>
      <c r="Q7465" s="120"/>
      <c r="R7465" s="121"/>
      <c r="S7465" s="120"/>
      <c r="T7465" s="121"/>
      <c r="U7465" s="120"/>
      <c r="V7465" s="123"/>
      <c r="W7465" s="125"/>
      <c r="X7465" s="142" t="s">
        <v>20498</v>
      </c>
      <c r="Y7465" s="143"/>
      <c r="Z7465" s="143"/>
      <c r="AA7465" s="143"/>
      <c r="AB7465" s="144"/>
      <c r="AC7465" s="16" t="s">
        <v>21</v>
      </c>
      <c r="AD7465" s="17" t="s">
        <v>1642</v>
      </c>
      <c r="AE7465" s="145" t="s">
        <v>4453</v>
      </c>
      <c r="AF7465" s="146"/>
      <c r="AG7465" s="146"/>
      <c r="AH7465" s="146"/>
      <c r="AI7465" s="147"/>
      <c r="AJ7465" s="148"/>
      <c r="AK7465" s="143"/>
      <c r="AL7465" s="144"/>
      <c r="AM7465" s="22"/>
      <c r="AN7465" s="149" t="s">
        <v>6748</v>
      </c>
      <c r="AO7465" s="144"/>
      <c r="AP7465" s="148">
        <v>60053</v>
      </c>
      <c r="AQ7465" s="144"/>
      <c r="AR7465" s="120"/>
      <c r="AS7465" s="121"/>
      <c r="AT7465" s="120"/>
      <c r="AU7465" s="121"/>
      <c r="AV7465" s="120"/>
      <c r="AW7465" s="121"/>
      <c r="AX7465" s="120"/>
      <c r="AY7465" s="121"/>
      <c r="AZ7465" s="138"/>
    </row>
    <row r="7466" spans="1:52" ht="17.100000000000001" customHeight="1" thickTop="1">
      <c r="A7466" s="109" t="s">
        <v>21116</v>
      </c>
      <c r="B7466" s="28">
        <v>46106</v>
      </c>
      <c r="C7466" s="25">
        <v>1010</v>
      </c>
      <c r="D7466" s="13" t="s">
        <v>1586</v>
      </c>
      <c r="E7466" s="111"/>
      <c r="F7466" s="113" t="s">
        <v>15969</v>
      </c>
      <c r="G7466" s="114"/>
      <c r="H7466" s="115"/>
      <c r="I7466" s="24"/>
      <c r="J7466" s="116">
        <v>4.5</v>
      </c>
      <c r="K7466" s="118">
        <v>1445000</v>
      </c>
      <c r="L7466" s="119"/>
      <c r="M7466" s="118">
        <f t="shared" ref="M7466" si="10846">K7466*0.1</f>
        <v>144500</v>
      </c>
      <c r="N7466" s="119"/>
      <c r="O7466" s="118">
        <v>0</v>
      </c>
      <c r="P7466" s="119"/>
      <c r="Q7466" s="118">
        <v>11480</v>
      </c>
      <c r="R7466" s="119"/>
      <c r="S7466" s="118">
        <v>12100</v>
      </c>
      <c r="T7466" s="119"/>
      <c r="U7466" s="118">
        <f t="shared" ref="U7466" si="10847">SUM(K7466:T7467)</f>
        <v>1613080</v>
      </c>
      <c r="V7466" s="122"/>
      <c r="W7466" s="124"/>
      <c r="X7466" s="126" t="s">
        <v>21909</v>
      </c>
      <c r="Y7466" s="127"/>
      <c r="Z7466" s="127"/>
      <c r="AA7466" s="127"/>
      <c r="AB7466" s="128"/>
      <c r="AC7466" s="15" t="s">
        <v>20</v>
      </c>
      <c r="AD7466" s="129" t="s">
        <v>21137</v>
      </c>
      <c r="AE7466" s="130"/>
      <c r="AF7466" s="130"/>
      <c r="AG7466" s="130"/>
      <c r="AH7466" s="130"/>
      <c r="AI7466" s="131"/>
      <c r="AJ7466" s="132"/>
      <c r="AK7466" s="127"/>
      <c r="AL7466" s="128"/>
      <c r="AM7466" s="21"/>
      <c r="AN7466" s="133">
        <v>46130</v>
      </c>
      <c r="AO7466" s="134"/>
      <c r="AP7466" s="135">
        <v>1297</v>
      </c>
      <c r="AQ7466" s="136"/>
      <c r="AR7466" s="118">
        <v>1570000</v>
      </c>
      <c r="AS7466" s="119"/>
      <c r="AT7466" s="118">
        <f t="shared" ref="AT7466" si="10848">AR7466*0.1</f>
        <v>157000</v>
      </c>
      <c r="AU7466" s="119"/>
      <c r="AV7466" s="118">
        <v>11480</v>
      </c>
      <c r="AW7466" s="119"/>
      <c r="AX7466" s="118">
        <f t="shared" ref="AX7466" si="10849">SUM(AR7466:AW7466)</f>
        <v>1738480</v>
      </c>
      <c r="AY7466" s="119"/>
      <c r="AZ7466" s="137">
        <v>46133</v>
      </c>
    </row>
    <row r="7467" spans="1:52" ht="17.100000000000001" customHeight="1" thickBot="1">
      <c r="A7467" s="110"/>
      <c r="B7467" s="27" t="s">
        <v>2794</v>
      </c>
      <c r="C7467" s="27">
        <v>1300</v>
      </c>
      <c r="D7467" s="14" t="s">
        <v>2601</v>
      </c>
      <c r="E7467" s="112"/>
      <c r="F7467" s="139" t="s">
        <v>21126</v>
      </c>
      <c r="G7467" s="140"/>
      <c r="H7467" s="141"/>
      <c r="I7467" s="26">
        <v>94840</v>
      </c>
      <c r="J7467" s="117"/>
      <c r="K7467" s="120"/>
      <c r="L7467" s="121"/>
      <c r="M7467" s="120"/>
      <c r="N7467" s="121"/>
      <c r="O7467" s="120"/>
      <c r="P7467" s="121"/>
      <c r="Q7467" s="120"/>
      <c r="R7467" s="121"/>
      <c r="S7467" s="120"/>
      <c r="T7467" s="121"/>
      <c r="U7467" s="120"/>
      <c r="V7467" s="123"/>
      <c r="W7467" s="125"/>
      <c r="X7467" s="142" t="s">
        <v>21910</v>
      </c>
      <c r="Y7467" s="143"/>
      <c r="Z7467" s="143"/>
      <c r="AA7467" s="143"/>
      <c r="AB7467" s="144"/>
      <c r="AC7467" s="16" t="s">
        <v>21</v>
      </c>
      <c r="AD7467" s="17" t="s">
        <v>1642</v>
      </c>
      <c r="AE7467" s="145" t="s">
        <v>21911</v>
      </c>
      <c r="AF7467" s="146"/>
      <c r="AG7467" s="146"/>
      <c r="AH7467" s="146"/>
      <c r="AI7467" s="147"/>
      <c r="AJ7467" s="148"/>
      <c r="AK7467" s="143"/>
      <c r="AL7467" s="144"/>
      <c r="AM7467" s="22"/>
      <c r="AN7467" s="149" t="s">
        <v>2511</v>
      </c>
      <c r="AO7467" s="144"/>
      <c r="AP7467" s="148">
        <v>50091</v>
      </c>
      <c r="AQ7467" s="144"/>
      <c r="AR7467" s="120"/>
      <c r="AS7467" s="121"/>
      <c r="AT7467" s="120"/>
      <c r="AU7467" s="121"/>
      <c r="AV7467" s="120"/>
      <c r="AW7467" s="121"/>
      <c r="AX7467" s="120"/>
      <c r="AY7467" s="121"/>
      <c r="AZ7467" s="138"/>
    </row>
    <row r="7468" spans="1:52" ht="17.100000000000001" customHeight="1" thickTop="1">
      <c r="A7468" s="109" t="s">
        <v>21117</v>
      </c>
      <c r="B7468" s="28">
        <v>46106</v>
      </c>
      <c r="C7468" s="25">
        <v>1010</v>
      </c>
      <c r="D7468" s="13" t="s">
        <v>1615</v>
      </c>
      <c r="E7468" s="111"/>
      <c r="F7468" s="113" t="s">
        <v>21127</v>
      </c>
      <c r="G7468" s="114"/>
      <c r="H7468" s="115"/>
      <c r="I7468" s="24" t="s">
        <v>13821</v>
      </c>
      <c r="J7468" s="116">
        <v>4</v>
      </c>
      <c r="K7468" s="118">
        <v>2885000</v>
      </c>
      <c r="L7468" s="119"/>
      <c r="M7468" s="118">
        <f t="shared" ref="M7468" si="10850">K7468*0.1</f>
        <v>288500</v>
      </c>
      <c r="N7468" s="119"/>
      <c r="O7468" s="118">
        <v>58000</v>
      </c>
      <c r="P7468" s="119"/>
      <c r="Q7468" s="118">
        <v>15210</v>
      </c>
      <c r="R7468" s="119"/>
      <c r="S7468" s="118">
        <v>12100</v>
      </c>
      <c r="T7468" s="119"/>
      <c r="U7468" s="118">
        <f t="shared" ref="U7468" si="10851">SUM(K7468:T7469)</f>
        <v>3258810</v>
      </c>
      <c r="V7468" s="122"/>
      <c r="W7468" s="124"/>
      <c r="X7468" s="126" t="s">
        <v>21138</v>
      </c>
      <c r="Y7468" s="127"/>
      <c r="Z7468" s="127"/>
      <c r="AA7468" s="127"/>
      <c r="AB7468" s="128"/>
      <c r="AC7468" s="15" t="s">
        <v>20</v>
      </c>
      <c r="AD7468" s="129" t="s">
        <v>21139</v>
      </c>
      <c r="AE7468" s="130"/>
      <c r="AF7468" s="130"/>
      <c r="AG7468" s="130"/>
      <c r="AH7468" s="130"/>
      <c r="AI7468" s="131"/>
      <c r="AJ7468" s="132"/>
      <c r="AK7468" s="127"/>
      <c r="AL7468" s="128"/>
      <c r="AM7468" s="21"/>
      <c r="AN7468" s="133">
        <v>46116</v>
      </c>
      <c r="AO7468" s="134"/>
      <c r="AP7468" s="135">
        <v>1295</v>
      </c>
      <c r="AQ7468" s="136"/>
      <c r="AR7468" s="118">
        <v>3150000</v>
      </c>
      <c r="AS7468" s="119"/>
      <c r="AT7468" s="118">
        <f t="shared" ref="AT7468" si="10852">AR7468*0.1</f>
        <v>315000</v>
      </c>
      <c r="AU7468" s="119"/>
      <c r="AV7468" s="118">
        <v>15210</v>
      </c>
      <c r="AW7468" s="119"/>
      <c r="AX7468" s="118">
        <f t="shared" ref="AX7468" si="10853">SUM(AR7468:AW7468)</f>
        <v>3480210</v>
      </c>
      <c r="AY7468" s="119"/>
      <c r="AZ7468" s="137">
        <v>46119</v>
      </c>
    </row>
    <row r="7469" spans="1:52" ht="17.100000000000001" customHeight="1" thickBot="1">
      <c r="A7469" s="110"/>
      <c r="B7469" s="27" t="s">
        <v>2794</v>
      </c>
      <c r="C7469" s="27">
        <v>1313</v>
      </c>
      <c r="D7469" s="14" t="s">
        <v>2601</v>
      </c>
      <c r="E7469" s="112"/>
      <c r="F7469" s="139" t="s">
        <v>21128</v>
      </c>
      <c r="G7469" s="140"/>
      <c r="H7469" s="141"/>
      <c r="I7469" s="26">
        <v>135046</v>
      </c>
      <c r="J7469" s="117"/>
      <c r="K7469" s="120"/>
      <c r="L7469" s="121"/>
      <c r="M7469" s="120"/>
      <c r="N7469" s="121"/>
      <c r="O7469" s="120"/>
      <c r="P7469" s="121"/>
      <c r="Q7469" s="120"/>
      <c r="R7469" s="121"/>
      <c r="S7469" s="120"/>
      <c r="T7469" s="121"/>
      <c r="U7469" s="120"/>
      <c r="V7469" s="123"/>
      <c r="W7469" s="125"/>
      <c r="X7469" s="142" t="s">
        <v>21922</v>
      </c>
      <c r="Y7469" s="143"/>
      <c r="Z7469" s="143"/>
      <c r="AA7469" s="143"/>
      <c r="AB7469" s="144"/>
      <c r="AC7469" s="16" t="s">
        <v>21</v>
      </c>
      <c r="AD7469" s="17" t="s">
        <v>1642</v>
      </c>
      <c r="AE7469" s="145" t="s">
        <v>13768</v>
      </c>
      <c r="AF7469" s="146"/>
      <c r="AG7469" s="146"/>
      <c r="AH7469" s="146"/>
      <c r="AI7469" s="147"/>
      <c r="AJ7469" s="148"/>
      <c r="AK7469" s="143"/>
      <c r="AL7469" s="144"/>
      <c r="AM7469" s="22"/>
      <c r="AN7469" s="149" t="s">
        <v>2511</v>
      </c>
      <c r="AO7469" s="144"/>
      <c r="AP7469" s="148">
        <v>50322</v>
      </c>
      <c r="AQ7469" s="144"/>
      <c r="AR7469" s="120"/>
      <c r="AS7469" s="121"/>
      <c r="AT7469" s="120"/>
      <c r="AU7469" s="121"/>
      <c r="AV7469" s="120"/>
      <c r="AW7469" s="121"/>
      <c r="AX7469" s="120"/>
      <c r="AY7469" s="121"/>
      <c r="AZ7469" s="138"/>
    </row>
    <row r="7470" spans="1:52" ht="17.100000000000001" customHeight="1" thickTop="1">
      <c r="A7470" s="109" t="s">
        <v>21118</v>
      </c>
      <c r="B7470" s="28">
        <v>46106</v>
      </c>
      <c r="C7470" s="25">
        <v>1010</v>
      </c>
      <c r="D7470" s="13" t="s">
        <v>2298</v>
      </c>
      <c r="E7470" s="111"/>
      <c r="F7470" s="113" t="s">
        <v>21129</v>
      </c>
      <c r="G7470" s="114"/>
      <c r="H7470" s="115"/>
      <c r="I7470" s="24" t="s">
        <v>21140</v>
      </c>
      <c r="J7470" s="116">
        <v>4.5</v>
      </c>
      <c r="K7470" s="118">
        <v>1745000</v>
      </c>
      <c r="L7470" s="119"/>
      <c r="M7470" s="118">
        <f t="shared" ref="M7470" si="10854">K7470*0.1</f>
        <v>174500</v>
      </c>
      <c r="N7470" s="119"/>
      <c r="O7470" s="118">
        <v>36000</v>
      </c>
      <c r="P7470" s="119"/>
      <c r="Q7470" s="118">
        <v>10120</v>
      </c>
      <c r="R7470" s="119"/>
      <c r="S7470" s="118">
        <v>12100</v>
      </c>
      <c r="T7470" s="119"/>
      <c r="U7470" s="118">
        <f t="shared" ref="U7470" si="10855">SUM(K7470:T7471)</f>
        <v>1977720</v>
      </c>
      <c r="V7470" s="122"/>
      <c r="W7470" s="124"/>
      <c r="X7470" s="126" t="s">
        <v>21141</v>
      </c>
      <c r="Y7470" s="127"/>
      <c r="Z7470" s="127"/>
      <c r="AA7470" s="127"/>
      <c r="AB7470" s="128"/>
      <c r="AC7470" s="15" t="s">
        <v>20</v>
      </c>
      <c r="AD7470" s="129" t="s">
        <v>4435</v>
      </c>
      <c r="AE7470" s="130"/>
      <c r="AF7470" s="130"/>
      <c r="AG7470" s="130"/>
      <c r="AH7470" s="130"/>
      <c r="AI7470" s="131"/>
      <c r="AJ7470" s="132"/>
      <c r="AK7470" s="127"/>
      <c r="AL7470" s="128"/>
      <c r="AM7470" s="21" t="s">
        <v>22432</v>
      </c>
      <c r="AN7470" s="133">
        <v>46144</v>
      </c>
      <c r="AO7470" s="134"/>
      <c r="AP7470" s="135">
        <v>1299</v>
      </c>
      <c r="AQ7470" s="136"/>
      <c r="AR7470" s="118">
        <v>1765000</v>
      </c>
      <c r="AS7470" s="119"/>
      <c r="AT7470" s="118">
        <f t="shared" ref="AT7470" si="10856">AR7470*0.1</f>
        <v>176500</v>
      </c>
      <c r="AU7470" s="119"/>
      <c r="AV7470" s="118">
        <v>10120</v>
      </c>
      <c r="AW7470" s="119"/>
      <c r="AX7470" s="118">
        <f t="shared" ref="AX7470" si="10857">SUM(AR7470:AW7470)</f>
        <v>1951620</v>
      </c>
      <c r="AY7470" s="119"/>
      <c r="AZ7470" s="137">
        <v>46154</v>
      </c>
    </row>
    <row r="7471" spans="1:52" ht="17.100000000000001" customHeight="1" thickBot="1">
      <c r="A7471" s="110"/>
      <c r="B7471" s="27" t="s">
        <v>2794</v>
      </c>
      <c r="C7471" s="27">
        <v>1391</v>
      </c>
      <c r="D7471" s="14" t="s">
        <v>275</v>
      </c>
      <c r="E7471" s="112"/>
      <c r="F7471" s="139" t="s">
        <v>21130</v>
      </c>
      <c r="G7471" s="140"/>
      <c r="H7471" s="141"/>
      <c r="I7471" s="26">
        <v>38503</v>
      </c>
      <c r="J7471" s="117"/>
      <c r="K7471" s="120"/>
      <c r="L7471" s="121"/>
      <c r="M7471" s="120"/>
      <c r="N7471" s="121"/>
      <c r="O7471" s="120"/>
      <c r="P7471" s="121"/>
      <c r="Q7471" s="120"/>
      <c r="R7471" s="121"/>
      <c r="S7471" s="120"/>
      <c r="T7471" s="121"/>
      <c r="U7471" s="120"/>
      <c r="V7471" s="123"/>
      <c r="W7471" s="125"/>
      <c r="X7471" s="142" t="s">
        <v>21912</v>
      </c>
      <c r="Y7471" s="143"/>
      <c r="Z7471" s="143"/>
      <c r="AA7471" s="143"/>
      <c r="AB7471" s="144"/>
      <c r="AC7471" s="16" t="s">
        <v>21</v>
      </c>
      <c r="AD7471" s="17" t="s">
        <v>1642</v>
      </c>
      <c r="AE7471" s="145" t="s">
        <v>4134</v>
      </c>
      <c r="AF7471" s="146"/>
      <c r="AG7471" s="146"/>
      <c r="AH7471" s="146"/>
      <c r="AI7471" s="147"/>
      <c r="AJ7471" s="148"/>
      <c r="AK7471" s="143"/>
      <c r="AL7471" s="144"/>
      <c r="AM7471" s="22"/>
      <c r="AN7471" s="149" t="s">
        <v>25047</v>
      </c>
      <c r="AO7471" s="144"/>
      <c r="AP7471" s="148">
        <v>13199</v>
      </c>
      <c r="AQ7471" s="144"/>
      <c r="AR7471" s="120"/>
      <c r="AS7471" s="121"/>
      <c r="AT7471" s="120"/>
      <c r="AU7471" s="121"/>
      <c r="AV7471" s="120"/>
      <c r="AW7471" s="121"/>
      <c r="AX7471" s="120"/>
      <c r="AY7471" s="121"/>
      <c r="AZ7471" s="138"/>
    </row>
    <row r="7472" spans="1:52" ht="17.100000000000001" customHeight="1" thickTop="1">
      <c r="A7472" s="109" t="s">
        <v>21119</v>
      </c>
      <c r="B7472" s="28">
        <v>46106</v>
      </c>
      <c r="C7472" s="25">
        <v>1010</v>
      </c>
      <c r="D7472" s="13" t="s">
        <v>1586</v>
      </c>
      <c r="E7472" s="111"/>
      <c r="F7472" s="113" t="s">
        <v>16310</v>
      </c>
      <c r="G7472" s="114"/>
      <c r="H7472" s="115"/>
      <c r="I7472" s="24"/>
      <c r="J7472" s="116">
        <v>4</v>
      </c>
      <c r="K7472" s="118">
        <v>505000</v>
      </c>
      <c r="L7472" s="119"/>
      <c r="M7472" s="118">
        <f t="shared" ref="M7472" si="10858">K7472*0.1</f>
        <v>50500</v>
      </c>
      <c r="N7472" s="119"/>
      <c r="O7472" s="118">
        <v>0</v>
      </c>
      <c r="P7472" s="119"/>
      <c r="Q7472" s="118">
        <v>8850</v>
      </c>
      <c r="R7472" s="119"/>
      <c r="S7472" s="118">
        <v>11000</v>
      </c>
      <c r="T7472" s="119"/>
      <c r="U7472" s="118">
        <f t="shared" ref="U7472" si="10859">SUM(K7472:T7473)</f>
        <v>575350</v>
      </c>
      <c r="V7472" s="122"/>
      <c r="W7472" s="124"/>
      <c r="X7472" s="126" t="s">
        <v>21924</v>
      </c>
      <c r="Y7472" s="127"/>
      <c r="Z7472" s="127"/>
      <c r="AA7472" s="127"/>
      <c r="AB7472" s="128"/>
      <c r="AC7472" s="15" t="s">
        <v>20</v>
      </c>
      <c r="AD7472" s="129" t="s">
        <v>3868</v>
      </c>
      <c r="AE7472" s="130"/>
      <c r="AF7472" s="130"/>
      <c r="AG7472" s="130"/>
      <c r="AH7472" s="130"/>
      <c r="AI7472" s="131"/>
      <c r="AJ7472" s="132"/>
      <c r="AK7472" s="127"/>
      <c r="AL7472" s="128"/>
      <c r="AM7472" s="21"/>
      <c r="AN7472" s="133">
        <v>46116</v>
      </c>
      <c r="AO7472" s="134"/>
      <c r="AP7472" s="135">
        <v>1295</v>
      </c>
      <c r="AQ7472" s="136"/>
      <c r="AR7472" s="118">
        <v>580000</v>
      </c>
      <c r="AS7472" s="119"/>
      <c r="AT7472" s="118">
        <f t="shared" ref="AT7472" si="10860">AR7472*0.1</f>
        <v>58000</v>
      </c>
      <c r="AU7472" s="119"/>
      <c r="AV7472" s="118">
        <v>8850</v>
      </c>
      <c r="AW7472" s="119"/>
      <c r="AX7472" s="118">
        <f t="shared" ref="AX7472" si="10861">SUM(AR7472:AW7472)</f>
        <v>646850</v>
      </c>
      <c r="AY7472" s="119"/>
      <c r="AZ7472" s="137">
        <v>46119</v>
      </c>
    </row>
    <row r="7473" spans="1:52" ht="17.100000000000001" customHeight="1" thickBot="1">
      <c r="A7473" s="110"/>
      <c r="B7473" s="27" t="s">
        <v>2794</v>
      </c>
      <c r="C7473" s="27">
        <v>2109</v>
      </c>
      <c r="D7473" s="14" t="s">
        <v>275</v>
      </c>
      <c r="E7473" s="112"/>
      <c r="F7473" s="139" t="s">
        <v>21131</v>
      </c>
      <c r="G7473" s="140"/>
      <c r="H7473" s="141"/>
      <c r="I7473" s="26">
        <v>31899</v>
      </c>
      <c r="J7473" s="117"/>
      <c r="K7473" s="120"/>
      <c r="L7473" s="121"/>
      <c r="M7473" s="120"/>
      <c r="N7473" s="121"/>
      <c r="O7473" s="120"/>
      <c r="P7473" s="121"/>
      <c r="Q7473" s="120"/>
      <c r="R7473" s="121"/>
      <c r="S7473" s="120"/>
      <c r="T7473" s="121"/>
      <c r="U7473" s="120"/>
      <c r="V7473" s="123"/>
      <c r="W7473" s="125"/>
      <c r="X7473" s="142" t="s">
        <v>21925</v>
      </c>
      <c r="Y7473" s="143"/>
      <c r="Z7473" s="143"/>
      <c r="AA7473" s="143"/>
      <c r="AB7473" s="144"/>
      <c r="AC7473" s="16" t="s">
        <v>21</v>
      </c>
      <c r="AD7473" s="17" t="s">
        <v>1642</v>
      </c>
      <c r="AE7473" s="145" t="s">
        <v>4570</v>
      </c>
      <c r="AF7473" s="146"/>
      <c r="AG7473" s="146"/>
      <c r="AH7473" s="146"/>
      <c r="AI7473" s="147"/>
      <c r="AJ7473" s="148"/>
      <c r="AK7473" s="143"/>
      <c r="AL7473" s="144"/>
      <c r="AM7473" s="22"/>
      <c r="AN7473" s="149" t="s">
        <v>2511</v>
      </c>
      <c r="AO7473" s="144"/>
      <c r="AP7473" s="148">
        <v>60463</v>
      </c>
      <c r="AQ7473" s="144"/>
      <c r="AR7473" s="120"/>
      <c r="AS7473" s="121"/>
      <c r="AT7473" s="120"/>
      <c r="AU7473" s="121"/>
      <c r="AV7473" s="120"/>
      <c r="AW7473" s="121"/>
      <c r="AX7473" s="120"/>
      <c r="AY7473" s="121"/>
      <c r="AZ7473" s="138"/>
    </row>
    <row r="7474" spans="1:52" ht="17.100000000000001" customHeight="1" thickTop="1">
      <c r="A7474" s="109" t="s">
        <v>21120</v>
      </c>
      <c r="B7474" s="28">
        <v>46106</v>
      </c>
      <c r="C7474" s="25">
        <v>1010</v>
      </c>
      <c r="D7474" s="13" t="s">
        <v>1971</v>
      </c>
      <c r="E7474" s="111"/>
      <c r="F7474" s="113" t="s">
        <v>21132</v>
      </c>
      <c r="G7474" s="114"/>
      <c r="H7474" s="115"/>
      <c r="I7474" s="24"/>
      <c r="J7474" s="116">
        <v>4</v>
      </c>
      <c r="K7474" s="118">
        <v>645000</v>
      </c>
      <c r="L7474" s="119"/>
      <c r="M7474" s="118">
        <f t="shared" ref="M7474" si="10862">K7474*0.1</f>
        <v>64500</v>
      </c>
      <c r="N7474" s="119"/>
      <c r="O7474" s="118">
        <v>0</v>
      </c>
      <c r="P7474" s="119"/>
      <c r="Q7474" s="118">
        <v>6270</v>
      </c>
      <c r="R7474" s="119"/>
      <c r="S7474" s="118">
        <v>12100</v>
      </c>
      <c r="T7474" s="119"/>
      <c r="U7474" s="118">
        <f t="shared" ref="U7474" si="10863">SUM(K7474:T7475)</f>
        <v>727870</v>
      </c>
      <c r="V7474" s="122"/>
      <c r="W7474" s="124"/>
      <c r="X7474" s="126" t="s">
        <v>21811</v>
      </c>
      <c r="Y7474" s="127"/>
      <c r="Z7474" s="127"/>
      <c r="AA7474" s="127"/>
      <c r="AB7474" s="128"/>
      <c r="AC7474" s="15" t="s">
        <v>20</v>
      </c>
      <c r="AD7474" s="129" t="s">
        <v>4435</v>
      </c>
      <c r="AE7474" s="130"/>
      <c r="AF7474" s="130"/>
      <c r="AG7474" s="130"/>
      <c r="AH7474" s="130"/>
      <c r="AI7474" s="131"/>
      <c r="AJ7474" s="132"/>
      <c r="AK7474" s="127"/>
      <c r="AL7474" s="128"/>
      <c r="AM7474" s="21"/>
      <c r="AN7474" s="133">
        <v>46109</v>
      </c>
      <c r="AO7474" s="134"/>
      <c r="AP7474" s="135">
        <v>1294</v>
      </c>
      <c r="AQ7474" s="136"/>
      <c r="AR7474" s="118">
        <v>710000</v>
      </c>
      <c r="AS7474" s="119"/>
      <c r="AT7474" s="118">
        <f t="shared" ref="AT7474" si="10864">AR7474*0.1</f>
        <v>71000</v>
      </c>
      <c r="AU7474" s="119"/>
      <c r="AV7474" s="118">
        <v>6270</v>
      </c>
      <c r="AW7474" s="119"/>
      <c r="AX7474" s="118">
        <f t="shared" ref="AX7474" si="10865">SUM(AR7474:AW7474)</f>
        <v>787270</v>
      </c>
      <c r="AY7474" s="119"/>
      <c r="AZ7474" s="137">
        <v>46114</v>
      </c>
    </row>
    <row r="7475" spans="1:52" ht="17.100000000000001" customHeight="1" thickBot="1">
      <c r="A7475" s="110"/>
      <c r="B7475" s="27" t="s">
        <v>2794</v>
      </c>
      <c r="C7475" s="27">
        <v>8029</v>
      </c>
      <c r="D7475" s="14" t="s">
        <v>1720</v>
      </c>
      <c r="E7475" s="112"/>
      <c r="F7475" s="139" t="s">
        <v>21133</v>
      </c>
      <c r="G7475" s="140"/>
      <c r="H7475" s="141"/>
      <c r="I7475" s="26">
        <v>13097</v>
      </c>
      <c r="J7475" s="117"/>
      <c r="K7475" s="120"/>
      <c r="L7475" s="121"/>
      <c r="M7475" s="120"/>
      <c r="N7475" s="121"/>
      <c r="O7475" s="120"/>
      <c r="P7475" s="121"/>
      <c r="Q7475" s="120"/>
      <c r="R7475" s="121"/>
      <c r="S7475" s="120"/>
      <c r="T7475" s="121"/>
      <c r="U7475" s="120"/>
      <c r="V7475" s="123"/>
      <c r="W7475" s="125"/>
      <c r="X7475" s="142" t="s">
        <v>21812</v>
      </c>
      <c r="Y7475" s="143"/>
      <c r="Z7475" s="143"/>
      <c r="AA7475" s="143"/>
      <c r="AB7475" s="144"/>
      <c r="AC7475" s="16" t="s">
        <v>21</v>
      </c>
      <c r="AD7475" s="17" t="s">
        <v>3980</v>
      </c>
      <c r="AE7475" s="145" t="s">
        <v>1633</v>
      </c>
      <c r="AF7475" s="146"/>
      <c r="AG7475" s="146"/>
      <c r="AH7475" s="146"/>
      <c r="AI7475" s="147"/>
      <c r="AJ7475" s="148"/>
      <c r="AK7475" s="143"/>
      <c r="AL7475" s="144"/>
      <c r="AM7475" s="22"/>
      <c r="AN7475" s="149" t="s">
        <v>21802</v>
      </c>
      <c r="AO7475" s="144"/>
      <c r="AP7475" s="148">
        <v>60496</v>
      </c>
      <c r="AQ7475" s="144"/>
      <c r="AR7475" s="120"/>
      <c r="AS7475" s="121"/>
      <c r="AT7475" s="120"/>
      <c r="AU7475" s="121"/>
      <c r="AV7475" s="120"/>
      <c r="AW7475" s="121"/>
      <c r="AX7475" s="120"/>
      <c r="AY7475" s="121"/>
      <c r="AZ7475" s="138"/>
    </row>
    <row r="7476" spans="1:52" ht="17.100000000000001" customHeight="1" thickTop="1">
      <c r="A7476" s="109" t="s">
        <v>21121</v>
      </c>
      <c r="B7476" s="28">
        <v>46106</v>
      </c>
      <c r="C7476" s="25">
        <v>1010</v>
      </c>
      <c r="D7476" s="13" t="s">
        <v>2066</v>
      </c>
      <c r="E7476" s="111"/>
      <c r="F7476" s="113" t="s">
        <v>15164</v>
      </c>
      <c r="G7476" s="114"/>
      <c r="H7476" s="115"/>
      <c r="I7476" s="24" t="s">
        <v>20898</v>
      </c>
      <c r="J7476" s="150" t="s">
        <v>1715</v>
      </c>
      <c r="K7476" s="118">
        <v>2138000</v>
      </c>
      <c r="L7476" s="119"/>
      <c r="M7476" s="118">
        <f t="shared" ref="M7476" si="10866">K7476*0.1</f>
        <v>213800</v>
      </c>
      <c r="N7476" s="119"/>
      <c r="O7476" s="118">
        <v>36000</v>
      </c>
      <c r="P7476" s="119"/>
      <c r="Q7476" s="118">
        <v>12250</v>
      </c>
      <c r="R7476" s="119"/>
      <c r="S7476" s="118">
        <v>9900</v>
      </c>
      <c r="T7476" s="119"/>
      <c r="U7476" s="118">
        <f t="shared" ref="U7476" si="10867">SUM(K7476:T7477)</f>
        <v>2409950</v>
      </c>
      <c r="V7476" s="122"/>
      <c r="W7476" s="124"/>
      <c r="X7476" s="126" t="s">
        <v>21142</v>
      </c>
      <c r="Y7476" s="127"/>
      <c r="Z7476" s="127"/>
      <c r="AA7476" s="127"/>
      <c r="AB7476" s="128"/>
      <c r="AC7476" s="15" t="s">
        <v>20</v>
      </c>
      <c r="AD7476" s="129" t="s">
        <v>1670</v>
      </c>
      <c r="AE7476" s="130"/>
      <c r="AF7476" s="130"/>
      <c r="AG7476" s="130"/>
      <c r="AH7476" s="130"/>
      <c r="AI7476" s="131"/>
      <c r="AJ7476" s="132"/>
      <c r="AK7476" s="127"/>
      <c r="AL7476" s="128"/>
      <c r="AM7476" s="21"/>
      <c r="AN7476" s="133">
        <v>46116</v>
      </c>
      <c r="AO7476" s="134"/>
      <c r="AP7476" s="135">
        <v>1295</v>
      </c>
      <c r="AQ7476" s="136"/>
      <c r="AR7476" s="118">
        <v>2300000</v>
      </c>
      <c r="AS7476" s="119"/>
      <c r="AT7476" s="118">
        <f t="shared" ref="AT7476" si="10868">AR7476*0.1</f>
        <v>230000</v>
      </c>
      <c r="AU7476" s="119"/>
      <c r="AV7476" s="118">
        <v>12250</v>
      </c>
      <c r="AW7476" s="119"/>
      <c r="AX7476" s="118">
        <f t="shared" ref="AX7476" si="10869">SUM(AR7476:AW7476)</f>
        <v>2542250</v>
      </c>
      <c r="AY7476" s="119"/>
      <c r="AZ7476" s="137">
        <v>46119</v>
      </c>
    </row>
    <row r="7477" spans="1:52" ht="17.100000000000001" customHeight="1" thickBot="1">
      <c r="A7477" s="110"/>
      <c r="B7477" s="27" t="s">
        <v>2794</v>
      </c>
      <c r="C7477" s="27">
        <v>10387</v>
      </c>
      <c r="D7477" s="14" t="s">
        <v>275</v>
      </c>
      <c r="E7477" s="112"/>
      <c r="F7477" s="139" t="s">
        <v>21134</v>
      </c>
      <c r="G7477" s="140"/>
      <c r="H7477" s="141"/>
      <c r="I7477" s="26">
        <v>27990</v>
      </c>
      <c r="J7477" s="117"/>
      <c r="K7477" s="120"/>
      <c r="L7477" s="121"/>
      <c r="M7477" s="120"/>
      <c r="N7477" s="121"/>
      <c r="O7477" s="120"/>
      <c r="P7477" s="121"/>
      <c r="Q7477" s="120"/>
      <c r="R7477" s="121"/>
      <c r="S7477" s="120"/>
      <c r="T7477" s="121"/>
      <c r="U7477" s="120"/>
      <c r="V7477" s="123"/>
      <c r="W7477" s="125"/>
      <c r="X7477" s="142" t="s">
        <v>21923</v>
      </c>
      <c r="Y7477" s="143"/>
      <c r="Z7477" s="143"/>
      <c r="AA7477" s="143"/>
      <c r="AB7477" s="144"/>
      <c r="AC7477" s="16" t="s">
        <v>21</v>
      </c>
      <c r="AD7477" s="17" t="s">
        <v>1642</v>
      </c>
      <c r="AE7477" s="145" t="s">
        <v>1670</v>
      </c>
      <c r="AF7477" s="146"/>
      <c r="AG7477" s="146"/>
      <c r="AH7477" s="146"/>
      <c r="AI7477" s="147"/>
      <c r="AJ7477" s="148"/>
      <c r="AK7477" s="143"/>
      <c r="AL7477" s="144"/>
      <c r="AM7477" s="22"/>
      <c r="AN7477" s="149" t="s">
        <v>2511</v>
      </c>
      <c r="AO7477" s="144"/>
      <c r="AP7477" s="148">
        <v>50082</v>
      </c>
      <c r="AQ7477" s="144"/>
      <c r="AR7477" s="120"/>
      <c r="AS7477" s="121"/>
      <c r="AT7477" s="120"/>
      <c r="AU7477" s="121"/>
      <c r="AV7477" s="120"/>
      <c r="AW7477" s="121"/>
      <c r="AX7477" s="120"/>
      <c r="AY7477" s="121"/>
      <c r="AZ7477" s="138"/>
    </row>
    <row r="7478" spans="1:52" ht="17.100000000000001" customHeight="1" thickTop="1">
      <c r="A7478" s="109" t="s">
        <v>21144</v>
      </c>
      <c r="B7478" s="28">
        <v>46106</v>
      </c>
      <c r="C7478" s="25"/>
      <c r="D7478" s="13" t="s">
        <v>1537</v>
      </c>
      <c r="E7478" s="111"/>
      <c r="F7478" s="113" t="s">
        <v>21122</v>
      </c>
      <c r="G7478" s="114"/>
      <c r="H7478" s="115"/>
      <c r="I7478" s="24" t="s">
        <v>21155</v>
      </c>
      <c r="J7478" s="116">
        <v>4.5</v>
      </c>
      <c r="K7478" s="118">
        <v>635000</v>
      </c>
      <c r="L7478" s="119"/>
      <c r="M7478" s="118">
        <f t="shared" ref="M7478" si="10870">K7478*0.1</f>
        <v>63500</v>
      </c>
      <c r="N7478" s="119"/>
      <c r="O7478" s="118">
        <v>15000</v>
      </c>
      <c r="P7478" s="119"/>
      <c r="Q7478" s="118">
        <v>7950</v>
      </c>
      <c r="R7478" s="119"/>
      <c r="S7478" s="118">
        <v>16500</v>
      </c>
      <c r="T7478" s="119"/>
      <c r="U7478" s="118">
        <f t="shared" ref="U7478" si="10871">SUM(K7478:T7479)</f>
        <v>737950</v>
      </c>
      <c r="V7478" s="122"/>
      <c r="W7478" s="124"/>
      <c r="X7478" s="126" t="s">
        <v>21351</v>
      </c>
      <c r="Y7478" s="127"/>
      <c r="Z7478" s="127"/>
      <c r="AA7478" s="127"/>
      <c r="AB7478" s="128"/>
      <c r="AC7478" s="15" t="s">
        <v>20</v>
      </c>
      <c r="AD7478" s="129"/>
      <c r="AE7478" s="130"/>
      <c r="AF7478" s="130"/>
      <c r="AG7478" s="130"/>
      <c r="AH7478" s="130"/>
      <c r="AI7478" s="131"/>
      <c r="AJ7478" s="132"/>
      <c r="AK7478" s="127"/>
      <c r="AL7478" s="128"/>
      <c r="AM7478" s="21" t="s">
        <v>22445</v>
      </c>
      <c r="AN7478" s="133">
        <v>46120</v>
      </c>
      <c r="AO7478" s="134"/>
      <c r="AP7478" s="135">
        <v>1012</v>
      </c>
      <c r="AQ7478" s="136"/>
      <c r="AR7478" s="118">
        <v>675000</v>
      </c>
      <c r="AS7478" s="119"/>
      <c r="AT7478" s="118">
        <f t="shared" ref="AT7478" si="10872">AR7478*0.1</f>
        <v>67500</v>
      </c>
      <c r="AU7478" s="119"/>
      <c r="AV7478" s="118">
        <v>7950</v>
      </c>
      <c r="AW7478" s="119"/>
      <c r="AX7478" s="118">
        <f t="shared" ref="AX7478" si="10873">SUM(AR7478:AW7478)</f>
        <v>750450</v>
      </c>
      <c r="AY7478" s="119"/>
      <c r="AZ7478" s="137">
        <v>46125</v>
      </c>
    </row>
    <row r="7479" spans="1:52" ht="17.100000000000001" customHeight="1" thickBot="1">
      <c r="A7479" s="110"/>
      <c r="B7479" s="27" t="s">
        <v>3422</v>
      </c>
      <c r="C7479" s="27">
        <v>20273</v>
      </c>
      <c r="D7479" s="14" t="s">
        <v>1812</v>
      </c>
      <c r="E7479" s="112"/>
      <c r="F7479" s="139" t="s">
        <v>21146</v>
      </c>
      <c r="G7479" s="140"/>
      <c r="H7479" s="141"/>
      <c r="I7479" s="26">
        <v>50966</v>
      </c>
      <c r="J7479" s="117"/>
      <c r="K7479" s="120"/>
      <c r="L7479" s="121"/>
      <c r="M7479" s="120"/>
      <c r="N7479" s="121"/>
      <c r="O7479" s="120"/>
      <c r="P7479" s="121"/>
      <c r="Q7479" s="120"/>
      <c r="R7479" s="121"/>
      <c r="S7479" s="120"/>
      <c r="T7479" s="121"/>
      <c r="U7479" s="120"/>
      <c r="V7479" s="123"/>
      <c r="W7479" s="125"/>
      <c r="X7479" s="142" t="s">
        <v>21352</v>
      </c>
      <c r="Y7479" s="143"/>
      <c r="Z7479" s="143"/>
      <c r="AA7479" s="143"/>
      <c r="AB7479" s="144"/>
      <c r="AC7479" s="16" t="s">
        <v>21</v>
      </c>
      <c r="AD7479" s="17" t="s">
        <v>21317</v>
      </c>
      <c r="AE7479" s="145" t="s">
        <v>21353</v>
      </c>
      <c r="AF7479" s="146"/>
      <c r="AG7479" s="146"/>
      <c r="AH7479" s="146"/>
      <c r="AI7479" s="147"/>
      <c r="AJ7479" s="148"/>
      <c r="AK7479" s="143"/>
      <c r="AL7479" s="144"/>
      <c r="AM7479" s="22"/>
      <c r="AN7479" s="149" t="s">
        <v>2794</v>
      </c>
      <c r="AO7479" s="144"/>
      <c r="AP7479" s="148">
        <v>2043</v>
      </c>
      <c r="AQ7479" s="144"/>
      <c r="AR7479" s="120"/>
      <c r="AS7479" s="121"/>
      <c r="AT7479" s="120"/>
      <c r="AU7479" s="121"/>
      <c r="AV7479" s="120"/>
      <c r="AW7479" s="121"/>
      <c r="AX7479" s="120"/>
      <c r="AY7479" s="121"/>
      <c r="AZ7479" s="138"/>
    </row>
    <row r="7480" spans="1:52" ht="17.100000000000001" customHeight="1" thickTop="1">
      <c r="A7480" s="109" t="s">
        <v>21145</v>
      </c>
      <c r="B7480" s="28">
        <v>46106</v>
      </c>
      <c r="C7480" s="25"/>
      <c r="D7480" s="13" t="s">
        <v>1929</v>
      </c>
      <c r="E7480" s="111"/>
      <c r="F7480" s="113" t="s">
        <v>17163</v>
      </c>
      <c r="G7480" s="114"/>
      <c r="H7480" s="115"/>
      <c r="I7480" s="24" t="s">
        <v>2064</v>
      </c>
      <c r="J7480" s="116">
        <v>4</v>
      </c>
      <c r="K7480" s="118">
        <v>1125000</v>
      </c>
      <c r="L7480" s="119"/>
      <c r="M7480" s="118">
        <f t="shared" ref="M7480" si="10874">K7480*0.1</f>
        <v>112500</v>
      </c>
      <c r="N7480" s="119"/>
      <c r="O7480" s="118">
        <v>39500</v>
      </c>
      <c r="P7480" s="119"/>
      <c r="Q7480" s="118">
        <v>12030</v>
      </c>
      <c r="R7480" s="119"/>
      <c r="S7480" s="118">
        <v>16500</v>
      </c>
      <c r="T7480" s="119"/>
      <c r="U7480" s="118">
        <f t="shared" ref="U7480" si="10875">SUM(K7480:T7481)</f>
        <v>1305530</v>
      </c>
      <c r="V7480" s="122"/>
      <c r="W7480" s="124"/>
      <c r="X7480" s="126" t="s">
        <v>21280</v>
      </c>
      <c r="Y7480" s="127"/>
      <c r="Z7480" s="127"/>
      <c r="AA7480" s="127"/>
      <c r="AB7480" s="128"/>
      <c r="AC7480" s="15" t="s">
        <v>20</v>
      </c>
      <c r="AD7480" s="129"/>
      <c r="AE7480" s="130"/>
      <c r="AF7480" s="130"/>
      <c r="AG7480" s="130"/>
      <c r="AH7480" s="130"/>
      <c r="AI7480" s="131"/>
      <c r="AJ7480" s="132"/>
      <c r="AK7480" s="127"/>
      <c r="AL7480" s="128"/>
      <c r="AM7480" s="21"/>
      <c r="AN7480" s="133">
        <v>46120</v>
      </c>
      <c r="AO7480" s="134"/>
      <c r="AP7480" s="135">
        <v>1012</v>
      </c>
      <c r="AQ7480" s="136"/>
      <c r="AR7480" s="118">
        <v>1140000</v>
      </c>
      <c r="AS7480" s="119"/>
      <c r="AT7480" s="118">
        <f t="shared" ref="AT7480" si="10876">AR7480*0.1</f>
        <v>114000</v>
      </c>
      <c r="AU7480" s="119"/>
      <c r="AV7480" s="118">
        <v>12030</v>
      </c>
      <c r="AW7480" s="119"/>
      <c r="AX7480" s="118">
        <f t="shared" ref="AX7480" si="10877">SUM(AR7480:AW7480)</f>
        <v>1266030</v>
      </c>
      <c r="AY7480" s="119"/>
      <c r="AZ7480" s="137">
        <v>46126</v>
      </c>
    </row>
    <row r="7481" spans="1:52" ht="17.100000000000001" customHeight="1" thickBot="1">
      <c r="A7481" s="110"/>
      <c r="B7481" s="27" t="s">
        <v>3422</v>
      </c>
      <c r="C7481" s="27">
        <v>60595</v>
      </c>
      <c r="D7481" s="14" t="s">
        <v>2601</v>
      </c>
      <c r="E7481" s="112"/>
      <c r="F7481" s="139" t="s">
        <v>21147</v>
      </c>
      <c r="G7481" s="140"/>
      <c r="H7481" s="141"/>
      <c r="I7481" s="26">
        <v>52373</v>
      </c>
      <c r="J7481" s="117"/>
      <c r="K7481" s="120"/>
      <c r="L7481" s="121"/>
      <c r="M7481" s="120"/>
      <c r="N7481" s="121"/>
      <c r="O7481" s="120"/>
      <c r="P7481" s="121"/>
      <c r="Q7481" s="120"/>
      <c r="R7481" s="121"/>
      <c r="S7481" s="120"/>
      <c r="T7481" s="121"/>
      <c r="U7481" s="120"/>
      <c r="V7481" s="123"/>
      <c r="W7481" s="125"/>
      <c r="X7481" s="142" t="s">
        <v>21281</v>
      </c>
      <c r="Y7481" s="143"/>
      <c r="Z7481" s="143"/>
      <c r="AA7481" s="143"/>
      <c r="AB7481" s="144"/>
      <c r="AC7481" s="16" t="s">
        <v>21</v>
      </c>
      <c r="AD7481" s="17" t="s">
        <v>21249</v>
      </c>
      <c r="AE7481" s="145" t="s">
        <v>21366</v>
      </c>
      <c r="AF7481" s="146"/>
      <c r="AG7481" s="146"/>
      <c r="AH7481" s="146"/>
      <c r="AI7481" s="147"/>
      <c r="AJ7481" s="148"/>
      <c r="AK7481" s="143"/>
      <c r="AL7481" s="144"/>
      <c r="AM7481" s="22"/>
      <c r="AN7481" s="149" t="s">
        <v>2794</v>
      </c>
      <c r="AO7481" s="144"/>
      <c r="AP7481" s="148">
        <v>5166</v>
      </c>
      <c r="AQ7481" s="144"/>
      <c r="AR7481" s="120"/>
      <c r="AS7481" s="121"/>
      <c r="AT7481" s="120"/>
      <c r="AU7481" s="121"/>
      <c r="AV7481" s="120"/>
      <c r="AW7481" s="121"/>
      <c r="AX7481" s="120"/>
      <c r="AY7481" s="121"/>
      <c r="AZ7481" s="138"/>
    </row>
    <row r="7482" spans="1:52" ht="17.100000000000001" customHeight="1" thickTop="1">
      <c r="A7482" s="109" t="s">
        <v>21148</v>
      </c>
      <c r="B7482" s="28">
        <v>46106</v>
      </c>
      <c r="C7482" s="25">
        <v>1831</v>
      </c>
      <c r="D7482" s="13" t="s">
        <v>1695</v>
      </c>
      <c r="E7482" s="111"/>
      <c r="F7482" s="113" t="s">
        <v>21150</v>
      </c>
      <c r="G7482" s="114"/>
      <c r="H7482" s="115"/>
      <c r="I7482" s="24" t="s">
        <v>3931</v>
      </c>
      <c r="J7482" s="116">
        <v>4</v>
      </c>
      <c r="K7482" s="118">
        <v>1090000</v>
      </c>
      <c r="L7482" s="119"/>
      <c r="M7482" s="118">
        <f t="shared" ref="M7482" si="10878">K7482*0.1</f>
        <v>109000</v>
      </c>
      <c r="N7482" s="119"/>
      <c r="O7482" s="118">
        <v>39500</v>
      </c>
      <c r="P7482" s="119"/>
      <c r="Q7482" s="118">
        <v>11480</v>
      </c>
      <c r="R7482" s="119"/>
      <c r="S7482" s="118">
        <v>18150</v>
      </c>
      <c r="T7482" s="119"/>
      <c r="U7482" s="118">
        <f t="shared" ref="U7482" si="10879">SUM(K7482:T7483)</f>
        <v>1268130</v>
      </c>
      <c r="V7482" s="122"/>
      <c r="W7482" s="124"/>
      <c r="X7482" s="126" t="s">
        <v>21152</v>
      </c>
      <c r="Y7482" s="127"/>
      <c r="Z7482" s="127"/>
      <c r="AA7482" s="127"/>
      <c r="AB7482" s="128"/>
      <c r="AC7482" s="15" t="s">
        <v>20</v>
      </c>
      <c r="AD7482" s="129" t="s">
        <v>21153</v>
      </c>
      <c r="AE7482" s="130"/>
      <c r="AF7482" s="130"/>
      <c r="AG7482" s="130"/>
      <c r="AH7482" s="130"/>
      <c r="AI7482" s="131"/>
      <c r="AJ7482" s="132"/>
      <c r="AK7482" s="127"/>
      <c r="AL7482" s="128"/>
      <c r="AM7482" s="21"/>
      <c r="AN7482" s="133">
        <v>46109</v>
      </c>
      <c r="AO7482" s="134"/>
      <c r="AP7482" s="135">
        <v>1294</v>
      </c>
      <c r="AQ7482" s="136"/>
      <c r="AR7482" s="118">
        <v>1265000</v>
      </c>
      <c r="AS7482" s="119"/>
      <c r="AT7482" s="118">
        <f t="shared" ref="AT7482" si="10880">AR7482*0.1</f>
        <v>126500</v>
      </c>
      <c r="AU7482" s="119"/>
      <c r="AV7482" s="118">
        <v>11480</v>
      </c>
      <c r="AW7482" s="119"/>
      <c r="AX7482" s="118">
        <f t="shared" ref="AX7482" si="10881">SUM(AR7482:AW7482)</f>
        <v>1402980</v>
      </c>
      <c r="AY7482" s="119"/>
      <c r="AZ7482" s="137">
        <v>46118</v>
      </c>
    </row>
    <row r="7483" spans="1:52" ht="17.100000000000001" customHeight="1" thickBot="1">
      <c r="A7483" s="110"/>
      <c r="B7483" s="27" t="s">
        <v>2559</v>
      </c>
      <c r="C7483" s="27">
        <v>30124</v>
      </c>
      <c r="D7483" s="14" t="s">
        <v>2601</v>
      </c>
      <c r="E7483" s="112"/>
      <c r="F7483" s="139" t="s">
        <v>21151</v>
      </c>
      <c r="G7483" s="140"/>
      <c r="H7483" s="141"/>
      <c r="I7483" s="26">
        <v>105240</v>
      </c>
      <c r="J7483" s="117"/>
      <c r="K7483" s="120"/>
      <c r="L7483" s="121"/>
      <c r="M7483" s="120"/>
      <c r="N7483" s="121"/>
      <c r="O7483" s="120"/>
      <c r="P7483" s="121"/>
      <c r="Q7483" s="120"/>
      <c r="R7483" s="121"/>
      <c r="S7483" s="120"/>
      <c r="T7483" s="121"/>
      <c r="U7483" s="120"/>
      <c r="V7483" s="123"/>
      <c r="W7483" s="125"/>
      <c r="X7483" s="142" t="s">
        <v>21836</v>
      </c>
      <c r="Y7483" s="143"/>
      <c r="Z7483" s="143"/>
      <c r="AA7483" s="143"/>
      <c r="AB7483" s="144"/>
      <c r="AC7483" s="16" t="s">
        <v>21</v>
      </c>
      <c r="AD7483" s="17" t="s">
        <v>1642</v>
      </c>
      <c r="AE7483" s="145" t="s">
        <v>21837</v>
      </c>
      <c r="AF7483" s="146"/>
      <c r="AG7483" s="146"/>
      <c r="AH7483" s="146"/>
      <c r="AI7483" s="147"/>
      <c r="AJ7483" s="148"/>
      <c r="AK7483" s="143"/>
      <c r="AL7483" s="144"/>
      <c r="AM7483" s="22"/>
      <c r="AN7483" s="149" t="s">
        <v>21802</v>
      </c>
      <c r="AO7483" s="144"/>
      <c r="AP7483" s="148">
        <v>139</v>
      </c>
      <c r="AQ7483" s="144"/>
      <c r="AR7483" s="120"/>
      <c r="AS7483" s="121"/>
      <c r="AT7483" s="120"/>
      <c r="AU7483" s="121"/>
      <c r="AV7483" s="120"/>
      <c r="AW7483" s="121"/>
      <c r="AX7483" s="120"/>
      <c r="AY7483" s="121"/>
      <c r="AZ7483" s="138"/>
    </row>
    <row r="7484" spans="1:52" ht="17.100000000000001" customHeight="1" thickTop="1">
      <c r="A7484" s="109" t="s">
        <v>21149</v>
      </c>
      <c r="B7484" s="28">
        <v>46106</v>
      </c>
      <c r="C7484" s="25">
        <v>1831</v>
      </c>
      <c r="D7484" s="13" t="s">
        <v>1714</v>
      </c>
      <c r="E7484" s="111"/>
      <c r="F7484" s="113" t="s">
        <v>11627</v>
      </c>
      <c r="G7484" s="114"/>
      <c r="H7484" s="115"/>
      <c r="I7484" s="24"/>
      <c r="J7484" s="116">
        <v>4</v>
      </c>
      <c r="K7484" s="118">
        <v>1115000</v>
      </c>
      <c r="L7484" s="119"/>
      <c r="M7484" s="118">
        <f t="shared" ref="M7484" si="10882">K7484*0.1</f>
        <v>111500</v>
      </c>
      <c r="N7484" s="119"/>
      <c r="O7484" s="118">
        <v>0</v>
      </c>
      <c r="P7484" s="119"/>
      <c r="Q7484" s="118">
        <v>7440</v>
      </c>
      <c r="R7484" s="119"/>
      <c r="S7484" s="118">
        <v>18150</v>
      </c>
      <c r="T7484" s="119"/>
      <c r="U7484" s="118">
        <f t="shared" ref="U7484" si="10883">SUM(K7484:T7485)</f>
        <v>1252090</v>
      </c>
      <c r="V7484" s="122"/>
      <c r="W7484" s="124"/>
      <c r="X7484" s="126" t="s">
        <v>21688</v>
      </c>
      <c r="Y7484" s="127"/>
      <c r="Z7484" s="127"/>
      <c r="AA7484" s="127"/>
      <c r="AB7484" s="128"/>
      <c r="AC7484" s="15" t="s">
        <v>20</v>
      </c>
      <c r="AD7484" s="129" t="s">
        <v>1670</v>
      </c>
      <c r="AE7484" s="130"/>
      <c r="AF7484" s="130"/>
      <c r="AG7484" s="130"/>
      <c r="AH7484" s="130"/>
      <c r="AI7484" s="131"/>
      <c r="AJ7484" s="132"/>
      <c r="AK7484" s="127"/>
      <c r="AL7484" s="128"/>
      <c r="AM7484" s="21"/>
      <c r="AN7484" s="133">
        <v>46109</v>
      </c>
      <c r="AO7484" s="134"/>
      <c r="AP7484" s="135">
        <v>1294</v>
      </c>
      <c r="AQ7484" s="136"/>
      <c r="AR7484" s="118">
        <v>1225000</v>
      </c>
      <c r="AS7484" s="119"/>
      <c r="AT7484" s="118">
        <f t="shared" ref="AT7484" si="10884">AR7484*0.1</f>
        <v>122500</v>
      </c>
      <c r="AU7484" s="119"/>
      <c r="AV7484" s="118">
        <v>7440</v>
      </c>
      <c r="AW7484" s="119"/>
      <c r="AX7484" s="118">
        <f t="shared" ref="AX7484" si="10885">SUM(AR7484:AW7484)</f>
        <v>1354940</v>
      </c>
      <c r="AY7484" s="119"/>
      <c r="AZ7484" s="137">
        <v>46114</v>
      </c>
    </row>
    <row r="7485" spans="1:52" ht="17.100000000000001" customHeight="1" thickBot="1">
      <c r="A7485" s="110"/>
      <c r="B7485" s="27" t="s">
        <v>2559</v>
      </c>
      <c r="C7485" s="27">
        <v>40071</v>
      </c>
      <c r="D7485" s="14" t="s">
        <v>1592</v>
      </c>
      <c r="E7485" s="112"/>
      <c r="F7485" s="139" t="s">
        <v>21154</v>
      </c>
      <c r="G7485" s="140"/>
      <c r="H7485" s="141"/>
      <c r="I7485" s="26">
        <v>28272</v>
      </c>
      <c r="J7485" s="117"/>
      <c r="K7485" s="120"/>
      <c r="L7485" s="121"/>
      <c r="M7485" s="120"/>
      <c r="N7485" s="121"/>
      <c r="O7485" s="120"/>
      <c r="P7485" s="121"/>
      <c r="Q7485" s="120"/>
      <c r="R7485" s="121"/>
      <c r="S7485" s="120"/>
      <c r="T7485" s="121"/>
      <c r="U7485" s="120"/>
      <c r="V7485" s="123"/>
      <c r="W7485" s="125"/>
      <c r="X7485" s="142" t="s">
        <v>21689</v>
      </c>
      <c r="Y7485" s="143"/>
      <c r="Z7485" s="143"/>
      <c r="AA7485" s="143"/>
      <c r="AB7485" s="144"/>
      <c r="AC7485" s="16" t="s">
        <v>21</v>
      </c>
      <c r="AD7485" s="17" t="s">
        <v>1918</v>
      </c>
      <c r="AE7485" s="145" t="s">
        <v>10331</v>
      </c>
      <c r="AF7485" s="146"/>
      <c r="AG7485" s="146"/>
      <c r="AH7485" s="146"/>
      <c r="AI7485" s="147"/>
      <c r="AJ7485" s="148"/>
      <c r="AK7485" s="143"/>
      <c r="AL7485" s="144"/>
      <c r="AM7485" s="22"/>
      <c r="AN7485" s="149" t="s">
        <v>21802</v>
      </c>
      <c r="AO7485" s="144"/>
      <c r="AP7485" s="148">
        <v>41062</v>
      </c>
      <c r="AQ7485" s="144"/>
      <c r="AR7485" s="120"/>
      <c r="AS7485" s="121"/>
      <c r="AT7485" s="120"/>
      <c r="AU7485" s="121"/>
      <c r="AV7485" s="120"/>
      <c r="AW7485" s="121"/>
      <c r="AX7485" s="120"/>
      <c r="AY7485" s="121"/>
      <c r="AZ7485" s="138"/>
    </row>
    <row r="7486" spans="1:52" ht="17.100000000000001" customHeight="1" thickTop="1">
      <c r="A7486" s="109" t="s">
        <v>21177</v>
      </c>
      <c r="B7486" s="28">
        <v>46105</v>
      </c>
      <c r="C7486" s="25"/>
      <c r="D7486" s="13" t="s">
        <v>2645</v>
      </c>
      <c r="E7486" s="111"/>
      <c r="F7486" s="113" t="s">
        <v>21179</v>
      </c>
      <c r="G7486" s="114"/>
      <c r="H7486" s="115"/>
      <c r="I7486" s="24" t="s">
        <v>19852</v>
      </c>
      <c r="J7486" s="116"/>
      <c r="K7486" s="118">
        <v>20218</v>
      </c>
      <c r="L7486" s="119"/>
      <c r="M7486" s="118">
        <v>0</v>
      </c>
      <c r="N7486" s="119"/>
      <c r="O7486" s="118">
        <v>0</v>
      </c>
      <c r="P7486" s="119"/>
      <c r="Q7486" s="118">
        <v>0</v>
      </c>
      <c r="R7486" s="119"/>
      <c r="S7486" s="118">
        <v>0</v>
      </c>
      <c r="T7486" s="119"/>
      <c r="U7486" s="118">
        <f t="shared" ref="U7486" si="10886">SUM(K7486:T7487)</f>
        <v>20218</v>
      </c>
      <c r="V7486" s="122"/>
      <c r="W7486" s="124"/>
      <c r="X7486" s="126" t="s">
        <v>21181</v>
      </c>
      <c r="Y7486" s="127"/>
      <c r="Z7486" s="127"/>
      <c r="AA7486" s="127"/>
      <c r="AB7486" s="128"/>
      <c r="AC7486" s="15" t="s">
        <v>20</v>
      </c>
      <c r="AD7486" s="129"/>
      <c r="AE7486" s="130"/>
      <c r="AF7486" s="130"/>
      <c r="AG7486" s="130"/>
      <c r="AH7486" s="130"/>
      <c r="AI7486" s="131"/>
      <c r="AJ7486" s="132"/>
      <c r="AK7486" s="127"/>
      <c r="AL7486" s="128"/>
      <c r="AM7486" s="21"/>
      <c r="AN7486" s="133">
        <v>46120</v>
      </c>
      <c r="AO7486" s="134"/>
      <c r="AP7486" s="135">
        <v>1012</v>
      </c>
      <c r="AQ7486" s="136"/>
      <c r="AR7486" s="118">
        <v>50000</v>
      </c>
      <c r="AS7486" s="119"/>
      <c r="AT7486" s="118">
        <f t="shared" ref="AT7486" si="10887">AR7486*0.1</f>
        <v>5000</v>
      </c>
      <c r="AU7486" s="119"/>
      <c r="AV7486" s="118">
        <v>9250</v>
      </c>
      <c r="AW7486" s="119"/>
      <c r="AX7486" s="118">
        <f t="shared" ref="AX7486" si="10888">SUM(AR7486:AW7486)</f>
        <v>64250</v>
      </c>
      <c r="AY7486" s="119"/>
      <c r="AZ7486" s="137">
        <v>46125</v>
      </c>
    </row>
    <row r="7487" spans="1:52" ht="17.100000000000001" customHeight="1" thickBot="1">
      <c r="A7487" s="110"/>
      <c r="B7487" s="27" t="s">
        <v>21178</v>
      </c>
      <c r="C7487" s="27"/>
      <c r="D7487" s="14"/>
      <c r="E7487" s="112"/>
      <c r="F7487" s="139" t="s">
        <v>21180</v>
      </c>
      <c r="G7487" s="140"/>
      <c r="H7487" s="141"/>
      <c r="I7487" s="26">
        <v>155846</v>
      </c>
      <c r="J7487" s="117"/>
      <c r="K7487" s="120"/>
      <c r="L7487" s="121"/>
      <c r="M7487" s="120"/>
      <c r="N7487" s="121"/>
      <c r="O7487" s="120"/>
      <c r="P7487" s="121"/>
      <c r="Q7487" s="120"/>
      <c r="R7487" s="121"/>
      <c r="S7487" s="120"/>
      <c r="T7487" s="121"/>
      <c r="U7487" s="120"/>
      <c r="V7487" s="123"/>
      <c r="W7487" s="125"/>
      <c r="X7487" s="142" t="s">
        <v>21182</v>
      </c>
      <c r="Y7487" s="143"/>
      <c r="Z7487" s="143"/>
      <c r="AA7487" s="143"/>
      <c r="AB7487" s="144"/>
      <c r="AC7487" s="16" t="s">
        <v>21</v>
      </c>
      <c r="AD7487" s="17" t="s">
        <v>21034</v>
      </c>
      <c r="AE7487" s="145" t="s">
        <v>1605</v>
      </c>
      <c r="AF7487" s="146"/>
      <c r="AG7487" s="146"/>
      <c r="AH7487" s="146"/>
      <c r="AI7487" s="147"/>
      <c r="AJ7487" s="148"/>
      <c r="AK7487" s="143"/>
      <c r="AL7487" s="144"/>
      <c r="AM7487" s="22"/>
      <c r="AN7487" s="149" t="s">
        <v>2794</v>
      </c>
      <c r="AO7487" s="144"/>
      <c r="AP7487" s="148">
        <v>9073</v>
      </c>
      <c r="AQ7487" s="144"/>
      <c r="AR7487" s="120"/>
      <c r="AS7487" s="121"/>
      <c r="AT7487" s="120"/>
      <c r="AU7487" s="121"/>
      <c r="AV7487" s="120"/>
      <c r="AW7487" s="121"/>
      <c r="AX7487" s="120"/>
      <c r="AY7487" s="121"/>
      <c r="AZ7487" s="138"/>
    </row>
    <row r="7488" spans="1:52" ht="17.100000000000001" customHeight="1" thickTop="1">
      <c r="A7488" s="109" t="s">
        <v>21217</v>
      </c>
      <c r="B7488" s="28">
        <v>46107</v>
      </c>
      <c r="C7488" s="25">
        <v>1324</v>
      </c>
      <c r="D7488" s="13" t="s">
        <v>21219</v>
      </c>
      <c r="E7488" s="111"/>
      <c r="F7488" s="113" t="s">
        <v>21218</v>
      </c>
      <c r="G7488" s="114"/>
      <c r="H7488" s="115"/>
      <c r="I7488" s="24"/>
      <c r="J7488" s="116">
        <v>4</v>
      </c>
      <c r="K7488" s="118">
        <v>480000</v>
      </c>
      <c r="L7488" s="119"/>
      <c r="M7488" s="118">
        <f t="shared" ref="M7488" si="10889">K7488*0.1</f>
        <v>48000</v>
      </c>
      <c r="N7488" s="119"/>
      <c r="O7488" s="118">
        <v>0</v>
      </c>
      <c r="P7488" s="119"/>
      <c r="Q7488" s="118">
        <v>9130</v>
      </c>
      <c r="R7488" s="119"/>
      <c r="S7488" s="118">
        <v>16500</v>
      </c>
      <c r="T7488" s="119"/>
      <c r="U7488" s="118">
        <f t="shared" ref="U7488" si="10890">SUM(K7488:T7489)</f>
        <v>553630</v>
      </c>
      <c r="V7488" s="122"/>
      <c r="W7488" s="124"/>
      <c r="X7488" s="126" t="s">
        <v>21694</v>
      </c>
      <c r="Y7488" s="127"/>
      <c r="Z7488" s="127"/>
      <c r="AA7488" s="127"/>
      <c r="AB7488" s="128"/>
      <c r="AC7488" s="15" t="s">
        <v>20</v>
      </c>
      <c r="AD7488" s="129" t="s">
        <v>21222</v>
      </c>
      <c r="AE7488" s="130"/>
      <c r="AF7488" s="130"/>
      <c r="AG7488" s="130"/>
      <c r="AH7488" s="130"/>
      <c r="AI7488" s="131"/>
      <c r="AJ7488" s="132"/>
      <c r="AK7488" s="127"/>
      <c r="AL7488" s="128"/>
      <c r="AM7488" s="21"/>
      <c r="AN7488" s="133">
        <v>46113</v>
      </c>
      <c r="AO7488" s="134"/>
      <c r="AP7488" s="135">
        <v>1011</v>
      </c>
      <c r="AQ7488" s="136"/>
      <c r="AR7488" s="118">
        <v>515000</v>
      </c>
      <c r="AS7488" s="119"/>
      <c r="AT7488" s="118">
        <f t="shared" ref="AT7488" si="10891">AR7488*0.1</f>
        <v>51500</v>
      </c>
      <c r="AU7488" s="119"/>
      <c r="AV7488" s="118">
        <v>9130</v>
      </c>
      <c r="AW7488" s="119"/>
      <c r="AX7488" s="118">
        <f t="shared" ref="AX7488" si="10892">SUM(AR7488:AW7488)</f>
        <v>575630</v>
      </c>
      <c r="AY7488" s="119"/>
      <c r="AZ7488" s="137">
        <v>46118</v>
      </c>
    </row>
    <row r="7489" spans="1:52" ht="17.100000000000001" customHeight="1" thickBot="1">
      <c r="A7489" s="110"/>
      <c r="B7489" s="27" t="s">
        <v>21214</v>
      </c>
      <c r="C7489" s="27">
        <v>839</v>
      </c>
      <c r="D7489" s="14" t="s">
        <v>21220</v>
      </c>
      <c r="E7489" s="112"/>
      <c r="F7489" s="139" t="s">
        <v>21221</v>
      </c>
      <c r="G7489" s="140"/>
      <c r="H7489" s="141"/>
      <c r="I7489" s="26">
        <v>37168</v>
      </c>
      <c r="J7489" s="117"/>
      <c r="K7489" s="120"/>
      <c r="L7489" s="121"/>
      <c r="M7489" s="120"/>
      <c r="N7489" s="121"/>
      <c r="O7489" s="120"/>
      <c r="P7489" s="121"/>
      <c r="Q7489" s="120"/>
      <c r="R7489" s="121"/>
      <c r="S7489" s="120"/>
      <c r="T7489" s="121"/>
      <c r="U7489" s="120"/>
      <c r="V7489" s="123"/>
      <c r="W7489" s="125"/>
      <c r="X7489" s="142" t="s">
        <v>1861</v>
      </c>
      <c r="Y7489" s="143"/>
      <c r="Z7489" s="143"/>
      <c r="AA7489" s="143"/>
      <c r="AB7489" s="144"/>
      <c r="AC7489" s="16" t="s">
        <v>21</v>
      </c>
      <c r="AD7489" s="17" t="s">
        <v>1918</v>
      </c>
      <c r="AE7489" s="145" t="s">
        <v>21695</v>
      </c>
      <c r="AF7489" s="146"/>
      <c r="AG7489" s="146"/>
      <c r="AH7489" s="146"/>
      <c r="AI7489" s="147"/>
      <c r="AJ7489" s="148"/>
      <c r="AK7489" s="143"/>
      <c r="AL7489" s="144"/>
      <c r="AM7489" s="22"/>
      <c r="AN7489" s="149" t="s">
        <v>2794</v>
      </c>
      <c r="AO7489" s="144"/>
      <c r="AP7489" s="148">
        <v>5041</v>
      </c>
      <c r="AQ7489" s="144"/>
      <c r="AR7489" s="120"/>
      <c r="AS7489" s="121"/>
      <c r="AT7489" s="120"/>
      <c r="AU7489" s="121"/>
      <c r="AV7489" s="120"/>
      <c r="AW7489" s="121"/>
      <c r="AX7489" s="120"/>
      <c r="AY7489" s="121"/>
      <c r="AZ7489" s="138"/>
    </row>
    <row r="7490" spans="1:52" ht="17.100000000000001" customHeight="1" thickTop="1">
      <c r="A7490" s="109" t="s">
        <v>21224</v>
      </c>
      <c r="B7490" s="28">
        <v>46107</v>
      </c>
      <c r="C7490" s="25">
        <v>1976</v>
      </c>
      <c r="D7490" s="13" t="s">
        <v>21225</v>
      </c>
      <c r="E7490" s="111"/>
      <c r="F7490" s="113" t="s">
        <v>21226</v>
      </c>
      <c r="G7490" s="114"/>
      <c r="H7490" s="115"/>
      <c r="I7490" s="24"/>
      <c r="J7490" s="116">
        <v>4.5</v>
      </c>
      <c r="K7490" s="118">
        <v>1232000</v>
      </c>
      <c r="L7490" s="119"/>
      <c r="M7490" s="118">
        <f t="shared" ref="M7490" si="10893">K7490*0.1</f>
        <v>123200</v>
      </c>
      <c r="N7490" s="119"/>
      <c r="O7490" s="118">
        <v>0</v>
      </c>
      <c r="P7490" s="119"/>
      <c r="Q7490" s="118">
        <v>12030</v>
      </c>
      <c r="R7490" s="119"/>
      <c r="S7490" s="118">
        <v>15950</v>
      </c>
      <c r="T7490" s="119"/>
      <c r="U7490" s="118">
        <f t="shared" ref="U7490" si="10894">SUM(K7490:T7491)</f>
        <v>1383180</v>
      </c>
      <c r="V7490" s="122"/>
      <c r="W7490" s="124"/>
      <c r="X7490" s="126" t="s">
        <v>21687</v>
      </c>
      <c r="Y7490" s="127"/>
      <c r="Z7490" s="127"/>
      <c r="AA7490" s="127"/>
      <c r="AB7490" s="128"/>
      <c r="AC7490" s="15" t="s">
        <v>20</v>
      </c>
      <c r="AD7490" s="129"/>
      <c r="AE7490" s="130"/>
      <c r="AF7490" s="130"/>
      <c r="AG7490" s="130"/>
      <c r="AH7490" s="130"/>
      <c r="AI7490" s="131"/>
      <c r="AJ7490" s="132"/>
      <c r="AK7490" s="127"/>
      <c r="AL7490" s="128"/>
      <c r="AM7490" s="21"/>
      <c r="AN7490" s="133">
        <v>46155</v>
      </c>
      <c r="AO7490" s="134"/>
      <c r="AP7490" s="135">
        <v>1016</v>
      </c>
      <c r="AQ7490" s="136"/>
      <c r="AR7490" s="118">
        <v>1250000</v>
      </c>
      <c r="AS7490" s="119"/>
      <c r="AT7490" s="118">
        <f t="shared" ref="AT7490" si="10895">AR7490*0.1</f>
        <v>125000</v>
      </c>
      <c r="AU7490" s="119"/>
      <c r="AV7490" s="118">
        <v>12030</v>
      </c>
      <c r="AW7490" s="119"/>
      <c r="AX7490" s="118">
        <f t="shared" ref="AX7490" si="10896">SUM(AR7490:AW7490)</f>
        <v>1387030</v>
      </c>
      <c r="AY7490" s="119"/>
      <c r="AZ7490" s="137">
        <v>46160</v>
      </c>
    </row>
    <row r="7491" spans="1:52" ht="17.100000000000001" customHeight="1" thickBot="1">
      <c r="A7491" s="110"/>
      <c r="B7491" s="27" t="s">
        <v>21223</v>
      </c>
      <c r="C7491" s="27">
        <v>438</v>
      </c>
      <c r="D7491" s="14" t="s">
        <v>1720</v>
      </c>
      <c r="E7491" s="112"/>
      <c r="F7491" s="139" t="s">
        <v>21227</v>
      </c>
      <c r="G7491" s="140"/>
      <c r="H7491" s="141"/>
      <c r="I7491" s="26">
        <v>61070</v>
      </c>
      <c r="J7491" s="117"/>
      <c r="K7491" s="120"/>
      <c r="L7491" s="121"/>
      <c r="M7491" s="120"/>
      <c r="N7491" s="121"/>
      <c r="O7491" s="120"/>
      <c r="P7491" s="121"/>
      <c r="Q7491" s="120"/>
      <c r="R7491" s="121"/>
      <c r="S7491" s="120"/>
      <c r="T7491" s="121"/>
      <c r="U7491" s="120"/>
      <c r="V7491" s="123"/>
      <c r="W7491" s="125"/>
      <c r="X7491" s="142" t="s">
        <v>5052</v>
      </c>
      <c r="Y7491" s="143"/>
      <c r="Z7491" s="143"/>
      <c r="AA7491" s="143"/>
      <c r="AB7491" s="144"/>
      <c r="AC7491" s="16" t="s">
        <v>21</v>
      </c>
      <c r="AD7491" s="17" t="s">
        <v>1918</v>
      </c>
      <c r="AE7491" s="145" t="s">
        <v>4929</v>
      </c>
      <c r="AF7491" s="146"/>
      <c r="AG7491" s="146"/>
      <c r="AH7491" s="146"/>
      <c r="AI7491" s="147"/>
      <c r="AJ7491" s="148"/>
      <c r="AK7491" s="143"/>
      <c r="AL7491" s="144"/>
      <c r="AM7491" s="22"/>
      <c r="AN7491" s="149" t="s">
        <v>9053</v>
      </c>
      <c r="AO7491" s="144"/>
      <c r="AP7491" s="148">
        <v>6071</v>
      </c>
      <c r="AQ7491" s="144"/>
      <c r="AR7491" s="120"/>
      <c r="AS7491" s="121"/>
      <c r="AT7491" s="120"/>
      <c r="AU7491" s="121"/>
      <c r="AV7491" s="120"/>
      <c r="AW7491" s="121"/>
      <c r="AX7491" s="120"/>
      <c r="AY7491" s="121"/>
      <c r="AZ7491" s="138"/>
    </row>
    <row r="7492" spans="1:52" ht="17.100000000000001" customHeight="1" thickTop="1">
      <c r="A7492" s="109" t="s">
        <v>21314</v>
      </c>
      <c r="B7492" s="28">
        <v>46108</v>
      </c>
      <c r="C7492" s="25"/>
      <c r="D7492" s="13" t="s">
        <v>21307</v>
      </c>
      <c r="E7492" s="111"/>
      <c r="F7492" s="113" t="s">
        <v>21308</v>
      </c>
      <c r="G7492" s="114"/>
      <c r="H7492" s="115"/>
      <c r="I7492" s="24" t="s">
        <v>21310</v>
      </c>
      <c r="J7492" s="116"/>
      <c r="K7492" s="118">
        <v>0</v>
      </c>
      <c r="L7492" s="119"/>
      <c r="M7492" s="118">
        <f t="shared" ref="M7492" si="10897">K7492*0.1</f>
        <v>0</v>
      </c>
      <c r="N7492" s="119"/>
      <c r="O7492" s="118">
        <v>0</v>
      </c>
      <c r="P7492" s="119"/>
      <c r="Q7492" s="118">
        <v>0</v>
      </c>
      <c r="R7492" s="119"/>
      <c r="S7492" s="118">
        <v>0</v>
      </c>
      <c r="T7492" s="119"/>
      <c r="U7492" s="118">
        <f t="shared" ref="U7492" si="10898">SUM(K7492:T7493)</f>
        <v>0</v>
      </c>
      <c r="V7492" s="122"/>
      <c r="W7492" s="124"/>
      <c r="X7492" s="126" t="s">
        <v>21311</v>
      </c>
      <c r="Y7492" s="127"/>
      <c r="Z7492" s="127"/>
      <c r="AA7492" s="127"/>
      <c r="AB7492" s="128"/>
      <c r="AC7492" s="15" t="s">
        <v>20</v>
      </c>
      <c r="AD7492" s="129"/>
      <c r="AE7492" s="130"/>
      <c r="AF7492" s="130"/>
      <c r="AG7492" s="130"/>
      <c r="AH7492" s="130"/>
      <c r="AI7492" s="131"/>
      <c r="AJ7492" s="132"/>
      <c r="AK7492" s="127"/>
      <c r="AL7492" s="128"/>
      <c r="AM7492" s="21"/>
      <c r="AN7492" s="133">
        <v>46155</v>
      </c>
      <c r="AO7492" s="134"/>
      <c r="AP7492" s="135">
        <v>1016</v>
      </c>
      <c r="AQ7492" s="136"/>
      <c r="AR7492" s="118">
        <v>106000</v>
      </c>
      <c r="AS7492" s="119"/>
      <c r="AT7492" s="118">
        <f t="shared" ref="AT7492" si="10899">AR7492*0.1</f>
        <v>10600</v>
      </c>
      <c r="AU7492" s="119"/>
      <c r="AV7492" s="118">
        <v>17820</v>
      </c>
      <c r="AW7492" s="119"/>
      <c r="AX7492" s="118">
        <f t="shared" ref="AX7492" si="10900">SUM(AR7492:AW7492)</f>
        <v>134420</v>
      </c>
      <c r="AY7492" s="119"/>
      <c r="AZ7492" s="137">
        <v>46160</v>
      </c>
    </row>
    <row r="7493" spans="1:52" ht="17.100000000000001" customHeight="1" thickBot="1">
      <c r="A7493" s="110"/>
      <c r="B7493" s="27" t="s">
        <v>21306</v>
      </c>
      <c r="C7493" s="27"/>
      <c r="D7493" s="14"/>
      <c r="E7493" s="112"/>
      <c r="F7493" s="139" t="s">
        <v>21309</v>
      </c>
      <c r="G7493" s="140"/>
      <c r="H7493" s="141"/>
      <c r="I7493" s="26">
        <v>61720</v>
      </c>
      <c r="J7493" s="117"/>
      <c r="K7493" s="120"/>
      <c r="L7493" s="121"/>
      <c r="M7493" s="120"/>
      <c r="N7493" s="121"/>
      <c r="O7493" s="120"/>
      <c r="P7493" s="121"/>
      <c r="Q7493" s="120"/>
      <c r="R7493" s="121"/>
      <c r="S7493" s="120"/>
      <c r="T7493" s="121"/>
      <c r="U7493" s="120"/>
      <c r="V7493" s="123"/>
      <c r="W7493" s="125"/>
      <c r="X7493" s="142" t="s">
        <v>21312</v>
      </c>
      <c r="Y7493" s="143"/>
      <c r="Z7493" s="143"/>
      <c r="AA7493" s="143"/>
      <c r="AB7493" s="144"/>
      <c r="AC7493" s="16" t="s">
        <v>21</v>
      </c>
      <c r="AD7493" s="17" t="s">
        <v>21301</v>
      </c>
      <c r="AE7493" s="145" t="s">
        <v>21313</v>
      </c>
      <c r="AF7493" s="146"/>
      <c r="AG7493" s="146"/>
      <c r="AH7493" s="146"/>
      <c r="AI7493" s="147"/>
      <c r="AJ7493" s="148"/>
      <c r="AK7493" s="143"/>
      <c r="AL7493" s="144"/>
      <c r="AM7493" s="22"/>
      <c r="AN7493" s="149" t="s">
        <v>2794</v>
      </c>
      <c r="AO7493" s="144"/>
      <c r="AP7493" s="148">
        <v>10227</v>
      </c>
      <c r="AQ7493" s="144"/>
      <c r="AR7493" s="120"/>
      <c r="AS7493" s="121"/>
      <c r="AT7493" s="120"/>
      <c r="AU7493" s="121"/>
      <c r="AV7493" s="120"/>
      <c r="AW7493" s="121"/>
      <c r="AX7493" s="120"/>
      <c r="AY7493" s="121"/>
      <c r="AZ7493" s="138"/>
    </row>
    <row r="7494" spans="1:52" ht="17.100000000000001" customHeight="1" thickTop="1">
      <c r="A7494" s="109" t="s">
        <v>21387</v>
      </c>
      <c r="B7494" s="28">
        <v>46107</v>
      </c>
      <c r="C7494" s="25">
        <v>1559</v>
      </c>
      <c r="D7494" s="13" t="s">
        <v>1597</v>
      </c>
      <c r="E7494" s="111"/>
      <c r="F7494" s="113" t="s">
        <v>21552</v>
      </c>
      <c r="G7494" s="114"/>
      <c r="H7494" s="115"/>
      <c r="I7494" s="24"/>
      <c r="J7494" s="116">
        <v>4.5</v>
      </c>
      <c r="K7494" s="118">
        <v>1560000</v>
      </c>
      <c r="L7494" s="119"/>
      <c r="M7494" s="118">
        <f t="shared" ref="M7494" si="10901">K7494*0.1</f>
        <v>156000</v>
      </c>
      <c r="N7494" s="119"/>
      <c r="O7494" s="118">
        <v>0</v>
      </c>
      <c r="P7494" s="119"/>
      <c r="Q7494" s="118">
        <v>21380</v>
      </c>
      <c r="R7494" s="119"/>
      <c r="S7494" s="118">
        <v>22000</v>
      </c>
      <c r="T7494" s="119"/>
      <c r="U7494" s="118">
        <f t="shared" ref="U7494" si="10902">SUM(K7494:T7495)</f>
        <v>1759380</v>
      </c>
      <c r="V7494" s="122"/>
      <c r="W7494" s="124"/>
      <c r="X7494" s="126" t="s">
        <v>21815</v>
      </c>
      <c r="Y7494" s="127"/>
      <c r="Z7494" s="127"/>
      <c r="AA7494" s="127"/>
      <c r="AB7494" s="128"/>
      <c r="AC7494" s="15" t="s">
        <v>20</v>
      </c>
      <c r="AD7494" s="129" t="s">
        <v>3925</v>
      </c>
      <c r="AE7494" s="130"/>
      <c r="AF7494" s="130"/>
      <c r="AG7494" s="130"/>
      <c r="AH7494" s="130"/>
      <c r="AI7494" s="131"/>
      <c r="AJ7494" s="132"/>
      <c r="AK7494" s="127"/>
      <c r="AL7494" s="128"/>
      <c r="AM7494" s="21"/>
      <c r="AN7494" s="133"/>
      <c r="AO7494" s="134"/>
      <c r="AP7494" s="135"/>
      <c r="AQ7494" s="136"/>
      <c r="AR7494" s="118"/>
      <c r="AS7494" s="119"/>
      <c r="AT7494" s="118">
        <f t="shared" ref="AT7494" si="10903">AR7494*0.1</f>
        <v>0</v>
      </c>
      <c r="AU7494" s="119"/>
      <c r="AV7494" s="118"/>
      <c r="AW7494" s="119"/>
      <c r="AX7494" s="118">
        <f t="shared" ref="AX7494" si="10904">SUM(AR7494:AW7494)</f>
        <v>0</v>
      </c>
      <c r="AY7494" s="119"/>
      <c r="AZ7494" s="137"/>
    </row>
    <row r="7495" spans="1:52" ht="17.100000000000001" customHeight="1" thickBot="1">
      <c r="A7495" s="110"/>
      <c r="B7495" s="27" t="s">
        <v>1600</v>
      </c>
      <c r="C7495" s="27">
        <v>76413</v>
      </c>
      <c r="D7495" s="14" t="s">
        <v>1700</v>
      </c>
      <c r="E7495" s="112"/>
      <c r="F7495" s="139" t="s">
        <v>21553</v>
      </c>
      <c r="G7495" s="140"/>
      <c r="H7495" s="141"/>
      <c r="I7495" s="26">
        <v>40242</v>
      </c>
      <c r="J7495" s="117"/>
      <c r="K7495" s="120"/>
      <c r="L7495" s="121"/>
      <c r="M7495" s="120"/>
      <c r="N7495" s="121"/>
      <c r="O7495" s="120"/>
      <c r="P7495" s="121"/>
      <c r="Q7495" s="120"/>
      <c r="R7495" s="121"/>
      <c r="S7495" s="120"/>
      <c r="T7495" s="121"/>
      <c r="U7495" s="120"/>
      <c r="V7495" s="123"/>
      <c r="W7495" s="125"/>
      <c r="X7495" s="142" t="s">
        <v>1997</v>
      </c>
      <c r="Y7495" s="143"/>
      <c r="Z7495" s="143"/>
      <c r="AA7495" s="143"/>
      <c r="AB7495" s="144"/>
      <c r="AC7495" s="16" t="s">
        <v>21</v>
      </c>
      <c r="AD7495" s="17" t="s">
        <v>1918</v>
      </c>
      <c r="AE7495" s="145" t="s">
        <v>1742</v>
      </c>
      <c r="AF7495" s="146"/>
      <c r="AG7495" s="146"/>
      <c r="AH7495" s="146"/>
      <c r="AI7495" s="147"/>
      <c r="AJ7495" s="148"/>
      <c r="AK7495" s="143"/>
      <c r="AL7495" s="144"/>
      <c r="AM7495" s="22"/>
      <c r="AN7495" s="149"/>
      <c r="AO7495" s="144"/>
      <c r="AP7495" s="148"/>
      <c r="AQ7495" s="144"/>
      <c r="AR7495" s="120"/>
      <c r="AS7495" s="121"/>
      <c r="AT7495" s="120"/>
      <c r="AU7495" s="121"/>
      <c r="AV7495" s="120"/>
      <c r="AW7495" s="121"/>
      <c r="AX7495" s="120"/>
      <c r="AY7495" s="121"/>
      <c r="AZ7495" s="138"/>
    </row>
    <row r="7496" spans="1:52" ht="17.100000000000001" customHeight="1" thickTop="1">
      <c r="A7496" s="109" t="s">
        <v>21388</v>
      </c>
      <c r="B7496" s="28">
        <v>46107</v>
      </c>
      <c r="C7496" s="25">
        <v>2151</v>
      </c>
      <c r="D7496" s="13" t="s">
        <v>4609</v>
      </c>
      <c r="E7496" s="111"/>
      <c r="F7496" s="113" t="s">
        <v>21520</v>
      </c>
      <c r="G7496" s="114"/>
      <c r="H7496" s="115"/>
      <c r="I7496" s="24"/>
      <c r="J7496" s="116">
        <v>4.5</v>
      </c>
      <c r="K7496" s="118">
        <v>263000</v>
      </c>
      <c r="L7496" s="119"/>
      <c r="M7496" s="118">
        <f t="shared" ref="M7496" si="10905">K7496*0.1</f>
        <v>26300</v>
      </c>
      <c r="N7496" s="119"/>
      <c r="O7496" s="118">
        <v>0</v>
      </c>
      <c r="P7496" s="119"/>
      <c r="Q7496" s="118">
        <v>9460</v>
      </c>
      <c r="R7496" s="119"/>
      <c r="S7496" s="118">
        <v>14300</v>
      </c>
      <c r="T7496" s="119"/>
      <c r="U7496" s="118">
        <f t="shared" ref="U7496" si="10906">SUM(K7496:T7497)</f>
        <v>313060</v>
      </c>
      <c r="V7496" s="122"/>
      <c r="W7496" s="124"/>
      <c r="X7496" s="126" t="s">
        <v>21854</v>
      </c>
      <c r="Y7496" s="127"/>
      <c r="Z7496" s="127"/>
      <c r="AA7496" s="127"/>
      <c r="AB7496" s="128"/>
      <c r="AC7496" s="15" t="s">
        <v>20</v>
      </c>
      <c r="AD7496" s="129"/>
      <c r="AE7496" s="130"/>
      <c r="AF7496" s="130"/>
      <c r="AG7496" s="130"/>
      <c r="AH7496" s="130"/>
      <c r="AI7496" s="131"/>
      <c r="AJ7496" s="132" t="s">
        <v>21858</v>
      </c>
      <c r="AK7496" s="127"/>
      <c r="AL7496" s="128"/>
      <c r="AM7496" s="21"/>
      <c r="AN7496" s="133">
        <v>46113</v>
      </c>
      <c r="AO7496" s="134"/>
      <c r="AP7496" s="135">
        <v>1011</v>
      </c>
      <c r="AQ7496" s="136"/>
      <c r="AR7496" s="118">
        <v>340000</v>
      </c>
      <c r="AS7496" s="119"/>
      <c r="AT7496" s="118">
        <f t="shared" ref="AT7496" si="10907">AR7496*0.1</f>
        <v>34000</v>
      </c>
      <c r="AU7496" s="119"/>
      <c r="AV7496" s="118">
        <v>9460</v>
      </c>
      <c r="AW7496" s="119"/>
      <c r="AX7496" s="118">
        <f t="shared" ref="AX7496" si="10908">SUM(AR7496:AW7496)</f>
        <v>383460</v>
      </c>
      <c r="AY7496" s="119"/>
      <c r="AZ7496" s="137">
        <v>46118</v>
      </c>
    </row>
    <row r="7497" spans="1:52" ht="17.100000000000001" customHeight="1" thickBot="1">
      <c r="A7497" s="110"/>
      <c r="B7497" s="27" t="s">
        <v>1940</v>
      </c>
      <c r="C7497" s="27">
        <v>15</v>
      </c>
      <c r="D7497" s="14" t="s">
        <v>1720</v>
      </c>
      <c r="E7497" s="112"/>
      <c r="F7497" s="139" t="s">
        <v>21399</v>
      </c>
      <c r="G7497" s="140"/>
      <c r="H7497" s="141"/>
      <c r="I7497" s="26">
        <v>49416</v>
      </c>
      <c r="J7497" s="117"/>
      <c r="K7497" s="120"/>
      <c r="L7497" s="121"/>
      <c r="M7497" s="120"/>
      <c r="N7497" s="121"/>
      <c r="O7497" s="120"/>
      <c r="P7497" s="121"/>
      <c r="Q7497" s="120"/>
      <c r="R7497" s="121"/>
      <c r="S7497" s="120"/>
      <c r="T7497" s="121"/>
      <c r="U7497" s="120"/>
      <c r="V7497" s="123"/>
      <c r="W7497" s="125"/>
      <c r="X7497" s="142" t="s">
        <v>21855</v>
      </c>
      <c r="Y7497" s="143"/>
      <c r="Z7497" s="143"/>
      <c r="AA7497" s="143"/>
      <c r="AB7497" s="144"/>
      <c r="AC7497" s="16" t="s">
        <v>21</v>
      </c>
      <c r="AD7497" s="17" t="s">
        <v>1642</v>
      </c>
      <c r="AE7497" s="145" t="s">
        <v>21857</v>
      </c>
      <c r="AF7497" s="146"/>
      <c r="AG7497" s="146"/>
      <c r="AH7497" s="146"/>
      <c r="AI7497" s="147"/>
      <c r="AJ7497" s="148" t="s">
        <v>21856</v>
      </c>
      <c r="AK7497" s="143"/>
      <c r="AL7497" s="144"/>
      <c r="AM7497" s="22"/>
      <c r="AN7497" s="149" t="s">
        <v>2794</v>
      </c>
      <c r="AO7497" s="144"/>
      <c r="AP7497" s="148">
        <v>5071</v>
      </c>
      <c r="AQ7497" s="144"/>
      <c r="AR7497" s="120"/>
      <c r="AS7497" s="121"/>
      <c r="AT7497" s="120"/>
      <c r="AU7497" s="121"/>
      <c r="AV7497" s="120"/>
      <c r="AW7497" s="121"/>
      <c r="AX7497" s="120"/>
      <c r="AY7497" s="121"/>
      <c r="AZ7497" s="138"/>
    </row>
    <row r="7498" spans="1:52" ht="17.100000000000001" customHeight="1" thickTop="1">
      <c r="A7498" s="109" t="s">
        <v>21389</v>
      </c>
      <c r="B7498" s="28">
        <v>46107</v>
      </c>
      <c r="C7498" s="25">
        <v>2151</v>
      </c>
      <c r="D7498" s="13" t="s">
        <v>1752</v>
      </c>
      <c r="E7498" s="111"/>
      <c r="F7498" s="113" t="s">
        <v>21218</v>
      </c>
      <c r="G7498" s="114"/>
      <c r="H7498" s="115"/>
      <c r="I7498" s="24" t="s">
        <v>9319</v>
      </c>
      <c r="J7498" s="116">
        <v>4</v>
      </c>
      <c r="K7498" s="118">
        <v>212000</v>
      </c>
      <c r="L7498" s="119"/>
      <c r="M7498" s="118">
        <f t="shared" ref="M7498" si="10909">K7498*0.1</f>
        <v>21200</v>
      </c>
      <c r="N7498" s="119"/>
      <c r="O7498" s="118">
        <v>34500</v>
      </c>
      <c r="P7498" s="119"/>
      <c r="Q7498" s="118">
        <v>9130</v>
      </c>
      <c r="R7498" s="119"/>
      <c r="S7498" s="118">
        <v>14300</v>
      </c>
      <c r="T7498" s="119"/>
      <c r="U7498" s="118">
        <f t="shared" ref="U7498" si="10910">SUM(K7498:T7499)</f>
        <v>291130</v>
      </c>
      <c r="V7498" s="122"/>
      <c r="W7498" s="124"/>
      <c r="X7498" s="126" t="s">
        <v>21521</v>
      </c>
      <c r="Y7498" s="127"/>
      <c r="Z7498" s="127"/>
      <c r="AA7498" s="127"/>
      <c r="AB7498" s="128"/>
      <c r="AC7498" s="15" t="s">
        <v>20</v>
      </c>
      <c r="AD7498" s="129"/>
      <c r="AE7498" s="130"/>
      <c r="AF7498" s="130"/>
      <c r="AG7498" s="130"/>
      <c r="AH7498" s="130"/>
      <c r="AI7498" s="131"/>
      <c r="AJ7498" s="132"/>
      <c r="AK7498" s="127"/>
      <c r="AL7498" s="128"/>
      <c r="AM7498" s="21" t="s">
        <v>22433</v>
      </c>
      <c r="AN7498" s="133"/>
      <c r="AO7498" s="134"/>
      <c r="AP7498" s="135"/>
      <c r="AQ7498" s="136"/>
      <c r="AR7498" s="118"/>
      <c r="AS7498" s="119"/>
      <c r="AT7498" s="118">
        <f t="shared" ref="AT7498" si="10911">AR7498*0.1</f>
        <v>0</v>
      </c>
      <c r="AU7498" s="119"/>
      <c r="AV7498" s="118"/>
      <c r="AW7498" s="119"/>
      <c r="AX7498" s="118">
        <f t="shared" ref="AX7498" si="10912">SUM(AR7498:AW7498)</f>
        <v>0</v>
      </c>
      <c r="AY7498" s="119"/>
      <c r="AZ7498" s="137"/>
    </row>
    <row r="7499" spans="1:52" ht="17.100000000000001" customHeight="1" thickBot="1">
      <c r="A7499" s="110"/>
      <c r="B7499" s="27" t="s">
        <v>1940</v>
      </c>
      <c r="C7499" s="27">
        <v>27</v>
      </c>
      <c r="D7499" s="14" t="s">
        <v>275</v>
      </c>
      <c r="E7499" s="112"/>
      <c r="F7499" s="139" t="s">
        <v>21400</v>
      </c>
      <c r="G7499" s="140"/>
      <c r="H7499" s="141"/>
      <c r="I7499" s="26">
        <v>131079</v>
      </c>
      <c r="J7499" s="117"/>
      <c r="K7499" s="120"/>
      <c r="L7499" s="121"/>
      <c r="M7499" s="120"/>
      <c r="N7499" s="121"/>
      <c r="O7499" s="120"/>
      <c r="P7499" s="121"/>
      <c r="Q7499" s="120"/>
      <c r="R7499" s="121"/>
      <c r="S7499" s="120"/>
      <c r="T7499" s="121"/>
      <c r="U7499" s="120"/>
      <c r="V7499" s="123"/>
      <c r="W7499" s="125"/>
      <c r="X7499" s="142" t="s">
        <v>21844</v>
      </c>
      <c r="Y7499" s="143"/>
      <c r="Z7499" s="143"/>
      <c r="AA7499" s="143"/>
      <c r="AB7499" s="144"/>
      <c r="AC7499" s="16" t="s">
        <v>21</v>
      </c>
      <c r="AD7499" s="17" t="s">
        <v>1642</v>
      </c>
      <c r="AE7499" s="145" t="s">
        <v>3123</v>
      </c>
      <c r="AF7499" s="146"/>
      <c r="AG7499" s="146"/>
      <c r="AH7499" s="146"/>
      <c r="AI7499" s="147"/>
      <c r="AJ7499" s="148"/>
      <c r="AK7499" s="143"/>
      <c r="AL7499" s="144"/>
      <c r="AM7499" s="22"/>
      <c r="AN7499" s="149"/>
      <c r="AO7499" s="144"/>
      <c r="AP7499" s="148"/>
      <c r="AQ7499" s="144"/>
      <c r="AR7499" s="120"/>
      <c r="AS7499" s="121"/>
      <c r="AT7499" s="120"/>
      <c r="AU7499" s="121"/>
      <c r="AV7499" s="120"/>
      <c r="AW7499" s="121"/>
      <c r="AX7499" s="120"/>
      <c r="AY7499" s="121"/>
      <c r="AZ7499" s="138"/>
    </row>
    <row r="7500" spans="1:52" ht="17.100000000000001" customHeight="1" thickTop="1">
      <c r="A7500" s="109" t="s">
        <v>21390</v>
      </c>
      <c r="B7500" s="28">
        <v>46107</v>
      </c>
      <c r="C7500" s="25">
        <v>2151</v>
      </c>
      <c r="D7500" s="13" t="s">
        <v>2981</v>
      </c>
      <c r="E7500" s="111"/>
      <c r="F7500" s="113" t="s">
        <v>21522</v>
      </c>
      <c r="G7500" s="114"/>
      <c r="H7500" s="115"/>
      <c r="I7500" s="24" t="s">
        <v>14111</v>
      </c>
      <c r="J7500" s="116">
        <v>3</v>
      </c>
      <c r="K7500" s="118">
        <v>287000</v>
      </c>
      <c r="L7500" s="119"/>
      <c r="M7500" s="118">
        <f t="shared" ref="M7500" si="10913">K7500*0.1</f>
        <v>28700</v>
      </c>
      <c r="N7500" s="119"/>
      <c r="O7500" s="118">
        <v>12900</v>
      </c>
      <c r="P7500" s="119"/>
      <c r="Q7500" s="118">
        <v>10070</v>
      </c>
      <c r="R7500" s="119"/>
      <c r="S7500" s="118">
        <v>14300</v>
      </c>
      <c r="T7500" s="119"/>
      <c r="U7500" s="118">
        <f t="shared" ref="U7500" si="10914">SUM(K7500:T7501)</f>
        <v>352970</v>
      </c>
      <c r="V7500" s="122"/>
      <c r="W7500" s="124"/>
      <c r="X7500" s="126" t="s">
        <v>21523</v>
      </c>
      <c r="Y7500" s="127"/>
      <c r="Z7500" s="127"/>
      <c r="AA7500" s="127"/>
      <c r="AB7500" s="128"/>
      <c r="AC7500" s="15" t="s">
        <v>20</v>
      </c>
      <c r="AD7500" s="129" t="s">
        <v>3828</v>
      </c>
      <c r="AE7500" s="130"/>
      <c r="AF7500" s="130"/>
      <c r="AG7500" s="130"/>
      <c r="AH7500" s="130"/>
      <c r="AI7500" s="131"/>
      <c r="AJ7500" s="132"/>
      <c r="AK7500" s="127"/>
      <c r="AL7500" s="128"/>
      <c r="AM7500" s="21" t="s">
        <v>21933</v>
      </c>
      <c r="AN7500" s="133">
        <v>46113</v>
      </c>
      <c r="AO7500" s="134"/>
      <c r="AP7500" s="135">
        <v>1011</v>
      </c>
      <c r="AQ7500" s="136"/>
      <c r="AR7500" s="118">
        <v>370000</v>
      </c>
      <c r="AS7500" s="119"/>
      <c r="AT7500" s="118">
        <f t="shared" ref="AT7500" si="10915">AR7500*0.1</f>
        <v>37000</v>
      </c>
      <c r="AU7500" s="119"/>
      <c r="AV7500" s="118">
        <v>10070</v>
      </c>
      <c r="AW7500" s="119"/>
      <c r="AX7500" s="118">
        <f t="shared" ref="AX7500" si="10916">SUM(AR7500:AW7500)</f>
        <v>417070</v>
      </c>
      <c r="AY7500" s="119"/>
      <c r="AZ7500" s="137">
        <v>46119</v>
      </c>
    </row>
    <row r="7501" spans="1:52" ht="17.100000000000001" customHeight="1" thickBot="1">
      <c r="A7501" s="110"/>
      <c r="B7501" s="27" t="s">
        <v>1940</v>
      </c>
      <c r="C7501" s="27">
        <v>53</v>
      </c>
      <c r="D7501" s="14" t="s">
        <v>1720</v>
      </c>
      <c r="E7501" s="112"/>
      <c r="F7501" s="139" t="s">
        <v>21401</v>
      </c>
      <c r="G7501" s="140"/>
      <c r="H7501" s="141"/>
      <c r="I7501" s="26">
        <v>76587</v>
      </c>
      <c r="J7501" s="117"/>
      <c r="K7501" s="120"/>
      <c r="L7501" s="121"/>
      <c r="M7501" s="120"/>
      <c r="N7501" s="121"/>
      <c r="O7501" s="120"/>
      <c r="P7501" s="121"/>
      <c r="Q7501" s="120"/>
      <c r="R7501" s="121"/>
      <c r="S7501" s="120"/>
      <c r="T7501" s="121"/>
      <c r="U7501" s="120"/>
      <c r="V7501" s="123"/>
      <c r="W7501" s="125"/>
      <c r="X7501" s="142" t="s">
        <v>21865</v>
      </c>
      <c r="Y7501" s="143"/>
      <c r="Z7501" s="143"/>
      <c r="AA7501" s="143"/>
      <c r="AB7501" s="144"/>
      <c r="AC7501" s="16" t="s">
        <v>21</v>
      </c>
      <c r="AD7501" s="17" t="s">
        <v>1642</v>
      </c>
      <c r="AE7501" s="145" t="s">
        <v>2051</v>
      </c>
      <c r="AF7501" s="146"/>
      <c r="AG7501" s="146"/>
      <c r="AH7501" s="146"/>
      <c r="AI7501" s="147"/>
      <c r="AJ7501" s="148"/>
      <c r="AK7501" s="143"/>
      <c r="AL7501" s="144"/>
      <c r="AM7501" s="22"/>
      <c r="AN7501" s="149" t="s">
        <v>2794</v>
      </c>
      <c r="AO7501" s="144"/>
      <c r="AP7501" s="148">
        <v>5080</v>
      </c>
      <c r="AQ7501" s="144"/>
      <c r="AR7501" s="120"/>
      <c r="AS7501" s="121"/>
      <c r="AT7501" s="120"/>
      <c r="AU7501" s="121"/>
      <c r="AV7501" s="120"/>
      <c r="AW7501" s="121"/>
      <c r="AX7501" s="120"/>
      <c r="AY7501" s="121"/>
      <c r="AZ7501" s="138"/>
    </row>
    <row r="7502" spans="1:52" ht="17.100000000000001" customHeight="1" thickTop="1">
      <c r="A7502" s="109" t="s">
        <v>21391</v>
      </c>
      <c r="B7502" s="28">
        <v>46107</v>
      </c>
      <c r="C7502" s="25">
        <v>2151</v>
      </c>
      <c r="D7502" s="13" t="s">
        <v>2564</v>
      </c>
      <c r="E7502" s="111"/>
      <c r="F7502" s="113" t="s">
        <v>21524</v>
      </c>
      <c r="G7502" s="114"/>
      <c r="H7502" s="115"/>
      <c r="I7502" s="24" t="s">
        <v>3490</v>
      </c>
      <c r="J7502" s="116">
        <v>4</v>
      </c>
      <c r="K7502" s="118">
        <v>230000</v>
      </c>
      <c r="L7502" s="119"/>
      <c r="M7502" s="118">
        <f t="shared" ref="M7502" si="10917">K7502*0.1</f>
        <v>23000</v>
      </c>
      <c r="N7502" s="119"/>
      <c r="O7502" s="118">
        <v>7200</v>
      </c>
      <c r="P7502" s="119"/>
      <c r="Q7502" s="118">
        <v>9070</v>
      </c>
      <c r="R7502" s="119"/>
      <c r="S7502" s="118">
        <v>14300</v>
      </c>
      <c r="T7502" s="119"/>
      <c r="U7502" s="118">
        <f t="shared" ref="U7502" si="10918">SUM(K7502:T7503)</f>
        <v>283570</v>
      </c>
      <c r="V7502" s="122"/>
      <c r="W7502" s="124"/>
      <c r="X7502" s="126" t="s">
        <v>21525</v>
      </c>
      <c r="Y7502" s="127"/>
      <c r="Z7502" s="127"/>
      <c r="AA7502" s="127"/>
      <c r="AB7502" s="128"/>
      <c r="AC7502" s="15" t="s">
        <v>20</v>
      </c>
      <c r="AD7502" s="129"/>
      <c r="AE7502" s="130"/>
      <c r="AF7502" s="130"/>
      <c r="AG7502" s="130"/>
      <c r="AH7502" s="130"/>
      <c r="AI7502" s="131"/>
      <c r="AJ7502" s="132"/>
      <c r="AK7502" s="127"/>
      <c r="AL7502" s="128"/>
      <c r="AM7502" s="21" t="s">
        <v>22987</v>
      </c>
      <c r="AN7502" s="133">
        <v>46120</v>
      </c>
      <c r="AO7502" s="134"/>
      <c r="AP7502" s="135">
        <v>1012</v>
      </c>
      <c r="AQ7502" s="136"/>
      <c r="AR7502" s="118">
        <v>300000</v>
      </c>
      <c r="AS7502" s="119"/>
      <c r="AT7502" s="118">
        <f t="shared" ref="AT7502" si="10919">AR7502*0.1</f>
        <v>30000</v>
      </c>
      <c r="AU7502" s="119"/>
      <c r="AV7502" s="118">
        <v>9070</v>
      </c>
      <c r="AW7502" s="119"/>
      <c r="AX7502" s="118">
        <f t="shared" ref="AX7502" si="10920">SUM(AR7502:AW7502)</f>
        <v>339070</v>
      </c>
      <c r="AY7502" s="119"/>
      <c r="AZ7502" s="137">
        <v>46128</v>
      </c>
    </row>
    <row r="7503" spans="1:52" ht="17.100000000000001" customHeight="1" thickBot="1">
      <c r="A7503" s="110"/>
      <c r="B7503" s="27" t="s">
        <v>1940</v>
      </c>
      <c r="C7503" s="27">
        <v>283</v>
      </c>
      <c r="D7503" s="14" t="s">
        <v>5615</v>
      </c>
      <c r="E7503" s="112"/>
      <c r="F7503" s="139" t="s">
        <v>21402</v>
      </c>
      <c r="G7503" s="140"/>
      <c r="H7503" s="141"/>
      <c r="I7503" s="26">
        <v>50952</v>
      </c>
      <c r="J7503" s="117"/>
      <c r="K7503" s="120"/>
      <c r="L7503" s="121"/>
      <c r="M7503" s="120"/>
      <c r="N7503" s="121"/>
      <c r="O7503" s="120"/>
      <c r="P7503" s="121"/>
      <c r="Q7503" s="120"/>
      <c r="R7503" s="121"/>
      <c r="S7503" s="120"/>
      <c r="T7503" s="121"/>
      <c r="U7503" s="120"/>
      <c r="V7503" s="123"/>
      <c r="W7503" s="125"/>
      <c r="X7503" s="142" t="s">
        <v>21902</v>
      </c>
      <c r="Y7503" s="143"/>
      <c r="Z7503" s="143"/>
      <c r="AA7503" s="143"/>
      <c r="AB7503" s="144"/>
      <c r="AC7503" s="16" t="s">
        <v>21</v>
      </c>
      <c r="AD7503" s="17" t="s">
        <v>1642</v>
      </c>
      <c r="AE7503" s="145" t="s">
        <v>1742</v>
      </c>
      <c r="AF7503" s="146"/>
      <c r="AG7503" s="146"/>
      <c r="AH7503" s="146"/>
      <c r="AI7503" s="147"/>
      <c r="AJ7503" s="148"/>
      <c r="AK7503" s="143"/>
      <c r="AL7503" s="144"/>
      <c r="AM7503" s="22"/>
      <c r="AN7503" s="149" t="s">
        <v>7285</v>
      </c>
      <c r="AO7503" s="144"/>
      <c r="AP7503" s="148">
        <v>2075</v>
      </c>
      <c r="AQ7503" s="144"/>
      <c r="AR7503" s="120"/>
      <c r="AS7503" s="121"/>
      <c r="AT7503" s="120"/>
      <c r="AU7503" s="121"/>
      <c r="AV7503" s="120"/>
      <c r="AW7503" s="121"/>
      <c r="AX7503" s="120"/>
      <c r="AY7503" s="121"/>
      <c r="AZ7503" s="138"/>
    </row>
    <row r="7504" spans="1:52" ht="17.100000000000001" customHeight="1" thickTop="1">
      <c r="A7504" s="109" t="s">
        <v>21392</v>
      </c>
      <c r="B7504" s="28">
        <v>46107</v>
      </c>
      <c r="C7504" s="25">
        <v>2151</v>
      </c>
      <c r="D7504" s="13" t="s">
        <v>5444</v>
      </c>
      <c r="E7504" s="111"/>
      <c r="F7504" s="113" t="s">
        <v>21526</v>
      </c>
      <c r="G7504" s="114"/>
      <c r="H7504" s="115"/>
      <c r="I7504" s="24" t="s">
        <v>15251</v>
      </c>
      <c r="J7504" s="116">
        <v>3.5</v>
      </c>
      <c r="K7504" s="118">
        <v>362000</v>
      </c>
      <c r="L7504" s="119"/>
      <c r="M7504" s="118">
        <f t="shared" ref="M7504" si="10921">K7504*0.1</f>
        <v>36200</v>
      </c>
      <c r="N7504" s="119"/>
      <c r="O7504" s="118">
        <v>12900</v>
      </c>
      <c r="P7504" s="119"/>
      <c r="Q7504" s="118">
        <v>7750</v>
      </c>
      <c r="R7504" s="119"/>
      <c r="S7504" s="118">
        <v>14300</v>
      </c>
      <c r="T7504" s="119"/>
      <c r="U7504" s="118">
        <f t="shared" ref="U7504" si="10922">SUM(K7504:T7505)</f>
        <v>433150</v>
      </c>
      <c r="V7504" s="122"/>
      <c r="W7504" s="124"/>
      <c r="X7504" s="126" t="s">
        <v>21527</v>
      </c>
      <c r="Y7504" s="127"/>
      <c r="Z7504" s="127"/>
      <c r="AA7504" s="127"/>
      <c r="AB7504" s="128"/>
      <c r="AC7504" s="15" t="s">
        <v>20</v>
      </c>
      <c r="AD7504" s="129"/>
      <c r="AE7504" s="130"/>
      <c r="AF7504" s="130"/>
      <c r="AG7504" s="130"/>
      <c r="AH7504" s="130"/>
      <c r="AI7504" s="131"/>
      <c r="AJ7504" s="132"/>
      <c r="AK7504" s="127"/>
      <c r="AL7504" s="128"/>
      <c r="AM7504" s="21" t="s">
        <v>22446</v>
      </c>
      <c r="AN7504" s="133">
        <v>46120</v>
      </c>
      <c r="AO7504" s="134"/>
      <c r="AP7504" s="135">
        <v>1012</v>
      </c>
      <c r="AQ7504" s="136"/>
      <c r="AR7504" s="118">
        <v>395000</v>
      </c>
      <c r="AS7504" s="119"/>
      <c r="AT7504" s="118">
        <f t="shared" ref="AT7504" si="10923">AR7504*0.1</f>
        <v>39500</v>
      </c>
      <c r="AU7504" s="119"/>
      <c r="AV7504" s="118">
        <v>7750</v>
      </c>
      <c r="AW7504" s="119"/>
      <c r="AX7504" s="118">
        <f t="shared" ref="AX7504" si="10924">SUM(AR7504:AW7504)</f>
        <v>442250</v>
      </c>
      <c r="AY7504" s="119"/>
      <c r="AZ7504" s="137">
        <v>46125</v>
      </c>
    </row>
    <row r="7505" spans="1:52" ht="17.100000000000001" customHeight="1" thickBot="1">
      <c r="A7505" s="110"/>
      <c r="B7505" s="27" t="s">
        <v>1940</v>
      </c>
      <c r="C7505" s="27">
        <v>345</v>
      </c>
      <c r="D7505" s="14" t="s">
        <v>1592</v>
      </c>
      <c r="E7505" s="112"/>
      <c r="F7505" s="139" t="s">
        <v>21403</v>
      </c>
      <c r="G7505" s="140"/>
      <c r="H7505" s="141"/>
      <c r="I7505" s="26">
        <v>57319</v>
      </c>
      <c r="J7505" s="117"/>
      <c r="K7505" s="120"/>
      <c r="L7505" s="121"/>
      <c r="M7505" s="120"/>
      <c r="N7505" s="121"/>
      <c r="O7505" s="120"/>
      <c r="P7505" s="121"/>
      <c r="Q7505" s="120"/>
      <c r="R7505" s="121"/>
      <c r="S7505" s="120"/>
      <c r="T7505" s="121"/>
      <c r="U7505" s="120"/>
      <c r="V7505" s="123"/>
      <c r="W7505" s="125"/>
      <c r="X7505" s="142" t="s">
        <v>21907</v>
      </c>
      <c r="Y7505" s="143"/>
      <c r="Z7505" s="143"/>
      <c r="AA7505" s="143"/>
      <c r="AB7505" s="144"/>
      <c r="AC7505" s="16" t="s">
        <v>21</v>
      </c>
      <c r="AD7505" s="17" t="s">
        <v>1642</v>
      </c>
      <c r="AE7505" s="145" t="s">
        <v>1633</v>
      </c>
      <c r="AF7505" s="146"/>
      <c r="AG7505" s="146"/>
      <c r="AH7505" s="146"/>
      <c r="AI7505" s="147"/>
      <c r="AJ7505" s="148"/>
      <c r="AK7505" s="143"/>
      <c r="AL7505" s="144"/>
      <c r="AM7505" s="22"/>
      <c r="AN7505" s="149" t="s">
        <v>2794</v>
      </c>
      <c r="AO7505" s="144"/>
      <c r="AP7505" s="148">
        <v>2060</v>
      </c>
      <c r="AQ7505" s="144"/>
      <c r="AR7505" s="120"/>
      <c r="AS7505" s="121"/>
      <c r="AT7505" s="120"/>
      <c r="AU7505" s="121"/>
      <c r="AV7505" s="120"/>
      <c r="AW7505" s="121"/>
      <c r="AX7505" s="120"/>
      <c r="AY7505" s="121"/>
      <c r="AZ7505" s="138"/>
    </row>
    <row r="7506" spans="1:52" ht="17.100000000000001" customHeight="1" thickTop="1">
      <c r="A7506" s="109" t="s">
        <v>21393</v>
      </c>
      <c r="B7506" s="28">
        <v>46107</v>
      </c>
      <c r="C7506" s="25">
        <v>2151</v>
      </c>
      <c r="D7506" s="13" t="s">
        <v>2348</v>
      </c>
      <c r="E7506" s="111"/>
      <c r="F7506" s="113" t="s">
        <v>21528</v>
      </c>
      <c r="G7506" s="114"/>
      <c r="H7506" s="115"/>
      <c r="I7506" s="24"/>
      <c r="J7506" s="116">
        <v>4</v>
      </c>
      <c r="K7506" s="118">
        <v>1660000</v>
      </c>
      <c r="L7506" s="119"/>
      <c r="M7506" s="118">
        <f t="shared" ref="M7506" si="10925">K7506*0.1</f>
        <v>166000</v>
      </c>
      <c r="N7506" s="119"/>
      <c r="O7506" s="118">
        <v>0</v>
      </c>
      <c r="P7506" s="119"/>
      <c r="Q7506" s="118">
        <v>12550</v>
      </c>
      <c r="R7506" s="119"/>
      <c r="S7506" s="118">
        <v>14300</v>
      </c>
      <c r="T7506" s="119"/>
      <c r="U7506" s="118">
        <f t="shared" ref="U7506" si="10926">SUM(K7506:T7507)</f>
        <v>1852850</v>
      </c>
      <c r="V7506" s="122"/>
      <c r="W7506" s="124"/>
      <c r="X7506" s="126" t="s">
        <v>21848</v>
      </c>
      <c r="Y7506" s="127"/>
      <c r="Z7506" s="127"/>
      <c r="AA7506" s="127"/>
      <c r="AB7506" s="128"/>
      <c r="AC7506" s="15" t="s">
        <v>20</v>
      </c>
      <c r="AD7506" s="129" t="s">
        <v>21529</v>
      </c>
      <c r="AE7506" s="130"/>
      <c r="AF7506" s="130"/>
      <c r="AG7506" s="130"/>
      <c r="AH7506" s="130"/>
      <c r="AI7506" s="131"/>
      <c r="AJ7506" s="132"/>
      <c r="AK7506" s="127"/>
      <c r="AL7506" s="128"/>
      <c r="AM7506" s="21"/>
      <c r="AN7506" s="133">
        <v>46113</v>
      </c>
      <c r="AO7506" s="134"/>
      <c r="AP7506" s="135">
        <v>1011</v>
      </c>
      <c r="AQ7506" s="136"/>
      <c r="AR7506" s="118">
        <v>1745000</v>
      </c>
      <c r="AS7506" s="119"/>
      <c r="AT7506" s="118">
        <f t="shared" ref="AT7506" si="10927">AR7506*0.1</f>
        <v>174500</v>
      </c>
      <c r="AU7506" s="119"/>
      <c r="AV7506" s="118">
        <v>12550</v>
      </c>
      <c r="AW7506" s="119"/>
      <c r="AX7506" s="118">
        <f t="shared" ref="AX7506" si="10928">SUM(AR7506:AW7506)</f>
        <v>1932050</v>
      </c>
      <c r="AY7506" s="119"/>
      <c r="AZ7506" s="137">
        <v>46120</v>
      </c>
    </row>
    <row r="7507" spans="1:52" ht="17.100000000000001" customHeight="1" thickBot="1">
      <c r="A7507" s="110"/>
      <c r="B7507" s="27" t="s">
        <v>1940</v>
      </c>
      <c r="C7507" s="27">
        <v>402</v>
      </c>
      <c r="D7507" s="14" t="s">
        <v>275</v>
      </c>
      <c r="E7507" s="112"/>
      <c r="F7507" s="139" t="s">
        <v>21404</v>
      </c>
      <c r="G7507" s="140"/>
      <c r="H7507" s="141"/>
      <c r="I7507" s="26">
        <v>75727</v>
      </c>
      <c r="J7507" s="117"/>
      <c r="K7507" s="120"/>
      <c r="L7507" s="121"/>
      <c r="M7507" s="120"/>
      <c r="N7507" s="121"/>
      <c r="O7507" s="120"/>
      <c r="P7507" s="121"/>
      <c r="Q7507" s="120"/>
      <c r="R7507" s="121"/>
      <c r="S7507" s="120"/>
      <c r="T7507" s="121"/>
      <c r="U7507" s="120"/>
      <c r="V7507" s="123"/>
      <c r="W7507" s="125"/>
      <c r="X7507" s="142" t="s">
        <v>21849</v>
      </c>
      <c r="Y7507" s="143"/>
      <c r="Z7507" s="143"/>
      <c r="AA7507" s="143"/>
      <c r="AB7507" s="144"/>
      <c r="AC7507" s="16" t="s">
        <v>21</v>
      </c>
      <c r="AD7507" s="17" t="s">
        <v>1642</v>
      </c>
      <c r="AE7507" s="145" t="s">
        <v>21908</v>
      </c>
      <c r="AF7507" s="146"/>
      <c r="AG7507" s="146"/>
      <c r="AH7507" s="146"/>
      <c r="AI7507" s="147"/>
      <c r="AJ7507" s="148"/>
      <c r="AK7507" s="143"/>
      <c r="AL7507" s="144"/>
      <c r="AM7507" s="22"/>
      <c r="AN7507" s="149" t="s">
        <v>2794</v>
      </c>
      <c r="AO7507" s="144"/>
      <c r="AP7507" s="148">
        <v>5040</v>
      </c>
      <c r="AQ7507" s="144"/>
      <c r="AR7507" s="120"/>
      <c r="AS7507" s="121"/>
      <c r="AT7507" s="120"/>
      <c r="AU7507" s="121"/>
      <c r="AV7507" s="120"/>
      <c r="AW7507" s="121"/>
      <c r="AX7507" s="120"/>
      <c r="AY7507" s="121"/>
      <c r="AZ7507" s="138"/>
    </row>
    <row r="7508" spans="1:52" ht="17.100000000000001" customHeight="1" thickTop="1">
      <c r="A7508" s="109" t="s">
        <v>21394</v>
      </c>
      <c r="B7508" s="28">
        <v>46107</v>
      </c>
      <c r="C7508" s="25">
        <v>2151</v>
      </c>
      <c r="D7508" s="13" t="s">
        <v>1758</v>
      </c>
      <c r="E7508" s="111"/>
      <c r="F7508" s="113" t="s">
        <v>21530</v>
      </c>
      <c r="G7508" s="114"/>
      <c r="H7508" s="115"/>
      <c r="I7508" s="24" t="s">
        <v>21531</v>
      </c>
      <c r="J7508" s="116">
        <v>4</v>
      </c>
      <c r="K7508" s="118">
        <v>627000</v>
      </c>
      <c r="L7508" s="119"/>
      <c r="M7508" s="118">
        <f t="shared" ref="M7508" si="10929">K7508*0.1</f>
        <v>62700</v>
      </c>
      <c r="N7508" s="119"/>
      <c r="O7508" s="118">
        <v>10800</v>
      </c>
      <c r="P7508" s="119"/>
      <c r="Q7508" s="118">
        <v>9550</v>
      </c>
      <c r="R7508" s="119"/>
      <c r="S7508" s="118">
        <v>14300</v>
      </c>
      <c r="T7508" s="119"/>
      <c r="U7508" s="118">
        <f t="shared" ref="U7508" si="10930">SUM(K7508:T7509)</f>
        <v>724350</v>
      </c>
      <c r="V7508" s="122"/>
      <c r="W7508" s="124"/>
      <c r="X7508" s="126" t="s">
        <v>21532</v>
      </c>
      <c r="Y7508" s="127"/>
      <c r="Z7508" s="127"/>
      <c r="AA7508" s="127"/>
      <c r="AB7508" s="128"/>
      <c r="AC7508" s="15" t="s">
        <v>20</v>
      </c>
      <c r="AD7508" s="129"/>
      <c r="AE7508" s="130"/>
      <c r="AF7508" s="130"/>
      <c r="AG7508" s="130"/>
      <c r="AH7508" s="130"/>
      <c r="AI7508" s="131"/>
      <c r="AJ7508" s="132"/>
      <c r="AK7508" s="127"/>
      <c r="AL7508" s="128"/>
      <c r="AM7508" s="21" t="s">
        <v>23800</v>
      </c>
      <c r="AN7508" s="133"/>
      <c r="AO7508" s="134"/>
      <c r="AP7508" s="135"/>
      <c r="AQ7508" s="136"/>
      <c r="AR7508" s="118"/>
      <c r="AS7508" s="119"/>
      <c r="AT7508" s="118">
        <f t="shared" ref="AT7508" si="10931">AR7508*0.1</f>
        <v>0</v>
      </c>
      <c r="AU7508" s="119"/>
      <c r="AV7508" s="118"/>
      <c r="AW7508" s="119"/>
      <c r="AX7508" s="118">
        <f t="shared" ref="AX7508" si="10932">SUM(AR7508:AW7508)</f>
        <v>0</v>
      </c>
      <c r="AY7508" s="119"/>
      <c r="AZ7508" s="137"/>
    </row>
    <row r="7509" spans="1:52" ht="17.100000000000001" customHeight="1" thickBot="1">
      <c r="A7509" s="110"/>
      <c r="B7509" s="27" t="s">
        <v>1940</v>
      </c>
      <c r="C7509" s="27">
        <v>2001</v>
      </c>
      <c r="D7509" s="14" t="s">
        <v>275</v>
      </c>
      <c r="E7509" s="112"/>
      <c r="F7509" s="139" t="s">
        <v>21405</v>
      </c>
      <c r="G7509" s="140"/>
      <c r="H7509" s="141"/>
      <c r="I7509" s="26">
        <v>51294</v>
      </c>
      <c r="J7509" s="117"/>
      <c r="K7509" s="120"/>
      <c r="L7509" s="121"/>
      <c r="M7509" s="120"/>
      <c r="N7509" s="121"/>
      <c r="O7509" s="120"/>
      <c r="P7509" s="121"/>
      <c r="Q7509" s="120"/>
      <c r="R7509" s="121"/>
      <c r="S7509" s="120"/>
      <c r="T7509" s="121"/>
      <c r="U7509" s="120"/>
      <c r="V7509" s="123"/>
      <c r="W7509" s="125"/>
      <c r="X7509" s="142" t="s">
        <v>21904</v>
      </c>
      <c r="Y7509" s="143"/>
      <c r="Z7509" s="143"/>
      <c r="AA7509" s="143"/>
      <c r="AB7509" s="144"/>
      <c r="AC7509" s="16" t="s">
        <v>21</v>
      </c>
      <c r="AD7509" s="17" t="s">
        <v>1642</v>
      </c>
      <c r="AE7509" s="145" t="s">
        <v>21905</v>
      </c>
      <c r="AF7509" s="146"/>
      <c r="AG7509" s="146"/>
      <c r="AH7509" s="146"/>
      <c r="AI7509" s="147"/>
      <c r="AJ7509" s="148"/>
      <c r="AK7509" s="143"/>
      <c r="AL7509" s="144"/>
      <c r="AM7509" s="22"/>
      <c r="AN7509" s="149"/>
      <c r="AO7509" s="144"/>
      <c r="AP7509" s="148"/>
      <c r="AQ7509" s="144"/>
      <c r="AR7509" s="120"/>
      <c r="AS7509" s="121"/>
      <c r="AT7509" s="120"/>
      <c r="AU7509" s="121"/>
      <c r="AV7509" s="120"/>
      <c r="AW7509" s="121"/>
      <c r="AX7509" s="120"/>
      <c r="AY7509" s="121"/>
      <c r="AZ7509" s="138"/>
    </row>
    <row r="7510" spans="1:52" ht="17.100000000000001" customHeight="1" thickTop="1">
      <c r="A7510" s="109" t="s">
        <v>21395</v>
      </c>
      <c r="B7510" s="28">
        <v>46107</v>
      </c>
      <c r="C7510" s="25">
        <v>2151</v>
      </c>
      <c r="D7510" s="13" t="s">
        <v>1760</v>
      </c>
      <c r="E7510" s="111"/>
      <c r="F7510" s="113" t="s">
        <v>21533</v>
      </c>
      <c r="G7510" s="114"/>
      <c r="H7510" s="115"/>
      <c r="I7510" s="24" t="s">
        <v>4390</v>
      </c>
      <c r="J7510" s="116">
        <v>4.5</v>
      </c>
      <c r="K7510" s="118">
        <v>809000</v>
      </c>
      <c r="L7510" s="119"/>
      <c r="M7510" s="118">
        <f t="shared" ref="M7510" si="10933">K7510*0.1</f>
        <v>80900</v>
      </c>
      <c r="N7510" s="119"/>
      <c r="O7510" s="118">
        <v>10800</v>
      </c>
      <c r="P7510" s="119"/>
      <c r="Q7510" s="118">
        <v>7040</v>
      </c>
      <c r="R7510" s="119"/>
      <c r="S7510" s="118">
        <v>14300</v>
      </c>
      <c r="T7510" s="119"/>
      <c r="U7510" s="118">
        <f t="shared" ref="U7510" si="10934">SUM(K7510:T7511)</f>
        <v>922040</v>
      </c>
      <c r="V7510" s="122"/>
      <c r="W7510" s="124"/>
      <c r="X7510" s="126" t="s">
        <v>21534</v>
      </c>
      <c r="Y7510" s="127"/>
      <c r="Z7510" s="127"/>
      <c r="AA7510" s="127"/>
      <c r="AB7510" s="128"/>
      <c r="AC7510" s="15" t="s">
        <v>20</v>
      </c>
      <c r="AD7510" s="129" t="s">
        <v>1670</v>
      </c>
      <c r="AE7510" s="130"/>
      <c r="AF7510" s="130"/>
      <c r="AG7510" s="130"/>
      <c r="AH7510" s="130"/>
      <c r="AI7510" s="131"/>
      <c r="AJ7510" s="132"/>
      <c r="AK7510" s="127"/>
      <c r="AL7510" s="128"/>
      <c r="AM7510" s="21" t="s">
        <v>22271</v>
      </c>
      <c r="AN7510" s="133">
        <v>46113</v>
      </c>
      <c r="AO7510" s="134"/>
      <c r="AP7510" s="135">
        <v>1011</v>
      </c>
      <c r="AQ7510" s="136"/>
      <c r="AR7510" s="118">
        <v>950000</v>
      </c>
      <c r="AS7510" s="119"/>
      <c r="AT7510" s="118">
        <f t="shared" ref="AT7510" si="10935">AR7510*0.1</f>
        <v>95000</v>
      </c>
      <c r="AU7510" s="119"/>
      <c r="AV7510" s="118">
        <v>7040</v>
      </c>
      <c r="AW7510" s="119"/>
      <c r="AX7510" s="118">
        <f t="shared" ref="AX7510" si="10936">SUM(AR7510:AW7510)</f>
        <v>1052040</v>
      </c>
      <c r="AY7510" s="119"/>
      <c r="AZ7510" s="137">
        <v>46121</v>
      </c>
    </row>
    <row r="7511" spans="1:52" ht="17.100000000000001" customHeight="1" thickBot="1">
      <c r="A7511" s="110"/>
      <c r="B7511" s="27" t="s">
        <v>1940</v>
      </c>
      <c r="C7511" s="27">
        <v>2002</v>
      </c>
      <c r="D7511" s="14" t="s">
        <v>2601</v>
      </c>
      <c r="E7511" s="112"/>
      <c r="F7511" s="139" t="s">
        <v>21406</v>
      </c>
      <c r="G7511" s="140"/>
      <c r="H7511" s="141"/>
      <c r="I7511" s="26">
        <v>50400</v>
      </c>
      <c r="J7511" s="117"/>
      <c r="K7511" s="120"/>
      <c r="L7511" s="121"/>
      <c r="M7511" s="120"/>
      <c r="N7511" s="121"/>
      <c r="O7511" s="120"/>
      <c r="P7511" s="121"/>
      <c r="Q7511" s="120"/>
      <c r="R7511" s="121"/>
      <c r="S7511" s="120"/>
      <c r="T7511" s="121"/>
      <c r="U7511" s="120"/>
      <c r="V7511" s="123"/>
      <c r="W7511" s="125"/>
      <c r="X7511" s="142" t="s">
        <v>21906</v>
      </c>
      <c r="Y7511" s="143"/>
      <c r="Z7511" s="143"/>
      <c r="AA7511" s="143"/>
      <c r="AB7511" s="144"/>
      <c r="AC7511" s="16" t="s">
        <v>21</v>
      </c>
      <c r="AD7511" s="17" t="s">
        <v>1642</v>
      </c>
      <c r="AE7511" s="145" t="s">
        <v>1742</v>
      </c>
      <c r="AF7511" s="146"/>
      <c r="AG7511" s="146"/>
      <c r="AH7511" s="146"/>
      <c r="AI7511" s="147"/>
      <c r="AJ7511" s="148"/>
      <c r="AK7511" s="143"/>
      <c r="AL7511" s="144"/>
      <c r="AM7511" s="22"/>
      <c r="AN7511" s="149" t="s">
        <v>7285</v>
      </c>
      <c r="AO7511" s="144"/>
      <c r="AP7511" s="148">
        <v>5045</v>
      </c>
      <c r="AQ7511" s="144"/>
      <c r="AR7511" s="120"/>
      <c r="AS7511" s="121"/>
      <c r="AT7511" s="120"/>
      <c r="AU7511" s="121"/>
      <c r="AV7511" s="120"/>
      <c r="AW7511" s="121"/>
      <c r="AX7511" s="120"/>
      <c r="AY7511" s="121"/>
      <c r="AZ7511" s="138"/>
    </row>
    <row r="7512" spans="1:52" ht="17.100000000000001" customHeight="1" thickTop="1">
      <c r="A7512" s="109" t="s">
        <v>21396</v>
      </c>
      <c r="B7512" s="28">
        <v>46107</v>
      </c>
      <c r="C7512" s="25">
        <v>2151</v>
      </c>
      <c r="D7512" s="13" t="s">
        <v>2359</v>
      </c>
      <c r="E7512" s="111"/>
      <c r="F7512" s="113" t="s">
        <v>15853</v>
      </c>
      <c r="G7512" s="114"/>
      <c r="H7512" s="115"/>
      <c r="I7512" s="24" t="s">
        <v>19772</v>
      </c>
      <c r="J7512" s="116">
        <v>4.5</v>
      </c>
      <c r="K7512" s="118">
        <v>1040000</v>
      </c>
      <c r="L7512" s="119"/>
      <c r="M7512" s="118">
        <f t="shared" ref="M7512" si="10937">K7512*0.1</f>
        <v>104000</v>
      </c>
      <c r="N7512" s="119"/>
      <c r="O7512" s="118">
        <v>10800</v>
      </c>
      <c r="P7512" s="119"/>
      <c r="Q7512" s="118">
        <v>8390</v>
      </c>
      <c r="R7512" s="119"/>
      <c r="S7512" s="118">
        <v>14300</v>
      </c>
      <c r="T7512" s="119"/>
      <c r="U7512" s="118">
        <f t="shared" ref="U7512" si="10938">SUM(K7512:T7513)</f>
        <v>1177490</v>
      </c>
      <c r="V7512" s="122"/>
      <c r="W7512" s="124"/>
      <c r="X7512" s="126" t="s">
        <v>21535</v>
      </c>
      <c r="Y7512" s="127"/>
      <c r="Z7512" s="127"/>
      <c r="AA7512" s="127"/>
      <c r="AB7512" s="128"/>
      <c r="AC7512" s="15" t="s">
        <v>20</v>
      </c>
      <c r="AD7512" s="129"/>
      <c r="AE7512" s="130"/>
      <c r="AF7512" s="130"/>
      <c r="AG7512" s="130"/>
      <c r="AH7512" s="130"/>
      <c r="AI7512" s="131"/>
      <c r="AJ7512" s="132"/>
      <c r="AK7512" s="127"/>
      <c r="AL7512" s="128"/>
      <c r="AM7512" s="21" t="s">
        <v>22443</v>
      </c>
      <c r="AN7512" s="133">
        <v>46119</v>
      </c>
      <c r="AO7512" s="134"/>
      <c r="AP7512" s="135">
        <v>1936</v>
      </c>
      <c r="AQ7512" s="136"/>
      <c r="AR7512" s="118">
        <v>1083000</v>
      </c>
      <c r="AS7512" s="119"/>
      <c r="AT7512" s="118">
        <v>108300</v>
      </c>
      <c r="AU7512" s="119"/>
      <c r="AV7512" s="118">
        <v>8390</v>
      </c>
      <c r="AW7512" s="119"/>
      <c r="AX7512" s="118">
        <f t="shared" ref="AX7512" si="10939">SUM(AR7512:AW7512)</f>
        <v>1199690</v>
      </c>
      <c r="AY7512" s="119"/>
      <c r="AZ7512" s="137"/>
    </row>
    <row r="7513" spans="1:52" ht="17.100000000000001" customHeight="1" thickBot="1">
      <c r="A7513" s="110"/>
      <c r="B7513" s="27" t="s">
        <v>1940</v>
      </c>
      <c r="C7513" s="27">
        <v>2132</v>
      </c>
      <c r="D7513" s="14" t="s">
        <v>2601</v>
      </c>
      <c r="E7513" s="112"/>
      <c r="F7513" s="139" t="s">
        <v>21407</v>
      </c>
      <c r="G7513" s="140"/>
      <c r="H7513" s="141"/>
      <c r="I7513" s="26">
        <v>49355</v>
      </c>
      <c r="J7513" s="117"/>
      <c r="K7513" s="120"/>
      <c r="L7513" s="121"/>
      <c r="M7513" s="120"/>
      <c r="N7513" s="121"/>
      <c r="O7513" s="120"/>
      <c r="P7513" s="121"/>
      <c r="Q7513" s="120"/>
      <c r="R7513" s="121"/>
      <c r="S7513" s="120"/>
      <c r="T7513" s="121"/>
      <c r="U7513" s="120"/>
      <c r="V7513" s="123"/>
      <c r="W7513" s="125"/>
      <c r="X7513" s="142" t="s">
        <v>21903</v>
      </c>
      <c r="Y7513" s="143"/>
      <c r="Z7513" s="143"/>
      <c r="AA7513" s="143"/>
      <c r="AB7513" s="144"/>
      <c r="AC7513" s="16" t="s">
        <v>21</v>
      </c>
      <c r="AD7513" s="17" t="s">
        <v>1642</v>
      </c>
      <c r="AE7513" s="145"/>
      <c r="AF7513" s="146"/>
      <c r="AG7513" s="146"/>
      <c r="AH7513" s="146"/>
      <c r="AI7513" s="147"/>
      <c r="AJ7513" s="148"/>
      <c r="AK7513" s="143"/>
      <c r="AL7513" s="144"/>
      <c r="AM7513" s="22"/>
      <c r="AN7513" s="149" t="s">
        <v>2131</v>
      </c>
      <c r="AO7513" s="144"/>
      <c r="AP7513" s="148">
        <v>3273</v>
      </c>
      <c r="AQ7513" s="144"/>
      <c r="AR7513" s="120"/>
      <c r="AS7513" s="121"/>
      <c r="AT7513" s="120"/>
      <c r="AU7513" s="121"/>
      <c r="AV7513" s="120"/>
      <c r="AW7513" s="121"/>
      <c r="AX7513" s="120"/>
      <c r="AY7513" s="121"/>
      <c r="AZ7513" s="138"/>
    </row>
    <row r="7514" spans="1:52" ht="17.100000000000001" customHeight="1" thickTop="1">
      <c r="A7514" s="109" t="s">
        <v>21397</v>
      </c>
      <c r="B7514" s="28">
        <v>46107</v>
      </c>
      <c r="C7514" s="25">
        <v>2151</v>
      </c>
      <c r="D7514" s="13" t="s">
        <v>2036</v>
      </c>
      <c r="E7514" s="111"/>
      <c r="F7514" s="113" t="s">
        <v>21536</v>
      </c>
      <c r="G7514" s="114"/>
      <c r="H7514" s="115"/>
      <c r="I7514" s="24"/>
      <c r="J7514" s="116">
        <v>4.5</v>
      </c>
      <c r="K7514" s="118">
        <v>1069000</v>
      </c>
      <c r="L7514" s="119"/>
      <c r="M7514" s="118">
        <f t="shared" ref="M7514" si="10940">K7514*0.1</f>
        <v>106900</v>
      </c>
      <c r="N7514" s="119"/>
      <c r="O7514" s="118">
        <v>0</v>
      </c>
      <c r="P7514" s="119"/>
      <c r="Q7514" s="118">
        <v>8550</v>
      </c>
      <c r="R7514" s="119"/>
      <c r="S7514" s="118">
        <v>14300</v>
      </c>
      <c r="T7514" s="119"/>
      <c r="U7514" s="118">
        <f t="shared" ref="U7514" si="10941">SUM(K7514:T7515)</f>
        <v>1198750</v>
      </c>
      <c r="V7514" s="122"/>
      <c r="W7514" s="124"/>
      <c r="X7514" s="126" t="s">
        <v>21833</v>
      </c>
      <c r="Y7514" s="127"/>
      <c r="Z7514" s="127"/>
      <c r="AA7514" s="127"/>
      <c r="AB7514" s="128"/>
      <c r="AC7514" s="15" t="s">
        <v>20</v>
      </c>
      <c r="AD7514" s="129" t="s">
        <v>1670</v>
      </c>
      <c r="AE7514" s="130"/>
      <c r="AF7514" s="130"/>
      <c r="AG7514" s="130"/>
      <c r="AH7514" s="130"/>
      <c r="AI7514" s="131"/>
      <c r="AJ7514" s="132"/>
      <c r="AK7514" s="127"/>
      <c r="AL7514" s="128"/>
      <c r="AM7514" s="21"/>
      <c r="AN7514" s="133">
        <v>46112</v>
      </c>
      <c r="AO7514" s="134"/>
      <c r="AP7514" s="135">
        <v>1935</v>
      </c>
      <c r="AQ7514" s="136"/>
      <c r="AR7514" s="118">
        <v>1103000</v>
      </c>
      <c r="AS7514" s="119"/>
      <c r="AT7514" s="118">
        <f t="shared" ref="AT7514" si="10942">AR7514*0.1</f>
        <v>110300</v>
      </c>
      <c r="AU7514" s="119"/>
      <c r="AV7514" s="118">
        <v>8550</v>
      </c>
      <c r="AW7514" s="119"/>
      <c r="AX7514" s="118">
        <f t="shared" ref="AX7514" si="10943">SUM(AR7514:AW7514)</f>
        <v>1221850</v>
      </c>
      <c r="AY7514" s="119"/>
      <c r="AZ7514" s="137"/>
    </row>
    <row r="7515" spans="1:52" ht="17.100000000000001" customHeight="1" thickBot="1">
      <c r="A7515" s="110"/>
      <c r="B7515" s="27" t="s">
        <v>1940</v>
      </c>
      <c r="C7515" s="27">
        <v>2589</v>
      </c>
      <c r="D7515" s="14" t="s">
        <v>2800</v>
      </c>
      <c r="E7515" s="112"/>
      <c r="F7515" s="139" t="s">
        <v>21408</v>
      </c>
      <c r="G7515" s="140"/>
      <c r="H7515" s="141"/>
      <c r="I7515" s="26">
        <v>31860</v>
      </c>
      <c r="J7515" s="117"/>
      <c r="K7515" s="120"/>
      <c r="L7515" s="121"/>
      <c r="M7515" s="120"/>
      <c r="N7515" s="121"/>
      <c r="O7515" s="120"/>
      <c r="P7515" s="121"/>
      <c r="Q7515" s="120"/>
      <c r="R7515" s="121"/>
      <c r="S7515" s="120"/>
      <c r="T7515" s="121"/>
      <c r="U7515" s="120"/>
      <c r="V7515" s="123"/>
      <c r="W7515" s="125"/>
      <c r="X7515" s="142" t="s">
        <v>21834</v>
      </c>
      <c r="Y7515" s="143"/>
      <c r="Z7515" s="143"/>
      <c r="AA7515" s="143"/>
      <c r="AB7515" s="144"/>
      <c r="AC7515" s="16" t="s">
        <v>21</v>
      </c>
      <c r="AD7515" s="17" t="s">
        <v>1642</v>
      </c>
      <c r="AE7515" s="145" t="s">
        <v>1742</v>
      </c>
      <c r="AF7515" s="146"/>
      <c r="AG7515" s="146"/>
      <c r="AH7515" s="146"/>
      <c r="AI7515" s="147"/>
      <c r="AJ7515" s="148"/>
      <c r="AK7515" s="143"/>
      <c r="AL7515" s="144"/>
      <c r="AM7515" s="22"/>
      <c r="AN7515" s="149" t="s">
        <v>21744</v>
      </c>
      <c r="AO7515" s="144"/>
      <c r="AP7515" s="148">
        <v>3361</v>
      </c>
      <c r="AQ7515" s="144"/>
      <c r="AR7515" s="120"/>
      <c r="AS7515" s="121"/>
      <c r="AT7515" s="120"/>
      <c r="AU7515" s="121"/>
      <c r="AV7515" s="120"/>
      <c r="AW7515" s="121"/>
      <c r="AX7515" s="120"/>
      <c r="AY7515" s="121"/>
      <c r="AZ7515" s="138"/>
    </row>
    <row r="7516" spans="1:52" ht="17.100000000000001" customHeight="1" thickTop="1">
      <c r="A7516" s="109" t="s">
        <v>21398</v>
      </c>
      <c r="B7516" s="28">
        <v>46107</v>
      </c>
      <c r="C7516" s="25">
        <v>2151</v>
      </c>
      <c r="D7516" s="13" t="s">
        <v>2135</v>
      </c>
      <c r="E7516" s="111"/>
      <c r="F7516" s="113" t="s">
        <v>16631</v>
      </c>
      <c r="G7516" s="114"/>
      <c r="H7516" s="115"/>
      <c r="I7516" s="24" t="s">
        <v>4535</v>
      </c>
      <c r="J7516" s="116">
        <v>4</v>
      </c>
      <c r="K7516" s="118">
        <v>309000</v>
      </c>
      <c r="L7516" s="119"/>
      <c r="M7516" s="118">
        <f t="shared" ref="M7516" si="10944">K7516*0.1</f>
        <v>30900</v>
      </c>
      <c r="N7516" s="119"/>
      <c r="O7516" s="118">
        <v>10800</v>
      </c>
      <c r="P7516" s="119"/>
      <c r="Q7516" s="118">
        <v>9200</v>
      </c>
      <c r="R7516" s="119"/>
      <c r="S7516" s="118">
        <v>14300</v>
      </c>
      <c r="T7516" s="119"/>
      <c r="U7516" s="118">
        <f t="shared" ref="U7516" si="10945">SUM(K7516:T7517)</f>
        <v>374200</v>
      </c>
      <c r="V7516" s="122"/>
      <c r="W7516" s="124"/>
      <c r="X7516" s="126" t="s">
        <v>21537</v>
      </c>
      <c r="Y7516" s="127"/>
      <c r="Z7516" s="127"/>
      <c r="AA7516" s="127"/>
      <c r="AB7516" s="128"/>
      <c r="AC7516" s="15" t="s">
        <v>20</v>
      </c>
      <c r="AD7516" s="129" t="s">
        <v>1670</v>
      </c>
      <c r="AE7516" s="130"/>
      <c r="AF7516" s="130"/>
      <c r="AG7516" s="130"/>
      <c r="AH7516" s="130"/>
      <c r="AI7516" s="131"/>
      <c r="AJ7516" s="132"/>
      <c r="AK7516" s="127"/>
      <c r="AL7516" s="128"/>
      <c r="AM7516" s="21" t="s">
        <v>21932</v>
      </c>
      <c r="AN7516" s="133">
        <v>46113</v>
      </c>
      <c r="AO7516" s="134"/>
      <c r="AP7516" s="135">
        <v>1011</v>
      </c>
      <c r="AQ7516" s="136"/>
      <c r="AR7516" s="118">
        <v>380000</v>
      </c>
      <c r="AS7516" s="119"/>
      <c r="AT7516" s="118">
        <f t="shared" ref="AT7516" si="10946">AR7516*0.1</f>
        <v>38000</v>
      </c>
      <c r="AU7516" s="119"/>
      <c r="AV7516" s="118">
        <v>9680</v>
      </c>
      <c r="AW7516" s="119"/>
      <c r="AX7516" s="118">
        <f t="shared" ref="AX7516" si="10947">SUM(AR7516:AW7516)</f>
        <v>427680</v>
      </c>
      <c r="AY7516" s="119"/>
      <c r="AZ7516" s="137"/>
    </row>
    <row r="7517" spans="1:52" ht="17.100000000000001" customHeight="1" thickBot="1">
      <c r="A7517" s="110"/>
      <c r="B7517" s="27" t="s">
        <v>1940</v>
      </c>
      <c r="C7517" s="27">
        <v>35102</v>
      </c>
      <c r="D7517" s="14" t="s">
        <v>1720</v>
      </c>
      <c r="E7517" s="112"/>
      <c r="F7517" s="139" t="s">
        <v>21409</v>
      </c>
      <c r="G7517" s="140"/>
      <c r="H7517" s="141"/>
      <c r="I7517" s="26">
        <v>84840</v>
      </c>
      <c r="J7517" s="117"/>
      <c r="K7517" s="120"/>
      <c r="L7517" s="121"/>
      <c r="M7517" s="120"/>
      <c r="N7517" s="121"/>
      <c r="O7517" s="120"/>
      <c r="P7517" s="121"/>
      <c r="Q7517" s="120"/>
      <c r="R7517" s="121"/>
      <c r="S7517" s="120"/>
      <c r="T7517" s="121"/>
      <c r="U7517" s="120"/>
      <c r="V7517" s="123"/>
      <c r="W7517" s="125"/>
      <c r="X7517" s="142" t="s">
        <v>21850</v>
      </c>
      <c r="Y7517" s="143"/>
      <c r="Z7517" s="143"/>
      <c r="AA7517" s="143"/>
      <c r="AB7517" s="144"/>
      <c r="AC7517" s="16" t="s">
        <v>21</v>
      </c>
      <c r="AD7517" s="17" t="s">
        <v>1642</v>
      </c>
      <c r="AE7517" s="145" t="s">
        <v>2395</v>
      </c>
      <c r="AF7517" s="146"/>
      <c r="AG7517" s="146"/>
      <c r="AH7517" s="146"/>
      <c r="AI7517" s="147"/>
      <c r="AJ7517" s="148"/>
      <c r="AK7517" s="143"/>
      <c r="AL7517" s="144"/>
      <c r="AM7517" s="22"/>
      <c r="AN7517" s="149" t="s">
        <v>2794</v>
      </c>
      <c r="AO7517" s="144"/>
      <c r="AP7517" s="148">
        <v>5039</v>
      </c>
      <c r="AQ7517" s="144"/>
      <c r="AR7517" s="120"/>
      <c r="AS7517" s="121"/>
      <c r="AT7517" s="120"/>
      <c r="AU7517" s="121"/>
      <c r="AV7517" s="120"/>
      <c r="AW7517" s="121"/>
      <c r="AX7517" s="120"/>
      <c r="AY7517" s="121"/>
      <c r="AZ7517" s="138"/>
    </row>
    <row r="7518" spans="1:52" ht="17.100000000000001" customHeight="1" thickTop="1">
      <c r="A7518" s="109" t="s">
        <v>21411</v>
      </c>
      <c r="B7518" s="28">
        <v>46107</v>
      </c>
      <c r="C7518" s="25">
        <v>2151</v>
      </c>
      <c r="D7518" s="13" t="s">
        <v>21859</v>
      </c>
      <c r="E7518" s="111"/>
      <c r="F7518" s="113" t="s">
        <v>21538</v>
      </c>
      <c r="G7518" s="114"/>
      <c r="H7518" s="115"/>
      <c r="I7518" s="24"/>
      <c r="J7518" s="150" t="s">
        <v>1715</v>
      </c>
      <c r="K7518" s="118">
        <v>201000</v>
      </c>
      <c r="L7518" s="119"/>
      <c r="M7518" s="118">
        <f t="shared" ref="M7518" si="10948">K7518*0.1</f>
        <v>20100</v>
      </c>
      <c r="N7518" s="119"/>
      <c r="O7518" s="118">
        <v>0</v>
      </c>
      <c r="P7518" s="119"/>
      <c r="Q7518" s="118">
        <v>8370</v>
      </c>
      <c r="R7518" s="119"/>
      <c r="S7518" s="118">
        <v>14300</v>
      </c>
      <c r="T7518" s="119"/>
      <c r="U7518" s="118">
        <f t="shared" ref="U7518" si="10949">SUM(K7518:T7519)</f>
        <v>243770</v>
      </c>
      <c r="V7518" s="122"/>
      <c r="W7518" s="124"/>
      <c r="X7518" s="126" t="s">
        <v>21860</v>
      </c>
      <c r="Y7518" s="127"/>
      <c r="Z7518" s="127"/>
      <c r="AA7518" s="127"/>
      <c r="AB7518" s="128"/>
      <c r="AC7518" s="15" t="s">
        <v>20</v>
      </c>
      <c r="AD7518" s="129"/>
      <c r="AE7518" s="130"/>
      <c r="AF7518" s="130"/>
      <c r="AG7518" s="130"/>
      <c r="AH7518" s="130"/>
      <c r="AI7518" s="131"/>
      <c r="AJ7518" s="132"/>
      <c r="AK7518" s="127"/>
      <c r="AL7518" s="128"/>
      <c r="AM7518" s="21"/>
      <c r="AN7518" s="133">
        <v>46113</v>
      </c>
      <c r="AO7518" s="134"/>
      <c r="AP7518" s="135">
        <v>1011</v>
      </c>
      <c r="AQ7518" s="136"/>
      <c r="AR7518" s="118">
        <v>280000</v>
      </c>
      <c r="AS7518" s="119"/>
      <c r="AT7518" s="118">
        <f t="shared" ref="AT7518" si="10950">AR7518*0.1</f>
        <v>28000</v>
      </c>
      <c r="AU7518" s="119"/>
      <c r="AV7518" s="118">
        <v>8370</v>
      </c>
      <c r="AW7518" s="119"/>
      <c r="AX7518" s="118">
        <f t="shared" ref="AX7518" si="10951">SUM(AR7518:AW7518)</f>
        <v>316370</v>
      </c>
      <c r="AY7518" s="119"/>
      <c r="AZ7518" s="137">
        <v>46118</v>
      </c>
    </row>
    <row r="7519" spans="1:52" ht="17.100000000000001" customHeight="1" thickBot="1">
      <c r="A7519" s="110"/>
      <c r="B7519" s="27" t="s">
        <v>1940</v>
      </c>
      <c r="C7519" s="27">
        <v>35343</v>
      </c>
      <c r="D7519" s="14" t="s">
        <v>275</v>
      </c>
      <c r="E7519" s="112"/>
      <c r="F7519" s="139" t="s">
        <v>21410</v>
      </c>
      <c r="G7519" s="140"/>
      <c r="H7519" s="141"/>
      <c r="I7519" s="26">
        <v>159367</v>
      </c>
      <c r="J7519" s="117"/>
      <c r="K7519" s="120"/>
      <c r="L7519" s="121"/>
      <c r="M7519" s="120"/>
      <c r="N7519" s="121"/>
      <c r="O7519" s="120"/>
      <c r="P7519" s="121"/>
      <c r="Q7519" s="120"/>
      <c r="R7519" s="121"/>
      <c r="S7519" s="120"/>
      <c r="T7519" s="121"/>
      <c r="U7519" s="120"/>
      <c r="V7519" s="123"/>
      <c r="W7519" s="125"/>
      <c r="X7519" s="142" t="s">
        <v>1997</v>
      </c>
      <c r="Y7519" s="143"/>
      <c r="Z7519" s="143"/>
      <c r="AA7519" s="143"/>
      <c r="AB7519" s="144"/>
      <c r="AC7519" s="16" t="s">
        <v>21</v>
      </c>
      <c r="AD7519" s="17" t="s">
        <v>1642</v>
      </c>
      <c r="AE7519" s="145"/>
      <c r="AF7519" s="146"/>
      <c r="AG7519" s="146"/>
      <c r="AH7519" s="146"/>
      <c r="AI7519" s="147"/>
      <c r="AJ7519" s="148"/>
      <c r="AK7519" s="143"/>
      <c r="AL7519" s="144"/>
      <c r="AM7519" s="22"/>
      <c r="AN7519" s="149" t="s">
        <v>2794</v>
      </c>
      <c r="AO7519" s="144"/>
      <c r="AP7519" s="148">
        <v>5078</v>
      </c>
      <c r="AQ7519" s="144"/>
      <c r="AR7519" s="120"/>
      <c r="AS7519" s="121"/>
      <c r="AT7519" s="120"/>
      <c r="AU7519" s="121"/>
      <c r="AV7519" s="120"/>
      <c r="AW7519" s="121"/>
      <c r="AX7519" s="120"/>
      <c r="AY7519" s="121"/>
      <c r="AZ7519" s="138"/>
    </row>
    <row r="7520" spans="1:52" ht="17.100000000000001" customHeight="1" thickTop="1">
      <c r="A7520" s="109" t="s">
        <v>21412</v>
      </c>
      <c r="B7520" s="28">
        <v>46107</v>
      </c>
      <c r="C7520" s="25">
        <v>2020</v>
      </c>
      <c r="D7520" s="13" t="s">
        <v>1958</v>
      </c>
      <c r="E7520" s="111"/>
      <c r="F7520" s="113" t="s">
        <v>21555</v>
      </c>
      <c r="G7520" s="114"/>
      <c r="H7520" s="115"/>
      <c r="I7520" s="24"/>
      <c r="J7520" s="116">
        <v>4</v>
      </c>
      <c r="K7520" s="118">
        <v>932000</v>
      </c>
      <c r="L7520" s="119"/>
      <c r="M7520" s="118">
        <f t="shared" ref="M7520" si="10952">K7520*0.1</f>
        <v>93200</v>
      </c>
      <c r="N7520" s="119"/>
      <c r="O7520" s="118">
        <v>0</v>
      </c>
      <c r="P7520" s="119"/>
      <c r="Q7520" s="118">
        <v>10360</v>
      </c>
      <c r="R7520" s="119"/>
      <c r="S7520" s="118">
        <v>22000</v>
      </c>
      <c r="T7520" s="119"/>
      <c r="U7520" s="118">
        <f t="shared" ref="U7520" si="10953">SUM(K7520:T7521)</f>
        <v>1057560</v>
      </c>
      <c r="V7520" s="122"/>
      <c r="W7520" s="124"/>
      <c r="X7520" s="126" t="s">
        <v>21901</v>
      </c>
      <c r="Y7520" s="127"/>
      <c r="Z7520" s="127"/>
      <c r="AA7520" s="127"/>
      <c r="AB7520" s="128"/>
      <c r="AC7520" s="15" t="s">
        <v>20</v>
      </c>
      <c r="AD7520" s="129"/>
      <c r="AE7520" s="130"/>
      <c r="AF7520" s="130"/>
      <c r="AG7520" s="130"/>
      <c r="AH7520" s="130"/>
      <c r="AI7520" s="131"/>
      <c r="AJ7520" s="132"/>
      <c r="AK7520" s="127"/>
      <c r="AL7520" s="128"/>
      <c r="AM7520" s="21"/>
      <c r="AN7520" s="133">
        <v>46120</v>
      </c>
      <c r="AO7520" s="134"/>
      <c r="AP7520" s="135">
        <v>1012</v>
      </c>
      <c r="AQ7520" s="136"/>
      <c r="AR7520" s="118">
        <v>955000</v>
      </c>
      <c r="AS7520" s="119"/>
      <c r="AT7520" s="118">
        <f t="shared" ref="AT7520" si="10954">AR7520*0.1</f>
        <v>95500</v>
      </c>
      <c r="AU7520" s="119"/>
      <c r="AV7520" s="118">
        <v>10360</v>
      </c>
      <c r="AW7520" s="119"/>
      <c r="AX7520" s="118">
        <f t="shared" ref="AX7520" si="10955">SUM(AR7520:AW7520)</f>
        <v>1060860</v>
      </c>
      <c r="AY7520" s="119"/>
      <c r="AZ7520" s="137">
        <v>46125</v>
      </c>
    </row>
    <row r="7521" spans="1:52" ht="17.100000000000001" customHeight="1" thickBot="1">
      <c r="A7521" s="110"/>
      <c r="B7521" s="27" t="s">
        <v>2727</v>
      </c>
      <c r="C7521" s="27">
        <v>30024</v>
      </c>
      <c r="D7521" s="14" t="s">
        <v>21554</v>
      </c>
      <c r="E7521" s="112"/>
      <c r="F7521" s="139" t="s">
        <v>21432</v>
      </c>
      <c r="G7521" s="140"/>
      <c r="H7521" s="141"/>
      <c r="I7521" s="26">
        <v>60104</v>
      </c>
      <c r="J7521" s="117"/>
      <c r="K7521" s="120"/>
      <c r="L7521" s="121"/>
      <c r="M7521" s="120"/>
      <c r="N7521" s="121"/>
      <c r="O7521" s="120"/>
      <c r="P7521" s="121"/>
      <c r="Q7521" s="120"/>
      <c r="R7521" s="121"/>
      <c r="S7521" s="120"/>
      <c r="T7521" s="121"/>
      <c r="U7521" s="120"/>
      <c r="V7521" s="123"/>
      <c r="W7521" s="125"/>
      <c r="X7521" s="142" t="s">
        <v>3018</v>
      </c>
      <c r="Y7521" s="143"/>
      <c r="Z7521" s="143"/>
      <c r="AA7521" s="143"/>
      <c r="AB7521" s="144"/>
      <c r="AC7521" s="16" t="s">
        <v>21</v>
      </c>
      <c r="AD7521" s="17" t="s">
        <v>1642</v>
      </c>
      <c r="AE7521" s="145" t="s">
        <v>14227</v>
      </c>
      <c r="AF7521" s="146"/>
      <c r="AG7521" s="146"/>
      <c r="AH7521" s="146"/>
      <c r="AI7521" s="147"/>
      <c r="AJ7521" s="148"/>
      <c r="AK7521" s="143"/>
      <c r="AL7521" s="144"/>
      <c r="AM7521" s="22"/>
      <c r="AN7521" s="149" t="s">
        <v>2794</v>
      </c>
      <c r="AO7521" s="144"/>
      <c r="AP7521" s="148">
        <v>6011</v>
      </c>
      <c r="AQ7521" s="144"/>
      <c r="AR7521" s="120"/>
      <c r="AS7521" s="121"/>
      <c r="AT7521" s="120"/>
      <c r="AU7521" s="121"/>
      <c r="AV7521" s="120"/>
      <c r="AW7521" s="121"/>
      <c r="AX7521" s="120"/>
      <c r="AY7521" s="121"/>
      <c r="AZ7521" s="138"/>
    </row>
    <row r="7522" spans="1:52" ht="17.100000000000001" customHeight="1" thickTop="1">
      <c r="A7522" s="109" t="s">
        <v>21413</v>
      </c>
      <c r="B7522" s="28">
        <v>46107</v>
      </c>
      <c r="C7522" s="25">
        <v>2020</v>
      </c>
      <c r="D7522" s="13" t="s">
        <v>2301</v>
      </c>
      <c r="E7522" s="111"/>
      <c r="F7522" s="113" t="s">
        <v>21556</v>
      </c>
      <c r="G7522" s="114"/>
      <c r="H7522" s="115"/>
      <c r="I7522" s="24" t="s">
        <v>2571</v>
      </c>
      <c r="J7522" s="116">
        <v>4.5</v>
      </c>
      <c r="K7522" s="118">
        <v>1691000</v>
      </c>
      <c r="L7522" s="119"/>
      <c r="M7522" s="118">
        <v>0</v>
      </c>
      <c r="N7522" s="119"/>
      <c r="O7522" s="118">
        <v>34500</v>
      </c>
      <c r="P7522" s="119"/>
      <c r="Q7522" s="118">
        <v>10190</v>
      </c>
      <c r="R7522" s="119"/>
      <c r="S7522" s="118">
        <v>22000</v>
      </c>
      <c r="T7522" s="119"/>
      <c r="U7522" s="118">
        <f t="shared" ref="U7522" si="10956">SUM(K7522:T7523)</f>
        <v>1757690</v>
      </c>
      <c r="V7522" s="122"/>
      <c r="W7522" s="124"/>
      <c r="X7522" s="126" t="s">
        <v>21557</v>
      </c>
      <c r="Y7522" s="127"/>
      <c r="Z7522" s="127"/>
      <c r="AA7522" s="127"/>
      <c r="AB7522" s="128"/>
      <c r="AC7522" s="15" t="s">
        <v>20</v>
      </c>
      <c r="AD7522" s="129" t="s">
        <v>21558</v>
      </c>
      <c r="AE7522" s="130"/>
      <c r="AF7522" s="130"/>
      <c r="AG7522" s="130"/>
      <c r="AH7522" s="130"/>
      <c r="AI7522" s="131"/>
      <c r="AJ7522" s="132" t="s">
        <v>21559</v>
      </c>
      <c r="AK7522" s="127"/>
      <c r="AL7522" s="128"/>
      <c r="AM7522" s="21"/>
      <c r="AN7522" s="133">
        <v>46113</v>
      </c>
      <c r="AO7522" s="134"/>
      <c r="AP7522" s="135">
        <v>1011</v>
      </c>
      <c r="AQ7522" s="136"/>
      <c r="AR7522" s="118">
        <v>1900000</v>
      </c>
      <c r="AS7522" s="119"/>
      <c r="AT7522" s="118">
        <v>0</v>
      </c>
      <c r="AU7522" s="119"/>
      <c r="AV7522" s="118">
        <v>10190</v>
      </c>
      <c r="AW7522" s="119"/>
      <c r="AX7522" s="118">
        <f t="shared" ref="AX7522" si="10957">SUM(AR7522:AW7522)</f>
        <v>1910190</v>
      </c>
      <c r="AY7522" s="119"/>
      <c r="AZ7522" s="137">
        <v>46118</v>
      </c>
    </row>
    <row r="7523" spans="1:52" ht="17.100000000000001" customHeight="1" thickBot="1">
      <c r="A7523" s="110"/>
      <c r="B7523" s="27" t="s">
        <v>2727</v>
      </c>
      <c r="C7523" s="27">
        <v>30106</v>
      </c>
      <c r="D7523" s="14" t="s">
        <v>2601</v>
      </c>
      <c r="E7523" s="112"/>
      <c r="F7523" s="139" t="s">
        <v>21433</v>
      </c>
      <c r="G7523" s="140"/>
      <c r="H7523" s="141"/>
      <c r="I7523" s="26">
        <v>52641</v>
      </c>
      <c r="J7523" s="117"/>
      <c r="K7523" s="120"/>
      <c r="L7523" s="121"/>
      <c r="M7523" s="120"/>
      <c r="N7523" s="121"/>
      <c r="O7523" s="120"/>
      <c r="P7523" s="121"/>
      <c r="Q7523" s="120"/>
      <c r="R7523" s="121"/>
      <c r="S7523" s="120"/>
      <c r="T7523" s="121"/>
      <c r="U7523" s="120"/>
      <c r="V7523" s="123"/>
      <c r="W7523" s="125"/>
      <c r="X7523" s="142" t="s">
        <v>21851</v>
      </c>
      <c r="Y7523" s="143"/>
      <c r="Z7523" s="143"/>
      <c r="AA7523" s="143"/>
      <c r="AB7523" s="144"/>
      <c r="AC7523" s="16" t="s">
        <v>21</v>
      </c>
      <c r="AD7523" s="17" t="s">
        <v>1642</v>
      </c>
      <c r="AE7523" s="145" t="s">
        <v>21926</v>
      </c>
      <c r="AF7523" s="146"/>
      <c r="AG7523" s="146"/>
      <c r="AH7523" s="146"/>
      <c r="AI7523" s="147"/>
      <c r="AJ7523" s="148"/>
      <c r="AK7523" s="143"/>
      <c r="AL7523" s="144"/>
      <c r="AM7523" s="22"/>
      <c r="AN7523" s="149" t="s">
        <v>2794</v>
      </c>
      <c r="AO7523" s="144"/>
      <c r="AP7523" s="148">
        <v>5053</v>
      </c>
      <c r="AQ7523" s="144"/>
      <c r="AR7523" s="120"/>
      <c r="AS7523" s="121"/>
      <c r="AT7523" s="120"/>
      <c r="AU7523" s="121"/>
      <c r="AV7523" s="120"/>
      <c r="AW7523" s="121"/>
      <c r="AX7523" s="120"/>
      <c r="AY7523" s="121"/>
      <c r="AZ7523" s="138"/>
    </row>
    <row r="7524" spans="1:52" ht="17.100000000000001" customHeight="1" thickTop="1">
      <c r="A7524" s="109" t="s">
        <v>21414</v>
      </c>
      <c r="B7524" s="28">
        <v>46107</v>
      </c>
      <c r="C7524" s="25">
        <v>2020</v>
      </c>
      <c r="D7524" s="13" t="s">
        <v>1998</v>
      </c>
      <c r="E7524" s="111"/>
      <c r="F7524" s="113" t="s">
        <v>21560</v>
      </c>
      <c r="G7524" s="114"/>
      <c r="H7524" s="115"/>
      <c r="I7524" s="24"/>
      <c r="J7524" s="116">
        <v>4</v>
      </c>
      <c r="K7524" s="118">
        <v>1370000</v>
      </c>
      <c r="L7524" s="119"/>
      <c r="M7524" s="118">
        <f t="shared" ref="M7524" si="10958">K7524*0.1</f>
        <v>137000</v>
      </c>
      <c r="N7524" s="119"/>
      <c r="O7524" s="118">
        <v>0</v>
      </c>
      <c r="P7524" s="119"/>
      <c r="Q7524" s="118">
        <v>7530</v>
      </c>
      <c r="R7524" s="119"/>
      <c r="S7524" s="118">
        <v>22000</v>
      </c>
      <c r="T7524" s="119"/>
      <c r="U7524" s="118">
        <f t="shared" ref="U7524" si="10959">SUM(K7524:T7525)</f>
        <v>1536530</v>
      </c>
      <c r="V7524" s="122"/>
      <c r="W7524" s="124"/>
      <c r="X7524" s="126" t="s">
        <v>21863</v>
      </c>
      <c r="Y7524" s="127"/>
      <c r="Z7524" s="127"/>
      <c r="AA7524" s="127"/>
      <c r="AB7524" s="128"/>
      <c r="AC7524" s="15" t="s">
        <v>20</v>
      </c>
      <c r="AD7524" s="129" t="s">
        <v>15208</v>
      </c>
      <c r="AE7524" s="130"/>
      <c r="AF7524" s="130"/>
      <c r="AG7524" s="130"/>
      <c r="AH7524" s="130"/>
      <c r="AI7524" s="131"/>
      <c r="AJ7524" s="132"/>
      <c r="AK7524" s="127"/>
      <c r="AL7524" s="128"/>
      <c r="AM7524" s="21"/>
      <c r="AN7524" s="133">
        <v>46113</v>
      </c>
      <c r="AO7524" s="134"/>
      <c r="AP7524" s="135">
        <v>1011</v>
      </c>
      <c r="AQ7524" s="136"/>
      <c r="AR7524" s="118">
        <v>1435000</v>
      </c>
      <c r="AS7524" s="119"/>
      <c r="AT7524" s="118">
        <f t="shared" ref="AT7524" si="10960">AR7524*0.1</f>
        <v>143500</v>
      </c>
      <c r="AU7524" s="119"/>
      <c r="AV7524" s="118">
        <v>7530</v>
      </c>
      <c r="AW7524" s="119"/>
      <c r="AX7524" s="118">
        <f t="shared" ref="AX7524" si="10961">SUM(AR7524:AW7524)</f>
        <v>1586030</v>
      </c>
      <c r="AY7524" s="119"/>
      <c r="AZ7524" s="137">
        <v>46118</v>
      </c>
    </row>
    <row r="7525" spans="1:52" ht="17.100000000000001" customHeight="1" thickBot="1">
      <c r="A7525" s="110"/>
      <c r="B7525" s="27" t="s">
        <v>2727</v>
      </c>
      <c r="C7525" s="27">
        <v>30131</v>
      </c>
      <c r="D7525" s="14" t="s">
        <v>2601</v>
      </c>
      <c r="E7525" s="112"/>
      <c r="F7525" s="139" t="s">
        <v>21862</v>
      </c>
      <c r="G7525" s="140"/>
      <c r="H7525" s="141"/>
      <c r="I7525" s="26">
        <v>3688</v>
      </c>
      <c r="J7525" s="117"/>
      <c r="K7525" s="120"/>
      <c r="L7525" s="121"/>
      <c r="M7525" s="120"/>
      <c r="N7525" s="121"/>
      <c r="O7525" s="120"/>
      <c r="P7525" s="121"/>
      <c r="Q7525" s="120"/>
      <c r="R7525" s="121"/>
      <c r="S7525" s="120"/>
      <c r="T7525" s="121"/>
      <c r="U7525" s="120"/>
      <c r="V7525" s="123"/>
      <c r="W7525" s="125"/>
      <c r="X7525" s="142" t="s">
        <v>21864</v>
      </c>
      <c r="Y7525" s="143"/>
      <c r="Z7525" s="143"/>
      <c r="AA7525" s="143"/>
      <c r="AB7525" s="144"/>
      <c r="AC7525" s="16" t="s">
        <v>21</v>
      </c>
      <c r="AD7525" s="17" t="s">
        <v>1642</v>
      </c>
      <c r="AE7525" s="145" t="s">
        <v>2051</v>
      </c>
      <c r="AF7525" s="146"/>
      <c r="AG7525" s="146"/>
      <c r="AH7525" s="146"/>
      <c r="AI7525" s="147"/>
      <c r="AJ7525" s="148"/>
      <c r="AK7525" s="143"/>
      <c r="AL7525" s="144"/>
      <c r="AM7525" s="22"/>
      <c r="AN7525" s="149" t="s">
        <v>2794</v>
      </c>
      <c r="AO7525" s="144"/>
      <c r="AP7525" s="148">
        <v>5055</v>
      </c>
      <c r="AQ7525" s="144"/>
      <c r="AR7525" s="120"/>
      <c r="AS7525" s="121"/>
      <c r="AT7525" s="120"/>
      <c r="AU7525" s="121"/>
      <c r="AV7525" s="120"/>
      <c r="AW7525" s="121"/>
      <c r="AX7525" s="120"/>
      <c r="AY7525" s="121"/>
      <c r="AZ7525" s="138"/>
    </row>
    <row r="7526" spans="1:52" ht="17.100000000000001" customHeight="1" thickTop="1">
      <c r="A7526" s="109" t="s">
        <v>21415</v>
      </c>
      <c r="B7526" s="28">
        <v>46107</v>
      </c>
      <c r="C7526" s="25">
        <v>2020</v>
      </c>
      <c r="D7526" s="13" t="s">
        <v>1998</v>
      </c>
      <c r="E7526" s="111"/>
      <c r="F7526" s="113" t="s">
        <v>21561</v>
      </c>
      <c r="G7526" s="114"/>
      <c r="H7526" s="115"/>
      <c r="I7526" s="24"/>
      <c r="J7526" s="116">
        <v>4.5</v>
      </c>
      <c r="K7526" s="118">
        <v>1235000</v>
      </c>
      <c r="L7526" s="119"/>
      <c r="M7526" s="118">
        <f t="shared" ref="M7526" si="10962">K7526*0.1</f>
        <v>123500</v>
      </c>
      <c r="N7526" s="119"/>
      <c r="O7526" s="118">
        <v>0</v>
      </c>
      <c r="P7526" s="119"/>
      <c r="Q7526" s="118">
        <v>6880</v>
      </c>
      <c r="R7526" s="119"/>
      <c r="S7526" s="118">
        <v>22000</v>
      </c>
      <c r="T7526" s="119"/>
      <c r="U7526" s="118">
        <f t="shared" ref="U7526" si="10963">SUM(K7526:T7527)</f>
        <v>1387380</v>
      </c>
      <c r="V7526" s="122"/>
      <c r="W7526" s="124"/>
      <c r="X7526" s="126" t="s">
        <v>21899</v>
      </c>
      <c r="Y7526" s="127"/>
      <c r="Z7526" s="127"/>
      <c r="AA7526" s="127"/>
      <c r="AB7526" s="128"/>
      <c r="AC7526" s="15" t="s">
        <v>20</v>
      </c>
      <c r="AD7526" s="129" t="s">
        <v>21562</v>
      </c>
      <c r="AE7526" s="130"/>
      <c r="AF7526" s="130"/>
      <c r="AG7526" s="130"/>
      <c r="AH7526" s="130"/>
      <c r="AI7526" s="131"/>
      <c r="AJ7526" s="132"/>
      <c r="AK7526" s="127"/>
      <c r="AL7526" s="128"/>
      <c r="AM7526" s="21"/>
      <c r="AN7526" s="133">
        <v>46155</v>
      </c>
      <c r="AO7526" s="134"/>
      <c r="AP7526" s="135">
        <v>1016</v>
      </c>
      <c r="AQ7526" s="136"/>
      <c r="AR7526" s="118">
        <v>1290000</v>
      </c>
      <c r="AS7526" s="119"/>
      <c r="AT7526" s="118">
        <f t="shared" ref="AT7526" si="10964">AR7526*0.1</f>
        <v>129000</v>
      </c>
      <c r="AU7526" s="119"/>
      <c r="AV7526" s="118">
        <v>6880</v>
      </c>
      <c r="AW7526" s="119"/>
      <c r="AX7526" s="118">
        <f t="shared" ref="AX7526" si="10965">SUM(AR7526:AW7526)</f>
        <v>1425880</v>
      </c>
      <c r="AY7526" s="119"/>
      <c r="AZ7526" s="137">
        <v>46160</v>
      </c>
    </row>
    <row r="7527" spans="1:52" ht="17.100000000000001" customHeight="1" thickBot="1">
      <c r="A7527" s="110"/>
      <c r="B7527" s="27" t="s">
        <v>2727</v>
      </c>
      <c r="C7527" s="27">
        <v>50045</v>
      </c>
      <c r="D7527" s="14" t="s">
        <v>1700</v>
      </c>
      <c r="E7527" s="112"/>
      <c r="F7527" s="139" t="s">
        <v>21434</v>
      </c>
      <c r="G7527" s="140"/>
      <c r="H7527" s="141"/>
      <c r="I7527" s="26">
        <v>5370</v>
      </c>
      <c r="J7527" s="117"/>
      <c r="K7527" s="120"/>
      <c r="L7527" s="121"/>
      <c r="M7527" s="120"/>
      <c r="N7527" s="121"/>
      <c r="O7527" s="120"/>
      <c r="P7527" s="121"/>
      <c r="Q7527" s="120"/>
      <c r="R7527" s="121"/>
      <c r="S7527" s="120"/>
      <c r="T7527" s="121"/>
      <c r="U7527" s="120"/>
      <c r="V7527" s="123"/>
      <c r="W7527" s="125"/>
      <c r="X7527" s="142" t="s">
        <v>21900</v>
      </c>
      <c r="Y7527" s="143"/>
      <c r="Z7527" s="143"/>
      <c r="AA7527" s="143"/>
      <c r="AB7527" s="144"/>
      <c r="AC7527" s="16" t="s">
        <v>21</v>
      </c>
      <c r="AD7527" s="17" t="s">
        <v>1642</v>
      </c>
      <c r="AE7527" s="145" t="s">
        <v>3641</v>
      </c>
      <c r="AF7527" s="146"/>
      <c r="AG7527" s="146"/>
      <c r="AH7527" s="146"/>
      <c r="AI7527" s="147"/>
      <c r="AJ7527" s="148"/>
      <c r="AK7527" s="143"/>
      <c r="AL7527" s="144"/>
      <c r="AM7527" s="22"/>
      <c r="AN7527" s="149" t="s">
        <v>2794</v>
      </c>
      <c r="AO7527" s="144"/>
      <c r="AP7527" s="148">
        <v>2042</v>
      </c>
      <c r="AQ7527" s="144"/>
      <c r="AR7527" s="120"/>
      <c r="AS7527" s="121"/>
      <c r="AT7527" s="120"/>
      <c r="AU7527" s="121"/>
      <c r="AV7527" s="120"/>
      <c r="AW7527" s="121"/>
      <c r="AX7527" s="120"/>
      <c r="AY7527" s="121"/>
      <c r="AZ7527" s="138"/>
    </row>
    <row r="7528" spans="1:52" ht="17.100000000000001" customHeight="1" thickTop="1">
      <c r="A7528" s="109" t="s">
        <v>21416</v>
      </c>
      <c r="B7528" s="28">
        <v>46107</v>
      </c>
      <c r="C7528" s="25">
        <v>2020</v>
      </c>
      <c r="D7528" s="13" t="s">
        <v>1714</v>
      </c>
      <c r="E7528" s="111"/>
      <c r="F7528" s="113" t="s">
        <v>15962</v>
      </c>
      <c r="G7528" s="114"/>
      <c r="H7528" s="115"/>
      <c r="I7528" s="24"/>
      <c r="J7528" s="116">
        <v>4</v>
      </c>
      <c r="K7528" s="118">
        <v>1214000</v>
      </c>
      <c r="L7528" s="119"/>
      <c r="M7528" s="118">
        <f t="shared" ref="M7528" si="10966">K7528*0.1</f>
        <v>121400</v>
      </c>
      <c r="N7528" s="119"/>
      <c r="O7528" s="118">
        <v>0</v>
      </c>
      <c r="P7528" s="119"/>
      <c r="Q7528" s="118">
        <v>8390</v>
      </c>
      <c r="R7528" s="119"/>
      <c r="S7528" s="118">
        <v>22000</v>
      </c>
      <c r="T7528" s="119"/>
      <c r="U7528" s="118">
        <f t="shared" ref="U7528" si="10967">SUM(K7528:T7529)</f>
        <v>1365790</v>
      </c>
      <c r="V7528" s="122"/>
      <c r="W7528" s="124"/>
      <c r="X7528" s="126" t="s">
        <v>21897</v>
      </c>
      <c r="Y7528" s="127"/>
      <c r="Z7528" s="127"/>
      <c r="AA7528" s="127"/>
      <c r="AB7528" s="128"/>
      <c r="AC7528" s="15" t="s">
        <v>20</v>
      </c>
      <c r="AD7528" s="129" t="s">
        <v>15967</v>
      </c>
      <c r="AE7528" s="130"/>
      <c r="AF7528" s="130"/>
      <c r="AG7528" s="130"/>
      <c r="AH7528" s="130"/>
      <c r="AI7528" s="131"/>
      <c r="AJ7528" s="132"/>
      <c r="AK7528" s="127"/>
      <c r="AL7528" s="128"/>
      <c r="AM7528" s="21"/>
      <c r="AN7528" s="133">
        <v>46134</v>
      </c>
      <c r="AO7528" s="134"/>
      <c r="AP7528" s="135">
        <v>1014</v>
      </c>
      <c r="AQ7528" s="136"/>
      <c r="AR7528" s="118">
        <v>1265000</v>
      </c>
      <c r="AS7528" s="119"/>
      <c r="AT7528" s="118">
        <f t="shared" ref="AT7528" si="10968">AR7528*0.1</f>
        <v>126500</v>
      </c>
      <c r="AU7528" s="119"/>
      <c r="AV7528" s="118">
        <v>8390</v>
      </c>
      <c r="AW7528" s="119"/>
      <c r="AX7528" s="118">
        <f t="shared" ref="AX7528" si="10969">SUM(AR7528:AW7528)</f>
        <v>1399890</v>
      </c>
      <c r="AY7528" s="119"/>
      <c r="AZ7528" s="137">
        <v>46139</v>
      </c>
    </row>
    <row r="7529" spans="1:52" ht="17.100000000000001" customHeight="1" thickBot="1">
      <c r="A7529" s="110"/>
      <c r="B7529" s="27" t="s">
        <v>2727</v>
      </c>
      <c r="C7529" s="27">
        <v>50166</v>
      </c>
      <c r="D7529" s="14" t="s">
        <v>1720</v>
      </c>
      <c r="E7529" s="112"/>
      <c r="F7529" s="139" t="s">
        <v>21435</v>
      </c>
      <c r="G7529" s="140"/>
      <c r="H7529" s="141"/>
      <c r="I7529" s="26">
        <v>21570</v>
      </c>
      <c r="J7529" s="117"/>
      <c r="K7529" s="120"/>
      <c r="L7529" s="121"/>
      <c r="M7529" s="120"/>
      <c r="N7529" s="121"/>
      <c r="O7529" s="120"/>
      <c r="P7529" s="121"/>
      <c r="Q7529" s="120"/>
      <c r="R7529" s="121"/>
      <c r="S7529" s="120"/>
      <c r="T7529" s="121"/>
      <c r="U7529" s="120"/>
      <c r="V7529" s="123"/>
      <c r="W7529" s="125"/>
      <c r="X7529" s="142" t="s">
        <v>4116</v>
      </c>
      <c r="Y7529" s="143"/>
      <c r="Z7529" s="143"/>
      <c r="AA7529" s="143"/>
      <c r="AB7529" s="144"/>
      <c r="AC7529" s="16" t="s">
        <v>21</v>
      </c>
      <c r="AD7529" s="17" t="s">
        <v>1642</v>
      </c>
      <c r="AE7529" s="145" t="s">
        <v>10515</v>
      </c>
      <c r="AF7529" s="146"/>
      <c r="AG7529" s="146"/>
      <c r="AH7529" s="146"/>
      <c r="AI7529" s="147"/>
      <c r="AJ7529" s="148"/>
      <c r="AK7529" s="143"/>
      <c r="AL7529" s="144"/>
      <c r="AM7529" s="22"/>
      <c r="AN7529" s="149" t="s">
        <v>9053</v>
      </c>
      <c r="AO7529" s="144"/>
      <c r="AP7529" s="148">
        <v>2034</v>
      </c>
      <c r="AQ7529" s="144"/>
      <c r="AR7529" s="120"/>
      <c r="AS7529" s="121"/>
      <c r="AT7529" s="120"/>
      <c r="AU7529" s="121"/>
      <c r="AV7529" s="120"/>
      <c r="AW7529" s="121"/>
      <c r="AX7529" s="120"/>
      <c r="AY7529" s="121"/>
      <c r="AZ7529" s="138"/>
    </row>
    <row r="7530" spans="1:52" ht="17.100000000000001" customHeight="1" thickTop="1">
      <c r="A7530" s="109" t="s">
        <v>21417</v>
      </c>
      <c r="B7530" s="28">
        <v>46107</v>
      </c>
      <c r="C7530" s="25">
        <v>2020</v>
      </c>
      <c r="D7530" s="13" t="s">
        <v>1971</v>
      </c>
      <c r="E7530" s="111"/>
      <c r="F7530" s="113" t="s">
        <v>21563</v>
      </c>
      <c r="G7530" s="114"/>
      <c r="H7530" s="115"/>
      <c r="I7530" s="24"/>
      <c r="J7530" s="116">
        <v>4.5</v>
      </c>
      <c r="K7530" s="118">
        <v>1161000</v>
      </c>
      <c r="L7530" s="119"/>
      <c r="M7530" s="118">
        <v>116100</v>
      </c>
      <c r="N7530" s="119"/>
      <c r="O7530" s="118">
        <v>0</v>
      </c>
      <c r="P7530" s="119"/>
      <c r="Q7530" s="118">
        <v>8630</v>
      </c>
      <c r="R7530" s="119"/>
      <c r="S7530" s="118">
        <v>22000</v>
      </c>
      <c r="T7530" s="119"/>
      <c r="U7530" s="118">
        <f t="shared" ref="U7530" si="10970">SUM(K7530:T7531)</f>
        <v>1307730</v>
      </c>
      <c r="V7530" s="122"/>
      <c r="W7530" s="124"/>
      <c r="X7530" s="126" t="s">
        <v>21852</v>
      </c>
      <c r="Y7530" s="127"/>
      <c r="Z7530" s="127"/>
      <c r="AA7530" s="127"/>
      <c r="AB7530" s="128"/>
      <c r="AC7530" s="15" t="s">
        <v>20</v>
      </c>
      <c r="AD7530" s="129" t="s">
        <v>2781</v>
      </c>
      <c r="AE7530" s="130"/>
      <c r="AF7530" s="130"/>
      <c r="AG7530" s="130"/>
      <c r="AH7530" s="130"/>
      <c r="AI7530" s="131"/>
      <c r="AJ7530" s="132"/>
      <c r="AK7530" s="127"/>
      <c r="AL7530" s="128"/>
      <c r="AM7530" s="21"/>
      <c r="AN7530" s="133">
        <v>46113</v>
      </c>
      <c r="AO7530" s="134"/>
      <c r="AP7530" s="135">
        <v>1011</v>
      </c>
      <c r="AQ7530" s="136"/>
      <c r="AR7530" s="118">
        <v>1230000</v>
      </c>
      <c r="AS7530" s="119"/>
      <c r="AT7530" s="118">
        <f t="shared" ref="AT7530" si="10971">AR7530*0.1</f>
        <v>123000</v>
      </c>
      <c r="AU7530" s="119"/>
      <c r="AV7530" s="118">
        <v>8630</v>
      </c>
      <c r="AW7530" s="119"/>
      <c r="AX7530" s="118">
        <f t="shared" ref="AX7530" si="10972">SUM(AR7530:AW7530)</f>
        <v>1361630</v>
      </c>
      <c r="AY7530" s="119"/>
      <c r="AZ7530" s="137">
        <v>46118</v>
      </c>
    </row>
    <row r="7531" spans="1:52" ht="17.100000000000001" customHeight="1" thickBot="1">
      <c r="A7531" s="110"/>
      <c r="B7531" s="27" t="s">
        <v>2727</v>
      </c>
      <c r="C7531" s="27">
        <v>50191</v>
      </c>
      <c r="D7531" s="14" t="s">
        <v>133</v>
      </c>
      <c r="E7531" s="112"/>
      <c r="F7531" s="139" t="s">
        <v>21436</v>
      </c>
      <c r="G7531" s="140"/>
      <c r="H7531" s="141"/>
      <c r="I7531" s="26">
        <v>27302</v>
      </c>
      <c r="J7531" s="117"/>
      <c r="K7531" s="120"/>
      <c r="L7531" s="121"/>
      <c r="M7531" s="120"/>
      <c r="N7531" s="121"/>
      <c r="O7531" s="120"/>
      <c r="P7531" s="121"/>
      <c r="Q7531" s="120"/>
      <c r="R7531" s="121"/>
      <c r="S7531" s="120"/>
      <c r="T7531" s="121"/>
      <c r="U7531" s="120"/>
      <c r="V7531" s="123"/>
      <c r="W7531" s="125"/>
      <c r="X7531" s="142" t="s">
        <v>21853</v>
      </c>
      <c r="Y7531" s="143"/>
      <c r="Z7531" s="143"/>
      <c r="AA7531" s="143"/>
      <c r="AB7531" s="144"/>
      <c r="AC7531" s="16" t="s">
        <v>21</v>
      </c>
      <c r="AD7531" s="17" t="s">
        <v>1642</v>
      </c>
      <c r="AE7531" s="145" t="s">
        <v>2441</v>
      </c>
      <c r="AF7531" s="146"/>
      <c r="AG7531" s="146"/>
      <c r="AH7531" s="146"/>
      <c r="AI7531" s="147"/>
      <c r="AJ7531" s="148"/>
      <c r="AK7531" s="143"/>
      <c r="AL7531" s="144"/>
      <c r="AM7531" s="22"/>
      <c r="AN7531" s="149" t="s">
        <v>2794</v>
      </c>
      <c r="AO7531" s="144"/>
      <c r="AP7531" s="148">
        <v>5059</v>
      </c>
      <c r="AQ7531" s="144"/>
      <c r="AR7531" s="120"/>
      <c r="AS7531" s="121"/>
      <c r="AT7531" s="120"/>
      <c r="AU7531" s="121"/>
      <c r="AV7531" s="120"/>
      <c r="AW7531" s="121"/>
      <c r="AX7531" s="120"/>
      <c r="AY7531" s="121"/>
      <c r="AZ7531" s="138"/>
    </row>
    <row r="7532" spans="1:52" ht="17.100000000000001" customHeight="1" thickTop="1">
      <c r="A7532" s="109" t="s">
        <v>21418</v>
      </c>
      <c r="B7532" s="28">
        <v>46107</v>
      </c>
      <c r="C7532" s="25">
        <v>2020</v>
      </c>
      <c r="D7532" s="13" t="s">
        <v>1586</v>
      </c>
      <c r="E7532" s="111"/>
      <c r="F7532" s="113" t="s">
        <v>21565</v>
      </c>
      <c r="G7532" s="114"/>
      <c r="H7532" s="115"/>
      <c r="I7532" s="24"/>
      <c r="J7532" s="116">
        <v>4.5</v>
      </c>
      <c r="K7532" s="118">
        <v>1099000</v>
      </c>
      <c r="L7532" s="119"/>
      <c r="M7532" s="118">
        <f t="shared" ref="M7532" si="10973">K7532*0.1</f>
        <v>109900</v>
      </c>
      <c r="N7532" s="119"/>
      <c r="O7532" s="118">
        <v>0</v>
      </c>
      <c r="P7532" s="119"/>
      <c r="Q7532" s="118">
        <v>8790</v>
      </c>
      <c r="R7532" s="119"/>
      <c r="S7532" s="118">
        <v>22000</v>
      </c>
      <c r="T7532" s="119"/>
      <c r="U7532" s="118">
        <f t="shared" ref="U7532" si="10974">SUM(K7532:T7533)</f>
        <v>1239690</v>
      </c>
      <c r="V7532" s="122"/>
      <c r="W7532" s="124"/>
      <c r="X7532" s="126" t="s">
        <v>21895</v>
      </c>
      <c r="Y7532" s="127"/>
      <c r="Z7532" s="127"/>
      <c r="AA7532" s="127"/>
      <c r="AB7532" s="128"/>
      <c r="AC7532" s="15" t="s">
        <v>20</v>
      </c>
      <c r="AD7532" s="129" t="s">
        <v>21566</v>
      </c>
      <c r="AE7532" s="130"/>
      <c r="AF7532" s="130"/>
      <c r="AG7532" s="130"/>
      <c r="AH7532" s="130"/>
      <c r="AI7532" s="131"/>
      <c r="AJ7532" s="132"/>
      <c r="AK7532" s="127"/>
      <c r="AL7532" s="128"/>
      <c r="AM7532" s="21"/>
      <c r="AN7532" s="133">
        <v>46120</v>
      </c>
      <c r="AO7532" s="134"/>
      <c r="AP7532" s="135">
        <v>1012</v>
      </c>
      <c r="AQ7532" s="136"/>
      <c r="AR7532" s="118">
        <v>1170000</v>
      </c>
      <c r="AS7532" s="119"/>
      <c r="AT7532" s="118">
        <f t="shared" ref="AT7532" si="10975">AR7532*0.1</f>
        <v>117000</v>
      </c>
      <c r="AU7532" s="119"/>
      <c r="AV7532" s="118">
        <v>8790</v>
      </c>
      <c r="AW7532" s="119"/>
      <c r="AX7532" s="118">
        <f t="shared" ref="AX7532" si="10976">SUM(AR7532:AW7532)</f>
        <v>1295790</v>
      </c>
      <c r="AY7532" s="119"/>
      <c r="AZ7532" s="137">
        <v>46125</v>
      </c>
    </row>
    <row r="7533" spans="1:52" ht="17.100000000000001" customHeight="1" thickBot="1">
      <c r="A7533" s="110"/>
      <c r="B7533" s="27" t="s">
        <v>2727</v>
      </c>
      <c r="C7533" s="27">
        <v>50222</v>
      </c>
      <c r="D7533" s="14" t="s">
        <v>21564</v>
      </c>
      <c r="E7533" s="112"/>
      <c r="F7533" s="139" t="s">
        <v>21437</v>
      </c>
      <c r="G7533" s="140"/>
      <c r="H7533" s="141"/>
      <c r="I7533" s="26">
        <v>46838</v>
      </c>
      <c r="J7533" s="117"/>
      <c r="K7533" s="120"/>
      <c r="L7533" s="121"/>
      <c r="M7533" s="120"/>
      <c r="N7533" s="121"/>
      <c r="O7533" s="120"/>
      <c r="P7533" s="121"/>
      <c r="Q7533" s="120"/>
      <c r="R7533" s="121"/>
      <c r="S7533" s="120"/>
      <c r="T7533" s="121"/>
      <c r="U7533" s="120"/>
      <c r="V7533" s="123"/>
      <c r="W7533" s="125"/>
      <c r="X7533" s="142" t="s">
        <v>21896</v>
      </c>
      <c r="Y7533" s="143"/>
      <c r="Z7533" s="143"/>
      <c r="AA7533" s="143"/>
      <c r="AB7533" s="144"/>
      <c r="AC7533" s="16" t="s">
        <v>21</v>
      </c>
      <c r="AD7533" s="17" t="s">
        <v>2963</v>
      </c>
      <c r="AE7533" s="145" t="s">
        <v>10559</v>
      </c>
      <c r="AF7533" s="146"/>
      <c r="AG7533" s="146"/>
      <c r="AH7533" s="146"/>
      <c r="AI7533" s="147"/>
      <c r="AJ7533" s="148"/>
      <c r="AK7533" s="143"/>
      <c r="AL7533" s="144"/>
      <c r="AM7533" s="22"/>
      <c r="AN7533" s="149" t="s">
        <v>2794</v>
      </c>
      <c r="AO7533" s="144"/>
      <c r="AP7533" s="148">
        <v>2055</v>
      </c>
      <c r="AQ7533" s="144"/>
      <c r="AR7533" s="120"/>
      <c r="AS7533" s="121"/>
      <c r="AT7533" s="120"/>
      <c r="AU7533" s="121"/>
      <c r="AV7533" s="120"/>
      <c r="AW7533" s="121"/>
      <c r="AX7533" s="120"/>
      <c r="AY7533" s="121"/>
      <c r="AZ7533" s="138"/>
    </row>
    <row r="7534" spans="1:52" ht="17.100000000000001" customHeight="1" thickTop="1">
      <c r="A7534" s="109" t="s">
        <v>21419</v>
      </c>
      <c r="B7534" s="28">
        <v>46108</v>
      </c>
      <c r="C7534" s="25">
        <v>104</v>
      </c>
      <c r="D7534" s="13" t="s">
        <v>1537</v>
      </c>
      <c r="E7534" s="111"/>
      <c r="F7534" s="113" t="s">
        <v>16264</v>
      </c>
      <c r="G7534" s="114"/>
      <c r="H7534" s="115"/>
      <c r="I7534" s="24" t="s">
        <v>2064</v>
      </c>
      <c r="J7534" s="116">
        <v>4</v>
      </c>
      <c r="K7534" s="118">
        <v>355000</v>
      </c>
      <c r="L7534" s="119"/>
      <c r="M7534" s="118">
        <f t="shared" ref="M7534" si="10977">K7534*0.1</f>
        <v>35500</v>
      </c>
      <c r="N7534" s="119"/>
      <c r="O7534" s="118">
        <v>0</v>
      </c>
      <c r="P7534" s="119"/>
      <c r="Q7534" s="118">
        <v>8850</v>
      </c>
      <c r="R7534" s="119"/>
      <c r="S7534" s="118">
        <v>33000</v>
      </c>
      <c r="T7534" s="119"/>
      <c r="U7534" s="118">
        <f t="shared" ref="U7534" si="10978">SUM(K7534:T7535)</f>
        <v>432350</v>
      </c>
      <c r="V7534" s="122"/>
      <c r="W7534" s="124"/>
      <c r="X7534" s="126" t="s">
        <v>22513</v>
      </c>
      <c r="Y7534" s="127"/>
      <c r="Z7534" s="127"/>
      <c r="AA7534" s="127"/>
      <c r="AB7534" s="128"/>
      <c r="AC7534" s="15" t="s">
        <v>20</v>
      </c>
      <c r="AD7534" s="129" t="s">
        <v>21569</v>
      </c>
      <c r="AE7534" s="130"/>
      <c r="AF7534" s="130"/>
      <c r="AG7534" s="130"/>
      <c r="AH7534" s="130"/>
      <c r="AI7534" s="131"/>
      <c r="AJ7534" s="132"/>
      <c r="AK7534" s="127"/>
      <c r="AL7534" s="128"/>
      <c r="AM7534" s="21"/>
      <c r="AN7534" s="133">
        <v>46123</v>
      </c>
      <c r="AO7534" s="134"/>
      <c r="AP7534" s="135">
        <v>1296</v>
      </c>
      <c r="AQ7534" s="136"/>
      <c r="AR7534" s="118">
        <v>465000</v>
      </c>
      <c r="AS7534" s="119"/>
      <c r="AT7534" s="118">
        <f t="shared" ref="AT7534" si="10979">AR7534*0.1</f>
        <v>46500</v>
      </c>
      <c r="AU7534" s="119"/>
      <c r="AV7534" s="118">
        <v>8850</v>
      </c>
      <c r="AW7534" s="119"/>
      <c r="AX7534" s="118">
        <f t="shared" ref="AX7534" si="10980">SUM(AR7534:AW7534)</f>
        <v>520350</v>
      </c>
      <c r="AY7534" s="119"/>
      <c r="AZ7534" s="137">
        <v>46126</v>
      </c>
    </row>
    <row r="7535" spans="1:52" ht="17.100000000000001" customHeight="1" thickBot="1">
      <c r="A7535" s="110"/>
      <c r="B7535" s="27" t="s">
        <v>4544</v>
      </c>
      <c r="C7535" s="27">
        <v>1008</v>
      </c>
      <c r="D7535" s="14" t="s">
        <v>2601</v>
      </c>
      <c r="E7535" s="112"/>
      <c r="F7535" s="139" t="s">
        <v>21438</v>
      </c>
      <c r="G7535" s="140"/>
      <c r="H7535" s="141"/>
      <c r="I7535" s="26">
        <v>79729</v>
      </c>
      <c r="J7535" s="117"/>
      <c r="K7535" s="120"/>
      <c r="L7535" s="121"/>
      <c r="M7535" s="120"/>
      <c r="N7535" s="121"/>
      <c r="O7535" s="120"/>
      <c r="P7535" s="121"/>
      <c r="Q7535" s="120"/>
      <c r="R7535" s="121"/>
      <c r="S7535" s="120"/>
      <c r="T7535" s="121"/>
      <c r="U7535" s="120"/>
      <c r="V7535" s="123"/>
      <c r="W7535" s="125"/>
      <c r="X7535" s="142" t="s">
        <v>22514</v>
      </c>
      <c r="Y7535" s="143"/>
      <c r="Z7535" s="143"/>
      <c r="AA7535" s="143"/>
      <c r="AB7535" s="144"/>
      <c r="AC7535" s="16" t="s">
        <v>21</v>
      </c>
      <c r="AD7535" s="17" t="s">
        <v>1795</v>
      </c>
      <c r="AE7535" s="145" t="s">
        <v>22608</v>
      </c>
      <c r="AF7535" s="146"/>
      <c r="AG7535" s="146"/>
      <c r="AH7535" s="146"/>
      <c r="AI7535" s="147"/>
      <c r="AJ7535" s="148"/>
      <c r="AK7535" s="143"/>
      <c r="AL7535" s="144"/>
      <c r="AM7535" s="22"/>
      <c r="AN7535" s="149" t="s">
        <v>2511</v>
      </c>
      <c r="AO7535" s="144"/>
      <c r="AP7535" s="148">
        <v>65183</v>
      </c>
      <c r="AQ7535" s="144"/>
      <c r="AR7535" s="120"/>
      <c r="AS7535" s="121"/>
      <c r="AT7535" s="120"/>
      <c r="AU7535" s="121"/>
      <c r="AV7535" s="120"/>
      <c r="AW7535" s="121"/>
      <c r="AX7535" s="120"/>
      <c r="AY7535" s="121"/>
      <c r="AZ7535" s="138"/>
    </row>
    <row r="7536" spans="1:52" ht="17.100000000000001" customHeight="1" thickTop="1">
      <c r="A7536" s="109" t="s">
        <v>21420</v>
      </c>
      <c r="B7536" s="28">
        <v>46108</v>
      </c>
      <c r="C7536" s="25">
        <v>104</v>
      </c>
      <c r="D7536" s="13" t="s">
        <v>1922</v>
      </c>
      <c r="E7536" s="111"/>
      <c r="F7536" s="113" t="s">
        <v>21567</v>
      </c>
      <c r="G7536" s="114"/>
      <c r="H7536" s="115"/>
      <c r="I7536" s="24" t="s">
        <v>4487</v>
      </c>
      <c r="J7536" s="116">
        <v>4.5</v>
      </c>
      <c r="K7536" s="118">
        <v>1875000</v>
      </c>
      <c r="L7536" s="119"/>
      <c r="M7536" s="118">
        <f t="shared" ref="M7536" si="10981">K7536*0.1</f>
        <v>187500</v>
      </c>
      <c r="N7536" s="119"/>
      <c r="O7536" s="118">
        <v>43780</v>
      </c>
      <c r="P7536" s="119"/>
      <c r="Q7536" s="118">
        <v>11710</v>
      </c>
      <c r="R7536" s="119"/>
      <c r="S7536" s="118">
        <v>44000</v>
      </c>
      <c r="T7536" s="119"/>
      <c r="U7536" s="118">
        <f t="shared" ref="U7536" si="10982">SUM(K7536:T7537)</f>
        <v>2161990</v>
      </c>
      <c r="V7536" s="122"/>
      <c r="W7536" s="124"/>
      <c r="X7536" s="126" t="s">
        <v>22921</v>
      </c>
      <c r="Y7536" s="127"/>
      <c r="Z7536" s="127"/>
      <c r="AA7536" s="127"/>
      <c r="AB7536" s="128"/>
      <c r="AC7536" s="15" t="s">
        <v>20</v>
      </c>
      <c r="AD7536" s="129" t="s">
        <v>21570</v>
      </c>
      <c r="AE7536" s="130"/>
      <c r="AF7536" s="130"/>
      <c r="AG7536" s="130"/>
      <c r="AH7536" s="130"/>
      <c r="AI7536" s="131"/>
      <c r="AJ7536" s="132"/>
      <c r="AK7536" s="127"/>
      <c r="AL7536" s="128"/>
      <c r="AM7536" s="21"/>
      <c r="AN7536" s="133">
        <v>46141</v>
      </c>
      <c r="AO7536" s="134"/>
      <c r="AP7536" s="135">
        <v>1015</v>
      </c>
      <c r="AQ7536" s="136"/>
      <c r="AR7536" s="118">
        <v>1940000</v>
      </c>
      <c r="AS7536" s="119"/>
      <c r="AT7536" s="118">
        <f t="shared" ref="AT7536" si="10983">AR7536*0.1</f>
        <v>194000</v>
      </c>
      <c r="AU7536" s="119"/>
      <c r="AV7536" s="118">
        <v>11710</v>
      </c>
      <c r="AW7536" s="119"/>
      <c r="AX7536" s="118">
        <f t="shared" ref="AX7536" si="10984">SUM(AR7536:AW7536)</f>
        <v>2145710</v>
      </c>
      <c r="AY7536" s="119"/>
      <c r="AZ7536" s="137">
        <v>46153</v>
      </c>
    </row>
    <row r="7537" spans="1:52" ht="17.100000000000001" customHeight="1" thickBot="1">
      <c r="A7537" s="110"/>
      <c r="B7537" s="27" t="s">
        <v>4544</v>
      </c>
      <c r="C7537" s="27">
        <v>1010</v>
      </c>
      <c r="D7537" s="14" t="s">
        <v>1720</v>
      </c>
      <c r="E7537" s="112"/>
      <c r="F7537" s="139" t="s">
        <v>21439</v>
      </c>
      <c r="G7537" s="140"/>
      <c r="H7537" s="141"/>
      <c r="I7537" s="26">
        <v>27354</v>
      </c>
      <c r="J7537" s="117"/>
      <c r="K7537" s="120"/>
      <c r="L7537" s="121"/>
      <c r="M7537" s="120"/>
      <c r="N7537" s="121"/>
      <c r="O7537" s="120"/>
      <c r="P7537" s="121"/>
      <c r="Q7537" s="120"/>
      <c r="R7537" s="121"/>
      <c r="S7537" s="120"/>
      <c r="T7537" s="121"/>
      <c r="U7537" s="120"/>
      <c r="V7537" s="123"/>
      <c r="W7537" s="125"/>
      <c r="X7537" s="142" t="s">
        <v>22922</v>
      </c>
      <c r="Y7537" s="143"/>
      <c r="Z7537" s="143"/>
      <c r="AA7537" s="143"/>
      <c r="AB7537" s="144"/>
      <c r="AC7537" s="16" t="s">
        <v>21</v>
      </c>
      <c r="AD7537" s="17" t="s">
        <v>22918</v>
      </c>
      <c r="AE7537" s="145" t="s">
        <v>23075</v>
      </c>
      <c r="AF7537" s="146"/>
      <c r="AG7537" s="146"/>
      <c r="AH7537" s="146"/>
      <c r="AI7537" s="147"/>
      <c r="AJ7537" s="148"/>
      <c r="AK7537" s="143"/>
      <c r="AL7537" s="144"/>
      <c r="AM7537" s="22"/>
      <c r="AN7537" s="149" t="s">
        <v>2794</v>
      </c>
      <c r="AO7537" s="144"/>
      <c r="AP7537" s="148">
        <v>6002</v>
      </c>
      <c r="AQ7537" s="144"/>
      <c r="AR7537" s="120"/>
      <c r="AS7537" s="121"/>
      <c r="AT7537" s="120"/>
      <c r="AU7537" s="121"/>
      <c r="AV7537" s="120"/>
      <c r="AW7537" s="121"/>
      <c r="AX7537" s="120"/>
      <c r="AY7537" s="121"/>
      <c r="AZ7537" s="138"/>
    </row>
    <row r="7538" spans="1:52" ht="17.100000000000001" customHeight="1" thickTop="1">
      <c r="A7538" s="109" t="s">
        <v>21421</v>
      </c>
      <c r="B7538" s="28">
        <v>46108</v>
      </c>
      <c r="C7538" s="25">
        <v>104</v>
      </c>
      <c r="D7538" s="13" t="s">
        <v>2941</v>
      </c>
      <c r="E7538" s="111"/>
      <c r="F7538" s="113" t="s">
        <v>21568</v>
      </c>
      <c r="G7538" s="114"/>
      <c r="H7538" s="115"/>
      <c r="I7538" s="24" t="s">
        <v>2943</v>
      </c>
      <c r="J7538" s="116">
        <v>4.5</v>
      </c>
      <c r="K7538" s="118">
        <v>2495000</v>
      </c>
      <c r="L7538" s="119"/>
      <c r="M7538" s="118">
        <f t="shared" ref="M7538" si="10985">K7538*0.1</f>
        <v>249500</v>
      </c>
      <c r="N7538" s="119"/>
      <c r="O7538" s="118">
        <v>0</v>
      </c>
      <c r="P7538" s="119"/>
      <c r="Q7538" s="118">
        <v>7790</v>
      </c>
      <c r="R7538" s="119"/>
      <c r="S7538" s="118">
        <v>66000</v>
      </c>
      <c r="T7538" s="119"/>
      <c r="U7538" s="118">
        <f t="shared" ref="U7538" si="10986">SUM(K7538:T7539)</f>
        <v>2818290</v>
      </c>
      <c r="V7538" s="122"/>
      <c r="W7538" s="124"/>
      <c r="X7538" s="126" t="s">
        <v>22534</v>
      </c>
      <c r="Y7538" s="127"/>
      <c r="Z7538" s="127"/>
      <c r="AA7538" s="127"/>
      <c r="AB7538" s="128"/>
      <c r="AC7538" s="15" t="s">
        <v>20</v>
      </c>
      <c r="AD7538" s="129" t="s">
        <v>22417</v>
      </c>
      <c r="AE7538" s="130"/>
      <c r="AF7538" s="130"/>
      <c r="AG7538" s="130"/>
      <c r="AH7538" s="130"/>
      <c r="AI7538" s="131"/>
      <c r="AJ7538" s="132"/>
      <c r="AK7538" s="127"/>
      <c r="AL7538" s="128"/>
      <c r="AM7538" s="21"/>
      <c r="AN7538" s="133">
        <v>46137</v>
      </c>
      <c r="AO7538" s="134"/>
      <c r="AP7538" s="135">
        <v>1298</v>
      </c>
      <c r="AQ7538" s="136"/>
      <c r="AR7538" s="118">
        <v>2630000</v>
      </c>
      <c r="AS7538" s="119"/>
      <c r="AT7538" s="118">
        <f t="shared" ref="AT7538" si="10987">AR7538*0.1</f>
        <v>263000</v>
      </c>
      <c r="AU7538" s="119"/>
      <c r="AV7538" s="118">
        <v>7790</v>
      </c>
      <c r="AW7538" s="119"/>
      <c r="AX7538" s="118">
        <f t="shared" ref="AX7538" si="10988">SUM(AR7538:AW7538)</f>
        <v>2900790</v>
      </c>
      <c r="AY7538" s="119"/>
      <c r="AZ7538" s="137">
        <v>46143</v>
      </c>
    </row>
    <row r="7539" spans="1:52" ht="17.100000000000001" customHeight="1" thickBot="1">
      <c r="A7539" s="110"/>
      <c r="B7539" s="27" t="s">
        <v>4544</v>
      </c>
      <c r="C7539" s="27">
        <v>1015</v>
      </c>
      <c r="D7539" s="14" t="s">
        <v>1720</v>
      </c>
      <c r="E7539" s="112"/>
      <c r="F7539" s="139" t="s">
        <v>21440</v>
      </c>
      <c r="G7539" s="140"/>
      <c r="H7539" s="141"/>
      <c r="I7539" s="26">
        <v>9268</v>
      </c>
      <c r="J7539" s="117"/>
      <c r="K7539" s="120"/>
      <c r="L7539" s="121"/>
      <c r="M7539" s="120"/>
      <c r="N7539" s="121"/>
      <c r="O7539" s="120"/>
      <c r="P7539" s="121"/>
      <c r="Q7539" s="120"/>
      <c r="R7539" s="121"/>
      <c r="S7539" s="120"/>
      <c r="T7539" s="121"/>
      <c r="U7539" s="120"/>
      <c r="V7539" s="123"/>
      <c r="W7539" s="125"/>
      <c r="X7539" s="142" t="s">
        <v>4285</v>
      </c>
      <c r="Y7539" s="143"/>
      <c r="Z7539" s="143"/>
      <c r="AA7539" s="143"/>
      <c r="AB7539" s="144"/>
      <c r="AC7539" s="16" t="s">
        <v>21</v>
      </c>
      <c r="AD7539" s="17" t="s">
        <v>1825</v>
      </c>
      <c r="AE7539" s="145" t="s">
        <v>1614</v>
      </c>
      <c r="AF7539" s="146"/>
      <c r="AG7539" s="146"/>
      <c r="AH7539" s="146"/>
      <c r="AI7539" s="147"/>
      <c r="AJ7539" s="148"/>
      <c r="AK7539" s="143"/>
      <c r="AL7539" s="144"/>
      <c r="AM7539" s="22"/>
      <c r="AN7539" s="149" t="s">
        <v>6748</v>
      </c>
      <c r="AO7539" s="144"/>
      <c r="AP7539" s="148">
        <v>31070</v>
      </c>
      <c r="AQ7539" s="144"/>
      <c r="AR7539" s="120"/>
      <c r="AS7539" s="121"/>
      <c r="AT7539" s="120"/>
      <c r="AU7539" s="121"/>
      <c r="AV7539" s="120"/>
      <c r="AW7539" s="121"/>
      <c r="AX7539" s="120"/>
      <c r="AY7539" s="121"/>
      <c r="AZ7539" s="138"/>
    </row>
    <row r="7540" spans="1:52" ht="17.100000000000001" customHeight="1" thickTop="1">
      <c r="A7540" s="109" t="s">
        <v>21422</v>
      </c>
      <c r="B7540" s="28">
        <v>46108</v>
      </c>
      <c r="C7540" s="25">
        <v>104</v>
      </c>
      <c r="D7540" s="13" t="s">
        <v>1906</v>
      </c>
      <c r="E7540" s="111"/>
      <c r="F7540" s="113" t="s">
        <v>7189</v>
      </c>
      <c r="G7540" s="114"/>
      <c r="H7540" s="115"/>
      <c r="I7540" s="24" t="s">
        <v>3923</v>
      </c>
      <c r="J7540" s="116">
        <v>4</v>
      </c>
      <c r="K7540" s="118">
        <v>1260000</v>
      </c>
      <c r="L7540" s="119"/>
      <c r="M7540" s="118">
        <f t="shared" ref="M7540" si="10989">K7540*0.1</f>
        <v>126000</v>
      </c>
      <c r="N7540" s="119"/>
      <c r="O7540" s="118">
        <v>27940</v>
      </c>
      <c r="P7540" s="119"/>
      <c r="Q7540" s="118">
        <v>10720</v>
      </c>
      <c r="R7540" s="119"/>
      <c r="S7540" s="118">
        <v>44000</v>
      </c>
      <c r="T7540" s="119"/>
      <c r="U7540" s="118">
        <f t="shared" ref="U7540" si="10990">SUM(K7540:T7541)</f>
        <v>1468660</v>
      </c>
      <c r="V7540" s="122"/>
      <c r="W7540" s="124"/>
      <c r="X7540" s="126"/>
      <c r="Y7540" s="127"/>
      <c r="Z7540" s="127"/>
      <c r="AA7540" s="127"/>
      <c r="AB7540" s="128"/>
      <c r="AC7540" s="15" t="s">
        <v>20</v>
      </c>
      <c r="AD7540" s="129" t="s">
        <v>21571</v>
      </c>
      <c r="AE7540" s="130"/>
      <c r="AF7540" s="130"/>
      <c r="AG7540" s="130"/>
      <c r="AH7540" s="130"/>
      <c r="AI7540" s="131"/>
      <c r="AJ7540" s="132"/>
      <c r="AK7540" s="127"/>
      <c r="AL7540" s="128"/>
      <c r="AM7540" s="21"/>
      <c r="AN7540" s="133"/>
      <c r="AO7540" s="134"/>
      <c r="AP7540" s="135"/>
      <c r="AQ7540" s="136"/>
      <c r="AR7540" s="118"/>
      <c r="AS7540" s="119"/>
      <c r="AT7540" s="118">
        <f t="shared" ref="AT7540" si="10991">AR7540*0.1</f>
        <v>0</v>
      </c>
      <c r="AU7540" s="119"/>
      <c r="AV7540" s="118"/>
      <c r="AW7540" s="119"/>
      <c r="AX7540" s="118">
        <f t="shared" ref="AX7540" si="10992">SUM(AR7540:AW7540)</f>
        <v>0</v>
      </c>
      <c r="AY7540" s="119"/>
      <c r="AZ7540" s="137"/>
    </row>
    <row r="7541" spans="1:52" ht="17.100000000000001" customHeight="1" thickBot="1">
      <c r="A7541" s="110"/>
      <c r="B7541" s="27" t="s">
        <v>4544</v>
      </c>
      <c r="C7541" s="27">
        <v>2003</v>
      </c>
      <c r="D7541" s="14" t="s">
        <v>275</v>
      </c>
      <c r="E7541" s="112"/>
      <c r="F7541" s="139" t="s">
        <v>21441</v>
      </c>
      <c r="G7541" s="140"/>
      <c r="H7541" s="141"/>
      <c r="I7541" s="26">
        <v>48215</v>
      </c>
      <c r="J7541" s="117"/>
      <c r="K7541" s="120"/>
      <c r="L7541" s="121"/>
      <c r="M7541" s="120"/>
      <c r="N7541" s="121"/>
      <c r="O7541" s="120"/>
      <c r="P7541" s="121"/>
      <c r="Q7541" s="120"/>
      <c r="R7541" s="121"/>
      <c r="S7541" s="120"/>
      <c r="T7541" s="121"/>
      <c r="U7541" s="120"/>
      <c r="V7541" s="123"/>
      <c r="W7541" s="125"/>
      <c r="X7541" s="142"/>
      <c r="Y7541" s="143"/>
      <c r="Z7541" s="143"/>
      <c r="AA7541" s="143"/>
      <c r="AB7541" s="144"/>
      <c r="AC7541" s="16" t="s">
        <v>13841</v>
      </c>
      <c r="AD7541" s="17"/>
      <c r="AE7541" s="145"/>
      <c r="AF7541" s="146"/>
      <c r="AG7541" s="146"/>
      <c r="AH7541" s="146"/>
      <c r="AI7541" s="147"/>
      <c r="AJ7541" s="148"/>
      <c r="AK7541" s="143"/>
      <c r="AL7541" s="144"/>
      <c r="AM7541" s="22"/>
      <c r="AN7541" s="149"/>
      <c r="AO7541" s="144"/>
      <c r="AP7541" s="148"/>
      <c r="AQ7541" s="144"/>
      <c r="AR7541" s="120"/>
      <c r="AS7541" s="121"/>
      <c r="AT7541" s="120"/>
      <c r="AU7541" s="121"/>
      <c r="AV7541" s="120"/>
      <c r="AW7541" s="121"/>
      <c r="AX7541" s="120"/>
      <c r="AY7541" s="121"/>
      <c r="AZ7541" s="138"/>
    </row>
    <row r="7542" spans="1:52" ht="17.100000000000001" customHeight="1" thickTop="1">
      <c r="A7542" s="109" t="s">
        <v>21423</v>
      </c>
      <c r="B7542" s="28">
        <v>46108</v>
      </c>
      <c r="C7542" s="25">
        <v>284</v>
      </c>
      <c r="D7542" s="13" t="s">
        <v>3014</v>
      </c>
      <c r="E7542" s="111"/>
      <c r="F7542" s="113" t="s">
        <v>21572</v>
      </c>
      <c r="G7542" s="114"/>
      <c r="H7542" s="115"/>
      <c r="I7542" s="24" t="s">
        <v>4193</v>
      </c>
      <c r="J7542" s="116">
        <v>4.5</v>
      </c>
      <c r="K7542" s="118">
        <v>981000</v>
      </c>
      <c r="L7542" s="119"/>
      <c r="M7542" s="118">
        <f t="shared" ref="M7542" si="10993">K7542*0.1</f>
        <v>98100</v>
      </c>
      <c r="N7542" s="119"/>
      <c r="O7542" s="118">
        <v>0</v>
      </c>
      <c r="P7542" s="119"/>
      <c r="Q7542" s="118">
        <v>8510</v>
      </c>
      <c r="R7542" s="119"/>
      <c r="S7542" s="118">
        <v>22000</v>
      </c>
      <c r="T7542" s="119"/>
      <c r="U7542" s="118">
        <f t="shared" ref="U7542" si="10994">SUM(K7542:T7543)</f>
        <v>1109610</v>
      </c>
      <c r="V7542" s="122"/>
      <c r="W7542" s="124"/>
      <c r="X7542" s="126" t="s">
        <v>21573</v>
      </c>
      <c r="Y7542" s="127"/>
      <c r="Z7542" s="127"/>
      <c r="AA7542" s="127"/>
      <c r="AB7542" s="128"/>
      <c r="AC7542" s="15" t="s">
        <v>20</v>
      </c>
      <c r="AD7542" s="129" t="s">
        <v>15208</v>
      </c>
      <c r="AE7542" s="130"/>
      <c r="AF7542" s="130"/>
      <c r="AG7542" s="130"/>
      <c r="AH7542" s="130"/>
      <c r="AI7542" s="131"/>
      <c r="AJ7542" s="132"/>
      <c r="AK7542" s="127"/>
      <c r="AL7542" s="128"/>
      <c r="AM7542" s="21" t="s">
        <v>23360</v>
      </c>
      <c r="AN7542" s="133">
        <v>46127</v>
      </c>
      <c r="AO7542" s="134"/>
      <c r="AP7542" s="135">
        <v>1013</v>
      </c>
      <c r="AQ7542" s="136"/>
      <c r="AR7542" s="118">
        <v>1020000</v>
      </c>
      <c r="AS7542" s="119"/>
      <c r="AT7542" s="118">
        <f t="shared" ref="AT7542" si="10995">AR7542*0.1</f>
        <v>102000</v>
      </c>
      <c r="AU7542" s="119"/>
      <c r="AV7542" s="118">
        <v>8510</v>
      </c>
      <c r="AW7542" s="119"/>
      <c r="AX7542" s="118">
        <f t="shared" ref="AX7542" si="10996">SUM(AR7542:AW7542)</f>
        <v>1130510</v>
      </c>
      <c r="AY7542" s="119"/>
      <c r="AZ7542" s="137">
        <v>46133</v>
      </c>
    </row>
    <row r="7543" spans="1:52" ht="17.100000000000001" customHeight="1" thickBot="1">
      <c r="A7543" s="110"/>
      <c r="B7543" s="27" t="s">
        <v>15877</v>
      </c>
      <c r="C7543" s="27">
        <v>20066</v>
      </c>
      <c r="D7543" s="14" t="s">
        <v>275</v>
      </c>
      <c r="E7543" s="112"/>
      <c r="F7543" s="139" t="s">
        <v>21442</v>
      </c>
      <c r="G7543" s="140"/>
      <c r="H7543" s="141"/>
      <c r="I7543" s="26">
        <v>45305</v>
      </c>
      <c r="J7543" s="117"/>
      <c r="K7543" s="120"/>
      <c r="L7543" s="121"/>
      <c r="M7543" s="120"/>
      <c r="N7543" s="121"/>
      <c r="O7543" s="120"/>
      <c r="P7543" s="121"/>
      <c r="Q7543" s="120"/>
      <c r="R7543" s="121"/>
      <c r="S7543" s="120"/>
      <c r="T7543" s="121"/>
      <c r="U7543" s="120"/>
      <c r="V7543" s="123"/>
      <c r="W7543" s="125"/>
      <c r="X7543" s="142" t="s">
        <v>21915</v>
      </c>
      <c r="Y7543" s="143"/>
      <c r="Z7543" s="143"/>
      <c r="AA7543" s="143"/>
      <c r="AB7543" s="144"/>
      <c r="AC7543" s="16" t="s">
        <v>21</v>
      </c>
      <c r="AD7543" s="17" t="s">
        <v>1642</v>
      </c>
      <c r="AE7543" s="145" t="s">
        <v>2051</v>
      </c>
      <c r="AF7543" s="146"/>
      <c r="AG7543" s="146"/>
      <c r="AH7543" s="146"/>
      <c r="AI7543" s="147"/>
      <c r="AJ7543" s="148"/>
      <c r="AK7543" s="143"/>
      <c r="AL7543" s="144"/>
      <c r="AM7543" s="22"/>
      <c r="AN7543" s="149" t="s">
        <v>9053</v>
      </c>
      <c r="AO7543" s="144"/>
      <c r="AP7543" s="148">
        <v>2037</v>
      </c>
      <c r="AQ7543" s="144"/>
      <c r="AR7543" s="120"/>
      <c r="AS7543" s="121"/>
      <c r="AT7543" s="120"/>
      <c r="AU7543" s="121"/>
      <c r="AV7543" s="120"/>
      <c r="AW7543" s="121"/>
      <c r="AX7543" s="120"/>
      <c r="AY7543" s="121"/>
      <c r="AZ7543" s="138"/>
    </row>
    <row r="7544" spans="1:52" ht="17.100000000000001" customHeight="1" thickTop="1">
      <c r="A7544" s="109" t="s">
        <v>21424</v>
      </c>
      <c r="B7544" s="28">
        <v>46108</v>
      </c>
      <c r="C7544" s="25">
        <v>284</v>
      </c>
      <c r="D7544" s="13" t="s">
        <v>2348</v>
      </c>
      <c r="E7544" s="111"/>
      <c r="F7544" s="113" t="s">
        <v>21574</v>
      </c>
      <c r="G7544" s="114"/>
      <c r="H7544" s="115"/>
      <c r="I7544" s="24"/>
      <c r="J7544" s="116">
        <v>4.5</v>
      </c>
      <c r="K7544" s="118">
        <v>2766000</v>
      </c>
      <c r="L7544" s="119"/>
      <c r="M7544" s="118">
        <f t="shared" ref="M7544" si="10997">K7544*0.1</f>
        <v>276600</v>
      </c>
      <c r="N7544" s="119"/>
      <c r="O7544" s="118">
        <v>0</v>
      </c>
      <c r="P7544" s="119"/>
      <c r="Q7544" s="118">
        <v>9550</v>
      </c>
      <c r="R7544" s="119"/>
      <c r="S7544" s="118">
        <v>22000</v>
      </c>
      <c r="T7544" s="119"/>
      <c r="U7544" s="118">
        <f t="shared" ref="U7544" si="10998">SUM(K7544:T7545)</f>
        <v>3074150</v>
      </c>
      <c r="V7544" s="122"/>
      <c r="W7544" s="124"/>
      <c r="X7544" s="126" t="s">
        <v>21971</v>
      </c>
      <c r="Y7544" s="127"/>
      <c r="Z7544" s="127"/>
      <c r="AA7544" s="127"/>
      <c r="AB7544" s="128"/>
      <c r="AC7544" s="15" t="s">
        <v>20</v>
      </c>
      <c r="AD7544" s="129"/>
      <c r="AE7544" s="130"/>
      <c r="AF7544" s="130"/>
      <c r="AG7544" s="130"/>
      <c r="AH7544" s="130"/>
      <c r="AI7544" s="131"/>
      <c r="AJ7544" s="132"/>
      <c r="AK7544" s="127"/>
      <c r="AL7544" s="128"/>
      <c r="AM7544" s="21"/>
      <c r="AN7544" s="133">
        <v>46120</v>
      </c>
      <c r="AO7544" s="134"/>
      <c r="AP7544" s="135">
        <v>1012</v>
      </c>
      <c r="AQ7544" s="136"/>
      <c r="AR7544" s="118">
        <v>2870000</v>
      </c>
      <c r="AS7544" s="119"/>
      <c r="AT7544" s="118">
        <f t="shared" ref="AT7544" si="10999">AR7544*0.1</f>
        <v>287000</v>
      </c>
      <c r="AU7544" s="119"/>
      <c r="AV7544" s="118">
        <v>9550</v>
      </c>
      <c r="AW7544" s="119"/>
      <c r="AX7544" s="118">
        <f t="shared" ref="AX7544" si="11000">SUM(AR7544:AW7544)</f>
        <v>3166550</v>
      </c>
      <c r="AY7544" s="119"/>
      <c r="AZ7544" s="137">
        <v>46125</v>
      </c>
    </row>
    <row r="7545" spans="1:52" ht="17.100000000000001" customHeight="1" thickBot="1">
      <c r="A7545" s="110"/>
      <c r="B7545" s="27" t="s">
        <v>15877</v>
      </c>
      <c r="C7545" s="27">
        <v>20097</v>
      </c>
      <c r="D7545" s="14" t="s">
        <v>2601</v>
      </c>
      <c r="E7545" s="112"/>
      <c r="F7545" s="139" t="s">
        <v>21443</v>
      </c>
      <c r="G7545" s="140"/>
      <c r="H7545" s="141"/>
      <c r="I7545" s="26">
        <v>63619</v>
      </c>
      <c r="J7545" s="117"/>
      <c r="K7545" s="120"/>
      <c r="L7545" s="121"/>
      <c r="M7545" s="120"/>
      <c r="N7545" s="121"/>
      <c r="O7545" s="120"/>
      <c r="P7545" s="121"/>
      <c r="Q7545" s="120"/>
      <c r="R7545" s="121"/>
      <c r="S7545" s="120"/>
      <c r="T7545" s="121"/>
      <c r="U7545" s="120"/>
      <c r="V7545" s="123"/>
      <c r="W7545" s="125"/>
      <c r="X7545" s="142" t="s">
        <v>21972</v>
      </c>
      <c r="Y7545" s="143"/>
      <c r="Z7545" s="143"/>
      <c r="AA7545" s="143"/>
      <c r="AB7545" s="144"/>
      <c r="AC7545" s="16" t="s">
        <v>21</v>
      </c>
      <c r="AD7545" s="17" t="s">
        <v>21936</v>
      </c>
      <c r="AE7545" s="145" t="s">
        <v>21973</v>
      </c>
      <c r="AF7545" s="146"/>
      <c r="AG7545" s="146"/>
      <c r="AH7545" s="146"/>
      <c r="AI7545" s="147"/>
      <c r="AJ7545" s="148" t="s">
        <v>21703</v>
      </c>
      <c r="AK7545" s="143"/>
      <c r="AL7545" s="144"/>
      <c r="AM7545" s="22"/>
      <c r="AN7545" s="149" t="s">
        <v>2794</v>
      </c>
      <c r="AO7545" s="144"/>
      <c r="AP7545" s="148">
        <v>80006</v>
      </c>
      <c r="AQ7545" s="144"/>
      <c r="AR7545" s="120"/>
      <c r="AS7545" s="121"/>
      <c r="AT7545" s="120"/>
      <c r="AU7545" s="121"/>
      <c r="AV7545" s="120"/>
      <c r="AW7545" s="121"/>
      <c r="AX7545" s="120"/>
      <c r="AY7545" s="121"/>
      <c r="AZ7545" s="138"/>
    </row>
    <row r="7546" spans="1:52" ht="17.100000000000001" customHeight="1" thickTop="1">
      <c r="A7546" s="109" t="s">
        <v>21425</v>
      </c>
      <c r="B7546" s="28">
        <v>46108</v>
      </c>
      <c r="C7546" s="25">
        <v>1199</v>
      </c>
      <c r="D7546" s="13" t="s">
        <v>1760</v>
      </c>
      <c r="E7546" s="111"/>
      <c r="F7546" s="113" t="s">
        <v>21444</v>
      </c>
      <c r="G7546" s="114"/>
      <c r="H7546" s="115"/>
      <c r="I7546" s="24" t="s">
        <v>12571</v>
      </c>
      <c r="J7546" s="116">
        <v>4.5</v>
      </c>
      <c r="K7546" s="118">
        <v>1400000</v>
      </c>
      <c r="L7546" s="119"/>
      <c r="M7546" s="118">
        <f t="shared" ref="M7546" si="11001">K7546*0.1</f>
        <v>140000</v>
      </c>
      <c r="N7546" s="119"/>
      <c r="O7546" s="118">
        <v>30500</v>
      </c>
      <c r="P7546" s="119"/>
      <c r="Q7546" s="118">
        <v>16250</v>
      </c>
      <c r="R7546" s="119"/>
      <c r="S7546" s="118">
        <v>27500</v>
      </c>
      <c r="T7546" s="119"/>
      <c r="U7546" s="118">
        <f t="shared" ref="U7546" si="11002">SUM(K7546:T7547)</f>
        <v>1614250</v>
      </c>
      <c r="V7546" s="122"/>
      <c r="W7546" s="124"/>
      <c r="X7546" s="126" t="s">
        <v>21575</v>
      </c>
      <c r="Y7546" s="127"/>
      <c r="Z7546" s="127"/>
      <c r="AA7546" s="127"/>
      <c r="AB7546" s="128"/>
      <c r="AC7546" s="15" t="s">
        <v>20</v>
      </c>
      <c r="AD7546" s="129" t="s">
        <v>3828</v>
      </c>
      <c r="AE7546" s="130"/>
      <c r="AF7546" s="130"/>
      <c r="AG7546" s="130"/>
      <c r="AH7546" s="130"/>
      <c r="AI7546" s="131"/>
      <c r="AJ7546" s="132"/>
      <c r="AK7546" s="127"/>
      <c r="AL7546" s="128"/>
      <c r="AM7546" s="21" t="s">
        <v>24648</v>
      </c>
      <c r="AN7546" s="133"/>
      <c r="AO7546" s="134"/>
      <c r="AP7546" s="135"/>
      <c r="AQ7546" s="136"/>
      <c r="AR7546" s="118"/>
      <c r="AS7546" s="119"/>
      <c r="AT7546" s="118">
        <f t="shared" ref="AT7546" si="11003">AR7546*0.1</f>
        <v>0</v>
      </c>
      <c r="AU7546" s="119"/>
      <c r="AV7546" s="118"/>
      <c r="AW7546" s="119"/>
      <c r="AX7546" s="118">
        <f t="shared" ref="AX7546" si="11004">SUM(AR7546:AW7546)</f>
        <v>0</v>
      </c>
      <c r="AY7546" s="119"/>
      <c r="AZ7546" s="137"/>
    </row>
    <row r="7547" spans="1:52" ht="17.100000000000001" customHeight="1" thickBot="1">
      <c r="A7547" s="110"/>
      <c r="B7547" s="27" t="s">
        <v>1828</v>
      </c>
      <c r="C7547" s="27">
        <v>84035</v>
      </c>
      <c r="D7547" s="14" t="s">
        <v>2601</v>
      </c>
      <c r="E7547" s="112"/>
      <c r="F7547" s="139" t="s">
        <v>21964</v>
      </c>
      <c r="G7547" s="140"/>
      <c r="H7547" s="141"/>
      <c r="I7547" s="26">
        <v>26964</v>
      </c>
      <c r="J7547" s="117"/>
      <c r="K7547" s="120"/>
      <c r="L7547" s="121"/>
      <c r="M7547" s="120"/>
      <c r="N7547" s="121"/>
      <c r="O7547" s="120"/>
      <c r="P7547" s="121"/>
      <c r="Q7547" s="120"/>
      <c r="R7547" s="121"/>
      <c r="S7547" s="120"/>
      <c r="T7547" s="121"/>
      <c r="U7547" s="120"/>
      <c r="V7547" s="123"/>
      <c r="W7547" s="125"/>
      <c r="X7547" s="142" t="s">
        <v>21965</v>
      </c>
      <c r="Y7547" s="143"/>
      <c r="Z7547" s="143"/>
      <c r="AA7547" s="143"/>
      <c r="AB7547" s="144"/>
      <c r="AC7547" s="16" t="s">
        <v>21</v>
      </c>
      <c r="AD7547" s="17" t="s">
        <v>21936</v>
      </c>
      <c r="AE7547" s="145" t="s">
        <v>21966</v>
      </c>
      <c r="AF7547" s="146"/>
      <c r="AG7547" s="146"/>
      <c r="AH7547" s="146"/>
      <c r="AI7547" s="147"/>
      <c r="AJ7547" s="148"/>
      <c r="AK7547" s="143"/>
      <c r="AL7547" s="144"/>
      <c r="AM7547" s="22"/>
      <c r="AN7547" s="149"/>
      <c r="AO7547" s="144"/>
      <c r="AP7547" s="148"/>
      <c r="AQ7547" s="144"/>
      <c r="AR7547" s="120"/>
      <c r="AS7547" s="121"/>
      <c r="AT7547" s="120"/>
      <c r="AU7547" s="121"/>
      <c r="AV7547" s="120"/>
      <c r="AW7547" s="121"/>
      <c r="AX7547" s="120"/>
      <c r="AY7547" s="121"/>
      <c r="AZ7547" s="138"/>
    </row>
    <row r="7548" spans="1:52" ht="17.100000000000001" customHeight="1" thickTop="1">
      <c r="A7548" s="109" t="s">
        <v>21426</v>
      </c>
      <c r="B7548" s="28">
        <v>46108</v>
      </c>
      <c r="C7548" s="25">
        <v>2128</v>
      </c>
      <c r="D7548" s="13" t="s">
        <v>2298</v>
      </c>
      <c r="E7548" s="111"/>
      <c r="F7548" s="113" t="s">
        <v>21576</v>
      </c>
      <c r="G7548" s="114"/>
      <c r="H7548" s="115"/>
      <c r="I7548" s="24" t="s">
        <v>17458</v>
      </c>
      <c r="J7548" s="116">
        <v>4.5</v>
      </c>
      <c r="K7548" s="118">
        <v>1025000</v>
      </c>
      <c r="L7548" s="119"/>
      <c r="M7548" s="118">
        <f t="shared" ref="M7548" si="11005">K7548*0.1</f>
        <v>102500</v>
      </c>
      <c r="N7548" s="119"/>
      <c r="O7548" s="118">
        <v>30500</v>
      </c>
      <c r="P7548" s="119"/>
      <c r="Q7548" s="118">
        <v>17250</v>
      </c>
      <c r="R7548" s="119"/>
      <c r="S7548" s="118">
        <v>22000</v>
      </c>
      <c r="T7548" s="119"/>
      <c r="U7548" s="118">
        <f t="shared" ref="U7548" si="11006">SUM(K7548:T7549)</f>
        <v>1197250</v>
      </c>
      <c r="V7548" s="122"/>
      <c r="W7548" s="124"/>
      <c r="X7548" s="126" t="s">
        <v>21578</v>
      </c>
      <c r="Y7548" s="127"/>
      <c r="Z7548" s="127"/>
      <c r="AA7548" s="127"/>
      <c r="AB7548" s="128"/>
      <c r="AC7548" s="15" t="s">
        <v>20</v>
      </c>
      <c r="AD7548" s="129" t="s">
        <v>4435</v>
      </c>
      <c r="AE7548" s="130"/>
      <c r="AF7548" s="130"/>
      <c r="AG7548" s="130"/>
      <c r="AH7548" s="130"/>
      <c r="AI7548" s="131"/>
      <c r="AJ7548" s="132"/>
      <c r="AK7548" s="127"/>
      <c r="AL7548" s="128"/>
      <c r="AM7548" s="21" t="s">
        <v>22952</v>
      </c>
      <c r="AN7548" s="133"/>
      <c r="AO7548" s="134"/>
      <c r="AP7548" s="135"/>
      <c r="AQ7548" s="136"/>
      <c r="AR7548" s="118"/>
      <c r="AS7548" s="119"/>
      <c r="AT7548" s="118">
        <f t="shared" ref="AT7548" si="11007">AR7548*0.1</f>
        <v>0</v>
      </c>
      <c r="AU7548" s="119"/>
      <c r="AV7548" s="118"/>
      <c r="AW7548" s="119"/>
      <c r="AX7548" s="118">
        <f t="shared" ref="AX7548" si="11008">SUM(AR7548:AW7548)</f>
        <v>0</v>
      </c>
      <c r="AY7548" s="119"/>
      <c r="AZ7548" s="137"/>
    </row>
    <row r="7549" spans="1:52" ht="17.100000000000001" customHeight="1" thickBot="1">
      <c r="A7549" s="110"/>
      <c r="B7549" s="27" t="s">
        <v>1543</v>
      </c>
      <c r="C7549" s="27">
        <v>13086</v>
      </c>
      <c r="D7549" s="14" t="s">
        <v>1812</v>
      </c>
      <c r="E7549" s="112"/>
      <c r="F7549" s="139" t="s">
        <v>21577</v>
      </c>
      <c r="G7549" s="140"/>
      <c r="H7549" s="141"/>
      <c r="I7549" s="26">
        <v>28406</v>
      </c>
      <c r="J7549" s="117"/>
      <c r="K7549" s="120"/>
      <c r="L7549" s="121"/>
      <c r="M7549" s="120"/>
      <c r="N7549" s="121"/>
      <c r="O7549" s="120"/>
      <c r="P7549" s="121"/>
      <c r="Q7549" s="120"/>
      <c r="R7549" s="121"/>
      <c r="S7549" s="120"/>
      <c r="T7549" s="121"/>
      <c r="U7549" s="120"/>
      <c r="V7549" s="123"/>
      <c r="W7549" s="125"/>
      <c r="X7549" s="142" t="s">
        <v>7906</v>
      </c>
      <c r="Y7549" s="143"/>
      <c r="Z7549" s="143"/>
      <c r="AA7549" s="143"/>
      <c r="AB7549" s="144"/>
      <c r="AC7549" s="16" t="s">
        <v>21</v>
      </c>
      <c r="AD7549" s="17" t="s">
        <v>1918</v>
      </c>
      <c r="AE7549" s="145" t="s">
        <v>171</v>
      </c>
      <c r="AF7549" s="146"/>
      <c r="AG7549" s="146"/>
      <c r="AH7549" s="146"/>
      <c r="AI7549" s="147"/>
      <c r="AJ7549" s="148"/>
      <c r="AK7549" s="143"/>
      <c r="AL7549" s="144"/>
      <c r="AM7549" s="22"/>
      <c r="AN7549" s="149"/>
      <c r="AO7549" s="144"/>
      <c r="AP7549" s="148"/>
      <c r="AQ7549" s="144"/>
      <c r="AR7549" s="120"/>
      <c r="AS7549" s="121"/>
      <c r="AT7549" s="120"/>
      <c r="AU7549" s="121"/>
      <c r="AV7549" s="120"/>
      <c r="AW7549" s="121"/>
      <c r="AX7549" s="120"/>
      <c r="AY7549" s="121"/>
      <c r="AZ7549" s="138"/>
    </row>
    <row r="7550" spans="1:52" ht="17.100000000000001" customHeight="1" thickTop="1">
      <c r="A7550" s="109" t="s">
        <v>21427</v>
      </c>
      <c r="B7550" s="28">
        <v>46108</v>
      </c>
      <c r="C7550" s="25">
        <v>2128</v>
      </c>
      <c r="D7550" s="13" t="s">
        <v>1714</v>
      </c>
      <c r="E7550" s="111"/>
      <c r="F7550" s="113" t="s">
        <v>21579</v>
      </c>
      <c r="G7550" s="114"/>
      <c r="H7550" s="115"/>
      <c r="I7550" s="24"/>
      <c r="J7550" s="116">
        <v>4.5</v>
      </c>
      <c r="K7550" s="118">
        <v>2135000</v>
      </c>
      <c r="L7550" s="119"/>
      <c r="M7550" s="118">
        <f t="shared" ref="M7550" si="11009">K7550*0.1</f>
        <v>213500</v>
      </c>
      <c r="N7550" s="119"/>
      <c r="O7550" s="118">
        <v>0</v>
      </c>
      <c r="P7550" s="119"/>
      <c r="Q7550" s="118">
        <v>20830</v>
      </c>
      <c r="R7550" s="119"/>
      <c r="S7550" s="118">
        <v>22000</v>
      </c>
      <c r="T7550" s="119"/>
      <c r="U7550" s="118">
        <f t="shared" ref="U7550" si="11010">SUM(K7550:T7551)</f>
        <v>2391330</v>
      </c>
      <c r="V7550" s="122"/>
      <c r="W7550" s="124"/>
      <c r="X7550" s="126" t="s">
        <v>21884</v>
      </c>
      <c r="Y7550" s="127"/>
      <c r="Z7550" s="127"/>
      <c r="AA7550" s="127"/>
      <c r="AB7550" s="128"/>
      <c r="AC7550" s="15" t="s">
        <v>20</v>
      </c>
      <c r="AD7550" s="129"/>
      <c r="AE7550" s="130"/>
      <c r="AF7550" s="130"/>
      <c r="AG7550" s="130"/>
      <c r="AH7550" s="130"/>
      <c r="AI7550" s="131"/>
      <c r="AJ7550" s="132"/>
      <c r="AK7550" s="127"/>
      <c r="AL7550" s="128"/>
      <c r="AM7550" s="21"/>
      <c r="AN7550" s="133"/>
      <c r="AO7550" s="134"/>
      <c r="AP7550" s="135"/>
      <c r="AQ7550" s="136"/>
      <c r="AR7550" s="118"/>
      <c r="AS7550" s="119"/>
      <c r="AT7550" s="118">
        <f t="shared" ref="AT7550" si="11011">AR7550*0.1</f>
        <v>0</v>
      </c>
      <c r="AU7550" s="119"/>
      <c r="AV7550" s="118"/>
      <c r="AW7550" s="119"/>
      <c r="AX7550" s="118">
        <f t="shared" ref="AX7550" si="11012">SUM(AR7550:AW7550)</f>
        <v>0</v>
      </c>
      <c r="AY7550" s="119"/>
      <c r="AZ7550" s="137"/>
    </row>
    <row r="7551" spans="1:52" ht="17.100000000000001" customHeight="1" thickBot="1">
      <c r="A7551" s="110"/>
      <c r="B7551" s="27" t="s">
        <v>1543</v>
      </c>
      <c r="C7551" s="27">
        <v>13091</v>
      </c>
      <c r="D7551" s="14" t="s">
        <v>2601</v>
      </c>
      <c r="E7551" s="112"/>
      <c r="F7551" s="139" t="s">
        <v>21580</v>
      </c>
      <c r="G7551" s="140"/>
      <c r="H7551" s="141"/>
      <c r="I7551" s="26">
        <v>50022</v>
      </c>
      <c r="J7551" s="117"/>
      <c r="K7551" s="120"/>
      <c r="L7551" s="121"/>
      <c r="M7551" s="120"/>
      <c r="N7551" s="121"/>
      <c r="O7551" s="120"/>
      <c r="P7551" s="121"/>
      <c r="Q7551" s="120"/>
      <c r="R7551" s="121"/>
      <c r="S7551" s="120"/>
      <c r="T7551" s="121"/>
      <c r="U7551" s="120"/>
      <c r="V7551" s="123"/>
      <c r="W7551" s="125"/>
      <c r="X7551" s="142" t="s">
        <v>3410</v>
      </c>
      <c r="Y7551" s="143"/>
      <c r="Z7551" s="143"/>
      <c r="AA7551" s="143"/>
      <c r="AB7551" s="144"/>
      <c r="AC7551" s="16" t="s">
        <v>21</v>
      </c>
      <c r="AD7551" s="17" t="s">
        <v>1642</v>
      </c>
      <c r="AE7551" s="145" t="s">
        <v>1742</v>
      </c>
      <c r="AF7551" s="146"/>
      <c r="AG7551" s="146"/>
      <c r="AH7551" s="146"/>
      <c r="AI7551" s="147"/>
      <c r="AJ7551" s="148"/>
      <c r="AK7551" s="143"/>
      <c r="AL7551" s="144"/>
      <c r="AM7551" s="22"/>
      <c r="AN7551" s="149"/>
      <c r="AO7551" s="144"/>
      <c r="AP7551" s="148"/>
      <c r="AQ7551" s="144"/>
      <c r="AR7551" s="120"/>
      <c r="AS7551" s="121"/>
      <c r="AT7551" s="120"/>
      <c r="AU7551" s="121"/>
      <c r="AV7551" s="120"/>
      <c r="AW7551" s="121"/>
      <c r="AX7551" s="120"/>
      <c r="AY7551" s="121"/>
      <c r="AZ7551" s="138"/>
    </row>
    <row r="7552" spans="1:52" ht="17.100000000000001" customHeight="1" thickTop="1">
      <c r="A7552" s="109" t="s">
        <v>21428</v>
      </c>
      <c r="B7552" s="28">
        <v>46108</v>
      </c>
      <c r="C7552" s="25">
        <v>2128</v>
      </c>
      <c r="D7552" s="13" t="s">
        <v>1537</v>
      </c>
      <c r="E7552" s="111"/>
      <c r="F7552" s="113" t="s">
        <v>21445</v>
      </c>
      <c r="G7552" s="114"/>
      <c r="H7552" s="115"/>
      <c r="I7552" s="24"/>
      <c r="J7552" s="116">
        <v>4.5</v>
      </c>
      <c r="K7552" s="118">
        <v>1065000</v>
      </c>
      <c r="L7552" s="119"/>
      <c r="M7552" s="118">
        <f t="shared" ref="M7552" si="11013">K7552*0.1</f>
        <v>106500</v>
      </c>
      <c r="N7552" s="119"/>
      <c r="O7552" s="118">
        <v>0</v>
      </c>
      <c r="P7552" s="119"/>
      <c r="Q7552" s="118">
        <v>19090</v>
      </c>
      <c r="R7552" s="119"/>
      <c r="S7552" s="118">
        <v>22000</v>
      </c>
      <c r="T7552" s="119"/>
      <c r="U7552" s="118">
        <f t="shared" ref="U7552" si="11014">SUM(K7552:T7553)</f>
        <v>1212590</v>
      </c>
      <c r="V7552" s="122"/>
      <c r="W7552" s="124"/>
      <c r="X7552" s="126" t="s">
        <v>21881</v>
      </c>
      <c r="Y7552" s="127"/>
      <c r="Z7552" s="127"/>
      <c r="AA7552" s="127"/>
      <c r="AB7552" s="128"/>
      <c r="AC7552" s="15" t="s">
        <v>20</v>
      </c>
      <c r="AD7552" s="129"/>
      <c r="AE7552" s="130"/>
      <c r="AF7552" s="130"/>
      <c r="AG7552" s="130"/>
      <c r="AH7552" s="130"/>
      <c r="AI7552" s="131"/>
      <c r="AJ7552" s="132"/>
      <c r="AK7552" s="127"/>
      <c r="AL7552" s="128"/>
      <c r="AM7552" s="21"/>
      <c r="AN7552" s="133">
        <v>46128</v>
      </c>
      <c r="AO7552" s="134"/>
      <c r="AP7552" s="135">
        <v>1327</v>
      </c>
      <c r="AQ7552" s="136"/>
      <c r="AR7552" s="118">
        <v>1195000</v>
      </c>
      <c r="AS7552" s="119"/>
      <c r="AT7552" s="118">
        <f t="shared" ref="AT7552" si="11015">AR7552*0.1</f>
        <v>119500</v>
      </c>
      <c r="AU7552" s="119"/>
      <c r="AV7552" s="118">
        <v>19090</v>
      </c>
      <c r="AW7552" s="119"/>
      <c r="AX7552" s="118">
        <f t="shared" ref="AX7552" si="11016">SUM(AR7552:AW7552)</f>
        <v>1333590</v>
      </c>
      <c r="AY7552" s="119"/>
      <c r="AZ7552" s="137">
        <v>46129</v>
      </c>
    </row>
    <row r="7553" spans="1:52" ht="17.100000000000001" customHeight="1" thickBot="1">
      <c r="A7553" s="110"/>
      <c r="B7553" s="27" t="s">
        <v>1543</v>
      </c>
      <c r="C7553" s="27">
        <v>13097</v>
      </c>
      <c r="D7553" s="14" t="s">
        <v>1700</v>
      </c>
      <c r="E7553" s="112"/>
      <c r="F7553" s="139" t="s">
        <v>21581</v>
      </c>
      <c r="G7553" s="140"/>
      <c r="H7553" s="141"/>
      <c r="I7553" s="26">
        <v>47236</v>
      </c>
      <c r="J7553" s="117"/>
      <c r="K7553" s="120"/>
      <c r="L7553" s="121"/>
      <c r="M7553" s="120"/>
      <c r="N7553" s="121"/>
      <c r="O7553" s="120"/>
      <c r="P7553" s="121"/>
      <c r="Q7553" s="120"/>
      <c r="R7553" s="121"/>
      <c r="S7553" s="120"/>
      <c r="T7553" s="121"/>
      <c r="U7553" s="120"/>
      <c r="V7553" s="123"/>
      <c r="W7553" s="125"/>
      <c r="X7553" s="142" t="s">
        <v>21882</v>
      </c>
      <c r="Y7553" s="143"/>
      <c r="Z7553" s="143"/>
      <c r="AA7553" s="143"/>
      <c r="AB7553" s="144"/>
      <c r="AC7553" s="16" t="s">
        <v>21</v>
      </c>
      <c r="AD7553" s="17" t="s">
        <v>1642</v>
      </c>
      <c r="AE7553" s="145" t="s">
        <v>9450</v>
      </c>
      <c r="AF7553" s="146"/>
      <c r="AG7553" s="146"/>
      <c r="AH7553" s="146"/>
      <c r="AI7553" s="147"/>
      <c r="AJ7553" s="148"/>
      <c r="AK7553" s="143"/>
      <c r="AL7553" s="144"/>
      <c r="AM7553" s="22"/>
      <c r="AN7553" s="149" t="s">
        <v>23284</v>
      </c>
      <c r="AO7553" s="144"/>
      <c r="AP7553" s="148">
        <v>112</v>
      </c>
      <c r="AQ7553" s="144"/>
      <c r="AR7553" s="120"/>
      <c r="AS7553" s="121"/>
      <c r="AT7553" s="120"/>
      <c r="AU7553" s="121"/>
      <c r="AV7553" s="120"/>
      <c r="AW7553" s="121"/>
      <c r="AX7553" s="120"/>
      <c r="AY7553" s="121"/>
      <c r="AZ7553" s="138"/>
    </row>
    <row r="7554" spans="1:52" ht="17.100000000000001" customHeight="1" thickTop="1">
      <c r="A7554" s="109" t="s">
        <v>21429</v>
      </c>
      <c r="B7554" s="28">
        <v>46108</v>
      </c>
      <c r="C7554" s="25">
        <v>1412</v>
      </c>
      <c r="D7554" s="13" t="s">
        <v>1712</v>
      </c>
      <c r="E7554" s="111"/>
      <c r="F7554" s="113" t="s">
        <v>21463</v>
      </c>
      <c r="G7554" s="114"/>
      <c r="H7554" s="115"/>
      <c r="I7554" s="24"/>
      <c r="J7554" s="116">
        <v>4</v>
      </c>
      <c r="K7554" s="118">
        <v>711000</v>
      </c>
      <c r="L7554" s="119"/>
      <c r="M7554" s="118">
        <f t="shared" ref="M7554" si="11017">K7554*0.1</f>
        <v>71100</v>
      </c>
      <c r="N7554" s="119"/>
      <c r="O7554" s="118">
        <v>0</v>
      </c>
      <c r="P7554" s="119"/>
      <c r="Q7554" s="118">
        <v>9790</v>
      </c>
      <c r="R7554" s="119"/>
      <c r="S7554" s="118">
        <v>15400</v>
      </c>
      <c r="T7554" s="119"/>
      <c r="U7554" s="118">
        <f t="shared" ref="U7554" si="11018">SUM(K7554:T7555)</f>
        <v>807290</v>
      </c>
      <c r="V7554" s="122"/>
      <c r="W7554" s="124"/>
      <c r="X7554" s="126" t="s">
        <v>21861</v>
      </c>
      <c r="Y7554" s="127"/>
      <c r="Z7554" s="127"/>
      <c r="AA7554" s="127"/>
      <c r="AB7554" s="128"/>
      <c r="AC7554" s="15" t="s">
        <v>20</v>
      </c>
      <c r="AD7554" s="129"/>
      <c r="AE7554" s="130"/>
      <c r="AF7554" s="130"/>
      <c r="AG7554" s="130"/>
      <c r="AH7554" s="130"/>
      <c r="AI7554" s="131"/>
      <c r="AJ7554" s="132"/>
      <c r="AK7554" s="127"/>
      <c r="AL7554" s="128"/>
      <c r="AM7554" s="21"/>
      <c r="AN7554" s="133">
        <v>46113</v>
      </c>
      <c r="AO7554" s="134"/>
      <c r="AP7554" s="135">
        <v>1011</v>
      </c>
      <c r="AQ7554" s="136"/>
      <c r="AR7554" s="118">
        <v>800000</v>
      </c>
      <c r="AS7554" s="119"/>
      <c r="AT7554" s="118">
        <f t="shared" ref="AT7554" si="11019">AR7554*0.1</f>
        <v>80000</v>
      </c>
      <c r="AU7554" s="119"/>
      <c r="AV7554" s="118">
        <v>9790</v>
      </c>
      <c r="AW7554" s="119"/>
      <c r="AX7554" s="118">
        <f t="shared" ref="AX7554" si="11020">SUM(AR7554:AW7554)</f>
        <v>889790</v>
      </c>
      <c r="AY7554" s="119"/>
      <c r="AZ7554" s="137">
        <v>46118</v>
      </c>
    </row>
    <row r="7555" spans="1:52" ht="17.100000000000001" customHeight="1" thickBot="1">
      <c r="A7555" s="110"/>
      <c r="B7555" s="27" t="s">
        <v>2641</v>
      </c>
      <c r="C7555" s="27">
        <v>3052</v>
      </c>
      <c r="D7555" s="14" t="s">
        <v>2601</v>
      </c>
      <c r="E7555" s="112"/>
      <c r="F7555" s="139" t="s">
        <v>21464</v>
      </c>
      <c r="G7555" s="140"/>
      <c r="H7555" s="141"/>
      <c r="I7555" s="26">
        <v>56228</v>
      </c>
      <c r="J7555" s="117"/>
      <c r="K7555" s="120"/>
      <c r="L7555" s="121"/>
      <c r="M7555" s="120"/>
      <c r="N7555" s="121"/>
      <c r="O7555" s="120"/>
      <c r="P7555" s="121"/>
      <c r="Q7555" s="120"/>
      <c r="R7555" s="121"/>
      <c r="S7555" s="120"/>
      <c r="T7555" s="121"/>
      <c r="U7555" s="120"/>
      <c r="V7555" s="123"/>
      <c r="W7555" s="125"/>
      <c r="X7555" s="142" t="s">
        <v>1997</v>
      </c>
      <c r="Y7555" s="143"/>
      <c r="Z7555" s="143"/>
      <c r="AA7555" s="143"/>
      <c r="AB7555" s="144"/>
      <c r="AC7555" s="16" t="s">
        <v>21</v>
      </c>
      <c r="AD7555" s="17" t="s">
        <v>1642</v>
      </c>
      <c r="AE7555" s="145"/>
      <c r="AF7555" s="146"/>
      <c r="AG7555" s="146"/>
      <c r="AH7555" s="146"/>
      <c r="AI7555" s="147"/>
      <c r="AJ7555" s="148"/>
      <c r="AK7555" s="143"/>
      <c r="AL7555" s="144"/>
      <c r="AM7555" s="22"/>
      <c r="AN7555" s="149" t="s">
        <v>2794</v>
      </c>
      <c r="AO7555" s="144"/>
      <c r="AP7555" s="148">
        <v>5106</v>
      </c>
      <c r="AQ7555" s="144"/>
      <c r="AR7555" s="120"/>
      <c r="AS7555" s="121"/>
      <c r="AT7555" s="120"/>
      <c r="AU7555" s="121"/>
      <c r="AV7555" s="120"/>
      <c r="AW7555" s="121"/>
      <c r="AX7555" s="120"/>
      <c r="AY7555" s="121"/>
      <c r="AZ7555" s="138"/>
    </row>
    <row r="7556" spans="1:52" ht="17.100000000000001" customHeight="1" thickTop="1">
      <c r="A7556" s="109" t="s">
        <v>21430</v>
      </c>
      <c r="B7556" s="28">
        <v>46108</v>
      </c>
      <c r="C7556" s="25">
        <v>1412</v>
      </c>
      <c r="D7556" s="13" t="s">
        <v>2211</v>
      </c>
      <c r="E7556" s="111"/>
      <c r="F7556" s="113" t="s">
        <v>17181</v>
      </c>
      <c r="G7556" s="114"/>
      <c r="H7556" s="115"/>
      <c r="I7556" s="24" t="s">
        <v>16021</v>
      </c>
      <c r="J7556" s="116">
        <v>5</v>
      </c>
      <c r="K7556" s="118">
        <v>1992000</v>
      </c>
      <c r="L7556" s="119"/>
      <c r="M7556" s="118">
        <f t="shared" ref="M7556" si="11021">K7556*0.1</f>
        <v>199200</v>
      </c>
      <c r="N7556" s="119"/>
      <c r="O7556" s="118">
        <v>30500</v>
      </c>
      <c r="P7556" s="119"/>
      <c r="Q7556" s="118">
        <v>6450</v>
      </c>
      <c r="R7556" s="119"/>
      <c r="S7556" s="118">
        <v>15400</v>
      </c>
      <c r="T7556" s="119"/>
      <c r="U7556" s="118">
        <f t="shared" ref="U7556" si="11022">SUM(K7556:T7557)</f>
        <v>2243550</v>
      </c>
      <c r="V7556" s="122"/>
      <c r="W7556" s="124"/>
      <c r="X7556" s="126" t="s">
        <v>21920</v>
      </c>
      <c r="Y7556" s="127"/>
      <c r="Z7556" s="127"/>
      <c r="AA7556" s="127"/>
      <c r="AB7556" s="128"/>
      <c r="AC7556" s="15" t="s">
        <v>20</v>
      </c>
      <c r="AD7556" s="129" t="s">
        <v>21582</v>
      </c>
      <c r="AE7556" s="130"/>
      <c r="AF7556" s="130"/>
      <c r="AG7556" s="130"/>
      <c r="AH7556" s="130"/>
      <c r="AI7556" s="131"/>
      <c r="AJ7556" s="132"/>
      <c r="AK7556" s="127"/>
      <c r="AL7556" s="128"/>
      <c r="AM7556" s="21" t="s">
        <v>22429</v>
      </c>
      <c r="AN7556" s="133">
        <v>46141</v>
      </c>
      <c r="AO7556" s="134"/>
      <c r="AP7556" s="135">
        <v>1015</v>
      </c>
      <c r="AQ7556" s="136"/>
      <c r="AR7556" s="118">
        <v>2150000</v>
      </c>
      <c r="AS7556" s="119"/>
      <c r="AT7556" s="118">
        <f t="shared" ref="AT7556" si="11023">AR7556*0.1</f>
        <v>215000</v>
      </c>
      <c r="AU7556" s="119"/>
      <c r="AV7556" s="118">
        <v>6450</v>
      </c>
      <c r="AW7556" s="119"/>
      <c r="AX7556" s="118">
        <f t="shared" ref="AX7556" si="11024">SUM(AR7556:AW7556)</f>
        <v>2371450</v>
      </c>
      <c r="AY7556" s="119"/>
      <c r="AZ7556" s="137">
        <v>46154</v>
      </c>
    </row>
    <row r="7557" spans="1:52" ht="17.100000000000001" customHeight="1" thickBot="1">
      <c r="A7557" s="110"/>
      <c r="B7557" s="27" t="s">
        <v>2641</v>
      </c>
      <c r="C7557" s="27">
        <v>3104</v>
      </c>
      <c r="D7557" s="14" t="s">
        <v>2601</v>
      </c>
      <c r="E7557" s="112"/>
      <c r="F7557" s="139" t="s">
        <v>21465</v>
      </c>
      <c r="G7557" s="140"/>
      <c r="H7557" s="141"/>
      <c r="I7557" s="26">
        <v>34934</v>
      </c>
      <c r="J7557" s="117"/>
      <c r="K7557" s="120"/>
      <c r="L7557" s="121"/>
      <c r="M7557" s="120"/>
      <c r="N7557" s="121"/>
      <c r="O7557" s="120"/>
      <c r="P7557" s="121"/>
      <c r="Q7557" s="120"/>
      <c r="R7557" s="121"/>
      <c r="S7557" s="120"/>
      <c r="T7557" s="121"/>
      <c r="U7557" s="120"/>
      <c r="V7557" s="123"/>
      <c r="W7557" s="125"/>
      <c r="X7557" s="142" t="s">
        <v>21921</v>
      </c>
      <c r="Y7557" s="143"/>
      <c r="Z7557" s="143"/>
      <c r="AA7557" s="143"/>
      <c r="AB7557" s="144"/>
      <c r="AC7557" s="16" t="s">
        <v>21</v>
      </c>
      <c r="AD7557" s="17" t="s">
        <v>1642</v>
      </c>
      <c r="AE7557" s="145" t="s">
        <v>2347</v>
      </c>
      <c r="AF7557" s="146"/>
      <c r="AG7557" s="146"/>
      <c r="AH7557" s="146"/>
      <c r="AI7557" s="147"/>
      <c r="AJ7557" s="148"/>
      <c r="AK7557" s="143"/>
      <c r="AL7557" s="144"/>
      <c r="AM7557" s="22"/>
      <c r="AN7557" s="149" t="s">
        <v>25326</v>
      </c>
      <c r="AO7557" s="144"/>
      <c r="AP7557" s="148">
        <v>6093</v>
      </c>
      <c r="AQ7557" s="144"/>
      <c r="AR7557" s="120"/>
      <c r="AS7557" s="121"/>
      <c r="AT7557" s="120"/>
      <c r="AU7557" s="121"/>
      <c r="AV7557" s="120"/>
      <c r="AW7557" s="121"/>
      <c r="AX7557" s="120"/>
      <c r="AY7557" s="121"/>
      <c r="AZ7557" s="138"/>
    </row>
    <row r="7558" spans="1:52" ht="17.100000000000001" customHeight="1" thickTop="1">
      <c r="A7558" s="109" t="s">
        <v>21431</v>
      </c>
      <c r="B7558" s="28">
        <v>46108</v>
      </c>
      <c r="C7558" s="25">
        <v>1412</v>
      </c>
      <c r="D7558" s="13" t="s">
        <v>3654</v>
      </c>
      <c r="E7558" s="111"/>
      <c r="F7558" s="113" t="s">
        <v>21583</v>
      </c>
      <c r="G7558" s="114"/>
      <c r="H7558" s="115"/>
      <c r="I7558" s="24" t="s">
        <v>21584</v>
      </c>
      <c r="J7558" s="116">
        <v>4.5</v>
      </c>
      <c r="K7558" s="118">
        <v>1558000</v>
      </c>
      <c r="L7558" s="119"/>
      <c r="M7558" s="118">
        <f t="shared" ref="M7558" si="11025">K7558*0.1</f>
        <v>155800</v>
      </c>
      <c r="N7558" s="119"/>
      <c r="O7558" s="118">
        <v>39500</v>
      </c>
      <c r="P7558" s="119"/>
      <c r="Q7558" s="118">
        <v>12610</v>
      </c>
      <c r="R7558" s="119"/>
      <c r="S7558" s="118">
        <v>15400</v>
      </c>
      <c r="T7558" s="119"/>
      <c r="U7558" s="118">
        <f t="shared" ref="U7558" si="11026">SUM(K7558:T7559)</f>
        <v>1781310</v>
      </c>
      <c r="V7558" s="122"/>
      <c r="W7558" s="124"/>
      <c r="X7558" s="126" t="s">
        <v>22401</v>
      </c>
      <c r="Y7558" s="127"/>
      <c r="Z7558" s="127"/>
      <c r="AA7558" s="127"/>
      <c r="AB7558" s="128"/>
      <c r="AC7558" s="15" t="s">
        <v>20</v>
      </c>
      <c r="AD7558" s="129" t="s">
        <v>4435</v>
      </c>
      <c r="AE7558" s="130"/>
      <c r="AF7558" s="130"/>
      <c r="AG7558" s="130"/>
      <c r="AH7558" s="130"/>
      <c r="AI7558" s="131"/>
      <c r="AJ7558" s="132"/>
      <c r="AK7558" s="127"/>
      <c r="AL7558" s="128"/>
      <c r="AM7558" s="21"/>
      <c r="AN7558" s="133">
        <v>46113</v>
      </c>
      <c r="AO7558" s="134"/>
      <c r="AP7558" s="135">
        <v>1011</v>
      </c>
      <c r="AQ7558" s="136"/>
      <c r="AR7558" s="118">
        <v>1605000</v>
      </c>
      <c r="AS7558" s="119"/>
      <c r="AT7558" s="118">
        <f t="shared" ref="AT7558" si="11027">AR7558*0.1</f>
        <v>160500</v>
      </c>
      <c r="AU7558" s="119"/>
      <c r="AV7558" s="118">
        <v>12610</v>
      </c>
      <c r="AW7558" s="119"/>
      <c r="AX7558" s="118">
        <f t="shared" ref="AX7558" si="11028">SUM(AR7558:AW7558)</f>
        <v>1778110</v>
      </c>
      <c r="AY7558" s="119"/>
      <c r="AZ7558" s="137">
        <v>46121</v>
      </c>
    </row>
    <row r="7559" spans="1:52" ht="17.100000000000001" customHeight="1" thickBot="1">
      <c r="A7559" s="110"/>
      <c r="B7559" s="27" t="s">
        <v>2641</v>
      </c>
      <c r="C7559" s="27">
        <v>3132</v>
      </c>
      <c r="D7559" s="14" t="s">
        <v>2601</v>
      </c>
      <c r="E7559" s="112"/>
      <c r="F7559" s="139" t="s">
        <v>21466</v>
      </c>
      <c r="G7559" s="140"/>
      <c r="H7559" s="141"/>
      <c r="I7559" s="26">
        <v>69396</v>
      </c>
      <c r="J7559" s="117"/>
      <c r="K7559" s="120"/>
      <c r="L7559" s="121"/>
      <c r="M7559" s="120"/>
      <c r="N7559" s="121"/>
      <c r="O7559" s="120"/>
      <c r="P7559" s="121"/>
      <c r="Q7559" s="120"/>
      <c r="R7559" s="121"/>
      <c r="S7559" s="120"/>
      <c r="T7559" s="121"/>
      <c r="U7559" s="120"/>
      <c r="V7559" s="123"/>
      <c r="W7559" s="125"/>
      <c r="X7559" s="142" t="s">
        <v>3334</v>
      </c>
      <c r="Y7559" s="143"/>
      <c r="Z7559" s="143"/>
      <c r="AA7559" s="143"/>
      <c r="AB7559" s="144"/>
      <c r="AC7559" s="16" t="s">
        <v>21</v>
      </c>
      <c r="AD7559" s="17" t="s">
        <v>3980</v>
      </c>
      <c r="AE7559" s="145" t="s">
        <v>22402</v>
      </c>
      <c r="AF7559" s="146"/>
      <c r="AG7559" s="146"/>
      <c r="AH7559" s="146"/>
      <c r="AI7559" s="147"/>
      <c r="AJ7559" s="148"/>
      <c r="AK7559" s="143"/>
      <c r="AL7559" s="144"/>
      <c r="AM7559" s="22"/>
      <c r="AN7559" s="149" t="s">
        <v>2794</v>
      </c>
      <c r="AO7559" s="144"/>
      <c r="AP7559" s="148">
        <v>5123</v>
      </c>
      <c r="AQ7559" s="144"/>
      <c r="AR7559" s="120"/>
      <c r="AS7559" s="121"/>
      <c r="AT7559" s="120"/>
      <c r="AU7559" s="121"/>
      <c r="AV7559" s="120"/>
      <c r="AW7559" s="121"/>
      <c r="AX7559" s="120"/>
      <c r="AY7559" s="121"/>
      <c r="AZ7559" s="138"/>
    </row>
    <row r="7560" spans="1:52" ht="17.100000000000001" customHeight="1" thickTop="1">
      <c r="A7560" s="151" t="s">
        <v>21446</v>
      </c>
      <c r="B7560" s="28">
        <v>46108</v>
      </c>
      <c r="C7560" s="25">
        <v>1412</v>
      </c>
      <c r="D7560" s="13" t="s">
        <v>2564</v>
      </c>
      <c r="E7560" s="111"/>
      <c r="F7560" s="113" t="s">
        <v>21467</v>
      </c>
      <c r="G7560" s="114"/>
      <c r="H7560" s="115"/>
      <c r="I7560" s="24" t="s">
        <v>5431</v>
      </c>
      <c r="J7560" s="116">
        <v>4</v>
      </c>
      <c r="K7560" s="118">
        <v>913000</v>
      </c>
      <c r="L7560" s="119"/>
      <c r="M7560" s="118">
        <f t="shared" ref="M7560" si="11029">K7560*0.1</f>
        <v>91300</v>
      </c>
      <c r="N7560" s="119"/>
      <c r="O7560" s="118">
        <v>39500</v>
      </c>
      <c r="P7560" s="119"/>
      <c r="Q7560" s="118">
        <v>10180</v>
      </c>
      <c r="R7560" s="119"/>
      <c r="S7560" s="118">
        <v>15400</v>
      </c>
      <c r="T7560" s="119"/>
      <c r="U7560" s="118">
        <f t="shared" ref="U7560" si="11030">SUM(K7560:T7561)</f>
        <v>1069380</v>
      </c>
      <c r="V7560" s="122"/>
      <c r="W7560" s="124"/>
      <c r="X7560" s="126" t="s">
        <v>21975</v>
      </c>
      <c r="Y7560" s="127"/>
      <c r="Z7560" s="127"/>
      <c r="AA7560" s="127"/>
      <c r="AB7560" s="128"/>
      <c r="AC7560" s="15" t="s">
        <v>20</v>
      </c>
      <c r="AD7560" s="129"/>
      <c r="AE7560" s="130"/>
      <c r="AF7560" s="130"/>
      <c r="AG7560" s="130"/>
      <c r="AH7560" s="130"/>
      <c r="AI7560" s="131"/>
      <c r="AJ7560" s="132" t="s">
        <v>22247</v>
      </c>
      <c r="AK7560" s="127"/>
      <c r="AL7560" s="128"/>
      <c r="AM7560" s="21"/>
      <c r="AN7560" s="133"/>
      <c r="AO7560" s="134"/>
      <c r="AP7560" s="135"/>
      <c r="AQ7560" s="136"/>
      <c r="AR7560" s="118"/>
      <c r="AS7560" s="119"/>
      <c r="AT7560" s="118">
        <f t="shared" ref="AT7560" si="11031">AR7560*0.1</f>
        <v>0</v>
      </c>
      <c r="AU7560" s="119"/>
      <c r="AV7560" s="118"/>
      <c r="AW7560" s="119"/>
      <c r="AX7560" s="118">
        <f t="shared" ref="AX7560" si="11032">SUM(AR7560:AW7560)</f>
        <v>0</v>
      </c>
      <c r="AY7560" s="119"/>
      <c r="AZ7560" s="137"/>
    </row>
    <row r="7561" spans="1:52" ht="17.100000000000001" customHeight="1" thickBot="1">
      <c r="A7561" s="152"/>
      <c r="B7561" s="27" t="s">
        <v>2641</v>
      </c>
      <c r="C7561" s="27">
        <v>3146</v>
      </c>
      <c r="D7561" s="14" t="s">
        <v>2601</v>
      </c>
      <c r="E7561" s="112"/>
      <c r="F7561" s="139" t="s">
        <v>21468</v>
      </c>
      <c r="G7561" s="140"/>
      <c r="H7561" s="141"/>
      <c r="I7561" s="26">
        <v>128939</v>
      </c>
      <c r="J7561" s="117"/>
      <c r="K7561" s="120"/>
      <c r="L7561" s="121"/>
      <c r="M7561" s="120"/>
      <c r="N7561" s="121"/>
      <c r="O7561" s="120"/>
      <c r="P7561" s="121"/>
      <c r="Q7561" s="120"/>
      <c r="R7561" s="121"/>
      <c r="S7561" s="120"/>
      <c r="T7561" s="121"/>
      <c r="U7561" s="120"/>
      <c r="V7561" s="123"/>
      <c r="W7561" s="125"/>
      <c r="X7561" s="142" t="s">
        <v>21976</v>
      </c>
      <c r="Y7561" s="143"/>
      <c r="Z7561" s="143"/>
      <c r="AA7561" s="143"/>
      <c r="AB7561" s="144"/>
      <c r="AC7561" s="16" t="s">
        <v>21</v>
      </c>
      <c r="AD7561" s="17" t="s">
        <v>21936</v>
      </c>
      <c r="AE7561" s="145" t="s">
        <v>21627</v>
      </c>
      <c r="AF7561" s="146"/>
      <c r="AG7561" s="146"/>
      <c r="AH7561" s="146"/>
      <c r="AI7561" s="147"/>
      <c r="AJ7561" s="148"/>
      <c r="AK7561" s="143"/>
      <c r="AL7561" s="144"/>
      <c r="AM7561" s="22"/>
      <c r="AN7561" s="149"/>
      <c r="AO7561" s="144"/>
      <c r="AP7561" s="148"/>
      <c r="AQ7561" s="144"/>
      <c r="AR7561" s="120"/>
      <c r="AS7561" s="121"/>
      <c r="AT7561" s="120"/>
      <c r="AU7561" s="121"/>
      <c r="AV7561" s="120"/>
      <c r="AW7561" s="121"/>
      <c r="AX7561" s="120"/>
      <c r="AY7561" s="121"/>
      <c r="AZ7561" s="138"/>
    </row>
    <row r="7562" spans="1:52" ht="17.100000000000001" customHeight="1" thickTop="1">
      <c r="A7562" s="109" t="s">
        <v>21447</v>
      </c>
      <c r="B7562" s="28">
        <v>46108</v>
      </c>
      <c r="C7562" s="25">
        <v>1412</v>
      </c>
      <c r="D7562" s="13" t="s">
        <v>21585</v>
      </c>
      <c r="E7562" s="111"/>
      <c r="F7562" s="113" t="s">
        <v>21469</v>
      </c>
      <c r="G7562" s="114"/>
      <c r="H7562" s="115"/>
      <c r="I7562" s="24"/>
      <c r="J7562" s="116">
        <v>3.5</v>
      </c>
      <c r="K7562" s="118">
        <v>566000</v>
      </c>
      <c r="L7562" s="119"/>
      <c r="M7562" s="118">
        <f t="shared" ref="M7562" si="11033">K7562*0.1</f>
        <v>56600</v>
      </c>
      <c r="N7562" s="119"/>
      <c r="O7562" s="118">
        <v>0</v>
      </c>
      <c r="P7562" s="119"/>
      <c r="Q7562" s="118">
        <v>171900</v>
      </c>
      <c r="R7562" s="119"/>
      <c r="S7562" s="118">
        <v>15400</v>
      </c>
      <c r="T7562" s="119"/>
      <c r="U7562" s="118">
        <f t="shared" ref="U7562" si="11034">SUM(K7562:T7563)</f>
        <v>809900</v>
      </c>
      <c r="V7562" s="122"/>
      <c r="W7562" s="124"/>
      <c r="X7562" s="126" t="s">
        <v>22285</v>
      </c>
      <c r="Y7562" s="127"/>
      <c r="Z7562" s="127"/>
      <c r="AA7562" s="127"/>
      <c r="AB7562" s="128"/>
      <c r="AC7562" s="15" t="s">
        <v>20</v>
      </c>
      <c r="AD7562" s="129" t="s">
        <v>4435</v>
      </c>
      <c r="AE7562" s="130"/>
      <c r="AF7562" s="130"/>
      <c r="AG7562" s="130"/>
      <c r="AH7562" s="130"/>
      <c r="AI7562" s="131"/>
      <c r="AJ7562" s="132"/>
      <c r="AK7562" s="127"/>
      <c r="AL7562" s="128"/>
      <c r="AM7562" s="21"/>
      <c r="AN7562" s="133">
        <v>46116</v>
      </c>
      <c r="AO7562" s="134"/>
      <c r="AP7562" s="135">
        <v>1295</v>
      </c>
      <c r="AQ7562" s="136"/>
      <c r="AR7562" s="118">
        <v>580000</v>
      </c>
      <c r="AS7562" s="119"/>
      <c r="AT7562" s="118">
        <f t="shared" ref="AT7562" si="11035">AR7562*0.1</f>
        <v>58000</v>
      </c>
      <c r="AU7562" s="119"/>
      <c r="AV7562" s="118">
        <v>17190</v>
      </c>
      <c r="AW7562" s="119"/>
      <c r="AX7562" s="118">
        <f t="shared" ref="AX7562" si="11036">SUM(AR7562:AW7562)</f>
        <v>655190</v>
      </c>
      <c r="AY7562" s="119"/>
      <c r="AZ7562" s="137">
        <v>46121</v>
      </c>
    </row>
    <row r="7563" spans="1:52" ht="17.100000000000001" customHeight="1" thickBot="1">
      <c r="A7563" s="110"/>
      <c r="B7563" s="27" t="s">
        <v>2641</v>
      </c>
      <c r="C7563" s="27">
        <v>3197</v>
      </c>
      <c r="D7563" s="14" t="s">
        <v>275</v>
      </c>
      <c r="E7563" s="112"/>
      <c r="F7563" s="139" t="s">
        <v>21586</v>
      </c>
      <c r="G7563" s="140"/>
      <c r="H7563" s="141"/>
      <c r="I7563" s="26">
        <v>185671</v>
      </c>
      <c r="J7563" s="117"/>
      <c r="K7563" s="120"/>
      <c r="L7563" s="121"/>
      <c r="M7563" s="120"/>
      <c r="N7563" s="121"/>
      <c r="O7563" s="120"/>
      <c r="P7563" s="121"/>
      <c r="Q7563" s="120"/>
      <c r="R7563" s="121"/>
      <c r="S7563" s="120"/>
      <c r="T7563" s="121"/>
      <c r="U7563" s="120"/>
      <c r="V7563" s="123"/>
      <c r="W7563" s="125"/>
      <c r="X7563" s="142" t="s">
        <v>3334</v>
      </c>
      <c r="Y7563" s="143"/>
      <c r="Z7563" s="143"/>
      <c r="AA7563" s="143"/>
      <c r="AB7563" s="144"/>
      <c r="AC7563" s="16" t="s">
        <v>21</v>
      </c>
      <c r="AD7563" s="17" t="s">
        <v>1922</v>
      </c>
      <c r="AE7563" s="145" t="s">
        <v>171</v>
      </c>
      <c r="AF7563" s="146"/>
      <c r="AG7563" s="146"/>
      <c r="AH7563" s="146"/>
      <c r="AI7563" s="147"/>
      <c r="AJ7563" s="148"/>
      <c r="AK7563" s="143"/>
      <c r="AL7563" s="144"/>
      <c r="AM7563" s="22"/>
      <c r="AN7563" s="149" t="s">
        <v>2511</v>
      </c>
      <c r="AO7563" s="144"/>
      <c r="AP7563" s="148">
        <v>42</v>
      </c>
      <c r="AQ7563" s="144"/>
      <c r="AR7563" s="120"/>
      <c r="AS7563" s="121"/>
      <c r="AT7563" s="120"/>
      <c r="AU7563" s="121"/>
      <c r="AV7563" s="120"/>
      <c r="AW7563" s="121"/>
      <c r="AX7563" s="120"/>
      <c r="AY7563" s="121"/>
      <c r="AZ7563" s="138"/>
    </row>
    <row r="7564" spans="1:52" ht="17.100000000000001" customHeight="1" thickTop="1">
      <c r="A7564" s="151" t="s">
        <v>21448</v>
      </c>
      <c r="B7564" s="28">
        <v>46108</v>
      </c>
      <c r="C7564" s="25">
        <v>1412</v>
      </c>
      <c r="D7564" s="13" t="s">
        <v>1651</v>
      </c>
      <c r="E7564" s="111"/>
      <c r="F7564" s="113" t="s">
        <v>19879</v>
      </c>
      <c r="G7564" s="114"/>
      <c r="H7564" s="115"/>
      <c r="I7564" s="24"/>
      <c r="J7564" s="116">
        <v>4</v>
      </c>
      <c r="K7564" s="118">
        <v>1094000</v>
      </c>
      <c r="L7564" s="119"/>
      <c r="M7564" s="118">
        <f t="shared" ref="M7564" si="11037">K7564*0.1</f>
        <v>109400</v>
      </c>
      <c r="N7564" s="119"/>
      <c r="O7564" s="118">
        <v>0</v>
      </c>
      <c r="P7564" s="119"/>
      <c r="Q7564" s="118">
        <v>8130</v>
      </c>
      <c r="R7564" s="119"/>
      <c r="S7564" s="118">
        <v>15400</v>
      </c>
      <c r="T7564" s="119"/>
      <c r="U7564" s="118">
        <f t="shared" ref="U7564" si="11038">SUM(K7564:T7565)</f>
        <v>1226930</v>
      </c>
      <c r="V7564" s="122"/>
      <c r="W7564" s="124"/>
      <c r="X7564" s="126" t="s">
        <v>21898</v>
      </c>
      <c r="Y7564" s="127"/>
      <c r="Z7564" s="127"/>
      <c r="AA7564" s="127"/>
      <c r="AB7564" s="128"/>
      <c r="AC7564" s="15" t="s">
        <v>20</v>
      </c>
      <c r="AD7564" s="129"/>
      <c r="AE7564" s="130"/>
      <c r="AF7564" s="130"/>
      <c r="AG7564" s="130"/>
      <c r="AH7564" s="130"/>
      <c r="AI7564" s="131"/>
      <c r="AJ7564" s="132" t="s">
        <v>22247</v>
      </c>
      <c r="AK7564" s="127"/>
      <c r="AL7564" s="128"/>
      <c r="AM7564" s="21"/>
      <c r="AN7564" s="133"/>
      <c r="AO7564" s="134"/>
      <c r="AP7564" s="135"/>
      <c r="AQ7564" s="136"/>
      <c r="AR7564" s="118"/>
      <c r="AS7564" s="119"/>
      <c r="AT7564" s="118">
        <f t="shared" ref="AT7564" si="11039">AR7564*0.1</f>
        <v>0</v>
      </c>
      <c r="AU7564" s="119"/>
      <c r="AV7564" s="118"/>
      <c r="AW7564" s="119"/>
      <c r="AX7564" s="118">
        <f t="shared" ref="AX7564" si="11040">SUM(AR7564:AW7564)</f>
        <v>0</v>
      </c>
      <c r="AY7564" s="119"/>
      <c r="AZ7564" s="137"/>
    </row>
    <row r="7565" spans="1:52" ht="17.100000000000001" customHeight="1" thickBot="1">
      <c r="A7565" s="152"/>
      <c r="B7565" s="27" t="s">
        <v>2641</v>
      </c>
      <c r="C7565" s="27">
        <v>3264</v>
      </c>
      <c r="D7565" s="14" t="s">
        <v>1700</v>
      </c>
      <c r="E7565" s="112"/>
      <c r="F7565" s="139" t="s">
        <v>21470</v>
      </c>
      <c r="G7565" s="140"/>
      <c r="H7565" s="141"/>
      <c r="I7565" s="26">
        <v>36185</v>
      </c>
      <c r="J7565" s="117"/>
      <c r="K7565" s="120"/>
      <c r="L7565" s="121"/>
      <c r="M7565" s="120"/>
      <c r="N7565" s="121"/>
      <c r="O7565" s="120"/>
      <c r="P7565" s="121"/>
      <c r="Q7565" s="120"/>
      <c r="R7565" s="121"/>
      <c r="S7565" s="120"/>
      <c r="T7565" s="121"/>
      <c r="U7565" s="120"/>
      <c r="V7565" s="123"/>
      <c r="W7565" s="125"/>
      <c r="X7565" s="142" t="s">
        <v>1997</v>
      </c>
      <c r="Y7565" s="143"/>
      <c r="Z7565" s="143"/>
      <c r="AA7565" s="143"/>
      <c r="AB7565" s="144"/>
      <c r="AC7565" s="16" t="s">
        <v>21</v>
      </c>
      <c r="AD7565" s="17" t="s">
        <v>1642</v>
      </c>
      <c r="AE7565" s="145" t="s">
        <v>2051</v>
      </c>
      <c r="AF7565" s="146"/>
      <c r="AG7565" s="146"/>
      <c r="AH7565" s="146"/>
      <c r="AI7565" s="147"/>
      <c r="AJ7565" s="148"/>
      <c r="AK7565" s="143"/>
      <c r="AL7565" s="144"/>
      <c r="AM7565" s="22"/>
      <c r="AN7565" s="149"/>
      <c r="AO7565" s="144"/>
      <c r="AP7565" s="148"/>
      <c r="AQ7565" s="144"/>
      <c r="AR7565" s="120"/>
      <c r="AS7565" s="121"/>
      <c r="AT7565" s="120"/>
      <c r="AU7565" s="121"/>
      <c r="AV7565" s="120"/>
      <c r="AW7565" s="121"/>
      <c r="AX7565" s="120"/>
      <c r="AY7565" s="121"/>
      <c r="AZ7565" s="138"/>
    </row>
    <row r="7566" spans="1:52" ht="17.100000000000001" customHeight="1" thickTop="1">
      <c r="A7566" s="109" t="s">
        <v>21449</v>
      </c>
      <c r="B7566" s="28">
        <v>46108</v>
      </c>
      <c r="C7566" s="25">
        <v>1412</v>
      </c>
      <c r="D7566" s="13" t="s">
        <v>1888</v>
      </c>
      <c r="E7566" s="111"/>
      <c r="F7566" s="113" t="s">
        <v>20842</v>
      </c>
      <c r="G7566" s="114"/>
      <c r="H7566" s="115"/>
      <c r="I7566" s="24" t="s">
        <v>13773</v>
      </c>
      <c r="J7566" s="116">
        <v>4.5</v>
      </c>
      <c r="K7566" s="118">
        <v>673000</v>
      </c>
      <c r="L7566" s="119"/>
      <c r="M7566" s="118">
        <f t="shared" ref="M7566" si="11041">K7566*0.1</f>
        <v>67300</v>
      </c>
      <c r="N7566" s="119"/>
      <c r="O7566" s="118">
        <v>10800</v>
      </c>
      <c r="P7566" s="119"/>
      <c r="Q7566" s="118">
        <v>8230</v>
      </c>
      <c r="R7566" s="119"/>
      <c r="S7566" s="118">
        <v>15400</v>
      </c>
      <c r="T7566" s="119"/>
      <c r="U7566" s="118">
        <f t="shared" ref="U7566" si="11042">SUM(K7566:T7567)</f>
        <v>774730</v>
      </c>
      <c r="V7566" s="122"/>
      <c r="W7566" s="124"/>
      <c r="X7566" s="126" t="s">
        <v>22296</v>
      </c>
      <c r="Y7566" s="127"/>
      <c r="Z7566" s="127"/>
      <c r="AA7566" s="127"/>
      <c r="AB7566" s="128"/>
      <c r="AC7566" s="15" t="s">
        <v>20</v>
      </c>
      <c r="AD7566" s="129"/>
      <c r="AE7566" s="130"/>
      <c r="AF7566" s="130"/>
      <c r="AG7566" s="130"/>
      <c r="AH7566" s="130"/>
      <c r="AI7566" s="131"/>
      <c r="AJ7566" s="132"/>
      <c r="AK7566" s="127"/>
      <c r="AL7566" s="128"/>
      <c r="AM7566" s="21" t="s">
        <v>23359</v>
      </c>
      <c r="AN7566" s="133">
        <v>46127</v>
      </c>
      <c r="AO7566" s="134"/>
      <c r="AP7566" s="135">
        <v>1013</v>
      </c>
      <c r="AQ7566" s="136"/>
      <c r="AR7566" s="118">
        <v>755000</v>
      </c>
      <c r="AS7566" s="119"/>
      <c r="AT7566" s="118">
        <f t="shared" ref="AT7566" si="11043">AR7566*0.1</f>
        <v>75500</v>
      </c>
      <c r="AU7566" s="119"/>
      <c r="AV7566" s="118">
        <v>8230</v>
      </c>
      <c r="AW7566" s="119"/>
      <c r="AX7566" s="118">
        <f t="shared" ref="AX7566" si="11044">SUM(AR7566:AW7566)</f>
        <v>838730</v>
      </c>
      <c r="AY7566" s="119"/>
      <c r="AZ7566" s="137">
        <v>46133</v>
      </c>
    </row>
    <row r="7567" spans="1:52" ht="17.100000000000001" customHeight="1" thickBot="1">
      <c r="A7567" s="110"/>
      <c r="B7567" s="27" t="s">
        <v>2641</v>
      </c>
      <c r="C7567" s="27">
        <v>3275</v>
      </c>
      <c r="D7567" s="14" t="s">
        <v>275</v>
      </c>
      <c r="E7567" s="112"/>
      <c r="F7567" s="139" t="s">
        <v>21471</v>
      </c>
      <c r="G7567" s="140"/>
      <c r="H7567" s="141"/>
      <c r="I7567" s="26">
        <v>44450</v>
      </c>
      <c r="J7567" s="117"/>
      <c r="K7567" s="120"/>
      <c r="L7567" s="121"/>
      <c r="M7567" s="120"/>
      <c r="N7567" s="121"/>
      <c r="O7567" s="120"/>
      <c r="P7567" s="121"/>
      <c r="Q7567" s="120"/>
      <c r="R7567" s="121"/>
      <c r="S7567" s="120"/>
      <c r="T7567" s="121"/>
      <c r="U7567" s="120"/>
      <c r="V7567" s="123"/>
      <c r="W7567" s="125"/>
      <c r="X7567" s="142" t="s">
        <v>22297</v>
      </c>
      <c r="Y7567" s="143"/>
      <c r="Z7567" s="143"/>
      <c r="AA7567" s="143"/>
      <c r="AB7567" s="144"/>
      <c r="AC7567" s="16" t="s">
        <v>21</v>
      </c>
      <c r="AD7567" s="17" t="s">
        <v>1922</v>
      </c>
      <c r="AE7567" s="145" t="s">
        <v>22298</v>
      </c>
      <c r="AF7567" s="146"/>
      <c r="AG7567" s="146"/>
      <c r="AH7567" s="146"/>
      <c r="AI7567" s="147"/>
      <c r="AJ7567" s="148"/>
      <c r="AK7567" s="143"/>
      <c r="AL7567" s="144"/>
      <c r="AM7567" s="22"/>
      <c r="AN7567" s="149" t="s">
        <v>2794</v>
      </c>
      <c r="AO7567" s="144"/>
      <c r="AP7567" s="148">
        <v>2031</v>
      </c>
      <c r="AQ7567" s="144"/>
      <c r="AR7567" s="120"/>
      <c r="AS7567" s="121"/>
      <c r="AT7567" s="120"/>
      <c r="AU7567" s="121"/>
      <c r="AV7567" s="120"/>
      <c r="AW7567" s="121"/>
      <c r="AX7567" s="120"/>
      <c r="AY7567" s="121"/>
      <c r="AZ7567" s="138"/>
    </row>
    <row r="7568" spans="1:52" ht="17.100000000000001" customHeight="1" thickTop="1">
      <c r="A7568" s="109" t="s">
        <v>21450</v>
      </c>
      <c r="B7568" s="28">
        <v>46108</v>
      </c>
      <c r="C7568" s="25">
        <v>1412</v>
      </c>
      <c r="D7568" s="13" t="s">
        <v>3921</v>
      </c>
      <c r="E7568" s="111"/>
      <c r="F7568" s="113" t="s">
        <v>21472</v>
      </c>
      <c r="G7568" s="114"/>
      <c r="H7568" s="115"/>
      <c r="I7568" s="24" t="s">
        <v>11579</v>
      </c>
      <c r="J7568" s="116">
        <v>4</v>
      </c>
      <c r="K7568" s="118">
        <v>717000</v>
      </c>
      <c r="L7568" s="119"/>
      <c r="M7568" s="118">
        <f t="shared" ref="M7568" si="11045">K7568*0.1</f>
        <v>71700</v>
      </c>
      <c r="N7568" s="119"/>
      <c r="O7568" s="118">
        <v>5000</v>
      </c>
      <c r="P7568" s="119"/>
      <c r="Q7568" s="118">
        <v>5870</v>
      </c>
      <c r="R7568" s="119"/>
      <c r="S7568" s="118">
        <v>15400</v>
      </c>
      <c r="T7568" s="119"/>
      <c r="U7568" s="118">
        <f t="shared" ref="U7568" si="11046">SUM(K7568:T7569)</f>
        <v>814970</v>
      </c>
      <c r="V7568" s="122"/>
      <c r="W7568" s="124"/>
      <c r="X7568" s="126" t="s">
        <v>22281</v>
      </c>
      <c r="Y7568" s="127"/>
      <c r="Z7568" s="127"/>
      <c r="AA7568" s="127"/>
      <c r="AB7568" s="128"/>
      <c r="AC7568" s="15" t="s">
        <v>20</v>
      </c>
      <c r="AD7568" s="129"/>
      <c r="AE7568" s="130"/>
      <c r="AF7568" s="130"/>
      <c r="AG7568" s="130"/>
      <c r="AH7568" s="130"/>
      <c r="AI7568" s="131"/>
      <c r="AJ7568" s="132"/>
      <c r="AK7568" s="127"/>
      <c r="AL7568" s="128"/>
      <c r="AM7568" s="21" t="s">
        <v>22315</v>
      </c>
      <c r="AN7568" s="133">
        <v>46113</v>
      </c>
      <c r="AO7568" s="134"/>
      <c r="AP7568" s="135">
        <v>1011</v>
      </c>
      <c r="AQ7568" s="136"/>
      <c r="AR7568" s="118">
        <v>885000</v>
      </c>
      <c r="AS7568" s="119"/>
      <c r="AT7568" s="118">
        <f t="shared" ref="AT7568" si="11047">AR7568*0.1</f>
        <v>88500</v>
      </c>
      <c r="AU7568" s="119"/>
      <c r="AV7568" s="118">
        <v>5870</v>
      </c>
      <c r="AW7568" s="119"/>
      <c r="AX7568" s="118">
        <f t="shared" ref="AX7568" si="11048">SUM(AR7568:AW7568)</f>
        <v>979370</v>
      </c>
      <c r="AY7568" s="119"/>
      <c r="AZ7568" s="137">
        <v>46121</v>
      </c>
    </row>
    <row r="7569" spans="1:52" ht="17.100000000000001" customHeight="1" thickBot="1">
      <c r="A7569" s="110"/>
      <c r="B7569" s="27" t="s">
        <v>2641</v>
      </c>
      <c r="C7569" s="27">
        <v>3280</v>
      </c>
      <c r="D7569" s="14" t="s">
        <v>1720</v>
      </c>
      <c r="E7569" s="112"/>
      <c r="F7569" s="139" t="s">
        <v>21473</v>
      </c>
      <c r="G7569" s="140"/>
      <c r="H7569" s="141"/>
      <c r="I7569" s="26">
        <v>18393</v>
      </c>
      <c r="J7569" s="117"/>
      <c r="K7569" s="120"/>
      <c r="L7569" s="121"/>
      <c r="M7569" s="120"/>
      <c r="N7569" s="121"/>
      <c r="O7569" s="120"/>
      <c r="P7569" s="121"/>
      <c r="Q7569" s="120"/>
      <c r="R7569" s="121"/>
      <c r="S7569" s="120"/>
      <c r="T7569" s="121"/>
      <c r="U7569" s="120"/>
      <c r="V7569" s="123"/>
      <c r="W7569" s="125"/>
      <c r="X7569" s="142" t="s">
        <v>1997</v>
      </c>
      <c r="Y7569" s="143"/>
      <c r="Z7569" s="143"/>
      <c r="AA7569" s="143"/>
      <c r="AB7569" s="144"/>
      <c r="AC7569" s="16" t="s">
        <v>21</v>
      </c>
      <c r="AD7569" s="17" t="s">
        <v>1922</v>
      </c>
      <c r="AE7569" s="145" t="s">
        <v>171</v>
      </c>
      <c r="AF7569" s="146"/>
      <c r="AG7569" s="146"/>
      <c r="AH7569" s="146"/>
      <c r="AI7569" s="147"/>
      <c r="AJ7569" s="148"/>
      <c r="AK7569" s="143"/>
      <c r="AL7569" s="144"/>
      <c r="AM7569" s="22"/>
      <c r="AN7569" s="149" t="s">
        <v>2794</v>
      </c>
      <c r="AO7569" s="144"/>
      <c r="AP7569" s="148">
        <v>5102</v>
      </c>
      <c r="AQ7569" s="144"/>
      <c r="AR7569" s="120"/>
      <c r="AS7569" s="121"/>
      <c r="AT7569" s="120"/>
      <c r="AU7569" s="121"/>
      <c r="AV7569" s="120"/>
      <c r="AW7569" s="121"/>
      <c r="AX7569" s="120"/>
      <c r="AY7569" s="121"/>
      <c r="AZ7569" s="138"/>
    </row>
    <row r="7570" spans="1:52" ht="17.100000000000001" customHeight="1" thickTop="1">
      <c r="A7570" s="109" t="s">
        <v>21451</v>
      </c>
      <c r="B7570" s="28">
        <v>46108</v>
      </c>
      <c r="C7570" s="25">
        <v>1412</v>
      </c>
      <c r="D7570" s="13" t="s">
        <v>1958</v>
      </c>
      <c r="E7570" s="111"/>
      <c r="F7570" s="113" t="s">
        <v>17935</v>
      </c>
      <c r="G7570" s="114"/>
      <c r="H7570" s="115"/>
      <c r="I7570" s="24" t="s">
        <v>21587</v>
      </c>
      <c r="J7570" s="116">
        <v>4</v>
      </c>
      <c r="K7570" s="118">
        <v>1393000</v>
      </c>
      <c r="L7570" s="119"/>
      <c r="M7570" s="118">
        <f t="shared" ref="M7570" si="11049">K7570*0.1</f>
        <v>139300</v>
      </c>
      <c r="N7570" s="119"/>
      <c r="O7570" s="118">
        <v>39500</v>
      </c>
      <c r="P7570" s="119"/>
      <c r="Q7570" s="118">
        <v>12470</v>
      </c>
      <c r="R7570" s="119"/>
      <c r="S7570" s="118">
        <v>15400</v>
      </c>
      <c r="T7570" s="119"/>
      <c r="U7570" s="118">
        <f t="shared" ref="U7570" si="11050">SUM(K7570:T7571)</f>
        <v>1599670</v>
      </c>
      <c r="V7570" s="122"/>
      <c r="W7570" s="124"/>
      <c r="X7570" s="126" t="s">
        <v>22282</v>
      </c>
      <c r="Y7570" s="127"/>
      <c r="Z7570" s="127"/>
      <c r="AA7570" s="127"/>
      <c r="AB7570" s="128"/>
      <c r="AC7570" s="15" t="s">
        <v>20</v>
      </c>
      <c r="AD7570" s="129" t="s">
        <v>21588</v>
      </c>
      <c r="AE7570" s="130"/>
      <c r="AF7570" s="130"/>
      <c r="AG7570" s="130"/>
      <c r="AH7570" s="130"/>
      <c r="AI7570" s="131"/>
      <c r="AJ7570" s="132"/>
      <c r="AK7570" s="127"/>
      <c r="AL7570" s="128"/>
      <c r="AM7570" s="21"/>
      <c r="AN7570" s="133">
        <v>46113</v>
      </c>
      <c r="AO7570" s="134"/>
      <c r="AP7570" s="135">
        <v>1011</v>
      </c>
      <c r="AQ7570" s="136"/>
      <c r="AR7570" s="118">
        <v>1470000</v>
      </c>
      <c r="AS7570" s="119"/>
      <c r="AT7570" s="118">
        <f t="shared" ref="AT7570" si="11051">AR7570*0.1</f>
        <v>147000</v>
      </c>
      <c r="AU7570" s="119"/>
      <c r="AV7570" s="118">
        <v>12470</v>
      </c>
      <c r="AW7570" s="119"/>
      <c r="AX7570" s="118">
        <f t="shared" ref="AX7570" si="11052">SUM(AR7570:AW7570)</f>
        <v>1629470</v>
      </c>
      <c r="AY7570" s="119"/>
      <c r="AZ7570" s="137">
        <v>46120</v>
      </c>
    </row>
    <row r="7571" spans="1:52" ht="17.100000000000001" customHeight="1" thickBot="1">
      <c r="A7571" s="110"/>
      <c r="B7571" s="27" t="s">
        <v>2641</v>
      </c>
      <c r="C7571" s="27">
        <v>3284</v>
      </c>
      <c r="D7571" s="14" t="s">
        <v>275</v>
      </c>
      <c r="E7571" s="112"/>
      <c r="F7571" s="139" t="s">
        <v>21474</v>
      </c>
      <c r="G7571" s="140"/>
      <c r="H7571" s="141"/>
      <c r="I7571" s="26">
        <v>83700</v>
      </c>
      <c r="J7571" s="117"/>
      <c r="K7571" s="120"/>
      <c r="L7571" s="121"/>
      <c r="M7571" s="120"/>
      <c r="N7571" s="121"/>
      <c r="O7571" s="120"/>
      <c r="P7571" s="121"/>
      <c r="Q7571" s="120"/>
      <c r="R7571" s="121"/>
      <c r="S7571" s="120"/>
      <c r="T7571" s="121"/>
      <c r="U7571" s="120"/>
      <c r="V7571" s="123"/>
      <c r="W7571" s="125"/>
      <c r="X7571" s="142" t="s">
        <v>22283</v>
      </c>
      <c r="Y7571" s="143"/>
      <c r="Z7571" s="143"/>
      <c r="AA7571" s="143"/>
      <c r="AB7571" s="144"/>
      <c r="AC7571" s="16" t="s">
        <v>21</v>
      </c>
      <c r="AD7571" s="17" t="s">
        <v>3980</v>
      </c>
      <c r="AE7571" s="145" t="s">
        <v>22403</v>
      </c>
      <c r="AF7571" s="146"/>
      <c r="AG7571" s="146"/>
      <c r="AH7571" s="146"/>
      <c r="AI7571" s="147"/>
      <c r="AJ7571" s="148"/>
      <c r="AK7571" s="143"/>
      <c r="AL7571" s="144"/>
      <c r="AM7571" s="22"/>
      <c r="AN7571" s="149" t="s">
        <v>2794</v>
      </c>
      <c r="AO7571" s="144"/>
      <c r="AP7571" s="148">
        <v>5103</v>
      </c>
      <c r="AQ7571" s="144"/>
      <c r="AR7571" s="120"/>
      <c r="AS7571" s="121"/>
      <c r="AT7571" s="120"/>
      <c r="AU7571" s="121"/>
      <c r="AV7571" s="120"/>
      <c r="AW7571" s="121"/>
      <c r="AX7571" s="120"/>
      <c r="AY7571" s="121"/>
      <c r="AZ7571" s="138"/>
    </row>
    <row r="7572" spans="1:52" ht="17.100000000000001" customHeight="1" thickTop="1">
      <c r="A7572" s="109" t="s">
        <v>21452</v>
      </c>
      <c r="B7572" s="28">
        <v>46108</v>
      </c>
      <c r="C7572" s="25">
        <v>1412</v>
      </c>
      <c r="D7572" s="13" t="s">
        <v>2458</v>
      </c>
      <c r="E7572" s="111"/>
      <c r="F7572" s="113" t="s">
        <v>15969</v>
      </c>
      <c r="G7572" s="114"/>
      <c r="H7572" s="115"/>
      <c r="I7572" s="24" t="s">
        <v>21589</v>
      </c>
      <c r="J7572" s="116">
        <v>4</v>
      </c>
      <c r="K7572" s="118">
        <v>748000</v>
      </c>
      <c r="L7572" s="119"/>
      <c r="M7572" s="118">
        <f t="shared" ref="M7572" si="11053">K7572*0.1</f>
        <v>74800</v>
      </c>
      <c r="N7572" s="119"/>
      <c r="O7572" s="118">
        <v>39500</v>
      </c>
      <c r="P7572" s="119"/>
      <c r="Q7572" s="118">
        <v>11480</v>
      </c>
      <c r="R7572" s="119"/>
      <c r="S7572" s="118">
        <v>15400</v>
      </c>
      <c r="T7572" s="119"/>
      <c r="U7572" s="118">
        <f t="shared" ref="U7572" si="11054">SUM(K7572:T7573)</f>
        <v>889180</v>
      </c>
      <c r="V7572" s="122"/>
      <c r="W7572" s="124"/>
      <c r="X7572" s="126" t="s">
        <v>21977</v>
      </c>
      <c r="Y7572" s="127"/>
      <c r="Z7572" s="127"/>
      <c r="AA7572" s="127"/>
      <c r="AB7572" s="128"/>
      <c r="AC7572" s="15" t="s">
        <v>20</v>
      </c>
      <c r="AD7572" s="129" t="s">
        <v>3828</v>
      </c>
      <c r="AE7572" s="130"/>
      <c r="AF7572" s="130"/>
      <c r="AG7572" s="130"/>
      <c r="AH7572" s="130"/>
      <c r="AI7572" s="131"/>
      <c r="AJ7572" s="132"/>
      <c r="AK7572" s="127"/>
      <c r="AL7572" s="128"/>
      <c r="AM7572" s="21" t="s">
        <v>22428</v>
      </c>
      <c r="AN7572" s="133">
        <v>46120</v>
      </c>
      <c r="AO7572" s="134"/>
      <c r="AP7572" s="135">
        <v>1012</v>
      </c>
      <c r="AQ7572" s="136"/>
      <c r="AR7572" s="118">
        <v>820000</v>
      </c>
      <c r="AS7572" s="119"/>
      <c r="AT7572" s="118">
        <f t="shared" ref="AT7572" si="11055">AR7572*0.1</f>
        <v>82000</v>
      </c>
      <c r="AU7572" s="119"/>
      <c r="AV7572" s="118">
        <v>11480</v>
      </c>
      <c r="AW7572" s="119"/>
      <c r="AX7572" s="118">
        <f t="shared" ref="AX7572" si="11056">SUM(AR7572:AW7572)</f>
        <v>913480</v>
      </c>
      <c r="AY7572" s="119"/>
      <c r="AZ7572" s="137">
        <v>46126</v>
      </c>
    </row>
    <row r="7573" spans="1:52" ht="17.100000000000001" customHeight="1" thickBot="1">
      <c r="A7573" s="110"/>
      <c r="B7573" s="27" t="s">
        <v>2641</v>
      </c>
      <c r="C7573" s="27">
        <v>3291</v>
      </c>
      <c r="D7573" s="14" t="s">
        <v>904</v>
      </c>
      <c r="E7573" s="112"/>
      <c r="F7573" s="139" t="s">
        <v>21475</v>
      </c>
      <c r="G7573" s="140"/>
      <c r="H7573" s="141"/>
      <c r="I7573" s="26">
        <v>136901</v>
      </c>
      <c r="J7573" s="117"/>
      <c r="K7573" s="120"/>
      <c r="L7573" s="121"/>
      <c r="M7573" s="120"/>
      <c r="N7573" s="121"/>
      <c r="O7573" s="120"/>
      <c r="P7573" s="121"/>
      <c r="Q7573" s="120"/>
      <c r="R7573" s="121"/>
      <c r="S7573" s="120"/>
      <c r="T7573" s="121"/>
      <c r="U7573" s="120"/>
      <c r="V7573" s="123"/>
      <c r="W7573" s="125"/>
      <c r="X7573" s="142" t="s">
        <v>21978</v>
      </c>
      <c r="Y7573" s="143"/>
      <c r="Z7573" s="143"/>
      <c r="AA7573" s="143"/>
      <c r="AB7573" s="144"/>
      <c r="AC7573" s="16" t="s">
        <v>21</v>
      </c>
      <c r="AD7573" s="17" t="s">
        <v>21936</v>
      </c>
      <c r="AE7573" s="145" t="s">
        <v>21979</v>
      </c>
      <c r="AF7573" s="146"/>
      <c r="AG7573" s="146"/>
      <c r="AH7573" s="146"/>
      <c r="AI7573" s="147"/>
      <c r="AJ7573" s="148"/>
      <c r="AK7573" s="143"/>
      <c r="AL7573" s="144"/>
      <c r="AM7573" s="22"/>
      <c r="AN7573" s="149" t="s">
        <v>7285</v>
      </c>
      <c r="AO7573" s="144"/>
      <c r="AP7573" s="148">
        <v>5113</v>
      </c>
      <c r="AQ7573" s="144"/>
      <c r="AR7573" s="120"/>
      <c r="AS7573" s="121"/>
      <c r="AT7573" s="120"/>
      <c r="AU7573" s="121"/>
      <c r="AV7573" s="120"/>
      <c r="AW7573" s="121"/>
      <c r="AX7573" s="120"/>
      <c r="AY7573" s="121"/>
      <c r="AZ7573" s="138"/>
    </row>
    <row r="7574" spans="1:52" ht="17.100000000000001" customHeight="1" thickTop="1">
      <c r="A7574" s="109" t="s">
        <v>21453</v>
      </c>
      <c r="B7574" s="28">
        <v>46108</v>
      </c>
      <c r="C7574" s="25">
        <v>1412</v>
      </c>
      <c r="D7574" s="13" t="s">
        <v>1977</v>
      </c>
      <c r="E7574" s="111"/>
      <c r="F7574" s="113" t="s">
        <v>14286</v>
      </c>
      <c r="G7574" s="114"/>
      <c r="H7574" s="115"/>
      <c r="I7574" s="24" t="s">
        <v>13351</v>
      </c>
      <c r="J7574" s="116">
        <v>4</v>
      </c>
      <c r="K7574" s="118">
        <v>1374000</v>
      </c>
      <c r="L7574" s="119"/>
      <c r="M7574" s="118">
        <f t="shared" ref="M7574" si="11057">K7574*0.1</f>
        <v>137400</v>
      </c>
      <c r="N7574" s="119"/>
      <c r="O7574" s="118">
        <v>34500</v>
      </c>
      <c r="P7574" s="119"/>
      <c r="Q7574" s="118">
        <v>9950</v>
      </c>
      <c r="R7574" s="119"/>
      <c r="S7574" s="118">
        <v>15400</v>
      </c>
      <c r="T7574" s="119"/>
      <c r="U7574" s="118">
        <f t="shared" ref="U7574" si="11058">SUM(K7574:T7575)</f>
        <v>1571250</v>
      </c>
      <c r="V7574" s="122"/>
      <c r="W7574" s="124"/>
      <c r="X7574" s="126" t="s">
        <v>21888</v>
      </c>
      <c r="Y7574" s="127"/>
      <c r="Z7574" s="127"/>
      <c r="AA7574" s="127"/>
      <c r="AB7574" s="128"/>
      <c r="AC7574" s="15" t="s">
        <v>20</v>
      </c>
      <c r="AD7574" s="129" t="s">
        <v>21591</v>
      </c>
      <c r="AE7574" s="130"/>
      <c r="AF7574" s="130"/>
      <c r="AG7574" s="130"/>
      <c r="AH7574" s="130"/>
      <c r="AI7574" s="131"/>
      <c r="AJ7574" s="132"/>
      <c r="AK7574" s="127"/>
      <c r="AL7574" s="128"/>
      <c r="AM7574" s="21"/>
      <c r="AN7574" s="133">
        <v>46113</v>
      </c>
      <c r="AO7574" s="134"/>
      <c r="AP7574" s="135">
        <v>1011</v>
      </c>
      <c r="AQ7574" s="136"/>
      <c r="AR7574" s="118">
        <v>1485000</v>
      </c>
      <c r="AS7574" s="119"/>
      <c r="AT7574" s="118">
        <f t="shared" ref="AT7574" si="11059">AR7574*0.1</f>
        <v>148500</v>
      </c>
      <c r="AU7574" s="119"/>
      <c r="AV7574" s="118">
        <v>9950</v>
      </c>
      <c r="AW7574" s="119"/>
      <c r="AX7574" s="118">
        <f t="shared" ref="AX7574" si="11060">SUM(AR7574:AW7574)</f>
        <v>1643450</v>
      </c>
      <c r="AY7574" s="119"/>
      <c r="AZ7574" s="137">
        <v>46119</v>
      </c>
    </row>
    <row r="7575" spans="1:52" ht="17.100000000000001" customHeight="1" thickBot="1">
      <c r="A7575" s="110"/>
      <c r="B7575" s="27" t="s">
        <v>2641</v>
      </c>
      <c r="C7575" s="27">
        <v>3337</v>
      </c>
      <c r="D7575" s="14" t="s">
        <v>133</v>
      </c>
      <c r="E7575" s="112"/>
      <c r="F7575" s="139" t="s">
        <v>21590</v>
      </c>
      <c r="G7575" s="140"/>
      <c r="H7575" s="141"/>
      <c r="I7575" s="26">
        <v>56376</v>
      </c>
      <c r="J7575" s="117"/>
      <c r="K7575" s="120"/>
      <c r="L7575" s="121"/>
      <c r="M7575" s="120"/>
      <c r="N7575" s="121"/>
      <c r="O7575" s="120"/>
      <c r="P7575" s="121"/>
      <c r="Q7575" s="120"/>
      <c r="R7575" s="121"/>
      <c r="S7575" s="120"/>
      <c r="T7575" s="121"/>
      <c r="U7575" s="120"/>
      <c r="V7575" s="123"/>
      <c r="W7575" s="125"/>
      <c r="X7575" s="142" t="s">
        <v>21889</v>
      </c>
      <c r="Y7575" s="143"/>
      <c r="Z7575" s="143"/>
      <c r="AA7575" s="143"/>
      <c r="AB7575" s="144"/>
      <c r="AC7575" s="16" t="s">
        <v>21</v>
      </c>
      <c r="AD7575" s="17" t="s">
        <v>2963</v>
      </c>
      <c r="AE7575" s="145" t="s">
        <v>1633</v>
      </c>
      <c r="AF7575" s="146"/>
      <c r="AG7575" s="146"/>
      <c r="AH7575" s="146"/>
      <c r="AI7575" s="147"/>
      <c r="AJ7575" s="148"/>
      <c r="AK7575" s="143"/>
      <c r="AL7575" s="144"/>
      <c r="AM7575" s="22"/>
      <c r="AN7575" s="149" t="s">
        <v>2794</v>
      </c>
      <c r="AO7575" s="144"/>
      <c r="AP7575" s="148">
        <v>5109</v>
      </c>
      <c r="AQ7575" s="144"/>
      <c r="AR7575" s="120"/>
      <c r="AS7575" s="121"/>
      <c r="AT7575" s="120"/>
      <c r="AU7575" s="121"/>
      <c r="AV7575" s="120"/>
      <c r="AW7575" s="121"/>
      <c r="AX7575" s="120"/>
      <c r="AY7575" s="121"/>
      <c r="AZ7575" s="138"/>
    </row>
    <row r="7576" spans="1:52" ht="17.100000000000001" customHeight="1" thickTop="1">
      <c r="A7576" s="109" t="s">
        <v>21454</v>
      </c>
      <c r="B7576" s="28">
        <v>46108</v>
      </c>
      <c r="C7576" s="25">
        <v>1412</v>
      </c>
      <c r="D7576" s="13" t="s">
        <v>1823</v>
      </c>
      <c r="E7576" s="111"/>
      <c r="F7576" s="113" t="s">
        <v>21476</v>
      </c>
      <c r="G7576" s="114"/>
      <c r="H7576" s="115"/>
      <c r="I7576" s="24"/>
      <c r="J7576" s="116">
        <v>4</v>
      </c>
      <c r="K7576" s="118">
        <v>520000</v>
      </c>
      <c r="L7576" s="119"/>
      <c r="M7576" s="118">
        <f t="shared" ref="M7576" si="11061">K7576*0.1</f>
        <v>52000</v>
      </c>
      <c r="N7576" s="119"/>
      <c r="O7576" s="118">
        <v>0</v>
      </c>
      <c r="P7576" s="119"/>
      <c r="Q7576" s="118">
        <v>13120</v>
      </c>
      <c r="R7576" s="119"/>
      <c r="S7576" s="118">
        <v>15400</v>
      </c>
      <c r="T7576" s="119"/>
      <c r="U7576" s="118">
        <f t="shared" ref="U7576" si="11062">SUM(K7576:T7577)</f>
        <v>600520</v>
      </c>
      <c r="V7576" s="122"/>
      <c r="W7576" s="124"/>
      <c r="X7576" s="126" t="s">
        <v>22422</v>
      </c>
      <c r="Y7576" s="127"/>
      <c r="Z7576" s="127"/>
      <c r="AA7576" s="127"/>
      <c r="AB7576" s="128"/>
      <c r="AC7576" s="15" t="s">
        <v>20</v>
      </c>
      <c r="AD7576" s="129"/>
      <c r="AE7576" s="130"/>
      <c r="AF7576" s="130"/>
      <c r="AG7576" s="130"/>
      <c r="AH7576" s="130"/>
      <c r="AI7576" s="131"/>
      <c r="AJ7576" s="132"/>
      <c r="AK7576" s="127"/>
      <c r="AL7576" s="128"/>
      <c r="AM7576" s="21"/>
      <c r="AN7576" s="133">
        <v>46116</v>
      </c>
      <c r="AO7576" s="134"/>
      <c r="AP7576" s="135">
        <v>1295</v>
      </c>
      <c r="AQ7576" s="136"/>
      <c r="AR7576" s="118">
        <v>600000</v>
      </c>
      <c r="AS7576" s="119"/>
      <c r="AT7576" s="118">
        <f t="shared" ref="AT7576" si="11063">AR7576*0.1</f>
        <v>60000</v>
      </c>
      <c r="AU7576" s="119"/>
      <c r="AV7576" s="118">
        <v>13120</v>
      </c>
      <c r="AW7576" s="119"/>
      <c r="AX7576" s="118">
        <f t="shared" ref="AX7576" si="11064">SUM(AR7576:AW7576)</f>
        <v>673120</v>
      </c>
      <c r="AY7576" s="119"/>
      <c r="AZ7576" s="137">
        <v>46126</v>
      </c>
    </row>
    <row r="7577" spans="1:52" ht="17.100000000000001" customHeight="1" thickBot="1">
      <c r="A7577" s="110"/>
      <c r="B7577" s="27" t="s">
        <v>2641</v>
      </c>
      <c r="C7577" s="27">
        <v>3356</v>
      </c>
      <c r="D7577" s="14" t="s">
        <v>1720</v>
      </c>
      <c r="E7577" s="112"/>
      <c r="F7577" s="139" t="s">
        <v>21477</v>
      </c>
      <c r="G7577" s="140"/>
      <c r="H7577" s="141"/>
      <c r="I7577" s="26">
        <v>48274</v>
      </c>
      <c r="J7577" s="117"/>
      <c r="K7577" s="120"/>
      <c r="L7577" s="121"/>
      <c r="M7577" s="120"/>
      <c r="N7577" s="121"/>
      <c r="O7577" s="120"/>
      <c r="P7577" s="121"/>
      <c r="Q7577" s="120"/>
      <c r="R7577" s="121"/>
      <c r="S7577" s="120"/>
      <c r="T7577" s="121"/>
      <c r="U7577" s="120"/>
      <c r="V7577" s="123"/>
      <c r="W7577" s="125"/>
      <c r="X7577" s="142" t="s">
        <v>1997</v>
      </c>
      <c r="Y7577" s="143"/>
      <c r="Z7577" s="143"/>
      <c r="AA7577" s="143"/>
      <c r="AB7577" s="144"/>
      <c r="AC7577" s="16" t="s">
        <v>21</v>
      </c>
      <c r="AD7577" s="17" t="s">
        <v>1825</v>
      </c>
      <c r="AE7577" s="145"/>
      <c r="AF7577" s="146"/>
      <c r="AG7577" s="146"/>
      <c r="AH7577" s="146"/>
      <c r="AI7577" s="147"/>
      <c r="AJ7577" s="148"/>
      <c r="AK7577" s="143"/>
      <c r="AL7577" s="144"/>
      <c r="AM7577" s="22"/>
      <c r="AN7577" s="149" t="s">
        <v>2511</v>
      </c>
      <c r="AO7577" s="144"/>
      <c r="AP7577" s="148">
        <v>37</v>
      </c>
      <c r="AQ7577" s="144"/>
      <c r="AR7577" s="120"/>
      <c r="AS7577" s="121"/>
      <c r="AT7577" s="120"/>
      <c r="AU7577" s="121"/>
      <c r="AV7577" s="120"/>
      <c r="AW7577" s="121"/>
      <c r="AX7577" s="120"/>
      <c r="AY7577" s="121"/>
      <c r="AZ7577" s="138"/>
    </row>
    <row r="7578" spans="1:52" ht="17.100000000000001" customHeight="1" thickTop="1">
      <c r="A7578" s="109" t="s">
        <v>21455</v>
      </c>
      <c r="B7578" s="28">
        <v>46108</v>
      </c>
      <c r="C7578" s="25">
        <v>1412</v>
      </c>
      <c r="D7578" s="13" t="s">
        <v>1059</v>
      </c>
      <c r="E7578" s="111"/>
      <c r="F7578" s="113" t="s">
        <v>15215</v>
      </c>
      <c r="G7578" s="114"/>
      <c r="H7578" s="115"/>
      <c r="I7578" s="24"/>
      <c r="J7578" s="116">
        <v>3.5</v>
      </c>
      <c r="K7578" s="118">
        <v>700000</v>
      </c>
      <c r="L7578" s="119"/>
      <c r="M7578" s="118">
        <f t="shared" ref="M7578" si="11065">K7578*0.1</f>
        <v>70000</v>
      </c>
      <c r="N7578" s="119"/>
      <c r="O7578" s="118">
        <v>0</v>
      </c>
      <c r="P7578" s="119"/>
      <c r="Q7578" s="118">
        <v>6830</v>
      </c>
      <c r="R7578" s="119"/>
      <c r="S7578" s="118">
        <v>15400</v>
      </c>
      <c r="T7578" s="119"/>
      <c r="U7578" s="118">
        <f t="shared" ref="U7578" si="11066">SUM(K7578:T7579)</f>
        <v>792230</v>
      </c>
      <c r="V7578" s="122"/>
      <c r="W7578" s="124"/>
      <c r="X7578" s="126" t="s">
        <v>21894</v>
      </c>
      <c r="Y7578" s="127"/>
      <c r="Z7578" s="127"/>
      <c r="AA7578" s="127"/>
      <c r="AB7578" s="128"/>
      <c r="AC7578" s="15" t="s">
        <v>20</v>
      </c>
      <c r="AD7578" s="129"/>
      <c r="AE7578" s="130"/>
      <c r="AF7578" s="130"/>
      <c r="AG7578" s="130"/>
      <c r="AH7578" s="130"/>
      <c r="AI7578" s="131"/>
      <c r="AJ7578" s="132"/>
      <c r="AK7578" s="127"/>
      <c r="AL7578" s="128"/>
      <c r="AM7578" s="21"/>
      <c r="AN7578" s="133">
        <v>46127</v>
      </c>
      <c r="AO7578" s="134"/>
      <c r="AP7578" s="135">
        <v>1013</v>
      </c>
      <c r="AQ7578" s="136"/>
      <c r="AR7578" s="118">
        <v>705000</v>
      </c>
      <c r="AS7578" s="119"/>
      <c r="AT7578" s="118">
        <f t="shared" ref="AT7578" si="11067">AR7578*0.1</f>
        <v>70500</v>
      </c>
      <c r="AU7578" s="119"/>
      <c r="AV7578" s="118">
        <v>6830</v>
      </c>
      <c r="AW7578" s="119"/>
      <c r="AX7578" s="118">
        <f t="shared" ref="AX7578" si="11068">SUM(AR7578:AW7578)</f>
        <v>782330</v>
      </c>
      <c r="AY7578" s="119"/>
      <c r="AZ7578" s="137">
        <v>46132</v>
      </c>
    </row>
    <row r="7579" spans="1:52" ht="17.100000000000001" customHeight="1" thickBot="1">
      <c r="A7579" s="110"/>
      <c r="B7579" s="27" t="s">
        <v>2641</v>
      </c>
      <c r="C7579" s="27">
        <v>3372</v>
      </c>
      <c r="D7579" s="14" t="s">
        <v>21592</v>
      </c>
      <c r="E7579" s="112"/>
      <c r="F7579" s="139" t="s">
        <v>21478</v>
      </c>
      <c r="G7579" s="140"/>
      <c r="H7579" s="141"/>
      <c r="I7579" s="26">
        <v>41848</v>
      </c>
      <c r="J7579" s="117"/>
      <c r="K7579" s="120"/>
      <c r="L7579" s="121"/>
      <c r="M7579" s="120"/>
      <c r="N7579" s="121"/>
      <c r="O7579" s="120"/>
      <c r="P7579" s="121"/>
      <c r="Q7579" s="120"/>
      <c r="R7579" s="121"/>
      <c r="S7579" s="120"/>
      <c r="T7579" s="121"/>
      <c r="U7579" s="120"/>
      <c r="V7579" s="123"/>
      <c r="W7579" s="125"/>
      <c r="X7579" s="142" t="s">
        <v>1997</v>
      </c>
      <c r="Y7579" s="143"/>
      <c r="Z7579" s="143"/>
      <c r="AA7579" s="143"/>
      <c r="AB7579" s="144"/>
      <c r="AC7579" s="16" t="s">
        <v>21</v>
      </c>
      <c r="AD7579" s="17" t="s">
        <v>2963</v>
      </c>
      <c r="AE7579" s="145" t="s">
        <v>10730</v>
      </c>
      <c r="AF7579" s="146"/>
      <c r="AG7579" s="146"/>
      <c r="AH7579" s="146"/>
      <c r="AI7579" s="147"/>
      <c r="AJ7579" s="148"/>
      <c r="AK7579" s="143"/>
      <c r="AL7579" s="144"/>
      <c r="AM7579" s="22"/>
      <c r="AN7579" s="149" t="s">
        <v>9053</v>
      </c>
      <c r="AO7579" s="144"/>
      <c r="AP7579" s="148">
        <v>2029</v>
      </c>
      <c r="AQ7579" s="144"/>
      <c r="AR7579" s="120"/>
      <c r="AS7579" s="121"/>
      <c r="AT7579" s="120"/>
      <c r="AU7579" s="121"/>
      <c r="AV7579" s="120"/>
      <c r="AW7579" s="121"/>
      <c r="AX7579" s="120"/>
      <c r="AY7579" s="121"/>
      <c r="AZ7579" s="138"/>
    </row>
    <row r="7580" spans="1:52" ht="17.100000000000001" customHeight="1" thickTop="1">
      <c r="A7580" s="151" t="s">
        <v>21456</v>
      </c>
      <c r="B7580" s="28">
        <v>46108</v>
      </c>
      <c r="C7580" s="25">
        <v>1412</v>
      </c>
      <c r="D7580" s="13" t="s">
        <v>2301</v>
      </c>
      <c r="E7580" s="111"/>
      <c r="F7580" s="113" t="s">
        <v>21479</v>
      </c>
      <c r="G7580" s="114"/>
      <c r="H7580" s="115"/>
      <c r="I7580" s="24" t="s">
        <v>5666</v>
      </c>
      <c r="J7580" s="116">
        <v>4.5</v>
      </c>
      <c r="K7580" s="118">
        <v>900000</v>
      </c>
      <c r="L7580" s="119"/>
      <c r="M7580" s="118">
        <f t="shared" ref="M7580" si="11069">K7580*0.1</f>
        <v>90000</v>
      </c>
      <c r="N7580" s="119"/>
      <c r="O7580" s="118">
        <v>34500</v>
      </c>
      <c r="P7580" s="119"/>
      <c r="Q7580" s="118">
        <v>8160</v>
      </c>
      <c r="R7580" s="119"/>
      <c r="S7580" s="118">
        <v>15400</v>
      </c>
      <c r="T7580" s="119"/>
      <c r="U7580" s="118">
        <f t="shared" ref="U7580" si="11070">SUM(K7580:T7581)</f>
        <v>1048060</v>
      </c>
      <c r="V7580" s="122"/>
      <c r="W7580" s="124"/>
      <c r="X7580" s="126"/>
      <c r="Y7580" s="127"/>
      <c r="Z7580" s="127"/>
      <c r="AA7580" s="127"/>
      <c r="AB7580" s="128"/>
      <c r="AC7580" s="15" t="s">
        <v>20</v>
      </c>
      <c r="AD7580" s="129"/>
      <c r="AE7580" s="130"/>
      <c r="AF7580" s="130"/>
      <c r="AG7580" s="130"/>
      <c r="AH7580" s="130"/>
      <c r="AI7580" s="131"/>
      <c r="AJ7580" s="132" t="s">
        <v>8040</v>
      </c>
      <c r="AK7580" s="127"/>
      <c r="AL7580" s="128"/>
      <c r="AM7580" s="21"/>
      <c r="AN7580" s="133"/>
      <c r="AO7580" s="134"/>
      <c r="AP7580" s="135"/>
      <c r="AQ7580" s="136"/>
      <c r="AR7580" s="118"/>
      <c r="AS7580" s="119"/>
      <c r="AT7580" s="118">
        <f t="shared" ref="AT7580" si="11071">AR7580*0.1</f>
        <v>0</v>
      </c>
      <c r="AU7580" s="119"/>
      <c r="AV7580" s="118"/>
      <c r="AW7580" s="119"/>
      <c r="AX7580" s="118">
        <f t="shared" ref="AX7580" si="11072">SUM(AR7580:AW7580)</f>
        <v>0</v>
      </c>
      <c r="AY7580" s="119"/>
      <c r="AZ7580" s="137"/>
    </row>
    <row r="7581" spans="1:52" ht="17.100000000000001" customHeight="1" thickBot="1">
      <c r="A7581" s="152"/>
      <c r="B7581" s="27" t="s">
        <v>2641</v>
      </c>
      <c r="C7581" s="27">
        <v>3382</v>
      </c>
      <c r="D7581" s="14" t="s">
        <v>2601</v>
      </c>
      <c r="E7581" s="112"/>
      <c r="F7581" s="139" t="s">
        <v>21480</v>
      </c>
      <c r="G7581" s="140"/>
      <c r="H7581" s="141"/>
      <c r="I7581" s="26">
        <v>14711</v>
      </c>
      <c r="J7581" s="117"/>
      <c r="K7581" s="120"/>
      <c r="L7581" s="121"/>
      <c r="M7581" s="120"/>
      <c r="N7581" s="121"/>
      <c r="O7581" s="120"/>
      <c r="P7581" s="121"/>
      <c r="Q7581" s="120"/>
      <c r="R7581" s="121"/>
      <c r="S7581" s="120"/>
      <c r="T7581" s="121"/>
      <c r="U7581" s="120"/>
      <c r="V7581" s="123"/>
      <c r="W7581" s="125"/>
      <c r="X7581" s="142"/>
      <c r="Y7581" s="143"/>
      <c r="Z7581" s="143"/>
      <c r="AA7581" s="143"/>
      <c r="AB7581" s="144"/>
      <c r="AC7581" s="16" t="s">
        <v>21</v>
      </c>
      <c r="AD7581" s="17" t="s">
        <v>10540</v>
      </c>
      <c r="AE7581" s="145"/>
      <c r="AF7581" s="146"/>
      <c r="AG7581" s="146"/>
      <c r="AH7581" s="146"/>
      <c r="AI7581" s="147"/>
      <c r="AJ7581" s="148"/>
      <c r="AK7581" s="143"/>
      <c r="AL7581" s="144"/>
      <c r="AM7581" s="22"/>
      <c r="AN7581" s="149"/>
      <c r="AO7581" s="144"/>
      <c r="AP7581" s="148"/>
      <c r="AQ7581" s="144"/>
      <c r="AR7581" s="120"/>
      <c r="AS7581" s="121"/>
      <c r="AT7581" s="120"/>
      <c r="AU7581" s="121"/>
      <c r="AV7581" s="120"/>
      <c r="AW7581" s="121"/>
      <c r="AX7581" s="120"/>
      <c r="AY7581" s="121"/>
      <c r="AZ7581" s="138"/>
    </row>
    <row r="7582" spans="1:52" ht="17.100000000000001" customHeight="1" thickTop="1">
      <c r="A7582" s="109" t="s">
        <v>21457</v>
      </c>
      <c r="B7582" s="28">
        <v>46108</v>
      </c>
      <c r="C7582" s="25">
        <v>1412</v>
      </c>
      <c r="D7582" s="13" t="s">
        <v>2963</v>
      </c>
      <c r="E7582" s="111"/>
      <c r="F7582" s="113" t="s">
        <v>21593</v>
      </c>
      <c r="G7582" s="114"/>
      <c r="H7582" s="115"/>
      <c r="I7582" s="24"/>
      <c r="J7582" s="116">
        <v>4</v>
      </c>
      <c r="K7582" s="118">
        <v>634000</v>
      </c>
      <c r="L7582" s="119"/>
      <c r="M7582" s="118">
        <f t="shared" ref="M7582" si="11073">K7582*0.1</f>
        <v>63400</v>
      </c>
      <c r="N7582" s="119"/>
      <c r="O7582" s="118">
        <v>0</v>
      </c>
      <c r="P7582" s="119"/>
      <c r="Q7582" s="118">
        <v>9370</v>
      </c>
      <c r="R7582" s="119"/>
      <c r="S7582" s="118">
        <v>15400</v>
      </c>
      <c r="T7582" s="119"/>
      <c r="U7582" s="118">
        <f t="shared" ref="U7582" si="11074">SUM(K7582:T7583)</f>
        <v>722170</v>
      </c>
      <c r="V7582" s="122"/>
      <c r="W7582" s="124"/>
      <c r="X7582" s="126" t="s">
        <v>22284</v>
      </c>
      <c r="Y7582" s="127"/>
      <c r="Z7582" s="127"/>
      <c r="AA7582" s="127"/>
      <c r="AB7582" s="128"/>
      <c r="AC7582" s="15" t="s">
        <v>20</v>
      </c>
      <c r="AD7582" s="129" t="s">
        <v>20437</v>
      </c>
      <c r="AE7582" s="130"/>
      <c r="AF7582" s="130"/>
      <c r="AG7582" s="130"/>
      <c r="AH7582" s="130"/>
      <c r="AI7582" s="131"/>
      <c r="AJ7582" s="132"/>
      <c r="AK7582" s="127"/>
      <c r="AL7582" s="128"/>
      <c r="AM7582" s="21"/>
      <c r="AN7582" s="133">
        <v>46116</v>
      </c>
      <c r="AO7582" s="134"/>
      <c r="AP7582" s="135">
        <v>1295</v>
      </c>
      <c r="AQ7582" s="136"/>
      <c r="AR7582" s="118">
        <v>690000</v>
      </c>
      <c r="AS7582" s="119"/>
      <c r="AT7582" s="118">
        <f t="shared" ref="AT7582" si="11075">AR7582*0.1</f>
        <v>69000</v>
      </c>
      <c r="AU7582" s="119"/>
      <c r="AV7582" s="118">
        <v>9370</v>
      </c>
      <c r="AW7582" s="119"/>
      <c r="AX7582" s="118">
        <f t="shared" ref="AX7582" si="11076">SUM(AR7582:AW7582)</f>
        <v>768370</v>
      </c>
      <c r="AY7582" s="119"/>
      <c r="AZ7582" s="137">
        <v>46121</v>
      </c>
    </row>
    <row r="7583" spans="1:52" ht="17.100000000000001" customHeight="1" thickBot="1">
      <c r="A7583" s="110"/>
      <c r="B7583" s="27" t="s">
        <v>2641</v>
      </c>
      <c r="C7583" s="27">
        <v>7102</v>
      </c>
      <c r="D7583" s="14" t="s">
        <v>1720</v>
      </c>
      <c r="E7583" s="112"/>
      <c r="F7583" s="139" t="s">
        <v>21481</v>
      </c>
      <c r="G7583" s="140"/>
      <c r="H7583" s="141"/>
      <c r="I7583" s="26">
        <v>54138</v>
      </c>
      <c r="J7583" s="117"/>
      <c r="K7583" s="120"/>
      <c r="L7583" s="121"/>
      <c r="M7583" s="120"/>
      <c r="N7583" s="121"/>
      <c r="O7583" s="120"/>
      <c r="P7583" s="121"/>
      <c r="Q7583" s="120"/>
      <c r="R7583" s="121"/>
      <c r="S7583" s="120"/>
      <c r="T7583" s="121"/>
      <c r="U7583" s="120"/>
      <c r="V7583" s="123"/>
      <c r="W7583" s="125"/>
      <c r="X7583" s="142" t="s">
        <v>15395</v>
      </c>
      <c r="Y7583" s="143"/>
      <c r="Z7583" s="143"/>
      <c r="AA7583" s="143"/>
      <c r="AB7583" s="144"/>
      <c r="AC7583" s="16" t="s">
        <v>21</v>
      </c>
      <c r="AD7583" s="17" t="s">
        <v>1922</v>
      </c>
      <c r="AE7583" s="145" t="s">
        <v>4622</v>
      </c>
      <c r="AF7583" s="146"/>
      <c r="AG7583" s="146"/>
      <c r="AH7583" s="146"/>
      <c r="AI7583" s="147"/>
      <c r="AJ7583" s="148"/>
      <c r="AK7583" s="143"/>
      <c r="AL7583" s="144"/>
      <c r="AM7583" s="22"/>
      <c r="AN7583" s="149" t="s">
        <v>2511</v>
      </c>
      <c r="AO7583" s="144"/>
      <c r="AP7583" s="148">
        <v>41004</v>
      </c>
      <c r="AQ7583" s="144"/>
      <c r="AR7583" s="120"/>
      <c r="AS7583" s="121"/>
      <c r="AT7583" s="120"/>
      <c r="AU7583" s="121"/>
      <c r="AV7583" s="120"/>
      <c r="AW7583" s="121"/>
      <c r="AX7583" s="120"/>
      <c r="AY7583" s="121"/>
      <c r="AZ7583" s="138"/>
    </row>
    <row r="7584" spans="1:52" ht="17.100000000000001" customHeight="1" thickTop="1">
      <c r="A7584" s="109" t="s">
        <v>21458</v>
      </c>
      <c r="B7584" s="28">
        <v>46108</v>
      </c>
      <c r="C7584" s="25">
        <v>1412</v>
      </c>
      <c r="D7584" s="13" t="s">
        <v>1675</v>
      </c>
      <c r="E7584" s="111"/>
      <c r="F7584" s="113" t="s">
        <v>21482</v>
      </c>
      <c r="G7584" s="114"/>
      <c r="H7584" s="115"/>
      <c r="I7584" s="24" t="s">
        <v>21594</v>
      </c>
      <c r="J7584" s="116">
        <v>4</v>
      </c>
      <c r="K7584" s="118">
        <v>2434000</v>
      </c>
      <c r="L7584" s="119"/>
      <c r="M7584" s="118">
        <f t="shared" ref="M7584" si="11077">K7584*0.1</f>
        <v>243400</v>
      </c>
      <c r="N7584" s="119"/>
      <c r="O7584" s="118">
        <v>66500</v>
      </c>
      <c r="P7584" s="119"/>
      <c r="Q7584" s="118">
        <v>12420</v>
      </c>
      <c r="R7584" s="119"/>
      <c r="S7584" s="118">
        <v>15400</v>
      </c>
      <c r="T7584" s="119"/>
      <c r="U7584" s="118">
        <f t="shared" ref="U7584" si="11078">SUM(K7584:T7585)</f>
        <v>2771720</v>
      </c>
      <c r="V7584" s="122"/>
      <c r="W7584" s="124"/>
      <c r="X7584" s="126" t="s">
        <v>21917</v>
      </c>
      <c r="Y7584" s="127"/>
      <c r="Z7584" s="127"/>
      <c r="AA7584" s="127"/>
      <c r="AB7584" s="128"/>
      <c r="AC7584" s="15" t="s">
        <v>20</v>
      </c>
      <c r="AD7584" s="129" t="s">
        <v>21595</v>
      </c>
      <c r="AE7584" s="130"/>
      <c r="AF7584" s="130"/>
      <c r="AG7584" s="130"/>
      <c r="AH7584" s="130"/>
      <c r="AI7584" s="131"/>
      <c r="AJ7584" s="132"/>
      <c r="AK7584" s="127"/>
      <c r="AL7584" s="128"/>
      <c r="AM7584" s="21" t="s">
        <v>22427</v>
      </c>
      <c r="AN7584" s="133"/>
      <c r="AO7584" s="134"/>
      <c r="AP7584" s="135"/>
      <c r="AQ7584" s="136"/>
      <c r="AR7584" s="118"/>
      <c r="AS7584" s="119"/>
      <c r="AT7584" s="118">
        <f t="shared" ref="AT7584" si="11079">AR7584*0.1</f>
        <v>0</v>
      </c>
      <c r="AU7584" s="119"/>
      <c r="AV7584" s="118"/>
      <c r="AW7584" s="119"/>
      <c r="AX7584" s="118">
        <f t="shared" ref="AX7584" si="11080">SUM(AR7584:AW7584)</f>
        <v>0</v>
      </c>
      <c r="AY7584" s="119"/>
      <c r="AZ7584" s="137"/>
    </row>
    <row r="7585" spans="1:52" ht="17.100000000000001" customHeight="1" thickBot="1">
      <c r="A7585" s="110"/>
      <c r="B7585" s="27" t="s">
        <v>2641</v>
      </c>
      <c r="C7585" s="27">
        <v>7105</v>
      </c>
      <c r="D7585" s="14" t="s">
        <v>2800</v>
      </c>
      <c r="E7585" s="112"/>
      <c r="F7585" s="139" t="s">
        <v>21483</v>
      </c>
      <c r="G7585" s="140"/>
      <c r="H7585" s="141"/>
      <c r="I7585" s="26">
        <v>81320</v>
      </c>
      <c r="J7585" s="117"/>
      <c r="K7585" s="120"/>
      <c r="L7585" s="121"/>
      <c r="M7585" s="120"/>
      <c r="N7585" s="121"/>
      <c r="O7585" s="120"/>
      <c r="P7585" s="121"/>
      <c r="Q7585" s="120"/>
      <c r="R7585" s="121"/>
      <c r="S7585" s="120"/>
      <c r="T7585" s="121"/>
      <c r="U7585" s="120"/>
      <c r="V7585" s="123"/>
      <c r="W7585" s="125"/>
      <c r="X7585" s="142" t="s">
        <v>21918</v>
      </c>
      <c r="Y7585" s="143"/>
      <c r="Z7585" s="143"/>
      <c r="AA7585" s="143"/>
      <c r="AB7585" s="144"/>
      <c r="AC7585" s="16" t="s">
        <v>21</v>
      </c>
      <c r="AD7585" s="17" t="s">
        <v>1642</v>
      </c>
      <c r="AE7585" s="145" t="s">
        <v>21919</v>
      </c>
      <c r="AF7585" s="146"/>
      <c r="AG7585" s="146"/>
      <c r="AH7585" s="146"/>
      <c r="AI7585" s="147"/>
      <c r="AJ7585" s="148"/>
      <c r="AK7585" s="143"/>
      <c r="AL7585" s="144"/>
      <c r="AM7585" s="22"/>
      <c r="AN7585" s="149"/>
      <c r="AO7585" s="144"/>
      <c r="AP7585" s="148"/>
      <c r="AQ7585" s="144"/>
      <c r="AR7585" s="120"/>
      <c r="AS7585" s="121"/>
      <c r="AT7585" s="120"/>
      <c r="AU7585" s="121"/>
      <c r="AV7585" s="120"/>
      <c r="AW7585" s="121"/>
      <c r="AX7585" s="120"/>
      <c r="AY7585" s="121"/>
      <c r="AZ7585" s="138"/>
    </row>
    <row r="7586" spans="1:52" ht="17.100000000000001" customHeight="1" thickTop="1">
      <c r="A7586" s="109" t="s">
        <v>21459</v>
      </c>
      <c r="B7586" s="28">
        <v>46108</v>
      </c>
      <c r="C7586" s="25">
        <v>1412</v>
      </c>
      <c r="D7586" s="13" t="s">
        <v>2442</v>
      </c>
      <c r="E7586" s="111"/>
      <c r="F7586" s="113" t="s">
        <v>21484</v>
      </c>
      <c r="G7586" s="114"/>
      <c r="H7586" s="115"/>
      <c r="I7586" s="24" t="s">
        <v>14823</v>
      </c>
      <c r="J7586" s="116">
        <v>3.5</v>
      </c>
      <c r="K7586" s="118">
        <v>478000</v>
      </c>
      <c r="L7586" s="119"/>
      <c r="M7586" s="118">
        <f t="shared" ref="M7586" si="11081">K7586*0.1</f>
        <v>47800</v>
      </c>
      <c r="N7586" s="119"/>
      <c r="O7586" s="118">
        <v>29500</v>
      </c>
      <c r="P7586" s="119"/>
      <c r="Q7586" s="118">
        <v>9130</v>
      </c>
      <c r="R7586" s="119"/>
      <c r="S7586" s="118">
        <v>15400</v>
      </c>
      <c r="T7586" s="119"/>
      <c r="U7586" s="118">
        <f t="shared" ref="U7586" si="11082">SUM(K7586:T7587)</f>
        <v>579830</v>
      </c>
      <c r="V7586" s="122"/>
      <c r="W7586" s="124"/>
      <c r="X7586" s="126" t="s">
        <v>21916</v>
      </c>
      <c r="Y7586" s="127"/>
      <c r="Z7586" s="127"/>
      <c r="AA7586" s="127"/>
      <c r="AB7586" s="128"/>
      <c r="AC7586" s="15" t="s">
        <v>20</v>
      </c>
      <c r="AD7586" s="129"/>
      <c r="AE7586" s="130"/>
      <c r="AF7586" s="130"/>
      <c r="AG7586" s="130"/>
      <c r="AH7586" s="130"/>
      <c r="AI7586" s="131"/>
      <c r="AJ7586" s="132"/>
      <c r="AK7586" s="127"/>
      <c r="AL7586" s="128"/>
      <c r="AM7586" s="21"/>
      <c r="AN7586" s="133">
        <v>46116</v>
      </c>
      <c r="AO7586" s="134"/>
      <c r="AP7586" s="135">
        <v>1295</v>
      </c>
      <c r="AQ7586" s="136"/>
      <c r="AR7586" s="118">
        <v>695000</v>
      </c>
      <c r="AS7586" s="119"/>
      <c r="AT7586" s="118">
        <f t="shared" ref="AT7586" si="11083">AR7586*0.1</f>
        <v>69500</v>
      </c>
      <c r="AU7586" s="119"/>
      <c r="AV7586" s="118">
        <v>9130</v>
      </c>
      <c r="AW7586" s="119"/>
      <c r="AX7586" s="118">
        <f t="shared" ref="AX7586" si="11084">SUM(AR7586:AW7586)</f>
        <v>773630</v>
      </c>
      <c r="AY7586" s="119"/>
      <c r="AZ7586" s="137">
        <v>46119</v>
      </c>
    </row>
    <row r="7587" spans="1:52" ht="17.100000000000001" customHeight="1" thickBot="1">
      <c r="A7587" s="110"/>
      <c r="B7587" s="27" t="s">
        <v>2641</v>
      </c>
      <c r="C7587" s="27">
        <v>9545</v>
      </c>
      <c r="D7587" s="14" t="s">
        <v>1720</v>
      </c>
      <c r="E7587" s="112"/>
      <c r="F7587" s="139" t="s">
        <v>21596</v>
      </c>
      <c r="G7587" s="140"/>
      <c r="H7587" s="141"/>
      <c r="I7587" s="26">
        <v>45182</v>
      </c>
      <c r="J7587" s="117"/>
      <c r="K7587" s="120"/>
      <c r="L7587" s="121"/>
      <c r="M7587" s="120"/>
      <c r="N7587" s="121"/>
      <c r="O7587" s="120"/>
      <c r="P7587" s="121"/>
      <c r="Q7587" s="120"/>
      <c r="R7587" s="121"/>
      <c r="S7587" s="120"/>
      <c r="T7587" s="121"/>
      <c r="U7587" s="120"/>
      <c r="V7587" s="123"/>
      <c r="W7587" s="125"/>
      <c r="X7587" s="142" t="s">
        <v>3562</v>
      </c>
      <c r="Y7587" s="143"/>
      <c r="Z7587" s="143"/>
      <c r="AA7587" s="143"/>
      <c r="AB7587" s="144"/>
      <c r="AC7587" s="16" t="s">
        <v>21</v>
      </c>
      <c r="AD7587" s="17" t="s">
        <v>1642</v>
      </c>
      <c r="AE7587" s="145" t="s">
        <v>21927</v>
      </c>
      <c r="AF7587" s="146"/>
      <c r="AG7587" s="146"/>
      <c r="AH7587" s="146"/>
      <c r="AI7587" s="147"/>
      <c r="AJ7587" s="148"/>
      <c r="AK7587" s="143"/>
      <c r="AL7587" s="144"/>
      <c r="AM7587" s="22"/>
      <c r="AN7587" s="149" t="s">
        <v>2511</v>
      </c>
      <c r="AO7587" s="144"/>
      <c r="AP7587" s="148">
        <v>47</v>
      </c>
      <c r="AQ7587" s="144"/>
      <c r="AR7587" s="120"/>
      <c r="AS7587" s="121"/>
      <c r="AT7587" s="120"/>
      <c r="AU7587" s="121"/>
      <c r="AV7587" s="120"/>
      <c r="AW7587" s="121"/>
      <c r="AX7587" s="120"/>
      <c r="AY7587" s="121"/>
      <c r="AZ7587" s="138"/>
    </row>
    <row r="7588" spans="1:52" ht="17.100000000000001" customHeight="1" thickTop="1">
      <c r="A7588" s="109" t="s">
        <v>21460</v>
      </c>
      <c r="B7588" s="28">
        <v>46108</v>
      </c>
      <c r="C7588" s="25"/>
      <c r="D7588" s="13" t="s">
        <v>2022</v>
      </c>
      <c r="E7588" s="111"/>
      <c r="F7588" s="113" t="s">
        <v>21540</v>
      </c>
      <c r="G7588" s="114"/>
      <c r="H7588" s="115"/>
      <c r="I7588" s="24" t="s">
        <v>16021</v>
      </c>
      <c r="J7588" s="116">
        <v>4</v>
      </c>
      <c r="K7588" s="118">
        <v>3955000</v>
      </c>
      <c r="L7588" s="119"/>
      <c r="M7588" s="118">
        <f t="shared" ref="M7588" si="11085">K7588*0.1</f>
        <v>395500</v>
      </c>
      <c r="N7588" s="119"/>
      <c r="O7588" s="118">
        <v>0</v>
      </c>
      <c r="P7588" s="119"/>
      <c r="Q7588" s="118">
        <v>15780</v>
      </c>
      <c r="R7588" s="119"/>
      <c r="S7588" s="118">
        <v>0</v>
      </c>
      <c r="T7588" s="119"/>
      <c r="U7588" s="118">
        <f t="shared" ref="U7588" si="11086">SUM(K7588:T7589)</f>
        <v>4366280</v>
      </c>
      <c r="V7588" s="122"/>
      <c r="W7588" s="124"/>
      <c r="X7588" s="126" t="s">
        <v>24205</v>
      </c>
      <c r="Y7588" s="127"/>
      <c r="Z7588" s="127"/>
      <c r="AA7588" s="127"/>
      <c r="AB7588" s="128"/>
      <c r="AC7588" s="15" t="s">
        <v>20</v>
      </c>
      <c r="AD7588" s="129" t="s">
        <v>18530</v>
      </c>
      <c r="AE7588" s="130"/>
      <c r="AF7588" s="130"/>
      <c r="AG7588" s="130"/>
      <c r="AH7588" s="130"/>
      <c r="AI7588" s="131"/>
      <c r="AJ7588" s="132"/>
      <c r="AK7588" s="127"/>
      <c r="AL7588" s="128"/>
      <c r="AM7588" s="21" t="s">
        <v>24988</v>
      </c>
      <c r="AN7588" s="133"/>
      <c r="AO7588" s="134"/>
      <c r="AP7588" s="135"/>
      <c r="AQ7588" s="136"/>
      <c r="AR7588" s="118"/>
      <c r="AS7588" s="119"/>
      <c r="AT7588" s="118">
        <f t="shared" ref="AT7588" si="11087">AR7588*0.1</f>
        <v>0</v>
      </c>
      <c r="AU7588" s="119"/>
      <c r="AV7588" s="118"/>
      <c r="AW7588" s="119"/>
      <c r="AX7588" s="118">
        <f t="shared" ref="AX7588" si="11088">SUM(AR7588:AW7588)</f>
        <v>0</v>
      </c>
      <c r="AY7588" s="119"/>
      <c r="AZ7588" s="137"/>
    </row>
    <row r="7589" spans="1:52" ht="17.100000000000001" customHeight="1" thickBot="1">
      <c r="A7589" s="110"/>
      <c r="B7589" s="27" t="s">
        <v>1718</v>
      </c>
      <c r="C7589" s="27" t="s">
        <v>21490</v>
      </c>
      <c r="D7589" s="14" t="s">
        <v>2601</v>
      </c>
      <c r="E7589" s="112"/>
      <c r="F7589" s="139" t="s">
        <v>21491</v>
      </c>
      <c r="G7589" s="140"/>
      <c r="H7589" s="141"/>
      <c r="I7589" s="26">
        <v>64813</v>
      </c>
      <c r="J7589" s="117"/>
      <c r="K7589" s="120"/>
      <c r="L7589" s="121"/>
      <c r="M7589" s="120"/>
      <c r="N7589" s="121"/>
      <c r="O7589" s="120"/>
      <c r="P7589" s="121"/>
      <c r="Q7589" s="120"/>
      <c r="R7589" s="121"/>
      <c r="S7589" s="120"/>
      <c r="T7589" s="121"/>
      <c r="U7589" s="120"/>
      <c r="V7589" s="123"/>
      <c r="W7589" s="125"/>
      <c r="X7589" s="142" t="s">
        <v>24206</v>
      </c>
      <c r="Y7589" s="143"/>
      <c r="Z7589" s="143"/>
      <c r="AA7589" s="143"/>
      <c r="AB7589" s="144"/>
      <c r="AC7589" s="16" t="s">
        <v>21</v>
      </c>
      <c r="AD7589" s="17" t="s">
        <v>24135</v>
      </c>
      <c r="AE7589" s="145" t="s">
        <v>13768</v>
      </c>
      <c r="AF7589" s="146"/>
      <c r="AG7589" s="146"/>
      <c r="AH7589" s="146"/>
      <c r="AI7589" s="147"/>
      <c r="AJ7589" s="148"/>
      <c r="AK7589" s="143"/>
      <c r="AL7589" s="144"/>
      <c r="AM7589" s="22"/>
      <c r="AN7589" s="149"/>
      <c r="AO7589" s="144"/>
      <c r="AP7589" s="148"/>
      <c r="AQ7589" s="144"/>
      <c r="AR7589" s="120"/>
      <c r="AS7589" s="121"/>
      <c r="AT7589" s="120"/>
      <c r="AU7589" s="121"/>
      <c r="AV7589" s="120"/>
      <c r="AW7589" s="121"/>
      <c r="AX7589" s="120"/>
      <c r="AY7589" s="121"/>
      <c r="AZ7589" s="138"/>
    </row>
    <row r="7590" spans="1:52" ht="17.100000000000001" customHeight="1" thickTop="1">
      <c r="A7590" s="109" t="s">
        <v>21461</v>
      </c>
      <c r="B7590" s="28">
        <v>46108</v>
      </c>
      <c r="C7590" s="25"/>
      <c r="D7590" s="13" t="s">
        <v>2858</v>
      </c>
      <c r="E7590" s="111"/>
      <c r="F7590" s="113" t="s">
        <v>21541</v>
      </c>
      <c r="G7590" s="114"/>
      <c r="H7590" s="115"/>
      <c r="I7590" s="24" t="s">
        <v>21542</v>
      </c>
      <c r="J7590" s="116">
        <v>6</v>
      </c>
      <c r="K7590" s="118">
        <v>2750000</v>
      </c>
      <c r="L7590" s="119"/>
      <c r="M7590" s="118">
        <f t="shared" ref="M7590" si="11089">K7590*0.1</f>
        <v>275000</v>
      </c>
      <c r="N7590" s="119"/>
      <c r="O7590" s="118">
        <v>0</v>
      </c>
      <c r="P7590" s="119"/>
      <c r="Q7590" s="118">
        <v>8780</v>
      </c>
      <c r="R7590" s="119"/>
      <c r="S7590" s="118">
        <v>0</v>
      </c>
      <c r="T7590" s="119"/>
      <c r="U7590" s="118">
        <f t="shared" ref="U7590" si="11090">SUM(K7590:T7591)</f>
        <v>3033780</v>
      </c>
      <c r="V7590" s="122"/>
      <c r="W7590" s="124"/>
      <c r="X7590" s="126" t="s">
        <v>22923</v>
      </c>
      <c r="Y7590" s="127"/>
      <c r="Z7590" s="127"/>
      <c r="AA7590" s="127"/>
      <c r="AB7590" s="128"/>
      <c r="AC7590" s="15" t="s">
        <v>20</v>
      </c>
      <c r="AD7590" s="129" t="s">
        <v>7231</v>
      </c>
      <c r="AE7590" s="130"/>
      <c r="AF7590" s="130"/>
      <c r="AG7590" s="130"/>
      <c r="AH7590" s="130"/>
      <c r="AI7590" s="131"/>
      <c r="AJ7590" s="132"/>
      <c r="AK7590" s="127"/>
      <c r="AL7590" s="128"/>
      <c r="AM7590" s="21"/>
      <c r="AN7590" s="133">
        <v>46134</v>
      </c>
      <c r="AO7590" s="134"/>
      <c r="AP7590" s="135">
        <v>1014</v>
      </c>
      <c r="AQ7590" s="136"/>
      <c r="AR7590" s="118">
        <v>2825000</v>
      </c>
      <c r="AS7590" s="119"/>
      <c r="AT7590" s="118">
        <f t="shared" ref="AT7590" si="11091">AR7590*0.1</f>
        <v>282500</v>
      </c>
      <c r="AU7590" s="119"/>
      <c r="AV7590" s="118">
        <v>8780</v>
      </c>
      <c r="AW7590" s="119"/>
      <c r="AX7590" s="118">
        <f t="shared" ref="AX7590" si="11092">SUM(AR7590:AW7590)</f>
        <v>3116280</v>
      </c>
      <c r="AY7590" s="119"/>
      <c r="AZ7590" s="137">
        <v>46139</v>
      </c>
    </row>
    <row r="7591" spans="1:52" ht="17.100000000000001" customHeight="1" thickBot="1">
      <c r="A7591" s="110"/>
      <c r="B7591" s="27" t="s">
        <v>1718</v>
      </c>
      <c r="C7591" s="27" t="s">
        <v>21492</v>
      </c>
      <c r="D7591" s="14" t="s">
        <v>275</v>
      </c>
      <c r="E7591" s="112"/>
      <c r="F7591" s="139" t="s">
        <v>21493</v>
      </c>
      <c r="G7591" s="140"/>
      <c r="H7591" s="141"/>
      <c r="I7591" s="26">
        <v>48</v>
      </c>
      <c r="J7591" s="117"/>
      <c r="K7591" s="120"/>
      <c r="L7591" s="121"/>
      <c r="M7591" s="120"/>
      <c r="N7591" s="121"/>
      <c r="O7591" s="120"/>
      <c r="P7591" s="121"/>
      <c r="Q7591" s="120"/>
      <c r="R7591" s="121"/>
      <c r="S7591" s="120"/>
      <c r="T7591" s="121"/>
      <c r="U7591" s="120"/>
      <c r="V7591" s="123"/>
      <c r="W7591" s="125"/>
      <c r="X7591" s="142" t="s">
        <v>22924</v>
      </c>
      <c r="Y7591" s="143"/>
      <c r="Z7591" s="143"/>
      <c r="AA7591" s="143"/>
      <c r="AB7591" s="144"/>
      <c r="AC7591" s="16" t="s">
        <v>21</v>
      </c>
      <c r="AD7591" s="17" t="s">
        <v>22918</v>
      </c>
      <c r="AE7591" s="145" t="s">
        <v>22925</v>
      </c>
      <c r="AF7591" s="146"/>
      <c r="AG7591" s="146"/>
      <c r="AH7591" s="146"/>
      <c r="AI7591" s="147"/>
      <c r="AJ7591" s="148"/>
      <c r="AK7591" s="143"/>
      <c r="AL7591" s="144"/>
      <c r="AM7591" s="22"/>
      <c r="AN7591" s="149" t="s">
        <v>23987</v>
      </c>
      <c r="AO7591" s="144"/>
      <c r="AP7591" s="148">
        <v>4016</v>
      </c>
      <c r="AQ7591" s="144"/>
      <c r="AR7591" s="120"/>
      <c r="AS7591" s="121"/>
      <c r="AT7591" s="120"/>
      <c r="AU7591" s="121"/>
      <c r="AV7591" s="120"/>
      <c r="AW7591" s="121"/>
      <c r="AX7591" s="120"/>
      <c r="AY7591" s="121"/>
      <c r="AZ7591" s="138"/>
    </row>
    <row r="7592" spans="1:52" ht="17.100000000000001" customHeight="1" thickTop="1">
      <c r="A7592" s="109" t="s">
        <v>21462</v>
      </c>
      <c r="B7592" s="28">
        <v>46108</v>
      </c>
      <c r="C7592" s="25"/>
      <c r="D7592" s="13" t="s">
        <v>2014</v>
      </c>
      <c r="E7592" s="111"/>
      <c r="F7592" s="113" t="s">
        <v>8215</v>
      </c>
      <c r="G7592" s="114"/>
      <c r="H7592" s="115"/>
      <c r="I7592" s="24" t="s">
        <v>12567</v>
      </c>
      <c r="J7592" s="116">
        <v>5</v>
      </c>
      <c r="K7592" s="118">
        <v>5260000</v>
      </c>
      <c r="L7592" s="119"/>
      <c r="M7592" s="118">
        <f t="shared" ref="M7592" si="11093">K7592*0.1</f>
        <v>526000</v>
      </c>
      <c r="N7592" s="119"/>
      <c r="O7592" s="118">
        <v>0</v>
      </c>
      <c r="P7592" s="119"/>
      <c r="Q7592" s="118">
        <v>14230</v>
      </c>
      <c r="R7592" s="119"/>
      <c r="S7592" s="118">
        <v>0</v>
      </c>
      <c r="T7592" s="119"/>
      <c r="U7592" s="118">
        <f t="shared" ref="U7592" si="11094">SUM(K7592:T7593)</f>
        <v>5800230</v>
      </c>
      <c r="V7592" s="122"/>
      <c r="W7592" s="124"/>
      <c r="X7592" s="126" t="s">
        <v>25154</v>
      </c>
      <c r="Y7592" s="127"/>
      <c r="Z7592" s="127"/>
      <c r="AA7592" s="127"/>
      <c r="AB7592" s="128"/>
      <c r="AC7592" s="15" t="s">
        <v>20</v>
      </c>
      <c r="AD7592" s="129" t="s">
        <v>15223</v>
      </c>
      <c r="AE7592" s="130"/>
      <c r="AF7592" s="130"/>
      <c r="AG7592" s="130"/>
      <c r="AH7592" s="130"/>
      <c r="AI7592" s="131"/>
      <c r="AJ7592" s="132"/>
      <c r="AK7592" s="127"/>
      <c r="AL7592" s="128"/>
      <c r="AM7592" s="21"/>
      <c r="AN7592" s="133">
        <v>46155</v>
      </c>
      <c r="AO7592" s="134"/>
      <c r="AP7592" s="135">
        <v>1016</v>
      </c>
      <c r="AQ7592" s="136"/>
      <c r="AR7592" s="118">
        <v>5505000</v>
      </c>
      <c r="AS7592" s="119"/>
      <c r="AT7592" s="118">
        <f t="shared" ref="AT7592" si="11095">AR7592*0.1</f>
        <v>550500</v>
      </c>
      <c r="AU7592" s="119"/>
      <c r="AV7592" s="118">
        <v>14230</v>
      </c>
      <c r="AW7592" s="119"/>
      <c r="AX7592" s="118">
        <f t="shared" ref="AX7592" si="11096">SUM(AR7592:AW7592)</f>
        <v>6069730</v>
      </c>
      <c r="AY7592" s="119"/>
      <c r="AZ7592" s="137">
        <v>46160</v>
      </c>
    </row>
    <row r="7593" spans="1:52" ht="17.100000000000001" customHeight="1" thickBot="1">
      <c r="A7593" s="110"/>
      <c r="B7593" s="27" t="s">
        <v>1718</v>
      </c>
      <c r="C7593" s="27" t="s">
        <v>21494</v>
      </c>
      <c r="D7593" s="14" t="s">
        <v>2601</v>
      </c>
      <c r="E7593" s="112"/>
      <c r="F7593" s="139" t="s">
        <v>21495</v>
      </c>
      <c r="G7593" s="140"/>
      <c r="H7593" s="141"/>
      <c r="I7593" s="26">
        <v>286</v>
      </c>
      <c r="J7593" s="117"/>
      <c r="K7593" s="120"/>
      <c r="L7593" s="121"/>
      <c r="M7593" s="120"/>
      <c r="N7593" s="121"/>
      <c r="O7593" s="120"/>
      <c r="P7593" s="121"/>
      <c r="Q7593" s="120"/>
      <c r="R7593" s="121"/>
      <c r="S7593" s="120"/>
      <c r="T7593" s="121"/>
      <c r="U7593" s="120"/>
      <c r="V7593" s="123"/>
      <c r="W7593" s="125"/>
      <c r="X7593" s="142" t="s">
        <v>25155</v>
      </c>
      <c r="Y7593" s="143"/>
      <c r="Z7593" s="143"/>
      <c r="AA7593" s="143"/>
      <c r="AB7593" s="144"/>
      <c r="AC7593" s="16" t="s">
        <v>21</v>
      </c>
      <c r="AD7593" s="17" t="s">
        <v>2009</v>
      </c>
      <c r="AE7593" s="145" t="s">
        <v>25156</v>
      </c>
      <c r="AF7593" s="146"/>
      <c r="AG7593" s="146"/>
      <c r="AH7593" s="146"/>
      <c r="AI7593" s="147"/>
      <c r="AJ7593" s="148"/>
      <c r="AK7593" s="143"/>
      <c r="AL7593" s="144"/>
      <c r="AM7593" s="22"/>
      <c r="AN7593" s="149" t="s">
        <v>2794</v>
      </c>
      <c r="AO7593" s="144"/>
      <c r="AP7593" s="148">
        <v>1026</v>
      </c>
      <c r="AQ7593" s="144"/>
      <c r="AR7593" s="120"/>
      <c r="AS7593" s="121"/>
      <c r="AT7593" s="120"/>
      <c r="AU7593" s="121"/>
      <c r="AV7593" s="120"/>
      <c r="AW7593" s="121"/>
      <c r="AX7593" s="120"/>
      <c r="AY7593" s="121"/>
      <c r="AZ7593" s="138"/>
    </row>
    <row r="7594" spans="1:52" ht="17.100000000000001" customHeight="1" thickTop="1">
      <c r="A7594" s="109" t="s">
        <v>21485</v>
      </c>
      <c r="B7594" s="28">
        <v>46108</v>
      </c>
      <c r="C7594" s="25"/>
      <c r="D7594" s="13" t="s">
        <v>1998</v>
      </c>
      <c r="E7594" s="111"/>
      <c r="F7594" s="113" t="s">
        <v>19673</v>
      </c>
      <c r="G7594" s="114"/>
      <c r="H7594" s="115"/>
      <c r="I7594" s="24" t="s">
        <v>4647</v>
      </c>
      <c r="J7594" s="116">
        <v>4.5</v>
      </c>
      <c r="K7594" s="118">
        <v>5060000</v>
      </c>
      <c r="L7594" s="119"/>
      <c r="M7594" s="118">
        <f t="shared" ref="M7594" si="11097">K7594*0.1</f>
        <v>506000</v>
      </c>
      <c r="N7594" s="119"/>
      <c r="O7594" s="118">
        <v>36200</v>
      </c>
      <c r="P7594" s="119"/>
      <c r="Q7594" s="118">
        <v>18950</v>
      </c>
      <c r="R7594" s="119"/>
      <c r="S7594" s="118">
        <v>0</v>
      </c>
      <c r="T7594" s="119"/>
      <c r="U7594" s="118">
        <f t="shared" ref="U7594" si="11098">SUM(K7594:T7595)</f>
        <v>5621150</v>
      </c>
      <c r="V7594" s="122"/>
      <c r="W7594" s="124"/>
      <c r="X7594" s="126" t="s">
        <v>25404</v>
      </c>
      <c r="Y7594" s="127"/>
      <c r="Z7594" s="127"/>
      <c r="AA7594" s="127"/>
      <c r="AB7594" s="128"/>
      <c r="AC7594" s="15" t="s">
        <v>20</v>
      </c>
      <c r="AD7594" s="129" t="s">
        <v>7231</v>
      </c>
      <c r="AE7594" s="130"/>
      <c r="AF7594" s="130"/>
      <c r="AG7594" s="130"/>
      <c r="AH7594" s="130"/>
      <c r="AI7594" s="131"/>
      <c r="AJ7594" s="132"/>
      <c r="AK7594" s="127"/>
      <c r="AL7594" s="128"/>
      <c r="AM7594" s="21"/>
      <c r="AN7594" s="133"/>
      <c r="AO7594" s="134"/>
      <c r="AP7594" s="135"/>
      <c r="AQ7594" s="136"/>
      <c r="AR7594" s="118"/>
      <c r="AS7594" s="119"/>
      <c r="AT7594" s="118">
        <f t="shared" ref="AT7594" si="11099">AR7594*0.1</f>
        <v>0</v>
      </c>
      <c r="AU7594" s="119"/>
      <c r="AV7594" s="118"/>
      <c r="AW7594" s="119"/>
      <c r="AX7594" s="118">
        <f t="shared" ref="AX7594" si="11100">SUM(AR7594:AW7594)</f>
        <v>0</v>
      </c>
      <c r="AY7594" s="119"/>
      <c r="AZ7594" s="137"/>
    </row>
    <row r="7595" spans="1:52" ht="17.100000000000001" customHeight="1" thickBot="1">
      <c r="A7595" s="110"/>
      <c r="B7595" s="27" t="s">
        <v>1718</v>
      </c>
      <c r="C7595" s="27" t="s">
        <v>21496</v>
      </c>
      <c r="D7595" s="14" t="s">
        <v>2601</v>
      </c>
      <c r="E7595" s="112"/>
      <c r="F7595" s="139" t="s">
        <v>21497</v>
      </c>
      <c r="G7595" s="140"/>
      <c r="H7595" s="141"/>
      <c r="I7595" s="26">
        <v>17546</v>
      </c>
      <c r="J7595" s="117"/>
      <c r="K7595" s="120"/>
      <c r="L7595" s="121"/>
      <c r="M7595" s="120"/>
      <c r="N7595" s="121"/>
      <c r="O7595" s="120"/>
      <c r="P7595" s="121"/>
      <c r="Q7595" s="120"/>
      <c r="R7595" s="121"/>
      <c r="S7595" s="120"/>
      <c r="T7595" s="121"/>
      <c r="U7595" s="120"/>
      <c r="V7595" s="123"/>
      <c r="W7595" s="125"/>
      <c r="X7595" s="142" t="s">
        <v>25405</v>
      </c>
      <c r="Y7595" s="143"/>
      <c r="Z7595" s="143"/>
      <c r="AA7595" s="143"/>
      <c r="AB7595" s="144"/>
      <c r="AC7595" s="16" t="s">
        <v>21</v>
      </c>
      <c r="AD7595" s="17" t="s">
        <v>1847</v>
      </c>
      <c r="AE7595" s="145" t="s">
        <v>25406</v>
      </c>
      <c r="AF7595" s="146"/>
      <c r="AG7595" s="146"/>
      <c r="AH7595" s="146"/>
      <c r="AI7595" s="147"/>
      <c r="AJ7595" s="148"/>
      <c r="AK7595" s="143"/>
      <c r="AL7595" s="144"/>
      <c r="AM7595" s="22"/>
      <c r="AN7595" s="149"/>
      <c r="AO7595" s="144"/>
      <c r="AP7595" s="148"/>
      <c r="AQ7595" s="144"/>
      <c r="AR7595" s="120"/>
      <c r="AS7595" s="121"/>
      <c r="AT7595" s="120"/>
      <c r="AU7595" s="121"/>
      <c r="AV7595" s="120"/>
      <c r="AW7595" s="121"/>
      <c r="AX7595" s="120"/>
      <c r="AY7595" s="121"/>
      <c r="AZ7595" s="138"/>
    </row>
    <row r="7596" spans="1:52" ht="17.100000000000001" customHeight="1" thickTop="1">
      <c r="A7596" s="109" t="s">
        <v>21486</v>
      </c>
      <c r="B7596" s="28">
        <v>46108</v>
      </c>
      <c r="C7596" s="25"/>
      <c r="D7596" s="13" t="s">
        <v>1847</v>
      </c>
      <c r="E7596" s="111"/>
      <c r="F7596" s="113" t="s">
        <v>21543</v>
      </c>
      <c r="G7596" s="114"/>
      <c r="H7596" s="115"/>
      <c r="I7596" s="24" t="s">
        <v>5214</v>
      </c>
      <c r="J7596" s="116">
        <v>4.5</v>
      </c>
      <c r="K7596" s="118">
        <v>3705000</v>
      </c>
      <c r="L7596" s="119"/>
      <c r="M7596" s="118">
        <f t="shared" ref="M7596" si="11101">K7596*0.1</f>
        <v>370500</v>
      </c>
      <c r="N7596" s="119"/>
      <c r="O7596" s="118">
        <v>0</v>
      </c>
      <c r="P7596" s="119"/>
      <c r="Q7596" s="118">
        <v>11570</v>
      </c>
      <c r="R7596" s="119"/>
      <c r="S7596" s="118">
        <v>0</v>
      </c>
      <c r="T7596" s="119"/>
      <c r="U7596" s="118">
        <f t="shared" ref="U7596" si="11102">SUM(K7596:T7597)</f>
        <v>4087070</v>
      </c>
      <c r="V7596" s="122"/>
      <c r="W7596" s="124"/>
      <c r="X7596" s="126" t="s">
        <v>24023</v>
      </c>
      <c r="Y7596" s="127"/>
      <c r="Z7596" s="127"/>
      <c r="AA7596" s="127"/>
      <c r="AB7596" s="128"/>
      <c r="AC7596" s="15" t="s">
        <v>20</v>
      </c>
      <c r="AD7596" s="129" t="s">
        <v>7231</v>
      </c>
      <c r="AE7596" s="130"/>
      <c r="AF7596" s="130"/>
      <c r="AG7596" s="130"/>
      <c r="AH7596" s="130"/>
      <c r="AI7596" s="131"/>
      <c r="AJ7596" s="132"/>
      <c r="AK7596" s="127"/>
      <c r="AL7596" s="128"/>
      <c r="AM7596" s="21"/>
      <c r="AN7596" s="133">
        <v>46130</v>
      </c>
      <c r="AO7596" s="134"/>
      <c r="AP7596" s="135">
        <v>1297</v>
      </c>
      <c r="AQ7596" s="136"/>
      <c r="AR7596" s="118">
        <v>3725000</v>
      </c>
      <c r="AS7596" s="119"/>
      <c r="AT7596" s="118">
        <f t="shared" ref="AT7596" si="11103">AR7596*0.1</f>
        <v>372500</v>
      </c>
      <c r="AU7596" s="119"/>
      <c r="AV7596" s="118">
        <v>11570</v>
      </c>
      <c r="AW7596" s="119"/>
      <c r="AX7596" s="118">
        <f t="shared" ref="AX7596" si="11104">SUM(AR7596:AW7596)</f>
        <v>4109070</v>
      </c>
      <c r="AY7596" s="119"/>
      <c r="AZ7596" s="137">
        <v>46139</v>
      </c>
    </row>
    <row r="7597" spans="1:52" ht="17.100000000000001" customHeight="1" thickBot="1">
      <c r="A7597" s="110"/>
      <c r="B7597" s="27" t="s">
        <v>1718</v>
      </c>
      <c r="C7597" s="27" t="s">
        <v>21498</v>
      </c>
      <c r="D7597" s="14" t="s">
        <v>275</v>
      </c>
      <c r="E7597" s="112"/>
      <c r="F7597" s="139" t="s">
        <v>21499</v>
      </c>
      <c r="G7597" s="140"/>
      <c r="H7597" s="141"/>
      <c r="I7597" s="26">
        <v>21082</v>
      </c>
      <c r="J7597" s="117"/>
      <c r="K7597" s="120"/>
      <c r="L7597" s="121"/>
      <c r="M7597" s="120"/>
      <c r="N7597" s="121"/>
      <c r="O7597" s="120"/>
      <c r="P7597" s="121"/>
      <c r="Q7597" s="120"/>
      <c r="R7597" s="121"/>
      <c r="S7597" s="120"/>
      <c r="T7597" s="121"/>
      <c r="U7597" s="120"/>
      <c r="V7597" s="123"/>
      <c r="W7597" s="125"/>
      <c r="X7597" s="142" t="s">
        <v>2321</v>
      </c>
      <c r="Y7597" s="143"/>
      <c r="Z7597" s="143"/>
      <c r="AA7597" s="143"/>
      <c r="AB7597" s="144"/>
      <c r="AC7597" s="16" t="s">
        <v>21</v>
      </c>
      <c r="AD7597" s="17" t="s">
        <v>24016</v>
      </c>
      <c r="AE7597" s="145" t="s">
        <v>4015</v>
      </c>
      <c r="AF7597" s="146"/>
      <c r="AG7597" s="146"/>
      <c r="AH7597" s="146"/>
      <c r="AI7597" s="147"/>
      <c r="AJ7597" s="148"/>
      <c r="AK7597" s="143"/>
      <c r="AL7597" s="144"/>
      <c r="AM7597" s="22"/>
      <c r="AN7597" s="149" t="s">
        <v>2511</v>
      </c>
      <c r="AO7597" s="144"/>
      <c r="AP7597" s="148">
        <v>40117</v>
      </c>
      <c r="AQ7597" s="144"/>
      <c r="AR7597" s="120"/>
      <c r="AS7597" s="121"/>
      <c r="AT7597" s="120"/>
      <c r="AU7597" s="121"/>
      <c r="AV7597" s="120"/>
      <c r="AW7597" s="121"/>
      <c r="AX7597" s="120"/>
      <c r="AY7597" s="121"/>
      <c r="AZ7597" s="138"/>
    </row>
    <row r="7598" spans="1:52" ht="17.100000000000001" customHeight="1" thickTop="1">
      <c r="A7598" s="151" t="s">
        <v>21487</v>
      </c>
      <c r="B7598" s="28">
        <v>46108</v>
      </c>
      <c r="C7598" s="25"/>
      <c r="D7598" s="13" t="s">
        <v>1831</v>
      </c>
      <c r="E7598" s="111"/>
      <c r="F7598" s="113" t="s">
        <v>21467</v>
      </c>
      <c r="G7598" s="114"/>
      <c r="H7598" s="115"/>
      <c r="I7598" s="24" t="s">
        <v>13263</v>
      </c>
      <c r="J7598" s="116">
        <v>4</v>
      </c>
      <c r="K7598" s="118">
        <v>1100000</v>
      </c>
      <c r="L7598" s="119"/>
      <c r="M7598" s="118">
        <f t="shared" ref="M7598" si="11105">K7598*0.1</f>
        <v>110000</v>
      </c>
      <c r="N7598" s="119"/>
      <c r="O7598" s="118">
        <v>0</v>
      </c>
      <c r="P7598" s="119"/>
      <c r="Q7598" s="118">
        <v>9320</v>
      </c>
      <c r="R7598" s="119"/>
      <c r="S7598" s="118">
        <v>0</v>
      </c>
      <c r="T7598" s="119"/>
      <c r="U7598" s="118">
        <f t="shared" ref="U7598" si="11106">SUM(K7598:T7599)</f>
        <v>1219320</v>
      </c>
      <c r="V7598" s="122"/>
      <c r="W7598" s="124"/>
      <c r="X7598" s="126" t="s">
        <v>22980</v>
      </c>
      <c r="Y7598" s="127"/>
      <c r="Z7598" s="127"/>
      <c r="AA7598" s="127"/>
      <c r="AB7598" s="128"/>
      <c r="AC7598" s="15" t="s">
        <v>20</v>
      </c>
      <c r="AD7598" s="129" t="s">
        <v>3828</v>
      </c>
      <c r="AE7598" s="130"/>
      <c r="AF7598" s="130"/>
      <c r="AG7598" s="130"/>
      <c r="AH7598" s="130"/>
      <c r="AI7598" s="131"/>
      <c r="AJ7598" s="132" t="s">
        <v>24677</v>
      </c>
      <c r="AK7598" s="127"/>
      <c r="AL7598" s="128"/>
      <c r="AM7598" s="21"/>
      <c r="AN7598" s="133"/>
      <c r="AO7598" s="134"/>
      <c r="AP7598" s="135"/>
      <c r="AQ7598" s="136"/>
      <c r="AR7598" s="118"/>
      <c r="AS7598" s="119"/>
      <c r="AT7598" s="118">
        <f t="shared" ref="AT7598" si="11107">AR7598*0.1</f>
        <v>0</v>
      </c>
      <c r="AU7598" s="119"/>
      <c r="AV7598" s="118"/>
      <c r="AW7598" s="119"/>
      <c r="AX7598" s="118">
        <f t="shared" ref="AX7598" si="11108">SUM(AR7598:AW7598)</f>
        <v>0</v>
      </c>
      <c r="AY7598" s="119"/>
      <c r="AZ7598" s="137"/>
    </row>
    <row r="7599" spans="1:52" ht="17.100000000000001" customHeight="1" thickBot="1">
      <c r="A7599" s="152"/>
      <c r="B7599" s="27" t="s">
        <v>1718</v>
      </c>
      <c r="C7599" s="27" t="s">
        <v>21500</v>
      </c>
      <c r="D7599" s="14" t="s">
        <v>2601</v>
      </c>
      <c r="E7599" s="112"/>
      <c r="F7599" s="139" t="s">
        <v>21501</v>
      </c>
      <c r="G7599" s="140"/>
      <c r="H7599" s="141"/>
      <c r="I7599" s="26">
        <v>45880</v>
      </c>
      <c r="J7599" s="117"/>
      <c r="K7599" s="120"/>
      <c r="L7599" s="121"/>
      <c r="M7599" s="120"/>
      <c r="N7599" s="121"/>
      <c r="O7599" s="120"/>
      <c r="P7599" s="121"/>
      <c r="Q7599" s="120"/>
      <c r="R7599" s="121"/>
      <c r="S7599" s="120"/>
      <c r="T7599" s="121"/>
      <c r="U7599" s="120"/>
      <c r="V7599" s="123"/>
      <c r="W7599" s="125"/>
      <c r="X7599" s="142" t="s">
        <v>22981</v>
      </c>
      <c r="Y7599" s="143"/>
      <c r="Z7599" s="143"/>
      <c r="AA7599" s="143"/>
      <c r="AB7599" s="144"/>
      <c r="AC7599" s="16" t="s">
        <v>21</v>
      </c>
      <c r="AD7599" s="17" t="s">
        <v>22918</v>
      </c>
      <c r="AE7599" s="145" t="s">
        <v>22982</v>
      </c>
      <c r="AF7599" s="146"/>
      <c r="AG7599" s="146"/>
      <c r="AH7599" s="146"/>
      <c r="AI7599" s="147"/>
      <c r="AJ7599" s="148"/>
      <c r="AK7599" s="143"/>
      <c r="AL7599" s="144"/>
      <c r="AM7599" s="22"/>
      <c r="AN7599" s="149"/>
      <c r="AO7599" s="144"/>
      <c r="AP7599" s="148"/>
      <c r="AQ7599" s="144"/>
      <c r="AR7599" s="120"/>
      <c r="AS7599" s="121"/>
      <c r="AT7599" s="120"/>
      <c r="AU7599" s="121"/>
      <c r="AV7599" s="120"/>
      <c r="AW7599" s="121"/>
      <c r="AX7599" s="120"/>
      <c r="AY7599" s="121"/>
      <c r="AZ7599" s="138"/>
    </row>
    <row r="7600" spans="1:52" ht="17.100000000000001" customHeight="1" thickTop="1">
      <c r="A7600" s="109" t="s">
        <v>21488</v>
      </c>
      <c r="B7600" s="28">
        <v>46108</v>
      </c>
      <c r="C7600" s="25"/>
      <c r="D7600" s="13" t="s">
        <v>1977</v>
      </c>
      <c r="E7600" s="111"/>
      <c r="F7600" s="113" t="s">
        <v>21544</v>
      </c>
      <c r="G7600" s="114"/>
      <c r="H7600" s="115"/>
      <c r="I7600" s="24" t="s">
        <v>4212</v>
      </c>
      <c r="J7600" s="116">
        <v>4.5</v>
      </c>
      <c r="K7600" s="118">
        <v>634000</v>
      </c>
      <c r="L7600" s="119"/>
      <c r="M7600" s="118">
        <f t="shared" ref="M7600" si="11109">K7600*0.1</f>
        <v>63400</v>
      </c>
      <c r="N7600" s="119"/>
      <c r="O7600" s="118">
        <v>0</v>
      </c>
      <c r="P7600" s="119"/>
      <c r="Q7600" s="118">
        <v>8230</v>
      </c>
      <c r="R7600" s="119"/>
      <c r="S7600" s="118">
        <v>0</v>
      </c>
      <c r="T7600" s="119"/>
      <c r="U7600" s="118">
        <f t="shared" ref="U7600" si="11110">SUM(K7600:T7601)</f>
        <v>705630</v>
      </c>
      <c r="V7600" s="122"/>
      <c r="W7600" s="124"/>
      <c r="X7600" s="126" t="s">
        <v>22456</v>
      </c>
      <c r="Y7600" s="127"/>
      <c r="Z7600" s="127"/>
      <c r="AA7600" s="127"/>
      <c r="AB7600" s="128"/>
      <c r="AC7600" s="15" t="s">
        <v>20</v>
      </c>
      <c r="AD7600" s="129" t="s">
        <v>3828</v>
      </c>
      <c r="AE7600" s="130"/>
      <c r="AF7600" s="130"/>
      <c r="AG7600" s="130"/>
      <c r="AH7600" s="130"/>
      <c r="AI7600" s="131"/>
      <c r="AJ7600" s="132"/>
      <c r="AK7600" s="127"/>
      <c r="AL7600" s="128"/>
      <c r="AM7600" s="21"/>
      <c r="AN7600" s="133">
        <v>46144</v>
      </c>
      <c r="AO7600" s="134"/>
      <c r="AP7600" s="135">
        <v>1299</v>
      </c>
      <c r="AQ7600" s="136"/>
      <c r="AR7600" s="118">
        <v>735000</v>
      </c>
      <c r="AS7600" s="119"/>
      <c r="AT7600" s="118">
        <f t="shared" ref="AT7600" si="11111">AR7600*0.1</f>
        <v>73500</v>
      </c>
      <c r="AU7600" s="119"/>
      <c r="AV7600" s="118">
        <v>8230</v>
      </c>
      <c r="AW7600" s="119"/>
      <c r="AX7600" s="118">
        <f t="shared" ref="AX7600" si="11112">SUM(AR7600:AW7600)</f>
        <v>816730</v>
      </c>
      <c r="AY7600" s="119"/>
      <c r="AZ7600" s="137">
        <v>46154</v>
      </c>
    </row>
    <row r="7601" spans="1:52" ht="17.100000000000001" customHeight="1" thickBot="1">
      <c r="A7601" s="110"/>
      <c r="B7601" s="27" t="s">
        <v>1718</v>
      </c>
      <c r="C7601" s="27" t="s">
        <v>21502</v>
      </c>
      <c r="D7601" s="14" t="s">
        <v>904</v>
      </c>
      <c r="E7601" s="112"/>
      <c r="F7601" s="139" t="s">
        <v>21503</v>
      </c>
      <c r="G7601" s="140"/>
      <c r="H7601" s="141"/>
      <c r="I7601" s="26">
        <v>51163</v>
      </c>
      <c r="J7601" s="117"/>
      <c r="K7601" s="120"/>
      <c r="L7601" s="121"/>
      <c r="M7601" s="120"/>
      <c r="N7601" s="121"/>
      <c r="O7601" s="120"/>
      <c r="P7601" s="121"/>
      <c r="Q7601" s="120"/>
      <c r="R7601" s="121"/>
      <c r="S7601" s="120"/>
      <c r="T7601" s="121"/>
      <c r="U7601" s="120"/>
      <c r="V7601" s="123"/>
      <c r="W7601" s="125"/>
      <c r="X7601" s="142" t="s">
        <v>22457</v>
      </c>
      <c r="Y7601" s="143"/>
      <c r="Z7601" s="143"/>
      <c r="AA7601" s="143"/>
      <c r="AB7601" s="144"/>
      <c r="AC7601" s="16" t="s">
        <v>21</v>
      </c>
      <c r="AD7601" s="17" t="s">
        <v>1825</v>
      </c>
      <c r="AE7601" s="145" t="s">
        <v>7849</v>
      </c>
      <c r="AF7601" s="146"/>
      <c r="AG7601" s="146"/>
      <c r="AH7601" s="146"/>
      <c r="AI7601" s="147"/>
      <c r="AJ7601" s="148"/>
      <c r="AK7601" s="143"/>
      <c r="AL7601" s="144"/>
      <c r="AM7601" s="22"/>
      <c r="AN7601" s="149" t="s">
        <v>25047</v>
      </c>
      <c r="AO7601" s="144"/>
      <c r="AP7601" s="148">
        <v>60163</v>
      </c>
      <c r="AQ7601" s="144"/>
      <c r="AR7601" s="120"/>
      <c r="AS7601" s="121"/>
      <c r="AT7601" s="120"/>
      <c r="AU7601" s="121"/>
      <c r="AV7601" s="120"/>
      <c r="AW7601" s="121"/>
      <c r="AX7601" s="120"/>
      <c r="AY7601" s="121"/>
      <c r="AZ7601" s="138"/>
    </row>
    <row r="7602" spans="1:52" ht="17.100000000000001" customHeight="1" thickTop="1">
      <c r="A7602" s="109" t="s">
        <v>21489</v>
      </c>
      <c r="B7602" s="28">
        <v>46108</v>
      </c>
      <c r="C7602" s="25"/>
      <c r="D7602" s="13" t="s">
        <v>2363</v>
      </c>
      <c r="E7602" s="111"/>
      <c r="F7602" s="113" t="s">
        <v>21545</v>
      </c>
      <c r="G7602" s="114"/>
      <c r="H7602" s="115"/>
      <c r="I7602" s="24" t="s">
        <v>21546</v>
      </c>
      <c r="J7602" s="116">
        <v>5</v>
      </c>
      <c r="K7602" s="118">
        <v>5210000</v>
      </c>
      <c r="L7602" s="119"/>
      <c r="M7602" s="118">
        <f t="shared" ref="M7602" si="11113">K7602*0.1</f>
        <v>521000</v>
      </c>
      <c r="N7602" s="119"/>
      <c r="O7602" s="118">
        <v>0</v>
      </c>
      <c r="P7602" s="119"/>
      <c r="Q7602" s="118">
        <v>14230</v>
      </c>
      <c r="R7602" s="119"/>
      <c r="S7602" s="118">
        <v>0</v>
      </c>
      <c r="T7602" s="119"/>
      <c r="U7602" s="118">
        <f t="shared" ref="U7602" si="11114">SUM(K7602:T7603)</f>
        <v>5745230</v>
      </c>
      <c r="V7602" s="122"/>
      <c r="W7602" s="124"/>
      <c r="X7602" s="126" t="s">
        <v>22598</v>
      </c>
      <c r="Y7602" s="127"/>
      <c r="Z7602" s="127"/>
      <c r="AA7602" s="127"/>
      <c r="AB7602" s="128"/>
      <c r="AC7602" s="15" t="s">
        <v>20</v>
      </c>
      <c r="AD7602" s="129" t="s">
        <v>3868</v>
      </c>
      <c r="AE7602" s="130"/>
      <c r="AF7602" s="130"/>
      <c r="AG7602" s="130"/>
      <c r="AH7602" s="130"/>
      <c r="AI7602" s="131"/>
      <c r="AJ7602" s="132"/>
      <c r="AK7602" s="127"/>
      <c r="AL7602" s="128"/>
      <c r="AM7602" s="21"/>
      <c r="AN7602" s="133">
        <v>46144</v>
      </c>
      <c r="AO7602" s="134"/>
      <c r="AP7602" s="135">
        <v>1299</v>
      </c>
      <c r="AQ7602" s="136"/>
      <c r="AR7602" s="118">
        <v>5280000</v>
      </c>
      <c r="AS7602" s="119"/>
      <c r="AT7602" s="118">
        <f t="shared" ref="AT7602" si="11115">AR7602*0.1</f>
        <v>528000</v>
      </c>
      <c r="AU7602" s="119"/>
      <c r="AV7602" s="118">
        <v>14230</v>
      </c>
      <c r="AW7602" s="119"/>
      <c r="AX7602" s="118">
        <f t="shared" ref="AX7602" si="11116">SUM(AR7602:AW7602)</f>
        <v>5822230</v>
      </c>
      <c r="AY7602" s="119"/>
      <c r="AZ7602" s="137">
        <v>46154</v>
      </c>
    </row>
    <row r="7603" spans="1:52" ht="17.100000000000001" customHeight="1" thickBot="1">
      <c r="A7603" s="110"/>
      <c r="B7603" s="27" t="s">
        <v>1718</v>
      </c>
      <c r="C7603" s="27" t="s">
        <v>21504</v>
      </c>
      <c r="D7603" s="14" t="s">
        <v>1592</v>
      </c>
      <c r="E7603" s="112"/>
      <c r="F7603" s="139" t="s">
        <v>21505</v>
      </c>
      <c r="G7603" s="140"/>
      <c r="H7603" s="141"/>
      <c r="I7603" s="26">
        <v>9684</v>
      </c>
      <c r="J7603" s="117"/>
      <c r="K7603" s="120"/>
      <c r="L7603" s="121"/>
      <c r="M7603" s="120"/>
      <c r="N7603" s="121"/>
      <c r="O7603" s="120"/>
      <c r="P7603" s="121"/>
      <c r="Q7603" s="120"/>
      <c r="R7603" s="121"/>
      <c r="S7603" s="120"/>
      <c r="T7603" s="121"/>
      <c r="U7603" s="120"/>
      <c r="V7603" s="123"/>
      <c r="W7603" s="125"/>
      <c r="X7603" s="142" t="s">
        <v>22599</v>
      </c>
      <c r="Y7603" s="143"/>
      <c r="Z7603" s="143"/>
      <c r="AA7603" s="143"/>
      <c r="AB7603" s="144"/>
      <c r="AC7603" s="16" t="s">
        <v>21</v>
      </c>
      <c r="AD7603" s="17" t="s">
        <v>22552</v>
      </c>
      <c r="AE7603" s="145" t="s">
        <v>22600</v>
      </c>
      <c r="AF7603" s="146"/>
      <c r="AG7603" s="146"/>
      <c r="AH7603" s="146"/>
      <c r="AI7603" s="147"/>
      <c r="AJ7603" s="148"/>
      <c r="AK7603" s="143"/>
      <c r="AL7603" s="144"/>
      <c r="AM7603" s="22"/>
      <c r="AN7603" s="149" t="s">
        <v>25047</v>
      </c>
      <c r="AO7603" s="144"/>
      <c r="AP7603" s="148">
        <v>31204</v>
      </c>
      <c r="AQ7603" s="144"/>
      <c r="AR7603" s="120"/>
      <c r="AS7603" s="121"/>
      <c r="AT7603" s="120"/>
      <c r="AU7603" s="121"/>
      <c r="AV7603" s="120"/>
      <c r="AW7603" s="121"/>
      <c r="AX7603" s="120"/>
      <c r="AY7603" s="121"/>
      <c r="AZ7603" s="138"/>
    </row>
    <row r="7604" spans="1:52" ht="17.100000000000001" customHeight="1" thickTop="1">
      <c r="A7604" s="109" t="s">
        <v>21506</v>
      </c>
      <c r="B7604" s="28">
        <v>46109</v>
      </c>
      <c r="C7604" s="25">
        <v>1294</v>
      </c>
      <c r="D7604" s="13" t="s">
        <v>1758</v>
      </c>
      <c r="E7604" s="111"/>
      <c r="F7604" s="113" t="s">
        <v>17163</v>
      </c>
      <c r="G7604" s="114"/>
      <c r="H7604" s="115"/>
      <c r="I7604" s="24" t="s">
        <v>21597</v>
      </c>
      <c r="J7604" s="116">
        <v>4</v>
      </c>
      <c r="K7604" s="118">
        <v>1115000</v>
      </c>
      <c r="L7604" s="119"/>
      <c r="M7604" s="118">
        <f t="shared" ref="M7604" si="11117">K7604*0.1</f>
        <v>111500</v>
      </c>
      <c r="N7604" s="119"/>
      <c r="O7604" s="118">
        <v>39500</v>
      </c>
      <c r="P7604" s="119"/>
      <c r="Q7604" s="118">
        <v>12030</v>
      </c>
      <c r="R7604" s="119"/>
      <c r="S7604" s="118">
        <v>12100</v>
      </c>
      <c r="T7604" s="119"/>
      <c r="U7604" s="118">
        <f t="shared" ref="U7604" si="11118">SUM(K7604:T7605)</f>
        <v>1290130</v>
      </c>
      <c r="V7604" s="122"/>
      <c r="W7604" s="124"/>
      <c r="X7604" s="126" t="s">
        <v>21598</v>
      </c>
      <c r="Y7604" s="127"/>
      <c r="Z7604" s="127"/>
      <c r="AA7604" s="127"/>
      <c r="AB7604" s="128"/>
      <c r="AC7604" s="15" t="s">
        <v>20</v>
      </c>
      <c r="AD7604" s="129" t="s">
        <v>21599</v>
      </c>
      <c r="AE7604" s="130"/>
      <c r="AF7604" s="130"/>
      <c r="AG7604" s="130"/>
      <c r="AH7604" s="130"/>
      <c r="AI7604" s="131"/>
      <c r="AJ7604" s="132"/>
      <c r="AK7604" s="127"/>
      <c r="AL7604" s="128"/>
      <c r="AM7604" s="21"/>
      <c r="AN7604" s="133">
        <v>46113</v>
      </c>
      <c r="AO7604" s="134"/>
      <c r="AP7604" s="135">
        <v>1011</v>
      </c>
      <c r="AQ7604" s="136"/>
      <c r="AR7604" s="118">
        <v>1250000</v>
      </c>
      <c r="AS7604" s="119"/>
      <c r="AT7604" s="118">
        <f t="shared" ref="AT7604" si="11119">AR7604*0.1</f>
        <v>125000</v>
      </c>
      <c r="AU7604" s="119"/>
      <c r="AV7604" s="118">
        <v>15030</v>
      </c>
      <c r="AW7604" s="119"/>
      <c r="AX7604" s="118">
        <f t="shared" ref="AX7604" si="11120">SUM(AR7604:AW7604)</f>
        <v>1390030</v>
      </c>
      <c r="AY7604" s="119"/>
      <c r="AZ7604" s="137">
        <v>46121</v>
      </c>
    </row>
    <row r="7605" spans="1:52" ht="17.100000000000001" customHeight="1" thickBot="1">
      <c r="A7605" s="110"/>
      <c r="B7605" s="27" t="s">
        <v>2511</v>
      </c>
      <c r="C7605" s="27">
        <v>35798</v>
      </c>
      <c r="D7605" s="14" t="s">
        <v>2601</v>
      </c>
      <c r="E7605" s="112"/>
      <c r="F7605" s="139" t="s">
        <v>21515</v>
      </c>
      <c r="G7605" s="140"/>
      <c r="H7605" s="141"/>
      <c r="I7605" s="26">
        <v>37879</v>
      </c>
      <c r="J7605" s="117"/>
      <c r="K7605" s="120"/>
      <c r="L7605" s="121"/>
      <c r="M7605" s="120"/>
      <c r="N7605" s="121"/>
      <c r="O7605" s="120"/>
      <c r="P7605" s="121"/>
      <c r="Q7605" s="120"/>
      <c r="R7605" s="121"/>
      <c r="S7605" s="120"/>
      <c r="T7605" s="121"/>
      <c r="U7605" s="120"/>
      <c r="V7605" s="123"/>
      <c r="W7605" s="125"/>
      <c r="X7605" s="142" t="s">
        <v>22238</v>
      </c>
      <c r="Y7605" s="143"/>
      <c r="Z7605" s="143"/>
      <c r="AA7605" s="143"/>
      <c r="AB7605" s="144"/>
      <c r="AC7605" s="16" t="s">
        <v>21</v>
      </c>
      <c r="AD7605" s="17" t="s">
        <v>1563</v>
      </c>
      <c r="AE7605" s="145" t="s">
        <v>22239</v>
      </c>
      <c r="AF7605" s="146"/>
      <c r="AG7605" s="146"/>
      <c r="AH7605" s="146"/>
      <c r="AI7605" s="147"/>
      <c r="AJ7605" s="148"/>
      <c r="AK7605" s="143"/>
      <c r="AL7605" s="144"/>
      <c r="AM7605" s="22"/>
      <c r="AN7605" s="149" t="s">
        <v>8809</v>
      </c>
      <c r="AO7605" s="144"/>
      <c r="AP7605" s="148">
        <v>5168</v>
      </c>
      <c r="AQ7605" s="144"/>
      <c r="AR7605" s="120"/>
      <c r="AS7605" s="121"/>
      <c r="AT7605" s="120"/>
      <c r="AU7605" s="121"/>
      <c r="AV7605" s="120"/>
      <c r="AW7605" s="121"/>
      <c r="AX7605" s="120"/>
      <c r="AY7605" s="121"/>
      <c r="AZ7605" s="138"/>
    </row>
    <row r="7606" spans="1:52" ht="17.100000000000001" customHeight="1" thickTop="1">
      <c r="A7606" s="109" t="s">
        <v>21507</v>
      </c>
      <c r="B7606" s="28">
        <v>46109</v>
      </c>
      <c r="C7606" s="25">
        <v>1294</v>
      </c>
      <c r="D7606" s="13" t="s">
        <v>3296</v>
      </c>
      <c r="E7606" s="111"/>
      <c r="F7606" s="113" t="s">
        <v>15969</v>
      </c>
      <c r="G7606" s="114"/>
      <c r="H7606" s="115"/>
      <c r="I7606" s="24" t="s">
        <v>10342</v>
      </c>
      <c r="J7606" s="116">
        <v>4</v>
      </c>
      <c r="K7606" s="118">
        <v>855000</v>
      </c>
      <c r="L7606" s="119"/>
      <c r="M7606" s="118">
        <f t="shared" ref="M7606" si="11121">K7606*0.1</f>
        <v>85500</v>
      </c>
      <c r="N7606" s="119"/>
      <c r="O7606" s="118">
        <v>39500</v>
      </c>
      <c r="P7606" s="119"/>
      <c r="Q7606" s="118">
        <v>11480</v>
      </c>
      <c r="R7606" s="119"/>
      <c r="S7606" s="118">
        <v>12100</v>
      </c>
      <c r="T7606" s="119"/>
      <c r="U7606" s="118">
        <f t="shared" ref="U7606" si="11122">SUM(K7606:T7607)</f>
        <v>1003580</v>
      </c>
      <c r="V7606" s="122"/>
      <c r="W7606" s="124"/>
      <c r="X7606" s="126" t="s">
        <v>22264</v>
      </c>
      <c r="Y7606" s="127"/>
      <c r="Z7606" s="127"/>
      <c r="AA7606" s="127"/>
      <c r="AB7606" s="128"/>
      <c r="AC7606" s="15" t="s">
        <v>20</v>
      </c>
      <c r="AD7606" s="129" t="s">
        <v>7231</v>
      </c>
      <c r="AE7606" s="130"/>
      <c r="AF7606" s="130"/>
      <c r="AG7606" s="130"/>
      <c r="AH7606" s="130"/>
      <c r="AI7606" s="131"/>
      <c r="AJ7606" s="132"/>
      <c r="AK7606" s="127"/>
      <c r="AL7606" s="128"/>
      <c r="AM7606" s="21"/>
      <c r="AN7606" s="133">
        <v>46120</v>
      </c>
      <c r="AO7606" s="134"/>
      <c r="AP7606" s="135">
        <v>1012</v>
      </c>
      <c r="AQ7606" s="136"/>
      <c r="AR7606" s="118">
        <v>890000</v>
      </c>
      <c r="AS7606" s="119"/>
      <c r="AT7606" s="118">
        <f t="shared" ref="AT7606" si="11123">AR7606*0.1</f>
        <v>89000</v>
      </c>
      <c r="AU7606" s="119"/>
      <c r="AV7606" s="118">
        <v>11480</v>
      </c>
      <c r="AW7606" s="119"/>
      <c r="AX7606" s="118">
        <f t="shared" ref="AX7606" si="11124">SUM(AR7606:AW7606)</f>
        <v>990480</v>
      </c>
      <c r="AY7606" s="119"/>
      <c r="AZ7606" s="137">
        <v>46125</v>
      </c>
    </row>
    <row r="7607" spans="1:52" ht="17.100000000000001" customHeight="1" thickBot="1">
      <c r="A7607" s="110"/>
      <c r="B7607" s="27" t="s">
        <v>2511</v>
      </c>
      <c r="C7607" s="27">
        <v>37885</v>
      </c>
      <c r="D7607" s="14" t="s">
        <v>904</v>
      </c>
      <c r="E7607" s="112"/>
      <c r="F7607" s="139" t="s">
        <v>21516</v>
      </c>
      <c r="G7607" s="140"/>
      <c r="H7607" s="141"/>
      <c r="I7607" s="26">
        <v>108832</v>
      </c>
      <c r="J7607" s="117"/>
      <c r="K7607" s="120"/>
      <c r="L7607" s="121"/>
      <c r="M7607" s="120"/>
      <c r="N7607" s="121"/>
      <c r="O7607" s="120"/>
      <c r="P7607" s="121"/>
      <c r="Q7607" s="120"/>
      <c r="R7607" s="121"/>
      <c r="S7607" s="120"/>
      <c r="T7607" s="121"/>
      <c r="U7607" s="120"/>
      <c r="V7607" s="123"/>
      <c r="W7607" s="125"/>
      <c r="X7607" s="142" t="s">
        <v>1997</v>
      </c>
      <c r="Y7607" s="143"/>
      <c r="Z7607" s="143"/>
      <c r="AA7607" s="143"/>
      <c r="AB7607" s="144"/>
      <c r="AC7607" s="16" t="s">
        <v>21</v>
      </c>
      <c r="AD7607" s="17" t="s">
        <v>1786</v>
      </c>
      <c r="AE7607" s="145" t="s">
        <v>22265</v>
      </c>
      <c r="AF7607" s="146"/>
      <c r="AG7607" s="146"/>
      <c r="AH7607" s="146"/>
      <c r="AI7607" s="147"/>
      <c r="AJ7607" s="148" t="s">
        <v>14444</v>
      </c>
      <c r="AK7607" s="143"/>
      <c r="AL7607" s="144"/>
      <c r="AM7607" s="22"/>
      <c r="AN7607" s="149" t="s">
        <v>2794</v>
      </c>
      <c r="AO7607" s="144"/>
      <c r="AP7607" s="148">
        <v>6038</v>
      </c>
      <c r="AQ7607" s="144"/>
      <c r="AR7607" s="120"/>
      <c r="AS7607" s="121"/>
      <c r="AT7607" s="120"/>
      <c r="AU7607" s="121"/>
      <c r="AV7607" s="120"/>
      <c r="AW7607" s="121"/>
      <c r="AX7607" s="120"/>
      <c r="AY7607" s="121"/>
      <c r="AZ7607" s="138"/>
    </row>
    <row r="7608" spans="1:52" ht="17.100000000000001" customHeight="1" thickTop="1">
      <c r="A7608" s="109" t="s">
        <v>21508</v>
      </c>
      <c r="B7608" s="28">
        <v>46109</v>
      </c>
      <c r="C7608" s="25">
        <v>1294</v>
      </c>
      <c r="D7608" s="13" t="s">
        <v>4037</v>
      </c>
      <c r="E7608" s="111"/>
      <c r="F7608" s="113" t="s">
        <v>15976</v>
      </c>
      <c r="G7608" s="114"/>
      <c r="H7608" s="115"/>
      <c r="I7608" s="24" t="s">
        <v>4487</v>
      </c>
      <c r="J7608" s="150" t="s">
        <v>4203</v>
      </c>
      <c r="K7608" s="118">
        <v>1190000</v>
      </c>
      <c r="L7608" s="119"/>
      <c r="M7608" s="118">
        <f t="shared" ref="M7608" si="11125">K7608*0.1</f>
        <v>119000</v>
      </c>
      <c r="N7608" s="119"/>
      <c r="O7608" s="118">
        <v>5000</v>
      </c>
      <c r="P7608" s="119"/>
      <c r="Q7608" s="118">
        <v>8200</v>
      </c>
      <c r="R7608" s="119"/>
      <c r="S7608" s="118">
        <v>9900</v>
      </c>
      <c r="T7608" s="119"/>
      <c r="U7608" s="118">
        <f t="shared" ref="U7608" si="11126">SUM(K7608:T7609)</f>
        <v>1332100</v>
      </c>
      <c r="V7608" s="122"/>
      <c r="W7608" s="124"/>
      <c r="X7608" s="126" t="s">
        <v>22260</v>
      </c>
      <c r="Y7608" s="127"/>
      <c r="Z7608" s="127"/>
      <c r="AA7608" s="127"/>
      <c r="AB7608" s="128"/>
      <c r="AC7608" s="15" t="s">
        <v>20</v>
      </c>
      <c r="AD7608" s="129" t="s">
        <v>17325</v>
      </c>
      <c r="AE7608" s="130"/>
      <c r="AF7608" s="130"/>
      <c r="AG7608" s="130"/>
      <c r="AH7608" s="130"/>
      <c r="AI7608" s="131"/>
      <c r="AJ7608" s="132"/>
      <c r="AK7608" s="127"/>
      <c r="AL7608" s="128"/>
      <c r="AM7608" s="21" t="s">
        <v>23810</v>
      </c>
      <c r="AN7608" s="133">
        <v>46141</v>
      </c>
      <c r="AO7608" s="134"/>
      <c r="AP7608" s="135">
        <v>1015</v>
      </c>
      <c r="AQ7608" s="136"/>
      <c r="AR7608" s="118">
        <v>1230000</v>
      </c>
      <c r="AS7608" s="119"/>
      <c r="AT7608" s="118">
        <f t="shared" ref="AT7608" si="11127">AR7608*0.1</f>
        <v>123000</v>
      </c>
      <c r="AU7608" s="119"/>
      <c r="AV7608" s="118">
        <v>8200</v>
      </c>
      <c r="AW7608" s="119"/>
      <c r="AX7608" s="118">
        <f t="shared" ref="AX7608" si="11128">SUM(AR7608:AW7608)</f>
        <v>1361200</v>
      </c>
      <c r="AY7608" s="119"/>
      <c r="AZ7608" s="137">
        <v>46153</v>
      </c>
    </row>
    <row r="7609" spans="1:52" ht="17.100000000000001" customHeight="1" thickBot="1">
      <c r="A7609" s="110"/>
      <c r="B7609" s="27" t="s">
        <v>2511</v>
      </c>
      <c r="C7609" s="27">
        <v>60453</v>
      </c>
      <c r="D7609" s="14" t="s">
        <v>1720</v>
      </c>
      <c r="E7609" s="112"/>
      <c r="F7609" s="139" t="s">
        <v>21517</v>
      </c>
      <c r="G7609" s="140"/>
      <c r="H7609" s="141"/>
      <c r="I7609" s="26">
        <v>407</v>
      </c>
      <c r="J7609" s="117"/>
      <c r="K7609" s="120"/>
      <c r="L7609" s="121"/>
      <c r="M7609" s="120"/>
      <c r="N7609" s="121"/>
      <c r="O7609" s="120"/>
      <c r="P7609" s="121"/>
      <c r="Q7609" s="120"/>
      <c r="R7609" s="121"/>
      <c r="S7609" s="120"/>
      <c r="T7609" s="121"/>
      <c r="U7609" s="120"/>
      <c r="V7609" s="123"/>
      <c r="W7609" s="125"/>
      <c r="X7609" s="142" t="s">
        <v>22261</v>
      </c>
      <c r="Y7609" s="143"/>
      <c r="Z7609" s="143"/>
      <c r="AA7609" s="143"/>
      <c r="AB7609" s="144"/>
      <c r="AC7609" s="16" t="s">
        <v>21</v>
      </c>
      <c r="AD7609" s="17" t="s">
        <v>1786</v>
      </c>
      <c r="AE7609" s="145" t="s">
        <v>5325</v>
      </c>
      <c r="AF7609" s="146"/>
      <c r="AG7609" s="146"/>
      <c r="AH7609" s="146"/>
      <c r="AI7609" s="147"/>
      <c r="AJ7609" s="148"/>
      <c r="AK7609" s="143"/>
      <c r="AL7609" s="144"/>
      <c r="AM7609" s="22"/>
      <c r="AN7609" s="149" t="s">
        <v>2794</v>
      </c>
      <c r="AO7609" s="144"/>
      <c r="AP7609" s="148">
        <v>2006</v>
      </c>
      <c r="AQ7609" s="144"/>
      <c r="AR7609" s="120"/>
      <c r="AS7609" s="121"/>
      <c r="AT7609" s="120"/>
      <c r="AU7609" s="121"/>
      <c r="AV7609" s="120"/>
      <c r="AW7609" s="121"/>
      <c r="AX7609" s="120"/>
      <c r="AY7609" s="121"/>
      <c r="AZ7609" s="138"/>
    </row>
    <row r="7610" spans="1:52" ht="17.100000000000001" customHeight="1" thickTop="1">
      <c r="A7610" s="109" t="s">
        <v>21509</v>
      </c>
      <c r="B7610" s="28">
        <v>46109</v>
      </c>
      <c r="C7610" s="25">
        <v>1294</v>
      </c>
      <c r="D7610" s="13" t="s">
        <v>2009</v>
      </c>
      <c r="E7610" s="111"/>
      <c r="F7610" s="113" t="s">
        <v>17835</v>
      </c>
      <c r="G7610" s="114"/>
      <c r="H7610" s="115"/>
      <c r="I7610" s="24" t="s">
        <v>21600</v>
      </c>
      <c r="J7610" s="116">
        <v>4.5</v>
      </c>
      <c r="K7610" s="118">
        <v>1045000</v>
      </c>
      <c r="L7610" s="119"/>
      <c r="M7610" s="118">
        <v>0</v>
      </c>
      <c r="N7610" s="119"/>
      <c r="O7610" s="118">
        <v>10800</v>
      </c>
      <c r="P7610" s="119"/>
      <c r="Q7610" s="118">
        <v>8630</v>
      </c>
      <c r="R7610" s="119"/>
      <c r="S7610" s="118">
        <v>12100</v>
      </c>
      <c r="T7610" s="119"/>
      <c r="U7610" s="118">
        <f t="shared" ref="U7610" si="11129">SUM(K7610:T7611)</f>
        <v>1076530</v>
      </c>
      <c r="V7610" s="122"/>
      <c r="W7610" s="124"/>
      <c r="X7610" s="126" t="s">
        <v>22262</v>
      </c>
      <c r="Y7610" s="127"/>
      <c r="Z7610" s="127"/>
      <c r="AA7610" s="127"/>
      <c r="AB7610" s="128"/>
      <c r="AC7610" s="15" t="s">
        <v>20</v>
      </c>
      <c r="AD7610" s="129" t="s">
        <v>21601</v>
      </c>
      <c r="AE7610" s="130"/>
      <c r="AF7610" s="130"/>
      <c r="AG7610" s="130"/>
      <c r="AH7610" s="130"/>
      <c r="AI7610" s="131"/>
      <c r="AJ7610" s="132" t="s">
        <v>23207</v>
      </c>
      <c r="AK7610" s="127"/>
      <c r="AL7610" s="128"/>
      <c r="AM7610" s="21" t="s">
        <v>23361</v>
      </c>
      <c r="AN7610" s="133">
        <v>46127</v>
      </c>
      <c r="AO7610" s="134"/>
      <c r="AP7610" s="135">
        <v>1013</v>
      </c>
      <c r="AQ7610" s="136"/>
      <c r="AR7610" s="118">
        <v>1070000</v>
      </c>
      <c r="AS7610" s="119"/>
      <c r="AT7610" s="118">
        <f t="shared" ref="AT7610" si="11130">AR7610*0.1</f>
        <v>107000</v>
      </c>
      <c r="AU7610" s="119"/>
      <c r="AV7610" s="118">
        <v>8630</v>
      </c>
      <c r="AW7610" s="119"/>
      <c r="AX7610" s="118">
        <f t="shared" ref="AX7610" si="11131">SUM(AR7610:AW7610)</f>
        <v>1185630</v>
      </c>
      <c r="AY7610" s="119"/>
      <c r="AZ7610" s="137">
        <v>46133</v>
      </c>
    </row>
    <row r="7611" spans="1:52" ht="17.100000000000001" customHeight="1" thickBot="1">
      <c r="A7611" s="110"/>
      <c r="B7611" s="27" t="s">
        <v>2511</v>
      </c>
      <c r="C7611" s="27">
        <v>65036</v>
      </c>
      <c r="D7611" s="14" t="s">
        <v>1592</v>
      </c>
      <c r="E7611" s="112"/>
      <c r="F7611" s="139" t="s">
        <v>21518</v>
      </c>
      <c r="G7611" s="140"/>
      <c r="H7611" s="141"/>
      <c r="I7611" s="26">
        <v>23470</v>
      </c>
      <c r="J7611" s="117"/>
      <c r="K7611" s="120"/>
      <c r="L7611" s="121"/>
      <c r="M7611" s="120"/>
      <c r="N7611" s="121"/>
      <c r="O7611" s="120"/>
      <c r="P7611" s="121"/>
      <c r="Q7611" s="120"/>
      <c r="R7611" s="121"/>
      <c r="S7611" s="120"/>
      <c r="T7611" s="121"/>
      <c r="U7611" s="120"/>
      <c r="V7611" s="123"/>
      <c r="W7611" s="125"/>
      <c r="X7611" s="142" t="s">
        <v>3884</v>
      </c>
      <c r="Y7611" s="143"/>
      <c r="Z7611" s="143"/>
      <c r="AA7611" s="143"/>
      <c r="AB7611" s="144"/>
      <c r="AC7611" s="16" t="s">
        <v>21</v>
      </c>
      <c r="AD7611" s="17" t="s">
        <v>1786</v>
      </c>
      <c r="AE7611" s="145" t="s">
        <v>22263</v>
      </c>
      <c r="AF7611" s="146"/>
      <c r="AG7611" s="146"/>
      <c r="AH7611" s="146"/>
      <c r="AI7611" s="147"/>
      <c r="AJ7611" s="148"/>
      <c r="AK7611" s="143"/>
      <c r="AL7611" s="144"/>
      <c r="AM7611" s="22"/>
      <c r="AN7611" s="149" t="s">
        <v>2794</v>
      </c>
      <c r="AO7611" s="144"/>
      <c r="AP7611" s="148">
        <v>2025</v>
      </c>
      <c r="AQ7611" s="144"/>
      <c r="AR7611" s="120"/>
      <c r="AS7611" s="121"/>
      <c r="AT7611" s="120"/>
      <c r="AU7611" s="121"/>
      <c r="AV7611" s="120"/>
      <c r="AW7611" s="121"/>
      <c r="AX7611" s="120"/>
      <c r="AY7611" s="121"/>
      <c r="AZ7611" s="138"/>
    </row>
    <row r="7612" spans="1:52" ht="17.100000000000001" customHeight="1" thickTop="1">
      <c r="A7612" s="109" t="s">
        <v>21510</v>
      </c>
      <c r="B7612" s="28">
        <v>46109</v>
      </c>
      <c r="C7612" s="25">
        <v>1294</v>
      </c>
      <c r="D7612" s="13" t="s">
        <v>2135</v>
      </c>
      <c r="E7612" s="111"/>
      <c r="F7612" s="113" t="s">
        <v>18509</v>
      </c>
      <c r="G7612" s="114"/>
      <c r="H7612" s="115"/>
      <c r="I7612" s="24" t="s">
        <v>4193</v>
      </c>
      <c r="J7612" s="116">
        <v>4</v>
      </c>
      <c r="K7612" s="118">
        <v>1385000</v>
      </c>
      <c r="L7612" s="119"/>
      <c r="M7612" s="118">
        <f t="shared" ref="M7612" si="11132">K7612*0.1</f>
        <v>138500</v>
      </c>
      <c r="N7612" s="119"/>
      <c r="O7612" s="118">
        <v>34500</v>
      </c>
      <c r="P7612" s="119"/>
      <c r="Q7612" s="118">
        <v>12430</v>
      </c>
      <c r="R7612" s="119"/>
      <c r="S7612" s="118">
        <v>16500</v>
      </c>
      <c r="T7612" s="119"/>
      <c r="U7612" s="118">
        <f t="shared" ref="U7612" si="11133">SUM(K7612:T7613)</f>
        <v>1586930</v>
      </c>
      <c r="V7612" s="122"/>
      <c r="W7612" s="124"/>
      <c r="X7612" s="126" t="s">
        <v>21603</v>
      </c>
      <c r="Y7612" s="127"/>
      <c r="Z7612" s="127"/>
      <c r="AA7612" s="127"/>
      <c r="AB7612" s="128"/>
      <c r="AC7612" s="15" t="s">
        <v>20</v>
      </c>
      <c r="AD7612" s="129" t="s">
        <v>15223</v>
      </c>
      <c r="AE7612" s="130"/>
      <c r="AF7612" s="130"/>
      <c r="AG7612" s="130"/>
      <c r="AH7612" s="130"/>
      <c r="AI7612" s="131"/>
      <c r="AJ7612" s="132"/>
      <c r="AK7612" s="127"/>
      <c r="AL7612" s="128"/>
      <c r="AM7612" s="21"/>
      <c r="AN7612" s="133">
        <v>46141</v>
      </c>
      <c r="AO7612" s="134"/>
      <c r="AP7612" s="135">
        <v>1015</v>
      </c>
      <c r="AQ7612" s="136"/>
      <c r="AR7612" s="118">
        <v>1590000</v>
      </c>
      <c r="AS7612" s="119"/>
      <c r="AT7612" s="118">
        <f t="shared" ref="AT7612" si="11134">AR7612*0.1</f>
        <v>159000</v>
      </c>
      <c r="AU7612" s="119"/>
      <c r="AV7612" s="118">
        <v>12430</v>
      </c>
      <c r="AW7612" s="119"/>
      <c r="AX7612" s="118">
        <f t="shared" ref="AX7612" si="11135">SUM(AR7612:AW7612)</f>
        <v>1761430</v>
      </c>
      <c r="AY7612" s="119"/>
      <c r="AZ7612" s="137">
        <v>46153</v>
      </c>
    </row>
    <row r="7613" spans="1:52" ht="17.100000000000001" customHeight="1" thickBot="1">
      <c r="A7613" s="110"/>
      <c r="B7613" s="27" t="s">
        <v>2511</v>
      </c>
      <c r="C7613" s="27">
        <v>82526</v>
      </c>
      <c r="D7613" s="14" t="s">
        <v>275</v>
      </c>
      <c r="E7613" s="112"/>
      <c r="F7613" s="139" t="s">
        <v>21602</v>
      </c>
      <c r="G7613" s="140"/>
      <c r="H7613" s="141"/>
      <c r="I7613" s="26">
        <v>42783</v>
      </c>
      <c r="J7613" s="117"/>
      <c r="K7613" s="120"/>
      <c r="L7613" s="121"/>
      <c r="M7613" s="120"/>
      <c r="N7613" s="121"/>
      <c r="O7613" s="120"/>
      <c r="P7613" s="121"/>
      <c r="Q7613" s="120"/>
      <c r="R7613" s="121"/>
      <c r="S7613" s="120"/>
      <c r="T7613" s="121"/>
      <c r="U7613" s="120"/>
      <c r="V7613" s="123"/>
      <c r="W7613" s="125"/>
      <c r="X7613" s="142" t="s">
        <v>12698</v>
      </c>
      <c r="Y7613" s="143"/>
      <c r="Z7613" s="143"/>
      <c r="AA7613" s="143"/>
      <c r="AB7613" s="144"/>
      <c r="AC7613" s="16" t="s">
        <v>21</v>
      </c>
      <c r="AD7613" s="17" t="s">
        <v>1563</v>
      </c>
      <c r="AE7613" s="145" t="s">
        <v>22241</v>
      </c>
      <c r="AF7613" s="146"/>
      <c r="AG7613" s="146"/>
      <c r="AH7613" s="146"/>
      <c r="AI7613" s="147"/>
      <c r="AJ7613" s="148" t="s">
        <v>4459</v>
      </c>
      <c r="AK7613" s="143"/>
      <c r="AL7613" s="144"/>
      <c r="AM7613" s="22"/>
      <c r="AN7613" s="149" t="s">
        <v>2794</v>
      </c>
      <c r="AO7613" s="144"/>
      <c r="AP7613" s="148">
        <v>6066</v>
      </c>
      <c r="AQ7613" s="144"/>
      <c r="AR7613" s="120"/>
      <c r="AS7613" s="121"/>
      <c r="AT7613" s="120"/>
      <c r="AU7613" s="121"/>
      <c r="AV7613" s="120"/>
      <c r="AW7613" s="121"/>
      <c r="AX7613" s="120"/>
      <c r="AY7613" s="121"/>
      <c r="AZ7613" s="138"/>
    </row>
    <row r="7614" spans="1:52" ht="17.100000000000001" customHeight="1" thickTop="1">
      <c r="A7614" s="109" t="s">
        <v>21511</v>
      </c>
      <c r="B7614" s="28">
        <v>46109</v>
      </c>
      <c r="C7614" s="25">
        <v>1294</v>
      </c>
      <c r="D7614" s="13" t="s">
        <v>2859</v>
      </c>
      <c r="E7614" s="111"/>
      <c r="F7614" s="113" t="s">
        <v>21519</v>
      </c>
      <c r="G7614" s="114"/>
      <c r="H7614" s="115"/>
      <c r="I7614" s="24" t="s">
        <v>17512</v>
      </c>
      <c r="J7614" s="116">
        <v>4.5</v>
      </c>
      <c r="K7614" s="118">
        <v>915000</v>
      </c>
      <c r="L7614" s="119"/>
      <c r="M7614" s="118">
        <f t="shared" ref="M7614" si="11136">K7614*0.1</f>
        <v>91500</v>
      </c>
      <c r="N7614" s="119"/>
      <c r="O7614" s="118">
        <v>34500</v>
      </c>
      <c r="P7614" s="119"/>
      <c r="Q7614" s="118">
        <v>16580</v>
      </c>
      <c r="R7614" s="119"/>
      <c r="S7614" s="118">
        <v>16500</v>
      </c>
      <c r="T7614" s="119"/>
      <c r="U7614" s="118">
        <f t="shared" ref="U7614" si="11137">SUM(K7614:T7615)</f>
        <v>1074080</v>
      </c>
      <c r="V7614" s="122"/>
      <c r="W7614" s="124"/>
      <c r="X7614" s="126" t="s">
        <v>21605</v>
      </c>
      <c r="Y7614" s="127"/>
      <c r="Z7614" s="127"/>
      <c r="AA7614" s="127"/>
      <c r="AB7614" s="128"/>
      <c r="AC7614" s="15" t="s">
        <v>20</v>
      </c>
      <c r="AD7614" s="129" t="s">
        <v>186</v>
      </c>
      <c r="AE7614" s="130"/>
      <c r="AF7614" s="130"/>
      <c r="AG7614" s="130"/>
      <c r="AH7614" s="130"/>
      <c r="AI7614" s="131"/>
      <c r="AJ7614" s="132"/>
      <c r="AK7614" s="127"/>
      <c r="AL7614" s="128"/>
      <c r="AM7614" s="21" t="s">
        <v>22954</v>
      </c>
      <c r="AN7614" s="133"/>
      <c r="AO7614" s="134"/>
      <c r="AP7614" s="135"/>
      <c r="AQ7614" s="136"/>
      <c r="AR7614" s="118"/>
      <c r="AS7614" s="119"/>
      <c r="AT7614" s="118">
        <f t="shared" ref="AT7614" si="11138">AR7614*0.1</f>
        <v>0</v>
      </c>
      <c r="AU7614" s="119"/>
      <c r="AV7614" s="118"/>
      <c r="AW7614" s="119"/>
      <c r="AX7614" s="118">
        <f t="shared" ref="AX7614" si="11139">SUM(AR7614:AW7614)</f>
        <v>0</v>
      </c>
      <c r="AY7614" s="119"/>
      <c r="AZ7614" s="137"/>
    </row>
    <row r="7615" spans="1:52" ht="17.100000000000001" customHeight="1" thickBot="1">
      <c r="A7615" s="110"/>
      <c r="B7615" s="27" t="s">
        <v>2511</v>
      </c>
      <c r="C7615" s="27">
        <v>82570</v>
      </c>
      <c r="D7615" s="14" t="s">
        <v>904</v>
      </c>
      <c r="E7615" s="112"/>
      <c r="F7615" s="139" t="s">
        <v>21604</v>
      </c>
      <c r="G7615" s="140"/>
      <c r="H7615" s="141"/>
      <c r="I7615" s="26">
        <v>49967</v>
      </c>
      <c r="J7615" s="117"/>
      <c r="K7615" s="120"/>
      <c r="L7615" s="121"/>
      <c r="M7615" s="120"/>
      <c r="N7615" s="121"/>
      <c r="O7615" s="120"/>
      <c r="P7615" s="121"/>
      <c r="Q7615" s="120"/>
      <c r="R7615" s="121"/>
      <c r="S7615" s="120"/>
      <c r="T7615" s="121"/>
      <c r="U7615" s="120"/>
      <c r="V7615" s="123"/>
      <c r="W7615" s="125"/>
      <c r="X7615" s="142" t="s">
        <v>22244</v>
      </c>
      <c r="Y7615" s="143"/>
      <c r="Z7615" s="143"/>
      <c r="AA7615" s="143"/>
      <c r="AB7615" s="144"/>
      <c r="AC7615" s="16" t="s">
        <v>21</v>
      </c>
      <c r="AD7615" s="17" t="s">
        <v>1563</v>
      </c>
      <c r="AE7615" s="145" t="s">
        <v>5083</v>
      </c>
      <c r="AF7615" s="146"/>
      <c r="AG7615" s="146"/>
      <c r="AH7615" s="146"/>
      <c r="AI7615" s="147"/>
      <c r="AJ7615" s="148"/>
      <c r="AK7615" s="143"/>
      <c r="AL7615" s="144"/>
      <c r="AM7615" s="22"/>
      <c r="AN7615" s="149"/>
      <c r="AO7615" s="144"/>
      <c r="AP7615" s="148"/>
      <c r="AQ7615" s="144"/>
      <c r="AR7615" s="120"/>
      <c r="AS7615" s="121"/>
      <c r="AT7615" s="120"/>
      <c r="AU7615" s="121"/>
      <c r="AV7615" s="120"/>
      <c r="AW7615" s="121"/>
      <c r="AX7615" s="120"/>
      <c r="AY7615" s="121"/>
      <c r="AZ7615" s="138"/>
    </row>
    <row r="7616" spans="1:52" ht="17.100000000000001" customHeight="1" thickTop="1">
      <c r="A7616" s="151" t="s">
        <v>21512</v>
      </c>
      <c r="B7616" s="28">
        <v>46109</v>
      </c>
      <c r="C7616" s="25">
        <v>1294</v>
      </c>
      <c r="D7616" s="13" t="s">
        <v>3921</v>
      </c>
      <c r="E7616" s="111"/>
      <c r="F7616" s="113" t="s">
        <v>21607</v>
      </c>
      <c r="G7616" s="114"/>
      <c r="H7616" s="115"/>
      <c r="I7616" s="24" t="s">
        <v>21608</v>
      </c>
      <c r="J7616" s="116">
        <v>4.5</v>
      </c>
      <c r="K7616" s="118">
        <v>2770000</v>
      </c>
      <c r="L7616" s="119"/>
      <c r="M7616" s="118">
        <f t="shared" ref="M7616" si="11140">K7616*0.1</f>
        <v>277000</v>
      </c>
      <c r="N7616" s="119"/>
      <c r="O7616" s="118">
        <v>34500</v>
      </c>
      <c r="P7616" s="119"/>
      <c r="Q7616" s="118">
        <v>11740</v>
      </c>
      <c r="R7616" s="119"/>
      <c r="S7616" s="118">
        <v>16500</v>
      </c>
      <c r="T7616" s="119"/>
      <c r="U7616" s="118">
        <f t="shared" ref="U7616" si="11141">SUM(K7616:T7617)</f>
        <v>3109740</v>
      </c>
      <c r="V7616" s="122"/>
      <c r="W7616" s="124"/>
      <c r="X7616" s="126" t="s">
        <v>21609</v>
      </c>
      <c r="Y7616" s="127"/>
      <c r="Z7616" s="127"/>
      <c r="AA7616" s="127"/>
      <c r="AB7616" s="128"/>
      <c r="AC7616" s="15" t="s">
        <v>20</v>
      </c>
      <c r="AD7616" s="129"/>
      <c r="AE7616" s="130"/>
      <c r="AF7616" s="130"/>
      <c r="AG7616" s="130"/>
      <c r="AH7616" s="130"/>
      <c r="AI7616" s="131"/>
      <c r="AJ7616" s="132" t="s">
        <v>22442</v>
      </c>
      <c r="AK7616" s="127"/>
      <c r="AL7616" s="128"/>
      <c r="AM7616" s="21"/>
      <c r="AN7616" s="133"/>
      <c r="AO7616" s="134"/>
      <c r="AP7616" s="135"/>
      <c r="AQ7616" s="136"/>
      <c r="AR7616" s="118"/>
      <c r="AS7616" s="119"/>
      <c r="AT7616" s="118">
        <f t="shared" ref="AT7616" si="11142">AR7616*0.1</f>
        <v>0</v>
      </c>
      <c r="AU7616" s="119"/>
      <c r="AV7616" s="118"/>
      <c r="AW7616" s="119"/>
      <c r="AX7616" s="118">
        <f t="shared" ref="AX7616" si="11143">SUM(AR7616:AW7616)</f>
        <v>0</v>
      </c>
      <c r="AY7616" s="119"/>
      <c r="AZ7616" s="137"/>
    </row>
    <row r="7617" spans="1:52" ht="17.100000000000001" customHeight="1" thickBot="1">
      <c r="A7617" s="152"/>
      <c r="B7617" s="27" t="s">
        <v>2511</v>
      </c>
      <c r="C7617" s="27">
        <v>82739</v>
      </c>
      <c r="D7617" s="14" t="s">
        <v>133</v>
      </c>
      <c r="E7617" s="112"/>
      <c r="F7617" s="139" t="s">
        <v>21606</v>
      </c>
      <c r="G7617" s="140"/>
      <c r="H7617" s="141"/>
      <c r="I7617" s="26">
        <v>34000</v>
      </c>
      <c r="J7617" s="117"/>
      <c r="K7617" s="120"/>
      <c r="L7617" s="121"/>
      <c r="M7617" s="120"/>
      <c r="N7617" s="121"/>
      <c r="O7617" s="120"/>
      <c r="P7617" s="121"/>
      <c r="Q7617" s="120"/>
      <c r="R7617" s="121"/>
      <c r="S7617" s="120"/>
      <c r="T7617" s="121"/>
      <c r="U7617" s="120"/>
      <c r="V7617" s="123"/>
      <c r="W7617" s="125"/>
      <c r="X7617" s="142" t="s">
        <v>22242</v>
      </c>
      <c r="Y7617" s="143"/>
      <c r="Z7617" s="143"/>
      <c r="AA7617" s="143"/>
      <c r="AB7617" s="144"/>
      <c r="AC7617" s="16" t="s">
        <v>21</v>
      </c>
      <c r="AD7617" s="17" t="s">
        <v>1563</v>
      </c>
      <c r="AE7617" s="145" t="s">
        <v>22243</v>
      </c>
      <c r="AF7617" s="146"/>
      <c r="AG7617" s="146"/>
      <c r="AH7617" s="146"/>
      <c r="AI7617" s="147"/>
      <c r="AJ7617" s="148"/>
      <c r="AK7617" s="143"/>
      <c r="AL7617" s="144"/>
      <c r="AM7617" s="22"/>
      <c r="AN7617" s="149"/>
      <c r="AO7617" s="144"/>
      <c r="AP7617" s="148"/>
      <c r="AQ7617" s="144"/>
      <c r="AR7617" s="120"/>
      <c r="AS7617" s="121"/>
      <c r="AT7617" s="120"/>
      <c r="AU7617" s="121"/>
      <c r="AV7617" s="120"/>
      <c r="AW7617" s="121"/>
      <c r="AX7617" s="120"/>
      <c r="AY7617" s="121"/>
      <c r="AZ7617" s="138"/>
    </row>
    <row r="7618" spans="1:52" ht="17.100000000000001" customHeight="1" thickTop="1">
      <c r="A7618" s="109" t="s">
        <v>21513</v>
      </c>
      <c r="B7618" s="28">
        <v>46109</v>
      </c>
      <c r="C7618" s="25">
        <v>1294</v>
      </c>
      <c r="D7618" s="13" t="s">
        <v>2329</v>
      </c>
      <c r="E7618" s="111"/>
      <c r="F7618" s="113" t="s">
        <v>21445</v>
      </c>
      <c r="G7618" s="114"/>
      <c r="H7618" s="115"/>
      <c r="I7618" s="24" t="s">
        <v>5100</v>
      </c>
      <c r="J7618" s="116">
        <v>4.5</v>
      </c>
      <c r="K7618" s="118">
        <v>1450000</v>
      </c>
      <c r="L7618" s="119"/>
      <c r="M7618" s="118">
        <f t="shared" ref="M7618" si="11144">K7618*0.1</f>
        <v>145000</v>
      </c>
      <c r="N7618" s="119"/>
      <c r="O7618" s="118">
        <v>36000</v>
      </c>
      <c r="P7618" s="119"/>
      <c r="Q7618" s="118">
        <v>19090</v>
      </c>
      <c r="R7618" s="119"/>
      <c r="S7618" s="118">
        <v>23100</v>
      </c>
      <c r="T7618" s="119"/>
      <c r="U7618" s="118">
        <f t="shared" ref="U7618" si="11145">SUM(K7618:T7619)</f>
        <v>1673190</v>
      </c>
      <c r="V7618" s="122"/>
      <c r="W7618" s="124"/>
      <c r="X7618" s="126" t="s">
        <v>21611</v>
      </c>
      <c r="Y7618" s="127"/>
      <c r="Z7618" s="127"/>
      <c r="AA7618" s="127"/>
      <c r="AB7618" s="128"/>
      <c r="AC7618" s="15" t="s">
        <v>20</v>
      </c>
      <c r="AD7618" s="129" t="s">
        <v>3828</v>
      </c>
      <c r="AE7618" s="130"/>
      <c r="AF7618" s="130"/>
      <c r="AG7618" s="130"/>
      <c r="AH7618" s="130"/>
      <c r="AI7618" s="131"/>
      <c r="AJ7618" s="132"/>
      <c r="AK7618" s="127"/>
      <c r="AL7618" s="128"/>
      <c r="AM7618" s="21"/>
      <c r="AN7618" s="133">
        <v>46121</v>
      </c>
      <c r="AO7618" s="134"/>
      <c r="AP7618" s="135">
        <v>1326</v>
      </c>
      <c r="AQ7618" s="136"/>
      <c r="AR7618" s="118">
        <v>1670000</v>
      </c>
      <c r="AS7618" s="119"/>
      <c r="AT7618" s="118">
        <f t="shared" ref="AT7618" si="11146">AR7618*0.1</f>
        <v>167000</v>
      </c>
      <c r="AU7618" s="119"/>
      <c r="AV7618" s="118">
        <v>19090</v>
      </c>
      <c r="AW7618" s="119"/>
      <c r="AX7618" s="118">
        <f t="shared" ref="AX7618" si="11147">SUM(AR7618:AW7618)</f>
        <v>1856090</v>
      </c>
      <c r="AY7618" s="119"/>
      <c r="AZ7618" s="137">
        <v>46122</v>
      </c>
    </row>
    <row r="7619" spans="1:52" ht="17.100000000000001" customHeight="1" thickBot="1">
      <c r="A7619" s="110"/>
      <c r="B7619" s="27" t="s">
        <v>2511</v>
      </c>
      <c r="C7619" s="27">
        <v>85016</v>
      </c>
      <c r="D7619" s="14" t="s">
        <v>1700</v>
      </c>
      <c r="E7619" s="112"/>
      <c r="F7619" s="139" t="s">
        <v>21610</v>
      </c>
      <c r="G7619" s="140"/>
      <c r="H7619" s="141"/>
      <c r="I7619" s="26">
        <v>23309</v>
      </c>
      <c r="J7619" s="117"/>
      <c r="K7619" s="120"/>
      <c r="L7619" s="121"/>
      <c r="M7619" s="120"/>
      <c r="N7619" s="121"/>
      <c r="O7619" s="120"/>
      <c r="P7619" s="121"/>
      <c r="Q7619" s="120"/>
      <c r="R7619" s="121"/>
      <c r="S7619" s="120"/>
      <c r="T7619" s="121"/>
      <c r="U7619" s="120"/>
      <c r="V7619" s="123"/>
      <c r="W7619" s="125"/>
      <c r="X7619" s="142" t="s">
        <v>3410</v>
      </c>
      <c r="Y7619" s="143"/>
      <c r="Z7619" s="143"/>
      <c r="AA7619" s="143"/>
      <c r="AB7619" s="144"/>
      <c r="AC7619" s="16" t="s">
        <v>21</v>
      </c>
      <c r="AD7619" s="17" t="s">
        <v>1563</v>
      </c>
      <c r="AE7619" s="145" t="s">
        <v>22421</v>
      </c>
      <c r="AF7619" s="146"/>
      <c r="AG7619" s="146"/>
      <c r="AH7619" s="146"/>
      <c r="AI7619" s="147"/>
      <c r="AJ7619" s="148"/>
      <c r="AK7619" s="143"/>
      <c r="AL7619" s="144"/>
      <c r="AM7619" s="22"/>
      <c r="AN7619" s="149" t="s">
        <v>13663</v>
      </c>
      <c r="AO7619" s="144"/>
      <c r="AP7619" s="148">
        <v>50</v>
      </c>
      <c r="AQ7619" s="144"/>
      <c r="AR7619" s="120"/>
      <c r="AS7619" s="121"/>
      <c r="AT7619" s="120"/>
      <c r="AU7619" s="121"/>
      <c r="AV7619" s="120"/>
      <c r="AW7619" s="121"/>
      <c r="AX7619" s="120"/>
      <c r="AY7619" s="121"/>
      <c r="AZ7619" s="138"/>
    </row>
    <row r="7620" spans="1:52" ht="17.100000000000001" customHeight="1" thickTop="1">
      <c r="A7620" s="109" t="s">
        <v>21514</v>
      </c>
      <c r="B7620" s="28">
        <v>46109</v>
      </c>
      <c r="C7620" s="25">
        <v>305</v>
      </c>
      <c r="D7620" s="13" t="s">
        <v>2135</v>
      </c>
      <c r="E7620" s="111"/>
      <c r="F7620" s="113" t="s">
        <v>21547</v>
      </c>
      <c r="G7620" s="114"/>
      <c r="H7620" s="115"/>
      <c r="I7620" s="24"/>
      <c r="J7620" s="116">
        <v>4</v>
      </c>
      <c r="K7620" s="118">
        <v>1120000</v>
      </c>
      <c r="L7620" s="119"/>
      <c r="M7620" s="118">
        <f t="shared" ref="M7620" si="11148">K7620*0.1</f>
        <v>112000</v>
      </c>
      <c r="N7620" s="119"/>
      <c r="O7620" s="118">
        <v>0</v>
      </c>
      <c r="P7620" s="119"/>
      <c r="Q7620" s="118">
        <v>11010</v>
      </c>
      <c r="R7620" s="119"/>
      <c r="S7620" s="118">
        <v>17050</v>
      </c>
      <c r="T7620" s="119"/>
      <c r="U7620" s="118">
        <f t="shared" ref="U7620" si="11149">SUM(K7620:T7621)</f>
        <v>1260060</v>
      </c>
      <c r="V7620" s="122"/>
      <c r="W7620" s="124"/>
      <c r="X7620" s="126" t="s">
        <v>21891</v>
      </c>
      <c r="Y7620" s="127"/>
      <c r="Z7620" s="127"/>
      <c r="AA7620" s="127"/>
      <c r="AB7620" s="128"/>
      <c r="AC7620" s="15" t="s">
        <v>20</v>
      </c>
      <c r="AD7620" s="129" t="s">
        <v>21529</v>
      </c>
      <c r="AE7620" s="130"/>
      <c r="AF7620" s="130"/>
      <c r="AG7620" s="130"/>
      <c r="AH7620" s="130"/>
      <c r="AI7620" s="131"/>
      <c r="AJ7620" s="132"/>
      <c r="AK7620" s="127"/>
      <c r="AL7620" s="128"/>
      <c r="AM7620" s="21"/>
      <c r="AN7620" s="133"/>
      <c r="AO7620" s="134"/>
      <c r="AP7620" s="135"/>
      <c r="AQ7620" s="136"/>
      <c r="AR7620" s="118"/>
      <c r="AS7620" s="119"/>
      <c r="AT7620" s="118">
        <f t="shared" ref="AT7620" si="11150">AR7620*0.1</f>
        <v>0</v>
      </c>
      <c r="AU7620" s="119"/>
      <c r="AV7620" s="118"/>
      <c r="AW7620" s="119"/>
      <c r="AX7620" s="118">
        <f t="shared" ref="AX7620" si="11151">SUM(AR7620:AW7620)</f>
        <v>0</v>
      </c>
      <c r="AY7620" s="119"/>
      <c r="AZ7620" s="137"/>
    </row>
    <row r="7621" spans="1:52" ht="17.100000000000001" customHeight="1" thickBot="1">
      <c r="A7621" s="110"/>
      <c r="B7621" s="27" t="s">
        <v>3574</v>
      </c>
      <c r="C7621" s="27">
        <v>2063</v>
      </c>
      <c r="D7621" s="14" t="s">
        <v>1576</v>
      </c>
      <c r="E7621" s="112"/>
      <c r="F7621" s="139" t="s">
        <v>21548</v>
      </c>
      <c r="G7621" s="140"/>
      <c r="H7621" s="141"/>
      <c r="I7621" s="26">
        <v>36566</v>
      </c>
      <c r="J7621" s="117"/>
      <c r="K7621" s="120"/>
      <c r="L7621" s="121"/>
      <c r="M7621" s="120"/>
      <c r="N7621" s="121"/>
      <c r="O7621" s="120"/>
      <c r="P7621" s="121"/>
      <c r="Q7621" s="120"/>
      <c r="R7621" s="121"/>
      <c r="S7621" s="120"/>
      <c r="T7621" s="121"/>
      <c r="U7621" s="120"/>
      <c r="V7621" s="123"/>
      <c r="W7621" s="125"/>
      <c r="X7621" s="142" t="s">
        <v>21892</v>
      </c>
      <c r="Y7621" s="143"/>
      <c r="Z7621" s="143"/>
      <c r="AA7621" s="143"/>
      <c r="AB7621" s="144"/>
      <c r="AC7621" s="16" t="s">
        <v>21</v>
      </c>
      <c r="AD7621" s="17" t="s">
        <v>2963</v>
      </c>
      <c r="AE7621" s="145" t="s">
        <v>19133</v>
      </c>
      <c r="AF7621" s="146"/>
      <c r="AG7621" s="146"/>
      <c r="AH7621" s="146"/>
      <c r="AI7621" s="147"/>
      <c r="AJ7621" s="148"/>
      <c r="AK7621" s="143"/>
      <c r="AL7621" s="144"/>
      <c r="AM7621" s="22"/>
      <c r="AN7621" s="149"/>
      <c r="AO7621" s="144"/>
      <c r="AP7621" s="148"/>
      <c r="AQ7621" s="144"/>
      <c r="AR7621" s="120"/>
      <c r="AS7621" s="121"/>
      <c r="AT7621" s="120"/>
      <c r="AU7621" s="121"/>
      <c r="AV7621" s="120"/>
      <c r="AW7621" s="121"/>
      <c r="AX7621" s="120"/>
      <c r="AY7621" s="121"/>
      <c r="AZ7621" s="138"/>
    </row>
    <row r="7622" spans="1:52" ht="17.100000000000001" customHeight="1" thickTop="1">
      <c r="A7622" s="109" t="s">
        <v>21539</v>
      </c>
      <c r="B7622" s="28">
        <v>46109</v>
      </c>
      <c r="C7622" s="25">
        <v>305</v>
      </c>
      <c r="D7622" s="13" t="s">
        <v>1902</v>
      </c>
      <c r="E7622" s="111"/>
      <c r="F7622" s="113" t="s">
        <v>21549</v>
      </c>
      <c r="G7622" s="114"/>
      <c r="H7622" s="115"/>
      <c r="I7622" s="24" t="s">
        <v>4314</v>
      </c>
      <c r="J7622" s="116">
        <v>4</v>
      </c>
      <c r="K7622" s="118">
        <v>463000</v>
      </c>
      <c r="L7622" s="119"/>
      <c r="M7622" s="118">
        <f t="shared" ref="M7622" si="11152">K7622*0.1</f>
        <v>46300</v>
      </c>
      <c r="N7622" s="119"/>
      <c r="O7622" s="118">
        <v>5000</v>
      </c>
      <c r="P7622" s="119"/>
      <c r="Q7622" s="118">
        <v>6540</v>
      </c>
      <c r="R7622" s="119"/>
      <c r="S7622" s="118">
        <v>15950</v>
      </c>
      <c r="T7622" s="119"/>
      <c r="U7622" s="118">
        <f t="shared" ref="U7622" si="11153">SUM(K7622:T7623)</f>
        <v>536790</v>
      </c>
      <c r="V7622" s="122"/>
      <c r="W7622" s="124"/>
      <c r="X7622" s="126" t="s">
        <v>21551</v>
      </c>
      <c r="Y7622" s="127"/>
      <c r="Z7622" s="127"/>
      <c r="AA7622" s="127"/>
      <c r="AB7622" s="128"/>
      <c r="AC7622" s="15" t="s">
        <v>20</v>
      </c>
      <c r="AD7622" s="129" t="s">
        <v>21893</v>
      </c>
      <c r="AE7622" s="130"/>
      <c r="AF7622" s="130"/>
      <c r="AG7622" s="130"/>
      <c r="AH7622" s="130"/>
      <c r="AI7622" s="131"/>
      <c r="AJ7622" s="132"/>
      <c r="AK7622" s="127"/>
      <c r="AL7622" s="128"/>
      <c r="AM7622" s="85" t="s">
        <v>22545</v>
      </c>
      <c r="AN7622" s="133">
        <v>46137</v>
      </c>
      <c r="AO7622" s="134"/>
      <c r="AP7622" s="135">
        <v>1298</v>
      </c>
      <c r="AQ7622" s="136"/>
      <c r="AR7622" s="118">
        <v>570000</v>
      </c>
      <c r="AS7622" s="119"/>
      <c r="AT7622" s="118">
        <f t="shared" ref="AT7622" si="11154">AR7622*0.1</f>
        <v>57000</v>
      </c>
      <c r="AU7622" s="119"/>
      <c r="AV7622" s="118">
        <v>6540</v>
      </c>
      <c r="AW7622" s="119"/>
      <c r="AX7622" s="118">
        <f t="shared" ref="AX7622" si="11155">SUM(AR7622:AW7622)</f>
        <v>633540</v>
      </c>
      <c r="AY7622" s="119"/>
      <c r="AZ7622" s="137">
        <v>46140</v>
      </c>
    </row>
    <row r="7623" spans="1:52" ht="17.100000000000001" customHeight="1" thickBot="1">
      <c r="A7623" s="110"/>
      <c r="B7623" s="27" t="s">
        <v>3574</v>
      </c>
      <c r="C7623" s="27">
        <v>80036</v>
      </c>
      <c r="D7623" s="14" t="s">
        <v>1592</v>
      </c>
      <c r="E7623" s="112"/>
      <c r="F7623" s="139" t="s">
        <v>21550</v>
      </c>
      <c r="G7623" s="140"/>
      <c r="H7623" s="141"/>
      <c r="I7623" s="26">
        <v>31778</v>
      </c>
      <c r="J7623" s="117"/>
      <c r="K7623" s="120"/>
      <c r="L7623" s="121"/>
      <c r="M7623" s="120"/>
      <c r="N7623" s="121"/>
      <c r="O7623" s="120"/>
      <c r="P7623" s="121"/>
      <c r="Q7623" s="120"/>
      <c r="R7623" s="121"/>
      <c r="S7623" s="120"/>
      <c r="T7623" s="121"/>
      <c r="U7623" s="120"/>
      <c r="V7623" s="123"/>
      <c r="W7623" s="125"/>
      <c r="X7623" s="142" t="s">
        <v>10392</v>
      </c>
      <c r="Y7623" s="143"/>
      <c r="Z7623" s="143"/>
      <c r="AA7623" s="143"/>
      <c r="AB7623" s="144"/>
      <c r="AC7623" s="16" t="s">
        <v>21</v>
      </c>
      <c r="AD7623" s="17" t="s">
        <v>1642</v>
      </c>
      <c r="AE7623" s="145" t="s">
        <v>11427</v>
      </c>
      <c r="AF7623" s="146"/>
      <c r="AG7623" s="146"/>
      <c r="AH7623" s="146"/>
      <c r="AI7623" s="147"/>
      <c r="AJ7623" s="148"/>
      <c r="AK7623" s="143"/>
      <c r="AL7623" s="144"/>
      <c r="AM7623" s="22"/>
      <c r="AN7623" s="149" t="s">
        <v>2511</v>
      </c>
      <c r="AO7623" s="144"/>
      <c r="AP7623" s="148">
        <v>60046</v>
      </c>
      <c r="AQ7623" s="144"/>
      <c r="AR7623" s="120"/>
      <c r="AS7623" s="121"/>
      <c r="AT7623" s="120"/>
      <c r="AU7623" s="121"/>
      <c r="AV7623" s="120"/>
      <c r="AW7623" s="121"/>
      <c r="AX7623" s="120"/>
      <c r="AY7623" s="121"/>
      <c r="AZ7623" s="138"/>
    </row>
    <row r="7624" spans="1:52" ht="17.100000000000001" customHeight="1" thickTop="1">
      <c r="A7624" s="109" t="s">
        <v>21619</v>
      </c>
      <c r="B7624" s="28">
        <v>46110</v>
      </c>
      <c r="C7624" s="25"/>
      <c r="D7624" s="13" t="s">
        <v>21620</v>
      </c>
      <c r="E7624" s="111"/>
      <c r="F7624" s="113" t="s">
        <v>21621</v>
      </c>
      <c r="G7624" s="114"/>
      <c r="H7624" s="115"/>
      <c r="I7624" s="24" t="s">
        <v>5548</v>
      </c>
      <c r="J7624" s="116"/>
      <c r="K7624" s="118">
        <v>200000</v>
      </c>
      <c r="L7624" s="119"/>
      <c r="M7624" s="118">
        <v>0</v>
      </c>
      <c r="N7624" s="119"/>
      <c r="O7624" s="118">
        <v>0</v>
      </c>
      <c r="P7624" s="119"/>
      <c r="Q7624" s="118">
        <v>0</v>
      </c>
      <c r="R7624" s="119"/>
      <c r="S7624" s="118">
        <v>0</v>
      </c>
      <c r="T7624" s="119"/>
      <c r="U7624" s="118">
        <f t="shared" ref="U7624" si="11156">SUM(K7624:T7625)</f>
        <v>200000</v>
      </c>
      <c r="V7624" s="122"/>
      <c r="W7624" s="124"/>
      <c r="X7624" s="126" t="s">
        <v>21623</v>
      </c>
      <c r="Y7624" s="127"/>
      <c r="Z7624" s="127"/>
      <c r="AA7624" s="127"/>
      <c r="AB7624" s="128"/>
      <c r="AC7624" s="15" t="s">
        <v>20</v>
      </c>
      <c r="AD7624" s="129"/>
      <c r="AE7624" s="130"/>
      <c r="AF7624" s="130"/>
      <c r="AG7624" s="130"/>
      <c r="AH7624" s="130"/>
      <c r="AI7624" s="131"/>
      <c r="AJ7624" s="132"/>
      <c r="AK7624" s="127"/>
      <c r="AL7624" s="128"/>
      <c r="AM7624" s="21"/>
      <c r="AN7624" s="133">
        <v>46116</v>
      </c>
      <c r="AO7624" s="134"/>
      <c r="AP7624" s="135">
        <v>1295</v>
      </c>
      <c r="AQ7624" s="136"/>
      <c r="AR7624" s="118">
        <v>320000</v>
      </c>
      <c r="AS7624" s="119"/>
      <c r="AT7624" s="118">
        <f t="shared" ref="AT7624" si="11157">AR7624*0.1</f>
        <v>32000</v>
      </c>
      <c r="AU7624" s="119"/>
      <c r="AV7624" s="118">
        <v>17130</v>
      </c>
      <c r="AW7624" s="119"/>
      <c r="AX7624" s="118">
        <f t="shared" ref="AX7624" si="11158">SUM(AR7624:AW7624)</f>
        <v>369130</v>
      </c>
      <c r="AY7624" s="119"/>
      <c r="AZ7624" s="137">
        <v>46119</v>
      </c>
    </row>
    <row r="7625" spans="1:52" ht="17.100000000000001" customHeight="1" thickBot="1">
      <c r="A7625" s="110"/>
      <c r="B7625" s="27" t="s">
        <v>9743</v>
      </c>
      <c r="C7625" s="27"/>
      <c r="D7625" s="14" t="s">
        <v>2103</v>
      </c>
      <c r="E7625" s="112"/>
      <c r="F7625" s="139" t="s">
        <v>21622</v>
      </c>
      <c r="G7625" s="140"/>
      <c r="H7625" s="141"/>
      <c r="I7625" s="26"/>
      <c r="J7625" s="117"/>
      <c r="K7625" s="120"/>
      <c r="L7625" s="121"/>
      <c r="M7625" s="120"/>
      <c r="N7625" s="121"/>
      <c r="O7625" s="120"/>
      <c r="P7625" s="121"/>
      <c r="Q7625" s="120"/>
      <c r="R7625" s="121"/>
      <c r="S7625" s="120"/>
      <c r="T7625" s="121"/>
      <c r="U7625" s="120"/>
      <c r="V7625" s="123"/>
      <c r="W7625" s="125"/>
      <c r="X7625" s="142" t="s">
        <v>21624</v>
      </c>
      <c r="Y7625" s="143"/>
      <c r="Z7625" s="143"/>
      <c r="AA7625" s="143"/>
      <c r="AB7625" s="144"/>
      <c r="AC7625" s="16" t="s">
        <v>21</v>
      </c>
      <c r="AD7625" s="17" t="s">
        <v>2707</v>
      </c>
      <c r="AE7625" s="145" t="s">
        <v>4488</v>
      </c>
      <c r="AF7625" s="146"/>
      <c r="AG7625" s="146"/>
      <c r="AH7625" s="146"/>
      <c r="AI7625" s="147"/>
      <c r="AJ7625" s="148"/>
      <c r="AK7625" s="143"/>
      <c r="AL7625" s="144"/>
      <c r="AM7625" s="22"/>
      <c r="AN7625" s="149" t="s">
        <v>2511</v>
      </c>
      <c r="AO7625" s="144"/>
      <c r="AP7625" s="148">
        <v>82222</v>
      </c>
      <c r="AQ7625" s="144"/>
      <c r="AR7625" s="120"/>
      <c r="AS7625" s="121"/>
      <c r="AT7625" s="120"/>
      <c r="AU7625" s="121"/>
      <c r="AV7625" s="120"/>
      <c r="AW7625" s="121"/>
      <c r="AX7625" s="120"/>
      <c r="AY7625" s="121"/>
      <c r="AZ7625" s="138"/>
    </row>
    <row r="7626" spans="1:52" ht="17.100000000000001" customHeight="1" thickTop="1">
      <c r="A7626" s="109" t="s">
        <v>21632</v>
      </c>
      <c r="B7626" s="28">
        <v>46111</v>
      </c>
      <c r="C7626" s="25">
        <v>2087</v>
      </c>
      <c r="D7626" s="13" t="s">
        <v>2100</v>
      </c>
      <c r="E7626" s="111"/>
      <c r="F7626" s="113" t="s">
        <v>21636</v>
      </c>
      <c r="G7626" s="114"/>
      <c r="H7626" s="115"/>
      <c r="I7626" s="24" t="s">
        <v>4314</v>
      </c>
      <c r="J7626" s="116">
        <v>4.5</v>
      </c>
      <c r="K7626" s="118">
        <v>773000</v>
      </c>
      <c r="L7626" s="119"/>
      <c r="M7626" s="118">
        <f t="shared" ref="M7626" si="11159">K7626*0.1</f>
        <v>77300</v>
      </c>
      <c r="N7626" s="119"/>
      <c r="O7626" s="118">
        <v>39500</v>
      </c>
      <c r="P7626" s="119"/>
      <c r="Q7626" s="118">
        <v>20170</v>
      </c>
      <c r="R7626" s="119"/>
      <c r="S7626" s="118">
        <v>11000</v>
      </c>
      <c r="T7626" s="119"/>
      <c r="U7626" s="118">
        <f t="shared" ref="U7626" si="11160">SUM(K7626:T7627)</f>
        <v>920970</v>
      </c>
      <c r="V7626" s="122"/>
      <c r="W7626" s="124"/>
      <c r="X7626" s="126" t="s">
        <v>21638</v>
      </c>
      <c r="Y7626" s="127"/>
      <c r="Z7626" s="127"/>
      <c r="AA7626" s="127"/>
      <c r="AB7626" s="128"/>
      <c r="AC7626" s="15" t="s">
        <v>20</v>
      </c>
      <c r="AD7626" s="129" t="s">
        <v>4462</v>
      </c>
      <c r="AE7626" s="130"/>
      <c r="AF7626" s="130"/>
      <c r="AG7626" s="130"/>
      <c r="AH7626" s="130"/>
      <c r="AI7626" s="131"/>
      <c r="AJ7626" s="132"/>
      <c r="AK7626" s="127"/>
      <c r="AL7626" s="128"/>
      <c r="AM7626" s="21"/>
      <c r="AN7626" s="133">
        <v>46123</v>
      </c>
      <c r="AO7626" s="134"/>
      <c r="AP7626" s="135">
        <v>1296</v>
      </c>
      <c r="AQ7626" s="136"/>
      <c r="AR7626" s="118">
        <v>850000</v>
      </c>
      <c r="AS7626" s="119"/>
      <c r="AT7626" s="118">
        <f t="shared" ref="AT7626" si="11161">AR7626*0.1</f>
        <v>85000</v>
      </c>
      <c r="AU7626" s="119"/>
      <c r="AV7626" s="118">
        <v>20170</v>
      </c>
      <c r="AW7626" s="119"/>
      <c r="AX7626" s="118">
        <f t="shared" ref="AX7626" si="11162">SUM(AR7626:AW7626)</f>
        <v>955170</v>
      </c>
      <c r="AY7626" s="119"/>
      <c r="AZ7626" s="137">
        <v>46128</v>
      </c>
    </row>
    <row r="7627" spans="1:52" ht="17.100000000000001" customHeight="1" thickBot="1">
      <c r="A7627" s="110"/>
      <c r="B7627" s="27" t="s">
        <v>83</v>
      </c>
      <c r="C7627" s="27">
        <v>33523</v>
      </c>
      <c r="D7627" s="14" t="s">
        <v>1592</v>
      </c>
      <c r="E7627" s="112"/>
      <c r="F7627" s="139" t="s">
        <v>21637</v>
      </c>
      <c r="G7627" s="140"/>
      <c r="H7627" s="141"/>
      <c r="I7627" s="26">
        <v>68853</v>
      </c>
      <c r="J7627" s="117"/>
      <c r="K7627" s="120"/>
      <c r="L7627" s="121"/>
      <c r="M7627" s="120"/>
      <c r="N7627" s="121"/>
      <c r="O7627" s="120"/>
      <c r="P7627" s="121"/>
      <c r="Q7627" s="120"/>
      <c r="R7627" s="121"/>
      <c r="S7627" s="120"/>
      <c r="T7627" s="121"/>
      <c r="U7627" s="120"/>
      <c r="V7627" s="123"/>
      <c r="W7627" s="125"/>
      <c r="X7627" s="142" t="s">
        <v>4820</v>
      </c>
      <c r="Y7627" s="143"/>
      <c r="Z7627" s="143"/>
      <c r="AA7627" s="143"/>
      <c r="AB7627" s="144"/>
      <c r="AC7627" s="16" t="s">
        <v>21</v>
      </c>
      <c r="AD7627" s="17" t="s">
        <v>2963</v>
      </c>
      <c r="AE7627" s="145" t="s">
        <v>20183</v>
      </c>
      <c r="AF7627" s="146"/>
      <c r="AG7627" s="146"/>
      <c r="AH7627" s="146"/>
      <c r="AI7627" s="147"/>
      <c r="AJ7627" s="148"/>
      <c r="AK7627" s="143"/>
      <c r="AL7627" s="144"/>
      <c r="AM7627" s="22"/>
      <c r="AN7627" s="149" t="s">
        <v>2511</v>
      </c>
      <c r="AO7627" s="144"/>
      <c r="AP7627" s="148">
        <v>80278</v>
      </c>
      <c r="AQ7627" s="144"/>
      <c r="AR7627" s="120"/>
      <c r="AS7627" s="121"/>
      <c r="AT7627" s="120"/>
      <c r="AU7627" s="121"/>
      <c r="AV7627" s="120"/>
      <c r="AW7627" s="121"/>
      <c r="AX7627" s="120"/>
      <c r="AY7627" s="121"/>
      <c r="AZ7627" s="138"/>
    </row>
    <row r="7628" spans="1:52" ht="17.100000000000001" customHeight="1" thickTop="1">
      <c r="A7628" s="109" t="s">
        <v>21633</v>
      </c>
      <c r="B7628" s="28">
        <v>46111</v>
      </c>
      <c r="C7628" s="25">
        <v>2087</v>
      </c>
      <c r="D7628" s="13" t="s">
        <v>1725</v>
      </c>
      <c r="E7628" s="111"/>
      <c r="F7628" s="113" t="s">
        <v>21639</v>
      </c>
      <c r="G7628" s="114"/>
      <c r="H7628" s="115"/>
      <c r="I7628" s="24"/>
      <c r="J7628" s="116">
        <v>4</v>
      </c>
      <c r="K7628" s="118">
        <v>1345000</v>
      </c>
      <c r="L7628" s="119"/>
      <c r="M7628" s="118">
        <f t="shared" ref="M7628" si="11163">K7628*0.1</f>
        <v>134500</v>
      </c>
      <c r="N7628" s="119"/>
      <c r="O7628" s="118">
        <v>0</v>
      </c>
      <c r="P7628" s="119"/>
      <c r="Q7628" s="118">
        <v>19070</v>
      </c>
      <c r="R7628" s="119"/>
      <c r="S7628" s="118">
        <v>11000</v>
      </c>
      <c r="T7628" s="119"/>
      <c r="U7628" s="118">
        <f t="shared" ref="U7628" si="11164">SUM(K7628:T7629)</f>
        <v>1509570</v>
      </c>
      <c r="V7628" s="122"/>
      <c r="W7628" s="124"/>
      <c r="X7628" s="126" t="s">
        <v>21880</v>
      </c>
      <c r="Y7628" s="127"/>
      <c r="Z7628" s="127"/>
      <c r="AA7628" s="127"/>
      <c r="AB7628" s="128"/>
      <c r="AC7628" s="15" t="s">
        <v>20</v>
      </c>
      <c r="AD7628" s="129" t="s">
        <v>21641</v>
      </c>
      <c r="AE7628" s="130"/>
      <c r="AF7628" s="130"/>
      <c r="AG7628" s="130"/>
      <c r="AH7628" s="130"/>
      <c r="AI7628" s="131"/>
      <c r="AJ7628" s="132"/>
      <c r="AK7628" s="127"/>
      <c r="AL7628" s="128"/>
      <c r="AM7628" s="21"/>
      <c r="AN7628" s="133">
        <v>46130</v>
      </c>
      <c r="AO7628" s="134"/>
      <c r="AP7628" s="135">
        <v>1297</v>
      </c>
      <c r="AQ7628" s="136"/>
      <c r="AR7628" s="118">
        <v>1455000</v>
      </c>
      <c r="AS7628" s="119"/>
      <c r="AT7628" s="118">
        <f t="shared" ref="AT7628" si="11165">AR7628*0.1</f>
        <v>145500</v>
      </c>
      <c r="AU7628" s="119"/>
      <c r="AV7628" s="118">
        <v>19070</v>
      </c>
      <c r="AW7628" s="119"/>
      <c r="AX7628" s="118">
        <f t="shared" ref="AX7628" si="11166">SUM(AR7628:AW7628)</f>
        <v>1619570</v>
      </c>
      <c r="AY7628" s="119"/>
      <c r="AZ7628" s="137">
        <v>46133</v>
      </c>
    </row>
    <row r="7629" spans="1:52" ht="17.100000000000001" customHeight="1" thickBot="1">
      <c r="A7629" s="110"/>
      <c r="B7629" s="27" t="s">
        <v>83</v>
      </c>
      <c r="C7629" s="27">
        <v>34507</v>
      </c>
      <c r="D7629" s="14" t="s">
        <v>2601</v>
      </c>
      <c r="E7629" s="112"/>
      <c r="F7629" s="139" t="s">
        <v>21640</v>
      </c>
      <c r="G7629" s="140"/>
      <c r="H7629" s="141"/>
      <c r="I7629" s="26">
        <v>50988</v>
      </c>
      <c r="J7629" s="117"/>
      <c r="K7629" s="120"/>
      <c r="L7629" s="121"/>
      <c r="M7629" s="120"/>
      <c r="N7629" s="121"/>
      <c r="O7629" s="120"/>
      <c r="P7629" s="121"/>
      <c r="Q7629" s="120"/>
      <c r="R7629" s="121"/>
      <c r="S7629" s="120"/>
      <c r="T7629" s="121"/>
      <c r="U7629" s="120"/>
      <c r="V7629" s="123"/>
      <c r="W7629" s="125"/>
      <c r="X7629" s="142" t="s">
        <v>4058</v>
      </c>
      <c r="Y7629" s="143"/>
      <c r="Z7629" s="143"/>
      <c r="AA7629" s="143"/>
      <c r="AB7629" s="144"/>
      <c r="AC7629" s="16" t="s">
        <v>21</v>
      </c>
      <c r="AD7629" s="17" t="s">
        <v>1642</v>
      </c>
      <c r="AE7629" s="145" t="s">
        <v>21887</v>
      </c>
      <c r="AF7629" s="146"/>
      <c r="AG7629" s="146"/>
      <c r="AH7629" s="146"/>
      <c r="AI7629" s="147"/>
      <c r="AJ7629" s="148"/>
      <c r="AK7629" s="143"/>
      <c r="AL7629" s="144"/>
      <c r="AM7629" s="22"/>
      <c r="AN7629" s="149" t="s">
        <v>2511</v>
      </c>
      <c r="AO7629" s="144"/>
      <c r="AP7629" s="148">
        <v>80220</v>
      </c>
      <c r="AQ7629" s="144"/>
      <c r="AR7629" s="120"/>
      <c r="AS7629" s="121"/>
      <c r="AT7629" s="120"/>
      <c r="AU7629" s="121"/>
      <c r="AV7629" s="120"/>
      <c r="AW7629" s="121"/>
      <c r="AX7629" s="120"/>
      <c r="AY7629" s="121"/>
      <c r="AZ7629" s="138"/>
    </row>
    <row r="7630" spans="1:52" ht="17.100000000000001" customHeight="1" thickTop="1">
      <c r="A7630" s="109" t="s">
        <v>21634</v>
      </c>
      <c r="B7630" s="28">
        <v>46111</v>
      </c>
      <c r="C7630" s="25">
        <v>2087</v>
      </c>
      <c r="D7630" s="13" t="s">
        <v>1712</v>
      </c>
      <c r="E7630" s="111"/>
      <c r="F7630" s="113" t="s">
        <v>8034</v>
      </c>
      <c r="G7630" s="114"/>
      <c r="H7630" s="115"/>
      <c r="I7630" s="24"/>
      <c r="J7630" s="116">
        <v>4.5</v>
      </c>
      <c r="K7630" s="118">
        <v>460000</v>
      </c>
      <c r="L7630" s="119"/>
      <c r="M7630" s="118">
        <f t="shared" ref="M7630" si="11167">K7630*0.1</f>
        <v>46000</v>
      </c>
      <c r="N7630" s="119"/>
      <c r="O7630" s="118">
        <v>0</v>
      </c>
      <c r="P7630" s="119"/>
      <c r="Q7630" s="118">
        <v>18960</v>
      </c>
      <c r="R7630" s="119"/>
      <c r="S7630" s="118">
        <v>11000</v>
      </c>
      <c r="T7630" s="119"/>
      <c r="U7630" s="118">
        <f t="shared" ref="U7630" si="11168">SUM(K7630:T7631)</f>
        <v>535960</v>
      </c>
      <c r="V7630" s="122"/>
      <c r="W7630" s="124"/>
      <c r="X7630" s="126" t="s">
        <v>21883</v>
      </c>
      <c r="Y7630" s="127"/>
      <c r="Z7630" s="127"/>
      <c r="AA7630" s="127"/>
      <c r="AB7630" s="128"/>
      <c r="AC7630" s="15" t="s">
        <v>20</v>
      </c>
      <c r="AD7630" s="129"/>
      <c r="AE7630" s="130"/>
      <c r="AF7630" s="130"/>
      <c r="AG7630" s="130"/>
      <c r="AH7630" s="130"/>
      <c r="AI7630" s="131"/>
      <c r="AJ7630" s="132"/>
      <c r="AK7630" s="127"/>
      <c r="AL7630" s="128"/>
      <c r="AM7630" s="21"/>
      <c r="AN7630" s="133">
        <v>46123</v>
      </c>
      <c r="AO7630" s="134"/>
      <c r="AP7630" s="135">
        <v>1296</v>
      </c>
      <c r="AQ7630" s="136"/>
      <c r="AR7630" s="118">
        <v>650000</v>
      </c>
      <c r="AS7630" s="119"/>
      <c r="AT7630" s="118">
        <f t="shared" ref="AT7630" si="11169">AR7630*0.1</f>
        <v>65000</v>
      </c>
      <c r="AU7630" s="119"/>
      <c r="AV7630" s="118">
        <v>18960</v>
      </c>
      <c r="AW7630" s="119"/>
      <c r="AX7630" s="118">
        <f t="shared" ref="AX7630" si="11170">SUM(AR7630:AW7630)</f>
        <v>733960</v>
      </c>
      <c r="AY7630" s="119"/>
      <c r="AZ7630" s="137">
        <v>46126</v>
      </c>
    </row>
    <row r="7631" spans="1:52" ht="17.100000000000001" customHeight="1" thickBot="1">
      <c r="A7631" s="110"/>
      <c r="B7631" s="27" t="s">
        <v>83</v>
      </c>
      <c r="C7631" s="27">
        <v>34508</v>
      </c>
      <c r="D7631" s="14" t="s">
        <v>1812</v>
      </c>
      <c r="E7631" s="112"/>
      <c r="F7631" s="139" t="s">
        <v>21642</v>
      </c>
      <c r="G7631" s="140"/>
      <c r="H7631" s="141"/>
      <c r="I7631" s="26">
        <v>70571</v>
      </c>
      <c r="J7631" s="117"/>
      <c r="K7631" s="120"/>
      <c r="L7631" s="121"/>
      <c r="M7631" s="120"/>
      <c r="N7631" s="121"/>
      <c r="O7631" s="120"/>
      <c r="P7631" s="121"/>
      <c r="Q7631" s="120"/>
      <c r="R7631" s="121"/>
      <c r="S7631" s="120"/>
      <c r="T7631" s="121"/>
      <c r="U7631" s="120"/>
      <c r="V7631" s="123"/>
      <c r="W7631" s="125"/>
      <c r="X7631" s="142" t="s">
        <v>4058</v>
      </c>
      <c r="Y7631" s="143"/>
      <c r="Z7631" s="143"/>
      <c r="AA7631" s="143"/>
      <c r="AB7631" s="144"/>
      <c r="AC7631" s="16" t="s">
        <v>21</v>
      </c>
      <c r="AD7631" s="17" t="s">
        <v>1642</v>
      </c>
      <c r="AE7631" s="145" t="s">
        <v>171</v>
      </c>
      <c r="AF7631" s="146"/>
      <c r="AG7631" s="146"/>
      <c r="AH7631" s="146"/>
      <c r="AI7631" s="147"/>
      <c r="AJ7631" s="148"/>
      <c r="AK7631" s="143"/>
      <c r="AL7631" s="144"/>
      <c r="AM7631" s="22"/>
      <c r="AN7631" s="149" t="s">
        <v>2511</v>
      </c>
      <c r="AO7631" s="144"/>
      <c r="AP7631" s="148">
        <v>80406</v>
      </c>
      <c r="AQ7631" s="144"/>
      <c r="AR7631" s="120"/>
      <c r="AS7631" s="121"/>
      <c r="AT7631" s="120"/>
      <c r="AU7631" s="121"/>
      <c r="AV7631" s="120"/>
      <c r="AW7631" s="121"/>
      <c r="AX7631" s="120"/>
      <c r="AY7631" s="121"/>
      <c r="AZ7631" s="138"/>
    </row>
    <row r="7632" spans="1:52" ht="17.100000000000001" customHeight="1" thickTop="1">
      <c r="A7632" s="109" t="s">
        <v>21635</v>
      </c>
      <c r="B7632" s="28">
        <v>46111</v>
      </c>
      <c r="C7632" s="25">
        <v>2087</v>
      </c>
      <c r="D7632" s="13" t="s">
        <v>1929</v>
      </c>
      <c r="E7632" s="111"/>
      <c r="F7632" s="113" t="s">
        <v>1871</v>
      </c>
      <c r="G7632" s="114"/>
      <c r="H7632" s="115"/>
      <c r="I7632" s="24"/>
      <c r="J7632" s="116">
        <v>3.5</v>
      </c>
      <c r="K7632" s="118">
        <v>318000</v>
      </c>
      <c r="L7632" s="119"/>
      <c r="M7632" s="118">
        <f t="shared" ref="M7632" si="11171">K7632*0.1</f>
        <v>31800</v>
      </c>
      <c r="N7632" s="119"/>
      <c r="O7632" s="118">
        <v>0</v>
      </c>
      <c r="P7632" s="119"/>
      <c r="Q7632" s="118">
        <v>18960</v>
      </c>
      <c r="R7632" s="119"/>
      <c r="S7632" s="118">
        <v>11000</v>
      </c>
      <c r="T7632" s="119"/>
      <c r="U7632" s="118">
        <f t="shared" ref="U7632" si="11172">SUM(K7632:T7633)</f>
        <v>379760</v>
      </c>
      <c r="V7632" s="122"/>
      <c r="W7632" s="124"/>
      <c r="X7632" s="126" t="s">
        <v>21878</v>
      </c>
      <c r="Y7632" s="127"/>
      <c r="Z7632" s="127"/>
      <c r="AA7632" s="127"/>
      <c r="AB7632" s="128"/>
      <c r="AC7632" s="15" t="s">
        <v>20</v>
      </c>
      <c r="AD7632" s="129" t="s">
        <v>171</v>
      </c>
      <c r="AE7632" s="130"/>
      <c r="AF7632" s="130"/>
      <c r="AG7632" s="130"/>
      <c r="AH7632" s="130"/>
      <c r="AI7632" s="131"/>
      <c r="AJ7632" s="132"/>
      <c r="AK7632" s="127"/>
      <c r="AL7632" s="128"/>
      <c r="AM7632" s="21"/>
      <c r="AN7632" s="133">
        <v>46144</v>
      </c>
      <c r="AO7632" s="134"/>
      <c r="AP7632" s="135">
        <v>1299</v>
      </c>
      <c r="AQ7632" s="136"/>
      <c r="AR7632" s="118">
        <v>440000</v>
      </c>
      <c r="AS7632" s="119"/>
      <c r="AT7632" s="118">
        <f t="shared" ref="AT7632" si="11173">AR7632*0.1</f>
        <v>44000</v>
      </c>
      <c r="AU7632" s="119"/>
      <c r="AV7632" s="118">
        <v>18960</v>
      </c>
      <c r="AW7632" s="119"/>
      <c r="AX7632" s="118">
        <f t="shared" ref="AX7632" si="11174">SUM(AR7632:AW7632)</f>
        <v>502960</v>
      </c>
      <c r="AY7632" s="119"/>
      <c r="AZ7632" s="137">
        <v>46154</v>
      </c>
    </row>
    <row r="7633" spans="1:52" ht="17.100000000000001" customHeight="1" thickBot="1">
      <c r="A7633" s="110"/>
      <c r="B7633" s="27" t="s">
        <v>83</v>
      </c>
      <c r="C7633" s="27">
        <v>34525</v>
      </c>
      <c r="D7633" s="14" t="s">
        <v>133</v>
      </c>
      <c r="E7633" s="112"/>
      <c r="F7633" s="139" t="s">
        <v>21643</v>
      </c>
      <c r="G7633" s="140"/>
      <c r="H7633" s="141"/>
      <c r="I7633" s="26">
        <v>70237</v>
      </c>
      <c r="J7633" s="117"/>
      <c r="K7633" s="120"/>
      <c r="L7633" s="121"/>
      <c r="M7633" s="120"/>
      <c r="N7633" s="121"/>
      <c r="O7633" s="120"/>
      <c r="P7633" s="121"/>
      <c r="Q7633" s="120"/>
      <c r="R7633" s="121"/>
      <c r="S7633" s="120"/>
      <c r="T7633" s="121"/>
      <c r="U7633" s="120"/>
      <c r="V7633" s="123"/>
      <c r="W7633" s="125"/>
      <c r="X7633" s="142" t="s">
        <v>21879</v>
      </c>
      <c r="Y7633" s="143"/>
      <c r="Z7633" s="143"/>
      <c r="AA7633" s="143"/>
      <c r="AB7633" s="144"/>
      <c r="AC7633" s="16" t="s">
        <v>21</v>
      </c>
      <c r="AD7633" s="17" t="s">
        <v>1642</v>
      </c>
      <c r="AE7633" s="145" t="s">
        <v>5275</v>
      </c>
      <c r="AF7633" s="146"/>
      <c r="AG7633" s="146"/>
      <c r="AH7633" s="146"/>
      <c r="AI7633" s="147"/>
      <c r="AJ7633" s="148"/>
      <c r="AK7633" s="143"/>
      <c r="AL7633" s="144"/>
      <c r="AM7633" s="22"/>
      <c r="AN7633" s="149" t="s">
        <v>7284</v>
      </c>
      <c r="AO7633" s="144"/>
      <c r="AP7633" s="148">
        <v>80170</v>
      </c>
      <c r="AQ7633" s="144"/>
      <c r="AR7633" s="120"/>
      <c r="AS7633" s="121"/>
      <c r="AT7633" s="120"/>
      <c r="AU7633" s="121"/>
      <c r="AV7633" s="120"/>
      <c r="AW7633" s="121"/>
      <c r="AX7633" s="120"/>
      <c r="AY7633" s="121"/>
      <c r="AZ7633" s="138"/>
    </row>
    <row r="7634" spans="1:52" ht="17.100000000000001" customHeight="1" thickTop="1">
      <c r="A7634" s="109" t="s">
        <v>21644</v>
      </c>
      <c r="B7634" s="28">
        <v>46111</v>
      </c>
      <c r="C7634" s="25"/>
      <c r="D7634" s="13" t="s">
        <v>1714</v>
      </c>
      <c r="E7634" s="111"/>
      <c r="F7634" s="113" t="s">
        <v>9965</v>
      </c>
      <c r="G7634" s="114"/>
      <c r="H7634" s="115"/>
      <c r="I7634" s="24"/>
      <c r="J7634" s="116">
        <v>4</v>
      </c>
      <c r="K7634" s="118">
        <v>1704000</v>
      </c>
      <c r="L7634" s="119"/>
      <c r="M7634" s="118">
        <f t="shared" ref="M7634" si="11175">K7634*0.1</f>
        <v>170400</v>
      </c>
      <c r="N7634" s="119"/>
      <c r="O7634" s="118">
        <v>0</v>
      </c>
      <c r="P7634" s="119"/>
      <c r="Q7634" s="118">
        <v>17800</v>
      </c>
      <c r="R7634" s="119"/>
      <c r="S7634" s="118">
        <v>14850</v>
      </c>
      <c r="T7634" s="119"/>
      <c r="U7634" s="118">
        <f t="shared" ref="U7634" si="11176">SUM(K7634:T7635)</f>
        <v>1907050</v>
      </c>
      <c r="V7634" s="122"/>
      <c r="W7634" s="124"/>
      <c r="X7634" s="126" t="s">
        <v>21939</v>
      </c>
      <c r="Y7634" s="127"/>
      <c r="Z7634" s="127"/>
      <c r="AA7634" s="127"/>
      <c r="AB7634" s="128"/>
      <c r="AC7634" s="15" t="s">
        <v>20</v>
      </c>
      <c r="AD7634" s="129" t="s">
        <v>171</v>
      </c>
      <c r="AE7634" s="130"/>
      <c r="AF7634" s="130"/>
      <c r="AG7634" s="130"/>
      <c r="AH7634" s="130"/>
      <c r="AI7634" s="131"/>
      <c r="AJ7634" s="132"/>
      <c r="AK7634" s="127"/>
      <c r="AL7634" s="128"/>
      <c r="AM7634" s="21"/>
      <c r="AN7634" s="133">
        <v>46123</v>
      </c>
      <c r="AO7634" s="134"/>
      <c r="AP7634" s="135">
        <v>1296</v>
      </c>
      <c r="AQ7634" s="136"/>
      <c r="AR7634" s="118">
        <v>1850000</v>
      </c>
      <c r="AS7634" s="119"/>
      <c r="AT7634" s="118">
        <f t="shared" ref="AT7634" si="11177">AR7634*0.1</f>
        <v>185000</v>
      </c>
      <c r="AU7634" s="119"/>
      <c r="AV7634" s="118">
        <v>17800</v>
      </c>
      <c r="AW7634" s="119"/>
      <c r="AX7634" s="118">
        <f t="shared" ref="AX7634" si="11178">SUM(AR7634:AW7634)</f>
        <v>2052800</v>
      </c>
      <c r="AY7634" s="119"/>
      <c r="AZ7634" s="137">
        <v>46126</v>
      </c>
    </row>
    <row r="7635" spans="1:52" ht="17.100000000000001" customHeight="1" thickBot="1">
      <c r="A7635" s="110"/>
      <c r="B7635" s="27" t="s">
        <v>4862</v>
      </c>
      <c r="C7635" s="27">
        <v>55444</v>
      </c>
      <c r="D7635" s="14" t="s">
        <v>1576</v>
      </c>
      <c r="E7635" s="112"/>
      <c r="F7635" s="139" t="s">
        <v>21664</v>
      </c>
      <c r="G7635" s="140"/>
      <c r="H7635" s="141"/>
      <c r="I7635" s="26">
        <v>56956</v>
      </c>
      <c r="J7635" s="117"/>
      <c r="K7635" s="120"/>
      <c r="L7635" s="121"/>
      <c r="M7635" s="120"/>
      <c r="N7635" s="121"/>
      <c r="O7635" s="120"/>
      <c r="P7635" s="121"/>
      <c r="Q7635" s="120"/>
      <c r="R7635" s="121"/>
      <c r="S7635" s="120"/>
      <c r="T7635" s="121"/>
      <c r="U7635" s="120"/>
      <c r="V7635" s="123"/>
      <c r="W7635" s="125"/>
      <c r="X7635" s="142" t="s">
        <v>21940</v>
      </c>
      <c r="Y7635" s="143"/>
      <c r="Z7635" s="143"/>
      <c r="AA7635" s="143"/>
      <c r="AB7635" s="144"/>
      <c r="AC7635" s="16" t="s">
        <v>21</v>
      </c>
      <c r="AD7635" s="17" t="s">
        <v>21936</v>
      </c>
      <c r="AE7635" s="145" t="s">
        <v>22280</v>
      </c>
      <c r="AF7635" s="146"/>
      <c r="AG7635" s="146"/>
      <c r="AH7635" s="146"/>
      <c r="AI7635" s="147"/>
      <c r="AJ7635" s="148"/>
      <c r="AK7635" s="143"/>
      <c r="AL7635" s="144"/>
      <c r="AM7635" s="22"/>
      <c r="AN7635" s="149" t="s">
        <v>2511</v>
      </c>
      <c r="AO7635" s="144"/>
      <c r="AP7635" s="148">
        <v>80023</v>
      </c>
      <c r="AQ7635" s="144"/>
      <c r="AR7635" s="120"/>
      <c r="AS7635" s="121"/>
      <c r="AT7635" s="120"/>
      <c r="AU7635" s="121"/>
      <c r="AV7635" s="120"/>
      <c r="AW7635" s="121"/>
      <c r="AX7635" s="120"/>
      <c r="AY7635" s="121"/>
      <c r="AZ7635" s="138"/>
    </row>
    <row r="7636" spans="1:52" ht="17.100000000000001" customHeight="1" thickTop="1">
      <c r="A7636" s="109" t="s">
        <v>21657</v>
      </c>
      <c r="B7636" s="28">
        <v>46111</v>
      </c>
      <c r="C7636" s="25"/>
      <c r="D7636" s="13" t="s">
        <v>2329</v>
      </c>
      <c r="E7636" s="111"/>
      <c r="F7636" s="113" t="s">
        <v>21665</v>
      </c>
      <c r="G7636" s="114"/>
      <c r="H7636" s="115"/>
      <c r="I7636" s="24" t="s">
        <v>1547</v>
      </c>
      <c r="J7636" s="116">
        <v>4</v>
      </c>
      <c r="K7636" s="118">
        <v>1925000</v>
      </c>
      <c r="L7636" s="119"/>
      <c r="M7636" s="118">
        <f t="shared" ref="M7636" si="11179">K7636*0.1</f>
        <v>192500</v>
      </c>
      <c r="N7636" s="119"/>
      <c r="O7636" s="118">
        <v>30500</v>
      </c>
      <c r="P7636" s="119"/>
      <c r="Q7636" s="118">
        <v>19090</v>
      </c>
      <c r="R7636" s="119"/>
      <c r="S7636" s="118">
        <v>14850</v>
      </c>
      <c r="T7636" s="119"/>
      <c r="U7636" s="118">
        <f t="shared" ref="U7636" si="11180">SUM(K7636:T7637)</f>
        <v>2181940</v>
      </c>
      <c r="V7636" s="122"/>
      <c r="W7636" s="124"/>
      <c r="X7636" s="126" t="s">
        <v>21667</v>
      </c>
      <c r="Y7636" s="127"/>
      <c r="Z7636" s="127"/>
      <c r="AA7636" s="127"/>
      <c r="AB7636" s="128"/>
      <c r="AC7636" s="15" t="s">
        <v>20</v>
      </c>
      <c r="AD7636" s="129"/>
      <c r="AE7636" s="130"/>
      <c r="AF7636" s="130"/>
      <c r="AG7636" s="130"/>
      <c r="AH7636" s="130"/>
      <c r="AI7636" s="131"/>
      <c r="AJ7636" s="132"/>
      <c r="AK7636" s="127"/>
      <c r="AL7636" s="128"/>
      <c r="AM7636" s="21" t="s">
        <v>22956</v>
      </c>
      <c r="AN7636" s="133">
        <v>46144</v>
      </c>
      <c r="AO7636" s="134"/>
      <c r="AP7636" s="135">
        <v>1299</v>
      </c>
      <c r="AQ7636" s="136"/>
      <c r="AR7636" s="118">
        <v>2100000</v>
      </c>
      <c r="AS7636" s="119"/>
      <c r="AT7636" s="118">
        <f t="shared" ref="AT7636" si="11181">AR7636*0.1</f>
        <v>210000</v>
      </c>
      <c r="AU7636" s="119"/>
      <c r="AV7636" s="118">
        <v>19090</v>
      </c>
      <c r="AW7636" s="119"/>
      <c r="AX7636" s="118">
        <f t="shared" ref="AX7636" si="11182">SUM(AR7636:AW7636)</f>
        <v>2329090</v>
      </c>
      <c r="AY7636" s="119"/>
      <c r="AZ7636" s="137">
        <v>46161</v>
      </c>
    </row>
    <row r="7637" spans="1:52" ht="17.100000000000001" customHeight="1" thickBot="1">
      <c r="A7637" s="110"/>
      <c r="B7637" s="27" t="s">
        <v>4862</v>
      </c>
      <c r="C7637" s="27">
        <v>55726</v>
      </c>
      <c r="D7637" s="14" t="s">
        <v>2800</v>
      </c>
      <c r="E7637" s="112"/>
      <c r="F7637" s="139" t="s">
        <v>21666</v>
      </c>
      <c r="G7637" s="140"/>
      <c r="H7637" s="141"/>
      <c r="I7637" s="26">
        <v>25203</v>
      </c>
      <c r="J7637" s="117"/>
      <c r="K7637" s="120"/>
      <c r="L7637" s="121"/>
      <c r="M7637" s="120"/>
      <c r="N7637" s="121"/>
      <c r="O7637" s="120"/>
      <c r="P7637" s="121"/>
      <c r="Q7637" s="120"/>
      <c r="R7637" s="121"/>
      <c r="S7637" s="120"/>
      <c r="T7637" s="121"/>
      <c r="U7637" s="120"/>
      <c r="V7637" s="123"/>
      <c r="W7637" s="125"/>
      <c r="X7637" s="142" t="s">
        <v>21941</v>
      </c>
      <c r="Y7637" s="143"/>
      <c r="Z7637" s="143"/>
      <c r="AA7637" s="143"/>
      <c r="AB7637" s="144"/>
      <c r="AC7637" s="16" t="s">
        <v>21</v>
      </c>
      <c r="AD7637" s="17" t="s">
        <v>21936</v>
      </c>
      <c r="AE7637" s="145" t="s">
        <v>5319</v>
      </c>
      <c r="AF7637" s="146"/>
      <c r="AG7637" s="146"/>
      <c r="AH7637" s="146"/>
      <c r="AI7637" s="147"/>
      <c r="AJ7637" s="148"/>
      <c r="AK7637" s="143"/>
      <c r="AL7637" s="144"/>
      <c r="AM7637" s="22"/>
      <c r="AN7637" s="149" t="s">
        <v>6748</v>
      </c>
      <c r="AO7637" s="144"/>
      <c r="AP7637" s="148">
        <v>80026</v>
      </c>
      <c r="AQ7637" s="144"/>
      <c r="AR7637" s="120"/>
      <c r="AS7637" s="121"/>
      <c r="AT7637" s="120"/>
      <c r="AU7637" s="121"/>
      <c r="AV7637" s="120"/>
      <c r="AW7637" s="121"/>
      <c r="AX7637" s="120"/>
      <c r="AY7637" s="121"/>
      <c r="AZ7637" s="138"/>
    </row>
    <row r="7638" spans="1:52" ht="17.100000000000001" customHeight="1" thickTop="1">
      <c r="A7638" s="109" t="s">
        <v>21658</v>
      </c>
      <c r="B7638" s="28">
        <v>46111</v>
      </c>
      <c r="C7638" s="25"/>
      <c r="D7638" s="13" t="s">
        <v>1686</v>
      </c>
      <c r="E7638" s="111"/>
      <c r="F7638" s="113" t="s">
        <v>1871</v>
      </c>
      <c r="G7638" s="114"/>
      <c r="H7638" s="115"/>
      <c r="I7638" s="24" t="s">
        <v>1559</v>
      </c>
      <c r="J7638" s="116">
        <v>4</v>
      </c>
      <c r="K7638" s="118">
        <v>525000</v>
      </c>
      <c r="L7638" s="119"/>
      <c r="M7638" s="118">
        <f t="shared" ref="M7638" si="11183">K7638*0.1</f>
        <v>52500</v>
      </c>
      <c r="N7638" s="119"/>
      <c r="O7638" s="118">
        <v>39500</v>
      </c>
      <c r="P7638" s="119"/>
      <c r="Q7638" s="118">
        <v>18960</v>
      </c>
      <c r="R7638" s="119"/>
      <c r="S7638" s="118">
        <v>14850</v>
      </c>
      <c r="T7638" s="119"/>
      <c r="U7638" s="118">
        <f t="shared" ref="U7638" si="11184">SUM(K7638:T7639)</f>
        <v>650810</v>
      </c>
      <c r="V7638" s="122"/>
      <c r="W7638" s="124"/>
      <c r="X7638" s="126" t="s">
        <v>21645</v>
      </c>
      <c r="Y7638" s="127"/>
      <c r="Z7638" s="127"/>
      <c r="AA7638" s="127"/>
      <c r="AB7638" s="128"/>
      <c r="AC7638" s="15" t="s">
        <v>20</v>
      </c>
      <c r="AD7638" s="129"/>
      <c r="AE7638" s="130"/>
      <c r="AF7638" s="130"/>
      <c r="AG7638" s="130"/>
      <c r="AH7638" s="130"/>
      <c r="AI7638" s="131"/>
      <c r="AJ7638" s="132"/>
      <c r="AK7638" s="127"/>
      <c r="AL7638" s="128"/>
      <c r="AM7638" s="21"/>
      <c r="AN7638" s="133">
        <v>46123</v>
      </c>
      <c r="AO7638" s="134"/>
      <c r="AP7638" s="135">
        <v>1296</v>
      </c>
      <c r="AQ7638" s="136"/>
      <c r="AR7638" s="118">
        <v>650000</v>
      </c>
      <c r="AS7638" s="119"/>
      <c r="AT7638" s="118">
        <f t="shared" ref="AT7638" si="11185">AR7638*0.1</f>
        <v>65000</v>
      </c>
      <c r="AU7638" s="119"/>
      <c r="AV7638" s="118">
        <v>18960</v>
      </c>
      <c r="AW7638" s="119"/>
      <c r="AX7638" s="118">
        <f t="shared" ref="AX7638" si="11186">SUM(AR7638:AW7638)</f>
        <v>733960</v>
      </c>
      <c r="AY7638" s="119"/>
      <c r="AZ7638" s="137">
        <v>46128</v>
      </c>
    </row>
    <row r="7639" spans="1:52" ht="17.100000000000001" customHeight="1" thickBot="1">
      <c r="A7639" s="110"/>
      <c r="B7639" s="27" t="s">
        <v>2774</v>
      </c>
      <c r="C7639" s="27">
        <v>80075</v>
      </c>
      <c r="D7639" s="14" t="s">
        <v>3809</v>
      </c>
      <c r="E7639" s="112"/>
      <c r="F7639" s="139" t="s">
        <v>22254</v>
      </c>
      <c r="G7639" s="140"/>
      <c r="H7639" s="141"/>
      <c r="I7639" s="26">
        <v>70009</v>
      </c>
      <c r="J7639" s="117"/>
      <c r="K7639" s="120"/>
      <c r="L7639" s="121"/>
      <c r="M7639" s="120"/>
      <c r="N7639" s="121"/>
      <c r="O7639" s="120"/>
      <c r="P7639" s="121"/>
      <c r="Q7639" s="120"/>
      <c r="R7639" s="121"/>
      <c r="S7639" s="120"/>
      <c r="T7639" s="121"/>
      <c r="U7639" s="120"/>
      <c r="V7639" s="123"/>
      <c r="W7639" s="125"/>
      <c r="X7639" s="142" t="s">
        <v>6772</v>
      </c>
      <c r="Y7639" s="143"/>
      <c r="Z7639" s="143"/>
      <c r="AA7639" s="143"/>
      <c r="AB7639" s="144"/>
      <c r="AC7639" s="16" t="s">
        <v>21</v>
      </c>
      <c r="AD7639" s="17" t="s">
        <v>1786</v>
      </c>
      <c r="AE7639" s="145" t="s">
        <v>21928</v>
      </c>
      <c r="AF7639" s="146"/>
      <c r="AG7639" s="146"/>
      <c r="AH7639" s="146"/>
      <c r="AI7639" s="147"/>
      <c r="AJ7639" s="148"/>
      <c r="AK7639" s="143"/>
      <c r="AL7639" s="144"/>
      <c r="AM7639" s="22"/>
      <c r="AN7639" s="149" t="s">
        <v>23030</v>
      </c>
      <c r="AO7639" s="144"/>
      <c r="AP7639" s="148">
        <v>80352</v>
      </c>
      <c r="AQ7639" s="144"/>
      <c r="AR7639" s="120"/>
      <c r="AS7639" s="121"/>
      <c r="AT7639" s="120"/>
      <c r="AU7639" s="121"/>
      <c r="AV7639" s="120"/>
      <c r="AW7639" s="121"/>
      <c r="AX7639" s="120"/>
      <c r="AY7639" s="121"/>
      <c r="AZ7639" s="138"/>
    </row>
    <row r="7640" spans="1:52" ht="17.100000000000001" customHeight="1" thickTop="1">
      <c r="A7640" s="109" t="s">
        <v>21659</v>
      </c>
      <c r="B7640" s="28">
        <v>46111</v>
      </c>
      <c r="C7640" s="25"/>
      <c r="D7640" s="13" t="s">
        <v>2009</v>
      </c>
      <c r="E7640" s="111"/>
      <c r="F7640" s="113" t="s">
        <v>21647</v>
      </c>
      <c r="G7640" s="114"/>
      <c r="H7640" s="115"/>
      <c r="I7640" s="24" t="s">
        <v>5685</v>
      </c>
      <c r="J7640" s="116">
        <v>4.5</v>
      </c>
      <c r="K7640" s="118">
        <f>1353000/1.1</f>
        <v>1230000</v>
      </c>
      <c r="L7640" s="119"/>
      <c r="M7640" s="118">
        <f t="shared" ref="M7640" si="11187">K7640*0.1</f>
        <v>123000</v>
      </c>
      <c r="N7640" s="119"/>
      <c r="O7640" s="118">
        <v>0</v>
      </c>
      <c r="P7640" s="119"/>
      <c r="Q7640" s="118">
        <v>8630</v>
      </c>
      <c r="R7640" s="119"/>
      <c r="S7640" s="118">
        <v>0</v>
      </c>
      <c r="T7640" s="119"/>
      <c r="U7640" s="118">
        <f t="shared" ref="U7640" si="11188">SUM(K7640:T7641)</f>
        <v>1361630</v>
      </c>
      <c r="V7640" s="122"/>
      <c r="W7640" s="124"/>
      <c r="X7640" s="126" t="s">
        <v>23811</v>
      </c>
      <c r="Y7640" s="127"/>
      <c r="Z7640" s="127"/>
      <c r="AA7640" s="127"/>
      <c r="AB7640" s="128"/>
      <c r="AC7640" s="15" t="s">
        <v>20</v>
      </c>
      <c r="AD7640" s="129" t="s">
        <v>1945</v>
      </c>
      <c r="AE7640" s="130"/>
      <c r="AF7640" s="130"/>
      <c r="AG7640" s="130"/>
      <c r="AH7640" s="130"/>
      <c r="AI7640" s="131"/>
      <c r="AJ7640" s="132"/>
      <c r="AK7640" s="127"/>
      <c r="AL7640" s="128"/>
      <c r="AM7640" s="21" t="s">
        <v>25546</v>
      </c>
      <c r="AN7640" s="133">
        <v>46155</v>
      </c>
      <c r="AO7640" s="134"/>
      <c r="AP7640" s="135">
        <v>1016</v>
      </c>
      <c r="AQ7640" s="136"/>
      <c r="AR7640" s="118">
        <v>1295000</v>
      </c>
      <c r="AS7640" s="119"/>
      <c r="AT7640" s="118">
        <f t="shared" ref="AT7640" si="11189">AR7640*0.1</f>
        <v>129500</v>
      </c>
      <c r="AU7640" s="119"/>
      <c r="AV7640" s="118">
        <v>8630</v>
      </c>
      <c r="AW7640" s="119"/>
      <c r="AX7640" s="118">
        <f t="shared" ref="AX7640" si="11190">SUM(AR7640:AW7640)</f>
        <v>1433130</v>
      </c>
      <c r="AY7640" s="119"/>
      <c r="AZ7640" s="137">
        <v>46161</v>
      </c>
    </row>
    <row r="7641" spans="1:52" ht="17.100000000000001" customHeight="1" thickBot="1">
      <c r="A7641" s="110"/>
      <c r="B7641" s="27" t="s">
        <v>1718</v>
      </c>
      <c r="C7641" s="27" t="s">
        <v>21646</v>
      </c>
      <c r="D7641" s="14" t="s">
        <v>3327</v>
      </c>
      <c r="E7641" s="112"/>
      <c r="F7641" s="139" t="s">
        <v>21648</v>
      </c>
      <c r="G7641" s="140"/>
      <c r="H7641" s="141"/>
      <c r="I7641" s="26">
        <v>18606</v>
      </c>
      <c r="J7641" s="117"/>
      <c r="K7641" s="120"/>
      <c r="L7641" s="121"/>
      <c r="M7641" s="120"/>
      <c r="N7641" s="121"/>
      <c r="O7641" s="120"/>
      <c r="P7641" s="121"/>
      <c r="Q7641" s="120"/>
      <c r="R7641" s="121"/>
      <c r="S7641" s="120"/>
      <c r="T7641" s="121"/>
      <c r="U7641" s="120"/>
      <c r="V7641" s="123"/>
      <c r="W7641" s="125"/>
      <c r="X7641" s="142" t="s">
        <v>23812</v>
      </c>
      <c r="Y7641" s="143"/>
      <c r="Z7641" s="143"/>
      <c r="AA7641" s="143"/>
      <c r="AB7641" s="144"/>
      <c r="AC7641" s="16" t="s">
        <v>21</v>
      </c>
      <c r="AD7641" s="17" t="s">
        <v>3719</v>
      </c>
      <c r="AE7641" s="145" t="s">
        <v>1614</v>
      </c>
      <c r="AF7641" s="146"/>
      <c r="AG7641" s="146"/>
      <c r="AH7641" s="146"/>
      <c r="AI7641" s="147"/>
      <c r="AJ7641" s="148"/>
      <c r="AK7641" s="143"/>
      <c r="AL7641" s="144"/>
      <c r="AM7641" s="22"/>
      <c r="AN7641" s="149" t="s">
        <v>2794</v>
      </c>
      <c r="AO7641" s="144"/>
      <c r="AP7641" s="148">
        <v>1064</v>
      </c>
      <c r="AQ7641" s="144"/>
      <c r="AR7641" s="120"/>
      <c r="AS7641" s="121"/>
      <c r="AT7641" s="120"/>
      <c r="AU7641" s="121"/>
      <c r="AV7641" s="120"/>
      <c r="AW7641" s="121"/>
      <c r="AX7641" s="120"/>
      <c r="AY7641" s="121"/>
      <c r="AZ7641" s="138"/>
    </row>
    <row r="7642" spans="1:52" ht="17.100000000000001" customHeight="1" thickTop="1">
      <c r="A7642" s="109" t="s">
        <v>21660</v>
      </c>
      <c r="B7642" s="28">
        <v>46111</v>
      </c>
      <c r="C7642" s="25"/>
      <c r="D7642" s="13" t="s">
        <v>12507</v>
      </c>
      <c r="E7642" s="111"/>
      <c r="F7642" s="113" t="s">
        <v>21650</v>
      </c>
      <c r="G7642" s="114"/>
      <c r="H7642" s="115"/>
      <c r="I7642" s="24" t="s">
        <v>8224</v>
      </c>
      <c r="J7642" s="116">
        <v>4</v>
      </c>
      <c r="K7642" s="118">
        <f>400400/1.1</f>
        <v>363999.99999999994</v>
      </c>
      <c r="L7642" s="119"/>
      <c r="M7642" s="118">
        <f t="shared" ref="M7642" si="11191">K7642*0.1</f>
        <v>36399.999999999993</v>
      </c>
      <c r="N7642" s="119"/>
      <c r="O7642" s="118">
        <v>0</v>
      </c>
      <c r="P7642" s="119"/>
      <c r="Q7642" s="118">
        <v>18290</v>
      </c>
      <c r="R7642" s="119"/>
      <c r="S7642" s="118">
        <v>0</v>
      </c>
      <c r="T7642" s="119"/>
      <c r="U7642" s="118">
        <f t="shared" ref="U7642" si="11192">SUM(K7642:T7643)</f>
        <v>418689.99999999994</v>
      </c>
      <c r="V7642" s="122"/>
      <c r="W7642" s="124"/>
      <c r="X7642" s="126" t="s">
        <v>25152</v>
      </c>
      <c r="Y7642" s="127"/>
      <c r="Z7642" s="127"/>
      <c r="AA7642" s="127"/>
      <c r="AB7642" s="128"/>
      <c r="AC7642" s="15" t="s">
        <v>20</v>
      </c>
      <c r="AD7642" s="129" t="s">
        <v>1945</v>
      </c>
      <c r="AE7642" s="130"/>
      <c r="AF7642" s="130"/>
      <c r="AG7642" s="130"/>
      <c r="AH7642" s="130"/>
      <c r="AI7642" s="131"/>
      <c r="AJ7642" s="132"/>
      <c r="AK7642" s="127"/>
      <c r="AL7642" s="128"/>
      <c r="AM7642" s="21"/>
      <c r="AN7642" s="133">
        <v>46155</v>
      </c>
      <c r="AO7642" s="134"/>
      <c r="AP7642" s="135">
        <v>1016</v>
      </c>
      <c r="AQ7642" s="136"/>
      <c r="AR7642" s="118">
        <v>615000</v>
      </c>
      <c r="AS7642" s="119"/>
      <c r="AT7642" s="118">
        <f t="shared" ref="AT7642" si="11193">AR7642*0.1</f>
        <v>61500</v>
      </c>
      <c r="AU7642" s="119"/>
      <c r="AV7642" s="118">
        <v>18290</v>
      </c>
      <c r="AW7642" s="119"/>
      <c r="AX7642" s="118">
        <f t="shared" ref="AX7642" si="11194">SUM(AR7642:AW7642)</f>
        <v>694790</v>
      </c>
      <c r="AY7642" s="119"/>
      <c r="AZ7642" s="137">
        <v>46160</v>
      </c>
    </row>
    <row r="7643" spans="1:52" ht="17.100000000000001" customHeight="1" thickBot="1">
      <c r="A7643" s="110"/>
      <c r="B7643" s="27" t="s">
        <v>1718</v>
      </c>
      <c r="C7643" s="27" t="s">
        <v>21649</v>
      </c>
      <c r="D7643" s="14" t="s">
        <v>4023</v>
      </c>
      <c r="E7643" s="112"/>
      <c r="F7643" s="139" t="s">
        <v>21651</v>
      </c>
      <c r="G7643" s="140"/>
      <c r="H7643" s="141"/>
      <c r="I7643" s="26">
        <v>70039</v>
      </c>
      <c r="J7643" s="117"/>
      <c r="K7643" s="120"/>
      <c r="L7643" s="121"/>
      <c r="M7643" s="120"/>
      <c r="N7643" s="121"/>
      <c r="O7643" s="120"/>
      <c r="P7643" s="121"/>
      <c r="Q7643" s="120"/>
      <c r="R7643" s="121"/>
      <c r="S7643" s="120"/>
      <c r="T7643" s="121"/>
      <c r="U7643" s="120"/>
      <c r="V7643" s="123"/>
      <c r="W7643" s="125"/>
      <c r="X7643" s="142" t="s">
        <v>11302</v>
      </c>
      <c r="Y7643" s="143"/>
      <c r="Z7643" s="143"/>
      <c r="AA7643" s="143"/>
      <c r="AB7643" s="144"/>
      <c r="AC7643" s="16" t="s">
        <v>21</v>
      </c>
      <c r="AD7643" s="17" t="s">
        <v>2009</v>
      </c>
      <c r="AE7643" s="145" t="s">
        <v>25153</v>
      </c>
      <c r="AF7643" s="146"/>
      <c r="AG7643" s="146"/>
      <c r="AH7643" s="146"/>
      <c r="AI7643" s="147"/>
      <c r="AJ7643" s="148"/>
      <c r="AK7643" s="143"/>
      <c r="AL7643" s="144"/>
      <c r="AM7643" s="22"/>
      <c r="AN7643" s="149" t="s">
        <v>2794</v>
      </c>
      <c r="AO7643" s="144"/>
      <c r="AP7643" s="148">
        <v>1065</v>
      </c>
      <c r="AQ7643" s="144"/>
      <c r="AR7643" s="120"/>
      <c r="AS7643" s="121"/>
      <c r="AT7643" s="120"/>
      <c r="AU7643" s="121"/>
      <c r="AV7643" s="120"/>
      <c r="AW7643" s="121"/>
      <c r="AX7643" s="120"/>
      <c r="AY7643" s="121"/>
      <c r="AZ7643" s="138"/>
    </row>
    <row r="7644" spans="1:52" ht="17.100000000000001" customHeight="1" thickTop="1">
      <c r="A7644" s="109" t="s">
        <v>21662</v>
      </c>
      <c r="B7644" s="28">
        <v>46111</v>
      </c>
      <c r="C7644" s="25"/>
      <c r="D7644" s="13" t="s">
        <v>2298</v>
      </c>
      <c r="E7644" s="111"/>
      <c r="F7644" s="113" t="s">
        <v>21653</v>
      </c>
      <c r="G7644" s="114"/>
      <c r="H7644" s="115"/>
      <c r="I7644" s="24" t="s">
        <v>20883</v>
      </c>
      <c r="J7644" s="116">
        <v>4</v>
      </c>
      <c r="K7644" s="118">
        <f>3877500/1.1</f>
        <v>3524999.9999999995</v>
      </c>
      <c r="L7644" s="119"/>
      <c r="M7644" s="118">
        <f t="shared" ref="M7644" si="11195">K7644*0.1</f>
        <v>352500</v>
      </c>
      <c r="N7644" s="119"/>
      <c r="O7644" s="118">
        <v>0</v>
      </c>
      <c r="P7644" s="119"/>
      <c r="Q7644" s="118">
        <v>11040</v>
      </c>
      <c r="R7644" s="119"/>
      <c r="S7644" s="118">
        <v>0</v>
      </c>
      <c r="T7644" s="119"/>
      <c r="U7644" s="118">
        <f t="shared" ref="U7644" si="11196">SUM(K7644:T7645)</f>
        <v>3888539.9999999995</v>
      </c>
      <c r="V7644" s="122"/>
      <c r="W7644" s="124"/>
      <c r="X7644" s="126" t="s">
        <v>24001</v>
      </c>
      <c r="Y7644" s="127"/>
      <c r="Z7644" s="127"/>
      <c r="AA7644" s="127"/>
      <c r="AB7644" s="128"/>
      <c r="AC7644" s="15" t="s">
        <v>20</v>
      </c>
      <c r="AD7644" s="129" t="s">
        <v>1945</v>
      </c>
      <c r="AE7644" s="130"/>
      <c r="AF7644" s="130"/>
      <c r="AG7644" s="130"/>
      <c r="AH7644" s="130"/>
      <c r="AI7644" s="131"/>
      <c r="AJ7644" s="132"/>
      <c r="AK7644" s="127"/>
      <c r="AL7644" s="128"/>
      <c r="AM7644" s="21"/>
      <c r="AN7644" s="133">
        <v>46127</v>
      </c>
      <c r="AO7644" s="134"/>
      <c r="AP7644" s="135">
        <v>1013</v>
      </c>
      <c r="AQ7644" s="136"/>
      <c r="AR7644" s="118">
        <v>3495000</v>
      </c>
      <c r="AS7644" s="119"/>
      <c r="AT7644" s="118">
        <f t="shared" ref="AT7644" si="11197">AR7644*0.1</f>
        <v>349500</v>
      </c>
      <c r="AU7644" s="119"/>
      <c r="AV7644" s="118">
        <v>11040</v>
      </c>
      <c r="AW7644" s="119"/>
      <c r="AX7644" s="118">
        <f t="shared" ref="AX7644" si="11198">SUM(AR7644:AW7644)</f>
        <v>3855540</v>
      </c>
      <c r="AY7644" s="119"/>
      <c r="AZ7644" s="137">
        <v>46135</v>
      </c>
    </row>
    <row r="7645" spans="1:52" ht="17.100000000000001" customHeight="1" thickBot="1">
      <c r="A7645" s="110"/>
      <c r="B7645" s="27" t="s">
        <v>1718</v>
      </c>
      <c r="C7645" s="27" t="s">
        <v>21652</v>
      </c>
      <c r="D7645" s="14" t="s">
        <v>275</v>
      </c>
      <c r="E7645" s="112"/>
      <c r="F7645" s="139" t="s">
        <v>21654</v>
      </c>
      <c r="G7645" s="140"/>
      <c r="H7645" s="141"/>
      <c r="I7645" s="26">
        <v>55224</v>
      </c>
      <c r="J7645" s="117"/>
      <c r="K7645" s="120"/>
      <c r="L7645" s="121"/>
      <c r="M7645" s="120"/>
      <c r="N7645" s="121"/>
      <c r="O7645" s="120"/>
      <c r="P7645" s="121"/>
      <c r="Q7645" s="120"/>
      <c r="R7645" s="121"/>
      <c r="S7645" s="120"/>
      <c r="T7645" s="121"/>
      <c r="U7645" s="120"/>
      <c r="V7645" s="123"/>
      <c r="W7645" s="125"/>
      <c r="X7645" s="142" t="s">
        <v>24002</v>
      </c>
      <c r="Y7645" s="143"/>
      <c r="Z7645" s="143"/>
      <c r="AA7645" s="143"/>
      <c r="AB7645" s="144"/>
      <c r="AC7645" s="16" t="s">
        <v>21</v>
      </c>
      <c r="AD7645" s="17" t="s">
        <v>3980</v>
      </c>
      <c r="AE7645" s="145" t="s">
        <v>1945</v>
      </c>
      <c r="AF7645" s="146"/>
      <c r="AG7645" s="146"/>
      <c r="AH7645" s="146"/>
      <c r="AI7645" s="147"/>
      <c r="AJ7645" s="148"/>
      <c r="AK7645" s="143"/>
      <c r="AL7645" s="144"/>
      <c r="AM7645" s="22"/>
      <c r="AN7645" s="149" t="s">
        <v>2794</v>
      </c>
      <c r="AO7645" s="144"/>
      <c r="AP7645" s="148">
        <v>8031</v>
      </c>
      <c r="AQ7645" s="144"/>
      <c r="AR7645" s="120"/>
      <c r="AS7645" s="121"/>
      <c r="AT7645" s="120"/>
      <c r="AU7645" s="121"/>
      <c r="AV7645" s="120"/>
      <c r="AW7645" s="121"/>
      <c r="AX7645" s="120"/>
      <c r="AY7645" s="121"/>
      <c r="AZ7645" s="138"/>
    </row>
    <row r="7646" spans="1:52" ht="17.100000000000001" customHeight="1" thickTop="1">
      <c r="A7646" s="109" t="s">
        <v>21663</v>
      </c>
      <c r="B7646" s="28">
        <v>46111</v>
      </c>
      <c r="C7646" s="25"/>
      <c r="D7646" s="13" t="s">
        <v>1688</v>
      </c>
      <c r="E7646" s="111"/>
      <c r="F7646" s="113" t="s">
        <v>15976</v>
      </c>
      <c r="G7646" s="114"/>
      <c r="H7646" s="115"/>
      <c r="I7646" s="24" t="s">
        <v>22983</v>
      </c>
      <c r="J7646" s="116">
        <v>4</v>
      </c>
      <c r="K7646" s="118">
        <f>911900/1.1</f>
        <v>828999.99999999988</v>
      </c>
      <c r="L7646" s="119"/>
      <c r="M7646" s="118">
        <f t="shared" ref="M7646" si="11199">K7646*0.1</f>
        <v>82900</v>
      </c>
      <c r="N7646" s="119"/>
      <c r="O7646" s="118">
        <v>0</v>
      </c>
      <c r="P7646" s="119"/>
      <c r="Q7646" s="118">
        <v>8010</v>
      </c>
      <c r="R7646" s="119"/>
      <c r="S7646" s="118">
        <v>0</v>
      </c>
      <c r="T7646" s="119"/>
      <c r="U7646" s="118">
        <f t="shared" ref="U7646" si="11200">SUM(K7646:T7647)</f>
        <v>919909.99999999988</v>
      </c>
      <c r="V7646" s="122"/>
      <c r="W7646" s="124"/>
      <c r="X7646" s="126" t="s">
        <v>22984</v>
      </c>
      <c r="Y7646" s="127"/>
      <c r="Z7646" s="127"/>
      <c r="AA7646" s="127"/>
      <c r="AB7646" s="128"/>
      <c r="AC7646" s="15" t="s">
        <v>20</v>
      </c>
      <c r="AD7646" s="129" t="s">
        <v>171</v>
      </c>
      <c r="AE7646" s="130"/>
      <c r="AF7646" s="130"/>
      <c r="AG7646" s="130"/>
      <c r="AH7646" s="130"/>
      <c r="AI7646" s="131"/>
      <c r="AJ7646" s="132"/>
      <c r="AK7646" s="127"/>
      <c r="AL7646" s="128"/>
      <c r="AM7646" s="21"/>
      <c r="AN7646" s="133"/>
      <c r="AO7646" s="134"/>
      <c r="AP7646" s="135"/>
      <c r="AQ7646" s="136"/>
      <c r="AR7646" s="118"/>
      <c r="AS7646" s="119"/>
      <c r="AT7646" s="118">
        <f t="shared" ref="AT7646" si="11201">AR7646*0.1</f>
        <v>0</v>
      </c>
      <c r="AU7646" s="119"/>
      <c r="AV7646" s="118"/>
      <c r="AW7646" s="119"/>
      <c r="AX7646" s="118">
        <f t="shared" ref="AX7646" si="11202">SUM(AR7646:AW7646)</f>
        <v>0</v>
      </c>
      <c r="AY7646" s="119"/>
      <c r="AZ7646" s="137"/>
    </row>
    <row r="7647" spans="1:52" ht="17.100000000000001" customHeight="1" thickBot="1">
      <c r="A7647" s="110"/>
      <c r="B7647" s="27" t="s">
        <v>1718</v>
      </c>
      <c r="C7647" s="27" t="s">
        <v>21655</v>
      </c>
      <c r="D7647" s="14" t="s">
        <v>275</v>
      </c>
      <c r="E7647" s="112"/>
      <c r="F7647" s="139" t="s">
        <v>21656</v>
      </c>
      <c r="G7647" s="140"/>
      <c r="H7647" s="141"/>
      <c r="I7647" s="26">
        <v>49183</v>
      </c>
      <c r="J7647" s="117"/>
      <c r="K7647" s="120"/>
      <c r="L7647" s="121"/>
      <c r="M7647" s="120"/>
      <c r="N7647" s="121"/>
      <c r="O7647" s="120"/>
      <c r="P7647" s="121"/>
      <c r="Q7647" s="120"/>
      <c r="R7647" s="121"/>
      <c r="S7647" s="120"/>
      <c r="T7647" s="121"/>
      <c r="U7647" s="120"/>
      <c r="V7647" s="123"/>
      <c r="W7647" s="125"/>
      <c r="X7647" s="142" t="s">
        <v>22985</v>
      </c>
      <c r="Y7647" s="143"/>
      <c r="Z7647" s="143"/>
      <c r="AA7647" s="143"/>
      <c r="AB7647" s="144"/>
      <c r="AC7647" s="16" t="s">
        <v>21</v>
      </c>
      <c r="AD7647" s="17" t="s">
        <v>22918</v>
      </c>
      <c r="AE7647" s="145" t="s">
        <v>1633</v>
      </c>
      <c r="AF7647" s="146"/>
      <c r="AG7647" s="146"/>
      <c r="AH7647" s="146"/>
      <c r="AI7647" s="147"/>
      <c r="AJ7647" s="148"/>
      <c r="AK7647" s="143"/>
      <c r="AL7647" s="144"/>
      <c r="AM7647" s="22"/>
      <c r="AN7647" s="149"/>
      <c r="AO7647" s="144"/>
      <c r="AP7647" s="148"/>
      <c r="AQ7647" s="144"/>
      <c r="AR7647" s="120"/>
      <c r="AS7647" s="121"/>
      <c r="AT7647" s="120"/>
      <c r="AU7647" s="121"/>
      <c r="AV7647" s="120"/>
      <c r="AW7647" s="121"/>
      <c r="AX7647" s="120"/>
      <c r="AY7647" s="121"/>
      <c r="AZ7647" s="138"/>
    </row>
    <row r="7648" spans="1:52" ht="17.100000000000001" customHeight="1" thickTop="1">
      <c r="A7648" s="109" t="s">
        <v>21705</v>
      </c>
      <c r="B7648" s="28">
        <v>46112</v>
      </c>
      <c r="C7648" s="25">
        <v>984</v>
      </c>
      <c r="D7648" s="13" t="s">
        <v>21714</v>
      </c>
      <c r="E7648" s="111"/>
      <c r="F7648" s="113" t="s">
        <v>21716</v>
      </c>
      <c r="G7648" s="114"/>
      <c r="H7648" s="115"/>
      <c r="I7648" s="24"/>
      <c r="J7648" s="116">
        <v>4</v>
      </c>
      <c r="K7648" s="118">
        <v>1146000</v>
      </c>
      <c r="L7648" s="119"/>
      <c r="M7648" s="118">
        <f t="shared" ref="M7648" si="11203">K7648*0.1</f>
        <v>114600</v>
      </c>
      <c r="N7648" s="119"/>
      <c r="O7648" s="118">
        <v>0</v>
      </c>
      <c r="P7648" s="119"/>
      <c r="Q7648" s="118">
        <v>8850</v>
      </c>
      <c r="R7648" s="119"/>
      <c r="S7648" s="118">
        <v>22000</v>
      </c>
      <c r="T7648" s="119"/>
      <c r="U7648" s="118">
        <f t="shared" ref="U7648" si="11204">SUM(K7648:T7649)</f>
        <v>1291450</v>
      </c>
      <c r="V7648" s="122"/>
      <c r="W7648" s="124"/>
      <c r="X7648" s="126" t="s">
        <v>22424</v>
      </c>
      <c r="Y7648" s="127"/>
      <c r="Z7648" s="127"/>
      <c r="AA7648" s="127"/>
      <c r="AB7648" s="128"/>
      <c r="AC7648" s="15" t="s">
        <v>20</v>
      </c>
      <c r="AD7648" s="129" t="s">
        <v>21718</v>
      </c>
      <c r="AE7648" s="130"/>
      <c r="AF7648" s="130"/>
      <c r="AG7648" s="130"/>
      <c r="AH7648" s="130"/>
      <c r="AI7648" s="131"/>
      <c r="AJ7648" s="132"/>
      <c r="AK7648" s="127"/>
      <c r="AL7648" s="128"/>
      <c r="AM7648" s="21"/>
      <c r="AN7648" s="133">
        <v>46119</v>
      </c>
      <c r="AO7648" s="134"/>
      <c r="AP7648" s="135">
        <v>1936</v>
      </c>
      <c r="AQ7648" s="136"/>
      <c r="AR7648" s="118">
        <v>1182000</v>
      </c>
      <c r="AS7648" s="119"/>
      <c r="AT7648" s="118">
        <f t="shared" ref="AT7648" si="11205">AR7648*0.1</f>
        <v>118200</v>
      </c>
      <c r="AU7648" s="119"/>
      <c r="AV7648" s="118">
        <v>8850</v>
      </c>
      <c r="AW7648" s="119"/>
      <c r="AX7648" s="118">
        <f t="shared" ref="AX7648" si="11206">SUM(AR7648:AW7648)</f>
        <v>1309050</v>
      </c>
      <c r="AY7648" s="119"/>
      <c r="AZ7648" s="137"/>
    </row>
    <row r="7649" spans="1:52" ht="17.100000000000001" customHeight="1" thickBot="1">
      <c r="A7649" s="110"/>
      <c r="B7649" s="27" t="s">
        <v>21713</v>
      </c>
      <c r="C7649" s="27">
        <v>42</v>
      </c>
      <c r="D7649" s="14" t="s">
        <v>21715</v>
      </c>
      <c r="E7649" s="112"/>
      <c r="F7649" s="139" t="s">
        <v>21717</v>
      </c>
      <c r="G7649" s="140"/>
      <c r="H7649" s="141"/>
      <c r="I7649" s="26">
        <v>2257</v>
      </c>
      <c r="J7649" s="117"/>
      <c r="K7649" s="120"/>
      <c r="L7649" s="121"/>
      <c r="M7649" s="120"/>
      <c r="N7649" s="121"/>
      <c r="O7649" s="120"/>
      <c r="P7649" s="121"/>
      <c r="Q7649" s="120"/>
      <c r="R7649" s="121"/>
      <c r="S7649" s="120"/>
      <c r="T7649" s="121"/>
      <c r="U7649" s="120"/>
      <c r="V7649" s="123"/>
      <c r="W7649" s="125"/>
      <c r="X7649" s="142" t="s">
        <v>2482</v>
      </c>
      <c r="Y7649" s="143"/>
      <c r="Z7649" s="143"/>
      <c r="AA7649" s="143"/>
      <c r="AB7649" s="144"/>
      <c r="AC7649" s="16" t="s">
        <v>21</v>
      </c>
      <c r="AD7649" s="17" t="s">
        <v>1825</v>
      </c>
      <c r="AE7649" s="145" t="s">
        <v>21950</v>
      </c>
      <c r="AF7649" s="146"/>
      <c r="AG7649" s="146"/>
      <c r="AH7649" s="146"/>
      <c r="AI7649" s="147"/>
      <c r="AJ7649" s="148"/>
      <c r="AK7649" s="143"/>
      <c r="AL7649" s="144"/>
      <c r="AM7649" s="22"/>
      <c r="AN7649" s="149" t="s">
        <v>2131</v>
      </c>
      <c r="AO7649" s="144"/>
      <c r="AP7649" s="148">
        <v>3637</v>
      </c>
      <c r="AQ7649" s="144"/>
      <c r="AR7649" s="120"/>
      <c r="AS7649" s="121"/>
      <c r="AT7649" s="120"/>
      <c r="AU7649" s="121"/>
      <c r="AV7649" s="120"/>
      <c r="AW7649" s="121"/>
      <c r="AX7649" s="120"/>
      <c r="AY7649" s="121"/>
      <c r="AZ7649" s="138"/>
    </row>
    <row r="7650" spans="1:52" ht="17.100000000000001" customHeight="1" thickTop="1">
      <c r="A7650" s="109" t="s">
        <v>21706</v>
      </c>
      <c r="B7650" s="28">
        <v>46112</v>
      </c>
      <c r="C7650" s="25">
        <v>984</v>
      </c>
      <c r="D7650" s="13" t="s">
        <v>21719</v>
      </c>
      <c r="E7650" s="111"/>
      <c r="F7650" s="113" t="s">
        <v>21721</v>
      </c>
      <c r="G7650" s="114"/>
      <c r="H7650" s="115"/>
      <c r="I7650" s="24"/>
      <c r="J7650" s="116">
        <v>4</v>
      </c>
      <c r="K7650" s="118">
        <v>1476000</v>
      </c>
      <c r="L7650" s="119"/>
      <c r="M7650" s="118">
        <f t="shared" ref="M7650" si="11207">K7650*0.1</f>
        <v>147600</v>
      </c>
      <c r="N7650" s="119"/>
      <c r="O7650" s="118">
        <v>0</v>
      </c>
      <c r="P7650" s="119"/>
      <c r="Q7650" s="118">
        <v>8990</v>
      </c>
      <c r="R7650" s="119"/>
      <c r="S7650" s="118">
        <v>22000</v>
      </c>
      <c r="T7650" s="119"/>
      <c r="U7650" s="118">
        <f t="shared" ref="U7650" si="11208">SUM(K7650:T7651)</f>
        <v>1654590</v>
      </c>
      <c r="V7650" s="122"/>
      <c r="W7650" s="124"/>
      <c r="X7650" s="126" t="s">
        <v>22508</v>
      </c>
      <c r="Y7650" s="127"/>
      <c r="Z7650" s="127"/>
      <c r="AA7650" s="127"/>
      <c r="AB7650" s="128"/>
      <c r="AC7650" s="15" t="s">
        <v>20</v>
      </c>
      <c r="AD7650" s="129" t="s">
        <v>21718</v>
      </c>
      <c r="AE7650" s="130"/>
      <c r="AF7650" s="130"/>
      <c r="AG7650" s="130"/>
      <c r="AH7650" s="130"/>
      <c r="AI7650" s="131"/>
      <c r="AJ7650" s="132"/>
      <c r="AK7650" s="127"/>
      <c r="AL7650" s="128"/>
      <c r="AM7650" s="21"/>
      <c r="AN7650" s="133">
        <v>46123</v>
      </c>
      <c r="AO7650" s="134"/>
      <c r="AP7650" s="135">
        <v>1296</v>
      </c>
      <c r="AQ7650" s="136"/>
      <c r="AR7650" s="118">
        <v>1535000</v>
      </c>
      <c r="AS7650" s="119"/>
      <c r="AT7650" s="118">
        <f t="shared" ref="AT7650" si="11209">AR7650*0.1</f>
        <v>153500</v>
      </c>
      <c r="AU7650" s="119"/>
      <c r="AV7650" s="118">
        <v>8990</v>
      </c>
      <c r="AW7650" s="119"/>
      <c r="AX7650" s="118">
        <f t="shared" ref="AX7650" si="11210">SUM(AR7650:AW7650)</f>
        <v>1697490</v>
      </c>
      <c r="AY7650" s="119"/>
      <c r="AZ7650" s="137">
        <v>46126</v>
      </c>
    </row>
    <row r="7651" spans="1:52" ht="17.100000000000001" customHeight="1" thickBot="1">
      <c r="A7651" s="110"/>
      <c r="B7651" s="27" t="s">
        <v>21713</v>
      </c>
      <c r="C7651" s="27">
        <v>73</v>
      </c>
      <c r="D7651" s="14" t="s">
        <v>21720</v>
      </c>
      <c r="E7651" s="112"/>
      <c r="F7651" s="139" t="s">
        <v>21722</v>
      </c>
      <c r="G7651" s="140"/>
      <c r="H7651" s="141"/>
      <c r="I7651" s="26">
        <v>24449</v>
      </c>
      <c r="J7651" s="117"/>
      <c r="K7651" s="120"/>
      <c r="L7651" s="121"/>
      <c r="M7651" s="120"/>
      <c r="N7651" s="121"/>
      <c r="O7651" s="120"/>
      <c r="P7651" s="121"/>
      <c r="Q7651" s="120"/>
      <c r="R7651" s="121"/>
      <c r="S7651" s="120"/>
      <c r="T7651" s="121"/>
      <c r="U7651" s="120"/>
      <c r="V7651" s="123"/>
      <c r="W7651" s="125"/>
      <c r="X7651" s="142" t="s">
        <v>2482</v>
      </c>
      <c r="Y7651" s="143"/>
      <c r="Z7651" s="143"/>
      <c r="AA7651" s="143"/>
      <c r="AB7651" s="144"/>
      <c r="AC7651" s="16" t="s">
        <v>21</v>
      </c>
      <c r="AD7651" s="17" t="s">
        <v>1825</v>
      </c>
      <c r="AE7651" s="145" t="s">
        <v>22279</v>
      </c>
      <c r="AF7651" s="146"/>
      <c r="AG7651" s="146"/>
      <c r="AH7651" s="146"/>
      <c r="AI7651" s="147"/>
      <c r="AJ7651" s="148"/>
      <c r="AK7651" s="143"/>
      <c r="AL7651" s="144"/>
      <c r="AM7651" s="22"/>
      <c r="AN7651" s="149" t="s">
        <v>2511</v>
      </c>
      <c r="AO7651" s="144"/>
      <c r="AP7651" s="148">
        <v>40076</v>
      </c>
      <c r="AQ7651" s="144"/>
      <c r="AR7651" s="120"/>
      <c r="AS7651" s="121"/>
      <c r="AT7651" s="120"/>
      <c r="AU7651" s="121"/>
      <c r="AV7651" s="120"/>
      <c r="AW7651" s="121"/>
      <c r="AX7651" s="120"/>
      <c r="AY7651" s="121"/>
      <c r="AZ7651" s="138"/>
    </row>
    <row r="7652" spans="1:52" ht="17.100000000000001" customHeight="1" thickTop="1">
      <c r="A7652" s="109" t="s">
        <v>21707</v>
      </c>
      <c r="B7652" s="28">
        <v>46112</v>
      </c>
      <c r="C7652" s="25">
        <v>984</v>
      </c>
      <c r="D7652" s="13" t="s">
        <v>21723</v>
      </c>
      <c r="E7652" s="111"/>
      <c r="F7652" s="113" t="s">
        <v>21724</v>
      </c>
      <c r="G7652" s="114"/>
      <c r="H7652" s="115"/>
      <c r="I7652" s="24"/>
      <c r="J7652" s="116">
        <v>4</v>
      </c>
      <c r="K7652" s="118">
        <v>776000</v>
      </c>
      <c r="L7652" s="119"/>
      <c r="M7652" s="118">
        <f t="shared" ref="M7652" si="11211">K7652*0.1</f>
        <v>77600</v>
      </c>
      <c r="N7652" s="119"/>
      <c r="O7652" s="118">
        <v>0</v>
      </c>
      <c r="P7652" s="119"/>
      <c r="Q7652" s="118">
        <v>8550</v>
      </c>
      <c r="R7652" s="119"/>
      <c r="S7652" s="118">
        <v>22000</v>
      </c>
      <c r="T7652" s="119"/>
      <c r="U7652" s="118">
        <f t="shared" ref="U7652" si="11212">SUM(K7652:T7653)</f>
        <v>884150</v>
      </c>
      <c r="V7652" s="122"/>
      <c r="W7652" s="124"/>
      <c r="X7652" s="126" t="s">
        <v>22423</v>
      </c>
      <c r="Y7652" s="127"/>
      <c r="Z7652" s="127"/>
      <c r="AA7652" s="127"/>
      <c r="AB7652" s="128"/>
      <c r="AC7652" s="15" t="s">
        <v>20</v>
      </c>
      <c r="AD7652" s="129" t="s">
        <v>21726</v>
      </c>
      <c r="AE7652" s="130"/>
      <c r="AF7652" s="130"/>
      <c r="AG7652" s="130"/>
      <c r="AH7652" s="130"/>
      <c r="AI7652" s="131"/>
      <c r="AJ7652" s="132"/>
      <c r="AK7652" s="127"/>
      <c r="AL7652" s="128"/>
      <c r="AM7652" s="21"/>
      <c r="AN7652" s="133">
        <v>46119</v>
      </c>
      <c r="AO7652" s="134"/>
      <c r="AP7652" s="135">
        <v>1936</v>
      </c>
      <c r="AQ7652" s="136"/>
      <c r="AR7652" s="118">
        <v>860000</v>
      </c>
      <c r="AS7652" s="119"/>
      <c r="AT7652" s="118">
        <f t="shared" ref="AT7652" si="11213">AR7652*0.1</f>
        <v>86000</v>
      </c>
      <c r="AU7652" s="119"/>
      <c r="AV7652" s="118">
        <v>8550</v>
      </c>
      <c r="AW7652" s="119"/>
      <c r="AX7652" s="118">
        <f t="shared" ref="AX7652" si="11214">SUM(AR7652:AW7652)</f>
        <v>954550</v>
      </c>
      <c r="AY7652" s="119"/>
      <c r="AZ7652" s="137"/>
    </row>
    <row r="7653" spans="1:52" ht="17.100000000000001" customHeight="1" thickBot="1">
      <c r="A7653" s="110"/>
      <c r="B7653" s="27" t="s">
        <v>21713</v>
      </c>
      <c r="C7653" s="27">
        <v>107</v>
      </c>
      <c r="D7653" s="14" t="s">
        <v>2601</v>
      </c>
      <c r="E7653" s="112"/>
      <c r="F7653" s="139" t="s">
        <v>21725</v>
      </c>
      <c r="G7653" s="140"/>
      <c r="H7653" s="141"/>
      <c r="I7653" s="26">
        <v>57089</v>
      </c>
      <c r="J7653" s="117"/>
      <c r="K7653" s="120"/>
      <c r="L7653" s="121"/>
      <c r="M7653" s="120"/>
      <c r="N7653" s="121"/>
      <c r="O7653" s="120"/>
      <c r="P7653" s="121"/>
      <c r="Q7653" s="120"/>
      <c r="R7653" s="121"/>
      <c r="S7653" s="120"/>
      <c r="T7653" s="121"/>
      <c r="U7653" s="120"/>
      <c r="V7653" s="123"/>
      <c r="W7653" s="125"/>
      <c r="X7653" s="142" t="s">
        <v>2482</v>
      </c>
      <c r="Y7653" s="143"/>
      <c r="Z7653" s="143"/>
      <c r="AA7653" s="143"/>
      <c r="AB7653" s="144"/>
      <c r="AC7653" s="16" t="s">
        <v>21</v>
      </c>
      <c r="AD7653" s="17" t="s">
        <v>1825</v>
      </c>
      <c r="AE7653" s="145" t="s">
        <v>1670</v>
      </c>
      <c r="AF7653" s="146"/>
      <c r="AG7653" s="146"/>
      <c r="AH7653" s="146"/>
      <c r="AI7653" s="147"/>
      <c r="AJ7653" s="148"/>
      <c r="AK7653" s="143"/>
      <c r="AL7653" s="144"/>
      <c r="AM7653" s="22"/>
      <c r="AN7653" s="149" t="s">
        <v>2131</v>
      </c>
      <c r="AO7653" s="144"/>
      <c r="AP7653" s="148">
        <v>3641</v>
      </c>
      <c r="AQ7653" s="144"/>
      <c r="AR7653" s="120"/>
      <c r="AS7653" s="121"/>
      <c r="AT7653" s="120"/>
      <c r="AU7653" s="121"/>
      <c r="AV7653" s="120"/>
      <c r="AW7653" s="121"/>
      <c r="AX7653" s="120"/>
      <c r="AY7653" s="121"/>
      <c r="AZ7653" s="138"/>
    </row>
    <row r="7654" spans="1:52" ht="17.100000000000001" customHeight="1" thickTop="1">
      <c r="A7654" s="109" t="s">
        <v>21708</v>
      </c>
      <c r="B7654" s="28">
        <v>46112</v>
      </c>
      <c r="C7654" s="25">
        <v>984</v>
      </c>
      <c r="D7654" s="13" t="s">
        <v>21727</v>
      </c>
      <c r="E7654" s="111"/>
      <c r="F7654" s="113" t="s">
        <v>21728</v>
      </c>
      <c r="G7654" s="114"/>
      <c r="H7654" s="115"/>
      <c r="I7654" s="24"/>
      <c r="J7654" s="116">
        <v>4</v>
      </c>
      <c r="K7654" s="118">
        <v>1046000</v>
      </c>
      <c r="L7654" s="119"/>
      <c r="M7654" s="118">
        <f t="shared" ref="M7654" si="11215">K7654*0.1</f>
        <v>104600</v>
      </c>
      <c r="N7654" s="119"/>
      <c r="O7654" s="118">
        <v>0</v>
      </c>
      <c r="P7654" s="119"/>
      <c r="Q7654" s="118">
        <v>11100</v>
      </c>
      <c r="R7654" s="119"/>
      <c r="S7654" s="118">
        <v>22000</v>
      </c>
      <c r="T7654" s="119"/>
      <c r="U7654" s="118">
        <f t="shared" ref="U7654" si="11216">SUM(K7654:T7655)</f>
        <v>1183700</v>
      </c>
      <c r="V7654" s="122"/>
      <c r="W7654" s="124"/>
      <c r="X7654" s="126" t="s">
        <v>22506</v>
      </c>
      <c r="Y7654" s="127"/>
      <c r="Z7654" s="127"/>
      <c r="AA7654" s="127"/>
      <c r="AB7654" s="128"/>
      <c r="AC7654" s="15" t="s">
        <v>20</v>
      </c>
      <c r="AD7654" s="129"/>
      <c r="AE7654" s="130"/>
      <c r="AF7654" s="130"/>
      <c r="AG7654" s="130"/>
      <c r="AH7654" s="130"/>
      <c r="AI7654" s="131"/>
      <c r="AJ7654" s="132"/>
      <c r="AK7654" s="127"/>
      <c r="AL7654" s="128"/>
      <c r="AM7654" s="21"/>
      <c r="AN7654" s="133"/>
      <c r="AO7654" s="134"/>
      <c r="AP7654" s="135"/>
      <c r="AQ7654" s="136"/>
      <c r="AR7654" s="118"/>
      <c r="AS7654" s="119"/>
      <c r="AT7654" s="118">
        <f t="shared" ref="AT7654" si="11217">AR7654*0.1</f>
        <v>0</v>
      </c>
      <c r="AU7654" s="119"/>
      <c r="AV7654" s="118"/>
      <c r="AW7654" s="119"/>
      <c r="AX7654" s="118">
        <f t="shared" ref="AX7654" si="11218">SUM(AR7654:AW7654)</f>
        <v>0</v>
      </c>
      <c r="AY7654" s="119"/>
      <c r="AZ7654" s="137"/>
    </row>
    <row r="7655" spans="1:52" ht="17.100000000000001" customHeight="1" thickBot="1">
      <c r="A7655" s="110"/>
      <c r="B7655" s="27" t="s">
        <v>21713</v>
      </c>
      <c r="C7655" s="27">
        <v>147</v>
      </c>
      <c r="D7655" s="14" t="s">
        <v>21715</v>
      </c>
      <c r="E7655" s="112"/>
      <c r="F7655" s="139" t="s">
        <v>21729</v>
      </c>
      <c r="G7655" s="140"/>
      <c r="H7655" s="141"/>
      <c r="I7655" s="26">
        <v>17167</v>
      </c>
      <c r="J7655" s="117"/>
      <c r="K7655" s="120"/>
      <c r="L7655" s="121"/>
      <c r="M7655" s="120"/>
      <c r="N7655" s="121"/>
      <c r="O7655" s="120"/>
      <c r="P7655" s="121"/>
      <c r="Q7655" s="120"/>
      <c r="R7655" s="121"/>
      <c r="S7655" s="120"/>
      <c r="T7655" s="121"/>
      <c r="U7655" s="120"/>
      <c r="V7655" s="123"/>
      <c r="W7655" s="125"/>
      <c r="X7655" s="142" t="s">
        <v>2482</v>
      </c>
      <c r="Y7655" s="143"/>
      <c r="Z7655" s="143"/>
      <c r="AA7655" s="143"/>
      <c r="AB7655" s="144"/>
      <c r="AC7655" s="16" t="s">
        <v>21</v>
      </c>
      <c r="AD7655" s="17" t="s">
        <v>1825</v>
      </c>
      <c r="AE7655" s="145" t="s">
        <v>22507</v>
      </c>
      <c r="AF7655" s="146"/>
      <c r="AG7655" s="146"/>
      <c r="AH7655" s="146"/>
      <c r="AI7655" s="147"/>
      <c r="AJ7655" s="148"/>
      <c r="AK7655" s="143"/>
      <c r="AL7655" s="144"/>
      <c r="AM7655" s="22"/>
      <c r="AN7655" s="149"/>
      <c r="AO7655" s="144"/>
      <c r="AP7655" s="148"/>
      <c r="AQ7655" s="144"/>
      <c r="AR7655" s="120"/>
      <c r="AS7655" s="121"/>
      <c r="AT7655" s="120"/>
      <c r="AU7655" s="121"/>
      <c r="AV7655" s="120"/>
      <c r="AW7655" s="121"/>
      <c r="AX7655" s="120"/>
      <c r="AY7655" s="121"/>
      <c r="AZ7655" s="138"/>
    </row>
    <row r="7656" spans="1:52" ht="17.100000000000001" customHeight="1" thickTop="1">
      <c r="A7656" s="109" t="s">
        <v>21709</v>
      </c>
      <c r="B7656" s="28">
        <v>46112</v>
      </c>
      <c r="C7656" s="25">
        <v>984</v>
      </c>
      <c r="D7656" s="13" t="s">
        <v>21730</v>
      </c>
      <c r="E7656" s="111"/>
      <c r="F7656" s="113" t="s">
        <v>21732</v>
      </c>
      <c r="G7656" s="114"/>
      <c r="H7656" s="115"/>
      <c r="I7656" s="24"/>
      <c r="J7656" s="116">
        <v>4</v>
      </c>
      <c r="K7656" s="118">
        <v>916000</v>
      </c>
      <c r="L7656" s="119"/>
      <c r="M7656" s="118">
        <f t="shared" ref="M7656" si="11219">K7656*0.1</f>
        <v>91600</v>
      </c>
      <c r="N7656" s="119"/>
      <c r="O7656" s="118">
        <v>0</v>
      </c>
      <c r="P7656" s="119"/>
      <c r="Q7656" s="118">
        <v>8110</v>
      </c>
      <c r="R7656" s="119"/>
      <c r="S7656" s="118">
        <v>22000</v>
      </c>
      <c r="T7656" s="119"/>
      <c r="U7656" s="118">
        <f t="shared" ref="U7656" si="11220">SUM(K7656:T7657)</f>
        <v>1037710</v>
      </c>
      <c r="V7656" s="122"/>
      <c r="W7656" s="124"/>
      <c r="X7656" s="126" t="s">
        <v>22505</v>
      </c>
      <c r="Y7656" s="127"/>
      <c r="Z7656" s="127"/>
      <c r="AA7656" s="127"/>
      <c r="AB7656" s="128"/>
      <c r="AC7656" s="15" t="s">
        <v>20</v>
      </c>
      <c r="AD7656" s="129" t="s">
        <v>21733</v>
      </c>
      <c r="AE7656" s="130"/>
      <c r="AF7656" s="130"/>
      <c r="AG7656" s="130"/>
      <c r="AH7656" s="130"/>
      <c r="AI7656" s="131"/>
      <c r="AJ7656" s="132"/>
      <c r="AK7656" s="127"/>
      <c r="AL7656" s="128"/>
      <c r="AM7656" s="21"/>
      <c r="AN7656" s="133">
        <v>46134</v>
      </c>
      <c r="AO7656" s="134"/>
      <c r="AP7656" s="135">
        <v>1014</v>
      </c>
      <c r="AQ7656" s="136"/>
      <c r="AR7656" s="118">
        <v>970000</v>
      </c>
      <c r="AS7656" s="119"/>
      <c r="AT7656" s="118">
        <f t="shared" ref="AT7656" si="11221">AR7656*0.1</f>
        <v>97000</v>
      </c>
      <c r="AU7656" s="119"/>
      <c r="AV7656" s="118">
        <v>8110</v>
      </c>
      <c r="AW7656" s="119"/>
      <c r="AX7656" s="118">
        <f t="shared" ref="AX7656" si="11222">SUM(AR7656:AW7656)</f>
        <v>1075110</v>
      </c>
      <c r="AY7656" s="119"/>
      <c r="AZ7656" s="137">
        <v>46139</v>
      </c>
    </row>
    <row r="7657" spans="1:52" ht="17.100000000000001" customHeight="1" thickBot="1">
      <c r="A7657" s="110"/>
      <c r="B7657" s="27" t="s">
        <v>21713</v>
      </c>
      <c r="C7657" s="27">
        <v>1016</v>
      </c>
      <c r="D7657" s="14" t="s">
        <v>2601</v>
      </c>
      <c r="E7657" s="112"/>
      <c r="F7657" s="139" t="s">
        <v>21731</v>
      </c>
      <c r="G7657" s="140"/>
      <c r="H7657" s="141"/>
      <c r="I7657" s="26">
        <v>52785</v>
      </c>
      <c r="J7657" s="117"/>
      <c r="K7657" s="120"/>
      <c r="L7657" s="121"/>
      <c r="M7657" s="120"/>
      <c r="N7657" s="121"/>
      <c r="O7657" s="120"/>
      <c r="P7657" s="121"/>
      <c r="Q7657" s="120"/>
      <c r="R7657" s="121"/>
      <c r="S7657" s="120"/>
      <c r="T7657" s="121"/>
      <c r="U7657" s="120"/>
      <c r="V7657" s="123"/>
      <c r="W7657" s="125"/>
      <c r="X7657" s="142" t="s">
        <v>5035</v>
      </c>
      <c r="Y7657" s="143"/>
      <c r="Z7657" s="143"/>
      <c r="AA7657" s="143"/>
      <c r="AB7657" s="144"/>
      <c r="AC7657" s="16" t="s">
        <v>21</v>
      </c>
      <c r="AD7657" s="17" t="s">
        <v>1825</v>
      </c>
      <c r="AE7657" s="145" t="s">
        <v>21967</v>
      </c>
      <c r="AF7657" s="146"/>
      <c r="AG7657" s="146"/>
      <c r="AH7657" s="146"/>
      <c r="AI7657" s="147"/>
      <c r="AJ7657" s="148"/>
      <c r="AK7657" s="143"/>
      <c r="AL7657" s="144"/>
      <c r="AM7657" s="22"/>
      <c r="AN7657" s="149" t="s">
        <v>9053</v>
      </c>
      <c r="AO7657" s="144"/>
      <c r="AP7657" s="148">
        <v>5089</v>
      </c>
      <c r="AQ7657" s="144"/>
      <c r="AR7657" s="120"/>
      <c r="AS7657" s="121"/>
      <c r="AT7657" s="120"/>
      <c r="AU7657" s="121"/>
      <c r="AV7657" s="120"/>
      <c r="AW7657" s="121"/>
      <c r="AX7657" s="120"/>
      <c r="AY7657" s="121"/>
      <c r="AZ7657" s="138"/>
    </row>
    <row r="7658" spans="1:52" ht="17.100000000000001" customHeight="1" thickTop="1">
      <c r="A7658" s="109" t="s">
        <v>21710</v>
      </c>
      <c r="B7658" s="28">
        <v>46112</v>
      </c>
      <c r="C7658" s="25">
        <v>984</v>
      </c>
      <c r="D7658" s="13" t="s">
        <v>21734</v>
      </c>
      <c r="E7658" s="111"/>
      <c r="F7658" s="113" t="s">
        <v>21736</v>
      </c>
      <c r="G7658" s="114"/>
      <c r="H7658" s="115"/>
      <c r="I7658" s="24"/>
      <c r="J7658" s="116">
        <v>4</v>
      </c>
      <c r="K7658" s="118">
        <v>926000</v>
      </c>
      <c r="L7658" s="119"/>
      <c r="M7658" s="118">
        <f t="shared" ref="M7658" si="11223">K7658*0.1</f>
        <v>92600</v>
      </c>
      <c r="N7658" s="119"/>
      <c r="O7658" s="118">
        <v>0</v>
      </c>
      <c r="P7658" s="119"/>
      <c r="Q7658" s="118">
        <v>7040</v>
      </c>
      <c r="R7658" s="119"/>
      <c r="S7658" s="118">
        <v>22000</v>
      </c>
      <c r="T7658" s="119"/>
      <c r="U7658" s="118">
        <f t="shared" ref="U7658" si="11224">SUM(K7658:T7659)</f>
        <v>1047640</v>
      </c>
      <c r="V7658" s="122"/>
      <c r="W7658" s="124"/>
      <c r="X7658" s="126" t="s">
        <v>22504</v>
      </c>
      <c r="Y7658" s="127"/>
      <c r="Z7658" s="127"/>
      <c r="AA7658" s="127"/>
      <c r="AB7658" s="128"/>
      <c r="AC7658" s="15" t="s">
        <v>20</v>
      </c>
      <c r="AD7658" s="129" t="s">
        <v>21718</v>
      </c>
      <c r="AE7658" s="130"/>
      <c r="AF7658" s="130"/>
      <c r="AG7658" s="130"/>
      <c r="AH7658" s="130"/>
      <c r="AI7658" s="131"/>
      <c r="AJ7658" s="132"/>
      <c r="AK7658" s="127"/>
      <c r="AL7658" s="128"/>
      <c r="AM7658" s="21"/>
      <c r="AN7658" s="133">
        <v>46126</v>
      </c>
      <c r="AO7658" s="134"/>
      <c r="AP7658" s="135">
        <v>1937</v>
      </c>
      <c r="AQ7658" s="136"/>
      <c r="AR7658" s="118">
        <v>1069000</v>
      </c>
      <c r="AS7658" s="119"/>
      <c r="AT7658" s="118">
        <f t="shared" ref="AT7658" si="11225">AR7658*0.1</f>
        <v>106900</v>
      </c>
      <c r="AU7658" s="119"/>
      <c r="AV7658" s="118">
        <v>7040</v>
      </c>
      <c r="AW7658" s="119"/>
      <c r="AX7658" s="118">
        <f t="shared" ref="AX7658" si="11226">SUM(AR7658:AW7658)</f>
        <v>1182940</v>
      </c>
      <c r="AY7658" s="119"/>
      <c r="AZ7658" s="137"/>
    </row>
    <row r="7659" spans="1:52" ht="17.100000000000001" customHeight="1" thickBot="1">
      <c r="A7659" s="110"/>
      <c r="B7659" s="27" t="s">
        <v>21713</v>
      </c>
      <c r="C7659" s="27">
        <v>1020</v>
      </c>
      <c r="D7659" s="14" t="s">
        <v>21735</v>
      </c>
      <c r="E7659" s="112"/>
      <c r="F7659" s="139" t="s">
        <v>21737</v>
      </c>
      <c r="G7659" s="140"/>
      <c r="H7659" s="141"/>
      <c r="I7659" s="26">
        <v>44884</v>
      </c>
      <c r="J7659" s="117"/>
      <c r="K7659" s="120"/>
      <c r="L7659" s="121"/>
      <c r="M7659" s="120"/>
      <c r="N7659" s="121"/>
      <c r="O7659" s="120"/>
      <c r="P7659" s="121"/>
      <c r="Q7659" s="120"/>
      <c r="R7659" s="121"/>
      <c r="S7659" s="120"/>
      <c r="T7659" s="121"/>
      <c r="U7659" s="120"/>
      <c r="V7659" s="123"/>
      <c r="W7659" s="125"/>
      <c r="X7659" s="142" t="s">
        <v>2482</v>
      </c>
      <c r="Y7659" s="143"/>
      <c r="Z7659" s="143"/>
      <c r="AA7659" s="143"/>
      <c r="AB7659" s="144"/>
      <c r="AC7659" s="16" t="s">
        <v>21</v>
      </c>
      <c r="AD7659" s="17" t="s">
        <v>1825</v>
      </c>
      <c r="AE7659" s="145" t="s">
        <v>21963</v>
      </c>
      <c r="AF7659" s="146"/>
      <c r="AG7659" s="146"/>
      <c r="AH7659" s="146"/>
      <c r="AI7659" s="147"/>
      <c r="AJ7659" s="148"/>
      <c r="AK7659" s="143"/>
      <c r="AL7659" s="144"/>
      <c r="AM7659" s="22"/>
      <c r="AN7659" s="149" t="s">
        <v>23091</v>
      </c>
      <c r="AO7659" s="144"/>
      <c r="AP7659" s="148">
        <v>3081</v>
      </c>
      <c r="AQ7659" s="144"/>
      <c r="AR7659" s="120"/>
      <c r="AS7659" s="121"/>
      <c r="AT7659" s="120"/>
      <c r="AU7659" s="121"/>
      <c r="AV7659" s="120"/>
      <c r="AW7659" s="121"/>
      <c r="AX7659" s="120"/>
      <c r="AY7659" s="121"/>
      <c r="AZ7659" s="138"/>
    </row>
    <row r="7660" spans="1:52" ht="17.100000000000001" customHeight="1" thickTop="1">
      <c r="A7660" s="109" t="s">
        <v>21711</v>
      </c>
      <c r="B7660" s="28">
        <v>46112</v>
      </c>
      <c r="C7660" s="25"/>
      <c r="D7660" s="13" t="s">
        <v>21740</v>
      </c>
      <c r="E7660" s="111"/>
      <c r="F7660" s="113" t="s">
        <v>15215</v>
      </c>
      <c r="G7660" s="114"/>
      <c r="H7660" s="115"/>
      <c r="I7660" s="24" t="s">
        <v>21742</v>
      </c>
      <c r="J7660" s="116">
        <v>4</v>
      </c>
      <c r="K7660" s="118">
        <v>750000</v>
      </c>
      <c r="L7660" s="119"/>
      <c r="M7660" s="118">
        <f t="shared" ref="M7660" si="11227">K7660*0.1</f>
        <v>75000</v>
      </c>
      <c r="N7660" s="119"/>
      <c r="O7660" s="118">
        <v>0</v>
      </c>
      <c r="P7660" s="119"/>
      <c r="Q7660" s="118">
        <v>6830</v>
      </c>
      <c r="R7660" s="119"/>
      <c r="S7660" s="118">
        <v>0</v>
      </c>
      <c r="T7660" s="119"/>
      <c r="U7660" s="118">
        <f t="shared" ref="U7660" si="11228">SUM(K7660:T7661)</f>
        <v>831830</v>
      </c>
      <c r="V7660" s="122"/>
      <c r="W7660" s="124"/>
      <c r="X7660" s="126" t="s">
        <v>23282</v>
      </c>
      <c r="Y7660" s="127"/>
      <c r="Z7660" s="127"/>
      <c r="AA7660" s="127"/>
      <c r="AB7660" s="128"/>
      <c r="AC7660" s="15" t="s">
        <v>20</v>
      </c>
      <c r="AD7660" s="129" t="s">
        <v>21743</v>
      </c>
      <c r="AE7660" s="130"/>
      <c r="AF7660" s="130"/>
      <c r="AG7660" s="130"/>
      <c r="AH7660" s="130"/>
      <c r="AI7660" s="131"/>
      <c r="AJ7660" s="132"/>
      <c r="AK7660" s="127"/>
      <c r="AL7660" s="128"/>
      <c r="AM7660" s="21"/>
      <c r="AN7660" s="133">
        <v>46130</v>
      </c>
      <c r="AO7660" s="134"/>
      <c r="AP7660" s="135">
        <v>1297</v>
      </c>
      <c r="AQ7660" s="136"/>
      <c r="AR7660" s="118">
        <v>855000</v>
      </c>
      <c r="AS7660" s="119"/>
      <c r="AT7660" s="118">
        <f t="shared" ref="AT7660" si="11229">AR7660*0.1</f>
        <v>85500</v>
      </c>
      <c r="AU7660" s="119"/>
      <c r="AV7660" s="118">
        <v>6830</v>
      </c>
      <c r="AW7660" s="119"/>
      <c r="AX7660" s="118">
        <f t="shared" ref="AX7660" si="11230">SUM(AR7660:AW7660)</f>
        <v>947330</v>
      </c>
      <c r="AY7660" s="119"/>
      <c r="AZ7660" s="137">
        <v>46133</v>
      </c>
    </row>
    <row r="7661" spans="1:52" ht="17.100000000000001" customHeight="1" thickBot="1">
      <c r="A7661" s="110"/>
      <c r="B7661" s="27" t="s">
        <v>1718</v>
      </c>
      <c r="C7661" s="27" t="s">
        <v>21738</v>
      </c>
      <c r="D7661" s="14" t="s">
        <v>21741</v>
      </c>
      <c r="E7661" s="112"/>
      <c r="F7661" s="139" t="s">
        <v>21739</v>
      </c>
      <c r="G7661" s="140"/>
      <c r="H7661" s="141"/>
      <c r="I7661" s="26">
        <v>54117</v>
      </c>
      <c r="J7661" s="117"/>
      <c r="K7661" s="120"/>
      <c r="L7661" s="121"/>
      <c r="M7661" s="120"/>
      <c r="N7661" s="121"/>
      <c r="O7661" s="120"/>
      <c r="P7661" s="121"/>
      <c r="Q7661" s="120"/>
      <c r="R7661" s="121"/>
      <c r="S7661" s="120"/>
      <c r="T7661" s="121"/>
      <c r="U7661" s="120"/>
      <c r="V7661" s="123"/>
      <c r="W7661" s="125"/>
      <c r="X7661" s="142" t="s">
        <v>23283</v>
      </c>
      <c r="Y7661" s="143"/>
      <c r="Z7661" s="143"/>
      <c r="AA7661" s="143"/>
      <c r="AB7661" s="144"/>
      <c r="AC7661" s="16" t="s">
        <v>21</v>
      </c>
      <c r="AD7661" s="17" t="s">
        <v>1952</v>
      </c>
      <c r="AE7661" s="145" t="s">
        <v>1609</v>
      </c>
      <c r="AF7661" s="146"/>
      <c r="AG7661" s="146"/>
      <c r="AH7661" s="146"/>
      <c r="AI7661" s="147"/>
      <c r="AJ7661" s="148"/>
      <c r="AK7661" s="143"/>
      <c r="AL7661" s="144"/>
      <c r="AM7661" s="22"/>
      <c r="AN7661" s="149" t="s">
        <v>2511</v>
      </c>
      <c r="AO7661" s="144"/>
      <c r="AP7661" s="148">
        <v>65202</v>
      </c>
      <c r="AQ7661" s="144"/>
      <c r="AR7661" s="120"/>
      <c r="AS7661" s="121"/>
      <c r="AT7661" s="120"/>
      <c r="AU7661" s="121"/>
      <c r="AV7661" s="120"/>
      <c r="AW7661" s="121"/>
      <c r="AX7661" s="120"/>
      <c r="AY7661" s="121"/>
      <c r="AZ7661" s="138"/>
    </row>
    <row r="7662" spans="1:52" ht="17.100000000000001" customHeight="1" thickTop="1">
      <c r="A7662" s="109" t="s">
        <v>21712</v>
      </c>
      <c r="B7662" s="28">
        <v>46112</v>
      </c>
      <c r="C7662" s="25">
        <v>1935</v>
      </c>
      <c r="D7662" s="13" t="s">
        <v>21775</v>
      </c>
      <c r="E7662" s="111"/>
      <c r="F7662" s="113" t="s">
        <v>21755</v>
      </c>
      <c r="G7662" s="114"/>
      <c r="H7662" s="115"/>
      <c r="I7662" s="24"/>
      <c r="J7662" s="116">
        <v>4</v>
      </c>
      <c r="K7662" s="118">
        <v>274000</v>
      </c>
      <c r="L7662" s="119"/>
      <c r="M7662" s="118">
        <f t="shared" ref="M7662" si="11231">K7662*0.1</f>
        <v>27400</v>
      </c>
      <c r="N7662" s="119"/>
      <c r="O7662" s="118">
        <v>0</v>
      </c>
      <c r="P7662" s="119"/>
      <c r="Q7662" s="118">
        <v>8490</v>
      </c>
      <c r="R7662" s="119"/>
      <c r="S7662" s="118">
        <v>15950</v>
      </c>
      <c r="T7662" s="119"/>
      <c r="U7662" s="118">
        <f t="shared" ref="U7662" si="11232">SUM(K7662:T7663)</f>
        <v>325840</v>
      </c>
      <c r="V7662" s="122"/>
      <c r="W7662" s="124"/>
      <c r="X7662" s="126" t="s">
        <v>21960</v>
      </c>
      <c r="Y7662" s="127"/>
      <c r="Z7662" s="127"/>
      <c r="AA7662" s="127"/>
      <c r="AB7662" s="128"/>
      <c r="AC7662" s="15" t="s">
        <v>20</v>
      </c>
      <c r="AD7662" s="129"/>
      <c r="AE7662" s="130"/>
      <c r="AF7662" s="130"/>
      <c r="AG7662" s="130"/>
      <c r="AH7662" s="130"/>
      <c r="AI7662" s="131"/>
      <c r="AJ7662" s="132"/>
      <c r="AK7662" s="127"/>
      <c r="AL7662" s="128"/>
      <c r="AM7662" s="21"/>
      <c r="AN7662" s="133">
        <v>46116</v>
      </c>
      <c r="AO7662" s="134"/>
      <c r="AP7662" s="135">
        <v>1295</v>
      </c>
      <c r="AQ7662" s="136"/>
      <c r="AR7662" s="118">
        <v>330000</v>
      </c>
      <c r="AS7662" s="119"/>
      <c r="AT7662" s="118">
        <f t="shared" ref="AT7662" si="11233">AR7662*0.1</f>
        <v>33000</v>
      </c>
      <c r="AU7662" s="119"/>
      <c r="AV7662" s="118">
        <v>8490</v>
      </c>
      <c r="AW7662" s="119"/>
      <c r="AX7662" s="118">
        <f t="shared" ref="AX7662" si="11234">SUM(AR7662:AW7662)</f>
        <v>371490</v>
      </c>
      <c r="AY7662" s="119"/>
      <c r="AZ7662" s="137">
        <v>46119</v>
      </c>
    </row>
    <row r="7663" spans="1:52" ht="17.100000000000001" customHeight="1" thickBot="1">
      <c r="A7663" s="110"/>
      <c r="B7663" s="27" t="s">
        <v>21744</v>
      </c>
      <c r="C7663" s="27">
        <v>3387</v>
      </c>
      <c r="D7663" s="14" t="s">
        <v>2601</v>
      </c>
      <c r="E7663" s="112"/>
      <c r="F7663" s="139" t="s">
        <v>21756</v>
      </c>
      <c r="G7663" s="140"/>
      <c r="H7663" s="141"/>
      <c r="I7663" s="26">
        <v>56079</v>
      </c>
      <c r="J7663" s="117"/>
      <c r="K7663" s="120"/>
      <c r="L7663" s="121"/>
      <c r="M7663" s="120"/>
      <c r="N7663" s="121"/>
      <c r="O7663" s="120"/>
      <c r="P7663" s="121"/>
      <c r="Q7663" s="120"/>
      <c r="R7663" s="121"/>
      <c r="S7663" s="120"/>
      <c r="T7663" s="121"/>
      <c r="U7663" s="120"/>
      <c r="V7663" s="123"/>
      <c r="W7663" s="125"/>
      <c r="X7663" s="142" t="s">
        <v>21961</v>
      </c>
      <c r="Y7663" s="143"/>
      <c r="Z7663" s="143"/>
      <c r="AA7663" s="143"/>
      <c r="AB7663" s="144"/>
      <c r="AC7663" s="16" t="s">
        <v>21</v>
      </c>
      <c r="AD7663" s="17" t="s">
        <v>21936</v>
      </c>
      <c r="AE7663" s="145" t="s">
        <v>7860</v>
      </c>
      <c r="AF7663" s="146"/>
      <c r="AG7663" s="146"/>
      <c r="AH7663" s="146"/>
      <c r="AI7663" s="147"/>
      <c r="AJ7663" s="148"/>
      <c r="AK7663" s="143"/>
      <c r="AL7663" s="144"/>
      <c r="AM7663" s="22"/>
      <c r="AN7663" s="149" t="s">
        <v>2511</v>
      </c>
      <c r="AO7663" s="144"/>
      <c r="AP7663" s="148">
        <v>60501</v>
      </c>
      <c r="AQ7663" s="144"/>
      <c r="AR7663" s="120"/>
      <c r="AS7663" s="121"/>
      <c r="AT7663" s="120"/>
      <c r="AU7663" s="121"/>
      <c r="AV7663" s="120"/>
      <c r="AW7663" s="121"/>
      <c r="AX7663" s="120"/>
      <c r="AY7663" s="121"/>
      <c r="AZ7663" s="138"/>
    </row>
    <row r="7664" spans="1:52" ht="17.100000000000001" customHeight="1" thickTop="1">
      <c r="A7664" s="109" t="s">
        <v>21745</v>
      </c>
      <c r="B7664" s="28">
        <v>46112</v>
      </c>
      <c r="C7664" s="25">
        <v>1935</v>
      </c>
      <c r="D7664" s="13" t="s">
        <v>21776</v>
      </c>
      <c r="E7664" s="111"/>
      <c r="F7664" s="113" t="s">
        <v>21757</v>
      </c>
      <c r="G7664" s="114"/>
      <c r="H7664" s="115"/>
      <c r="I7664" s="24" t="s">
        <v>21778</v>
      </c>
      <c r="J7664" s="116">
        <v>4.5</v>
      </c>
      <c r="K7664" s="118">
        <v>652000</v>
      </c>
      <c r="L7664" s="119"/>
      <c r="M7664" s="118">
        <f t="shared" ref="M7664" si="11235">K7664*0.1</f>
        <v>65200</v>
      </c>
      <c r="N7664" s="119"/>
      <c r="O7664" s="118">
        <v>10800</v>
      </c>
      <c r="P7664" s="119"/>
      <c r="Q7664" s="118">
        <v>8230</v>
      </c>
      <c r="R7664" s="119"/>
      <c r="S7664" s="118">
        <v>15950</v>
      </c>
      <c r="T7664" s="119"/>
      <c r="U7664" s="118">
        <f t="shared" ref="U7664" si="11236">SUM(K7664:T7665)</f>
        <v>752180</v>
      </c>
      <c r="V7664" s="122"/>
      <c r="W7664" s="124"/>
      <c r="X7664" s="126" t="s">
        <v>21779</v>
      </c>
      <c r="Y7664" s="127"/>
      <c r="Z7664" s="127"/>
      <c r="AA7664" s="127"/>
      <c r="AB7664" s="128"/>
      <c r="AC7664" s="15" t="s">
        <v>20</v>
      </c>
      <c r="AD7664" s="129" t="s">
        <v>21780</v>
      </c>
      <c r="AE7664" s="130"/>
      <c r="AF7664" s="130"/>
      <c r="AG7664" s="130"/>
      <c r="AH7664" s="130"/>
      <c r="AI7664" s="131"/>
      <c r="AJ7664" s="132"/>
      <c r="AK7664" s="127"/>
      <c r="AL7664" s="128"/>
      <c r="AM7664" s="85" t="s">
        <v>22455</v>
      </c>
      <c r="AN7664" s="133">
        <v>46116</v>
      </c>
      <c r="AO7664" s="134"/>
      <c r="AP7664" s="135">
        <v>1295</v>
      </c>
      <c r="AQ7664" s="136"/>
      <c r="AR7664" s="118">
        <v>800000</v>
      </c>
      <c r="AS7664" s="119"/>
      <c r="AT7664" s="118">
        <f t="shared" ref="AT7664" si="11237">AR7664*0.1</f>
        <v>80000</v>
      </c>
      <c r="AU7664" s="119"/>
      <c r="AV7664" s="118">
        <v>8230</v>
      </c>
      <c r="AW7664" s="119"/>
      <c r="AX7664" s="118">
        <f t="shared" ref="AX7664" si="11238">SUM(AR7664:AW7664)</f>
        <v>888230</v>
      </c>
      <c r="AY7664" s="119"/>
      <c r="AZ7664" s="137">
        <v>46126</v>
      </c>
    </row>
    <row r="7665" spans="1:52" ht="17.100000000000001" customHeight="1" thickBot="1">
      <c r="A7665" s="110"/>
      <c r="B7665" s="27" t="s">
        <v>21744</v>
      </c>
      <c r="C7665" s="27">
        <v>3404</v>
      </c>
      <c r="D7665" s="14" t="s">
        <v>21777</v>
      </c>
      <c r="E7665" s="112"/>
      <c r="F7665" s="139" t="s">
        <v>21758</v>
      </c>
      <c r="G7665" s="140"/>
      <c r="H7665" s="141"/>
      <c r="I7665" s="26">
        <v>4461</v>
      </c>
      <c r="J7665" s="117"/>
      <c r="K7665" s="120"/>
      <c r="L7665" s="121"/>
      <c r="M7665" s="120"/>
      <c r="N7665" s="121"/>
      <c r="O7665" s="120"/>
      <c r="P7665" s="121"/>
      <c r="Q7665" s="120"/>
      <c r="R7665" s="121"/>
      <c r="S7665" s="120"/>
      <c r="T7665" s="121"/>
      <c r="U7665" s="120"/>
      <c r="V7665" s="123"/>
      <c r="W7665" s="125"/>
      <c r="X7665" s="142" t="s">
        <v>21962</v>
      </c>
      <c r="Y7665" s="143"/>
      <c r="Z7665" s="143"/>
      <c r="AA7665" s="143"/>
      <c r="AB7665" s="144"/>
      <c r="AC7665" s="16" t="s">
        <v>21</v>
      </c>
      <c r="AD7665" s="17" t="s">
        <v>21936</v>
      </c>
      <c r="AE7665" s="145" t="s">
        <v>21963</v>
      </c>
      <c r="AF7665" s="146"/>
      <c r="AG7665" s="146"/>
      <c r="AH7665" s="146"/>
      <c r="AI7665" s="147"/>
      <c r="AJ7665" s="148"/>
      <c r="AK7665" s="143"/>
      <c r="AL7665" s="144"/>
      <c r="AM7665" s="22"/>
      <c r="AN7665" s="149" t="s">
        <v>6748</v>
      </c>
      <c r="AO7665" s="144"/>
      <c r="AP7665" s="148">
        <v>60506</v>
      </c>
      <c r="AQ7665" s="144"/>
      <c r="AR7665" s="120"/>
      <c r="AS7665" s="121"/>
      <c r="AT7665" s="120"/>
      <c r="AU7665" s="121"/>
      <c r="AV7665" s="120"/>
      <c r="AW7665" s="121"/>
      <c r="AX7665" s="120"/>
      <c r="AY7665" s="121"/>
      <c r="AZ7665" s="138"/>
    </row>
    <row r="7666" spans="1:52" ht="17.100000000000001" customHeight="1" thickTop="1">
      <c r="A7666" s="109" t="s">
        <v>21746</v>
      </c>
      <c r="B7666" s="28">
        <v>46112</v>
      </c>
      <c r="C7666" s="25">
        <v>1935</v>
      </c>
      <c r="D7666" s="13" t="s">
        <v>21781</v>
      </c>
      <c r="E7666" s="111"/>
      <c r="F7666" s="113" t="s">
        <v>21759</v>
      </c>
      <c r="G7666" s="114"/>
      <c r="H7666" s="115"/>
      <c r="I7666" s="24"/>
      <c r="J7666" s="116">
        <v>4</v>
      </c>
      <c r="K7666" s="118">
        <v>469000</v>
      </c>
      <c r="L7666" s="119"/>
      <c r="M7666" s="118">
        <f t="shared" ref="M7666" si="11239">K7666*0.1</f>
        <v>46900</v>
      </c>
      <c r="N7666" s="119"/>
      <c r="O7666" s="118">
        <v>0</v>
      </c>
      <c r="P7666" s="119"/>
      <c r="Q7666" s="118">
        <v>9300</v>
      </c>
      <c r="R7666" s="119"/>
      <c r="S7666" s="118">
        <v>15950</v>
      </c>
      <c r="T7666" s="119"/>
      <c r="U7666" s="118">
        <f t="shared" ref="U7666" si="11240">SUM(K7666:T7667)</f>
        <v>541150</v>
      </c>
      <c r="V7666" s="122"/>
      <c r="W7666" s="124"/>
      <c r="X7666" s="126" t="s">
        <v>21958</v>
      </c>
      <c r="Y7666" s="127"/>
      <c r="Z7666" s="127"/>
      <c r="AA7666" s="127"/>
      <c r="AB7666" s="128"/>
      <c r="AC7666" s="15" t="s">
        <v>20</v>
      </c>
      <c r="AD7666" s="129"/>
      <c r="AE7666" s="130"/>
      <c r="AF7666" s="130"/>
      <c r="AG7666" s="130"/>
      <c r="AH7666" s="130"/>
      <c r="AI7666" s="131"/>
      <c r="AJ7666" s="132"/>
      <c r="AK7666" s="127"/>
      <c r="AL7666" s="128"/>
      <c r="AM7666" s="21"/>
      <c r="AN7666" s="133">
        <v>46123</v>
      </c>
      <c r="AO7666" s="134"/>
      <c r="AP7666" s="135">
        <v>1296</v>
      </c>
      <c r="AQ7666" s="136"/>
      <c r="AR7666" s="118">
        <v>540000</v>
      </c>
      <c r="AS7666" s="119"/>
      <c r="AT7666" s="118">
        <f t="shared" ref="AT7666" si="11241">AR7666*0.1</f>
        <v>54000</v>
      </c>
      <c r="AU7666" s="119"/>
      <c r="AV7666" s="118">
        <v>9300</v>
      </c>
      <c r="AW7666" s="119"/>
      <c r="AX7666" s="118">
        <f t="shared" ref="AX7666" si="11242">SUM(AR7666:AW7666)</f>
        <v>603300</v>
      </c>
      <c r="AY7666" s="119"/>
      <c r="AZ7666" s="137">
        <v>46126</v>
      </c>
    </row>
    <row r="7667" spans="1:52" ht="17.100000000000001" customHeight="1" thickBot="1">
      <c r="A7667" s="110"/>
      <c r="B7667" s="27" t="s">
        <v>21744</v>
      </c>
      <c r="C7667" s="27">
        <v>3449</v>
      </c>
      <c r="D7667" s="14" t="s">
        <v>21715</v>
      </c>
      <c r="E7667" s="112"/>
      <c r="F7667" s="139" t="s">
        <v>21760</v>
      </c>
      <c r="G7667" s="140"/>
      <c r="H7667" s="141"/>
      <c r="I7667" s="26">
        <v>40618</v>
      </c>
      <c r="J7667" s="117"/>
      <c r="K7667" s="120"/>
      <c r="L7667" s="121"/>
      <c r="M7667" s="120"/>
      <c r="N7667" s="121"/>
      <c r="O7667" s="120"/>
      <c r="P7667" s="121"/>
      <c r="Q7667" s="120"/>
      <c r="R7667" s="121"/>
      <c r="S7667" s="120"/>
      <c r="T7667" s="121"/>
      <c r="U7667" s="120"/>
      <c r="V7667" s="123"/>
      <c r="W7667" s="125"/>
      <c r="X7667" s="142" t="s">
        <v>21959</v>
      </c>
      <c r="Y7667" s="143"/>
      <c r="Z7667" s="143"/>
      <c r="AA7667" s="143"/>
      <c r="AB7667" s="144"/>
      <c r="AC7667" s="16" t="s">
        <v>21</v>
      </c>
      <c r="AD7667" s="17" t="s">
        <v>21936</v>
      </c>
      <c r="AE7667" s="145" t="s">
        <v>2269</v>
      </c>
      <c r="AF7667" s="146"/>
      <c r="AG7667" s="146"/>
      <c r="AH7667" s="146"/>
      <c r="AI7667" s="147"/>
      <c r="AJ7667" s="148"/>
      <c r="AK7667" s="143"/>
      <c r="AL7667" s="144"/>
      <c r="AM7667" s="22"/>
      <c r="AN7667" s="149" t="s">
        <v>2511</v>
      </c>
      <c r="AO7667" s="144"/>
      <c r="AP7667" s="148">
        <v>60167</v>
      </c>
      <c r="AQ7667" s="144"/>
      <c r="AR7667" s="120"/>
      <c r="AS7667" s="121"/>
      <c r="AT7667" s="120"/>
      <c r="AU7667" s="121"/>
      <c r="AV7667" s="120"/>
      <c r="AW7667" s="121"/>
      <c r="AX7667" s="120"/>
      <c r="AY7667" s="121"/>
      <c r="AZ7667" s="138"/>
    </row>
    <row r="7668" spans="1:52" ht="17.100000000000001" customHeight="1" thickTop="1">
      <c r="A7668" s="109" t="s">
        <v>21747</v>
      </c>
      <c r="B7668" s="28">
        <v>46112</v>
      </c>
      <c r="C7668" s="25">
        <v>1935</v>
      </c>
      <c r="D7668" s="13" t="s">
        <v>21782</v>
      </c>
      <c r="E7668" s="111"/>
      <c r="F7668" s="113" t="s">
        <v>21761</v>
      </c>
      <c r="G7668" s="114"/>
      <c r="H7668" s="115"/>
      <c r="I7668" s="24"/>
      <c r="J7668" s="116">
        <v>4.5</v>
      </c>
      <c r="K7668" s="118">
        <v>1243000</v>
      </c>
      <c r="L7668" s="119"/>
      <c r="M7668" s="118">
        <f t="shared" ref="M7668" si="11243">K7668*0.1</f>
        <v>124300</v>
      </c>
      <c r="N7668" s="119"/>
      <c r="O7668" s="118">
        <v>0</v>
      </c>
      <c r="P7668" s="119"/>
      <c r="Q7668" s="118">
        <v>19090</v>
      </c>
      <c r="R7668" s="119"/>
      <c r="S7668" s="118">
        <v>15950</v>
      </c>
      <c r="T7668" s="119"/>
      <c r="U7668" s="118">
        <f t="shared" ref="U7668" si="11244">SUM(K7668:T7669)</f>
        <v>1402340</v>
      </c>
      <c r="V7668" s="122"/>
      <c r="W7668" s="124"/>
      <c r="X7668" s="126" t="s">
        <v>21945</v>
      </c>
      <c r="Y7668" s="127"/>
      <c r="Z7668" s="127"/>
      <c r="AA7668" s="127"/>
      <c r="AB7668" s="128"/>
      <c r="AC7668" s="15" t="s">
        <v>20</v>
      </c>
      <c r="AD7668" s="129" t="s">
        <v>21785</v>
      </c>
      <c r="AE7668" s="130"/>
      <c r="AF7668" s="130"/>
      <c r="AG7668" s="130"/>
      <c r="AH7668" s="130"/>
      <c r="AI7668" s="131"/>
      <c r="AJ7668" s="132"/>
      <c r="AK7668" s="127"/>
      <c r="AL7668" s="128"/>
      <c r="AM7668" s="21"/>
      <c r="AN7668" s="133">
        <v>46116</v>
      </c>
      <c r="AO7668" s="134"/>
      <c r="AP7668" s="135">
        <v>1295</v>
      </c>
      <c r="AQ7668" s="136"/>
      <c r="AR7668" s="118">
        <v>1385000</v>
      </c>
      <c r="AS7668" s="119"/>
      <c r="AT7668" s="118">
        <f t="shared" ref="AT7668" si="11245">AR7668*0.1</f>
        <v>138500</v>
      </c>
      <c r="AU7668" s="119"/>
      <c r="AV7668" s="118">
        <v>19090</v>
      </c>
      <c r="AW7668" s="119"/>
      <c r="AX7668" s="118">
        <f t="shared" ref="AX7668" si="11246">SUM(AR7668:AW7668)</f>
        <v>1542590</v>
      </c>
      <c r="AY7668" s="119"/>
      <c r="AZ7668" s="137">
        <v>46119</v>
      </c>
    </row>
    <row r="7669" spans="1:52" ht="17.100000000000001" customHeight="1" thickBot="1">
      <c r="A7669" s="110"/>
      <c r="B7669" s="27" t="s">
        <v>21744</v>
      </c>
      <c r="C7669" s="27">
        <v>5017</v>
      </c>
      <c r="D7669" s="14" t="s">
        <v>21783</v>
      </c>
      <c r="E7669" s="112"/>
      <c r="F7669" s="139" t="s">
        <v>21784</v>
      </c>
      <c r="G7669" s="140"/>
      <c r="H7669" s="141"/>
      <c r="I7669" s="26">
        <v>61322</v>
      </c>
      <c r="J7669" s="117"/>
      <c r="K7669" s="120"/>
      <c r="L7669" s="121"/>
      <c r="M7669" s="120"/>
      <c r="N7669" s="121"/>
      <c r="O7669" s="120"/>
      <c r="P7669" s="121"/>
      <c r="Q7669" s="120"/>
      <c r="R7669" s="121"/>
      <c r="S7669" s="120"/>
      <c r="T7669" s="121"/>
      <c r="U7669" s="120"/>
      <c r="V7669" s="123"/>
      <c r="W7669" s="125"/>
      <c r="X7669" s="142" t="s">
        <v>21946</v>
      </c>
      <c r="Y7669" s="143"/>
      <c r="Z7669" s="143"/>
      <c r="AA7669" s="143"/>
      <c r="AB7669" s="144"/>
      <c r="AC7669" s="16" t="s">
        <v>21</v>
      </c>
      <c r="AD7669" s="17" t="s">
        <v>21936</v>
      </c>
      <c r="AE7669" s="145" t="s">
        <v>21947</v>
      </c>
      <c r="AF7669" s="146"/>
      <c r="AG7669" s="146"/>
      <c r="AH7669" s="146"/>
      <c r="AI7669" s="147"/>
      <c r="AJ7669" s="148"/>
      <c r="AK7669" s="143"/>
      <c r="AL7669" s="144"/>
      <c r="AM7669" s="22"/>
      <c r="AN7669" s="149" t="s">
        <v>2511</v>
      </c>
      <c r="AO7669" s="144"/>
      <c r="AP7669" s="148">
        <v>80367</v>
      </c>
      <c r="AQ7669" s="144"/>
      <c r="AR7669" s="120"/>
      <c r="AS7669" s="121"/>
      <c r="AT7669" s="120"/>
      <c r="AU7669" s="121"/>
      <c r="AV7669" s="120"/>
      <c r="AW7669" s="121"/>
      <c r="AX7669" s="120"/>
      <c r="AY7669" s="121"/>
      <c r="AZ7669" s="138"/>
    </row>
    <row r="7670" spans="1:52" ht="17.100000000000001" customHeight="1" thickTop="1">
      <c r="A7670" s="109" t="s">
        <v>21748</v>
      </c>
      <c r="B7670" s="28">
        <v>46112</v>
      </c>
      <c r="C7670" s="25">
        <v>813</v>
      </c>
      <c r="D7670" s="13" t="s">
        <v>21786</v>
      </c>
      <c r="E7670" s="111"/>
      <c r="F7670" s="113" t="s">
        <v>21763</v>
      </c>
      <c r="G7670" s="114"/>
      <c r="H7670" s="115"/>
      <c r="I7670" s="24" t="s">
        <v>21788</v>
      </c>
      <c r="J7670" s="116">
        <v>4.5</v>
      </c>
      <c r="K7670" s="118">
        <v>782000</v>
      </c>
      <c r="L7670" s="119"/>
      <c r="M7670" s="118">
        <f t="shared" ref="M7670" si="11247">K7670*0.1</f>
        <v>78200</v>
      </c>
      <c r="N7670" s="119"/>
      <c r="O7670" s="118">
        <v>39500</v>
      </c>
      <c r="P7670" s="119"/>
      <c r="Q7670" s="118">
        <v>17700</v>
      </c>
      <c r="R7670" s="119"/>
      <c r="S7670" s="118">
        <v>19250</v>
      </c>
      <c r="T7670" s="119"/>
      <c r="U7670" s="118">
        <f t="shared" ref="U7670" si="11248">SUM(K7670:T7671)</f>
        <v>936650</v>
      </c>
      <c r="V7670" s="122"/>
      <c r="W7670" s="124"/>
      <c r="X7670" s="126" t="s">
        <v>21789</v>
      </c>
      <c r="Y7670" s="127"/>
      <c r="Z7670" s="127"/>
      <c r="AA7670" s="127"/>
      <c r="AB7670" s="128"/>
      <c r="AC7670" s="15" t="s">
        <v>20</v>
      </c>
      <c r="AD7670" s="129"/>
      <c r="AE7670" s="130"/>
      <c r="AF7670" s="130"/>
      <c r="AG7670" s="130"/>
      <c r="AH7670" s="130"/>
      <c r="AI7670" s="131"/>
      <c r="AJ7670" s="132"/>
      <c r="AK7670" s="127"/>
      <c r="AL7670" s="128"/>
      <c r="AM7670" s="21"/>
      <c r="AN7670" s="133">
        <v>46144</v>
      </c>
      <c r="AO7670" s="134"/>
      <c r="AP7670" s="135">
        <v>1299</v>
      </c>
      <c r="AQ7670" s="136"/>
      <c r="AR7670" s="118">
        <v>900000</v>
      </c>
      <c r="AS7670" s="119"/>
      <c r="AT7670" s="118">
        <f t="shared" ref="AT7670" si="11249">AR7670*0.1</f>
        <v>90000</v>
      </c>
      <c r="AU7670" s="119"/>
      <c r="AV7670" s="118">
        <v>17700</v>
      </c>
      <c r="AW7670" s="119"/>
      <c r="AX7670" s="118">
        <f t="shared" ref="AX7670" si="11250">SUM(AR7670:AW7670)</f>
        <v>1007700</v>
      </c>
      <c r="AY7670" s="119"/>
      <c r="AZ7670" s="137">
        <v>46154</v>
      </c>
    </row>
    <row r="7671" spans="1:52" ht="17.100000000000001" customHeight="1" thickBot="1">
      <c r="A7671" s="110"/>
      <c r="B7671" s="27" t="s">
        <v>21762</v>
      </c>
      <c r="C7671" s="27">
        <v>5012</v>
      </c>
      <c r="D7671" s="14" t="s">
        <v>21787</v>
      </c>
      <c r="E7671" s="112"/>
      <c r="F7671" s="139" t="s">
        <v>22465</v>
      </c>
      <c r="G7671" s="140"/>
      <c r="H7671" s="141"/>
      <c r="I7671" s="26">
        <v>37047</v>
      </c>
      <c r="J7671" s="117"/>
      <c r="K7671" s="120"/>
      <c r="L7671" s="121"/>
      <c r="M7671" s="120"/>
      <c r="N7671" s="121"/>
      <c r="O7671" s="120"/>
      <c r="P7671" s="121"/>
      <c r="Q7671" s="120"/>
      <c r="R7671" s="121"/>
      <c r="S7671" s="120"/>
      <c r="T7671" s="121"/>
      <c r="U7671" s="120"/>
      <c r="V7671" s="123"/>
      <c r="W7671" s="125"/>
      <c r="X7671" s="142" t="s">
        <v>22466</v>
      </c>
      <c r="Y7671" s="143"/>
      <c r="Z7671" s="143"/>
      <c r="AA7671" s="143"/>
      <c r="AB7671" s="144"/>
      <c r="AC7671" s="16" t="s">
        <v>21</v>
      </c>
      <c r="AD7671" s="17" t="s">
        <v>1825</v>
      </c>
      <c r="AE7671" s="145" t="s">
        <v>1742</v>
      </c>
      <c r="AF7671" s="146"/>
      <c r="AG7671" s="146"/>
      <c r="AH7671" s="146"/>
      <c r="AI7671" s="147"/>
      <c r="AJ7671" s="148"/>
      <c r="AK7671" s="143"/>
      <c r="AL7671" s="144"/>
      <c r="AM7671" s="22"/>
      <c r="AN7671" s="149" t="s">
        <v>7284</v>
      </c>
      <c r="AO7671" s="144"/>
      <c r="AP7671" s="148">
        <v>80159</v>
      </c>
      <c r="AQ7671" s="144"/>
      <c r="AR7671" s="120"/>
      <c r="AS7671" s="121"/>
      <c r="AT7671" s="120"/>
      <c r="AU7671" s="121"/>
      <c r="AV7671" s="120"/>
      <c r="AW7671" s="121"/>
      <c r="AX7671" s="120"/>
      <c r="AY7671" s="121"/>
      <c r="AZ7671" s="138"/>
    </row>
    <row r="7672" spans="1:52" ht="17.100000000000001" customHeight="1" thickTop="1">
      <c r="A7672" s="109" t="s">
        <v>21749</v>
      </c>
      <c r="B7672" s="28">
        <v>46112</v>
      </c>
      <c r="C7672" s="25">
        <v>933</v>
      </c>
      <c r="D7672" s="13" t="s">
        <v>21790</v>
      </c>
      <c r="E7672" s="111"/>
      <c r="F7672" s="113" t="s">
        <v>21765</v>
      </c>
      <c r="G7672" s="114"/>
      <c r="H7672" s="115"/>
      <c r="I7672" s="24" t="s">
        <v>21788</v>
      </c>
      <c r="J7672" s="116">
        <v>4.5</v>
      </c>
      <c r="K7672" s="118">
        <v>812000</v>
      </c>
      <c r="L7672" s="119"/>
      <c r="M7672" s="118">
        <f t="shared" ref="M7672" si="11251">K7672*0.1</f>
        <v>81200</v>
      </c>
      <c r="N7672" s="119"/>
      <c r="O7672" s="118">
        <v>10800</v>
      </c>
      <c r="P7672" s="119"/>
      <c r="Q7672" s="118">
        <v>8790</v>
      </c>
      <c r="R7672" s="119"/>
      <c r="S7672" s="118">
        <v>15950</v>
      </c>
      <c r="T7672" s="119"/>
      <c r="U7672" s="118">
        <f t="shared" ref="U7672" si="11252">SUM(K7672:T7673)</f>
        <v>928740</v>
      </c>
      <c r="V7672" s="122"/>
      <c r="W7672" s="124"/>
      <c r="X7672" s="126" t="s">
        <v>21792</v>
      </c>
      <c r="Y7672" s="127"/>
      <c r="Z7672" s="127"/>
      <c r="AA7672" s="127"/>
      <c r="AB7672" s="128"/>
      <c r="AC7672" s="15" t="s">
        <v>20</v>
      </c>
      <c r="AD7672" s="129"/>
      <c r="AE7672" s="130"/>
      <c r="AF7672" s="130"/>
      <c r="AG7672" s="130"/>
      <c r="AH7672" s="130"/>
      <c r="AI7672" s="131"/>
      <c r="AJ7672" s="132"/>
      <c r="AK7672" s="127"/>
      <c r="AL7672" s="128"/>
      <c r="AM7672" s="21" t="s">
        <v>23799</v>
      </c>
      <c r="AN7672" s="133">
        <v>46158</v>
      </c>
      <c r="AO7672" s="134"/>
      <c r="AP7672" s="135">
        <v>1300</v>
      </c>
      <c r="AQ7672" s="136"/>
      <c r="AR7672" s="118">
        <v>885000</v>
      </c>
      <c r="AS7672" s="119"/>
      <c r="AT7672" s="118">
        <f t="shared" ref="AT7672" si="11253">AR7672*0.1</f>
        <v>88500</v>
      </c>
      <c r="AU7672" s="119"/>
      <c r="AV7672" s="118">
        <v>8790</v>
      </c>
      <c r="AW7672" s="119"/>
      <c r="AX7672" s="118">
        <f t="shared" ref="AX7672" si="11254">SUM(AR7672:AW7672)</f>
        <v>982290</v>
      </c>
      <c r="AY7672" s="119"/>
      <c r="AZ7672" s="137">
        <v>46161</v>
      </c>
    </row>
    <row r="7673" spans="1:52" ht="17.100000000000001" customHeight="1" thickBot="1">
      <c r="A7673" s="110"/>
      <c r="B7673" s="27" t="s">
        <v>21764</v>
      </c>
      <c r="C7673" s="27">
        <v>3086</v>
      </c>
      <c r="D7673" s="14" t="s">
        <v>21791</v>
      </c>
      <c r="E7673" s="112"/>
      <c r="F7673" s="139" t="s">
        <v>21766</v>
      </c>
      <c r="G7673" s="140"/>
      <c r="H7673" s="141"/>
      <c r="I7673" s="26">
        <v>53070</v>
      </c>
      <c r="J7673" s="117"/>
      <c r="K7673" s="120"/>
      <c r="L7673" s="121"/>
      <c r="M7673" s="120"/>
      <c r="N7673" s="121"/>
      <c r="O7673" s="120"/>
      <c r="P7673" s="121"/>
      <c r="Q7673" s="120"/>
      <c r="R7673" s="121"/>
      <c r="S7673" s="120"/>
      <c r="T7673" s="121"/>
      <c r="U7673" s="120"/>
      <c r="V7673" s="123"/>
      <c r="W7673" s="125"/>
      <c r="X7673" s="142" t="s">
        <v>21955</v>
      </c>
      <c r="Y7673" s="143"/>
      <c r="Z7673" s="143"/>
      <c r="AA7673" s="143"/>
      <c r="AB7673" s="144"/>
      <c r="AC7673" s="16" t="s">
        <v>21</v>
      </c>
      <c r="AD7673" s="17" t="s">
        <v>21936</v>
      </c>
      <c r="AE7673" s="145"/>
      <c r="AF7673" s="146"/>
      <c r="AG7673" s="146"/>
      <c r="AH7673" s="146"/>
      <c r="AI7673" s="147"/>
      <c r="AJ7673" s="148"/>
      <c r="AK7673" s="143"/>
      <c r="AL7673" s="144"/>
      <c r="AM7673" s="22"/>
      <c r="AN7673" s="149" t="s">
        <v>2511</v>
      </c>
      <c r="AO7673" s="144"/>
      <c r="AP7673" s="148">
        <v>60065</v>
      </c>
      <c r="AQ7673" s="144"/>
      <c r="AR7673" s="120"/>
      <c r="AS7673" s="121"/>
      <c r="AT7673" s="120"/>
      <c r="AU7673" s="121"/>
      <c r="AV7673" s="120"/>
      <c r="AW7673" s="121"/>
      <c r="AX7673" s="120"/>
      <c r="AY7673" s="121"/>
      <c r="AZ7673" s="138"/>
    </row>
    <row r="7674" spans="1:52" ht="17.100000000000001" customHeight="1" thickTop="1">
      <c r="A7674" s="109" t="s">
        <v>21750</v>
      </c>
      <c r="B7674" s="28">
        <v>46112</v>
      </c>
      <c r="C7674" s="25">
        <v>933</v>
      </c>
      <c r="D7674" s="13" t="s">
        <v>21793</v>
      </c>
      <c r="E7674" s="111"/>
      <c r="F7674" s="113" t="s">
        <v>21767</v>
      </c>
      <c r="G7674" s="114"/>
      <c r="H7674" s="115"/>
      <c r="I7674" s="24" t="s">
        <v>21794</v>
      </c>
      <c r="J7674" s="116">
        <v>4.5</v>
      </c>
      <c r="K7674" s="118">
        <v>1010000</v>
      </c>
      <c r="L7674" s="119"/>
      <c r="M7674" s="118">
        <f t="shared" ref="M7674" si="11255">K7674*0.1</f>
        <v>101000</v>
      </c>
      <c r="N7674" s="119"/>
      <c r="O7674" s="118">
        <v>5000</v>
      </c>
      <c r="P7674" s="119"/>
      <c r="Q7674" s="118">
        <v>8510</v>
      </c>
      <c r="R7674" s="119"/>
      <c r="S7674" s="118">
        <v>15950</v>
      </c>
      <c r="T7674" s="119"/>
      <c r="U7674" s="118">
        <f t="shared" ref="U7674" si="11256">SUM(K7674:T7675)</f>
        <v>1140460</v>
      </c>
      <c r="V7674" s="122"/>
      <c r="W7674" s="124"/>
      <c r="X7674" s="126" t="s">
        <v>21795</v>
      </c>
      <c r="Y7674" s="127"/>
      <c r="Z7674" s="127"/>
      <c r="AA7674" s="127"/>
      <c r="AB7674" s="128"/>
      <c r="AC7674" s="15" t="s">
        <v>20</v>
      </c>
      <c r="AD7674" s="129" t="s">
        <v>21796</v>
      </c>
      <c r="AE7674" s="130"/>
      <c r="AF7674" s="130"/>
      <c r="AG7674" s="130"/>
      <c r="AH7674" s="130"/>
      <c r="AI7674" s="131"/>
      <c r="AJ7674" s="132"/>
      <c r="AK7674" s="127"/>
      <c r="AL7674" s="128"/>
      <c r="AM7674" s="21" t="s">
        <v>22266</v>
      </c>
      <c r="AN7674" s="133">
        <v>46116</v>
      </c>
      <c r="AO7674" s="134"/>
      <c r="AP7674" s="135">
        <v>1295</v>
      </c>
      <c r="AQ7674" s="136"/>
      <c r="AR7674" s="118">
        <v>1305000</v>
      </c>
      <c r="AS7674" s="119"/>
      <c r="AT7674" s="118">
        <f t="shared" ref="AT7674" si="11257">AR7674*0.1</f>
        <v>130500</v>
      </c>
      <c r="AU7674" s="119"/>
      <c r="AV7674" s="118">
        <v>8510</v>
      </c>
      <c r="AW7674" s="119"/>
      <c r="AX7674" s="118">
        <f t="shared" ref="AX7674" si="11258">SUM(AR7674:AW7674)</f>
        <v>1444010</v>
      </c>
      <c r="AY7674" s="119"/>
      <c r="AZ7674" s="137">
        <v>46121</v>
      </c>
    </row>
    <row r="7675" spans="1:52" ht="17.100000000000001" customHeight="1" thickBot="1">
      <c r="A7675" s="110"/>
      <c r="B7675" s="27" t="s">
        <v>21764</v>
      </c>
      <c r="C7675" s="27">
        <v>3096</v>
      </c>
      <c r="D7675" s="14" t="s">
        <v>2601</v>
      </c>
      <c r="E7675" s="112"/>
      <c r="F7675" s="139" t="s">
        <v>21768</v>
      </c>
      <c r="G7675" s="140"/>
      <c r="H7675" s="141"/>
      <c r="I7675" s="26">
        <v>31453</v>
      </c>
      <c r="J7675" s="117"/>
      <c r="K7675" s="120"/>
      <c r="L7675" s="121"/>
      <c r="M7675" s="120"/>
      <c r="N7675" s="121"/>
      <c r="O7675" s="120"/>
      <c r="P7675" s="121"/>
      <c r="Q7675" s="120"/>
      <c r="R7675" s="121"/>
      <c r="S7675" s="120"/>
      <c r="T7675" s="121"/>
      <c r="U7675" s="120"/>
      <c r="V7675" s="123"/>
      <c r="W7675" s="125"/>
      <c r="X7675" s="142" t="s">
        <v>21956</v>
      </c>
      <c r="Y7675" s="143"/>
      <c r="Z7675" s="143"/>
      <c r="AA7675" s="143"/>
      <c r="AB7675" s="144"/>
      <c r="AC7675" s="16" t="s">
        <v>21</v>
      </c>
      <c r="AD7675" s="17" t="s">
        <v>21936</v>
      </c>
      <c r="AE7675" s="145" t="s">
        <v>21957</v>
      </c>
      <c r="AF7675" s="146"/>
      <c r="AG7675" s="146"/>
      <c r="AH7675" s="146"/>
      <c r="AI7675" s="147"/>
      <c r="AJ7675" s="148"/>
      <c r="AK7675" s="143"/>
      <c r="AL7675" s="144"/>
      <c r="AM7675" s="22"/>
      <c r="AN7675" s="149" t="s">
        <v>2511</v>
      </c>
      <c r="AO7675" s="144"/>
      <c r="AP7675" s="148">
        <v>60505</v>
      </c>
      <c r="AQ7675" s="144"/>
      <c r="AR7675" s="120"/>
      <c r="AS7675" s="121"/>
      <c r="AT7675" s="120"/>
      <c r="AU7675" s="121"/>
      <c r="AV7675" s="120"/>
      <c r="AW7675" s="121"/>
      <c r="AX7675" s="120"/>
      <c r="AY7675" s="121"/>
      <c r="AZ7675" s="138"/>
    </row>
    <row r="7676" spans="1:52" ht="17.100000000000001" customHeight="1" thickTop="1">
      <c r="A7676" s="109" t="s">
        <v>21751</v>
      </c>
      <c r="B7676" s="28">
        <v>46112</v>
      </c>
      <c r="C7676" s="25">
        <v>933</v>
      </c>
      <c r="D7676" s="13" t="s">
        <v>21797</v>
      </c>
      <c r="E7676" s="111"/>
      <c r="F7676" s="113" t="s">
        <v>21769</v>
      </c>
      <c r="G7676" s="114"/>
      <c r="H7676" s="115"/>
      <c r="I7676" s="24"/>
      <c r="J7676" s="116">
        <v>3.5</v>
      </c>
      <c r="K7676" s="118">
        <v>964000</v>
      </c>
      <c r="L7676" s="119"/>
      <c r="M7676" s="118">
        <f t="shared" ref="M7676" si="11259">K7676*0.1</f>
        <v>96400</v>
      </c>
      <c r="N7676" s="119"/>
      <c r="O7676" s="118">
        <v>0</v>
      </c>
      <c r="P7676" s="119"/>
      <c r="Q7676" s="118">
        <v>6550</v>
      </c>
      <c r="R7676" s="119"/>
      <c r="S7676" s="118">
        <v>15950</v>
      </c>
      <c r="T7676" s="119"/>
      <c r="U7676" s="118">
        <f t="shared" ref="U7676" si="11260">SUM(K7676:T7677)</f>
        <v>1082900</v>
      </c>
      <c r="V7676" s="122"/>
      <c r="W7676" s="124"/>
      <c r="X7676" s="126" t="s">
        <v>21948</v>
      </c>
      <c r="Y7676" s="127"/>
      <c r="Z7676" s="127"/>
      <c r="AA7676" s="127"/>
      <c r="AB7676" s="128"/>
      <c r="AC7676" s="15" t="s">
        <v>20</v>
      </c>
      <c r="AD7676" s="129" t="s">
        <v>21718</v>
      </c>
      <c r="AE7676" s="130"/>
      <c r="AF7676" s="130"/>
      <c r="AG7676" s="130"/>
      <c r="AH7676" s="130"/>
      <c r="AI7676" s="131"/>
      <c r="AJ7676" s="132"/>
      <c r="AK7676" s="127"/>
      <c r="AL7676" s="128"/>
      <c r="AM7676" s="21"/>
      <c r="AN7676" s="133">
        <v>46116</v>
      </c>
      <c r="AO7676" s="134"/>
      <c r="AP7676" s="135">
        <v>1295</v>
      </c>
      <c r="AQ7676" s="136"/>
      <c r="AR7676" s="118">
        <v>1080000</v>
      </c>
      <c r="AS7676" s="119"/>
      <c r="AT7676" s="118">
        <f t="shared" ref="AT7676" si="11261">AR7676*0.1</f>
        <v>108000</v>
      </c>
      <c r="AU7676" s="119"/>
      <c r="AV7676" s="118">
        <v>6550</v>
      </c>
      <c r="AW7676" s="119"/>
      <c r="AX7676" s="118">
        <f t="shared" ref="AX7676" si="11262">SUM(AR7676:AW7676)</f>
        <v>1194550</v>
      </c>
      <c r="AY7676" s="119"/>
      <c r="AZ7676" s="137">
        <v>46119</v>
      </c>
    </row>
    <row r="7677" spans="1:52" ht="17.100000000000001" customHeight="1" thickBot="1">
      <c r="A7677" s="110"/>
      <c r="B7677" s="27" t="s">
        <v>21764</v>
      </c>
      <c r="C7677" s="27">
        <v>3098</v>
      </c>
      <c r="D7677" s="14" t="s">
        <v>21715</v>
      </c>
      <c r="E7677" s="112"/>
      <c r="F7677" s="139" t="s">
        <v>21770</v>
      </c>
      <c r="G7677" s="140"/>
      <c r="H7677" s="141"/>
      <c r="I7677" s="26">
        <v>20209</v>
      </c>
      <c r="J7677" s="117"/>
      <c r="K7677" s="120"/>
      <c r="L7677" s="121"/>
      <c r="M7677" s="120"/>
      <c r="N7677" s="121"/>
      <c r="O7677" s="120"/>
      <c r="P7677" s="121"/>
      <c r="Q7677" s="120"/>
      <c r="R7677" s="121"/>
      <c r="S7677" s="120"/>
      <c r="T7677" s="121"/>
      <c r="U7677" s="120"/>
      <c r="V7677" s="123"/>
      <c r="W7677" s="125"/>
      <c r="X7677" s="142" t="s">
        <v>21949</v>
      </c>
      <c r="Y7677" s="143"/>
      <c r="Z7677" s="143"/>
      <c r="AA7677" s="143"/>
      <c r="AB7677" s="144"/>
      <c r="AC7677" s="16" t="s">
        <v>21</v>
      </c>
      <c r="AD7677" s="17" t="s">
        <v>21936</v>
      </c>
      <c r="AE7677" s="145" t="s">
        <v>21950</v>
      </c>
      <c r="AF7677" s="146"/>
      <c r="AG7677" s="146"/>
      <c r="AH7677" s="146"/>
      <c r="AI7677" s="147"/>
      <c r="AJ7677" s="148"/>
      <c r="AK7677" s="143"/>
      <c r="AL7677" s="144"/>
      <c r="AM7677" s="22"/>
      <c r="AN7677" s="149" t="s">
        <v>2511</v>
      </c>
      <c r="AO7677" s="144"/>
      <c r="AP7677" s="148">
        <v>60570</v>
      </c>
      <c r="AQ7677" s="144"/>
      <c r="AR7677" s="120"/>
      <c r="AS7677" s="121"/>
      <c r="AT7677" s="120"/>
      <c r="AU7677" s="121"/>
      <c r="AV7677" s="120"/>
      <c r="AW7677" s="121"/>
      <c r="AX7677" s="120"/>
      <c r="AY7677" s="121"/>
      <c r="AZ7677" s="138"/>
    </row>
    <row r="7678" spans="1:52" ht="17.100000000000001" customHeight="1" thickTop="1">
      <c r="A7678" s="109" t="s">
        <v>21752</v>
      </c>
      <c r="B7678" s="28">
        <v>46112</v>
      </c>
      <c r="C7678" s="25">
        <v>933</v>
      </c>
      <c r="D7678" s="13" t="s">
        <v>21798</v>
      </c>
      <c r="E7678" s="111"/>
      <c r="F7678" s="113" t="s">
        <v>21771</v>
      </c>
      <c r="G7678" s="114"/>
      <c r="H7678" s="115"/>
      <c r="I7678" s="24"/>
      <c r="J7678" s="116">
        <v>5</v>
      </c>
      <c r="K7678" s="118">
        <v>1049000</v>
      </c>
      <c r="L7678" s="119"/>
      <c r="M7678" s="118">
        <f t="shared" ref="M7678" si="11263">K7678*0.1</f>
        <v>104900</v>
      </c>
      <c r="N7678" s="119"/>
      <c r="O7678" s="118">
        <v>0</v>
      </c>
      <c r="P7678" s="119"/>
      <c r="Q7678" s="118">
        <v>8130</v>
      </c>
      <c r="R7678" s="119"/>
      <c r="S7678" s="118">
        <v>15950</v>
      </c>
      <c r="T7678" s="119"/>
      <c r="U7678" s="118">
        <f t="shared" ref="U7678" si="11264">SUM(K7678:T7679)</f>
        <v>1177980</v>
      </c>
      <c r="V7678" s="122"/>
      <c r="W7678" s="124"/>
      <c r="X7678" s="126" t="s">
        <v>22240</v>
      </c>
      <c r="Y7678" s="127"/>
      <c r="Z7678" s="127"/>
      <c r="AA7678" s="127"/>
      <c r="AB7678" s="128"/>
      <c r="AC7678" s="15" t="s">
        <v>20</v>
      </c>
      <c r="AD7678" s="129"/>
      <c r="AE7678" s="130"/>
      <c r="AF7678" s="130"/>
      <c r="AG7678" s="130"/>
      <c r="AH7678" s="130"/>
      <c r="AI7678" s="131"/>
      <c r="AJ7678" s="132"/>
      <c r="AK7678" s="127"/>
      <c r="AL7678" s="128"/>
      <c r="AM7678" s="21"/>
      <c r="AN7678" s="133">
        <v>46125</v>
      </c>
      <c r="AO7678" s="134"/>
      <c r="AP7678" s="135"/>
      <c r="AQ7678" s="136"/>
      <c r="AR7678" s="118">
        <v>1230000</v>
      </c>
      <c r="AS7678" s="119"/>
      <c r="AT7678" s="118">
        <f t="shared" ref="AT7678" si="11265">AR7678*0.1</f>
        <v>123000</v>
      </c>
      <c r="AU7678" s="119"/>
      <c r="AV7678" s="118">
        <v>8130</v>
      </c>
      <c r="AW7678" s="119"/>
      <c r="AX7678" s="118">
        <f t="shared" ref="AX7678" si="11266">SUM(AR7678:AW7678)</f>
        <v>1361130</v>
      </c>
      <c r="AY7678" s="119"/>
      <c r="AZ7678" s="137"/>
    </row>
    <row r="7679" spans="1:52" ht="17.100000000000001" customHeight="1" thickBot="1">
      <c r="A7679" s="110"/>
      <c r="B7679" s="27" t="s">
        <v>21764</v>
      </c>
      <c r="C7679" s="27">
        <v>3118</v>
      </c>
      <c r="D7679" s="14" t="s">
        <v>21777</v>
      </c>
      <c r="E7679" s="112"/>
      <c r="F7679" s="139" t="s">
        <v>21772</v>
      </c>
      <c r="G7679" s="140"/>
      <c r="H7679" s="141"/>
      <c r="I7679" s="26">
        <v>33929</v>
      </c>
      <c r="J7679" s="117"/>
      <c r="K7679" s="120"/>
      <c r="L7679" s="121"/>
      <c r="M7679" s="120"/>
      <c r="N7679" s="121"/>
      <c r="O7679" s="120"/>
      <c r="P7679" s="121"/>
      <c r="Q7679" s="120"/>
      <c r="R7679" s="121"/>
      <c r="S7679" s="120"/>
      <c r="T7679" s="121"/>
      <c r="U7679" s="120"/>
      <c r="V7679" s="123"/>
      <c r="W7679" s="125"/>
      <c r="X7679" s="142" t="s">
        <v>1997</v>
      </c>
      <c r="Y7679" s="143"/>
      <c r="Z7679" s="143"/>
      <c r="AA7679" s="143"/>
      <c r="AB7679" s="144"/>
      <c r="AC7679" s="16" t="s">
        <v>21</v>
      </c>
      <c r="AD7679" s="17" t="s">
        <v>1563</v>
      </c>
      <c r="AE7679" s="145" t="s">
        <v>22272</v>
      </c>
      <c r="AF7679" s="146"/>
      <c r="AG7679" s="146"/>
      <c r="AH7679" s="146"/>
      <c r="AI7679" s="147"/>
      <c r="AJ7679" s="148"/>
      <c r="AK7679" s="143"/>
      <c r="AL7679" s="144"/>
      <c r="AM7679" s="22"/>
      <c r="AN7679" s="149" t="s">
        <v>23029</v>
      </c>
      <c r="AO7679" s="144"/>
      <c r="AP7679" s="148">
        <v>46803</v>
      </c>
      <c r="AQ7679" s="144"/>
      <c r="AR7679" s="120"/>
      <c r="AS7679" s="121"/>
      <c r="AT7679" s="120"/>
      <c r="AU7679" s="121"/>
      <c r="AV7679" s="120"/>
      <c r="AW7679" s="121"/>
      <c r="AX7679" s="120"/>
      <c r="AY7679" s="121"/>
      <c r="AZ7679" s="138"/>
    </row>
    <row r="7680" spans="1:52" ht="17.100000000000001" customHeight="1" thickTop="1">
      <c r="A7680" s="109" t="s">
        <v>21753</v>
      </c>
      <c r="B7680" s="28">
        <v>46112</v>
      </c>
      <c r="C7680" s="25">
        <v>933</v>
      </c>
      <c r="D7680" s="13" t="s">
        <v>21776</v>
      </c>
      <c r="E7680" s="111"/>
      <c r="F7680" s="113" t="s">
        <v>21763</v>
      </c>
      <c r="G7680" s="114"/>
      <c r="H7680" s="115"/>
      <c r="I7680" s="24"/>
      <c r="J7680" s="116">
        <v>4</v>
      </c>
      <c r="K7680" s="118">
        <v>1200000</v>
      </c>
      <c r="L7680" s="119"/>
      <c r="M7680" s="118">
        <f t="shared" ref="M7680" si="11267">K7680*0.1</f>
        <v>120000</v>
      </c>
      <c r="N7680" s="119"/>
      <c r="O7680" s="118">
        <v>0</v>
      </c>
      <c r="P7680" s="119"/>
      <c r="Q7680" s="118">
        <v>17700</v>
      </c>
      <c r="R7680" s="119"/>
      <c r="S7680" s="118">
        <v>20900</v>
      </c>
      <c r="T7680" s="119"/>
      <c r="U7680" s="118">
        <f t="shared" ref="U7680" si="11268">SUM(K7680:T7681)</f>
        <v>1358600</v>
      </c>
      <c r="V7680" s="122"/>
      <c r="W7680" s="124"/>
      <c r="X7680" s="126" t="s">
        <v>21943</v>
      </c>
      <c r="Y7680" s="127"/>
      <c r="Z7680" s="127"/>
      <c r="AA7680" s="127"/>
      <c r="AB7680" s="128"/>
      <c r="AC7680" s="15" t="s">
        <v>20</v>
      </c>
      <c r="AD7680" s="129"/>
      <c r="AE7680" s="130"/>
      <c r="AF7680" s="130"/>
      <c r="AG7680" s="130"/>
      <c r="AH7680" s="130"/>
      <c r="AI7680" s="131"/>
      <c r="AJ7680" s="132"/>
      <c r="AK7680" s="127"/>
      <c r="AL7680" s="128"/>
      <c r="AM7680" s="21"/>
      <c r="AN7680" s="133">
        <v>46116</v>
      </c>
      <c r="AO7680" s="134"/>
      <c r="AP7680" s="135">
        <v>1295</v>
      </c>
      <c r="AQ7680" s="136"/>
      <c r="AR7680" s="118">
        <v>1380000</v>
      </c>
      <c r="AS7680" s="119"/>
      <c r="AT7680" s="118">
        <f t="shared" ref="AT7680" si="11269">AR7680*0.1</f>
        <v>138000</v>
      </c>
      <c r="AU7680" s="119"/>
      <c r="AV7680" s="118">
        <v>17700</v>
      </c>
      <c r="AW7680" s="119"/>
      <c r="AX7680" s="118">
        <f t="shared" ref="AX7680" si="11270">SUM(AR7680:AW7680)</f>
        <v>1535700</v>
      </c>
      <c r="AY7680" s="119"/>
      <c r="AZ7680" s="137">
        <v>46119</v>
      </c>
    </row>
    <row r="7681" spans="1:52" ht="17.100000000000001" customHeight="1" thickBot="1">
      <c r="A7681" s="110"/>
      <c r="B7681" s="27" t="s">
        <v>21764</v>
      </c>
      <c r="C7681" s="27">
        <v>5022</v>
      </c>
      <c r="D7681" s="14" t="s">
        <v>1812</v>
      </c>
      <c r="E7681" s="112"/>
      <c r="F7681" s="139" t="s">
        <v>21799</v>
      </c>
      <c r="G7681" s="140"/>
      <c r="H7681" s="141"/>
      <c r="I7681" s="26">
        <v>37350</v>
      </c>
      <c r="J7681" s="117"/>
      <c r="K7681" s="120"/>
      <c r="L7681" s="121"/>
      <c r="M7681" s="120"/>
      <c r="N7681" s="121"/>
      <c r="O7681" s="120"/>
      <c r="P7681" s="121"/>
      <c r="Q7681" s="120"/>
      <c r="R7681" s="121"/>
      <c r="S7681" s="120"/>
      <c r="T7681" s="121"/>
      <c r="U7681" s="120"/>
      <c r="V7681" s="123"/>
      <c r="W7681" s="125"/>
      <c r="X7681" s="142" t="s">
        <v>21944</v>
      </c>
      <c r="Y7681" s="143"/>
      <c r="Z7681" s="143"/>
      <c r="AA7681" s="143"/>
      <c r="AB7681" s="144"/>
      <c r="AC7681" s="16" t="s">
        <v>21</v>
      </c>
      <c r="AD7681" s="17" t="s">
        <v>21936</v>
      </c>
      <c r="AE7681" s="145"/>
      <c r="AF7681" s="146"/>
      <c r="AG7681" s="146"/>
      <c r="AH7681" s="146"/>
      <c r="AI7681" s="147"/>
      <c r="AJ7681" s="148"/>
      <c r="AK7681" s="143"/>
      <c r="AL7681" s="144"/>
      <c r="AM7681" s="22"/>
      <c r="AN7681" s="149" t="s">
        <v>2511</v>
      </c>
      <c r="AO7681" s="144"/>
      <c r="AP7681" s="148">
        <v>80390</v>
      </c>
      <c r="AQ7681" s="144"/>
      <c r="AR7681" s="120"/>
      <c r="AS7681" s="121"/>
      <c r="AT7681" s="120"/>
      <c r="AU7681" s="121"/>
      <c r="AV7681" s="120"/>
      <c r="AW7681" s="121"/>
      <c r="AX7681" s="120"/>
      <c r="AY7681" s="121"/>
      <c r="AZ7681" s="138"/>
    </row>
    <row r="7682" spans="1:52" ht="17.100000000000001" customHeight="1" thickTop="1">
      <c r="A7682" s="109" t="s">
        <v>21754</v>
      </c>
      <c r="B7682" s="28">
        <v>46112</v>
      </c>
      <c r="C7682" s="25">
        <v>1234</v>
      </c>
      <c r="D7682" s="13" t="s">
        <v>21800</v>
      </c>
      <c r="E7682" s="111"/>
      <c r="F7682" s="113" t="s">
        <v>21774</v>
      </c>
      <c r="G7682" s="114"/>
      <c r="H7682" s="115"/>
      <c r="I7682" s="24"/>
      <c r="J7682" s="116">
        <v>4</v>
      </c>
      <c r="K7682" s="118">
        <v>1141000</v>
      </c>
      <c r="L7682" s="119"/>
      <c r="M7682" s="118">
        <f t="shared" ref="M7682" si="11271">K7682*0.1</f>
        <v>114100</v>
      </c>
      <c r="N7682" s="119"/>
      <c r="O7682" s="118">
        <v>0</v>
      </c>
      <c r="P7682" s="119"/>
      <c r="Q7682" s="118">
        <v>7440</v>
      </c>
      <c r="R7682" s="119"/>
      <c r="S7682" s="118">
        <v>15950</v>
      </c>
      <c r="T7682" s="119"/>
      <c r="U7682" s="118">
        <f t="shared" ref="U7682" si="11272">SUM(K7682:T7683)</f>
        <v>1278490</v>
      </c>
      <c r="V7682" s="122"/>
      <c r="W7682" s="124"/>
      <c r="X7682" s="126" t="s">
        <v>21952</v>
      </c>
      <c r="Y7682" s="127"/>
      <c r="Z7682" s="127"/>
      <c r="AA7682" s="127"/>
      <c r="AB7682" s="128"/>
      <c r="AC7682" s="15" t="s">
        <v>20</v>
      </c>
      <c r="AD7682" s="129" t="s">
        <v>21801</v>
      </c>
      <c r="AE7682" s="130"/>
      <c r="AF7682" s="130"/>
      <c r="AG7682" s="130"/>
      <c r="AH7682" s="130"/>
      <c r="AI7682" s="131"/>
      <c r="AJ7682" s="132"/>
      <c r="AK7682" s="127"/>
      <c r="AL7682" s="128"/>
      <c r="AM7682" s="21"/>
      <c r="AN7682" s="133">
        <v>46116</v>
      </c>
      <c r="AO7682" s="134"/>
      <c r="AP7682" s="135">
        <v>1295</v>
      </c>
      <c r="AQ7682" s="136"/>
      <c r="AR7682" s="118">
        <v>1300000</v>
      </c>
      <c r="AS7682" s="119"/>
      <c r="AT7682" s="118">
        <f t="shared" ref="AT7682" si="11273">AR7682*0.1</f>
        <v>130000</v>
      </c>
      <c r="AU7682" s="119"/>
      <c r="AV7682" s="118">
        <v>7440</v>
      </c>
      <c r="AW7682" s="119"/>
      <c r="AX7682" s="118">
        <f t="shared" ref="AX7682" si="11274">SUM(AR7682:AW7682)</f>
        <v>1437440</v>
      </c>
      <c r="AY7682" s="119"/>
      <c r="AZ7682" s="137">
        <v>46119</v>
      </c>
    </row>
    <row r="7683" spans="1:52" ht="17.100000000000001" customHeight="1" thickBot="1">
      <c r="A7683" s="110"/>
      <c r="B7683" s="27" t="s">
        <v>21773</v>
      </c>
      <c r="C7683" s="27">
        <v>62063</v>
      </c>
      <c r="D7683" s="14" t="s">
        <v>1720</v>
      </c>
      <c r="E7683" s="112"/>
      <c r="F7683" s="139" t="s">
        <v>21951</v>
      </c>
      <c r="G7683" s="140"/>
      <c r="H7683" s="141"/>
      <c r="I7683" s="26">
        <v>29603</v>
      </c>
      <c r="J7683" s="117"/>
      <c r="K7683" s="120"/>
      <c r="L7683" s="121"/>
      <c r="M7683" s="120"/>
      <c r="N7683" s="121"/>
      <c r="O7683" s="120"/>
      <c r="P7683" s="121"/>
      <c r="Q7683" s="120"/>
      <c r="R7683" s="121"/>
      <c r="S7683" s="120"/>
      <c r="T7683" s="121"/>
      <c r="U7683" s="120"/>
      <c r="V7683" s="123"/>
      <c r="W7683" s="125"/>
      <c r="X7683" s="142" t="s">
        <v>21953</v>
      </c>
      <c r="Y7683" s="143"/>
      <c r="Z7683" s="143"/>
      <c r="AA7683" s="143"/>
      <c r="AB7683" s="144"/>
      <c r="AC7683" s="16" t="s">
        <v>21</v>
      </c>
      <c r="AD7683" s="17" t="s">
        <v>21936</v>
      </c>
      <c r="AE7683" s="145" t="s">
        <v>21954</v>
      </c>
      <c r="AF7683" s="146"/>
      <c r="AG7683" s="146"/>
      <c r="AH7683" s="146"/>
      <c r="AI7683" s="147"/>
      <c r="AJ7683" s="148"/>
      <c r="AK7683" s="143"/>
      <c r="AL7683" s="144"/>
      <c r="AM7683" s="22"/>
      <c r="AN7683" s="149" t="s">
        <v>2511</v>
      </c>
      <c r="AO7683" s="144"/>
      <c r="AP7683" s="148">
        <v>41058</v>
      </c>
      <c r="AQ7683" s="144"/>
      <c r="AR7683" s="120"/>
      <c r="AS7683" s="121"/>
      <c r="AT7683" s="120"/>
      <c r="AU7683" s="121"/>
      <c r="AV7683" s="120"/>
      <c r="AW7683" s="121"/>
      <c r="AX7683" s="120"/>
      <c r="AY7683" s="121"/>
      <c r="AZ7683" s="138"/>
    </row>
    <row r="7684" spans="1:52" ht="17.100000000000001" customHeight="1" thickTop="1">
      <c r="A7684" s="109" t="s">
        <v>21803</v>
      </c>
      <c r="B7684" s="28">
        <v>46112</v>
      </c>
      <c r="C7684" s="25">
        <v>1282</v>
      </c>
      <c r="D7684" s="13" t="s">
        <v>2606</v>
      </c>
      <c r="E7684" s="111"/>
      <c r="F7684" s="113" t="s">
        <v>21831</v>
      </c>
      <c r="G7684" s="114"/>
      <c r="H7684" s="115"/>
      <c r="I7684" s="24"/>
      <c r="J7684" s="116">
        <v>4.5</v>
      </c>
      <c r="K7684" s="118">
        <v>1940000</v>
      </c>
      <c r="L7684" s="119"/>
      <c r="M7684" s="118">
        <f t="shared" ref="M7684" si="11275">K7684*0.1</f>
        <v>194000</v>
      </c>
      <c r="N7684" s="119"/>
      <c r="O7684" s="118">
        <v>0</v>
      </c>
      <c r="P7684" s="119"/>
      <c r="Q7684" s="118">
        <v>24360</v>
      </c>
      <c r="R7684" s="119"/>
      <c r="S7684" s="118">
        <v>18150</v>
      </c>
      <c r="T7684" s="119"/>
      <c r="U7684" s="118">
        <f t="shared" ref="U7684" si="11276">SUM(K7684:T7685)</f>
        <v>2176510</v>
      </c>
      <c r="V7684" s="122"/>
      <c r="W7684" s="124"/>
      <c r="X7684" s="126" t="s">
        <v>21890</v>
      </c>
      <c r="Y7684" s="127"/>
      <c r="Z7684" s="127"/>
      <c r="AA7684" s="127"/>
      <c r="AB7684" s="128"/>
      <c r="AC7684" s="15" t="s">
        <v>20</v>
      </c>
      <c r="AD7684" s="129" t="s">
        <v>171</v>
      </c>
      <c r="AE7684" s="130"/>
      <c r="AF7684" s="130"/>
      <c r="AG7684" s="130"/>
      <c r="AH7684" s="130"/>
      <c r="AI7684" s="131"/>
      <c r="AJ7684" s="132"/>
      <c r="AK7684" s="127"/>
      <c r="AL7684" s="128"/>
      <c r="AM7684" s="21"/>
      <c r="AN7684" s="133">
        <v>46123</v>
      </c>
      <c r="AO7684" s="134"/>
      <c r="AP7684" s="135">
        <v>1714</v>
      </c>
      <c r="AQ7684" s="136"/>
      <c r="AR7684" s="118">
        <v>2060000</v>
      </c>
      <c r="AS7684" s="119"/>
      <c r="AT7684" s="118">
        <f t="shared" ref="AT7684" si="11277">AR7684*0.1</f>
        <v>206000</v>
      </c>
      <c r="AU7684" s="119"/>
      <c r="AV7684" s="118">
        <v>24360</v>
      </c>
      <c r="AW7684" s="119"/>
      <c r="AX7684" s="118">
        <f t="shared" ref="AX7684" si="11278">SUM(AR7684:AW7684)</f>
        <v>2290360</v>
      </c>
      <c r="AY7684" s="119"/>
      <c r="AZ7684" s="137">
        <v>46124</v>
      </c>
    </row>
    <row r="7685" spans="1:52" ht="17.100000000000001" customHeight="1" thickBot="1">
      <c r="A7685" s="110"/>
      <c r="B7685" s="27" t="s">
        <v>7478</v>
      </c>
      <c r="C7685" s="27">
        <v>38031</v>
      </c>
      <c r="D7685" s="14" t="s">
        <v>1720</v>
      </c>
      <c r="E7685" s="112"/>
      <c r="F7685" s="139" t="s">
        <v>21818</v>
      </c>
      <c r="G7685" s="140"/>
      <c r="H7685" s="141"/>
      <c r="I7685" s="26">
        <v>55325</v>
      </c>
      <c r="J7685" s="117"/>
      <c r="K7685" s="120"/>
      <c r="L7685" s="121"/>
      <c r="M7685" s="120"/>
      <c r="N7685" s="121"/>
      <c r="O7685" s="120"/>
      <c r="P7685" s="121"/>
      <c r="Q7685" s="120"/>
      <c r="R7685" s="121"/>
      <c r="S7685" s="120"/>
      <c r="T7685" s="121"/>
      <c r="U7685" s="120"/>
      <c r="V7685" s="123"/>
      <c r="W7685" s="125"/>
      <c r="X7685" s="142" t="s">
        <v>7096</v>
      </c>
      <c r="Y7685" s="143"/>
      <c r="Z7685" s="143"/>
      <c r="AA7685" s="143"/>
      <c r="AB7685" s="144"/>
      <c r="AC7685" s="16" t="s">
        <v>21</v>
      </c>
      <c r="AD7685" s="17" t="s">
        <v>2963</v>
      </c>
      <c r="AE7685" s="145" t="s">
        <v>171</v>
      </c>
      <c r="AF7685" s="146"/>
      <c r="AG7685" s="146"/>
      <c r="AH7685" s="146"/>
      <c r="AI7685" s="147"/>
      <c r="AJ7685" s="148"/>
      <c r="AK7685" s="143"/>
      <c r="AL7685" s="144"/>
      <c r="AM7685" s="22"/>
      <c r="AN7685" s="149" t="s">
        <v>22763</v>
      </c>
      <c r="AO7685" s="144"/>
      <c r="AP7685" s="148">
        <v>399</v>
      </c>
      <c r="AQ7685" s="144"/>
      <c r="AR7685" s="120"/>
      <c r="AS7685" s="121"/>
      <c r="AT7685" s="120"/>
      <c r="AU7685" s="121"/>
      <c r="AV7685" s="120"/>
      <c r="AW7685" s="121"/>
      <c r="AX7685" s="120"/>
      <c r="AY7685" s="121"/>
      <c r="AZ7685" s="138"/>
    </row>
    <row r="7686" spans="1:52" ht="17.100000000000001" customHeight="1" thickTop="1">
      <c r="A7686" s="109" t="s">
        <v>21804</v>
      </c>
      <c r="B7686" s="28">
        <v>46113</v>
      </c>
      <c r="C7686" s="25">
        <v>1011</v>
      </c>
      <c r="D7686" s="13" t="s">
        <v>2211</v>
      </c>
      <c r="E7686" s="111"/>
      <c r="F7686" s="113" t="s">
        <v>21807</v>
      </c>
      <c r="G7686" s="114"/>
      <c r="H7686" s="115"/>
      <c r="I7686" s="24" t="s">
        <v>2064</v>
      </c>
      <c r="J7686" s="116">
        <v>5</v>
      </c>
      <c r="K7686" s="118">
        <v>3355000</v>
      </c>
      <c r="L7686" s="119"/>
      <c r="M7686" s="118">
        <f t="shared" ref="M7686" si="11279">K7686*0.1</f>
        <v>335500</v>
      </c>
      <c r="N7686" s="119"/>
      <c r="O7686" s="118">
        <v>30690</v>
      </c>
      <c r="P7686" s="119"/>
      <c r="Q7686" s="118">
        <v>12550</v>
      </c>
      <c r="R7686" s="119"/>
      <c r="S7686" s="118">
        <v>12100</v>
      </c>
      <c r="T7686" s="119"/>
      <c r="U7686" s="118">
        <f t="shared" ref="U7686" si="11280">SUM(K7686:T7687)</f>
        <v>3745840</v>
      </c>
      <c r="V7686" s="122"/>
      <c r="W7686" s="124"/>
      <c r="X7686" s="126" t="s">
        <v>21808</v>
      </c>
      <c r="Y7686" s="127"/>
      <c r="Z7686" s="127"/>
      <c r="AA7686" s="127"/>
      <c r="AB7686" s="128"/>
      <c r="AC7686" s="15" t="s">
        <v>20</v>
      </c>
      <c r="AD7686" s="129" t="s">
        <v>17270</v>
      </c>
      <c r="AE7686" s="130"/>
      <c r="AF7686" s="130"/>
      <c r="AG7686" s="130"/>
      <c r="AH7686" s="130"/>
      <c r="AI7686" s="131"/>
      <c r="AJ7686" s="132"/>
      <c r="AK7686" s="127"/>
      <c r="AL7686" s="128"/>
      <c r="AM7686" s="21"/>
      <c r="AN7686" s="133">
        <v>46116</v>
      </c>
      <c r="AO7686" s="134"/>
      <c r="AP7686" s="135">
        <v>1295</v>
      </c>
      <c r="AQ7686" s="136"/>
      <c r="AR7686" s="118">
        <v>3410000</v>
      </c>
      <c r="AS7686" s="119"/>
      <c r="AT7686" s="118">
        <f t="shared" ref="AT7686" si="11281">AR7686*0.1</f>
        <v>341000</v>
      </c>
      <c r="AU7686" s="119"/>
      <c r="AV7686" s="118">
        <v>12550</v>
      </c>
      <c r="AW7686" s="119"/>
      <c r="AX7686" s="118">
        <f t="shared" ref="AX7686" si="11282">SUM(AR7686:AW7686)</f>
        <v>3763550</v>
      </c>
      <c r="AY7686" s="119"/>
      <c r="AZ7686" s="137">
        <v>46126</v>
      </c>
    </row>
    <row r="7687" spans="1:52" ht="17.100000000000001" customHeight="1" thickBot="1">
      <c r="A7687" s="110"/>
      <c r="B7687" s="27" t="s">
        <v>2794</v>
      </c>
      <c r="C7687" s="27">
        <v>1185</v>
      </c>
      <c r="D7687" s="14" t="s">
        <v>1883</v>
      </c>
      <c r="E7687" s="112"/>
      <c r="F7687" s="139" t="s">
        <v>21805</v>
      </c>
      <c r="G7687" s="140"/>
      <c r="H7687" s="141"/>
      <c r="I7687" s="26">
        <v>23218</v>
      </c>
      <c r="J7687" s="117"/>
      <c r="K7687" s="120"/>
      <c r="L7687" s="121"/>
      <c r="M7687" s="120"/>
      <c r="N7687" s="121"/>
      <c r="O7687" s="120"/>
      <c r="P7687" s="121"/>
      <c r="Q7687" s="120"/>
      <c r="R7687" s="121"/>
      <c r="S7687" s="120"/>
      <c r="T7687" s="121"/>
      <c r="U7687" s="120"/>
      <c r="V7687" s="123"/>
      <c r="W7687" s="125"/>
      <c r="X7687" s="142" t="s">
        <v>7544</v>
      </c>
      <c r="Y7687" s="143"/>
      <c r="Z7687" s="143"/>
      <c r="AA7687" s="143"/>
      <c r="AB7687" s="144"/>
      <c r="AC7687" s="16" t="s">
        <v>21</v>
      </c>
      <c r="AD7687" s="17" t="s">
        <v>1795</v>
      </c>
      <c r="AE7687" s="145" t="s">
        <v>16964</v>
      </c>
      <c r="AF7687" s="146"/>
      <c r="AG7687" s="146"/>
      <c r="AH7687" s="146"/>
      <c r="AI7687" s="147"/>
      <c r="AJ7687" s="148"/>
      <c r="AK7687" s="143"/>
      <c r="AL7687" s="144"/>
      <c r="AM7687" s="22"/>
      <c r="AN7687" s="149" t="s">
        <v>2511</v>
      </c>
      <c r="AO7687" s="144"/>
      <c r="AP7687" s="148">
        <v>182</v>
      </c>
      <c r="AQ7687" s="144"/>
      <c r="AR7687" s="120"/>
      <c r="AS7687" s="121"/>
      <c r="AT7687" s="120"/>
      <c r="AU7687" s="121"/>
      <c r="AV7687" s="120"/>
      <c r="AW7687" s="121"/>
      <c r="AX7687" s="120"/>
      <c r="AY7687" s="121"/>
      <c r="AZ7687" s="138"/>
    </row>
    <row r="7688" spans="1:52" ht="17.100000000000001" customHeight="1" thickTop="1">
      <c r="A7688" s="109" t="s">
        <v>21817</v>
      </c>
      <c r="B7688" s="28">
        <v>46113</v>
      </c>
      <c r="C7688" s="25">
        <v>1011</v>
      </c>
      <c r="D7688" s="13" t="s">
        <v>2355</v>
      </c>
      <c r="E7688" s="111"/>
      <c r="F7688" s="113" t="s">
        <v>15215</v>
      </c>
      <c r="G7688" s="114"/>
      <c r="H7688" s="115"/>
      <c r="I7688" s="24" t="s">
        <v>3931</v>
      </c>
      <c r="J7688" s="116">
        <v>6</v>
      </c>
      <c r="K7688" s="118">
        <v>1255000</v>
      </c>
      <c r="L7688" s="119"/>
      <c r="M7688" s="118">
        <f t="shared" ref="M7688" si="11283">K7688*0.1</f>
        <v>125500</v>
      </c>
      <c r="N7688" s="119"/>
      <c r="O7688" s="118">
        <v>0</v>
      </c>
      <c r="P7688" s="119"/>
      <c r="Q7688" s="118">
        <v>8350</v>
      </c>
      <c r="R7688" s="119"/>
      <c r="S7688" s="118">
        <v>11000</v>
      </c>
      <c r="T7688" s="119"/>
      <c r="U7688" s="118">
        <f t="shared" ref="U7688" si="11284">SUM(K7688:T7689)</f>
        <v>1399850</v>
      </c>
      <c r="V7688" s="122"/>
      <c r="W7688" s="124"/>
      <c r="X7688" s="126" t="s">
        <v>21809</v>
      </c>
      <c r="Y7688" s="127"/>
      <c r="Z7688" s="127"/>
      <c r="AA7688" s="127"/>
      <c r="AB7688" s="128"/>
      <c r="AC7688" s="15" t="s">
        <v>20</v>
      </c>
      <c r="AD7688" s="129" t="s">
        <v>21810</v>
      </c>
      <c r="AE7688" s="130"/>
      <c r="AF7688" s="130"/>
      <c r="AG7688" s="130"/>
      <c r="AH7688" s="130"/>
      <c r="AI7688" s="131"/>
      <c r="AJ7688" s="132"/>
      <c r="AK7688" s="127"/>
      <c r="AL7688" s="128"/>
      <c r="AM7688" s="21"/>
      <c r="AN7688" s="133">
        <v>46119</v>
      </c>
      <c r="AO7688" s="134"/>
      <c r="AP7688" s="135">
        <v>1936</v>
      </c>
      <c r="AQ7688" s="136"/>
      <c r="AR7688" s="118">
        <v>1276000</v>
      </c>
      <c r="AS7688" s="119"/>
      <c r="AT7688" s="118">
        <f t="shared" ref="AT7688" si="11285">AR7688*0.1</f>
        <v>127600</v>
      </c>
      <c r="AU7688" s="119"/>
      <c r="AV7688" s="118">
        <v>8350</v>
      </c>
      <c r="AW7688" s="119"/>
      <c r="AX7688" s="118">
        <f t="shared" ref="AX7688" si="11286">SUM(AR7688:AW7688)</f>
        <v>1411950</v>
      </c>
      <c r="AY7688" s="119"/>
      <c r="AZ7688" s="137"/>
    </row>
    <row r="7689" spans="1:52" ht="17.100000000000001" customHeight="1" thickBot="1">
      <c r="A7689" s="110"/>
      <c r="B7689" s="27" t="s">
        <v>2794</v>
      </c>
      <c r="C7689" s="27">
        <v>2096</v>
      </c>
      <c r="D7689" s="14" t="s">
        <v>2800</v>
      </c>
      <c r="E7689" s="112"/>
      <c r="F7689" s="139" t="s">
        <v>21806</v>
      </c>
      <c r="G7689" s="140"/>
      <c r="H7689" s="141"/>
      <c r="I7689" s="26">
        <v>1146</v>
      </c>
      <c r="J7689" s="117"/>
      <c r="K7689" s="120"/>
      <c r="L7689" s="121"/>
      <c r="M7689" s="120"/>
      <c r="N7689" s="121"/>
      <c r="O7689" s="120"/>
      <c r="P7689" s="121"/>
      <c r="Q7689" s="120"/>
      <c r="R7689" s="121"/>
      <c r="S7689" s="120"/>
      <c r="T7689" s="121"/>
      <c r="U7689" s="120"/>
      <c r="V7689" s="123"/>
      <c r="W7689" s="125"/>
      <c r="X7689" s="142" t="s">
        <v>22425</v>
      </c>
      <c r="Y7689" s="143"/>
      <c r="Z7689" s="143"/>
      <c r="AA7689" s="143"/>
      <c r="AB7689" s="144"/>
      <c r="AC7689" s="16" t="s">
        <v>21</v>
      </c>
      <c r="AD7689" s="17" t="s">
        <v>1825</v>
      </c>
      <c r="AE7689" s="145"/>
      <c r="AF7689" s="146"/>
      <c r="AG7689" s="146"/>
      <c r="AH7689" s="146"/>
      <c r="AI7689" s="147"/>
      <c r="AJ7689" s="148"/>
      <c r="AK7689" s="143"/>
      <c r="AL7689" s="144"/>
      <c r="AM7689" s="22"/>
      <c r="AN7689" s="149" t="s">
        <v>2131</v>
      </c>
      <c r="AO7689" s="144"/>
      <c r="AP7689" s="148">
        <v>3441</v>
      </c>
      <c r="AQ7689" s="144"/>
      <c r="AR7689" s="120"/>
      <c r="AS7689" s="121"/>
      <c r="AT7689" s="120"/>
      <c r="AU7689" s="121"/>
      <c r="AV7689" s="120"/>
      <c r="AW7689" s="121"/>
      <c r="AX7689" s="120"/>
      <c r="AY7689" s="121"/>
      <c r="AZ7689" s="138"/>
    </row>
    <row r="7690" spans="1:52" ht="17.100000000000001" customHeight="1" thickTop="1">
      <c r="A7690" s="109" t="s">
        <v>21819</v>
      </c>
      <c r="B7690" s="28">
        <v>46113</v>
      </c>
      <c r="C7690" s="25">
        <v>2349</v>
      </c>
      <c r="D7690" s="13" t="s">
        <v>1615</v>
      </c>
      <c r="E7690" s="111"/>
      <c r="F7690" s="113" t="s">
        <v>13599</v>
      </c>
      <c r="G7690" s="114"/>
      <c r="H7690" s="115"/>
      <c r="I7690" s="24" t="s">
        <v>3931</v>
      </c>
      <c r="J7690" s="116">
        <v>4.5</v>
      </c>
      <c r="K7690" s="118">
        <v>880000</v>
      </c>
      <c r="L7690" s="119"/>
      <c r="M7690" s="118">
        <f t="shared" ref="M7690" si="11287">K7690*0.1</f>
        <v>88000</v>
      </c>
      <c r="N7690" s="119"/>
      <c r="O7690" s="118">
        <f>31600+3160</f>
        <v>34760</v>
      </c>
      <c r="P7690" s="119"/>
      <c r="Q7690" s="118">
        <v>11810</v>
      </c>
      <c r="R7690" s="119"/>
      <c r="S7690" s="118">
        <v>16500</v>
      </c>
      <c r="T7690" s="119"/>
      <c r="U7690" s="118">
        <f t="shared" ref="U7690" si="11288">SUM(K7690:T7691)</f>
        <v>1031070</v>
      </c>
      <c r="V7690" s="122"/>
      <c r="W7690" s="124"/>
      <c r="X7690" s="126" t="s">
        <v>22287</v>
      </c>
      <c r="Y7690" s="127"/>
      <c r="Z7690" s="127"/>
      <c r="AA7690" s="127"/>
      <c r="AB7690" s="128"/>
      <c r="AC7690" s="15" t="s">
        <v>20</v>
      </c>
      <c r="AD7690" s="129" t="s">
        <v>2781</v>
      </c>
      <c r="AE7690" s="130"/>
      <c r="AF7690" s="130"/>
      <c r="AG7690" s="130"/>
      <c r="AH7690" s="130"/>
      <c r="AI7690" s="131"/>
      <c r="AJ7690" s="132"/>
      <c r="AK7690" s="127"/>
      <c r="AL7690" s="128"/>
      <c r="AM7690" s="21"/>
      <c r="AN7690" s="133">
        <v>46116</v>
      </c>
      <c r="AO7690" s="134"/>
      <c r="AP7690" s="135">
        <v>1295</v>
      </c>
      <c r="AQ7690" s="136"/>
      <c r="AR7690" s="118">
        <v>1030000</v>
      </c>
      <c r="AS7690" s="119"/>
      <c r="AT7690" s="118">
        <f t="shared" ref="AT7690" si="11289">AR7690*0.1</f>
        <v>103000</v>
      </c>
      <c r="AU7690" s="119"/>
      <c r="AV7690" s="118">
        <v>11810</v>
      </c>
      <c r="AW7690" s="119"/>
      <c r="AX7690" s="118">
        <f t="shared" ref="AX7690" si="11290">SUM(AR7690:AW7690)</f>
        <v>1144810</v>
      </c>
      <c r="AY7690" s="119"/>
      <c r="AZ7690" s="137">
        <v>46126</v>
      </c>
    </row>
    <row r="7691" spans="1:52" ht="17.100000000000001" customHeight="1" thickBot="1">
      <c r="A7691" s="110"/>
      <c r="B7691" s="27" t="s">
        <v>3422</v>
      </c>
      <c r="C7691" s="27">
        <v>60005</v>
      </c>
      <c r="D7691" s="14" t="s">
        <v>1812</v>
      </c>
      <c r="E7691" s="112"/>
      <c r="F7691" s="139" t="s">
        <v>21822</v>
      </c>
      <c r="G7691" s="140"/>
      <c r="H7691" s="141"/>
      <c r="I7691" s="26">
        <v>19646</v>
      </c>
      <c r="J7691" s="117"/>
      <c r="K7691" s="120"/>
      <c r="L7691" s="121"/>
      <c r="M7691" s="120"/>
      <c r="N7691" s="121"/>
      <c r="O7691" s="120"/>
      <c r="P7691" s="121"/>
      <c r="Q7691" s="120"/>
      <c r="R7691" s="121"/>
      <c r="S7691" s="120"/>
      <c r="T7691" s="121"/>
      <c r="U7691" s="120"/>
      <c r="V7691" s="123"/>
      <c r="W7691" s="125"/>
      <c r="X7691" s="142" t="s">
        <v>14442</v>
      </c>
      <c r="Y7691" s="143"/>
      <c r="Z7691" s="143"/>
      <c r="AA7691" s="143"/>
      <c r="AB7691" s="144"/>
      <c r="AC7691" s="16" t="s">
        <v>21</v>
      </c>
      <c r="AD7691" s="17" t="s">
        <v>1922</v>
      </c>
      <c r="AE7691" s="145" t="s">
        <v>1633</v>
      </c>
      <c r="AF7691" s="146"/>
      <c r="AG7691" s="146"/>
      <c r="AH7691" s="146"/>
      <c r="AI7691" s="147"/>
      <c r="AJ7691" s="148"/>
      <c r="AK7691" s="143"/>
      <c r="AL7691" s="144"/>
      <c r="AM7691" s="22"/>
      <c r="AN7691" s="149" t="s">
        <v>6748</v>
      </c>
      <c r="AO7691" s="144"/>
      <c r="AP7691" s="148">
        <v>80389</v>
      </c>
      <c r="AQ7691" s="144"/>
      <c r="AR7691" s="120"/>
      <c r="AS7691" s="121"/>
      <c r="AT7691" s="120"/>
      <c r="AU7691" s="121"/>
      <c r="AV7691" s="120"/>
      <c r="AW7691" s="121"/>
      <c r="AX7691" s="120"/>
      <c r="AY7691" s="121"/>
      <c r="AZ7691" s="138"/>
    </row>
    <row r="7692" spans="1:52" ht="17.100000000000001" customHeight="1" thickTop="1">
      <c r="A7692" s="109" t="s">
        <v>21820</v>
      </c>
      <c r="B7692" s="28">
        <v>46113</v>
      </c>
      <c r="C7692" s="25">
        <v>2349</v>
      </c>
      <c r="D7692" s="13" t="s">
        <v>1744</v>
      </c>
      <c r="E7692" s="111"/>
      <c r="F7692" s="113" t="s">
        <v>21823</v>
      </c>
      <c r="G7692" s="114"/>
      <c r="H7692" s="115"/>
      <c r="I7692" s="24"/>
      <c r="J7692" s="116">
        <v>4.5</v>
      </c>
      <c r="K7692" s="118">
        <v>1070000</v>
      </c>
      <c r="L7692" s="119"/>
      <c r="M7692" s="118">
        <f t="shared" ref="M7692" si="11291">K7692*0.1</f>
        <v>107000</v>
      </c>
      <c r="N7692" s="119"/>
      <c r="O7692" s="118">
        <v>0</v>
      </c>
      <c r="P7692" s="119"/>
      <c r="Q7692" s="118">
        <v>9810</v>
      </c>
      <c r="R7692" s="119"/>
      <c r="S7692" s="118">
        <v>24200</v>
      </c>
      <c r="T7692" s="119"/>
      <c r="U7692" s="118">
        <f t="shared" ref="U7692" si="11292">SUM(K7692:T7693)</f>
        <v>1211010</v>
      </c>
      <c r="V7692" s="122"/>
      <c r="W7692" s="124"/>
      <c r="X7692" s="126" t="s">
        <v>21968</v>
      </c>
      <c r="Y7692" s="127"/>
      <c r="Z7692" s="127"/>
      <c r="AA7692" s="127"/>
      <c r="AB7692" s="128"/>
      <c r="AC7692" s="15" t="s">
        <v>20</v>
      </c>
      <c r="AD7692" s="129" t="s">
        <v>21832</v>
      </c>
      <c r="AE7692" s="130"/>
      <c r="AF7692" s="130"/>
      <c r="AG7692" s="130"/>
      <c r="AH7692" s="130"/>
      <c r="AI7692" s="131"/>
      <c r="AJ7692" s="132"/>
      <c r="AK7692" s="127"/>
      <c r="AL7692" s="128"/>
      <c r="AM7692" s="21"/>
      <c r="AN7692" s="133">
        <v>46123</v>
      </c>
      <c r="AO7692" s="134"/>
      <c r="AP7692" s="135">
        <v>1296</v>
      </c>
      <c r="AQ7692" s="136"/>
      <c r="AR7692" s="118">
        <v>1145000</v>
      </c>
      <c r="AS7692" s="119"/>
      <c r="AT7692" s="118">
        <f t="shared" ref="AT7692" si="11293">AR7692*0.1</f>
        <v>114500</v>
      </c>
      <c r="AU7692" s="119"/>
      <c r="AV7692" s="118">
        <v>9810</v>
      </c>
      <c r="AW7692" s="119"/>
      <c r="AX7692" s="118">
        <f t="shared" ref="AX7692" si="11294">SUM(AR7692:AW7692)</f>
        <v>1269310</v>
      </c>
      <c r="AY7692" s="119"/>
      <c r="AZ7692" s="137">
        <v>46126</v>
      </c>
    </row>
    <row r="7693" spans="1:52" ht="17.100000000000001" customHeight="1" thickBot="1">
      <c r="A7693" s="110"/>
      <c r="B7693" s="27" t="s">
        <v>3422</v>
      </c>
      <c r="C7693" s="27">
        <v>60064</v>
      </c>
      <c r="D7693" s="14" t="s">
        <v>55</v>
      </c>
      <c r="E7693" s="112"/>
      <c r="F7693" s="139" t="s">
        <v>21824</v>
      </c>
      <c r="G7693" s="140"/>
      <c r="H7693" s="141"/>
      <c r="I7693" s="26">
        <v>55202</v>
      </c>
      <c r="J7693" s="117"/>
      <c r="K7693" s="120"/>
      <c r="L7693" s="121"/>
      <c r="M7693" s="120"/>
      <c r="N7693" s="121"/>
      <c r="O7693" s="120"/>
      <c r="P7693" s="121"/>
      <c r="Q7693" s="120"/>
      <c r="R7693" s="121"/>
      <c r="S7693" s="120"/>
      <c r="T7693" s="121"/>
      <c r="U7693" s="120"/>
      <c r="V7693" s="123"/>
      <c r="W7693" s="125"/>
      <c r="X7693" s="142" t="s">
        <v>21969</v>
      </c>
      <c r="Y7693" s="143"/>
      <c r="Z7693" s="143"/>
      <c r="AA7693" s="143"/>
      <c r="AB7693" s="144"/>
      <c r="AC7693" s="16" t="s">
        <v>21</v>
      </c>
      <c r="AD7693" s="17" t="s">
        <v>21936</v>
      </c>
      <c r="AE7693" s="145" t="s">
        <v>21970</v>
      </c>
      <c r="AF7693" s="146"/>
      <c r="AG7693" s="146"/>
      <c r="AH7693" s="146"/>
      <c r="AI7693" s="147"/>
      <c r="AJ7693" s="148"/>
      <c r="AK7693" s="143"/>
      <c r="AL7693" s="144"/>
      <c r="AM7693" s="22"/>
      <c r="AN7693" s="149" t="s">
        <v>2511</v>
      </c>
      <c r="AO7693" s="144"/>
      <c r="AP7693" s="148">
        <v>55035</v>
      </c>
      <c r="AQ7693" s="144"/>
      <c r="AR7693" s="120"/>
      <c r="AS7693" s="121"/>
      <c r="AT7693" s="120"/>
      <c r="AU7693" s="121"/>
      <c r="AV7693" s="120"/>
      <c r="AW7693" s="121"/>
      <c r="AX7693" s="120"/>
      <c r="AY7693" s="121"/>
      <c r="AZ7693" s="138"/>
    </row>
    <row r="7694" spans="1:52" ht="17.100000000000001" customHeight="1" thickTop="1">
      <c r="A7694" s="109" t="s">
        <v>21821</v>
      </c>
      <c r="B7694" s="28">
        <v>46113</v>
      </c>
      <c r="C7694" s="25">
        <v>2349</v>
      </c>
      <c r="D7694" s="13" t="s">
        <v>1953</v>
      </c>
      <c r="E7694" s="111"/>
      <c r="F7694" s="113" t="s">
        <v>2724</v>
      </c>
      <c r="G7694" s="114"/>
      <c r="H7694" s="115"/>
      <c r="I7694" s="24"/>
      <c r="J7694" s="116">
        <v>4.5</v>
      </c>
      <c r="K7694" s="118">
        <v>890000</v>
      </c>
      <c r="L7694" s="119"/>
      <c r="M7694" s="118">
        <f t="shared" ref="M7694" si="11295">K7694*0.1</f>
        <v>89000</v>
      </c>
      <c r="N7694" s="119"/>
      <c r="O7694" s="118">
        <v>0</v>
      </c>
      <c r="P7694" s="119"/>
      <c r="Q7694" s="118">
        <v>17600</v>
      </c>
      <c r="R7694" s="119"/>
      <c r="S7694" s="118">
        <v>16500</v>
      </c>
      <c r="T7694" s="119"/>
      <c r="U7694" s="118">
        <f t="shared" ref="U7694" si="11296">SUM(K7694:T7695)</f>
        <v>1013100</v>
      </c>
      <c r="V7694" s="122"/>
      <c r="W7694" s="124"/>
      <c r="X7694" s="126" t="s">
        <v>22245</v>
      </c>
      <c r="Y7694" s="127"/>
      <c r="Z7694" s="127"/>
      <c r="AA7694" s="127"/>
      <c r="AB7694" s="128"/>
      <c r="AC7694" s="15" t="s">
        <v>20</v>
      </c>
      <c r="AD7694" s="129"/>
      <c r="AE7694" s="130"/>
      <c r="AF7694" s="130"/>
      <c r="AG7694" s="130"/>
      <c r="AH7694" s="130"/>
      <c r="AI7694" s="131"/>
      <c r="AJ7694" s="132"/>
      <c r="AK7694" s="127"/>
      <c r="AL7694" s="128"/>
      <c r="AM7694" s="21"/>
      <c r="AN7694" s="133"/>
      <c r="AO7694" s="134"/>
      <c r="AP7694" s="135"/>
      <c r="AQ7694" s="136"/>
      <c r="AR7694" s="118"/>
      <c r="AS7694" s="119"/>
      <c r="AT7694" s="118">
        <f t="shared" ref="AT7694" si="11297">AR7694*0.1</f>
        <v>0</v>
      </c>
      <c r="AU7694" s="119"/>
      <c r="AV7694" s="118"/>
      <c r="AW7694" s="119"/>
      <c r="AX7694" s="118">
        <f t="shared" ref="AX7694" si="11298">SUM(AR7694:AW7694)</f>
        <v>0</v>
      </c>
      <c r="AY7694" s="119"/>
      <c r="AZ7694" s="137"/>
    </row>
    <row r="7695" spans="1:52" ht="17.100000000000001" customHeight="1" thickBot="1">
      <c r="A7695" s="110"/>
      <c r="B7695" s="27" t="s">
        <v>3422</v>
      </c>
      <c r="C7695" s="27">
        <v>60186</v>
      </c>
      <c r="D7695" s="14" t="s">
        <v>1812</v>
      </c>
      <c r="E7695" s="112"/>
      <c r="F7695" s="139" t="s">
        <v>21825</v>
      </c>
      <c r="G7695" s="140"/>
      <c r="H7695" s="141"/>
      <c r="I7695" s="26">
        <v>67460</v>
      </c>
      <c r="J7695" s="117"/>
      <c r="K7695" s="120"/>
      <c r="L7695" s="121"/>
      <c r="M7695" s="120"/>
      <c r="N7695" s="121"/>
      <c r="O7695" s="120"/>
      <c r="P7695" s="121"/>
      <c r="Q7695" s="120"/>
      <c r="R7695" s="121"/>
      <c r="S7695" s="120"/>
      <c r="T7695" s="121"/>
      <c r="U7695" s="120"/>
      <c r="V7695" s="123"/>
      <c r="W7695" s="125"/>
      <c r="X7695" s="142" t="s">
        <v>12363</v>
      </c>
      <c r="Y7695" s="143"/>
      <c r="Z7695" s="143"/>
      <c r="AA7695" s="143"/>
      <c r="AB7695" s="144"/>
      <c r="AC7695" s="16" t="s">
        <v>21</v>
      </c>
      <c r="AD7695" s="17" t="s">
        <v>1563</v>
      </c>
      <c r="AE7695" s="145" t="s">
        <v>1581</v>
      </c>
      <c r="AF7695" s="146"/>
      <c r="AG7695" s="146"/>
      <c r="AH7695" s="146"/>
      <c r="AI7695" s="147"/>
      <c r="AJ7695" s="148"/>
      <c r="AK7695" s="143"/>
      <c r="AL7695" s="144"/>
      <c r="AM7695" s="22"/>
      <c r="AN7695" s="149"/>
      <c r="AO7695" s="144"/>
      <c r="AP7695" s="148"/>
      <c r="AQ7695" s="144"/>
      <c r="AR7695" s="120"/>
      <c r="AS7695" s="121"/>
      <c r="AT7695" s="120"/>
      <c r="AU7695" s="121"/>
      <c r="AV7695" s="120"/>
      <c r="AW7695" s="121"/>
      <c r="AX7695" s="120"/>
      <c r="AY7695" s="121"/>
      <c r="AZ7695" s="138"/>
    </row>
    <row r="7696" spans="1:52" ht="17.100000000000001" customHeight="1" thickTop="1">
      <c r="A7696" s="109" t="s">
        <v>21841</v>
      </c>
      <c r="B7696" s="28">
        <v>46113</v>
      </c>
      <c r="C7696" s="25">
        <v>1832</v>
      </c>
      <c r="D7696" s="13" t="s">
        <v>2234</v>
      </c>
      <c r="E7696" s="111"/>
      <c r="F7696" s="113" t="s">
        <v>21826</v>
      </c>
      <c r="G7696" s="114"/>
      <c r="H7696" s="115"/>
      <c r="I7696" s="24" t="s">
        <v>1559</v>
      </c>
      <c r="J7696" s="116">
        <v>4.5</v>
      </c>
      <c r="K7696" s="118">
        <v>1290000</v>
      </c>
      <c r="L7696" s="119"/>
      <c r="M7696" s="118">
        <f t="shared" ref="M7696" si="11299">K7696*0.1</f>
        <v>129000</v>
      </c>
      <c r="N7696" s="119"/>
      <c r="O7696" s="118">
        <f>41200+4120</f>
        <v>45320</v>
      </c>
      <c r="P7696" s="119"/>
      <c r="Q7696" s="118">
        <v>21800</v>
      </c>
      <c r="R7696" s="119"/>
      <c r="S7696" s="118">
        <f>18500+1850</f>
        <v>20350</v>
      </c>
      <c r="T7696" s="119"/>
      <c r="U7696" s="118">
        <f t="shared" ref="U7696" si="11300">SUM(K7696:T7697)</f>
        <v>1506470</v>
      </c>
      <c r="V7696" s="122"/>
      <c r="W7696" s="124"/>
      <c r="X7696" s="126" t="s">
        <v>21828</v>
      </c>
      <c r="Y7696" s="127"/>
      <c r="Z7696" s="127"/>
      <c r="AA7696" s="127"/>
      <c r="AB7696" s="128"/>
      <c r="AC7696" s="15" t="s">
        <v>20</v>
      </c>
      <c r="AD7696" s="129"/>
      <c r="AE7696" s="130"/>
      <c r="AF7696" s="130"/>
      <c r="AG7696" s="130"/>
      <c r="AH7696" s="130"/>
      <c r="AI7696" s="131"/>
      <c r="AJ7696" s="132"/>
      <c r="AK7696" s="127"/>
      <c r="AL7696" s="128"/>
      <c r="AM7696" s="21"/>
      <c r="AN7696" s="133">
        <v>46116</v>
      </c>
      <c r="AO7696" s="134"/>
      <c r="AP7696" s="135">
        <v>1295</v>
      </c>
      <c r="AQ7696" s="136"/>
      <c r="AR7696" s="118">
        <v>1450000</v>
      </c>
      <c r="AS7696" s="119"/>
      <c r="AT7696" s="118">
        <f t="shared" ref="AT7696" si="11301">AR7696*0.1</f>
        <v>145000</v>
      </c>
      <c r="AU7696" s="119"/>
      <c r="AV7696" s="118">
        <v>21800</v>
      </c>
      <c r="AW7696" s="119"/>
      <c r="AX7696" s="118">
        <f t="shared" ref="AX7696" si="11302">SUM(AR7696:AW7696)</f>
        <v>1616800</v>
      </c>
      <c r="AY7696" s="119"/>
      <c r="AZ7696" s="137">
        <v>46121</v>
      </c>
    </row>
    <row r="7697" spans="1:52" ht="17.100000000000001" customHeight="1" thickBot="1">
      <c r="A7697" s="110"/>
      <c r="B7697" s="27" t="s">
        <v>2559</v>
      </c>
      <c r="C7697" s="27">
        <v>38023</v>
      </c>
      <c r="D7697" s="14" t="s">
        <v>1720</v>
      </c>
      <c r="E7697" s="112"/>
      <c r="F7697" s="139" t="s">
        <v>21827</v>
      </c>
      <c r="G7697" s="140"/>
      <c r="H7697" s="141"/>
      <c r="I7697" s="26">
        <v>58323</v>
      </c>
      <c r="J7697" s="117"/>
      <c r="K7697" s="120"/>
      <c r="L7697" s="121"/>
      <c r="M7697" s="120"/>
      <c r="N7697" s="121"/>
      <c r="O7697" s="120"/>
      <c r="P7697" s="121"/>
      <c r="Q7697" s="120"/>
      <c r="R7697" s="121"/>
      <c r="S7697" s="120"/>
      <c r="T7697" s="121"/>
      <c r="U7697" s="120"/>
      <c r="V7697" s="123"/>
      <c r="W7697" s="125"/>
      <c r="X7697" s="142" t="s">
        <v>22308</v>
      </c>
      <c r="Y7697" s="143"/>
      <c r="Z7697" s="143"/>
      <c r="AA7697" s="143"/>
      <c r="AB7697" s="144"/>
      <c r="AC7697" s="16" t="s">
        <v>21</v>
      </c>
      <c r="AD7697" s="17" t="s">
        <v>1922</v>
      </c>
      <c r="AE7697" s="145" t="s">
        <v>22309</v>
      </c>
      <c r="AF7697" s="146"/>
      <c r="AG7697" s="146"/>
      <c r="AH7697" s="146"/>
      <c r="AI7697" s="147"/>
      <c r="AJ7697" s="148"/>
      <c r="AK7697" s="143"/>
      <c r="AL7697" s="144"/>
      <c r="AM7697" s="22"/>
      <c r="AN7697" s="149" t="s">
        <v>2511</v>
      </c>
      <c r="AO7697" s="144"/>
      <c r="AP7697" s="148">
        <v>80379</v>
      </c>
      <c r="AQ7697" s="144"/>
      <c r="AR7697" s="120"/>
      <c r="AS7697" s="121"/>
      <c r="AT7697" s="120"/>
      <c r="AU7697" s="121"/>
      <c r="AV7697" s="120"/>
      <c r="AW7697" s="121"/>
      <c r="AX7697" s="120"/>
      <c r="AY7697" s="121"/>
      <c r="AZ7697" s="138"/>
    </row>
    <row r="7698" spans="1:52" ht="17.100000000000001" customHeight="1" thickTop="1">
      <c r="A7698" s="109" t="s">
        <v>21842</v>
      </c>
      <c r="B7698" s="28">
        <v>46113</v>
      </c>
      <c r="C7698" s="25">
        <v>1832</v>
      </c>
      <c r="D7698" s="13" t="s">
        <v>1586</v>
      </c>
      <c r="E7698" s="111"/>
      <c r="F7698" s="113" t="s">
        <v>1938</v>
      </c>
      <c r="G7698" s="114"/>
      <c r="H7698" s="115"/>
      <c r="I7698" s="24"/>
      <c r="J7698" s="116">
        <v>4.5</v>
      </c>
      <c r="K7698" s="118">
        <v>900000</v>
      </c>
      <c r="L7698" s="119"/>
      <c r="M7698" s="118">
        <f t="shared" ref="M7698" si="11303">K7698*0.1</f>
        <v>90000</v>
      </c>
      <c r="N7698" s="119"/>
      <c r="O7698" s="118">
        <v>0</v>
      </c>
      <c r="P7698" s="119"/>
      <c r="Q7698" s="118">
        <v>16240</v>
      </c>
      <c r="R7698" s="119"/>
      <c r="S7698" s="118">
        <v>20350</v>
      </c>
      <c r="T7698" s="119"/>
      <c r="U7698" s="118">
        <f t="shared" ref="U7698" si="11304">SUM(K7698:T7699)</f>
        <v>1026590</v>
      </c>
      <c r="V7698" s="122"/>
      <c r="W7698" s="124"/>
      <c r="X7698" s="126" t="s">
        <v>22310</v>
      </c>
      <c r="Y7698" s="127"/>
      <c r="Z7698" s="127"/>
      <c r="AA7698" s="127"/>
      <c r="AB7698" s="128"/>
      <c r="AC7698" s="15" t="s">
        <v>20</v>
      </c>
      <c r="AD7698" s="129" t="s">
        <v>5308</v>
      </c>
      <c r="AE7698" s="130"/>
      <c r="AF7698" s="130"/>
      <c r="AG7698" s="130"/>
      <c r="AH7698" s="130"/>
      <c r="AI7698" s="131"/>
      <c r="AJ7698" s="132"/>
      <c r="AK7698" s="127"/>
      <c r="AL7698" s="128"/>
      <c r="AM7698" s="21"/>
      <c r="AN7698" s="133">
        <v>46137</v>
      </c>
      <c r="AO7698" s="134"/>
      <c r="AP7698" s="135">
        <v>1298</v>
      </c>
      <c r="AQ7698" s="136"/>
      <c r="AR7698" s="118">
        <v>1050000</v>
      </c>
      <c r="AS7698" s="119"/>
      <c r="AT7698" s="118">
        <f t="shared" ref="AT7698" si="11305">AR7698*0.1</f>
        <v>105000</v>
      </c>
      <c r="AU7698" s="119"/>
      <c r="AV7698" s="118">
        <v>16240</v>
      </c>
      <c r="AW7698" s="119"/>
      <c r="AX7698" s="118">
        <f t="shared" ref="AX7698" si="11306">SUM(AR7698:AW7698)</f>
        <v>1171240</v>
      </c>
      <c r="AY7698" s="119"/>
      <c r="AZ7698" s="137">
        <v>46143</v>
      </c>
    </row>
    <row r="7699" spans="1:52" ht="17.100000000000001" customHeight="1" thickBot="1">
      <c r="A7699" s="110"/>
      <c r="B7699" s="27" t="s">
        <v>2559</v>
      </c>
      <c r="C7699" s="27">
        <v>38040</v>
      </c>
      <c r="D7699" s="14" t="s">
        <v>904</v>
      </c>
      <c r="E7699" s="112"/>
      <c r="F7699" s="139" t="s">
        <v>21829</v>
      </c>
      <c r="G7699" s="140"/>
      <c r="H7699" s="141"/>
      <c r="I7699" s="26">
        <v>41252</v>
      </c>
      <c r="J7699" s="117"/>
      <c r="K7699" s="120"/>
      <c r="L7699" s="121"/>
      <c r="M7699" s="120"/>
      <c r="N7699" s="121"/>
      <c r="O7699" s="120"/>
      <c r="P7699" s="121"/>
      <c r="Q7699" s="120"/>
      <c r="R7699" s="121"/>
      <c r="S7699" s="120"/>
      <c r="T7699" s="121"/>
      <c r="U7699" s="120"/>
      <c r="V7699" s="123"/>
      <c r="W7699" s="125"/>
      <c r="X7699" s="142" t="s">
        <v>18010</v>
      </c>
      <c r="Y7699" s="143"/>
      <c r="Z7699" s="143"/>
      <c r="AA7699" s="143"/>
      <c r="AB7699" s="144"/>
      <c r="AC7699" s="16" t="s">
        <v>21</v>
      </c>
      <c r="AD7699" s="17" t="s">
        <v>1922</v>
      </c>
      <c r="AE7699" s="145" t="s">
        <v>1614</v>
      </c>
      <c r="AF7699" s="146"/>
      <c r="AG7699" s="146"/>
      <c r="AH7699" s="146"/>
      <c r="AI7699" s="147"/>
      <c r="AJ7699" s="148"/>
      <c r="AK7699" s="143"/>
      <c r="AL7699" s="144"/>
      <c r="AM7699" s="22"/>
      <c r="AN7699" s="149" t="s">
        <v>6749</v>
      </c>
      <c r="AO7699" s="144"/>
      <c r="AP7699" s="148">
        <v>80248</v>
      </c>
      <c r="AQ7699" s="144"/>
      <c r="AR7699" s="120"/>
      <c r="AS7699" s="121"/>
      <c r="AT7699" s="120"/>
      <c r="AU7699" s="121"/>
      <c r="AV7699" s="120"/>
      <c r="AW7699" s="121"/>
      <c r="AX7699" s="120"/>
      <c r="AY7699" s="121"/>
      <c r="AZ7699" s="138"/>
    </row>
    <row r="7700" spans="1:52" ht="17.100000000000001" customHeight="1" thickTop="1">
      <c r="A7700" s="109" t="s">
        <v>21843</v>
      </c>
      <c r="B7700" s="28">
        <v>46113</v>
      </c>
      <c r="C7700" s="25">
        <v>1832</v>
      </c>
      <c r="D7700" s="13" t="s">
        <v>1714</v>
      </c>
      <c r="E7700" s="111"/>
      <c r="F7700" s="113" t="s">
        <v>11627</v>
      </c>
      <c r="G7700" s="114"/>
      <c r="H7700" s="115"/>
      <c r="I7700" s="24"/>
      <c r="J7700" s="116">
        <v>4</v>
      </c>
      <c r="K7700" s="118">
        <v>1025000</v>
      </c>
      <c r="L7700" s="119"/>
      <c r="M7700" s="118">
        <f t="shared" ref="M7700" si="11307">K7700*0.1</f>
        <v>102500</v>
      </c>
      <c r="N7700" s="119"/>
      <c r="O7700" s="118">
        <v>0</v>
      </c>
      <c r="P7700" s="119"/>
      <c r="Q7700" s="118">
        <v>7440</v>
      </c>
      <c r="R7700" s="119"/>
      <c r="S7700" s="118">
        <v>19250</v>
      </c>
      <c r="T7700" s="119"/>
      <c r="U7700" s="118">
        <f t="shared" ref="U7700" si="11308">SUM(K7700:T7701)</f>
        <v>1154190</v>
      </c>
      <c r="V7700" s="122"/>
      <c r="W7700" s="124"/>
      <c r="X7700" s="126" t="s">
        <v>22295</v>
      </c>
      <c r="Y7700" s="127"/>
      <c r="Z7700" s="127"/>
      <c r="AA7700" s="127"/>
      <c r="AB7700" s="128"/>
      <c r="AC7700" s="15" t="s">
        <v>20</v>
      </c>
      <c r="AD7700" s="129" t="s">
        <v>1670</v>
      </c>
      <c r="AE7700" s="130"/>
      <c r="AF7700" s="130"/>
      <c r="AG7700" s="130"/>
      <c r="AH7700" s="130"/>
      <c r="AI7700" s="131"/>
      <c r="AJ7700" s="132"/>
      <c r="AK7700" s="127"/>
      <c r="AL7700" s="128"/>
      <c r="AM7700" s="21"/>
      <c r="AN7700" s="133">
        <v>46116</v>
      </c>
      <c r="AO7700" s="134"/>
      <c r="AP7700" s="135">
        <v>1295</v>
      </c>
      <c r="AQ7700" s="136"/>
      <c r="AR7700" s="118">
        <v>1200000</v>
      </c>
      <c r="AS7700" s="119"/>
      <c r="AT7700" s="118">
        <f t="shared" ref="AT7700" si="11309">AR7700*0.1</f>
        <v>120000</v>
      </c>
      <c r="AU7700" s="119"/>
      <c r="AV7700" s="118">
        <v>7440</v>
      </c>
      <c r="AW7700" s="119"/>
      <c r="AX7700" s="118">
        <f t="shared" ref="AX7700" si="11310">SUM(AR7700:AW7700)</f>
        <v>1327440</v>
      </c>
      <c r="AY7700" s="119"/>
      <c r="AZ7700" s="137">
        <v>46126</v>
      </c>
    </row>
    <row r="7701" spans="1:52" ht="17.100000000000001" customHeight="1" thickBot="1">
      <c r="A7701" s="110"/>
      <c r="B7701" s="27" t="s">
        <v>2559</v>
      </c>
      <c r="C7701" s="27">
        <v>40011</v>
      </c>
      <c r="D7701" s="14" t="s">
        <v>1592</v>
      </c>
      <c r="E7701" s="112"/>
      <c r="F7701" s="139" t="s">
        <v>21830</v>
      </c>
      <c r="G7701" s="140"/>
      <c r="H7701" s="141"/>
      <c r="I7701" s="26">
        <v>40112</v>
      </c>
      <c r="J7701" s="117"/>
      <c r="K7701" s="120"/>
      <c r="L7701" s="121"/>
      <c r="M7701" s="120"/>
      <c r="N7701" s="121"/>
      <c r="O7701" s="120"/>
      <c r="P7701" s="121"/>
      <c r="Q7701" s="120"/>
      <c r="R7701" s="121"/>
      <c r="S7701" s="120"/>
      <c r="T7701" s="121"/>
      <c r="U7701" s="120"/>
      <c r="V7701" s="123"/>
      <c r="W7701" s="125"/>
      <c r="X7701" s="142" t="s">
        <v>4045</v>
      </c>
      <c r="Y7701" s="143"/>
      <c r="Z7701" s="143"/>
      <c r="AA7701" s="143"/>
      <c r="AB7701" s="144"/>
      <c r="AC7701" s="16" t="s">
        <v>21</v>
      </c>
      <c r="AD7701" s="17" t="s">
        <v>1922</v>
      </c>
      <c r="AE7701" s="145" t="s">
        <v>1670</v>
      </c>
      <c r="AF7701" s="146"/>
      <c r="AG7701" s="146"/>
      <c r="AH7701" s="146"/>
      <c r="AI7701" s="147"/>
      <c r="AJ7701" s="148"/>
      <c r="AK7701" s="143"/>
      <c r="AL7701" s="144"/>
      <c r="AM7701" s="22"/>
      <c r="AN7701" s="149" t="s">
        <v>6748</v>
      </c>
      <c r="AO7701" s="144"/>
      <c r="AP7701" s="148">
        <v>41062</v>
      </c>
      <c r="AQ7701" s="144"/>
      <c r="AR7701" s="120"/>
      <c r="AS7701" s="121"/>
      <c r="AT7701" s="120"/>
      <c r="AU7701" s="121"/>
      <c r="AV7701" s="120"/>
      <c r="AW7701" s="121"/>
      <c r="AX7701" s="120"/>
      <c r="AY7701" s="121"/>
      <c r="AZ7701" s="138"/>
    </row>
    <row r="7702" spans="1:52" ht="17.100000000000001" customHeight="1" thickTop="1">
      <c r="A7702" s="109" t="s">
        <v>21868</v>
      </c>
      <c r="B7702" s="28">
        <v>46114</v>
      </c>
      <c r="C7702" s="25">
        <v>1325</v>
      </c>
      <c r="D7702" s="13" t="s">
        <v>1615</v>
      </c>
      <c r="E7702" s="111"/>
      <c r="F7702" s="113" t="s">
        <v>21871</v>
      </c>
      <c r="G7702" s="114"/>
      <c r="H7702" s="115"/>
      <c r="I7702" s="24"/>
      <c r="J7702" s="116">
        <v>4.5</v>
      </c>
      <c r="K7702" s="118">
        <v>1285000</v>
      </c>
      <c r="L7702" s="119"/>
      <c r="M7702" s="118">
        <f t="shared" ref="M7702" si="11311">K7702*0.1</f>
        <v>128500</v>
      </c>
      <c r="N7702" s="119"/>
      <c r="O7702" s="118">
        <v>0</v>
      </c>
      <c r="P7702" s="119"/>
      <c r="Q7702" s="118">
        <v>16940</v>
      </c>
      <c r="R7702" s="119"/>
      <c r="S7702" s="118">
        <v>16500</v>
      </c>
      <c r="T7702" s="119"/>
      <c r="U7702" s="118">
        <f t="shared" ref="U7702" si="11312">SUM(K7702:T7703)</f>
        <v>1446940</v>
      </c>
      <c r="V7702" s="122"/>
      <c r="W7702" s="124"/>
      <c r="X7702" s="126" t="s">
        <v>22471</v>
      </c>
      <c r="Y7702" s="127"/>
      <c r="Z7702" s="127"/>
      <c r="AA7702" s="127"/>
      <c r="AB7702" s="128"/>
      <c r="AC7702" s="15" t="s">
        <v>20</v>
      </c>
      <c r="AD7702" s="129" t="s">
        <v>1633</v>
      </c>
      <c r="AE7702" s="130"/>
      <c r="AF7702" s="130"/>
      <c r="AG7702" s="130"/>
      <c r="AH7702" s="130"/>
      <c r="AI7702" s="131"/>
      <c r="AJ7702" s="132"/>
      <c r="AK7702" s="127"/>
      <c r="AL7702" s="128"/>
      <c r="AM7702" s="21"/>
      <c r="AN7702" s="133">
        <v>46130</v>
      </c>
      <c r="AO7702" s="134"/>
      <c r="AP7702" s="135">
        <v>1297</v>
      </c>
      <c r="AQ7702" s="136"/>
      <c r="AR7702" s="118">
        <v>1400000</v>
      </c>
      <c r="AS7702" s="119"/>
      <c r="AT7702" s="118">
        <f t="shared" ref="AT7702" si="11313">AR7702*0.1</f>
        <v>140000</v>
      </c>
      <c r="AU7702" s="119"/>
      <c r="AV7702" s="118">
        <v>16940</v>
      </c>
      <c r="AW7702" s="119"/>
      <c r="AX7702" s="118">
        <f t="shared" ref="AX7702" si="11314">SUM(AR7702:AW7702)</f>
        <v>1556940</v>
      </c>
      <c r="AY7702" s="119"/>
      <c r="AZ7702" s="137">
        <v>46133</v>
      </c>
    </row>
    <row r="7703" spans="1:52" ht="17.100000000000001" customHeight="1" thickBot="1">
      <c r="A7703" s="110"/>
      <c r="B7703" s="27" t="s">
        <v>13663</v>
      </c>
      <c r="C7703" s="27">
        <v>80</v>
      </c>
      <c r="D7703" s="14" t="s">
        <v>275</v>
      </c>
      <c r="E7703" s="112"/>
      <c r="F7703" s="139" t="s">
        <v>21872</v>
      </c>
      <c r="G7703" s="140"/>
      <c r="H7703" s="141"/>
      <c r="I7703" s="26">
        <v>56020</v>
      </c>
      <c r="J7703" s="117"/>
      <c r="K7703" s="120"/>
      <c r="L7703" s="121"/>
      <c r="M7703" s="120"/>
      <c r="N7703" s="121"/>
      <c r="O7703" s="120"/>
      <c r="P7703" s="121"/>
      <c r="Q7703" s="120"/>
      <c r="R7703" s="121"/>
      <c r="S7703" s="120"/>
      <c r="T7703" s="121"/>
      <c r="U7703" s="120"/>
      <c r="V7703" s="123"/>
      <c r="W7703" s="125"/>
      <c r="X7703" s="142" t="s">
        <v>1861</v>
      </c>
      <c r="Y7703" s="143"/>
      <c r="Z7703" s="143"/>
      <c r="AA7703" s="143"/>
      <c r="AB7703" s="144"/>
      <c r="AC7703" s="16" t="s">
        <v>21</v>
      </c>
      <c r="AD7703" s="17" t="s">
        <v>1825</v>
      </c>
      <c r="AE7703" s="145" t="s">
        <v>1742</v>
      </c>
      <c r="AF7703" s="146"/>
      <c r="AG7703" s="146"/>
      <c r="AH7703" s="146"/>
      <c r="AI7703" s="147"/>
      <c r="AJ7703" s="148"/>
      <c r="AK7703" s="143"/>
      <c r="AL7703" s="144"/>
      <c r="AM7703" s="22"/>
      <c r="AN7703" s="149" t="s">
        <v>2511</v>
      </c>
      <c r="AO7703" s="144"/>
      <c r="AP7703" s="148">
        <v>80222</v>
      </c>
      <c r="AQ7703" s="144"/>
      <c r="AR7703" s="120"/>
      <c r="AS7703" s="121"/>
      <c r="AT7703" s="120"/>
      <c r="AU7703" s="121"/>
      <c r="AV7703" s="120"/>
      <c r="AW7703" s="121"/>
      <c r="AX7703" s="120"/>
      <c r="AY7703" s="121"/>
      <c r="AZ7703" s="138"/>
    </row>
    <row r="7704" spans="1:52" ht="17.100000000000001" customHeight="1" thickTop="1">
      <c r="A7704" s="109" t="s">
        <v>21869</v>
      </c>
      <c r="B7704" s="28">
        <v>46114</v>
      </c>
      <c r="C7704" s="25">
        <v>1325</v>
      </c>
      <c r="D7704" s="13" t="s">
        <v>2322</v>
      </c>
      <c r="E7704" s="111"/>
      <c r="F7704" s="113" t="s">
        <v>21873</v>
      </c>
      <c r="G7704" s="114"/>
      <c r="H7704" s="115"/>
      <c r="I7704" s="24"/>
      <c r="J7704" s="116">
        <v>4.5</v>
      </c>
      <c r="K7704" s="118">
        <v>1365000</v>
      </c>
      <c r="L7704" s="119"/>
      <c r="M7704" s="118">
        <f t="shared" ref="M7704" si="11315">K7704*0.1</f>
        <v>136500</v>
      </c>
      <c r="N7704" s="119"/>
      <c r="O7704" s="118">
        <v>0</v>
      </c>
      <c r="P7704" s="119"/>
      <c r="Q7704" s="118">
        <v>21330</v>
      </c>
      <c r="R7704" s="119"/>
      <c r="S7704" s="118">
        <v>16500</v>
      </c>
      <c r="T7704" s="119"/>
      <c r="U7704" s="118">
        <f t="shared" ref="U7704" si="11316">SUM(K7704:T7705)</f>
        <v>1539330</v>
      </c>
      <c r="V7704" s="122"/>
      <c r="W7704" s="124"/>
      <c r="X7704" s="126" t="s">
        <v>22524</v>
      </c>
      <c r="Y7704" s="127"/>
      <c r="Z7704" s="127"/>
      <c r="AA7704" s="127"/>
      <c r="AB7704" s="128"/>
      <c r="AC7704" s="15" t="s">
        <v>20</v>
      </c>
      <c r="AD7704" s="129" t="s">
        <v>1670</v>
      </c>
      <c r="AE7704" s="130"/>
      <c r="AF7704" s="130"/>
      <c r="AG7704" s="130"/>
      <c r="AH7704" s="130"/>
      <c r="AI7704" s="131"/>
      <c r="AJ7704" s="132"/>
      <c r="AK7704" s="127"/>
      <c r="AL7704" s="128"/>
      <c r="AM7704" s="21"/>
      <c r="AN7704" s="133"/>
      <c r="AO7704" s="134"/>
      <c r="AP7704" s="135"/>
      <c r="AQ7704" s="136"/>
      <c r="AR7704" s="118"/>
      <c r="AS7704" s="119"/>
      <c r="AT7704" s="118">
        <f t="shared" ref="AT7704" si="11317">AR7704*0.1</f>
        <v>0</v>
      </c>
      <c r="AU7704" s="119"/>
      <c r="AV7704" s="118"/>
      <c r="AW7704" s="119"/>
      <c r="AX7704" s="118">
        <f t="shared" ref="AX7704" si="11318">SUM(AR7704:AW7704)</f>
        <v>0</v>
      </c>
      <c r="AY7704" s="119"/>
      <c r="AZ7704" s="137"/>
    </row>
    <row r="7705" spans="1:52" ht="17.100000000000001" customHeight="1" thickBot="1">
      <c r="A7705" s="110"/>
      <c r="B7705" s="27" t="s">
        <v>13663</v>
      </c>
      <c r="C7705" s="27">
        <v>170</v>
      </c>
      <c r="D7705" s="14" t="s">
        <v>1720</v>
      </c>
      <c r="E7705" s="112"/>
      <c r="F7705" s="139" t="s">
        <v>21874</v>
      </c>
      <c r="G7705" s="140"/>
      <c r="H7705" s="141"/>
      <c r="I7705" s="26">
        <v>47226</v>
      </c>
      <c r="J7705" s="117"/>
      <c r="K7705" s="120"/>
      <c r="L7705" s="121"/>
      <c r="M7705" s="120"/>
      <c r="N7705" s="121"/>
      <c r="O7705" s="120"/>
      <c r="P7705" s="121"/>
      <c r="Q7705" s="120"/>
      <c r="R7705" s="121"/>
      <c r="S7705" s="120"/>
      <c r="T7705" s="121"/>
      <c r="U7705" s="120"/>
      <c r="V7705" s="123"/>
      <c r="W7705" s="125"/>
      <c r="X7705" s="142" t="s">
        <v>5000</v>
      </c>
      <c r="Y7705" s="143"/>
      <c r="Z7705" s="143"/>
      <c r="AA7705" s="143"/>
      <c r="AB7705" s="144"/>
      <c r="AC7705" s="16" t="s">
        <v>21</v>
      </c>
      <c r="AD7705" s="17" t="s">
        <v>1795</v>
      </c>
      <c r="AE7705" s="145" t="s">
        <v>1742</v>
      </c>
      <c r="AF7705" s="146"/>
      <c r="AG7705" s="146"/>
      <c r="AH7705" s="146"/>
      <c r="AI7705" s="147"/>
      <c r="AJ7705" s="148"/>
      <c r="AK7705" s="143"/>
      <c r="AL7705" s="144"/>
      <c r="AM7705" s="22"/>
      <c r="AN7705" s="149"/>
      <c r="AO7705" s="144"/>
      <c r="AP7705" s="148"/>
      <c r="AQ7705" s="144"/>
      <c r="AR7705" s="120"/>
      <c r="AS7705" s="121"/>
      <c r="AT7705" s="120"/>
      <c r="AU7705" s="121"/>
      <c r="AV7705" s="120"/>
      <c r="AW7705" s="121"/>
      <c r="AX7705" s="120"/>
      <c r="AY7705" s="121"/>
      <c r="AZ7705" s="138"/>
    </row>
    <row r="7706" spans="1:52" ht="17.100000000000001" customHeight="1" thickTop="1">
      <c r="A7706" s="109" t="s">
        <v>21870</v>
      </c>
      <c r="B7706" s="28">
        <v>46114</v>
      </c>
      <c r="C7706" s="25">
        <v>1325</v>
      </c>
      <c r="D7706" s="13" t="s">
        <v>1615</v>
      </c>
      <c r="E7706" s="111"/>
      <c r="F7706" s="113" t="s">
        <v>21875</v>
      </c>
      <c r="G7706" s="114"/>
      <c r="H7706" s="115"/>
      <c r="I7706" s="24"/>
      <c r="J7706" s="116">
        <v>4</v>
      </c>
      <c r="K7706" s="118">
        <v>650000</v>
      </c>
      <c r="L7706" s="119"/>
      <c r="M7706" s="118">
        <f t="shared" ref="M7706" si="11319">K7706*0.1</f>
        <v>65000</v>
      </c>
      <c r="N7706" s="119"/>
      <c r="O7706" s="118">
        <v>0</v>
      </c>
      <c r="P7706" s="119"/>
      <c r="Q7706" s="118">
        <v>19390</v>
      </c>
      <c r="R7706" s="119"/>
      <c r="S7706" s="118">
        <v>16500</v>
      </c>
      <c r="T7706" s="119"/>
      <c r="U7706" s="118">
        <f t="shared" ref="U7706" si="11320">SUM(K7706:T7707)</f>
        <v>750890</v>
      </c>
      <c r="V7706" s="122"/>
      <c r="W7706" s="124"/>
      <c r="X7706" s="126" t="s">
        <v>22473</v>
      </c>
      <c r="Y7706" s="127"/>
      <c r="Z7706" s="127"/>
      <c r="AA7706" s="127"/>
      <c r="AB7706" s="128"/>
      <c r="AC7706" s="15" t="s">
        <v>20</v>
      </c>
      <c r="AD7706" s="129" t="s">
        <v>21877</v>
      </c>
      <c r="AE7706" s="130"/>
      <c r="AF7706" s="130"/>
      <c r="AG7706" s="130"/>
      <c r="AH7706" s="130"/>
      <c r="AI7706" s="131"/>
      <c r="AJ7706" s="132"/>
      <c r="AK7706" s="127"/>
      <c r="AL7706" s="128"/>
      <c r="AM7706" s="21"/>
      <c r="AN7706" s="133">
        <v>46130</v>
      </c>
      <c r="AO7706" s="134"/>
      <c r="AP7706" s="135">
        <v>1297</v>
      </c>
      <c r="AQ7706" s="136"/>
      <c r="AR7706" s="118">
        <v>800000</v>
      </c>
      <c r="AS7706" s="119"/>
      <c r="AT7706" s="118">
        <f t="shared" ref="AT7706" si="11321">AR7706*0.1</f>
        <v>80000</v>
      </c>
      <c r="AU7706" s="119"/>
      <c r="AV7706" s="118">
        <v>19390</v>
      </c>
      <c r="AW7706" s="119"/>
      <c r="AX7706" s="118">
        <f t="shared" ref="AX7706" si="11322">SUM(AR7706:AW7706)</f>
        <v>899390</v>
      </c>
      <c r="AY7706" s="119"/>
      <c r="AZ7706" s="137">
        <v>46139</v>
      </c>
    </row>
    <row r="7707" spans="1:52" ht="17.100000000000001" customHeight="1" thickBot="1">
      <c r="A7707" s="110"/>
      <c r="B7707" s="27" t="s">
        <v>13663</v>
      </c>
      <c r="C7707" s="27">
        <v>816</v>
      </c>
      <c r="D7707" s="14" t="s">
        <v>904</v>
      </c>
      <c r="E7707" s="112"/>
      <c r="F7707" s="139" t="s">
        <v>21876</v>
      </c>
      <c r="G7707" s="140"/>
      <c r="H7707" s="141"/>
      <c r="I7707" s="26">
        <v>62398</v>
      </c>
      <c r="J7707" s="117"/>
      <c r="K7707" s="120"/>
      <c r="L7707" s="121"/>
      <c r="M7707" s="120"/>
      <c r="N7707" s="121"/>
      <c r="O7707" s="120"/>
      <c r="P7707" s="121"/>
      <c r="Q7707" s="120"/>
      <c r="R7707" s="121"/>
      <c r="S7707" s="120"/>
      <c r="T7707" s="121"/>
      <c r="U7707" s="120"/>
      <c r="V7707" s="123"/>
      <c r="W7707" s="125"/>
      <c r="X7707" s="142" t="s">
        <v>1861</v>
      </c>
      <c r="Y7707" s="143"/>
      <c r="Z7707" s="143"/>
      <c r="AA7707" s="143"/>
      <c r="AB7707" s="144"/>
      <c r="AC7707" s="16" t="s">
        <v>21</v>
      </c>
      <c r="AD7707" s="17" t="s">
        <v>1825</v>
      </c>
      <c r="AE7707" s="145" t="s">
        <v>15380</v>
      </c>
      <c r="AF7707" s="146"/>
      <c r="AG7707" s="146"/>
      <c r="AH7707" s="146"/>
      <c r="AI7707" s="147"/>
      <c r="AJ7707" s="148"/>
      <c r="AK7707" s="143"/>
      <c r="AL7707" s="144"/>
      <c r="AM7707" s="22"/>
      <c r="AN7707" s="149" t="s">
        <v>6748</v>
      </c>
      <c r="AO7707" s="144"/>
      <c r="AP7707" s="148">
        <v>80151</v>
      </c>
      <c r="AQ7707" s="144"/>
      <c r="AR7707" s="120"/>
      <c r="AS7707" s="121"/>
      <c r="AT7707" s="120"/>
      <c r="AU7707" s="121"/>
      <c r="AV7707" s="120"/>
      <c r="AW7707" s="121"/>
      <c r="AX7707" s="120"/>
      <c r="AY7707" s="121"/>
      <c r="AZ7707" s="138"/>
    </row>
    <row r="7708" spans="1:52" ht="17.100000000000001" customHeight="1" thickTop="1">
      <c r="A7708" s="109" t="s">
        <v>21980</v>
      </c>
      <c r="B7708" s="28">
        <v>46114</v>
      </c>
      <c r="C7708" s="25">
        <v>2021</v>
      </c>
      <c r="D7708" s="13" t="s">
        <v>1845</v>
      </c>
      <c r="E7708" s="111"/>
      <c r="F7708" s="113" t="s">
        <v>22172</v>
      </c>
      <c r="G7708" s="114"/>
      <c r="H7708" s="115"/>
      <c r="I7708" s="24" t="s">
        <v>4390</v>
      </c>
      <c r="J7708" s="116">
        <v>4</v>
      </c>
      <c r="K7708" s="118">
        <v>1105000</v>
      </c>
      <c r="L7708" s="119"/>
      <c r="M7708" s="118">
        <f t="shared" ref="M7708" si="11323">K7708*0.1</f>
        <v>110500</v>
      </c>
      <c r="N7708" s="119"/>
      <c r="O7708" s="118">
        <v>30690</v>
      </c>
      <c r="P7708" s="119"/>
      <c r="Q7708" s="118">
        <v>9810</v>
      </c>
      <c r="R7708" s="119"/>
      <c r="S7708" s="118">
        <v>22000</v>
      </c>
      <c r="T7708" s="119"/>
      <c r="U7708" s="118">
        <f t="shared" ref="U7708" si="11324">SUM(K7708:T7709)</f>
        <v>1278000</v>
      </c>
      <c r="V7708" s="122"/>
      <c r="W7708" s="124"/>
      <c r="X7708" s="126" t="s">
        <v>22173</v>
      </c>
      <c r="Y7708" s="127"/>
      <c r="Z7708" s="127"/>
      <c r="AA7708" s="127"/>
      <c r="AB7708" s="128"/>
      <c r="AC7708" s="15" t="s">
        <v>20</v>
      </c>
      <c r="AD7708" s="129" t="s">
        <v>3821</v>
      </c>
      <c r="AE7708" s="130"/>
      <c r="AF7708" s="130"/>
      <c r="AG7708" s="130"/>
      <c r="AH7708" s="130"/>
      <c r="AI7708" s="131"/>
      <c r="AJ7708" s="132"/>
      <c r="AK7708" s="127"/>
      <c r="AL7708" s="128"/>
      <c r="AM7708" s="21"/>
      <c r="AN7708" s="133">
        <v>46120</v>
      </c>
      <c r="AO7708" s="134"/>
      <c r="AP7708" s="135">
        <v>1012</v>
      </c>
      <c r="AQ7708" s="136"/>
      <c r="AR7708" s="118">
        <v>1210000</v>
      </c>
      <c r="AS7708" s="119"/>
      <c r="AT7708" s="118">
        <f t="shared" ref="AT7708" si="11325">AR7708*0.1</f>
        <v>121000</v>
      </c>
      <c r="AU7708" s="119"/>
      <c r="AV7708" s="118">
        <v>9810</v>
      </c>
      <c r="AW7708" s="119"/>
      <c r="AX7708" s="118">
        <f t="shared" ref="AX7708" si="11326">SUM(AR7708:AW7708)</f>
        <v>1340810</v>
      </c>
      <c r="AY7708" s="119"/>
      <c r="AZ7708" s="137">
        <v>46125</v>
      </c>
    </row>
    <row r="7709" spans="1:52" ht="17.100000000000001" customHeight="1" thickBot="1">
      <c r="A7709" s="110"/>
      <c r="B7709" s="27" t="s">
        <v>2727</v>
      </c>
      <c r="C7709" s="27">
        <v>30029</v>
      </c>
      <c r="D7709" s="14" t="s">
        <v>1720</v>
      </c>
      <c r="E7709" s="112"/>
      <c r="F7709" s="139" t="s">
        <v>21992</v>
      </c>
      <c r="G7709" s="140"/>
      <c r="H7709" s="141"/>
      <c r="I7709" s="26">
        <v>49225</v>
      </c>
      <c r="J7709" s="117"/>
      <c r="K7709" s="120"/>
      <c r="L7709" s="121"/>
      <c r="M7709" s="120"/>
      <c r="N7709" s="121"/>
      <c r="O7709" s="120"/>
      <c r="P7709" s="121"/>
      <c r="Q7709" s="120"/>
      <c r="R7709" s="121"/>
      <c r="S7709" s="120"/>
      <c r="T7709" s="121"/>
      <c r="U7709" s="120"/>
      <c r="V7709" s="123"/>
      <c r="W7709" s="125"/>
      <c r="X7709" s="142" t="s">
        <v>7544</v>
      </c>
      <c r="Y7709" s="143"/>
      <c r="Z7709" s="143"/>
      <c r="AA7709" s="143"/>
      <c r="AB7709" s="144"/>
      <c r="AC7709" s="16" t="s">
        <v>21</v>
      </c>
      <c r="AD7709" s="17" t="s">
        <v>1825</v>
      </c>
      <c r="AE7709" s="145" t="s">
        <v>3123</v>
      </c>
      <c r="AF7709" s="146"/>
      <c r="AG7709" s="146"/>
      <c r="AH7709" s="146"/>
      <c r="AI7709" s="147"/>
      <c r="AJ7709" s="148"/>
      <c r="AK7709" s="143"/>
      <c r="AL7709" s="144"/>
      <c r="AM7709" s="22"/>
      <c r="AN7709" s="149" t="s">
        <v>2794</v>
      </c>
      <c r="AO7709" s="144"/>
      <c r="AP7709" s="148">
        <v>5071</v>
      </c>
      <c r="AQ7709" s="144"/>
      <c r="AR7709" s="120"/>
      <c r="AS7709" s="121"/>
      <c r="AT7709" s="120"/>
      <c r="AU7709" s="121"/>
      <c r="AV7709" s="120"/>
      <c r="AW7709" s="121"/>
      <c r="AX7709" s="120"/>
      <c r="AY7709" s="121"/>
      <c r="AZ7709" s="138"/>
    </row>
    <row r="7710" spans="1:52" ht="17.100000000000001" customHeight="1" thickTop="1">
      <c r="A7710" s="109" t="s">
        <v>21981</v>
      </c>
      <c r="B7710" s="28">
        <v>46114</v>
      </c>
      <c r="C7710" s="25">
        <v>2021</v>
      </c>
      <c r="D7710" s="13" t="s">
        <v>1986</v>
      </c>
      <c r="E7710" s="111"/>
      <c r="F7710" s="113" t="s">
        <v>22174</v>
      </c>
      <c r="G7710" s="114"/>
      <c r="H7710" s="115"/>
      <c r="I7710" s="24" t="s">
        <v>22176</v>
      </c>
      <c r="J7710" s="116">
        <v>4</v>
      </c>
      <c r="K7710" s="118">
        <v>1246000</v>
      </c>
      <c r="L7710" s="119"/>
      <c r="M7710" s="118">
        <f t="shared" ref="M7710" si="11327">K7710*0.1</f>
        <v>124600</v>
      </c>
      <c r="N7710" s="119"/>
      <c r="O7710" s="118">
        <v>25190</v>
      </c>
      <c r="P7710" s="119"/>
      <c r="Q7710" s="118">
        <v>9130</v>
      </c>
      <c r="R7710" s="119"/>
      <c r="S7710" s="118">
        <v>22000</v>
      </c>
      <c r="T7710" s="119"/>
      <c r="U7710" s="118">
        <f t="shared" ref="U7710" si="11328">SUM(K7710:T7711)</f>
        <v>1426920</v>
      </c>
      <c r="V7710" s="122"/>
      <c r="W7710" s="124"/>
      <c r="X7710" s="126" t="s">
        <v>22175</v>
      </c>
      <c r="Y7710" s="127"/>
      <c r="Z7710" s="127"/>
      <c r="AA7710" s="127"/>
      <c r="AB7710" s="128"/>
      <c r="AC7710" s="15" t="s">
        <v>20</v>
      </c>
      <c r="AD7710" s="129" t="s">
        <v>22177</v>
      </c>
      <c r="AE7710" s="130"/>
      <c r="AF7710" s="130"/>
      <c r="AG7710" s="130"/>
      <c r="AH7710" s="130"/>
      <c r="AI7710" s="131"/>
      <c r="AJ7710" s="132"/>
      <c r="AK7710" s="127"/>
      <c r="AL7710" s="128"/>
      <c r="AM7710" s="21"/>
      <c r="AN7710" s="133">
        <v>46127</v>
      </c>
      <c r="AO7710" s="134"/>
      <c r="AP7710" s="135">
        <v>1013</v>
      </c>
      <c r="AQ7710" s="136"/>
      <c r="AR7710" s="118">
        <v>1295000</v>
      </c>
      <c r="AS7710" s="119"/>
      <c r="AT7710" s="118">
        <f t="shared" ref="AT7710" si="11329">AR7710*0.1</f>
        <v>129500</v>
      </c>
      <c r="AU7710" s="119"/>
      <c r="AV7710" s="118">
        <v>9130</v>
      </c>
      <c r="AW7710" s="119"/>
      <c r="AX7710" s="118">
        <f t="shared" ref="AX7710" si="11330">SUM(AR7710:AW7710)</f>
        <v>1433630</v>
      </c>
      <c r="AY7710" s="119"/>
      <c r="AZ7710" s="137">
        <v>46132</v>
      </c>
    </row>
    <row r="7711" spans="1:52" ht="17.100000000000001" customHeight="1" thickBot="1">
      <c r="A7711" s="110"/>
      <c r="B7711" s="27" t="s">
        <v>2727</v>
      </c>
      <c r="C7711" s="27">
        <v>30030</v>
      </c>
      <c r="D7711" s="14" t="s">
        <v>275</v>
      </c>
      <c r="E7711" s="112"/>
      <c r="F7711" s="139" t="s">
        <v>21993</v>
      </c>
      <c r="G7711" s="140"/>
      <c r="H7711" s="141"/>
      <c r="I7711" s="26">
        <v>10320</v>
      </c>
      <c r="J7711" s="117"/>
      <c r="K7711" s="120"/>
      <c r="L7711" s="121"/>
      <c r="M7711" s="120"/>
      <c r="N7711" s="121"/>
      <c r="O7711" s="120"/>
      <c r="P7711" s="121"/>
      <c r="Q7711" s="120"/>
      <c r="R7711" s="121"/>
      <c r="S7711" s="120"/>
      <c r="T7711" s="121"/>
      <c r="U7711" s="120"/>
      <c r="V7711" s="123"/>
      <c r="W7711" s="125"/>
      <c r="X7711" s="142" t="s">
        <v>22528</v>
      </c>
      <c r="Y7711" s="143"/>
      <c r="Z7711" s="143"/>
      <c r="AA7711" s="143"/>
      <c r="AB7711" s="144"/>
      <c r="AC7711" s="16" t="s">
        <v>21</v>
      </c>
      <c r="AD7711" s="17" t="s">
        <v>1795</v>
      </c>
      <c r="AE7711" s="145" t="s">
        <v>10734</v>
      </c>
      <c r="AF7711" s="146"/>
      <c r="AG7711" s="146"/>
      <c r="AH7711" s="146"/>
      <c r="AI7711" s="147"/>
      <c r="AJ7711" s="148"/>
      <c r="AK7711" s="143"/>
      <c r="AL7711" s="144"/>
      <c r="AM7711" s="22"/>
      <c r="AN7711" s="149" t="s">
        <v>2794</v>
      </c>
      <c r="AO7711" s="144"/>
      <c r="AP7711" s="148">
        <v>6044</v>
      </c>
      <c r="AQ7711" s="144"/>
      <c r="AR7711" s="120"/>
      <c r="AS7711" s="121"/>
      <c r="AT7711" s="120"/>
      <c r="AU7711" s="121"/>
      <c r="AV7711" s="120"/>
      <c r="AW7711" s="121"/>
      <c r="AX7711" s="120"/>
      <c r="AY7711" s="121"/>
      <c r="AZ7711" s="138"/>
    </row>
    <row r="7712" spans="1:52" ht="17.100000000000001" customHeight="1" thickTop="1">
      <c r="A7712" s="109" t="s">
        <v>21982</v>
      </c>
      <c r="B7712" s="28">
        <v>46114</v>
      </c>
      <c r="C7712" s="25">
        <v>2021</v>
      </c>
      <c r="D7712" s="13" t="s">
        <v>2301</v>
      </c>
      <c r="E7712" s="111"/>
      <c r="F7712" s="113" t="s">
        <v>22178</v>
      </c>
      <c r="G7712" s="114"/>
      <c r="H7712" s="115"/>
      <c r="I7712" s="24" t="s">
        <v>2571</v>
      </c>
      <c r="J7712" s="116">
        <v>4</v>
      </c>
      <c r="K7712" s="118">
        <v>1225000</v>
      </c>
      <c r="L7712" s="119"/>
      <c r="M7712" s="118">
        <f t="shared" ref="M7712" si="11331">K7712*0.1</f>
        <v>122500</v>
      </c>
      <c r="N7712" s="119"/>
      <c r="O7712" s="118">
        <v>39820</v>
      </c>
      <c r="P7712" s="119"/>
      <c r="Q7712" s="118">
        <v>11480</v>
      </c>
      <c r="R7712" s="119"/>
      <c r="S7712" s="118">
        <v>22000</v>
      </c>
      <c r="T7712" s="119"/>
      <c r="U7712" s="118">
        <f t="shared" ref="U7712" si="11332">SUM(K7712:T7713)</f>
        <v>1420800</v>
      </c>
      <c r="V7712" s="122"/>
      <c r="W7712" s="124"/>
      <c r="X7712" s="126" t="s">
        <v>22179</v>
      </c>
      <c r="Y7712" s="127"/>
      <c r="Z7712" s="127"/>
      <c r="AA7712" s="127"/>
      <c r="AB7712" s="128"/>
      <c r="AC7712" s="15" t="s">
        <v>20</v>
      </c>
      <c r="AD7712" s="129" t="s">
        <v>3821</v>
      </c>
      <c r="AE7712" s="130"/>
      <c r="AF7712" s="130"/>
      <c r="AG7712" s="130"/>
      <c r="AH7712" s="130"/>
      <c r="AI7712" s="131"/>
      <c r="AJ7712" s="132"/>
      <c r="AK7712" s="127"/>
      <c r="AL7712" s="128"/>
      <c r="AM7712" s="21"/>
      <c r="AN7712" s="133">
        <v>46127</v>
      </c>
      <c r="AO7712" s="134"/>
      <c r="AP7712" s="135">
        <v>1013</v>
      </c>
      <c r="AQ7712" s="136"/>
      <c r="AR7712" s="118">
        <v>1275000</v>
      </c>
      <c r="AS7712" s="119"/>
      <c r="AT7712" s="118">
        <f t="shared" ref="AT7712" si="11333">AR7712*0.1</f>
        <v>127500</v>
      </c>
      <c r="AU7712" s="119"/>
      <c r="AV7712" s="118">
        <v>11480</v>
      </c>
      <c r="AW7712" s="119"/>
      <c r="AX7712" s="118">
        <f t="shared" ref="AX7712" si="11334">SUM(AR7712:AW7712)</f>
        <v>1413980</v>
      </c>
      <c r="AY7712" s="119"/>
      <c r="AZ7712" s="137">
        <v>46132</v>
      </c>
    </row>
    <row r="7713" spans="1:52" ht="17.100000000000001" customHeight="1" thickBot="1">
      <c r="A7713" s="110"/>
      <c r="B7713" s="27" t="s">
        <v>2727</v>
      </c>
      <c r="C7713" s="27">
        <v>30034</v>
      </c>
      <c r="D7713" s="14" t="s">
        <v>1720</v>
      </c>
      <c r="E7713" s="112"/>
      <c r="F7713" s="139" t="s">
        <v>21994</v>
      </c>
      <c r="G7713" s="140"/>
      <c r="H7713" s="141"/>
      <c r="I7713" s="26">
        <v>48423</v>
      </c>
      <c r="J7713" s="117"/>
      <c r="K7713" s="120"/>
      <c r="L7713" s="121"/>
      <c r="M7713" s="120"/>
      <c r="N7713" s="121"/>
      <c r="O7713" s="120"/>
      <c r="P7713" s="121"/>
      <c r="Q7713" s="120"/>
      <c r="R7713" s="121"/>
      <c r="S7713" s="120"/>
      <c r="T7713" s="121"/>
      <c r="U7713" s="120"/>
      <c r="V7713" s="123"/>
      <c r="W7713" s="125"/>
      <c r="X7713" s="142" t="s">
        <v>7544</v>
      </c>
      <c r="Y7713" s="143"/>
      <c r="Z7713" s="143"/>
      <c r="AA7713" s="143"/>
      <c r="AB7713" s="144"/>
      <c r="AC7713" s="16" t="s">
        <v>21</v>
      </c>
      <c r="AD7713" s="17" t="s">
        <v>1825</v>
      </c>
      <c r="AE7713" s="145" t="s">
        <v>22499</v>
      </c>
      <c r="AF7713" s="146"/>
      <c r="AG7713" s="146"/>
      <c r="AH7713" s="146"/>
      <c r="AI7713" s="147"/>
      <c r="AJ7713" s="148"/>
      <c r="AK7713" s="143"/>
      <c r="AL7713" s="144"/>
      <c r="AM7713" s="22"/>
      <c r="AN7713" s="149" t="s">
        <v>2794</v>
      </c>
      <c r="AO7713" s="144"/>
      <c r="AP7713" s="148">
        <v>6048</v>
      </c>
      <c r="AQ7713" s="144"/>
      <c r="AR7713" s="120"/>
      <c r="AS7713" s="121"/>
      <c r="AT7713" s="120"/>
      <c r="AU7713" s="121"/>
      <c r="AV7713" s="120"/>
      <c r="AW7713" s="121"/>
      <c r="AX7713" s="120"/>
      <c r="AY7713" s="121"/>
      <c r="AZ7713" s="138"/>
    </row>
    <row r="7714" spans="1:52" ht="17.100000000000001" customHeight="1" thickTop="1">
      <c r="A7714" s="109" t="s">
        <v>21983</v>
      </c>
      <c r="B7714" s="28">
        <v>46114</v>
      </c>
      <c r="C7714" s="25">
        <v>2021</v>
      </c>
      <c r="D7714" s="13" t="s">
        <v>4121</v>
      </c>
      <c r="E7714" s="111"/>
      <c r="F7714" s="113" t="s">
        <v>22147</v>
      </c>
      <c r="G7714" s="114"/>
      <c r="H7714" s="115"/>
      <c r="I7714" s="24" t="s">
        <v>4193</v>
      </c>
      <c r="J7714" s="116">
        <v>4</v>
      </c>
      <c r="K7714" s="118">
        <v>783000</v>
      </c>
      <c r="L7714" s="119"/>
      <c r="M7714" s="118">
        <f t="shared" ref="M7714" si="11335">K7714*0.1</f>
        <v>78300</v>
      </c>
      <c r="N7714" s="119"/>
      <c r="O7714" s="118">
        <v>34760</v>
      </c>
      <c r="P7714" s="119"/>
      <c r="Q7714" s="118">
        <v>9130</v>
      </c>
      <c r="R7714" s="119"/>
      <c r="S7714" s="118">
        <v>22000</v>
      </c>
      <c r="T7714" s="119"/>
      <c r="U7714" s="118">
        <f t="shared" ref="U7714" si="11336">SUM(K7714:T7715)</f>
        <v>927190</v>
      </c>
      <c r="V7714" s="122"/>
      <c r="W7714" s="124"/>
      <c r="X7714" s="126" t="s">
        <v>22180</v>
      </c>
      <c r="Y7714" s="127"/>
      <c r="Z7714" s="127"/>
      <c r="AA7714" s="127"/>
      <c r="AB7714" s="128"/>
      <c r="AC7714" s="15" t="s">
        <v>20</v>
      </c>
      <c r="AD7714" s="129" t="s">
        <v>1670</v>
      </c>
      <c r="AE7714" s="130"/>
      <c r="AF7714" s="130"/>
      <c r="AG7714" s="130"/>
      <c r="AH7714" s="130"/>
      <c r="AI7714" s="131"/>
      <c r="AJ7714" s="132"/>
      <c r="AK7714" s="127"/>
      <c r="AL7714" s="128"/>
      <c r="AM7714" s="21"/>
      <c r="AN7714" s="133">
        <v>46120</v>
      </c>
      <c r="AO7714" s="134"/>
      <c r="AP7714" s="135">
        <v>1012</v>
      </c>
      <c r="AQ7714" s="136"/>
      <c r="AR7714" s="118">
        <v>870000</v>
      </c>
      <c r="AS7714" s="119"/>
      <c r="AT7714" s="118">
        <f t="shared" ref="AT7714" si="11337">AR7714*0.1</f>
        <v>87000</v>
      </c>
      <c r="AU7714" s="119"/>
      <c r="AV7714" s="118">
        <v>9130</v>
      </c>
      <c r="AW7714" s="119"/>
      <c r="AX7714" s="118">
        <f t="shared" ref="AX7714" si="11338">SUM(AR7714:AW7714)</f>
        <v>966130</v>
      </c>
      <c r="AY7714" s="119"/>
      <c r="AZ7714" s="137">
        <v>46125</v>
      </c>
    </row>
    <row r="7715" spans="1:52" ht="17.100000000000001" customHeight="1" thickBot="1">
      <c r="A7715" s="110"/>
      <c r="B7715" s="27" t="s">
        <v>2727</v>
      </c>
      <c r="C7715" s="27">
        <v>30041</v>
      </c>
      <c r="D7715" s="14" t="s">
        <v>1720</v>
      </c>
      <c r="E7715" s="112"/>
      <c r="F7715" s="139" t="s">
        <v>21995</v>
      </c>
      <c r="G7715" s="140"/>
      <c r="H7715" s="141"/>
      <c r="I7715" s="26">
        <v>42787</v>
      </c>
      <c r="J7715" s="117"/>
      <c r="K7715" s="120"/>
      <c r="L7715" s="121"/>
      <c r="M7715" s="120"/>
      <c r="N7715" s="121"/>
      <c r="O7715" s="120"/>
      <c r="P7715" s="121"/>
      <c r="Q7715" s="120"/>
      <c r="R7715" s="121"/>
      <c r="S7715" s="120"/>
      <c r="T7715" s="121"/>
      <c r="U7715" s="120"/>
      <c r="V7715" s="123"/>
      <c r="W7715" s="125"/>
      <c r="X7715" s="142" t="s">
        <v>7544</v>
      </c>
      <c r="Y7715" s="143"/>
      <c r="Z7715" s="143"/>
      <c r="AA7715" s="143"/>
      <c r="AB7715" s="144"/>
      <c r="AC7715" s="16" t="s">
        <v>21</v>
      </c>
      <c r="AD7715" s="17" t="s">
        <v>1825</v>
      </c>
      <c r="AE7715" s="145" t="s">
        <v>1670</v>
      </c>
      <c r="AF7715" s="146"/>
      <c r="AG7715" s="146"/>
      <c r="AH7715" s="146"/>
      <c r="AI7715" s="147"/>
      <c r="AJ7715" s="148"/>
      <c r="AK7715" s="143"/>
      <c r="AL7715" s="144"/>
      <c r="AM7715" s="22"/>
      <c r="AN7715" s="149" t="s">
        <v>2794</v>
      </c>
      <c r="AO7715" s="144"/>
      <c r="AP7715" s="148">
        <v>5059</v>
      </c>
      <c r="AQ7715" s="144"/>
      <c r="AR7715" s="120"/>
      <c r="AS7715" s="121"/>
      <c r="AT7715" s="120"/>
      <c r="AU7715" s="121"/>
      <c r="AV7715" s="120"/>
      <c r="AW7715" s="121"/>
      <c r="AX7715" s="120"/>
      <c r="AY7715" s="121"/>
      <c r="AZ7715" s="138"/>
    </row>
    <row r="7716" spans="1:52" ht="17.100000000000001" customHeight="1" thickTop="1">
      <c r="A7716" s="109" t="s">
        <v>21984</v>
      </c>
      <c r="B7716" s="28">
        <v>46114</v>
      </c>
      <c r="C7716" s="25">
        <v>2021</v>
      </c>
      <c r="D7716" s="13" t="s">
        <v>1825</v>
      </c>
      <c r="E7716" s="111"/>
      <c r="F7716" s="113" t="s">
        <v>22183</v>
      </c>
      <c r="G7716" s="114"/>
      <c r="H7716" s="115"/>
      <c r="I7716" s="24" t="s">
        <v>2956</v>
      </c>
      <c r="J7716" s="116">
        <v>4.5</v>
      </c>
      <c r="K7716" s="118">
        <v>1328000</v>
      </c>
      <c r="L7716" s="119"/>
      <c r="M7716" s="118">
        <f t="shared" ref="M7716" si="11339">K7716*0.1</f>
        <v>132800</v>
      </c>
      <c r="N7716" s="119"/>
      <c r="O7716" s="118">
        <v>25190</v>
      </c>
      <c r="P7716" s="119"/>
      <c r="Q7716" s="118">
        <v>9130</v>
      </c>
      <c r="R7716" s="119"/>
      <c r="S7716" s="118">
        <v>22000</v>
      </c>
      <c r="T7716" s="119"/>
      <c r="U7716" s="118">
        <f t="shared" ref="U7716" si="11340">SUM(K7716:T7717)</f>
        <v>1517120</v>
      </c>
      <c r="V7716" s="122"/>
      <c r="W7716" s="124"/>
      <c r="X7716" s="126" t="s">
        <v>22184</v>
      </c>
      <c r="Y7716" s="127"/>
      <c r="Z7716" s="127"/>
      <c r="AA7716" s="127"/>
      <c r="AB7716" s="128"/>
      <c r="AC7716" s="15" t="s">
        <v>20</v>
      </c>
      <c r="AD7716" s="129" t="s">
        <v>22185</v>
      </c>
      <c r="AE7716" s="130"/>
      <c r="AF7716" s="130"/>
      <c r="AG7716" s="130"/>
      <c r="AH7716" s="130"/>
      <c r="AI7716" s="131"/>
      <c r="AJ7716" s="132"/>
      <c r="AK7716" s="127"/>
      <c r="AL7716" s="128"/>
      <c r="AM7716" s="21"/>
      <c r="AN7716" s="133">
        <v>46120</v>
      </c>
      <c r="AO7716" s="134"/>
      <c r="AP7716" s="135">
        <v>1012</v>
      </c>
      <c r="AQ7716" s="136"/>
      <c r="AR7716" s="118">
        <v>1405000</v>
      </c>
      <c r="AS7716" s="119"/>
      <c r="AT7716" s="118">
        <f t="shared" ref="AT7716" si="11341">AR7716*0.1</f>
        <v>140500</v>
      </c>
      <c r="AU7716" s="119"/>
      <c r="AV7716" s="118">
        <v>9130</v>
      </c>
      <c r="AW7716" s="119"/>
      <c r="AX7716" s="118">
        <f t="shared" ref="AX7716" si="11342">SUM(AR7716:AW7716)</f>
        <v>1554630</v>
      </c>
      <c r="AY7716" s="119"/>
      <c r="AZ7716" s="137">
        <v>46126</v>
      </c>
    </row>
    <row r="7717" spans="1:52" ht="17.100000000000001" customHeight="1" thickBot="1">
      <c r="A7717" s="110"/>
      <c r="B7717" s="27" t="s">
        <v>2727</v>
      </c>
      <c r="C7717" s="27">
        <v>30219</v>
      </c>
      <c r="D7717" s="14" t="s">
        <v>2601</v>
      </c>
      <c r="E7717" s="112"/>
      <c r="F7717" s="139" t="s">
        <v>21996</v>
      </c>
      <c r="G7717" s="140"/>
      <c r="H7717" s="141"/>
      <c r="I7717" s="26">
        <v>39120</v>
      </c>
      <c r="J7717" s="117"/>
      <c r="K7717" s="120"/>
      <c r="L7717" s="121"/>
      <c r="M7717" s="120"/>
      <c r="N7717" s="121"/>
      <c r="O7717" s="120"/>
      <c r="P7717" s="121"/>
      <c r="Q7717" s="120"/>
      <c r="R7717" s="121"/>
      <c r="S7717" s="120"/>
      <c r="T7717" s="121"/>
      <c r="U7717" s="120"/>
      <c r="V7717" s="123"/>
      <c r="W7717" s="125"/>
      <c r="X7717" s="142" t="s">
        <v>22931</v>
      </c>
      <c r="Y7717" s="143"/>
      <c r="Z7717" s="143"/>
      <c r="AA7717" s="143"/>
      <c r="AB7717" s="144"/>
      <c r="AC7717" s="16" t="s">
        <v>21</v>
      </c>
      <c r="AD7717" s="17" t="s">
        <v>3461</v>
      </c>
      <c r="AE7717" s="145" t="s">
        <v>14443</v>
      </c>
      <c r="AF7717" s="146"/>
      <c r="AG7717" s="146"/>
      <c r="AH7717" s="146"/>
      <c r="AI7717" s="147"/>
      <c r="AJ7717" s="148"/>
      <c r="AK7717" s="143"/>
      <c r="AL7717" s="144"/>
      <c r="AM7717" s="22"/>
      <c r="AN7717" s="149" t="s">
        <v>2794</v>
      </c>
      <c r="AO7717" s="144"/>
      <c r="AP7717" s="148">
        <v>5079</v>
      </c>
      <c r="AQ7717" s="144"/>
      <c r="AR7717" s="120"/>
      <c r="AS7717" s="121"/>
      <c r="AT7717" s="120"/>
      <c r="AU7717" s="121"/>
      <c r="AV7717" s="120"/>
      <c r="AW7717" s="121"/>
      <c r="AX7717" s="120"/>
      <c r="AY7717" s="121"/>
      <c r="AZ7717" s="138"/>
    </row>
    <row r="7718" spans="1:52" ht="17.100000000000001" customHeight="1" thickTop="1">
      <c r="A7718" s="109" t="s">
        <v>21985</v>
      </c>
      <c r="B7718" s="28">
        <v>46114</v>
      </c>
      <c r="C7718" s="25">
        <v>2021</v>
      </c>
      <c r="D7718" s="13" t="s">
        <v>1902</v>
      </c>
      <c r="E7718" s="111"/>
      <c r="F7718" s="113" t="s">
        <v>22186</v>
      </c>
      <c r="G7718" s="114"/>
      <c r="H7718" s="115"/>
      <c r="I7718" s="24"/>
      <c r="J7718" s="116">
        <v>4</v>
      </c>
      <c r="K7718" s="118">
        <v>787000</v>
      </c>
      <c r="L7718" s="119"/>
      <c r="M7718" s="118">
        <v>0</v>
      </c>
      <c r="N7718" s="119"/>
      <c r="O7718" s="118">
        <v>0</v>
      </c>
      <c r="P7718" s="119"/>
      <c r="Q7718" s="118">
        <v>8510</v>
      </c>
      <c r="R7718" s="119"/>
      <c r="S7718" s="118">
        <v>22000</v>
      </c>
      <c r="T7718" s="119"/>
      <c r="U7718" s="118">
        <f t="shared" ref="U7718" si="11343">SUM(K7718:T7719)</f>
        <v>817510</v>
      </c>
      <c r="V7718" s="122"/>
      <c r="W7718" s="124"/>
      <c r="X7718" s="126" t="s">
        <v>22436</v>
      </c>
      <c r="Y7718" s="127"/>
      <c r="Z7718" s="127"/>
      <c r="AA7718" s="127"/>
      <c r="AB7718" s="128"/>
      <c r="AC7718" s="15" t="s">
        <v>20</v>
      </c>
      <c r="AD7718" s="129" t="s">
        <v>22187</v>
      </c>
      <c r="AE7718" s="130"/>
      <c r="AF7718" s="130"/>
      <c r="AG7718" s="130"/>
      <c r="AH7718" s="130"/>
      <c r="AI7718" s="131"/>
      <c r="AJ7718" s="132" t="s">
        <v>21998</v>
      </c>
      <c r="AK7718" s="127"/>
      <c r="AL7718" s="128"/>
      <c r="AM7718" s="21"/>
      <c r="AN7718" s="133">
        <v>46120</v>
      </c>
      <c r="AO7718" s="134"/>
      <c r="AP7718" s="135">
        <v>1012</v>
      </c>
      <c r="AQ7718" s="136"/>
      <c r="AR7718" s="118">
        <v>880000</v>
      </c>
      <c r="AS7718" s="119"/>
      <c r="AT7718" s="118">
        <f t="shared" ref="AT7718" si="11344">AR7718*0.1</f>
        <v>88000</v>
      </c>
      <c r="AU7718" s="119"/>
      <c r="AV7718" s="118">
        <v>8510</v>
      </c>
      <c r="AW7718" s="119"/>
      <c r="AX7718" s="118">
        <f t="shared" ref="AX7718" si="11345">SUM(AR7718:AW7718)</f>
        <v>976510</v>
      </c>
      <c r="AY7718" s="119"/>
      <c r="AZ7718" s="137">
        <v>46125</v>
      </c>
    </row>
    <row r="7719" spans="1:52" ht="17.100000000000001" customHeight="1" thickBot="1">
      <c r="A7719" s="110"/>
      <c r="B7719" s="27" t="s">
        <v>2727</v>
      </c>
      <c r="C7719" s="27">
        <v>50150</v>
      </c>
      <c r="D7719" s="14" t="s">
        <v>2601</v>
      </c>
      <c r="E7719" s="112"/>
      <c r="F7719" s="139" t="s">
        <v>21997</v>
      </c>
      <c r="G7719" s="140"/>
      <c r="H7719" s="141"/>
      <c r="I7719" s="26">
        <v>64062</v>
      </c>
      <c r="J7719" s="117"/>
      <c r="K7719" s="120"/>
      <c r="L7719" s="121"/>
      <c r="M7719" s="120"/>
      <c r="N7719" s="121"/>
      <c r="O7719" s="120"/>
      <c r="P7719" s="121"/>
      <c r="Q7719" s="120"/>
      <c r="R7719" s="121"/>
      <c r="S7719" s="120"/>
      <c r="T7719" s="121"/>
      <c r="U7719" s="120"/>
      <c r="V7719" s="123"/>
      <c r="W7719" s="125"/>
      <c r="X7719" s="142" t="s">
        <v>3986</v>
      </c>
      <c r="Y7719" s="143"/>
      <c r="Z7719" s="143"/>
      <c r="AA7719" s="143"/>
      <c r="AB7719" s="144"/>
      <c r="AC7719" s="16" t="s">
        <v>21</v>
      </c>
      <c r="AD7719" s="17" t="s">
        <v>1825</v>
      </c>
      <c r="AE7719" s="145" t="s">
        <v>22437</v>
      </c>
      <c r="AF7719" s="146"/>
      <c r="AG7719" s="146"/>
      <c r="AH7719" s="146"/>
      <c r="AI7719" s="147"/>
      <c r="AJ7719" s="148"/>
      <c r="AK7719" s="143"/>
      <c r="AL7719" s="144"/>
      <c r="AM7719" s="22"/>
      <c r="AN7719" s="149" t="s">
        <v>2794</v>
      </c>
      <c r="AO7719" s="144"/>
      <c r="AP7719" s="148">
        <v>5084</v>
      </c>
      <c r="AQ7719" s="144"/>
      <c r="AR7719" s="120"/>
      <c r="AS7719" s="121"/>
      <c r="AT7719" s="120"/>
      <c r="AU7719" s="121"/>
      <c r="AV7719" s="120"/>
      <c r="AW7719" s="121"/>
      <c r="AX7719" s="120"/>
      <c r="AY7719" s="121"/>
      <c r="AZ7719" s="138"/>
    </row>
    <row r="7720" spans="1:52" ht="17.100000000000001" customHeight="1" thickTop="1">
      <c r="A7720" s="109" t="s">
        <v>21986</v>
      </c>
      <c r="B7720" s="28">
        <v>46114</v>
      </c>
      <c r="C7720" s="25">
        <v>2021</v>
      </c>
      <c r="D7720" s="13" t="s">
        <v>3550</v>
      </c>
      <c r="E7720" s="111"/>
      <c r="F7720" s="113" t="s">
        <v>15531</v>
      </c>
      <c r="G7720" s="114"/>
      <c r="H7720" s="115"/>
      <c r="I7720" s="24"/>
      <c r="J7720" s="116">
        <v>4.5</v>
      </c>
      <c r="K7720" s="118">
        <v>584000</v>
      </c>
      <c r="L7720" s="119"/>
      <c r="M7720" s="118">
        <f t="shared" ref="M7720" si="11346">K7720*0.1</f>
        <v>58400</v>
      </c>
      <c r="N7720" s="119"/>
      <c r="O7720" s="118">
        <v>0</v>
      </c>
      <c r="P7720" s="119"/>
      <c r="Q7720" s="118">
        <v>6470</v>
      </c>
      <c r="R7720" s="119"/>
      <c r="S7720" s="118">
        <v>22000</v>
      </c>
      <c r="T7720" s="119"/>
      <c r="U7720" s="118">
        <f t="shared" ref="U7720" si="11347">SUM(K7720:T7721)</f>
        <v>670870</v>
      </c>
      <c r="V7720" s="122"/>
      <c r="W7720" s="124"/>
      <c r="X7720" s="126" t="s">
        <v>22500</v>
      </c>
      <c r="Y7720" s="127"/>
      <c r="Z7720" s="127"/>
      <c r="AA7720" s="127"/>
      <c r="AB7720" s="128"/>
      <c r="AC7720" s="15" t="s">
        <v>20</v>
      </c>
      <c r="AD7720" s="129"/>
      <c r="AE7720" s="130"/>
      <c r="AF7720" s="130"/>
      <c r="AG7720" s="130"/>
      <c r="AH7720" s="130"/>
      <c r="AI7720" s="131"/>
      <c r="AJ7720" s="132"/>
      <c r="AK7720" s="127"/>
      <c r="AL7720" s="128"/>
      <c r="AM7720" s="21"/>
      <c r="AN7720" s="133">
        <v>46134</v>
      </c>
      <c r="AO7720" s="134"/>
      <c r="AP7720" s="135">
        <v>1014</v>
      </c>
      <c r="AQ7720" s="136"/>
      <c r="AR7720" s="118">
        <v>590000</v>
      </c>
      <c r="AS7720" s="119"/>
      <c r="AT7720" s="118">
        <f t="shared" ref="AT7720" si="11348">AR7720*0.1</f>
        <v>59000</v>
      </c>
      <c r="AU7720" s="119"/>
      <c r="AV7720" s="118">
        <v>6470</v>
      </c>
      <c r="AW7720" s="119"/>
      <c r="AX7720" s="118">
        <f t="shared" ref="AX7720" si="11349">SUM(AR7720:AW7720)</f>
        <v>655470</v>
      </c>
      <c r="AY7720" s="119"/>
      <c r="AZ7720" s="137">
        <v>46139</v>
      </c>
    </row>
    <row r="7721" spans="1:52" ht="17.100000000000001" customHeight="1" thickBot="1">
      <c r="A7721" s="110"/>
      <c r="B7721" s="27" t="s">
        <v>2727</v>
      </c>
      <c r="C7721" s="27">
        <v>50211</v>
      </c>
      <c r="D7721" s="14" t="s">
        <v>1592</v>
      </c>
      <c r="E7721" s="112"/>
      <c r="F7721" s="139" t="s">
        <v>21999</v>
      </c>
      <c r="G7721" s="140"/>
      <c r="H7721" s="141"/>
      <c r="I7721" s="26">
        <v>35092</v>
      </c>
      <c r="J7721" s="117"/>
      <c r="K7721" s="120"/>
      <c r="L7721" s="121"/>
      <c r="M7721" s="120"/>
      <c r="N7721" s="121"/>
      <c r="O7721" s="120"/>
      <c r="P7721" s="121"/>
      <c r="Q7721" s="120"/>
      <c r="R7721" s="121"/>
      <c r="S7721" s="120"/>
      <c r="T7721" s="121"/>
      <c r="U7721" s="120"/>
      <c r="V7721" s="123"/>
      <c r="W7721" s="125"/>
      <c r="X7721" s="142" t="s">
        <v>3986</v>
      </c>
      <c r="Y7721" s="143"/>
      <c r="Z7721" s="143"/>
      <c r="AA7721" s="143"/>
      <c r="AB7721" s="144"/>
      <c r="AC7721" s="16" t="s">
        <v>21</v>
      </c>
      <c r="AD7721" s="17" t="s">
        <v>1825</v>
      </c>
      <c r="AE7721" s="145"/>
      <c r="AF7721" s="146"/>
      <c r="AG7721" s="146"/>
      <c r="AH7721" s="146"/>
      <c r="AI7721" s="147"/>
      <c r="AJ7721" s="148"/>
      <c r="AK7721" s="143"/>
      <c r="AL7721" s="144"/>
      <c r="AM7721" s="22"/>
      <c r="AN7721" s="149" t="s">
        <v>23987</v>
      </c>
      <c r="AO7721" s="144"/>
      <c r="AP7721" s="148">
        <v>5084</v>
      </c>
      <c r="AQ7721" s="144"/>
      <c r="AR7721" s="120"/>
      <c r="AS7721" s="121"/>
      <c r="AT7721" s="120"/>
      <c r="AU7721" s="121"/>
      <c r="AV7721" s="120"/>
      <c r="AW7721" s="121"/>
      <c r="AX7721" s="120"/>
      <c r="AY7721" s="121"/>
      <c r="AZ7721" s="138"/>
    </row>
    <row r="7722" spans="1:52" ht="17.100000000000001" customHeight="1" thickTop="1">
      <c r="A7722" s="109" t="s">
        <v>21987</v>
      </c>
      <c r="B7722" s="28">
        <v>46114</v>
      </c>
      <c r="C7722" s="25">
        <v>2021</v>
      </c>
      <c r="D7722" s="13" t="s">
        <v>1920</v>
      </c>
      <c r="E7722" s="111"/>
      <c r="F7722" s="113" t="s">
        <v>22188</v>
      </c>
      <c r="G7722" s="114"/>
      <c r="H7722" s="115"/>
      <c r="I7722" s="24" t="s">
        <v>22190</v>
      </c>
      <c r="J7722" s="116">
        <v>4</v>
      </c>
      <c r="K7722" s="118">
        <v>698000</v>
      </c>
      <c r="L7722" s="119"/>
      <c r="M7722" s="118">
        <f t="shared" ref="M7722" si="11350">K7722*0.1</f>
        <v>69800</v>
      </c>
      <c r="N7722" s="119"/>
      <c r="O7722" s="118">
        <v>0</v>
      </c>
      <c r="P7722" s="119"/>
      <c r="Q7722" s="118">
        <v>8400</v>
      </c>
      <c r="R7722" s="119"/>
      <c r="S7722" s="118">
        <v>22000</v>
      </c>
      <c r="T7722" s="119"/>
      <c r="U7722" s="118">
        <f t="shared" ref="U7722" si="11351">SUM(K7722:T7723)</f>
        <v>798200</v>
      </c>
      <c r="V7722" s="122"/>
      <c r="W7722" s="124"/>
      <c r="X7722" s="126" t="s">
        <v>22189</v>
      </c>
      <c r="Y7722" s="127"/>
      <c r="Z7722" s="127"/>
      <c r="AA7722" s="127"/>
      <c r="AB7722" s="128"/>
      <c r="AC7722" s="15" t="s">
        <v>20</v>
      </c>
      <c r="AD7722" s="129"/>
      <c r="AE7722" s="130"/>
      <c r="AF7722" s="130"/>
      <c r="AG7722" s="130"/>
      <c r="AH7722" s="130"/>
      <c r="AI7722" s="131"/>
      <c r="AJ7722" s="132"/>
      <c r="AK7722" s="127"/>
      <c r="AL7722" s="128"/>
      <c r="AM7722" s="21"/>
      <c r="AN7722" s="133">
        <v>46127</v>
      </c>
      <c r="AO7722" s="134"/>
      <c r="AP7722" s="135">
        <v>1013</v>
      </c>
      <c r="AQ7722" s="136"/>
      <c r="AR7722" s="118">
        <v>755000</v>
      </c>
      <c r="AS7722" s="119"/>
      <c r="AT7722" s="118">
        <f t="shared" ref="AT7722" si="11352">AR7722*0.1</f>
        <v>75500</v>
      </c>
      <c r="AU7722" s="119"/>
      <c r="AV7722" s="118">
        <v>8400</v>
      </c>
      <c r="AW7722" s="119"/>
      <c r="AX7722" s="118">
        <f t="shared" ref="AX7722" si="11353">SUM(AR7722:AW7722)</f>
        <v>838900</v>
      </c>
      <c r="AY7722" s="119"/>
      <c r="AZ7722" s="137">
        <v>46132</v>
      </c>
    </row>
    <row r="7723" spans="1:52" ht="17.100000000000001" customHeight="1" thickBot="1">
      <c r="A7723" s="110"/>
      <c r="B7723" s="27" t="s">
        <v>2727</v>
      </c>
      <c r="C7723" s="27">
        <v>50228</v>
      </c>
      <c r="D7723" s="14" t="s">
        <v>904</v>
      </c>
      <c r="E7723" s="112"/>
      <c r="F7723" s="139" t="s">
        <v>22000</v>
      </c>
      <c r="G7723" s="140"/>
      <c r="H7723" s="141"/>
      <c r="I7723" s="26">
        <v>45481</v>
      </c>
      <c r="J7723" s="117"/>
      <c r="K7723" s="120"/>
      <c r="L7723" s="121"/>
      <c r="M7723" s="120"/>
      <c r="N7723" s="121"/>
      <c r="O7723" s="120"/>
      <c r="P7723" s="121"/>
      <c r="Q7723" s="120"/>
      <c r="R7723" s="121"/>
      <c r="S7723" s="120"/>
      <c r="T7723" s="121"/>
      <c r="U7723" s="120"/>
      <c r="V7723" s="123"/>
      <c r="W7723" s="125"/>
      <c r="X7723" s="142" t="s">
        <v>22503</v>
      </c>
      <c r="Y7723" s="143"/>
      <c r="Z7723" s="143"/>
      <c r="AA7723" s="143"/>
      <c r="AB7723" s="144"/>
      <c r="AC7723" s="16" t="s">
        <v>21</v>
      </c>
      <c r="AD7723" s="17" t="s">
        <v>1825</v>
      </c>
      <c r="AE7723" s="145"/>
      <c r="AF7723" s="146"/>
      <c r="AG7723" s="146"/>
      <c r="AH7723" s="146"/>
      <c r="AI7723" s="147"/>
      <c r="AJ7723" s="148"/>
      <c r="AK7723" s="143"/>
      <c r="AL7723" s="144"/>
      <c r="AM7723" s="22"/>
      <c r="AN7723" s="149" t="s">
        <v>2794</v>
      </c>
      <c r="AO7723" s="144"/>
      <c r="AP7723" s="148">
        <v>2042</v>
      </c>
      <c r="AQ7723" s="144"/>
      <c r="AR7723" s="120"/>
      <c r="AS7723" s="121"/>
      <c r="AT7723" s="120"/>
      <c r="AU7723" s="121"/>
      <c r="AV7723" s="120"/>
      <c r="AW7723" s="121"/>
      <c r="AX7723" s="120"/>
      <c r="AY7723" s="121"/>
      <c r="AZ7723" s="138"/>
    </row>
    <row r="7724" spans="1:52" ht="17.100000000000001" customHeight="1" thickTop="1">
      <c r="A7724" s="109" t="s">
        <v>21988</v>
      </c>
      <c r="B7724" s="28">
        <v>46114</v>
      </c>
      <c r="C7724" s="25">
        <v>2021</v>
      </c>
      <c r="D7724" s="13" t="s">
        <v>2838</v>
      </c>
      <c r="E7724" s="111"/>
      <c r="F7724" s="113" t="s">
        <v>22191</v>
      </c>
      <c r="G7724" s="114"/>
      <c r="H7724" s="115"/>
      <c r="I7724" s="24"/>
      <c r="J7724" s="116">
        <v>4</v>
      </c>
      <c r="K7724" s="118">
        <v>1350000</v>
      </c>
      <c r="L7724" s="119"/>
      <c r="M7724" s="118">
        <f t="shared" ref="M7724" si="11354">K7724*0.1</f>
        <v>135000</v>
      </c>
      <c r="N7724" s="119"/>
      <c r="O7724" s="118">
        <v>0</v>
      </c>
      <c r="P7724" s="119"/>
      <c r="Q7724" s="118">
        <v>6960</v>
      </c>
      <c r="R7724" s="119"/>
      <c r="S7724" s="118">
        <v>22000</v>
      </c>
      <c r="T7724" s="119"/>
      <c r="U7724" s="118">
        <f t="shared" ref="U7724" si="11355">SUM(K7724:T7725)</f>
        <v>1513960</v>
      </c>
      <c r="V7724" s="122"/>
      <c r="W7724" s="124"/>
      <c r="X7724" s="126" t="s">
        <v>22438</v>
      </c>
      <c r="Y7724" s="127"/>
      <c r="Z7724" s="127"/>
      <c r="AA7724" s="127"/>
      <c r="AB7724" s="128"/>
      <c r="AC7724" s="15" t="s">
        <v>20</v>
      </c>
      <c r="AD7724" s="129" t="s">
        <v>22192</v>
      </c>
      <c r="AE7724" s="130"/>
      <c r="AF7724" s="130"/>
      <c r="AG7724" s="130"/>
      <c r="AH7724" s="130"/>
      <c r="AI7724" s="131"/>
      <c r="AJ7724" s="132"/>
      <c r="AK7724" s="127"/>
      <c r="AL7724" s="128"/>
      <c r="AM7724" s="21"/>
      <c r="AN7724" s="133">
        <v>46120</v>
      </c>
      <c r="AO7724" s="134"/>
      <c r="AP7724" s="135">
        <v>1012</v>
      </c>
      <c r="AQ7724" s="136"/>
      <c r="AR7724" s="118">
        <v>1380000</v>
      </c>
      <c r="AS7724" s="119"/>
      <c r="AT7724" s="118">
        <f t="shared" ref="AT7724" si="11356">AR7724*0.1</f>
        <v>138000</v>
      </c>
      <c r="AU7724" s="119"/>
      <c r="AV7724" s="118">
        <v>6960</v>
      </c>
      <c r="AW7724" s="119"/>
      <c r="AX7724" s="118">
        <f t="shared" ref="AX7724" si="11357">SUM(AR7724:AW7724)</f>
        <v>1524960</v>
      </c>
      <c r="AY7724" s="119"/>
      <c r="AZ7724" s="137">
        <v>46125</v>
      </c>
    </row>
    <row r="7725" spans="1:52" ht="17.100000000000001" customHeight="1" thickBot="1">
      <c r="A7725" s="110"/>
      <c r="B7725" s="27" t="s">
        <v>2727</v>
      </c>
      <c r="C7725" s="27">
        <v>50230</v>
      </c>
      <c r="D7725" s="14" t="s">
        <v>2601</v>
      </c>
      <c r="E7725" s="112"/>
      <c r="F7725" s="139" t="s">
        <v>22001</v>
      </c>
      <c r="G7725" s="140"/>
      <c r="H7725" s="141"/>
      <c r="I7725" s="26">
        <v>13794</v>
      </c>
      <c r="J7725" s="117"/>
      <c r="K7725" s="120"/>
      <c r="L7725" s="121"/>
      <c r="M7725" s="120"/>
      <c r="N7725" s="121"/>
      <c r="O7725" s="120"/>
      <c r="P7725" s="121"/>
      <c r="Q7725" s="120"/>
      <c r="R7725" s="121"/>
      <c r="S7725" s="120"/>
      <c r="T7725" s="121"/>
      <c r="U7725" s="120"/>
      <c r="V7725" s="123"/>
      <c r="W7725" s="125"/>
      <c r="X7725" s="142" t="s">
        <v>7096</v>
      </c>
      <c r="Y7725" s="143"/>
      <c r="Z7725" s="143"/>
      <c r="AA7725" s="143"/>
      <c r="AB7725" s="144"/>
      <c r="AC7725" s="16" t="s">
        <v>21</v>
      </c>
      <c r="AD7725" s="17" t="s">
        <v>1825</v>
      </c>
      <c r="AE7725" s="145" t="s">
        <v>17640</v>
      </c>
      <c r="AF7725" s="146"/>
      <c r="AG7725" s="146"/>
      <c r="AH7725" s="146"/>
      <c r="AI7725" s="147"/>
      <c r="AJ7725" s="148"/>
      <c r="AK7725" s="143"/>
      <c r="AL7725" s="144"/>
      <c r="AM7725" s="22"/>
      <c r="AN7725" s="149" t="s">
        <v>2794</v>
      </c>
      <c r="AO7725" s="144"/>
      <c r="AP7725" s="148">
        <v>5075</v>
      </c>
      <c r="AQ7725" s="144"/>
      <c r="AR7725" s="120"/>
      <c r="AS7725" s="121"/>
      <c r="AT7725" s="120"/>
      <c r="AU7725" s="121"/>
      <c r="AV7725" s="120"/>
      <c r="AW7725" s="121"/>
      <c r="AX7725" s="120"/>
      <c r="AY7725" s="121"/>
      <c r="AZ7725" s="138"/>
    </row>
    <row r="7726" spans="1:52" ht="17.100000000000001" customHeight="1" thickTop="1">
      <c r="A7726" s="109" t="s">
        <v>21989</v>
      </c>
      <c r="B7726" s="28">
        <v>46114</v>
      </c>
      <c r="C7726" s="25">
        <v>2021</v>
      </c>
      <c r="D7726" s="13" t="s">
        <v>4004</v>
      </c>
      <c r="E7726" s="111"/>
      <c r="F7726" s="113" t="s">
        <v>15571</v>
      </c>
      <c r="G7726" s="114"/>
      <c r="H7726" s="115"/>
      <c r="I7726" s="24"/>
      <c r="J7726" s="150" t="s">
        <v>12208</v>
      </c>
      <c r="K7726" s="118">
        <v>389000</v>
      </c>
      <c r="L7726" s="119"/>
      <c r="M7726" s="118">
        <f t="shared" ref="M7726" si="11358">K7726*0.1</f>
        <v>38900</v>
      </c>
      <c r="N7726" s="119"/>
      <c r="O7726" s="118">
        <v>0</v>
      </c>
      <c r="P7726" s="119"/>
      <c r="Q7726" s="118">
        <v>8850</v>
      </c>
      <c r="R7726" s="119"/>
      <c r="S7726" s="118">
        <v>22000</v>
      </c>
      <c r="T7726" s="119"/>
      <c r="U7726" s="118">
        <f t="shared" ref="U7726" si="11359">SUM(K7726:T7727)</f>
        <v>458750</v>
      </c>
      <c r="V7726" s="122"/>
      <c r="W7726" s="124"/>
      <c r="X7726" s="126" t="s">
        <v>22502</v>
      </c>
      <c r="Y7726" s="127"/>
      <c r="Z7726" s="127"/>
      <c r="AA7726" s="127"/>
      <c r="AB7726" s="128"/>
      <c r="AC7726" s="15" t="s">
        <v>20</v>
      </c>
      <c r="AD7726" s="129"/>
      <c r="AE7726" s="130"/>
      <c r="AF7726" s="130"/>
      <c r="AG7726" s="130"/>
      <c r="AH7726" s="130"/>
      <c r="AI7726" s="131"/>
      <c r="AJ7726" s="132"/>
      <c r="AK7726" s="127"/>
      <c r="AL7726" s="128"/>
      <c r="AM7726" s="21"/>
      <c r="AN7726" s="133">
        <v>46141</v>
      </c>
      <c r="AO7726" s="134"/>
      <c r="AP7726" s="135">
        <v>1015</v>
      </c>
      <c r="AQ7726" s="136"/>
      <c r="AR7726" s="118">
        <v>450000</v>
      </c>
      <c r="AS7726" s="119"/>
      <c r="AT7726" s="118">
        <f t="shared" ref="AT7726" si="11360">AR7726*0.1</f>
        <v>45000</v>
      </c>
      <c r="AU7726" s="119"/>
      <c r="AV7726" s="118">
        <v>8850</v>
      </c>
      <c r="AW7726" s="119"/>
      <c r="AX7726" s="118">
        <f t="shared" ref="AX7726" si="11361">SUM(AR7726:AW7726)</f>
        <v>503850</v>
      </c>
      <c r="AY7726" s="119"/>
      <c r="AZ7726" s="137">
        <v>46153</v>
      </c>
    </row>
    <row r="7727" spans="1:52" ht="17.100000000000001" customHeight="1" thickBot="1">
      <c r="A7727" s="110"/>
      <c r="B7727" s="27" t="s">
        <v>2727</v>
      </c>
      <c r="C7727" s="27">
        <v>50236</v>
      </c>
      <c r="D7727" s="14" t="s">
        <v>1720</v>
      </c>
      <c r="E7727" s="112"/>
      <c r="F7727" s="139" t="s">
        <v>22002</v>
      </c>
      <c r="G7727" s="140"/>
      <c r="H7727" s="141"/>
      <c r="I7727" s="26">
        <v>55537</v>
      </c>
      <c r="J7727" s="117"/>
      <c r="K7727" s="120"/>
      <c r="L7727" s="121"/>
      <c r="M7727" s="120"/>
      <c r="N7727" s="121"/>
      <c r="O7727" s="120"/>
      <c r="P7727" s="121"/>
      <c r="Q7727" s="120"/>
      <c r="R7727" s="121"/>
      <c r="S7727" s="120"/>
      <c r="T7727" s="121"/>
      <c r="U7727" s="120"/>
      <c r="V7727" s="123"/>
      <c r="W7727" s="125"/>
      <c r="X7727" s="142" t="s">
        <v>2659</v>
      </c>
      <c r="Y7727" s="143"/>
      <c r="Z7727" s="143"/>
      <c r="AA7727" s="143"/>
      <c r="AB7727" s="144"/>
      <c r="AC7727" s="16" t="s">
        <v>21</v>
      </c>
      <c r="AD7727" s="17" t="s">
        <v>1825</v>
      </c>
      <c r="AE7727" s="145"/>
      <c r="AF7727" s="146"/>
      <c r="AG7727" s="146"/>
      <c r="AH7727" s="146"/>
      <c r="AI7727" s="147"/>
      <c r="AJ7727" s="148"/>
      <c r="AK7727" s="143"/>
      <c r="AL7727" s="144"/>
      <c r="AM7727" s="22"/>
      <c r="AN7727" s="149" t="s">
        <v>2794</v>
      </c>
      <c r="AO7727" s="144"/>
      <c r="AP7727" s="148">
        <v>2059</v>
      </c>
      <c r="AQ7727" s="144"/>
      <c r="AR7727" s="120"/>
      <c r="AS7727" s="121"/>
      <c r="AT7727" s="120"/>
      <c r="AU7727" s="121"/>
      <c r="AV7727" s="120"/>
      <c r="AW7727" s="121"/>
      <c r="AX7727" s="120"/>
      <c r="AY7727" s="121"/>
      <c r="AZ7727" s="138"/>
    </row>
    <row r="7728" spans="1:52" ht="17.100000000000001" customHeight="1" thickTop="1">
      <c r="A7728" s="109" t="s">
        <v>21990</v>
      </c>
      <c r="B7728" s="28">
        <v>46114</v>
      </c>
      <c r="C7728" s="25">
        <v>2021</v>
      </c>
      <c r="D7728" s="13" t="s">
        <v>2009</v>
      </c>
      <c r="E7728" s="111"/>
      <c r="F7728" s="113" t="s">
        <v>22181</v>
      </c>
      <c r="G7728" s="114"/>
      <c r="H7728" s="115"/>
      <c r="I7728" s="24" t="s">
        <v>2064</v>
      </c>
      <c r="J7728" s="116">
        <v>4.5</v>
      </c>
      <c r="K7728" s="118">
        <v>2278000</v>
      </c>
      <c r="L7728" s="119"/>
      <c r="M7728" s="118">
        <f t="shared" ref="M7728" si="11362">K7728*0.1</f>
        <v>227800</v>
      </c>
      <c r="N7728" s="119"/>
      <c r="O7728" s="118">
        <v>19580</v>
      </c>
      <c r="P7728" s="119"/>
      <c r="Q7728" s="118">
        <v>11570</v>
      </c>
      <c r="R7728" s="119"/>
      <c r="S7728" s="118">
        <v>22000</v>
      </c>
      <c r="T7728" s="119"/>
      <c r="U7728" s="118">
        <f t="shared" ref="U7728" si="11363">SUM(K7728:T7729)</f>
        <v>2558950</v>
      </c>
      <c r="V7728" s="122"/>
      <c r="W7728" s="124"/>
      <c r="X7728" s="126" t="s">
        <v>22182</v>
      </c>
      <c r="Y7728" s="127"/>
      <c r="Z7728" s="127"/>
      <c r="AA7728" s="127"/>
      <c r="AB7728" s="128"/>
      <c r="AC7728" s="15" t="s">
        <v>20</v>
      </c>
      <c r="AD7728" s="129" t="s">
        <v>3828</v>
      </c>
      <c r="AE7728" s="130"/>
      <c r="AF7728" s="130"/>
      <c r="AG7728" s="130"/>
      <c r="AH7728" s="130"/>
      <c r="AI7728" s="131"/>
      <c r="AJ7728" s="132"/>
      <c r="AK7728" s="127"/>
      <c r="AL7728" s="128"/>
      <c r="AM7728" s="21"/>
      <c r="AN7728" s="133">
        <v>46127</v>
      </c>
      <c r="AO7728" s="134"/>
      <c r="AP7728" s="135">
        <v>1013</v>
      </c>
      <c r="AQ7728" s="136"/>
      <c r="AR7728" s="118">
        <v>2515000</v>
      </c>
      <c r="AS7728" s="119"/>
      <c r="AT7728" s="118">
        <f t="shared" ref="AT7728" si="11364">AR7728*0.1</f>
        <v>251500</v>
      </c>
      <c r="AU7728" s="119"/>
      <c r="AV7728" s="118">
        <v>11570</v>
      </c>
      <c r="AW7728" s="119"/>
      <c r="AX7728" s="118">
        <f t="shared" ref="AX7728" si="11365">SUM(AR7728:AW7728)</f>
        <v>2778070</v>
      </c>
      <c r="AY7728" s="119"/>
      <c r="AZ7728" s="137">
        <v>46132</v>
      </c>
    </row>
    <row r="7729" spans="1:52" ht="17.100000000000001" customHeight="1" thickBot="1">
      <c r="A7729" s="110"/>
      <c r="B7729" s="27" t="s">
        <v>2727</v>
      </c>
      <c r="C7729" s="27">
        <v>30062</v>
      </c>
      <c r="D7729" s="14" t="s">
        <v>1720</v>
      </c>
      <c r="E7729" s="112"/>
      <c r="F7729" s="139" t="s">
        <v>22003</v>
      </c>
      <c r="G7729" s="140"/>
      <c r="H7729" s="141"/>
      <c r="I7729" s="26">
        <v>8052</v>
      </c>
      <c r="J7729" s="117"/>
      <c r="K7729" s="120"/>
      <c r="L7729" s="121"/>
      <c r="M7729" s="120"/>
      <c r="N7729" s="121"/>
      <c r="O7729" s="120"/>
      <c r="P7729" s="121"/>
      <c r="Q7729" s="120"/>
      <c r="R7729" s="121"/>
      <c r="S7729" s="120"/>
      <c r="T7729" s="121"/>
      <c r="U7729" s="120"/>
      <c r="V7729" s="123"/>
      <c r="W7729" s="125"/>
      <c r="X7729" s="142" t="s">
        <v>7544</v>
      </c>
      <c r="Y7729" s="143"/>
      <c r="Z7729" s="143"/>
      <c r="AA7729" s="143"/>
      <c r="AB7729" s="144"/>
      <c r="AC7729" s="16" t="s">
        <v>21</v>
      </c>
      <c r="AD7729" s="17" t="s">
        <v>1825</v>
      </c>
      <c r="AE7729" s="145" t="s">
        <v>22498</v>
      </c>
      <c r="AF7729" s="146"/>
      <c r="AG7729" s="146"/>
      <c r="AH7729" s="146"/>
      <c r="AI7729" s="147"/>
      <c r="AJ7729" s="148" t="s">
        <v>13456</v>
      </c>
      <c r="AK7729" s="143"/>
      <c r="AL7729" s="144"/>
      <c r="AM7729" s="22"/>
      <c r="AN7729" s="149" t="s">
        <v>2794</v>
      </c>
      <c r="AO7729" s="144"/>
      <c r="AP7729" s="148">
        <v>80005</v>
      </c>
      <c r="AQ7729" s="144"/>
      <c r="AR7729" s="120"/>
      <c r="AS7729" s="121"/>
      <c r="AT7729" s="120"/>
      <c r="AU7729" s="121"/>
      <c r="AV7729" s="120"/>
      <c r="AW7729" s="121"/>
      <c r="AX7729" s="120"/>
      <c r="AY7729" s="121"/>
      <c r="AZ7729" s="138"/>
    </row>
    <row r="7730" spans="1:52" ht="17.100000000000001" customHeight="1" thickTop="1">
      <c r="A7730" s="109" t="s">
        <v>21991</v>
      </c>
      <c r="B7730" s="28">
        <v>46114</v>
      </c>
      <c r="C7730" s="25">
        <v>1560</v>
      </c>
      <c r="D7730" s="13" t="s">
        <v>1986</v>
      </c>
      <c r="E7730" s="111"/>
      <c r="F7730" s="113" t="s">
        <v>20384</v>
      </c>
      <c r="G7730" s="114"/>
      <c r="H7730" s="115"/>
      <c r="I7730" s="24"/>
      <c r="J7730" s="116">
        <v>3.5</v>
      </c>
      <c r="K7730" s="118">
        <v>1210000</v>
      </c>
      <c r="L7730" s="119"/>
      <c r="M7730" s="118">
        <f t="shared" ref="M7730" si="11366">K7730*0.1</f>
        <v>121000</v>
      </c>
      <c r="N7730" s="119"/>
      <c r="O7730" s="118">
        <v>0</v>
      </c>
      <c r="P7730" s="119"/>
      <c r="Q7730" s="118">
        <v>19090</v>
      </c>
      <c r="R7730" s="119"/>
      <c r="S7730" s="118">
        <v>16500</v>
      </c>
      <c r="T7730" s="119"/>
      <c r="U7730" s="118">
        <f t="shared" ref="U7730" si="11367">SUM(K7730:T7731)</f>
        <v>1366590</v>
      </c>
      <c r="V7730" s="122"/>
      <c r="W7730" s="124"/>
      <c r="X7730" s="126" t="s">
        <v>22467</v>
      </c>
      <c r="Y7730" s="127"/>
      <c r="Z7730" s="127"/>
      <c r="AA7730" s="127"/>
      <c r="AB7730" s="128"/>
      <c r="AC7730" s="15" t="s">
        <v>20</v>
      </c>
      <c r="AD7730" s="129" t="s">
        <v>4435</v>
      </c>
      <c r="AE7730" s="130"/>
      <c r="AF7730" s="130"/>
      <c r="AG7730" s="130"/>
      <c r="AH7730" s="130"/>
      <c r="AI7730" s="131"/>
      <c r="AJ7730" s="132"/>
      <c r="AK7730" s="127"/>
      <c r="AL7730" s="128"/>
      <c r="AM7730" s="21"/>
      <c r="AN7730" s="133"/>
      <c r="AO7730" s="134"/>
      <c r="AP7730" s="135"/>
      <c r="AQ7730" s="136"/>
      <c r="AR7730" s="118"/>
      <c r="AS7730" s="119"/>
      <c r="AT7730" s="118">
        <f t="shared" ref="AT7730" si="11368">AR7730*0.1</f>
        <v>0</v>
      </c>
      <c r="AU7730" s="119"/>
      <c r="AV7730" s="118"/>
      <c r="AW7730" s="119"/>
      <c r="AX7730" s="118">
        <f t="shared" ref="AX7730" si="11369">SUM(AR7730:AW7730)</f>
        <v>0</v>
      </c>
      <c r="AY7730" s="119"/>
      <c r="AZ7730" s="137"/>
    </row>
    <row r="7731" spans="1:52" ht="17.100000000000001" customHeight="1" thickBot="1">
      <c r="A7731" s="110"/>
      <c r="B7731" s="27" t="s">
        <v>1600</v>
      </c>
      <c r="C7731" s="27">
        <v>79181</v>
      </c>
      <c r="D7731" s="14" t="s">
        <v>1556</v>
      </c>
      <c r="E7731" s="112"/>
      <c r="F7731" s="139" t="s">
        <v>22171</v>
      </c>
      <c r="G7731" s="140"/>
      <c r="H7731" s="141"/>
      <c r="I7731" s="26">
        <v>43137</v>
      </c>
      <c r="J7731" s="117"/>
      <c r="K7731" s="120"/>
      <c r="L7731" s="121"/>
      <c r="M7731" s="120"/>
      <c r="N7731" s="121"/>
      <c r="O7731" s="120"/>
      <c r="P7731" s="121"/>
      <c r="Q7731" s="120"/>
      <c r="R7731" s="121"/>
      <c r="S7731" s="120"/>
      <c r="T7731" s="121"/>
      <c r="U7731" s="120"/>
      <c r="V7731" s="123"/>
      <c r="W7731" s="125"/>
      <c r="X7731" s="142" t="s">
        <v>1997</v>
      </c>
      <c r="Y7731" s="143"/>
      <c r="Z7731" s="143"/>
      <c r="AA7731" s="143"/>
      <c r="AB7731" s="144"/>
      <c r="AC7731" s="16" t="s">
        <v>21</v>
      </c>
      <c r="AD7731" s="17" t="s">
        <v>1825</v>
      </c>
      <c r="AE7731" s="145" t="s">
        <v>171</v>
      </c>
      <c r="AF7731" s="146"/>
      <c r="AG7731" s="146"/>
      <c r="AH7731" s="146"/>
      <c r="AI7731" s="147"/>
      <c r="AJ7731" s="148"/>
      <c r="AK7731" s="143"/>
      <c r="AL7731" s="144"/>
      <c r="AM7731" s="22"/>
      <c r="AN7731" s="149"/>
      <c r="AO7731" s="144"/>
      <c r="AP7731" s="148"/>
      <c r="AQ7731" s="144"/>
      <c r="AR7731" s="120"/>
      <c r="AS7731" s="121"/>
      <c r="AT7731" s="120"/>
      <c r="AU7731" s="121"/>
      <c r="AV7731" s="120"/>
      <c r="AW7731" s="121"/>
      <c r="AX7731" s="120"/>
      <c r="AY7731" s="121"/>
      <c r="AZ7731" s="138"/>
    </row>
    <row r="7732" spans="1:52" ht="17.100000000000001" customHeight="1" thickTop="1">
      <c r="A7732" s="109" t="s">
        <v>22004</v>
      </c>
      <c r="B7732" s="28">
        <v>46114</v>
      </c>
      <c r="C7732" s="25">
        <v>1977</v>
      </c>
      <c r="D7732" s="13" t="s">
        <v>1675</v>
      </c>
      <c r="E7732" s="111"/>
      <c r="F7732" s="113" t="s">
        <v>16834</v>
      </c>
      <c r="G7732" s="114"/>
      <c r="H7732" s="115"/>
      <c r="I7732" s="24"/>
      <c r="J7732" s="116">
        <v>4</v>
      </c>
      <c r="K7732" s="118">
        <v>1113000</v>
      </c>
      <c r="L7732" s="119"/>
      <c r="M7732" s="118">
        <f t="shared" ref="M7732" si="11370">K7732*0.1</f>
        <v>111300</v>
      </c>
      <c r="N7732" s="119"/>
      <c r="O7732" s="118">
        <v>0</v>
      </c>
      <c r="P7732" s="119"/>
      <c r="Q7732" s="118">
        <v>12470</v>
      </c>
      <c r="R7732" s="119"/>
      <c r="S7732" s="118">
        <v>17050</v>
      </c>
      <c r="T7732" s="119"/>
      <c r="U7732" s="118">
        <f t="shared" ref="U7732" si="11371">SUM(K7732:T7733)</f>
        <v>1253820</v>
      </c>
      <c r="V7732" s="122"/>
      <c r="W7732" s="124"/>
      <c r="X7732" s="126" t="s">
        <v>22306</v>
      </c>
      <c r="Y7732" s="127"/>
      <c r="Z7732" s="127"/>
      <c r="AA7732" s="127"/>
      <c r="AB7732" s="128"/>
      <c r="AC7732" s="15" t="s">
        <v>20</v>
      </c>
      <c r="AD7732" s="129"/>
      <c r="AE7732" s="130"/>
      <c r="AF7732" s="130"/>
      <c r="AG7732" s="130"/>
      <c r="AH7732" s="130"/>
      <c r="AI7732" s="131"/>
      <c r="AJ7732" s="132"/>
      <c r="AK7732" s="127"/>
      <c r="AL7732" s="128"/>
      <c r="AM7732" s="21"/>
      <c r="AN7732" s="133">
        <v>46134</v>
      </c>
      <c r="AO7732" s="134"/>
      <c r="AP7732" s="135">
        <v>1014</v>
      </c>
      <c r="AQ7732" s="136"/>
      <c r="AR7732" s="118">
        <v>1215000</v>
      </c>
      <c r="AS7732" s="119"/>
      <c r="AT7732" s="118">
        <f t="shared" ref="AT7732" si="11372">AR7732*0.1</f>
        <v>121500</v>
      </c>
      <c r="AU7732" s="119"/>
      <c r="AV7732" s="118">
        <v>12470</v>
      </c>
      <c r="AW7732" s="119"/>
      <c r="AX7732" s="118">
        <f t="shared" ref="AX7732" si="11373">SUM(AR7732:AW7732)</f>
        <v>1348970</v>
      </c>
      <c r="AY7732" s="119"/>
      <c r="AZ7732" s="137">
        <v>46139</v>
      </c>
    </row>
    <row r="7733" spans="1:52" ht="17.100000000000001" customHeight="1" thickBot="1">
      <c r="A7733" s="110"/>
      <c r="B7733" s="27" t="s">
        <v>3792</v>
      </c>
      <c r="C7733" s="27">
        <v>2177</v>
      </c>
      <c r="D7733" s="14" t="s">
        <v>275</v>
      </c>
      <c r="E7733" s="112"/>
      <c r="F7733" s="139" t="s">
        <v>22013</v>
      </c>
      <c r="G7733" s="140"/>
      <c r="H7733" s="141"/>
      <c r="I7733" s="26">
        <v>75734</v>
      </c>
      <c r="J7733" s="117"/>
      <c r="K7733" s="120"/>
      <c r="L7733" s="121"/>
      <c r="M7733" s="120"/>
      <c r="N7733" s="121"/>
      <c r="O7733" s="120"/>
      <c r="P7733" s="121"/>
      <c r="Q7733" s="120"/>
      <c r="R7733" s="121"/>
      <c r="S7733" s="120"/>
      <c r="T7733" s="121"/>
      <c r="U7733" s="120"/>
      <c r="V7733" s="123"/>
      <c r="W7733" s="125"/>
      <c r="X7733" s="142" t="s">
        <v>11084</v>
      </c>
      <c r="Y7733" s="143"/>
      <c r="Z7733" s="143"/>
      <c r="AA7733" s="143"/>
      <c r="AB7733" s="144"/>
      <c r="AC7733" s="16" t="s">
        <v>21</v>
      </c>
      <c r="AD7733" s="17" t="s">
        <v>1922</v>
      </c>
      <c r="AE7733" s="145" t="s">
        <v>22613</v>
      </c>
      <c r="AF7733" s="146"/>
      <c r="AG7733" s="146"/>
      <c r="AH7733" s="146"/>
      <c r="AI7733" s="147"/>
      <c r="AJ7733" s="148"/>
      <c r="AK7733" s="143"/>
      <c r="AL7733" s="144"/>
      <c r="AM7733" s="22"/>
      <c r="AN7733" s="149" t="s">
        <v>23987</v>
      </c>
      <c r="AO7733" s="144"/>
      <c r="AP7733" s="148">
        <v>6112</v>
      </c>
      <c r="AQ7733" s="144"/>
      <c r="AR7733" s="120"/>
      <c r="AS7733" s="121"/>
      <c r="AT7733" s="120"/>
      <c r="AU7733" s="121"/>
      <c r="AV7733" s="120"/>
      <c r="AW7733" s="121"/>
      <c r="AX7733" s="120"/>
      <c r="AY7733" s="121"/>
      <c r="AZ7733" s="138"/>
    </row>
    <row r="7734" spans="1:52" ht="17.100000000000001" customHeight="1" thickTop="1">
      <c r="A7734" s="109" t="s">
        <v>22005</v>
      </c>
      <c r="B7734" s="28">
        <v>46114</v>
      </c>
      <c r="C7734" s="25">
        <v>1977</v>
      </c>
      <c r="D7734" s="13" t="s">
        <v>1714</v>
      </c>
      <c r="E7734" s="111"/>
      <c r="F7734" s="113" t="s">
        <v>22014</v>
      </c>
      <c r="G7734" s="114"/>
      <c r="H7734" s="115"/>
      <c r="I7734" s="24"/>
      <c r="J7734" s="116">
        <v>4.5</v>
      </c>
      <c r="K7734" s="118">
        <v>1232000</v>
      </c>
      <c r="L7734" s="119"/>
      <c r="M7734" s="118">
        <f t="shared" ref="M7734" si="11374">K7734*0.1</f>
        <v>123200</v>
      </c>
      <c r="N7734" s="119"/>
      <c r="O7734" s="118">
        <v>0</v>
      </c>
      <c r="P7734" s="119"/>
      <c r="Q7734" s="118">
        <v>9810</v>
      </c>
      <c r="R7734" s="119"/>
      <c r="S7734" s="118">
        <v>17050</v>
      </c>
      <c r="T7734" s="119"/>
      <c r="U7734" s="118">
        <f t="shared" ref="U7734" si="11375">SUM(K7734:T7735)</f>
        <v>1382060</v>
      </c>
      <c r="V7734" s="122"/>
      <c r="W7734" s="124"/>
      <c r="X7734" s="126" t="s">
        <v>22307</v>
      </c>
      <c r="Y7734" s="127"/>
      <c r="Z7734" s="127"/>
      <c r="AA7734" s="127"/>
      <c r="AB7734" s="128"/>
      <c r="AC7734" s="15" t="s">
        <v>20</v>
      </c>
      <c r="AD7734" s="129" t="s">
        <v>1670</v>
      </c>
      <c r="AE7734" s="130"/>
      <c r="AF7734" s="130"/>
      <c r="AG7734" s="130"/>
      <c r="AH7734" s="130"/>
      <c r="AI7734" s="131"/>
      <c r="AJ7734" s="132"/>
      <c r="AK7734" s="127"/>
      <c r="AL7734" s="128"/>
      <c r="AM7734" s="21"/>
      <c r="AN7734" s="133"/>
      <c r="AO7734" s="134"/>
      <c r="AP7734" s="135"/>
      <c r="AQ7734" s="136"/>
      <c r="AR7734" s="118"/>
      <c r="AS7734" s="119"/>
      <c r="AT7734" s="118">
        <f t="shared" ref="AT7734" si="11376">AR7734*0.1</f>
        <v>0</v>
      </c>
      <c r="AU7734" s="119"/>
      <c r="AV7734" s="118"/>
      <c r="AW7734" s="119"/>
      <c r="AX7734" s="118">
        <f t="shared" ref="AX7734" si="11377">SUM(AR7734:AW7734)</f>
        <v>0</v>
      </c>
      <c r="AY7734" s="119"/>
      <c r="AZ7734" s="137"/>
    </row>
    <row r="7735" spans="1:52" ht="17.100000000000001" customHeight="1" thickBot="1">
      <c r="A7735" s="110"/>
      <c r="B7735" s="27" t="s">
        <v>3792</v>
      </c>
      <c r="C7735" s="27">
        <v>2187</v>
      </c>
      <c r="D7735" s="14" t="s">
        <v>1720</v>
      </c>
      <c r="E7735" s="112"/>
      <c r="F7735" s="139" t="s">
        <v>22015</v>
      </c>
      <c r="G7735" s="140"/>
      <c r="H7735" s="141"/>
      <c r="I7735" s="26">
        <v>52433</v>
      </c>
      <c r="J7735" s="117"/>
      <c r="K7735" s="120"/>
      <c r="L7735" s="121"/>
      <c r="M7735" s="120"/>
      <c r="N7735" s="121"/>
      <c r="O7735" s="120"/>
      <c r="P7735" s="121"/>
      <c r="Q7735" s="120"/>
      <c r="R7735" s="121"/>
      <c r="S7735" s="120"/>
      <c r="T7735" s="121"/>
      <c r="U7735" s="120"/>
      <c r="V7735" s="123"/>
      <c r="W7735" s="125"/>
      <c r="X7735" s="142" t="s">
        <v>22246</v>
      </c>
      <c r="Y7735" s="143"/>
      <c r="Z7735" s="143"/>
      <c r="AA7735" s="143"/>
      <c r="AB7735" s="144"/>
      <c r="AC7735" s="16" t="s">
        <v>21</v>
      </c>
      <c r="AD7735" s="17" t="s">
        <v>1563</v>
      </c>
      <c r="AE7735" s="145" t="s">
        <v>22912</v>
      </c>
      <c r="AF7735" s="146"/>
      <c r="AG7735" s="146"/>
      <c r="AH7735" s="146"/>
      <c r="AI7735" s="147"/>
      <c r="AJ7735" s="148"/>
      <c r="AK7735" s="143"/>
      <c r="AL7735" s="144"/>
      <c r="AM7735" s="22"/>
      <c r="AN7735" s="149"/>
      <c r="AO7735" s="144"/>
      <c r="AP7735" s="148"/>
      <c r="AQ7735" s="144"/>
      <c r="AR7735" s="120"/>
      <c r="AS7735" s="121"/>
      <c r="AT7735" s="120"/>
      <c r="AU7735" s="121"/>
      <c r="AV7735" s="120"/>
      <c r="AW7735" s="121"/>
      <c r="AX7735" s="120"/>
      <c r="AY7735" s="121"/>
      <c r="AZ7735" s="138"/>
    </row>
    <row r="7736" spans="1:52" ht="17.100000000000001" customHeight="1" thickTop="1">
      <c r="A7736" s="109" t="s">
        <v>22006</v>
      </c>
      <c r="B7736" s="28">
        <v>46114</v>
      </c>
      <c r="C7736" s="25">
        <v>1977</v>
      </c>
      <c r="D7736" s="13" t="s">
        <v>1537</v>
      </c>
      <c r="E7736" s="111"/>
      <c r="F7736" s="113" t="s">
        <v>21547</v>
      </c>
      <c r="G7736" s="114"/>
      <c r="H7736" s="115"/>
      <c r="I7736" s="24"/>
      <c r="J7736" s="116">
        <v>4</v>
      </c>
      <c r="K7736" s="118">
        <v>1094000</v>
      </c>
      <c r="L7736" s="119"/>
      <c r="M7736" s="118">
        <f t="shared" ref="M7736" si="11378">K7736*0.1</f>
        <v>109400</v>
      </c>
      <c r="N7736" s="119"/>
      <c r="O7736" s="118">
        <v>0</v>
      </c>
      <c r="P7736" s="119"/>
      <c r="Q7736" s="118">
        <v>11010</v>
      </c>
      <c r="R7736" s="119"/>
      <c r="S7736" s="118">
        <v>15950</v>
      </c>
      <c r="T7736" s="119"/>
      <c r="U7736" s="118">
        <f t="shared" ref="U7736" si="11379">SUM(K7736:T7737)</f>
        <v>1230360</v>
      </c>
      <c r="V7736" s="122"/>
      <c r="W7736" s="124"/>
      <c r="X7736" s="126" t="s">
        <v>22305</v>
      </c>
      <c r="Y7736" s="127"/>
      <c r="Z7736" s="127"/>
      <c r="AA7736" s="127"/>
      <c r="AB7736" s="128"/>
      <c r="AC7736" s="15" t="s">
        <v>20</v>
      </c>
      <c r="AD7736" s="129"/>
      <c r="AE7736" s="130"/>
      <c r="AF7736" s="130"/>
      <c r="AG7736" s="130"/>
      <c r="AH7736" s="130"/>
      <c r="AI7736" s="131"/>
      <c r="AJ7736" s="132"/>
      <c r="AK7736" s="127"/>
      <c r="AL7736" s="128"/>
      <c r="AM7736" s="21"/>
      <c r="AN7736" s="133">
        <v>46123</v>
      </c>
      <c r="AO7736" s="134"/>
      <c r="AP7736" s="135">
        <v>1296</v>
      </c>
      <c r="AQ7736" s="136"/>
      <c r="AR7736" s="118">
        <v>1200000</v>
      </c>
      <c r="AS7736" s="119"/>
      <c r="AT7736" s="118">
        <f t="shared" ref="AT7736" si="11380">AR7736*0.1</f>
        <v>120000</v>
      </c>
      <c r="AU7736" s="119"/>
      <c r="AV7736" s="118">
        <v>11010</v>
      </c>
      <c r="AW7736" s="119"/>
      <c r="AX7736" s="118">
        <f t="shared" ref="AX7736" si="11381">SUM(AR7736:AW7736)</f>
        <v>1331010</v>
      </c>
      <c r="AY7736" s="119"/>
      <c r="AZ7736" s="137">
        <v>46126</v>
      </c>
    </row>
    <row r="7737" spans="1:52" ht="17.100000000000001" customHeight="1" thickBot="1">
      <c r="A7737" s="110"/>
      <c r="B7737" s="27" t="s">
        <v>3792</v>
      </c>
      <c r="C7737" s="27">
        <v>30013</v>
      </c>
      <c r="D7737" s="14" t="s">
        <v>22140</v>
      </c>
      <c r="E7737" s="112"/>
      <c r="F7737" s="139" t="s">
        <v>22016</v>
      </c>
      <c r="G7737" s="140"/>
      <c r="H7737" s="141"/>
      <c r="I7737" s="26">
        <v>32706</v>
      </c>
      <c r="J7737" s="117"/>
      <c r="K7737" s="120"/>
      <c r="L7737" s="121"/>
      <c r="M7737" s="120"/>
      <c r="N7737" s="121"/>
      <c r="O7737" s="120"/>
      <c r="P7737" s="121"/>
      <c r="Q7737" s="120"/>
      <c r="R7737" s="121"/>
      <c r="S7737" s="120"/>
      <c r="T7737" s="121"/>
      <c r="U7737" s="120"/>
      <c r="V7737" s="123"/>
      <c r="W7737" s="125"/>
      <c r="X7737" s="142" t="s">
        <v>4381</v>
      </c>
      <c r="Y7737" s="143"/>
      <c r="Z7737" s="143"/>
      <c r="AA7737" s="143"/>
      <c r="AB7737" s="144"/>
      <c r="AC7737" s="16" t="s">
        <v>21</v>
      </c>
      <c r="AD7737" s="17" t="s">
        <v>1922</v>
      </c>
      <c r="AE7737" s="145"/>
      <c r="AF7737" s="146"/>
      <c r="AG7737" s="146"/>
      <c r="AH7737" s="146"/>
      <c r="AI7737" s="147"/>
      <c r="AJ7737" s="148"/>
      <c r="AK7737" s="143"/>
      <c r="AL7737" s="144"/>
      <c r="AM7737" s="22"/>
      <c r="AN7737" s="149" t="s">
        <v>2511</v>
      </c>
      <c r="AO7737" s="144"/>
      <c r="AP7737" s="148">
        <v>91</v>
      </c>
      <c r="AQ7737" s="144"/>
      <c r="AR7737" s="120"/>
      <c r="AS7737" s="121"/>
      <c r="AT7737" s="120"/>
      <c r="AU7737" s="121"/>
      <c r="AV7737" s="120"/>
      <c r="AW7737" s="121"/>
      <c r="AX7737" s="120"/>
      <c r="AY7737" s="121"/>
      <c r="AZ7737" s="138"/>
    </row>
    <row r="7738" spans="1:52" ht="17.100000000000001" customHeight="1" thickTop="1">
      <c r="A7738" s="109" t="s">
        <v>22007</v>
      </c>
      <c r="B7738" s="28">
        <v>46114</v>
      </c>
      <c r="C7738" s="25">
        <v>1977</v>
      </c>
      <c r="D7738" s="13" t="s">
        <v>1537</v>
      </c>
      <c r="E7738" s="111"/>
      <c r="F7738" s="113" t="s">
        <v>22017</v>
      </c>
      <c r="G7738" s="114"/>
      <c r="H7738" s="115"/>
      <c r="I7738" s="24"/>
      <c r="J7738" s="116">
        <v>4</v>
      </c>
      <c r="K7738" s="118">
        <v>1121000</v>
      </c>
      <c r="L7738" s="119"/>
      <c r="M7738" s="118">
        <f t="shared" ref="M7738" si="11382">K7738*0.1</f>
        <v>112100</v>
      </c>
      <c r="N7738" s="119"/>
      <c r="O7738" s="118">
        <v>0</v>
      </c>
      <c r="P7738" s="119"/>
      <c r="Q7738" s="118">
        <v>11010</v>
      </c>
      <c r="R7738" s="119"/>
      <c r="S7738" s="118">
        <v>15950</v>
      </c>
      <c r="T7738" s="119"/>
      <c r="U7738" s="118">
        <f t="shared" ref="U7738" si="11383">SUM(K7738:T7739)</f>
        <v>1260060</v>
      </c>
      <c r="V7738" s="122"/>
      <c r="W7738" s="124"/>
      <c r="X7738" s="126" t="s">
        <v>22304</v>
      </c>
      <c r="Y7738" s="127"/>
      <c r="Z7738" s="127"/>
      <c r="AA7738" s="127"/>
      <c r="AB7738" s="128"/>
      <c r="AC7738" s="15" t="s">
        <v>20</v>
      </c>
      <c r="AD7738" s="129"/>
      <c r="AE7738" s="130"/>
      <c r="AF7738" s="130"/>
      <c r="AG7738" s="130"/>
      <c r="AH7738" s="130"/>
      <c r="AI7738" s="131"/>
      <c r="AJ7738" s="132"/>
      <c r="AK7738" s="127"/>
      <c r="AL7738" s="128"/>
      <c r="AM7738" s="21"/>
      <c r="AN7738" s="133">
        <v>46123</v>
      </c>
      <c r="AO7738" s="134"/>
      <c r="AP7738" s="135">
        <v>1296</v>
      </c>
      <c r="AQ7738" s="136"/>
      <c r="AR7738" s="118">
        <v>1195000</v>
      </c>
      <c r="AS7738" s="119"/>
      <c r="AT7738" s="118">
        <f t="shared" ref="AT7738" si="11384">AR7738*0.1</f>
        <v>119500</v>
      </c>
      <c r="AU7738" s="119"/>
      <c r="AV7738" s="118">
        <v>11010</v>
      </c>
      <c r="AW7738" s="119"/>
      <c r="AX7738" s="118">
        <f t="shared" ref="AX7738" si="11385">SUM(AR7738:AW7738)</f>
        <v>1325510</v>
      </c>
      <c r="AY7738" s="119"/>
      <c r="AZ7738" s="137">
        <v>46126</v>
      </c>
    </row>
    <row r="7739" spans="1:52" ht="17.100000000000001" customHeight="1" thickBot="1">
      <c r="A7739" s="110"/>
      <c r="B7739" s="27" t="s">
        <v>3792</v>
      </c>
      <c r="C7739" s="27">
        <v>30020</v>
      </c>
      <c r="D7739" s="14" t="s">
        <v>1635</v>
      </c>
      <c r="E7739" s="112"/>
      <c r="F7739" s="139" t="s">
        <v>22018</v>
      </c>
      <c r="G7739" s="140"/>
      <c r="H7739" s="141"/>
      <c r="I7739" s="26">
        <v>39621</v>
      </c>
      <c r="J7739" s="117"/>
      <c r="K7739" s="120"/>
      <c r="L7739" s="121"/>
      <c r="M7739" s="120"/>
      <c r="N7739" s="121"/>
      <c r="O7739" s="120"/>
      <c r="P7739" s="121"/>
      <c r="Q7739" s="120"/>
      <c r="R7739" s="121"/>
      <c r="S7739" s="120"/>
      <c r="T7739" s="121"/>
      <c r="U7739" s="120"/>
      <c r="V7739" s="123"/>
      <c r="W7739" s="125"/>
      <c r="X7739" s="142" t="s">
        <v>4381</v>
      </c>
      <c r="Y7739" s="143"/>
      <c r="Z7739" s="143"/>
      <c r="AA7739" s="143"/>
      <c r="AB7739" s="144"/>
      <c r="AC7739" s="16" t="s">
        <v>21</v>
      </c>
      <c r="AD7739" s="17" t="s">
        <v>1922</v>
      </c>
      <c r="AE7739" s="145"/>
      <c r="AF7739" s="146"/>
      <c r="AG7739" s="146"/>
      <c r="AH7739" s="146"/>
      <c r="AI7739" s="147"/>
      <c r="AJ7739" s="148"/>
      <c r="AK7739" s="143"/>
      <c r="AL7739" s="144"/>
      <c r="AM7739" s="22"/>
      <c r="AN7739" s="149" t="s">
        <v>2511</v>
      </c>
      <c r="AO7739" s="144"/>
      <c r="AP7739" s="148">
        <v>77</v>
      </c>
      <c r="AQ7739" s="144"/>
      <c r="AR7739" s="120"/>
      <c r="AS7739" s="121"/>
      <c r="AT7739" s="120"/>
      <c r="AU7739" s="121"/>
      <c r="AV7739" s="120"/>
      <c r="AW7739" s="121"/>
      <c r="AX7739" s="120"/>
      <c r="AY7739" s="121"/>
      <c r="AZ7739" s="138"/>
    </row>
    <row r="7740" spans="1:52" ht="17.100000000000001" customHeight="1" thickTop="1">
      <c r="A7740" s="109" t="s">
        <v>22008</v>
      </c>
      <c r="B7740" s="28">
        <v>46114</v>
      </c>
      <c r="C7740" s="25">
        <v>1977</v>
      </c>
      <c r="D7740" s="13" t="s">
        <v>2359</v>
      </c>
      <c r="E7740" s="111"/>
      <c r="F7740" s="113" t="s">
        <v>21093</v>
      </c>
      <c r="G7740" s="114"/>
      <c r="H7740" s="115"/>
      <c r="I7740" s="24"/>
      <c r="J7740" s="116">
        <v>4</v>
      </c>
      <c r="K7740" s="118">
        <v>1132000</v>
      </c>
      <c r="L7740" s="119"/>
      <c r="M7740" s="118">
        <f t="shared" ref="M7740" si="11386">K7740*0.1</f>
        <v>113200</v>
      </c>
      <c r="N7740" s="119"/>
      <c r="O7740" s="118">
        <v>0</v>
      </c>
      <c r="P7740" s="119"/>
      <c r="Q7740" s="118">
        <v>7440</v>
      </c>
      <c r="R7740" s="119"/>
      <c r="S7740" s="118">
        <v>15950</v>
      </c>
      <c r="T7740" s="119"/>
      <c r="U7740" s="118">
        <f t="shared" ref="U7740" si="11387">SUM(K7740:T7741)</f>
        <v>1268590</v>
      </c>
      <c r="V7740" s="122"/>
      <c r="W7740" s="124"/>
      <c r="X7740" s="126" t="s">
        <v>22512</v>
      </c>
      <c r="Y7740" s="127"/>
      <c r="Z7740" s="127"/>
      <c r="AA7740" s="127"/>
      <c r="AB7740" s="128"/>
      <c r="AC7740" s="15" t="s">
        <v>20</v>
      </c>
      <c r="AD7740" s="129"/>
      <c r="AE7740" s="130"/>
      <c r="AF7740" s="130"/>
      <c r="AG7740" s="130"/>
      <c r="AH7740" s="130"/>
      <c r="AI7740" s="131"/>
      <c r="AJ7740" s="132"/>
      <c r="AK7740" s="127"/>
      <c r="AL7740" s="128"/>
      <c r="AM7740" s="21"/>
      <c r="AN7740" s="133">
        <v>46123</v>
      </c>
      <c r="AO7740" s="134"/>
      <c r="AP7740" s="135">
        <v>1296</v>
      </c>
      <c r="AQ7740" s="136"/>
      <c r="AR7740" s="118">
        <v>1270000</v>
      </c>
      <c r="AS7740" s="119"/>
      <c r="AT7740" s="118">
        <f t="shared" ref="AT7740" si="11388">AR7740*0.1</f>
        <v>127000</v>
      </c>
      <c r="AU7740" s="119"/>
      <c r="AV7740" s="118">
        <v>7440</v>
      </c>
      <c r="AW7740" s="119"/>
      <c r="AX7740" s="118">
        <f t="shared" ref="AX7740" si="11389">SUM(AR7740:AW7740)</f>
        <v>1404440</v>
      </c>
      <c r="AY7740" s="119"/>
      <c r="AZ7740" s="137">
        <v>46126</v>
      </c>
    </row>
    <row r="7741" spans="1:52" ht="17.100000000000001" customHeight="1" thickBot="1">
      <c r="A7741" s="110"/>
      <c r="B7741" s="27" t="s">
        <v>3792</v>
      </c>
      <c r="C7741" s="27">
        <v>62037</v>
      </c>
      <c r="D7741" s="14" t="s">
        <v>1592</v>
      </c>
      <c r="E7741" s="112"/>
      <c r="F7741" s="139" t="s">
        <v>22019</v>
      </c>
      <c r="G7741" s="140"/>
      <c r="H7741" s="141"/>
      <c r="I7741" s="26">
        <v>40496</v>
      </c>
      <c r="J7741" s="117"/>
      <c r="K7741" s="120"/>
      <c r="L7741" s="121"/>
      <c r="M7741" s="120"/>
      <c r="N7741" s="121"/>
      <c r="O7741" s="120"/>
      <c r="P7741" s="121"/>
      <c r="Q7741" s="120"/>
      <c r="R7741" s="121"/>
      <c r="S7741" s="120"/>
      <c r="T7741" s="121"/>
      <c r="U7741" s="120"/>
      <c r="V7741" s="123"/>
      <c r="W7741" s="125"/>
      <c r="X7741" s="142" t="s">
        <v>7450</v>
      </c>
      <c r="Y7741" s="143"/>
      <c r="Z7741" s="143"/>
      <c r="AA7741" s="143"/>
      <c r="AB7741" s="144"/>
      <c r="AC7741" s="16" t="s">
        <v>21</v>
      </c>
      <c r="AD7741" s="17" t="s">
        <v>1795</v>
      </c>
      <c r="AE7741" s="145"/>
      <c r="AF7741" s="146"/>
      <c r="AG7741" s="146"/>
      <c r="AH7741" s="146"/>
      <c r="AI7741" s="147"/>
      <c r="AJ7741" s="148"/>
      <c r="AK7741" s="143"/>
      <c r="AL7741" s="144"/>
      <c r="AM7741" s="22"/>
      <c r="AN7741" s="149" t="s">
        <v>2511</v>
      </c>
      <c r="AO7741" s="144"/>
      <c r="AP7741" s="148">
        <v>41064</v>
      </c>
      <c r="AQ7741" s="144"/>
      <c r="AR7741" s="120"/>
      <c r="AS7741" s="121"/>
      <c r="AT7741" s="120"/>
      <c r="AU7741" s="121"/>
      <c r="AV7741" s="120"/>
      <c r="AW7741" s="121"/>
      <c r="AX7741" s="120"/>
      <c r="AY7741" s="121"/>
      <c r="AZ7741" s="138"/>
    </row>
    <row r="7742" spans="1:52" ht="17.100000000000001" customHeight="1" thickTop="1">
      <c r="A7742" s="109" t="s">
        <v>22009</v>
      </c>
      <c r="B7742" s="28">
        <v>46114</v>
      </c>
      <c r="C7742" s="25">
        <v>2152</v>
      </c>
      <c r="D7742" s="13" t="s">
        <v>5627</v>
      </c>
      <c r="E7742" s="111"/>
      <c r="F7742" s="113" t="s">
        <v>22141</v>
      </c>
      <c r="G7742" s="114"/>
      <c r="H7742" s="115"/>
      <c r="I7742" s="24" t="s">
        <v>4009</v>
      </c>
      <c r="J7742" s="116">
        <v>4</v>
      </c>
      <c r="K7742" s="118">
        <v>299000</v>
      </c>
      <c r="L7742" s="119"/>
      <c r="M7742" s="118">
        <f t="shared" ref="M7742" si="11390">K7742*0.1</f>
        <v>29900</v>
      </c>
      <c r="N7742" s="119"/>
      <c r="O7742" s="118">
        <v>0</v>
      </c>
      <c r="P7742" s="119"/>
      <c r="Q7742" s="118">
        <v>8490</v>
      </c>
      <c r="R7742" s="119"/>
      <c r="S7742" s="118">
        <v>14300</v>
      </c>
      <c r="T7742" s="119"/>
      <c r="U7742" s="118">
        <f t="shared" ref="U7742" si="11391">SUM(K7742:T7743)</f>
        <v>351690</v>
      </c>
      <c r="V7742" s="122"/>
      <c r="W7742" s="124"/>
      <c r="X7742" s="126" t="s">
        <v>22142</v>
      </c>
      <c r="Y7742" s="127"/>
      <c r="Z7742" s="127"/>
      <c r="AA7742" s="127"/>
      <c r="AB7742" s="128"/>
      <c r="AC7742" s="15" t="s">
        <v>20</v>
      </c>
      <c r="AD7742" s="129"/>
      <c r="AE7742" s="130"/>
      <c r="AF7742" s="130"/>
      <c r="AG7742" s="130"/>
      <c r="AH7742" s="130"/>
      <c r="AI7742" s="131"/>
      <c r="AJ7742" s="132"/>
      <c r="AK7742" s="127"/>
      <c r="AL7742" s="128"/>
      <c r="AM7742" s="21"/>
      <c r="AN7742" s="133"/>
      <c r="AO7742" s="134"/>
      <c r="AP7742" s="135"/>
      <c r="AQ7742" s="136"/>
      <c r="AR7742" s="118"/>
      <c r="AS7742" s="119"/>
      <c r="AT7742" s="118">
        <f t="shared" ref="AT7742" si="11392">AR7742*0.1</f>
        <v>0</v>
      </c>
      <c r="AU7742" s="119"/>
      <c r="AV7742" s="118"/>
      <c r="AW7742" s="119"/>
      <c r="AX7742" s="118">
        <f t="shared" ref="AX7742" si="11393">SUM(AR7742:AW7742)</f>
        <v>0</v>
      </c>
      <c r="AY7742" s="119"/>
      <c r="AZ7742" s="137"/>
    </row>
    <row r="7743" spans="1:52" ht="17.100000000000001" customHeight="1" thickBot="1">
      <c r="A7743" s="110"/>
      <c r="B7743" s="27" t="s">
        <v>1940</v>
      </c>
      <c r="C7743" s="27">
        <v>40</v>
      </c>
      <c r="D7743" s="14" t="s">
        <v>904</v>
      </c>
      <c r="E7743" s="112"/>
      <c r="F7743" s="139" t="s">
        <v>22039</v>
      </c>
      <c r="G7743" s="140"/>
      <c r="H7743" s="141"/>
      <c r="I7743" s="26">
        <v>59388</v>
      </c>
      <c r="J7743" s="117"/>
      <c r="K7743" s="120"/>
      <c r="L7743" s="121"/>
      <c r="M7743" s="120"/>
      <c r="N7743" s="121"/>
      <c r="O7743" s="120"/>
      <c r="P7743" s="121"/>
      <c r="Q7743" s="120"/>
      <c r="R7743" s="121"/>
      <c r="S7743" s="120"/>
      <c r="T7743" s="121"/>
      <c r="U7743" s="120"/>
      <c r="V7743" s="123"/>
      <c r="W7743" s="125"/>
      <c r="X7743" s="142" t="s">
        <v>3410</v>
      </c>
      <c r="Y7743" s="143"/>
      <c r="Z7743" s="143"/>
      <c r="AA7743" s="143"/>
      <c r="AB7743" s="144"/>
      <c r="AC7743" s="16" t="s">
        <v>21</v>
      </c>
      <c r="AD7743" s="17" t="s">
        <v>1825</v>
      </c>
      <c r="AE7743" s="145" t="s">
        <v>171</v>
      </c>
      <c r="AF7743" s="146"/>
      <c r="AG7743" s="146"/>
      <c r="AH7743" s="146"/>
      <c r="AI7743" s="147"/>
      <c r="AJ7743" s="148"/>
      <c r="AK7743" s="143"/>
      <c r="AL7743" s="144"/>
      <c r="AM7743" s="22"/>
      <c r="AN7743" s="149"/>
      <c r="AO7743" s="144"/>
      <c r="AP7743" s="148"/>
      <c r="AQ7743" s="144"/>
      <c r="AR7743" s="120"/>
      <c r="AS7743" s="121"/>
      <c r="AT7743" s="120"/>
      <c r="AU7743" s="121"/>
      <c r="AV7743" s="120"/>
      <c r="AW7743" s="121"/>
      <c r="AX7743" s="120"/>
      <c r="AY7743" s="121"/>
      <c r="AZ7743" s="138"/>
    </row>
    <row r="7744" spans="1:52" ht="17.100000000000001" customHeight="1" thickTop="1">
      <c r="A7744" s="109" t="s">
        <v>22010</v>
      </c>
      <c r="B7744" s="28">
        <v>46114</v>
      </c>
      <c r="C7744" s="25">
        <v>2152</v>
      </c>
      <c r="D7744" s="13" t="s">
        <v>2390</v>
      </c>
      <c r="E7744" s="111"/>
      <c r="F7744" s="113" t="s">
        <v>22143</v>
      </c>
      <c r="G7744" s="114"/>
      <c r="H7744" s="115"/>
      <c r="I7744" s="24" t="s">
        <v>4320</v>
      </c>
      <c r="J7744" s="116">
        <v>3.5</v>
      </c>
      <c r="K7744" s="118">
        <v>441000</v>
      </c>
      <c r="L7744" s="119"/>
      <c r="M7744" s="118">
        <f t="shared" ref="M7744" si="11394">K7744*0.1</f>
        <v>44100</v>
      </c>
      <c r="N7744" s="119"/>
      <c r="O7744" s="118">
        <v>36200</v>
      </c>
      <c r="P7744" s="119"/>
      <c r="Q7744" s="118">
        <v>11820</v>
      </c>
      <c r="R7744" s="119"/>
      <c r="S7744" s="118">
        <v>14300</v>
      </c>
      <c r="T7744" s="119"/>
      <c r="U7744" s="118">
        <f t="shared" ref="U7744" si="11395">SUM(K7744:T7745)</f>
        <v>547420</v>
      </c>
      <c r="V7744" s="122"/>
      <c r="W7744" s="124"/>
      <c r="X7744" s="126" t="s">
        <v>22144</v>
      </c>
      <c r="Y7744" s="127"/>
      <c r="Z7744" s="127"/>
      <c r="AA7744" s="127"/>
      <c r="AB7744" s="128"/>
      <c r="AC7744" s="15" t="s">
        <v>20</v>
      </c>
      <c r="AD7744" s="129"/>
      <c r="AE7744" s="130"/>
      <c r="AF7744" s="130"/>
      <c r="AG7744" s="130"/>
      <c r="AH7744" s="130"/>
      <c r="AI7744" s="131"/>
      <c r="AJ7744" s="132"/>
      <c r="AK7744" s="127"/>
      <c r="AL7744" s="128"/>
      <c r="AM7744" s="21"/>
      <c r="AN7744" s="133">
        <v>46134</v>
      </c>
      <c r="AO7744" s="134"/>
      <c r="AP7744" s="135">
        <v>1014</v>
      </c>
      <c r="AQ7744" s="136"/>
      <c r="AR7744" s="118">
        <v>455000</v>
      </c>
      <c r="AS7744" s="119"/>
      <c r="AT7744" s="118">
        <f t="shared" ref="AT7744" si="11396">AR7744*0.1</f>
        <v>45500</v>
      </c>
      <c r="AU7744" s="119"/>
      <c r="AV7744" s="118">
        <v>11820</v>
      </c>
      <c r="AW7744" s="119"/>
      <c r="AX7744" s="118">
        <f t="shared" ref="AX7744" si="11397">SUM(AR7744:AW7744)</f>
        <v>512320</v>
      </c>
      <c r="AY7744" s="119"/>
      <c r="AZ7744" s="137">
        <v>46139</v>
      </c>
    </row>
    <row r="7745" spans="1:52" ht="17.100000000000001" customHeight="1" thickBot="1">
      <c r="A7745" s="110"/>
      <c r="B7745" s="27" t="s">
        <v>1940</v>
      </c>
      <c r="C7745" s="27">
        <v>213</v>
      </c>
      <c r="D7745" s="14" t="s">
        <v>1576</v>
      </c>
      <c r="E7745" s="112"/>
      <c r="F7745" s="139" t="s">
        <v>22040</v>
      </c>
      <c r="G7745" s="140"/>
      <c r="H7745" s="141"/>
      <c r="I7745" s="26">
        <v>77893</v>
      </c>
      <c r="J7745" s="117"/>
      <c r="K7745" s="120"/>
      <c r="L7745" s="121"/>
      <c r="M7745" s="120"/>
      <c r="N7745" s="121"/>
      <c r="O7745" s="120"/>
      <c r="P7745" s="121"/>
      <c r="Q7745" s="120"/>
      <c r="R7745" s="121"/>
      <c r="S7745" s="120"/>
      <c r="T7745" s="121"/>
      <c r="U7745" s="120"/>
      <c r="V7745" s="123"/>
      <c r="W7745" s="125"/>
      <c r="X7745" s="142" t="s">
        <v>22509</v>
      </c>
      <c r="Y7745" s="143"/>
      <c r="Z7745" s="143"/>
      <c r="AA7745" s="143"/>
      <c r="AB7745" s="144"/>
      <c r="AC7745" s="16" t="s">
        <v>21</v>
      </c>
      <c r="AD7745" s="17" t="s">
        <v>1825</v>
      </c>
      <c r="AE7745" s="145" t="s">
        <v>12543</v>
      </c>
      <c r="AF7745" s="146"/>
      <c r="AG7745" s="146"/>
      <c r="AH7745" s="146"/>
      <c r="AI7745" s="147"/>
      <c r="AJ7745" s="148"/>
      <c r="AK7745" s="143"/>
      <c r="AL7745" s="144"/>
      <c r="AM7745" s="22"/>
      <c r="AN7745" s="149" t="s">
        <v>23987</v>
      </c>
      <c r="AO7745" s="144"/>
      <c r="AP7745" s="148">
        <v>6133</v>
      </c>
      <c r="AQ7745" s="144"/>
      <c r="AR7745" s="120"/>
      <c r="AS7745" s="121"/>
      <c r="AT7745" s="120"/>
      <c r="AU7745" s="121"/>
      <c r="AV7745" s="120"/>
      <c r="AW7745" s="121"/>
      <c r="AX7745" s="120"/>
      <c r="AY7745" s="121"/>
      <c r="AZ7745" s="138"/>
    </row>
    <row r="7746" spans="1:52" ht="17.100000000000001" customHeight="1" thickTop="1">
      <c r="A7746" s="109" t="s">
        <v>22011</v>
      </c>
      <c r="B7746" s="28">
        <v>46114</v>
      </c>
      <c r="C7746" s="25">
        <v>2152</v>
      </c>
      <c r="D7746" s="13" t="s">
        <v>1776</v>
      </c>
      <c r="E7746" s="111"/>
      <c r="F7746" s="113" t="s">
        <v>21524</v>
      </c>
      <c r="G7746" s="114"/>
      <c r="H7746" s="115"/>
      <c r="I7746" s="24" t="s">
        <v>22145</v>
      </c>
      <c r="J7746" s="150" t="s">
        <v>1715</v>
      </c>
      <c r="K7746" s="118">
        <v>260000</v>
      </c>
      <c r="L7746" s="119"/>
      <c r="M7746" s="118">
        <f t="shared" ref="M7746" si="11398">K7746*0.1</f>
        <v>26000</v>
      </c>
      <c r="N7746" s="119"/>
      <c r="O7746" s="118">
        <v>0</v>
      </c>
      <c r="P7746" s="119"/>
      <c r="Q7746" s="118">
        <v>7950</v>
      </c>
      <c r="R7746" s="119"/>
      <c r="S7746" s="118">
        <v>14300</v>
      </c>
      <c r="T7746" s="119"/>
      <c r="U7746" s="118">
        <f t="shared" ref="U7746" si="11399">SUM(K7746:T7747)</f>
        <v>308250</v>
      </c>
      <c r="V7746" s="122"/>
      <c r="W7746" s="124"/>
      <c r="X7746" s="126" t="s">
        <v>22146</v>
      </c>
      <c r="Y7746" s="127"/>
      <c r="Z7746" s="127"/>
      <c r="AA7746" s="127"/>
      <c r="AB7746" s="128"/>
      <c r="AC7746" s="15" t="s">
        <v>20</v>
      </c>
      <c r="AD7746" s="129"/>
      <c r="AE7746" s="130"/>
      <c r="AF7746" s="130"/>
      <c r="AG7746" s="130"/>
      <c r="AH7746" s="130"/>
      <c r="AI7746" s="131"/>
      <c r="AJ7746" s="132"/>
      <c r="AK7746" s="127"/>
      <c r="AL7746" s="128"/>
      <c r="AM7746" s="21"/>
      <c r="AN7746" s="133">
        <v>46141</v>
      </c>
      <c r="AO7746" s="134"/>
      <c r="AP7746" s="135">
        <v>1015</v>
      </c>
      <c r="AQ7746" s="136"/>
      <c r="AR7746" s="118">
        <v>310000</v>
      </c>
      <c r="AS7746" s="119"/>
      <c r="AT7746" s="118">
        <f t="shared" ref="AT7746" si="11400">AR7746*0.1</f>
        <v>31000</v>
      </c>
      <c r="AU7746" s="119"/>
      <c r="AV7746" s="118">
        <v>7950</v>
      </c>
      <c r="AW7746" s="119"/>
      <c r="AX7746" s="118">
        <f t="shared" ref="AX7746" si="11401">SUM(AR7746:AW7746)</f>
        <v>348950</v>
      </c>
      <c r="AY7746" s="119"/>
      <c r="AZ7746" s="137">
        <v>46153</v>
      </c>
    </row>
    <row r="7747" spans="1:52" ht="17.100000000000001" customHeight="1" thickBot="1">
      <c r="A7747" s="110"/>
      <c r="B7747" s="27" t="s">
        <v>1940</v>
      </c>
      <c r="C7747" s="27">
        <v>218</v>
      </c>
      <c r="D7747" s="14" t="s">
        <v>18226</v>
      </c>
      <c r="E7747" s="112"/>
      <c r="F7747" s="139" t="s">
        <v>24744</v>
      </c>
      <c r="G7747" s="140"/>
      <c r="H7747" s="141"/>
      <c r="I7747" s="26">
        <v>56282</v>
      </c>
      <c r="J7747" s="117"/>
      <c r="K7747" s="120"/>
      <c r="L7747" s="121"/>
      <c r="M7747" s="120"/>
      <c r="N7747" s="121"/>
      <c r="O7747" s="120"/>
      <c r="P7747" s="121"/>
      <c r="Q7747" s="120"/>
      <c r="R7747" s="121"/>
      <c r="S7747" s="120"/>
      <c r="T7747" s="121"/>
      <c r="U7747" s="120"/>
      <c r="V7747" s="123"/>
      <c r="W7747" s="125"/>
      <c r="X7747" s="142" t="s">
        <v>22294</v>
      </c>
      <c r="Y7747" s="143"/>
      <c r="Z7747" s="143"/>
      <c r="AA7747" s="143"/>
      <c r="AB7747" s="144"/>
      <c r="AC7747" s="16" t="s">
        <v>21</v>
      </c>
      <c r="AD7747" s="17" t="s">
        <v>1922</v>
      </c>
      <c r="AE7747" s="145" t="s">
        <v>171</v>
      </c>
      <c r="AF7747" s="146"/>
      <c r="AG7747" s="146"/>
      <c r="AH7747" s="146"/>
      <c r="AI7747" s="147"/>
      <c r="AJ7747" s="148"/>
      <c r="AK7747" s="143"/>
      <c r="AL7747" s="144"/>
      <c r="AM7747" s="22"/>
      <c r="AN7747" s="149" t="s">
        <v>2794</v>
      </c>
      <c r="AO7747" s="144"/>
      <c r="AP7747" s="148">
        <v>2031</v>
      </c>
      <c r="AQ7747" s="144"/>
      <c r="AR7747" s="120"/>
      <c r="AS7747" s="121"/>
      <c r="AT7747" s="120"/>
      <c r="AU7747" s="121"/>
      <c r="AV7747" s="120"/>
      <c r="AW7747" s="121"/>
      <c r="AX7747" s="120"/>
      <c r="AY7747" s="121"/>
      <c r="AZ7747" s="138"/>
    </row>
    <row r="7748" spans="1:52" ht="17.100000000000001" customHeight="1" thickTop="1">
      <c r="A7748" s="109" t="s">
        <v>22012</v>
      </c>
      <c r="B7748" s="28">
        <v>46114</v>
      </c>
      <c r="C7748" s="25">
        <v>2152</v>
      </c>
      <c r="D7748" s="13" t="s">
        <v>1823</v>
      </c>
      <c r="E7748" s="111"/>
      <c r="F7748" s="113" t="s">
        <v>22147</v>
      </c>
      <c r="G7748" s="114"/>
      <c r="H7748" s="115"/>
      <c r="I7748" s="24" t="s">
        <v>20802</v>
      </c>
      <c r="J7748" s="150" t="s">
        <v>1715</v>
      </c>
      <c r="K7748" s="118">
        <v>259000</v>
      </c>
      <c r="L7748" s="119"/>
      <c r="M7748" s="118">
        <f t="shared" ref="M7748" si="11402">K7748*0.1</f>
        <v>25900</v>
      </c>
      <c r="N7748" s="119"/>
      <c r="O7748" s="118">
        <v>31600</v>
      </c>
      <c r="P7748" s="119"/>
      <c r="Q7748" s="118">
        <v>9980</v>
      </c>
      <c r="R7748" s="119"/>
      <c r="S7748" s="118">
        <v>14300</v>
      </c>
      <c r="T7748" s="119"/>
      <c r="U7748" s="118">
        <f t="shared" ref="U7748" si="11403">SUM(K7748:T7749)</f>
        <v>340780</v>
      </c>
      <c r="V7748" s="122"/>
      <c r="W7748" s="124"/>
      <c r="X7748" s="126" t="s">
        <v>22148</v>
      </c>
      <c r="Y7748" s="127"/>
      <c r="Z7748" s="127"/>
      <c r="AA7748" s="127"/>
      <c r="AB7748" s="128"/>
      <c r="AC7748" s="15" t="s">
        <v>20</v>
      </c>
      <c r="AD7748" s="129"/>
      <c r="AE7748" s="130"/>
      <c r="AF7748" s="130"/>
      <c r="AG7748" s="130"/>
      <c r="AH7748" s="130"/>
      <c r="AI7748" s="131"/>
      <c r="AJ7748" s="132"/>
      <c r="AK7748" s="127"/>
      <c r="AL7748" s="128"/>
      <c r="AM7748" s="21"/>
      <c r="AN7748" s="133"/>
      <c r="AO7748" s="134"/>
      <c r="AP7748" s="135"/>
      <c r="AQ7748" s="136"/>
      <c r="AR7748" s="118"/>
      <c r="AS7748" s="119"/>
      <c r="AT7748" s="118">
        <f t="shared" ref="AT7748" si="11404">AR7748*0.1</f>
        <v>0</v>
      </c>
      <c r="AU7748" s="119"/>
      <c r="AV7748" s="118"/>
      <c r="AW7748" s="119"/>
      <c r="AX7748" s="118">
        <f t="shared" ref="AX7748" si="11405">SUM(AR7748:AW7748)</f>
        <v>0</v>
      </c>
      <c r="AY7748" s="119"/>
      <c r="AZ7748" s="137"/>
    </row>
    <row r="7749" spans="1:52" ht="17.100000000000001" customHeight="1" thickBot="1">
      <c r="A7749" s="110"/>
      <c r="B7749" s="27" t="s">
        <v>1940</v>
      </c>
      <c r="C7749" s="27">
        <v>327</v>
      </c>
      <c r="D7749" s="14" t="s">
        <v>1556</v>
      </c>
      <c r="E7749" s="112"/>
      <c r="F7749" s="139" t="s">
        <v>22041</v>
      </c>
      <c r="G7749" s="140"/>
      <c r="H7749" s="141"/>
      <c r="I7749" s="26">
        <v>63957</v>
      </c>
      <c r="J7749" s="117"/>
      <c r="K7749" s="120"/>
      <c r="L7749" s="121"/>
      <c r="M7749" s="120"/>
      <c r="N7749" s="121"/>
      <c r="O7749" s="120"/>
      <c r="P7749" s="121"/>
      <c r="Q7749" s="120"/>
      <c r="R7749" s="121"/>
      <c r="S7749" s="120"/>
      <c r="T7749" s="121"/>
      <c r="U7749" s="120"/>
      <c r="V7749" s="123"/>
      <c r="W7749" s="125"/>
      <c r="X7749" s="142" t="s">
        <v>22510</v>
      </c>
      <c r="Y7749" s="143"/>
      <c r="Z7749" s="143"/>
      <c r="AA7749" s="143"/>
      <c r="AB7749" s="144"/>
      <c r="AC7749" s="16" t="s">
        <v>21</v>
      </c>
      <c r="AD7749" s="17" t="s">
        <v>1825</v>
      </c>
      <c r="AE7749" s="145" t="s">
        <v>3123</v>
      </c>
      <c r="AF7749" s="146"/>
      <c r="AG7749" s="146"/>
      <c r="AH7749" s="146"/>
      <c r="AI7749" s="147"/>
      <c r="AJ7749" s="148"/>
      <c r="AK7749" s="143"/>
      <c r="AL7749" s="144"/>
      <c r="AM7749" s="22"/>
      <c r="AN7749" s="149"/>
      <c r="AO7749" s="144"/>
      <c r="AP7749" s="148"/>
      <c r="AQ7749" s="144"/>
      <c r="AR7749" s="120"/>
      <c r="AS7749" s="121"/>
      <c r="AT7749" s="120"/>
      <c r="AU7749" s="121"/>
      <c r="AV7749" s="120"/>
      <c r="AW7749" s="121"/>
      <c r="AX7749" s="120"/>
      <c r="AY7749" s="121"/>
      <c r="AZ7749" s="138"/>
    </row>
    <row r="7750" spans="1:52" ht="17.100000000000001" customHeight="1" thickTop="1">
      <c r="A7750" s="109" t="s">
        <v>22020</v>
      </c>
      <c r="B7750" s="28">
        <v>46114</v>
      </c>
      <c r="C7750" s="25">
        <v>2152</v>
      </c>
      <c r="D7750" s="13" t="s">
        <v>2001</v>
      </c>
      <c r="E7750" s="111"/>
      <c r="F7750" s="113" t="s">
        <v>22149</v>
      </c>
      <c r="G7750" s="114"/>
      <c r="H7750" s="115"/>
      <c r="I7750" s="24" t="s">
        <v>2152</v>
      </c>
      <c r="J7750" s="116">
        <v>4.5</v>
      </c>
      <c r="K7750" s="118">
        <v>693000</v>
      </c>
      <c r="L7750" s="119"/>
      <c r="M7750" s="118">
        <f t="shared" ref="M7750" si="11406">K7750*0.1</f>
        <v>69300</v>
      </c>
      <c r="N7750" s="119"/>
      <c r="O7750" s="118">
        <v>0</v>
      </c>
      <c r="P7750" s="119"/>
      <c r="Q7750" s="118">
        <v>7960</v>
      </c>
      <c r="R7750" s="119"/>
      <c r="S7750" s="118">
        <v>14300</v>
      </c>
      <c r="T7750" s="119"/>
      <c r="U7750" s="118">
        <f t="shared" ref="U7750" si="11407">SUM(K7750:T7751)</f>
        <v>784560</v>
      </c>
      <c r="V7750" s="122"/>
      <c r="W7750" s="124"/>
      <c r="X7750" s="126" t="s">
        <v>22150</v>
      </c>
      <c r="Y7750" s="127"/>
      <c r="Z7750" s="127"/>
      <c r="AA7750" s="127"/>
      <c r="AB7750" s="128"/>
      <c r="AC7750" s="15" t="s">
        <v>20</v>
      </c>
      <c r="AD7750" s="129"/>
      <c r="AE7750" s="130"/>
      <c r="AF7750" s="130"/>
      <c r="AG7750" s="130"/>
      <c r="AH7750" s="130"/>
      <c r="AI7750" s="131"/>
      <c r="AJ7750" s="132"/>
      <c r="AK7750" s="127"/>
      <c r="AL7750" s="128"/>
      <c r="AM7750" s="21"/>
      <c r="AN7750" s="133">
        <v>46127</v>
      </c>
      <c r="AO7750" s="134"/>
      <c r="AP7750" s="135">
        <v>1013</v>
      </c>
      <c r="AQ7750" s="136"/>
      <c r="AR7750" s="118">
        <v>770000</v>
      </c>
      <c r="AS7750" s="119"/>
      <c r="AT7750" s="118">
        <f t="shared" ref="AT7750" si="11408">AR7750*0.1</f>
        <v>77000</v>
      </c>
      <c r="AU7750" s="119"/>
      <c r="AV7750" s="118">
        <v>7960</v>
      </c>
      <c r="AW7750" s="119"/>
      <c r="AX7750" s="118">
        <f t="shared" ref="AX7750" si="11409">SUM(AR7750:AW7750)</f>
        <v>854960</v>
      </c>
      <c r="AY7750" s="119"/>
      <c r="AZ7750" s="137">
        <v>46135</v>
      </c>
    </row>
    <row r="7751" spans="1:52" ht="17.100000000000001" customHeight="1" thickBot="1">
      <c r="A7751" s="110"/>
      <c r="B7751" s="27" t="s">
        <v>1940</v>
      </c>
      <c r="C7751" s="27">
        <v>2142</v>
      </c>
      <c r="D7751" s="14" t="s">
        <v>904</v>
      </c>
      <c r="E7751" s="112"/>
      <c r="F7751" s="139" t="s">
        <v>22042</v>
      </c>
      <c r="G7751" s="140"/>
      <c r="H7751" s="141"/>
      <c r="I7751" s="26">
        <v>13330</v>
      </c>
      <c r="J7751" s="117"/>
      <c r="K7751" s="120"/>
      <c r="L7751" s="121"/>
      <c r="M7751" s="120"/>
      <c r="N7751" s="121"/>
      <c r="O7751" s="120"/>
      <c r="P7751" s="121"/>
      <c r="Q7751" s="120"/>
      <c r="R7751" s="121"/>
      <c r="S7751" s="120"/>
      <c r="T7751" s="121"/>
      <c r="U7751" s="120"/>
      <c r="V7751" s="123"/>
      <c r="W7751" s="125"/>
      <c r="X7751" s="142" t="s">
        <v>22293</v>
      </c>
      <c r="Y7751" s="143"/>
      <c r="Z7751" s="143"/>
      <c r="AA7751" s="143"/>
      <c r="AB7751" s="144"/>
      <c r="AC7751" s="16" t="s">
        <v>21</v>
      </c>
      <c r="AD7751" s="17" t="s">
        <v>1922</v>
      </c>
      <c r="AE7751" s="145" t="s">
        <v>1742</v>
      </c>
      <c r="AF7751" s="146"/>
      <c r="AG7751" s="146"/>
      <c r="AH7751" s="146"/>
      <c r="AI7751" s="147"/>
      <c r="AJ7751" s="148"/>
      <c r="AK7751" s="143"/>
      <c r="AL7751" s="144"/>
      <c r="AM7751" s="22"/>
      <c r="AN7751" s="149" t="s">
        <v>6748</v>
      </c>
      <c r="AO7751" s="144"/>
      <c r="AP7751" s="148">
        <v>2052</v>
      </c>
      <c r="AQ7751" s="144"/>
      <c r="AR7751" s="120"/>
      <c r="AS7751" s="121"/>
      <c r="AT7751" s="120"/>
      <c r="AU7751" s="121"/>
      <c r="AV7751" s="120"/>
      <c r="AW7751" s="121"/>
      <c r="AX7751" s="120"/>
      <c r="AY7751" s="121"/>
      <c r="AZ7751" s="138"/>
    </row>
    <row r="7752" spans="1:52" ht="17.100000000000001" customHeight="1" thickTop="1">
      <c r="A7752" s="109" t="s">
        <v>22021</v>
      </c>
      <c r="B7752" s="28">
        <v>46114</v>
      </c>
      <c r="C7752" s="25">
        <v>2152</v>
      </c>
      <c r="D7752" s="13" t="s">
        <v>4860</v>
      </c>
      <c r="E7752" s="111"/>
      <c r="F7752" s="113" t="s">
        <v>22151</v>
      </c>
      <c r="G7752" s="114"/>
      <c r="H7752" s="115"/>
      <c r="I7752" s="24" t="s">
        <v>21587</v>
      </c>
      <c r="J7752" s="150" t="s">
        <v>1715</v>
      </c>
      <c r="K7752" s="118">
        <v>303000</v>
      </c>
      <c r="L7752" s="119"/>
      <c r="M7752" s="118">
        <f t="shared" ref="M7752" si="11410">K7752*0.1</f>
        <v>30300</v>
      </c>
      <c r="N7752" s="119"/>
      <c r="O7752" s="118">
        <v>0</v>
      </c>
      <c r="P7752" s="119"/>
      <c r="Q7752" s="118">
        <v>8550</v>
      </c>
      <c r="R7752" s="119"/>
      <c r="S7752" s="118">
        <v>14300</v>
      </c>
      <c r="T7752" s="119"/>
      <c r="U7752" s="118">
        <f t="shared" ref="U7752" si="11411">SUM(K7752:T7753)</f>
        <v>356150</v>
      </c>
      <c r="V7752" s="122"/>
      <c r="W7752" s="124"/>
      <c r="X7752" s="126" t="s">
        <v>22152</v>
      </c>
      <c r="Y7752" s="127"/>
      <c r="Z7752" s="127"/>
      <c r="AA7752" s="127"/>
      <c r="AB7752" s="128"/>
      <c r="AC7752" s="15" t="s">
        <v>20</v>
      </c>
      <c r="AD7752" s="129" t="s">
        <v>22153</v>
      </c>
      <c r="AE7752" s="130"/>
      <c r="AF7752" s="130"/>
      <c r="AG7752" s="130"/>
      <c r="AH7752" s="130"/>
      <c r="AI7752" s="131"/>
      <c r="AJ7752" s="132"/>
      <c r="AK7752" s="127"/>
      <c r="AL7752" s="128"/>
      <c r="AM7752" s="21"/>
      <c r="AN7752" s="133">
        <v>46123</v>
      </c>
      <c r="AO7752" s="134"/>
      <c r="AP7752" s="135">
        <v>1296</v>
      </c>
      <c r="AQ7752" s="136"/>
      <c r="AR7752" s="118">
        <v>330000</v>
      </c>
      <c r="AS7752" s="119"/>
      <c r="AT7752" s="118">
        <f t="shared" ref="AT7752" si="11412">AR7752*0.1</f>
        <v>33000</v>
      </c>
      <c r="AU7752" s="119"/>
      <c r="AV7752" s="118">
        <v>8550</v>
      </c>
      <c r="AW7752" s="119"/>
      <c r="AX7752" s="118">
        <f t="shared" ref="AX7752" si="11413">SUM(AR7752:AW7752)</f>
        <v>371550</v>
      </c>
      <c r="AY7752" s="119"/>
      <c r="AZ7752" s="137">
        <v>46126</v>
      </c>
    </row>
    <row r="7753" spans="1:52" ht="17.100000000000001" customHeight="1" thickBot="1">
      <c r="A7753" s="110"/>
      <c r="B7753" s="27" t="s">
        <v>1940</v>
      </c>
      <c r="C7753" s="27">
        <v>2169</v>
      </c>
      <c r="D7753" s="14" t="s">
        <v>15309</v>
      </c>
      <c r="E7753" s="112"/>
      <c r="F7753" s="139" t="s">
        <v>22043</v>
      </c>
      <c r="G7753" s="140"/>
      <c r="H7753" s="141"/>
      <c r="I7753" s="26">
        <v>39220</v>
      </c>
      <c r="J7753" s="117"/>
      <c r="K7753" s="120"/>
      <c r="L7753" s="121"/>
      <c r="M7753" s="120"/>
      <c r="N7753" s="121"/>
      <c r="O7753" s="120"/>
      <c r="P7753" s="121"/>
      <c r="Q7753" s="120"/>
      <c r="R7753" s="121"/>
      <c r="S7753" s="120"/>
      <c r="T7753" s="121"/>
      <c r="U7753" s="120"/>
      <c r="V7753" s="123"/>
      <c r="W7753" s="125"/>
      <c r="X7753" s="142" t="s">
        <v>22292</v>
      </c>
      <c r="Y7753" s="143"/>
      <c r="Z7753" s="143"/>
      <c r="AA7753" s="143"/>
      <c r="AB7753" s="144"/>
      <c r="AC7753" s="16" t="s">
        <v>21</v>
      </c>
      <c r="AD7753" s="17" t="s">
        <v>1922</v>
      </c>
      <c r="AE7753" s="145" t="s">
        <v>1742</v>
      </c>
      <c r="AF7753" s="146"/>
      <c r="AG7753" s="146"/>
      <c r="AH7753" s="146"/>
      <c r="AI7753" s="147"/>
      <c r="AJ7753" s="148"/>
      <c r="AK7753" s="143"/>
      <c r="AL7753" s="144"/>
      <c r="AM7753" s="22"/>
      <c r="AN7753" s="149" t="s">
        <v>2511</v>
      </c>
      <c r="AO7753" s="144"/>
      <c r="AP7753" s="148">
        <v>60470</v>
      </c>
      <c r="AQ7753" s="144"/>
      <c r="AR7753" s="120"/>
      <c r="AS7753" s="121"/>
      <c r="AT7753" s="120"/>
      <c r="AU7753" s="121"/>
      <c r="AV7753" s="120"/>
      <c r="AW7753" s="121"/>
      <c r="AX7753" s="120"/>
      <c r="AY7753" s="121"/>
      <c r="AZ7753" s="138"/>
    </row>
    <row r="7754" spans="1:52" ht="17.100000000000001" customHeight="1" thickTop="1">
      <c r="A7754" s="109" t="s">
        <v>22022</v>
      </c>
      <c r="B7754" s="28">
        <v>46114</v>
      </c>
      <c r="C7754" s="25">
        <v>2152</v>
      </c>
      <c r="D7754" s="13" t="s">
        <v>3386</v>
      </c>
      <c r="E7754" s="111"/>
      <c r="F7754" s="113" t="s">
        <v>15949</v>
      </c>
      <c r="G7754" s="114"/>
      <c r="H7754" s="115"/>
      <c r="I7754" s="24" t="s">
        <v>22154</v>
      </c>
      <c r="J7754" s="116">
        <v>4.5</v>
      </c>
      <c r="K7754" s="118">
        <v>520000</v>
      </c>
      <c r="L7754" s="119"/>
      <c r="M7754" s="118">
        <f t="shared" ref="M7754" si="11414">K7754*0.1</f>
        <v>52000</v>
      </c>
      <c r="N7754" s="119"/>
      <c r="O7754" s="118">
        <v>0</v>
      </c>
      <c r="P7754" s="119"/>
      <c r="Q7754" s="118">
        <v>7140</v>
      </c>
      <c r="R7754" s="119"/>
      <c r="S7754" s="118">
        <v>14300</v>
      </c>
      <c r="T7754" s="119"/>
      <c r="U7754" s="118">
        <f t="shared" ref="U7754" si="11415">SUM(K7754:T7755)</f>
        <v>593440</v>
      </c>
      <c r="V7754" s="122"/>
      <c r="W7754" s="124"/>
      <c r="X7754" s="126" t="s">
        <v>22155</v>
      </c>
      <c r="Y7754" s="127"/>
      <c r="Z7754" s="127"/>
      <c r="AA7754" s="127"/>
      <c r="AB7754" s="128"/>
      <c r="AC7754" s="15" t="s">
        <v>20</v>
      </c>
      <c r="AD7754" s="129" t="s">
        <v>22156</v>
      </c>
      <c r="AE7754" s="130"/>
      <c r="AF7754" s="130"/>
      <c r="AG7754" s="130"/>
      <c r="AH7754" s="130"/>
      <c r="AI7754" s="131"/>
      <c r="AJ7754" s="132"/>
      <c r="AK7754" s="127"/>
      <c r="AL7754" s="128"/>
      <c r="AM7754" s="21"/>
      <c r="AN7754" s="133">
        <v>46134</v>
      </c>
      <c r="AO7754" s="134"/>
      <c r="AP7754" s="135">
        <v>1014</v>
      </c>
      <c r="AQ7754" s="136"/>
      <c r="AR7754" s="118">
        <v>580000</v>
      </c>
      <c r="AS7754" s="119"/>
      <c r="AT7754" s="118">
        <f t="shared" ref="AT7754" si="11416">AR7754*0.1</f>
        <v>58000</v>
      </c>
      <c r="AU7754" s="119"/>
      <c r="AV7754" s="118">
        <v>7140</v>
      </c>
      <c r="AW7754" s="119"/>
      <c r="AX7754" s="118">
        <f t="shared" ref="AX7754" si="11417">SUM(AR7754:AW7754)</f>
        <v>645140</v>
      </c>
      <c r="AY7754" s="119"/>
      <c r="AZ7754" s="137">
        <v>46139</v>
      </c>
    </row>
    <row r="7755" spans="1:52" ht="17.100000000000001" customHeight="1" thickBot="1">
      <c r="A7755" s="110"/>
      <c r="B7755" s="27" t="s">
        <v>1940</v>
      </c>
      <c r="C7755" s="27">
        <v>2503</v>
      </c>
      <c r="D7755" s="14" t="s">
        <v>1720</v>
      </c>
      <c r="E7755" s="112"/>
      <c r="F7755" s="139" t="s">
        <v>22044</v>
      </c>
      <c r="G7755" s="140"/>
      <c r="H7755" s="141"/>
      <c r="I7755" s="26">
        <v>29772</v>
      </c>
      <c r="J7755" s="117"/>
      <c r="K7755" s="120"/>
      <c r="L7755" s="121"/>
      <c r="M7755" s="120"/>
      <c r="N7755" s="121"/>
      <c r="O7755" s="120"/>
      <c r="P7755" s="121"/>
      <c r="Q7755" s="120"/>
      <c r="R7755" s="121"/>
      <c r="S7755" s="120"/>
      <c r="T7755" s="121"/>
      <c r="U7755" s="120"/>
      <c r="V7755" s="123"/>
      <c r="W7755" s="125"/>
      <c r="X7755" s="142" t="s">
        <v>4681</v>
      </c>
      <c r="Y7755" s="143"/>
      <c r="Z7755" s="143"/>
      <c r="AA7755" s="143"/>
      <c r="AB7755" s="144"/>
      <c r="AC7755" s="16" t="s">
        <v>21</v>
      </c>
      <c r="AD7755" s="17" t="s">
        <v>1825</v>
      </c>
      <c r="AE7755" s="145" t="s">
        <v>7043</v>
      </c>
      <c r="AF7755" s="146"/>
      <c r="AG7755" s="146"/>
      <c r="AH7755" s="146"/>
      <c r="AI7755" s="147"/>
      <c r="AJ7755" s="148"/>
      <c r="AK7755" s="143"/>
      <c r="AL7755" s="144"/>
      <c r="AM7755" s="22"/>
      <c r="AN7755" s="149" t="s">
        <v>23987</v>
      </c>
      <c r="AO7755" s="144"/>
      <c r="AP7755" s="148">
        <v>2031</v>
      </c>
      <c r="AQ7755" s="144"/>
      <c r="AR7755" s="120"/>
      <c r="AS7755" s="121"/>
      <c r="AT7755" s="120"/>
      <c r="AU7755" s="121"/>
      <c r="AV7755" s="120"/>
      <c r="AW7755" s="121"/>
      <c r="AX7755" s="120"/>
      <c r="AY7755" s="121"/>
      <c r="AZ7755" s="138"/>
    </row>
    <row r="7756" spans="1:52" ht="17.100000000000001" customHeight="1" thickTop="1">
      <c r="A7756" s="109" t="s">
        <v>22023</v>
      </c>
      <c r="B7756" s="28">
        <v>46114</v>
      </c>
      <c r="C7756" s="25">
        <v>2152</v>
      </c>
      <c r="D7756" s="13" t="s">
        <v>2187</v>
      </c>
      <c r="E7756" s="111"/>
      <c r="F7756" s="113" t="s">
        <v>15976</v>
      </c>
      <c r="G7756" s="114"/>
      <c r="H7756" s="115"/>
      <c r="I7756" s="24" t="s">
        <v>8507</v>
      </c>
      <c r="J7756" s="116">
        <v>3.5</v>
      </c>
      <c r="K7756" s="118">
        <v>566000</v>
      </c>
      <c r="L7756" s="119"/>
      <c r="M7756" s="118">
        <f t="shared" ref="M7756" si="11418">K7756*0.1</f>
        <v>56600</v>
      </c>
      <c r="N7756" s="119"/>
      <c r="O7756" s="118">
        <v>0</v>
      </c>
      <c r="P7756" s="119"/>
      <c r="Q7756" s="118">
        <v>8400</v>
      </c>
      <c r="R7756" s="119"/>
      <c r="S7756" s="118">
        <v>14300</v>
      </c>
      <c r="T7756" s="119"/>
      <c r="U7756" s="118">
        <f t="shared" ref="U7756" si="11419">SUM(K7756:T7757)</f>
        <v>645300</v>
      </c>
      <c r="V7756" s="122"/>
      <c r="W7756" s="124"/>
      <c r="X7756" s="126" t="s">
        <v>22157</v>
      </c>
      <c r="Y7756" s="127"/>
      <c r="Z7756" s="127"/>
      <c r="AA7756" s="127"/>
      <c r="AB7756" s="128"/>
      <c r="AC7756" s="15" t="s">
        <v>20</v>
      </c>
      <c r="AD7756" s="129" t="s">
        <v>3828</v>
      </c>
      <c r="AE7756" s="130"/>
      <c r="AF7756" s="130"/>
      <c r="AG7756" s="130"/>
      <c r="AH7756" s="130"/>
      <c r="AI7756" s="131"/>
      <c r="AJ7756" s="132"/>
      <c r="AK7756" s="127"/>
      <c r="AL7756" s="128"/>
      <c r="AM7756" s="21"/>
      <c r="AN7756" s="133"/>
      <c r="AO7756" s="134"/>
      <c r="AP7756" s="135"/>
      <c r="AQ7756" s="136"/>
      <c r="AR7756" s="118"/>
      <c r="AS7756" s="119"/>
      <c r="AT7756" s="118">
        <f t="shared" ref="AT7756" si="11420">AR7756*0.1</f>
        <v>0</v>
      </c>
      <c r="AU7756" s="119"/>
      <c r="AV7756" s="118"/>
      <c r="AW7756" s="119"/>
      <c r="AX7756" s="118">
        <f t="shared" ref="AX7756" si="11421">SUM(AR7756:AW7756)</f>
        <v>0</v>
      </c>
      <c r="AY7756" s="119"/>
      <c r="AZ7756" s="137"/>
    </row>
    <row r="7757" spans="1:52" ht="17.100000000000001" customHeight="1" thickBot="1">
      <c r="A7757" s="110"/>
      <c r="B7757" s="27" t="s">
        <v>1940</v>
      </c>
      <c r="C7757" s="27">
        <v>2504</v>
      </c>
      <c r="D7757" s="14" t="s">
        <v>1720</v>
      </c>
      <c r="E7757" s="112"/>
      <c r="F7757" s="139" t="s">
        <v>22045</v>
      </c>
      <c r="G7757" s="140"/>
      <c r="H7757" s="141"/>
      <c r="I7757" s="26">
        <v>30272</v>
      </c>
      <c r="J7757" s="117"/>
      <c r="K7757" s="120"/>
      <c r="L7757" s="121"/>
      <c r="M7757" s="120"/>
      <c r="N7757" s="121"/>
      <c r="O7757" s="120"/>
      <c r="P7757" s="121"/>
      <c r="Q7757" s="120"/>
      <c r="R7757" s="121"/>
      <c r="S7757" s="120"/>
      <c r="T7757" s="121"/>
      <c r="U7757" s="120"/>
      <c r="V7757" s="123"/>
      <c r="W7757" s="125"/>
      <c r="X7757" s="142" t="s">
        <v>7096</v>
      </c>
      <c r="Y7757" s="143"/>
      <c r="Z7757" s="143"/>
      <c r="AA7757" s="143"/>
      <c r="AB7757" s="144"/>
      <c r="AC7757" s="16" t="s">
        <v>21</v>
      </c>
      <c r="AD7757" s="17" t="s">
        <v>1922</v>
      </c>
      <c r="AE7757" s="145" t="s">
        <v>1633</v>
      </c>
      <c r="AF7757" s="146"/>
      <c r="AG7757" s="146"/>
      <c r="AH7757" s="146"/>
      <c r="AI7757" s="147"/>
      <c r="AJ7757" s="148"/>
      <c r="AK7757" s="143"/>
      <c r="AL7757" s="144"/>
      <c r="AM7757" s="22"/>
      <c r="AN7757" s="149"/>
      <c r="AO7757" s="144"/>
      <c r="AP7757" s="148"/>
      <c r="AQ7757" s="144"/>
      <c r="AR7757" s="120"/>
      <c r="AS7757" s="121"/>
      <c r="AT7757" s="120"/>
      <c r="AU7757" s="121"/>
      <c r="AV7757" s="120"/>
      <c r="AW7757" s="121"/>
      <c r="AX7757" s="120"/>
      <c r="AY7757" s="121"/>
      <c r="AZ7757" s="138"/>
    </row>
    <row r="7758" spans="1:52" ht="17.100000000000001" customHeight="1" thickTop="1">
      <c r="A7758" s="109" t="s">
        <v>22024</v>
      </c>
      <c r="B7758" s="28">
        <v>46114</v>
      </c>
      <c r="C7758" s="25">
        <v>2152</v>
      </c>
      <c r="D7758" s="13" t="s">
        <v>2963</v>
      </c>
      <c r="E7758" s="111"/>
      <c r="F7758" s="113" t="s">
        <v>22158</v>
      </c>
      <c r="G7758" s="114"/>
      <c r="H7758" s="115"/>
      <c r="I7758" s="24" t="s">
        <v>22159</v>
      </c>
      <c r="J7758" s="116">
        <v>4</v>
      </c>
      <c r="K7758" s="118">
        <v>926000</v>
      </c>
      <c r="L7758" s="119"/>
      <c r="M7758" s="118">
        <f t="shared" ref="M7758" si="11422">K7758*0.1</f>
        <v>92600</v>
      </c>
      <c r="N7758" s="119"/>
      <c r="O7758" s="118">
        <v>0</v>
      </c>
      <c r="P7758" s="119"/>
      <c r="Q7758" s="118">
        <v>9710</v>
      </c>
      <c r="R7758" s="119"/>
      <c r="S7758" s="118">
        <v>14300</v>
      </c>
      <c r="T7758" s="119"/>
      <c r="U7758" s="118">
        <f t="shared" ref="U7758" si="11423">SUM(K7758:T7759)</f>
        <v>1042610</v>
      </c>
      <c r="V7758" s="122"/>
      <c r="W7758" s="124"/>
      <c r="X7758" s="126" t="s">
        <v>22160</v>
      </c>
      <c r="Y7758" s="127"/>
      <c r="Z7758" s="127"/>
      <c r="AA7758" s="127"/>
      <c r="AB7758" s="128"/>
      <c r="AC7758" s="15" t="s">
        <v>20</v>
      </c>
      <c r="AD7758" s="129"/>
      <c r="AE7758" s="130"/>
      <c r="AF7758" s="130"/>
      <c r="AG7758" s="130"/>
      <c r="AH7758" s="130"/>
      <c r="AI7758" s="131"/>
      <c r="AJ7758" s="132"/>
      <c r="AK7758" s="127"/>
      <c r="AL7758" s="128"/>
      <c r="AM7758" s="21"/>
      <c r="AN7758" s="133">
        <v>46120</v>
      </c>
      <c r="AO7758" s="134"/>
      <c r="AP7758" s="135">
        <v>1012</v>
      </c>
      <c r="AQ7758" s="136"/>
      <c r="AR7758" s="118">
        <v>950000</v>
      </c>
      <c r="AS7758" s="119"/>
      <c r="AT7758" s="118">
        <f t="shared" ref="AT7758" si="11424">AR7758*0.1</f>
        <v>95000</v>
      </c>
      <c r="AU7758" s="119"/>
      <c r="AV7758" s="118">
        <v>9710</v>
      </c>
      <c r="AW7758" s="119"/>
      <c r="AX7758" s="118">
        <f t="shared" ref="AX7758" si="11425">SUM(AR7758:AW7758)</f>
        <v>1054710</v>
      </c>
      <c r="AY7758" s="119"/>
      <c r="AZ7758" s="137">
        <v>46125</v>
      </c>
    </row>
    <row r="7759" spans="1:52" ht="17.100000000000001" customHeight="1" thickBot="1">
      <c r="A7759" s="110"/>
      <c r="B7759" s="27" t="s">
        <v>1940</v>
      </c>
      <c r="C7759" s="27">
        <v>2512</v>
      </c>
      <c r="D7759" s="14" t="s">
        <v>2601</v>
      </c>
      <c r="E7759" s="112"/>
      <c r="F7759" s="139" t="s">
        <v>22046</v>
      </c>
      <c r="G7759" s="140"/>
      <c r="H7759" s="141"/>
      <c r="I7759" s="26">
        <v>65536</v>
      </c>
      <c r="J7759" s="117"/>
      <c r="K7759" s="120"/>
      <c r="L7759" s="121"/>
      <c r="M7759" s="120"/>
      <c r="N7759" s="121"/>
      <c r="O7759" s="120"/>
      <c r="P7759" s="121"/>
      <c r="Q7759" s="120"/>
      <c r="R7759" s="121"/>
      <c r="S7759" s="120"/>
      <c r="T7759" s="121"/>
      <c r="U7759" s="120"/>
      <c r="V7759" s="123"/>
      <c r="W7759" s="125"/>
      <c r="X7759" s="142" t="s">
        <v>1656</v>
      </c>
      <c r="Y7759" s="143"/>
      <c r="Z7759" s="143"/>
      <c r="AA7759" s="143"/>
      <c r="AB7759" s="144"/>
      <c r="AC7759" s="16" t="s">
        <v>21</v>
      </c>
      <c r="AD7759" s="17" t="s">
        <v>1825</v>
      </c>
      <c r="AE7759" s="145" t="s">
        <v>2401</v>
      </c>
      <c r="AF7759" s="146"/>
      <c r="AG7759" s="146"/>
      <c r="AH7759" s="146"/>
      <c r="AI7759" s="147"/>
      <c r="AJ7759" s="148"/>
      <c r="AK7759" s="143"/>
      <c r="AL7759" s="144"/>
      <c r="AM7759" s="22"/>
      <c r="AN7759" s="149" t="s">
        <v>2794</v>
      </c>
      <c r="AO7759" s="144"/>
      <c r="AP7759" s="148">
        <v>5095</v>
      </c>
      <c r="AQ7759" s="144"/>
      <c r="AR7759" s="120"/>
      <c r="AS7759" s="121"/>
      <c r="AT7759" s="120"/>
      <c r="AU7759" s="121"/>
      <c r="AV7759" s="120"/>
      <c r="AW7759" s="121"/>
      <c r="AX7759" s="120"/>
      <c r="AY7759" s="121"/>
      <c r="AZ7759" s="138"/>
    </row>
    <row r="7760" spans="1:52" ht="17.100000000000001" customHeight="1" thickTop="1">
      <c r="A7760" s="109" t="s">
        <v>22025</v>
      </c>
      <c r="B7760" s="28">
        <v>46114</v>
      </c>
      <c r="C7760" s="25">
        <v>2152</v>
      </c>
      <c r="D7760" s="13" t="s">
        <v>1561</v>
      </c>
      <c r="E7760" s="111"/>
      <c r="F7760" s="113" t="s">
        <v>20214</v>
      </c>
      <c r="G7760" s="114"/>
      <c r="H7760" s="115"/>
      <c r="I7760" s="24"/>
      <c r="J7760" s="116">
        <v>4</v>
      </c>
      <c r="K7760" s="118">
        <v>531000</v>
      </c>
      <c r="L7760" s="119"/>
      <c r="M7760" s="118">
        <f t="shared" ref="M7760" si="11426">K7760*0.1</f>
        <v>53100</v>
      </c>
      <c r="N7760" s="119"/>
      <c r="O7760" s="118">
        <v>0</v>
      </c>
      <c r="P7760" s="119"/>
      <c r="Q7760" s="118">
        <v>8860</v>
      </c>
      <c r="R7760" s="119"/>
      <c r="S7760" s="118">
        <v>14300</v>
      </c>
      <c r="T7760" s="119"/>
      <c r="U7760" s="118">
        <f t="shared" ref="U7760" si="11427">SUM(K7760:T7761)</f>
        <v>607260</v>
      </c>
      <c r="V7760" s="122"/>
      <c r="W7760" s="124"/>
      <c r="X7760" s="126" t="s">
        <v>22289</v>
      </c>
      <c r="Y7760" s="127"/>
      <c r="Z7760" s="127"/>
      <c r="AA7760" s="127"/>
      <c r="AB7760" s="128"/>
      <c r="AC7760" s="15" t="s">
        <v>20</v>
      </c>
      <c r="AD7760" s="129"/>
      <c r="AE7760" s="130"/>
      <c r="AF7760" s="130"/>
      <c r="AG7760" s="130"/>
      <c r="AH7760" s="130"/>
      <c r="AI7760" s="131"/>
      <c r="AJ7760" s="132"/>
      <c r="AK7760" s="127"/>
      <c r="AL7760" s="128"/>
      <c r="AM7760" s="21"/>
      <c r="AN7760" s="133">
        <v>46120</v>
      </c>
      <c r="AO7760" s="134"/>
      <c r="AP7760" s="135">
        <v>1012</v>
      </c>
      <c r="AQ7760" s="136"/>
      <c r="AR7760" s="118">
        <v>600000</v>
      </c>
      <c r="AS7760" s="119"/>
      <c r="AT7760" s="118">
        <f t="shared" ref="AT7760" si="11428">AR7760*0.1</f>
        <v>60000</v>
      </c>
      <c r="AU7760" s="119"/>
      <c r="AV7760" s="118">
        <v>8860</v>
      </c>
      <c r="AW7760" s="119"/>
      <c r="AX7760" s="118">
        <f t="shared" ref="AX7760" si="11429">SUM(AR7760:AW7760)</f>
        <v>668860</v>
      </c>
      <c r="AY7760" s="119"/>
      <c r="AZ7760" s="137">
        <v>46125</v>
      </c>
    </row>
    <row r="7761" spans="1:52" ht="17.100000000000001" customHeight="1" thickBot="1">
      <c r="A7761" s="110"/>
      <c r="B7761" s="27" t="s">
        <v>1940</v>
      </c>
      <c r="C7761" s="27">
        <v>2564</v>
      </c>
      <c r="D7761" s="14" t="s">
        <v>2560</v>
      </c>
      <c r="E7761" s="112"/>
      <c r="F7761" s="139" t="s">
        <v>22047</v>
      </c>
      <c r="G7761" s="140"/>
      <c r="H7761" s="141"/>
      <c r="I7761" s="26">
        <v>49719</v>
      </c>
      <c r="J7761" s="117"/>
      <c r="K7761" s="120"/>
      <c r="L7761" s="121"/>
      <c r="M7761" s="120"/>
      <c r="N7761" s="121"/>
      <c r="O7761" s="120"/>
      <c r="P7761" s="121"/>
      <c r="Q7761" s="120"/>
      <c r="R7761" s="121"/>
      <c r="S7761" s="120"/>
      <c r="T7761" s="121"/>
      <c r="U7761" s="120"/>
      <c r="V7761" s="123"/>
      <c r="W7761" s="125"/>
      <c r="X7761" s="142" t="s">
        <v>22290</v>
      </c>
      <c r="Y7761" s="143"/>
      <c r="Z7761" s="143"/>
      <c r="AA7761" s="143"/>
      <c r="AB7761" s="144"/>
      <c r="AC7761" s="16" t="s">
        <v>21</v>
      </c>
      <c r="AD7761" s="17" t="s">
        <v>1922</v>
      </c>
      <c r="AE7761" s="145" t="s">
        <v>7860</v>
      </c>
      <c r="AF7761" s="146"/>
      <c r="AG7761" s="146"/>
      <c r="AH7761" s="146"/>
      <c r="AI7761" s="147"/>
      <c r="AJ7761" s="148"/>
      <c r="AK7761" s="143"/>
      <c r="AL7761" s="144"/>
      <c r="AM7761" s="22"/>
      <c r="AN7761" s="149" t="s">
        <v>2794</v>
      </c>
      <c r="AO7761" s="144"/>
      <c r="AP7761" s="148">
        <v>5082</v>
      </c>
      <c r="AQ7761" s="144"/>
      <c r="AR7761" s="120"/>
      <c r="AS7761" s="121"/>
      <c r="AT7761" s="120"/>
      <c r="AU7761" s="121"/>
      <c r="AV7761" s="120"/>
      <c r="AW7761" s="121"/>
      <c r="AX7761" s="120"/>
      <c r="AY7761" s="121"/>
      <c r="AZ7761" s="138"/>
    </row>
    <row r="7762" spans="1:52" ht="17.100000000000001" customHeight="1" thickTop="1">
      <c r="A7762" s="109" t="s">
        <v>22026</v>
      </c>
      <c r="B7762" s="28">
        <v>46114</v>
      </c>
      <c r="C7762" s="25">
        <v>2152</v>
      </c>
      <c r="D7762" s="13" t="s">
        <v>1855</v>
      </c>
      <c r="E7762" s="111"/>
      <c r="F7762" s="113" t="s">
        <v>17242</v>
      </c>
      <c r="G7762" s="114"/>
      <c r="H7762" s="115"/>
      <c r="I7762" s="24" t="s">
        <v>5462</v>
      </c>
      <c r="J7762" s="116">
        <v>4</v>
      </c>
      <c r="K7762" s="118">
        <v>754000</v>
      </c>
      <c r="L7762" s="119"/>
      <c r="M7762" s="118">
        <f t="shared" ref="M7762" si="11430">K7762*0.1</f>
        <v>75400</v>
      </c>
      <c r="N7762" s="119"/>
      <c r="O7762" s="118">
        <v>0</v>
      </c>
      <c r="P7762" s="119"/>
      <c r="Q7762" s="118">
        <v>9010</v>
      </c>
      <c r="R7762" s="119"/>
      <c r="S7762" s="118">
        <v>14300</v>
      </c>
      <c r="T7762" s="119"/>
      <c r="U7762" s="118">
        <f t="shared" ref="U7762" si="11431">SUM(K7762:T7763)</f>
        <v>852710</v>
      </c>
      <c r="V7762" s="122"/>
      <c r="W7762" s="124"/>
      <c r="X7762" s="126" t="s">
        <v>22161</v>
      </c>
      <c r="Y7762" s="127"/>
      <c r="Z7762" s="127"/>
      <c r="AA7762" s="127"/>
      <c r="AB7762" s="128"/>
      <c r="AC7762" s="15" t="s">
        <v>20</v>
      </c>
      <c r="AD7762" s="129"/>
      <c r="AE7762" s="130"/>
      <c r="AF7762" s="130"/>
      <c r="AG7762" s="130"/>
      <c r="AH7762" s="130"/>
      <c r="AI7762" s="131"/>
      <c r="AJ7762" s="132"/>
      <c r="AK7762" s="127"/>
      <c r="AL7762" s="128"/>
      <c r="AM7762" s="21"/>
      <c r="AN7762" s="133">
        <v>46134</v>
      </c>
      <c r="AO7762" s="134"/>
      <c r="AP7762" s="135">
        <v>1014</v>
      </c>
      <c r="AQ7762" s="136"/>
      <c r="AR7762" s="118">
        <v>895000</v>
      </c>
      <c r="AS7762" s="119"/>
      <c r="AT7762" s="118">
        <f t="shared" ref="AT7762" si="11432">AR7762*0.1</f>
        <v>89500</v>
      </c>
      <c r="AU7762" s="119"/>
      <c r="AV7762" s="118">
        <v>9010</v>
      </c>
      <c r="AW7762" s="119"/>
      <c r="AX7762" s="118">
        <f t="shared" ref="AX7762" si="11433">SUM(AR7762:AW7762)</f>
        <v>993510</v>
      </c>
      <c r="AY7762" s="119"/>
      <c r="AZ7762" s="137">
        <v>46139</v>
      </c>
    </row>
    <row r="7763" spans="1:52" ht="17.100000000000001" customHeight="1" thickBot="1">
      <c r="A7763" s="110"/>
      <c r="B7763" s="27" t="s">
        <v>1940</v>
      </c>
      <c r="C7763" s="27">
        <v>2573</v>
      </c>
      <c r="D7763" s="14" t="s">
        <v>275</v>
      </c>
      <c r="E7763" s="112"/>
      <c r="F7763" s="139" t="s">
        <v>22048</v>
      </c>
      <c r="G7763" s="140"/>
      <c r="H7763" s="141"/>
      <c r="I7763" s="26">
        <v>93696</v>
      </c>
      <c r="J7763" s="117"/>
      <c r="K7763" s="120"/>
      <c r="L7763" s="121"/>
      <c r="M7763" s="120"/>
      <c r="N7763" s="121"/>
      <c r="O7763" s="120"/>
      <c r="P7763" s="121"/>
      <c r="Q7763" s="120"/>
      <c r="R7763" s="121"/>
      <c r="S7763" s="120"/>
      <c r="T7763" s="121"/>
      <c r="U7763" s="120"/>
      <c r="V7763" s="123"/>
      <c r="W7763" s="125"/>
      <c r="X7763" s="142" t="s">
        <v>22291</v>
      </c>
      <c r="Y7763" s="143"/>
      <c r="Z7763" s="143"/>
      <c r="AA7763" s="143"/>
      <c r="AB7763" s="144"/>
      <c r="AC7763" s="16" t="s">
        <v>21</v>
      </c>
      <c r="AD7763" s="17" t="s">
        <v>1922</v>
      </c>
      <c r="AE7763" s="145"/>
      <c r="AF7763" s="146"/>
      <c r="AG7763" s="146"/>
      <c r="AH7763" s="146"/>
      <c r="AI7763" s="147"/>
      <c r="AJ7763" s="148"/>
      <c r="AK7763" s="143"/>
      <c r="AL7763" s="144"/>
      <c r="AM7763" s="22"/>
      <c r="AN7763" s="149" t="s">
        <v>23987</v>
      </c>
      <c r="AO7763" s="144"/>
      <c r="AP7763" s="148">
        <v>2068</v>
      </c>
      <c r="AQ7763" s="144"/>
      <c r="AR7763" s="120"/>
      <c r="AS7763" s="121"/>
      <c r="AT7763" s="120"/>
      <c r="AU7763" s="121"/>
      <c r="AV7763" s="120"/>
      <c r="AW7763" s="121"/>
      <c r="AX7763" s="120"/>
      <c r="AY7763" s="121"/>
      <c r="AZ7763" s="138"/>
    </row>
    <row r="7764" spans="1:52" ht="17.100000000000001" customHeight="1" thickTop="1">
      <c r="A7764" s="109" t="s">
        <v>22027</v>
      </c>
      <c r="B7764" s="28">
        <v>46114</v>
      </c>
      <c r="C7764" s="25">
        <v>2152</v>
      </c>
      <c r="D7764" s="13" t="s">
        <v>3322</v>
      </c>
      <c r="E7764" s="111"/>
      <c r="F7764" s="113" t="s">
        <v>22162</v>
      </c>
      <c r="G7764" s="114"/>
      <c r="H7764" s="115"/>
      <c r="I7764" s="24" t="s">
        <v>2571</v>
      </c>
      <c r="J7764" s="116">
        <v>4.5</v>
      </c>
      <c r="K7764" s="118">
        <v>916000</v>
      </c>
      <c r="L7764" s="119"/>
      <c r="M7764" s="118">
        <f t="shared" ref="M7764" si="11434">K7764*0.1</f>
        <v>91600</v>
      </c>
      <c r="N7764" s="119"/>
      <c r="O7764" s="118">
        <v>0</v>
      </c>
      <c r="P7764" s="119"/>
      <c r="Q7764" s="118">
        <v>8790</v>
      </c>
      <c r="R7764" s="119"/>
      <c r="S7764" s="118">
        <v>14300</v>
      </c>
      <c r="T7764" s="119"/>
      <c r="U7764" s="118">
        <f t="shared" ref="U7764" si="11435">SUM(K7764:T7765)</f>
        <v>1030690</v>
      </c>
      <c r="V7764" s="122"/>
      <c r="W7764" s="124"/>
      <c r="X7764" s="126" t="s">
        <v>22163</v>
      </c>
      <c r="Y7764" s="127"/>
      <c r="Z7764" s="127"/>
      <c r="AA7764" s="127"/>
      <c r="AB7764" s="128"/>
      <c r="AC7764" s="15" t="s">
        <v>20</v>
      </c>
      <c r="AD7764" s="129"/>
      <c r="AE7764" s="130"/>
      <c r="AF7764" s="130"/>
      <c r="AG7764" s="130"/>
      <c r="AH7764" s="130"/>
      <c r="AI7764" s="131"/>
      <c r="AJ7764" s="132"/>
      <c r="AK7764" s="127"/>
      <c r="AL7764" s="128"/>
      <c r="AM7764" s="21"/>
      <c r="AN7764" s="133">
        <v>46120</v>
      </c>
      <c r="AO7764" s="134"/>
      <c r="AP7764" s="135">
        <v>1012</v>
      </c>
      <c r="AQ7764" s="136"/>
      <c r="AR7764" s="118">
        <v>995000</v>
      </c>
      <c r="AS7764" s="119"/>
      <c r="AT7764" s="118">
        <f t="shared" ref="AT7764" si="11436">AR7764*0.1</f>
        <v>99500</v>
      </c>
      <c r="AU7764" s="119"/>
      <c r="AV7764" s="118">
        <v>8790</v>
      </c>
      <c r="AW7764" s="119"/>
      <c r="AX7764" s="118">
        <f t="shared" ref="AX7764" si="11437">SUM(AR7764:AW7764)</f>
        <v>1103290</v>
      </c>
      <c r="AY7764" s="119"/>
      <c r="AZ7764" s="137">
        <v>46125</v>
      </c>
    </row>
    <row r="7765" spans="1:52" ht="17.100000000000001" customHeight="1" thickBot="1">
      <c r="A7765" s="110"/>
      <c r="B7765" s="27" t="s">
        <v>1940</v>
      </c>
      <c r="C7765" s="27">
        <v>2596</v>
      </c>
      <c r="D7765" s="14" t="s">
        <v>2800</v>
      </c>
      <c r="E7765" s="112"/>
      <c r="F7765" s="139" t="s">
        <v>22049</v>
      </c>
      <c r="G7765" s="140"/>
      <c r="H7765" s="141"/>
      <c r="I7765" s="26">
        <v>30304</v>
      </c>
      <c r="J7765" s="117"/>
      <c r="K7765" s="120"/>
      <c r="L7765" s="121"/>
      <c r="M7765" s="120"/>
      <c r="N7765" s="121"/>
      <c r="O7765" s="120"/>
      <c r="P7765" s="121"/>
      <c r="Q7765" s="120"/>
      <c r="R7765" s="121"/>
      <c r="S7765" s="120"/>
      <c r="T7765" s="121"/>
      <c r="U7765" s="120"/>
      <c r="V7765" s="123"/>
      <c r="W7765" s="125"/>
      <c r="X7765" s="142" t="s">
        <v>3468</v>
      </c>
      <c r="Y7765" s="143"/>
      <c r="Z7765" s="143"/>
      <c r="AA7765" s="143"/>
      <c r="AB7765" s="144"/>
      <c r="AC7765" s="16" t="s">
        <v>21</v>
      </c>
      <c r="AD7765" s="17" t="s">
        <v>1922</v>
      </c>
      <c r="AE7765" s="145" t="s">
        <v>171</v>
      </c>
      <c r="AF7765" s="146"/>
      <c r="AG7765" s="146"/>
      <c r="AH7765" s="146"/>
      <c r="AI7765" s="147"/>
      <c r="AJ7765" s="148"/>
      <c r="AK7765" s="143"/>
      <c r="AL7765" s="144"/>
      <c r="AM7765" s="22"/>
      <c r="AN7765" s="149" t="s">
        <v>2794</v>
      </c>
      <c r="AO7765" s="144"/>
      <c r="AP7765" s="148">
        <v>5072</v>
      </c>
      <c r="AQ7765" s="144"/>
      <c r="AR7765" s="120"/>
      <c r="AS7765" s="121"/>
      <c r="AT7765" s="120"/>
      <c r="AU7765" s="121"/>
      <c r="AV7765" s="120"/>
      <c r="AW7765" s="121"/>
      <c r="AX7765" s="120"/>
      <c r="AY7765" s="121"/>
      <c r="AZ7765" s="138"/>
    </row>
    <row r="7766" spans="1:52" ht="17.100000000000001" customHeight="1" thickTop="1">
      <c r="A7766" s="109" t="s">
        <v>22028</v>
      </c>
      <c r="B7766" s="28">
        <v>46115</v>
      </c>
      <c r="C7766" s="25">
        <v>1413</v>
      </c>
      <c r="D7766" s="13" t="s">
        <v>3461</v>
      </c>
      <c r="E7766" s="111"/>
      <c r="F7766" s="113" t="s">
        <v>22050</v>
      </c>
      <c r="G7766" s="114"/>
      <c r="H7766" s="115"/>
      <c r="I7766" s="24" t="s">
        <v>22193</v>
      </c>
      <c r="J7766" s="116">
        <v>4.5</v>
      </c>
      <c r="K7766" s="118">
        <v>1481000</v>
      </c>
      <c r="L7766" s="119"/>
      <c r="M7766" s="118">
        <f t="shared" ref="M7766" si="11438">K7766*0.1</f>
        <v>148100</v>
      </c>
      <c r="N7766" s="119"/>
      <c r="O7766" s="118">
        <v>0</v>
      </c>
      <c r="P7766" s="119"/>
      <c r="Q7766" s="118">
        <v>8200</v>
      </c>
      <c r="R7766" s="119"/>
      <c r="S7766" s="118">
        <v>15400</v>
      </c>
      <c r="T7766" s="119"/>
      <c r="U7766" s="118">
        <f t="shared" ref="U7766" si="11439">SUM(K7766:T7767)</f>
        <v>1652700</v>
      </c>
      <c r="V7766" s="122"/>
      <c r="W7766" s="124"/>
      <c r="X7766" s="126" t="s">
        <v>22542</v>
      </c>
      <c r="Y7766" s="127"/>
      <c r="Z7766" s="127"/>
      <c r="AA7766" s="127"/>
      <c r="AB7766" s="128"/>
      <c r="AC7766" s="15" t="s">
        <v>20</v>
      </c>
      <c r="AD7766" s="129"/>
      <c r="AE7766" s="130"/>
      <c r="AF7766" s="130"/>
      <c r="AG7766" s="130"/>
      <c r="AH7766" s="130"/>
      <c r="AI7766" s="131"/>
      <c r="AJ7766" s="132"/>
      <c r="AK7766" s="127"/>
      <c r="AL7766" s="128"/>
      <c r="AM7766" s="21"/>
      <c r="AN7766" s="133">
        <v>46134</v>
      </c>
      <c r="AO7766" s="134"/>
      <c r="AP7766" s="135">
        <v>1014</v>
      </c>
      <c r="AQ7766" s="136"/>
      <c r="AR7766" s="118">
        <v>1535000</v>
      </c>
      <c r="AS7766" s="119"/>
      <c r="AT7766" s="118">
        <f t="shared" ref="AT7766" si="11440">AR7766*0.1</f>
        <v>153500</v>
      </c>
      <c r="AU7766" s="119"/>
      <c r="AV7766" s="118">
        <v>8200</v>
      </c>
      <c r="AW7766" s="119"/>
      <c r="AX7766" s="118">
        <f t="shared" ref="AX7766" si="11441">SUM(AR7766:AW7766)</f>
        <v>1696700</v>
      </c>
      <c r="AY7766" s="119"/>
      <c r="AZ7766" s="137">
        <v>46139</v>
      </c>
    </row>
    <row r="7767" spans="1:52" ht="17.100000000000001" customHeight="1" thickBot="1">
      <c r="A7767" s="110"/>
      <c r="B7767" s="27" t="s">
        <v>2641</v>
      </c>
      <c r="C7767" s="27">
        <v>3002</v>
      </c>
      <c r="D7767" s="14" t="s">
        <v>904</v>
      </c>
      <c r="E7767" s="112"/>
      <c r="F7767" s="139" t="s">
        <v>22051</v>
      </c>
      <c r="G7767" s="140"/>
      <c r="H7767" s="141"/>
      <c r="I7767" s="26">
        <v>52492</v>
      </c>
      <c r="J7767" s="117"/>
      <c r="K7767" s="120"/>
      <c r="L7767" s="121"/>
      <c r="M7767" s="120"/>
      <c r="N7767" s="121"/>
      <c r="O7767" s="120"/>
      <c r="P7767" s="121"/>
      <c r="Q7767" s="120"/>
      <c r="R7767" s="121"/>
      <c r="S7767" s="120"/>
      <c r="T7767" s="121"/>
      <c r="U7767" s="120"/>
      <c r="V7767" s="123"/>
      <c r="W7767" s="125"/>
      <c r="X7767" s="142" t="s">
        <v>1997</v>
      </c>
      <c r="Y7767" s="143"/>
      <c r="Z7767" s="143"/>
      <c r="AA7767" s="143"/>
      <c r="AB7767" s="144"/>
      <c r="AC7767" s="16" t="s">
        <v>21</v>
      </c>
      <c r="AD7767" s="17" t="s">
        <v>1825</v>
      </c>
      <c r="AE7767" s="145" t="s">
        <v>13631</v>
      </c>
      <c r="AF7767" s="146"/>
      <c r="AG7767" s="146"/>
      <c r="AH7767" s="146"/>
      <c r="AI7767" s="147"/>
      <c r="AJ7767" s="148"/>
      <c r="AK7767" s="143"/>
      <c r="AL7767" s="144"/>
      <c r="AM7767" s="22"/>
      <c r="AN7767" s="149" t="s">
        <v>23987</v>
      </c>
      <c r="AO7767" s="144"/>
      <c r="AP7767" s="148">
        <v>2042</v>
      </c>
      <c r="AQ7767" s="144"/>
      <c r="AR7767" s="120"/>
      <c r="AS7767" s="121"/>
      <c r="AT7767" s="120"/>
      <c r="AU7767" s="121"/>
      <c r="AV7767" s="120"/>
      <c r="AW7767" s="121"/>
      <c r="AX7767" s="120"/>
      <c r="AY7767" s="121"/>
      <c r="AZ7767" s="138"/>
    </row>
    <row r="7768" spans="1:52" ht="17.100000000000001" customHeight="1" thickTop="1">
      <c r="A7768" s="109" t="s">
        <v>22029</v>
      </c>
      <c r="B7768" s="28">
        <v>46115</v>
      </c>
      <c r="C7768" s="25">
        <v>1413</v>
      </c>
      <c r="D7768" s="13" t="s">
        <v>2234</v>
      </c>
      <c r="E7768" s="111"/>
      <c r="F7768" s="113" t="s">
        <v>22052</v>
      </c>
      <c r="G7768" s="114"/>
      <c r="H7768" s="115"/>
      <c r="I7768" s="24" t="s">
        <v>12180</v>
      </c>
      <c r="J7768" s="116">
        <v>4</v>
      </c>
      <c r="K7768" s="118">
        <v>1198000</v>
      </c>
      <c r="L7768" s="119"/>
      <c r="M7768" s="118">
        <f t="shared" ref="M7768" si="11442">K7768*0.1</f>
        <v>119800</v>
      </c>
      <c r="N7768" s="119"/>
      <c r="O7768" s="118">
        <v>39820</v>
      </c>
      <c r="P7768" s="119"/>
      <c r="Q7768" s="118">
        <v>10120</v>
      </c>
      <c r="R7768" s="119"/>
      <c r="S7768" s="118">
        <v>15400</v>
      </c>
      <c r="T7768" s="119"/>
      <c r="U7768" s="118">
        <f t="shared" ref="U7768" si="11443">SUM(K7768:T7769)</f>
        <v>1383140</v>
      </c>
      <c r="V7768" s="122"/>
      <c r="W7768" s="124"/>
      <c r="X7768" s="126" t="s">
        <v>22440</v>
      </c>
      <c r="Y7768" s="127"/>
      <c r="Z7768" s="127"/>
      <c r="AA7768" s="127"/>
      <c r="AB7768" s="128"/>
      <c r="AC7768" s="15" t="s">
        <v>20</v>
      </c>
      <c r="AD7768" s="129"/>
      <c r="AE7768" s="130"/>
      <c r="AF7768" s="130"/>
      <c r="AG7768" s="130"/>
      <c r="AH7768" s="130"/>
      <c r="AI7768" s="131"/>
      <c r="AJ7768" s="132"/>
      <c r="AK7768" s="127"/>
      <c r="AL7768" s="128"/>
      <c r="AM7768" s="21"/>
      <c r="AN7768" s="133">
        <v>46120</v>
      </c>
      <c r="AO7768" s="134"/>
      <c r="AP7768" s="135">
        <v>1012</v>
      </c>
      <c r="AQ7768" s="136"/>
      <c r="AR7768" s="118">
        <v>1405000</v>
      </c>
      <c r="AS7768" s="119"/>
      <c r="AT7768" s="118">
        <f t="shared" ref="AT7768" si="11444">AR7768*0.1</f>
        <v>140500</v>
      </c>
      <c r="AU7768" s="119"/>
      <c r="AV7768" s="118">
        <v>10120</v>
      </c>
      <c r="AW7768" s="119"/>
      <c r="AX7768" s="118">
        <f t="shared" ref="AX7768" si="11445">SUM(AR7768:AW7768)</f>
        <v>1555620</v>
      </c>
      <c r="AY7768" s="119"/>
      <c r="AZ7768" s="137">
        <v>46125</v>
      </c>
    </row>
    <row r="7769" spans="1:52" ht="17.100000000000001" customHeight="1" thickBot="1">
      <c r="A7769" s="110"/>
      <c r="B7769" s="27" t="s">
        <v>2641</v>
      </c>
      <c r="C7769" s="27">
        <v>3150</v>
      </c>
      <c r="D7769" s="14" t="s">
        <v>275</v>
      </c>
      <c r="E7769" s="112"/>
      <c r="F7769" s="139" t="s">
        <v>22053</v>
      </c>
      <c r="G7769" s="140"/>
      <c r="H7769" s="141"/>
      <c r="I7769" s="26">
        <v>43108</v>
      </c>
      <c r="J7769" s="117"/>
      <c r="K7769" s="120"/>
      <c r="L7769" s="121"/>
      <c r="M7769" s="120"/>
      <c r="N7769" s="121"/>
      <c r="O7769" s="120"/>
      <c r="P7769" s="121"/>
      <c r="Q7769" s="120"/>
      <c r="R7769" s="121"/>
      <c r="S7769" s="120"/>
      <c r="T7769" s="121"/>
      <c r="U7769" s="120"/>
      <c r="V7769" s="123"/>
      <c r="W7769" s="125"/>
      <c r="X7769" s="142" t="s">
        <v>22441</v>
      </c>
      <c r="Y7769" s="143"/>
      <c r="Z7769" s="143"/>
      <c r="AA7769" s="143"/>
      <c r="AB7769" s="144"/>
      <c r="AC7769" s="16" t="s">
        <v>21</v>
      </c>
      <c r="AD7769" s="17" t="s">
        <v>1825</v>
      </c>
      <c r="AE7769" s="145" t="s">
        <v>171</v>
      </c>
      <c r="AF7769" s="146"/>
      <c r="AG7769" s="146"/>
      <c r="AH7769" s="146"/>
      <c r="AI7769" s="147"/>
      <c r="AJ7769" s="148"/>
      <c r="AK7769" s="143"/>
      <c r="AL7769" s="144"/>
      <c r="AM7769" s="22"/>
      <c r="AN7769" s="149" t="s">
        <v>2794</v>
      </c>
      <c r="AO7769" s="144"/>
      <c r="AP7769" s="148">
        <v>5149</v>
      </c>
      <c r="AQ7769" s="144"/>
      <c r="AR7769" s="120"/>
      <c r="AS7769" s="121"/>
      <c r="AT7769" s="120"/>
      <c r="AU7769" s="121"/>
      <c r="AV7769" s="120"/>
      <c r="AW7769" s="121"/>
      <c r="AX7769" s="120"/>
      <c r="AY7769" s="121"/>
      <c r="AZ7769" s="138"/>
    </row>
    <row r="7770" spans="1:52" ht="17.100000000000001" customHeight="1" thickTop="1">
      <c r="A7770" s="109" t="s">
        <v>22030</v>
      </c>
      <c r="B7770" s="28">
        <v>46115</v>
      </c>
      <c r="C7770" s="25">
        <v>1413</v>
      </c>
      <c r="D7770" s="13" t="s">
        <v>2458</v>
      </c>
      <c r="E7770" s="111"/>
      <c r="F7770" s="113" t="s">
        <v>21528</v>
      </c>
      <c r="G7770" s="114"/>
      <c r="H7770" s="115"/>
      <c r="I7770" s="24" t="s">
        <v>4769</v>
      </c>
      <c r="J7770" s="116">
        <v>4</v>
      </c>
      <c r="K7770" s="118">
        <v>1535000</v>
      </c>
      <c r="L7770" s="119"/>
      <c r="M7770" s="118">
        <f t="shared" ref="M7770" si="11446">K7770*0.1</f>
        <v>153500</v>
      </c>
      <c r="N7770" s="119"/>
      <c r="O7770" s="118">
        <v>39820</v>
      </c>
      <c r="P7770" s="119"/>
      <c r="Q7770" s="118">
        <v>12550</v>
      </c>
      <c r="R7770" s="119"/>
      <c r="S7770" s="118">
        <v>15400</v>
      </c>
      <c r="T7770" s="119"/>
      <c r="U7770" s="118">
        <f t="shared" ref="U7770" si="11447">SUM(K7770:T7771)</f>
        <v>1756270</v>
      </c>
      <c r="V7770" s="122"/>
      <c r="W7770" s="124"/>
      <c r="X7770" s="126" t="s">
        <v>23031</v>
      </c>
      <c r="Y7770" s="127"/>
      <c r="Z7770" s="127"/>
      <c r="AA7770" s="127"/>
      <c r="AB7770" s="128"/>
      <c r="AC7770" s="15" t="s">
        <v>20</v>
      </c>
      <c r="AD7770" s="129" t="s">
        <v>22194</v>
      </c>
      <c r="AE7770" s="130"/>
      <c r="AF7770" s="130"/>
      <c r="AG7770" s="130"/>
      <c r="AH7770" s="130"/>
      <c r="AI7770" s="131"/>
      <c r="AJ7770" s="132"/>
      <c r="AK7770" s="127"/>
      <c r="AL7770" s="128"/>
      <c r="AM7770" s="21"/>
      <c r="AN7770" s="133">
        <v>46127</v>
      </c>
      <c r="AO7770" s="134"/>
      <c r="AP7770" s="135"/>
      <c r="AQ7770" s="136"/>
      <c r="AR7770" s="118">
        <v>1690000</v>
      </c>
      <c r="AS7770" s="119"/>
      <c r="AT7770" s="118">
        <f t="shared" ref="AT7770" si="11448">AR7770*0.1</f>
        <v>169000</v>
      </c>
      <c r="AU7770" s="119"/>
      <c r="AV7770" s="118">
        <v>12550</v>
      </c>
      <c r="AW7770" s="119"/>
      <c r="AX7770" s="118">
        <f t="shared" ref="AX7770" si="11449">SUM(AR7770:AW7770)</f>
        <v>1871550</v>
      </c>
      <c r="AY7770" s="119"/>
      <c r="AZ7770" s="137"/>
    </row>
    <row r="7771" spans="1:52" ht="17.100000000000001" customHeight="1" thickBot="1">
      <c r="A7771" s="110"/>
      <c r="B7771" s="27" t="s">
        <v>2641</v>
      </c>
      <c r="C7771" s="27">
        <v>3200</v>
      </c>
      <c r="D7771" s="14" t="s">
        <v>275</v>
      </c>
      <c r="E7771" s="112"/>
      <c r="F7771" s="139" t="s">
        <v>22054</v>
      </c>
      <c r="G7771" s="140"/>
      <c r="H7771" s="141"/>
      <c r="I7771" s="26">
        <v>69902</v>
      </c>
      <c r="J7771" s="117"/>
      <c r="K7771" s="120"/>
      <c r="L7771" s="121"/>
      <c r="M7771" s="120"/>
      <c r="N7771" s="121"/>
      <c r="O7771" s="120"/>
      <c r="P7771" s="121"/>
      <c r="Q7771" s="120"/>
      <c r="R7771" s="121"/>
      <c r="S7771" s="120"/>
      <c r="T7771" s="121"/>
      <c r="U7771" s="120"/>
      <c r="V7771" s="123"/>
      <c r="W7771" s="125"/>
      <c r="X7771" s="142" t="s">
        <v>23032</v>
      </c>
      <c r="Y7771" s="143"/>
      <c r="Z7771" s="143"/>
      <c r="AA7771" s="143"/>
      <c r="AB7771" s="144"/>
      <c r="AC7771" s="16" t="s">
        <v>21</v>
      </c>
      <c r="AD7771" s="17" t="s">
        <v>23033</v>
      </c>
      <c r="AE7771" s="158" t="s">
        <v>23342</v>
      </c>
      <c r="AF7771" s="146"/>
      <c r="AG7771" s="146"/>
      <c r="AH7771" s="146"/>
      <c r="AI7771" s="147"/>
      <c r="AJ7771" s="148"/>
      <c r="AK7771" s="143"/>
      <c r="AL7771" s="144"/>
      <c r="AM7771" s="22"/>
      <c r="AN7771" s="149" t="s">
        <v>6789</v>
      </c>
      <c r="AO7771" s="144"/>
      <c r="AP7771" s="148">
        <v>46846</v>
      </c>
      <c r="AQ7771" s="144"/>
      <c r="AR7771" s="120"/>
      <c r="AS7771" s="121"/>
      <c r="AT7771" s="120"/>
      <c r="AU7771" s="121"/>
      <c r="AV7771" s="120"/>
      <c r="AW7771" s="121"/>
      <c r="AX7771" s="120"/>
      <c r="AY7771" s="121"/>
      <c r="AZ7771" s="138"/>
    </row>
    <row r="7772" spans="1:52" ht="17.100000000000001" customHeight="1" thickTop="1">
      <c r="A7772" s="109" t="s">
        <v>22031</v>
      </c>
      <c r="B7772" s="28">
        <v>46115</v>
      </c>
      <c r="C7772" s="25">
        <v>1413</v>
      </c>
      <c r="D7772" s="13" t="s">
        <v>1847</v>
      </c>
      <c r="E7772" s="111"/>
      <c r="F7772" s="113" t="s">
        <v>17276</v>
      </c>
      <c r="G7772" s="114"/>
      <c r="H7772" s="115"/>
      <c r="I7772" s="24" t="s">
        <v>18907</v>
      </c>
      <c r="J7772" s="116">
        <v>4.5</v>
      </c>
      <c r="K7772" s="118">
        <v>1594000</v>
      </c>
      <c r="L7772" s="119"/>
      <c r="M7772" s="118">
        <f t="shared" ref="M7772" si="11450">K7772*0.1</f>
        <v>159400</v>
      </c>
      <c r="N7772" s="119"/>
      <c r="O7772" s="118">
        <v>0</v>
      </c>
      <c r="P7772" s="119"/>
      <c r="Q7772" s="118">
        <v>6180</v>
      </c>
      <c r="R7772" s="119"/>
      <c r="S7772" s="118">
        <v>15400</v>
      </c>
      <c r="T7772" s="119"/>
      <c r="U7772" s="118">
        <f t="shared" ref="U7772" si="11451">SUM(K7772:T7773)</f>
        <v>1774980</v>
      </c>
      <c r="V7772" s="122"/>
      <c r="W7772" s="124"/>
      <c r="X7772" s="126" t="s">
        <v>22520</v>
      </c>
      <c r="Y7772" s="127"/>
      <c r="Z7772" s="127"/>
      <c r="AA7772" s="127"/>
      <c r="AB7772" s="128"/>
      <c r="AC7772" s="15" t="s">
        <v>20</v>
      </c>
      <c r="AD7772" s="129" t="s">
        <v>15197</v>
      </c>
      <c r="AE7772" s="130"/>
      <c r="AF7772" s="130"/>
      <c r="AG7772" s="130"/>
      <c r="AH7772" s="130"/>
      <c r="AI7772" s="131"/>
      <c r="AJ7772" s="132"/>
      <c r="AK7772" s="127"/>
      <c r="AL7772" s="128"/>
      <c r="AM7772" s="21"/>
      <c r="AN7772" s="133">
        <v>46120</v>
      </c>
      <c r="AO7772" s="134"/>
      <c r="AP7772" s="135">
        <v>1012</v>
      </c>
      <c r="AQ7772" s="136"/>
      <c r="AR7772" s="118">
        <v>1685000</v>
      </c>
      <c r="AS7772" s="119"/>
      <c r="AT7772" s="118">
        <f t="shared" ref="AT7772" si="11452">AR7772*0.1</f>
        <v>168500</v>
      </c>
      <c r="AU7772" s="119"/>
      <c r="AV7772" s="118">
        <v>6180</v>
      </c>
      <c r="AW7772" s="119"/>
      <c r="AX7772" s="118">
        <f t="shared" ref="AX7772" si="11453">SUM(AR7772:AW7772)</f>
        <v>1859680</v>
      </c>
      <c r="AY7772" s="119"/>
      <c r="AZ7772" s="137">
        <v>46125</v>
      </c>
    </row>
    <row r="7773" spans="1:52" ht="17.100000000000001" customHeight="1" thickBot="1">
      <c r="A7773" s="110"/>
      <c r="B7773" s="27" t="s">
        <v>2641</v>
      </c>
      <c r="C7773" s="27">
        <v>3240</v>
      </c>
      <c r="D7773" s="14" t="s">
        <v>133</v>
      </c>
      <c r="E7773" s="112"/>
      <c r="F7773" s="139" t="s">
        <v>22055</v>
      </c>
      <c r="G7773" s="140"/>
      <c r="H7773" s="141"/>
      <c r="I7773" s="26">
        <v>19870</v>
      </c>
      <c r="J7773" s="117"/>
      <c r="K7773" s="120"/>
      <c r="L7773" s="121"/>
      <c r="M7773" s="120"/>
      <c r="N7773" s="121"/>
      <c r="O7773" s="120"/>
      <c r="P7773" s="121"/>
      <c r="Q7773" s="120"/>
      <c r="R7773" s="121"/>
      <c r="S7773" s="120"/>
      <c r="T7773" s="121"/>
      <c r="U7773" s="120"/>
      <c r="V7773" s="123"/>
      <c r="W7773" s="125"/>
      <c r="X7773" s="142" t="s">
        <v>22521</v>
      </c>
      <c r="Y7773" s="143"/>
      <c r="Z7773" s="143"/>
      <c r="AA7773" s="143"/>
      <c r="AB7773" s="144"/>
      <c r="AC7773" s="16" t="s">
        <v>21</v>
      </c>
      <c r="AD7773" s="17" t="s">
        <v>1795</v>
      </c>
      <c r="AE7773" s="145" t="s">
        <v>22522</v>
      </c>
      <c r="AF7773" s="146"/>
      <c r="AG7773" s="146"/>
      <c r="AH7773" s="146"/>
      <c r="AI7773" s="147"/>
      <c r="AJ7773" s="148"/>
      <c r="AK7773" s="143"/>
      <c r="AL7773" s="144"/>
      <c r="AM7773" s="22"/>
      <c r="AN7773" s="149" t="s">
        <v>2794</v>
      </c>
      <c r="AO7773" s="144"/>
      <c r="AP7773" s="148">
        <v>5101</v>
      </c>
      <c r="AQ7773" s="144"/>
      <c r="AR7773" s="120"/>
      <c r="AS7773" s="121"/>
      <c r="AT7773" s="120"/>
      <c r="AU7773" s="121"/>
      <c r="AV7773" s="120"/>
      <c r="AW7773" s="121"/>
      <c r="AX7773" s="120"/>
      <c r="AY7773" s="121"/>
      <c r="AZ7773" s="138"/>
    </row>
    <row r="7774" spans="1:52" ht="17.100000000000001" customHeight="1" thickTop="1">
      <c r="A7774" s="109" t="s">
        <v>22032</v>
      </c>
      <c r="B7774" s="28">
        <v>46115</v>
      </c>
      <c r="C7774" s="25">
        <v>1413</v>
      </c>
      <c r="D7774" s="13" t="s">
        <v>1597</v>
      </c>
      <c r="E7774" s="111"/>
      <c r="F7774" s="113" t="s">
        <v>17276</v>
      </c>
      <c r="G7774" s="114"/>
      <c r="H7774" s="115"/>
      <c r="I7774" s="24" t="s">
        <v>5124</v>
      </c>
      <c r="J7774" s="116">
        <v>4.5</v>
      </c>
      <c r="K7774" s="118">
        <v>1493000</v>
      </c>
      <c r="L7774" s="119"/>
      <c r="M7774" s="118">
        <f t="shared" ref="M7774" si="11454">K7774*0.1</f>
        <v>149300</v>
      </c>
      <c r="N7774" s="119"/>
      <c r="O7774" s="118">
        <v>0</v>
      </c>
      <c r="P7774" s="119"/>
      <c r="Q7774" s="118">
        <v>8360</v>
      </c>
      <c r="R7774" s="119"/>
      <c r="S7774" s="118">
        <v>15400</v>
      </c>
      <c r="T7774" s="119"/>
      <c r="U7774" s="118">
        <f t="shared" ref="U7774" si="11455">SUM(K7774:T7775)</f>
        <v>1666060</v>
      </c>
      <c r="V7774" s="122"/>
      <c r="W7774" s="124"/>
      <c r="X7774" s="126" t="s">
        <v>22518</v>
      </c>
      <c r="Y7774" s="127"/>
      <c r="Z7774" s="127"/>
      <c r="AA7774" s="127"/>
      <c r="AB7774" s="128"/>
      <c r="AC7774" s="15" t="s">
        <v>20</v>
      </c>
      <c r="AD7774" s="129" t="s">
        <v>22195</v>
      </c>
      <c r="AE7774" s="130"/>
      <c r="AF7774" s="130"/>
      <c r="AG7774" s="130"/>
      <c r="AH7774" s="130"/>
      <c r="AI7774" s="131"/>
      <c r="AJ7774" s="153" t="s">
        <v>23073</v>
      </c>
      <c r="AK7774" s="154"/>
      <c r="AL7774" s="155"/>
      <c r="AM7774" s="21"/>
      <c r="AN7774" s="133">
        <v>46120</v>
      </c>
      <c r="AO7774" s="134"/>
      <c r="AP7774" s="135">
        <v>1012</v>
      </c>
      <c r="AQ7774" s="136"/>
      <c r="AR7774" s="118">
        <v>1565000</v>
      </c>
      <c r="AS7774" s="119"/>
      <c r="AT7774" s="118">
        <f t="shared" ref="AT7774" si="11456">AR7774*0.1</f>
        <v>156500</v>
      </c>
      <c r="AU7774" s="119"/>
      <c r="AV7774" s="118">
        <v>8360</v>
      </c>
      <c r="AW7774" s="119"/>
      <c r="AX7774" s="118">
        <f t="shared" ref="AX7774" si="11457">SUM(AR7774:AW7774)</f>
        <v>1729860</v>
      </c>
      <c r="AY7774" s="119"/>
      <c r="AZ7774" s="137">
        <v>46125</v>
      </c>
    </row>
    <row r="7775" spans="1:52" ht="17.100000000000001" customHeight="1" thickBot="1">
      <c r="A7775" s="110"/>
      <c r="B7775" s="27" t="s">
        <v>2641</v>
      </c>
      <c r="C7775" s="27">
        <v>3288</v>
      </c>
      <c r="D7775" s="14" t="s">
        <v>275</v>
      </c>
      <c r="E7775" s="112"/>
      <c r="F7775" s="139" t="s">
        <v>22056</v>
      </c>
      <c r="G7775" s="140"/>
      <c r="H7775" s="141"/>
      <c r="I7775" s="26">
        <v>38578</v>
      </c>
      <c r="J7775" s="117"/>
      <c r="K7775" s="120"/>
      <c r="L7775" s="121"/>
      <c r="M7775" s="120"/>
      <c r="N7775" s="121"/>
      <c r="O7775" s="120"/>
      <c r="P7775" s="121"/>
      <c r="Q7775" s="120"/>
      <c r="R7775" s="121"/>
      <c r="S7775" s="120"/>
      <c r="T7775" s="121"/>
      <c r="U7775" s="120"/>
      <c r="V7775" s="123"/>
      <c r="W7775" s="125"/>
      <c r="X7775" s="142" t="s">
        <v>22519</v>
      </c>
      <c r="Y7775" s="143"/>
      <c r="Z7775" s="143"/>
      <c r="AA7775" s="143"/>
      <c r="AB7775" s="144"/>
      <c r="AC7775" s="16" t="s">
        <v>21</v>
      </c>
      <c r="AD7775" s="17" t="s">
        <v>1795</v>
      </c>
      <c r="AE7775" s="145" t="s">
        <v>23224</v>
      </c>
      <c r="AF7775" s="146"/>
      <c r="AG7775" s="146"/>
      <c r="AH7775" s="146"/>
      <c r="AI7775" s="147"/>
      <c r="AJ7775" s="148" t="s">
        <v>22286</v>
      </c>
      <c r="AK7775" s="143"/>
      <c r="AL7775" s="144"/>
      <c r="AM7775" s="22"/>
      <c r="AN7775" s="149" t="s">
        <v>2794</v>
      </c>
      <c r="AO7775" s="144"/>
      <c r="AP7775" s="148">
        <v>5140</v>
      </c>
      <c r="AQ7775" s="144"/>
      <c r="AR7775" s="120"/>
      <c r="AS7775" s="121"/>
      <c r="AT7775" s="120"/>
      <c r="AU7775" s="121"/>
      <c r="AV7775" s="120"/>
      <c r="AW7775" s="121"/>
      <c r="AX7775" s="120"/>
      <c r="AY7775" s="121"/>
      <c r="AZ7775" s="138"/>
    </row>
    <row r="7776" spans="1:52" ht="17.100000000000001" customHeight="1" thickTop="1">
      <c r="A7776" s="109" t="s">
        <v>22033</v>
      </c>
      <c r="B7776" s="28">
        <v>46115</v>
      </c>
      <c r="C7776" s="25">
        <v>1413</v>
      </c>
      <c r="D7776" s="13" t="s">
        <v>2914</v>
      </c>
      <c r="E7776" s="111"/>
      <c r="F7776" s="113" t="s">
        <v>22196</v>
      </c>
      <c r="G7776" s="114"/>
      <c r="H7776" s="115"/>
      <c r="I7776" s="24"/>
      <c r="J7776" s="116">
        <v>4.5</v>
      </c>
      <c r="K7776" s="118">
        <v>2058000</v>
      </c>
      <c r="L7776" s="119"/>
      <c r="M7776" s="118">
        <f t="shared" ref="M7776" si="11458">K7776*0.1</f>
        <v>205800</v>
      </c>
      <c r="N7776" s="119"/>
      <c r="O7776" s="118">
        <v>0</v>
      </c>
      <c r="P7776" s="119"/>
      <c r="Q7776" s="118">
        <v>10230</v>
      </c>
      <c r="R7776" s="119"/>
      <c r="S7776" s="118">
        <v>15400</v>
      </c>
      <c r="T7776" s="119"/>
      <c r="U7776" s="118">
        <f t="shared" ref="U7776" si="11459">SUM(K7776:T7777)</f>
        <v>2289430</v>
      </c>
      <c r="V7776" s="122"/>
      <c r="W7776" s="124"/>
      <c r="X7776" s="126" t="s">
        <v>23041</v>
      </c>
      <c r="Y7776" s="127"/>
      <c r="Z7776" s="127"/>
      <c r="AA7776" s="127"/>
      <c r="AB7776" s="128"/>
      <c r="AC7776" s="15" t="s">
        <v>20</v>
      </c>
      <c r="AD7776" s="129"/>
      <c r="AE7776" s="130"/>
      <c r="AF7776" s="130"/>
      <c r="AG7776" s="130"/>
      <c r="AH7776" s="130"/>
      <c r="AI7776" s="131"/>
      <c r="AJ7776" s="132"/>
      <c r="AK7776" s="127"/>
      <c r="AL7776" s="128"/>
      <c r="AM7776" s="21"/>
      <c r="AN7776" s="133">
        <v>46120</v>
      </c>
      <c r="AO7776" s="134"/>
      <c r="AP7776" s="135">
        <v>1012</v>
      </c>
      <c r="AQ7776" s="136"/>
      <c r="AR7776" s="118">
        <v>2110000</v>
      </c>
      <c r="AS7776" s="119"/>
      <c r="AT7776" s="118">
        <f t="shared" ref="AT7776" si="11460">AR7776*0.1</f>
        <v>211000</v>
      </c>
      <c r="AU7776" s="119"/>
      <c r="AV7776" s="118">
        <v>10230</v>
      </c>
      <c r="AW7776" s="119"/>
      <c r="AX7776" s="118">
        <f t="shared" ref="AX7776" si="11461">SUM(AR7776:AW7776)</f>
        <v>2331230</v>
      </c>
      <c r="AY7776" s="119"/>
      <c r="AZ7776" s="137">
        <v>46127</v>
      </c>
    </row>
    <row r="7777" spans="1:52" ht="17.100000000000001" customHeight="1" thickBot="1">
      <c r="A7777" s="110"/>
      <c r="B7777" s="27" t="s">
        <v>2641</v>
      </c>
      <c r="C7777" s="27">
        <v>7002</v>
      </c>
      <c r="D7777" s="14" t="s">
        <v>275</v>
      </c>
      <c r="E7777" s="112"/>
      <c r="F7777" s="139" t="s">
        <v>22057</v>
      </c>
      <c r="G7777" s="140"/>
      <c r="H7777" s="141"/>
      <c r="I7777" s="26">
        <v>47653</v>
      </c>
      <c r="J7777" s="117"/>
      <c r="K7777" s="120"/>
      <c r="L7777" s="121"/>
      <c r="M7777" s="120"/>
      <c r="N7777" s="121"/>
      <c r="O7777" s="120"/>
      <c r="P7777" s="121"/>
      <c r="Q7777" s="120"/>
      <c r="R7777" s="121"/>
      <c r="S7777" s="120"/>
      <c r="T7777" s="121"/>
      <c r="U7777" s="120"/>
      <c r="V7777" s="123"/>
      <c r="W7777" s="125"/>
      <c r="X7777" s="142" t="s">
        <v>23042</v>
      </c>
      <c r="Y7777" s="143"/>
      <c r="Z7777" s="143"/>
      <c r="AA7777" s="143"/>
      <c r="AB7777" s="144"/>
      <c r="AC7777" s="16" t="s">
        <v>21</v>
      </c>
      <c r="AD7777" s="17" t="s">
        <v>23043</v>
      </c>
      <c r="AE7777" s="145" t="s">
        <v>22911</v>
      </c>
      <c r="AF7777" s="146"/>
      <c r="AG7777" s="146"/>
      <c r="AH7777" s="146"/>
      <c r="AI7777" s="147"/>
      <c r="AJ7777" s="148"/>
      <c r="AK7777" s="143"/>
      <c r="AL7777" s="144"/>
      <c r="AM7777" s="22"/>
      <c r="AN7777" s="149" t="s">
        <v>2794</v>
      </c>
      <c r="AO7777" s="144"/>
      <c r="AP7777" s="148">
        <v>5128</v>
      </c>
      <c r="AQ7777" s="144"/>
      <c r="AR7777" s="120"/>
      <c r="AS7777" s="121"/>
      <c r="AT7777" s="120"/>
      <c r="AU7777" s="121"/>
      <c r="AV7777" s="120"/>
      <c r="AW7777" s="121"/>
      <c r="AX7777" s="120"/>
      <c r="AY7777" s="121"/>
      <c r="AZ7777" s="138"/>
    </row>
    <row r="7778" spans="1:52" ht="17.100000000000001" customHeight="1" thickTop="1">
      <c r="A7778" s="109" t="s">
        <v>22034</v>
      </c>
      <c r="B7778" s="28">
        <v>46115</v>
      </c>
      <c r="C7778" s="25">
        <v>1413</v>
      </c>
      <c r="D7778" s="13" t="s">
        <v>1725</v>
      </c>
      <c r="E7778" s="111"/>
      <c r="F7778" s="113" t="s">
        <v>22058</v>
      </c>
      <c r="G7778" s="114"/>
      <c r="H7778" s="115"/>
      <c r="I7778" s="24"/>
      <c r="J7778" s="116">
        <v>4</v>
      </c>
      <c r="K7778" s="118">
        <v>665000</v>
      </c>
      <c r="L7778" s="119"/>
      <c r="M7778" s="118">
        <f t="shared" ref="M7778" si="11462">K7778*0.1</f>
        <v>66500</v>
      </c>
      <c r="N7778" s="119"/>
      <c r="O7778" s="118">
        <v>0</v>
      </c>
      <c r="P7778" s="119"/>
      <c r="Q7778" s="118">
        <v>16240</v>
      </c>
      <c r="R7778" s="119"/>
      <c r="S7778" s="118">
        <v>15400</v>
      </c>
      <c r="T7778" s="119"/>
      <c r="U7778" s="118">
        <f t="shared" ref="U7778" si="11463">SUM(K7778:T7779)</f>
        <v>763140</v>
      </c>
      <c r="V7778" s="122"/>
      <c r="W7778" s="124"/>
      <c r="X7778" s="126" t="s">
        <v>22590</v>
      </c>
      <c r="Y7778" s="127"/>
      <c r="Z7778" s="127"/>
      <c r="AA7778" s="127"/>
      <c r="AB7778" s="128"/>
      <c r="AC7778" s="15" t="s">
        <v>20</v>
      </c>
      <c r="AD7778" s="129" t="s">
        <v>22197</v>
      </c>
      <c r="AE7778" s="130"/>
      <c r="AF7778" s="130"/>
      <c r="AG7778" s="130"/>
      <c r="AH7778" s="130"/>
      <c r="AI7778" s="131"/>
      <c r="AJ7778" s="132"/>
      <c r="AK7778" s="127"/>
      <c r="AL7778" s="128"/>
      <c r="AM7778" s="21"/>
      <c r="AN7778" s="133">
        <v>46127</v>
      </c>
      <c r="AO7778" s="134"/>
      <c r="AP7778" s="135">
        <v>1013</v>
      </c>
      <c r="AQ7778" s="136"/>
      <c r="AR7778" s="118">
        <v>735000</v>
      </c>
      <c r="AS7778" s="119"/>
      <c r="AT7778" s="118">
        <f t="shared" ref="AT7778" si="11464">AR7778*0.1</f>
        <v>73500</v>
      </c>
      <c r="AU7778" s="119"/>
      <c r="AV7778" s="118">
        <v>16240</v>
      </c>
      <c r="AW7778" s="119"/>
      <c r="AX7778" s="118">
        <f t="shared" ref="AX7778" si="11465">SUM(AR7778:AW7778)</f>
        <v>824740</v>
      </c>
      <c r="AY7778" s="119"/>
      <c r="AZ7778" s="137">
        <v>46132</v>
      </c>
    </row>
    <row r="7779" spans="1:52" ht="17.100000000000001" customHeight="1" thickBot="1">
      <c r="A7779" s="110"/>
      <c r="B7779" s="27" t="s">
        <v>2641</v>
      </c>
      <c r="C7779" s="27">
        <v>7005</v>
      </c>
      <c r="D7779" s="14" t="s">
        <v>1556</v>
      </c>
      <c r="E7779" s="112"/>
      <c r="F7779" s="139" t="s">
        <v>22059</v>
      </c>
      <c r="G7779" s="140"/>
      <c r="H7779" s="141"/>
      <c r="I7779" s="26">
        <v>55018</v>
      </c>
      <c r="J7779" s="117"/>
      <c r="K7779" s="120"/>
      <c r="L7779" s="121"/>
      <c r="M7779" s="120"/>
      <c r="N7779" s="121"/>
      <c r="O7779" s="120"/>
      <c r="P7779" s="121"/>
      <c r="Q7779" s="120"/>
      <c r="R7779" s="121"/>
      <c r="S7779" s="120"/>
      <c r="T7779" s="121"/>
      <c r="U7779" s="120"/>
      <c r="V7779" s="123"/>
      <c r="W7779" s="125"/>
      <c r="X7779" s="142" t="s">
        <v>22591</v>
      </c>
      <c r="Y7779" s="143"/>
      <c r="Z7779" s="143"/>
      <c r="AA7779" s="143"/>
      <c r="AB7779" s="144"/>
      <c r="AC7779" s="16" t="s">
        <v>21</v>
      </c>
      <c r="AD7779" s="17" t="s">
        <v>22552</v>
      </c>
      <c r="AE7779" s="145" t="s">
        <v>22592</v>
      </c>
      <c r="AF7779" s="146"/>
      <c r="AG7779" s="146"/>
      <c r="AH7779" s="146"/>
      <c r="AI7779" s="147"/>
      <c r="AJ7779" s="148"/>
      <c r="AK7779" s="143"/>
      <c r="AL7779" s="144"/>
      <c r="AM7779" s="22"/>
      <c r="AN7779" s="149" t="s">
        <v>2794</v>
      </c>
      <c r="AO7779" s="144"/>
      <c r="AP7779" s="148">
        <v>6080</v>
      </c>
      <c r="AQ7779" s="144"/>
      <c r="AR7779" s="120"/>
      <c r="AS7779" s="121"/>
      <c r="AT7779" s="120"/>
      <c r="AU7779" s="121"/>
      <c r="AV7779" s="120"/>
      <c r="AW7779" s="121"/>
      <c r="AX7779" s="120"/>
      <c r="AY7779" s="121"/>
      <c r="AZ7779" s="138"/>
    </row>
    <row r="7780" spans="1:52" ht="17.100000000000001" customHeight="1" thickTop="1">
      <c r="A7780" s="109" t="s">
        <v>22035</v>
      </c>
      <c r="B7780" s="28">
        <v>46115</v>
      </c>
      <c r="C7780" s="25">
        <v>1413</v>
      </c>
      <c r="D7780" s="13" t="s">
        <v>2616</v>
      </c>
      <c r="E7780" s="111"/>
      <c r="F7780" s="113" t="s">
        <v>22198</v>
      </c>
      <c r="G7780" s="114"/>
      <c r="H7780" s="115"/>
      <c r="I7780" s="24" t="s">
        <v>4951</v>
      </c>
      <c r="J7780" s="116">
        <v>4.5</v>
      </c>
      <c r="K7780" s="118">
        <v>1908000</v>
      </c>
      <c r="L7780" s="119"/>
      <c r="M7780" s="118">
        <f t="shared" ref="M7780" si="11466">K7780*0.1</f>
        <v>190800</v>
      </c>
      <c r="N7780" s="119"/>
      <c r="O7780" s="118">
        <v>36300</v>
      </c>
      <c r="P7780" s="119"/>
      <c r="Q7780" s="118">
        <v>22280</v>
      </c>
      <c r="R7780" s="119"/>
      <c r="S7780" s="118">
        <v>15400</v>
      </c>
      <c r="T7780" s="119"/>
      <c r="U7780" s="118">
        <f t="shared" ref="U7780" si="11467">SUM(K7780:T7781)</f>
        <v>2172780</v>
      </c>
      <c r="V7780" s="122"/>
      <c r="W7780" s="124"/>
      <c r="X7780" s="126" t="s">
        <v>22593</v>
      </c>
      <c r="Y7780" s="127"/>
      <c r="Z7780" s="127"/>
      <c r="AA7780" s="127"/>
      <c r="AB7780" s="128"/>
      <c r="AC7780" s="15" t="s">
        <v>20</v>
      </c>
      <c r="AD7780" s="129" t="s">
        <v>22199</v>
      </c>
      <c r="AE7780" s="130"/>
      <c r="AF7780" s="130"/>
      <c r="AG7780" s="130"/>
      <c r="AH7780" s="130"/>
      <c r="AI7780" s="131"/>
      <c r="AJ7780" s="132"/>
      <c r="AK7780" s="127"/>
      <c r="AL7780" s="128"/>
      <c r="AM7780" s="21"/>
      <c r="AN7780" s="133">
        <v>46142</v>
      </c>
      <c r="AO7780" s="134"/>
      <c r="AP7780" s="135">
        <v>1329</v>
      </c>
      <c r="AQ7780" s="136"/>
      <c r="AR7780" s="118">
        <v>2030000</v>
      </c>
      <c r="AS7780" s="119"/>
      <c r="AT7780" s="118">
        <f t="shared" ref="AT7780" si="11468">AR7780*0.1</f>
        <v>203000</v>
      </c>
      <c r="AU7780" s="119"/>
      <c r="AV7780" s="118">
        <v>22280</v>
      </c>
      <c r="AW7780" s="119"/>
      <c r="AX7780" s="118">
        <f t="shared" ref="AX7780" si="11469">SUM(AR7780:AW7780)</f>
        <v>2255280</v>
      </c>
      <c r="AY7780" s="119"/>
      <c r="AZ7780" s="137">
        <v>46143</v>
      </c>
    </row>
    <row r="7781" spans="1:52" ht="17.100000000000001" customHeight="1" thickBot="1">
      <c r="A7781" s="110"/>
      <c r="B7781" s="27" t="s">
        <v>2641</v>
      </c>
      <c r="C7781" s="27">
        <v>7125</v>
      </c>
      <c r="D7781" s="14" t="s">
        <v>1635</v>
      </c>
      <c r="E7781" s="112"/>
      <c r="F7781" s="139" t="s">
        <v>22060</v>
      </c>
      <c r="G7781" s="140"/>
      <c r="H7781" s="141"/>
      <c r="I7781" s="26">
        <v>42865</v>
      </c>
      <c r="J7781" s="117"/>
      <c r="K7781" s="120"/>
      <c r="L7781" s="121"/>
      <c r="M7781" s="120"/>
      <c r="N7781" s="121"/>
      <c r="O7781" s="120"/>
      <c r="P7781" s="121"/>
      <c r="Q7781" s="120"/>
      <c r="R7781" s="121"/>
      <c r="S7781" s="120"/>
      <c r="T7781" s="121"/>
      <c r="U7781" s="120"/>
      <c r="V7781" s="123"/>
      <c r="W7781" s="125"/>
      <c r="X7781" s="142" t="s">
        <v>22591</v>
      </c>
      <c r="Y7781" s="143"/>
      <c r="Z7781" s="143"/>
      <c r="AA7781" s="143"/>
      <c r="AB7781" s="144"/>
      <c r="AC7781" s="16" t="s">
        <v>21</v>
      </c>
      <c r="AD7781" s="17" t="s">
        <v>22552</v>
      </c>
      <c r="AE7781" s="145" t="s">
        <v>22594</v>
      </c>
      <c r="AF7781" s="146"/>
      <c r="AG7781" s="146"/>
      <c r="AH7781" s="146"/>
      <c r="AI7781" s="147"/>
      <c r="AJ7781" s="148"/>
      <c r="AK7781" s="143"/>
      <c r="AL7781" s="144"/>
      <c r="AM7781" s="22"/>
      <c r="AN7781" s="149" t="s">
        <v>13663</v>
      </c>
      <c r="AO7781" s="144"/>
      <c r="AP7781" s="148">
        <v>44</v>
      </c>
      <c r="AQ7781" s="144"/>
      <c r="AR7781" s="120"/>
      <c r="AS7781" s="121"/>
      <c r="AT7781" s="120"/>
      <c r="AU7781" s="121"/>
      <c r="AV7781" s="120"/>
      <c r="AW7781" s="121"/>
      <c r="AX7781" s="120"/>
      <c r="AY7781" s="121"/>
      <c r="AZ7781" s="138"/>
    </row>
    <row r="7782" spans="1:52" ht="17.100000000000001" customHeight="1" thickTop="1">
      <c r="A7782" s="109" t="s">
        <v>22036</v>
      </c>
      <c r="B7782" s="28">
        <v>46115</v>
      </c>
      <c r="C7782" s="25">
        <v>1413</v>
      </c>
      <c r="D7782" s="13" t="s">
        <v>1870</v>
      </c>
      <c r="E7782" s="111"/>
      <c r="F7782" s="113" t="s">
        <v>15212</v>
      </c>
      <c r="G7782" s="114"/>
      <c r="H7782" s="115"/>
      <c r="I7782" s="24"/>
      <c r="J7782" s="116">
        <v>4</v>
      </c>
      <c r="K7782" s="118">
        <v>844000</v>
      </c>
      <c r="L7782" s="119"/>
      <c r="M7782" s="118">
        <f t="shared" ref="M7782" si="11470">K7782*0.1</f>
        <v>84400</v>
      </c>
      <c r="N7782" s="119"/>
      <c r="O7782" s="118">
        <v>0</v>
      </c>
      <c r="P7782" s="119"/>
      <c r="Q7782" s="118">
        <v>8990</v>
      </c>
      <c r="R7782" s="119"/>
      <c r="S7782" s="118">
        <v>15400</v>
      </c>
      <c r="T7782" s="119"/>
      <c r="U7782" s="118">
        <f t="shared" ref="U7782" si="11471">SUM(K7782:T7783)</f>
        <v>952790</v>
      </c>
      <c r="V7782" s="122"/>
      <c r="W7782" s="124"/>
      <c r="X7782" s="126" t="s">
        <v>22541</v>
      </c>
      <c r="Y7782" s="127"/>
      <c r="Z7782" s="127"/>
      <c r="AA7782" s="127"/>
      <c r="AB7782" s="128"/>
      <c r="AC7782" s="15" t="s">
        <v>20</v>
      </c>
      <c r="AD7782" s="129"/>
      <c r="AE7782" s="130"/>
      <c r="AF7782" s="130"/>
      <c r="AG7782" s="130"/>
      <c r="AH7782" s="130"/>
      <c r="AI7782" s="131"/>
      <c r="AJ7782" s="132"/>
      <c r="AK7782" s="127"/>
      <c r="AL7782" s="128"/>
      <c r="AM7782" s="21"/>
      <c r="AN7782" s="133"/>
      <c r="AO7782" s="134"/>
      <c r="AP7782" s="135"/>
      <c r="AQ7782" s="136"/>
      <c r="AR7782" s="118"/>
      <c r="AS7782" s="119"/>
      <c r="AT7782" s="118">
        <f t="shared" ref="AT7782" si="11472">AR7782*0.1</f>
        <v>0</v>
      </c>
      <c r="AU7782" s="119"/>
      <c r="AV7782" s="118"/>
      <c r="AW7782" s="119"/>
      <c r="AX7782" s="118">
        <f t="shared" ref="AX7782" si="11473">SUM(AR7782:AW7782)</f>
        <v>0</v>
      </c>
      <c r="AY7782" s="119"/>
      <c r="AZ7782" s="137"/>
    </row>
    <row r="7783" spans="1:52" ht="17.100000000000001" customHeight="1" thickBot="1">
      <c r="A7783" s="110"/>
      <c r="B7783" s="27" t="s">
        <v>2641</v>
      </c>
      <c r="C7783" s="27">
        <v>9004</v>
      </c>
      <c r="D7783" s="14" t="s">
        <v>275</v>
      </c>
      <c r="E7783" s="112"/>
      <c r="F7783" s="139" t="s">
        <v>22061</v>
      </c>
      <c r="G7783" s="140"/>
      <c r="H7783" s="141"/>
      <c r="I7783" s="26">
        <v>62340</v>
      </c>
      <c r="J7783" s="117"/>
      <c r="K7783" s="120"/>
      <c r="L7783" s="121"/>
      <c r="M7783" s="120"/>
      <c r="N7783" s="121"/>
      <c r="O7783" s="120"/>
      <c r="P7783" s="121"/>
      <c r="Q7783" s="120"/>
      <c r="R7783" s="121"/>
      <c r="S7783" s="120"/>
      <c r="T7783" s="121"/>
      <c r="U7783" s="120"/>
      <c r="V7783" s="123"/>
      <c r="W7783" s="125"/>
      <c r="X7783" s="142" t="s">
        <v>1997</v>
      </c>
      <c r="Y7783" s="143"/>
      <c r="Z7783" s="143"/>
      <c r="AA7783" s="143"/>
      <c r="AB7783" s="144"/>
      <c r="AC7783" s="16" t="s">
        <v>21</v>
      </c>
      <c r="AD7783" s="17" t="s">
        <v>1825</v>
      </c>
      <c r="AE7783" s="145" t="s">
        <v>171</v>
      </c>
      <c r="AF7783" s="146"/>
      <c r="AG7783" s="146"/>
      <c r="AH7783" s="146"/>
      <c r="AI7783" s="147"/>
      <c r="AJ7783" s="148"/>
      <c r="AK7783" s="143"/>
      <c r="AL7783" s="144"/>
      <c r="AM7783" s="22"/>
      <c r="AN7783" s="149"/>
      <c r="AO7783" s="144"/>
      <c r="AP7783" s="148"/>
      <c r="AQ7783" s="144"/>
      <c r="AR7783" s="120"/>
      <c r="AS7783" s="121"/>
      <c r="AT7783" s="120"/>
      <c r="AU7783" s="121"/>
      <c r="AV7783" s="120"/>
      <c r="AW7783" s="121"/>
      <c r="AX7783" s="120"/>
      <c r="AY7783" s="121"/>
      <c r="AZ7783" s="138"/>
    </row>
    <row r="7784" spans="1:52" ht="17.100000000000001" customHeight="1" thickTop="1">
      <c r="A7784" s="109" t="s">
        <v>22037</v>
      </c>
      <c r="B7784" s="28">
        <v>46115</v>
      </c>
      <c r="C7784" s="25">
        <v>1413</v>
      </c>
      <c r="D7784" s="13" t="s">
        <v>1549</v>
      </c>
      <c r="E7784" s="111"/>
      <c r="F7784" s="113" t="s">
        <v>16834</v>
      </c>
      <c r="G7784" s="114"/>
      <c r="H7784" s="115"/>
      <c r="I7784" s="24"/>
      <c r="J7784" s="116">
        <v>4</v>
      </c>
      <c r="K7784" s="118">
        <v>1093000</v>
      </c>
      <c r="L7784" s="119"/>
      <c r="M7784" s="118">
        <f t="shared" ref="M7784" si="11474">K7784*0.1</f>
        <v>109300</v>
      </c>
      <c r="N7784" s="119"/>
      <c r="O7784" s="118">
        <v>0</v>
      </c>
      <c r="P7784" s="119"/>
      <c r="Q7784" s="118">
        <v>12470</v>
      </c>
      <c r="R7784" s="119"/>
      <c r="S7784" s="118">
        <v>15400</v>
      </c>
      <c r="T7784" s="119"/>
      <c r="U7784" s="118">
        <f t="shared" ref="U7784" si="11475">SUM(K7784:T7785)</f>
        <v>1230170</v>
      </c>
      <c r="V7784" s="122"/>
      <c r="W7784" s="124"/>
      <c r="X7784" s="126" t="s">
        <v>22439</v>
      </c>
      <c r="Y7784" s="127"/>
      <c r="Z7784" s="127"/>
      <c r="AA7784" s="127"/>
      <c r="AB7784" s="128"/>
      <c r="AC7784" s="15" t="s">
        <v>20</v>
      </c>
      <c r="AD7784" s="129"/>
      <c r="AE7784" s="130"/>
      <c r="AF7784" s="130"/>
      <c r="AG7784" s="130"/>
      <c r="AH7784" s="130"/>
      <c r="AI7784" s="131"/>
      <c r="AJ7784" s="132"/>
      <c r="AK7784" s="127"/>
      <c r="AL7784" s="128"/>
      <c r="AM7784" s="21"/>
      <c r="AN7784" s="133">
        <v>46120</v>
      </c>
      <c r="AO7784" s="134"/>
      <c r="AP7784" s="135">
        <v>1012</v>
      </c>
      <c r="AQ7784" s="136"/>
      <c r="AR7784" s="118">
        <v>1190000</v>
      </c>
      <c r="AS7784" s="119"/>
      <c r="AT7784" s="118">
        <f t="shared" ref="AT7784" si="11476">AR7784*0.1</f>
        <v>119000</v>
      </c>
      <c r="AU7784" s="119"/>
      <c r="AV7784" s="118">
        <v>12470</v>
      </c>
      <c r="AW7784" s="119"/>
      <c r="AX7784" s="118">
        <f t="shared" ref="AX7784" si="11477">SUM(AR7784:AW7784)</f>
        <v>1321470</v>
      </c>
      <c r="AY7784" s="119"/>
      <c r="AZ7784" s="137">
        <v>46125</v>
      </c>
    </row>
    <row r="7785" spans="1:52" ht="17.100000000000001" customHeight="1" thickBot="1">
      <c r="A7785" s="110"/>
      <c r="B7785" s="27" t="s">
        <v>2641</v>
      </c>
      <c r="C7785" s="27">
        <v>9007</v>
      </c>
      <c r="D7785" s="14" t="s">
        <v>275</v>
      </c>
      <c r="E7785" s="112"/>
      <c r="F7785" s="139" t="s">
        <v>22062</v>
      </c>
      <c r="G7785" s="140"/>
      <c r="H7785" s="141"/>
      <c r="I7785" s="26">
        <v>78307</v>
      </c>
      <c r="J7785" s="117"/>
      <c r="K7785" s="120"/>
      <c r="L7785" s="121"/>
      <c r="M7785" s="120"/>
      <c r="N7785" s="121"/>
      <c r="O7785" s="120"/>
      <c r="P7785" s="121"/>
      <c r="Q7785" s="120"/>
      <c r="R7785" s="121"/>
      <c r="S7785" s="120"/>
      <c r="T7785" s="121"/>
      <c r="U7785" s="120"/>
      <c r="V7785" s="123"/>
      <c r="W7785" s="125"/>
      <c r="X7785" s="142" t="s">
        <v>1997</v>
      </c>
      <c r="Y7785" s="143"/>
      <c r="Z7785" s="143"/>
      <c r="AA7785" s="143"/>
      <c r="AB7785" s="144"/>
      <c r="AC7785" s="16" t="s">
        <v>21</v>
      </c>
      <c r="AD7785" s="17" t="s">
        <v>1825</v>
      </c>
      <c r="AE7785" s="145"/>
      <c r="AF7785" s="146"/>
      <c r="AG7785" s="146"/>
      <c r="AH7785" s="146"/>
      <c r="AI7785" s="147"/>
      <c r="AJ7785" s="148"/>
      <c r="AK7785" s="143"/>
      <c r="AL7785" s="144"/>
      <c r="AM7785" s="22"/>
      <c r="AN7785" s="149" t="s">
        <v>2794</v>
      </c>
      <c r="AO7785" s="144"/>
      <c r="AP7785" s="148">
        <v>5137</v>
      </c>
      <c r="AQ7785" s="144"/>
      <c r="AR7785" s="120"/>
      <c r="AS7785" s="121"/>
      <c r="AT7785" s="120"/>
      <c r="AU7785" s="121"/>
      <c r="AV7785" s="120"/>
      <c r="AW7785" s="121"/>
      <c r="AX7785" s="120"/>
      <c r="AY7785" s="121"/>
      <c r="AZ7785" s="138"/>
    </row>
    <row r="7786" spans="1:52" ht="17.100000000000001" customHeight="1" thickTop="1">
      <c r="A7786" s="109" t="s">
        <v>22038</v>
      </c>
      <c r="B7786" s="28">
        <v>46115</v>
      </c>
      <c r="C7786" s="25">
        <v>1413</v>
      </c>
      <c r="D7786" s="13" t="s">
        <v>2616</v>
      </c>
      <c r="E7786" s="111"/>
      <c r="F7786" s="113" t="s">
        <v>7340</v>
      </c>
      <c r="G7786" s="114"/>
      <c r="H7786" s="115"/>
      <c r="I7786" s="24"/>
      <c r="J7786" s="150" t="s">
        <v>1715</v>
      </c>
      <c r="K7786" s="118">
        <v>475000</v>
      </c>
      <c r="L7786" s="119"/>
      <c r="M7786" s="118">
        <f t="shared" ref="M7786" si="11478">K7786*0.1</f>
        <v>47500</v>
      </c>
      <c r="N7786" s="119"/>
      <c r="O7786" s="118">
        <v>0</v>
      </c>
      <c r="P7786" s="119"/>
      <c r="Q7786" s="118">
        <v>8400</v>
      </c>
      <c r="R7786" s="119"/>
      <c r="S7786" s="118">
        <v>15400</v>
      </c>
      <c r="T7786" s="119"/>
      <c r="U7786" s="118">
        <f t="shared" ref="U7786" si="11479">SUM(K7786:T7787)</f>
        <v>546300</v>
      </c>
      <c r="V7786" s="122"/>
      <c r="W7786" s="124"/>
      <c r="X7786" s="126" t="s">
        <v>23036</v>
      </c>
      <c r="Y7786" s="127"/>
      <c r="Z7786" s="127"/>
      <c r="AA7786" s="127"/>
      <c r="AB7786" s="128"/>
      <c r="AC7786" s="15" t="s">
        <v>20</v>
      </c>
      <c r="AD7786" s="129"/>
      <c r="AE7786" s="130"/>
      <c r="AF7786" s="130"/>
      <c r="AG7786" s="130"/>
      <c r="AH7786" s="130"/>
      <c r="AI7786" s="131"/>
      <c r="AJ7786" s="132"/>
      <c r="AK7786" s="127"/>
      <c r="AL7786" s="128"/>
      <c r="AM7786" s="21"/>
      <c r="AN7786" s="133"/>
      <c r="AO7786" s="134"/>
      <c r="AP7786" s="135"/>
      <c r="AQ7786" s="136"/>
      <c r="AR7786" s="118"/>
      <c r="AS7786" s="119"/>
      <c r="AT7786" s="118">
        <f t="shared" ref="AT7786" si="11480">AR7786*0.1</f>
        <v>0</v>
      </c>
      <c r="AU7786" s="119"/>
      <c r="AV7786" s="118"/>
      <c r="AW7786" s="119"/>
      <c r="AX7786" s="118">
        <f t="shared" ref="AX7786" si="11481">SUM(AR7786:AW7786)</f>
        <v>0</v>
      </c>
      <c r="AY7786" s="119"/>
      <c r="AZ7786" s="137"/>
    </row>
    <row r="7787" spans="1:52" ht="17.100000000000001" customHeight="1" thickBot="1">
      <c r="A7787" s="110"/>
      <c r="B7787" s="27" t="s">
        <v>2641</v>
      </c>
      <c r="C7787" s="27">
        <v>9012</v>
      </c>
      <c r="D7787" s="14" t="s">
        <v>133</v>
      </c>
      <c r="E7787" s="112"/>
      <c r="F7787" s="139" t="s">
        <v>22063</v>
      </c>
      <c r="G7787" s="140"/>
      <c r="H7787" s="141"/>
      <c r="I7787" s="26">
        <v>45383</v>
      </c>
      <c r="J7787" s="117"/>
      <c r="K7787" s="120"/>
      <c r="L7787" s="121"/>
      <c r="M7787" s="120"/>
      <c r="N7787" s="121"/>
      <c r="O7787" s="120"/>
      <c r="P7787" s="121"/>
      <c r="Q7787" s="120"/>
      <c r="R7787" s="121"/>
      <c r="S7787" s="120"/>
      <c r="T7787" s="121"/>
      <c r="U7787" s="120"/>
      <c r="V7787" s="123"/>
      <c r="W7787" s="125"/>
      <c r="X7787" s="142" t="s">
        <v>23037</v>
      </c>
      <c r="Y7787" s="143"/>
      <c r="Z7787" s="143"/>
      <c r="AA7787" s="143"/>
      <c r="AB7787" s="144"/>
      <c r="AC7787" s="16" t="s">
        <v>21</v>
      </c>
      <c r="AD7787" s="17" t="s">
        <v>23033</v>
      </c>
      <c r="AE7787" s="145" t="s">
        <v>22614</v>
      </c>
      <c r="AF7787" s="146"/>
      <c r="AG7787" s="146"/>
      <c r="AH7787" s="146"/>
      <c r="AI7787" s="147"/>
      <c r="AJ7787" s="148"/>
      <c r="AK7787" s="143"/>
      <c r="AL7787" s="144"/>
      <c r="AM7787" s="22"/>
      <c r="AN7787" s="149"/>
      <c r="AO7787" s="144"/>
      <c r="AP7787" s="148"/>
      <c r="AQ7787" s="144"/>
      <c r="AR7787" s="120"/>
      <c r="AS7787" s="121"/>
      <c r="AT7787" s="120"/>
      <c r="AU7787" s="121"/>
      <c r="AV7787" s="120"/>
      <c r="AW7787" s="121"/>
      <c r="AX7787" s="120"/>
      <c r="AY7787" s="121"/>
      <c r="AZ7787" s="138"/>
    </row>
    <row r="7788" spans="1:52" ht="17.100000000000001" customHeight="1" thickTop="1">
      <c r="A7788" s="109" t="s">
        <v>22074</v>
      </c>
      <c r="B7788" s="28">
        <v>46115</v>
      </c>
      <c r="C7788" s="25">
        <v>1413</v>
      </c>
      <c r="D7788" s="13" t="s">
        <v>2914</v>
      </c>
      <c r="E7788" s="111"/>
      <c r="F7788" s="113" t="s">
        <v>15949</v>
      </c>
      <c r="G7788" s="114"/>
      <c r="H7788" s="115"/>
      <c r="I7788" s="24"/>
      <c r="J7788" s="116">
        <v>3.5</v>
      </c>
      <c r="K7788" s="118">
        <v>283000</v>
      </c>
      <c r="L7788" s="119"/>
      <c r="M7788" s="118">
        <f t="shared" ref="M7788" si="11482">K7788*0.1</f>
        <v>28300</v>
      </c>
      <c r="N7788" s="119"/>
      <c r="O7788" s="118">
        <v>0</v>
      </c>
      <c r="P7788" s="119"/>
      <c r="Q7788" s="118">
        <v>7140</v>
      </c>
      <c r="R7788" s="119"/>
      <c r="S7788" s="118">
        <v>15400</v>
      </c>
      <c r="T7788" s="119"/>
      <c r="U7788" s="118">
        <f t="shared" ref="U7788" si="11483">SUM(K7788:T7789)</f>
        <v>333840</v>
      </c>
      <c r="V7788" s="122"/>
      <c r="W7788" s="124"/>
      <c r="X7788" s="126" t="s">
        <v>22523</v>
      </c>
      <c r="Y7788" s="127"/>
      <c r="Z7788" s="127"/>
      <c r="AA7788" s="127"/>
      <c r="AB7788" s="128"/>
      <c r="AC7788" s="15" t="s">
        <v>20</v>
      </c>
      <c r="AD7788" s="129"/>
      <c r="AE7788" s="130"/>
      <c r="AF7788" s="130"/>
      <c r="AG7788" s="130"/>
      <c r="AH7788" s="130"/>
      <c r="AI7788" s="131"/>
      <c r="AJ7788" s="132"/>
      <c r="AK7788" s="127"/>
      <c r="AL7788" s="128"/>
      <c r="AM7788" s="21"/>
      <c r="AN7788" s="133">
        <v>46127</v>
      </c>
      <c r="AO7788" s="134"/>
      <c r="AP7788" s="135">
        <v>1013</v>
      </c>
      <c r="AQ7788" s="136"/>
      <c r="AR7788" s="118">
        <v>275000</v>
      </c>
      <c r="AS7788" s="119"/>
      <c r="AT7788" s="118">
        <f t="shared" ref="AT7788" si="11484">AR7788*0.1</f>
        <v>27500</v>
      </c>
      <c r="AU7788" s="119"/>
      <c r="AV7788" s="118">
        <v>7140</v>
      </c>
      <c r="AW7788" s="119"/>
      <c r="AX7788" s="118">
        <f t="shared" ref="AX7788" si="11485">SUM(AR7788:AW7788)</f>
        <v>309640</v>
      </c>
      <c r="AY7788" s="119"/>
      <c r="AZ7788" s="137">
        <v>46132</v>
      </c>
    </row>
    <row r="7789" spans="1:52" ht="17.100000000000001" customHeight="1" thickBot="1">
      <c r="A7789" s="110"/>
      <c r="B7789" s="27" t="s">
        <v>2641</v>
      </c>
      <c r="C7789" s="27">
        <v>9013</v>
      </c>
      <c r="D7789" s="14" t="s">
        <v>1592</v>
      </c>
      <c r="E7789" s="112"/>
      <c r="F7789" s="139" t="s">
        <v>22064</v>
      </c>
      <c r="G7789" s="140"/>
      <c r="H7789" s="141"/>
      <c r="I7789" s="26">
        <v>30431</v>
      </c>
      <c r="J7789" s="117"/>
      <c r="K7789" s="120"/>
      <c r="L7789" s="121"/>
      <c r="M7789" s="120"/>
      <c r="N7789" s="121"/>
      <c r="O7789" s="120"/>
      <c r="P7789" s="121"/>
      <c r="Q7789" s="120"/>
      <c r="R7789" s="121"/>
      <c r="S7789" s="120"/>
      <c r="T7789" s="121"/>
      <c r="U7789" s="120"/>
      <c r="V7789" s="123"/>
      <c r="W7789" s="125"/>
      <c r="X7789" s="142" t="s">
        <v>1997</v>
      </c>
      <c r="Y7789" s="143"/>
      <c r="Z7789" s="143"/>
      <c r="AA7789" s="143"/>
      <c r="AB7789" s="144"/>
      <c r="AC7789" s="16" t="s">
        <v>21</v>
      </c>
      <c r="AD7789" s="17" t="s">
        <v>1795</v>
      </c>
      <c r="AE7789" s="145"/>
      <c r="AF7789" s="146"/>
      <c r="AG7789" s="146"/>
      <c r="AH7789" s="146"/>
      <c r="AI7789" s="147"/>
      <c r="AJ7789" s="148"/>
      <c r="AK7789" s="143"/>
      <c r="AL7789" s="144"/>
      <c r="AM7789" s="22"/>
      <c r="AN7789" s="149" t="s">
        <v>2794</v>
      </c>
      <c r="AO7789" s="144"/>
      <c r="AP7789" s="148">
        <v>2058</v>
      </c>
      <c r="AQ7789" s="144"/>
      <c r="AR7789" s="120"/>
      <c r="AS7789" s="121"/>
      <c r="AT7789" s="120"/>
      <c r="AU7789" s="121"/>
      <c r="AV7789" s="120"/>
      <c r="AW7789" s="121"/>
      <c r="AX7789" s="120"/>
      <c r="AY7789" s="121"/>
      <c r="AZ7789" s="138"/>
    </row>
    <row r="7790" spans="1:52" ht="17.100000000000001" customHeight="1" thickTop="1">
      <c r="A7790" s="109" t="s">
        <v>22075</v>
      </c>
      <c r="B7790" s="28">
        <v>46115</v>
      </c>
      <c r="C7790" s="25">
        <v>1413</v>
      </c>
      <c r="D7790" s="13" t="s">
        <v>859</v>
      </c>
      <c r="E7790" s="111"/>
      <c r="F7790" s="113" t="s">
        <v>21769</v>
      </c>
      <c r="G7790" s="114"/>
      <c r="H7790" s="115"/>
      <c r="I7790" s="24"/>
      <c r="J7790" s="150" t="s">
        <v>1715</v>
      </c>
      <c r="K7790" s="118">
        <v>436000</v>
      </c>
      <c r="L7790" s="119"/>
      <c r="M7790" s="118">
        <f t="shared" ref="M7790" si="11486">K7790*0.1</f>
        <v>43600</v>
      </c>
      <c r="N7790" s="119"/>
      <c r="O7790" s="118">
        <v>0</v>
      </c>
      <c r="P7790" s="119"/>
      <c r="Q7790" s="118">
        <v>7140</v>
      </c>
      <c r="R7790" s="119"/>
      <c r="S7790" s="118">
        <v>15400</v>
      </c>
      <c r="T7790" s="119"/>
      <c r="U7790" s="118">
        <f t="shared" ref="U7790" si="11487">SUM(K7790:T7791)</f>
        <v>502140</v>
      </c>
      <c r="V7790" s="122"/>
      <c r="W7790" s="124"/>
      <c r="X7790" s="126" t="s">
        <v>22539</v>
      </c>
      <c r="Y7790" s="127"/>
      <c r="Z7790" s="127"/>
      <c r="AA7790" s="127"/>
      <c r="AB7790" s="128"/>
      <c r="AC7790" s="15" t="s">
        <v>20</v>
      </c>
      <c r="AD7790" s="129"/>
      <c r="AE7790" s="130"/>
      <c r="AF7790" s="130"/>
      <c r="AG7790" s="130"/>
      <c r="AH7790" s="130"/>
      <c r="AI7790" s="131"/>
      <c r="AJ7790" s="132"/>
      <c r="AK7790" s="127"/>
      <c r="AL7790" s="128"/>
      <c r="AM7790" s="21"/>
      <c r="AN7790" s="133"/>
      <c r="AO7790" s="134"/>
      <c r="AP7790" s="135"/>
      <c r="AQ7790" s="136"/>
      <c r="AR7790" s="118"/>
      <c r="AS7790" s="119"/>
      <c r="AT7790" s="118">
        <f t="shared" ref="AT7790" si="11488">AR7790*0.1</f>
        <v>0</v>
      </c>
      <c r="AU7790" s="119"/>
      <c r="AV7790" s="118"/>
      <c r="AW7790" s="119"/>
      <c r="AX7790" s="118">
        <f t="shared" ref="AX7790" si="11489">SUM(AR7790:AW7790)</f>
        <v>0</v>
      </c>
      <c r="AY7790" s="119"/>
      <c r="AZ7790" s="137"/>
    </row>
    <row r="7791" spans="1:52" ht="17.100000000000001" customHeight="1" thickBot="1">
      <c r="A7791" s="110"/>
      <c r="B7791" s="27" t="s">
        <v>2641</v>
      </c>
      <c r="C7791" s="27">
        <v>9037</v>
      </c>
      <c r="D7791" s="14" t="s">
        <v>2601</v>
      </c>
      <c r="E7791" s="112"/>
      <c r="F7791" s="139" t="s">
        <v>22065</v>
      </c>
      <c r="G7791" s="140"/>
      <c r="H7791" s="141"/>
      <c r="I7791" s="26">
        <v>28080</v>
      </c>
      <c r="J7791" s="117"/>
      <c r="K7791" s="120"/>
      <c r="L7791" s="121"/>
      <c r="M7791" s="120"/>
      <c r="N7791" s="121"/>
      <c r="O7791" s="120"/>
      <c r="P7791" s="121"/>
      <c r="Q7791" s="120"/>
      <c r="R7791" s="121"/>
      <c r="S7791" s="120"/>
      <c r="T7791" s="121"/>
      <c r="U7791" s="120"/>
      <c r="V7791" s="123"/>
      <c r="W7791" s="125"/>
      <c r="X7791" s="142" t="s">
        <v>8423</v>
      </c>
      <c r="Y7791" s="143"/>
      <c r="Z7791" s="143"/>
      <c r="AA7791" s="143"/>
      <c r="AB7791" s="144"/>
      <c r="AC7791" s="16" t="s">
        <v>21</v>
      </c>
      <c r="AD7791" s="17" t="s">
        <v>1825</v>
      </c>
      <c r="AE7791" s="145"/>
      <c r="AF7791" s="146"/>
      <c r="AG7791" s="146"/>
      <c r="AH7791" s="146"/>
      <c r="AI7791" s="147"/>
      <c r="AJ7791" s="148"/>
      <c r="AK7791" s="143"/>
      <c r="AL7791" s="144"/>
      <c r="AM7791" s="22"/>
      <c r="AN7791" s="149"/>
      <c r="AO7791" s="144"/>
      <c r="AP7791" s="148"/>
      <c r="AQ7791" s="144"/>
      <c r="AR7791" s="120"/>
      <c r="AS7791" s="121"/>
      <c r="AT7791" s="120"/>
      <c r="AU7791" s="121"/>
      <c r="AV7791" s="120"/>
      <c r="AW7791" s="121"/>
      <c r="AX7791" s="120"/>
      <c r="AY7791" s="121"/>
      <c r="AZ7791" s="138"/>
    </row>
    <row r="7792" spans="1:52" ht="17.100000000000001" customHeight="1" thickTop="1">
      <c r="A7792" s="109" t="s">
        <v>22076</v>
      </c>
      <c r="B7792" s="28">
        <v>46115</v>
      </c>
      <c r="C7792" s="25">
        <v>1413</v>
      </c>
      <c r="D7792" s="13" t="s">
        <v>4443</v>
      </c>
      <c r="E7792" s="111"/>
      <c r="F7792" s="113" t="s">
        <v>22200</v>
      </c>
      <c r="G7792" s="114"/>
      <c r="H7792" s="115"/>
      <c r="I7792" s="24" t="s">
        <v>12190</v>
      </c>
      <c r="J7792" s="116">
        <v>3.5</v>
      </c>
      <c r="K7792" s="118">
        <v>221000</v>
      </c>
      <c r="L7792" s="119"/>
      <c r="M7792" s="118">
        <f t="shared" ref="M7792" si="11490">K7792*0.1</f>
        <v>22100</v>
      </c>
      <c r="N7792" s="119"/>
      <c r="O7792" s="118">
        <v>34760</v>
      </c>
      <c r="P7792" s="119"/>
      <c r="Q7792" s="118">
        <v>10460</v>
      </c>
      <c r="R7792" s="119"/>
      <c r="S7792" s="118">
        <v>15400</v>
      </c>
      <c r="T7792" s="119"/>
      <c r="U7792" s="118">
        <f t="shared" ref="U7792" si="11491">SUM(K7792:T7793)</f>
        <v>303720</v>
      </c>
      <c r="V7792" s="122"/>
      <c r="W7792" s="124"/>
      <c r="X7792" s="126" t="s">
        <v>22537</v>
      </c>
      <c r="Y7792" s="127"/>
      <c r="Z7792" s="127"/>
      <c r="AA7792" s="127"/>
      <c r="AB7792" s="128"/>
      <c r="AC7792" s="15" t="s">
        <v>20</v>
      </c>
      <c r="AD7792" s="129"/>
      <c r="AE7792" s="130"/>
      <c r="AF7792" s="130"/>
      <c r="AG7792" s="130"/>
      <c r="AH7792" s="130"/>
      <c r="AI7792" s="131"/>
      <c r="AJ7792" s="132"/>
      <c r="AK7792" s="127"/>
      <c r="AL7792" s="128"/>
      <c r="AM7792" s="21"/>
      <c r="AN7792" s="133">
        <v>46127</v>
      </c>
      <c r="AO7792" s="134"/>
      <c r="AP7792" s="135">
        <v>1013</v>
      </c>
      <c r="AQ7792" s="136"/>
      <c r="AR7792" s="118">
        <v>415000</v>
      </c>
      <c r="AS7792" s="119"/>
      <c r="AT7792" s="118">
        <f t="shared" ref="AT7792" si="11492">AR7792*0.1</f>
        <v>41500</v>
      </c>
      <c r="AU7792" s="119"/>
      <c r="AV7792" s="118">
        <v>10460</v>
      </c>
      <c r="AW7792" s="119"/>
      <c r="AX7792" s="118">
        <f t="shared" ref="AX7792" si="11493">SUM(AR7792:AW7792)</f>
        <v>466960</v>
      </c>
      <c r="AY7792" s="119"/>
      <c r="AZ7792" s="137">
        <v>46132</v>
      </c>
    </row>
    <row r="7793" spans="1:52" ht="17.100000000000001" customHeight="1" thickBot="1">
      <c r="A7793" s="110"/>
      <c r="B7793" s="27" t="s">
        <v>2641</v>
      </c>
      <c r="C7793" s="27">
        <v>9044</v>
      </c>
      <c r="D7793" s="14" t="s">
        <v>17308</v>
      </c>
      <c r="E7793" s="112"/>
      <c r="F7793" s="139" t="s">
        <v>22066</v>
      </c>
      <c r="G7793" s="140"/>
      <c r="H7793" s="141"/>
      <c r="I7793" s="26">
        <v>58551</v>
      </c>
      <c r="J7793" s="117"/>
      <c r="K7793" s="120"/>
      <c r="L7793" s="121"/>
      <c r="M7793" s="120"/>
      <c r="N7793" s="121"/>
      <c r="O7793" s="120"/>
      <c r="P7793" s="121"/>
      <c r="Q7793" s="120"/>
      <c r="R7793" s="121"/>
      <c r="S7793" s="120"/>
      <c r="T7793" s="121"/>
      <c r="U7793" s="120"/>
      <c r="V7793" s="123"/>
      <c r="W7793" s="125"/>
      <c r="X7793" s="142" t="s">
        <v>22538</v>
      </c>
      <c r="Y7793" s="143"/>
      <c r="Z7793" s="143"/>
      <c r="AA7793" s="143"/>
      <c r="AB7793" s="144"/>
      <c r="AC7793" s="16" t="s">
        <v>21</v>
      </c>
      <c r="AD7793" s="17" t="s">
        <v>1825</v>
      </c>
      <c r="AE7793" s="145"/>
      <c r="AF7793" s="146"/>
      <c r="AG7793" s="146"/>
      <c r="AH7793" s="146"/>
      <c r="AI7793" s="147"/>
      <c r="AJ7793" s="148"/>
      <c r="AK7793" s="143"/>
      <c r="AL7793" s="144"/>
      <c r="AM7793" s="22"/>
      <c r="AN7793" s="149" t="s">
        <v>2794</v>
      </c>
      <c r="AO7793" s="144"/>
      <c r="AP7793" s="148">
        <v>6083</v>
      </c>
      <c r="AQ7793" s="144"/>
      <c r="AR7793" s="120"/>
      <c r="AS7793" s="121"/>
      <c r="AT7793" s="120"/>
      <c r="AU7793" s="121"/>
      <c r="AV7793" s="120"/>
      <c r="AW7793" s="121"/>
      <c r="AX7793" s="120"/>
      <c r="AY7793" s="121"/>
      <c r="AZ7793" s="138"/>
    </row>
    <row r="7794" spans="1:52" ht="17.100000000000001" customHeight="1" thickTop="1">
      <c r="A7794" s="109" t="s">
        <v>22077</v>
      </c>
      <c r="B7794" s="28">
        <v>46115</v>
      </c>
      <c r="C7794" s="25">
        <v>1413</v>
      </c>
      <c r="D7794" s="13" t="s">
        <v>2415</v>
      </c>
      <c r="E7794" s="111"/>
      <c r="F7794" s="113" t="s">
        <v>22067</v>
      </c>
      <c r="G7794" s="114"/>
      <c r="H7794" s="115"/>
      <c r="I7794" s="24"/>
      <c r="J7794" s="116">
        <v>3</v>
      </c>
      <c r="K7794" s="118">
        <v>369000</v>
      </c>
      <c r="L7794" s="119"/>
      <c r="M7794" s="118">
        <f t="shared" ref="M7794" si="11494">K7794*0.1</f>
        <v>36900</v>
      </c>
      <c r="N7794" s="119"/>
      <c r="O7794" s="118">
        <v>0</v>
      </c>
      <c r="P7794" s="119"/>
      <c r="Q7794" s="118">
        <v>10940</v>
      </c>
      <c r="R7794" s="119"/>
      <c r="S7794" s="118">
        <v>15400</v>
      </c>
      <c r="T7794" s="119"/>
      <c r="U7794" s="118">
        <f t="shared" ref="U7794" si="11495">SUM(K7794:T7795)</f>
        <v>432240</v>
      </c>
      <c r="V7794" s="122"/>
      <c r="W7794" s="124"/>
      <c r="X7794" s="126" t="s">
        <v>22535</v>
      </c>
      <c r="Y7794" s="127"/>
      <c r="Z7794" s="127"/>
      <c r="AA7794" s="127"/>
      <c r="AB7794" s="128"/>
      <c r="AC7794" s="15" t="s">
        <v>20</v>
      </c>
      <c r="AD7794" s="129"/>
      <c r="AE7794" s="130"/>
      <c r="AF7794" s="130"/>
      <c r="AG7794" s="130"/>
      <c r="AH7794" s="130"/>
      <c r="AI7794" s="131"/>
      <c r="AJ7794" s="132"/>
      <c r="AK7794" s="127"/>
      <c r="AL7794" s="128"/>
      <c r="AM7794" s="21"/>
      <c r="AN7794" s="133">
        <v>46155</v>
      </c>
      <c r="AO7794" s="134"/>
      <c r="AP7794" s="135">
        <v>1016</v>
      </c>
      <c r="AQ7794" s="136"/>
      <c r="AR7794" s="118">
        <v>420000</v>
      </c>
      <c r="AS7794" s="119"/>
      <c r="AT7794" s="118">
        <f t="shared" ref="AT7794" si="11496">AR7794*0.1</f>
        <v>42000</v>
      </c>
      <c r="AU7794" s="119"/>
      <c r="AV7794" s="118">
        <v>10940</v>
      </c>
      <c r="AW7794" s="119"/>
      <c r="AX7794" s="118">
        <f t="shared" ref="AX7794" si="11497">SUM(AR7794:AW7794)</f>
        <v>472940</v>
      </c>
      <c r="AY7794" s="119"/>
      <c r="AZ7794" s="137">
        <v>46160</v>
      </c>
    </row>
    <row r="7795" spans="1:52" ht="17.100000000000001" customHeight="1" thickBot="1">
      <c r="A7795" s="110"/>
      <c r="B7795" s="27" t="s">
        <v>2641</v>
      </c>
      <c r="C7795" s="27">
        <v>9166</v>
      </c>
      <c r="D7795" s="14" t="s">
        <v>2601</v>
      </c>
      <c r="E7795" s="112"/>
      <c r="F7795" s="139" t="s">
        <v>22068</v>
      </c>
      <c r="G7795" s="140"/>
      <c r="H7795" s="141"/>
      <c r="I7795" s="26">
        <v>109292</v>
      </c>
      <c r="J7795" s="117"/>
      <c r="K7795" s="120"/>
      <c r="L7795" s="121"/>
      <c r="M7795" s="120"/>
      <c r="N7795" s="121"/>
      <c r="O7795" s="120"/>
      <c r="P7795" s="121"/>
      <c r="Q7795" s="120"/>
      <c r="R7795" s="121"/>
      <c r="S7795" s="120"/>
      <c r="T7795" s="121"/>
      <c r="U7795" s="120"/>
      <c r="V7795" s="123"/>
      <c r="W7795" s="125"/>
      <c r="X7795" s="142" t="s">
        <v>22536</v>
      </c>
      <c r="Y7795" s="143"/>
      <c r="Z7795" s="143"/>
      <c r="AA7795" s="143"/>
      <c r="AB7795" s="144"/>
      <c r="AC7795" s="16" t="s">
        <v>21</v>
      </c>
      <c r="AD7795" s="17" t="s">
        <v>1825</v>
      </c>
      <c r="AE7795" s="145"/>
      <c r="AF7795" s="146"/>
      <c r="AG7795" s="146"/>
      <c r="AH7795" s="146"/>
      <c r="AI7795" s="147"/>
      <c r="AJ7795" s="148"/>
      <c r="AK7795" s="143"/>
      <c r="AL7795" s="144"/>
      <c r="AM7795" s="22"/>
      <c r="AN7795" s="149" t="s">
        <v>2794</v>
      </c>
      <c r="AO7795" s="144"/>
      <c r="AP7795" s="148">
        <v>6082</v>
      </c>
      <c r="AQ7795" s="144"/>
      <c r="AR7795" s="120"/>
      <c r="AS7795" s="121"/>
      <c r="AT7795" s="120"/>
      <c r="AU7795" s="121"/>
      <c r="AV7795" s="120"/>
      <c r="AW7795" s="121"/>
      <c r="AX7795" s="120"/>
      <c r="AY7795" s="121"/>
      <c r="AZ7795" s="138"/>
    </row>
    <row r="7796" spans="1:52" ht="17.100000000000001" customHeight="1" thickTop="1">
      <c r="A7796" s="109" t="s">
        <v>22078</v>
      </c>
      <c r="B7796" s="28">
        <v>46115</v>
      </c>
      <c r="C7796" s="25">
        <v>1413</v>
      </c>
      <c r="D7796" s="13" t="s">
        <v>22201</v>
      </c>
      <c r="E7796" s="111"/>
      <c r="F7796" s="113" t="s">
        <v>22069</v>
      </c>
      <c r="G7796" s="114"/>
      <c r="H7796" s="115"/>
      <c r="I7796" s="24" t="s">
        <v>13821</v>
      </c>
      <c r="J7796" s="116">
        <v>3.5</v>
      </c>
      <c r="K7796" s="118">
        <v>301000</v>
      </c>
      <c r="L7796" s="119"/>
      <c r="M7796" s="118">
        <f t="shared" ref="M7796" si="11498">K7796*0.1</f>
        <v>30100</v>
      </c>
      <c r="N7796" s="119"/>
      <c r="O7796" s="118">
        <v>0</v>
      </c>
      <c r="P7796" s="119"/>
      <c r="Q7796" s="118">
        <v>8570</v>
      </c>
      <c r="R7796" s="119"/>
      <c r="S7796" s="118">
        <v>15400</v>
      </c>
      <c r="T7796" s="119"/>
      <c r="U7796" s="118">
        <f t="shared" ref="U7796" si="11499">SUM(K7796:T7797)</f>
        <v>355070</v>
      </c>
      <c r="V7796" s="122"/>
      <c r="W7796" s="124"/>
      <c r="X7796" s="126" t="s">
        <v>22601</v>
      </c>
      <c r="Y7796" s="127"/>
      <c r="Z7796" s="127"/>
      <c r="AA7796" s="127"/>
      <c r="AB7796" s="128"/>
      <c r="AC7796" s="15" t="s">
        <v>20</v>
      </c>
      <c r="AD7796" s="129" t="s">
        <v>3828</v>
      </c>
      <c r="AE7796" s="130"/>
      <c r="AF7796" s="130"/>
      <c r="AG7796" s="130"/>
      <c r="AH7796" s="130"/>
      <c r="AI7796" s="131"/>
      <c r="AJ7796" s="132"/>
      <c r="AK7796" s="127"/>
      <c r="AL7796" s="128"/>
      <c r="AM7796" s="21"/>
      <c r="AN7796" s="133">
        <v>46137</v>
      </c>
      <c r="AO7796" s="134"/>
      <c r="AP7796" s="135">
        <v>1298</v>
      </c>
      <c r="AQ7796" s="136"/>
      <c r="AR7796" s="118">
        <v>400000</v>
      </c>
      <c r="AS7796" s="119"/>
      <c r="AT7796" s="118">
        <f t="shared" ref="AT7796" si="11500">AR7796*0.1</f>
        <v>40000</v>
      </c>
      <c r="AU7796" s="119"/>
      <c r="AV7796" s="118">
        <v>8570</v>
      </c>
      <c r="AW7796" s="119"/>
      <c r="AX7796" s="118">
        <f t="shared" ref="AX7796" si="11501">SUM(AR7796:AW7796)</f>
        <v>448570</v>
      </c>
      <c r="AY7796" s="119"/>
      <c r="AZ7796" s="137">
        <v>46140</v>
      </c>
    </row>
    <row r="7797" spans="1:52" ht="17.100000000000001" customHeight="1" thickBot="1">
      <c r="A7797" s="110"/>
      <c r="B7797" s="27" t="s">
        <v>2641</v>
      </c>
      <c r="C7797" s="27">
        <v>9301</v>
      </c>
      <c r="D7797" s="14" t="s">
        <v>133</v>
      </c>
      <c r="E7797" s="112"/>
      <c r="F7797" s="139" t="s">
        <v>22070</v>
      </c>
      <c r="G7797" s="140"/>
      <c r="H7797" s="141"/>
      <c r="I7797" s="26">
        <v>80859</v>
      </c>
      <c r="J7797" s="117"/>
      <c r="K7797" s="120"/>
      <c r="L7797" s="121"/>
      <c r="M7797" s="120"/>
      <c r="N7797" s="121"/>
      <c r="O7797" s="120"/>
      <c r="P7797" s="121"/>
      <c r="Q7797" s="120"/>
      <c r="R7797" s="121"/>
      <c r="S7797" s="120"/>
      <c r="T7797" s="121"/>
      <c r="U7797" s="120"/>
      <c r="V7797" s="123"/>
      <c r="W7797" s="125"/>
      <c r="X7797" s="142" t="s">
        <v>22602</v>
      </c>
      <c r="Y7797" s="143"/>
      <c r="Z7797" s="143"/>
      <c r="AA7797" s="143"/>
      <c r="AB7797" s="144"/>
      <c r="AC7797" s="16" t="s">
        <v>21</v>
      </c>
      <c r="AD7797" s="17" t="s">
        <v>22552</v>
      </c>
      <c r="AE7797" s="145" t="s">
        <v>22603</v>
      </c>
      <c r="AF7797" s="146"/>
      <c r="AG7797" s="146"/>
      <c r="AH7797" s="146"/>
      <c r="AI7797" s="147"/>
      <c r="AJ7797" s="148"/>
      <c r="AK7797" s="143"/>
      <c r="AL7797" s="144"/>
      <c r="AM7797" s="22"/>
      <c r="AN7797" s="149" t="s">
        <v>7284</v>
      </c>
      <c r="AO7797" s="144"/>
      <c r="AP7797" s="148">
        <v>60115</v>
      </c>
      <c r="AQ7797" s="144"/>
      <c r="AR7797" s="120"/>
      <c r="AS7797" s="121"/>
      <c r="AT7797" s="120"/>
      <c r="AU7797" s="121"/>
      <c r="AV7797" s="120"/>
      <c r="AW7797" s="121"/>
      <c r="AX7797" s="120"/>
      <c r="AY7797" s="121"/>
      <c r="AZ7797" s="138"/>
    </row>
    <row r="7798" spans="1:52" ht="17.100000000000001" customHeight="1" thickTop="1">
      <c r="A7798" s="109" t="s">
        <v>22079</v>
      </c>
      <c r="B7798" s="28">
        <v>46115</v>
      </c>
      <c r="C7798" s="25">
        <v>1413</v>
      </c>
      <c r="D7798" s="13" t="s">
        <v>1752</v>
      </c>
      <c r="E7798" s="111"/>
      <c r="F7798" s="113" t="s">
        <v>21524</v>
      </c>
      <c r="G7798" s="114"/>
      <c r="H7798" s="115"/>
      <c r="I7798" s="24" t="s">
        <v>11269</v>
      </c>
      <c r="J7798" s="116">
        <v>3.5</v>
      </c>
      <c r="K7798" s="118">
        <v>277000</v>
      </c>
      <c r="L7798" s="119"/>
      <c r="M7798" s="118">
        <f t="shared" ref="M7798" si="11502">K7798*0.1</f>
        <v>27700</v>
      </c>
      <c r="N7798" s="119"/>
      <c r="O7798" s="118">
        <v>0</v>
      </c>
      <c r="P7798" s="119"/>
      <c r="Q7798" s="118">
        <v>9070</v>
      </c>
      <c r="R7798" s="119"/>
      <c r="S7798" s="118">
        <v>15400</v>
      </c>
      <c r="T7798" s="119"/>
      <c r="U7798" s="118">
        <f t="shared" ref="U7798" si="11503">SUM(K7798:T7799)</f>
        <v>329170</v>
      </c>
      <c r="V7798" s="122"/>
      <c r="W7798" s="124"/>
      <c r="X7798" s="126" t="s">
        <v>22543</v>
      </c>
      <c r="Y7798" s="127"/>
      <c r="Z7798" s="127"/>
      <c r="AA7798" s="127"/>
      <c r="AB7798" s="128"/>
      <c r="AC7798" s="15" t="s">
        <v>20</v>
      </c>
      <c r="AD7798" s="129"/>
      <c r="AE7798" s="130"/>
      <c r="AF7798" s="130"/>
      <c r="AG7798" s="130"/>
      <c r="AH7798" s="130"/>
      <c r="AI7798" s="131"/>
      <c r="AJ7798" s="132"/>
      <c r="AK7798" s="127"/>
      <c r="AL7798" s="128"/>
      <c r="AM7798" s="21"/>
      <c r="AN7798" s="133">
        <v>46130</v>
      </c>
      <c r="AO7798" s="134"/>
      <c r="AP7798" s="135">
        <v>1297</v>
      </c>
      <c r="AQ7798" s="136"/>
      <c r="AR7798" s="118">
        <v>340000</v>
      </c>
      <c r="AS7798" s="119"/>
      <c r="AT7798" s="118">
        <f t="shared" ref="AT7798" si="11504">AR7798*0.1</f>
        <v>34000</v>
      </c>
      <c r="AU7798" s="119"/>
      <c r="AV7798" s="118">
        <v>9070</v>
      </c>
      <c r="AW7798" s="119"/>
      <c r="AX7798" s="118">
        <f t="shared" ref="AX7798" si="11505">SUM(AR7798:AW7798)</f>
        <v>383070</v>
      </c>
      <c r="AY7798" s="119"/>
      <c r="AZ7798" s="137">
        <v>46133</v>
      </c>
    </row>
    <row r="7799" spans="1:52" ht="17.100000000000001" customHeight="1" thickBot="1">
      <c r="A7799" s="110"/>
      <c r="B7799" s="27" t="s">
        <v>2641</v>
      </c>
      <c r="C7799" s="27">
        <v>9395</v>
      </c>
      <c r="D7799" s="14" t="s">
        <v>5615</v>
      </c>
      <c r="E7799" s="112"/>
      <c r="F7799" s="139" t="s">
        <v>22071</v>
      </c>
      <c r="G7799" s="140"/>
      <c r="H7799" s="141"/>
      <c r="I7799" s="26">
        <v>55565</v>
      </c>
      <c r="J7799" s="117"/>
      <c r="K7799" s="120"/>
      <c r="L7799" s="121"/>
      <c r="M7799" s="120"/>
      <c r="N7799" s="121"/>
      <c r="O7799" s="120"/>
      <c r="P7799" s="121"/>
      <c r="Q7799" s="120"/>
      <c r="R7799" s="121"/>
      <c r="S7799" s="120"/>
      <c r="T7799" s="121"/>
      <c r="U7799" s="120"/>
      <c r="V7799" s="123"/>
      <c r="W7799" s="125"/>
      <c r="X7799" s="142" t="s">
        <v>22544</v>
      </c>
      <c r="Y7799" s="143"/>
      <c r="Z7799" s="143"/>
      <c r="AA7799" s="143"/>
      <c r="AB7799" s="144"/>
      <c r="AC7799" s="16" t="s">
        <v>21</v>
      </c>
      <c r="AD7799" s="17" t="s">
        <v>1825</v>
      </c>
      <c r="AE7799" s="145" t="s">
        <v>4077</v>
      </c>
      <c r="AF7799" s="146"/>
      <c r="AG7799" s="146"/>
      <c r="AH7799" s="146"/>
      <c r="AI7799" s="147"/>
      <c r="AJ7799" s="148"/>
      <c r="AK7799" s="143"/>
      <c r="AL7799" s="144"/>
      <c r="AM7799" s="22"/>
      <c r="AN7799" s="149" t="s">
        <v>2511</v>
      </c>
      <c r="AO7799" s="144"/>
      <c r="AP7799" s="148">
        <v>60322</v>
      </c>
      <c r="AQ7799" s="144"/>
      <c r="AR7799" s="120"/>
      <c r="AS7799" s="121"/>
      <c r="AT7799" s="120"/>
      <c r="AU7799" s="121"/>
      <c r="AV7799" s="120"/>
      <c r="AW7799" s="121"/>
      <c r="AX7799" s="120"/>
      <c r="AY7799" s="121"/>
      <c r="AZ7799" s="138"/>
    </row>
    <row r="7800" spans="1:52" ht="17.100000000000001" customHeight="1" thickTop="1">
      <c r="A7800" s="109" t="s">
        <v>22080</v>
      </c>
      <c r="B7800" s="28">
        <v>46115</v>
      </c>
      <c r="C7800" s="25">
        <v>1413</v>
      </c>
      <c r="D7800" s="13" t="s">
        <v>3695</v>
      </c>
      <c r="E7800" s="111"/>
      <c r="F7800" s="113" t="s">
        <v>22072</v>
      </c>
      <c r="G7800" s="114"/>
      <c r="H7800" s="115"/>
      <c r="I7800" s="24"/>
      <c r="J7800" s="116">
        <v>4</v>
      </c>
      <c r="K7800" s="118">
        <v>244000</v>
      </c>
      <c r="L7800" s="119"/>
      <c r="M7800" s="118">
        <f t="shared" ref="M7800" si="11506">K7800*0.1</f>
        <v>24400</v>
      </c>
      <c r="N7800" s="119"/>
      <c r="O7800" s="118">
        <v>0</v>
      </c>
      <c r="P7800" s="119"/>
      <c r="Q7800" s="118">
        <v>10270</v>
      </c>
      <c r="R7800" s="119"/>
      <c r="S7800" s="118">
        <v>15400</v>
      </c>
      <c r="T7800" s="119"/>
      <c r="U7800" s="118">
        <f t="shared" ref="U7800" si="11507">SUM(K7800:T7801)</f>
        <v>294070</v>
      </c>
      <c r="V7800" s="122"/>
      <c r="W7800" s="124"/>
      <c r="X7800" s="126" t="s">
        <v>22540</v>
      </c>
      <c r="Y7800" s="127"/>
      <c r="Z7800" s="127"/>
      <c r="AA7800" s="127"/>
      <c r="AB7800" s="128"/>
      <c r="AC7800" s="15" t="s">
        <v>20</v>
      </c>
      <c r="AD7800" s="129"/>
      <c r="AE7800" s="130"/>
      <c r="AF7800" s="130"/>
      <c r="AG7800" s="130"/>
      <c r="AH7800" s="130"/>
      <c r="AI7800" s="131"/>
      <c r="AJ7800" s="132"/>
      <c r="AK7800" s="127"/>
      <c r="AL7800" s="128"/>
      <c r="AM7800" s="21"/>
      <c r="AN7800" s="133">
        <v>46144</v>
      </c>
      <c r="AO7800" s="134"/>
      <c r="AP7800" s="135">
        <v>1299</v>
      </c>
      <c r="AQ7800" s="136"/>
      <c r="AR7800" s="118">
        <v>300000</v>
      </c>
      <c r="AS7800" s="119"/>
      <c r="AT7800" s="118">
        <f t="shared" ref="AT7800" si="11508">AR7800*0.1</f>
        <v>30000</v>
      </c>
      <c r="AU7800" s="119"/>
      <c r="AV7800" s="118">
        <v>10270</v>
      </c>
      <c r="AW7800" s="119"/>
      <c r="AX7800" s="118">
        <f t="shared" ref="AX7800" si="11509">SUM(AR7800:AW7800)</f>
        <v>340270</v>
      </c>
      <c r="AY7800" s="119"/>
      <c r="AZ7800" s="137">
        <v>46154</v>
      </c>
    </row>
    <row r="7801" spans="1:52" ht="17.100000000000001" customHeight="1" thickBot="1">
      <c r="A7801" s="110"/>
      <c r="B7801" s="27" t="s">
        <v>2641</v>
      </c>
      <c r="C7801" s="27">
        <v>9404</v>
      </c>
      <c r="D7801" s="14" t="s">
        <v>1720</v>
      </c>
      <c r="E7801" s="112"/>
      <c r="F7801" s="139" t="s">
        <v>22073</v>
      </c>
      <c r="G7801" s="140"/>
      <c r="H7801" s="141"/>
      <c r="I7801" s="26">
        <v>52702</v>
      </c>
      <c r="J7801" s="117"/>
      <c r="K7801" s="120"/>
      <c r="L7801" s="121"/>
      <c r="M7801" s="120"/>
      <c r="N7801" s="121"/>
      <c r="O7801" s="120"/>
      <c r="P7801" s="121"/>
      <c r="Q7801" s="120"/>
      <c r="R7801" s="121"/>
      <c r="S7801" s="120"/>
      <c r="T7801" s="121"/>
      <c r="U7801" s="120"/>
      <c r="V7801" s="123"/>
      <c r="W7801" s="125"/>
      <c r="X7801" s="142" t="s">
        <v>1997</v>
      </c>
      <c r="Y7801" s="143"/>
      <c r="Z7801" s="143"/>
      <c r="AA7801" s="143"/>
      <c r="AB7801" s="144"/>
      <c r="AC7801" s="16" t="s">
        <v>21</v>
      </c>
      <c r="AD7801" s="17" t="s">
        <v>1825</v>
      </c>
      <c r="AE7801" s="145"/>
      <c r="AF7801" s="146"/>
      <c r="AG7801" s="146"/>
      <c r="AH7801" s="146"/>
      <c r="AI7801" s="147"/>
      <c r="AJ7801" s="148"/>
      <c r="AK7801" s="143"/>
      <c r="AL7801" s="144"/>
      <c r="AM7801" s="22"/>
      <c r="AN7801" s="149" t="s">
        <v>7284</v>
      </c>
      <c r="AO7801" s="144"/>
      <c r="AP7801" s="148">
        <v>60077</v>
      </c>
      <c r="AQ7801" s="144"/>
      <c r="AR7801" s="120"/>
      <c r="AS7801" s="121"/>
      <c r="AT7801" s="120"/>
      <c r="AU7801" s="121"/>
      <c r="AV7801" s="120"/>
      <c r="AW7801" s="121"/>
      <c r="AX7801" s="120"/>
      <c r="AY7801" s="121"/>
      <c r="AZ7801" s="138"/>
    </row>
    <row r="7802" spans="1:52" ht="17.100000000000001" customHeight="1" thickTop="1">
      <c r="A7802" s="109" t="s">
        <v>22081</v>
      </c>
      <c r="B7802" s="28">
        <v>46115</v>
      </c>
      <c r="C7802" s="25">
        <v>2129</v>
      </c>
      <c r="D7802" s="13" t="s">
        <v>1714</v>
      </c>
      <c r="E7802" s="111"/>
      <c r="F7802" s="113" t="s">
        <v>22202</v>
      </c>
      <c r="G7802" s="114"/>
      <c r="H7802" s="115"/>
      <c r="I7802" s="24"/>
      <c r="J7802" s="116">
        <v>4.5</v>
      </c>
      <c r="K7802" s="118">
        <v>2160000</v>
      </c>
      <c r="L7802" s="119"/>
      <c r="M7802" s="118">
        <f t="shared" ref="M7802" si="11510">K7802*0.1</f>
        <v>216000</v>
      </c>
      <c r="N7802" s="119"/>
      <c r="O7802" s="118">
        <v>0</v>
      </c>
      <c r="P7802" s="119"/>
      <c r="Q7802" s="118">
        <v>17850</v>
      </c>
      <c r="R7802" s="119"/>
      <c r="S7802" s="118">
        <v>16500</v>
      </c>
      <c r="T7802" s="119"/>
      <c r="U7802" s="118">
        <f t="shared" ref="U7802" si="11511">SUM(K7802:T7803)</f>
        <v>2410350</v>
      </c>
      <c r="V7802" s="122"/>
      <c r="W7802" s="124"/>
      <c r="X7802" s="126" t="s">
        <v>22525</v>
      </c>
      <c r="Y7802" s="127"/>
      <c r="Z7802" s="127"/>
      <c r="AA7802" s="127"/>
      <c r="AB7802" s="128"/>
      <c r="AC7802" s="15" t="s">
        <v>20</v>
      </c>
      <c r="AD7802" s="129" t="s">
        <v>15198</v>
      </c>
      <c r="AE7802" s="130"/>
      <c r="AF7802" s="130"/>
      <c r="AG7802" s="130"/>
      <c r="AH7802" s="130"/>
      <c r="AI7802" s="131"/>
      <c r="AJ7802" s="132"/>
      <c r="AK7802" s="127"/>
      <c r="AL7802" s="128"/>
      <c r="AM7802" s="21"/>
      <c r="AN7802" s="133">
        <v>46128</v>
      </c>
      <c r="AO7802" s="134"/>
      <c r="AP7802" s="135">
        <v>1327</v>
      </c>
      <c r="AQ7802" s="136"/>
      <c r="AR7802" s="118">
        <v>2355000</v>
      </c>
      <c r="AS7802" s="119"/>
      <c r="AT7802" s="118">
        <f t="shared" ref="AT7802" si="11512">AR7802*0.1</f>
        <v>235500</v>
      </c>
      <c r="AU7802" s="119"/>
      <c r="AV7802" s="118">
        <v>17850</v>
      </c>
      <c r="AW7802" s="119"/>
      <c r="AX7802" s="118">
        <f t="shared" ref="AX7802" si="11513">SUM(AR7802:AW7802)</f>
        <v>2608350</v>
      </c>
      <c r="AY7802" s="119"/>
      <c r="AZ7802" s="137">
        <v>46129</v>
      </c>
    </row>
    <row r="7803" spans="1:52" ht="17.100000000000001" customHeight="1" thickBot="1">
      <c r="A7803" s="110"/>
      <c r="B7803" s="27" t="s">
        <v>1543</v>
      </c>
      <c r="C7803" s="27">
        <v>13064</v>
      </c>
      <c r="D7803" s="14" t="s">
        <v>1592</v>
      </c>
      <c r="E7803" s="112"/>
      <c r="F7803" s="139" t="s">
        <v>22203</v>
      </c>
      <c r="G7803" s="140"/>
      <c r="H7803" s="141"/>
      <c r="I7803" s="26">
        <v>11796</v>
      </c>
      <c r="J7803" s="117"/>
      <c r="K7803" s="120"/>
      <c r="L7803" s="121"/>
      <c r="M7803" s="120"/>
      <c r="N7803" s="121"/>
      <c r="O7803" s="120"/>
      <c r="P7803" s="121"/>
      <c r="Q7803" s="120"/>
      <c r="R7803" s="121"/>
      <c r="S7803" s="120"/>
      <c r="T7803" s="121"/>
      <c r="U7803" s="120"/>
      <c r="V7803" s="123"/>
      <c r="W7803" s="125"/>
      <c r="X7803" s="142" t="s">
        <v>2659</v>
      </c>
      <c r="Y7803" s="143"/>
      <c r="Z7803" s="143"/>
      <c r="AA7803" s="143"/>
      <c r="AB7803" s="144"/>
      <c r="AC7803" s="16" t="s">
        <v>21</v>
      </c>
      <c r="AD7803" s="17" t="s">
        <v>1795</v>
      </c>
      <c r="AE7803" s="145" t="s">
        <v>7432</v>
      </c>
      <c r="AF7803" s="146"/>
      <c r="AG7803" s="146"/>
      <c r="AH7803" s="146"/>
      <c r="AI7803" s="147"/>
      <c r="AJ7803" s="148"/>
      <c r="AK7803" s="143"/>
      <c r="AL7803" s="144"/>
      <c r="AM7803" s="22"/>
      <c r="AN7803" s="149" t="s">
        <v>23284</v>
      </c>
      <c r="AO7803" s="144"/>
      <c r="AP7803" s="148">
        <v>322</v>
      </c>
      <c r="AQ7803" s="144"/>
      <c r="AR7803" s="120"/>
      <c r="AS7803" s="121"/>
      <c r="AT7803" s="120"/>
      <c r="AU7803" s="121"/>
      <c r="AV7803" s="120"/>
      <c r="AW7803" s="121"/>
      <c r="AX7803" s="120"/>
      <c r="AY7803" s="121"/>
      <c r="AZ7803" s="138"/>
    </row>
    <row r="7804" spans="1:52" ht="17.100000000000001" customHeight="1" thickTop="1">
      <c r="A7804" s="109" t="s">
        <v>22082</v>
      </c>
      <c r="B7804" s="28">
        <v>46115</v>
      </c>
      <c r="C7804" s="25">
        <v>2129</v>
      </c>
      <c r="D7804" s="13" t="s">
        <v>2689</v>
      </c>
      <c r="E7804" s="111"/>
      <c r="F7804" s="113" t="s">
        <v>22058</v>
      </c>
      <c r="G7804" s="114"/>
      <c r="H7804" s="115"/>
      <c r="I7804" s="24" t="s">
        <v>19992</v>
      </c>
      <c r="J7804" s="116">
        <v>4</v>
      </c>
      <c r="K7804" s="118">
        <v>1333000</v>
      </c>
      <c r="L7804" s="119"/>
      <c r="M7804" s="118">
        <f t="shared" ref="M7804" si="11514">K7804*0.1</f>
        <v>133300</v>
      </c>
      <c r="N7804" s="119"/>
      <c r="O7804" s="118">
        <v>30690</v>
      </c>
      <c r="P7804" s="119"/>
      <c r="Q7804" s="118">
        <v>17600</v>
      </c>
      <c r="R7804" s="119"/>
      <c r="S7804" s="118">
        <v>16500</v>
      </c>
      <c r="T7804" s="119"/>
      <c r="U7804" s="118">
        <f t="shared" ref="U7804" si="11515">SUM(K7804:T7805)</f>
        <v>1531090</v>
      </c>
      <c r="V7804" s="122"/>
      <c r="W7804" s="124"/>
      <c r="X7804" s="126" t="s">
        <v>22205</v>
      </c>
      <c r="Y7804" s="127"/>
      <c r="Z7804" s="127"/>
      <c r="AA7804" s="127"/>
      <c r="AB7804" s="128"/>
      <c r="AC7804" s="15" t="s">
        <v>20</v>
      </c>
      <c r="AD7804" s="129" t="s">
        <v>1670</v>
      </c>
      <c r="AE7804" s="130"/>
      <c r="AF7804" s="130"/>
      <c r="AG7804" s="130"/>
      <c r="AH7804" s="130"/>
      <c r="AI7804" s="131"/>
      <c r="AJ7804" s="132"/>
      <c r="AK7804" s="127"/>
      <c r="AL7804" s="128"/>
      <c r="AM7804" s="21"/>
      <c r="AN7804" s="133">
        <v>46128</v>
      </c>
      <c r="AO7804" s="134"/>
      <c r="AP7804" s="135">
        <v>1327</v>
      </c>
      <c r="AQ7804" s="136"/>
      <c r="AR7804" s="118">
        <v>1540000</v>
      </c>
      <c r="AS7804" s="119"/>
      <c r="AT7804" s="118">
        <f t="shared" ref="AT7804" si="11516">AR7804*0.1</f>
        <v>154000</v>
      </c>
      <c r="AU7804" s="119"/>
      <c r="AV7804" s="118">
        <v>17600</v>
      </c>
      <c r="AW7804" s="119"/>
      <c r="AX7804" s="118">
        <f t="shared" ref="AX7804" si="11517">SUM(AR7804:AW7804)</f>
        <v>1711600</v>
      </c>
      <c r="AY7804" s="119"/>
      <c r="AZ7804" s="137">
        <v>46129</v>
      </c>
    </row>
    <row r="7805" spans="1:52" ht="17.100000000000001" customHeight="1" thickBot="1">
      <c r="A7805" s="110"/>
      <c r="B7805" s="27" t="s">
        <v>1543</v>
      </c>
      <c r="C7805" s="27">
        <v>13466</v>
      </c>
      <c r="D7805" s="14" t="s">
        <v>1812</v>
      </c>
      <c r="E7805" s="112"/>
      <c r="F7805" s="139" t="s">
        <v>22204</v>
      </c>
      <c r="G7805" s="140"/>
      <c r="H7805" s="141"/>
      <c r="I7805" s="26">
        <v>47855</v>
      </c>
      <c r="J7805" s="117"/>
      <c r="K7805" s="120"/>
      <c r="L7805" s="121"/>
      <c r="M7805" s="120"/>
      <c r="N7805" s="121"/>
      <c r="O7805" s="120"/>
      <c r="P7805" s="121"/>
      <c r="Q7805" s="120"/>
      <c r="R7805" s="121"/>
      <c r="S7805" s="120"/>
      <c r="T7805" s="121"/>
      <c r="U7805" s="120"/>
      <c r="V7805" s="123"/>
      <c r="W7805" s="125"/>
      <c r="X7805" s="142" t="s">
        <v>4537</v>
      </c>
      <c r="Y7805" s="143"/>
      <c r="Z7805" s="143"/>
      <c r="AA7805" s="143"/>
      <c r="AB7805" s="144"/>
      <c r="AC7805" s="16" t="s">
        <v>21</v>
      </c>
      <c r="AD7805" s="17" t="s">
        <v>2963</v>
      </c>
      <c r="AE7805" s="145" t="s">
        <v>7432</v>
      </c>
      <c r="AF7805" s="146"/>
      <c r="AG7805" s="146"/>
      <c r="AH7805" s="146"/>
      <c r="AI7805" s="147"/>
      <c r="AJ7805" s="148"/>
      <c r="AK7805" s="143"/>
      <c r="AL7805" s="144"/>
      <c r="AM7805" s="22"/>
      <c r="AN7805" s="149" t="s">
        <v>23284</v>
      </c>
      <c r="AO7805" s="144"/>
      <c r="AP7805" s="148">
        <v>327</v>
      </c>
      <c r="AQ7805" s="144"/>
      <c r="AR7805" s="120"/>
      <c r="AS7805" s="121"/>
      <c r="AT7805" s="120"/>
      <c r="AU7805" s="121"/>
      <c r="AV7805" s="120"/>
      <c r="AW7805" s="121"/>
      <c r="AX7805" s="120"/>
      <c r="AY7805" s="121"/>
      <c r="AZ7805" s="138"/>
    </row>
    <row r="7806" spans="1:52" ht="17.100000000000001" customHeight="1" thickTop="1">
      <c r="A7806" s="109" t="s">
        <v>22083</v>
      </c>
      <c r="B7806" s="28">
        <v>46115</v>
      </c>
      <c r="C7806" s="25">
        <v>285</v>
      </c>
      <c r="D7806" s="13" t="s">
        <v>2359</v>
      </c>
      <c r="E7806" s="111"/>
      <c r="F7806" s="113" t="s">
        <v>19642</v>
      </c>
      <c r="G7806" s="114"/>
      <c r="H7806" s="115"/>
      <c r="I7806" s="24"/>
      <c r="J7806" s="116">
        <v>3.5</v>
      </c>
      <c r="K7806" s="118">
        <v>273000</v>
      </c>
      <c r="L7806" s="119"/>
      <c r="M7806" s="118">
        <f t="shared" ref="M7806" si="11518">K7806*0.1</f>
        <v>27300</v>
      </c>
      <c r="N7806" s="119"/>
      <c r="O7806" s="118">
        <v>0</v>
      </c>
      <c r="P7806" s="119"/>
      <c r="Q7806" s="118">
        <v>7140</v>
      </c>
      <c r="R7806" s="119"/>
      <c r="S7806" s="118">
        <v>22000</v>
      </c>
      <c r="T7806" s="119"/>
      <c r="U7806" s="118">
        <f t="shared" ref="U7806" si="11519">SUM(K7806:T7807)</f>
        <v>329440</v>
      </c>
      <c r="V7806" s="122"/>
      <c r="W7806" s="124"/>
      <c r="X7806" s="126" t="s">
        <v>22501</v>
      </c>
      <c r="Y7806" s="127"/>
      <c r="Z7806" s="127"/>
      <c r="AA7806" s="127"/>
      <c r="AB7806" s="128"/>
      <c r="AC7806" s="15" t="s">
        <v>20</v>
      </c>
      <c r="AD7806" s="129"/>
      <c r="AE7806" s="130"/>
      <c r="AF7806" s="130"/>
      <c r="AG7806" s="130"/>
      <c r="AH7806" s="130"/>
      <c r="AI7806" s="131"/>
      <c r="AJ7806" s="132"/>
      <c r="AK7806" s="127"/>
      <c r="AL7806" s="128"/>
      <c r="AM7806" s="21"/>
      <c r="AN7806" s="133">
        <v>46134</v>
      </c>
      <c r="AO7806" s="134"/>
      <c r="AP7806" s="135">
        <v>1014</v>
      </c>
      <c r="AQ7806" s="136"/>
      <c r="AR7806" s="118">
        <v>350000</v>
      </c>
      <c r="AS7806" s="119"/>
      <c r="AT7806" s="118">
        <f t="shared" ref="AT7806" si="11520">AR7806*0.1</f>
        <v>35000</v>
      </c>
      <c r="AU7806" s="119"/>
      <c r="AV7806" s="118">
        <v>7140</v>
      </c>
      <c r="AW7806" s="119"/>
      <c r="AX7806" s="118">
        <f t="shared" ref="AX7806" si="11521">SUM(AR7806:AW7806)</f>
        <v>392140</v>
      </c>
      <c r="AY7806" s="119"/>
      <c r="AZ7806" s="137">
        <v>46140</v>
      </c>
    </row>
    <row r="7807" spans="1:52" ht="17.100000000000001" customHeight="1" thickBot="1">
      <c r="A7807" s="110"/>
      <c r="B7807" s="27" t="s">
        <v>15877</v>
      </c>
      <c r="C7807" s="27">
        <v>8</v>
      </c>
      <c r="D7807" s="14" t="s">
        <v>1700</v>
      </c>
      <c r="E7807" s="112"/>
      <c r="F7807" s="139" t="s">
        <v>22092</v>
      </c>
      <c r="G7807" s="140"/>
      <c r="H7807" s="141"/>
      <c r="I7807" s="26">
        <v>28332</v>
      </c>
      <c r="J7807" s="117"/>
      <c r="K7807" s="120"/>
      <c r="L7807" s="121"/>
      <c r="M7807" s="120"/>
      <c r="N7807" s="121"/>
      <c r="O7807" s="120"/>
      <c r="P7807" s="121"/>
      <c r="Q7807" s="120"/>
      <c r="R7807" s="121"/>
      <c r="S7807" s="120"/>
      <c r="T7807" s="121"/>
      <c r="U7807" s="120"/>
      <c r="V7807" s="123"/>
      <c r="W7807" s="125"/>
      <c r="X7807" s="142" t="s">
        <v>4423</v>
      </c>
      <c r="Y7807" s="143"/>
      <c r="Z7807" s="143"/>
      <c r="AA7807" s="143"/>
      <c r="AB7807" s="144"/>
      <c r="AC7807" s="16" t="s">
        <v>21</v>
      </c>
      <c r="AD7807" s="17" t="s">
        <v>1825</v>
      </c>
      <c r="AE7807" s="145" t="s">
        <v>2395</v>
      </c>
      <c r="AF7807" s="146"/>
      <c r="AG7807" s="146"/>
      <c r="AH7807" s="146"/>
      <c r="AI7807" s="147"/>
      <c r="AJ7807" s="148"/>
      <c r="AK7807" s="143"/>
      <c r="AL7807" s="144"/>
      <c r="AM7807" s="22"/>
      <c r="AN7807" s="149" t="s">
        <v>7285</v>
      </c>
      <c r="AO7807" s="144"/>
      <c r="AP7807" s="148">
        <v>2022</v>
      </c>
      <c r="AQ7807" s="144"/>
      <c r="AR7807" s="120"/>
      <c r="AS7807" s="121"/>
      <c r="AT7807" s="120"/>
      <c r="AU7807" s="121"/>
      <c r="AV7807" s="120"/>
      <c r="AW7807" s="121"/>
      <c r="AX7807" s="120"/>
      <c r="AY7807" s="121"/>
      <c r="AZ7807" s="138"/>
    </row>
    <row r="7808" spans="1:52" ht="17.100000000000001" customHeight="1" thickTop="1">
      <c r="A7808" s="109" t="s">
        <v>22084</v>
      </c>
      <c r="B7808" s="28">
        <v>46115</v>
      </c>
      <c r="C7808" s="25">
        <v>285</v>
      </c>
      <c r="D7808" s="13" t="s">
        <v>2329</v>
      </c>
      <c r="E7808" s="111"/>
      <c r="F7808" s="113" t="s">
        <v>22206</v>
      </c>
      <c r="G7808" s="114"/>
      <c r="H7808" s="115"/>
      <c r="I7808" s="24"/>
      <c r="J7808" s="116">
        <v>4</v>
      </c>
      <c r="K7808" s="118">
        <v>436000</v>
      </c>
      <c r="L7808" s="119"/>
      <c r="M7808" s="118">
        <f t="shared" ref="M7808" si="11522">K7808*0.1</f>
        <v>43600</v>
      </c>
      <c r="N7808" s="119"/>
      <c r="O7808" s="118">
        <v>0</v>
      </c>
      <c r="P7808" s="119"/>
      <c r="Q7808" s="118">
        <v>7510</v>
      </c>
      <c r="R7808" s="119"/>
      <c r="S7808" s="118">
        <v>22000</v>
      </c>
      <c r="T7808" s="119"/>
      <c r="U7808" s="118">
        <f t="shared" ref="U7808" si="11523">SUM(K7808:T7809)</f>
        <v>509110</v>
      </c>
      <c r="V7808" s="122"/>
      <c r="W7808" s="124"/>
      <c r="X7808" s="126" t="s">
        <v>22434</v>
      </c>
      <c r="Y7808" s="127"/>
      <c r="Z7808" s="127"/>
      <c r="AA7808" s="127"/>
      <c r="AB7808" s="128"/>
      <c r="AC7808" s="15" t="s">
        <v>20</v>
      </c>
      <c r="AD7808" s="129" t="s">
        <v>2781</v>
      </c>
      <c r="AE7808" s="130"/>
      <c r="AF7808" s="130"/>
      <c r="AG7808" s="130"/>
      <c r="AH7808" s="130"/>
      <c r="AI7808" s="131"/>
      <c r="AJ7808" s="132"/>
      <c r="AK7808" s="127"/>
      <c r="AL7808" s="128"/>
      <c r="AM7808" s="21"/>
      <c r="AN7808" s="133">
        <v>46120</v>
      </c>
      <c r="AO7808" s="134"/>
      <c r="AP7808" s="135">
        <v>1012</v>
      </c>
      <c r="AQ7808" s="136"/>
      <c r="AR7808" s="118">
        <v>570000</v>
      </c>
      <c r="AS7808" s="119"/>
      <c r="AT7808" s="118">
        <f t="shared" ref="AT7808" si="11524">AR7808*0.1</f>
        <v>57000</v>
      </c>
      <c r="AU7808" s="119"/>
      <c r="AV7808" s="118">
        <v>7510</v>
      </c>
      <c r="AW7808" s="119"/>
      <c r="AX7808" s="118">
        <f t="shared" ref="AX7808" si="11525">SUM(AR7808:AW7808)</f>
        <v>634510</v>
      </c>
      <c r="AY7808" s="119"/>
      <c r="AZ7808" s="137">
        <v>46125</v>
      </c>
    </row>
    <row r="7809" spans="1:52" ht="17.100000000000001" customHeight="1" thickBot="1">
      <c r="A7809" s="110"/>
      <c r="B7809" s="27" t="s">
        <v>15877</v>
      </c>
      <c r="C7809" s="27">
        <v>20002</v>
      </c>
      <c r="D7809" s="14" t="s">
        <v>1592</v>
      </c>
      <c r="E7809" s="112"/>
      <c r="F7809" s="139" t="s">
        <v>22093</v>
      </c>
      <c r="G7809" s="140"/>
      <c r="H7809" s="141"/>
      <c r="I7809" s="26">
        <v>30254</v>
      </c>
      <c r="J7809" s="117"/>
      <c r="K7809" s="120"/>
      <c r="L7809" s="121"/>
      <c r="M7809" s="120"/>
      <c r="N7809" s="121"/>
      <c r="O7809" s="120"/>
      <c r="P7809" s="121"/>
      <c r="Q7809" s="120"/>
      <c r="R7809" s="121"/>
      <c r="S7809" s="120"/>
      <c r="T7809" s="121"/>
      <c r="U7809" s="120"/>
      <c r="V7809" s="123"/>
      <c r="W7809" s="125"/>
      <c r="X7809" s="142" t="s">
        <v>22435</v>
      </c>
      <c r="Y7809" s="143"/>
      <c r="Z7809" s="143"/>
      <c r="AA7809" s="143"/>
      <c r="AB7809" s="144"/>
      <c r="AC7809" s="16" t="s">
        <v>21</v>
      </c>
      <c r="AD7809" s="17" t="s">
        <v>1825</v>
      </c>
      <c r="AE7809" s="145" t="s">
        <v>2781</v>
      </c>
      <c r="AF7809" s="146"/>
      <c r="AG7809" s="146"/>
      <c r="AH7809" s="146"/>
      <c r="AI7809" s="147"/>
      <c r="AJ7809" s="148"/>
      <c r="AK7809" s="143"/>
      <c r="AL7809" s="144"/>
      <c r="AM7809" s="22"/>
      <c r="AN7809" s="149" t="s">
        <v>2794</v>
      </c>
      <c r="AO7809" s="144"/>
      <c r="AP7809" s="148">
        <v>5141</v>
      </c>
      <c r="AQ7809" s="144"/>
      <c r="AR7809" s="120"/>
      <c r="AS7809" s="121"/>
      <c r="AT7809" s="120"/>
      <c r="AU7809" s="121"/>
      <c r="AV7809" s="120"/>
      <c r="AW7809" s="121"/>
      <c r="AX7809" s="120"/>
      <c r="AY7809" s="121"/>
      <c r="AZ7809" s="138"/>
    </row>
    <row r="7810" spans="1:52" ht="17.100000000000001" customHeight="1" thickTop="1">
      <c r="A7810" s="109" t="s">
        <v>22085</v>
      </c>
      <c r="B7810" s="28">
        <v>46115</v>
      </c>
      <c r="C7810" s="25">
        <v>285</v>
      </c>
      <c r="D7810" s="13" t="s">
        <v>2301</v>
      </c>
      <c r="E7810" s="111"/>
      <c r="F7810" s="113" t="s">
        <v>15976</v>
      </c>
      <c r="G7810" s="114"/>
      <c r="H7810" s="115"/>
      <c r="I7810" s="24"/>
      <c r="J7810" s="116">
        <v>4</v>
      </c>
      <c r="K7810" s="118">
        <v>737000</v>
      </c>
      <c r="L7810" s="119"/>
      <c r="M7810" s="118">
        <f t="shared" ref="M7810" si="11526">K7810*0.1</f>
        <v>73700</v>
      </c>
      <c r="N7810" s="119"/>
      <c r="O7810" s="118">
        <v>0</v>
      </c>
      <c r="P7810" s="119"/>
      <c r="Q7810" s="118">
        <v>8400</v>
      </c>
      <c r="R7810" s="119"/>
      <c r="S7810" s="118">
        <v>22000</v>
      </c>
      <c r="T7810" s="119"/>
      <c r="U7810" s="118">
        <f t="shared" ref="U7810" si="11527">SUM(K7810:T7811)</f>
        <v>841100</v>
      </c>
      <c r="V7810" s="122"/>
      <c r="W7810" s="124"/>
      <c r="X7810" s="126" t="s">
        <v>22516</v>
      </c>
      <c r="Y7810" s="127"/>
      <c r="Z7810" s="127"/>
      <c r="AA7810" s="127"/>
      <c r="AB7810" s="128"/>
      <c r="AC7810" s="15" t="s">
        <v>20</v>
      </c>
      <c r="AD7810" s="129"/>
      <c r="AE7810" s="130"/>
      <c r="AF7810" s="130"/>
      <c r="AG7810" s="130"/>
      <c r="AH7810" s="130"/>
      <c r="AI7810" s="131"/>
      <c r="AJ7810" s="132"/>
      <c r="AK7810" s="127"/>
      <c r="AL7810" s="128"/>
      <c r="AM7810" s="21"/>
      <c r="AN7810" s="133">
        <v>46120</v>
      </c>
      <c r="AO7810" s="134"/>
      <c r="AP7810" s="135">
        <v>1012</v>
      </c>
      <c r="AQ7810" s="136"/>
      <c r="AR7810" s="118">
        <v>840000</v>
      </c>
      <c r="AS7810" s="119"/>
      <c r="AT7810" s="118">
        <f t="shared" ref="AT7810" si="11528">AR7810*0.1</f>
        <v>84000</v>
      </c>
      <c r="AU7810" s="119"/>
      <c r="AV7810" s="118">
        <v>8400</v>
      </c>
      <c r="AW7810" s="119"/>
      <c r="AX7810" s="118">
        <f t="shared" ref="AX7810" si="11529">SUM(AR7810:AW7810)</f>
        <v>932400</v>
      </c>
      <c r="AY7810" s="119"/>
      <c r="AZ7810" s="137">
        <v>46125</v>
      </c>
    </row>
    <row r="7811" spans="1:52" ht="17.100000000000001" customHeight="1" thickBot="1">
      <c r="A7811" s="110"/>
      <c r="B7811" s="27" t="s">
        <v>15877</v>
      </c>
      <c r="C7811" s="27">
        <v>20032</v>
      </c>
      <c r="D7811" s="14" t="s">
        <v>1592</v>
      </c>
      <c r="E7811" s="112"/>
      <c r="F7811" s="139" t="s">
        <v>22094</v>
      </c>
      <c r="G7811" s="140"/>
      <c r="H7811" s="141"/>
      <c r="I7811" s="26">
        <v>10997</v>
      </c>
      <c r="J7811" s="117"/>
      <c r="K7811" s="120"/>
      <c r="L7811" s="121"/>
      <c r="M7811" s="120"/>
      <c r="N7811" s="121"/>
      <c r="O7811" s="120"/>
      <c r="P7811" s="121"/>
      <c r="Q7811" s="120"/>
      <c r="R7811" s="121"/>
      <c r="S7811" s="120"/>
      <c r="T7811" s="121"/>
      <c r="U7811" s="120"/>
      <c r="V7811" s="123"/>
      <c r="W7811" s="125"/>
      <c r="X7811" s="142" t="s">
        <v>7544</v>
      </c>
      <c r="Y7811" s="143"/>
      <c r="Z7811" s="143"/>
      <c r="AA7811" s="143"/>
      <c r="AB7811" s="144"/>
      <c r="AC7811" s="16" t="s">
        <v>21</v>
      </c>
      <c r="AD7811" s="17" t="s">
        <v>1795</v>
      </c>
      <c r="AE7811" s="145"/>
      <c r="AF7811" s="146"/>
      <c r="AG7811" s="146"/>
      <c r="AH7811" s="146"/>
      <c r="AI7811" s="147"/>
      <c r="AJ7811" s="148"/>
      <c r="AK7811" s="143"/>
      <c r="AL7811" s="144"/>
      <c r="AM7811" s="22"/>
      <c r="AN7811" s="149" t="s">
        <v>2794</v>
      </c>
      <c r="AO7811" s="144"/>
      <c r="AP7811" s="148">
        <v>5144</v>
      </c>
      <c r="AQ7811" s="144"/>
      <c r="AR7811" s="120"/>
      <c r="AS7811" s="121"/>
      <c r="AT7811" s="120"/>
      <c r="AU7811" s="121"/>
      <c r="AV7811" s="120"/>
      <c r="AW7811" s="121"/>
      <c r="AX7811" s="120"/>
      <c r="AY7811" s="121"/>
      <c r="AZ7811" s="138"/>
    </row>
    <row r="7812" spans="1:52" ht="17.100000000000001" customHeight="1" thickTop="1">
      <c r="A7812" s="151" t="s">
        <v>22086</v>
      </c>
      <c r="B7812" s="28">
        <v>46115</v>
      </c>
      <c r="C7812" s="25">
        <v>285</v>
      </c>
      <c r="D7812" s="13" t="s">
        <v>2009</v>
      </c>
      <c r="E7812" s="111"/>
      <c r="F7812" s="113" t="s">
        <v>22207</v>
      </c>
      <c r="G7812" s="114"/>
      <c r="H7812" s="115"/>
      <c r="I7812" s="24"/>
      <c r="J7812" s="116">
        <v>4.5</v>
      </c>
      <c r="K7812" s="118">
        <v>1086000</v>
      </c>
      <c r="L7812" s="119"/>
      <c r="M7812" s="118">
        <f t="shared" ref="M7812" si="11530">K7812*0.1</f>
        <v>108600</v>
      </c>
      <c r="N7812" s="119"/>
      <c r="O7812" s="118">
        <v>0</v>
      </c>
      <c r="P7812" s="119"/>
      <c r="Q7812" s="118">
        <v>11510</v>
      </c>
      <c r="R7812" s="119"/>
      <c r="S7812" s="118">
        <v>22000</v>
      </c>
      <c r="T7812" s="119"/>
      <c r="U7812" s="118">
        <f t="shared" ref="U7812" si="11531">SUM(K7812:T7813)</f>
        <v>1228110</v>
      </c>
      <c r="V7812" s="122"/>
      <c r="W7812" s="124"/>
      <c r="X7812" s="126" t="s">
        <v>22527</v>
      </c>
      <c r="Y7812" s="127"/>
      <c r="Z7812" s="127"/>
      <c r="AA7812" s="127"/>
      <c r="AB7812" s="128"/>
      <c r="AC7812" s="15" t="s">
        <v>20</v>
      </c>
      <c r="AD7812" s="129" t="s">
        <v>22208</v>
      </c>
      <c r="AE7812" s="130"/>
      <c r="AF7812" s="130"/>
      <c r="AG7812" s="130"/>
      <c r="AH7812" s="130"/>
      <c r="AI7812" s="131"/>
      <c r="AJ7812" s="132" t="s">
        <v>23071</v>
      </c>
      <c r="AK7812" s="127"/>
      <c r="AL7812" s="128"/>
      <c r="AM7812" s="21"/>
      <c r="AN7812" s="133"/>
      <c r="AO7812" s="134"/>
      <c r="AP7812" s="135"/>
      <c r="AQ7812" s="136"/>
      <c r="AR7812" s="118"/>
      <c r="AS7812" s="119"/>
      <c r="AT7812" s="118">
        <f t="shared" ref="AT7812" si="11532">AR7812*0.1</f>
        <v>0</v>
      </c>
      <c r="AU7812" s="119"/>
      <c r="AV7812" s="118"/>
      <c r="AW7812" s="119"/>
      <c r="AX7812" s="118">
        <f t="shared" ref="AX7812" si="11533">SUM(AR7812:AW7812)</f>
        <v>0</v>
      </c>
      <c r="AY7812" s="119"/>
      <c r="AZ7812" s="137"/>
    </row>
    <row r="7813" spans="1:52" ht="17.100000000000001" customHeight="1" thickBot="1">
      <c r="A7813" s="152"/>
      <c r="B7813" s="27" t="s">
        <v>15877</v>
      </c>
      <c r="C7813" s="27">
        <v>20060</v>
      </c>
      <c r="D7813" s="14" t="s">
        <v>2601</v>
      </c>
      <c r="E7813" s="112"/>
      <c r="F7813" s="139" t="s">
        <v>22095</v>
      </c>
      <c r="G7813" s="140"/>
      <c r="H7813" s="141"/>
      <c r="I7813" s="26">
        <v>58275</v>
      </c>
      <c r="J7813" s="117"/>
      <c r="K7813" s="120"/>
      <c r="L7813" s="121"/>
      <c r="M7813" s="120"/>
      <c r="N7813" s="121"/>
      <c r="O7813" s="120"/>
      <c r="P7813" s="121"/>
      <c r="Q7813" s="120"/>
      <c r="R7813" s="121"/>
      <c r="S7813" s="120"/>
      <c r="T7813" s="121"/>
      <c r="U7813" s="120"/>
      <c r="V7813" s="123"/>
      <c r="W7813" s="125"/>
      <c r="X7813" s="142" t="s">
        <v>2482</v>
      </c>
      <c r="Y7813" s="143"/>
      <c r="Z7813" s="143"/>
      <c r="AA7813" s="143"/>
      <c r="AB7813" s="144"/>
      <c r="AC7813" s="16" t="s">
        <v>21</v>
      </c>
      <c r="AD7813" s="17" t="s">
        <v>1795</v>
      </c>
      <c r="AE7813" s="145" t="s">
        <v>3641</v>
      </c>
      <c r="AF7813" s="146"/>
      <c r="AG7813" s="146"/>
      <c r="AH7813" s="146"/>
      <c r="AI7813" s="147"/>
      <c r="AJ7813" s="148"/>
      <c r="AK7813" s="143"/>
      <c r="AL7813" s="144"/>
      <c r="AM7813" s="22"/>
      <c r="AN7813" s="149"/>
      <c r="AO7813" s="144"/>
      <c r="AP7813" s="148"/>
      <c r="AQ7813" s="144"/>
      <c r="AR7813" s="120"/>
      <c r="AS7813" s="121"/>
      <c r="AT7813" s="120"/>
      <c r="AU7813" s="121"/>
      <c r="AV7813" s="120"/>
      <c r="AW7813" s="121"/>
      <c r="AX7813" s="120"/>
      <c r="AY7813" s="121"/>
      <c r="AZ7813" s="138"/>
    </row>
    <row r="7814" spans="1:52" ht="17.100000000000001" customHeight="1" thickTop="1">
      <c r="A7814" s="109" t="s">
        <v>22087</v>
      </c>
      <c r="B7814" s="28">
        <v>46115</v>
      </c>
      <c r="C7814" s="25">
        <v>285</v>
      </c>
      <c r="D7814" s="13" t="s">
        <v>2322</v>
      </c>
      <c r="E7814" s="111"/>
      <c r="F7814" s="113" t="s">
        <v>22209</v>
      </c>
      <c r="G7814" s="114"/>
      <c r="H7814" s="115"/>
      <c r="I7814" s="24"/>
      <c r="J7814" s="116">
        <v>4.5</v>
      </c>
      <c r="K7814" s="118">
        <v>324000</v>
      </c>
      <c r="L7814" s="119"/>
      <c r="M7814" s="118">
        <f t="shared" ref="M7814" si="11534">K7814*0.1</f>
        <v>32400</v>
      </c>
      <c r="N7814" s="119"/>
      <c r="O7814" s="118">
        <v>0</v>
      </c>
      <c r="P7814" s="119"/>
      <c r="Q7814" s="118">
        <v>9670</v>
      </c>
      <c r="R7814" s="119"/>
      <c r="S7814" s="118">
        <v>22000</v>
      </c>
      <c r="T7814" s="119"/>
      <c r="U7814" s="118">
        <f t="shared" ref="U7814" si="11535">SUM(K7814:T7815)</f>
        <v>388070</v>
      </c>
      <c r="V7814" s="122"/>
      <c r="W7814" s="124"/>
      <c r="X7814" s="126" t="s">
        <v>22526</v>
      </c>
      <c r="Y7814" s="127"/>
      <c r="Z7814" s="127"/>
      <c r="AA7814" s="127"/>
      <c r="AB7814" s="128"/>
      <c r="AC7814" s="15" t="s">
        <v>20</v>
      </c>
      <c r="AD7814" s="129"/>
      <c r="AE7814" s="130"/>
      <c r="AF7814" s="130"/>
      <c r="AG7814" s="130"/>
      <c r="AH7814" s="130"/>
      <c r="AI7814" s="131"/>
      <c r="AJ7814" s="132"/>
      <c r="AK7814" s="127"/>
      <c r="AL7814" s="128"/>
      <c r="AM7814" s="21"/>
      <c r="AN7814" s="133">
        <v>46127</v>
      </c>
      <c r="AO7814" s="134"/>
      <c r="AP7814" s="135">
        <v>1013</v>
      </c>
      <c r="AQ7814" s="136"/>
      <c r="AR7814" s="118">
        <v>390000</v>
      </c>
      <c r="AS7814" s="119"/>
      <c r="AT7814" s="118">
        <f t="shared" ref="AT7814" si="11536">AR7814*0.1</f>
        <v>39000</v>
      </c>
      <c r="AU7814" s="119"/>
      <c r="AV7814" s="118">
        <v>9670</v>
      </c>
      <c r="AW7814" s="119"/>
      <c r="AX7814" s="118">
        <f t="shared" ref="AX7814" si="11537">SUM(AR7814:AW7814)</f>
        <v>438670</v>
      </c>
      <c r="AY7814" s="119"/>
      <c r="AZ7814" s="137">
        <v>46132</v>
      </c>
    </row>
    <row r="7815" spans="1:52" ht="17.100000000000001" customHeight="1" thickBot="1">
      <c r="A7815" s="110"/>
      <c r="B7815" s="27" t="s">
        <v>15877</v>
      </c>
      <c r="C7815" s="27">
        <v>20084</v>
      </c>
      <c r="D7815" s="14" t="s">
        <v>1720</v>
      </c>
      <c r="E7815" s="112"/>
      <c r="F7815" s="139" t="s">
        <v>22096</v>
      </c>
      <c r="G7815" s="140"/>
      <c r="H7815" s="141"/>
      <c r="I7815" s="26">
        <v>19967</v>
      </c>
      <c r="J7815" s="117"/>
      <c r="K7815" s="120"/>
      <c r="L7815" s="121"/>
      <c r="M7815" s="120"/>
      <c r="N7815" s="121"/>
      <c r="O7815" s="120"/>
      <c r="P7815" s="121"/>
      <c r="Q7815" s="120"/>
      <c r="R7815" s="121"/>
      <c r="S7815" s="120"/>
      <c r="T7815" s="121"/>
      <c r="U7815" s="120"/>
      <c r="V7815" s="123"/>
      <c r="W7815" s="125"/>
      <c r="X7815" s="142" t="s">
        <v>7544</v>
      </c>
      <c r="Y7815" s="143"/>
      <c r="Z7815" s="143"/>
      <c r="AA7815" s="143"/>
      <c r="AB7815" s="144"/>
      <c r="AC7815" s="16" t="s">
        <v>21</v>
      </c>
      <c r="AD7815" s="17" t="s">
        <v>1795</v>
      </c>
      <c r="AE7815" s="145"/>
      <c r="AF7815" s="146"/>
      <c r="AG7815" s="146"/>
      <c r="AH7815" s="146"/>
      <c r="AI7815" s="147"/>
      <c r="AJ7815" s="148"/>
      <c r="AK7815" s="143"/>
      <c r="AL7815" s="144"/>
      <c r="AM7815" s="22"/>
      <c r="AN7815" s="149" t="s">
        <v>2794</v>
      </c>
      <c r="AO7815" s="144"/>
      <c r="AP7815" s="148">
        <v>2057</v>
      </c>
      <c r="AQ7815" s="144"/>
      <c r="AR7815" s="120"/>
      <c r="AS7815" s="121"/>
      <c r="AT7815" s="120"/>
      <c r="AU7815" s="121"/>
      <c r="AV7815" s="120"/>
      <c r="AW7815" s="121"/>
      <c r="AX7815" s="120"/>
      <c r="AY7815" s="121"/>
      <c r="AZ7815" s="138"/>
    </row>
    <row r="7816" spans="1:52" ht="17.100000000000001" customHeight="1" thickTop="1">
      <c r="A7816" s="109" t="s">
        <v>22088</v>
      </c>
      <c r="B7816" s="28">
        <v>46115</v>
      </c>
      <c r="C7816" s="25">
        <v>285</v>
      </c>
      <c r="D7816" s="13" t="s">
        <v>2009</v>
      </c>
      <c r="E7816" s="111"/>
      <c r="F7816" s="113" t="s">
        <v>22207</v>
      </c>
      <c r="G7816" s="114"/>
      <c r="H7816" s="115"/>
      <c r="I7816" s="24"/>
      <c r="J7816" s="116">
        <v>4.5</v>
      </c>
      <c r="K7816" s="118">
        <v>1141000</v>
      </c>
      <c r="L7816" s="119"/>
      <c r="M7816" s="118">
        <f t="shared" ref="M7816" si="11538">K7816*0.1</f>
        <v>114100</v>
      </c>
      <c r="N7816" s="119"/>
      <c r="O7816" s="118">
        <v>0</v>
      </c>
      <c r="P7816" s="119"/>
      <c r="Q7816" s="118">
        <v>11510</v>
      </c>
      <c r="R7816" s="119"/>
      <c r="S7816" s="118">
        <v>22000</v>
      </c>
      <c r="T7816" s="119"/>
      <c r="U7816" s="118">
        <f t="shared" ref="U7816" si="11539">SUM(K7816:T7817)</f>
        <v>1288610</v>
      </c>
      <c r="V7816" s="122"/>
      <c r="W7816" s="124"/>
      <c r="X7816" s="126" t="s">
        <v>22532</v>
      </c>
      <c r="Y7816" s="127"/>
      <c r="Z7816" s="127"/>
      <c r="AA7816" s="127"/>
      <c r="AB7816" s="128"/>
      <c r="AC7816" s="15" t="s">
        <v>20</v>
      </c>
      <c r="AD7816" s="129" t="s">
        <v>22208</v>
      </c>
      <c r="AE7816" s="130"/>
      <c r="AF7816" s="130"/>
      <c r="AG7816" s="130"/>
      <c r="AH7816" s="130"/>
      <c r="AI7816" s="131"/>
      <c r="AJ7816" s="132"/>
      <c r="AK7816" s="127"/>
      <c r="AL7816" s="128"/>
      <c r="AM7816" s="21"/>
      <c r="AN7816" s="133">
        <v>46127</v>
      </c>
      <c r="AO7816" s="134"/>
      <c r="AP7816" s="135">
        <v>1013</v>
      </c>
      <c r="AQ7816" s="136"/>
      <c r="AR7816" s="118">
        <v>1195000</v>
      </c>
      <c r="AS7816" s="119"/>
      <c r="AT7816" s="118">
        <f t="shared" ref="AT7816" si="11540">AR7816*0.1</f>
        <v>119500</v>
      </c>
      <c r="AU7816" s="119"/>
      <c r="AV7816" s="118">
        <v>11510</v>
      </c>
      <c r="AW7816" s="119"/>
      <c r="AX7816" s="118">
        <f t="shared" ref="AX7816" si="11541">SUM(AR7816:AW7816)</f>
        <v>1326010</v>
      </c>
      <c r="AY7816" s="119"/>
      <c r="AZ7816" s="137">
        <v>46132</v>
      </c>
    </row>
    <row r="7817" spans="1:52" ht="17.100000000000001" customHeight="1" thickBot="1">
      <c r="A7817" s="110"/>
      <c r="B7817" s="27" t="s">
        <v>15877</v>
      </c>
      <c r="C7817" s="27">
        <v>20097</v>
      </c>
      <c r="D7817" s="14" t="s">
        <v>2601</v>
      </c>
      <c r="E7817" s="112"/>
      <c r="F7817" s="139" t="s">
        <v>22097</v>
      </c>
      <c r="G7817" s="140"/>
      <c r="H7817" s="141"/>
      <c r="I7817" s="26">
        <v>41924</v>
      </c>
      <c r="J7817" s="117"/>
      <c r="K7817" s="120"/>
      <c r="L7817" s="121"/>
      <c r="M7817" s="120"/>
      <c r="N7817" s="121"/>
      <c r="O7817" s="120"/>
      <c r="P7817" s="121"/>
      <c r="Q7817" s="120"/>
      <c r="R7817" s="121"/>
      <c r="S7817" s="120"/>
      <c r="T7817" s="121"/>
      <c r="U7817" s="120"/>
      <c r="V7817" s="123"/>
      <c r="W7817" s="125"/>
      <c r="X7817" s="142" t="s">
        <v>2482</v>
      </c>
      <c r="Y7817" s="143"/>
      <c r="Z7817" s="143"/>
      <c r="AA7817" s="143"/>
      <c r="AB7817" s="144"/>
      <c r="AC7817" s="16" t="s">
        <v>21</v>
      </c>
      <c r="AD7817" s="17" t="s">
        <v>1795</v>
      </c>
      <c r="AE7817" s="145" t="s">
        <v>1742</v>
      </c>
      <c r="AF7817" s="146"/>
      <c r="AG7817" s="146"/>
      <c r="AH7817" s="146"/>
      <c r="AI7817" s="147"/>
      <c r="AJ7817" s="148"/>
      <c r="AK7817" s="143"/>
      <c r="AL7817" s="144"/>
      <c r="AM7817" s="22"/>
      <c r="AN7817" s="149" t="s">
        <v>2794</v>
      </c>
      <c r="AO7817" s="144"/>
      <c r="AP7817" s="148">
        <v>6068</v>
      </c>
      <c r="AQ7817" s="144"/>
      <c r="AR7817" s="120"/>
      <c r="AS7817" s="121"/>
      <c r="AT7817" s="120"/>
      <c r="AU7817" s="121"/>
      <c r="AV7817" s="120"/>
      <c r="AW7817" s="121"/>
      <c r="AX7817" s="120"/>
      <c r="AY7817" s="121"/>
      <c r="AZ7817" s="138"/>
    </row>
    <row r="7818" spans="1:52" ht="17.100000000000001" customHeight="1" thickTop="1">
      <c r="A7818" s="151" t="s">
        <v>22089</v>
      </c>
      <c r="B7818" s="28">
        <v>46115</v>
      </c>
      <c r="C7818" s="25">
        <v>285</v>
      </c>
      <c r="D7818" s="13" t="s">
        <v>1906</v>
      </c>
      <c r="E7818" s="111"/>
      <c r="F7818" s="113" t="s">
        <v>22210</v>
      </c>
      <c r="G7818" s="114"/>
      <c r="H7818" s="115"/>
      <c r="I7818" s="24"/>
      <c r="J7818" s="116">
        <v>4.5</v>
      </c>
      <c r="K7818" s="118">
        <v>1269000</v>
      </c>
      <c r="L7818" s="119"/>
      <c r="M7818" s="118">
        <f t="shared" ref="M7818" si="11542">K7818*0.1</f>
        <v>126900</v>
      </c>
      <c r="N7818" s="119"/>
      <c r="O7818" s="118">
        <v>0</v>
      </c>
      <c r="P7818" s="119"/>
      <c r="Q7818" s="118">
        <v>9450</v>
      </c>
      <c r="R7818" s="119"/>
      <c r="S7818" s="118">
        <v>22000</v>
      </c>
      <c r="T7818" s="119"/>
      <c r="U7818" s="118">
        <f t="shared" ref="U7818" si="11543">SUM(K7818:T7819)</f>
        <v>1427350</v>
      </c>
      <c r="V7818" s="122"/>
      <c r="W7818" s="124"/>
      <c r="X7818" s="126" t="s">
        <v>22533</v>
      </c>
      <c r="Y7818" s="127"/>
      <c r="Z7818" s="127"/>
      <c r="AA7818" s="127"/>
      <c r="AB7818" s="128"/>
      <c r="AC7818" s="15" t="s">
        <v>20</v>
      </c>
      <c r="AD7818" s="129" t="s">
        <v>22211</v>
      </c>
      <c r="AE7818" s="130"/>
      <c r="AF7818" s="130"/>
      <c r="AG7818" s="130"/>
      <c r="AH7818" s="130"/>
      <c r="AI7818" s="131"/>
      <c r="AJ7818" s="132" t="s">
        <v>23205</v>
      </c>
      <c r="AK7818" s="127"/>
      <c r="AL7818" s="128"/>
      <c r="AM7818" s="21"/>
      <c r="AN7818" s="133"/>
      <c r="AO7818" s="134"/>
      <c r="AP7818" s="135"/>
      <c r="AQ7818" s="136"/>
      <c r="AR7818" s="118"/>
      <c r="AS7818" s="119"/>
      <c r="AT7818" s="118">
        <f t="shared" ref="AT7818" si="11544">AR7818*0.1</f>
        <v>0</v>
      </c>
      <c r="AU7818" s="119"/>
      <c r="AV7818" s="118"/>
      <c r="AW7818" s="119"/>
      <c r="AX7818" s="118">
        <f t="shared" ref="AX7818" si="11545">SUM(AR7818:AW7818)</f>
        <v>0</v>
      </c>
      <c r="AY7818" s="119"/>
      <c r="AZ7818" s="137"/>
    </row>
    <row r="7819" spans="1:52" ht="17.100000000000001" customHeight="1" thickBot="1">
      <c r="A7819" s="152"/>
      <c r="B7819" s="27" t="s">
        <v>15877</v>
      </c>
      <c r="C7819" s="27">
        <v>20100</v>
      </c>
      <c r="D7819" s="14" t="s">
        <v>2601</v>
      </c>
      <c r="E7819" s="112"/>
      <c r="F7819" s="139" t="s">
        <v>22098</v>
      </c>
      <c r="G7819" s="140"/>
      <c r="H7819" s="141"/>
      <c r="I7819" s="26">
        <v>53906</v>
      </c>
      <c r="J7819" s="117"/>
      <c r="K7819" s="120"/>
      <c r="L7819" s="121"/>
      <c r="M7819" s="120"/>
      <c r="N7819" s="121"/>
      <c r="O7819" s="120"/>
      <c r="P7819" s="121"/>
      <c r="Q7819" s="120"/>
      <c r="R7819" s="121"/>
      <c r="S7819" s="120"/>
      <c r="T7819" s="121"/>
      <c r="U7819" s="120"/>
      <c r="V7819" s="123"/>
      <c r="W7819" s="125"/>
      <c r="X7819" s="142" t="s">
        <v>2482</v>
      </c>
      <c r="Y7819" s="143"/>
      <c r="Z7819" s="143"/>
      <c r="AA7819" s="143"/>
      <c r="AB7819" s="144"/>
      <c r="AC7819" s="16" t="s">
        <v>21</v>
      </c>
      <c r="AD7819" s="17" t="s">
        <v>1795</v>
      </c>
      <c r="AE7819" s="145" t="s">
        <v>2051</v>
      </c>
      <c r="AF7819" s="146"/>
      <c r="AG7819" s="146"/>
      <c r="AH7819" s="146"/>
      <c r="AI7819" s="147"/>
      <c r="AJ7819" s="148"/>
      <c r="AK7819" s="143"/>
      <c r="AL7819" s="144"/>
      <c r="AM7819" s="22"/>
      <c r="AN7819" s="149"/>
      <c r="AO7819" s="144"/>
      <c r="AP7819" s="148"/>
      <c r="AQ7819" s="144"/>
      <c r="AR7819" s="120"/>
      <c r="AS7819" s="121"/>
      <c r="AT7819" s="120"/>
      <c r="AU7819" s="121"/>
      <c r="AV7819" s="120"/>
      <c r="AW7819" s="121"/>
      <c r="AX7819" s="120"/>
      <c r="AY7819" s="121"/>
      <c r="AZ7819" s="138"/>
    </row>
    <row r="7820" spans="1:52" ht="17.100000000000001" customHeight="1" thickTop="1">
      <c r="A7820" s="109" t="s">
        <v>22090</v>
      </c>
      <c r="B7820" s="28">
        <v>46115</v>
      </c>
      <c r="C7820" s="25">
        <v>285</v>
      </c>
      <c r="D7820" s="13" t="s">
        <v>1906</v>
      </c>
      <c r="E7820" s="111"/>
      <c r="F7820" s="113" t="s">
        <v>22210</v>
      </c>
      <c r="G7820" s="114"/>
      <c r="H7820" s="115"/>
      <c r="I7820" s="24"/>
      <c r="J7820" s="116">
        <v>4.5</v>
      </c>
      <c r="K7820" s="118">
        <v>1260000</v>
      </c>
      <c r="L7820" s="119"/>
      <c r="M7820" s="118">
        <f t="shared" ref="M7820" si="11546">K7820*0.1</f>
        <v>126000</v>
      </c>
      <c r="N7820" s="119"/>
      <c r="O7820" s="118">
        <v>0</v>
      </c>
      <c r="P7820" s="119"/>
      <c r="Q7820" s="118">
        <v>9450</v>
      </c>
      <c r="R7820" s="119"/>
      <c r="S7820" s="118">
        <v>22000</v>
      </c>
      <c r="T7820" s="119"/>
      <c r="U7820" s="118">
        <f t="shared" ref="U7820" si="11547">SUM(K7820:T7821)</f>
        <v>1417450</v>
      </c>
      <c r="V7820" s="122"/>
      <c r="W7820" s="124"/>
      <c r="X7820" s="126" t="s">
        <v>22530</v>
      </c>
      <c r="Y7820" s="127"/>
      <c r="Z7820" s="127"/>
      <c r="AA7820" s="127"/>
      <c r="AB7820" s="128"/>
      <c r="AC7820" s="15" t="s">
        <v>20</v>
      </c>
      <c r="AD7820" s="129" t="s">
        <v>22211</v>
      </c>
      <c r="AE7820" s="130"/>
      <c r="AF7820" s="130"/>
      <c r="AG7820" s="130"/>
      <c r="AH7820" s="130"/>
      <c r="AI7820" s="131"/>
      <c r="AJ7820" s="132"/>
      <c r="AK7820" s="127"/>
      <c r="AL7820" s="128"/>
      <c r="AM7820" s="21"/>
      <c r="AN7820" s="133"/>
      <c r="AO7820" s="134"/>
      <c r="AP7820" s="135"/>
      <c r="AQ7820" s="136"/>
      <c r="AR7820" s="118"/>
      <c r="AS7820" s="119"/>
      <c r="AT7820" s="118">
        <f t="shared" ref="AT7820" si="11548">AR7820*0.1</f>
        <v>0</v>
      </c>
      <c r="AU7820" s="119"/>
      <c r="AV7820" s="118"/>
      <c r="AW7820" s="119"/>
      <c r="AX7820" s="118">
        <f t="shared" ref="AX7820" si="11549">SUM(AR7820:AW7820)</f>
        <v>0</v>
      </c>
      <c r="AY7820" s="119"/>
      <c r="AZ7820" s="137"/>
    </row>
    <row r="7821" spans="1:52" ht="17.100000000000001" customHeight="1" thickBot="1">
      <c r="A7821" s="110"/>
      <c r="B7821" s="27" t="s">
        <v>15877</v>
      </c>
      <c r="C7821" s="27">
        <v>20104</v>
      </c>
      <c r="D7821" s="14" t="s">
        <v>2601</v>
      </c>
      <c r="E7821" s="112"/>
      <c r="F7821" s="139" t="s">
        <v>22099</v>
      </c>
      <c r="G7821" s="140"/>
      <c r="H7821" s="141"/>
      <c r="I7821" s="26">
        <v>59546</v>
      </c>
      <c r="J7821" s="117"/>
      <c r="K7821" s="120"/>
      <c r="L7821" s="121"/>
      <c r="M7821" s="120"/>
      <c r="N7821" s="121"/>
      <c r="O7821" s="120"/>
      <c r="P7821" s="121"/>
      <c r="Q7821" s="120"/>
      <c r="R7821" s="121"/>
      <c r="S7821" s="120"/>
      <c r="T7821" s="121"/>
      <c r="U7821" s="120"/>
      <c r="V7821" s="123"/>
      <c r="W7821" s="125"/>
      <c r="X7821" s="142" t="s">
        <v>2482</v>
      </c>
      <c r="Y7821" s="143"/>
      <c r="Z7821" s="143"/>
      <c r="AA7821" s="143"/>
      <c r="AB7821" s="144"/>
      <c r="AC7821" s="16" t="s">
        <v>21</v>
      </c>
      <c r="AD7821" s="17" t="s">
        <v>1795</v>
      </c>
      <c r="AE7821" s="145" t="s">
        <v>2051</v>
      </c>
      <c r="AF7821" s="146"/>
      <c r="AG7821" s="146"/>
      <c r="AH7821" s="146"/>
      <c r="AI7821" s="147"/>
      <c r="AJ7821" s="148"/>
      <c r="AK7821" s="143"/>
      <c r="AL7821" s="144"/>
      <c r="AM7821" s="22"/>
      <c r="AN7821" s="149"/>
      <c r="AO7821" s="144"/>
      <c r="AP7821" s="148"/>
      <c r="AQ7821" s="144"/>
      <c r="AR7821" s="120"/>
      <c r="AS7821" s="121"/>
      <c r="AT7821" s="120"/>
      <c r="AU7821" s="121"/>
      <c r="AV7821" s="120"/>
      <c r="AW7821" s="121"/>
      <c r="AX7821" s="120"/>
      <c r="AY7821" s="121"/>
      <c r="AZ7821" s="138"/>
    </row>
    <row r="7822" spans="1:52" ht="17.100000000000001" customHeight="1" thickTop="1">
      <c r="A7822" s="109" t="s">
        <v>22091</v>
      </c>
      <c r="B7822" s="28">
        <v>46115</v>
      </c>
      <c r="C7822" s="25">
        <v>285</v>
      </c>
      <c r="D7822" s="13" t="s">
        <v>1906</v>
      </c>
      <c r="E7822" s="111"/>
      <c r="F7822" s="113" t="s">
        <v>22210</v>
      </c>
      <c r="G7822" s="114"/>
      <c r="H7822" s="115"/>
      <c r="I7822" s="24"/>
      <c r="J7822" s="116">
        <v>4.5</v>
      </c>
      <c r="K7822" s="118">
        <v>1272000</v>
      </c>
      <c r="L7822" s="119"/>
      <c r="M7822" s="118">
        <f t="shared" ref="M7822" si="11550">K7822*0.1</f>
        <v>127200</v>
      </c>
      <c r="N7822" s="119"/>
      <c r="O7822" s="118">
        <v>0</v>
      </c>
      <c r="P7822" s="119"/>
      <c r="Q7822" s="118">
        <v>9450</v>
      </c>
      <c r="R7822" s="119"/>
      <c r="S7822" s="118">
        <v>22000</v>
      </c>
      <c r="T7822" s="119"/>
      <c r="U7822" s="118">
        <f t="shared" ref="U7822" si="11551">SUM(K7822:T7823)</f>
        <v>1430650</v>
      </c>
      <c r="V7822" s="122"/>
      <c r="W7822" s="124"/>
      <c r="X7822" s="126" t="s">
        <v>22517</v>
      </c>
      <c r="Y7822" s="127"/>
      <c r="Z7822" s="127"/>
      <c r="AA7822" s="127"/>
      <c r="AB7822" s="128"/>
      <c r="AC7822" s="15" t="s">
        <v>20</v>
      </c>
      <c r="AD7822" s="129" t="s">
        <v>22211</v>
      </c>
      <c r="AE7822" s="130"/>
      <c r="AF7822" s="130"/>
      <c r="AG7822" s="130"/>
      <c r="AH7822" s="130"/>
      <c r="AI7822" s="131"/>
      <c r="AJ7822" s="132"/>
      <c r="AK7822" s="127"/>
      <c r="AL7822" s="128"/>
      <c r="AM7822" s="21"/>
      <c r="AN7822" s="133">
        <v>46120</v>
      </c>
      <c r="AO7822" s="134"/>
      <c r="AP7822" s="135">
        <v>1012</v>
      </c>
      <c r="AQ7822" s="136"/>
      <c r="AR7822" s="118">
        <v>1280000</v>
      </c>
      <c r="AS7822" s="119"/>
      <c r="AT7822" s="118">
        <f t="shared" ref="AT7822" si="11552">AR7822*0.1</f>
        <v>128000</v>
      </c>
      <c r="AU7822" s="119"/>
      <c r="AV7822" s="118">
        <v>9450</v>
      </c>
      <c r="AW7822" s="119"/>
      <c r="AX7822" s="118">
        <f t="shared" ref="AX7822" si="11553">SUM(AR7822:AW7822)</f>
        <v>1417450</v>
      </c>
      <c r="AY7822" s="119"/>
      <c r="AZ7822" s="137">
        <v>46125</v>
      </c>
    </row>
    <row r="7823" spans="1:52" ht="17.100000000000001" customHeight="1" thickBot="1">
      <c r="A7823" s="110"/>
      <c r="B7823" s="27" t="s">
        <v>15877</v>
      </c>
      <c r="C7823" s="27">
        <v>20106</v>
      </c>
      <c r="D7823" s="14" t="s">
        <v>2601</v>
      </c>
      <c r="E7823" s="112"/>
      <c r="F7823" s="139" t="s">
        <v>22100</v>
      </c>
      <c r="G7823" s="140"/>
      <c r="H7823" s="141"/>
      <c r="I7823" s="26">
        <v>42085</v>
      </c>
      <c r="J7823" s="117"/>
      <c r="K7823" s="120"/>
      <c r="L7823" s="121"/>
      <c r="M7823" s="120"/>
      <c r="N7823" s="121"/>
      <c r="O7823" s="120"/>
      <c r="P7823" s="121"/>
      <c r="Q7823" s="120"/>
      <c r="R7823" s="121"/>
      <c r="S7823" s="120"/>
      <c r="T7823" s="121"/>
      <c r="U7823" s="120"/>
      <c r="V7823" s="123"/>
      <c r="W7823" s="125"/>
      <c r="X7823" s="142" t="s">
        <v>2482</v>
      </c>
      <c r="Y7823" s="143"/>
      <c r="Z7823" s="143"/>
      <c r="AA7823" s="143"/>
      <c r="AB7823" s="144"/>
      <c r="AC7823" s="16" t="s">
        <v>21</v>
      </c>
      <c r="AD7823" s="17" t="s">
        <v>1795</v>
      </c>
      <c r="AE7823" s="145" t="s">
        <v>4106</v>
      </c>
      <c r="AF7823" s="146"/>
      <c r="AG7823" s="146"/>
      <c r="AH7823" s="146"/>
      <c r="AI7823" s="147"/>
      <c r="AJ7823" s="148"/>
      <c r="AK7823" s="143"/>
      <c r="AL7823" s="144"/>
      <c r="AM7823" s="22"/>
      <c r="AN7823" s="149" t="s">
        <v>2794</v>
      </c>
      <c r="AO7823" s="144"/>
      <c r="AP7823" s="148">
        <v>5133</v>
      </c>
      <c r="AQ7823" s="144"/>
      <c r="AR7823" s="120"/>
      <c r="AS7823" s="121"/>
      <c r="AT7823" s="120"/>
      <c r="AU7823" s="121"/>
      <c r="AV7823" s="120"/>
      <c r="AW7823" s="121"/>
      <c r="AX7823" s="120"/>
      <c r="AY7823" s="121"/>
      <c r="AZ7823" s="138"/>
    </row>
    <row r="7824" spans="1:52" ht="17.100000000000001" customHeight="1" thickTop="1">
      <c r="A7824" s="151" t="s">
        <v>22104</v>
      </c>
      <c r="B7824" s="28">
        <v>46115</v>
      </c>
      <c r="C7824" s="25">
        <v>285</v>
      </c>
      <c r="D7824" s="13" t="s">
        <v>1906</v>
      </c>
      <c r="E7824" s="111"/>
      <c r="F7824" s="113" t="s">
        <v>22147</v>
      </c>
      <c r="G7824" s="114"/>
      <c r="H7824" s="115"/>
      <c r="I7824" s="24"/>
      <c r="J7824" s="116">
        <v>4</v>
      </c>
      <c r="K7824" s="118">
        <v>1267000</v>
      </c>
      <c r="L7824" s="119"/>
      <c r="M7824" s="118">
        <f t="shared" ref="M7824" si="11554">K7824*0.1</f>
        <v>126700</v>
      </c>
      <c r="N7824" s="119"/>
      <c r="O7824" s="118">
        <v>0</v>
      </c>
      <c r="P7824" s="119"/>
      <c r="Q7824" s="118">
        <v>10720</v>
      </c>
      <c r="R7824" s="119"/>
      <c r="S7824" s="118">
        <v>22000</v>
      </c>
      <c r="T7824" s="119"/>
      <c r="U7824" s="118">
        <f t="shared" ref="U7824" si="11555">SUM(K7824:T7825)</f>
        <v>1426420</v>
      </c>
      <c r="V7824" s="122"/>
      <c r="W7824" s="124"/>
      <c r="X7824" s="126" t="s">
        <v>22529</v>
      </c>
      <c r="Y7824" s="127"/>
      <c r="Z7824" s="127"/>
      <c r="AA7824" s="127"/>
      <c r="AB7824" s="128"/>
      <c r="AC7824" s="15" t="s">
        <v>20</v>
      </c>
      <c r="AD7824" s="129" t="s">
        <v>22211</v>
      </c>
      <c r="AE7824" s="130"/>
      <c r="AF7824" s="130"/>
      <c r="AG7824" s="130"/>
      <c r="AH7824" s="130"/>
      <c r="AI7824" s="131"/>
      <c r="AJ7824" s="132" t="s">
        <v>24000</v>
      </c>
      <c r="AK7824" s="127"/>
      <c r="AL7824" s="128"/>
      <c r="AM7824" s="21"/>
      <c r="AN7824" s="133"/>
      <c r="AO7824" s="134"/>
      <c r="AP7824" s="135"/>
      <c r="AQ7824" s="136"/>
      <c r="AR7824" s="118"/>
      <c r="AS7824" s="119"/>
      <c r="AT7824" s="118">
        <f t="shared" ref="AT7824" si="11556">AR7824*0.1</f>
        <v>0</v>
      </c>
      <c r="AU7824" s="119"/>
      <c r="AV7824" s="118"/>
      <c r="AW7824" s="119"/>
      <c r="AX7824" s="118">
        <f t="shared" ref="AX7824" si="11557">SUM(AR7824:AW7824)</f>
        <v>0</v>
      </c>
      <c r="AY7824" s="119"/>
      <c r="AZ7824" s="137"/>
    </row>
    <row r="7825" spans="1:52" ht="17.100000000000001" customHeight="1" thickBot="1">
      <c r="A7825" s="152"/>
      <c r="B7825" s="27" t="s">
        <v>15877</v>
      </c>
      <c r="C7825" s="27">
        <v>20107</v>
      </c>
      <c r="D7825" s="14" t="s">
        <v>1720</v>
      </c>
      <c r="E7825" s="112"/>
      <c r="F7825" s="139" t="s">
        <v>22101</v>
      </c>
      <c r="G7825" s="140"/>
      <c r="H7825" s="141"/>
      <c r="I7825" s="26">
        <v>37393</v>
      </c>
      <c r="J7825" s="117"/>
      <c r="K7825" s="120"/>
      <c r="L7825" s="121"/>
      <c r="M7825" s="120"/>
      <c r="N7825" s="121"/>
      <c r="O7825" s="120"/>
      <c r="P7825" s="121"/>
      <c r="Q7825" s="120"/>
      <c r="R7825" s="121"/>
      <c r="S7825" s="120"/>
      <c r="T7825" s="121"/>
      <c r="U7825" s="120"/>
      <c r="V7825" s="123"/>
      <c r="W7825" s="125"/>
      <c r="X7825" s="142" t="s">
        <v>2482</v>
      </c>
      <c r="Y7825" s="143"/>
      <c r="Z7825" s="143"/>
      <c r="AA7825" s="143"/>
      <c r="AB7825" s="144"/>
      <c r="AC7825" s="16" t="s">
        <v>21</v>
      </c>
      <c r="AD7825" s="17" t="s">
        <v>1795</v>
      </c>
      <c r="AE7825" s="145" t="s">
        <v>2051</v>
      </c>
      <c r="AF7825" s="146"/>
      <c r="AG7825" s="146"/>
      <c r="AH7825" s="146"/>
      <c r="AI7825" s="147"/>
      <c r="AJ7825" s="148"/>
      <c r="AK7825" s="143"/>
      <c r="AL7825" s="144"/>
      <c r="AM7825" s="22"/>
      <c r="AN7825" s="149"/>
      <c r="AO7825" s="144"/>
      <c r="AP7825" s="148"/>
      <c r="AQ7825" s="144"/>
      <c r="AR7825" s="120"/>
      <c r="AS7825" s="121"/>
      <c r="AT7825" s="120"/>
      <c r="AU7825" s="121"/>
      <c r="AV7825" s="120"/>
      <c r="AW7825" s="121"/>
      <c r="AX7825" s="120"/>
      <c r="AY7825" s="121"/>
      <c r="AZ7825" s="138"/>
    </row>
    <row r="7826" spans="1:52" ht="17.100000000000001" customHeight="1" thickTop="1">
      <c r="A7826" s="109" t="s">
        <v>22105</v>
      </c>
      <c r="B7826" s="28">
        <v>46115</v>
      </c>
      <c r="C7826" s="25">
        <v>285</v>
      </c>
      <c r="D7826" s="13" t="s">
        <v>2009</v>
      </c>
      <c r="E7826" s="111"/>
      <c r="F7826" s="113" t="s">
        <v>22207</v>
      </c>
      <c r="G7826" s="114"/>
      <c r="H7826" s="115"/>
      <c r="I7826" s="24"/>
      <c r="J7826" s="116">
        <v>4.5</v>
      </c>
      <c r="K7826" s="118">
        <v>1086000</v>
      </c>
      <c r="L7826" s="119"/>
      <c r="M7826" s="118">
        <f t="shared" ref="M7826" si="11558">K7826*0.1</f>
        <v>108600</v>
      </c>
      <c r="N7826" s="119"/>
      <c r="O7826" s="118">
        <v>0</v>
      </c>
      <c r="P7826" s="119"/>
      <c r="Q7826" s="118">
        <v>11510</v>
      </c>
      <c r="R7826" s="119"/>
      <c r="S7826" s="118">
        <v>22000</v>
      </c>
      <c r="T7826" s="119"/>
      <c r="U7826" s="118">
        <f t="shared" ref="U7826" si="11559">SUM(K7826:T7827)</f>
        <v>1228110</v>
      </c>
      <c r="V7826" s="122"/>
      <c r="W7826" s="124"/>
      <c r="X7826" s="126" t="s">
        <v>22531</v>
      </c>
      <c r="Y7826" s="127"/>
      <c r="Z7826" s="127"/>
      <c r="AA7826" s="127"/>
      <c r="AB7826" s="128"/>
      <c r="AC7826" s="15" t="s">
        <v>20</v>
      </c>
      <c r="AD7826" s="129" t="s">
        <v>22208</v>
      </c>
      <c r="AE7826" s="130"/>
      <c r="AF7826" s="130"/>
      <c r="AG7826" s="130"/>
      <c r="AH7826" s="130"/>
      <c r="AI7826" s="131"/>
      <c r="AJ7826" s="132"/>
      <c r="AK7826" s="127"/>
      <c r="AL7826" s="128"/>
      <c r="AM7826" s="21"/>
      <c r="AN7826" s="133">
        <v>46127</v>
      </c>
      <c r="AO7826" s="134"/>
      <c r="AP7826" s="135">
        <v>1013</v>
      </c>
      <c r="AQ7826" s="136"/>
      <c r="AR7826" s="118">
        <v>1160000</v>
      </c>
      <c r="AS7826" s="119"/>
      <c r="AT7826" s="118">
        <f t="shared" ref="AT7826" si="11560">AR7826*0.1</f>
        <v>116000</v>
      </c>
      <c r="AU7826" s="119"/>
      <c r="AV7826" s="118">
        <v>11510</v>
      </c>
      <c r="AW7826" s="119"/>
      <c r="AX7826" s="118">
        <f t="shared" ref="AX7826" si="11561">SUM(AR7826:AW7826)</f>
        <v>1287510</v>
      </c>
      <c r="AY7826" s="119"/>
      <c r="AZ7826" s="137">
        <v>46132</v>
      </c>
    </row>
    <row r="7827" spans="1:52" ht="17.100000000000001" customHeight="1" thickBot="1">
      <c r="A7827" s="110"/>
      <c r="B7827" s="27" t="s">
        <v>15877</v>
      </c>
      <c r="C7827" s="27">
        <v>20114</v>
      </c>
      <c r="D7827" s="14" t="s">
        <v>2601</v>
      </c>
      <c r="E7827" s="112"/>
      <c r="F7827" s="139" t="s">
        <v>22102</v>
      </c>
      <c r="G7827" s="140"/>
      <c r="H7827" s="141"/>
      <c r="I7827" s="26">
        <v>58670</v>
      </c>
      <c r="J7827" s="117"/>
      <c r="K7827" s="120"/>
      <c r="L7827" s="121"/>
      <c r="M7827" s="120"/>
      <c r="N7827" s="121"/>
      <c r="O7827" s="120"/>
      <c r="P7827" s="121"/>
      <c r="Q7827" s="120"/>
      <c r="R7827" s="121"/>
      <c r="S7827" s="120"/>
      <c r="T7827" s="121"/>
      <c r="U7827" s="120"/>
      <c r="V7827" s="123"/>
      <c r="W7827" s="125"/>
      <c r="X7827" s="142" t="s">
        <v>2482</v>
      </c>
      <c r="Y7827" s="143"/>
      <c r="Z7827" s="143"/>
      <c r="AA7827" s="143"/>
      <c r="AB7827" s="144"/>
      <c r="AC7827" s="16" t="s">
        <v>21</v>
      </c>
      <c r="AD7827" s="17" t="s">
        <v>1795</v>
      </c>
      <c r="AE7827" s="145" t="s">
        <v>1742</v>
      </c>
      <c r="AF7827" s="146"/>
      <c r="AG7827" s="146"/>
      <c r="AH7827" s="146"/>
      <c r="AI7827" s="147"/>
      <c r="AJ7827" s="148"/>
      <c r="AK7827" s="143"/>
      <c r="AL7827" s="144"/>
      <c r="AM7827" s="22"/>
      <c r="AN7827" s="149" t="s">
        <v>2794</v>
      </c>
      <c r="AO7827" s="144"/>
      <c r="AP7827" s="148">
        <v>6077</v>
      </c>
      <c r="AQ7827" s="144"/>
      <c r="AR7827" s="120"/>
      <c r="AS7827" s="121"/>
      <c r="AT7827" s="120"/>
      <c r="AU7827" s="121"/>
      <c r="AV7827" s="120"/>
      <c r="AW7827" s="121"/>
      <c r="AX7827" s="120"/>
      <c r="AY7827" s="121"/>
      <c r="AZ7827" s="138"/>
    </row>
    <row r="7828" spans="1:52" ht="17.100000000000001" customHeight="1" thickTop="1">
      <c r="A7828" s="109" t="s">
        <v>22106</v>
      </c>
      <c r="B7828" s="28">
        <v>46115</v>
      </c>
      <c r="C7828" s="25">
        <v>285</v>
      </c>
      <c r="D7828" s="13" t="s">
        <v>1906</v>
      </c>
      <c r="E7828" s="111"/>
      <c r="F7828" s="113" t="s">
        <v>7189</v>
      </c>
      <c r="G7828" s="114"/>
      <c r="H7828" s="115"/>
      <c r="I7828" s="24"/>
      <c r="J7828" s="116">
        <v>4</v>
      </c>
      <c r="K7828" s="118">
        <v>1276000</v>
      </c>
      <c r="L7828" s="119"/>
      <c r="M7828" s="118">
        <f t="shared" ref="M7828" si="11562">K7828*0.1</f>
        <v>127600</v>
      </c>
      <c r="N7828" s="119"/>
      <c r="O7828" s="118">
        <v>0</v>
      </c>
      <c r="P7828" s="119"/>
      <c r="Q7828" s="118">
        <v>10720</v>
      </c>
      <c r="R7828" s="119"/>
      <c r="S7828" s="118">
        <v>22000</v>
      </c>
      <c r="T7828" s="119"/>
      <c r="U7828" s="118">
        <f t="shared" ref="U7828" si="11563">SUM(K7828:T7829)</f>
        <v>1436320</v>
      </c>
      <c r="V7828" s="122"/>
      <c r="W7828" s="124"/>
      <c r="X7828" s="126" t="s">
        <v>22515</v>
      </c>
      <c r="Y7828" s="127"/>
      <c r="Z7828" s="127"/>
      <c r="AA7828" s="127"/>
      <c r="AB7828" s="128"/>
      <c r="AC7828" s="15" t="s">
        <v>20</v>
      </c>
      <c r="AD7828" s="129" t="s">
        <v>22211</v>
      </c>
      <c r="AE7828" s="130"/>
      <c r="AF7828" s="130"/>
      <c r="AG7828" s="130"/>
      <c r="AH7828" s="130"/>
      <c r="AI7828" s="131"/>
      <c r="AJ7828" s="132"/>
      <c r="AK7828" s="127"/>
      <c r="AL7828" s="128"/>
      <c r="AM7828" s="21"/>
      <c r="AN7828" s="133">
        <v>46120</v>
      </c>
      <c r="AO7828" s="134"/>
      <c r="AP7828" s="135">
        <v>1012</v>
      </c>
      <c r="AQ7828" s="136"/>
      <c r="AR7828" s="118">
        <v>1355000</v>
      </c>
      <c r="AS7828" s="119"/>
      <c r="AT7828" s="118">
        <f t="shared" ref="AT7828" si="11564">AR7828*0.1</f>
        <v>135500</v>
      </c>
      <c r="AU7828" s="119"/>
      <c r="AV7828" s="118">
        <v>10720</v>
      </c>
      <c r="AW7828" s="119"/>
      <c r="AX7828" s="118">
        <f t="shared" ref="AX7828" si="11565">SUM(AR7828:AW7828)</f>
        <v>1501220</v>
      </c>
      <c r="AY7828" s="119"/>
      <c r="AZ7828" s="137">
        <v>46125</v>
      </c>
    </row>
    <row r="7829" spans="1:52" ht="17.100000000000001" customHeight="1" thickBot="1">
      <c r="A7829" s="110"/>
      <c r="B7829" s="27" t="s">
        <v>15877</v>
      </c>
      <c r="C7829" s="27">
        <v>20140</v>
      </c>
      <c r="D7829" s="14" t="s">
        <v>2601</v>
      </c>
      <c r="E7829" s="112"/>
      <c r="F7829" s="139" t="s">
        <v>22103</v>
      </c>
      <c r="G7829" s="140"/>
      <c r="H7829" s="141"/>
      <c r="I7829" s="26">
        <v>40017</v>
      </c>
      <c r="J7829" s="117"/>
      <c r="K7829" s="120"/>
      <c r="L7829" s="121"/>
      <c r="M7829" s="120"/>
      <c r="N7829" s="121"/>
      <c r="O7829" s="120"/>
      <c r="P7829" s="121"/>
      <c r="Q7829" s="120"/>
      <c r="R7829" s="121"/>
      <c r="S7829" s="120"/>
      <c r="T7829" s="121"/>
      <c r="U7829" s="120"/>
      <c r="V7829" s="123"/>
      <c r="W7829" s="125"/>
      <c r="X7829" s="142" t="s">
        <v>2482</v>
      </c>
      <c r="Y7829" s="143"/>
      <c r="Z7829" s="143"/>
      <c r="AA7829" s="143"/>
      <c r="AB7829" s="144"/>
      <c r="AC7829" s="16" t="s">
        <v>21</v>
      </c>
      <c r="AD7829" s="17" t="s">
        <v>1795</v>
      </c>
      <c r="AE7829" s="145" t="s">
        <v>2360</v>
      </c>
      <c r="AF7829" s="146"/>
      <c r="AG7829" s="146"/>
      <c r="AH7829" s="146"/>
      <c r="AI7829" s="147"/>
      <c r="AJ7829" s="148"/>
      <c r="AK7829" s="143"/>
      <c r="AL7829" s="144"/>
      <c r="AM7829" s="22"/>
      <c r="AN7829" s="149" t="s">
        <v>2794</v>
      </c>
      <c r="AO7829" s="144"/>
      <c r="AP7829" s="148">
        <v>5130</v>
      </c>
      <c r="AQ7829" s="144"/>
      <c r="AR7829" s="120"/>
      <c r="AS7829" s="121"/>
      <c r="AT7829" s="120"/>
      <c r="AU7829" s="121"/>
      <c r="AV7829" s="120"/>
      <c r="AW7829" s="121"/>
      <c r="AX7829" s="120"/>
      <c r="AY7829" s="121"/>
      <c r="AZ7829" s="138"/>
    </row>
    <row r="7830" spans="1:52" ht="17.100000000000001" customHeight="1" thickTop="1">
      <c r="A7830" s="109" t="s">
        <v>22107</v>
      </c>
      <c r="B7830" s="28">
        <v>46115</v>
      </c>
      <c r="C7830" s="25"/>
      <c r="D7830" s="13" t="s">
        <v>2737</v>
      </c>
      <c r="E7830" s="111"/>
      <c r="F7830" s="113" t="s">
        <v>22164</v>
      </c>
      <c r="G7830" s="114"/>
      <c r="H7830" s="115"/>
      <c r="I7830" s="24" t="s">
        <v>22165</v>
      </c>
      <c r="J7830" s="116">
        <v>4.5</v>
      </c>
      <c r="K7830" s="118">
        <v>3060000</v>
      </c>
      <c r="L7830" s="119"/>
      <c r="M7830" s="118">
        <f t="shared" ref="M7830" si="11566">K7830*0.1</f>
        <v>306000</v>
      </c>
      <c r="N7830" s="119"/>
      <c r="O7830" s="118">
        <v>33000</v>
      </c>
      <c r="P7830" s="119"/>
      <c r="Q7830" s="118">
        <v>11110</v>
      </c>
      <c r="R7830" s="119"/>
      <c r="S7830" s="118">
        <v>0</v>
      </c>
      <c r="T7830" s="119"/>
      <c r="U7830" s="118">
        <f t="shared" ref="U7830" si="11567">SUM(K7830:T7831)</f>
        <v>3410110</v>
      </c>
      <c r="V7830" s="122"/>
      <c r="W7830" s="124"/>
      <c r="X7830" s="126" t="s">
        <v>23884</v>
      </c>
      <c r="Y7830" s="127"/>
      <c r="Z7830" s="127"/>
      <c r="AA7830" s="127"/>
      <c r="AB7830" s="128"/>
      <c r="AC7830" s="15" t="s">
        <v>20</v>
      </c>
      <c r="AD7830" s="129" t="s">
        <v>4435</v>
      </c>
      <c r="AE7830" s="130"/>
      <c r="AF7830" s="130"/>
      <c r="AG7830" s="130"/>
      <c r="AH7830" s="130"/>
      <c r="AI7830" s="131"/>
      <c r="AJ7830" s="132"/>
      <c r="AK7830" s="127"/>
      <c r="AL7830" s="128"/>
      <c r="AM7830" s="21"/>
      <c r="AN7830" s="133">
        <v>46155</v>
      </c>
      <c r="AO7830" s="134"/>
      <c r="AP7830" s="135">
        <v>1016</v>
      </c>
      <c r="AQ7830" s="136"/>
      <c r="AR7830" s="118">
        <v>3110000</v>
      </c>
      <c r="AS7830" s="119"/>
      <c r="AT7830" s="118">
        <f t="shared" ref="AT7830" si="11568">AR7830*0.1</f>
        <v>311000</v>
      </c>
      <c r="AU7830" s="119"/>
      <c r="AV7830" s="118">
        <v>11110</v>
      </c>
      <c r="AW7830" s="119"/>
      <c r="AX7830" s="118">
        <f t="shared" ref="AX7830" si="11569">SUM(AR7830:AW7830)</f>
        <v>3432110</v>
      </c>
      <c r="AY7830" s="119"/>
      <c r="AZ7830" s="137">
        <v>46161</v>
      </c>
    </row>
    <row r="7831" spans="1:52" ht="17.100000000000001" customHeight="1" thickBot="1">
      <c r="A7831" s="110"/>
      <c r="B7831" s="27" t="s">
        <v>1718</v>
      </c>
      <c r="C7831" s="27" t="s">
        <v>22128</v>
      </c>
      <c r="D7831" s="14" t="s">
        <v>275</v>
      </c>
      <c r="E7831" s="112"/>
      <c r="F7831" s="139" t="s">
        <v>22129</v>
      </c>
      <c r="G7831" s="140"/>
      <c r="H7831" s="141"/>
      <c r="I7831" s="26">
        <v>31284</v>
      </c>
      <c r="J7831" s="117"/>
      <c r="K7831" s="120"/>
      <c r="L7831" s="121"/>
      <c r="M7831" s="120"/>
      <c r="N7831" s="121"/>
      <c r="O7831" s="120"/>
      <c r="P7831" s="121"/>
      <c r="Q7831" s="120"/>
      <c r="R7831" s="121"/>
      <c r="S7831" s="120"/>
      <c r="T7831" s="121"/>
      <c r="U7831" s="120"/>
      <c r="V7831" s="123"/>
      <c r="W7831" s="125"/>
      <c r="X7831" s="142" t="s">
        <v>23885</v>
      </c>
      <c r="Y7831" s="143"/>
      <c r="Z7831" s="143"/>
      <c r="AA7831" s="143"/>
      <c r="AB7831" s="144"/>
      <c r="AC7831" s="16" t="s">
        <v>21</v>
      </c>
      <c r="AD7831" s="17" t="s">
        <v>23859</v>
      </c>
      <c r="AE7831" s="145" t="s">
        <v>25532</v>
      </c>
      <c r="AF7831" s="146"/>
      <c r="AG7831" s="146"/>
      <c r="AH7831" s="146"/>
      <c r="AI7831" s="147"/>
      <c r="AJ7831" s="148"/>
      <c r="AK7831" s="143"/>
      <c r="AL7831" s="144"/>
      <c r="AM7831" s="22"/>
      <c r="AN7831" s="149" t="s">
        <v>2794</v>
      </c>
      <c r="AO7831" s="144"/>
      <c r="AP7831" s="148">
        <v>1063</v>
      </c>
      <c r="AQ7831" s="144"/>
      <c r="AR7831" s="120"/>
      <c r="AS7831" s="121"/>
      <c r="AT7831" s="120"/>
      <c r="AU7831" s="121"/>
      <c r="AV7831" s="120"/>
      <c r="AW7831" s="121"/>
      <c r="AX7831" s="120"/>
      <c r="AY7831" s="121"/>
      <c r="AZ7831" s="138"/>
    </row>
    <row r="7832" spans="1:52" ht="17.100000000000001" customHeight="1" thickTop="1">
      <c r="A7832" s="109" t="s">
        <v>22108</v>
      </c>
      <c r="B7832" s="28">
        <v>46115</v>
      </c>
      <c r="C7832" s="25"/>
      <c r="D7832" s="13" t="s">
        <v>1803</v>
      </c>
      <c r="E7832" s="111"/>
      <c r="F7832" s="113" t="s">
        <v>22166</v>
      </c>
      <c r="G7832" s="114"/>
      <c r="H7832" s="115"/>
      <c r="I7832" s="24" t="s">
        <v>22167</v>
      </c>
      <c r="J7832" s="116">
        <v>4</v>
      </c>
      <c r="K7832" s="118">
        <v>2450000</v>
      </c>
      <c r="L7832" s="119"/>
      <c r="M7832" s="118">
        <f t="shared" ref="M7832" si="11570">K7832*0.1</f>
        <v>245000</v>
      </c>
      <c r="N7832" s="119"/>
      <c r="O7832" s="118">
        <v>46700</v>
      </c>
      <c r="P7832" s="119"/>
      <c r="Q7832" s="118">
        <v>17850</v>
      </c>
      <c r="R7832" s="119"/>
      <c r="S7832" s="118">
        <v>0</v>
      </c>
      <c r="T7832" s="119"/>
      <c r="U7832" s="118">
        <f t="shared" ref="U7832" si="11571">SUM(K7832:T7833)</f>
        <v>2759550</v>
      </c>
      <c r="V7832" s="122"/>
      <c r="W7832" s="124"/>
      <c r="X7832" s="126" t="s">
        <v>23242</v>
      </c>
      <c r="Y7832" s="127"/>
      <c r="Z7832" s="127"/>
      <c r="AA7832" s="127"/>
      <c r="AB7832" s="128"/>
      <c r="AC7832" s="15" t="s">
        <v>20</v>
      </c>
      <c r="AD7832" s="129" t="s">
        <v>1670</v>
      </c>
      <c r="AE7832" s="130"/>
      <c r="AF7832" s="130"/>
      <c r="AG7832" s="130"/>
      <c r="AH7832" s="130"/>
      <c r="AI7832" s="131"/>
      <c r="AJ7832" s="132"/>
      <c r="AK7832" s="127"/>
      <c r="AL7832" s="128"/>
      <c r="AM7832" s="21"/>
      <c r="AN7832" s="133"/>
      <c r="AO7832" s="134"/>
      <c r="AP7832" s="135"/>
      <c r="AQ7832" s="136"/>
      <c r="AR7832" s="118"/>
      <c r="AS7832" s="119"/>
      <c r="AT7832" s="118">
        <f t="shared" ref="AT7832" si="11572">AR7832*0.1</f>
        <v>0</v>
      </c>
      <c r="AU7832" s="119"/>
      <c r="AV7832" s="118"/>
      <c r="AW7832" s="119"/>
      <c r="AX7832" s="118">
        <f t="shared" ref="AX7832" si="11573">SUM(AR7832:AW7832)</f>
        <v>0</v>
      </c>
      <c r="AY7832" s="119"/>
      <c r="AZ7832" s="137"/>
    </row>
    <row r="7833" spans="1:52" ht="17.100000000000001" customHeight="1" thickBot="1">
      <c r="A7833" s="110"/>
      <c r="B7833" s="27" t="s">
        <v>1718</v>
      </c>
      <c r="C7833" s="27" t="s">
        <v>22130</v>
      </c>
      <c r="D7833" s="14" t="s">
        <v>904</v>
      </c>
      <c r="E7833" s="112"/>
      <c r="F7833" s="139" t="s">
        <v>22131</v>
      </c>
      <c r="G7833" s="140"/>
      <c r="H7833" s="141"/>
      <c r="I7833" s="26">
        <v>49909</v>
      </c>
      <c r="J7833" s="117"/>
      <c r="K7833" s="120"/>
      <c r="L7833" s="121"/>
      <c r="M7833" s="120"/>
      <c r="N7833" s="121"/>
      <c r="O7833" s="120"/>
      <c r="P7833" s="121"/>
      <c r="Q7833" s="120"/>
      <c r="R7833" s="121"/>
      <c r="S7833" s="120"/>
      <c r="T7833" s="121"/>
      <c r="U7833" s="120"/>
      <c r="V7833" s="123"/>
      <c r="W7833" s="125"/>
      <c r="X7833" s="142" t="s">
        <v>23243</v>
      </c>
      <c r="Y7833" s="143"/>
      <c r="Z7833" s="143"/>
      <c r="AA7833" s="143"/>
      <c r="AB7833" s="144"/>
      <c r="AC7833" s="16" t="s">
        <v>21</v>
      </c>
      <c r="AD7833" s="17" t="s">
        <v>1952</v>
      </c>
      <c r="AE7833" s="145" t="s">
        <v>23244</v>
      </c>
      <c r="AF7833" s="146"/>
      <c r="AG7833" s="146"/>
      <c r="AH7833" s="146"/>
      <c r="AI7833" s="147"/>
      <c r="AJ7833" s="148"/>
      <c r="AK7833" s="143"/>
      <c r="AL7833" s="144"/>
      <c r="AM7833" s="22"/>
      <c r="AN7833" s="149"/>
      <c r="AO7833" s="144"/>
      <c r="AP7833" s="148"/>
      <c r="AQ7833" s="144"/>
      <c r="AR7833" s="120"/>
      <c r="AS7833" s="121"/>
      <c r="AT7833" s="120"/>
      <c r="AU7833" s="121"/>
      <c r="AV7833" s="120"/>
      <c r="AW7833" s="121"/>
      <c r="AX7833" s="120"/>
      <c r="AY7833" s="121"/>
      <c r="AZ7833" s="138"/>
    </row>
    <row r="7834" spans="1:52" ht="17.100000000000001" customHeight="1" thickTop="1">
      <c r="A7834" s="109" t="s">
        <v>22109</v>
      </c>
      <c r="B7834" s="28">
        <v>46115</v>
      </c>
      <c r="C7834" s="25"/>
      <c r="D7834" s="13" t="s">
        <v>4287</v>
      </c>
      <c r="E7834" s="111"/>
      <c r="F7834" s="113" t="s">
        <v>22168</v>
      </c>
      <c r="G7834" s="114"/>
      <c r="H7834" s="115"/>
      <c r="I7834" s="24" t="s">
        <v>4698</v>
      </c>
      <c r="J7834" s="116">
        <v>4.5</v>
      </c>
      <c r="K7834" s="118">
        <v>1910000</v>
      </c>
      <c r="L7834" s="119"/>
      <c r="M7834" s="118">
        <f t="shared" ref="M7834" si="11574">K7834*0.1</f>
        <v>191000</v>
      </c>
      <c r="N7834" s="119"/>
      <c r="O7834" s="118">
        <v>27900</v>
      </c>
      <c r="P7834" s="119"/>
      <c r="Q7834" s="118">
        <v>11510</v>
      </c>
      <c r="R7834" s="119"/>
      <c r="S7834" s="118">
        <v>0</v>
      </c>
      <c r="T7834" s="119"/>
      <c r="U7834" s="118">
        <f t="shared" ref="U7834" si="11575">SUM(K7834:T7835)</f>
        <v>2140410</v>
      </c>
      <c r="V7834" s="122"/>
      <c r="W7834" s="124"/>
      <c r="X7834" s="126" t="s">
        <v>24193</v>
      </c>
      <c r="Y7834" s="127"/>
      <c r="Z7834" s="127"/>
      <c r="AA7834" s="127"/>
      <c r="AB7834" s="128"/>
      <c r="AC7834" s="15" t="s">
        <v>20</v>
      </c>
      <c r="AD7834" s="129" t="s">
        <v>4435</v>
      </c>
      <c r="AE7834" s="130"/>
      <c r="AF7834" s="130"/>
      <c r="AG7834" s="130"/>
      <c r="AH7834" s="130"/>
      <c r="AI7834" s="131"/>
      <c r="AJ7834" s="132"/>
      <c r="AK7834" s="127"/>
      <c r="AL7834" s="128"/>
      <c r="AM7834" s="21"/>
      <c r="AN7834" s="133">
        <v>46130</v>
      </c>
      <c r="AO7834" s="134"/>
      <c r="AP7834" s="135">
        <v>1297</v>
      </c>
      <c r="AQ7834" s="136"/>
      <c r="AR7834" s="118">
        <v>1995000</v>
      </c>
      <c r="AS7834" s="119"/>
      <c r="AT7834" s="118">
        <f t="shared" ref="AT7834" si="11576">AR7834*0.1</f>
        <v>199500</v>
      </c>
      <c r="AU7834" s="119"/>
      <c r="AV7834" s="118">
        <v>11510</v>
      </c>
      <c r="AW7834" s="119"/>
      <c r="AX7834" s="118">
        <f t="shared" ref="AX7834" si="11577">SUM(AR7834:AW7834)</f>
        <v>2206010</v>
      </c>
      <c r="AY7834" s="119"/>
      <c r="AZ7834" s="137">
        <v>46136</v>
      </c>
    </row>
    <row r="7835" spans="1:52" ht="17.100000000000001" customHeight="1" thickBot="1">
      <c r="A7835" s="110"/>
      <c r="B7835" s="27" t="s">
        <v>1718</v>
      </c>
      <c r="C7835" s="27" t="s">
        <v>22132</v>
      </c>
      <c r="D7835" s="14" t="s">
        <v>2601</v>
      </c>
      <c r="E7835" s="112"/>
      <c r="F7835" s="139" t="s">
        <v>22133</v>
      </c>
      <c r="G7835" s="140"/>
      <c r="H7835" s="141"/>
      <c r="I7835" s="26">
        <v>18213</v>
      </c>
      <c r="J7835" s="117"/>
      <c r="K7835" s="120"/>
      <c r="L7835" s="121"/>
      <c r="M7835" s="120"/>
      <c r="N7835" s="121"/>
      <c r="O7835" s="120"/>
      <c r="P7835" s="121"/>
      <c r="Q7835" s="120"/>
      <c r="R7835" s="121"/>
      <c r="S7835" s="120"/>
      <c r="T7835" s="121"/>
      <c r="U7835" s="120"/>
      <c r="V7835" s="123"/>
      <c r="W7835" s="125"/>
      <c r="X7835" s="142" t="s">
        <v>24194</v>
      </c>
      <c r="Y7835" s="143"/>
      <c r="Z7835" s="143"/>
      <c r="AA7835" s="143"/>
      <c r="AB7835" s="144"/>
      <c r="AC7835" s="16" t="s">
        <v>21</v>
      </c>
      <c r="AD7835" s="17" t="s">
        <v>24135</v>
      </c>
      <c r="AE7835" s="145" t="s">
        <v>24195</v>
      </c>
      <c r="AF7835" s="146"/>
      <c r="AG7835" s="146"/>
      <c r="AH7835" s="146"/>
      <c r="AI7835" s="147"/>
      <c r="AJ7835" s="148"/>
      <c r="AK7835" s="143"/>
      <c r="AL7835" s="144"/>
      <c r="AM7835" s="22"/>
      <c r="AN7835" s="149" t="s">
        <v>2511</v>
      </c>
      <c r="AO7835" s="144"/>
      <c r="AP7835" s="148">
        <v>37845</v>
      </c>
      <c r="AQ7835" s="144"/>
      <c r="AR7835" s="120"/>
      <c r="AS7835" s="121"/>
      <c r="AT7835" s="120"/>
      <c r="AU7835" s="121"/>
      <c r="AV7835" s="120"/>
      <c r="AW7835" s="121"/>
      <c r="AX7835" s="120"/>
      <c r="AY7835" s="121"/>
      <c r="AZ7835" s="138"/>
    </row>
    <row r="7836" spans="1:52" ht="17.100000000000001" customHeight="1" thickTop="1">
      <c r="A7836" s="109" t="s">
        <v>22110</v>
      </c>
      <c r="B7836" s="28">
        <v>46115</v>
      </c>
      <c r="C7836" s="25"/>
      <c r="D7836" s="13" t="s">
        <v>3386</v>
      </c>
      <c r="E7836" s="111"/>
      <c r="F7836" s="113" t="s">
        <v>17840</v>
      </c>
      <c r="G7836" s="114"/>
      <c r="H7836" s="115"/>
      <c r="I7836" s="24" t="s">
        <v>22169</v>
      </c>
      <c r="J7836" s="116">
        <v>4</v>
      </c>
      <c r="K7836" s="118">
        <v>1695000</v>
      </c>
      <c r="L7836" s="119"/>
      <c r="M7836" s="118">
        <f t="shared" ref="M7836" si="11578">K7836*0.1</f>
        <v>169500</v>
      </c>
      <c r="N7836" s="119"/>
      <c r="O7836" s="118">
        <v>27900</v>
      </c>
      <c r="P7836" s="119"/>
      <c r="Q7836" s="118">
        <v>17930</v>
      </c>
      <c r="R7836" s="119"/>
      <c r="S7836" s="118">
        <v>0</v>
      </c>
      <c r="T7836" s="119"/>
      <c r="U7836" s="118">
        <f t="shared" ref="U7836" si="11579">SUM(K7836:T7837)</f>
        <v>1910330</v>
      </c>
      <c r="V7836" s="122"/>
      <c r="W7836" s="124"/>
      <c r="X7836" s="126" t="s">
        <v>23477</v>
      </c>
      <c r="Y7836" s="127"/>
      <c r="Z7836" s="127"/>
      <c r="AA7836" s="127"/>
      <c r="AB7836" s="128"/>
      <c r="AC7836" s="15" t="s">
        <v>20</v>
      </c>
      <c r="AD7836" s="129" t="s">
        <v>4435</v>
      </c>
      <c r="AE7836" s="130"/>
      <c r="AF7836" s="130"/>
      <c r="AG7836" s="130"/>
      <c r="AH7836" s="130"/>
      <c r="AI7836" s="131"/>
      <c r="AJ7836" s="132"/>
      <c r="AK7836" s="127"/>
      <c r="AL7836" s="128"/>
      <c r="AM7836" s="21"/>
      <c r="AN7836" s="133"/>
      <c r="AO7836" s="134"/>
      <c r="AP7836" s="135"/>
      <c r="AQ7836" s="136"/>
      <c r="AR7836" s="118"/>
      <c r="AS7836" s="119"/>
      <c r="AT7836" s="118">
        <f t="shared" ref="AT7836" si="11580">AR7836*0.1</f>
        <v>0</v>
      </c>
      <c r="AU7836" s="119"/>
      <c r="AV7836" s="118"/>
      <c r="AW7836" s="119"/>
      <c r="AX7836" s="118">
        <f t="shared" ref="AX7836" si="11581">SUM(AR7836:AW7836)</f>
        <v>0</v>
      </c>
      <c r="AY7836" s="119"/>
      <c r="AZ7836" s="137"/>
    </row>
    <row r="7837" spans="1:52" ht="17.100000000000001" customHeight="1" thickBot="1">
      <c r="A7837" s="110"/>
      <c r="B7837" s="27" t="s">
        <v>1718</v>
      </c>
      <c r="C7837" s="27" t="s">
        <v>22134</v>
      </c>
      <c r="D7837" s="14" t="s">
        <v>1592</v>
      </c>
      <c r="E7837" s="112"/>
      <c r="F7837" s="139" t="s">
        <v>22135</v>
      </c>
      <c r="G7837" s="140"/>
      <c r="H7837" s="141"/>
      <c r="I7837" s="26">
        <v>32206</v>
      </c>
      <c r="J7837" s="117"/>
      <c r="K7837" s="120"/>
      <c r="L7837" s="121"/>
      <c r="M7837" s="120"/>
      <c r="N7837" s="121"/>
      <c r="O7837" s="120"/>
      <c r="P7837" s="121"/>
      <c r="Q7837" s="120"/>
      <c r="R7837" s="121"/>
      <c r="S7837" s="120"/>
      <c r="T7837" s="121"/>
      <c r="U7837" s="120"/>
      <c r="V7837" s="123"/>
      <c r="W7837" s="125"/>
      <c r="X7837" s="142" t="s">
        <v>23478</v>
      </c>
      <c r="Y7837" s="143"/>
      <c r="Z7837" s="143"/>
      <c r="AA7837" s="143"/>
      <c r="AB7837" s="144"/>
      <c r="AC7837" s="16" t="s">
        <v>21</v>
      </c>
      <c r="AD7837" s="17" t="s">
        <v>3711</v>
      </c>
      <c r="AE7837" s="145" t="s">
        <v>1742</v>
      </c>
      <c r="AF7837" s="146"/>
      <c r="AG7837" s="146"/>
      <c r="AH7837" s="146"/>
      <c r="AI7837" s="147"/>
      <c r="AJ7837" s="148"/>
      <c r="AK7837" s="143"/>
      <c r="AL7837" s="144"/>
      <c r="AM7837" s="22"/>
      <c r="AN7837" s="149"/>
      <c r="AO7837" s="144"/>
      <c r="AP7837" s="148"/>
      <c r="AQ7837" s="144"/>
      <c r="AR7837" s="120"/>
      <c r="AS7837" s="121"/>
      <c r="AT7837" s="120"/>
      <c r="AU7837" s="121"/>
      <c r="AV7837" s="120"/>
      <c r="AW7837" s="121"/>
      <c r="AX7837" s="120"/>
      <c r="AY7837" s="121"/>
      <c r="AZ7837" s="138"/>
    </row>
    <row r="7838" spans="1:52" ht="17.100000000000001" customHeight="1" thickTop="1">
      <c r="A7838" s="109" t="s">
        <v>22111</v>
      </c>
      <c r="B7838" s="28">
        <v>46115</v>
      </c>
      <c r="C7838" s="25"/>
      <c r="D7838" s="13" t="s">
        <v>1537</v>
      </c>
      <c r="E7838" s="111"/>
      <c r="F7838" s="113" t="s">
        <v>16264</v>
      </c>
      <c r="G7838" s="114"/>
      <c r="H7838" s="115"/>
      <c r="I7838" s="24" t="s">
        <v>5462</v>
      </c>
      <c r="J7838" s="116">
        <v>4</v>
      </c>
      <c r="K7838" s="118">
        <v>539000</v>
      </c>
      <c r="L7838" s="119"/>
      <c r="M7838" s="118">
        <f t="shared" ref="M7838" si="11582">K7838*0.1</f>
        <v>53900</v>
      </c>
      <c r="N7838" s="119"/>
      <c r="O7838" s="118">
        <v>0</v>
      </c>
      <c r="P7838" s="119"/>
      <c r="Q7838" s="118">
        <v>8850</v>
      </c>
      <c r="R7838" s="119"/>
      <c r="S7838" s="118">
        <v>0</v>
      </c>
      <c r="T7838" s="119"/>
      <c r="U7838" s="118">
        <f t="shared" ref="U7838" si="11583">SUM(K7838:T7839)</f>
        <v>601750</v>
      </c>
      <c r="V7838" s="122"/>
      <c r="W7838" s="124"/>
      <c r="X7838" s="126" t="s">
        <v>25561</v>
      </c>
      <c r="Y7838" s="127"/>
      <c r="Z7838" s="127"/>
      <c r="AA7838" s="127"/>
      <c r="AB7838" s="128"/>
      <c r="AC7838" s="15" t="s">
        <v>20</v>
      </c>
      <c r="AD7838" s="129" t="s">
        <v>4435</v>
      </c>
      <c r="AE7838" s="130"/>
      <c r="AF7838" s="130"/>
      <c r="AG7838" s="130"/>
      <c r="AH7838" s="130"/>
      <c r="AI7838" s="131"/>
      <c r="AJ7838" s="132"/>
      <c r="AK7838" s="127"/>
      <c r="AL7838" s="128"/>
      <c r="AM7838" s="21"/>
      <c r="AN7838" s="133"/>
      <c r="AO7838" s="134"/>
      <c r="AP7838" s="135"/>
      <c r="AQ7838" s="136"/>
      <c r="AR7838" s="118"/>
      <c r="AS7838" s="119"/>
      <c r="AT7838" s="118">
        <f t="shared" ref="AT7838" si="11584">AR7838*0.1</f>
        <v>0</v>
      </c>
      <c r="AU7838" s="119"/>
      <c r="AV7838" s="118"/>
      <c r="AW7838" s="119"/>
      <c r="AX7838" s="118">
        <f t="shared" ref="AX7838" si="11585">SUM(AR7838:AW7838)</f>
        <v>0</v>
      </c>
      <c r="AY7838" s="119"/>
      <c r="AZ7838" s="137"/>
    </row>
    <row r="7839" spans="1:52" ht="17.100000000000001" customHeight="1" thickBot="1">
      <c r="A7839" s="110"/>
      <c r="B7839" s="27" t="s">
        <v>1718</v>
      </c>
      <c r="C7839" s="27" t="s">
        <v>22136</v>
      </c>
      <c r="D7839" s="14" t="s">
        <v>2040</v>
      </c>
      <c r="E7839" s="112"/>
      <c r="F7839" s="139" t="s">
        <v>22137</v>
      </c>
      <c r="G7839" s="140"/>
      <c r="H7839" s="141"/>
      <c r="I7839" s="26">
        <v>58586</v>
      </c>
      <c r="J7839" s="117"/>
      <c r="K7839" s="120"/>
      <c r="L7839" s="121"/>
      <c r="M7839" s="120"/>
      <c r="N7839" s="121"/>
      <c r="O7839" s="120"/>
      <c r="P7839" s="121"/>
      <c r="Q7839" s="120"/>
      <c r="R7839" s="121"/>
      <c r="S7839" s="120"/>
      <c r="T7839" s="121"/>
      <c r="U7839" s="120"/>
      <c r="V7839" s="123"/>
      <c r="W7839" s="125"/>
      <c r="X7839" s="142" t="s">
        <v>25562</v>
      </c>
      <c r="Y7839" s="143"/>
      <c r="Z7839" s="143"/>
      <c r="AA7839" s="143"/>
      <c r="AB7839" s="144"/>
      <c r="AC7839" s="16" t="s">
        <v>21</v>
      </c>
      <c r="AD7839" s="17" t="s">
        <v>2413</v>
      </c>
      <c r="AE7839" s="145" t="s">
        <v>171</v>
      </c>
      <c r="AF7839" s="146"/>
      <c r="AG7839" s="146"/>
      <c r="AH7839" s="146"/>
      <c r="AI7839" s="147"/>
      <c r="AJ7839" s="148"/>
      <c r="AK7839" s="143"/>
      <c r="AL7839" s="144"/>
      <c r="AM7839" s="22"/>
      <c r="AN7839" s="149"/>
      <c r="AO7839" s="144"/>
      <c r="AP7839" s="148"/>
      <c r="AQ7839" s="144"/>
      <c r="AR7839" s="120"/>
      <c r="AS7839" s="121"/>
      <c r="AT7839" s="120"/>
      <c r="AU7839" s="121"/>
      <c r="AV7839" s="120"/>
      <c r="AW7839" s="121"/>
      <c r="AX7839" s="120"/>
      <c r="AY7839" s="121"/>
      <c r="AZ7839" s="138"/>
    </row>
    <row r="7840" spans="1:52" ht="17.100000000000001" customHeight="1" thickTop="1">
      <c r="A7840" s="109" t="s">
        <v>22112</v>
      </c>
      <c r="B7840" s="28">
        <v>46115</v>
      </c>
      <c r="C7840" s="25"/>
      <c r="D7840" s="13" t="s">
        <v>2508</v>
      </c>
      <c r="E7840" s="111"/>
      <c r="F7840" s="113" t="s">
        <v>22170</v>
      </c>
      <c r="G7840" s="114"/>
      <c r="H7840" s="115"/>
      <c r="I7840" s="24" t="s">
        <v>5100</v>
      </c>
      <c r="J7840" s="116">
        <v>5</v>
      </c>
      <c r="K7840" s="118">
        <v>4210000</v>
      </c>
      <c r="L7840" s="119"/>
      <c r="M7840" s="118">
        <f t="shared" ref="M7840" si="11586">K7840*0.1</f>
        <v>421000</v>
      </c>
      <c r="N7840" s="119"/>
      <c r="O7840" s="118">
        <v>14600</v>
      </c>
      <c r="P7840" s="119"/>
      <c r="Q7840" s="118">
        <v>11570</v>
      </c>
      <c r="R7840" s="119"/>
      <c r="S7840" s="118">
        <v>0</v>
      </c>
      <c r="T7840" s="119"/>
      <c r="U7840" s="118">
        <f t="shared" ref="U7840" si="11587">SUM(K7840:T7841)</f>
        <v>4657170</v>
      </c>
      <c r="V7840" s="122"/>
      <c r="W7840" s="124"/>
      <c r="X7840" s="126" t="s">
        <v>23318</v>
      </c>
      <c r="Y7840" s="127"/>
      <c r="Z7840" s="127"/>
      <c r="AA7840" s="127"/>
      <c r="AB7840" s="128"/>
      <c r="AC7840" s="15" t="s">
        <v>20</v>
      </c>
      <c r="AD7840" s="129" t="s">
        <v>7231</v>
      </c>
      <c r="AE7840" s="130"/>
      <c r="AF7840" s="130"/>
      <c r="AG7840" s="130"/>
      <c r="AH7840" s="130"/>
      <c r="AI7840" s="131"/>
      <c r="AJ7840" s="132"/>
      <c r="AK7840" s="127"/>
      <c r="AL7840" s="128"/>
      <c r="AM7840" s="21"/>
      <c r="AN7840" s="133">
        <v>46141</v>
      </c>
      <c r="AO7840" s="134"/>
      <c r="AP7840" s="135">
        <v>1015</v>
      </c>
      <c r="AQ7840" s="136"/>
      <c r="AR7840" s="118">
        <v>4015000</v>
      </c>
      <c r="AS7840" s="119"/>
      <c r="AT7840" s="118">
        <f t="shared" ref="AT7840" si="11588">AR7840*0.1</f>
        <v>401500</v>
      </c>
      <c r="AU7840" s="119"/>
      <c r="AV7840" s="118">
        <v>11570</v>
      </c>
      <c r="AW7840" s="119"/>
      <c r="AX7840" s="118">
        <f t="shared" ref="AX7840" si="11589">SUM(AR7840:AW7840)</f>
        <v>4428070</v>
      </c>
      <c r="AY7840" s="119"/>
      <c r="AZ7840" s="137">
        <v>46153</v>
      </c>
    </row>
    <row r="7841" spans="1:52" ht="17.100000000000001" customHeight="1" thickBot="1">
      <c r="A7841" s="110"/>
      <c r="B7841" s="27" t="s">
        <v>1718</v>
      </c>
      <c r="C7841" s="27" t="s">
        <v>22138</v>
      </c>
      <c r="D7841" s="14" t="s">
        <v>1592</v>
      </c>
      <c r="E7841" s="112"/>
      <c r="F7841" s="139" t="s">
        <v>22139</v>
      </c>
      <c r="G7841" s="140"/>
      <c r="H7841" s="141"/>
      <c r="I7841" s="26">
        <v>3648</v>
      </c>
      <c r="J7841" s="117"/>
      <c r="K7841" s="120"/>
      <c r="L7841" s="121"/>
      <c r="M7841" s="120"/>
      <c r="N7841" s="121"/>
      <c r="O7841" s="120"/>
      <c r="P7841" s="121"/>
      <c r="Q7841" s="120"/>
      <c r="R7841" s="121"/>
      <c r="S7841" s="120"/>
      <c r="T7841" s="121"/>
      <c r="U7841" s="120"/>
      <c r="V7841" s="123"/>
      <c r="W7841" s="125"/>
      <c r="X7841" s="142" t="s">
        <v>23319</v>
      </c>
      <c r="Y7841" s="143"/>
      <c r="Z7841" s="143"/>
      <c r="AA7841" s="143"/>
      <c r="AB7841" s="144"/>
      <c r="AC7841" s="16" t="s">
        <v>21</v>
      </c>
      <c r="AD7841" s="17" t="s">
        <v>23320</v>
      </c>
      <c r="AE7841" s="145" t="s">
        <v>24168</v>
      </c>
      <c r="AF7841" s="146"/>
      <c r="AG7841" s="146"/>
      <c r="AH7841" s="146"/>
      <c r="AI7841" s="147"/>
      <c r="AJ7841" s="148"/>
      <c r="AK7841" s="143"/>
      <c r="AL7841" s="144"/>
      <c r="AM7841" s="22"/>
      <c r="AN7841" s="149" t="s">
        <v>2794</v>
      </c>
      <c r="AO7841" s="144"/>
      <c r="AP7841" s="148">
        <v>4005</v>
      </c>
      <c r="AQ7841" s="144"/>
      <c r="AR7841" s="120"/>
      <c r="AS7841" s="121"/>
      <c r="AT7841" s="120"/>
      <c r="AU7841" s="121"/>
      <c r="AV7841" s="120"/>
      <c r="AW7841" s="121"/>
      <c r="AX7841" s="120"/>
      <c r="AY7841" s="121"/>
      <c r="AZ7841" s="138"/>
    </row>
    <row r="7842" spans="1:52" ht="17.100000000000001" customHeight="1" thickTop="1">
      <c r="A7842" s="109" t="s">
        <v>22113</v>
      </c>
      <c r="B7842" s="28">
        <v>46115</v>
      </c>
      <c r="C7842" s="25">
        <v>2241</v>
      </c>
      <c r="D7842" s="13" t="s">
        <v>1902</v>
      </c>
      <c r="E7842" s="111"/>
      <c r="F7842" s="113" t="s">
        <v>16059</v>
      </c>
      <c r="G7842" s="114"/>
      <c r="H7842" s="115"/>
      <c r="I7842" s="24"/>
      <c r="J7842" s="116">
        <v>4.5</v>
      </c>
      <c r="K7842" s="118">
        <v>2553000</v>
      </c>
      <c r="L7842" s="119"/>
      <c r="M7842" s="118">
        <f t="shared" ref="M7842" si="11590">K7842*0.1</f>
        <v>255300</v>
      </c>
      <c r="N7842" s="119"/>
      <c r="O7842" s="118">
        <v>0</v>
      </c>
      <c r="P7842" s="119"/>
      <c r="Q7842" s="118">
        <v>16240</v>
      </c>
      <c r="R7842" s="119"/>
      <c r="S7842" s="118">
        <v>14300</v>
      </c>
      <c r="T7842" s="119"/>
      <c r="U7842" s="118">
        <f t="shared" ref="U7842" si="11591">SUM(K7842:T7843)</f>
        <v>2838840</v>
      </c>
      <c r="V7842" s="122"/>
      <c r="W7842" s="124"/>
      <c r="X7842" s="126" t="s">
        <v>22462</v>
      </c>
      <c r="Y7842" s="127"/>
      <c r="Z7842" s="127"/>
      <c r="AA7842" s="127"/>
      <c r="AB7842" s="128"/>
      <c r="AC7842" s="15" t="s">
        <v>20</v>
      </c>
      <c r="AD7842" s="129"/>
      <c r="AE7842" s="130"/>
      <c r="AF7842" s="130"/>
      <c r="AG7842" s="130"/>
      <c r="AH7842" s="130"/>
      <c r="AI7842" s="131"/>
      <c r="AJ7842" s="132"/>
      <c r="AK7842" s="127"/>
      <c r="AL7842" s="128"/>
      <c r="AM7842" s="21"/>
      <c r="AN7842" s="133"/>
      <c r="AO7842" s="134"/>
      <c r="AP7842" s="135"/>
      <c r="AQ7842" s="136"/>
      <c r="AR7842" s="118"/>
      <c r="AS7842" s="119"/>
      <c r="AT7842" s="118">
        <f t="shared" ref="AT7842" si="11592">AR7842*0.1</f>
        <v>0</v>
      </c>
      <c r="AU7842" s="119"/>
      <c r="AV7842" s="118"/>
      <c r="AW7842" s="119"/>
      <c r="AX7842" s="118">
        <f t="shared" ref="AX7842" si="11593">SUM(AR7842:AW7842)</f>
        <v>0</v>
      </c>
      <c r="AY7842" s="119"/>
      <c r="AZ7842" s="137"/>
    </row>
    <row r="7843" spans="1:52" ht="17.100000000000001" customHeight="1" thickBot="1">
      <c r="A7843" s="110"/>
      <c r="B7843" s="27" t="s">
        <v>2438</v>
      </c>
      <c r="C7843" s="27">
        <v>2001</v>
      </c>
      <c r="D7843" s="14" t="s">
        <v>275</v>
      </c>
      <c r="E7843" s="112"/>
      <c r="F7843" s="139" t="s">
        <v>22461</v>
      </c>
      <c r="G7843" s="140"/>
      <c r="H7843" s="141"/>
      <c r="I7843" s="26">
        <v>39779</v>
      </c>
      <c r="J7843" s="117"/>
      <c r="K7843" s="120"/>
      <c r="L7843" s="121"/>
      <c r="M7843" s="120"/>
      <c r="N7843" s="121"/>
      <c r="O7843" s="120"/>
      <c r="P7843" s="121"/>
      <c r="Q7843" s="120"/>
      <c r="R7843" s="121"/>
      <c r="S7843" s="120"/>
      <c r="T7843" s="121"/>
      <c r="U7843" s="120"/>
      <c r="V7843" s="123"/>
      <c r="W7843" s="125"/>
      <c r="X7843" s="142" t="s">
        <v>2193</v>
      </c>
      <c r="Y7843" s="143"/>
      <c r="Z7843" s="143"/>
      <c r="AA7843" s="143"/>
      <c r="AB7843" s="144"/>
      <c r="AC7843" s="16" t="s">
        <v>21</v>
      </c>
      <c r="AD7843" s="17" t="s">
        <v>1795</v>
      </c>
      <c r="AE7843" s="145" t="s">
        <v>4077</v>
      </c>
      <c r="AF7843" s="146"/>
      <c r="AG7843" s="146"/>
      <c r="AH7843" s="146"/>
      <c r="AI7843" s="147"/>
      <c r="AJ7843" s="148"/>
      <c r="AK7843" s="143"/>
      <c r="AL7843" s="144"/>
      <c r="AM7843" s="22"/>
      <c r="AN7843" s="149"/>
      <c r="AO7843" s="144"/>
      <c r="AP7843" s="148"/>
      <c r="AQ7843" s="144"/>
      <c r="AR7843" s="120"/>
      <c r="AS7843" s="121"/>
      <c r="AT7843" s="120"/>
      <c r="AU7843" s="121"/>
      <c r="AV7843" s="120"/>
      <c r="AW7843" s="121"/>
      <c r="AX7843" s="120"/>
      <c r="AY7843" s="121"/>
      <c r="AZ7843" s="138"/>
    </row>
    <row r="7844" spans="1:52" ht="17.100000000000001" customHeight="1" thickTop="1">
      <c r="A7844" s="109" t="s">
        <v>22114</v>
      </c>
      <c r="B7844" s="28">
        <v>46116</v>
      </c>
      <c r="C7844" s="25">
        <v>1538</v>
      </c>
      <c r="D7844" s="13" t="s">
        <v>2298</v>
      </c>
      <c r="E7844" s="111"/>
      <c r="F7844" s="113" t="s">
        <v>22226</v>
      </c>
      <c r="G7844" s="114"/>
      <c r="H7844" s="115"/>
      <c r="I7844" s="24"/>
      <c r="J7844" s="116">
        <v>4.5</v>
      </c>
      <c r="K7844" s="118">
        <v>1920000</v>
      </c>
      <c r="L7844" s="119"/>
      <c r="M7844" s="118">
        <f t="shared" ref="M7844" si="11594">K7844*0.1</f>
        <v>192000</v>
      </c>
      <c r="N7844" s="119"/>
      <c r="O7844" s="118">
        <v>0</v>
      </c>
      <c r="P7844" s="119"/>
      <c r="Q7844" s="118">
        <v>13890</v>
      </c>
      <c r="R7844" s="119"/>
      <c r="S7844" s="118">
        <v>16500</v>
      </c>
      <c r="T7844" s="119"/>
      <c r="U7844" s="118">
        <f t="shared" ref="U7844" si="11595">SUM(K7844:T7845)</f>
        <v>2142390</v>
      </c>
      <c r="V7844" s="122"/>
      <c r="W7844" s="124"/>
      <c r="X7844" s="126" t="s">
        <v>22472</v>
      </c>
      <c r="Y7844" s="127"/>
      <c r="Z7844" s="127"/>
      <c r="AA7844" s="127"/>
      <c r="AB7844" s="128"/>
      <c r="AC7844" s="15" t="s">
        <v>20</v>
      </c>
      <c r="AD7844" s="129" t="s">
        <v>3828</v>
      </c>
      <c r="AE7844" s="130"/>
      <c r="AF7844" s="130"/>
      <c r="AG7844" s="130"/>
      <c r="AH7844" s="130"/>
      <c r="AI7844" s="131"/>
      <c r="AJ7844" s="132"/>
      <c r="AK7844" s="127"/>
      <c r="AL7844" s="128"/>
      <c r="AM7844" s="21"/>
      <c r="AN7844" s="133">
        <v>46144</v>
      </c>
      <c r="AO7844" s="134"/>
      <c r="AP7844" s="135">
        <v>1299</v>
      </c>
      <c r="AQ7844" s="136"/>
      <c r="AR7844" s="118">
        <v>2050000</v>
      </c>
      <c r="AS7844" s="119"/>
      <c r="AT7844" s="118">
        <f t="shared" ref="AT7844" si="11596">AR7844*0.1</f>
        <v>205000</v>
      </c>
      <c r="AU7844" s="119"/>
      <c r="AV7844" s="118">
        <v>13890</v>
      </c>
      <c r="AW7844" s="119"/>
      <c r="AX7844" s="118">
        <f t="shared" ref="AX7844" si="11597">SUM(AR7844:AW7844)</f>
        <v>2268890</v>
      </c>
      <c r="AY7844" s="119"/>
      <c r="AZ7844" s="137">
        <v>46154</v>
      </c>
    </row>
    <row r="7845" spans="1:52" ht="17.100000000000001" customHeight="1" thickBot="1">
      <c r="A7845" s="110"/>
      <c r="B7845" s="27" t="s">
        <v>1555</v>
      </c>
      <c r="C7845" s="27">
        <v>83212</v>
      </c>
      <c r="D7845" s="14" t="s">
        <v>904</v>
      </c>
      <c r="E7845" s="112"/>
      <c r="F7845" s="139" t="s">
        <v>22227</v>
      </c>
      <c r="G7845" s="140"/>
      <c r="H7845" s="141"/>
      <c r="I7845" s="26">
        <v>21350</v>
      </c>
      <c r="J7845" s="117"/>
      <c r="K7845" s="120"/>
      <c r="L7845" s="121"/>
      <c r="M7845" s="120"/>
      <c r="N7845" s="121"/>
      <c r="O7845" s="120"/>
      <c r="P7845" s="121"/>
      <c r="Q7845" s="120"/>
      <c r="R7845" s="121"/>
      <c r="S7845" s="120"/>
      <c r="T7845" s="121"/>
      <c r="U7845" s="120"/>
      <c r="V7845" s="123"/>
      <c r="W7845" s="125"/>
      <c r="X7845" s="142" t="s">
        <v>4796</v>
      </c>
      <c r="Y7845" s="143"/>
      <c r="Z7845" s="143"/>
      <c r="AA7845" s="143"/>
      <c r="AB7845" s="144"/>
      <c r="AC7845" s="16" t="s">
        <v>21</v>
      </c>
      <c r="AD7845" s="17" t="s">
        <v>1825</v>
      </c>
      <c r="AE7845" s="145" t="s">
        <v>1742</v>
      </c>
      <c r="AF7845" s="146"/>
      <c r="AG7845" s="146"/>
      <c r="AH7845" s="146"/>
      <c r="AI7845" s="147"/>
      <c r="AJ7845" s="148"/>
      <c r="AK7845" s="143"/>
      <c r="AL7845" s="144"/>
      <c r="AM7845" s="22"/>
      <c r="AN7845" s="149" t="s">
        <v>25047</v>
      </c>
      <c r="AO7845" s="144"/>
      <c r="AP7845" s="148">
        <v>80014</v>
      </c>
      <c r="AQ7845" s="144"/>
      <c r="AR7845" s="120"/>
      <c r="AS7845" s="121"/>
      <c r="AT7845" s="120"/>
      <c r="AU7845" s="121"/>
      <c r="AV7845" s="120"/>
      <c r="AW7845" s="121"/>
      <c r="AX7845" s="120"/>
      <c r="AY7845" s="121"/>
      <c r="AZ7845" s="138"/>
    </row>
    <row r="7846" spans="1:52" ht="17.100000000000001" customHeight="1" thickTop="1">
      <c r="A7846" s="109" t="s">
        <v>22212</v>
      </c>
      <c r="B7846" s="28">
        <v>46116</v>
      </c>
      <c r="C7846" s="25">
        <v>306</v>
      </c>
      <c r="D7846" s="13" t="s">
        <v>4860</v>
      </c>
      <c r="E7846" s="111"/>
      <c r="F7846" s="113" t="s">
        <v>22217</v>
      </c>
      <c r="G7846" s="114"/>
      <c r="H7846" s="115"/>
      <c r="I7846" s="24"/>
      <c r="J7846" s="116">
        <v>3.5</v>
      </c>
      <c r="K7846" s="118">
        <v>827000</v>
      </c>
      <c r="L7846" s="119"/>
      <c r="M7846" s="118">
        <f t="shared" ref="M7846" si="11598">K7846*0.1</f>
        <v>82700</v>
      </c>
      <c r="N7846" s="119"/>
      <c r="O7846" s="118">
        <v>0</v>
      </c>
      <c r="P7846" s="119"/>
      <c r="Q7846" s="118">
        <v>9810</v>
      </c>
      <c r="R7846" s="119"/>
      <c r="S7846" s="118">
        <v>17050</v>
      </c>
      <c r="T7846" s="119"/>
      <c r="U7846" s="118">
        <f t="shared" ref="U7846" si="11599">SUM(K7846:T7847)</f>
        <v>936560</v>
      </c>
      <c r="V7846" s="122"/>
      <c r="W7846" s="124"/>
      <c r="X7846" s="126" t="s">
        <v>22302</v>
      </c>
      <c r="Y7846" s="127"/>
      <c r="Z7846" s="127"/>
      <c r="AA7846" s="127"/>
      <c r="AB7846" s="128"/>
      <c r="AC7846" s="15" t="s">
        <v>20</v>
      </c>
      <c r="AD7846" s="129" t="s">
        <v>9186</v>
      </c>
      <c r="AE7846" s="130"/>
      <c r="AF7846" s="130"/>
      <c r="AG7846" s="130"/>
      <c r="AH7846" s="130"/>
      <c r="AI7846" s="131"/>
      <c r="AJ7846" s="132"/>
      <c r="AK7846" s="127"/>
      <c r="AL7846" s="128"/>
      <c r="AM7846" s="21"/>
      <c r="AN7846" s="133"/>
      <c r="AO7846" s="134"/>
      <c r="AP7846" s="135"/>
      <c r="AQ7846" s="136"/>
      <c r="AR7846" s="118"/>
      <c r="AS7846" s="119"/>
      <c r="AT7846" s="118">
        <f t="shared" ref="AT7846" si="11600">AR7846*0.1</f>
        <v>0</v>
      </c>
      <c r="AU7846" s="119"/>
      <c r="AV7846" s="118"/>
      <c r="AW7846" s="119"/>
      <c r="AX7846" s="118">
        <f t="shared" ref="AX7846" si="11601">SUM(AR7846:AW7846)</f>
        <v>0</v>
      </c>
      <c r="AY7846" s="119"/>
      <c r="AZ7846" s="137"/>
    </row>
    <row r="7847" spans="1:52" ht="17.100000000000001" customHeight="1" thickBot="1">
      <c r="A7847" s="110"/>
      <c r="B7847" s="27" t="s">
        <v>3574</v>
      </c>
      <c r="C7847" s="27">
        <v>2233</v>
      </c>
      <c r="D7847" s="14" t="s">
        <v>275</v>
      </c>
      <c r="E7847" s="112"/>
      <c r="F7847" s="139" t="s">
        <v>22213</v>
      </c>
      <c r="G7847" s="140"/>
      <c r="H7847" s="141"/>
      <c r="I7847" s="26">
        <v>54777</v>
      </c>
      <c r="J7847" s="117"/>
      <c r="K7847" s="120"/>
      <c r="L7847" s="121"/>
      <c r="M7847" s="120"/>
      <c r="N7847" s="121"/>
      <c r="O7847" s="120"/>
      <c r="P7847" s="121"/>
      <c r="Q7847" s="120"/>
      <c r="R7847" s="121"/>
      <c r="S7847" s="120"/>
      <c r="T7847" s="121"/>
      <c r="U7847" s="120"/>
      <c r="V7847" s="123"/>
      <c r="W7847" s="125"/>
      <c r="X7847" s="142" t="s">
        <v>19069</v>
      </c>
      <c r="Y7847" s="143"/>
      <c r="Z7847" s="143"/>
      <c r="AA7847" s="143"/>
      <c r="AB7847" s="144"/>
      <c r="AC7847" s="16" t="s">
        <v>21</v>
      </c>
      <c r="AD7847" s="17" t="s">
        <v>1922</v>
      </c>
      <c r="AE7847" s="158" t="s">
        <v>22609</v>
      </c>
      <c r="AF7847" s="146"/>
      <c r="AG7847" s="146"/>
      <c r="AH7847" s="146"/>
      <c r="AI7847" s="147"/>
      <c r="AJ7847" s="148"/>
      <c r="AK7847" s="143"/>
      <c r="AL7847" s="144"/>
      <c r="AM7847" s="22"/>
      <c r="AN7847" s="149"/>
      <c r="AO7847" s="144"/>
      <c r="AP7847" s="148"/>
      <c r="AQ7847" s="144"/>
      <c r="AR7847" s="120"/>
      <c r="AS7847" s="121"/>
      <c r="AT7847" s="120"/>
      <c r="AU7847" s="121"/>
      <c r="AV7847" s="120"/>
      <c r="AW7847" s="121"/>
      <c r="AX7847" s="120"/>
      <c r="AY7847" s="121"/>
      <c r="AZ7847" s="138"/>
    </row>
    <row r="7848" spans="1:52" ht="17.100000000000001" customHeight="1" thickTop="1">
      <c r="A7848" s="109" t="s">
        <v>22115</v>
      </c>
      <c r="B7848" s="28">
        <v>46116</v>
      </c>
      <c r="C7848" s="25">
        <v>306</v>
      </c>
      <c r="D7848" s="13" t="s">
        <v>2211</v>
      </c>
      <c r="E7848" s="111"/>
      <c r="F7848" s="113" t="s">
        <v>7801</v>
      </c>
      <c r="G7848" s="114"/>
      <c r="H7848" s="115"/>
      <c r="I7848" s="24" t="s">
        <v>2064</v>
      </c>
      <c r="J7848" s="116">
        <v>4</v>
      </c>
      <c r="K7848" s="118">
        <v>797000</v>
      </c>
      <c r="L7848" s="119"/>
      <c r="M7848" s="118">
        <f t="shared" ref="M7848" si="11602">K7848*0.1</f>
        <v>79700</v>
      </c>
      <c r="N7848" s="119"/>
      <c r="O7848" s="118">
        <v>0</v>
      </c>
      <c r="P7848" s="119"/>
      <c r="Q7848" s="118">
        <v>8200</v>
      </c>
      <c r="R7848" s="119"/>
      <c r="S7848" s="118">
        <v>15950</v>
      </c>
      <c r="T7848" s="119"/>
      <c r="U7848" s="118">
        <f t="shared" ref="U7848" si="11603">SUM(K7848:T7849)</f>
        <v>900850</v>
      </c>
      <c r="V7848" s="122"/>
      <c r="W7848" s="124"/>
      <c r="X7848" s="126" t="s">
        <v>22237</v>
      </c>
      <c r="Y7848" s="127"/>
      <c r="Z7848" s="127"/>
      <c r="AA7848" s="127"/>
      <c r="AB7848" s="128"/>
      <c r="AC7848" s="15" t="s">
        <v>20</v>
      </c>
      <c r="AD7848" s="129"/>
      <c r="AE7848" s="130"/>
      <c r="AF7848" s="130"/>
      <c r="AG7848" s="130"/>
      <c r="AH7848" s="130"/>
      <c r="AI7848" s="131"/>
      <c r="AJ7848" s="132"/>
      <c r="AK7848" s="127"/>
      <c r="AL7848" s="128"/>
      <c r="AM7848" s="21"/>
      <c r="AN7848" s="133">
        <v>46137</v>
      </c>
      <c r="AO7848" s="134"/>
      <c r="AP7848" s="135">
        <v>1298</v>
      </c>
      <c r="AQ7848" s="136"/>
      <c r="AR7848" s="118">
        <v>825000</v>
      </c>
      <c r="AS7848" s="119"/>
      <c r="AT7848" s="118">
        <f t="shared" ref="AT7848" si="11604">AR7848*0.1</f>
        <v>82500</v>
      </c>
      <c r="AU7848" s="119"/>
      <c r="AV7848" s="118">
        <v>8200</v>
      </c>
      <c r="AW7848" s="119"/>
      <c r="AX7848" s="118">
        <f t="shared" ref="AX7848" si="11605">SUM(AR7848:AW7848)</f>
        <v>915700</v>
      </c>
      <c r="AY7848" s="119"/>
      <c r="AZ7848" s="137">
        <v>46140</v>
      </c>
    </row>
    <row r="7849" spans="1:52" ht="17.100000000000001" customHeight="1" thickBot="1">
      <c r="A7849" s="110"/>
      <c r="B7849" s="27" t="s">
        <v>3574</v>
      </c>
      <c r="C7849" s="27">
        <v>3188</v>
      </c>
      <c r="D7849" s="14" t="s">
        <v>1592</v>
      </c>
      <c r="E7849" s="112"/>
      <c r="F7849" s="139" t="s">
        <v>22214</v>
      </c>
      <c r="G7849" s="140"/>
      <c r="H7849" s="141"/>
      <c r="I7849" s="26">
        <v>39906</v>
      </c>
      <c r="J7849" s="117"/>
      <c r="K7849" s="120"/>
      <c r="L7849" s="121"/>
      <c r="M7849" s="120"/>
      <c r="N7849" s="121"/>
      <c r="O7849" s="120"/>
      <c r="P7849" s="121"/>
      <c r="Q7849" s="120"/>
      <c r="R7849" s="121"/>
      <c r="S7849" s="120"/>
      <c r="T7849" s="121"/>
      <c r="U7849" s="120"/>
      <c r="V7849" s="123"/>
      <c r="W7849" s="125"/>
      <c r="X7849" s="142" t="s">
        <v>22300</v>
      </c>
      <c r="Y7849" s="143"/>
      <c r="Z7849" s="143"/>
      <c r="AA7849" s="143"/>
      <c r="AB7849" s="144"/>
      <c r="AC7849" s="16" t="s">
        <v>21</v>
      </c>
      <c r="AD7849" s="17" t="s">
        <v>1922</v>
      </c>
      <c r="AE7849" s="145"/>
      <c r="AF7849" s="146"/>
      <c r="AG7849" s="146"/>
      <c r="AH7849" s="146"/>
      <c r="AI7849" s="147"/>
      <c r="AJ7849" s="148"/>
      <c r="AK7849" s="143"/>
      <c r="AL7849" s="144"/>
      <c r="AM7849" s="22"/>
      <c r="AN7849" s="149" t="s">
        <v>2511</v>
      </c>
      <c r="AO7849" s="144"/>
      <c r="AP7849" s="148">
        <v>60179</v>
      </c>
      <c r="AQ7849" s="144"/>
      <c r="AR7849" s="120"/>
      <c r="AS7849" s="121"/>
      <c r="AT7849" s="120"/>
      <c r="AU7849" s="121"/>
      <c r="AV7849" s="120"/>
      <c r="AW7849" s="121"/>
      <c r="AX7849" s="120"/>
      <c r="AY7849" s="121"/>
      <c r="AZ7849" s="138"/>
    </row>
    <row r="7850" spans="1:52" ht="17.100000000000001" customHeight="1" thickTop="1">
      <c r="A7850" s="109" t="s">
        <v>22116</v>
      </c>
      <c r="B7850" s="28">
        <v>46116</v>
      </c>
      <c r="C7850" s="25">
        <v>306</v>
      </c>
      <c r="D7850" s="13" t="s">
        <v>2036</v>
      </c>
      <c r="E7850" s="111"/>
      <c r="F7850" s="113" t="s">
        <v>15533</v>
      </c>
      <c r="G7850" s="114"/>
      <c r="H7850" s="115"/>
      <c r="I7850" s="24"/>
      <c r="J7850" s="116">
        <v>4</v>
      </c>
      <c r="K7850" s="118">
        <v>626000</v>
      </c>
      <c r="L7850" s="119"/>
      <c r="M7850" s="118">
        <f t="shared" ref="M7850" si="11606">K7850*0.1</f>
        <v>62600</v>
      </c>
      <c r="N7850" s="119"/>
      <c r="O7850" s="118">
        <v>0</v>
      </c>
      <c r="P7850" s="119"/>
      <c r="Q7850" s="118">
        <v>6550</v>
      </c>
      <c r="R7850" s="119"/>
      <c r="S7850" s="118">
        <v>15950</v>
      </c>
      <c r="T7850" s="119"/>
      <c r="U7850" s="118">
        <f t="shared" ref="U7850" si="11607">SUM(K7850:T7851)</f>
        <v>711100</v>
      </c>
      <c r="V7850" s="122"/>
      <c r="W7850" s="124"/>
      <c r="X7850" s="126" t="s">
        <v>22511</v>
      </c>
      <c r="Y7850" s="127"/>
      <c r="Z7850" s="127"/>
      <c r="AA7850" s="127"/>
      <c r="AB7850" s="128"/>
      <c r="AC7850" s="15" t="s">
        <v>20</v>
      </c>
      <c r="AD7850" s="129" t="s">
        <v>1670</v>
      </c>
      <c r="AE7850" s="130"/>
      <c r="AF7850" s="130"/>
      <c r="AG7850" s="130"/>
      <c r="AH7850" s="130"/>
      <c r="AI7850" s="131"/>
      <c r="AJ7850" s="132"/>
      <c r="AK7850" s="127"/>
      <c r="AL7850" s="128"/>
      <c r="AM7850" s="21"/>
      <c r="AN7850" s="133">
        <v>46137</v>
      </c>
      <c r="AO7850" s="134"/>
      <c r="AP7850" s="135">
        <v>1298</v>
      </c>
      <c r="AQ7850" s="136"/>
      <c r="AR7850" s="118">
        <v>735000</v>
      </c>
      <c r="AS7850" s="119"/>
      <c r="AT7850" s="118">
        <f t="shared" ref="AT7850" si="11608">AR7850*0.1</f>
        <v>73500</v>
      </c>
      <c r="AU7850" s="119"/>
      <c r="AV7850" s="118">
        <v>6550</v>
      </c>
      <c r="AW7850" s="119"/>
      <c r="AX7850" s="118">
        <f t="shared" ref="AX7850" si="11609">SUM(AR7850:AW7850)</f>
        <v>815050</v>
      </c>
      <c r="AY7850" s="119"/>
      <c r="AZ7850" s="137">
        <v>46140</v>
      </c>
    </row>
    <row r="7851" spans="1:52" ht="17.100000000000001" customHeight="1" thickBot="1">
      <c r="A7851" s="110"/>
      <c r="B7851" s="27" t="s">
        <v>3574</v>
      </c>
      <c r="C7851" s="27">
        <v>3259</v>
      </c>
      <c r="D7851" s="14" t="s">
        <v>1720</v>
      </c>
      <c r="E7851" s="112"/>
      <c r="F7851" s="139" t="s">
        <v>22215</v>
      </c>
      <c r="G7851" s="140"/>
      <c r="H7851" s="141"/>
      <c r="I7851" s="26">
        <v>7052</v>
      </c>
      <c r="J7851" s="117"/>
      <c r="K7851" s="120"/>
      <c r="L7851" s="121"/>
      <c r="M7851" s="120"/>
      <c r="N7851" s="121"/>
      <c r="O7851" s="120"/>
      <c r="P7851" s="121"/>
      <c r="Q7851" s="120"/>
      <c r="R7851" s="121"/>
      <c r="S7851" s="120"/>
      <c r="T7851" s="121"/>
      <c r="U7851" s="120"/>
      <c r="V7851" s="123"/>
      <c r="W7851" s="125"/>
      <c r="X7851" s="142" t="s">
        <v>7450</v>
      </c>
      <c r="Y7851" s="143"/>
      <c r="Z7851" s="143"/>
      <c r="AA7851" s="143"/>
      <c r="AB7851" s="144"/>
      <c r="AC7851" s="16" t="s">
        <v>21</v>
      </c>
      <c r="AD7851" s="17" t="s">
        <v>1795</v>
      </c>
      <c r="AE7851" s="145" t="s">
        <v>1670</v>
      </c>
      <c r="AF7851" s="146"/>
      <c r="AG7851" s="146"/>
      <c r="AH7851" s="146"/>
      <c r="AI7851" s="147"/>
      <c r="AJ7851" s="148"/>
      <c r="AK7851" s="143"/>
      <c r="AL7851" s="144"/>
      <c r="AM7851" s="22"/>
      <c r="AN7851" s="149" t="s">
        <v>2511</v>
      </c>
      <c r="AO7851" s="144"/>
      <c r="AP7851" s="148">
        <v>60176</v>
      </c>
      <c r="AQ7851" s="144"/>
      <c r="AR7851" s="120"/>
      <c r="AS7851" s="121"/>
      <c r="AT7851" s="120"/>
      <c r="AU7851" s="121"/>
      <c r="AV7851" s="120"/>
      <c r="AW7851" s="121"/>
      <c r="AX7851" s="120"/>
      <c r="AY7851" s="121"/>
      <c r="AZ7851" s="138"/>
    </row>
    <row r="7852" spans="1:52" ht="17.100000000000001" customHeight="1" thickTop="1">
      <c r="A7852" s="109" t="s">
        <v>22117</v>
      </c>
      <c r="B7852" s="28">
        <v>46116</v>
      </c>
      <c r="C7852" s="25">
        <v>306</v>
      </c>
      <c r="D7852" s="13" t="s">
        <v>1902</v>
      </c>
      <c r="E7852" s="111"/>
      <c r="F7852" s="113" t="s">
        <v>18180</v>
      </c>
      <c r="G7852" s="114"/>
      <c r="H7852" s="115"/>
      <c r="I7852" s="24"/>
      <c r="J7852" s="116">
        <v>4</v>
      </c>
      <c r="K7852" s="118">
        <v>801000</v>
      </c>
      <c r="L7852" s="119"/>
      <c r="M7852" s="118">
        <f t="shared" ref="M7852" si="11610">K7852*0.1</f>
        <v>80100</v>
      </c>
      <c r="N7852" s="119"/>
      <c r="O7852" s="118">
        <v>0</v>
      </c>
      <c r="P7852" s="119"/>
      <c r="Q7852" s="118">
        <v>7440</v>
      </c>
      <c r="R7852" s="119"/>
      <c r="S7852" s="118">
        <v>15950</v>
      </c>
      <c r="T7852" s="119"/>
      <c r="U7852" s="118">
        <f t="shared" ref="U7852" si="11611">SUM(K7852:T7853)</f>
        <v>904490</v>
      </c>
      <c r="V7852" s="122"/>
      <c r="W7852" s="124"/>
      <c r="X7852" s="126" t="s">
        <v>22299</v>
      </c>
      <c r="Y7852" s="127"/>
      <c r="Z7852" s="127"/>
      <c r="AA7852" s="127"/>
      <c r="AB7852" s="128"/>
      <c r="AC7852" s="15" t="s">
        <v>20</v>
      </c>
      <c r="AD7852" s="129"/>
      <c r="AE7852" s="130"/>
      <c r="AF7852" s="130"/>
      <c r="AG7852" s="130"/>
      <c r="AH7852" s="130"/>
      <c r="AI7852" s="131"/>
      <c r="AJ7852" s="132"/>
      <c r="AK7852" s="127"/>
      <c r="AL7852" s="128"/>
      <c r="AM7852" s="21"/>
      <c r="AN7852" s="133">
        <v>46137</v>
      </c>
      <c r="AO7852" s="134"/>
      <c r="AP7852" s="135">
        <v>1298</v>
      </c>
      <c r="AQ7852" s="136"/>
      <c r="AR7852" s="118">
        <v>870000</v>
      </c>
      <c r="AS7852" s="119"/>
      <c r="AT7852" s="118">
        <f t="shared" ref="AT7852" si="11612">AR7852*0.1</f>
        <v>87000</v>
      </c>
      <c r="AU7852" s="119"/>
      <c r="AV7852" s="118">
        <v>7440</v>
      </c>
      <c r="AW7852" s="119"/>
      <c r="AX7852" s="118">
        <f t="shared" ref="AX7852" si="11613">SUM(AR7852:AW7852)</f>
        <v>964440</v>
      </c>
      <c r="AY7852" s="119"/>
      <c r="AZ7852" s="137">
        <v>46140</v>
      </c>
    </row>
    <row r="7853" spans="1:52" ht="17.100000000000001" customHeight="1" thickBot="1">
      <c r="A7853" s="110"/>
      <c r="B7853" s="27" t="s">
        <v>3574</v>
      </c>
      <c r="C7853" s="27">
        <v>62085</v>
      </c>
      <c r="D7853" s="14" t="s">
        <v>1592</v>
      </c>
      <c r="E7853" s="112"/>
      <c r="F7853" s="139" t="s">
        <v>22216</v>
      </c>
      <c r="G7853" s="140"/>
      <c r="H7853" s="141"/>
      <c r="I7853" s="26">
        <v>51227</v>
      </c>
      <c r="J7853" s="117"/>
      <c r="K7853" s="120"/>
      <c r="L7853" s="121"/>
      <c r="M7853" s="120"/>
      <c r="N7853" s="121"/>
      <c r="O7853" s="120"/>
      <c r="P7853" s="121"/>
      <c r="Q7853" s="120"/>
      <c r="R7853" s="121"/>
      <c r="S7853" s="120"/>
      <c r="T7853" s="121"/>
      <c r="U7853" s="120"/>
      <c r="V7853" s="123"/>
      <c r="W7853" s="125"/>
      <c r="X7853" s="142" t="s">
        <v>20571</v>
      </c>
      <c r="Y7853" s="143"/>
      <c r="Z7853" s="143"/>
      <c r="AA7853" s="143"/>
      <c r="AB7853" s="144"/>
      <c r="AC7853" s="16" t="s">
        <v>21</v>
      </c>
      <c r="AD7853" s="17" t="s">
        <v>1922</v>
      </c>
      <c r="AE7853" s="145"/>
      <c r="AF7853" s="146"/>
      <c r="AG7853" s="146"/>
      <c r="AH7853" s="146"/>
      <c r="AI7853" s="147"/>
      <c r="AJ7853" s="148"/>
      <c r="AK7853" s="143"/>
      <c r="AL7853" s="144"/>
      <c r="AM7853" s="22"/>
      <c r="AN7853" s="149" t="s">
        <v>2511</v>
      </c>
      <c r="AO7853" s="144"/>
      <c r="AP7853" s="148">
        <v>41059</v>
      </c>
      <c r="AQ7853" s="144"/>
      <c r="AR7853" s="120"/>
      <c r="AS7853" s="121"/>
      <c r="AT7853" s="120"/>
      <c r="AU7853" s="121"/>
      <c r="AV7853" s="120"/>
      <c r="AW7853" s="121"/>
      <c r="AX7853" s="120"/>
      <c r="AY7853" s="121"/>
      <c r="AZ7853" s="138"/>
    </row>
    <row r="7854" spans="1:52" ht="17.100000000000001" customHeight="1" thickTop="1">
      <c r="A7854" s="109" t="s">
        <v>22118</v>
      </c>
      <c r="B7854" s="28">
        <v>46116</v>
      </c>
      <c r="C7854" s="25">
        <v>306</v>
      </c>
      <c r="D7854" s="13" t="s">
        <v>3386</v>
      </c>
      <c r="E7854" s="111"/>
      <c r="F7854" s="113" t="s">
        <v>22172</v>
      </c>
      <c r="G7854" s="114"/>
      <c r="H7854" s="115"/>
      <c r="I7854" s="24"/>
      <c r="J7854" s="116">
        <v>4.5</v>
      </c>
      <c r="K7854" s="118">
        <v>1283000</v>
      </c>
      <c r="L7854" s="119"/>
      <c r="M7854" s="118">
        <f t="shared" ref="M7854" si="11614">K7854*0.1</f>
        <v>128300</v>
      </c>
      <c r="N7854" s="119"/>
      <c r="O7854" s="118">
        <v>0</v>
      </c>
      <c r="P7854" s="119"/>
      <c r="Q7854" s="118">
        <v>9810</v>
      </c>
      <c r="R7854" s="119"/>
      <c r="S7854" s="118">
        <v>17050</v>
      </c>
      <c r="T7854" s="119"/>
      <c r="U7854" s="118">
        <f t="shared" ref="U7854" si="11615">SUM(K7854:T7855)</f>
        <v>1438160</v>
      </c>
      <c r="V7854" s="122"/>
      <c r="W7854" s="124"/>
      <c r="X7854" s="126" t="s">
        <v>22301</v>
      </c>
      <c r="Y7854" s="127"/>
      <c r="Z7854" s="127"/>
      <c r="AA7854" s="127"/>
      <c r="AB7854" s="128"/>
      <c r="AC7854" s="15" t="s">
        <v>20</v>
      </c>
      <c r="AD7854" s="129"/>
      <c r="AE7854" s="130"/>
      <c r="AF7854" s="130"/>
      <c r="AG7854" s="130"/>
      <c r="AH7854" s="130"/>
      <c r="AI7854" s="131"/>
      <c r="AJ7854" s="132"/>
      <c r="AK7854" s="127"/>
      <c r="AL7854" s="128"/>
      <c r="AM7854" s="21"/>
      <c r="AN7854" s="133"/>
      <c r="AO7854" s="134"/>
      <c r="AP7854" s="135"/>
      <c r="AQ7854" s="136"/>
      <c r="AR7854" s="118"/>
      <c r="AS7854" s="119"/>
      <c r="AT7854" s="118">
        <f t="shared" ref="AT7854" si="11616">AR7854*0.1</f>
        <v>0</v>
      </c>
      <c r="AU7854" s="119"/>
      <c r="AV7854" s="118"/>
      <c r="AW7854" s="119"/>
      <c r="AX7854" s="118">
        <f t="shared" ref="AX7854" si="11617">SUM(AR7854:AW7854)</f>
        <v>0</v>
      </c>
      <c r="AY7854" s="119"/>
      <c r="AZ7854" s="137"/>
    </row>
    <row r="7855" spans="1:52" ht="17.100000000000001" customHeight="1" thickBot="1">
      <c r="A7855" s="110"/>
      <c r="B7855" s="27" t="s">
        <v>3574</v>
      </c>
      <c r="C7855" s="27">
        <v>76040</v>
      </c>
      <c r="D7855" s="14" t="s">
        <v>275</v>
      </c>
      <c r="E7855" s="112"/>
      <c r="F7855" s="139" t="s">
        <v>22219</v>
      </c>
      <c r="G7855" s="140"/>
      <c r="H7855" s="141"/>
      <c r="I7855" s="26">
        <v>57453</v>
      </c>
      <c r="J7855" s="117"/>
      <c r="K7855" s="120"/>
      <c r="L7855" s="121"/>
      <c r="M7855" s="120"/>
      <c r="N7855" s="121"/>
      <c r="O7855" s="120"/>
      <c r="P7855" s="121"/>
      <c r="Q7855" s="120"/>
      <c r="R7855" s="121"/>
      <c r="S7855" s="120"/>
      <c r="T7855" s="121"/>
      <c r="U7855" s="120"/>
      <c r="V7855" s="123"/>
      <c r="W7855" s="125"/>
      <c r="X7855" s="142" t="s">
        <v>11158</v>
      </c>
      <c r="Y7855" s="143"/>
      <c r="Z7855" s="143"/>
      <c r="AA7855" s="143"/>
      <c r="AB7855" s="144"/>
      <c r="AC7855" s="16" t="s">
        <v>21</v>
      </c>
      <c r="AD7855" s="17" t="s">
        <v>1922</v>
      </c>
      <c r="AE7855" s="145" t="s">
        <v>22607</v>
      </c>
      <c r="AF7855" s="146"/>
      <c r="AG7855" s="146"/>
      <c r="AH7855" s="146"/>
      <c r="AI7855" s="147"/>
      <c r="AJ7855" s="148"/>
      <c r="AK7855" s="143"/>
      <c r="AL7855" s="144"/>
      <c r="AM7855" s="22"/>
      <c r="AN7855" s="149"/>
      <c r="AO7855" s="144"/>
      <c r="AP7855" s="148"/>
      <c r="AQ7855" s="144"/>
      <c r="AR7855" s="120"/>
      <c r="AS7855" s="121"/>
      <c r="AT7855" s="120"/>
      <c r="AU7855" s="121"/>
      <c r="AV7855" s="120"/>
      <c r="AW7855" s="121"/>
      <c r="AX7855" s="120"/>
      <c r="AY7855" s="121"/>
      <c r="AZ7855" s="138"/>
    </row>
    <row r="7856" spans="1:52" ht="17.100000000000001" customHeight="1" thickTop="1">
      <c r="A7856" s="109" t="s">
        <v>22119</v>
      </c>
      <c r="B7856" s="28">
        <v>46116</v>
      </c>
      <c r="C7856" s="25">
        <v>306</v>
      </c>
      <c r="D7856" s="13" t="s">
        <v>2737</v>
      </c>
      <c r="E7856" s="111"/>
      <c r="F7856" s="113" t="s">
        <v>22172</v>
      </c>
      <c r="G7856" s="114"/>
      <c r="H7856" s="115"/>
      <c r="I7856" s="24"/>
      <c r="J7856" s="116">
        <v>4</v>
      </c>
      <c r="K7856" s="118">
        <v>1157000</v>
      </c>
      <c r="L7856" s="119"/>
      <c r="M7856" s="118">
        <f t="shared" ref="M7856" si="11618">K7856*0.1</f>
        <v>115700</v>
      </c>
      <c r="N7856" s="119"/>
      <c r="O7856" s="118">
        <v>0</v>
      </c>
      <c r="P7856" s="119"/>
      <c r="Q7856" s="118">
        <v>9810</v>
      </c>
      <c r="R7856" s="119"/>
      <c r="S7856" s="118">
        <v>17050</v>
      </c>
      <c r="T7856" s="119"/>
      <c r="U7856" s="118">
        <f t="shared" ref="U7856" si="11619">SUM(K7856:T7857)</f>
        <v>1299560</v>
      </c>
      <c r="V7856" s="122"/>
      <c r="W7856" s="124"/>
      <c r="X7856" s="126" t="s">
        <v>22303</v>
      </c>
      <c r="Y7856" s="127"/>
      <c r="Z7856" s="127"/>
      <c r="AA7856" s="127"/>
      <c r="AB7856" s="128"/>
      <c r="AC7856" s="15" t="s">
        <v>20</v>
      </c>
      <c r="AD7856" s="129"/>
      <c r="AE7856" s="130"/>
      <c r="AF7856" s="130"/>
      <c r="AG7856" s="130"/>
      <c r="AH7856" s="130"/>
      <c r="AI7856" s="131"/>
      <c r="AJ7856" s="132"/>
      <c r="AK7856" s="127"/>
      <c r="AL7856" s="128"/>
      <c r="AM7856" s="21"/>
      <c r="AN7856" s="133">
        <v>46137</v>
      </c>
      <c r="AO7856" s="134"/>
      <c r="AP7856" s="135">
        <v>1298</v>
      </c>
      <c r="AQ7856" s="136"/>
      <c r="AR7856" s="118">
        <v>1250000</v>
      </c>
      <c r="AS7856" s="119"/>
      <c r="AT7856" s="118">
        <f t="shared" ref="AT7856" si="11620">AR7856*0.1</f>
        <v>125000</v>
      </c>
      <c r="AU7856" s="119"/>
      <c r="AV7856" s="118">
        <v>9810</v>
      </c>
      <c r="AW7856" s="119"/>
      <c r="AX7856" s="118">
        <f t="shared" ref="AX7856" si="11621">SUM(AR7856:AW7856)</f>
        <v>1384810</v>
      </c>
      <c r="AY7856" s="119"/>
      <c r="AZ7856" s="137">
        <v>46140</v>
      </c>
    </row>
    <row r="7857" spans="1:52" ht="17.100000000000001" customHeight="1" thickBot="1">
      <c r="A7857" s="110"/>
      <c r="B7857" s="27" t="s">
        <v>3574</v>
      </c>
      <c r="C7857" s="27">
        <v>76042</v>
      </c>
      <c r="D7857" s="14" t="s">
        <v>1592</v>
      </c>
      <c r="E7857" s="112"/>
      <c r="F7857" s="139" t="s">
        <v>22218</v>
      </c>
      <c r="G7857" s="140"/>
      <c r="H7857" s="141"/>
      <c r="I7857" s="26">
        <v>51002</v>
      </c>
      <c r="J7857" s="117"/>
      <c r="K7857" s="120"/>
      <c r="L7857" s="121"/>
      <c r="M7857" s="120"/>
      <c r="N7857" s="121"/>
      <c r="O7857" s="120"/>
      <c r="P7857" s="121"/>
      <c r="Q7857" s="120"/>
      <c r="R7857" s="121"/>
      <c r="S7857" s="120"/>
      <c r="T7857" s="121"/>
      <c r="U7857" s="120"/>
      <c r="V7857" s="123"/>
      <c r="W7857" s="125"/>
      <c r="X7857" s="142" t="s">
        <v>11158</v>
      </c>
      <c r="Y7857" s="143"/>
      <c r="Z7857" s="143"/>
      <c r="AA7857" s="143"/>
      <c r="AB7857" s="144"/>
      <c r="AC7857" s="16" t="s">
        <v>21</v>
      </c>
      <c r="AD7857" s="17" t="s">
        <v>1922</v>
      </c>
      <c r="AE7857" s="145" t="s">
        <v>22607</v>
      </c>
      <c r="AF7857" s="146"/>
      <c r="AG7857" s="146"/>
      <c r="AH7857" s="146"/>
      <c r="AI7857" s="147"/>
      <c r="AJ7857" s="148"/>
      <c r="AK7857" s="143"/>
      <c r="AL7857" s="144"/>
      <c r="AM7857" s="22"/>
      <c r="AN7857" s="149" t="s">
        <v>7284</v>
      </c>
      <c r="AO7857" s="144"/>
      <c r="AP7857" s="148">
        <v>55084</v>
      </c>
      <c r="AQ7857" s="144"/>
      <c r="AR7857" s="120"/>
      <c r="AS7857" s="121"/>
      <c r="AT7857" s="120"/>
      <c r="AU7857" s="121"/>
      <c r="AV7857" s="120"/>
      <c r="AW7857" s="121"/>
      <c r="AX7857" s="120"/>
      <c r="AY7857" s="121"/>
      <c r="AZ7857" s="138"/>
    </row>
    <row r="7858" spans="1:52" ht="17.100000000000001" customHeight="1" thickTop="1">
      <c r="A7858" s="109" t="s">
        <v>22120</v>
      </c>
      <c r="B7858" s="28">
        <v>46116</v>
      </c>
      <c r="C7858" s="25">
        <v>1295</v>
      </c>
      <c r="D7858" s="13" t="s">
        <v>2009</v>
      </c>
      <c r="E7858" s="111"/>
      <c r="F7858" s="113" t="s">
        <v>17835</v>
      </c>
      <c r="G7858" s="114"/>
      <c r="H7858" s="115"/>
      <c r="I7858" s="24" t="s">
        <v>21600</v>
      </c>
      <c r="J7858" s="116">
        <v>4.5</v>
      </c>
      <c r="K7858" s="118">
        <v>1000000</v>
      </c>
      <c r="L7858" s="119"/>
      <c r="M7858" s="118">
        <v>0</v>
      </c>
      <c r="N7858" s="119"/>
      <c r="O7858" s="118">
        <v>0</v>
      </c>
      <c r="P7858" s="119"/>
      <c r="Q7858" s="118">
        <v>8630</v>
      </c>
      <c r="R7858" s="119"/>
      <c r="S7858" s="118">
        <v>13200</v>
      </c>
      <c r="T7858" s="119"/>
      <c r="U7858" s="118">
        <f t="shared" ref="U7858" si="11622">SUM(K7858:T7859)</f>
        <v>1021830</v>
      </c>
      <c r="V7858" s="122"/>
      <c r="W7858" s="124"/>
      <c r="X7858" s="126" t="s">
        <v>22934</v>
      </c>
      <c r="Y7858" s="127"/>
      <c r="Z7858" s="127"/>
      <c r="AA7858" s="127"/>
      <c r="AB7858" s="128"/>
      <c r="AC7858" s="15" t="s">
        <v>20</v>
      </c>
      <c r="AD7858" s="129" t="s">
        <v>21601</v>
      </c>
      <c r="AE7858" s="130"/>
      <c r="AF7858" s="130"/>
      <c r="AG7858" s="130"/>
      <c r="AH7858" s="130"/>
      <c r="AI7858" s="131"/>
      <c r="AJ7858" s="132"/>
      <c r="AK7858" s="127"/>
      <c r="AL7858" s="128"/>
      <c r="AM7858" s="21"/>
      <c r="AN7858" s="133">
        <v>46130</v>
      </c>
      <c r="AO7858" s="134"/>
      <c r="AP7858" s="135">
        <v>1297</v>
      </c>
      <c r="AQ7858" s="136"/>
      <c r="AR7858" s="118">
        <v>1030000</v>
      </c>
      <c r="AS7858" s="119"/>
      <c r="AT7858" s="118">
        <v>0</v>
      </c>
      <c r="AU7858" s="119"/>
      <c r="AV7858" s="118">
        <v>8630</v>
      </c>
      <c r="AW7858" s="119"/>
      <c r="AX7858" s="118">
        <f t="shared" ref="AX7858" si="11623">SUM(AR7858:AW7858)</f>
        <v>1038630</v>
      </c>
      <c r="AY7858" s="119"/>
      <c r="AZ7858" s="137">
        <v>46133</v>
      </c>
    </row>
    <row r="7859" spans="1:52" ht="17.100000000000001" customHeight="1" thickBot="1">
      <c r="A7859" s="110"/>
      <c r="B7859" s="27" t="s">
        <v>2511</v>
      </c>
      <c r="C7859" s="27">
        <v>31438</v>
      </c>
      <c r="D7859" s="14" t="s">
        <v>1592</v>
      </c>
      <c r="E7859" s="112"/>
      <c r="F7859" s="139" t="s">
        <v>22220</v>
      </c>
      <c r="G7859" s="140"/>
      <c r="H7859" s="141"/>
      <c r="I7859" s="26">
        <v>23140</v>
      </c>
      <c r="J7859" s="117"/>
      <c r="K7859" s="120"/>
      <c r="L7859" s="121"/>
      <c r="M7859" s="120"/>
      <c r="N7859" s="121"/>
      <c r="O7859" s="120"/>
      <c r="P7859" s="121"/>
      <c r="Q7859" s="120"/>
      <c r="R7859" s="121"/>
      <c r="S7859" s="120"/>
      <c r="T7859" s="121"/>
      <c r="U7859" s="120"/>
      <c r="V7859" s="123"/>
      <c r="W7859" s="125"/>
      <c r="X7859" s="142" t="s">
        <v>3884</v>
      </c>
      <c r="Y7859" s="143"/>
      <c r="Z7859" s="143"/>
      <c r="AA7859" s="143"/>
      <c r="AB7859" s="144"/>
      <c r="AC7859" s="16" t="s">
        <v>21</v>
      </c>
      <c r="AD7859" s="17" t="s">
        <v>3461</v>
      </c>
      <c r="AE7859" s="145" t="s">
        <v>22935</v>
      </c>
      <c r="AF7859" s="146"/>
      <c r="AG7859" s="146"/>
      <c r="AH7859" s="146"/>
      <c r="AI7859" s="147"/>
      <c r="AJ7859" s="148"/>
      <c r="AK7859" s="143"/>
      <c r="AL7859" s="144"/>
      <c r="AM7859" s="22"/>
      <c r="AN7859" s="149" t="s">
        <v>2511</v>
      </c>
      <c r="AO7859" s="144"/>
      <c r="AP7859" s="148">
        <v>60125</v>
      </c>
      <c r="AQ7859" s="144"/>
      <c r="AR7859" s="120"/>
      <c r="AS7859" s="121"/>
      <c r="AT7859" s="120"/>
      <c r="AU7859" s="121"/>
      <c r="AV7859" s="120"/>
      <c r="AW7859" s="121"/>
      <c r="AX7859" s="120"/>
      <c r="AY7859" s="121"/>
      <c r="AZ7859" s="138"/>
    </row>
    <row r="7860" spans="1:52" ht="17.100000000000001" customHeight="1" thickTop="1">
      <c r="A7860" s="109" t="s">
        <v>22121</v>
      </c>
      <c r="B7860" s="28">
        <v>46116</v>
      </c>
      <c r="C7860" s="25">
        <v>1295</v>
      </c>
      <c r="D7860" s="13" t="s">
        <v>1845</v>
      </c>
      <c r="E7860" s="111"/>
      <c r="F7860" s="113" t="s">
        <v>15969</v>
      </c>
      <c r="G7860" s="114"/>
      <c r="H7860" s="115"/>
      <c r="I7860" s="24" t="s">
        <v>5623</v>
      </c>
      <c r="J7860" s="116">
        <v>4</v>
      </c>
      <c r="K7860" s="118">
        <v>1855000</v>
      </c>
      <c r="L7860" s="119"/>
      <c r="M7860" s="118">
        <f t="shared" ref="M7860" si="11624">K7860*0.1</f>
        <v>185500</v>
      </c>
      <c r="N7860" s="119"/>
      <c r="O7860" s="118">
        <v>36300</v>
      </c>
      <c r="P7860" s="119"/>
      <c r="Q7860" s="118">
        <v>9830</v>
      </c>
      <c r="R7860" s="119"/>
      <c r="S7860" s="118">
        <v>12100</v>
      </c>
      <c r="T7860" s="119"/>
      <c r="U7860" s="118">
        <f t="shared" ref="U7860" si="11625">SUM(K7860:T7861)</f>
        <v>2098730</v>
      </c>
      <c r="V7860" s="122"/>
      <c r="W7860" s="124"/>
      <c r="X7860" s="126" t="s">
        <v>22228</v>
      </c>
      <c r="Y7860" s="127"/>
      <c r="Z7860" s="127"/>
      <c r="AA7860" s="127"/>
      <c r="AB7860" s="128"/>
      <c r="AC7860" s="15" t="s">
        <v>20</v>
      </c>
      <c r="AD7860" s="129" t="s">
        <v>22229</v>
      </c>
      <c r="AE7860" s="130"/>
      <c r="AF7860" s="130"/>
      <c r="AG7860" s="130"/>
      <c r="AH7860" s="130"/>
      <c r="AI7860" s="131"/>
      <c r="AJ7860" s="132"/>
      <c r="AK7860" s="127"/>
      <c r="AL7860" s="128"/>
      <c r="AM7860" s="21"/>
      <c r="AN7860" s="133">
        <v>46127</v>
      </c>
      <c r="AO7860" s="134"/>
      <c r="AP7860" s="135">
        <v>1013</v>
      </c>
      <c r="AQ7860" s="136"/>
      <c r="AR7860" s="118">
        <v>1990000</v>
      </c>
      <c r="AS7860" s="119"/>
      <c r="AT7860" s="118">
        <f t="shared" ref="AT7860" si="11626">AR7860*0.1</f>
        <v>199000</v>
      </c>
      <c r="AU7860" s="119"/>
      <c r="AV7860" s="118">
        <v>9830</v>
      </c>
      <c r="AW7860" s="119"/>
      <c r="AX7860" s="118">
        <f t="shared" ref="AX7860" si="11627">SUM(AR7860:AW7860)</f>
        <v>2198830</v>
      </c>
      <c r="AY7860" s="119"/>
      <c r="AZ7860" s="137">
        <v>46133</v>
      </c>
    </row>
    <row r="7861" spans="1:52" ht="17.100000000000001" customHeight="1" thickBot="1">
      <c r="A7861" s="110"/>
      <c r="B7861" s="27" t="s">
        <v>2511</v>
      </c>
      <c r="C7861" s="27">
        <v>31581</v>
      </c>
      <c r="D7861" s="14" t="s">
        <v>275</v>
      </c>
      <c r="E7861" s="112"/>
      <c r="F7861" s="139" t="s">
        <v>22221</v>
      </c>
      <c r="G7861" s="140"/>
      <c r="H7861" s="141"/>
      <c r="I7861" s="26">
        <v>55017</v>
      </c>
      <c r="J7861" s="117"/>
      <c r="K7861" s="120"/>
      <c r="L7861" s="121"/>
      <c r="M7861" s="120"/>
      <c r="N7861" s="121"/>
      <c r="O7861" s="120"/>
      <c r="P7861" s="121"/>
      <c r="Q7861" s="120"/>
      <c r="R7861" s="121"/>
      <c r="S7861" s="120"/>
      <c r="T7861" s="121"/>
      <c r="U7861" s="120"/>
      <c r="V7861" s="123"/>
      <c r="W7861" s="125"/>
      <c r="X7861" s="142" t="s">
        <v>22936</v>
      </c>
      <c r="Y7861" s="143"/>
      <c r="Z7861" s="143"/>
      <c r="AA7861" s="143"/>
      <c r="AB7861" s="144"/>
      <c r="AC7861" s="16" t="s">
        <v>21</v>
      </c>
      <c r="AD7861" s="17" t="s">
        <v>3461</v>
      </c>
      <c r="AE7861" s="145" t="s">
        <v>22937</v>
      </c>
      <c r="AF7861" s="146"/>
      <c r="AG7861" s="146"/>
      <c r="AH7861" s="146"/>
      <c r="AI7861" s="147"/>
      <c r="AJ7861" s="148"/>
      <c r="AK7861" s="143"/>
      <c r="AL7861" s="144"/>
      <c r="AM7861" s="22"/>
      <c r="AN7861" s="149" t="s">
        <v>7285</v>
      </c>
      <c r="AO7861" s="144"/>
      <c r="AP7861" s="148">
        <v>6092</v>
      </c>
      <c r="AQ7861" s="144"/>
      <c r="AR7861" s="120"/>
      <c r="AS7861" s="121"/>
      <c r="AT7861" s="120"/>
      <c r="AU7861" s="121"/>
      <c r="AV7861" s="120"/>
      <c r="AW7861" s="121"/>
      <c r="AX7861" s="120"/>
      <c r="AY7861" s="121"/>
      <c r="AZ7861" s="138"/>
    </row>
    <row r="7862" spans="1:52" ht="17.100000000000001" customHeight="1" thickTop="1">
      <c r="A7862" s="109" t="s">
        <v>22122</v>
      </c>
      <c r="B7862" s="28">
        <v>46116</v>
      </c>
      <c r="C7862" s="25">
        <v>1295</v>
      </c>
      <c r="D7862" s="13" t="s">
        <v>1586</v>
      </c>
      <c r="E7862" s="111"/>
      <c r="F7862" s="113" t="s">
        <v>22222</v>
      </c>
      <c r="G7862" s="114"/>
      <c r="H7862" s="115"/>
      <c r="I7862" s="24" t="s">
        <v>6834</v>
      </c>
      <c r="J7862" s="116">
        <v>4</v>
      </c>
      <c r="K7862" s="118">
        <v>725000</v>
      </c>
      <c r="L7862" s="119"/>
      <c r="M7862" s="118">
        <f t="shared" ref="M7862" si="11628">K7862*0.1</f>
        <v>72500</v>
      </c>
      <c r="N7862" s="119"/>
      <c r="O7862" s="118">
        <v>34760</v>
      </c>
      <c r="P7862" s="119"/>
      <c r="Q7862" s="118">
        <v>9130</v>
      </c>
      <c r="R7862" s="119"/>
      <c r="S7862" s="118">
        <v>12100</v>
      </c>
      <c r="T7862" s="119"/>
      <c r="U7862" s="118">
        <f t="shared" ref="U7862" si="11629">SUM(K7862:T7863)</f>
        <v>853490</v>
      </c>
      <c r="V7862" s="122"/>
      <c r="W7862" s="124"/>
      <c r="X7862" s="126" t="s">
        <v>22230</v>
      </c>
      <c r="Y7862" s="127"/>
      <c r="Z7862" s="127"/>
      <c r="AA7862" s="127"/>
      <c r="AB7862" s="128"/>
      <c r="AC7862" s="15" t="s">
        <v>20</v>
      </c>
      <c r="AD7862" s="129"/>
      <c r="AE7862" s="130"/>
      <c r="AF7862" s="130"/>
      <c r="AG7862" s="130"/>
      <c r="AH7862" s="130"/>
      <c r="AI7862" s="131"/>
      <c r="AJ7862" s="132"/>
      <c r="AK7862" s="127"/>
      <c r="AL7862" s="128"/>
      <c r="AM7862" s="21"/>
      <c r="AN7862" s="133">
        <v>46120</v>
      </c>
      <c r="AO7862" s="134"/>
      <c r="AP7862" s="135">
        <v>1012</v>
      </c>
      <c r="AQ7862" s="136"/>
      <c r="AR7862" s="118">
        <v>795000</v>
      </c>
      <c r="AS7862" s="119"/>
      <c r="AT7862" s="118">
        <f t="shared" ref="AT7862" si="11630">AR7862*0.1</f>
        <v>79500</v>
      </c>
      <c r="AU7862" s="119"/>
      <c r="AV7862" s="118">
        <v>9130</v>
      </c>
      <c r="AW7862" s="119"/>
      <c r="AX7862" s="118">
        <f t="shared" ref="AX7862" si="11631">SUM(AR7862:AW7862)</f>
        <v>883630</v>
      </c>
      <c r="AY7862" s="119"/>
      <c r="AZ7862" s="137">
        <v>46126</v>
      </c>
    </row>
    <row r="7863" spans="1:52" ht="17.100000000000001" customHeight="1" thickBot="1">
      <c r="A7863" s="110"/>
      <c r="B7863" s="27" t="s">
        <v>2511</v>
      </c>
      <c r="C7863" s="27">
        <v>37252</v>
      </c>
      <c r="D7863" s="14" t="s">
        <v>1635</v>
      </c>
      <c r="E7863" s="112"/>
      <c r="F7863" s="139" t="s">
        <v>22223</v>
      </c>
      <c r="G7863" s="140"/>
      <c r="H7863" s="141"/>
      <c r="I7863" s="26">
        <v>74941</v>
      </c>
      <c r="J7863" s="117"/>
      <c r="K7863" s="120"/>
      <c r="L7863" s="121"/>
      <c r="M7863" s="120"/>
      <c r="N7863" s="121"/>
      <c r="O7863" s="120"/>
      <c r="P7863" s="121"/>
      <c r="Q7863" s="120"/>
      <c r="R7863" s="121"/>
      <c r="S7863" s="120"/>
      <c r="T7863" s="121"/>
      <c r="U7863" s="120"/>
      <c r="V7863" s="123"/>
      <c r="W7863" s="125"/>
      <c r="X7863" s="142" t="s">
        <v>22932</v>
      </c>
      <c r="Y7863" s="143"/>
      <c r="Z7863" s="143"/>
      <c r="AA7863" s="143"/>
      <c r="AB7863" s="144"/>
      <c r="AC7863" s="16" t="s">
        <v>21</v>
      </c>
      <c r="AD7863" s="17" t="s">
        <v>3461</v>
      </c>
      <c r="AE7863" s="145" t="s">
        <v>22933</v>
      </c>
      <c r="AF7863" s="146"/>
      <c r="AG7863" s="146"/>
      <c r="AH7863" s="146"/>
      <c r="AI7863" s="147"/>
      <c r="AJ7863" s="148"/>
      <c r="AK7863" s="143"/>
      <c r="AL7863" s="144"/>
      <c r="AM7863" s="22"/>
      <c r="AN7863" s="149" t="s">
        <v>2794</v>
      </c>
      <c r="AO7863" s="144"/>
      <c r="AP7863" s="148">
        <v>5170</v>
      </c>
      <c r="AQ7863" s="144"/>
      <c r="AR7863" s="120"/>
      <c r="AS7863" s="121"/>
      <c r="AT7863" s="120"/>
      <c r="AU7863" s="121"/>
      <c r="AV7863" s="120"/>
      <c r="AW7863" s="121"/>
      <c r="AX7863" s="120"/>
      <c r="AY7863" s="121"/>
      <c r="AZ7863" s="138"/>
    </row>
    <row r="7864" spans="1:52" ht="17.100000000000001" customHeight="1" thickTop="1">
      <c r="A7864" s="109" t="s">
        <v>22123</v>
      </c>
      <c r="B7864" s="28">
        <v>46116</v>
      </c>
      <c r="C7864" s="25">
        <v>1295</v>
      </c>
      <c r="D7864" s="13" t="s">
        <v>4860</v>
      </c>
      <c r="E7864" s="111"/>
      <c r="F7864" s="113" t="s">
        <v>1938</v>
      </c>
      <c r="G7864" s="114"/>
      <c r="H7864" s="115"/>
      <c r="I7864" s="24" t="s">
        <v>22232</v>
      </c>
      <c r="J7864" s="116">
        <v>4</v>
      </c>
      <c r="K7864" s="118">
        <v>343000</v>
      </c>
      <c r="L7864" s="119"/>
      <c r="M7864" s="118">
        <f t="shared" ref="M7864" si="11632">K7864*0.1</f>
        <v>34300</v>
      </c>
      <c r="N7864" s="119"/>
      <c r="O7864" s="118">
        <v>34760</v>
      </c>
      <c r="P7864" s="119"/>
      <c r="Q7864" s="118">
        <v>17700</v>
      </c>
      <c r="R7864" s="119"/>
      <c r="S7864" s="118">
        <v>9900</v>
      </c>
      <c r="T7864" s="119"/>
      <c r="U7864" s="118">
        <f t="shared" ref="U7864" si="11633">SUM(K7864:T7865)</f>
        <v>439660</v>
      </c>
      <c r="V7864" s="122"/>
      <c r="W7864" s="124"/>
      <c r="X7864" s="126" t="s">
        <v>22233</v>
      </c>
      <c r="Y7864" s="127"/>
      <c r="Z7864" s="127"/>
      <c r="AA7864" s="127"/>
      <c r="AB7864" s="128"/>
      <c r="AC7864" s="15" t="s">
        <v>20</v>
      </c>
      <c r="AD7864" s="129"/>
      <c r="AE7864" s="130"/>
      <c r="AF7864" s="130"/>
      <c r="AG7864" s="130"/>
      <c r="AH7864" s="130"/>
      <c r="AI7864" s="131"/>
      <c r="AJ7864" s="132"/>
      <c r="AK7864" s="127"/>
      <c r="AL7864" s="128"/>
      <c r="AM7864" s="21"/>
      <c r="AN7864" s="133">
        <v>46144</v>
      </c>
      <c r="AO7864" s="134"/>
      <c r="AP7864" s="135">
        <v>1299</v>
      </c>
      <c r="AQ7864" s="136"/>
      <c r="AR7864" s="118">
        <v>460000</v>
      </c>
      <c r="AS7864" s="119"/>
      <c r="AT7864" s="118">
        <f t="shared" ref="AT7864" si="11634">AR7864*0.1</f>
        <v>46000</v>
      </c>
      <c r="AU7864" s="119"/>
      <c r="AV7864" s="118">
        <v>17700</v>
      </c>
      <c r="AW7864" s="119"/>
      <c r="AX7864" s="118">
        <f t="shared" ref="AX7864" si="11635">SUM(AR7864:AW7864)</f>
        <v>523700</v>
      </c>
      <c r="AY7864" s="119"/>
      <c r="AZ7864" s="137">
        <v>46154</v>
      </c>
    </row>
    <row r="7865" spans="1:52" ht="17.100000000000001" customHeight="1" thickBot="1">
      <c r="A7865" s="110"/>
      <c r="B7865" s="27" t="s">
        <v>2511</v>
      </c>
      <c r="C7865" s="27">
        <v>53693</v>
      </c>
      <c r="D7865" s="14" t="s">
        <v>2325</v>
      </c>
      <c r="E7865" s="112"/>
      <c r="F7865" s="139" t="s">
        <v>22231</v>
      </c>
      <c r="G7865" s="140"/>
      <c r="H7865" s="141"/>
      <c r="I7865" s="26">
        <v>64681</v>
      </c>
      <c r="J7865" s="117"/>
      <c r="K7865" s="120"/>
      <c r="L7865" s="121"/>
      <c r="M7865" s="120"/>
      <c r="N7865" s="121"/>
      <c r="O7865" s="120"/>
      <c r="P7865" s="121"/>
      <c r="Q7865" s="120"/>
      <c r="R7865" s="121"/>
      <c r="S7865" s="120"/>
      <c r="T7865" s="121"/>
      <c r="U7865" s="120"/>
      <c r="V7865" s="123"/>
      <c r="W7865" s="125"/>
      <c r="X7865" s="142" t="s">
        <v>12698</v>
      </c>
      <c r="Y7865" s="143"/>
      <c r="Z7865" s="143"/>
      <c r="AA7865" s="143"/>
      <c r="AB7865" s="144"/>
      <c r="AC7865" s="16" t="s">
        <v>21</v>
      </c>
      <c r="AD7865" s="17" t="s">
        <v>3461</v>
      </c>
      <c r="AE7865" s="145" t="s">
        <v>19445</v>
      </c>
      <c r="AF7865" s="146"/>
      <c r="AG7865" s="146"/>
      <c r="AH7865" s="146"/>
      <c r="AI7865" s="147"/>
      <c r="AJ7865" s="148"/>
      <c r="AK7865" s="143"/>
      <c r="AL7865" s="144"/>
      <c r="AM7865" s="22"/>
      <c r="AN7865" s="149" t="s">
        <v>25047</v>
      </c>
      <c r="AO7865" s="144"/>
      <c r="AP7865" s="148">
        <v>80161</v>
      </c>
      <c r="AQ7865" s="144"/>
      <c r="AR7865" s="120"/>
      <c r="AS7865" s="121"/>
      <c r="AT7865" s="120"/>
      <c r="AU7865" s="121"/>
      <c r="AV7865" s="120"/>
      <c r="AW7865" s="121"/>
      <c r="AX7865" s="120"/>
      <c r="AY7865" s="121"/>
      <c r="AZ7865" s="138"/>
    </row>
    <row r="7866" spans="1:52" ht="17.100000000000001" customHeight="1" thickTop="1">
      <c r="A7866" s="109" t="s">
        <v>22124</v>
      </c>
      <c r="B7866" s="28">
        <v>46116</v>
      </c>
      <c r="C7866" s="25">
        <v>1295</v>
      </c>
      <c r="D7866" s="13" t="s">
        <v>1688</v>
      </c>
      <c r="E7866" s="111"/>
      <c r="F7866" s="113" t="s">
        <v>19705</v>
      </c>
      <c r="G7866" s="114"/>
      <c r="H7866" s="115"/>
      <c r="I7866" s="24" t="s">
        <v>22234</v>
      </c>
      <c r="J7866" s="116">
        <v>4.5</v>
      </c>
      <c r="K7866" s="118">
        <v>1120000</v>
      </c>
      <c r="L7866" s="119"/>
      <c r="M7866" s="118">
        <f t="shared" ref="M7866" si="11636">K7866*0.1</f>
        <v>112000</v>
      </c>
      <c r="N7866" s="119"/>
      <c r="O7866" s="118">
        <v>0</v>
      </c>
      <c r="P7866" s="119"/>
      <c r="Q7866" s="118">
        <v>8200</v>
      </c>
      <c r="R7866" s="119"/>
      <c r="S7866" s="118">
        <v>9900</v>
      </c>
      <c r="T7866" s="119"/>
      <c r="U7866" s="118">
        <f t="shared" ref="U7866" si="11637">SUM(K7866:T7867)</f>
        <v>1250100</v>
      </c>
      <c r="V7866" s="122"/>
      <c r="W7866" s="124"/>
      <c r="X7866" s="126" t="s">
        <v>22235</v>
      </c>
      <c r="Y7866" s="127"/>
      <c r="Z7866" s="127"/>
      <c r="AA7866" s="127"/>
      <c r="AB7866" s="128"/>
      <c r="AC7866" s="15" t="s">
        <v>20</v>
      </c>
      <c r="AD7866" s="129" t="s">
        <v>7231</v>
      </c>
      <c r="AE7866" s="130"/>
      <c r="AF7866" s="130"/>
      <c r="AG7866" s="130"/>
      <c r="AH7866" s="130"/>
      <c r="AI7866" s="131"/>
      <c r="AJ7866" s="132"/>
      <c r="AK7866" s="127"/>
      <c r="AL7866" s="128"/>
      <c r="AM7866" s="21"/>
      <c r="AN7866" s="133">
        <v>46120</v>
      </c>
      <c r="AO7866" s="134"/>
      <c r="AP7866" s="135">
        <v>1012</v>
      </c>
      <c r="AQ7866" s="136"/>
      <c r="AR7866" s="118">
        <v>1210000</v>
      </c>
      <c r="AS7866" s="119"/>
      <c r="AT7866" s="118">
        <f t="shared" ref="AT7866" si="11638">AR7866*0.1</f>
        <v>121000</v>
      </c>
      <c r="AU7866" s="119"/>
      <c r="AV7866" s="118">
        <v>8200</v>
      </c>
      <c r="AW7866" s="119"/>
      <c r="AX7866" s="118">
        <f t="shared" ref="AX7866" si="11639">SUM(AR7866:AW7866)</f>
        <v>1339200</v>
      </c>
      <c r="AY7866" s="119"/>
      <c r="AZ7866" s="137">
        <v>46126</v>
      </c>
    </row>
    <row r="7867" spans="1:52" ht="17.100000000000001" customHeight="1" thickBot="1">
      <c r="A7867" s="110"/>
      <c r="B7867" s="27" t="s">
        <v>2511</v>
      </c>
      <c r="C7867" s="27">
        <v>60556</v>
      </c>
      <c r="D7867" s="14" t="s">
        <v>2800</v>
      </c>
      <c r="E7867" s="112"/>
      <c r="F7867" s="139" t="s">
        <v>22224</v>
      </c>
      <c r="G7867" s="140"/>
      <c r="H7867" s="141"/>
      <c r="I7867" s="26">
        <v>18133</v>
      </c>
      <c r="J7867" s="117"/>
      <c r="K7867" s="120"/>
      <c r="L7867" s="121"/>
      <c r="M7867" s="120"/>
      <c r="N7867" s="121"/>
      <c r="O7867" s="120"/>
      <c r="P7867" s="121"/>
      <c r="Q7867" s="120"/>
      <c r="R7867" s="121"/>
      <c r="S7867" s="120"/>
      <c r="T7867" s="121"/>
      <c r="U7867" s="120"/>
      <c r="V7867" s="123"/>
      <c r="W7867" s="125"/>
      <c r="X7867" s="142" t="s">
        <v>17978</v>
      </c>
      <c r="Y7867" s="143"/>
      <c r="Z7867" s="143"/>
      <c r="AA7867" s="143"/>
      <c r="AB7867" s="144"/>
      <c r="AC7867" s="16" t="s">
        <v>21</v>
      </c>
      <c r="AD7867" s="17" t="s">
        <v>3461</v>
      </c>
      <c r="AE7867" s="145" t="s">
        <v>22930</v>
      </c>
      <c r="AF7867" s="146"/>
      <c r="AG7867" s="146"/>
      <c r="AH7867" s="146"/>
      <c r="AI7867" s="147"/>
      <c r="AJ7867" s="148"/>
      <c r="AK7867" s="143"/>
      <c r="AL7867" s="144"/>
      <c r="AM7867" s="22"/>
      <c r="AN7867" s="149" t="s">
        <v>2794</v>
      </c>
      <c r="AO7867" s="144"/>
      <c r="AP7867" s="148">
        <v>2130</v>
      </c>
      <c r="AQ7867" s="144"/>
      <c r="AR7867" s="120"/>
      <c r="AS7867" s="121"/>
      <c r="AT7867" s="120"/>
      <c r="AU7867" s="121"/>
      <c r="AV7867" s="120"/>
      <c r="AW7867" s="121"/>
      <c r="AX7867" s="120"/>
      <c r="AY7867" s="121"/>
      <c r="AZ7867" s="138"/>
    </row>
    <row r="7868" spans="1:52" ht="17.100000000000001" customHeight="1" thickTop="1">
      <c r="A7868" s="109" t="s">
        <v>22125</v>
      </c>
      <c r="B7868" s="28">
        <v>46116</v>
      </c>
      <c r="C7868" s="25">
        <v>1295</v>
      </c>
      <c r="D7868" s="13" t="s">
        <v>3550</v>
      </c>
      <c r="E7868" s="111"/>
      <c r="F7868" s="113" t="s">
        <v>22225</v>
      </c>
      <c r="G7868" s="114"/>
      <c r="H7868" s="115"/>
      <c r="I7868" s="24"/>
      <c r="J7868" s="116">
        <v>4.5</v>
      </c>
      <c r="K7868" s="118">
        <v>2550000</v>
      </c>
      <c r="L7868" s="119"/>
      <c r="M7868" s="118">
        <f t="shared" ref="M7868" si="11640">K7868*0.1</f>
        <v>255000</v>
      </c>
      <c r="N7868" s="119"/>
      <c r="O7868" s="118">
        <v>0</v>
      </c>
      <c r="P7868" s="119"/>
      <c r="Q7868" s="118">
        <v>21360</v>
      </c>
      <c r="R7868" s="119"/>
      <c r="S7868" s="118">
        <v>16500</v>
      </c>
      <c r="T7868" s="119"/>
      <c r="U7868" s="118">
        <f t="shared" ref="U7868" si="11641">SUM(K7868:T7869)</f>
        <v>2842860</v>
      </c>
      <c r="V7868" s="122"/>
      <c r="W7868" s="124"/>
      <c r="X7868" s="126" t="s">
        <v>22928</v>
      </c>
      <c r="Y7868" s="127"/>
      <c r="Z7868" s="127"/>
      <c r="AA7868" s="127"/>
      <c r="AB7868" s="128"/>
      <c r="AC7868" s="15" t="s">
        <v>20</v>
      </c>
      <c r="AD7868" s="129" t="s">
        <v>3828</v>
      </c>
      <c r="AE7868" s="130"/>
      <c r="AF7868" s="130"/>
      <c r="AG7868" s="130"/>
      <c r="AH7868" s="130"/>
      <c r="AI7868" s="131"/>
      <c r="AJ7868" s="132"/>
      <c r="AK7868" s="127"/>
      <c r="AL7868" s="128"/>
      <c r="AM7868" s="21"/>
      <c r="AN7868" s="133">
        <v>46121</v>
      </c>
      <c r="AO7868" s="134"/>
      <c r="AP7868" s="135">
        <v>1326</v>
      </c>
      <c r="AQ7868" s="136"/>
      <c r="AR7868" s="118">
        <v>2695000</v>
      </c>
      <c r="AS7868" s="119"/>
      <c r="AT7868" s="118">
        <f t="shared" ref="AT7868" si="11642">AR7868*0.1</f>
        <v>269500</v>
      </c>
      <c r="AU7868" s="119"/>
      <c r="AV7868" s="118">
        <v>21360</v>
      </c>
      <c r="AW7868" s="119"/>
      <c r="AX7868" s="118">
        <f t="shared" ref="AX7868" si="11643">SUM(AR7868:AW7868)</f>
        <v>2985860</v>
      </c>
      <c r="AY7868" s="119"/>
      <c r="AZ7868" s="137">
        <v>46122</v>
      </c>
    </row>
    <row r="7869" spans="1:52" ht="17.100000000000001" customHeight="1" thickBot="1">
      <c r="A7869" s="110"/>
      <c r="B7869" s="27" t="s">
        <v>2511</v>
      </c>
      <c r="C7869" s="27">
        <v>81141</v>
      </c>
      <c r="D7869" s="14" t="s">
        <v>1592</v>
      </c>
      <c r="E7869" s="112"/>
      <c r="F7869" s="139" t="s">
        <v>22236</v>
      </c>
      <c r="G7869" s="140"/>
      <c r="H7869" s="141"/>
      <c r="I7869" s="26">
        <v>36578</v>
      </c>
      <c r="J7869" s="117"/>
      <c r="K7869" s="120"/>
      <c r="L7869" s="121"/>
      <c r="M7869" s="120"/>
      <c r="N7869" s="121"/>
      <c r="O7869" s="120"/>
      <c r="P7869" s="121"/>
      <c r="Q7869" s="120"/>
      <c r="R7869" s="121"/>
      <c r="S7869" s="120"/>
      <c r="T7869" s="121"/>
      <c r="U7869" s="120"/>
      <c r="V7869" s="123"/>
      <c r="W7869" s="125"/>
      <c r="X7869" s="142" t="s">
        <v>22929</v>
      </c>
      <c r="Y7869" s="143"/>
      <c r="Z7869" s="143"/>
      <c r="AA7869" s="143"/>
      <c r="AB7869" s="144"/>
      <c r="AC7869" s="16" t="s">
        <v>21</v>
      </c>
      <c r="AD7869" s="17" t="s">
        <v>3461</v>
      </c>
      <c r="AE7869" s="145" t="s">
        <v>1633</v>
      </c>
      <c r="AF7869" s="146"/>
      <c r="AG7869" s="146"/>
      <c r="AH7869" s="146"/>
      <c r="AI7869" s="147"/>
      <c r="AJ7869" s="148"/>
      <c r="AK7869" s="143"/>
      <c r="AL7869" s="144"/>
      <c r="AM7869" s="22"/>
      <c r="AN7869" s="149" t="s">
        <v>13663</v>
      </c>
      <c r="AO7869" s="144"/>
      <c r="AP7869" s="148">
        <v>127</v>
      </c>
      <c r="AQ7869" s="144"/>
      <c r="AR7869" s="120"/>
      <c r="AS7869" s="121"/>
      <c r="AT7869" s="120"/>
      <c r="AU7869" s="121"/>
      <c r="AV7869" s="120"/>
      <c r="AW7869" s="121"/>
      <c r="AX7869" s="120"/>
      <c r="AY7869" s="121"/>
      <c r="AZ7869" s="138"/>
    </row>
    <row r="7870" spans="1:52" ht="17.100000000000001" customHeight="1" thickTop="1">
      <c r="A7870" s="109" t="s">
        <v>22126</v>
      </c>
      <c r="B7870" s="28">
        <v>46117</v>
      </c>
      <c r="C7870" s="25"/>
      <c r="D7870" s="13" t="s">
        <v>2508</v>
      </c>
      <c r="E7870" s="111"/>
      <c r="F7870" s="113" t="s">
        <v>8215</v>
      </c>
      <c r="G7870" s="114"/>
      <c r="H7870" s="115"/>
      <c r="I7870" s="24" t="s">
        <v>22253</v>
      </c>
      <c r="J7870" s="116">
        <v>5</v>
      </c>
      <c r="K7870" s="118">
        <f>7260000/1.1</f>
        <v>6599999.9999999991</v>
      </c>
      <c r="L7870" s="119"/>
      <c r="M7870" s="118">
        <f t="shared" ref="M7870" si="11644">K7870*0.1</f>
        <v>660000</v>
      </c>
      <c r="N7870" s="119"/>
      <c r="O7870" s="118">
        <v>41600</v>
      </c>
      <c r="P7870" s="119"/>
      <c r="Q7870" s="118">
        <v>14230</v>
      </c>
      <c r="R7870" s="119"/>
      <c r="S7870" s="118">
        <v>0</v>
      </c>
      <c r="T7870" s="119"/>
      <c r="U7870" s="118">
        <f t="shared" ref="U7870" si="11645">SUM(K7870:T7871)</f>
        <v>7315829.9999999991</v>
      </c>
      <c r="V7870" s="122"/>
      <c r="W7870" s="124"/>
      <c r="X7870" s="126" t="s">
        <v>24772</v>
      </c>
      <c r="Y7870" s="127"/>
      <c r="Z7870" s="127"/>
      <c r="AA7870" s="127"/>
      <c r="AB7870" s="128"/>
      <c r="AC7870" s="15" t="s">
        <v>20</v>
      </c>
      <c r="AD7870" s="129" t="s">
        <v>1945</v>
      </c>
      <c r="AE7870" s="130"/>
      <c r="AF7870" s="130"/>
      <c r="AG7870" s="130"/>
      <c r="AH7870" s="130"/>
      <c r="AI7870" s="131"/>
      <c r="AJ7870" s="132"/>
      <c r="AK7870" s="127"/>
      <c r="AL7870" s="128"/>
      <c r="AM7870" s="21" t="s">
        <v>24990</v>
      </c>
      <c r="AN7870" s="133">
        <v>46155</v>
      </c>
      <c r="AO7870" s="134"/>
      <c r="AP7870" s="135">
        <v>1016</v>
      </c>
      <c r="AQ7870" s="136"/>
      <c r="AR7870" s="118">
        <v>6650000</v>
      </c>
      <c r="AS7870" s="119"/>
      <c r="AT7870" s="118">
        <f t="shared" ref="AT7870" si="11646">AR7870*0.1</f>
        <v>665000</v>
      </c>
      <c r="AU7870" s="119"/>
      <c r="AV7870" s="118">
        <v>14230</v>
      </c>
      <c r="AW7870" s="119"/>
      <c r="AX7870" s="118">
        <f t="shared" ref="AX7870" si="11647">SUM(AR7870:AW7870)</f>
        <v>7329230</v>
      </c>
      <c r="AY7870" s="119"/>
      <c r="AZ7870" s="137">
        <v>46160</v>
      </c>
    </row>
    <row r="7871" spans="1:52" ht="17.100000000000001" customHeight="1" thickBot="1">
      <c r="A7871" s="110"/>
      <c r="B7871" s="27" t="s">
        <v>1718</v>
      </c>
      <c r="C7871" s="27" t="s">
        <v>22251</v>
      </c>
      <c r="D7871" s="14" t="s">
        <v>1592</v>
      </c>
      <c r="E7871" s="112"/>
      <c r="F7871" s="139" t="s">
        <v>22252</v>
      </c>
      <c r="G7871" s="140"/>
      <c r="H7871" s="141"/>
      <c r="I7871" s="26">
        <v>11933</v>
      </c>
      <c r="J7871" s="117"/>
      <c r="K7871" s="120"/>
      <c r="L7871" s="121"/>
      <c r="M7871" s="120"/>
      <c r="N7871" s="121"/>
      <c r="O7871" s="120"/>
      <c r="P7871" s="121"/>
      <c r="Q7871" s="120"/>
      <c r="R7871" s="121"/>
      <c r="S7871" s="120"/>
      <c r="T7871" s="121"/>
      <c r="U7871" s="120"/>
      <c r="V7871" s="123"/>
      <c r="W7871" s="125"/>
      <c r="X7871" s="142" t="s">
        <v>1656</v>
      </c>
      <c r="Y7871" s="143"/>
      <c r="Z7871" s="143"/>
      <c r="AA7871" s="143"/>
      <c r="AB7871" s="144"/>
      <c r="AC7871" s="16" t="s">
        <v>21</v>
      </c>
      <c r="AD7871" s="17" t="s">
        <v>24751</v>
      </c>
      <c r="AE7871" s="145" t="s">
        <v>1609</v>
      </c>
      <c r="AF7871" s="146"/>
      <c r="AG7871" s="146"/>
      <c r="AH7871" s="146"/>
      <c r="AI7871" s="147"/>
      <c r="AJ7871" s="148"/>
      <c r="AK7871" s="143"/>
      <c r="AL7871" s="144"/>
      <c r="AM7871" s="22"/>
      <c r="AN7871" s="149" t="s">
        <v>7285</v>
      </c>
      <c r="AO7871" s="144"/>
      <c r="AP7871" s="148">
        <v>1082</v>
      </c>
      <c r="AQ7871" s="144"/>
      <c r="AR7871" s="120"/>
      <c r="AS7871" s="121"/>
      <c r="AT7871" s="120"/>
      <c r="AU7871" s="121"/>
      <c r="AV7871" s="120"/>
      <c r="AW7871" s="121"/>
      <c r="AX7871" s="120"/>
      <c r="AY7871" s="121"/>
      <c r="AZ7871" s="138"/>
    </row>
    <row r="7872" spans="1:52" ht="17.100000000000001" customHeight="1" thickTop="1">
      <c r="A7872" s="109" t="s">
        <v>22127</v>
      </c>
      <c r="B7872" s="28">
        <v>46118</v>
      </c>
      <c r="C7872" s="25"/>
      <c r="D7872" s="13" t="s">
        <v>3381</v>
      </c>
      <c r="E7872" s="111"/>
      <c r="F7872" s="113" t="s">
        <v>22277</v>
      </c>
      <c r="G7872" s="114"/>
      <c r="H7872" s="115"/>
      <c r="I7872" s="24" t="s">
        <v>17918</v>
      </c>
      <c r="J7872" s="116">
        <v>4</v>
      </c>
      <c r="K7872" s="118">
        <f>1402500/1.1</f>
        <v>1275000</v>
      </c>
      <c r="L7872" s="119"/>
      <c r="M7872" s="118">
        <f t="shared" ref="M7872" si="11648">K7872*0.1</f>
        <v>127500</v>
      </c>
      <c r="N7872" s="119"/>
      <c r="O7872" s="118">
        <v>32900</v>
      </c>
      <c r="P7872" s="119"/>
      <c r="Q7872" s="118">
        <v>12030</v>
      </c>
      <c r="R7872" s="119"/>
      <c r="S7872" s="118">
        <v>0</v>
      </c>
      <c r="T7872" s="119"/>
      <c r="U7872" s="118">
        <f t="shared" ref="U7872" si="11649">SUM(K7872:T7873)</f>
        <v>1447430</v>
      </c>
      <c r="V7872" s="122"/>
      <c r="W7872" s="124"/>
      <c r="X7872" s="126" t="s">
        <v>23791</v>
      </c>
      <c r="Y7872" s="127"/>
      <c r="Z7872" s="127"/>
      <c r="AA7872" s="127"/>
      <c r="AB7872" s="128"/>
      <c r="AC7872" s="15" t="s">
        <v>20</v>
      </c>
      <c r="AD7872" s="129" t="s">
        <v>171</v>
      </c>
      <c r="AE7872" s="130"/>
      <c r="AF7872" s="130"/>
      <c r="AG7872" s="130"/>
      <c r="AH7872" s="130"/>
      <c r="AI7872" s="131"/>
      <c r="AJ7872" s="132"/>
      <c r="AK7872" s="127"/>
      <c r="AL7872" s="128"/>
      <c r="AM7872" s="21" t="s">
        <v>24991</v>
      </c>
      <c r="AN7872" s="133">
        <v>46155</v>
      </c>
      <c r="AO7872" s="134"/>
      <c r="AP7872" s="135">
        <v>1016</v>
      </c>
      <c r="AQ7872" s="136"/>
      <c r="AR7872" s="118">
        <v>1305000</v>
      </c>
      <c r="AS7872" s="119"/>
      <c r="AT7872" s="118">
        <f t="shared" ref="AT7872" si="11650">AR7872*0.1</f>
        <v>130500</v>
      </c>
      <c r="AU7872" s="119"/>
      <c r="AV7872" s="118">
        <v>12030</v>
      </c>
      <c r="AW7872" s="119"/>
      <c r="AX7872" s="118">
        <f t="shared" ref="AX7872" si="11651">SUM(AR7872:AW7872)</f>
        <v>1447530</v>
      </c>
      <c r="AY7872" s="119"/>
      <c r="AZ7872" s="137">
        <v>46160</v>
      </c>
    </row>
    <row r="7873" spans="1:52" ht="17.100000000000001" customHeight="1" thickBot="1">
      <c r="A7873" s="110"/>
      <c r="B7873" s="27" t="s">
        <v>1718</v>
      </c>
      <c r="C7873" s="27" t="s">
        <v>22276</v>
      </c>
      <c r="D7873" s="14" t="s">
        <v>1720</v>
      </c>
      <c r="E7873" s="112"/>
      <c r="F7873" s="139" t="s">
        <v>22278</v>
      </c>
      <c r="G7873" s="140"/>
      <c r="H7873" s="141"/>
      <c r="I7873" s="26">
        <v>59008</v>
      </c>
      <c r="J7873" s="117"/>
      <c r="K7873" s="120"/>
      <c r="L7873" s="121"/>
      <c r="M7873" s="120"/>
      <c r="N7873" s="121"/>
      <c r="O7873" s="120"/>
      <c r="P7873" s="121"/>
      <c r="Q7873" s="120"/>
      <c r="R7873" s="121"/>
      <c r="S7873" s="120"/>
      <c r="T7873" s="121"/>
      <c r="U7873" s="120"/>
      <c r="V7873" s="123"/>
      <c r="W7873" s="125"/>
      <c r="X7873" s="142" t="s">
        <v>23792</v>
      </c>
      <c r="Y7873" s="143"/>
      <c r="Z7873" s="143"/>
      <c r="AA7873" s="143"/>
      <c r="AB7873" s="144"/>
      <c r="AC7873" s="16" t="s">
        <v>21</v>
      </c>
      <c r="AD7873" s="17" t="s">
        <v>23773</v>
      </c>
      <c r="AE7873" s="145" t="s">
        <v>25174</v>
      </c>
      <c r="AF7873" s="146"/>
      <c r="AG7873" s="146"/>
      <c r="AH7873" s="146"/>
      <c r="AI7873" s="147"/>
      <c r="AJ7873" s="148"/>
      <c r="AK7873" s="143"/>
      <c r="AL7873" s="144"/>
      <c r="AM7873" s="22"/>
      <c r="AN7873" s="149" t="s">
        <v>2794</v>
      </c>
      <c r="AO7873" s="144"/>
      <c r="AP7873" s="148">
        <v>1080</v>
      </c>
      <c r="AQ7873" s="144"/>
      <c r="AR7873" s="120"/>
      <c r="AS7873" s="121"/>
      <c r="AT7873" s="120"/>
      <c r="AU7873" s="121"/>
      <c r="AV7873" s="120"/>
      <c r="AW7873" s="121"/>
      <c r="AX7873" s="120"/>
      <c r="AY7873" s="121"/>
      <c r="AZ7873" s="138"/>
    </row>
    <row r="7874" spans="1:52" ht="17.100000000000001" customHeight="1" thickTop="1">
      <c r="A7874" s="109" t="s">
        <v>22317</v>
      </c>
      <c r="B7874" s="28">
        <v>46118</v>
      </c>
      <c r="C7874" s="25">
        <v>2088</v>
      </c>
      <c r="D7874" s="13" t="s">
        <v>1059</v>
      </c>
      <c r="E7874" s="111"/>
      <c r="F7874" s="113" t="s">
        <v>22474</v>
      </c>
      <c r="G7874" s="114"/>
      <c r="H7874" s="115"/>
      <c r="I7874" s="24" t="s">
        <v>1559</v>
      </c>
      <c r="J7874" s="116">
        <v>4.5</v>
      </c>
      <c r="K7874" s="118">
        <v>2130000</v>
      </c>
      <c r="L7874" s="119"/>
      <c r="M7874" s="118">
        <f t="shared" ref="M7874" si="11652">K7874*0.1</f>
        <v>213000</v>
      </c>
      <c r="N7874" s="119"/>
      <c r="O7874" s="118">
        <v>30690</v>
      </c>
      <c r="P7874" s="119"/>
      <c r="Q7874" s="118">
        <v>17930</v>
      </c>
      <c r="R7874" s="119"/>
      <c r="S7874" s="118">
        <v>11000</v>
      </c>
      <c r="T7874" s="119"/>
      <c r="U7874" s="118">
        <f t="shared" ref="U7874" si="11653">SUM(K7874:T7875)</f>
        <v>2402620</v>
      </c>
      <c r="V7874" s="122"/>
      <c r="W7874" s="124"/>
      <c r="X7874" s="126" t="s">
        <v>22475</v>
      </c>
      <c r="Y7874" s="127"/>
      <c r="Z7874" s="127"/>
      <c r="AA7874" s="127"/>
      <c r="AB7874" s="128"/>
      <c r="AC7874" s="15" t="s">
        <v>20</v>
      </c>
      <c r="AD7874" s="129" t="s">
        <v>22476</v>
      </c>
      <c r="AE7874" s="130"/>
      <c r="AF7874" s="130"/>
      <c r="AG7874" s="130"/>
      <c r="AH7874" s="130"/>
      <c r="AI7874" s="131"/>
      <c r="AJ7874" s="132"/>
      <c r="AK7874" s="127"/>
      <c r="AL7874" s="128"/>
      <c r="AM7874" s="21"/>
      <c r="AN7874" s="133">
        <v>46130</v>
      </c>
      <c r="AO7874" s="134"/>
      <c r="AP7874" s="135">
        <v>1297</v>
      </c>
      <c r="AQ7874" s="136"/>
      <c r="AR7874" s="118">
        <v>2310000</v>
      </c>
      <c r="AS7874" s="119"/>
      <c r="AT7874" s="118">
        <f t="shared" ref="AT7874" si="11654">AR7874*0.1</f>
        <v>231000</v>
      </c>
      <c r="AU7874" s="119"/>
      <c r="AV7874" s="118">
        <v>17930</v>
      </c>
      <c r="AW7874" s="119"/>
      <c r="AX7874" s="118">
        <f t="shared" ref="AX7874" si="11655">SUM(AR7874:AW7874)</f>
        <v>2558930</v>
      </c>
      <c r="AY7874" s="119"/>
      <c r="AZ7874" s="137">
        <v>46133</v>
      </c>
    </row>
    <row r="7875" spans="1:52" ht="17.100000000000001" customHeight="1" thickBot="1">
      <c r="A7875" s="110"/>
      <c r="B7875" s="27" t="s">
        <v>83</v>
      </c>
      <c r="C7875" s="27">
        <v>31005</v>
      </c>
      <c r="D7875" s="14" t="s">
        <v>133</v>
      </c>
      <c r="E7875" s="112"/>
      <c r="F7875" s="139" t="s">
        <v>22332</v>
      </c>
      <c r="G7875" s="140"/>
      <c r="H7875" s="141"/>
      <c r="I7875" s="26">
        <v>14619</v>
      </c>
      <c r="J7875" s="117"/>
      <c r="K7875" s="120"/>
      <c r="L7875" s="121"/>
      <c r="M7875" s="120"/>
      <c r="N7875" s="121"/>
      <c r="O7875" s="120"/>
      <c r="P7875" s="121"/>
      <c r="Q7875" s="120"/>
      <c r="R7875" s="121"/>
      <c r="S7875" s="120"/>
      <c r="T7875" s="121"/>
      <c r="U7875" s="120"/>
      <c r="V7875" s="123"/>
      <c r="W7875" s="125"/>
      <c r="X7875" s="142" t="s">
        <v>22585</v>
      </c>
      <c r="Y7875" s="143"/>
      <c r="Z7875" s="143"/>
      <c r="AA7875" s="143"/>
      <c r="AB7875" s="144"/>
      <c r="AC7875" s="16" t="s">
        <v>21</v>
      </c>
      <c r="AD7875" s="17" t="s">
        <v>22552</v>
      </c>
      <c r="AE7875" s="145" t="s">
        <v>22586</v>
      </c>
      <c r="AF7875" s="146"/>
      <c r="AG7875" s="146"/>
      <c r="AH7875" s="146"/>
      <c r="AI7875" s="147"/>
      <c r="AJ7875" s="148"/>
      <c r="AK7875" s="143"/>
      <c r="AL7875" s="144"/>
      <c r="AM7875" s="22"/>
      <c r="AN7875" s="149" t="s">
        <v>2511</v>
      </c>
      <c r="AO7875" s="144"/>
      <c r="AP7875" s="148">
        <v>80258</v>
      </c>
      <c r="AQ7875" s="144"/>
      <c r="AR7875" s="120"/>
      <c r="AS7875" s="121"/>
      <c r="AT7875" s="120"/>
      <c r="AU7875" s="121"/>
      <c r="AV7875" s="120"/>
      <c r="AW7875" s="121"/>
      <c r="AX7875" s="120"/>
      <c r="AY7875" s="121"/>
      <c r="AZ7875" s="138"/>
    </row>
    <row r="7876" spans="1:52" ht="17.100000000000001" customHeight="1" thickTop="1">
      <c r="A7876" s="109" t="s">
        <v>22318</v>
      </c>
      <c r="B7876" s="28">
        <v>46118</v>
      </c>
      <c r="C7876" s="25">
        <v>2088</v>
      </c>
      <c r="D7876" s="13" t="s">
        <v>22477</v>
      </c>
      <c r="E7876" s="111"/>
      <c r="F7876" s="113" t="s">
        <v>22333</v>
      </c>
      <c r="G7876" s="114"/>
      <c r="H7876" s="115"/>
      <c r="I7876" s="24"/>
      <c r="J7876" s="116">
        <v>4</v>
      </c>
      <c r="K7876" s="118">
        <v>378000</v>
      </c>
      <c r="L7876" s="119"/>
      <c r="M7876" s="118">
        <f t="shared" ref="M7876" si="11656">K7876*0.1</f>
        <v>37800</v>
      </c>
      <c r="N7876" s="119"/>
      <c r="O7876" s="118">
        <v>0</v>
      </c>
      <c r="P7876" s="119"/>
      <c r="Q7876" s="118">
        <v>19720</v>
      </c>
      <c r="R7876" s="119"/>
      <c r="S7876" s="118">
        <v>11000</v>
      </c>
      <c r="T7876" s="119"/>
      <c r="U7876" s="118">
        <f t="shared" ref="U7876" si="11657">SUM(K7876:T7877)</f>
        <v>446520</v>
      </c>
      <c r="V7876" s="122"/>
      <c r="W7876" s="124"/>
      <c r="X7876" s="126" t="s">
        <v>22468</v>
      </c>
      <c r="Y7876" s="127"/>
      <c r="Z7876" s="127"/>
      <c r="AA7876" s="127"/>
      <c r="AB7876" s="128"/>
      <c r="AC7876" s="15" t="s">
        <v>20</v>
      </c>
      <c r="AD7876" s="129"/>
      <c r="AE7876" s="130"/>
      <c r="AF7876" s="130"/>
      <c r="AG7876" s="130"/>
      <c r="AH7876" s="130"/>
      <c r="AI7876" s="131"/>
      <c r="AJ7876" s="132"/>
      <c r="AK7876" s="127"/>
      <c r="AL7876" s="128"/>
      <c r="AM7876" s="21"/>
      <c r="AN7876" s="133">
        <v>46130</v>
      </c>
      <c r="AO7876" s="134"/>
      <c r="AP7876" s="135">
        <v>1297</v>
      </c>
      <c r="AQ7876" s="136"/>
      <c r="AR7876" s="118">
        <v>590000</v>
      </c>
      <c r="AS7876" s="119"/>
      <c r="AT7876" s="118">
        <f t="shared" ref="AT7876" si="11658">AR7876*0.1</f>
        <v>59000</v>
      </c>
      <c r="AU7876" s="119"/>
      <c r="AV7876" s="118">
        <v>19720</v>
      </c>
      <c r="AW7876" s="119"/>
      <c r="AX7876" s="118">
        <f t="shared" ref="AX7876" si="11659">SUM(AR7876:AW7876)</f>
        <v>668720</v>
      </c>
      <c r="AY7876" s="119"/>
      <c r="AZ7876" s="137">
        <v>46133</v>
      </c>
    </row>
    <row r="7877" spans="1:52" ht="16.5" customHeight="1" thickBot="1">
      <c r="A7877" s="110"/>
      <c r="B7877" s="27" t="s">
        <v>83</v>
      </c>
      <c r="C7877" s="27">
        <v>32011</v>
      </c>
      <c r="D7877" s="14" t="s">
        <v>2086</v>
      </c>
      <c r="E7877" s="112"/>
      <c r="F7877" s="139" t="s">
        <v>22334</v>
      </c>
      <c r="G7877" s="140"/>
      <c r="H7877" s="141"/>
      <c r="I7877" s="26">
        <v>46133</v>
      </c>
      <c r="J7877" s="117"/>
      <c r="K7877" s="120"/>
      <c r="L7877" s="121"/>
      <c r="M7877" s="120"/>
      <c r="N7877" s="121"/>
      <c r="O7877" s="120"/>
      <c r="P7877" s="121"/>
      <c r="Q7877" s="120"/>
      <c r="R7877" s="121"/>
      <c r="S7877" s="120"/>
      <c r="T7877" s="121"/>
      <c r="U7877" s="120"/>
      <c r="V7877" s="123"/>
      <c r="W7877" s="125"/>
      <c r="X7877" s="142" t="s">
        <v>22469</v>
      </c>
      <c r="Y7877" s="143"/>
      <c r="Z7877" s="143"/>
      <c r="AA7877" s="143"/>
      <c r="AB7877" s="144"/>
      <c r="AC7877" s="16" t="s">
        <v>21</v>
      </c>
      <c r="AD7877" s="17" t="s">
        <v>1825</v>
      </c>
      <c r="AE7877" s="145" t="s">
        <v>1581</v>
      </c>
      <c r="AF7877" s="146"/>
      <c r="AG7877" s="146"/>
      <c r="AH7877" s="146"/>
      <c r="AI7877" s="147"/>
      <c r="AJ7877" s="148"/>
      <c r="AK7877" s="143"/>
      <c r="AL7877" s="144"/>
      <c r="AM7877" s="22"/>
      <c r="AN7877" s="149" t="s">
        <v>2511</v>
      </c>
      <c r="AO7877" s="144"/>
      <c r="AP7877" s="148">
        <v>80020</v>
      </c>
      <c r="AQ7877" s="144"/>
      <c r="AR7877" s="120"/>
      <c r="AS7877" s="121"/>
      <c r="AT7877" s="120"/>
      <c r="AU7877" s="121"/>
      <c r="AV7877" s="120"/>
      <c r="AW7877" s="121"/>
      <c r="AX7877" s="120"/>
      <c r="AY7877" s="121"/>
      <c r="AZ7877" s="138"/>
    </row>
    <row r="7878" spans="1:52" ht="17.100000000000001" customHeight="1" thickTop="1">
      <c r="A7878" s="109" t="s">
        <v>22319</v>
      </c>
      <c r="B7878" s="28">
        <v>46118</v>
      </c>
      <c r="C7878" s="25">
        <v>2088</v>
      </c>
      <c r="D7878" s="13" t="s">
        <v>2179</v>
      </c>
      <c r="E7878" s="111"/>
      <c r="F7878" s="113" t="s">
        <v>22478</v>
      </c>
      <c r="G7878" s="114"/>
      <c r="H7878" s="115"/>
      <c r="I7878" s="24" t="s">
        <v>1547</v>
      </c>
      <c r="J7878" s="116">
        <v>4</v>
      </c>
      <c r="K7878" s="118">
        <v>1845000</v>
      </c>
      <c r="L7878" s="119"/>
      <c r="M7878" s="118">
        <f t="shared" ref="M7878" si="11660">K7878*0.1</f>
        <v>184500</v>
      </c>
      <c r="N7878" s="119"/>
      <c r="O7878" s="118">
        <v>41370</v>
      </c>
      <c r="P7878" s="119"/>
      <c r="Q7878" s="118">
        <v>19270</v>
      </c>
      <c r="R7878" s="119"/>
      <c r="S7878" s="118">
        <v>11000</v>
      </c>
      <c r="T7878" s="119"/>
      <c r="U7878" s="118">
        <f t="shared" ref="U7878" si="11661">SUM(K7878:T7879)</f>
        <v>2101140</v>
      </c>
      <c r="V7878" s="122"/>
      <c r="W7878" s="124"/>
      <c r="X7878" s="126" t="s">
        <v>22479</v>
      </c>
      <c r="Y7878" s="127"/>
      <c r="Z7878" s="127"/>
      <c r="AA7878" s="127"/>
      <c r="AB7878" s="128"/>
      <c r="AC7878" s="15" t="s">
        <v>20</v>
      </c>
      <c r="AD7878" s="129" t="s">
        <v>20998</v>
      </c>
      <c r="AE7878" s="130"/>
      <c r="AF7878" s="130"/>
      <c r="AG7878" s="130"/>
      <c r="AH7878" s="130"/>
      <c r="AI7878" s="131"/>
      <c r="AJ7878" s="132"/>
      <c r="AK7878" s="127"/>
      <c r="AL7878" s="128"/>
      <c r="AM7878" s="21"/>
      <c r="AN7878" s="133">
        <v>46137</v>
      </c>
      <c r="AO7878" s="134"/>
      <c r="AP7878" s="135">
        <v>1298</v>
      </c>
      <c r="AQ7878" s="136"/>
      <c r="AR7878" s="118">
        <v>1980000</v>
      </c>
      <c r="AS7878" s="119"/>
      <c r="AT7878" s="118">
        <f t="shared" ref="AT7878" si="11662">AR7878*0.1</f>
        <v>198000</v>
      </c>
      <c r="AU7878" s="119"/>
      <c r="AV7878" s="118">
        <v>19270</v>
      </c>
      <c r="AW7878" s="119"/>
      <c r="AX7878" s="118">
        <f t="shared" ref="AX7878" si="11663">SUM(AR7878:AW7878)</f>
        <v>2197270</v>
      </c>
      <c r="AY7878" s="119"/>
      <c r="AZ7878" s="137">
        <v>46154</v>
      </c>
    </row>
    <row r="7879" spans="1:52" ht="17.100000000000001" customHeight="1" thickBot="1">
      <c r="A7879" s="110"/>
      <c r="B7879" s="27" t="s">
        <v>83</v>
      </c>
      <c r="C7879" s="27">
        <v>33506</v>
      </c>
      <c r="D7879" s="14" t="s">
        <v>1635</v>
      </c>
      <c r="E7879" s="112"/>
      <c r="F7879" s="139" t="s">
        <v>22335</v>
      </c>
      <c r="G7879" s="140"/>
      <c r="H7879" s="141"/>
      <c r="I7879" s="26">
        <v>51825</v>
      </c>
      <c r="J7879" s="117"/>
      <c r="K7879" s="120"/>
      <c r="L7879" s="121"/>
      <c r="M7879" s="120"/>
      <c r="N7879" s="121"/>
      <c r="O7879" s="120"/>
      <c r="P7879" s="121"/>
      <c r="Q7879" s="120"/>
      <c r="R7879" s="121"/>
      <c r="S7879" s="120"/>
      <c r="T7879" s="121"/>
      <c r="U7879" s="120"/>
      <c r="V7879" s="123"/>
      <c r="W7879" s="125"/>
      <c r="X7879" s="142" t="s">
        <v>4820</v>
      </c>
      <c r="Y7879" s="143"/>
      <c r="Z7879" s="143"/>
      <c r="AA7879" s="143"/>
      <c r="AB7879" s="144"/>
      <c r="AC7879" s="16" t="s">
        <v>21</v>
      </c>
      <c r="AD7879" s="17" t="s">
        <v>1795</v>
      </c>
      <c r="AE7879" s="145" t="s">
        <v>4102</v>
      </c>
      <c r="AF7879" s="146"/>
      <c r="AG7879" s="146"/>
      <c r="AH7879" s="146"/>
      <c r="AI7879" s="147"/>
      <c r="AJ7879" s="148"/>
      <c r="AK7879" s="143"/>
      <c r="AL7879" s="144"/>
      <c r="AM7879" s="22"/>
      <c r="AN7879" s="149" t="s">
        <v>6749</v>
      </c>
      <c r="AO7879" s="144"/>
      <c r="AP7879" s="148">
        <v>80332</v>
      </c>
      <c r="AQ7879" s="144"/>
      <c r="AR7879" s="120"/>
      <c r="AS7879" s="121"/>
      <c r="AT7879" s="120"/>
      <c r="AU7879" s="121"/>
      <c r="AV7879" s="120"/>
      <c r="AW7879" s="121"/>
      <c r="AX7879" s="120"/>
      <c r="AY7879" s="121"/>
      <c r="AZ7879" s="138"/>
    </row>
    <row r="7880" spans="1:52" ht="17.100000000000001" customHeight="1" thickTop="1">
      <c r="A7880" s="109" t="s">
        <v>22320</v>
      </c>
      <c r="B7880" s="28">
        <v>46118</v>
      </c>
      <c r="C7880" s="25">
        <v>2088</v>
      </c>
      <c r="D7880" s="13" t="s">
        <v>3296</v>
      </c>
      <c r="E7880" s="111"/>
      <c r="F7880" s="113" t="s">
        <v>15886</v>
      </c>
      <c r="G7880" s="114"/>
      <c r="H7880" s="115"/>
      <c r="I7880" s="24" t="s">
        <v>2976</v>
      </c>
      <c r="J7880" s="116">
        <v>4.5</v>
      </c>
      <c r="K7880" s="118">
        <v>830000</v>
      </c>
      <c r="L7880" s="119"/>
      <c r="M7880" s="118">
        <f t="shared" ref="M7880" si="11664">K7880*0.1</f>
        <v>83000</v>
      </c>
      <c r="N7880" s="119"/>
      <c r="O7880" s="118">
        <v>39820</v>
      </c>
      <c r="P7880" s="119"/>
      <c r="Q7880" s="118">
        <v>19440</v>
      </c>
      <c r="R7880" s="119"/>
      <c r="S7880" s="118">
        <v>11000</v>
      </c>
      <c r="T7880" s="119"/>
      <c r="U7880" s="118">
        <f t="shared" ref="U7880" si="11665">SUM(K7880:T7881)</f>
        <v>983260</v>
      </c>
      <c r="V7880" s="122"/>
      <c r="W7880" s="124"/>
      <c r="X7880" s="126" t="s">
        <v>22470</v>
      </c>
      <c r="Y7880" s="127"/>
      <c r="Z7880" s="127"/>
      <c r="AA7880" s="127"/>
      <c r="AB7880" s="128"/>
      <c r="AC7880" s="15" t="s">
        <v>20</v>
      </c>
      <c r="AD7880" s="129" t="s">
        <v>171</v>
      </c>
      <c r="AE7880" s="130"/>
      <c r="AF7880" s="130"/>
      <c r="AG7880" s="130"/>
      <c r="AH7880" s="130"/>
      <c r="AI7880" s="131"/>
      <c r="AJ7880" s="132"/>
      <c r="AK7880" s="127"/>
      <c r="AL7880" s="128"/>
      <c r="AM7880" s="21"/>
      <c r="AN7880" s="133"/>
      <c r="AO7880" s="134"/>
      <c r="AP7880" s="135"/>
      <c r="AQ7880" s="136"/>
      <c r="AR7880" s="118"/>
      <c r="AS7880" s="119"/>
      <c r="AT7880" s="118">
        <f t="shared" ref="AT7880" si="11666">AR7880*0.1</f>
        <v>0</v>
      </c>
      <c r="AU7880" s="119"/>
      <c r="AV7880" s="118"/>
      <c r="AW7880" s="119"/>
      <c r="AX7880" s="118">
        <f t="shared" ref="AX7880" si="11667">SUM(AR7880:AW7880)</f>
        <v>0</v>
      </c>
      <c r="AY7880" s="119"/>
      <c r="AZ7880" s="137"/>
    </row>
    <row r="7881" spans="1:52" ht="17.100000000000001" customHeight="1" thickBot="1">
      <c r="A7881" s="110"/>
      <c r="B7881" s="27" t="s">
        <v>83</v>
      </c>
      <c r="C7881" s="27">
        <v>34506</v>
      </c>
      <c r="D7881" s="14" t="s">
        <v>5615</v>
      </c>
      <c r="E7881" s="112"/>
      <c r="F7881" s="139" t="s">
        <v>22336</v>
      </c>
      <c r="G7881" s="140"/>
      <c r="H7881" s="141"/>
      <c r="I7881" s="26">
        <v>44754</v>
      </c>
      <c r="J7881" s="117"/>
      <c r="K7881" s="120"/>
      <c r="L7881" s="121"/>
      <c r="M7881" s="120"/>
      <c r="N7881" s="121"/>
      <c r="O7881" s="120"/>
      <c r="P7881" s="121"/>
      <c r="Q7881" s="120"/>
      <c r="R7881" s="121"/>
      <c r="S7881" s="120"/>
      <c r="T7881" s="121"/>
      <c r="U7881" s="120"/>
      <c r="V7881" s="123"/>
      <c r="W7881" s="125"/>
      <c r="X7881" s="142" t="s">
        <v>14359</v>
      </c>
      <c r="Y7881" s="143"/>
      <c r="Z7881" s="143"/>
      <c r="AA7881" s="143"/>
      <c r="AB7881" s="144"/>
      <c r="AC7881" s="16" t="s">
        <v>21</v>
      </c>
      <c r="AD7881" s="17" t="s">
        <v>1825</v>
      </c>
      <c r="AE7881" s="145" t="s">
        <v>5275</v>
      </c>
      <c r="AF7881" s="146"/>
      <c r="AG7881" s="146"/>
      <c r="AH7881" s="146"/>
      <c r="AI7881" s="147"/>
      <c r="AJ7881" s="148"/>
      <c r="AK7881" s="143"/>
      <c r="AL7881" s="144"/>
      <c r="AM7881" s="22"/>
      <c r="AN7881" s="149"/>
      <c r="AO7881" s="144"/>
      <c r="AP7881" s="148"/>
      <c r="AQ7881" s="144"/>
      <c r="AR7881" s="120"/>
      <c r="AS7881" s="121"/>
      <c r="AT7881" s="120"/>
      <c r="AU7881" s="121"/>
      <c r="AV7881" s="120"/>
      <c r="AW7881" s="121"/>
      <c r="AX7881" s="120"/>
      <c r="AY7881" s="121"/>
      <c r="AZ7881" s="138"/>
    </row>
    <row r="7882" spans="1:52" ht="17.100000000000001" customHeight="1" thickTop="1">
      <c r="A7882" s="109" t="s">
        <v>22321</v>
      </c>
      <c r="B7882" s="28">
        <v>46118</v>
      </c>
      <c r="C7882" s="25">
        <v>2088</v>
      </c>
      <c r="D7882" s="13" t="s">
        <v>1744</v>
      </c>
      <c r="E7882" s="111"/>
      <c r="F7882" s="113" t="s">
        <v>22480</v>
      </c>
      <c r="G7882" s="114"/>
      <c r="H7882" s="115"/>
      <c r="I7882" s="24" t="s">
        <v>2577</v>
      </c>
      <c r="J7882" s="116">
        <v>4</v>
      </c>
      <c r="K7882" s="118">
        <v>641000</v>
      </c>
      <c r="L7882" s="119"/>
      <c r="M7882" s="118">
        <f t="shared" ref="M7882" si="11668">K7882*0.1</f>
        <v>64100</v>
      </c>
      <c r="N7882" s="119"/>
      <c r="O7882" s="118">
        <v>39820</v>
      </c>
      <c r="P7882" s="119"/>
      <c r="Q7882" s="118">
        <v>19120</v>
      </c>
      <c r="R7882" s="119"/>
      <c r="S7882" s="118">
        <v>11000</v>
      </c>
      <c r="T7882" s="119"/>
      <c r="U7882" s="118">
        <f t="shared" ref="U7882" si="11669">SUM(K7882:T7883)</f>
        <v>775040</v>
      </c>
      <c r="V7882" s="122"/>
      <c r="W7882" s="124"/>
      <c r="X7882" s="126" t="s">
        <v>22481</v>
      </c>
      <c r="Y7882" s="127"/>
      <c r="Z7882" s="127"/>
      <c r="AA7882" s="127"/>
      <c r="AB7882" s="128"/>
      <c r="AC7882" s="15" t="s">
        <v>20</v>
      </c>
      <c r="AD7882" s="129" t="s">
        <v>20998</v>
      </c>
      <c r="AE7882" s="130"/>
      <c r="AF7882" s="130"/>
      <c r="AG7882" s="130"/>
      <c r="AH7882" s="130"/>
      <c r="AI7882" s="131"/>
      <c r="AJ7882" s="132"/>
      <c r="AK7882" s="127"/>
      <c r="AL7882" s="128"/>
      <c r="AM7882" s="21"/>
      <c r="AN7882" s="133">
        <v>46130</v>
      </c>
      <c r="AO7882" s="134"/>
      <c r="AP7882" s="135">
        <v>1297</v>
      </c>
      <c r="AQ7882" s="136"/>
      <c r="AR7882" s="118">
        <v>725000</v>
      </c>
      <c r="AS7882" s="119"/>
      <c r="AT7882" s="118">
        <f t="shared" ref="AT7882" si="11670">AR7882*0.1</f>
        <v>72500</v>
      </c>
      <c r="AU7882" s="119"/>
      <c r="AV7882" s="118">
        <v>19120</v>
      </c>
      <c r="AW7882" s="119"/>
      <c r="AX7882" s="118">
        <f t="shared" ref="AX7882" si="11671">SUM(AR7882:AW7882)</f>
        <v>816620</v>
      </c>
      <c r="AY7882" s="119"/>
      <c r="AZ7882" s="137">
        <v>46133</v>
      </c>
    </row>
    <row r="7883" spans="1:52" ht="17.100000000000001" customHeight="1" thickBot="1">
      <c r="A7883" s="110"/>
      <c r="B7883" s="27" t="s">
        <v>83</v>
      </c>
      <c r="C7883" s="27">
        <v>34535</v>
      </c>
      <c r="D7883" s="14" t="s">
        <v>275</v>
      </c>
      <c r="E7883" s="112"/>
      <c r="F7883" s="139" t="s">
        <v>22337</v>
      </c>
      <c r="G7883" s="140"/>
      <c r="H7883" s="141"/>
      <c r="I7883" s="26">
        <v>54485</v>
      </c>
      <c r="J7883" s="117"/>
      <c r="K7883" s="120"/>
      <c r="L7883" s="121"/>
      <c r="M7883" s="120"/>
      <c r="N7883" s="121"/>
      <c r="O7883" s="120"/>
      <c r="P7883" s="121"/>
      <c r="Q7883" s="120"/>
      <c r="R7883" s="121"/>
      <c r="S7883" s="120"/>
      <c r="T7883" s="121"/>
      <c r="U7883" s="120"/>
      <c r="V7883" s="123"/>
      <c r="W7883" s="125"/>
      <c r="X7883" s="142" t="s">
        <v>22580</v>
      </c>
      <c r="Y7883" s="143"/>
      <c r="Z7883" s="143"/>
      <c r="AA7883" s="143"/>
      <c r="AB7883" s="144"/>
      <c r="AC7883" s="16" t="s">
        <v>21</v>
      </c>
      <c r="AD7883" s="17" t="s">
        <v>22552</v>
      </c>
      <c r="AE7883" s="145" t="s">
        <v>22581</v>
      </c>
      <c r="AF7883" s="146"/>
      <c r="AG7883" s="146"/>
      <c r="AH7883" s="146"/>
      <c r="AI7883" s="147"/>
      <c r="AJ7883" s="148"/>
      <c r="AK7883" s="143"/>
      <c r="AL7883" s="144"/>
      <c r="AM7883" s="22"/>
      <c r="AN7883" s="149" t="s">
        <v>2511</v>
      </c>
      <c r="AO7883" s="144"/>
      <c r="AP7883" s="148">
        <v>80012</v>
      </c>
      <c r="AQ7883" s="144"/>
      <c r="AR7883" s="120"/>
      <c r="AS7883" s="121"/>
      <c r="AT7883" s="120"/>
      <c r="AU7883" s="121"/>
      <c r="AV7883" s="120"/>
      <c r="AW7883" s="121"/>
      <c r="AX7883" s="120"/>
      <c r="AY7883" s="121"/>
      <c r="AZ7883" s="138"/>
    </row>
    <row r="7884" spans="1:52" ht="17.100000000000001" customHeight="1" thickTop="1">
      <c r="A7884" s="109" t="s">
        <v>22322</v>
      </c>
      <c r="B7884" s="28">
        <v>46118</v>
      </c>
      <c r="C7884" s="25">
        <v>2088</v>
      </c>
      <c r="D7884" s="13" t="s">
        <v>1712</v>
      </c>
      <c r="E7884" s="111"/>
      <c r="F7884" s="113" t="s">
        <v>22482</v>
      </c>
      <c r="G7884" s="114"/>
      <c r="H7884" s="115"/>
      <c r="I7884" s="24"/>
      <c r="J7884" s="116">
        <v>4.5</v>
      </c>
      <c r="K7884" s="118">
        <v>1740000</v>
      </c>
      <c r="L7884" s="119"/>
      <c r="M7884" s="118">
        <f t="shared" ref="M7884" si="11672">K7884*0.1</f>
        <v>174000</v>
      </c>
      <c r="N7884" s="119"/>
      <c r="O7884" s="118">
        <v>0</v>
      </c>
      <c r="P7884" s="119"/>
      <c r="Q7884" s="118">
        <v>17850</v>
      </c>
      <c r="R7884" s="119"/>
      <c r="S7884" s="118">
        <v>11000</v>
      </c>
      <c r="T7884" s="119"/>
      <c r="U7884" s="118">
        <f t="shared" ref="U7884" si="11673">SUM(K7884:T7885)</f>
        <v>1942850</v>
      </c>
      <c r="V7884" s="122"/>
      <c r="W7884" s="124"/>
      <c r="X7884" s="126" t="s">
        <v>22583</v>
      </c>
      <c r="Y7884" s="127"/>
      <c r="Z7884" s="127"/>
      <c r="AA7884" s="127"/>
      <c r="AB7884" s="128"/>
      <c r="AC7884" s="15" t="s">
        <v>20</v>
      </c>
      <c r="AD7884" s="129" t="s">
        <v>22483</v>
      </c>
      <c r="AE7884" s="130"/>
      <c r="AF7884" s="130"/>
      <c r="AG7884" s="130"/>
      <c r="AH7884" s="130"/>
      <c r="AI7884" s="131"/>
      <c r="AJ7884" s="132"/>
      <c r="AK7884" s="127"/>
      <c r="AL7884" s="128"/>
      <c r="AM7884" s="21"/>
      <c r="AN7884" s="133">
        <v>46137</v>
      </c>
      <c r="AO7884" s="134"/>
      <c r="AP7884" s="135">
        <v>1298</v>
      </c>
      <c r="AQ7884" s="136"/>
      <c r="AR7884" s="118">
        <v>1865000</v>
      </c>
      <c r="AS7884" s="119"/>
      <c r="AT7884" s="118">
        <f t="shared" ref="AT7884" si="11674">AR7884*0.1</f>
        <v>186500</v>
      </c>
      <c r="AU7884" s="119"/>
      <c r="AV7884" s="118">
        <v>17850</v>
      </c>
      <c r="AW7884" s="119"/>
      <c r="AX7884" s="118">
        <f t="shared" ref="AX7884" si="11675">SUM(AR7884:AW7884)</f>
        <v>2069350</v>
      </c>
      <c r="AY7884" s="119"/>
      <c r="AZ7884" s="137">
        <v>46140</v>
      </c>
    </row>
    <row r="7885" spans="1:52" ht="17.100000000000001" customHeight="1" thickBot="1">
      <c r="A7885" s="110"/>
      <c r="B7885" s="27" t="s">
        <v>83</v>
      </c>
      <c r="C7885" s="27">
        <v>34545</v>
      </c>
      <c r="D7885" s="14" t="s">
        <v>1720</v>
      </c>
      <c r="E7885" s="112"/>
      <c r="F7885" s="139" t="s">
        <v>22338</v>
      </c>
      <c r="G7885" s="140"/>
      <c r="H7885" s="141"/>
      <c r="I7885" s="26">
        <v>80342</v>
      </c>
      <c r="J7885" s="117"/>
      <c r="K7885" s="120"/>
      <c r="L7885" s="121"/>
      <c r="M7885" s="120"/>
      <c r="N7885" s="121"/>
      <c r="O7885" s="120"/>
      <c r="P7885" s="121"/>
      <c r="Q7885" s="120"/>
      <c r="R7885" s="121"/>
      <c r="S7885" s="120"/>
      <c r="T7885" s="121"/>
      <c r="U7885" s="120"/>
      <c r="V7885" s="123"/>
      <c r="W7885" s="125"/>
      <c r="X7885" s="142" t="s">
        <v>22584</v>
      </c>
      <c r="Y7885" s="143"/>
      <c r="Z7885" s="143"/>
      <c r="AA7885" s="143"/>
      <c r="AB7885" s="144"/>
      <c r="AC7885" s="16" t="s">
        <v>21</v>
      </c>
      <c r="AD7885" s="17" t="s">
        <v>22552</v>
      </c>
      <c r="AE7885" s="145" t="s">
        <v>22582</v>
      </c>
      <c r="AF7885" s="146"/>
      <c r="AG7885" s="146"/>
      <c r="AH7885" s="146"/>
      <c r="AI7885" s="147"/>
      <c r="AJ7885" s="148"/>
      <c r="AK7885" s="143"/>
      <c r="AL7885" s="144"/>
      <c r="AM7885" s="22"/>
      <c r="AN7885" s="149" t="s">
        <v>2511</v>
      </c>
      <c r="AO7885" s="144"/>
      <c r="AP7885" s="148">
        <v>80173</v>
      </c>
      <c r="AQ7885" s="144"/>
      <c r="AR7885" s="120"/>
      <c r="AS7885" s="121"/>
      <c r="AT7885" s="120"/>
      <c r="AU7885" s="121"/>
      <c r="AV7885" s="120"/>
      <c r="AW7885" s="121"/>
      <c r="AX7885" s="120"/>
      <c r="AY7885" s="121"/>
      <c r="AZ7885" s="138"/>
    </row>
    <row r="7886" spans="1:52" ht="17.100000000000001" customHeight="1" thickTop="1">
      <c r="A7886" s="109" t="s">
        <v>22323</v>
      </c>
      <c r="B7886" s="28">
        <v>46118</v>
      </c>
      <c r="C7886" s="25">
        <v>2088</v>
      </c>
      <c r="D7886" s="13" t="s">
        <v>1953</v>
      </c>
      <c r="E7886" s="111"/>
      <c r="F7886" s="113" t="s">
        <v>22058</v>
      </c>
      <c r="G7886" s="114"/>
      <c r="H7886" s="115"/>
      <c r="I7886" s="24"/>
      <c r="J7886" s="116">
        <v>4</v>
      </c>
      <c r="K7886" s="118">
        <v>1080000</v>
      </c>
      <c r="L7886" s="119"/>
      <c r="M7886" s="118">
        <f t="shared" ref="M7886" si="11676">K7886*0.1</f>
        <v>108000</v>
      </c>
      <c r="N7886" s="119"/>
      <c r="O7886" s="118">
        <v>0</v>
      </c>
      <c r="P7886" s="119"/>
      <c r="Q7886" s="118">
        <v>17600</v>
      </c>
      <c r="R7886" s="119"/>
      <c r="S7886" s="118">
        <v>17600</v>
      </c>
      <c r="T7886" s="119"/>
      <c r="U7886" s="118">
        <f t="shared" ref="U7886" si="11677">SUM(K7886:T7887)</f>
        <v>1223200</v>
      </c>
      <c r="V7886" s="122"/>
      <c r="W7886" s="124"/>
      <c r="X7886" s="126" t="s">
        <v>22587</v>
      </c>
      <c r="Y7886" s="127"/>
      <c r="Z7886" s="127"/>
      <c r="AA7886" s="127"/>
      <c r="AB7886" s="128"/>
      <c r="AC7886" s="15" t="s">
        <v>20</v>
      </c>
      <c r="AD7886" s="129" t="s">
        <v>22484</v>
      </c>
      <c r="AE7886" s="130"/>
      <c r="AF7886" s="130"/>
      <c r="AG7886" s="130"/>
      <c r="AH7886" s="130"/>
      <c r="AI7886" s="131"/>
      <c r="AJ7886" s="132"/>
      <c r="AK7886" s="127"/>
      <c r="AL7886" s="128"/>
      <c r="AM7886" s="21"/>
      <c r="AN7886" s="133">
        <v>46130</v>
      </c>
      <c r="AO7886" s="134"/>
      <c r="AP7886" s="135">
        <v>1297</v>
      </c>
      <c r="AQ7886" s="136"/>
      <c r="AR7886" s="118">
        <v>1235000</v>
      </c>
      <c r="AS7886" s="119"/>
      <c r="AT7886" s="118">
        <f t="shared" ref="AT7886" si="11678">AR7886*0.1</f>
        <v>123500</v>
      </c>
      <c r="AU7886" s="119"/>
      <c r="AV7886" s="118">
        <v>17600</v>
      </c>
      <c r="AW7886" s="119"/>
      <c r="AX7886" s="118">
        <f t="shared" ref="AX7886" si="11679">SUM(AR7886:AW7886)</f>
        <v>1376100</v>
      </c>
      <c r="AY7886" s="119"/>
      <c r="AZ7886" s="137">
        <v>46133</v>
      </c>
    </row>
    <row r="7887" spans="1:52" ht="17.100000000000001" customHeight="1" thickBot="1">
      <c r="A7887" s="110"/>
      <c r="B7887" s="27" t="s">
        <v>83</v>
      </c>
      <c r="C7887" s="27">
        <v>34552</v>
      </c>
      <c r="D7887" s="14" t="s">
        <v>1556</v>
      </c>
      <c r="E7887" s="112"/>
      <c r="F7887" s="139" t="s">
        <v>22339</v>
      </c>
      <c r="G7887" s="140"/>
      <c r="H7887" s="141"/>
      <c r="I7887" s="26">
        <v>37271</v>
      </c>
      <c r="J7887" s="117"/>
      <c r="K7887" s="120"/>
      <c r="L7887" s="121"/>
      <c r="M7887" s="120"/>
      <c r="N7887" s="121"/>
      <c r="O7887" s="120"/>
      <c r="P7887" s="121"/>
      <c r="Q7887" s="120"/>
      <c r="R7887" s="121"/>
      <c r="S7887" s="120"/>
      <c r="T7887" s="121"/>
      <c r="U7887" s="120"/>
      <c r="V7887" s="123"/>
      <c r="W7887" s="125"/>
      <c r="X7887" s="142" t="s">
        <v>22588</v>
      </c>
      <c r="Y7887" s="143"/>
      <c r="Z7887" s="143"/>
      <c r="AA7887" s="143"/>
      <c r="AB7887" s="144"/>
      <c r="AC7887" s="16" t="s">
        <v>21</v>
      </c>
      <c r="AD7887" s="17" t="s">
        <v>22552</v>
      </c>
      <c r="AE7887" s="145" t="s">
        <v>22589</v>
      </c>
      <c r="AF7887" s="146"/>
      <c r="AG7887" s="146"/>
      <c r="AH7887" s="146"/>
      <c r="AI7887" s="147"/>
      <c r="AJ7887" s="148"/>
      <c r="AK7887" s="143"/>
      <c r="AL7887" s="144"/>
      <c r="AM7887" s="22"/>
      <c r="AN7887" s="149" t="s">
        <v>2511</v>
      </c>
      <c r="AO7887" s="144"/>
      <c r="AP7887" s="148">
        <v>80011</v>
      </c>
      <c r="AQ7887" s="144"/>
      <c r="AR7887" s="120"/>
      <c r="AS7887" s="121"/>
      <c r="AT7887" s="120"/>
      <c r="AU7887" s="121"/>
      <c r="AV7887" s="120"/>
      <c r="AW7887" s="121"/>
      <c r="AX7887" s="120"/>
      <c r="AY7887" s="121"/>
      <c r="AZ7887" s="138"/>
    </row>
    <row r="7888" spans="1:52" ht="17.100000000000001" customHeight="1" thickTop="1">
      <c r="A7888" s="109" t="s">
        <v>22324</v>
      </c>
      <c r="B7888" s="28">
        <v>46118</v>
      </c>
      <c r="C7888" s="25"/>
      <c r="D7888" s="13" t="s">
        <v>1597</v>
      </c>
      <c r="E7888" s="111"/>
      <c r="F7888" s="113" t="s">
        <v>1938</v>
      </c>
      <c r="G7888" s="114"/>
      <c r="H7888" s="115"/>
      <c r="I7888" s="24" t="s">
        <v>4390</v>
      </c>
      <c r="J7888" s="116">
        <v>4</v>
      </c>
      <c r="K7888" s="118">
        <v>864000</v>
      </c>
      <c r="L7888" s="119"/>
      <c r="M7888" s="118">
        <f t="shared" ref="M7888" si="11680">K7888*0.1</f>
        <v>86400</v>
      </c>
      <c r="N7888" s="119"/>
      <c r="O7888" s="118">
        <v>34760</v>
      </c>
      <c r="P7888" s="119"/>
      <c r="Q7888" s="118">
        <v>16240</v>
      </c>
      <c r="R7888" s="119"/>
      <c r="S7888" s="118">
        <v>14850</v>
      </c>
      <c r="T7888" s="119"/>
      <c r="U7888" s="118">
        <f t="shared" ref="U7888" si="11681">SUM(K7888:T7889)</f>
        <v>1016250</v>
      </c>
      <c r="V7888" s="122"/>
      <c r="W7888" s="124"/>
      <c r="X7888" s="126" t="s">
        <v>22464</v>
      </c>
      <c r="Y7888" s="127"/>
      <c r="Z7888" s="127"/>
      <c r="AA7888" s="127"/>
      <c r="AB7888" s="128"/>
      <c r="AC7888" s="15" t="s">
        <v>20</v>
      </c>
      <c r="AD7888" s="129" t="s">
        <v>1670</v>
      </c>
      <c r="AE7888" s="130"/>
      <c r="AF7888" s="130"/>
      <c r="AG7888" s="130"/>
      <c r="AH7888" s="130"/>
      <c r="AI7888" s="131"/>
      <c r="AJ7888" s="132"/>
      <c r="AK7888" s="127"/>
      <c r="AL7888" s="128"/>
      <c r="AM7888" s="21" t="s">
        <v>25607</v>
      </c>
      <c r="AN7888" s="133"/>
      <c r="AO7888" s="134"/>
      <c r="AP7888" s="135"/>
      <c r="AQ7888" s="136"/>
      <c r="AR7888" s="118"/>
      <c r="AS7888" s="119"/>
      <c r="AT7888" s="118">
        <f t="shared" ref="AT7888" si="11682">AR7888*0.1</f>
        <v>0</v>
      </c>
      <c r="AU7888" s="119"/>
      <c r="AV7888" s="118"/>
      <c r="AW7888" s="119"/>
      <c r="AX7888" s="118">
        <f t="shared" ref="AX7888" si="11683">SUM(AR7888:AW7888)</f>
        <v>0</v>
      </c>
      <c r="AY7888" s="119"/>
      <c r="AZ7888" s="137"/>
    </row>
    <row r="7889" spans="1:52" ht="17.100000000000001" customHeight="1" thickBot="1">
      <c r="A7889" s="110"/>
      <c r="B7889" s="27" t="s">
        <v>9959</v>
      </c>
      <c r="C7889" s="27">
        <v>20190</v>
      </c>
      <c r="D7889" s="14" t="s">
        <v>1812</v>
      </c>
      <c r="E7889" s="112"/>
      <c r="F7889" s="139" t="s">
        <v>22463</v>
      </c>
      <c r="G7889" s="140"/>
      <c r="H7889" s="141"/>
      <c r="I7889" s="26">
        <v>44557</v>
      </c>
      <c r="J7889" s="117"/>
      <c r="K7889" s="120"/>
      <c r="L7889" s="121"/>
      <c r="M7889" s="120"/>
      <c r="N7889" s="121"/>
      <c r="O7889" s="120"/>
      <c r="P7889" s="121"/>
      <c r="Q7889" s="120"/>
      <c r="R7889" s="121"/>
      <c r="S7889" s="120"/>
      <c r="T7889" s="121"/>
      <c r="U7889" s="120"/>
      <c r="V7889" s="123"/>
      <c r="W7889" s="125"/>
      <c r="X7889" s="142" t="s">
        <v>4101</v>
      </c>
      <c r="Y7889" s="143"/>
      <c r="Z7889" s="143"/>
      <c r="AA7889" s="143"/>
      <c r="AB7889" s="144"/>
      <c r="AC7889" s="16" t="s">
        <v>21</v>
      </c>
      <c r="AD7889" s="17" t="s">
        <v>1795</v>
      </c>
      <c r="AE7889" s="145" t="s">
        <v>1633</v>
      </c>
      <c r="AF7889" s="146"/>
      <c r="AG7889" s="146"/>
      <c r="AH7889" s="146"/>
      <c r="AI7889" s="147"/>
      <c r="AJ7889" s="148"/>
      <c r="AK7889" s="143"/>
      <c r="AL7889" s="144"/>
      <c r="AM7889" s="22"/>
      <c r="AN7889" s="149"/>
      <c r="AO7889" s="144"/>
      <c r="AP7889" s="148"/>
      <c r="AQ7889" s="144"/>
      <c r="AR7889" s="120"/>
      <c r="AS7889" s="121"/>
      <c r="AT7889" s="120"/>
      <c r="AU7889" s="121"/>
      <c r="AV7889" s="120"/>
      <c r="AW7889" s="121"/>
      <c r="AX7889" s="120"/>
      <c r="AY7889" s="121"/>
      <c r="AZ7889" s="138"/>
    </row>
    <row r="7890" spans="1:52" ht="17.100000000000001" customHeight="1" thickTop="1">
      <c r="A7890" s="109" t="s">
        <v>22325</v>
      </c>
      <c r="B7890" s="28">
        <v>46118</v>
      </c>
      <c r="C7890" s="25"/>
      <c r="D7890" s="13" t="s">
        <v>2681</v>
      </c>
      <c r="E7890" s="111"/>
      <c r="F7890" s="113" t="s">
        <v>20719</v>
      </c>
      <c r="G7890" s="114"/>
      <c r="H7890" s="115"/>
      <c r="I7890" s="24"/>
      <c r="J7890" s="116">
        <v>4</v>
      </c>
      <c r="K7890" s="118">
        <v>1034000</v>
      </c>
      <c r="L7890" s="119"/>
      <c r="M7890" s="118">
        <f t="shared" ref="M7890" si="11684">K7890*0.1</f>
        <v>103400</v>
      </c>
      <c r="N7890" s="119"/>
      <c r="O7890" s="118">
        <v>0</v>
      </c>
      <c r="P7890" s="119"/>
      <c r="Q7890" s="118">
        <v>11810</v>
      </c>
      <c r="R7890" s="119"/>
      <c r="S7890" s="118">
        <v>14850</v>
      </c>
      <c r="T7890" s="119"/>
      <c r="U7890" s="118">
        <f t="shared" ref="U7890" si="11685">SUM(K7890:T7891)</f>
        <v>1164060</v>
      </c>
      <c r="V7890" s="122"/>
      <c r="W7890" s="124"/>
      <c r="X7890" s="126" t="s">
        <v>22920</v>
      </c>
      <c r="Y7890" s="127"/>
      <c r="Z7890" s="127"/>
      <c r="AA7890" s="127"/>
      <c r="AB7890" s="128"/>
      <c r="AC7890" s="15" t="s">
        <v>20</v>
      </c>
      <c r="AD7890" s="129"/>
      <c r="AE7890" s="130"/>
      <c r="AF7890" s="130"/>
      <c r="AG7890" s="130"/>
      <c r="AH7890" s="130"/>
      <c r="AI7890" s="131"/>
      <c r="AJ7890" s="132"/>
      <c r="AK7890" s="127"/>
      <c r="AL7890" s="128"/>
      <c r="AM7890" s="21"/>
      <c r="AN7890" s="133">
        <v>46137</v>
      </c>
      <c r="AO7890" s="134"/>
      <c r="AP7890" s="135">
        <v>1298</v>
      </c>
      <c r="AQ7890" s="136"/>
      <c r="AR7890" s="118">
        <v>1100000</v>
      </c>
      <c r="AS7890" s="119"/>
      <c r="AT7890" s="118">
        <f t="shared" ref="AT7890" si="11686">AR7890*0.1</f>
        <v>110000</v>
      </c>
      <c r="AU7890" s="119"/>
      <c r="AV7890" s="118">
        <v>11810</v>
      </c>
      <c r="AW7890" s="119"/>
      <c r="AX7890" s="118">
        <f t="shared" ref="AX7890" si="11687">SUM(AR7890:AW7890)</f>
        <v>1221810</v>
      </c>
      <c r="AY7890" s="119"/>
      <c r="AZ7890" s="137">
        <v>46140</v>
      </c>
    </row>
    <row r="7891" spans="1:52" ht="17.100000000000001" customHeight="1" thickBot="1">
      <c r="A7891" s="110"/>
      <c r="B7891" s="27" t="s">
        <v>2774</v>
      </c>
      <c r="C7891" s="27">
        <v>80252</v>
      </c>
      <c r="D7891" s="14" t="s">
        <v>1592</v>
      </c>
      <c r="E7891" s="112"/>
      <c r="F7891" s="139" t="s">
        <v>22919</v>
      </c>
      <c r="G7891" s="140"/>
      <c r="H7891" s="141"/>
      <c r="I7891" s="26">
        <v>39220</v>
      </c>
      <c r="J7891" s="117"/>
      <c r="K7891" s="120"/>
      <c r="L7891" s="121"/>
      <c r="M7891" s="120"/>
      <c r="N7891" s="121"/>
      <c r="O7891" s="120"/>
      <c r="P7891" s="121"/>
      <c r="Q7891" s="120"/>
      <c r="R7891" s="121"/>
      <c r="S7891" s="120"/>
      <c r="T7891" s="121"/>
      <c r="U7891" s="120"/>
      <c r="V7891" s="123"/>
      <c r="W7891" s="125"/>
      <c r="X7891" s="142" t="s">
        <v>2776</v>
      </c>
      <c r="Y7891" s="143"/>
      <c r="Z7891" s="143"/>
      <c r="AA7891" s="143"/>
      <c r="AB7891" s="144"/>
      <c r="AC7891" s="16" t="s">
        <v>21</v>
      </c>
      <c r="AD7891" s="17" t="s">
        <v>22918</v>
      </c>
      <c r="AE7891" s="145" t="s">
        <v>22612</v>
      </c>
      <c r="AF7891" s="146"/>
      <c r="AG7891" s="146"/>
      <c r="AH7891" s="146"/>
      <c r="AI7891" s="147"/>
      <c r="AJ7891" s="148"/>
      <c r="AK7891" s="143"/>
      <c r="AL7891" s="144"/>
      <c r="AM7891" s="22"/>
      <c r="AN7891" s="149" t="s">
        <v>2511</v>
      </c>
      <c r="AO7891" s="144"/>
      <c r="AP7891" s="148">
        <v>80256</v>
      </c>
      <c r="AQ7891" s="144"/>
      <c r="AR7891" s="120"/>
      <c r="AS7891" s="121"/>
      <c r="AT7891" s="120"/>
      <c r="AU7891" s="121"/>
      <c r="AV7891" s="120"/>
      <c r="AW7891" s="121"/>
      <c r="AX7891" s="120"/>
      <c r="AY7891" s="121"/>
      <c r="AZ7891" s="138"/>
    </row>
    <row r="7892" spans="1:52" ht="17.100000000000001" customHeight="1" thickTop="1">
      <c r="A7892" s="109" t="s">
        <v>22326</v>
      </c>
      <c r="B7892" s="28">
        <v>46118</v>
      </c>
      <c r="C7892" s="25"/>
      <c r="D7892" s="13" t="s">
        <v>2022</v>
      </c>
      <c r="E7892" s="111"/>
      <c r="F7892" s="113" t="s">
        <v>18668</v>
      </c>
      <c r="G7892" s="114"/>
      <c r="H7892" s="115"/>
      <c r="I7892" s="24" t="s">
        <v>1547</v>
      </c>
      <c r="J7892" s="116">
        <v>4</v>
      </c>
      <c r="K7892" s="118">
        <v>1188000</v>
      </c>
      <c r="L7892" s="119"/>
      <c r="M7892" s="118">
        <f t="shared" ref="M7892" si="11688">K7892*0.1</f>
        <v>118800</v>
      </c>
      <c r="N7892" s="119"/>
      <c r="O7892" s="118">
        <v>39820</v>
      </c>
      <c r="P7892" s="119"/>
      <c r="Q7892" s="118">
        <v>19090</v>
      </c>
      <c r="R7892" s="119"/>
      <c r="S7892" s="118">
        <v>14850</v>
      </c>
      <c r="T7892" s="119"/>
      <c r="U7892" s="118">
        <f t="shared" ref="U7892" si="11689">SUM(K7892:T7893)</f>
        <v>1380560</v>
      </c>
      <c r="V7892" s="122"/>
      <c r="W7892" s="124"/>
      <c r="X7892" s="126" t="s">
        <v>22485</v>
      </c>
      <c r="Y7892" s="127"/>
      <c r="Z7892" s="127"/>
      <c r="AA7892" s="127"/>
      <c r="AB7892" s="128"/>
      <c r="AC7892" s="15" t="s">
        <v>20</v>
      </c>
      <c r="AD7892" s="129"/>
      <c r="AE7892" s="130"/>
      <c r="AF7892" s="130"/>
      <c r="AG7892" s="130"/>
      <c r="AH7892" s="130"/>
      <c r="AI7892" s="131"/>
      <c r="AJ7892" s="132"/>
      <c r="AK7892" s="127"/>
      <c r="AL7892" s="128"/>
      <c r="AM7892" s="21"/>
      <c r="AN7892" s="133">
        <v>46144</v>
      </c>
      <c r="AO7892" s="134"/>
      <c r="AP7892" s="135">
        <v>1299</v>
      </c>
      <c r="AQ7892" s="136"/>
      <c r="AR7892" s="118">
        <v>1290000</v>
      </c>
      <c r="AS7892" s="119"/>
      <c r="AT7892" s="118">
        <f t="shared" ref="AT7892" si="11690">AR7892*0.1</f>
        <v>129000</v>
      </c>
      <c r="AU7892" s="119"/>
      <c r="AV7892" s="118">
        <v>19090</v>
      </c>
      <c r="AW7892" s="119"/>
      <c r="AX7892" s="118">
        <f t="shared" ref="AX7892" si="11691">SUM(AR7892:AW7892)</f>
        <v>1438090</v>
      </c>
      <c r="AY7892" s="119"/>
      <c r="AZ7892" s="137">
        <v>46154</v>
      </c>
    </row>
    <row r="7893" spans="1:52" ht="17.100000000000001" customHeight="1" thickBot="1">
      <c r="A7893" s="110"/>
      <c r="B7893" s="27" t="s">
        <v>2774</v>
      </c>
      <c r="C7893" s="27">
        <v>80255</v>
      </c>
      <c r="D7893" s="14" t="s">
        <v>904</v>
      </c>
      <c r="E7893" s="112"/>
      <c r="F7893" s="139" t="s">
        <v>22917</v>
      </c>
      <c r="G7893" s="140"/>
      <c r="H7893" s="141"/>
      <c r="I7893" s="26">
        <v>47093</v>
      </c>
      <c r="J7893" s="117"/>
      <c r="K7893" s="120"/>
      <c r="L7893" s="121"/>
      <c r="M7893" s="120"/>
      <c r="N7893" s="121"/>
      <c r="O7893" s="120"/>
      <c r="P7893" s="121"/>
      <c r="Q7893" s="120"/>
      <c r="R7893" s="121"/>
      <c r="S7893" s="120"/>
      <c r="T7893" s="121"/>
      <c r="U7893" s="120"/>
      <c r="V7893" s="123"/>
      <c r="W7893" s="125"/>
      <c r="X7893" s="142" t="s">
        <v>2776</v>
      </c>
      <c r="Y7893" s="143"/>
      <c r="Z7893" s="143"/>
      <c r="AA7893" s="143"/>
      <c r="AB7893" s="144"/>
      <c r="AC7893" s="16" t="s">
        <v>21</v>
      </c>
      <c r="AD7893" s="17" t="s">
        <v>22918</v>
      </c>
      <c r="AE7893" s="145" t="s">
        <v>22611</v>
      </c>
      <c r="AF7893" s="146"/>
      <c r="AG7893" s="146"/>
      <c r="AH7893" s="146"/>
      <c r="AI7893" s="147"/>
      <c r="AJ7893" s="148"/>
      <c r="AK7893" s="143"/>
      <c r="AL7893" s="144"/>
      <c r="AM7893" s="22"/>
      <c r="AN7893" s="149" t="s">
        <v>25047</v>
      </c>
      <c r="AO7893" s="144"/>
      <c r="AP7893" s="148">
        <v>80241</v>
      </c>
      <c r="AQ7893" s="144"/>
      <c r="AR7893" s="120"/>
      <c r="AS7893" s="121"/>
      <c r="AT7893" s="120"/>
      <c r="AU7893" s="121"/>
      <c r="AV7893" s="120"/>
      <c r="AW7893" s="121"/>
      <c r="AX7893" s="120"/>
      <c r="AY7893" s="121"/>
      <c r="AZ7893" s="138"/>
    </row>
    <row r="7894" spans="1:52" ht="17.100000000000001" customHeight="1" thickTop="1">
      <c r="A7894" s="109" t="s">
        <v>22327</v>
      </c>
      <c r="B7894" s="28">
        <v>46119</v>
      </c>
      <c r="C7894" s="25">
        <v>1936</v>
      </c>
      <c r="D7894" s="13" t="s">
        <v>1920</v>
      </c>
      <c r="E7894" s="111"/>
      <c r="F7894" s="113" t="s">
        <v>22178</v>
      </c>
      <c r="G7894" s="114"/>
      <c r="H7894" s="115"/>
      <c r="I7894" s="24"/>
      <c r="J7894" s="116">
        <v>4</v>
      </c>
      <c r="K7894" s="118">
        <v>1213000</v>
      </c>
      <c r="L7894" s="119"/>
      <c r="M7894" s="118">
        <f t="shared" ref="M7894" si="11692">K7894*0.1</f>
        <v>121300</v>
      </c>
      <c r="N7894" s="119"/>
      <c r="O7894" s="118">
        <v>0</v>
      </c>
      <c r="P7894" s="119"/>
      <c r="Q7894" s="118">
        <v>11480</v>
      </c>
      <c r="R7894" s="119"/>
      <c r="S7894" s="118">
        <v>15950</v>
      </c>
      <c r="T7894" s="119"/>
      <c r="U7894" s="118">
        <f t="shared" ref="U7894" si="11693">SUM(K7894:T7895)</f>
        <v>1361730</v>
      </c>
      <c r="V7894" s="122"/>
      <c r="W7894" s="124"/>
      <c r="X7894" s="126" t="s">
        <v>22554</v>
      </c>
      <c r="Y7894" s="127"/>
      <c r="Z7894" s="127"/>
      <c r="AA7894" s="127"/>
      <c r="AB7894" s="128"/>
      <c r="AC7894" s="15" t="s">
        <v>20</v>
      </c>
      <c r="AD7894" s="129"/>
      <c r="AE7894" s="130"/>
      <c r="AF7894" s="130"/>
      <c r="AG7894" s="130"/>
      <c r="AH7894" s="130"/>
      <c r="AI7894" s="131"/>
      <c r="AJ7894" s="132"/>
      <c r="AK7894" s="127"/>
      <c r="AL7894" s="128"/>
      <c r="AM7894" s="21"/>
      <c r="AN7894" s="133">
        <v>46130</v>
      </c>
      <c r="AO7894" s="134"/>
      <c r="AP7894" s="135">
        <v>1297</v>
      </c>
      <c r="AQ7894" s="136"/>
      <c r="AR7894" s="118">
        <v>1300000</v>
      </c>
      <c r="AS7894" s="119"/>
      <c r="AT7894" s="118">
        <f t="shared" ref="AT7894" si="11694">AR7894*0.1</f>
        <v>130000</v>
      </c>
      <c r="AU7894" s="119"/>
      <c r="AV7894" s="118">
        <v>11480</v>
      </c>
      <c r="AW7894" s="119"/>
      <c r="AX7894" s="118">
        <f t="shared" ref="AX7894" si="11695">SUM(AR7894:AW7894)</f>
        <v>1441480</v>
      </c>
      <c r="AY7894" s="119"/>
      <c r="AZ7894" s="137">
        <v>46139</v>
      </c>
    </row>
    <row r="7895" spans="1:52" ht="17.100000000000001" customHeight="1" thickBot="1">
      <c r="A7895" s="110"/>
      <c r="B7895" s="27" t="s">
        <v>2131</v>
      </c>
      <c r="C7895" s="27">
        <v>145</v>
      </c>
      <c r="D7895" s="14" t="s">
        <v>2601</v>
      </c>
      <c r="E7895" s="112"/>
      <c r="F7895" s="139" t="s">
        <v>22340</v>
      </c>
      <c r="G7895" s="140"/>
      <c r="H7895" s="141"/>
      <c r="I7895" s="26">
        <v>99670</v>
      </c>
      <c r="J7895" s="117"/>
      <c r="K7895" s="120"/>
      <c r="L7895" s="121"/>
      <c r="M7895" s="120"/>
      <c r="N7895" s="121"/>
      <c r="O7895" s="120"/>
      <c r="P7895" s="121"/>
      <c r="Q7895" s="120"/>
      <c r="R7895" s="121"/>
      <c r="S7895" s="120"/>
      <c r="T7895" s="121"/>
      <c r="U7895" s="120"/>
      <c r="V7895" s="123"/>
      <c r="W7895" s="125"/>
      <c r="X7895" s="142" t="s">
        <v>22555</v>
      </c>
      <c r="Y7895" s="143"/>
      <c r="Z7895" s="143"/>
      <c r="AA7895" s="143"/>
      <c r="AB7895" s="144"/>
      <c r="AC7895" s="16" t="s">
        <v>21</v>
      </c>
      <c r="AD7895" s="17" t="s">
        <v>22552</v>
      </c>
      <c r="AE7895" s="145" t="s">
        <v>22916</v>
      </c>
      <c r="AF7895" s="146"/>
      <c r="AG7895" s="146"/>
      <c r="AH7895" s="146"/>
      <c r="AI7895" s="147"/>
      <c r="AJ7895" s="148"/>
      <c r="AK7895" s="143"/>
      <c r="AL7895" s="144"/>
      <c r="AM7895" s="22"/>
      <c r="AN7895" s="149" t="s">
        <v>24093</v>
      </c>
      <c r="AO7895" s="144"/>
      <c r="AP7895" s="148">
        <v>50316</v>
      </c>
      <c r="AQ7895" s="144"/>
      <c r="AR7895" s="120"/>
      <c r="AS7895" s="121"/>
      <c r="AT7895" s="120"/>
      <c r="AU7895" s="121"/>
      <c r="AV7895" s="120"/>
      <c r="AW7895" s="121"/>
      <c r="AX7895" s="120"/>
      <c r="AY7895" s="121"/>
      <c r="AZ7895" s="138"/>
    </row>
    <row r="7896" spans="1:52" ht="17.100000000000001" customHeight="1" thickTop="1">
      <c r="A7896" s="109" t="s">
        <v>22328</v>
      </c>
      <c r="B7896" s="28">
        <v>46119</v>
      </c>
      <c r="C7896" s="25">
        <v>1936</v>
      </c>
      <c r="D7896" s="13" t="s">
        <v>1744</v>
      </c>
      <c r="E7896" s="111"/>
      <c r="F7896" s="113" t="s">
        <v>22341</v>
      </c>
      <c r="G7896" s="114"/>
      <c r="H7896" s="115"/>
      <c r="I7896" s="24"/>
      <c r="J7896" s="116">
        <v>4</v>
      </c>
      <c r="K7896" s="118">
        <v>647000</v>
      </c>
      <c r="L7896" s="119"/>
      <c r="M7896" s="118">
        <f t="shared" ref="M7896" si="11696">K7896*0.1</f>
        <v>64700</v>
      </c>
      <c r="N7896" s="119"/>
      <c r="O7896" s="118">
        <v>0</v>
      </c>
      <c r="P7896" s="119"/>
      <c r="Q7896" s="118">
        <v>9200</v>
      </c>
      <c r="R7896" s="119"/>
      <c r="S7896" s="118">
        <v>15950</v>
      </c>
      <c r="T7896" s="119"/>
      <c r="U7896" s="118">
        <f t="shared" ref="U7896" si="11697">SUM(K7896:T7897)</f>
        <v>736850</v>
      </c>
      <c r="V7896" s="122"/>
      <c r="W7896" s="124"/>
      <c r="X7896" s="126" t="s">
        <v>22556</v>
      </c>
      <c r="Y7896" s="127"/>
      <c r="Z7896" s="127"/>
      <c r="AA7896" s="127"/>
      <c r="AB7896" s="128"/>
      <c r="AC7896" s="15" t="s">
        <v>20</v>
      </c>
      <c r="AD7896" s="129"/>
      <c r="AE7896" s="130"/>
      <c r="AF7896" s="130"/>
      <c r="AG7896" s="130"/>
      <c r="AH7896" s="130"/>
      <c r="AI7896" s="131"/>
      <c r="AJ7896" s="132"/>
      <c r="AK7896" s="127"/>
      <c r="AL7896" s="128"/>
      <c r="AM7896" s="21"/>
      <c r="AN7896" s="133">
        <v>46130</v>
      </c>
      <c r="AO7896" s="134"/>
      <c r="AP7896" s="135">
        <v>1297</v>
      </c>
      <c r="AQ7896" s="136"/>
      <c r="AR7896" s="118">
        <v>720000</v>
      </c>
      <c r="AS7896" s="119"/>
      <c r="AT7896" s="118">
        <f t="shared" ref="AT7896" si="11698">AR7896*0.1</f>
        <v>72000</v>
      </c>
      <c r="AU7896" s="119"/>
      <c r="AV7896" s="118">
        <v>9200</v>
      </c>
      <c r="AW7896" s="119"/>
      <c r="AX7896" s="118">
        <f t="shared" ref="AX7896" si="11699">SUM(AR7896:AW7896)</f>
        <v>801200</v>
      </c>
      <c r="AY7896" s="119"/>
      <c r="AZ7896" s="137">
        <v>46133</v>
      </c>
    </row>
    <row r="7897" spans="1:52" ht="17.100000000000001" customHeight="1" thickBot="1">
      <c r="A7897" s="110"/>
      <c r="B7897" s="27" t="s">
        <v>2131</v>
      </c>
      <c r="C7897" s="27">
        <v>3223</v>
      </c>
      <c r="D7897" s="14" t="s">
        <v>133</v>
      </c>
      <c r="E7897" s="112"/>
      <c r="F7897" s="139" t="s">
        <v>22342</v>
      </c>
      <c r="G7897" s="140"/>
      <c r="H7897" s="141"/>
      <c r="I7897" s="26">
        <v>24758</v>
      </c>
      <c r="J7897" s="117"/>
      <c r="K7897" s="120"/>
      <c r="L7897" s="121"/>
      <c r="M7897" s="120"/>
      <c r="N7897" s="121"/>
      <c r="O7897" s="120"/>
      <c r="P7897" s="121"/>
      <c r="Q7897" s="120"/>
      <c r="R7897" s="121"/>
      <c r="S7897" s="120"/>
      <c r="T7897" s="121"/>
      <c r="U7897" s="120"/>
      <c r="V7897" s="123"/>
      <c r="W7897" s="125"/>
      <c r="X7897" s="142" t="s">
        <v>22557</v>
      </c>
      <c r="Y7897" s="143"/>
      <c r="Z7897" s="143"/>
      <c r="AA7897" s="143"/>
      <c r="AB7897" s="144"/>
      <c r="AC7897" s="16" t="s">
        <v>21</v>
      </c>
      <c r="AD7897" s="17" t="s">
        <v>22552</v>
      </c>
      <c r="AE7897" s="145"/>
      <c r="AF7897" s="146"/>
      <c r="AG7897" s="146"/>
      <c r="AH7897" s="146"/>
      <c r="AI7897" s="147"/>
      <c r="AJ7897" s="148"/>
      <c r="AK7897" s="143"/>
      <c r="AL7897" s="144"/>
      <c r="AM7897" s="22"/>
      <c r="AN7897" s="149" t="s">
        <v>2511</v>
      </c>
      <c r="AO7897" s="144"/>
      <c r="AP7897" s="148">
        <v>60310</v>
      </c>
      <c r="AQ7897" s="144"/>
      <c r="AR7897" s="120"/>
      <c r="AS7897" s="121"/>
      <c r="AT7897" s="120"/>
      <c r="AU7897" s="121"/>
      <c r="AV7897" s="120"/>
      <c r="AW7897" s="121"/>
      <c r="AX7897" s="120"/>
      <c r="AY7897" s="121"/>
      <c r="AZ7897" s="138"/>
    </row>
    <row r="7898" spans="1:52" ht="17.100000000000001" customHeight="1" thickTop="1">
      <c r="A7898" s="109" t="s">
        <v>22329</v>
      </c>
      <c r="B7898" s="28">
        <v>46119</v>
      </c>
      <c r="C7898" s="25">
        <v>1936</v>
      </c>
      <c r="D7898" s="13" t="s">
        <v>2179</v>
      </c>
      <c r="E7898" s="111"/>
      <c r="F7898" s="113" t="s">
        <v>7340</v>
      </c>
      <c r="G7898" s="114"/>
      <c r="H7898" s="115"/>
      <c r="I7898" s="24"/>
      <c r="J7898" s="116">
        <v>4</v>
      </c>
      <c r="K7898" s="118">
        <v>433000</v>
      </c>
      <c r="L7898" s="119"/>
      <c r="M7898" s="118">
        <f t="shared" ref="M7898" si="11700">K7898*0.1</f>
        <v>43300</v>
      </c>
      <c r="N7898" s="119"/>
      <c r="O7898" s="118">
        <v>0</v>
      </c>
      <c r="P7898" s="119"/>
      <c r="Q7898" s="118">
        <v>8400</v>
      </c>
      <c r="R7898" s="119"/>
      <c r="S7898" s="118">
        <v>15950</v>
      </c>
      <c r="T7898" s="119"/>
      <c r="U7898" s="118">
        <f t="shared" ref="U7898" si="11701">SUM(K7898:T7899)</f>
        <v>500650</v>
      </c>
      <c r="V7898" s="122"/>
      <c r="W7898" s="124"/>
      <c r="X7898" s="126" t="s">
        <v>22558</v>
      </c>
      <c r="Y7898" s="127"/>
      <c r="Z7898" s="127"/>
      <c r="AA7898" s="127"/>
      <c r="AB7898" s="128"/>
      <c r="AC7898" s="15" t="s">
        <v>20</v>
      </c>
      <c r="AD7898" s="129"/>
      <c r="AE7898" s="130"/>
      <c r="AF7898" s="130"/>
      <c r="AG7898" s="130"/>
      <c r="AH7898" s="130"/>
      <c r="AI7898" s="131"/>
      <c r="AJ7898" s="132"/>
      <c r="AK7898" s="127"/>
      <c r="AL7898" s="128"/>
      <c r="AM7898" s="21"/>
      <c r="AN7898" s="133">
        <v>46130</v>
      </c>
      <c r="AO7898" s="134"/>
      <c r="AP7898" s="135">
        <v>1297</v>
      </c>
      <c r="AQ7898" s="136"/>
      <c r="AR7898" s="118">
        <v>515000</v>
      </c>
      <c r="AS7898" s="119"/>
      <c r="AT7898" s="118">
        <f t="shared" ref="AT7898" si="11702">AR7898*0.1</f>
        <v>51500</v>
      </c>
      <c r="AU7898" s="119"/>
      <c r="AV7898" s="118">
        <v>8400</v>
      </c>
      <c r="AW7898" s="119"/>
      <c r="AX7898" s="118">
        <f t="shared" ref="AX7898" si="11703">SUM(AR7898:AW7898)</f>
        <v>574900</v>
      </c>
      <c r="AY7898" s="119"/>
      <c r="AZ7898" s="137">
        <v>46133</v>
      </c>
    </row>
    <row r="7899" spans="1:52" ht="17.100000000000001" customHeight="1" thickBot="1">
      <c r="A7899" s="110"/>
      <c r="B7899" s="27" t="s">
        <v>2131</v>
      </c>
      <c r="C7899" s="27">
        <v>3401</v>
      </c>
      <c r="D7899" s="14" t="s">
        <v>1556</v>
      </c>
      <c r="E7899" s="112"/>
      <c r="F7899" s="139" t="s">
        <v>22343</v>
      </c>
      <c r="G7899" s="140"/>
      <c r="H7899" s="141"/>
      <c r="I7899" s="26">
        <v>36631</v>
      </c>
      <c r="J7899" s="117"/>
      <c r="K7899" s="120"/>
      <c r="L7899" s="121"/>
      <c r="M7899" s="120"/>
      <c r="N7899" s="121"/>
      <c r="O7899" s="120"/>
      <c r="P7899" s="121"/>
      <c r="Q7899" s="120"/>
      <c r="R7899" s="121"/>
      <c r="S7899" s="120"/>
      <c r="T7899" s="121"/>
      <c r="U7899" s="120"/>
      <c r="V7899" s="123"/>
      <c r="W7899" s="125"/>
      <c r="X7899" s="142" t="s">
        <v>22559</v>
      </c>
      <c r="Y7899" s="143"/>
      <c r="Z7899" s="143"/>
      <c r="AA7899" s="143"/>
      <c r="AB7899" s="144"/>
      <c r="AC7899" s="16" t="s">
        <v>21</v>
      </c>
      <c r="AD7899" s="17" t="s">
        <v>22552</v>
      </c>
      <c r="AE7899" s="145" t="s">
        <v>22560</v>
      </c>
      <c r="AF7899" s="146"/>
      <c r="AG7899" s="146"/>
      <c r="AH7899" s="146"/>
      <c r="AI7899" s="147"/>
      <c r="AJ7899" s="148"/>
      <c r="AK7899" s="143"/>
      <c r="AL7899" s="144"/>
      <c r="AM7899" s="22"/>
      <c r="AN7899" s="149" t="s">
        <v>2511</v>
      </c>
      <c r="AO7899" s="144"/>
      <c r="AP7899" s="148">
        <v>60320</v>
      </c>
      <c r="AQ7899" s="144"/>
      <c r="AR7899" s="120"/>
      <c r="AS7899" s="121"/>
      <c r="AT7899" s="120"/>
      <c r="AU7899" s="121"/>
      <c r="AV7899" s="120"/>
      <c r="AW7899" s="121"/>
      <c r="AX7899" s="120"/>
      <c r="AY7899" s="121"/>
      <c r="AZ7899" s="138"/>
    </row>
    <row r="7900" spans="1:52" ht="17.100000000000001" customHeight="1" thickTop="1">
      <c r="A7900" s="109" t="s">
        <v>22330</v>
      </c>
      <c r="B7900" s="28">
        <v>46119</v>
      </c>
      <c r="C7900" s="25">
        <v>1936</v>
      </c>
      <c r="D7900" s="13" t="s">
        <v>2465</v>
      </c>
      <c r="E7900" s="111"/>
      <c r="F7900" s="113" t="s">
        <v>16264</v>
      </c>
      <c r="G7900" s="114"/>
      <c r="H7900" s="115"/>
      <c r="I7900" s="24"/>
      <c r="J7900" s="116">
        <v>4</v>
      </c>
      <c r="K7900" s="118">
        <v>566000</v>
      </c>
      <c r="L7900" s="119"/>
      <c r="M7900" s="118">
        <f t="shared" ref="M7900" si="11704">K7900*0.1</f>
        <v>56600</v>
      </c>
      <c r="N7900" s="119"/>
      <c r="O7900" s="118">
        <v>0</v>
      </c>
      <c r="P7900" s="119"/>
      <c r="Q7900" s="118">
        <v>8850</v>
      </c>
      <c r="R7900" s="119"/>
      <c r="S7900" s="118">
        <v>15950</v>
      </c>
      <c r="T7900" s="119"/>
      <c r="U7900" s="118">
        <f t="shared" ref="U7900" si="11705">SUM(K7900:T7901)</f>
        <v>647400</v>
      </c>
      <c r="V7900" s="122"/>
      <c r="W7900" s="124"/>
      <c r="X7900" s="126" t="s">
        <v>22568</v>
      </c>
      <c r="Y7900" s="127"/>
      <c r="Z7900" s="127"/>
      <c r="AA7900" s="127"/>
      <c r="AB7900" s="128"/>
      <c r="AC7900" s="15" t="s">
        <v>20</v>
      </c>
      <c r="AD7900" s="129"/>
      <c r="AE7900" s="130"/>
      <c r="AF7900" s="130"/>
      <c r="AG7900" s="130"/>
      <c r="AH7900" s="130"/>
      <c r="AI7900" s="131"/>
      <c r="AJ7900" s="132"/>
      <c r="AK7900" s="127"/>
      <c r="AL7900" s="128"/>
      <c r="AM7900" s="21"/>
      <c r="AN7900" s="133">
        <v>46123</v>
      </c>
      <c r="AO7900" s="134"/>
      <c r="AP7900" s="135">
        <v>1296</v>
      </c>
      <c r="AQ7900" s="136"/>
      <c r="AR7900" s="118">
        <v>620000</v>
      </c>
      <c r="AS7900" s="119"/>
      <c r="AT7900" s="118">
        <f t="shared" ref="AT7900" si="11706">AR7900*0.1</f>
        <v>62000</v>
      </c>
      <c r="AU7900" s="119"/>
      <c r="AV7900" s="118">
        <v>8850</v>
      </c>
      <c r="AW7900" s="119"/>
      <c r="AX7900" s="118">
        <f t="shared" ref="AX7900" si="11707">SUM(AR7900:AW7900)</f>
        <v>690850</v>
      </c>
      <c r="AY7900" s="119"/>
      <c r="AZ7900" s="137">
        <v>46126</v>
      </c>
    </row>
    <row r="7901" spans="1:52" ht="17.100000000000001" customHeight="1" thickBot="1">
      <c r="A7901" s="110"/>
      <c r="B7901" s="27" t="s">
        <v>2131</v>
      </c>
      <c r="C7901" s="27">
        <v>3402</v>
      </c>
      <c r="D7901" s="14" t="s">
        <v>275</v>
      </c>
      <c r="E7901" s="112"/>
      <c r="F7901" s="139" t="s">
        <v>22344</v>
      </c>
      <c r="G7901" s="140"/>
      <c r="H7901" s="141"/>
      <c r="I7901" s="26">
        <v>21561</v>
      </c>
      <c r="J7901" s="117"/>
      <c r="K7901" s="120"/>
      <c r="L7901" s="121"/>
      <c r="M7901" s="120"/>
      <c r="N7901" s="121"/>
      <c r="O7901" s="120"/>
      <c r="P7901" s="121"/>
      <c r="Q7901" s="120"/>
      <c r="R7901" s="121"/>
      <c r="S7901" s="120"/>
      <c r="T7901" s="121"/>
      <c r="U7901" s="120"/>
      <c r="V7901" s="123"/>
      <c r="W7901" s="125"/>
      <c r="X7901" s="142" t="s">
        <v>22559</v>
      </c>
      <c r="Y7901" s="143"/>
      <c r="Z7901" s="143"/>
      <c r="AA7901" s="143"/>
      <c r="AB7901" s="144"/>
      <c r="AC7901" s="16" t="s">
        <v>21</v>
      </c>
      <c r="AD7901" s="17" t="s">
        <v>22552</v>
      </c>
      <c r="AE7901" s="145" t="s">
        <v>22560</v>
      </c>
      <c r="AF7901" s="146"/>
      <c r="AG7901" s="146"/>
      <c r="AH7901" s="146"/>
      <c r="AI7901" s="147"/>
      <c r="AJ7901" s="148"/>
      <c r="AK7901" s="143"/>
      <c r="AL7901" s="144"/>
      <c r="AM7901" s="22"/>
      <c r="AN7901" s="149" t="s">
        <v>2511</v>
      </c>
      <c r="AO7901" s="144"/>
      <c r="AP7901" s="148">
        <v>60505</v>
      </c>
      <c r="AQ7901" s="144"/>
      <c r="AR7901" s="120"/>
      <c r="AS7901" s="121"/>
      <c r="AT7901" s="120"/>
      <c r="AU7901" s="121"/>
      <c r="AV7901" s="120"/>
      <c r="AW7901" s="121"/>
      <c r="AX7901" s="120"/>
      <c r="AY7901" s="121"/>
      <c r="AZ7901" s="138"/>
    </row>
    <row r="7902" spans="1:52" ht="17.100000000000001" customHeight="1" thickTop="1">
      <c r="A7902" s="109" t="s">
        <v>22331</v>
      </c>
      <c r="B7902" s="28">
        <v>46119</v>
      </c>
      <c r="C7902" s="25">
        <v>1936</v>
      </c>
      <c r="D7902" s="13" t="s">
        <v>1586</v>
      </c>
      <c r="E7902" s="111"/>
      <c r="F7902" s="113" t="s">
        <v>22345</v>
      </c>
      <c r="G7902" s="114"/>
      <c r="H7902" s="115"/>
      <c r="I7902" s="24"/>
      <c r="J7902" s="116">
        <v>4</v>
      </c>
      <c r="K7902" s="118">
        <v>2250000</v>
      </c>
      <c r="L7902" s="119"/>
      <c r="M7902" s="118">
        <f t="shared" ref="M7902" si="11708">K7902*0.1</f>
        <v>225000</v>
      </c>
      <c r="N7902" s="119"/>
      <c r="O7902" s="118">
        <v>0</v>
      </c>
      <c r="P7902" s="119"/>
      <c r="Q7902" s="118">
        <v>24650</v>
      </c>
      <c r="R7902" s="119"/>
      <c r="S7902" s="118">
        <v>15950</v>
      </c>
      <c r="T7902" s="119"/>
      <c r="U7902" s="118">
        <f t="shared" ref="U7902" si="11709">SUM(K7902:T7903)</f>
        <v>2515600</v>
      </c>
      <c r="V7902" s="122"/>
      <c r="W7902" s="124"/>
      <c r="X7902" s="126" t="s">
        <v>22550</v>
      </c>
      <c r="Y7902" s="127"/>
      <c r="Z7902" s="127"/>
      <c r="AA7902" s="127"/>
      <c r="AB7902" s="128"/>
      <c r="AC7902" s="15" t="s">
        <v>20</v>
      </c>
      <c r="AD7902" s="129" t="s">
        <v>3178</v>
      </c>
      <c r="AE7902" s="130"/>
      <c r="AF7902" s="130"/>
      <c r="AG7902" s="130"/>
      <c r="AH7902" s="130"/>
      <c r="AI7902" s="131"/>
      <c r="AJ7902" s="132"/>
      <c r="AK7902" s="127"/>
      <c r="AL7902" s="128"/>
      <c r="AM7902" s="21"/>
      <c r="AN7902" s="133">
        <v>46130</v>
      </c>
      <c r="AO7902" s="134"/>
      <c r="AP7902" s="135">
        <v>1297</v>
      </c>
      <c r="AQ7902" s="136"/>
      <c r="AR7902" s="118">
        <v>2420000</v>
      </c>
      <c r="AS7902" s="119"/>
      <c r="AT7902" s="118">
        <f t="shared" ref="AT7902" si="11710">AR7902*0.1</f>
        <v>242000</v>
      </c>
      <c r="AU7902" s="119"/>
      <c r="AV7902" s="118">
        <v>24650</v>
      </c>
      <c r="AW7902" s="119"/>
      <c r="AX7902" s="118">
        <f t="shared" ref="AX7902" si="11711">SUM(AR7902:AW7902)</f>
        <v>2686650</v>
      </c>
      <c r="AY7902" s="119"/>
      <c r="AZ7902" s="137">
        <v>46133</v>
      </c>
    </row>
    <row r="7903" spans="1:52" ht="17.100000000000001" customHeight="1" thickBot="1">
      <c r="A7903" s="110"/>
      <c r="B7903" s="27" t="s">
        <v>2131</v>
      </c>
      <c r="C7903" s="27">
        <v>5076</v>
      </c>
      <c r="D7903" s="14" t="s">
        <v>275</v>
      </c>
      <c r="E7903" s="112"/>
      <c r="F7903" s="139" t="s">
        <v>22486</v>
      </c>
      <c r="G7903" s="140"/>
      <c r="H7903" s="141"/>
      <c r="I7903" s="26">
        <v>46719</v>
      </c>
      <c r="J7903" s="117"/>
      <c r="K7903" s="120"/>
      <c r="L7903" s="121"/>
      <c r="M7903" s="120"/>
      <c r="N7903" s="121"/>
      <c r="O7903" s="120"/>
      <c r="P7903" s="121"/>
      <c r="Q7903" s="120"/>
      <c r="R7903" s="121"/>
      <c r="S7903" s="120"/>
      <c r="T7903" s="121"/>
      <c r="U7903" s="120"/>
      <c r="V7903" s="123"/>
      <c r="W7903" s="125"/>
      <c r="X7903" s="142" t="s">
        <v>22551</v>
      </c>
      <c r="Y7903" s="143"/>
      <c r="Z7903" s="143"/>
      <c r="AA7903" s="143"/>
      <c r="AB7903" s="144"/>
      <c r="AC7903" s="16" t="s">
        <v>21</v>
      </c>
      <c r="AD7903" s="17" t="s">
        <v>22552</v>
      </c>
      <c r="AE7903" s="145" t="s">
        <v>22553</v>
      </c>
      <c r="AF7903" s="146"/>
      <c r="AG7903" s="146"/>
      <c r="AH7903" s="146"/>
      <c r="AI7903" s="147"/>
      <c r="AJ7903" s="148"/>
      <c r="AK7903" s="143"/>
      <c r="AL7903" s="144"/>
      <c r="AM7903" s="22"/>
      <c r="AN7903" s="149" t="s">
        <v>2511</v>
      </c>
      <c r="AO7903" s="144"/>
      <c r="AP7903" s="148">
        <v>80008</v>
      </c>
      <c r="AQ7903" s="144"/>
      <c r="AR7903" s="120"/>
      <c r="AS7903" s="121"/>
      <c r="AT7903" s="120"/>
      <c r="AU7903" s="121"/>
      <c r="AV7903" s="120"/>
      <c r="AW7903" s="121"/>
      <c r="AX7903" s="120"/>
      <c r="AY7903" s="121"/>
      <c r="AZ7903" s="138"/>
    </row>
    <row r="7904" spans="1:52" ht="17.100000000000001" customHeight="1" thickTop="1">
      <c r="A7904" s="109" t="s">
        <v>22352</v>
      </c>
      <c r="B7904" s="28">
        <v>46119</v>
      </c>
      <c r="C7904" s="25">
        <v>1936</v>
      </c>
      <c r="D7904" s="13" t="s">
        <v>2689</v>
      </c>
      <c r="E7904" s="111"/>
      <c r="F7904" s="113" t="s">
        <v>16016</v>
      </c>
      <c r="G7904" s="114"/>
      <c r="H7904" s="115"/>
      <c r="I7904" s="24" t="s">
        <v>4193</v>
      </c>
      <c r="J7904" s="116">
        <v>4.5</v>
      </c>
      <c r="K7904" s="118">
        <v>1251000</v>
      </c>
      <c r="L7904" s="119"/>
      <c r="M7904" s="118">
        <f t="shared" ref="M7904" si="11712">K7904*0.1</f>
        <v>125100</v>
      </c>
      <c r="N7904" s="119"/>
      <c r="O7904" s="118">
        <v>0</v>
      </c>
      <c r="P7904" s="119"/>
      <c r="Q7904" s="118">
        <v>8740</v>
      </c>
      <c r="R7904" s="119"/>
      <c r="S7904" s="118">
        <v>15950</v>
      </c>
      <c r="T7904" s="119"/>
      <c r="U7904" s="118">
        <f t="shared" ref="U7904" si="11713">SUM(K7904:T7905)</f>
        <v>1400790</v>
      </c>
      <c r="V7904" s="122"/>
      <c r="W7904" s="124"/>
      <c r="X7904" s="126" t="s">
        <v>22938</v>
      </c>
      <c r="Y7904" s="127"/>
      <c r="Z7904" s="127"/>
      <c r="AA7904" s="127"/>
      <c r="AB7904" s="128"/>
      <c r="AC7904" s="15" t="s">
        <v>20</v>
      </c>
      <c r="AD7904" s="129" t="s">
        <v>4617</v>
      </c>
      <c r="AE7904" s="130"/>
      <c r="AF7904" s="130"/>
      <c r="AG7904" s="130"/>
      <c r="AH7904" s="130"/>
      <c r="AI7904" s="131"/>
      <c r="AJ7904" s="132"/>
      <c r="AK7904" s="127"/>
      <c r="AL7904" s="128"/>
      <c r="AM7904" s="21" t="s">
        <v>25218</v>
      </c>
      <c r="AN7904" s="133">
        <v>46144</v>
      </c>
      <c r="AO7904" s="134"/>
      <c r="AP7904" s="135">
        <v>1299</v>
      </c>
      <c r="AQ7904" s="136"/>
      <c r="AR7904" s="118">
        <v>1340000</v>
      </c>
      <c r="AS7904" s="119"/>
      <c r="AT7904" s="118">
        <f t="shared" ref="AT7904" si="11714">AR7904*0.1</f>
        <v>134000</v>
      </c>
      <c r="AU7904" s="119"/>
      <c r="AV7904" s="118">
        <v>8740</v>
      </c>
      <c r="AW7904" s="119"/>
      <c r="AX7904" s="118">
        <f t="shared" ref="AX7904" si="11715">SUM(AR7904:AW7904)</f>
        <v>1482740</v>
      </c>
      <c r="AY7904" s="119"/>
      <c r="AZ7904" s="137">
        <v>46154</v>
      </c>
    </row>
    <row r="7905" spans="1:52" ht="17.100000000000001" customHeight="1" thickBot="1">
      <c r="A7905" s="110"/>
      <c r="B7905" s="27" t="s">
        <v>2131</v>
      </c>
      <c r="C7905" s="27">
        <v>5423</v>
      </c>
      <c r="D7905" s="14" t="s">
        <v>2601</v>
      </c>
      <c r="E7905" s="112"/>
      <c r="F7905" s="139" t="s">
        <v>22346</v>
      </c>
      <c r="G7905" s="140"/>
      <c r="H7905" s="141"/>
      <c r="I7905" s="26">
        <v>34337</v>
      </c>
      <c r="J7905" s="117"/>
      <c r="K7905" s="120"/>
      <c r="L7905" s="121"/>
      <c r="M7905" s="120"/>
      <c r="N7905" s="121"/>
      <c r="O7905" s="120"/>
      <c r="P7905" s="121"/>
      <c r="Q7905" s="120"/>
      <c r="R7905" s="121"/>
      <c r="S7905" s="120"/>
      <c r="T7905" s="121"/>
      <c r="U7905" s="120"/>
      <c r="V7905" s="123"/>
      <c r="W7905" s="125"/>
      <c r="X7905" s="142" t="s">
        <v>5254</v>
      </c>
      <c r="Y7905" s="143"/>
      <c r="Z7905" s="143"/>
      <c r="AA7905" s="143"/>
      <c r="AB7905" s="144"/>
      <c r="AC7905" s="16" t="s">
        <v>21</v>
      </c>
      <c r="AD7905" s="17" t="s">
        <v>3461</v>
      </c>
      <c r="AE7905" s="145" t="s">
        <v>22939</v>
      </c>
      <c r="AF7905" s="146"/>
      <c r="AG7905" s="146"/>
      <c r="AH7905" s="146"/>
      <c r="AI7905" s="147"/>
      <c r="AJ7905" s="148"/>
      <c r="AK7905" s="143"/>
      <c r="AL7905" s="144"/>
      <c r="AM7905" s="22"/>
      <c r="AN7905" s="149" t="s">
        <v>25047</v>
      </c>
      <c r="AO7905" s="144"/>
      <c r="AP7905" s="148">
        <v>60114</v>
      </c>
      <c r="AQ7905" s="144"/>
      <c r="AR7905" s="120"/>
      <c r="AS7905" s="121"/>
      <c r="AT7905" s="120"/>
      <c r="AU7905" s="121"/>
      <c r="AV7905" s="120"/>
      <c r="AW7905" s="121"/>
      <c r="AX7905" s="120"/>
      <c r="AY7905" s="121"/>
      <c r="AZ7905" s="138"/>
    </row>
    <row r="7906" spans="1:52" ht="17.100000000000001" customHeight="1" thickTop="1">
      <c r="A7906" s="109" t="s">
        <v>22353</v>
      </c>
      <c r="B7906" s="28">
        <v>46119</v>
      </c>
      <c r="C7906" s="25">
        <v>1936</v>
      </c>
      <c r="D7906" s="13" t="s">
        <v>2009</v>
      </c>
      <c r="E7906" s="111"/>
      <c r="F7906" s="113" t="s">
        <v>22347</v>
      </c>
      <c r="G7906" s="114"/>
      <c r="H7906" s="115"/>
      <c r="I7906" s="24"/>
      <c r="J7906" s="116">
        <v>4</v>
      </c>
      <c r="K7906" s="118">
        <v>935000</v>
      </c>
      <c r="L7906" s="119"/>
      <c r="M7906" s="118">
        <f t="shared" ref="M7906" si="11716">K7906*0.1</f>
        <v>93500</v>
      </c>
      <c r="N7906" s="119"/>
      <c r="O7906" s="118">
        <v>0</v>
      </c>
      <c r="P7906" s="119"/>
      <c r="Q7906" s="118">
        <v>8130</v>
      </c>
      <c r="R7906" s="119"/>
      <c r="S7906" s="118">
        <v>15950</v>
      </c>
      <c r="T7906" s="119"/>
      <c r="U7906" s="118">
        <f t="shared" ref="U7906" si="11717">SUM(K7906:T7907)</f>
        <v>1052580</v>
      </c>
      <c r="V7906" s="122"/>
      <c r="W7906" s="124"/>
      <c r="X7906" s="126" t="s">
        <v>22565</v>
      </c>
      <c r="Y7906" s="127"/>
      <c r="Z7906" s="127"/>
      <c r="AA7906" s="127"/>
      <c r="AB7906" s="128"/>
      <c r="AC7906" s="15" t="s">
        <v>20</v>
      </c>
      <c r="AD7906" s="129" t="s">
        <v>22487</v>
      </c>
      <c r="AE7906" s="130"/>
      <c r="AF7906" s="130"/>
      <c r="AG7906" s="130"/>
      <c r="AH7906" s="130"/>
      <c r="AI7906" s="131"/>
      <c r="AJ7906" s="132"/>
      <c r="AK7906" s="127"/>
      <c r="AL7906" s="128"/>
      <c r="AM7906" s="21"/>
      <c r="AN7906" s="133">
        <v>46144</v>
      </c>
      <c r="AO7906" s="134"/>
      <c r="AP7906" s="135">
        <v>1299</v>
      </c>
      <c r="AQ7906" s="136"/>
      <c r="AR7906" s="118">
        <v>1050000</v>
      </c>
      <c r="AS7906" s="119"/>
      <c r="AT7906" s="118">
        <f t="shared" ref="AT7906" si="11718">AR7906*0.1</f>
        <v>105000</v>
      </c>
      <c r="AU7906" s="119"/>
      <c r="AV7906" s="118">
        <v>8130</v>
      </c>
      <c r="AW7906" s="119"/>
      <c r="AX7906" s="118">
        <f t="shared" ref="AX7906" si="11719">SUM(AR7906:AW7906)</f>
        <v>1163130</v>
      </c>
      <c r="AY7906" s="119"/>
      <c r="AZ7906" s="137">
        <v>46154</v>
      </c>
    </row>
    <row r="7907" spans="1:52" ht="17.100000000000001" customHeight="1" thickBot="1">
      <c r="A7907" s="110"/>
      <c r="B7907" s="27" t="s">
        <v>2131</v>
      </c>
      <c r="C7907" s="27">
        <v>5448</v>
      </c>
      <c r="D7907" s="14" t="s">
        <v>1576</v>
      </c>
      <c r="E7907" s="112"/>
      <c r="F7907" s="139" t="s">
        <v>22348</v>
      </c>
      <c r="G7907" s="140"/>
      <c r="H7907" s="141"/>
      <c r="I7907" s="26">
        <v>37123</v>
      </c>
      <c r="J7907" s="117"/>
      <c r="K7907" s="120"/>
      <c r="L7907" s="121"/>
      <c r="M7907" s="120"/>
      <c r="N7907" s="121"/>
      <c r="O7907" s="120"/>
      <c r="P7907" s="121"/>
      <c r="Q7907" s="120"/>
      <c r="R7907" s="121"/>
      <c r="S7907" s="120"/>
      <c r="T7907" s="121"/>
      <c r="U7907" s="120"/>
      <c r="V7907" s="123"/>
      <c r="W7907" s="125"/>
      <c r="X7907" s="142" t="s">
        <v>22566</v>
      </c>
      <c r="Y7907" s="143"/>
      <c r="Z7907" s="143"/>
      <c r="AA7907" s="143"/>
      <c r="AB7907" s="144"/>
      <c r="AC7907" s="16" t="s">
        <v>21</v>
      </c>
      <c r="AD7907" s="17" t="s">
        <v>22552</v>
      </c>
      <c r="AE7907" s="145" t="s">
        <v>22567</v>
      </c>
      <c r="AF7907" s="146"/>
      <c r="AG7907" s="146"/>
      <c r="AH7907" s="146"/>
      <c r="AI7907" s="147"/>
      <c r="AJ7907" s="148"/>
      <c r="AK7907" s="143"/>
      <c r="AL7907" s="144"/>
      <c r="AM7907" s="22"/>
      <c r="AN7907" s="149" t="s">
        <v>25047</v>
      </c>
      <c r="AO7907" s="144"/>
      <c r="AP7907" s="148">
        <v>60106</v>
      </c>
      <c r="AQ7907" s="144"/>
      <c r="AR7907" s="120"/>
      <c r="AS7907" s="121"/>
      <c r="AT7907" s="120"/>
      <c r="AU7907" s="121"/>
      <c r="AV7907" s="120"/>
      <c r="AW7907" s="121"/>
      <c r="AX7907" s="120"/>
      <c r="AY7907" s="121"/>
      <c r="AZ7907" s="138"/>
    </row>
    <row r="7908" spans="1:52" ht="17.100000000000001" customHeight="1" thickTop="1">
      <c r="A7908" s="109" t="s">
        <v>22354</v>
      </c>
      <c r="B7908" s="28">
        <v>46119</v>
      </c>
      <c r="C7908" s="25">
        <v>1936</v>
      </c>
      <c r="D7908" s="13" t="s">
        <v>1572</v>
      </c>
      <c r="E7908" s="111"/>
      <c r="F7908" s="113" t="s">
        <v>21124</v>
      </c>
      <c r="G7908" s="114"/>
      <c r="H7908" s="115"/>
      <c r="I7908" s="24"/>
      <c r="J7908" s="116">
        <v>4.5</v>
      </c>
      <c r="K7908" s="118">
        <v>625000</v>
      </c>
      <c r="L7908" s="119"/>
      <c r="M7908" s="118">
        <f t="shared" ref="M7908" si="11720">K7908*0.1</f>
        <v>62500</v>
      </c>
      <c r="N7908" s="119"/>
      <c r="O7908" s="118">
        <v>0</v>
      </c>
      <c r="P7908" s="119"/>
      <c r="Q7908" s="118">
        <v>9790</v>
      </c>
      <c r="R7908" s="119"/>
      <c r="S7908" s="118">
        <v>15950</v>
      </c>
      <c r="T7908" s="119"/>
      <c r="U7908" s="118">
        <f t="shared" ref="U7908" si="11721">SUM(K7908:T7909)</f>
        <v>713240</v>
      </c>
      <c r="V7908" s="122"/>
      <c r="W7908" s="124"/>
      <c r="X7908" s="126" t="s">
        <v>23264</v>
      </c>
      <c r="Y7908" s="127"/>
      <c r="Z7908" s="127"/>
      <c r="AA7908" s="127"/>
      <c r="AB7908" s="128"/>
      <c r="AC7908" s="15" t="s">
        <v>20</v>
      </c>
      <c r="AD7908" s="129"/>
      <c r="AE7908" s="130"/>
      <c r="AF7908" s="130"/>
      <c r="AG7908" s="130"/>
      <c r="AH7908" s="130"/>
      <c r="AI7908" s="131"/>
      <c r="AJ7908" s="132"/>
      <c r="AK7908" s="127"/>
      <c r="AL7908" s="128"/>
      <c r="AM7908" s="21"/>
      <c r="AN7908" s="133">
        <v>46130</v>
      </c>
      <c r="AO7908" s="134"/>
      <c r="AP7908" s="135">
        <v>1297</v>
      </c>
      <c r="AQ7908" s="136"/>
      <c r="AR7908" s="118">
        <v>710000</v>
      </c>
      <c r="AS7908" s="119"/>
      <c r="AT7908" s="118">
        <f t="shared" ref="AT7908" si="11722">AR7908*0.1</f>
        <v>71000</v>
      </c>
      <c r="AU7908" s="119"/>
      <c r="AV7908" s="118">
        <v>9790</v>
      </c>
      <c r="AW7908" s="119"/>
      <c r="AX7908" s="118">
        <f t="shared" ref="AX7908" si="11723">SUM(AR7908:AW7908)</f>
        <v>790790</v>
      </c>
      <c r="AY7908" s="119"/>
      <c r="AZ7908" s="137">
        <v>46139</v>
      </c>
    </row>
    <row r="7909" spans="1:52" ht="17.100000000000001" customHeight="1" thickBot="1">
      <c r="A7909" s="110"/>
      <c r="B7909" s="27" t="s">
        <v>2131</v>
      </c>
      <c r="C7909" s="27">
        <v>5471</v>
      </c>
      <c r="D7909" s="14" t="s">
        <v>2601</v>
      </c>
      <c r="E7909" s="112"/>
      <c r="F7909" s="139" t="s">
        <v>22349</v>
      </c>
      <c r="G7909" s="140"/>
      <c r="H7909" s="141"/>
      <c r="I7909" s="26">
        <v>44792</v>
      </c>
      <c r="J7909" s="117"/>
      <c r="K7909" s="120"/>
      <c r="L7909" s="121"/>
      <c r="M7909" s="120"/>
      <c r="N7909" s="121"/>
      <c r="O7909" s="120"/>
      <c r="P7909" s="121"/>
      <c r="Q7909" s="120"/>
      <c r="R7909" s="121"/>
      <c r="S7909" s="120"/>
      <c r="T7909" s="121"/>
      <c r="U7909" s="120"/>
      <c r="V7909" s="123"/>
      <c r="W7909" s="125"/>
      <c r="X7909" s="142" t="s">
        <v>10732</v>
      </c>
      <c r="Y7909" s="143"/>
      <c r="Z7909" s="143"/>
      <c r="AA7909" s="143"/>
      <c r="AB7909" s="144"/>
      <c r="AC7909" s="16" t="s">
        <v>21</v>
      </c>
      <c r="AD7909" s="17" t="s">
        <v>1952</v>
      </c>
      <c r="AE7909" s="145"/>
      <c r="AF7909" s="146"/>
      <c r="AG7909" s="146"/>
      <c r="AH7909" s="146"/>
      <c r="AI7909" s="147"/>
      <c r="AJ7909" s="148"/>
      <c r="AK7909" s="143"/>
      <c r="AL7909" s="144"/>
      <c r="AM7909" s="22"/>
      <c r="AN7909" s="149" t="s">
        <v>6748</v>
      </c>
      <c r="AO7909" s="144"/>
      <c r="AP7909" s="148">
        <v>60319</v>
      </c>
      <c r="AQ7909" s="144"/>
      <c r="AR7909" s="120"/>
      <c r="AS7909" s="121"/>
      <c r="AT7909" s="120"/>
      <c r="AU7909" s="121"/>
      <c r="AV7909" s="120"/>
      <c r="AW7909" s="121"/>
      <c r="AX7909" s="120"/>
      <c r="AY7909" s="121"/>
      <c r="AZ7909" s="138"/>
    </row>
    <row r="7910" spans="1:52" ht="17.100000000000001" customHeight="1" thickTop="1">
      <c r="A7910" s="109" t="s">
        <v>22355</v>
      </c>
      <c r="B7910" s="28">
        <v>46119</v>
      </c>
      <c r="C7910" s="25">
        <v>1936</v>
      </c>
      <c r="D7910" s="13" t="s">
        <v>1902</v>
      </c>
      <c r="E7910" s="111"/>
      <c r="F7910" s="113" t="s">
        <v>15865</v>
      </c>
      <c r="G7910" s="114"/>
      <c r="H7910" s="115"/>
      <c r="I7910" s="24" t="s">
        <v>4314</v>
      </c>
      <c r="J7910" s="116">
        <v>3.5</v>
      </c>
      <c r="K7910" s="118">
        <v>639000</v>
      </c>
      <c r="L7910" s="119"/>
      <c r="M7910" s="118">
        <f t="shared" ref="M7910" si="11724">K7910*0.1</f>
        <v>63900</v>
      </c>
      <c r="N7910" s="119"/>
      <c r="O7910" s="118">
        <v>0</v>
      </c>
      <c r="P7910" s="119"/>
      <c r="Q7910" s="118">
        <v>8400</v>
      </c>
      <c r="R7910" s="119"/>
      <c r="S7910" s="118">
        <v>15950</v>
      </c>
      <c r="T7910" s="119"/>
      <c r="U7910" s="118">
        <f t="shared" ref="U7910" si="11725">SUM(K7910:T7911)</f>
        <v>727250</v>
      </c>
      <c r="V7910" s="122"/>
      <c r="W7910" s="124"/>
      <c r="X7910" s="126" t="s">
        <v>22488</v>
      </c>
      <c r="Y7910" s="127"/>
      <c r="Z7910" s="127"/>
      <c r="AA7910" s="127"/>
      <c r="AB7910" s="128"/>
      <c r="AC7910" s="15" t="s">
        <v>20</v>
      </c>
      <c r="AD7910" s="129"/>
      <c r="AE7910" s="130"/>
      <c r="AF7910" s="130"/>
      <c r="AG7910" s="130"/>
      <c r="AH7910" s="130"/>
      <c r="AI7910" s="131"/>
      <c r="AJ7910" s="132"/>
      <c r="AK7910" s="127"/>
      <c r="AL7910" s="128"/>
      <c r="AM7910" s="21"/>
      <c r="AN7910" s="133">
        <v>46123</v>
      </c>
      <c r="AO7910" s="134"/>
      <c r="AP7910" s="135">
        <v>1296</v>
      </c>
      <c r="AQ7910" s="136"/>
      <c r="AR7910" s="118">
        <v>740000</v>
      </c>
      <c r="AS7910" s="119"/>
      <c r="AT7910" s="118">
        <f t="shared" ref="AT7910" si="11726">AR7910*0.1</f>
        <v>74000</v>
      </c>
      <c r="AU7910" s="119"/>
      <c r="AV7910" s="118">
        <v>8400</v>
      </c>
      <c r="AW7910" s="119"/>
      <c r="AX7910" s="118">
        <f t="shared" ref="AX7910" si="11727">SUM(AR7910:AW7910)</f>
        <v>822400</v>
      </c>
      <c r="AY7910" s="119"/>
      <c r="AZ7910" s="137">
        <v>46133</v>
      </c>
    </row>
    <row r="7911" spans="1:52" ht="17.100000000000001" customHeight="1" thickBot="1">
      <c r="A7911" s="110"/>
      <c r="B7911" s="27" t="s">
        <v>2131</v>
      </c>
      <c r="C7911" s="27">
        <v>30073</v>
      </c>
      <c r="D7911" s="14" t="s">
        <v>275</v>
      </c>
      <c r="E7911" s="112"/>
      <c r="F7911" s="139" t="s">
        <v>22350</v>
      </c>
      <c r="G7911" s="140"/>
      <c r="H7911" s="141"/>
      <c r="I7911" s="26">
        <v>48280</v>
      </c>
      <c r="J7911" s="117"/>
      <c r="K7911" s="120"/>
      <c r="L7911" s="121"/>
      <c r="M7911" s="120"/>
      <c r="N7911" s="121"/>
      <c r="O7911" s="120"/>
      <c r="P7911" s="121"/>
      <c r="Q7911" s="120"/>
      <c r="R7911" s="121"/>
      <c r="S7911" s="120"/>
      <c r="T7911" s="121"/>
      <c r="U7911" s="120"/>
      <c r="V7911" s="123"/>
      <c r="W7911" s="125"/>
      <c r="X7911" s="142" t="s">
        <v>23230</v>
      </c>
      <c r="Y7911" s="143"/>
      <c r="Z7911" s="143"/>
      <c r="AA7911" s="143"/>
      <c r="AB7911" s="144"/>
      <c r="AC7911" s="16" t="s">
        <v>21</v>
      </c>
      <c r="AD7911" s="17" t="s">
        <v>1952</v>
      </c>
      <c r="AE7911" s="145" t="s">
        <v>22610</v>
      </c>
      <c r="AF7911" s="146"/>
      <c r="AG7911" s="146"/>
      <c r="AH7911" s="146"/>
      <c r="AI7911" s="147"/>
      <c r="AJ7911" s="148"/>
      <c r="AK7911" s="143"/>
      <c r="AL7911" s="144"/>
      <c r="AM7911" s="22"/>
      <c r="AN7911" s="149" t="s">
        <v>2511</v>
      </c>
      <c r="AO7911" s="144"/>
      <c r="AP7911" s="148">
        <v>60480</v>
      </c>
      <c r="AQ7911" s="144"/>
      <c r="AR7911" s="120"/>
      <c r="AS7911" s="121"/>
      <c r="AT7911" s="120"/>
      <c r="AU7911" s="121"/>
      <c r="AV7911" s="120"/>
      <c r="AW7911" s="121"/>
      <c r="AX7911" s="120"/>
      <c r="AY7911" s="121"/>
      <c r="AZ7911" s="138"/>
    </row>
    <row r="7912" spans="1:52" ht="17.100000000000001" customHeight="1" thickTop="1">
      <c r="A7912" s="109" t="s">
        <v>22356</v>
      </c>
      <c r="B7912" s="28">
        <v>46119</v>
      </c>
      <c r="C7912" s="25">
        <v>1936</v>
      </c>
      <c r="D7912" s="13" t="s">
        <v>1714</v>
      </c>
      <c r="E7912" s="111"/>
      <c r="F7912" s="113" t="s">
        <v>15533</v>
      </c>
      <c r="G7912" s="114"/>
      <c r="H7912" s="115"/>
      <c r="I7912" s="24"/>
      <c r="J7912" s="116">
        <v>4</v>
      </c>
      <c r="K7912" s="118">
        <v>346000</v>
      </c>
      <c r="L7912" s="119"/>
      <c r="M7912" s="118">
        <f t="shared" ref="M7912" si="11728">K7912*0.1</f>
        <v>34600</v>
      </c>
      <c r="N7912" s="119"/>
      <c r="O7912" s="118">
        <v>0</v>
      </c>
      <c r="P7912" s="119"/>
      <c r="Q7912" s="118">
        <v>7140</v>
      </c>
      <c r="R7912" s="119"/>
      <c r="S7912" s="118">
        <v>15950</v>
      </c>
      <c r="T7912" s="119"/>
      <c r="U7912" s="118">
        <f t="shared" ref="U7912" si="11729">SUM(K7912:T7913)</f>
        <v>403690</v>
      </c>
      <c r="V7912" s="122"/>
      <c r="W7912" s="124"/>
      <c r="X7912" s="126" t="s">
        <v>22940</v>
      </c>
      <c r="Y7912" s="127"/>
      <c r="Z7912" s="127"/>
      <c r="AA7912" s="127"/>
      <c r="AB7912" s="128"/>
      <c r="AC7912" s="15" t="s">
        <v>20</v>
      </c>
      <c r="AD7912" s="129"/>
      <c r="AE7912" s="130"/>
      <c r="AF7912" s="130"/>
      <c r="AG7912" s="130"/>
      <c r="AH7912" s="130"/>
      <c r="AI7912" s="131"/>
      <c r="AJ7912" s="132"/>
      <c r="AK7912" s="127"/>
      <c r="AL7912" s="128"/>
      <c r="AM7912" s="21"/>
      <c r="AN7912" s="133"/>
      <c r="AO7912" s="134"/>
      <c r="AP7912" s="135"/>
      <c r="AQ7912" s="136"/>
      <c r="AR7912" s="118"/>
      <c r="AS7912" s="119"/>
      <c r="AT7912" s="118">
        <f t="shared" ref="AT7912" si="11730">AR7912*0.1</f>
        <v>0</v>
      </c>
      <c r="AU7912" s="119"/>
      <c r="AV7912" s="118"/>
      <c r="AW7912" s="119"/>
      <c r="AX7912" s="118">
        <f t="shared" ref="AX7912" si="11731">SUM(AR7912:AW7912)</f>
        <v>0</v>
      </c>
      <c r="AY7912" s="119"/>
      <c r="AZ7912" s="137"/>
    </row>
    <row r="7913" spans="1:52" ht="17.100000000000001" customHeight="1" thickBot="1">
      <c r="A7913" s="110"/>
      <c r="B7913" s="27" t="s">
        <v>2131</v>
      </c>
      <c r="C7913" s="27">
        <v>79384</v>
      </c>
      <c r="D7913" s="14" t="s">
        <v>1720</v>
      </c>
      <c r="E7913" s="112"/>
      <c r="F7913" s="139" t="s">
        <v>22351</v>
      </c>
      <c r="G7913" s="140"/>
      <c r="H7913" s="141"/>
      <c r="I7913" s="26">
        <v>58451</v>
      </c>
      <c r="J7913" s="117"/>
      <c r="K7913" s="120"/>
      <c r="L7913" s="121"/>
      <c r="M7913" s="120"/>
      <c r="N7913" s="121"/>
      <c r="O7913" s="120"/>
      <c r="P7913" s="121"/>
      <c r="Q7913" s="120"/>
      <c r="R7913" s="121"/>
      <c r="S7913" s="120"/>
      <c r="T7913" s="121"/>
      <c r="U7913" s="120"/>
      <c r="V7913" s="123"/>
      <c r="W7913" s="125"/>
      <c r="X7913" s="142" t="s">
        <v>7450</v>
      </c>
      <c r="Y7913" s="143"/>
      <c r="Z7913" s="143"/>
      <c r="AA7913" s="143"/>
      <c r="AB7913" s="144"/>
      <c r="AC7913" s="16" t="s">
        <v>21</v>
      </c>
      <c r="AD7913" s="17" t="s">
        <v>3461</v>
      </c>
      <c r="AE7913" s="145"/>
      <c r="AF7913" s="146"/>
      <c r="AG7913" s="146"/>
      <c r="AH7913" s="146"/>
      <c r="AI7913" s="147"/>
      <c r="AJ7913" s="148"/>
      <c r="AK7913" s="143"/>
      <c r="AL7913" s="144"/>
      <c r="AM7913" s="22"/>
      <c r="AN7913" s="149"/>
      <c r="AO7913" s="144"/>
      <c r="AP7913" s="148"/>
      <c r="AQ7913" s="144"/>
      <c r="AR7913" s="120"/>
      <c r="AS7913" s="121"/>
      <c r="AT7913" s="120"/>
      <c r="AU7913" s="121"/>
      <c r="AV7913" s="120"/>
      <c r="AW7913" s="121"/>
      <c r="AX7913" s="120"/>
      <c r="AY7913" s="121"/>
      <c r="AZ7913" s="138"/>
    </row>
    <row r="7914" spans="1:52" ht="17.100000000000001" customHeight="1" thickTop="1">
      <c r="A7914" s="109" t="s">
        <v>22357</v>
      </c>
      <c r="B7914" s="28">
        <v>46119</v>
      </c>
      <c r="C7914" s="25">
        <v>814</v>
      </c>
      <c r="D7914" s="13" t="s">
        <v>1920</v>
      </c>
      <c r="E7914" s="111"/>
      <c r="F7914" s="113" t="s">
        <v>22371</v>
      </c>
      <c r="G7914" s="114"/>
      <c r="H7914" s="115"/>
      <c r="I7914" s="24" t="s">
        <v>2571</v>
      </c>
      <c r="J7914" s="116">
        <v>3.5</v>
      </c>
      <c r="K7914" s="118">
        <v>532000</v>
      </c>
      <c r="L7914" s="119"/>
      <c r="M7914" s="118">
        <f t="shared" ref="M7914" si="11732">K7914*0.1</f>
        <v>53200</v>
      </c>
      <c r="N7914" s="119"/>
      <c r="O7914" s="118">
        <v>0</v>
      </c>
      <c r="P7914" s="119"/>
      <c r="Q7914" s="118">
        <v>8400</v>
      </c>
      <c r="R7914" s="119"/>
      <c r="S7914" s="118">
        <v>15950</v>
      </c>
      <c r="T7914" s="119"/>
      <c r="U7914" s="118">
        <f t="shared" ref="U7914" si="11733">SUM(K7914:T7915)</f>
        <v>609550</v>
      </c>
      <c r="V7914" s="122"/>
      <c r="W7914" s="124"/>
      <c r="X7914" s="126" t="s">
        <v>22489</v>
      </c>
      <c r="Y7914" s="127"/>
      <c r="Z7914" s="127"/>
      <c r="AA7914" s="127"/>
      <c r="AB7914" s="128"/>
      <c r="AC7914" s="15" t="s">
        <v>20</v>
      </c>
      <c r="AD7914" s="129"/>
      <c r="AE7914" s="130"/>
      <c r="AF7914" s="130"/>
      <c r="AG7914" s="130"/>
      <c r="AH7914" s="130"/>
      <c r="AI7914" s="131"/>
      <c r="AJ7914" s="132"/>
      <c r="AK7914" s="127"/>
      <c r="AL7914" s="128"/>
      <c r="AM7914" s="21"/>
      <c r="AN7914" s="133">
        <v>46130</v>
      </c>
      <c r="AO7914" s="134"/>
      <c r="AP7914" s="135">
        <v>1462</v>
      </c>
      <c r="AQ7914" s="136"/>
      <c r="AR7914" s="118">
        <v>610000</v>
      </c>
      <c r="AS7914" s="119"/>
      <c r="AT7914" s="118">
        <v>61000</v>
      </c>
      <c r="AU7914" s="119"/>
      <c r="AV7914" s="118">
        <v>8400</v>
      </c>
      <c r="AW7914" s="119"/>
      <c r="AX7914" s="118">
        <f t="shared" ref="AX7914" si="11734">SUM(AR7914:AW7914)</f>
        <v>679400</v>
      </c>
      <c r="AY7914" s="119"/>
      <c r="AZ7914" s="137"/>
    </row>
    <row r="7915" spans="1:52" ht="17.100000000000001" customHeight="1" thickBot="1">
      <c r="A7915" s="110"/>
      <c r="B7915" s="27" t="s">
        <v>3367</v>
      </c>
      <c r="C7915" s="27">
        <v>3006</v>
      </c>
      <c r="D7915" s="14" t="s">
        <v>2206</v>
      </c>
      <c r="E7915" s="112"/>
      <c r="F7915" s="139" t="s">
        <v>22372</v>
      </c>
      <c r="G7915" s="140"/>
      <c r="H7915" s="141"/>
      <c r="I7915" s="26">
        <v>58790</v>
      </c>
      <c r="J7915" s="117"/>
      <c r="K7915" s="120"/>
      <c r="L7915" s="121"/>
      <c r="M7915" s="120"/>
      <c r="N7915" s="121"/>
      <c r="O7915" s="120"/>
      <c r="P7915" s="121"/>
      <c r="Q7915" s="120"/>
      <c r="R7915" s="121"/>
      <c r="S7915" s="120"/>
      <c r="T7915" s="121"/>
      <c r="U7915" s="120"/>
      <c r="V7915" s="123"/>
      <c r="W7915" s="125"/>
      <c r="X7915" s="142" t="s">
        <v>22576</v>
      </c>
      <c r="Y7915" s="143"/>
      <c r="Z7915" s="143"/>
      <c r="AA7915" s="143"/>
      <c r="AB7915" s="144"/>
      <c r="AC7915" s="16" t="s">
        <v>21</v>
      </c>
      <c r="AD7915" s="17" t="s">
        <v>22552</v>
      </c>
      <c r="AE7915" s="145"/>
      <c r="AF7915" s="146"/>
      <c r="AG7915" s="146"/>
      <c r="AH7915" s="146"/>
      <c r="AI7915" s="147"/>
      <c r="AJ7915" s="148"/>
      <c r="AK7915" s="143"/>
      <c r="AL7915" s="144"/>
      <c r="AM7915" s="22"/>
      <c r="AN7915" s="149" t="s">
        <v>23584</v>
      </c>
      <c r="AO7915" s="144"/>
      <c r="AP7915" s="148">
        <v>3030</v>
      </c>
      <c r="AQ7915" s="144"/>
      <c r="AR7915" s="120"/>
      <c r="AS7915" s="121"/>
      <c r="AT7915" s="120"/>
      <c r="AU7915" s="121"/>
      <c r="AV7915" s="120"/>
      <c r="AW7915" s="121"/>
      <c r="AX7915" s="120"/>
      <c r="AY7915" s="121"/>
      <c r="AZ7915" s="138"/>
    </row>
    <row r="7916" spans="1:52" ht="17.100000000000001" customHeight="1" thickTop="1">
      <c r="A7916" s="109" t="s">
        <v>22358</v>
      </c>
      <c r="B7916" s="28">
        <v>46119</v>
      </c>
      <c r="C7916" s="25">
        <v>814</v>
      </c>
      <c r="D7916" s="13" t="s">
        <v>2838</v>
      </c>
      <c r="E7916" s="111"/>
      <c r="F7916" s="113" t="s">
        <v>21728</v>
      </c>
      <c r="G7916" s="114"/>
      <c r="H7916" s="115"/>
      <c r="I7916" s="24" t="s">
        <v>2112</v>
      </c>
      <c r="J7916" s="116">
        <v>4.5</v>
      </c>
      <c r="K7916" s="118">
        <v>1019000</v>
      </c>
      <c r="L7916" s="119"/>
      <c r="M7916" s="118">
        <f t="shared" ref="M7916" si="11735">K7916*0.1</f>
        <v>101900</v>
      </c>
      <c r="N7916" s="119"/>
      <c r="O7916" s="118">
        <v>0</v>
      </c>
      <c r="P7916" s="119"/>
      <c r="Q7916" s="118">
        <v>11100</v>
      </c>
      <c r="R7916" s="119"/>
      <c r="S7916" s="118">
        <v>15950</v>
      </c>
      <c r="T7916" s="119"/>
      <c r="U7916" s="118">
        <f t="shared" ref="U7916" si="11736">SUM(K7916:T7917)</f>
        <v>1147950</v>
      </c>
      <c r="V7916" s="122"/>
      <c r="W7916" s="124"/>
      <c r="X7916" s="126" t="s">
        <v>22491</v>
      </c>
      <c r="Y7916" s="127"/>
      <c r="Z7916" s="127"/>
      <c r="AA7916" s="127"/>
      <c r="AB7916" s="128"/>
      <c r="AC7916" s="15" t="s">
        <v>20</v>
      </c>
      <c r="AD7916" s="129" t="s">
        <v>9773</v>
      </c>
      <c r="AE7916" s="130"/>
      <c r="AF7916" s="130"/>
      <c r="AG7916" s="130"/>
      <c r="AH7916" s="130"/>
      <c r="AI7916" s="131"/>
      <c r="AJ7916" s="132"/>
      <c r="AK7916" s="127"/>
      <c r="AL7916" s="128"/>
      <c r="AM7916" s="21"/>
      <c r="AN7916" s="133">
        <v>46137</v>
      </c>
      <c r="AO7916" s="134"/>
      <c r="AP7916" s="135">
        <v>1298</v>
      </c>
      <c r="AQ7916" s="136"/>
      <c r="AR7916" s="118">
        <v>1090000</v>
      </c>
      <c r="AS7916" s="119"/>
      <c r="AT7916" s="118">
        <f t="shared" ref="AT7916" si="11737">AR7916*0.1</f>
        <v>109000</v>
      </c>
      <c r="AU7916" s="119"/>
      <c r="AV7916" s="118">
        <v>11100</v>
      </c>
      <c r="AW7916" s="119"/>
      <c r="AX7916" s="118">
        <f t="shared" ref="AX7916" si="11738">SUM(AR7916:AW7916)</f>
        <v>1210100</v>
      </c>
      <c r="AY7916" s="119"/>
      <c r="AZ7916" s="137">
        <v>46140</v>
      </c>
    </row>
    <row r="7917" spans="1:52" ht="17.100000000000001" customHeight="1" thickBot="1">
      <c r="A7917" s="110"/>
      <c r="B7917" s="27" t="s">
        <v>3367</v>
      </c>
      <c r="C7917" s="27">
        <v>3097</v>
      </c>
      <c r="D7917" s="14" t="s">
        <v>1720</v>
      </c>
      <c r="E7917" s="112"/>
      <c r="F7917" s="139" t="s">
        <v>22373</v>
      </c>
      <c r="G7917" s="140"/>
      <c r="H7917" s="141"/>
      <c r="I7917" s="26">
        <v>26529</v>
      </c>
      <c r="J7917" s="117"/>
      <c r="K7917" s="120"/>
      <c r="L7917" s="121"/>
      <c r="M7917" s="120"/>
      <c r="N7917" s="121"/>
      <c r="O7917" s="120"/>
      <c r="P7917" s="121"/>
      <c r="Q7917" s="120"/>
      <c r="R7917" s="121"/>
      <c r="S7917" s="120"/>
      <c r="T7917" s="121"/>
      <c r="U7917" s="120"/>
      <c r="V7917" s="123"/>
      <c r="W7917" s="125"/>
      <c r="X7917" s="142" t="s">
        <v>22577</v>
      </c>
      <c r="Y7917" s="143"/>
      <c r="Z7917" s="143"/>
      <c r="AA7917" s="143"/>
      <c r="AB7917" s="144"/>
      <c r="AC7917" s="16" t="s">
        <v>21</v>
      </c>
      <c r="AD7917" s="17" t="s">
        <v>22552</v>
      </c>
      <c r="AE7917" s="145" t="s">
        <v>22578</v>
      </c>
      <c r="AF7917" s="146"/>
      <c r="AG7917" s="146"/>
      <c r="AH7917" s="146"/>
      <c r="AI7917" s="147"/>
      <c r="AJ7917" s="148"/>
      <c r="AK7917" s="143"/>
      <c r="AL7917" s="144"/>
      <c r="AM7917" s="22"/>
      <c r="AN7917" s="149" t="s">
        <v>2511</v>
      </c>
      <c r="AO7917" s="144"/>
      <c r="AP7917" s="148">
        <v>60215</v>
      </c>
      <c r="AQ7917" s="144"/>
      <c r="AR7917" s="120"/>
      <c r="AS7917" s="121"/>
      <c r="AT7917" s="120"/>
      <c r="AU7917" s="121"/>
      <c r="AV7917" s="120"/>
      <c r="AW7917" s="121"/>
      <c r="AX7917" s="120"/>
      <c r="AY7917" s="121"/>
      <c r="AZ7917" s="138"/>
    </row>
    <row r="7918" spans="1:52" ht="17.100000000000001" customHeight="1" thickTop="1">
      <c r="A7918" s="109" t="s">
        <v>22359</v>
      </c>
      <c r="B7918" s="28">
        <v>46119</v>
      </c>
      <c r="C7918" s="25">
        <v>814</v>
      </c>
      <c r="D7918" s="13" t="s">
        <v>2838</v>
      </c>
      <c r="E7918" s="111"/>
      <c r="F7918" s="113" t="s">
        <v>19941</v>
      </c>
      <c r="G7918" s="114"/>
      <c r="H7918" s="115"/>
      <c r="I7918" s="24" t="s">
        <v>2112</v>
      </c>
      <c r="J7918" s="116">
        <v>4</v>
      </c>
      <c r="K7918" s="118">
        <v>1043000</v>
      </c>
      <c r="L7918" s="119"/>
      <c r="M7918" s="118">
        <f t="shared" ref="M7918" si="11739">K7918*0.1</f>
        <v>104300</v>
      </c>
      <c r="N7918" s="119"/>
      <c r="O7918" s="118">
        <v>0</v>
      </c>
      <c r="P7918" s="119"/>
      <c r="Q7918" s="118">
        <v>11100</v>
      </c>
      <c r="R7918" s="119"/>
      <c r="S7918" s="118">
        <v>15950</v>
      </c>
      <c r="T7918" s="119"/>
      <c r="U7918" s="118">
        <f t="shared" ref="U7918" si="11740">SUM(K7918:T7919)</f>
        <v>1174350</v>
      </c>
      <c r="V7918" s="122"/>
      <c r="W7918" s="124"/>
      <c r="X7918" s="126" t="s">
        <v>22490</v>
      </c>
      <c r="Y7918" s="127"/>
      <c r="Z7918" s="127"/>
      <c r="AA7918" s="127"/>
      <c r="AB7918" s="128"/>
      <c r="AC7918" s="15" t="s">
        <v>20</v>
      </c>
      <c r="AD7918" s="129" t="s">
        <v>9773</v>
      </c>
      <c r="AE7918" s="130"/>
      <c r="AF7918" s="130"/>
      <c r="AG7918" s="130"/>
      <c r="AH7918" s="130"/>
      <c r="AI7918" s="131"/>
      <c r="AJ7918" s="132"/>
      <c r="AK7918" s="127"/>
      <c r="AL7918" s="128"/>
      <c r="AM7918" s="21"/>
      <c r="AN7918" s="133">
        <v>46137</v>
      </c>
      <c r="AO7918" s="134"/>
      <c r="AP7918" s="135">
        <v>1298</v>
      </c>
      <c r="AQ7918" s="136"/>
      <c r="AR7918" s="118">
        <v>1120000</v>
      </c>
      <c r="AS7918" s="119"/>
      <c r="AT7918" s="118">
        <f t="shared" ref="AT7918" si="11741">AR7918*0.1</f>
        <v>112000</v>
      </c>
      <c r="AU7918" s="119"/>
      <c r="AV7918" s="118">
        <v>11100</v>
      </c>
      <c r="AW7918" s="119"/>
      <c r="AX7918" s="118">
        <f t="shared" ref="AX7918" si="11742">SUM(AR7918:AW7918)</f>
        <v>1243100</v>
      </c>
      <c r="AY7918" s="119"/>
      <c r="AZ7918" s="137">
        <v>46154</v>
      </c>
    </row>
    <row r="7919" spans="1:52" ht="17.100000000000001" customHeight="1" thickBot="1">
      <c r="A7919" s="110"/>
      <c r="B7919" s="27" t="s">
        <v>3367</v>
      </c>
      <c r="C7919" s="27">
        <v>3101</v>
      </c>
      <c r="D7919" s="14" t="s">
        <v>1720</v>
      </c>
      <c r="E7919" s="112"/>
      <c r="F7919" s="139" t="s">
        <v>22374</v>
      </c>
      <c r="G7919" s="140"/>
      <c r="H7919" s="141"/>
      <c r="I7919" s="26">
        <v>25780</v>
      </c>
      <c r="J7919" s="117"/>
      <c r="K7919" s="120"/>
      <c r="L7919" s="121"/>
      <c r="M7919" s="120"/>
      <c r="N7919" s="121"/>
      <c r="O7919" s="120"/>
      <c r="P7919" s="121"/>
      <c r="Q7919" s="120"/>
      <c r="R7919" s="121"/>
      <c r="S7919" s="120"/>
      <c r="T7919" s="121"/>
      <c r="U7919" s="120"/>
      <c r="V7919" s="123"/>
      <c r="W7919" s="125"/>
      <c r="X7919" s="142" t="s">
        <v>22577</v>
      </c>
      <c r="Y7919" s="143"/>
      <c r="Z7919" s="143"/>
      <c r="AA7919" s="143"/>
      <c r="AB7919" s="144"/>
      <c r="AC7919" s="16" t="s">
        <v>21</v>
      </c>
      <c r="AD7919" s="17" t="s">
        <v>22552</v>
      </c>
      <c r="AE7919" s="145" t="s">
        <v>22578</v>
      </c>
      <c r="AF7919" s="146"/>
      <c r="AG7919" s="146"/>
      <c r="AH7919" s="146"/>
      <c r="AI7919" s="147"/>
      <c r="AJ7919" s="148"/>
      <c r="AK7919" s="143"/>
      <c r="AL7919" s="144"/>
      <c r="AM7919" s="22"/>
      <c r="AN7919" s="149" t="s">
        <v>6749</v>
      </c>
      <c r="AO7919" s="144"/>
      <c r="AP7919" s="148">
        <v>60213</v>
      </c>
      <c r="AQ7919" s="144"/>
      <c r="AR7919" s="120"/>
      <c r="AS7919" s="121"/>
      <c r="AT7919" s="120"/>
      <c r="AU7919" s="121"/>
      <c r="AV7919" s="120"/>
      <c r="AW7919" s="121"/>
      <c r="AX7919" s="120"/>
      <c r="AY7919" s="121"/>
      <c r="AZ7919" s="138"/>
    </row>
    <row r="7920" spans="1:52" ht="17.100000000000001" customHeight="1" thickTop="1">
      <c r="A7920" s="109" t="s">
        <v>22360</v>
      </c>
      <c r="B7920" s="28">
        <v>46119</v>
      </c>
      <c r="C7920" s="25">
        <v>814</v>
      </c>
      <c r="D7920" s="13" t="s">
        <v>2838</v>
      </c>
      <c r="E7920" s="111"/>
      <c r="F7920" s="113" t="s">
        <v>19941</v>
      </c>
      <c r="G7920" s="114"/>
      <c r="H7920" s="115"/>
      <c r="I7920" s="24" t="s">
        <v>2112</v>
      </c>
      <c r="J7920" s="116">
        <v>4.5</v>
      </c>
      <c r="K7920" s="118">
        <v>1046000</v>
      </c>
      <c r="L7920" s="119"/>
      <c r="M7920" s="118">
        <f t="shared" ref="M7920" si="11743">K7920*0.1</f>
        <v>104600</v>
      </c>
      <c r="N7920" s="119"/>
      <c r="O7920" s="118">
        <v>0</v>
      </c>
      <c r="P7920" s="119"/>
      <c r="Q7920" s="118">
        <v>11100</v>
      </c>
      <c r="R7920" s="119"/>
      <c r="S7920" s="118">
        <v>15950</v>
      </c>
      <c r="T7920" s="119"/>
      <c r="U7920" s="118">
        <f t="shared" ref="U7920" si="11744">SUM(K7920:T7921)</f>
        <v>1177650</v>
      </c>
      <c r="V7920" s="122"/>
      <c r="W7920" s="124"/>
      <c r="X7920" s="126" t="s">
        <v>22492</v>
      </c>
      <c r="Y7920" s="127"/>
      <c r="Z7920" s="127"/>
      <c r="AA7920" s="127"/>
      <c r="AB7920" s="128"/>
      <c r="AC7920" s="15" t="s">
        <v>20</v>
      </c>
      <c r="AD7920" s="129" t="s">
        <v>9773</v>
      </c>
      <c r="AE7920" s="130"/>
      <c r="AF7920" s="130"/>
      <c r="AG7920" s="130"/>
      <c r="AH7920" s="130"/>
      <c r="AI7920" s="131"/>
      <c r="AJ7920" s="132"/>
      <c r="AK7920" s="127"/>
      <c r="AL7920" s="128"/>
      <c r="AM7920" s="21"/>
      <c r="AN7920" s="133">
        <v>46137</v>
      </c>
      <c r="AO7920" s="134"/>
      <c r="AP7920" s="135">
        <v>1298</v>
      </c>
      <c r="AQ7920" s="136"/>
      <c r="AR7920" s="118">
        <v>1100000</v>
      </c>
      <c r="AS7920" s="119"/>
      <c r="AT7920" s="118">
        <f t="shared" ref="AT7920" si="11745">AR7920*0.1</f>
        <v>110000</v>
      </c>
      <c r="AU7920" s="119"/>
      <c r="AV7920" s="118">
        <v>11100</v>
      </c>
      <c r="AW7920" s="119"/>
      <c r="AX7920" s="118">
        <f t="shared" ref="AX7920" si="11746">SUM(AR7920:AW7920)</f>
        <v>1221100</v>
      </c>
      <c r="AY7920" s="119"/>
      <c r="AZ7920" s="137">
        <v>46140</v>
      </c>
    </row>
    <row r="7921" spans="1:52" ht="17.100000000000001" customHeight="1" thickBot="1">
      <c r="A7921" s="110"/>
      <c r="B7921" s="27" t="s">
        <v>3367</v>
      </c>
      <c r="C7921" s="27">
        <v>3102</v>
      </c>
      <c r="D7921" s="14" t="s">
        <v>1720</v>
      </c>
      <c r="E7921" s="112"/>
      <c r="F7921" s="139" t="s">
        <v>22375</v>
      </c>
      <c r="G7921" s="140"/>
      <c r="H7921" s="141"/>
      <c r="I7921" s="26">
        <v>24587</v>
      </c>
      <c r="J7921" s="117"/>
      <c r="K7921" s="120"/>
      <c r="L7921" s="121"/>
      <c r="M7921" s="120"/>
      <c r="N7921" s="121"/>
      <c r="O7921" s="120"/>
      <c r="P7921" s="121"/>
      <c r="Q7921" s="120"/>
      <c r="R7921" s="121"/>
      <c r="S7921" s="120"/>
      <c r="T7921" s="121"/>
      <c r="U7921" s="120"/>
      <c r="V7921" s="123"/>
      <c r="W7921" s="125"/>
      <c r="X7921" s="142" t="s">
        <v>22577</v>
      </c>
      <c r="Y7921" s="143"/>
      <c r="Z7921" s="143"/>
      <c r="AA7921" s="143"/>
      <c r="AB7921" s="144"/>
      <c r="AC7921" s="16" t="s">
        <v>21</v>
      </c>
      <c r="AD7921" s="17" t="s">
        <v>22552</v>
      </c>
      <c r="AE7921" s="145" t="s">
        <v>22578</v>
      </c>
      <c r="AF7921" s="146"/>
      <c r="AG7921" s="146"/>
      <c r="AH7921" s="146"/>
      <c r="AI7921" s="147"/>
      <c r="AJ7921" s="148"/>
      <c r="AK7921" s="143"/>
      <c r="AL7921" s="144"/>
      <c r="AM7921" s="22"/>
      <c r="AN7921" s="149" t="s">
        <v>2511</v>
      </c>
      <c r="AO7921" s="144"/>
      <c r="AP7921" s="148">
        <v>60211</v>
      </c>
      <c r="AQ7921" s="144"/>
      <c r="AR7921" s="120"/>
      <c r="AS7921" s="121"/>
      <c r="AT7921" s="120"/>
      <c r="AU7921" s="121"/>
      <c r="AV7921" s="120"/>
      <c r="AW7921" s="121"/>
      <c r="AX7921" s="120"/>
      <c r="AY7921" s="121"/>
      <c r="AZ7921" s="138"/>
    </row>
    <row r="7922" spans="1:52" ht="17.100000000000001" customHeight="1" thickTop="1">
      <c r="A7922" s="109" t="s">
        <v>22361</v>
      </c>
      <c r="B7922" s="28">
        <v>46119</v>
      </c>
      <c r="C7922" s="25">
        <v>814</v>
      </c>
      <c r="D7922" s="13" t="s">
        <v>2759</v>
      </c>
      <c r="E7922" s="111"/>
      <c r="F7922" s="113" t="s">
        <v>1938</v>
      </c>
      <c r="G7922" s="114"/>
      <c r="H7922" s="115"/>
      <c r="I7922" s="24" t="s">
        <v>2956</v>
      </c>
      <c r="J7922" s="116">
        <v>3.5</v>
      </c>
      <c r="K7922" s="118">
        <v>1220000</v>
      </c>
      <c r="L7922" s="119"/>
      <c r="M7922" s="118">
        <f t="shared" ref="M7922" si="11747">K7922*0.1</f>
        <v>122000</v>
      </c>
      <c r="N7922" s="119"/>
      <c r="O7922" s="118">
        <v>30690</v>
      </c>
      <c r="P7922" s="119"/>
      <c r="Q7922" s="118">
        <v>17600</v>
      </c>
      <c r="R7922" s="119"/>
      <c r="S7922" s="118">
        <v>15950</v>
      </c>
      <c r="T7922" s="119"/>
      <c r="U7922" s="118">
        <f t="shared" ref="U7922" si="11748">SUM(K7922:T7923)</f>
        <v>1406240</v>
      </c>
      <c r="V7922" s="122"/>
      <c r="W7922" s="124"/>
      <c r="X7922" s="126" t="s">
        <v>22494</v>
      </c>
      <c r="Y7922" s="127"/>
      <c r="Z7922" s="127"/>
      <c r="AA7922" s="127"/>
      <c r="AB7922" s="128"/>
      <c r="AC7922" s="15" t="s">
        <v>20</v>
      </c>
      <c r="AD7922" s="129"/>
      <c r="AE7922" s="130"/>
      <c r="AF7922" s="130"/>
      <c r="AG7922" s="130"/>
      <c r="AH7922" s="130"/>
      <c r="AI7922" s="131"/>
      <c r="AJ7922" s="132"/>
      <c r="AK7922" s="127"/>
      <c r="AL7922" s="128"/>
      <c r="AM7922" s="21"/>
      <c r="AN7922" s="133">
        <v>46130</v>
      </c>
      <c r="AO7922" s="134"/>
      <c r="AP7922" s="135">
        <v>1297</v>
      </c>
      <c r="AQ7922" s="136"/>
      <c r="AR7922" s="118">
        <v>1960000</v>
      </c>
      <c r="AS7922" s="119"/>
      <c r="AT7922" s="118">
        <f t="shared" ref="AT7922" si="11749">AR7922*0.1</f>
        <v>196000</v>
      </c>
      <c r="AU7922" s="119"/>
      <c r="AV7922" s="118">
        <v>17600</v>
      </c>
      <c r="AW7922" s="119"/>
      <c r="AX7922" s="118">
        <f t="shared" ref="AX7922" si="11750">SUM(AR7922:AW7922)</f>
        <v>2173600</v>
      </c>
      <c r="AY7922" s="119"/>
      <c r="AZ7922" s="137">
        <v>46133</v>
      </c>
    </row>
    <row r="7923" spans="1:52" ht="17.100000000000001" customHeight="1" thickBot="1">
      <c r="A7923" s="110"/>
      <c r="B7923" s="27" t="s">
        <v>3367</v>
      </c>
      <c r="C7923" s="27">
        <v>70125</v>
      </c>
      <c r="D7923" s="14" t="s">
        <v>2800</v>
      </c>
      <c r="E7923" s="112"/>
      <c r="F7923" s="139" t="s">
        <v>22493</v>
      </c>
      <c r="G7923" s="140"/>
      <c r="H7923" s="141"/>
      <c r="I7923" s="26">
        <v>26651</v>
      </c>
      <c r="J7923" s="117"/>
      <c r="K7923" s="120"/>
      <c r="L7923" s="121"/>
      <c r="M7923" s="120"/>
      <c r="N7923" s="121"/>
      <c r="O7923" s="120"/>
      <c r="P7923" s="121"/>
      <c r="Q7923" s="120"/>
      <c r="R7923" s="121"/>
      <c r="S7923" s="120"/>
      <c r="T7923" s="121"/>
      <c r="U7923" s="120"/>
      <c r="V7923" s="123"/>
      <c r="W7923" s="125"/>
      <c r="X7923" s="142" t="s">
        <v>22927</v>
      </c>
      <c r="Y7923" s="143"/>
      <c r="Z7923" s="143"/>
      <c r="AA7923" s="143"/>
      <c r="AB7923" s="144"/>
      <c r="AC7923" s="16" t="s">
        <v>21</v>
      </c>
      <c r="AD7923" s="17" t="s">
        <v>3461</v>
      </c>
      <c r="AE7923" s="145" t="s">
        <v>4077</v>
      </c>
      <c r="AF7923" s="146"/>
      <c r="AG7923" s="146"/>
      <c r="AH7923" s="146"/>
      <c r="AI7923" s="147"/>
      <c r="AJ7923" s="148"/>
      <c r="AK7923" s="143"/>
      <c r="AL7923" s="144"/>
      <c r="AM7923" s="22"/>
      <c r="AN7923" s="149" t="s">
        <v>2511</v>
      </c>
      <c r="AO7923" s="144"/>
      <c r="AP7923" s="148">
        <v>80009</v>
      </c>
      <c r="AQ7923" s="144"/>
      <c r="AR7923" s="120"/>
      <c r="AS7923" s="121"/>
      <c r="AT7923" s="120"/>
      <c r="AU7923" s="121"/>
      <c r="AV7923" s="120"/>
      <c r="AW7923" s="121"/>
      <c r="AX7923" s="120"/>
      <c r="AY7923" s="121"/>
      <c r="AZ7923" s="138"/>
    </row>
    <row r="7924" spans="1:52" ht="17.100000000000001" customHeight="1" thickTop="1">
      <c r="A7924" s="109" t="s">
        <v>22362</v>
      </c>
      <c r="B7924" s="28">
        <v>46119</v>
      </c>
      <c r="C7924" s="25">
        <v>934</v>
      </c>
      <c r="D7924" s="13" t="s">
        <v>2022</v>
      </c>
      <c r="E7924" s="111"/>
      <c r="F7924" s="113" t="s">
        <v>15969</v>
      </c>
      <c r="G7924" s="114"/>
      <c r="H7924" s="115"/>
      <c r="I7924" s="24"/>
      <c r="J7924" s="116">
        <v>4</v>
      </c>
      <c r="K7924" s="118">
        <v>1093000</v>
      </c>
      <c r="L7924" s="119"/>
      <c r="M7924" s="118">
        <f t="shared" ref="M7924" si="11751">K7924*0.1</f>
        <v>109300</v>
      </c>
      <c r="N7924" s="119"/>
      <c r="O7924" s="118">
        <v>0</v>
      </c>
      <c r="P7924" s="119"/>
      <c r="Q7924" s="118">
        <v>11480</v>
      </c>
      <c r="R7924" s="119"/>
      <c r="S7924" s="118">
        <v>15950</v>
      </c>
      <c r="T7924" s="119"/>
      <c r="U7924" s="118">
        <f t="shared" ref="U7924" si="11752">SUM(K7924:T7925)</f>
        <v>1229730</v>
      </c>
      <c r="V7924" s="122"/>
      <c r="W7924" s="124"/>
      <c r="X7924" s="126" t="s">
        <v>23065</v>
      </c>
      <c r="Y7924" s="127"/>
      <c r="Z7924" s="127"/>
      <c r="AA7924" s="127"/>
      <c r="AB7924" s="128"/>
      <c r="AC7924" s="15" t="s">
        <v>20</v>
      </c>
      <c r="AD7924" s="129"/>
      <c r="AE7924" s="130"/>
      <c r="AF7924" s="130"/>
      <c r="AG7924" s="130"/>
      <c r="AH7924" s="130"/>
      <c r="AI7924" s="131"/>
      <c r="AJ7924" s="132"/>
      <c r="AK7924" s="127"/>
      <c r="AL7924" s="128"/>
      <c r="AM7924" s="21"/>
      <c r="AN7924" s="133">
        <v>46144</v>
      </c>
      <c r="AO7924" s="134"/>
      <c r="AP7924" s="135">
        <v>1299</v>
      </c>
      <c r="AQ7924" s="136"/>
      <c r="AR7924" s="118">
        <v>1200000</v>
      </c>
      <c r="AS7924" s="119"/>
      <c r="AT7924" s="118">
        <f t="shared" ref="AT7924" si="11753">AR7924*0.1</f>
        <v>120000</v>
      </c>
      <c r="AU7924" s="119"/>
      <c r="AV7924" s="118">
        <v>11480</v>
      </c>
      <c r="AW7924" s="119"/>
      <c r="AX7924" s="118">
        <f t="shared" ref="AX7924" si="11754">SUM(AR7924:AW7924)</f>
        <v>1331480</v>
      </c>
      <c r="AY7924" s="119"/>
      <c r="AZ7924" s="137">
        <v>46154</v>
      </c>
    </row>
    <row r="7925" spans="1:52" ht="17.100000000000001" customHeight="1" thickBot="1">
      <c r="A7925" s="110"/>
      <c r="B7925" s="27" t="s">
        <v>2699</v>
      </c>
      <c r="C7925" s="27">
        <v>57</v>
      </c>
      <c r="D7925" s="14" t="s">
        <v>275</v>
      </c>
      <c r="E7925" s="112"/>
      <c r="F7925" s="139" t="s">
        <v>22376</v>
      </c>
      <c r="G7925" s="140"/>
      <c r="H7925" s="141"/>
      <c r="I7925" s="26">
        <v>101887</v>
      </c>
      <c r="J7925" s="117"/>
      <c r="K7925" s="120"/>
      <c r="L7925" s="121"/>
      <c r="M7925" s="120"/>
      <c r="N7925" s="121"/>
      <c r="O7925" s="120"/>
      <c r="P7925" s="121"/>
      <c r="Q7925" s="120"/>
      <c r="R7925" s="121"/>
      <c r="S7925" s="120"/>
      <c r="T7925" s="121"/>
      <c r="U7925" s="120"/>
      <c r="V7925" s="123"/>
      <c r="W7925" s="125"/>
      <c r="X7925" s="142" t="s">
        <v>23066</v>
      </c>
      <c r="Y7925" s="143"/>
      <c r="Z7925" s="143"/>
      <c r="AA7925" s="143"/>
      <c r="AB7925" s="144"/>
      <c r="AC7925" s="16" t="s">
        <v>21</v>
      </c>
      <c r="AD7925" s="17" t="s">
        <v>23033</v>
      </c>
      <c r="AE7925" s="145" t="s">
        <v>22914</v>
      </c>
      <c r="AF7925" s="146"/>
      <c r="AG7925" s="146"/>
      <c r="AH7925" s="146"/>
      <c r="AI7925" s="147"/>
      <c r="AJ7925" s="148"/>
      <c r="AK7925" s="143"/>
      <c r="AL7925" s="144"/>
      <c r="AM7925" s="22"/>
      <c r="AN7925" s="149" t="s">
        <v>25324</v>
      </c>
      <c r="AO7925" s="144"/>
      <c r="AP7925" s="148">
        <v>50365</v>
      </c>
      <c r="AQ7925" s="144"/>
      <c r="AR7925" s="120"/>
      <c r="AS7925" s="121"/>
      <c r="AT7925" s="120"/>
      <c r="AU7925" s="121"/>
      <c r="AV7925" s="120"/>
      <c r="AW7925" s="121"/>
      <c r="AX7925" s="120"/>
      <c r="AY7925" s="121"/>
      <c r="AZ7925" s="138"/>
    </row>
    <row r="7926" spans="1:52" ht="17.100000000000001" customHeight="1" thickTop="1">
      <c r="A7926" s="109" t="s">
        <v>22363</v>
      </c>
      <c r="B7926" s="28">
        <v>46119</v>
      </c>
      <c r="C7926" s="25">
        <v>934</v>
      </c>
      <c r="D7926" s="13" t="s">
        <v>1825</v>
      </c>
      <c r="E7926" s="111"/>
      <c r="F7926" s="113" t="s">
        <v>15962</v>
      </c>
      <c r="G7926" s="114"/>
      <c r="H7926" s="115"/>
      <c r="I7926" s="24"/>
      <c r="J7926" s="116">
        <v>4</v>
      </c>
      <c r="K7926" s="118">
        <v>1353000</v>
      </c>
      <c r="L7926" s="119"/>
      <c r="M7926" s="118">
        <f t="shared" ref="M7926" si="11755">K7926*0.1</f>
        <v>135300</v>
      </c>
      <c r="N7926" s="119"/>
      <c r="O7926" s="118">
        <v>0</v>
      </c>
      <c r="P7926" s="119"/>
      <c r="Q7926" s="118">
        <v>6850</v>
      </c>
      <c r="R7926" s="119"/>
      <c r="S7926" s="118">
        <v>15950</v>
      </c>
      <c r="T7926" s="119"/>
      <c r="U7926" s="118">
        <f t="shared" ref="U7926" si="11756">SUM(K7926:T7927)</f>
        <v>1511100</v>
      </c>
      <c r="V7926" s="122"/>
      <c r="W7926" s="124"/>
      <c r="X7926" s="126" t="s">
        <v>22563</v>
      </c>
      <c r="Y7926" s="127"/>
      <c r="Z7926" s="127"/>
      <c r="AA7926" s="127"/>
      <c r="AB7926" s="128"/>
      <c r="AC7926" s="15" t="s">
        <v>20</v>
      </c>
      <c r="AD7926" s="129" t="s">
        <v>1670</v>
      </c>
      <c r="AE7926" s="130"/>
      <c r="AF7926" s="130"/>
      <c r="AG7926" s="130"/>
      <c r="AH7926" s="130"/>
      <c r="AI7926" s="131"/>
      <c r="AJ7926" s="132"/>
      <c r="AK7926" s="127"/>
      <c r="AL7926" s="128"/>
      <c r="AM7926" s="21"/>
      <c r="AN7926" s="133">
        <v>46137</v>
      </c>
      <c r="AO7926" s="134"/>
      <c r="AP7926" s="135">
        <v>1298</v>
      </c>
      <c r="AQ7926" s="136"/>
      <c r="AR7926" s="118">
        <v>1505000</v>
      </c>
      <c r="AS7926" s="119"/>
      <c r="AT7926" s="118">
        <f t="shared" ref="AT7926" si="11757">AR7926*0.1</f>
        <v>150500</v>
      </c>
      <c r="AU7926" s="119"/>
      <c r="AV7926" s="118">
        <v>6850</v>
      </c>
      <c r="AW7926" s="119"/>
      <c r="AX7926" s="118">
        <f t="shared" ref="AX7926" si="11758">SUM(AR7926:AW7926)</f>
        <v>1662350</v>
      </c>
      <c r="AY7926" s="119"/>
      <c r="AZ7926" s="137">
        <v>46140</v>
      </c>
    </row>
    <row r="7927" spans="1:52" ht="17.100000000000001" customHeight="1" thickBot="1">
      <c r="A7927" s="110"/>
      <c r="B7927" s="27" t="s">
        <v>2699</v>
      </c>
      <c r="C7927" s="27">
        <v>3029</v>
      </c>
      <c r="D7927" s="14" t="s">
        <v>275</v>
      </c>
      <c r="E7927" s="112"/>
      <c r="F7927" s="139" t="s">
        <v>22377</v>
      </c>
      <c r="G7927" s="140"/>
      <c r="H7927" s="141"/>
      <c r="I7927" s="26">
        <v>33790</v>
      </c>
      <c r="J7927" s="117"/>
      <c r="K7927" s="120"/>
      <c r="L7927" s="121"/>
      <c r="M7927" s="120"/>
      <c r="N7927" s="121"/>
      <c r="O7927" s="120"/>
      <c r="P7927" s="121"/>
      <c r="Q7927" s="120"/>
      <c r="R7927" s="121"/>
      <c r="S7927" s="120"/>
      <c r="T7927" s="121"/>
      <c r="U7927" s="120"/>
      <c r="V7927" s="123"/>
      <c r="W7927" s="125"/>
      <c r="X7927" s="142" t="s">
        <v>22564</v>
      </c>
      <c r="Y7927" s="143"/>
      <c r="Z7927" s="143"/>
      <c r="AA7927" s="143"/>
      <c r="AB7927" s="144"/>
      <c r="AC7927" s="16" t="s">
        <v>21</v>
      </c>
      <c r="AD7927" s="17" t="s">
        <v>22552</v>
      </c>
      <c r="AE7927" s="145" t="s">
        <v>22915</v>
      </c>
      <c r="AF7927" s="146"/>
      <c r="AG7927" s="146"/>
      <c r="AH7927" s="146"/>
      <c r="AI7927" s="147"/>
      <c r="AJ7927" s="148"/>
      <c r="AK7927" s="143"/>
      <c r="AL7927" s="144"/>
      <c r="AM7927" s="22"/>
      <c r="AN7927" s="149" t="s">
        <v>2511</v>
      </c>
      <c r="AO7927" s="144"/>
      <c r="AP7927" s="148">
        <v>60134</v>
      </c>
      <c r="AQ7927" s="144"/>
      <c r="AR7927" s="120"/>
      <c r="AS7927" s="121"/>
      <c r="AT7927" s="120"/>
      <c r="AU7927" s="121"/>
      <c r="AV7927" s="120"/>
      <c r="AW7927" s="121"/>
      <c r="AX7927" s="120"/>
      <c r="AY7927" s="121"/>
      <c r="AZ7927" s="138"/>
    </row>
    <row r="7928" spans="1:52" ht="17.100000000000001" customHeight="1" thickTop="1">
      <c r="A7928" s="109" t="s">
        <v>22364</v>
      </c>
      <c r="B7928" s="28">
        <v>46119</v>
      </c>
      <c r="C7928" s="25">
        <v>934</v>
      </c>
      <c r="D7928" s="13" t="s">
        <v>2359</v>
      </c>
      <c r="E7928" s="111"/>
      <c r="F7928" s="113" t="s">
        <v>15217</v>
      </c>
      <c r="G7928" s="114"/>
      <c r="H7928" s="115"/>
      <c r="I7928" s="24"/>
      <c r="J7928" s="116">
        <v>4</v>
      </c>
      <c r="K7928" s="118">
        <v>1002000</v>
      </c>
      <c r="L7928" s="119"/>
      <c r="M7928" s="118">
        <f t="shared" ref="M7928" si="11759">K7928*0.1</f>
        <v>100200</v>
      </c>
      <c r="N7928" s="119"/>
      <c r="O7928" s="118">
        <v>0</v>
      </c>
      <c r="P7928" s="119"/>
      <c r="Q7928" s="118">
        <v>7150</v>
      </c>
      <c r="R7928" s="119"/>
      <c r="S7928" s="118">
        <v>15950</v>
      </c>
      <c r="T7928" s="119"/>
      <c r="U7928" s="118">
        <f t="shared" ref="U7928" si="11760">SUM(K7928:T7929)</f>
        <v>1125300</v>
      </c>
      <c r="V7928" s="122"/>
      <c r="W7928" s="124"/>
      <c r="X7928" s="126" t="s">
        <v>22571</v>
      </c>
      <c r="Y7928" s="127"/>
      <c r="Z7928" s="127"/>
      <c r="AA7928" s="127"/>
      <c r="AB7928" s="128"/>
      <c r="AC7928" s="15" t="s">
        <v>20</v>
      </c>
      <c r="AD7928" s="129"/>
      <c r="AE7928" s="130"/>
      <c r="AF7928" s="130"/>
      <c r="AG7928" s="130"/>
      <c r="AH7928" s="130"/>
      <c r="AI7928" s="131"/>
      <c r="AJ7928" s="132"/>
      <c r="AK7928" s="127"/>
      <c r="AL7928" s="128"/>
      <c r="AM7928" s="21"/>
      <c r="AN7928" s="133">
        <v>46123</v>
      </c>
      <c r="AO7928" s="134"/>
      <c r="AP7928" s="135">
        <v>1296</v>
      </c>
      <c r="AQ7928" s="136"/>
      <c r="AR7928" s="118">
        <v>1075000</v>
      </c>
      <c r="AS7928" s="119"/>
      <c r="AT7928" s="118">
        <f t="shared" ref="AT7928" si="11761">AR7928*0.1</f>
        <v>107500</v>
      </c>
      <c r="AU7928" s="119"/>
      <c r="AV7928" s="118">
        <v>7150</v>
      </c>
      <c r="AW7928" s="119"/>
      <c r="AX7928" s="118">
        <f t="shared" ref="AX7928" si="11762">SUM(AR7928:AW7928)</f>
        <v>1189650</v>
      </c>
      <c r="AY7928" s="119"/>
      <c r="AZ7928" s="137">
        <v>46126</v>
      </c>
    </row>
    <row r="7929" spans="1:52" ht="17.100000000000001" customHeight="1" thickBot="1">
      <c r="A7929" s="110"/>
      <c r="B7929" s="27" t="s">
        <v>2699</v>
      </c>
      <c r="C7929" s="27">
        <v>3081</v>
      </c>
      <c r="D7929" s="14" t="s">
        <v>275</v>
      </c>
      <c r="E7929" s="112"/>
      <c r="F7929" s="139" t="s">
        <v>22378</v>
      </c>
      <c r="G7929" s="140"/>
      <c r="H7929" s="141"/>
      <c r="I7929" s="26">
        <v>17649</v>
      </c>
      <c r="J7929" s="117"/>
      <c r="K7929" s="120"/>
      <c r="L7929" s="121"/>
      <c r="M7929" s="120"/>
      <c r="N7929" s="121"/>
      <c r="O7929" s="120"/>
      <c r="P7929" s="121"/>
      <c r="Q7929" s="120"/>
      <c r="R7929" s="121"/>
      <c r="S7929" s="120"/>
      <c r="T7929" s="121"/>
      <c r="U7929" s="120"/>
      <c r="V7929" s="123"/>
      <c r="W7929" s="125"/>
      <c r="X7929" s="142" t="s">
        <v>22572</v>
      </c>
      <c r="Y7929" s="143"/>
      <c r="Z7929" s="143"/>
      <c r="AA7929" s="143"/>
      <c r="AB7929" s="144"/>
      <c r="AC7929" s="16" t="s">
        <v>21</v>
      </c>
      <c r="AD7929" s="17" t="s">
        <v>22552</v>
      </c>
      <c r="AE7929" s="145" t="s">
        <v>22607</v>
      </c>
      <c r="AF7929" s="146"/>
      <c r="AG7929" s="146"/>
      <c r="AH7929" s="146"/>
      <c r="AI7929" s="147"/>
      <c r="AJ7929" s="148"/>
      <c r="AK7929" s="143"/>
      <c r="AL7929" s="144"/>
      <c r="AM7929" s="22"/>
      <c r="AN7929" s="149" t="s">
        <v>2511</v>
      </c>
      <c r="AO7929" s="144"/>
      <c r="AP7929" s="148">
        <v>60507</v>
      </c>
      <c r="AQ7929" s="144"/>
      <c r="AR7929" s="120"/>
      <c r="AS7929" s="121"/>
      <c r="AT7929" s="120"/>
      <c r="AU7929" s="121"/>
      <c r="AV7929" s="120"/>
      <c r="AW7929" s="121"/>
      <c r="AX7929" s="120"/>
      <c r="AY7929" s="121"/>
      <c r="AZ7929" s="138"/>
    </row>
    <row r="7930" spans="1:52" ht="17.100000000000001" customHeight="1" thickTop="1">
      <c r="A7930" s="109" t="s">
        <v>22365</v>
      </c>
      <c r="B7930" s="28">
        <v>46119</v>
      </c>
      <c r="C7930" s="25">
        <v>934</v>
      </c>
      <c r="D7930" s="13" t="s">
        <v>1831</v>
      </c>
      <c r="E7930" s="111"/>
      <c r="F7930" s="113" t="s">
        <v>7582</v>
      </c>
      <c r="G7930" s="114"/>
      <c r="H7930" s="115"/>
      <c r="I7930" s="24"/>
      <c r="J7930" s="150" t="s">
        <v>12208</v>
      </c>
      <c r="K7930" s="118">
        <v>1750000</v>
      </c>
      <c r="L7930" s="119"/>
      <c r="M7930" s="118">
        <f t="shared" ref="M7930" si="11763">K7930*0.1</f>
        <v>175000</v>
      </c>
      <c r="N7930" s="119"/>
      <c r="O7930" s="118">
        <v>0</v>
      </c>
      <c r="P7930" s="119"/>
      <c r="Q7930" s="118">
        <v>8460</v>
      </c>
      <c r="R7930" s="119"/>
      <c r="S7930" s="118">
        <v>15950</v>
      </c>
      <c r="T7930" s="119"/>
      <c r="U7930" s="118">
        <f t="shared" ref="U7930" si="11764">SUM(K7930:T7931)</f>
        <v>1949410</v>
      </c>
      <c r="V7930" s="122"/>
      <c r="W7930" s="124"/>
      <c r="X7930" s="126" t="s">
        <v>22575</v>
      </c>
      <c r="Y7930" s="127"/>
      <c r="Z7930" s="127"/>
      <c r="AA7930" s="127"/>
      <c r="AB7930" s="128"/>
      <c r="AC7930" s="15" t="s">
        <v>20</v>
      </c>
      <c r="AD7930" s="129"/>
      <c r="AE7930" s="130"/>
      <c r="AF7930" s="130"/>
      <c r="AG7930" s="130"/>
      <c r="AH7930" s="130"/>
      <c r="AI7930" s="131"/>
      <c r="AJ7930" s="132"/>
      <c r="AK7930" s="127"/>
      <c r="AL7930" s="128"/>
      <c r="AM7930" s="21"/>
      <c r="AN7930" s="133">
        <v>46144</v>
      </c>
      <c r="AO7930" s="134"/>
      <c r="AP7930" s="135">
        <v>1299</v>
      </c>
      <c r="AQ7930" s="136"/>
      <c r="AR7930" s="118">
        <v>275000</v>
      </c>
      <c r="AS7930" s="119"/>
      <c r="AT7930" s="118">
        <f t="shared" ref="AT7930" si="11765">AR7930*0.1</f>
        <v>27500</v>
      </c>
      <c r="AU7930" s="119"/>
      <c r="AV7930" s="118">
        <v>8460</v>
      </c>
      <c r="AW7930" s="119"/>
      <c r="AX7930" s="118">
        <f t="shared" ref="AX7930" si="11766">SUM(AR7930:AW7930)</f>
        <v>310960</v>
      </c>
      <c r="AY7930" s="119"/>
      <c r="AZ7930" s="137">
        <v>46154</v>
      </c>
    </row>
    <row r="7931" spans="1:52" ht="17.100000000000001" customHeight="1" thickBot="1">
      <c r="A7931" s="110"/>
      <c r="B7931" s="27" t="s">
        <v>2699</v>
      </c>
      <c r="C7931" s="27">
        <v>3109</v>
      </c>
      <c r="D7931" s="14" t="s">
        <v>1720</v>
      </c>
      <c r="E7931" s="112"/>
      <c r="F7931" s="139" t="s">
        <v>22379</v>
      </c>
      <c r="G7931" s="140"/>
      <c r="H7931" s="141"/>
      <c r="I7931" s="26">
        <v>36583</v>
      </c>
      <c r="J7931" s="117"/>
      <c r="K7931" s="120"/>
      <c r="L7931" s="121"/>
      <c r="M7931" s="120"/>
      <c r="N7931" s="121"/>
      <c r="O7931" s="120"/>
      <c r="P7931" s="121"/>
      <c r="Q7931" s="120"/>
      <c r="R7931" s="121"/>
      <c r="S7931" s="120"/>
      <c r="T7931" s="121"/>
      <c r="U7931" s="120"/>
      <c r="V7931" s="123"/>
      <c r="W7931" s="125"/>
      <c r="X7931" s="142" t="s">
        <v>22572</v>
      </c>
      <c r="Y7931" s="143"/>
      <c r="Z7931" s="143"/>
      <c r="AA7931" s="143"/>
      <c r="AB7931" s="144"/>
      <c r="AC7931" s="16" t="s">
        <v>21</v>
      </c>
      <c r="AD7931" s="17" t="s">
        <v>22552</v>
      </c>
      <c r="AE7931" s="145"/>
      <c r="AF7931" s="146"/>
      <c r="AG7931" s="146"/>
      <c r="AH7931" s="146"/>
      <c r="AI7931" s="147"/>
      <c r="AJ7931" s="148"/>
      <c r="AK7931" s="143"/>
      <c r="AL7931" s="144"/>
      <c r="AM7931" s="22"/>
      <c r="AN7931" s="149" t="s">
        <v>25047</v>
      </c>
      <c r="AO7931" s="144"/>
      <c r="AP7931" s="148">
        <v>60080</v>
      </c>
      <c r="AQ7931" s="144"/>
      <c r="AR7931" s="120"/>
      <c r="AS7931" s="121"/>
      <c r="AT7931" s="120"/>
      <c r="AU7931" s="121"/>
      <c r="AV7931" s="120"/>
      <c r="AW7931" s="121"/>
      <c r="AX7931" s="120"/>
      <c r="AY7931" s="121"/>
      <c r="AZ7931" s="138"/>
    </row>
    <row r="7932" spans="1:52" ht="17.100000000000001" customHeight="1" thickTop="1">
      <c r="A7932" s="109" t="s">
        <v>22366</v>
      </c>
      <c r="B7932" s="28">
        <v>46119</v>
      </c>
      <c r="C7932" s="25">
        <v>934</v>
      </c>
      <c r="D7932" s="13" t="s">
        <v>1937</v>
      </c>
      <c r="E7932" s="111"/>
      <c r="F7932" s="113" t="s">
        <v>21530</v>
      </c>
      <c r="G7932" s="114"/>
      <c r="H7932" s="115"/>
      <c r="I7932" s="24" t="s">
        <v>2956</v>
      </c>
      <c r="J7932" s="116">
        <v>4</v>
      </c>
      <c r="K7932" s="118">
        <v>589000</v>
      </c>
      <c r="L7932" s="119"/>
      <c r="M7932" s="118">
        <f t="shared" ref="M7932" si="11767">K7932*0.1</f>
        <v>58900</v>
      </c>
      <c r="N7932" s="119"/>
      <c r="O7932" s="118">
        <v>0</v>
      </c>
      <c r="P7932" s="119"/>
      <c r="Q7932" s="118">
        <v>9200</v>
      </c>
      <c r="R7932" s="119"/>
      <c r="S7932" s="118">
        <v>15950</v>
      </c>
      <c r="T7932" s="119"/>
      <c r="U7932" s="118">
        <f t="shared" ref="U7932" si="11768">SUM(K7932:T7933)</f>
        <v>673050</v>
      </c>
      <c r="V7932" s="122"/>
      <c r="W7932" s="124"/>
      <c r="X7932" s="126" t="s">
        <v>22569</v>
      </c>
      <c r="Y7932" s="127"/>
      <c r="Z7932" s="127"/>
      <c r="AA7932" s="127"/>
      <c r="AB7932" s="128"/>
      <c r="AC7932" s="15" t="s">
        <v>20</v>
      </c>
      <c r="AD7932" s="129" t="s">
        <v>3896</v>
      </c>
      <c r="AE7932" s="130"/>
      <c r="AF7932" s="130"/>
      <c r="AG7932" s="130"/>
      <c r="AH7932" s="130"/>
      <c r="AI7932" s="131"/>
      <c r="AJ7932" s="132"/>
      <c r="AK7932" s="127"/>
      <c r="AL7932" s="128"/>
      <c r="AM7932" s="21"/>
      <c r="AN7932" s="133">
        <v>46130</v>
      </c>
      <c r="AO7932" s="134"/>
      <c r="AP7932" s="135">
        <v>1297</v>
      </c>
      <c r="AQ7932" s="136"/>
      <c r="AR7932" s="118">
        <v>650000</v>
      </c>
      <c r="AS7932" s="119"/>
      <c r="AT7932" s="118">
        <f t="shared" ref="AT7932" si="11769">AR7932*0.1</f>
        <v>65000</v>
      </c>
      <c r="AU7932" s="119"/>
      <c r="AV7932" s="118">
        <v>9200</v>
      </c>
      <c r="AW7932" s="119"/>
      <c r="AX7932" s="118">
        <f t="shared" ref="AX7932" si="11770">SUM(AR7932:AW7932)</f>
        <v>724200</v>
      </c>
      <c r="AY7932" s="119"/>
      <c r="AZ7932" s="137">
        <v>46133</v>
      </c>
    </row>
    <row r="7933" spans="1:52" ht="17.100000000000001" customHeight="1" thickBot="1">
      <c r="A7933" s="110"/>
      <c r="B7933" s="27" t="s">
        <v>2699</v>
      </c>
      <c r="C7933" s="27">
        <v>3112</v>
      </c>
      <c r="D7933" s="14" t="s">
        <v>4023</v>
      </c>
      <c r="E7933" s="112"/>
      <c r="F7933" s="139" t="s">
        <v>22380</v>
      </c>
      <c r="G7933" s="140"/>
      <c r="H7933" s="141"/>
      <c r="I7933" s="26">
        <v>59719</v>
      </c>
      <c r="J7933" s="117"/>
      <c r="K7933" s="120"/>
      <c r="L7933" s="121"/>
      <c r="M7933" s="120"/>
      <c r="N7933" s="121"/>
      <c r="O7933" s="120"/>
      <c r="P7933" s="121"/>
      <c r="Q7933" s="120"/>
      <c r="R7933" s="121"/>
      <c r="S7933" s="120"/>
      <c r="T7933" s="121"/>
      <c r="U7933" s="120"/>
      <c r="V7933" s="123"/>
      <c r="W7933" s="125"/>
      <c r="X7933" s="142" t="s">
        <v>22570</v>
      </c>
      <c r="Y7933" s="143"/>
      <c r="Z7933" s="143"/>
      <c r="AA7933" s="143"/>
      <c r="AB7933" s="144"/>
      <c r="AC7933" s="16" t="s">
        <v>21</v>
      </c>
      <c r="AD7933" s="17" t="s">
        <v>22552</v>
      </c>
      <c r="AE7933" s="145" t="s">
        <v>22913</v>
      </c>
      <c r="AF7933" s="146"/>
      <c r="AG7933" s="146"/>
      <c r="AH7933" s="146"/>
      <c r="AI7933" s="147"/>
      <c r="AJ7933" s="148"/>
      <c r="AK7933" s="143"/>
      <c r="AL7933" s="144"/>
      <c r="AM7933" s="22"/>
      <c r="AN7933" s="149" t="s">
        <v>2511</v>
      </c>
      <c r="AO7933" s="144"/>
      <c r="AP7933" s="148">
        <v>60316</v>
      </c>
      <c r="AQ7933" s="144"/>
      <c r="AR7933" s="120"/>
      <c r="AS7933" s="121"/>
      <c r="AT7933" s="120"/>
      <c r="AU7933" s="121"/>
      <c r="AV7933" s="120"/>
      <c r="AW7933" s="121"/>
      <c r="AX7933" s="120"/>
      <c r="AY7933" s="121"/>
      <c r="AZ7933" s="138"/>
    </row>
    <row r="7934" spans="1:52" ht="17.100000000000001" customHeight="1" thickTop="1">
      <c r="A7934" s="109" t="s">
        <v>22367</v>
      </c>
      <c r="B7934" s="28">
        <v>46119</v>
      </c>
      <c r="C7934" s="25">
        <v>934</v>
      </c>
      <c r="D7934" s="13" t="s">
        <v>2359</v>
      </c>
      <c r="E7934" s="111"/>
      <c r="F7934" s="113" t="s">
        <v>7391</v>
      </c>
      <c r="G7934" s="114"/>
      <c r="H7934" s="115"/>
      <c r="I7934" s="24"/>
      <c r="J7934" s="116">
        <v>4</v>
      </c>
      <c r="K7934" s="118">
        <v>399000</v>
      </c>
      <c r="L7934" s="119"/>
      <c r="M7934" s="118">
        <f t="shared" ref="M7934" si="11771">K7934*0.1</f>
        <v>39900</v>
      </c>
      <c r="N7934" s="119"/>
      <c r="O7934" s="118">
        <v>0</v>
      </c>
      <c r="P7934" s="119"/>
      <c r="Q7934" s="118">
        <v>7140</v>
      </c>
      <c r="R7934" s="119"/>
      <c r="S7934" s="118">
        <v>15950</v>
      </c>
      <c r="T7934" s="119"/>
      <c r="U7934" s="118">
        <f t="shared" ref="U7934" si="11772">SUM(K7934:T7935)</f>
        <v>461990</v>
      </c>
      <c r="V7934" s="122"/>
      <c r="W7934" s="124"/>
      <c r="X7934" s="126" t="s">
        <v>22573</v>
      </c>
      <c r="Y7934" s="127"/>
      <c r="Z7934" s="127"/>
      <c r="AA7934" s="127"/>
      <c r="AB7934" s="128"/>
      <c r="AC7934" s="15" t="s">
        <v>20</v>
      </c>
      <c r="AD7934" s="129"/>
      <c r="AE7934" s="130"/>
      <c r="AF7934" s="130"/>
      <c r="AG7934" s="130"/>
      <c r="AH7934" s="130"/>
      <c r="AI7934" s="131"/>
      <c r="AJ7934" s="132"/>
      <c r="AK7934" s="127"/>
      <c r="AL7934" s="128"/>
      <c r="AM7934" s="21"/>
      <c r="AN7934" s="133">
        <v>46130</v>
      </c>
      <c r="AO7934" s="134"/>
      <c r="AP7934" s="135">
        <v>1297</v>
      </c>
      <c r="AQ7934" s="136"/>
      <c r="AR7934" s="118">
        <v>395000</v>
      </c>
      <c r="AS7934" s="119"/>
      <c r="AT7934" s="118">
        <f t="shared" ref="AT7934" si="11773">AR7934*0.1</f>
        <v>39500</v>
      </c>
      <c r="AU7934" s="119"/>
      <c r="AV7934" s="118">
        <v>7140</v>
      </c>
      <c r="AW7934" s="119"/>
      <c r="AX7934" s="118">
        <f t="shared" ref="AX7934" si="11774">SUM(AR7934:AW7934)</f>
        <v>441640</v>
      </c>
      <c r="AY7934" s="119"/>
      <c r="AZ7934" s="137">
        <v>46133</v>
      </c>
    </row>
    <row r="7935" spans="1:52" ht="17.100000000000001" customHeight="1" thickBot="1">
      <c r="A7935" s="110"/>
      <c r="B7935" s="27" t="s">
        <v>2699</v>
      </c>
      <c r="C7935" s="27">
        <v>3147</v>
      </c>
      <c r="D7935" s="14" t="s">
        <v>1720</v>
      </c>
      <c r="E7935" s="112"/>
      <c r="F7935" s="139" t="s">
        <v>22381</v>
      </c>
      <c r="G7935" s="140"/>
      <c r="H7935" s="141"/>
      <c r="I7935" s="26">
        <v>50331</v>
      </c>
      <c r="J7935" s="117"/>
      <c r="K7935" s="120"/>
      <c r="L7935" s="121"/>
      <c r="M7935" s="120"/>
      <c r="N7935" s="121"/>
      <c r="O7935" s="120"/>
      <c r="P7935" s="121"/>
      <c r="Q7935" s="120"/>
      <c r="R7935" s="121"/>
      <c r="S7935" s="120"/>
      <c r="T7935" s="121"/>
      <c r="U7935" s="120"/>
      <c r="V7935" s="123"/>
      <c r="W7935" s="125"/>
      <c r="X7935" s="142" t="s">
        <v>22574</v>
      </c>
      <c r="Y7935" s="143"/>
      <c r="Z7935" s="143"/>
      <c r="AA7935" s="143"/>
      <c r="AB7935" s="144"/>
      <c r="AC7935" s="16" t="s">
        <v>21</v>
      </c>
      <c r="AD7935" s="17" t="s">
        <v>22552</v>
      </c>
      <c r="AE7935" s="145"/>
      <c r="AF7935" s="146"/>
      <c r="AG7935" s="146"/>
      <c r="AH7935" s="146"/>
      <c r="AI7935" s="147"/>
      <c r="AJ7935" s="148"/>
      <c r="AK7935" s="143"/>
      <c r="AL7935" s="144"/>
      <c r="AM7935" s="22"/>
      <c r="AN7935" s="149" t="s">
        <v>2511</v>
      </c>
      <c r="AO7935" s="144"/>
      <c r="AP7935" s="148">
        <v>60314</v>
      </c>
      <c r="AQ7935" s="144"/>
      <c r="AR7935" s="120"/>
      <c r="AS7935" s="121"/>
      <c r="AT7935" s="120"/>
      <c r="AU7935" s="121"/>
      <c r="AV7935" s="120"/>
      <c r="AW7935" s="121"/>
      <c r="AX7935" s="120"/>
      <c r="AY7935" s="121"/>
      <c r="AZ7935" s="138"/>
    </row>
    <row r="7936" spans="1:52" ht="17.100000000000001" customHeight="1" thickTop="1">
      <c r="A7936" s="109" t="s">
        <v>22368</v>
      </c>
      <c r="B7936" s="28">
        <v>46119</v>
      </c>
      <c r="C7936" s="25">
        <v>934</v>
      </c>
      <c r="D7936" s="13" t="s">
        <v>2458</v>
      </c>
      <c r="E7936" s="111"/>
      <c r="F7936" s="113" t="s">
        <v>15571</v>
      </c>
      <c r="G7936" s="114"/>
      <c r="H7936" s="115"/>
      <c r="I7936" s="24" t="s">
        <v>4096</v>
      </c>
      <c r="J7936" s="116">
        <v>4</v>
      </c>
      <c r="K7936" s="118">
        <v>355000</v>
      </c>
      <c r="L7936" s="119"/>
      <c r="M7936" s="118">
        <f t="shared" ref="M7936" si="11775">K7936*0.1</f>
        <v>35500</v>
      </c>
      <c r="N7936" s="119"/>
      <c r="O7936" s="118">
        <v>0</v>
      </c>
      <c r="P7936" s="119"/>
      <c r="Q7936" s="118">
        <v>8850</v>
      </c>
      <c r="R7936" s="119"/>
      <c r="S7936" s="118">
        <v>15950</v>
      </c>
      <c r="T7936" s="119"/>
      <c r="U7936" s="118">
        <f t="shared" ref="U7936" si="11776">SUM(K7936:T7937)</f>
        <v>415300</v>
      </c>
      <c r="V7936" s="122"/>
      <c r="W7936" s="124"/>
      <c r="X7936" s="126" t="s">
        <v>22561</v>
      </c>
      <c r="Y7936" s="127"/>
      <c r="Z7936" s="127"/>
      <c r="AA7936" s="127"/>
      <c r="AB7936" s="128"/>
      <c r="AC7936" s="15" t="s">
        <v>20</v>
      </c>
      <c r="AD7936" s="129"/>
      <c r="AE7936" s="130"/>
      <c r="AF7936" s="130"/>
      <c r="AG7936" s="130"/>
      <c r="AH7936" s="130"/>
      <c r="AI7936" s="131"/>
      <c r="AJ7936" s="132"/>
      <c r="AK7936" s="127"/>
      <c r="AL7936" s="128"/>
      <c r="AM7936" s="21"/>
      <c r="AN7936" s="133">
        <v>46123</v>
      </c>
      <c r="AO7936" s="134"/>
      <c r="AP7936" s="135">
        <v>1296</v>
      </c>
      <c r="AQ7936" s="136"/>
      <c r="AR7936" s="118">
        <v>430000</v>
      </c>
      <c r="AS7936" s="119"/>
      <c r="AT7936" s="118">
        <f t="shared" ref="AT7936" si="11777">AR7936*0.1</f>
        <v>43000</v>
      </c>
      <c r="AU7936" s="119"/>
      <c r="AV7936" s="118">
        <v>8850</v>
      </c>
      <c r="AW7936" s="119"/>
      <c r="AX7936" s="118">
        <f t="shared" ref="AX7936" si="11778">SUM(AR7936:AW7936)</f>
        <v>481850</v>
      </c>
      <c r="AY7936" s="119"/>
      <c r="AZ7936" s="137">
        <v>46128</v>
      </c>
    </row>
    <row r="7937" spans="1:52" ht="17.100000000000001" customHeight="1" thickBot="1">
      <c r="A7937" s="110"/>
      <c r="B7937" s="27" t="s">
        <v>2699</v>
      </c>
      <c r="C7937" s="27">
        <v>3213</v>
      </c>
      <c r="D7937" s="14" t="s">
        <v>275</v>
      </c>
      <c r="E7937" s="112"/>
      <c r="F7937" s="139" t="s">
        <v>22382</v>
      </c>
      <c r="G7937" s="140"/>
      <c r="H7937" s="141"/>
      <c r="I7937" s="26">
        <v>33811</v>
      </c>
      <c r="J7937" s="117"/>
      <c r="K7937" s="120"/>
      <c r="L7937" s="121"/>
      <c r="M7937" s="120"/>
      <c r="N7937" s="121"/>
      <c r="O7937" s="120"/>
      <c r="P7937" s="121"/>
      <c r="Q7937" s="120"/>
      <c r="R7937" s="121"/>
      <c r="S7937" s="120"/>
      <c r="T7937" s="121"/>
      <c r="U7937" s="120"/>
      <c r="V7937" s="123"/>
      <c r="W7937" s="125"/>
      <c r="X7937" s="142" t="s">
        <v>22562</v>
      </c>
      <c r="Y7937" s="143"/>
      <c r="Z7937" s="143"/>
      <c r="AA7937" s="143"/>
      <c r="AB7937" s="144"/>
      <c r="AC7937" s="16" t="s">
        <v>21</v>
      </c>
      <c r="AD7937" s="17" t="s">
        <v>22552</v>
      </c>
      <c r="AE7937" s="145" t="s">
        <v>22606</v>
      </c>
      <c r="AF7937" s="146"/>
      <c r="AG7937" s="146"/>
      <c r="AH7937" s="146"/>
      <c r="AI7937" s="147"/>
      <c r="AJ7937" s="148"/>
      <c r="AK7937" s="143"/>
      <c r="AL7937" s="144"/>
      <c r="AM7937" s="22"/>
      <c r="AN7937" s="149" t="s">
        <v>6749</v>
      </c>
      <c r="AO7937" s="144"/>
      <c r="AP7937" s="148">
        <v>60526</v>
      </c>
      <c r="AQ7937" s="144"/>
      <c r="AR7937" s="120"/>
      <c r="AS7937" s="121"/>
      <c r="AT7937" s="120"/>
      <c r="AU7937" s="121"/>
      <c r="AV7937" s="120"/>
      <c r="AW7937" s="121"/>
      <c r="AX7937" s="120"/>
      <c r="AY7937" s="121"/>
      <c r="AZ7937" s="138"/>
    </row>
    <row r="7938" spans="1:52" ht="17.100000000000001" customHeight="1" thickTop="1">
      <c r="A7938" s="109" t="s">
        <v>22369</v>
      </c>
      <c r="B7938" s="28">
        <v>46119</v>
      </c>
      <c r="C7938" s="25">
        <v>1235</v>
      </c>
      <c r="D7938" s="13" t="s">
        <v>1853</v>
      </c>
      <c r="E7938" s="111"/>
      <c r="F7938" s="113" t="s">
        <v>19280</v>
      </c>
      <c r="G7938" s="114"/>
      <c r="H7938" s="115"/>
      <c r="I7938" s="24" t="s">
        <v>4487</v>
      </c>
      <c r="J7938" s="116">
        <v>4.5</v>
      </c>
      <c r="K7938" s="118">
        <v>1207000</v>
      </c>
      <c r="L7938" s="119"/>
      <c r="M7938" s="118">
        <f t="shared" ref="M7938" si="11779">K7938*0.1</f>
        <v>120700</v>
      </c>
      <c r="N7938" s="119"/>
      <c r="O7938" s="118">
        <v>30690</v>
      </c>
      <c r="P7938" s="119"/>
      <c r="Q7938" s="118">
        <v>20170</v>
      </c>
      <c r="R7938" s="119"/>
      <c r="S7938" s="118">
        <v>15950</v>
      </c>
      <c r="T7938" s="119"/>
      <c r="U7938" s="118">
        <f t="shared" ref="U7938" si="11780">SUM(K7938:T7939)</f>
        <v>1394510</v>
      </c>
      <c r="V7938" s="122"/>
      <c r="W7938" s="124"/>
      <c r="X7938" s="126" t="s">
        <v>22496</v>
      </c>
      <c r="Y7938" s="127"/>
      <c r="Z7938" s="127"/>
      <c r="AA7938" s="127"/>
      <c r="AB7938" s="128"/>
      <c r="AC7938" s="15" t="s">
        <v>20</v>
      </c>
      <c r="AD7938" s="129" t="s">
        <v>22497</v>
      </c>
      <c r="AE7938" s="130"/>
      <c r="AF7938" s="130"/>
      <c r="AG7938" s="130"/>
      <c r="AH7938" s="130"/>
      <c r="AI7938" s="131"/>
      <c r="AJ7938" s="132"/>
      <c r="AK7938" s="127"/>
      <c r="AL7938" s="128"/>
      <c r="AM7938" s="21"/>
      <c r="AN7938" s="133">
        <v>46123</v>
      </c>
      <c r="AO7938" s="134"/>
      <c r="AP7938" s="135">
        <v>1296</v>
      </c>
      <c r="AQ7938" s="136"/>
      <c r="AR7938" s="118">
        <v>1420000</v>
      </c>
      <c r="AS7938" s="119"/>
      <c r="AT7938" s="118">
        <f t="shared" ref="AT7938" si="11781">AR7938*0.1</f>
        <v>142000</v>
      </c>
      <c r="AU7938" s="119"/>
      <c r="AV7938" s="118">
        <v>20170</v>
      </c>
      <c r="AW7938" s="119"/>
      <c r="AX7938" s="118">
        <f t="shared" ref="AX7938" si="11782">SUM(AR7938:AW7938)</f>
        <v>1582170</v>
      </c>
      <c r="AY7938" s="119"/>
      <c r="AZ7938" s="137">
        <v>46128</v>
      </c>
    </row>
    <row r="7939" spans="1:52" ht="17.100000000000001" customHeight="1" thickBot="1">
      <c r="A7939" s="110"/>
      <c r="B7939" s="27" t="s">
        <v>2379</v>
      </c>
      <c r="C7939" s="27">
        <v>5034</v>
      </c>
      <c r="D7939" s="14" t="s">
        <v>1592</v>
      </c>
      <c r="E7939" s="112"/>
      <c r="F7939" s="139" t="s">
        <v>22495</v>
      </c>
      <c r="G7939" s="140"/>
      <c r="H7939" s="141"/>
      <c r="I7939" s="26">
        <v>40355</v>
      </c>
      <c r="J7939" s="117"/>
      <c r="K7939" s="120"/>
      <c r="L7939" s="121"/>
      <c r="M7939" s="120"/>
      <c r="N7939" s="121"/>
      <c r="O7939" s="120"/>
      <c r="P7939" s="121"/>
      <c r="Q7939" s="120"/>
      <c r="R7939" s="121"/>
      <c r="S7939" s="120"/>
      <c r="T7939" s="121"/>
      <c r="U7939" s="120"/>
      <c r="V7939" s="123"/>
      <c r="W7939" s="125"/>
      <c r="X7939" s="142" t="s">
        <v>22604</v>
      </c>
      <c r="Y7939" s="143"/>
      <c r="Z7939" s="143"/>
      <c r="AA7939" s="143"/>
      <c r="AB7939" s="144"/>
      <c r="AC7939" s="16" t="s">
        <v>21</v>
      </c>
      <c r="AD7939" s="17" t="s">
        <v>22552</v>
      </c>
      <c r="AE7939" s="145" t="s">
        <v>22605</v>
      </c>
      <c r="AF7939" s="146"/>
      <c r="AG7939" s="146"/>
      <c r="AH7939" s="146"/>
      <c r="AI7939" s="147"/>
      <c r="AJ7939" s="148"/>
      <c r="AK7939" s="143"/>
      <c r="AL7939" s="144"/>
      <c r="AM7939" s="22"/>
      <c r="AN7939" s="149" t="s">
        <v>2511</v>
      </c>
      <c r="AO7939" s="144"/>
      <c r="AP7939" s="148">
        <v>80399</v>
      </c>
      <c r="AQ7939" s="144"/>
      <c r="AR7939" s="120"/>
      <c r="AS7939" s="121"/>
      <c r="AT7939" s="120"/>
      <c r="AU7939" s="121"/>
      <c r="AV7939" s="120"/>
      <c r="AW7939" s="121"/>
      <c r="AX7939" s="120"/>
      <c r="AY7939" s="121"/>
      <c r="AZ7939" s="138"/>
    </row>
    <row r="7940" spans="1:52" ht="17.100000000000001" customHeight="1" thickTop="1">
      <c r="A7940" s="109" t="s">
        <v>22370</v>
      </c>
      <c r="B7940" s="28">
        <v>46119</v>
      </c>
      <c r="C7940" s="25"/>
      <c r="D7940" s="13" t="s">
        <v>2211</v>
      </c>
      <c r="E7940" s="111"/>
      <c r="F7940" s="113" t="s">
        <v>22385</v>
      </c>
      <c r="G7940" s="114"/>
      <c r="H7940" s="115"/>
      <c r="I7940" s="24" t="s">
        <v>11340</v>
      </c>
      <c r="J7940" s="116">
        <v>5</v>
      </c>
      <c r="K7940" s="118">
        <v>5250000</v>
      </c>
      <c r="L7940" s="119"/>
      <c r="M7940" s="118">
        <f t="shared" ref="M7940" si="11783">K7940*0.1</f>
        <v>525000</v>
      </c>
      <c r="N7940" s="119"/>
      <c r="O7940" s="118">
        <v>41600</v>
      </c>
      <c r="P7940" s="119"/>
      <c r="Q7940" s="118">
        <v>14230</v>
      </c>
      <c r="R7940" s="119"/>
      <c r="S7940" s="118">
        <v>0</v>
      </c>
      <c r="T7940" s="119"/>
      <c r="U7940" s="118">
        <f t="shared" ref="U7940" si="11784">SUM(K7940:T7941)</f>
        <v>5830830</v>
      </c>
      <c r="V7940" s="122"/>
      <c r="W7940" s="124"/>
      <c r="X7940" s="126" t="s">
        <v>24044</v>
      </c>
      <c r="Y7940" s="127"/>
      <c r="Z7940" s="127"/>
      <c r="AA7940" s="127"/>
      <c r="AB7940" s="128"/>
      <c r="AC7940" s="15" t="s">
        <v>20</v>
      </c>
      <c r="AD7940" s="129" t="s">
        <v>15223</v>
      </c>
      <c r="AE7940" s="130"/>
      <c r="AF7940" s="130"/>
      <c r="AG7940" s="130"/>
      <c r="AH7940" s="130"/>
      <c r="AI7940" s="131"/>
      <c r="AJ7940" s="132"/>
      <c r="AK7940" s="127"/>
      <c r="AL7940" s="128"/>
      <c r="AM7940" s="21"/>
      <c r="AN7940" s="133">
        <v>46155</v>
      </c>
      <c r="AO7940" s="134"/>
      <c r="AP7940" s="135">
        <v>1016</v>
      </c>
      <c r="AQ7940" s="136"/>
      <c r="AR7940" s="118">
        <v>5345000</v>
      </c>
      <c r="AS7940" s="119"/>
      <c r="AT7940" s="118">
        <f t="shared" ref="AT7940" si="11785">AR7940*0.1</f>
        <v>534500</v>
      </c>
      <c r="AU7940" s="119"/>
      <c r="AV7940" s="118">
        <v>14230</v>
      </c>
      <c r="AW7940" s="119"/>
      <c r="AX7940" s="118">
        <f t="shared" ref="AX7940" si="11786">SUM(AR7940:AW7940)</f>
        <v>5893730</v>
      </c>
      <c r="AY7940" s="119"/>
      <c r="AZ7940" s="137">
        <v>46160</v>
      </c>
    </row>
    <row r="7941" spans="1:52" ht="17.100000000000001" customHeight="1" thickBot="1">
      <c r="A7941" s="110"/>
      <c r="B7941" s="27" t="s">
        <v>1718</v>
      </c>
      <c r="C7941" s="27" t="s">
        <v>22383</v>
      </c>
      <c r="D7941" s="14" t="s">
        <v>2325</v>
      </c>
      <c r="E7941" s="112"/>
      <c r="F7941" s="139" t="s">
        <v>22384</v>
      </c>
      <c r="G7941" s="140"/>
      <c r="H7941" s="141"/>
      <c r="I7941" s="26">
        <v>28233</v>
      </c>
      <c r="J7941" s="117"/>
      <c r="K7941" s="120"/>
      <c r="L7941" s="121"/>
      <c r="M7941" s="120"/>
      <c r="N7941" s="121"/>
      <c r="O7941" s="120"/>
      <c r="P7941" s="121"/>
      <c r="Q7941" s="120"/>
      <c r="R7941" s="121"/>
      <c r="S7941" s="120"/>
      <c r="T7941" s="121"/>
      <c r="U7941" s="120"/>
      <c r="V7941" s="123"/>
      <c r="W7941" s="125"/>
      <c r="X7941" s="142" t="s">
        <v>24045</v>
      </c>
      <c r="Y7941" s="143"/>
      <c r="Z7941" s="143"/>
      <c r="AA7941" s="143"/>
      <c r="AB7941" s="144"/>
      <c r="AC7941" s="16" t="s">
        <v>21</v>
      </c>
      <c r="AD7941" s="17" t="s">
        <v>24016</v>
      </c>
      <c r="AE7941" s="145" t="s">
        <v>24046</v>
      </c>
      <c r="AF7941" s="146"/>
      <c r="AG7941" s="146"/>
      <c r="AH7941" s="146"/>
      <c r="AI7941" s="147"/>
      <c r="AJ7941" s="148"/>
      <c r="AK7941" s="143"/>
      <c r="AL7941" s="144"/>
      <c r="AM7941" s="22"/>
      <c r="AN7941" s="149" t="s">
        <v>2794</v>
      </c>
      <c r="AO7941" s="144"/>
      <c r="AP7941" s="148">
        <v>1029</v>
      </c>
      <c r="AQ7941" s="144"/>
      <c r="AR7941" s="120"/>
      <c r="AS7941" s="121"/>
      <c r="AT7941" s="120"/>
      <c r="AU7941" s="121"/>
      <c r="AV7941" s="120"/>
      <c r="AW7941" s="121"/>
      <c r="AX7941" s="120"/>
      <c r="AY7941" s="121"/>
      <c r="AZ7941" s="138"/>
    </row>
    <row r="7942" spans="1:52" ht="16.5" customHeight="1" thickTop="1">
      <c r="A7942" s="109" t="s">
        <v>22386</v>
      </c>
      <c r="B7942" s="28">
        <v>46119</v>
      </c>
      <c r="C7942" s="25">
        <v>985</v>
      </c>
      <c r="D7942" s="13" t="s">
        <v>2359</v>
      </c>
      <c r="E7942" s="111"/>
      <c r="F7942" s="113" t="s">
        <v>20390</v>
      </c>
      <c r="G7942" s="114"/>
      <c r="H7942" s="115"/>
      <c r="I7942" s="24"/>
      <c r="J7942" s="116">
        <v>3.5</v>
      </c>
      <c r="K7942" s="118">
        <v>326000</v>
      </c>
      <c r="L7942" s="119"/>
      <c r="M7942" s="118">
        <f t="shared" ref="M7942" si="11787">K7942*0.1</f>
        <v>32600</v>
      </c>
      <c r="N7942" s="119"/>
      <c r="O7942" s="118">
        <v>0</v>
      </c>
      <c r="P7942" s="119"/>
      <c r="Q7942" s="118">
        <v>6960</v>
      </c>
      <c r="R7942" s="119"/>
      <c r="S7942" s="118">
        <v>22000</v>
      </c>
      <c r="T7942" s="119"/>
      <c r="U7942" s="118">
        <f t="shared" ref="U7942" si="11788">SUM(K7942:T7943)</f>
        <v>387560</v>
      </c>
      <c r="V7942" s="122"/>
      <c r="W7942" s="124"/>
      <c r="X7942" s="126" t="s">
        <v>23276</v>
      </c>
      <c r="Y7942" s="127"/>
      <c r="Z7942" s="127"/>
      <c r="AA7942" s="127"/>
      <c r="AB7942" s="128"/>
      <c r="AC7942" s="15" t="s">
        <v>20</v>
      </c>
      <c r="AD7942" s="129" t="s">
        <v>2054</v>
      </c>
      <c r="AE7942" s="130"/>
      <c r="AF7942" s="130"/>
      <c r="AG7942" s="130"/>
      <c r="AH7942" s="130"/>
      <c r="AI7942" s="131"/>
      <c r="AJ7942" s="132"/>
      <c r="AK7942" s="127"/>
      <c r="AL7942" s="128"/>
      <c r="AM7942" s="21"/>
      <c r="AN7942" s="133">
        <v>46130</v>
      </c>
      <c r="AO7942" s="134"/>
      <c r="AP7942" s="135">
        <v>1297</v>
      </c>
      <c r="AQ7942" s="136"/>
      <c r="AR7942" s="118">
        <v>410000</v>
      </c>
      <c r="AS7942" s="119"/>
      <c r="AT7942" s="118">
        <f t="shared" ref="AT7942" si="11789">AR7942*0.1</f>
        <v>41000</v>
      </c>
      <c r="AU7942" s="119"/>
      <c r="AV7942" s="118">
        <v>6960</v>
      </c>
      <c r="AW7942" s="119"/>
      <c r="AX7942" s="118">
        <f t="shared" ref="AX7942" si="11790">SUM(AR7942:AW7942)</f>
        <v>457960</v>
      </c>
      <c r="AY7942" s="119"/>
      <c r="AZ7942" s="137">
        <v>46133</v>
      </c>
    </row>
    <row r="7943" spans="1:52" ht="17.100000000000001" customHeight="1" thickBot="1">
      <c r="A7943" s="110"/>
      <c r="B7943" s="27" t="s">
        <v>18196</v>
      </c>
      <c r="C7943" s="27">
        <v>100</v>
      </c>
      <c r="D7943" s="14" t="s">
        <v>1592</v>
      </c>
      <c r="E7943" s="112"/>
      <c r="F7943" s="139" t="s">
        <v>22394</v>
      </c>
      <c r="G7943" s="140"/>
      <c r="H7943" s="141"/>
      <c r="I7943" s="26">
        <v>36301</v>
      </c>
      <c r="J7943" s="117"/>
      <c r="K7943" s="120"/>
      <c r="L7943" s="121"/>
      <c r="M7943" s="120"/>
      <c r="N7943" s="121"/>
      <c r="O7943" s="120"/>
      <c r="P7943" s="121"/>
      <c r="Q7943" s="120"/>
      <c r="R7943" s="121"/>
      <c r="S7943" s="120"/>
      <c r="T7943" s="121"/>
      <c r="U7943" s="120"/>
      <c r="V7943" s="123"/>
      <c r="W7943" s="125"/>
      <c r="X7943" s="142" t="s">
        <v>2482</v>
      </c>
      <c r="Y7943" s="143"/>
      <c r="Z7943" s="143"/>
      <c r="AA7943" s="143"/>
      <c r="AB7943" s="144"/>
      <c r="AC7943" s="16" t="s">
        <v>21</v>
      </c>
      <c r="AD7943" s="17" t="s">
        <v>1952</v>
      </c>
      <c r="AE7943" s="145" t="s">
        <v>171</v>
      </c>
      <c r="AF7943" s="146"/>
      <c r="AG7943" s="146"/>
      <c r="AH7943" s="146"/>
      <c r="AI7943" s="147"/>
      <c r="AJ7943" s="148"/>
      <c r="AK7943" s="143"/>
      <c r="AL7943" s="144"/>
      <c r="AM7943" s="22"/>
      <c r="AN7943" s="149" t="s">
        <v>2511</v>
      </c>
      <c r="AO7943" s="144"/>
      <c r="AP7943" s="148">
        <v>62012</v>
      </c>
      <c r="AQ7943" s="144"/>
      <c r="AR7943" s="120"/>
      <c r="AS7943" s="121"/>
      <c r="AT7943" s="120"/>
      <c r="AU7943" s="121"/>
      <c r="AV7943" s="120"/>
      <c r="AW7943" s="121"/>
      <c r="AX7943" s="120"/>
      <c r="AY7943" s="121"/>
      <c r="AZ7943" s="138"/>
    </row>
    <row r="7944" spans="1:52" ht="17.100000000000001" customHeight="1" thickTop="1">
      <c r="A7944" s="109" t="s">
        <v>22387</v>
      </c>
      <c r="B7944" s="28">
        <v>46119</v>
      </c>
      <c r="C7944" s="25">
        <v>985</v>
      </c>
      <c r="D7944" s="13" t="s">
        <v>1714</v>
      </c>
      <c r="E7944" s="111"/>
      <c r="F7944" s="113" t="s">
        <v>15949</v>
      </c>
      <c r="G7944" s="114"/>
      <c r="H7944" s="115"/>
      <c r="I7944" s="24"/>
      <c r="J7944" s="116">
        <v>3.5</v>
      </c>
      <c r="K7944" s="118">
        <v>273000</v>
      </c>
      <c r="L7944" s="119"/>
      <c r="M7944" s="118">
        <f t="shared" ref="M7944" si="11791">K7944*0.1</f>
        <v>27300</v>
      </c>
      <c r="N7944" s="119"/>
      <c r="O7944" s="118">
        <v>0</v>
      </c>
      <c r="P7944" s="119"/>
      <c r="Q7944" s="118">
        <v>7140</v>
      </c>
      <c r="R7944" s="119"/>
      <c r="S7944" s="118">
        <v>22000</v>
      </c>
      <c r="T7944" s="119"/>
      <c r="U7944" s="118">
        <f t="shared" ref="U7944" si="11792">SUM(K7944:T7945)</f>
        <v>329440</v>
      </c>
      <c r="V7944" s="122"/>
      <c r="W7944" s="124"/>
      <c r="X7944" s="126" t="s">
        <v>23275</v>
      </c>
      <c r="Y7944" s="127"/>
      <c r="Z7944" s="127"/>
      <c r="AA7944" s="127"/>
      <c r="AB7944" s="128"/>
      <c r="AC7944" s="15" t="s">
        <v>20</v>
      </c>
      <c r="AD7944" s="129" t="s">
        <v>22397</v>
      </c>
      <c r="AE7944" s="130"/>
      <c r="AF7944" s="130"/>
      <c r="AG7944" s="130"/>
      <c r="AH7944" s="130"/>
      <c r="AI7944" s="131"/>
      <c r="AJ7944" s="132"/>
      <c r="AK7944" s="127"/>
      <c r="AL7944" s="128"/>
      <c r="AM7944" s="21"/>
      <c r="AN7944" s="133">
        <v>46158</v>
      </c>
      <c r="AO7944" s="134"/>
      <c r="AP7944" s="135">
        <v>1300</v>
      </c>
      <c r="AQ7944" s="136"/>
      <c r="AR7944" s="118">
        <v>350000</v>
      </c>
      <c r="AS7944" s="119"/>
      <c r="AT7944" s="118">
        <f t="shared" ref="AT7944" si="11793">AR7944*0.1</f>
        <v>35000</v>
      </c>
      <c r="AU7944" s="119"/>
      <c r="AV7944" s="118">
        <v>7140</v>
      </c>
      <c r="AW7944" s="119"/>
      <c r="AX7944" s="118">
        <f t="shared" ref="AX7944" si="11794">SUM(AR7944:AW7944)</f>
        <v>392140</v>
      </c>
      <c r="AY7944" s="119"/>
      <c r="AZ7944" s="137">
        <v>46161</v>
      </c>
    </row>
    <row r="7945" spans="1:52" ht="17.100000000000001" customHeight="1" thickBot="1">
      <c r="A7945" s="110"/>
      <c r="B7945" s="27" t="s">
        <v>18196</v>
      </c>
      <c r="C7945" s="27">
        <v>159</v>
      </c>
      <c r="D7945" s="14" t="s">
        <v>1720</v>
      </c>
      <c r="E7945" s="112"/>
      <c r="F7945" s="139" t="s">
        <v>22395</v>
      </c>
      <c r="G7945" s="140"/>
      <c r="H7945" s="141"/>
      <c r="I7945" s="26" t="s">
        <v>22396</v>
      </c>
      <c r="J7945" s="117"/>
      <c r="K7945" s="120"/>
      <c r="L7945" s="121"/>
      <c r="M7945" s="120"/>
      <c r="N7945" s="121"/>
      <c r="O7945" s="120"/>
      <c r="P7945" s="121"/>
      <c r="Q7945" s="120"/>
      <c r="R7945" s="121"/>
      <c r="S7945" s="120"/>
      <c r="T7945" s="121"/>
      <c r="U7945" s="120"/>
      <c r="V7945" s="123"/>
      <c r="W7945" s="125"/>
      <c r="X7945" s="142" t="s">
        <v>2482</v>
      </c>
      <c r="Y7945" s="143"/>
      <c r="Z7945" s="143"/>
      <c r="AA7945" s="143"/>
      <c r="AB7945" s="144"/>
      <c r="AC7945" s="16" t="s">
        <v>21</v>
      </c>
      <c r="AD7945" s="17" t="s">
        <v>1952</v>
      </c>
      <c r="AE7945" s="145" t="s">
        <v>171</v>
      </c>
      <c r="AF7945" s="146"/>
      <c r="AG7945" s="146"/>
      <c r="AH7945" s="146"/>
      <c r="AI7945" s="147"/>
      <c r="AJ7945" s="148"/>
      <c r="AK7945" s="143"/>
      <c r="AL7945" s="144"/>
      <c r="AM7945" s="22"/>
      <c r="AN7945" s="149" t="s">
        <v>2511</v>
      </c>
      <c r="AO7945" s="144"/>
      <c r="AP7945" s="148">
        <v>60067</v>
      </c>
      <c r="AQ7945" s="144"/>
      <c r="AR7945" s="120"/>
      <c r="AS7945" s="121"/>
      <c r="AT7945" s="120"/>
      <c r="AU7945" s="121"/>
      <c r="AV7945" s="120"/>
      <c r="AW7945" s="121"/>
      <c r="AX7945" s="120"/>
      <c r="AY7945" s="121"/>
      <c r="AZ7945" s="138"/>
    </row>
    <row r="7946" spans="1:52" ht="17.100000000000001" customHeight="1" thickTop="1">
      <c r="A7946" s="109" t="s">
        <v>22388</v>
      </c>
      <c r="B7946" s="28">
        <v>46119</v>
      </c>
      <c r="C7946" s="25">
        <v>985</v>
      </c>
      <c r="D7946" s="13" t="s">
        <v>1714</v>
      </c>
      <c r="E7946" s="111"/>
      <c r="F7946" s="113" t="s">
        <v>15571</v>
      </c>
      <c r="G7946" s="114"/>
      <c r="H7946" s="115"/>
      <c r="I7946" s="24"/>
      <c r="J7946" s="116">
        <v>4</v>
      </c>
      <c r="K7946" s="118">
        <v>443000</v>
      </c>
      <c r="L7946" s="119"/>
      <c r="M7946" s="118">
        <f t="shared" ref="M7946" si="11795">K7946*0.1</f>
        <v>44300</v>
      </c>
      <c r="N7946" s="119"/>
      <c r="O7946" s="118">
        <v>0</v>
      </c>
      <c r="P7946" s="119"/>
      <c r="Q7946" s="118">
        <v>6470</v>
      </c>
      <c r="R7946" s="119"/>
      <c r="S7946" s="118">
        <v>22000</v>
      </c>
      <c r="T7946" s="119"/>
      <c r="U7946" s="118">
        <f t="shared" ref="U7946" si="11796">SUM(K7946:T7947)</f>
        <v>515770</v>
      </c>
      <c r="V7946" s="122"/>
      <c r="W7946" s="124"/>
      <c r="X7946" s="126" t="s">
        <v>23274</v>
      </c>
      <c r="Y7946" s="127"/>
      <c r="Z7946" s="127"/>
      <c r="AA7946" s="127"/>
      <c r="AB7946" s="128"/>
      <c r="AC7946" s="15" t="s">
        <v>20</v>
      </c>
      <c r="AD7946" s="129" t="s">
        <v>2054</v>
      </c>
      <c r="AE7946" s="130"/>
      <c r="AF7946" s="130"/>
      <c r="AG7946" s="130"/>
      <c r="AH7946" s="130"/>
      <c r="AI7946" s="131"/>
      <c r="AJ7946" s="132"/>
      <c r="AK7946" s="127"/>
      <c r="AL7946" s="128"/>
      <c r="AM7946" s="21"/>
      <c r="AN7946" s="133">
        <v>46144</v>
      </c>
      <c r="AO7946" s="134"/>
      <c r="AP7946" s="135">
        <v>1299</v>
      </c>
      <c r="AQ7946" s="136"/>
      <c r="AR7946" s="118">
        <v>550000</v>
      </c>
      <c r="AS7946" s="119"/>
      <c r="AT7946" s="118">
        <f t="shared" ref="AT7946" si="11797">AR7946*0.1</f>
        <v>55000</v>
      </c>
      <c r="AU7946" s="119"/>
      <c r="AV7946" s="118">
        <v>6470</v>
      </c>
      <c r="AW7946" s="119"/>
      <c r="AX7946" s="118">
        <f t="shared" ref="AX7946" si="11798">SUM(AR7946:AW7946)</f>
        <v>611470</v>
      </c>
      <c r="AY7946" s="119"/>
      <c r="AZ7946" s="137">
        <v>46161</v>
      </c>
    </row>
    <row r="7947" spans="1:52" ht="17.100000000000001" customHeight="1" thickBot="1">
      <c r="A7947" s="110"/>
      <c r="B7947" s="27" t="s">
        <v>18196</v>
      </c>
      <c r="C7947" s="27">
        <v>215</v>
      </c>
      <c r="D7947" s="14" t="s">
        <v>1592</v>
      </c>
      <c r="E7947" s="112"/>
      <c r="F7947" s="139" t="s">
        <v>22398</v>
      </c>
      <c r="G7947" s="140"/>
      <c r="H7947" s="141"/>
      <c r="I7947" s="26">
        <v>57014</v>
      </c>
      <c r="J7947" s="117"/>
      <c r="K7947" s="120"/>
      <c r="L7947" s="121"/>
      <c r="M7947" s="120"/>
      <c r="N7947" s="121"/>
      <c r="O7947" s="120"/>
      <c r="P7947" s="121"/>
      <c r="Q7947" s="120"/>
      <c r="R7947" s="121"/>
      <c r="S7947" s="120"/>
      <c r="T7947" s="121"/>
      <c r="U7947" s="120"/>
      <c r="V7947" s="123"/>
      <c r="W7947" s="125"/>
      <c r="X7947" s="142" t="s">
        <v>2482</v>
      </c>
      <c r="Y7947" s="143"/>
      <c r="Z7947" s="143"/>
      <c r="AA7947" s="143"/>
      <c r="AB7947" s="144"/>
      <c r="AC7947" s="16" t="s">
        <v>21</v>
      </c>
      <c r="AD7947" s="17" t="s">
        <v>1952</v>
      </c>
      <c r="AE7947" s="145" t="s">
        <v>171</v>
      </c>
      <c r="AF7947" s="146"/>
      <c r="AG7947" s="146"/>
      <c r="AH7947" s="146"/>
      <c r="AI7947" s="147"/>
      <c r="AJ7947" s="148"/>
      <c r="AK7947" s="143"/>
      <c r="AL7947" s="144"/>
      <c r="AM7947" s="22"/>
      <c r="AN7947" s="149" t="s">
        <v>6748</v>
      </c>
      <c r="AO7947" s="144"/>
      <c r="AP7947" s="148">
        <v>60188</v>
      </c>
      <c r="AQ7947" s="144"/>
      <c r="AR7947" s="120"/>
      <c r="AS7947" s="121"/>
      <c r="AT7947" s="120"/>
      <c r="AU7947" s="121"/>
      <c r="AV7947" s="120"/>
      <c r="AW7947" s="121"/>
      <c r="AX7947" s="120"/>
      <c r="AY7947" s="121"/>
      <c r="AZ7947" s="138"/>
    </row>
    <row r="7948" spans="1:52" ht="17.100000000000001" customHeight="1" thickTop="1">
      <c r="A7948" s="109" t="s">
        <v>22389</v>
      </c>
      <c r="B7948" s="28">
        <v>46119</v>
      </c>
      <c r="C7948" s="25">
        <v>985</v>
      </c>
      <c r="D7948" s="13" t="s">
        <v>1714</v>
      </c>
      <c r="E7948" s="111"/>
      <c r="F7948" s="113" t="s">
        <v>15949</v>
      </c>
      <c r="G7948" s="114"/>
      <c r="H7948" s="115"/>
      <c r="I7948" s="24"/>
      <c r="J7948" s="116">
        <v>4</v>
      </c>
      <c r="K7948" s="118">
        <v>436000</v>
      </c>
      <c r="L7948" s="119"/>
      <c r="M7948" s="118">
        <f t="shared" ref="M7948" si="11799">K7948*0.1</f>
        <v>43600</v>
      </c>
      <c r="N7948" s="119"/>
      <c r="O7948" s="118">
        <v>0</v>
      </c>
      <c r="P7948" s="119"/>
      <c r="Q7948" s="118">
        <v>7140</v>
      </c>
      <c r="R7948" s="119"/>
      <c r="S7948" s="118">
        <v>22000</v>
      </c>
      <c r="T7948" s="119"/>
      <c r="U7948" s="118">
        <f t="shared" ref="U7948" si="11800">SUM(K7948:T7949)</f>
        <v>508740</v>
      </c>
      <c r="V7948" s="122"/>
      <c r="W7948" s="124"/>
      <c r="X7948" s="126" t="s">
        <v>23273</v>
      </c>
      <c r="Y7948" s="127"/>
      <c r="Z7948" s="127"/>
      <c r="AA7948" s="127"/>
      <c r="AB7948" s="128"/>
      <c r="AC7948" s="15" t="s">
        <v>20</v>
      </c>
      <c r="AD7948" s="129" t="s">
        <v>2054</v>
      </c>
      <c r="AE7948" s="130"/>
      <c r="AF7948" s="130"/>
      <c r="AG7948" s="130"/>
      <c r="AH7948" s="130"/>
      <c r="AI7948" s="131"/>
      <c r="AJ7948" s="132"/>
      <c r="AK7948" s="127"/>
      <c r="AL7948" s="128"/>
      <c r="AM7948" s="21"/>
      <c r="AN7948" s="133">
        <v>46130</v>
      </c>
      <c r="AO7948" s="134"/>
      <c r="AP7948" s="135">
        <v>1297</v>
      </c>
      <c r="AQ7948" s="136"/>
      <c r="AR7948" s="118">
        <v>520000</v>
      </c>
      <c r="AS7948" s="119"/>
      <c r="AT7948" s="118">
        <f t="shared" ref="AT7948" si="11801">AR7948*0.1</f>
        <v>52000</v>
      </c>
      <c r="AU7948" s="119"/>
      <c r="AV7948" s="118">
        <v>7140</v>
      </c>
      <c r="AW7948" s="119"/>
      <c r="AX7948" s="118">
        <f t="shared" ref="AX7948" si="11802">SUM(AR7948:AW7948)</f>
        <v>579140</v>
      </c>
      <c r="AY7948" s="119"/>
      <c r="AZ7948" s="137">
        <v>46135</v>
      </c>
    </row>
    <row r="7949" spans="1:52" ht="17.100000000000001" customHeight="1" thickBot="1">
      <c r="A7949" s="110"/>
      <c r="B7949" s="27" t="s">
        <v>18196</v>
      </c>
      <c r="C7949" s="27">
        <v>236</v>
      </c>
      <c r="D7949" s="14" t="s">
        <v>1592</v>
      </c>
      <c r="E7949" s="112"/>
      <c r="F7949" s="139" t="s">
        <v>22399</v>
      </c>
      <c r="G7949" s="140"/>
      <c r="H7949" s="141"/>
      <c r="I7949" s="26">
        <v>27587</v>
      </c>
      <c r="J7949" s="117"/>
      <c r="K7949" s="120"/>
      <c r="L7949" s="121"/>
      <c r="M7949" s="120"/>
      <c r="N7949" s="121"/>
      <c r="O7949" s="120"/>
      <c r="P7949" s="121"/>
      <c r="Q7949" s="120"/>
      <c r="R7949" s="121"/>
      <c r="S7949" s="120"/>
      <c r="T7949" s="121"/>
      <c r="U7949" s="120"/>
      <c r="V7949" s="123"/>
      <c r="W7949" s="125"/>
      <c r="X7949" s="142" t="s">
        <v>2482</v>
      </c>
      <c r="Y7949" s="143"/>
      <c r="Z7949" s="143"/>
      <c r="AA7949" s="143"/>
      <c r="AB7949" s="144"/>
      <c r="AC7949" s="16" t="s">
        <v>21</v>
      </c>
      <c r="AD7949" s="17" t="s">
        <v>1952</v>
      </c>
      <c r="AE7949" s="145" t="s">
        <v>171</v>
      </c>
      <c r="AF7949" s="146"/>
      <c r="AG7949" s="146"/>
      <c r="AH7949" s="146"/>
      <c r="AI7949" s="147"/>
      <c r="AJ7949" s="148"/>
      <c r="AK7949" s="143"/>
      <c r="AL7949" s="144"/>
      <c r="AM7949" s="22"/>
      <c r="AN7949" s="149" t="s">
        <v>6748</v>
      </c>
      <c r="AO7949" s="144"/>
      <c r="AP7949" s="148">
        <v>62013</v>
      </c>
      <c r="AQ7949" s="144"/>
      <c r="AR7949" s="120"/>
      <c r="AS7949" s="121"/>
      <c r="AT7949" s="120"/>
      <c r="AU7949" s="121"/>
      <c r="AV7949" s="120"/>
      <c r="AW7949" s="121"/>
      <c r="AX7949" s="120"/>
      <c r="AY7949" s="121"/>
      <c r="AZ7949" s="138"/>
    </row>
    <row r="7950" spans="1:52" ht="17.100000000000001" customHeight="1" thickTop="1">
      <c r="A7950" s="109" t="s">
        <v>22390</v>
      </c>
      <c r="B7950" s="28">
        <v>46119</v>
      </c>
      <c r="C7950" s="25">
        <v>985</v>
      </c>
      <c r="D7950" s="13" t="s">
        <v>2963</v>
      </c>
      <c r="E7950" s="111"/>
      <c r="F7950" s="113" t="s">
        <v>22149</v>
      </c>
      <c r="G7950" s="114"/>
      <c r="H7950" s="115"/>
      <c r="I7950" s="24"/>
      <c r="J7950" s="116">
        <v>4</v>
      </c>
      <c r="K7950" s="118">
        <v>613000</v>
      </c>
      <c r="L7950" s="119"/>
      <c r="M7950" s="118">
        <f t="shared" ref="M7950" si="11803">K7950*0.1</f>
        <v>61300</v>
      </c>
      <c r="N7950" s="119"/>
      <c r="O7950" s="118">
        <v>0</v>
      </c>
      <c r="P7950" s="119"/>
      <c r="Q7950" s="118">
        <v>8430</v>
      </c>
      <c r="R7950" s="119"/>
      <c r="S7950" s="118">
        <v>22000</v>
      </c>
      <c r="T7950" s="119"/>
      <c r="U7950" s="118">
        <f t="shared" ref="U7950" si="11804">SUM(K7950:T7951)</f>
        <v>704730</v>
      </c>
      <c r="V7950" s="122"/>
      <c r="W7950" s="124"/>
      <c r="X7950" s="126" t="s">
        <v>23272</v>
      </c>
      <c r="Y7950" s="127"/>
      <c r="Z7950" s="127"/>
      <c r="AA7950" s="127"/>
      <c r="AB7950" s="128"/>
      <c r="AC7950" s="15" t="s">
        <v>20</v>
      </c>
      <c r="AD7950" s="129" t="s">
        <v>17270</v>
      </c>
      <c r="AE7950" s="130"/>
      <c r="AF7950" s="130"/>
      <c r="AG7950" s="130"/>
      <c r="AH7950" s="130"/>
      <c r="AI7950" s="131"/>
      <c r="AJ7950" s="132"/>
      <c r="AK7950" s="127"/>
      <c r="AL7950" s="128"/>
      <c r="AM7950" s="21"/>
      <c r="AN7950" s="133">
        <v>46144</v>
      </c>
      <c r="AO7950" s="134"/>
      <c r="AP7950" s="135">
        <v>1299</v>
      </c>
      <c r="AQ7950" s="136"/>
      <c r="AR7950" s="118">
        <v>695000</v>
      </c>
      <c r="AS7950" s="119"/>
      <c r="AT7950" s="118">
        <f t="shared" ref="AT7950" si="11805">AR7950*0.1</f>
        <v>69500</v>
      </c>
      <c r="AU7950" s="119"/>
      <c r="AV7950" s="118">
        <v>8430</v>
      </c>
      <c r="AW7950" s="119"/>
      <c r="AX7950" s="118">
        <f t="shared" ref="AX7950" si="11806">SUM(AR7950:AW7950)</f>
        <v>772930</v>
      </c>
      <c r="AY7950" s="119"/>
      <c r="AZ7950" s="137">
        <v>46154</v>
      </c>
    </row>
    <row r="7951" spans="1:52" ht="17.100000000000001" customHeight="1" thickBot="1">
      <c r="A7951" s="110"/>
      <c r="B7951" s="27" t="s">
        <v>18196</v>
      </c>
      <c r="C7951" s="27">
        <v>328</v>
      </c>
      <c r="D7951" s="14" t="s">
        <v>1720</v>
      </c>
      <c r="E7951" s="112"/>
      <c r="F7951" s="139" t="s">
        <v>22400</v>
      </c>
      <c r="G7951" s="140"/>
      <c r="H7951" s="141"/>
      <c r="I7951" s="26">
        <v>50990</v>
      </c>
      <c r="J7951" s="117"/>
      <c r="K7951" s="120"/>
      <c r="L7951" s="121"/>
      <c r="M7951" s="120"/>
      <c r="N7951" s="121"/>
      <c r="O7951" s="120"/>
      <c r="P7951" s="121"/>
      <c r="Q7951" s="120"/>
      <c r="R7951" s="121"/>
      <c r="S7951" s="120"/>
      <c r="T7951" s="121"/>
      <c r="U7951" s="120"/>
      <c r="V7951" s="123"/>
      <c r="W7951" s="125"/>
      <c r="X7951" s="142" t="s">
        <v>2482</v>
      </c>
      <c r="Y7951" s="143"/>
      <c r="Z7951" s="143"/>
      <c r="AA7951" s="143"/>
      <c r="AB7951" s="144"/>
      <c r="AC7951" s="16" t="s">
        <v>21</v>
      </c>
      <c r="AD7951" s="17" t="s">
        <v>1952</v>
      </c>
      <c r="AE7951" s="145" t="s">
        <v>171</v>
      </c>
      <c r="AF7951" s="146"/>
      <c r="AG7951" s="146"/>
      <c r="AH7951" s="146"/>
      <c r="AI7951" s="147"/>
      <c r="AJ7951" s="148"/>
      <c r="AK7951" s="143"/>
      <c r="AL7951" s="144"/>
      <c r="AM7951" s="22"/>
      <c r="AN7951" s="149" t="s">
        <v>25047</v>
      </c>
      <c r="AO7951" s="144"/>
      <c r="AP7951" s="148">
        <v>60185</v>
      </c>
      <c r="AQ7951" s="144"/>
      <c r="AR7951" s="120"/>
      <c r="AS7951" s="121"/>
      <c r="AT7951" s="120"/>
      <c r="AU7951" s="121"/>
      <c r="AV7951" s="120"/>
      <c r="AW7951" s="121"/>
      <c r="AX7951" s="120"/>
      <c r="AY7951" s="121"/>
      <c r="AZ7951" s="138"/>
    </row>
    <row r="7952" spans="1:52" ht="17.100000000000001" customHeight="1" thickTop="1">
      <c r="A7952" s="109" t="s">
        <v>22391</v>
      </c>
      <c r="B7952" s="28">
        <v>46120</v>
      </c>
      <c r="C7952" s="25">
        <v>1326</v>
      </c>
      <c r="D7952" s="13" t="s">
        <v>10528</v>
      </c>
      <c r="E7952" s="111"/>
      <c r="F7952" s="113" t="s">
        <v>22404</v>
      </c>
      <c r="G7952" s="114"/>
      <c r="H7952" s="115"/>
      <c r="I7952" s="24" t="s">
        <v>9848</v>
      </c>
      <c r="J7952" s="116">
        <v>4.5</v>
      </c>
      <c r="K7952" s="118">
        <v>1183000</v>
      </c>
      <c r="L7952" s="119"/>
      <c r="M7952" s="118">
        <f t="shared" ref="M7952" si="11807">K7952*0.1</f>
        <v>118300</v>
      </c>
      <c r="N7952" s="119"/>
      <c r="O7952" s="118">
        <f>27900+2790</f>
        <v>30690</v>
      </c>
      <c r="P7952" s="119"/>
      <c r="Q7952" s="118">
        <v>17250</v>
      </c>
      <c r="R7952" s="119"/>
      <c r="S7952" s="118">
        <v>15400</v>
      </c>
      <c r="T7952" s="119"/>
      <c r="U7952" s="118">
        <f t="shared" ref="U7952" si="11808">SUM(K7952:T7953)</f>
        <v>1364640</v>
      </c>
      <c r="V7952" s="122"/>
      <c r="W7952" s="124"/>
      <c r="X7952" s="126" t="s">
        <v>23246</v>
      </c>
      <c r="Y7952" s="127"/>
      <c r="Z7952" s="127"/>
      <c r="AA7952" s="127"/>
      <c r="AB7952" s="128"/>
      <c r="AC7952" s="15" t="s">
        <v>20</v>
      </c>
      <c r="AD7952" s="129" t="s">
        <v>1945</v>
      </c>
      <c r="AE7952" s="130"/>
      <c r="AF7952" s="130"/>
      <c r="AG7952" s="130"/>
      <c r="AH7952" s="130"/>
      <c r="AI7952" s="131"/>
      <c r="AJ7952" s="132"/>
      <c r="AK7952" s="127"/>
      <c r="AL7952" s="128"/>
      <c r="AM7952" s="21"/>
      <c r="AN7952" s="133">
        <v>46135</v>
      </c>
      <c r="AO7952" s="134"/>
      <c r="AP7952" s="135">
        <v>1328</v>
      </c>
      <c r="AQ7952" s="136"/>
      <c r="AR7952" s="118">
        <v>1395000</v>
      </c>
      <c r="AS7952" s="119"/>
      <c r="AT7952" s="118">
        <f t="shared" ref="AT7952" si="11809">AR7952*0.1</f>
        <v>139500</v>
      </c>
      <c r="AU7952" s="119"/>
      <c r="AV7952" s="118">
        <v>17250</v>
      </c>
      <c r="AW7952" s="119"/>
      <c r="AX7952" s="118">
        <f t="shared" ref="AX7952" si="11810">SUM(AR7952:AW7952)</f>
        <v>1551750</v>
      </c>
      <c r="AY7952" s="119"/>
      <c r="AZ7952" s="137">
        <v>46136</v>
      </c>
    </row>
    <row r="7953" spans="1:52" ht="17.100000000000001" customHeight="1" thickBot="1">
      <c r="A7953" s="110"/>
      <c r="B7953" s="27" t="s">
        <v>5292</v>
      </c>
      <c r="C7953" s="27">
        <v>6057</v>
      </c>
      <c r="D7953" s="14" t="s">
        <v>2800</v>
      </c>
      <c r="E7953" s="112"/>
      <c r="F7953" s="139" t="s">
        <v>22405</v>
      </c>
      <c r="G7953" s="140"/>
      <c r="H7953" s="141"/>
      <c r="I7953" s="26">
        <v>9889</v>
      </c>
      <c r="J7953" s="117"/>
      <c r="K7953" s="120"/>
      <c r="L7953" s="121"/>
      <c r="M7953" s="120"/>
      <c r="N7953" s="121"/>
      <c r="O7953" s="120"/>
      <c r="P7953" s="121"/>
      <c r="Q7953" s="120"/>
      <c r="R7953" s="121"/>
      <c r="S7953" s="120"/>
      <c r="T7953" s="121"/>
      <c r="U7953" s="120"/>
      <c r="V7953" s="123"/>
      <c r="W7953" s="125"/>
      <c r="X7953" s="142" t="s">
        <v>23247</v>
      </c>
      <c r="Y7953" s="143"/>
      <c r="Z7953" s="143"/>
      <c r="AA7953" s="143"/>
      <c r="AB7953" s="144"/>
      <c r="AC7953" s="16" t="s">
        <v>13841</v>
      </c>
      <c r="AD7953" s="17" t="s">
        <v>1952</v>
      </c>
      <c r="AE7953" s="145" t="s">
        <v>23248</v>
      </c>
      <c r="AF7953" s="146"/>
      <c r="AG7953" s="146"/>
      <c r="AH7953" s="146"/>
      <c r="AI7953" s="147"/>
      <c r="AJ7953" s="148"/>
      <c r="AK7953" s="143"/>
      <c r="AL7953" s="144"/>
      <c r="AM7953" s="22"/>
      <c r="AN7953" s="149" t="s">
        <v>24066</v>
      </c>
      <c r="AO7953" s="144"/>
      <c r="AP7953" s="148" t="s">
        <v>24066</v>
      </c>
      <c r="AQ7953" s="144"/>
      <c r="AR7953" s="120"/>
      <c r="AS7953" s="121"/>
      <c r="AT7953" s="120"/>
      <c r="AU7953" s="121"/>
      <c r="AV7953" s="120"/>
      <c r="AW7953" s="121"/>
      <c r="AX7953" s="120"/>
      <c r="AY7953" s="121"/>
      <c r="AZ7953" s="138"/>
    </row>
    <row r="7954" spans="1:52" ht="17.100000000000001" customHeight="1" thickTop="1">
      <c r="A7954" s="109" t="s">
        <v>22392</v>
      </c>
      <c r="B7954" s="28">
        <v>46120</v>
      </c>
      <c r="C7954" s="25">
        <v>1833</v>
      </c>
      <c r="D7954" s="13" t="s">
        <v>1549</v>
      </c>
      <c r="E7954" s="111"/>
      <c r="F7954" s="113" t="s">
        <v>22408</v>
      </c>
      <c r="G7954" s="114"/>
      <c r="H7954" s="115"/>
      <c r="I7954" s="24"/>
      <c r="J7954" s="116">
        <v>4</v>
      </c>
      <c r="K7954" s="118">
        <v>1065000</v>
      </c>
      <c r="L7954" s="119"/>
      <c r="M7954" s="118">
        <f t="shared" ref="M7954" si="11811">K7954*0.1</f>
        <v>106500</v>
      </c>
      <c r="N7954" s="119"/>
      <c r="O7954" s="118">
        <v>0</v>
      </c>
      <c r="P7954" s="119"/>
      <c r="Q7954" s="118">
        <v>12030</v>
      </c>
      <c r="R7954" s="119"/>
      <c r="S7954" s="118">
        <v>19250</v>
      </c>
      <c r="T7954" s="119"/>
      <c r="U7954" s="118">
        <f t="shared" ref="U7954" si="11812">SUM(K7954:T7955)</f>
        <v>1202780</v>
      </c>
      <c r="V7954" s="122"/>
      <c r="W7954" s="124"/>
      <c r="X7954" s="126" t="s">
        <v>23227</v>
      </c>
      <c r="Y7954" s="127"/>
      <c r="Z7954" s="127"/>
      <c r="AA7954" s="127"/>
      <c r="AB7954" s="128"/>
      <c r="AC7954" s="15" t="s">
        <v>20</v>
      </c>
      <c r="AD7954" s="129" t="s">
        <v>22410</v>
      </c>
      <c r="AE7954" s="130"/>
      <c r="AF7954" s="130"/>
      <c r="AG7954" s="130"/>
      <c r="AH7954" s="130"/>
      <c r="AI7954" s="131"/>
      <c r="AJ7954" s="132"/>
      <c r="AK7954" s="127"/>
      <c r="AL7954" s="128"/>
      <c r="AM7954" s="21"/>
      <c r="AN7954" s="133">
        <v>46123</v>
      </c>
      <c r="AO7954" s="134"/>
      <c r="AP7954" s="135">
        <v>1296</v>
      </c>
      <c r="AQ7954" s="136"/>
      <c r="AR7954" s="118">
        <v>1150000</v>
      </c>
      <c r="AS7954" s="119"/>
      <c r="AT7954" s="118">
        <v>115000</v>
      </c>
      <c r="AU7954" s="119"/>
      <c r="AV7954" s="118">
        <v>12030</v>
      </c>
      <c r="AW7954" s="119"/>
      <c r="AX7954" s="118">
        <f t="shared" ref="AX7954" si="11813">SUM(AR7954:AW7954)</f>
        <v>1277030</v>
      </c>
      <c r="AY7954" s="119"/>
      <c r="AZ7954" s="137">
        <v>46133</v>
      </c>
    </row>
    <row r="7955" spans="1:52" ht="17.100000000000001" customHeight="1" thickBot="1">
      <c r="A7955" s="110"/>
      <c r="B7955" s="27" t="s">
        <v>2559</v>
      </c>
      <c r="C7955" s="27">
        <v>11039</v>
      </c>
      <c r="D7955" s="14" t="s">
        <v>2601</v>
      </c>
      <c r="E7955" s="112"/>
      <c r="F7955" s="139" t="s">
        <v>22409</v>
      </c>
      <c r="G7955" s="140"/>
      <c r="H7955" s="141"/>
      <c r="I7955" s="26">
        <v>65529</v>
      </c>
      <c r="J7955" s="117"/>
      <c r="K7955" s="120"/>
      <c r="L7955" s="121"/>
      <c r="M7955" s="120"/>
      <c r="N7955" s="121"/>
      <c r="O7955" s="120"/>
      <c r="P7955" s="121"/>
      <c r="Q7955" s="120"/>
      <c r="R7955" s="121"/>
      <c r="S7955" s="120"/>
      <c r="T7955" s="121"/>
      <c r="U7955" s="120"/>
      <c r="V7955" s="123"/>
      <c r="W7955" s="125"/>
      <c r="X7955" s="142" t="s">
        <v>4423</v>
      </c>
      <c r="Y7955" s="143"/>
      <c r="Z7955" s="143"/>
      <c r="AA7955" s="143"/>
      <c r="AB7955" s="144"/>
      <c r="AC7955" s="16" t="s">
        <v>21</v>
      </c>
      <c r="AD7955" s="17" t="s">
        <v>1952</v>
      </c>
      <c r="AE7955" s="145" t="s">
        <v>19398</v>
      </c>
      <c r="AF7955" s="146"/>
      <c r="AG7955" s="146"/>
      <c r="AH7955" s="146"/>
      <c r="AI7955" s="147"/>
      <c r="AJ7955" s="148"/>
      <c r="AK7955" s="143"/>
      <c r="AL7955" s="144"/>
      <c r="AM7955" s="22"/>
      <c r="AN7955" s="149" t="s">
        <v>2511</v>
      </c>
      <c r="AO7955" s="144"/>
      <c r="AP7955" s="148">
        <v>269</v>
      </c>
      <c r="AQ7955" s="144"/>
      <c r="AR7955" s="120"/>
      <c r="AS7955" s="121"/>
      <c r="AT7955" s="120"/>
      <c r="AU7955" s="121"/>
      <c r="AV7955" s="120"/>
      <c r="AW7955" s="121"/>
      <c r="AX7955" s="120"/>
      <c r="AY7955" s="121"/>
      <c r="AZ7955" s="138"/>
    </row>
    <row r="7956" spans="1:52" ht="17.100000000000001" customHeight="1" thickTop="1">
      <c r="A7956" s="109" t="s">
        <v>22393</v>
      </c>
      <c r="B7956" s="28">
        <v>46120</v>
      </c>
      <c r="C7956" s="25">
        <v>1833</v>
      </c>
      <c r="D7956" s="13" t="s">
        <v>1929</v>
      </c>
      <c r="E7956" s="111"/>
      <c r="F7956" s="113" t="s">
        <v>22408</v>
      </c>
      <c r="G7956" s="114"/>
      <c r="H7956" s="115"/>
      <c r="I7956" s="24"/>
      <c r="J7956" s="116">
        <v>4</v>
      </c>
      <c r="K7956" s="118">
        <v>785000</v>
      </c>
      <c r="L7956" s="119"/>
      <c r="M7956" s="118">
        <f t="shared" ref="M7956" si="11814">K7956*0.1</f>
        <v>78500</v>
      </c>
      <c r="N7956" s="119"/>
      <c r="O7956" s="118">
        <v>0</v>
      </c>
      <c r="P7956" s="119"/>
      <c r="Q7956" s="118">
        <v>12030</v>
      </c>
      <c r="R7956" s="119"/>
      <c r="S7956" s="118">
        <f>18500+1850</f>
        <v>20350</v>
      </c>
      <c r="T7956" s="119"/>
      <c r="U7956" s="118">
        <f t="shared" ref="U7956" si="11815">SUM(K7956:T7957)</f>
        <v>895880</v>
      </c>
      <c r="V7956" s="122"/>
      <c r="W7956" s="124"/>
      <c r="X7956" s="126" t="s">
        <v>23067</v>
      </c>
      <c r="Y7956" s="127"/>
      <c r="Z7956" s="127"/>
      <c r="AA7956" s="127"/>
      <c r="AB7956" s="128"/>
      <c r="AC7956" s="15" t="s">
        <v>20</v>
      </c>
      <c r="AD7956" s="129"/>
      <c r="AE7956" s="130"/>
      <c r="AF7956" s="130"/>
      <c r="AG7956" s="130"/>
      <c r="AH7956" s="130"/>
      <c r="AI7956" s="131"/>
      <c r="AJ7956" s="132"/>
      <c r="AK7956" s="127"/>
      <c r="AL7956" s="128"/>
      <c r="AM7956" s="21"/>
      <c r="AN7956" s="133"/>
      <c r="AO7956" s="134"/>
      <c r="AP7956" s="135"/>
      <c r="AQ7956" s="136"/>
      <c r="AR7956" s="118"/>
      <c r="AS7956" s="119"/>
      <c r="AT7956" s="118">
        <f t="shared" ref="AT7956" si="11816">AR7956*0.1</f>
        <v>0</v>
      </c>
      <c r="AU7956" s="119"/>
      <c r="AV7956" s="118"/>
      <c r="AW7956" s="119"/>
      <c r="AX7956" s="118">
        <f t="shared" ref="AX7956" si="11817">SUM(AR7956:AW7956)</f>
        <v>0</v>
      </c>
      <c r="AY7956" s="119"/>
      <c r="AZ7956" s="137"/>
    </row>
    <row r="7957" spans="1:52" ht="17.100000000000001" customHeight="1" thickBot="1">
      <c r="A7957" s="110"/>
      <c r="B7957" s="27" t="s">
        <v>2559</v>
      </c>
      <c r="C7957" s="27">
        <v>30169</v>
      </c>
      <c r="D7957" s="14" t="s">
        <v>2601</v>
      </c>
      <c r="E7957" s="112"/>
      <c r="F7957" s="139" t="s">
        <v>22411</v>
      </c>
      <c r="G7957" s="140"/>
      <c r="H7957" s="141"/>
      <c r="I7957" s="26">
        <v>108453</v>
      </c>
      <c r="J7957" s="117"/>
      <c r="K7957" s="120"/>
      <c r="L7957" s="121"/>
      <c r="M7957" s="120"/>
      <c r="N7957" s="121"/>
      <c r="O7957" s="120"/>
      <c r="P7957" s="121"/>
      <c r="Q7957" s="120"/>
      <c r="R7957" s="121"/>
      <c r="S7957" s="120"/>
      <c r="T7957" s="121"/>
      <c r="U7957" s="120"/>
      <c r="V7957" s="123"/>
      <c r="W7957" s="125"/>
      <c r="X7957" s="142" t="s">
        <v>23037</v>
      </c>
      <c r="Y7957" s="143"/>
      <c r="Z7957" s="143"/>
      <c r="AA7957" s="143"/>
      <c r="AB7957" s="144"/>
      <c r="AC7957" s="16" t="s">
        <v>21</v>
      </c>
      <c r="AD7957" s="17" t="s">
        <v>23033</v>
      </c>
      <c r="AE7957" s="145" t="s">
        <v>23068</v>
      </c>
      <c r="AF7957" s="146"/>
      <c r="AG7957" s="146"/>
      <c r="AH7957" s="146"/>
      <c r="AI7957" s="147"/>
      <c r="AJ7957" s="148"/>
      <c r="AK7957" s="143"/>
      <c r="AL7957" s="144"/>
      <c r="AM7957" s="22"/>
      <c r="AN7957" s="149"/>
      <c r="AO7957" s="144"/>
      <c r="AP7957" s="148"/>
      <c r="AQ7957" s="144"/>
      <c r="AR7957" s="120"/>
      <c r="AS7957" s="121"/>
      <c r="AT7957" s="120"/>
      <c r="AU7957" s="121"/>
      <c r="AV7957" s="120"/>
      <c r="AW7957" s="121"/>
      <c r="AX7957" s="120"/>
      <c r="AY7957" s="121"/>
      <c r="AZ7957" s="138"/>
    </row>
    <row r="7958" spans="1:52" ht="17.100000000000001" customHeight="1" thickTop="1">
      <c r="A7958" s="109" t="s">
        <v>22406</v>
      </c>
      <c r="B7958" s="28">
        <v>46120</v>
      </c>
      <c r="C7958" s="25">
        <v>1833</v>
      </c>
      <c r="D7958" s="13" t="s">
        <v>2465</v>
      </c>
      <c r="E7958" s="111"/>
      <c r="F7958" s="113" t="s">
        <v>2703</v>
      </c>
      <c r="G7958" s="114"/>
      <c r="H7958" s="115"/>
      <c r="I7958" s="24"/>
      <c r="J7958" s="116">
        <v>5</v>
      </c>
      <c r="K7958" s="118">
        <v>1325000</v>
      </c>
      <c r="L7958" s="119"/>
      <c r="M7958" s="118">
        <f t="shared" ref="M7958" si="11818">K7958*0.1</f>
        <v>132500</v>
      </c>
      <c r="N7958" s="119"/>
      <c r="O7958" s="118">
        <v>0</v>
      </c>
      <c r="P7958" s="119"/>
      <c r="Q7958" s="118">
        <v>11740</v>
      </c>
      <c r="R7958" s="119"/>
      <c r="S7958" s="118">
        <v>20350</v>
      </c>
      <c r="T7958" s="119"/>
      <c r="U7958" s="118">
        <f t="shared" ref="U7958" si="11819">SUM(K7958:T7959)</f>
        <v>1489590</v>
      </c>
      <c r="V7958" s="122"/>
      <c r="W7958" s="124"/>
      <c r="X7958" s="126" t="s">
        <v>23228</v>
      </c>
      <c r="Y7958" s="127"/>
      <c r="Z7958" s="127"/>
      <c r="AA7958" s="127"/>
      <c r="AB7958" s="128"/>
      <c r="AC7958" s="15" t="s">
        <v>20</v>
      </c>
      <c r="AD7958" s="129" t="s">
        <v>171</v>
      </c>
      <c r="AE7958" s="130"/>
      <c r="AF7958" s="130"/>
      <c r="AG7958" s="130"/>
      <c r="AH7958" s="130"/>
      <c r="AI7958" s="131"/>
      <c r="AJ7958" s="132"/>
      <c r="AK7958" s="127"/>
      <c r="AL7958" s="128"/>
      <c r="AM7958" s="21"/>
      <c r="AN7958" s="133">
        <v>46123</v>
      </c>
      <c r="AO7958" s="134"/>
      <c r="AP7958" s="135">
        <v>1296</v>
      </c>
      <c r="AQ7958" s="136"/>
      <c r="AR7958" s="118">
        <v>1780000</v>
      </c>
      <c r="AS7958" s="119"/>
      <c r="AT7958" s="118">
        <f t="shared" ref="AT7958" si="11820">AR7958*0.1</f>
        <v>178000</v>
      </c>
      <c r="AU7958" s="119"/>
      <c r="AV7958" s="118">
        <v>11740</v>
      </c>
      <c r="AW7958" s="119"/>
      <c r="AX7958" s="118">
        <f t="shared" ref="AX7958" si="11821">SUM(AR7958:AW7958)</f>
        <v>1969740</v>
      </c>
      <c r="AY7958" s="119"/>
      <c r="AZ7958" s="137">
        <v>46133</v>
      </c>
    </row>
    <row r="7959" spans="1:52" ht="17.100000000000001" customHeight="1" thickBot="1">
      <c r="A7959" s="110"/>
      <c r="B7959" s="27" t="s">
        <v>2559</v>
      </c>
      <c r="C7959" s="27">
        <v>38014</v>
      </c>
      <c r="D7959" s="14" t="s">
        <v>2836</v>
      </c>
      <c r="E7959" s="112"/>
      <c r="F7959" s="139" t="s">
        <v>22412</v>
      </c>
      <c r="G7959" s="140"/>
      <c r="H7959" s="141"/>
      <c r="I7959" s="26">
        <v>26343</v>
      </c>
      <c r="J7959" s="117"/>
      <c r="K7959" s="120"/>
      <c r="L7959" s="121"/>
      <c r="M7959" s="120"/>
      <c r="N7959" s="121"/>
      <c r="O7959" s="120"/>
      <c r="P7959" s="121"/>
      <c r="Q7959" s="120"/>
      <c r="R7959" s="121"/>
      <c r="S7959" s="120"/>
      <c r="T7959" s="121"/>
      <c r="U7959" s="120"/>
      <c r="V7959" s="123"/>
      <c r="W7959" s="125"/>
      <c r="X7959" s="142" t="s">
        <v>23229</v>
      </c>
      <c r="Y7959" s="143"/>
      <c r="Z7959" s="143"/>
      <c r="AA7959" s="143"/>
      <c r="AB7959" s="144"/>
      <c r="AC7959" s="16" t="s">
        <v>21</v>
      </c>
      <c r="AD7959" s="17" t="s">
        <v>1952</v>
      </c>
      <c r="AE7959" s="145" t="s">
        <v>1605</v>
      </c>
      <c r="AF7959" s="146"/>
      <c r="AG7959" s="146"/>
      <c r="AH7959" s="146"/>
      <c r="AI7959" s="147"/>
      <c r="AJ7959" s="148"/>
      <c r="AK7959" s="143"/>
      <c r="AL7959" s="144"/>
      <c r="AM7959" s="22"/>
      <c r="AN7959" s="149" t="s">
        <v>2511</v>
      </c>
      <c r="AO7959" s="144"/>
      <c r="AP7959" s="148">
        <v>80308</v>
      </c>
      <c r="AQ7959" s="144"/>
      <c r="AR7959" s="120"/>
      <c r="AS7959" s="121"/>
      <c r="AT7959" s="120"/>
      <c r="AU7959" s="121"/>
      <c r="AV7959" s="120"/>
      <c r="AW7959" s="121"/>
      <c r="AX7959" s="120"/>
      <c r="AY7959" s="121"/>
      <c r="AZ7959" s="138"/>
    </row>
    <row r="7960" spans="1:52" ht="17.100000000000001" customHeight="1" thickTop="1">
      <c r="A7960" s="109" t="s">
        <v>22407</v>
      </c>
      <c r="B7960" s="28">
        <v>46120</v>
      </c>
      <c r="C7960" s="25">
        <v>1833</v>
      </c>
      <c r="D7960" s="13" t="s">
        <v>1561</v>
      </c>
      <c r="E7960" s="111"/>
      <c r="F7960" s="113" t="s">
        <v>1938</v>
      </c>
      <c r="G7960" s="114"/>
      <c r="H7960" s="115"/>
      <c r="I7960" s="24"/>
      <c r="J7960" s="116">
        <v>4.5</v>
      </c>
      <c r="K7960" s="118">
        <v>330000</v>
      </c>
      <c r="L7960" s="119"/>
      <c r="M7960" s="118">
        <f t="shared" ref="M7960" si="11822">K7960*0.1</f>
        <v>33000</v>
      </c>
      <c r="N7960" s="119"/>
      <c r="O7960" s="118">
        <v>0</v>
      </c>
      <c r="P7960" s="119"/>
      <c r="Q7960" s="118">
        <v>17700</v>
      </c>
      <c r="R7960" s="119"/>
      <c r="S7960" s="118">
        <v>20350</v>
      </c>
      <c r="T7960" s="119"/>
      <c r="U7960" s="118">
        <f t="shared" ref="U7960" si="11823">SUM(K7960:T7961)</f>
        <v>401050</v>
      </c>
      <c r="V7960" s="122"/>
      <c r="W7960" s="124"/>
      <c r="X7960" s="126" t="s">
        <v>23044</v>
      </c>
      <c r="Y7960" s="127"/>
      <c r="Z7960" s="127"/>
      <c r="AA7960" s="127"/>
      <c r="AB7960" s="128"/>
      <c r="AC7960" s="15" t="s">
        <v>20</v>
      </c>
      <c r="AD7960" s="129" t="s">
        <v>2930</v>
      </c>
      <c r="AE7960" s="130"/>
      <c r="AF7960" s="130"/>
      <c r="AG7960" s="130"/>
      <c r="AH7960" s="130"/>
      <c r="AI7960" s="131"/>
      <c r="AJ7960" s="132"/>
      <c r="AK7960" s="127"/>
      <c r="AL7960" s="128"/>
      <c r="AM7960" s="21"/>
      <c r="AN7960" s="133">
        <v>46123</v>
      </c>
      <c r="AO7960" s="134"/>
      <c r="AP7960" s="135">
        <v>1296</v>
      </c>
      <c r="AQ7960" s="136"/>
      <c r="AR7960" s="118">
        <v>425000</v>
      </c>
      <c r="AS7960" s="119"/>
      <c r="AT7960" s="118">
        <f t="shared" ref="AT7960" si="11824">AR7960*0.1</f>
        <v>42500</v>
      </c>
      <c r="AU7960" s="119"/>
      <c r="AV7960" s="118">
        <v>17700</v>
      </c>
      <c r="AW7960" s="119"/>
      <c r="AX7960" s="118">
        <f t="shared" ref="AX7960" si="11825">SUM(AR7960:AW7960)</f>
        <v>485200</v>
      </c>
      <c r="AY7960" s="119"/>
      <c r="AZ7960" s="137">
        <v>46128</v>
      </c>
    </row>
    <row r="7961" spans="1:52" ht="17.100000000000001" customHeight="1" thickBot="1">
      <c r="A7961" s="110"/>
      <c r="B7961" s="27" t="s">
        <v>2559</v>
      </c>
      <c r="C7961" s="27">
        <v>38137</v>
      </c>
      <c r="D7961" s="14" t="s">
        <v>904</v>
      </c>
      <c r="E7961" s="112"/>
      <c r="F7961" s="139" t="s">
        <v>22413</v>
      </c>
      <c r="G7961" s="140"/>
      <c r="H7961" s="141"/>
      <c r="I7961" s="26">
        <v>51848</v>
      </c>
      <c r="J7961" s="117"/>
      <c r="K7961" s="120"/>
      <c r="L7961" s="121"/>
      <c r="M7961" s="120"/>
      <c r="N7961" s="121"/>
      <c r="O7961" s="120"/>
      <c r="P7961" s="121"/>
      <c r="Q7961" s="120"/>
      <c r="R7961" s="121"/>
      <c r="S7961" s="120"/>
      <c r="T7961" s="121"/>
      <c r="U7961" s="120"/>
      <c r="V7961" s="123"/>
      <c r="W7961" s="125"/>
      <c r="X7961" s="142" t="s">
        <v>23045</v>
      </c>
      <c r="Y7961" s="143"/>
      <c r="Z7961" s="143"/>
      <c r="AA7961" s="143"/>
      <c r="AB7961" s="144"/>
      <c r="AC7961" s="16" t="s">
        <v>21</v>
      </c>
      <c r="AD7961" s="17" t="s">
        <v>23033</v>
      </c>
      <c r="AE7961" s="145" t="s">
        <v>17061</v>
      </c>
      <c r="AF7961" s="146"/>
      <c r="AG7961" s="146"/>
      <c r="AH7961" s="146"/>
      <c r="AI7961" s="147"/>
      <c r="AJ7961" s="148"/>
      <c r="AK7961" s="143"/>
      <c r="AL7961" s="144"/>
      <c r="AM7961" s="22"/>
      <c r="AN7961" s="149" t="s">
        <v>7284</v>
      </c>
      <c r="AO7961" s="144"/>
      <c r="AP7961" s="148">
        <v>80354</v>
      </c>
      <c r="AQ7961" s="144"/>
      <c r="AR7961" s="120"/>
      <c r="AS7961" s="121"/>
      <c r="AT7961" s="120"/>
      <c r="AU7961" s="121"/>
      <c r="AV7961" s="120"/>
      <c r="AW7961" s="121"/>
      <c r="AX7961" s="120"/>
      <c r="AY7961" s="121"/>
      <c r="AZ7961" s="138"/>
    </row>
    <row r="7962" spans="1:52" ht="17.100000000000001" customHeight="1" thickTop="1">
      <c r="A7962" s="109" t="s">
        <v>22414</v>
      </c>
      <c r="B7962" s="28">
        <v>46120</v>
      </c>
      <c r="C7962" s="25">
        <v>1012</v>
      </c>
      <c r="D7962" s="13" t="s">
        <v>2084</v>
      </c>
      <c r="E7962" s="111"/>
      <c r="F7962" s="113" t="s">
        <v>22418</v>
      </c>
      <c r="G7962" s="114"/>
      <c r="H7962" s="115"/>
      <c r="I7962" s="24"/>
      <c r="J7962" s="116">
        <v>4.5</v>
      </c>
      <c r="K7962" s="118">
        <v>1215000</v>
      </c>
      <c r="L7962" s="119"/>
      <c r="M7962" s="118">
        <f t="shared" ref="M7962" si="11826">K7962*0.1</f>
        <v>121500</v>
      </c>
      <c r="N7962" s="119"/>
      <c r="O7962" s="118">
        <v>0</v>
      </c>
      <c r="P7962" s="119"/>
      <c r="Q7962" s="118">
        <v>8990</v>
      </c>
      <c r="R7962" s="119"/>
      <c r="S7962" s="118">
        <v>12100</v>
      </c>
      <c r="T7962" s="119"/>
      <c r="U7962" s="118">
        <f t="shared" ref="U7962" si="11827">SUM(K7962:T7963)</f>
        <v>1357590</v>
      </c>
      <c r="V7962" s="122"/>
      <c r="W7962" s="124"/>
      <c r="X7962" s="126" t="s">
        <v>23252</v>
      </c>
      <c r="Y7962" s="127"/>
      <c r="Z7962" s="127"/>
      <c r="AA7962" s="127"/>
      <c r="AB7962" s="128"/>
      <c r="AC7962" s="15" t="s">
        <v>20</v>
      </c>
      <c r="AD7962" s="129" t="s">
        <v>1633</v>
      </c>
      <c r="AE7962" s="130"/>
      <c r="AF7962" s="130"/>
      <c r="AG7962" s="130"/>
      <c r="AH7962" s="130"/>
      <c r="AI7962" s="131"/>
      <c r="AJ7962" s="132"/>
      <c r="AK7962" s="127"/>
      <c r="AL7962" s="128"/>
      <c r="AM7962" s="21"/>
      <c r="AN7962" s="133"/>
      <c r="AO7962" s="134"/>
      <c r="AP7962" s="135"/>
      <c r="AQ7962" s="136"/>
      <c r="AR7962" s="118"/>
      <c r="AS7962" s="119"/>
      <c r="AT7962" s="118">
        <f t="shared" ref="AT7962" si="11828">AR7962*0.1</f>
        <v>0</v>
      </c>
      <c r="AU7962" s="119"/>
      <c r="AV7962" s="118"/>
      <c r="AW7962" s="119"/>
      <c r="AX7962" s="118">
        <f t="shared" ref="AX7962" si="11829">SUM(AR7962:AW7962)</f>
        <v>0</v>
      </c>
      <c r="AY7962" s="119"/>
      <c r="AZ7962" s="137"/>
    </row>
    <row r="7963" spans="1:52" ht="17.100000000000001" customHeight="1" thickBot="1">
      <c r="A7963" s="110"/>
      <c r="B7963" s="27" t="s">
        <v>2794</v>
      </c>
      <c r="C7963" s="27">
        <v>8004</v>
      </c>
      <c r="D7963" s="14" t="s">
        <v>1720</v>
      </c>
      <c r="E7963" s="112"/>
      <c r="F7963" s="139" t="s">
        <v>22419</v>
      </c>
      <c r="G7963" s="140"/>
      <c r="H7963" s="141"/>
      <c r="I7963" s="26">
        <v>34552</v>
      </c>
      <c r="J7963" s="117"/>
      <c r="K7963" s="120"/>
      <c r="L7963" s="121"/>
      <c r="M7963" s="120"/>
      <c r="N7963" s="121"/>
      <c r="O7963" s="120"/>
      <c r="P7963" s="121"/>
      <c r="Q7963" s="120"/>
      <c r="R7963" s="121"/>
      <c r="S7963" s="120"/>
      <c r="T7963" s="121"/>
      <c r="U7963" s="120"/>
      <c r="V7963" s="123"/>
      <c r="W7963" s="125"/>
      <c r="X7963" s="142" t="s">
        <v>7918</v>
      </c>
      <c r="Y7963" s="143"/>
      <c r="Z7963" s="143"/>
      <c r="AA7963" s="143"/>
      <c r="AB7963" s="144"/>
      <c r="AC7963" s="16" t="s">
        <v>21</v>
      </c>
      <c r="AD7963" s="17" t="s">
        <v>1952</v>
      </c>
      <c r="AE7963" s="145" t="s">
        <v>2692</v>
      </c>
      <c r="AF7963" s="146"/>
      <c r="AG7963" s="146"/>
      <c r="AH7963" s="146"/>
      <c r="AI7963" s="147"/>
      <c r="AJ7963" s="148"/>
      <c r="AK7963" s="143"/>
      <c r="AL7963" s="144"/>
      <c r="AM7963" s="22"/>
      <c r="AN7963" s="149"/>
      <c r="AO7963" s="144"/>
      <c r="AP7963" s="148"/>
      <c r="AQ7963" s="144"/>
      <c r="AR7963" s="120"/>
      <c r="AS7963" s="121"/>
      <c r="AT7963" s="120"/>
      <c r="AU7963" s="121"/>
      <c r="AV7963" s="120"/>
      <c r="AW7963" s="121"/>
      <c r="AX7963" s="120"/>
      <c r="AY7963" s="121"/>
      <c r="AZ7963" s="138"/>
    </row>
    <row r="7964" spans="1:52" ht="17.100000000000001" customHeight="1" thickTop="1">
      <c r="A7964" s="109" t="s">
        <v>22415</v>
      </c>
      <c r="B7964" s="28">
        <v>46121</v>
      </c>
      <c r="C7964" s="25">
        <v>1326</v>
      </c>
      <c r="D7964" s="13" t="s">
        <v>2963</v>
      </c>
      <c r="E7964" s="111"/>
      <c r="F7964" s="113" t="s">
        <v>22453</v>
      </c>
      <c r="G7964" s="114"/>
      <c r="H7964" s="115"/>
      <c r="I7964" s="24" t="s">
        <v>1547</v>
      </c>
      <c r="J7964" s="116">
        <v>4.5</v>
      </c>
      <c r="K7964" s="118">
        <v>1550000</v>
      </c>
      <c r="L7964" s="119"/>
      <c r="M7964" s="118">
        <f t="shared" ref="M7964" si="11830">K7964*0.1</f>
        <v>155000</v>
      </c>
      <c r="N7964" s="119"/>
      <c r="O7964" s="118">
        <f>27900+2790</f>
        <v>30690</v>
      </c>
      <c r="P7964" s="119"/>
      <c r="Q7964" s="118">
        <v>17600</v>
      </c>
      <c r="R7964" s="119"/>
      <c r="S7964" s="118">
        <v>24200</v>
      </c>
      <c r="T7964" s="119"/>
      <c r="U7964" s="118">
        <f t="shared" ref="U7964" si="11831">SUM(K7964:T7965)</f>
        <v>1777490</v>
      </c>
      <c r="V7964" s="122"/>
      <c r="W7964" s="124"/>
      <c r="X7964" s="126" t="s">
        <v>22454</v>
      </c>
      <c r="Y7964" s="127"/>
      <c r="Z7964" s="127"/>
      <c r="AA7964" s="127"/>
      <c r="AB7964" s="128"/>
      <c r="AC7964" s="15" t="s">
        <v>20</v>
      </c>
      <c r="AD7964" s="129" t="s">
        <v>1732</v>
      </c>
      <c r="AE7964" s="130"/>
      <c r="AF7964" s="130"/>
      <c r="AG7964" s="130"/>
      <c r="AH7964" s="130"/>
      <c r="AI7964" s="131"/>
      <c r="AJ7964" s="132"/>
      <c r="AK7964" s="127"/>
      <c r="AL7964" s="128"/>
      <c r="AM7964" s="21"/>
      <c r="AN7964" s="133"/>
      <c r="AO7964" s="134"/>
      <c r="AP7964" s="135"/>
      <c r="AQ7964" s="136"/>
      <c r="AR7964" s="118"/>
      <c r="AS7964" s="119"/>
      <c r="AT7964" s="118">
        <f t="shared" ref="AT7964" si="11832">AR7964*0.1</f>
        <v>0</v>
      </c>
      <c r="AU7964" s="119"/>
      <c r="AV7964" s="118"/>
      <c r="AW7964" s="119"/>
      <c r="AX7964" s="118">
        <f t="shared" ref="AX7964" si="11833">SUM(AR7964:AW7964)</f>
        <v>0</v>
      </c>
      <c r="AY7964" s="119"/>
      <c r="AZ7964" s="137"/>
    </row>
    <row r="7965" spans="1:52" ht="17.100000000000001" customHeight="1" thickBot="1">
      <c r="A7965" s="110"/>
      <c r="B7965" s="27" t="s">
        <v>13663</v>
      </c>
      <c r="C7965" s="27">
        <v>349</v>
      </c>
      <c r="D7965" s="14" t="s">
        <v>1883</v>
      </c>
      <c r="E7965" s="112"/>
      <c r="F7965" s="139" t="s">
        <v>22447</v>
      </c>
      <c r="G7965" s="140"/>
      <c r="H7965" s="141"/>
      <c r="I7965" s="26">
        <v>60921</v>
      </c>
      <c r="J7965" s="117"/>
      <c r="K7965" s="120"/>
      <c r="L7965" s="121"/>
      <c r="M7965" s="120"/>
      <c r="N7965" s="121"/>
      <c r="O7965" s="120"/>
      <c r="P7965" s="121"/>
      <c r="Q7965" s="120"/>
      <c r="R7965" s="121"/>
      <c r="S7965" s="120"/>
      <c r="T7965" s="121"/>
      <c r="U7965" s="120"/>
      <c r="V7965" s="123"/>
      <c r="W7965" s="125"/>
      <c r="X7965" s="142" t="s">
        <v>22926</v>
      </c>
      <c r="Y7965" s="143"/>
      <c r="Z7965" s="143"/>
      <c r="AA7965" s="143"/>
      <c r="AB7965" s="144"/>
      <c r="AC7965" s="16" t="s">
        <v>21</v>
      </c>
      <c r="AD7965" s="17" t="s">
        <v>3461</v>
      </c>
      <c r="AE7965" s="145" t="s">
        <v>1614</v>
      </c>
      <c r="AF7965" s="146"/>
      <c r="AG7965" s="146"/>
      <c r="AH7965" s="146"/>
      <c r="AI7965" s="147"/>
      <c r="AJ7965" s="148"/>
      <c r="AK7965" s="143"/>
      <c r="AL7965" s="144"/>
      <c r="AM7965" s="22"/>
      <c r="AN7965" s="149"/>
      <c r="AO7965" s="144"/>
      <c r="AP7965" s="148"/>
      <c r="AQ7965" s="144"/>
      <c r="AR7965" s="120"/>
      <c r="AS7965" s="121"/>
      <c r="AT7965" s="120"/>
      <c r="AU7965" s="121"/>
      <c r="AV7965" s="120"/>
      <c r="AW7965" s="121"/>
      <c r="AX7965" s="120"/>
      <c r="AY7965" s="121"/>
      <c r="AZ7965" s="138"/>
    </row>
    <row r="7966" spans="1:52" ht="17.100000000000001" customHeight="1" thickTop="1">
      <c r="A7966" s="109" t="s">
        <v>22448</v>
      </c>
      <c r="B7966" s="28">
        <v>46121</v>
      </c>
      <c r="C7966" s="25">
        <v>1978</v>
      </c>
      <c r="D7966" s="13" t="s">
        <v>1688</v>
      </c>
      <c r="E7966" s="111"/>
      <c r="F7966" s="113" t="s">
        <v>4930</v>
      </c>
      <c r="G7966" s="114"/>
      <c r="H7966" s="115"/>
      <c r="I7966" s="24"/>
      <c r="J7966" s="116">
        <v>4</v>
      </c>
      <c r="K7966" s="118">
        <v>532000</v>
      </c>
      <c r="L7966" s="119"/>
      <c r="M7966" s="118">
        <f t="shared" ref="M7966" si="11834">K7966*0.1</f>
        <v>53200</v>
      </c>
      <c r="N7966" s="119"/>
      <c r="O7966" s="118">
        <v>0</v>
      </c>
      <c r="P7966" s="119"/>
      <c r="Q7966" s="118">
        <v>6550</v>
      </c>
      <c r="R7966" s="119"/>
      <c r="S7966" s="118">
        <f>15500+1550</f>
        <v>17050</v>
      </c>
      <c r="T7966" s="119"/>
      <c r="U7966" s="118">
        <f t="shared" ref="U7966" si="11835">SUM(K7966:T7967)</f>
        <v>608800</v>
      </c>
      <c r="V7966" s="122"/>
      <c r="W7966" s="124"/>
      <c r="X7966" s="126" t="s">
        <v>23329</v>
      </c>
      <c r="Y7966" s="127"/>
      <c r="Z7966" s="127"/>
      <c r="AA7966" s="127"/>
      <c r="AB7966" s="128"/>
      <c r="AC7966" s="15" t="s">
        <v>20</v>
      </c>
      <c r="AD7966" s="129" t="s">
        <v>1670</v>
      </c>
      <c r="AE7966" s="130"/>
      <c r="AF7966" s="130"/>
      <c r="AG7966" s="130"/>
      <c r="AH7966" s="130"/>
      <c r="AI7966" s="131"/>
      <c r="AJ7966" s="132"/>
      <c r="AK7966" s="127"/>
      <c r="AL7966" s="128"/>
      <c r="AM7966" s="21"/>
      <c r="AN7966" s="133"/>
      <c r="AO7966" s="134"/>
      <c r="AP7966" s="135"/>
      <c r="AQ7966" s="136"/>
      <c r="AR7966" s="118"/>
      <c r="AS7966" s="119"/>
      <c r="AT7966" s="118">
        <f t="shared" ref="AT7966" si="11836">AR7966*0.1</f>
        <v>0</v>
      </c>
      <c r="AU7966" s="119"/>
      <c r="AV7966" s="118"/>
      <c r="AW7966" s="119"/>
      <c r="AX7966" s="118">
        <f t="shared" ref="AX7966" si="11837">SUM(AR7966:AW7966)</f>
        <v>0</v>
      </c>
      <c r="AY7966" s="119"/>
      <c r="AZ7966" s="137"/>
    </row>
    <row r="7967" spans="1:52" ht="17.100000000000001" customHeight="1" thickBot="1">
      <c r="A7967" s="110"/>
      <c r="B7967" s="27" t="s">
        <v>3792</v>
      </c>
      <c r="C7967" s="27">
        <v>3003</v>
      </c>
      <c r="D7967" s="14" t="s">
        <v>1720</v>
      </c>
      <c r="E7967" s="112"/>
      <c r="F7967" s="139" t="s">
        <v>22450</v>
      </c>
      <c r="G7967" s="140"/>
      <c r="H7967" s="141"/>
      <c r="I7967" s="26">
        <v>37644</v>
      </c>
      <c r="J7967" s="117"/>
      <c r="K7967" s="120"/>
      <c r="L7967" s="121"/>
      <c r="M7967" s="120"/>
      <c r="N7967" s="121"/>
      <c r="O7967" s="120"/>
      <c r="P7967" s="121"/>
      <c r="Q7967" s="120"/>
      <c r="R7967" s="121"/>
      <c r="S7967" s="120"/>
      <c r="T7967" s="121"/>
      <c r="U7967" s="120"/>
      <c r="V7967" s="123"/>
      <c r="W7967" s="125"/>
      <c r="X7967" s="142" t="s">
        <v>7450</v>
      </c>
      <c r="Y7967" s="143"/>
      <c r="Z7967" s="143"/>
      <c r="AA7967" s="143"/>
      <c r="AB7967" s="144"/>
      <c r="AC7967" s="16" t="s">
        <v>21</v>
      </c>
      <c r="AD7967" s="17" t="s">
        <v>23320</v>
      </c>
      <c r="AE7967" s="145" t="s">
        <v>11427</v>
      </c>
      <c r="AF7967" s="146"/>
      <c r="AG7967" s="146"/>
      <c r="AH7967" s="146"/>
      <c r="AI7967" s="147"/>
      <c r="AJ7967" s="148"/>
      <c r="AK7967" s="143"/>
      <c r="AL7967" s="144"/>
      <c r="AM7967" s="22"/>
      <c r="AN7967" s="149"/>
      <c r="AO7967" s="144"/>
      <c r="AP7967" s="148"/>
      <c r="AQ7967" s="144"/>
      <c r="AR7967" s="120"/>
      <c r="AS7967" s="121"/>
      <c r="AT7967" s="120"/>
      <c r="AU7967" s="121"/>
      <c r="AV7967" s="120"/>
      <c r="AW7967" s="121"/>
      <c r="AX7967" s="120"/>
      <c r="AY7967" s="121"/>
      <c r="AZ7967" s="138"/>
    </row>
    <row r="7968" spans="1:52" ht="17.100000000000001" customHeight="1" thickTop="1">
      <c r="A7968" s="109" t="s">
        <v>22449</v>
      </c>
      <c r="B7968" s="28">
        <v>46121</v>
      </c>
      <c r="C7968" s="25">
        <v>1978</v>
      </c>
      <c r="D7968" s="13" t="s">
        <v>3832</v>
      </c>
      <c r="E7968" s="111"/>
      <c r="F7968" s="113" t="s">
        <v>22418</v>
      </c>
      <c r="G7968" s="114"/>
      <c r="H7968" s="115"/>
      <c r="I7968" s="24"/>
      <c r="J7968" s="116">
        <v>4</v>
      </c>
      <c r="K7968" s="118">
        <v>1177000</v>
      </c>
      <c r="L7968" s="119"/>
      <c r="M7968" s="118">
        <f t="shared" ref="M7968" si="11838">K7968*0.1</f>
        <v>117700</v>
      </c>
      <c r="N7968" s="119"/>
      <c r="O7968" s="118">
        <v>0</v>
      </c>
      <c r="P7968" s="119"/>
      <c r="Q7968" s="118">
        <v>8990</v>
      </c>
      <c r="R7968" s="119"/>
      <c r="S7968" s="118">
        <f>14500+1450</f>
        <v>15950</v>
      </c>
      <c r="T7968" s="119"/>
      <c r="U7968" s="118">
        <f t="shared" ref="U7968" si="11839">SUM(K7968:T7969)</f>
        <v>1319640</v>
      </c>
      <c r="V7968" s="122"/>
      <c r="W7968" s="124"/>
      <c r="X7968" s="126" t="s">
        <v>22941</v>
      </c>
      <c r="Y7968" s="127"/>
      <c r="Z7968" s="127"/>
      <c r="AA7968" s="127"/>
      <c r="AB7968" s="128"/>
      <c r="AC7968" s="15" t="s">
        <v>20</v>
      </c>
      <c r="AD7968" s="129" t="s">
        <v>22452</v>
      </c>
      <c r="AE7968" s="130"/>
      <c r="AF7968" s="130"/>
      <c r="AG7968" s="130"/>
      <c r="AH7968" s="130"/>
      <c r="AI7968" s="131"/>
      <c r="AJ7968" s="132"/>
      <c r="AK7968" s="127"/>
      <c r="AL7968" s="128"/>
      <c r="AM7968" s="21"/>
      <c r="AN7968" s="133">
        <v>46144</v>
      </c>
      <c r="AO7968" s="134"/>
      <c r="AP7968" s="135">
        <v>1299</v>
      </c>
      <c r="AQ7968" s="136"/>
      <c r="AR7968" s="118">
        <v>1250000</v>
      </c>
      <c r="AS7968" s="119"/>
      <c r="AT7968" s="118">
        <f t="shared" ref="AT7968" si="11840">AR7968*0.1</f>
        <v>125000</v>
      </c>
      <c r="AU7968" s="119"/>
      <c r="AV7968" s="118">
        <v>8990</v>
      </c>
      <c r="AW7968" s="119"/>
      <c r="AX7968" s="118">
        <f t="shared" ref="AX7968" si="11841">SUM(AR7968:AW7968)</f>
        <v>1383990</v>
      </c>
      <c r="AY7968" s="119"/>
      <c r="AZ7968" s="137">
        <v>46154</v>
      </c>
    </row>
    <row r="7969" spans="1:52" ht="17.100000000000001" customHeight="1" thickBot="1">
      <c r="A7969" s="110"/>
      <c r="B7969" s="27" t="s">
        <v>3792</v>
      </c>
      <c r="C7969" s="27">
        <v>62023</v>
      </c>
      <c r="D7969" s="14" t="s">
        <v>1592</v>
      </c>
      <c r="E7969" s="112"/>
      <c r="F7969" s="139" t="s">
        <v>22451</v>
      </c>
      <c r="G7969" s="140"/>
      <c r="H7969" s="141"/>
      <c r="I7969" s="26">
        <v>51854</v>
      </c>
      <c r="J7969" s="117"/>
      <c r="K7969" s="120"/>
      <c r="L7969" s="121"/>
      <c r="M7969" s="120"/>
      <c r="N7969" s="121"/>
      <c r="O7969" s="120"/>
      <c r="P7969" s="121"/>
      <c r="Q7969" s="120"/>
      <c r="R7969" s="121"/>
      <c r="S7969" s="120"/>
      <c r="T7969" s="121"/>
      <c r="U7969" s="120"/>
      <c r="V7969" s="123"/>
      <c r="W7969" s="125"/>
      <c r="X7969" s="142" t="s">
        <v>22942</v>
      </c>
      <c r="Y7969" s="143"/>
      <c r="Z7969" s="143"/>
      <c r="AA7969" s="143"/>
      <c r="AB7969" s="144"/>
      <c r="AC7969" s="16" t="s">
        <v>21</v>
      </c>
      <c r="AD7969" s="17" t="s">
        <v>3461</v>
      </c>
      <c r="AE7969" s="145" t="s">
        <v>22943</v>
      </c>
      <c r="AF7969" s="146"/>
      <c r="AG7969" s="146"/>
      <c r="AH7969" s="146"/>
      <c r="AI7969" s="147"/>
      <c r="AJ7969" s="148"/>
      <c r="AK7969" s="143"/>
      <c r="AL7969" s="144"/>
      <c r="AM7969" s="22"/>
      <c r="AN7969" s="149" t="s">
        <v>25047</v>
      </c>
      <c r="AO7969" s="144"/>
      <c r="AP7969" s="148">
        <v>41032</v>
      </c>
      <c r="AQ7969" s="144"/>
      <c r="AR7969" s="120"/>
      <c r="AS7969" s="121"/>
      <c r="AT7969" s="120"/>
      <c r="AU7969" s="121"/>
      <c r="AV7969" s="120"/>
      <c r="AW7969" s="121"/>
      <c r="AX7969" s="120"/>
      <c r="AY7969" s="121"/>
      <c r="AZ7969" s="138"/>
    </row>
    <row r="7970" spans="1:52" ht="17.100000000000001" customHeight="1" thickTop="1">
      <c r="A7970" s="109" t="s">
        <v>22615</v>
      </c>
      <c r="B7970" s="28">
        <v>46121</v>
      </c>
      <c r="C7970" s="25">
        <v>2153</v>
      </c>
      <c r="D7970" s="13" t="s">
        <v>22764</v>
      </c>
      <c r="E7970" s="111"/>
      <c r="F7970" s="113" t="s">
        <v>22766</v>
      </c>
      <c r="G7970" s="114"/>
      <c r="H7970" s="115"/>
      <c r="I7970" s="24" t="s">
        <v>22767</v>
      </c>
      <c r="J7970" s="116">
        <v>4</v>
      </c>
      <c r="K7970" s="118">
        <v>405000</v>
      </c>
      <c r="L7970" s="119"/>
      <c r="M7970" s="118">
        <f t="shared" ref="M7970" si="11842">K7970*0.1</f>
        <v>40500</v>
      </c>
      <c r="N7970" s="119"/>
      <c r="O7970" s="118">
        <v>0</v>
      </c>
      <c r="P7970" s="119"/>
      <c r="Q7970" s="118">
        <v>8550</v>
      </c>
      <c r="R7970" s="119"/>
      <c r="S7970" s="118">
        <v>14300</v>
      </c>
      <c r="T7970" s="119"/>
      <c r="U7970" s="118">
        <f t="shared" ref="U7970" si="11843">SUM(K7970:T7971)</f>
        <v>468350</v>
      </c>
      <c r="V7970" s="122"/>
      <c r="W7970" s="124"/>
      <c r="X7970" s="126" t="s">
        <v>22768</v>
      </c>
      <c r="Y7970" s="127"/>
      <c r="Z7970" s="127"/>
      <c r="AA7970" s="127"/>
      <c r="AB7970" s="128"/>
      <c r="AC7970" s="15" t="s">
        <v>20</v>
      </c>
      <c r="AD7970" s="129"/>
      <c r="AE7970" s="130"/>
      <c r="AF7970" s="130"/>
      <c r="AG7970" s="130"/>
      <c r="AH7970" s="130"/>
      <c r="AI7970" s="131"/>
      <c r="AJ7970" s="132"/>
      <c r="AK7970" s="127"/>
      <c r="AL7970" s="128"/>
      <c r="AM7970" s="21"/>
      <c r="AN7970" s="133">
        <v>46134</v>
      </c>
      <c r="AO7970" s="134"/>
      <c r="AP7970" s="135">
        <v>1014</v>
      </c>
      <c r="AQ7970" s="136"/>
      <c r="AR7970" s="118">
        <v>430000</v>
      </c>
      <c r="AS7970" s="119"/>
      <c r="AT7970" s="118">
        <f t="shared" ref="AT7970" si="11844">AR7970*0.1</f>
        <v>43000</v>
      </c>
      <c r="AU7970" s="119"/>
      <c r="AV7970" s="118">
        <v>8550</v>
      </c>
      <c r="AW7970" s="119"/>
      <c r="AX7970" s="118">
        <f t="shared" ref="AX7970" si="11845">SUM(AR7970:AW7970)</f>
        <v>481550</v>
      </c>
      <c r="AY7970" s="119"/>
      <c r="AZ7970" s="137">
        <v>46139</v>
      </c>
    </row>
    <row r="7971" spans="1:52" ht="17.100000000000001" customHeight="1" thickBot="1">
      <c r="A7971" s="110"/>
      <c r="B7971" s="27" t="s">
        <v>1940</v>
      </c>
      <c r="C7971" s="27">
        <v>17</v>
      </c>
      <c r="D7971" s="14" t="s">
        <v>22765</v>
      </c>
      <c r="E7971" s="112"/>
      <c r="F7971" s="139" t="s">
        <v>22652</v>
      </c>
      <c r="G7971" s="140"/>
      <c r="H7971" s="141"/>
      <c r="I7971" s="26">
        <v>54429</v>
      </c>
      <c r="J7971" s="117"/>
      <c r="K7971" s="120"/>
      <c r="L7971" s="121"/>
      <c r="M7971" s="120"/>
      <c r="N7971" s="121"/>
      <c r="O7971" s="120"/>
      <c r="P7971" s="121"/>
      <c r="Q7971" s="120"/>
      <c r="R7971" s="121"/>
      <c r="S7971" s="120"/>
      <c r="T7971" s="121"/>
      <c r="U7971" s="120"/>
      <c r="V7971" s="123"/>
      <c r="W7971" s="125"/>
      <c r="X7971" s="142" t="s">
        <v>23260</v>
      </c>
      <c r="Y7971" s="143"/>
      <c r="Z7971" s="143"/>
      <c r="AA7971" s="143"/>
      <c r="AB7971" s="144"/>
      <c r="AC7971" s="16" t="s">
        <v>21</v>
      </c>
      <c r="AD7971" s="17" t="s">
        <v>1952</v>
      </c>
      <c r="AE7971" s="145" t="s">
        <v>1609</v>
      </c>
      <c r="AF7971" s="146"/>
      <c r="AG7971" s="146"/>
      <c r="AH7971" s="146"/>
      <c r="AI7971" s="147"/>
      <c r="AJ7971" s="148"/>
      <c r="AK7971" s="143"/>
      <c r="AL7971" s="144"/>
      <c r="AM7971" s="22"/>
      <c r="AN7971" s="149" t="s">
        <v>23987</v>
      </c>
      <c r="AO7971" s="144"/>
      <c r="AP7971" s="148">
        <v>2049</v>
      </c>
      <c r="AQ7971" s="144"/>
      <c r="AR7971" s="120"/>
      <c r="AS7971" s="121"/>
      <c r="AT7971" s="120"/>
      <c r="AU7971" s="121"/>
      <c r="AV7971" s="120"/>
      <c r="AW7971" s="121"/>
      <c r="AX7971" s="120"/>
      <c r="AY7971" s="121"/>
      <c r="AZ7971" s="138"/>
    </row>
    <row r="7972" spans="1:52" ht="17.100000000000001" customHeight="1" thickTop="1">
      <c r="A7972" s="109" t="s">
        <v>22616</v>
      </c>
      <c r="B7972" s="28">
        <v>46121</v>
      </c>
      <c r="C7972" s="25">
        <v>2153</v>
      </c>
      <c r="D7972" s="13" t="s">
        <v>22769</v>
      </c>
      <c r="E7972" s="111"/>
      <c r="F7972" s="113" t="s">
        <v>22770</v>
      </c>
      <c r="G7972" s="114"/>
      <c r="H7972" s="115"/>
      <c r="I7972" s="24" t="s">
        <v>22771</v>
      </c>
      <c r="J7972" s="116">
        <v>4</v>
      </c>
      <c r="K7972" s="118">
        <v>236000</v>
      </c>
      <c r="L7972" s="119"/>
      <c r="M7972" s="118">
        <f t="shared" ref="M7972" si="11846">K7972*0.1</f>
        <v>23600</v>
      </c>
      <c r="N7972" s="119"/>
      <c r="O7972" s="118">
        <v>0</v>
      </c>
      <c r="P7972" s="119"/>
      <c r="Q7972" s="118">
        <v>8580</v>
      </c>
      <c r="R7972" s="119"/>
      <c r="S7972" s="118">
        <v>14300</v>
      </c>
      <c r="T7972" s="119"/>
      <c r="U7972" s="118">
        <f t="shared" ref="U7972" si="11847">SUM(K7972:T7973)</f>
        <v>282480</v>
      </c>
      <c r="V7972" s="122"/>
      <c r="W7972" s="124"/>
      <c r="X7972" s="126" t="s">
        <v>23050</v>
      </c>
      <c r="Y7972" s="127"/>
      <c r="Z7972" s="127"/>
      <c r="AA7972" s="127"/>
      <c r="AB7972" s="128"/>
      <c r="AC7972" s="15" t="s">
        <v>20</v>
      </c>
      <c r="AD7972" s="129"/>
      <c r="AE7972" s="130"/>
      <c r="AF7972" s="130"/>
      <c r="AG7972" s="130"/>
      <c r="AH7972" s="130"/>
      <c r="AI7972" s="131"/>
      <c r="AJ7972" s="132"/>
      <c r="AK7972" s="127"/>
      <c r="AL7972" s="128"/>
      <c r="AM7972" s="21"/>
      <c r="AN7972" s="133">
        <v>46127</v>
      </c>
      <c r="AO7972" s="134"/>
      <c r="AP7972" s="135">
        <v>1013</v>
      </c>
      <c r="AQ7972" s="136"/>
      <c r="AR7972" s="118">
        <v>250000</v>
      </c>
      <c r="AS7972" s="119"/>
      <c r="AT7972" s="118">
        <f t="shared" ref="AT7972" si="11848">AR7972*0.1</f>
        <v>25000</v>
      </c>
      <c r="AU7972" s="119"/>
      <c r="AV7972" s="118">
        <v>8580</v>
      </c>
      <c r="AW7972" s="119"/>
      <c r="AX7972" s="118">
        <f t="shared" ref="AX7972" si="11849">SUM(AR7972:AW7972)</f>
        <v>283580</v>
      </c>
      <c r="AY7972" s="119"/>
      <c r="AZ7972" s="137">
        <v>46132</v>
      </c>
    </row>
    <row r="7973" spans="1:52" ht="17.100000000000001" customHeight="1" thickBot="1">
      <c r="A7973" s="110"/>
      <c r="B7973" s="27" t="s">
        <v>1940</v>
      </c>
      <c r="C7973" s="27">
        <v>19</v>
      </c>
      <c r="D7973" s="14" t="s">
        <v>2325</v>
      </c>
      <c r="E7973" s="112"/>
      <c r="F7973" s="139" t="s">
        <v>22653</v>
      </c>
      <c r="G7973" s="140"/>
      <c r="H7973" s="141"/>
      <c r="I7973" s="26">
        <v>66730</v>
      </c>
      <c r="J7973" s="117"/>
      <c r="K7973" s="120"/>
      <c r="L7973" s="121"/>
      <c r="M7973" s="120"/>
      <c r="N7973" s="121"/>
      <c r="O7973" s="120"/>
      <c r="P7973" s="121"/>
      <c r="Q7973" s="120"/>
      <c r="R7973" s="121"/>
      <c r="S7973" s="120"/>
      <c r="T7973" s="121"/>
      <c r="U7973" s="120"/>
      <c r="V7973" s="123"/>
      <c r="W7973" s="125"/>
      <c r="X7973" s="142" t="s">
        <v>6870</v>
      </c>
      <c r="Y7973" s="143"/>
      <c r="Z7973" s="143"/>
      <c r="AA7973" s="143"/>
      <c r="AB7973" s="144"/>
      <c r="AC7973" s="16" t="s">
        <v>21</v>
      </c>
      <c r="AD7973" s="17" t="s">
        <v>23033</v>
      </c>
      <c r="AE7973" s="145" t="s">
        <v>23051</v>
      </c>
      <c r="AF7973" s="146"/>
      <c r="AG7973" s="146"/>
      <c r="AH7973" s="146"/>
      <c r="AI7973" s="147"/>
      <c r="AJ7973" s="148"/>
      <c r="AK7973" s="143"/>
      <c r="AL7973" s="144"/>
      <c r="AM7973" s="22"/>
      <c r="AN7973" s="156" t="s">
        <v>2794</v>
      </c>
      <c r="AO7973" s="157"/>
      <c r="AP7973" s="148">
        <v>5194</v>
      </c>
      <c r="AQ7973" s="144"/>
      <c r="AR7973" s="120"/>
      <c r="AS7973" s="121"/>
      <c r="AT7973" s="120"/>
      <c r="AU7973" s="121"/>
      <c r="AV7973" s="120"/>
      <c r="AW7973" s="121"/>
      <c r="AX7973" s="120"/>
      <c r="AY7973" s="121"/>
      <c r="AZ7973" s="138"/>
    </row>
    <row r="7974" spans="1:52" ht="17.100000000000001" customHeight="1" thickTop="1">
      <c r="A7974" s="109" t="s">
        <v>22617</v>
      </c>
      <c r="B7974" s="28">
        <v>46121</v>
      </c>
      <c r="C7974" s="25">
        <v>2153</v>
      </c>
      <c r="D7974" s="13" t="s">
        <v>22769</v>
      </c>
      <c r="E7974" s="111"/>
      <c r="F7974" s="113" t="s">
        <v>22772</v>
      </c>
      <c r="G7974" s="114"/>
      <c r="H7974" s="115"/>
      <c r="I7974" s="24"/>
      <c r="J7974" s="116">
        <v>4.5</v>
      </c>
      <c r="K7974" s="118">
        <v>476000</v>
      </c>
      <c r="L7974" s="119"/>
      <c r="M7974" s="118">
        <f t="shared" ref="M7974" si="11850">K7974*0.1</f>
        <v>47600</v>
      </c>
      <c r="N7974" s="119"/>
      <c r="O7974" s="118">
        <v>0</v>
      </c>
      <c r="P7974" s="119"/>
      <c r="Q7974" s="118">
        <v>8230</v>
      </c>
      <c r="R7974" s="119"/>
      <c r="S7974" s="118">
        <v>14300</v>
      </c>
      <c r="T7974" s="119"/>
      <c r="U7974" s="118">
        <f t="shared" ref="U7974" si="11851">SUM(K7974:T7975)</f>
        <v>546130</v>
      </c>
      <c r="V7974" s="122"/>
      <c r="W7974" s="124"/>
      <c r="X7974" s="126" t="s">
        <v>23062</v>
      </c>
      <c r="Y7974" s="127"/>
      <c r="Z7974" s="127"/>
      <c r="AA7974" s="127"/>
      <c r="AB7974" s="128"/>
      <c r="AC7974" s="15" t="s">
        <v>20</v>
      </c>
      <c r="AD7974" s="129"/>
      <c r="AE7974" s="130"/>
      <c r="AF7974" s="130"/>
      <c r="AG7974" s="130"/>
      <c r="AH7974" s="130"/>
      <c r="AI7974" s="131"/>
      <c r="AJ7974" s="132"/>
      <c r="AK7974" s="127"/>
      <c r="AL7974" s="128"/>
      <c r="AM7974" s="21"/>
      <c r="AN7974" s="133">
        <v>46134</v>
      </c>
      <c r="AO7974" s="134"/>
      <c r="AP7974" s="135">
        <v>1014</v>
      </c>
      <c r="AQ7974" s="136"/>
      <c r="AR7974" s="118">
        <v>460000</v>
      </c>
      <c r="AS7974" s="119"/>
      <c r="AT7974" s="118">
        <f t="shared" ref="AT7974" si="11852">AR7974*0.1</f>
        <v>46000</v>
      </c>
      <c r="AU7974" s="119"/>
      <c r="AV7974" s="118">
        <v>8230</v>
      </c>
      <c r="AW7974" s="119"/>
      <c r="AX7974" s="118">
        <f t="shared" ref="AX7974" si="11853">SUM(AR7974:AW7974)</f>
        <v>514230</v>
      </c>
      <c r="AY7974" s="119"/>
      <c r="AZ7974" s="137">
        <v>46139</v>
      </c>
    </row>
    <row r="7975" spans="1:52" ht="17.100000000000001" customHeight="1" thickBot="1">
      <c r="A7975" s="110"/>
      <c r="B7975" s="27" t="s">
        <v>1940</v>
      </c>
      <c r="C7975" s="27">
        <v>25</v>
      </c>
      <c r="D7975" s="14" t="s">
        <v>1720</v>
      </c>
      <c r="E7975" s="112"/>
      <c r="F7975" s="139" t="s">
        <v>22654</v>
      </c>
      <c r="G7975" s="140"/>
      <c r="H7975" s="141"/>
      <c r="I7975" s="26">
        <v>36088</v>
      </c>
      <c r="J7975" s="117"/>
      <c r="K7975" s="120"/>
      <c r="L7975" s="121"/>
      <c r="M7975" s="120"/>
      <c r="N7975" s="121"/>
      <c r="O7975" s="120"/>
      <c r="P7975" s="121"/>
      <c r="Q7975" s="120"/>
      <c r="R7975" s="121"/>
      <c r="S7975" s="120"/>
      <c r="T7975" s="121"/>
      <c r="U7975" s="120"/>
      <c r="V7975" s="123"/>
      <c r="W7975" s="125"/>
      <c r="X7975" s="142" t="s">
        <v>23059</v>
      </c>
      <c r="Y7975" s="143"/>
      <c r="Z7975" s="143"/>
      <c r="AA7975" s="143"/>
      <c r="AB7975" s="144"/>
      <c r="AC7975" s="16" t="s">
        <v>21</v>
      </c>
      <c r="AD7975" s="17" t="s">
        <v>23033</v>
      </c>
      <c r="AE7975" s="145" t="s">
        <v>23072</v>
      </c>
      <c r="AF7975" s="146"/>
      <c r="AG7975" s="146"/>
      <c r="AH7975" s="146"/>
      <c r="AI7975" s="147"/>
      <c r="AJ7975" s="148"/>
      <c r="AK7975" s="143"/>
      <c r="AL7975" s="144"/>
      <c r="AM7975" s="22"/>
      <c r="AN7975" s="149" t="s">
        <v>23987</v>
      </c>
      <c r="AO7975" s="144"/>
      <c r="AP7975" s="148">
        <v>2054</v>
      </c>
      <c r="AQ7975" s="144"/>
      <c r="AR7975" s="120"/>
      <c r="AS7975" s="121"/>
      <c r="AT7975" s="120"/>
      <c r="AU7975" s="121"/>
      <c r="AV7975" s="120"/>
      <c r="AW7975" s="121"/>
      <c r="AX7975" s="120"/>
      <c r="AY7975" s="121"/>
      <c r="AZ7975" s="138"/>
    </row>
    <row r="7976" spans="1:52" ht="17.100000000000001" customHeight="1" thickTop="1">
      <c r="A7976" s="109" t="s">
        <v>22618</v>
      </c>
      <c r="B7976" s="28">
        <v>46121</v>
      </c>
      <c r="C7976" s="25">
        <v>2153</v>
      </c>
      <c r="D7976" s="13" t="s">
        <v>22764</v>
      </c>
      <c r="E7976" s="111"/>
      <c r="F7976" s="113" t="s">
        <v>22774</v>
      </c>
      <c r="G7976" s="114"/>
      <c r="H7976" s="115"/>
      <c r="I7976" s="24" t="s">
        <v>22775</v>
      </c>
      <c r="J7976" s="116">
        <v>4</v>
      </c>
      <c r="K7976" s="118">
        <v>256000</v>
      </c>
      <c r="L7976" s="119"/>
      <c r="M7976" s="118">
        <f t="shared" ref="M7976" si="11854">K7976*0.1</f>
        <v>25600</v>
      </c>
      <c r="N7976" s="119"/>
      <c r="O7976" s="118">
        <v>0</v>
      </c>
      <c r="P7976" s="119"/>
      <c r="Q7976" s="118">
        <v>7320</v>
      </c>
      <c r="R7976" s="119"/>
      <c r="S7976" s="118">
        <v>14300</v>
      </c>
      <c r="T7976" s="119"/>
      <c r="U7976" s="118">
        <f t="shared" ref="U7976" si="11855">SUM(K7976:T7977)</f>
        <v>303220</v>
      </c>
      <c r="V7976" s="122"/>
      <c r="W7976" s="124"/>
      <c r="X7976" s="126" t="s">
        <v>22776</v>
      </c>
      <c r="Y7976" s="127"/>
      <c r="Z7976" s="127"/>
      <c r="AA7976" s="127"/>
      <c r="AB7976" s="128"/>
      <c r="AC7976" s="15" t="s">
        <v>20</v>
      </c>
      <c r="AD7976" s="129" t="s">
        <v>22777</v>
      </c>
      <c r="AE7976" s="130"/>
      <c r="AF7976" s="130"/>
      <c r="AG7976" s="130"/>
      <c r="AH7976" s="130"/>
      <c r="AI7976" s="131"/>
      <c r="AJ7976" s="132"/>
      <c r="AK7976" s="127"/>
      <c r="AL7976" s="128"/>
      <c r="AM7976" s="21"/>
      <c r="AN7976" s="133">
        <v>46134</v>
      </c>
      <c r="AO7976" s="134"/>
      <c r="AP7976" s="135">
        <v>1014</v>
      </c>
      <c r="AQ7976" s="136"/>
      <c r="AR7976" s="118">
        <v>350000</v>
      </c>
      <c r="AS7976" s="119"/>
      <c r="AT7976" s="118">
        <f t="shared" ref="AT7976" si="11856">AR7976*0.1</f>
        <v>35000</v>
      </c>
      <c r="AU7976" s="119"/>
      <c r="AV7976" s="118">
        <v>7320</v>
      </c>
      <c r="AW7976" s="119"/>
      <c r="AX7976" s="118">
        <f t="shared" ref="AX7976" si="11857">SUM(AR7976:AW7976)</f>
        <v>392320</v>
      </c>
      <c r="AY7976" s="119"/>
      <c r="AZ7976" s="137">
        <v>46139</v>
      </c>
    </row>
    <row r="7977" spans="1:52" ht="17.100000000000001" customHeight="1" thickBot="1">
      <c r="A7977" s="110"/>
      <c r="B7977" s="27" t="s">
        <v>1940</v>
      </c>
      <c r="C7977" s="27">
        <v>262</v>
      </c>
      <c r="D7977" s="14" t="s">
        <v>22773</v>
      </c>
      <c r="E7977" s="112"/>
      <c r="F7977" s="139" t="s">
        <v>22655</v>
      </c>
      <c r="G7977" s="140"/>
      <c r="H7977" s="141"/>
      <c r="I7977" s="26">
        <v>41511</v>
      </c>
      <c r="J7977" s="117"/>
      <c r="K7977" s="120"/>
      <c r="L7977" s="121"/>
      <c r="M7977" s="120"/>
      <c r="N7977" s="121"/>
      <c r="O7977" s="120"/>
      <c r="P7977" s="121"/>
      <c r="Q7977" s="120"/>
      <c r="R7977" s="121"/>
      <c r="S7977" s="120"/>
      <c r="T7977" s="121"/>
      <c r="U7977" s="120"/>
      <c r="V7977" s="123"/>
      <c r="W7977" s="125"/>
      <c r="X7977" s="142" t="s">
        <v>23061</v>
      </c>
      <c r="Y7977" s="143"/>
      <c r="Z7977" s="143"/>
      <c r="AA7977" s="143"/>
      <c r="AB7977" s="144"/>
      <c r="AC7977" s="16" t="s">
        <v>21</v>
      </c>
      <c r="AD7977" s="17" t="s">
        <v>23033</v>
      </c>
      <c r="AE7977" s="145" t="s">
        <v>23019</v>
      </c>
      <c r="AF7977" s="146"/>
      <c r="AG7977" s="146"/>
      <c r="AH7977" s="146"/>
      <c r="AI7977" s="147"/>
      <c r="AJ7977" s="148"/>
      <c r="AK7977" s="143"/>
      <c r="AL7977" s="144"/>
      <c r="AM7977" s="22"/>
      <c r="AN7977" s="149" t="s">
        <v>23987</v>
      </c>
      <c r="AO7977" s="144"/>
      <c r="AP7977" s="148">
        <v>2061</v>
      </c>
      <c r="AQ7977" s="144"/>
      <c r="AR7977" s="120"/>
      <c r="AS7977" s="121"/>
      <c r="AT7977" s="120"/>
      <c r="AU7977" s="121"/>
      <c r="AV7977" s="120"/>
      <c r="AW7977" s="121"/>
      <c r="AX7977" s="120"/>
      <c r="AY7977" s="121"/>
      <c r="AZ7977" s="138"/>
    </row>
    <row r="7978" spans="1:52" ht="17.100000000000001" customHeight="1" thickTop="1">
      <c r="A7978" s="109" t="s">
        <v>22619</v>
      </c>
      <c r="B7978" s="28">
        <v>46121</v>
      </c>
      <c r="C7978" s="25">
        <v>2153</v>
      </c>
      <c r="D7978" s="13" t="s">
        <v>22778</v>
      </c>
      <c r="E7978" s="111"/>
      <c r="F7978" s="113" t="s">
        <v>22779</v>
      </c>
      <c r="G7978" s="114"/>
      <c r="H7978" s="115"/>
      <c r="I7978" s="24"/>
      <c r="J7978" s="116">
        <v>3.5</v>
      </c>
      <c r="K7978" s="118">
        <v>401000</v>
      </c>
      <c r="L7978" s="119"/>
      <c r="M7978" s="118">
        <f t="shared" ref="M7978" si="11858">K7978*0.1</f>
        <v>40100</v>
      </c>
      <c r="N7978" s="119"/>
      <c r="O7978" s="118">
        <v>0</v>
      </c>
      <c r="P7978" s="119"/>
      <c r="Q7978" s="118">
        <v>10070</v>
      </c>
      <c r="R7978" s="119"/>
      <c r="S7978" s="118">
        <v>14300</v>
      </c>
      <c r="T7978" s="119"/>
      <c r="U7978" s="118">
        <f t="shared" ref="U7978" si="11859">SUM(K7978:T7979)</f>
        <v>465470</v>
      </c>
      <c r="V7978" s="122"/>
      <c r="W7978" s="124"/>
      <c r="X7978" s="126" t="s">
        <v>23058</v>
      </c>
      <c r="Y7978" s="127"/>
      <c r="Z7978" s="127"/>
      <c r="AA7978" s="127"/>
      <c r="AB7978" s="128"/>
      <c r="AC7978" s="15" t="s">
        <v>20</v>
      </c>
      <c r="AD7978" s="129" t="s">
        <v>22780</v>
      </c>
      <c r="AE7978" s="130"/>
      <c r="AF7978" s="130"/>
      <c r="AG7978" s="130"/>
      <c r="AH7978" s="130"/>
      <c r="AI7978" s="131"/>
      <c r="AJ7978" s="132"/>
      <c r="AK7978" s="127"/>
      <c r="AL7978" s="128"/>
      <c r="AM7978" s="21"/>
      <c r="AN7978" s="133">
        <v>46134</v>
      </c>
      <c r="AO7978" s="134"/>
      <c r="AP7978" s="135">
        <v>1014</v>
      </c>
      <c r="AQ7978" s="136"/>
      <c r="AR7978" s="118">
        <v>515000</v>
      </c>
      <c r="AS7978" s="119"/>
      <c r="AT7978" s="118">
        <f t="shared" ref="AT7978" si="11860">AR7978*0.1</f>
        <v>51500</v>
      </c>
      <c r="AU7978" s="119"/>
      <c r="AV7978" s="118">
        <v>10070</v>
      </c>
      <c r="AW7978" s="119"/>
      <c r="AX7978" s="118">
        <f t="shared" ref="AX7978" si="11861">SUM(AR7978:AW7978)</f>
        <v>576570</v>
      </c>
      <c r="AY7978" s="119"/>
      <c r="AZ7978" s="137">
        <v>46139</v>
      </c>
    </row>
    <row r="7979" spans="1:52" ht="17.100000000000001" customHeight="1" thickBot="1">
      <c r="A7979" s="110"/>
      <c r="B7979" s="27" t="s">
        <v>1940</v>
      </c>
      <c r="C7979" s="27">
        <v>313</v>
      </c>
      <c r="D7979" s="14" t="s">
        <v>1720</v>
      </c>
      <c r="E7979" s="112"/>
      <c r="F7979" s="139" t="s">
        <v>22656</v>
      </c>
      <c r="G7979" s="140"/>
      <c r="H7979" s="141"/>
      <c r="I7979" s="26">
        <v>39393</v>
      </c>
      <c r="J7979" s="117"/>
      <c r="K7979" s="120"/>
      <c r="L7979" s="121"/>
      <c r="M7979" s="120"/>
      <c r="N7979" s="121"/>
      <c r="O7979" s="120"/>
      <c r="P7979" s="121"/>
      <c r="Q7979" s="120"/>
      <c r="R7979" s="121"/>
      <c r="S7979" s="120"/>
      <c r="T7979" s="121"/>
      <c r="U7979" s="120"/>
      <c r="V7979" s="123"/>
      <c r="W7979" s="125"/>
      <c r="X7979" s="142" t="s">
        <v>23059</v>
      </c>
      <c r="Y7979" s="143"/>
      <c r="Z7979" s="143"/>
      <c r="AA7979" s="143"/>
      <c r="AB7979" s="144"/>
      <c r="AC7979" s="16" t="s">
        <v>21</v>
      </c>
      <c r="AD7979" s="17" t="s">
        <v>23033</v>
      </c>
      <c r="AE7979" s="145" t="s">
        <v>23060</v>
      </c>
      <c r="AF7979" s="146"/>
      <c r="AG7979" s="146"/>
      <c r="AH7979" s="146"/>
      <c r="AI7979" s="147"/>
      <c r="AJ7979" s="148"/>
      <c r="AK7979" s="143"/>
      <c r="AL7979" s="144"/>
      <c r="AM7979" s="22"/>
      <c r="AN7979" s="149" t="s">
        <v>23987</v>
      </c>
      <c r="AO7979" s="144"/>
      <c r="AP7979" s="148">
        <v>2044</v>
      </c>
      <c r="AQ7979" s="144"/>
      <c r="AR7979" s="120"/>
      <c r="AS7979" s="121"/>
      <c r="AT7979" s="120"/>
      <c r="AU7979" s="121"/>
      <c r="AV7979" s="120"/>
      <c r="AW7979" s="121"/>
      <c r="AX7979" s="120"/>
      <c r="AY7979" s="121"/>
      <c r="AZ7979" s="138"/>
    </row>
    <row r="7980" spans="1:52" ht="17.100000000000001" customHeight="1" thickTop="1">
      <c r="A7980" s="109" t="s">
        <v>22620</v>
      </c>
      <c r="B7980" s="28">
        <v>46121</v>
      </c>
      <c r="C7980" s="25">
        <v>2153</v>
      </c>
      <c r="D7980" s="13" t="s">
        <v>22781</v>
      </c>
      <c r="E7980" s="111"/>
      <c r="F7980" s="113" t="s">
        <v>22782</v>
      </c>
      <c r="G7980" s="114"/>
      <c r="H7980" s="115"/>
      <c r="I7980" s="24"/>
      <c r="J7980" s="116">
        <v>4.5</v>
      </c>
      <c r="K7980" s="118">
        <v>958000</v>
      </c>
      <c r="L7980" s="119"/>
      <c r="M7980" s="118">
        <f t="shared" ref="M7980" si="11862">K7980*0.1</f>
        <v>95800</v>
      </c>
      <c r="N7980" s="119"/>
      <c r="O7980" s="118">
        <v>0</v>
      </c>
      <c r="P7980" s="119"/>
      <c r="Q7980" s="118">
        <v>7180</v>
      </c>
      <c r="R7980" s="119"/>
      <c r="S7980" s="118">
        <v>14300</v>
      </c>
      <c r="T7980" s="119"/>
      <c r="U7980" s="118">
        <f t="shared" ref="U7980" si="11863">SUM(K7980:T7981)</f>
        <v>1075280</v>
      </c>
      <c r="V7980" s="122"/>
      <c r="W7980" s="124"/>
      <c r="X7980" s="126" t="s">
        <v>23330</v>
      </c>
      <c r="Y7980" s="127"/>
      <c r="Z7980" s="127"/>
      <c r="AA7980" s="127"/>
      <c r="AB7980" s="128"/>
      <c r="AC7980" s="15" t="s">
        <v>20</v>
      </c>
      <c r="AD7980" s="129" t="s">
        <v>22783</v>
      </c>
      <c r="AE7980" s="130"/>
      <c r="AF7980" s="130"/>
      <c r="AG7980" s="130"/>
      <c r="AH7980" s="130"/>
      <c r="AI7980" s="131"/>
      <c r="AJ7980" s="132"/>
      <c r="AK7980" s="127"/>
      <c r="AL7980" s="128"/>
      <c r="AM7980" s="21"/>
      <c r="AN7980" s="133">
        <v>46141</v>
      </c>
      <c r="AO7980" s="134"/>
      <c r="AP7980" s="135">
        <v>1015</v>
      </c>
      <c r="AQ7980" s="136"/>
      <c r="AR7980" s="118">
        <v>1040000</v>
      </c>
      <c r="AS7980" s="119"/>
      <c r="AT7980" s="118">
        <f t="shared" ref="AT7980" si="11864">AR7980*0.1</f>
        <v>104000</v>
      </c>
      <c r="AU7980" s="119"/>
      <c r="AV7980" s="118">
        <v>7180</v>
      </c>
      <c r="AW7980" s="119"/>
      <c r="AX7980" s="118">
        <f t="shared" ref="AX7980" si="11865">SUM(AR7980:AW7980)</f>
        <v>1151180</v>
      </c>
      <c r="AY7980" s="119"/>
      <c r="AZ7980" s="137">
        <v>46153</v>
      </c>
    </row>
    <row r="7981" spans="1:52" ht="17.100000000000001" customHeight="1" thickBot="1">
      <c r="A7981" s="110"/>
      <c r="B7981" s="27" t="s">
        <v>1940</v>
      </c>
      <c r="C7981" s="27">
        <v>2127</v>
      </c>
      <c r="D7981" s="14" t="s">
        <v>22773</v>
      </c>
      <c r="E7981" s="112"/>
      <c r="F7981" s="139" t="s">
        <v>22657</v>
      </c>
      <c r="G7981" s="140"/>
      <c r="H7981" s="141"/>
      <c r="I7981" s="26">
        <v>39700</v>
      </c>
      <c r="J7981" s="117"/>
      <c r="K7981" s="120"/>
      <c r="L7981" s="121"/>
      <c r="M7981" s="120"/>
      <c r="N7981" s="121"/>
      <c r="O7981" s="120"/>
      <c r="P7981" s="121"/>
      <c r="Q7981" s="120"/>
      <c r="R7981" s="121"/>
      <c r="S7981" s="120"/>
      <c r="T7981" s="121"/>
      <c r="U7981" s="120"/>
      <c r="V7981" s="123"/>
      <c r="W7981" s="125"/>
      <c r="X7981" s="142" t="s">
        <v>23331</v>
      </c>
      <c r="Y7981" s="143"/>
      <c r="Z7981" s="143"/>
      <c r="AA7981" s="143"/>
      <c r="AB7981" s="144"/>
      <c r="AC7981" s="16" t="s">
        <v>21</v>
      </c>
      <c r="AD7981" s="17" t="s">
        <v>23320</v>
      </c>
      <c r="AE7981" s="145" t="s">
        <v>23325</v>
      </c>
      <c r="AF7981" s="146"/>
      <c r="AG7981" s="146"/>
      <c r="AH7981" s="146"/>
      <c r="AI7981" s="147"/>
      <c r="AJ7981" s="148"/>
      <c r="AK7981" s="143"/>
      <c r="AL7981" s="144"/>
      <c r="AM7981" s="22"/>
      <c r="AN7981" s="149" t="s">
        <v>2794</v>
      </c>
      <c r="AO7981" s="144"/>
      <c r="AP7981" s="148">
        <v>2020</v>
      </c>
      <c r="AQ7981" s="144"/>
      <c r="AR7981" s="120"/>
      <c r="AS7981" s="121"/>
      <c r="AT7981" s="120"/>
      <c r="AU7981" s="121"/>
      <c r="AV7981" s="120"/>
      <c r="AW7981" s="121"/>
      <c r="AX7981" s="120"/>
      <c r="AY7981" s="121"/>
      <c r="AZ7981" s="138"/>
    </row>
    <row r="7982" spans="1:52" ht="17.100000000000001" customHeight="1" thickTop="1">
      <c r="A7982" s="109" t="s">
        <v>22621</v>
      </c>
      <c r="B7982" s="28">
        <v>46121</v>
      </c>
      <c r="C7982" s="25">
        <v>2153</v>
      </c>
      <c r="D7982" s="13" t="s">
        <v>22784</v>
      </c>
      <c r="E7982" s="111"/>
      <c r="F7982" s="113" t="s">
        <v>22786</v>
      </c>
      <c r="G7982" s="114"/>
      <c r="H7982" s="115"/>
      <c r="I7982" s="24" t="s">
        <v>22787</v>
      </c>
      <c r="J7982" s="116">
        <v>4.5</v>
      </c>
      <c r="K7982" s="118">
        <v>667000</v>
      </c>
      <c r="L7982" s="119"/>
      <c r="M7982" s="118">
        <f t="shared" ref="M7982" si="11866">K7982*0.1</f>
        <v>66700</v>
      </c>
      <c r="N7982" s="119"/>
      <c r="O7982" s="118">
        <v>0</v>
      </c>
      <c r="P7982" s="119"/>
      <c r="Q7982" s="118">
        <v>8400</v>
      </c>
      <c r="R7982" s="119"/>
      <c r="S7982" s="118">
        <v>14300</v>
      </c>
      <c r="T7982" s="119"/>
      <c r="U7982" s="118">
        <f t="shared" ref="U7982" si="11867">SUM(K7982:T7983)</f>
        <v>756400</v>
      </c>
      <c r="V7982" s="122"/>
      <c r="W7982" s="124"/>
      <c r="X7982" s="126" t="s">
        <v>22788</v>
      </c>
      <c r="Y7982" s="127"/>
      <c r="Z7982" s="127"/>
      <c r="AA7982" s="127"/>
      <c r="AB7982" s="128"/>
      <c r="AC7982" s="15" t="s">
        <v>20</v>
      </c>
      <c r="AD7982" s="129"/>
      <c r="AE7982" s="130"/>
      <c r="AF7982" s="130"/>
      <c r="AG7982" s="130"/>
      <c r="AH7982" s="130"/>
      <c r="AI7982" s="131"/>
      <c r="AJ7982" s="132"/>
      <c r="AK7982" s="127"/>
      <c r="AL7982" s="128"/>
      <c r="AM7982" s="21"/>
      <c r="AN7982" s="133">
        <v>46127</v>
      </c>
      <c r="AO7982" s="134"/>
      <c r="AP7982" s="135">
        <v>1013</v>
      </c>
      <c r="AQ7982" s="136"/>
      <c r="AR7982" s="118">
        <v>720000</v>
      </c>
      <c r="AS7982" s="119"/>
      <c r="AT7982" s="118">
        <f t="shared" ref="AT7982" si="11868">AR7982*0.1</f>
        <v>72000</v>
      </c>
      <c r="AU7982" s="119"/>
      <c r="AV7982" s="118">
        <v>8400</v>
      </c>
      <c r="AW7982" s="119"/>
      <c r="AX7982" s="118">
        <f t="shared" ref="AX7982" si="11869">SUM(AR7982:AW7982)</f>
        <v>800400</v>
      </c>
      <c r="AY7982" s="119"/>
      <c r="AZ7982" s="137">
        <v>46132</v>
      </c>
    </row>
    <row r="7983" spans="1:52" ht="17.100000000000001" customHeight="1" thickBot="1">
      <c r="A7983" s="110"/>
      <c r="B7983" s="27" t="s">
        <v>1940</v>
      </c>
      <c r="C7983" s="27">
        <v>2506</v>
      </c>
      <c r="D7983" s="14" t="s">
        <v>22785</v>
      </c>
      <c r="E7983" s="112"/>
      <c r="F7983" s="139" t="s">
        <v>22658</v>
      </c>
      <c r="G7983" s="140"/>
      <c r="H7983" s="141"/>
      <c r="I7983" s="26">
        <v>41402</v>
      </c>
      <c r="J7983" s="117"/>
      <c r="K7983" s="120"/>
      <c r="L7983" s="121"/>
      <c r="M7983" s="120"/>
      <c r="N7983" s="121"/>
      <c r="O7983" s="120"/>
      <c r="P7983" s="121"/>
      <c r="Q7983" s="120"/>
      <c r="R7983" s="121"/>
      <c r="S7983" s="120"/>
      <c r="T7983" s="121"/>
      <c r="U7983" s="120"/>
      <c r="V7983" s="123"/>
      <c r="W7983" s="125"/>
      <c r="X7983" s="142" t="s">
        <v>1656</v>
      </c>
      <c r="Y7983" s="143"/>
      <c r="Z7983" s="143"/>
      <c r="AA7983" s="143"/>
      <c r="AB7983" s="144"/>
      <c r="AC7983" s="16" t="s">
        <v>21</v>
      </c>
      <c r="AD7983" s="17" t="s">
        <v>1952</v>
      </c>
      <c r="AE7983" s="145" t="s">
        <v>1690</v>
      </c>
      <c r="AF7983" s="146"/>
      <c r="AG7983" s="146"/>
      <c r="AH7983" s="146"/>
      <c r="AI7983" s="147"/>
      <c r="AJ7983" s="148"/>
      <c r="AK7983" s="143"/>
      <c r="AL7983" s="144"/>
      <c r="AM7983" s="22"/>
      <c r="AN7983" s="149" t="s">
        <v>2794</v>
      </c>
      <c r="AO7983" s="144"/>
      <c r="AP7983" s="148">
        <v>5092</v>
      </c>
      <c r="AQ7983" s="144"/>
      <c r="AR7983" s="120"/>
      <c r="AS7983" s="121"/>
      <c r="AT7983" s="120"/>
      <c r="AU7983" s="121"/>
      <c r="AV7983" s="120"/>
      <c r="AW7983" s="121"/>
      <c r="AX7983" s="120"/>
      <c r="AY7983" s="121"/>
      <c r="AZ7983" s="138"/>
    </row>
    <row r="7984" spans="1:52" ht="17.100000000000001" customHeight="1" thickTop="1">
      <c r="A7984" s="109" t="s">
        <v>22622</v>
      </c>
      <c r="B7984" s="28">
        <v>46121</v>
      </c>
      <c r="C7984" s="25">
        <v>2153</v>
      </c>
      <c r="D7984" s="13" t="s">
        <v>22789</v>
      </c>
      <c r="E7984" s="111"/>
      <c r="F7984" s="113" t="s">
        <v>22791</v>
      </c>
      <c r="G7984" s="114"/>
      <c r="H7984" s="115"/>
      <c r="I7984" s="24"/>
      <c r="J7984" s="116">
        <v>4</v>
      </c>
      <c r="K7984" s="118">
        <v>412000</v>
      </c>
      <c r="L7984" s="119"/>
      <c r="M7984" s="118">
        <f t="shared" ref="M7984" si="11870">K7984*0.1</f>
        <v>41200</v>
      </c>
      <c r="N7984" s="119"/>
      <c r="O7984" s="118">
        <v>0</v>
      </c>
      <c r="P7984" s="119"/>
      <c r="Q7984" s="118">
        <v>8430</v>
      </c>
      <c r="R7984" s="119"/>
      <c r="S7984" s="118">
        <v>14300</v>
      </c>
      <c r="T7984" s="119"/>
      <c r="U7984" s="118">
        <f t="shared" ref="U7984" si="11871">SUM(K7984:T7985)</f>
        <v>475930</v>
      </c>
      <c r="V7984" s="122"/>
      <c r="W7984" s="124"/>
      <c r="X7984" s="126" t="s">
        <v>23046</v>
      </c>
      <c r="Y7984" s="127"/>
      <c r="Z7984" s="127"/>
      <c r="AA7984" s="127"/>
      <c r="AB7984" s="128"/>
      <c r="AC7984" s="15" t="s">
        <v>20</v>
      </c>
      <c r="AD7984" s="129"/>
      <c r="AE7984" s="130"/>
      <c r="AF7984" s="130"/>
      <c r="AG7984" s="130"/>
      <c r="AH7984" s="130"/>
      <c r="AI7984" s="131"/>
      <c r="AJ7984" s="132"/>
      <c r="AK7984" s="127"/>
      <c r="AL7984" s="128"/>
      <c r="AM7984" s="21"/>
      <c r="AN7984" s="133">
        <v>46127</v>
      </c>
      <c r="AO7984" s="134"/>
      <c r="AP7984" s="135">
        <v>1013</v>
      </c>
      <c r="AQ7984" s="136"/>
      <c r="AR7984" s="118">
        <v>500000</v>
      </c>
      <c r="AS7984" s="119"/>
      <c r="AT7984" s="118">
        <f t="shared" ref="AT7984" si="11872">AR7984*0.1</f>
        <v>50000</v>
      </c>
      <c r="AU7984" s="119"/>
      <c r="AV7984" s="118">
        <v>8430</v>
      </c>
      <c r="AW7984" s="119"/>
      <c r="AX7984" s="118">
        <f t="shared" ref="AX7984" si="11873">SUM(AR7984:AW7984)</f>
        <v>558430</v>
      </c>
      <c r="AY7984" s="119"/>
      <c r="AZ7984" s="137">
        <v>46135</v>
      </c>
    </row>
    <row r="7985" spans="1:52" ht="17.100000000000001" customHeight="1" thickBot="1">
      <c r="A7985" s="110"/>
      <c r="B7985" s="27" t="s">
        <v>1940</v>
      </c>
      <c r="C7985" s="27">
        <v>2520</v>
      </c>
      <c r="D7985" s="14" t="s">
        <v>22790</v>
      </c>
      <c r="E7985" s="112"/>
      <c r="F7985" s="139" t="s">
        <v>22659</v>
      </c>
      <c r="G7985" s="140"/>
      <c r="H7985" s="141"/>
      <c r="I7985" s="26">
        <v>16062</v>
      </c>
      <c r="J7985" s="117"/>
      <c r="K7985" s="120"/>
      <c r="L7985" s="121"/>
      <c r="M7985" s="120"/>
      <c r="N7985" s="121"/>
      <c r="O7985" s="120"/>
      <c r="P7985" s="121"/>
      <c r="Q7985" s="120"/>
      <c r="R7985" s="121"/>
      <c r="S7985" s="120"/>
      <c r="T7985" s="121"/>
      <c r="U7985" s="120"/>
      <c r="V7985" s="123"/>
      <c r="W7985" s="125"/>
      <c r="X7985" s="142" t="s">
        <v>23047</v>
      </c>
      <c r="Y7985" s="143"/>
      <c r="Z7985" s="143"/>
      <c r="AA7985" s="143"/>
      <c r="AB7985" s="144"/>
      <c r="AC7985" s="16" t="s">
        <v>21</v>
      </c>
      <c r="AD7985" s="17" t="s">
        <v>23033</v>
      </c>
      <c r="AE7985" s="145"/>
      <c r="AF7985" s="146"/>
      <c r="AG7985" s="146"/>
      <c r="AH7985" s="146"/>
      <c r="AI7985" s="147"/>
      <c r="AJ7985" s="148"/>
      <c r="AK7985" s="143"/>
      <c r="AL7985" s="144"/>
      <c r="AM7985" s="22"/>
      <c r="AN7985" s="149" t="s">
        <v>7285</v>
      </c>
      <c r="AO7985" s="144"/>
      <c r="AP7985" s="148">
        <v>5105</v>
      </c>
      <c r="AQ7985" s="144"/>
      <c r="AR7985" s="120"/>
      <c r="AS7985" s="121"/>
      <c r="AT7985" s="120"/>
      <c r="AU7985" s="121"/>
      <c r="AV7985" s="120"/>
      <c r="AW7985" s="121"/>
      <c r="AX7985" s="120"/>
      <c r="AY7985" s="121"/>
      <c r="AZ7985" s="138"/>
    </row>
    <row r="7986" spans="1:52" ht="17.100000000000001" customHeight="1" thickTop="1">
      <c r="A7986" s="109" t="s">
        <v>22623</v>
      </c>
      <c r="B7986" s="28">
        <v>46121</v>
      </c>
      <c r="C7986" s="25">
        <v>2153</v>
      </c>
      <c r="D7986" s="13" t="s">
        <v>22789</v>
      </c>
      <c r="E7986" s="111"/>
      <c r="F7986" s="113" t="s">
        <v>22793</v>
      </c>
      <c r="G7986" s="114"/>
      <c r="H7986" s="115"/>
      <c r="I7986" s="24"/>
      <c r="J7986" s="116">
        <v>4</v>
      </c>
      <c r="K7986" s="118">
        <v>487000</v>
      </c>
      <c r="L7986" s="119"/>
      <c r="M7986" s="118">
        <f t="shared" ref="M7986" si="11874">K7986*0.1</f>
        <v>48700</v>
      </c>
      <c r="N7986" s="119"/>
      <c r="O7986" s="118">
        <v>0</v>
      </c>
      <c r="P7986" s="119"/>
      <c r="Q7986" s="118">
        <v>9200</v>
      </c>
      <c r="R7986" s="119"/>
      <c r="S7986" s="118">
        <v>14300</v>
      </c>
      <c r="T7986" s="119"/>
      <c r="U7986" s="118">
        <f t="shared" ref="U7986" si="11875">SUM(K7986:T7987)</f>
        <v>559200</v>
      </c>
      <c r="V7986" s="122"/>
      <c r="W7986" s="124"/>
      <c r="X7986" s="126" t="s">
        <v>23049</v>
      </c>
      <c r="Y7986" s="127"/>
      <c r="Z7986" s="127"/>
      <c r="AA7986" s="127"/>
      <c r="AB7986" s="128"/>
      <c r="AC7986" s="15" t="s">
        <v>20</v>
      </c>
      <c r="AD7986" s="129"/>
      <c r="AE7986" s="130"/>
      <c r="AF7986" s="130"/>
      <c r="AG7986" s="130"/>
      <c r="AH7986" s="130"/>
      <c r="AI7986" s="131"/>
      <c r="AJ7986" s="132"/>
      <c r="AK7986" s="127"/>
      <c r="AL7986" s="128"/>
      <c r="AM7986" s="21"/>
      <c r="AN7986" s="133">
        <v>46134</v>
      </c>
      <c r="AO7986" s="134"/>
      <c r="AP7986" s="135">
        <v>1014</v>
      </c>
      <c r="AQ7986" s="136"/>
      <c r="AR7986" s="118">
        <v>565000</v>
      </c>
      <c r="AS7986" s="119"/>
      <c r="AT7986" s="118">
        <f t="shared" ref="AT7986" si="11876">AR7986*0.1</f>
        <v>56500</v>
      </c>
      <c r="AU7986" s="119"/>
      <c r="AV7986" s="118">
        <v>9200</v>
      </c>
      <c r="AW7986" s="119"/>
      <c r="AX7986" s="118">
        <f t="shared" ref="AX7986" si="11877">SUM(AR7986:AW7986)</f>
        <v>630700</v>
      </c>
      <c r="AY7986" s="119"/>
      <c r="AZ7986" s="137">
        <v>46139</v>
      </c>
    </row>
    <row r="7987" spans="1:52" ht="17.100000000000001" customHeight="1" thickBot="1">
      <c r="A7987" s="110"/>
      <c r="B7987" s="27" t="s">
        <v>1940</v>
      </c>
      <c r="C7987" s="27">
        <v>2524</v>
      </c>
      <c r="D7987" s="14" t="s">
        <v>22792</v>
      </c>
      <c r="E7987" s="112"/>
      <c r="F7987" s="139" t="s">
        <v>22660</v>
      </c>
      <c r="G7987" s="140"/>
      <c r="H7987" s="141"/>
      <c r="I7987" s="26">
        <v>7280</v>
      </c>
      <c r="J7987" s="117"/>
      <c r="K7987" s="120"/>
      <c r="L7987" s="121"/>
      <c r="M7987" s="120"/>
      <c r="N7987" s="121"/>
      <c r="O7987" s="120"/>
      <c r="P7987" s="121"/>
      <c r="Q7987" s="120"/>
      <c r="R7987" s="121"/>
      <c r="S7987" s="120"/>
      <c r="T7987" s="121"/>
      <c r="U7987" s="120"/>
      <c r="V7987" s="123"/>
      <c r="W7987" s="125"/>
      <c r="X7987" s="142" t="s">
        <v>23048</v>
      </c>
      <c r="Y7987" s="143"/>
      <c r="Z7987" s="143"/>
      <c r="AA7987" s="143"/>
      <c r="AB7987" s="144"/>
      <c r="AC7987" s="16" t="s">
        <v>21</v>
      </c>
      <c r="AD7987" s="17" t="s">
        <v>23033</v>
      </c>
      <c r="AE7987" s="145"/>
      <c r="AF7987" s="146"/>
      <c r="AG7987" s="146"/>
      <c r="AH7987" s="146"/>
      <c r="AI7987" s="147"/>
      <c r="AJ7987" s="148"/>
      <c r="AK7987" s="143"/>
      <c r="AL7987" s="144"/>
      <c r="AM7987" s="22"/>
      <c r="AN7987" s="149" t="s">
        <v>23987</v>
      </c>
      <c r="AO7987" s="144"/>
      <c r="AP7987" s="148">
        <v>2060</v>
      </c>
      <c r="AQ7987" s="144"/>
      <c r="AR7987" s="120"/>
      <c r="AS7987" s="121"/>
      <c r="AT7987" s="120"/>
      <c r="AU7987" s="121"/>
      <c r="AV7987" s="120"/>
      <c r="AW7987" s="121"/>
      <c r="AX7987" s="120"/>
      <c r="AY7987" s="121"/>
      <c r="AZ7987" s="138"/>
    </row>
    <row r="7988" spans="1:52" ht="17.100000000000001" customHeight="1" thickTop="1">
      <c r="A7988" s="109" t="s">
        <v>22624</v>
      </c>
      <c r="B7988" s="28">
        <v>46121</v>
      </c>
      <c r="C7988" s="25">
        <v>2153</v>
      </c>
      <c r="D7988" s="13" t="s">
        <v>22794</v>
      </c>
      <c r="E7988" s="111"/>
      <c r="F7988" s="113" t="s">
        <v>22796</v>
      </c>
      <c r="G7988" s="114"/>
      <c r="H7988" s="115"/>
      <c r="I7988" s="24"/>
      <c r="J7988" s="116">
        <v>4.5</v>
      </c>
      <c r="K7988" s="118">
        <v>855000</v>
      </c>
      <c r="L7988" s="119"/>
      <c r="M7988" s="118">
        <f t="shared" ref="M7988" si="11878">K7988*0.1</f>
        <v>85500</v>
      </c>
      <c r="N7988" s="119"/>
      <c r="O7988" s="118">
        <v>0</v>
      </c>
      <c r="P7988" s="119"/>
      <c r="Q7988" s="118">
        <v>8400</v>
      </c>
      <c r="R7988" s="119"/>
      <c r="S7988" s="118">
        <v>14300</v>
      </c>
      <c r="T7988" s="119"/>
      <c r="U7988" s="118">
        <f t="shared" ref="U7988" si="11879">SUM(K7988:T7989)</f>
        <v>963200</v>
      </c>
      <c r="V7988" s="122"/>
      <c r="W7988" s="124"/>
      <c r="X7988" s="126" t="s">
        <v>23055</v>
      </c>
      <c r="Y7988" s="127"/>
      <c r="Z7988" s="127"/>
      <c r="AA7988" s="127"/>
      <c r="AB7988" s="128"/>
      <c r="AC7988" s="15" t="s">
        <v>20</v>
      </c>
      <c r="AD7988" s="129" t="s">
        <v>22797</v>
      </c>
      <c r="AE7988" s="130"/>
      <c r="AF7988" s="130"/>
      <c r="AG7988" s="130"/>
      <c r="AH7988" s="130"/>
      <c r="AI7988" s="131"/>
      <c r="AJ7988" s="132"/>
      <c r="AK7988" s="127"/>
      <c r="AL7988" s="128"/>
      <c r="AM7988" s="21"/>
      <c r="AN7988" s="133">
        <v>46127</v>
      </c>
      <c r="AO7988" s="134"/>
      <c r="AP7988" s="135">
        <v>1013</v>
      </c>
      <c r="AQ7988" s="136"/>
      <c r="AR7988" s="118">
        <v>940000</v>
      </c>
      <c r="AS7988" s="119"/>
      <c r="AT7988" s="118">
        <f t="shared" ref="AT7988" si="11880">AR7988*0.1</f>
        <v>94000</v>
      </c>
      <c r="AU7988" s="119"/>
      <c r="AV7988" s="118">
        <v>8400</v>
      </c>
      <c r="AW7988" s="119"/>
      <c r="AX7988" s="118">
        <f t="shared" ref="AX7988" si="11881">SUM(AR7988:AW7988)</f>
        <v>1042400</v>
      </c>
      <c r="AY7988" s="119"/>
      <c r="AZ7988" s="137">
        <v>46132</v>
      </c>
    </row>
    <row r="7989" spans="1:52" ht="17.100000000000001" customHeight="1" thickBot="1">
      <c r="A7989" s="110"/>
      <c r="B7989" s="27" t="s">
        <v>1940</v>
      </c>
      <c r="C7989" s="27">
        <v>2534</v>
      </c>
      <c r="D7989" s="14" t="s">
        <v>22795</v>
      </c>
      <c r="E7989" s="112"/>
      <c r="F7989" s="139" t="s">
        <v>22661</v>
      </c>
      <c r="G7989" s="140"/>
      <c r="H7989" s="141"/>
      <c r="I7989" s="26">
        <v>5495</v>
      </c>
      <c r="J7989" s="117"/>
      <c r="K7989" s="120"/>
      <c r="L7989" s="121"/>
      <c r="M7989" s="120"/>
      <c r="N7989" s="121"/>
      <c r="O7989" s="120"/>
      <c r="P7989" s="121"/>
      <c r="Q7989" s="120"/>
      <c r="R7989" s="121"/>
      <c r="S7989" s="120"/>
      <c r="T7989" s="121"/>
      <c r="U7989" s="120"/>
      <c r="V7989" s="123"/>
      <c r="W7989" s="125"/>
      <c r="X7989" s="142" t="s">
        <v>23056</v>
      </c>
      <c r="Y7989" s="143"/>
      <c r="Z7989" s="143"/>
      <c r="AA7989" s="143"/>
      <c r="AB7989" s="144"/>
      <c r="AC7989" s="16" t="s">
        <v>21</v>
      </c>
      <c r="AD7989" s="17" t="s">
        <v>23033</v>
      </c>
      <c r="AE7989" s="145" t="s">
        <v>23057</v>
      </c>
      <c r="AF7989" s="146"/>
      <c r="AG7989" s="146"/>
      <c r="AH7989" s="146"/>
      <c r="AI7989" s="147"/>
      <c r="AJ7989" s="148"/>
      <c r="AK7989" s="143"/>
      <c r="AL7989" s="144"/>
      <c r="AM7989" s="22"/>
      <c r="AN7989" s="149" t="s">
        <v>2794</v>
      </c>
      <c r="AO7989" s="144"/>
      <c r="AP7989" s="148">
        <v>5097</v>
      </c>
      <c r="AQ7989" s="144"/>
      <c r="AR7989" s="120"/>
      <c r="AS7989" s="121"/>
      <c r="AT7989" s="120"/>
      <c r="AU7989" s="121"/>
      <c r="AV7989" s="120"/>
      <c r="AW7989" s="121"/>
      <c r="AX7989" s="120"/>
      <c r="AY7989" s="121"/>
      <c r="AZ7989" s="138"/>
    </row>
    <row r="7990" spans="1:52" ht="17.100000000000001" customHeight="1" thickTop="1">
      <c r="A7990" s="109" t="s">
        <v>22625</v>
      </c>
      <c r="B7990" s="28">
        <v>46121</v>
      </c>
      <c r="C7990" s="25">
        <v>2153</v>
      </c>
      <c r="D7990" s="13" t="s">
        <v>22799</v>
      </c>
      <c r="E7990" s="111"/>
      <c r="F7990" s="113" t="s">
        <v>22800</v>
      </c>
      <c r="G7990" s="114"/>
      <c r="H7990" s="115"/>
      <c r="I7990" s="24" t="s">
        <v>22801</v>
      </c>
      <c r="J7990" s="116">
        <v>4.5</v>
      </c>
      <c r="K7990" s="118">
        <v>1157000</v>
      </c>
      <c r="L7990" s="119"/>
      <c r="M7990" s="118">
        <f t="shared" ref="M7990" si="11882">K7990*0.1</f>
        <v>115700</v>
      </c>
      <c r="N7990" s="119"/>
      <c r="O7990" s="118">
        <v>0</v>
      </c>
      <c r="P7990" s="119"/>
      <c r="Q7990" s="118">
        <v>8790</v>
      </c>
      <c r="R7990" s="119"/>
      <c r="S7990" s="118">
        <v>14300</v>
      </c>
      <c r="T7990" s="119"/>
      <c r="U7990" s="118">
        <f t="shared" ref="U7990" si="11883">SUM(K7990:T7991)</f>
        <v>1295790</v>
      </c>
      <c r="V7990" s="122"/>
      <c r="W7990" s="124"/>
      <c r="X7990" s="126" t="s">
        <v>23052</v>
      </c>
      <c r="Y7990" s="127"/>
      <c r="Z7990" s="127"/>
      <c r="AA7990" s="127"/>
      <c r="AB7990" s="128"/>
      <c r="AC7990" s="15" t="s">
        <v>20</v>
      </c>
      <c r="AD7990" s="129" t="s">
        <v>22802</v>
      </c>
      <c r="AE7990" s="130"/>
      <c r="AF7990" s="130"/>
      <c r="AG7990" s="130"/>
      <c r="AH7990" s="130"/>
      <c r="AI7990" s="131"/>
      <c r="AJ7990" s="132"/>
      <c r="AK7990" s="127"/>
      <c r="AL7990" s="128"/>
      <c r="AM7990" s="21"/>
      <c r="AN7990" s="133">
        <v>46141</v>
      </c>
      <c r="AO7990" s="134"/>
      <c r="AP7990" s="135">
        <v>1015</v>
      </c>
      <c r="AQ7990" s="136"/>
      <c r="AR7990" s="118">
        <v>1190000</v>
      </c>
      <c r="AS7990" s="119"/>
      <c r="AT7990" s="118">
        <f t="shared" ref="AT7990" si="11884">AR7990*0.1</f>
        <v>119000</v>
      </c>
      <c r="AU7990" s="119"/>
      <c r="AV7990" s="118">
        <v>8790</v>
      </c>
      <c r="AW7990" s="119"/>
      <c r="AX7990" s="118">
        <f t="shared" ref="AX7990" si="11885">SUM(AR7990:AW7990)</f>
        <v>1317790</v>
      </c>
      <c r="AY7990" s="119"/>
      <c r="AZ7990" s="137">
        <v>46153</v>
      </c>
    </row>
    <row r="7991" spans="1:52" ht="17.100000000000001" customHeight="1" thickBot="1">
      <c r="A7991" s="110"/>
      <c r="B7991" s="27" t="s">
        <v>1940</v>
      </c>
      <c r="C7991" s="27">
        <v>2586</v>
      </c>
      <c r="D7991" s="14" t="s">
        <v>2800</v>
      </c>
      <c r="E7991" s="112"/>
      <c r="F7991" s="139" t="s">
        <v>22662</v>
      </c>
      <c r="G7991" s="140"/>
      <c r="H7991" s="141"/>
      <c r="I7991" s="26">
        <v>5208</v>
      </c>
      <c r="J7991" s="117"/>
      <c r="K7991" s="120"/>
      <c r="L7991" s="121"/>
      <c r="M7991" s="120"/>
      <c r="N7991" s="121"/>
      <c r="O7991" s="120"/>
      <c r="P7991" s="121"/>
      <c r="Q7991" s="120"/>
      <c r="R7991" s="121"/>
      <c r="S7991" s="120"/>
      <c r="T7991" s="121"/>
      <c r="U7991" s="120"/>
      <c r="V7991" s="123"/>
      <c r="W7991" s="125"/>
      <c r="X7991" s="142" t="s">
        <v>23053</v>
      </c>
      <c r="Y7991" s="143"/>
      <c r="Z7991" s="143"/>
      <c r="AA7991" s="143"/>
      <c r="AB7991" s="144"/>
      <c r="AC7991" s="16" t="s">
        <v>21</v>
      </c>
      <c r="AD7991" s="17" t="s">
        <v>23033</v>
      </c>
      <c r="AE7991" s="145" t="s">
        <v>23054</v>
      </c>
      <c r="AF7991" s="146"/>
      <c r="AG7991" s="146"/>
      <c r="AH7991" s="146"/>
      <c r="AI7991" s="147"/>
      <c r="AJ7991" s="148"/>
      <c r="AK7991" s="143"/>
      <c r="AL7991" s="144"/>
      <c r="AM7991" s="22"/>
      <c r="AN7991" s="149" t="s">
        <v>2794</v>
      </c>
      <c r="AO7991" s="144"/>
      <c r="AP7991" s="148">
        <v>5149</v>
      </c>
      <c r="AQ7991" s="144"/>
      <c r="AR7991" s="120"/>
      <c r="AS7991" s="121"/>
      <c r="AT7991" s="120"/>
      <c r="AU7991" s="121"/>
      <c r="AV7991" s="120"/>
      <c r="AW7991" s="121"/>
      <c r="AX7991" s="120"/>
      <c r="AY7991" s="121"/>
      <c r="AZ7991" s="138"/>
    </row>
    <row r="7992" spans="1:52" ht="17.100000000000001" customHeight="1" thickTop="1">
      <c r="A7992" s="109" t="s">
        <v>22626</v>
      </c>
      <c r="B7992" s="28">
        <v>46121</v>
      </c>
      <c r="C7992" s="25">
        <v>2153</v>
      </c>
      <c r="D7992" s="13" t="s">
        <v>22798</v>
      </c>
      <c r="E7992" s="111"/>
      <c r="F7992" s="113" t="s">
        <v>22803</v>
      </c>
      <c r="G7992" s="114"/>
      <c r="H7992" s="115"/>
      <c r="I7992" s="24"/>
      <c r="J7992" s="116">
        <v>4</v>
      </c>
      <c r="K7992" s="118">
        <v>581000</v>
      </c>
      <c r="L7992" s="119"/>
      <c r="M7992" s="118">
        <f t="shared" ref="M7992" si="11886">K7992*0.1</f>
        <v>58100</v>
      </c>
      <c r="N7992" s="119"/>
      <c r="O7992" s="118">
        <v>0</v>
      </c>
      <c r="P7992" s="119"/>
      <c r="Q7992" s="118">
        <v>8400</v>
      </c>
      <c r="R7992" s="119"/>
      <c r="S7992" s="118">
        <v>14300</v>
      </c>
      <c r="T7992" s="119"/>
      <c r="U7992" s="118">
        <f t="shared" ref="U7992" si="11887">SUM(K7992:T7993)</f>
        <v>661800</v>
      </c>
      <c r="V7992" s="122"/>
      <c r="W7992" s="124"/>
      <c r="X7992" s="126" t="s">
        <v>23433</v>
      </c>
      <c r="Y7992" s="127"/>
      <c r="Z7992" s="127"/>
      <c r="AA7992" s="127"/>
      <c r="AB7992" s="128"/>
      <c r="AC7992" s="15" t="s">
        <v>20</v>
      </c>
      <c r="AD7992" s="129"/>
      <c r="AE7992" s="130"/>
      <c r="AF7992" s="130"/>
      <c r="AG7992" s="130"/>
      <c r="AH7992" s="130"/>
      <c r="AI7992" s="131"/>
      <c r="AJ7992" s="132"/>
      <c r="AK7992" s="127"/>
      <c r="AL7992" s="128"/>
      <c r="AM7992" s="21"/>
      <c r="AN7992" s="133">
        <v>46127</v>
      </c>
      <c r="AO7992" s="134"/>
      <c r="AP7992" s="135">
        <v>1013</v>
      </c>
      <c r="AQ7992" s="136"/>
      <c r="AR7992" s="118">
        <v>645000</v>
      </c>
      <c r="AS7992" s="119"/>
      <c r="AT7992" s="118">
        <f t="shared" ref="AT7992" si="11888">AR7992*0.1</f>
        <v>64500</v>
      </c>
      <c r="AU7992" s="119"/>
      <c r="AV7992" s="118">
        <v>8400</v>
      </c>
      <c r="AW7992" s="119"/>
      <c r="AX7992" s="118">
        <f t="shared" ref="AX7992" si="11889">SUM(AR7992:AW7992)</f>
        <v>717900</v>
      </c>
      <c r="AY7992" s="119"/>
      <c r="AZ7992" s="137">
        <v>46133</v>
      </c>
    </row>
    <row r="7993" spans="1:52" ht="17.100000000000001" customHeight="1" thickBot="1">
      <c r="A7993" s="110"/>
      <c r="B7993" s="27" t="s">
        <v>1940</v>
      </c>
      <c r="C7993" s="27">
        <v>2625</v>
      </c>
      <c r="D7993" s="14" t="s">
        <v>22795</v>
      </c>
      <c r="E7993" s="112"/>
      <c r="F7993" s="139" t="s">
        <v>22663</v>
      </c>
      <c r="G7993" s="140"/>
      <c r="H7993" s="141"/>
      <c r="I7993" s="26">
        <v>7977</v>
      </c>
      <c r="J7993" s="117"/>
      <c r="K7993" s="120"/>
      <c r="L7993" s="121"/>
      <c r="M7993" s="120"/>
      <c r="N7993" s="121"/>
      <c r="O7993" s="120"/>
      <c r="P7993" s="121"/>
      <c r="Q7993" s="120"/>
      <c r="R7993" s="121"/>
      <c r="S7993" s="120"/>
      <c r="T7993" s="121"/>
      <c r="U7993" s="120"/>
      <c r="V7993" s="123"/>
      <c r="W7993" s="125"/>
      <c r="X7993" s="142" t="s">
        <v>4389</v>
      </c>
      <c r="Y7993" s="143"/>
      <c r="Z7993" s="143"/>
      <c r="AA7993" s="143"/>
      <c r="AB7993" s="144"/>
      <c r="AC7993" s="16" t="s">
        <v>21</v>
      </c>
      <c r="AD7993" s="17" t="s">
        <v>3711</v>
      </c>
      <c r="AE7993" s="145"/>
      <c r="AF7993" s="146"/>
      <c r="AG7993" s="146"/>
      <c r="AH7993" s="146"/>
      <c r="AI7993" s="147"/>
      <c r="AJ7993" s="148"/>
      <c r="AK7993" s="143"/>
      <c r="AL7993" s="144"/>
      <c r="AM7993" s="22"/>
      <c r="AN7993" s="149" t="s">
        <v>2794</v>
      </c>
      <c r="AO7993" s="144"/>
      <c r="AP7993" s="148">
        <v>5201</v>
      </c>
      <c r="AQ7993" s="144"/>
      <c r="AR7993" s="120"/>
      <c r="AS7993" s="121"/>
      <c r="AT7993" s="120"/>
      <c r="AU7993" s="121"/>
      <c r="AV7993" s="120"/>
      <c r="AW7993" s="121"/>
      <c r="AX7993" s="120"/>
      <c r="AY7993" s="121"/>
      <c r="AZ7993" s="138"/>
    </row>
    <row r="7994" spans="1:52" ht="17.100000000000001" customHeight="1" thickTop="1">
      <c r="A7994" s="109" t="s">
        <v>22627</v>
      </c>
      <c r="B7994" s="28">
        <v>46121</v>
      </c>
      <c r="C7994" s="25">
        <v>2153</v>
      </c>
      <c r="D7994" s="13" t="s">
        <v>22804</v>
      </c>
      <c r="E7994" s="111"/>
      <c r="F7994" s="113" t="s">
        <v>22805</v>
      </c>
      <c r="G7994" s="114"/>
      <c r="H7994" s="115"/>
      <c r="I7994" s="24"/>
      <c r="J7994" s="116">
        <v>4.5</v>
      </c>
      <c r="K7994" s="118">
        <v>857000</v>
      </c>
      <c r="L7994" s="119"/>
      <c r="M7994" s="118">
        <f t="shared" ref="M7994" si="11890">K7994*0.1</f>
        <v>85700</v>
      </c>
      <c r="N7994" s="119"/>
      <c r="O7994" s="118">
        <v>0</v>
      </c>
      <c r="P7994" s="119"/>
      <c r="Q7994" s="118">
        <v>8740</v>
      </c>
      <c r="R7994" s="119"/>
      <c r="S7994" s="118">
        <v>14300</v>
      </c>
      <c r="T7994" s="119"/>
      <c r="U7994" s="118">
        <f t="shared" ref="U7994" si="11891">SUM(K7994:T7995)</f>
        <v>965740</v>
      </c>
      <c r="V7994" s="122"/>
      <c r="W7994" s="124"/>
      <c r="X7994" s="126" t="s">
        <v>23231</v>
      </c>
      <c r="Y7994" s="127"/>
      <c r="Z7994" s="127"/>
      <c r="AA7994" s="127"/>
      <c r="AB7994" s="128"/>
      <c r="AC7994" s="15" t="s">
        <v>20</v>
      </c>
      <c r="AD7994" s="129" t="s">
        <v>22806</v>
      </c>
      <c r="AE7994" s="130"/>
      <c r="AF7994" s="130"/>
      <c r="AG7994" s="130"/>
      <c r="AH7994" s="130"/>
      <c r="AI7994" s="131"/>
      <c r="AJ7994" s="132"/>
      <c r="AK7994" s="127"/>
      <c r="AL7994" s="128"/>
      <c r="AM7994" s="21"/>
      <c r="AN7994" s="133">
        <v>46127</v>
      </c>
      <c r="AO7994" s="134"/>
      <c r="AP7994" s="135">
        <v>1013</v>
      </c>
      <c r="AQ7994" s="136"/>
      <c r="AR7994" s="118">
        <v>885000</v>
      </c>
      <c r="AS7994" s="119"/>
      <c r="AT7994" s="118">
        <f t="shared" ref="AT7994" si="11892">AR7994*0.1</f>
        <v>88500</v>
      </c>
      <c r="AU7994" s="119"/>
      <c r="AV7994" s="118">
        <v>8740</v>
      </c>
      <c r="AW7994" s="119"/>
      <c r="AX7994" s="118">
        <f t="shared" ref="AX7994" si="11893">SUM(AR7994:AW7994)</f>
        <v>982240</v>
      </c>
      <c r="AY7994" s="119"/>
      <c r="AZ7994" s="137">
        <v>46132</v>
      </c>
    </row>
    <row r="7995" spans="1:52" ht="17.100000000000001" customHeight="1" thickBot="1">
      <c r="A7995" s="110"/>
      <c r="B7995" s="27" t="s">
        <v>1940</v>
      </c>
      <c r="C7995" s="27">
        <v>2636</v>
      </c>
      <c r="D7995" s="14" t="s">
        <v>2601</v>
      </c>
      <c r="E7995" s="112"/>
      <c r="F7995" s="139" t="s">
        <v>22664</v>
      </c>
      <c r="G7995" s="140"/>
      <c r="H7995" s="141"/>
      <c r="I7995" s="26">
        <v>47196</v>
      </c>
      <c r="J7995" s="117"/>
      <c r="K7995" s="120"/>
      <c r="L7995" s="121"/>
      <c r="M7995" s="120"/>
      <c r="N7995" s="121"/>
      <c r="O7995" s="120"/>
      <c r="P7995" s="121"/>
      <c r="Q7995" s="120"/>
      <c r="R7995" s="121"/>
      <c r="S7995" s="120"/>
      <c r="T7995" s="121"/>
      <c r="U7995" s="120"/>
      <c r="V7995" s="123"/>
      <c r="W7995" s="125"/>
      <c r="X7995" s="142" t="s">
        <v>23232</v>
      </c>
      <c r="Y7995" s="143"/>
      <c r="Z7995" s="143"/>
      <c r="AA7995" s="143"/>
      <c r="AB7995" s="144"/>
      <c r="AC7995" s="16" t="s">
        <v>21</v>
      </c>
      <c r="AD7995" s="17" t="s">
        <v>1952</v>
      </c>
      <c r="AE7995" s="145" t="s">
        <v>1633</v>
      </c>
      <c r="AF7995" s="146"/>
      <c r="AG7995" s="146"/>
      <c r="AH7995" s="146"/>
      <c r="AI7995" s="147"/>
      <c r="AJ7995" s="148"/>
      <c r="AK7995" s="143"/>
      <c r="AL7995" s="144"/>
      <c r="AM7995" s="22"/>
      <c r="AN7995" s="149" t="s">
        <v>2794</v>
      </c>
      <c r="AO7995" s="144"/>
      <c r="AP7995" s="148">
        <v>5088</v>
      </c>
      <c r="AQ7995" s="144"/>
      <c r="AR7995" s="120"/>
      <c r="AS7995" s="121"/>
      <c r="AT7995" s="120"/>
      <c r="AU7995" s="121"/>
      <c r="AV7995" s="120"/>
      <c r="AW7995" s="121"/>
      <c r="AX7995" s="120"/>
      <c r="AY7995" s="121"/>
      <c r="AZ7995" s="138"/>
    </row>
    <row r="7996" spans="1:52" ht="17.100000000000001" customHeight="1" thickTop="1">
      <c r="A7996" s="109" t="s">
        <v>22628</v>
      </c>
      <c r="B7996" s="28">
        <v>46121</v>
      </c>
      <c r="C7996" s="25">
        <v>2153</v>
      </c>
      <c r="D7996" s="13" t="s">
        <v>22807</v>
      </c>
      <c r="E7996" s="111"/>
      <c r="F7996" s="113" t="s">
        <v>22808</v>
      </c>
      <c r="G7996" s="114"/>
      <c r="H7996" s="115"/>
      <c r="I7996" s="24"/>
      <c r="J7996" s="116">
        <v>4.5</v>
      </c>
      <c r="K7996" s="118">
        <v>538000</v>
      </c>
      <c r="L7996" s="119"/>
      <c r="M7996" s="118">
        <f t="shared" ref="M7996" si="11894">K7996*0.1</f>
        <v>53800</v>
      </c>
      <c r="N7996" s="119"/>
      <c r="O7996" s="118">
        <v>0</v>
      </c>
      <c r="P7996" s="119"/>
      <c r="Q7996" s="118">
        <v>8400</v>
      </c>
      <c r="R7996" s="119"/>
      <c r="S7996" s="118">
        <v>14300</v>
      </c>
      <c r="T7996" s="119"/>
      <c r="U7996" s="118">
        <f t="shared" ref="U7996" si="11895">SUM(K7996:T7997)</f>
        <v>614500</v>
      </c>
      <c r="V7996" s="122"/>
      <c r="W7996" s="124"/>
      <c r="X7996" s="126" t="s">
        <v>23259</v>
      </c>
      <c r="Y7996" s="127"/>
      <c r="Z7996" s="127"/>
      <c r="AA7996" s="127"/>
      <c r="AB7996" s="128"/>
      <c r="AC7996" s="15" t="s">
        <v>20</v>
      </c>
      <c r="AD7996" s="129"/>
      <c r="AE7996" s="130"/>
      <c r="AF7996" s="130"/>
      <c r="AG7996" s="130"/>
      <c r="AH7996" s="130"/>
      <c r="AI7996" s="131"/>
      <c r="AJ7996" s="132"/>
      <c r="AK7996" s="127"/>
      <c r="AL7996" s="128"/>
      <c r="AM7996" s="21"/>
      <c r="AN7996" s="133">
        <v>46127</v>
      </c>
      <c r="AO7996" s="134"/>
      <c r="AP7996" s="135">
        <v>1013</v>
      </c>
      <c r="AQ7996" s="136"/>
      <c r="AR7996" s="118">
        <v>630000</v>
      </c>
      <c r="AS7996" s="119"/>
      <c r="AT7996" s="118">
        <f t="shared" ref="AT7996" si="11896">AR7996*0.1</f>
        <v>63000</v>
      </c>
      <c r="AU7996" s="119"/>
      <c r="AV7996" s="118">
        <v>8400</v>
      </c>
      <c r="AW7996" s="119"/>
      <c r="AX7996" s="118">
        <f t="shared" ref="AX7996" si="11897">SUM(AR7996:AW7996)</f>
        <v>701400</v>
      </c>
      <c r="AY7996" s="119"/>
      <c r="AZ7996" s="137">
        <v>46133</v>
      </c>
    </row>
    <row r="7997" spans="1:52" ht="17.100000000000001" customHeight="1" thickBot="1">
      <c r="A7997" s="110"/>
      <c r="B7997" s="27" t="s">
        <v>1940</v>
      </c>
      <c r="C7997" s="27">
        <v>2644</v>
      </c>
      <c r="D7997" s="14" t="s">
        <v>22792</v>
      </c>
      <c r="E7997" s="112"/>
      <c r="F7997" s="139" t="s">
        <v>22665</v>
      </c>
      <c r="G7997" s="140"/>
      <c r="H7997" s="141"/>
      <c r="I7997" s="26">
        <v>30485</v>
      </c>
      <c r="J7997" s="117"/>
      <c r="K7997" s="120"/>
      <c r="L7997" s="121"/>
      <c r="M7997" s="120"/>
      <c r="N7997" s="121"/>
      <c r="O7997" s="120"/>
      <c r="P7997" s="121"/>
      <c r="Q7997" s="120"/>
      <c r="R7997" s="121"/>
      <c r="S7997" s="120"/>
      <c r="T7997" s="121"/>
      <c r="U7997" s="120"/>
      <c r="V7997" s="123"/>
      <c r="W7997" s="125"/>
      <c r="X7997" s="142" t="s">
        <v>1673</v>
      </c>
      <c r="Y7997" s="143"/>
      <c r="Z7997" s="143"/>
      <c r="AA7997" s="143"/>
      <c r="AB7997" s="144"/>
      <c r="AC7997" s="16" t="s">
        <v>21</v>
      </c>
      <c r="AD7997" s="17" t="s">
        <v>1952</v>
      </c>
      <c r="AE7997" s="145"/>
      <c r="AF7997" s="146"/>
      <c r="AG7997" s="146"/>
      <c r="AH7997" s="146"/>
      <c r="AI7997" s="147"/>
      <c r="AJ7997" s="148"/>
      <c r="AK7997" s="143"/>
      <c r="AL7997" s="144"/>
      <c r="AM7997" s="22"/>
      <c r="AN7997" s="149" t="s">
        <v>23333</v>
      </c>
      <c r="AO7997" s="144"/>
      <c r="AP7997" s="148">
        <v>5116</v>
      </c>
      <c r="AQ7997" s="144"/>
      <c r="AR7997" s="120"/>
      <c r="AS7997" s="121"/>
      <c r="AT7997" s="120"/>
      <c r="AU7997" s="121"/>
      <c r="AV7997" s="120"/>
      <c r="AW7997" s="121"/>
      <c r="AX7997" s="120"/>
      <c r="AY7997" s="121"/>
      <c r="AZ7997" s="138"/>
    </row>
    <row r="7998" spans="1:52" ht="17.100000000000001" customHeight="1" thickTop="1">
      <c r="A7998" s="109" t="s">
        <v>22629</v>
      </c>
      <c r="B7998" s="28">
        <v>46121</v>
      </c>
      <c r="C7998" s="25">
        <v>2022</v>
      </c>
      <c r="D7998" s="13" t="s">
        <v>22807</v>
      </c>
      <c r="E7998" s="111"/>
      <c r="F7998" s="113" t="s">
        <v>22816</v>
      </c>
      <c r="G7998" s="114"/>
      <c r="H7998" s="115"/>
      <c r="I7998" s="24" t="s">
        <v>22817</v>
      </c>
      <c r="J7998" s="116">
        <v>4</v>
      </c>
      <c r="K7998" s="118">
        <v>1915000</v>
      </c>
      <c r="L7998" s="119"/>
      <c r="M7998" s="118">
        <f t="shared" ref="M7998" si="11898">K7998*0.1</f>
        <v>191500</v>
      </c>
      <c r="N7998" s="119"/>
      <c r="O7998" s="118">
        <v>39820</v>
      </c>
      <c r="P7998" s="119"/>
      <c r="Q7998" s="118">
        <v>12470</v>
      </c>
      <c r="R7998" s="119"/>
      <c r="S7998" s="118">
        <v>22000</v>
      </c>
      <c r="T7998" s="119"/>
      <c r="U7998" s="118">
        <f t="shared" ref="U7998" si="11899">SUM(K7998:T7999)</f>
        <v>2180790</v>
      </c>
      <c r="V7998" s="122"/>
      <c r="W7998" s="124"/>
      <c r="X7998" s="126" t="s">
        <v>22818</v>
      </c>
      <c r="Y7998" s="127"/>
      <c r="Z7998" s="127"/>
      <c r="AA7998" s="127"/>
      <c r="AB7998" s="128"/>
      <c r="AC7998" s="15" t="s">
        <v>20</v>
      </c>
      <c r="AD7998" s="129" t="s">
        <v>22819</v>
      </c>
      <c r="AE7998" s="130"/>
      <c r="AF7998" s="130"/>
      <c r="AG7998" s="130"/>
      <c r="AH7998" s="130"/>
      <c r="AI7998" s="131"/>
      <c r="AJ7998" s="132"/>
      <c r="AK7998" s="127"/>
      <c r="AL7998" s="128"/>
      <c r="AM7998" s="21" t="s">
        <v>25605</v>
      </c>
      <c r="AN7998" s="133"/>
      <c r="AO7998" s="134"/>
      <c r="AP7998" s="135"/>
      <c r="AQ7998" s="136"/>
      <c r="AR7998" s="118"/>
      <c r="AS7998" s="119"/>
      <c r="AT7998" s="118">
        <f t="shared" ref="AT7998" si="11900">AR7998*0.1</f>
        <v>0</v>
      </c>
      <c r="AU7998" s="119"/>
      <c r="AV7998" s="118"/>
      <c r="AW7998" s="119"/>
      <c r="AX7998" s="118">
        <f t="shared" ref="AX7998" si="11901">SUM(AR7998:AW7998)</f>
        <v>0</v>
      </c>
      <c r="AY7998" s="119"/>
      <c r="AZ7998" s="137"/>
    </row>
    <row r="7999" spans="1:52" ht="17.100000000000001" customHeight="1" thickBot="1">
      <c r="A7999" s="110"/>
      <c r="B7999" s="27" t="s">
        <v>22666</v>
      </c>
      <c r="C7999" s="27">
        <v>10035</v>
      </c>
      <c r="D7999" s="14" t="s">
        <v>22773</v>
      </c>
      <c r="E7999" s="112"/>
      <c r="F7999" s="139" t="s">
        <v>22667</v>
      </c>
      <c r="G7999" s="140"/>
      <c r="H7999" s="141"/>
      <c r="I7999" s="26">
        <v>43200</v>
      </c>
      <c r="J7999" s="117"/>
      <c r="K7999" s="120"/>
      <c r="L7999" s="121"/>
      <c r="M7999" s="120"/>
      <c r="N7999" s="121"/>
      <c r="O7999" s="120"/>
      <c r="P7999" s="121"/>
      <c r="Q7999" s="120"/>
      <c r="R7999" s="121"/>
      <c r="S7999" s="120"/>
      <c r="T7999" s="121"/>
      <c r="U7999" s="120"/>
      <c r="V7999" s="123"/>
      <c r="W7999" s="125"/>
      <c r="X7999" s="142" t="s">
        <v>23266</v>
      </c>
      <c r="Y7999" s="143"/>
      <c r="Z7999" s="143"/>
      <c r="AA7999" s="143"/>
      <c r="AB7999" s="144"/>
      <c r="AC7999" s="16" t="s">
        <v>21</v>
      </c>
      <c r="AD7999" s="17" t="s">
        <v>1952</v>
      </c>
      <c r="AE7999" s="145" t="s">
        <v>171</v>
      </c>
      <c r="AF7999" s="146"/>
      <c r="AG7999" s="146"/>
      <c r="AH7999" s="146"/>
      <c r="AI7999" s="147"/>
      <c r="AJ7999" s="148"/>
      <c r="AK7999" s="143"/>
      <c r="AL7999" s="144"/>
      <c r="AM7999" s="22"/>
      <c r="AN7999" s="149"/>
      <c r="AO7999" s="144"/>
      <c r="AP7999" s="148"/>
      <c r="AQ7999" s="144"/>
      <c r="AR7999" s="120"/>
      <c r="AS7999" s="121"/>
      <c r="AT7999" s="120"/>
      <c r="AU7999" s="121"/>
      <c r="AV7999" s="120"/>
      <c r="AW7999" s="121"/>
      <c r="AX7999" s="120"/>
      <c r="AY7999" s="121"/>
      <c r="AZ7999" s="138"/>
    </row>
    <row r="8000" spans="1:52" ht="17.100000000000001" customHeight="1" thickTop="1">
      <c r="A8000" s="109" t="s">
        <v>22630</v>
      </c>
      <c r="B8000" s="28">
        <v>46121</v>
      </c>
      <c r="C8000" s="25">
        <v>2022</v>
      </c>
      <c r="D8000" s="13" t="s">
        <v>22820</v>
      </c>
      <c r="E8000" s="111"/>
      <c r="F8000" s="113" t="s">
        <v>22821</v>
      </c>
      <c r="G8000" s="114"/>
      <c r="H8000" s="115"/>
      <c r="I8000" s="24"/>
      <c r="J8000" s="116">
        <v>4</v>
      </c>
      <c r="K8000" s="118">
        <v>606000</v>
      </c>
      <c r="L8000" s="119"/>
      <c r="M8000" s="118">
        <f t="shared" ref="M8000" si="11902">K8000*0.1</f>
        <v>60600</v>
      </c>
      <c r="N8000" s="119"/>
      <c r="O8000" s="118">
        <v>0</v>
      </c>
      <c r="P8000" s="119"/>
      <c r="Q8000" s="118">
        <v>15660</v>
      </c>
      <c r="R8000" s="119"/>
      <c r="S8000" s="118">
        <v>22000</v>
      </c>
      <c r="T8000" s="119"/>
      <c r="U8000" s="118">
        <f t="shared" ref="U8000" si="11903">SUM(K8000:T8001)</f>
        <v>704260</v>
      </c>
      <c r="V8000" s="122"/>
      <c r="W8000" s="124"/>
      <c r="X8000" s="126" t="s">
        <v>23270</v>
      </c>
      <c r="Y8000" s="127"/>
      <c r="Z8000" s="127"/>
      <c r="AA8000" s="127"/>
      <c r="AB8000" s="128"/>
      <c r="AC8000" s="15" t="s">
        <v>20</v>
      </c>
      <c r="AD8000" s="129" t="s">
        <v>22797</v>
      </c>
      <c r="AE8000" s="130"/>
      <c r="AF8000" s="130"/>
      <c r="AG8000" s="130"/>
      <c r="AH8000" s="130"/>
      <c r="AI8000" s="131"/>
      <c r="AJ8000" s="132"/>
      <c r="AK8000" s="127"/>
      <c r="AL8000" s="128"/>
      <c r="AM8000" s="21"/>
      <c r="AN8000" s="133"/>
      <c r="AO8000" s="134"/>
      <c r="AP8000" s="135"/>
      <c r="AQ8000" s="136"/>
      <c r="AR8000" s="118"/>
      <c r="AS8000" s="119"/>
      <c r="AT8000" s="118">
        <f t="shared" ref="AT8000" si="11904">AR8000*0.1</f>
        <v>0</v>
      </c>
      <c r="AU8000" s="119"/>
      <c r="AV8000" s="118"/>
      <c r="AW8000" s="119"/>
      <c r="AX8000" s="118">
        <f t="shared" ref="AX8000" si="11905">SUM(AR8000:AW8000)</f>
        <v>0</v>
      </c>
      <c r="AY8000" s="119"/>
      <c r="AZ8000" s="137"/>
    </row>
    <row r="8001" spans="1:52" ht="17.100000000000001" customHeight="1" thickBot="1">
      <c r="A8001" s="110"/>
      <c r="B8001" s="27" t="s">
        <v>22666</v>
      </c>
      <c r="C8001" s="27">
        <v>30035</v>
      </c>
      <c r="D8001" s="14" t="s">
        <v>2601</v>
      </c>
      <c r="E8001" s="112"/>
      <c r="F8001" s="139" t="s">
        <v>22668</v>
      </c>
      <c r="G8001" s="140"/>
      <c r="H8001" s="141"/>
      <c r="I8001" s="26">
        <v>73390</v>
      </c>
      <c r="J8001" s="117"/>
      <c r="K8001" s="120"/>
      <c r="L8001" s="121"/>
      <c r="M8001" s="120"/>
      <c r="N8001" s="121"/>
      <c r="O8001" s="120"/>
      <c r="P8001" s="121"/>
      <c r="Q8001" s="120"/>
      <c r="R8001" s="121"/>
      <c r="S8001" s="120"/>
      <c r="T8001" s="121"/>
      <c r="U8001" s="120"/>
      <c r="V8001" s="123"/>
      <c r="W8001" s="125"/>
      <c r="X8001" s="142" t="s">
        <v>23271</v>
      </c>
      <c r="Y8001" s="143"/>
      <c r="Z8001" s="143"/>
      <c r="AA8001" s="143"/>
      <c r="AB8001" s="144"/>
      <c r="AC8001" s="16" t="s">
        <v>21</v>
      </c>
      <c r="AD8001" s="17" t="s">
        <v>1952</v>
      </c>
      <c r="AE8001" s="145" t="s">
        <v>1609</v>
      </c>
      <c r="AF8001" s="146"/>
      <c r="AG8001" s="146"/>
      <c r="AH8001" s="146"/>
      <c r="AI8001" s="147"/>
      <c r="AJ8001" s="148"/>
      <c r="AK8001" s="143"/>
      <c r="AL8001" s="144"/>
      <c r="AM8001" s="22"/>
      <c r="AN8001" s="149"/>
      <c r="AO8001" s="144"/>
      <c r="AP8001" s="148"/>
      <c r="AQ8001" s="144"/>
      <c r="AR8001" s="120"/>
      <c r="AS8001" s="121"/>
      <c r="AT8001" s="120"/>
      <c r="AU8001" s="121"/>
      <c r="AV8001" s="120"/>
      <c r="AW8001" s="121"/>
      <c r="AX8001" s="120"/>
      <c r="AY8001" s="121"/>
      <c r="AZ8001" s="138"/>
    </row>
    <row r="8002" spans="1:52" ht="17.100000000000001" customHeight="1" thickTop="1">
      <c r="A8002" s="109" t="s">
        <v>22631</v>
      </c>
      <c r="B8002" s="28">
        <v>46121</v>
      </c>
      <c r="C8002" s="25">
        <v>2022</v>
      </c>
      <c r="D8002" s="13" t="s">
        <v>22822</v>
      </c>
      <c r="E8002" s="111"/>
      <c r="F8002" s="113" t="s">
        <v>22823</v>
      </c>
      <c r="G8002" s="114"/>
      <c r="H8002" s="115"/>
      <c r="I8002" s="24"/>
      <c r="J8002" s="116">
        <v>4</v>
      </c>
      <c r="K8002" s="118">
        <v>1062000</v>
      </c>
      <c r="L8002" s="119"/>
      <c r="M8002" s="118">
        <f t="shared" ref="M8002" si="11906">K8002*0.1</f>
        <v>106200</v>
      </c>
      <c r="N8002" s="119"/>
      <c r="O8002" s="118">
        <v>0</v>
      </c>
      <c r="P8002" s="119"/>
      <c r="Q8002" s="118">
        <v>9810</v>
      </c>
      <c r="R8002" s="119"/>
      <c r="S8002" s="118">
        <v>22000</v>
      </c>
      <c r="T8002" s="119"/>
      <c r="U8002" s="118">
        <f t="shared" ref="U8002" si="11907">SUM(K8002:T8003)</f>
        <v>1200010</v>
      </c>
      <c r="V8002" s="122"/>
      <c r="W8002" s="124"/>
      <c r="X8002" s="126" t="s">
        <v>23351</v>
      </c>
      <c r="Y8002" s="127"/>
      <c r="Z8002" s="127"/>
      <c r="AA8002" s="127"/>
      <c r="AB8002" s="128"/>
      <c r="AC8002" s="15" t="s">
        <v>20</v>
      </c>
      <c r="AD8002" s="129" t="s">
        <v>22824</v>
      </c>
      <c r="AE8002" s="130"/>
      <c r="AF8002" s="130"/>
      <c r="AG8002" s="130"/>
      <c r="AH8002" s="130"/>
      <c r="AI8002" s="131"/>
      <c r="AJ8002" s="132"/>
      <c r="AK8002" s="127"/>
      <c r="AL8002" s="128"/>
      <c r="AM8002" s="21"/>
      <c r="AN8002" s="133">
        <v>46127</v>
      </c>
      <c r="AO8002" s="134"/>
      <c r="AP8002" s="135">
        <v>1013</v>
      </c>
      <c r="AQ8002" s="136"/>
      <c r="AR8002" s="118">
        <v>1130000</v>
      </c>
      <c r="AS8002" s="119"/>
      <c r="AT8002" s="118">
        <f t="shared" ref="AT8002" si="11908">AR8002*0.1</f>
        <v>113000</v>
      </c>
      <c r="AU8002" s="119"/>
      <c r="AV8002" s="118">
        <v>9810</v>
      </c>
      <c r="AW8002" s="119"/>
      <c r="AX8002" s="118">
        <f t="shared" ref="AX8002" si="11909">SUM(AR8002:AW8002)</f>
        <v>1252810</v>
      </c>
      <c r="AY8002" s="119"/>
      <c r="AZ8002" s="137">
        <v>46133</v>
      </c>
    </row>
    <row r="8003" spans="1:52" ht="17.100000000000001" customHeight="1" thickBot="1">
      <c r="A8003" s="110"/>
      <c r="B8003" s="27" t="s">
        <v>22666</v>
      </c>
      <c r="C8003" s="27">
        <v>30125</v>
      </c>
      <c r="D8003" s="14" t="s">
        <v>22773</v>
      </c>
      <c r="E8003" s="112"/>
      <c r="F8003" s="139" t="s">
        <v>22669</v>
      </c>
      <c r="G8003" s="140"/>
      <c r="H8003" s="141"/>
      <c r="I8003" s="26">
        <v>59630</v>
      </c>
      <c r="J8003" s="117"/>
      <c r="K8003" s="120"/>
      <c r="L8003" s="121"/>
      <c r="M8003" s="120"/>
      <c r="N8003" s="121"/>
      <c r="O8003" s="120"/>
      <c r="P8003" s="121"/>
      <c r="Q8003" s="120"/>
      <c r="R8003" s="121"/>
      <c r="S8003" s="120"/>
      <c r="T8003" s="121"/>
      <c r="U8003" s="120"/>
      <c r="V8003" s="123"/>
      <c r="W8003" s="125"/>
      <c r="X8003" s="142" t="s">
        <v>7544</v>
      </c>
      <c r="Y8003" s="143"/>
      <c r="Z8003" s="143"/>
      <c r="AA8003" s="143"/>
      <c r="AB8003" s="144"/>
      <c r="AC8003" s="16" t="s">
        <v>21</v>
      </c>
      <c r="AD8003" s="17" t="s">
        <v>23320</v>
      </c>
      <c r="AE8003" s="145" t="s">
        <v>23352</v>
      </c>
      <c r="AF8003" s="146"/>
      <c r="AG8003" s="146"/>
      <c r="AH8003" s="146"/>
      <c r="AI8003" s="147"/>
      <c r="AJ8003" s="148"/>
      <c r="AK8003" s="143"/>
      <c r="AL8003" s="144"/>
      <c r="AM8003" s="22"/>
      <c r="AN8003" s="149" t="s">
        <v>2794</v>
      </c>
      <c r="AO8003" s="144"/>
      <c r="AP8003" s="148">
        <v>5120</v>
      </c>
      <c r="AQ8003" s="144"/>
      <c r="AR8003" s="120"/>
      <c r="AS8003" s="121"/>
      <c r="AT8003" s="120"/>
      <c r="AU8003" s="121"/>
      <c r="AV8003" s="120"/>
      <c r="AW8003" s="121"/>
      <c r="AX8003" s="120"/>
      <c r="AY8003" s="121"/>
      <c r="AZ8003" s="138"/>
    </row>
    <row r="8004" spans="1:52" ht="17.100000000000001" customHeight="1" thickTop="1">
      <c r="A8004" s="109" t="s">
        <v>22632</v>
      </c>
      <c r="B8004" s="28">
        <v>46121</v>
      </c>
      <c r="C8004" s="25">
        <v>2022</v>
      </c>
      <c r="D8004" s="13" t="s">
        <v>22825</v>
      </c>
      <c r="E8004" s="111"/>
      <c r="F8004" s="113" t="s">
        <v>22826</v>
      </c>
      <c r="G8004" s="114"/>
      <c r="H8004" s="115"/>
      <c r="I8004" s="24"/>
      <c r="J8004" s="116">
        <v>4</v>
      </c>
      <c r="K8004" s="118">
        <v>957000</v>
      </c>
      <c r="L8004" s="119"/>
      <c r="M8004" s="118">
        <f t="shared" ref="M8004" si="11910">K8004*0.1</f>
        <v>95700</v>
      </c>
      <c r="N8004" s="119"/>
      <c r="O8004" s="118">
        <v>0</v>
      </c>
      <c r="P8004" s="119"/>
      <c r="Q8004" s="118">
        <v>7510</v>
      </c>
      <c r="R8004" s="119"/>
      <c r="S8004" s="118">
        <v>22000</v>
      </c>
      <c r="T8004" s="119"/>
      <c r="U8004" s="118">
        <f t="shared" ref="U8004" si="11911">SUM(K8004:T8005)</f>
        <v>1082210</v>
      </c>
      <c r="V8004" s="122"/>
      <c r="W8004" s="124"/>
      <c r="X8004" s="126" t="s">
        <v>23343</v>
      </c>
      <c r="Y8004" s="127"/>
      <c r="Z8004" s="127"/>
      <c r="AA8004" s="127"/>
      <c r="AB8004" s="128"/>
      <c r="AC8004" s="15" t="s">
        <v>20</v>
      </c>
      <c r="AD8004" s="129" t="s">
        <v>22783</v>
      </c>
      <c r="AE8004" s="130"/>
      <c r="AF8004" s="130"/>
      <c r="AG8004" s="130"/>
      <c r="AH8004" s="130"/>
      <c r="AI8004" s="131"/>
      <c r="AJ8004" s="132"/>
      <c r="AK8004" s="127"/>
      <c r="AL8004" s="128"/>
      <c r="AM8004" s="21"/>
      <c r="AN8004" s="133"/>
      <c r="AO8004" s="134"/>
      <c r="AP8004" s="135"/>
      <c r="AQ8004" s="136"/>
      <c r="AR8004" s="118"/>
      <c r="AS8004" s="119"/>
      <c r="AT8004" s="118">
        <f t="shared" ref="AT8004" si="11912">AR8004*0.1</f>
        <v>0</v>
      </c>
      <c r="AU8004" s="119"/>
      <c r="AV8004" s="118"/>
      <c r="AW8004" s="119"/>
      <c r="AX8004" s="118">
        <f t="shared" ref="AX8004" si="11913">SUM(AR8004:AW8004)</f>
        <v>0</v>
      </c>
      <c r="AY8004" s="119"/>
      <c r="AZ8004" s="137"/>
    </row>
    <row r="8005" spans="1:52" ht="17.100000000000001" customHeight="1" thickBot="1">
      <c r="A8005" s="110"/>
      <c r="B8005" s="27" t="s">
        <v>22666</v>
      </c>
      <c r="C8005" s="27">
        <v>30229</v>
      </c>
      <c r="D8005" s="14" t="s">
        <v>22795</v>
      </c>
      <c r="E8005" s="112"/>
      <c r="F8005" s="139" t="s">
        <v>22670</v>
      </c>
      <c r="G8005" s="140"/>
      <c r="H8005" s="141"/>
      <c r="I8005" s="26">
        <v>37024</v>
      </c>
      <c r="J8005" s="117"/>
      <c r="K8005" s="120"/>
      <c r="L8005" s="121"/>
      <c r="M8005" s="120"/>
      <c r="N8005" s="121"/>
      <c r="O8005" s="120"/>
      <c r="P8005" s="121"/>
      <c r="Q8005" s="120"/>
      <c r="R8005" s="121"/>
      <c r="S8005" s="120"/>
      <c r="T8005" s="121"/>
      <c r="U8005" s="120"/>
      <c r="V8005" s="123"/>
      <c r="W8005" s="125"/>
      <c r="X8005" s="142" t="s">
        <v>7544</v>
      </c>
      <c r="Y8005" s="143"/>
      <c r="Z8005" s="143"/>
      <c r="AA8005" s="143"/>
      <c r="AB8005" s="144"/>
      <c r="AC8005" s="16" t="s">
        <v>21</v>
      </c>
      <c r="AD8005" s="17" t="s">
        <v>23320</v>
      </c>
      <c r="AE8005" s="145" t="s">
        <v>23344</v>
      </c>
      <c r="AF8005" s="146"/>
      <c r="AG8005" s="146"/>
      <c r="AH8005" s="146"/>
      <c r="AI8005" s="147"/>
      <c r="AJ8005" s="148"/>
      <c r="AK8005" s="143"/>
      <c r="AL8005" s="144"/>
      <c r="AM8005" s="22"/>
      <c r="AN8005" s="149"/>
      <c r="AO8005" s="144"/>
      <c r="AP8005" s="148"/>
      <c r="AQ8005" s="144"/>
      <c r="AR8005" s="120"/>
      <c r="AS8005" s="121"/>
      <c r="AT8005" s="120"/>
      <c r="AU8005" s="121"/>
      <c r="AV8005" s="120"/>
      <c r="AW8005" s="121"/>
      <c r="AX8005" s="120"/>
      <c r="AY8005" s="121"/>
      <c r="AZ8005" s="138"/>
    </row>
    <row r="8006" spans="1:52" ht="17.100000000000001" customHeight="1" thickTop="1">
      <c r="A8006" s="109" t="s">
        <v>22633</v>
      </c>
      <c r="B8006" s="28">
        <v>46121</v>
      </c>
      <c r="C8006" s="25">
        <v>2022</v>
      </c>
      <c r="D8006" s="13" t="s">
        <v>22827</v>
      </c>
      <c r="E8006" s="111"/>
      <c r="F8006" s="113" t="s">
        <v>22828</v>
      </c>
      <c r="G8006" s="114"/>
      <c r="H8006" s="115"/>
      <c r="I8006" s="24" t="s">
        <v>22829</v>
      </c>
      <c r="J8006" s="116">
        <v>4</v>
      </c>
      <c r="K8006" s="118">
        <v>2711000</v>
      </c>
      <c r="L8006" s="119"/>
      <c r="M8006" s="118">
        <f t="shared" ref="M8006" si="11914">K8006*0.1</f>
        <v>271100</v>
      </c>
      <c r="N8006" s="119"/>
      <c r="O8006" s="118">
        <v>43780</v>
      </c>
      <c r="P8006" s="119"/>
      <c r="Q8006" s="118">
        <v>13110</v>
      </c>
      <c r="R8006" s="119"/>
      <c r="S8006" s="118">
        <v>22000</v>
      </c>
      <c r="T8006" s="119"/>
      <c r="U8006" s="118">
        <f t="shared" ref="U8006" si="11915">SUM(K8006:T8007)</f>
        <v>3060990</v>
      </c>
      <c r="V8006" s="122"/>
      <c r="W8006" s="124"/>
      <c r="X8006" s="126" t="s">
        <v>22830</v>
      </c>
      <c r="Y8006" s="127"/>
      <c r="Z8006" s="127"/>
      <c r="AA8006" s="127"/>
      <c r="AB8006" s="128"/>
      <c r="AC8006" s="15" t="s">
        <v>20</v>
      </c>
      <c r="AD8006" s="129" t="s">
        <v>22831</v>
      </c>
      <c r="AE8006" s="130"/>
      <c r="AF8006" s="130"/>
      <c r="AG8006" s="130"/>
      <c r="AH8006" s="130"/>
      <c r="AI8006" s="131"/>
      <c r="AJ8006" s="132"/>
      <c r="AK8006" s="127"/>
      <c r="AL8006" s="128"/>
      <c r="AM8006" s="21"/>
      <c r="AN8006" s="133">
        <v>46134</v>
      </c>
      <c r="AO8006" s="134"/>
      <c r="AP8006" s="135">
        <v>1014</v>
      </c>
      <c r="AQ8006" s="136"/>
      <c r="AR8006" s="118">
        <v>2790000</v>
      </c>
      <c r="AS8006" s="119"/>
      <c r="AT8006" s="118">
        <f t="shared" ref="AT8006" si="11916">AR8006*0.1</f>
        <v>279000</v>
      </c>
      <c r="AU8006" s="119"/>
      <c r="AV8006" s="118">
        <v>13110</v>
      </c>
      <c r="AW8006" s="119"/>
      <c r="AX8006" s="118">
        <f t="shared" ref="AX8006" si="11917">SUM(AR8006:AW8006)</f>
        <v>3082110</v>
      </c>
      <c r="AY8006" s="119"/>
      <c r="AZ8006" s="137">
        <v>46139</v>
      </c>
    </row>
    <row r="8007" spans="1:52" ht="17.100000000000001" customHeight="1" thickBot="1">
      <c r="A8007" s="110"/>
      <c r="B8007" s="27" t="s">
        <v>22666</v>
      </c>
      <c r="C8007" s="27">
        <v>30232</v>
      </c>
      <c r="D8007" s="14" t="s">
        <v>22773</v>
      </c>
      <c r="E8007" s="112"/>
      <c r="F8007" s="139" t="s">
        <v>22671</v>
      </c>
      <c r="G8007" s="140"/>
      <c r="H8007" s="141"/>
      <c r="I8007" s="26">
        <v>20178</v>
      </c>
      <c r="J8007" s="117"/>
      <c r="K8007" s="120"/>
      <c r="L8007" s="121"/>
      <c r="M8007" s="120"/>
      <c r="N8007" s="121"/>
      <c r="O8007" s="120"/>
      <c r="P8007" s="121"/>
      <c r="Q8007" s="120"/>
      <c r="R8007" s="121"/>
      <c r="S8007" s="120"/>
      <c r="T8007" s="121"/>
      <c r="U8007" s="120"/>
      <c r="V8007" s="123"/>
      <c r="W8007" s="125"/>
      <c r="X8007" s="142" t="s">
        <v>23265</v>
      </c>
      <c r="Y8007" s="143"/>
      <c r="Z8007" s="143"/>
      <c r="AA8007" s="143"/>
      <c r="AB8007" s="144"/>
      <c r="AC8007" s="16" t="s">
        <v>21</v>
      </c>
      <c r="AD8007" s="17" t="s">
        <v>1952</v>
      </c>
      <c r="AE8007" s="145" t="s">
        <v>171</v>
      </c>
      <c r="AF8007" s="146"/>
      <c r="AG8007" s="146"/>
      <c r="AH8007" s="146"/>
      <c r="AI8007" s="147"/>
      <c r="AJ8007" s="148"/>
      <c r="AK8007" s="143"/>
      <c r="AL8007" s="144"/>
      <c r="AM8007" s="22"/>
      <c r="AN8007" s="149" t="s">
        <v>23987</v>
      </c>
      <c r="AO8007" s="144"/>
      <c r="AP8007" s="148">
        <v>6053</v>
      </c>
      <c r="AQ8007" s="144"/>
      <c r="AR8007" s="120"/>
      <c r="AS8007" s="121"/>
      <c r="AT8007" s="120"/>
      <c r="AU8007" s="121"/>
      <c r="AV8007" s="120"/>
      <c r="AW8007" s="121"/>
      <c r="AX8007" s="120"/>
      <c r="AY8007" s="121"/>
      <c r="AZ8007" s="138"/>
    </row>
    <row r="8008" spans="1:52" ht="17.100000000000001" customHeight="1" thickTop="1">
      <c r="A8008" s="109" t="s">
        <v>22634</v>
      </c>
      <c r="B8008" s="28">
        <v>46121</v>
      </c>
      <c r="C8008" s="25">
        <v>2022</v>
      </c>
      <c r="D8008" s="13" t="s">
        <v>22832</v>
      </c>
      <c r="E8008" s="111"/>
      <c r="F8008" s="113" t="s">
        <v>22833</v>
      </c>
      <c r="G8008" s="114"/>
      <c r="H8008" s="115"/>
      <c r="I8008" s="24"/>
      <c r="J8008" s="116">
        <v>4</v>
      </c>
      <c r="K8008" s="118">
        <v>1982000</v>
      </c>
      <c r="L8008" s="119"/>
      <c r="M8008" s="118">
        <f t="shared" ref="M8008" si="11918">K8008*0.1</f>
        <v>198200</v>
      </c>
      <c r="N8008" s="119"/>
      <c r="O8008" s="118">
        <v>0</v>
      </c>
      <c r="P8008" s="119"/>
      <c r="Q8008" s="118">
        <v>11740</v>
      </c>
      <c r="R8008" s="119"/>
      <c r="S8008" s="118">
        <v>22000</v>
      </c>
      <c r="T8008" s="119"/>
      <c r="U8008" s="118">
        <f t="shared" ref="U8008" si="11919">SUM(K8008:T8009)</f>
        <v>2213940</v>
      </c>
      <c r="V8008" s="122"/>
      <c r="W8008" s="124"/>
      <c r="X8008" s="126" t="s">
        <v>23278</v>
      </c>
      <c r="Y8008" s="127"/>
      <c r="Z8008" s="127"/>
      <c r="AA8008" s="127"/>
      <c r="AB8008" s="128"/>
      <c r="AC8008" s="15" t="s">
        <v>20</v>
      </c>
      <c r="AD8008" s="129" t="s">
        <v>22834</v>
      </c>
      <c r="AE8008" s="130"/>
      <c r="AF8008" s="130"/>
      <c r="AG8008" s="130"/>
      <c r="AH8008" s="130"/>
      <c r="AI8008" s="131"/>
      <c r="AJ8008" s="132"/>
      <c r="AK8008" s="127"/>
      <c r="AL8008" s="128"/>
      <c r="AM8008" s="21"/>
      <c r="AN8008" s="133">
        <v>46141</v>
      </c>
      <c r="AO8008" s="134"/>
      <c r="AP8008" s="135">
        <v>1015</v>
      </c>
      <c r="AQ8008" s="136"/>
      <c r="AR8008" s="118">
        <v>2100000</v>
      </c>
      <c r="AS8008" s="119"/>
      <c r="AT8008" s="118">
        <f t="shared" ref="AT8008" si="11920">AR8008*0.1</f>
        <v>210000</v>
      </c>
      <c r="AU8008" s="119"/>
      <c r="AV8008" s="118">
        <v>11740</v>
      </c>
      <c r="AW8008" s="119"/>
      <c r="AX8008" s="118">
        <f t="shared" ref="AX8008" si="11921">SUM(AR8008:AW8008)</f>
        <v>2321740</v>
      </c>
      <c r="AY8008" s="119"/>
      <c r="AZ8008" s="137">
        <v>46153</v>
      </c>
    </row>
    <row r="8009" spans="1:52" ht="17.100000000000001" customHeight="1" thickBot="1">
      <c r="A8009" s="110"/>
      <c r="B8009" s="27" t="s">
        <v>22666</v>
      </c>
      <c r="C8009" s="27">
        <v>30266</v>
      </c>
      <c r="D8009" s="14" t="s">
        <v>2601</v>
      </c>
      <c r="E8009" s="112"/>
      <c r="F8009" s="139" t="s">
        <v>22672</v>
      </c>
      <c r="G8009" s="140"/>
      <c r="H8009" s="141"/>
      <c r="I8009" s="26">
        <v>44038</v>
      </c>
      <c r="J8009" s="117"/>
      <c r="K8009" s="120"/>
      <c r="L8009" s="121"/>
      <c r="M8009" s="120"/>
      <c r="N8009" s="121"/>
      <c r="O8009" s="120"/>
      <c r="P8009" s="121"/>
      <c r="Q8009" s="120"/>
      <c r="R8009" s="121"/>
      <c r="S8009" s="120"/>
      <c r="T8009" s="121"/>
      <c r="U8009" s="120"/>
      <c r="V8009" s="123"/>
      <c r="W8009" s="125"/>
      <c r="X8009" s="142" t="s">
        <v>1673</v>
      </c>
      <c r="Y8009" s="143"/>
      <c r="Z8009" s="143"/>
      <c r="AA8009" s="143"/>
      <c r="AB8009" s="144"/>
      <c r="AC8009" s="16" t="s">
        <v>21</v>
      </c>
      <c r="AD8009" s="17" t="s">
        <v>1952</v>
      </c>
      <c r="AE8009" s="145" t="s">
        <v>9186</v>
      </c>
      <c r="AF8009" s="146"/>
      <c r="AG8009" s="146"/>
      <c r="AH8009" s="146"/>
      <c r="AI8009" s="147"/>
      <c r="AJ8009" s="148"/>
      <c r="AK8009" s="143"/>
      <c r="AL8009" s="144"/>
      <c r="AM8009" s="22"/>
      <c r="AN8009" s="149" t="s">
        <v>2794</v>
      </c>
      <c r="AO8009" s="144"/>
      <c r="AP8009" s="148">
        <v>6123</v>
      </c>
      <c r="AQ8009" s="144"/>
      <c r="AR8009" s="120"/>
      <c r="AS8009" s="121"/>
      <c r="AT8009" s="120"/>
      <c r="AU8009" s="121"/>
      <c r="AV8009" s="120"/>
      <c r="AW8009" s="121"/>
      <c r="AX8009" s="120"/>
      <c r="AY8009" s="121"/>
      <c r="AZ8009" s="138"/>
    </row>
    <row r="8010" spans="1:52" ht="17.100000000000001" customHeight="1" thickTop="1">
      <c r="A8010" s="109" t="s">
        <v>22635</v>
      </c>
      <c r="B8010" s="28">
        <v>46121</v>
      </c>
      <c r="C8010" s="25">
        <v>2022</v>
      </c>
      <c r="D8010" s="13" t="s">
        <v>22835</v>
      </c>
      <c r="E8010" s="111"/>
      <c r="F8010" s="113" t="s">
        <v>22836</v>
      </c>
      <c r="G8010" s="114"/>
      <c r="H8010" s="115"/>
      <c r="I8010" s="24"/>
      <c r="J8010" s="116">
        <v>4</v>
      </c>
      <c r="K8010" s="118">
        <v>1283000</v>
      </c>
      <c r="L8010" s="119"/>
      <c r="M8010" s="118">
        <f t="shared" ref="M8010" si="11922">K8010*0.1</f>
        <v>128300</v>
      </c>
      <c r="N8010" s="119"/>
      <c r="O8010" s="118">
        <v>0</v>
      </c>
      <c r="P8010" s="119"/>
      <c r="Q8010" s="118">
        <v>9200</v>
      </c>
      <c r="R8010" s="119"/>
      <c r="S8010" s="118">
        <v>22000</v>
      </c>
      <c r="T8010" s="119"/>
      <c r="U8010" s="118">
        <f t="shared" ref="U8010" si="11923">SUM(K8010:T8011)</f>
        <v>1442500</v>
      </c>
      <c r="V8010" s="122"/>
      <c r="W8010" s="124"/>
      <c r="X8010" s="126" t="s">
        <v>23349</v>
      </c>
      <c r="Y8010" s="127"/>
      <c r="Z8010" s="127"/>
      <c r="AA8010" s="127"/>
      <c r="AB8010" s="128"/>
      <c r="AC8010" s="15" t="s">
        <v>20</v>
      </c>
      <c r="AD8010" s="129" t="s">
        <v>22837</v>
      </c>
      <c r="AE8010" s="130"/>
      <c r="AF8010" s="130"/>
      <c r="AG8010" s="130"/>
      <c r="AH8010" s="130"/>
      <c r="AI8010" s="131"/>
      <c r="AJ8010" s="132"/>
      <c r="AK8010" s="127"/>
      <c r="AL8010" s="128"/>
      <c r="AM8010" s="21"/>
      <c r="AN8010" s="133">
        <v>46127</v>
      </c>
      <c r="AO8010" s="134"/>
      <c r="AP8010" s="135">
        <v>1013</v>
      </c>
      <c r="AQ8010" s="136"/>
      <c r="AR8010" s="118">
        <v>1695000</v>
      </c>
      <c r="AS8010" s="119"/>
      <c r="AT8010" s="118">
        <f t="shared" ref="AT8010" si="11924">AR8010*0.1</f>
        <v>169500</v>
      </c>
      <c r="AU8010" s="119"/>
      <c r="AV8010" s="118">
        <v>9200</v>
      </c>
      <c r="AW8010" s="119"/>
      <c r="AX8010" s="118">
        <f t="shared" ref="AX8010" si="11925">SUM(AR8010:AW8010)</f>
        <v>1873700</v>
      </c>
      <c r="AY8010" s="119"/>
      <c r="AZ8010" s="137">
        <v>46133</v>
      </c>
    </row>
    <row r="8011" spans="1:52" ht="17.100000000000001" customHeight="1" thickBot="1">
      <c r="A8011" s="110"/>
      <c r="B8011" s="27" t="s">
        <v>22666</v>
      </c>
      <c r="C8011" s="27">
        <v>30285</v>
      </c>
      <c r="D8011" s="14" t="s">
        <v>1720</v>
      </c>
      <c r="E8011" s="112"/>
      <c r="F8011" s="139" t="s">
        <v>22673</v>
      </c>
      <c r="G8011" s="140"/>
      <c r="H8011" s="141"/>
      <c r="I8011" s="26">
        <v>79197</v>
      </c>
      <c r="J8011" s="117"/>
      <c r="K8011" s="120"/>
      <c r="L8011" s="121"/>
      <c r="M8011" s="120"/>
      <c r="N8011" s="121"/>
      <c r="O8011" s="120"/>
      <c r="P8011" s="121"/>
      <c r="Q8011" s="120"/>
      <c r="R8011" s="121"/>
      <c r="S8011" s="120"/>
      <c r="T8011" s="121"/>
      <c r="U8011" s="120"/>
      <c r="V8011" s="123"/>
      <c r="W8011" s="125"/>
      <c r="X8011" s="142" t="s">
        <v>7544</v>
      </c>
      <c r="Y8011" s="143"/>
      <c r="Z8011" s="143"/>
      <c r="AA8011" s="143"/>
      <c r="AB8011" s="144"/>
      <c r="AC8011" s="16" t="s">
        <v>21</v>
      </c>
      <c r="AD8011" s="17" t="s">
        <v>23320</v>
      </c>
      <c r="AE8011" s="145" t="s">
        <v>23350</v>
      </c>
      <c r="AF8011" s="146"/>
      <c r="AG8011" s="146"/>
      <c r="AH8011" s="146"/>
      <c r="AI8011" s="147"/>
      <c r="AJ8011" s="148"/>
      <c r="AK8011" s="143"/>
      <c r="AL8011" s="144"/>
      <c r="AM8011" s="22"/>
      <c r="AN8011" s="149" t="s">
        <v>2794</v>
      </c>
      <c r="AO8011" s="144"/>
      <c r="AP8011" s="148">
        <v>5101</v>
      </c>
      <c r="AQ8011" s="144"/>
      <c r="AR8011" s="120"/>
      <c r="AS8011" s="121"/>
      <c r="AT8011" s="120"/>
      <c r="AU8011" s="121"/>
      <c r="AV8011" s="120"/>
      <c r="AW8011" s="121"/>
      <c r="AX8011" s="120"/>
      <c r="AY8011" s="121"/>
      <c r="AZ8011" s="138"/>
    </row>
    <row r="8012" spans="1:52" ht="17.100000000000001" customHeight="1" thickTop="1">
      <c r="A8012" s="109" t="s">
        <v>22636</v>
      </c>
      <c r="B8012" s="28">
        <v>46121</v>
      </c>
      <c r="C8012" s="25">
        <v>2022</v>
      </c>
      <c r="D8012" s="13" t="s">
        <v>22838</v>
      </c>
      <c r="E8012" s="111"/>
      <c r="F8012" s="113" t="s">
        <v>22839</v>
      </c>
      <c r="G8012" s="114"/>
      <c r="H8012" s="115"/>
      <c r="I8012" s="24"/>
      <c r="J8012" s="116">
        <v>4</v>
      </c>
      <c r="K8012" s="118">
        <v>853000</v>
      </c>
      <c r="L8012" s="119"/>
      <c r="M8012" s="118">
        <f t="shared" ref="M8012" si="11926">K8012*0.1</f>
        <v>85300</v>
      </c>
      <c r="N8012" s="119"/>
      <c r="O8012" s="118">
        <v>0</v>
      </c>
      <c r="P8012" s="119"/>
      <c r="Q8012" s="118">
        <v>8790</v>
      </c>
      <c r="R8012" s="119"/>
      <c r="S8012" s="118">
        <v>22000</v>
      </c>
      <c r="T8012" s="119"/>
      <c r="U8012" s="118">
        <f t="shared" ref="U8012" si="11927">SUM(K8012:T8013)</f>
        <v>969090</v>
      </c>
      <c r="V8012" s="122"/>
      <c r="W8012" s="124"/>
      <c r="X8012" s="126" t="s">
        <v>23345</v>
      </c>
      <c r="Y8012" s="127"/>
      <c r="Z8012" s="127"/>
      <c r="AA8012" s="127"/>
      <c r="AB8012" s="128"/>
      <c r="AC8012" s="15" t="s">
        <v>20</v>
      </c>
      <c r="AD8012" s="129" t="s">
        <v>22840</v>
      </c>
      <c r="AE8012" s="130"/>
      <c r="AF8012" s="130"/>
      <c r="AG8012" s="130"/>
      <c r="AH8012" s="130"/>
      <c r="AI8012" s="131"/>
      <c r="AJ8012" s="132"/>
      <c r="AK8012" s="127"/>
      <c r="AL8012" s="128"/>
      <c r="AM8012" s="21"/>
      <c r="AN8012" s="133">
        <v>46134</v>
      </c>
      <c r="AO8012" s="134"/>
      <c r="AP8012" s="135">
        <v>1014</v>
      </c>
      <c r="AQ8012" s="136"/>
      <c r="AR8012" s="118">
        <v>925000</v>
      </c>
      <c r="AS8012" s="119"/>
      <c r="AT8012" s="118">
        <f t="shared" ref="AT8012" si="11928">AR8012*0.1</f>
        <v>92500</v>
      </c>
      <c r="AU8012" s="119"/>
      <c r="AV8012" s="118">
        <v>8790</v>
      </c>
      <c r="AW8012" s="119"/>
      <c r="AX8012" s="118">
        <f t="shared" ref="AX8012" si="11929">SUM(AR8012:AW8012)</f>
        <v>1026290</v>
      </c>
      <c r="AY8012" s="119"/>
      <c r="AZ8012" s="137">
        <v>46139</v>
      </c>
    </row>
    <row r="8013" spans="1:52" ht="17.100000000000001" customHeight="1" thickBot="1">
      <c r="A8013" s="110"/>
      <c r="B8013" s="27" t="s">
        <v>22666</v>
      </c>
      <c r="C8013" s="27">
        <v>55005</v>
      </c>
      <c r="D8013" s="14" t="s">
        <v>2325</v>
      </c>
      <c r="E8013" s="112"/>
      <c r="F8013" s="139" t="s">
        <v>22674</v>
      </c>
      <c r="G8013" s="140"/>
      <c r="H8013" s="141"/>
      <c r="I8013" s="26">
        <v>36714</v>
      </c>
      <c r="J8013" s="117"/>
      <c r="K8013" s="120"/>
      <c r="L8013" s="121"/>
      <c r="M8013" s="120"/>
      <c r="N8013" s="121"/>
      <c r="O8013" s="120"/>
      <c r="P8013" s="121"/>
      <c r="Q8013" s="120"/>
      <c r="R8013" s="121"/>
      <c r="S8013" s="120"/>
      <c r="T8013" s="121"/>
      <c r="U8013" s="120"/>
      <c r="V8013" s="123"/>
      <c r="W8013" s="125"/>
      <c r="X8013" s="142" t="s">
        <v>7544</v>
      </c>
      <c r="Y8013" s="143"/>
      <c r="Z8013" s="143"/>
      <c r="AA8013" s="143"/>
      <c r="AB8013" s="144"/>
      <c r="AC8013" s="16" t="s">
        <v>21</v>
      </c>
      <c r="AD8013" s="17" t="s">
        <v>23320</v>
      </c>
      <c r="AE8013" s="145" t="s">
        <v>3123</v>
      </c>
      <c r="AF8013" s="146"/>
      <c r="AG8013" s="146"/>
      <c r="AH8013" s="146"/>
      <c r="AI8013" s="147"/>
      <c r="AJ8013" s="148"/>
      <c r="AK8013" s="143"/>
      <c r="AL8013" s="144"/>
      <c r="AM8013" s="22"/>
      <c r="AN8013" s="149" t="s">
        <v>23987</v>
      </c>
      <c r="AO8013" s="144"/>
      <c r="AP8013" s="148">
        <v>2064</v>
      </c>
      <c r="AQ8013" s="144"/>
      <c r="AR8013" s="120"/>
      <c r="AS8013" s="121"/>
      <c r="AT8013" s="120"/>
      <c r="AU8013" s="121"/>
      <c r="AV8013" s="120"/>
      <c r="AW8013" s="121"/>
      <c r="AX8013" s="120"/>
      <c r="AY8013" s="121"/>
      <c r="AZ8013" s="138"/>
    </row>
    <row r="8014" spans="1:52" ht="17.100000000000001" customHeight="1" thickTop="1">
      <c r="A8014" s="109" t="s">
        <v>22637</v>
      </c>
      <c r="B8014" s="28">
        <v>46121</v>
      </c>
      <c r="C8014" s="25">
        <v>2022</v>
      </c>
      <c r="D8014" s="13" t="s">
        <v>22841</v>
      </c>
      <c r="E8014" s="111"/>
      <c r="F8014" s="113" t="s">
        <v>22675</v>
      </c>
      <c r="G8014" s="114"/>
      <c r="H8014" s="115"/>
      <c r="I8014" s="24"/>
      <c r="J8014" s="116">
        <v>4</v>
      </c>
      <c r="K8014" s="118">
        <v>420000</v>
      </c>
      <c r="L8014" s="119"/>
      <c r="M8014" s="118">
        <f t="shared" ref="M8014" si="11930">K8014*0.1</f>
        <v>42000</v>
      </c>
      <c r="N8014" s="119"/>
      <c r="O8014" s="118">
        <v>0</v>
      </c>
      <c r="P8014" s="119"/>
      <c r="Q8014" s="118">
        <v>5870</v>
      </c>
      <c r="R8014" s="119"/>
      <c r="S8014" s="118">
        <v>22000</v>
      </c>
      <c r="T8014" s="119"/>
      <c r="U8014" s="118">
        <f t="shared" ref="U8014" si="11931">SUM(K8014:T8015)</f>
        <v>489870</v>
      </c>
      <c r="V8014" s="122"/>
      <c r="W8014" s="124"/>
      <c r="X8014" s="126" t="s">
        <v>23237</v>
      </c>
      <c r="Y8014" s="127"/>
      <c r="Z8014" s="127"/>
      <c r="AA8014" s="127"/>
      <c r="AB8014" s="128"/>
      <c r="AC8014" s="15" t="s">
        <v>20</v>
      </c>
      <c r="AD8014" s="129" t="s">
        <v>22831</v>
      </c>
      <c r="AE8014" s="130"/>
      <c r="AF8014" s="130"/>
      <c r="AG8014" s="130"/>
      <c r="AH8014" s="130"/>
      <c r="AI8014" s="131"/>
      <c r="AJ8014" s="132"/>
      <c r="AK8014" s="127"/>
      <c r="AL8014" s="128"/>
      <c r="AM8014" s="21"/>
      <c r="AN8014" s="133">
        <v>46127</v>
      </c>
      <c r="AO8014" s="134"/>
      <c r="AP8014" s="135">
        <v>1013</v>
      </c>
      <c r="AQ8014" s="136"/>
      <c r="AR8014" s="118">
        <v>465000</v>
      </c>
      <c r="AS8014" s="119"/>
      <c r="AT8014" s="118">
        <f t="shared" ref="AT8014" si="11932">AR8014*0.1</f>
        <v>46500</v>
      </c>
      <c r="AU8014" s="119"/>
      <c r="AV8014" s="118">
        <v>5870</v>
      </c>
      <c r="AW8014" s="119"/>
      <c r="AX8014" s="118">
        <f t="shared" ref="AX8014" si="11933">SUM(AR8014:AW8014)</f>
        <v>517370</v>
      </c>
      <c r="AY8014" s="119"/>
      <c r="AZ8014" s="137">
        <v>46132</v>
      </c>
    </row>
    <row r="8015" spans="1:52" ht="17.100000000000001" customHeight="1" thickBot="1">
      <c r="A8015" s="110"/>
      <c r="B8015" s="27" t="s">
        <v>22666</v>
      </c>
      <c r="C8015" s="27">
        <v>55010</v>
      </c>
      <c r="D8015" s="14" t="s">
        <v>22795</v>
      </c>
      <c r="E8015" s="112"/>
      <c r="F8015" s="139" t="s">
        <v>22676</v>
      </c>
      <c r="G8015" s="140"/>
      <c r="H8015" s="141"/>
      <c r="I8015" s="26">
        <v>47775</v>
      </c>
      <c r="J8015" s="117"/>
      <c r="K8015" s="120"/>
      <c r="L8015" s="121"/>
      <c r="M8015" s="120"/>
      <c r="N8015" s="121"/>
      <c r="O8015" s="120"/>
      <c r="P8015" s="121"/>
      <c r="Q8015" s="120"/>
      <c r="R8015" s="121"/>
      <c r="S8015" s="120"/>
      <c r="T8015" s="121"/>
      <c r="U8015" s="120"/>
      <c r="V8015" s="123"/>
      <c r="W8015" s="125"/>
      <c r="X8015" s="142" t="s">
        <v>2482</v>
      </c>
      <c r="Y8015" s="143"/>
      <c r="Z8015" s="143"/>
      <c r="AA8015" s="143"/>
      <c r="AB8015" s="144"/>
      <c r="AC8015" s="16" t="s">
        <v>21</v>
      </c>
      <c r="AD8015" s="17" t="s">
        <v>1952</v>
      </c>
      <c r="AE8015" s="145" t="s">
        <v>171</v>
      </c>
      <c r="AF8015" s="146"/>
      <c r="AG8015" s="146"/>
      <c r="AH8015" s="146"/>
      <c r="AI8015" s="147"/>
      <c r="AJ8015" s="148"/>
      <c r="AK8015" s="143"/>
      <c r="AL8015" s="144"/>
      <c r="AM8015" s="22"/>
      <c r="AN8015" s="149" t="s">
        <v>2794</v>
      </c>
      <c r="AO8015" s="144"/>
      <c r="AP8015" s="148">
        <v>5198</v>
      </c>
      <c r="AQ8015" s="144"/>
      <c r="AR8015" s="120"/>
      <c r="AS8015" s="121"/>
      <c r="AT8015" s="120"/>
      <c r="AU8015" s="121"/>
      <c r="AV8015" s="120"/>
      <c r="AW8015" s="121"/>
      <c r="AX8015" s="120"/>
      <c r="AY8015" s="121"/>
      <c r="AZ8015" s="138"/>
    </row>
    <row r="8016" spans="1:52" ht="17.100000000000001" customHeight="1" thickTop="1">
      <c r="A8016" s="109" t="s">
        <v>22638</v>
      </c>
      <c r="B8016" s="28">
        <v>46121</v>
      </c>
      <c r="C8016" s="25">
        <v>2022</v>
      </c>
      <c r="D8016" s="13" t="s">
        <v>22842</v>
      </c>
      <c r="E8016" s="111"/>
      <c r="F8016" s="113" t="s">
        <v>22843</v>
      </c>
      <c r="G8016" s="114"/>
      <c r="H8016" s="115"/>
      <c r="I8016" s="24" t="s">
        <v>22844</v>
      </c>
      <c r="J8016" s="116">
        <v>4</v>
      </c>
      <c r="K8016" s="118">
        <v>258000</v>
      </c>
      <c r="L8016" s="119"/>
      <c r="M8016" s="118">
        <f t="shared" ref="M8016" si="11934">K8016*0.1</f>
        <v>25800</v>
      </c>
      <c r="N8016" s="119"/>
      <c r="O8016" s="118">
        <v>0</v>
      </c>
      <c r="P8016" s="119"/>
      <c r="Q8016" s="118">
        <v>9790</v>
      </c>
      <c r="R8016" s="119"/>
      <c r="S8016" s="118">
        <v>22000</v>
      </c>
      <c r="T8016" s="119"/>
      <c r="U8016" s="118">
        <f t="shared" ref="U8016" si="11935">SUM(K8016:T8017)</f>
        <v>315590</v>
      </c>
      <c r="V8016" s="122"/>
      <c r="W8016" s="124"/>
      <c r="X8016" s="126" t="s">
        <v>22845</v>
      </c>
      <c r="Y8016" s="127"/>
      <c r="Z8016" s="127"/>
      <c r="AA8016" s="127"/>
      <c r="AB8016" s="128"/>
      <c r="AC8016" s="15" t="s">
        <v>20</v>
      </c>
      <c r="AD8016" s="129"/>
      <c r="AE8016" s="130"/>
      <c r="AF8016" s="130"/>
      <c r="AG8016" s="130"/>
      <c r="AH8016" s="130"/>
      <c r="AI8016" s="131"/>
      <c r="AJ8016" s="132"/>
      <c r="AK8016" s="127"/>
      <c r="AL8016" s="128"/>
      <c r="AM8016" s="21"/>
      <c r="AN8016" s="133">
        <v>46127</v>
      </c>
      <c r="AO8016" s="134"/>
      <c r="AP8016" s="135">
        <v>1013</v>
      </c>
      <c r="AQ8016" s="136"/>
      <c r="AR8016" s="118">
        <v>305000</v>
      </c>
      <c r="AS8016" s="119"/>
      <c r="AT8016" s="118">
        <f t="shared" ref="AT8016" si="11936">AR8016*0.1</f>
        <v>30500</v>
      </c>
      <c r="AU8016" s="119"/>
      <c r="AV8016" s="118">
        <v>9790</v>
      </c>
      <c r="AW8016" s="119"/>
      <c r="AX8016" s="118">
        <f t="shared" ref="AX8016" si="11937">SUM(AR8016:AW8016)</f>
        <v>345290</v>
      </c>
      <c r="AY8016" s="119"/>
      <c r="AZ8016" s="137">
        <v>46132</v>
      </c>
    </row>
    <row r="8017" spans="1:52" ht="17.100000000000001" customHeight="1" thickBot="1">
      <c r="A8017" s="110"/>
      <c r="B8017" s="27" t="s">
        <v>22666</v>
      </c>
      <c r="C8017" s="27">
        <v>55028</v>
      </c>
      <c r="D8017" s="14" t="s">
        <v>22792</v>
      </c>
      <c r="E8017" s="112"/>
      <c r="F8017" s="139" t="s">
        <v>22677</v>
      </c>
      <c r="G8017" s="140"/>
      <c r="H8017" s="141"/>
      <c r="I8017" s="26">
        <v>69861</v>
      </c>
      <c r="J8017" s="117"/>
      <c r="K8017" s="120"/>
      <c r="L8017" s="121"/>
      <c r="M8017" s="120"/>
      <c r="N8017" s="121"/>
      <c r="O8017" s="120"/>
      <c r="P8017" s="121"/>
      <c r="Q8017" s="120"/>
      <c r="R8017" s="121"/>
      <c r="S8017" s="120"/>
      <c r="T8017" s="121"/>
      <c r="U8017" s="120"/>
      <c r="V8017" s="123"/>
      <c r="W8017" s="125"/>
      <c r="X8017" s="142" t="s">
        <v>23233</v>
      </c>
      <c r="Y8017" s="143"/>
      <c r="Z8017" s="143"/>
      <c r="AA8017" s="143"/>
      <c r="AB8017" s="144"/>
      <c r="AC8017" s="16" t="s">
        <v>21</v>
      </c>
      <c r="AD8017" s="17" t="s">
        <v>1952</v>
      </c>
      <c r="AE8017" s="145"/>
      <c r="AF8017" s="146"/>
      <c r="AG8017" s="146"/>
      <c r="AH8017" s="146"/>
      <c r="AI8017" s="147"/>
      <c r="AJ8017" s="148"/>
      <c r="AK8017" s="143"/>
      <c r="AL8017" s="144"/>
      <c r="AM8017" s="22"/>
      <c r="AN8017" s="149" t="s">
        <v>2794</v>
      </c>
      <c r="AO8017" s="144"/>
      <c r="AP8017" s="148">
        <v>5124</v>
      </c>
      <c r="AQ8017" s="144"/>
      <c r="AR8017" s="120"/>
      <c r="AS8017" s="121"/>
      <c r="AT8017" s="120"/>
      <c r="AU8017" s="121"/>
      <c r="AV8017" s="120"/>
      <c r="AW8017" s="121"/>
      <c r="AX8017" s="120"/>
      <c r="AY8017" s="121"/>
      <c r="AZ8017" s="138"/>
    </row>
    <row r="8018" spans="1:52" ht="17.100000000000001" customHeight="1" thickTop="1">
      <c r="A8018" s="109" t="s">
        <v>22639</v>
      </c>
      <c r="B8018" s="28">
        <v>46121</v>
      </c>
      <c r="C8018" s="25">
        <v>2022</v>
      </c>
      <c r="D8018" s="13" t="s">
        <v>22835</v>
      </c>
      <c r="E8018" s="111"/>
      <c r="F8018" s="113" t="s">
        <v>15949</v>
      </c>
      <c r="G8018" s="114"/>
      <c r="H8018" s="115"/>
      <c r="I8018" s="24"/>
      <c r="J8018" s="116">
        <v>3.5</v>
      </c>
      <c r="K8018" s="118">
        <v>364000</v>
      </c>
      <c r="L8018" s="119"/>
      <c r="M8018" s="118">
        <f t="shared" ref="M8018" si="11938">K8018*0.1</f>
        <v>36400</v>
      </c>
      <c r="N8018" s="119"/>
      <c r="O8018" s="118">
        <v>0</v>
      </c>
      <c r="P8018" s="119"/>
      <c r="Q8018" s="118">
        <v>7140</v>
      </c>
      <c r="R8018" s="119"/>
      <c r="S8018" s="118">
        <v>22000</v>
      </c>
      <c r="T8018" s="119"/>
      <c r="U8018" s="118">
        <f t="shared" ref="U8018" si="11939">SUM(K8018:T8019)</f>
        <v>429540</v>
      </c>
      <c r="V8018" s="122"/>
      <c r="W8018" s="124"/>
      <c r="X8018" s="126" t="s">
        <v>23277</v>
      </c>
      <c r="Y8018" s="127"/>
      <c r="Z8018" s="127"/>
      <c r="AA8018" s="127"/>
      <c r="AB8018" s="128"/>
      <c r="AC8018" s="15" t="s">
        <v>20</v>
      </c>
      <c r="AD8018" s="129" t="s">
        <v>22783</v>
      </c>
      <c r="AE8018" s="130"/>
      <c r="AF8018" s="130"/>
      <c r="AG8018" s="130"/>
      <c r="AH8018" s="130"/>
      <c r="AI8018" s="131"/>
      <c r="AJ8018" s="132"/>
      <c r="AK8018" s="127"/>
      <c r="AL8018" s="128"/>
      <c r="AM8018" s="21"/>
      <c r="AN8018" s="133">
        <v>46134</v>
      </c>
      <c r="AO8018" s="134"/>
      <c r="AP8018" s="135">
        <v>1014</v>
      </c>
      <c r="AQ8018" s="136"/>
      <c r="AR8018" s="118">
        <v>360000</v>
      </c>
      <c r="AS8018" s="119"/>
      <c r="AT8018" s="118">
        <f t="shared" ref="AT8018" si="11940">AR8018*0.1</f>
        <v>36000</v>
      </c>
      <c r="AU8018" s="119"/>
      <c r="AV8018" s="118">
        <v>7140</v>
      </c>
      <c r="AW8018" s="119"/>
      <c r="AX8018" s="118">
        <f t="shared" ref="AX8018" si="11941">SUM(AR8018:AW8018)</f>
        <v>403140</v>
      </c>
      <c r="AY8018" s="119"/>
      <c r="AZ8018" s="137">
        <v>46139</v>
      </c>
    </row>
    <row r="8019" spans="1:52" ht="17.100000000000001" customHeight="1" thickBot="1">
      <c r="A8019" s="110"/>
      <c r="B8019" s="27" t="s">
        <v>22666</v>
      </c>
      <c r="C8019" s="27">
        <v>55042</v>
      </c>
      <c r="D8019" s="14" t="s">
        <v>22795</v>
      </c>
      <c r="E8019" s="112"/>
      <c r="F8019" s="139" t="s">
        <v>22678</v>
      </c>
      <c r="G8019" s="140"/>
      <c r="H8019" s="141"/>
      <c r="I8019" s="26">
        <v>47268</v>
      </c>
      <c r="J8019" s="117"/>
      <c r="K8019" s="120"/>
      <c r="L8019" s="121"/>
      <c r="M8019" s="120"/>
      <c r="N8019" s="121"/>
      <c r="O8019" s="120"/>
      <c r="P8019" s="121"/>
      <c r="Q8019" s="120"/>
      <c r="R8019" s="121"/>
      <c r="S8019" s="120"/>
      <c r="T8019" s="121"/>
      <c r="U8019" s="120"/>
      <c r="V8019" s="123"/>
      <c r="W8019" s="125"/>
      <c r="X8019" s="142" t="s">
        <v>3986</v>
      </c>
      <c r="Y8019" s="143"/>
      <c r="Z8019" s="143"/>
      <c r="AA8019" s="143"/>
      <c r="AB8019" s="144"/>
      <c r="AC8019" s="16" t="s">
        <v>21</v>
      </c>
      <c r="AD8019" s="17" t="s">
        <v>1952</v>
      </c>
      <c r="AE8019" s="145" t="s">
        <v>1670</v>
      </c>
      <c r="AF8019" s="146"/>
      <c r="AG8019" s="146"/>
      <c r="AH8019" s="146"/>
      <c r="AI8019" s="147"/>
      <c r="AJ8019" s="148"/>
      <c r="AK8019" s="143"/>
      <c r="AL8019" s="144"/>
      <c r="AM8019" s="22"/>
      <c r="AN8019" s="149" t="s">
        <v>23987</v>
      </c>
      <c r="AO8019" s="144"/>
      <c r="AP8019" s="148">
        <v>2051</v>
      </c>
      <c r="AQ8019" s="144"/>
      <c r="AR8019" s="120"/>
      <c r="AS8019" s="121"/>
      <c r="AT8019" s="120"/>
      <c r="AU8019" s="121"/>
      <c r="AV8019" s="120"/>
      <c r="AW8019" s="121"/>
      <c r="AX8019" s="120"/>
      <c r="AY8019" s="121"/>
      <c r="AZ8019" s="138"/>
    </row>
    <row r="8020" spans="1:52" ht="17.100000000000001" customHeight="1" thickTop="1">
      <c r="A8020" s="109" t="s">
        <v>22640</v>
      </c>
      <c r="B8020" s="28">
        <v>46121</v>
      </c>
      <c r="C8020" s="25">
        <v>2022</v>
      </c>
      <c r="D8020" s="13" t="s">
        <v>22846</v>
      </c>
      <c r="E8020" s="111"/>
      <c r="F8020" s="113" t="s">
        <v>22847</v>
      </c>
      <c r="G8020" s="114"/>
      <c r="H8020" s="115"/>
      <c r="I8020" s="24"/>
      <c r="J8020" s="116">
        <v>4</v>
      </c>
      <c r="K8020" s="118">
        <v>1109000</v>
      </c>
      <c r="L8020" s="119"/>
      <c r="M8020" s="118">
        <f t="shared" ref="M8020" si="11942">K8020*0.1</f>
        <v>110900</v>
      </c>
      <c r="N8020" s="119"/>
      <c r="O8020" s="118">
        <v>0</v>
      </c>
      <c r="P8020" s="119"/>
      <c r="Q8020" s="118">
        <v>6860</v>
      </c>
      <c r="R8020" s="119"/>
      <c r="S8020" s="118">
        <v>22000</v>
      </c>
      <c r="T8020" s="119"/>
      <c r="U8020" s="118">
        <f t="shared" ref="U8020" si="11943">SUM(K8020:T8021)</f>
        <v>1248760</v>
      </c>
      <c r="V8020" s="122"/>
      <c r="W8020" s="124"/>
      <c r="X8020" s="126" t="s">
        <v>23234</v>
      </c>
      <c r="Y8020" s="127"/>
      <c r="Z8020" s="127"/>
      <c r="AA8020" s="127"/>
      <c r="AB8020" s="128"/>
      <c r="AC8020" s="15" t="s">
        <v>20</v>
      </c>
      <c r="AD8020" s="129" t="s">
        <v>22797</v>
      </c>
      <c r="AE8020" s="130"/>
      <c r="AF8020" s="130"/>
      <c r="AG8020" s="130"/>
      <c r="AH8020" s="130"/>
      <c r="AI8020" s="131"/>
      <c r="AJ8020" s="132"/>
      <c r="AK8020" s="127"/>
      <c r="AL8020" s="128"/>
      <c r="AM8020" s="21"/>
      <c r="AN8020" s="133">
        <v>46127</v>
      </c>
      <c r="AO8020" s="134"/>
      <c r="AP8020" s="135">
        <v>1013</v>
      </c>
      <c r="AQ8020" s="136"/>
      <c r="AR8020" s="118">
        <v>1150000</v>
      </c>
      <c r="AS8020" s="119"/>
      <c r="AT8020" s="118">
        <f t="shared" ref="AT8020" si="11944">AR8020*0.1</f>
        <v>115000</v>
      </c>
      <c r="AU8020" s="119"/>
      <c r="AV8020" s="118">
        <v>6860</v>
      </c>
      <c r="AW8020" s="119"/>
      <c r="AX8020" s="118">
        <f t="shared" ref="AX8020" si="11945">SUM(AR8020:AW8020)</f>
        <v>1271860</v>
      </c>
      <c r="AY8020" s="119"/>
      <c r="AZ8020" s="137">
        <v>46132</v>
      </c>
    </row>
    <row r="8021" spans="1:52" ht="17.100000000000001" customHeight="1" thickBot="1">
      <c r="A8021" s="110"/>
      <c r="B8021" s="27" t="s">
        <v>22666</v>
      </c>
      <c r="C8021" s="27">
        <v>55086</v>
      </c>
      <c r="D8021" s="14" t="s">
        <v>22773</v>
      </c>
      <c r="E8021" s="112"/>
      <c r="F8021" s="139" t="s">
        <v>22679</v>
      </c>
      <c r="G8021" s="140"/>
      <c r="H8021" s="141"/>
      <c r="I8021" s="26">
        <v>36334</v>
      </c>
      <c r="J8021" s="117"/>
      <c r="K8021" s="120"/>
      <c r="L8021" s="121"/>
      <c r="M8021" s="120"/>
      <c r="N8021" s="121"/>
      <c r="O8021" s="120"/>
      <c r="P8021" s="121"/>
      <c r="Q8021" s="120"/>
      <c r="R8021" s="121"/>
      <c r="S8021" s="120"/>
      <c r="T8021" s="121"/>
      <c r="U8021" s="120"/>
      <c r="V8021" s="123"/>
      <c r="W8021" s="125"/>
      <c r="X8021" s="142" t="s">
        <v>23235</v>
      </c>
      <c r="Y8021" s="143"/>
      <c r="Z8021" s="143"/>
      <c r="AA8021" s="143"/>
      <c r="AB8021" s="144"/>
      <c r="AC8021" s="16" t="s">
        <v>21</v>
      </c>
      <c r="AD8021" s="17" t="s">
        <v>1952</v>
      </c>
      <c r="AE8021" s="145" t="s">
        <v>1633</v>
      </c>
      <c r="AF8021" s="146"/>
      <c r="AG8021" s="146"/>
      <c r="AH8021" s="146"/>
      <c r="AI8021" s="147"/>
      <c r="AJ8021" s="148"/>
      <c r="AK8021" s="143"/>
      <c r="AL8021" s="144"/>
      <c r="AM8021" s="22"/>
      <c r="AN8021" s="149" t="s">
        <v>2794</v>
      </c>
      <c r="AO8021" s="144"/>
      <c r="AP8021" s="148">
        <v>5108</v>
      </c>
      <c r="AQ8021" s="144"/>
      <c r="AR8021" s="120"/>
      <c r="AS8021" s="121"/>
      <c r="AT8021" s="120"/>
      <c r="AU8021" s="121"/>
      <c r="AV8021" s="120"/>
      <c r="AW8021" s="121"/>
      <c r="AX8021" s="120"/>
      <c r="AY8021" s="121"/>
      <c r="AZ8021" s="138"/>
    </row>
    <row r="8022" spans="1:52" ht="17.100000000000001" customHeight="1" thickTop="1">
      <c r="A8022" s="109" t="s">
        <v>22641</v>
      </c>
      <c r="B8022" s="28">
        <v>46121</v>
      </c>
      <c r="C8022" s="25">
        <v>2022</v>
      </c>
      <c r="D8022" s="13" t="s">
        <v>22846</v>
      </c>
      <c r="E8022" s="111"/>
      <c r="F8022" s="113" t="s">
        <v>22848</v>
      </c>
      <c r="G8022" s="114"/>
      <c r="H8022" s="115"/>
      <c r="I8022" s="24" t="s">
        <v>22849</v>
      </c>
      <c r="J8022" s="116">
        <v>4</v>
      </c>
      <c r="K8022" s="118">
        <v>962000</v>
      </c>
      <c r="L8022" s="119"/>
      <c r="M8022" s="118">
        <f t="shared" ref="M8022" si="11946">K8022*0.1</f>
        <v>96200</v>
      </c>
      <c r="N8022" s="119"/>
      <c r="O8022" s="118">
        <v>0</v>
      </c>
      <c r="P8022" s="119"/>
      <c r="Q8022" s="118">
        <v>8790</v>
      </c>
      <c r="R8022" s="119"/>
      <c r="S8022" s="118">
        <v>22000</v>
      </c>
      <c r="T8022" s="119"/>
      <c r="U8022" s="118">
        <f t="shared" ref="U8022" si="11947">SUM(K8022:T8023)</f>
        <v>1088990</v>
      </c>
      <c r="V8022" s="122"/>
      <c r="W8022" s="124"/>
      <c r="X8022" s="126" t="s">
        <v>22850</v>
      </c>
      <c r="Y8022" s="127"/>
      <c r="Z8022" s="127"/>
      <c r="AA8022" s="127"/>
      <c r="AB8022" s="128"/>
      <c r="AC8022" s="15" t="s">
        <v>20</v>
      </c>
      <c r="AD8022" s="129" t="s">
        <v>22831</v>
      </c>
      <c r="AE8022" s="130"/>
      <c r="AF8022" s="130"/>
      <c r="AG8022" s="130"/>
      <c r="AH8022" s="130"/>
      <c r="AI8022" s="131"/>
      <c r="AJ8022" s="132"/>
      <c r="AK8022" s="127"/>
      <c r="AL8022" s="128"/>
      <c r="AM8022" s="21"/>
      <c r="AN8022" s="133">
        <v>46134</v>
      </c>
      <c r="AO8022" s="134"/>
      <c r="AP8022" s="135">
        <v>1014</v>
      </c>
      <c r="AQ8022" s="136"/>
      <c r="AR8022" s="118">
        <v>940000</v>
      </c>
      <c r="AS8022" s="119"/>
      <c r="AT8022" s="118">
        <f t="shared" ref="AT8022" si="11948">AR8022*0.1</f>
        <v>94000</v>
      </c>
      <c r="AU8022" s="119"/>
      <c r="AV8022" s="118">
        <v>8790</v>
      </c>
      <c r="AW8022" s="119"/>
      <c r="AX8022" s="118">
        <f t="shared" ref="AX8022" si="11949">SUM(AR8022:AW8022)</f>
        <v>1042790</v>
      </c>
      <c r="AY8022" s="119"/>
      <c r="AZ8022" s="137">
        <v>46139</v>
      </c>
    </row>
    <row r="8023" spans="1:52" ht="17.100000000000001" customHeight="1" thickBot="1">
      <c r="A8023" s="110"/>
      <c r="B8023" s="27" t="s">
        <v>22666</v>
      </c>
      <c r="C8023" s="27">
        <v>55114</v>
      </c>
      <c r="D8023" s="14" t="s">
        <v>22785</v>
      </c>
      <c r="E8023" s="112"/>
      <c r="F8023" s="139" t="s">
        <v>22680</v>
      </c>
      <c r="G8023" s="140"/>
      <c r="H8023" s="141"/>
      <c r="I8023" s="26">
        <v>34987</v>
      </c>
      <c r="J8023" s="117"/>
      <c r="K8023" s="120"/>
      <c r="L8023" s="121"/>
      <c r="M8023" s="120"/>
      <c r="N8023" s="121"/>
      <c r="O8023" s="120"/>
      <c r="P8023" s="121"/>
      <c r="Q8023" s="120"/>
      <c r="R8023" s="121"/>
      <c r="S8023" s="120"/>
      <c r="T8023" s="121"/>
      <c r="U8023" s="120"/>
      <c r="V8023" s="123"/>
      <c r="W8023" s="125"/>
      <c r="X8023" s="142" t="s">
        <v>2321</v>
      </c>
      <c r="Y8023" s="143"/>
      <c r="Z8023" s="143"/>
      <c r="AA8023" s="143"/>
      <c r="AB8023" s="144"/>
      <c r="AC8023" s="16" t="s">
        <v>21</v>
      </c>
      <c r="AD8023" s="17" t="s">
        <v>1952</v>
      </c>
      <c r="AE8023" s="145" t="s">
        <v>4608</v>
      </c>
      <c r="AF8023" s="146"/>
      <c r="AG8023" s="146"/>
      <c r="AH8023" s="146"/>
      <c r="AI8023" s="147"/>
      <c r="AJ8023" s="148"/>
      <c r="AK8023" s="143"/>
      <c r="AL8023" s="144"/>
      <c r="AM8023" s="22"/>
      <c r="AN8023" s="149" t="s">
        <v>24171</v>
      </c>
      <c r="AO8023" s="144"/>
      <c r="AP8023" s="148">
        <v>2043</v>
      </c>
      <c r="AQ8023" s="144"/>
      <c r="AR8023" s="120"/>
      <c r="AS8023" s="121"/>
      <c r="AT8023" s="120"/>
      <c r="AU8023" s="121"/>
      <c r="AV8023" s="120"/>
      <c r="AW8023" s="121"/>
      <c r="AX8023" s="120"/>
      <c r="AY8023" s="121"/>
      <c r="AZ8023" s="138"/>
    </row>
    <row r="8024" spans="1:52" ht="17.100000000000001" customHeight="1" thickTop="1">
      <c r="A8024" s="109" t="s">
        <v>22642</v>
      </c>
      <c r="B8024" s="28">
        <v>46121</v>
      </c>
      <c r="C8024" s="25">
        <v>2022</v>
      </c>
      <c r="D8024" s="13" t="s">
        <v>22851</v>
      </c>
      <c r="E8024" s="111"/>
      <c r="F8024" s="113" t="s">
        <v>22852</v>
      </c>
      <c r="G8024" s="114"/>
      <c r="H8024" s="115"/>
      <c r="I8024" s="24"/>
      <c r="J8024" s="116">
        <v>3.5</v>
      </c>
      <c r="K8024" s="118">
        <v>666000</v>
      </c>
      <c r="L8024" s="119"/>
      <c r="M8024" s="118">
        <f t="shared" ref="M8024" si="11950">K8024*0.1</f>
        <v>66600</v>
      </c>
      <c r="N8024" s="119"/>
      <c r="O8024" s="118">
        <v>0</v>
      </c>
      <c r="P8024" s="119"/>
      <c r="Q8024" s="118">
        <v>8010</v>
      </c>
      <c r="R8024" s="119"/>
      <c r="S8024" s="118">
        <v>22000</v>
      </c>
      <c r="T8024" s="119"/>
      <c r="U8024" s="118">
        <f t="shared" ref="U8024" si="11951">SUM(K8024:T8025)</f>
        <v>762610</v>
      </c>
      <c r="V8024" s="122"/>
      <c r="W8024" s="124"/>
      <c r="X8024" s="126" t="s">
        <v>23267</v>
      </c>
      <c r="Y8024" s="127"/>
      <c r="Z8024" s="127"/>
      <c r="AA8024" s="127"/>
      <c r="AB8024" s="128"/>
      <c r="AC8024" s="15" t="s">
        <v>20</v>
      </c>
      <c r="AD8024" s="129" t="s">
        <v>22783</v>
      </c>
      <c r="AE8024" s="130"/>
      <c r="AF8024" s="130"/>
      <c r="AG8024" s="130"/>
      <c r="AH8024" s="130"/>
      <c r="AI8024" s="131"/>
      <c r="AJ8024" s="132"/>
      <c r="AK8024" s="127"/>
      <c r="AL8024" s="128"/>
      <c r="AM8024" s="21"/>
      <c r="AN8024" s="133"/>
      <c r="AO8024" s="134"/>
      <c r="AP8024" s="135"/>
      <c r="AQ8024" s="136"/>
      <c r="AR8024" s="118"/>
      <c r="AS8024" s="119"/>
      <c r="AT8024" s="118">
        <f t="shared" ref="AT8024" si="11952">AR8024*0.1</f>
        <v>0</v>
      </c>
      <c r="AU8024" s="119"/>
      <c r="AV8024" s="118"/>
      <c r="AW8024" s="119"/>
      <c r="AX8024" s="118">
        <f t="shared" ref="AX8024" si="11953">SUM(AR8024:AW8024)</f>
        <v>0</v>
      </c>
      <c r="AY8024" s="119"/>
      <c r="AZ8024" s="137"/>
    </row>
    <row r="8025" spans="1:52" ht="17.100000000000001" customHeight="1" thickBot="1">
      <c r="A8025" s="110"/>
      <c r="B8025" s="27" t="s">
        <v>22666</v>
      </c>
      <c r="C8025" s="27">
        <v>55122</v>
      </c>
      <c r="D8025" s="14" t="s">
        <v>22795</v>
      </c>
      <c r="E8025" s="112"/>
      <c r="F8025" s="139" t="s">
        <v>22681</v>
      </c>
      <c r="G8025" s="140"/>
      <c r="H8025" s="141"/>
      <c r="I8025" s="26">
        <v>50187</v>
      </c>
      <c r="J8025" s="117"/>
      <c r="K8025" s="120"/>
      <c r="L8025" s="121"/>
      <c r="M8025" s="120"/>
      <c r="N8025" s="121"/>
      <c r="O8025" s="120"/>
      <c r="P8025" s="121"/>
      <c r="Q8025" s="120"/>
      <c r="R8025" s="121"/>
      <c r="S8025" s="120"/>
      <c r="T8025" s="121"/>
      <c r="U8025" s="120"/>
      <c r="V8025" s="123"/>
      <c r="W8025" s="125"/>
      <c r="X8025" s="142" t="s">
        <v>3986</v>
      </c>
      <c r="Y8025" s="143"/>
      <c r="Z8025" s="143"/>
      <c r="AA8025" s="143"/>
      <c r="AB8025" s="144"/>
      <c r="AC8025" s="16" t="s">
        <v>21</v>
      </c>
      <c r="AD8025" s="17" t="s">
        <v>1952</v>
      </c>
      <c r="AE8025" s="145" t="s">
        <v>1670</v>
      </c>
      <c r="AF8025" s="146"/>
      <c r="AG8025" s="146"/>
      <c r="AH8025" s="146"/>
      <c r="AI8025" s="147"/>
      <c r="AJ8025" s="148"/>
      <c r="AK8025" s="143"/>
      <c r="AL8025" s="144"/>
      <c r="AM8025" s="22"/>
      <c r="AN8025" s="149"/>
      <c r="AO8025" s="144"/>
      <c r="AP8025" s="148"/>
      <c r="AQ8025" s="144"/>
      <c r="AR8025" s="120"/>
      <c r="AS8025" s="121"/>
      <c r="AT8025" s="120"/>
      <c r="AU8025" s="121"/>
      <c r="AV8025" s="120"/>
      <c r="AW8025" s="121"/>
      <c r="AX8025" s="120"/>
      <c r="AY8025" s="121"/>
      <c r="AZ8025" s="138"/>
    </row>
    <row r="8026" spans="1:52" ht="17.100000000000001" customHeight="1" thickTop="1">
      <c r="A8026" s="109" t="s">
        <v>22643</v>
      </c>
      <c r="B8026" s="28">
        <v>46121</v>
      </c>
      <c r="C8026" s="25">
        <v>2022</v>
      </c>
      <c r="D8026" s="13" t="s">
        <v>22838</v>
      </c>
      <c r="E8026" s="111"/>
      <c r="F8026" s="113" t="s">
        <v>22853</v>
      </c>
      <c r="G8026" s="114"/>
      <c r="H8026" s="115"/>
      <c r="I8026" s="24" t="s">
        <v>22849</v>
      </c>
      <c r="J8026" s="116">
        <v>4</v>
      </c>
      <c r="K8026" s="118">
        <v>549000</v>
      </c>
      <c r="L8026" s="119"/>
      <c r="M8026" s="118">
        <f t="shared" ref="M8026" si="11954">K8026*0.1</f>
        <v>54900</v>
      </c>
      <c r="N8026" s="119"/>
      <c r="O8026" s="118">
        <v>0</v>
      </c>
      <c r="P8026" s="119"/>
      <c r="Q8026" s="118">
        <v>7510</v>
      </c>
      <c r="R8026" s="119"/>
      <c r="S8026" s="118">
        <v>22000</v>
      </c>
      <c r="T8026" s="119"/>
      <c r="U8026" s="118">
        <f t="shared" ref="U8026" si="11955">SUM(K8026:T8027)</f>
        <v>633410</v>
      </c>
      <c r="V8026" s="122"/>
      <c r="W8026" s="124"/>
      <c r="X8026" s="126" t="s">
        <v>22854</v>
      </c>
      <c r="Y8026" s="127"/>
      <c r="Z8026" s="127"/>
      <c r="AA8026" s="127"/>
      <c r="AB8026" s="128"/>
      <c r="AC8026" s="15" t="s">
        <v>20</v>
      </c>
      <c r="AD8026" s="129" t="s">
        <v>22783</v>
      </c>
      <c r="AE8026" s="130"/>
      <c r="AF8026" s="130"/>
      <c r="AG8026" s="130"/>
      <c r="AH8026" s="130"/>
      <c r="AI8026" s="131"/>
      <c r="AJ8026" s="132"/>
      <c r="AK8026" s="127"/>
      <c r="AL8026" s="128"/>
      <c r="AM8026" s="21"/>
      <c r="AN8026" s="133">
        <v>46127</v>
      </c>
      <c r="AO8026" s="134"/>
      <c r="AP8026" s="135">
        <v>1013</v>
      </c>
      <c r="AQ8026" s="136"/>
      <c r="AR8026" s="118">
        <v>605000</v>
      </c>
      <c r="AS8026" s="119"/>
      <c r="AT8026" s="118">
        <f t="shared" ref="AT8026" si="11956">AR8026*0.1</f>
        <v>60500</v>
      </c>
      <c r="AU8026" s="119"/>
      <c r="AV8026" s="118">
        <v>7510</v>
      </c>
      <c r="AW8026" s="119"/>
      <c r="AX8026" s="118">
        <f t="shared" ref="AX8026" si="11957">SUM(AR8026:AW8026)</f>
        <v>673010</v>
      </c>
      <c r="AY8026" s="119"/>
      <c r="AZ8026" s="137">
        <v>46133</v>
      </c>
    </row>
    <row r="8027" spans="1:52" ht="17.100000000000001" customHeight="1" thickBot="1">
      <c r="A8027" s="110"/>
      <c r="B8027" s="27" t="s">
        <v>22666</v>
      </c>
      <c r="C8027" s="27">
        <v>55130</v>
      </c>
      <c r="D8027" s="14" t="s">
        <v>22795</v>
      </c>
      <c r="E8027" s="112"/>
      <c r="F8027" s="139" t="s">
        <v>22682</v>
      </c>
      <c r="G8027" s="140"/>
      <c r="H8027" s="141"/>
      <c r="I8027" s="26">
        <v>56637</v>
      </c>
      <c r="J8027" s="117"/>
      <c r="K8027" s="120"/>
      <c r="L8027" s="121"/>
      <c r="M8027" s="120"/>
      <c r="N8027" s="121"/>
      <c r="O8027" s="120"/>
      <c r="P8027" s="121"/>
      <c r="Q8027" s="120"/>
      <c r="R8027" s="121"/>
      <c r="S8027" s="120"/>
      <c r="T8027" s="121"/>
      <c r="U8027" s="120"/>
      <c r="V8027" s="123"/>
      <c r="W8027" s="125"/>
      <c r="X8027" s="142" t="s">
        <v>7544</v>
      </c>
      <c r="Y8027" s="143"/>
      <c r="Z8027" s="143"/>
      <c r="AA8027" s="143"/>
      <c r="AB8027" s="144"/>
      <c r="AC8027" s="16" t="s">
        <v>21</v>
      </c>
      <c r="AD8027" s="17" t="s">
        <v>23320</v>
      </c>
      <c r="AE8027" s="145" t="s">
        <v>23306</v>
      </c>
      <c r="AF8027" s="146"/>
      <c r="AG8027" s="146"/>
      <c r="AH8027" s="146"/>
      <c r="AI8027" s="147"/>
      <c r="AJ8027" s="148"/>
      <c r="AK8027" s="143"/>
      <c r="AL8027" s="144"/>
      <c r="AM8027" s="22"/>
      <c r="AN8027" s="149" t="s">
        <v>2794</v>
      </c>
      <c r="AO8027" s="144"/>
      <c r="AP8027" s="148">
        <v>5161</v>
      </c>
      <c r="AQ8027" s="144"/>
      <c r="AR8027" s="120"/>
      <c r="AS8027" s="121"/>
      <c r="AT8027" s="120"/>
      <c r="AU8027" s="121"/>
      <c r="AV8027" s="120"/>
      <c r="AW8027" s="121"/>
      <c r="AX8027" s="120"/>
      <c r="AY8027" s="121"/>
      <c r="AZ8027" s="138"/>
    </row>
    <row r="8028" spans="1:52" ht="17.100000000000001" customHeight="1" thickTop="1">
      <c r="A8028" s="109" t="s">
        <v>22644</v>
      </c>
      <c r="B8028" s="28">
        <v>46121</v>
      </c>
      <c r="C8028" s="25">
        <v>2022</v>
      </c>
      <c r="D8028" s="13" t="s">
        <v>22855</v>
      </c>
      <c r="E8028" s="111"/>
      <c r="F8028" s="113" t="s">
        <v>22796</v>
      </c>
      <c r="G8028" s="114"/>
      <c r="H8028" s="115"/>
      <c r="I8028" s="24"/>
      <c r="J8028" s="116">
        <v>4</v>
      </c>
      <c r="K8028" s="118">
        <v>917000</v>
      </c>
      <c r="L8028" s="119"/>
      <c r="M8028" s="118">
        <f t="shared" ref="M8028" si="11958">K8028*0.1</f>
        <v>91700</v>
      </c>
      <c r="N8028" s="119"/>
      <c r="O8028" s="118">
        <v>0</v>
      </c>
      <c r="P8028" s="119"/>
      <c r="Q8028" s="118">
        <v>8010</v>
      </c>
      <c r="R8028" s="119"/>
      <c r="S8028" s="118">
        <v>22000</v>
      </c>
      <c r="T8028" s="119"/>
      <c r="U8028" s="118">
        <f t="shared" ref="U8028" si="11959">SUM(K8028:T8029)</f>
        <v>1038710</v>
      </c>
      <c r="V8028" s="122"/>
      <c r="W8028" s="124"/>
      <c r="X8028" s="126" t="s">
        <v>23279</v>
      </c>
      <c r="Y8028" s="127"/>
      <c r="Z8028" s="127"/>
      <c r="AA8028" s="127"/>
      <c r="AB8028" s="128"/>
      <c r="AC8028" s="15" t="s">
        <v>20</v>
      </c>
      <c r="AD8028" s="129" t="s">
        <v>22813</v>
      </c>
      <c r="AE8028" s="130"/>
      <c r="AF8028" s="130"/>
      <c r="AG8028" s="130"/>
      <c r="AH8028" s="130"/>
      <c r="AI8028" s="131"/>
      <c r="AJ8028" s="132"/>
      <c r="AK8028" s="127"/>
      <c r="AL8028" s="128"/>
      <c r="AM8028" s="21"/>
      <c r="AN8028" s="133">
        <v>46134</v>
      </c>
      <c r="AO8028" s="134"/>
      <c r="AP8028" s="135">
        <v>1014</v>
      </c>
      <c r="AQ8028" s="136"/>
      <c r="AR8028" s="118">
        <v>1020000</v>
      </c>
      <c r="AS8028" s="119"/>
      <c r="AT8028" s="118">
        <f t="shared" ref="AT8028" si="11960">AR8028*0.1</f>
        <v>102000</v>
      </c>
      <c r="AU8028" s="119"/>
      <c r="AV8028" s="118">
        <v>8010</v>
      </c>
      <c r="AW8028" s="119"/>
      <c r="AX8028" s="118">
        <f t="shared" ref="AX8028" si="11961">SUM(AR8028:AW8028)</f>
        <v>1130010</v>
      </c>
      <c r="AY8028" s="119"/>
      <c r="AZ8028" s="137">
        <v>46139</v>
      </c>
    </row>
    <row r="8029" spans="1:52" ht="17.100000000000001" customHeight="1" thickBot="1">
      <c r="A8029" s="110"/>
      <c r="B8029" s="27" t="s">
        <v>22666</v>
      </c>
      <c r="C8029" s="27">
        <v>55138</v>
      </c>
      <c r="D8029" s="14" t="s">
        <v>1720</v>
      </c>
      <c r="E8029" s="112"/>
      <c r="F8029" s="139" t="s">
        <v>22683</v>
      </c>
      <c r="G8029" s="140"/>
      <c r="H8029" s="141"/>
      <c r="I8029" s="26">
        <v>30835</v>
      </c>
      <c r="J8029" s="117"/>
      <c r="K8029" s="120"/>
      <c r="L8029" s="121"/>
      <c r="M8029" s="120"/>
      <c r="N8029" s="121"/>
      <c r="O8029" s="120"/>
      <c r="P8029" s="121"/>
      <c r="Q8029" s="120"/>
      <c r="R8029" s="121"/>
      <c r="S8029" s="120"/>
      <c r="T8029" s="121"/>
      <c r="U8029" s="120"/>
      <c r="V8029" s="123"/>
      <c r="W8029" s="125"/>
      <c r="X8029" s="142" t="s">
        <v>23280</v>
      </c>
      <c r="Y8029" s="143"/>
      <c r="Z8029" s="143"/>
      <c r="AA8029" s="143"/>
      <c r="AB8029" s="144"/>
      <c r="AC8029" s="16" t="s">
        <v>21</v>
      </c>
      <c r="AD8029" s="17" t="s">
        <v>1952</v>
      </c>
      <c r="AE8029" s="145" t="s">
        <v>23281</v>
      </c>
      <c r="AF8029" s="146"/>
      <c r="AG8029" s="146"/>
      <c r="AH8029" s="146"/>
      <c r="AI8029" s="147"/>
      <c r="AJ8029" s="148"/>
      <c r="AK8029" s="143"/>
      <c r="AL8029" s="144"/>
      <c r="AM8029" s="22"/>
      <c r="AN8029" s="149" t="s">
        <v>23987</v>
      </c>
      <c r="AO8029" s="144"/>
      <c r="AP8029" s="148">
        <v>2059</v>
      </c>
      <c r="AQ8029" s="144"/>
      <c r="AR8029" s="120"/>
      <c r="AS8029" s="121"/>
      <c r="AT8029" s="120"/>
      <c r="AU8029" s="121"/>
      <c r="AV8029" s="120"/>
      <c r="AW8029" s="121"/>
      <c r="AX8029" s="120"/>
      <c r="AY8029" s="121"/>
      <c r="AZ8029" s="138"/>
    </row>
    <row r="8030" spans="1:52" ht="17.100000000000001" customHeight="1" thickTop="1">
      <c r="A8030" s="109" t="s">
        <v>22645</v>
      </c>
      <c r="B8030" s="28">
        <v>46121</v>
      </c>
      <c r="C8030" s="25">
        <v>2022</v>
      </c>
      <c r="D8030" s="13" t="s">
        <v>22856</v>
      </c>
      <c r="E8030" s="111"/>
      <c r="F8030" s="113" t="s">
        <v>22857</v>
      </c>
      <c r="G8030" s="114"/>
      <c r="H8030" s="115"/>
      <c r="I8030" s="24"/>
      <c r="J8030" s="116">
        <v>4</v>
      </c>
      <c r="K8030" s="118">
        <v>494000</v>
      </c>
      <c r="L8030" s="119"/>
      <c r="M8030" s="118">
        <f t="shared" ref="M8030" si="11962">K8030*0.1</f>
        <v>49400</v>
      </c>
      <c r="N8030" s="119"/>
      <c r="O8030" s="118">
        <v>0</v>
      </c>
      <c r="P8030" s="119"/>
      <c r="Q8030" s="118">
        <v>7950</v>
      </c>
      <c r="R8030" s="119"/>
      <c r="S8030" s="118">
        <v>22000</v>
      </c>
      <c r="T8030" s="119"/>
      <c r="U8030" s="118">
        <f t="shared" ref="U8030" si="11963">SUM(K8030:T8031)</f>
        <v>573350</v>
      </c>
      <c r="V8030" s="122"/>
      <c r="W8030" s="124"/>
      <c r="X8030" s="126" t="s">
        <v>23240</v>
      </c>
      <c r="Y8030" s="127"/>
      <c r="Z8030" s="127"/>
      <c r="AA8030" s="127"/>
      <c r="AB8030" s="128"/>
      <c r="AC8030" s="15" t="s">
        <v>20</v>
      </c>
      <c r="AD8030" s="129"/>
      <c r="AE8030" s="130"/>
      <c r="AF8030" s="130"/>
      <c r="AG8030" s="130"/>
      <c r="AH8030" s="130"/>
      <c r="AI8030" s="131"/>
      <c r="AJ8030" s="132"/>
      <c r="AK8030" s="127"/>
      <c r="AL8030" s="128"/>
      <c r="AM8030" s="21"/>
      <c r="AN8030" s="133">
        <v>46127</v>
      </c>
      <c r="AO8030" s="134"/>
      <c r="AP8030" s="135">
        <v>1013</v>
      </c>
      <c r="AQ8030" s="136"/>
      <c r="AR8030" s="118">
        <v>565000</v>
      </c>
      <c r="AS8030" s="119"/>
      <c r="AT8030" s="118">
        <f t="shared" ref="AT8030" si="11964">AR8030*0.1</f>
        <v>56500</v>
      </c>
      <c r="AU8030" s="119"/>
      <c r="AV8030" s="118">
        <v>7950</v>
      </c>
      <c r="AW8030" s="119"/>
      <c r="AX8030" s="118">
        <f t="shared" ref="AX8030" si="11965">SUM(AR8030:AW8030)</f>
        <v>629450</v>
      </c>
      <c r="AY8030" s="119"/>
      <c r="AZ8030" s="137">
        <v>46132</v>
      </c>
    </row>
    <row r="8031" spans="1:52" ht="17.100000000000001" customHeight="1" thickBot="1">
      <c r="A8031" s="110"/>
      <c r="B8031" s="27" t="s">
        <v>22666</v>
      </c>
      <c r="C8031" s="27">
        <v>55164</v>
      </c>
      <c r="D8031" s="14" t="s">
        <v>2325</v>
      </c>
      <c r="E8031" s="112"/>
      <c r="F8031" s="139" t="s">
        <v>22684</v>
      </c>
      <c r="G8031" s="140"/>
      <c r="H8031" s="141"/>
      <c r="I8031" s="26">
        <v>46920</v>
      </c>
      <c r="J8031" s="117"/>
      <c r="K8031" s="120"/>
      <c r="L8031" s="121"/>
      <c r="M8031" s="120"/>
      <c r="N8031" s="121"/>
      <c r="O8031" s="120"/>
      <c r="P8031" s="121"/>
      <c r="Q8031" s="120"/>
      <c r="R8031" s="121"/>
      <c r="S8031" s="120"/>
      <c r="T8031" s="121"/>
      <c r="U8031" s="120"/>
      <c r="V8031" s="123"/>
      <c r="W8031" s="125"/>
      <c r="X8031" s="142" t="s">
        <v>2659</v>
      </c>
      <c r="Y8031" s="143"/>
      <c r="Z8031" s="143"/>
      <c r="AA8031" s="143"/>
      <c r="AB8031" s="144"/>
      <c r="AC8031" s="16" t="s">
        <v>21</v>
      </c>
      <c r="AD8031" s="17" t="s">
        <v>1952</v>
      </c>
      <c r="AE8031" s="145" t="s">
        <v>23241</v>
      </c>
      <c r="AF8031" s="146"/>
      <c r="AG8031" s="146"/>
      <c r="AH8031" s="146"/>
      <c r="AI8031" s="147"/>
      <c r="AJ8031" s="148"/>
      <c r="AK8031" s="143"/>
      <c r="AL8031" s="144"/>
      <c r="AM8031" s="22"/>
      <c r="AN8031" s="149" t="s">
        <v>2794</v>
      </c>
      <c r="AO8031" s="144"/>
      <c r="AP8031" s="148">
        <v>5121</v>
      </c>
      <c r="AQ8031" s="144"/>
      <c r="AR8031" s="120"/>
      <c r="AS8031" s="121"/>
      <c r="AT8031" s="120"/>
      <c r="AU8031" s="121"/>
      <c r="AV8031" s="120"/>
      <c r="AW8031" s="121"/>
      <c r="AX8031" s="120"/>
      <c r="AY8031" s="121"/>
      <c r="AZ8031" s="138"/>
    </row>
    <row r="8032" spans="1:52" ht="17.100000000000001" customHeight="1" thickTop="1">
      <c r="A8032" s="109" t="s">
        <v>22646</v>
      </c>
      <c r="B8032" s="28">
        <v>46122</v>
      </c>
      <c r="C8032" s="25">
        <v>286</v>
      </c>
      <c r="D8032" s="13" t="s">
        <v>2359</v>
      </c>
      <c r="E8032" s="111"/>
      <c r="F8032" s="113" t="s">
        <v>22858</v>
      </c>
      <c r="G8032" s="114"/>
      <c r="H8032" s="115"/>
      <c r="I8032" s="24"/>
      <c r="J8032" s="116">
        <v>4</v>
      </c>
      <c r="K8032" s="118">
        <v>327000</v>
      </c>
      <c r="L8032" s="119"/>
      <c r="M8032" s="118">
        <f t="shared" ref="M8032" si="11966">K8032*0.1</f>
        <v>32700</v>
      </c>
      <c r="N8032" s="119"/>
      <c r="O8032" s="118">
        <v>0</v>
      </c>
      <c r="P8032" s="119"/>
      <c r="Q8032" s="118">
        <v>7140</v>
      </c>
      <c r="R8032" s="119"/>
      <c r="S8032" s="118">
        <v>22000</v>
      </c>
      <c r="T8032" s="119"/>
      <c r="U8032" s="118">
        <f t="shared" ref="U8032" si="11967">SUM(K8032:T8033)</f>
        <v>388840</v>
      </c>
      <c r="V8032" s="122"/>
      <c r="W8032" s="124"/>
      <c r="X8032" s="126" t="s">
        <v>23346</v>
      </c>
      <c r="Y8032" s="127"/>
      <c r="Z8032" s="127"/>
      <c r="AA8032" s="127"/>
      <c r="AB8032" s="128"/>
      <c r="AC8032" s="15" t="s">
        <v>20</v>
      </c>
      <c r="AD8032" s="129"/>
      <c r="AE8032" s="130"/>
      <c r="AF8032" s="130"/>
      <c r="AG8032" s="130"/>
      <c r="AH8032" s="130"/>
      <c r="AI8032" s="131"/>
      <c r="AJ8032" s="132"/>
      <c r="AK8032" s="127"/>
      <c r="AL8032" s="128"/>
      <c r="AM8032" s="21"/>
      <c r="AN8032" s="133">
        <v>46136</v>
      </c>
      <c r="AO8032" s="134"/>
      <c r="AP8032" s="135"/>
      <c r="AQ8032" s="136"/>
      <c r="AR8032" s="118">
        <v>500000</v>
      </c>
      <c r="AS8032" s="119"/>
      <c r="AT8032" s="118">
        <f t="shared" ref="AT8032" si="11968">AR8032*0.1</f>
        <v>50000</v>
      </c>
      <c r="AU8032" s="119"/>
      <c r="AV8032" s="118">
        <v>7140</v>
      </c>
      <c r="AW8032" s="119"/>
      <c r="AX8032" s="118">
        <f t="shared" ref="AX8032" si="11969">SUM(AR8032:AW8032)</f>
        <v>557140</v>
      </c>
      <c r="AY8032" s="119"/>
      <c r="AZ8032" s="137"/>
    </row>
    <row r="8033" spans="1:52" ht="17.100000000000001" customHeight="1" thickBot="1">
      <c r="A8033" s="110"/>
      <c r="B8033" s="27" t="s">
        <v>15877</v>
      </c>
      <c r="C8033" s="27">
        <v>29</v>
      </c>
      <c r="D8033" s="14" t="s">
        <v>1700</v>
      </c>
      <c r="E8033" s="112"/>
      <c r="F8033" s="139" t="s">
        <v>22685</v>
      </c>
      <c r="G8033" s="140"/>
      <c r="H8033" s="141"/>
      <c r="I8033" s="26">
        <v>28887</v>
      </c>
      <c r="J8033" s="117"/>
      <c r="K8033" s="120"/>
      <c r="L8033" s="121"/>
      <c r="M8033" s="120"/>
      <c r="N8033" s="121"/>
      <c r="O8033" s="120"/>
      <c r="P8033" s="121"/>
      <c r="Q8033" s="120"/>
      <c r="R8033" s="121"/>
      <c r="S8033" s="120"/>
      <c r="T8033" s="121"/>
      <c r="U8033" s="120"/>
      <c r="V8033" s="123"/>
      <c r="W8033" s="125"/>
      <c r="X8033" s="142" t="s">
        <v>23347</v>
      </c>
      <c r="Y8033" s="143"/>
      <c r="Z8033" s="143"/>
      <c r="AA8033" s="143"/>
      <c r="AB8033" s="144"/>
      <c r="AC8033" s="16" t="s">
        <v>21</v>
      </c>
      <c r="AD8033" s="17" t="s">
        <v>23320</v>
      </c>
      <c r="AE8033" s="145" t="s">
        <v>23348</v>
      </c>
      <c r="AF8033" s="146"/>
      <c r="AG8033" s="146"/>
      <c r="AH8033" s="146"/>
      <c r="AI8033" s="147"/>
      <c r="AJ8033" s="148"/>
      <c r="AK8033" s="143"/>
      <c r="AL8033" s="144"/>
      <c r="AM8033" s="22"/>
      <c r="AN8033" s="149" t="s">
        <v>6789</v>
      </c>
      <c r="AO8033" s="144"/>
      <c r="AP8033" s="148">
        <v>51747</v>
      </c>
      <c r="AQ8033" s="144"/>
      <c r="AR8033" s="120"/>
      <c r="AS8033" s="121"/>
      <c r="AT8033" s="120"/>
      <c r="AU8033" s="121"/>
      <c r="AV8033" s="120"/>
      <c r="AW8033" s="121"/>
      <c r="AX8033" s="120"/>
      <c r="AY8033" s="121"/>
      <c r="AZ8033" s="138"/>
    </row>
    <row r="8034" spans="1:52" ht="17.100000000000001" customHeight="1" thickTop="1">
      <c r="A8034" s="109" t="s">
        <v>22647</v>
      </c>
      <c r="B8034" s="28">
        <v>46122</v>
      </c>
      <c r="C8034" s="25">
        <v>286</v>
      </c>
      <c r="D8034" s="13" t="s">
        <v>2359</v>
      </c>
      <c r="E8034" s="111"/>
      <c r="F8034" s="113" t="s">
        <v>19642</v>
      </c>
      <c r="G8034" s="114"/>
      <c r="H8034" s="115"/>
      <c r="I8034" s="24"/>
      <c r="J8034" s="116">
        <v>4</v>
      </c>
      <c r="K8034" s="118">
        <v>327000</v>
      </c>
      <c r="L8034" s="119"/>
      <c r="M8034" s="118">
        <f t="shared" ref="M8034" si="11970">K8034*0.1</f>
        <v>32700</v>
      </c>
      <c r="N8034" s="119"/>
      <c r="O8034" s="118">
        <v>0</v>
      </c>
      <c r="P8034" s="119"/>
      <c r="Q8034" s="118">
        <v>7140</v>
      </c>
      <c r="R8034" s="119"/>
      <c r="S8034" s="118">
        <v>22000</v>
      </c>
      <c r="T8034" s="119"/>
      <c r="U8034" s="118">
        <f t="shared" ref="U8034" si="11971">SUM(K8034:T8035)</f>
        <v>388840</v>
      </c>
      <c r="V8034" s="122"/>
      <c r="W8034" s="124"/>
      <c r="X8034" s="126" t="s">
        <v>23353</v>
      </c>
      <c r="Y8034" s="127"/>
      <c r="Z8034" s="127"/>
      <c r="AA8034" s="127"/>
      <c r="AB8034" s="128"/>
      <c r="AC8034" s="15" t="s">
        <v>20</v>
      </c>
      <c r="AD8034" s="129"/>
      <c r="AE8034" s="130"/>
      <c r="AF8034" s="130"/>
      <c r="AG8034" s="130"/>
      <c r="AH8034" s="130"/>
      <c r="AI8034" s="131"/>
      <c r="AJ8034" s="132"/>
      <c r="AK8034" s="127"/>
      <c r="AL8034" s="128"/>
      <c r="AM8034" s="21"/>
      <c r="AN8034" s="133">
        <v>46127</v>
      </c>
      <c r="AO8034" s="134"/>
      <c r="AP8034" s="135">
        <v>1013</v>
      </c>
      <c r="AQ8034" s="136"/>
      <c r="AR8034" s="118">
        <v>380000</v>
      </c>
      <c r="AS8034" s="119"/>
      <c r="AT8034" s="118">
        <f t="shared" ref="AT8034" si="11972">AR8034*0.1</f>
        <v>38000</v>
      </c>
      <c r="AU8034" s="119"/>
      <c r="AV8034" s="118">
        <v>7140</v>
      </c>
      <c r="AW8034" s="119"/>
      <c r="AX8034" s="118">
        <f t="shared" ref="AX8034" si="11973">SUM(AR8034:AW8034)</f>
        <v>425140</v>
      </c>
      <c r="AY8034" s="119"/>
      <c r="AZ8034" s="137">
        <v>46133</v>
      </c>
    </row>
    <row r="8035" spans="1:52" ht="17.100000000000001" customHeight="1" thickBot="1">
      <c r="A8035" s="110"/>
      <c r="B8035" s="27" t="s">
        <v>15877</v>
      </c>
      <c r="C8035" s="27">
        <v>30</v>
      </c>
      <c r="D8035" s="14" t="s">
        <v>1700</v>
      </c>
      <c r="E8035" s="112"/>
      <c r="F8035" s="139" t="s">
        <v>22686</v>
      </c>
      <c r="G8035" s="140"/>
      <c r="H8035" s="141"/>
      <c r="I8035" s="26">
        <v>14443</v>
      </c>
      <c r="J8035" s="117"/>
      <c r="K8035" s="120"/>
      <c r="L8035" s="121"/>
      <c r="M8035" s="120"/>
      <c r="N8035" s="121"/>
      <c r="O8035" s="120"/>
      <c r="P8035" s="121"/>
      <c r="Q8035" s="120"/>
      <c r="R8035" s="121"/>
      <c r="S8035" s="120"/>
      <c r="T8035" s="121"/>
      <c r="U8035" s="120"/>
      <c r="V8035" s="123"/>
      <c r="W8035" s="125"/>
      <c r="X8035" s="142" t="s">
        <v>23347</v>
      </c>
      <c r="Y8035" s="143"/>
      <c r="Z8035" s="143"/>
      <c r="AA8035" s="143"/>
      <c r="AB8035" s="144"/>
      <c r="AC8035" s="16" t="s">
        <v>21</v>
      </c>
      <c r="AD8035" s="17" t="s">
        <v>23320</v>
      </c>
      <c r="AE8035" s="145" t="s">
        <v>23354</v>
      </c>
      <c r="AF8035" s="146"/>
      <c r="AG8035" s="146"/>
      <c r="AH8035" s="146"/>
      <c r="AI8035" s="147"/>
      <c r="AJ8035" s="148"/>
      <c r="AK8035" s="143"/>
      <c r="AL8035" s="144"/>
      <c r="AM8035" s="22"/>
      <c r="AN8035" s="149" t="s">
        <v>2794</v>
      </c>
      <c r="AO8035" s="144"/>
      <c r="AP8035" s="148">
        <v>5162</v>
      </c>
      <c r="AQ8035" s="144"/>
      <c r="AR8035" s="120"/>
      <c r="AS8035" s="121"/>
      <c r="AT8035" s="120"/>
      <c r="AU8035" s="121"/>
      <c r="AV8035" s="120"/>
      <c r="AW8035" s="121"/>
      <c r="AX8035" s="120"/>
      <c r="AY8035" s="121"/>
      <c r="AZ8035" s="138"/>
    </row>
    <row r="8036" spans="1:52" ht="17.100000000000001" customHeight="1" thickTop="1">
      <c r="A8036" s="109" t="s">
        <v>22648</v>
      </c>
      <c r="B8036" s="28">
        <v>46122</v>
      </c>
      <c r="C8036" s="25">
        <v>286</v>
      </c>
      <c r="D8036" s="13" t="s">
        <v>1586</v>
      </c>
      <c r="E8036" s="111"/>
      <c r="F8036" s="113" t="s">
        <v>16855</v>
      </c>
      <c r="G8036" s="114"/>
      <c r="H8036" s="115"/>
      <c r="I8036" s="24"/>
      <c r="J8036" s="116">
        <v>4.5</v>
      </c>
      <c r="K8036" s="118">
        <v>965000</v>
      </c>
      <c r="L8036" s="119"/>
      <c r="M8036" s="118">
        <f t="shared" ref="M8036" si="11974">K8036*0.1</f>
        <v>96500</v>
      </c>
      <c r="N8036" s="119"/>
      <c r="O8036" s="118">
        <v>0</v>
      </c>
      <c r="P8036" s="119"/>
      <c r="Q8036" s="118">
        <v>9310</v>
      </c>
      <c r="R8036" s="119"/>
      <c r="S8036" s="118">
        <v>22000</v>
      </c>
      <c r="T8036" s="119"/>
      <c r="U8036" s="118">
        <f t="shared" ref="U8036" si="11975">SUM(K8036:T8037)</f>
        <v>1092810</v>
      </c>
      <c r="V8036" s="122"/>
      <c r="W8036" s="124"/>
      <c r="X8036" s="126" t="s">
        <v>23038</v>
      </c>
      <c r="Y8036" s="127"/>
      <c r="Z8036" s="127"/>
      <c r="AA8036" s="127"/>
      <c r="AB8036" s="128"/>
      <c r="AC8036" s="15" t="s">
        <v>20</v>
      </c>
      <c r="AD8036" s="129" t="s">
        <v>1670</v>
      </c>
      <c r="AE8036" s="130"/>
      <c r="AF8036" s="130"/>
      <c r="AG8036" s="130"/>
      <c r="AH8036" s="130"/>
      <c r="AI8036" s="131"/>
      <c r="AJ8036" s="132"/>
      <c r="AK8036" s="127"/>
      <c r="AL8036" s="128"/>
      <c r="AM8036" s="21"/>
      <c r="AN8036" s="133">
        <v>46127</v>
      </c>
      <c r="AO8036" s="134"/>
      <c r="AP8036" s="135">
        <v>1013</v>
      </c>
      <c r="AQ8036" s="136"/>
      <c r="AR8036" s="118">
        <v>1015000</v>
      </c>
      <c r="AS8036" s="119"/>
      <c r="AT8036" s="118">
        <f t="shared" ref="AT8036" si="11976">AR8036*0.1</f>
        <v>101500</v>
      </c>
      <c r="AU8036" s="119"/>
      <c r="AV8036" s="118">
        <v>9310</v>
      </c>
      <c r="AW8036" s="119"/>
      <c r="AX8036" s="118">
        <f t="shared" ref="AX8036" si="11977">SUM(AR8036:AW8036)</f>
        <v>1125810</v>
      </c>
      <c r="AY8036" s="119"/>
      <c r="AZ8036" s="137">
        <v>46132</v>
      </c>
    </row>
    <row r="8037" spans="1:52" ht="17.100000000000001" customHeight="1" thickBot="1">
      <c r="A8037" s="110"/>
      <c r="B8037" s="27" t="s">
        <v>15877</v>
      </c>
      <c r="C8037" s="27">
        <v>31</v>
      </c>
      <c r="D8037" s="14" t="s">
        <v>22859</v>
      </c>
      <c r="E8037" s="112"/>
      <c r="F8037" s="139" t="s">
        <v>22687</v>
      </c>
      <c r="G8037" s="140"/>
      <c r="H8037" s="141"/>
      <c r="I8037" s="26">
        <v>57530</v>
      </c>
      <c r="J8037" s="117"/>
      <c r="K8037" s="120"/>
      <c r="L8037" s="121"/>
      <c r="M8037" s="120"/>
      <c r="N8037" s="121"/>
      <c r="O8037" s="120"/>
      <c r="P8037" s="121"/>
      <c r="Q8037" s="120"/>
      <c r="R8037" s="121"/>
      <c r="S8037" s="120"/>
      <c r="T8037" s="121"/>
      <c r="U8037" s="120"/>
      <c r="V8037" s="123"/>
      <c r="W8037" s="125"/>
      <c r="X8037" s="142" t="s">
        <v>23039</v>
      </c>
      <c r="Y8037" s="143"/>
      <c r="Z8037" s="143"/>
      <c r="AA8037" s="143"/>
      <c r="AB8037" s="144"/>
      <c r="AC8037" s="16" t="s">
        <v>21</v>
      </c>
      <c r="AD8037" s="17" t="s">
        <v>23033</v>
      </c>
      <c r="AE8037" s="145" t="s">
        <v>23040</v>
      </c>
      <c r="AF8037" s="146"/>
      <c r="AG8037" s="146"/>
      <c r="AH8037" s="146"/>
      <c r="AI8037" s="147"/>
      <c r="AJ8037" s="148"/>
      <c r="AK8037" s="143"/>
      <c r="AL8037" s="144"/>
      <c r="AM8037" s="22"/>
      <c r="AN8037" s="149" t="s">
        <v>2794</v>
      </c>
      <c r="AO8037" s="144"/>
      <c r="AP8037" s="148">
        <v>5185</v>
      </c>
      <c r="AQ8037" s="144"/>
      <c r="AR8037" s="120"/>
      <c r="AS8037" s="121"/>
      <c r="AT8037" s="120"/>
      <c r="AU8037" s="121"/>
      <c r="AV8037" s="120"/>
      <c r="AW8037" s="121"/>
      <c r="AX8037" s="120"/>
      <c r="AY8037" s="121"/>
      <c r="AZ8037" s="138"/>
    </row>
    <row r="8038" spans="1:52" ht="17.100000000000001" customHeight="1" thickTop="1">
      <c r="A8038" s="109" t="s">
        <v>22649</v>
      </c>
      <c r="B8038" s="28">
        <v>46122</v>
      </c>
      <c r="C8038" s="25">
        <v>286</v>
      </c>
      <c r="D8038" s="13" t="s">
        <v>1795</v>
      </c>
      <c r="E8038" s="111"/>
      <c r="F8038" s="113" t="s">
        <v>22860</v>
      </c>
      <c r="G8038" s="114"/>
      <c r="H8038" s="115"/>
      <c r="I8038" s="24"/>
      <c r="J8038" s="116">
        <v>4</v>
      </c>
      <c r="K8038" s="118">
        <v>975000</v>
      </c>
      <c r="L8038" s="119"/>
      <c r="M8038" s="118">
        <f t="shared" ref="M8038" si="11978">K8038*0.1</f>
        <v>97500</v>
      </c>
      <c r="N8038" s="119"/>
      <c r="O8038" s="118">
        <v>0</v>
      </c>
      <c r="P8038" s="119"/>
      <c r="Q8038" s="118">
        <v>8010</v>
      </c>
      <c r="R8038" s="119"/>
      <c r="S8038" s="118">
        <v>22000</v>
      </c>
      <c r="T8038" s="119"/>
      <c r="U8038" s="118">
        <f t="shared" ref="U8038" si="11979">SUM(K8038:T8039)</f>
        <v>1102510</v>
      </c>
      <c r="V8038" s="122"/>
      <c r="W8038" s="124"/>
      <c r="X8038" s="126" t="s">
        <v>23268</v>
      </c>
      <c r="Y8038" s="127"/>
      <c r="Z8038" s="127"/>
      <c r="AA8038" s="127"/>
      <c r="AB8038" s="128"/>
      <c r="AC8038" s="15" t="s">
        <v>20</v>
      </c>
      <c r="AD8038" s="129"/>
      <c r="AE8038" s="130"/>
      <c r="AF8038" s="130"/>
      <c r="AG8038" s="130"/>
      <c r="AH8038" s="130"/>
      <c r="AI8038" s="131"/>
      <c r="AJ8038" s="132"/>
      <c r="AK8038" s="127"/>
      <c r="AL8038" s="128"/>
      <c r="AM8038" s="21"/>
      <c r="AN8038" s="133">
        <v>46134</v>
      </c>
      <c r="AO8038" s="134"/>
      <c r="AP8038" s="135">
        <v>1014</v>
      </c>
      <c r="AQ8038" s="136"/>
      <c r="AR8038" s="118">
        <v>1025000</v>
      </c>
      <c r="AS8038" s="119"/>
      <c r="AT8038" s="118">
        <f t="shared" ref="AT8038" si="11980">AR8038*0.1</f>
        <v>102500</v>
      </c>
      <c r="AU8038" s="119"/>
      <c r="AV8038" s="118">
        <v>8010</v>
      </c>
      <c r="AW8038" s="119"/>
      <c r="AX8038" s="118">
        <f t="shared" ref="AX8038" si="11981">SUM(AR8038:AW8038)</f>
        <v>1135510</v>
      </c>
      <c r="AY8038" s="119"/>
      <c r="AZ8038" s="137">
        <v>46139</v>
      </c>
    </row>
    <row r="8039" spans="1:52" ht="17.100000000000001" customHeight="1" thickBot="1">
      <c r="A8039" s="110"/>
      <c r="B8039" s="27" t="s">
        <v>15877</v>
      </c>
      <c r="C8039" s="27">
        <v>136</v>
      </c>
      <c r="D8039" s="14" t="s">
        <v>1720</v>
      </c>
      <c r="E8039" s="112"/>
      <c r="F8039" s="139" t="s">
        <v>22688</v>
      </c>
      <c r="G8039" s="140"/>
      <c r="H8039" s="141"/>
      <c r="I8039" s="26">
        <v>23013</v>
      </c>
      <c r="J8039" s="117"/>
      <c r="K8039" s="120"/>
      <c r="L8039" s="121"/>
      <c r="M8039" s="120"/>
      <c r="N8039" s="121"/>
      <c r="O8039" s="120"/>
      <c r="P8039" s="121"/>
      <c r="Q8039" s="120"/>
      <c r="R8039" s="121"/>
      <c r="S8039" s="120"/>
      <c r="T8039" s="121"/>
      <c r="U8039" s="120"/>
      <c r="V8039" s="123"/>
      <c r="W8039" s="125"/>
      <c r="X8039" s="142" t="s">
        <v>23269</v>
      </c>
      <c r="Y8039" s="143"/>
      <c r="Z8039" s="143"/>
      <c r="AA8039" s="143"/>
      <c r="AB8039" s="144"/>
      <c r="AC8039" s="16" t="s">
        <v>21</v>
      </c>
      <c r="AD8039" s="17" t="s">
        <v>1952</v>
      </c>
      <c r="AE8039" s="145" t="s">
        <v>23076</v>
      </c>
      <c r="AF8039" s="146"/>
      <c r="AG8039" s="146"/>
      <c r="AH8039" s="146"/>
      <c r="AI8039" s="147"/>
      <c r="AJ8039" s="148"/>
      <c r="AK8039" s="143"/>
      <c r="AL8039" s="144"/>
      <c r="AM8039" s="22"/>
      <c r="AN8039" s="149" t="s">
        <v>23987</v>
      </c>
      <c r="AO8039" s="144"/>
      <c r="AP8039" s="148">
        <v>2069</v>
      </c>
      <c r="AQ8039" s="144"/>
      <c r="AR8039" s="120"/>
      <c r="AS8039" s="121"/>
      <c r="AT8039" s="120"/>
      <c r="AU8039" s="121"/>
      <c r="AV8039" s="120"/>
      <c r="AW8039" s="121"/>
      <c r="AX8039" s="120"/>
      <c r="AY8039" s="121"/>
      <c r="AZ8039" s="138"/>
    </row>
    <row r="8040" spans="1:52" ht="17.100000000000001" customHeight="1" thickTop="1">
      <c r="A8040" s="109" t="s">
        <v>22650</v>
      </c>
      <c r="B8040" s="28">
        <v>46122</v>
      </c>
      <c r="C8040" s="25">
        <v>286</v>
      </c>
      <c r="D8040" s="13" t="s">
        <v>1793</v>
      </c>
      <c r="E8040" s="111"/>
      <c r="F8040" s="113" t="s">
        <v>7582</v>
      </c>
      <c r="G8040" s="114"/>
      <c r="H8040" s="115"/>
      <c r="I8040" s="24"/>
      <c r="J8040" s="116">
        <v>3.5</v>
      </c>
      <c r="K8040" s="118">
        <v>108000</v>
      </c>
      <c r="L8040" s="119"/>
      <c r="M8040" s="118">
        <f t="shared" ref="M8040" si="11982">K8040*0.1</f>
        <v>10800</v>
      </c>
      <c r="N8040" s="119"/>
      <c r="O8040" s="118">
        <v>0</v>
      </c>
      <c r="P8040" s="119"/>
      <c r="Q8040" s="118">
        <v>9880</v>
      </c>
      <c r="R8040" s="119"/>
      <c r="S8040" s="118">
        <v>22000</v>
      </c>
      <c r="T8040" s="119"/>
      <c r="U8040" s="118">
        <f t="shared" ref="U8040" si="11983">SUM(K8040:T8041)</f>
        <v>150680</v>
      </c>
      <c r="V8040" s="122"/>
      <c r="W8040" s="124"/>
      <c r="X8040" s="126" t="s">
        <v>23238</v>
      </c>
      <c r="Y8040" s="127"/>
      <c r="Z8040" s="127"/>
      <c r="AA8040" s="127"/>
      <c r="AB8040" s="128"/>
      <c r="AC8040" s="15" t="s">
        <v>20</v>
      </c>
      <c r="AD8040" s="129"/>
      <c r="AE8040" s="130"/>
      <c r="AF8040" s="130"/>
      <c r="AG8040" s="130"/>
      <c r="AH8040" s="130"/>
      <c r="AI8040" s="131"/>
      <c r="AJ8040" s="132"/>
      <c r="AK8040" s="127"/>
      <c r="AL8040" s="128"/>
      <c r="AM8040" s="21"/>
      <c r="AN8040" s="133">
        <v>46127</v>
      </c>
      <c r="AO8040" s="134"/>
      <c r="AP8040" s="135">
        <v>1013</v>
      </c>
      <c r="AQ8040" s="136"/>
      <c r="AR8040" s="118">
        <v>215000</v>
      </c>
      <c r="AS8040" s="119"/>
      <c r="AT8040" s="118">
        <f t="shared" ref="AT8040" si="11984">AR8040*0.1</f>
        <v>21500</v>
      </c>
      <c r="AU8040" s="119"/>
      <c r="AV8040" s="118">
        <v>9880</v>
      </c>
      <c r="AW8040" s="119"/>
      <c r="AX8040" s="118">
        <f t="shared" ref="AX8040" si="11985">SUM(AR8040:AW8040)</f>
        <v>246380</v>
      </c>
      <c r="AY8040" s="119"/>
      <c r="AZ8040" s="137">
        <v>46132</v>
      </c>
    </row>
    <row r="8041" spans="1:52" ht="17.100000000000001" customHeight="1" thickBot="1">
      <c r="A8041" s="110"/>
      <c r="B8041" s="27" t="s">
        <v>15877</v>
      </c>
      <c r="C8041" s="27">
        <v>141</v>
      </c>
      <c r="D8041" s="14" t="s">
        <v>275</v>
      </c>
      <c r="E8041" s="112"/>
      <c r="F8041" s="139" t="s">
        <v>22689</v>
      </c>
      <c r="G8041" s="140"/>
      <c r="H8041" s="141"/>
      <c r="I8041" s="26">
        <v>47915</v>
      </c>
      <c r="J8041" s="117"/>
      <c r="K8041" s="120"/>
      <c r="L8041" s="121"/>
      <c r="M8041" s="120"/>
      <c r="N8041" s="121"/>
      <c r="O8041" s="120"/>
      <c r="P8041" s="121"/>
      <c r="Q8041" s="120"/>
      <c r="R8041" s="121"/>
      <c r="S8041" s="120"/>
      <c r="T8041" s="121"/>
      <c r="U8041" s="120"/>
      <c r="V8041" s="123"/>
      <c r="W8041" s="125"/>
      <c r="X8041" s="142" t="s">
        <v>23239</v>
      </c>
      <c r="Y8041" s="143"/>
      <c r="Z8041" s="143"/>
      <c r="AA8041" s="143"/>
      <c r="AB8041" s="144"/>
      <c r="AC8041" s="16" t="s">
        <v>21</v>
      </c>
      <c r="AD8041" s="17" t="s">
        <v>1952</v>
      </c>
      <c r="AE8041" s="145"/>
      <c r="AF8041" s="146"/>
      <c r="AG8041" s="146"/>
      <c r="AH8041" s="146"/>
      <c r="AI8041" s="147"/>
      <c r="AJ8041" s="148"/>
      <c r="AK8041" s="143"/>
      <c r="AL8041" s="144"/>
      <c r="AM8041" s="22"/>
      <c r="AN8041" s="149" t="s">
        <v>2794</v>
      </c>
      <c r="AO8041" s="144"/>
      <c r="AP8041" s="148">
        <v>5170</v>
      </c>
      <c r="AQ8041" s="144"/>
      <c r="AR8041" s="120"/>
      <c r="AS8041" s="121"/>
      <c r="AT8041" s="120"/>
      <c r="AU8041" s="121"/>
      <c r="AV8041" s="120"/>
      <c r="AW8041" s="121"/>
      <c r="AX8041" s="120"/>
      <c r="AY8041" s="121"/>
      <c r="AZ8041" s="138"/>
    </row>
    <row r="8042" spans="1:52" ht="17.100000000000001" customHeight="1" thickTop="1">
      <c r="A8042" s="109" t="s">
        <v>22651</v>
      </c>
      <c r="B8042" s="28">
        <v>46122</v>
      </c>
      <c r="C8042" s="25">
        <v>286</v>
      </c>
      <c r="D8042" s="13" t="s">
        <v>3695</v>
      </c>
      <c r="E8042" s="111"/>
      <c r="F8042" s="113" t="s">
        <v>15281</v>
      </c>
      <c r="G8042" s="114"/>
      <c r="H8042" s="115"/>
      <c r="I8042" s="24" t="s">
        <v>4314</v>
      </c>
      <c r="J8042" s="116">
        <v>4.5</v>
      </c>
      <c r="K8042" s="118">
        <v>371000</v>
      </c>
      <c r="L8042" s="119"/>
      <c r="M8042" s="118">
        <f t="shared" ref="M8042" si="11986">K8042*0.1</f>
        <v>37100</v>
      </c>
      <c r="N8042" s="119"/>
      <c r="O8042" s="118">
        <v>0</v>
      </c>
      <c r="P8042" s="119"/>
      <c r="Q8042" s="118">
        <v>10010</v>
      </c>
      <c r="R8042" s="119"/>
      <c r="S8042" s="118">
        <v>22000</v>
      </c>
      <c r="T8042" s="119"/>
      <c r="U8042" s="118">
        <f t="shared" ref="U8042" si="11987">SUM(K8042:T8043)</f>
        <v>440110</v>
      </c>
      <c r="V8042" s="122"/>
      <c r="W8042" s="124"/>
      <c r="X8042" s="126" t="s">
        <v>23334</v>
      </c>
      <c r="Y8042" s="127"/>
      <c r="Z8042" s="127"/>
      <c r="AA8042" s="127"/>
      <c r="AB8042" s="128"/>
      <c r="AC8042" s="15" t="s">
        <v>20</v>
      </c>
      <c r="AD8042" s="129" t="s">
        <v>22861</v>
      </c>
      <c r="AE8042" s="130"/>
      <c r="AF8042" s="130"/>
      <c r="AG8042" s="130"/>
      <c r="AH8042" s="130"/>
      <c r="AI8042" s="131"/>
      <c r="AJ8042" s="132"/>
      <c r="AK8042" s="127"/>
      <c r="AL8042" s="128"/>
      <c r="AM8042" s="21"/>
      <c r="AN8042" s="133">
        <v>46127</v>
      </c>
      <c r="AO8042" s="134"/>
      <c r="AP8042" s="135"/>
      <c r="AQ8042" s="136"/>
      <c r="AR8042" s="118">
        <v>590000</v>
      </c>
      <c r="AS8042" s="119"/>
      <c r="AT8042" s="118">
        <f t="shared" ref="AT8042" si="11988">AR8042*0.1</f>
        <v>59000</v>
      </c>
      <c r="AU8042" s="119"/>
      <c r="AV8042" s="118">
        <v>10010</v>
      </c>
      <c r="AW8042" s="119"/>
      <c r="AX8042" s="118">
        <f t="shared" ref="AX8042" si="11989">SUM(AR8042:AW8042)</f>
        <v>659010</v>
      </c>
      <c r="AY8042" s="119"/>
      <c r="AZ8042" s="137"/>
    </row>
    <row r="8043" spans="1:52" ht="17.100000000000001" customHeight="1" thickBot="1">
      <c r="A8043" s="110"/>
      <c r="B8043" s="27" t="s">
        <v>15877</v>
      </c>
      <c r="C8043" s="27">
        <v>152</v>
      </c>
      <c r="D8043" s="14" t="s">
        <v>2040</v>
      </c>
      <c r="E8043" s="112"/>
      <c r="F8043" s="139" t="s">
        <v>22690</v>
      </c>
      <c r="G8043" s="140"/>
      <c r="H8043" s="141"/>
      <c r="I8043" s="26">
        <v>62058</v>
      </c>
      <c r="J8043" s="117"/>
      <c r="K8043" s="120"/>
      <c r="L8043" s="121"/>
      <c r="M8043" s="120"/>
      <c r="N8043" s="121"/>
      <c r="O8043" s="120"/>
      <c r="P8043" s="121"/>
      <c r="Q8043" s="120"/>
      <c r="R8043" s="121"/>
      <c r="S8043" s="120"/>
      <c r="T8043" s="121"/>
      <c r="U8043" s="120"/>
      <c r="V8043" s="123"/>
      <c r="W8043" s="125"/>
      <c r="X8043" s="142" t="s">
        <v>23335</v>
      </c>
      <c r="Y8043" s="143"/>
      <c r="Z8043" s="143"/>
      <c r="AA8043" s="143"/>
      <c r="AB8043" s="144"/>
      <c r="AC8043" s="16" t="s">
        <v>21</v>
      </c>
      <c r="AD8043" s="17" t="s">
        <v>23320</v>
      </c>
      <c r="AE8043" s="145" t="s">
        <v>23336</v>
      </c>
      <c r="AF8043" s="146"/>
      <c r="AG8043" s="146"/>
      <c r="AH8043" s="146"/>
      <c r="AI8043" s="147"/>
      <c r="AJ8043" s="148"/>
      <c r="AK8043" s="143"/>
      <c r="AL8043" s="144"/>
      <c r="AM8043" s="22"/>
      <c r="AN8043" s="149" t="s">
        <v>6789</v>
      </c>
      <c r="AO8043" s="144"/>
      <c r="AP8043" s="148">
        <v>95606</v>
      </c>
      <c r="AQ8043" s="144"/>
      <c r="AR8043" s="120"/>
      <c r="AS8043" s="121"/>
      <c r="AT8043" s="120"/>
      <c r="AU8043" s="121"/>
      <c r="AV8043" s="120"/>
      <c r="AW8043" s="121"/>
      <c r="AX8043" s="120"/>
      <c r="AY8043" s="121"/>
      <c r="AZ8043" s="138"/>
    </row>
    <row r="8044" spans="1:52" ht="17.100000000000001" customHeight="1" thickTop="1">
      <c r="A8044" s="109" t="s">
        <v>22694</v>
      </c>
      <c r="B8044" s="28">
        <v>46122</v>
      </c>
      <c r="C8044" s="25">
        <v>286</v>
      </c>
      <c r="D8044" s="13" t="s">
        <v>1697</v>
      </c>
      <c r="E8044" s="111"/>
      <c r="F8044" s="113" t="s">
        <v>22862</v>
      </c>
      <c r="G8044" s="114"/>
      <c r="H8044" s="115"/>
      <c r="I8044" s="24"/>
      <c r="J8044" s="116">
        <v>4</v>
      </c>
      <c r="K8044" s="118">
        <v>985000</v>
      </c>
      <c r="L8044" s="119"/>
      <c r="M8044" s="118">
        <f t="shared" ref="M8044" si="11990">K8044*0.1</f>
        <v>98500</v>
      </c>
      <c r="N8044" s="119"/>
      <c r="O8044" s="118">
        <v>0</v>
      </c>
      <c r="P8044" s="119"/>
      <c r="Q8044" s="118">
        <v>8170</v>
      </c>
      <c r="R8044" s="119"/>
      <c r="S8044" s="118">
        <v>22000</v>
      </c>
      <c r="T8044" s="119"/>
      <c r="U8044" s="118">
        <f t="shared" ref="U8044" si="11991">SUM(K8044:T8045)</f>
        <v>1113670</v>
      </c>
      <c r="V8044" s="122"/>
      <c r="W8044" s="124"/>
      <c r="X8044" s="126" t="s">
        <v>23472</v>
      </c>
      <c r="Y8044" s="127"/>
      <c r="Z8044" s="127"/>
      <c r="AA8044" s="127"/>
      <c r="AB8044" s="128"/>
      <c r="AC8044" s="15" t="s">
        <v>20</v>
      </c>
      <c r="AD8044" s="129" t="s">
        <v>22208</v>
      </c>
      <c r="AE8044" s="130"/>
      <c r="AF8044" s="130"/>
      <c r="AG8044" s="130"/>
      <c r="AH8044" s="130"/>
      <c r="AI8044" s="131"/>
      <c r="AJ8044" s="132"/>
      <c r="AK8044" s="127"/>
      <c r="AL8044" s="128"/>
      <c r="AM8044" s="21"/>
      <c r="AN8044" s="133">
        <v>46141</v>
      </c>
      <c r="AO8044" s="134"/>
      <c r="AP8044" s="135">
        <v>1015</v>
      </c>
      <c r="AQ8044" s="136"/>
      <c r="AR8044" s="118">
        <v>1090000</v>
      </c>
      <c r="AS8044" s="119"/>
      <c r="AT8044" s="118">
        <f t="shared" ref="AT8044" si="11992">AR8044*0.1</f>
        <v>109000</v>
      </c>
      <c r="AU8044" s="119"/>
      <c r="AV8044" s="118">
        <v>8170</v>
      </c>
      <c r="AW8044" s="119"/>
      <c r="AX8044" s="118">
        <f t="shared" ref="AX8044" si="11993">SUM(AR8044:AW8044)</f>
        <v>1207170</v>
      </c>
      <c r="AY8044" s="119"/>
      <c r="AZ8044" s="137">
        <v>46153</v>
      </c>
    </row>
    <row r="8045" spans="1:52" ht="17.100000000000001" customHeight="1" thickBot="1">
      <c r="A8045" s="110"/>
      <c r="B8045" s="27" t="s">
        <v>15877</v>
      </c>
      <c r="C8045" s="27">
        <v>20164</v>
      </c>
      <c r="D8045" s="14" t="s">
        <v>1720</v>
      </c>
      <c r="E8045" s="112"/>
      <c r="F8045" s="139" t="s">
        <v>22691</v>
      </c>
      <c r="G8045" s="140"/>
      <c r="H8045" s="141"/>
      <c r="I8045" s="26">
        <v>44264</v>
      </c>
      <c r="J8045" s="117"/>
      <c r="K8045" s="120"/>
      <c r="L8045" s="121"/>
      <c r="M8045" s="120"/>
      <c r="N8045" s="121"/>
      <c r="O8045" s="120"/>
      <c r="P8045" s="121"/>
      <c r="Q8045" s="120"/>
      <c r="R8045" s="121"/>
      <c r="S8045" s="120"/>
      <c r="T8045" s="121"/>
      <c r="U8045" s="120"/>
      <c r="V8045" s="123"/>
      <c r="W8045" s="125"/>
      <c r="X8045" s="142" t="s">
        <v>2482</v>
      </c>
      <c r="Y8045" s="143"/>
      <c r="Z8045" s="143"/>
      <c r="AA8045" s="143"/>
      <c r="AB8045" s="144"/>
      <c r="AC8045" s="16" t="s">
        <v>21</v>
      </c>
      <c r="AD8045" s="17" t="s">
        <v>3711</v>
      </c>
      <c r="AE8045" s="145" t="s">
        <v>3641</v>
      </c>
      <c r="AF8045" s="146"/>
      <c r="AG8045" s="146"/>
      <c r="AH8045" s="146"/>
      <c r="AI8045" s="147"/>
      <c r="AJ8045" s="148"/>
      <c r="AK8045" s="143"/>
      <c r="AL8045" s="144"/>
      <c r="AM8045" s="22"/>
      <c r="AN8045" s="149" t="s">
        <v>2794</v>
      </c>
      <c r="AO8045" s="144"/>
      <c r="AP8045" s="148">
        <v>6101</v>
      </c>
      <c r="AQ8045" s="144"/>
      <c r="AR8045" s="120"/>
      <c r="AS8045" s="121"/>
      <c r="AT8045" s="120"/>
      <c r="AU8045" s="121"/>
      <c r="AV8045" s="120"/>
      <c r="AW8045" s="121"/>
      <c r="AX8045" s="120"/>
      <c r="AY8045" s="121"/>
      <c r="AZ8045" s="138"/>
    </row>
    <row r="8046" spans="1:52" ht="17.100000000000001" customHeight="1" thickTop="1">
      <c r="A8046" s="109" t="s">
        <v>22695</v>
      </c>
      <c r="B8046" s="28">
        <v>46122</v>
      </c>
      <c r="C8046" s="25">
        <v>286</v>
      </c>
      <c r="D8046" s="13" t="s">
        <v>1697</v>
      </c>
      <c r="E8046" s="111"/>
      <c r="F8046" s="113" t="s">
        <v>22862</v>
      </c>
      <c r="G8046" s="114"/>
      <c r="H8046" s="115"/>
      <c r="I8046" s="24"/>
      <c r="J8046" s="116">
        <v>4.5</v>
      </c>
      <c r="K8046" s="118">
        <v>955000</v>
      </c>
      <c r="L8046" s="119"/>
      <c r="M8046" s="118">
        <f t="shared" ref="M8046" si="11994">K8046*0.1</f>
        <v>95500</v>
      </c>
      <c r="N8046" s="119"/>
      <c r="O8046" s="118">
        <v>0</v>
      </c>
      <c r="P8046" s="119"/>
      <c r="Q8046" s="118">
        <v>8170</v>
      </c>
      <c r="R8046" s="119"/>
      <c r="S8046" s="118">
        <v>22000</v>
      </c>
      <c r="T8046" s="119"/>
      <c r="U8046" s="118">
        <f t="shared" ref="U8046" si="11995">SUM(K8046:T8047)</f>
        <v>1080670</v>
      </c>
      <c r="V8046" s="122"/>
      <c r="W8046" s="124"/>
      <c r="X8046" s="126" t="s">
        <v>23469</v>
      </c>
      <c r="Y8046" s="127"/>
      <c r="Z8046" s="127"/>
      <c r="AA8046" s="127"/>
      <c r="AB8046" s="128"/>
      <c r="AC8046" s="15" t="s">
        <v>20</v>
      </c>
      <c r="AD8046" s="129" t="s">
        <v>22208</v>
      </c>
      <c r="AE8046" s="130"/>
      <c r="AF8046" s="130"/>
      <c r="AG8046" s="130"/>
      <c r="AH8046" s="130"/>
      <c r="AI8046" s="131"/>
      <c r="AJ8046" s="132"/>
      <c r="AK8046" s="127"/>
      <c r="AL8046" s="128"/>
      <c r="AM8046" s="21"/>
      <c r="AN8046" s="133">
        <v>46127</v>
      </c>
      <c r="AO8046" s="134"/>
      <c r="AP8046" s="135">
        <v>1013</v>
      </c>
      <c r="AQ8046" s="136"/>
      <c r="AR8046" s="118">
        <v>1051000</v>
      </c>
      <c r="AS8046" s="119"/>
      <c r="AT8046" s="118">
        <f t="shared" ref="AT8046" si="11996">AR8046*0.1</f>
        <v>105100</v>
      </c>
      <c r="AU8046" s="119"/>
      <c r="AV8046" s="118">
        <v>8170</v>
      </c>
      <c r="AW8046" s="119"/>
      <c r="AX8046" s="118">
        <f t="shared" ref="AX8046" si="11997">SUM(AR8046:AW8046)</f>
        <v>1164270</v>
      </c>
      <c r="AY8046" s="119"/>
      <c r="AZ8046" s="137">
        <v>46133</v>
      </c>
    </row>
    <row r="8047" spans="1:52" ht="17.100000000000001" customHeight="1" thickBot="1">
      <c r="A8047" s="110"/>
      <c r="B8047" s="27" t="s">
        <v>15877</v>
      </c>
      <c r="C8047" s="27">
        <v>20174</v>
      </c>
      <c r="D8047" s="14" t="s">
        <v>1720</v>
      </c>
      <c r="E8047" s="112"/>
      <c r="F8047" s="139" t="s">
        <v>22692</v>
      </c>
      <c r="G8047" s="140"/>
      <c r="H8047" s="141"/>
      <c r="I8047" s="26">
        <v>51950</v>
      </c>
      <c r="J8047" s="117"/>
      <c r="K8047" s="120"/>
      <c r="L8047" s="121"/>
      <c r="M8047" s="120"/>
      <c r="N8047" s="121"/>
      <c r="O8047" s="120"/>
      <c r="P8047" s="121"/>
      <c r="Q8047" s="120"/>
      <c r="R8047" s="121"/>
      <c r="S8047" s="120"/>
      <c r="T8047" s="121"/>
      <c r="U8047" s="120"/>
      <c r="V8047" s="123"/>
      <c r="W8047" s="125"/>
      <c r="X8047" s="142" t="s">
        <v>2482</v>
      </c>
      <c r="Y8047" s="143"/>
      <c r="Z8047" s="143"/>
      <c r="AA8047" s="143"/>
      <c r="AB8047" s="144"/>
      <c r="AC8047" s="16" t="s">
        <v>21</v>
      </c>
      <c r="AD8047" s="17" t="s">
        <v>3711</v>
      </c>
      <c r="AE8047" s="145" t="s">
        <v>3641</v>
      </c>
      <c r="AF8047" s="146"/>
      <c r="AG8047" s="146"/>
      <c r="AH8047" s="146"/>
      <c r="AI8047" s="147"/>
      <c r="AJ8047" s="148"/>
      <c r="AK8047" s="143"/>
      <c r="AL8047" s="144"/>
      <c r="AM8047" s="22"/>
      <c r="AN8047" s="149" t="s">
        <v>2794</v>
      </c>
      <c r="AO8047" s="144"/>
      <c r="AP8047" s="148">
        <v>5129</v>
      </c>
      <c r="AQ8047" s="144"/>
      <c r="AR8047" s="120"/>
      <c r="AS8047" s="121"/>
      <c r="AT8047" s="120"/>
      <c r="AU8047" s="121"/>
      <c r="AV8047" s="120"/>
      <c r="AW8047" s="121"/>
      <c r="AX8047" s="120"/>
      <c r="AY8047" s="121"/>
      <c r="AZ8047" s="138"/>
    </row>
    <row r="8048" spans="1:52" ht="17.100000000000001" customHeight="1" thickTop="1">
      <c r="A8048" s="109" t="s">
        <v>22696</v>
      </c>
      <c r="B8048" s="28">
        <v>46122</v>
      </c>
      <c r="C8048" s="25">
        <v>286</v>
      </c>
      <c r="D8048" s="13" t="s">
        <v>1697</v>
      </c>
      <c r="E8048" s="111"/>
      <c r="F8048" s="113" t="s">
        <v>22862</v>
      </c>
      <c r="G8048" s="114"/>
      <c r="H8048" s="115"/>
      <c r="I8048" s="24"/>
      <c r="J8048" s="116">
        <v>4.5</v>
      </c>
      <c r="K8048" s="118">
        <v>988000</v>
      </c>
      <c r="L8048" s="119"/>
      <c r="M8048" s="118">
        <f t="shared" ref="M8048" si="11998">K8048*0.1</f>
        <v>98800</v>
      </c>
      <c r="N8048" s="119"/>
      <c r="O8048" s="118">
        <v>0</v>
      </c>
      <c r="P8048" s="119"/>
      <c r="Q8048" s="118">
        <v>8170</v>
      </c>
      <c r="R8048" s="119"/>
      <c r="S8048" s="118">
        <v>22000</v>
      </c>
      <c r="T8048" s="119"/>
      <c r="U8048" s="118">
        <f t="shared" ref="U8048" si="11999">SUM(K8048:T8049)</f>
        <v>1116970</v>
      </c>
      <c r="V8048" s="122"/>
      <c r="W8048" s="124"/>
      <c r="X8048" s="126" t="s">
        <v>23468</v>
      </c>
      <c r="Y8048" s="127"/>
      <c r="Z8048" s="127"/>
      <c r="AA8048" s="127"/>
      <c r="AB8048" s="128"/>
      <c r="AC8048" s="15" t="s">
        <v>20</v>
      </c>
      <c r="AD8048" s="129" t="s">
        <v>22208</v>
      </c>
      <c r="AE8048" s="130"/>
      <c r="AF8048" s="130"/>
      <c r="AG8048" s="130"/>
      <c r="AH8048" s="130"/>
      <c r="AI8048" s="131"/>
      <c r="AJ8048" s="132"/>
      <c r="AK8048" s="127"/>
      <c r="AL8048" s="128"/>
      <c r="AM8048" s="21"/>
      <c r="AN8048" s="133">
        <v>46127</v>
      </c>
      <c r="AO8048" s="134"/>
      <c r="AP8048" s="135">
        <v>1013</v>
      </c>
      <c r="AQ8048" s="136"/>
      <c r="AR8048" s="118">
        <v>1000000</v>
      </c>
      <c r="AS8048" s="119"/>
      <c r="AT8048" s="118">
        <f t="shared" ref="AT8048" si="12000">AR8048*0.1</f>
        <v>100000</v>
      </c>
      <c r="AU8048" s="119"/>
      <c r="AV8048" s="118">
        <v>8170</v>
      </c>
      <c r="AW8048" s="119"/>
      <c r="AX8048" s="118">
        <f t="shared" ref="AX8048" si="12001">SUM(AR8048:AW8048)</f>
        <v>1108170</v>
      </c>
      <c r="AY8048" s="119"/>
      <c r="AZ8048" s="137">
        <v>46133</v>
      </c>
    </row>
    <row r="8049" spans="1:52" ht="17.100000000000001" customHeight="1" thickBot="1">
      <c r="A8049" s="110"/>
      <c r="B8049" s="27" t="s">
        <v>15877</v>
      </c>
      <c r="C8049" s="27">
        <v>20176</v>
      </c>
      <c r="D8049" s="14" t="s">
        <v>1720</v>
      </c>
      <c r="E8049" s="112"/>
      <c r="F8049" s="139" t="s">
        <v>22693</v>
      </c>
      <c r="G8049" s="140"/>
      <c r="H8049" s="141"/>
      <c r="I8049" s="26">
        <v>46815</v>
      </c>
      <c r="J8049" s="117"/>
      <c r="K8049" s="120"/>
      <c r="L8049" s="121"/>
      <c r="M8049" s="120"/>
      <c r="N8049" s="121"/>
      <c r="O8049" s="120"/>
      <c r="P8049" s="121"/>
      <c r="Q8049" s="120"/>
      <c r="R8049" s="121"/>
      <c r="S8049" s="120"/>
      <c r="T8049" s="121"/>
      <c r="U8049" s="120"/>
      <c r="V8049" s="123"/>
      <c r="W8049" s="125"/>
      <c r="X8049" s="142" t="s">
        <v>2482</v>
      </c>
      <c r="Y8049" s="143"/>
      <c r="Z8049" s="143"/>
      <c r="AA8049" s="143"/>
      <c r="AB8049" s="144"/>
      <c r="AC8049" s="16" t="s">
        <v>21</v>
      </c>
      <c r="AD8049" s="17" t="s">
        <v>3711</v>
      </c>
      <c r="AE8049" s="145" t="s">
        <v>3641</v>
      </c>
      <c r="AF8049" s="146"/>
      <c r="AG8049" s="146"/>
      <c r="AH8049" s="146"/>
      <c r="AI8049" s="147"/>
      <c r="AJ8049" s="148"/>
      <c r="AK8049" s="143"/>
      <c r="AL8049" s="144"/>
      <c r="AM8049" s="22"/>
      <c r="AN8049" s="149" t="s">
        <v>2794</v>
      </c>
      <c r="AO8049" s="144"/>
      <c r="AP8049" s="148">
        <v>5166</v>
      </c>
      <c r="AQ8049" s="144"/>
      <c r="AR8049" s="120"/>
      <c r="AS8049" s="121"/>
      <c r="AT8049" s="120"/>
      <c r="AU8049" s="121"/>
      <c r="AV8049" s="120"/>
      <c r="AW8049" s="121"/>
      <c r="AX8049" s="120"/>
      <c r="AY8049" s="121"/>
      <c r="AZ8049" s="138"/>
    </row>
    <row r="8050" spans="1:52" ht="17.100000000000001" customHeight="1" thickTop="1">
      <c r="A8050" s="109" t="s">
        <v>22697</v>
      </c>
      <c r="B8050" s="28">
        <v>46122</v>
      </c>
      <c r="C8050" s="25">
        <v>286</v>
      </c>
      <c r="D8050" s="13" t="s">
        <v>1697</v>
      </c>
      <c r="E8050" s="111"/>
      <c r="F8050" s="113" t="s">
        <v>22862</v>
      </c>
      <c r="G8050" s="114"/>
      <c r="H8050" s="115"/>
      <c r="I8050" s="24"/>
      <c r="J8050" s="116">
        <v>4.5</v>
      </c>
      <c r="K8050" s="118">
        <v>1055000</v>
      </c>
      <c r="L8050" s="119"/>
      <c r="M8050" s="118">
        <f t="shared" ref="M8050" si="12002">K8050*0.1</f>
        <v>105500</v>
      </c>
      <c r="N8050" s="119"/>
      <c r="O8050" s="118">
        <v>0</v>
      </c>
      <c r="P8050" s="119"/>
      <c r="Q8050" s="118">
        <v>8170</v>
      </c>
      <c r="R8050" s="119"/>
      <c r="S8050" s="118">
        <v>22000</v>
      </c>
      <c r="T8050" s="119"/>
      <c r="U8050" s="118">
        <f t="shared" ref="U8050" si="12003">SUM(K8050:T8051)</f>
        <v>1190670</v>
      </c>
      <c r="V8050" s="122"/>
      <c r="W8050" s="124"/>
      <c r="X8050" s="126" t="s">
        <v>23473</v>
      </c>
      <c r="Y8050" s="127"/>
      <c r="Z8050" s="127"/>
      <c r="AA8050" s="127"/>
      <c r="AB8050" s="128"/>
      <c r="AC8050" s="15" t="s">
        <v>20</v>
      </c>
      <c r="AD8050" s="129" t="s">
        <v>22208</v>
      </c>
      <c r="AE8050" s="130"/>
      <c r="AF8050" s="130"/>
      <c r="AG8050" s="130"/>
      <c r="AH8050" s="130"/>
      <c r="AI8050" s="131"/>
      <c r="AJ8050" s="132"/>
      <c r="AK8050" s="127"/>
      <c r="AL8050" s="128"/>
      <c r="AM8050" s="21"/>
      <c r="AN8050" s="133">
        <v>46141</v>
      </c>
      <c r="AO8050" s="134"/>
      <c r="AP8050" s="135">
        <v>1015</v>
      </c>
      <c r="AQ8050" s="136"/>
      <c r="AR8050" s="118">
        <v>1110000</v>
      </c>
      <c r="AS8050" s="119"/>
      <c r="AT8050" s="118">
        <f t="shared" ref="AT8050" si="12004">AR8050*0.1</f>
        <v>111000</v>
      </c>
      <c r="AU8050" s="119"/>
      <c r="AV8050" s="118">
        <v>8170</v>
      </c>
      <c r="AW8050" s="119"/>
      <c r="AX8050" s="118">
        <f t="shared" ref="AX8050" si="12005">SUM(AR8050:AW8050)</f>
        <v>1229170</v>
      </c>
      <c r="AY8050" s="119"/>
      <c r="AZ8050" s="137">
        <v>46153</v>
      </c>
    </row>
    <row r="8051" spans="1:52" ht="17.100000000000001" customHeight="1" thickBot="1">
      <c r="A8051" s="110"/>
      <c r="B8051" s="27" t="s">
        <v>15877</v>
      </c>
      <c r="C8051" s="27">
        <v>20180</v>
      </c>
      <c r="D8051" s="14" t="s">
        <v>1720</v>
      </c>
      <c r="E8051" s="112"/>
      <c r="F8051" s="139" t="s">
        <v>22711</v>
      </c>
      <c r="G8051" s="140"/>
      <c r="H8051" s="141"/>
      <c r="I8051" s="26">
        <v>41760</v>
      </c>
      <c r="J8051" s="117"/>
      <c r="K8051" s="120"/>
      <c r="L8051" s="121"/>
      <c r="M8051" s="120"/>
      <c r="N8051" s="121"/>
      <c r="O8051" s="120"/>
      <c r="P8051" s="121"/>
      <c r="Q8051" s="120"/>
      <c r="R8051" s="121"/>
      <c r="S8051" s="120"/>
      <c r="T8051" s="121"/>
      <c r="U8051" s="120"/>
      <c r="V8051" s="123"/>
      <c r="W8051" s="125"/>
      <c r="X8051" s="142" t="s">
        <v>2482</v>
      </c>
      <c r="Y8051" s="143"/>
      <c r="Z8051" s="143"/>
      <c r="AA8051" s="143"/>
      <c r="AB8051" s="144"/>
      <c r="AC8051" s="16" t="s">
        <v>21</v>
      </c>
      <c r="AD8051" s="17" t="s">
        <v>3711</v>
      </c>
      <c r="AE8051" s="145" t="s">
        <v>3641</v>
      </c>
      <c r="AF8051" s="146"/>
      <c r="AG8051" s="146"/>
      <c r="AH8051" s="146"/>
      <c r="AI8051" s="147"/>
      <c r="AJ8051" s="148"/>
      <c r="AK8051" s="143"/>
      <c r="AL8051" s="144"/>
      <c r="AM8051" s="22"/>
      <c r="AN8051" s="149" t="s">
        <v>2794</v>
      </c>
      <c r="AO8051" s="144"/>
      <c r="AP8051" s="148">
        <v>6120</v>
      </c>
      <c r="AQ8051" s="144"/>
      <c r="AR8051" s="120"/>
      <c r="AS8051" s="121"/>
      <c r="AT8051" s="120"/>
      <c r="AU8051" s="121"/>
      <c r="AV8051" s="120"/>
      <c r="AW8051" s="121"/>
      <c r="AX8051" s="120"/>
      <c r="AY8051" s="121"/>
      <c r="AZ8051" s="138"/>
    </row>
    <row r="8052" spans="1:52" ht="17.100000000000001" customHeight="1" thickTop="1">
      <c r="A8052" s="109" t="s">
        <v>22698</v>
      </c>
      <c r="B8052" s="28">
        <v>46122</v>
      </c>
      <c r="C8052" s="25">
        <v>286</v>
      </c>
      <c r="D8052" s="13" t="s">
        <v>1059</v>
      </c>
      <c r="E8052" s="111"/>
      <c r="F8052" s="113" t="s">
        <v>22675</v>
      </c>
      <c r="G8052" s="114"/>
      <c r="H8052" s="115"/>
      <c r="I8052" s="24"/>
      <c r="J8052" s="116">
        <v>4</v>
      </c>
      <c r="K8052" s="118">
        <v>634000</v>
      </c>
      <c r="L8052" s="119"/>
      <c r="M8052" s="118">
        <f t="shared" ref="M8052" si="12006">K8052*0.1</f>
        <v>63400</v>
      </c>
      <c r="N8052" s="119"/>
      <c r="O8052" s="118">
        <v>0</v>
      </c>
      <c r="P8052" s="119"/>
      <c r="Q8052" s="118">
        <v>6860</v>
      </c>
      <c r="R8052" s="119"/>
      <c r="S8052" s="118">
        <v>22000</v>
      </c>
      <c r="T8052" s="119"/>
      <c r="U8052" s="118">
        <f t="shared" ref="U8052" si="12007">SUM(K8052:T8053)</f>
        <v>726260</v>
      </c>
      <c r="V8052" s="122"/>
      <c r="W8052" s="124"/>
      <c r="X8052" s="126" t="s">
        <v>23355</v>
      </c>
      <c r="Y8052" s="127"/>
      <c r="Z8052" s="127"/>
      <c r="AA8052" s="127"/>
      <c r="AB8052" s="128"/>
      <c r="AC8052" s="15" t="s">
        <v>20</v>
      </c>
      <c r="AD8052" s="129" t="s">
        <v>3485</v>
      </c>
      <c r="AE8052" s="130"/>
      <c r="AF8052" s="130"/>
      <c r="AG8052" s="130"/>
      <c r="AH8052" s="130"/>
      <c r="AI8052" s="131"/>
      <c r="AJ8052" s="132"/>
      <c r="AK8052" s="127"/>
      <c r="AL8052" s="128"/>
      <c r="AM8052" s="21"/>
      <c r="AN8052" s="133">
        <v>46127</v>
      </c>
      <c r="AO8052" s="134"/>
      <c r="AP8052" s="135">
        <v>1013</v>
      </c>
      <c r="AQ8052" s="136"/>
      <c r="AR8052" s="118">
        <v>730000</v>
      </c>
      <c r="AS8052" s="119"/>
      <c r="AT8052" s="118">
        <f t="shared" ref="AT8052" si="12008">AR8052*0.1</f>
        <v>73000</v>
      </c>
      <c r="AU8052" s="119"/>
      <c r="AV8052" s="118">
        <v>6860</v>
      </c>
      <c r="AW8052" s="119"/>
      <c r="AX8052" s="118">
        <f t="shared" ref="AX8052" si="12009">SUM(AR8052:AW8052)</f>
        <v>809860</v>
      </c>
      <c r="AY8052" s="119"/>
      <c r="AZ8052" s="137">
        <v>46133</v>
      </c>
    </row>
    <row r="8053" spans="1:52" ht="17.100000000000001" customHeight="1" thickBot="1">
      <c r="A8053" s="110"/>
      <c r="B8053" s="27" t="s">
        <v>15877</v>
      </c>
      <c r="C8053" s="27">
        <v>20220</v>
      </c>
      <c r="D8053" s="14" t="s">
        <v>1592</v>
      </c>
      <c r="E8053" s="112"/>
      <c r="F8053" s="139" t="s">
        <v>22712</v>
      </c>
      <c r="G8053" s="140"/>
      <c r="H8053" s="141"/>
      <c r="I8053" s="26">
        <v>30384</v>
      </c>
      <c r="J8053" s="117"/>
      <c r="K8053" s="120"/>
      <c r="L8053" s="121"/>
      <c r="M8053" s="120"/>
      <c r="N8053" s="121"/>
      <c r="O8053" s="120"/>
      <c r="P8053" s="121"/>
      <c r="Q8053" s="120"/>
      <c r="R8053" s="121"/>
      <c r="S8053" s="120"/>
      <c r="T8053" s="121"/>
      <c r="U8053" s="120"/>
      <c r="V8053" s="123"/>
      <c r="W8053" s="125"/>
      <c r="X8053" s="142" t="s">
        <v>2482</v>
      </c>
      <c r="Y8053" s="143"/>
      <c r="Z8053" s="143"/>
      <c r="AA8053" s="143"/>
      <c r="AB8053" s="144"/>
      <c r="AC8053" s="16" t="s">
        <v>21</v>
      </c>
      <c r="AD8053" s="17" t="s">
        <v>23320</v>
      </c>
      <c r="AE8053" s="145" t="s">
        <v>23356</v>
      </c>
      <c r="AF8053" s="146"/>
      <c r="AG8053" s="146"/>
      <c r="AH8053" s="146"/>
      <c r="AI8053" s="147"/>
      <c r="AJ8053" s="148"/>
      <c r="AK8053" s="143"/>
      <c r="AL8053" s="144"/>
      <c r="AM8053" s="22"/>
      <c r="AN8053" s="149" t="s">
        <v>2794</v>
      </c>
      <c r="AO8053" s="144"/>
      <c r="AP8053" s="148">
        <v>5169</v>
      </c>
      <c r="AQ8053" s="144"/>
      <c r="AR8053" s="120"/>
      <c r="AS8053" s="121"/>
      <c r="AT8053" s="120"/>
      <c r="AU8053" s="121"/>
      <c r="AV8053" s="120"/>
      <c r="AW8053" s="121"/>
      <c r="AX8053" s="120"/>
      <c r="AY8053" s="121"/>
      <c r="AZ8053" s="138"/>
    </row>
    <row r="8054" spans="1:52" ht="16.5" customHeight="1" thickTop="1">
      <c r="A8054" s="109" t="s">
        <v>22699</v>
      </c>
      <c r="B8054" s="28">
        <v>46122</v>
      </c>
      <c r="C8054" s="25">
        <v>1201</v>
      </c>
      <c r="D8054" s="13" t="s">
        <v>2654</v>
      </c>
      <c r="E8054" s="111"/>
      <c r="F8054" s="113" t="s">
        <v>15853</v>
      </c>
      <c r="G8054" s="114"/>
      <c r="H8054" s="115"/>
      <c r="I8054" s="24" t="s">
        <v>2152</v>
      </c>
      <c r="J8054" s="116">
        <v>4.5</v>
      </c>
      <c r="K8054" s="118">
        <v>980000</v>
      </c>
      <c r="L8054" s="119"/>
      <c r="M8054" s="118">
        <f t="shared" ref="M8054" si="12010">K8054*0.1</f>
        <v>98000</v>
      </c>
      <c r="N8054" s="119"/>
      <c r="O8054" s="118">
        <v>0</v>
      </c>
      <c r="P8054" s="119"/>
      <c r="Q8054" s="118">
        <v>9080</v>
      </c>
      <c r="R8054" s="119"/>
      <c r="S8054" s="118">
        <v>12100</v>
      </c>
      <c r="T8054" s="119"/>
      <c r="U8054" s="118">
        <f t="shared" ref="U8054" si="12011">SUM(K8054:T8055)</f>
        <v>1099180</v>
      </c>
      <c r="V8054" s="122"/>
      <c r="W8054" s="124"/>
      <c r="X8054" s="126" t="s">
        <v>22863</v>
      </c>
      <c r="Y8054" s="127"/>
      <c r="Z8054" s="127"/>
      <c r="AA8054" s="127"/>
      <c r="AB8054" s="128"/>
      <c r="AC8054" s="15" t="s">
        <v>20</v>
      </c>
      <c r="AD8054" s="129" t="s">
        <v>22864</v>
      </c>
      <c r="AE8054" s="130"/>
      <c r="AF8054" s="130"/>
      <c r="AG8054" s="130"/>
      <c r="AH8054" s="130"/>
      <c r="AI8054" s="131"/>
      <c r="AJ8054" s="132"/>
      <c r="AK8054" s="127"/>
      <c r="AL8054" s="128"/>
      <c r="AM8054" s="21"/>
      <c r="AN8054" s="133">
        <v>46130</v>
      </c>
      <c r="AO8054" s="134"/>
      <c r="AP8054" s="135">
        <v>1297</v>
      </c>
      <c r="AQ8054" s="136"/>
      <c r="AR8054" s="118">
        <v>1065000</v>
      </c>
      <c r="AS8054" s="119"/>
      <c r="AT8054" s="118">
        <f t="shared" ref="AT8054" si="12012">AR8054*0.1</f>
        <v>106500</v>
      </c>
      <c r="AU8054" s="119"/>
      <c r="AV8054" s="118">
        <v>9080</v>
      </c>
      <c r="AW8054" s="119"/>
      <c r="AX8054" s="118">
        <f t="shared" ref="AX8054" si="12013">SUM(AR8054:AW8054)</f>
        <v>1180580</v>
      </c>
      <c r="AY8054" s="119"/>
      <c r="AZ8054" s="137">
        <v>46133</v>
      </c>
    </row>
    <row r="8055" spans="1:52" ht="17.100000000000001" customHeight="1" thickBot="1">
      <c r="A8055" s="110"/>
      <c r="B8055" s="27" t="s">
        <v>22713</v>
      </c>
      <c r="C8055" s="27">
        <v>7178</v>
      </c>
      <c r="D8055" s="14" t="s">
        <v>2601</v>
      </c>
      <c r="E8055" s="112"/>
      <c r="F8055" s="139" t="s">
        <v>22714</v>
      </c>
      <c r="G8055" s="140"/>
      <c r="H8055" s="141"/>
      <c r="I8055" s="26">
        <v>58704</v>
      </c>
      <c r="J8055" s="117"/>
      <c r="K8055" s="120"/>
      <c r="L8055" s="121"/>
      <c r="M8055" s="120"/>
      <c r="N8055" s="121"/>
      <c r="O8055" s="120"/>
      <c r="P8055" s="121"/>
      <c r="Q8055" s="120"/>
      <c r="R8055" s="121"/>
      <c r="S8055" s="120"/>
      <c r="T8055" s="121"/>
      <c r="U8055" s="120"/>
      <c r="V8055" s="123"/>
      <c r="W8055" s="125"/>
      <c r="X8055" s="142" t="s">
        <v>23034</v>
      </c>
      <c r="Y8055" s="143"/>
      <c r="Z8055" s="143"/>
      <c r="AA8055" s="143"/>
      <c r="AB8055" s="144"/>
      <c r="AC8055" s="16" t="s">
        <v>21</v>
      </c>
      <c r="AD8055" s="17" t="s">
        <v>23033</v>
      </c>
      <c r="AE8055" s="145" t="s">
        <v>23035</v>
      </c>
      <c r="AF8055" s="146"/>
      <c r="AG8055" s="146"/>
      <c r="AH8055" s="146"/>
      <c r="AI8055" s="147"/>
      <c r="AJ8055" s="148"/>
      <c r="AK8055" s="143"/>
      <c r="AL8055" s="144"/>
      <c r="AM8055" s="22"/>
      <c r="AN8055" s="149" t="s">
        <v>2511</v>
      </c>
      <c r="AO8055" s="144"/>
      <c r="AP8055" s="148">
        <v>60005</v>
      </c>
      <c r="AQ8055" s="144"/>
      <c r="AR8055" s="120"/>
      <c r="AS8055" s="121"/>
      <c r="AT8055" s="120"/>
      <c r="AU8055" s="121"/>
      <c r="AV8055" s="120"/>
      <c r="AW8055" s="121"/>
      <c r="AX8055" s="120"/>
      <c r="AY8055" s="121"/>
      <c r="AZ8055" s="138"/>
    </row>
    <row r="8056" spans="1:52" ht="17.100000000000001" customHeight="1" thickTop="1">
      <c r="A8056" s="109" t="s">
        <v>22700</v>
      </c>
      <c r="B8056" s="28">
        <v>46122</v>
      </c>
      <c r="C8056" s="25">
        <v>2130</v>
      </c>
      <c r="D8056" s="13" t="s">
        <v>2329</v>
      </c>
      <c r="E8056" s="111"/>
      <c r="F8056" s="113" t="s">
        <v>22716</v>
      </c>
      <c r="G8056" s="114"/>
      <c r="H8056" s="115"/>
      <c r="I8056" s="24" t="s">
        <v>3811</v>
      </c>
      <c r="J8056" s="116">
        <v>4.5</v>
      </c>
      <c r="K8056" s="118">
        <v>1070000</v>
      </c>
      <c r="L8056" s="119"/>
      <c r="M8056" s="118">
        <f t="shared" ref="M8056" si="12014">K8056*0.1</f>
        <v>107000</v>
      </c>
      <c r="N8056" s="119"/>
      <c r="O8056" s="118">
        <v>30690</v>
      </c>
      <c r="P8056" s="119"/>
      <c r="Q8056" s="118">
        <v>19090</v>
      </c>
      <c r="R8056" s="119"/>
      <c r="S8056" s="118">
        <v>16500</v>
      </c>
      <c r="T8056" s="119"/>
      <c r="U8056" s="118">
        <f t="shared" ref="U8056" si="12015">SUM(K8056:T8057)</f>
        <v>1243280</v>
      </c>
      <c r="V8056" s="122"/>
      <c r="W8056" s="124"/>
      <c r="X8056" s="126" t="s">
        <v>22866</v>
      </c>
      <c r="Y8056" s="127"/>
      <c r="Z8056" s="127"/>
      <c r="AA8056" s="127"/>
      <c r="AB8056" s="128"/>
      <c r="AC8056" s="15" t="s">
        <v>20</v>
      </c>
      <c r="AD8056" s="129" t="s">
        <v>1670</v>
      </c>
      <c r="AE8056" s="130"/>
      <c r="AF8056" s="130"/>
      <c r="AG8056" s="130"/>
      <c r="AH8056" s="130"/>
      <c r="AI8056" s="131"/>
      <c r="AJ8056" s="132"/>
      <c r="AK8056" s="127"/>
      <c r="AL8056" s="128"/>
      <c r="AM8056" s="21"/>
      <c r="AN8056" s="133"/>
      <c r="AO8056" s="134"/>
      <c r="AP8056" s="135"/>
      <c r="AQ8056" s="136"/>
      <c r="AR8056" s="118"/>
      <c r="AS8056" s="119"/>
      <c r="AT8056" s="118">
        <f t="shared" ref="AT8056" si="12016">AR8056*0.1</f>
        <v>0</v>
      </c>
      <c r="AU8056" s="119"/>
      <c r="AV8056" s="118"/>
      <c r="AW8056" s="119"/>
      <c r="AX8056" s="118">
        <f t="shared" ref="AX8056" si="12017">SUM(AR8056:AW8056)</f>
        <v>0</v>
      </c>
      <c r="AY8056" s="119"/>
      <c r="AZ8056" s="137"/>
    </row>
    <row r="8057" spans="1:52" ht="17.100000000000001" customHeight="1" thickBot="1">
      <c r="A8057" s="110"/>
      <c r="B8057" s="27" t="s">
        <v>22715</v>
      </c>
      <c r="C8057" s="27">
        <v>58106</v>
      </c>
      <c r="D8057" s="14" t="s">
        <v>1700</v>
      </c>
      <c r="E8057" s="112"/>
      <c r="F8057" s="139" t="s">
        <v>22865</v>
      </c>
      <c r="G8057" s="140"/>
      <c r="H8057" s="141"/>
      <c r="I8057" s="26">
        <v>47761</v>
      </c>
      <c r="J8057" s="117"/>
      <c r="K8057" s="120"/>
      <c r="L8057" s="121"/>
      <c r="M8057" s="120"/>
      <c r="N8057" s="121"/>
      <c r="O8057" s="120"/>
      <c r="P8057" s="121"/>
      <c r="Q8057" s="120"/>
      <c r="R8057" s="121"/>
      <c r="S8057" s="120"/>
      <c r="T8057" s="121"/>
      <c r="U8057" s="120"/>
      <c r="V8057" s="123"/>
      <c r="W8057" s="125"/>
      <c r="X8057" s="142" t="s">
        <v>20358</v>
      </c>
      <c r="Y8057" s="143"/>
      <c r="Z8057" s="143"/>
      <c r="AA8057" s="143"/>
      <c r="AB8057" s="144"/>
      <c r="AC8057" s="16" t="s">
        <v>21</v>
      </c>
      <c r="AD8057" s="17" t="s">
        <v>1952</v>
      </c>
      <c r="AE8057" s="145" t="s">
        <v>9947</v>
      </c>
      <c r="AF8057" s="146"/>
      <c r="AG8057" s="146"/>
      <c r="AH8057" s="146"/>
      <c r="AI8057" s="147"/>
      <c r="AJ8057" s="148"/>
      <c r="AK8057" s="143"/>
      <c r="AL8057" s="144"/>
      <c r="AM8057" s="22"/>
      <c r="AN8057" s="149"/>
      <c r="AO8057" s="144"/>
      <c r="AP8057" s="148"/>
      <c r="AQ8057" s="144"/>
      <c r="AR8057" s="120"/>
      <c r="AS8057" s="121"/>
      <c r="AT8057" s="120"/>
      <c r="AU8057" s="121"/>
      <c r="AV8057" s="120"/>
      <c r="AW8057" s="121"/>
      <c r="AX8057" s="120"/>
      <c r="AY8057" s="121"/>
      <c r="AZ8057" s="138"/>
    </row>
    <row r="8058" spans="1:52" ht="17.100000000000001" customHeight="1" thickTop="1">
      <c r="A8058" s="151" t="s">
        <v>22701</v>
      </c>
      <c r="B8058" s="28">
        <v>46122</v>
      </c>
      <c r="C8058" s="25">
        <v>2130</v>
      </c>
      <c r="D8058" s="13" t="s">
        <v>2759</v>
      </c>
      <c r="E8058" s="111"/>
      <c r="F8058" s="113" t="s">
        <v>22717</v>
      </c>
      <c r="G8058" s="114"/>
      <c r="H8058" s="115"/>
      <c r="I8058" s="24" t="s">
        <v>22868</v>
      </c>
      <c r="J8058" s="116">
        <v>4.5</v>
      </c>
      <c r="K8058" s="118">
        <v>1620000</v>
      </c>
      <c r="L8058" s="119"/>
      <c r="M8058" s="118">
        <f t="shared" ref="M8058" si="12018">K8058*0.1</f>
        <v>162000</v>
      </c>
      <c r="N8058" s="119"/>
      <c r="O8058" s="118">
        <v>30690</v>
      </c>
      <c r="P8058" s="119"/>
      <c r="Q8058" s="118">
        <v>19090</v>
      </c>
      <c r="R8058" s="119"/>
      <c r="S8058" s="118">
        <v>16500</v>
      </c>
      <c r="T8058" s="119"/>
      <c r="U8058" s="118">
        <f t="shared" ref="U8058" si="12019">SUM(K8058:T8059)</f>
        <v>1848280</v>
      </c>
      <c r="V8058" s="122"/>
      <c r="W8058" s="124"/>
      <c r="X8058" s="126" t="s">
        <v>22869</v>
      </c>
      <c r="Y8058" s="127"/>
      <c r="Z8058" s="127"/>
      <c r="AA8058" s="127"/>
      <c r="AB8058" s="128"/>
      <c r="AC8058" s="15" t="s">
        <v>20</v>
      </c>
      <c r="AD8058" s="129" t="s">
        <v>15223</v>
      </c>
      <c r="AE8058" s="130"/>
      <c r="AF8058" s="130"/>
      <c r="AG8058" s="130"/>
      <c r="AH8058" s="130"/>
      <c r="AI8058" s="131"/>
      <c r="AJ8058" s="132" t="s">
        <v>23401</v>
      </c>
      <c r="AK8058" s="127"/>
      <c r="AL8058" s="128"/>
      <c r="AM8058" s="21"/>
      <c r="AN8058" s="133"/>
      <c r="AO8058" s="134"/>
      <c r="AP8058" s="135"/>
      <c r="AQ8058" s="136"/>
      <c r="AR8058" s="118"/>
      <c r="AS8058" s="119"/>
      <c r="AT8058" s="118">
        <f t="shared" ref="AT8058" si="12020">AR8058*0.1</f>
        <v>0</v>
      </c>
      <c r="AU8058" s="119"/>
      <c r="AV8058" s="118"/>
      <c r="AW8058" s="119"/>
      <c r="AX8058" s="118">
        <f t="shared" ref="AX8058" si="12021">SUM(AR8058:AW8058)</f>
        <v>0</v>
      </c>
      <c r="AY8058" s="119"/>
      <c r="AZ8058" s="137"/>
    </row>
    <row r="8059" spans="1:52" ht="17.100000000000001" customHeight="1" thickBot="1">
      <c r="A8059" s="152"/>
      <c r="B8059" s="27" t="s">
        <v>22715</v>
      </c>
      <c r="C8059" s="27">
        <v>58241</v>
      </c>
      <c r="D8059" s="14" t="s">
        <v>1592</v>
      </c>
      <c r="E8059" s="112"/>
      <c r="F8059" s="139" t="s">
        <v>22867</v>
      </c>
      <c r="G8059" s="140"/>
      <c r="H8059" s="141"/>
      <c r="I8059" s="26">
        <v>54180</v>
      </c>
      <c r="J8059" s="117"/>
      <c r="K8059" s="120"/>
      <c r="L8059" s="121"/>
      <c r="M8059" s="120"/>
      <c r="N8059" s="121"/>
      <c r="O8059" s="120"/>
      <c r="P8059" s="121"/>
      <c r="Q8059" s="120"/>
      <c r="R8059" s="121"/>
      <c r="S8059" s="120"/>
      <c r="T8059" s="121"/>
      <c r="U8059" s="120"/>
      <c r="V8059" s="123"/>
      <c r="W8059" s="125"/>
      <c r="X8059" s="142" t="s">
        <v>23245</v>
      </c>
      <c r="Y8059" s="143"/>
      <c r="Z8059" s="143"/>
      <c r="AA8059" s="143"/>
      <c r="AB8059" s="144"/>
      <c r="AC8059" s="16" t="s">
        <v>21</v>
      </c>
      <c r="AD8059" s="17" t="s">
        <v>1952</v>
      </c>
      <c r="AE8059" s="145" t="s">
        <v>1614</v>
      </c>
      <c r="AF8059" s="146"/>
      <c r="AG8059" s="146"/>
      <c r="AH8059" s="146"/>
      <c r="AI8059" s="147"/>
      <c r="AJ8059" s="148"/>
      <c r="AK8059" s="143"/>
      <c r="AL8059" s="144"/>
      <c r="AM8059" s="22"/>
      <c r="AN8059" s="149"/>
      <c r="AO8059" s="144"/>
      <c r="AP8059" s="148"/>
      <c r="AQ8059" s="144"/>
      <c r="AR8059" s="120"/>
      <c r="AS8059" s="121"/>
      <c r="AT8059" s="120"/>
      <c r="AU8059" s="121"/>
      <c r="AV8059" s="120"/>
      <c r="AW8059" s="121"/>
      <c r="AX8059" s="120"/>
      <c r="AY8059" s="121"/>
      <c r="AZ8059" s="138"/>
    </row>
    <row r="8060" spans="1:52" ht="17.100000000000001" customHeight="1" thickTop="1">
      <c r="A8060" s="109" t="s">
        <v>22702</v>
      </c>
      <c r="B8060" s="28">
        <v>46122</v>
      </c>
      <c r="C8060" s="25">
        <v>1414</v>
      </c>
      <c r="D8060" s="13" t="s">
        <v>2301</v>
      </c>
      <c r="E8060" s="111"/>
      <c r="F8060" s="113" t="s">
        <v>22734</v>
      </c>
      <c r="G8060" s="114"/>
      <c r="H8060" s="115"/>
      <c r="I8060" s="24"/>
      <c r="J8060" s="116">
        <v>4.5</v>
      </c>
      <c r="K8060" s="118">
        <v>975000</v>
      </c>
      <c r="L8060" s="119"/>
      <c r="M8060" s="118">
        <f t="shared" ref="M8060" si="12022">K8060*0.1</f>
        <v>97500</v>
      </c>
      <c r="N8060" s="119"/>
      <c r="O8060" s="118">
        <v>0</v>
      </c>
      <c r="P8060" s="119"/>
      <c r="Q8060" s="118">
        <v>8160</v>
      </c>
      <c r="R8060" s="119"/>
      <c r="S8060" s="118">
        <v>15400</v>
      </c>
      <c r="T8060" s="119"/>
      <c r="U8060" s="118">
        <f t="shared" ref="U8060" si="12023">SUM(K8060:T8061)</f>
        <v>1096060</v>
      </c>
      <c r="V8060" s="122"/>
      <c r="W8060" s="124"/>
      <c r="X8060" s="126" t="s">
        <v>23876</v>
      </c>
      <c r="Y8060" s="127"/>
      <c r="Z8060" s="127"/>
      <c r="AA8060" s="127"/>
      <c r="AB8060" s="128"/>
      <c r="AC8060" s="15" t="s">
        <v>20</v>
      </c>
      <c r="AD8060" s="129"/>
      <c r="AE8060" s="130"/>
      <c r="AF8060" s="130"/>
      <c r="AG8060" s="130"/>
      <c r="AH8060" s="130"/>
      <c r="AI8060" s="131"/>
      <c r="AJ8060" s="132"/>
      <c r="AK8060" s="127"/>
      <c r="AL8060" s="128"/>
      <c r="AM8060" s="21"/>
      <c r="AN8060" s="133">
        <v>46127</v>
      </c>
      <c r="AO8060" s="134"/>
      <c r="AP8060" s="135">
        <v>1013</v>
      </c>
      <c r="AQ8060" s="136"/>
      <c r="AR8060" s="118">
        <v>1035000</v>
      </c>
      <c r="AS8060" s="119"/>
      <c r="AT8060" s="118">
        <f t="shared" ref="AT8060" si="12024">AR8060*0.1</f>
        <v>103500</v>
      </c>
      <c r="AU8060" s="119"/>
      <c r="AV8060" s="118">
        <v>8160</v>
      </c>
      <c r="AW8060" s="119"/>
      <c r="AX8060" s="118">
        <f t="shared" ref="AX8060" si="12025">SUM(AR8060:AW8060)</f>
        <v>1146660</v>
      </c>
      <c r="AY8060" s="119"/>
      <c r="AZ8060" s="137">
        <v>46135</v>
      </c>
    </row>
    <row r="8061" spans="1:52" ht="17.100000000000001" customHeight="1" thickBot="1">
      <c r="A8061" s="110"/>
      <c r="B8061" s="27" t="s">
        <v>22718</v>
      </c>
      <c r="C8061" s="27">
        <v>1039</v>
      </c>
      <c r="D8061" s="14" t="s">
        <v>2601</v>
      </c>
      <c r="E8061" s="112"/>
      <c r="F8061" s="139" t="s">
        <v>22735</v>
      </c>
      <c r="G8061" s="140"/>
      <c r="H8061" s="141"/>
      <c r="I8061" s="26">
        <v>14716</v>
      </c>
      <c r="J8061" s="117"/>
      <c r="K8061" s="120"/>
      <c r="L8061" s="121"/>
      <c r="M8061" s="120"/>
      <c r="N8061" s="121"/>
      <c r="O8061" s="120"/>
      <c r="P8061" s="121"/>
      <c r="Q8061" s="120"/>
      <c r="R8061" s="121"/>
      <c r="S8061" s="120"/>
      <c r="T8061" s="121"/>
      <c r="U8061" s="120"/>
      <c r="V8061" s="123"/>
      <c r="W8061" s="125"/>
      <c r="X8061" s="142" t="s">
        <v>1997</v>
      </c>
      <c r="Y8061" s="143"/>
      <c r="Z8061" s="143"/>
      <c r="AA8061" s="143"/>
      <c r="AB8061" s="144"/>
      <c r="AC8061" s="16" t="s">
        <v>21</v>
      </c>
      <c r="AD8061" s="17" t="s">
        <v>23859</v>
      </c>
      <c r="AE8061" s="145"/>
      <c r="AF8061" s="146"/>
      <c r="AG8061" s="146"/>
      <c r="AH8061" s="146"/>
      <c r="AI8061" s="147"/>
      <c r="AJ8061" s="148"/>
      <c r="AK8061" s="143"/>
      <c r="AL8061" s="144"/>
      <c r="AM8061" s="22"/>
      <c r="AN8061" s="149" t="s">
        <v>2794</v>
      </c>
      <c r="AO8061" s="144"/>
      <c r="AP8061" s="148">
        <v>5128</v>
      </c>
      <c r="AQ8061" s="144"/>
      <c r="AR8061" s="120"/>
      <c r="AS8061" s="121"/>
      <c r="AT8061" s="120"/>
      <c r="AU8061" s="121"/>
      <c r="AV8061" s="120"/>
      <c r="AW8061" s="121"/>
      <c r="AX8061" s="120"/>
      <c r="AY8061" s="121"/>
      <c r="AZ8061" s="138"/>
    </row>
    <row r="8062" spans="1:52" ht="17.100000000000001" customHeight="1" thickTop="1">
      <c r="A8062" s="109" t="s">
        <v>22703</v>
      </c>
      <c r="B8062" s="28">
        <v>46122</v>
      </c>
      <c r="C8062" s="25">
        <v>1414</v>
      </c>
      <c r="D8062" s="13" t="s">
        <v>3310</v>
      </c>
      <c r="E8062" s="111"/>
      <c r="F8062" s="113" t="s">
        <v>15969</v>
      </c>
      <c r="G8062" s="114"/>
      <c r="H8062" s="115"/>
      <c r="I8062" s="24" t="s">
        <v>22871</v>
      </c>
      <c r="J8062" s="150" t="s">
        <v>1715</v>
      </c>
      <c r="K8062" s="118">
        <v>687000</v>
      </c>
      <c r="L8062" s="119"/>
      <c r="M8062" s="118">
        <f t="shared" ref="M8062" si="12026">K8062*0.1</f>
        <v>68700</v>
      </c>
      <c r="N8062" s="119"/>
      <c r="O8062" s="118">
        <v>39820</v>
      </c>
      <c r="P8062" s="119"/>
      <c r="Q8062" s="118">
        <v>11480</v>
      </c>
      <c r="R8062" s="119"/>
      <c r="S8062" s="118">
        <v>15400</v>
      </c>
      <c r="T8062" s="119"/>
      <c r="U8062" s="118">
        <f t="shared" ref="U8062" si="12027">SUM(K8062:T8063)</f>
        <v>822400</v>
      </c>
      <c r="V8062" s="122"/>
      <c r="W8062" s="124"/>
      <c r="X8062" s="126" t="s">
        <v>23254</v>
      </c>
      <c r="Y8062" s="127"/>
      <c r="Z8062" s="127"/>
      <c r="AA8062" s="127"/>
      <c r="AB8062" s="128"/>
      <c r="AC8062" s="15" t="s">
        <v>20</v>
      </c>
      <c r="AD8062" s="129"/>
      <c r="AE8062" s="130"/>
      <c r="AF8062" s="130"/>
      <c r="AG8062" s="130"/>
      <c r="AH8062" s="130"/>
      <c r="AI8062" s="131"/>
      <c r="AJ8062" s="132"/>
      <c r="AK8062" s="127"/>
      <c r="AL8062" s="128"/>
      <c r="AM8062" s="21"/>
      <c r="AN8062" s="133">
        <v>46130</v>
      </c>
      <c r="AO8062" s="134"/>
      <c r="AP8062" s="135">
        <v>1297</v>
      </c>
      <c r="AQ8062" s="136"/>
      <c r="AR8062" s="118">
        <v>780000</v>
      </c>
      <c r="AS8062" s="119"/>
      <c r="AT8062" s="118">
        <f t="shared" ref="AT8062" si="12028">AR8062*0.1</f>
        <v>78000</v>
      </c>
      <c r="AU8062" s="119"/>
      <c r="AV8062" s="118">
        <v>11480</v>
      </c>
      <c r="AW8062" s="119"/>
      <c r="AX8062" s="118">
        <f t="shared" ref="AX8062" si="12029">SUM(AR8062:AW8062)</f>
        <v>869480</v>
      </c>
      <c r="AY8062" s="119"/>
      <c r="AZ8062" s="137">
        <v>46133</v>
      </c>
    </row>
    <row r="8063" spans="1:52" ht="17.100000000000001" customHeight="1" thickBot="1">
      <c r="A8063" s="110"/>
      <c r="B8063" s="27" t="s">
        <v>22718</v>
      </c>
      <c r="C8063" s="27">
        <v>1464</v>
      </c>
      <c r="D8063" s="14" t="s">
        <v>22870</v>
      </c>
      <c r="E8063" s="112"/>
      <c r="F8063" s="139" t="s">
        <v>22736</v>
      </c>
      <c r="G8063" s="140"/>
      <c r="H8063" s="141"/>
      <c r="I8063" s="26">
        <v>92811</v>
      </c>
      <c r="J8063" s="117"/>
      <c r="K8063" s="120"/>
      <c r="L8063" s="121"/>
      <c r="M8063" s="120"/>
      <c r="N8063" s="121"/>
      <c r="O8063" s="120"/>
      <c r="P8063" s="121"/>
      <c r="Q8063" s="120"/>
      <c r="R8063" s="121"/>
      <c r="S8063" s="120"/>
      <c r="T8063" s="121"/>
      <c r="U8063" s="120"/>
      <c r="V8063" s="123"/>
      <c r="W8063" s="125"/>
      <c r="X8063" s="142" t="s">
        <v>23255</v>
      </c>
      <c r="Y8063" s="143"/>
      <c r="Z8063" s="143"/>
      <c r="AA8063" s="143"/>
      <c r="AB8063" s="144"/>
      <c r="AC8063" s="16" t="s">
        <v>21</v>
      </c>
      <c r="AD8063" s="17" t="s">
        <v>1952</v>
      </c>
      <c r="AE8063" s="145" t="s">
        <v>2441</v>
      </c>
      <c r="AF8063" s="146"/>
      <c r="AG8063" s="146"/>
      <c r="AH8063" s="146"/>
      <c r="AI8063" s="147"/>
      <c r="AJ8063" s="148"/>
      <c r="AK8063" s="143"/>
      <c r="AL8063" s="144"/>
      <c r="AM8063" s="22"/>
      <c r="AN8063" s="149" t="s">
        <v>2511</v>
      </c>
      <c r="AO8063" s="144"/>
      <c r="AP8063" s="148">
        <v>62</v>
      </c>
      <c r="AQ8063" s="144"/>
      <c r="AR8063" s="120"/>
      <c r="AS8063" s="121"/>
      <c r="AT8063" s="120"/>
      <c r="AU8063" s="121"/>
      <c r="AV8063" s="120"/>
      <c r="AW8063" s="121"/>
      <c r="AX8063" s="120"/>
      <c r="AY8063" s="121"/>
      <c r="AZ8063" s="138"/>
    </row>
    <row r="8064" spans="1:52" ht="17.100000000000001" customHeight="1" thickTop="1">
      <c r="A8064" s="109" t="s">
        <v>22704</v>
      </c>
      <c r="B8064" s="28">
        <v>46122</v>
      </c>
      <c r="C8064" s="25">
        <v>1414</v>
      </c>
      <c r="D8064" s="13" t="s">
        <v>4835</v>
      </c>
      <c r="E8064" s="111"/>
      <c r="F8064" s="113" t="s">
        <v>22737</v>
      </c>
      <c r="G8064" s="114"/>
      <c r="H8064" s="115"/>
      <c r="I8064" s="24" t="s">
        <v>22872</v>
      </c>
      <c r="J8064" s="116">
        <v>4</v>
      </c>
      <c r="K8064" s="118">
        <v>360000</v>
      </c>
      <c r="L8064" s="119"/>
      <c r="M8064" s="118">
        <f t="shared" ref="M8064" si="12030">K8064*0.1</f>
        <v>36000</v>
      </c>
      <c r="N8064" s="119"/>
      <c r="O8064" s="118">
        <v>0</v>
      </c>
      <c r="P8064" s="119"/>
      <c r="Q8064" s="118">
        <v>8550</v>
      </c>
      <c r="R8064" s="119"/>
      <c r="S8064" s="118">
        <v>15400</v>
      </c>
      <c r="T8064" s="119"/>
      <c r="U8064" s="118">
        <f t="shared" ref="U8064" si="12031">SUM(K8064:T8065)</f>
        <v>419950</v>
      </c>
      <c r="V8064" s="122"/>
      <c r="W8064" s="124"/>
      <c r="X8064" s="126" t="s">
        <v>23256</v>
      </c>
      <c r="Y8064" s="127"/>
      <c r="Z8064" s="127"/>
      <c r="AA8064" s="127"/>
      <c r="AB8064" s="128"/>
      <c r="AC8064" s="15" t="s">
        <v>20</v>
      </c>
      <c r="AD8064" s="129"/>
      <c r="AE8064" s="130"/>
      <c r="AF8064" s="130"/>
      <c r="AG8064" s="130"/>
      <c r="AH8064" s="130"/>
      <c r="AI8064" s="131"/>
      <c r="AJ8064" s="132"/>
      <c r="AK8064" s="127"/>
      <c r="AL8064" s="128"/>
      <c r="AM8064" s="21"/>
      <c r="AN8064" s="133">
        <v>46130</v>
      </c>
      <c r="AO8064" s="134"/>
      <c r="AP8064" s="135">
        <v>1297</v>
      </c>
      <c r="AQ8064" s="136"/>
      <c r="AR8064" s="118">
        <v>415000</v>
      </c>
      <c r="AS8064" s="119"/>
      <c r="AT8064" s="118">
        <f t="shared" ref="AT8064" si="12032">AR8064*0.1</f>
        <v>41500</v>
      </c>
      <c r="AU8064" s="119"/>
      <c r="AV8064" s="118">
        <v>8550</v>
      </c>
      <c r="AW8064" s="119"/>
      <c r="AX8064" s="118">
        <f t="shared" ref="AX8064" si="12033">SUM(AR8064:AW8064)</f>
        <v>465050</v>
      </c>
      <c r="AY8064" s="119"/>
      <c r="AZ8064" s="137">
        <v>46133</v>
      </c>
    </row>
    <row r="8065" spans="1:52" ht="17.100000000000001" customHeight="1" thickBot="1">
      <c r="A8065" s="110"/>
      <c r="B8065" s="27" t="s">
        <v>22718</v>
      </c>
      <c r="C8065" s="27">
        <v>2010</v>
      </c>
      <c r="D8065" s="14" t="s">
        <v>904</v>
      </c>
      <c r="E8065" s="112"/>
      <c r="F8065" s="139" t="s">
        <v>22738</v>
      </c>
      <c r="G8065" s="140"/>
      <c r="H8065" s="141"/>
      <c r="I8065" s="26">
        <v>57231</v>
      </c>
      <c r="J8065" s="117"/>
      <c r="K8065" s="120"/>
      <c r="L8065" s="121"/>
      <c r="M8065" s="120"/>
      <c r="N8065" s="121"/>
      <c r="O8065" s="120"/>
      <c r="P8065" s="121"/>
      <c r="Q8065" s="120"/>
      <c r="R8065" s="121"/>
      <c r="S8065" s="120"/>
      <c r="T8065" s="121"/>
      <c r="U8065" s="120"/>
      <c r="V8065" s="123"/>
      <c r="W8065" s="125"/>
      <c r="X8065" s="142" t="s">
        <v>23257</v>
      </c>
      <c r="Y8065" s="143"/>
      <c r="Z8065" s="143"/>
      <c r="AA8065" s="143"/>
      <c r="AB8065" s="144"/>
      <c r="AC8065" s="16" t="s">
        <v>21</v>
      </c>
      <c r="AD8065" s="17" t="s">
        <v>1952</v>
      </c>
      <c r="AE8065" s="145"/>
      <c r="AF8065" s="146"/>
      <c r="AG8065" s="146"/>
      <c r="AH8065" s="146"/>
      <c r="AI8065" s="147"/>
      <c r="AJ8065" s="148"/>
      <c r="AK8065" s="143"/>
      <c r="AL8065" s="144"/>
      <c r="AM8065" s="22"/>
      <c r="AN8065" s="149" t="s">
        <v>2511</v>
      </c>
      <c r="AO8065" s="144"/>
      <c r="AP8065" s="148">
        <v>60078</v>
      </c>
      <c r="AQ8065" s="144"/>
      <c r="AR8065" s="120"/>
      <c r="AS8065" s="121"/>
      <c r="AT8065" s="120"/>
      <c r="AU8065" s="121"/>
      <c r="AV8065" s="120"/>
      <c r="AW8065" s="121"/>
      <c r="AX8065" s="120"/>
      <c r="AY8065" s="121"/>
      <c r="AZ8065" s="138"/>
    </row>
    <row r="8066" spans="1:52" ht="17.100000000000001" customHeight="1" thickTop="1">
      <c r="A8066" s="109" t="s">
        <v>22705</v>
      </c>
      <c r="B8066" s="28">
        <v>46122</v>
      </c>
      <c r="C8066" s="25">
        <v>1414</v>
      </c>
      <c r="D8066" s="13" t="s">
        <v>1863</v>
      </c>
      <c r="E8066" s="111"/>
      <c r="F8066" s="113" t="s">
        <v>22739</v>
      </c>
      <c r="G8066" s="114"/>
      <c r="H8066" s="115"/>
      <c r="I8066" s="24"/>
      <c r="J8066" s="116">
        <v>3.5</v>
      </c>
      <c r="K8066" s="118">
        <v>1196000</v>
      </c>
      <c r="L8066" s="119"/>
      <c r="M8066" s="118">
        <f t="shared" ref="M8066" si="12034">K8066*0.1</f>
        <v>119600</v>
      </c>
      <c r="N8066" s="119"/>
      <c r="O8066" s="118">
        <v>0</v>
      </c>
      <c r="P8066" s="119"/>
      <c r="Q8066" s="118">
        <v>16550</v>
      </c>
      <c r="R8066" s="119"/>
      <c r="S8066" s="118">
        <v>15400</v>
      </c>
      <c r="T8066" s="119"/>
      <c r="U8066" s="118">
        <f t="shared" ref="U8066" si="12035">SUM(K8066:T8067)</f>
        <v>1347550</v>
      </c>
      <c r="V8066" s="122"/>
      <c r="W8066" s="124"/>
      <c r="X8066" s="126" t="s">
        <v>24020</v>
      </c>
      <c r="Y8066" s="127"/>
      <c r="Z8066" s="127"/>
      <c r="AA8066" s="127"/>
      <c r="AB8066" s="128"/>
      <c r="AC8066" s="15" t="s">
        <v>20</v>
      </c>
      <c r="AD8066" s="129"/>
      <c r="AE8066" s="130"/>
      <c r="AF8066" s="130"/>
      <c r="AG8066" s="130"/>
      <c r="AH8066" s="130"/>
      <c r="AI8066" s="131"/>
      <c r="AJ8066" s="132"/>
      <c r="AK8066" s="127"/>
      <c r="AL8066" s="128"/>
      <c r="AM8066" s="21"/>
      <c r="AN8066" s="133">
        <v>46130</v>
      </c>
      <c r="AO8066" s="134"/>
      <c r="AP8066" s="135">
        <v>1297</v>
      </c>
      <c r="AQ8066" s="136"/>
      <c r="AR8066" s="118">
        <v>1350000</v>
      </c>
      <c r="AS8066" s="119"/>
      <c r="AT8066" s="118">
        <f t="shared" ref="AT8066" si="12036">AR8066*0.1</f>
        <v>135000</v>
      </c>
      <c r="AU8066" s="119"/>
      <c r="AV8066" s="118">
        <v>16550</v>
      </c>
      <c r="AW8066" s="119"/>
      <c r="AX8066" s="118">
        <f t="shared" ref="AX8066" si="12037">SUM(AR8066:AW8066)</f>
        <v>1501550</v>
      </c>
      <c r="AY8066" s="119"/>
      <c r="AZ8066" s="137">
        <v>46139</v>
      </c>
    </row>
    <row r="8067" spans="1:52" ht="17.100000000000001" customHeight="1" thickBot="1">
      <c r="A8067" s="110"/>
      <c r="B8067" s="27" t="s">
        <v>22718</v>
      </c>
      <c r="C8067" s="27">
        <v>3059</v>
      </c>
      <c r="D8067" s="14" t="s">
        <v>275</v>
      </c>
      <c r="E8067" s="112"/>
      <c r="F8067" s="139" t="s">
        <v>22740</v>
      </c>
      <c r="G8067" s="140"/>
      <c r="H8067" s="141"/>
      <c r="I8067" s="26">
        <v>160388</v>
      </c>
      <c r="J8067" s="117"/>
      <c r="K8067" s="120"/>
      <c r="L8067" s="121"/>
      <c r="M8067" s="120"/>
      <c r="N8067" s="121"/>
      <c r="O8067" s="120"/>
      <c r="P8067" s="121"/>
      <c r="Q8067" s="120"/>
      <c r="R8067" s="121"/>
      <c r="S8067" s="120"/>
      <c r="T8067" s="121"/>
      <c r="U8067" s="120"/>
      <c r="V8067" s="123"/>
      <c r="W8067" s="125"/>
      <c r="X8067" s="142" t="s">
        <v>24021</v>
      </c>
      <c r="Y8067" s="143"/>
      <c r="Z8067" s="143"/>
      <c r="AA8067" s="143"/>
      <c r="AB8067" s="144"/>
      <c r="AC8067" s="16" t="s">
        <v>21</v>
      </c>
      <c r="AD8067" s="17" t="s">
        <v>24016</v>
      </c>
      <c r="AE8067" s="145" t="s">
        <v>24022</v>
      </c>
      <c r="AF8067" s="146"/>
      <c r="AG8067" s="146"/>
      <c r="AH8067" s="146"/>
      <c r="AI8067" s="147"/>
      <c r="AJ8067" s="148"/>
      <c r="AK8067" s="143"/>
      <c r="AL8067" s="144"/>
      <c r="AM8067" s="22"/>
      <c r="AN8067" s="149" t="s">
        <v>6749</v>
      </c>
      <c r="AO8067" s="144"/>
      <c r="AP8067" s="148">
        <v>63</v>
      </c>
      <c r="AQ8067" s="144"/>
      <c r="AR8067" s="120"/>
      <c r="AS8067" s="121"/>
      <c r="AT8067" s="120"/>
      <c r="AU8067" s="121"/>
      <c r="AV8067" s="120"/>
      <c r="AW8067" s="121"/>
      <c r="AX8067" s="120"/>
      <c r="AY8067" s="121"/>
      <c r="AZ8067" s="138"/>
    </row>
    <row r="8068" spans="1:52" ht="17.100000000000001" customHeight="1" thickTop="1">
      <c r="A8068" s="109" t="s">
        <v>22706</v>
      </c>
      <c r="B8068" s="28">
        <v>46122</v>
      </c>
      <c r="C8068" s="25">
        <v>1414</v>
      </c>
      <c r="D8068" s="13" t="s">
        <v>1586</v>
      </c>
      <c r="E8068" s="111"/>
      <c r="F8068" s="113" t="s">
        <v>22741</v>
      </c>
      <c r="G8068" s="114"/>
      <c r="H8068" s="115"/>
      <c r="I8068" s="24" t="s">
        <v>22873</v>
      </c>
      <c r="J8068" s="116">
        <v>4</v>
      </c>
      <c r="K8068" s="118">
        <v>1477000</v>
      </c>
      <c r="L8068" s="119"/>
      <c r="M8068" s="118">
        <f t="shared" ref="M8068" si="12038">K8068*0.1</f>
        <v>147700</v>
      </c>
      <c r="N8068" s="119"/>
      <c r="O8068" s="118">
        <v>39820</v>
      </c>
      <c r="P8068" s="119"/>
      <c r="Q8068" s="118">
        <v>10120</v>
      </c>
      <c r="R8068" s="119"/>
      <c r="S8068" s="118">
        <v>15400</v>
      </c>
      <c r="T8068" s="119"/>
      <c r="U8068" s="118">
        <f t="shared" ref="U8068" si="12039">SUM(K8068:T8069)</f>
        <v>1690040</v>
      </c>
      <c r="V8068" s="122"/>
      <c r="W8068" s="124"/>
      <c r="X8068" s="126" t="s">
        <v>23475</v>
      </c>
      <c r="Y8068" s="127"/>
      <c r="Z8068" s="127"/>
      <c r="AA8068" s="127"/>
      <c r="AB8068" s="128"/>
      <c r="AC8068" s="15" t="s">
        <v>20</v>
      </c>
      <c r="AD8068" s="129" t="s">
        <v>1581</v>
      </c>
      <c r="AE8068" s="130"/>
      <c r="AF8068" s="130"/>
      <c r="AG8068" s="130"/>
      <c r="AH8068" s="130"/>
      <c r="AI8068" s="131"/>
      <c r="AJ8068" s="132"/>
      <c r="AK8068" s="127"/>
      <c r="AL8068" s="128"/>
      <c r="AM8068" s="21"/>
      <c r="AN8068" s="133">
        <v>46134</v>
      </c>
      <c r="AO8068" s="134"/>
      <c r="AP8068" s="135">
        <v>1014</v>
      </c>
      <c r="AQ8068" s="136"/>
      <c r="AR8068" s="118">
        <v>1555000</v>
      </c>
      <c r="AS8068" s="119"/>
      <c r="AT8068" s="118">
        <f t="shared" ref="AT8068" si="12040">AR8068*0.1</f>
        <v>155500</v>
      </c>
      <c r="AU8068" s="119"/>
      <c r="AV8068" s="118">
        <v>10120</v>
      </c>
      <c r="AW8068" s="119"/>
      <c r="AX8068" s="118">
        <f t="shared" ref="AX8068" si="12041">SUM(AR8068:AW8068)</f>
        <v>1720620</v>
      </c>
      <c r="AY8068" s="119"/>
      <c r="AZ8068" s="137">
        <v>46139</v>
      </c>
    </row>
    <row r="8069" spans="1:52" ht="17.100000000000001" customHeight="1" thickBot="1">
      <c r="A8069" s="110"/>
      <c r="B8069" s="27" t="s">
        <v>22718</v>
      </c>
      <c r="C8069" s="27">
        <v>3167</v>
      </c>
      <c r="D8069" s="14" t="s">
        <v>275</v>
      </c>
      <c r="E8069" s="112"/>
      <c r="F8069" s="139" t="s">
        <v>22742</v>
      </c>
      <c r="G8069" s="140"/>
      <c r="H8069" s="141"/>
      <c r="I8069" s="26">
        <v>42096</v>
      </c>
      <c r="J8069" s="117"/>
      <c r="K8069" s="120"/>
      <c r="L8069" s="121"/>
      <c r="M8069" s="120"/>
      <c r="N8069" s="121"/>
      <c r="O8069" s="120"/>
      <c r="P8069" s="121"/>
      <c r="Q8069" s="120"/>
      <c r="R8069" s="121"/>
      <c r="S8069" s="120"/>
      <c r="T8069" s="121"/>
      <c r="U8069" s="120"/>
      <c r="V8069" s="123"/>
      <c r="W8069" s="125"/>
      <c r="X8069" s="142" t="s">
        <v>23476</v>
      </c>
      <c r="Y8069" s="143"/>
      <c r="Z8069" s="143"/>
      <c r="AA8069" s="143"/>
      <c r="AB8069" s="144"/>
      <c r="AC8069" s="16" t="s">
        <v>21</v>
      </c>
      <c r="AD8069" s="17" t="s">
        <v>3711</v>
      </c>
      <c r="AE8069" s="145" t="s">
        <v>12130</v>
      </c>
      <c r="AF8069" s="146"/>
      <c r="AG8069" s="146"/>
      <c r="AH8069" s="146"/>
      <c r="AI8069" s="147"/>
      <c r="AJ8069" s="148"/>
      <c r="AK8069" s="143"/>
      <c r="AL8069" s="144"/>
      <c r="AM8069" s="22"/>
      <c r="AN8069" s="149" t="s">
        <v>23987</v>
      </c>
      <c r="AO8069" s="144"/>
      <c r="AP8069" s="148">
        <v>6080</v>
      </c>
      <c r="AQ8069" s="144"/>
      <c r="AR8069" s="120"/>
      <c r="AS8069" s="121"/>
      <c r="AT8069" s="120"/>
      <c r="AU8069" s="121"/>
      <c r="AV8069" s="120"/>
      <c r="AW8069" s="121"/>
      <c r="AX8069" s="120"/>
      <c r="AY8069" s="121"/>
      <c r="AZ8069" s="138"/>
    </row>
    <row r="8070" spans="1:52" ht="17.100000000000001" customHeight="1" thickTop="1">
      <c r="A8070" s="109" t="s">
        <v>22707</v>
      </c>
      <c r="B8070" s="28">
        <v>46122</v>
      </c>
      <c r="C8070" s="25">
        <v>1414</v>
      </c>
      <c r="D8070" s="13" t="s">
        <v>3322</v>
      </c>
      <c r="E8070" s="111"/>
      <c r="F8070" s="113" t="s">
        <v>22743</v>
      </c>
      <c r="G8070" s="114"/>
      <c r="H8070" s="115"/>
      <c r="I8070" s="24" t="s">
        <v>8018</v>
      </c>
      <c r="J8070" s="116">
        <v>4</v>
      </c>
      <c r="K8070" s="118">
        <v>993000</v>
      </c>
      <c r="L8070" s="119"/>
      <c r="M8070" s="118">
        <f t="shared" ref="M8070" si="12042">K8070*0.1</f>
        <v>99300</v>
      </c>
      <c r="N8070" s="119"/>
      <c r="O8070" s="118">
        <v>30690</v>
      </c>
      <c r="P8070" s="119"/>
      <c r="Q8070" s="118">
        <v>8950</v>
      </c>
      <c r="R8070" s="119"/>
      <c r="S8070" s="118">
        <v>15400</v>
      </c>
      <c r="T8070" s="119"/>
      <c r="U8070" s="118">
        <f t="shared" ref="U8070" si="12043">SUM(K8070:T8071)</f>
        <v>1147340</v>
      </c>
      <c r="V8070" s="122"/>
      <c r="W8070" s="124"/>
      <c r="X8070" s="126" t="s">
        <v>23236</v>
      </c>
      <c r="Y8070" s="127"/>
      <c r="Z8070" s="127"/>
      <c r="AA8070" s="127"/>
      <c r="AB8070" s="128"/>
      <c r="AC8070" s="15" t="s">
        <v>20</v>
      </c>
      <c r="AD8070" s="129" t="s">
        <v>4435</v>
      </c>
      <c r="AE8070" s="130"/>
      <c r="AF8070" s="130"/>
      <c r="AG8070" s="130"/>
      <c r="AH8070" s="130"/>
      <c r="AI8070" s="131"/>
      <c r="AJ8070" s="132"/>
      <c r="AK8070" s="127"/>
      <c r="AL8070" s="128"/>
      <c r="AM8070" s="21"/>
      <c r="AN8070" s="133">
        <v>46127</v>
      </c>
      <c r="AO8070" s="134"/>
      <c r="AP8070" s="135">
        <v>1013</v>
      </c>
      <c r="AQ8070" s="136"/>
      <c r="AR8070" s="118">
        <v>1130000</v>
      </c>
      <c r="AS8070" s="119"/>
      <c r="AT8070" s="118">
        <f t="shared" ref="AT8070" si="12044">AR8070*0.1</f>
        <v>113000</v>
      </c>
      <c r="AU8070" s="119"/>
      <c r="AV8070" s="118">
        <v>8950</v>
      </c>
      <c r="AW8070" s="119"/>
      <c r="AX8070" s="118">
        <f t="shared" ref="AX8070" si="12045">SUM(AR8070:AW8070)</f>
        <v>1251950</v>
      </c>
      <c r="AY8070" s="119"/>
      <c r="AZ8070" s="137">
        <v>46132</v>
      </c>
    </row>
    <row r="8071" spans="1:52" ht="17.100000000000001" customHeight="1" thickBot="1">
      <c r="A8071" s="110"/>
      <c r="B8071" s="27" t="s">
        <v>22718</v>
      </c>
      <c r="C8071" s="27">
        <v>3177</v>
      </c>
      <c r="D8071" s="14" t="s">
        <v>5615</v>
      </c>
      <c r="E8071" s="112"/>
      <c r="F8071" s="139" t="s">
        <v>22744</v>
      </c>
      <c r="G8071" s="140"/>
      <c r="H8071" s="141"/>
      <c r="I8071" s="26">
        <v>56937</v>
      </c>
      <c r="J8071" s="117"/>
      <c r="K8071" s="120"/>
      <c r="L8071" s="121"/>
      <c r="M8071" s="120"/>
      <c r="N8071" s="121"/>
      <c r="O8071" s="120"/>
      <c r="P8071" s="121"/>
      <c r="Q8071" s="120"/>
      <c r="R8071" s="121"/>
      <c r="S8071" s="120"/>
      <c r="T8071" s="121"/>
      <c r="U8071" s="120"/>
      <c r="V8071" s="123"/>
      <c r="W8071" s="125"/>
      <c r="X8071" s="142" t="s">
        <v>2394</v>
      </c>
      <c r="Y8071" s="143"/>
      <c r="Z8071" s="143"/>
      <c r="AA8071" s="143"/>
      <c r="AB8071" s="144"/>
      <c r="AC8071" s="16" t="s">
        <v>21</v>
      </c>
      <c r="AD8071" s="17" t="s">
        <v>1952</v>
      </c>
      <c r="AE8071" s="145" t="s">
        <v>4488</v>
      </c>
      <c r="AF8071" s="146"/>
      <c r="AG8071" s="146"/>
      <c r="AH8071" s="146"/>
      <c r="AI8071" s="147"/>
      <c r="AJ8071" s="148"/>
      <c r="AK8071" s="143"/>
      <c r="AL8071" s="144"/>
      <c r="AM8071" s="22"/>
      <c r="AN8071" s="149" t="s">
        <v>2794</v>
      </c>
      <c r="AO8071" s="144"/>
      <c r="AP8071" s="148">
        <v>5140</v>
      </c>
      <c r="AQ8071" s="144"/>
      <c r="AR8071" s="120"/>
      <c r="AS8071" s="121"/>
      <c r="AT8071" s="120"/>
      <c r="AU8071" s="121"/>
      <c r="AV8071" s="120"/>
      <c r="AW8071" s="121"/>
      <c r="AX8071" s="120"/>
      <c r="AY8071" s="121"/>
      <c r="AZ8071" s="138"/>
    </row>
    <row r="8072" spans="1:52" ht="17.100000000000001" customHeight="1" thickTop="1">
      <c r="A8072" s="109" t="s">
        <v>22708</v>
      </c>
      <c r="B8072" s="28">
        <v>46122</v>
      </c>
      <c r="C8072" s="25">
        <v>1414</v>
      </c>
      <c r="D8072" s="13" t="s">
        <v>2814</v>
      </c>
      <c r="E8072" s="111"/>
      <c r="F8072" s="113" t="s">
        <v>22745</v>
      </c>
      <c r="G8072" s="114"/>
      <c r="H8072" s="115"/>
      <c r="I8072" s="24"/>
      <c r="J8072" s="116">
        <v>4</v>
      </c>
      <c r="K8072" s="118">
        <v>3022000</v>
      </c>
      <c r="L8072" s="119"/>
      <c r="M8072" s="118">
        <f t="shared" ref="M8072" si="12046">K8072*0.1</f>
        <v>302200</v>
      </c>
      <c r="N8072" s="119"/>
      <c r="O8072" s="118">
        <v>0</v>
      </c>
      <c r="P8072" s="119"/>
      <c r="Q8072" s="118">
        <v>14140</v>
      </c>
      <c r="R8072" s="119"/>
      <c r="S8072" s="118">
        <v>15400</v>
      </c>
      <c r="T8072" s="119"/>
      <c r="U8072" s="118">
        <f t="shared" ref="U8072" si="12047">SUM(K8072:T8073)</f>
        <v>3353740</v>
      </c>
      <c r="V8072" s="122"/>
      <c r="W8072" s="124"/>
      <c r="X8072" s="126" t="s">
        <v>23253</v>
      </c>
      <c r="Y8072" s="127"/>
      <c r="Z8072" s="127"/>
      <c r="AA8072" s="127"/>
      <c r="AB8072" s="128"/>
      <c r="AC8072" s="15" t="s">
        <v>20</v>
      </c>
      <c r="AD8072" s="129" t="s">
        <v>4435</v>
      </c>
      <c r="AE8072" s="130"/>
      <c r="AF8072" s="130"/>
      <c r="AG8072" s="130"/>
      <c r="AH8072" s="130"/>
      <c r="AI8072" s="131"/>
      <c r="AJ8072" s="132"/>
      <c r="AK8072" s="127"/>
      <c r="AL8072" s="128"/>
      <c r="AM8072" s="21"/>
      <c r="AN8072" s="133">
        <v>46141</v>
      </c>
      <c r="AO8072" s="134"/>
      <c r="AP8072" s="135">
        <v>1015</v>
      </c>
      <c r="AQ8072" s="136"/>
      <c r="AR8072" s="118">
        <v>3125000</v>
      </c>
      <c r="AS8072" s="119"/>
      <c r="AT8072" s="118">
        <f t="shared" ref="AT8072" si="12048">AR8072*0.1</f>
        <v>312500</v>
      </c>
      <c r="AU8072" s="119"/>
      <c r="AV8072" s="118">
        <v>14140</v>
      </c>
      <c r="AW8072" s="119"/>
      <c r="AX8072" s="118">
        <f t="shared" ref="AX8072" si="12049">SUM(AR8072:AW8072)</f>
        <v>3451640</v>
      </c>
      <c r="AY8072" s="119"/>
      <c r="AZ8072" s="137">
        <v>46153</v>
      </c>
    </row>
    <row r="8073" spans="1:52" ht="17.100000000000001" customHeight="1" thickBot="1">
      <c r="A8073" s="110"/>
      <c r="B8073" s="27" t="s">
        <v>22718</v>
      </c>
      <c r="C8073" s="27">
        <v>3216</v>
      </c>
      <c r="D8073" s="14" t="s">
        <v>2601</v>
      </c>
      <c r="E8073" s="112"/>
      <c r="F8073" s="139" t="s">
        <v>22746</v>
      </c>
      <c r="G8073" s="140"/>
      <c r="H8073" s="141"/>
      <c r="I8073" s="26">
        <v>93263</v>
      </c>
      <c r="J8073" s="117"/>
      <c r="K8073" s="120"/>
      <c r="L8073" s="121"/>
      <c r="M8073" s="120"/>
      <c r="N8073" s="121"/>
      <c r="O8073" s="120"/>
      <c r="P8073" s="121"/>
      <c r="Q8073" s="120"/>
      <c r="R8073" s="121"/>
      <c r="S8073" s="120"/>
      <c r="T8073" s="121"/>
      <c r="U8073" s="120"/>
      <c r="V8073" s="123"/>
      <c r="W8073" s="125"/>
      <c r="X8073" s="142" t="s">
        <v>2394</v>
      </c>
      <c r="Y8073" s="143"/>
      <c r="Z8073" s="143"/>
      <c r="AA8073" s="143"/>
      <c r="AB8073" s="144"/>
      <c r="AC8073" s="16" t="s">
        <v>21</v>
      </c>
      <c r="AD8073" s="17" t="s">
        <v>1952</v>
      </c>
      <c r="AE8073" s="145" t="s">
        <v>4488</v>
      </c>
      <c r="AF8073" s="146"/>
      <c r="AG8073" s="146"/>
      <c r="AH8073" s="146"/>
      <c r="AI8073" s="147"/>
      <c r="AJ8073" s="148"/>
      <c r="AK8073" s="143"/>
      <c r="AL8073" s="144"/>
      <c r="AM8073" s="22"/>
      <c r="AN8073" s="149" t="s">
        <v>2794</v>
      </c>
      <c r="AO8073" s="144"/>
      <c r="AP8073" s="148">
        <v>6097</v>
      </c>
      <c r="AQ8073" s="144"/>
      <c r="AR8073" s="120"/>
      <c r="AS8073" s="121"/>
      <c r="AT8073" s="120"/>
      <c r="AU8073" s="121"/>
      <c r="AV8073" s="120"/>
      <c r="AW8073" s="121"/>
      <c r="AX8073" s="120"/>
      <c r="AY8073" s="121"/>
      <c r="AZ8073" s="138"/>
    </row>
    <row r="8074" spans="1:52" ht="17.100000000000001" customHeight="1" thickTop="1">
      <c r="A8074" s="109" t="s">
        <v>22709</v>
      </c>
      <c r="B8074" s="28">
        <v>46122</v>
      </c>
      <c r="C8074" s="25">
        <v>1414</v>
      </c>
      <c r="D8074" s="13" t="s">
        <v>1803</v>
      </c>
      <c r="E8074" s="111"/>
      <c r="F8074" s="113" t="s">
        <v>22747</v>
      </c>
      <c r="G8074" s="114"/>
      <c r="H8074" s="115"/>
      <c r="I8074" s="24" t="s">
        <v>10644</v>
      </c>
      <c r="J8074" s="116">
        <v>4</v>
      </c>
      <c r="K8074" s="118">
        <v>2252000</v>
      </c>
      <c r="L8074" s="119"/>
      <c r="M8074" s="118">
        <f t="shared" ref="M8074" si="12050">K8074*0.1</f>
        <v>225200</v>
      </c>
      <c r="N8074" s="119"/>
      <c r="O8074" s="118">
        <v>58410</v>
      </c>
      <c r="P8074" s="119"/>
      <c r="Q8074" s="118">
        <v>12710</v>
      </c>
      <c r="R8074" s="119"/>
      <c r="S8074" s="118">
        <v>15400</v>
      </c>
      <c r="T8074" s="119"/>
      <c r="U8074" s="118">
        <f t="shared" ref="U8074" si="12051">SUM(K8074:T8075)</f>
        <v>2563720</v>
      </c>
      <c r="V8074" s="122"/>
      <c r="W8074" s="124"/>
      <c r="X8074" s="126" t="s">
        <v>23339</v>
      </c>
      <c r="Y8074" s="127"/>
      <c r="Z8074" s="127"/>
      <c r="AA8074" s="127"/>
      <c r="AB8074" s="128"/>
      <c r="AC8074" s="15" t="s">
        <v>20</v>
      </c>
      <c r="AD8074" s="129" t="s">
        <v>5302</v>
      </c>
      <c r="AE8074" s="130"/>
      <c r="AF8074" s="130"/>
      <c r="AG8074" s="130"/>
      <c r="AH8074" s="130"/>
      <c r="AI8074" s="131"/>
      <c r="AJ8074" s="132"/>
      <c r="AK8074" s="127"/>
      <c r="AL8074" s="128"/>
      <c r="AM8074" s="21"/>
      <c r="AN8074" s="133">
        <v>46134</v>
      </c>
      <c r="AO8074" s="134"/>
      <c r="AP8074" s="135">
        <v>1014</v>
      </c>
      <c r="AQ8074" s="136"/>
      <c r="AR8074" s="118">
        <v>2300000</v>
      </c>
      <c r="AS8074" s="119"/>
      <c r="AT8074" s="118">
        <f t="shared" ref="AT8074" si="12052">AR8074*0.1</f>
        <v>230000</v>
      </c>
      <c r="AU8074" s="119"/>
      <c r="AV8074" s="118">
        <v>12710</v>
      </c>
      <c r="AW8074" s="119"/>
      <c r="AX8074" s="118">
        <f t="shared" ref="AX8074" si="12053">SUM(AR8074:AW8074)</f>
        <v>2542710</v>
      </c>
      <c r="AY8074" s="119"/>
      <c r="AZ8074" s="137">
        <v>46139</v>
      </c>
    </row>
    <row r="8075" spans="1:52" ht="17.100000000000001" customHeight="1" thickBot="1">
      <c r="A8075" s="110"/>
      <c r="B8075" s="27" t="s">
        <v>22718</v>
      </c>
      <c r="C8075" s="27">
        <v>3276</v>
      </c>
      <c r="D8075" s="14" t="s">
        <v>2601</v>
      </c>
      <c r="E8075" s="112"/>
      <c r="F8075" s="139" t="s">
        <v>22748</v>
      </c>
      <c r="G8075" s="140"/>
      <c r="H8075" s="141"/>
      <c r="I8075" s="26">
        <v>70084</v>
      </c>
      <c r="J8075" s="117"/>
      <c r="K8075" s="120"/>
      <c r="L8075" s="121"/>
      <c r="M8075" s="120"/>
      <c r="N8075" s="121"/>
      <c r="O8075" s="120"/>
      <c r="P8075" s="121"/>
      <c r="Q8075" s="120"/>
      <c r="R8075" s="121"/>
      <c r="S8075" s="120"/>
      <c r="T8075" s="121"/>
      <c r="U8075" s="120"/>
      <c r="V8075" s="123"/>
      <c r="W8075" s="125"/>
      <c r="X8075" s="142" t="s">
        <v>23340</v>
      </c>
      <c r="Y8075" s="143"/>
      <c r="Z8075" s="143"/>
      <c r="AA8075" s="143"/>
      <c r="AB8075" s="144"/>
      <c r="AC8075" s="16" t="s">
        <v>21</v>
      </c>
      <c r="AD8075" s="17" t="s">
        <v>23320</v>
      </c>
      <c r="AE8075" s="145" t="s">
        <v>23341</v>
      </c>
      <c r="AF8075" s="146"/>
      <c r="AG8075" s="146"/>
      <c r="AH8075" s="146"/>
      <c r="AI8075" s="147"/>
      <c r="AJ8075" s="148"/>
      <c r="AK8075" s="143"/>
      <c r="AL8075" s="144"/>
      <c r="AM8075" s="22"/>
      <c r="AN8075" s="149" t="s">
        <v>23987</v>
      </c>
      <c r="AO8075" s="144"/>
      <c r="AP8075" s="148">
        <v>6063</v>
      </c>
      <c r="AQ8075" s="144"/>
      <c r="AR8075" s="120"/>
      <c r="AS8075" s="121"/>
      <c r="AT8075" s="120"/>
      <c r="AU8075" s="121"/>
      <c r="AV8075" s="120"/>
      <c r="AW8075" s="121"/>
      <c r="AX8075" s="120"/>
      <c r="AY8075" s="121"/>
      <c r="AZ8075" s="138"/>
    </row>
    <row r="8076" spans="1:52" ht="17.100000000000001" customHeight="1" thickTop="1">
      <c r="A8076" s="151" t="s">
        <v>22710</v>
      </c>
      <c r="B8076" s="28">
        <v>46122</v>
      </c>
      <c r="C8076" s="25">
        <v>1414</v>
      </c>
      <c r="D8076" s="13" t="s">
        <v>3322</v>
      </c>
      <c r="E8076" s="111"/>
      <c r="F8076" s="113" t="s">
        <v>22749</v>
      </c>
      <c r="G8076" s="114"/>
      <c r="H8076" s="115"/>
      <c r="I8076" s="24" t="s">
        <v>5070</v>
      </c>
      <c r="J8076" s="116">
        <v>4.5</v>
      </c>
      <c r="K8076" s="118">
        <v>1329000</v>
      </c>
      <c r="L8076" s="119"/>
      <c r="M8076" s="118">
        <f t="shared" ref="M8076" si="12054">K8076*0.1</f>
        <v>132900</v>
      </c>
      <c r="N8076" s="119"/>
      <c r="O8076" s="118">
        <v>36300</v>
      </c>
      <c r="P8076" s="119"/>
      <c r="Q8076" s="118">
        <v>9720</v>
      </c>
      <c r="R8076" s="119"/>
      <c r="S8076" s="118">
        <v>15400</v>
      </c>
      <c r="T8076" s="119"/>
      <c r="U8076" s="118">
        <f t="shared" ref="U8076" si="12055">SUM(K8076:T8077)</f>
        <v>1523320</v>
      </c>
      <c r="V8076" s="122"/>
      <c r="W8076" s="124"/>
      <c r="X8076" s="126"/>
      <c r="Y8076" s="127"/>
      <c r="Z8076" s="127"/>
      <c r="AA8076" s="127"/>
      <c r="AB8076" s="128"/>
      <c r="AC8076" s="15" t="s">
        <v>20</v>
      </c>
      <c r="AD8076" s="129" t="s">
        <v>22874</v>
      </c>
      <c r="AE8076" s="130"/>
      <c r="AF8076" s="130"/>
      <c r="AG8076" s="130"/>
      <c r="AH8076" s="130"/>
      <c r="AI8076" s="131"/>
      <c r="AJ8076" s="132" t="s">
        <v>23226</v>
      </c>
      <c r="AK8076" s="127"/>
      <c r="AL8076" s="128"/>
      <c r="AM8076" s="21"/>
      <c r="AN8076" s="133"/>
      <c r="AO8076" s="134"/>
      <c r="AP8076" s="135"/>
      <c r="AQ8076" s="136"/>
      <c r="AR8076" s="118"/>
      <c r="AS8076" s="119"/>
      <c r="AT8076" s="118">
        <f t="shared" ref="AT8076" si="12056">AR8076*0.1</f>
        <v>0</v>
      </c>
      <c r="AU8076" s="119"/>
      <c r="AV8076" s="118"/>
      <c r="AW8076" s="119"/>
      <c r="AX8076" s="118">
        <f t="shared" ref="AX8076" si="12057">SUM(AR8076:AW8076)</f>
        <v>0</v>
      </c>
      <c r="AY8076" s="119"/>
      <c r="AZ8076" s="137"/>
    </row>
    <row r="8077" spans="1:52" ht="17.100000000000001" customHeight="1" thickBot="1">
      <c r="A8077" s="152"/>
      <c r="B8077" s="27" t="s">
        <v>22718</v>
      </c>
      <c r="C8077" s="27">
        <v>3303</v>
      </c>
      <c r="D8077" s="14" t="s">
        <v>133</v>
      </c>
      <c r="E8077" s="112"/>
      <c r="F8077" s="139" t="s">
        <v>22750</v>
      </c>
      <c r="G8077" s="140"/>
      <c r="H8077" s="141"/>
      <c r="I8077" s="26">
        <v>33939</v>
      </c>
      <c r="J8077" s="117"/>
      <c r="K8077" s="120"/>
      <c r="L8077" s="121"/>
      <c r="M8077" s="120"/>
      <c r="N8077" s="121"/>
      <c r="O8077" s="120"/>
      <c r="P8077" s="121"/>
      <c r="Q8077" s="120"/>
      <c r="R8077" s="121"/>
      <c r="S8077" s="120"/>
      <c r="T8077" s="121"/>
      <c r="U8077" s="120"/>
      <c r="V8077" s="123"/>
      <c r="W8077" s="125"/>
      <c r="X8077" s="142"/>
      <c r="Y8077" s="143"/>
      <c r="Z8077" s="143"/>
      <c r="AA8077" s="143"/>
      <c r="AB8077" s="144"/>
      <c r="AC8077" s="16" t="s">
        <v>21</v>
      </c>
      <c r="AD8077" s="17" t="s">
        <v>10540</v>
      </c>
      <c r="AE8077" s="145"/>
      <c r="AF8077" s="146"/>
      <c r="AG8077" s="146"/>
      <c r="AH8077" s="146"/>
      <c r="AI8077" s="147"/>
      <c r="AJ8077" s="148"/>
      <c r="AK8077" s="143"/>
      <c r="AL8077" s="144"/>
      <c r="AM8077" s="22"/>
      <c r="AN8077" s="149"/>
      <c r="AO8077" s="144"/>
      <c r="AP8077" s="148"/>
      <c r="AQ8077" s="144"/>
      <c r="AR8077" s="120"/>
      <c r="AS8077" s="121"/>
      <c r="AT8077" s="120"/>
      <c r="AU8077" s="121"/>
      <c r="AV8077" s="120"/>
      <c r="AW8077" s="121"/>
      <c r="AX8077" s="120"/>
      <c r="AY8077" s="121"/>
      <c r="AZ8077" s="138"/>
    </row>
    <row r="8078" spans="1:52" ht="17.100000000000001" customHeight="1" thickTop="1">
      <c r="A8078" s="109" t="s">
        <v>22719</v>
      </c>
      <c r="B8078" s="28">
        <v>46122</v>
      </c>
      <c r="C8078" s="25">
        <v>1414</v>
      </c>
      <c r="D8078" s="13" t="s">
        <v>4346</v>
      </c>
      <c r="E8078" s="111"/>
      <c r="F8078" s="113" t="s">
        <v>22751</v>
      </c>
      <c r="G8078" s="114"/>
      <c r="H8078" s="115"/>
      <c r="I8078" s="24"/>
      <c r="J8078" s="116">
        <v>4</v>
      </c>
      <c r="K8078" s="118">
        <v>1589000</v>
      </c>
      <c r="L8078" s="119"/>
      <c r="M8078" s="118">
        <f t="shared" ref="M8078" si="12058">K8078*0.1</f>
        <v>158900</v>
      </c>
      <c r="N8078" s="119"/>
      <c r="O8078" s="118">
        <v>0</v>
      </c>
      <c r="P8078" s="119"/>
      <c r="Q8078" s="118">
        <v>12550</v>
      </c>
      <c r="R8078" s="119"/>
      <c r="S8078" s="118">
        <v>15400</v>
      </c>
      <c r="T8078" s="119"/>
      <c r="U8078" s="118">
        <f t="shared" ref="U8078" si="12059">SUM(K8078:T8079)</f>
        <v>1775850</v>
      </c>
      <c r="V8078" s="122"/>
      <c r="W8078" s="124"/>
      <c r="X8078" s="126" t="s">
        <v>23258</v>
      </c>
      <c r="Y8078" s="127"/>
      <c r="Z8078" s="127"/>
      <c r="AA8078" s="127"/>
      <c r="AB8078" s="128"/>
      <c r="AC8078" s="15" t="s">
        <v>20</v>
      </c>
      <c r="AD8078" s="129"/>
      <c r="AE8078" s="130"/>
      <c r="AF8078" s="130"/>
      <c r="AG8078" s="130"/>
      <c r="AH8078" s="130"/>
      <c r="AI8078" s="131"/>
      <c r="AJ8078" s="132"/>
      <c r="AK8078" s="127"/>
      <c r="AL8078" s="128"/>
      <c r="AM8078" s="21"/>
      <c r="AN8078" s="133">
        <v>46127</v>
      </c>
      <c r="AO8078" s="134"/>
      <c r="AP8078" s="135">
        <v>1013</v>
      </c>
      <c r="AQ8078" s="136"/>
      <c r="AR8078" s="118">
        <v>1750000</v>
      </c>
      <c r="AS8078" s="119"/>
      <c r="AT8078" s="118">
        <f t="shared" ref="AT8078" si="12060">AR8078*0.1</f>
        <v>175000</v>
      </c>
      <c r="AU8078" s="119"/>
      <c r="AV8078" s="118">
        <v>12550</v>
      </c>
      <c r="AW8078" s="119"/>
      <c r="AX8078" s="118">
        <f t="shared" ref="AX8078" si="12061">SUM(AR8078:AW8078)</f>
        <v>1937550</v>
      </c>
      <c r="AY8078" s="119"/>
      <c r="AZ8078" s="137">
        <v>46133</v>
      </c>
    </row>
    <row r="8079" spans="1:52" ht="17.100000000000001" customHeight="1" thickBot="1">
      <c r="A8079" s="110"/>
      <c r="B8079" s="27" t="s">
        <v>22718</v>
      </c>
      <c r="C8079" s="27">
        <v>7159</v>
      </c>
      <c r="D8079" s="14" t="s">
        <v>275</v>
      </c>
      <c r="E8079" s="112"/>
      <c r="F8079" s="139" t="s">
        <v>22752</v>
      </c>
      <c r="G8079" s="140"/>
      <c r="H8079" s="141"/>
      <c r="I8079" s="26">
        <v>52018</v>
      </c>
      <c r="J8079" s="117"/>
      <c r="K8079" s="120"/>
      <c r="L8079" s="121"/>
      <c r="M8079" s="120"/>
      <c r="N8079" s="121"/>
      <c r="O8079" s="120"/>
      <c r="P8079" s="121"/>
      <c r="Q8079" s="120"/>
      <c r="R8079" s="121"/>
      <c r="S8079" s="120"/>
      <c r="T8079" s="121"/>
      <c r="U8079" s="120"/>
      <c r="V8079" s="123"/>
      <c r="W8079" s="125"/>
      <c r="X8079" s="142" t="s">
        <v>18602</v>
      </c>
      <c r="Y8079" s="143"/>
      <c r="Z8079" s="143"/>
      <c r="AA8079" s="143"/>
      <c r="AB8079" s="144"/>
      <c r="AC8079" s="16" t="s">
        <v>21</v>
      </c>
      <c r="AD8079" s="17" t="s">
        <v>1952</v>
      </c>
      <c r="AE8079" s="145" t="s">
        <v>23074</v>
      </c>
      <c r="AF8079" s="146"/>
      <c r="AG8079" s="146"/>
      <c r="AH8079" s="146"/>
      <c r="AI8079" s="147"/>
      <c r="AJ8079" s="148"/>
      <c r="AK8079" s="143"/>
      <c r="AL8079" s="144"/>
      <c r="AM8079" s="22"/>
      <c r="AN8079" s="149" t="s">
        <v>7285</v>
      </c>
      <c r="AO8079" s="144"/>
      <c r="AP8079" s="148">
        <v>5146</v>
      </c>
      <c r="AQ8079" s="144"/>
      <c r="AR8079" s="120"/>
      <c r="AS8079" s="121"/>
      <c r="AT8079" s="120"/>
      <c r="AU8079" s="121"/>
      <c r="AV8079" s="120"/>
      <c r="AW8079" s="121"/>
      <c r="AX8079" s="120"/>
      <c r="AY8079" s="121"/>
      <c r="AZ8079" s="138"/>
    </row>
    <row r="8080" spans="1:52" ht="17.100000000000001" customHeight="1" thickTop="1">
      <c r="A8080" s="109" t="s">
        <v>22720</v>
      </c>
      <c r="B8080" s="28">
        <v>46122</v>
      </c>
      <c r="C8080" s="25">
        <v>1414</v>
      </c>
      <c r="D8080" s="13" t="s">
        <v>1714</v>
      </c>
      <c r="E8080" s="111"/>
      <c r="F8080" s="113" t="s">
        <v>22875</v>
      </c>
      <c r="G8080" s="114"/>
      <c r="H8080" s="115"/>
      <c r="I8080" s="24"/>
      <c r="J8080" s="116">
        <v>4</v>
      </c>
      <c r="K8080" s="118">
        <v>1023000</v>
      </c>
      <c r="L8080" s="119"/>
      <c r="M8080" s="118">
        <f t="shared" ref="M8080" si="12062">K8080*0.1</f>
        <v>102300</v>
      </c>
      <c r="N8080" s="119"/>
      <c r="O8080" s="118">
        <v>0</v>
      </c>
      <c r="P8080" s="119"/>
      <c r="Q8080" s="118">
        <v>7150</v>
      </c>
      <c r="R8080" s="119"/>
      <c r="S8080" s="118">
        <v>15400</v>
      </c>
      <c r="T8080" s="119"/>
      <c r="U8080" s="118">
        <f t="shared" ref="U8080" si="12063">SUM(K8080:T8081)</f>
        <v>1147850</v>
      </c>
      <c r="V8080" s="122"/>
      <c r="W8080" s="124"/>
      <c r="X8080" s="126" t="s">
        <v>23881</v>
      </c>
      <c r="Y8080" s="127"/>
      <c r="Z8080" s="127"/>
      <c r="AA8080" s="127"/>
      <c r="AB8080" s="128"/>
      <c r="AC8080" s="15" t="s">
        <v>20</v>
      </c>
      <c r="AD8080" s="129"/>
      <c r="AE8080" s="130"/>
      <c r="AF8080" s="130"/>
      <c r="AG8080" s="130"/>
      <c r="AH8080" s="130"/>
      <c r="AI8080" s="131"/>
      <c r="AJ8080" s="132"/>
      <c r="AK8080" s="127"/>
      <c r="AL8080" s="128"/>
      <c r="AM8080" s="21"/>
      <c r="AN8080" s="133">
        <v>46141</v>
      </c>
      <c r="AO8080" s="134"/>
      <c r="AP8080" s="135">
        <v>1015</v>
      </c>
      <c r="AQ8080" s="136"/>
      <c r="AR8080" s="118">
        <v>1100000</v>
      </c>
      <c r="AS8080" s="119"/>
      <c r="AT8080" s="118">
        <f t="shared" ref="AT8080" si="12064">AR8080*0.1</f>
        <v>110000</v>
      </c>
      <c r="AU8080" s="119"/>
      <c r="AV8080" s="118">
        <v>7150</v>
      </c>
      <c r="AW8080" s="119"/>
      <c r="AX8080" s="118">
        <f t="shared" ref="AX8080" si="12065">SUM(AR8080:AW8080)</f>
        <v>1217150</v>
      </c>
      <c r="AY8080" s="119"/>
      <c r="AZ8080" s="137">
        <v>46154</v>
      </c>
    </row>
    <row r="8081" spans="1:52" ht="17.100000000000001" customHeight="1" thickBot="1">
      <c r="A8081" s="110"/>
      <c r="B8081" s="27" t="s">
        <v>22718</v>
      </c>
      <c r="C8081" s="27">
        <v>7186</v>
      </c>
      <c r="D8081" s="14" t="s">
        <v>2601</v>
      </c>
      <c r="E8081" s="112"/>
      <c r="F8081" s="139" t="s">
        <v>22753</v>
      </c>
      <c r="G8081" s="140"/>
      <c r="H8081" s="141"/>
      <c r="I8081" s="26">
        <v>46143</v>
      </c>
      <c r="J8081" s="117"/>
      <c r="K8081" s="120"/>
      <c r="L8081" s="121"/>
      <c r="M8081" s="120"/>
      <c r="N8081" s="121"/>
      <c r="O8081" s="120"/>
      <c r="P8081" s="121"/>
      <c r="Q8081" s="120"/>
      <c r="R8081" s="121"/>
      <c r="S8081" s="120"/>
      <c r="T8081" s="121"/>
      <c r="U8081" s="120"/>
      <c r="V8081" s="123"/>
      <c r="W8081" s="125"/>
      <c r="X8081" s="142" t="s">
        <v>7966</v>
      </c>
      <c r="Y8081" s="143"/>
      <c r="Z8081" s="143"/>
      <c r="AA8081" s="143"/>
      <c r="AB8081" s="144"/>
      <c r="AC8081" s="16" t="s">
        <v>21</v>
      </c>
      <c r="AD8081" s="17" t="s">
        <v>23859</v>
      </c>
      <c r="AE8081" s="145" t="s">
        <v>4488</v>
      </c>
      <c r="AF8081" s="146"/>
      <c r="AG8081" s="146"/>
      <c r="AH8081" s="146"/>
      <c r="AI8081" s="147"/>
      <c r="AJ8081" s="148"/>
      <c r="AK8081" s="143"/>
      <c r="AL8081" s="144"/>
      <c r="AM8081" s="22"/>
      <c r="AN8081" s="149" t="s">
        <v>25326</v>
      </c>
      <c r="AO8081" s="144"/>
      <c r="AP8081" s="148">
        <v>2062</v>
      </c>
      <c r="AQ8081" s="144"/>
      <c r="AR8081" s="120"/>
      <c r="AS8081" s="121"/>
      <c r="AT8081" s="120"/>
      <c r="AU8081" s="121"/>
      <c r="AV8081" s="120"/>
      <c r="AW8081" s="121"/>
      <c r="AX8081" s="120"/>
      <c r="AY8081" s="121"/>
      <c r="AZ8081" s="138"/>
    </row>
    <row r="8082" spans="1:52" ht="17.100000000000001" customHeight="1" thickTop="1">
      <c r="A8082" s="109" t="s">
        <v>22721</v>
      </c>
      <c r="B8082" s="28">
        <v>46122</v>
      </c>
      <c r="C8082" s="25">
        <v>1414</v>
      </c>
      <c r="D8082" s="13" t="s">
        <v>1714</v>
      </c>
      <c r="E8082" s="111"/>
      <c r="F8082" s="113" t="s">
        <v>22876</v>
      </c>
      <c r="G8082" s="114"/>
      <c r="H8082" s="115"/>
      <c r="I8082" s="24"/>
      <c r="J8082" s="116">
        <v>3.5</v>
      </c>
      <c r="K8082" s="118">
        <v>900000</v>
      </c>
      <c r="L8082" s="119"/>
      <c r="M8082" s="118">
        <f t="shared" ref="M8082" si="12066">K8082*0.1</f>
        <v>90000</v>
      </c>
      <c r="N8082" s="119"/>
      <c r="O8082" s="118">
        <v>0</v>
      </c>
      <c r="P8082" s="119"/>
      <c r="Q8082" s="118">
        <v>10360</v>
      </c>
      <c r="R8082" s="119"/>
      <c r="S8082" s="118">
        <v>19800</v>
      </c>
      <c r="T8082" s="119"/>
      <c r="U8082" s="118">
        <f t="shared" ref="U8082" si="12067">SUM(K8082:T8083)</f>
        <v>1020160</v>
      </c>
      <c r="V8082" s="122"/>
      <c r="W8082" s="124"/>
      <c r="X8082" s="126" t="s">
        <v>23874</v>
      </c>
      <c r="Y8082" s="127"/>
      <c r="Z8082" s="127"/>
      <c r="AA8082" s="127"/>
      <c r="AB8082" s="128"/>
      <c r="AC8082" s="15" t="s">
        <v>20</v>
      </c>
      <c r="AD8082" s="129"/>
      <c r="AE8082" s="130"/>
      <c r="AF8082" s="130"/>
      <c r="AG8082" s="130"/>
      <c r="AH8082" s="130"/>
      <c r="AI8082" s="131"/>
      <c r="AJ8082" s="132"/>
      <c r="AK8082" s="127"/>
      <c r="AL8082" s="128"/>
      <c r="AM8082" s="21"/>
      <c r="AN8082" s="133">
        <v>46127</v>
      </c>
      <c r="AO8082" s="134"/>
      <c r="AP8082" s="135">
        <v>1013</v>
      </c>
      <c r="AQ8082" s="136"/>
      <c r="AR8082" s="118">
        <v>1150000</v>
      </c>
      <c r="AS8082" s="119"/>
      <c r="AT8082" s="118">
        <f t="shared" ref="AT8082" si="12068">AR8082*0.1</f>
        <v>115000</v>
      </c>
      <c r="AU8082" s="119"/>
      <c r="AV8082" s="118">
        <v>10360</v>
      </c>
      <c r="AW8082" s="119"/>
      <c r="AX8082" s="118">
        <f t="shared" ref="AX8082" si="12069">SUM(AR8082:AW8082)</f>
        <v>1275360</v>
      </c>
      <c r="AY8082" s="119"/>
      <c r="AZ8082" s="137">
        <v>46135</v>
      </c>
    </row>
    <row r="8083" spans="1:52" ht="17.100000000000001" customHeight="1" thickBot="1">
      <c r="A8083" s="110"/>
      <c r="B8083" s="27" t="s">
        <v>22718</v>
      </c>
      <c r="C8083" s="27">
        <v>7188</v>
      </c>
      <c r="D8083" s="14" t="s">
        <v>275</v>
      </c>
      <c r="E8083" s="112"/>
      <c r="F8083" s="139" t="s">
        <v>22754</v>
      </c>
      <c r="G8083" s="140"/>
      <c r="H8083" s="141"/>
      <c r="I8083" s="26">
        <v>49781</v>
      </c>
      <c r="J8083" s="117"/>
      <c r="K8083" s="120"/>
      <c r="L8083" s="121"/>
      <c r="M8083" s="120"/>
      <c r="N8083" s="121"/>
      <c r="O8083" s="120"/>
      <c r="P8083" s="121"/>
      <c r="Q8083" s="120"/>
      <c r="R8083" s="121"/>
      <c r="S8083" s="120"/>
      <c r="T8083" s="121"/>
      <c r="U8083" s="120"/>
      <c r="V8083" s="123"/>
      <c r="W8083" s="125"/>
      <c r="X8083" s="142" t="s">
        <v>7966</v>
      </c>
      <c r="Y8083" s="143"/>
      <c r="Z8083" s="143"/>
      <c r="AA8083" s="143"/>
      <c r="AB8083" s="144"/>
      <c r="AC8083" s="16" t="s">
        <v>21</v>
      </c>
      <c r="AD8083" s="17" t="s">
        <v>23859</v>
      </c>
      <c r="AE8083" s="145" t="s">
        <v>23875</v>
      </c>
      <c r="AF8083" s="146"/>
      <c r="AG8083" s="146"/>
      <c r="AH8083" s="146"/>
      <c r="AI8083" s="147"/>
      <c r="AJ8083" s="148"/>
      <c r="AK8083" s="143"/>
      <c r="AL8083" s="144"/>
      <c r="AM8083" s="22"/>
      <c r="AN8083" s="149" t="s">
        <v>2794</v>
      </c>
      <c r="AO8083" s="144"/>
      <c r="AP8083" s="148">
        <v>5150</v>
      </c>
      <c r="AQ8083" s="144"/>
      <c r="AR8083" s="120"/>
      <c r="AS8083" s="121"/>
      <c r="AT8083" s="120"/>
      <c r="AU8083" s="121"/>
      <c r="AV8083" s="120"/>
      <c r="AW8083" s="121"/>
      <c r="AX8083" s="120"/>
      <c r="AY8083" s="121"/>
      <c r="AZ8083" s="138"/>
    </row>
    <row r="8084" spans="1:52" ht="17.100000000000001" customHeight="1" thickTop="1">
      <c r="A8084" s="109" t="s">
        <v>22722</v>
      </c>
      <c r="B8084" s="28">
        <v>46122</v>
      </c>
      <c r="C8084" s="25">
        <v>1414</v>
      </c>
      <c r="D8084" s="13" t="s">
        <v>2941</v>
      </c>
      <c r="E8084" s="111"/>
      <c r="F8084" s="113" t="s">
        <v>18678</v>
      </c>
      <c r="G8084" s="114"/>
      <c r="H8084" s="115"/>
      <c r="I8084" s="24"/>
      <c r="J8084" s="116">
        <v>4</v>
      </c>
      <c r="K8084" s="118">
        <v>1029000</v>
      </c>
      <c r="L8084" s="119"/>
      <c r="M8084" s="118">
        <f t="shared" ref="M8084" si="12070">K8084*0.1</f>
        <v>102900</v>
      </c>
      <c r="N8084" s="119"/>
      <c r="O8084" s="118">
        <v>0</v>
      </c>
      <c r="P8084" s="119"/>
      <c r="Q8084" s="118">
        <v>9310</v>
      </c>
      <c r="R8084" s="119"/>
      <c r="S8084" s="118">
        <v>15400</v>
      </c>
      <c r="T8084" s="119"/>
      <c r="U8084" s="118">
        <f t="shared" ref="U8084" si="12071">SUM(K8084:T8085)</f>
        <v>1156610</v>
      </c>
      <c r="V8084" s="122"/>
      <c r="W8084" s="124"/>
      <c r="X8084" s="126" t="s">
        <v>23880</v>
      </c>
      <c r="Y8084" s="127"/>
      <c r="Z8084" s="127"/>
      <c r="AA8084" s="127"/>
      <c r="AB8084" s="128"/>
      <c r="AC8084" s="15" t="s">
        <v>20</v>
      </c>
      <c r="AD8084" s="129"/>
      <c r="AE8084" s="130"/>
      <c r="AF8084" s="130"/>
      <c r="AG8084" s="130"/>
      <c r="AH8084" s="130"/>
      <c r="AI8084" s="131"/>
      <c r="AJ8084" s="132"/>
      <c r="AK8084" s="127"/>
      <c r="AL8084" s="128"/>
      <c r="AM8084" s="21"/>
      <c r="AN8084" s="133"/>
      <c r="AO8084" s="134"/>
      <c r="AP8084" s="135"/>
      <c r="AQ8084" s="136"/>
      <c r="AR8084" s="118"/>
      <c r="AS8084" s="119"/>
      <c r="AT8084" s="118">
        <f t="shared" ref="AT8084" si="12072">AR8084*0.1</f>
        <v>0</v>
      </c>
      <c r="AU8084" s="119"/>
      <c r="AV8084" s="118"/>
      <c r="AW8084" s="119"/>
      <c r="AX8084" s="118">
        <f t="shared" ref="AX8084" si="12073">SUM(AR8084:AW8084)</f>
        <v>0</v>
      </c>
      <c r="AY8084" s="119"/>
      <c r="AZ8084" s="137"/>
    </row>
    <row r="8085" spans="1:52" ht="17.100000000000001" customHeight="1" thickBot="1">
      <c r="A8085" s="110"/>
      <c r="B8085" s="27" t="s">
        <v>22718</v>
      </c>
      <c r="C8085" s="27">
        <v>7194</v>
      </c>
      <c r="D8085" s="14" t="s">
        <v>17308</v>
      </c>
      <c r="E8085" s="112"/>
      <c r="F8085" s="139" t="s">
        <v>22755</v>
      </c>
      <c r="G8085" s="140"/>
      <c r="H8085" s="141"/>
      <c r="I8085" s="26">
        <v>50903</v>
      </c>
      <c r="J8085" s="117"/>
      <c r="K8085" s="120"/>
      <c r="L8085" s="121"/>
      <c r="M8085" s="120"/>
      <c r="N8085" s="121"/>
      <c r="O8085" s="120"/>
      <c r="P8085" s="121"/>
      <c r="Q8085" s="120"/>
      <c r="R8085" s="121"/>
      <c r="S8085" s="120"/>
      <c r="T8085" s="121"/>
      <c r="U8085" s="120"/>
      <c r="V8085" s="123"/>
      <c r="W8085" s="125"/>
      <c r="X8085" s="142" t="s">
        <v>7966</v>
      </c>
      <c r="Y8085" s="143"/>
      <c r="Z8085" s="143"/>
      <c r="AA8085" s="143"/>
      <c r="AB8085" s="144"/>
      <c r="AC8085" s="16" t="s">
        <v>21</v>
      </c>
      <c r="AD8085" s="17" t="s">
        <v>23859</v>
      </c>
      <c r="AE8085" s="145" t="s">
        <v>7841</v>
      </c>
      <c r="AF8085" s="146"/>
      <c r="AG8085" s="146"/>
      <c r="AH8085" s="146"/>
      <c r="AI8085" s="147"/>
      <c r="AJ8085" s="148"/>
      <c r="AK8085" s="143"/>
      <c r="AL8085" s="144"/>
      <c r="AM8085" s="22"/>
      <c r="AN8085" s="149"/>
      <c r="AO8085" s="144"/>
      <c r="AP8085" s="148"/>
      <c r="AQ8085" s="144"/>
      <c r="AR8085" s="120"/>
      <c r="AS8085" s="121"/>
      <c r="AT8085" s="120"/>
      <c r="AU8085" s="121"/>
      <c r="AV8085" s="120"/>
      <c r="AW8085" s="121"/>
      <c r="AX8085" s="120"/>
      <c r="AY8085" s="121"/>
      <c r="AZ8085" s="138"/>
    </row>
    <row r="8086" spans="1:52" ht="17.100000000000001" customHeight="1" thickTop="1">
      <c r="A8086" s="109" t="s">
        <v>22723</v>
      </c>
      <c r="B8086" s="28">
        <v>46122</v>
      </c>
      <c r="C8086" s="25">
        <v>1414</v>
      </c>
      <c r="D8086" s="13" t="s">
        <v>2508</v>
      </c>
      <c r="E8086" s="111"/>
      <c r="F8086" s="113" t="s">
        <v>22756</v>
      </c>
      <c r="G8086" s="114"/>
      <c r="H8086" s="115"/>
      <c r="I8086" s="24" t="s">
        <v>22877</v>
      </c>
      <c r="J8086" s="116">
        <v>6</v>
      </c>
      <c r="K8086" s="118">
        <v>1003000</v>
      </c>
      <c r="L8086" s="119"/>
      <c r="M8086" s="118">
        <f t="shared" ref="M8086" si="12074">K8086*0.1</f>
        <v>100300</v>
      </c>
      <c r="N8086" s="119"/>
      <c r="O8086" s="118">
        <v>0</v>
      </c>
      <c r="P8086" s="119"/>
      <c r="Q8086" s="118">
        <v>5990</v>
      </c>
      <c r="R8086" s="119"/>
      <c r="S8086" s="118">
        <v>15400</v>
      </c>
      <c r="T8086" s="119"/>
      <c r="U8086" s="118">
        <f t="shared" ref="U8086" si="12075">SUM(K8086:T8087)</f>
        <v>1124690</v>
      </c>
      <c r="V8086" s="122"/>
      <c r="W8086" s="124"/>
      <c r="X8086" s="126" t="s">
        <v>23251</v>
      </c>
      <c r="Y8086" s="127"/>
      <c r="Z8086" s="127"/>
      <c r="AA8086" s="127"/>
      <c r="AB8086" s="128"/>
      <c r="AC8086" s="15" t="s">
        <v>20</v>
      </c>
      <c r="AD8086" s="129"/>
      <c r="AE8086" s="130"/>
      <c r="AF8086" s="130"/>
      <c r="AG8086" s="130"/>
      <c r="AH8086" s="130"/>
      <c r="AI8086" s="131"/>
      <c r="AJ8086" s="132"/>
      <c r="AK8086" s="127"/>
      <c r="AL8086" s="128"/>
      <c r="AM8086" s="21"/>
      <c r="AN8086" s="133">
        <v>46137</v>
      </c>
      <c r="AO8086" s="134"/>
      <c r="AP8086" s="135">
        <v>1298</v>
      </c>
      <c r="AQ8086" s="136"/>
      <c r="AR8086" s="118">
        <v>1080000</v>
      </c>
      <c r="AS8086" s="119"/>
      <c r="AT8086" s="118">
        <f t="shared" ref="AT8086" si="12076">AR8086*0.1</f>
        <v>108000</v>
      </c>
      <c r="AU8086" s="119"/>
      <c r="AV8086" s="118">
        <v>5990</v>
      </c>
      <c r="AW8086" s="119"/>
      <c r="AX8086" s="118">
        <f t="shared" ref="AX8086" si="12077">SUM(AR8086:AW8086)</f>
        <v>1193990</v>
      </c>
      <c r="AY8086" s="119"/>
      <c r="AZ8086" s="137">
        <v>46143</v>
      </c>
    </row>
    <row r="8087" spans="1:52" ht="17.100000000000001" customHeight="1" thickBot="1">
      <c r="A8087" s="110"/>
      <c r="B8087" s="27" t="s">
        <v>22718</v>
      </c>
      <c r="C8087" s="27">
        <v>9002</v>
      </c>
      <c r="D8087" s="14" t="s">
        <v>2800</v>
      </c>
      <c r="E8087" s="112"/>
      <c r="F8087" s="139" t="s">
        <v>22757</v>
      </c>
      <c r="G8087" s="140"/>
      <c r="H8087" s="141"/>
      <c r="I8087" s="26">
        <v>88</v>
      </c>
      <c r="J8087" s="117"/>
      <c r="K8087" s="120"/>
      <c r="L8087" s="121"/>
      <c r="M8087" s="120"/>
      <c r="N8087" s="121"/>
      <c r="O8087" s="120"/>
      <c r="P8087" s="121"/>
      <c r="Q8087" s="120"/>
      <c r="R8087" s="121"/>
      <c r="S8087" s="120"/>
      <c r="T8087" s="121"/>
      <c r="U8087" s="120"/>
      <c r="V8087" s="123"/>
      <c r="W8087" s="125"/>
      <c r="X8087" s="142" t="s">
        <v>1997</v>
      </c>
      <c r="Y8087" s="143"/>
      <c r="Z8087" s="143"/>
      <c r="AA8087" s="143"/>
      <c r="AB8087" s="144"/>
      <c r="AC8087" s="16" t="s">
        <v>21</v>
      </c>
      <c r="AD8087" s="17" t="s">
        <v>1952</v>
      </c>
      <c r="AE8087" s="145" t="s">
        <v>171</v>
      </c>
      <c r="AF8087" s="146"/>
      <c r="AG8087" s="146"/>
      <c r="AH8087" s="146"/>
      <c r="AI8087" s="147"/>
      <c r="AJ8087" s="148"/>
      <c r="AK8087" s="143"/>
      <c r="AL8087" s="144"/>
      <c r="AM8087" s="22"/>
      <c r="AN8087" s="149" t="s">
        <v>6748</v>
      </c>
      <c r="AO8087" s="144"/>
      <c r="AP8087" s="148">
        <v>60025</v>
      </c>
      <c r="AQ8087" s="144"/>
      <c r="AR8087" s="120"/>
      <c r="AS8087" s="121"/>
      <c r="AT8087" s="120"/>
      <c r="AU8087" s="121"/>
      <c r="AV8087" s="120"/>
      <c r="AW8087" s="121"/>
      <c r="AX8087" s="120"/>
      <c r="AY8087" s="121"/>
      <c r="AZ8087" s="138"/>
    </row>
    <row r="8088" spans="1:52" ht="17.100000000000001" customHeight="1" thickTop="1">
      <c r="A8088" s="109" t="s">
        <v>22724</v>
      </c>
      <c r="B8088" s="28">
        <v>46122</v>
      </c>
      <c r="C8088" s="25"/>
      <c r="D8088" s="13" t="s">
        <v>22809</v>
      </c>
      <c r="E8088" s="111"/>
      <c r="F8088" s="113" t="s">
        <v>22811</v>
      </c>
      <c r="G8088" s="114"/>
      <c r="H8088" s="115"/>
      <c r="I8088" s="24" t="s">
        <v>22812</v>
      </c>
      <c r="J8088" s="116">
        <v>4</v>
      </c>
      <c r="K8088" s="118">
        <v>1750000</v>
      </c>
      <c r="L8088" s="119"/>
      <c r="M8088" s="118">
        <f t="shared" ref="M8088" si="12078">K8088*0.1</f>
        <v>175000</v>
      </c>
      <c r="N8088" s="119"/>
      <c r="O8088" s="118">
        <v>30000</v>
      </c>
      <c r="P8088" s="119"/>
      <c r="Q8088" s="118">
        <v>10220</v>
      </c>
      <c r="R8088" s="119"/>
      <c r="S8088" s="118">
        <v>0</v>
      </c>
      <c r="T8088" s="119"/>
      <c r="U8088" s="118">
        <f t="shared" ref="U8088" si="12079">SUM(K8088:T8089)</f>
        <v>1965220</v>
      </c>
      <c r="V8088" s="122"/>
      <c r="W8088" s="124"/>
      <c r="X8088" s="126"/>
      <c r="Y8088" s="127"/>
      <c r="Z8088" s="127"/>
      <c r="AA8088" s="127"/>
      <c r="AB8088" s="128"/>
      <c r="AC8088" s="15" t="s">
        <v>20</v>
      </c>
      <c r="AD8088" s="129" t="s">
        <v>22813</v>
      </c>
      <c r="AE8088" s="130"/>
      <c r="AF8088" s="130"/>
      <c r="AG8088" s="130"/>
      <c r="AH8088" s="130"/>
      <c r="AI8088" s="131"/>
      <c r="AJ8088" s="132"/>
      <c r="AK8088" s="127"/>
      <c r="AL8088" s="128"/>
      <c r="AM8088" s="21"/>
      <c r="AN8088" s="133"/>
      <c r="AO8088" s="134"/>
      <c r="AP8088" s="135"/>
      <c r="AQ8088" s="136"/>
      <c r="AR8088" s="118"/>
      <c r="AS8088" s="119"/>
      <c r="AT8088" s="118">
        <f t="shared" ref="AT8088" si="12080">AR8088*0.1</f>
        <v>0</v>
      </c>
      <c r="AU8088" s="119"/>
      <c r="AV8088" s="118"/>
      <c r="AW8088" s="119"/>
      <c r="AX8088" s="118">
        <f t="shared" ref="AX8088" si="12081">SUM(AR8088:AW8088)</f>
        <v>0</v>
      </c>
      <c r="AY8088" s="119"/>
      <c r="AZ8088" s="137"/>
    </row>
    <row r="8089" spans="1:52" ht="17.100000000000001" customHeight="1" thickBot="1">
      <c r="A8089" s="110"/>
      <c r="B8089" s="27" t="s">
        <v>22758</v>
      </c>
      <c r="C8089" s="27" t="s">
        <v>22759</v>
      </c>
      <c r="D8089" s="14" t="s">
        <v>22810</v>
      </c>
      <c r="E8089" s="112"/>
      <c r="F8089" s="139" t="s">
        <v>22760</v>
      </c>
      <c r="G8089" s="140"/>
      <c r="H8089" s="141"/>
      <c r="I8089" s="26">
        <v>42929</v>
      </c>
      <c r="J8089" s="117"/>
      <c r="K8089" s="120"/>
      <c r="L8089" s="121"/>
      <c r="M8089" s="120"/>
      <c r="N8089" s="121"/>
      <c r="O8089" s="120"/>
      <c r="P8089" s="121"/>
      <c r="Q8089" s="120"/>
      <c r="R8089" s="121"/>
      <c r="S8089" s="120"/>
      <c r="T8089" s="121"/>
      <c r="U8089" s="120"/>
      <c r="V8089" s="123"/>
      <c r="W8089" s="125"/>
      <c r="X8089" s="142"/>
      <c r="Y8089" s="143"/>
      <c r="Z8089" s="143"/>
      <c r="AA8089" s="143"/>
      <c r="AB8089" s="144"/>
      <c r="AC8089" s="16" t="s">
        <v>21</v>
      </c>
      <c r="AD8089" s="17"/>
      <c r="AE8089" s="145"/>
      <c r="AF8089" s="146"/>
      <c r="AG8089" s="146"/>
      <c r="AH8089" s="146"/>
      <c r="AI8089" s="147"/>
      <c r="AJ8089" s="148"/>
      <c r="AK8089" s="143"/>
      <c r="AL8089" s="144"/>
      <c r="AM8089" s="22"/>
      <c r="AN8089" s="149"/>
      <c r="AO8089" s="144"/>
      <c r="AP8089" s="148"/>
      <c r="AQ8089" s="144"/>
      <c r="AR8089" s="120"/>
      <c r="AS8089" s="121"/>
      <c r="AT8089" s="120"/>
      <c r="AU8089" s="121"/>
      <c r="AV8089" s="120"/>
      <c r="AW8089" s="121"/>
      <c r="AX8089" s="120"/>
      <c r="AY8089" s="121"/>
      <c r="AZ8089" s="138"/>
    </row>
    <row r="8090" spans="1:52" ht="17.100000000000001" customHeight="1" thickTop="1">
      <c r="A8090" s="109" t="s">
        <v>22725</v>
      </c>
      <c r="B8090" s="28">
        <v>46122</v>
      </c>
      <c r="C8090" s="25"/>
      <c r="D8090" s="13" t="s">
        <v>22814</v>
      </c>
      <c r="E8090" s="111"/>
      <c r="F8090" s="113" t="s">
        <v>22815</v>
      </c>
      <c r="G8090" s="114"/>
      <c r="H8090" s="115"/>
      <c r="I8090" s="24" t="s">
        <v>4093</v>
      </c>
      <c r="J8090" s="116">
        <v>4</v>
      </c>
      <c r="K8090" s="118">
        <v>370000</v>
      </c>
      <c r="L8090" s="119"/>
      <c r="M8090" s="118">
        <f t="shared" ref="M8090" si="12082">K8090*0.1</f>
        <v>37000</v>
      </c>
      <c r="N8090" s="119"/>
      <c r="O8090" s="118">
        <v>0</v>
      </c>
      <c r="P8090" s="119"/>
      <c r="Q8090" s="118">
        <v>9200</v>
      </c>
      <c r="R8090" s="119"/>
      <c r="S8090" s="118">
        <v>0</v>
      </c>
      <c r="T8090" s="119"/>
      <c r="U8090" s="118">
        <f t="shared" ref="U8090" si="12083">SUM(K8090:T8091)</f>
        <v>416200</v>
      </c>
      <c r="V8090" s="122"/>
      <c r="W8090" s="124"/>
      <c r="X8090" s="126" t="s">
        <v>23882</v>
      </c>
      <c r="Y8090" s="127"/>
      <c r="Z8090" s="127"/>
      <c r="AA8090" s="127"/>
      <c r="AB8090" s="128"/>
      <c r="AC8090" s="15" t="s">
        <v>20</v>
      </c>
      <c r="AD8090" s="129" t="s">
        <v>22797</v>
      </c>
      <c r="AE8090" s="130"/>
      <c r="AF8090" s="130"/>
      <c r="AG8090" s="130"/>
      <c r="AH8090" s="130"/>
      <c r="AI8090" s="131"/>
      <c r="AJ8090" s="132"/>
      <c r="AK8090" s="127"/>
      <c r="AL8090" s="128"/>
      <c r="AM8090" s="21"/>
      <c r="AN8090" s="133">
        <v>46155</v>
      </c>
      <c r="AO8090" s="134"/>
      <c r="AP8090" s="135">
        <v>1016</v>
      </c>
      <c r="AQ8090" s="136"/>
      <c r="AR8090" s="118">
        <v>485000</v>
      </c>
      <c r="AS8090" s="119"/>
      <c r="AT8090" s="118">
        <f t="shared" ref="AT8090" si="12084">AR8090*0.1</f>
        <v>48500</v>
      </c>
      <c r="AU8090" s="119"/>
      <c r="AV8090" s="118">
        <v>9200</v>
      </c>
      <c r="AW8090" s="119"/>
      <c r="AX8090" s="118">
        <f t="shared" ref="AX8090" si="12085">SUM(AR8090:AW8090)</f>
        <v>542700</v>
      </c>
      <c r="AY8090" s="119"/>
      <c r="AZ8090" s="137">
        <v>46161</v>
      </c>
    </row>
    <row r="8091" spans="1:52" ht="17.100000000000001" customHeight="1" thickBot="1">
      <c r="A8091" s="110"/>
      <c r="B8091" s="27" t="s">
        <v>22758</v>
      </c>
      <c r="C8091" s="27" t="s">
        <v>22761</v>
      </c>
      <c r="D8091" s="14" t="s">
        <v>22792</v>
      </c>
      <c r="E8091" s="112"/>
      <c r="F8091" s="139" t="s">
        <v>22762</v>
      </c>
      <c r="G8091" s="140"/>
      <c r="H8091" s="141"/>
      <c r="I8091" s="26">
        <v>48241</v>
      </c>
      <c r="J8091" s="117"/>
      <c r="K8091" s="120"/>
      <c r="L8091" s="121"/>
      <c r="M8091" s="120"/>
      <c r="N8091" s="121"/>
      <c r="O8091" s="120"/>
      <c r="P8091" s="121"/>
      <c r="Q8091" s="120"/>
      <c r="R8091" s="121"/>
      <c r="S8091" s="120"/>
      <c r="T8091" s="121"/>
      <c r="U8091" s="120"/>
      <c r="V8091" s="123"/>
      <c r="W8091" s="125"/>
      <c r="X8091" s="142" t="s">
        <v>23883</v>
      </c>
      <c r="Y8091" s="143"/>
      <c r="Z8091" s="143"/>
      <c r="AA8091" s="143"/>
      <c r="AB8091" s="144"/>
      <c r="AC8091" s="16" t="s">
        <v>21</v>
      </c>
      <c r="AD8091" s="17" t="s">
        <v>23859</v>
      </c>
      <c r="AE8091" s="145" t="s">
        <v>10730</v>
      </c>
      <c r="AF8091" s="146"/>
      <c r="AG8091" s="146"/>
      <c r="AH8091" s="146"/>
      <c r="AI8091" s="147"/>
      <c r="AJ8091" s="148"/>
      <c r="AK8091" s="143"/>
      <c r="AL8091" s="144"/>
      <c r="AM8091" s="22"/>
      <c r="AN8091" s="149" t="s">
        <v>2794</v>
      </c>
      <c r="AO8091" s="144"/>
      <c r="AP8091" s="148">
        <v>1083</v>
      </c>
      <c r="AQ8091" s="144"/>
      <c r="AR8091" s="120"/>
      <c r="AS8091" s="121"/>
      <c r="AT8091" s="120"/>
      <c r="AU8091" s="121"/>
      <c r="AV8091" s="120"/>
      <c r="AW8091" s="121"/>
      <c r="AX8091" s="120"/>
      <c r="AY8091" s="121"/>
      <c r="AZ8091" s="138"/>
    </row>
    <row r="8092" spans="1:52" ht="17.100000000000001" customHeight="1" thickTop="1">
      <c r="A8092" s="109" t="s">
        <v>22726</v>
      </c>
      <c r="B8092" s="28">
        <v>46123</v>
      </c>
      <c r="C8092" s="25">
        <v>307</v>
      </c>
      <c r="D8092" s="13" t="s">
        <v>1714</v>
      </c>
      <c r="E8092" s="111"/>
      <c r="F8092" s="113" t="s">
        <v>21093</v>
      </c>
      <c r="G8092" s="114"/>
      <c r="H8092" s="115"/>
      <c r="I8092" s="24"/>
      <c r="J8092" s="116">
        <v>4</v>
      </c>
      <c r="K8092" s="118">
        <v>1072000</v>
      </c>
      <c r="L8092" s="119"/>
      <c r="M8092" s="118">
        <f t="shared" ref="M8092" si="12086">K8092*0.1</f>
        <v>107200</v>
      </c>
      <c r="N8092" s="119"/>
      <c r="O8092" s="118">
        <v>0</v>
      </c>
      <c r="P8092" s="119"/>
      <c r="Q8092" s="118">
        <v>7440</v>
      </c>
      <c r="R8092" s="119"/>
      <c r="S8092" s="118">
        <v>15950</v>
      </c>
      <c r="T8092" s="119"/>
      <c r="U8092" s="118">
        <f t="shared" ref="U8092" si="12087">SUM(K8092:T8093)</f>
        <v>1202590</v>
      </c>
      <c r="V8092" s="122"/>
      <c r="W8092" s="124"/>
      <c r="X8092" s="126" t="s">
        <v>23263</v>
      </c>
      <c r="Y8092" s="127"/>
      <c r="Z8092" s="127"/>
      <c r="AA8092" s="127"/>
      <c r="AB8092" s="128"/>
      <c r="AC8092" s="15" t="s">
        <v>20</v>
      </c>
      <c r="AD8092" s="129"/>
      <c r="AE8092" s="130"/>
      <c r="AF8092" s="130"/>
      <c r="AG8092" s="130"/>
      <c r="AH8092" s="130"/>
      <c r="AI8092" s="131"/>
      <c r="AJ8092" s="132"/>
      <c r="AK8092" s="127"/>
      <c r="AL8092" s="128"/>
      <c r="AM8092" s="21"/>
      <c r="AN8092" s="133">
        <v>46130</v>
      </c>
      <c r="AO8092" s="134"/>
      <c r="AP8092" s="135">
        <v>1297</v>
      </c>
      <c r="AQ8092" s="136"/>
      <c r="AR8092" s="118">
        <v>1200000</v>
      </c>
      <c r="AS8092" s="119"/>
      <c r="AT8092" s="118">
        <f t="shared" ref="AT8092" si="12088">AR8092*0.1</f>
        <v>120000</v>
      </c>
      <c r="AU8092" s="119"/>
      <c r="AV8092" s="118">
        <v>7440</v>
      </c>
      <c r="AW8092" s="119"/>
      <c r="AX8092" s="118">
        <f t="shared" ref="AX8092" si="12089">SUM(AR8092:AW8092)</f>
        <v>1327440</v>
      </c>
      <c r="AY8092" s="119"/>
      <c r="AZ8092" s="137">
        <v>46135</v>
      </c>
    </row>
    <row r="8093" spans="1:52" ht="17.100000000000001" customHeight="1" thickBot="1">
      <c r="A8093" s="110"/>
      <c r="B8093" s="27" t="s">
        <v>3574</v>
      </c>
      <c r="C8093" s="27">
        <v>62007</v>
      </c>
      <c r="D8093" s="14" t="s">
        <v>1592</v>
      </c>
      <c r="E8093" s="112"/>
      <c r="F8093" s="139" t="s">
        <v>22878</v>
      </c>
      <c r="G8093" s="140"/>
      <c r="H8093" s="141"/>
      <c r="I8093" s="26">
        <v>48719</v>
      </c>
      <c r="J8093" s="117"/>
      <c r="K8093" s="120"/>
      <c r="L8093" s="121"/>
      <c r="M8093" s="120"/>
      <c r="N8093" s="121"/>
      <c r="O8093" s="120"/>
      <c r="P8093" s="121"/>
      <c r="Q8093" s="120"/>
      <c r="R8093" s="121"/>
      <c r="S8093" s="120"/>
      <c r="T8093" s="121"/>
      <c r="U8093" s="120"/>
      <c r="V8093" s="123"/>
      <c r="W8093" s="125"/>
      <c r="X8093" s="142" t="s">
        <v>7450</v>
      </c>
      <c r="Y8093" s="143"/>
      <c r="Z8093" s="143"/>
      <c r="AA8093" s="143"/>
      <c r="AB8093" s="144"/>
      <c r="AC8093" s="16" t="s">
        <v>21</v>
      </c>
      <c r="AD8093" s="17" t="s">
        <v>1952</v>
      </c>
      <c r="AE8093" s="145"/>
      <c r="AF8093" s="146"/>
      <c r="AG8093" s="146"/>
      <c r="AH8093" s="146"/>
      <c r="AI8093" s="147"/>
      <c r="AJ8093" s="148"/>
      <c r="AK8093" s="143"/>
      <c r="AL8093" s="144"/>
      <c r="AM8093" s="22"/>
      <c r="AN8093" s="149" t="s">
        <v>6748</v>
      </c>
      <c r="AO8093" s="144"/>
      <c r="AP8093" s="148">
        <v>41040</v>
      </c>
      <c r="AQ8093" s="144"/>
      <c r="AR8093" s="120"/>
      <c r="AS8093" s="121"/>
      <c r="AT8093" s="120"/>
      <c r="AU8093" s="121"/>
      <c r="AV8093" s="120"/>
      <c r="AW8093" s="121"/>
      <c r="AX8093" s="120"/>
      <c r="AY8093" s="121"/>
      <c r="AZ8093" s="138"/>
    </row>
    <row r="8094" spans="1:52" ht="17.100000000000001" customHeight="1" thickTop="1">
      <c r="A8094" s="109" t="s">
        <v>22727</v>
      </c>
      <c r="B8094" s="28">
        <v>46123</v>
      </c>
      <c r="C8094" s="25">
        <v>307</v>
      </c>
      <c r="D8094" s="13" t="s">
        <v>2359</v>
      </c>
      <c r="E8094" s="111"/>
      <c r="F8094" s="113" t="s">
        <v>17575</v>
      </c>
      <c r="G8094" s="114"/>
      <c r="H8094" s="115"/>
      <c r="I8094" s="24"/>
      <c r="J8094" s="116">
        <v>4</v>
      </c>
      <c r="K8094" s="118">
        <v>842000</v>
      </c>
      <c r="L8094" s="119"/>
      <c r="M8094" s="118">
        <f t="shared" ref="M8094" si="12090">K8094*0.1</f>
        <v>84200</v>
      </c>
      <c r="N8094" s="119"/>
      <c r="O8094" s="118">
        <v>0</v>
      </c>
      <c r="P8094" s="119"/>
      <c r="Q8094" s="118">
        <v>7440</v>
      </c>
      <c r="R8094" s="119"/>
      <c r="S8094" s="118">
        <v>15950</v>
      </c>
      <c r="T8094" s="119"/>
      <c r="U8094" s="118">
        <f t="shared" ref="U8094" si="12091">SUM(K8094:T8095)</f>
        <v>949590</v>
      </c>
      <c r="V8094" s="122"/>
      <c r="W8094" s="124"/>
      <c r="X8094" s="126" t="s">
        <v>23063</v>
      </c>
      <c r="Y8094" s="127"/>
      <c r="Z8094" s="127"/>
      <c r="AA8094" s="127"/>
      <c r="AB8094" s="128"/>
      <c r="AC8094" s="15" t="s">
        <v>20</v>
      </c>
      <c r="AD8094" s="129"/>
      <c r="AE8094" s="130"/>
      <c r="AF8094" s="130"/>
      <c r="AG8094" s="130"/>
      <c r="AH8094" s="130"/>
      <c r="AI8094" s="131"/>
      <c r="AJ8094" s="132"/>
      <c r="AK8094" s="127"/>
      <c r="AL8094" s="128"/>
      <c r="AM8094" s="21"/>
      <c r="AN8094" s="133">
        <v>46130</v>
      </c>
      <c r="AO8094" s="134"/>
      <c r="AP8094" s="135">
        <v>1297</v>
      </c>
      <c r="AQ8094" s="136"/>
      <c r="AR8094" s="118">
        <v>950000</v>
      </c>
      <c r="AS8094" s="119"/>
      <c r="AT8094" s="118">
        <f t="shared" ref="AT8094" si="12092">AR8094*0.1</f>
        <v>95000</v>
      </c>
      <c r="AU8094" s="119"/>
      <c r="AV8094" s="118">
        <v>7440</v>
      </c>
      <c r="AW8094" s="119"/>
      <c r="AX8094" s="118">
        <f t="shared" ref="AX8094" si="12093">SUM(AR8094:AW8094)</f>
        <v>1052440</v>
      </c>
      <c r="AY8094" s="119"/>
      <c r="AZ8094" s="137">
        <v>46133</v>
      </c>
    </row>
    <row r="8095" spans="1:52" ht="17.100000000000001" customHeight="1" thickBot="1">
      <c r="A8095" s="110"/>
      <c r="B8095" s="27" t="s">
        <v>3574</v>
      </c>
      <c r="C8095" s="27">
        <v>62057</v>
      </c>
      <c r="D8095" s="14" t="s">
        <v>1592</v>
      </c>
      <c r="E8095" s="112"/>
      <c r="F8095" s="139" t="s">
        <v>22879</v>
      </c>
      <c r="G8095" s="140"/>
      <c r="H8095" s="141"/>
      <c r="I8095" s="26">
        <v>43473</v>
      </c>
      <c r="J8095" s="117"/>
      <c r="K8095" s="120"/>
      <c r="L8095" s="121"/>
      <c r="M8095" s="120"/>
      <c r="N8095" s="121"/>
      <c r="O8095" s="120"/>
      <c r="P8095" s="121"/>
      <c r="Q8095" s="120"/>
      <c r="R8095" s="121"/>
      <c r="S8095" s="120"/>
      <c r="T8095" s="121"/>
      <c r="U8095" s="120"/>
      <c r="V8095" s="123"/>
      <c r="W8095" s="125"/>
      <c r="X8095" s="142" t="s">
        <v>23064</v>
      </c>
      <c r="Y8095" s="143"/>
      <c r="Z8095" s="143"/>
      <c r="AA8095" s="143"/>
      <c r="AB8095" s="144"/>
      <c r="AC8095" s="16" t="s">
        <v>21</v>
      </c>
      <c r="AD8095" s="17" t="s">
        <v>23033</v>
      </c>
      <c r="AE8095" s="145"/>
      <c r="AF8095" s="146"/>
      <c r="AG8095" s="146"/>
      <c r="AH8095" s="146"/>
      <c r="AI8095" s="147"/>
      <c r="AJ8095" s="148"/>
      <c r="AK8095" s="143"/>
      <c r="AL8095" s="144"/>
      <c r="AM8095" s="22"/>
      <c r="AN8095" s="149" t="s">
        <v>2511</v>
      </c>
      <c r="AO8095" s="144"/>
      <c r="AP8095" s="148">
        <v>41038</v>
      </c>
      <c r="AQ8095" s="144"/>
      <c r="AR8095" s="120"/>
      <c r="AS8095" s="121"/>
      <c r="AT8095" s="120"/>
      <c r="AU8095" s="121"/>
      <c r="AV8095" s="120"/>
      <c r="AW8095" s="121"/>
      <c r="AX8095" s="120"/>
      <c r="AY8095" s="121"/>
      <c r="AZ8095" s="138"/>
    </row>
    <row r="8096" spans="1:52" ht="17.100000000000001" customHeight="1" thickTop="1">
      <c r="A8096" s="109" t="s">
        <v>22728</v>
      </c>
      <c r="B8096" s="28">
        <v>46123</v>
      </c>
      <c r="C8096" s="25">
        <v>307</v>
      </c>
      <c r="D8096" s="13" t="s">
        <v>1714</v>
      </c>
      <c r="E8096" s="111"/>
      <c r="F8096" s="113" t="s">
        <v>18180</v>
      </c>
      <c r="G8096" s="114"/>
      <c r="H8096" s="115"/>
      <c r="I8096" s="24"/>
      <c r="J8096" s="116">
        <v>4</v>
      </c>
      <c r="K8096" s="118">
        <v>962000</v>
      </c>
      <c r="L8096" s="119"/>
      <c r="M8096" s="118">
        <f t="shared" ref="M8096" si="12094">K8096*0.1</f>
        <v>96200</v>
      </c>
      <c r="N8096" s="119"/>
      <c r="O8096" s="118">
        <v>0</v>
      </c>
      <c r="P8096" s="119"/>
      <c r="Q8096" s="118">
        <v>7440</v>
      </c>
      <c r="R8096" s="119"/>
      <c r="S8096" s="118">
        <v>15950</v>
      </c>
      <c r="T8096" s="119"/>
      <c r="U8096" s="118">
        <f t="shared" ref="U8096" si="12095">SUM(K8096:T8097)</f>
        <v>1081590</v>
      </c>
      <c r="V8096" s="122"/>
      <c r="W8096" s="124"/>
      <c r="X8096" s="126" t="s">
        <v>23261</v>
      </c>
      <c r="Y8096" s="127"/>
      <c r="Z8096" s="127"/>
      <c r="AA8096" s="127"/>
      <c r="AB8096" s="128"/>
      <c r="AC8096" s="15" t="s">
        <v>20</v>
      </c>
      <c r="AD8096" s="129" t="s">
        <v>1581</v>
      </c>
      <c r="AE8096" s="130"/>
      <c r="AF8096" s="130"/>
      <c r="AG8096" s="130"/>
      <c r="AH8096" s="130"/>
      <c r="AI8096" s="131"/>
      <c r="AJ8096" s="132"/>
      <c r="AK8096" s="127"/>
      <c r="AL8096" s="128"/>
      <c r="AM8096" s="21"/>
      <c r="AN8096" s="133"/>
      <c r="AO8096" s="134"/>
      <c r="AP8096" s="135"/>
      <c r="AQ8096" s="136"/>
      <c r="AR8096" s="118"/>
      <c r="AS8096" s="119"/>
      <c r="AT8096" s="118">
        <f t="shared" ref="AT8096" si="12096">AR8096*0.1</f>
        <v>0</v>
      </c>
      <c r="AU8096" s="119"/>
      <c r="AV8096" s="118"/>
      <c r="AW8096" s="119"/>
      <c r="AX8096" s="118">
        <f t="shared" ref="AX8096" si="12097">SUM(AR8096:AW8096)</f>
        <v>0</v>
      </c>
      <c r="AY8096" s="119"/>
      <c r="AZ8096" s="137"/>
    </row>
    <row r="8097" spans="1:52" ht="17.100000000000001" customHeight="1" thickBot="1">
      <c r="A8097" s="110"/>
      <c r="B8097" s="27" t="s">
        <v>3574</v>
      </c>
      <c r="C8097" s="27">
        <v>62072</v>
      </c>
      <c r="D8097" s="14" t="s">
        <v>1592</v>
      </c>
      <c r="E8097" s="112"/>
      <c r="F8097" s="139" t="s">
        <v>22880</v>
      </c>
      <c r="G8097" s="140"/>
      <c r="H8097" s="141"/>
      <c r="I8097" s="26">
        <v>47881</v>
      </c>
      <c r="J8097" s="117"/>
      <c r="K8097" s="120"/>
      <c r="L8097" s="121"/>
      <c r="M8097" s="120"/>
      <c r="N8097" s="121"/>
      <c r="O8097" s="120"/>
      <c r="P8097" s="121"/>
      <c r="Q8097" s="120"/>
      <c r="R8097" s="121"/>
      <c r="S8097" s="120"/>
      <c r="T8097" s="121"/>
      <c r="U8097" s="120"/>
      <c r="V8097" s="123"/>
      <c r="W8097" s="125"/>
      <c r="X8097" s="142" t="s">
        <v>7450</v>
      </c>
      <c r="Y8097" s="143"/>
      <c r="Z8097" s="143"/>
      <c r="AA8097" s="143"/>
      <c r="AB8097" s="144"/>
      <c r="AC8097" s="16" t="s">
        <v>21</v>
      </c>
      <c r="AD8097" s="17" t="s">
        <v>1952</v>
      </c>
      <c r="AE8097" s="145" t="s">
        <v>23262</v>
      </c>
      <c r="AF8097" s="146"/>
      <c r="AG8097" s="146"/>
      <c r="AH8097" s="146"/>
      <c r="AI8097" s="147"/>
      <c r="AJ8097" s="148"/>
      <c r="AK8097" s="143"/>
      <c r="AL8097" s="144"/>
      <c r="AM8097" s="22"/>
      <c r="AN8097" s="149"/>
      <c r="AO8097" s="144"/>
      <c r="AP8097" s="148"/>
      <c r="AQ8097" s="144"/>
      <c r="AR8097" s="120"/>
      <c r="AS8097" s="121"/>
      <c r="AT8097" s="120"/>
      <c r="AU8097" s="121"/>
      <c r="AV8097" s="120"/>
      <c r="AW8097" s="121"/>
      <c r="AX8097" s="120"/>
      <c r="AY8097" s="121"/>
      <c r="AZ8097" s="138"/>
    </row>
    <row r="8098" spans="1:52" ht="17.100000000000001" customHeight="1" thickTop="1">
      <c r="A8098" s="109" t="s">
        <v>22729</v>
      </c>
      <c r="B8098" s="28">
        <v>46123</v>
      </c>
      <c r="C8098" s="25">
        <v>1018</v>
      </c>
      <c r="D8098" s="13" t="s">
        <v>1586</v>
      </c>
      <c r="E8098" s="111"/>
      <c r="F8098" s="113" t="s">
        <v>16059</v>
      </c>
      <c r="G8098" s="114"/>
      <c r="H8098" s="115"/>
      <c r="I8098" s="24" t="s">
        <v>6834</v>
      </c>
      <c r="J8098" s="116">
        <v>4</v>
      </c>
      <c r="K8098" s="118">
        <v>1507000</v>
      </c>
      <c r="L8098" s="119"/>
      <c r="M8098" s="118">
        <f t="shared" ref="M8098" si="12098">K8098*0.1</f>
        <v>150700</v>
      </c>
      <c r="N8098" s="119"/>
      <c r="O8098" s="118">
        <v>39820</v>
      </c>
      <c r="P8098" s="119"/>
      <c r="Q8098" s="118">
        <v>16240</v>
      </c>
      <c r="R8098" s="119"/>
      <c r="S8098" s="118">
        <v>15950</v>
      </c>
      <c r="T8098" s="119"/>
      <c r="U8098" s="118">
        <f t="shared" ref="U8098" si="12099">SUM(K8098:T8099)</f>
        <v>1729710</v>
      </c>
      <c r="V8098" s="122"/>
      <c r="W8098" s="124"/>
      <c r="X8098" s="126" t="s">
        <v>22898</v>
      </c>
      <c r="Y8098" s="127"/>
      <c r="Z8098" s="127"/>
      <c r="AA8098" s="127"/>
      <c r="AB8098" s="128"/>
      <c r="AC8098" s="15" t="s">
        <v>20</v>
      </c>
      <c r="AD8098" s="129"/>
      <c r="AE8098" s="130"/>
      <c r="AF8098" s="130"/>
      <c r="AG8098" s="130"/>
      <c r="AH8098" s="130"/>
      <c r="AI8098" s="131"/>
      <c r="AJ8098" s="132"/>
      <c r="AK8098" s="127"/>
      <c r="AL8098" s="128"/>
      <c r="AM8098" s="21"/>
      <c r="AN8098" s="133">
        <v>46144</v>
      </c>
      <c r="AO8098" s="134"/>
      <c r="AP8098" s="135">
        <v>1299</v>
      </c>
      <c r="AQ8098" s="136"/>
      <c r="AR8098" s="118">
        <v>1660000</v>
      </c>
      <c r="AS8098" s="119"/>
      <c r="AT8098" s="118">
        <f t="shared" ref="AT8098" si="12100">AR8098*0.1</f>
        <v>166000</v>
      </c>
      <c r="AU8098" s="119"/>
      <c r="AV8098" s="118">
        <v>16240</v>
      </c>
      <c r="AW8098" s="119"/>
      <c r="AX8098" s="118">
        <f t="shared" ref="AX8098" si="12101">SUM(AR8098:AW8098)</f>
        <v>1842240</v>
      </c>
      <c r="AY8098" s="119"/>
      <c r="AZ8098" s="137">
        <v>46154</v>
      </c>
    </row>
    <row r="8099" spans="1:52" ht="17.100000000000001" customHeight="1" thickBot="1">
      <c r="A8099" s="110"/>
      <c r="B8099" s="27" t="s">
        <v>1707</v>
      </c>
      <c r="C8099" s="27">
        <v>5121</v>
      </c>
      <c r="D8099" s="14" t="s">
        <v>1576</v>
      </c>
      <c r="E8099" s="112"/>
      <c r="F8099" s="139" t="s">
        <v>22897</v>
      </c>
      <c r="G8099" s="140"/>
      <c r="H8099" s="141"/>
      <c r="I8099" s="26">
        <v>65269</v>
      </c>
      <c r="J8099" s="117"/>
      <c r="K8099" s="120"/>
      <c r="L8099" s="121"/>
      <c r="M8099" s="120"/>
      <c r="N8099" s="121"/>
      <c r="O8099" s="120"/>
      <c r="P8099" s="121"/>
      <c r="Q8099" s="120"/>
      <c r="R8099" s="121"/>
      <c r="S8099" s="120"/>
      <c r="T8099" s="121"/>
      <c r="U8099" s="120"/>
      <c r="V8099" s="123"/>
      <c r="W8099" s="125"/>
      <c r="X8099" s="142" t="s">
        <v>5161</v>
      </c>
      <c r="Y8099" s="143"/>
      <c r="Z8099" s="143"/>
      <c r="AA8099" s="143"/>
      <c r="AB8099" s="144"/>
      <c r="AC8099" s="16" t="s">
        <v>21</v>
      </c>
      <c r="AD8099" s="17" t="s">
        <v>23859</v>
      </c>
      <c r="AE8099" s="145" t="s">
        <v>23362</v>
      </c>
      <c r="AF8099" s="146"/>
      <c r="AG8099" s="146"/>
      <c r="AH8099" s="146"/>
      <c r="AI8099" s="147"/>
      <c r="AJ8099" s="148"/>
      <c r="AK8099" s="143"/>
      <c r="AL8099" s="144"/>
      <c r="AM8099" s="22"/>
      <c r="AN8099" s="149" t="s">
        <v>7284</v>
      </c>
      <c r="AO8099" s="144"/>
      <c r="AP8099" s="148">
        <v>80008</v>
      </c>
      <c r="AQ8099" s="144"/>
      <c r="AR8099" s="120"/>
      <c r="AS8099" s="121"/>
      <c r="AT8099" s="120"/>
      <c r="AU8099" s="121"/>
      <c r="AV8099" s="120"/>
      <c r="AW8099" s="121"/>
      <c r="AX8099" s="120"/>
      <c r="AY8099" s="121"/>
      <c r="AZ8099" s="138"/>
    </row>
    <row r="8100" spans="1:52" ht="17.100000000000001" customHeight="1" thickTop="1">
      <c r="A8100" s="109" t="s">
        <v>22730</v>
      </c>
      <c r="B8100" s="28">
        <v>46123</v>
      </c>
      <c r="C8100" s="25">
        <v>1296</v>
      </c>
      <c r="D8100" s="13" t="s">
        <v>1586</v>
      </c>
      <c r="E8100" s="111"/>
      <c r="F8100" s="113" t="s">
        <v>17939</v>
      </c>
      <c r="G8100" s="114"/>
      <c r="H8100" s="115"/>
      <c r="I8100" s="24"/>
      <c r="J8100" s="116">
        <v>4.5</v>
      </c>
      <c r="K8100" s="118">
        <v>1070000</v>
      </c>
      <c r="L8100" s="119"/>
      <c r="M8100" s="118">
        <f t="shared" ref="M8100" si="12102">K8100*0.1</f>
        <v>107000</v>
      </c>
      <c r="N8100" s="119"/>
      <c r="O8100" s="118">
        <v>0</v>
      </c>
      <c r="P8100" s="119"/>
      <c r="Q8100" s="118">
        <v>9750</v>
      </c>
      <c r="R8100" s="119"/>
      <c r="S8100" s="118">
        <v>12100</v>
      </c>
      <c r="T8100" s="119"/>
      <c r="U8100" s="118">
        <f t="shared" ref="U8100" si="12103">SUM(K8100:T8101)</f>
        <v>1198850</v>
      </c>
      <c r="V8100" s="122"/>
      <c r="W8100" s="124"/>
      <c r="X8100" s="126" t="s">
        <v>23786</v>
      </c>
      <c r="Y8100" s="127"/>
      <c r="Z8100" s="127"/>
      <c r="AA8100" s="127"/>
      <c r="AB8100" s="128"/>
      <c r="AC8100" s="15" t="s">
        <v>20</v>
      </c>
      <c r="AD8100" s="129" t="s">
        <v>22899</v>
      </c>
      <c r="AE8100" s="130"/>
      <c r="AF8100" s="130"/>
      <c r="AG8100" s="130"/>
      <c r="AH8100" s="130"/>
      <c r="AI8100" s="131"/>
      <c r="AJ8100" s="132"/>
      <c r="AK8100" s="127"/>
      <c r="AL8100" s="128"/>
      <c r="AM8100" s="21"/>
      <c r="AN8100" s="133">
        <v>46134</v>
      </c>
      <c r="AO8100" s="134"/>
      <c r="AP8100" s="135">
        <v>1014</v>
      </c>
      <c r="AQ8100" s="136"/>
      <c r="AR8100" s="118">
        <v>1175000</v>
      </c>
      <c r="AS8100" s="119"/>
      <c r="AT8100" s="118">
        <f t="shared" ref="AT8100" si="12104">AR8100*0.1</f>
        <v>117500</v>
      </c>
      <c r="AU8100" s="119"/>
      <c r="AV8100" s="118">
        <v>9750</v>
      </c>
      <c r="AW8100" s="119"/>
      <c r="AX8100" s="118">
        <f t="shared" ref="AX8100" si="12105">SUM(AR8100:AW8100)</f>
        <v>1302250</v>
      </c>
      <c r="AY8100" s="119"/>
      <c r="AZ8100" s="137">
        <v>46139</v>
      </c>
    </row>
    <row r="8101" spans="1:52" ht="17.100000000000001" customHeight="1" thickBot="1">
      <c r="A8101" s="110"/>
      <c r="B8101" s="27" t="s">
        <v>2511</v>
      </c>
      <c r="C8101" s="27">
        <v>30021</v>
      </c>
      <c r="D8101" s="14" t="s">
        <v>2601</v>
      </c>
      <c r="E8101" s="112"/>
      <c r="F8101" s="139" t="s">
        <v>22881</v>
      </c>
      <c r="G8101" s="140"/>
      <c r="H8101" s="141"/>
      <c r="I8101" s="26">
        <v>50502</v>
      </c>
      <c r="J8101" s="117"/>
      <c r="K8101" s="120"/>
      <c r="L8101" s="121"/>
      <c r="M8101" s="120"/>
      <c r="N8101" s="121"/>
      <c r="O8101" s="120"/>
      <c r="P8101" s="121"/>
      <c r="Q8101" s="120"/>
      <c r="R8101" s="121"/>
      <c r="S8101" s="120"/>
      <c r="T8101" s="121"/>
      <c r="U8101" s="120"/>
      <c r="V8101" s="123"/>
      <c r="W8101" s="125"/>
      <c r="X8101" s="142" t="s">
        <v>3410</v>
      </c>
      <c r="Y8101" s="143"/>
      <c r="Z8101" s="143"/>
      <c r="AA8101" s="143"/>
      <c r="AB8101" s="144"/>
      <c r="AC8101" s="16" t="s">
        <v>21</v>
      </c>
      <c r="AD8101" s="17" t="s">
        <v>23773</v>
      </c>
      <c r="AE8101" s="145" t="s">
        <v>23787</v>
      </c>
      <c r="AF8101" s="146"/>
      <c r="AG8101" s="146"/>
      <c r="AH8101" s="146"/>
      <c r="AI8101" s="147"/>
      <c r="AJ8101" s="148" t="s">
        <v>23069</v>
      </c>
      <c r="AK8101" s="143"/>
      <c r="AL8101" s="144"/>
      <c r="AM8101" s="22"/>
      <c r="AN8101" s="149" t="s">
        <v>23987</v>
      </c>
      <c r="AO8101" s="144"/>
      <c r="AP8101" s="148">
        <v>6075</v>
      </c>
      <c r="AQ8101" s="144"/>
      <c r="AR8101" s="120"/>
      <c r="AS8101" s="121"/>
      <c r="AT8101" s="120"/>
      <c r="AU8101" s="121"/>
      <c r="AV8101" s="120"/>
      <c r="AW8101" s="121"/>
      <c r="AX8101" s="120"/>
      <c r="AY8101" s="121"/>
      <c r="AZ8101" s="138"/>
    </row>
    <row r="8102" spans="1:52" ht="17.100000000000001" customHeight="1" thickTop="1">
      <c r="A8102" s="109" t="s">
        <v>22731</v>
      </c>
      <c r="B8102" s="28">
        <v>46123</v>
      </c>
      <c r="C8102" s="25">
        <v>1296</v>
      </c>
      <c r="D8102" s="13" t="s">
        <v>2179</v>
      </c>
      <c r="E8102" s="111"/>
      <c r="F8102" s="113" t="s">
        <v>25490</v>
      </c>
      <c r="G8102" s="114"/>
      <c r="H8102" s="115"/>
      <c r="I8102" s="24"/>
      <c r="J8102" s="116">
        <v>4.5</v>
      </c>
      <c r="K8102" s="118">
        <v>835000</v>
      </c>
      <c r="L8102" s="119"/>
      <c r="M8102" s="118">
        <f t="shared" ref="M8102" si="12106">K8102*0.1</f>
        <v>83500</v>
      </c>
      <c r="N8102" s="119"/>
      <c r="O8102" s="118">
        <v>0</v>
      </c>
      <c r="P8102" s="119"/>
      <c r="Q8102" s="118">
        <v>10780</v>
      </c>
      <c r="R8102" s="119"/>
      <c r="S8102" s="118">
        <v>12100</v>
      </c>
      <c r="T8102" s="119"/>
      <c r="U8102" s="118">
        <f t="shared" ref="U8102" si="12107">SUM(K8102:T8103)</f>
        <v>941380</v>
      </c>
      <c r="V8102" s="122"/>
      <c r="W8102" s="124"/>
      <c r="X8102" s="126" t="s">
        <v>23783</v>
      </c>
      <c r="Y8102" s="127"/>
      <c r="Z8102" s="127"/>
      <c r="AA8102" s="127"/>
      <c r="AB8102" s="128"/>
      <c r="AC8102" s="15" t="s">
        <v>20</v>
      </c>
      <c r="AD8102" s="129" t="s">
        <v>21529</v>
      </c>
      <c r="AE8102" s="130"/>
      <c r="AF8102" s="130"/>
      <c r="AG8102" s="130"/>
      <c r="AH8102" s="130"/>
      <c r="AI8102" s="131"/>
      <c r="AJ8102" s="132"/>
      <c r="AK8102" s="127"/>
      <c r="AL8102" s="128"/>
      <c r="AM8102" s="21"/>
      <c r="AN8102" s="133">
        <v>46155</v>
      </c>
      <c r="AO8102" s="134"/>
      <c r="AP8102" s="135">
        <v>1016</v>
      </c>
      <c r="AQ8102" s="136"/>
      <c r="AR8102" s="118">
        <v>860000</v>
      </c>
      <c r="AS8102" s="119"/>
      <c r="AT8102" s="118">
        <f t="shared" ref="AT8102" si="12108">AR8102*0.1</f>
        <v>86000</v>
      </c>
      <c r="AU8102" s="119"/>
      <c r="AV8102" s="118">
        <v>10780</v>
      </c>
      <c r="AW8102" s="119"/>
      <c r="AX8102" s="118">
        <f t="shared" ref="AX8102" si="12109">SUM(AR8102:AW8102)</f>
        <v>956780</v>
      </c>
      <c r="AY8102" s="119"/>
      <c r="AZ8102" s="137">
        <v>46160</v>
      </c>
    </row>
    <row r="8103" spans="1:52" ht="17.100000000000001" customHeight="1" thickBot="1">
      <c r="A8103" s="110"/>
      <c r="B8103" s="27" t="s">
        <v>2511</v>
      </c>
      <c r="C8103" s="27">
        <v>35315</v>
      </c>
      <c r="D8103" s="14" t="s">
        <v>1635</v>
      </c>
      <c r="E8103" s="112"/>
      <c r="F8103" s="139" t="s">
        <v>22882</v>
      </c>
      <c r="G8103" s="140"/>
      <c r="H8103" s="141"/>
      <c r="I8103" s="26">
        <v>54841</v>
      </c>
      <c r="J8103" s="117"/>
      <c r="K8103" s="120"/>
      <c r="L8103" s="121"/>
      <c r="M8103" s="120"/>
      <c r="N8103" s="121"/>
      <c r="O8103" s="120"/>
      <c r="P8103" s="121"/>
      <c r="Q8103" s="120"/>
      <c r="R8103" s="121"/>
      <c r="S8103" s="120"/>
      <c r="T8103" s="121"/>
      <c r="U8103" s="120"/>
      <c r="V8103" s="123"/>
      <c r="W8103" s="125"/>
      <c r="X8103" s="142" t="s">
        <v>3535</v>
      </c>
      <c r="Y8103" s="143"/>
      <c r="Z8103" s="143"/>
      <c r="AA8103" s="143"/>
      <c r="AB8103" s="144"/>
      <c r="AC8103" s="16" t="s">
        <v>21</v>
      </c>
      <c r="AD8103" s="17" t="s">
        <v>23773</v>
      </c>
      <c r="AE8103" s="145" t="s">
        <v>14165</v>
      </c>
      <c r="AF8103" s="146"/>
      <c r="AG8103" s="146"/>
      <c r="AH8103" s="146"/>
      <c r="AI8103" s="147"/>
      <c r="AJ8103" s="148"/>
      <c r="AK8103" s="143"/>
      <c r="AL8103" s="144"/>
      <c r="AM8103" s="22"/>
      <c r="AN8103" s="149" t="s">
        <v>9053</v>
      </c>
      <c r="AO8103" s="144"/>
      <c r="AP8103" s="148">
        <v>6088</v>
      </c>
      <c r="AQ8103" s="144"/>
      <c r="AR8103" s="120"/>
      <c r="AS8103" s="121"/>
      <c r="AT8103" s="120"/>
      <c r="AU8103" s="121"/>
      <c r="AV8103" s="120"/>
      <c r="AW8103" s="121"/>
      <c r="AX8103" s="120"/>
      <c r="AY8103" s="121"/>
      <c r="AZ8103" s="138"/>
    </row>
    <row r="8104" spans="1:52" ht="17.100000000000001" customHeight="1" thickTop="1">
      <c r="A8104" s="109" t="s">
        <v>22732</v>
      </c>
      <c r="B8104" s="28">
        <v>46123</v>
      </c>
      <c r="C8104" s="25">
        <v>1296</v>
      </c>
      <c r="D8104" s="13" t="s">
        <v>4835</v>
      </c>
      <c r="E8104" s="111"/>
      <c r="F8104" s="113" t="s">
        <v>22883</v>
      </c>
      <c r="G8104" s="114"/>
      <c r="H8104" s="115"/>
      <c r="I8104" s="24"/>
      <c r="J8104" s="116">
        <v>4</v>
      </c>
      <c r="K8104" s="118">
        <v>945000</v>
      </c>
      <c r="L8104" s="119"/>
      <c r="M8104" s="118">
        <f t="shared" ref="M8104" si="12110">K8104*0.1</f>
        <v>94500</v>
      </c>
      <c r="N8104" s="119"/>
      <c r="O8104" s="118">
        <v>0</v>
      </c>
      <c r="P8104" s="119"/>
      <c r="Q8104" s="118">
        <v>9810</v>
      </c>
      <c r="R8104" s="119"/>
      <c r="S8104" s="118">
        <v>12100</v>
      </c>
      <c r="T8104" s="119"/>
      <c r="U8104" s="118">
        <f t="shared" ref="U8104" si="12111">SUM(K8104:T8105)</f>
        <v>1061410</v>
      </c>
      <c r="V8104" s="122"/>
      <c r="W8104" s="124"/>
      <c r="X8104" s="126" t="s">
        <v>23784</v>
      </c>
      <c r="Y8104" s="127"/>
      <c r="Z8104" s="127"/>
      <c r="AA8104" s="127"/>
      <c r="AB8104" s="128"/>
      <c r="AC8104" s="15" t="s">
        <v>20</v>
      </c>
      <c r="AD8104" s="129" t="s">
        <v>22900</v>
      </c>
      <c r="AE8104" s="130"/>
      <c r="AF8104" s="130"/>
      <c r="AG8104" s="130"/>
      <c r="AH8104" s="130"/>
      <c r="AI8104" s="131"/>
      <c r="AJ8104" s="132"/>
      <c r="AK8104" s="127"/>
      <c r="AL8104" s="128"/>
      <c r="AM8104" s="21"/>
      <c r="AN8104" s="133">
        <v>46155</v>
      </c>
      <c r="AO8104" s="134"/>
      <c r="AP8104" s="135">
        <v>1016</v>
      </c>
      <c r="AQ8104" s="136"/>
      <c r="AR8104" s="118">
        <v>1050000</v>
      </c>
      <c r="AS8104" s="119"/>
      <c r="AT8104" s="118">
        <v>105000</v>
      </c>
      <c r="AU8104" s="119"/>
      <c r="AV8104" s="118">
        <v>9810</v>
      </c>
      <c r="AW8104" s="119"/>
      <c r="AX8104" s="118">
        <f t="shared" ref="AX8104" si="12112">SUM(AR8104:AW8104)</f>
        <v>1164810</v>
      </c>
      <c r="AY8104" s="119"/>
      <c r="AZ8104" s="137">
        <v>46160</v>
      </c>
    </row>
    <row r="8105" spans="1:52" ht="17.100000000000001" customHeight="1" thickBot="1">
      <c r="A8105" s="110"/>
      <c r="B8105" s="27" t="s">
        <v>2511</v>
      </c>
      <c r="C8105" s="27">
        <v>35401</v>
      </c>
      <c r="D8105" s="14" t="s">
        <v>2601</v>
      </c>
      <c r="E8105" s="112"/>
      <c r="F8105" s="139" t="s">
        <v>22884</v>
      </c>
      <c r="G8105" s="140"/>
      <c r="H8105" s="141"/>
      <c r="I8105" s="26">
        <v>46479</v>
      </c>
      <c r="J8105" s="117"/>
      <c r="K8105" s="120"/>
      <c r="L8105" s="121"/>
      <c r="M8105" s="120"/>
      <c r="N8105" s="121"/>
      <c r="O8105" s="120"/>
      <c r="P8105" s="121"/>
      <c r="Q8105" s="120"/>
      <c r="R8105" s="121"/>
      <c r="S8105" s="120"/>
      <c r="T8105" s="121"/>
      <c r="U8105" s="120"/>
      <c r="V8105" s="123"/>
      <c r="W8105" s="125"/>
      <c r="X8105" s="142" t="s">
        <v>2918</v>
      </c>
      <c r="Y8105" s="143"/>
      <c r="Z8105" s="143"/>
      <c r="AA8105" s="143"/>
      <c r="AB8105" s="144"/>
      <c r="AC8105" s="16" t="s">
        <v>21</v>
      </c>
      <c r="AD8105" s="17" t="s">
        <v>23773</v>
      </c>
      <c r="AE8105" s="145" t="s">
        <v>23785</v>
      </c>
      <c r="AF8105" s="146"/>
      <c r="AG8105" s="146"/>
      <c r="AH8105" s="146"/>
      <c r="AI8105" s="147"/>
      <c r="AJ8105" s="148"/>
      <c r="AK8105" s="143"/>
      <c r="AL8105" s="144"/>
      <c r="AM8105" s="22"/>
      <c r="AN8105" s="149" t="s">
        <v>2794</v>
      </c>
      <c r="AO8105" s="144"/>
      <c r="AP8105" s="148">
        <v>6113</v>
      </c>
      <c r="AQ8105" s="144"/>
      <c r="AR8105" s="120"/>
      <c r="AS8105" s="121"/>
      <c r="AT8105" s="120"/>
      <c r="AU8105" s="121"/>
      <c r="AV8105" s="120"/>
      <c r="AW8105" s="121"/>
      <c r="AX8105" s="120"/>
      <c r="AY8105" s="121"/>
      <c r="AZ8105" s="138"/>
    </row>
    <row r="8106" spans="1:52" ht="17.100000000000001" customHeight="1" thickTop="1">
      <c r="A8106" s="109" t="s">
        <v>22733</v>
      </c>
      <c r="B8106" s="28">
        <v>46123</v>
      </c>
      <c r="C8106" s="25">
        <v>1296</v>
      </c>
      <c r="D8106" s="13" t="s">
        <v>3469</v>
      </c>
      <c r="E8106" s="111"/>
      <c r="F8106" s="113" t="s">
        <v>22885</v>
      </c>
      <c r="G8106" s="114"/>
      <c r="H8106" s="115"/>
      <c r="I8106" s="24" t="s">
        <v>20831</v>
      </c>
      <c r="J8106" s="116">
        <v>4</v>
      </c>
      <c r="K8106" s="118">
        <v>380000</v>
      </c>
      <c r="L8106" s="119"/>
      <c r="M8106" s="118">
        <f t="shared" ref="M8106" si="12113">K8106*0.1</f>
        <v>38000</v>
      </c>
      <c r="N8106" s="119"/>
      <c r="O8106" s="118">
        <v>0</v>
      </c>
      <c r="P8106" s="119"/>
      <c r="Q8106" s="118">
        <v>7420</v>
      </c>
      <c r="R8106" s="119"/>
      <c r="S8106" s="118">
        <v>9900</v>
      </c>
      <c r="T8106" s="119"/>
      <c r="U8106" s="118">
        <f t="shared" ref="U8106" si="12114">SUM(K8106:T8107)</f>
        <v>435320</v>
      </c>
      <c r="V8106" s="122"/>
      <c r="W8106" s="124"/>
      <c r="X8106" s="126" t="s">
        <v>22901</v>
      </c>
      <c r="Y8106" s="127"/>
      <c r="Z8106" s="127"/>
      <c r="AA8106" s="127"/>
      <c r="AB8106" s="128"/>
      <c r="AC8106" s="15" t="s">
        <v>20</v>
      </c>
      <c r="AD8106" s="129" t="s">
        <v>22902</v>
      </c>
      <c r="AE8106" s="130"/>
      <c r="AF8106" s="130"/>
      <c r="AG8106" s="130"/>
      <c r="AH8106" s="130"/>
      <c r="AI8106" s="131"/>
      <c r="AJ8106" s="132"/>
      <c r="AK8106" s="127"/>
      <c r="AL8106" s="128"/>
      <c r="AM8106" s="21"/>
      <c r="AN8106" s="133"/>
      <c r="AO8106" s="134"/>
      <c r="AP8106" s="135"/>
      <c r="AQ8106" s="136"/>
      <c r="AR8106" s="118"/>
      <c r="AS8106" s="119"/>
      <c r="AT8106" s="118">
        <f t="shared" ref="AT8106" si="12115">AR8106*0.1</f>
        <v>0</v>
      </c>
      <c r="AU8106" s="119"/>
      <c r="AV8106" s="118"/>
      <c r="AW8106" s="119"/>
      <c r="AX8106" s="118">
        <f t="shared" ref="AX8106" si="12116">SUM(AR8106:AW8106)</f>
        <v>0</v>
      </c>
      <c r="AY8106" s="119"/>
      <c r="AZ8106" s="137"/>
    </row>
    <row r="8107" spans="1:52" ht="17.100000000000001" customHeight="1" thickBot="1">
      <c r="A8107" s="110"/>
      <c r="B8107" s="27" t="s">
        <v>2511</v>
      </c>
      <c r="C8107" s="27">
        <v>60503</v>
      </c>
      <c r="D8107" s="14" t="s">
        <v>1592</v>
      </c>
      <c r="E8107" s="112"/>
      <c r="F8107" s="139" t="s">
        <v>22886</v>
      </c>
      <c r="G8107" s="140"/>
      <c r="H8107" s="141"/>
      <c r="I8107" s="26">
        <v>38313</v>
      </c>
      <c r="J8107" s="117"/>
      <c r="K8107" s="120"/>
      <c r="L8107" s="121"/>
      <c r="M8107" s="120"/>
      <c r="N8107" s="121"/>
      <c r="O8107" s="120"/>
      <c r="P8107" s="121"/>
      <c r="Q8107" s="120"/>
      <c r="R8107" s="121"/>
      <c r="S8107" s="120"/>
      <c r="T8107" s="121"/>
      <c r="U8107" s="120"/>
      <c r="V8107" s="123"/>
      <c r="W8107" s="125"/>
      <c r="X8107" s="142" t="s">
        <v>22936</v>
      </c>
      <c r="Y8107" s="143"/>
      <c r="Z8107" s="143"/>
      <c r="AA8107" s="143"/>
      <c r="AB8107" s="144"/>
      <c r="AC8107" s="16" t="s">
        <v>21</v>
      </c>
      <c r="AD8107" s="17" t="s">
        <v>23773</v>
      </c>
      <c r="AE8107" s="145" t="s">
        <v>23790</v>
      </c>
      <c r="AF8107" s="146"/>
      <c r="AG8107" s="146"/>
      <c r="AH8107" s="146"/>
      <c r="AI8107" s="147"/>
      <c r="AJ8107" s="148"/>
      <c r="AK8107" s="143"/>
      <c r="AL8107" s="144"/>
      <c r="AM8107" s="22"/>
      <c r="AN8107" s="149"/>
      <c r="AO8107" s="144"/>
      <c r="AP8107" s="148"/>
      <c r="AQ8107" s="144"/>
      <c r="AR8107" s="120"/>
      <c r="AS8107" s="121"/>
      <c r="AT8107" s="120"/>
      <c r="AU8107" s="121"/>
      <c r="AV8107" s="120"/>
      <c r="AW8107" s="121"/>
      <c r="AX8107" s="120"/>
      <c r="AY8107" s="121"/>
      <c r="AZ8107" s="138"/>
    </row>
    <row r="8108" spans="1:52" ht="17.100000000000001" customHeight="1" thickTop="1">
      <c r="A8108" s="109" t="s">
        <v>22889</v>
      </c>
      <c r="B8108" s="28">
        <v>46123</v>
      </c>
      <c r="C8108" s="25">
        <v>1296</v>
      </c>
      <c r="D8108" s="13" t="s">
        <v>2654</v>
      </c>
      <c r="E8108" s="111"/>
      <c r="F8108" s="113" t="s">
        <v>15793</v>
      </c>
      <c r="G8108" s="114"/>
      <c r="H8108" s="115"/>
      <c r="I8108" s="24" t="s">
        <v>16657</v>
      </c>
      <c r="J8108" s="116">
        <v>4.5</v>
      </c>
      <c r="K8108" s="118">
        <v>545000</v>
      </c>
      <c r="L8108" s="119"/>
      <c r="M8108" s="118">
        <f t="shared" ref="M8108" si="12117">K8108*0.1</f>
        <v>54500</v>
      </c>
      <c r="N8108" s="119"/>
      <c r="O8108" s="118">
        <v>0</v>
      </c>
      <c r="P8108" s="119"/>
      <c r="Q8108" s="118">
        <v>5870</v>
      </c>
      <c r="R8108" s="119"/>
      <c r="S8108" s="118">
        <v>12100</v>
      </c>
      <c r="T8108" s="119"/>
      <c r="U8108" s="118">
        <f t="shared" ref="U8108" si="12118">SUM(K8108:T8109)</f>
        <v>617470</v>
      </c>
      <c r="V8108" s="122"/>
      <c r="W8108" s="124"/>
      <c r="X8108" s="126" t="s">
        <v>23788</v>
      </c>
      <c r="Y8108" s="127"/>
      <c r="Z8108" s="127"/>
      <c r="AA8108" s="127"/>
      <c r="AB8108" s="128"/>
      <c r="AC8108" s="15" t="s">
        <v>20</v>
      </c>
      <c r="AD8108" s="129" t="s">
        <v>22903</v>
      </c>
      <c r="AE8108" s="130"/>
      <c r="AF8108" s="130"/>
      <c r="AG8108" s="130"/>
      <c r="AH8108" s="130"/>
      <c r="AI8108" s="131"/>
      <c r="AJ8108" s="132"/>
      <c r="AK8108" s="127"/>
      <c r="AL8108" s="128"/>
      <c r="AM8108" s="21"/>
      <c r="AN8108" s="133">
        <v>46141</v>
      </c>
      <c r="AO8108" s="134"/>
      <c r="AP8108" s="135">
        <v>1015</v>
      </c>
      <c r="AQ8108" s="136"/>
      <c r="AR8108" s="118">
        <v>590000</v>
      </c>
      <c r="AS8108" s="119"/>
      <c r="AT8108" s="118">
        <f t="shared" ref="AT8108" si="12119">AR8108*0.1</f>
        <v>59000</v>
      </c>
      <c r="AU8108" s="119"/>
      <c r="AV8108" s="118">
        <v>5870</v>
      </c>
      <c r="AW8108" s="119"/>
      <c r="AX8108" s="118">
        <f t="shared" ref="AX8108" si="12120">SUM(AR8108:AW8108)</f>
        <v>654870</v>
      </c>
      <c r="AY8108" s="119"/>
      <c r="AZ8108" s="137">
        <v>46153</v>
      </c>
    </row>
    <row r="8109" spans="1:52" ht="17.100000000000001" customHeight="1" thickBot="1">
      <c r="A8109" s="110"/>
      <c r="B8109" s="27" t="s">
        <v>2511</v>
      </c>
      <c r="C8109" s="27">
        <v>65442</v>
      </c>
      <c r="D8109" s="14" t="s">
        <v>1592</v>
      </c>
      <c r="E8109" s="112"/>
      <c r="F8109" s="139" t="s">
        <v>22887</v>
      </c>
      <c r="G8109" s="140"/>
      <c r="H8109" s="141"/>
      <c r="I8109" s="26">
        <v>22590</v>
      </c>
      <c r="J8109" s="117"/>
      <c r="K8109" s="120"/>
      <c r="L8109" s="121"/>
      <c r="M8109" s="120"/>
      <c r="N8109" s="121"/>
      <c r="O8109" s="120"/>
      <c r="P8109" s="121"/>
      <c r="Q8109" s="120"/>
      <c r="R8109" s="121"/>
      <c r="S8109" s="120"/>
      <c r="T8109" s="121"/>
      <c r="U8109" s="120"/>
      <c r="V8109" s="123"/>
      <c r="W8109" s="125"/>
      <c r="X8109" s="142" t="s">
        <v>2659</v>
      </c>
      <c r="Y8109" s="143"/>
      <c r="Z8109" s="143"/>
      <c r="AA8109" s="143"/>
      <c r="AB8109" s="144"/>
      <c r="AC8109" s="16" t="s">
        <v>21</v>
      </c>
      <c r="AD8109" s="17" t="s">
        <v>23773</v>
      </c>
      <c r="AE8109" s="145" t="s">
        <v>23789</v>
      </c>
      <c r="AF8109" s="146"/>
      <c r="AG8109" s="146"/>
      <c r="AH8109" s="146"/>
      <c r="AI8109" s="147"/>
      <c r="AJ8109" s="148"/>
      <c r="AK8109" s="143"/>
      <c r="AL8109" s="144"/>
      <c r="AM8109" s="22"/>
      <c r="AN8109" s="149" t="s">
        <v>2794</v>
      </c>
      <c r="AO8109" s="144"/>
      <c r="AP8109" s="148">
        <v>2011</v>
      </c>
      <c r="AQ8109" s="144"/>
      <c r="AR8109" s="120"/>
      <c r="AS8109" s="121"/>
      <c r="AT8109" s="120"/>
      <c r="AU8109" s="121"/>
      <c r="AV8109" s="120"/>
      <c r="AW8109" s="121"/>
      <c r="AX8109" s="120"/>
      <c r="AY8109" s="121"/>
      <c r="AZ8109" s="138"/>
    </row>
    <row r="8110" spans="1:52" ht="17.100000000000001" customHeight="1" thickTop="1">
      <c r="A8110" s="109" t="s">
        <v>22890</v>
      </c>
      <c r="B8110" s="28">
        <v>46123</v>
      </c>
      <c r="C8110" s="25">
        <v>1296</v>
      </c>
      <c r="D8110" s="13" t="s">
        <v>1714</v>
      </c>
      <c r="E8110" s="111"/>
      <c r="F8110" s="113" t="s">
        <v>22888</v>
      </c>
      <c r="G8110" s="114"/>
      <c r="H8110" s="115"/>
      <c r="I8110" s="24"/>
      <c r="J8110" s="116">
        <v>4.5</v>
      </c>
      <c r="K8110" s="118">
        <v>1920000</v>
      </c>
      <c r="L8110" s="119"/>
      <c r="M8110" s="118">
        <f t="shared" ref="M8110" si="12121">K8110*0.1</f>
        <v>192000</v>
      </c>
      <c r="N8110" s="119"/>
      <c r="O8110" s="118">
        <v>0</v>
      </c>
      <c r="P8110" s="119"/>
      <c r="Q8110" s="118">
        <v>19560</v>
      </c>
      <c r="R8110" s="119"/>
      <c r="S8110" s="118">
        <v>16500</v>
      </c>
      <c r="T8110" s="119"/>
      <c r="U8110" s="118">
        <f t="shared" ref="U8110" si="12122">SUM(K8110:T8111)</f>
        <v>2148060</v>
      </c>
      <c r="V8110" s="122"/>
      <c r="W8110" s="124"/>
      <c r="X8110" s="126" t="s">
        <v>23775</v>
      </c>
      <c r="Y8110" s="127"/>
      <c r="Z8110" s="127"/>
      <c r="AA8110" s="127"/>
      <c r="AB8110" s="128"/>
      <c r="AC8110" s="15" t="s">
        <v>20</v>
      </c>
      <c r="AD8110" s="129" t="s">
        <v>7231</v>
      </c>
      <c r="AE8110" s="130"/>
      <c r="AF8110" s="130"/>
      <c r="AG8110" s="130"/>
      <c r="AH8110" s="130"/>
      <c r="AI8110" s="131"/>
      <c r="AJ8110" s="132"/>
      <c r="AK8110" s="127"/>
      <c r="AL8110" s="128"/>
      <c r="AM8110" s="21"/>
      <c r="AN8110" s="133">
        <v>46128</v>
      </c>
      <c r="AO8110" s="134"/>
      <c r="AP8110" s="135">
        <v>1327</v>
      </c>
      <c r="AQ8110" s="136"/>
      <c r="AR8110" s="118">
        <v>2095000</v>
      </c>
      <c r="AS8110" s="119"/>
      <c r="AT8110" s="118">
        <f t="shared" ref="AT8110" si="12123">AR8110*0.1</f>
        <v>209500</v>
      </c>
      <c r="AU8110" s="119"/>
      <c r="AV8110" s="118">
        <v>19560</v>
      </c>
      <c r="AW8110" s="119"/>
      <c r="AX8110" s="118">
        <f t="shared" ref="AX8110" si="12124">SUM(AR8110:AW8110)</f>
        <v>2324060</v>
      </c>
      <c r="AY8110" s="119"/>
      <c r="AZ8110" s="137">
        <v>46129</v>
      </c>
    </row>
    <row r="8111" spans="1:52" ht="17.100000000000001" customHeight="1" thickBot="1">
      <c r="A8111" s="110"/>
      <c r="B8111" s="27" t="s">
        <v>2511</v>
      </c>
      <c r="C8111" s="27">
        <v>81027</v>
      </c>
      <c r="D8111" s="14" t="s">
        <v>2601</v>
      </c>
      <c r="E8111" s="112"/>
      <c r="F8111" s="139" t="s">
        <v>22904</v>
      </c>
      <c r="G8111" s="140"/>
      <c r="H8111" s="141"/>
      <c r="I8111" s="26">
        <v>59230</v>
      </c>
      <c r="J8111" s="117"/>
      <c r="K8111" s="120"/>
      <c r="L8111" s="121"/>
      <c r="M8111" s="120"/>
      <c r="N8111" s="121"/>
      <c r="O8111" s="120"/>
      <c r="P8111" s="121"/>
      <c r="Q8111" s="120"/>
      <c r="R8111" s="121"/>
      <c r="S8111" s="120"/>
      <c r="T8111" s="121"/>
      <c r="U8111" s="120"/>
      <c r="V8111" s="123"/>
      <c r="W8111" s="125"/>
      <c r="X8111" s="142" t="s">
        <v>1594</v>
      </c>
      <c r="Y8111" s="143"/>
      <c r="Z8111" s="143"/>
      <c r="AA8111" s="143"/>
      <c r="AB8111" s="144"/>
      <c r="AC8111" s="16" t="s">
        <v>21</v>
      </c>
      <c r="AD8111" s="17" t="s">
        <v>23773</v>
      </c>
      <c r="AE8111" s="145" t="s">
        <v>4883</v>
      </c>
      <c r="AF8111" s="146"/>
      <c r="AG8111" s="146"/>
      <c r="AH8111" s="146"/>
      <c r="AI8111" s="147"/>
      <c r="AJ8111" s="148"/>
      <c r="AK8111" s="143"/>
      <c r="AL8111" s="144"/>
      <c r="AM8111" s="22"/>
      <c r="AN8111" s="149" t="s">
        <v>23284</v>
      </c>
      <c r="AO8111" s="144"/>
      <c r="AP8111" s="148">
        <v>320</v>
      </c>
      <c r="AQ8111" s="144"/>
      <c r="AR8111" s="120"/>
      <c r="AS8111" s="121"/>
      <c r="AT8111" s="120"/>
      <c r="AU8111" s="121"/>
      <c r="AV8111" s="120"/>
      <c r="AW8111" s="121"/>
      <c r="AX8111" s="120"/>
      <c r="AY8111" s="121"/>
      <c r="AZ8111" s="138"/>
    </row>
    <row r="8112" spans="1:52" ht="17.100000000000001" customHeight="1" thickTop="1">
      <c r="A8112" s="109" t="s">
        <v>22891</v>
      </c>
      <c r="B8112" s="28">
        <v>46123</v>
      </c>
      <c r="C8112" s="25">
        <v>1296</v>
      </c>
      <c r="D8112" s="13" t="s">
        <v>1714</v>
      </c>
      <c r="E8112" s="111"/>
      <c r="F8112" s="113" t="s">
        <v>20250</v>
      </c>
      <c r="G8112" s="114"/>
      <c r="H8112" s="115"/>
      <c r="I8112" s="24"/>
      <c r="J8112" s="116">
        <v>4.5</v>
      </c>
      <c r="K8112" s="118">
        <v>3650000</v>
      </c>
      <c r="L8112" s="119"/>
      <c r="M8112" s="118">
        <f t="shared" ref="M8112" si="12125">K8112*0.1</f>
        <v>365000</v>
      </c>
      <c r="N8112" s="119"/>
      <c r="O8112" s="118">
        <v>0</v>
      </c>
      <c r="P8112" s="119"/>
      <c r="Q8112" s="118">
        <v>24520</v>
      </c>
      <c r="R8112" s="119"/>
      <c r="S8112" s="118">
        <v>23100</v>
      </c>
      <c r="T8112" s="119"/>
      <c r="U8112" s="118">
        <f t="shared" ref="U8112" si="12126">SUM(K8112:T8113)</f>
        <v>4062620</v>
      </c>
      <c r="V8112" s="122"/>
      <c r="W8112" s="124"/>
      <c r="X8112" s="126" t="s">
        <v>23776</v>
      </c>
      <c r="Y8112" s="127"/>
      <c r="Z8112" s="127"/>
      <c r="AA8112" s="127"/>
      <c r="AB8112" s="128"/>
      <c r="AC8112" s="15" t="s">
        <v>20</v>
      </c>
      <c r="AD8112" s="129" t="s">
        <v>3821</v>
      </c>
      <c r="AE8112" s="130"/>
      <c r="AF8112" s="130"/>
      <c r="AG8112" s="130"/>
      <c r="AH8112" s="130"/>
      <c r="AI8112" s="131"/>
      <c r="AJ8112" s="132"/>
      <c r="AK8112" s="127"/>
      <c r="AL8112" s="128"/>
      <c r="AM8112" s="21"/>
      <c r="AN8112" s="133">
        <v>46142</v>
      </c>
      <c r="AO8112" s="134"/>
      <c r="AP8112" s="135">
        <v>1329</v>
      </c>
      <c r="AQ8112" s="136"/>
      <c r="AR8112" s="118">
        <v>3890000</v>
      </c>
      <c r="AS8112" s="119"/>
      <c r="AT8112" s="118">
        <f t="shared" ref="AT8112" si="12127">AR8112*0.1</f>
        <v>389000</v>
      </c>
      <c r="AU8112" s="119"/>
      <c r="AV8112" s="118">
        <v>24520</v>
      </c>
      <c r="AW8112" s="119"/>
      <c r="AX8112" s="118">
        <f t="shared" ref="AX8112" si="12128">SUM(AR8112:AW8112)</f>
        <v>4303520</v>
      </c>
      <c r="AY8112" s="119"/>
      <c r="AZ8112" s="137">
        <v>46143</v>
      </c>
    </row>
    <row r="8113" spans="1:52" ht="17.100000000000001" customHeight="1" thickBot="1">
      <c r="A8113" s="110"/>
      <c r="B8113" s="27" t="s">
        <v>2511</v>
      </c>
      <c r="C8113" s="27">
        <v>81064</v>
      </c>
      <c r="D8113" s="14" t="s">
        <v>133</v>
      </c>
      <c r="E8113" s="112"/>
      <c r="F8113" s="139" t="s">
        <v>22905</v>
      </c>
      <c r="G8113" s="140"/>
      <c r="H8113" s="141"/>
      <c r="I8113" s="26">
        <v>59681</v>
      </c>
      <c r="J8113" s="117"/>
      <c r="K8113" s="120"/>
      <c r="L8113" s="121"/>
      <c r="M8113" s="120"/>
      <c r="N8113" s="121"/>
      <c r="O8113" s="120"/>
      <c r="P8113" s="121"/>
      <c r="Q8113" s="120"/>
      <c r="R8113" s="121"/>
      <c r="S8113" s="120"/>
      <c r="T8113" s="121"/>
      <c r="U8113" s="120"/>
      <c r="V8113" s="123"/>
      <c r="W8113" s="125"/>
      <c r="X8113" s="142" t="s">
        <v>23777</v>
      </c>
      <c r="Y8113" s="143"/>
      <c r="Z8113" s="143"/>
      <c r="AA8113" s="143"/>
      <c r="AB8113" s="144"/>
      <c r="AC8113" s="16" t="s">
        <v>21</v>
      </c>
      <c r="AD8113" s="17" t="s">
        <v>23773</v>
      </c>
      <c r="AE8113" s="145" t="s">
        <v>4579</v>
      </c>
      <c r="AF8113" s="146"/>
      <c r="AG8113" s="146"/>
      <c r="AH8113" s="146"/>
      <c r="AI8113" s="147"/>
      <c r="AJ8113" s="148"/>
      <c r="AK8113" s="143"/>
      <c r="AL8113" s="144"/>
      <c r="AM8113" s="22"/>
      <c r="AN8113" s="149" t="s">
        <v>1747</v>
      </c>
      <c r="AO8113" s="144"/>
      <c r="AP8113" s="148">
        <v>311</v>
      </c>
      <c r="AQ8113" s="144"/>
      <c r="AR8113" s="120"/>
      <c r="AS8113" s="121"/>
      <c r="AT8113" s="120"/>
      <c r="AU8113" s="121"/>
      <c r="AV8113" s="120"/>
      <c r="AW8113" s="121"/>
      <c r="AX8113" s="120"/>
      <c r="AY8113" s="121"/>
      <c r="AZ8113" s="138"/>
    </row>
    <row r="8114" spans="1:52" ht="17.100000000000001" customHeight="1" thickTop="1">
      <c r="A8114" s="151" t="s">
        <v>22892</v>
      </c>
      <c r="B8114" s="28">
        <v>46123</v>
      </c>
      <c r="C8114" s="25">
        <v>1296</v>
      </c>
      <c r="D8114" s="13" t="s">
        <v>2329</v>
      </c>
      <c r="E8114" s="111"/>
      <c r="F8114" s="113" t="s">
        <v>22895</v>
      </c>
      <c r="G8114" s="114"/>
      <c r="H8114" s="115"/>
      <c r="I8114" s="24" t="s">
        <v>5634</v>
      </c>
      <c r="J8114" s="116">
        <v>4.5</v>
      </c>
      <c r="K8114" s="118">
        <v>1855000</v>
      </c>
      <c r="L8114" s="119"/>
      <c r="M8114" s="118">
        <f t="shared" ref="M8114" si="12129">K8114*0.1</f>
        <v>185500</v>
      </c>
      <c r="N8114" s="119"/>
      <c r="O8114" s="118">
        <v>36300</v>
      </c>
      <c r="P8114" s="119"/>
      <c r="Q8114" s="118">
        <v>16160</v>
      </c>
      <c r="R8114" s="119"/>
      <c r="S8114" s="118">
        <v>16500</v>
      </c>
      <c r="T8114" s="119"/>
      <c r="U8114" s="118">
        <f t="shared" ref="U8114" si="12130">SUM(K8114:T8115)</f>
        <v>2109460</v>
      </c>
      <c r="V8114" s="122"/>
      <c r="W8114" s="124"/>
      <c r="X8114" s="126" t="s">
        <v>22907</v>
      </c>
      <c r="Y8114" s="127"/>
      <c r="Z8114" s="127"/>
      <c r="AA8114" s="127"/>
      <c r="AB8114" s="128"/>
      <c r="AC8114" s="15" t="s">
        <v>20</v>
      </c>
      <c r="AD8114" s="129"/>
      <c r="AE8114" s="130"/>
      <c r="AF8114" s="130"/>
      <c r="AG8114" s="130"/>
      <c r="AH8114" s="130"/>
      <c r="AI8114" s="131"/>
      <c r="AJ8114" s="153" t="s">
        <v>23225</v>
      </c>
      <c r="AK8114" s="154"/>
      <c r="AL8114" s="155"/>
      <c r="AM8114" s="21"/>
      <c r="AN8114" s="133"/>
      <c r="AO8114" s="134"/>
      <c r="AP8114" s="135"/>
      <c r="AQ8114" s="136"/>
      <c r="AR8114" s="118"/>
      <c r="AS8114" s="119"/>
      <c r="AT8114" s="118">
        <f t="shared" ref="AT8114" si="12131">AR8114*0.1</f>
        <v>0</v>
      </c>
      <c r="AU8114" s="119"/>
      <c r="AV8114" s="118"/>
      <c r="AW8114" s="119"/>
      <c r="AX8114" s="118">
        <f t="shared" ref="AX8114" si="12132">SUM(AR8114:AW8114)</f>
        <v>0</v>
      </c>
      <c r="AY8114" s="119"/>
      <c r="AZ8114" s="137"/>
    </row>
    <row r="8115" spans="1:52" ht="17.100000000000001" customHeight="1" thickBot="1">
      <c r="A8115" s="152"/>
      <c r="B8115" s="27" t="s">
        <v>2511</v>
      </c>
      <c r="C8115" s="27">
        <v>82225</v>
      </c>
      <c r="D8115" s="14" t="s">
        <v>904</v>
      </c>
      <c r="E8115" s="112"/>
      <c r="F8115" s="139" t="s">
        <v>22906</v>
      </c>
      <c r="G8115" s="140"/>
      <c r="H8115" s="141"/>
      <c r="I8115" s="26">
        <v>43030</v>
      </c>
      <c r="J8115" s="117"/>
      <c r="K8115" s="120"/>
      <c r="L8115" s="121"/>
      <c r="M8115" s="120"/>
      <c r="N8115" s="121"/>
      <c r="O8115" s="120"/>
      <c r="P8115" s="121"/>
      <c r="Q8115" s="120"/>
      <c r="R8115" s="121"/>
      <c r="S8115" s="120"/>
      <c r="T8115" s="121"/>
      <c r="U8115" s="120"/>
      <c r="V8115" s="123"/>
      <c r="W8115" s="125"/>
      <c r="X8115" s="142"/>
      <c r="Y8115" s="143"/>
      <c r="Z8115" s="143"/>
      <c r="AA8115" s="143"/>
      <c r="AB8115" s="144"/>
      <c r="AC8115" s="16" t="s">
        <v>21</v>
      </c>
      <c r="AD8115" s="17" t="s">
        <v>10540</v>
      </c>
      <c r="AE8115" s="145" t="s">
        <v>23077</v>
      </c>
      <c r="AF8115" s="146"/>
      <c r="AG8115" s="146"/>
      <c r="AH8115" s="146"/>
      <c r="AI8115" s="147"/>
      <c r="AJ8115" s="148"/>
      <c r="AK8115" s="143"/>
      <c r="AL8115" s="144"/>
      <c r="AM8115" s="22"/>
      <c r="AN8115" s="149"/>
      <c r="AO8115" s="144"/>
      <c r="AP8115" s="148"/>
      <c r="AQ8115" s="144"/>
      <c r="AR8115" s="120"/>
      <c r="AS8115" s="121"/>
      <c r="AT8115" s="120"/>
      <c r="AU8115" s="121"/>
      <c r="AV8115" s="120"/>
      <c r="AW8115" s="121"/>
      <c r="AX8115" s="120"/>
      <c r="AY8115" s="121"/>
      <c r="AZ8115" s="138"/>
    </row>
    <row r="8116" spans="1:52" ht="17.100000000000001" customHeight="1" thickTop="1">
      <c r="A8116" s="109" t="s">
        <v>22893</v>
      </c>
      <c r="B8116" s="28">
        <v>46123</v>
      </c>
      <c r="C8116" s="25">
        <v>1296</v>
      </c>
      <c r="D8116" s="13" t="s">
        <v>1847</v>
      </c>
      <c r="E8116" s="111"/>
      <c r="F8116" s="113" t="s">
        <v>22896</v>
      </c>
      <c r="G8116" s="114"/>
      <c r="H8116" s="115"/>
      <c r="I8116" s="24"/>
      <c r="J8116" s="116">
        <v>4.5</v>
      </c>
      <c r="K8116" s="118">
        <v>3445000</v>
      </c>
      <c r="L8116" s="119"/>
      <c r="M8116" s="118">
        <f t="shared" ref="M8116" si="12133">K8116*0.1</f>
        <v>344500</v>
      </c>
      <c r="N8116" s="119"/>
      <c r="O8116" s="118">
        <v>0</v>
      </c>
      <c r="P8116" s="119"/>
      <c r="Q8116" s="118">
        <v>19870</v>
      </c>
      <c r="R8116" s="119"/>
      <c r="S8116" s="118">
        <v>16500</v>
      </c>
      <c r="T8116" s="119"/>
      <c r="U8116" s="118">
        <f t="shared" ref="U8116" si="12134">SUM(K8116:T8117)</f>
        <v>3825870</v>
      </c>
      <c r="V8116" s="122"/>
      <c r="W8116" s="124"/>
      <c r="X8116" s="126" t="s">
        <v>23772</v>
      </c>
      <c r="Y8116" s="127"/>
      <c r="Z8116" s="127"/>
      <c r="AA8116" s="127"/>
      <c r="AB8116" s="128"/>
      <c r="AC8116" s="15" t="s">
        <v>20</v>
      </c>
      <c r="AD8116" s="129"/>
      <c r="AE8116" s="130"/>
      <c r="AF8116" s="130"/>
      <c r="AG8116" s="130"/>
      <c r="AH8116" s="130"/>
      <c r="AI8116" s="131"/>
      <c r="AJ8116" s="132"/>
      <c r="AK8116" s="127"/>
      <c r="AL8116" s="128"/>
      <c r="AM8116" s="21"/>
      <c r="AN8116" s="133">
        <v>46130</v>
      </c>
      <c r="AO8116" s="134"/>
      <c r="AP8116" s="135">
        <v>1297</v>
      </c>
      <c r="AQ8116" s="136"/>
      <c r="AR8116" s="118">
        <v>3820000</v>
      </c>
      <c r="AS8116" s="119"/>
      <c r="AT8116" s="118">
        <f t="shared" ref="AT8116" si="12135">AR8116*0.1</f>
        <v>382000</v>
      </c>
      <c r="AU8116" s="119"/>
      <c r="AV8116" s="118">
        <v>19870</v>
      </c>
      <c r="AW8116" s="119"/>
      <c r="AX8116" s="118">
        <f t="shared" ref="AX8116" si="12136">SUM(AR8116:AW8116)</f>
        <v>4221870</v>
      </c>
      <c r="AY8116" s="119"/>
      <c r="AZ8116" s="137">
        <v>46133</v>
      </c>
    </row>
    <row r="8117" spans="1:52" ht="17.100000000000001" customHeight="1" thickBot="1">
      <c r="A8117" s="110"/>
      <c r="B8117" s="27" t="s">
        <v>2511</v>
      </c>
      <c r="C8117" s="27">
        <v>82467</v>
      </c>
      <c r="D8117" s="14" t="s">
        <v>1592</v>
      </c>
      <c r="E8117" s="112"/>
      <c r="F8117" s="139" t="s">
        <v>22908</v>
      </c>
      <c r="G8117" s="140"/>
      <c r="H8117" s="141"/>
      <c r="I8117" s="26">
        <v>44650</v>
      </c>
      <c r="J8117" s="117"/>
      <c r="K8117" s="120"/>
      <c r="L8117" s="121"/>
      <c r="M8117" s="120"/>
      <c r="N8117" s="121"/>
      <c r="O8117" s="120"/>
      <c r="P8117" s="121"/>
      <c r="Q8117" s="120"/>
      <c r="R8117" s="121"/>
      <c r="S8117" s="120"/>
      <c r="T8117" s="121"/>
      <c r="U8117" s="120"/>
      <c r="V8117" s="123"/>
      <c r="W8117" s="125"/>
      <c r="X8117" s="142" t="s">
        <v>5250</v>
      </c>
      <c r="Y8117" s="143"/>
      <c r="Z8117" s="143"/>
      <c r="AA8117" s="143"/>
      <c r="AB8117" s="144"/>
      <c r="AC8117" s="16" t="s">
        <v>21</v>
      </c>
      <c r="AD8117" s="17" t="s">
        <v>23773</v>
      </c>
      <c r="AE8117" s="145" t="s">
        <v>23077</v>
      </c>
      <c r="AF8117" s="146"/>
      <c r="AG8117" s="146"/>
      <c r="AH8117" s="146"/>
      <c r="AI8117" s="147"/>
      <c r="AJ8117" s="148"/>
      <c r="AK8117" s="143"/>
      <c r="AL8117" s="144"/>
      <c r="AM8117" s="22"/>
      <c r="AN8117" s="149" t="s">
        <v>2511</v>
      </c>
      <c r="AO8117" s="144"/>
      <c r="AP8117" s="148">
        <v>80072</v>
      </c>
      <c r="AQ8117" s="144"/>
      <c r="AR8117" s="120"/>
      <c r="AS8117" s="121"/>
      <c r="AT8117" s="120"/>
      <c r="AU8117" s="121"/>
      <c r="AV8117" s="120"/>
      <c r="AW8117" s="121"/>
      <c r="AX8117" s="120"/>
      <c r="AY8117" s="121"/>
      <c r="AZ8117" s="138"/>
    </row>
    <row r="8118" spans="1:52" ht="17.100000000000001" customHeight="1" thickTop="1">
      <c r="A8118" s="109" t="s">
        <v>22894</v>
      </c>
      <c r="B8118" s="28">
        <v>46123</v>
      </c>
      <c r="C8118" s="25">
        <v>1296</v>
      </c>
      <c r="D8118" s="13" t="s">
        <v>818</v>
      </c>
      <c r="E8118" s="111"/>
      <c r="F8118" s="113" t="s">
        <v>22895</v>
      </c>
      <c r="G8118" s="114"/>
      <c r="H8118" s="115"/>
      <c r="I8118" s="24" t="s">
        <v>1559</v>
      </c>
      <c r="J8118" s="116">
        <v>4.5</v>
      </c>
      <c r="K8118" s="118">
        <v>1755000</v>
      </c>
      <c r="L8118" s="119"/>
      <c r="M8118" s="118">
        <f t="shared" ref="M8118" si="12137">K8118*0.1</f>
        <v>175500</v>
      </c>
      <c r="N8118" s="119"/>
      <c r="O8118" s="118">
        <v>36300</v>
      </c>
      <c r="P8118" s="119"/>
      <c r="Q8118" s="118">
        <v>16160</v>
      </c>
      <c r="R8118" s="119"/>
      <c r="S8118" s="118">
        <v>16500</v>
      </c>
      <c r="T8118" s="119"/>
      <c r="U8118" s="118">
        <f t="shared" ref="U8118" si="12138">SUM(K8118:T8119)</f>
        <v>1999460</v>
      </c>
      <c r="V8118" s="122"/>
      <c r="W8118" s="124"/>
      <c r="X8118" s="126" t="s">
        <v>22910</v>
      </c>
      <c r="Y8118" s="127"/>
      <c r="Z8118" s="127"/>
      <c r="AA8118" s="127"/>
      <c r="AB8118" s="128"/>
      <c r="AC8118" s="15" t="s">
        <v>20</v>
      </c>
      <c r="AD8118" s="129" t="s">
        <v>7231</v>
      </c>
      <c r="AE8118" s="130"/>
      <c r="AF8118" s="130"/>
      <c r="AG8118" s="130"/>
      <c r="AH8118" s="130"/>
      <c r="AI8118" s="131"/>
      <c r="AJ8118" s="132"/>
      <c r="AK8118" s="127"/>
      <c r="AL8118" s="128"/>
      <c r="AM8118" s="21"/>
      <c r="AN8118" s="133">
        <v>46156</v>
      </c>
      <c r="AO8118" s="134"/>
      <c r="AP8118" s="135">
        <v>1330</v>
      </c>
      <c r="AQ8118" s="136"/>
      <c r="AR8118" s="118">
        <v>2050000</v>
      </c>
      <c r="AS8118" s="119"/>
      <c r="AT8118" s="118">
        <f t="shared" ref="AT8118" si="12139">AR8118*0.1</f>
        <v>205000</v>
      </c>
      <c r="AU8118" s="119"/>
      <c r="AV8118" s="118">
        <v>16160</v>
      </c>
      <c r="AW8118" s="119"/>
      <c r="AX8118" s="118">
        <f t="shared" ref="AX8118" si="12140">SUM(AR8118:AW8118)</f>
        <v>2271160</v>
      </c>
      <c r="AY8118" s="119"/>
      <c r="AZ8118" s="137">
        <v>46157</v>
      </c>
    </row>
    <row r="8119" spans="1:52" ht="17.100000000000001" customHeight="1" thickBot="1">
      <c r="A8119" s="110"/>
      <c r="B8119" s="27" t="s">
        <v>2511</v>
      </c>
      <c r="C8119" s="27">
        <v>82554</v>
      </c>
      <c r="D8119" s="14" t="s">
        <v>1812</v>
      </c>
      <c r="E8119" s="112"/>
      <c r="F8119" s="139" t="s">
        <v>22909</v>
      </c>
      <c r="G8119" s="140"/>
      <c r="H8119" s="141"/>
      <c r="I8119" s="26">
        <v>45616</v>
      </c>
      <c r="J8119" s="117"/>
      <c r="K8119" s="120"/>
      <c r="L8119" s="121"/>
      <c r="M8119" s="120"/>
      <c r="N8119" s="121"/>
      <c r="O8119" s="120"/>
      <c r="P8119" s="121"/>
      <c r="Q8119" s="120"/>
      <c r="R8119" s="121"/>
      <c r="S8119" s="120"/>
      <c r="T8119" s="121"/>
      <c r="U8119" s="120"/>
      <c r="V8119" s="123"/>
      <c r="W8119" s="125"/>
      <c r="X8119" s="142" t="s">
        <v>1594</v>
      </c>
      <c r="Y8119" s="143"/>
      <c r="Z8119" s="143"/>
      <c r="AA8119" s="143"/>
      <c r="AB8119" s="144"/>
      <c r="AC8119" s="16" t="s">
        <v>21</v>
      </c>
      <c r="AD8119" s="17" t="s">
        <v>23773</v>
      </c>
      <c r="AE8119" s="145" t="s">
        <v>1614</v>
      </c>
      <c r="AF8119" s="146"/>
      <c r="AG8119" s="146"/>
      <c r="AH8119" s="146"/>
      <c r="AI8119" s="147"/>
      <c r="AJ8119" s="148"/>
      <c r="AK8119" s="143"/>
      <c r="AL8119" s="144"/>
      <c r="AM8119" s="22"/>
      <c r="AN8119" s="149" t="s">
        <v>25547</v>
      </c>
      <c r="AO8119" s="144"/>
      <c r="AP8119" s="148" t="s">
        <v>25548</v>
      </c>
      <c r="AQ8119" s="144"/>
      <c r="AR8119" s="120"/>
      <c r="AS8119" s="121"/>
      <c r="AT8119" s="120"/>
      <c r="AU8119" s="121"/>
      <c r="AV8119" s="120"/>
      <c r="AW8119" s="121"/>
      <c r="AX8119" s="120"/>
      <c r="AY8119" s="121"/>
      <c r="AZ8119" s="138"/>
    </row>
    <row r="8120" spans="1:52" ht="17.100000000000001" customHeight="1" thickTop="1">
      <c r="A8120" s="109" t="s">
        <v>22990</v>
      </c>
      <c r="B8120" s="28">
        <v>46125</v>
      </c>
      <c r="C8120" s="25">
        <v>2089</v>
      </c>
      <c r="D8120" s="13" t="s">
        <v>1712</v>
      </c>
      <c r="E8120" s="111"/>
      <c r="F8120" s="113" t="s">
        <v>22944</v>
      </c>
      <c r="G8120" s="114"/>
      <c r="H8120" s="115"/>
      <c r="I8120" s="24"/>
      <c r="J8120" s="116">
        <v>4</v>
      </c>
      <c r="K8120" s="118">
        <v>828000</v>
      </c>
      <c r="L8120" s="119"/>
      <c r="M8120" s="118">
        <f t="shared" ref="M8120" si="12141">K8120*0.1</f>
        <v>82800</v>
      </c>
      <c r="N8120" s="119"/>
      <c r="O8120" s="118">
        <v>0</v>
      </c>
      <c r="P8120" s="119"/>
      <c r="Q8120" s="118">
        <v>20170</v>
      </c>
      <c r="R8120" s="119"/>
      <c r="S8120" s="118">
        <v>11000</v>
      </c>
      <c r="T8120" s="119"/>
      <c r="U8120" s="118">
        <f t="shared" ref="U8120" si="12142">SUM(K8120:T8121)</f>
        <v>941970</v>
      </c>
      <c r="V8120" s="122"/>
      <c r="W8120" s="124"/>
      <c r="X8120" s="126" t="s">
        <v>23250</v>
      </c>
      <c r="Y8120" s="127"/>
      <c r="Z8120" s="127"/>
      <c r="AA8120" s="127"/>
      <c r="AB8120" s="128"/>
      <c r="AC8120" s="15" t="s">
        <v>20</v>
      </c>
      <c r="AD8120" s="129" t="s">
        <v>23338</v>
      </c>
      <c r="AE8120" s="130"/>
      <c r="AF8120" s="130"/>
      <c r="AG8120" s="130"/>
      <c r="AH8120" s="130"/>
      <c r="AI8120" s="131"/>
      <c r="AJ8120" s="132"/>
      <c r="AK8120" s="127"/>
      <c r="AL8120" s="128"/>
      <c r="AM8120" s="21"/>
      <c r="AN8120" s="133"/>
      <c r="AO8120" s="134"/>
      <c r="AP8120" s="135"/>
      <c r="AQ8120" s="136"/>
      <c r="AR8120" s="118"/>
      <c r="AS8120" s="119"/>
      <c r="AT8120" s="118">
        <f t="shared" ref="AT8120" si="12143">AR8120*0.1</f>
        <v>0</v>
      </c>
      <c r="AU8120" s="119"/>
      <c r="AV8120" s="118"/>
      <c r="AW8120" s="119"/>
      <c r="AX8120" s="118">
        <f t="shared" ref="AX8120" si="12144">SUM(AR8120:AW8120)</f>
        <v>0</v>
      </c>
      <c r="AY8120" s="119"/>
      <c r="AZ8120" s="137"/>
    </row>
    <row r="8121" spans="1:52" ht="17.100000000000001" customHeight="1" thickBot="1">
      <c r="A8121" s="110"/>
      <c r="B8121" s="27" t="s">
        <v>83</v>
      </c>
      <c r="C8121" s="27">
        <v>31006</v>
      </c>
      <c r="D8121" s="14" t="s">
        <v>1576</v>
      </c>
      <c r="E8121" s="112"/>
      <c r="F8121" s="139" t="s">
        <v>22945</v>
      </c>
      <c r="G8121" s="140"/>
      <c r="H8121" s="141"/>
      <c r="I8121" s="26">
        <v>44205</v>
      </c>
      <c r="J8121" s="117"/>
      <c r="K8121" s="120"/>
      <c r="L8121" s="121"/>
      <c r="M8121" s="120"/>
      <c r="N8121" s="121"/>
      <c r="O8121" s="120"/>
      <c r="P8121" s="121"/>
      <c r="Q8121" s="120"/>
      <c r="R8121" s="121"/>
      <c r="S8121" s="120"/>
      <c r="T8121" s="121"/>
      <c r="U8121" s="120"/>
      <c r="V8121" s="123"/>
      <c r="W8121" s="125"/>
      <c r="X8121" s="142" t="s">
        <v>9685</v>
      </c>
      <c r="Y8121" s="143"/>
      <c r="Z8121" s="143"/>
      <c r="AA8121" s="143"/>
      <c r="AB8121" s="144"/>
      <c r="AC8121" s="16" t="s">
        <v>21</v>
      </c>
      <c r="AD8121" s="17" t="s">
        <v>1952</v>
      </c>
      <c r="AE8121" s="145" t="s">
        <v>1658</v>
      </c>
      <c r="AF8121" s="146"/>
      <c r="AG8121" s="146"/>
      <c r="AH8121" s="146"/>
      <c r="AI8121" s="147"/>
      <c r="AJ8121" s="148"/>
      <c r="AK8121" s="143"/>
      <c r="AL8121" s="144"/>
      <c r="AM8121" s="22"/>
      <c r="AN8121" s="149"/>
      <c r="AO8121" s="144"/>
      <c r="AP8121" s="148"/>
      <c r="AQ8121" s="144"/>
      <c r="AR8121" s="120"/>
      <c r="AS8121" s="121"/>
      <c r="AT8121" s="120"/>
      <c r="AU8121" s="121"/>
      <c r="AV8121" s="120"/>
      <c r="AW8121" s="121"/>
      <c r="AX8121" s="120"/>
      <c r="AY8121" s="121"/>
      <c r="AZ8121" s="138"/>
    </row>
    <row r="8122" spans="1:52" ht="17.100000000000001" customHeight="1" thickTop="1">
      <c r="A8122" s="109" t="s">
        <v>22991</v>
      </c>
      <c r="B8122" s="28">
        <v>46125</v>
      </c>
      <c r="C8122" s="25">
        <v>2089</v>
      </c>
      <c r="D8122" s="13" t="s">
        <v>2949</v>
      </c>
      <c r="E8122" s="111"/>
      <c r="F8122" s="113" t="s">
        <v>22946</v>
      </c>
      <c r="G8122" s="114"/>
      <c r="H8122" s="115"/>
      <c r="I8122" s="24"/>
      <c r="J8122" s="116">
        <v>4</v>
      </c>
      <c r="K8122" s="118">
        <v>2415000</v>
      </c>
      <c r="L8122" s="119"/>
      <c r="M8122" s="118">
        <f t="shared" ref="M8122" si="12145">K8122*0.1</f>
        <v>241500</v>
      </c>
      <c r="N8122" s="119"/>
      <c r="O8122" s="118">
        <v>0</v>
      </c>
      <c r="P8122" s="119"/>
      <c r="Q8122" s="118">
        <v>17800</v>
      </c>
      <c r="R8122" s="119"/>
      <c r="S8122" s="118">
        <v>11000</v>
      </c>
      <c r="T8122" s="119"/>
      <c r="U8122" s="118">
        <f t="shared" ref="U8122" si="12146">SUM(K8122:T8123)</f>
        <v>2685300</v>
      </c>
      <c r="V8122" s="122"/>
      <c r="W8122" s="124"/>
      <c r="X8122" s="126" t="s">
        <v>23471</v>
      </c>
      <c r="Y8122" s="127"/>
      <c r="Z8122" s="127"/>
      <c r="AA8122" s="127"/>
      <c r="AB8122" s="128"/>
      <c r="AC8122" s="15" t="s">
        <v>20</v>
      </c>
      <c r="AD8122" s="129" t="s">
        <v>23337</v>
      </c>
      <c r="AE8122" s="130"/>
      <c r="AF8122" s="130"/>
      <c r="AG8122" s="130"/>
      <c r="AH8122" s="130"/>
      <c r="AI8122" s="131"/>
      <c r="AJ8122" s="132"/>
      <c r="AK8122" s="127"/>
      <c r="AL8122" s="128"/>
      <c r="AM8122" s="21"/>
      <c r="AN8122" s="133">
        <v>46158</v>
      </c>
      <c r="AO8122" s="134"/>
      <c r="AP8122" s="135">
        <v>1300</v>
      </c>
      <c r="AQ8122" s="136"/>
      <c r="AR8122" s="118">
        <v>2585000</v>
      </c>
      <c r="AS8122" s="119"/>
      <c r="AT8122" s="118">
        <f t="shared" ref="AT8122" si="12147">AR8122*0.1</f>
        <v>258500</v>
      </c>
      <c r="AU8122" s="119"/>
      <c r="AV8122" s="118">
        <v>17800</v>
      </c>
      <c r="AW8122" s="119"/>
      <c r="AX8122" s="118">
        <f t="shared" ref="AX8122" si="12148">SUM(AR8122:AW8122)</f>
        <v>2861300</v>
      </c>
      <c r="AY8122" s="119"/>
      <c r="AZ8122" s="137">
        <v>46161</v>
      </c>
    </row>
    <row r="8123" spans="1:52" ht="17.100000000000001" customHeight="1" thickBot="1">
      <c r="A8123" s="110"/>
      <c r="B8123" s="27" t="s">
        <v>83</v>
      </c>
      <c r="C8123" s="27">
        <v>33504</v>
      </c>
      <c r="D8123" s="14" t="s">
        <v>275</v>
      </c>
      <c r="E8123" s="112"/>
      <c r="F8123" s="139" t="s">
        <v>22947</v>
      </c>
      <c r="G8123" s="140"/>
      <c r="H8123" s="141"/>
      <c r="I8123" s="26">
        <v>32473</v>
      </c>
      <c r="J8123" s="117"/>
      <c r="K8123" s="120"/>
      <c r="L8123" s="121"/>
      <c r="M8123" s="120"/>
      <c r="N8123" s="121"/>
      <c r="O8123" s="120"/>
      <c r="P8123" s="121"/>
      <c r="Q8123" s="120"/>
      <c r="R8123" s="121"/>
      <c r="S8123" s="120"/>
      <c r="T8123" s="121"/>
      <c r="U8123" s="120"/>
      <c r="V8123" s="123"/>
      <c r="W8123" s="125"/>
      <c r="X8123" s="142" t="s">
        <v>4820</v>
      </c>
      <c r="Y8123" s="143"/>
      <c r="Z8123" s="143"/>
      <c r="AA8123" s="143"/>
      <c r="AB8123" s="144"/>
      <c r="AC8123" s="16" t="s">
        <v>21</v>
      </c>
      <c r="AD8123" s="17" t="s">
        <v>3711</v>
      </c>
      <c r="AE8123" s="145" t="s">
        <v>1742</v>
      </c>
      <c r="AF8123" s="146"/>
      <c r="AG8123" s="146"/>
      <c r="AH8123" s="146"/>
      <c r="AI8123" s="147"/>
      <c r="AJ8123" s="148"/>
      <c r="AK8123" s="143"/>
      <c r="AL8123" s="144"/>
      <c r="AM8123" s="22"/>
      <c r="AN8123" s="149" t="s">
        <v>2511</v>
      </c>
      <c r="AO8123" s="144"/>
      <c r="AP8123" s="148">
        <v>80088</v>
      </c>
      <c r="AQ8123" s="144"/>
      <c r="AR8123" s="120"/>
      <c r="AS8123" s="121"/>
      <c r="AT8123" s="120"/>
      <c r="AU8123" s="121"/>
      <c r="AV8123" s="120"/>
      <c r="AW8123" s="121"/>
      <c r="AX8123" s="120"/>
      <c r="AY8123" s="121"/>
      <c r="AZ8123" s="138"/>
    </row>
    <row r="8124" spans="1:52" ht="17.100000000000001" customHeight="1" thickTop="1">
      <c r="A8124" s="109" t="s">
        <v>22992</v>
      </c>
      <c r="B8124" s="28">
        <v>46125</v>
      </c>
      <c r="C8124" s="25">
        <v>2089</v>
      </c>
      <c r="D8124" s="13" t="s">
        <v>2141</v>
      </c>
      <c r="E8124" s="111"/>
      <c r="F8124" s="113" t="s">
        <v>22948</v>
      </c>
      <c r="G8124" s="114"/>
      <c r="H8124" s="115"/>
      <c r="I8124" s="24"/>
      <c r="J8124" s="116">
        <v>5</v>
      </c>
      <c r="K8124" s="118">
        <v>2190000</v>
      </c>
      <c r="L8124" s="119"/>
      <c r="M8124" s="118">
        <f t="shared" ref="M8124" si="12149">K8124*0.1</f>
        <v>219000</v>
      </c>
      <c r="N8124" s="119"/>
      <c r="O8124" s="118">
        <v>0</v>
      </c>
      <c r="P8124" s="119"/>
      <c r="Q8124" s="118">
        <v>13210</v>
      </c>
      <c r="R8124" s="119"/>
      <c r="S8124" s="118">
        <v>11000</v>
      </c>
      <c r="T8124" s="119"/>
      <c r="U8124" s="118">
        <f t="shared" ref="U8124" si="12150">SUM(K8124:T8125)</f>
        <v>2433210</v>
      </c>
      <c r="V8124" s="122"/>
      <c r="W8124" s="124"/>
      <c r="X8124" s="126" t="s">
        <v>23774</v>
      </c>
      <c r="Y8124" s="127"/>
      <c r="Z8124" s="127"/>
      <c r="AA8124" s="127"/>
      <c r="AB8124" s="128"/>
      <c r="AC8124" s="15" t="s">
        <v>20</v>
      </c>
      <c r="AD8124" s="129" t="s">
        <v>22950</v>
      </c>
      <c r="AE8124" s="130"/>
      <c r="AF8124" s="130"/>
      <c r="AG8124" s="130"/>
      <c r="AH8124" s="130"/>
      <c r="AI8124" s="131"/>
      <c r="AJ8124" s="132"/>
      <c r="AK8124" s="127"/>
      <c r="AL8124" s="128"/>
      <c r="AM8124" s="21"/>
      <c r="AN8124" s="133">
        <v>46130</v>
      </c>
      <c r="AO8124" s="134"/>
      <c r="AP8124" s="135">
        <v>1297</v>
      </c>
      <c r="AQ8124" s="136"/>
      <c r="AR8124" s="118">
        <v>2420000</v>
      </c>
      <c r="AS8124" s="119"/>
      <c r="AT8124" s="118">
        <f t="shared" ref="AT8124" si="12151">AR8124*0.1</f>
        <v>242000</v>
      </c>
      <c r="AU8124" s="119"/>
      <c r="AV8124" s="118">
        <v>13210</v>
      </c>
      <c r="AW8124" s="119"/>
      <c r="AX8124" s="118">
        <f t="shared" ref="AX8124" si="12152">SUM(AR8124:AW8124)</f>
        <v>2675210</v>
      </c>
      <c r="AY8124" s="119"/>
      <c r="AZ8124" s="137">
        <v>46133</v>
      </c>
    </row>
    <row r="8125" spans="1:52" ht="17.100000000000001" customHeight="1" thickBot="1">
      <c r="A8125" s="110"/>
      <c r="B8125" s="27" t="s">
        <v>83</v>
      </c>
      <c r="C8125" s="27">
        <v>33527</v>
      </c>
      <c r="D8125" s="14" t="s">
        <v>2601</v>
      </c>
      <c r="E8125" s="112"/>
      <c r="F8125" s="139" t="s">
        <v>22949</v>
      </c>
      <c r="G8125" s="140"/>
      <c r="H8125" s="141"/>
      <c r="I8125" s="26">
        <v>10489</v>
      </c>
      <c r="J8125" s="117"/>
      <c r="K8125" s="120"/>
      <c r="L8125" s="121"/>
      <c r="M8125" s="120"/>
      <c r="N8125" s="121"/>
      <c r="O8125" s="120"/>
      <c r="P8125" s="121"/>
      <c r="Q8125" s="120"/>
      <c r="R8125" s="121"/>
      <c r="S8125" s="120"/>
      <c r="T8125" s="121"/>
      <c r="U8125" s="120"/>
      <c r="V8125" s="123"/>
      <c r="W8125" s="125"/>
      <c r="X8125" s="142" t="s">
        <v>4820</v>
      </c>
      <c r="Y8125" s="143"/>
      <c r="Z8125" s="143"/>
      <c r="AA8125" s="143"/>
      <c r="AB8125" s="144"/>
      <c r="AC8125" s="16" t="s">
        <v>21</v>
      </c>
      <c r="AD8125" s="17" t="s">
        <v>23773</v>
      </c>
      <c r="AE8125" s="145" t="s">
        <v>4102</v>
      </c>
      <c r="AF8125" s="146"/>
      <c r="AG8125" s="146"/>
      <c r="AH8125" s="146"/>
      <c r="AI8125" s="147"/>
      <c r="AJ8125" s="148"/>
      <c r="AK8125" s="143"/>
      <c r="AL8125" s="144"/>
      <c r="AM8125" s="22"/>
      <c r="AN8125" s="149" t="s">
        <v>2511</v>
      </c>
      <c r="AO8125" s="144"/>
      <c r="AP8125" s="148">
        <v>80350</v>
      </c>
      <c r="AQ8125" s="144"/>
      <c r="AR8125" s="120"/>
      <c r="AS8125" s="121"/>
      <c r="AT8125" s="120"/>
      <c r="AU8125" s="121"/>
      <c r="AV8125" s="120"/>
      <c r="AW8125" s="121"/>
      <c r="AX8125" s="120"/>
      <c r="AY8125" s="121"/>
      <c r="AZ8125" s="138"/>
    </row>
    <row r="8126" spans="1:52" ht="17.100000000000001" customHeight="1" thickTop="1">
      <c r="A8126" s="109" t="s">
        <v>22993</v>
      </c>
      <c r="B8126" s="28">
        <v>46125</v>
      </c>
      <c r="C8126" s="25">
        <v>2089</v>
      </c>
      <c r="D8126" s="13" t="s">
        <v>1803</v>
      </c>
      <c r="E8126" s="111"/>
      <c r="F8126" s="113" t="s">
        <v>22960</v>
      </c>
      <c r="G8126" s="114"/>
      <c r="H8126" s="115"/>
      <c r="I8126" s="24"/>
      <c r="J8126" s="116">
        <v>4</v>
      </c>
      <c r="K8126" s="118">
        <v>704000</v>
      </c>
      <c r="L8126" s="119"/>
      <c r="M8126" s="118">
        <f t="shared" ref="M8126" si="12153">K8126*0.1</f>
        <v>70400</v>
      </c>
      <c r="N8126" s="119"/>
      <c r="O8126" s="118">
        <v>0</v>
      </c>
      <c r="P8126" s="119"/>
      <c r="Q8126" s="118">
        <v>20420</v>
      </c>
      <c r="R8126" s="119"/>
      <c r="S8126" s="118">
        <v>11000</v>
      </c>
      <c r="T8126" s="119"/>
      <c r="U8126" s="118">
        <f t="shared" ref="U8126" si="12154">SUM(K8126:T8127)</f>
        <v>805820</v>
      </c>
      <c r="V8126" s="122"/>
      <c r="W8126" s="124"/>
      <c r="X8126" s="126" t="s">
        <v>23879</v>
      </c>
      <c r="Y8126" s="127"/>
      <c r="Z8126" s="127"/>
      <c r="AA8126" s="127"/>
      <c r="AB8126" s="128"/>
      <c r="AC8126" s="15" t="s">
        <v>20</v>
      </c>
      <c r="AD8126" s="129" t="s">
        <v>23338</v>
      </c>
      <c r="AE8126" s="130"/>
      <c r="AF8126" s="130"/>
      <c r="AG8126" s="130"/>
      <c r="AH8126" s="130"/>
      <c r="AI8126" s="131"/>
      <c r="AJ8126" s="132"/>
      <c r="AK8126" s="127"/>
      <c r="AL8126" s="128"/>
      <c r="AM8126" s="21"/>
      <c r="AN8126" s="133">
        <v>46144</v>
      </c>
      <c r="AO8126" s="134"/>
      <c r="AP8126" s="135">
        <v>1299</v>
      </c>
      <c r="AQ8126" s="136"/>
      <c r="AR8126" s="118">
        <v>810000</v>
      </c>
      <c r="AS8126" s="119"/>
      <c r="AT8126" s="118">
        <f t="shared" ref="AT8126" si="12155">AR8126*0.1</f>
        <v>81000</v>
      </c>
      <c r="AU8126" s="119"/>
      <c r="AV8126" s="118">
        <v>20420</v>
      </c>
      <c r="AW8126" s="119"/>
      <c r="AX8126" s="118">
        <f t="shared" ref="AX8126" si="12156">SUM(AR8126:AW8126)</f>
        <v>911420</v>
      </c>
      <c r="AY8126" s="119"/>
      <c r="AZ8126" s="137">
        <v>46154</v>
      </c>
    </row>
    <row r="8127" spans="1:52" ht="17.100000000000001" customHeight="1" thickBot="1">
      <c r="A8127" s="110"/>
      <c r="B8127" s="27" t="s">
        <v>83</v>
      </c>
      <c r="C8127" s="27">
        <v>34518</v>
      </c>
      <c r="D8127" s="14" t="s">
        <v>2601</v>
      </c>
      <c r="E8127" s="112"/>
      <c r="F8127" s="139" t="s">
        <v>22961</v>
      </c>
      <c r="G8127" s="140"/>
      <c r="H8127" s="141"/>
      <c r="I8127" s="26">
        <v>26292</v>
      </c>
      <c r="J8127" s="117"/>
      <c r="K8127" s="120"/>
      <c r="L8127" s="121"/>
      <c r="M8127" s="120"/>
      <c r="N8127" s="121"/>
      <c r="O8127" s="120"/>
      <c r="P8127" s="121"/>
      <c r="Q8127" s="120"/>
      <c r="R8127" s="121"/>
      <c r="S8127" s="120"/>
      <c r="T8127" s="121"/>
      <c r="U8127" s="120"/>
      <c r="V8127" s="123"/>
      <c r="W8127" s="125"/>
      <c r="X8127" s="142" t="s">
        <v>1844</v>
      </c>
      <c r="Y8127" s="143"/>
      <c r="Z8127" s="143"/>
      <c r="AA8127" s="143"/>
      <c r="AB8127" s="144"/>
      <c r="AC8127" s="16" t="s">
        <v>21</v>
      </c>
      <c r="AD8127" s="17" t="s">
        <v>23859</v>
      </c>
      <c r="AE8127" s="145" t="s">
        <v>1614</v>
      </c>
      <c r="AF8127" s="146"/>
      <c r="AG8127" s="146"/>
      <c r="AH8127" s="146"/>
      <c r="AI8127" s="147"/>
      <c r="AJ8127" s="148"/>
      <c r="AK8127" s="143"/>
      <c r="AL8127" s="144"/>
      <c r="AM8127" s="22"/>
      <c r="AN8127" s="149" t="s">
        <v>25047</v>
      </c>
      <c r="AO8127" s="144"/>
      <c r="AP8127" s="148">
        <v>80230</v>
      </c>
      <c r="AQ8127" s="144"/>
      <c r="AR8127" s="120"/>
      <c r="AS8127" s="121"/>
      <c r="AT8127" s="120"/>
      <c r="AU8127" s="121"/>
      <c r="AV8127" s="120"/>
      <c r="AW8127" s="121"/>
      <c r="AX8127" s="120"/>
      <c r="AY8127" s="121"/>
      <c r="AZ8127" s="138"/>
    </row>
    <row r="8128" spans="1:52" ht="17.100000000000001" customHeight="1" thickTop="1">
      <c r="A8128" s="109" t="s">
        <v>22994</v>
      </c>
      <c r="B8128" s="28">
        <v>46125</v>
      </c>
      <c r="C8128" s="25">
        <v>2089</v>
      </c>
      <c r="D8128" s="13" t="s">
        <v>2500</v>
      </c>
      <c r="E8128" s="111"/>
      <c r="F8128" s="113" t="s">
        <v>22962</v>
      </c>
      <c r="G8128" s="114"/>
      <c r="H8128" s="115"/>
      <c r="I8128" s="24" t="s">
        <v>1547</v>
      </c>
      <c r="J8128" s="116">
        <v>4.5</v>
      </c>
      <c r="K8128" s="118">
        <v>173000</v>
      </c>
      <c r="L8128" s="119"/>
      <c r="M8128" s="118">
        <f t="shared" ref="M8128" si="12157">K8128*0.1</f>
        <v>17300</v>
      </c>
      <c r="N8128" s="119"/>
      <c r="O8128" s="118">
        <f>36200+3620</f>
        <v>39820</v>
      </c>
      <c r="P8128" s="119"/>
      <c r="Q8128" s="118">
        <v>17550</v>
      </c>
      <c r="R8128" s="119"/>
      <c r="S8128" s="118">
        <v>11000</v>
      </c>
      <c r="T8128" s="119"/>
      <c r="U8128" s="118">
        <f t="shared" ref="U8128" si="12158">SUM(K8128:T8129)</f>
        <v>258670</v>
      </c>
      <c r="V8128" s="122"/>
      <c r="W8128" s="124"/>
      <c r="X8128" s="126" t="s">
        <v>22964</v>
      </c>
      <c r="Y8128" s="127"/>
      <c r="Z8128" s="127"/>
      <c r="AA8128" s="127"/>
      <c r="AB8128" s="128"/>
      <c r="AC8128" s="15" t="s">
        <v>20</v>
      </c>
      <c r="AD8128" s="129" t="s">
        <v>22965</v>
      </c>
      <c r="AE8128" s="130"/>
      <c r="AF8128" s="130"/>
      <c r="AG8128" s="130"/>
      <c r="AH8128" s="130"/>
      <c r="AI8128" s="131"/>
      <c r="AJ8128" s="132"/>
      <c r="AK8128" s="127"/>
      <c r="AL8128" s="128"/>
      <c r="AM8128" s="21"/>
      <c r="AN8128" s="133">
        <v>46137</v>
      </c>
      <c r="AO8128" s="134"/>
      <c r="AP8128" s="135">
        <v>1298</v>
      </c>
      <c r="AQ8128" s="136"/>
      <c r="AR8128" s="118">
        <v>280000</v>
      </c>
      <c r="AS8128" s="119"/>
      <c r="AT8128" s="118">
        <f t="shared" ref="AT8128" si="12159">AR8128*0.1</f>
        <v>28000</v>
      </c>
      <c r="AU8128" s="119"/>
      <c r="AV8128" s="118">
        <v>17550</v>
      </c>
      <c r="AW8128" s="119"/>
      <c r="AX8128" s="118">
        <f t="shared" ref="AX8128" si="12160">SUM(AR8128:AW8128)</f>
        <v>325550</v>
      </c>
      <c r="AY8128" s="119"/>
      <c r="AZ8128" s="137">
        <v>46154</v>
      </c>
    </row>
    <row r="8129" spans="1:52" ht="17.100000000000001" customHeight="1" thickBot="1">
      <c r="A8129" s="110"/>
      <c r="B8129" s="27" t="s">
        <v>83</v>
      </c>
      <c r="C8129" s="27">
        <v>34520</v>
      </c>
      <c r="D8129" s="14" t="s">
        <v>275</v>
      </c>
      <c r="E8129" s="112"/>
      <c r="F8129" s="139" t="s">
        <v>22963</v>
      </c>
      <c r="G8129" s="140"/>
      <c r="H8129" s="141"/>
      <c r="I8129" s="26">
        <v>71309</v>
      </c>
      <c r="J8129" s="117"/>
      <c r="K8129" s="120"/>
      <c r="L8129" s="121"/>
      <c r="M8129" s="120"/>
      <c r="N8129" s="121"/>
      <c r="O8129" s="120"/>
      <c r="P8129" s="121"/>
      <c r="Q8129" s="120"/>
      <c r="R8129" s="121"/>
      <c r="S8129" s="120"/>
      <c r="T8129" s="121"/>
      <c r="U8129" s="120"/>
      <c r="V8129" s="123"/>
      <c r="W8129" s="125"/>
      <c r="X8129" s="142" t="s">
        <v>23249</v>
      </c>
      <c r="Y8129" s="143"/>
      <c r="Z8129" s="143"/>
      <c r="AA8129" s="143"/>
      <c r="AB8129" s="144"/>
      <c r="AC8129" s="16" t="s">
        <v>21</v>
      </c>
      <c r="AD8129" s="17" t="s">
        <v>1952</v>
      </c>
      <c r="AE8129" s="145" t="s">
        <v>4102</v>
      </c>
      <c r="AF8129" s="146"/>
      <c r="AG8129" s="146"/>
      <c r="AH8129" s="146"/>
      <c r="AI8129" s="147"/>
      <c r="AJ8129" s="148"/>
      <c r="AK8129" s="143"/>
      <c r="AL8129" s="144"/>
      <c r="AM8129" s="22"/>
      <c r="AN8129" s="149" t="s">
        <v>6749</v>
      </c>
      <c r="AO8129" s="144"/>
      <c r="AP8129" s="148">
        <v>53383</v>
      </c>
      <c r="AQ8129" s="144"/>
      <c r="AR8129" s="120"/>
      <c r="AS8129" s="121"/>
      <c r="AT8129" s="120"/>
      <c r="AU8129" s="121"/>
      <c r="AV8129" s="120"/>
      <c r="AW8129" s="121"/>
      <c r="AX8129" s="120"/>
      <c r="AY8129" s="121"/>
      <c r="AZ8129" s="138"/>
    </row>
    <row r="8130" spans="1:52" ht="17.100000000000001" customHeight="1" thickTop="1">
      <c r="A8130" s="109" t="s">
        <v>22995</v>
      </c>
      <c r="B8130" s="28">
        <v>46125</v>
      </c>
      <c r="C8130" s="25">
        <v>2089</v>
      </c>
      <c r="D8130" s="13" t="s">
        <v>11570</v>
      </c>
      <c r="E8130" s="111"/>
      <c r="F8130" s="113" t="s">
        <v>22966</v>
      </c>
      <c r="G8130" s="114"/>
      <c r="H8130" s="115"/>
      <c r="I8130" s="24" t="s">
        <v>2571</v>
      </c>
      <c r="J8130" s="116">
        <v>4</v>
      </c>
      <c r="K8130" s="118">
        <v>264000</v>
      </c>
      <c r="L8130" s="119"/>
      <c r="M8130" s="118">
        <f t="shared" ref="M8130" si="12161">K8130*0.1</f>
        <v>26400</v>
      </c>
      <c r="N8130" s="119"/>
      <c r="O8130" s="118">
        <f>36200+3620</f>
        <v>39820</v>
      </c>
      <c r="P8130" s="119"/>
      <c r="Q8130" s="118">
        <v>17820</v>
      </c>
      <c r="R8130" s="119"/>
      <c r="S8130" s="118">
        <v>11000</v>
      </c>
      <c r="T8130" s="119"/>
      <c r="U8130" s="118">
        <f t="shared" ref="U8130" si="12162">SUM(K8130:T8131)</f>
        <v>359040</v>
      </c>
      <c r="V8130" s="122"/>
      <c r="W8130" s="124"/>
      <c r="X8130" s="126" t="s">
        <v>22968</v>
      </c>
      <c r="Y8130" s="127"/>
      <c r="Z8130" s="127"/>
      <c r="AA8130" s="127"/>
      <c r="AB8130" s="128"/>
      <c r="AC8130" s="15" t="s">
        <v>20</v>
      </c>
      <c r="AD8130" s="129" t="s">
        <v>171</v>
      </c>
      <c r="AE8130" s="130"/>
      <c r="AF8130" s="130"/>
      <c r="AG8130" s="130"/>
      <c r="AH8130" s="130"/>
      <c r="AI8130" s="131"/>
      <c r="AJ8130" s="132"/>
      <c r="AK8130" s="127"/>
      <c r="AL8130" s="128"/>
      <c r="AM8130" s="21"/>
      <c r="AN8130" s="133">
        <v>46130</v>
      </c>
      <c r="AO8130" s="134"/>
      <c r="AP8130" s="135">
        <v>1297</v>
      </c>
      <c r="AQ8130" s="136"/>
      <c r="AR8130" s="118">
        <v>390000</v>
      </c>
      <c r="AS8130" s="119"/>
      <c r="AT8130" s="118">
        <f t="shared" ref="AT8130" si="12163">AR8130*0.1</f>
        <v>39000</v>
      </c>
      <c r="AU8130" s="119"/>
      <c r="AV8130" s="118">
        <v>17820</v>
      </c>
      <c r="AW8130" s="119"/>
      <c r="AX8130" s="118">
        <f t="shared" ref="AX8130" si="12164">SUM(AR8130:AW8130)</f>
        <v>446820</v>
      </c>
      <c r="AY8130" s="119"/>
      <c r="AZ8130" s="137">
        <v>46133</v>
      </c>
    </row>
    <row r="8131" spans="1:52" ht="17.100000000000001" customHeight="1" thickBot="1">
      <c r="A8131" s="110"/>
      <c r="B8131" s="27" t="s">
        <v>83</v>
      </c>
      <c r="C8131" s="27">
        <v>34526</v>
      </c>
      <c r="D8131" s="14" t="s">
        <v>1576</v>
      </c>
      <c r="E8131" s="112"/>
      <c r="F8131" s="139" t="s">
        <v>22967</v>
      </c>
      <c r="G8131" s="140"/>
      <c r="H8131" s="141"/>
      <c r="I8131" s="26">
        <v>49041</v>
      </c>
      <c r="J8131" s="117"/>
      <c r="K8131" s="120"/>
      <c r="L8131" s="121"/>
      <c r="M8131" s="120"/>
      <c r="N8131" s="121"/>
      <c r="O8131" s="120"/>
      <c r="P8131" s="121"/>
      <c r="Q8131" s="120"/>
      <c r="R8131" s="121"/>
      <c r="S8131" s="120"/>
      <c r="T8131" s="121"/>
      <c r="U8131" s="120"/>
      <c r="V8131" s="123"/>
      <c r="W8131" s="125"/>
      <c r="X8131" s="142" t="s">
        <v>14359</v>
      </c>
      <c r="Y8131" s="143"/>
      <c r="Z8131" s="143"/>
      <c r="AA8131" s="143"/>
      <c r="AB8131" s="144"/>
      <c r="AC8131" s="16" t="s">
        <v>21</v>
      </c>
      <c r="AD8131" s="17" t="s">
        <v>3711</v>
      </c>
      <c r="AE8131" s="145" t="s">
        <v>171</v>
      </c>
      <c r="AF8131" s="146"/>
      <c r="AG8131" s="146"/>
      <c r="AH8131" s="146"/>
      <c r="AI8131" s="147"/>
      <c r="AJ8131" s="148"/>
      <c r="AK8131" s="143"/>
      <c r="AL8131" s="144"/>
      <c r="AM8131" s="22"/>
      <c r="AN8131" s="149" t="s">
        <v>2511</v>
      </c>
      <c r="AO8131" s="144"/>
      <c r="AP8131" s="148">
        <v>80348</v>
      </c>
      <c r="AQ8131" s="144"/>
      <c r="AR8131" s="120"/>
      <c r="AS8131" s="121"/>
      <c r="AT8131" s="120"/>
      <c r="AU8131" s="121"/>
      <c r="AV8131" s="120"/>
      <c r="AW8131" s="121"/>
      <c r="AX8131" s="120"/>
      <c r="AY8131" s="121"/>
      <c r="AZ8131" s="138"/>
    </row>
    <row r="8132" spans="1:52" ht="17.100000000000001" customHeight="1" thickTop="1">
      <c r="A8132" s="109" t="s">
        <v>22996</v>
      </c>
      <c r="B8132" s="28">
        <v>46125</v>
      </c>
      <c r="C8132" s="25">
        <v>2089</v>
      </c>
      <c r="D8132" s="13" t="s">
        <v>1870</v>
      </c>
      <c r="E8132" s="111"/>
      <c r="F8132" s="113" t="s">
        <v>22969</v>
      </c>
      <c r="G8132" s="114"/>
      <c r="H8132" s="115"/>
      <c r="I8132" s="24"/>
      <c r="J8132" s="116">
        <v>4.5</v>
      </c>
      <c r="K8132" s="118">
        <v>850000</v>
      </c>
      <c r="L8132" s="119"/>
      <c r="M8132" s="118">
        <f t="shared" ref="M8132" si="12165">K8132*0.1</f>
        <v>85000</v>
      </c>
      <c r="N8132" s="119"/>
      <c r="O8132" s="118">
        <v>0</v>
      </c>
      <c r="P8132" s="119"/>
      <c r="Q8132" s="118">
        <v>15160</v>
      </c>
      <c r="R8132" s="119"/>
      <c r="S8132" s="118">
        <v>11000</v>
      </c>
      <c r="T8132" s="119"/>
      <c r="U8132" s="118">
        <f t="shared" ref="U8132" si="12166">SUM(K8132:T8133)</f>
        <v>961160</v>
      </c>
      <c r="V8132" s="122"/>
      <c r="W8132" s="124"/>
      <c r="X8132" s="126" t="s">
        <v>23470</v>
      </c>
      <c r="Y8132" s="127"/>
      <c r="Z8132" s="127"/>
      <c r="AA8132" s="127"/>
      <c r="AB8132" s="128"/>
      <c r="AC8132" s="15" t="s">
        <v>20</v>
      </c>
      <c r="AD8132" s="129" t="s">
        <v>1742</v>
      </c>
      <c r="AE8132" s="130"/>
      <c r="AF8132" s="130"/>
      <c r="AG8132" s="130"/>
      <c r="AH8132" s="130"/>
      <c r="AI8132" s="131"/>
      <c r="AJ8132" s="132"/>
      <c r="AK8132" s="127"/>
      <c r="AL8132" s="128"/>
      <c r="AM8132" s="21"/>
      <c r="AN8132" s="133">
        <v>46144</v>
      </c>
      <c r="AO8132" s="134"/>
      <c r="AP8132" s="135">
        <v>1299</v>
      </c>
      <c r="AQ8132" s="136"/>
      <c r="AR8132" s="118">
        <v>895000</v>
      </c>
      <c r="AS8132" s="119"/>
      <c r="AT8132" s="118">
        <f t="shared" ref="AT8132" si="12167">AR8132*0.1</f>
        <v>89500</v>
      </c>
      <c r="AU8132" s="119"/>
      <c r="AV8132" s="118">
        <v>15160</v>
      </c>
      <c r="AW8132" s="119"/>
      <c r="AX8132" s="118">
        <f t="shared" ref="AX8132" si="12168">SUM(AR8132:AW8132)</f>
        <v>999660</v>
      </c>
      <c r="AY8132" s="119"/>
      <c r="AZ8132" s="137">
        <v>46154</v>
      </c>
    </row>
    <row r="8133" spans="1:52" ht="17.100000000000001" customHeight="1" thickBot="1">
      <c r="A8133" s="110"/>
      <c r="B8133" s="27" t="s">
        <v>83</v>
      </c>
      <c r="C8133" s="27">
        <v>36026</v>
      </c>
      <c r="D8133" s="14" t="s">
        <v>1720</v>
      </c>
      <c r="E8133" s="112"/>
      <c r="F8133" s="139" t="s">
        <v>22970</v>
      </c>
      <c r="G8133" s="140"/>
      <c r="H8133" s="141"/>
      <c r="I8133" s="26">
        <v>20046</v>
      </c>
      <c r="J8133" s="117"/>
      <c r="K8133" s="120"/>
      <c r="L8133" s="121"/>
      <c r="M8133" s="120"/>
      <c r="N8133" s="121"/>
      <c r="O8133" s="120"/>
      <c r="P8133" s="121"/>
      <c r="Q8133" s="120"/>
      <c r="R8133" s="121"/>
      <c r="S8133" s="120"/>
      <c r="T8133" s="121"/>
      <c r="U8133" s="120"/>
      <c r="V8133" s="123"/>
      <c r="W8133" s="125"/>
      <c r="X8133" s="142" t="s">
        <v>9129</v>
      </c>
      <c r="Y8133" s="143"/>
      <c r="Z8133" s="143"/>
      <c r="AA8133" s="143"/>
      <c r="AB8133" s="144"/>
      <c r="AC8133" s="16" t="s">
        <v>21</v>
      </c>
      <c r="AD8133" s="17" t="s">
        <v>3711</v>
      </c>
      <c r="AE8133" s="145" t="s">
        <v>1742</v>
      </c>
      <c r="AF8133" s="146"/>
      <c r="AG8133" s="146"/>
      <c r="AH8133" s="146"/>
      <c r="AI8133" s="147"/>
      <c r="AJ8133" s="148"/>
      <c r="AK8133" s="143"/>
      <c r="AL8133" s="144"/>
      <c r="AM8133" s="22"/>
      <c r="AN8133" s="149" t="s">
        <v>25047</v>
      </c>
      <c r="AO8133" s="144"/>
      <c r="AP8133" s="148">
        <v>80216</v>
      </c>
      <c r="AQ8133" s="144"/>
      <c r="AR8133" s="120"/>
      <c r="AS8133" s="121"/>
      <c r="AT8133" s="120"/>
      <c r="AU8133" s="121"/>
      <c r="AV8133" s="120"/>
      <c r="AW8133" s="121"/>
      <c r="AX8133" s="120"/>
      <c r="AY8133" s="121"/>
      <c r="AZ8133" s="138"/>
    </row>
    <row r="8134" spans="1:52" ht="17.100000000000001" customHeight="1" thickTop="1">
      <c r="A8134" s="109" t="s">
        <v>22997</v>
      </c>
      <c r="B8134" s="28">
        <v>46125</v>
      </c>
      <c r="C8134" s="25"/>
      <c r="D8134" s="13" t="s">
        <v>1977</v>
      </c>
      <c r="E8134" s="111"/>
      <c r="F8134" s="113" t="s">
        <v>23321</v>
      </c>
      <c r="G8134" s="114"/>
      <c r="H8134" s="115"/>
      <c r="I8134" s="24"/>
      <c r="J8134" s="116">
        <v>4</v>
      </c>
      <c r="K8134" s="118">
        <v>1442000</v>
      </c>
      <c r="L8134" s="119"/>
      <c r="M8134" s="118">
        <f t="shared" ref="M8134" si="12169">K8134*0.1</f>
        <v>144200</v>
      </c>
      <c r="N8134" s="119"/>
      <c r="O8134" s="118">
        <v>0</v>
      </c>
      <c r="P8134" s="119"/>
      <c r="Q8134" s="118">
        <v>18930</v>
      </c>
      <c r="R8134" s="119"/>
      <c r="S8134" s="118">
        <v>14850</v>
      </c>
      <c r="T8134" s="119"/>
      <c r="U8134" s="118">
        <f t="shared" ref="U8134" si="12170">SUM(K8134:T8135)</f>
        <v>1619980</v>
      </c>
      <c r="V8134" s="122"/>
      <c r="W8134" s="124"/>
      <c r="X8134" s="126" t="s">
        <v>23323</v>
      </c>
      <c r="Y8134" s="127"/>
      <c r="Z8134" s="127"/>
      <c r="AA8134" s="127"/>
      <c r="AB8134" s="128"/>
      <c r="AC8134" s="15" t="s">
        <v>20</v>
      </c>
      <c r="AD8134" s="129" t="s">
        <v>18023</v>
      </c>
      <c r="AE8134" s="130"/>
      <c r="AF8134" s="130"/>
      <c r="AG8134" s="130"/>
      <c r="AH8134" s="130"/>
      <c r="AI8134" s="131"/>
      <c r="AJ8134" s="132"/>
      <c r="AK8134" s="127"/>
      <c r="AL8134" s="128"/>
      <c r="AM8134" s="21"/>
      <c r="AN8134" s="133">
        <v>46130</v>
      </c>
      <c r="AO8134" s="134"/>
      <c r="AP8134" s="135">
        <v>1297</v>
      </c>
      <c r="AQ8134" s="136"/>
      <c r="AR8134" s="118">
        <v>1565000</v>
      </c>
      <c r="AS8134" s="119"/>
      <c r="AT8134" s="118">
        <f t="shared" ref="AT8134" si="12171">AR8134*0.1</f>
        <v>156500</v>
      </c>
      <c r="AU8134" s="119"/>
      <c r="AV8134" s="118">
        <v>18930</v>
      </c>
      <c r="AW8134" s="119"/>
      <c r="AX8134" s="118">
        <f t="shared" ref="AX8134" si="12172">SUM(AR8134:AW8134)</f>
        <v>1740430</v>
      </c>
      <c r="AY8134" s="119"/>
      <c r="AZ8134" s="137">
        <v>46135</v>
      </c>
    </row>
    <row r="8135" spans="1:52" ht="17.100000000000001" customHeight="1" thickBot="1">
      <c r="A8135" s="110"/>
      <c r="B8135" s="27" t="s">
        <v>8858</v>
      </c>
      <c r="C8135" s="27">
        <v>60101</v>
      </c>
      <c r="D8135" s="14" t="s">
        <v>133</v>
      </c>
      <c r="E8135" s="112"/>
      <c r="F8135" s="139" t="s">
        <v>23322</v>
      </c>
      <c r="G8135" s="140"/>
      <c r="H8135" s="141"/>
      <c r="I8135" s="26">
        <v>37010</v>
      </c>
      <c r="J8135" s="117"/>
      <c r="K8135" s="120"/>
      <c r="L8135" s="121"/>
      <c r="M8135" s="120"/>
      <c r="N8135" s="121"/>
      <c r="O8135" s="120"/>
      <c r="P8135" s="121"/>
      <c r="Q8135" s="120"/>
      <c r="R8135" s="121"/>
      <c r="S8135" s="120"/>
      <c r="T8135" s="121"/>
      <c r="U8135" s="120"/>
      <c r="V8135" s="123"/>
      <c r="W8135" s="125"/>
      <c r="X8135" s="142" t="s">
        <v>2947</v>
      </c>
      <c r="Y8135" s="143"/>
      <c r="Z8135" s="143"/>
      <c r="AA8135" s="143"/>
      <c r="AB8135" s="144"/>
      <c r="AC8135" s="16" t="s">
        <v>21</v>
      </c>
      <c r="AD8135" s="17" t="s">
        <v>23320</v>
      </c>
      <c r="AE8135" s="145" t="s">
        <v>2441</v>
      </c>
      <c r="AF8135" s="146"/>
      <c r="AG8135" s="146"/>
      <c r="AH8135" s="146"/>
      <c r="AI8135" s="147"/>
      <c r="AJ8135" s="148"/>
      <c r="AK8135" s="143"/>
      <c r="AL8135" s="144"/>
      <c r="AM8135" s="22"/>
      <c r="AN8135" s="149" t="s">
        <v>2511</v>
      </c>
      <c r="AO8135" s="144"/>
      <c r="AP8135" s="148">
        <v>80428</v>
      </c>
      <c r="AQ8135" s="144"/>
      <c r="AR8135" s="120"/>
      <c r="AS8135" s="121"/>
      <c r="AT8135" s="120"/>
      <c r="AU8135" s="121"/>
      <c r="AV8135" s="120"/>
      <c r="AW8135" s="121"/>
      <c r="AX8135" s="120"/>
      <c r="AY8135" s="121"/>
      <c r="AZ8135" s="138"/>
    </row>
    <row r="8136" spans="1:52" ht="17.100000000000001" customHeight="1" thickTop="1">
      <c r="A8136" s="109" t="s">
        <v>23000</v>
      </c>
      <c r="B8136" s="28">
        <v>46125</v>
      </c>
      <c r="C8136" s="25"/>
      <c r="D8136" s="13" t="s">
        <v>2036</v>
      </c>
      <c r="E8136" s="111"/>
      <c r="F8136" s="113" t="s">
        <v>22973</v>
      </c>
      <c r="G8136" s="114"/>
      <c r="H8136" s="115"/>
      <c r="I8136" s="24" t="s">
        <v>3509</v>
      </c>
      <c r="J8136" s="116">
        <v>4.5</v>
      </c>
      <c r="K8136" s="118">
        <f>819500/1.1</f>
        <v>744999.99999999988</v>
      </c>
      <c r="L8136" s="119"/>
      <c r="M8136" s="118">
        <f t="shared" ref="M8136" si="12173">K8136*0.1</f>
        <v>74499.999999999985</v>
      </c>
      <c r="N8136" s="119"/>
      <c r="O8136" s="118">
        <v>0</v>
      </c>
      <c r="P8136" s="119"/>
      <c r="Q8136" s="118">
        <v>5690</v>
      </c>
      <c r="R8136" s="119"/>
      <c r="S8136" s="118">
        <v>0</v>
      </c>
      <c r="T8136" s="119"/>
      <c r="U8136" s="118">
        <f t="shared" ref="U8136" si="12174">SUM(K8136:T8137)</f>
        <v>825189.99999999988</v>
      </c>
      <c r="V8136" s="122"/>
      <c r="W8136" s="124"/>
      <c r="X8136" s="126" t="s">
        <v>25638</v>
      </c>
      <c r="Y8136" s="127"/>
      <c r="Z8136" s="127"/>
      <c r="AA8136" s="127"/>
      <c r="AB8136" s="128"/>
      <c r="AC8136" s="15" t="s">
        <v>20</v>
      </c>
      <c r="AD8136" s="129" t="s">
        <v>171</v>
      </c>
      <c r="AE8136" s="130"/>
      <c r="AF8136" s="130"/>
      <c r="AG8136" s="130"/>
      <c r="AH8136" s="130"/>
      <c r="AI8136" s="131"/>
      <c r="AJ8136" s="132"/>
      <c r="AK8136" s="127"/>
      <c r="AL8136" s="128"/>
      <c r="AM8136" s="21"/>
      <c r="AN8136" s="133"/>
      <c r="AO8136" s="134"/>
      <c r="AP8136" s="135"/>
      <c r="AQ8136" s="136"/>
      <c r="AR8136" s="118"/>
      <c r="AS8136" s="119"/>
      <c r="AT8136" s="118">
        <f t="shared" ref="AT8136" si="12175">AR8136*0.1</f>
        <v>0</v>
      </c>
      <c r="AU8136" s="119"/>
      <c r="AV8136" s="118"/>
      <c r="AW8136" s="119"/>
      <c r="AX8136" s="118">
        <f t="shared" ref="AX8136" si="12176">SUM(AR8136:AW8136)</f>
        <v>0</v>
      </c>
      <c r="AY8136" s="119"/>
      <c r="AZ8136" s="137"/>
    </row>
    <row r="8137" spans="1:52" ht="17.100000000000001" customHeight="1" thickBot="1">
      <c r="A8137" s="110"/>
      <c r="B8137" s="27" t="s">
        <v>1718</v>
      </c>
      <c r="C8137" s="27" t="s">
        <v>22972</v>
      </c>
      <c r="D8137" s="14" t="s">
        <v>275</v>
      </c>
      <c r="E8137" s="112"/>
      <c r="F8137" s="139" t="s">
        <v>22974</v>
      </c>
      <c r="G8137" s="140"/>
      <c r="H8137" s="141"/>
      <c r="I8137" s="26">
        <v>20657</v>
      </c>
      <c r="J8137" s="117"/>
      <c r="K8137" s="120"/>
      <c r="L8137" s="121"/>
      <c r="M8137" s="120"/>
      <c r="N8137" s="121"/>
      <c r="O8137" s="120"/>
      <c r="P8137" s="121"/>
      <c r="Q8137" s="120"/>
      <c r="R8137" s="121"/>
      <c r="S8137" s="120"/>
      <c r="T8137" s="121"/>
      <c r="U8137" s="120"/>
      <c r="V8137" s="123"/>
      <c r="W8137" s="125"/>
      <c r="X8137" s="142" t="s">
        <v>25639</v>
      </c>
      <c r="Y8137" s="143"/>
      <c r="Z8137" s="143"/>
      <c r="AA8137" s="143"/>
      <c r="AB8137" s="144"/>
      <c r="AC8137" s="16" t="s">
        <v>21</v>
      </c>
      <c r="AD8137" s="17" t="s">
        <v>2730</v>
      </c>
      <c r="AE8137" s="145" t="s">
        <v>171</v>
      </c>
      <c r="AF8137" s="146"/>
      <c r="AG8137" s="146"/>
      <c r="AH8137" s="146"/>
      <c r="AI8137" s="147"/>
      <c r="AJ8137" s="148"/>
      <c r="AK8137" s="143"/>
      <c r="AL8137" s="144"/>
      <c r="AM8137" s="22"/>
      <c r="AN8137" s="149"/>
      <c r="AO8137" s="144"/>
      <c r="AP8137" s="148"/>
      <c r="AQ8137" s="144"/>
      <c r="AR8137" s="120"/>
      <c r="AS8137" s="121"/>
      <c r="AT8137" s="120"/>
      <c r="AU8137" s="121"/>
      <c r="AV8137" s="120"/>
      <c r="AW8137" s="121"/>
      <c r="AX8137" s="120"/>
      <c r="AY8137" s="121"/>
      <c r="AZ8137" s="138"/>
    </row>
    <row r="8138" spans="1:52" ht="17.100000000000001" customHeight="1" thickTop="1">
      <c r="A8138" s="109" t="s">
        <v>23001</v>
      </c>
      <c r="B8138" s="28">
        <v>46125</v>
      </c>
      <c r="C8138" s="25"/>
      <c r="D8138" s="13" t="s">
        <v>2697</v>
      </c>
      <c r="E8138" s="111"/>
      <c r="F8138" s="113" t="s">
        <v>8215</v>
      </c>
      <c r="G8138" s="114"/>
      <c r="H8138" s="115"/>
      <c r="I8138" s="24" t="s">
        <v>22977</v>
      </c>
      <c r="J8138" s="116">
        <v>5</v>
      </c>
      <c r="K8138" s="118">
        <f>5753000/1.1</f>
        <v>5230000</v>
      </c>
      <c r="L8138" s="119"/>
      <c r="M8138" s="118">
        <f t="shared" ref="M8138" si="12177">K8138*0.1</f>
        <v>523000</v>
      </c>
      <c r="N8138" s="119"/>
      <c r="O8138" s="118">
        <v>41600</v>
      </c>
      <c r="P8138" s="119"/>
      <c r="Q8138" s="118">
        <v>14230</v>
      </c>
      <c r="R8138" s="119"/>
      <c r="S8138" s="118">
        <v>0</v>
      </c>
      <c r="T8138" s="119"/>
      <c r="U8138" s="118">
        <f t="shared" ref="U8138" si="12178">SUM(K8138:T8139)</f>
        <v>5808830</v>
      </c>
      <c r="V8138" s="122"/>
      <c r="W8138" s="124"/>
      <c r="X8138" s="126" t="s">
        <v>24047</v>
      </c>
      <c r="Y8138" s="127"/>
      <c r="Z8138" s="127"/>
      <c r="AA8138" s="127"/>
      <c r="AB8138" s="128"/>
      <c r="AC8138" s="15" t="s">
        <v>20</v>
      </c>
      <c r="AD8138" s="129" t="s">
        <v>1732</v>
      </c>
      <c r="AE8138" s="130"/>
      <c r="AF8138" s="130"/>
      <c r="AG8138" s="130"/>
      <c r="AH8138" s="130"/>
      <c r="AI8138" s="131"/>
      <c r="AJ8138" s="132"/>
      <c r="AK8138" s="127"/>
      <c r="AL8138" s="128"/>
      <c r="AM8138" s="21"/>
      <c r="AN8138" s="133">
        <v>46155</v>
      </c>
      <c r="AO8138" s="134"/>
      <c r="AP8138" s="135">
        <v>1016</v>
      </c>
      <c r="AQ8138" s="136"/>
      <c r="AR8138" s="118">
        <v>5385000</v>
      </c>
      <c r="AS8138" s="119"/>
      <c r="AT8138" s="118">
        <f t="shared" ref="AT8138" si="12179">AR8138*0.1</f>
        <v>538500</v>
      </c>
      <c r="AU8138" s="119"/>
      <c r="AV8138" s="118">
        <v>14230</v>
      </c>
      <c r="AW8138" s="119"/>
      <c r="AX8138" s="118">
        <f t="shared" ref="AX8138" si="12180">SUM(AR8138:AW8138)</f>
        <v>5937730</v>
      </c>
      <c r="AY8138" s="119"/>
      <c r="AZ8138" s="137">
        <v>46160</v>
      </c>
    </row>
    <row r="8139" spans="1:52" ht="17.100000000000001" customHeight="1" thickBot="1">
      <c r="A8139" s="110"/>
      <c r="B8139" s="27" t="s">
        <v>1718</v>
      </c>
      <c r="C8139" s="27" t="s">
        <v>22975</v>
      </c>
      <c r="D8139" s="14" t="s">
        <v>1592</v>
      </c>
      <c r="E8139" s="112"/>
      <c r="F8139" s="139" t="s">
        <v>22976</v>
      </c>
      <c r="G8139" s="140"/>
      <c r="H8139" s="141"/>
      <c r="I8139" s="26">
        <v>2690</v>
      </c>
      <c r="J8139" s="117"/>
      <c r="K8139" s="120"/>
      <c r="L8139" s="121"/>
      <c r="M8139" s="120"/>
      <c r="N8139" s="121"/>
      <c r="O8139" s="120"/>
      <c r="P8139" s="121"/>
      <c r="Q8139" s="120"/>
      <c r="R8139" s="121"/>
      <c r="S8139" s="120"/>
      <c r="T8139" s="121"/>
      <c r="U8139" s="120"/>
      <c r="V8139" s="123"/>
      <c r="W8139" s="125"/>
      <c r="X8139" s="142" t="s">
        <v>24048</v>
      </c>
      <c r="Y8139" s="143"/>
      <c r="Z8139" s="143"/>
      <c r="AA8139" s="143"/>
      <c r="AB8139" s="144"/>
      <c r="AC8139" s="16" t="s">
        <v>21</v>
      </c>
      <c r="AD8139" s="17" t="s">
        <v>24016</v>
      </c>
      <c r="AE8139" s="145" t="s">
        <v>24049</v>
      </c>
      <c r="AF8139" s="146"/>
      <c r="AG8139" s="146"/>
      <c r="AH8139" s="146"/>
      <c r="AI8139" s="147"/>
      <c r="AJ8139" s="148"/>
      <c r="AK8139" s="143"/>
      <c r="AL8139" s="144"/>
      <c r="AM8139" s="22"/>
      <c r="AN8139" s="149" t="s">
        <v>2794</v>
      </c>
      <c r="AO8139" s="144"/>
      <c r="AP8139" s="148">
        <v>1023</v>
      </c>
      <c r="AQ8139" s="144"/>
      <c r="AR8139" s="120"/>
      <c r="AS8139" s="121"/>
      <c r="AT8139" s="120"/>
      <c r="AU8139" s="121"/>
      <c r="AV8139" s="120"/>
      <c r="AW8139" s="121"/>
      <c r="AX8139" s="120"/>
      <c r="AY8139" s="121"/>
      <c r="AZ8139" s="138"/>
    </row>
    <row r="8140" spans="1:52" ht="17.100000000000001" customHeight="1" thickTop="1">
      <c r="A8140" s="109" t="s">
        <v>23002</v>
      </c>
      <c r="B8140" s="28">
        <v>46125</v>
      </c>
      <c r="C8140" s="25"/>
      <c r="D8140" s="13" t="s">
        <v>23013</v>
      </c>
      <c r="E8140" s="111"/>
      <c r="F8140" s="113" t="s">
        <v>8215</v>
      </c>
      <c r="G8140" s="114"/>
      <c r="H8140" s="115"/>
      <c r="I8140" s="24" t="s">
        <v>23015</v>
      </c>
      <c r="J8140" s="116">
        <v>4.5</v>
      </c>
      <c r="K8140" s="118">
        <f>7205000/1.1</f>
        <v>6549999.9999999991</v>
      </c>
      <c r="L8140" s="119"/>
      <c r="M8140" s="118">
        <f t="shared" ref="M8140" si="12181">K8140*0.1</f>
        <v>655000</v>
      </c>
      <c r="N8140" s="119"/>
      <c r="O8140" s="118">
        <v>41600</v>
      </c>
      <c r="P8140" s="119"/>
      <c r="Q8140" s="118">
        <v>0</v>
      </c>
      <c r="R8140" s="119"/>
      <c r="S8140" s="118">
        <v>14230</v>
      </c>
      <c r="T8140" s="119"/>
      <c r="U8140" s="118">
        <f t="shared" ref="U8140" si="12182">SUM(K8140:T8141)</f>
        <v>7260829.9999999991</v>
      </c>
      <c r="V8140" s="122"/>
      <c r="W8140" s="124"/>
      <c r="X8140" s="126" t="s">
        <v>25601</v>
      </c>
      <c r="Y8140" s="127"/>
      <c r="Z8140" s="127"/>
      <c r="AA8140" s="127"/>
      <c r="AB8140" s="128"/>
      <c r="AC8140" s="15" t="s">
        <v>20</v>
      </c>
      <c r="AD8140" s="129" t="s">
        <v>23016</v>
      </c>
      <c r="AE8140" s="130"/>
      <c r="AF8140" s="130"/>
      <c r="AG8140" s="130"/>
      <c r="AH8140" s="130"/>
      <c r="AI8140" s="131"/>
      <c r="AJ8140" s="132"/>
      <c r="AK8140" s="127"/>
      <c r="AL8140" s="128"/>
      <c r="AM8140" s="21"/>
      <c r="AN8140" s="133"/>
      <c r="AO8140" s="134"/>
      <c r="AP8140" s="135"/>
      <c r="AQ8140" s="136"/>
      <c r="AR8140" s="118"/>
      <c r="AS8140" s="119"/>
      <c r="AT8140" s="118">
        <f t="shared" ref="AT8140" si="12183">AR8140*0.1</f>
        <v>0</v>
      </c>
      <c r="AU8140" s="119"/>
      <c r="AV8140" s="118"/>
      <c r="AW8140" s="119"/>
      <c r="AX8140" s="118">
        <f t="shared" ref="AX8140" si="12184">SUM(AR8140:AW8140)</f>
        <v>0</v>
      </c>
      <c r="AY8140" s="119"/>
      <c r="AZ8140" s="137"/>
    </row>
    <row r="8141" spans="1:52" ht="17.100000000000001" customHeight="1" thickBot="1">
      <c r="A8141" s="110"/>
      <c r="B8141" s="27" t="s">
        <v>1718</v>
      </c>
      <c r="C8141" s="27" t="s">
        <v>22998</v>
      </c>
      <c r="D8141" s="14" t="s">
        <v>23014</v>
      </c>
      <c r="E8141" s="112"/>
      <c r="F8141" s="139" t="s">
        <v>22999</v>
      </c>
      <c r="G8141" s="140"/>
      <c r="H8141" s="141"/>
      <c r="I8141" s="26">
        <v>11664</v>
      </c>
      <c r="J8141" s="117"/>
      <c r="K8141" s="120"/>
      <c r="L8141" s="121"/>
      <c r="M8141" s="120"/>
      <c r="N8141" s="121"/>
      <c r="O8141" s="120"/>
      <c r="P8141" s="121"/>
      <c r="Q8141" s="120"/>
      <c r="R8141" s="121"/>
      <c r="S8141" s="120"/>
      <c r="T8141" s="121"/>
      <c r="U8141" s="120"/>
      <c r="V8141" s="123"/>
      <c r="W8141" s="125"/>
      <c r="X8141" s="142" t="s">
        <v>25602</v>
      </c>
      <c r="Y8141" s="143"/>
      <c r="Z8141" s="143"/>
      <c r="AA8141" s="143"/>
      <c r="AB8141" s="144"/>
      <c r="AC8141" s="16" t="s">
        <v>21</v>
      </c>
      <c r="AD8141" s="17" t="s">
        <v>3742</v>
      </c>
      <c r="AE8141" s="145" t="s">
        <v>25603</v>
      </c>
      <c r="AF8141" s="146"/>
      <c r="AG8141" s="146"/>
      <c r="AH8141" s="146"/>
      <c r="AI8141" s="147"/>
      <c r="AJ8141" s="148"/>
      <c r="AK8141" s="143"/>
      <c r="AL8141" s="144"/>
      <c r="AM8141" s="22"/>
      <c r="AN8141" s="149"/>
      <c r="AO8141" s="144"/>
      <c r="AP8141" s="148"/>
      <c r="AQ8141" s="144"/>
      <c r="AR8141" s="120"/>
      <c r="AS8141" s="121"/>
      <c r="AT8141" s="120"/>
      <c r="AU8141" s="121"/>
      <c r="AV8141" s="120"/>
      <c r="AW8141" s="121"/>
      <c r="AX8141" s="120"/>
      <c r="AY8141" s="121"/>
      <c r="AZ8141" s="138"/>
    </row>
    <row r="8142" spans="1:52" ht="17.100000000000001" customHeight="1" thickTop="1">
      <c r="A8142" s="109" t="s">
        <v>23003</v>
      </c>
      <c r="B8142" s="28">
        <v>46125</v>
      </c>
      <c r="C8142" s="25"/>
      <c r="D8142" s="13" t="s">
        <v>2654</v>
      </c>
      <c r="E8142" s="111"/>
      <c r="F8142" s="113" t="s">
        <v>7158</v>
      </c>
      <c r="G8142" s="114"/>
      <c r="H8142" s="115"/>
      <c r="I8142" s="24" t="s">
        <v>17254</v>
      </c>
      <c r="J8142" s="116">
        <v>4</v>
      </c>
      <c r="K8142" s="118">
        <f>715000/1.1</f>
        <v>650000</v>
      </c>
      <c r="L8142" s="119"/>
      <c r="M8142" s="118">
        <f t="shared" ref="M8142" si="12185">K8142*0.1</f>
        <v>65000</v>
      </c>
      <c r="N8142" s="119"/>
      <c r="O8142" s="118">
        <v>0</v>
      </c>
      <c r="P8142" s="119"/>
      <c r="Q8142" s="118">
        <v>8230</v>
      </c>
      <c r="R8142" s="119"/>
      <c r="S8142" s="118">
        <v>0</v>
      </c>
      <c r="T8142" s="119"/>
      <c r="U8142" s="118">
        <f t="shared" ref="U8142" si="12186">SUM(K8142:T8143)</f>
        <v>723230</v>
      </c>
      <c r="V8142" s="122"/>
      <c r="W8142" s="124"/>
      <c r="X8142" s="126"/>
      <c r="Y8142" s="127"/>
      <c r="Z8142" s="127"/>
      <c r="AA8142" s="127"/>
      <c r="AB8142" s="128"/>
      <c r="AC8142" s="15" t="s">
        <v>20</v>
      </c>
      <c r="AD8142" s="129" t="s">
        <v>1633</v>
      </c>
      <c r="AE8142" s="130"/>
      <c r="AF8142" s="130"/>
      <c r="AG8142" s="130"/>
      <c r="AH8142" s="130"/>
      <c r="AI8142" s="131"/>
      <c r="AJ8142" s="132"/>
      <c r="AK8142" s="127"/>
      <c r="AL8142" s="128"/>
      <c r="AM8142" s="21"/>
      <c r="AN8142" s="133"/>
      <c r="AO8142" s="134"/>
      <c r="AP8142" s="135"/>
      <c r="AQ8142" s="136"/>
      <c r="AR8142" s="118"/>
      <c r="AS8142" s="119"/>
      <c r="AT8142" s="118">
        <f t="shared" ref="AT8142" si="12187">AR8142*0.1</f>
        <v>0</v>
      </c>
      <c r="AU8142" s="119"/>
      <c r="AV8142" s="118"/>
      <c r="AW8142" s="119"/>
      <c r="AX8142" s="118">
        <f t="shared" ref="AX8142" si="12188">SUM(AR8142:AW8142)</f>
        <v>0</v>
      </c>
      <c r="AY8142" s="119"/>
      <c r="AZ8142" s="137"/>
    </row>
    <row r="8143" spans="1:52" ht="17.100000000000001" customHeight="1" thickBot="1">
      <c r="A8143" s="110"/>
      <c r="B8143" s="27" t="s">
        <v>1718</v>
      </c>
      <c r="C8143" s="27" t="s">
        <v>22978</v>
      </c>
      <c r="D8143" s="14" t="s">
        <v>275</v>
      </c>
      <c r="E8143" s="112"/>
      <c r="F8143" s="139" t="s">
        <v>22979</v>
      </c>
      <c r="G8143" s="140"/>
      <c r="H8143" s="141"/>
      <c r="I8143" s="26">
        <v>59594</v>
      </c>
      <c r="J8143" s="117"/>
      <c r="K8143" s="120"/>
      <c r="L8143" s="121"/>
      <c r="M8143" s="120"/>
      <c r="N8143" s="121"/>
      <c r="O8143" s="120"/>
      <c r="P8143" s="121"/>
      <c r="Q8143" s="120"/>
      <c r="R8143" s="121"/>
      <c r="S8143" s="120"/>
      <c r="T8143" s="121"/>
      <c r="U8143" s="120"/>
      <c r="V8143" s="123"/>
      <c r="W8143" s="125"/>
      <c r="X8143" s="142"/>
      <c r="Y8143" s="143"/>
      <c r="Z8143" s="143"/>
      <c r="AA8143" s="143"/>
      <c r="AB8143" s="144"/>
      <c r="AC8143" s="16" t="s">
        <v>21</v>
      </c>
      <c r="AD8143" s="17"/>
      <c r="AE8143" s="145"/>
      <c r="AF8143" s="146"/>
      <c r="AG8143" s="146"/>
      <c r="AH8143" s="146"/>
      <c r="AI8143" s="147"/>
      <c r="AJ8143" s="148"/>
      <c r="AK8143" s="143"/>
      <c r="AL8143" s="144"/>
      <c r="AM8143" s="22"/>
      <c r="AN8143" s="149"/>
      <c r="AO8143" s="144"/>
      <c r="AP8143" s="148"/>
      <c r="AQ8143" s="144"/>
      <c r="AR8143" s="120"/>
      <c r="AS8143" s="121"/>
      <c r="AT8143" s="120"/>
      <c r="AU8143" s="121"/>
      <c r="AV8143" s="120"/>
      <c r="AW8143" s="121"/>
      <c r="AX8143" s="120"/>
      <c r="AY8143" s="121"/>
      <c r="AZ8143" s="138"/>
    </row>
    <row r="8144" spans="1:52" ht="17.100000000000001" customHeight="1" thickTop="1">
      <c r="A8144" s="109" t="s">
        <v>23004</v>
      </c>
      <c r="B8144" s="28">
        <v>46125</v>
      </c>
      <c r="C8144" s="25"/>
      <c r="D8144" s="13" t="s">
        <v>23017</v>
      </c>
      <c r="E8144" s="111"/>
      <c r="F8144" s="113" t="s">
        <v>23022</v>
      </c>
      <c r="G8144" s="114"/>
      <c r="H8144" s="115"/>
      <c r="I8144" s="24" t="s">
        <v>23018</v>
      </c>
      <c r="J8144" s="116">
        <v>4</v>
      </c>
      <c r="K8144" s="118">
        <f>528000/1.1</f>
        <v>479999.99999999994</v>
      </c>
      <c r="L8144" s="119"/>
      <c r="M8144" s="118">
        <f t="shared" ref="M8144" si="12189">K8144*0.1</f>
        <v>48000</v>
      </c>
      <c r="N8144" s="119"/>
      <c r="O8144" s="118">
        <v>0</v>
      </c>
      <c r="P8144" s="119"/>
      <c r="Q8144" s="118">
        <v>7950</v>
      </c>
      <c r="R8144" s="119"/>
      <c r="S8144" s="118">
        <v>0</v>
      </c>
      <c r="T8144" s="119"/>
      <c r="U8144" s="118">
        <f t="shared" ref="U8144" si="12190">SUM(K8144:T8145)</f>
        <v>535950</v>
      </c>
      <c r="V8144" s="122"/>
      <c r="W8144" s="124"/>
      <c r="X8144" s="126" t="s">
        <v>25566</v>
      </c>
      <c r="Y8144" s="127"/>
      <c r="Z8144" s="127"/>
      <c r="AA8144" s="127"/>
      <c r="AB8144" s="128"/>
      <c r="AC8144" s="15" t="s">
        <v>20</v>
      </c>
      <c r="AD8144" s="129" t="s">
        <v>23019</v>
      </c>
      <c r="AE8144" s="130"/>
      <c r="AF8144" s="130"/>
      <c r="AG8144" s="130"/>
      <c r="AH8144" s="130"/>
      <c r="AI8144" s="131"/>
      <c r="AJ8144" s="132"/>
      <c r="AK8144" s="127"/>
      <c r="AL8144" s="128"/>
      <c r="AM8144" s="21"/>
      <c r="AN8144" s="133"/>
      <c r="AO8144" s="134"/>
      <c r="AP8144" s="135"/>
      <c r="AQ8144" s="136"/>
      <c r="AR8144" s="118"/>
      <c r="AS8144" s="119"/>
      <c r="AT8144" s="118">
        <f t="shared" ref="AT8144" si="12191">AR8144*0.1</f>
        <v>0</v>
      </c>
      <c r="AU8144" s="119"/>
      <c r="AV8144" s="118"/>
      <c r="AW8144" s="119"/>
      <c r="AX8144" s="118">
        <f t="shared" ref="AX8144" si="12192">SUM(AR8144:AW8144)</f>
        <v>0</v>
      </c>
      <c r="AY8144" s="119"/>
      <c r="AZ8144" s="137"/>
    </row>
    <row r="8145" spans="1:52" ht="17.100000000000001" customHeight="1" thickBot="1">
      <c r="A8145" s="110"/>
      <c r="B8145" s="27" t="s">
        <v>1718</v>
      </c>
      <c r="C8145" s="27" t="s">
        <v>23007</v>
      </c>
      <c r="D8145" s="14" t="s">
        <v>23028</v>
      </c>
      <c r="E8145" s="112"/>
      <c r="F8145" s="139" t="s">
        <v>23008</v>
      </c>
      <c r="G8145" s="140"/>
      <c r="H8145" s="141"/>
      <c r="I8145" s="26">
        <v>24339</v>
      </c>
      <c r="J8145" s="117"/>
      <c r="K8145" s="120"/>
      <c r="L8145" s="121"/>
      <c r="M8145" s="120"/>
      <c r="N8145" s="121"/>
      <c r="O8145" s="120"/>
      <c r="P8145" s="121"/>
      <c r="Q8145" s="120"/>
      <c r="R8145" s="121"/>
      <c r="S8145" s="120"/>
      <c r="T8145" s="121"/>
      <c r="U8145" s="120"/>
      <c r="V8145" s="123"/>
      <c r="W8145" s="125"/>
      <c r="X8145" s="142" t="s">
        <v>25567</v>
      </c>
      <c r="Y8145" s="143"/>
      <c r="Z8145" s="143"/>
      <c r="AA8145" s="143"/>
      <c r="AB8145" s="144"/>
      <c r="AC8145" s="16" t="s">
        <v>21</v>
      </c>
      <c r="AD8145" s="17" t="s">
        <v>2413</v>
      </c>
      <c r="AE8145" s="145" t="s">
        <v>1742</v>
      </c>
      <c r="AF8145" s="146"/>
      <c r="AG8145" s="146"/>
      <c r="AH8145" s="146"/>
      <c r="AI8145" s="147"/>
      <c r="AJ8145" s="148"/>
      <c r="AK8145" s="143"/>
      <c r="AL8145" s="144"/>
      <c r="AM8145" s="22"/>
      <c r="AN8145" s="149"/>
      <c r="AO8145" s="144"/>
      <c r="AP8145" s="148"/>
      <c r="AQ8145" s="144"/>
      <c r="AR8145" s="120"/>
      <c r="AS8145" s="121"/>
      <c r="AT8145" s="120"/>
      <c r="AU8145" s="121"/>
      <c r="AV8145" s="120"/>
      <c r="AW8145" s="121"/>
      <c r="AX8145" s="120"/>
      <c r="AY8145" s="121"/>
      <c r="AZ8145" s="138"/>
    </row>
    <row r="8146" spans="1:52" ht="17.100000000000001" customHeight="1" thickTop="1">
      <c r="A8146" s="109" t="s">
        <v>23005</v>
      </c>
      <c r="B8146" s="28">
        <v>46125</v>
      </c>
      <c r="C8146" s="25"/>
      <c r="D8146" s="13" t="s">
        <v>23020</v>
      </c>
      <c r="E8146" s="111"/>
      <c r="F8146" s="113" t="s">
        <v>23023</v>
      </c>
      <c r="G8146" s="114"/>
      <c r="H8146" s="115"/>
      <c r="I8146" s="24" t="s">
        <v>23024</v>
      </c>
      <c r="J8146" s="116">
        <v>4</v>
      </c>
      <c r="K8146" s="118">
        <f>957000/1.1</f>
        <v>869999.99999999988</v>
      </c>
      <c r="L8146" s="119"/>
      <c r="M8146" s="118">
        <f t="shared" ref="M8146" si="12193">K8146*0.1</f>
        <v>87000</v>
      </c>
      <c r="N8146" s="119"/>
      <c r="O8146" s="118">
        <v>0</v>
      </c>
      <c r="P8146" s="119"/>
      <c r="Q8146" s="118">
        <v>8740</v>
      </c>
      <c r="R8146" s="119"/>
      <c r="S8146" s="118">
        <v>0</v>
      </c>
      <c r="T8146" s="119"/>
      <c r="U8146" s="118">
        <f t="shared" ref="U8146" si="12194">SUM(K8146:T8147)</f>
        <v>965739.99999999988</v>
      </c>
      <c r="V8146" s="122"/>
      <c r="W8146" s="124"/>
      <c r="X8146" s="126" t="s">
        <v>23857</v>
      </c>
      <c r="Y8146" s="127"/>
      <c r="Z8146" s="127"/>
      <c r="AA8146" s="127"/>
      <c r="AB8146" s="128"/>
      <c r="AC8146" s="15" t="s">
        <v>20</v>
      </c>
      <c r="AD8146" s="129" t="s">
        <v>23016</v>
      </c>
      <c r="AE8146" s="130"/>
      <c r="AF8146" s="130"/>
      <c r="AG8146" s="130"/>
      <c r="AH8146" s="130"/>
      <c r="AI8146" s="131"/>
      <c r="AJ8146" s="132"/>
      <c r="AK8146" s="127"/>
      <c r="AL8146" s="128"/>
      <c r="AM8146" s="21"/>
      <c r="AN8146" s="133">
        <v>46155</v>
      </c>
      <c r="AO8146" s="134"/>
      <c r="AP8146" s="135">
        <v>1016</v>
      </c>
      <c r="AQ8146" s="136"/>
      <c r="AR8146" s="118">
        <v>1045000</v>
      </c>
      <c r="AS8146" s="119"/>
      <c r="AT8146" s="118">
        <f t="shared" ref="AT8146" si="12195">AR8146*0.1</f>
        <v>104500</v>
      </c>
      <c r="AU8146" s="119"/>
      <c r="AV8146" s="118">
        <v>8740</v>
      </c>
      <c r="AW8146" s="119"/>
      <c r="AX8146" s="118">
        <f t="shared" ref="AX8146" si="12196">SUM(AR8146:AW8146)</f>
        <v>1158240</v>
      </c>
      <c r="AY8146" s="119"/>
      <c r="AZ8146" s="137">
        <v>46161</v>
      </c>
    </row>
    <row r="8147" spans="1:52" ht="17.100000000000001" customHeight="1" thickBot="1">
      <c r="A8147" s="110"/>
      <c r="B8147" s="27" t="s">
        <v>1718</v>
      </c>
      <c r="C8147" s="27" t="s">
        <v>23009</v>
      </c>
      <c r="D8147" s="14" t="s">
        <v>23021</v>
      </c>
      <c r="E8147" s="112"/>
      <c r="F8147" s="139" t="s">
        <v>23010</v>
      </c>
      <c r="G8147" s="140"/>
      <c r="H8147" s="141"/>
      <c r="I8147" s="26">
        <v>46485</v>
      </c>
      <c r="J8147" s="117"/>
      <c r="K8147" s="120"/>
      <c r="L8147" s="121"/>
      <c r="M8147" s="120"/>
      <c r="N8147" s="121"/>
      <c r="O8147" s="120"/>
      <c r="P8147" s="121"/>
      <c r="Q8147" s="120"/>
      <c r="R8147" s="121"/>
      <c r="S8147" s="120"/>
      <c r="T8147" s="121"/>
      <c r="U8147" s="120"/>
      <c r="V8147" s="123"/>
      <c r="W8147" s="125"/>
      <c r="X8147" s="142" t="s">
        <v>23858</v>
      </c>
      <c r="Y8147" s="143"/>
      <c r="Z8147" s="143"/>
      <c r="AA8147" s="143"/>
      <c r="AB8147" s="144"/>
      <c r="AC8147" s="16" t="s">
        <v>21</v>
      </c>
      <c r="AD8147" s="17" t="s">
        <v>23859</v>
      </c>
      <c r="AE8147" s="145" t="s">
        <v>12544</v>
      </c>
      <c r="AF8147" s="146"/>
      <c r="AG8147" s="146"/>
      <c r="AH8147" s="146"/>
      <c r="AI8147" s="147"/>
      <c r="AJ8147" s="148"/>
      <c r="AK8147" s="143"/>
      <c r="AL8147" s="144"/>
      <c r="AM8147" s="22"/>
      <c r="AN8147" s="149" t="s">
        <v>2794</v>
      </c>
      <c r="AO8147" s="144"/>
      <c r="AP8147" s="148">
        <v>1069</v>
      </c>
      <c r="AQ8147" s="144"/>
      <c r="AR8147" s="120"/>
      <c r="AS8147" s="121"/>
      <c r="AT8147" s="120"/>
      <c r="AU8147" s="121"/>
      <c r="AV8147" s="120"/>
      <c r="AW8147" s="121"/>
      <c r="AX8147" s="120"/>
      <c r="AY8147" s="121"/>
      <c r="AZ8147" s="138"/>
    </row>
    <row r="8148" spans="1:52" ht="17.100000000000001" customHeight="1" thickTop="1">
      <c r="A8148" s="109" t="s">
        <v>23006</v>
      </c>
      <c r="B8148" s="28">
        <v>46125</v>
      </c>
      <c r="C8148" s="25"/>
      <c r="D8148" s="13" t="s">
        <v>23025</v>
      </c>
      <c r="E8148" s="111"/>
      <c r="F8148" s="113" t="s">
        <v>23026</v>
      </c>
      <c r="G8148" s="114"/>
      <c r="H8148" s="115"/>
      <c r="I8148" s="24" t="s">
        <v>23027</v>
      </c>
      <c r="J8148" s="116">
        <v>4.5</v>
      </c>
      <c r="K8148" s="118">
        <f>1221000/1.1</f>
        <v>1110000</v>
      </c>
      <c r="L8148" s="119"/>
      <c r="M8148" s="118">
        <f t="shared" ref="M8148" si="12197">K8148*0.1</f>
        <v>111000</v>
      </c>
      <c r="N8148" s="119"/>
      <c r="O8148" s="118">
        <v>0</v>
      </c>
      <c r="P8148" s="119"/>
      <c r="Q8148" s="118">
        <v>8400</v>
      </c>
      <c r="R8148" s="119"/>
      <c r="S8148" s="118">
        <v>0</v>
      </c>
      <c r="T8148" s="119"/>
      <c r="U8148" s="118">
        <v>1229400</v>
      </c>
      <c r="V8148" s="122"/>
      <c r="W8148" s="124"/>
      <c r="X8148" s="126" t="s">
        <v>24042</v>
      </c>
      <c r="Y8148" s="127"/>
      <c r="Z8148" s="127"/>
      <c r="AA8148" s="127"/>
      <c r="AB8148" s="128"/>
      <c r="AC8148" s="15" t="s">
        <v>20</v>
      </c>
      <c r="AD8148" s="129" t="s">
        <v>23016</v>
      </c>
      <c r="AE8148" s="130"/>
      <c r="AF8148" s="130"/>
      <c r="AG8148" s="130"/>
      <c r="AH8148" s="130"/>
      <c r="AI8148" s="131"/>
      <c r="AJ8148" s="132"/>
      <c r="AK8148" s="127"/>
      <c r="AL8148" s="128"/>
      <c r="AM8148" s="21"/>
      <c r="AN8148" s="133"/>
      <c r="AO8148" s="134"/>
      <c r="AP8148" s="135"/>
      <c r="AQ8148" s="136"/>
      <c r="AR8148" s="118"/>
      <c r="AS8148" s="119"/>
      <c r="AT8148" s="118">
        <f t="shared" ref="AT8148" si="12198">AR8148*0.1</f>
        <v>0</v>
      </c>
      <c r="AU8148" s="119"/>
      <c r="AV8148" s="118"/>
      <c r="AW8148" s="119"/>
      <c r="AX8148" s="118">
        <f t="shared" ref="AX8148" si="12199">SUM(AR8148:AW8148)</f>
        <v>0</v>
      </c>
      <c r="AY8148" s="119"/>
      <c r="AZ8148" s="137"/>
    </row>
    <row r="8149" spans="1:52" ht="17.100000000000001" customHeight="1" thickBot="1">
      <c r="A8149" s="110"/>
      <c r="B8149" s="27" t="s">
        <v>1718</v>
      </c>
      <c r="C8149" s="27" t="s">
        <v>23011</v>
      </c>
      <c r="D8149" s="14" t="s">
        <v>1720</v>
      </c>
      <c r="E8149" s="112"/>
      <c r="F8149" s="139" t="s">
        <v>23012</v>
      </c>
      <c r="G8149" s="140"/>
      <c r="H8149" s="141"/>
      <c r="I8149" s="26">
        <v>46957</v>
      </c>
      <c r="J8149" s="117"/>
      <c r="K8149" s="120"/>
      <c r="L8149" s="121"/>
      <c r="M8149" s="120"/>
      <c r="N8149" s="121"/>
      <c r="O8149" s="120"/>
      <c r="P8149" s="121"/>
      <c r="Q8149" s="120"/>
      <c r="R8149" s="121"/>
      <c r="S8149" s="120"/>
      <c r="T8149" s="121"/>
      <c r="U8149" s="120"/>
      <c r="V8149" s="123"/>
      <c r="W8149" s="125"/>
      <c r="X8149" s="142" t="s">
        <v>24043</v>
      </c>
      <c r="Y8149" s="143"/>
      <c r="Z8149" s="143"/>
      <c r="AA8149" s="143"/>
      <c r="AB8149" s="144"/>
      <c r="AC8149" s="16" t="s">
        <v>21</v>
      </c>
      <c r="AD8149" s="17" t="s">
        <v>24016</v>
      </c>
      <c r="AE8149" s="145" t="s">
        <v>1614</v>
      </c>
      <c r="AF8149" s="146"/>
      <c r="AG8149" s="146"/>
      <c r="AH8149" s="146"/>
      <c r="AI8149" s="147"/>
      <c r="AJ8149" s="148"/>
      <c r="AK8149" s="143"/>
      <c r="AL8149" s="144"/>
      <c r="AM8149" s="22"/>
      <c r="AN8149" s="149"/>
      <c r="AO8149" s="144"/>
      <c r="AP8149" s="148"/>
      <c r="AQ8149" s="144"/>
      <c r="AR8149" s="120"/>
      <c r="AS8149" s="121"/>
      <c r="AT8149" s="120"/>
      <c r="AU8149" s="121"/>
      <c r="AV8149" s="120"/>
      <c r="AW8149" s="121"/>
      <c r="AX8149" s="120"/>
      <c r="AY8149" s="121"/>
      <c r="AZ8149" s="138"/>
    </row>
    <row r="8150" spans="1:52" ht="17.100000000000001" customHeight="1" thickTop="1">
      <c r="A8150" s="109" t="s">
        <v>23080</v>
      </c>
      <c r="B8150" s="28">
        <v>46126</v>
      </c>
      <c r="C8150" s="25">
        <v>1937</v>
      </c>
      <c r="D8150" s="13" t="s">
        <v>23145</v>
      </c>
      <c r="E8150" s="111"/>
      <c r="F8150" s="113" t="s">
        <v>23092</v>
      </c>
      <c r="G8150" s="114"/>
      <c r="H8150" s="115"/>
      <c r="I8150" s="24" t="s">
        <v>23147</v>
      </c>
      <c r="J8150" s="116">
        <v>4</v>
      </c>
      <c r="K8150" s="118">
        <v>970000</v>
      </c>
      <c r="L8150" s="119"/>
      <c r="M8150" s="118">
        <f t="shared" ref="M8150" si="12200">K8150*0.1</f>
        <v>97000</v>
      </c>
      <c r="N8150" s="119"/>
      <c r="O8150" s="118">
        <v>0</v>
      </c>
      <c r="P8150" s="119"/>
      <c r="Q8150" s="118">
        <v>6830</v>
      </c>
      <c r="R8150" s="119"/>
      <c r="S8150" s="118">
        <v>15950</v>
      </c>
      <c r="T8150" s="119"/>
      <c r="U8150" s="118">
        <f t="shared" ref="U8150" si="12201">SUM(K8150:T8151)</f>
        <v>1089780</v>
      </c>
      <c r="V8150" s="122"/>
      <c r="W8150" s="124"/>
      <c r="X8150" s="126" t="s">
        <v>23148</v>
      </c>
      <c r="Y8150" s="127"/>
      <c r="Z8150" s="127"/>
      <c r="AA8150" s="127"/>
      <c r="AB8150" s="128"/>
      <c r="AC8150" s="15" t="s">
        <v>20</v>
      </c>
      <c r="AD8150" s="129" t="s">
        <v>23149</v>
      </c>
      <c r="AE8150" s="130"/>
      <c r="AF8150" s="130"/>
      <c r="AG8150" s="130"/>
      <c r="AH8150" s="130"/>
      <c r="AI8150" s="131"/>
      <c r="AJ8150" s="132"/>
      <c r="AK8150" s="127"/>
      <c r="AL8150" s="128"/>
      <c r="AM8150" s="21"/>
      <c r="AN8150" s="133">
        <v>46130</v>
      </c>
      <c r="AO8150" s="134"/>
      <c r="AP8150" s="135">
        <v>1297</v>
      </c>
      <c r="AQ8150" s="136"/>
      <c r="AR8150" s="118">
        <v>1015000</v>
      </c>
      <c r="AS8150" s="119"/>
      <c r="AT8150" s="118">
        <f t="shared" ref="AT8150" si="12202">AR8150*0.1</f>
        <v>101500</v>
      </c>
      <c r="AU8150" s="119"/>
      <c r="AV8150" s="118">
        <v>6830</v>
      </c>
      <c r="AW8150" s="119"/>
      <c r="AX8150" s="118">
        <f t="shared" ref="AX8150" si="12203">SUM(AR8150:AW8150)</f>
        <v>1123330</v>
      </c>
      <c r="AY8150" s="119"/>
      <c r="AZ8150" s="137">
        <v>46133</v>
      </c>
    </row>
    <row r="8151" spans="1:52" ht="17.100000000000001" customHeight="1" thickBot="1">
      <c r="A8151" s="110"/>
      <c r="B8151" s="27" t="s">
        <v>23091</v>
      </c>
      <c r="C8151" s="27">
        <v>3244</v>
      </c>
      <c r="D8151" s="14" t="s">
        <v>23146</v>
      </c>
      <c r="E8151" s="112"/>
      <c r="F8151" s="139" t="s">
        <v>23093</v>
      </c>
      <c r="G8151" s="140"/>
      <c r="H8151" s="141"/>
      <c r="I8151" s="26">
        <v>42523</v>
      </c>
      <c r="J8151" s="117"/>
      <c r="K8151" s="120"/>
      <c r="L8151" s="121"/>
      <c r="M8151" s="120"/>
      <c r="N8151" s="121"/>
      <c r="O8151" s="120"/>
      <c r="P8151" s="121"/>
      <c r="Q8151" s="120"/>
      <c r="R8151" s="121"/>
      <c r="S8151" s="120"/>
      <c r="T8151" s="121"/>
      <c r="U8151" s="120"/>
      <c r="V8151" s="123"/>
      <c r="W8151" s="125"/>
      <c r="X8151" s="142" t="s">
        <v>23437</v>
      </c>
      <c r="Y8151" s="143"/>
      <c r="Z8151" s="143"/>
      <c r="AA8151" s="143"/>
      <c r="AB8151" s="144"/>
      <c r="AC8151" s="16" t="s">
        <v>21</v>
      </c>
      <c r="AD8151" s="17" t="s">
        <v>3711</v>
      </c>
      <c r="AE8151" s="145" t="s">
        <v>23438</v>
      </c>
      <c r="AF8151" s="146"/>
      <c r="AG8151" s="146"/>
      <c r="AH8151" s="146"/>
      <c r="AI8151" s="147"/>
      <c r="AJ8151" s="148"/>
      <c r="AK8151" s="143"/>
      <c r="AL8151" s="144"/>
      <c r="AM8151" s="22"/>
      <c r="AN8151" s="149" t="s">
        <v>2511</v>
      </c>
      <c r="AO8151" s="144"/>
      <c r="AP8151" s="148">
        <v>60422</v>
      </c>
      <c r="AQ8151" s="144"/>
      <c r="AR8151" s="120"/>
      <c r="AS8151" s="121"/>
      <c r="AT8151" s="120"/>
      <c r="AU8151" s="121"/>
      <c r="AV8151" s="120"/>
      <c r="AW8151" s="121"/>
      <c r="AX8151" s="120"/>
      <c r="AY8151" s="121"/>
      <c r="AZ8151" s="138"/>
    </row>
    <row r="8152" spans="1:52" ht="17.100000000000001" customHeight="1" thickTop="1">
      <c r="A8152" s="109" t="s">
        <v>23081</v>
      </c>
      <c r="B8152" s="28">
        <v>46126</v>
      </c>
      <c r="C8152" s="25">
        <v>1937</v>
      </c>
      <c r="D8152" s="13" t="s">
        <v>23150</v>
      </c>
      <c r="E8152" s="111"/>
      <c r="F8152" s="113" t="s">
        <v>23094</v>
      </c>
      <c r="G8152" s="114"/>
      <c r="H8152" s="115"/>
      <c r="I8152" s="24" t="s">
        <v>23152</v>
      </c>
      <c r="J8152" s="116">
        <v>4</v>
      </c>
      <c r="K8152" s="118">
        <v>736000</v>
      </c>
      <c r="L8152" s="119"/>
      <c r="M8152" s="118">
        <f t="shared" ref="M8152" si="12204">K8152*0.1</f>
        <v>73600</v>
      </c>
      <c r="N8152" s="119"/>
      <c r="O8152" s="118">
        <v>0</v>
      </c>
      <c r="P8152" s="119"/>
      <c r="Q8152" s="118">
        <v>7950</v>
      </c>
      <c r="R8152" s="119"/>
      <c r="S8152" s="118">
        <v>15950</v>
      </c>
      <c r="T8152" s="119"/>
      <c r="U8152" s="118">
        <f t="shared" ref="U8152" si="12205">SUM(K8152:T8153)</f>
        <v>833500</v>
      </c>
      <c r="V8152" s="122"/>
      <c r="W8152" s="124"/>
      <c r="X8152" s="126" t="s">
        <v>23441</v>
      </c>
      <c r="Y8152" s="127"/>
      <c r="Z8152" s="127"/>
      <c r="AA8152" s="127"/>
      <c r="AB8152" s="128"/>
      <c r="AC8152" s="15" t="s">
        <v>20</v>
      </c>
      <c r="AD8152" s="129" t="s">
        <v>23153</v>
      </c>
      <c r="AE8152" s="130"/>
      <c r="AF8152" s="130"/>
      <c r="AG8152" s="130"/>
      <c r="AH8152" s="130"/>
      <c r="AI8152" s="131"/>
      <c r="AJ8152" s="132"/>
      <c r="AK8152" s="127"/>
      <c r="AL8152" s="128"/>
      <c r="AM8152" s="21"/>
      <c r="AN8152" s="133"/>
      <c r="AO8152" s="134"/>
      <c r="AP8152" s="135"/>
      <c r="AQ8152" s="136"/>
      <c r="AR8152" s="118"/>
      <c r="AS8152" s="119"/>
      <c r="AT8152" s="118">
        <f t="shared" ref="AT8152" si="12206">AR8152*0.1</f>
        <v>0</v>
      </c>
      <c r="AU8152" s="119"/>
      <c r="AV8152" s="118"/>
      <c r="AW8152" s="119"/>
      <c r="AX8152" s="118">
        <f t="shared" ref="AX8152" si="12207">SUM(AR8152:AW8152)</f>
        <v>0</v>
      </c>
      <c r="AY8152" s="119"/>
      <c r="AZ8152" s="137"/>
    </row>
    <row r="8153" spans="1:52" ht="17.100000000000001" customHeight="1" thickBot="1">
      <c r="A8153" s="110"/>
      <c r="B8153" s="27" t="s">
        <v>23091</v>
      </c>
      <c r="C8153" s="27">
        <v>3273</v>
      </c>
      <c r="D8153" s="14" t="s">
        <v>23151</v>
      </c>
      <c r="E8153" s="112"/>
      <c r="F8153" s="139" t="s">
        <v>23095</v>
      </c>
      <c r="G8153" s="140"/>
      <c r="H8153" s="141"/>
      <c r="I8153" s="26">
        <v>8629</v>
      </c>
      <c r="J8153" s="117"/>
      <c r="K8153" s="120"/>
      <c r="L8153" s="121"/>
      <c r="M8153" s="120"/>
      <c r="N8153" s="121"/>
      <c r="O8153" s="120"/>
      <c r="P8153" s="121"/>
      <c r="Q8153" s="120"/>
      <c r="R8153" s="121"/>
      <c r="S8153" s="120"/>
      <c r="T8153" s="121"/>
      <c r="U8153" s="120"/>
      <c r="V8153" s="123"/>
      <c r="W8153" s="125"/>
      <c r="X8153" s="142" t="s">
        <v>2659</v>
      </c>
      <c r="Y8153" s="143"/>
      <c r="Z8153" s="143"/>
      <c r="AA8153" s="143"/>
      <c r="AB8153" s="144"/>
      <c r="AC8153" s="16" t="s">
        <v>21</v>
      </c>
      <c r="AD8153" s="17" t="s">
        <v>3711</v>
      </c>
      <c r="AE8153" s="145" t="s">
        <v>3896</v>
      </c>
      <c r="AF8153" s="146"/>
      <c r="AG8153" s="146"/>
      <c r="AH8153" s="146"/>
      <c r="AI8153" s="147"/>
      <c r="AJ8153" s="148"/>
      <c r="AK8153" s="143"/>
      <c r="AL8153" s="144"/>
      <c r="AM8153" s="22"/>
      <c r="AN8153" s="149"/>
      <c r="AO8153" s="144"/>
      <c r="AP8153" s="148"/>
      <c r="AQ8153" s="144"/>
      <c r="AR8153" s="120"/>
      <c r="AS8153" s="121"/>
      <c r="AT8153" s="120"/>
      <c r="AU8153" s="121"/>
      <c r="AV8153" s="120"/>
      <c r="AW8153" s="121"/>
      <c r="AX8153" s="120"/>
      <c r="AY8153" s="121"/>
      <c r="AZ8153" s="138"/>
    </row>
    <row r="8154" spans="1:52" ht="17.100000000000001" customHeight="1" thickTop="1">
      <c r="A8154" s="109" t="s">
        <v>23082</v>
      </c>
      <c r="B8154" s="28">
        <v>46126</v>
      </c>
      <c r="C8154" s="25">
        <v>1937</v>
      </c>
      <c r="D8154" s="13" t="s">
        <v>23154</v>
      </c>
      <c r="E8154" s="111"/>
      <c r="F8154" s="113" t="s">
        <v>23096</v>
      </c>
      <c r="G8154" s="114"/>
      <c r="H8154" s="115"/>
      <c r="I8154" s="24"/>
      <c r="J8154" s="116">
        <v>4</v>
      </c>
      <c r="K8154" s="118">
        <v>590000</v>
      </c>
      <c r="L8154" s="119"/>
      <c r="M8154" s="118">
        <f t="shared" ref="M8154" si="12208">K8154*0.1</f>
        <v>59000</v>
      </c>
      <c r="N8154" s="119"/>
      <c r="O8154" s="118">
        <v>0</v>
      </c>
      <c r="P8154" s="119"/>
      <c r="Q8154" s="118">
        <v>8400</v>
      </c>
      <c r="R8154" s="119"/>
      <c r="S8154" s="118">
        <v>15950</v>
      </c>
      <c r="T8154" s="119"/>
      <c r="U8154" s="118">
        <f t="shared" ref="U8154" si="12209">SUM(K8154:T8155)</f>
        <v>673350</v>
      </c>
      <c r="V8154" s="122"/>
      <c r="W8154" s="124"/>
      <c r="X8154" s="126" t="s">
        <v>23442</v>
      </c>
      <c r="Y8154" s="127"/>
      <c r="Z8154" s="127"/>
      <c r="AA8154" s="127"/>
      <c r="AB8154" s="128"/>
      <c r="AC8154" s="15" t="s">
        <v>20</v>
      </c>
      <c r="AD8154" s="129"/>
      <c r="AE8154" s="130"/>
      <c r="AF8154" s="130"/>
      <c r="AG8154" s="130"/>
      <c r="AH8154" s="130"/>
      <c r="AI8154" s="131"/>
      <c r="AJ8154" s="132"/>
      <c r="AK8154" s="127"/>
      <c r="AL8154" s="128"/>
      <c r="AM8154" s="21"/>
      <c r="AN8154" s="133"/>
      <c r="AO8154" s="134"/>
      <c r="AP8154" s="135"/>
      <c r="AQ8154" s="136"/>
      <c r="AR8154" s="118"/>
      <c r="AS8154" s="119"/>
      <c r="AT8154" s="118">
        <f t="shared" ref="AT8154" si="12210">AR8154*0.1</f>
        <v>0</v>
      </c>
      <c r="AU8154" s="119"/>
      <c r="AV8154" s="118"/>
      <c r="AW8154" s="119"/>
      <c r="AX8154" s="118">
        <f t="shared" ref="AX8154" si="12211">SUM(AR8154:AW8154)</f>
        <v>0</v>
      </c>
      <c r="AY8154" s="119"/>
      <c r="AZ8154" s="137"/>
    </row>
    <row r="8155" spans="1:52" ht="17.100000000000001" customHeight="1" thickBot="1">
      <c r="A8155" s="110"/>
      <c r="B8155" s="27" t="s">
        <v>23091</v>
      </c>
      <c r="C8155" s="27">
        <v>3369</v>
      </c>
      <c r="D8155" s="14" t="s">
        <v>23155</v>
      </c>
      <c r="E8155" s="112"/>
      <c r="F8155" s="139" t="s">
        <v>23097</v>
      </c>
      <c r="G8155" s="140"/>
      <c r="H8155" s="141"/>
      <c r="I8155" s="26">
        <v>55534</v>
      </c>
      <c r="J8155" s="117"/>
      <c r="K8155" s="120"/>
      <c r="L8155" s="121"/>
      <c r="M8155" s="120"/>
      <c r="N8155" s="121"/>
      <c r="O8155" s="120"/>
      <c r="P8155" s="121"/>
      <c r="Q8155" s="120"/>
      <c r="R8155" s="121"/>
      <c r="S8155" s="120"/>
      <c r="T8155" s="121"/>
      <c r="U8155" s="120"/>
      <c r="V8155" s="123"/>
      <c r="W8155" s="125"/>
      <c r="X8155" s="142" t="s">
        <v>12378</v>
      </c>
      <c r="Y8155" s="143"/>
      <c r="Z8155" s="143"/>
      <c r="AA8155" s="143"/>
      <c r="AB8155" s="144"/>
      <c r="AC8155" s="16" t="s">
        <v>21</v>
      </c>
      <c r="AD8155" s="17" t="s">
        <v>3711</v>
      </c>
      <c r="AE8155" s="145"/>
      <c r="AF8155" s="146"/>
      <c r="AG8155" s="146"/>
      <c r="AH8155" s="146"/>
      <c r="AI8155" s="147"/>
      <c r="AJ8155" s="148"/>
      <c r="AK8155" s="143"/>
      <c r="AL8155" s="144"/>
      <c r="AM8155" s="22"/>
      <c r="AN8155" s="149"/>
      <c r="AO8155" s="144"/>
      <c r="AP8155" s="148"/>
      <c r="AQ8155" s="144"/>
      <c r="AR8155" s="120"/>
      <c r="AS8155" s="121"/>
      <c r="AT8155" s="120"/>
      <c r="AU8155" s="121"/>
      <c r="AV8155" s="120"/>
      <c r="AW8155" s="121"/>
      <c r="AX8155" s="120"/>
      <c r="AY8155" s="121"/>
      <c r="AZ8155" s="138"/>
    </row>
    <row r="8156" spans="1:52" ht="17.100000000000001" customHeight="1" thickTop="1">
      <c r="A8156" s="109" t="s">
        <v>23083</v>
      </c>
      <c r="B8156" s="28">
        <v>46126</v>
      </c>
      <c r="C8156" s="25">
        <v>1937</v>
      </c>
      <c r="D8156" s="13" t="s">
        <v>23156</v>
      </c>
      <c r="E8156" s="111"/>
      <c r="F8156" s="113" t="s">
        <v>23098</v>
      </c>
      <c r="G8156" s="114"/>
      <c r="H8156" s="115"/>
      <c r="I8156" s="24" t="s">
        <v>23158</v>
      </c>
      <c r="J8156" s="116">
        <v>4</v>
      </c>
      <c r="K8156" s="118">
        <v>568000</v>
      </c>
      <c r="L8156" s="119"/>
      <c r="M8156" s="118">
        <f t="shared" ref="M8156" si="12212">K8156*0.1</f>
        <v>56800</v>
      </c>
      <c r="N8156" s="119"/>
      <c r="O8156" s="118">
        <v>0</v>
      </c>
      <c r="P8156" s="119"/>
      <c r="Q8156" s="118">
        <v>6470</v>
      </c>
      <c r="R8156" s="119"/>
      <c r="S8156" s="118">
        <v>15950</v>
      </c>
      <c r="T8156" s="119"/>
      <c r="U8156" s="118">
        <f t="shared" ref="U8156" si="12213">SUM(K8156:T8157)</f>
        <v>647220</v>
      </c>
      <c r="V8156" s="122"/>
      <c r="W8156" s="124"/>
      <c r="X8156" s="126" t="s">
        <v>23159</v>
      </c>
      <c r="Y8156" s="127"/>
      <c r="Z8156" s="127"/>
      <c r="AA8156" s="127"/>
      <c r="AB8156" s="128"/>
      <c r="AC8156" s="15" t="s">
        <v>20</v>
      </c>
      <c r="AD8156" s="129" t="s">
        <v>23149</v>
      </c>
      <c r="AE8156" s="130"/>
      <c r="AF8156" s="130"/>
      <c r="AG8156" s="130"/>
      <c r="AH8156" s="130"/>
      <c r="AI8156" s="131"/>
      <c r="AJ8156" s="132"/>
      <c r="AK8156" s="127"/>
      <c r="AL8156" s="128"/>
      <c r="AM8156" s="21"/>
      <c r="AN8156" s="133">
        <v>46137</v>
      </c>
      <c r="AO8156" s="134"/>
      <c r="AP8156" s="135">
        <v>1298</v>
      </c>
      <c r="AQ8156" s="136"/>
      <c r="AR8156" s="118">
        <v>655000</v>
      </c>
      <c r="AS8156" s="119"/>
      <c r="AT8156" s="118">
        <f t="shared" ref="AT8156" si="12214">AR8156*0.1</f>
        <v>65500</v>
      </c>
      <c r="AU8156" s="119"/>
      <c r="AV8156" s="118">
        <v>6470</v>
      </c>
      <c r="AW8156" s="119"/>
      <c r="AX8156" s="118">
        <f t="shared" ref="AX8156" si="12215">SUM(AR8156:AW8156)</f>
        <v>726970</v>
      </c>
      <c r="AY8156" s="119"/>
      <c r="AZ8156" s="137">
        <v>46140</v>
      </c>
    </row>
    <row r="8157" spans="1:52" ht="17.100000000000001" customHeight="1" thickBot="1">
      <c r="A8157" s="110"/>
      <c r="B8157" s="27" t="s">
        <v>23091</v>
      </c>
      <c r="C8157" s="27">
        <v>3443</v>
      </c>
      <c r="D8157" s="14" t="s">
        <v>23157</v>
      </c>
      <c r="E8157" s="112"/>
      <c r="F8157" s="139" t="s">
        <v>23099</v>
      </c>
      <c r="G8157" s="140"/>
      <c r="H8157" s="141"/>
      <c r="I8157" s="26">
        <v>30279</v>
      </c>
      <c r="J8157" s="117"/>
      <c r="K8157" s="120"/>
      <c r="L8157" s="121"/>
      <c r="M8157" s="120"/>
      <c r="N8157" s="121"/>
      <c r="O8157" s="120"/>
      <c r="P8157" s="121"/>
      <c r="Q8157" s="120"/>
      <c r="R8157" s="121"/>
      <c r="S8157" s="120"/>
      <c r="T8157" s="121"/>
      <c r="U8157" s="120"/>
      <c r="V8157" s="123"/>
      <c r="W8157" s="125"/>
      <c r="X8157" s="142" t="s">
        <v>11196</v>
      </c>
      <c r="Y8157" s="143"/>
      <c r="Z8157" s="143"/>
      <c r="AA8157" s="143"/>
      <c r="AB8157" s="144"/>
      <c r="AC8157" s="16" t="s">
        <v>21</v>
      </c>
      <c r="AD8157" s="17" t="s">
        <v>3711</v>
      </c>
      <c r="AE8157" s="145" t="s">
        <v>3485</v>
      </c>
      <c r="AF8157" s="146"/>
      <c r="AG8157" s="146"/>
      <c r="AH8157" s="146"/>
      <c r="AI8157" s="147"/>
      <c r="AJ8157" s="148"/>
      <c r="AK8157" s="143"/>
      <c r="AL8157" s="144"/>
      <c r="AM8157" s="22"/>
      <c r="AN8157" s="149" t="s">
        <v>2511</v>
      </c>
      <c r="AO8157" s="144"/>
      <c r="AP8157" s="148">
        <v>60080</v>
      </c>
      <c r="AQ8157" s="144"/>
      <c r="AR8157" s="120"/>
      <c r="AS8157" s="121"/>
      <c r="AT8157" s="120"/>
      <c r="AU8157" s="121"/>
      <c r="AV8157" s="120"/>
      <c r="AW8157" s="121"/>
      <c r="AX8157" s="120"/>
      <c r="AY8157" s="121"/>
      <c r="AZ8157" s="138"/>
    </row>
    <row r="8158" spans="1:52" ht="17.100000000000001" customHeight="1" thickTop="1">
      <c r="A8158" s="109" t="s">
        <v>23084</v>
      </c>
      <c r="B8158" s="28">
        <v>46126</v>
      </c>
      <c r="C8158" s="25">
        <v>1937</v>
      </c>
      <c r="D8158" s="13" t="s">
        <v>23160</v>
      </c>
      <c r="E8158" s="111"/>
      <c r="F8158" s="113" t="s">
        <v>23100</v>
      </c>
      <c r="G8158" s="114"/>
      <c r="H8158" s="115"/>
      <c r="I8158" s="24"/>
      <c r="J8158" s="116">
        <v>4</v>
      </c>
      <c r="K8158" s="118">
        <v>408000</v>
      </c>
      <c r="L8158" s="119"/>
      <c r="M8158" s="118">
        <f t="shared" ref="M8158" si="12216">K8158*0.1</f>
        <v>40800</v>
      </c>
      <c r="N8158" s="119"/>
      <c r="O8158" s="118">
        <v>0</v>
      </c>
      <c r="P8158" s="119"/>
      <c r="Q8158" s="118">
        <v>8850</v>
      </c>
      <c r="R8158" s="119"/>
      <c r="S8158" s="118">
        <v>15950</v>
      </c>
      <c r="T8158" s="119"/>
      <c r="U8158" s="118">
        <f t="shared" ref="U8158" si="12217">SUM(K8158:T8159)</f>
        <v>473600</v>
      </c>
      <c r="V8158" s="122"/>
      <c r="W8158" s="124"/>
      <c r="X8158" s="126" t="s">
        <v>23443</v>
      </c>
      <c r="Y8158" s="127"/>
      <c r="Z8158" s="127"/>
      <c r="AA8158" s="127"/>
      <c r="AB8158" s="128"/>
      <c r="AC8158" s="15" t="s">
        <v>20</v>
      </c>
      <c r="AD8158" s="129"/>
      <c r="AE8158" s="130"/>
      <c r="AF8158" s="130"/>
      <c r="AG8158" s="130"/>
      <c r="AH8158" s="130"/>
      <c r="AI8158" s="131"/>
      <c r="AJ8158" s="132"/>
      <c r="AK8158" s="127"/>
      <c r="AL8158" s="128"/>
      <c r="AM8158" s="21"/>
      <c r="AN8158" s="133">
        <v>46137</v>
      </c>
      <c r="AO8158" s="134"/>
      <c r="AP8158" s="135">
        <v>1298</v>
      </c>
      <c r="AQ8158" s="136"/>
      <c r="AR8158" s="118">
        <v>520000</v>
      </c>
      <c r="AS8158" s="119"/>
      <c r="AT8158" s="118">
        <f t="shared" ref="AT8158" si="12218">AR8158*0.1</f>
        <v>52000</v>
      </c>
      <c r="AU8158" s="119"/>
      <c r="AV8158" s="118">
        <v>8850</v>
      </c>
      <c r="AW8158" s="119"/>
      <c r="AX8158" s="118">
        <f t="shared" ref="AX8158" si="12219">SUM(AR8158:AW8158)</f>
        <v>580850</v>
      </c>
      <c r="AY8158" s="119"/>
      <c r="AZ8158" s="137">
        <v>46143</v>
      </c>
    </row>
    <row r="8159" spans="1:52" ht="17.100000000000001" customHeight="1" thickBot="1">
      <c r="A8159" s="110"/>
      <c r="B8159" s="27" t="s">
        <v>23091</v>
      </c>
      <c r="C8159" s="27">
        <v>3540</v>
      </c>
      <c r="D8159" s="14" t="s">
        <v>1720</v>
      </c>
      <c r="E8159" s="112"/>
      <c r="F8159" s="139" t="s">
        <v>23101</v>
      </c>
      <c r="G8159" s="140"/>
      <c r="H8159" s="141"/>
      <c r="I8159" s="26">
        <v>51573</v>
      </c>
      <c r="J8159" s="117"/>
      <c r="K8159" s="120"/>
      <c r="L8159" s="121"/>
      <c r="M8159" s="120"/>
      <c r="N8159" s="121"/>
      <c r="O8159" s="120"/>
      <c r="P8159" s="121"/>
      <c r="Q8159" s="120"/>
      <c r="R8159" s="121"/>
      <c r="S8159" s="120"/>
      <c r="T8159" s="121"/>
      <c r="U8159" s="120"/>
      <c r="V8159" s="123"/>
      <c r="W8159" s="125"/>
      <c r="X8159" s="142" t="s">
        <v>3986</v>
      </c>
      <c r="Y8159" s="143"/>
      <c r="Z8159" s="143"/>
      <c r="AA8159" s="143"/>
      <c r="AB8159" s="144"/>
      <c r="AC8159" s="16" t="s">
        <v>21</v>
      </c>
      <c r="AD8159" s="17" t="s">
        <v>3711</v>
      </c>
      <c r="AE8159" s="145"/>
      <c r="AF8159" s="146"/>
      <c r="AG8159" s="146"/>
      <c r="AH8159" s="146"/>
      <c r="AI8159" s="147"/>
      <c r="AJ8159" s="148"/>
      <c r="AK8159" s="143"/>
      <c r="AL8159" s="144"/>
      <c r="AM8159" s="22"/>
      <c r="AN8159" s="149" t="s">
        <v>6748</v>
      </c>
      <c r="AO8159" s="144"/>
      <c r="AP8159" s="148">
        <v>60078</v>
      </c>
      <c r="AQ8159" s="144"/>
      <c r="AR8159" s="120"/>
      <c r="AS8159" s="121"/>
      <c r="AT8159" s="120"/>
      <c r="AU8159" s="121"/>
      <c r="AV8159" s="120"/>
      <c r="AW8159" s="121"/>
      <c r="AX8159" s="120"/>
      <c r="AY8159" s="121"/>
      <c r="AZ8159" s="138"/>
    </row>
    <row r="8160" spans="1:52" ht="17.100000000000001" customHeight="1" thickTop="1">
      <c r="A8160" s="109" t="s">
        <v>23085</v>
      </c>
      <c r="B8160" s="28">
        <v>46126</v>
      </c>
      <c r="C8160" s="25">
        <v>1937</v>
      </c>
      <c r="D8160" s="13" t="s">
        <v>23161</v>
      </c>
      <c r="E8160" s="111"/>
      <c r="F8160" s="113" t="s">
        <v>23102</v>
      </c>
      <c r="G8160" s="114"/>
      <c r="H8160" s="115"/>
      <c r="I8160" s="24" t="s">
        <v>23163</v>
      </c>
      <c r="J8160" s="116">
        <v>4</v>
      </c>
      <c r="K8160" s="118">
        <v>464000</v>
      </c>
      <c r="L8160" s="119"/>
      <c r="M8160" s="118">
        <f t="shared" ref="M8160" si="12220">K8160*0.1</f>
        <v>46400</v>
      </c>
      <c r="N8160" s="119"/>
      <c r="O8160" s="118">
        <v>0</v>
      </c>
      <c r="P8160" s="119"/>
      <c r="Q8160" s="118">
        <v>9070</v>
      </c>
      <c r="R8160" s="119"/>
      <c r="S8160" s="118">
        <v>15950</v>
      </c>
      <c r="T8160" s="119"/>
      <c r="U8160" s="118">
        <f t="shared" ref="U8160" si="12221">SUM(K8160:T8161)</f>
        <v>535420</v>
      </c>
      <c r="V8160" s="122"/>
      <c r="W8160" s="124"/>
      <c r="X8160" s="126" t="s">
        <v>23439</v>
      </c>
      <c r="Y8160" s="127"/>
      <c r="Z8160" s="127"/>
      <c r="AA8160" s="127"/>
      <c r="AB8160" s="128"/>
      <c r="AC8160" s="15" t="s">
        <v>20</v>
      </c>
      <c r="AD8160" s="129" t="s">
        <v>23153</v>
      </c>
      <c r="AE8160" s="130"/>
      <c r="AF8160" s="130"/>
      <c r="AG8160" s="130"/>
      <c r="AH8160" s="130"/>
      <c r="AI8160" s="131"/>
      <c r="AJ8160" s="132"/>
      <c r="AK8160" s="127"/>
      <c r="AL8160" s="128"/>
      <c r="AM8160" s="21"/>
      <c r="AN8160" s="133">
        <v>46130</v>
      </c>
      <c r="AO8160" s="134"/>
      <c r="AP8160" s="135">
        <v>1297</v>
      </c>
      <c r="AQ8160" s="136"/>
      <c r="AR8160" s="118">
        <v>530000</v>
      </c>
      <c r="AS8160" s="119"/>
      <c r="AT8160" s="118">
        <f t="shared" ref="AT8160" si="12222">AR8160*0.1</f>
        <v>53000</v>
      </c>
      <c r="AU8160" s="119"/>
      <c r="AV8160" s="118">
        <v>9070</v>
      </c>
      <c r="AW8160" s="119"/>
      <c r="AX8160" s="118">
        <f t="shared" ref="AX8160" si="12223">SUM(AR8160:AW8160)</f>
        <v>592070</v>
      </c>
      <c r="AY8160" s="119"/>
      <c r="AZ8160" s="137">
        <v>46133</v>
      </c>
    </row>
    <row r="8161" spans="1:52" ht="17.100000000000001" customHeight="1" thickBot="1">
      <c r="A8161" s="110"/>
      <c r="B8161" s="27" t="s">
        <v>23091</v>
      </c>
      <c r="C8161" s="27">
        <v>3544</v>
      </c>
      <c r="D8161" s="14" t="s">
        <v>23162</v>
      </c>
      <c r="E8161" s="112"/>
      <c r="F8161" s="139" t="s">
        <v>23103</v>
      </c>
      <c r="G8161" s="140"/>
      <c r="H8161" s="141"/>
      <c r="I8161" s="26">
        <v>29352</v>
      </c>
      <c r="J8161" s="117"/>
      <c r="K8161" s="120"/>
      <c r="L8161" s="121"/>
      <c r="M8161" s="120"/>
      <c r="N8161" s="121"/>
      <c r="O8161" s="120"/>
      <c r="P8161" s="121"/>
      <c r="Q8161" s="120"/>
      <c r="R8161" s="121"/>
      <c r="S8161" s="120"/>
      <c r="T8161" s="121"/>
      <c r="U8161" s="120"/>
      <c r="V8161" s="123"/>
      <c r="W8161" s="125"/>
      <c r="X8161" s="142" t="s">
        <v>21953</v>
      </c>
      <c r="Y8161" s="143"/>
      <c r="Z8161" s="143"/>
      <c r="AA8161" s="143"/>
      <c r="AB8161" s="144"/>
      <c r="AC8161" s="16" t="s">
        <v>21</v>
      </c>
      <c r="AD8161" s="17" t="s">
        <v>3711</v>
      </c>
      <c r="AE8161" s="145" t="s">
        <v>23440</v>
      </c>
      <c r="AF8161" s="146"/>
      <c r="AG8161" s="146"/>
      <c r="AH8161" s="146"/>
      <c r="AI8161" s="147"/>
      <c r="AJ8161" s="148"/>
      <c r="AK8161" s="143"/>
      <c r="AL8161" s="144"/>
      <c r="AM8161" s="22"/>
      <c r="AN8161" s="149" t="s">
        <v>2511</v>
      </c>
      <c r="AO8161" s="144"/>
      <c r="AP8161" s="148">
        <v>60432</v>
      </c>
      <c r="AQ8161" s="144"/>
      <c r="AR8161" s="120"/>
      <c r="AS8161" s="121"/>
      <c r="AT8161" s="120"/>
      <c r="AU8161" s="121"/>
      <c r="AV8161" s="120"/>
      <c r="AW8161" s="121"/>
      <c r="AX8161" s="120"/>
      <c r="AY8161" s="121"/>
      <c r="AZ8161" s="138"/>
    </row>
    <row r="8162" spans="1:52" ht="17.100000000000001" customHeight="1" thickTop="1">
      <c r="A8162" s="109" t="s">
        <v>23086</v>
      </c>
      <c r="B8162" s="28">
        <v>46126</v>
      </c>
      <c r="C8162" s="25">
        <v>1937</v>
      </c>
      <c r="D8162" s="13" t="s">
        <v>23164</v>
      </c>
      <c r="E8162" s="111"/>
      <c r="F8162" s="113" t="s">
        <v>23104</v>
      </c>
      <c r="G8162" s="114"/>
      <c r="H8162" s="115"/>
      <c r="I8162" s="24"/>
      <c r="J8162" s="116">
        <v>4</v>
      </c>
      <c r="K8162" s="118">
        <v>635000</v>
      </c>
      <c r="L8162" s="119"/>
      <c r="M8162" s="118">
        <f t="shared" ref="M8162" si="12224">K8162*0.1</f>
        <v>63500</v>
      </c>
      <c r="N8162" s="119"/>
      <c r="O8162" s="118">
        <v>0</v>
      </c>
      <c r="P8162" s="119"/>
      <c r="Q8162" s="118">
        <v>11850</v>
      </c>
      <c r="R8162" s="119"/>
      <c r="S8162" s="118">
        <v>15950</v>
      </c>
      <c r="T8162" s="119"/>
      <c r="U8162" s="118">
        <f t="shared" ref="U8162" si="12225">SUM(K8162:T8163)</f>
        <v>726300</v>
      </c>
      <c r="V8162" s="122"/>
      <c r="W8162" s="124"/>
      <c r="X8162" s="126" t="s">
        <v>23860</v>
      </c>
      <c r="Y8162" s="127"/>
      <c r="Z8162" s="127"/>
      <c r="AA8162" s="127"/>
      <c r="AB8162" s="128"/>
      <c r="AC8162" s="15" t="s">
        <v>20</v>
      </c>
      <c r="AD8162" s="129"/>
      <c r="AE8162" s="130"/>
      <c r="AF8162" s="130"/>
      <c r="AG8162" s="130"/>
      <c r="AH8162" s="130"/>
      <c r="AI8162" s="131"/>
      <c r="AJ8162" s="132"/>
      <c r="AK8162" s="127"/>
      <c r="AL8162" s="128"/>
      <c r="AM8162" s="21"/>
      <c r="AN8162" s="133">
        <v>46130</v>
      </c>
      <c r="AO8162" s="134"/>
      <c r="AP8162" s="135">
        <v>1297</v>
      </c>
      <c r="AQ8162" s="136"/>
      <c r="AR8162" s="118">
        <v>735000</v>
      </c>
      <c r="AS8162" s="119"/>
      <c r="AT8162" s="118">
        <f t="shared" ref="AT8162" si="12226">AR8162*0.1</f>
        <v>73500</v>
      </c>
      <c r="AU8162" s="119"/>
      <c r="AV8162" s="118">
        <v>11850</v>
      </c>
      <c r="AW8162" s="119"/>
      <c r="AX8162" s="118">
        <f t="shared" ref="AX8162" si="12227">SUM(AR8162:AW8162)</f>
        <v>820350</v>
      </c>
      <c r="AY8162" s="119"/>
      <c r="AZ8162" s="137">
        <v>46135</v>
      </c>
    </row>
    <row r="8163" spans="1:52" ht="17.100000000000001" customHeight="1" thickBot="1">
      <c r="A8163" s="110"/>
      <c r="B8163" s="27" t="s">
        <v>23091</v>
      </c>
      <c r="C8163" s="27">
        <v>5039</v>
      </c>
      <c r="D8163" s="14" t="s">
        <v>23165</v>
      </c>
      <c r="E8163" s="112"/>
      <c r="F8163" s="139" t="s">
        <v>23365</v>
      </c>
      <c r="G8163" s="140"/>
      <c r="H8163" s="141"/>
      <c r="I8163" s="26">
        <v>22284</v>
      </c>
      <c r="J8163" s="117"/>
      <c r="K8163" s="120"/>
      <c r="L8163" s="121"/>
      <c r="M8163" s="120"/>
      <c r="N8163" s="121"/>
      <c r="O8163" s="120"/>
      <c r="P8163" s="121"/>
      <c r="Q8163" s="120"/>
      <c r="R8163" s="121"/>
      <c r="S8163" s="120"/>
      <c r="T8163" s="121"/>
      <c r="U8163" s="120"/>
      <c r="V8163" s="123"/>
      <c r="W8163" s="125"/>
      <c r="X8163" s="142" t="s">
        <v>5250</v>
      </c>
      <c r="Y8163" s="143"/>
      <c r="Z8163" s="143"/>
      <c r="AA8163" s="143"/>
      <c r="AB8163" s="144"/>
      <c r="AC8163" s="16" t="s">
        <v>21</v>
      </c>
      <c r="AD8163" s="17" t="s">
        <v>23859</v>
      </c>
      <c r="AE8163" s="145" t="s">
        <v>23363</v>
      </c>
      <c r="AF8163" s="146"/>
      <c r="AG8163" s="146"/>
      <c r="AH8163" s="146"/>
      <c r="AI8163" s="147"/>
      <c r="AJ8163" s="148"/>
      <c r="AK8163" s="143"/>
      <c r="AL8163" s="144"/>
      <c r="AM8163" s="22"/>
      <c r="AN8163" s="149" t="s">
        <v>2511</v>
      </c>
      <c r="AO8163" s="144"/>
      <c r="AP8163" s="148">
        <v>80352</v>
      </c>
      <c r="AQ8163" s="144"/>
      <c r="AR8163" s="120"/>
      <c r="AS8163" s="121"/>
      <c r="AT8163" s="120"/>
      <c r="AU8163" s="121"/>
      <c r="AV8163" s="120"/>
      <c r="AW8163" s="121"/>
      <c r="AX8163" s="120"/>
      <c r="AY8163" s="121"/>
      <c r="AZ8163" s="138"/>
    </row>
    <row r="8164" spans="1:52" ht="17.100000000000001" customHeight="1" thickTop="1">
      <c r="A8164" s="109" t="s">
        <v>23087</v>
      </c>
      <c r="B8164" s="28">
        <v>46126</v>
      </c>
      <c r="C8164" s="25">
        <v>1937</v>
      </c>
      <c r="D8164" s="13" t="s">
        <v>23166</v>
      </c>
      <c r="E8164" s="111"/>
      <c r="F8164" s="113" t="s">
        <v>23105</v>
      </c>
      <c r="G8164" s="114"/>
      <c r="H8164" s="115"/>
      <c r="I8164" s="24"/>
      <c r="J8164" s="116">
        <v>4</v>
      </c>
      <c r="K8164" s="118">
        <v>775000</v>
      </c>
      <c r="L8164" s="119"/>
      <c r="M8164" s="118">
        <f t="shared" ref="M8164" si="12228">K8164*0.1</f>
        <v>77500</v>
      </c>
      <c r="N8164" s="119"/>
      <c r="O8164" s="118">
        <v>0</v>
      </c>
      <c r="P8164" s="119"/>
      <c r="Q8164" s="118">
        <v>9200</v>
      </c>
      <c r="R8164" s="119"/>
      <c r="S8164" s="118">
        <v>15950</v>
      </c>
      <c r="T8164" s="119"/>
      <c r="U8164" s="118">
        <f t="shared" ref="U8164" si="12229">SUM(K8164:T8165)</f>
        <v>877650</v>
      </c>
      <c r="V8164" s="122"/>
      <c r="W8164" s="124"/>
      <c r="X8164" s="126" t="s">
        <v>23782</v>
      </c>
      <c r="Y8164" s="127"/>
      <c r="Z8164" s="127"/>
      <c r="AA8164" s="127"/>
      <c r="AB8164" s="128"/>
      <c r="AC8164" s="15" t="s">
        <v>20</v>
      </c>
      <c r="AD8164" s="129" t="s">
        <v>23167</v>
      </c>
      <c r="AE8164" s="130"/>
      <c r="AF8164" s="130"/>
      <c r="AG8164" s="130"/>
      <c r="AH8164" s="130"/>
      <c r="AI8164" s="131"/>
      <c r="AJ8164" s="132"/>
      <c r="AK8164" s="127"/>
      <c r="AL8164" s="128"/>
      <c r="AM8164" s="21"/>
      <c r="AN8164" s="133">
        <v>46158</v>
      </c>
      <c r="AO8164" s="134"/>
      <c r="AP8164" s="135">
        <v>1300</v>
      </c>
      <c r="AQ8164" s="136"/>
      <c r="AR8164" s="118">
        <v>875000</v>
      </c>
      <c r="AS8164" s="119"/>
      <c r="AT8164" s="118">
        <f t="shared" ref="AT8164" si="12230">AR8164*0.1</f>
        <v>87500</v>
      </c>
      <c r="AU8164" s="119"/>
      <c r="AV8164" s="118">
        <v>9200</v>
      </c>
      <c r="AW8164" s="119"/>
      <c r="AX8164" s="118">
        <f t="shared" ref="AX8164" si="12231">SUM(AR8164:AW8164)</f>
        <v>971700</v>
      </c>
      <c r="AY8164" s="119"/>
      <c r="AZ8164" s="137">
        <v>46161</v>
      </c>
    </row>
    <row r="8165" spans="1:52" ht="17.100000000000001" customHeight="1" thickBot="1">
      <c r="A8165" s="110"/>
      <c r="B8165" s="27" t="s">
        <v>23091</v>
      </c>
      <c r="C8165" s="27">
        <v>5404</v>
      </c>
      <c r="D8165" s="14" t="s">
        <v>1720</v>
      </c>
      <c r="E8165" s="112"/>
      <c r="F8165" s="139" t="s">
        <v>23106</v>
      </c>
      <c r="G8165" s="140"/>
      <c r="H8165" s="141"/>
      <c r="I8165" s="26">
        <v>40233</v>
      </c>
      <c r="J8165" s="117"/>
      <c r="K8165" s="120"/>
      <c r="L8165" s="121"/>
      <c r="M8165" s="120"/>
      <c r="N8165" s="121"/>
      <c r="O8165" s="120"/>
      <c r="P8165" s="121"/>
      <c r="Q8165" s="120"/>
      <c r="R8165" s="121"/>
      <c r="S8165" s="120"/>
      <c r="T8165" s="121"/>
      <c r="U8165" s="120"/>
      <c r="V8165" s="123"/>
      <c r="W8165" s="125"/>
      <c r="X8165" s="142" t="s">
        <v>14352</v>
      </c>
      <c r="Y8165" s="143"/>
      <c r="Z8165" s="143"/>
      <c r="AA8165" s="143"/>
      <c r="AB8165" s="144"/>
      <c r="AC8165" s="16" t="s">
        <v>21</v>
      </c>
      <c r="AD8165" s="17" t="s">
        <v>23773</v>
      </c>
      <c r="AE8165" s="145" t="s">
        <v>9867</v>
      </c>
      <c r="AF8165" s="146"/>
      <c r="AG8165" s="146"/>
      <c r="AH8165" s="146"/>
      <c r="AI8165" s="147"/>
      <c r="AJ8165" s="148"/>
      <c r="AK8165" s="143"/>
      <c r="AL8165" s="144"/>
      <c r="AM8165" s="22"/>
      <c r="AN8165" s="149" t="s">
        <v>2511</v>
      </c>
      <c r="AO8165" s="144"/>
      <c r="AP8165" s="148">
        <v>60009</v>
      </c>
      <c r="AQ8165" s="144"/>
      <c r="AR8165" s="120"/>
      <c r="AS8165" s="121"/>
      <c r="AT8165" s="120"/>
      <c r="AU8165" s="121"/>
      <c r="AV8165" s="120"/>
      <c r="AW8165" s="121"/>
      <c r="AX8165" s="120"/>
      <c r="AY8165" s="121"/>
      <c r="AZ8165" s="138"/>
    </row>
    <row r="8166" spans="1:52" ht="17.100000000000001" customHeight="1" thickTop="1">
      <c r="A8166" s="109" t="s">
        <v>23088</v>
      </c>
      <c r="B8166" s="28">
        <v>46126</v>
      </c>
      <c r="C8166" s="25">
        <v>1937</v>
      </c>
      <c r="D8166" s="13" t="s">
        <v>23168</v>
      </c>
      <c r="E8166" s="111"/>
      <c r="F8166" s="113" t="s">
        <v>18180</v>
      </c>
      <c r="G8166" s="114"/>
      <c r="H8166" s="115"/>
      <c r="I8166" s="24"/>
      <c r="J8166" s="116">
        <v>4.5</v>
      </c>
      <c r="K8166" s="118">
        <v>1125000</v>
      </c>
      <c r="L8166" s="119"/>
      <c r="M8166" s="118">
        <f t="shared" ref="M8166" si="12232">K8166*0.1</f>
        <v>112500</v>
      </c>
      <c r="N8166" s="119"/>
      <c r="O8166" s="118">
        <v>0</v>
      </c>
      <c r="P8166" s="119"/>
      <c r="Q8166" s="118">
        <v>7440</v>
      </c>
      <c r="R8166" s="119"/>
      <c r="S8166" s="118">
        <v>15950</v>
      </c>
      <c r="T8166" s="119"/>
      <c r="U8166" s="118">
        <f t="shared" ref="U8166" si="12233">SUM(K8166:T8167)</f>
        <v>1260890</v>
      </c>
      <c r="V8166" s="122"/>
      <c r="W8166" s="124"/>
      <c r="X8166" s="126" t="s">
        <v>23781</v>
      </c>
      <c r="Y8166" s="127"/>
      <c r="Z8166" s="127"/>
      <c r="AA8166" s="127"/>
      <c r="AB8166" s="128"/>
      <c r="AC8166" s="15" t="s">
        <v>20</v>
      </c>
      <c r="AD8166" s="129"/>
      <c r="AE8166" s="130"/>
      <c r="AF8166" s="130"/>
      <c r="AG8166" s="130"/>
      <c r="AH8166" s="130"/>
      <c r="AI8166" s="131"/>
      <c r="AJ8166" s="132"/>
      <c r="AK8166" s="127"/>
      <c r="AL8166" s="128"/>
      <c r="AM8166" s="21"/>
      <c r="AN8166" s="133">
        <v>46158</v>
      </c>
      <c r="AO8166" s="134"/>
      <c r="AP8166" s="135">
        <v>1300</v>
      </c>
      <c r="AQ8166" s="136"/>
      <c r="AR8166" s="118">
        <v>1245000</v>
      </c>
      <c r="AS8166" s="119"/>
      <c r="AT8166" s="118">
        <f t="shared" ref="AT8166" si="12234">AR8166*0.1</f>
        <v>124500</v>
      </c>
      <c r="AU8166" s="119"/>
      <c r="AV8166" s="118">
        <v>7440</v>
      </c>
      <c r="AW8166" s="119"/>
      <c r="AX8166" s="118">
        <f t="shared" ref="AX8166" si="12235">SUM(AR8166:AW8166)</f>
        <v>1376940</v>
      </c>
      <c r="AY8166" s="119"/>
      <c r="AZ8166" s="137">
        <v>46161</v>
      </c>
    </row>
    <row r="8167" spans="1:52" ht="17.100000000000001" customHeight="1" thickBot="1">
      <c r="A8167" s="110"/>
      <c r="B8167" s="27" t="s">
        <v>23091</v>
      </c>
      <c r="C8167" s="27">
        <v>79174</v>
      </c>
      <c r="D8167" s="14" t="s">
        <v>1720</v>
      </c>
      <c r="E8167" s="112"/>
      <c r="F8167" s="139" t="s">
        <v>23107</v>
      </c>
      <c r="G8167" s="140"/>
      <c r="H8167" s="141"/>
      <c r="I8167" s="26">
        <v>24037</v>
      </c>
      <c r="J8167" s="117"/>
      <c r="K8167" s="120"/>
      <c r="L8167" s="121"/>
      <c r="M8167" s="120"/>
      <c r="N8167" s="121"/>
      <c r="O8167" s="120"/>
      <c r="P8167" s="121"/>
      <c r="Q8167" s="120"/>
      <c r="R8167" s="121"/>
      <c r="S8167" s="120"/>
      <c r="T8167" s="121"/>
      <c r="U8167" s="120"/>
      <c r="V8167" s="123"/>
      <c r="W8167" s="125"/>
      <c r="X8167" s="142" t="s">
        <v>7450</v>
      </c>
      <c r="Y8167" s="143"/>
      <c r="Z8167" s="143"/>
      <c r="AA8167" s="143"/>
      <c r="AB8167" s="144"/>
      <c r="AC8167" s="16" t="s">
        <v>21</v>
      </c>
      <c r="AD8167" s="17" t="s">
        <v>23773</v>
      </c>
      <c r="AE8167" s="145" t="s">
        <v>23332</v>
      </c>
      <c r="AF8167" s="146"/>
      <c r="AG8167" s="146"/>
      <c r="AH8167" s="146"/>
      <c r="AI8167" s="147"/>
      <c r="AJ8167" s="148"/>
      <c r="AK8167" s="143"/>
      <c r="AL8167" s="144"/>
      <c r="AM8167" s="22"/>
      <c r="AN8167" s="149" t="s">
        <v>2511</v>
      </c>
      <c r="AO8167" s="144"/>
      <c r="AP8167" s="148">
        <v>41022</v>
      </c>
      <c r="AQ8167" s="144"/>
      <c r="AR8167" s="120"/>
      <c r="AS8167" s="121"/>
      <c r="AT8167" s="120"/>
      <c r="AU8167" s="121"/>
      <c r="AV8167" s="120"/>
      <c r="AW8167" s="121"/>
      <c r="AX8167" s="120"/>
      <c r="AY8167" s="121"/>
      <c r="AZ8167" s="138"/>
    </row>
    <row r="8168" spans="1:52" ht="17.100000000000001" customHeight="1" thickTop="1">
      <c r="A8168" s="109" t="s">
        <v>23089</v>
      </c>
      <c r="B8168" s="28">
        <v>46126</v>
      </c>
      <c r="C8168" s="25">
        <v>815</v>
      </c>
      <c r="D8168" s="13" t="s">
        <v>23156</v>
      </c>
      <c r="E8168" s="111"/>
      <c r="F8168" s="113" t="s">
        <v>18180</v>
      </c>
      <c r="G8168" s="114"/>
      <c r="H8168" s="115"/>
      <c r="I8168" s="24"/>
      <c r="J8168" s="116">
        <v>4</v>
      </c>
      <c r="K8168" s="118">
        <v>975000</v>
      </c>
      <c r="L8168" s="119"/>
      <c r="M8168" s="118">
        <f t="shared" ref="M8168" si="12236">K8168*0.1</f>
        <v>97500</v>
      </c>
      <c r="N8168" s="119"/>
      <c r="O8168" s="118">
        <v>0</v>
      </c>
      <c r="P8168" s="119"/>
      <c r="Q8168" s="118">
        <v>7440</v>
      </c>
      <c r="R8168" s="119"/>
      <c r="S8168" s="118">
        <v>15950</v>
      </c>
      <c r="T8168" s="119"/>
      <c r="U8168" s="118">
        <f t="shared" ref="U8168" si="12237">SUM(K8168:T8169)</f>
        <v>1095890</v>
      </c>
      <c r="V8168" s="122"/>
      <c r="W8168" s="124"/>
      <c r="X8168" s="126" t="s">
        <v>23865</v>
      </c>
      <c r="Y8168" s="127"/>
      <c r="Z8168" s="127"/>
      <c r="AA8168" s="127"/>
      <c r="AB8168" s="128"/>
      <c r="AC8168" s="15" t="s">
        <v>20</v>
      </c>
      <c r="AD8168" s="129"/>
      <c r="AE8168" s="130"/>
      <c r="AF8168" s="130"/>
      <c r="AG8168" s="130"/>
      <c r="AH8168" s="130"/>
      <c r="AI8168" s="131"/>
      <c r="AJ8168" s="132"/>
      <c r="AK8168" s="127"/>
      <c r="AL8168" s="128"/>
      <c r="AM8168" s="21"/>
      <c r="AN8168" s="133"/>
      <c r="AO8168" s="134"/>
      <c r="AP8168" s="135"/>
      <c r="AQ8168" s="136"/>
      <c r="AR8168" s="118"/>
      <c r="AS8168" s="119"/>
      <c r="AT8168" s="118">
        <f t="shared" ref="AT8168" si="12238">AR8168*0.1</f>
        <v>0</v>
      </c>
      <c r="AU8168" s="119"/>
      <c r="AV8168" s="118"/>
      <c r="AW8168" s="119"/>
      <c r="AX8168" s="118">
        <f t="shared" ref="AX8168" si="12239">SUM(AR8168:AW8168)</f>
        <v>0</v>
      </c>
      <c r="AY8168" s="119"/>
      <c r="AZ8168" s="137"/>
    </row>
    <row r="8169" spans="1:52" ht="17.100000000000001" customHeight="1" thickBot="1">
      <c r="A8169" s="110"/>
      <c r="B8169" s="27" t="s">
        <v>23117</v>
      </c>
      <c r="C8169" s="27">
        <v>62001</v>
      </c>
      <c r="D8169" s="14" t="s">
        <v>1592</v>
      </c>
      <c r="E8169" s="112"/>
      <c r="F8169" s="139" t="s">
        <v>23118</v>
      </c>
      <c r="G8169" s="140"/>
      <c r="H8169" s="141"/>
      <c r="I8169" s="26">
        <v>34827</v>
      </c>
      <c r="J8169" s="117"/>
      <c r="K8169" s="120"/>
      <c r="L8169" s="121"/>
      <c r="M8169" s="120"/>
      <c r="N8169" s="121"/>
      <c r="O8169" s="120"/>
      <c r="P8169" s="121"/>
      <c r="Q8169" s="120"/>
      <c r="R8169" s="121"/>
      <c r="S8169" s="120"/>
      <c r="T8169" s="121"/>
      <c r="U8169" s="120"/>
      <c r="V8169" s="123"/>
      <c r="W8169" s="125"/>
      <c r="X8169" s="142" t="s">
        <v>7450</v>
      </c>
      <c r="Y8169" s="143"/>
      <c r="Z8169" s="143"/>
      <c r="AA8169" s="143"/>
      <c r="AB8169" s="144"/>
      <c r="AC8169" s="16" t="s">
        <v>21</v>
      </c>
      <c r="AD8169" s="17" t="s">
        <v>23859</v>
      </c>
      <c r="AE8169" s="145"/>
      <c r="AF8169" s="146"/>
      <c r="AG8169" s="146"/>
      <c r="AH8169" s="146"/>
      <c r="AI8169" s="147"/>
      <c r="AJ8169" s="148"/>
      <c r="AK8169" s="143"/>
      <c r="AL8169" s="144"/>
      <c r="AM8169" s="22"/>
      <c r="AN8169" s="149"/>
      <c r="AO8169" s="144"/>
      <c r="AP8169" s="148"/>
      <c r="AQ8169" s="144"/>
      <c r="AR8169" s="120"/>
      <c r="AS8169" s="121"/>
      <c r="AT8169" s="120"/>
      <c r="AU8169" s="121"/>
      <c r="AV8169" s="120"/>
      <c r="AW8169" s="121"/>
      <c r="AX8169" s="120"/>
      <c r="AY8169" s="121"/>
      <c r="AZ8169" s="138"/>
    </row>
    <row r="8170" spans="1:52" ht="17.100000000000001" customHeight="1" thickTop="1">
      <c r="A8170" s="109" t="s">
        <v>23090</v>
      </c>
      <c r="B8170" s="28">
        <v>46126</v>
      </c>
      <c r="C8170" s="25">
        <v>815</v>
      </c>
      <c r="D8170" s="13" t="s">
        <v>23169</v>
      </c>
      <c r="E8170" s="111"/>
      <c r="F8170" s="113" t="s">
        <v>23119</v>
      </c>
      <c r="G8170" s="114"/>
      <c r="H8170" s="115"/>
      <c r="I8170" s="24"/>
      <c r="J8170" s="116">
        <v>4.5</v>
      </c>
      <c r="K8170" s="118">
        <v>1230000</v>
      </c>
      <c r="L8170" s="119"/>
      <c r="M8170" s="118">
        <f t="shared" ref="M8170" si="12240">K8170*0.1</f>
        <v>123000</v>
      </c>
      <c r="N8170" s="119"/>
      <c r="O8170" s="118">
        <v>0</v>
      </c>
      <c r="P8170" s="119"/>
      <c r="Q8170" s="118">
        <v>8990</v>
      </c>
      <c r="R8170" s="119"/>
      <c r="S8170" s="118">
        <v>15950</v>
      </c>
      <c r="T8170" s="119"/>
      <c r="U8170" s="118">
        <f t="shared" ref="U8170" si="12241">SUM(K8170:T8171)</f>
        <v>1377940</v>
      </c>
      <c r="V8170" s="122"/>
      <c r="W8170" s="124"/>
      <c r="X8170" s="126" t="s">
        <v>23864</v>
      </c>
      <c r="Y8170" s="127"/>
      <c r="Z8170" s="127"/>
      <c r="AA8170" s="127"/>
      <c r="AB8170" s="128"/>
      <c r="AC8170" s="15" t="s">
        <v>20</v>
      </c>
      <c r="AD8170" s="129"/>
      <c r="AE8170" s="130"/>
      <c r="AF8170" s="130"/>
      <c r="AG8170" s="130"/>
      <c r="AH8170" s="130"/>
      <c r="AI8170" s="131"/>
      <c r="AJ8170" s="132"/>
      <c r="AK8170" s="127"/>
      <c r="AL8170" s="128"/>
      <c r="AM8170" s="21"/>
      <c r="AN8170" s="133">
        <v>46130</v>
      </c>
      <c r="AO8170" s="134"/>
      <c r="AP8170" s="135">
        <v>1297</v>
      </c>
      <c r="AQ8170" s="136"/>
      <c r="AR8170" s="118">
        <v>1350000</v>
      </c>
      <c r="AS8170" s="119"/>
      <c r="AT8170" s="118">
        <f t="shared" ref="AT8170" si="12242">AR8170*0.1</f>
        <v>135000</v>
      </c>
      <c r="AU8170" s="119"/>
      <c r="AV8170" s="118">
        <v>8990</v>
      </c>
      <c r="AW8170" s="119"/>
      <c r="AX8170" s="118">
        <f t="shared" ref="AX8170" si="12243">SUM(AR8170:AW8170)</f>
        <v>1493990</v>
      </c>
      <c r="AY8170" s="119"/>
      <c r="AZ8170" s="137">
        <v>46139</v>
      </c>
    </row>
    <row r="8171" spans="1:52" ht="17.100000000000001" customHeight="1" thickBot="1">
      <c r="A8171" s="110"/>
      <c r="B8171" s="27" t="s">
        <v>23117</v>
      </c>
      <c r="C8171" s="27">
        <v>62034</v>
      </c>
      <c r="D8171" s="14" t="s">
        <v>23157</v>
      </c>
      <c r="E8171" s="112"/>
      <c r="F8171" s="139" t="s">
        <v>23120</v>
      </c>
      <c r="G8171" s="140"/>
      <c r="H8171" s="141"/>
      <c r="I8171" s="26">
        <v>32402</v>
      </c>
      <c r="J8171" s="117"/>
      <c r="K8171" s="120"/>
      <c r="L8171" s="121"/>
      <c r="M8171" s="120"/>
      <c r="N8171" s="121"/>
      <c r="O8171" s="120"/>
      <c r="P8171" s="121"/>
      <c r="Q8171" s="120"/>
      <c r="R8171" s="121"/>
      <c r="S8171" s="120"/>
      <c r="T8171" s="121"/>
      <c r="U8171" s="120"/>
      <c r="V8171" s="123"/>
      <c r="W8171" s="125"/>
      <c r="X8171" s="142" t="s">
        <v>7450</v>
      </c>
      <c r="Y8171" s="143"/>
      <c r="Z8171" s="143"/>
      <c r="AA8171" s="143"/>
      <c r="AB8171" s="144"/>
      <c r="AC8171" s="16" t="s">
        <v>21</v>
      </c>
      <c r="AD8171" s="17" t="s">
        <v>23859</v>
      </c>
      <c r="AE8171" s="145"/>
      <c r="AF8171" s="146"/>
      <c r="AG8171" s="146"/>
      <c r="AH8171" s="146"/>
      <c r="AI8171" s="147"/>
      <c r="AJ8171" s="148"/>
      <c r="AK8171" s="143"/>
      <c r="AL8171" s="144"/>
      <c r="AM8171" s="22"/>
      <c r="AN8171" s="149" t="s">
        <v>6748</v>
      </c>
      <c r="AO8171" s="144"/>
      <c r="AP8171" s="148">
        <v>41064</v>
      </c>
      <c r="AQ8171" s="144"/>
      <c r="AR8171" s="120"/>
      <c r="AS8171" s="121"/>
      <c r="AT8171" s="120"/>
      <c r="AU8171" s="121"/>
      <c r="AV8171" s="120"/>
      <c r="AW8171" s="121"/>
      <c r="AX8171" s="120"/>
      <c r="AY8171" s="121"/>
      <c r="AZ8171" s="138"/>
    </row>
    <row r="8172" spans="1:52" ht="17.100000000000001" customHeight="1" thickTop="1">
      <c r="A8172" s="109" t="s">
        <v>23108</v>
      </c>
      <c r="B8172" s="28">
        <v>46126</v>
      </c>
      <c r="C8172" s="25">
        <v>815</v>
      </c>
      <c r="D8172" s="13" t="s">
        <v>23170</v>
      </c>
      <c r="E8172" s="111"/>
      <c r="F8172" s="113" t="s">
        <v>23121</v>
      </c>
      <c r="G8172" s="114"/>
      <c r="H8172" s="115"/>
      <c r="I8172" s="24"/>
      <c r="J8172" s="116">
        <v>4</v>
      </c>
      <c r="K8172" s="118">
        <v>877000</v>
      </c>
      <c r="L8172" s="119"/>
      <c r="M8172" s="118">
        <f t="shared" ref="M8172" si="12244">K8172*0.1</f>
        <v>87700</v>
      </c>
      <c r="N8172" s="119"/>
      <c r="O8172" s="118">
        <v>0</v>
      </c>
      <c r="P8172" s="119"/>
      <c r="Q8172" s="118">
        <v>12450</v>
      </c>
      <c r="R8172" s="119"/>
      <c r="S8172" s="118">
        <v>15950</v>
      </c>
      <c r="T8172" s="119"/>
      <c r="U8172" s="118">
        <f t="shared" ref="U8172" si="12245">SUM(K8172:T8173)</f>
        <v>993100</v>
      </c>
      <c r="V8172" s="122"/>
      <c r="W8172" s="124"/>
      <c r="X8172" s="126" t="s">
        <v>23779</v>
      </c>
      <c r="Y8172" s="127"/>
      <c r="Z8172" s="127"/>
      <c r="AA8172" s="127"/>
      <c r="AB8172" s="128"/>
      <c r="AC8172" s="15" t="s">
        <v>20</v>
      </c>
      <c r="AD8172" s="129"/>
      <c r="AE8172" s="130"/>
      <c r="AF8172" s="130"/>
      <c r="AG8172" s="130"/>
      <c r="AH8172" s="130"/>
      <c r="AI8172" s="131"/>
      <c r="AJ8172" s="132"/>
      <c r="AK8172" s="127"/>
      <c r="AL8172" s="128"/>
      <c r="AM8172" s="21"/>
      <c r="AN8172" s="133">
        <v>46130</v>
      </c>
      <c r="AO8172" s="134"/>
      <c r="AP8172" s="135">
        <v>1297</v>
      </c>
      <c r="AQ8172" s="136"/>
      <c r="AR8172" s="118">
        <v>1000000</v>
      </c>
      <c r="AS8172" s="119"/>
      <c r="AT8172" s="118">
        <f t="shared" ref="AT8172" si="12246">AR8172*0.1</f>
        <v>100000</v>
      </c>
      <c r="AU8172" s="119"/>
      <c r="AV8172" s="118">
        <v>12450</v>
      </c>
      <c r="AW8172" s="119"/>
      <c r="AX8172" s="118">
        <f t="shared" ref="AX8172" si="12247">SUM(AR8172:AW8172)</f>
        <v>1112450</v>
      </c>
      <c r="AY8172" s="119"/>
      <c r="AZ8172" s="137">
        <v>46139</v>
      </c>
    </row>
    <row r="8173" spans="1:52" ht="17.100000000000001" customHeight="1" thickBot="1">
      <c r="A8173" s="110"/>
      <c r="B8173" s="27" t="s">
        <v>23117</v>
      </c>
      <c r="C8173" s="27">
        <v>70009</v>
      </c>
      <c r="D8173" s="14" t="s">
        <v>23165</v>
      </c>
      <c r="E8173" s="112"/>
      <c r="F8173" s="139" t="s">
        <v>23171</v>
      </c>
      <c r="G8173" s="140"/>
      <c r="H8173" s="141"/>
      <c r="I8173" s="26">
        <v>59360</v>
      </c>
      <c r="J8173" s="117"/>
      <c r="K8173" s="120"/>
      <c r="L8173" s="121"/>
      <c r="M8173" s="120"/>
      <c r="N8173" s="121"/>
      <c r="O8173" s="120"/>
      <c r="P8173" s="121"/>
      <c r="Q8173" s="120"/>
      <c r="R8173" s="121"/>
      <c r="S8173" s="120"/>
      <c r="T8173" s="121"/>
      <c r="U8173" s="120"/>
      <c r="V8173" s="123"/>
      <c r="W8173" s="125"/>
      <c r="X8173" s="142" t="s">
        <v>23777</v>
      </c>
      <c r="Y8173" s="143"/>
      <c r="Z8173" s="143"/>
      <c r="AA8173" s="143"/>
      <c r="AB8173" s="144"/>
      <c r="AC8173" s="16" t="s">
        <v>21</v>
      </c>
      <c r="AD8173" s="17" t="s">
        <v>23773</v>
      </c>
      <c r="AE8173" s="145" t="s">
        <v>23796</v>
      </c>
      <c r="AF8173" s="146"/>
      <c r="AG8173" s="146"/>
      <c r="AH8173" s="146"/>
      <c r="AI8173" s="147"/>
      <c r="AJ8173" s="148"/>
      <c r="AK8173" s="143"/>
      <c r="AL8173" s="144"/>
      <c r="AM8173" s="22"/>
      <c r="AN8173" s="149" t="s">
        <v>6748</v>
      </c>
      <c r="AO8173" s="144"/>
      <c r="AP8173" s="148">
        <v>80395</v>
      </c>
      <c r="AQ8173" s="144"/>
      <c r="AR8173" s="120"/>
      <c r="AS8173" s="121"/>
      <c r="AT8173" s="120"/>
      <c r="AU8173" s="121"/>
      <c r="AV8173" s="120"/>
      <c r="AW8173" s="121"/>
      <c r="AX8173" s="120"/>
      <c r="AY8173" s="121"/>
      <c r="AZ8173" s="138"/>
    </row>
    <row r="8174" spans="1:52" ht="17.100000000000001" customHeight="1" thickTop="1">
      <c r="A8174" s="109" t="s">
        <v>23109</v>
      </c>
      <c r="B8174" s="28">
        <v>46126</v>
      </c>
      <c r="C8174" s="25">
        <v>815</v>
      </c>
      <c r="D8174" s="13" t="s">
        <v>23172</v>
      </c>
      <c r="E8174" s="111"/>
      <c r="F8174" s="113" t="s">
        <v>23122</v>
      </c>
      <c r="G8174" s="114"/>
      <c r="H8174" s="115"/>
      <c r="I8174" s="24" t="s">
        <v>23174</v>
      </c>
      <c r="J8174" s="116">
        <v>4.5</v>
      </c>
      <c r="K8174" s="118">
        <v>1811000</v>
      </c>
      <c r="L8174" s="119"/>
      <c r="M8174" s="118">
        <f t="shared" ref="M8174" si="12248">K8174*0.1</f>
        <v>181100</v>
      </c>
      <c r="N8174" s="119"/>
      <c r="O8174" s="118">
        <v>36300</v>
      </c>
      <c r="P8174" s="119"/>
      <c r="Q8174" s="118">
        <v>19180</v>
      </c>
      <c r="R8174" s="119"/>
      <c r="S8174" s="118">
        <v>15950</v>
      </c>
      <c r="T8174" s="119"/>
      <c r="U8174" s="118">
        <f t="shared" ref="U8174" si="12249">SUM(K8174:T8175)</f>
        <v>2063530</v>
      </c>
      <c r="V8174" s="122"/>
      <c r="W8174" s="124"/>
      <c r="X8174" s="126" t="s">
        <v>23175</v>
      </c>
      <c r="Y8174" s="127"/>
      <c r="Z8174" s="127"/>
      <c r="AA8174" s="127"/>
      <c r="AB8174" s="128"/>
      <c r="AC8174" s="15" t="s">
        <v>20</v>
      </c>
      <c r="AD8174" s="129" t="s">
        <v>23176</v>
      </c>
      <c r="AE8174" s="130"/>
      <c r="AF8174" s="130"/>
      <c r="AG8174" s="130"/>
      <c r="AH8174" s="130"/>
      <c r="AI8174" s="131"/>
      <c r="AJ8174" s="132"/>
      <c r="AK8174" s="127"/>
      <c r="AL8174" s="128"/>
      <c r="AM8174" s="21"/>
      <c r="AN8174" s="133">
        <v>46137</v>
      </c>
      <c r="AO8174" s="134"/>
      <c r="AP8174" s="135">
        <v>1298</v>
      </c>
      <c r="AQ8174" s="136"/>
      <c r="AR8174" s="118">
        <v>1950000</v>
      </c>
      <c r="AS8174" s="119"/>
      <c r="AT8174" s="118">
        <f t="shared" ref="AT8174" si="12250">AR8174*0.1</f>
        <v>195000</v>
      </c>
      <c r="AU8174" s="119"/>
      <c r="AV8174" s="118">
        <v>19180</v>
      </c>
      <c r="AW8174" s="119"/>
      <c r="AX8174" s="118">
        <f t="shared" ref="AX8174" si="12251">SUM(AR8174:AW8174)</f>
        <v>2164180</v>
      </c>
      <c r="AY8174" s="119"/>
      <c r="AZ8174" s="137">
        <v>46154</v>
      </c>
    </row>
    <row r="8175" spans="1:52" ht="17.100000000000001" customHeight="1" thickBot="1">
      <c r="A8175" s="110"/>
      <c r="B8175" s="27" t="s">
        <v>23117</v>
      </c>
      <c r="C8175" s="27">
        <v>70141</v>
      </c>
      <c r="D8175" s="14" t="s">
        <v>2601</v>
      </c>
      <c r="E8175" s="112"/>
      <c r="F8175" s="139" t="s">
        <v>23173</v>
      </c>
      <c r="G8175" s="140"/>
      <c r="H8175" s="141"/>
      <c r="I8175" s="26">
        <v>77013</v>
      </c>
      <c r="J8175" s="117"/>
      <c r="K8175" s="120"/>
      <c r="L8175" s="121"/>
      <c r="M8175" s="120"/>
      <c r="N8175" s="121"/>
      <c r="O8175" s="120"/>
      <c r="P8175" s="121"/>
      <c r="Q8175" s="120"/>
      <c r="R8175" s="121"/>
      <c r="S8175" s="120"/>
      <c r="T8175" s="121"/>
      <c r="U8175" s="120"/>
      <c r="V8175" s="123"/>
      <c r="W8175" s="125"/>
      <c r="X8175" s="142" t="s">
        <v>23324</v>
      </c>
      <c r="Y8175" s="143"/>
      <c r="Z8175" s="143"/>
      <c r="AA8175" s="143"/>
      <c r="AB8175" s="144"/>
      <c r="AC8175" s="16" t="s">
        <v>21</v>
      </c>
      <c r="AD8175" s="17" t="s">
        <v>23320</v>
      </c>
      <c r="AE8175" s="145" t="s">
        <v>23326</v>
      </c>
      <c r="AF8175" s="146"/>
      <c r="AG8175" s="146"/>
      <c r="AH8175" s="146"/>
      <c r="AI8175" s="147"/>
      <c r="AJ8175" s="148"/>
      <c r="AK8175" s="143"/>
      <c r="AL8175" s="144"/>
      <c r="AM8175" s="22"/>
      <c r="AN8175" s="149" t="s">
        <v>6749</v>
      </c>
      <c r="AO8175" s="144"/>
      <c r="AP8175" s="148">
        <v>80020</v>
      </c>
      <c r="AQ8175" s="144"/>
      <c r="AR8175" s="120"/>
      <c r="AS8175" s="121"/>
      <c r="AT8175" s="120"/>
      <c r="AU8175" s="121"/>
      <c r="AV8175" s="120"/>
      <c r="AW8175" s="121"/>
      <c r="AX8175" s="120"/>
      <c r="AY8175" s="121"/>
      <c r="AZ8175" s="138"/>
    </row>
    <row r="8176" spans="1:52" ht="17.100000000000001" customHeight="1" thickTop="1">
      <c r="A8176" s="109" t="s">
        <v>23110</v>
      </c>
      <c r="B8176" s="28">
        <v>46126</v>
      </c>
      <c r="C8176" s="25">
        <v>935</v>
      </c>
      <c r="D8176" s="13" t="s">
        <v>23177</v>
      </c>
      <c r="E8176" s="111"/>
      <c r="F8176" s="113" t="s">
        <v>23124</v>
      </c>
      <c r="G8176" s="114"/>
      <c r="H8176" s="115"/>
      <c r="I8176" s="24"/>
      <c r="J8176" s="116">
        <v>4.5</v>
      </c>
      <c r="K8176" s="118">
        <v>578000</v>
      </c>
      <c r="L8176" s="119"/>
      <c r="M8176" s="118">
        <f t="shared" ref="M8176" si="12252">K8176*0.1</f>
        <v>57800</v>
      </c>
      <c r="N8176" s="119"/>
      <c r="O8176" s="118">
        <v>0</v>
      </c>
      <c r="P8176" s="119"/>
      <c r="Q8176" s="118">
        <v>8430</v>
      </c>
      <c r="R8176" s="119"/>
      <c r="S8176" s="118">
        <v>15950</v>
      </c>
      <c r="T8176" s="119"/>
      <c r="U8176" s="118">
        <f t="shared" ref="U8176" si="12253">SUM(K8176:T8177)</f>
        <v>660180</v>
      </c>
      <c r="V8176" s="122"/>
      <c r="W8176" s="124"/>
      <c r="X8176" s="126" t="s">
        <v>24664</v>
      </c>
      <c r="Y8176" s="127"/>
      <c r="Z8176" s="127"/>
      <c r="AA8176" s="127"/>
      <c r="AB8176" s="128"/>
      <c r="AC8176" s="15" t="s">
        <v>20</v>
      </c>
      <c r="AD8176" s="129"/>
      <c r="AE8176" s="130"/>
      <c r="AF8176" s="130"/>
      <c r="AG8176" s="130"/>
      <c r="AH8176" s="130"/>
      <c r="AI8176" s="131"/>
      <c r="AJ8176" s="132"/>
      <c r="AK8176" s="127"/>
      <c r="AL8176" s="128"/>
      <c r="AM8176" s="21"/>
      <c r="AN8176" s="133">
        <v>46130</v>
      </c>
      <c r="AO8176" s="134"/>
      <c r="AP8176" s="135">
        <v>1297</v>
      </c>
      <c r="AQ8176" s="136"/>
      <c r="AR8176" s="118">
        <v>695000</v>
      </c>
      <c r="AS8176" s="119"/>
      <c r="AT8176" s="118">
        <f t="shared" ref="AT8176" si="12254">AR8176*0.1</f>
        <v>69500</v>
      </c>
      <c r="AU8176" s="119"/>
      <c r="AV8176" s="118">
        <v>8430</v>
      </c>
      <c r="AW8176" s="119"/>
      <c r="AX8176" s="118">
        <f t="shared" ref="AX8176" si="12255">SUM(AR8176:AW8176)</f>
        <v>772930</v>
      </c>
      <c r="AY8176" s="119"/>
      <c r="AZ8176" s="137">
        <v>46135</v>
      </c>
    </row>
    <row r="8177" spans="1:52" ht="17.100000000000001" customHeight="1" thickBot="1">
      <c r="A8177" s="110"/>
      <c r="B8177" s="27" t="s">
        <v>23123</v>
      </c>
      <c r="C8177" s="27">
        <v>3060</v>
      </c>
      <c r="D8177" s="14" t="s">
        <v>1720</v>
      </c>
      <c r="E8177" s="112"/>
      <c r="F8177" s="139" t="s">
        <v>23125</v>
      </c>
      <c r="G8177" s="140"/>
      <c r="H8177" s="141"/>
      <c r="I8177" s="26">
        <v>13419</v>
      </c>
      <c r="J8177" s="117"/>
      <c r="K8177" s="120"/>
      <c r="L8177" s="121"/>
      <c r="M8177" s="120"/>
      <c r="N8177" s="121"/>
      <c r="O8177" s="120"/>
      <c r="P8177" s="121"/>
      <c r="Q8177" s="120"/>
      <c r="R8177" s="121"/>
      <c r="S8177" s="120"/>
      <c r="T8177" s="121"/>
      <c r="U8177" s="120"/>
      <c r="V8177" s="123"/>
      <c r="W8177" s="125"/>
      <c r="X8177" s="142" t="s">
        <v>10418</v>
      </c>
      <c r="Y8177" s="143"/>
      <c r="Z8177" s="143"/>
      <c r="AA8177" s="143"/>
      <c r="AB8177" s="144"/>
      <c r="AC8177" s="16" t="s">
        <v>21</v>
      </c>
      <c r="AD8177" s="17" t="s">
        <v>3711</v>
      </c>
      <c r="AE8177" s="145" t="s">
        <v>5075</v>
      </c>
      <c r="AF8177" s="146"/>
      <c r="AG8177" s="146"/>
      <c r="AH8177" s="146"/>
      <c r="AI8177" s="147"/>
      <c r="AJ8177" s="148"/>
      <c r="AK8177" s="143"/>
      <c r="AL8177" s="144"/>
      <c r="AM8177" s="22"/>
      <c r="AN8177" s="149" t="s">
        <v>2511</v>
      </c>
      <c r="AO8177" s="144"/>
      <c r="AP8177" s="148">
        <v>60461</v>
      </c>
      <c r="AQ8177" s="144"/>
      <c r="AR8177" s="120"/>
      <c r="AS8177" s="121"/>
      <c r="AT8177" s="120"/>
      <c r="AU8177" s="121"/>
      <c r="AV8177" s="120"/>
      <c r="AW8177" s="121"/>
      <c r="AX8177" s="120"/>
      <c r="AY8177" s="121"/>
      <c r="AZ8177" s="138"/>
    </row>
    <row r="8178" spans="1:52" ht="17.100000000000001" customHeight="1" thickTop="1">
      <c r="A8178" s="109" t="s">
        <v>23111</v>
      </c>
      <c r="B8178" s="28">
        <v>46126</v>
      </c>
      <c r="C8178" s="25">
        <v>935</v>
      </c>
      <c r="D8178" s="13" t="s">
        <v>23156</v>
      </c>
      <c r="E8178" s="111"/>
      <c r="F8178" s="113" t="s">
        <v>23126</v>
      </c>
      <c r="G8178" s="114"/>
      <c r="H8178" s="115"/>
      <c r="I8178" s="24" t="s">
        <v>23178</v>
      </c>
      <c r="J8178" s="116">
        <v>3.5</v>
      </c>
      <c r="K8178" s="118">
        <v>472000</v>
      </c>
      <c r="L8178" s="119"/>
      <c r="M8178" s="118">
        <f t="shared" ref="M8178" si="12256">K8178*0.1</f>
        <v>47200</v>
      </c>
      <c r="N8178" s="119"/>
      <c r="O8178" s="118">
        <v>0</v>
      </c>
      <c r="P8178" s="119"/>
      <c r="Q8178" s="118">
        <v>7140</v>
      </c>
      <c r="R8178" s="119"/>
      <c r="S8178" s="118">
        <v>15950</v>
      </c>
      <c r="T8178" s="119"/>
      <c r="U8178" s="118">
        <f t="shared" ref="U8178" si="12257">SUM(K8178:T8179)</f>
        <v>542290</v>
      </c>
      <c r="V8178" s="122"/>
      <c r="W8178" s="124"/>
      <c r="X8178" s="126" t="s">
        <v>23436</v>
      </c>
      <c r="Y8178" s="127"/>
      <c r="Z8178" s="127"/>
      <c r="AA8178" s="127"/>
      <c r="AB8178" s="128"/>
      <c r="AC8178" s="15" t="s">
        <v>20</v>
      </c>
      <c r="AD8178" s="129" t="s">
        <v>23153</v>
      </c>
      <c r="AE8178" s="130"/>
      <c r="AF8178" s="130"/>
      <c r="AG8178" s="130"/>
      <c r="AH8178" s="130"/>
      <c r="AI8178" s="131"/>
      <c r="AJ8178" s="132"/>
      <c r="AK8178" s="127"/>
      <c r="AL8178" s="128"/>
      <c r="AM8178" s="21"/>
      <c r="AN8178" s="133">
        <v>46130</v>
      </c>
      <c r="AO8178" s="134"/>
      <c r="AP8178" s="135">
        <v>1297</v>
      </c>
      <c r="AQ8178" s="136"/>
      <c r="AR8178" s="118">
        <v>640000</v>
      </c>
      <c r="AS8178" s="119"/>
      <c r="AT8178" s="118">
        <f t="shared" ref="AT8178" si="12258">AR8178*0.1</f>
        <v>64000</v>
      </c>
      <c r="AU8178" s="119"/>
      <c r="AV8178" s="118">
        <v>7140</v>
      </c>
      <c r="AW8178" s="119"/>
      <c r="AX8178" s="118">
        <f t="shared" ref="AX8178" si="12259">SUM(AR8178:AW8178)</f>
        <v>711140</v>
      </c>
      <c r="AY8178" s="119"/>
      <c r="AZ8178" s="137">
        <v>46139</v>
      </c>
    </row>
    <row r="8179" spans="1:52" ht="17.100000000000001" customHeight="1" thickBot="1">
      <c r="A8179" s="110"/>
      <c r="B8179" s="27" t="s">
        <v>23123</v>
      </c>
      <c r="C8179" s="27">
        <v>3105</v>
      </c>
      <c r="D8179" s="14" t="s">
        <v>23155</v>
      </c>
      <c r="E8179" s="112"/>
      <c r="F8179" s="139" t="s">
        <v>23127</v>
      </c>
      <c r="G8179" s="140"/>
      <c r="H8179" s="141"/>
      <c r="I8179" s="26">
        <v>39985</v>
      </c>
      <c r="J8179" s="117"/>
      <c r="K8179" s="120"/>
      <c r="L8179" s="121"/>
      <c r="M8179" s="120"/>
      <c r="N8179" s="121"/>
      <c r="O8179" s="120"/>
      <c r="P8179" s="121"/>
      <c r="Q8179" s="120"/>
      <c r="R8179" s="121"/>
      <c r="S8179" s="120"/>
      <c r="T8179" s="121"/>
      <c r="U8179" s="120"/>
      <c r="V8179" s="123"/>
      <c r="W8179" s="125"/>
      <c r="X8179" s="142" t="s">
        <v>3562</v>
      </c>
      <c r="Y8179" s="143"/>
      <c r="Z8179" s="143"/>
      <c r="AA8179" s="143"/>
      <c r="AB8179" s="144"/>
      <c r="AC8179" s="16" t="s">
        <v>21</v>
      </c>
      <c r="AD8179" s="17" t="s">
        <v>3711</v>
      </c>
      <c r="AE8179" s="145" t="s">
        <v>19219</v>
      </c>
      <c r="AF8179" s="146"/>
      <c r="AG8179" s="146"/>
      <c r="AH8179" s="146"/>
      <c r="AI8179" s="147"/>
      <c r="AJ8179" s="148"/>
      <c r="AK8179" s="143"/>
      <c r="AL8179" s="144"/>
      <c r="AM8179" s="22"/>
      <c r="AN8179" s="149" t="s">
        <v>6748</v>
      </c>
      <c r="AO8179" s="144"/>
      <c r="AP8179" s="148">
        <v>60471</v>
      </c>
      <c r="AQ8179" s="144"/>
      <c r="AR8179" s="120"/>
      <c r="AS8179" s="121"/>
      <c r="AT8179" s="120"/>
      <c r="AU8179" s="121"/>
      <c r="AV8179" s="120"/>
      <c r="AW8179" s="121"/>
      <c r="AX8179" s="120"/>
      <c r="AY8179" s="121"/>
      <c r="AZ8179" s="138"/>
    </row>
    <row r="8180" spans="1:52" ht="17.100000000000001" customHeight="1" thickTop="1">
      <c r="A8180" s="109" t="s">
        <v>23112</v>
      </c>
      <c r="B8180" s="28">
        <v>46126</v>
      </c>
      <c r="C8180" s="25">
        <v>935</v>
      </c>
      <c r="D8180" s="13" t="s">
        <v>23179</v>
      </c>
      <c r="E8180" s="111"/>
      <c r="F8180" s="113" t="s">
        <v>23128</v>
      </c>
      <c r="G8180" s="114"/>
      <c r="H8180" s="115"/>
      <c r="I8180" s="24" t="s">
        <v>23147</v>
      </c>
      <c r="J8180" s="116">
        <v>4.5</v>
      </c>
      <c r="K8180" s="118">
        <v>485000</v>
      </c>
      <c r="L8180" s="119"/>
      <c r="M8180" s="118">
        <f t="shared" ref="M8180" si="12260">K8180*0.1</f>
        <v>48500</v>
      </c>
      <c r="N8180" s="119"/>
      <c r="O8180" s="118">
        <v>0</v>
      </c>
      <c r="P8180" s="119"/>
      <c r="Q8180" s="118">
        <v>9200</v>
      </c>
      <c r="R8180" s="119"/>
      <c r="S8180" s="118">
        <v>15950</v>
      </c>
      <c r="T8180" s="119"/>
      <c r="U8180" s="118">
        <f t="shared" ref="U8180" si="12261">SUM(K8180:T8181)</f>
        <v>558650</v>
      </c>
      <c r="V8180" s="122"/>
      <c r="W8180" s="124"/>
      <c r="X8180" s="126" t="s">
        <v>23435</v>
      </c>
      <c r="Y8180" s="127"/>
      <c r="Z8180" s="127"/>
      <c r="AA8180" s="127"/>
      <c r="AB8180" s="128"/>
      <c r="AC8180" s="15" t="s">
        <v>20</v>
      </c>
      <c r="AD8180" s="129" t="s">
        <v>23153</v>
      </c>
      <c r="AE8180" s="130"/>
      <c r="AF8180" s="130"/>
      <c r="AG8180" s="130"/>
      <c r="AH8180" s="130"/>
      <c r="AI8180" s="131"/>
      <c r="AJ8180" s="132"/>
      <c r="AK8180" s="127"/>
      <c r="AL8180" s="128"/>
      <c r="AM8180" s="21" t="s">
        <v>25216</v>
      </c>
      <c r="AN8180" s="133">
        <v>46144</v>
      </c>
      <c r="AO8180" s="134"/>
      <c r="AP8180" s="135">
        <v>1299</v>
      </c>
      <c r="AQ8180" s="136"/>
      <c r="AR8180" s="118">
        <v>565000</v>
      </c>
      <c r="AS8180" s="119"/>
      <c r="AT8180" s="118">
        <f t="shared" ref="AT8180" si="12262">AR8180*0.1</f>
        <v>56500</v>
      </c>
      <c r="AU8180" s="119"/>
      <c r="AV8180" s="118">
        <v>9200</v>
      </c>
      <c r="AW8180" s="119"/>
      <c r="AX8180" s="118">
        <f t="shared" ref="AX8180" si="12263">SUM(AR8180:AW8180)</f>
        <v>630700</v>
      </c>
      <c r="AY8180" s="119"/>
      <c r="AZ8180" s="137">
        <v>46154</v>
      </c>
    </row>
    <row r="8181" spans="1:52" ht="17.100000000000001" customHeight="1" thickBot="1">
      <c r="A8181" s="110"/>
      <c r="B8181" s="27" t="s">
        <v>23123</v>
      </c>
      <c r="C8181" s="27">
        <v>3136</v>
      </c>
      <c r="D8181" s="14" t="s">
        <v>23180</v>
      </c>
      <c r="E8181" s="112"/>
      <c r="F8181" s="139" t="s">
        <v>23129</v>
      </c>
      <c r="G8181" s="140"/>
      <c r="H8181" s="141"/>
      <c r="I8181" s="26">
        <v>46857</v>
      </c>
      <c r="J8181" s="117"/>
      <c r="K8181" s="120"/>
      <c r="L8181" s="121"/>
      <c r="M8181" s="120"/>
      <c r="N8181" s="121"/>
      <c r="O8181" s="120"/>
      <c r="P8181" s="121"/>
      <c r="Q8181" s="120"/>
      <c r="R8181" s="121"/>
      <c r="S8181" s="120"/>
      <c r="T8181" s="121"/>
      <c r="U8181" s="120"/>
      <c r="V8181" s="123"/>
      <c r="W8181" s="125"/>
      <c r="X8181" s="142" t="s">
        <v>4628</v>
      </c>
      <c r="Y8181" s="143"/>
      <c r="Z8181" s="143"/>
      <c r="AA8181" s="143"/>
      <c r="AB8181" s="144"/>
      <c r="AC8181" s="16" t="s">
        <v>21</v>
      </c>
      <c r="AD8181" s="17" t="s">
        <v>3711</v>
      </c>
      <c r="AE8181" s="145" t="s">
        <v>19219</v>
      </c>
      <c r="AF8181" s="146"/>
      <c r="AG8181" s="146"/>
      <c r="AH8181" s="146"/>
      <c r="AI8181" s="147"/>
      <c r="AJ8181" s="148"/>
      <c r="AK8181" s="143"/>
      <c r="AL8181" s="144"/>
      <c r="AM8181" s="22"/>
      <c r="AN8181" s="149" t="s">
        <v>25047</v>
      </c>
      <c r="AO8181" s="144"/>
      <c r="AP8181" s="148">
        <v>60047</v>
      </c>
      <c r="AQ8181" s="144"/>
      <c r="AR8181" s="120"/>
      <c r="AS8181" s="121"/>
      <c r="AT8181" s="120"/>
      <c r="AU8181" s="121"/>
      <c r="AV8181" s="120"/>
      <c r="AW8181" s="121"/>
      <c r="AX8181" s="120"/>
      <c r="AY8181" s="121"/>
      <c r="AZ8181" s="138"/>
    </row>
    <row r="8182" spans="1:52" ht="17.100000000000001" customHeight="1" thickTop="1">
      <c r="A8182" s="109" t="s">
        <v>23113</v>
      </c>
      <c r="B8182" s="28">
        <v>46126</v>
      </c>
      <c r="C8182" s="25">
        <v>935</v>
      </c>
      <c r="D8182" s="13" t="s">
        <v>23181</v>
      </c>
      <c r="E8182" s="111"/>
      <c r="F8182" s="113" t="s">
        <v>23130</v>
      </c>
      <c r="G8182" s="114"/>
      <c r="H8182" s="115"/>
      <c r="I8182" s="24"/>
      <c r="J8182" s="116">
        <v>4.5</v>
      </c>
      <c r="K8182" s="118">
        <v>1150000</v>
      </c>
      <c r="L8182" s="119"/>
      <c r="M8182" s="118">
        <f t="shared" ref="M8182" si="12264">K8182*0.1</f>
        <v>115000</v>
      </c>
      <c r="N8182" s="119"/>
      <c r="O8182" s="118">
        <v>0</v>
      </c>
      <c r="P8182" s="119"/>
      <c r="Q8182" s="118">
        <v>15470</v>
      </c>
      <c r="R8182" s="119"/>
      <c r="S8182" s="118">
        <v>15950</v>
      </c>
      <c r="T8182" s="119"/>
      <c r="U8182" s="118">
        <f t="shared" ref="U8182" si="12265">SUM(K8182:T8183)</f>
        <v>1296420</v>
      </c>
      <c r="V8182" s="122"/>
      <c r="W8182" s="124"/>
      <c r="X8182" s="126" t="s">
        <v>23778</v>
      </c>
      <c r="Y8182" s="127"/>
      <c r="Z8182" s="127"/>
      <c r="AA8182" s="127"/>
      <c r="AB8182" s="128"/>
      <c r="AC8182" s="15" t="s">
        <v>20</v>
      </c>
      <c r="AD8182" s="129"/>
      <c r="AE8182" s="130"/>
      <c r="AF8182" s="130"/>
      <c r="AG8182" s="130"/>
      <c r="AH8182" s="130"/>
      <c r="AI8182" s="131"/>
      <c r="AJ8182" s="132"/>
      <c r="AK8182" s="127"/>
      <c r="AL8182" s="128"/>
      <c r="AM8182" s="21"/>
      <c r="AN8182" s="133">
        <v>46144</v>
      </c>
      <c r="AO8182" s="134"/>
      <c r="AP8182" s="135">
        <v>1299</v>
      </c>
      <c r="AQ8182" s="136"/>
      <c r="AR8182" s="118">
        <v>1270000</v>
      </c>
      <c r="AS8182" s="119"/>
      <c r="AT8182" s="118">
        <f t="shared" ref="AT8182" si="12266">AR8182*0.1</f>
        <v>127000</v>
      </c>
      <c r="AU8182" s="119"/>
      <c r="AV8182" s="118">
        <v>15470</v>
      </c>
      <c r="AW8182" s="119"/>
      <c r="AX8182" s="118">
        <f t="shared" ref="AX8182" si="12267">SUM(AR8182:AW8182)</f>
        <v>1412470</v>
      </c>
      <c r="AY8182" s="119"/>
      <c r="AZ8182" s="137">
        <v>46154</v>
      </c>
    </row>
    <row r="8183" spans="1:52" ht="17.100000000000001" customHeight="1" thickBot="1">
      <c r="A8183" s="110"/>
      <c r="B8183" s="27" t="s">
        <v>23123</v>
      </c>
      <c r="C8183" s="27">
        <v>5013</v>
      </c>
      <c r="D8183" s="14" t="s">
        <v>2601</v>
      </c>
      <c r="E8183" s="112"/>
      <c r="F8183" s="139" t="s">
        <v>23182</v>
      </c>
      <c r="G8183" s="140"/>
      <c r="H8183" s="141"/>
      <c r="I8183" s="26">
        <v>42161</v>
      </c>
      <c r="J8183" s="117"/>
      <c r="K8183" s="120"/>
      <c r="L8183" s="121"/>
      <c r="M8183" s="120"/>
      <c r="N8183" s="121"/>
      <c r="O8183" s="120"/>
      <c r="P8183" s="121"/>
      <c r="Q8183" s="120"/>
      <c r="R8183" s="121"/>
      <c r="S8183" s="120"/>
      <c r="T8183" s="121"/>
      <c r="U8183" s="120"/>
      <c r="V8183" s="123"/>
      <c r="W8183" s="125"/>
      <c r="X8183" s="142" t="s">
        <v>16203</v>
      </c>
      <c r="Y8183" s="143"/>
      <c r="Z8183" s="143"/>
      <c r="AA8183" s="143"/>
      <c r="AB8183" s="144"/>
      <c r="AC8183" s="16" t="s">
        <v>21</v>
      </c>
      <c r="AD8183" s="17" t="s">
        <v>23773</v>
      </c>
      <c r="AE8183" s="145"/>
      <c r="AF8183" s="146"/>
      <c r="AG8183" s="146"/>
      <c r="AH8183" s="146"/>
      <c r="AI8183" s="147"/>
      <c r="AJ8183" s="148"/>
      <c r="AK8183" s="143"/>
      <c r="AL8183" s="144"/>
      <c r="AM8183" s="22"/>
      <c r="AN8183" s="149" t="s">
        <v>25047</v>
      </c>
      <c r="AO8183" s="144"/>
      <c r="AP8183" s="148">
        <v>80246</v>
      </c>
      <c r="AQ8183" s="144"/>
      <c r="AR8183" s="120"/>
      <c r="AS8183" s="121"/>
      <c r="AT8183" s="120"/>
      <c r="AU8183" s="121"/>
      <c r="AV8183" s="120"/>
      <c r="AW8183" s="121"/>
      <c r="AX8183" s="120"/>
      <c r="AY8183" s="121"/>
      <c r="AZ8183" s="138"/>
    </row>
    <row r="8184" spans="1:52" ht="17.100000000000001" customHeight="1" thickTop="1">
      <c r="A8184" s="109" t="s">
        <v>23114</v>
      </c>
      <c r="B8184" s="28">
        <v>46126</v>
      </c>
      <c r="C8184" s="25">
        <v>935</v>
      </c>
      <c r="D8184" s="13" t="s">
        <v>23183</v>
      </c>
      <c r="E8184" s="111"/>
      <c r="F8184" s="113" t="s">
        <v>21445</v>
      </c>
      <c r="G8184" s="114"/>
      <c r="H8184" s="115"/>
      <c r="I8184" s="24" t="s">
        <v>23185</v>
      </c>
      <c r="J8184" s="116">
        <v>4.5</v>
      </c>
      <c r="K8184" s="118">
        <v>2136000</v>
      </c>
      <c r="L8184" s="119"/>
      <c r="M8184" s="118">
        <f t="shared" ref="M8184" si="12268">K8184*0.1</f>
        <v>213600</v>
      </c>
      <c r="N8184" s="119"/>
      <c r="O8184" s="118">
        <v>36300</v>
      </c>
      <c r="P8184" s="119"/>
      <c r="Q8184" s="118">
        <v>18170</v>
      </c>
      <c r="R8184" s="119"/>
      <c r="S8184" s="118">
        <v>15950</v>
      </c>
      <c r="T8184" s="119"/>
      <c r="U8184" s="118">
        <f t="shared" ref="U8184" si="12269">SUM(K8184:T8185)</f>
        <v>2420020</v>
      </c>
      <c r="V8184" s="122"/>
      <c r="W8184" s="124"/>
      <c r="X8184" s="126" t="s">
        <v>23186</v>
      </c>
      <c r="Y8184" s="127"/>
      <c r="Z8184" s="127"/>
      <c r="AA8184" s="127"/>
      <c r="AB8184" s="128"/>
      <c r="AC8184" s="15" t="s">
        <v>20</v>
      </c>
      <c r="AD8184" s="129" t="s">
        <v>23187</v>
      </c>
      <c r="AE8184" s="130"/>
      <c r="AF8184" s="130"/>
      <c r="AG8184" s="130"/>
      <c r="AH8184" s="130"/>
      <c r="AI8184" s="131"/>
      <c r="AJ8184" s="132"/>
      <c r="AK8184" s="127"/>
      <c r="AL8184" s="128"/>
      <c r="AM8184" s="21"/>
      <c r="AN8184" s="133">
        <v>46130</v>
      </c>
      <c r="AO8184" s="134"/>
      <c r="AP8184" s="135">
        <v>1297</v>
      </c>
      <c r="AQ8184" s="136"/>
      <c r="AR8184" s="118">
        <v>2490000</v>
      </c>
      <c r="AS8184" s="119"/>
      <c r="AT8184" s="118">
        <f t="shared" ref="AT8184" si="12270">AR8184*0.1</f>
        <v>249000</v>
      </c>
      <c r="AU8184" s="119"/>
      <c r="AV8184" s="118">
        <v>18170</v>
      </c>
      <c r="AW8184" s="119"/>
      <c r="AX8184" s="118">
        <f t="shared" ref="AX8184" si="12271">SUM(AR8184:AW8184)</f>
        <v>2757170</v>
      </c>
      <c r="AY8184" s="119"/>
      <c r="AZ8184" s="137">
        <v>46133</v>
      </c>
    </row>
    <row r="8185" spans="1:52" ht="17.100000000000001" customHeight="1" thickBot="1">
      <c r="A8185" s="110"/>
      <c r="B8185" s="27" t="s">
        <v>23123</v>
      </c>
      <c r="C8185" s="27">
        <v>5029</v>
      </c>
      <c r="D8185" s="14" t="s">
        <v>1812</v>
      </c>
      <c r="E8185" s="112"/>
      <c r="F8185" s="139" t="s">
        <v>23184</v>
      </c>
      <c r="G8185" s="140"/>
      <c r="H8185" s="141"/>
      <c r="I8185" s="26">
        <v>44401</v>
      </c>
      <c r="J8185" s="117"/>
      <c r="K8185" s="120"/>
      <c r="L8185" s="121"/>
      <c r="M8185" s="120"/>
      <c r="N8185" s="121"/>
      <c r="O8185" s="120"/>
      <c r="P8185" s="121"/>
      <c r="Q8185" s="120"/>
      <c r="R8185" s="121"/>
      <c r="S8185" s="120"/>
      <c r="T8185" s="121"/>
      <c r="U8185" s="120"/>
      <c r="V8185" s="123"/>
      <c r="W8185" s="125"/>
      <c r="X8185" s="142" t="s">
        <v>23434</v>
      </c>
      <c r="Y8185" s="143"/>
      <c r="Z8185" s="143"/>
      <c r="AA8185" s="143"/>
      <c r="AB8185" s="144"/>
      <c r="AC8185" s="16" t="s">
        <v>21</v>
      </c>
      <c r="AD8185" s="17" t="s">
        <v>3711</v>
      </c>
      <c r="AE8185" s="145" t="s">
        <v>1614</v>
      </c>
      <c r="AF8185" s="146"/>
      <c r="AG8185" s="146"/>
      <c r="AH8185" s="146"/>
      <c r="AI8185" s="147"/>
      <c r="AJ8185" s="148"/>
      <c r="AK8185" s="143"/>
      <c r="AL8185" s="144"/>
      <c r="AM8185" s="22"/>
      <c r="AN8185" s="149" t="s">
        <v>2511</v>
      </c>
      <c r="AO8185" s="144"/>
      <c r="AP8185" s="148">
        <v>80392</v>
      </c>
      <c r="AQ8185" s="144"/>
      <c r="AR8185" s="120"/>
      <c r="AS8185" s="121"/>
      <c r="AT8185" s="120"/>
      <c r="AU8185" s="121"/>
      <c r="AV8185" s="120"/>
      <c r="AW8185" s="121"/>
      <c r="AX8185" s="120"/>
      <c r="AY8185" s="121"/>
      <c r="AZ8185" s="138"/>
    </row>
    <row r="8186" spans="1:52" ht="17.100000000000001" customHeight="1" thickTop="1">
      <c r="A8186" s="109" t="s">
        <v>23115</v>
      </c>
      <c r="B8186" s="28">
        <v>46126</v>
      </c>
      <c r="C8186" s="25">
        <v>971</v>
      </c>
      <c r="D8186" s="13" t="s">
        <v>23156</v>
      </c>
      <c r="E8186" s="111"/>
      <c r="F8186" s="113" t="s">
        <v>23132</v>
      </c>
      <c r="G8186" s="114"/>
      <c r="H8186" s="115"/>
      <c r="I8186" s="24"/>
      <c r="J8186" s="116">
        <v>4</v>
      </c>
      <c r="K8186" s="118">
        <v>1860000</v>
      </c>
      <c r="L8186" s="119"/>
      <c r="M8186" s="118">
        <f t="shared" ref="M8186" si="12272">K8186*0.1</f>
        <v>186000</v>
      </c>
      <c r="N8186" s="119"/>
      <c r="O8186" s="118">
        <v>0</v>
      </c>
      <c r="P8186" s="119"/>
      <c r="Q8186" s="118">
        <v>12370</v>
      </c>
      <c r="R8186" s="119"/>
      <c r="S8186" s="118">
        <v>15950</v>
      </c>
      <c r="T8186" s="119"/>
      <c r="U8186" s="118">
        <f t="shared" ref="U8186" si="12273">SUM(K8186:T8187)</f>
        <v>2074320</v>
      </c>
      <c r="V8186" s="122"/>
      <c r="W8186" s="124"/>
      <c r="X8186" s="126" t="s">
        <v>24018</v>
      </c>
      <c r="Y8186" s="127"/>
      <c r="Z8186" s="127"/>
      <c r="AA8186" s="127"/>
      <c r="AB8186" s="128"/>
      <c r="AC8186" s="15" t="s">
        <v>20</v>
      </c>
      <c r="AD8186" s="129"/>
      <c r="AE8186" s="130"/>
      <c r="AF8186" s="130"/>
      <c r="AG8186" s="130"/>
      <c r="AH8186" s="130"/>
      <c r="AI8186" s="131"/>
      <c r="AJ8186" s="132"/>
      <c r="AK8186" s="127"/>
      <c r="AL8186" s="128"/>
      <c r="AM8186" s="21"/>
      <c r="AN8186" s="133">
        <v>46130</v>
      </c>
      <c r="AO8186" s="134"/>
      <c r="AP8186" s="135">
        <v>1297</v>
      </c>
      <c r="AQ8186" s="136"/>
      <c r="AR8186" s="118">
        <v>2145000</v>
      </c>
      <c r="AS8186" s="119"/>
      <c r="AT8186" s="118">
        <f t="shared" ref="AT8186" si="12274">AR8186*0.1</f>
        <v>214500</v>
      </c>
      <c r="AU8186" s="119"/>
      <c r="AV8186" s="118">
        <v>12370</v>
      </c>
      <c r="AW8186" s="119"/>
      <c r="AX8186" s="118">
        <f t="shared" ref="AX8186" si="12275">SUM(AR8186:AW8186)</f>
        <v>2371870</v>
      </c>
      <c r="AY8186" s="119"/>
      <c r="AZ8186" s="137">
        <v>46139</v>
      </c>
    </row>
    <row r="8187" spans="1:52" ht="17.100000000000001" customHeight="1" thickBot="1">
      <c r="A8187" s="110"/>
      <c r="B8187" s="27" t="s">
        <v>23131</v>
      </c>
      <c r="C8187" s="27">
        <v>5004</v>
      </c>
      <c r="D8187" s="14" t="s">
        <v>23155</v>
      </c>
      <c r="E8187" s="112"/>
      <c r="F8187" s="139" t="s">
        <v>23188</v>
      </c>
      <c r="G8187" s="140"/>
      <c r="H8187" s="141"/>
      <c r="I8187" s="26">
        <v>36468</v>
      </c>
      <c r="J8187" s="117"/>
      <c r="K8187" s="120"/>
      <c r="L8187" s="121"/>
      <c r="M8187" s="120"/>
      <c r="N8187" s="121"/>
      <c r="O8187" s="120"/>
      <c r="P8187" s="121"/>
      <c r="Q8187" s="120"/>
      <c r="R8187" s="121"/>
      <c r="S8187" s="120"/>
      <c r="T8187" s="121"/>
      <c r="U8187" s="120"/>
      <c r="V8187" s="123"/>
      <c r="W8187" s="125"/>
      <c r="X8187" s="142" t="s">
        <v>24019</v>
      </c>
      <c r="Y8187" s="143"/>
      <c r="Z8187" s="143"/>
      <c r="AA8187" s="143"/>
      <c r="AB8187" s="144"/>
      <c r="AC8187" s="16" t="s">
        <v>21</v>
      </c>
      <c r="AD8187" s="17" t="s">
        <v>24016</v>
      </c>
      <c r="AE8187" s="145" t="s">
        <v>10327</v>
      </c>
      <c r="AF8187" s="146"/>
      <c r="AG8187" s="146"/>
      <c r="AH8187" s="146"/>
      <c r="AI8187" s="147"/>
      <c r="AJ8187" s="148"/>
      <c r="AK8187" s="143"/>
      <c r="AL8187" s="144"/>
      <c r="AM8187" s="22"/>
      <c r="AN8187" s="149" t="s">
        <v>2511</v>
      </c>
      <c r="AO8187" s="144"/>
      <c r="AP8187" s="148">
        <v>80424</v>
      </c>
      <c r="AQ8187" s="144"/>
      <c r="AR8187" s="120"/>
      <c r="AS8187" s="121"/>
      <c r="AT8187" s="120"/>
      <c r="AU8187" s="121"/>
      <c r="AV8187" s="120"/>
      <c r="AW8187" s="121"/>
      <c r="AX8187" s="120"/>
      <c r="AY8187" s="121"/>
      <c r="AZ8187" s="138"/>
    </row>
    <row r="8188" spans="1:52" ht="17.100000000000001" customHeight="1" thickTop="1">
      <c r="A8188" s="109" t="s">
        <v>23116</v>
      </c>
      <c r="B8188" s="28">
        <v>46126</v>
      </c>
      <c r="C8188" s="25">
        <v>986</v>
      </c>
      <c r="D8188" s="13" t="s">
        <v>23189</v>
      </c>
      <c r="E8188" s="111"/>
      <c r="F8188" s="113" t="s">
        <v>23190</v>
      </c>
      <c r="G8188" s="114"/>
      <c r="H8188" s="115"/>
      <c r="I8188" s="24"/>
      <c r="J8188" s="116">
        <v>4</v>
      </c>
      <c r="K8188" s="118">
        <v>1073000</v>
      </c>
      <c r="L8188" s="119"/>
      <c r="M8188" s="118">
        <f t="shared" ref="M8188" si="12276">K8188*0.1</f>
        <v>107300</v>
      </c>
      <c r="N8188" s="119"/>
      <c r="O8188" s="118">
        <v>0</v>
      </c>
      <c r="P8188" s="119"/>
      <c r="Q8188" s="118">
        <v>9310</v>
      </c>
      <c r="R8188" s="119"/>
      <c r="S8188" s="118">
        <v>22000</v>
      </c>
      <c r="T8188" s="119"/>
      <c r="U8188" s="118">
        <f t="shared" ref="U8188" si="12277">SUM(K8188:T8189)</f>
        <v>1211610</v>
      </c>
      <c r="V8188" s="122"/>
      <c r="W8188" s="124"/>
      <c r="X8188" s="126" t="s">
        <v>24190</v>
      </c>
      <c r="Y8188" s="127"/>
      <c r="Z8188" s="127"/>
      <c r="AA8188" s="127"/>
      <c r="AB8188" s="128"/>
      <c r="AC8188" s="15" t="s">
        <v>20</v>
      </c>
      <c r="AD8188" s="129" t="s">
        <v>2054</v>
      </c>
      <c r="AE8188" s="130"/>
      <c r="AF8188" s="130"/>
      <c r="AG8188" s="130"/>
      <c r="AH8188" s="130"/>
      <c r="AI8188" s="131"/>
      <c r="AJ8188" s="132"/>
      <c r="AK8188" s="127"/>
      <c r="AL8188" s="128"/>
      <c r="AM8188" s="21"/>
      <c r="AN8188" s="133">
        <v>46130</v>
      </c>
      <c r="AO8188" s="134"/>
      <c r="AP8188" s="135">
        <v>1297</v>
      </c>
      <c r="AQ8188" s="136"/>
      <c r="AR8188" s="118">
        <v>1170000</v>
      </c>
      <c r="AS8188" s="119"/>
      <c r="AT8188" s="118">
        <f t="shared" ref="AT8188" si="12278">AR8188*0.1</f>
        <v>117000</v>
      </c>
      <c r="AU8188" s="119"/>
      <c r="AV8188" s="118">
        <v>9310</v>
      </c>
      <c r="AW8188" s="119"/>
      <c r="AX8188" s="118">
        <f t="shared" ref="AX8188" si="12279">SUM(AR8188:AW8188)</f>
        <v>1296310</v>
      </c>
      <c r="AY8188" s="119"/>
      <c r="AZ8188" s="137">
        <v>46139</v>
      </c>
    </row>
    <row r="8189" spans="1:52" ht="17.100000000000001" customHeight="1" thickBot="1">
      <c r="A8189" s="110"/>
      <c r="B8189" s="27" t="s">
        <v>23144</v>
      </c>
      <c r="C8189" s="27">
        <v>118</v>
      </c>
      <c r="D8189" s="14" t="s">
        <v>23155</v>
      </c>
      <c r="E8189" s="112"/>
      <c r="F8189" s="139" t="s">
        <v>23191</v>
      </c>
      <c r="G8189" s="140"/>
      <c r="H8189" s="141"/>
      <c r="I8189" s="26">
        <v>34687</v>
      </c>
      <c r="J8189" s="117"/>
      <c r="K8189" s="120"/>
      <c r="L8189" s="121"/>
      <c r="M8189" s="120"/>
      <c r="N8189" s="121"/>
      <c r="O8189" s="120"/>
      <c r="P8189" s="121"/>
      <c r="Q8189" s="120"/>
      <c r="R8189" s="121"/>
      <c r="S8189" s="120"/>
      <c r="T8189" s="121"/>
      <c r="U8189" s="120"/>
      <c r="V8189" s="123"/>
      <c r="W8189" s="125"/>
      <c r="X8189" s="142" t="s">
        <v>2482</v>
      </c>
      <c r="Y8189" s="143"/>
      <c r="Z8189" s="143"/>
      <c r="AA8189" s="143"/>
      <c r="AB8189" s="144"/>
      <c r="AC8189" s="16" t="s">
        <v>21</v>
      </c>
      <c r="AD8189" s="17" t="s">
        <v>24135</v>
      </c>
      <c r="AE8189" s="145" t="s">
        <v>11617</v>
      </c>
      <c r="AF8189" s="146"/>
      <c r="AG8189" s="146"/>
      <c r="AH8189" s="146"/>
      <c r="AI8189" s="147"/>
      <c r="AJ8189" s="148"/>
      <c r="AK8189" s="143"/>
      <c r="AL8189" s="144"/>
      <c r="AM8189" s="22"/>
      <c r="AN8189" s="149" t="s">
        <v>2511</v>
      </c>
      <c r="AO8189" s="144"/>
      <c r="AP8189" s="148">
        <v>62084</v>
      </c>
      <c r="AQ8189" s="144"/>
      <c r="AR8189" s="120"/>
      <c r="AS8189" s="121"/>
      <c r="AT8189" s="120"/>
      <c r="AU8189" s="121"/>
      <c r="AV8189" s="120"/>
      <c r="AW8189" s="121"/>
      <c r="AX8189" s="120"/>
      <c r="AY8189" s="121"/>
      <c r="AZ8189" s="138"/>
    </row>
    <row r="8190" spans="1:52" ht="17.100000000000001" customHeight="1" thickTop="1">
      <c r="A8190" s="109" t="s">
        <v>23133</v>
      </c>
      <c r="B8190" s="28">
        <v>46126</v>
      </c>
      <c r="C8190" s="25">
        <v>986</v>
      </c>
      <c r="D8190" s="13" t="s">
        <v>2941</v>
      </c>
      <c r="E8190" s="111"/>
      <c r="F8190" s="113" t="s">
        <v>15531</v>
      </c>
      <c r="G8190" s="114"/>
      <c r="H8190" s="115"/>
      <c r="I8190" s="24"/>
      <c r="J8190" s="116">
        <v>4</v>
      </c>
      <c r="K8190" s="118">
        <v>413000</v>
      </c>
      <c r="L8190" s="119"/>
      <c r="M8190" s="118">
        <f t="shared" ref="M8190" si="12280">K8190*0.1</f>
        <v>41300</v>
      </c>
      <c r="N8190" s="119"/>
      <c r="O8190" s="118">
        <v>0</v>
      </c>
      <c r="P8190" s="119"/>
      <c r="Q8190" s="118">
        <v>8850</v>
      </c>
      <c r="R8190" s="119"/>
      <c r="S8190" s="118">
        <v>22000</v>
      </c>
      <c r="T8190" s="119"/>
      <c r="U8190" s="118">
        <f t="shared" ref="U8190" si="12281">SUM(K8190:T8191)</f>
        <v>485150</v>
      </c>
      <c r="V8190" s="122"/>
      <c r="W8190" s="124"/>
      <c r="X8190" s="126" t="s">
        <v>24191</v>
      </c>
      <c r="Y8190" s="127"/>
      <c r="Z8190" s="127"/>
      <c r="AA8190" s="127"/>
      <c r="AB8190" s="128"/>
      <c r="AC8190" s="15" t="s">
        <v>20</v>
      </c>
      <c r="AD8190" s="129" t="s">
        <v>2054</v>
      </c>
      <c r="AE8190" s="130"/>
      <c r="AF8190" s="130"/>
      <c r="AG8190" s="130"/>
      <c r="AH8190" s="130"/>
      <c r="AI8190" s="131"/>
      <c r="AJ8190" s="132"/>
      <c r="AK8190" s="127"/>
      <c r="AL8190" s="128"/>
      <c r="AM8190" s="21"/>
      <c r="AN8190" s="133">
        <v>46130</v>
      </c>
      <c r="AO8190" s="134"/>
      <c r="AP8190" s="135">
        <v>1297</v>
      </c>
      <c r="AQ8190" s="136"/>
      <c r="AR8190" s="118">
        <v>595000</v>
      </c>
      <c r="AS8190" s="119"/>
      <c r="AT8190" s="118">
        <f t="shared" ref="AT8190" si="12282">AR8190*0.1</f>
        <v>59500</v>
      </c>
      <c r="AU8190" s="119"/>
      <c r="AV8190" s="118">
        <v>8850</v>
      </c>
      <c r="AW8190" s="119"/>
      <c r="AX8190" s="118">
        <f t="shared" ref="AX8190" si="12283">SUM(AR8190:AW8190)</f>
        <v>663350</v>
      </c>
      <c r="AY8190" s="119"/>
      <c r="AZ8190" s="137">
        <v>46139</v>
      </c>
    </row>
    <row r="8191" spans="1:52" ht="17.100000000000001" customHeight="1" thickBot="1">
      <c r="A8191" s="110"/>
      <c r="B8191" s="27" t="s">
        <v>23144</v>
      </c>
      <c r="C8191" s="27">
        <v>127</v>
      </c>
      <c r="D8191" s="14" t="s">
        <v>1592</v>
      </c>
      <c r="E8191" s="112"/>
      <c r="F8191" s="139" t="s">
        <v>23192</v>
      </c>
      <c r="G8191" s="140"/>
      <c r="H8191" s="141"/>
      <c r="I8191" s="26">
        <v>58242</v>
      </c>
      <c r="J8191" s="117"/>
      <c r="K8191" s="120"/>
      <c r="L8191" s="121"/>
      <c r="M8191" s="120"/>
      <c r="N8191" s="121"/>
      <c r="O8191" s="120"/>
      <c r="P8191" s="121"/>
      <c r="Q8191" s="120"/>
      <c r="R8191" s="121"/>
      <c r="S8191" s="120"/>
      <c r="T8191" s="121"/>
      <c r="U8191" s="120"/>
      <c r="V8191" s="123"/>
      <c r="W8191" s="125"/>
      <c r="X8191" s="142" t="s">
        <v>2482</v>
      </c>
      <c r="Y8191" s="143"/>
      <c r="Z8191" s="143"/>
      <c r="AA8191" s="143"/>
      <c r="AB8191" s="144"/>
      <c r="AC8191" s="16" t="s">
        <v>21</v>
      </c>
      <c r="AD8191" s="17" t="s">
        <v>24135</v>
      </c>
      <c r="AE8191" s="145" t="s">
        <v>171</v>
      </c>
      <c r="AF8191" s="146"/>
      <c r="AG8191" s="146"/>
      <c r="AH8191" s="146"/>
      <c r="AI8191" s="147"/>
      <c r="AJ8191" s="148"/>
      <c r="AK8191" s="143"/>
      <c r="AL8191" s="144"/>
      <c r="AM8191" s="22"/>
      <c r="AN8191" s="149" t="s">
        <v>2511</v>
      </c>
      <c r="AO8191" s="144"/>
      <c r="AP8191" s="148">
        <v>62085</v>
      </c>
      <c r="AQ8191" s="144"/>
      <c r="AR8191" s="120"/>
      <c r="AS8191" s="121"/>
      <c r="AT8191" s="120"/>
      <c r="AU8191" s="121"/>
      <c r="AV8191" s="120"/>
      <c r="AW8191" s="121"/>
      <c r="AX8191" s="120"/>
      <c r="AY8191" s="121"/>
      <c r="AZ8191" s="138"/>
    </row>
    <row r="8192" spans="1:52" ht="17.100000000000001" customHeight="1" thickTop="1">
      <c r="A8192" s="109" t="s">
        <v>23134</v>
      </c>
      <c r="B8192" s="28">
        <v>46126</v>
      </c>
      <c r="C8192" s="25">
        <v>986</v>
      </c>
      <c r="D8192" s="13" t="s">
        <v>1986</v>
      </c>
      <c r="E8192" s="111"/>
      <c r="F8192" s="113" t="s">
        <v>15950</v>
      </c>
      <c r="G8192" s="114"/>
      <c r="H8192" s="115"/>
      <c r="I8192" s="24"/>
      <c r="J8192" s="116">
        <v>4</v>
      </c>
      <c r="K8192" s="118">
        <v>1153000</v>
      </c>
      <c r="L8192" s="119"/>
      <c r="M8192" s="118">
        <f t="shared" ref="M8192" si="12284">K8192*0.1</f>
        <v>115300</v>
      </c>
      <c r="N8192" s="119"/>
      <c r="O8192" s="118">
        <v>0</v>
      </c>
      <c r="P8192" s="119"/>
      <c r="Q8192" s="118">
        <v>8550</v>
      </c>
      <c r="R8192" s="119"/>
      <c r="S8192" s="118">
        <v>22000</v>
      </c>
      <c r="T8192" s="119"/>
      <c r="U8192" s="118">
        <f t="shared" ref="U8192" si="12285">SUM(K8192:T8193)</f>
        <v>1298850</v>
      </c>
      <c r="V8192" s="122"/>
      <c r="W8192" s="124"/>
      <c r="X8192" s="126" t="s">
        <v>24200</v>
      </c>
      <c r="Y8192" s="127"/>
      <c r="Z8192" s="127"/>
      <c r="AA8192" s="127"/>
      <c r="AB8192" s="128"/>
      <c r="AC8192" s="15" t="s">
        <v>20</v>
      </c>
      <c r="AD8192" s="129" t="s">
        <v>2054</v>
      </c>
      <c r="AE8192" s="130"/>
      <c r="AF8192" s="130"/>
      <c r="AG8192" s="130"/>
      <c r="AH8192" s="130"/>
      <c r="AI8192" s="131"/>
      <c r="AJ8192" s="132"/>
      <c r="AK8192" s="127"/>
      <c r="AL8192" s="128"/>
      <c r="AM8192" s="21"/>
      <c r="AN8192" s="133">
        <v>46137</v>
      </c>
      <c r="AO8192" s="134"/>
      <c r="AP8192" s="135">
        <v>1298</v>
      </c>
      <c r="AQ8192" s="136"/>
      <c r="AR8192" s="118">
        <v>1200000</v>
      </c>
      <c r="AS8192" s="119"/>
      <c r="AT8192" s="118">
        <f t="shared" ref="AT8192" si="12286">AR8192*0.1</f>
        <v>120000</v>
      </c>
      <c r="AU8192" s="119"/>
      <c r="AV8192" s="118">
        <v>8550</v>
      </c>
      <c r="AW8192" s="119"/>
      <c r="AX8192" s="118">
        <f t="shared" ref="AX8192" si="12287">SUM(AR8192:AW8192)</f>
        <v>1328550</v>
      </c>
      <c r="AY8192" s="119"/>
      <c r="AZ8192" s="137">
        <v>46140</v>
      </c>
    </row>
    <row r="8193" spans="1:52" ht="17.100000000000001" customHeight="1" thickBot="1">
      <c r="A8193" s="110"/>
      <c r="B8193" s="27" t="s">
        <v>23144</v>
      </c>
      <c r="C8193" s="27">
        <v>132</v>
      </c>
      <c r="D8193" s="14" t="s">
        <v>275</v>
      </c>
      <c r="E8193" s="112"/>
      <c r="F8193" s="139" t="s">
        <v>23193</v>
      </c>
      <c r="G8193" s="140"/>
      <c r="H8193" s="141"/>
      <c r="I8193" s="26">
        <v>31342</v>
      </c>
      <c r="J8193" s="117"/>
      <c r="K8193" s="120"/>
      <c r="L8193" s="121"/>
      <c r="M8193" s="120"/>
      <c r="N8193" s="121"/>
      <c r="O8193" s="120"/>
      <c r="P8193" s="121"/>
      <c r="Q8193" s="120"/>
      <c r="R8193" s="121"/>
      <c r="S8193" s="120"/>
      <c r="T8193" s="121"/>
      <c r="U8193" s="120"/>
      <c r="V8193" s="123"/>
      <c r="W8193" s="125"/>
      <c r="X8193" s="142" t="s">
        <v>2482</v>
      </c>
      <c r="Y8193" s="143"/>
      <c r="Z8193" s="143"/>
      <c r="AA8193" s="143"/>
      <c r="AB8193" s="144"/>
      <c r="AC8193" s="16" t="s">
        <v>21</v>
      </c>
      <c r="AD8193" s="17" t="s">
        <v>24135</v>
      </c>
      <c r="AE8193" s="145" t="s">
        <v>9056</v>
      </c>
      <c r="AF8193" s="146"/>
      <c r="AG8193" s="146"/>
      <c r="AH8193" s="146"/>
      <c r="AI8193" s="147"/>
      <c r="AJ8193" s="148"/>
      <c r="AK8193" s="143"/>
      <c r="AL8193" s="144"/>
      <c r="AM8193" s="22"/>
      <c r="AN8193" s="149" t="s">
        <v>2511</v>
      </c>
      <c r="AO8193" s="144"/>
      <c r="AP8193" s="148">
        <v>62042</v>
      </c>
      <c r="AQ8193" s="144"/>
      <c r="AR8193" s="120"/>
      <c r="AS8193" s="121"/>
      <c r="AT8193" s="120"/>
      <c r="AU8193" s="121"/>
      <c r="AV8193" s="120"/>
      <c r="AW8193" s="121"/>
      <c r="AX8193" s="120"/>
      <c r="AY8193" s="121"/>
      <c r="AZ8193" s="138"/>
    </row>
    <row r="8194" spans="1:52" ht="17.100000000000001" customHeight="1" thickTop="1">
      <c r="A8194" s="109" t="s">
        <v>23135</v>
      </c>
      <c r="B8194" s="28">
        <v>46126</v>
      </c>
      <c r="C8194" s="25">
        <v>986</v>
      </c>
      <c r="D8194" s="13" t="s">
        <v>2759</v>
      </c>
      <c r="E8194" s="111"/>
      <c r="F8194" s="113" t="s">
        <v>23194</v>
      </c>
      <c r="G8194" s="114"/>
      <c r="H8194" s="115"/>
      <c r="I8194" s="24"/>
      <c r="J8194" s="116">
        <v>4</v>
      </c>
      <c r="K8194" s="118">
        <v>653000</v>
      </c>
      <c r="L8194" s="119"/>
      <c r="M8194" s="118">
        <f t="shared" ref="M8194" si="12288">K8194*0.1</f>
        <v>65300</v>
      </c>
      <c r="N8194" s="119"/>
      <c r="O8194" s="118">
        <v>0</v>
      </c>
      <c r="P8194" s="119"/>
      <c r="Q8194" s="118">
        <v>7860</v>
      </c>
      <c r="R8194" s="119"/>
      <c r="S8194" s="118">
        <v>22000</v>
      </c>
      <c r="T8194" s="119"/>
      <c r="U8194" s="118">
        <f t="shared" ref="U8194" si="12289">SUM(K8194:T8195)</f>
        <v>748160</v>
      </c>
      <c r="V8194" s="122"/>
      <c r="W8194" s="124"/>
      <c r="X8194" s="126" t="s">
        <v>24187</v>
      </c>
      <c r="Y8194" s="127"/>
      <c r="Z8194" s="127"/>
      <c r="AA8194" s="127"/>
      <c r="AB8194" s="128"/>
      <c r="AC8194" s="15" t="s">
        <v>20</v>
      </c>
      <c r="AD8194" s="129" t="s">
        <v>2054</v>
      </c>
      <c r="AE8194" s="130"/>
      <c r="AF8194" s="130"/>
      <c r="AG8194" s="130"/>
      <c r="AH8194" s="130"/>
      <c r="AI8194" s="131"/>
      <c r="AJ8194" s="132"/>
      <c r="AK8194" s="127"/>
      <c r="AL8194" s="128"/>
      <c r="AM8194" s="21"/>
      <c r="AN8194" s="133">
        <v>46130</v>
      </c>
      <c r="AO8194" s="134"/>
      <c r="AP8194" s="135">
        <v>1297</v>
      </c>
      <c r="AQ8194" s="136"/>
      <c r="AR8194" s="118">
        <v>750000</v>
      </c>
      <c r="AS8194" s="119"/>
      <c r="AT8194" s="118">
        <f t="shared" ref="AT8194" si="12290">AR8194*0.1</f>
        <v>75000</v>
      </c>
      <c r="AU8194" s="119"/>
      <c r="AV8194" s="118">
        <v>7860</v>
      </c>
      <c r="AW8194" s="119"/>
      <c r="AX8194" s="118">
        <f t="shared" ref="AX8194" si="12291">SUM(AR8194:AW8194)</f>
        <v>832860</v>
      </c>
      <c r="AY8194" s="119"/>
      <c r="AZ8194" s="137">
        <v>46139</v>
      </c>
    </row>
    <row r="8195" spans="1:52" ht="17.100000000000001" customHeight="1" thickBot="1">
      <c r="A8195" s="110"/>
      <c r="B8195" s="27" t="s">
        <v>23144</v>
      </c>
      <c r="C8195" s="27">
        <v>164</v>
      </c>
      <c r="D8195" s="14" t="s">
        <v>1720</v>
      </c>
      <c r="E8195" s="112"/>
      <c r="F8195" s="139" t="s">
        <v>23195</v>
      </c>
      <c r="G8195" s="140"/>
      <c r="H8195" s="141"/>
      <c r="I8195" s="26">
        <v>48508</v>
      </c>
      <c r="J8195" s="117"/>
      <c r="K8195" s="120"/>
      <c r="L8195" s="121"/>
      <c r="M8195" s="120"/>
      <c r="N8195" s="121"/>
      <c r="O8195" s="120"/>
      <c r="P8195" s="121"/>
      <c r="Q8195" s="120"/>
      <c r="R8195" s="121"/>
      <c r="S8195" s="120"/>
      <c r="T8195" s="121"/>
      <c r="U8195" s="120"/>
      <c r="V8195" s="123"/>
      <c r="W8195" s="125"/>
      <c r="X8195" s="142" t="s">
        <v>2482</v>
      </c>
      <c r="Y8195" s="143"/>
      <c r="Z8195" s="143"/>
      <c r="AA8195" s="143"/>
      <c r="AB8195" s="144"/>
      <c r="AC8195" s="16" t="s">
        <v>21</v>
      </c>
      <c r="AD8195" s="17" t="s">
        <v>24135</v>
      </c>
      <c r="AE8195" s="145" t="s">
        <v>23798</v>
      </c>
      <c r="AF8195" s="146"/>
      <c r="AG8195" s="146"/>
      <c r="AH8195" s="146"/>
      <c r="AI8195" s="147"/>
      <c r="AJ8195" s="148"/>
      <c r="AK8195" s="143"/>
      <c r="AL8195" s="144"/>
      <c r="AM8195" s="22"/>
      <c r="AN8195" s="149" t="s">
        <v>2511</v>
      </c>
      <c r="AO8195" s="144"/>
      <c r="AP8195" s="148">
        <v>62086</v>
      </c>
      <c r="AQ8195" s="144"/>
      <c r="AR8195" s="120"/>
      <c r="AS8195" s="121"/>
      <c r="AT8195" s="120"/>
      <c r="AU8195" s="121"/>
      <c r="AV8195" s="120"/>
      <c r="AW8195" s="121"/>
      <c r="AX8195" s="120"/>
      <c r="AY8195" s="121"/>
      <c r="AZ8195" s="138"/>
    </row>
    <row r="8196" spans="1:52" ht="17.100000000000001" customHeight="1" thickTop="1">
      <c r="A8196" s="109" t="s">
        <v>23136</v>
      </c>
      <c r="B8196" s="28">
        <v>46126</v>
      </c>
      <c r="C8196" s="25">
        <v>986</v>
      </c>
      <c r="D8196" s="13" t="s">
        <v>4287</v>
      </c>
      <c r="E8196" s="111"/>
      <c r="F8196" s="113" t="s">
        <v>23196</v>
      </c>
      <c r="G8196" s="114"/>
      <c r="H8196" s="115"/>
      <c r="I8196" s="24"/>
      <c r="J8196" s="116">
        <v>4</v>
      </c>
      <c r="K8196" s="118">
        <v>953000</v>
      </c>
      <c r="L8196" s="119"/>
      <c r="M8196" s="118">
        <f t="shared" ref="M8196" si="12292">K8196*0.1</f>
        <v>95300</v>
      </c>
      <c r="N8196" s="119"/>
      <c r="O8196" s="118">
        <v>0</v>
      </c>
      <c r="P8196" s="119"/>
      <c r="Q8196" s="118">
        <v>8550</v>
      </c>
      <c r="R8196" s="119"/>
      <c r="S8196" s="118">
        <v>22000</v>
      </c>
      <c r="T8196" s="119"/>
      <c r="U8196" s="118">
        <f t="shared" ref="U8196" si="12293">SUM(K8196:T8197)</f>
        <v>1078850</v>
      </c>
      <c r="V8196" s="122"/>
      <c r="W8196" s="124"/>
      <c r="X8196" s="126" t="s">
        <v>24199</v>
      </c>
      <c r="Y8196" s="127"/>
      <c r="Z8196" s="127"/>
      <c r="AA8196" s="127"/>
      <c r="AB8196" s="128"/>
      <c r="AC8196" s="15" t="s">
        <v>20</v>
      </c>
      <c r="AD8196" s="129" t="s">
        <v>2054</v>
      </c>
      <c r="AE8196" s="130"/>
      <c r="AF8196" s="130"/>
      <c r="AG8196" s="130"/>
      <c r="AH8196" s="130"/>
      <c r="AI8196" s="131"/>
      <c r="AJ8196" s="132"/>
      <c r="AK8196" s="127"/>
      <c r="AL8196" s="128"/>
      <c r="AM8196" s="21"/>
      <c r="AN8196" s="133"/>
      <c r="AO8196" s="134"/>
      <c r="AP8196" s="135"/>
      <c r="AQ8196" s="136"/>
      <c r="AR8196" s="118"/>
      <c r="AS8196" s="119"/>
      <c r="AT8196" s="118">
        <f t="shared" ref="AT8196" si="12294">AR8196*0.1</f>
        <v>0</v>
      </c>
      <c r="AU8196" s="119"/>
      <c r="AV8196" s="118"/>
      <c r="AW8196" s="119"/>
      <c r="AX8196" s="118">
        <f t="shared" ref="AX8196" si="12295">SUM(AR8196:AW8196)</f>
        <v>0</v>
      </c>
      <c r="AY8196" s="119"/>
      <c r="AZ8196" s="137"/>
    </row>
    <row r="8197" spans="1:52" ht="17.100000000000001" customHeight="1" thickBot="1">
      <c r="A8197" s="110"/>
      <c r="B8197" s="27" t="s">
        <v>23144</v>
      </c>
      <c r="C8197" s="27">
        <v>173</v>
      </c>
      <c r="D8197" s="14" t="s">
        <v>1720</v>
      </c>
      <c r="E8197" s="112"/>
      <c r="F8197" s="139" t="s">
        <v>23197</v>
      </c>
      <c r="G8197" s="140"/>
      <c r="H8197" s="141"/>
      <c r="I8197" s="26">
        <v>47900</v>
      </c>
      <c r="J8197" s="117"/>
      <c r="K8197" s="120"/>
      <c r="L8197" s="121"/>
      <c r="M8197" s="120"/>
      <c r="N8197" s="121"/>
      <c r="O8197" s="120"/>
      <c r="P8197" s="121"/>
      <c r="Q8197" s="120"/>
      <c r="R8197" s="121"/>
      <c r="S8197" s="120"/>
      <c r="T8197" s="121"/>
      <c r="U8197" s="120"/>
      <c r="V8197" s="123"/>
      <c r="W8197" s="125"/>
      <c r="X8197" s="142" t="s">
        <v>2482</v>
      </c>
      <c r="Y8197" s="143"/>
      <c r="Z8197" s="143"/>
      <c r="AA8197" s="143"/>
      <c r="AB8197" s="144"/>
      <c r="AC8197" s="16" t="s">
        <v>21</v>
      </c>
      <c r="AD8197" s="17" t="s">
        <v>24135</v>
      </c>
      <c r="AE8197" s="145" t="s">
        <v>23797</v>
      </c>
      <c r="AF8197" s="146"/>
      <c r="AG8197" s="146"/>
      <c r="AH8197" s="146"/>
      <c r="AI8197" s="147"/>
      <c r="AJ8197" s="148"/>
      <c r="AK8197" s="143"/>
      <c r="AL8197" s="144"/>
      <c r="AM8197" s="22"/>
      <c r="AN8197" s="149"/>
      <c r="AO8197" s="144"/>
      <c r="AP8197" s="148"/>
      <c r="AQ8197" s="144"/>
      <c r="AR8197" s="120"/>
      <c r="AS8197" s="121"/>
      <c r="AT8197" s="120"/>
      <c r="AU8197" s="121"/>
      <c r="AV8197" s="120"/>
      <c r="AW8197" s="121"/>
      <c r="AX8197" s="120"/>
      <c r="AY8197" s="121"/>
      <c r="AZ8197" s="138"/>
    </row>
    <row r="8198" spans="1:52" ht="17.100000000000001" customHeight="1" thickTop="1">
      <c r="A8198" s="109" t="s">
        <v>23137</v>
      </c>
      <c r="B8198" s="28">
        <v>46126</v>
      </c>
      <c r="C8198" s="25">
        <v>986</v>
      </c>
      <c r="D8198" s="13" t="s">
        <v>1714</v>
      </c>
      <c r="E8198" s="111"/>
      <c r="F8198" s="113" t="s">
        <v>23198</v>
      </c>
      <c r="G8198" s="114"/>
      <c r="H8198" s="115"/>
      <c r="I8198" s="24"/>
      <c r="J8198" s="116">
        <v>4</v>
      </c>
      <c r="K8198" s="118">
        <v>423000</v>
      </c>
      <c r="L8198" s="119"/>
      <c r="M8198" s="118">
        <f t="shared" ref="M8198" si="12296">K8198*0.1</f>
        <v>42300</v>
      </c>
      <c r="N8198" s="119"/>
      <c r="O8198" s="118">
        <v>0</v>
      </c>
      <c r="P8198" s="119"/>
      <c r="Q8198" s="118">
        <v>7140</v>
      </c>
      <c r="R8198" s="119"/>
      <c r="S8198" s="118">
        <v>22000</v>
      </c>
      <c r="T8198" s="119"/>
      <c r="U8198" s="118">
        <f t="shared" ref="U8198" si="12297">SUM(K8198:T8199)</f>
        <v>494440</v>
      </c>
      <c r="V8198" s="122"/>
      <c r="W8198" s="124"/>
      <c r="X8198" s="126" t="s">
        <v>24188</v>
      </c>
      <c r="Y8198" s="127"/>
      <c r="Z8198" s="127"/>
      <c r="AA8198" s="127"/>
      <c r="AB8198" s="128"/>
      <c r="AC8198" s="15" t="s">
        <v>20</v>
      </c>
      <c r="AD8198" s="129" t="s">
        <v>2054</v>
      </c>
      <c r="AE8198" s="130"/>
      <c r="AF8198" s="130"/>
      <c r="AG8198" s="130"/>
      <c r="AH8198" s="130"/>
      <c r="AI8198" s="131"/>
      <c r="AJ8198" s="132"/>
      <c r="AK8198" s="127"/>
      <c r="AL8198" s="128"/>
      <c r="AM8198" s="21"/>
      <c r="AN8198" s="133">
        <v>46130</v>
      </c>
      <c r="AO8198" s="134"/>
      <c r="AP8198" s="135">
        <v>1297</v>
      </c>
      <c r="AQ8198" s="136"/>
      <c r="AR8198" s="118">
        <v>540000</v>
      </c>
      <c r="AS8198" s="119"/>
      <c r="AT8198" s="118">
        <f t="shared" ref="AT8198" si="12298">AR8198*0.1</f>
        <v>54000</v>
      </c>
      <c r="AU8198" s="119"/>
      <c r="AV8198" s="118">
        <v>7140</v>
      </c>
      <c r="AW8198" s="119"/>
      <c r="AX8198" s="118">
        <f t="shared" ref="AX8198" si="12299">SUM(AR8198:AW8198)</f>
        <v>601140</v>
      </c>
      <c r="AY8198" s="119"/>
      <c r="AZ8198" s="137">
        <v>46139</v>
      </c>
    </row>
    <row r="8199" spans="1:52" ht="17.100000000000001" customHeight="1" thickBot="1">
      <c r="A8199" s="110"/>
      <c r="B8199" s="27" t="s">
        <v>23144</v>
      </c>
      <c r="C8199" s="27">
        <v>194</v>
      </c>
      <c r="D8199" s="14" t="s">
        <v>1592</v>
      </c>
      <c r="E8199" s="112"/>
      <c r="F8199" s="139" t="s">
        <v>23199</v>
      </c>
      <c r="G8199" s="140"/>
      <c r="H8199" s="141"/>
      <c r="I8199" s="26">
        <v>20565</v>
      </c>
      <c r="J8199" s="117"/>
      <c r="K8199" s="120"/>
      <c r="L8199" s="121"/>
      <c r="M8199" s="120"/>
      <c r="N8199" s="121"/>
      <c r="O8199" s="120"/>
      <c r="P8199" s="121"/>
      <c r="Q8199" s="120"/>
      <c r="R8199" s="121"/>
      <c r="S8199" s="120"/>
      <c r="T8199" s="121"/>
      <c r="U8199" s="120"/>
      <c r="V8199" s="123"/>
      <c r="W8199" s="125"/>
      <c r="X8199" s="142" t="s">
        <v>2482</v>
      </c>
      <c r="Y8199" s="143"/>
      <c r="Z8199" s="143"/>
      <c r="AA8199" s="143"/>
      <c r="AB8199" s="144"/>
      <c r="AC8199" s="16" t="s">
        <v>21</v>
      </c>
      <c r="AD8199" s="17" t="s">
        <v>24135</v>
      </c>
      <c r="AE8199" s="145" t="s">
        <v>11427</v>
      </c>
      <c r="AF8199" s="146"/>
      <c r="AG8199" s="146"/>
      <c r="AH8199" s="146"/>
      <c r="AI8199" s="147"/>
      <c r="AJ8199" s="148"/>
      <c r="AK8199" s="143"/>
      <c r="AL8199" s="144"/>
      <c r="AM8199" s="22"/>
      <c r="AN8199" s="149" t="s">
        <v>2511</v>
      </c>
      <c r="AO8199" s="144"/>
      <c r="AP8199" s="148">
        <v>62088</v>
      </c>
      <c r="AQ8199" s="144"/>
      <c r="AR8199" s="120"/>
      <c r="AS8199" s="121"/>
      <c r="AT8199" s="120"/>
      <c r="AU8199" s="121"/>
      <c r="AV8199" s="120"/>
      <c r="AW8199" s="121"/>
      <c r="AX8199" s="120"/>
      <c r="AY8199" s="121"/>
      <c r="AZ8199" s="138"/>
    </row>
    <row r="8200" spans="1:52" ht="17.100000000000001" customHeight="1" thickTop="1">
      <c r="A8200" s="109" t="s">
        <v>23138</v>
      </c>
      <c r="B8200" s="28">
        <v>46126</v>
      </c>
      <c r="C8200" s="25">
        <v>986</v>
      </c>
      <c r="D8200" s="13" t="s">
        <v>1714</v>
      </c>
      <c r="E8200" s="111"/>
      <c r="F8200" s="113" t="s">
        <v>15949</v>
      </c>
      <c r="G8200" s="114"/>
      <c r="H8200" s="115"/>
      <c r="I8200" s="24"/>
      <c r="J8200" s="116">
        <v>4</v>
      </c>
      <c r="K8200" s="118">
        <v>413000</v>
      </c>
      <c r="L8200" s="119"/>
      <c r="M8200" s="118">
        <f t="shared" ref="M8200" si="12300">K8200*0.1</f>
        <v>41300</v>
      </c>
      <c r="N8200" s="119"/>
      <c r="O8200" s="118">
        <v>0</v>
      </c>
      <c r="P8200" s="119"/>
      <c r="Q8200" s="118">
        <v>7140</v>
      </c>
      <c r="R8200" s="119"/>
      <c r="S8200" s="118">
        <v>22000</v>
      </c>
      <c r="T8200" s="119"/>
      <c r="U8200" s="118">
        <f t="shared" ref="U8200" si="12301">SUM(K8200:T8201)</f>
        <v>483440</v>
      </c>
      <c r="V8200" s="122"/>
      <c r="W8200" s="124"/>
      <c r="X8200" s="126" t="s">
        <v>24189</v>
      </c>
      <c r="Y8200" s="127"/>
      <c r="Z8200" s="127"/>
      <c r="AA8200" s="127"/>
      <c r="AB8200" s="128"/>
      <c r="AC8200" s="15" t="s">
        <v>20</v>
      </c>
      <c r="AD8200" s="129" t="s">
        <v>2054</v>
      </c>
      <c r="AE8200" s="130"/>
      <c r="AF8200" s="130"/>
      <c r="AG8200" s="130"/>
      <c r="AH8200" s="130"/>
      <c r="AI8200" s="131"/>
      <c r="AJ8200" s="132"/>
      <c r="AK8200" s="127"/>
      <c r="AL8200" s="128"/>
      <c r="AM8200" s="21"/>
      <c r="AN8200" s="133">
        <v>46130</v>
      </c>
      <c r="AO8200" s="134"/>
      <c r="AP8200" s="135">
        <v>1297</v>
      </c>
      <c r="AQ8200" s="136"/>
      <c r="AR8200" s="118">
        <v>470000</v>
      </c>
      <c r="AS8200" s="119"/>
      <c r="AT8200" s="118">
        <f t="shared" ref="AT8200" si="12302">AR8200*0.1</f>
        <v>47000</v>
      </c>
      <c r="AU8200" s="119"/>
      <c r="AV8200" s="118">
        <v>7140</v>
      </c>
      <c r="AW8200" s="119"/>
      <c r="AX8200" s="118">
        <f t="shared" ref="AX8200" si="12303">SUM(AR8200:AW8200)</f>
        <v>524140</v>
      </c>
      <c r="AY8200" s="119"/>
      <c r="AZ8200" s="137">
        <v>46139</v>
      </c>
    </row>
    <row r="8201" spans="1:52" ht="17.100000000000001" customHeight="1" thickBot="1">
      <c r="A8201" s="110"/>
      <c r="B8201" s="27" t="s">
        <v>23144</v>
      </c>
      <c r="C8201" s="27">
        <v>198</v>
      </c>
      <c r="D8201" s="14" t="s">
        <v>1592</v>
      </c>
      <c r="E8201" s="112"/>
      <c r="F8201" s="139" t="s">
        <v>23200</v>
      </c>
      <c r="G8201" s="140"/>
      <c r="H8201" s="141"/>
      <c r="I8201" s="26">
        <v>34164</v>
      </c>
      <c r="J8201" s="117"/>
      <c r="K8201" s="120"/>
      <c r="L8201" s="121"/>
      <c r="M8201" s="120"/>
      <c r="N8201" s="121"/>
      <c r="O8201" s="120"/>
      <c r="P8201" s="121"/>
      <c r="Q8201" s="120"/>
      <c r="R8201" s="121"/>
      <c r="S8201" s="120"/>
      <c r="T8201" s="121"/>
      <c r="U8201" s="120"/>
      <c r="V8201" s="123"/>
      <c r="W8201" s="125"/>
      <c r="X8201" s="142" t="s">
        <v>2482</v>
      </c>
      <c r="Y8201" s="143"/>
      <c r="Z8201" s="143"/>
      <c r="AA8201" s="143"/>
      <c r="AB8201" s="144"/>
      <c r="AC8201" s="16" t="s">
        <v>21</v>
      </c>
      <c r="AD8201" s="17" t="s">
        <v>24135</v>
      </c>
      <c r="AE8201" s="145" t="s">
        <v>10331</v>
      </c>
      <c r="AF8201" s="146"/>
      <c r="AG8201" s="146"/>
      <c r="AH8201" s="146"/>
      <c r="AI8201" s="147"/>
      <c r="AJ8201" s="148"/>
      <c r="AK8201" s="143"/>
      <c r="AL8201" s="144"/>
      <c r="AM8201" s="22"/>
      <c r="AN8201" s="149" t="s">
        <v>2511</v>
      </c>
      <c r="AO8201" s="144"/>
      <c r="AP8201" s="148">
        <v>62090</v>
      </c>
      <c r="AQ8201" s="144"/>
      <c r="AR8201" s="120"/>
      <c r="AS8201" s="121"/>
      <c r="AT8201" s="120"/>
      <c r="AU8201" s="121"/>
      <c r="AV8201" s="120"/>
      <c r="AW8201" s="121"/>
      <c r="AX8201" s="120"/>
      <c r="AY8201" s="121"/>
      <c r="AZ8201" s="138"/>
    </row>
    <row r="8202" spans="1:52" ht="17.100000000000001" customHeight="1" thickTop="1">
      <c r="A8202" s="109" t="s">
        <v>23139</v>
      </c>
      <c r="B8202" s="28">
        <v>46127</v>
      </c>
      <c r="C8202" s="25">
        <v>1013</v>
      </c>
      <c r="D8202" s="13" t="s">
        <v>2759</v>
      </c>
      <c r="E8202" s="111"/>
      <c r="F8202" s="113" t="s">
        <v>15593</v>
      </c>
      <c r="G8202" s="114"/>
      <c r="H8202" s="115"/>
      <c r="I8202" s="24"/>
      <c r="J8202" s="116">
        <v>4</v>
      </c>
      <c r="K8202" s="118">
        <v>1150000</v>
      </c>
      <c r="L8202" s="119"/>
      <c r="M8202" s="118">
        <f t="shared" ref="M8202" si="12304">K8202*0.1</f>
        <v>115000</v>
      </c>
      <c r="N8202" s="119"/>
      <c r="O8202" s="118">
        <v>0</v>
      </c>
      <c r="P8202" s="119"/>
      <c r="Q8202" s="118">
        <v>9810</v>
      </c>
      <c r="R8202" s="119"/>
      <c r="S8202" s="118">
        <v>12100</v>
      </c>
      <c r="T8202" s="119"/>
      <c r="U8202" s="118">
        <f t="shared" ref="U8202" si="12305">SUM(K8202:T8203)</f>
        <v>1286910</v>
      </c>
      <c r="V8202" s="122"/>
      <c r="W8202" s="124"/>
      <c r="X8202" s="126" t="s">
        <v>24160</v>
      </c>
      <c r="Y8202" s="127"/>
      <c r="Z8202" s="127"/>
      <c r="AA8202" s="127"/>
      <c r="AB8202" s="128"/>
      <c r="AC8202" s="15" t="s">
        <v>20</v>
      </c>
      <c r="AD8202" s="129"/>
      <c r="AE8202" s="130"/>
      <c r="AF8202" s="130"/>
      <c r="AG8202" s="130"/>
      <c r="AH8202" s="130"/>
      <c r="AI8202" s="131"/>
      <c r="AJ8202" s="132"/>
      <c r="AK8202" s="127"/>
      <c r="AL8202" s="128"/>
      <c r="AM8202" s="21"/>
      <c r="AN8202" s="133"/>
      <c r="AO8202" s="134"/>
      <c r="AP8202" s="135"/>
      <c r="AQ8202" s="136"/>
      <c r="AR8202" s="118"/>
      <c r="AS8202" s="119"/>
      <c r="AT8202" s="118">
        <f t="shared" ref="AT8202" si="12306">AR8202*0.1</f>
        <v>0</v>
      </c>
      <c r="AU8202" s="119"/>
      <c r="AV8202" s="118"/>
      <c r="AW8202" s="119"/>
      <c r="AX8202" s="118">
        <f t="shared" ref="AX8202" si="12307">SUM(AR8202:AW8202)</f>
        <v>0</v>
      </c>
      <c r="AY8202" s="119"/>
      <c r="AZ8202" s="137"/>
    </row>
    <row r="8203" spans="1:52" ht="17.100000000000001" customHeight="1" thickBot="1">
      <c r="A8203" s="110"/>
      <c r="B8203" s="27" t="s">
        <v>2794</v>
      </c>
      <c r="C8203" s="27">
        <v>1132</v>
      </c>
      <c r="D8203" s="14" t="s">
        <v>1720</v>
      </c>
      <c r="E8203" s="112"/>
      <c r="F8203" s="139" t="s">
        <v>23201</v>
      </c>
      <c r="G8203" s="140"/>
      <c r="H8203" s="141"/>
      <c r="I8203" s="26">
        <v>36979</v>
      </c>
      <c r="J8203" s="117"/>
      <c r="K8203" s="120"/>
      <c r="L8203" s="121"/>
      <c r="M8203" s="120"/>
      <c r="N8203" s="121"/>
      <c r="O8203" s="120"/>
      <c r="P8203" s="121"/>
      <c r="Q8203" s="120"/>
      <c r="R8203" s="121"/>
      <c r="S8203" s="120"/>
      <c r="T8203" s="121"/>
      <c r="U8203" s="120"/>
      <c r="V8203" s="123"/>
      <c r="W8203" s="125"/>
      <c r="X8203" s="142" t="s">
        <v>24161</v>
      </c>
      <c r="Y8203" s="143"/>
      <c r="Z8203" s="143"/>
      <c r="AA8203" s="143"/>
      <c r="AB8203" s="144"/>
      <c r="AC8203" s="16" t="s">
        <v>21</v>
      </c>
      <c r="AD8203" s="17" t="s">
        <v>24114</v>
      </c>
      <c r="AE8203" s="145"/>
      <c r="AF8203" s="146"/>
      <c r="AG8203" s="146"/>
      <c r="AH8203" s="146"/>
      <c r="AI8203" s="147"/>
      <c r="AJ8203" s="148"/>
      <c r="AK8203" s="143"/>
      <c r="AL8203" s="144"/>
      <c r="AM8203" s="22"/>
      <c r="AN8203" s="149"/>
      <c r="AO8203" s="144"/>
      <c r="AP8203" s="148"/>
      <c r="AQ8203" s="144"/>
      <c r="AR8203" s="120"/>
      <c r="AS8203" s="121"/>
      <c r="AT8203" s="120"/>
      <c r="AU8203" s="121"/>
      <c r="AV8203" s="120"/>
      <c r="AW8203" s="121"/>
      <c r="AX8203" s="120"/>
      <c r="AY8203" s="121"/>
      <c r="AZ8203" s="138"/>
    </row>
    <row r="8204" spans="1:52" ht="17.100000000000001" customHeight="1" thickTop="1">
      <c r="A8204" s="109" t="s">
        <v>23140</v>
      </c>
      <c r="B8204" s="28">
        <v>46127</v>
      </c>
      <c r="C8204" s="25">
        <v>1013</v>
      </c>
      <c r="D8204" s="13" t="s">
        <v>2187</v>
      </c>
      <c r="E8204" s="111"/>
      <c r="F8204" s="113" t="s">
        <v>15593</v>
      </c>
      <c r="G8204" s="114"/>
      <c r="H8204" s="115"/>
      <c r="I8204" s="24"/>
      <c r="J8204" s="116">
        <v>4</v>
      </c>
      <c r="K8204" s="118">
        <v>1020000</v>
      </c>
      <c r="L8204" s="119"/>
      <c r="M8204" s="118">
        <f t="shared" ref="M8204" si="12308">K8204*0.1</f>
        <v>102000</v>
      </c>
      <c r="N8204" s="119"/>
      <c r="O8204" s="118">
        <v>0</v>
      </c>
      <c r="P8204" s="119"/>
      <c r="Q8204" s="118">
        <v>9810</v>
      </c>
      <c r="R8204" s="119"/>
      <c r="S8204" s="118">
        <v>12100</v>
      </c>
      <c r="T8204" s="119"/>
      <c r="U8204" s="118">
        <f t="shared" ref="U8204" si="12309">SUM(K8204:T8205)</f>
        <v>1143910</v>
      </c>
      <c r="V8204" s="122"/>
      <c r="W8204" s="124"/>
      <c r="X8204" s="126" t="s">
        <v>24162</v>
      </c>
      <c r="Y8204" s="127"/>
      <c r="Z8204" s="127"/>
      <c r="AA8204" s="127"/>
      <c r="AB8204" s="128"/>
      <c r="AC8204" s="15" t="s">
        <v>20</v>
      </c>
      <c r="AD8204" s="129"/>
      <c r="AE8204" s="130"/>
      <c r="AF8204" s="130"/>
      <c r="AG8204" s="130"/>
      <c r="AH8204" s="130"/>
      <c r="AI8204" s="131"/>
      <c r="AJ8204" s="132"/>
      <c r="AK8204" s="127"/>
      <c r="AL8204" s="128"/>
      <c r="AM8204" s="21"/>
      <c r="AN8204" s="133"/>
      <c r="AO8204" s="134"/>
      <c r="AP8204" s="135"/>
      <c r="AQ8204" s="136"/>
      <c r="AR8204" s="118"/>
      <c r="AS8204" s="119"/>
      <c r="AT8204" s="118">
        <f t="shared" ref="AT8204" si="12310">AR8204*0.1</f>
        <v>0</v>
      </c>
      <c r="AU8204" s="119"/>
      <c r="AV8204" s="118"/>
      <c r="AW8204" s="119"/>
      <c r="AX8204" s="118">
        <f t="shared" ref="AX8204" si="12311">SUM(AR8204:AW8204)</f>
        <v>0</v>
      </c>
      <c r="AY8204" s="119"/>
      <c r="AZ8204" s="137"/>
    </row>
    <row r="8205" spans="1:52" ht="17.100000000000001" customHeight="1" thickBot="1">
      <c r="A8205" s="110"/>
      <c r="B8205" s="27" t="s">
        <v>2794</v>
      </c>
      <c r="C8205" s="27">
        <v>1147</v>
      </c>
      <c r="D8205" s="14" t="s">
        <v>1720</v>
      </c>
      <c r="E8205" s="112"/>
      <c r="F8205" s="139" t="s">
        <v>23202</v>
      </c>
      <c r="G8205" s="140"/>
      <c r="H8205" s="141"/>
      <c r="I8205" s="26">
        <v>51588</v>
      </c>
      <c r="J8205" s="117"/>
      <c r="K8205" s="120"/>
      <c r="L8205" s="121"/>
      <c r="M8205" s="120"/>
      <c r="N8205" s="121"/>
      <c r="O8205" s="120"/>
      <c r="P8205" s="121"/>
      <c r="Q8205" s="120"/>
      <c r="R8205" s="121"/>
      <c r="S8205" s="120"/>
      <c r="T8205" s="121"/>
      <c r="U8205" s="120"/>
      <c r="V8205" s="123"/>
      <c r="W8205" s="125"/>
      <c r="X8205" s="142" t="s">
        <v>24161</v>
      </c>
      <c r="Y8205" s="143"/>
      <c r="Z8205" s="143"/>
      <c r="AA8205" s="143"/>
      <c r="AB8205" s="144"/>
      <c r="AC8205" s="16" t="s">
        <v>21</v>
      </c>
      <c r="AD8205" s="17" t="s">
        <v>24114</v>
      </c>
      <c r="AE8205" s="145"/>
      <c r="AF8205" s="146"/>
      <c r="AG8205" s="146"/>
      <c r="AH8205" s="146"/>
      <c r="AI8205" s="147"/>
      <c r="AJ8205" s="148"/>
      <c r="AK8205" s="143"/>
      <c r="AL8205" s="144"/>
      <c r="AM8205" s="22"/>
      <c r="AN8205" s="149"/>
      <c r="AO8205" s="144"/>
      <c r="AP8205" s="148"/>
      <c r="AQ8205" s="144"/>
      <c r="AR8205" s="120"/>
      <c r="AS8205" s="121"/>
      <c r="AT8205" s="120"/>
      <c r="AU8205" s="121"/>
      <c r="AV8205" s="120"/>
      <c r="AW8205" s="121"/>
      <c r="AX8205" s="120"/>
      <c r="AY8205" s="121"/>
      <c r="AZ8205" s="138"/>
    </row>
    <row r="8206" spans="1:52" ht="17.100000000000001" customHeight="1" thickTop="1">
      <c r="A8206" s="109" t="s">
        <v>23141</v>
      </c>
      <c r="B8206" s="28">
        <v>46127</v>
      </c>
      <c r="C8206" s="25">
        <v>1013</v>
      </c>
      <c r="D8206" s="13" t="s">
        <v>2187</v>
      </c>
      <c r="E8206" s="111"/>
      <c r="F8206" s="113" t="s">
        <v>23203</v>
      </c>
      <c r="G8206" s="114"/>
      <c r="H8206" s="115"/>
      <c r="I8206" s="24"/>
      <c r="J8206" s="116">
        <v>4.5</v>
      </c>
      <c r="K8206" s="118">
        <v>1525000</v>
      </c>
      <c r="L8206" s="119"/>
      <c r="M8206" s="118">
        <f t="shared" ref="M8206" si="12312">K8206*0.1</f>
        <v>152500</v>
      </c>
      <c r="N8206" s="119"/>
      <c r="O8206" s="118">
        <v>0</v>
      </c>
      <c r="P8206" s="119"/>
      <c r="Q8206" s="118">
        <v>9440</v>
      </c>
      <c r="R8206" s="119"/>
      <c r="S8206" s="118">
        <v>12100</v>
      </c>
      <c r="T8206" s="119"/>
      <c r="U8206" s="118">
        <f t="shared" ref="U8206" si="12313">SUM(K8206:T8207)</f>
        <v>1699040</v>
      </c>
      <c r="V8206" s="122"/>
      <c r="W8206" s="124"/>
      <c r="X8206" s="126" t="s">
        <v>24163</v>
      </c>
      <c r="Y8206" s="127"/>
      <c r="Z8206" s="127"/>
      <c r="AA8206" s="127"/>
      <c r="AB8206" s="128"/>
      <c r="AC8206" s="15" t="s">
        <v>20</v>
      </c>
      <c r="AD8206" s="129"/>
      <c r="AE8206" s="130"/>
      <c r="AF8206" s="130"/>
      <c r="AG8206" s="130"/>
      <c r="AH8206" s="130"/>
      <c r="AI8206" s="131"/>
      <c r="AJ8206" s="132"/>
      <c r="AK8206" s="127"/>
      <c r="AL8206" s="128"/>
      <c r="AM8206" s="21"/>
      <c r="AN8206" s="133">
        <v>46144</v>
      </c>
      <c r="AO8206" s="134"/>
      <c r="AP8206" s="135">
        <v>1299</v>
      </c>
      <c r="AQ8206" s="136"/>
      <c r="AR8206" s="118">
        <v>1600000</v>
      </c>
      <c r="AS8206" s="119"/>
      <c r="AT8206" s="118">
        <f t="shared" ref="AT8206" si="12314">AR8206*0.1</f>
        <v>160000</v>
      </c>
      <c r="AU8206" s="119"/>
      <c r="AV8206" s="118">
        <v>9440</v>
      </c>
      <c r="AW8206" s="119"/>
      <c r="AX8206" s="118">
        <f t="shared" ref="AX8206" si="12315">SUM(AR8206:AW8206)</f>
        <v>1769440</v>
      </c>
      <c r="AY8206" s="119"/>
      <c r="AZ8206" s="137">
        <v>46161</v>
      </c>
    </row>
    <row r="8207" spans="1:52" ht="17.100000000000001" customHeight="1" thickBot="1">
      <c r="A8207" s="110"/>
      <c r="B8207" s="27" t="s">
        <v>2794</v>
      </c>
      <c r="C8207" s="27">
        <v>1244</v>
      </c>
      <c r="D8207" s="14" t="s">
        <v>1592</v>
      </c>
      <c r="E8207" s="112"/>
      <c r="F8207" s="139" t="s">
        <v>23204</v>
      </c>
      <c r="G8207" s="140"/>
      <c r="H8207" s="141"/>
      <c r="I8207" s="26">
        <v>38724</v>
      </c>
      <c r="J8207" s="117"/>
      <c r="K8207" s="120"/>
      <c r="L8207" s="121"/>
      <c r="M8207" s="120"/>
      <c r="N8207" s="121"/>
      <c r="O8207" s="120"/>
      <c r="P8207" s="121"/>
      <c r="Q8207" s="120"/>
      <c r="R8207" s="121"/>
      <c r="S8207" s="120"/>
      <c r="T8207" s="121"/>
      <c r="U8207" s="120"/>
      <c r="V8207" s="123"/>
      <c r="W8207" s="125"/>
      <c r="X8207" s="142" t="s">
        <v>24161</v>
      </c>
      <c r="Y8207" s="143"/>
      <c r="Z8207" s="143"/>
      <c r="AA8207" s="143"/>
      <c r="AB8207" s="144"/>
      <c r="AC8207" s="16" t="s">
        <v>21</v>
      </c>
      <c r="AD8207" s="17" t="s">
        <v>24114</v>
      </c>
      <c r="AE8207" s="145"/>
      <c r="AF8207" s="146"/>
      <c r="AG8207" s="146"/>
      <c r="AH8207" s="146"/>
      <c r="AI8207" s="147"/>
      <c r="AJ8207" s="148"/>
      <c r="AK8207" s="143"/>
      <c r="AL8207" s="144"/>
      <c r="AM8207" s="22"/>
      <c r="AN8207" s="149" t="s">
        <v>6748</v>
      </c>
      <c r="AO8207" s="144"/>
      <c r="AP8207" s="148">
        <v>13168</v>
      </c>
      <c r="AQ8207" s="144"/>
      <c r="AR8207" s="120"/>
      <c r="AS8207" s="121"/>
      <c r="AT8207" s="120"/>
      <c r="AU8207" s="121"/>
      <c r="AV8207" s="120"/>
      <c r="AW8207" s="121"/>
      <c r="AX8207" s="120"/>
      <c r="AY8207" s="121"/>
      <c r="AZ8207" s="138"/>
    </row>
    <row r="8208" spans="1:52" ht="17.100000000000001" customHeight="1" thickTop="1">
      <c r="A8208" s="109" t="s">
        <v>23142</v>
      </c>
      <c r="B8208" s="28">
        <v>46127</v>
      </c>
      <c r="C8208" s="25">
        <v>2351</v>
      </c>
      <c r="D8208" s="13" t="s">
        <v>3921</v>
      </c>
      <c r="E8208" s="111"/>
      <c r="F8208" s="113" t="s">
        <v>17939</v>
      </c>
      <c r="G8208" s="114"/>
      <c r="H8208" s="115"/>
      <c r="I8208" s="24"/>
      <c r="J8208" s="116">
        <v>4</v>
      </c>
      <c r="K8208" s="118">
        <v>1125000</v>
      </c>
      <c r="L8208" s="119"/>
      <c r="M8208" s="118">
        <f t="shared" ref="M8208" si="12316">K8208*0.1</f>
        <v>112500</v>
      </c>
      <c r="N8208" s="119"/>
      <c r="O8208" s="118">
        <v>0</v>
      </c>
      <c r="P8208" s="119"/>
      <c r="Q8208" s="118">
        <v>9750</v>
      </c>
      <c r="R8208" s="119"/>
      <c r="S8208" s="118">
        <v>16500</v>
      </c>
      <c r="T8208" s="119"/>
      <c r="U8208" s="118">
        <f t="shared" ref="U8208" si="12317">SUM(K8208:T8209)</f>
        <v>1263750</v>
      </c>
      <c r="V8208" s="122"/>
      <c r="W8208" s="124"/>
      <c r="X8208" s="126" t="s">
        <v>23474</v>
      </c>
      <c r="Y8208" s="127"/>
      <c r="Z8208" s="127"/>
      <c r="AA8208" s="127"/>
      <c r="AB8208" s="128"/>
      <c r="AC8208" s="15" t="s">
        <v>20</v>
      </c>
      <c r="AD8208" s="129"/>
      <c r="AE8208" s="130"/>
      <c r="AF8208" s="130"/>
      <c r="AG8208" s="130"/>
      <c r="AH8208" s="130"/>
      <c r="AI8208" s="131"/>
      <c r="AJ8208" s="132"/>
      <c r="AK8208" s="127"/>
      <c r="AL8208" s="128"/>
      <c r="AM8208" s="21"/>
      <c r="AN8208" s="133">
        <v>46155</v>
      </c>
      <c r="AO8208" s="134"/>
      <c r="AP8208" s="135">
        <v>1016</v>
      </c>
      <c r="AQ8208" s="136"/>
      <c r="AR8208" s="118">
        <v>1250000</v>
      </c>
      <c r="AS8208" s="119"/>
      <c r="AT8208" s="118">
        <f t="shared" ref="AT8208" si="12318">AR8208*0.1</f>
        <v>125000</v>
      </c>
      <c r="AU8208" s="119"/>
      <c r="AV8208" s="118">
        <v>9750</v>
      </c>
      <c r="AW8208" s="119"/>
      <c r="AX8208" s="118">
        <f t="shared" ref="AX8208" si="12319">SUM(AR8208:AW8208)</f>
        <v>1384750</v>
      </c>
      <c r="AY8208" s="119"/>
      <c r="AZ8208" s="137"/>
    </row>
    <row r="8209" spans="1:52" ht="17.100000000000001" customHeight="1" thickBot="1">
      <c r="A8209" s="110"/>
      <c r="B8209" s="27" t="s">
        <v>3422</v>
      </c>
      <c r="C8209" s="27">
        <v>60071</v>
      </c>
      <c r="D8209" s="14" t="s">
        <v>2601</v>
      </c>
      <c r="E8209" s="112"/>
      <c r="F8209" s="139" t="s">
        <v>23206</v>
      </c>
      <c r="G8209" s="140"/>
      <c r="H8209" s="141"/>
      <c r="I8209" s="26">
        <v>25329</v>
      </c>
      <c r="J8209" s="117"/>
      <c r="K8209" s="120"/>
      <c r="L8209" s="121"/>
      <c r="M8209" s="120"/>
      <c r="N8209" s="121"/>
      <c r="O8209" s="120"/>
      <c r="P8209" s="121"/>
      <c r="Q8209" s="120"/>
      <c r="R8209" s="121"/>
      <c r="S8209" s="120"/>
      <c r="T8209" s="121"/>
      <c r="U8209" s="120"/>
      <c r="V8209" s="123"/>
      <c r="W8209" s="125"/>
      <c r="X8209" s="142" t="s">
        <v>7740</v>
      </c>
      <c r="Y8209" s="143"/>
      <c r="Z8209" s="143"/>
      <c r="AA8209" s="143"/>
      <c r="AB8209" s="144"/>
      <c r="AC8209" s="16" t="s">
        <v>21</v>
      </c>
      <c r="AD8209" s="17" t="s">
        <v>3711</v>
      </c>
      <c r="AE8209" s="145" t="s">
        <v>23332</v>
      </c>
      <c r="AF8209" s="146"/>
      <c r="AG8209" s="146"/>
      <c r="AH8209" s="146"/>
      <c r="AI8209" s="147"/>
      <c r="AJ8209" s="148"/>
      <c r="AK8209" s="143"/>
      <c r="AL8209" s="144"/>
      <c r="AM8209" s="22"/>
      <c r="AN8209" s="149" t="s">
        <v>7285</v>
      </c>
      <c r="AO8209" s="144"/>
      <c r="AP8209" s="148">
        <v>6133</v>
      </c>
      <c r="AQ8209" s="144"/>
      <c r="AR8209" s="120"/>
      <c r="AS8209" s="121"/>
      <c r="AT8209" s="120"/>
      <c r="AU8209" s="121"/>
      <c r="AV8209" s="120"/>
      <c r="AW8209" s="121"/>
      <c r="AX8209" s="120"/>
      <c r="AY8209" s="121"/>
      <c r="AZ8209" s="138"/>
    </row>
    <row r="8210" spans="1:52" ht="17.100000000000001" customHeight="1" thickTop="1">
      <c r="A8210" s="109" t="s">
        <v>23143</v>
      </c>
      <c r="B8210" s="28">
        <v>46127</v>
      </c>
      <c r="C8210" s="25">
        <v>1834</v>
      </c>
      <c r="D8210" s="13" t="s">
        <v>2036</v>
      </c>
      <c r="E8210" s="111"/>
      <c r="F8210" s="113" t="s">
        <v>4930</v>
      </c>
      <c r="G8210" s="114"/>
      <c r="H8210" s="115"/>
      <c r="I8210" s="24"/>
      <c r="J8210" s="116">
        <v>4.5</v>
      </c>
      <c r="K8210" s="118">
        <v>541000</v>
      </c>
      <c r="L8210" s="119"/>
      <c r="M8210" s="118">
        <f t="shared" ref="M8210" si="12320">K8210*0.1</f>
        <v>54100</v>
      </c>
      <c r="N8210" s="119"/>
      <c r="O8210" s="118">
        <v>0</v>
      </c>
      <c r="P8210" s="119"/>
      <c r="Q8210" s="118">
        <v>6550</v>
      </c>
      <c r="R8210" s="119"/>
      <c r="S8210" s="118">
        <f>18500+1850</f>
        <v>20350</v>
      </c>
      <c r="T8210" s="119"/>
      <c r="U8210" s="118">
        <f t="shared" ref="U8210" si="12321">SUM(K8210:T8211)</f>
        <v>622000</v>
      </c>
      <c r="V8210" s="122"/>
      <c r="W8210" s="124"/>
      <c r="X8210" s="126" t="s">
        <v>23867</v>
      </c>
      <c r="Y8210" s="127"/>
      <c r="Z8210" s="127"/>
      <c r="AA8210" s="127"/>
      <c r="AB8210" s="128"/>
      <c r="AC8210" s="15" t="s">
        <v>20</v>
      </c>
      <c r="AD8210" s="129" t="s">
        <v>23212</v>
      </c>
      <c r="AE8210" s="130"/>
      <c r="AF8210" s="130"/>
      <c r="AG8210" s="130"/>
      <c r="AH8210" s="130"/>
      <c r="AI8210" s="131"/>
      <c r="AJ8210" s="132"/>
      <c r="AK8210" s="127"/>
      <c r="AL8210" s="128"/>
      <c r="AM8210" s="21"/>
      <c r="AN8210" s="133">
        <v>46144</v>
      </c>
      <c r="AO8210" s="134"/>
      <c r="AP8210" s="135">
        <v>1299</v>
      </c>
      <c r="AQ8210" s="136"/>
      <c r="AR8210" s="118">
        <v>570000</v>
      </c>
      <c r="AS8210" s="119"/>
      <c r="AT8210" s="118">
        <f t="shared" ref="AT8210" si="12322">AR8210*0.1</f>
        <v>57000</v>
      </c>
      <c r="AU8210" s="119"/>
      <c r="AV8210" s="118">
        <v>6550</v>
      </c>
      <c r="AW8210" s="119"/>
      <c r="AX8210" s="118">
        <f t="shared" ref="AX8210" si="12323">SUM(AR8210:AW8210)</f>
        <v>633550</v>
      </c>
      <c r="AY8210" s="119"/>
      <c r="AZ8210" s="137">
        <v>46154</v>
      </c>
    </row>
    <row r="8211" spans="1:52" ht="17.100000000000001" customHeight="1" thickBot="1">
      <c r="A8211" s="110"/>
      <c r="B8211" s="27" t="s">
        <v>2559</v>
      </c>
      <c r="C8211" s="27">
        <v>3046</v>
      </c>
      <c r="D8211" s="14" t="s">
        <v>1720</v>
      </c>
      <c r="E8211" s="112"/>
      <c r="F8211" s="139" t="s">
        <v>23211</v>
      </c>
      <c r="G8211" s="140"/>
      <c r="H8211" s="141"/>
      <c r="I8211" s="26">
        <v>12752</v>
      </c>
      <c r="J8211" s="117"/>
      <c r="K8211" s="120"/>
      <c r="L8211" s="121"/>
      <c r="M8211" s="120"/>
      <c r="N8211" s="121"/>
      <c r="O8211" s="120"/>
      <c r="P8211" s="121"/>
      <c r="Q8211" s="120"/>
      <c r="R8211" s="121"/>
      <c r="S8211" s="120"/>
      <c r="T8211" s="121"/>
      <c r="U8211" s="120"/>
      <c r="V8211" s="123"/>
      <c r="W8211" s="125"/>
      <c r="X8211" s="142" t="s">
        <v>7450</v>
      </c>
      <c r="Y8211" s="143"/>
      <c r="Z8211" s="143"/>
      <c r="AA8211" s="143"/>
      <c r="AB8211" s="144"/>
      <c r="AC8211" s="16" t="s">
        <v>21</v>
      </c>
      <c r="AD8211" s="17" t="s">
        <v>23859</v>
      </c>
      <c r="AE8211" s="145" t="s">
        <v>11427</v>
      </c>
      <c r="AF8211" s="146"/>
      <c r="AG8211" s="146"/>
      <c r="AH8211" s="146"/>
      <c r="AI8211" s="147"/>
      <c r="AJ8211" s="148"/>
      <c r="AK8211" s="143"/>
      <c r="AL8211" s="144"/>
      <c r="AM8211" s="22"/>
      <c r="AN8211" s="149" t="s">
        <v>7284</v>
      </c>
      <c r="AO8211" s="144"/>
      <c r="AP8211" s="148">
        <v>60034</v>
      </c>
      <c r="AQ8211" s="144"/>
      <c r="AR8211" s="120"/>
      <c r="AS8211" s="121"/>
      <c r="AT8211" s="120"/>
      <c r="AU8211" s="121"/>
      <c r="AV8211" s="120"/>
      <c r="AW8211" s="121"/>
      <c r="AX8211" s="120"/>
      <c r="AY8211" s="121"/>
      <c r="AZ8211" s="138"/>
    </row>
    <row r="8212" spans="1:52" ht="17.100000000000001" customHeight="1" thickTop="1">
      <c r="A8212" s="109" t="s">
        <v>23208</v>
      </c>
      <c r="B8212" s="28">
        <v>46127</v>
      </c>
      <c r="C8212" s="25">
        <v>1834</v>
      </c>
      <c r="D8212" s="13" t="s">
        <v>1958</v>
      </c>
      <c r="E8212" s="111"/>
      <c r="F8212" s="113" t="s">
        <v>8287</v>
      </c>
      <c r="G8212" s="114"/>
      <c r="H8212" s="115"/>
      <c r="I8212" s="24" t="s">
        <v>2919</v>
      </c>
      <c r="J8212" s="116">
        <v>4</v>
      </c>
      <c r="K8212" s="118">
        <v>600000</v>
      </c>
      <c r="L8212" s="119"/>
      <c r="M8212" s="118">
        <v>0</v>
      </c>
      <c r="N8212" s="119"/>
      <c r="O8212" s="118">
        <v>0</v>
      </c>
      <c r="P8212" s="119"/>
      <c r="Q8212" s="118">
        <v>8950</v>
      </c>
      <c r="R8212" s="119"/>
      <c r="S8212" s="118">
        <f>17500+1750</f>
        <v>19250</v>
      </c>
      <c r="T8212" s="119"/>
      <c r="U8212" s="118">
        <f t="shared" ref="U8212" si="12324">SUM(K8212:T8213)</f>
        <v>628200</v>
      </c>
      <c r="V8212" s="122"/>
      <c r="W8212" s="124"/>
      <c r="X8212" s="126" t="s">
        <v>23214</v>
      </c>
      <c r="Y8212" s="127"/>
      <c r="Z8212" s="127"/>
      <c r="AA8212" s="127"/>
      <c r="AB8212" s="128"/>
      <c r="AC8212" s="15" t="s">
        <v>20</v>
      </c>
      <c r="AD8212" s="129" t="s">
        <v>23215</v>
      </c>
      <c r="AE8212" s="130"/>
      <c r="AF8212" s="130"/>
      <c r="AG8212" s="130"/>
      <c r="AH8212" s="130"/>
      <c r="AI8212" s="131"/>
      <c r="AJ8212" s="132" t="s">
        <v>24293</v>
      </c>
      <c r="AK8212" s="127"/>
      <c r="AL8212" s="128"/>
      <c r="AM8212" s="21"/>
      <c r="AN8212" s="133">
        <v>46137</v>
      </c>
      <c r="AO8212" s="134"/>
      <c r="AP8212" s="135">
        <v>1298</v>
      </c>
      <c r="AQ8212" s="136"/>
      <c r="AR8212" s="118">
        <v>670000</v>
      </c>
      <c r="AS8212" s="119"/>
      <c r="AT8212" s="118">
        <f t="shared" ref="AT8212" si="12325">AR8212*0.1</f>
        <v>67000</v>
      </c>
      <c r="AU8212" s="119"/>
      <c r="AV8212" s="118">
        <v>8950</v>
      </c>
      <c r="AW8212" s="119"/>
      <c r="AX8212" s="118">
        <f t="shared" ref="AX8212" si="12326">SUM(AR8212:AW8212)</f>
        <v>745950</v>
      </c>
      <c r="AY8212" s="119"/>
      <c r="AZ8212" s="137">
        <v>46140</v>
      </c>
    </row>
    <row r="8213" spans="1:52" ht="17.100000000000001" customHeight="1" thickBot="1">
      <c r="A8213" s="110"/>
      <c r="B8213" s="27" t="s">
        <v>2559</v>
      </c>
      <c r="C8213" s="27">
        <v>13043</v>
      </c>
      <c r="D8213" s="14" t="s">
        <v>1592</v>
      </c>
      <c r="E8213" s="112"/>
      <c r="F8213" s="139" t="s">
        <v>23213</v>
      </c>
      <c r="G8213" s="140"/>
      <c r="H8213" s="141"/>
      <c r="I8213" s="26">
        <v>51097</v>
      </c>
      <c r="J8213" s="117"/>
      <c r="K8213" s="120"/>
      <c r="L8213" s="121"/>
      <c r="M8213" s="120"/>
      <c r="N8213" s="121"/>
      <c r="O8213" s="120"/>
      <c r="P8213" s="121"/>
      <c r="Q8213" s="120"/>
      <c r="R8213" s="121"/>
      <c r="S8213" s="120"/>
      <c r="T8213" s="121"/>
      <c r="U8213" s="120"/>
      <c r="V8213" s="123"/>
      <c r="W8213" s="125"/>
      <c r="X8213" s="142" t="s">
        <v>23868</v>
      </c>
      <c r="Y8213" s="143"/>
      <c r="Z8213" s="143"/>
      <c r="AA8213" s="143"/>
      <c r="AB8213" s="144"/>
      <c r="AC8213" s="16" t="s">
        <v>21</v>
      </c>
      <c r="AD8213" s="17" t="s">
        <v>23859</v>
      </c>
      <c r="AE8213" s="145" t="s">
        <v>23869</v>
      </c>
      <c r="AF8213" s="146"/>
      <c r="AG8213" s="146"/>
      <c r="AH8213" s="146"/>
      <c r="AI8213" s="147"/>
      <c r="AJ8213" s="148"/>
      <c r="AK8213" s="143"/>
      <c r="AL8213" s="144"/>
      <c r="AM8213" s="22"/>
      <c r="AN8213" s="149" t="s">
        <v>2511</v>
      </c>
      <c r="AO8213" s="144"/>
      <c r="AP8213" s="148">
        <v>60065</v>
      </c>
      <c r="AQ8213" s="144"/>
      <c r="AR8213" s="120"/>
      <c r="AS8213" s="121"/>
      <c r="AT8213" s="120"/>
      <c r="AU8213" s="121"/>
      <c r="AV8213" s="120"/>
      <c r="AW8213" s="121"/>
      <c r="AX8213" s="120"/>
      <c r="AY8213" s="121"/>
      <c r="AZ8213" s="138"/>
    </row>
    <row r="8214" spans="1:52" ht="17.100000000000001" customHeight="1" thickTop="1">
      <c r="A8214" s="109" t="s">
        <v>23209</v>
      </c>
      <c r="B8214" s="28">
        <v>46127</v>
      </c>
      <c r="C8214" s="25">
        <v>1834</v>
      </c>
      <c r="D8214" s="13" t="s">
        <v>3381</v>
      </c>
      <c r="E8214" s="111"/>
      <c r="F8214" s="113" t="s">
        <v>23216</v>
      </c>
      <c r="G8214" s="114"/>
      <c r="H8214" s="115"/>
      <c r="I8214" s="24"/>
      <c r="J8214" s="116">
        <v>4.5</v>
      </c>
      <c r="K8214" s="118">
        <v>650000</v>
      </c>
      <c r="L8214" s="119"/>
      <c r="M8214" s="118">
        <f t="shared" ref="M8214" si="12327">K8214*0.1</f>
        <v>65000</v>
      </c>
      <c r="N8214" s="119"/>
      <c r="O8214" s="118">
        <v>0</v>
      </c>
      <c r="P8214" s="119"/>
      <c r="Q8214" s="118">
        <v>20170</v>
      </c>
      <c r="R8214" s="119"/>
      <c r="S8214" s="118">
        <v>20350</v>
      </c>
      <c r="T8214" s="119"/>
      <c r="U8214" s="118">
        <f t="shared" ref="U8214" si="12328">SUM(K8214:T8215)</f>
        <v>755520</v>
      </c>
      <c r="V8214" s="122"/>
      <c r="W8214" s="124"/>
      <c r="X8214" s="126" t="s">
        <v>23863</v>
      </c>
      <c r="Y8214" s="127"/>
      <c r="Z8214" s="127"/>
      <c r="AA8214" s="127"/>
      <c r="AB8214" s="128"/>
      <c r="AC8214" s="15" t="s">
        <v>20</v>
      </c>
      <c r="AD8214" s="129"/>
      <c r="AE8214" s="130"/>
      <c r="AF8214" s="130"/>
      <c r="AG8214" s="130"/>
      <c r="AH8214" s="130"/>
      <c r="AI8214" s="131"/>
      <c r="AJ8214" s="132"/>
      <c r="AK8214" s="127"/>
      <c r="AL8214" s="128"/>
      <c r="AM8214" s="21"/>
      <c r="AN8214" s="133">
        <v>46137</v>
      </c>
      <c r="AO8214" s="134"/>
      <c r="AP8214" s="135">
        <v>1298</v>
      </c>
      <c r="AQ8214" s="136"/>
      <c r="AR8214" s="118">
        <v>695000</v>
      </c>
      <c r="AS8214" s="119"/>
      <c r="AT8214" s="118">
        <f t="shared" ref="AT8214" si="12329">AR8214*0.1</f>
        <v>69500</v>
      </c>
      <c r="AU8214" s="119"/>
      <c r="AV8214" s="118">
        <v>20170</v>
      </c>
      <c r="AW8214" s="119"/>
      <c r="AX8214" s="118">
        <f t="shared" ref="AX8214" si="12330">SUM(AR8214:AW8214)</f>
        <v>784670</v>
      </c>
      <c r="AY8214" s="119"/>
      <c r="AZ8214" s="137">
        <v>46140</v>
      </c>
    </row>
    <row r="8215" spans="1:52" ht="17.100000000000001" customHeight="1" thickBot="1">
      <c r="A8215" s="110"/>
      <c r="B8215" s="27" t="s">
        <v>2559</v>
      </c>
      <c r="C8215" s="27">
        <v>38002</v>
      </c>
      <c r="D8215" s="14" t="s">
        <v>1592</v>
      </c>
      <c r="E8215" s="112"/>
      <c r="F8215" s="139" t="s">
        <v>23217</v>
      </c>
      <c r="G8215" s="140"/>
      <c r="H8215" s="141"/>
      <c r="I8215" s="26">
        <v>63421</v>
      </c>
      <c r="J8215" s="117"/>
      <c r="K8215" s="120"/>
      <c r="L8215" s="121"/>
      <c r="M8215" s="120"/>
      <c r="N8215" s="121"/>
      <c r="O8215" s="120"/>
      <c r="P8215" s="121"/>
      <c r="Q8215" s="120"/>
      <c r="R8215" s="121"/>
      <c r="S8215" s="120"/>
      <c r="T8215" s="121"/>
      <c r="U8215" s="120"/>
      <c r="V8215" s="123"/>
      <c r="W8215" s="125"/>
      <c r="X8215" s="142" t="s">
        <v>9727</v>
      </c>
      <c r="Y8215" s="143"/>
      <c r="Z8215" s="143"/>
      <c r="AA8215" s="143"/>
      <c r="AB8215" s="144"/>
      <c r="AC8215" s="16" t="s">
        <v>21</v>
      </c>
      <c r="AD8215" s="17" t="s">
        <v>23859</v>
      </c>
      <c r="AE8215" s="145" t="s">
        <v>24150</v>
      </c>
      <c r="AF8215" s="146"/>
      <c r="AG8215" s="146"/>
      <c r="AH8215" s="146"/>
      <c r="AI8215" s="147"/>
      <c r="AJ8215" s="148"/>
      <c r="AK8215" s="143"/>
      <c r="AL8215" s="144"/>
      <c r="AM8215" s="22"/>
      <c r="AN8215" s="149" t="s">
        <v>2511</v>
      </c>
      <c r="AO8215" s="144"/>
      <c r="AP8215" s="148">
        <v>80085</v>
      </c>
      <c r="AQ8215" s="144"/>
      <c r="AR8215" s="120"/>
      <c r="AS8215" s="121"/>
      <c r="AT8215" s="120"/>
      <c r="AU8215" s="121"/>
      <c r="AV8215" s="120"/>
      <c r="AW8215" s="121"/>
      <c r="AX8215" s="120"/>
      <c r="AY8215" s="121"/>
      <c r="AZ8215" s="138"/>
    </row>
    <row r="8216" spans="1:52" ht="17.100000000000001" customHeight="1" thickTop="1">
      <c r="A8216" s="109" t="s">
        <v>23210</v>
      </c>
      <c r="B8216" s="28">
        <v>46127</v>
      </c>
      <c r="C8216" s="25">
        <v>1834</v>
      </c>
      <c r="D8216" s="13" t="s">
        <v>1977</v>
      </c>
      <c r="E8216" s="111"/>
      <c r="F8216" s="113" t="s">
        <v>23218</v>
      </c>
      <c r="G8216" s="114"/>
      <c r="H8216" s="115"/>
      <c r="I8216" s="24"/>
      <c r="J8216" s="116">
        <v>4.5</v>
      </c>
      <c r="K8216" s="118">
        <v>1330000</v>
      </c>
      <c r="L8216" s="119"/>
      <c r="M8216" s="118">
        <f t="shared" ref="M8216" si="12331">K8216*0.1</f>
        <v>133000</v>
      </c>
      <c r="N8216" s="119"/>
      <c r="O8216" s="118">
        <v>0</v>
      </c>
      <c r="P8216" s="119"/>
      <c r="Q8216" s="118">
        <v>19090</v>
      </c>
      <c r="R8216" s="119"/>
      <c r="S8216" s="118">
        <v>20350</v>
      </c>
      <c r="T8216" s="119"/>
      <c r="U8216" s="118">
        <f t="shared" ref="U8216" si="12332">SUM(K8216:T8217)</f>
        <v>1502440</v>
      </c>
      <c r="V8216" s="122"/>
      <c r="W8216" s="124"/>
      <c r="X8216" s="126" t="s">
        <v>24015</v>
      </c>
      <c r="Y8216" s="127"/>
      <c r="Z8216" s="127"/>
      <c r="AA8216" s="127"/>
      <c r="AB8216" s="128"/>
      <c r="AC8216" s="15" t="s">
        <v>20</v>
      </c>
      <c r="AD8216" s="129" t="s">
        <v>1670</v>
      </c>
      <c r="AE8216" s="130"/>
      <c r="AF8216" s="130"/>
      <c r="AG8216" s="130"/>
      <c r="AH8216" s="130"/>
      <c r="AI8216" s="131"/>
      <c r="AJ8216" s="132"/>
      <c r="AK8216" s="127"/>
      <c r="AL8216" s="128"/>
      <c r="AM8216" s="21"/>
      <c r="AN8216" s="133">
        <v>46130</v>
      </c>
      <c r="AO8216" s="134"/>
      <c r="AP8216" s="135">
        <v>1297</v>
      </c>
      <c r="AQ8216" s="136"/>
      <c r="AR8216" s="118">
        <v>1825000</v>
      </c>
      <c r="AS8216" s="119"/>
      <c r="AT8216" s="118">
        <f t="shared" ref="AT8216" si="12333">AR8216*0.1</f>
        <v>182500</v>
      </c>
      <c r="AU8216" s="119"/>
      <c r="AV8216" s="118">
        <v>19090</v>
      </c>
      <c r="AW8216" s="119"/>
      <c r="AX8216" s="118">
        <f t="shared" ref="AX8216" si="12334">SUM(AR8216:AW8216)</f>
        <v>2026590</v>
      </c>
      <c r="AY8216" s="119"/>
      <c r="AZ8216" s="137">
        <v>46139</v>
      </c>
    </row>
    <row r="8217" spans="1:52" ht="17.100000000000001" customHeight="1" thickBot="1">
      <c r="A8217" s="110"/>
      <c r="B8217" s="27" t="s">
        <v>2559</v>
      </c>
      <c r="C8217" s="27">
        <v>38196</v>
      </c>
      <c r="D8217" s="14" t="s">
        <v>1592</v>
      </c>
      <c r="E8217" s="112"/>
      <c r="F8217" s="139" t="s">
        <v>23219</v>
      </c>
      <c r="G8217" s="140"/>
      <c r="H8217" s="141"/>
      <c r="I8217" s="26">
        <v>25676</v>
      </c>
      <c r="J8217" s="117"/>
      <c r="K8217" s="120"/>
      <c r="L8217" s="121"/>
      <c r="M8217" s="120"/>
      <c r="N8217" s="121"/>
      <c r="O8217" s="120"/>
      <c r="P8217" s="121"/>
      <c r="Q8217" s="120"/>
      <c r="R8217" s="121"/>
      <c r="S8217" s="120"/>
      <c r="T8217" s="121"/>
      <c r="U8217" s="120"/>
      <c r="V8217" s="123"/>
      <c r="W8217" s="125"/>
      <c r="X8217" s="142" t="s">
        <v>2918</v>
      </c>
      <c r="Y8217" s="143"/>
      <c r="Z8217" s="143"/>
      <c r="AA8217" s="143"/>
      <c r="AB8217" s="144"/>
      <c r="AC8217" s="16" t="s">
        <v>21</v>
      </c>
      <c r="AD8217" s="17" t="s">
        <v>24016</v>
      </c>
      <c r="AE8217" s="145" t="s">
        <v>24017</v>
      </c>
      <c r="AF8217" s="146"/>
      <c r="AG8217" s="146"/>
      <c r="AH8217" s="146"/>
      <c r="AI8217" s="147"/>
      <c r="AJ8217" s="148"/>
      <c r="AK8217" s="143"/>
      <c r="AL8217" s="144"/>
      <c r="AM8217" s="22"/>
      <c r="AN8217" s="149" t="s">
        <v>2511</v>
      </c>
      <c r="AO8217" s="144"/>
      <c r="AP8217" s="148">
        <v>80351</v>
      </c>
      <c r="AQ8217" s="144"/>
      <c r="AR8217" s="120"/>
      <c r="AS8217" s="121"/>
      <c r="AT8217" s="120"/>
      <c r="AU8217" s="121"/>
      <c r="AV8217" s="120"/>
      <c r="AW8217" s="121"/>
      <c r="AX8217" s="120"/>
      <c r="AY8217" s="121"/>
      <c r="AZ8217" s="138"/>
    </row>
    <row r="8218" spans="1:52" ht="17.100000000000001" customHeight="1" thickTop="1">
      <c r="A8218" s="109" t="s">
        <v>23220</v>
      </c>
      <c r="B8218" s="28">
        <v>46127</v>
      </c>
      <c r="C8218" s="25">
        <v>1834</v>
      </c>
      <c r="D8218" s="13" t="s">
        <v>1977</v>
      </c>
      <c r="E8218" s="111"/>
      <c r="F8218" s="113" t="s">
        <v>23221</v>
      </c>
      <c r="G8218" s="114"/>
      <c r="H8218" s="115"/>
      <c r="I8218" s="24" t="s">
        <v>4390</v>
      </c>
      <c r="J8218" s="116">
        <v>5</v>
      </c>
      <c r="K8218" s="118">
        <v>1885000</v>
      </c>
      <c r="L8218" s="119"/>
      <c r="M8218" s="118">
        <f t="shared" ref="M8218" si="12335">K8218*0.1</f>
        <v>188500</v>
      </c>
      <c r="N8218" s="119"/>
      <c r="O8218" s="118">
        <f>31600+3160</f>
        <v>34760</v>
      </c>
      <c r="P8218" s="119"/>
      <c r="Q8218" s="118">
        <v>20460</v>
      </c>
      <c r="R8218" s="119"/>
      <c r="S8218" s="118">
        <v>20350</v>
      </c>
      <c r="T8218" s="119"/>
      <c r="U8218" s="118">
        <f t="shared" ref="U8218" si="12336">SUM(K8218:T8219)</f>
        <v>2149070</v>
      </c>
      <c r="V8218" s="122"/>
      <c r="W8218" s="124"/>
      <c r="X8218" s="126" t="s">
        <v>23223</v>
      </c>
      <c r="Y8218" s="127"/>
      <c r="Z8218" s="127"/>
      <c r="AA8218" s="127"/>
      <c r="AB8218" s="128"/>
      <c r="AC8218" s="15" t="s">
        <v>20</v>
      </c>
      <c r="AD8218" s="129"/>
      <c r="AE8218" s="130"/>
      <c r="AF8218" s="130"/>
      <c r="AG8218" s="130"/>
      <c r="AH8218" s="130"/>
      <c r="AI8218" s="131"/>
      <c r="AJ8218" s="132"/>
      <c r="AK8218" s="127"/>
      <c r="AL8218" s="128"/>
      <c r="AM8218" s="21"/>
      <c r="AN8218" s="133">
        <v>46137</v>
      </c>
      <c r="AO8218" s="134"/>
      <c r="AP8218" s="135">
        <v>1298</v>
      </c>
      <c r="AQ8218" s="136"/>
      <c r="AR8218" s="118">
        <v>1920000</v>
      </c>
      <c r="AS8218" s="119"/>
      <c r="AT8218" s="118">
        <f t="shared" ref="AT8218" si="12337">AR8218*0.1</f>
        <v>192000</v>
      </c>
      <c r="AU8218" s="119"/>
      <c r="AV8218" s="118">
        <v>20460</v>
      </c>
      <c r="AW8218" s="119"/>
      <c r="AX8218" s="118">
        <f t="shared" ref="AX8218" si="12338">SUM(AR8218:AW8218)</f>
        <v>2132460</v>
      </c>
      <c r="AY8218" s="119"/>
      <c r="AZ8218" s="137">
        <v>46140</v>
      </c>
    </row>
    <row r="8219" spans="1:52" ht="17.100000000000001" customHeight="1" thickBot="1">
      <c r="A8219" s="110"/>
      <c r="B8219" s="27" t="s">
        <v>2559</v>
      </c>
      <c r="C8219" s="27">
        <v>38233</v>
      </c>
      <c r="D8219" s="14" t="s">
        <v>275</v>
      </c>
      <c r="E8219" s="112"/>
      <c r="F8219" s="139" t="s">
        <v>23222</v>
      </c>
      <c r="G8219" s="140"/>
      <c r="H8219" s="141"/>
      <c r="I8219" s="26">
        <v>41040</v>
      </c>
      <c r="J8219" s="117"/>
      <c r="K8219" s="120"/>
      <c r="L8219" s="121"/>
      <c r="M8219" s="120"/>
      <c r="N8219" s="121"/>
      <c r="O8219" s="120"/>
      <c r="P8219" s="121"/>
      <c r="Q8219" s="120"/>
      <c r="R8219" s="121"/>
      <c r="S8219" s="120"/>
      <c r="T8219" s="121"/>
      <c r="U8219" s="120"/>
      <c r="V8219" s="123"/>
      <c r="W8219" s="125"/>
      <c r="X8219" s="142" t="s">
        <v>4377</v>
      </c>
      <c r="Y8219" s="143"/>
      <c r="Z8219" s="143"/>
      <c r="AA8219" s="143"/>
      <c r="AB8219" s="144"/>
      <c r="AC8219" s="16" t="s">
        <v>21</v>
      </c>
      <c r="AD8219" s="17" t="s">
        <v>23859</v>
      </c>
      <c r="AE8219" s="145" t="s">
        <v>23364</v>
      </c>
      <c r="AF8219" s="146"/>
      <c r="AG8219" s="146"/>
      <c r="AH8219" s="146"/>
      <c r="AI8219" s="147"/>
      <c r="AJ8219" s="148"/>
      <c r="AK8219" s="143"/>
      <c r="AL8219" s="144"/>
      <c r="AM8219" s="22"/>
      <c r="AN8219" s="149" t="s">
        <v>2511</v>
      </c>
      <c r="AO8219" s="144"/>
      <c r="AP8219" s="148">
        <v>80049</v>
      </c>
      <c r="AQ8219" s="144"/>
      <c r="AR8219" s="120"/>
      <c r="AS8219" s="121"/>
      <c r="AT8219" s="120"/>
      <c r="AU8219" s="121"/>
      <c r="AV8219" s="120"/>
      <c r="AW8219" s="121"/>
      <c r="AX8219" s="120"/>
      <c r="AY8219" s="121"/>
      <c r="AZ8219" s="138"/>
    </row>
    <row r="8220" spans="1:52" ht="17.100000000000001" customHeight="1" thickTop="1">
      <c r="A8220" s="109" t="s">
        <v>23287</v>
      </c>
      <c r="B8220" s="28">
        <v>46128</v>
      </c>
      <c r="C8220" s="25">
        <v>1327</v>
      </c>
      <c r="D8220" s="13" t="s">
        <v>23307</v>
      </c>
      <c r="E8220" s="111"/>
      <c r="F8220" s="113" t="s">
        <v>23308</v>
      </c>
      <c r="G8220" s="114"/>
      <c r="H8220" s="115"/>
      <c r="I8220" s="24" t="s">
        <v>23309</v>
      </c>
      <c r="J8220" s="116">
        <v>4.5</v>
      </c>
      <c r="K8220" s="118">
        <v>1600000</v>
      </c>
      <c r="L8220" s="119"/>
      <c r="M8220" s="118">
        <f t="shared" ref="M8220" si="12339">K8220*0.1</f>
        <v>160000</v>
      </c>
      <c r="N8220" s="119"/>
      <c r="O8220" s="118">
        <f>22900+2290</f>
        <v>25190</v>
      </c>
      <c r="P8220" s="119"/>
      <c r="Q8220" s="118">
        <v>11930</v>
      </c>
      <c r="R8220" s="119"/>
      <c r="S8220" s="118">
        <v>16500</v>
      </c>
      <c r="T8220" s="119"/>
      <c r="U8220" s="118">
        <f t="shared" ref="U8220" si="12340">SUM(K8220:T8221)</f>
        <v>1813620</v>
      </c>
      <c r="V8220" s="122"/>
      <c r="W8220" s="124"/>
      <c r="X8220" s="126" t="s">
        <v>23310</v>
      </c>
      <c r="Y8220" s="127"/>
      <c r="Z8220" s="127"/>
      <c r="AA8220" s="127"/>
      <c r="AB8220" s="128"/>
      <c r="AC8220" s="15" t="s">
        <v>20</v>
      </c>
      <c r="AD8220" s="129" t="s">
        <v>23311</v>
      </c>
      <c r="AE8220" s="130"/>
      <c r="AF8220" s="130"/>
      <c r="AG8220" s="130"/>
      <c r="AH8220" s="130"/>
      <c r="AI8220" s="131"/>
      <c r="AJ8220" s="132"/>
      <c r="AK8220" s="127"/>
      <c r="AL8220" s="128"/>
      <c r="AM8220" s="21"/>
      <c r="AN8220" s="133">
        <v>46137</v>
      </c>
      <c r="AO8220" s="134"/>
      <c r="AP8220" s="135">
        <v>1298</v>
      </c>
      <c r="AQ8220" s="136"/>
      <c r="AR8220" s="118">
        <v>1670000</v>
      </c>
      <c r="AS8220" s="119"/>
      <c r="AT8220" s="118">
        <f t="shared" ref="AT8220" si="12341">AR8220*0.1</f>
        <v>167000</v>
      </c>
      <c r="AU8220" s="119"/>
      <c r="AV8220" s="118">
        <v>11930</v>
      </c>
      <c r="AW8220" s="119"/>
      <c r="AX8220" s="118">
        <f t="shared" ref="AX8220" si="12342">SUM(AR8220:AW8220)</f>
        <v>1848930</v>
      </c>
      <c r="AY8220" s="119"/>
      <c r="AZ8220" s="137">
        <v>46140</v>
      </c>
    </row>
    <row r="8221" spans="1:52" ht="17.100000000000001" customHeight="1" thickBot="1">
      <c r="A8221" s="110"/>
      <c r="B8221" s="27" t="s">
        <v>23284</v>
      </c>
      <c r="C8221" s="27">
        <v>2</v>
      </c>
      <c r="D8221" s="14" t="s">
        <v>23301</v>
      </c>
      <c r="E8221" s="112"/>
      <c r="F8221" s="139" t="s">
        <v>23290</v>
      </c>
      <c r="G8221" s="140"/>
      <c r="H8221" s="141"/>
      <c r="I8221" s="26">
        <v>43932</v>
      </c>
      <c r="J8221" s="117"/>
      <c r="K8221" s="120"/>
      <c r="L8221" s="121"/>
      <c r="M8221" s="120"/>
      <c r="N8221" s="121"/>
      <c r="O8221" s="120"/>
      <c r="P8221" s="121"/>
      <c r="Q8221" s="120"/>
      <c r="R8221" s="121"/>
      <c r="S8221" s="120"/>
      <c r="T8221" s="121"/>
      <c r="U8221" s="120"/>
      <c r="V8221" s="123"/>
      <c r="W8221" s="125"/>
      <c r="X8221" s="142" t="s">
        <v>5000</v>
      </c>
      <c r="Y8221" s="143"/>
      <c r="Z8221" s="143"/>
      <c r="AA8221" s="143"/>
      <c r="AB8221" s="144"/>
      <c r="AC8221" s="16" t="s">
        <v>21</v>
      </c>
      <c r="AD8221" s="17" t="s">
        <v>24016</v>
      </c>
      <c r="AE8221" s="145" t="s">
        <v>1633</v>
      </c>
      <c r="AF8221" s="146"/>
      <c r="AG8221" s="146"/>
      <c r="AH8221" s="146"/>
      <c r="AI8221" s="147"/>
      <c r="AJ8221" s="148"/>
      <c r="AK8221" s="143"/>
      <c r="AL8221" s="144"/>
      <c r="AM8221" s="22"/>
      <c r="AN8221" s="149" t="s">
        <v>2511</v>
      </c>
      <c r="AO8221" s="144"/>
      <c r="AP8221" s="148">
        <v>80021</v>
      </c>
      <c r="AQ8221" s="144"/>
      <c r="AR8221" s="120"/>
      <c r="AS8221" s="121"/>
      <c r="AT8221" s="120"/>
      <c r="AU8221" s="121"/>
      <c r="AV8221" s="120"/>
      <c r="AW8221" s="121"/>
      <c r="AX8221" s="120"/>
      <c r="AY8221" s="121"/>
      <c r="AZ8221" s="138"/>
    </row>
    <row r="8222" spans="1:52" ht="17.100000000000001" customHeight="1" thickTop="1">
      <c r="A8222" s="109" t="s">
        <v>23288</v>
      </c>
      <c r="B8222" s="28">
        <v>46128</v>
      </c>
      <c r="C8222" s="25">
        <v>1327</v>
      </c>
      <c r="D8222" s="13" t="s">
        <v>23312</v>
      </c>
      <c r="E8222" s="111"/>
      <c r="F8222" s="113" t="s">
        <v>23313</v>
      </c>
      <c r="G8222" s="114"/>
      <c r="H8222" s="115"/>
      <c r="I8222" s="24"/>
      <c r="J8222" s="116">
        <v>5</v>
      </c>
      <c r="K8222" s="118">
        <v>2420000</v>
      </c>
      <c r="L8222" s="119"/>
      <c r="M8222" s="118">
        <f t="shared" ref="M8222" si="12343">K8222*0.1</f>
        <v>242000</v>
      </c>
      <c r="N8222" s="119"/>
      <c r="O8222" s="118">
        <v>0</v>
      </c>
      <c r="P8222" s="119"/>
      <c r="Q8222" s="118">
        <v>20830</v>
      </c>
      <c r="R8222" s="119"/>
      <c r="S8222" s="118">
        <v>16500</v>
      </c>
      <c r="T8222" s="119"/>
      <c r="U8222" s="118">
        <f t="shared" ref="U8222" si="12344">SUM(K8222:T8223)</f>
        <v>2699330</v>
      </c>
      <c r="V8222" s="122"/>
      <c r="W8222" s="124"/>
      <c r="X8222" s="126" t="s">
        <v>24051</v>
      </c>
      <c r="Y8222" s="127"/>
      <c r="Z8222" s="127"/>
      <c r="AA8222" s="127"/>
      <c r="AB8222" s="128"/>
      <c r="AC8222" s="15" t="s">
        <v>20</v>
      </c>
      <c r="AD8222" s="129" t="s">
        <v>23314</v>
      </c>
      <c r="AE8222" s="130"/>
      <c r="AF8222" s="130"/>
      <c r="AG8222" s="130"/>
      <c r="AH8222" s="130"/>
      <c r="AI8222" s="131"/>
      <c r="AJ8222" s="132"/>
      <c r="AK8222" s="127"/>
      <c r="AL8222" s="128"/>
      <c r="AM8222" s="21"/>
      <c r="AN8222" s="133"/>
      <c r="AO8222" s="134"/>
      <c r="AP8222" s="135"/>
      <c r="AQ8222" s="136"/>
      <c r="AR8222" s="118"/>
      <c r="AS8222" s="119"/>
      <c r="AT8222" s="118">
        <f t="shared" ref="AT8222" si="12345">AR8222*0.1</f>
        <v>0</v>
      </c>
      <c r="AU8222" s="119"/>
      <c r="AV8222" s="118"/>
      <c r="AW8222" s="119"/>
      <c r="AX8222" s="118">
        <f t="shared" ref="AX8222" si="12346">SUM(AR8222:AW8222)</f>
        <v>0</v>
      </c>
      <c r="AY8222" s="119"/>
      <c r="AZ8222" s="137"/>
    </row>
    <row r="8223" spans="1:52" ht="17.100000000000001" customHeight="1" thickBot="1">
      <c r="A8223" s="110"/>
      <c r="B8223" s="27" t="s">
        <v>23284</v>
      </c>
      <c r="C8223" s="27">
        <v>205</v>
      </c>
      <c r="D8223" s="14" t="s">
        <v>2601</v>
      </c>
      <c r="E8223" s="112"/>
      <c r="F8223" s="139" t="s">
        <v>24050</v>
      </c>
      <c r="G8223" s="140"/>
      <c r="H8223" s="141"/>
      <c r="I8223" s="26">
        <v>24670</v>
      </c>
      <c r="J8223" s="117"/>
      <c r="K8223" s="120"/>
      <c r="L8223" s="121"/>
      <c r="M8223" s="120"/>
      <c r="N8223" s="121"/>
      <c r="O8223" s="120"/>
      <c r="P8223" s="121"/>
      <c r="Q8223" s="120"/>
      <c r="R8223" s="121"/>
      <c r="S8223" s="120"/>
      <c r="T8223" s="121"/>
      <c r="U8223" s="120"/>
      <c r="V8223" s="123"/>
      <c r="W8223" s="125"/>
      <c r="X8223" s="142" t="s">
        <v>1861</v>
      </c>
      <c r="Y8223" s="143"/>
      <c r="Z8223" s="143"/>
      <c r="AA8223" s="143"/>
      <c r="AB8223" s="144"/>
      <c r="AC8223" s="16" t="s">
        <v>21</v>
      </c>
      <c r="AD8223" s="17" t="s">
        <v>24016</v>
      </c>
      <c r="AE8223" s="145" t="s">
        <v>2832</v>
      </c>
      <c r="AF8223" s="146"/>
      <c r="AG8223" s="146"/>
      <c r="AH8223" s="146"/>
      <c r="AI8223" s="147"/>
      <c r="AJ8223" s="148"/>
      <c r="AK8223" s="143"/>
      <c r="AL8223" s="144"/>
      <c r="AM8223" s="22"/>
      <c r="AN8223" s="149"/>
      <c r="AO8223" s="144"/>
      <c r="AP8223" s="148"/>
      <c r="AQ8223" s="144"/>
      <c r="AR8223" s="120"/>
      <c r="AS8223" s="121"/>
      <c r="AT8223" s="120"/>
      <c r="AU8223" s="121"/>
      <c r="AV8223" s="120"/>
      <c r="AW8223" s="121"/>
      <c r="AX8223" s="120"/>
      <c r="AY8223" s="121"/>
      <c r="AZ8223" s="138"/>
    </row>
    <row r="8224" spans="1:52" ht="17.100000000000001" customHeight="1" thickTop="1">
      <c r="A8224" s="109" t="s">
        <v>23289</v>
      </c>
      <c r="B8224" s="28">
        <v>46128</v>
      </c>
      <c r="C8224" s="25">
        <v>1327</v>
      </c>
      <c r="D8224" s="13" t="s">
        <v>23304</v>
      </c>
      <c r="E8224" s="111"/>
      <c r="F8224" s="113" t="s">
        <v>23305</v>
      </c>
      <c r="G8224" s="114"/>
      <c r="H8224" s="115"/>
      <c r="I8224" s="24"/>
      <c r="J8224" s="116">
        <v>4.5</v>
      </c>
      <c r="K8224" s="118">
        <v>290000</v>
      </c>
      <c r="L8224" s="119"/>
      <c r="M8224" s="118">
        <f t="shared" ref="M8224" si="12347">K8224*0.1</f>
        <v>29000</v>
      </c>
      <c r="N8224" s="119"/>
      <c r="O8224" s="118">
        <v>0</v>
      </c>
      <c r="P8224" s="119"/>
      <c r="Q8224" s="118">
        <v>18800</v>
      </c>
      <c r="R8224" s="119"/>
      <c r="S8224" s="118">
        <v>16500</v>
      </c>
      <c r="T8224" s="119"/>
      <c r="U8224" s="118">
        <f t="shared" ref="U8224" si="12348">SUM(K8224:T8225)</f>
        <v>354300</v>
      </c>
      <c r="V8224" s="122"/>
      <c r="W8224" s="124"/>
      <c r="X8224" s="126" t="s">
        <v>23877</v>
      </c>
      <c r="Y8224" s="127"/>
      <c r="Z8224" s="127"/>
      <c r="AA8224" s="127"/>
      <c r="AB8224" s="128"/>
      <c r="AC8224" s="15" t="s">
        <v>20</v>
      </c>
      <c r="AD8224" s="129" t="s">
        <v>23306</v>
      </c>
      <c r="AE8224" s="130"/>
      <c r="AF8224" s="130"/>
      <c r="AG8224" s="130"/>
      <c r="AH8224" s="130"/>
      <c r="AI8224" s="131"/>
      <c r="AJ8224" s="132"/>
      <c r="AK8224" s="127"/>
      <c r="AL8224" s="128"/>
      <c r="AM8224" s="21"/>
      <c r="AN8224" s="133">
        <v>46141</v>
      </c>
      <c r="AO8224" s="134"/>
      <c r="AP8224" s="135">
        <v>1015</v>
      </c>
      <c r="AQ8224" s="136"/>
      <c r="AR8224" s="118">
        <v>390000</v>
      </c>
      <c r="AS8224" s="119"/>
      <c r="AT8224" s="118">
        <f t="shared" ref="AT8224" si="12349">AR8224*0.1</f>
        <v>39000</v>
      </c>
      <c r="AU8224" s="119"/>
      <c r="AV8224" s="118">
        <v>18800</v>
      </c>
      <c r="AW8224" s="119"/>
      <c r="AX8224" s="118">
        <f t="shared" ref="AX8224" si="12350">SUM(AR8224:AW8224)</f>
        <v>447800</v>
      </c>
      <c r="AY8224" s="119"/>
      <c r="AZ8224" s="137">
        <v>46154</v>
      </c>
    </row>
    <row r="8225" spans="1:52" ht="17.100000000000001" customHeight="1" thickBot="1">
      <c r="A8225" s="110"/>
      <c r="B8225" s="27" t="s">
        <v>23284</v>
      </c>
      <c r="C8225" s="27">
        <v>840</v>
      </c>
      <c r="D8225" s="14" t="s">
        <v>1592</v>
      </c>
      <c r="E8225" s="112"/>
      <c r="F8225" s="139" t="s">
        <v>23291</v>
      </c>
      <c r="G8225" s="140"/>
      <c r="H8225" s="141"/>
      <c r="I8225" s="26">
        <v>66229</v>
      </c>
      <c r="J8225" s="117"/>
      <c r="K8225" s="120"/>
      <c r="L8225" s="121"/>
      <c r="M8225" s="120"/>
      <c r="N8225" s="121"/>
      <c r="O8225" s="120"/>
      <c r="P8225" s="121"/>
      <c r="Q8225" s="120"/>
      <c r="R8225" s="121"/>
      <c r="S8225" s="120"/>
      <c r="T8225" s="121"/>
      <c r="U8225" s="120"/>
      <c r="V8225" s="123"/>
      <c r="W8225" s="125"/>
      <c r="X8225" s="142" t="s">
        <v>23878</v>
      </c>
      <c r="Y8225" s="143"/>
      <c r="Z8225" s="143"/>
      <c r="AA8225" s="143"/>
      <c r="AB8225" s="144"/>
      <c r="AC8225" s="16" t="s">
        <v>21</v>
      </c>
      <c r="AD8225" s="17" t="s">
        <v>23859</v>
      </c>
      <c r="AE8225" s="145" t="s">
        <v>9915</v>
      </c>
      <c r="AF8225" s="146"/>
      <c r="AG8225" s="146"/>
      <c r="AH8225" s="146"/>
      <c r="AI8225" s="147"/>
      <c r="AJ8225" s="148"/>
      <c r="AK8225" s="143"/>
      <c r="AL8225" s="144"/>
      <c r="AM8225" s="22"/>
      <c r="AN8225" s="149" t="s">
        <v>25326</v>
      </c>
      <c r="AO8225" s="144"/>
      <c r="AP8225" s="148">
        <v>6109</v>
      </c>
      <c r="AQ8225" s="144"/>
      <c r="AR8225" s="120"/>
      <c r="AS8225" s="121"/>
      <c r="AT8225" s="120"/>
      <c r="AU8225" s="121"/>
      <c r="AV8225" s="120"/>
      <c r="AW8225" s="121"/>
      <c r="AX8225" s="120"/>
      <c r="AY8225" s="121"/>
      <c r="AZ8225" s="138"/>
    </row>
    <row r="8226" spans="1:52" ht="17.100000000000001" customHeight="1" thickTop="1">
      <c r="A8226" s="109" t="s">
        <v>23292</v>
      </c>
      <c r="B8226" s="28">
        <v>46128</v>
      </c>
      <c r="C8226" s="25">
        <v>2242</v>
      </c>
      <c r="D8226" s="13" t="s">
        <v>23297</v>
      </c>
      <c r="E8226" s="111"/>
      <c r="F8226" s="113" t="s">
        <v>23298</v>
      </c>
      <c r="G8226" s="114"/>
      <c r="H8226" s="115"/>
      <c r="I8226" s="24"/>
      <c r="J8226" s="116">
        <v>4.5</v>
      </c>
      <c r="K8226" s="118">
        <v>954000</v>
      </c>
      <c r="L8226" s="119"/>
      <c r="M8226" s="118">
        <f t="shared" ref="M8226" si="12351">K8226*0.1</f>
        <v>95400</v>
      </c>
      <c r="N8226" s="119"/>
      <c r="O8226" s="118">
        <v>0</v>
      </c>
      <c r="P8226" s="119"/>
      <c r="Q8226" s="118">
        <v>18930</v>
      </c>
      <c r="R8226" s="119"/>
      <c r="S8226" s="118">
        <v>15950</v>
      </c>
      <c r="T8226" s="119"/>
      <c r="U8226" s="118">
        <f t="shared" ref="U8226" si="12352">SUM(K8226:T8227)</f>
        <v>1084280</v>
      </c>
      <c r="V8226" s="122"/>
      <c r="W8226" s="124"/>
      <c r="X8226" s="126" t="s">
        <v>24052</v>
      </c>
      <c r="Y8226" s="127"/>
      <c r="Z8226" s="127"/>
      <c r="AA8226" s="127"/>
      <c r="AB8226" s="128"/>
      <c r="AC8226" s="15" t="s">
        <v>20</v>
      </c>
      <c r="AD8226" s="129"/>
      <c r="AE8226" s="130"/>
      <c r="AF8226" s="130"/>
      <c r="AG8226" s="130"/>
      <c r="AH8226" s="130"/>
      <c r="AI8226" s="131"/>
      <c r="AJ8226" s="132"/>
      <c r="AK8226" s="127"/>
      <c r="AL8226" s="128"/>
      <c r="AM8226" s="21"/>
      <c r="AN8226" s="133">
        <v>46142</v>
      </c>
      <c r="AO8226" s="134"/>
      <c r="AP8226" s="135">
        <v>1329</v>
      </c>
      <c r="AQ8226" s="136"/>
      <c r="AR8226" s="118">
        <v>1160000</v>
      </c>
      <c r="AS8226" s="119"/>
      <c r="AT8226" s="118">
        <f t="shared" ref="AT8226" si="12353">AR8226*0.1</f>
        <v>116000</v>
      </c>
      <c r="AU8226" s="119"/>
      <c r="AV8226" s="118">
        <v>18930</v>
      </c>
      <c r="AW8226" s="119"/>
      <c r="AX8226" s="118">
        <f t="shared" ref="AX8226" si="12354">SUM(AR8226:AW8226)</f>
        <v>1294930</v>
      </c>
      <c r="AY8226" s="119"/>
      <c r="AZ8226" s="137">
        <v>46143</v>
      </c>
    </row>
    <row r="8227" spans="1:52" ht="17.100000000000001" customHeight="1" thickBot="1">
      <c r="A8227" s="110"/>
      <c r="B8227" s="27" t="s">
        <v>23296</v>
      </c>
      <c r="C8227" s="27">
        <v>21501</v>
      </c>
      <c r="D8227" s="14" t="s">
        <v>23295</v>
      </c>
      <c r="E8227" s="112"/>
      <c r="F8227" s="139" t="s">
        <v>23299</v>
      </c>
      <c r="G8227" s="140"/>
      <c r="H8227" s="141"/>
      <c r="I8227" s="26">
        <v>13374</v>
      </c>
      <c r="J8227" s="117"/>
      <c r="K8227" s="120"/>
      <c r="L8227" s="121"/>
      <c r="M8227" s="120"/>
      <c r="N8227" s="121"/>
      <c r="O8227" s="120"/>
      <c r="P8227" s="121"/>
      <c r="Q8227" s="120"/>
      <c r="R8227" s="121"/>
      <c r="S8227" s="120"/>
      <c r="T8227" s="121"/>
      <c r="U8227" s="120"/>
      <c r="V8227" s="123"/>
      <c r="W8227" s="125"/>
      <c r="X8227" s="142" t="s">
        <v>24053</v>
      </c>
      <c r="Y8227" s="143"/>
      <c r="Z8227" s="143"/>
      <c r="AA8227" s="143"/>
      <c r="AB8227" s="144"/>
      <c r="AC8227" s="16" t="s">
        <v>21</v>
      </c>
      <c r="AD8227" s="17" t="s">
        <v>24016</v>
      </c>
      <c r="AE8227" s="145" t="s">
        <v>24170</v>
      </c>
      <c r="AF8227" s="146"/>
      <c r="AG8227" s="146"/>
      <c r="AH8227" s="146"/>
      <c r="AI8227" s="147"/>
      <c r="AJ8227" s="148"/>
      <c r="AK8227" s="143"/>
      <c r="AL8227" s="144"/>
      <c r="AM8227" s="22"/>
      <c r="AN8227" s="149" t="s">
        <v>1747</v>
      </c>
      <c r="AO8227" s="144"/>
      <c r="AP8227" s="148">
        <v>117</v>
      </c>
      <c r="AQ8227" s="144"/>
      <c r="AR8227" s="120"/>
      <c r="AS8227" s="121"/>
      <c r="AT8227" s="120"/>
      <c r="AU8227" s="121"/>
      <c r="AV8227" s="120"/>
      <c r="AW8227" s="121"/>
      <c r="AX8227" s="120"/>
      <c r="AY8227" s="121"/>
      <c r="AZ8227" s="138"/>
    </row>
    <row r="8228" spans="1:52" ht="17.100000000000001" customHeight="1" thickTop="1">
      <c r="A8228" s="109" t="s">
        <v>23293</v>
      </c>
      <c r="B8228" s="28">
        <v>46128</v>
      </c>
      <c r="C8228" s="25">
        <v>1979</v>
      </c>
      <c r="D8228" s="13" t="s">
        <v>23294</v>
      </c>
      <c r="E8228" s="111"/>
      <c r="F8228" s="113" t="s">
        <v>23302</v>
      </c>
      <c r="G8228" s="114"/>
      <c r="H8228" s="115"/>
      <c r="I8228" s="24"/>
      <c r="J8228" s="116">
        <v>4</v>
      </c>
      <c r="K8228" s="118">
        <v>797000</v>
      </c>
      <c r="L8228" s="119"/>
      <c r="M8228" s="118">
        <f t="shared" ref="M8228" si="12355">K8228*0.1</f>
        <v>79700</v>
      </c>
      <c r="N8228" s="119"/>
      <c r="O8228" s="118">
        <v>0</v>
      </c>
      <c r="P8228" s="119"/>
      <c r="Q8228" s="118">
        <v>7440</v>
      </c>
      <c r="R8228" s="119"/>
      <c r="S8228" s="118">
        <v>15950</v>
      </c>
      <c r="T8228" s="119"/>
      <c r="U8228" s="118">
        <f t="shared" ref="U8228" si="12356">SUM(K8228:T8229)</f>
        <v>900090</v>
      </c>
      <c r="V8228" s="122"/>
      <c r="W8228" s="124"/>
      <c r="X8228" s="126" t="s">
        <v>23780</v>
      </c>
      <c r="Y8228" s="127"/>
      <c r="Z8228" s="127"/>
      <c r="AA8228" s="127"/>
      <c r="AB8228" s="128"/>
      <c r="AC8228" s="15" t="s">
        <v>20</v>
      </c>
      <c r="AD8228" s="129"/>
      <c r="AE8228" s="130"/>
      <c r="AF8228" s="130"/>
      <c r="AG8228" s="130"/>
      <c r="AH8228" s="130"/>
      <c r="AI8228" s="131"/>
      <c r="AJ8228" s="132"/>
      <c r="AK8228" s="127"/>
      <c r="AL8228" s="128"/>
      <c r="AM8228" s="21"/>
      <c r="AN8228" s="133">
        <v>46137</v>
      </c>
      <c r="AO8228" s="134"/>
      <c r="AP8228" s="135">
        <v>1298</v>
      </c>
      <c r="AQ8228" s="136"/>
      <c r="AR8228" s="118">
        <v>850000</v>
      </c>
      <c r="AS8228" s="119"/>
      <c r="AT8228" s="118">
        <f t="shared" ref="AT8228" si="12357">AR8228*0.1</f>
        <v>85000</v>
      </c>
      <c r="AU8228" s="119"/>
      <c r="AV8228" s="118">
        <v>7440</v>
      </c>
      <c r="AW8228" s="119"/>
      <c r="AX8228" s="118">
        <f t="shared" ref="AX8228" si="12358">SUM(AR8228:AW8228)</f>
        <v>942440</v>
      </c>
      <c r="AY8228" s="119"/>
      <c r="AZ8228" s="137">
        <v>46140</v>
      </c>
    </row>
    <row r="8229" spans="1:52" ht="17.100000000000001" customHeight="1" thickBot="1">
      <c r="A8229" s="110"/>
      <c r="B8229" s="27" t="s">
        <v>23300</v>
      </c>
      <c r="C8229" s="27">
        <v>62022</v>
      </c>
      <c r="D8229" s="14" t="s">
        <v>23301</v>
      </c>
      <c r="E8229" s="112"/>
      <c r="F8229" s="139" t="s">
        <v>23303</v>
      </c>
      <c r="G8229" s="140"/>
      <c r="H8229" s="141"/>
      <c r="I8229" s="26">
        <v>42962</v>
      </c>
      <c r="J8229" s="117"/>
      <c r="K8229" s="120"/>
      <c r="L8229" s="121"/>
      <c r="M8229" s="120"/>
      <c r="N8229" s="121"/>
      <c r="O8229" s="120"/>
      <c r="P8229" s="121"/>
      <c r="Q8229" s="120"/>
      <c r="R8229" s="121"/>
      <c r="S8229" s="120"/>
      <c r="T8229" s="121"/>
      <c r="U8229" s="120"/>
      <c r="V8229" s="123"/>
      <c r="W8229" s="125"/>
      <c r="X8229" s="142" t="s">
        <v>12378</v>
      </c>
      <c r="Y8229" s="143"/>
      <c r="Z8229" s="143"/>
      <c r="AA8229" s="143"/>
      <c r="AB8229" s="144"/>
      <c r="AC8229" s="16" t="s">
        <v>21</v>
      </c>
      <c r="AD8229" s="17" t="s">
        <v>23773</v>
      </c>
      <c r="AE8229" s="145"/>
      <c r="AF8229" s="146"/>
      <c r="AG8229" s="146"/>
      <c r="AH8229" s="146"/>
      <c r="AI8229" s="147"/>
      <c r="AJ8229" s="148"/>
      <c r="AK8229" s="143"/>
      <c r="AL8229" s="144"/>
      <c r="AM8229" s="22"/>
      <c r="AN8229" s="149" t="s">
        <v>6748</v>
      </c>
      <c r="AO8229" s="144"/>
      <c r="AP8229" s="148">
        <v>41015</v>
      </c>
      <c r="AQ8229" s="144"/>
      <c r="AR8229" s="120"/>
      <c r="AS8229" s="121"/>
      <c r="AT8229" s="120"/>
      <c r="AU8229" s="121"/>
      <c r="AV8229" s="120"/>
      <c r="AW8229" s="121"/>
      <c r="AX8229" s="120"/>
      <c r="AY8229" s="121"/>
      <c r="AZ8229" s="138"/>
    </row>
    <row r="8230" spans="1:52" ht="17.100000000000001" customHeight="1" thickTop="1">
      <c r="A8230" s="109" t="s">
        <v>23369</v>
      </c>
      <c r="B8230" s="28">
        <v>46128</v>
      </c>
      <c r="C8230" s="25">
        <v>2154</v>
      </c>
      <c r="D8230" s="13" t="s">
        <v>23375</v>
      </c>
      <c r="E8230" s="111"/>
      <c r="F8230" s="113" t="s">
        <v>23377</v>
      </c>
      <c r="G8230" s="114"/>
      <c r="H8230" s="115"/>
      <c r="I8230" s="24"/>
      <c r="J8230" s="116">
        <v>3.5</v>
      </c>
      <c r="K8230" s="118">
        <v>682000</v>
      </c>
      <c r="L8230" s="119"/>
      <c r="M8230" s="118">
        <f t="shared" ref="M8230" si="12359">K8230*0.1</f>
        <v>68200</v>
      </c>
      <c r="N8230" s="119"/>
      <c r="O8230" s="118">
        <v>0</v>
      </c>
      <c r="P8230" s="119"/>
      <c r="Q8230" s="118">
        <v>11420</v>
      </c>
      <c r="R8230" s="119"/>
      <c r="S8230" s="118">
        <v>14300</v>
      </c>
      <c r="T8230" s="119"/>
      <c r="U8230" s="118">
        <f t="shared" ref="U8230" si="12360">SUM(K8230:T8231)</f>
        <v>775920</v>
      </c>
      <c r="V8230" s="122"/>
      <c r="W8230" s="124"/>
      <c r="X8230" s="126" t="s">
        <v>24263</v>
      </c>
      <c r="Y8230" s="127"/>
      <c r="Z8230" s="127"/>
      <c r="AA8230" s="127"/>
      <c r="AB8230" s="128"/>
      <c r="AC8230" s="15" t="s">
        <v>20</v>
      </c>
      <c r="AD8230" s="129" t="s">
        <v>23383</v>
      </c>
      <c r="AE8230" s="130"/>
      <c r="AF8230" s="130"/>
      <c r="AG8230" s="130"/>
      <c r="AH8230" s="130"/>
      <c r="AI8230" s="131"/>
      <c r="AJ8230" s="132"/>
      <c r="AK8230" s="127"/>
      <c r="AL8230" s="128"/>
      <c r="AM8230" s="21"/>
      <c r="AN8230" s="133">
        <v>46134</v>
      </c>
      <c r="AO8230" s="134"/>
      <c r="AP8230" s="135">
        <v>1014</v>
      </c>
      <c r="AQ8230" s="136"/>
      <c r="AR8230" s="118">
        <v>835000</v>
      </c>
      <c r="AS8230" s="119"/>
      <c r="AT8230" s="118">
        <f t="shared" ref="AT8230" si="12361">AR8230*0.1</f>
        <v>83500</v>
      </c>
      <c r="AU8230" s="119"/>
      <c r="AV8230" s="118">
        <v>11420</v>
      </c>
      <c r="AW8230" s="119"/>
      <c r="AX8230" s="118">
        <f t="shared" ref="AX8230" si="12362">SUM(AR8230:AW8230)</f>
        <v>929920</v>
      </c>
      <c r="AY8230" s="119"/>
      <c r="AZ8230" s="137">
        <v>46140</v>
      </c>
    </row>
    <row r="8231" spans="1:52" ht="17.100000000000001" customHeight="1" thickBot="1">
      <c r="A8231" s="110"/>
      <c r="B8231" s="27" t="s">
        <v>23368</v>
      </c>
      <c r="C8231" s="27">
        <v>66</v>
      </c>
      <c r="D8231" s="14" t="s">
        <v>23376</v>
      </c>
      <c r="E8231" s="112"/>
      <c r="F8231" s="139" t="s">
        <v>23378</v>
      </c>
      <c r="G8231" s="140"/>
      <c r="H8231" s="141"/>
      <c r="I8231" s="26">
        <v>85674</v>
      </c>
      <c r="J8231" s="117"/>
      <c r="K8231" s="120"/>
      <c r="L8231" s="121"/>
      <c r="M8231" s="120"/>
      <c r="N8231" s="121"/>
      <c r="O8231" s="120"/>
      <c r="P8231" s="121"/>
      <c r="Q8231" s="120"/>
      <c r="R8231" s="121"/>
      <c r="S8231" s="120"/>
      <c r="T8231" s="121"/>
      <c r="U8231" s="120"/>
      <c r="V8231" s="123"/>
      <c r="W8231" s="125"/>
      <c r="X8231" s="142" t="s">
        <v>24264</v>
      </c>
      <c r="Y8231" s="143"/>
      <c r="Z8231" s="143"/>
      <c r="AA8231" s="143"/>
      <c r="AB8231" s="144"/>
      <c r="AC8231" s="16" t="s">
        <v>21</v>
      </c>
      <c r="AD8231" s="17" t="s">
        <v>24261</v>
      </c>
      <c r="AE8231" s="145" t="s">
        <v>24265</v>
      </c>
      <c r="AF8231" s="146"/>
      <c r="AG8231" s="146"/>
      <c r="AH8231" s="146"/>
      <c r="AI8231" s="147"/>
      <c r="AJ8231" s="148" t="s">
        <v>17763</v>
      </c>
      <c r="AK8231" s="143"/>
      <c r="AL8231" s="144"/>
      <c r="AM8231" s="22"/>
      <c r="AN8231" s="149" t="s">
        <v>23987</v>
      </c>
      <c r="AO8231" s="144"/>
      <c r="AP8231" s="148">
        <v>5102</v>
      </c>
      <c r="AQ8231" s="144"/>
      <c r="AR8231" s="120"/>
      <c r="AS8231" s="121"/>
      <c r="AT8231" s="120"/>
      <c r="AU8231" s="121"/>
      <c r="AV8231" s="120"/>
      <c r="AW8231" s="121"/>
      <c r="AX8231" s="120"/>
      <c r="AY8231" s="121"/>
      <c r="AZ8231" s="138"/>
    </row>
    <row r="8232" spans="1:52" ht="17.100000000000001" customHeight="1" thickTop="1">
      <c r="A8232" s="109" t="s">
        <v>23370</v>
      </c>
      <c r="B8232" s="28">
        <v>46128</v>
      </c>
      <c r="C8232" s="25">
        <v>2154</v>
      </c>
      <c r="D8232" s="13" t="s">
        <v>23384</v>
      </c>
      <c r="E8232" s="111"/>
      <c r="F8232" s="113" t="s">
        <v>23385</v>
      </c>
      <c r="G8232" s="114"/>
      <c r="H8232" s="115"/>
      <c r="I8232" s="24"/>
      <c r="J8232" s="116">
        <v>4.5</v>
      </c>
      <c r="K8232" s="118">
        <v>835000</v>
      </c>
      <c r="L8232" s="119"/>
      <c r="M8232" s="118">
        <f t="shared" ref="M8232" si="12363">K8232*0.1</f>
        <v>83500</v>
      </c>
      <c r="N8232" s="119"/>
      <c r="O8232" s="118">
        <v>0</v>
      </c>
      <c r="P8232" s="119"/>
      <c r="Q8232" s="118">
        <v>8400</v>
      </c>
      <c r="R8232" s="119"/>
      <c r="S8232" s="118">
        <v>14300</v>
      </c>
      <c r="T8232" s="119"/>
      <c r="U8232" s="118">
        <f t="shared" ref="U8232" si="12364">SUM(K8232:T8233)</f>
        <v>941200</v>
      </c>
      <c r="V8232" s="122"/>
      <c r="W8232" s="124"/>
      <c r="X8232" s="126" t="s">
        <v>23872</v>
      </c>
      <c r="Y8232" s="127"/>
      <c r="Z8232" s="127"/>
      <c r="AA8232" s="127"/>
      <c r="AB8232" s="128"/>
      <c r="AC8232" s="15" t="s">
        <v>20</v>
      </c>
      <c r="AD8232" s="129"/>
      <c r="AE8232" s="130"/>
      <c r="AF8232" s="130"/>
      <c r="AG8232" s="130"/>
      <c r="AH8232" s="130"/>
      <c r="AI8232" s="131"/>
      <c r="AJ8232" s="132"/>
      <c r="AK8232" s="127"/>
      <c r="AL8232" s="128"/>
      <c r="AM8232" s="21"/>
      <c r="AN8232" s="133">
        <v>46134</v>
      </c>
      <c r="AO8232" s="134"/>
      <c r="AP8232" s="135">
        <v>1014</v>
      </c>
      <c r="AQ8232" s="136"/>
      <c r="AR8232" s="118">
        <v>880000</v>
      </c>
      <c r="AS8232" s="119"/>
      <c r="AT8232" s="118">
        <f t="shared" ref="AT8232" si="12365">AR8232*0.1</f>
        <v>88000</v>
      </c>
      <c r="AU8232" s="119"/>
      <c r="AV8232" s="118">
        <v>8400</v>
      </c>
      <c r="AW8232" s="119"/>
      <c r="AX8232" s="118">
        <f t="shared" ref="AX8232" si="12366">SUM(AR8232:AW8232)</f>
        <v>976400</v>
      </c>
      <c r="AY8232" s="119"/>
      <c r="AZ8232" s="137">
        <v>46139</v>
      </c>
    </row>
    <row r="8233" spans="1:52" ht="17.100000000000001" customHeight="1" thickBot="1">
      <c r="A8233" s="110"/>
      <c r="B8233" s="27" t="s">
        <v>23368</v>
      </c>
      <c r="C8233" s="27">
        <v>2009</v>
      </c>
      <c r="D8233" s="14" t="s">
        <v>1812</v>
      </c>
      <c r="E8233" s="112"/>
      <c r="F8233" s="139" t="s">
        <v>23379</v>
      </c>
      <c r="G8233" s="140"/>
      <c r="H8233" s="141"/>
      <c r="I8233" s="26">
        <v>51949</v>
      </c>
      <c r="J8233" s="117"/>
      <c r="K8233" s="120"/>
      <c r="L8233" s="121"/>
      <c r="M8233" s="120"/>
      <c r="N8233" s="121"/>
      <c r="O8233" s="120"/>
      <c r="P8233" s="121"/>
      <c r="Q8233" s="120"/>
      <c r="R8233" s="121"/>
      <c r="S8233" s="120"/>
      <c r="T8233" s="121"/>
      <c r="U8233" s="120"/>
      <c r="V8233" s="123"/>
      <c r="W8233" s="125"/>
      <c r="X8233" s="142" t="s">
        <v>2918</v>
      </c>
      <c r="Y8233" s="143"/>
      <c r="Z8233" s="143"/>
      <c r="AA8233" s="143"/>
      <c r="AB8233" s="144"/>
      <c r="AC8233" s="16" t="s">
        <v>21</v>
      </c>
      <c r="AD8233" s="17" t="s">
        <v>23859</v>
      </c>
      <c r="AE8233" s="145" t="s">
        <v>23873</v>
      </c>
      <c r="AF8233" s="146"/>
      <c r="AG8233" s="146"/>
      <c r="AH8233" s="146"/>
      <c r="AI8233" s="147"/>
      <c r="AJ8233" s="148"/>
      <c r="AK8233" s="143"/>
      <c r="AL8233" s="144"/>
      <c r="AM8233" s="22"/>
      <c r="AN8233" s="149" t="s">
        <v>23987</v>
      </c>
      <c r="AO8233" s="144"/>
      <c r="AP8233" s="148">
        <v>5077</v>
      </c>
      <c r="AQ8233" s="144"/>
      <c r="AR8233" s="120"/>
      <c r="AS8233" s="121"/>
      <c r="AT8233" s="120"/>
      <c r="AU8233" s="121"/>
      <c r="AV8233" s="120"/>
      <c r="AW8233" s="121"/>
      <c r="AX8233" s="120"/>
      <c r="AY8233" s="121"/>
      <c r="AZ8233" s="138"/>
    </row>
    <row r="8234" spans="1:52" ht="17.100000000000001" customHeight="1" thickTop="1">
      <c r="A8234" s="109" t="s">
        <v>23371</v>
      </c>
      <c r="B8234" s="28">
        <v>46128</v>
      </c>
      <c r="C8234" s="25">
        <v>2154</v>
      </c>
      <c r="D8234" s="13" t="s">
        <v>23386</v>
      </c>
      <c r="E8234" s="111"/>
      <c r="F8234" s="113" t="s">
        <v>23388</v>
      </c>
      <c r="G8234" s="114"/>
      <c r="H8234" s="115"/>
      <c r="I8234" s="24"/>
      <c r="J8234" s="116">
        <v>4.5</v>
      </c>
      <c r="K8234" s="118">
        <v>867000</v>
      </c>
      <c r="L8234" s="119"/>
      <c r="M8234" s="118">
        <f t="shared" ref="M8234" si="12367">K8234*0.1</f>
        <v>86700</v>
      </c>
      <c r="N8234" s="119"/>
      <c r="O8234" s="118">
        <v>0</v>
      </c>
      <c r="P8234" s="119"/>
      <c r="Q8234" s="118">
        <v>7150</v>
      </c>
      <c r="R8234" s="119"/>
      <c r="S8234" s="118">
        <v>14300</v>
      </c>
      <c r="T8234" s="119"/>
      <c r="U8234" s="118">
        <f t="shared" ref="U8234" si="12368">SUM(K8234:T8235)</f>
        <v>975150</v>
      </c>
      <c r="V8234" s="122"/>
      <c r="W8234" s="124"/>
      <c r="X8234" s="126" t="s">
        <v>23870</v>
      </c>
      <c r="Y8234" s="127"/>
      <c r="Z8234" s="127"/>
      <c r="AA8234" s="127"/>
      <c r="AB8234" s="128"/>
      <c r="AC8234" s="15" t="s">
        <v>20</v>
      </c>
      <c r="AD8234" s="129" t="s">
        <v>23306</v>
      </c>
      <c r="AE8234" s="130"/>
      <c r="AF8234" s="130"/>
      <c r="AG8234" s="130"/>
      <c r="AH8234" s="130"/>
      <c r="AI8234" s="131"/>
      <c r="AJ8234" s="132"/>
      <c r="AK8234" s="127"/>
      <c r="AL8234" s="128"/>
      <c r="AM8234" s="21"/>
      <c r="AN8234" s="133">
        <v>46134</v>
      </c>
      <c r="AO8234" s="134"/>
      <c r="AP8234" s="135">
        <v>1014</v>
      </c>
      <c r="AQ8234" s="136"/>
      <c r="AR8234" s="118">
        <v>950000</v>
      </c>
      <c r="AS8234" s="119"/>
      <c r="AT8234" s="118">
        <f t="shared" ref="AT8234" si="12369">AR8234*0.1</f>
        <v>95000</v>
      </c>
      <c r="AU8234" s="119"/>
      <c r="AV8234" s="118">
        <v>7150</v>
      </c>
      <c r="AW8234" s="119"/>
      <c r="AX8234" s="118">
        <f t="shared" ref="AX8234" si="12370">SUM(AR8234:AW8234)</f>
        <v>1052150</v>
      </c>
      <c r="AY8234" s="119"/>
      <c r="AZ8234" s="137">
        <v>46139</v>
      </c>
    </row>
    <row r="8235" spans="1:52" ht="17.100000000000001" customHeight="1" thickBot="1">
      <c r="A8235" s="110"/>
      <c r="B8235" s="27" t="s">
        <v>23368</v>
      </c>
      <c r="C8235" s="27">
        <v>2109</v>
      </c>
      <c r="D8235" s="14" t="s">
        <v>23387</v>
      </c>
      <c r="E8235" s="112"/>
      <c r="F8235" s="139" t="s">
        <v>23380</v>
      </c>
      <c r="G8235" s="140"/>
      <c r="H8235" s="141"/>
      <c r="I8235" s="26">
        <v>41262</v>
      </c>
      <c r="J8235" s="117"/>
      <c r="K8235" s="120"/>
      <c r="L8235" s="121"/>
      <c r="M8235" s="120"/>
      <c r="N8235" s="121"/>
      <c r="O8235" s="120"/>
      <c r="P8235" s="121"/>
      <c r="Q8235" s="120"/>
      <c r="R8235" s="121"/>
      <c r="S8235" s="120"/>
      <c r="T8235" s="121"/>
      <c r="U8235" s="120"/>
      <c r="V8235" s="123"/>
      <c r="W8235" s="125"/>
      <c r="X8235" s="142" t="s">
        <v>23871</v>
      </c>
      <c r="Y8235" s="143"/>
      <c r="Z8235" s="143"/>
      <c r="AA8235" s="143"/>
      <c r="AB8235" s="144"/>
      <c r="AC8235" s="16" t="s">
        <v>21</v>
      </c>
      <c r="AD8235" s="17" t="s">
        <v>23859</v>
      </c>
      <c r="AE8235" s="145" t="s">
        <v>2395</v>
      </c>
      <c r="AF8235" s="146"/>
      <c r="AG8235" s="146"/>
      <c r="AH8235" s="146"/>
      <c r="AI8235" s="147"/>
      <c r="AJ8235" s="148"/>
      <c r="AK8235" s="143"/>
      <c r="AL8235" s="144"/>
      <c r="AM8235" s="22"/>
      <c r="AN8235" s="149" t="s">
        <v>24171</v>
      </c>
      <c r="AO8235" s="144"/>
      <c r="AP8235" s="148">
        <v>5073</v>
      </c>
      <c r="AQ8235" s="144"/>
      <c r="AR8235" s="120"/>
      <c r="AS8235" s="121"/>
      <c r="AT8235" s="120"/>
      <c r="AU8235" s="121"/>
      <c r="AV8235" s="120"/>
      <c r="AW8235" s="121"/>
      <c r="AX8235" s="120"/>
      <c r="AY8235" s="121"/>
      <c r="AZ8235" s="138"/>
    </row>
    <row r="8236" spans="1:52" ht="17.100000000000001" customHeight="1" thickTop="1">
      <c r="A8236" s="109" t="s">
        <v>23372</v>
      </c>
      <c r="B8236" s="28">
        <v>46128</v>
      </c>
      <c r="C8236" s="25">
        <v>2154</v>
      </c>
      <c r="D8236" s="13" t="s">
        <v>23389</v>
      </c>
      <c r="E8236" s="111"/>
      <c r="F8236" s="113" t="s">
        <v>23391</v>
      </c>
      <c r="G8236" s="114"/>
      <c r="H8236" s="115"/>
      <c r="I8236" s="24"/>
      <c r="J8236" s="116">
        <v>4</v>
      </c>
      <c r="K8236" s="118">
        <v>1036000</v>
      </c>
      <c r="L8236" s="119"/>
      <c r="M8236" s="118">
        <f t="shared" ref="M8236" si="12371">K8236*0.1</f>
        <v>103600</v>
      </c>
      <c r="N8236" s="119"/>
      <c r="O8236" s="118">
        <v>0</v>
      </c>
      <c r="P8236" s="119"/>
      <c r="Q8236" s="118">
        <v>6850</v>
      </c>
      <c r="R8236" s="119"/>
      <c r="S8236" s="118">
        <v>14300</v>
      </c>
      <c r="T8236" s="119"/>
      <c r="U8236" s="118">
        <f t="shared" ref="U8236" si="12372">SUM(K8236:T8237)</f>
        <v>1160750</v>
      </c>
      <c r="V8236" s="122"/>
      <c r="W8236" s="124"/>
      <c r="X8236" s="126" t="s">
        <v>24131</v>
      </c>
      <c r="Y8236" s="127"/>
      <c r="Z8236" s="127"/>
      <c r="AA8236" s="127"/>
      <c r="AB8236" s="128"/>
      <c r="AC8236" s="15" t="s">
        <v>20</v>
      </c>
      <c r="AD8236" s="129" t="s">
        <v>23392</v>
      </c>
      <c r="AE8236" s="130"/>
      <c r="AF8236" s="130"/>
      <c r="AG8236" s="130"/>
      <c r="AH8236" s="130"/>
      <c r="AI8236" s="131"/>
      <c r="AJ8236" s="132"/>
      <c r="AK8236" s="127"/>
      <c r="AL8236" s="128"/>
      <c r="AM8236" s="21"/>
      <c r="AN8236" s="133">
        <v>46141</v>
      </c>
      <c r="AO8236" s="134"/>
      <c r="AP8236" s="135">
        <v>1015</v>
      </c>
      <c r="AQ8236" s="136"/>
      <c r="AR8236" s="118">
        <v>1055000</v>
      </c>
      <c r="AS8236" s="119"/>
      <c r="AT8236" s="118">
        <f t="shared" ref="AT8236" si="12373">AR8236*0.1</f>
        <v>105500</v>
      </c>
      <c r="AU8236" s="119"/>
      <c r="AV8236" s="118">
        <v>6850</v>
      </c>
      <c r="AW8236" s="119"/>
      <c r="AX8236" s="118">
        <f t="shared" ref="AX8236" si="12374">SUM(AR8236:AW8236)</f>
        <v>1167350</v>
      </c>
      <c r="AY8236" s="119"/>
      <c r="AZ8236" s="137">
        <v>46153</v>
      </c>
    </row>
    <row r="8237" spans="1:52" ht="17.100000000000001" customHeight="1" thickBot="1">
      <c r="A8237" s="110"/>
      <c r="B8237" s="27" t="s">
        <v>23368</v>
      </c>
      <c r="C8237" s="27">
        <v>2513</v>
      </c>
      <c r="D8237" s="14" t="s">
        <v>23390</v>
      </c>
      <c r="E8237" s="112"/>
      <c r="F8237" s="139" t="s">
        <v>23381</v>
      </c>
      <c r="G8237" s="140"/>
      <c r="H8237" s="141"/>
      <c r="I8237" s="26">
        <v>19355</v>
      </c>
      <c r="J8237" s="117"/>
      <c r="K8237" s="120"/>
      <c r="L8237" s="121"/>
      <c r="M8237" s="120"/>
      <c r="N8237" s="121"/>
      <c r="O8237" s="120"/>
      <c r="P8237" s="121"/>
      <c r="Q8237" s="120"/>
      <c r="R8237" s="121"/>
      <c r="S8237" s="120"/>
      <c r="T8237" s="121"/>
      <c r="U8237" s="120"/>
      <c r="V8237" s="123"/>
      <c r="W8237" s="125"/>
      <c r="X8237" s="142" t="s">
        <v>24132</v>
      </c>
      <c r="Y8237" s="143"/>
      <c r="Z8237" s="143"/>
      <c r="AA8237" s="143"/>
      <c r="AB8237" s="144"/>
      <c r="AC8237" s="16" t="s">
        <v>21</v>
      </c>
      <c r="AD8237" s="17" t="s">
        <v>24114</v>
      </c>
      <c r="AE8237" s="145" t="s">
        <v>5140</v>
      </c>
      <c r="AF8237" s="146"/>
      <c r="AG8237" s="146"/>
      <c r="AH8237" s="146"/>
      <c r="AI8237" s="147"/>
      <c r="AJ8237" s="148" t="s">
        <v>23402</v>
      </c>
      <c r="AK8237" s="143"/>
      <c r="AL8237" s="144"/>
      <c r="AM8237" s="22"/>
      <c r="AN8237" s="149" t="s">
        <v>9053</v>
      </c>
      <c r="AO8237" s="144"/>
      <c r="AP8237" s="148">
        <v>2067</v>
      </c>
      <c r="AQ8237" s="144"/>
      <c r="AR8237" s="120"/>
      <c r="AS8237" s="121"/>
      <c r="AT8237" s="120"/>
      <c r="AU8237" s="121"/>
      <c r="AV8237" s="120"/>
      <c r="AW8237" s="121"/>
      <c r="AX8237" s="120"/>
      <c r="AY8237" s="121"/>
      <c r="AZ8237" s="138"/>
    </row>
    <row r="8238" spans="1:52" ht="17.100000000000001" customHeight="1" thickTop="1">
      <c r="A8238" s="109" t="s">
        <v>23373</v>
      </c>
      <c r="B8238" s="28">
        <v>46128</v>
      </c>
      <c r="C8238" s="25">
        <v>2154</v>
      </c>
      <c r="D8238" s="13" t="s">
        <v>23393</v>
      </c>
      <c r="E8238" s="111"/>
      <c r="F8238" s="113" t="s">
        <v>23394</v>
      </c>
      <c r="G8238" s="114"/>
      <c r="H8238" s="115"/>
      <c r="I8238" s="24" t="s">
        <v>23395</v>
      </c>
      <c r="J8238" s="116">
        <v>4.5</v>
      </c>
      <c r="K8238" s="118">
        <v>1164000</v>
      </c>
      <c r="L8238" s="119"/>
      <c r="M8238" s="118">
        <f t="shared" ref="M8238" si="12375">K8238*0.1</f>
        <v>116400</v>
      </c>
      <c r="N8238" s="119"/>
      <c r="O8238" s="118">
        <v>0</v>
      </c>
      <c r="P8238" s="119"/>
      <c r="Q8238" s="118">
        <v>8350</v>
      </c>
      <c r="R8238" s="119"/>
      <c r="S8238" s="118">
        <v>14300</v>
      </c>
      <c r="T8238" s="119"/>
      <c r="U8238" s="118">
        <f t="shared" ref="U8238" si="12376">SUM(K8238:T8239)</f>
        <v>1303050</v>
      </c>
      <c r="V8238" s="122"/>
      <c r="W8238" s="124"/>
      <c r="X8238" s="126" t="s">
        <v>23396</v>
      </c>
      <c r="Y8238" s="127"/>
      <c r="Z8238" s="127"/>
      <c r="AA8238" s="127"/>
      <c r="AB8238" s="128"/>
      <c r="AC8238" s="15" t="s">
        <v>20</v>
      </c>
      <c r="AD8238" s="129" t="s">
        <v>23397</v>
      </c>
      <c r="AE8238" s="130"/>
      <c r="AF8238" s="130"/>
      <c r="AG8238" s="130"/>
      <c r="AH8238" s="130"/>
      <c r="AI8238" s="131"/>
      <c r="AJ8238" s="132"/>
      <c r="AK8238" s="127"/>
      <c r="AL8238" s="128"/>
      <c r="AM8238" s="21"/>
      <c r="AN8238" s="133">
        <v>46134</v>
      </c>
      <c r="AO8238" s="134"/>
      <c r="AP8238" s="135">
        <v>1014</v>
      </c>
      <c r="AQ8238" s="136"/>
      <c r="AR8238" s="118">
        <v>1210000</v>
      </c>
      <c r="AS8238" s="119"/>
      <c r="AT8238" s="118">
        <f t="shared" ref="AT8238" si="12377">AR8238*0.1</f>
        <v>121000</v>
      </c>
      <c r="AU8238" s="119"/>
      <c r="AV8238" s="118">
        <v>8350</v>
      </c>
      <c r="AW8238" s="119"/>
      <c r="AX8238" s="118">
        <f t="shared" ref="AX8238" si="12378">SUM(AR8238:AW8238)</f>
        <v>1339350</v>
      </c>
      <c r="AY8238" s="119"/>
      <c r="AZ8238" s="137">
        <v>46140</v>
      </c>
    </row>
    <row r="8239" spans="1:52" ht="17.100000000000001" customHeight="1" thickBot="1">
      <c r="A8239" s="110"/>
      <c r="B8239" s="27" t="s">
        <v>23368</v>
      </c>
      <c r="C8239" s="27">
        <v>2604</v>
      </c>
      <c r="D8239" s="14" t="s">
        <v>1556</v>
      </c>
      <c r="E8239" s="112"/>
      <c r="F8239" s="139" t="s">
        <v>23382</v>
      </c>
      <c r="G8239" s="140"/>
      <c r="H8239" s="141"/>
      <c r="I8239" s="26">
        <v>8542</v>
      </c>
      <c r="J8239" s="117"/>
      <c r="K8239" s="120"/>
      <c r="L8239" s="121"/>
      <c r="M8239" s="120"/>
      <c r="N8239" s="121"/>
      <c r="O8239" s="120"/>
      <c r="P8239" s="121"/>
      <c r="Q8239" s="120"/>
      <c r="R8239" s="121"/>
      <c r="S8239" s="120"/>
      <c r="T8239" s="121"/>
      <c r="U8239" s="120"/>
      <c r="V8239" s="123"/>
      <c r="W8239" s="125"/>
      <c r="X8239" s="142" t="s">
        <v>24262</v>
      </c>
      <c r="Y8239" s="143"/>
      <c r="Z8239" s="143"/>
      <c r="AA8239" s="143"/>
      <c r="AB8239" s="144"/>
      <c r="AC8239" s="16" t="s">
        <v>21</v>
      </c>
      <c r="AD8239" s="17" t="s">
        <v>24261</v>
      </c>
      <c r="AE8239" s="145" t="s">
        <v>9403</v>
      </c>
      <c r="AF8239" s="146"/>
      <c r="AG8239" s="146"/>
      <c r="AH8239" s="146"/>
      <c r="AI8239" s="147"/>
      <c r="AJ8239" s="148"/>
      <c r="AK8239" s="143"/>
      <c r="AL8239" s="144"/>
      <c r="AM8239" s="22"/>
      <c r="AN8239" s="149" t="s">
        <v>23987</v>
      </c>
      <c r="AO8239" s="144"/>
      <c r="AP8239" s="148">
        <v>5069</v>
      </c>
      <c r="AQ8239" s="144"/>
      <c r="AR8239" s="120"/>
      <c r="AS8239" s="121"/>
      <c r="AT8239" s="120"/>
      <c r="AU8239" s="121"/>
      <c r="AV8239" s="120"/>
      <c r="AW8239" s="121"/>
      <c r="AX8239" s="120"/>
      <c r="AY8239" s="121"/>
      <c r="AZ8239" s="138"/>
    </row>
    <row r="8240" spans="1:52" ht="17.100000000000001" customHeight="1" thickTop="1">
      <c r="A8240" s="109" t="s">
        <v>23374</v>
      </c>
      <c r="B8240" s="28">
        <v>46128</v>
      </c>
      <c r="C8240" s="25">
        <v>2154</v>
      </c>
      <c r="D8240" s="13" t="s">
        <v>23398</v>
      </c>
      <c r="E8240" s="111"/>
      <c r="F8240" s="113" t="s">
        <v>23399</v>
      </c>
      <c r="G8240" s="114"/>
      <c r="H8240" s="115"/>
      <c r="I8240" s="24"/>
      <c r="J8240" s="116">
        <v>4.5</v>
      </c>
      <c r="K8240" s="118">
        <v>1689000</v>
      </c>
      <c r="L8240" s="119"/>
      <c r="M8240" s="118">
        <f t="shared" ref="M8240" si="12379">K8240*0.1</f>
        <v>168900</v>
      </c>
      <c r="N8240" s="119"/>
      <c r="O8240" s="118">
        <v>0</v>
      </c>
      <c r="P8240" s="119"/>
      <c r="Q8240" s="118">
        <v>17600</v>
      </c>
      <c r="R8240" s="119"/>
      <c r="S8240" s="118">
        <v>14300</v>
      </c>
      <c r="T8240" s="119"/>
      <c r="U8240" s="118">
        <f t="shared" ref="U8240" si="12380">SUM(K8240:T8241)</f>
        <v>1889800</v>
      </c>
      <c r="V8240" s="122"/>
      <c r="W8240" s="124"/>
      <c r="X8240" s="126" t="s">
        <v>23862</v>
      </c>
      <c r="Y8240" s="127"/>
      <c r="Z8240" s="127"/>
      <c r="AA8240" s="127"/>
      <c r="AB8240" s="128"/>
      <c r="AC8240" s="15" t="s">
        <v>20</v>
      </c>
      <c r="AD8240" s="129" t="s">
        <v>23400</v>
      </c>
      <c r="AE8240" s="130"/>
      <c r="AF8240" s="130"/>
      <c r="AG8240" s="130"/>
      <c r="AH8240" s="130"/>
      <c r="AI8240" s="131"/>
      <c r="AJ8240" s="132"/>
      <c r="AK8240" s="127"/>
      <c r="AL8240" s="128"/>
      <c r="AM8240" s="21"/>
      <c r="AN8240" s="133"/>
      <c r="AO8240" s="134"/>
      <c r="AP8240" s="135"/>
      <c r="AQ8240" s="136"/>
      <c r="AR8240" s="118"/>
      <c r="AS8240" s="119"/>
      <c r="AT8240" s="118">
        <f t="shared" ref="AT8240" si="12381">AR8240*0.1</f>
        <v>0</v>
      </c>
      <c r="AU8240" s="119"/>
      <c r="AV8240" s="118"/>
      <c r="AW8240" s="119"/>
      <c r="AX8240" s="118">
        <f t="shared" ref="AX8240" si="12382">SUM(AR8240:AW8240)</f>
        <v>0</v>
      </c>
      <c r="AY8240" s="119"/>
      <c r="AZ8240" s="137"/>
    </row>
    <row r="8241" spans="1:52" ht="17.100000000000001" customHeight="1" thickBot="1">
      <c r="A8241" s="110"/>
      <c r="B8241" s="27" t="s">
        <v>23368</v>
      </c>
      <c r="C8241" s="27">
        <v>4211</v>
      </c>
      <c r="D8241" s="14" t="s">
        <v>23376</v>
      </c>
      <c r="E8241" s="112"/>
      <c r="F8241" s="139" t="s">
        <v>23861</v>
      </c>
      <c r="G8241" s="140"/>
      <c r="H8241" s="141"/>
      <c r="I8241" s="26">
        <v>46891</v>
      </c>
      <c r="J8241" s="117"/>
      <c r="K8241" s="120"/>
      <c r="L8241" s="121"/>
      <c r="M8241" s="120"/>
      <c r="N8241" s="121"/>
      <c r="O8241" s="120"/>
      <c r="P8241" s="121"/>
      <c r="Q8241" s="120"/>
      <c r="R8241" s="121"/>
      <c r="S8241" s="120"/>
      <c r="T8241" s="121"/>
      <c r="U8241" s="120"/>
      <c r="V8241" s="123"/>
      <c r="W8241" s="125"/>
      <c r="X8241" s="142" t="s">
        <v>13026</v>
      </c>
      <c r="Y8241" s="143"/>
      <c r="Z8241" s="143"/>
      <c r="AA8241" s="143"/>
      <c r="AB8241" s="144"/>
      <c r="AC8241" s="16" t="s">
        <v>21</v>
      </c>
      <c r="AD8241" s="17" t="s">
        <v>23859</v>
      </c>
      <c r="AE8241" s="145" t="s">
        <v>23866</v>
      </c>
      <c r="AF8241" s="146"/>
      <c r="AG8241" s="146"/>
      <c r="AH8241" s="146"/>
      <c r="AI8241" s="147"/>
      <c r="AJ8241" s="148"/>
      <c r="AK8241" s="143"/>
      <c r="AL8241" s="144"/>
      <c r="AM8241" s="22"/>
      <c r="AN8241" s="149"/>
      <c r="AO8241" s="144"/>
      <c r="AP8241" s="148"/>
      <c r="AQ8241" s="144"/>
      <c r="AR8241" s="120"/>
      <c r="AS8241" s="121"/>
      <c r="AT8241" s="120"/>
      <c r="AU8241" s="121"/>
      <c r="AV8241" s="120"/>
      <c r="AW8241" s="121"/>
      <c r="AX8241" s="120"/>
      <c r="AY8241" s="121"/>
      <c r="AZ8241" s="138"/>
    </row>
    <row r="8242" spans="1:52" ht="17.100000000000001" customHeight="1" thickTop="1">
      <c r="A8242" s="109" t="s">
        <v>23403</v>
      </c>
      <c r="B8242" s="28">
        <v>46128</v>
      </c>
      <c r="C8242" s="25">
        <v>2023</v>
      </c>
      <c r="D8242" s="13" t="s">
        <v>2442</v>
      </c>
      <c r="E8242" s="111"/>
      <c r="F8242" s="113" t="s">
        <v>23428</v>
      </c>
      <c r="G8242" s="114"/>
      <c r="H8242" s="115"/>
      <c r="I8242" s="24"/>
      <c r="J8242" s="116">
        <v>4</v>
      </c>
      <c r="K8242" s="118">
        <v>603000</v>
      </c>
      <c r="L8242" s="119"/>
      <c r="M8242" s="118">
        <f t="shared" ref="M8242" si="12383">K8242*0.1</f>
        <v>60300</v>
      </c>
      <c r="N8242" s="119"/>
      <c r="O8242" s="118">
        <v>0</v>
      </c>
      <c r="P8242" s="119"/>
      <c r="Q8242" s="118">
        <v>9130</v>
      </c>
      <c r="R8242" s="119"/>
      <c r="S8242" s="118">
        <v>22000</v>
      </c>
      <c r="T8242" s="119"/>
      <c r="U8242" s="118">
        <f t="shared" ref="U8242" si="12384">SUM(K8242:T8243)</f>
        <v>694430</v>
      </c>
      <c r="V8242" s="122"/>
      <c r="W8242" s="124"/>
      <c r="X8242" s="126" t="s">
        <v>24147</v>
      </c>
      <c r="Y8242" s="127"/>
      <c r="Z8242" s="127"/>
      <c r="AA8242" s="127"/>
      <c r="AB8242" s="128"/>
      <c r="AC8242" s="15" t="s">
        <v>20</v>
      </c>
      <c r="AD8242" s="129" t="s">
        <v>2676</v>
      </c>
      <c r="AE8242" s="130"/>
      <c r="AF8242" s="130"/>
      <c r="AG8242" s="130"/>
      <c r="AH8242" s="130"/>
      <c r="AI8242" s="131"/>
      <c r="AJ8242" s="132"/>
      <c r="AK8242" s="127"/>
      <c r="AL8242" s="128"/>
      <c r="AM8242" s="21"/>
      <c r="AN8242" s="133">
        <v>46155</v>
      </c>
      <c r="AO8242" s="134"/>
      <c r="AP8242" s="135">
        <v>1016</v>
      </c>
      <c r="AQ8242" s="136"/>
      <c r="AR8242" s="118">
        <v>650000</v>
      </c>
      <c r="AS8242" s="119"/>
      <c r="AT8242" s="118">
        <f t="shared" ref="AT8242" si="12385">AR8242*0.1</f>
        <v>65000</v>
      </c>
      <c r="AU8242" s="119"/>
      <c r="AV8242" s="118">
        <v>9130</v>
      </c>
      <c r="AW8242" s="119"/>
      <c r="AX8242" s="118">
        <f t="shared" ref="AX8242" si="12386">SUM(AR8242:AW8242)</f>
        <v>724130</v>
      </c>
      <c r="AY8242" s="119"/>
      <c r="AZ8242" s="137"/>
    </row>
    <row r="8243" spans="1:52" ht="17.100000000000001" customHeight="1" thickBot="1">
      <c r="A8243" s="110"/>
      <c r="B8243" s="27" t="s">
        <v>2200</v>
      </c>
      <c r="C8243" s="27">
        <v>10055</v>
      </c>
      <c r="D8243" s="14" t="s">
        <v>1720</v>
      </c>
      <c r="E8243" s="112"/>
      <c r="F8243" s="139" t="s">
        <v>23412</v>
      </c>
      <c r="G8243" s="140"/>
      <c r="H8243" s="141"/>
      <c r="I8243" s="26">
        <v>59160</v>
      </c>
      <c r="J8243" s="117"/>
      <c r="K8243" s="120"/>
      <c r="L8243" s="121"/>
      <c r="M8243" s="120"/>
      <c r="N8243" s="121"/>
      <c r="O8243" s="120"/>
      <c r="P8243" s="121"/>
      <c r="Q8243" s="120"/>
      <c r="R8243" s="121"/>
      <c r="S8243" s="120"/>
      <c r="T8243" s="121"/>
      <c r="U8243" s="120"/>
      <c r="V8243" s="123"/>
      <c r="W8243" s="125"/>
      <c r="X8243" s="142" t="s">
        <v>24148</v>
      </c>
      <c r="Y8243" s="143"/>
      <c r="Z8243" s="143"/>
      <c r="AA8243" s="143"/>
      <c r="AB8243" s="144"/>
      <c r="AC8243" s="16" t="s">
        <v>21</v>
      </c>
      <c r="AD8243" s="17" t="s">
        <v>24114</v>
      </c>
      <c r="AE8243" s="145" t="s">
        <v>24149</v>
      </c>
      <c r="AF8243" s="146"/>
      <c r="AG8243" s="146"/>
      <c r="AH8243" s="146"/>
      <c r="AI8243" s="147"/>
      <c r="AJ8243" s="148"/>
      <c r="AK8243" s="143"/>
      <c r="AL8243" s="144"/>
      <c r="AM8243" s="22"/>
      <c r="AN8243" s="149" t="s">
        <v>7285</v>
      </c>
      <c r="AO8243" s="144"/>
      <c r="AP8243" s="148">
        <v>6035</v>
      </c>
      <c r="AQ8243" s="144"/>
      <c r="AR8243" s="120"/>
      <c r="AS8243" s="121"/>
      <c r="AT8243" s="120"/>
      <c r="AU8243" s="121"/>
      <c r="AV8243" s="120"/>
      <c r="AW8243" s="121"/>
      <c r="AX8243" s="120"/>
      <c r="AY8243" s="121"/>
      <c r="AZ8243" s="138"/>
    </row>
    <row r="8244" spans="1:52" ht="17.100000000000001" customHeight="1" thickTop="1">
      <c r="A8244" s="109" t="s">
        <v>23404</v>
      </c>
      <c r="B8244" s="28">
        <v>46128</v>
      </c>
      <c r="C8244" s="25">
        <v>2023</v>
      </c>
      <c r="D8244" s="13" t="s">
        <v>1863</v>
      </c>
      <c r="E8244" s="111"/>
      <c r="F8244" s="113" t="s">
        <v>23425</v>
      </c>
      <c r="G8244" s="114"/>
      <c r="H8244" s="115"/>
      <c r="I8244" s="24"/>
      <c r="J8244" s="116">
        <v>4</v>
      </c>
      <c r="K8244" s="118">
        <v>2105000</v>
      </c>
      <c r="L8244" s="119"/>
      <c r="M8244" s="118">
        <f t="shared" ref="M8244" si="12387">K8244*0.1</f>
        <v>210500</v>
      </c>
      <c r="N8244" s="119"/>
      <c r="O8244" s="118">
        <v>0</v>
      </c>
      <c r="P8244" s="119"/>
      <c r="Q8244" s="118">
        <v>14330</v>
      </c>
      <c r="R8244" s="119"/>
      <c r="S8244" s="118">
        <v>22000</v>
      </c>
      <c r="T8244" s="119"/>
      <c r="U8244" s="118">
        <f t="shared" ref="U8244" si="12388">SUM(K8244:T8245)</f>
        <v>2351830</v>
      </c>
      <c r="V8244" s="122"/>
      <c r="W8244" s="124"/>
      <c r="X8244" s="126" t="s">
        <v>24157</v>
      </c>
      <c r="Y8244" s="127"/>
      <c r="Z8244" s="127"/>
      <c r="AA8244" s="127"/>
      <c r="AB8244" s="128"/>
      <c r="AC8244" s="15" t="s">
        <v>20</v>
      </c>
      <c r="AD8244" s="129" t="s">
        <v>23427</v>
      </c>
      <c r="AE8244" s="130"/>
      <c r="AF8244" s="130"/>
      <c r="AG8244" s="130"/>
      <c r="AH8244" s="130"/>
      <c r="AI8244" s="131"/>
      <c r="AJ8244" s="132"/>
      <c r="AK8244" s="127"/>
      <c r="AL8244" s="128"/>
      <c r="AM8244" s="21"/>
      <c r="AN8244" s="133"/>
      <c r="AO8244" s="134"/>
      <c r="AP8244" s="135"/>
      <c r="AQ8244" s="136"/>
      <c r="AR8244" s="118"/>
      <c r="AS8244" s="119"/>
      <c r="AT8244" s="118">
        <f t="shared" ref="AT8244" si="12389">AR8244*0.1</f>
        <v>0</v>
      </c>
      <c r="AU8244" s="119"/>
      <c r="AV8244" s="118"/>
      <c r="AW8244" s="119"/>
      <c r="AX8244" s="118">
        <f t="shared" ref="AX8244" si="12390">SUM(AR8244:AW8244)</f>
        <v>0</v>
      </c>
      <c r="AY8244" s="119"/>
      <c r="AZ8244" s="137"/>
    </row>
    <row r="8245" spans="1:52" ht="17.100000000000001" customHeight="1" thickBot="1">
      <c r="A8245" s="110"/>
      <c r="B8245" s="27" t="s">
        <v>2200</v>
      </c>
      <c r="C8245" s="27">
        <v>30014</v>
      </c>
      <c r="D8245" s="14" t="s">
        <v>2601</v>
      </c>
      <c r="E8245" s="112"/>
      <c r="F8245" s="139" t="s">
        <v>23426</v>
      </c>
      <c r="G8245" s="140"/>
      <c r="H8245" s="141"/>
      <c r="I8245" s="26">
        <v>102272</v>
      </c>
      <c r="J8245" s="117"/>
      <c r="K8245" s="120"/>
      <c r="L8245" s="121"/>
      <c r="M8245" s="120"/>
      <c r="N8245" s="121"/>
      <c r="O8245" s="120"/>
      <c r="P8245" s="121"/>
      <c r="Q8245" s="120"/>
      <c r="R8245" s="121"/>
      <c r="S8245" s="120"/>
      <c r="T8245" s="121"/>
      <c r="U8245" s="120"/>
      <c r="V8245" s="123"/>
      <c r="W8245" s="125"/>
      <c r="X8245" s="142" t="s">
        <v>24158</v>
      </c>
      <c r="Y8245" s="143"/>
      <c r="Z8245" s="143"/>
      <c r="AA8245" s="143"/>
      <c r="AB8245" s="144"/>
      <c r="AC8245" s="16" t="s">
        <v>21</v>
      </c>
      <c r="AD8245" s="17" t="s">
        <v>24114</v>
      </c>
      <c r="AE8245" s="145" t="s">
        <v>24159</v>
      </c>
      <c r="AF8245" s="146"/>
      <c r="AG8245" s="146"/>
      <c r="AH8245" s="146"/>
      <c r="AI8245" s="147"/>
      <c r="AJ8245" s="148"/>
      <c r="AK8245" s="143"/>
      <c r="AL8245" s="144"/>
      <c r="AM8245" s="22"/>
      <c r="AN8245" s="149"/>
      <c r="AO8245" s="144"/>
      <c r="AP8245" s="148"/>
      <c r="AQ8245" s="144"/>
      <c r="AR8245" s="120"/>
      <c r="AS8245" s="121"/>
      <c r="AT8245" s="120"/>
      <c r="AU8245" s="121"/>
      <c r="AV8245" s="120"/>
      <c r="AW8245" s="121"/>
      <c r="AX8245" s="120"/>
      <c r="AY8245" s="121"/>
      <c r="AZ8245" s="138"/>
    </row>
    <row r="8246" spans="1:52" ht="17.100000000000001" customHeight="1" thickTop="1">
      <c r="A8246" s="109" t="s">
        <v>23405</v>
      </c>
      <c r="B8246" s="28">
        <v>46128</v>
      </c>
      <c r="C8246" s="25">
        <v>2023</v>
      </c>
      <c r="D8246" s="13" t="s">
        <v>859</v>
      </c>
      <c r="E8246" s="111"/>
      <c r="F8246" s="113" t="s">
        <v>23423</v>
      </c>
      <c r="G8246" s="114"/>
      <c r="H8246" s="115"/>
      <c r="I8246" s="24"/>
      <c r="J8246" s="116">
        <v>4.5</v>
      </c>
      <c r="K8246" s="118">
        <v>2307000</v>
      </c>
      <c r="L8246" s="119"/>
      <c r="M8246" s="118">
        <f t="shared" ref="M8246" si="12391">K8246*0.1</f>
        <v>230700</v>
      </c>
      <c r="N8246" s="119"/>
      <c r="O8246" s="118">
        <v>0</v>
      </c>
      <c r="P8246" s="119"/>
      <c r="Q8246" s="118">
        <v>12470</v>
      </c>
      <c r="R8246" s="119"/>
      <c r="S8246" s="118">
        <v>22000</v>
      </c>
      <c r="T8246" s="119"/>
      <c r="U8246" s="118">
        <f t="shared" ref="U8246" si="12392">SUM(K8246:T8247)</f>
        <v>2572170</v>
      </c>
      <c r="V8246" s="122"/>
      <c r="W8246" s="124"/>
      <c r="X8246" s="126" t="s">
        <v>24025</v>
      </c>
      <c r="Y8246" s="127"/>
      <c r="Z8246" s="127"/>
      <c r="AA8246" s="127"/>
      <c r="AB8246" s="128"/>
      <c r="AC8246" s="15" t="s">
        <v>20</v>
      </c>
      <c r="AD8246" s="129" t="s">
        <v>23424</v>
      </c>
      <c r="AE8246" s="130"/>
      <c r="AF8246" s="130"/>
      <c r="AG8246" s="130"/>
      <c r="AH8246" s="130"/>
      <c r="AI8246" s="131"/>
      <c r="AJ8246" s="132"/>
      <c r="AK8246" s="127"/>
      <c r="AL8246" s="128"/>
      <c r="AM8246" s="21"/>
      <c r="AN8246" s="133">
        <v>46134</v>
      </c>
      <c r="AO8246" s="134"/>
      <c r="AP8246" s="135">
        <v>1014</v>
      </c>
      <c r="AQ8246" s="136"/>
      <c r="AR8246" s="118">
        <v>2380000</v>
      </c>
      <c r="AS8246" s="119"/>
      <c r="AT8246" s="118">
        <f t="shared" ref="AT8246" si="12393">AR8246*0.1</f>
        <v>238000</v>
      </c>
      <c r="AU8246" s="119"/>
      <c r="AV8246" s="118">
        <v>12470</v>
      </c>
      <c r="AW8246" s="119"/>
      <c r="AX8246" s="118">
        <f t="shared" ref="AX8246" si="12394">SUM(AR8246:AW8246)</f>
        <v>2630470</v>
      </c>
      <c r="AY8246" s="119"/>
      <c r="AZ8246" s="137">
        <v>46139</v>
      </c>
    </row>
    <row r="8247" spans="1:52" ht="17.100000000000001" customHeight="1" thickBot="1">
      <c r="A8247" s="110"/>
      <c r="B8247" s="27" t="s">
        <v>2200</v>
      </c>
      <c r="C8247" s="27">
        <v>30090</v>
      </c>
      <c r="D8247" s="14" t="s">
        <v>2601</v>
      </c>
      <c r="E8247" s="112"/>
      <c r="F8247" s="139" t="s">
        <v>23413</v>
      </c>
      <c r="G8247" s="140"/>
      <c r="H8247" s="141"/>
      <c r="I8247" s="26">
        <v>31810</v>
      </c>
      <c r="J8247" s="117"/>
      <c r="K8247" s="120"/>
      <c r="L8247" s="121"/>
      <c r="M8247" s="120"/>
      <c r="N8247" s="121"/>
      <c r="O8247" s="120"/>
      <c r="P8247" s="121"/>
      <c r="Q8247" s="120"/>
      <c r="R8247" s="121"/>
      <c r="S8247" s="120"/>
      <c r="T8247" s="121"/>
      <c r="U8247" s="120"/>
      <c r="V8247" s="123"/>
      <c r="W8247" s="125"/>
      <c r="X8247" s="142" t="s">
        <v>24026</v>
      </c>
      <c r="Y8247" s="143"/>
      <c r="Z8247" s="143"/>
      <c r="AA8247" s="143"/>
      <c r="AB8247" s="144"/>
      <c r="AC8247" s="16" t="s">
        <v>21</v>
      </c>
      <c r="AD8247" s="17" t="s">
        <v>24016</v>
      </c>
      <c r="AE8247" s="145" t="s">
        <v>24027</v>
      </c>
      <c r="AF8247" s="146"/>
      <c r="AG8247" s="146"/>
      <c r="AH8247" s="146"/>
      <c r="AI8247" s="147"/>
      <c r="AJ8247" s="148"/>
      <c r="AK8247" s="143"/>
      <c r="AL8247" s="144"/>
      <c r="AM8247" s="22"/>
      <c r="AN8247" s="149" t="s">
        <v>23987</v>
      </c>
      <c r="AO8247" s="144"/>
      <c r="AP8247" s="148">
        <v>5094</v>
      </c>
      <c r="AQ8247" s="144"/>
      <c r="AR8247" s="120"/>
      <c r="AS8247" s="121"/>
      <c r="AT8247" s="120"/>
      <c r="AU8247" s="121"/>
      <c r="AV8247" s="120"/>
      <c r="AW8247" s="121"/>
      <c r="AX8247" s="120"/>
      <c r="AY8247" s="121"/>
      <c r="AZ8247" s="138"/>
    </row>
    <row r="8248" spans="1:52" ht="17.100000000000001" customHeight="1" thickTop="1">
      <c r="A8248" s="109" t="s">
        <v>23406</v>
      </c>
      <c r="B8248" s="28">
        <v>46128</v>
      </c>
      <c r="C8248" s="25">
        <v>2023</v>
      </c>
      <c r="D8248" s="13" t="s">
        <v>1902</v>
      </c>
      <c r="E8248" s="111"/>
      <c r="F8248" s="113" t="s">
        <v>23422</v>
      </c>
      <c r="G8248" s="114"/>
      <c r="H8248" s="115"/>
      <c r="I8248" s="24"/>
      <c r="J8248" s="116">
        <v>4</v>
      </c>
      <c r="K8248" s="118">
        <v>872000</v>
      </c>
      <c r="L8248" s="119"/>
      <c r="M8248" s="118">
        <f t="shared" ref="M8248" si="12395">K8248*0.1</f>
        <v>87200</v>
      </c>
      <c r="N8248" s="119"/>
      <c r="O8248" s="118">
        <v>0</v>
      </c>
      <c r="P8248" s="119"/>
      <c r="Q8248" s="118">
        <v>8950</v>
      </c>
      <c r="R8248" s="119"/>
      <c r="S8248" s="118">
        <v>22000</v>
      </c>
      <c r="T8248" s="119"/>
      <c r="U8248" s="118">
        <f t="shared" ref="U8248" si="12396">SUM(K8248:T8249)</f>
        <v>990150</v>
      </c>
      <c r="V8248" s="122"/>
      <c r="W8248" s="124"/>
      <c r="X8248" s="126" t="s">
        <v>24024</v>
      </c>
      <c r="Y8248" s="127"/>
      <c r="Z8248" s="127"/>
      <c r="AA8248" s="127"/>
      <c r="AB8248" s="128"/>
      <c r="AC8248" s="15" t="s">
        <v>20</v>
      </c>
      <c r="AD8248" s="129" t="s">
        <v>1633</v>
      </c>
      <c r="AE8248" s="130"/>
      <c r="AF8248" s="130"/>
      <c r="AG8248" s="130"/>
      <c r="AH8248" s="130"/>
      <c r="AI8248" s="131"/>
      <c r="AJ8248" s="132"/>
      <c r="AK8248" s="127"/>
      <c r="AL8248" s="128"/>
      <c r="AM8248" s="21"/>
      <c r="AN8248" s="133">
        <v>46134</v>
      </c>
      <c r="AO8248" s="134"/>
      <c r="AP8248" s="135">
        <v>1014</v>
      </c>
      <c r="AQ8248" s="136"/>
      <c r="AR8248" s="118">
        <v>940000</v>
      </c>
      <c r="AS8248" s="119"/>
      <c r="AT8248" s="118">
        <f t="shared" ref="AT8248" si="12397">AR8248*0.1</f>
        <v>94000</v>
      </c>
      <c r="AU8248" s="119"/>
      <c r="AV8248" s="118">
        <v>8950</v>
      </c>
      <c r="AW8248" s="119"/>
      <c r="AX8248" s="118">
        <f t="shared" ref="AX8248" si="12398">SUM(AR8248:AW8248)</f>
        <v>1042950</v>
      </c>
      <c r="AY8248" s="119"/>
      <c r="AZ8248" s="137">
        <v>46139</v>
      </c>
    </row>
    <row r="8249" spans="1:52" ht="17.100000000000001" customHeight="1" thickBot="1">
      <c r="A8249" s="110"/>
      <c r="B8249" s="27" t="s">
        <v>2200</v>
      </c>
      <c r="C8249" s="27">
        <v>30163</v>
      </c>
      <c r="D8249" s="14" t="s">
        <v>1720</v>
      </c>
      <c r="E8249" s="112"/>
      <c r="F8249" s="139" t="s">
        <v>23414</v>
      </c>
      <c r="G8249" s="140"/>
      <c r="H8249" s="141"/>
      <c r="I8249" s="26">
        <v>58438</v>
      </c>
      <c r="J8249" s="117"/>
      <c r="K8249" s="120"/>
      <c r="L8249" s="121"/>
      <c r="M8249" s="120"/>
      <c r="N8249" s="121"/>
      <c r="O8249" s="120"/>
      <c r="P8249" s="121"/>
      <c r="Q8249" s="120"/>
      <c r="R8249" s="121"/>
      <c r="S8249" s="120"/>
      <c r="T8249" s="121"/>
      <c r="U8249" s="120"/>
      <c r="V8249" s="123"/>
      <c r="W8249" s="125"/>
      <c r="X8249" s="142" t="s">
        <v>2482</v>
      </c>
      <c r="Y8249" s="143"/>
      <c r="Z8249" s="143"/>
      <c r="AA8249" s="143"/>
      <c r="AB8249" s="144"/>
      <c r="AC8249" s="16" t="s">
        <v>21</v>
      </c>
      <c r="AD8249" s="17" t="s">
        <v>24016</v>
      </c>
      <c r="AE8249" s="145" t="s">
        <v>1742</v>
      </c>
      <c r="AF8249" s="146"/>
      <c r="AG8249" s="146"/>
      <c r="AH8249" s="146"/>
      <c r="AI8249" s="147"/>
      <c r="AJ8249" s="148"/>
      <c r="AK8249" s="143"/>
      <c r="AL8249" s="144"/>
      <c r="AM8249" s="22"/>
      <c r="AN8249" s="149" t="s">
        <v>23987</v>
      </c>
      <c r="AO8249" s="144"/>
      <c r="AP8249" s="148">
        <v>5072</v>
      </c>
      <c r="AQ8249" s="144"/>
      <c r="AR8249" s="120"/>
      <c r="AS8249" s="121"/>
      <c r="AT8249" s="120"/>
      <c r="AU8249" s="121"/>
      <c r="AV8249" s="120"/>
      <c r="AW8249" s="121"/>
      <c r="AX8249" s="120"/>
      <c r="AY8249" s="121"/>
      <c r="AZ8249" s="138"/>
    </row>
    <row r="8250" spans="1:52" ht="17.100000000000001" customHeight="1" thickTop="1">
      <c r="A8250" s="109" t="s">
        <v>23407</v>
      </c>
      <c r="B8250" s="28">
        <v>46128</v>
      </c>
      <c r="C8250" s="25">
        <v>2023</v>
      </c>
      <c r="D8250" s="13" t="s">
        <v>3530</v>
      </c>
      <c r="E8250" s="111"/>
      <c r="F8250" s="113" t="s">
        <v>23420</v>
      </c>
      <c r="G8250" s="114"/>
      <c r="H8250" s="115"/>
      <c r="I8250" s="24" t="s">
        <v>2112</v>
      </c>
      <c r="J8250" s="116">
        <v>4</v>
      </c>
      <c r="K8250" s="118">
        <v>1423000</v>
      </c>
      <c r="L8250" s="119"/>
      <c r="M8250" s="118">
        <f t="shared" ref="M8250" si="12399">K8250*0.1</f>
        <v>142300</v>
      </c>
      <c r="N8250" s="119"/>
      <c r="O8250" s="118">
        <f>22900+2290</f>
        <v>25190</v>
      </c>
      <c r="P8250" s="119"/>
      <c r="Q8250" s="118">
        <v>9260</v>
      </c>
      <c r="R8250" s="119"/>
      <c r="S8250" s="118">
        <v>22000</v>
      </c>
      <c r="T8250" s="119"/>
      <c r="U8250" s="118">
        <f t="shared" ref="U8250" si="12400">SUM(K8250:T8251)</f>
        <v>1621750</v>
      </c>
      <c r="V8250" s="122"/>
      <c r="W8250" s="124"/>
      <c r="X8250" s="126" t="s">
        <v>23421</v>
      </c>
      <c r="Y8250" s="127"/>
      <c r="Z8250" s="127"/>
      <c r="AA8250" s="127"/>
      <c r="AB8250" s="128"/>
      <c r="AC8250" s="15" t="s">
        <v>20</v>
      </c>
      <c r="AD8250" s="129" t="s">
        <v>1565</v>
      </c>
      <c r="AE8250" s="130"/>
      <c r="AF8250" s="130"/>
      <c r="AG8250" s="130"/>
      <c r="AH8250" s="130"/>
      <c r="AI8250" s="131"/>
      <c r="AJ8250" s="132"/>
      <c r="AK8250" s="127"/>
      <c r="AL8250" s="128"/>
      <c r="AM8250" s="21"/>
      <c r="AN8250" s="133">
        <v>46134</v>
      </c>
      <c r="AO8250" s="134"/>
      <c r="AP8250" s="135">
        <v>1014</v>
      </c>
      <c r="AQ8250" s="136"/>
      <c r="AR8250" s="118">
        <v>1505000</v>
      </c>
      <c r="AS8250" s="119"/>
      <c r="AT8250" s="118">
        <f t="shared" ref="AT8250" si="12401">AR8250*0.1</f>
        <v>150500</v>
      </c>
      <c r="AU8250" s="119"/>
      <c r="AV8250" s="118">
        <v>9260</v>
      </c>
      <c r="AW8250" s="119"/>
      <c r="AX8250" s="118">
        <f t="shared" ref="AX8250" si="12402">SUM(AR8250:AW8250)</f>
        <v>1664760</v>
      </c>
      <c r="AY8250" s="119"/>
      <c r="AZ8250" s="137">
        <v>46139</v>
      </c>
    </row>
    <row r="8251" spans="1:52" ht="17.100000000000001" customHeight="1" thickBot="1">
      <c r="A8251" s="110"/>
      <c r="B8251" s="27" t="s">
        <v>2200</v>
      </c>
      <c r="C8251" s="27">
        <v>30242</v>
      </c>
      <c r="D8251" s="14" t="s">
        <v>2601</v>
      </c>
      <c r="E8251" s="112"/>
      <c r="F8251" s="139" t="s">
        <v>23415</v>
      </c>
      <c r="G8251" s="140"/>
      <c r="H8251" s="141"/>
      <c r="I8251" s="26">
        <v>34019</v>
      </c>
      <c r="J8251" s="117"/>
      <c r="K8251" s="120"/>
      <c r="L8251" s="121"/>
      <c r="M8251" s="120"/>
      <c r="N8251" s="121"/>
      <c r="O8251" s="120"/>
      <c r="P8251" s="121"/>
      <c r="Q8251" s="120"/>
      <c r="R8251" s="121"/>
      <c r="S8251" s="120"/>
      <c r="T8251" s="121"/>
      <c r="U8251" s="120"/>
      <c r="V8251" s="123"/>
      <c r="W8251" s="125"/>
      <c r="X8251" s="142" t="s">
        <v>3986</v>
      </c>
      <c r="Y8251" s="143"/>
      <c r="Z8251" s="143"/>
      <c r="AA8251" s="143"/>
      <c r="AB8251" s="144"/>
      <c r="AC8251" s="16" t="s">
        <v>21</v>
      </c>
      <c r="AD8251" s="17" t="s">
        <v>24016</v>
      </c>
      <c r="AE8251" s="145" t="s">
        <v>3123</v>
      </c>
      <c r="AF8251" s="146"/>
      <c r="AG8251" s="146"/>
      <c r="AH8251" s="146"/>
      <c r="AI8251" s="147"/>
      <c r="AJ8251" s="148"/>
      <c r="AK8251" s="143"/>
      <c r="AL8251" s="144"/>
      <c r="AM8251" s="22"/>
      <c r="AN8251" s="149" t="s">
        <v>23987</v>
      </c>
      <c r="AO8251" s="144"/>
      <c r="AP8251" s="148">
        <v>5095</v>
      </c>
      <c r="AQ8251" s="144"/>
      <c r="AR8251" s="120"/>
      <c r="AS8251" s="121"/>
      <c r="AT8251" s="120"/>
      <c r="AU8251" s="121"/>
      <c r="AV8251" s="120"/>
      <c r="AW8251" s="121"/>
      <c r="AX8251" s="120"/>
      <c r="AY8251" s="121"/>
      <c r="AZ8251" s="138"/>
    </row>
    <row r="8252" spans="1:52" ht="17.100000000000001" customHeight="1" thickTop="1">
      <c r="A8252" s="109" t="s">
        <v>23408</v>
      </c>
      <c r="B8252" s="28">
        <v>46128</v>
      </c>
      <c r="C8252" s="25">
        <v>2023</v>
      </c>
      <c r="D8252" s="13" t="s">
        <v>1767</v>
      </c>
      <c r="E8252" s="111"/>
      <c r="F8252" s="113" t="s">
        <v>8621</v>
      </c>
      <c r="G8252" s="114"/>
      <c r="H8252" s="115"/>
      <c r="I8252" s="24"/>
      <c r="J8252" s="116">
        <v>4</v>
      </c>
      <c r="K8252" s="118">
        <v>400000</v>
      </c>
      <c r="L8252" s="119"/>
      <c r="M8252" s="118">
        <f t="shared" ref="M8252" si="12403">K8252*0.1</f>
        <v>40000</v>
      </c>
      <c r="N8252" s="119"/>
      <c r="O8252" s="118">
        <v>0</v>
      </c>
      <c r="P8252" s="119"/>
      <c r="Q8252" s="118">
        <v>8790</v>
      </c>
      <c r="R8252" s="119"/>
      <c r="S8252" s="118">
        <v>22000</v>
      </c>
      <c r="T8252" s="119"/>
      <c r="U8252" s="118">
        <f t="shared" ref="U8252" si="12404">SUM(K8252:T8253)</f>
        <v>470790</v>
      </c>
      <c r="V8252" s="122"/>
      <c r="W8252" s="124"/>
      <c r="X8252" s="126" t="s">
        <v>24144</v>
      </c>
      <c r="Y8252" s="127"/>
      <c r="Z8252" s="127"/>
      <c r="AA8252" s="127"/>
      <c r="AB8252" s="128"/>
      <c r="AC8252" s="15" t="s">
        <v>20</v>
      </c>
      <c r="AD8252" s="129" t="s">
        <v>23432</v>
      </c>
      <c r="AE8252" s="130"/>
      <c r="AF8252" s="130"/>
      <c r="AG8252" s="130"/>
      <c r="AH8252" s="130"/>
      <c r="AI8252" s="131"/>
      <c r="AJ8252" s="132"/>
      <c r="AK8252" s="127"/>
      <c r="AL8252" s="128"/>
      <c r="AM8252" s="21"/>
      <c r="AN8252" s="133"/>
      <c r="AO8252" s="134"/>
      <c r="AP8252" s="135"/>
      <c r="AQ8252" s="136"/>
      <c r="AR8252" s="118"/>
      <c r="AS8252" s="119"/>
      <c r="AT8252" s="118">
        <f t="shared" ref="AT8252" si="12405">AR8252*0.1</f>
        <v>0</v>
      </c>
      <c r="AU8252" s="119"/>
      <c r="AV8252" s="118"/>
      <c r="AW8252" s="119"/>
      <c r="AX8252" s="118">
        <f t="shared" ref="AX8252" si="12406">SUM(AR8252:AW8252)</f>
        <v>0</v>
      </c>
      <c r="AY8252" s="119"/>
      <c r="AZ8252" s="137"/>
    </row>
    <row r="8253" spans="1:52" ht="17.100000000000001" customHeight="1" thickBot="1">
      <c r="A8253" s="110"/>
      <c r="B8253" s="27" t="s">
        <v>2200</v>
      </c>
      <c r="C8253" s="27">
        <v>50033</v>
      </c>
      <c r="D8253" s="14" t="s">
        <v>55</v>
      </c>
      <c r="E8253" s="112"/>
      <c r="F8253" s="139" t="s">
        <v>23416</v>
      </c>
      <c r="G8253" s="140"/>
      <c r="H8253" s="141"/>
      <c r="I8253" s="26">
        <v>94712</v>
      </c>
      <c r="J8253" s="117"/>
      <c r="K8253" s="120"/>
      <c r="L8253" s="121"/>
      <c r="M8253" s="120"/>
      <c r="N8253" s="121"/>
      <c r="O8253" s="120"/>
      <c r="P8253" s="121"/>
      <c r="Q8253" s="120"/>
      <c r="R8253" s="121"/>
      <c r="S8253" s="120"/>
      <c r="T8253" s="121"/>
      <c r="U8253" s="120"/>
      <c r="V8253" s="123"/>
      <c r="W8253" s="125"/>
      <c r="X8253" s="142" t="s">
        <v>24145</v>
      </c>
      <c r="Y8253" s="143"/>
      <c r="Z8253" s="143"/>
      <c r="AA8253" s="143"/>
      <c r="AB8253" s="144"/>
      <c r="AC8253" s="16" t="s">
        <v>21</v>
      </c>
      <c r="AD8253" s="17" t="s">
        <v>24114</v>
      </c>
      <c r="AE8253" s="145" t="s">
        <v>24146</v>
      </c>
      <c r="AF8253" s="146"/>
      <c r="AG8253" s="146"/>
      <c r="AH8253" s="146"/>
      <c r="AI8253" s="147"/>
      <c r="AJ8253" s="148"/>
      <c r="AK8253" s="143"/>
      <c r="AL8253" s="144"/>
      <c r="AM8253" s="22"/>
      <c r="AN8253" s="149"/>
      <c r="AO8253" s="144"/>
      <c r="AP8253" s="148"/>
      <c r="AQ8253" s="144"/>
      <c r="AR8253" s="120"/>
      <c r="AS8253" s="121"/>
      <c r="AT8253" s="120"/>
      <c r="AU8253" s="121"/>
      <c r="AV8253" s="120"/>
      <c r="AW8253" s="121"/>
      <c r="AX8253" s="120"/>
      <c r="AY8253" s="121"/>
      <c r="AZ8253" s="138"/>
    </row>
    <row r="8254" spans="1:52" ht="17.100000000000001" customHeight="1" thickTop="1">
      <c r="A8254" s="109" t="s">
        <v>23409</v>
      </c>
      <c r="B8254" s="28">
        <v>46128</v>
      </c>
      <c r="C8254" s="25">
        <v>2023</v>
      </c>
      <c r="D8254" s="13" t="s">
        <v>1888</v>
      </c>
      <c r="E8254" s="111"/>
      <c r="F8254" s="113" t="s">
        <v>3908</v>
      </c>
      <c r="G8254" s="114"/>
      <c r="H8254" s="115"/>
      <c r="I8254" s="24" t="s">
        <v>2533</v>
      </c>
      <c r="J8254" s="116">
        <v>4</v>
      </c>
      <c r="K8254" s="118">
        <v>509000</v>
      </c>
      <c r="L8254" s="119"/>
      <c r="M8254" s="118">
        <f t="shared" ref="M8254" si="12407">K8254*0.1</f>
        <v>50900</v>
      </c>
      <c r="N8254" s="119"/>
      <c r="O8254" s="118">
        <v>0</v>
      </c>
      <c r="P8254" s="119"/>
      <c r="Q8254" s="118">
        <v>7950</v>
      </c>
      <c r="R8254" s="119"/>
      <c r="S8254" s="118">
        <v>22000</v>
      </c>
      <c r="T8254" s="119"/>
      <c r="U8254" s="118">
        <f t="shared" ref="U8254" si="12408">SUM(K8254:T8255)</f>
        <v>589850</v>
      </c>
      <c r="V8254" s="122"/>
      <c r="W8254" s="124"/>
      <c r="X8254" s="126" t="s">
        <v>23431</v>
      </c>
      <c r="Y8254" s="127"/>
      <c r="Z8254" s="127"/>
      <c r="AA8254" s="127"/>
      <c r="AB8254" s="128"/>
      <c r="AC8254" s="15" t="s">
        <v>20</v>
      </c>
      <c r="AD8254" s="129" t="s">
        <v>1605</v>
      </c>
      <c r="AE8254" s="130"/>
      <c r="AF8254" s="130"/>
      <c r="AG8254" s="130"/>
      <c r="AH8254" s="130"/>
      <c r="AI8254" s="131"/>
      <c r="AJ8254" s="132"/>
      <c r="AK8254" s="127"/>
      <c r="AL8254" s="128"/>
      <c r="AM8254" s="21"/>
      <c r="AN8254" s="133">
        <v>46134</v>
      </c>
      <c r="AO8254" s="134"/>
      <c r="AP8254" s="135">
        <v>1014</v>
      </c>
      <c r="AQ8254" s="136"/>
      <c r="AR8254" s="118">
        <v>590000</v>
      </c>
      <c r="AS8254" s="119"/>
      <c r="AT8254" s="118">
        <f t="shared" ref="AT8254" si="12409">AR8254*0.1</f>
        <v>59000</v>
      </c>
      <c r="AU8254" s="119"/>
      <c r="AV8254" s="118">
        <v>7950</v>
      </c>
      <c r="AW8254" s="119"/>
      <c r="AX8254" s="118">
        <f t="shared" ref="AX8254" si="12410">SUM(AR8254:AW8254)</f>
        <v>656950</v>
      </c>
      <c r="AY8254" s="119"/>
      <c r="AZ8254" s="137">
        <v>46139</v>
      </c>
    </row>
    <row r="8255" spans="1:52" ht="17.100000000000001" customHeight="1" thickBot="1">
      <c r="A8255" s="110"/>
      <c r="B8255" s="27" t="s">
        <v>2200</v>
      </c>
      <c r="C8255" s="27">
        <v>50071</v>
      </c>
      <c r="D8255" s="14" t="s">
        <v>2800</v>
      </c>
      <c r="E8255" s="112"/>
      <c r="F8255" s="139" t="s">
        <v>23417</v>
      </c>
      <c r="G8255" s="140"/>
      <c r="H8255" s="141"/>
      <c r="I8255" s="26">
        <v>47439</v>
      </c>
      <c r="J8255" s="117"/>
      <c r="K8255" s="120"/>
      <c r="L8255" s="121"/>
      <c r="M8255" s="120"/>
      <c r="N8255" s="121"/>
      <c r="O8255" s="120"/>
      <c r="P8255" s="121"/>
      <c r="Q8255" s="120"/>
      <c r="R8255" s="121"/>
      <c r="S8255" s="120"/>
      <c r="T8255" s="121"/>
      <c r="U8255" s="120"/>
      <c r="V8255" s="123"/>
      <c r="W8255" s="125"/>
      <c r="X8255" s="142" t="s">
        <v>24030</v>
      </c>
      <c r="Y8255" s="143"/>
      <c r="Z8255" s="143"/>
      <c r="AA8255" s="143"/>
      <c r="AB8255" s="144"/>
      <c r="AC8255" s="16" t="s">
        <v>21</v>
      </c>
      <c r="AD8255" s="17" t="s">
        <v>24016</v>
      </c>
      <c r="AE8255" s="145" t="s">
        <v>2395</v>
      </c>
      <c r="AF8255" s="146"/>
      <c r="AG8255" s="146"/>
      <c r="AH8255" s="146"/>
      <c r="AI8255" s="147"/>
      <c r="AJ8255" s="148"/>
      <c r="AK8255" s="143"/>
      <c r="AL8255" s="144"/>
      <c r="AM8255" s="22"/>
      <c r="AN8255" s="149" t="s">
        <v>23987</v>
      </c>
      <c r="AO8255" s="144"/>
      <c r="AP8255" s="148">
        <v>5076</v>
      </c>
      <c r="AQ8255" s="144"/>
      <c r="AR8255" s="120"/>
      <c r="AS8255" s="121"/>
      <c r="AT8255" s="120"/>
      <c r="AU8255" s="121"/>
      <c r="AV8255" s="120"/>
      <c r="AW8255" s="121"/>
      <c r="AX8255" s="120"/>
      <c r="AY8255" s="121"/>
      <c r="AZ8255" s="138"/>
    </row>
    <row r="8256" spans="1:52" ht="17.100000000000001" customHeight="1" thickTop="1">
      <c r="A8256" s="109" t="s">
        <v>23410</v>
      </c>
      <c r="B8256" s="28">
        <v>46128</v>
      </c>
      <c r="C8256" s="25">
        <v>2023</v>
      </c>
      <c r="D8256" s="13" t="s">
        <v>4609</v>
      </c>
      <c r="E8256" s="111"/>
      <c r="F8256" s="113" t="s">
        <v>4218</v>
      </c>
      <c r="G8256" s="114"/>
      <c r="H8256" s="115"/>
      <c r="I8256" s="24"/>
      <c r="J8256" s="116">
        <v>4</v>
      </c>
      <c r="K8256" s="118">
        <v>328000</v>
      </c>
      <c r="L8256" s="119"/>
      <c r="M8256" s="118">
        <f t="shared" ref="M8256" si="12411">K8256*0.1</f>
        <v>32800</v>
      </c>
      <c r="N8256" s="119"/>
      <c r="O8256" s="118">
        <v>0</v>
      </c>
      <c r="P8256" s="119"/>
      <c r="Q8256" s="118">
        <v>8930</v>
      </c>
      <c r="R8256" s="119"/>
      <c r="S8256" s="118">
        <v>22000</v>
      </c>
      <c r="T8256" s="119"/>
      <c r="U8256" s="118">
        <f t="shared" ref="U8256" si="12412">SUM(K8256:T8257)</f>
        <v>391730</v>
      </c>
      <c r="V8256" s="122"/>
      <c r="W8256" s="124"/>
      <c r="X8256" s="126" t="s">
        <v>24152</v>
      </c>
      <c r="Y8256" s="127"/>
      <c r="Z8256" s="127"/>
      <c r="AA8256" s="127"/>
      <c r="AB8256" s="128"/>
      <c r="AC8256" s="15" t="s">
        <v>20</v>
      </c>
      <c r="AD8256" s="129"/>
      <c r="AE8256" s="130"/>
      <c r="AF8256" s="130"/>
      <c r="AG8256" s="130"/>
      <c r="AH8256" s="130"/>
      <c r="AI8256" s="131"/>
      <c r="AJ8256" s="132"/>
      <c r="AK8256" s="127"/>
      <c r="AL8256" s="128"/>
      <c r="AM8256" s="21"/>
      <c r="AN8256" s="133"/>
      <c r="AO8256" s="134"/>
      <c r="AP8256" s="135"/>
      <c r="AQ8256" s="136"/>
      <c r="AR8256" s="118"/>
      <c r="AS8256" s="119"/>
      <c r="AT8256" s="118">
        <f t="shared" ref="AT8256" si="12413">AR8256*0.1</f>
        <v>0</v>
      </c>
      <c r="AU8256" s="119"/>
      <c r="AV8256" s="118"/>
      <c r="AW8256" s="119"/>
      <c r="AX8256" s="118">
        <f t="shared" ref="AX8256" si="12414">SUM(AR8256:AW8256)</f>
        <v>0</v>
      </c>
      <c r="AY8256" s="119"/>
      <c r="AZ8256" s="137"/>
    </row>
    <row r="8257" spans="1:52" ht="17.100000000000001" customHeight="1" thickBot="1">
      <c r="A8257" s="110"/>
      <c r="B8257" s="27" t="s">
        <v>2200</v>
      </c>
      <c r="C8257" s="27">
        <v>50170</v>
      </c>
      <c r="D8257" s="14" t="s">
        <v>1576</v>
      </c>
      <c r="E8257" s="112"/>
      <c r="F8257" s="139" t="s">
        <v>23418</v>
      </c>
      <c r="G8257" s="140"/>
      <c r="H8257" s="141"/>
      <c r="I8257" s="26">
        <v>38369</v>
      </c>
      <c r="J8257" s="117"/>
      <c r="K8257" s="120"/>
      <c r="L8257" s="121"/>
      <c r="M8257" s="120"/>
      <c r="N8257" s="121"/>
      <c r="O8257" s="120"/>
      <c r="P8257" s="121"/>
      <c r="Q8257" s="120"/>
      <c r="R8257" s="121"/>
      <c r="S8257" s="120"/>
      <c r="T8257" s="121"/>
      <c r="U8257" s="120"/>
      <c r="V8257" s="123"/>
      <c r="W8257" s="125"/>
      <c r="X8257" s="142" t="s">
        <v>24153</v>
      </c>
      <c r="Y8257" s="143"/>
      <c r="Z8257" s="143"/>
      <c r="AA8257" s="143"/>
      <c r="AB8257" s="144"/>
      <c r="AC8257" s="16" t="s">
        <v>21</v>
      </c>
      <c r="AD8257" s="17" t="s">
        <v>24114</v>
      </c>
      <c r="AE8257" s="145"/>
      <c r="AF8257" s="146"/>
      <c r="AG8257" s="146"/>
      <c r="AH8257" s="146"/>
      <c r="AI8257" s="147"/>
      <c r="AJ8257" s="148"/>
      <c r="AK8257" s="143"/>
      <c r="AL8257" s="144"/>
      <c r="AM8257" s="22"/>
      <c r="AN8257" s="149"/>
      <c r="AO8257" s="144"/>
      <c r="AP8257" s="148"/>
      <c r="AQ8257" s="144"/>
      <c r="AR8257" s="120"/>
      <c r="AS8257" s="121"/>
      <c r="AT8257" s="120"/>
      <c r="AU8257" s="121"/>
      <c r="AV8257" s="120"/>
      <c r="AW8257" s="121"/>
      <c r="AX8257" s="120"/>
      <c r="AY8257" s="121"/>
      <c r="AZ8257" s="138"/>
    </row>
    <row r="8258" spans="1:52" ht="17.100000000000001" customHeight="1" thickTop="1">
      <c r="A8258" s="109" t="s">
        <v>23411</v>
      </c>
      <c r="B8258" s="28">
        <v>46128</v>
      </c>
      <c r="C8258" s="25">
        <v>2023</v>
      </c>
      <c r="D8258" s="13" t="s">
        <v>1714</v>
      </c>
      <c r="E8258" s="111"/>
      <c r="F8258" s="113" t="s">
        <v>5435</v>
      </c>
      <c r="G8258" s="114"/>
      <c r="H8258" s="115"/>
      <c r="I8258" s="24" t="s">
        <v>6834</v>
      </c>
      <c r="J8258" s="116">
        <v>4.5</v>
      </c>
      <c r="K8258" s="118">
        <v>912000</v>
      </c>
      <c r="L8258" s="119"/>
      <c r="M8258" s="118">
        <f t="shared" ref="M8258" si="12415">K8258*0.1</f>
        <v>91200</v>
      </c>
      <c r="N8258" s="119"/>
      <c r="O8258" s="118">
        <v>0</v>
      </c>
      <c r="P8258" s="119"/>
      <c r="Q8258" s="118">
        <v>5340</v>
      </c>
      <c r="R8258" s="119"/>
      <c r="S8258" s="118">
        <v>22000</v>
      </c>
      <c r="T8258" s="119"/>
      <c r="U8258" s="118">
        <f t="shared" ref="U8258" si="12416">SUM(K8258:T8259)</f>
        <v>1030540</v>
      </c>
      <c r="V8258" s="122"/>
      <c r="W8258" s="124"/>
      <c r="X8258" s="126" t="s">
        <v>23429</v>
      </c>
      <c r="Y8258" s="127"/>
      <c r="Z8258" s="127"/>
      <c r="AA8258" s="127"/>
      <c r="AB8258" s="128"/>
      <c r="AC8258" s="15" t="s">
        <v>20</v>
      </c>
      <c r="AD8258" s="129" t="s">
        <v>23430</v>
      </c>
      <c r="AE8258" s="130"/>
      <c r="AF8258" s="130"/>
      <c r="AG8258" s="130"/>
      <c r="AH8258" s="130"/>
      <c r="AI8258" s="131"/>
      <c r="AJ8258" s="132"/>
      <c r="AK8258" s="127"/>
      <c r="AL8258" s="128"/>
      <c r="AM8258" s="21"/>
      <c r="AN8258" s="133">
        <v>46141</v>
      </c>
      <c r="AO8258" s="134"/>
      <c r="AP8258" s="135">
        <v>1015</v>
      </c>
      <c r="AQ8258" s="136"/>
      <c r="AR8258" s="118">
        <v>950000</v>
      </c>
      <c r="AS8258" s="119"/>
      <c r="AT8258" s="118">
        <f t="shared" ref="AT8258" si="12417">AR8258*0.1</f>
        <v>95000</v>
      </c>
      <c r="AU8258" s="119"/>
      <c r="AV8258" s="118">
        <v>5340</v>
      </c>
      <c r="AW8258" s="119"/>
      <c r="AX8258" s="118">
        <f t="shared" ref="AX8258" si="12418">SUM(AR8258:AW8258)</f>
        <v>1050340</v>
      </c>
      <c r="AY8258" s="119"/>
      <c r="AZ8258" s="137">
        <v>46153</v>
      </c>
    </row>
    <row r="8259" spans="1:52" ht="17.100000000000001" customHeight="1" thickBot="1">
      <c r="A8259" s="110"/>
      <c r="B8259" s="27" t="s">
        <v>2200</v>
      </c>
      <c r="C8259" s="27">
        <v>50218</v>
      </c>
      <c r="D8259" s="14" t="s">
        <v>1576</v>
      </c>
      <c r="E8259" s="112"/>
      <c r="F8259" s="139" t="s">
        <v>23419</v>
      </c>
      <c r="G8259" s="140"/>
      <c r="H8259" s="141"/>
      <c r="I8259" s="26">
        <v>37400</v>
      </c>
      <c r="J8259" s="117"/>
      <c r="K8259" s="120"/>
      <c r="L8259" s="121"/>
      <c r="M8259" s="120"/>
      <c r="N8259" s="121"/>
      <c r="O8259" s="120"/>
      <c r="P8259" s="121"/>
      <c r="Q8259" s="120"/>
      <c r="R8259" s="121"/>
      <c r="S8259" s="120"/>
      <c r="T8259" s="121"/>
      <c r="U8259" s="120"/>
      <c r="V8259" s="123"/>
      <c r="W8259" s="125"/>
      <c r="X8259" s="142" t="s">
        <v>24151</v>
      </c>
      <c r="Y8259" s="143"/>
      <c r="Z8259" s="143"/>
      <c r="AA8259" s="143"/>
      <c r="AB8259" s="144"/>
      <c r="AC8259" s="16" t="s">
        <v>21</v>
      </c>
      <c r="AD8259" s="17" t="s">
        <v>24114</v>
      </c>
      <c r="AE8259" s="145" t="s">
        <v>24138</v>
      </c>
      <c r="AF8259" s="146"/>
      <c r="AG8259" s="146"/>
      <c r="AH8259" s="146"/>
      <c r="AI8259" s="147"/>
      <c r="AJ8259" s="148"/>
      <c r="AK8259" s="143"/>
      <c r="AL8259" s="144"/>
      <c r="AM8259" s="22"/>
      <c r="AN8259" s="149" t="s">
        <v>2794</v>
      </c>
      <c r="AO8259" s="144"/>
      <c r="AP8259" s="148">
        <v>2051</v>
      </c>
      <c r="AQ8259" s="144"/>
      <c r="AR8259" s="120"/>
      <c r="AS8259" s="121"/>
      <c r="AT8259" s="120"/>
      <c r="AU8259" s="121"/>
      <c r="AV8259" s="120"/>
      <c r="AW8259" s="121"/>
      <c r="AX8259" s="120"/>
      <c r="AY8259" s="121"/>
      <c r="AZ8259" s="138"/>
    </row>
    <row r="8260" spans="1:52" ht="17.100000000000001" customHeight="1" thickTop="1">
      <c r="A8260" s="109" t="s">
        <v>23446</v>
      </c>
      <c r="B8260" s="28">
        <v>46113</v>
      </c>
      <c r="C8260" s="25"/>
      <c r="D8260" s="13" t="s">
        <v>3023</v>
      </c>
      <c r="E8260" s="111"/>
      <c r="F8260" s="113" t="s">
        <v>23450</v>
      </c>
      <c r="G8260" s="114"/>
      <c r="H8260" s="115"/>
      <c r="I8260" s="24" t="s">
        <v>3391</v>
      </c>
      <c r="J8260" s="116"/>
      <c r="K8260" s="118">
        <v>1918350</v>
      </c>
      <c r="L8260" s="119"/>
      <c r="M8260" s="118">
        <v>0</v>
      </c>
      <c r="N8260" s="119"/>
      <c r="O8260" s="118">
        <v>0</v>
      </c>
      <c r="P8260" s="119"/>
      <c r="Q8260" s="118">
        <v>0</v>
      </c>
      <c r="R8260" s="119"/>
      <c r="S8260" s="118">
        <v>0</v>
      </c>
      <c r="T8260" s="119"/>
      <c r="U8260" s="118">
        <f t="shared" ref="U8260" si="12419">SUM(K8260:T8261)</f>
        <v>1918350</v>
      </c>
      <c r="V8260" s="122"/>
      <c r="W8260" s="124"/>
      <c r="X8260" s="126" t="s">
        <v>23452</v>
      </c>
      <c r="Y8260" s="127"/>
      <c r="Z8260" s="127"/>
      <c r="AA8260" s="127"/>
      <c r="AB8260" s="128"/>
      <c r="AC8260" s="15" t="s">
        <v>20</v>
      </c>
      <c r="AD8260" s="129"/>
      <c r="AE8260" s="130"/>
      <c r="AF8260" s="130"/>
      <c r="AG8260" s="130"/>
      <c r="AH8260" s="130"/>
      <c r="AI8260" s="131"/>
      <c r="AJ8260" s="132"/>
      <c r="AK8260" s="127"/>
      <c r="AL8260" s="128"/>
      <c r="AM8260" s="21"/>
      <c r="AN8260" s="133">
        <v>46117</v>
      </c>
      <c r="AO8260" s="134"/>
      <c r="AP8260" s="135"/>
      <c r="AQ8260" s="136"/>
      <c r="AR8260" s="118">
        <v>2190000</v>
      </c>
      <c r="AS8260" s="119"/>
      <c r="AT8260" s="118">
        <v>0</v>
      </c>
      <c r="AU8260" s="119"/>
      <c r="AV8260" s="118">
        <v>0</v>
      </c>
      <c r="AW8260" s="119"/>
      <c r="AX8260" s="118">
        <f t="shared" ref="AX8260" si="12420">SUM(AR8260:AW8260)</f>
        <v>2190000</v>
      </c>
      <c r="AY8260" s="119"/>
      <c r="AZ8260" s="137">
        <v>46117</v>
      </c>
    </row>
    <row r="8261" spans="1:52" ht="17.100000000000001" customHeight="1" thickBot="1">
      <c r="A8261" s="110"/>
      <c r="B8261" s="27" t="s">
        <v>23449</v>
      </c>
      <c r="C8261" s="27"/>
      <c r="D8261" s="14" t="s">
        <v>2601</v>
      </c>
      <c r="E8261" s="112"/>
      <c r="F8261" s="139" t="s">
        <v>23451</v>
      </c>
      <c r="G8261" s="140"/>
      <c r="H8261" s="141"/>
      <c r="I8261" s="26"/>
      <c r="J8261" s="117"/>
      <c r="K8261" s="120"/>
      <c r="L8261" s="121"/>
      <c r="M8261" s="120"/>
      <c r="N8261" s="121"/>
      <c r="O8261" s="120"/>
      <c r="P8261" s="121"/>
      <c r="Q8261" s="120"/>
      <c r="R8261" s="121"/>
      <c r="S8261" s="120"/>
      <c r="T8261" s="121"/>
      <c r="U8261" s="120"/>
      <c r="V8261" s="123"/>
      <c r="W8261" s="125"/>
      <c r="X8261" s="142" t="s">
        <v>23453</v>
      </c>
      <c r="Y8261" s="143"/>
      <c r="Z8261" s="143"/>
      <c r="AA8261" s="143"/>
      <c r="AB8261" s="144"/>
      <c r="AC8261" s="16" t="s">
        <v>21</v>
      </c>
      <c r="AD8261" s="17" t="s">
        <v>1059</v>
      </c>
      <c r="AE8261" s="145"/>
      <c r="AF8261" s="146"/>
      <c r="AG8261" s="146"/>
      <c r="AH8261" s="146"/>
      <c r="AI8261" s="147"/>
      <c r="AJ8261" s="148"/>
      <c r="AK8261" s="143"/>
      <c r="AL8261" s="144"/>
      <c r="AM8261" s="22"/>
      <c r="AN8261" s="149" t="s">
        <v>23454</v>
      </c>
      <c r="AO8261" s="144"/>
      <c r="AP8261" s="148"/>
      <c r="AQ8261" s="144"/>
      <c r="AR8261" s="120"/>
      <c r="AS8261" s="121"/>
      <c r="AT8261" s="120"/>
      <c r="AU8261" s="121"/>
      <c r="AV8261" s="120"/>
      <c r="AW8261" s="121"/>
      <c r="AX8261" s="120"/>
      <c r="AY8261" s="121"/>
      <c r="AZ8261" s="138"/>
    </row>
    <row r="8262" spans="1:52" ht="17.100000000000001" customHeight="1" thickTop="1">
      <c r="A8262" s="109" t="s">
        <v>23447</v>
      </c>
      <c r="B8262" s="28">
        <v>46113</v>
      </c>
      <c r="C8262" s="25"/>
      <c r="D8262" s="13" t="s">
        <v>3023</v>
      </c>
      <c r="E8262" s="111"/>
      <c r="F8262" s="113" t="s">
        <v>5448</v>
      </c>
      <c r="G8262" s="114"/>
      <c r="H8262" s="115"/>
      <c r="I8262" s="24" t="s">
        <v>3391</v>
      </c>
      <c r="J8262" s="116"/>
      <c r="K8262" s="118">
        <v>1680910</v>
      </c>
      <c r="L8262" s="119"/>
      <c r="M8262" s="118">
        <v>0</v>
      </c>
      <c r="N8262" s="119"/>
      <c r="O8262" s="118">
        <v>0</v>
      </c>
      <c r="P8262" s="119"/>
      <c r="Q8262" s="118">
        <v>0</v>
      </c>
      <c r="R8262" s="119"/>
      <c r="S8262" s="118">
        <v>0</v>
      </c>
      <c r="T8262" s="119"/>
      <c r="U8262" s="118">
        <f t="shared" ref="U8262" si="12421">SUM(K8262:T8263)</f>
        <v>1680910</v>
      </c>
      <c r="V8262" s="122"/>
      <c r="W8262" s="124"/>
      <c r="X8262" s="126" t="s">
        <v>23457</v>
      </c>
      <c r="Y8262" s="127"/>
      <c r="Z8262" s="127"/>
      <c r="AA8262" s="127"/>
      <c r="AB8262" s="128"/>
      <c r="AC8262" s="15" t="s">
        <v>20</v>
      </c>
      <c r="AD8262" s="129"/>
      <c r="AE8262" s="130"/>
      <c r="AF8262" s="130"/>
      <c r="AG8262" s="130"/>
      <c r="AH8262" s="130"/>
      <c r="AI8262" s="131"/>
      <c r="AJ8262" s="132"/>
      <c r="AK8262" s="127"/>
      <c r="AL8262" s="128"/>
      <c r="AM8262" s="21"/>
      <c r="AN8262" s="133">
        <v>46118</v>
      </c>
      <c r="AO8262" s="134"/>
      <c r="AP8262" s="135"/>
      <c r="AQ8262" s="136"/>
      <c r="AR8262" s="118">
        <v>2150000</v>
      </c>
      <c r="AS8262" s="119"/>
      <c r="AT8262" s="118">
        <v>0</v>
      </c>
      <c r="AU8262" s="119"/>
      <c r="AV8262" s="118">
        <v>0</v>
      </c>
      <c r="AW8262" s="119"/>
      <c r="AX8262" s="118">
        <f t="shared" ref="AX8262" si="12422">SUM(AR8262:AW8262)</f>
        <v>2150000</v>
      </c>
      <c r="AY8262" s="119"/>
      <c r="AZ8262" s="137">
        <v>46118</v>
      </c>
    </row>
    <row r="8263" spans="1:52" ht="17.100000000000001" customHeight="1" thickBot="1">
      <c r="A8263" s="110"/>
      <c r="B8263" s="83" t="s">
        <v>23455</v>
      </c>
      <c r="C8263" s="27"/>
      <c r="D8263" s="14" t="s">
        <v>1556</v>
      </c>
      <c r="E8263" s="112"/>
      <c r="F8263" s="139" t="s">
        <v>23456</v>
      </c>
      <c r="G8263" s="140"/>
      <c r="H8263" s="141"/>
      <c r="I8263" s="26"/>
      <c r="J8263" s="117"/>
      <c r="K8263" s="120"/>
      <c r="L8263" s="121"/>
      <c r="M8263" s="120"/>
      <c r="N8263" s="121"/>
      <c r="O8263" s="120"/>
      <c r="P8263" s="121"/>
      <c r="Q8263" s="120"/>
      <c r="R8263" s="121"/>
      <c r="S8263" s="120"/>
      <c r="T8263" s="121"/>
      <c r="U8263" s="120"/>
      <c r="V8263" s="123"/>
      <c r="W8263" s="125"/>
      <c r="X8263" s="142" t="s">
        <v>23458</v>
      </c>
      <c r="Y8263" s="143"/>
      <c r="Z8263" s="143"/>
      <c r="AA8263" s="143"/>
      <c r="AB8263" s="144"/>
      <c r="AC8263" s="16" t="s">
        <v>21</v>
      </c>
      <c r="AD8263" s="17" t="s">
        <v>1059</v>
      </c>
      <c r="AE8263" s="145"/>
      <c r="AF8263" s="146"/>
      <c r="AG8263" s="146"/>
      <c r="AH8263" s="146"/>
      <c r="AI8263" s="147"/>
      <c r="AJ8263" s="148"/>
      <c r="AK8263" s="143"/>
      <c r="AL8263" s="144"/>
      <c r="AM8263" s="22"/>
      <c r="AN8263" s="149" t="s">
        <v>23458</v>
      </c>
      <c r="AO8263" s="144"/>
      <c r="AP8263" s="148"/>
      <c r="AQ8263" s="144"/>
      <c r="AR8263" s="120"/>
      <c r="AS8263" s="121"/>
      <c r="AT8263" s="120"/>
      <c r="AU8263" s="121"/>
      <c r="AV8263" s="120"/>
      <c r="AW8263" s="121"/>
      <c r="AX8263" s="120"/>
      <c r="AY8263" s="121"/>
      <c r="AZ8263" s="138"/>
    </row>
    <row r="8264" spans="1:52" ht="17.100000000000001" customHeight="1" thickTop="1">
      <c r="A8264" s="109" t="s">
        <v>23448</v>
      </c>
      <c r="B8264" s="28">
        <v>46113</v>
      </c>
      <c r="C8264" s="25"/>
      <c r="D8264" s="13" t="s">
        <v>900</v>
      </c>
      <c r="E8264" s="111"/>
      <c r="F8264" s="113" t="s">
        <v>1938</v>
      </c>
      <c r="G8264" s="114"/>
      <c r="H8264" s="115"/>
      <c r="I8264" s="24"/>
      <c r="J8264" s="116"/>
      <c r="K8264" s="118">
        <v>30000</v>
      </c>
      <c r="L8264" s="119"/>
      <c r="M8264" s="118">
        <v>0</v>
      </c>
      <c r="N8264" s="119"/>
      <c r="O8264" s="118">
        <v>0</v>
      </c>
      <c r="P8264" s="119"/>
      <c r="Q8264" s="118">
        <v>0</v>
      </c>
      <c r="R8264" s="119"/>
      <c r="S8264" s="118">
        <v>0</v>
      </c>
      <c r="T8264" s="119"/>
      <c r="U8264" s="118">
        <f t="shared" ref="U8264" si="12423">SUM(K8264:T8265)</f>
        <v>30000</v>
      </c>
      <c r="V8264" s="122"/>
      <c r="W8264" s="124"/>
      <c r="X8264" s="126" t="s">
        <v>23461</v>
      </c>
      <c r="Y8264" s="127"/>
      <c r="Z8264" s="127"/>
      <c r="AA8264" s="127"/>
      <c r="AB8264" s="128"/>
      <c r="AC8264" s="15" t="s">
        <v>20</v>
      </c>
      <c r="AD8264" s="129"/>
      <c r="AE8264" s="130"/>
      <c r="AF8264" s="130"/>
      <c r="AG8264" s="130"/>
      <c r="AH8264" s="130"/>
      <c r="AI8264" s="131"/>
      <c r="AJ8264" s="132"/>
      <c r="AK8264" s="127"/>
      <c r="AL8264" s="128"/>
      <c r="AM8264" s="21"/>
      <c r="AN8264" s="133"/>
      <c r="AO8264" s="134"/>
      <c r="AP8264" s="135"/>
      <c r="AQ8264" s="136"/>
      <c r="AR8264" s="118"/>
      <c r="AS8264" s="119"/>
      <c r="AT8264" s="118">
        <f t="shared" ref="AT8264" si="12424">AR8264*0.1</f>
        <v>0</v>
      </c>
      <c r="AU8264" s="119"/>
      <c r="AV8264" s="118"/>
      <c r="AW8264" s="119"/>
      <c r="AX8264" s="118">
        <f t="shared" ref="AX8264" si="12425">SUM(AR8264:AW8264)</f>
        <v>0</v>
      </c>
      <c r="AY8264" s="119"/>
      <c r="AZ8264" s="137"/>
    </row>
    <row r="8265" spans="1:52" ht="17.100000000000001" customHeight="1" thickBot="1">
      <c r="A8265" s="110"/>
      <c r="B8265" s="27" t="s">
        <v>23459</v>
      </c>
      <c r="C8265" s="27"/>
      <c r="D8265" s="14" t="s">
        <v>904</v>
      </c>
      <c r="E8265" s="112"/>
      <c r="F8265" s="139" t="s">
        <v>23460</v>
      </c>
      <c r="G8265" s="140"/>
      <c r="H8265" s="141"/>
      <c r="I8265" s="26"/>
      <c r="J8265" s="117"/>
      <c r="K8265" s="120"/>
      <c r="L8265" s="121"/>
      <c r="M8265" s="120"/>
      <c r="N8265" s="121"/>
      <c r="O8265" s="120"/>
      <c r="P8265" s="121"/>
      <c r="Q8265" s="120"/>
      <c r="R8265" s="121"/>
      <c r="S8265" s="120"/>
      <c r="T8265" s="121"/>
      <c r="U8265" s="120"/>
      <c r="V8265" s="123"/>
      <c r="W8265" s="125"/>
      <c r="X8265" s="142" t="s">
        <v>23462</v>
      </c>
      <c r="Y8265" s="143"/>
      <c r="Z8265" s="143"/>
      <c r="AA8265" s="143"/>
      <c r="AB8265" s="144"/>
      <c r="AC8265" s="16" t="s">
        <v>21</v>
      </c>
      <c r="AD8265" s="17" t="s">
        <v>1059</v>
      </c>
      <c r="AE8265" s="145" t="s">
        <v>3123</v>
      </c>
      <c r="AF8265" s="146"/>
      <c r="AG8265" s="146"/>
      <c r="AH8265" s="146"/>
      <c r="AI8265" s="147"/>
      <c r="AJ8265" s="148"/>
      <c r="AK8265" s="143"/>
      <c r="AL8265" s="144"/>
      <c r="AM8265" s="22" t="s">
        <v>3483</v>
      </c>
      <c r="AN8265" s="149"/>
      <c r="AO8265" s="144"/>
      <c r="AP8265" s="148"/>
      <c r="AQ8265" s="144"/>
      <c r="AR8265" s="120"/>
      <c r="AS8265" s="121"/>
      <c r="AT8265" s="120"/>
      <c r="AU8265" s="121"/>
      <c r="AV8265" s="120"/>
      <c r="AW8265" s="121"/>
      <c r="AX8265" s="120"/>
      <c r="AY8265" s="121"/>
      <c r="AZ8265" s="138"/>
    </row>
    <row r="8266" spans="1:52" ht="17.100000000000001" customHeight="1" thickTop="1">
      <c r="A8266" s="109" t="s">
        <v>23463</v>
      </c>
      <c r="B8266" s="28">
        <v>46128</v>
      </c>
      <c r="C8266" s="25"/>
      <c r="D8266" s="13" t="s">
        <v>1863</v>
      </c>
      <c r="E8266" s="111"/>
      <c r="F8266" s="113" t="s">
        <v>1938</v>
      </c>
      <c r="G8266" s="114"/>
      <c r="H8266" s="115"/>
      <c r="I8266" s="24"/>
      <c r="J8266" s="116"/>
      <c r="K8266" s="118">
        <v>0</v>
      </c>
      <c r="L8266" s="119"/>
      <c r="M8266" s="118">
        <v>0</v>
      </c>
      <c r="N8266" s="119"/>
      <c r="O8266" s="118">
        <v>0</v>
      </c>
      <c r="P8266" s="119"/>
      <c r="Q8266" s="118">
        <v>0</v>
      </c>
      <c r="R8266" s="119"/>
      <c r="S8266" s="118">
        <v>0</v>
      </c>
      <c r="T8266" s="119"/>
      <c r="U8266" s="118">
        <f t="shared" ref="U8266" si="12426">SUM(K8266:T8267)</f>
        <v>0</v>
      </c>
      <c r="V8266" s="122"/>
      <c r="W8266" s="124"/>
      <c r="X8266" s="126" t="s">
        <v>23466</v>
      </c>
      <c r="Y8266" s="127"/>
      <c r="Z8266" s="127"/>
      <c r="AA8266" s="127"/>
      <c r="AB8266" s="128"/>
      <c r="AC8266" s="15" t="s">
        <v>20</v>
      </c>
      <c r="AD8266" s="129"/>
      <c r="AE8266" s="130"/>
      <c r="AF8266" s="130"/>
      <c r="AG8266" s="130"/>
      <c r="AH8266" s="130"/>
      <c r="AI8266" s="131"/>
      <c r="AJ8266" s="132"/>
      <c r="AK8266" s="127"/>
      <c r="AL8266" s="128"/>
      <c r="AM8266" s="21"/>
      <c r="AN8266" s="133">
        <v>46134</v>
      </c>
      <c r="AO8266" s="134"/>
      <c r="AP8266" s="135">
        <v>1014</v>
      </c>
      <c r="AQ8266" s="136"/>
      <c r="AR8266" s="118">
        <v>314000</v>
      </c>
      <c r="AS8266" s="119"/>
      <c r="AT8266" s="118">
        <f t="shared" ref="AT8266" si="12427">AR8266*0.1</f>
        <v>31400</v>
      </c>
      <c r="AU8266" s="119"/>
      <c r="AV8266" s="118">
        <v>17700</v>
      </c>
      <c r="AW8266" s="119"/>
      <c r="AX8266" s="118">
        <f t="shared" ref="AX8266" si="12428">SUM(AR8266:AW8266)</f>
        <v>363100</v>
      </c>
      <c r="AY8266" s="119"/>
      <c r="AZ8266" s="137">
        <v>46139</v>
      </c>
    </row>
    <row r="8267" spans="1:52" ht="17.100000000000001" customHeight="1" thickBot="1">
      <c r="A8267" s="110"/>
      <c r="B8267" s="27" t="s">
        <v>23464</v>
      </c>
      <c r="C8267" s="27"/>
      <c r="D8267" s="14"/>
      <c r="E8267" s="112"/>
      <c r="F8267" s="139" t="s">
        <v>23465</v>
      </c>
      <c r="G8267" s="140"/>
      <c r="H8267" s="141"/>
      <c r="I8267" s="26"/>
      <c r="J8267" s="117"/>
      <c r="K8267" s="120"/>
      <c r="L8267" s="121"/>
      <c r="M8267" s="120"/>
      <c r="N8267" s="121"/>
      <c r="O8267" s="120"/>
      <c r="P8267" s="121"/>
      <c r="Q8267" s="120"/>
      <c r="R8267" s="121"/>
      <c r="S8267" s="120"/>
      <c r="T8267" s="121"/>
      <c r="U8267" s="120"/>
      <c r="V8267" s="123"/>
      <c r="W8267" s="125"/>
      <c r="X8267" s="142" t="s">
        <v>23467</v>
      </c>
      <c r="Y8267" s="143"/>
      <c r="Z8267" s="143"/>
      <c r="AA8267" s="143"/>
      <c r="AB8267" s="144"/>
      <c r="AC8267" s="16" t="s">
        <v>21</v>
      </c>
      <c r="AD8267" s="17" t="s">
        <v>1952</v>
      </c>
      <c r="AE8267" s="145"/>
      <c r="AF8267" s="146"/>
      <c r="AG8267" s="146"/>
      <c r="AH8267" s="146"/>
      <c r="AI8267" s="147"/>
      <c r="AJ8267" s="148"/>
      <c r="AK8267" s="143"/>
      <c r="AL8267" s="144"/>
      <c r="AM8267" s="22"/>
      <c r="AN8267" s="149" t="s">
        <v>23987</v>
      </c>
      <c r="AO8267" s="144"/>
      <c r="AP8267" s="148">
        <v>10153</v>
      </c>
      <c r="AQ8267" s="144"/>
      <c r="AR8267" s="120"/>
      <c r="AS8267" s="121"/>
      <c r="AT8267" s="120"/>
      <c r="AU8267" s="121"/>
      <c r="AV8267" s="120"/>
      <c r="AW8267" s="121"/>
      <c r="AX8267" s="120"/>
      <c r="AY8267" s="121"/>
      <c r="AZ8267" s="138"/>
    </row>
    <row r="8268" spans="1:52" ht="17.100000000000001" customHeight="1" thickTop="1">
      <c r="A8268" s="109" t="s">
        <v>23480</v>
      </c>
      <c r="B8268" s="28">
        <v>46129</v>
      </c>
      <c r="C8268" s="25">
        <v>287</v>
      </c>
      <c r="D8268" s="13" t="s">
        <v>23648</v>
      </c>
      <c r="E8268" s="111"/>
      <c r="F8268" s="113" t="s">
        <v>23649</v>
      </c>
      <c r="G8268" s="114"/>
      <c r="H8268" s="115"/>
      <c r="I8268" s="24"/>
      <c r="J8268" s="116">
        <v>4</v>
      </c>
      <c r="K8268" s="118">
        <v>292000</v>
      </c>
      <c r="L8268" s="119"/>
      <c r="M8268" s="118">
        <v>0</v>
      </c>
      <c r="N8268" s="119"/>
      <c r="O8268" s="118">
        <v>0</v>
      </c>
      <c r="P8268" s="119"/>
      <c r="Q8268" s="118">
        <v>9200</v>
      </c>
      <c r="R8268" s="119"/>
      <c r="S8268" s="118">
        <v>22000</v>
      </c>
      <c r="T8268" s="119"/>
      <c r="U8268" s="118">
        <f t="shared" ref="U8268" si="12429">SUM(K8268:T8269)</f>
        <v>323200</v>
      </c>
      <c r="V8268" s="122"/>
      <c r="W8268" s="124"/>
      <c r="X8268" s="126" t="s">
        <v>24141</v>
      </c>
      <c r="Y8268" s="127"/>
      <c r="Z8268" s="127"/>
      <c r="AA8268" s="127"/>
      <c r="AB8268" s="128"/>
      <c r="AC8268" s="15" t="s">
        <v>20</v>
      </c>
      <c r="AD8268" s="129" t="s">
        <v>23650</v>
      </c>
      <c r="AE8268" s="130"/>
      <c r="AF8268" s="130"/>
      <c r="AG8268" s="130"/>
      <c r="AH8268" s="130"/>
      <c r="AI8268" s="131"/>
      <c r="AJ8268" s="132" t="s">
        <v>23793</v>
      </c>
      <c r="AK8268" s="127"/>
      <c r="AL8268" s="128"/>
      <c r="AM8268" s="21"/>
      <c r="AN8268" s="133">
        <v>46134</v>
      </c>
      <c r="AO8268" s="134"/>
      <c r="AP8268" s="135">
        <v>1014</v>
      </c>
      <c r="AQ8268" s="136"/>
      <c r="AR8268" s="118">
        <v>400000</v>
      </c>
      <c r="AS8268" s="119"/>
      <c r="AT8268" s="118">
        <f t="shared" ref="AT8268" si="12430">AR8268*0.1</f>
        <v>40000</v>
      </c>
      <c r="AU8268" s="119"/>
      <c r="AV8268" s="118">
        <v>9200</v>
      </c>
      <c r="AW8268" s="119"/>
      <c r="AX8268" s="118">
        <f t="shared" ref="AX8268" si="12431">SUM(AR8268:AW8268)</f>
        <v>449200</v>
      </c>
      <c r="AY8268" s="119"/>
      <c r="AZ8268" s="137">
        <v>46142</v>
      </c>
    </row>
    <row r="8269" spans="1:52" ht="17.100000000000001" customHeight="1" thickBot="1">
      <c r="A8269" s="110"/>
      <c r="B8269" s="27" t="s">
        <v>23492</v>
      </c>
      <c r="C8269" s="27">
        <v>50</v>
      </c>
      <c r="D8269" s="14" t="s">
        <v>23618</v>
      </c>
      <c r="E8269" s="112"/>
      <c r="F8269" s="139" t="s">
        <v>23493</v>
      </c>
      <c r="G8269" s="140"/>
      <c r="H8269" s="141"/>
      <c r="I8269" s="26">
        <v>43926</v>
      </c>
      <c r="J8269" s="117"/>
      <c r="K8269" s="120"/>
      <c r="L8269" s="121"/>
      <c r="M8269" s="120"/>
      <c r="N8269" s="121"/>
      <c r="O8269" s="120"/>
      <c r="P8269" s="121"/>
      <c r="Q8269" s="120"/>
      <c r="R8269" s="121"/>
      <c r="S8269" s="120"/>
      <c r="T8269" s="121"/>
      <c r="U8269" s="120"/>
      <c r="V8269" s="123"/>
      <c r="W8269" s="125"/>
      <c r="X8269" s="142" t="s">
        <v>24142</v>
      </c>
      <c r="Y8269" s="143"/>
      <c r="Z8269" s="143"/>
      <c r="AA8269" s="143"/>
      <c r="AB8269" s="144"/>
      <c r="AC8269" s="16" t="s">
        <v>21</v>
      </c>
      <c r="AD8269" s="17" t="s">
        <v>24114</v>
      </c>
      <c r="AE8269" s="145" t="s">
        <v>24143</v>
      </c>
      <c r="AF8269" s="146"/>
      <c r="AG8269" s="146"/>
      <c r="AH8269" s="146"/>
      <c r="AI8269" s="147"/>
      <c r="AJ8269" s="148"/>
      <c r="AK8269" s="143"/>
      <c r="AL8269" s="144"/>
      <c r="AM8269" s="22"/>
      <c r="AN8269" s="149" t="s">
        <v>7285</v>
      </c>
      <c r="AO8269" s="144"/>
      <c r="AP8269" s="148">
        <v>5128</v>
      </c>
      <c r="AQ8269" s="144"/>
      <c r="AR8269" s="120"/>
      <c r="AS8269" s="121"/>
      <c r="AT8269" s="120"/>
      <c r="AU8269" s="121"/>
      <c r="AV8269" s="120"/>
      <c r="AW8269" s="121"/>
      <c r="AX8269" s="120"/>
      <c r="AY8269" s="121"/>
      <c r="AZ8269" s="138"/>
    </row>
    <row r="8270" spans="1:52" ht="17.100000000000001" customHeight="1" thickTop="1">
      <c r="A8270" s="109" t="s">
        <v>23481</v>
      </c>
      <c r="B8270" s="28">
        <v>46129</v>
      </c>
      <c r="C8270" s="25">
        <v>287</v>
      </c>
      <c r="D8270" s="13" t="s">
        <v>23651</v>
      </c>
      <c r="E8270" s="111"/>
      <c r="F8270" s="113" t="s">
        <v>23652</v>
      </c>
      <c r="G8270" s="114"/>
      <c r="H8270" s="115"/>
      <c r="I8270" s="24"/>
      <c r="J8270" s="116">
        <v>4.5</v>
      </c>
      <c r="K8270" s="118">
        <v>222000</v>
      </c>
      <c r="L8270" s="119"/>
      <c r="M8270" s="118">
        <f t="shared" ref="M8270" si="12432">K8270*0.1</f>
        <v>22200</v>
      </c>
      <c r="N8270" s="119"/>
      <c r="O8270" s="118">
        <v>0</v>
      </c>
      <c r="P8270" s="119"/>
      <c r="Q8270" s="118">
        <v>9880</v>
      </c>
      <c r="R8270" s="119"/>
      <c r="S8270" s="118">
        <v>22000</v>
      </c>
      <c r="T8270" s="119"/>
      <c r="U8270" s="118">
        <f t="shared" ref="U8270" si="12433">SUM(K8270:T8271)</f>
        <v>276080</v>
      </c>
      <c r="V8270" s="122"/>
      <c r="W8270" s="124"/>
      <c r="X8270" s="126" t="s">
        <v>24196</v>
      </c>
      <c r="Y8270" s="127"/>
      <c r="Z8270" s="127"/>
      <c r="AA8270" s="127"/>
      <c r="AB8270" s="128"/>
      <c r="AC8270" s="15" t="s">
        <v>20</v>
      </c>
      <c r="AD8270" s="129" t="s">
        <v>19392</v>
      </c>
      <c r="AE8270" s="130"/>
      <c r="AF8270" s="130"/>
      <c r="AG8270" s="130"/>
      <c r="AH8270" s="130"/>
      <c r="AI8270" s="131"/>
      <c r="AJ8270" s="132"/>
      <c r="AK8270" s="127"/>
      <c r="AL8270" s="128"/>
      <c r="AM8270" s="21"/>
      <c r="AN8270" s="133">
        <v>46141</v>
      </c>
      <c r="AO8270" s="134"/>
      <c r="AP8270" s="135">
        <v>1015</v>
      </c>
      <c r="AQ8270" s="136"/>
      <c r="AR8270" s="118">
        <v>280000</v>
      </c>
      <c r="AS8270" s="119"/>
      <c r="AT8270" s="118">
        <f t="shared" ref="AT8270" si="12434">AR8270*0.1</f>
        <v>28000</v>
      </c>
      <c r="AU8270" s="119"/>
      <c r="AV8270" s="118">
        <v>9880</v>
      </c>
      <c r="AW8270" s="119"/>
      <c r="AX8270" s="118">
        <f t="shared" ref="AX8270" si="12435">SUM(AR8270:AW8270)</f>
        <v>317880</v>
      </c>
      <c r="AY8270" s="119"/>
      <c r="AZ8270" s="137">
        <v>46153</v>
      </c>
    </row>
    <row r="8271" spans="1:52" ht="17.100000000000001" customHeight="1" thickBot="1">
      <c r="A8271" s="110"/>
      <c r="B8271" s="27" t="s">
        <v>23492</v>
      </c>
      <c r="C8271" s="27">
        <v>82</v>
      </c>
      <c r="D8271" s="14" t="s">
        <v>2601</v>
      </c>
      <c r="E8271" s="112"/>
      <c r="F8271" s="139" t="s">
        <v>23494</v>
      </c>
      <c r="G8271" s="140"/>
      <c r="H8271" s="141"/>
      <c r="I8271" s="26">
        <v>41971</v>
      </c>
      <c r="J8271" s="117"/>
      <c r="K8271" s="120"/>
      <c r="L8271" s="121"/>
      <c r="M8271" s="120"/>
      <c r="N8271" s="121"/>
      <c r="O8271" s="120"/>
      <c r="P8271" s="121"/>
      <c r="Q8271" s="120"/>
      <c r="R8271" s="121"/>
      <c r="S8271" s="120"/>
      <c r="T8271" s="121"/>
      <c r="U8271" s="120"/>
      <c r="V8271" s="123"/>
      <c r="W8271" s="125"/>
      <c r="X8271" s="142" t="s">
        <v>24197</v>
      </c>
      <c r="Y8271" s="143"/>
      <c r="Z8271" s="143"/>
      <c r="AA8271" s="143"/>
      <c r="AB8271" s="144"/>
      <c r="AC8271" s="16" t="s">
        <v>21</v>
      </c>
      <c r="AD8271" s="17" t="s">
        <v>24135</v>
      </c>
      <c r="AE8271" s="145" t="s">
        <v>24198</v>
      </c>
      <c r="AF8271" s="146"/>
      <c r="AG8271" s="146"/>
      <c r="AH8271" s="146"/>
      <c r="AI8271" s="147"/>
      <c r="AJ8271" s="148"/>
      <c r="AK8271" s="143"/>
      <c r="AL8271" s="144"/>
      <c r="AM8271" s="22"/>
      <c r="AN8271" s="149" t="s">
        <v>2794</v>
      </c>
      <c r="AO8271" s="144"/>
      <c r="AP8271" s="148">
        <v>2069</v>
      </c>
      <c r="AQ8271" s="144"/>
      <c r="AR8271" s="120"/>
      <c r="AS8271" s="121"/>
      <c r="AT8271" s="120"/>
      <c r="AU8271" s="121"/>
      <c r="AV8271" s="120"/>
      <c r="AW8271" s="121"/>
      <c r="AX8271" s="120"/>
      <c r="AY8271" s="121"/>
      <c r="AZ8271" s="138"/>
    </row>
    <row r="8272" spans="1:52" ht="17.100000000000001" customHeight="1" thickTop="1">
      <c r="A8272" s="109" t="s">
        <v>23482</v>
      </c>
      <c r="B8272" s="28">
        <v>46129</v>
      </c>
      <c r="C8272" s="25">
        <v>287</v>
      </c>
      <c r="D8272" s="13" t="s">
        <v>23653</v>
      </c>
      <c r="E8272" s="111"/>
      <c r="F8272" s="113" t="s">
        <v>23655</v>
      </c>
      <c r="G8272" s="114"/>
      <c r="H8272" s="115"/>
      <c r="I8272" s="24"/>
      <c r="J8272" s="116">
        <v>3.5</v>
      </c>
      <c r="K8272" s="118">
        <v>102000</v>
      </c>
      <c r="L8272" s="119"/>
      <c r="M8272" s="118">
        <f t="shared" ref="M8272" si="12436">K8272*0.1</f>
        <v>10200</v>
      </c>
      <c r="N8272" s="119"/>
      <c r="O8272" s="118">
        <v>0</v>
      </c>
      <c r="P8272" s="119"/>
      <c r="Q8272" s="118">
        <v>8930</v>
      </c>
      <c r="R8272" s="119"/>
      <c r="S8272" s="118">
        <v>22000</v>
      </c>
      <c r="T8272" s="119"/>
      <c r="U8272" s="118">
        <f t="shared" ref="U8272" si="12437">SUM(K8272:T8273)</f>
        <v>143130</v>
      </c>
      <c r="V8272" s="122"/>
      <c r="W8272" s="124"/>
      <c r="X8272" s="126" t="s">
        <v>24201</v>
      </c>
      <c r="Y8272" s="127"/>
      <c r="Z8272" s="127"/>
      <c r="AA8272" s="127"/>
      <c r="AB8272" s="128"/>
      <c r="AC8272" s="15" t="s">
        <v>20</v>
      </c>
      <c r="AD8272" s="129"/>
      <c r="AE8272" s="130"/>
      <c r="AF8272" s="130"/>
      <c r="AG8272" s="130"/>
      <c r="AH8272" s="130"/>
      <c r="AI8272" s="131"/>
      <c r="AJ8272" s="132"/>
      <c r="AK8272" s="127"/>
      <c r="AL8272" s="128"/>
      <c r="AM8272" s="21"/>
      <c r="AN8272" s="133"/>
      <c r="AO8272" s="134"/>
      <c r="AP8272" s="135"/>
      <c r="AQ8272" s="136"/>
      <c r="AR8272" s="118"/>
      <c r="AS8272" s="119"/>
      <c r="AT8272" s="118">
        <f t="shared" ref="AT8272" si="12438">AR8272*0.1</f>
        <v>0</v>
      </c>
      <c r="AU8272" s="119"/>
      <c r="AV8272" s="118"/>
      <c r="AW8272" s="119"/>
      <c r="AX8272" s="118">
        <f t="shared" ref="AX8272" si="12439">SUM(AR8272:AW8272)</f>
        <v>0</v>
      </c>
      <c r="AY8272" s="119"/>
      <c r="AZ8272" s="137"/>
    </row>
    <row r="8273" spans="1:52" ht="17.100000000000001" customHeight="1" thickBot="1">
      <c r="A8273" s="110"/>
      <c r="B8273" s="27" t="s">
        <v>23492</v>
      </c>
      <c r="C8273" s="27">
        <v>20013</v>
      </c>
      <c r="D8273" s="14" t="s">
        <v>23654</v>
      </c>
      <c r="E8273" s="112"/>
      <c r="F8273" s="139" t="s">
        <v>23495</v>
      </c>
      <c r="G8273" s="140"/>
      <c r="H8273" s="141"/>
      <c r="I8273" s="26">
        <v>35197</v>
      </c>
      <c r="J8273" s="117"/>
      <c r="K8273" s="120"/>
      <c r="L8273" s="121"/>
      <c r="M8273" s="120"/>
      <c r="N8273" s="121"/>
      <c r="O8273" s="120"/>
      <c r="P8273" s="121"/>
      <c r="Q8273" s="120"/>
      <c r="R8273" s="121"/>
      <c r="S8273" s="120"/>
      <c r="T8273" s="121"/>
      <c r="U8273" s="120"/>
      <c r="V8273" s="123"/>
      <c r="W8273" s="125"/>
      <c r="X8273" s="142" t="s">
        <v>24155</v>
      </c>
      <c r="Y8273" s="143"/>
      <c r="Z8273" s="143"/>
      <c r="AA8273" s="143"/>
      <c r="AB8273" s="144"/>
      <c r="AC8273" s="16" t="s">
        <v>21</v>
      </c>
      <c r="AD8273" s="17" t="s">
        <v>24135</v>
      </c>
      <c r="AE8273" s="145"/>
      <c r="AF8273" s="146"/>
      <c r="AG8273" s="146"/>
      <c r="AH8273" s="146"/>
      <c r="AI8273" s="147"/>
      <c r="AJ8273" s="148"/>
      <c r="AK8273" s="143"/>
      <c r="AL8273" s="144"/>
      <c r="AM8273" s="22"/>
      <c r="AN8273" s="149"/>
      <c r="AO8273" s="144"/>
      <c r="AP8273" s="148"/>
      <c r="AQ8273" s="144"/>
      <c r="AR8273" s="120"/>
      <c r="AS8273" s="121"/>
      <c r="AT8273" s="120"/>
      <c r="AU8273" s="121"/>
      <c r="AV8273" s="120"/>
      <c r="AW8273" s="121"/>
      <c r="AX8273" s="120"/>
      <c r="AY8273" s="121"/>
      <c r="AZ8273" s="138"/>
    </row>
    <row r="8274" spans="1:52" ht="17.100000000000001" customHeight="1" thickTop="1">
      <c r="A8274" s="109" t="s">
        <v>23483</v>
      </c>
      <c r="B8274" s="28">
        <v>46129</v>
      </c>
      <c r="C8274" s="25">
        <v>287</v>
      </c>
      <c r="D8274" s="13" t="s">
        <v>23656</v>
      </c>
      <c r="E8274" s="111"/>
      <c r="F8274" s="113" t="s">
        <v>23658</v>
      </c>
      <c r="G8274" s="114"/>
      <c r="H8274" s="115"/>
      <c r="I8274" s="24"/>
      <c r="J8274" s="116">
        <v>4.5</v>
      </c>
      <c r="K8274" s="118">
        <v>1273000</v>
      </c>
      <c r="L8274" s="119"/>
      <c r="M8274" s="118">
        <f t="shared" ref="M8274" si="12440">K8274*0.1</f>
        <v>127300</v>
      </c>
      <c r="N8274" s="119"/>
      <c r="O8274" s="118">
        <v>0</v>
      </c>
      <c r="P8274" s="119"/>
      <c r="Q8274" s="118">
        <v>10830</v>
      </c>
      <c r="R8274" s="119"/>
      <c r="S8274" s="118">
        <v>22000</v>
      </c>
      <c r="T8274" s="119"/>
      <c r="U8274" s="118">
        <f t="shared" ref="U8274" si="12441">SUM(K8274:T8275)</f>
        <v>1433130</v>
      </c>
      <c r="V8274" s="122"/>
      <c r="W8274" s="124"/>
      <c r="X8274" s="126" t="s">
        <v>24154</v>
      </c>
      <c r="Y8274" s="127"/>
      <c r="Z8274" s="127"/>
      <c r="AA8274" s="127"/>
      <c r="AB8274" s="128"/>
      <c r="AC8274" s="15" t="s">
        <v>20</v>
      </c>
      <c r="AD8274" s="129" t="s">
        <v>23659</v>
      </c>
      <c r="AE8274" s="130"/>
      <c r="AF8274" s="130"/>
      <c r="AG8274" s="130"/>
      <c r="AH8274" s="130"/>
      <c r="AI8274" s="131"/>
      <c r="AJ8274" s="132"/>
      <c r="AK8274" s="127"/>
      <c r="AL8274" s="128"/>
      <c r="AM8274" s="21"/>
      <c r="AN8274" s="133"/>
      <c r="AO8274" s="134"/>
      <c r="AP8274" s="135"/>
      <c r="AQ8274" s="136"/>
      <c r="AR8274" s="118"/>
      <c r="AS8274" s="119"/>
      <c r="AT8274" s="118">
        <f t="shared" ref="AT8274" si="12442">AR8274*0.1</f>
        <v>0</v>
      </c>
      <c r="AU8274" s="119"/>
      <c r="AV8274" s="118"/>
      <c r="AW8274" s="119"/>
      <c r="AX8274" s="118">
        <f t="shared" ref="AX8274" si="12443">SUM(AR8274:AW8274)</f>
        <v>0</v>
      </c>
      <c r="AY8274" s="119"/>
      <c r="AZ8274" s="137"/>
    </row>
    <row r="8275" spans="1:52" ht="17.100000000000001" customHeight="1" thickBot="1">
      <c r="A8275" s="110"/>
      <c r="B8275" s="27" t="s">
        <v>23492</v>
      </c>
      <c r="C8275" s="27">
        <v>20038</v>
      </c>
      <c r="D8275" s="14" t="s">
        <v>23657</v>
      </c>
      <c r="E8275" s="112"/>
      <c r="F8275" s="139" t="s">
        <v>23496</v>
      </c>
      <c r="G8275" s="140"/>
      <c r="H8275" s="141"/>
      <c r="I8275" s="26">
        <v>30554</v>
      </c>
      <c r="J8275" s="117"/>
      <c r="K8275" s="120"/>
      <c r="L8275" s="121"/>
      <c r="M8275" s="120"/>
      <c r="N8275" s="121"/>
      <c r="O8275" s="120"/>
      <c r="P8275" s="121"/>
      <c r="Q8275" s="120"/>
      <c r="R8275" s="121"/>
      <c r="S8275" s="120"/>
      <c r="T8275" s="121"/>
      <c r="U8275" s="120"/>
      <c r="V8275" s="123"/>
      <c r="W8275" s="125"/>
      <c r="X8275" s="142" t="s">
        <v>24155</v>
      </c>
      <c r="Y8275" s="143"/>
      <c r="Z8275" s="143"/>
      <c r="AA8275" s="143"/>
      <c r="AB8275" s="144"/>
      <c r="AC8275" s="16" t="s">
        <v>21</v>
      </c>
      <c r="AD8275" s="17" t="s">
        <v>24114</v>
      </c>
      <c r="AE8275" s="145" t="s">
        <v>24156</v>
      </c>
      <c r="AF8275" s="146"/>
      <c r="AG8275" s="146"/>
      <c r="AH8275" s="146"/>
      <c r="AI8275" s="147"/>
      <c r="AJ8275" s="148"/>
      <c r="AK8275" s="143"/>
      <c r="AL8275" s="144"/>
      <c r="AM8275" s="22"/>
      <c r="AN8275" s="149"/>
      <c r="AO8275" s="144"/>
      <c r="AP8275" s="148"/>
      <c r="AQ8275" s="144"/>
      <c r="AR8275" s="120"/>
      <c r="AS8275" s="121"/>
      <c r="AT8275" s="120"/>
      <c r="AU8275" s="121"/>
      <c r="AV8275" s="120"/>
      <c r="AW8275" s="121"/>
      <c r="AX8275" s="120"/>
      <c r="AY8275" s="121"/>
      <c r="AZ8275" s="138"/>
    </row>
    <row r="8276" spans="1:52" ht="17.100000000000001" customHeight="1" thickTop="1">
      <c r="A8276" s="109" t="s">
        <v>23484</v>
      </c>
      <c r="B8276" s="28">
        <v>46129</v>
      </c>
      <c r="C8276" s="25">
        <v>287</v>
      </c>
      <c r="D8276" s="13" t="s">
        <v>23660</v>
      </c>
      <c r="E8276" s="111"/>
      <c r="F8276" s="113" t="s">
        <v>23662</v>
      </c>
      <c r="G8276" s="114"/>
      <c r="H8276" s="115"/>
      <c r="I8276" s="24"/>
      <c r="J8276" s="116">
        <v>4</v>
      </c>
      <c r="K8276" s="118">
        <v>225000</v>
      </c>
      <c r="L8276" s="119"/>
      <c r="M8276" s="118">
        <f t="shared" ref="M8276" si="12444">K8276*0.1</f>
        <v>22500</v>
      </c>
      <c r="N8276" s="119"/>
      <c r="O8276" s="118">
        <v>0</v>
      </c>
      <c r="P8276" s="119"/>
      <c r="Q8276" s="118">
        <v>7500</v>
      </c>
      <c r="R8276" s="119"/>
      <c r="S8276" s="118">
        <v>22000</v>
      </c>
      <c r="T8276" s="119"/>
      <c r="U8276" s="118">
        <f t="shared" ref="U8276" si="12445">SUM(K8276:T8277)</f>
        <v>277000</v>
      </c>
      <c r="V8276" s="122"/>
      <c r="W8276" s="124"/>
      <c r="X8276" s="126" t="s">
        <v>24185</v>
      </c>
      <c r="Y8276" s="127"/>
      <c r="Z8276" s="127"/>
      <c r="AA8276" s="127"/>
      <c r="AB8276" s="128"/>
      <c r="AC8276" s="15" t="s">
        <v>20</v>
      </c>
      <c r="AD8276" s="129"/>
      <c r="AE8276" s="130"/>
      <c r="AF8276" s="130"/>
      <c r="AG8276" s="130"/>
      <c r="AH8276" s="130"/>
      <c r="AI8276" s="131"/>
      <c r="AJ8276" s="132"/>
      <c r="AK8276" s="127"/>
      <c r="AL8276" s="128"/>
      <c r="AM8276" s="21"/>
      <c r="AN8276" s="133">
        <v>46134</v>
      </c>
      <c r="AO8276" s="134"/>
      <c r="AP8276" s="135">
        <v>1014</v>
      </c>
      <c r="AQ8276" s="136"/>
      <c r="AR8276" s="118">
        <v>305000</v>
      </c>
      <c r="AS8276" s="119"/>
      <c r="AT8276" s="118">
        <f t="shared" ref="AT8276" si="12446">AR8276*0.1</f>
        <v>30500</v>
      </c>
      <c r="AU8276" s="119"/>
      <c r="AV8276" s="118">
        <v>7500</v>
      </c>
      <c r="AW8276" s="119"/>
      <c r="AX8276" s="118">
        <f t="shared" ref="AX8276" si="12447">SUM(AR8276:AW8276)</f>
        <v>343000</v>
      </c>
      <c r="AY8276" s="119"/>
      <c r="AZ8276" s="137">
        <v>46139</v>
      </c>
    </row>
    <row r="8277" spans="1:52" ht="17.100000000000001" customHeight="1" thickBot="1">
      <c r="A8277" s="110"/>
      <c r="B8277" s="27" t="s">
        <v>23492</v>
      </c>
      <c r="C8277" s="27">
        <v>20060</v>
      </c>
      <c r="D8277" s="14" t="s">
        <v>23661</v>
      </c>
      <c r="E8277" s="112"/>
      <c r="F8277" s="139" t="s">
        <v>23497</v>
      </c>
      <c r="G8277" s="140"/>
      <c r="H8277" s="141"/>
      <c r="I8277" s="26">
        <v>32082</v>
      </c>
      <c r="J8277" s="117"/>
      <c r="K8277" s="120"/>
      <c r="L8277" s="121"/>
      <c r="M8277" s="120"/>
      <c r="N8277" s="121"/>
      <c r="O8277" s="120"/>
      <c r="P8277" s="121"/>
      <c r="Q8277" s="120"/>
      <c r="R8277" s="121"/>
      <c r="S8277" s="120"/>
      <c r="T8277" s="121"/>
      <c r="U8277" s="120"/>
      <c r="V8277" s="123"/>
      <c r="W8277" s="125"/>
      <c r="X8277" s="142" t="s">
        <v>24186</v>
      </c>
      <c r="Y8277" s="143"/>
      <c r="Z8277" s="143"/>
      <c r="AA8277" s="143"/>
      <c r="AB8277" s="144"/>
      <c r="AC8277" s="16" t="s">
        <v>21</v>
      </c>
      <c r="AD8277" s="17" t="s">
        <v>24135</v>
      </c>
      <c r="AE8277" s="145"/>
      <c r="AF8277" s="146"/>
      <c r="AG8277" s="146"/>
      <c r="AH8277" s="146"/>
      <c r="AI8277" s="147"/>
      <c r="AJ8277" s="148"/>
      <c r="AK8277" s="143"/>
      <c r="AL8277" s="144"/>
      <c r="AM8277" s="22"/>
      <c r="AN8277" s="149" t="s">
        <v>23987</v>
      </c>
      <c r="AO8277" s="144"/>
      <c r="AP8277" s="148">
        <v>5129</v>
      </c>
      <c r="AQ8277" s="144"/>
      <c r="AR8277" s="120"/>
      <c r="AS8277" s="121"/>
      <c r="AT8277" s="120"/>
      <c r="AU8277" s="121"/>
      <c r="AV8277" s="120"/>
      <c r="AW8277" s="121"/>
      <c r="AX8277" s="120"/>
      <c r="AY8277" s="121"/>
      <c r="AZ8277" s="138"/>
    </row>
    <row r="8278" spans="1:52" ht="17.100000000000001" customHeight="1" thickTop="1">
      <c r="A8278" s="109" t="s">
        <v>23485</v>
      </c>
      <c r="B8278" s="28">
        <v>46129</v>
      </c>
      <c r="C8278" s="25">
        <v>287</v>
      </c>
      <c r="D8278" s="13" t="s">
        <v>23663</v>
      </c>
      <c r="E8278" s="111"/>
      <c r="F8278" s="113" t="s">
        <v>23664</v>
      </c>
      <c r="G8278" s="114"/>
      <c r="H8278" s="115"/>
      <c r="I8278" s="24"/>
      <c r="J8278" s="116">
        <v>4.5</v>
      </c>
      <c r="K8278" s="118">
        <v>1564000</v>
      </c>
      <c r="L8278" s="119"/>
      <c r="M8278" s="118">
        <f t="shared" ref="M8278" si="12448">K8278*0.1</f>
        <v>156400</v>
      </c>
      <c r="N8278" s="119"/>
      <c r="O8278" s="118">
        <v>0</v>
      </c>
      <c r="P8278" s="119"/>
      <c r="Q8278" s="118">
        <v>9160</v>
      </c>
      <c r="R8278" s="119"/>
      <c r="S8278" s="118">
        <v>22000</v>
      </c>
      <c r="T8278" s="119"/>
      <c r="U8278" s="118">
        <f t="shared" ref="U8278" si="12449">SUM(K8278:T8279)</f>
        <v>1751560</v>
      </c>
      <c r="V8278" s="122"/>
      <c r="W8278" s="124"/>
      <c r="X8278" s="126" t="s">
        <v>24203</v>
      </c>
      <c r="Y8278" s="127"/>
      <c r="Z8278" s="127"/>
      <c r="AA8278" s="127"/>
      <c r="AB8278" s="128"/>
      <c r="AC8278" s="15" t="s">
        <v>20</v>
      </c>
      <c r="AD8278" s="129"/>
      <c r="AE8278" s="130"/>
      <c r="AF8278" s="130"/>
      <c r="AG8278" s="130"/>
      <c r="AH8278" s="130"/>
      <c r="AI8278" s="131"/>
      <c r="AJ8278" s="132"/>
      <c r="AK8278" s="127"/>
      <c r="AL8278" s="128"/>
      <c r="AM8278" s="21"/>
      <c r="AN8278" s="133">
        <v>46134</v>
      </c>
      <c r="AO8278" s="134"/>
      <c r="AP8278" s="135">
        <v>1014</v>
      </c>
      <c r="AQ8278" s="136"/>
      <c r="AR8278" s="118">
        <v>1670000</v>
      </c>
      <c r="AS8278" s="119"/>
      <c r="AT8278" s="118">
        <f t="shared" ref="AT8278" si="12450">AR8278*0.1</f>
        <v>167000</v>
      </c>
      <c r="AU8278" s="119"/>
      <c r="AV8278" s="118">
        <v>9160</v>
      </c>
      <c r="AW8278" s="119"/>
      <c r="AX8278" s="118">
        <f t="shared" ref="AX8278" si="12451">SUM(AR8278:AW8278)</f>
        <v>1846160</v>
      </c>
      <c r="AY8278" s="119"/>
      <c r="AZ8278" s="137">
        <v>46140</v>
      </c>
    </row>
    <row r="8279" spans="1:52" ht="17.100000000000001" customHeight="1" thickBot="1">
      <c r="A8279" s="110"/>
      <c r="B8279" s="27" t="s">
        <v>23492</v>
      </c>
      <c r="C8279" s="27">
        <v>20117</v>
      </c>
      <c r="D8279" s="14" t="s">
        <v>23600</v>
      </c>
      <c r="E8279" s="112"/>
      <c r="F8279" s="139" t="s">
        <v>24202</v>
      </c>
      <c r="G8279" s="140"/>
      <c r="H8279" s="141"/>
      <c r="I8279" s="26">
        <v>32854</v>
      </c>
      <c r="J8279" s="117"/>
      <c r="K8279" s="120"/>
      <c r="L8279" s="121"/>
      <c r="M8279" s="120"/>
      <c r="N8279" s="121"/>
      <c r="O8279" s="120"/>
      <c r="P8279" s="121"/>
      <c r="Q8279" s="120"/>
      <c r="R8279" s="121"/>
      <c r="S8279" s="120"/>
      <c r="T8279" s="121"/>
      <c r="U8279" s="120"/>
      <c r="V8279" s="123"/>
      <c r="W8279" s="125"/>
      <c r="X8279" s="142" t="s">
        <v>24186</v>
      </c>
      <c r="Y8279" s="143"/>
      <c r="Z8279" s="143"/>
      <c r="AA8279" s="143"/>
      <c r="AB8279" s="144"/>
      <c r="AC8279" s="16" t="s">
        <v>21</v>
      </c>
      <c r="AD8279" s="17" t="s">
        <v>24135</v>
      </c>
      <c r="AE8279" s="145"/>
      <c r="AF8279" s="146"/>
      <c r="AG8279" s="146"/>
      <c r="AH8279" s="146"/>
      <c r="AI8279" s="147"/>
      <c r="AJ8279" s="148"/>
      <c r="AK8279" s="143"/>
      <c r="AL8279" s="144"/>
      <c r="AM8279" s="22"/>
      <c r="AN8279" s="149" t="s">
        <v>8809</v>
      </c>
      <c r="AO8279" s="144"/>
      <c r="AP8279" s="148">
        <v>5085</v>
      </c>
      <c r="AQ8279" s="144"/>
      <c r="AR8279" s="120"/>
      <c r="AS8279" s="121"/>
      <c r="AT8279" s="120"/>
      <c r="AU8279" s="121"/>
      <c r="AV8279" s="120"/>
      <c r="AW8279" s="121"/>
      <c r="AX8279" s="120"/>
      <c r="AY8279" s="121"/>
      <c r="AZ8279" s="138"/>
    </row>
    <row r="8280" spans="1:52" ht="17.100000000000001" customHeight="1" thickTop="1">
      <c r="A8280" s="109" t="s">
        <v>23486</v>
      </c>
      <c r="B8280" s="28">
        <v>46129</v>
      </c>
      <c r="C8280" s="25">
        <v>287</v>
      </c>
      <c r="D8280" s="13" t="s">
        <v>23665</v>
      </c>
      <c r="E8280" s="111"/>
      <c r="F8280" s="113" t="s">
        <v>23666</v>
      </c>
      <c r="G8280" s="114"/>
      <c r="H8280" s="115"/>
      <c r="I8280" s="24"/>
      <c r="J8280" s="116">
        <v>4</v>
      </c>
      <c r="K8280" s="118">
        <v>399000</v>
      </c>
      <c r="L8280" s="119"/>
      <c r="M8280" s="118">
        <f t="shared" ref="M8280" si="12452">K8280*0.1</f>
        <v>39900</v>
      </c>
      <c r="N8280" s="119"/>
      <c r="O8280" s="118">
        <v>0</v>
      </c>
      <c r="P8280" s="119"/>
      <c r="Q8280" s="118">
        <v>8430</v>
      </c>
      <c r="R8280" s="119"/>
      <c r="S8280" s="118">
        <v>22000</v>
      </c>
      <c r="T8280" s="119"/>
      <c r="U8280" s="118">
        <f t="shared" ref="U8280" si="12453">SUM(K8280:T8281)</f>
        <v>469330</v>
      </c>
      <c r="V8280" s="122"/>
      <c r="W8280" s="124"/>
      <c r="X8280" s="126" t="s">
        <v>24204</v>
      </c>
      <c r="Y8280" s="127"/>
      <c r="Z8280" s="127"/>
      <c r="AA8280" s="127"/>
      <c r="AB8280" s="128"/>
      <c r="AC8280" s="15" t="s">
        <v>20</v>
      </c>
      <c r="AD8280" s="129"/>
      <c r="AE8280" s="130"/>
      <c r="AF8280" s="130"/>
      <c r="AG8280" s="130"/>
      <c r="AH8280" s="130"/>
      <c r="AI8280" s="131"/>
      <c r="AJ8280" s="132"/>
      <c r="AK8280" s="127"/>
      <c r="AL8280" s="128"/>
      <c r="AM8280" s="21"/>
      <c r="AN8280" s="133">
        <v>46140</v>
      </c>
      <c r="AO8280" s="134"/>
      <c r="AP8280" s="135"/>
      <c r="AQ8280" s="136"/>
      <c r="AR8280" s="118">
        <v>580000</v>
      </c>
      <c r="AS8280" s="119"/>
      <c r="AT8280" s="118">
        <f t="shared" ref="AT8280" si="12454">AR8280*0.1</f>
        <v>58000</v>
      </c>
      <c r="AU8280" s="119"/>
      <c r="AV8280" s="118">
        <v>8430</v>
      </c>
      <c r="AW8280" s="119"/>
      <c r="AX8280" s="118">
        <f t="shared" ref="AX8280" si="12455">SUM(AR8280:AW8280)</f>
        <v>646430</v>
      </c>
      <c r="AY8280" s="119"/>
      <c r="AZ8280" s="137"/>
    </row>
    <row r="8281" spans="1:52" ht="17.100000000000001" customHeight="1" thickBot="1">
      <c r="A8281" s="110"/>
      <c r="B8281" s="27" t="s">
        <v>23492</v>
      </c>
      <c r="C8281" s="27">
        <v>20125</v>
      </c>
      <c r="D8281" s="14" t="s">
        <v>23618</v>
      </c>
      <c r="E8281" s="112"/>
      <c r="F8281" s="139" t="s">
        <v>23498</v>
      </c>
      <c r="G8281" s="140"/>
      <c r="H8281" s="141"/>
      <c r="I8281" s="26">
        <v>38665</v>
      </c>
      <c r="J8281" s="117"/>
      <c r="K8281" s="120"/>
      <c r="L8281" s="121"/>
      <c r="M8281" s="120"/>
      <c r="N8281" s="121"/>
      <c r="O8281" s="120"/>
      <c r="P8281" s="121"/>
      <c r="Q8281" s="120"/>
      <c r="R8281" s="121"/>
      <c r="S8281" s="120"/>
      <c r="T8281" s="121"/>
      <c r="U8281" s="120"/>
      <c r="V8281" s="123"/>
      <c r="W8281" s="125"/>
      <c r="X8281" s="142" t="s">
        <v>24186</v>
      </c>
      <c r="Y8281" s="143"/>
      <c r="Z8281" s="143"/>
      <c r="AA8281" s="143"/>
      <c r="AB8281" s="144"/>
      <c r="AC8281" s="16" t="s">
        <v>21</v>
      </c>
      <c r="AD8281" s="17" t="s">
        <v>24135</v>
      </c>
      <c r="AE8281" s="145"/>
      <c r="AF8281" s="146"/>
      <c r="AG8281" s="146"/>
      <c r="AH8281" s="146"/>
      <c r="AI8281" s="147"/>
      <c r="AJ8281" s="148"/>
      <c r="AK8281" s="143"/>
      <c r="AL8281" s="144"/>
      <c r="AM8281" s="22"/>
      <c r="AN8281" s="149" t="s">
        <v>6789</v>
      </c>
      <c r="AO8281" s="144"/>
      <c r="AP8281" s="148">
        <v>51797</v>
      </c>
      <c r="AQ8281" s="144"/>
      <c r="AR8281" s="120"/>
      <c r="AS8281" s="121"/>
      <c r="AT8281" s="120"/>
      <c r="AU8281" s="121"/>
      <c r="AV8281" s="120"/>
      <c r="AW8281" s="121"/>
      <c r="AX8281" s="120"/>
      <c r="AY8281" s="121"/>
      <c r="AZ8281" s="138"/>
    </row>
    <row r="8282" spans="1:52" ht="17.100000000000001" customHeight="1" thickTop="1">
      <c r="A8282" s="109" t="s">
        <v>23487</v>
      </c>
      <c r="B8282" s="28">
        <v>46129</v>
      </c>
      <c r="C8282" s="25">
        <v>287</v>
      </c>
      <c r="D8282" s="13" t="s">
        <v>23667</v>
      </c>
      <c r="E8282" s="111"/>
      <c r="F8282" s="113" t="s">
        <v>23668</v>
      </c>
      <c r="G8282" s="114"/>
      <c r="H8282" s="115"/>
      <c r="I8282" s="24"/>
      <c r="J8282" s="116">
        <v>4</v>
      </c>
      <c r="K8282" s="118">
        <v>731000</v>
      </c>
      <c r="L8282" s="119"/>
      <c r="M8282" s="118">
        <f t="shared" ref="M8282" si="12456">K8282*0.1</f>
        <v>73100</v>
      </c>
      <c r="N8282" s="119"/>
      <c r="O8282" s="118">
        <v>0</v>
      </c>
      <c r="P8282" s="119"/>
      <c r="Q8282" s="118">
        <v>12260</v>
      </c>
      <c r="R8282" s="119"/>
      <c r="S8282" s="118">
        <v>22000</v>
      </c>
      <c r="T8282" s="119"/>
      <c r="U8282" s="118">
        <f t="shared" ref="U8282" si="12457">SUM(K8282:T8283)</f>
        <v>838360</v>
      </c>
      <c r="V8282" s="122"/>
      <c r="W8282" s="124"/>
      <c r="X8282" s="126" t="s">
        <v>24028</v>
      </c>
      <c r="Y8282" s="127"/>
      <c r="Z8282" s="127"/>
      <c r="AA8282" s="127"/>
      <c r="AB8282" s="128"/>
      <c r="AC8282" s="15" t="s">
        <v>20</v>
      </c>
      <c r="AD8282" s="129" t="s">
        <v>23669</v>
      </c>
      <c r="AE8282" s="130"/>
      <c r="AF8282" s="130"/>
      <c r="AG8282" s="130"/>
      <c r="AH8282" s="130"/>
      <c r="AI8282" s="131"/>
      <c r="AJ8282" s="132"/>
      <c r="AK8282" s="127"/>
      <c r="AL8282" s="128"/>
      <c r="AM8282" s="21"/>
      <c r="AN8282" s="133">
        <v>46134</v>
      </c>
      <c r="AO8282" s="134"/>
      <c r="AP8282" s="135">
        <v>1014</v>
      </c>
      <c r="AQ8282" s="136"/>
      <c r="AR8282" s="118">
        <v>850000</v>
      </c>
      <c r="AS8282" s="119"/>
      <c r="AT8282" s="118">
        <f t="shared" ref="AT8282" si="12458">AR8282*0.1</f>
        <v>85000</v>
      </c>
      <c r="AU8282" s="119"/>
      <c r="AV8282" s="118">
        <v>12260</v>
      </c>
      <c r="AW8282" s="119"/>
      <c r="AX8282" s="118">
        <f t="shared" ref="AX8282" si="12459">SUM(AR8282:AW8282)</f>
        <v>947260</v>
      </c>
      <c r="AY8282" s="119"/>
      <c r="AZ8282" s="137">
        <v>46139</v>
      </c>
    </row>
    <row r="8283" spans="1:52" ht="17.100000000000001" customHeight="1" thickBot="1">
      <c r="A8283" s="110"/>
      <c r="B8283" s="27" t="s">
        <v>23492</v>
      </c>
      <c r="C8283" s="27">
        <v>20236</v>
      </c>
      <c r="D8283" s="14" t="s">
        <v>2601</v>
      </c>
      <c r="E8283" s="112"/>
      <c r="F8283" s="139" t="s">
        <v>23499</v>
      </c>
      <c r="G8283" s="140"/>
      <c r="H8283" s="141"/>
      <c r="I8283" s="26">
        <v>114139</v>
      </c>
      <c r="J8283" s="117"/>
      <c r="K8283" s="120"/>
      <c r="L8283" s="121"/>
      <c r="M8283" s="120"/>
      <c r="N8283" s="121"/>
      <c r="O8283" s="120"/>
      <c r="P8283" s="121"/>
      <c r="Q8283" s="120"/>
      <c r="R8283" s="121"/>
      <c r="S8283" s="120"/>
      <c r="T8283" s="121"/>
      <c r="U8283" s="120"/>
      <c r="V8283" s="123"/>
      <c r="W8283" s="125"/>
      <c r="X8283" s="142" t="s">
        <v>6937</v>
      </c>
      <c r="Y8283" s="143"/>
      <c r="Z8283" s="143"/>
      <c r="AA8283" s="143"/>
      <c r="AB8283" s="144"/>
      <c r="AC8283" s="16" t="s">
        <v>21</v>
      </c>
      <c r="AD8283" s="17" t="s">
        <v>24016</v>
      </c>
      <c r="AE8283" s="145" t="s">
        <v>24029</v>
      </c>
      <c r="AF8283" s="146"/>
      <c r="AG8283" s="146"/>
      <c r="AH8283" s="146"/>
      <c r="AI8283" s="147"/>
      <c r="AJ8283" s="148"/>
      <c r="AK8283" s="143"/>
      <c r="AL8283" s="144"/>
      <c r="AM8283" s="22"/>
      <c r="AN8283" s="149" t="s">
        <v>23987</v>
      </c>
      <c r="AO8283" s="144"/>
      <c r="AP8283" s="148">
        <v>5131</v>
      </c>
      <c r="AQ8283" s="144"/>
      <c r="AR8283" s="120"/>
      <c r="AS8283" s="121"/>
      <c r="AT8283" s="120"/>
      <c r="AU8283" s="121"/>
      <c r="AV8283" s="120"/>
      <c r="AW8283" s="121"/>
      <c r="AX8283" s="120"/>
      <c r="AY8283" s="121"/>
      <c r="AZ8283" s="138"/>
    </row>
    <row r="8284" spans="1:52" ht="17.100000000000001" customHeight="1" thickTop="1">
      <c r="A8284" s="109" t="s">
        <v>23488</v>
      </c>
      <c r="B8284" s="28">
        <v>46129</v>
      </c>
      <c r="C8284" s="25">
        <v>2131</v>
      </c>
      <c r="D8284" s="13" t="s">
        <v>23656</v>
      </c>
      <c r="E8284" s="111"/>
      <c r="F8284" s="113" t="s">
        <v>23512</v>
      </c>
      <c r="G8284" s="114"/>
      <c r="H8284" s="115"/>
      <c r="I8284" s="24"/>
      <c r="J8284" s="116">
        <v>4.5</v>
      </c>
      <c r="K8284" s="118">
        <v>1505000</v>
      </c>
      <c r="L8284" s="119"/>
      <c r="M8284" s="118">
        <f t="shared" ref="M8284" si="12460">K8284*0.1</f>
        <v>150500</v>
      </c>
      <c r="N8284" s="119"/>
      <c r="O8284" s="118">
        <v>0</v>
      </c>
      <c r="P8284" s="119"/>
      <c r="Q8284" s="118">
        <v>20980</v>
      </c>
      <c r="R8284" s="119"/>
      <c r="S8284" s="118">
        <v>16500</v>
      </c>
      <c r="T8284" s="119"/>
      <c r="U8284" s="118">
        <f t="shared" ref="U8284" si="12461">SUM(K8284:T8285)</f>
        <v>1692980</v>
      </c>
      <c r="V8284" s="122"/>
      <c r="W8284" s="124"/>
      <c r="X8284" s="126" t="s">
        <v>24058</v>
      </c>
      <c r="Y8284" s="127"/>
      <c r="Z8284" s="127"/>
      <c r="AA8284" s="127"/>
      <c r="AB8284" s="128"/>
      <c r="AC8284" s="15" t="s">
        <v>20</v>
      </c>
      <c r="AD8284" s="129" t="s">
        <v>23671</v>
      </c>
      <c r="AE8284" s="130"/>
      <c r="AF8284" s="130"/>
      <c r="AG8284" s="130"/>
      <c r="AH8284" s="130"/>
      <c r="AI8284" s="131"/>
      <c r="AJ8284" s="132"/>
      <c r="AK8284" s="127"/>
      <c r="AL8284" s="128"/>
      <c r="AM8284" s="21"/>
      <c r="AN8284" s="133">
        <v>46156</v>
      </c>
      <c r="AO8284" s="134"/>
      <c r="AP8284" s="135">
        <v>1330</v>
      </c>
      <c r="AQ8284" s="136"/>
      <c r="AR8284" s="118">
        <v>1615000</v>
      </c>
      <c r="AS8284" s="119"/>
      <c r="AT8284" s="118">
        <f t="shared" ref="AT8284" si="12462">AR8284*0.1</f>
        <v>161500</v>
      </c>
      <c r="AU8284" s="119"/>
      <c r="AV8284" s="118">
        <v>20980</v>
      </c>
      <c r="AW8284" s="119"/>
      <c r="AX8284" s="118">
        <f t="shared" ref="AX8284" si="12463">SUM(AR8284:AW8284)</f>
        <v>1797480</v>
      </c>
      <c r="AY8284" s="119"/>
      <c r="AZ8284" s="137">
        <v>46157</v>
      </c>
    </row>
    <row r="8285" spans="1:52" ht="17.100000000000001" customHeight="1" thickBot="1">
      <c r="A8285" s="110"/>
      <c r="B8285" s="27" t="s">
        <v>23511</v>
      </c>
      <c r="C8285" s="27">
        <v>35008</v>
      </c>
      <c r="D8285" s="14" t="s">
        <v>1720</v>
      </c>
      <c r="E8285" s="112"/>
      <c r="F8285" s="139" t="s">
        <v>23670</v>
      </c>
      <c r="G8285" s="140"/>
      <c r="H8285" s="141"/>
      <c r="I8285" s="26">
        <v>41250</v>
      </c>
      <c r="J8285" s="117"/>
      <c r="K8285" s="120"/>
      <c r="L8285" s="121"/>
      <c r="M8285" s="120"/>
      <c r="N8285" s="121"/>
      <c r="O8285" s="120"/>
      <c r="P8285" s="121"/>
      <c r="Q8285" s="120"/>
      <c r="R8285" s="121"/>
      <c r="S8285" s="120"/>
      <c r="T8285" s="121"/>
      <c r="U8285" s="120"/>
      <c r="V8285" s="123"/>
      <c r="W8285" s="125"/>
      <c r="X8285" s="142" t="s">
        <v>24059</v>
      </c>
      <c r="Y8285" s="143"/>
      <c r="Z8285" s="143"/>
      <c r="AA8285" s="143"/>
      <c r="AB8285" s="144"/>
      <c r="AC8285" s="16" t="s">
        <v>21</v>
      </c>
      <c r="AD8285" s="17" t="s">
        <v>24016</v>
      </c>
      <c r="AE8285" s="145" t="s">
        <v>24060</v>
      </c>
      <c r="AF8285" s="146"/>
      <c r="AG8285" s="146"/>
      <c r="AH8285" s="146"/>
      <c r="AI8285" s="147"/>
      <c r="AJ8285" s="148"/>
      <c r="AK8285" s="143"/>
      <c r="AL8285" s="144"/>
      <c r="AM8285" s="22"/>
      <c r="AN8285" s="149" t="s">
        <v>1747</v>
      </c>
      <c r="AO8285" s="144"/>
      <c r="AP8285" s="148">
        <v>117</v>
      </c>
      <c r="AQ8285" s="144"/>
      <c r="AR8285" s="120"/>
      <c r="AS8285" s="121"/>
      <c r="AT8285" s="120"/>
      <c r="AU8285" s="121"/>
      <c r="AV8285" s="120"/>
      <c r="AW8285" s="121"/>
      <c r="AX8285" s="120"/>
      <c r="AY8285" s="121"/>
      <c r="AZ8285" s="138"/>
    </row>
    <row r="8286" spans="1:52" ht="17.100000000000001" customHeight="1" thickTop="1">
      <c r="A8286" s="109" t="s">
        <v>23489</v>
      </c>
      <c r="B8286" s="28">
        <v>46129</v>
      </c>
      <c r="C8286" s="25">
        <v>2131</v>
      </c>
      <c r="D8286" s="13" t="s">
        <v>23672</v>
      </c>
      <c r="E8286" s="111"/>
      <c r="F8286" s="113" t="s">
        <v>23513</v>
      </c>
      <c r="G8286" s="114"/>
      <c r="H8286" s="115"/>
      <c r="I8286" s="24"/>
      <c r="J8286" s="116">
        <v>4</v>
      </c>
      <c r="K8286" s="118">
        <v>2800000</v>
      </c>
      <c r="L8286" s="119"/>
      <c r="M8286" s="118">
        <f t="shared" ref="M8286" si="12464">K8286*0.1</f>
        <v>280000</v>
      </c>
      <c r="N8286" s="119"/>
      <c r="O8286" s="118">
        <v>0</v>
      </c>
      <c r="P8286" s="119"/>
      <c r="Q8286" s="118">
        <v>23490</v>
      </c>
      <c r="R8286" s="119"/>
      <c r="S8286" s="118">
        <v>16500</v>
      </c>
      <c r="T8286" s="119"/>
      <c r="U8286" s="118">
        <f t="shared" ref="U8286" si="12465">SUM(K8286:T8287)</f>
        <v>3119990</v>
      </c>
      <c r="V8286" s="122"/>
      <c r="W8286" s="124"/>
      <c r="X8286" s="126" t="s">
        <v>24055</v>
      </c>
      <c r="Y8286" s="127"/>
      <c r="Z8286" s="127"/>
      <c r="AA8286" s="127"/>
      <c r="AB8286" s="128"/>
      <c r="AC8286" s="15" t="s">
        <v>20</v>
      </c>
      <c r="AD8286" s="129" t="s">
        <v>23674</v>
      </c>
      <c r="AE8286" s="130"/>
      <c r="AF8286" s="130"/>
      <c r="AG8286" s="130"/>
      <c r="AH8286" s="130"/>
      <c r="AI8286" s="131"/>
      <c r="AJ8286" s="132"/>
      <c r="AK8286" s="127"/>
      <c r="AL8286" s="128"/>
      <c r="AM8286" s="21"/>
      <c r="AN8286" s="133"/>
      <c r="AO8286" s="134"/>
      <c r="AP8286" s="135"/>
      <c r="AQ8286" s="136"/>
      <c r="AR8286" s="118"/>
      <c r="AS8286" s="119"/>
      <c r="AT8286" s="118">
        <f t="shared" ref="AT8286" si="12466">AR8286*0.1</f>
        <v>0</v>
      </c>
      <c r="AU8286" s="119"/>
      <c r="AV8286" s="118"/>
      <c r="AW8286" s="119"/>
      <c r="AX8286" s="118">
        <f t="shared" ref="AX8286" si="12467">SUM(AR8286:AW8286)</f>
        <v>0</v>
      </c>
      <c r="AY8286" s="119"/>
      <c r="AZ8286" s="137"/>
    </row>
    <row r="8287" spans="1:52" ht="17.100000000000001" customHeight="1" thickBot="1">
      <c r="A8287" s="110"/>
      <c r="B8287" s="27" t="s">
        <v>23511</v>
      </c>
      <c r="C8287" s="27">
        <v>58273</v>
      </c>
      <c r="D8287" s="14" t="s">
        <v>23600</v>
      </c>
      <c r="E8287" s="112"/>
      <c r="F8287" s="139" t="s">
        <v>23673</v>
      </c>
      <c r="G8287" s="140"/>
      <c r="H8287" s="141"/>
      <c r="I8287" s="26">
        <v>49300</v>
      </c>
      <c r="J8287" s="117"/>
      <c r="K8287" s="120"/>
      <c r="L8287" s="121"/>
      <c r="M8287" s="120"/>
      <c r="N8287" s="121"/>
      <c r="O8287" s="120"/>
      <c r="P8287" s="121"/>
      <c r="Q8287" s="120"/>
      <c r="R8287" s="121"/>
      <c r="S8287" s="120"/>
      <c r="T8287" s="121"/>
      <c r="U8287" s="120"/>
      <c r="V8287" s="123"/>
      <c r="W8287" s="125"/>
      <c r="X8287" s="142" t="s">
        <v>24056</v>
      </c>
      <c r="Y8287" s="143"/>
      <c r="Z8287" s="143"/>
      <c r="AA8287" s="143"/>
      <c r="AB8287" s="144"/>
      <c r="AC8287" s="16" t="s">
        <v>21</v>
      </c>
      <c r="AD8287" s="17" t="s">
        <v>24016</v>
      </c>
      <c r="AE8287" s="145" t="s">
        <v>24057</v>
      </c>
      <c r="AF8287" s="146"/>
      <c r="AG8287" s="146"/>
      <c r="AH8287" s="146"/>
      <c r="AI8287" s="147"/>
      <c r="AJ8287" s="148"/>
      <c r="AK8287" s="143"/>
      <c r="AL8287" s="144"/>
      <c r="AM8287" s="22"/>
      <c r="AN8287" s="149"/>
      <c r="AO8287" s="144"/>
      <c r="AP8287" s="148"/>
      <c r="AQ8287" s="144"/>
      <c r="AR8287" s="120"/>
      <c r="AS8287" s="121"/>
      <c r="AT8287" s="120"/>
      <c r="AU8287" s="121"/>
      <c r="AV8287" s="120"/>
      <c r="AW8287" s="121"/>
      <c r="AX8287" s="120"/>
      <c r="AY8287" s="121"/>
      <c r="AZ8287" s="138"/>
    </row>
    <row r="8288" spans="1:52" ht="17.100000000000001" customHeight="1" thickTop="1">
      <c r="A8288" s="109" t="s">
        <v>23490</v>
      </c>
      <c r="B8288" s="28">
        <v>46129</v>
      </c>
      <c r="C8288" s="25">
        <v>2131</v>
      </c>
      <c r="D8288" s="13" t="s">
        <v>23675</v>
      </c>
      <c r="E8288" s="111"/>
      <c r="F8288" s="113" t="s">
        <v>22896</v>
      </c>
      <c r="G8288" s="114"/>
      <c r="H8288" s="115"/>
      <c r="I8288" s="24" t="s">
        <v>23677</v>
      </c>
      <c r="J8288" s="116">
        <v>4.5</v>
      </c>
      <c r="K8288" s="118">
        <v>2080000</v>
      </c>
      <c r="L8288" s="119"/>
      <c r="M8288" s="118">
        <f t="shared" ref="M8288" si="12468">K8288*0.1</f>
        <v>208000</v>
      </c>
      <c r="N8288" s="119"/>
      <c r="O8288" s="118">
        <v>36300</v>
      </c>
      <c r="P8288" s="119"/>
      <c r="Q8288" s="118">
        <v>21720</v>
      </c>
      <c r="R8288" s="119"/>
      <c r="S8288" s="118">
        <v>16500</v>
      </c>
      <c r="T8288" s="119"/>
      <c r="U8288" s="118">
        <f t="shared" ref="U8288" si="12469">SUM(K8288:T8289)</f>
        <v>2362520</v>
      </c>
      <c r="V8288" s="122"/>
      <c r="W8288" s="124"/>
      <c r="X8288" s="126" t="s">
        <v>23678</v>
      </c>
      <c r="Y8288" s="127"/>
      <c r="Z8288" s="127"/>
      <c r="AA8288" s="127"/>
      <c r="AB8288" s="128"/>
      <c r="AC8288" s="15" t="s">
        <v>20</v>
      </c>
      <c r="AD8288" s="129" t="s">
        <v>23679</v>
      </c>
      <c r="AE8288" s="130"/>
      <c r="AF8288" s="130"/>
      <c r="AG8288" s="130"/>
      <c r="AH8288" s="130"/>
      <c r="AI8288" s="131"/>
      <c r="AJ8288" s="132"/>
      <c r="AK8288" s="127"/>
      <c r="AL8288" s="128"/>
      <c r="AM8288" s="21"/>
      <c r="AN8288" s="133"/>
      <c r="AO8288" s="134"/>
      <c r="AP8288" s="135"/>
      <c r="AQ8288" s="136"/>
      <c r="AR8288" s="118"/>
      <c r="AS8288" s="119"/>
      <c r="AT8288" s="118">
        <f t="shared" ref="AT8288" si="12470">AR8288*0.1</f>
        <v>0</v>
      </c>
      <c r="AU8288" s="119"/>
      <c r="AV8288" s="118"/>
      <c r="AW8288" s="119"/>
      <c r="AX8288" s="118">
        <f t="shared" ref="AX8288" si="12471">SUM(AR8288:AW8288)</f>
        <v>0</v>
      </c>
      <c r="AY8288" s="119"/>
      <c r="AZ8288" s="137"/>
    </row>
    <row r="8289" spans="1:52" ht="17.100000000000001" customHeight="1" thickBot="1">
      <c r="A8289" s="110"/>
      <c r="B8289" s="27" t="s">
        <v>23511</v>
      </c>
      <c r="C8289" s="27">
        <v>58474</v>
      </c>
      <c r="D8289" s="14" t="s">
        <v>23661</v>
      </c>
      <c r="E8289" s="112"/>
      <c r="F8289" s="139" t="s">
        <v>23676</v>
      </c>
      <c r="G8289" s="140"/>
      <c r="H8289" s="141"/>
      <c r="I8289" s="26">
        <v>50325</v>
      </c>
      <c r="J8289" s="117"/>
      <c r="K8289" s="120"/>
      <c r="L8289" s="121"/>
      <c r="M8289" s="120"/>
      <c r="N8289" s="121"/>
      <c r="O8289" s="120"/>
      <c r="P8289" s="121"/>
      <c r="Q8289" s="120"/>
      <c r="R8289" s="121"/>
      <c r="S8289" s="120"/>
      <c r="T8289" s="121"/>
      <c r="U8289" s="120"/>
      <c r="V8289" s="123"/>
      <c r="W8289" s="125"/>
      <c r="X8289" s="142" t="s">
        <v>14185</v>
      </c>
      <c r="Y8289" s="143"/>
      <c r="Z8289" s="143"/>
      <c r="AA8289" s="143"/>
      <c r="AB8289" s="144"/>
      <c r="AC8289" s="16" t="s">
        <v>21</v>
      </c>
      <c r="AD8289" s="17" t="s">
        <v>24016</v>
      </c>
      <c r="AE8289" s="145" t="s">
        <v>24061</v>
      </c>
      <c r="AF8289" s="146"/>
      <c r="AG8289" s="146"/>
      <c r="AH8289" s="146"/>
      <c r="AI8289" s="147"/>
      <c r="AJ8289" s="148"/>
      <c r="AK8289" s="143"/>
      <c r="AL8289" s="144"/>
      <c r="AM8289" s="22"/>
      <c r="AN8289" s="149"/>
      <c r="AO8289" s="144"/>
      <c r="AP8289" s="148"/>
      <c r="AQ8289" s="144"/>
      <c r="AR8289" s="120"/>
      <c r="AS8289" s="121"/>
      <c r="AT8289" s="120"/>
      <c r="AU8289" s="121"/>
      <c r="AV8289" s="120"/>
      <c r="AW8289" s="121"/>
      <c r="AX8289" s="120"/>
      <c r="AY8289" s="121"/>
      <c r="AZ8289" s="138"/>
    </row>
    <row r="8290" spans="1:52" ht="17.100000000000001" customHeight="1" thickTop="1">
      <c r="A8290" s="109" t="s">
        <v>23491</v>
      </c>
      <c r="B8290" s="28">
        <v>46129</v>
      </c>
      <c r="C8290" s="25">
        <v>1415</v>
      </c>
      <c r="D8290" s="13" t="s">
        <v>23680</v>
      </c>
      <c r="E8290" s="111"/>
      <c r="F8290" s="113" t="s">
        <v>23526</v>
      </c>
      <c r="G8290" s="114"/>
      <c r="H8290" s="115"/>
      <c r="I8290" s="24"/>
      <c r="J8290" s="150" t="s">
        <v>23682</v>
      </c>
      <c r="K8290" s="118">
        <v>583000</v>
      </c>
      <c r="L8290" s="119"/>
      <c r="M8290" s="118">
        <f t="shared" ref="M8290" si="12472">K8290*0.1</f>
        <v>58300</v>
      </c>
      <c r="N8290" s="119"/>
      <c r="O8290" s="118">
        <v>0</v>
      </c>
      <c r="P8290" s="119"/>
      <c r="Q8290" s="118">
        <v>13940</v>
      </c>
      <c r="R8290" s="119"/>
      <c r="S8290" s="118">
        <v>15400</v>
      </c>
      <c r="T8290" s="119"/>
      <c r="U8290" s="118">
        <f t="shared" ref="U8290" si="12473">SUM(K8290:T8291)</f>
        <v>670640</v>
      </c>
      <c r="V8290" s="122"/>
      <c r="W8290" s="124"/>
      <c r="X8290" s="126" t="s">
        <v>24121</v>
      </c>
      <c r="Y8290" s="127"/>
      <c r="Z8290" s="127"/>
      <c r="AA8290" s="127"/>
      <c r="AB8290" s="128"/>
      <c r="AC8290" s="15" t="s">
        <v>20</v>
      </c>
      <c r="AD8290" s="129"/>
      <c r="AE8290" s="130"/>
      <c r="AF8290" s="130"/>
      <c r="AG8290" s="130"/>
      <c r="AH8290" s="130"/>
      <c r="AI8290" s="131"/>
      <c r="AJ8290" s="132"/>
      <c r="AK8290" s="127"/>
      <c r="AL8290" s="128"/>
      <c r="AM8290" s="21"/>
      <c r="AN8290" s="133">
        <v>46158</v>
      </c>
      <c r="AO8290" s="134"/>
      <c r="AP8290" s="135">
        <v>1300</v>
      </c>
      <c r="AQ8290" s="136"/>
      <c r="AR8290" s="118">
        <v>650000</v>
      </c>
      <c r="AS8290" s="119"/>
      <c r="AT8290" s="118">
        <f t="shared" ref="AT8290" si="12474">AR8290*0.1</f>
        <v>65000</v>
      </c>
      <c r="AU8290" s="119"/>
      <c r="AV8290" s="118">
        <v>13940</v>
      </c>
      <c r="AW8290" s="119"/>
      <c r="AX8290" s="118">
        <f t="shared" ref="AX8290" si="12475">SUM(AR8290:AW8290)</f>
        <v>728940</v>
      </c>
      <c r="AY8290" s="119"/>
      <c r="AZ8290" s="137">
        <v>46161</v>
      </c>
    </row>
    <row r="8291" spans="1:52" ht="17.100000000000001" customHeight="1" thickBot="1">
      <c r="A8291" s="110"/>
      <c r="B8291" s="27" t="s">
        <v>23514</v>
      </c>
      <c r="C8291" s="27">
        <v>1441</v>
      </c>
      <c r="D8291" s="14" t="s">
        <v>23681</v>
      </c>
      <c r="E8291" s="112"/>
      <c r="F8291" s="139" t="s">
        <v>23527</v>
      </c>
      <c r="G8291" s="140"/>
      <c r="H8291" s="141"/>
      <c r="I8291" s="26">
        <v>145365</v>
      </c>
      <c r="J8291" s="117"/>
      <c r="K8291" s="120"/>
      <c r="L8291" s="121"/>
      <c r="M8291" s="120"/>
      <c r="N8291" s="121"/>
      <c r="O8291" s="120"/>
      <c r="P8291" s="121"/>
      <c r="Q8291" s="120"/>
      <c r="R8291" s="121"/>
      <c r="S8291" s="120"/>
      <c r="T8291" s="121"/>
      <c r="U8291" s="120"/>
      <c r="V8291" s="123"/>
      <c r="W8291" s="125"/>
      <c r="X8291" s="142" t="s">
        <v>2891</v>
      </c>
      <c r="Y8291" s="143"/>
      <c r="Z8291" s="143"/>
      <c r="AA8291" s="143"/>
      <c r="AB8291" s="144"/>
      <c r="AC8291" s="16" t="s">
        <v>21</v>
      </c>
      <c r="AD8291" s="17" t="s">
        <v>24114</v>
      </c>
      <c r="AE8291" s="145"/>
      <c r="AF8291" s="146"/>
      <c r="AG8291" s="146"/>
      <c r="AH8291" s="146"/>
      <c r="AI8291" s="147"/>
      <c r="AJ8291" s="148"/>
      <c r="AK8291" s="143"/>
      <c r="AL8291" s="144"/>
      <c r="AM8291" s="22"/>
      <c r="AN8291" s="149" t="s">
        <v>2511</v>
      </c>
      <c r="AO8291" s="144"/>
      <c r="AP8291" s="148">
        <v>50055</v>
      </c>
      <c r="AQ8291" s="144"/>
      <c r="AR8291" s="120"/>
      <c r="AS8291" s="121"/>
      <c r="AT8291" s="120"/>
      <c r="AU8291" s="121"/>
      <c r="AV8291" s="120"/>
      <c r="AW8291" s="121"/>
      <c r="AX8291" s="120"/>
      <c r="AY8291" s="121"/>
      <c r="AZ8291" s="138"/>
    </row>
    <row r="8292" spans="1:52" ht="17.100000000000001" customHeight="1" thickTop="1">
      <c r="A8292" s="109" t="s">
        <v>23500</v>
      </c>
      <c r="B8292" s="28">
        <v>46129</v>
      </c>
      <c r="C8292" s="25">
        <v>1415</v>
      </c>
      <c r="D8292" s="13" t="s">
        <v>23651</v>
      </c>
      <c r="E8292" s="111"/>
      <c r="F8292" s="113" t="s">
        <v>23528</v>
      </c>
      <c r="G8292" s="114"/>
      <c r="H8292" s="115"/>
      <c r="I8292" s="24"/>
      <c r="J8292" s="116">
        <v>4</v>
      </c>
      <c r="K8292" s="118">
        <v>898000</v>
      </c>
      <c r="L8292" s="119"/>
      <c r="M8292" s="118">
        <f>K8292</f>
        <v>898000</v>
      </c>
      <c r="N8292" s="119"/>
      <c r="O8292" s="118">
        <v>0</v>
      </c>
      <c r="P8292" s="119"/>
      <c r="Q8292" s="118">
        <v>17080</v>
      </c>
      <c r="R8292" s="119"/>
      <c r="S8292" s="118">
        <v>15400</v>
      </c>
      <c r="T8292" s="119"/>
      <c r="U8292" s="118">
        <f t="shared" ref="U8292" si="12476">SUM(K8292:T8293)</f>
        <v>1828480</v>
      </c>
      <c r="V8292" s="122"/>
      <c r="W8292" s="124"/>
      <c r="X8292" s="126" t="s">
        <v>24183</v>
      </c>
      <c r="Y8292" s="127"/>
      <c r="Z8292" s="127"/>
      <c r="AA8292" s="127"/>
      <c r="AB8292" s="128"/>
      <c r="AC8292" s="15" t="s">
        <v>20</v>
      </c>
      <c r="AD8292" s="129" t="s">
        <v>23683</v>
      </c>
      <c r="AE8292" s="130"/>
      <c r="AF8292" s="130"/>
      <c r="AG8292" s="130"/>
      <c r="AH8292" s="130"/>
      <c r="AI8292" s="131"/>
      <c r="AJ8292" s="132"/>
      <c r="AK8292" s="127"/>
      <c r="AL8292" s="128"/>
      <c r="AM8292" s="21"/>
      <c r="AN8292" s="133">
        <v>46134</v>
      </c>
      <c r="AO8292" s="134"/>
      <c r="AP8292" s="135">
        <v>1014</v>
      </c>
      <c r="AQ8292" s="136"/>
      <c r="AR8292" s="118">
        <v>965000</v>
      </c>
      <c r="AS8292" s="119"/>
      <c r="AT8292" s="118">
        <f t="shared" ref="AT8292" si="12477">AR8292*0.1</f>
        <v>96500</v>
      </c>
      <c r="AU8292" s="119"/>
      <c r="AV8292" s="118">
        <v>17080</v>
      </c>
      <c r="AW8292" s="119"/>
      <c r="AX8292" s="118">
        <f t="shared" ref="AX8292" si="12478">SUM(AR8292:AW8292)</f>
        <v>1078580</v>
      </c>
      <c r="AY8292" s="119"/>
      <c r="AZ8292" s="137">
        <v>46139</v>
      </c>
    </row>
    <row r="8293" spans="1:52" ht="17.100000000000001" customHeight="1" thickBot="1">
      <c r="A8293" s="110"/>
      <c r="B8293" s="27" t="s">
        <v>23514</v>
      </c>
      <c r="C8293" s="27">
        <v>3006</v>
      </c>
      <c r="D8293" s="14" t="s">
        <v>23600</v>
      </c>
      <c r="E8293" s="112"/>
      <c r="F8293" s="139" t="s">
        <v>23529</v>
      </c>
      <c r="G8293" s="140"/>
      <c r="H8293" s="141"/>
      <c r="I8293" s="26">
        <v>42383</v>
      </c>
      <c r="J8293" s="117"/>
      <c r="K8293" s="120"/>
      <c r="L8293" s="121"/>
      <c r="M8293" s="120"/>
      <c r="N8293" s="121"/>
      <c r="O8293" s="120"/>
      <c r="P8293" s="121"/>
      <c r="Q8293" s="120"/>
      <c r="R8293" s="121"/>
      <c r="S8293" s="120"/>
      <c r="T8293" s="121"/>
      <c r="U8293" s="120"/>
      <c r="V8293" s="123"/>
      <c r="W8293" s="125"/>
      <c r="X8293" s="142" t="s">
        <v>24181</v>
      </c>
      <c r="Y8293" s="143"/>
      <c r="Z8293" s="143"/>
      <c r="AA8293" s="143"/>
      <c r="AB8293" s="144"/>
      <c r="AC8293" s="16" t="s">
        <v>21</v>
      </c>
      <c r="AD8293" s="17" t="s">
        <v>24135</v>
      </c>
      <c r="AE8293" s="145" t="s">
        <v>24184</v>
      </c>
      <c r="AF8293" s="146"/>
      <c r="AG8293" s="146"/>
      <c r="AH8293" s="146"/>
      <c r="AI8293" s="147"/>
      <c r="AJ8293" s="148"/>
      <c r="AK8293" s="143"/>
      <c r="AL8293" s="144"/>
      <c r="AM8293" s="22"/>
      <c r="AN8293" s="149" t="s">
        <v>23987</v>
      </c>
      <c r="AO8293" s="144"/>
      <c r="AP8293" s="148">
        <v>5139</v>
      </c>
      <c r="AQ8293" s="144"/>
      <c r="AR8293" s="120"/>
      <c r="AS8293" s="121"/>
      <c r="AT8293" s="120"/>
      <c r="AU8293" s="121"/>
      <c r="AV8293" s="120"/>
      <c r="AW8293" s="121"/>
      <c r="AX8293" s="120"/>
      <c r="AY8293" s="121"/>
      <c r="AZ8293" s="138"/>
    </row>
    <row r="8294" spans="1:52" ht="17.100000000000001" customHeight="1" thickTop="1">
      <c r="A8294" s="109" t="s">
        <v>23501</v>
      </c>
      <c r="B8294" s="28">
        <v>46129</v>
      </c>
      <c r="C8294" s="25">
        <v>1415</v>
      </c>
      <c r="D8294" s="13" t="s">
        <v>23684</v>
      </c>
      <c r="E8294" s="111"/>
      <c r="F8294" s="113" t="s">
        <v>7683</v>
      </c>
      <c r="G8294" s="114"/>
      <c r="H8294" s="115"/>
      <c r="I8294" s="24" t="s">
        <v>23685</v>
      </c>
      <c r="J8294" s="116">
        <v>4.5</v>
      </c>
      <c r="K8294" s="118">
        <v>1107000</v>
      </c>
      <c r="L8294" s="119"/>
      <c r="M8294" s="118">
        <f t="shared" ref="M8294" si="12479">K8294*0.1</f>
        <v>110700</v>
      </c>
      <c r="N8294" s="119"/>
      <c r="O8294" s="118">
        <v>0</v>
      </c>
      <c r="P8294" s="119"/>
      <c r="Q8294" s="118">
        <v>8740</v>
      </c>
      <c r="R8294" s="119"/>
      <c r="S8294" s="118">
        <v>15400</v>
      </c>
      <c r="T8294" s="119"/>
      <c r="U8294" s="118">
        <f t="shared" ref="U8294" si="12480">SUM(K8294:T8295)</f>
        <v>1241840</v>
      </c>
      <c r="V8294" s="122"/>
      <c r="W8294" s="124"/>
      <c r="X8294" s="126" t="s">
        <v>24032</v>
      </c>
      <c r="Y8294" s="127"/>
      <c r="Z8294" s="127"/>
      <c r="AA8294" s="127"/>
      <c r="AB8294" s="128"/>
      <c r="AC8294" s="15" t="s">
        <v>20</v>
      </c>
      <c r="AD8294" s="129" t="s">
        <v>23686</v>
      </c>
      <c r="AE8294" s="130"/>
      <c r="AF8294" s="130"/>
      <c r="AG8294" s="130"/>
      <c r="AH8294" s="130"/>
      <c r="AI8294" s="131"/>
      <c r="AJ8294" s="132"/>
      <c r="AK8294" s="127"/>
      <c r="AL8294" s="128"/>
      <c r="AM8294" s="21"/>
      <c r="AN8294" s="133">
        <v>46134</v>
      </c>
      <c r="AO8294" s="134"/>
      <c r="AP8294" s="135">
        <v>1014</v>
      </c>
      <c r="AQ8294" s="136"/>
      <c r="AR8294" s="118">
        <v>1170000</v>
      </c>
      <c r="AS8294" s="119"/>
      <c r="AT8294" s="118">
        <f t="shared" ref="AT8294" si="12481">AR8294*0.1</f>
        <v>117000</v>
      </c>
      <c r="AU8294" s="119"/>
      <c r="AV8294" s="118">
        <v>8740</v>
      </c>
      <c r="AW8294" s="119"/>
      <c r="AX8294" s="118">
        <f t="shared" ref="AX8294" si="12482">SUM(AR8294:AW8294)</f>
        <v>1295740</v>
      </c>
      <c r="AY8294" s="119"/>
      <c r="AZ8294" s="137">
        <v>46139</v>
      </c>
    </row>
    <row r="8295" spans="1:52" ht="17.100000000000001" customHeight="1" thickBot="1">
      <c r="A8295" s="110"/>
      <c r="B8295" s="27" t="s">
        <v>23514</v>
      </c>
      <c r="C8295" s="27">
        <v>3012</v>
      </c>
      <c r="D8295" s="14" t="s">
        <v>2601</v>
      </c>
      <c r="E8295" s="112"/>
      <c r="F8295" s="139" t="s">
        <v>23530</v>
      </c>
      <c r="G8295" s="140"/>
      <c r="H8295" s="141"/>
      <c r="I8295" s="26">
        <v>53895</v>
      </c>
      <c r="J8295" s="117"/>
      <c r="K8295" s="120"/>
      <c r="L8295" s="121"/>
      <c r="M8295" s="120"/>
      <c r="N8295" s="121"/>
      <c r="O8295" s="120"/>
      <c r="P8295" s="121"/>
      <c r="Q8295" s="120"/>
      <c r="R8295" s="121"/>
      <c r="S8295" s="120"/>
      <c r="T8295" s="121"/>
      <c r="U8295" s="120"/>
      <c r="V8295" s="123"/>
      <c r="W8295" s="125"/>
      <c r="X8295" s="142" t="s">
        <v>24033</v>
      </c>
      <c r="Y8295" s="143"/>
      <c r="Z8295" s="143"/>
      <c r="AA8295" s="143"/>
      <c r="AB8295" s="144"/>
      <c r="AC8295" s="16" t="s">
        <v>21</v>
      </c>
      <c r="AD8295" s="17" t="s">
        <v>24016</v>
      </c>
      <c r="AE8295" s="145" t="s">
        <v>15629</v>
      </c>
      <c r="AF8295" s="146"/>
      <c r="AG8295" s="146"/>
      <c r="AH8295" s="146"/>
      <c r="AI8295" s="147"/>
      <c r="AJ8295" s="148"/>
      <c r="AK8295" s="143"/>
      <c r="AL8295" s="144"/>
      <c r="AM8295" s="22"/>
      <c r="AN8295" s="149" t="s">
        <v>23987</v>
      </c>
      <c r="AO8295" s="144"/>
      <c r="AP8295" s="148">
        <v>5198</v>
      </c>
      <c r="AQ8295" s="144"/>
      <c r="AR8295" s="120"/>
      <c r="AS8295" s="121"/>
      <c r="AT8295" s="120"/>
      <c r="AU8295" s="121"/>
      <c r="AV8295" s="120"/>
      <c r="AW8295" s="121"/>
      <c r="AX8295" s="120"/>
      <c r="AY8295" s="121"/>
      <c r="AZ8295" s="138"/>
    </row>
    <row r="8296" spans="1:52" ht="17.100000000000001" customHeight="1" thickTop="1">
      <c r="A8296" s="151" t="s">
        <v>23502</v>
      </c>
      <c r="B8296" s="28">
        <v>46129</v>
      </c>
      <c r="C8296" s="25">
        <v>1415</v>
      </c>
      <c r="D8296" s="13" t="s">
        <v>23687</v>
      </c>
      <c r="E8296" s="111"/>
      <c r="F8296" s="113" t="s">
        <v>23531</v>
      </c>
      <c r="G8296" s="114"/>
      <c r="H8296" s="115"/>
      <c r="I8296" s="24" t="s">
        <v>23688</v>
      </c>
      <c r="J8296" s="116">
        <v>4</v>
      </c>
      <c r="K8296" s="118">
        <v>996000</v>
      </c>
      <c r="L8296" s="119"/>
      <c r="M8296" s="118">
        <f t="shared" ref="M8296" si="12483">K8296*0.1</f>
        <v>99600</v>
      </c>
      <c r="N8296" s="119"/>
      <c r="O8296" s="118">
        <v>30690</v>
      </c>
      <c r="P8296" s="119"/>
      <c r="Q8296" s="118">
        <v>8950</v>
      </c>
      <c r="R8296" s="119"/>
      <c r="S8296" s="118">
        <v>15400</v>
      </c>
      <c r="T8296" s="119"/>
      <c r="U8296" s="118">
        <f t="shared" ref="U8296" si="12484">SUM(K8296:T8297)</f>
        <v>1150640</v>
      </c>
      <c r="V8296" s="122"/>
      <c r="W8296" s="124"/>
      <c r="X8296" s="126" t="s">
        <v>24116</v>
      </c>
      <c r="Y8296" s="127"/>
      <c r="Z8296" s="127"/>
      <c r="AA8296" s="127"/>
      <c r="AB8296" s="128"/>
      <c r="AC8296" s="15" t="s">
        <v>20</v>
      </c>
      <c r="AD8296" s="129"/>
      <c r="AE8296" s="130"/>
      <c r="AF8296" s="130"/>
      <c r="AG8296" s="130"/>
      <c r="AH8296" s="130"/>
      <c r="AI8296" s="131"/>
      <c r="AJ8296" s="132" t="s">
        <v>24257</v>
      </c>
      <c r="AK8296" s="127"/>
      <c r="AL8296" s="128"/>
      <c r="AM8296" s="21"/>
      <c r="AN8296" s="133"/>
      <c r="AO8296" s="134"/>
      <c r="AP8296" s="135"/>
      <c r="AQ8296" s="136"/>
      <c r="AR8296" s="118"/>
      <c r="AS8296" s="119"/>
      <c r="AT8296" s="118">
        <f t="shared" ref="AT8296" si="12485">AR8296*0.1</f>
        <v>0</v>
      </c>
      <c r="AU8296" s="119"/>
      <c r="AV8296" s="118"/>
      <c r="AW8296" s="119"/>
      <c r="AX8296" s="118">
        <f t="shared" ref="AX8296" si="12486">SUM(AR8296:AW8296)</f>
        <v>0</v>
      </c>
      <c r="AY8296" s="119"/>
      <c r="AZ8296" s="137"/>
    </row>
    <row r="8297" spans="1:52" ht="17.100000000000001" customHeight="1" thickBot="1">
      <c r="A8297" s="152"/>
      <c r="B8297" s="27" t="s">
        <v>23514</v>
      </c>
      <c r="C8297" s="27">
        <v>3116</v>
      </c>
      <c r="D8297" s="14" t="s">
        <v>1720</v>
      </c>
      <c r="E8297" s="112"/>
      <c r="F8297" s="139" t="s">
        <v>23532</v>
      </c>
      <c r="G8297" s="140"/>
      <c r="H8297" s="141"/>
      <c r="I8297" s="26">
        <v>27333</v>
      </c>
      <c r="J8297" s="117"/>
      <c r="K8297" s="120"/>
      <c r="L8297" s="121"/>
      <c r="M8297" s="120"/>
      <c r="N8297" s="121"/>
      <c r="O8297" s="120"/>
      <c r="P8297" s="121"/>
      <c r="Q8297" s="120"/>
      <c r="R8297" s="121"/>
      <c r="S8297" s="120"/>
      <c r="T8297" s="121"/>
      <c r="U8297" s="120"/>
      <c r="V8297" s="123"/>
      <c r="W8297" s="125"/>
      <c r="X8297" s="142" t="s">
        <v>24117</v>
      </c>
      <c r="Y8297" s="143"/>
      <c r="Z8297" s="143"/>
      <c r="AA8297" s="143"/>
      <c r="AB8297" s="144"/>
      <c r="AC8297" s="16" t="s">
        <v>21</v>
      </c>
      <c r="AD8297" s="17" t="s">
        <v>24114</v>
      </c>
      <c r="AE8297" s="145" t="s">
        <v>24118</v>
      </c>
      <c r="AF8297" s="146"/>
      <c r="AG8297" s="146"/>
      <c r="AH8297" s="146"/>
      <c r="AI8297" s="147"/>
      <c r="AJ8297" s="148"/>
      <c r="AK8297" s="143"/>
      <c r="AL8297" s="144"/>
      <c r="AM8297" s="22"/>
      <c r="AN8297" s="149"/>
      <c r="AO8297" s="144"/>
      <c r="AP8297" s="148"/>
      <c r="AQ8297" s="144"/>
      <c r="AR8297" s="120"/>
      <c r="AS8297" s="121"/>
      <c r="AT8297" s="120"/>
      <c r="AU8297" s="121"/>
      <c r="AV8297" s="120"/>
      <c r="AW8297" s="121"/>
      <c r="AX8297" s="120"/>
      <c r="AY8297" s="121"/>
      <c r="AZ8297" s="138"/>
    </row>
    <row r="8298" spans="1:52" ht="17.100000000000001" customHeight="1" thickTop="1">
      <c r="A8298" s="109" t="s">
        <v>23503</v>
      </c>
      <c r="B8298" s="28">
        <v>46129</v>
      </c>
      <c r="C8298" s="25">
        <v>1415</v>
      </c>
      <c r="D8298" s="13" t="s">
        <v>23663</v>
      </c>
      <c r="E8298" s="111"/>
      <c r="F8298" s="113" t="s">
        <v>23533</v>
      </c>
      <c r="G8298" s="114"/>
      <c r="H8298" s="115"/>
      <c r="I8298" s="24"/>
      <c r="J8298" s="116">
        <v>4</v>
      </c>
      <c r="K8298" s="118">
        <v>461000</v>
      </c>
      <c r="L8298" s="119"/>
      <c r="M8298" s="118">
        <f t="shared" ref="M8298" si="12487">K8298*0.1</f>
        <v>46100</v>
      </c>
      <c r="N8298" s="119"/>
      <c r="O8298" s="118">
        <v>0</v>
      </c>
      <c r="P8298" s="119"/>
      <c r="Q8298" s="118">
        <v>9790</v>
      </c>
      <c r="R8298" s="119"/>
      <c r="S8298" s="118">
        <v>15400</v>
      </c>
      <c r="T8298" s="119"/>
      <c r="U8298" s="118">
        <f t="shared" ref="U8298" si="12488">SUM(K8298:T8299)</f>
        <v>532290</v>
      </c>
      <c r="V8298" s="122"/>
      <c r="W8298" s="124"/>
      <c r="X8298" s="126" t="s">
        <v>24192</v>
      </c>
      <c r="Y8298" s="127"/>
      <c r="Z8298" s="127"/>
      <c r="AA8298" s="127"/>
      <c r="AB8298" s="128"/>
      <c r="AC8298" s="15" t="s">
        <v>20</v>
      </c>
      <c r="AD8298" s="129" t="s">
        <v>23619</v>
      </c>
      <c r="AE8298" s="130"/>
      <c r="AF8298" s="130"/>
      <c r="AG8298" s="130"/>
      <c r="AH8298" s="130"/>
      <c r="AI8298" s="131"/>
      <c r="AJ8298" s="132"/>
      <c r="AK8298" s="127"/>
      <c r="AL8298" s="128"/>
      <c r="AM8298" s="21"/>
      <c r="AN8298" s="133">
        <v>46134</v>
      </c>
      <c r="AO8298" s="134"/>
      <c r="AP8298" s="135">
        <v>1014</v>
      </c>
      <c r="AQ8298" s="136"/>
      <c r="AR8298" s="118">
        <v>580000</v>
      </c>
      <c r="AS8298" s="119"/>
      <c r="AT8298" s="118">
        <f t="shared" ref="AT8298" si="12489">AR8298*0.1</f>
        <v>58000</v>
      </c>
      <c r="AU8298" s="119"/>
      <c r="AV8298" s="118">
        <v>9790</v>
      </c>
      <c r="AW8298" s="119"/>
      <c r="AX8298" s="118">
        <f t="shared" ref="AX8298" si="12490">SUM(AR8298:AW8298)</f>
        <v>647790</v>
      </c>
      <c r="AY8298" s="119"/>
      <c r="AZ8298" s="137">
        <v>46142</v>
      </c>
    </row>
    <row r="8299" spans="1:52" ht="17.100000000000001" customHeight="1" thickBot="1">
      <c r="A8299" s="110"/>
      <c r="B8299" s="27" t="s">
        <v>23514</v>
      </c>
      <c r="C8299" s="27">
        <v>3200</v>
      </c>
      <c r="D8299" s="14" t="s">
        <v>23689</v>
      </c>
      <c r="E8299" s="112"/>
      <c r="F8299" s="139" t="s">
        <v>23534</v>
      </c>
      <c r="G8299" s="140"/>
      <c r="H8299" s="141"/>
      <c r="I8299" s="26">
        <v>27600</v>
      </c>
      <c r="J8299" s="117"/>
      <c r="K8299" s="120"/>
      <c r="L8299" s="121"/>
      <c r="M8299" s="120"/>
      <c r="N8299" s="121"/>
      <c r="O8299" s="120"/>
      <c r="P8299" s="121"/>
      <c r="Q8299" s="120"/>
      <c r="R8299" s="121"/>
      <c r="S8299" s="120"/>
      <c r="T8299" s="121"/>
      <c r="U8299" s="120"/>
      <c r="V8299" s="123"/>
      <c r="W8299" s="125"/>
      <c r="X8299" s="142" t="s">
        <v>24181</v>
      </c>
      <c r="Y8299" s="143"/>
      <c r="Z8299" s="143"/>
      <c r="AA8299" s="143"/>
      <c r="AB8299" s="144"/>
      <c r="AC8299" s="16" t="s">
        <v>21</v>
      </c>
      <c r="AD8299" s="17" t="s">
        <v>24135</v>
      </c>
      <c r="AE8299" s="145" t="s">
        <v>24128</v>
      </c>
      <c r="AF8299" s="146"/>
      <c r="AG8299" s="146"/>
      <c r="AH8299" s="146"/>
      <c r="AI8299" s="147"/>
      <c r="AJ8299" s="148"/>
      <c r="AK8299" s="143"/>
      <c r="AL8299" s="144"/>
      <c r="AM8299" s="22"/>
      <c r="AN8299" s="149" t="s">
        <v>8809</v>
      </c>
      <c r="AO8299" s="144"/>
      <c r="AP8299" s="148">
        <v>5206</v>
      </c>
      <c r="AQ8299" s="144"/>
      <c r="AR8299" s="120"/>
      <c r="AS8299" s="121"/>
      <c r="AT8299" s="120"/>
      <c r="AU8299" s="121"/>
      <c r="AV8299" s="120"/>
      <c r="AW8299" s="121"/>
      <c r="AX8299" s="120"/>
      <c r="AY8299" s="121"/>
      <c r="AZ8299" s="138"/>
    </row>
    <row r="8300" spans="1:52" ht="17.100000000000001" customHeight="1" thickTop="1">
      <c r="A8300" s="109" t="s">
        <v>23504</v>
      </c>
      <c r="B8300" s="28">
        <v>46129</v>
      </c>
      <c r="C8300" s="25">
        <v>1415</v>
      </c>
      <c r="D8300" s="13" t="s">
        <v>23690</v>
      </c>
      <c r="E8300" s="111"/>
      <c r="F8300" s="113" t="s">
        <v>23535</v>
      </c>
      <c r="G8300" s="114"/>
      <c r="H8300" s="115"/>
      <c r="I8300" s="24" t="s">
        <v>23691</v>
      </c>
      <c r="J8300" s="116">
        <v>4.5</v>
      </c>
      <c r="K8300" s="118">
        <v>1191000</v>
      </c>
      <c r="L8300" s="119"/>
      <c r="M8300" s="118">
        <f t="shared" ref="M8300" si="12491">K8300*0.1</f>
        <v>119100</v>
      </c>
      <c r="N8300" s="119"/>
      <c r="O8300" s="118">
        <v>45320</v>
      </c>
      <c r="P8300" s="119"/>
      <c r="Q8300" s="118">
        <v>11950</v>
      </c>
      <c r="R8300" s="119"/>
      <c r="S8300" s="118">
        <v>15400</v>
      </c>
      <c r="T8300" s="119"/>
      <c r="U8300" s="118">
        <f t="shared" ref="U8300" si="12492">SUM(K8300:T8301)</f>
        <v>1382770</v>
      </c>
      <c r="V8300" s="122"/>
      <c r="W8300" s="124"/>
      <c r="X8300" s="126" t="s">
        <v>24671</v>
      </c>
      <c r="Y8300" s="127"/>
      <c r="Z8300" s="127"/>
      <c r="AA8300" s="127"/>
      <c r="AB8300" s="128"/>
      <c r="AC8300" s="15" t="s">
        <v>20</v>
      </c>
      <c r="AD8300" s="129" t="s">
        <v>23692</v>
      </c>
      <c r="AE8300" s="130"/>
      <c r="AF8300" s="130"/>
      <c r="AG8300" s="130"/>
      <c r="AH8300" s="130"/>
      <c r="AI8300" s="131"/>
      <c r="AJ8300" s="132"/>
      <c r="AK8300" s="127"/>
      <c r="AL8300" s="128"/>
      <c r="AM8300" s="21"/>
      <c r="AN8300" s="133">
        <v>46134</v>
      </c>
      <c r="AO8300" s="134"/>
      <c r="AP8300" s="135">
        <v>1014</v>
      </c>
      <c r="AQ8300" s="136"/>
      <c r="AR8300" s="118">
        <v>1240000</v>
      </c>
      <c r="AS8300" s="119"/>
      <c r="AT8300" s="118">
        <f t="shared" ref="AT8300" si="12493">AR8300*0.1</f>
        <v>124000</v>
      </c>
      <c r="AU8300" s="119"/>
      <c r="AV8300" s="118">
        <v>11950</v>
      </c>
      <c r="AW8300" s="119"/>
      <c r="AX8300" s="118">
        <f t="shared" ref="AX8300" si="12494">SUM(AR8300:AW8300)</f>
        <v>1375950</v>
      </c>
      <c r="AY8300" s="119"/>
      <c r="AZ8300" s="137">
        <v>46142</v>
      </c>
    </row>
    <row r="8301" spans="1:52" ht="17.100000000000001" customHeight="1" thickBot="1">
      <c r="A8301" s="110"/>
      <c r="B8301" s="27" t="s">
        <v>23514</v>
      </c>
      <c r="C8301" s="27">
        <v>3201</v>
      </c>
      <c r="D8301" s="14" t="s">
        <v>2601</v>
      </c>
      <c r="E8301" s="112"/>
      <c r="F8301" s="139" t="s">
        <v>23536</v>
      </c>
      <c r="G8301" s="140"/>
      <c r="H8301" s="141"/>
      <c r="I8301" s="26">
        <v>55139</v>
      </c>
      <c r="J8301" s="117"/>
      <c r="K8301" s="120"/>
      <c r="L8301" s="121"/>
      <c r="M8301" s="120"/>
      <c r="N8301" s="121"/>
      <c r="O8301" s="120"/>
      <c r="P8301" s="121"/>
      <c r="Q8301" s="120"/>
      <c r="R8301" s="121"/>
      <c r="S8301" s="120"/>
      <c r="T8301" s="121"/>
      <c r="U8301" s="120"/>
      <c r="V8301" s="123"/>
      <c r="W8301" s="125"/>
      <c r="X8301" s="142" t="s">
        <v>3334</v>
      </c>
      <c r="Y8301" s="143"/>
      <c r="Z8301" s="143"/>
      <c r="AA8301" s="143"/>
      <c r="AB8301" s="144"/>
      <c r="AC8301" s="16" t="s">
        <v>21</v>
      </c>
      <c r="AD8301" s="17" t="s">
        <v>1962</v>
      </c>
      <c r="AE8301" s="145" t="s">
        <v>2051</v>
      </c>
      <c r="AF8301" s="146"/>
      <c r="AG8301" s="146"/>
      <c r="AH8301" s="146"/>
      <c r="AI8301" s="147"/>
      <c r="AJ8301" s="148"/>
      <c r="AK8301" s="143"/>
      <c r="AL8301" s="144"/>
      <c r="AM8301" s="22"/>
      <c r="AN8301" s="149" t="s">
        <v>23987</v>
      </c>
      <c r="AO8301" s="144"/>
      <c r="AP8301" s="148">
        <v>5135</v>
      </c>
      <c r="AQ8301" s="144"/>
      <c r="AR8301" s="120"/>
      <c r="AS8301" s="121"/>
      <c r="AT8301" s="120"/>
      <c r="AU8301" s="121"/>
      <c r="AV8301" s="120"/>
      <c r="AW8301" s="121"/>
      <c r="AX8301" s="120"/>
      <c r="AY8301" s="121"/>
      <c r="AZ8301" s="138"/>
    </row>
    <row r="8302" spans="1:52" ht="17.100000000000001" customHeight="1" thickTop="1">
      <c r="A8302" s="109" t="s">
        <v>23505</v>
      </c>
      <c r="B8302" s="28">
        <v>46129</v>
      </c>
      <c r="C8302" s="25">
        <v>1415</v>
      </c>
      <c r="D8302" s="13" t="s">
        <v>23693</v>
      </c>
      <c r="E8302" s="111"/>
      <c r="F8302" s="113" t="s">
        <v>23096</v>
      </c>
      <c r="G8302" s="114"/>
      <c r="H8302" s="115"/>
      <c r="I8302" s="24" t="s">
        <v>23695</v>
      </c>
      <c r="J8302" s="116">
        <v>4.5</v>
      </c>
      <c r="K8302" s="118">
        <v>864000</v>
      </c>
      <c r="L8302" s="119"/>
      <c r="M8302" s="118">
        <f t="shared" ref="M8302" si="12495">K8302*0.1</f>
        <v>86400</v>
      </c>
      <c r="N8302" s="119"/>
      <c r="O8302" s="118">
        <v>0</v>
      </c>
      <c r="P8302" s="119"/>
      <c r="Q8302" s="118">
        <v>8200</v>
      </c>
      <c r="R8302" s="119"/>
      <c r="S8302" s="118">
        <v>15400</v>
      </c>
      <c r="T8302" s="119"/>
      <c r="U8302" s="118">
        <f t="shared" ref="U8302" si="12496">SUM(K8302:T8303)</f>
        <v>974000</v>
      </c>
      <c r="V8302" s="122"/>
      <c r="W8302" s="124"/>
      <c r="X8302" s="126" t="s">
        <v>24180</v>
      </c>
      <c r="Y8302" s="127"/>
      <c r="Z8302" s="127"/>
      <c r="AA8302" s="127"/>
      <c r="AB8302" s="128"/>
      <c r="AC8302" s="15" t="s">
        <v>20</v>
      </c>
      <c r="AD8302" s="129" t="s">
        <v>23603</v>
      </c>
      <c r="AE8302" s="130"/>
      <c r="AF8302" s="130"/>
      <c r="AG8302" s="130"/>
      <c r="AH8302" s="130"/>
      <c r="AI8302" s="131"/>
      <c r="AJ8302" s="132"/>
      <c r="AK8302" s="127"/>
      <c r="AL8302" s="128"/>
      <c r="AM8302" s="21"/>
      <c r="AN8302" s="133">
        <v>46134</v>
      </c>
      <c r="AO8302" s="134"/>
      <c r="AP8302" s="135">
        <v>1014</v>
      </c>
      <c r="AQ8302" s="136"/>
      <c r="AR8302" s="118">
        <v>975000</v>
      </c>
      <c r="AS8302" s="119"/>
      <c r="AT8302" s="118">
        <f t="shared" ref="AT8302" si="12497">AR8302*0.1</f>
        <v>97500</v>
      </c>
      <c r="AU8302" s="119"/>
      <c r="AV8302" s="118">
        <v>8200</v>
      </c>
      <c r="AW8302" s="119"/>
      <c r="AX8302" s="118">
        <f t="shared" ref="AX8302" si="12498">SUM(AR8302:AW8302)</f>
        <v>1080700</v>
      </c>
      <c r="AY8302" s="119"/>
      <c r="AZ8302" s="137">
        <v>46139</v>
      </c>
    </row>
    <row r="8303" spans="1:52" ht="17.100000000000001" customHeight="1" thickBot="1">
      <c r="A8303" s="110"/>
      <c r="B8303" s="27" t="s">
        <v>23514</v>
      </c>
      <c r="C8303" s="27">
        <v>3221</v>
      </c>
      <c r="D8303" s="14" t="s">
        <v>23694</v>
      </c>
      <c r="E8303" s="112"/>
      <c r="F8303" s="139" t="s">
        <v>23537</v>
      </c>
      <c r="G8303" s="140"/>
      <c r="H8303" s="141"/>
      <c r="I8303" s="26">
        <v>28214</v>
      </c>
      <c r="J8303" s="117"/>
      <c r="K8303" s="120"/>
      <c r="L8303" s="121"/>
      <c r="M8303" s="120"/>
      <c r="N8303" s="121"/>
      <c r="O8303" s="120"/>
      <c r="P8303" s="121"/>
      <c r="Q8303" s="120"/>
      <c r="R8303" s="121"/>
      <c r="S8303" s="120"/>
      <c r="T8303" s="121"/>
      <c r="U8303" s="120"/>
      <c r="V8303" s="123"/>
      <c r="W8303" s="125"/>
      <c r="X8303" s="142" t="s">
        <v>24181</v>
      </c>
      <c r="Y8303" s="143"/>
      <c r="Z8303" s="143"/>
      <c r="AA8303" s="143"/>
      <c r="AB8303" s="144"/>
      <c r="AC8303" s="16" t="s">
        <v>21</v>
      </c>
      <c r="AD8303" s="17" t="s">
        <v>24135</v>
      </c>
      <c r="AE8303" s="145" t="s">
        <v>24182</v>
      </c>
      <c r="AF8303" s="146"/>
      <c r="AG8303" s="146"/>
      <c r="AH8303" s="146"/>
      <c r="AI8303" s="147"/>
      <c r="AJ8303" s="148"/>
      <c r="AK8303" s="143"/>
      <c r="AL8303" s="144"/>
      <c r="AM8303" s="22"/>
      <c r="AN8303" s="149" t="s">
        <v>23987</v>
      </c>
      <c r="AO8303" s="144"/>
      <c r="AP8303" s="148">
        <v>5212</v>
      </c>
      <c r="AQ8303" s="144"/>
      <c r="AR8303" s="120"/>
      <c r="AS8303" s="121"/>
      <c r="AT8303" s="120"/>
      <c r="AU8303" s="121"/>
      <c r="AV8303" s="120"/>
      <c r="AW8303" s="121"/>
      <c r="AX8303" s="120"/>
      <c r="AY8303" s="121"/>
      <c r="AZ8303" s="138"/>
    </row>
    <row r="8304" spans="1:52" ht="17.100000000000001" customHeight="1" thickTop="1">
      <c r="A8304" s="151" t="s">
        <v>23506</v>
      </c>
      <c r="B8304" s="28">
        <v>46129</v>
      </c>
      <c r="C8304" s="25">
        <v>1415</v>
      </c>
      <c r="D8304" s="13" t="s">
        <v>23696</v>
      </c>
      <c r="E8304" s="111"/>
      <c r="F8304" s="113" t="s">
        <v>23538</v>
      </c>
      <c r="G8304" s="114"/>
      <c r="H8304" s="115"/>
      <c r="I8304" s="24" t="s">
        <v>23697</v>
      </c>
      <c r="J8304" s="116">
        <v>4</v>
      </c>
      <c r="K8304" s="118">
        <v>1048000</v>
      </c>
      <c r="L8304" s="119"/>
      <c r="M8304" s="118">
        <f t="shared" ref="M8304" si="12499">K8304*0.1</f>
        <v>104800</v>
      </c>
      <c r="N8304" s="119"/>
      <c r="O8304" s="118">
        <v>30690</v>
      </c>
      <c r="P8304" s="119"/>
      <c r="Q8304" s="118">
        <v>9830</v>
      </c>
      <c r="R8304" s="119"/>
      <c r="S8304" s="118">
        <v>15400</v>
      </c>
      <c r="T8304" s="119"/>
      <c r="U8304" s="118">
        <f t="shared" ref="U8304" si="12500">SUM(K8304:T8305)</f>
        <v>1208720</v>
      </c>
      <c r="V8304" s="122"/>
      <c r="W8304" s="124"/>
      <c r="X8304" s="126" t="s">
        <v>24111</v>
      </c>
      <c r="Y8304" s="127"/>
      <c r="Z8304" s="127"/>
      <c r="AA8304" s="127"/>
      <c r="AB8304" s="128"/>
      <c r="AC8304" s="15" t="s">
        <v>20</v>
      </c>
      <c r="AD8304" s="129"/>
      <c r="AE8304" s="130"/>
      <c r="AF8304" s="130"/>
      <c r="AG8304" s="130"/>
      <c r="AH8304" s="130"/>
      <c r="AI8304" s="131"/>
      <c r="AJ8304" s="132" t="s">
        <v>25132</v>
      </c>
      <c r="AK8304" s="127"/>
      <c r="AL8304" s="128"/>
      <c r="AM8304" s="21"/>
      <c r="AN8304" s="133"/>
      <c r="AO8304" s="134"/>
      <c r="AP8304" s="135"/>
      <c r="AQ8304" s="136"/>
      <c r="AR8304" s="118"/>
      <c r="AS8304" s="119"/>
      <c r="AT8304" s="118">
        <f t="shared" ref="AT8304" si="12501">AR8304*0.1</f>
        <v>0</v>
      </c>
      <c r="AU8304" s="119"/>
      <c r="AV8304" s="118"/>
      <c r="AW8304" s="119"/>
      <c r="AX8304" s="118">
        <f t="shared" ref="AX8304" si="12502">SUM(AR8304:AW8304)</f>
        <v>0</v>
      </c>
      <c r="AY8304" s="119"/>
      <c r="AZ8304" s="137"/>
    </row>
    <row r="8305" spans="1:52" ht="17.100000000000001" customHeight="1" thickBot="1">
      <c r="A8305" s="152"/>
      <c r="B8305" s="27" t="s">
        <v>23514</v>
      </c>
      <c r="C8305" s="27">
        <v>3228</v>
      </c>
      <c r="D8305" s="14" t="s">
        <v>2601</v>
      </c>
      <c r="E8305" s="112"/>
      <c r="F8305" s="139" t="s">
        <v>23539</v>
      </c>
      <c r="G8305" s="140"/>
      <c r="H8305" s="141"/>
      <c r="I8305" s="26">
        <v>78272</v>
      </c>
      <c r="J8305" s="117"/>
      <c r="K8305" s="120"/>
      <c r="L8305" s="121"/>
      <c r="M8305" s="120"/>
      <c r="N8305" s="121"/>
      <c r="O8305" s="120"/>
      <c r="P8305" s="121"/>
      <c r="Q8305" s="120"/>
      <c r="R8305" s="121"/>
      <c r="S8305" s="120"/>
      <c r="T8305" s="121"/>
      <c r="U8305" s="120"/>
      <c r="V8305" s="123"/>
      <c r="W8305" s="125"/>
      <c r="X8305" s="142" t="s">
        <v>24113</v>
      </c>
      <c r="Y8305" s="143"/>
      <c r="Z8305" s="143"/>
      <c r="AA8305" s="143"/>
      <c r="AB8305" s="144"/>
      <c r="AC8305" s="16" t="s">
        <v>24112</v>
      </c>
      <c r="AD8305" s="17" t="s">
        <v>24114</v>
      </c>
      <c r="AE8305" s="145" t="s">
        <v>24115</v>
      </c>
      <c r="AF8305" s="146"/>
      <c r="AG8305" s="146"/>
      <c r="AH8305" s="146"/>
      <c r="AI8305" s="147"/>
      <c r="AJ8305" s="148"/>
      <c r="AK8305" s="143"/>
      <c r="AL8305" s="144"/>
      <c r="AM8305" s="22"/>
      <c r="AN8305" s="149"/>
      <c r="AO8305" s="144"/>
      <c r="AP8305" s="148"/>
      <c r="AQ8305" s="144"/>
      <c r="AR8305" s="120"/>
      <c r="AS8305" s="121"/>
      <c r="AT8305" s="120"/>
      <c r="AU8305" s="121"/>
      <c r="AV8305" s="120"/>
      <c r="AW8305" s="121"/>
      <c r="AX8305" s="120"/>
      <c r="AY8305" s="121"/>
      <c r="AZ8305" s="138"/>
    </row>
    <row r="8306" spans="1:52" ht="17.100000000000001" customHeight="1" thickTop="1">
      <c r="A8306" s="109" t="s">
        <v>23507</v>
      </c>
      <c r="B8306" s="28">
        <v>46129</v>
      </c>
      <c r="C8306" s="25">
        <v>1415</v>
      </c>
      <c r="D8306" s="13" t="s">
        <v>23698</v>
      </c>
      <c r="E8306" s="111"/>
      <c r="F8306" s="113" t="s">
        <v>23540</v>
      </c>
      <c r="G8306" s="114"/>
      <c r="H8306" s="115"/>
      <c r="I8306" s="24" t="s">
        <v>23699</v>
      </c>
      <c r="J8306" s="116">
        <v>4</v>
      </c>
      <c r="K8306" s="118">
        <v>1719000</v>
      </c>
      <c r="L8306" s="119"/>
      <c r="M8306" s="118">
        <f t="shared" ref="M8306" si="12503">K8306*0.1</f>
        <v>171900</v>
      </c>
      <c r="N8306" s="119"/>
      <c r="O8306" s="118">
        <v>45320</v>
      </c>
      <c r="P8306" s="119"/>
      <c r="Q8306" s="118">
        <v>12710</v>
      </c>
      <c r="R8306" s="119"/>
      <c r="S8306" s="118">
        <v>15400</v>
      </c>
      <c r="T8306" s="119"/>
      <c r="U8306" s="118">
        <f t="shared" ref="U8306" si="12504">SUM(K8306:T8307)</f>
        <v>1964330</v>
      </c>
      <c r="V8306" s="122"/>
      <c r="W8306" s="124"/>
      <c r="X8306" s="126" t="s">
        <v>24034</v>
      </c>
      <c r="Y8306" s="127"/>
      <c r="Z8306" s="127"/>
      <c r="AA8306" s="127"/>
      <c r="AB8306" s="128"/>
      <c r="AC8306" s="15" t="s">
        <v>20</v>
      </c>
      <c r="AD8306" s="129" t="s">
        <v>23700</v>
      </c>
      <c r="AE8306" s="130"/>
      <c r="AF8306" s="130"/>
      <c r="AG8306" s="130"/>
      <c r="AH8306" s="130"/>
      <c r="AI8306" s="131"/>
      <c r="AJ8306" s="132"/>
      <c r="AK8306" s="127"/>
      <c r="AL8306" s="128"/>
      <c r="AM8306" s="21"/>
      <c r="AN8306" s="133">
        <v>46134</v>
      </c>
      <c r="AO8306" s="134"/>
      <c r="AP8306" s="135">
        <v>1014</v>
      </c>
      <c r="AQ8306" s="136"/>
      <c r="AR8306" s="118">
        <v>1780000</v>
      </c>
      <c r="AS8306" s="119"/>
      <c r="AT8306" s="118">
        <f t="shared" ref="AT8306" si="12505">AR8306*0.1</f>
        <v>178000</v>
      </c>
      <c r="AU8306" s="119"/>
      <c r="AV8306" s="118">
        <v>12710</v>
      </c>
      <c r="AW8306" s="119"/>
      <c r="AX8306" s="118">
        <f t="shared" ref="AX8306" si="12506">SUM(AR8306:AW8306)</f>
        <v>1970710</v>
      </c>
      <c r="AY8306" s="119"/>
      <c r="AZ8306" s="137">
        <v>46139</v>
      </c>
    </row>
    <row r="8307" spans="1:52" ht="17.100000000000001" customHeight="1" thickBot="1">
      <c r="A8307" s="110"/>
      <c r="B8307" s="27" t="s">
        <v>23514</v>
      </c>
      <c r="C8307" s="27">
        <v>3240</v>
      </c>
      <c r="D8307" s="14" t="s">
        <v>23600</v>
      </c>
      <c r="E8307" s="112"/>
      <c r="F8307" s="139" t="s">
        <v>23541</v>
      </c>
      <c r="G8307" s="140"/>
      <c r="H8307" s="141"/>
      <c r="I8307" s="26">
        <v>106326</v>
      </c>
      <c r="J8307" s="117"/>
      <c r="K8307" s="120"/>
      <c r="L8307" s="121"/>
      <c r="M8307" s="120"/>
      <c r="N8307" s="121"/>
      <c r="O8307" s="120"/>
      <c r="P8307" s="121"/>
      <c r="Q8307" s="120"/>
      <c r="R8307" s="121"/>
      <c r="S8307" s="120"/>
      <c r="T8307" s="121"/>
      <c r="U8307" s="120"/>
      <c r="V8307" s="123"/>
      <c r="W8307" s="125"/>
      <c r="X8307" s="142" t="s">
        <v>24035</v>
      </c>
      <c r="Y8307" s="143"/>
      <c r="Z8307" s="143"/>
      <c r="AA8307" s="143"/>
      <c r="AB8307" s="144"/>
      <c r="AC8307" s="16" t="s">
        <v>21</v>
      </c>
      <c r="AD8307" s="17" t="s">
        <v>24016</v>
      </c>
      <c r="AE8307" s="145" t="s">
        <v>24036</v>
      </c>
      <c r="AF8307" s="146"/>
      <c r="AG8307" s="146"/>
      <c r="AH8307" s="146"/>
      <c r="AI8307" s="147"/>
      <c r="AJ8307" s="148"/>
      <c r="AK8307" s="143"/>
      <c r="AL8307" s="144"/>
      <c r="AM8307" s="22"/>
      <c r="AN8307" s="149" t="s">
        <v>23987</v>
      </c>
      <c r="AO8307" s="144"/>
      <c r="AP8307" s="148">
        <v>5136</v>
      </c>
      <c r="AQ8307" s="144"/>
      <c r="AR8307" s="120"/>
      <c r="AS8307" s="121"/>
      <c r="AT8307" s="120"/>
      <c r="AU8307" s="121"/>
      <c r="AV8307" s="120"/>
      <c r="AW8307" s="121"/>
      <c r="AX8307" s="120"/>
      <c r="AY8307" s="121"/>
      <c r="AZ8307" s="138"/>
    </row>
    <row r="8308" spans="1:52" ht="17.100000000000001" customHeight="1" thickTop="1">
      <c r="A8308" s="109" t="s">
        <v>23508</v>
      </c>
      <c r="B8308" s="28">
        <v>46129</v>
      </c>
      <c r="C8308" s="25">
        <v>1415</v>
      </c>
      <c r="D8308" s="13" t="s">
        <v>23701</v>
      </c>
      <c r="E8308" s="111"/>
      <c r="F8308" s="113" t="s">
        <v>23542</v>
      </c>
      <c r="G8308" s="114"/>
      <c r="H8308" s="115"/>
      <c r="I8308" s="24"/>
      <c r="J8308" s="116">
        <v>4</v>
      </c>
      <c r="K8308" s="118">
        <v>1305000</v>
      </c>
      <c r="L8308" s="119"/>
      <c r="M8308" s="118">
        <f t="shared" ref="M8308" si="12507">K8308*0.1</f>
        <v>130500</v>
      </c>
      <c r="N8308" s="119"/>
      <c r="O8308" s="118">
        <v>0</v>
      </c>
      <c r="P8308" s="119"/>
      <c r="Q8308" s="118">
        <v>11530</v>
      </c>
      <c r="R8308" s="119"/>
      <c r="S8308" s="118">
        <v>15400</v>
      </c>
      <c r="T8308" s="119"/>
      <c r="U8308" s="118">
        <f t="shared" ref="U8308" si="12508">SUM(K8308:T8309)</f>
        <v>1462430</v>
      </c>
      <c r="V8308" s="122"/>
      <c r="W8308" s="124"/>
      <c r="X8308" s="126" t="s">
        <v>24129</v>
      </c>
      <c r="Y8308" s="127"/>
      <c r="Z8308" s="127"/>
      <c r="AA8308" s="127"/>
      <c r="AB8308" s="128"/>
      <c r="AC8308" s="15" t="s">
        <v>20</v>
      </c>
      <c r="AD8308" s="129" t="s">
        <v>23702</v>
      </c>
      <c r="AE8308" s="130"/>
      <c r="AF8308" s="130"/>
      <c r="AG8308" s="130"/>
      <c r="AH8308" s="130"/>
      <c r="AI8308" s="131"/>
      <c r="AJ8308" s="132"/>
      <c r="AK8308" s="127"/>
      <c r="AL8308" s="128"/>
      <c r="AM8308" s="21"/>
      <c r="AN8308" s="133"/>
      <c r="AO8308" s="134"/>
      <c r="AP8308" s="135"/>
      <c r="AQ8308" s="136"/>
      <c r="AR8308" s="118"/>
      <c r="AS8308" s="119"/>
      <c r="AT8308" s="118">
        <f t="shared" ref="AT8308" si="12509">AR8308*0.1</f>
        <v>0</v>
      </c>
      <c r="AU8308" s="119"/>
      <c r="AV8308" s="118"/>
      <c r="AW8308" s="119"/>
      <c r="AX8308" s="118">
        <f t="shared" ref="AX8308" si="12510">SUM(AR8308:AW8308)</f>
        <v>0</v>
      </c>
      <c r="AY8308" s="119"/>
      <c r="AZ8308" s="137"/>
    </row>
    <row r="8309" spans="1:52" ht="17.100000000000001" customHeight="1" thickBot="1">
      <c r="A8309" s="110"/>
      <c r="B8309" s="27" t="s">
        <v>23514</v>
      </c>
      <c r="C8309" s="27">
        <v>7095</v>
      </c>
      <c r="D8309" s="14" t="s">
        <v>2601</v>
      </c>
      <c r="E8309" s="112"/>
      <c r="F8309" s="139" t="s">
        <v>23543</v>
      </c>
      <c r="G8309" s="140"/>
      <c r="H8309" s="141"/>
      <c r="I8309" s="26">
        <v>119755</v>
      </c>
      <c r="J8309" s="117"/>
      <c r="K8309" s="120"/>
      <c r="L8309" s="121"/>
      <c r="M8309" s="120"/>
      <c r="N8309" s="121"/>
      <c r="O8309" s="120"/>
      <c r="P8309" s="121"/>
      <c r="Q8309" s="120"/>
      <c r="R8309" s="121"/>
      <c r="S8309" s="120"/>
      <c r="T8309" s="121"/>
      <c r="U8309" s="120"/>
      <c r="V8309" s="123"/>
      <c r="W8309" s="125"/>
      <c r="X8309" s="142" t="s">
        <v>24130</v>
      </c>
      <c r="Y8309" s="143"/>
      <c r="Z8309" s="143"/>
      <c r="AA8309" s="143"/>
      <c r="AB8309" s="144"/>
      <c r="AC8309" s="16" t="s">
        <v>21</v>
      </c>
      <c r="AD8309" s="17" t="s">
        <v>24114</v>
      </c>
      <c r="AE8309" s="145" t="s">
        <v>25985</v>
      </c>
      <c r="AF8309" s="146"/>
      <c r="AG8309" s="146"/>
      <c r="AH8309" s="146"/>
      <c r="AI8309" s="147"/>
      <c r="AJ8309" s="148"/>
      <c r="AK8309" s="143"/>
      <c r="AL8309" s="144"/>
      <c r="AM8309" s="22"/>
      <c r="AN8309" s="149"/>
      <c r="AO8309" s="144"/>
      <c r="AP8309" s="148"/>
      <c r="AQ8309" s="144"/>
      <c r="AR8309" s="120"/>
      <c r="AS8309" s="121"/>
      <c r="AT8309" s="120"/>
      <c r="AU8309" s="121"/>
      <c r="AV8309" s="120"/>
      <c r="AW8309" s="121"/>
      <c r="AX8309" s="120"/>
      <c r="AY8309" s="121"/>
      <c r="AZ8309" s="138"/>
    </row>
    <row r="8310" spans="1:52" ht="17.100000000000001" customHeight="1" thickTop="1">
      <c r="A8310" s="109" t="s">
        <v>23509</v>
      </c>
      <c r="B8310" s="28">
        <v>46129</v>
      </c>
      <c r="C8310" s="25">
        <v>1415</v>
      </c>
      <c r="D8310" s="13" t="s">
        <v>23703</v>
      </c>
      <c r="E8310" s="111"/>
      <c r="F8310" s="113" t="s">
        <v>23544</v>
      </c>
      <c r="G8310" s="114"/>
      <c r="H8310" s="115"/>
      <c r="I8310" s="24"/>
      <c r="J8310" s="116">
        <v>4.5</v>
      </c>
      <c r="K8310" s="118">
        <v>1388000</v>
      </c>
      <c r="L8310" s="119"/>
      <c r="M8310" s="118">
        <f t="shared" ref="M8310" si="12511">K8310*0.1</f>
        <v>138800</v>
      </c>
      <c r="N8310" s="119"/>
      <c r="O8310" s="118">
        <v>0</v>
      </c>
      <c r="P8310" s="119"/>
      <c r="Q8310" s="118">
        <v>9490</v>
      </c>
      <c r="R8310" s="119"/>
      <c r="S8310" s="118">
        <v>15400</v>
      </c>
      <c r="T8310" s="119"/>
      <c r="U8310" s="118">
        <f t="shared" ref="U8310" si="12512">SUM(K8310:T8311)</f>
        <v>1551690</v>
      </c>
      <c r="V8310" s="122"/>
      <c r="W8310" s="124"/>
      <c r="X8310" s="126" t="s">
        <v>24124</v>
      </c>
      <c r="Y8310" s="127"/>
      <c r="Z8310" s="127"/>
      <c r="AA8310" s="127"/>
      <c r="AB8310" s="128"/>
      <c r="AC8310" s="15" t="s">
        <v>20</v>
      </c>
      <c r="AD8310" s="129" t="s">
        <v>23619</v>
      </c>
      <c r="AE8310" s="130"/>
      <c r="AF8310" s="130"/>
      <c r="AG8310" s="130"/>
      <c r="AH8310" s="130"/>
      <c r="AI8310" s="131"/>
      <c r="AJ8310" s="132"/>
      <c r="AK8310" s="127"/>
      <c r="AL8310" s="128"/>
      <c r="AM8310" s="21"/>
      <c r="AN8310" s="133">
        <v>46134</v>
      </c>
      <c r="AO8310" s="134"/>
      <c r="AP8310" s="135">
        <v>1014</v>
      </c>
      <c r="AQ8310" s="136"/>
      <c r="AR8310" s="118">
        <v>1570000</v>
      </c>
      <c r="AS8310" s="119"/>
      <c r="AT8310" s="118">
        <f t="shared" ref="AT8310" si="12513">AR8310*0.1</f>
        <v>157000</v>
      </c>
      <c r="AU8310" s="119"/>
      <c r="AV8310" s="118">
        <v>9490</v>
      </c>
      <c r="AW8310" s="119"/>
      <c r="AX8310" s="118">
        <f t="shared" ref="AX8310" si="12514">SUM(AR8310:AW8310)</f>
        <v>1736490</v>
      </c>
      <c r="AY8310" s="119"/>
      <c r="AZ8310" s="137">
        <v>46142</v>
      </c>
    </row>
    <row r="8311" spans="1:52" ht="17.100000000000001" customHeight="1" thickBot="1">
      <c r="A8311" s="110"/>
      <c r="B8311" s="27" t="s">
        <v>23514</v>
      </c>
      <c r="C8311" s="27">
        <v>7136</v>
      </c>
      <c r="D8311" s="14" t="s">
        <v>23592</v>
      </c>
      <c r="E8311" s="112"/>
      <c r="F8311" s="139" t="s">
        <v>23545</v>
      </c>
      <c r="G8311" s="140"/>
      <c r="H8311" s="141"/>
      <c r="I8311" s="26">
        <v>44913</v>
      </c>
      <c r="J8311" s="117"/>
      <c r="K8311" s="120"/>
      <c r="L8311" s="121"/>
      <c r="M8311" s="120"/>
      <c r="N8311" s="121"/>
      <c r="O8311" s="120"/>
      <c r="P8311" s="121"/>
      <c r="Q8311" s="120"/>
      <c r="R8311" s="121"/>
      <c r="S8311" s="120"/>
      <c r="T8311" s="121"/>
      <c r="U8311" s="120"/>
      <c r="V8311" s="123"/>
      <c r="W8311" s="125"/>
      <c r="X8311" s="142" t="s">
        <v>24125</v>
      </c>
      <c r="Y8311" s="143"/>
      <c r="Z8311" s="143"/>
      <c r="AA8311" s="143"/>
      <c r="AB8311" s="144"/>
      <c r="AC8311" s="16" t="s">
        <v>21</v>
      </c>
      <c r="AD8311" s="17" t="s">
        <v>24114</v>
      </c>
      <c r="AE8311" s="145" t="s">
        <v>24126</v>
      </c>
      <c r="AF8311" s="146"/>
      <c r="AG8311" s="146"/>
      <c r="AH8311" s="146"/>
      <c r="AI8311" s="147"/>
      <c r="AJ8311" s="148"/>
      <c r="AK8311" s="143"/>
      <c r="AL8311" s="144"/>
      <c r="AM8311" s="22"/>
      <c r="AN8311" s="149" t="s">
        <v>8809</v>
      </c>
      <c r="AO8311" s="144"/>
      <c r="AP8311" s="148">
        <v>5210</v>
      </c>
      <c r="AQ8311" s="144"/>
      <c r="AR8311" s="120"/>
      <c r="AS8311" s="121"/>
      <c r="AT8311" s="120"/>
      <c r="AU8311" s="121"/>
      <c r="AV8311" s="120"/>
      <c r="AW8311" s="121"/>
      <c r="AX8311" s="120"/>
      <c r="AY8311" s="121"/>
      <c r="AZ8311" s="138"/>
    </row>
    <row r="8312" spans="1:52" ht="17.100000000000001" customHeight="1" thickTop="1">
      <c r="A8312" s="109" t="s">
        <v>23510</v>
      </c>
      <c r="B8312" s="28">
        <v>46129</v>
      </c>
      <c r="C8312" s="25">
        <v>1415</v>
      </c>
      <c r="D8312" s="13" t="s">
        <v>23704</v>
      </c>
      <c r="E8312" s="111"/>
      <c r="F8312" s="113" t="s">
        <v>23546</v>
      </c>
      <c r="G8312" s="114"/>
      <c r="H8312" s="115"/>
      <c r="I8312" s="24"/>
      <c r="J8312" s="116">
        <v>4.5</v>
      </c>
      <c r="K8312" s="118">
        <v>751000</v>
      </c>
      <c r="L8312" s="119"/>
      <c r="M8312" s="118">
        <f t="shared" ref="M8312" si="12515">K8312*0.1</f>
        <v>75100</v>
      </c>
      <c r="N8312" s="119"/>
      <c r="O8312" s="118">
        <v>0</v>
      </c>
      <c r="P8312" s="119"/>
      <c r="Q8312" s="118">
        <v>5340</v>
      </c>
      <c r="R8312" s="119"/>
      <c r="S8312" s="118">
        <v>15400</v>
      </c>
      <c r="T8312" s="119"/>
      <c r="U8312" s="118">
        <f t="shared" ref="U8312" si="12516">SUM(K8312:T8313)</f>
        <v>846840</v>
      </c>
      <c r="V8312" s="122"/>
      <c r="W8312" s="124"/>
      <c r="X8312" s="126" t="s">
        <v>24037</v>
      </c>
      <c r="Y8312" s="127"/>
      <c r="Z8312" s="127"/>
      <c r="AA8312" s="127"/>
      <c r="AB8312" s="128"/>
      <c r="AC8312" s="15" t="s">
        <v>20</v>
      </c>
      <c r="AD8312" s="129"/>
      <c r="AE8312" s="130"/>
      <c r="AF8312" s="130"/>
      <c r="AG8312" s="130"/>
      <c r="AH8312" s="130"/>
      <c r="AI8312" s="131"/>
      <c r="AJ8312" s="132"/>
      <c r="AK8312" s="127"/>
      <c r="AL8312" s="128"/>
      <c r="AM8312" s="21"/>
      <c r="AN8312" s="133">
        <v>46134</v>
      </c>
      <c r="AO8312" s="134"/>
      <c r="AP8312" s="135">
        <v>1014</v>
      </c>
      <c r="AQ8312" s="136"/>
      <c r="AR8312" s="118">
        <v>815000</v>
      </c>
      <c r="AS8312" s="119"/>
      <c r="AT8312" s="118">
        <f t="shared" ref="AT8312" si="12517">AR8312*0.1</f>
        <v>81500</v>
      </c>
      <c r="AU8312" s="119"/>
      <c r="AV8312" s="118">
        <v>5340</v>
      </c>
      <c r="AW8312" s="119"/>
      <c r="AX8312" s="118">
        <f t="shared" ref="AX8312" si="12518">SUM(AR8312:AW8312)</f>
        <v>901840</v>
      </c>
      <c r="AY8312" s="119"/>
      <c r="AZ8312" s="137">
        <v>46139</v>
      </c>
    </row>
    <row r="8313" spans="1:52" ht="17.100000000000001" customHeight="1" thickBot="1">
      <c r="A8313" s="110"/>
      <c r="B8313" s="27" t="s">
        <v>23514</v>
      </c>
      <c r="C8313" s="27">
        <v>7502</v>
      </c>
      <c r="D8313" s="14" t="s">
        <v>23605</v>
      </c>
      <c r="E8313" s="112"/>
      <c r="F8313" s="139" t="s">
        <v>23547</v>
      </c>
      <c r="G8313" s="140"/>
      <c r="H8313" s="141"/>
      <c r="I8313" s="26">
        <v>52665</v>
      </c>
      <c r="J8313" s="117"/>
      <c r="K8313" s="120"/>
      <c r="L8313" s="121"/>
      <c r="M8313" s="120"/>
      <c r="N8313" s="121"/>
      <c r="O8313" s="120"/>
      <c r="P8313" s="121"/>
      <c r="Q8313" s="120"/>
      <c r="R8313" s="121"/>
      <c r="S8313" s="120"/>
      <c r="T8313" s="121"/>
      <c r="U8313" s="120"/>
      <c r="V8313" s="123"/>
      <c r="W8313" s="125"/>
      <c r="X8313" s="142" t="s">
        <v>8529</v>
      </c>
      <c r="Y8313" s="143"/>
      <c r="Z8313" s="143"/>
      <c r="AA8313" s="143"/>
      <c r="AB8313" s="144"/>
      <c r="AC8313" s="16" t="s">
        <v>21</v>
      </c>
      <c r="AD8313" s="17" t="s">
        <v>24016</v>
      </c>
      <c r="AE8313" s="145" t="s">
        <v>10198</v>
      </c>
      <c r="AF8313" s="146"/>
      <c r="AG8313" s="146"/>
      <c r="AH8313" s="146"/>
      <c r="AI8313" s="147"/>
      <c r="AJ8313" s="148"/>
      <c r="AK8313" s="143"/>
      <c r="AL8313" s="144"/>
      <c r="AM8313" s="22"/>
      <c r="AN8313" s="149" t="s">
        <v>23987</v>
      </c>
      <c r="AO8313" s="144"/>
      <c r="AP8313" s="148">
        <v>5123</v>
      </c>
      <c r="AQ8313" s="144"/>
      <c r="AR8313" s="120"/>
      <c r="AS8313" s="121"/>
      <c r="AT8313" s="120"/>
      <c r="AU8313" s="121"/>
      <c r="AV8313" s="120"/>
      <c r="AW8313" s="121"/>
      <c r="AX8313" s="120"/>
      <c r="AY8313" s="121"/>
      <c r="AZ8313" s="138"/>
    </row>
    <row r="8314" spans="1:52" ht="17.100000000000001" customHeight="1" thickTop="1">
      <c r="A8314" s="109" t="s">
        <v>23515</v>
      </c>
      <c r="B8314" s="28">
        <v>46129</v>
      </c>
      <c r="C8314" s="25">
        <v>1415</v>
      </c>
      <c r="D8314" s="13" t="s">
        <v>23705</v>
      </c>
      <c r="E8314" s="111"/>
      <c r="F8314" s="113" t="s">
        <v>23706</v>
      </c>
      <c r="G8314" s="114"/>
      <c r="H8314" s="115"/>
      <c r="I8314" s="24" t="s">
        <v>23707</v>
      </c>
      <c r="J8314" s="116">
        <v>4</v>
      </c>
      <c r="K8314" s="118">
        <v>928000</v>
      </c>
      <c r="L8314" s="119"/>
      <c r="M8314" s="118">
        <f t="shared" ref="M8314" si="12519">K8314*0.1</f>
        <v>92800</v>
      </c>
      <c r="N8314" s="119"/>
      <c r="O8314" s="118">
        <v>0</v>
      </c>
      <c r="P8314" s="119"/>
      <c r="Q8314" s="118">
        <v>9310</v>
      </c>
      <c r="R8314" s="119"/>
      <c r="S8314" s="118">
        <v>15400</v>
      </c>
      <c r="T8314" s="119"/>
      <c r="U8314" s="118">
        <f t="shared" ref="U8314" si="12520">SUM(K8314:T8315)</f>
        <v>1045510</v>
      </c>
      <c r="V8314" s="122"/>
      <c r="W8314" s="124"/>
      <c r="X8314" s="126" t="s">
        <v>24281</v>
      </c>
      <c r="Y8314" s="127"/>
      <c r="Z8314" s="127"/>
      <c r="AA8314" s="127"/>
      <c r="AB8314" s="128"/>
      <c r="AC8314" s="15" t="s">
        <v>20</v>
      </c>
      <c r="AD8314" s="129" t="s">
        <v>23692</v>
      </c>
      <c r="AE8314" s="130"/>
      <c r="AF8314" s="130"/>
      <c r="AG8314" s="130"/>
      <c r="AH8314" s="130"/>
      <c r="AI8314" s="131"/>
      <c r="AJ8314" s="132"/>
      <c r="AK8314" s="127"/>
      <c r="AL8314" s="128"/>
      <c r="AM8314" s="21"/>
      <c r="AN8314" s="133">
        <v>46134</v>
      </c>
      <c r="AO8314" s="134"/>
      <c r="AP8314" s="135">
        <v>1014</v>
      </c>
      <c r="AQ8314" s="136"/>
      <c r="AR8314" s="118">
        <v>980000</v>
      </c>
      <c r="AS8314" s="119"/>
      <c r="AT8314" s="118">
        <f t="shared" ref="AT8314" si="12521">AR8314*0.1</f>
        <v>98000</v>
      </c>
      <c r="AU8314" s="119"/>
      <c r="AV8314" s="118">
        <v>9310</v>
      </c>
      <c r="AW8314" s="119"/>
      <c r="AX8314" s="118">
        <f t="shared" ref="AX8314" si="12522">SUM(AR8314:AW8314)</f>
        <v>1087310</v>
      </c>
      <c r="AY8314" s="119"/>
      <c r="AZ8314" s="137">
        <v>46140</v>
      </c>
    </row>
    <row r="8315" spans="1:52" ht="17.100000000000001" customHeight="1" thickBot="1">
      <c r="A8315" s="110"/>
      <c r="B8315" s="27" t="s">
        <v>23514</v>
      </c>
      <c r="C8315" s="27">
        <v>7506</v>
      </c>
      <c r="D8315" s="14" t="s">
        <v>1720</v>
      </c>
      <c r="E8315" s="112"/>
      <c r="F8315" s="139" t="s">
        <v>23548</v>
      </c>
      <c r="G8315" s="140"/>
      <c r="H8315" s="141"/>
      <c r="I8315" s="26">
        <v>50686</v>
      </c>
      <c r="J8315" s="117"/>
      <c r="K8315" s="120"/>
      <c r="L8315" s="121"/>
      <c r="M8315" s="120"/>
      <c r="N8315" s="121"/>
      <c r="O8315" s="120"/>
      <c r="P8315" s="121"/>
      <c r="Q8315" s="120"/>
      <c r="R8315" s="121"/>
      <c r="S8315" s="120"/>
      <c r="T8315" s="121"/>
      <c r="U8315" s="120"/>
      <c r="V8315" s="123"/>
      <c r="W8315" s="125"/>
      <c r="X8315" s="142" t="s">
        <v>4619</v>
      </c>
      <c r="Y8315" s="143"/>
      <c r="Z8315" s="143"/>
      <c r="AA8315" s="143"/>
      <c r="AB8315" s="144"/>
      <c r="AC8315" s="16" t="s">
        <v>21</v>
      </c>
      <c r="AD8315" s="17" t="s">
        <v>24261</v>
      </c>
      <c r="AE8315" s="145" t="s">
        <v>1633</v>
      </c>
      <c r="AF8315" s="146"/>
      <c r="AG8315" s="146"/>
      <c r="AH8315" s="146"/>
      <c r="AI8315" s="147"/>
      <c r="AJ8315" s="148"/>
      <c r="AK8315" s="143"/>
      <c r="AL8315" s="144"/>
      <c r="AM8315" s="22"/>
      <c r="AN8315" s="149" t="s">
        <v>23987</v>
      </c>
      <c r="AO8315" s="144"/>
      <c r="AP8315" s="148">
        <v>5132</v>
      </c>
      <c r="AQ8315" s="144"/>
      <c r="AR8315" s="120"/>
      <c r="AS8315" s="121"/>
      <c r="AT8315" s="120"/>
      <c r="AU8315" s="121"/>
      <c r="AV8315" s="120"/>
      <c r="AW8315" s="121"/>
      <c r="AX8315" s="120"/>
      <c r="AY8315" s="121"/>
      <c r="AZ8315" s="138"/>
    </row>
    <row r="8316" spans="1:52" ht="17.100000000000001" customHeight="1" thickTop="1">
      <c r="A8316" s="109" t="s">
        <v>23516</v>
      </c>
      <c r="B8316" s="28">
        <v>46129</v>
      </c>
      <c r="C8316" s="25">
        <v>1415</v>
      </c>
      <c r="D8316" s="13" t="s">
        <v>23708</v>
      </c>
      <c r="E8316" s="111"/>
      <c r="F8316" s="113" t="s">
        <v>23549</v>
      </c>
      <c r="G8316" s="114"/>
      <c r="H8316" s="115"/>
      <c r="I8316" s="24"/>
      <c r="J8316" s="116">
        <v>4</v>
      </c>
      <c r="K8316" s="118">
        <v>861000</v>
      </c>
      <c r="L8316" s="119"/>
      <c r="M8316" s="118">
        <f t="shared" ref="M8316" si="12523">K8316*0.1</f>
        <v>86100</v>
      </c>
      <c r="N8316" s="119"/>
      <c r="O8316" s="118">
        <v>0</v>
      </c>
      <c r="P8316" s="119"/>
      <c r="Q8316" s="118">
        <v>8740</v>
      </c>
      <c r="R8316" s="119"/>
      <c r="S8316" s="118">
        <v>15400</v>
      </c>
      <c r="T8316" s="119"/>
      <c r="U8316" s="118">
        <f t="shared" ref="U8316" si="12524">SUM(K8316:T8317)</f>
        <v>971240</v>
      </c>
      <c r="V8316" s="122"/>
      <c r="W8316" s="124"/>
      <c r="X8316" s="126" t="s">
        <v>24290</v>
      </c>
      <c r="Y8316" s="127"/>
      <c r="Z8316" s="127"/>
      <c r="AA8316" s="127"/>
      <c r="AB8316" s="128"/>
      <c r="AC8316" s="15" t="s">
        <v>20</v>
      </c>
      <c r="AD8316" s="129" t="s">
        <v>23619</v>
      </c>
      <c r="AE8316" s="130"/>
      <c r="AF8316" s="130"/>
      <c r="AG8316" s="130"/>
      <c r="AH8316" s="130"/>
      <c r="AI8316" s="131"/>
      <c r="AJ8316" s="132"/>
      <c r="AK8316" s="127"/>
      <c r="AL8316" s="128"/>
      <c r="AM8316" s="21"/>
      <c r="AN8316" s="133"/>
      <c r="AO8316" s="134"/>
      <c r="AP8316" s="135"/>
      <c r="AQ8316" s="136"/>
      <c r="AR8316" s="118"/>
      <c r="AS8316" s="119"/>
      <c r="AT8316" s="118">
        <f t="shared" ref="AT8316" si="12525">AR8316*0.1</f>
        <v>0</v>
      </c>
      <c r="AU8316" s="119"/>
      <c r="AV8316" s="118"/>
      <c r="AW8316" s="119"/>
      <c r="AX8316" s="118">
        <f t="shared" ref="AX8316" si="12526">SUM(AR8316:AW8316)</f>
        <v>0</v>
      </c>
      <c r="AY8316" s="119"/>
      <c r="AZ8316" s="137"/>
    </row>
    <row r="8317" spans="1:52" ht="17.100000000000001" customHeight="1" thickBot="1">
      <c r="A8317" s="110"/>
      <c r="B8317" s="27" t="s">
        <v>23514</v>
      </c>
      <c r="C8317" s="27">
        <v>7550</v>
      </c>
      <c r="D8317" s="14" t="s">
        <v>23661</v>
      </c>
      <c r="E8317" s="112"/>
      <c r="F8317" s="139" t="s">
        <v>23550</v>
      </c>
      <c r="G8317" s="140"/>
      <c r="H8317" s="141"/>
      <c r="I8317" s="26">
        <v>43723</v>
      </c>
      <c r="J8317" s="117"/>
      <c r="K8317" s="120"/>
      <c r="L8317" s="121"/>
      <c r="M8317" s="120"/>
      <c r="N8317" s="121"/>
      <c r="O8317" s="120"/>
      <c r="P8317" s="121"/>
      <c r="Q8317" s="120"/>
      <c r="R8317" s="121"/>
      <c r="S8317" s="120"/>
      <c r="T8317" s="121"/>
      <c r="U8317" s="120"/>
      <c r="V8317" s="123"/>
      <c r="W8317" s="125"/>
      <c r="X8317" s="142" t="s">
        <v>4619</v>
      </c>
      <c r="Y8317" s="143"/>
      <c r="Z8317" s="143"/>
      <c r="AA8317" s="143"/>
      <c r="AB8317" s="144"/>
      <c r="AC8317" s="16" t="s">
        <v>21</v>
      </c>
      <c r="AD8317" s="17" t="s">
        <v>24261</v>
      </c>
      <c r="AE8317" s="145" t="s">
        <v>7841</v>
      </c>
      <c r="AF8317" s="146"/>
      <c r="AG8317" s="146"/>
      <c r="AH8317" s="146"/>
      <c r="AI8317" s="147"/>
      <c r="AJ8317" s="148"/>
      <c r="AK8317" s="143"/>
      <c r="AL8317" s="144"/>
      <c r="AM8317" s="22"/>
      <c r="AN8317" s="149"/>
      <c r="AO8317" s="144"/>
      <c r="AP8317" s="148"/>
      <c r="AQ8317" s="144"/>
      <c r="AR8317" s="120"/>
      <c r="AS8317" s="121"/>
      <c r="AT8317" s="120"/>
      <c r="AU8317" s="121"/>
      <c r="AV8317" s="120"/>
      <c r="AW8317" s="121"/>
      <c r="AX8317" s="120"/>
      <c r="AY8317" s="121"/>
      <c r="AZ8317" s="138"/>
    </row>
    <row r="8318" spans="1:52" ht="17.100000000000001" customHeight="1" thickTop="1">
      <c r="A8318" s="109" t="s">
        <v>23517</v>
      </c>
      <c r="B8318" s="28">
        <v>46129</v>
      </c>
      <c r="C8318" s="25">
        <v>1415</v>
      </c>
      <c r="D8318" s="13" t="s">
        <v>23709</v>
      </c>
      <c r="E8318" s="111"/>
      <c r="F8318" s="113" t="s">
        <v>23551</v>
      </c>
      <c r="G8318" s="114"/>
      <c r="H8318" s="115"/>
      <c r="I8318" s="24"/>
      <c r="J8318" s="116">
        <v>4</v>
      </c>
      <c r="K8318" s="118">
        <v>189000</v>
      </c>
      <c r="L8318" s="119"/>
      <c r="M8318" s="118">
        <f t="shared" ref="M8318" si="12527">K8318*0.1</f>
        <v>18900</v>
      </c>
      <c r="N8318" s="119"/>
      <c r="O8318" s="118">
        <v>0</v>
      </c>
      <c r="P8318" s="119"/>
      <c r="Q8318" s="118">
        <v>8930</v>
      </c>
      <c r="R8318" s="119"/>
      <c r="S8318" s="118">
        <v>15400</v>
      </c>
      <c r="T8318" s="119"/>
      <c r="U8318" s="118">
        <f t="shared" ref="U8318" si="12528">SUM(K8318:T8319)</f>
        <v>232230</v>
      </c>
      <c r="V8318" s="122"/>
      <c r="W8318" s="124"/>
      <c r="X8318" s="126" t="s">
        <v>24292</v>
      </c>
      <c r="Y8318" s="127"/>
      <c r="Z8318" s="127"/>
      <c r="AA8318" s="127"/>
      <c r="AB8318" s="128"/>
      <c r="AC8318" s="15" t="s">
        <v>20</v>
      </c>
      <c r="AD8318" s="129" t="s">
        <v>23619</v>
      </c>
      <c r="AE8318" s="130"/>
      <c r="AF8318" s="130"/>
      <c r="AG8318" s="130"/>
      <c r="AH8318" s="130"/>
      <c r="AI8318" s="131"/>
      <c r="AJ8318" s="132"/>
      <c r="AK8318" s="127"/>
      <c r="AL8318" s="128"/>
      <c r="AM8318" s="21"/>
      <c r="AN8318" s="133">
        <v>46137</v>
      </c>
      <c r="AO8318" s="134"/>
      <c r="AP8318" s="135">
        <v>1298</v>
      </c>
      <c r="AQ8318" s="136"/>
      <c r="AR8318" s="118">
        <v>305000</v>
      </c>
      <c r="AS8318" s="119"/>
      <c r="AT8318" s="118">
        <f t="shared" ref="AT8318" si="12529">AR8318*0.1</f>
        <v>30500</v>
      </c>
      <c r="AU8318" s="119"/>
      <c r="AV8318" s="118">
        <v>8930</v>
      </c>
      <c r="AW8318" s="119"/>
      <c r="AX8318" s="118">
        <f t="shared" ref="AX8318" si="12530">SUM(AR8318:AW8318)</f>
        <v>344430</v>
      </c>
      <c r="AY8318" s="119"/>
      <c r="AZ8318" s="137">
        <v>46140</v>
      </c>
    </row>
    <row r="8319" spans="1:52" ht="17.100000000000001" customHeight="1" thickBot="1">
      <c r="A8319" s="110"/>
      <c r="B8319" s="27" t="s">
        <v>23514</v>
      </c>
      <c r="C8319" s="27">
        <v>7568</v>
      </c>
      <c r="D8319" s="14" t="s">
        <v>2601</v>
      </c>
      <c r="E8319" s="112"/>
      <c r="F8319" s="139" t="s">
        <v>23552</v>
      </c>
      <c r="G8319" s="140"/>
      <c r="H8319" s="141"/>
      <c r="I8319" s="26">
        <v>59555</v>
      </c>
      <c r="J8319" s="117"/>
      <c r="K8319" s="120"/>
      <c r="L8319" s="121"/>
      <c r="M8319" s="120"/>
      <c r="N8319" s="121"/>
      <c r="O8319" s="120"/>
      <c r="P8319" s="121"/>
      <c r="Q8319" s="120"/>
      <c r="R8319" s="121"/>
      <c r="S8319" s="120"/>
      <c r="T8319" s="121"/>
      <c r="U8319" s="120"/>
      <c r="V8319" s="123"/>
      <c r="W8319" s="125"/>
      <c r="X8319" s="142" t="s">
        <v>16603</v>
      </c>
      <c r="Y8319" s="143"/>
      <c r="Z8319" s="143"/>
      <c r="AA8319" s="143"/>
      <c r="AB8319" s="144"/>
      <c r="AC8319" s="16" t="s">
        <v>21</v>
      </c>
      <c r="AD8319" s="17" t="s">
        <v>24261</v>
      </c>
      <c r="AE8319" s="145" t="s">
        <v>171</v>
      </c>
      <c r="AF8319" s="146"/>
      <c r="AG8319" s="146"/>
      <c r="AH8319" s="146"/>
      <c r="AI8319" s="147"/>
      <c r="AJ8319" s="148"/>
      <c r="AK8319" s="143"/>
      <c r="AL8319" s="144"/>
      <c r="AM8319" s="22"/>
      <c r="AN8319" s="149" t="s">
        <v>2511</v>
      </c>
      <c r="AO8319" s="144"/>
      <c r="AP8319" s="148">
        <v>60265</v>
      </c>
      <c r="AQ8319" s="144"/>
      <c r="AR8319" s="120"/>
      <c r="AS8319" s="121"/>
      <c r="AT8319" s="120"/>
      <c r="AU8319" s="121"/>
      <c r="AV8319" s="120"/>
      <c r="AW8319" s="121"/>
      <c r="AX8319" s="120"/>
      <c r="AY8319" s="121"/>
      <c r="AZ8319" s="138"/>
    </row>
    <row r="8320" spans="1:52" ht="17.100000000000001" customHeight="1" thickTop="1">
      <c r="A8320" s="109" t="s">
        <v>23518</v>
      </c>
      <c r="B8320" s="28">
        <v>46129</v>
      </c>
      <c r="C8320" s="25">
        <v>1415</v>
      </c>
      <c r="D8320" s="13" t="s">
        <v>23710</v>
      </c>
      <c r="E8320" s="111"/>
      <c r="F8320" s="113" t="s">
        <v>23553</v>
      </c>
      <c r="G8320" s="114"/>
      <c r="H8320" s="115"/>
      <c r="I8320" s="24"/>
      <c r="J8320" s="116">
        <v>4.5</v>
      </c>
      <c r="K8320" s="118">
        <v>1116000</v>
      </c>
      <c r="L8320" s="119"/>
      <c r="M8320" s="118">
        <f t="shared" ref="M8320" si="12531">K8320*0.1</f>
        <v>111600</v>
      </c>
      <c r="N8320" s="119"/>
      <c r="O8320" s="118">
        <v>0</v>
      </c>
      <c r="P8320" s="119"/>
      <c r="Q8320" s="118">
        <v>6830</v>
      </c>
      <c r="R8320" s="119"/>
      <c r="S8320" s="118">
        <v>15400</v>
      </c>
      <c r="T8320" s="119"/>
      <c r="U8320" s="118">
        <f t="shared" ref="U8320" si="12532">SUM(K8320:T8321)</f>
        <v>1249830</v>
      </c>
      <c r="V8320" s="122"/>
      <c r="W8320" s="124"/>
      <c r="X8320" s="126" t="s">
        <v>24291</v>
      </c>
      <c r="Y8320" s="127"/>
      <c r="Z8320" s="127"/>
      <c r="AA8320" s="127"/>
      <c r="AB8320" s="128"/>
      <c r="AC8320" s="15" t="s">
        <v>20</v>
      </c>
      <c r="AD8320" s="129" t="s">
        <v>23692</v>
      </c>
      <c r="AE8320" s="130"/>
      <c r="AF8320" s="130"/>
      <c r="AG8320" s="130"/>
      <c r="AH8320" s="130"/>
      <c r="AI8320" s="131"/>
      <c r="AJ8320" s="132"/>
      <c r="AK8320" s="127"/>
      <c r="AL8320" s="128"/>
      <c r="AM8320" s="21"/>
      <c r="AN8320" s="133">
        <v>46155</v>
      </c>
      <c r="AO8320" s="134"/>
      <c r="AP8320" s="135">
        <v>1016</v>
      </c>
      <c r="AQ8320" s="136"/>
      <c r="AR8320" s="118">
        <v>1230000</v>
      </c>
      <c r="AS8320" s="119"/>
      <c r="AT8320" s="118">
        <f t="shared" ref="AT8320" si="12533">AR8320*0.1</f>
        <v>123000</v>
      </c>
      <c r="AU8320" s="119"/>
      <c r="AV8320" s="118">
        <v>6830</v>
      </c>
      <c r="AW8320" s="119"/>
      <c r="AX8320" s="118">
        <f t="shared" ref="AX8320" si="12534">SUM(AR8320:AW8320)</f>
        <v>1359830</v>
      </c>
      <c r="AY8320" s="119"/>
      <c r="AZ8320" s="137">
        <v>46160</v>
      </c>
    </row>
    <row r="8321" spans="1:52" ht="17.100000000000001" customHeight="1" thickBot="1">
      <c r="A8321" s="110"/>
      <c r="B8321" s="27" t="s">
        <v>23514</v>
      </c>
      <c r="C8321" s="27">
        <v>7584</v>
      </c>
      <c r="D8321" s="14" t="s">
        <v>23681</v>
      </c>
      <c r="E8321" s="112"/>
      <c r="F8321" s="139" t="s">
        <v>23554</v>
      </c>
      <c r="G8321" s="140"/>
      <c r="H8321" s="141"/>
      <c r="I8321" s="26">
        <v>42839</v>
      </c>
      <c r="J8321" s="117"/>
      <c r="K8321" s="120"/>
      <c r="L8321" s="121"/>
      <c r="M8321" s="120"/>
      <c r="N8321" s="121"/>
      <c r="O8321" s="120"/>
      <c r="P8321" s="121"/>
      <c r="Q8321" s="120"/>
      <c r="R8321" s="121"/>
      <c r="S8321" s="120"/>
      <c r="T8321" s="121"/>
      <c r="U8321" s="120"/>
      <c r="V8321" s="123"/>
      <c r="W8321" s="125"/>
      <c r="X8321" s="142" t="s">
        <v>4619</v>
      </c>
      <c r="Y8321" s="143"/>
      <c r="Z8321" s="143"/>
      <c r="AA8321" s="143"/>
      <c r="AB8321" s="144"/>
      <c r="AC8321" s="16" t="s">
        <v>21</v>
      </c>
      <c r="AD8321" s="17" t="s">
        <v>24261</v>
      </c>
      <c r="AE8321" s="145" t="s">
        <v>1742</v>
      </c>
      <c r="AF8321" s="146"/>
      <c r="AG8321" s="146"/>
      <c r="AH8321" s="146"/>
      <c r="AI8321" s="147"/>
      <c r="AJ8321" s="148"/>
      <c r="AK8321" s="143"/>
      <c r="AL8321" s="144"/>
      <c r="AM8321" s="22"/>
      <c r="AN8321" s="149" t="s">
        <v>2794</v>
      </c>
      <c r="AO8321" s="144"/>
      <c r="AP8321" s="148">
        <v>2007</v>
      </c>
      <c r="AQ8321" s="144"/>
      <c r="AR8321" s="120"/>
      <c r="AS8321" s="121"/>
      <c r="AT8321" s="120"/>
      <c r="AU8321" s="121"/>
      <c r="AV8321" s="120"/>
      <c r="AW8321" s="121"/>
      <c r="AX8321" s="120"/>
      <c r="AY8321" s="121"/>
      <c r="AZ8321" s="138"/>
    </row>
    <row r="8322" spans="1:52" ht="17.100000000000001" customHeight="1" thickTop="1">
      <c r="A8322" s="109" t="s">
        <v>23519</v>
      </c>
      <c r="B8322" s="28">
        <v>46129</v>
      </c>
      <c r="C8322" s="25">
        <v>1415</v>
      </c>
      <c r="D8322" s="13" t="s">
        <v>23711</v>
      </c>
      <c r="E8322" s="111"/>
      <c r="F8322" s="113" t="s">
        <v>23555</v>
      </c>
      <c r="G8322" s="114"/>
      <c r="H8322" s="115"/>
      <c r="I8322" s="24" t="s">
        <v>23712</v>
      </c>
      <c r="J8322" s="116">
        <v>4</v>
      </c>
      <c r="K8322" s="118">
        <v>301000</v>
      </c>
      <c r="L8322" s="119"/>
      <c r="M8322" s="118">
        <f t="shared" ref="M8322" si="12535">K8322*0.1</f>
        <v>30100</v>
      </c>
      <c r="N8322" s="119"/>
      <c r="O8322" s="118">
        <v>0</v>
      </c>
      <c r="P8322" s="119"/>
      <c r="Q8322" s="118">
        <v>7140</v>
      </c>
      <c r="R8322" s="119"/>
      <c r="S8322" s="118">
        <v>15400</v>
      </c>
      <c r="T8322" s="119"/>
      <c r="U8322" s="118">
        <f t="shared" ref="U8322" si="12536">SUM(K8322:T8323)</f>
        <v>353640</v>
      </c>
      <c r="V8322" s="122"/>
      <c r="W8322" s="124"/>
      <c r="X8322" s="126" t="s">
        <v>24122</v>
      </c>
      <c r="Y8322" s="127"/>
      <c r="Z8322" s="127"/>
      <c r="AA8322" s="127"/>
      <c r="AB8322" s="128"/>
      <c r="AC8322" s="15" t="s">
        <v>20</v>
      </c>
      <c r="AD8322" s="129"/>
      <c r="AE8322" s="130"/>
      <c r="AF8322" s="130"/>
      <c r="AG8322" s="130"/>
      <c r="AH8322" s="130"/>
      <c r="AI8322" s="131"/>
      <c r="AJ8322" s="132"/>
      <c r="AK8322" s="127"/>
      <c r="AL8322" s="128"/>
      <c r="AM8322" s="21"/>
      <c r="AN8322" s="133">
        <v>46137</v>
      </c>
      <c r="AO8322" s="134"/>
      <c r="AP8322" s="135">
        <v>1298</v>
      </c>
      <c r="AQ8322" s="136"/>
      <c r="AR8322" s="118">
        <v>355000</v>
      </c>
      <c r="AS8322" s="119"/>
      <c r="AT8322" s="118">
        <f t="shared" ref="AT8322" si="12537">AR8322*0.1</f>
        <v>35500</v>
      </c>
      <c r="AU8322" s="119"/>
      <c r="AV8322" s="118">
        <v>7140</v>
      </c>
      <c r="AW8322" s="119"/>
      <c r="AX8322" s="118">
        <f t="shared" ref="AX8322" si="12538">SUM(AR8322:AW8322)</f>
        <v>397640</v>
      </c>
      <c r="AY8322" s="119"/>
      <c r="AZ8322" s="137">
        <v>46140</v>
      </c>
    </row>
    <row r="8323" spans="1:52" ht="17.100000000000001" customHeight="1" thickBot="1">
      <c r="A8323" s="110"/>
      <c r="B8323" s="27" t="s">
        <v>23514</v>
      </c>
      <c r="C8323" s="27">
        <v>9003</v>
      </c>
      <c r="D8323" s="14" t="s">
        <v>23600</v>
      </c>
      <c r="E8323" s="112"/>
      <c r="F8323" s="139" t="s">
        <v>23556</v>
      </c>
      <c r="G8323" s="140"/>
      <c r="H8323" s="141"/>
      <c r="I8323" s="26">
        <v>68458</v>
      </c>
      <c r="J8323" s="117"/>
      <c r="K8323" s="120"/>
      <c r="L8323" s="121"/>
      <c r="M8323" s="120"/>
      <c r="N8323" s="121"/>
      <c r="O8323" s="120"/>
      <c r="P8323" s="121"/>
      <c r="Q8323" s="120"/>
      <c r="R8323" s="121"/>
      <c r="S8323" s="120"/>
      <c r="T8323" s="121"/>
      <c r="U8323" s="120"/>
      <c r="V8323" s="123"/>
      <c r="W8323" s="125"/>
      <c r="X8323" s="142" t="s">
        <v>24123</v>
      </c>
      <c r="Y8323" s="143"/>
      <c r="Z8323" s="143"/>
      <c r="AA8323" s="143"/>
      <c r="AB8323" s="144"/>
      <c r="AC8323" s="16" t="s">
        <v>21</v>
      </c>
      <c r="AD8323" s="17" t="s">
        <v>24114</v>
      </c>
      <c r="AE8323" s="145" t="s">
        <v>24176</v>
      </c>
      <c r="AF8323" s="146"/>
      <c r="AG8323" s="146"/>
      <c r="AH8323" s="146"/>
      <c r="AI8323" s="147"/>
      <c r="AJ8323" s="148"/>
      <c r="AK8323" s="143"/>
      <c r="AL8323" s="144"/>
      <c r="AM8323" s="22"/>
      <c r="AN8323" s="149" t="s">
        <v>2511</v>
      </c>
      <c r="AO8323" s="144"/>
      <c r="AP8323" s="148">
        <v>60279</v>
      </c>
      <c r="AQ8323" s="144"/>
      <c r="AR8323" s="120"/>
      <c r="AS8323" s="121"/>
      <c r="AT8323" s="120"/>
      <c r="AU8323" s="121"/>
      <c r="AV8323" s="120"/>
      <c r="AW8323" s="121"/>
      <c r="AX8323" s="120"/>
      <c r="AY8323" s="121"/>
      <c r="AZ8323" s="138"/>
    </row>
    <row r="8324" spans="1:52" ht="17.100000000000001" customHeight="1" thickTop="1">
      <c r="A8324" s="109" t="s">
        <v>23520</v>
      </c>
      <c r="B8324" s="28">
        <v>46129</v>
      </c>
      <c r="C8324" s="25">
        <v>1415</v>
      </c>
      <c r="D8324" s="13" t="s">
        <v>23713</v>
      </c>
      <c r="E8324" s="111"/>
      <c r="F8324" s="113" t="s">
        <v>23557</v>
      </c>
      <c r="G8324" s="114"/>
      <c r="H8324" s="115"/>
      <c r="I8324" s="24"/>
      <c r="J8324" s="116">
        <v>4</v>
      </c>
      <c r="K8324" s="118">
        <v>613000</v>
      </c>
      <c r="L8324" s="119"/>
      <c r="M8324" s="118">
        <f t="shared" ref="M8324" si="12539">K8324*0.1</f>
        <v>61300</v>
      </c>
      <c r="N8324" s="119"/>
      <c r="O8324" s="118">
        <v>0</v>
      </c>
      <c r="P8324" s="119"/>
      <c r="Q8324" s="118">
        <v>8400</v>
      </c>
      <c r="R8324" s="119"/>
      <c r="S8324" s="118">
        <v>15400</v>
      </c>
      <c r="T8324" s="119"/>
      <c r="U8324" s="118">
        <f t="shared" ref="U8324" si="12540">SUM(K8324:T8325)</f>
        <v>698100</v>
      </c>
      <c r="V8324" s="122"/>
      <c r="W8324" s="124"/>
      <c r="X8324" s="126" t="s">
        <v>24031</v>
      </c>
      <c r="Y8324" s="127"/>
      <c r="Z8324" s="127"/>
      <c r="AA8324" s="127"/>
      <c r="AB8324" s="128"/>
      <c r="AC8324" s="15" t="s">
        <v>20</v>
      </c>
      <c r="AD8324" s="129" t="s">
        <v>23714</v>
      </c>
      <c r="AE8324" s="130"/>
      <c r="AF8324" s="130"/>
      <c r="AG8324" s="130"/>
      <c r="AH8324" s="130"/>
      <c r="AI8324" s="131"/>
      <c r="AJ8324" s="132"/>
      <c r="AK8324" s="127"/>
      <c r="AL8324" s="128"/>
      <c r="AM8324" s="21"/>
      <c r="AN8324" s="133">
        <v>46134</v>
      </c>
      <c r="AO8324" s="134"/>
      <c r="AP8324" s="135">
        <v>1014</v>
      </c>
      <c r="AQ8324" s="136"/>
      <c r="AR8324" s="118">
        <v>665000</v>
      </c>
      <c r="AS8324" s="119"/>
      <c r="AT8324" s="118">
        <f t="shared" ref="AT8324" si="12541">AR8324*0.1</f>
        <v>66500</v>
      </c>
      <c r="AU8324" s="119"/>
      <c r="AV8324" s="118">
        <v>8400</v>
      </c>
      <c r="AW8324" s="119"/>
      <c r="AX8324" s="118">
        <f t="shared" ref="AX8324" si="12542">SUM(AR8324:AW8324)</f>
        <v>739900</v>
      </c>
      <c r="AY8324" s="119"/>
      <c r="AZ8324" s="137">
        <v>46139</v>
      </c>
    </row>
    <row r="8325" spans="1:52" ht="17.100000000000001" customHeight="1" thickBot="1">
      <c r="A8325" s="110"/>
      <c r="B8325" s="27" t="s">
        <v>23514</v>
      </c>
      <c r="C8325" s="27">
        <v>9004</v>
      </c>
      <c r="D8325" s="14" t="s">
        <v>1720</v>
      </c>
      <c r="E8325" s="112"/>
      <c r="F8325" s="139" t="s">
        <v>23558</v>
      </c>
      <c r="G8325" s="140"/>
      <c r="H8325" s="141"/>
      <c r="I8325" s="26">
        <v>7890</v>
      </c>
      <c r="J8325" s="117"/>
      <c r="K8325" s="120"/>
      <c r="L8325" s="121"/>
      <c r="M8325" s="120"/>
      <c r="N8325" s="121"/>
      <c r="O8325" s="120"/>
      <c r="P8325" s="121"/>
      <c r="Q8325" s="120"/>
      <c r="R8325" s="121"/>
      <c r="S8325" s="120"/>
      <c r="T8325" s="121"/>
      <c r="U8325" s="120"/>
      <c r="V8325" s="123"/>
      <c r="W8325" s="125"/>
      <c r="X8325" s="142" t="s">
        <v>1997</v>
      </c>
      <c r="Y8325" s="143"/>
      <c r="Z8325" s="143"/>
      <c r="AA8325" s="143"/>
      <c r="AB8325" s="144"/>
      <c r="AC8325" s="16" t="s">
        <v>21</v>
      </c>
      <c r="AD8325" s="17" t="s">
        <v>24016</v>
      </c>
      <c r="AE8325" s="145" t="s">
        <v>1581</v>
      </c>
      <c r="AF8325" s="146"/>
      <c r="AG8325" s="146"/>
      <c r="AH8325" s="146"/>
      <c r="AI8325" s="147"/>
      <c r="AJ8325" s="148"/>
      <c r="AK8325" s="143"/>
      <c r="AL8325" s="144"/>
      <c r="AM8325" s="22"/>
      <c r="AN8325" s="149" t="s">
        <v>23987</v>
      </c>
      <c r="AO8325" s="144"/>
      <c r="AP8325" s="148">
        <v>5203</v>
      </c>
      <c r="AQ8325" s="144"/>
      <c r="AR8325" s="120"/>
      <c r="AS8325" s="121"/>
      <c r="AT8325" s="120"/>
      <c r="AU8325" s="121"/>
      <c r="AV8325" s="120"/>
      <c r="AW8325" s="121"/>
      <c r="AX8325" s="120"/>
      <c r="AY8325" s="121"/>
      <c r="AZ8325" s="138"/>
    </row>
    <row r="8326" spans="1:52" ht="17.100000000000001" customHeight="1" thickTop="1">
      <c r="A8326" s="109" t="s">
        <v>23521</v>
      </c>
      <c r="B8326" s="28">
        <v>46129</v>
      </c>
      <c r="C8326" s="25">
        <v>1415</v>
      </c>
      <c r="D8326" s="13" t="s">
        <v>23715</v>
      </c>
      <c r="E8326" s="111"/>
      <c r="F8326" s="113" t="s">
        <v>23559</v>
      </c>
      <c r="G8326" s="114"/>
      <c r="H8326" s="115"/>
      <c r="I8326" s="24" t="s">
        <v>23716</v>
      </c>
      <c r="J8326" s="116">
        <v>4.5</v>
      </c>
      <c r="K8326" s="118">
        <v>292000</v>
      </c>
      <c r="L8326" s="119"/>
      <c r="M8326" s="118">
        <f t="shared" ref="M8326" si="12543">K8326*0.1</f>
        <v>29200</v>
      </c>
      <c r="N8326" s="119"/>
      <c r="O8326" s="118">
        <v>0</v>
      </c>
      <c r="P8326" s="119"/>
      <c r="Q8326" s="118">
        <v>7140</v>
      </c>
      <c r="R8326" s="119"/>
      <c r="S8326" s="118">
        <v>15400</v>
      </c>
      <c r="T8326" s="119"/>
      <c r="U8326" s="118">
        <f t="shared" ref="U8326" si="12544">SUM(K8326:T8327)</f>
        <v>343740</v>
      </c>
      <c r="V8326" s="122"/>
      <c r="W8326" s="124"/>
      <c r="X8326" s="126" t="s">
        <v>24672</v>
      </c>
      <c r="Y8326" s="127"/>
      <c r="Z8326" s="127"/>
      <c r="AA8326" s="127"/>
      <c r="AB8326" s="128"/>
      <c r="AC8326" s="15" t="s">
        <v>20</v>
      </c>
      <c r="AD8326" s="129"/>
      <c r="AE8326" s="130"/>
      <c r="AF8326" s="130"/>
      <c r="AG8326" s="130"/>
      <c r="AH8326" s="130"/>
      <c r="AI8326" s="131"/>
      <c r="AJ8326" s="132"/>
      <c r="AK8326" s="127"/>
      <c r="AL8326" s="128"/>
      <c r="AM8326" s="21"/>
      <c r="AN8326" s="133"/>
      <c r="AO8326" s="134"/>
      <c r="AP8326" s="135"/>
      <c r="AQ8326" s="136"/>
      <c r="AR8326" s="118"/>
      <c r="AS8326" s="119"/>
      <c r="AT8326" s="118">
        <f t="shared" ref="AT8326" si="12545">AR8326*0.1</f>
        <v>0</v>
      </c>
      <c r="AU8326" s="119"/>
      <c r="AV8326" s="118"/>
      <c r="AW8326" s="119"/>
      <c r="AX8326" s="118">
        <f t="shared" ref="AX8326" si="12546">SUM(AR8326:AW8326)</f>
        <v>0</v>
      </c>
      <c r="AY8326" s="119"/>
      <c r="AZ8326" s="137"/>
    </row>
    <row r="8327" spans="1:52" ht="17.100000000000001" customHeight="1" thickBot="1">
      <c r="A8327" s="110"/>
      <c r="B8327" s="27" t="s">
        <v>23514</v>
      </c>
      <c r="C8327" s="27">
        <v>9013</v>
      </c>
      <c r="D8327" s="14" t="s">
        <v>23600</v>
      </c>
      <c r="E8327" s="112"/>
      <c r="F8327" s="139" t="s">
        <v>23560</v>
      </c>
      <c r="G8327" s="140"/>
      <c r="H8327" s="141"/>
      <c r="I8327" s="26">
        <v>26426</v>
      </c>
      <c r="J8327" s="117"/>
      <c r="K8327" s="120"/>
      <c r="L8327" s="121"/>
      <c r="M8327" s="120"/>
      <c r="N8327" s="121"/>
      <c r="O8327" s="120"/>
      <c r="P8327" s="121"/>
      <c r="Q8327" s="120"/>
      <c r="R8327" s="121"/>
      <c r="S8327" s="120"/>
      <c r="T8327" s="121"/>
      <c r="U8327" s="120"/>
      <c r="V8327" s="123"/>
      <c r="W8327" s="125"/>
      <c r="X8327" s="142" t="s">
        <v>1997</v>
      </c>
      <c r="Y8327" s="143"/>
      <c r="Z8327" s="143"/>
      <c r="AA8327" s="143"/>
      <c r="AB8327" s="144"/>
      <c r="AC8327" s="16" t="s">
        <v>21</v>
      </c>
      <c r="AD8327" s="17" t="s">
        <v>1962</v>
      </c>
      <c r="AE8327" s="145"/>
      <c r="AF8327" s="146"/>
      <c r="AG8327" s="146"/>
      <c r="AH8327" s="146"/>
      <c r="AI8327" s="147"/>
      <c r="AJ8327" s="148"/>
      <c r="AK8327" s="143"/>
      <c r="AL8327" s="144"/>
      <c r="AM8327" s="22"/>
      <c r="AN8327" s="149"/>
      <c r="AO8327" s="144"/>
      <c r="AP8327" s="148"/>
      <c r="AQ8327" s="144"/>
      <c r="AR8327" s="120"/>
      <c r="AS8327" s="121"/>
      <c r="AT8327" s="120"/>
      <c r="AU8327" s="121"/>
      <c r="AV8327" s="120"/>
      <c r="AW8327" s="121"/>
      <c r="AX8327" s="120"/>
      <c r="AY8327" s="121"/>
      <c r="AZ8327" s="138"/>
    </row>
    <row r="8328" spans="1:52" ht="17.100000000000001" customHeight="1" thickTop="1">
      <c r="A8328" s="109" t="s">
        <v>23522</v>
      </c>
      <c r="B8328" s="28">
        <v>46129</v>
      </c>
      <c r="C8328" s="25">
        <v>1415</v>
      </c>
      <c r="D8328" s="13" t="s">
        <v>23717</v>
      </c>
      <c r="E8328" s="111"/>
      <c r="F8328" s="113" t="s">
        <v>23561</v>
      </c>
      <c r="G8328" s="114"/>
      <c r="H8328" s="115"/>
      <c r="I8328" s="24"/>
      <c r="J8328" s="116">
        <v>3.5</v>
      </c>
      <c r="K8328" s="118">
        <v>235000</v>
      </c>
      <c r="L8328" s="119"/>
      <c r="M8328" s="118">
        <f t="shared" ref="M8328" si="12547">K8328*0.1</f>
        <v>23500</v>
      </c>
      <c r="N8328" s="119"/>
      <c r="O8328" s="118">
        <v>0</v>
      </c>
      <c r="P8328" s="119"/>
      <c r="Q8328" s="118">
        <v>10800</v>
      </c>
      <c r="R8328" s="119"/>
      <c r="S8328" s="118">
        <v>15400</v>
      </c>
      <c r="T8328" s="119"/>
      <c r="U8328" s="118">
        <f t="shared" ref="U8328" si="12548">SUM(K8328:T8329)</f>
        <v>284700</v>
      </c>
      <c r="V8328" s="122"/>
      <c r="W8328" s="124"/>
      <c r="X8328" s="126" t="s">
        <v>24127</v>
      </c>
      <c r="Y8328" s="127"/>
      <c r="Z8328" s="127"/>
      <c r="AA8328" s="127"/>
      <c r="AB8328" s="128"/>
      <c r="AC8328" s="15" t="s">
        <v>20</v>
      </c>
      <c r="AD8328" s="129"/>
      <c r="AE8328" s="130"/>
      <c r="AF8328" s="130"/>
      <c r="AG8328" s="130"/>
      <c r="AH8328" s="130"/>
      <c r="AI8328" s="131"/>
      <c r="AJ8328" s="132"/>
      <c r="AK8328" s="127"/>
      <c r="AL8328" s="128"/>
      <c r="AM8328" s="21"/>
      <c r="AN8328" s="133">
        <v>46144</v>
      </c>
      <c r="AO8328" s="134"/>
      <c r="AP8328" s="135">
        <v>1299</v>
      </c>
      <c r="AQ8328" s="136"/>
      <c r="AR8328" s="118">
        <v>350000</v>
      </c>
      <c r="AS8328" s="119"/>
      <c r="AT8328" s="118">
        <f t="shared" ref="AT8328" si="12549">AR8328*0.1</f>
        <v>35000</v>
      </c>
      <c r="AU8328" s="119"/>
      <c r="AV8328" s="118">
        <v>10800</v>
      </c>
      <c r="AW8328" s="119"/>
      <c r="AX8328" s="118">
        <f t="shared" ref="AX8328" si="12550">SUM(AR8328:AW8328)</f>
        <v>395800</v>
      </c>
      <c r="AY8328" s="119"/>
      <c r="AZ8328" s="137">
        <v>46161</v>
      </c>
    </row>
    <row r="8329" spans="1:52" ht="17.100000000000001" customHeight="1" thickBot="1">
      <c r="A8329" s="110"/>
      <c r="B8329" s="27" t="s">
        <v>23514</v>
      </c>
      <c r="C8329" s="27">
        <v>9015</v>
      </c>
      <c r="D8329" s="14" t="s">
        <v>23592</v>
      </c>
      <c r="E8329" s="112"/>
      <c r="F8329" s="139" t="s">
        <v>23562</v>
      </c>
      <c r="G8329" s="140"/>
      <c r="H8329" s="141"/>
      <c r="I8329" s="26">
        <v>51408</v>
      </c>
      <c r="J8329" s="117"/>
      <c r="K8329" s="120"/>
      <c r="L8329" s="121"/>
      <c r="M8329" s="120"/>
      <c r="N8329" s="121"/>
      <c r="O8329" s="120"/>
      <c r="P8329" s="121"/>
      <c r="Q8329" s="120"/>
      <c r="R8329" s="121"/>
      <c r="S8329" s="120"/>
      <c r="T8329" s="121"/>
      <c r="U8329" s="120"/>
      <c r="V8329" s="123"/>
      <c r="W8329" s="125"/>
      <c r="X8329" s="142" t="s">
        <v>2891</v>
      </c>
      <c r="Y8329" s="143"/>
      <c r="Z8329" s="143"/>
      <c r="AA8329" s="143"/>
      <c r="AB8329" s="144"/>
      <c r="AC8329" s="16" t="s">
        <v>21</v>
      </c>
      <c r="AD8329" s="17" t="s">
        <v>24114</v>
      </c>
      <c r="AE8329" s="145" t="s">
        <v>24128</v>
      </c>
      <c r="AF8329" s="146"/>
      <c r="AG8329" s="146"/>
      <c r="AH8329" s="146"/>
      <c r="AI8329" s="147"/>
      <c r="AJ8329" s="148"/>
      <c r="AK8329" s="143"/>
      <c r="AL8329" s="144"/>
      <c r="AM8329" s="22"/>
      <c r="AN8329" s="149" t="s">
        <v>6748</v>
      </c>
      <c r="AO8329" s="144"/>
      <c r="AP8329" s="148">
        <v>55115</v>
      </c>
      <c r="AQ8329" s="144"/>
      <c r="AR8329" s="120"/>
      <c r="AS8329" s="121"/>
      <c r="AT8329" s="120"/>
      <c r="AU8329" s="121"/>
      <c r="AV8329" s="120"/>
      <c r="AW8329" s="121"/>
      <c r="AX8329" s="120"/>
      <c r="AY8329" s="121"/>
      <c r="AZ8329" s="138"/>
    </row>
    <row r="8330" spans="1:52" ht="17.100000000000001" customHeight="1" thickTop="1">
      <c r="A8330" s="109" t="s">
        <v>23523</v>
      </c>
      <c r="B8330" s="28">
        <v>46129</v>
      </c>
      <c r="C8330" s="25">
        <v>1415</v>
      </c>
      <c r="D8330" s="13" t="s">
        <v>23718</v>
      </c>
      <c r="E8330" s="111"/>
      <c r="F8330" s="113" t="s">
        <v>23563</v>
      </c>
      <c r="G8330" s="114"/>
      <c r="H8330" s="115"/>
      <c r="I8330" s="24"/>
      <c r="J8330" s="116">
        <v>3.5</v>
      </c>
      <c r="K8330" s="118">
        <v>589000</v>
      </c>
      <c r="L8330" s="119"/>
      <c r="M8330" s="118">
        <f t="shared" ref="M8330" si="12551">K8330*0.1</f>
        <v>58900</v>
      </c>
      <c r="N8330" s="119"/>
      <c r="O8330" s="118">
        <v>0</v>
      </c>
      <c r="P8330" s="119"/>
      <c r="Q8330" s="118">
        <v>12030</v>
      </c>
      <c r="R8330" s="119"/>
      <c r="S8330" s="118">
        <v>15400</v>
      </c>
      <c r="T8330" s="119"/>
      <c r="U8330" s="118">
        <f t="shared" ref="U8330" si="12552">SUM(K8330:T8331)</f>
        <v>675330</v>
      </c>
      <c r="V8330" s="122"/>
      <c r="W8330" s="124"/>
      <c r="X8330" s="126" t="s">
        <v>24119</v>
      </c>
      <c r="Y8330" s="127"/>
      <c r="Z8330" s="127"/>
      <c r="AA8330" s="127"/>
      <c r="AB8330" s="128"/>
      <c r="AC8330" s="15" t="s">
        <v>20</v>
      </c>
      <c r="AD8330" s="129"/>
      <c r="AE8330" s="130"/>
      <c r="AF8330" s="130"/>
      <c r="AG8330" s="130"/>
      <c r="AH8330" s="130"/>
      <c r="AI8330" s="131"/>
      <c r="AJ8330" s="132"/>
      <c r="AK8330" s="127"/>
      <c r="AL8330" s="128"/>
      <c r="AM8330" s="21"/>
      <c r="AN8330" s="133"/>
      <c r="AO8330" s="134"/>
      <c r="AP8330" s="135"/>
      <c r="AQ8330" s="136"/>
      <c r="AR8330" s="118"/>
      <c r="AS8330" s="119"/>
      <c r="AT8330" s="118">
        <f t="shared" ref="AT8330" si="12553">AR8330*0.1</f>
        <v>0</v>
      </c>
      <c r="AU8330" s="119"/>
      <c r="AV8330" s="118"/>
      <c r="AW8330" s="119"/>
      <c r="AX8330" s="118">
        <f t="shared" ref="AX8330" si="12554">SUM(AR8330:AW8330)</f>
        <v>0</v>
      </c>
      <c r="AY8330" s="119"/>
      <c r="AZ8330" s="137"/>
    </row>
    <row r="8331" spans="1:52" ht="17.100000000000001" customHeight="1" thickBot="1">
      <c r="A8331" s="110"/>
      <c r="B8331" s="27" t="s">
        <v>23514</v>
      </c>
      <c r="C8331" s="27">
        <v>9019</v>
      </c>
      <c r="D8331" s="14" t="s">
        <v>23600</v>
      </c>
      <c r="E8331" s="112"/>
      <c r="F8331" s="139" t="s">
        <v>23564</v>
      </c>
      <c r="G8331" s="140"/>
      <c r="H8331" s="141"/>
      <c r="I8331" s="26">
        <v>148583</v>
      </c>
      <c r="J8331" s="117"/>
      <c r="K8331" s="120"/>
      <c r="L8331" s="121"/>
      <c r="M8331" s="120"/>
      <c r="N8331" s="121"/>
      <c r="O8331" s="120"/>
      <c r="P8331" s="121"/>
      <c r="Q8331" s="120"/>
      <c r="R8331" s="121"/>
      <c r="S8331" s="120"/>
      <c r="T8331" s="121"/>
      <c r="U8331" s="120"/>
      <c r="V8331" s="123"/>
      <c r="W8331" s="125"/>
      <c r="X8331" s="142" t="s">
        <v>24120</v>
      </c>
      <c r="Y8331" s="143"/>
      <c r="Z8331" s="143"/>
      <c r="AA8331" s="143"/>
      <c r="AB8331" s="144"/>
      <c r="AC8331" s="16" t="s">
        <v>21</v>
      </c>
      <c r="AD8331" s="17" t="s">
        <v>24114</v>
      </c>
      <c r="AE8331" s="145"/>
      <c r="AF8331" s="146"/>
      <c r="AG8331" s="146"/>
      <c r="AH8331" s="146"/>
      <c r="AI8331" s="147"/>
      <c r="AJ8331" s="148"/>
      <c r="AK8331" s="143"/>
      <c r="AL8331" s="144"/>
      <c r="AM8331" s="22"/>
      <c r="AN8331" s="149"/>
      <c r="AO8331" s="144"/>
      <c r="AP8331" s="148"/>
      <c r="AQ8331" s="144"/>
      <c r="AR8331" s="120"/>
      <c r="AS8331" s="121"/>
      <c r="AT8331" s="120"/>
      <c r="AU8331" s="121"/>
      <c r="AV8331" s="120"/>
      <c r="AW8331" s="121"/>
      <c r="AX8331" s="120"/>
      <c r="AY8331" s="121"/>
      <c r="AZ8331" s="138"/>
    </row>
    <row r="8332" spans="1:52" ht="17.100000000000001" customHeight="1" thickTop="1">
      <c r="A8332" s="109" t="s">
        <v>23524</v>
      </c>
      <c r="B8332" s="28">
        <v>46129</v>
      </c>
      <c r="C8332" s="25"/>
      <c r="D8332" s="13" t="s">
        <v>23591</v>
      </c>
      <c r="E8332" s="111"/>
      <c r="F8332" s="113" t="s">
        <v>23593</v>
      </c>
      <c r="G8332" s="114"/>
      <c r="H8332" s="115"/>
      <c r="I8332" s="24" t="s">
        <v>23594</v>
      </c>
      <c r="J8332" s="116">
        <v>5</v>
      </c>
      <c r="K8332" s="118">
        <v>5250000</v>
      </c>
      <c r="L8332" s="119"/>
      <c r="M8332" s="118">
        <f t="shared" ref="M8332" si="12555">K8332*0.1</f>
        <v>525000</v>
      </c>
      <c r="N8332" s="119"/>
      <c r="O8332" s="118">
        <v>41600</v>
      </c>
      <c r="P8332" s="119"/>
      <c r="Q8332" s="118">
        <v>14230</v>
      </c>
      <c r="R8332" s="119"/>
      <c r="S8332" s="118">
        <v>0</v>
      </c>
      <c r="T8332" s="119"/>
      <c r="U8332" s="118">
        <f t="shared" ref="U8332" si="12556">SUM(K8332:T8333)</f>
        <v>5830830</v>
      </c>
      <c r="V8332" s="122"/>
      <c r="W8332" s="124"/>
      <c r="X8332" s="126"/>
      <c r="Y8332" s="127"/>
      <c r="Z8332" s="127"/>
      <c r="AA8332" s="127"/>
      <c r="AB8332" s="128"/>
      <c r="AC8332" s="15" t="s">
        <v>20</v>
      </c>
      <c r="AD8332" s="129" t="s">
        <v>23595</v>
      </c>
      <c r="AE8332" s="130"/>
      <c r="AF8332" s="130"/>
      <c r="AG8332" s="130"/>
      <c r="AH8332" s="130"/>
      <c r="AI8332" s="131"/>
      <c r="AJ8332" s="132"/>
      <c r="AK8332" s="127"/>
      <c r="AL8332" s="128"/>
      <c r="AM8332" s="21"/>
      <c r="AN8332" s="133"/>
      <c r="AO8332" s="134"/>
      <c r="AP8332" s="135"/>
      <c r="AQ8332" s="136"/>
      <c r="AR8332" s="118"/>
      <c r="AS8332" s="119"/>
      <c r="AT8332" s="118">
        <f t="shared" ref="AT8332" si="12557">AR8332*0.1</f>
        <v>0</v>
      </c>
      <c r="AU8332" s="119"/>
      <c r="AV8332" s="118"/>
      <c r="AW8332" s="119"/>
      <c r="AX8332" s="118">
        <f t="shared" ref="AX8332" si="12558">SUM(AR8332:AW8332)</f>
        <v>0</v>
      </c>
      <c r="AY8332" s="119"/>
      <c r="AZ8332" s="137"/>
    </row>
    <row r="8333" spans="1:52" ht="17.100000000000001" customHeight="1" thickBot="1">
      <c r="A8333" s="110"/>
      <c r="B8333" s="27" t="s">
        <v>23573</v>
      </c>
      <c r="C8333" s="27" t="s">
        <v>23574</v>
      </c>
      <c r="D8333" s="14" t="s">
        <v>23592</v>
      </c>
      <c r="E8333" s="112"/>
      <c r="F8333" s="139" t="s">
        <v>23575</v>
      </c>
      <c r="G8333" s="140"/>
      <c r="H8333" s="141"/>
      <c r="I8333" s="26">
        <v>8159</v>
      </c>
      <c r="J8333" s="117"/>
      <c r="K8333" s="120"/>
      <c r="L8333" s="121"/>
      <c r="M8333" s="120"/>
      <c r="N8333" s="121"/>
      <c r="O8333" s="120"/>
      <c r="P8333" s="121"/>
      <c r="Q8333" s="120"/>
      <c r="R8333" s="121"/>
      <c r="S8333" s="120"/>
      <c r="T8333" s="121"/>
      <c r="U8333" s="120"/>
      <c r="V8333" s="123"/>
      <c r="W8333" s="125"/>
      <c r="X8333" s="142"/>
      <c r="Y8333" s="143"/>
      <c r="Z8333" s="143"/>
      <c r="AA8333" s="143"/>
      <c r="AB8333" s="144"/>
      <c r="AC8333" s="16" t="s">
        <v>21</v>
      </c>
      <c r="AD8333" s="17"/>
      <c r="AE8333" s="145"/>
      <c r="AF8333" s="146"/>
      <c r="AG8333" s="146"/>
      <c r="AH8333" s="146"/>
      <c r="AI8333" s="147"/>
      <c r="AJ8333" s="148"/>
      <c r="AK8333" s="143"/>
      <c r="AL8333" s="144"/>
      <c r="AM8333" s="22"/>
      <c r="AN8333" s="149"/>
      <c r="AO8333" s="144"/>
      <c r="AP8333" s="148"/>
      <c r="AQ8333" s="144"/>
      <c r="AR8333" s="120"/>
      <c r="AS8333" s="121"/>
      <c r="AT8333" s="120"/>
      <c r="AU8333" s="121"/>
      <c r="AV8333" s="120"/>
      <c r="AW8333" s="121"/>
      <c r="AX8333" s="120"/>
      <c r="AY8333" s="121"/>
      <c r="AZ8333" s="138"/>
    </row>
    <row r="8334" spans="1:52" ht="17.100000000000001" customHeight="1" thickTop="1">
      <c r="A8334" s="109" t="s">
        <v>23525</v>
      </c>
      <c r="B8334" s="28">
        <v>46129</v>
      </c>
      <c r="C8334" s="25"/>
      <c r="D8334" s="13" t="s">
        <v>23596</v>
      </c>
      <c r="E8334" s="111"/>
      <c r="F8334" s="113" t="s">
        <v>23593</v>
      </c>
      <c r="G8334" s="114"/>
      <c r="H8334" s="115"/>
      <c r="I8334" s="24" t="s">
        <v>23597</v>
      </c>
      <c r="J8334" s="116">
        <v>5</v>
      </c>
      <c r="K8334" s="118">
        <v>5300000</v>
      </c>
      <c r="L8334" s="119"/>
      <c r="M8334" s="118">
        <f t="shared" ref="M8334" si="12559">K8334*0.1</f>
        <v>530000</v>
      </c>
      <c r="N8334" s="119"/>
      <c r="O8334" s="118">
        <v>41600</v>
      </c>
      <c r="P8334" s="119"/>
      <c r="Q8334" s="118">
        <v>14230</v>
      </c>
      <c r="R8334" s="119"/>
      <c r="S8334" s="118">
        <v>0</v>
      </c>
      <c r="T8334" s="119"/>
      <c r="U8334" s="118">
        <f t="shared" ref="U8334" si="12560">SUM(K8334:T8335)</f>
        <v>5885830</v>
      </c>
      <c r="V8334" s="122"/>
      <c r="W8334" s="124"/>
      <c r="X8334" s="126"/>
      <c r="Y8334" s="127"/>
      <c r="Z8334" s="127"/>
      <c r="AA8334" s="127"/>
      <c r="AB8334" s="128"/>
      <c r="AC8334" s="15" t="s">
        <v>20</v>
      </c>
      <c r="AD8334" s="129" t="s">
        <v>23598</v>
      </c>
      <c r="AE8334" s="130"/>
      <c r="AF8334" s="130"/>
      <c r="AG8334" s="130"/>
      <c r="AH8334" s="130"/>
      <c r="AI8334" s="131"/>
      <c r="AJ8334" s="132"/>
      <c r="AK8334" s="127"/>
      <c r="AL8334" s="128"/>
      <c r="AM8334" s="21"/>
      <c r="AN8334" s="133"/>
      <c r="AO8334" s="134"/>
      <c r="AP8334" s="135"/>
      <c r="AQ8334" s="136"/>
      <c r="AR8334" s="118"/>
      <c r="AS8334" s="119"/>
      <c r="AT8334" s="118">
        <f t="shared" ref="AT8334" si="12561">AR8334*0.1</f>
        <v>0</v>
      </c>
      <c r="AU8334" s="119"/>
      <c r="AV8334" s="118"/>
      <c r="AW8334" s="119"/>
      <c r="AX8334" s="118">
        <f t="shared" ref="AX8334" si="12562">SUM(AR8334:AW8334)</f>
        <v>0</v>
      </c>
      <c r="AY8334" s="119"/>
      <c r="AZ8334" s="137"/>
    </row>
    <row r="8335" spans="1:52" ht="17.100000000000001" customHeight="1" thickBot="1">
      <c r="A8335" s="110"/>
      <c r="B8335" s="27" t="s">
        <v>23573</v>
      </c>
      <c r="C8335" s="27" t="s">
        <v>23576</v>
      </c>
      <c r="D8335" s="14" t="s">
        <v>2601</v>
      </c>
      <c r="E8335" s="112"/>
      <c r="F8335" s="139" t="s">
        <v>23577</v>
      </c>
      <c r="G8335" s="140"/>
      <c r="H8335" s="141"/>
      <c r="I8335" s="26">
        <v>10327</v>
      </c>
      <c r="J8335" s="117"/>
      <c r="K8335" s="120"/>
      <c r="L8335" s="121"/>
      <c r="M8335" s="120"/>
      <c r="N8335" s="121"/>
      <c r="O8335" s="120"/>
      <c r="P8335" s="121"/>
      <c r="Q8335" s="120"/>
      <c r="R8335" s="121"/>
      <c r="S8335" s="120"/>
      <c r="T8335" s="121"/>
      <c r="U8335" s="120"/>
      <c r="V8335" s="123"/>
      <c r="W8335" s="125"/>
      <c r="X8335" s="142"/>
      <c r="Y8335" s="143"/>
      <c r="Z8335" s="143"/>
      <c r="AA8335" s="143"/>
      <c r="AB8335" s="144"/>
      <c r="AC8335" s="16" t="s">
        <v>21</v>
      </c>
      <c r="AD8335" s="17"/>
      <c r="AE8335" s="145"/>
      <c r="AF8335" s="146"/>
      <c r="AG8335" s="146"/>
      <c r="AH8335" s="146"/>
      <c r="AI8335" s="147"/>
      <c r="AJ8335" s="148"/>
      <c r="AK8335" s="143"/>
      <c r="AL8335" s="144"/>
      <c r="AM8335" s="22"/>
      <c r="AN8335" s="149"/>
      <c r="AO8335" s="144"/>
      <c r="AP8335" s="148"/>
      <c r="AQ8335" s="144"/>
      <c r="AR8335" s="120"/>
      <c r="AS8335" s="121"/>
      <c r="AT8335" s="120"/>
      <c r="AU8335" s="121"/>
      <c r="AV8335" s="120"/>
      <c r="AW8335" s="121"/>
      <c r="AX8335" s="120"/>
      <c r="AY8335" s="121"/>
      <c r="AZ8335" s="138"/>
    </row>
    <row r="8336" spans="1:52" ht="17.100000000000001" customHeight="1" thickTop="1">
      <c r="A8336" s="109" t="s">
        <v>23565</v>
      </c>
      <c r="B8336" s="28">
        <v>46129</v>
      </c>
      <c r="C8336" s="25"/>
      <c r="D8336" s="13" t="s">
        <v>23599</v>
      </c>
      <c r="E8336" s="111"/>
      <c r="F8336" s="113" t="s">
        <v>23601</v>
      </c>
      <c r="G8336" s="114"/>
      <c r="H8336" s="115"/>
      <c r="I8336" s="24" t="s">
        <v>23602</v>
      </c>
      <c r="J8336" s="116">
        <v>5</v>
      </c>
      <c r="K8336" s="118">
        <v>3195000</v>
      </c>
      <c r="L8336" s="119"/>
      <c r="M8336" s="118">
        <f t="shared" ref="M8336" si="12563">K8336*0.1</f>
        <v>319500</v>
      </c>
      <c r="N8336" s="119"/>
      <c r="O8336" s="118">
        <v>30000</v>
      </c>
      <c r="P8336" s="119"/>
      <c r="Q8336" s="118">
        <v>12160</v>
      </c>
      <c r="R8336" s="119"/>
      <c r="S8336" s="118">
        <v>0</v>
      </c>
      <c r="T8336" s="119"/>
      <c r="U8336" s="118">
        <f t="shared" ref="U8336" si="12564">SUM(K8336:T8337)</f>
        <v>3556660</v>
      </c>
      <c r="V8336" s="122"/>
      <c r="W8336" s="124"/>
      <c r="X8336" s="126"/>
      <c r="Y8336" s="127"/>
      <c r="Z8336" s="127"/>
      <c r="AA8336" s="127"/>
      <c r="AB8336" s="128"/>
      <c r="AC8336" s="15" t="s">
        <v>20</v>
      </c>
      <c r="AD8336" s="129" t="s">
        <v>23603</v>
      </c>
      <c r="AE8336" s="130"/>
      <c r="AF8336" s="130"/>
      <c r="AG8336" s="130"/>
      <c r="AH8336" s="130"/>
      <c r="AI8336" s="131"/>
      <c r="AJ8336" s="132"/>
      <c r="AK8336" s="127"/>
      <c r="AL8336" s="128"/>
      <c r="AM8336" s="21"/>
      <c r="AN8336" s="133"/>
      <c r="AO8336" s="134"/>
      <c r="AP8336" s="135"/>
      <c r="AQ8336" s="136"/>
      <c r="AR8336" s="118"/>
      <c r="AS8336" s="119"/>
      <c r="AT8336" s="118">
        <f t="shared" ref="AT8336" si="12565">AR8336*0.1</f>
        <v>0</v>
      </c>
      <c r="AU8336" s="119"/>
      <c r="AV8336" s="118"/>
      <c r="AW8336" s="119"/>
      <c r="AX8336" s="118">
        <f t="shared" ref="AX8336" si="12566">SUM(AR8336:AW8336)</f>
        <v>0</v>
      </c>
      <c r="AY8336" s="119"/>
      <c r="AZ8336" s="137"/>
    </row>
    <row r="8337" spans="1:52" ht="17.100000000000001" customHeight="1" thickBot="1">
      <c r="A8337" s="110"/>
      <c r="B8337" s="27" t="s">
        <v>23573</v>
      </c>
      <c r="C8337" s="27" t="s">
        <v>23578</v>
      </c>
      <c r="D8337" s="14" t="s">
        <v>23600</v>
      </c>
      <c r="E8337" s="112"/>
      <c r="F8337" s="139" t="s">
        <v>23579</v>
      </c>
      <c r="G8337" s="140"/>
      <c r="H8337" s="141"/>
      <c r="I8337" s="26">
        <v>4708</v>
      </c>
      <c r="J8337" s="117"/>
      <c r="K8337" s="120"/>
      <c r="L8337" s="121"/>
      <c r="M8337" s="120"/>
      <c r="N8337" s="121"/>
      <c r="O8337" s="120"/>
      <c r="P8337" s="121"/>
      <c r="Q8337" s="120"/>
      <c r="R8337" s="121"/>
      <c r="S8337" s="120"/>
      <c r="T8337" s="121"/>
      <c r="U8337" s="120"/>
      <c r="V8337" s="123"/>
      <c r="W8337" s="125"/>
      <c r="X8337" s="142"/>
      <c r="Y8337" s="143"/>
      <c r="Z8337" s="143"/>
      <c r="AA8337" s="143"/>
      <c r="AB8337" s="144"/>
      <c r="AC8337" s="16" t="s">
        <v>21</v>
      </c>
      <c r="AD8337" s="17"/>
      <c r="AE8337" s="145" t="s">
        <v>25992</v>
      </c>
      <c r="AF8337" s="146"/>
      <c r="AG8337" s="146"/>
      <c r="AH8337" s="146"/>
      <c r="AI8337" s="147"/>
      <c r="AJ8337" s="148"/>
      <c r="AK8337" s="143"/>
      <c r="AL8337" s="144"/>
      <c r="AM8337" s="22"/>
      <c r="AN8337" s="149"/>
      <c r="AO8337" s="144"/>
      <c r="AP8337" s="148"/>
      <c r="AQ8337" s="144"/>
      <c r="AR8337" s="120"/>
      <c r="AS8337" s="121"/>
      <c r="AT8337" s="120"/>
      <c r="AU8337" s="121"/>
      <c r="AV8337" s="120"/>
      <c r="AW8337" s="121"/>
      <c r="AX8337" s="120"/>
      <c r="AY8337" s="121"/>
      <c r="AZ8337" s="138"/>
    </row>
    <row r="8338" spans="1:52" ht="17.100000000000001" customHeight="1" thickTop="1">
      <c r="A8338" s="109" t="s">
        <v>23566</v>
      </c>
      <c r="B8338" s="28">
        <v>46129</v>
      </c>
      <c r="C8338" s="25"/>
      <c r="D8338" s="13" t="s">
        <v>23604</v>
      </c>
      <c r="E8338" s="111"/>
      <c r="F8338" s="113" t="s">
        <v>23606</v>
      </c>
      <c r="G8338" s="114"/>
      <c r="H8338" s="115"/>
      <c r="I8338" s="24" t="s">
        <v>23607</v>
      </c>
      <c r="J8338" s="116">
        <v>4.5</v>
      </c>
      <c r="K8338" s="118">
        <v>965000</v>
      </c>
      <c r="L8338" s="119"/>
      <c r="M8338" s="118">
        <f t="shared" ref="M8338" si="12567">K8338*0.1</f>
        <v>96500</v>
      </c>
      <c r="N8338" s="119"/>
      <c r="O8338" s="118">
        <v>0</v>
      </c>
      <c r="P8338" s="119"/>
      <c r="Q8338" s="118">
        <v>8550</v>
      </c>
      <c r="R8338" s="119"/>
      <c r="S8338" s="118">
        <v>0</v>
      </c>
      <c r="T8338" s="119"/>
      <c r="U8338" s="118">
        <f t="shared" ref="U8338" si="12568">SUM(K8338:T8339)</f>
        <v>1070050</v>
      </c>
      <c r="V8338" s="122"/>
      <c r="W8338" s="124"/>
      <c r="X8338" s="126" t="s">
        <v>25726</v>
      </c>
      <c r="Y8338" s="127"/>
      <c r="Z8338" s="127"/>
      <c r="AA8338" s="127"/>
      <c r="AB8338" s="128"/>
      <c r="AC8338" s="15" t="s">
        <v>20</v>
      </c>
      <c r="AD8338" s="129" t="s">
        <v>23608</v>
      </c>
      <c r="AE8338" s="130"/>
      <c r="AF8338" s="130"/>
      <c r="AG8338" s="130"/>
      <c r="AH8338" s="130"/>
      <c r="AI8338" s="131"/>
      <c r="AJ8338" s="132"/>
      <c r="AK8338" s="127"/>
      <c r="AL8338" s="128"/>
      <c r="AM8338" s="21"/>
      <c r="AN8338" s="133"/>
      <c r="AO8338" s="134"/>
      <c r="AP8338" s="135"/>
      <c r="AQ8338" s="136"/>
      <c r="AR8338" s="118"/>
      <c r="AS8338" s="119"/>
      <c r="AT8338" s="118">
        <f t="shared" ref="AT8338" si="12569">AR8338*0.1</f>
        <v>0</v>
      </c>
      <c r="AU8338" s="119"/>
      <c r="AV8338" s="118"/>
      <c r="AW8338" s="119"/>
      <c r="AX8338" s="118">
        <f t="shared" ref="AX8338" si="12570">SUM(AR8338:AW8338)</f>
        <v>0</v>
      </c>
      <c r="AY8338" s="119"/>
      <c r="AZ8338" s="137"/>
    </row>
    <row r="8339" spans="1:52" ht="17.100000000000001" customHeight="1" thickBot="1">
      <c r="A8339" s="110"/>
      <c r="B8339" s="27" t="s">
        <v>23573</v>
      </c>
      <c r="C8339" s="27" t="s">
        <v>23580</v>
      </c>
      <c r="D8339" s="14" t="s">
        <v>23605</v>
      </c>
      <c r="E8339" s="112"/>
      <c r="F8339" s="139" t="s">
        <v>23581</v>
      </c>
      <c r="G8339" s="140"/>
      <c r="H8339" s="141"/>
      <c r="I8339" s="26">
        <v>54812</v>
      </c>
      <c r="J8339" s="117"/>
      <c r="K8339" s="120"/>
      <c r="L8339" s="121"/>
      <c r="M8339" s="120"/>
      <c r="N8339" s="121"/>
      <c r="O8339" s="120"/>
      <c r="P8339" s="121"/>
      <c r="Q8339" s="120"/>
      <c r="R8339" s="121"/>
      <c r="S8339" s="120"/>
      <c r="T8339" s="121"/>
      <c r="U8339" s="120"/>
      <c r="V8339" s="123"/>
      <c r="W8339" s="125"/>
      <c r="X8339" s="142" t="s">
        <v>25727</v>
      </c>
      <c r="Y8339" s="143"/>
      <c r="Z8339" s="143"/>
      <c r="AA8339" s="143"/>
      <c r="AB8339" s="144"/>
      <c r="AC8339" s="16" t="s">
        <v>21</v>
      </c>
      <c r="AD8339" s="17" t="s">
        <v>25722</v>
      </c>
      <c r="AE8339" s="145" t="s">
        <v>171</v>
      </c>
      <c r="AF8339" s="146"/>
      <c r="AG8339" s="146"/>
      <c r="AH8339" s="146"/>
      <c r="AI8339" s="147"/>
      <c r="AJ8339" s="148"/>
      <c r="AK8339" s="143"/>
      <c r="AL8339" s="144"/>
      <c r="AM8339" s="22"/>
      <c r="AN8339" s="149"/>
      <c r="AO8339" s="144"/>
      <c r="AP8339" s="148"/>
      <c r="AQ8339" s="144"/>
      <c r="AR8339" s="120"/>
      <c r="AS8339" s="121"/>
      <c r="AT8339" s="120"/>
      <c r="AU8339" s="121"/>
      <c r="AV8339" s="120"/>
      <c r="AW8339" s="121"/>
      <c r="AX8339" s="120"/>
      <c r="AY8339" s="121"/>
      <c r="AZ8339" s="138"/>
    </row>
    <row r="8340" spans="1:52" ht="17.100000000000001" customHeight="1" thickTop="1">
      <c r="A8340" s="109" t="s">
        <v>23567</v>
      </c>
      <c r="B8340" s="28">
        <v>46129</v>
      </c>
      <c r="C8340" s="25"/>
      <c r="D8340" s="13" t="s">
        <v>23609</v>
      </c>
      <c r="E8340" s="111"/>
      <c r="F8340" s="113" t="s">
        <v>15950</v>
      </c>
      <c r="G8340" s="114"/>
      <c r="H8340" s="115"/>
      <c r="I8340" s="24" t="s">
        <v>23610</v>
      </c>
      <c r="J8340" s="116">
        <v>4.5</v>
      </c>
      <c r="K8340" s="118">
        <v>1155000</v>
      </c>
      <c r="L8340" s="119"/>
      <c r="M8340" s="118">
        <f t="shared" ref="M8340" si="12571">K8340*0.1</f>
        <v>115500</v>
      </c>
      <c r="N8340" s="119"/>
      <c r="O8340" s="118">
        <v>0</v>
      </c>
      <c r="P8340" s="119"/>
      <c r="Q8340" s="118">
        <v>8550</v>
      </c>
      <c r="R8340" s="119"/>
      <c r="S8340" s="118">
        <v>0</v>
      </c>
      <c r="T8340" s="119"/>
      <c r="U8340" s="118">
        <f t="shared" ref="U8340" si="12572">SUM(K8340:T8341)</f>
        <v>1279050</v>
      </c>
      <c r="V8340" s="122"/>
      <c r="W8340" s="124"/>
      <c r="X8340" s="126" t="s">
        <v>25378</v>
      </c>
      <c r="Y8340" s="127"/>
      <c r="Z8340" s="127"/>
      <c r="AA8340" s="127"/>
      <c r="AB8340" s="128"/>
      <c r="AC8340" s="15" t="s">
        <v>20</v>
      </c>
      <c r="AD8340" s="129" t="s">
        <v>23595</v>
      </c>
      <c r="AE8340" s="130"/>
      <c r="AF8340" s="130"/>
      <c r="AG8340" s="130"/>
      <c r="AH8340" s="130"/>
      <c r="AI8340" s="131"/>
      <c r="AJ8340" s="132"/>
      <c r="AK8340" s="127"/>
      <c r="AL8340" s="128"/>
      <c r="AM8340" s="21"/>
      <c r="AN8340" s="133"/>
      <c r="AO8340" s="134"/>
      <c r="AP8340" s="135"/>
      <c r="AQ8340" s="136"/>
      <c r="AR8340" s="118"/>
      <c r="AS8340" s="119"/>
      <c r="AT8340" s="118">
        <f t="shared" ref="AT8340" si="12573">AR8340*0.1</f>
        <v>0</v>
      </c>
      <c r="AU8340" s="119"/>
      <c r="AV8340" s="118"/>
      <c r="AW8340" s="119"/>
      <c r="AX8340" s="118">
        <f t="shared" ref="AX8340" si="12574">SUM(AR8340:AW8340)</f>
        <v>0</v>
      </c>
      <c r="AY8340" s="119"/>
      <c r="AZ8340" s="137"/>
    </row>
    <row r="8341" spans="1:52" ht="17.100000000000001" customHeight="1" thickBot="1">
      <c r="A8341" s="110"/>
      <c r="B8341" s="27" t="s">
        <v>23573</v>
      </c>
      <c r="C8341" s="27" t="s">
        <v>23582</v>
      </c>
      <c r="D8341" s="14" t="s">
        <v>23600</v>
      </c>
      <c r="E8341" s="112"/>
      <c r="F8341" s="139" t="s">
        <v>23583</v>
      </c>
      <c r="G8341" s="140"/>
      <c r="H8341" s="141"/>
      <c r="I8341" s="26">
        <v>43876</v>
      </c>
      <c r="J8341" s="117"/>
      <c r="K8341" s="120"/>
      <c r="L8341" s="121"/>
      <c r="M8341" s="120"/>
      <c r="N8341" s="121"/>
      <c r="O8341" s="120"/>
      <c r="P8341" s="121"/>
      <c r="Q8341" s="120"/>
      <c r="R8341" s="121"/>
      <c r="S8341" s="120"/>
      <c r="T8341" s="121"/>
      <c r="U8341" s="120"/>
      <c r="V8341" s="123"/>
      <c r="W8341" s="125"/>
      <c r="X8341" s="142" t="s">
        <v>25379</v>
      </c>
      <c r="Y8341" s="143"/>
      <c r="Z8341" s="143"/>
      <c r="AA8341" s="143"/>
      <c r="AB8341" s="144"/>
      <c r="AC8341" s="16" t="s">
        <v>21</v>
      </c>
      <c r="AD8341" s="17" t="s">
        <v>1847</v>
      </c>
      <c r="AE8341" s="145" t="s">
        <v>1614</v>
      </c>
      <c r="AF8341" s="146"/>
      <c r="AG8341" s="146"/>
      <c r="AH8341" s="146"/>
      <c r="AI8341" s="147"/>
      <c r="AJ8341" s="148"/>
      <c r="AK8341" s="143"/>
      <c r="AL8341" s="144"/>
      <c r="AM8341" s="22"/>
      <c r="AN8341" s="149"/>
      <c r="AO8341" s="144"/>
      <c r="AP8341" s="148"/>
      <c r="AQ8341" s="144"/>
      <c r="AR8341" s="120"/>
      <c r="AS8341" s="121"/>
      <c r="AT8341" s="120"/>
      <c r="AU8341" s="121"/>
      <c r="AV8341" s="120"/>
      <c r="AW8341" s="121"/>
      <c r="AX8341" s="120"/>
      <c r="AY8341" s="121"/>
      <c r="AZ8341" s="138"/>
    </row>
    <row r="8342" spans="1:52" ht="17.100000000000001" customHeight="1" thickTop="1">
      <c r="A8342" s="109" t="s">
        <v>23568</v>
      </c>
      <c r="B8342" s="28">
        <v>46130</v>
      </c>
      <c r="C8342" s="25">
        <v>1462</v>
      </c>
      <c r="D8342" s="13" t="s">
        <v>23719</v>
      </c>
      <c r="E8342" s="111"/>
      <c r="F8342" s="113" t="s">
        <v>23585</v>
      </c>
      <c r="G8342" s="114"/>
      <c r="H8342" s="115"/>
      <c r="I8342" s="24"/>
      <c r="J8342" s="116">
        <v>4.5</v>
      </c>
      <c r="K8342" s="118">
        <v>800000</v>
      </c>
      <c r="L8342" s="119"/>
      <c r="M8342" s="118">
        <f t="shared" ref="M8342" si="12575">K8342*0.1</f>
        <v>80000</v>
      </c>
      <c r="N8342" s="119"/>
      <c r="O8342" s="118">
        <v>0</v>
      </c>
      <c r="P8342" s="119"/>
      <c r="Q8342" s="118">
        <v>19440</v>
      </c>
      <c r="R8342" s="119"/>
      <c r="S8342" s="118">
        <v>27500</v>
      </c>
      <c r="T8342" s="119"/>
      <c r="U8342" s="118">
        <f t="shared" ref="U8342" si="12576">SUM(K8342:T8343)</f>
        <v>926940</v>
      </c>
      <c r="V8342" s="122"/>
      <c r="W8342" s="124"/>
      <c r="X8342" s="126" t="s">
        <v>24038</v>
      </c>
      <c r="Y8342" s="127"/>
      <c r="Z8342" s="127"/>
      <c r="AA8342" s="127"/>
      <c r="AB8342" s="128"/>
      <c r="AC8342" s="15" t="s">
        <v>20</v>
      </c>
      <c r="AD8342" s="129" t="s">
        <v>23674</v>
      </c>
      <c r="AE8342" s="130"/>
      <c r="AF8342" s="130"/>
      <c r="AG8342" s="130"/>
      <c r="AH8342" s="130"/>
      <c r="AI8342" s="131"/>
      <c r="AJ8342" s="132"/>
      <c r="AK8342" s="127"/>
      <c r="AL8342" s="128"/>
      <c r="AM8342" s="21"/>
      <c r="AN8342" s="133">
        <v>46135</v>
      </c>
      <c r="AO8342" s="134"/>
      <c r="AP8342" s="135">
        <v>1328</v>
      </c>
      <c r="AQ8342" s="136"/>
      <c r="AR8342" s="118">
        <v>925000</v>
      </c>
      <c r="AS8342" s="119"/>
      <c r="AT8342" s="118">
        <f t="shared" ref="AT8342" si="12577">AR8342*0.1</f>
        <v>92500</v>
      </c>
      <c r="AU8342" s="119"/>
      <c r="AV8342" s="118">
        <v>19440</v>
      </c>
      <c r="AW8342" s="119"/>
      <c r="AX8342" s="118">
        <f t="shared" ref="AX8342" si="12578">SUM(AR8342:AW8342)</f>
        <v>1036940</v>
      </c>
      <c r="AY8342" s="119"/>
      <c r="AZ8342" s="137">
        <v>46136</v>
      </c>
    </row>
    <row r="8343" spans="1:52" ht="17.100000000000001" customHeight="1" thickBot="1">
      <c r="A8343" s="110"/>
      <c r="B8343" s="27" t="s">
        <v>23584</v>
      </c>
      <c r="C8343" s="27">
        <v>6018</v>
      </c>
      <c r="D8343" s="14" t="s">
        <v>23720</v>
      </c>
      <c r="E8343" s="112"/>
      <c r="F8343" s="139" t="s">
        <v>23721</v>
      </c>
      <c r="G8343" s="140"/>
      <c r="H8343" s="141"/>
      <c r="I8343" s="26">
        <v>50900</v>
      </c>
      <c r="J8343" s="117"/>
      <c r="K8343" s="120"/>
      <c r="L8343" s="121"/>
      <c r="M8343" s="120"/>
      <c r="N8343" s="121"/>
      <c r="O8343" s="120"/>
      <c r="P8343" s="121"/>
      <c r="Q8343" s="120"/>
      <c r="R8343" s="121"/>
      <c r="S8343" s="120"/>
      <c r="T8343" s="121"/>
      <c r="U8343" s="120"/>
      <c r="V8343" s="123"/>
      <c r="W8343" s="125"/>
      <c r="X8343" s="142" t="s">
        <v>24039</v>
      </c>
      <c r="Y8343" s="143"/>
      <c r="Z8343" s="143"/>
      <c r="AA8343" s="143"/>
      <c r="AB8343" s="144"/>
      <c r="AC8343" s="16" t="s">
        <v>21</v>
      </c>
      <c r="AD8343" s="17" t="s">
        <v>24016</v>
      </c>
      <c r="AE8343" s="145" t="s">
        <v>24040</v>
      </c>
      <c r="AF8343" s="146"/>
      <c r="AG8343" s="146"/>
      <c r="AH8343" s="146"/>
      <c r="AI8343" s="147"/>
      <c r="AJ8343" s="148"/>
      <c r="AK8343" s="143"/>
      <c r="AL8343" s="144"/>
      <c r="AM8343" s="22"/>
      <c r="AN8343" s="149" t="s">
        <v>24066</v>
      </c>
      <c r="AO8343" s="144"/>
      <c r="AP8343" s="148">
        <v>191</v>
      </c>
      <c r="AQ8343" s="144"/>
      <c r="AR8343" s="120"/>
      <c r="AS8343" s="121"/>
      <c r="AT8343" s="120"/>
      <c r="AU8343" s="121"/>
      <c r="AV8343" s="120"/>
      <c r="AW8343" s="121"/>
      <c r="AX8343" s="120"/>
      <c r="AY8343" s="121"/>
      <c r="AZ8343" s="138"/>
    </row>
    <row r="8344" spans="1:52" ht="17.100000000000001" customHeight="1" thickTop="1">
      <c r="A8344" s="109" t="s">
        <v>23569</v>
      </c>
      <c r="B8344" s="28">
        <v>46130</v>
      </c>
      <c r="C8344" s="25">
        <v>1715</v>
      </c>
      <c r="D8344" s="13" t="s">
        <v>23722</v>
      </c>
      <c r="E8344" s="111"/>
      <c r="F8344" s="113" t="s">
        <v>23587</v>
      </c>
      <c r="G8344" s="114"/>
      <c r="H8344" s="115"/>
      <c r="I8344" s="24" t="s">
        <v>23723</v>
      </c>
      <c r="J8344" s="116">
        <v>4.5</v>
      </c>
      <c r="K8344" s="118">
        <v>2935000</v>
      </c>
      <c r="L8344" s="119"/>
      <c r="M8344" s="118">
        <f t="shared" ref="M8344" si="12579">K8344*0.1</f>
        <v>293500</v>
      </c>
      <c r="N8344" s="119"/>
      <c r="O8344" s="118">
        <v>36300</v>
      </c>
      <c r="P8344" s="119"/>
      <c r="Q8344" s="118">
        <v>17580</v>
      </c>
      <c r="R8344" s="119"/>
      <c r="S8344" s="118">
        <v>16500</v>
      </c>
      <c r="T8344" s="119"/>
      <c r="U8344" s="118">
        <f t="shared" ref="U8344" si="12580">SUM(K8344:T8345)</f>
        <v>3298880</v>
      </c>
      <c r="V8344" s="122"/>
      <c r="W8344" s="124"/>
      <c r="X8344" s="126" t="s">
        <v>24054</v>
      </c>
      <c r="Y8344" s="127"/>
      <c r="Z8344" s="127"/>
      <c r="AA8344" s="127"/>
      <c r="AB8344" s="128"/>
      <c r="AC8344" s="15" t="s">
        <v>20</v>
      </c>
      <c r="AD8344" s="129" t="s">
        <v>23724</v>
      </c>
      <c r="AE8344" s="130"/>
      <c r="AF8344" s="130"/>
      <c r="AG8344" s="130"/>
      <c r="AH8344" s="130"/>
      <c r="AI8344" s="131"/>
      <c r="AJ8344" s="132"/>
      <c r="AK8344" s="127"/>
      <c r="AL8344" s="128"/>
      <c r="AM8344" s="21"/>
      <c r="AN8344" s="133">
        <v>46137</v>
      </c>
      <c r="AO8344" s="134"/>
      <c r="AP8344" s="135">
        <v>1298</v>
      </c>
      <c r="AQ8344" s="136"/>
      <c r="AR8344" s="118">
        <v>3305000</v>
      </c>
      <c r="AS8344" s="119"/>
      <c r="AT8344" s="118">
        <f t="shared" ref="AT8344" si="12581">AR8344*0.1</f>
        <v>330500</v>
      </c>
      <c r="AU8344" s="119"/>
      <c r="AV8344" s="118">
        <v>17580</v>
      </c>
      <c r="AW8344" s="119"/>
      <c r="AX8344" s="118">
        <f t="shared" ref="AX8344" si="12582">SUM(AR8344:AW8344)</f>
        <v>3653080</v>
      </c>
      <c r="AY8344" s="119"/>
      <c r="AZ8344" s="137">
        <v>46140</v>
      </c>
    </row>
    <row r="8345" spans="1:52" ht="17.100000000000001" customHeight="1" thickBot="1">
      <c r="A8345" s="110"/>
      <c r="B8345" s="27" t="s">
        <v>23586</v>
      </c>
      <c r="C8345" s="27">
        <v>329</v>
      </c>
      <c r="D8345" s="14" t="s">
        <v>23618</v>
      </c>
      <c r="E8345" s="112"/>
      <c r="F8345" s="139" t="s">
        <v>23588</v>
      </c>
      <c r="G8345" s="140"/>
      <c r="H8345" s="141"/>
      <c r="I8345" s="26">
        <v>41356</v>
      </c>
      <c r="J8345" s="117"/>
      <c r="K8345" s="120"/>
      <c r="L8345" s="121"/>
      <c r="M8345" s="120"/>
      <c r="N8345" s="121"/>
      <c r="O8345" s="120"/>
      <c r="P8345" s="121"/>
      <c r="Q8345" s="120"/>
      <c r="R8345" s="121"/>
      <c r="S8345" s="120"/>
      <c r="T8345" s="121"/>
      <c r="U8345" s="120"/>
      <c r="V8345" s="123"/>
      <c r="W8345" s="125"/>
      <c r="X8345" s="142" t="s">
        <v>16592</v>
      </c>
      <c r="Y8345" s="143"/>
      <c r="Z8345" s="143"/>
      <c r="AA8345" s="143"/>
      <c r="AB8345" s="144"/>
      <c r="AC8345" s="16" t="s">
        <v>21</v>
      </c>
      <c r="AD8345" s="17" t="s">
        <v>24016</v>
      </c>
      <c r="AE8345" s="145" t="s">
        <v>1742</v>
      </c>
      <c r="AF8345" s="146"/>
      <c r="AG8345" s="146"/>
      <c r="AH8345" s="146"/>
      <c r="AI8345" s="147"/>
      <c r="AJ8345" s="148"/>
      <c r="AK8345" s="143"/>
      <c r="AL8345" s="144"/>
      <c r="AM8345" s="22"/>
      <c r="AN8345" s="149" t="s">
        <v>2511</v>
      </c>
      <c r="AO8345" s="144"/>
      <c r="AP8345" s="148">
        <v>80084</v>
      </c>
      <c r="AQ8345" s="144"/>
      <c r="AR8345" s="120"/>
      <c r="AS8345" s="121"/>
      <c r="AT8345" s="120"/>
      <c r="AU8345" s="121"/>
      <c r="AV8345" s="120"/>
      <c r="AW8345" s="121"/>
      <c r="AX8345" s="120"/>
      <c r="AY8345" s="121"/>
      <c r="AZ8345" s="138"/>
    </row>
    <row r="8346" spans="1:52" ht="17.100000000000001" customHeight="1" thickTop="1">
      <c r="A8346" s="109" t="s">
        <v>23570</v>
      </c>
      <c r="B8346" s="28">
        <v>46130</v>
      </c>
      <c r="C8346" s="25">
        <v>1540</v>
      </c>
      <c r="D8346" s="13" t="s">
        <v>23725</v>
      </c>
      <c r="E8346" s="111"/>
      <c r="F8346" s="113" t="s">
        <v>23590</v>
      </c>
      <c r="G8346" s="114"/>
      <c r="H8346" s="115"/>
      <c r="I8346" s="24" t="s">
        <v>23727</v>
      </c>
      <c r="J8346" s="116">
        <v>4.5</v>
      </c>
      <c r="K8346" s="118">
        <v>1650000</v>
      </c>
      <c r="L8346" s="119"/>
      <c r="M8346" s="118">
        <f t="shared" ref="M8346" si="12583">K8346*0.1</f>
        <v>165000</v>
      </c>
      <c r="N8346" s="119"/>
      <c r="O8346" s="118">
        <v>30690</v>
      </c>
      <c r="P8346" s="119"/>
      <c r="Q8346" s="118">
        <v>19130</v>
      </c>
      <c r="R8346" s="119"/>
      <c r="S8346" s="118">
        <v>16500</v>
      </c>
      <c r="T8346" s="119"/>
      <c r="U8346" s="118">
        <f t="shared" ref="U8346" si="12584">SUM(K8346:T8347)</f>
        <v>1881320</v>
      </c>
      <c r="V8346" s="122"/>
      <c r="W8346" s="124"/>
      <c r="X8346" s="126" t="s">
        <v>23728</v>
      </c>
      <c r="Y8346" s="127"/>
      <c r="Z8346" s="127"/>
      <c r="AA8346" s="127"/>
      <c r="AB8346" s="128"/>
      <c r="AC8346" s="15" t="s">
        <v>20</v>
      </c>
      <c r="AD8346" s="129"/>
      <c r="AE8346" s="130"/>
      <c r="AF8346" s="130"/>
      <c r="AG8346" s="130"/>
      <c r="AH8346" s="130"/>
      <c r="AI8346" s="131"/>
      <c r="AJ8346" s="132"/>
      <c r="AK8346" s="127"/>
      <c r="AL8346" s="128"/>
      <c r="AM8346" s="21"/>
      <c r="AN8346" s="133">
        <v>46135</v>
      </c>
      <c r="AO8346" s="134"/>
      <c r="AP8346" s="135">
        <v>1328</v>
      </c>
      <c r="AQ8346" s="136"/>
      <c r="AR8346" s="118">
        <v>1795000</v>
      </c>
      <c r="AS8346" s="119"/>
      <c r="AT8346" s="118">
        <f t="shared" ref="AT8346" si="12585">AR8346*0.1</f>
        <v>179500</v>
      </c>
      <c r="AU8346" s="119"/>
      <c r="AV8346" s="118">
        <v>19130</v>
      </c>
      <c r="AW8346" s="119"/>
      <c r="AX8346" s="118">
        <f t="shared" ref="AX8346" si="12586">SUM(AR8346:AW8346)</f>
        <v>1993630</v>
      </c>
      <c r="AY8346" s="119"/>
      <c r="AZ8346" s="137">
        <v>46136</v>
      </c>
    </row>
    <row r="8347" spans="1:52" ht="17.100000000000001" customHeight="1" thickBot="1">
      <c r="A8347" s="110"/>
      <c r="B8347" s="27" t="s">
        <v>23589</v>
      </c>
      <c r="C8347" s="27">
        <v>83204</v>
      </c>
      <c r="D8347" s="14" t="s">
        <v>23618</v>
      </c>
      <c r="E8347" s="112"/>
      <c r="F8347" s="139" t="s">
        <v>23726</v>
      </c>
      <c r="G8347" s="140"/>
      <c r="H8347" s="141"/>
      <c r="I8347" s="26">
        <v>53575</v>
      </c>
      <c r="J8347" s="117"/>
      <c r="K8347" s="120"/>
      <c r="L8347" s="121"/>
      <c r="M8347" s="120"/>
      <c r="N8347" s="121"/>
      <c r="O8347" s="120"/>
      <c r="P8347" s="121"/>
      <c r="Q8347" s="120"/>
      <c r="R8347" s="121"/>
      <c r="S8347" s="120"/>
      <c r="T8347" s="121"/>
      <c r="U8347" s="120"/>
      <c r="V8347" s="123"/>
      <c r="W8347" s="125"/>
      <c r="X8347" s="142" t="s">
        <v>24041</v>
      </c>
      <c r="Y8347" s="143"/>
      <c r="Z8347" s="143"/>
      <c r="AA8347" s="143"/>
      <c r="AB8347" s="144"/>
      <c r="AC8347" s="16" t="s">
        <v>21</v>
      </c>
      <c r="AD8347" s="17" t="s">
        <v>24016</v>
      </c>
      <c r="AE8347" s="145" t="s">
        <v>1742</v>
      </c>
      <c r="AF8347" s="146"/>
      <c r="AG8347" s="146"/>
      <c r="AH8347" s="146"/>
      <c r="AI8347" s="147"/>
      <c r="AJ8347" s="148"/>
      <c r="AK8347" s="143"/>
      <c r="AL8347" s="144"/>
      <c r="AM8347" s="22"/>
      <c r="AN8347" s="149" t="s">
        <v>24066</v>
      </c>
      <c r="AO8347" s="144"/>
      <c r="AP8347" s="148">
        <v>194</v>
      </c>
      <c r="AQ8347" s="144"/>
      <c r="AR8347" s="120"/>
      <c r="AS8347" s="121"/>
      <c r="AT8347" s="120"/>
      <c r="AU8347" s="121"/>
      <c r="AV8347" s="120"/>
      <c r="AW8347" s="121"/>
      <c r="AX8347" s="120"/>
      <c r="AY8347" s="121"/>
      <c r="AZ8347" s="138"/>
    </row>
    <row r="8348" spans="1:52" ht="17.100000000000001" customHeight="1" thickTop="1">
      <c r="A8348" s="109" t="s">
        <v>23571</v>
      </c>
      <c r="B8348" s="28">
        <v>46130</v>
      </c>
      <c r="C8348" s="25">
        <v>308</v>
      </c>
      <c r="D8348" s="13" t="s">
        <v>23615</v>
      </c>
      <c r="E8348" s="111"/>
      <c r="F8348" s="113" t="s">
        <v>23616</v>
      </c>
      <c r="G8348" s="114"/>
      <c r="H8348" s="115"/>
      <c r="I8348" s="24"/>
      <c r="J8348" s="116">
        <v>4</v>
      </c>
      <c r="K8348" s="118">
        <v>802000</v>
      </c>
      <c r="L8348" s="119"/>
      <c r="M8348" s="118">
        <f t="shared" ref="M8348" si="12587">K8348*0.1</f>
        <v>80200</v>
      </c>
      <c r="N8348" s="119"/>
      <c r="O8348" s="118">
        <v>0</v>
      </c>
      <c r="P8348" s="119"/>
      <c r="Q8348" s="118">
        <v>12030</v>
      </c>
      <c r="R8348" s="119"/>
      <c r="S8348" s="118">
        <v>15950</v>
      </c>
      <c r="T8348" s="119"/>
      <c r="U8348" s="118">
        <f t="shared" ref="U8348" si="12588">SUM(K8348:T8349)</f>
        <v>910180</v>
      </c>
      <c r="V8348" s="122"/>
      <c r="W8348" s="124"/>
      <c r="X8348" s="126" t="s">
        <v>24279</v>
      </c>
      <c r="Y8348" s="127"/>
      <c r="Z8348" s="127"/>
      <c r="AA8348" s="127"/>
      <c r="AB8348" s="128"/>
      <c r="AC8348" s="15" t="s">
        <v>20</v>
      </c>
      <c r="AD8348" s="129"/>
      <c r="AE8348" s="130"/>
      <c r="AF8348" s="130"/>
      <c r="AG8348" s="130"/>
      <c r="AH8348" s="130"/>
      <c r="AI8348" s="131"/>
      <c r="AJ8348" s="132"/>
      <c r="AK8348" s="127"/>
      <c r="AL8348" s="128"/>
      <c r="AM8348" s="21"/>
      <c r="AN8348" s="133"/>
      <c r="AO8348" s="134"/>
      <c r="AP8348" s="135"/>
      <c r="AQ8348" s="136"/>
      <c r="AR8348" s="118"/>
      <c r="AS8348" s="119"/>
      <c r="AT8348" s="118">
        <f t="shared" ref="AT8348" si="12589">AR8348*0.1</f>
        <v>0</v>
      </c>
      <c r="AU8348" s="119"/>
      <c r="AV8348" s="118"/>
      <c r="AW8348" s="119"/>
      <c r="AX8348" s="118">
        <f t="shared" ref="AX8348" si="12590">SUM(AR8348:AW8348)</f>
        <v>0</v>
      </c>
      <c r="AY8348" s="119"/>
      <c r="AZ8348" s="137"/>
    </row>
    <row r="8349" spans="1:52" ht="17.100000000000001" customHeight="1" thickBot="1">
      <c r="A8349" s="110"/>
      <c r="B8349" s="27" t="s">
        <v>23611</v>
      </c>
      <c r="C8349" s="27">
        <v>97</v>
      </c>
      <c r="D8349" s="14" t="s">
        <v>2601</v>
      </c>
      <c r="E8349" s="112"/>
      <c r="F8349" s="139" t="s">
        <v>23612</v>
      </c>
      <c r="G8349" s="140"/>
      <c r="H8349" s="141"/>
      <c r="I8349" s="26">
        <v>100340</v>
      </c>
      <c r="J8349" s="117"/>
      <c r="K8349" s="120"/>
      <c r="L8349" s="121"/>
      <c r="M8349" s="120"/>
      <c r="N8349" s="121"/>
      <c r="O8349" s="120"/>
      <c r="P8349" s="121"/>
      <c r="Q8349" s="120"/>
      <c r="R8349" s="121"/>
      <c r="S8349" s="120"/>
      <c r="T8349" s="121"/>
      <c r="U8349" s="120"/>
      <c r="V8349" s="123"/>
      <c r="W8349" s="125"/>
      <c r="X8349" s="142" t="s">
        <v>21892</v>
      </c>
      <c r="Y8349" s="143"/>
      <c r="Z8349" s="143"/>
      <c r="AA8349" s="143"/>
      <c r="AB8349" s="144"/>
      <c r="AC8349" s="16" t="s">
        <v>21</v>
      </c>
      <c r="AD8349" s="17" t="s">
        <v>24261</v>
      </c>
      <c r="AE8349" s="145"/>
      <c r="AF8349" s="146"/>
      <c r="AG8349" s="146"/>
      <c r="AH8349" s="146"/>
      <c r="AI8349" s="147"/>
      <c r="AJ8349" s="148"/>
      <c r="AK8349" s="143"/>
      <c r="AL8349" s="144"/>
      <c r="AM8349" s="22"/>
      <c r="AN8349" s="149"/>
      <c r="AO8349" s="144"/>
      <c r="AP8349" s="148"/>
      <c r="AQ8349" s="144"/>
      <c r="AR8349" s="120"/>
      <c r="AS8349" s="121"/>
      <c r="AT8349" s="120"/>
      <c r="AU8349" s="121"/>
      <c r="AV8349" s="120"/>
      <c r="AW8349" s="121"/>
      <c r="AX8349" s="120"/>
      <c r="AY8349" s="121"/>
      <c r="AZ8349" s="138"/>
    </row>
    <row r="8350" spans="1:52" ht="17.100000000000001" customHeight="1" thickTop="1">
      <c r="A8350" s="109" t="s">
        <v>23572</v>
      </c>
      <c r="B8350" s="28">
        <v>46130</v>
      </c>
      <c r="C8350" s="25">
        <v>308</v>
      </c>
      <c r="D8350" s="13" t="s">
        <v>23617</v>
      </c>
      <c r="E8350" s="111"/>
      <c r="F8350" s="113" t="s">
        <v>23613</v>
      </c>
      <c r="G8350" s="114"/>
      <c r="H8350" s="115"/>
      <c r="I8350" s="24"/>
      <c r="J8350" s="116">
        <v>4.5</v>
      </c>
      <c r="K8350" s="118">
        <v>604000</v>
      </c>
      <c r="L8350" s="119"/>
      <c r="M8350" s="118">
        <f t="shared" ref="M8350" si="12591">K8350*0.1</f>
        <v>60400</v>
      </c>
      <c r="N8350" s="119"/>
      <c r="O8350" s="118">
        <v>0</v>
      </c>
      <c r="P8350" s="119"/>
      <c r="Q8350" s="118">
        <v>6550</v>
      </c>
      <c r="R8350" s="119"/>
      <c r="S8350" s="118">
        <v>15950</v>
      </c>
      <c r="T8350" s="119"/>
      <c r="U8350" s="118">
        <f t="shared" ref="U8350" si="12592">SUM(K8350:T8351)</f>
        <v>686900</v>
      </c>
      <c r="V8350" s="122"/>
      <c r="W8350" s="124"/>
      <c r="X8350" s="126" t="s">
        <v>24139</v>
      </c>
      <c r="Y8350" s="127"/>
      <c r="Z8350" s="127"/>
      <c r="AA8350" s="127"/>
      <c r="AB8350" s="128"/>
      <c r="AC8350" s="15" t="s">
        <v>20</v>
      </c>
      <c r="AD8350" s="129" t="s">
        <v>23619</v>
      </c>
      <c r="AE8350" s="130"/>
      <c r="AF8350" s="130"/>
      <c r="AG8350" s="130"/>
      <c r="AH8350" s="130"/>
      <c r="AI8350" s="131"/>
      <c r="AJ8350" s="132"/>
      <c r="AK8350" s="127"/>
      <c r="AL8350" s="128"/>
      <c r="AM8350" s="21"/>
      <c r="AN8350" s="133">
        <v>46144</v>
      </c>
      <c r="AO8350" s="134"/>
      <c r="AP8350" s="135">
        <v>1299</v>
      </c>
      <c r="AQ8350" s="136"/>
      <c r="AR8350" s="118">
        <v>698000</v>
      </c>
      <c r="AS8350" s="119"/>
      <c r="AT8350" s="118">
        <f t="shared" ref="AT8350" si="12593">AR8350*0.1</f>
        <v>69800</v>
      </c>
      <c r="AU8350" s="119"/>
      <c r="AV8350" s="118">
        <v>6550</v>
      </c>
      <c r="AW8350" s="119"/>
      <c r="AX8350" s="118">
        <f t="shared" ref="AX8350" si="12594">SUM(AR8350:AW8350)</f>
        <v>774350</v>
      </c>
      <c r="AY8350" s="119"/>
      <c r="AZ8350" s="137">
        <v>46156</v>
      </c>
    </row>
    <row r="8351" spans="1:52" ht="17.100000000000001" customHeight="1" thickBot="1">
      <c r="A8351" s="110"/>
      <c r="B8351" s="27" t="s">
        <v>23611</v>
      </c>
      <c r="C8351" s="27">
        <v>3124</v>
      </c>
      <c r="D8351" s="14" t="s">
        <v>23618</v>
      </c>
      <c r="E8351" s="112"/>
      <c r="F8351" s="139" t="s">
        <v>23614</v>
      </c>
      <c r="G8351" s="140"/>
      <c r="H8351" s="141"/>
      <c r="I8351" s="26">
        <v>24471</v>
      </c>
      <c r="J8351" s="117"/>
      <c r="K8351" s="120"/>
      <c r="L8351" s="121"/>
      <c r="M8351" s="120"/>
      <c r="N8351" s="121"/>
      <c r="O8351" s="120"/>
      <c r="P8351" s="121"/>
      <c r="Q8351" s="120"/>
      <c r="R8351" s="121"/>
      <c r="S8351" s="120"/>
      <c r="T8351" s="121"/>
      <c r="U8351" s="120"/>
      <c r="V8351" s="123"/>
      <c r="W8351" s="125"/>
      <c r="X8351" s="142" t="s">
        <v>24140</v>
      </c>
      <c r="Y8351" s="143"/>
      <c r="Z8351" s="143"/>
      <c r="AA8351" s="143"/>
      <c r="AB8351" s="144"/>
      <c r="AC8351" s="16" t="s">
        <v>21</v>
      </c>
      <c r="AD8351" s="17" t="s">
        <v>24114</v>
      </c>
      <c r="AE8351" s="145" t="s">
        <v>24126</v>
      </c>
      <c r="AF8351" s="146"/>
      <c r="AG8351" s="146"/>
      <c r="AH8351" s="146"/>
      <c r="AI8351" s="147"/>
      <c r="AJ8351" s="148"/>
      <c r="AK8351" s="143"/>
      <c r="AL8351" s="144"/>
      <c r="AM8351" s="22"/>
      <c r="AN8351" s="149" t="s">
        <v>6748</v>
      </c>
      <c r="AO8351" s="144"/>
      <c r="AP8351" s="148">
        <v>60082</v>
      </c>
      <c r="AQ8351" s="144"/>
      <c r="AR8351" s="120"/>
      <c r="AS8351" s="121"/>
      <c r="AT8351" s="120"/>
      <c r="AU8351" s="121"/>
      <c r="AV8351" s="120"/>
      <c r="AW8351" s="121"/>
      <c r="AX8351" s="120"/>
      <c r="AY8351" s="121"/>
      <c r="AZ8351" s="138"/>
    </row>
    <row r="8352" spans="1:52" ht="17.100000000000001" customHeight="1" thickTop="1">
      <c r="A8352" s="109" t="s">
        <v>23620</v>
      </c>
      <c r="B8352" s="28">
        <v>46130</v>
      </c>
      <c r="C8352" s="25">
        <v>1297</v>
      </c>
      <c r="D8352" s="13" t="s">
        <v>23729</v>
      </c>
      <c r="E8352" s="111"/>
      <c r="F8352" s="113" t="s">
        <v>23730</v>
      </c>
      <c r="G8352" s="114"/>
      <c r="H8352" s="115"/>
      <c r="I8352" s="24" t="s">
        <v>23731</v>
      </c>
      <c r="J8352" s="116">
        <v>4</v>
      </c>
      <c r="K8352" s="118">
        <v>3425000</v>
      </c>
      <c r="L8352" s="119"/>
      <c r="M8352" s="118">
        <v>342500</v>
      </c>
      <c r="N8352" s="119"/>
      <c r="O8352" s="118">
        <v>16060</v>
      </c>
      <c r="P8352" s="119"/>
      <c r="Q8352" s="118">
        <v>11040</v>
      </c>
      <c r="R8352" s="119"/>
      <c r="S8352" s="118">
        <v>12100</v>
      </c>
      <c r="T8352" s="119"/>
      <c r="U8352" s="118">
        <f t="shared" ref="U8352" si="12595">SUM(K8352:T8353)</f>
        <v>3806700</v>
      </c>
      <c r="V8352" s="122"/>
      <c r="W8352" s="124"/>
      <c r="X8352" s="126" t="s">
        <v>23732</v>
      </c>
      <c r="Y8352" s="127"/>
      <c r="Z8352" s="127"/>
      <c r="AA8352" s="127"/>
      <c r="AB8352" s="128"/>
      <c r="AC8352" s="15" t="s">
        <v>20</v>
      </c>
      <c r="AD8352" s="129"/>
      <c r="AE8352" s="130"/>
      <c r="AF8352" s="130"/>
      <c r="AG8352" s="130"/>
      <c r="AH8352" s="130"/>
      <c r="AI8352" s="131"/>
      <c r="AJ8352" s="132"/>
      <c r="AK8352" s="127"/>
      <c r="AL8352" s="128"/>
      <c r="AM8352" s="21"/>
      <c r="AN8352" s="133">
        <v>46134</v>
      </c>
      <c r="AO8352" s="134"/>
      <c r="AP8352" s="135">
        <v>1014</v>
      </c>
      <c r="AQ8352" s="136"/>
      <c r="AR8352" s="118">
        <v>3525000</v>
      </c>
      <c r="AS8352" s="119"/>
      <c r="AT8352" s="118">
        <f t="shared" ref="AT8352" si="12596">AR8352*0.1</f>
        <v>352500</v>
      </c>
      <c r="AU8352" s="119"/>
      <c r="AV8352" s="118">
        <v>11040</v>
      </c>
      <c r="AW8352" s="119"/>
      <c r="AX8352" s="118">
        <f t="shared" ref="AX8352" si="12597">SUM(AR8352:AW8352)</f>
        <v>3888540</v>
      </c>
      <c r="AY8352" s="119"/>
      <c r="AZ8352" s="137">
        <v>46140</v>
      </c>
    </row>
    <row r="8353" spans="1:52" ht="17.100000000000001" customHeight="1" thickBot="1">
      <c r="A8353" s="110"/>
      <c r="B8353" s="27" t="s">
        <v>23624</v>
      </c>
      <c r="C8353" s="27">
        <v>31026</v>
      </c>
      <c r="D8353" s="14" t="s">
        <v>23600</v>
      </c>
      <c r="E8353" s="112"/>
      <c r="F8353" s="139" t="s">
        <v>23625</v>
      </c>
      <c r="G8353" s="140"/>
      <c r="H8353" s="141"/>
      <c r="I8353" s="26">
        <v>49716</v>
      </c>
      <c r="J8353" s="117"/>
      <c r="K8353" s="120"/>
      <c r="L8353" s="121"/>
      <c r="M8353" s="120"/>
      <c r="N8353" s="121"/>
      <c r="O8353" s="120"/>
      <c r="P8353" s="121"/>
      <c r="Q8353" s="120"/>
      <c r="R8353" s="121"/>
      <c r="S8353" s="120"/>
      <c r="T8353" s="121"/>
      <c r="U8353" s="120"/>
      <c r="V8353" s="123"/>
      <c r="W8353" s="125"/>
      <c r="X8353" s="142" t="s">
        <v>2321</v>
      </c>
      <c r="Y8353" s="143"/>
      <c r="Z8353" s="143"/>
      <c r="AA8353" s="143"/>
      <c r="AB8353" s="144"/>
      <c r="AC8353" s="16" t="s">
        <v>21</v>
      </c>
      <c r="AD8353" s="17" t="s">
        <v>24588</v>
      </c>
      <c r="AE8353" s="145"/>
      <c r="AF8353" s="146"/>
      <c r="AG8353" s="146"/>
      <c r="AH8353" s="146"/>
      <c r="AI8353" s="147"/>
      <c r="AJ8353" s="148"/>
      <c r="AK8353" s="143"/>
      <c r="AL8353" s="144"/>
      <c r="AM8353" s="22"/>
      <c r="AN8353" s="149" t="s">
        <v>23987</v>
      </c>
      <c r="AO8353" s="144"/>
      <c r="AP8353" s="148">
        <v>5111</v>
      </c>
      <c r="AQ8353" s="144"/>
      <c r="AR8353" s="120"/>
      <c r="AS8353" s="121"/>
      <c r="AT8353" s="120"/>
      <c r="AU8353" s="121"/>
      <c r="AV8353" s="120"/>
      <c r="AW8353" s="121"/>
      <c r="AX8353" s="120"/>
      <c r="AY8353" s="121"/>
      <c r="AZ8353" s="138"/>
    </row>
    <row r="8354" spans="1:52" ht="17.100000000000001" customHeight="1" thickTop="1">
      <c r="A8354" s="109" t="s">
        <v>23621</v>
      </c>
      <c r="B8354" s="28">
        <v>46130</v>
      </c>
      <c r="C8354" s="25">
        <v>1297</v>
      </c>
      <c r="D8354" s="13" t="s">
        <v>23733</v>
      </c>
      <c r="E8354" s="111"/>
      <c r="F8354" s="113" t="s">
        <v>23626</v>
      </c>
      <c r="G8354" s="114"/>
      <c r="H8354" s="115"/>
      <c r="I8354" s="24" t="s">
        <v>23734</v>
      </c>
      <c r="J8354" s="116">
        <v>4</v>
      </c>
      <c r="K8354" s="118">
        <v>1705000</v>
      </c>
      <c r="L8354" s="119"/>
      <c r="M8354" s="118">
        <f t="shared" ref="M8354" si="12598">K8354*0.1</f>
        <v>170500</v>
      </c>
      <c r="N8354" s="119"/>
      <c r="O8354" s="118">
        <v>30690</v>
      </c>
      <c r="P8354" s="119"/>
      <c r="Q8354" s="118">
        <v>11510</v>
      </c>
      <c r="R8354" s="119"/>
      <c r="S8354" s="118">
        <v>12100</v>
      </c>
      <c r="T8354" s="119"/>
      <c r="U8354" s="118">
        <f t="shared" ref="U8354" si="12599">SUM(K8354:T8355)</f>
        <v>1929800</v>
      </c>
      <c r="V8354" s="122"/>
      <c r="W8354" s="124"/>
      <c r="X8354" s="126" t="s">
        <v>23735</v>
      </c>
      <c r="Y8354" s="127"/>
      <c r="Z8354" s="127"/>
      <c r="AA8354" s="127"/>
      <c r="AB8354" s="128"/>
      <c r="AC8354" s="15" t="s">
        <v>20</v>
      </c>
      <c r="AD8354" s="129" t="s">
        <v>23736</v>
      </c>
      <c r="AE8354" s="130"/>
      <c r="AF8354" s="130"/>
      <c r="AG8354" s="130"/>
      <c r="AH8354" s="130"/>
      <c r="AI8354" s="131"/>
      <c r="AJ8354" s="132"/>
      <c r="AK8354" s="127"/>
      <c r="AL8354" s="128"/>
      <c r="AM8354" s="21"/>
      <c r="AN8354" s="133">
        <v>46134</v>
      </c>
      <c r="AO8354" s="134"/>
      <c r="AP8354" s="135">
        <v>1014</v>
      </c>
      <c r="AQ8354" s="136"/>
      <c r="AR8354" s="118">
        <v>1815000</v>
      </c>
      <c r="AS8354" s="119"/>
      <c r="AT8354" s="118">
        <f t="shared" ref="AT8354" si="12600">AR8354*0.1</f>
        <v>181500</v>
      </c>
      <c r="AU8354" s="119"/>
      <c r="AV8354" s="118">
        <v>11510</v>
      </c>
      <c r="AW8354" s="119"/>
      <c r="AX8354" s="118">
        <f t="shared" ref="AX8354" si="12601">SUM(AR8354:AW8354)</f>
        <v>2008010</v>
      </c>
      <c r="AY8354" s="119"/>
      <c r="AZ8354" s="137">
        <v>46140</v>
      </c>
    </row>
    <row r="8355" spans="1:52" ht="17.100000000000001" customHeight="1" thickBot="1">
      <c r="A8355" s="110"/>
      <c r="B8355" s="27" t="s">
        <v>23624</v>
      </c>
      <c r="C8355" s="27">
        <v>31060</v>
      </c>
      <c r="D8355" s="14" t="s">
        <v>2601</v>
      </c>
      <c r="E8355" s="112"/>
      <c r="F8355" s="139" t="s">
        <v>23627</v>
      </c>
      <c r="G8355" s="140"/>
      <c r="H8355" s="141"/>
      <c r="I8355" s="26">
        <v>18591</v>
      </c>
      <c r="J8355" s="117"/>
      <c r="K8355" s="120"/>
      <c r="L8355" s="121"/>
      <c r="M8355" s="120"/>
      <c r="N8355" s="121"/>
      <c r="O8355" s="120"/>
      <c r="P8355" s="121"/>
      <c r="Q8355" s="120"/>
      <c r="R8355" s="121"/>
      <c r="S8355" s="120"/>
      <c r="T8355" s="121"/>
      <c r="U8355" s="120"/>
      <c r="V8355" s="123"/>
      <c r="W8355" s="125"/>
      <c r="X8355" s="142" t="s">
        <v>24595</v>
      </c>
      <c r="Y8355" s="143"/>
      <c r="Z8355" s="143"/>
      <c r="AA8355" s="143"/>
      <c r="AB8355" s="144"/>
      <c r="AC8355" s="16" t="s">
        <v>21</v>
      </c>
      <c r="AD8355" s="17" t="s">
        <v>24588</v>
      </c>
      <c r="AE8355" s="145" t="s">
        <v>1633</v>
      </c>
      <c r="AF8355" s="146"/>
      <c r="AG8355" s="146"/>
      <c r="AH8355" s="146"/>
      <c r="AI8355" s="147"/>
      <c r="AJ8355" s="148"/>
      <c r="AK8355" s="143"/>
      <c r="AL8355" s="144"/>
      <c r="AM8355" s="22"/>
      <c r="AN8355" s="149" t="s">
        <v>23987</v>
      </c>
      <c r="AO8355" s="144"/>
      <c r="AP8355" s="148">
        <v>5110</v>
      </c>
      <c r="AQ8355" s="144"/>
      <c r="AR8355" s="120"/>
      <c r="AS8355" s="121"/>
      <c r="AT8355" s="120"/>
      <c r="AU8355" s="121"/>
      <c r="AV8355" s="120"/>
      <c r="AW8355" s="121"/>
      <c r="AX8355" s="120"/>
      <c r="AY8355" s="121"/>
      <c r="AZ8355" s="138"/>
    </row>
    <row r="8356" spans="1:52" ht="17.100000000000001" customHeight="1" thickTop="1">
      <c r="A8356" s="109" t="s">
        <v>23622</v>
      </c>
      <c r="B8356" s="28">
        <v>46130</v>
      </c>
      <c r="C8356" s="25">
        <v>1297</v>
      </c>
      <c r="D8356" s="13" t="s">
        <v>23737</v>
      </c>
      <c r="E8356" s="111"/>
      <c r="F8356" s="113" t="s">
        <v>17939</v>
      </c>
      <c r="G8356" s="114"/>
      <c r="H8356" s="115"/>
      <c r="I8356" s="24" t="s">
        <v>23738</v>
      </c>
      <c r="J8356" s="116">
        <v>4</v>
      </c>
      <c r="K8356" s="118">
        <v>950000</v>
      </c>
      <c r="L8356" s="119"/>
      <c r="M8356" s="118">
        <f t="shared" ref="M8356" si="12602">K8356*0.1</f>
        <v>95000</v>
      </c>
      <c r="N8356" s="119"/>
      <c r="O8356" s="118">
        <v>29700</v>
      </c>
      <c r="P8356" s="119"/>
      <c r="Q8356" s="118">
        <v>9750</v>
      </c>
      <c r="R8356" s="119"/>
      <c r="S8356" s="118">
        <v>23100</v>
      </c>
      <c r="T8356" s="119"/>
      <c r="U8356" s="118">
        <f t="shared" ref="U8356" si="12603">SUM(K8356:T8357)</f>
        <v>1107550</v>
      </c>
      <c r="V8356" s="122"/>
      <c r="W8356" s="124"/>
      <c r="X8356" s="126" t="s">
        <v>23739</v>
      </c>
      <c r="Y8356" s="127"/>
      <c r="Z8356" s="127"/>
      <c r="AA8356" s="127"/>
      <c r="AB8356" s="128"/>
      <c r="AC8356" s="15" t="s">
        <v>20</v>
      </c>
      <c r="AD8356" s="129" t="s">
        <v>23692</v>
      </c>
      <c r="AE8356" s="130"/>
      <c r="AF8356" s="130"/>
      <c r="AG8356" s="130"/>
      <c r="AH8356" s="130"/>
      <c r="AI8356" s="131"/>
      <c r="AJ8356" s="132"/>
      <c r="AK8356" s="127"/>
      <c r="AL8356" s="128"/>
      <c r="AM8356" s="21"/>
      <c r="AN8356" s="133">
        <v>46134</v>
      </c>
      <c r="AO8356" s="134"/>
      <c r="AP8356" s="135">
        <v>1014</v>
      </c>
      <c r="AQ8356" s="136"/>
      <c r="AR8356" s="118">
        <v>1050000</v>
      </c>
      <c r="AS8356" s="119"/>
      <c r="AT8356" s="118">
        <f t="shared" ref="AT8356" si="12604">AR8356*0.1</f>
        <v>105000</v>
      </c>
      <c r="AU8356" s="119"/>
      <c r="AV8356" s="118">
        <v>9750</v>
      </c>
      <c r="AW8356" s="119"/>
      <c r="AX8356" s="118">
        <f t="shared" ref="AX8356" si="12605">SUM(AR8356:AW8356)</f>
        <v>1164750</v>
      </c>
      <c r="AY8356" s="119"/>
      <c r="AZ8356" s="137">
        <v>46140</v>
      </c>
    </row>
    <row r="8357" spans="1:52" ht="17.100000000000001" customHeight="1" thickBot="1">
      <c r="A8357" s="110"/>
      <c r="B8357" s="27" t="s">
        <v>23624</v>
      </c>
      <c r="C8357" s="27">
        <v>37378</v>
      </c>
      <c r="D8357" s="14" t="s">
        <v>23592</v>
      </c>
      <c r="E8357" s="112"/>
      <c r="F8357" s="139" t="s">
        <v>23628</v>
      </c>
      <c r="G8357" s="140"/>
      <c r="H8357" s="141"/>
      <c r="I8357" s="26">
        <v>67420</v>
      </c>
      <c r="J8357" s="117"/>
      <c r="K8357" s="120"/>
      <c r="L8357" s="121"/>
      <c r="M8357" s="120"/>
      <c r="N8357" s="121"/>
      <c r="O8357" s="120"/>
      <c r="P8357" s="121"/>
      <c r="Q8357" s="120"/>
      <c r="R8357" s="121"/>
      <c r="S8357" s="120"/>
      <c r="T8357" s="121"/>
      <c r="U8357" s="120"/>
      <c r="V8357" s="123"/>
      <c r="W8357" s="125"/>
      <c r="X8357" s="142" t="s">
        <v>24593</v>
      </c>
      <c r="Y8357" s="143"/>
      <c r="Z8357" s="143"/>
      <c r="AA8357" s="143"/>
      <c r="AB8357" s="144"/>
      <c r="AC8357" s="16" t="s">
        <v>21</v>
      </c>
      <c r="AD8357" s="17" t="s">
        <v>24588</v>
      </c>
      <c r="AE8357" s="145" t="s">
        <v>24594</v>
      </c>
      <c r="AF8357" s="146"/>
      <c r="AG8357" s="146"/>
      <c r="AH8357" s="146"/>
      <c r="AI8357" s="147"/>
      <c r="AJ8357" s="148" t="s">
        <v>22286</v>
      </c>
      <c r="AK8357" s="143"/>
      <c r="AL8357" s="144"/>
      <c r="AM8357" s="22"/>
      <c r="AN8357" s="149" t="s">
        <v>23987</v>
      </c>
      <c r="AO8357" s="144"/>
      <c r="AP8357" s="148">
        <v>5106</v>
      </c>
      <c r="AQ8357" s="144"/>
      <c r="AR8357" s="120"/>
      <c r="AS8357" s="121"/>
      <c r="AT8357" s="120"/>
      <c r="AU8357" s="121"/>
      <c r="AV8357" s="120"/>
      <c r="AW8357" s="121"/>
      <c r="AX8357" s="120"/>
      <c r="AY8357" s="121"/>
      <c r="AZ8357" s="138"/>
    </row>
    <row r="8358" spans="1:52" ht="17.100000000000001" customHeight="1" thickTop="1">
      <c r="A8358" s="109" t="s">
        <v>23623</v>
      </c>
      <c r="B8358" s="28">
        <v>46130</v>
      </c>
      <c r="C8358" s="25">
        <v>1297</v>
      </c>
      <c r="D8358" s="13" t="s">
        <v>23740</v>
      </c>
      <c r="E8358" s="111"/>
      <c r="F8358" s="113" t="s">
        <v>23629</v>
      </c>
      <c r="G8358" s="114"/>
      <c r="H8358" s="115"/>
      <c r="I8358" s="24"/>
      <c r="J8358" s="116">
        <v>4</v>
      </c>
      <c r="K8358" s="118">
        <v>550000</v>
      </c>
      <c r="L8358" s="119"/>
      <c r="M8358" s="118">
        <f t="shared" ref="M8358" si="12606">K8358*0.1</f>
        <v>55000</v>
      </c>
      <c r="N8358" s="119"/>
      <c r="O8358" s="118">
        <v>0</v>
      </c>
      <c r="P8358" s="119"/>
      <c r="Q8358" s="118">
        <v>7860</v>
      </c>
      <c r="R8358" s="119"/>
      <c r="S8358" s="118">
        <v>12100</v>
      </c>
      <c r="T8358" s="119"/>
      <c r="U8358" s="118">
        <f t="shared" ref="U8358" si="12607">SUM(K8358:T8359)</f>
        <v>624960</v>
      </c>
      <c r="V8358" s="122"/>
      <c r="W8358" s="124"/>
      <c r="X8358" s="126" t="s">
        <v>24591</v>
      </c>
      <c r="Y8358" s="127"/>
      <c r="Z8358" s="127"/>
      <c r="AA8358" s="127"/>
      <c r="AB8358" s="128"/>
      <c r="AC8358" s="15" t="s">
        <v>20</v>
      </c>
      <c r="AD8358" s="129" t="s">
        <v>23692</v>
      </c>
      <c r="AE8358" s="130"/>
      <c r="AF8358" s="130"/>
      <c r="AG8358" s="130"/>
      <c r="AH8358" s="130"/>
      <c r="AI8358" s="131"/>
      <c r="AJ8358" s="132"/>
      <c r="AK8358" s="127"/>
      <c r="AL8358" s="128"/>
      <c r="AM8358" s="21"/>
      <c r="AN8358" s="133">
        <v>46137</v>
      </c>
      <c r="AO8358" s="134"/>
      <c r="AP8358" s="135">
        <v>1298</v>
      </c>
      <c r="AQ8358" s="136"/>
      <c r="AR8358" s="118">
        <v>620000</v>
      </c>
      <c r="AS8358" s="119"/>
      <c r="AT8358" s="118">
        <f t="shared" ref="AT8358" si="12608">AR8358*0.1</f>
        <v>62000</v>
      </c>
      <c r="AU8358" s="119"/>
      <c r="AV8358" s="118">
        <v>7860</v>
      </c>
      <c r="AW8358" s="119"/>
      <c r="AX8358" s="118">
        <f t="shared" ref="AX8358" si="12609">SUM(AR8358:AW8358)</f>
        <v>689860</v>
      </c>
      <c r="AY8358" s="119"/>
      <c r="AZ8358" s="137">
        <v>46140</v>
      </c>
    </row>
    <row r="8359" spans="1:52" ht="17.100000000000001" customHeight="1" thickBot="1">
      <c r="A8359" s="110"/>
      <c r="B8359" s="27" t="s">
        <v>23624</v>
      </c>
      <c r="C8359" s="27">
        <v>65064</v>
      </c>
      <c r="D8359" s="14" t="s">
        <v>1720</v>
      </c>
      <c r="E8359" s="112"/>
      <c r="F8359" s="139" t="s">
        <v>23638</v>
      </c>
      <c r="G8359" s="140"/>
      <c r="H8359" s="141"/>
      <c r="I8359" s="26">
        <v>38299</v>
      </c>
      <c r="J8359" s="117"/>
      <c r="K8359" s="120"/>
      <c r="L8359" s="121"/>
      <c r="M8359" s="120"/>
      <c r="N8359" s="121"/>
      <c r="O8359" s="120"/>
      <c r="P8359" s="121"/>
      <c r="Q8359" s="120"/>
      <c r="R8359" s="121"/>
      <c r="S8359" s="120"/>
      <c r="T8359" s="121"/>
      <c r="U8359" s="120"/>
      <c r="V8359" s="123"/>
      <c r="W8359" s="125"/>
      <c r="X8359" s="142" t="s">
        <v>6905</v>
      </c>
      <c r="Y8359" s="143"/>
      <c r="Z8359" s="143"/>
      <c r="AA8359" s="143"/>
      <c r="AB8359" s="144"/>
      <c r="AC8359" s="16" t="s">
        <v>21</v>
      </c>
      <c r="AD8359" s="17" t="s">
        <v>24588</v>
      </c>
      <c r="AE8359" s="145" t="s">
        <v>1633</v>
      </c>
      <c r="AF8359" s="146"/>
      <c r="AG8359" s="146"/>
      <c r="AH8359" s="146"/>
      <c r="AI8359" s="147"/>
      <c r="AJ8359" s="148"/>
      <c r="AK8359" s="143"/>
      <c r="AL8359" s="144"/>
      <c r="AM8359" s="22"/>
      <c r="AN8359" s="149" t="s">
        <v>2511</v>
      </c>
      <c r="AO8359" s="144"/>
      <c r="AP8359" s="148">
        <v>60214</v>
      </c>
      <c r="AQ8359" s="144"/>
      <c r="AR8359" s="120"/>
      <c r="AS8359" s="121"/>
      <c r="AT8359" s="120"/>
      <c r="AU8359" s="121"/>
      <c r="AV8359" s="120"/>
      <c r="AW8359" s="121"/>
      <c r="AX8359" s="120"/>
      <c r="AY8359" s="121"/>
      <c r="AZ8359" s="138"/>
    </row>
    <row r="8360" spans="1:52" ht="17.100000000000001" customHeight="1" thickTop="1">
      <c r="A8360" s="109" t="s">
        <v>23630</v>
      </c>
      <c r="B8360" s="28">
        <v>46130</v>
      </c>
      <c r="C8360" s="25">
        <v>1297</v>
      </c>
      <c r="D8360" s="13" t="s">
        <v>23741</v>
      </c>
      <c r="E8360" s="111"/>
      <c r="F8360" s="113" t="s">
        <v>23639</v>
      </c>
      <c r="G8360" s="114"/>
      <c r="H8360" s="115"/>
      <c r="I8360" s="24" t="s">
        <v>23742</v>
      </c>
      <c r="J8360" s="116">
        <v>4</v>
      </c>
      <c r="K8360" s="118">
        <v>670000</v>
      </c>
      <c r="L8360" s="119"/>
      <c r="M8360" s="118">
        <f t="shared" ref="M8360" si="12610">K8360*0.1</f>
        <v>67000</v>
      </c>
      <c r="N8360" s="119"/>
      <c r="O8360" s="118">
        <v>0</v>
      </c>
      <c r="P8360" s="119"/>
      <c r="Q8360" s="118">
        <v>8670</v>
      </c>
      <c r="R8360" s="119"/>
      <c r="S8360" s="118">
        <v>12100</v>
      </c>
      <c r="T8360" s="119"/>
      <c r="U8360" s="118">
        <f t="shared" ref="U8360" si="12611">SUM(K8360:T8361)</f>
        <v>757770</v>
      </c>
      <c r="V8360" s="122"/>
      <c r="W8360" s="124"/>
      <c r="X8360" s="126" t="s">
        <v>23743</v>
      </c>
      <c r="Y8360" s="127"/>
      <c r="Z8360" s="127"/>
      <c r="AA8360" s="127"/>
      <c r="AB8360" s="128"/>
      <c r="AC8360" s="15" t="s">
        <v>20</v>
      </c>
      <c r="AD8360" s="129" t="s">
        <v>23598</v>
      </c>
      <c r="AE8360" s="130"/>
      <c r="AF8360" s="130"/>
      <c r="AG8360" s="130"/>
      <c r="AH8360" s="130"/>
      <c r="AI8360" s="131"/>
      <c r="AJ8360" s="132"/>
      <c r="AK8360" s="127"/>
      <c r="AL8360" s="128"/>
      <c r="AM8360" s="21"/>
      <c r="AN8360" s="133">
        <v>46141</v>
      </c>
      <c r="AO8360" s="134"/>
      <c r="AP8360" s="135">
        <v>1015</v>
      </c>
      <c r="AQ8360" s="136"/>
      <c r="AR8360" s="118">
        <v>750000</v>
      </c>
      <c r="AS8360" s="119"/>
      <c r="AT8360" s="118">
        <f t="shared" ref="AT8360" si="12612">AR8360*0.1</f>
        <v>75000</v>
      </c>
      <c r="AU8360" s="119"/>
      <c r="AV8360" s="118">
        <v>8670</v>
      </c>
      <c r="AW8360" s="119"/>
      <c r="AX8360" s="118">
        <f t="shared" ref="AX8360" si="12613">SUM(AR8360:AW8360)</f>
        <v>833670</v>
      </c>
      <c r="AY8360" s="119"/>
      <c r="AZ8360" s="137">
        <v>46153</v>
      </c>
    </row>
    <row r="8361" spans="1:52" ht="17.100000000000001" customHeight="1" thickBot="1">
      <c r="A8361" s="110"/>
      <c r="B8361" s="27" t="s">
        <v>23624</v>
      </c>
      <c r="C8361" s="27">
        <v>65277</v>
      </c>
      <c r="D8361" s="14" t="s">
        <v>2601</v>
      </c>
      <c r="E8361" s="112"/>
      <c r="F8361" s="139" t="s">
        <v>23640</v>
      </c>
      <c r="G8361" s="140"/>
      <c r="H8361" s="141"/>
      <c r="I8361" s="26">
        <v>58610</v>
      </c>
      <c r="J8361" s="117"/>
      <c r="K8361" s="120"/>
      <c r="L8361" s="121"/>
      <c r="M8361" s="120"/>
      <c r="N8361" s="121"/>
      <c r="O8361" s="120"/>
      <c r="P8361" s="121"/>
      <c r="Q8361" s="120"/>
      <c r="R8361" s="121"/>
      <c r="S8361" s="120"/>
      <c r="T8361" s="121"/>
      <c r="U8361" s="120"/>
      <c r="V8361" s="123"/>
      <c r="W8361" s="125"/>
      <c r="X8361" s="142" t="s">
        <v>10732</v>
      </c>
      <c r="Y8361" s="143"/>
      <c r="Z8361" s="143"/>
      <c r="AA8361" s="143"/>
      <c r="AB8361" s="144"/>
      <c r="AC8361" s="16" t="s">
        <v>21</v>
      </c>
      <c r="AD8361" s="17" t="s">
        <v>24588</v>
      </c>
      <c r="AE8361" s="145" t="s">
        <v>1732</v>
      </c>
      <c r="AF8361" s="146"/>
      <c r="AG8361" s="146"/>
      <c r="AH8361" s="146"/>
      <c r="AI8361" s="147"/>
      <c r="AJ8361" s="148"/>
      <c r="AK8361" s="143"/>
      <c r="AL8361" s="144"/>
      <c r="AM8361" s="22"/>
      <c r="AN8361" s="149" t="s">
        <v>9053</v>
      </c>
      <c r="AO8361" s="144"/>
      <c r="AP8361" s="148">
        <v>2065</v>
      </c>
      <c r="AQ8361" s="144"/>
      <c r="AR8361" s="120"/>
      <c r="AS8361" s="121"/>
      <c r="AT8361" s="120"/>
      <c r="AU8361" s="121"/>
      <c r="AV8361" s="120"/>
      <c r="AW8361" s="121"/>
      <c r="AX8361" s="120"/>
      <c r="AY8361" s="121"/>
      <c r="AZ8361" s="138"/>
    </row>
    <row r="8362" spans="1:52" ht="17.100000000000001" customHeight="1" thickTop="1">
      <c r="A8362" s="109" t="s">
        <v>23631</v>
      </c>
      <c r="B8362" s="28">
        <v>46130</v>
      </c>
      <c r="C8362" s="25">
        <v>1297</v>
      </c>
      <c r="D8362" s="13" t="s">
        <v>23744</v>
      </c>
      <c r="E8362" s="111"/>
      <c r="F8362" s="113" t="s">
        <v>23641</v>
      </c>
      <c r="G8362" s="114"/>
      <c r="H8362" s="115"/>
      <c r="I8362" s="24" t="s">
        <v>23746</v>
      </c>
      <c r="J8362" s="116">
        <v>4.5</v>
      </c>
      <c r="K8362" s="118">
        <v>1860000</v>
      </c>
      <c r="L8362" s="119"/>
      <c r="M8362" s="118">
        <f t="shared" ref="M8362" si="12614">K8362*0.1</f>
        <v>186000</v>
      </c>
      <c r="N8362" s="119"/>
      <c r="O8362" s="118">
        <v>0</v>
      </c>
      <c r="P8362" s="119"/>
      <c r="Q8362" s="118">
        <v>20830</v>
      </c>
      <c r="R8362" s="119"/>
      <c r="S8362" s="118">
        <v>16500</v>
      </c>
      <c r="T8362" s="119"/>
      <c r="U8362" s="118">
        <f t="shared" ref="U8362" si="12615">SUM(K8362:T8363)</f>
        <v>2083330</v>
      </c>
      <c r="V8362" s="122"/>
      <c r="W8362" s="124"/>
      <c r="X8362" s="126" t="s">
        <v>23747</v>
      </c>
      <c r="Y8362" s="127"/>
      <c r="Z8362" s="127"/>
      <c r="AA8362" s="127"/>
      <c r="AB8362" s="128"/>
      <c r="AC8362" s="15" t="s">
        <v>20</v>
      </c>
      <c r="AD8362" s="129" t="s">
        <v>23750</v>
      </c>
      <c r="AE8362" s="130"/>
      <c r="AF8362" s="130"/>
      <c r="AG8362" s="130"/>
      <c r="AH8362" s="130"/>
      <c r="AI8362" s="131"/>
      <c r="AJ8362" s="132"/>
      <c r="AK8362" s="127"/>
      <c r="AL8362" s="128"/>
      <c r="AM8362" s="21"/>
      <c r="AN8362" s="133"/>
      <c r="AO8362" s="134"/>
      <c r="AP8362" s="135"/>
      <c r="AQ8362" s="136"/>
      <c r="AR8362" s="118"/>
      <c r="AS8362" s="119"/>
      <c r="AT8362" s="118">
        <f t="shared" ref="AT8362" si="12616">AR8362*0.1</f>
        <v>0</v>
      </c>
      <c r="AU8362" s="119"/>
      <c r="AV8362" s="118"/>
      <c r="AW8362" s="119"/>
      <c r="AX8362" s="118">
        <f t="shared" ref="AX8362" si="12617">SUM(AR8362:AW8362)</f>
        <v>0</v>
      </c>
      <c r="AY8362" s="119"/>
      <c r="AZ8362" s="137"/>
    </row>
    <row r="8363" spans="1:52" ht="17.100000000000001" customHeight="1" thickBot="1">
      <c r="A8363" s="110"/>
      <c r="B8363" s="27" t="s">
        <v>23624</v>
      </c>
      <c r="C8363" s="27">
        <v>80256</v>
      </c>
      <c r="D8363" s="14" t="s">
        <v>2601</v>
      </c>
      <c r="E8363" s="112"/>
      <c r="F8363" s="139" t="s">
        <v>23745</v>
      </c>
      <c r="G8363" s="140"/>
      <c r="H8363" s="141"/>
      <c r="I8363" s="26">
        <v>63528</v>
      </c>
      <c r="J8363" s="117"/>
      <c r="K8363" s="120"/>
      <c r="L8363" s="121"/>
      <c r="M8363" s="120"/>
      <c r="N8363" s="121"/>
      <c r="O8363" s="120"/>
      <c r="P8363" s="121"/>
      <c r="Q8363" s="120"/>
      <c r="R8363" s="121"/>
      <c r="S8363" s="120"/>
      <c r="T8363" s="121"/>
      <c r="U8363" s="120"/>
      <c r="V8363" s="123"/>
      <c r="W8363" s="125"/>
      <c r="X8363" s="142" t="s">
        <v>24608</v>
      </c>
      <c r="Y8363" s="143"/>
      <c r="Z8363" s="143"/>
      <c r="AA8363" s="143"/>
      <c r="AB8363" s="144"/>
      <c r="AC8363" s="16" t="s">
        <v>21</v>
      </c>
      <c r="AD8363" s="17" t="s">
        <v>24588</v>
      </c>
      <c r="AE8363" s="145" t="s">
        <v>3641</v>
      </c>
      <c r="AF8363" s="146"/>
      <c r="AG8363" s="146"/>
      <c r="AH8363" s="146"/>
      <c r="AI8363" s="147"/>
      <c r="AJ8363" s="148"/>
      <c r="AK8363" s="143"/>
      <c r="AL8363" s="144"/>
      <c r="AM8363" s="22"/>
      <c r="AN8363" s="149"/>
      <c r="AO8363" s="144"/>
      <c r="AP8363" s="148"/>
      <c r="AQ8363" s="144"/>
      <c r="AR8363" s="120"/>
      <c r="AS8363" s="121"/>
      <c r="AT8363" s="120"/>
      <c r="AU8363" s="121"/>
      <c r="AV8363" s="120"/>
      <c r="AW8363" s="121"/>
      <c r="AX8363" s="120"/>
      <c r="AY8363" s="121"/>
      <c r="AZ8363" s="138"/>
    </row>
    <row r="8364" spans="1:52" ht="17.100000000000001" customHeight="1" thickTop="1">
      <c r="A8364" s="109" t="s">
        <v>23632</v>
      </c>
      <c r="B8364" s="28">
        <v>46130</v>
      </c>
      <c r="C8364" s="25">
        <v>1297</v>
      </c>
      <c r="D8364" s="13" t="s">
        <v>23703</v>
      </c>
      <c r="E8364" s="111"/>
      <c r="F8364" s="113" t="s">
        <v>23748</v>
      </c>
      <c r="G8364" s="114"/>
      <c r="H8364" s="115"/>
      <c r="I8364" s="24" t="s">
        <v>23749</v>
      </c>
      <c r="J8364" s="116">
        <v>4.5</v>
      </c>
      <c r="K8364" s="118">
        <v>2165000</v>
      </c>
      <c r="L8364" s="119"/>
      <c r="M8364" s="118">
        <f t="shared" ref="M8364" si="12618">K8364*0.1</f>
        <v>216500</v>
      </c>
      <c r="N8364" s="119"/>
      <c r="O8364" s="118">
        <v>34760</v>
      </c>
      <c r="P8364" s="119"/>
      <c r="Q8364" s="118">
        <v>11740</v>
      </c>
      <c r="R8364" s="119"/>
      <c r="S8364" s="118">
        <v>16500</v>
      </c>
      <c r="T8364" s="119"/>
      <c r="U8364" s="118">
        <f t="shared" ref="U8364" si="12619">SUM(K8364:T8365)</f>
        <v>2444500</v>
      </c>
      <c r="V8364" s="122"/>
      <c r="W8364" s="124"/>
      <c r="X8364" s="126" t="s">
        <v>23751</v>
      </c>
      <c r="Y8364" s="127"/>
      <c r="Z8364" s="127"/>
      <c r="AA8364" s="127"/>
      <c r="AB8364" s="128"/>
      <c r="AC8364" s="15" t="s">
        <v>20</v>
      </c>
      <c r="AD8364" s="129" t="s">
        <v>23752</v>
      </c>
      <c r="AE8364" s="130"/>
      <c r="AF8364" s="130"/>
      <c r="AG8364" s="130"/>
      <c r="AH8364" s="130"/>
      <c r="AI8364" s="131"/>
      <c r="AJ8364" s="132"/>
      <c r="AK8364" s="127"/>
      <c r="AL8364" s="128"/>
      <c r="AM8364" s="21"/>
      <c r="AN8364" s="133"/>
      <c r="AO8364" s="134"/>
      <c r="AP8364" s="135"/>
      <c r="AQ8364" s="136"/>
      <c r="AR8364" s="118"/>
      <c r="AS8364" s="119"/>
      <c r="AT8364" s="118">
        <f t="shared" ref="AT8364" si="12620">AR8364*0.1</f>
        <v>0</v>
      </c>
      <c r="AU8364" s="119"/>
      <c r="AV8364" s="118"/>
      <c r="AW8364" s="119"/>
      <c r="AX8364" s="118">
        <f t="shared" ref="AX8364" si="12621">SUM(AR8364:AW8364)</f>
        <v>0</v>
      </c>
      <c r="AY8364" s="119"/>
      <c r="AZ8364" s="137"/>
    </row>
    <row r="8365" spans="1:52" ht="17.100000000000001" customHeight="1" thickBot="1">
      <c r="A8365" s="110"/>
      <c r="B8365" s="27" t="s">
        <v>23624</v>
      </c>
      <c r="C8365" s="27">
        <v>80358</v>
      </c>
      <c r="D8365" s="14" t="s">
        <v>23592</v>
      </c>
      <c r="E8365" s="112"/>
      <c r="F8365" s="139" t="s">
        <v>21606</v>
      </c>
      <c r="G8365" s="140"/>
      <c r="H8365" s="141"/>
      <c r="I8365" s="26">
        <v>34067</v>
      </c>
      <c r="J8365" s="117"/>
      <c r="K8365" s="120"/>
      <c r="L8365" s="121"/>
      <c r="M8365" s="120"/>
      <c r="N8365" s="121"/>
      <c r="O8365" s="120"/>
      <c r="P8365" s="121"/>
      <c r="Q8365" s="120"/>
      <c r="R8365" s="121"/>
      <c r="S8365" s="120"/>
      <c r="T8365" s="121"/>
      <c r="U8365" s="120"/>
      <c r="V8365" s="123"/>
      <c r="W8365" s="125"/>
      <c r="X8365" s="142" t="s">
        <v>22242</v>
      </c>
      <c r="Y8365" s="143"/>
      <c r="Z8365" s="143"/>
      <c r="AA8365" s="143"/>
      <c r="AB8365" s="144"/>
      <c r="AC8365" s="16" t="s">
        <v>21</v>
      </c>
      <c r="AD8365" s="17" t="s">
        <v>24588</v>
      </c>
      <c r="AE8365" s="145" t="s">
        <v>24605</v>
      </c>
      <c r="AF8365" s="146"/>
      <c r="AG8365" s="146"/>
      <c r="AH8365" s="146"/>
      <c r="AI8365" s="147"/>
      <c r="AJ8365" s="148"/>
      <c r="AK8365" s="143"/>
      <c r="AL8365" s="144"/>
      <c r="AM8365" s="22"/>
      <c r="AN8365" s="149"/>
      <c r="AO8365" s="144"/>
      <c r="AP8365" s="148"/>
      <c r="AQ8365" s="144"/>
      <c r="AR8365" s="120"/>
      <c r="AS8365" s="121"/>
      <c r="AT8365" s="120"/>
      <c r="AU8365" s="121"/>
      <c r="AV8365" s="120"/>
      <c r="AW8365" s="121"/>
      <c r="AX8365" s="120"/>
      <c r="AY8365" s="121"/>
      <c r="AZ8365" s="138"/>
    </row>
    <row r="8366" spans="1:52" ht="17.100000000000001" customHeight="1" thickTop="1">
      <c r="A8366" s="109" t="s">
        <v>23633</v>
      </c>
      <c r="B8366" s="28">
        <v>46130</v>
      </c>
      <c r="C8366" s="25">
        <v>1297</v>
      </c>
      <c r="D8366" s="13" t="s">
        <v>23753</v>
      </c>
      <c r="E8366" s="111"/>
      <c r="F8366" s="113" t="s">
        <v>22896</v>
      </c>
      <c r="G8366" s="114"/>
      <c r="H8366" s="115"/>
      <c r="I8366" s="24" t="s">
        <v>23755</v>
      </c>
      <c r="J8366" s="116">
        <v>4.5</v>
      </c>
      <c r="K8366" s="118">
        <v>2000000</v>
      </c>
      <c r="L8366" s="119"/>
      <c r="M8366" s="118">
        <f t="shared" ref="M8366" si="12622">K8366*0.1</f>
        <v>200000</v>
      </c>
      <c r="N8366" s="119"/>
      <c r="O8366" s="118">
        <v>39820</v>
      </c>
      <c r="P8366" s="119"/>
      <c r="Q8366" s="118">
        <v>21720</v>
      </c>
      <c r="R8366" s="119"/>
      <c r="S8366" s="118">
        <v>23100</v>
      </c>
      <c r="T8366" s="119"/>
      <c r="U8366" s="118">
        <f t="shared" ref="U8366" si="12623">SUM(K8366:T8367)</f>
        <v>2284640</v>
      </c>
      <c r="V8366" s="122"/>
      <c r="W8366" s="124"/>
      <c r="X8366" s="126" t="s">
        <v>23756</v>
      </c>
      <c r="Y8366" s="127"/>
      <c r="Z8366" s="127"/>
      <c r="AA8366" s="127"/>
      <c r="AB8366" s="128"/>
      <c r="AC8366" s="15" t="s">
        <v>20</v>
      </c>
      <c r="AD8366" s="129" t="s">
        <v>23692</v>
      </c>
      <c r="AE8366" s="130"/>
      <c r="AF8366" s="130"/>
      <c r="AG8366" s="130"/>
      <c r="AH8366" s="130"/>
      <c r="AI8366" s="131"/>
      <c r="AJ8366" s="132"/>
      <c r="AK8366" s="127"/>
      <c r="AL8366" s="128"/>
      <c r="AM8366" s="21"/>
      <c r="AN8366" s="133">
        <v>46158</v>
      </c>
      <c r="AO8366" s="134"/>
      <c r="AP8366" s="135">
        <v>1300</v>
      </c>
      <c r="AQ8366" s="136"/>
      <c r="AR8366" s="118">
        <v>2275000</v>
      </c>
      <c r="AS8366" s="119"/>
      <c r="AT8366" s="118">
        <f t="shared" ref="AT8366" si="12624">AR8366*0.1</f>
        <v>227500</v>
      </c>
      <c r="AU8366" s="119"/>
      <c r="AV8366" s="118">
        <v>21720</v>
      </c>
      <c r="AW8366" s="119"/>
      <c r="AX8366" s="118">
        <f t="shared" ref="AX8366" si="12625">SUM(AR8366:AW8366)</f>
        <v>2524220</v>
      </c>
      <c r="AY8366" s="119"/>
      <c r="AZ8366" s="137"/>
    </row>
    <row r="8367" spans="1:52" ht="17.100000000000001" customHeight="1" thickBot="1">
      <c r="A8367" s="110"/>
      <c r="B8367" s="27" t="s">
        <v>23624</v>
      </c>
      <c r="C8367" s="27">
        <v>81021</v>
      </c>
      <c r="D8367" s="14" t="s">
        <v>23618</v>
      </c>
      <c r="E8367" s="112"/>
      <c r="F8367" s="139" t="s">
        <v>23754</v>
      </c>
      <c r="G8367" s="140"/>
      <c r="H8367" s="141"/>
      <c r="I8367" s="26">
        <v>76642</v>
      </c>
      <c r="J8367" s="117"/>
      <c r="K8367" s="120"/>
      <c r="L8367" s="121"/>
      <c r="M8367" s="120"/>
      <c r="N8367" s="121"/>
      <c r="O8367" s="120"/>
      <c r="P8367" s="121"/>
      <c r="Q8367" s="120"/>
      <c r="R8367" s="121"/>
      <c r="S8367" s="120"/>
      <c r="T8367" s="121"/>
      <c r="U8367" s="120"/>
      <c r="V8367" s="123"/>
      <c r="W8367" s="125"/>
      <c r="X8367" s="142" t="s">
        <v>24607</v>
      </c>
      <c r="Y8367" s="143"/>
      <c r="Z8367" s="143"/>
      <c r="AA8367" s="143"/>
      <c r="AB8367" s="144"/>
      <c r="AC8367" s="16" t="s">
        <v>21</v>
      </c>
      <c r="AD8367" s="17" t="s">
        <v>24588</v>
      </c>
      <c r="AE8367" s="145" t="s">
        <v>1742</v>
      </c>
      <c r="AF8367" s="146"/>
      <c r="AG8367" s="146"/>
      <c r="AH8367" s="146"/>
      <c r="AI8367" s="147"/>
      <c r="AJ8367" s="148"/>
      <c r="AK8367" s="143"/>
      <c r="AL8367" s="144"/>
      <c r="AM8367" s="22"/>
      <c r="AN8367" s="149" t="s">
        <v>7284</v>
      </c>
      <c r="AO8367" s="144"/>
      <c r="AP8367" s="148">
        <v>80063</v>
      </c>
      <c r="AQ8367" s="144"/>
      <c r="AR8367" s="120"/>
      <c r="AS8367" s="121"/>
      <c r="AT8367" s="120"/>
      <c r="AU8367" s="121"/>
      <c r="AV8367" s="120"/>
      <c r="AW8367" s="121"/>
      <c r="AX8367" s="120"/>
      <c r="AY8367" s="121"/>
      <c r="AZ8367" s="138"/>
    </row>
    <row r="8368" spans="1:52" ht="17.100000000000001" customHeight="1" thickTop="1">
      <c r="A8368" s="109" t="s">
        <v>23634</v>
      </c>
      <c r="B8368" s="28">
        <v>46130</v>
      </c>
      <c r="C8368" s="25">
        <v>1297</v>
      </c>
      <c r="D8368" s="13" t="s">
        <v>23757</v>
      </c>
      <c r="E8368" s="111"/>
      <c r="F8368" s="113" t="s">
        <v>23642</v>
      </c>
      <c r="G8368" s="114"/>
      <c r="H8368" s="115"/>
      <c r="I8368" s="24" t="s">
        <v>23759</v>
      </c>
      <c r="J8368" s="116">
        <v>4.5</v>
      </c>
      <c r="K8368" s="118">
        <v>1100000</v>
      </c>
      <c r="L8368" s="119"/>
      <c r="M8368" s="118">
        <f t="shared" ref="M8368" si="12626">K8368*0.1</f>
        <v>110000</v>
      </c>
      <c r="N8368" s="119"/>
      <c r="O8368" s="118">
        <v>25190</v>
      </c>
      <c r="P8368" s="119"/>
      <c r="Q8368" s="118">
        <v>11930</v>
      </c>
      <c r="R8368" s="119"/>
      <c r="S8368" s="118">
        <v>23100</v>
      </c>
      <c r="T8368" s="119"/>
      <c r="U8368" s="118">
        <f t="shared" ref="U8368" si="12627">SUM(K8368:T8369)</f>
        <v>1270220</v>
      </c>
      <c r="V8368" s="122"/>
      <c r="W8368" s="124"/>
      <c r="X8368" s="126" t="s">
        <v>23760</v>
      </c>
      <c r="Y8368" s="127"/>
      <c r="Z8368" s="127"/>
      <c r="AA8368" s="127"/>
      <c r="AB8368" s="128"/>
      <c r="AC8368" s="15" t="s">
        <v>20</v>
      </c>
      <c r="AD8368" s="129" t="s">
        <v>23603</v>
      </c>
      <c r="AE8368" s="130"/>
      <c r="AF8368" s="130"/>
      <c r="AG8368" s="130"/>
      <c r="AH8368" s="130"/>
      <c r="AI8368" s="131"/>
      <c r="AJ8368" s="132"/>
      <c r="AK8368" s="127"/>
      <c r="AL8368" s="128"/>
      <c r="AM8368" s="21"/>
      <c r="AN8368" s="133">
        <v>46135</v>
      </c>
      <c r="AO8368" s="134"/>
      <c r="AP8368" s="135">
        <v>1328</v>
      </c>
      <c r="AQ8368" s="136"/>
      <c r="AR8368" s="118">
        <v>1245000</v>
      </c>
      <c r="AS8368" s="119"/>
      <c r="AT8368" s="118">
        <f t="shared" ref="AT8368" si="12628">AR8368*0.1</f>
        <v>124500</v>
      </c>
      <c r="AU8368" s="119"/>
      <c r="AV8368" s="118">
        <v>11930</v>
      </c>
      <c r="AW8368" s="119"/>
      <c r="AX8368" s="118">
        <f t="shared" ref="AX8368" si="12629">SUM(AR8368:AW8368)</f>
        <v>1381430</v>
      </c>
      <c r="AY8368" s="119"/>
      <c r="AZ8368" s="137">
        <v>46136</v>
      </c>
    </row>
    <row r="8369" spans="1:52" ht="17.100000000000001" customHeight="1" thickBot="1">
      <c r="A8369" s="110"/>
      <c r="B8369" s="27" t="s">
        <v>23624</v>
      </c>
      <c r="C8369" s="27">
        <v>81038</v>
      </c>
      <c r="D8369" s="14" t="s">
        <v>23681</v>
      </c>
      <c r="E8369" s="112"/>
      <c r="F8369" s="139" t="s">
        <v>23758</v>
      </c>
      <c r="G8369" s="140"/>
      <c r="H8369" s="141"/>
      <c r="I8369" s="26">
        <v>20150</v>
      </c>
      <c r="J8369" s="117"/>
      <c r="K8369" s="120"/>
      <c r="L8369" s="121"/>
      <c r="M8369" s="120"/>
      <c r="N8369" s="121"/>
      <c r="O8369" s="120"/>
      <c r="P8369" s="121"/>
      <c r="Q8369" s="120"/>
      <c r="R8369" s="121"/>
      <c r="S8369" s="120"/>
      <c r="T8369" s="121"/>
      <c r="U8369" s="120"/>
      <c r="V8369" s="123"/>
      <c r="W8369" s="125"/>
      <c r="X8369" s="142" t="s">
        <v>24596</v>
      </c>
      <c r="Y8369" s="143"/>
      <c r="Z8369" s="143"/>
      <c r="AA8369" s="143"/>
      <c r="AB8369" s="144"/>
      <c r="AC8369" s="16" t="s">
        <v>21</v>
      </c>
      <c r="AD8369" s="17" t="s">
        <v>24588</v>
      </c>
      <c r="AE8369" s="145" t="s">
        <v>4883</v>
      </c>
      <c r="AF8369" s="146"/>
      <c r="AG8369" s="146"/>
      <c r="AH8369" s="146"/>
      <c r="AI8369" s="147"/>
      <c r="AJ8369" s="148"/>
      <c r="AK8369" s="143"/>
      <c r="AL8369" s="144"/>
      <c r="AM8369" s="22"/>
      <c r="AN8369" s="149" t="s">
        <v>24066</v>
      </c>
      <c r="AO8369" s="144"/>
      <c r="AP8369" s="148">
        <v>342</v>
      </c>
      <c r="AQ8369" s="144"/>
      <c r="AR8369" s="120"/>
      <c r="AS8369" s="121"/>
      <c r="AT8369" s="120"/>
      <c r="AU8369" s="121"/>
      <c r="AV8369" s="120"/>
      <c r="AW8369" s="121"/>
      <c r="AX8369" s="120"/>
      <c r="AY8369" s="121"/>
      <c r="AZ8369" s="138"/>
    </row>
    <row r="8370" spans="1:52" ht="17.100000000000001" customHeight="1" thickTop="1">
      <c r="A8370" s="109" t="s">
        <v>23635</v>
      </c>
      <c r="B8370" s="28">
        <v>46130</v>
      </c>
      <c r="C8370" s="25">
        <v>1297</v>
      </c>
      <c r="D8370" s="13" t="s">
        <v>23761</v>
      </c>
      <c r="E8370" s="111"/>
      <c r="F8370" s="113" t="s">
        <v>23643</v>
      </c>
      <c r="G8370" s="114"/>
      <c r="H8370" s="115"/>
      <c r="I8370" s="24" t="s">
        <v>23763</v>
      </c>
      <c r="J8370" s="116">
        <v>4.5</v>
      </c>
      <c r="K8370" s="118">
        <v>600000</v>
      </c>
      <c r="L8370" s="119"/>
      <c r="M8370" s="118">
        <f t="shared" ref="M8370" si="12630">K8370*0.1</f>
        <v>60000</v>
      </c>
      <c r="N8370" s="119"/>
      <c r="O8370" s="118">
        <v>39820</v>
      </c>
      <c r="P8370" s="119"/>
      <c r="Q8370" s="118">
        <v>19120</v>
      </c>
      <c r="R8370" s="119"/>
      <c r="S8370" s="118">
        <v>23100</v>
      </c>
      <c r="T8370" s="119"/>
      <c r="U8370" s="118">
        <f t="shared" ref="U8370" si="12631">SUM(K8370:T8371)</f>
        <v>742040</v>
      </c>
      <c r="V8370" s="122"/>
      <c r="W8370" s="124"/>
      <c r="X8370" s="126" t="s">
        <v>24606</v>
      </c>
      <c r="Y8370" s="127"/>
      <c r="Z8370" s="127"/>
      <c r="AA8370" s="127"/>
      <c r="AB8370" s="128"/>
      <c r="AC8370" s="15" t="s">
        <v>20</v>
      </c>
      <c r="AD8370" s="129"/>
      <c r="AE8370" s="130"/>
      <c r="AF8370" s="130"/>
      <c r="AG8370" s="130"/>
      <c r="AH8370" s="130"/>
      <c r="AI8370" s="131"/>
      <c r="AJ8370" s="132"/>
      <c r="AK8370" s="127"/>
      <c r="AL8370" s="128"/>
      <c r="AM8370" s="21" t="s">
        <v>25365</v>
      </c>
      <c r="AN8370" s="133"/>
      <c r="AO8370" s="134"/>
      <c r="AP8370" s="135"/>
      <c r="AQ8370" s="136"/>
      <c r="AR8370" s="118"/>
      <c r="AS8370" s="119"/>
      <c r="AT8370" s="118">
        <f t="shared" ref="AT8370" si="12632">AR8370*0.1</f>
        <v>0</v>
      </c>
      <c r="AU8370" s="119"/>
      <c r="AV8370" s="118"/>
      <c r="AW8370" s="119"/>
      <c r="AX8370" s="118">
        <f t="shared" ref="AX8370" si="12633">SUM(AR8370:AW8370)</f>
        <v>0</v>
      </c>
      <c r="AY8370" s="119"/>
      <c r="AZ8370" s="137"/>
    </row>
    <row r="8371" spans="1:52" ht="17.100000000000001" customHeight="1" thickBot="1">
      <c r="A8371" s="110"/>
      <c r="B8371" s="27" t="s">
        <v>23624</v>
      </c>
      <c r="C8371" s="27">
        <v>81085</v>
      </c>
      <c r="D8371" s="14" t="s">
        <v>23720</v>
      </c>
      <c r="E8371" s="112"/>
      <c r="F8371" s="139" t="s">
        <v>23762</v>
      </c>
      <c r="G8371" s="140"/>
      <c r="H8371" s="141"/>
      <c r="I8371" s="26">
        <v>53817</v>
      </c>
      <c r="J8371" s="117"/>
      <c r="K8371" s="120"/>
      <c r="L8371" s="121"/>
      <c r="M8371" s="120"/>
      <c r="N8371" s="121"/>
      <c r="O8371" s="120"/>
      <c r="P8371" s="121"/>
      <c r="Q8371" s="120"/>
      <c r="R8371" s="121"/>
      <c r="S8371" s="120"/>
      <c r="T8371" s="121"/>
      <c r="U8371" s="120"/>
      <c r="V8371" s="123"/>
      <c r="W8371" s="125"/>
      <c r="X8371" s="142" t="s">
        <v>1997</v>
      </c>
      <c r="Y8371" s="143"/>
      <c r="Z8371" s="143"/>
      <c r="AA8371" s="143"/>
      <c r="AB8371" s="144"/>
      <c r="AC8371" s="16" t="s">
        <v>21</v>
      </c>
      <c r="AD8371" s="17" t="s">
        <v>24588</v>
      </c>
      <c r="AE8371" s="145" t="s">
        <v>1742</v>
      </c>
      <c r="AF8371" s="146"/>
      <c r="AG8371" s="146"/>
      <c r="AH8371" s="146"/>
      <c r="AI8371" s="147"/>
      <c r="AJ8371" s="148"/>
      <c r="AK8371" s="143"/>
      <c r="AL8371" s="144"/>
      <c r="AM8371" s="22"/>
      <c r="AN8371" s="149"/>
      <c r="AO8371" s="144"/>
      <c r="AP8371" s="148"/>
      <c r="AQ8371" s="144"/>
      <c r="AR8371" s="120"/>
      <c r="AS8371" s="121"/>
      <c r="AT8371" s="120"/>
      <c r="AU8371" s="121"/>
      <c r="AV8371" s="120"/>
      <c r="AW8371" s="121"/>
      <c r="AX8371" s="120"/>
      <c r="AY8371" s="121"/>
      <c r="AZ8371" s="138"/>
    </row>
    <row r="8372" spans="1:52" ht="17.100000000000001" customHeight="1" thickTop="1">
      <c r="A8372" s="109" t="s">
        <v>23636</v>
      </c>
      <c r="B8372" s="28">
        <v>46130</v>
      </c>
      <c r="C8372" s="25">
        <v>1297</v>
      </c>
      <c r="D8372" s="13" t="s">
        <v>23764</v>
      </c>
      <c r="E8372" s="111"/>
      <c r="F8372" s="113" t="s">
        <v>23645</v>
      </c>
      <c r="G8372" s="114"/>
      <c r="H8372" s="115"/>
      <c r="I8372" s="24"/>
      <c r="J8372" s="116">
        <v>4.5</v>
      </c>
      <c r="K8372" s="118">
        <v>1605000</v>
      </c>
      <c r="L8372" s="119"/>
      <c r="M8372" s="118">
        <f t="shared" ref="M8372" si="12634">K8372*0.1</f>
        <v>160500</v>
      </c>
      <c r="N8372" s="119"/>
      <c r="O8372" s="118">
        <v>0</v>
      </c>
      <c r="P8372" s="119"/>
      <c r="Q8372" s="118">
        <v>21330</v>
      </c>
      <c r="R8372" s="119"/>
      <c r="S8372" s="118">
        <v>16500</v>
      </c>
      <c r="T8372" s="119"/>
      <c r="U8372" s="118">
        <f t="shared" ref="U8372" si="12635">SUM(K8372:T8373)</f>
        <v>1803330</v>
      </c>
      <c r="V8372" s="122"/>
      <c r="W8372" s="124"/>
      <c r="X8372" s="126" t="s">
        <v>24609</v>
      </c>
      <c r="Y8372" s="127"/>
      <c r="Z8372" s="127"/>
      <c r="AA8372" s="127"/>
      <c r="AB8372" s="128"/>
      <c r="AC8372" s="15" t="s">
        <v>20</v>
      </c>
      <c r="AD8372" s="129" t="s">
        <v>23766</v>
      </c>
      <c r="AE8372" s="130"/>
      <c r="AF8372" s="130"/>
      <c r="AG8372" s="130"/>
      <c r="AH8372" s="130"/>
      <c r="AI8372" s="131"/>
      <c r="AJ8372" s="132"/>
      <c r="AK8372" s="127"/>
      <c r="AL8372" s="128"/>
      <c r="AM8372" s="21"/>
      <c r="AN8372" s="133"/>
      <c r="AO8372" s="134"/>
      <c r="AP8372" s="135"/>
      <c r="AQ8372" s="136"/>
      <c r="AR8372" s="118"/>
      <c r="AS8372" s="119"/>
      <c r="AT8372" s="118">
        <f t="shared" ref="AT8372" si="12636">AR8372*0.1</f>
        <v>0</v>
      </c>
      <c r="AU8372" s="119"/>
      <c r="AV8372" s="118"/>
      <c r="AW8372" s="119"/>
      <c r="AX8372" s="118">
        <f t="shared" ref="AX8372" si="12637">SUM(AR8372:AW8372)</f>
        <v>0</v>
      </c>
      <c r="AY8372" s="119"/>
      <c r="AZ8372" s="137"/>
    </row>
    <row r="8373" spans="1:52" ht="17.100000000000001" customHeight="1" thickBot="1">
      <c r="A8373" s="110"/>
      <c r="B8373" s="27" t="s">
        <v>23624</v>
      </c>
      <c r="C8373" s="27">
        <v>82255</v>
      </c>
      <c r="D8373" s="14" t="s">
        <v>23600</v>
      </c>
      <c r="E8373" s="112"/>
      <c r="F8373" s="139" t="s">
        <v>23765</v>
      </c>
      <c r="G8373" s="140"/>
      <c r="H8373" s="141"/>
      <c r="I8373" s="26">
        <v>58920</v>
      </c>
      <c r="J8373" s="117"/>
      <c r="K8373" s="120"/>
      <c r="L8373" s="121"/>
      <c r="M8373" s="120"/>
      <c r="N8373" s="121"/>
      <c r="O8373" s="120"/>
      <c r="P8373" s="121"/>
      <c r="Q8373" s="120"/>
      <c r="R8373" s="121"/>
      <c r="S8373" s="120"/>
      <c r="T8373" s="121"/>
      <c r="U8373" s="120"/>
      <c r="V8373" s="123"/>
      <c r="W8373" s="125"/>
      <c r="X8373" s="142" t="s">
        <v>24610</v>
      </c>
      <c r="Y8373" s="143"/>
      <c r="Z8373" s="143"/>
      <c r="AA8373" s="143"/>
      <c r="AB8373" s="144"/>
      <c r="AC8373" s="16" t="s">
        <v>21</v>
      </c>
      <c r="AD8373" s="17" t="s">
        <v>24588</v>
      </c>
      <c r="AE8373" s="145" t="s">
        <v>1742</v>
      </c>
      <c r="AF8373" s="146"/>
      <c r="AG8373" s="146"/>
      <c r="AH8373" s="146"/>
      <c r="AI8373" s="147"/>
      <c r="AJ8373" s="148"/>
      <c r="AK8373" s="143"/>
      <c r="AL8373" s="144"/>
      <c r="AM8373" s="22"/>
      <c r="AN8373" s="149"/>
      <c r="AO8373" s="144"/>
      <c r="AP8373" s="148"/>
      <c r="AQ8373" s="144"/>
      <c r="AR8373" s="120"/>
      <c r="AS8373" s="121"/>
      <c r="AT8373" s="120"/>
      <c r="AU8373" s="121"/>
      <c r="AV8373" s="120"/>
      <c r="AW8373" s="121"/>
      <c r="AX8373" s="120"/>
      <c r="AY8373" s="121"/>
      <c r="AZ8373" s="138"/>
    </row>
    <row r="8374" spans="1:52" ht="17.100000000000001" customHeight="1" thickTop="1">
      <c r="A8374" s="109" t="s">
        <v>23637</v>
      </c>
      <c r="B8374" s="28">
        <v>46130</v>
      </c>
      <c r="C8374" s="25">
        <v>1297</v>
      </c>
      <c r="D8374" s="13" t="s">
        <v>23656</v>
      </c>
      <c r="E8374" s="111"/>
      <c r="F8374" s="113" t="s">
        <v>23646</v>
      </c>
      <c r="G8374" s="114"/>
      <c r="H8374" s="115"/>
      <c r="I8374" s="24"/>
      <c r="J8374" s="116">
        <v>4.5</v>
      </c>
      <c r="K8374" s="118">
        <v>1675000</v>
      </c>
      <c r="L8374" s="119"/>
      <c r="M8374" s="118">
        <f t="shared" ref="M8374" si="12638">K8374*0.1</f>
        <v>167500</v>
      </c>
      <c r="N8374" s="119"/>
      <c r="O8374" s="118">
        <v>0</v>
      </c>
      <c r="P8374" s="119"/>
      <c r="Q8374" s="118">
        <v>18980</v>
      </c>
      <c r="R8374" s="119"/>
      <c r="S8374" s="118">
        <v>16500</v>
      </c>
      <c r="T8374" s="119"/>
      <c r="U8374" s="118">
        <f t="shared" ref="U8374" si="12639">SUM(K8374:T8375)</f>
        <v>1877980</v>
      </c>
      <c r="V8374" s="122"/>
      <c r="W8374" s="124"/>
      <c r="X8374" s="126" t="s">
        <v>24590</v>
      </c>
      <c r="Y8374" s="127"/>
      <c r="Z8374" s="127"/>
      <c r="AA8374" s="127"/>
      <c r="AB8374" s="128"/>
      <c r="AC8374" s="15" t="s">
        <v>20</v>
      </c>
      <c r="AD8374" s="129" t="s">
        <v>23768</v>
      </c>
      <c r="AE8374" s="130"/>
      <c r="AF8374" s="130"/>
      <c r="AG8374" s="130"/>
      <c r="AH8374" s="130"/>
      <c r="AI8374" s="131"/>
      <c r="AJ8374" s="132"/>
      <c r="AK8374" s="127"/>
      <c r="AL8374" s="128"/>
      <c r="AM8374" s="21"/>
      <c r="AN8374" s="133">
        <v>46137</v>
      </c>
      <c r="AO8374" s="134"/>
      <c r="AP8374" s="135">
        <v>1298</v>
      </c>
      <c r="AQ8374" s="136"/>
      <c r="AR8374" s="118">
        <v>1820000</v>
      </c>
      <c r="AS8374" s="119"/>
      <c r="AT8374" s="118">
        <f t="shared" ref="AT8374" si="12640">AR8374*0.1</f>
        <v>182000</v>
      </c>
      <c r="AU8374" s="119"/>
      <c r="AV8374" s="118">
        <v>18980</v>
      </c>
      <c r="AW8374" s="119"/>
      <c r="AX8374" s="118">
        <f t="shared" ref="AX8374" si="12641">SUM(AR8374:AW8374)</f>
        <v>2020980</v>
      </c>
      <c r="AY8374" s="119"/>
      <c r="AZ8374" s="137">
        <v>46140</v>
      </c>
    </row>
    <row r="8375" spans="1:52" ht="17.100000000000001" customHeight="1" thickBot="1">
      <c r="A8375" s="110"/>
      <c r="B8375" s="27" t="s">
        <v>23624</v>
      </c>
      <c r="C8375" s="27">
        <v>82287</v>
      </c>
      <c r="D8375" s="14" t="s">
        <v>23618</v>
      </c>
      <c r="E8375" s="112"/>
      <c r="F8375" s="139" t="s">
        <v>23767</v>
      </c>
      <c r="G8375" s="140"/>
      <c r="H8375" s="141"/>
      <c r="I8375" s="26">
        <v>45050</v>
      </c>
      <c r="J8375" s="117"/>
      <c r="K8375" s="120"/>
      <c r="L8375" s="121"/>
      <c r="M8375" s="120"/>
      <c r="N8375" s="121"/>
      <c r="O8375" s="120"/>
      <c r="P8375" s="121"/>
      <c r="Q8375" s="120"/>
      <c r="R8375" s="121"/>
      <c r="S8375" s="120"/>
      <c r="T8375" s="121"/>
      <c r="U8375" s="120"/>
      <c r="V8375" s="123"/>
      <c r="W8375" s="125"/>
      <c r="X8375" s="142" t="s">
        <v>1861</v>
      </c>
      <c r="Y8375" s="143"/>
      <c r="Z8375" s="143"/>
      <c r="AA8375" s="143"/>
      <c r="AB8375" s="144"/>
      <c r="AC8375" s="16" t="s">
        <v>21</v>
      </c>
      <c r="AD8375" s="17" t="s">
        <v>24588</v>
      </c>
      <c r="AE8375" s="145" t="s">
        <v>1633</v>
      </c>
      <c r="AF8375" s="146"/>
      <c r="AG8375" s="146"/>
      <c r="AH8375" s="146"/>
      <c r="AI8375" s="147"/>
      <c r="AJ8375" s="148"/>
      <c r="AK8375" s="143"/>
      <c r="AL8375" s="144"/>
      <c r="AM8375" s="22"/>
      <c r="AN8375" s="149" t="s">
        <v>2511</v>
      </c>
      <c r="AO8375" s="144"/>
      <c r="AP8375" s="148">
        <v>80083</v>
      </c>
      <c r="AQ8375" s="144"/>
      <c r="AR8375" s="120"/>
      <c r="AS8375" s="121"/>
      <c r="AT8375" s="120"/>
      <c r="AU8375" s="121"/>
      <c r="AV8375" s="120"/>
      <c r="AW8375" s="121"/>
      <c r="AX8375" s="120"/>
      <c r="AY8375" s="121"/>
      <c r="AZ8375" s="138"/>
    </row>
    <row r="8376" spans="1:52" ht="17.100000000000001" customHeight="1" thickTop="1">
      <c r="A8376" s="109" t="s">
        <v>23644</v>
      </c>
      <c r="B8376" s="28">
        <v>46130</v>
      </c>
      <c r="C8376" s="25">
        <v>1297</v>
      </c>
      <c r="D8376" s="13" t="s">
        <v>23769</v>
      </c>
      <c r="E8376" s="111"/>
      <c r="F8376" s="113" t="s">
        <v>23647</v>
      </c>
      <c r="G8376" s="114"/>
      <c r="H8376" s="115"/>
      <c r="I8376" s="24"/>
      <c r="J8376" s="116">
        <v>4.5</v>
      </c>
      <c r="K8376" s="118">
        <v>1055000</v>
      </c>
      <c r="L8376" s="119"/>
      <c r="M8376" s="118">
        <f t="shared" ref="M8376" si="12642">K8376*0.1</f>
        <v>105500</v>
      </c>
      <c r="N8376" s="119"/>
      <c r="O8376" s="118">
        <v>0</v>
      </c>
      <c r="P8376" s="119"/>
      <c r="Q8376" s="118">
        <v>11930</v>
      </c>
      <c r="R8376" s="119"/>
      <c r="S8376" s="118">
        <v>16500</v>
      </c>
      <c r="T8376" s="119"/>
      <c r="U8376" s="118">
        <f t="shared" ref="U8376" si="12643">SUM(K8376:T8377)</f>
        <v>1188930</v>
      </c>
      <c r="V8376" s="122"/>
      <c r="W8376" s="124"/>
      <c r="X8376" s="126" t="s">
        <v>11320</v>
      </c>
      <c r="Y8376" s="127"/>
      <c r="Z8376" s="127"/>
      <c r="AA8376" s="127"/>
      <c r="AB8376" s="128"/>
      <c r="AC8376" s="15" t="s">
        <v>20</v>
      </c>
      <c r="AD8376" s="129" t="s">
        <v>23724</v>
      </c>
      <c r="AE8376" s="130"/>
      <c r="AF8376" s="130"/>
      <c r="AG8376" s="130"/>
      <c r="AH8376" s="130"/>
      <c r="AI8376" s="131"/>
      <c r="AJ8376" s="132"/>
      <c r="AK8376" s="127"/>
      <c r="AL8376" s="128"/>
      <c r="AM8376" s="21"/>
      <c r="AN8376" s="133"/>
      <c r="AO8376" s="134"/>
      <c r="AP8376" s="135"/>
      <c r="AQ8376" s="136"/>
      <c r="AR8376" s="118"/>
      <c r="AS8376" s="119"/>
      <c r="AT8376" s="118">
        <f t="shared" ref="AT8376" si="12644">AR8376*0.1</f>
        <v>0</v>
      </c>
      <c r="AU8376" s="119"/>
      <c r="AV8376" s="118"/>
      <c r="AW8376" s="119"/>
      <c r="AX8376" s="118">
        <f t="shared" ref="AX8376" si="12645">SUM(AR8376:AW8376)</f>
        <v>0</v>
      </c>
      <c r="AY8376" s="119"/>
      <c r="AZ8376" s="137"/>
    </row>
    <row r="8377" spans="1:52" ht="17.100000000000001" customHeight="1" thickBot="1">
      <c r="A8377" s="110"/>
      <c r="B8377" s="27" t="s">
        <v>23624</v>
      </c>
      <c r="C8377" s="27">
        <v>85024</v>
      </c>
      <c r="D8377" s="14" t="s">
        <v>23605</v>
      </c>
      <c r="E8377" s="112"/>
      <c r="F8377" s="139" t="s">
        <v>23770</v>
      </c>
      <c r="G8377" s="140"/>
      <c r="H8377" s="141"/>
      <c r="I8377" s="26">
        <v>55040</v>
      </c>
      <c r="J8377" s="117"/>
      <c r="K8377" s="120"/>
      <c r="L8377" s="121"/>
      <c r="M8377" s="120"/>
      <c r="N8377" s="121"/>
      <c r="O8377" s="120"/>
      <c r="P8377" s="121"/>
      <c r="Q8377" s="120"/>
      <c r="R8377" s="121"/>
      <c r="S8377" s="120"/>
      <c r="T8377" s="121"/>
      <c r="U8377" s="120"/>
      <c r="V8377" s="123"/>
      <c r="W8377" s="125"/>
      <c r="X8377" s="142" t="s">
        <v>11321</v>
      </c>
      <c r="Y8377" s="143"/>
      <c r="Z8377" s="143"/>
      <c r="AA8377" s="143"/>
      <c r="AB8377" s="144"/>
      <c r="AC8377" s="16" t="s">
        <v>21</v>
      </c>
      <c r="AD8377" s="17" t="s">
        <v>24588</v>
      </c>
      <c r="AE8377" s="145" t="s">
        <v>3412</v>
      </c>
      <c r="AF8377" s="146"/>
      <c r="AG8377" s="146"/>
      <c r="AH8377" s="146"/>
      <c r="AI8377" s="147"/>
      <c r="AJ8377" s="148"/>
      <c r="AK8377" s="143"/>
      <c r="AL8377" s="144"/>
      <c r="AM8377" s="22"/>
      <c r="AN8377" s="149"/>
      <c r="AO8377" s="144"/>
      <c r="AP8377" s="148"/>
      <c r="AQ8377" s="144"/>
      <c r="AR8377" s="120"/>
      <c r="AS8377" s="121"/>
      <c r="AT8377" s="120"/>
      <c r="AU8377" s="121"/>
      <c r="AV8377" s="120"/>
      <c r="AW8377" s="121"/>
      <c r="AX8377" s="120"/>
      <c r="AY8377" s="121"/>
      <c r="AZ8377" s="138"/>
    </row>
    <row r="8378" spans="1:52" ht="17.100000000000001" customHeight="1" thickTop="1">
      <c r="A8378" s="109" t="s">
        <v>23813</v>
      </c>
      <c r="B8378" s="28">
        <v>46132</v>
      </c>
      <c r="C8378" s="25"/>
      <c r="D8378" s="13" t="s">
        <v>1586</v>
      </c>
      <c r="E8378" s="111"/>
      <c r="F8378" s="113" t="s">
        <v>1938</v>
      </c>
      <c r="G8378" s="114"/>
      <c r="H8378" s="115"/>
      <c r="I8378" s="24"/>
      <c r="J8378" s="116">
        <v>4</v>
      </c>
      <c r="K8378" s="118">
        <v>1107000</v>
      </c>
      <c r="L8378" s="119"/>
      <c r="M8378" s="118">
        <f t="shared" ref="M8378" si="12646">K8378*0.1</f>
        <v>110700</v>
      </c>
      <c r="N8378" s="119"/>
      <c r="O8378" s="118">
        <v>0</v>
      </c>
      <c r="P8378" s="119"/>
      <c r="Q8378" s="118">
        <v>17600</v>
      </c>
      <c r="R8378" s="119"/>
      <c r="S8378" s="118">
        <v>14850</v>
      </c>
      <c r="T8378" s="119"/>
      <c r="U8378" s="118">
        <f t="shared" ref="U8378" si="12647">SUM(K8378:T8379)</f>
        <v>1250150</v>
      </c>
      <c r="V8378" s="122"/>
      <c r="W8378" s="124"/>
      <c r="X8378" s="126" t="s">
        <v>24133</v>
      </c>
      <c r="Y8378" s="127"/>
      <c r="Z8378" s="127"/>
      <c r="AA8378" s="127"/>
      <c r="AB8378" s="128"/>
      <c r="AC8378" s="15" t="s">
        <v>20</v>
      </c>
      <c r="AD8378" s="129"/>
      <c r="AE8378" s="130"/>
      <c r="AF8378" s="130"/>
      <c r="AG8378" s="130"/>
      <c r="AH8378" s="130"/>
      <c r="AI8378" s="131"/>
      <c r="AJ8378" s="132"/>
      <c r="AK8378" s="127"/>
      <c r="AL8378" s="128"/>
      <c r="AM8378" s="21"/>
      <c r="AN8378" s="133">
        <v>46137</v>
      </c>
      <c r="AO8378" s="134"/>
      <c r="AP8378" s="135">
        <v>1716</v>
      </c>
      <c r="AQ8378" s="136"/>
      <c r="AR8378" s="118">
        <v>1415000</v>
      </c>
      <c r="AS8378" s="119"/>
      <c r="AT8378" s="118">
        <f t="shared" ref="AT8378" si="12648">AR8378*0.1</f>
        <v>141500</v>
      </c>
      <c r="AU8378" s="119"/>
      <c r="AV8378" s="118">
        <v>17600</v>
      </c>
      <c r="AW8378" s="119"/>
      <c r="AX8378" s="118">
        <f t="shared" ref="AX8378" si="12649">SUM(AR8378:AW8378)</f>
        <v>1574100</v>
      </c>
      <c r="AY8378" s="119"/>
      <c r="AZ8378" s="137">
        <v>46138</v>
      </c>
    </row>
    <row r="8379" spans="1:52" ht="17.100000000000001" customHeight="1" thickBot="1">
      <c r="A8379" s="110"/>
      <c r="B8379" s="27" t="s">
        <v>9959</v>
      </c>
      <c r="C8379" s="27">
        <v>20264</v>
      </c>
      <c r="D8379" s="14" t="s">
        <v>1576</v>
      </c>
      <c r="E8379" s="112"/>
      <c r="F8379" s="139" t="s">
        <v>23834</v>
      </c>
      <c r="G8379" s="140"/>
      <c r="H8379" s="141"/>
      <c r="I8379" s="26">
        <v>26592</v>
      </c>
      <c r="J8379" s="117"/>
      <c r="K8379" s="120"/>
      <c r="L8379" s="121"/>
      <c r="M8379" s="120"/>
      <c r="N8379" s="121"/>
      <c r="O8379" s="120"/>
      <c r="P8379" s="121"/>
      <c r="Q8379" s="120"/>
      <c r="R8379" s="121"/>
      <c r="S8379" s="120"/>
      <c r="T8379" s="121"/>
      <c r="U8379" s="120"/>
      <c r="V8379" s="123"/>
      <c r="W8379" s="125"/>
      <c r="X8379" s="142" t="s">
        <v>24134</v>
      </c>
      <c r="Y8379" s="143"/>
      <c r="Z8379" s="143"/>
      <c r="AA8379" s="143"/>
      <c r="AB8379" s="144"/>
      <c r="AC8379" s="16" t="s">
        <v>21</v>
      </c>
      <c r="AD8379" s="17" t="s">
        <v>24135</v>
      </c>
      <c r="AE8379" s="145"/>
      <c r="AF8379" s="146"/>
      <c r="AG8379" s="146"/>
      <c r="AH8379" s="146"/>
      <c r="AI8379" s="147"/>
      <c r="AJ8379" s="148"/>
      <c r="AK8379" s="143"/>
      <c r="AL8379" s="144"/>
      <c r="AM8379" s="22"/>
      <c r="AN8379" s="149" t="s">
        <v>24577</v>
      </c>
      <c r="AO8379" s="144"/>
      <c r="AP8379" s="148">
        <v>544</v>
      </c>
      <c r="AQ8379" s="144"/>
      <c r="AR8379" s="120"/>
      <c r="AS8379" s="121"/>
      <c r="AT8379" s="120"/>
      <c r="AU8379" s="121"/>
      <c r="AV8379" s="120"/>
      <c r="AW8379" s="121"/>
      <c r="AX8379" s="120"/>
      <c r="AY8379" s="121"/>
      <c r="AZ8379" s="138"/>
    </row>
    <row r="8380" spans="1:52" ht="17.100000000000001" customHeight="1" thickTop="1">
      <c r="A8380" s="109" t="s">
        <v>23814</v>
      </c>
      <c r="B8380" s="28">
        <v>46132</v>
      </c>
      <c r="C8380" s="25"/>
      <c r="D8380" s="13" t="s">
        <v>23850</v>
      </c>
      <c r="E8380" s="111"/>
      <c r="F8380" s="113" t="s">
        <v>23852</v>
      </c>
      <c r="G8380" s="114"/>
      <c r="H8380" s="115"/>
      <c r="I8380" s="24"/>
      <c r="J8380" s="116">
        <v>4.5</v>
      </c>
      <c r="K8380" s="118">
        <v>2229000</v>
      </c>
      <c r="L8380" s="119"/>
      <c r="M8380" s="118">
        <f t="shared" ref="M8380" si="12650">K8380*0.1</f>
        <v>222900</v>
      </c>
      <c r="N8380" s="119"/>
      <c r="O8380" s="118">
        <v>0</v>
      </c>
      <c r="P8380" s="119"/>
      <c r="Q8380" s="118">
        <v>19090</v>
      </c>
      <c r="R8380" s="119"/>
      <c r="S8380" s="118">
        <v>14850</v>
      </c>
      <c r="T8380" s="119"/>
      <c r="U8380" s="118">
        <f t="shared" ref="U8380" si="12651">SUM(K8380:T8381)</f>
        <v>2485840</v>
      </c>
      <c r="V8380" s="122"/>
      <c r="W8380" s="124"/>
      <c r="X8380" s="126" t="s">
        <v>24259</v>
      </c>
      <c r="Y8380" s="127"/>
      <c r="Z8380" s="127"/>
      <c r="AA8380" s="127"/>
      <c r="AB8380" s="128"/>
      <c r="AC8380" s="15" t="s">
        <v>20</v>
      </c>
      <c r="AD8380" s="129"/>
      <c r="AE8380" s="130"/>
      <c r="AF8380" s="130"/>
      <c r="AG8380" s="130"/>
      <c r="AH8380" s="130"/>
      <c r="AI8380" s="131"/>
      <c r="AJ8380" s="132"/>
      <c r="AK8380" s="127"/>
      <c r="AL8380" s="128"/>
      <c r="AM8380" s="21"/>
      <c r="AN8380" s="133"/>
      <c r="AO8380" s="134"/>
      <c r="AP8380" s="135"/>
      <c r="AQ8380" s="136"/>
      <c r="AR8380" s="118"/>
      <c r="AS8380" s="119"/>
      <c r="AT8380" s="118">
        <f t="shared" ref="AT8380" si="12652">AR8380*0.1</f>
        <v>0</v>
      </c>
      <c r="AU8380" s="119"/>
      <c r="AV8380" s="118"/>
      <c r="AW8380" s="119"/>
      <c r="AX8380" s="118">
        <f t="shared" ref="AX8380" si="12653">SUM(AR8380:AW8380)</f>
        <v>0</v>
      </c>
      <c r="AY8380" s="119"/>
      <c r="AZ8380" s="137"/>
    </row>
    <row r="8381" spans="1:52" ht="17.100000000000001" customHeight="1" thickBot="1">
      <c r="A8381" s="110"/>
      <c r="B8381" s="27" t="s">
        <v>23849</v>
      </c>
      <c r="C8381" s="27">
        <v>70643</v>
      </c>
      <c r="D8381" s="14" t="s">
        <v>23851</v>
      </c>
      <c r="E8381" s="112"/>
      <c r="F8381" s="139" t="s">
        <v>24258</v>
      </c>
      <c r="G8381" s="140"/>
      <c r="H8381" s="141"/>
      <c r="I8381" s="26">
        <v>52325</v>
      </c>
      <c r="J8381" s="117"/>
      <c r="K8381" s="120"/>
      <c r="L8381" s="121"/>
      <c r="M8381" s="120"/>
      <c r="N8381" s="121"/>
      <c r="O8381" s="120"/>
      <c r="P8381" s="121"/>
      <c r="Q8381" s="120"/>
      <c r="R8381" s="121"/>
      <c r="S8381" s="120"/>
      <c r="T8381" s="121"/>
      <c r="U8381" s="120"/>
      <c r="V8381" s="123"/>
      <c r="W8381" s="125"/>
      <c r="X8381" s="142" t="s">
        <v>24260</v>
      </c>
      <c r="Y8381" s="143"/>
      <c r="Z8381" s="143"/>
      <c r="AA8381" s="143"/>
      <c r="AB8381" s="144"/>
      <c r="AC8381" s="16" t="s">
        <v>21</v>
      </c>
      <c r="AD8381" s="17" t="s">
        <v>24261</v>
      </c>
      <c r="AE8381" s="145" t="s">
        <v>24769</v>
      </c>
      <c r="AF8381" s="146"/>
      <c r="AG8381" s="146"/>
      <c r="AH8381" s="146"/>
      <c r="AI8381" s="147"/>
      <c r="AJ8381" s="148"/>
      <c r="AK8381" s="143"/>
      <c r="AL8381" s="144"/>
      <c r="AM8381" s="22"/>
      <c r="AN8381" s="149"/>
      <c r="AO8381" s="144"/>
      <c r="AP8381" s="148"/>
      <c r="AQ8381" s="144"/>
      <c r="AR8381" s="120"/>
      <c r="AS8381" s="121"/>
      <c r="AT8381" s="120"/>
      <c r="AU8381" s="121"/>
      <c r="AV8381" s="120"/>
      <c r="AW8381" s="121"/>
      <c r="AX8381" s="120"/>
      <c r="AY8381" s="121"/>
      <c r="AZ8381" s="138"/>
    </row>
    <row r="8382" spans="1:52" ht="17.100000000000001" customHeight="1" thickTop="1">
      <c r="A8382" s="109" t="s">
        <v>23815</v>
      </c>
      <c r="B8382" s="28">
        <v>46132</v>
      </c>
      <c r="C8382" s="25"/>
      <c r="D8382" s="13" t="s">
        <v>2355</v>
      </c>
      <c r="E8382" s="111"/>
      <c r="F8382" s="113" t="s">
        <v>5259</v>
      </c>
      <c r="G8382" s="114"/>
      <c r="H8382" s="115"/>
      <c r="I8382" s="24" t="s">
        <v>3931</v>
      </c>
      <c r="J8382" s="116">
        <v>4.5</v>
      </c>
      <c r="K8382" s="118">
        <v>1864000</v>
      </c>
      <c r="L8382" s="119"/>
      <c r="M8382" s="118">
        <f t="shared" ref="M8382" si="12654">K8382*0.1</f>
        <v>186400</v>
      </c>
      <c r="N8382" s="119"/>
      <c r="O8382" s="118">
        <f>27900+2790</f>
        <v>30690</v>
      </c>
      <c r="P8382" s="119"/>
      <c r="Q8382" s="118">
        <v>11810</v>
      </c>
      <c r="R8382" s="119"/>
      <c r="S8382" s="118">
        <v>14850</v>
      </c>
      <c r="T8382" s="119"/>
      <c r="U8382" s="118">
        <f t="shared" ref="U8382" si="12655">SUM(K8382:T8383)</f>
        <v>2107750</v>
      </c>
      <c r="V8382" s="122"/>
      <c r="W8382" s="124"/>
      <c r="X8382" s="126" t="s">
        <v>23818</v>
      </c>
      <c r="Y8382" s="127"/>
      <c r="Z8382" s="127"/>
      <c r="AA8382" s="127"/>
      <c r="AB8382" s="128"/>
      <c r="AC8382" s="15" t="s">
        <v>20</v>
      </c>
      <c r="AD8382" s="129" t="s">
        <v>1670</v>
      </c>
      <c r="AE8382" s="130"/>
      <c r="AF8382" s="130"/>
      <c r="AG8382" s="130"/>
      <c r="AH8382" s="130"/>
      <c r="AI8382" s="131"/>
      <c r="AJ8382" s="132"/>
      <c r="AK8382" s="127"/>
      <c r="AL8382" s="128"/>
      <c r="AM8382" s="21" t="s">
        <v>25366</v>
      </c>
      <c r="AN8382" s="133"/>
      <c r="AO8382" s="134"/>
      <c r="AP8382" s="135"/>
      <c r="AQ8382" s="136"/>
      <c r="AR8382" s="118"/>
      <c r="AS8382" s="119"/>
      <c r="AT8382" s="118">
        <f t="shared" ref="AT8382" si="12656">AR8382*0.1</f>
        <v>0</v>
      </c>
      <c r="AU8382" s="119"/>
      <c r="AV8382" s="118"/>
      <c r="AW8382" s="119"/>
      <c r="AX8382" s="118">
        <f t="shared" ref="AX8382" si="12657">SUM(AR8382:AW8382)</f>
        <v>0</v>
      </c>
      <c r="AY8382" s="119"/>
      <c r="AZ8382" s="137"/>
    </row>
    <row r="8383" spans="1:52" ht="17.100000000000001" customHeight="1" thickBot="1">
      <c r="A8383" s="110"/>
      <c r="B8383" s="27" t="s">
        <v>2774</v>
      </c>
      <c r="C8383" s="27">
        <v>80034</v>
      </c>
      <c r="D8383" s="14" t="s">
        <v>1592</v>
      </c>
      <c r="E8383" s="112"/>
      <c r="F8383" s="139" t="s">
        <v>24619</v>
      </c>
      <c r="G8383" s="140"/>
      <c r="H8383" s="141"/>
      <c r="I8383" s="26">
        <v>12279</v>
      </c>
      <c r="J8383" s="117"/>
      <c r="K8383" s="120"/>
      <c r="L8383" s="121"/>
      <c r="M8383" s="120"/>
      <c r="N8383" s="121"/>
      <c r="O8383" s="120"/>
      <c r="P8383" s="121"/>
      <c r="Q8383" s="120"/>
      <c r="R8383" s="121"/>
      <c r="S8383" s="120"/>
      <c r="T8383" s="121"/>
      <c r="U8383" s="120"/>
      <c r="V8383" s="123"/>
      <c r="W8383" s="125"/>
      <c r="X8383" s="142" t="s">
        <v>24618</v>
      </c>
      <c r="Y8383" s="143"/>
      <c r="Z8383" s="143"/>
      <c r="AA8383" s="143"/>
      <c r="AB8383" s="144"/>
      <c r="AC8383" s="16" t="s">
        <v>21</v>
      </c>
      <c r="AD8383" s="17" t="s">
        <v>2400</v>
      </c>
      <c r="AE8383" s="145" t="s">
        <v>25610</v>
      </c>
      <c r="AF8383" s="146"/>
      <c r="AG8383" s="146"/>
      <c r="AH8383" s="146"/>
      <c r="AI8383" s="147"/>
      <c r="AJ8383" s="148"/>
      <c r="AK8383" s="143"/>
      <c r="AL8383" s="144"/>
      <c r="AM8383" s="22"/>
      <c r="AN8383" s="149"/>
      <c r="AO8383" s="144"/>
      <c r="AP8383" s="148"/>
      <c r="AQ8383" s="144"/>
      <c r="AR8383" s="120"/>
      <c r="AS8383" s="121"/>
      <c r="AT8383" s="120"/>
      <c r="AU8383" s="121"/>
      <c r="AV8383" s="120"/>
      <c r="AW8383" s="121"/>
      <c r="AX8383" s="120"/>
      <c r="AY8383" s="121"/>
      <c r="AZ8383" s="138"/>
    </row>
    <row r="8384" spans="1:52" ht="17.100000000000001" customHeight="1" thickTop="1">
      <c r="A8384" s="109" t="s">
        <v>23816</v>
      </c>
      <c r="B8384" s="28">
        <v>46132</v>
      </c>
      <c r="C8384" s="25"/>
      <c r="D8384" s="13" t="s">
        <v>1725</v>
      </c>
      <c r="E8384" s="111"/>
      <c r="F8384" s="113" t="s">
        <v>5259</v>
      </c>
      <c r="G8384" s="114"/>
      <c r="H8384" s="115"/>
      <c r="I8384" s="24"/>
      <c r="J8384" s="116">
        <v>4</v>
      </c>
      <c r="K8384" s="118">
        <v>528000</v>
      </c>
      <c r="L8384" s="119"/>
      <c r="M8384" s="118">
        <f t="shared" ref="M8384" si="12658">K8384*0.1</f>
        <v>52800</v>
      </c>
      <c r="N8384" s="119"/>
      <c r="O8384" s="118">
        <v>0</v>
      </c>
      <c r="P8384" s="119"/>
      <c r="Q8384" s="118">
        <v>11810</v>
      </c>
      <c r="R8384" s="119"/>
      <c r="S8384" s="118">
        <v>14850</v>
      </c>
      <c r="T8384" s="119"/>
      <c r="U8384" s="118">
        <f t="shared" ref="U8384" si="12659">SUM(K8384:T8385)</f>
        <v>607460</v>
      </c>
      <c r="V8384" s="122"/>
      <c r="W8384" s="124"/>
      <c r="X8384" s="126" t="s">
        <v>24617</v>
      </c>
      <c r="Y8384" s="127"/>
      <c r="Z8384" s="127"/>
      <c r="AA8384" s="127"/>
      <c r="AB8384" s="128"/>
      <c r="AC8384" s="15" t="s">
        <v>20</v>
      </c>
      <c r="AD8384" s="129"/>
      <c r="AE8384" s="130"/>
      <c r="AF8384" s="130"/>
      <c r="AG8384" s="130"/>
      <c r="AH8384" s="130"/>
      <c r="AI8384" s="131"/>
      <c r="AJ8384" s="132"/>
      <c r="AK8384" s="127"/>
      <c r="AL8384" s="128"/>
      <c r="AM8384" s="21"/>
      <c r="AN8384" s="133">
        <v>46144</v>
      </c>
      <c r="AO8384" s="134"/>
      <c r="AP8384" s="135">
        <v>1299</v>
      </c>
      <c r="AQ8384" s="136"/>
      <c r="AR8384" s="118">
        <v>630000</v>
      </c>
      <c r="AS8384" s="119"/>
      <c r="AT8384" s="118">
        <f t="shared" ref="AT8384" si="12660">AR8384*0.1</f>
        <v>63000</v>
      </c>
      <c r="AU8384" s="119"/>
      <c r="AV8384" s="118">
        <v>11810</v>
      </c>
      <c r="AW8384" s="119"/>
      <c r="AX8384" s="118">
        <f t="shared" ref="AX8384" si="12661">SUM(AR8384:AW8384)</f>
        <v>704810</v>
      </c>
      <c r="AY8384" s="119"/>
      <c r="AZ8384" s="137">
        <v>46161</v>
      </c>
    </row>
    <row r="8385" spans="1:52" ht="17.100000000000001" customHeight="1" thickBot="1">
      <c r="A8385" s="110"/>
      <c r="B8385" s="27" t="s">
        <v>2774</v>
      </c>
      <c r="C8385" s="27">
        <v>80035</v>
      </c>
      <c r="D8385" s="14" t="s">
        <v>1592</v>
      </c>
      <c r="E8385" s="112"/>
      <c r="F8385" s="139" t="s">
        <v>24616</v>
      </c>
      <c r="G8385" s="140"/>
      <c r="H8385" s="141"/>
      <c r="I8385" s="26">
        <v>51850</v>
      </c>
      <c r="J8385" s="117"/>
      <c r="K8385" s="120"/>
      <c r="L8385" s="121"/>
      <c r="M8385" s="120"/>
      <c r="N8385" s="121"/>
      <c r="O8385" s="120"/>
      <c r="P8385" s="121"/>
      <c r="Q8385" s="120"/>
      <c r="R8385" s="121"/>
      <c r="S8385" s="120"/>
      <c r="T8385" s="121"/>
      <c r="U8385" s="120"/>
      <c r="V8385" s="123"/>
      <c r="W8385" s="125"/>
      <c r="X8385" s="142" t="s">
        <v>24618</v>
      </c>
      <c r="Y8385" s="143"/>
      <c r="Z8385" s="143"/>
      <c r="AA8385" s="143"/>
      <c r="AB8385" s="144"/>
      <c r="AC8385" s="16" t="s">
        <v>21</v>
      </c>
      <c r="AD8385" s="17" t="s">
        <v>2400</v>
      </c>
      <c r="AE8385" s="145"/>
      <c r="AF8385" s="146"/>
      <c r="AG8385" s="146"/>
      <c r="AH8385" s="146"/>
      <c r="AI8385" s="147"/>
      <c r="AJ8385" s="148"/>
      <c r="AK8385" s="143"/>
      <c r="AL8385" s="144"/>
      <c r="AM8385" s="22"/>
      <c r="AN8385" s="149" t="s">
        <v>6748</v>
      </c>
      <c r="AO8385" s="144"/>
      <c r="AP8385" s="148">
        <v>80281</v>
      </c>
      <c r="AQ8385" s="144"/>
      <c r="AR8385" s="120"/>
      <c r="AS8385" s="121"/>
      <c r="AT8385" s="120"/>
      <c r="AU8385" s="121"/>
      <c r="AV8385" s="120"/>
      <c r="AW8385" s="121"/>
      <c r="AX8385" s="120"/>
      <c r="AY8385" s="121"/>
      <c r="AZ8385" s="138"/>
    </row>
    <row r="8386" spans="1:52" ht="17.100000000000001" customHeight="1" thickTop="1">
      <c r="A8386" s="109" t="s">
        <v>23819</v>
      </c>
      <c r="B8386" s="28">
        <v>46132</v>
      </c>
      <c r="C8386" s="25"/>
      <c r="D8386" s="13" t="s">
        <v>1714</v>
      </c>
      <c r="E8386" s="111"/>
      <c r="F8386" s="113" t="s">
        <v>3221</v>
      </c>
      <c r="G8386" s="114"/>
      <c r="H8386" s="115"/>
      <c r="I8386" s="24"/>
      <c r="J8386" s="116">
        <v>4</v>
      </c>
      <c r="K8386" s="118">
        <v>2180000</v>
      </c>
      <c r="L8386" s="119"/>
      <c r="M8386" s="118">
        <f t="shared" ref="M8386" si="12662">K8386*0.1</f>
        <v>218000</v>
      </c>
      <c r="N8386" s="119"/>
      <c r="O8386" s="118">
        <v>0</v>
      </c>
      <c r="P8386" s="119"/>
      <c r="Q8386" s="118">
        <v>18170</v>
      </c>
      <c r="R8386" s="119"/>
      <c r="S8386" s="118">
        <v>25850</v>
      </c>
      <c r="T8386" s="119"/>
      <c r="U8386" s="118">
        <f t="shared" ref="U8386" si="12663">SUM(K8386:T8387)</f>
        <v>2442020</v>
      </c>
      <c r="V8386" s="122"/>
      <c r="W8386" s="124"/>
      <c r="X8386" s="126" t="s">
        <v>24620</v>
      </c>
      <c r="Y8386" s="127"/>
      <c r="Z8386" s="127"/>
      <c r="AA8386" s="127"/>
      <c r="AB8386" s="128"/>
      <c r="AC8386" s="15" t="s">
        <v>20</v>
      </c>
      <c r="AD8386" s="129"/>
      <c r="AE8386" s="130"/>
      <c r="AF8386" s="130"/>
      <c r="AG8386" s="130"/>
      <c r="AH8386" s="130"/>
      <c r="AI8386" s="131"/>
      <c r="AJ8386" s="132"/>
      <c r="AK8386" s="127"/>
      <c r="AL8386" s="128"/>
      <c r="AM8386" s="21"/>
      <c r="AN8386" s="133"/>
      <c r="AO8386" s="134"/>
      <c r="AP8386" s="135"/>
      <c r="AQ8386" s="136"/>
      <c r="AR8386" s="118"/>
      <c r="AS8386" s="119"/>
      <c r="AT8386" s="118">
        <f t="shared" ref="AT8386" si="12664">AR8386*0.1</f>
        <v>0</v>
      </c>
      <c r="AU8386" s="119"/>
      <c r="AV8386" s="118"/>
      <c r="AW8386" s="119"/>
      <c r="AX8386" s="118">
        <f t="shared" ref="AX8386" si="12665">SUM(AR8386:AW8386)</f>
        <v>0</v>
      </c>
      <c r="AY8386" s="119"/>
      <c r="AZ8386" s="137"/>
    </row>
    <row r="8387" spans="1:52" ht="17.100000000000001" customHeight="1" thickBot="1">
      <c r="A8387" s="110"/>
      <c r="B8387" s="27" t="s">
        <v>2774</v>
      </c>
      <c r="C8387" s="27">
        <v>80253</v>
      </c>
      <c r="D8387" s="14" t="s">
        <v>133</v>
      </c>
      <c r="E8387" s="112"/>
      <c r="F8387" s="139" t="s">
        <v>23817</v>
      </c>
      <c r="G8387" s="140"/>
      <c r="H8387" s="141"/>
      <c r="I8387" s="26">
        <v>58220</v>
      </c>
      <c r="J8387" s="117"/>
      <c r="K8387" s="120"/>
      <c r="L8387" s="121"/>
      <c r="M8387" s="120"/>
      <c r="N8387" s="121"/>
      <c r="O8387" s="120"/>
      <c r="P8387" s="121"/>
      <c r="Q8387" s="120"/>
      <c r="R8387" s="121"/>
      <c r="S8387" s="120"/>
      <c r="T8387" s="121"/>
      <c r="U8387" s="120"/>
      <c r="V8387" s="123"/>
      <c r="W8387" s="125"/>
      <c r="X8387" s="142" t="s">
        <v>24621</v>
      </c>
      <c r="Y8387" s="143"/>
      <c r="Z8387" s="143"/>
      <c r="AA8387" s="143"/>
      <c r="AB8387" s="144"/>
      <c r="AC8387" s="16" t="s">
        <v>21</v>
      </c>
      <c r="AD8387" s="17" t="s">
        <v>2400</v>
      </c>
      <c r="AE8387" s="145" t="s">
        <v>3446</v>
      </c>
      <c r="AF8387" s="146"/>
      <c r="AG8387" s="146"/>
      <c r="AH8387" s="146"/>
      <c r="AI8387" s="147"/>
      <c r="AJ8387" s="148"/>
      <c r="AK8387" s="143"/>
      <c r="AL8387" s="144"/>
      <c r="AM8387" s="22"/>
      <c r="AN8387" s="149"/>
      <c r="AO8387" s="144"/>
      <c r="AP8387" s="148"/>
      <c r="AQ8387" s="144"/>
      <c r="AR8387" s="120"/>
      <c r="AS8387" s="121"/>
      <c r="AT8387" s="120"/>
      <c r="AU8387" s="121"/>
      <c r="AV8387" s="120"/>
      <c r="AW8387" s="121"/>
      <c r="AX8387" s="120"/>
      <c r="AY8387" s="121"/>
      <c r="AZ8387" s="138"/>
    </row>
    <row r="8388" spans="1:52" ht="17.100000000000001" customHeight="1" thickTop="1">
      <c r="A8388" s="109" t="s">
        <v>23820</v>
      </c>
      <c r="B8388" s="28">
        <v>46132</v>
      </c>
      <c r="C8388" s="25">
        <v>2090</v>
      </c>
      <c r="D8388" s="13" t="s">
        <v>1863</v>
      </c>
      <c r="E8388" s="111"/>
      <c r="F8388" s="113" t="s">
        <v>23823</v>
      </c>
      <c r="G8388" s="114"/>
      <c r="H8388" s="115"/>
      <c r="I8388" s="24"/>
      <c r="J8388" s="116">
        <v>4.5</v>
      </c>
      <c r="K8388" s="118">
        <v>1640000</v>
      </c>
      <c r="L8388" s="119"/>
      <c r="M8388" s="118">
        <f t="shared" ref="M8388" si="12666">K8388*0.1</f>
        <v>164000</v>
      </c>
      <c r="N8388" s="119"/>
      <c r="O8388" s="118">
        <v>0</v>
      </c>
      <c r="P8388" s="119"/>
      <c r="Q8388" s="118">
        <v>17820</v>
      </c>
      <c r="R8388" s="119"/>
      <c r="S8388" s="118">
        <v>11000</v>
      </c>
      <c r="T8388" s="119"/>
      <c r="U8388" s="118">
        <f t="shared" ref="U8388" si="12667">SUM(K8388:T8389)</f>
        <v>1832820</v>
      </c>
      <c r="V8388" s="122"/>
      <c r="W8388" s="124"/>
      <c r="X8388" s="126" t="s">
        <v>24207</v>
      </c>
      <c r="Y8388" s="127"/>
      <c r="Z8388" s="127"/>
      <c r="AA8388" s="127"/>
      <c r="AB8388" s="128"/>
      <c r="AC8388" s="15" t="s">
        <v>20</v>
      </c>
      <c r="AD8388" s="129" t="s">
        <v>171</v>
      </c>
      <c r="AE8388" s="130"/>
      <c r="AF8388" s="130"/>
      <c r="AG8388" s="130"/>
      <c r="AH8388" s="130"/>
      <c r="AI8388" s="131"/>
      <c r="AJ8388" s="132"/>
      <c r="AK8388" s="127"/>
      <c r="AL8388" s="128"/>
      <c r="AM8388" s="21"/>
      <c r="AN8388" s="133"/>
      <c r="AO8388" s="134"/>
      <c r="AP8388" s="135"/>
      <c r="AQ8388" s="136"/>
      <c r="AR8388" s="118"/>
      <c r="AS8388" s="119"/>
      <c r="AT8388" s="118">
        <f t="shared" ref="AT8388" si="12668">AR8388*0.1</f>
        <v>0</v>
      </c>
      <c r="AU8388" s="119"/>
      <c r="AV8388" s="118"/>
      <c r="AW8388" s="119"/>
      <c r="AX8388" s="118">
        <f t="shared" ref="AX8388" si="12669">SUM(AR8388:AW8388)</f>
        <v>0</v>
      </c>
      <c r="AY8388" s="119"/>
      <c r="AZ8388" s="137"/>
    </row>
    <row r="8389" spans="1:52" ht="17.100000000000001" customHeight="1" thickBot="1">
      <c r="A8389" s="110"/>
      <c r="B8389" s="27" t="s">
        <v>83</v>
      </c>
      <c r="C8389" s="27">
        <v>33510</v>
      </c>
      <c r="D8389" s="14" t="s">
        <v>1720</v>
      </c>
      <c r="E8389" s="112"/>
      <c r="F8389" s="139" t="s">
        <v>23824</v>
      </c>
      <c r="G8389" s="140"/>
      <c r="H8389" s="141"/>
      <c r="I8389" s="26">
        <v>71620</v>
      </c>
      <c r="J8389" s="117"/>
      <c r="K8389" s="120"/>
      <c r="L8389" s="121"/>
      <c r="M8389" s="120"/>
      <c r="N8389" s="121"/>
      <c r="O8389" s="120"/>
      <c r="P8389" s="121"/>
      <c r="Q8389" s="120"/>
      <c r="R8389" s="121"/>
      <c r="S8389" s="120"/>
      <c r="T8389" s="121"/>
      <c r="U8389" s="120"/>
      <c r="V8389" s="123"/>
      <c r="W8389" s="125"/>
      <c r="X8389" s="142" t="s">
        <v>24208</v>
      </c>
      <c r="Y8389" s="143"/>
      <c r="Z8389" s="143"/>
      <c r="AA8389" s="143"/>
      <c r="AB8389" s="144"/>
      <c r="AC8389" s="16" t="s">
        <v>21</v>
      </c>
      <c r="AD8389" s="17" t="s">
        <v>24135</v>
      </c>
      <c r="AE8389" s="145" t="s">
        <v>24209</v>
      </c>
      <c r="AF8389" s="146"/>
      <c r="AG8389" s="146"/>
      <c r="AH8389" s="146"/>
      <c r="AI8389" s="147"/>
      <c r="AJ8389" s="148"/>
      <c r="AK8389" s="143"/>
      <c r="AL8389" s="144"/>
      <c r="AM8389" s="22"/>
      <c r="AN8389" s="149"/>
      <c r="AO8389" s="144"/>
      <c r="AP8389" s="148"/>
      <c r="AQ8389" s="144"/>
      <c r="AR8389" s="120"/>
      <c r="AS8389" s="121"/>
      <c r="AT8389" s="120"/>
      <c r="AU8389" s="121"/>
      <c r="AV8389" s="120"/>
      <c r="AW8389" s="121"/>
      <c r="AX8389" s="120"/>
      <c r="AY8389" s="121"/>
      <c r="AZ8389" s="138"/>
    </row>
    <row r="8390" spans="1:52" ht="17.100000000000001" customHeight="1" thickTop="1">
      <c r="A8390" s="109" t="s">
        <v>23821</v>
      </c>
      <c r="B8390" s="28">
        <v>46132</v>
      </c>
      <c r="C8390" s="25">
        <v>2090</v>
      </c>
      <c r="D8390" s="13" t="s">
        <v>4121</v>
      </c>
      <c r="E8390" s="111"/>
      <c r="F8390" s="113" t="s">
        <v>1871</v>
      </c>
      <c r="G8390" s="114"/>
      <c r="H8390" s="115"/>
      <c r="I8390" s="24" t="s">
        <v>2919</v>
      </c>
      <c r="J8390" s="116">
        <v>3.5</v>
      </c>
      <c r="K8390" s="118">
        <v>845000</v>
      </c>
      <c r="L8390" s="119"/>
      <c r="M8390" s="118">
        <f t="shared" ref="M8390" si="12670">K8390*0.1</f>
        <v>84500</v>
      </c>
      <c r="N8390" s="119"/>
      <c r="O8390" s="118">
        <f>36200+3620</f>
        <v>39820</v>
      </c>
      <c r="P8390" s="119"/>
      <c r="Q8390" s="118">
        <v>17600</v>
      </c>
      <c r="R8390" s="119"/>
      <c r="S8390" s="118">
        <v>11000</v>
      </c>
      <c r="T8390" s="119"/>
      <c r="U8390" s="118">
        <f t="shared" ref="U8390" si="12671">SUM(K8390:T8391)</f>
        <v>997920</v>
      </c>
      <c r="V8390" s="122"/>
      <c r="W8390" s="124"/>
      <c r="X8390" s="126" t="s">
        <v>23826</v>
      </c>
      <c r="Y8390" s="127"/>
      <c r="Z8390" s="127"/>
      <c r="AA8390" s="127"/>
      <c r="AB8390" s="128"/>
      <c r="AC8390" s="15" t="s">
        <v>20</v>
      </c>
      <c r="AD8390" s="129" t="s">
        <v>171</v>
      </c>
      <c r="AE8390" s="130"/>
      <c r="AF8390" s="130"/>
      <c r="AG8390" s="130"/>
      <c r="AH8390" s="130"/>
      <c r="AI8390" s="131"/>
      <c r="AJ8390" s="132"/>
      <c r="AK8390" s="127"/>
      <c r="AL8390" s="128"/>
      <c r="AM8390" s="21"/>
      <c r="AN8390" s="133">
        <v>46144</v>
      </c>
      <c r="AO8390" s="134"/>
      <c r="AP8390" s="135">
        <v>1299</v>
      </c>
      <c r="AQ8390" s="136"/>
      <c r="AR8390" s="118">
        <v>1005000</v>
      </c>
      <c r="AS8390" s="119"/>
      <c r="AT8390" s="118">
        <f t="shared" ref="AT8390" si="12672">AR8390*0.1</f>
        <v>100500</v>
      </c>
      <c r="AU8390" s="119"/>
      <c r="AV8390" s="118">
        <v>17600</v>
      </c>
      <c r="AW8390" s="119"/>
      <c r="AX8390" s="118">
        <f t="shared" ref="AX8390" si="12673">SUM(AR8390:AW8390)</f>
        <v>1123100</v>
      </c>
      <c r="AY8390" s="119"/>
      <c r="AZ8390" s="137">
        <v>46154</v>
      </c>
    </row>
    <row r="8391" spans="1:52" ht="17.100000000000001" customHeight="1" thickBot="1">
      <c r="A8391" s="110"/>
      <c r="B8391" s="27" t="s">
        <v>83</v>
      </c>
      <c r="C8391" s="27">
        <v>34512</v>
      </c>
      <c r="D8391" s="14" t="s">
        <v>133</v>
      </c>
      <c r="E8391" s="112"/>
      <c r="F8391" s="139" t="s">
        <v>23825</v>
      </c>
      <c r="G8391" s="140"/>
      <c r="H8391" s="141"/>
      <c r="I8391" s="26">
        <v>69577</v>
      </c>
      <c r="J8391" s="117"/>
      <c r="K8391" s="120"/>
      <c r="L8391" s="121"/>
      <c r="M8391" s="120"/>
      <c r="N8391" s="121"/>
      <c r="O8391" s="120"/>
      <c r="P8391" s="121"/>
      <c r="Q8391" s="120"/>
      <c r="R8391" s="121"/>
      <c r="S8391" s="120"/>
      <c r="T8391" s="121"/>
      <c r="U8391" s="120"/>
      <c r="V8391" s="123"/>
      <c r="W8391" s="125"/>
      <c r="X8391" s="142" t="s">
        <v>12708</v>
      </c>
      <c r="Y8391" s="143"/>
      <c r="Z8391" s="143"/>
      <c r="AA8391" s="143"/>
      <c r="AB8391" s="144"/>
      <c r="AC8391" s="16" t="s">
        <v>21</v>
      </c>
      <c r="AD8391" s="17" t="s">
        <v>24135</v>
      </c>
      <c r="AE8391" s="145" t="s">
        <v>24210</v>
      </c>
      <c r="AF8391" s="146"/>
      <c r="AG8391" s="146"/>
      <c r="AH8391" s="146"/>
      <c r="AI8391" s="147"/>
      <c r="AJ8391" s="148"/>
      <c r="AK8391" s="143"/>
      <c r="AL8391" s="144"/>
      <c r="AM8391" s="22"/>
      <c r="AN8391" s="149" t="s">
        <v>7284</v>
      </c>
      <c r="AO8391" s="144"/>
      <c r="AP8391" s="148">
        <v>80375</v>
      </c>
      <c r="AQ8391" s="144"/>
      <c r="AR8391" s="120"/>
      <c r="AS8391" s="121"/>
      <c r="AT8391" s="120"/>
      <c r="AU8391" s="121"/>
      <c r="AV8391" s="120"/>
      <c r="AW8391" s="121"/>
      <c r="AX8391" s="120"/>
      <c r="AY8391" s="121"/>
      <c r="AZ8391" s="138"/>
    </row>
    <row r="8392" spans="1:52" ht="17.100000000000001" customHeight="1" thickTop="1">
      <c r="A8392" s="109" t="s">
        <v>23822</v>
      </c>
      <c r="B8392" s="28">
        <v>46132</v>
      </c>
      <c r="C8392" s="25">
        <v>2090</v>
      </c>
      <c r="D8392" s="13" t="s">
        <v>1758</v>
      </c>
      <c r="E8392" s="111"/>
      <c r="F8392" s="113" t="s">
        <v>13703</v>
      </c>
      <c r="G8392" s="114"/>
      <c r="H8392" s="115"/>
      <c r="I8392" s="24" t="s">
        <v>4193</v>
      </c>
      <c r="J8392" s="116">
        <v>4</v>
      </c>
      <c r="K8392" s="118">
        <v>500000</v>
      </c>
      <c r="L8392" s="119"/>
      <c r="M8392" s="118">
        <f t="shared" ref="M8392" si="12674">K8392*0.1</f>
        <v>50000</v>
      </c>
      <c r="N8392" s="119"/>
      <c r="O8392" s="118">
        <f>36200+3620</f>
        <v>39820</v>
      </c>
      <c r="P8392" s="119"/>
      <c r="Q8392" s="118">
        <v>17490</v>
      </c>
      <c r="R8392" s="119"/>
      <c r="S8392" s="118">
        <v>11000</v>
      </c>
      <c r="T8392" s="119"/>
      <c r="U8392" s="118">
        <f t="shared" ref="U8392" si="12675">SUM(K8392:T8393)</f>
        <v>618310</v>
      </c>
      <c r="V8392" s="122"/>
      <c r="W8392" s="124"/>
      <c r="X8392" s="126" t="s">
        <v>23828</v>
      </c>
      <c r="Y8392" s="127"/>
      <c r="Z8392" s="127"/>
      <c r="AA8392" s="127"/>
      <c r="AB8392" s="128"/>
      <c r="AC8392" s="15" t="s">
        <v>20</v>
      </c>
      <c r="AD8392" s="129" t="s">
        <v>23831</v>
      </c>
      <c r="AE8392" s="130"/>
      <c r="AF8392" s="130"/>
      <c r="AG8392" s="130"/>
      <c r="AH8392" s="130"/>
      <c r="AI8392" s="131"/>
      <c r="AJ8392" s="132"/>
      <c r="AK8392" s="127"/>
      <c r="AL8392" s="128"/>
      <c r="AM8392" s="21"/>
      <c r="AN8392" s="133">
        <v>46144</v>
      </c>
      <c r="AO8392" s="134"/>
      <c r="AP8392" s="135">
        <v>1299</v>
      </c>
      <c r="AQ8392" s="136"/>
      <c r="AR8392" s="118">
        <v>590000</v>
      </c>
      <c r="AS8392" s="119"/>
      <c r="AT8392" s="118">
        <f t="shared" ref="AT8392" si="12676">AR8392*0.1</f>
        <v>59000</v>
      </c>
      <c r="AU8392" s="119"/>
      <c r="AV8392" s="118">
        <v>17490</v>
      </c>
      <c r="AW8392" s="119"/>
      <c r="AX8392" s="118">
        <f t="shared" ref="AX8392" si="12677">SUM(AR8392:AW8392)</f>
        <v>666490</v>
      </c>
      <c r="AY8392" s="119"/>
      <c r="AZ8392" s="137">
        <v>46154</v>
      </c>
    </row>
    <row r="8393" spans="1:52" ht="17.100000000000001" customHeight="1" thickBot="1">
      <c r="A8393" s="110"/>
      <c r="B8393" s="27" t="s">
        <v>83</v>
      </c>
      <c r="C8393" s="27">
        <v>34529</v>
      </c>
      <c r="D8393" s="14" t="s">
        <v>1812</v>
      </c>
      <c r="E8393" s="112"/>
      <c r="F8393" s="139" t="s">
        <v>23827</v>
      </c>
      <c r="G8393" s="140"/>
      <c r="H8393" s="141"/>
      <c r="I8393" s="26">
        <v>54064</v>
      </c>
      <c r="J8393" s="117"/>
      <c r="K8393" s="120"/>
      <c r="L8393" s="121"/>
      <c r="M8393" s="120"/>
      <c r="N8393" s="121"/>
      <c r="O8393" s="120"/>
      <c r="P8393" s="121"/>
      <c r="Q8393" s="120"/>
      <c r="R8393" s="121"/>
      <c r="S8393" s="120"/>
      <c r="T8393" s="121"/>
      <c r="U8393" s="120"/>
      <c r="V8393" s="123"/>
      <c r="W8393" s="125"/>
      <c r="X8393" s="142" t="s">
        <v>14359</v>
      </c>
      <c r="Y8393" s="143"/>
      <c r="Z8393" s="143"/>
      <c r="AA8393" s="143"/>
      <c r="AB8393" s="144"/>
      <c r="AC8393" s="16" t="s">
        <v>21</v>
      </c>
      <c r="AD8393" s="17" t="s">
        <v>24261</v>
      </c>
      <c r="AE8393" s="145" t="s">
        <v>2311</v>
      </c>
      <c r="AF8393" s="146"/>
      <c r="AG8393" s="146"/>
      <c r="AH8393" s="146"/>
      <c r="AI8393" s="147"/>
      <c r="AJ8393" s="148"/>
      <c r="AK8393" s="143"/>
      <c r="AL8393" s="144"/>
      <c r="AM8393" s="22"/>
      <c r="AN8393" s="149" t="s">
        <v>7284</v>
      </c>
      <c r="AO8393" s="144"/>
      <c r="AP8393" s="148">
        <v>80030</v>
      </c>
      <c r="AQ8393" s="144"/>
      <c r="AR8393" s="120"/>
      <c r="AS8393" s="121"/>
      <c r="AT8393" s="120"/>
      <c r="AU8393" s="121"/>
      <c r="AV8393" s="120"/>
      <c r="AW8393" s="121"/>
      <c r="AX8393" s="120"/>
      <c r="AY8393" s="121"/>
      <c r="AZ8393" s="138"/>
    </row>
    <row r="8394" spans="1:52" ht="17.100000000000001" customHeight="1" thickTop="1">
      <c r="A8394" s="109" t="s">
        <v>23833</v>
      </c>
      <c r="B8394" s="28">
        <v>46132</v>
      </c>
      <c r="C8394" s="25">
        <v>2090</v>
      </c>
      <c r="D8394" s="13" t="s">
        <v>2941</v>
      </c>
      <c r="E8394" s="111"/>
      <c r="F8394" s="113" t="s">
        <v>23305</v>
      </c>
      <c r="G8394" s="114"/>
      <c r="H8394" s="115"/>
      <c r="I8394" s="24"/>
      <c r="J8394" s="116">
        <v>4.5</v>
      </c>
      <c r="K8394" s="118">
        <v>1035000</v>
      </c>
      <c r="L8394" s="119"/>
      <c r="M8394" s="118">
        <f t="shared" ref="M8394" si="12678">K8394*0.1</f>
        <v>103500</v>
      </c>
      <c r="N8394" s="119"/>
      <c r="O8394" s="118">
        <v>0</v>
      </c>
      <c r="P8394" s="119"/>
      <c r="Q8394" s="118">
        <v>19090</v>
      </c>
      <c r="R8394" s="119"/>
      <c r="S8394" s="118">
        <v>11000</v>
      </c>
      <c r="T8394" s="119"/>
      <c r="U8394" s="118">
        <f t="shared" ref="U8394" si="12679">SUM(K8394:T8395)</f>
        <v>1168590</v>
      </c>
      <c r="V8394" s="122"/>
      <c r="W8394" s="124"/>
      <c r="X8394" s="126" t="s">
        <v>24283</v>
      </c>
      <c r="Y8394" s="127"/>
      <c r="Z8394" s="127"/>
      <c r="AA8394" s="127"/>
      <c r="AB8394" s="128"/>
      <c r="AC8394" s="15" t="s">
        <v>20</v>
      </c>
      <c r="AD8394" s="129" t="s">
        <v>23830</v>
      </c>
      <c r="AE8394" s="130"/>
      <c r="AF8394" s="130"/>
      <c r="AG8394" s="130"/>
      <c r="AH8394" s="130"/>
      <c r="AI8394" s="131"/>
      <c r="AJ8394" s="132"/>
      <c r="AK8394" s="127"/>
      <c r="AL8394" s="128"/>
      <c r="AM8394" s="21"/>
      <c r="AN8394" s="133">
        <v>46137</v>
      </c>
      <c r="AO8394" s="134"/>
      <c r="AP8394" s="135">
        <v>1298</v>
      </c>
      <c r="AQ8394" s="136"/>
      <c r="AR8394" s="118">
        <v>1190000</v>
      </c>
      <c r="AS8394" s="119"/>
      <c r="AT8394" s="118">
        <f t="shared" ref="AT8394" si="12680">AR8394*0.1</f>
        <v>119000</v>
      </c>
      <c r="AU8394" s="119"/>
      <c r="AV8394" s="118">
        <v>19090</v>
      </c>
      <c r="AW8394" s="119"/>
      <c r="AX8394" s="118">
        <f t="shared" ref="AX8394" si="12681">SUM(AR8394:AW8394)</f>
        <v>1328090</v>
      </c>
      <c r="AY8394" s="119"/>
      <c r="AZ8394" s="137">
        <v>46140</v>
      </c>
    </row>
    <row r="8395" spans="1:52" ht="17.100000000000001" customHeight="1" thickBot="1">
      <c r="A8395" s="110"/>
      <c r="B8395" s="27" t="s">
        <v>83</v>
      </c>
      <c r="C8395" s="27">
        <v>34536</v>
      </c>
      <c r="D8395" s="14" t="s">
        <v>1812</v>
      </c>
      <c r="E8395" s="112"/>
      <c r="F8395" s="139" t="s">
        <v>23829</v>
      </c>
      <c r="G8395" s="140"/>
      <c r="H8395" s="141"/>
      <c r="I8395" s="26">
        <v>82298</v>
      </c>
      <c r="J8395" s="117"/>
      <c r="K8395" s="120"/>
      <c r="L8395" s="121"/>
      <c r="M8395" s="120"/>
      <c r="N8395" s="121"/>
      <c r="O8395" s="120"/>
      <c r="P8395" s="121"/>
      <c r="Q8395" s="120"/>
      <c r="R8395" s="121"/>
      <c r="S8395" s="120"/>
      <c r="T8395" s="121"/>
      <c r="U8395" s="120"/>
      <c r="V8395" s="123"/>
      <c r="W8395" s="125"/>
      <c r="X8395" s="142" t="s">
        <v>8044</v>
      </c>
      <c r="Y8395" s="143"/>
      <c r="Z8395" s="143"/>
      <c r="AA8395" s="143"/>
      <c r="AB8395" s="144"/>
      <c r="AC8395" s="16" t="s">
        <v>21</v>
      </c>
      <c r="AD8395" s="17" t="s">
        <v>24261</v>
      </c>
      <c r="AE8395" s="145" t="s">
        <v>1742</v>
      </c>
      <c r="AF8395" s="146"/>
      <c r="AG8395" s="146"/>
      <c r="AH8395" s="146"/>
      <c r="AI8395" s="147"/>
      <c r="AJ8395" s="148"/>
      <c r="AK8395" s="143"/>
      <c r="AL8395" s="144"/>
      <c r="AM8395" s="22"/>
      <c r="AN8395" s="149" t="s">
        <v>2511</v>
      </c>
      <c r="AO8395" s="144"/>
      <c r="AP8395" s="148">
        <v>80412</v>
      </c>
      <c r="AQ8395" s="144"/>
      <c r="AR8395" s="120"/>
      <c r="AS8395" s="121"/>
      <c r="AT8395" s="120"/>
      <c r="AU8395" s="121"/>
      <c r="AV8395" s="120"/>
      <c r="AW8395" s="121"/>
      <c r="AX8395" s="120"/>
      <c r="AY8395" s="121"/>
      <c r="AZ8395" s="138"/>
    </row>
    <row r="8396" spans="1:52" ht="17.100000000000001" customHeight="1" thickTop="1">
      <c r="A8396" s="109" t="s">
        <v>23848</v>
      </c>
      <c r="B8396" s="28">
        <v>46132</v>
      </c>
      <c r="C8396" s="25">
        <v>2090</v>
      </c>
      <c r="D8396" s="13" t="s">
        <v>1712</v>
      </c>
      <c r="E8396" s="111"/>
      <c r="F8396" s="113" t="s">
        <v>2732</v>
      </c>
      <c r="G8396" s="114"/>
      <c r="H8396" s="115"/>
      <c r="I8396" s="24"/>
      <c r="J8396" s="116">
        <v>4</v>
      </c>
      <c r="K8396" s="118">
        <v>321000</v>
      </c>
      <c r="L8396" s="119"/>
      <c r="M8396" s="118">
        <f t="shared" ref="M8396" si="12682">K8396*0.1</f>
        <v>32100</v>
      </c>
      <c r="N8396" s="119"/>
      <c r="O8396" s="118">
        <v>0</v>
      </c>
      <c r="P8396" s="119"/>
      <c r="Q8396" s="118">
        <v>17490</v>
      </c>
      <c r="R8396" s="119"/>
      <c r="S8396" s="118">
        <v>11000</v>
      </c>
      <c r="T8396" s="119"/>
      <c r="U8396" s="118">
        <f t="shared" ref="U8396" si="12683">SUM(K8396:T8397)</f>
        <v>381590</v>
      </c>
      <c r="V8396" s="122"/>
      <c r="W8396" s="124"/>
      <c r="X8396" s="126" t="s">
        <v>24282</v>
      </c>
      <c r="Y8396" s="127"/>
      <c r="Z8396" s="127"/>
      <c r="AA8396" s="127"/>
      <c r="AB8396" s="128"/>
      <c r="AC8396" s="15" t="s">
        <v>20</v>
      </c>
      <c r="AD8396" s="129" t="s">
        <v>171</v>
      </c>
      <c r="AE8396" s="130"/>
      <c r="AF8396" s="130"/>
      <c r="AG8396" s="130"/>
      <c r="AH8396" s="130"/>
      <c r="AI8396" s="131"/>
      <c r="AJ8396" s="132"/>
      <c r="AK8396" s="127"/>
      <c r="AL8396" s="128"/>
      <c r="AM8396" s="21"/>
      <c r="AN8396" s="133"/>
      <c r="AO8396" s="134"/>
      <c r="AP8396" s="135"/>
      <c r="AQ8396" s="136"/>
      <c r="AR8396" s="118"/>
      <c r="AS8396" s="119"/>
      <c r="AT8396" s="118">
        <f t="shared" ref="AT8396" si="12684">AR8396*0.1</f>
        <v>0</v>
      </c>
      <c r="AU8396" s="119"/>
      <c r="AV8396" s="118"/>
      <c r="AW8396" s="119"/>
      <c r="AX8396" s="118">
        <f t="shared" ref="AX8396" si="12685">SUM(AR8396:AW8396)</f>
        <v>0</v>
      </c>
      <c r="AY8396" s="119"/>
      <c r="AZ8396" s="137"/>
    </row>
    <row r="8397" spans="1:52" ht="17.100000000000001" customHeight="1" thickBot="1">
      <c r="A8397" s="110"/>
      <c r="B8397" s="27" t="s">
        <v>83</v>
      </c>
      <c r="C8397" s="27">
        <v>34543</v>
      </c>
      <c r="D8397" s="14" t="s">
        <v>275</v>
      </c>
      <c r="E8397" s="112"/>
      <c r="F8397" s="139" t="s">
        <v>23832</v>
      </c>
      <c r="G8397" s="140"/>
      <c r="H8397" s="141"/>
      <c r="I8397" s="26">
        <v>71711</v>
      </c>
      <c r="J8397" s="117"/>
      <c r="K8397" s="120"/>
      <c r="L8397" s="121"/>
      <c r="M8397" s="120"/>
      <c r="N8397" s="121"/>
      <c r="O8397" s="120"/>
      <c r="P8397" s="121"/>
      <c r="Q8397" s="120"/>
      <c r="R8397" s="121"/>
      <c r="S8397" s="120"/>
      <c r="T8397" s="121"/>
      <c r="U8397" s="120"/>
      <c r="V8397" s="123"/>
      <c r="W8397" s="125"/>
      <c r="X8397" s="142" t="s">
        <v>8044</v>
      </c>
      <c r="Y8397" s="143"/>
      <c r="Z8397" s="143"/>
      <c r="AA8397" s="143"/>
      <c r="AB8397" s="144"/>
      <c r="AC8397" s="16" t="s">
        <v>21</v>
      </c>
      <c r="AD8397" s="17" t="s">
        <v>24261</v>
      </c>
      <c r="AE8397" s="145" t="s">
        <v>1742</v>
      </c>
      <c r="AF8397" s="146"/>
      <c r="AG8397" s="146"/>
      <c r="AH8397" s="146"/>
      <c r="AI8397" s="147"/>
      <c r="AJ8397" s="148"/>
      <c r="AK8397" s="143"/>
      <c r="AL8397" s="144"/>
      <c r="AM8397" s="22"/>
      <c r="AN8397" s="149"/>
      <c r="AO8397" s="144"/>
      <c r="AP8397" s="148"/>
      <c r="AQ8397" s="144"/>
      <c r="AR8397" s="120"/>
      <c r="AS8397" s="121"/>
      <c r="AT8397" s="120"/>
      <c r="AU8397" s="121"/>
      <c r="AV8397" s="120"/>
      <c r="AW8397" s="121"/>
      <c r="AX8397" s="120"/>
      <c r="AY8397" s="121"/>
      <c r="AZ8397" s="138"/>
    </row>
    <row r="8398" spans="1:52" ht="17.100000000000001" customHeight="1" thickTop="1">
      <c r="A8398" s="109" t="s">
        <v>23853</v>
      </c>
      <c r="B8398" s="28">
        <v>46132</v>
      </c>
      <c r="C8398" s="25"/>
      <c r="D8398" s="13" t="s">
        <v>1863</v>
      </c>
      <c r="E8398" s="111"/>
      <c r="F8398" s="113" t="s">
        <v>23836</v>
      </c>
      <c r="G8398" s="114"/>
      <c r="H8398" s="115"/>
      <c r="I8398" s="24" t="s">
        <v>23838</v>
      </c>
      <c r="J8398" s="150" t="s">
        <v>1715</v>
      </c>
      <c r="K8398" s="118">
        <f>390500/1.1</f>
        <v>355000</v>
      </c>
      <c r="L8398" s="119"/>
      <c r="M8398" s="118">
        <f t="shared" ref="M8398" si="12686">K8398*0.1</f>
        <v>35500</v>
      </c>
      <c r="N8398" s="119"/>
      <c r="O8398" s="118">
        <v>0</v>
      </c>
      <c r="P8398" s="119"/>
      <c r="Q8398" s="118">
        <v>9140</v>
      </c>
      <c r="R8398" s="119"/>
      <c r="S8398" s="118">
        <v>0</v>
      </c>
      <c r="T8398" s="119"/>
      <c r="U8398" s="118">
        <f t="shared" ref="U8398" si="12687">SUM(K8398:T8399)</f>
        <v>399640</v>
      </c>
      <c r="V8398" s="122"/>
      <c r="W8398" s="124"/>
      <c r="X8398" s="126" t="s">
        <v>25274</v>
      </c>
      <c r="Y8398" s="127"/>
      <c r="Z8398" s="127"/>
      <c r="AA8398" s="127"/>
      <c r="AB8398" s="128"/>
      <c r="AC8398" s="15" t="s">
        <v>20</v>
      </c>
      <c r="AD8398" s="129" t="s">
        <v>2781</v>
      </c>
      <c r="AE8398" s="130"/>
      <c r="AF8398" s="130"/>
      <c r="AG8398" s="130"/>
      <c r="AH8398" s="130"/>
      <c r="AI8398" s="131"/>
      <c r="AJ8398" s="132"/>
      <c r="AK8398" s="127"/>
      <c r="AL8398" s="128"/>
      <c r="AM8398" s="21"/>
      <c r="AN8398" s="133"/>
      <c r="AO8398" s="134"/>
      <c r="AP8398" s="135"/>
      <c r="AQ8398" s="136"/>
      <c r="AR8398" s="118"/>
      <c r="AS8398" s="119"/>
      <c r="AT8398" s="118">
        <f t="shared" ref="AT8398" si="12688">AR8398*0.1</f>
        <v>0</v>
      </c>
      <c r="AU8398" s="119"/>
      <c r="AV8398" s="118"/>
      <c r="AW8398" s="119"/>
      <c r="AX8398" s="118">
        <f t="shared" ref="AX8398" si="12689">SUM(AR8398:AW8398)</f>
        <v>0</v>
      </c>
      <c r="AY8398" s="119"/>
      <c r="AZ8398" s="137"/>
    </row>
    <row r="8399" spans="1:52" ht="17.100000000000001" customHeight="1" thickBot="1">
      <c r="A8399" s="110"/>
      <c r="B8399" s="27" t="s">
        <v>1718</v>
      </c>
      <c r="C8399" s="27" t="s">
        <v>23835</v>
      </c>
      <c r="D8399" s="14" t="s">
        <v>1576</v>
      </c>
      <c r="E8399" s="112"/>
      <c r="F8399" s="139" t="s">
        <v>23837</v>
      </c>
      <c r="G8399" s="140"/>
      <c r="H8399" s="141"/>
      <c r="I8399" s="26">
        <v>68324</v>
      </c>
      <c r="J8399" s="117"/>
      <c r="K8399" s="120"/>
      <c r="L8399" s="121"/>
      <c r="M8399" s="120"/>
      <c r="N8399" s="121"/>
      <c r="O8399" s="120"/>
      <c r="P8399" s="121"/>
      <c r="Q8399" s="120"/>
      <c r="R8399" s="121"/>
      <c r="S8399" s="120"/>
      <c r="T8399" s="121"/>
      <c r="U8399" s="120"/>
      <c r="V8399" s="123"/>
      <c r="W8399" s="125"/>
      <c r="X8399" s="142" t="s">
        <v>25275</v>
      </c>
      <c r="Y8399" s="143"/>
      <c r="Z8399" s="143"/>
      <c r="AA8399" s="143"/>
      <c r="AB8399" s="144"/>
      <c r="AC8399" s="16" t="s">
        <v>21</v>
      </c>
      <c r="AD8399" s="17" t="s">
        <v>25271</v>
      </c>
      <c r="AE8399" s="145" t="s">
        <v>13027</v>
      </c>
      <c r="AF8399" s="146"/>
      <c r="AG8399" s="146"/>
      <c r="AH8399" s="146"/>
      <c r="AI8399" s="147"/>
      <c r="AJ8399" s="148"/>
      <c r="AK8399" s="143"/>
      <c r="AL8399" s="144"/>
      <c r="AM8399" s="22"/>
      <c r="AN8399" s="149"/>
      <c r="AO8399" s="144"/>
      <c r="AP8399" s="148"/>
      <c r="AQ8399" s="144"/>
      <c r="AR8399" s="120"/>
      <c r="AS8399" s="121"/>
      <c r="AT8399" s="120"/>
      <c r="AU8399" s="121"/>
      <c r="AV8399" s="120"/>
      <c r="AW8399" s="121"/>
      <c r="AX8399" s="120"/>
      <c r="AY8399" s="121"/>
      <c r="AZ8399" s="138"/>
    </row>
    <row r="8400" spans="1:52" ht="17.100000000000001" customHeight="1" thickTop="1">
      <c r="A8400" s="109" t="s">
        <v>23854</v>
      </c>
      <c r="B8400" s="28">
        <v>46132</v>
      </c>
      <c r="C8400" s="25"/>
      <c r="D8400" s="13" t="s">
        <v>2654</v>
      </c>
      <c r="E8400" s="111"/>
      <c r="F8400" s="113" t="s">
        <v>23840</v>
      </c>
      <c r="G8400" s="114"/>
      <c r="H8400" s="115"/>
      <c r="I8400" s="24" t="s">
        <v>17254</v>
      </c>
      <c r="J8400" s="116">
        <v>4.5</v>
      </c>
      <c r="K8400" s="118">
        <f>2758800/1.1</f>
        <v>2508000</v>
      </c>
      <c r="L8400" s="119"/>
      <c r="M8400" s="118">
        <f t="shared" ref="M8400" si="12690">K8400*0.1</f>
        <v>250800</v>
      </c>
      <c r="N8400" s="119"/>
      <c r="O8400" s="118">
        <v>36200</v>
      </c>
      <c r="P8400" s="119"/>
      <c r="Q8400" s="118">
        <v>10750</v>
      </c>
      <c r="R8400" s="119"/>
      <c r="S8400" s="118">
        <v>0</v>
      </c>
      <c r="T8400" s="119"/>
      <c r="U8400" s="118">
        <f t="shared" ref="U8400" si="12691">SUM(K8400:T8401)</f>
        <v>2805750</v>
      </c>
      <c r="V8400" s="122"/>
      <c r="W8400" s="124"/>
      <c r="X8400" s="126" t="s">
        <v>25359</v>
      </c>
      <c r="Y8400" s="127"/>
      <c r="Z8400" s="127"/>
      <c r="AA8400" s="127"/>
      <c r="AB8400" s="128"/>
      <c r="AC8400" s="15" t="s">
        <v>20</v>
      </c>
      <c r="AD8400" s="129" t="s">
        <v>171</v>
      </c>
      <c r="AE8400" s="130"/>
      <c r="AF8400" s="130"/>
      <c r="AG8400" s="130"/>
      <c r="AH8400" s="130"/>
      <c r="AI8400" s="131"/>
      <c r="AJ8400" s="132"/>
      <c r="AK8400" s="127"/>
      <c r="AL8400" s="128"/>
      <c r="AM8400" s="21"/>
      <c r="AN8400" s="133"/>
      <c r="AO8400" s="134"/>
      <c r="AP8400" s="135"/>
      <c r="AQ8400" s="136"/>
      <c r="AR8400" s="118"/>
      <c r="AS8400" s="119"/>
      <c r="AT8400" s="118">
        <f t="shared" ref="AT8400" si="12692">AR8400*0.1</f>
        <v>0</v>
      </c>
      <c r="AU8400" s="119"/>
      <c r="AV8400" s="118"/>
      <c r="AW8400" s="119"/>
      <c r="AX8400" s="118">
        <f t="shared" ref="AX8400" si="12693">SUM(AR8400:AW8400)</f>
        <v>0</v>
      </c>
      <c r="AY8400" s="119"/>
      <c r="AZ8400" s="137"/>
    </row>
    <row r="8401" spans="1:52" ht="17.100000000000001" customHeight="1" thickBot="1">
      <c r="A8401" s="110"/>
      <c r="B8401" s="27" t="s">
        <v>1718</v>
      </c>
      <c r="C8401" s="27" t="s">
        <v>23839</v>
      </c>
      <c r="D8401" s="14" t="s">
        <v>275</v>
      </c>
      <c r="E8401" s="112"/>
      <c r="F8401" s="139" t="s">
        <v>23841</v>
      </c>
      <c r="G8401" s="140"/>
      <c r="H8401" s="141"/>
      <c r="I8401" s="26">
        <v>65659</v>
      </c>
      <c r="J8401" s="117"/>
      <c r="K8401" s="120"/>
      <c r="L8401" s="121"/>
      <c r="M8401" s="120"/>
      <c r="N8401" s="121"/>
      <c r="O8401" s="120"/>
      <c r="P8401" s="121"/>
      <c r="Q8401" s="120"/>
      <c r="R8401" s="121"/>
      <c r="S8401" s="120"/>
      <c r="T8401" s="121"/>
      <c r="U8401" s="120"/>
      <c r="V8401" s="123"/>
      <c r="W8401" s="125"/>
      <c r="X8401" s="142" t="s">
        <v>25360</v>
      </c>
      <c r="Y8401" s="143"/>
      <c r="Z8401" s="143"/>
      <c r="AA8401" s="143"/>
      <c r="AB8401" s="144"/>
      <c r="AC8401" s="16" t="s">
        <v>21</v>
      </c>
      <c r="AD8401" s="17" t="s">
        <v>25271</v>
      </c>
      <c r="AE8401" s="145" t="s">
        <v>25361</v>
      </c>
      <c r="AF8401" s="146"/>
      <c r="AG8401" s="146"/>
      <c r="AH8401" s="146"/>
      <c r="AI8401" s="147"/>
      <c r="AJ8401" s="148"/>
      <c r="AK8401" s="143"/>
      <c r="AL8401" s="144"/>
      <c r="AM8401" s="22"/>
      <c r="AN8401" s="149"/>
      <c r="AO8401" s="144"/>
      <c r="AP8401" s="148"/>
      <c r="AQ8401" s="144"/>
      <c r="AR8401" s="120"/>
      <c r="AS8401" s="121"/>
      <c r="AT8401" s="120"/>
      <c r="AU8401" s="121"/>
      <c r="AV8401" s="120"/>
      <c r="AW8401" s="121"/>
      <c r="AX8401" s="120"/>
      <c r="AY8401" s="121"/>
      <c r="AZ8401" s="138"/>
    </row>
    <row r="8402" spans="1:52" ht="17.100000000000001" customHeight="1" thickTop="1">
      <c r="A8402" s="109" t="s">
        <v>23855</v>
      </c>
      <c r="B8402" s="28">
        <v>46132</v>
      </c>
      <c r="C8402" s="25"/>
      <c r="D8402" s="13" t="s">
        <v>2759</v>
      </c>
      <c r="E8402" s="111"/>
      <c r="F8402" s="113" t="s">
        <v>23843</v>
      </c>
      <c r="G8402" s="114"/>
      <c r="H8402" s="115"/>
      <c r="I8402" s="24" t="s">
        <v>16006</v>
      </c>
      <c r="J8402" s="116">
        <v>4.5</v>
      </c>
      <c r="K8402" s="118">
        <f>2513500/1.1</f>
        <v>2285000</v>
      </c>
      <c r="L8402" s="119"/>
      <c r="M8402" s="118">
        <f t="shared" ref="M8402" si="12694">K8402*0.1</f>
        <v>228500</v>
      </c>
      <c r="N8402" s="119"/>
      <c r="O8402" s="118">
        <v>25400</v>
      </c>
      <c r="P8402" s="119"/>
      <c r="Q8402" s="118">
        <v>9620</v>
      </c>
      <c r="R8402" s="119"/>
      <c r="S8402" s="118">
        <v>0</v>
      </c>
      <c r="T8402" s="119"/>
      <c r="U8402" s="118">
        <f t="shared" ref="U8402" si="12695">SUM(K8402:T8403)</f>
        <v>2548520</v>
      </c>
      <c r="V8402" s="122"/>
      <c r="W8402" s="124"/>
      <c r="X8402" s="126" t="s">
        <v>25608</v>
      </c>
      <c r="Y8402" s="127"/>
      <c r="Z8402" s="127"/>
      <c r="AA8402" s="127"/>
      <c r="AB8402" s="128"/>
      <c r="AC8402" s="15" t="s">
        <v>20</v>
      </c>
      <c r="AD8402" s="129" t="s">
        <v>3888</v>
      </c>
      <c r="AE8402" s="130"/>
      <c r="AF8402" s="130"/>
      <c r="AG8402" s="130"/>
      <c r="AH8402" s="130"/>
      <c r="AI8402" s="131"/>
      <c r="AJ8402" s="132"/>
      <c r="AK8402" s="127"/>
      <c r="AL8402" s="128"/>
      <c r="AM8402" s="21"/>
      <c r="AN8402" s="133"/>
      <c r="AO8402" s="134"/>
      <c r="AP8402" s="135"/>
      <c r="AQ8402" s="136"/>
      <c r="AR8402" s="118"/>
      <c r="AS8402" s="119"/>
      <c r="AT8402" s="118">
        <f t="shared" ref="AT8402" si="12696">AR8402*0.1</f>
        <v>0</v>
      </c>
      <c r="AU8402" s="119"/>
      <c r="AV8402" s="118"/>
      <c r="AW8402" s="119"/>
      <c r="AX8402" s="118">
        <f t="shared" ref="AX8402" si="12697">SUM(AR8402:AW8402)</f>
        <v>0</v>
      </c>
      <c r="AY8402" s="119"/>
      <c r="AZ8402" s="137"/>
    </row>
    <row r="8403" spans="1:52" ht="17.100000000000001" customHeight="1" thickBot="1">
      <c r="A8403" s="110"/>
      <c r="B8403" s="27" t="s">
        <v>1718</v>
      </c>
      <c r="C8403" s="27" t="s">
        <v>23842</v>
      </c>
      <c r="D8403" s="14" t="s">
        <v>904</v>
      </c>
      <c r="E8403" s="112"/>
      <c r="F8403" s="139" t="s">
        <v>23844</v>
      </c>
      <c r="G8403" s="140"/>
      <c r="H8403" s="141"/>
      <c r="I8403" s="26">
        <v>18892</v>
      </c>
      <c r="J8403" s="117"/>
      <c r="K8403" s="120"/>
      <c r="L8403" s="121"/>
      <c r="M8403" s="120"/>
      <c r="N8403" s="121"/>
      <c r="O8403" s="120"/>
      <c r="P8403" s="121"/>
      <c r="Q8403" s="120"/>
      <c r="R8403" s="121"/>
      <c r="S8403" s="120"/>
      <c r="T8403" s="121"/>
      <c r="U8403" s="120"/>
      <c r="V8403" s="123"/>
      <c r="W8403" s="125"/>
      <c r="X8403" s="142" t="s">
        <v>25609</v>
      </c>
      <c r="Y8403" s="143"/>
      <c r="Z8403" s="143"/>
      <c r="AA8403" s="143"/>
      <c r="AB8403" s="144"/>
      <c r="AC8403" s="16" t="s">
        <v>21</v>
      </c>
      <c r="AD8403" s="17" t="s">
        <v>3742</v>
      </c>
      <c r="AE8403" s="145" t="s">
        <v>2395</v>
      </c>
      <c r="AF8403" s="146"/>
      <c r="AG8403" s="146"/>
      <c r="AH8403" s="146"/>
      <c r="AI8403" s="147"/>
      <c r="AJ8403" s="148"/>
      <c r="AK8403" s="143"/>
      <c r="AL8403" s="144"/>
      <c r="AM8403" s="22"/>
      <c r="AN8403" s="149"/>
      <c r="AO8403" s="144"/>
      <c r="AP8403" s="148"/>
      <c r="AQ8403" s="144"/>
      <c r="AR8403" s="120"/>
      <c r="AS8403" s="121"/>
      <c r="AT8403" s="120"/>
      <c r="AU8403" s="121"/>
      <c r="AV8403" s="120"/>
      <c r="AW8403" s="121"/>
      <c r="AX8403" s="120"/>
      <c r="AY8403" s="121"/>
      <c r="AZ8403" s="138"/>
    </row>
    <row r="8404" spans="1:52" ht="17.100000000000001" customHeight="1" thickTop="1">
      <c r="A8404" s="109" t="s">
        <v>23856</v>
      </c>
      <c r="B8404" s="28">
        <v>46132</v>
      </c>
      <c r="C8404" s="25"/>
      <c r="D8404" s="13" t="s">
        <v>2348</v>
      </c>
      <c r="E8404" s="111"/>
      <c r="F8404" s="113" t="s">
        <v>23846</v>
      </c>
      <c r="G8404" s="114"/>
      <c r="H8404" s="115"/>
      <c r="I8404" s="24" t="s">
        <v>3931</v>
      </c>
      <c r="J8404" s="116">
        <v>4.5</v>
      </c>
      <c r="K8404" s="118">
        <v>1134000</v>
      </c>
      <c r="L8404" s="119"/>
      <c r="M8404" s="118">
        <f t="shared" ref="M8404" si="12698">K8404*0.1</f>
        <v>113400</v>
      </c>
      <c r="N8404" s="119"/>
      <c r="O8404" s="118">
        <f>31600+3160</f>
        <v>34760</v>
      </c>
      <c r="P8404" s="119"/>
      <c r="Q8404" s="118">
        <v>14760</v>
      </c>
      <c r="R8404" s="119"/>
      <c r="S8404" s="118">
        <v>15950</v>
      </c>
      <c r="T8404" s="119"/>
      <c r="U8404" s="118">
        <f t="shared" ref="U8404" si="12699">SUM(K8404:T8405)</f>
        <v>1312870</v>
      </c>
      <c r="V8404" s="122"/>
      <c r="W8404" s="124"/>
      <c r="X8404" s="126" t="s">
        <v>23847</v>
      </c>
      <c r="Y8404" s="127"/>
      <c r="Z8404" s="127"/>
      <c r="AA8404" s="127"/>
      <c r="AB8404" s="128"/>
      <c r="AC8404" s="15" t="s">
        <v>20</v>
      </c>
      <c r="AD8404" s="129"/>
      <c r="AE8404" s="130"/>
      <c r="AF8404" s="130"/>
      <c r="AG8404" s="130"/>
      <c r="AH8404" s="130"/>
      <c r="AI8404" s="131"/>
      <c r="AJ8404" s="132"/>
      <c r="AK8404" s="127"/>
      <c r="AL8404" s="128"/>
      <c r="AM8404" s="21"/>
      <c r="AN8404" s="133">
        <v>46137</v>
      </c>
      <c r="AO8404" s="134"/>
      <c r="AP8404" s="135">
        <v>1298</v>
      </c>
      <c r="AQ8404" s="136"/>
      <c r="AR8404" s="118">
        <v>1340000</v>
      </c>
      <c r="AS8404" s="119"/>
      <c r="AT8404" s="118">
        <f t="shared" ref="AT8404" si="12700">AR8404*0.1</f>
        <v>134000</v>
      </c>
      <c r="AU8404" s="119"/>
      <c r="AV8404" s="118">
        <v>14760</v>
      </c>
      <c r="AW8404" s="119"/>
      <c r="AX8404" s="118">
        <f t="shared" ref="AX8404" si="12701">SUM(AR8404:AW8404)</f>
        <v>1488760</v>
      </c>
      <c r="AY8404" s="119"/>
      <c r="AZ8404" s="137">
        <v>46143</v>
      </c>
    </row>
    <row r="8405" spans="1:52" ht="17.100000000000001" customHeight="1" thickBot="1">
      <c r="A8405" s="110"/>
      <c r="B8405" s="27" t="s">
        <v>4475</v>
      </c>
      <c r="C8405" s="27">
        <v>70586</v>
      </c>
      <c r="D8405" s="14" t="s">
        <v>1720</v>
      </c>
      <c r="E8405" s="112"/>
      <c r="F8405" s="139" t="s">
        <v>24294</v>
      </c>
      <c r="G8405" s="140"/>
      <c r="H8405" s="141"/>
      <c r="I8405" s="26">
        <v>63296</v>
      </c>
      <c r="J8405" s="117"/>
      <c r="K8405" s="120"/>
      <c r="L8405" s="121"/>
      <c r="M8405" s="120"/>
      <c r="N8405" s="121"/>
      <c r="O8405" s="120"/>
      <c r="P8405" s="121"/>
      <c r="Q8405" s="120"/>
      <c r="R8405" s="121"/>
      <c r="S8405" s="120"/>
      <c r="T8405" s="121"/>
      <c r="U8405" s="120"/>
      <c r="V8405" s="123"/>
      <c r="W8405" s="125"/>
      <c r="X8405" s="142" t="s">
        <v>2776</v>
      </c>
      <c r="Y8405" s="143"/>
      <c r="Z8405" s="143"/>
      <c r="AA8405" s="143"/>
      <c r="AB8405" s="144"/>
      <c r="AC8405" s="16" t="s">
        <v>21</v>
      </c>
      <c r="AD8405" s="17" t="s">
        <v>1962</v>
      </c>
      <c r="AE8405" s="145" t="s">
        <v>24174</v>
      </c>
      <c r="AF8405" s="146"/>
      <c r="AG8405" s="146"/>
      <c r="AH8405" s="146"/>
      <c r="AI8405" s="147"/>
      <c r="AJ8405" s="148"/>
      <c r="AK8405" s="143"/>
      <c r="AL8405" s="144"/>
      <c r="AM8405" s="22"/>
      <c r="AN8405" s="149" t="s">
        <v>2511</v>
      </c>
      <c r="AO8405" s="144"/>
      <c r="AP8405" s="148">
        <v>80098</v>
      </c>
      <c r="AQ8405" s="144"/>
      <c r="AR8405" s="120"/>
      <c r="AS8405" s="121"/>
      <c r="AT8405" s="120"/>
      <c r="AU8405" s="121"/>
      <c r="AV8405" s="120"/>
      <c r="AW8405" s="121"/>
      <c r="AX8405" s="120"/>
      <c r="AY8405" s="121"/>
      <c r="AZ8405" s="138"/>
    </row>
    <row r="8406" spans="1:52" ht="17.100000000000001" customHeight="1" thickTop="1">
      <c r="A8406" s="109" t="s">
        <v>23886</v>
      </c>
      <c r="B8406" s="28">
        <v>46133</v>
      </c>
      <c r="C8406" s="25">
        <v>1938</v>
      </c>
      <c r="D8406" s="13" t="s">
        <v>1845</v>
      </c>
      <c r="E8406" s="111"/>
      <c r="F8406" s="113" t="s">
        <v>16633</v>
      </c>
      <c r="G8406" s="114"/>
      <c r="H8406" s="115"/>
      <c r="I8406" s="24"/>
      <c r="J8406" s="116">
        <v>4.5</v>
      </c>
      <c r="K8406" s="118">
        <v>583000</v>
      </c>
      <c r="L8406" s="119"/>
      <c r="M8406" s="118">
        <f t="shared" ref="M8406" si="12702">K8406*0.1</f>
        <v>58300</v>
      </c>
      <c r="N8406" s="119"/>
      <c r="O8406" s="118">
        <v>0</v>
      </c>
      <c r="P8406" s="119"/>
      <c r="Q8406" s="118">
        <v>7150</v>
      </c>
      <c r="R8406" s="119"/>
      <c r="S8406" s="118">
        <v>15950</v>
      </c>
      <c r="T8406" s="119"/>
      <c r="U8406" s="118">
        <f t="shared" ref="U8406" si="12703">SUM(K8406:T8407)</f>
        <v>664400</v>
      </c>
      <c r="V8406" s="122"/>
      <c r="W8406" s="124"/>
      <c r="X8406" s="126" t="s">
        <v>24598</v>
      </c>
      <c r="Y8406" s="127"/>
      <c r="Z8406" s="127"/>
      <c r="AA8406" s="127"/>
      <c r="AB8406" s="128"/>
      <c r="AC8406" s="15" t="s">
        <v>20</v>
      </c>
      <c r="AD8406" s="129" t="s">
        <v>4435</v>
      </c>
      <c r="AE8406" s="130"/>
      <c r="AF8406" s="130"/>
      <c r="AG8406" s="130"/>
      <c r="AH8406" s="130"/>
      <c r="AI8406" s="131"/>
      <c r="AJ8406" s="132"/>
      <c r="AK8406" s="127"/>
      <c r="AL8406" s="128"/>
      <c r="AM8406" s="21"/>
      <c r="AN8406" s="133">
        <v>46144</v>
      </c>
      <c r="AO8406" s="134"/>
      <c r="AP8406" s="135">
        <v>1299</v>
      </c>
      <c r="AQ8406" s="136"/>
      <c r="AR8406" s="118">
        <v>605000</v>
      </c>
      <c r="AS8406" s="119"/>
      <c r="AT8406" s="118">
        <f t="shared" ref="AT8406" si="12704">AR8406*0.1</f>
        <v>60500</v>
      </c>
      <c r="AU8406" s="119"/>
      <c r="AV8406" s="118">
        <v>7150</v>
      </c>
      <c r="AW8406" s="119"/>
      <c r="AX8406" s="118">
        <f t="shared" ref="AX8406" si="12705">SUM(AR8406:AW8406)</f>
        <v>672650</v>
      </c>
      <c r="AY8406" s="119"/>
      <c r="AZ8406" s="137">
        <v>46154</v>
      </c>
    </row>
    <row r="8407" spans="1:52" ht="17.100000000000001" customHeight="1" thickBot="1">
      <c r="A8407" s="110"/>
      <c r="B8407" s="27" t="s">
        <v>2131</v>
      </c>
      <c r="C8407" s="27">
        <v>3294</v>
      </c>
      <c r="D8407" s="14" t="s">
        <v>275</v>
      </c>
      <c r="E8407" s="112"/>
      <c r="F8407" s="139" t="s">
        <v>23902</v>
      </c>
      <c r="G8407" s="140"/>
      <c r="H8407" s="141"/>
      <c r="I8407" s="26">
        <v>56098</v>
      </c>
      <c r="J8407" s="117"/>
      <c r="K8407" s="120"/>
      <c r="L8407" s="121"/>
      <c r="M8407" s="120"/>
      <c r="N8407" s="121"/>
      <c r="O8407" s="120"/>
      <c r="P8407" s="121"/>
      <c r="Q8407" s="120"/>
      <c r="R8407" s="121"/>
      <c r="S8407" s="120"/>
      <c r="T8407" s="121"/>
      <c r="U8407" s="120"/>
      <c r="V8407" s="123"/>
      <c r="W8407" s="125"/>
      <c r="X8407" s="142" t="s">
        <v>2482</v>
      </c>
      <c r="Y8407" s="143"/>
      <c r="Z8407" s="143"/>
      <c r="AA8407" s="143"/>
      <c r="AB8407" s="144"/>
      <c r="AC8407" s="16" t="s">
        <v>21</v>
      </c>
      <c r="AD8407" s="17" t="s">
        <v>24588</v>
      </c>
      <c r="AE8407" s="145" t="s">
        <v>171</v>
      </c>
      <c r="AF8407" s="146"/>
      <c r="AG8407" s="146"/>
      <c r="AH8407" s="146"/>
      <c r="AI8407" s="147"/>
      <c r="AJ8407" s="148"/>
      <c r="AK8407" s="143"/>
      <c r="AL8407" s="144"/>
      <c r="AM8407" s="22"/>
      <c r="AN8407" s="149" t="s">
        <v>7284</v>
      </c>
      <c r="AO8407" s="144"/>
      <c r="AP8407" s="148">
        <v>60094</v>
      </c>
      <c r="AQ8407" s="144"/>
      <c r="AR8407" s="120"/>
      <c r="AS8407" s="121"/>
      <c r="AT8407" s="120"/>
      <c r="AU8407" s="121"/>
      <c r="AV8407" s="120"/>
      <c r="AW8407" s="121"/>
      <c r="AX8407" s="120"/>
      <c r="AY8407" s="121"/>
      <c r="AZ8407" s="138"/>
    </row>
    <row r="8408" spans="1:52" ht="17.100000000000001" customHeight="1" thickTop="1">
      <c r="A8408" s="109" t="s">
        <v>23887</v>
      </c>
      <c r="B8408" s="28">
        <v>46133</v>
      </c>
      <c r="C8408" s="25">
        <v>1938</v>
      </c>
      <c r="D8408" s="13" t="s">
        <v>1714</v>
      </c>
      <c r="E8408" s="111"/>
      <c r="F8408" s="113" t="s">
        <v>15949</v>
      </c>
      <c r="G8408" s="114"/>
      <c r="H8408" s="115"/>
      <c r="I8408" s="24"/>
      <c r="J8408" s="116">
        <v>4.5</v>
      </c>
      <c r="K8408" s="118">
        <v>373000</v>
      </c>
      <c r="L8408" s="119"/>
      <c r="M8408" s="118">
        <f t="shared" ref="M8408" si="12706">K8408*0.1</f>
        <v>37300</v>
      </c>
      <c r="N8408" s="119"/>
      <c r="O8408" s="118">
        <v>0</v>
      </c>
      <c r="P8408" s="119"/>
      <c r="Q8408" s="118">
        <v>7140</v>
      </c>
      <c r="R8408" s="119"/>
      <c r="S8408" s="118">
        <v>15950</v>
      </c>
      <c r="T8408" s="119"/>
      <c r="U8408" s="118">
        <f t="shared" ref="U8408" si="12707">SUM(K8408:T8409)</f>
        <v>433390</v>
      </c>
      <c r="V8408" s="122"/>
      <c r="W8408" s="124"/>
      <c r="X8408" s="126" t="s">
        <v>24274</v>
      </c>
      <c r="Y8408" s="127"/>
      <c r="Z8408" s="127"/>
      <c r="AA8408" s="127"/>
      <c r="AB8408" s="128"/>
      <c r="AC8408" s="15" t="s">
        <v>20</v>
      </c>
      <c r="AD8408" s="129"/>
      <c r="AE8408" s="130"/>
      <c r="AF8408" s="130"/>
      <c r="AG8408" s="130"/>
      <c r="AH8408" s="130"/>
      <c r="AI8408" s="131"/>
      <c r="AJ8408" s="132"/>
      <c r="AK8408" s="127"/>
      <c r="AL8408" s="128"/>
      <c r="AM8408" s="21"/>
      <c r="AN8408" s="133">
        <v>46137</v>
      </c>
      <c r="AO8408" s="134"/>
      <c r="AP8408" s="135">
        <v>1298</v>
      </c>
      <c r="AQ8408" s="136"/>
      <c r="AR8408" s="118">
        <v>420000</v>
      </c>
      <c r="AS8408" s="119"/>
      <c r="AT8408" s="118">
        <f t="shared" ref="AT8408" si="12708">AR8408*0.1</f>
        <v>42000</v>
      </c>
      <c r="AU8408" s="119"/>
      <c r="AV8408" s="118">
        <v>7140</v>
      </c>
      <c r="AW8408" s="119"/>
      <c r="AX8408" s="118">
        <f t="shared" ref="AX8408" si="12709">SUM(AR8408:AW8408)</f>
        <v>469140</v>
      </c>
      <c r="AY8408" s="119"/>
      <c r="AZ8408" s="137">
        <v>46140</v>
      </c>
    </row>
    <row r="8409" spans="1:52" ht="17.100000000000001" customHeight="1" thickBot="1">
      <c r="A8409" s="110"/>
      <c r="B8409" s="27" t="s">
        <v>2131</v>
      </c>
      <c r="C8409" s="27">
        <v>3314</v>
      </c>
      <c r="D8409" s="14" t="s">
        <v>1592</v>
      </c>
      <c r="E8409" s="112"/>
      <c r="F8409" s="139" t="s">
        <v>23903</v>
      </c>
      <c r="G8409" s="140"/>
      <c r="H8409" s="141"/>
      <c r="I8409" s="26">
        <v>43260</v>
      </c>
      <c r="J8409" s="117"/>
      <c r="K8409" s="120"/>
      <c r="L8409" s="121"/>
      <c r="M8409" s="120"/>
      <c r="N8409" s="121"/>
      <c r="O8409" s="120"/>
      <c r="P8409" s="121"/>
      <c r="Q8409" s="120"/>
      <c r="R8409" s="121"/>
      <c r="S8409" s="120"/>
      <c r="T8409" s="121"/>
      <c r="U8409" s="120"/>
      <c r="V8409" s="123"/>
      <c r="W8409" s="125"/>
      <c r="X8409" s="142" t="s">
        <v>8705</v>
      </c>
      <c r="Y8409" s="143"/>
      <c r="Z8409" s="143"/>
      <c r="AA8409" s="143"/>
      <c r="AB8409" s="144"/>
      <c r="AC8409" s="16" t="s">
        <v>21</v>
      </c>
      <c r="AD8409" s="17" t="s">
        <v>24261</v>
      </c>
      <c r="AE8409" s="145" t="s">
        <v>24178</v>
      </c>
      <c r="AF8409" s="146"/>
      <c r="AG8409" s="146"/>
      <c r="AH8409" s="146"/>
      <c r="AI8409" s="147"/>
      <c r="AJ8409" s="148"/>
      <c r="AK8409" s="143"/>
      <c r="AL8409" s="144"/>
      <c r="AM8409" s="22"/>
      <c r="AN8409" s="149" t="s">
        <v>2511</v>
      </c>
      <c r="AO8409" s="144"/>
      <c r="AP8409" s="148">
        <v>60431</v>
      </c>
      <c r="AQ8409" s="144"/>
      <c r="AR8409" s="120"/>
      <c r="AS8409" s="121"/>
      <c r="AT8409" s="120"/>
      <c r="AU8409" s="121"/>
      <c r="AV8409" s="120"/>
      <c r="AW8409" s="121"/>
      <c r="AX8409" s="120"/>
      <c r="AY8409" s="121"/>
      <c r="AZ8409" s="138"/>
    </row>
    <row r="8410" spans="1:52" ht="17.100000000000001" customHeight="1" thickTop="1">
      <c r="A8410" s="109" t="s">
        <v>23888</v>
      </c>
      <c r="B8410" s="28">
        <v>46133</v>
      </c>
      <c r="C8410" s="25">
        <v>1938</v>
      </c>
      <c r="D8410" s="13" t="s">
        <v>23941</v>
      </c>
      <c r="E8410" s="111"/>
      <c r="F8410" s="113" t="s">
        <v>15533</v>
      </c>
      <c r="G8410" s="114"/>
      <c r="H8410" s="115"/>
      <c r="I8410" s="24"/>
      <c r="J8410" s="116">
        <v>3.5</v>
      </c>
      <c r="K8410" s="118">
        <v>475000</v>
      </c>
      <c r="L8410" s="119"/>
      <c r="M8410" s="118">
        <f t="shared" ref="M8410" si="12710">K8410*0.1</f>
        <v>47500</v>
      </c>
      <c r="N8410" s="119"/>
      <c r="O8410" s="118">
        <v>0</v>
      </c>
      <c r="P8410" s="119"/>
      <c r="Q8410" s="118">
        <v>6550</v>
      </c>
      <c r="R8410" s="119"/>
      <c r="S8410" s="118">
        <v>15950</v>
      </c>
      <c r="T8410" s="119"/>
      <c r="U8410" s="118">
        <f t="shared" ref="U8410" si="12711">SUM(K8410:T8411)</f>
        <v>545000</v>
      </c>
      <c r="V8410" s="122"/>
      <c r="W8410" s="124"/>
      <c r="X8410" s="126" t="s">
        <v>24589</v>
      </c>
      <c r="Y8410" s="127"/>
      <c r="Z8410" s="127"/>
      <c r="AA8410" s="127"/>
      <c r="AB8410" s="128"/>
      <c r="AC8410" s="15" t="s">
        <v>20</v>
      </c>
      <c r="AD8410" s="129" t="s">
        <v>23942</v>
      </c>
      <c r="AE8410" s="130"/>
      <c r="AF8410" s="130"/>
      <c r="AG8410" s="130"/>
      <c r="AH8410" s="130"/>
      <c r="AI8410" s="131"/>
      <c r="AJ8410" s="132"/>
      <c r="AK8410" s="127"/>
      <c r="AL8410" s="128"/>
      <c r="AM8410" s="21"/>
      <c r="AN8410" s="133">
        <v>46137</v>
      </c>
      <c r="AO8410" s="134"/>
      <c r="AP8410" s="135">
        <v>1298</v>
      </c>
      <c r="AQ8410" s="136"/>
      <c r="AR8410" s="118">
        <v>550000</v>
      </c>
      <c r="AS8410" s="119"/>
      <c r="AT8410" s="118">
        <f t="shared" ref="AT8410" si="12712">AR8410*0.1</f>
        <v>55000</v>
      </c>
      <c r="AU8410" s="119"/>
      <c r="AV8410" s="118">
        <v>6550</v>
      </c>
      <c r="AW8410" s="119"/>
      <c r="AX8410" s="118">
        <f t="shared" ref="AX8410" si="12713">SUM(AR8410:AW8410)</f>
        <v>611550</v>
      </c>
      <c r="AY8410" s="119"/>
      <c r="AZ8410" s="137">
        <v>46140</v>
      </c>
    </row>
    <row r="8411" spans="1:52" ht="17.100000000000001" customHeight="1" thickBot="1">
      <c r="A8411" s="110"/>
      <c r="B8411" s="27" t="s">
        <v>2131</v>
      </c>
      <c r="C8411" s="27">
        <v>3347</v>
      </c>
      <c r="D8411" s="14" t="s">
        <v>23940</v>
      </c>
      <c r="E8411" s="112"/>
      <c r="F8411" s="139" t="s">
        <v>23904</v>
      </c>
      <c r="G8411" s="140"/>
      <c r="H8411" s="141"/>
      <c r="I8411" s="26">
        <v>49486</v>
      </c>
      <c r="J8411" s="117"/>
      <c r="K8411" s="120"/>
      <c r="L8411" s="121"/>
      <c r="M8411" s="120"/>
      <c r="N8411" s="121"/>
      <c r="O8411" s="120"/>
      <c r="P8411" s="121"/>
      <c r="Q8411" s="120"/>
      <c r="R8411" s="121"/>
      <c r="S8411" s="120"/>
      <c r="T8411" s="121"/>
      <c r="U8411" s="120"/>
      <c r="V8411" s="123"/>
      <c r="W8411" s="125"/>
      <c r="X8411" s="142" t="s">
        <v>7450</v>
      </c>
      <c r="Y8411" s="143"/>
      <c r="Z8411" s="143"/>
      <c r="AA8411" s="143"/>
      <c r="AB8411" s="144"/>
      <c r="AC8411" s="16" t="s">
        <v>21</v>
      </c>
      <c r="AD8411" s="17" t="s">
        <v>24588</v>
      </c>
      <c r="AE8411" s="145" t="s">
        <v>1670</v>
      </c>
      <c r="AF8411" s="146"/>
      <c r="AG8411" s="146"/>
      <c r="AH8411" s="146"/>
      <c r="AI8411" s="147"/>
      <c r="AJ8411" s="148"/>
      <c r="AK8411" s="143"/>
      <c r="AL8411" s="144"/>
      <c r="AM8411" s="22"/>
      <c r="AN8411" s="149" t="s">
        <v>2511</v>
      </c>
      <c r="AO8411" s="144"/>
      <c r="AP8411" s="148">
        <v>60438</v>
      </c>
      <c r="AQ8411" s="144"/>
      <c r="AR8411" s="120"/>
      <c r="AS8411" s="121"/>
      <c r="AT8411" s="120"/>
      <c r="AU8411" s="121"/>
      <c r="AV8411" s="120"/>
      <c r="AW8411" s="121"/>
      <c r="AX8411" s="120"/>
      <c r="AY8411" s="121"/>
      <c r="AZ8411" s="138"/>
    </row>
    <row r="8412" spans="1:52" ht="17.100000000000001" customHeight="1" thickTop="1">
      <c r="A8412" s="109" t="s">
        <v>23889</v>
      </c>
      <c r="B8412" s="28">
        <v>46133</v>
      </c>
      <c r="C8412" s="25">
        <v>1938</v>
      </c>
      <c r="D8412" s="13" t="s">
        <v>23943</v>
      </c>
      <c r="E8412" s="111"/>
      <c r="F8412" s="113" t="s">
        <v>23905</v>
      </c>
      <c r="G8412" s="114"/>
      <c r="H8412" s="115"/>
      <c r="I8412" s="24" t="s">
        <v>23944</v>
      </c>
      <c r="J8412" s="116">
        <v>4</v>
      </c>
      <c r="K8412" s="118">
        <v>513000</v>
      </c>
      <c r="L8412" s="119"/>
      <c r="M8412" s="118">
        <f t="shared" ref="M8412" si="12714">K8412*0.1</f>
        <v>51300</v>
      </c>
      <c r="N8412" s="119"/>
      <c r="O8412" s="118">
        <v>0</v>
      </c>
      <c r="P8412" s="119"/>
      <c r="Q8412" s="118">
        <v>9910</v>
      </c>
      <c r="R8412" s="119"/>
      <c r="S8412" s="118">
        <v>15950</v>
      </c>
      <c r="T8412" s="119"/>
      <c r="U8412" s="118">
        <f t="shared" ref="U8412" si="12715">SUM(K8412:T8413)</f>
        <v>590160</v>
      </c>
      <c r="V8412" s="122"/>
      <c r="W8412" s="124"/>
      <c r="X8412" s="126" t="s">
        <v>24276</v>
      </c>
      <c r="Y8412" s="127"/>
      <c r="Z8412" s="127"/>
      <c r="AA8412" s="127"/>
      <c r="AB8412" s="128"/>
      <c r="AC8412" s="15" t="s">
        <v>20</v>
      </c>
      <c r="AD8412" s="129" t="s">
        <v>23945</v>
      </c>
      <c r="AE8412" s="130"/>
      <c r="AF8412" s="130"/>
      <c r="AG8412" s="130"/>
      <c r="AH8412" s="130"/>
      <c r="AI8412" s="131"/>
      <c r="AJ8412" s="132"/>
      <c r="AK8412" s="127"/>
      <c r="AL8412" s="128"/>
      <c r="AM8412" s="21"/>
      <c r="AN8412" s="133">
        <v>46137</v>
      </c>
      <c r="AO8412" s="134"/>
      <c r="AP8412" s="135">
        <v>1298</v>
      </c>
      <c r="AQ8412" s="136"/>
      <c r="AR8412" s="118">
        <v>600000</v>
      </c>
      <c r="AS8412" s="119"/>
      <c r="AT8412" s="118">
        <f t="shared" ref="AT8412" si="12716">AR8412*0.1</f>
        <v>60000</v>
      </c>
      <c r="AU8412" s="119"/>
      <c r="AV8412" s="118">
        <v>9910</v>
      </c>
      <c r="AW8412" s="119"/>
      <c r="AX8412" s="118">
        <f t="shared" ref="AX8412" si="12717">SUM(AR8412:AW8412)</f>
        <v>669910</v>
      </c>
      <c r="AY8412" s="119"/>
      <c r="AZ8412" s="137">
        <v>46140</v>
      </c>
    </row>
    <row r="8413" spans="1:52" ht="16.5" customHeight="1" thickBot="1">
      <c r="A8413" s="110"/>
      <c r="B8413" s="27" t="s">
        <v>2131</v>
      </c>
      <c r="C8413" s="27">
        <v>3467</v>
      </c>
      <c r="D8413" s="14" t="s">
        <v>1720</v>
      </c>
      <c r="E8413" s="112"/>
      <c r="F8413" s="139" t="s">
        <v>23906</v>
      </c>
      <c r="G8413" s="140"/>
      <c r="H8413" s="141"/>
      <c r="I8413" s="26">
        <v>57200</v>
      </c>
      <c r="J8413" s="117"/>
      <c r="K8413" s="120"/>
      <c r="L8413" s="121"/>
      <c r="M8413" s="120"/>
      <c r="N8413" s="121"/>
      <c r="O8413" s="120"/>
      <c r="P8413" s="121"/>
      <c r="Q8413" s="120"/>
      <c r="R8413" s="121"/>
      <c r="S8413" s="120"/>
      <c r="T8413" s="121"/>
      <c r="U8413" s="120"/>
      <c r="V8413" s="123"/>
      <c r="W8413" s="125"/>
      <c r="X8413" s="142" t="s">
        <v>24269</v>
      </c>
      <c r="Y8413" s="143"/>
      <c r="Z8413" s="143"/>
      <c r="AA8413" s="143"/>
      <c r="AB8413" s="144"/>
      <c r="AC8413" s="16" t="s">
        <v>21</v>
      </c>
      <c r="AD8413" s="17" t="s">
        <v>24261</v>
      </c>
      <c r="AE8413" s="145" t="s">
        <v>24277</v>
      </c>
      <c r="AF8413" s="146"/>
      <c r="AG8413" s="146"/>
      <c r="AH8413" s="146"/>
      <c r="AI8413" s="147"/>
      <c r="AJ8413" s="148"/>
      <c r="AK8413" s="143"/>
      <c r="AL8413" s="144"/>
      <c r="AM8413" s="22"/>
      <c r="AN8413" s="149" t="s">
        <v>2511</v>
      </c>
      <c r="AO8413" s="144"/>
      <c r="AP8413" s="148">
        <v>60434</v>
      </c>
      <c r="AQ8413" s="144"/>
      <c r="AR8413" s="120"/>
      <c r="AS8413" s="121"/>
      <c r="AT8413" s="120"/>
      <c r="AU8413" s="121"/>
      <c r="AV8413" s="120"/>
      <c r="AW8413" s="121"/>
      <c r="AX8413" s="120"/>
      <c r="AY8413" s="121"/>
      <c r="AZ8413" s="138"/>
    </row>
    <row r="8414" spans="1:52" ht="17.100000000000001" customHeight="1" thickTop="1">
      <c r="A8414" s="109" t="s">
        <v>23890</v>
      </c>
      <c r="B8414" s="28">
        <v>46133</v>
      </c>
      <c r="C8414" s="25">
        <v>1938</v>
      </c>
      <c r="D8414" s="13" t="s">
        <v>23946</v>
      </c>
      <c r="E8414" s="111"/>
      <c r="F8414" s="113" t="s">
        <v>23907</v>
      </c>
      <c r="G8414" s="114"/>
      <c r="H8414" s="115"/>
      <c r="I8414" s="24" t="s">
        <v>23947</v>
      </c>
      <c r="J8414" s="116">
        <v>4</v>
      </c>
      <c r="K8414" s="118">
        <v>451000</v>
      </c>
      <c r="L8414" s="119"/>
      <c r="M8414" s="118">
        <f t="shared" ref="M8414" si="12718">K8414*0.1</f>
        <v>45100</v>
      </c>
      <c r="N8414" s="119"/>
      <c r="O8414" s="118">
        <v>0</v>
      </c>
      <c r="P8414" s="119"/>
      <c r="Q8414" s="118">
        <v>9790</v>
      </c>
      <c r="R8414" s="119"/>
      <c r="S8414" s="118">
        <v>15950</v>
      </c>
      <c r="T8414" s="119"/>
      <c r="U8414" s="118">
        <f t="shared" ref="U8414" si="12719">SUM(K8414:T8415)</f>
        <v>521840</v>
      </c>
      <c r="V8414" s="122"/>
      <c r="W8414" s="124"/>
      <c r="X8414" s="126" t="s">
        <v>24278</v>
      </c>
      <c r="Y8414" s="127"/>
      <c r="Z8414" s="127"/>
      <c r="AA8414" s="127"/>
      <c r="AB8414" s="128"/>
      <c r="AC8414" s="15" t="s">
        <v>20</v>
      </c>
      <c r="AD8414" s="129" t="s">
        <v>23945</v>
      </c>
      <c r="AE8414" s="130"/>
      <c r="AF8414" s="130"/>
      <c r="AG8414" s="130"/>
      <c r="AH8414" s="130"/>
      <c r="AI8414" s="131"/>
      <c r="AJ8414" s="132"/>
      <c r="AK8414" s="127"/>
      <c r="AL8414" s="128"/>
      <c r="AM8414" s="21"/>
      <c r="AN8414" s="133">
        <v>46137</v>
      </c>
      <c r="AO8414" s="134"/>
      <c r="AP8414" s="135">
        <v>1298</v>
      </c>
      <c r="AQ8414" s="136"/>
      <c r="AR8414" s="118">
        <v>570000</v>
      </c>
      <c r="AS8414" s="119"/>
      <c r="AT8414" s="118">
        <f t="shared" ref="AT8414" si="12720">AR8414*0.1</f>
        <v>57000</v>
      </c>
      <c r="AU8414" s="119"/>
      <c r="AV8414" s="118">
        <v>9790</v>
      </c>
      <c r="AW8414" s="119"/>
      <c r="AX8414" s="118">
        <f t="shared" ref="AX8414" si="12721">SUM(AR8414:AW8414)</f>
        <v>636790</v>
      </c>
      <c r="AY8414" s="119"/>
      <c r="AZ8414" s="137">
        <v>46143</v>
      </c>
    </row>
    <row r="8415" spans="1:52" ht="17.100000000000001" customHeight="1" thickBot="1">
      <c r="A8415" s="110"/>
      <c r="B8415" s="27" t="s">
        <v>2131</v>
      </c>
      <c r="C8415" s="27">
        <v>3547</v>
      </c>
      <c r="D8415" s="14" t="s">
        <v>2601</v>
      </c>
      <c r="E8415" s="112"/>
      <c r="F8415" s="139" t="s">
        <v>23908</v>
      </c>
      <c r="G8415" s="140"/>
      <c r="H8415" s="141"/>
      <c r="I8415" s="26">
        <v>44539</v>
      </c>
      <c r="J8415" s="117"/>
      <c r="K8415" s="120"/>
      <c r="L8415" s="121"/>
      <c r="M8415" s="120"/>
      <c r="N8415" s="121"/>
      <c r="O8415" s="120"/>
      <c r="P8415" s="121"/>
      <c r="Q8415" s="120"/>
      <c r="R8415" s="121"/>
      <c r="S8415" s="120"/>
      <c r="T8415" s="121"/>
      <c r="U8415" s="120"/>
      <c r="V8415" s="123"/>
      <c r="W8415" s="125"/>
      <c r="X8415" s="142" t="s">
        <v>24269</v>
      </c>
      <c r="Y8415" s="143"/>
      <c r="Z8415" s="143"/>
      <c r="AA8415" s="143"/>
      <c r="AB8415" s="144"/>
      <c r="AC8415" s="16" t="s">
        <v>21</v>
      </c>
      <c r="AD8415" s="17" t="s">
        <v>24261</v>
      </c>
      <c r="AE8415" s="145" t="s">
        <v>24277</v>
      </c>
      <c r="AF8415" s="146"/>
      <c r="AG8415" s="146"/>
      <c r="AH8415" s="146"/>
      <c r="AI8415" s="147"/>
      <c r="AJ8415" s="148"/>
      <c r="AK8415" s="143"/>
      <c r="AL8415" s="144"/>
      <c r="AM8415" s="22"/>
      <c r="AN8415" s="149" t="s">
        <v>6748</v>
      </c>
      <c r="AO8415" s="144"/>
      <c r="AP8415" s="148">
        <v>60450</v>
      </c>
      <c r="AQ8415" s="144"/>
      <c r="AR8415" s="120"/>
      <c r="AS8415" s="121"/>
      <c r="AT8415" s="120"/>
      <c r="AU8415" s="121"/>
      <c r="AV8415" s="120"/>
      <c r="AW8415" s="121"/>
      <c r="AX8415" s="120"/>
      <c r="AY8415" s="121"/>
      <c r="AZ8415" s="138"/>
    </row>
    <row r="8416" spans="1:52" ht="17.100000000000001" customHeight="1" thickTop="1">
      <c r="A8416" s="109" t="s">
        <v>23891</v>
      </c>
      <c r="B8416" s="28">
        <v>46133</v>
      </c>
      <c r="C8416" s="25">
        <v>1938</v>
      </c>
      <c r="D8416" s="13" t="s">
        <v>23948</v>
      </c>
      <c r="E8416" s="111"/>
      <c r="F8416" s="113" t="s">
        <v>23909</v>
      </c>
      <c r="G8416" s="114"/>
      <c r="H8416" s="115"/>
      <c r="I8416" s="24"/>
      <c r="J8416" s="116">
        <v>4</v>
      </c>
      <c r="K8416" s="118">
        <v>1107000</v>
      </c>
      <c r="L8416" s="119"/>
      <c r="M8416" s="118">
        <f t="shared" ref="M8416" si="12722">K8416*0.1</f>
        <v>110700</v>
      </c>
      <c r="N8416" s="119"/>
      <c r="O8416" s="118">
        <v>0</v>
      </c>
      <c r="P8416" s="119"/>
      <c r="Q8416" s="118">
        <v>11930</v>
      </c>
      <c r="R8416" s="119"/>
      <c r="S8416" s="118">
        <v>15950</v>
      </c>
      <c r="T8416" s="119"/>
      <c r="U8416" s="118">
        <f t="shared" ref="U8416" si="12723">SUM(K8416:T8417)</f>
        <v>1245580</v>
      </c>
      <c r="V8416" s="122"/>
      <c r="W8416" s="124"/>
      <c r="X8416" s="126" t="s">
        <v>24268</v>
      </c>
      <c r="Y8416" s="127"/>
      <c r="Z8416" s="127"/>
      <c r="AA8416" s="127"/>
      <c r="AB8416" s="128"/>
      <c r="AC8416" s="15" t="s">
        <v>20</v>
      </c>
      <c r="AD8416" s="129"/>
      <c r="AE8416" s="130"/>
      <c r="AF8416" s="130"/>
      <c r="AG8416" s="130"/>
      <c r="AH8416" s="130"/>
      <c r="AI8416" s="131"/>
      <c r="AJ8416" s="132"/>
      <c r="AK8416" s="127"/>
      <c r="AL8416" s="128"/>
      <c r="AM8416" s="21"/>
      <c r="AN8416" s="133">
        <v>46137</v>
      </c>
      <c r="AO8416" s="134"/>
      <c r="AP8416" s="135">
        <v>1298</v>
      </c>
      <c r="AQ8416" s="136"/>
      <c r="AR8416" s="118">
        <v>1220000</v>
      </c>
      <c r="AS8416" s="119"/>
      <c r="AT8416" s="118">
        <f t="shared" ref="AT8416" si="12724">AR8416*0.1</f>
        <v>122000</v>
      </c>
      <c r="AU8416" s="119"/>
      <c r="AV8416" s="118">
        <v>11930</v>
      </c>
      <c r="AW8416" s="119"/>
      <c r="AX8416" s="118">
        <f t="shared" ref="AX8416" si="12725">SUM(AR8416:AW8416)</f>
        <v>1353930</v>
      </c>
      <c r="AY8416" s="119"/>
      <c r="AZ8416" s="137">
        <v>46154</v>
      </c>
    </row>
    <row r="8417" spans="1:52" ht="17.100000000000001" customHeight="1" thickBot="1">
      <c r="A8417" s="110"/>
      <c r="B8417" s="27" t="s">
        <v>2131</v>
      </c>
      <c r="C8417" s="27">
        <v>5004</v>
      </c>
      <c r="D8417" s="14" t="s">
        <v>23949</v>
      </c>
      <c r="E8417" s="112"/>
      <c r="F8417" s="139" t="s">
        <v>23950</v>
      </c>
      <c r="G8417" s="140"/>
      <c r="H8417" s="141"/>
      <c r="I8417" s="26">
        <v>34593</v>
      </c>
      <c r="J8417" s="117"/>
      <c r="K8417" s="120"/>
      <c r="L8417" s="121"/>
      <c r="M8417" s="120"/>
      <c r="N8417" s="121"/>
      <c r="O8417" s="120"/>
      <c r="P8417" s="121"/>
      <c r="Q8417" s="120"/>
      <c r="R8417" s="121"/>
      <c r="S8417" s="120"/>
      <c r="T8417" s="121"/>
      <c r="U8417" s="120"/>
      <c r="V8417" s="123"/>
      <c r="W8417" s="125"/>
      <c r="X8417" s="142" t="s">
        <v>24269</v>
      </c>
      <c r="Y8417" s="143"/>
      <c r="Z8417" s="143"/>
      <c r="AA8417" s="143"/>
      <c r="AB8417" s="144"/>
      <c r="AC8417" s="16" t="s">
        <v>21</v>
      </c>
      <c r="AD8417" s="17" t="s">
        <v>24261</v>
      </c>
      <c r="AE8417" s="145"/>
      <c r="AF8417" s="146"/>
      <c r="AG8417" s="146"/>
      <c r="AH8417" s="146"/>
      <c r="AI8417" s="147"/>
      <c r="AJ8417" s="148"/>
      <c r="AK8417" s="143"/>
      <c r="AL8417" s="144"/>
      <c r="AM8417" s="22"/>
      <c r="AN8417" s="149" t="s">
        <v>2511</v>
      </c>
      <c r="AO8417" s="144"/>
      <c r="AP8417" s="148">
        <v>80386</v>
      </c>
      <c r="AQ8417" s="144"/>
      <c r="AR8417" s="120"/>
      <c r="AS8417" s="121"/>
      <c r="AT8417" s="120"/>
      <c r="AU8417" s="121"/>
      <c r="AV8417" s="120"/>
      <c r="AW8417" s="121"/>
      <c r="AX8417" s="120"/>
      <c r="AY8417" s="121"/>
      <c r="AZ8417" s="138"/>
    </row>
    <row r="8418" spans="1:52" ht="17.100000000000001" customHeight="1" thickTop="1">
      <c r="A8418" s="109" t="s">
        <v>23892</v>
      </c>
      <c r="B8418" s="28">
        <v>46133</v>
      </c>
      <c r="C8418" s="25">
        <v>1938</v>
      </c>
      <c r="D8418" s="13" t="s">
        <v>23951</v>
      </c>
      <c r="E8418" s="111"/>
      <c r="F8418" s="113" t="s">
        <v>23910</v>
      </c>
      <c r="G8418" s="114"/>
      <c r="H8418" s="115"/>
      <c r="I8418" s="24"/>
      <c r="J8418" s="116">
        <v>4.5</v>
      </c>
      <c r="K8418" s="118">
        <v>735000</v>
      </c>
      <c r="L8418" s="119"/>
      <c r="M8418" s="118">
        <f t="shared" ref="M8418" si="12726">K8418*0.1</f>
        <v>73500</v>
      </c>
      <c r="N8418" s="119"/>
      <c r="O8418" s="118">
        <v>0</v>
      </c>
      <c r="P8418" s="119"/>
      <c r="Q8418" s="118">
        <v>19330</v>
      </c>
      <c r="R8418" s="119"/>
      <c r="S8418" s="118">
        <v>19250</v>
      </c>
      <c r="T8418" s="119"/>
      <c r="U8418" s="118">
        <f t="shared" ref="U8418" si="12727">SUM(K8418:T8419)</f>
        <v>847080</v>
      </c>
      <c r="V8418" s="122"/>
      <c r="W8418" s="124"/>
      <c r="X8418" s="126" t="s">
        <v>24803</v>
      </c>
      <c r="Y8418" s="127"/>
      <c r="Z8418" s="127"/>
      <c r="AA8418" s="127"/>
      <c r="AB8418" s="128"/>
      <c r="AC8418" s="15" t="s">
        <v>20</v>
      </c>
      <c r="AD8418" s="129"/>
      <c r="AE8418" s="130"/>
      <c r="AF8418" s="130"/>
      <c r="AG8418" s="130"/>
      <c r="AH8418" s="130"/>
      <c r="AI8418" s="131"/>
      <c r="AJ8418" s="132"/>
      <c r="AK8418" s="127"/>
      <c r="AL8418" s="128"/>
      <c r="AM8418" s="21"/>
      <c r="AN8418" s="133">
        <v>46144</v>
      </c>
      <c r="AO8418" s="134"/>
      <c r="AP8418" s="135">
        <v>1299</v>
      </c>
      <c r="AQ8418" s="136"/>
      <c r="AR8418" s="118">
        <v>855000</v>
      </c>
      <c r="AS8418" s="119"/>
      <c r="AT8418" s="118">
        <f t="shared" ref="AT8418" si="12728">AR8418*0.1</f>
        <v>85500</v>
      </c>
      <c r="AU8418" s="119"/>
      <c r="AV8418" s="118">
        <v>19330</v>
      </c>
      <c r="AW8418" s="119"/>
      <c r="AX8418" s="118">
        <f t="shared" ref="AX8418" si="12729">SUM(AR8418:AW8418)</f>
        <v>959830</v>
      </c>
      <c r="AY8418" s="119"/>
      <c r="AZ8418" s="137">
        <v>46154</v>
      </c>
    </row>
    <row r="8419" spans="1:52" ht="17.100000000000001" customHeight="1" thickBot="1">
      <c r="A8419" s="110"/>
      <c r="B8419" s="27" t="s">
        <v>2131</v>
      </c>
      <c r="C8419" s="27">
        <v>5026</v>
      </c>
      <c r="D8419" s="14" t="s">
        <v>23940</v>
      </c>
      <c r="E8419" s="112"/>
      <c r="F8419" s="139" t="s">
        <v>23952</v>
      </c>
      <c r="G8419" s="140"/>
      <c r="H8419" s="141"/>
      <c r="I8419" s="26">
        <v>68233</v>
      </c>
      <c r="J8419" s="117"/>
      <c r="K8419" s="120"/>
      <c r="L8419" s="121"/>
      <c r="M8419" s="120"/>
      <c r="N8419" s="121"/>
      <c r="O8419" s="120"/>
      <c r="P8419" s="121"/>
      <c r="Q8419" s="120"/>
      <c r="R8419" s="121"/>
      <c r="S8419" s="120"/>
      <c r="T8419" s="121"/>
      <c r="U8419" s="120"/>
      <c r="V8419" s="123"/>
      <c r="W8419" s="125"/>
      <c r="X8419" s="142" t="s">
        <v>24804</v>
      </c>
      <c r="Y8419" s="143"/>
      <c r="Z8419" s="143"/>
      <c r="AA8419" s="143"/>
      <c r="AB8419" s="144"/>
      <c r="AC8419" s="16" t="s">
        <v>21</v>
      </c>
      <c r="AD8419" s="17" t="s">
        <v>24805</v>
      </c>
      <c r="AE8419" s="145" t="s">
        <v>24173</v>
      </c>
      <c r="AF8419" s="146"/>
      <c r="AG8419" s="146"/>
      <c r="AH8419" s="146"/>
      <c r="AI8419" s="147"/>
      <c r="AJ8419" s="148"/>
      <c r="AK8419" s="143"/>
      <c r="AL8419" s="144"/>
      <c r="AM8419" s="22"/>
      <c r="AN8419" s="149" t="s">
        <v>25047</v>
      </c>
      <c r="AO8419" s="144"/>
      <c r="AP8419" s="148">
        <v>80044</v>
      </c>
      <c r="AQ8419" s="144"/>
      <c r="AR8419" s="120"/>
      <c r="AS8419" s="121"/>
      <c r="AT8419" s="120"/>
      <c r="AU8419" s="121"/>
      <c r="AV8419" s="120"/>
      <c r="AW8419" s="121"/>
      <c r="AX8419" s="120"/>
      <c r="AY8419" s="121"/>
      <c r="AZ8419" s="138"/>
    </row>
    <row r="8420" spans="1:52" ht="17.100000000000001" customHeight="1" thickTop="1">
      <c r="A8420" s="109" t="s">
        <v>23893</v>
      </c>
      <c r="B8420" s="28">
        <v>46133</v>
      </c>
      <c r="C8420" s="25">
        <v>1938</v>
      </c>
      <c r="D8420" s="13" t="s">
        <v>23953</v>
      </c>
      <c r="E8420" s="111"/>
      <c r="F8420" s="113" t="s">
        <v>23911</v>
      </c>
      <c r="G8420" s="114"/>
      <c r="H8420" s="115"/>
      <c r="I8420" s="24" t="s">
        <v>23955</v>
      </c>
      <c r="J8420" s="116">
        <v>4</v>
      </c>
      <c r="K8420" s="118">
        <v>1387000</v>
      </c>
      <c r="L8420" s="119"/>
      <c r="M8420" s="118">
        <f t="shared" ref="M8420" si="12730">K8420*0.1</f>
        <v>138700</v>
      </c>
      <c r="N8420" s="119"/>
      <c r="O8420" s="118">
        <v>39820</v>
      </c>
      <c r="P8420" s="119"/>
      <c r="Q8420" s="118">
        <v>20540</v>
      </c>
      <c r="R8420" s="119"/>
      <c r="S8420" s="118">
        <v>15950</v>
      </c>
      <c r="T8420" s="119"/>
      <c r="U8420" s="118">
        <f t="shared" ref="U8420" si="12731">SUM(K8420:T8421)</f>
        <v>1602010</v>
      </c>
      <c r="V8420" s="122"/>
      <c r="W8420" s="124"/>
      <c r="X8420" s="126" t="s">
        <v>23956</v>
      </c>
      <c r="Y8420" s="127"/>
      <c r="Z8420" s="127"/>
      <c r="AA8420" s="127"/>
      <c r="AB8420" s="128"/>
      <c r="AC8420" s="15" t="s">
        <v>20</v>
      </c>
      <c r="AD8420" s="129" t="s">
        <v>23957</v>
      </c>
      <c r="AE8420" s="130"/>
      <c r="AF8420" s="130"/>
      <c r="AG8420" s="130"/>
      <c r="AH8420" s="130"/>
      <c r="AI8420" s="131"/>
      <c r="AJ8420" s="132"/>
      <c r="AK8420" s="127"/>
      <c r="AL8420" s="128"/>
      <c r="AM8420" s="21"/>
      <c r="AN8420" s="133">
        <v>46144</v>
      </c>
      <c r="AO8420" s="134"/>
      <c r="AP8420" s="135">
        <v>1299</v>
      </c>
      <c r="AQ8420" s="136"/>
      <c r="AR8420" s="118">
        <v>1515000</v>
      </c>
      <c r="AS8420" s="119"/>
      <c r="AT8420" s="118">
        <f t="shared" ref="AT8420" si="12732">AR8420*0.1</f>
        <v>151500</v>
      </c>
      <c r="AU8420" s="119"/>
      <c r="AV8420" s="118">
        <v>20540</v>
      </c>
      <c r="AW8420" s="119"/>
      <c r="AX8420" s="118">
        <f t="shared" ref="AX8420" si="12733">SUM(AR8420:AW8420)</f>
        <v>1687040</v>
      </c>
      <c r="AY8420" s="119"/>
      <c r="AZ8420" s="137">
        <v>46154</v>
      </c>
    </row>
    <row r="8421" spans="1:52" ht="17.100000000000001" customHeight="1" thickBot="1">
      <c r="A8421" s="110"/>
      <c r="B8421" s="27" t="s">
        <v>2131</v>
      </c>
      <c r="C8421" s="27">
        <v>5041</v>
      </c>
      <c r="D8421" s="14" t="s">
        <v>2601</v>
      </c>
      <c r="E8421" s="112"/>
      <c r="F8421" s="139" t="s">
        <v>23954</v>
      </c>
      <c r="G8421" s="140"/>
      <c r="H8421" s="141"/>
      <c r="I8421" s="26">
        <v>37093</v>
      </c>
      <c r="J8421" s="117"/>
      <c r="K8421" s="120"/>
      <c r="L8421" s="121"/>
      <c r="M8421" s="120"/>
      <c r="N8421" s="121"/>
      <c r="O8421" s="120"/>
      <c r="P8421" s="121"/>
      <c r="Q8421" s="120"/>
      <c r="R8421" s="121"/>
      <c r="S8421" s="120"/>
      <c r="T8421" s="121"/>
      <c r="U8421" s="120"/>
      <c r="V8421" s="123"/>
      <c r="W8421" s="125"/>
      <c r="X8421" s="142" t="s">
        <v>24271</v>
      </c>
      <c r="Y8421" s="143"/>
      <c r="Z8421" s="143"/>
      <c r="AA8421" s="143"/>
      <c r="AB8421" s="144"/>
      <c r="AC8421" s="16" t="s">
        <v>21</v>
      </c>
      <c r="AD8421" s="17" t="s">
        <v>24261</v>
      </c>
      <c r="AE8421" s="145" t="s">
        <v>24175</v>
      </c>
      <c r="AF8421" s="146"/>
      <c r="AG8421" s="146"/>
      <c r="AH8421" s="146"/>
      <c r="AI8421" s="147"/>
      <c r="AJ8421" s="148"/>
      <c r="AK8421" s="143"/>
      <c r="AL8421" s="144"/>
      <c r="AM8421" s="22"/>
      <c r="AN8421" s="149" t="s">
        <v>25047</v>
      </c>
      <c r="AO8421" s="144"/>
      <c r="AP8421" s="148">
        <v>80009</v>
      </c>
      <c r="AQ8421" s="144"/>
      <c r="AR8421" s="120"/>
      <c r="AS8421" s="121"/>
      <c r="AT8421" s="120"/>
      <c r="AU8421" s="121"/>
      <c r="AV8421" s="120"/>
      <c r="AW8421" s="121"/>
      <c r="AX8421" s="120"/>
      <c r="AY8421" s="121"/>
      <c r="AZ8421" s="138"/>
    </row>
    <row r="8422" spans="1:52" ht="17.100000000000001" customHeight="1" thickTop="1">
      <c r="A8422" s="109" t="s">
        <v>23894</v>
      </c>
      <c r="B8422" s="28">
        <v>46133</v>
      </c>
      <c r="C8422" s="25">
        <v>1938</v>
      </c>
      <c r="D8422" s="13" t="s">
        <v>23958</v>
      </c>
      <c r="E8422" s="111"/>
      <c r="F8422" s="113" t="s">
        <v>20858</v>
      </c>
      <c r="G8422" s="114"/>
      <c r="H8422" s="115"/>
      <c r="I8422" s="24"/>
      <c r="J8422" s="116">
        <v>4.5</v>
      </c>
      <c r="K8422" s="118">
        <v>1730000</v>
      </c>
      <c r="L8422" s="119"/>
      <c r="M8422" s="118">
        <f t="shared" ref="M8422" si="12734">K8422*0.1</f>
        <v>173000</v>
      </c>
      <c r="N8422" s="119"/>
      <c r="O8422" s="118">
        <v>0</v>
      </c>
      <c r="P8422" s="119"/>
      <c r="Q8422" s="118">
        <v>17800</v>
      </c>
      <c r="R8422" s="119"/>
      <c r="S8422" s="118">
        <v>15950</v>
      </c>
      <c r="T8422" s="119"/>
      <c r="U8422" s="118">
        <f t="shared" ref="U8422" si="12735">SUM(K8422:T8423)</f>
        <v>1936750</v>
      </c>
      <c r="V8422" s="122"/>
      <c r="W8422" s="124"/>
      <c r="X8422" s="126" t="s">
        <v>24266</v>
      </c>
      <c r="Y8422" s="127"/>
      <c r="Z8422" s="127"/>
      <c r="AA8422" s="127"/>
      <c r="AB8422" s="128"/>
      <c r="AC8422" s="15" t="s">
        <v>20</v>
      </c>
      <c r="AD8422" s="129"/>
      <c r="AE8422" s="130"/>
      <c r="AF8422" s="130"/>
      <c r="AG8422" s="130"/>
      <c r="AH8422" s="130"/>
      <c r="AI8422" s="131"/>
      <c r="AJ8422" s="132"/>
      <c r="AK8422" s="127"/>
      <c r="AL8422" s="128"/>
      <c r="AM8422" s="21"/>
      <c r="AN8422" s="133"/>
      <c r="AO8422" s="134"/>
      <c r="AP8422" s="135"/>
      <c r="AQ8422" s="136"/>
      <c r="AR8422" s="118"/>
      <c r="AS8422" s="119"/>
      <c r="AT8422" s="118">
        <f t="shared" ref="AT8422" si="12736">AR8422*0.1</f>
        <v>0</v>
      </c>
      <c r="AU8422" s="119"/>
      <c r="AV8422" s="118"/>
      <c r="AW8422" s="119"/>
      <c r="AX8422" s="118">
        <f t="shared" ref="AX8422" si="12737">SUM(AR8422:AW8422)</f>
        <v>0</v>
      </c>
      <c r="AY8422" s="119"/>
      <c r="AZ8422" s="137"/>
    </row>
    <row r="8423" spans="1:52" ht="17.100000000000001" customHeight="1" thickBot="1">
      <c r="A8423" s="110"/>
      <c r="B8423" s="27" t="s">
        <v>2131</v>
      </c>
      <c r="C8423" s="27">
        <v>32028</v>
      </c>
      <c r="D8423" s="14" t="s">
        <v>23949</v>
      </c>
      <c r="E8423" s="112"/>
      <c r="F8423" s="139" t="s">
        <v>23959</v>
      </c>
      <c r="G8423" s="140"/>
      <c r="H8423" s="141"/>
      <c r="I8423" s="26">
        <v>46334</v>
      </c>
      <c r="J8423" s="117"/>
      <c r="K8423" s="120"/>
      <c r="L8423" s="121"/>
      <c r="M8423" s="120"/>
      <c r="N8423" s="121"/>
      <c r="O8423" s="120"/>
      <c r="P8423" s="121"/>
      <c r="Q8423" s="120"/>
      <c r="R8423" s="121"/>
      <c r="S8423" s="120"/>
      <c r="T8423" s="121"/>
      <c r="U8423" s="120"/>
      <c r="V8423" s="123"/>
      <c r="W8423" s="125"/>
      <c r="X8423" s="142" t="s">
        <v>24267</v>
      </c>
      <c r="Y8423" s="143"/>
      <c r="Z8423" s="143"/>
      <c r="AA8423" s="143"/>
      <c r="AB8423" s="144"/>
      <c r="AC8423" s="16" t="s">
        <v>21</v>
      </c>
      <c r="AD8423" s="17" t="s">
        <v>24261</v>
      </c>
      <c r="AE8423" s="145" t="s">
        <v>24174</v>
      </c>
      <c r="AF8423" s="146"/>
      <c r="AG8423" s="146"/>
      <c r="AH8423" s="146"/>
      <c r="AI8423" s="147"/>
      <c r="AJ8423" s="148"/>
      <c r="AK8423" s="143"/>
      <c r="AL8423" s="144"/>
      <c r="AM8423" s="22"/>
      <c r="AN8423" s="149"/>
      <c r="AO8423" s="144"/>
      <c r="AP8423" s="148"/>
      <c r="AQ8423" s="144"/>
      <c r="AR8423" s="120"/>
      <c r="AS8423" s="121"/>
      <c r="AT8423" s="120"/>
      <c r="AU8423" s="121"/>
      <c r="AV8423" s="120"/>
      <c r="AW8423" s="121"/>
      <c r="AX8423" s="120"/>
      <c r="AY8423" s="121"/>
      <c r="AZ8423" s="138"/>
    </row>
    <row r="8424" spans="1:52" ht="17.100000000000001" customHeight="1" thickTop="1">
      <c r="A8424" s="109" t="s">
        <v>23895</v>
      </c>
      <c r="B8424" s="28">
        <v>46133</v>
      </c>
      <c r="C8424" s="25">
        <v>1938</v>
      </c>
      <c r="D8424" s="13" t="s">
        <v>23960</v>
      </c>
      <c r="E8424" s="111"/>
      <c r="F8424" s="113" t="s">
        <v>18180</v>
      </c>
      <c r="G8424" s="114"/>
      <c r="H8424" s="115"/>
      <c r="I8424" s="24"/>
      <c r="J8424" s="116">
        <v>4</v>
      </c>
      <c r="K8424" s="118">
        <v>1093000</v>
      </c>
      <c r="L8424" s="119"/>
      <c r="M8424" s="118">
        <f t="shared" ref="M8424" si="12738">K8424*0.1</f>
        <v>109300</v>
      </c>
      <c r="N8424" s="119"/>
      <c r="O8424" s="118">
        <v>0</v>
      </c>
      <c r="P8424" s="119"/>
      <c r="Q8424" s="118">
        <v>7440</v>
      </c>
      <c r="R8424" s="119"/>
      <c r="S8424" s="118">
        <v>15950</v>
      </c>
      <c r="T8424" s="119"/>
      <c r="U8424" s="118">
        <f t="shared" ref="U8424" si="12739">SUM(K8424:T8425)</f>
        <v>1225690</v>
      </c>
      <c r="V8424" s="122"/>
      <c r="W8424" s="124"/>
      <c r="X8424" s="126" t="s">
        <v>24275</v>
      </c>
      <c r="Y8424" s="127"/>
      <c r="Z8424" s="127"/>
      <c r="AA8424" s="127"/>
      <c r="AB8424" s="128"/>
      <c r="AC8424" s="15" t="s">
        <v>20</v>
      </c>
      <c r="AD8424" s="129"/>
      <c r="AE8424" s="130"/>
      <c r="AF8424" s="130"/>
      <c r="AG8424" s="130"/>
      <c r="AH8424" s="130"/>
      <c r="AI8424" s="131"/>
      <c r="AJ8424" s="132"/>
      <c r="AK8424" s="127"/>
      <c r="AL8424" s="128"/>
      <c r="AM8424" s="21"/>
      <c r="AN8424" s="133">
        <v>46137</v>
      </c>
      <c r="AO8424" s="134"/>
      <c r="AP8424" s="135">
        <v>1298</v>
      </c>
      <c r="AQ8424" s="136"/>
      <c r="AR8424" s="118">
        <v>1205000</v>
      </c>
      <c r="AS8424" s="119"/>
      <c r="AT8424" s="118">
        <f t="shared" ref="AT8424" si="12740">AR8424*0.1</f>
        <v>120500</v>
      </c>
      <c r="AU8424" s="119"/>
      <c r="AV8424" s="118">
        <v>7440</v>
      </c>
      <c r="AW8424" s="119"/>
      <c r="AX8424" s="118">
        <f t="shared" ref="AX8424" si="12741">SUM(AR8424:AW8424)</f>
        <v>1332940</v>
      </c>
      <c r="AY8424" s="119"/>
      <c r="AZ8424" s="137">
        <v>46140</v>
      </c>
    </row>
    <row r="8425" spans="1:52" ht="17.100000000000001" customHeight="1" thickBot="1">
      <c r="A8425" s="110"/>
      <c r="B8425" s="27" t="s">
        <v>2131</v>
      </c>
      <c r="C8425" s="27">
        <v>79293</v>
      </c>
      <c r="D8425" s="14" t="s">
        <v>1720</v>
      </c>
      <c r="E8425" s="112"/>
      <c r="F8425" s="139" t="s">
        <v>23912</v>
      </c>
      <c r="G8425" s="140"/>
      <c r="H8425" s="141"/>
      <c r="I8425" s="26">
        <v>34435</v>
      </c>
      <c r="J8425" s="117"/>
      <c r="K8425" s="120"/>
      <c r="L8425" s="121"/>
      <c r="M8425" s="120"/>
      <c r="N8425" s="121"/>
      <c r="O8425" s="120"/>
      <c r="P8425" s="121"/>
      <c r="Q8425" s="120"/>
      <c r="R8425" s="121"/>
      <c r="S8425" s="120"/>
      <c r="T8425" s="121"/>
      <c r="U8425" s="120"/>
      <c r="V8425" s="123"/>
      <c r="W8425" s="125"/>
      <c r="X8425" s="142" t="s">
        <v>12378</v>
      </c>
      <c r="Y8425" s="143"/>
      <c r="Z8425" s="143"/>
      <c r="AA8425" s="143"/>
      <c r="AB8425" s="144"/>
      <c r="AC8425" s="16" t="s">
        <v>21</v>
      </c>
      <c r="AD8425" s="17" t="s">
        <v>24261</v>
      </c>
      <c r="AE8425" s="145" t="s">
        <v>24169</v>
      </c>
      <c r="AF8425" s="146"/>
      <c r="AG8425" s="146"/>
      <c r="AH8425" s="146"/>
      <c r="AI8425" s="147"/>
      <c r="AJ8425" s="148"/>
      <c r="AK8425" s="143"/>
      <c r="AL8425" s="144"/>
      <c r="AM8425" s="22"/>
      <c r="AN8425" s="149" t="s">
        <v>2511</v>
      </c>
      <c r="AO8425" s="144"/>
      <c r="AP8425" s="148">
        <v>41085</v>
      </c>
      <c r="AQ8425" s="144"/>
      <c r="AR8425" s="120"/>
      <c r="AS8425" s="121"/>
      <c r="AT8425" s="120"/>
      <c r="AU8425" s="121"/>
      <c r="AV8425" s="120"/>
      <c r="AW8425" s="121"/>
      <c r="AX8425" s="120"/>
      <c r="AY8425" s="121"/>
      <c r="AZ8425" s="138"/>
    </row>
    <row r="8426" spans="1:52" ht="17.100000000000001" customHeight="1" thickTop="1">
      <c r="A8426" s="109" t="s">
        <v>23896</v>
      </c>
      <c r="B8426" s="28">
        <v>46133</v>
      </c>
      <c r="C8426" s="25">
        <v>1938</v>
      </c>
      <c r="D8426" s="13" t="s">
        <v>23961</v>
      </c>
      <c r="E8426" s="111"/>
      <c r="F8426" s="113" t="s">
        <v>19916</v>
      </c>
      <c r="G8426" s="114"/>
      <c r="H8426" s="115"/>
      <c r="I8426" s="24"/>
      <c r="J8426" s="116">
        <v>4</v>
      </c>
      <c r="K8426" s="118">
        <v>1108000</v>
      </c>
      <c r="L8426" s="119"/>
      <c r="M8426" s="118">
        <f t="shared" ref="M8426" si="12742">K8426*0.1</f>
        <v>110800</v>
      </c>
      <c r="N8426" s="119"/>
      <c r="O8426" s="118">
        <v>0</v>
      </c>
      <c r="P8426" s="119"/>
      <c r="Q8426" s="118">
        <v>8990</v>
      </c>
      <c r="R8426" s="119"/>
      <c r="S8426" s="118">
        <v>15950</v>
      </c>
      <c r="T8426" s="119"/>
      <c r="U8426" s="118">
        <f t="shared" ref="U8426" si="12743">SUM(K8426:T8427)</f>
        <v>1243740</v>
      </c>
      <c r="V8426" s="122"/>
      <c r="W8426" s="124"/>
      <c r="X8426" s="126" t="s">
        <v>24273</v>
      </c>
      <c r="Y8426" s="127"/>
      <c r="Z8426" s="127"/>
      <c r="AA8426" s="127"/>
      <c r="AB8426" s="128"/>
      <c r="AC8426" s="15" t="s">
        <v>20</v>
      </c>
      <c r="AD8426" s="129"/>
      <c r="AE8426" s="130"/>
      <c r="AF8426" s="130"/>
      <c r="AG8426" s="130"/>
      <c r="AH8426" s="130"/>
      <c r="AI8426" s="131"/>
      <c r="AJ8426" s="132"/>
      <c r="AK8426" s="127"/>
      <c r="AL8426" s="128"/>
      <c r="AM8426" s="21"/>
      <c r="AN8426" s="133">
        <v>46144</v>
      </c>
      <c r="AO8426" s="134"/>
      <c r="AP8426" s="135">
        <v>1299</v>
      </c>
      <c r="AQ8426" s="136"/>
      <c r="AR8426" s="118">
        <v>1200000</v>
      </c>
      <c r="AS8426" s="119"/>
      <c r="AT8426" s="118">
        <f t="shared" ref="AT8426" si="12744">AR8426*0.1</f>
        <v>120000</v>
      </c>
      <c r="AU8426" s="119"/>
      <c r="AV8426" s="118">
        <v>8990</v>
      </c>
      <c r="AW8426" s="119"/>
      <c r="AX8426" s="118">
        <f t="shared" ref="AX8426" si="12745">SUM(AR8426:AW8426)</f>
        <v>1328990</v>
      </c>
      <c r="AY8426" s="119"/>
      <c r="AZ8426" s="137">
        <v>46154</v>
      </c>
    </row>
    <row r="8427" spans="1:52" ht="17.100000000000001" customHeight="1" thickBot="1">
      <c r="A8427" s="110"/>
      <c r="B8427" s="27" t="s">
        <v>2131</v>
      </c>
      <c r="C8427" s="27">
        <v>79310</v>
      </c>
      <c r="D8427" s="14" t="s">
        <v>23940</v>
      </c>
      <c r="E8427" s="112"/>
      <c r="F8427" s="139" t="s">
        <v>23913</v>
      </c>
      <c r="G8427" s="140"/>
      <c r="H8427" s="141"/>
      <c r="I8427" s="26">
        <v>43432</v>
      </c>
      <c r="J8427" s="117"/>
      <c r="K8427" s="120"/>
      <c r="L8427" s="121"/>
      <c r="M8427" s="120"/>
      <c r="N8427" s="121"/>
      <c r="O8427" s="120"/>
      <c r="P8427" s="121"/>
      <c r="Q8427" s="120"/>
      <c r="R8427" s="121"/>
      <c r="S8427" s="120"/>
      <c r="T8427" s="121"/>
      <c r="U8427" s="120"/>
      <c r="V8427" s="123"/>
      <c r="W8427" s="125"/>
      <c r="X8427" s="142" t="s">
        <v>12378</v>
      </c>
      <c r="Y8427" s="143"/>
      <c r="Z8427" s="143"/>
      <c r="AA8427" s="143"/>
      <c r="AB8427" s="144"/>
      <c r="AC8427" s="16" t="s">
        <v>21</v>
      </c>
      <c r="AD8427" s="17" t="s">
        <v>24261</v>
      </c>
      <c r="AE8427" s="145"/>
      <c r="AF8427" s="146"/>
      <c r="AG8427" s="146"/>
      <c r="AH8427" s="146"/>
      <c r="AI8427" s="147"/>
      <c r="AJ8427" s="148"/>
      <c r="AK8427" s="143"/>
      <c r="AL8427" s="144"/>
      <c r="AM8427" s="22"/>
      <c r="AN8427" s="149" t="s">
        <v>2511</v>
      </c>
      <c r="AO8427" s="144"/>
      <c r="AP8427" s="148">
        <v>41003</v>
      </c>
      <c r="AQ8427" s="144"/>
      <c r="AR8427" s="120"/>
      <c r="AS8427" s="121"/>
      <c r="AT8427" s="120"/>
      <c r="AU8427" s="121"/>
      <c r="AV8427" s="120"/>
      <c r="AW8427" s="121"/>
      <c r="AX8427" s="120"/>
      <c r="AY8427" s="121"/>
      <c r="AZ8427" s="138"/>
    </row>
    <row r="8428" spans="1:52" ht="17.100000000000001" customHeight="1" thickTop="1">
      <c r="A8428" s="109" t="s">
        <v>23897</v>
      </c>
      <c r="B8428" s="28">
        <v>46133</v>
      </c>
      <c r="C8428" s="25">
        <v>1938</v>
      </c>
      <c r="D8428" s="13" t="s">
        <v>23962</v>
      </c>
      <c r="E8428" s="111"/>
      <c r="F8428" s="113" t="s">
        <v>15851</v>
      </c>
      <c r="G8428" s="114"/>
      <c r="H8428" s="115"/>
      <c r="I8428" s="24"/>
      <c r="J8428" s="116">
        <v>4</v>
      </c>
      <c r="K8428" s="118">
        <v>665000</v>
      </c>
      <c r="L8428" s="119"/>
      <c r="M8428" s="118">
        <f t="shared" ref="M8428" si="12746">K8428*0.1</f>
        <v>66500</v>
      </c>
      <c r="N8428" s="119"/>
      <c r="O8428" s="118">
        <v>0</v>
      </c>
      <c r="P8428" s="119"/>
      <c r="Q8428" s="118">
        <v>8430</v>
      </c>
      <c r="R8428" s="119"/>
      <c r="S8428" s="118">
        <v>15950</v>
      </c>
      <c r="T8428" s="119"/>
      <c r="U8428" s="118">
        <f t="shared" ref="U8428" si="12747">SUM(K8428:T8429)</f>
        <v>755880</v>
      </c>
      <c r="V8428" s="122"/>
      <c r="W8428" s="124"/>
      <c r="X8428" s="126" t="s">
        <v>24272</v>
      </c>
      <c r="Y8428" s="127"/>
      <c r="Z8428" s="127"/>
      <c r="AA8428" s="127"/>
      <c r="AB8428" s="128"/>
      <c r="AC8428" s="15" t="s">
        <v>20</v>
      </c>
      <c r="AD8428" s="129"/>
      <c r="AE8428" s="130"/>
      <c r="AF8428" s="130"/>
      <c r="AG8428" s="130"/>
      <c r="AH8428" s="130"/>
      <c r="AI8428" s="131"/>
      <c r="AJ8428" s="132"/>
      <c r="AK8428" s="127"/>
      <c r="AL8428" s="128"/>
      <c r="AM8428" s="21"/>
      <c r="AN8428" s="133">
        <v>46137</v>
      </c>
      <c r="AO8428" s="134"/>
      <c r="AP8428" s="135">
        <v>1298</v>
      </c>
      <c r="AQ8428" s="136"/>
      <c r="AR8428" s="118">
        <v>755000</v>
      </c>
      <c r="AS8428" s="119"/>
      <c r="AT8428" s="118">
        <f t="shared" ref="AT8428" si="12748">AR8428*0.1</f>
        <v>75500</v>
      </c>
      <c r="AU8428" s="119"/>
      <c r="AV8428" s="118">
        <v>8430</v>
      </c>
      <c r="AW8428" s="119"/>
      <c r="AX8428" s="118">
        <f t="shared" ref="AX8428" si="12749">SUM(AR8428:AW8428)</f>
        <v>838930</v>
      </c>
      <c r="AY8428" s="119"/>
      <c r="AZ8428" s="137">
        <v>46140</v>
      </c>
    </row>
    <row r="8429" spans="1:52" ht="17.100000000000001" customHeight="1" thickBot="1">
      <c r="A8429" s="110"/>
      <c r="B8429" s="27" t="s">
        <v>2131</v>
      </c>
      <c r="C8429" s="27">
        <v>79378</v>
      </c>
      <c r="D8429" s="14" t="s">
        <v>23940</v>
      </c>
      <c r="E8429" s="112"/>
      <c r="F8429" s="139" t="s">
        <v>23914</v>
      </c>
      <c r="G8429" s="140"/>
      <c r="H8429" s="141"/>
      <c r="I8429" s="26">
        <v>30618</v>
      </c>
      <c r="J8429" s="117"/>
      <c r="K8429" s="120"/>
      <c r="L8429" s="121"/>
      <c r="M8429" s="120"/>
      <c r="N8429" s="121"/>
      <c r="O8429" s="120"/>
      <c r="P8429" s="121"/>
      <c r="Q8429" s="120"/>
      <c r="R8429" s="121"/>
      <c r="S8429" s="120"/>
      <c r="T8429" s="121"/>
      <c r="U8429" s="120"/>
      <c r="V8429" s="123"/>
      <c r="W8429" s="125"/>
      <c r="X8429" s="142" t="s">
        <v>12378</v>
      </c>
      <c r="Y8429" s="143"/>
      <c r="Z8429" s="143"/>
      <c r="AA8429" s="143"/>
      <c r="AB8429" s="144"/>
      <c r="AC8429" s="16" t="s">
        <v>21</v>
      </c>
      <c r="AD8429" s="17" t="s">
        <v>24261</v>
      </c>
      <c r="AE8429" s="145" t="s">
        <v>24177</v>
      </c>
      <c r="AF8429" s="146"/>
      <c r="AG8429" s="146"/>
      <c r="AH8429" s="146"/>
      <c r="AI8429" s="147"/>
      <c r="AJ8429" s="148"/>
      <c r="AK8429" s="143"/>
      <c r="AL8429" s="144"/>
      <c r="AM8429" s="22"/>
      <c r="AN8429" s="149" t="s">
        <v>2511</v>
      </c>
      <c r="AO8429" s="144"/>
      <c r="AP8429" s="148">
        <v>60427</v>
      </c>
      <c r="AQ8429" s="144"/>
      <c r="AR8429" s="120"/>
      <c r="AS8429" s="121"/>
      <c r="AT8429" s="120"/>
      <c r="AU8429" s="121"/>
      <c r="AV8429" s="120"/>
      <c r="AW8429" s="121"/>
      <c r="AX8429" s="120"/>
      <c r="AY8429" s="121"/>
      <c r="AZ8429" s="138"/>
    </row>
    <row r="8430" spans="1:52" ht="17.100000000000001" customHeight="1" thickTop="1">
      <c r="A8430" s="109" t="s">
        <v>23915</v>
      </c>
      <c r="B8430" s="28">
        <v>46133</v>
      </c>
      <c r="C8430" s="25">
        <v>816</v>
      </c>
      <c r="D8430" s="13" t="s">
        <v>23963</v>
      </c>
      <c r="E8430" s="111"/>
      <c r="F8430" s="113" t="s">
        <v>2724</v>
      </c>
      <c r="G8430" s="114"/>
      <c r="H8430" s="115"/>
      <c r="I8430" s="24"/>
      <c r="J8430" s="116">
        <v>4</v>
      </c>
      <c r="K8430" s="118">
        <v>608000</v>
      </c>
      <c r="L8430" s="119"/>
      <c r="M8430" s="118">
        <f t="shared" ref="M8430" si="12750">K8430*0.1</f>
        <v>60800</v>
      </c>
      <c r="N8430" s="119"/>
      <c r="O8430" s="118">
        <v>0</v>
      </c>
      <c r="P8430" s="119"/>
      <c r="Q8430" s="118">
        <v>19440</v>
      </c>
      <c r="R8430" s="119"/>
      <c r="S8430" s="118">
        <v>15950</v>
      </c>
      <c r="T8430" s="119"/>
      <c r="U8430" s="118">
        <f t="shared" ref="U8430" si="12751">SUM(K8430:T8431)</f>
        <v>704190</v>
      </c>
      <c r="V8430" s="122"/>
      <c r="W8430" s="124"/>
      <c r="X8430" s="126" t="s">
        <v>24166</v>
      </c>
      <c r="Y8430" s="127"/>
      <c r="Z8430" s="127"/>
      <c r="AA8430" s="127"/>
      <c r="AB8430" s="128"/>
      <c r="AC8430" s="15" t="s">
        <v>20</v>
      </c>
      <c r="AD8430" s="129"/>
      <c r="AE8430" s="130"/>
      <c r="AF8430" s="130"/>
      <c r="AG8430" s="130"/>
      <c r="AH8430" s="130"/>
      <c r="AI8430" s="131"/>
      <c r="AJ8430" s="132"/>
      <c r="AK8430" s="127"/>
      <c r="AL8430" s="128"/>
      <c r="AM8430" s="21"/>
      <c r="AN8430" s="133"/>
      <c r="AO8430" s="134"/>
      <c r="AP8430" s="135"/>
      <c r="AQ8430" s="136"/>
      <c r="AR8430" s="118"/>
      <c r="AS8430" s="119"/>
      <c r="AT8430" s="118">
        <f t="shared" ref="AT8430" si="12752">AR8430*0.1</f>
        <v>0</v>
      </c>
      <c r="AU8430" s="119"/>
      <c r="AV8430" s="118"/>
      <c r="AW8430" s="119"/>
      <c r="AX8430" s="118">
        <f t="shared" ref="AX8430" si="12753">SUM(AR8430:AW8430)</f>
        <v>0</v>
      </c>
      <c r="AY8430" s="119"/>
      <c r="AZ8430" s="137"/>
    </row>
    <row r="8431" spans="1:52" ht="17.100000000000001" customHeight="1" thickBot="1">
      <c r="A8431" s="110"/>
      <c r="B8431" s="27" t="s">
        <v>3367</v>
      </c>
      <c r="C8431" s="27">
        <v>5001</v>
      </c>
      <c r="D8431" s="14" t="s">
        <v>2325</v>
      </c>
      <c r="E8431" s="112"/>
      <c r="F8431" s="139" t="s">
        <v>23964</v>
      </c>
      <c r="G8431" s="140"/>
      <c r="H8431" s="141"/>
      <c r="I8431" s="26">
        <v>74546</v>
      </c>
      <c r="J8431" s="117"/>
      <c r="K8431" s="120"/>
      <c r="L8431" s="121"/>
      <c r="M8431" s="120"/>
      <c r="N8431" s="121"/>
      <c r="O8431" s="120"/>
      <c r="P8431" s="121"/>
      <c r="Q8431" s="120"/>
      <c r="R8431" s="121"/>
      <c r="S8431" s="120"/>
      <c r="T8431" s="121"/>
      <c r="U8431" s="120"/>
      <c r="V8431" s="123"/>
      <c r="W8431" s="125"/>
      <c r="X8431" s="142" t="s">
        <v>24167</v>
      </c>
      <c r="Y8431" s="143"/>
      <c r="Z8431" s="143"/>
      <c r="AA8431" s="143"/>
      <c r="AB8431" s="144"/>
      <c r="AC8431" s="16" t="s">
        <v>21</v>
      </c>
      <c r="AD8431" s="17" t="s">
        <v>24135</v>
      </c>
      <c r="AE8431" s="145" t="s">
        <v>24170</v>
      </c>
      <c r="AF8431" s="146"/>
      <c r="AG8431" s="146"/>
      <c r="AH8431" s="146"/>
      <c r="AI8431" s="147"/>
      <c r="AJ8431" s="148"/>
      <c r="AK8431" s="143"/>
      <c r="AL8431" s="144"/>
      <c r="AM8431" s="22"/>
      <c r="AN8431" s="149"/>
      <c r="AO8431" s="144"/>
      <c r="AP8431" s="148"/>
      <c r="AQ8431" s="144"/>
      <c r="AR8431" s="120"/>
      <c r="AS8431" s="121"/>
      <c r="AT8431" s="120"/>
      <c r="AU8431" s="121"/>
      <c r="AV8431" s="120"/>
      <c r="AW8431" s="121"/>
      <c r="AX8431" s="120"/>
      <c r="AY8431" s="121"/>
      <c r="AZ8431" s="138"/>
    </row>
    <row r="8432" spans="1:52" ht="17.100000000000001" customHeight="1" thickTop="1">
      <c r="A8432" s="109" t="s">
        <v>23898</v>
      </c>
      <c r="B8432" s="28">
        <v>46133</v>
      </c>
      <c r="C8432" s="25">
        <v>816</v>
      </c>
      <c r="D8432" s="13" t="s">
        <v>23965</v>
      </c>
      <c r="E8432" s="111"/>
      <c r="F8432" s="113" t="s">
        <v>23916</v>
      </c>
      <c r="G8432" s="114"/>
      <c r="H8432" s="115"/>
      <c r="I8432" s="24"/>
      <c r="J8432" s="116">
        <v>4</v>
      </c>
      <c r="K8432" s="118">
        <v>1922000</v>
      </c>
      <c r="L8432" s="119"/>
      <c r="M8432" s="118">
        <f t="shared" ref="M8432" si="12754">K8432*0.1</f>
        <v>192200</v>
      </c>
      <c r="N8432" s="119"/>
      <c r="O8432" s="118">
        <v>0</v>
      </c>
      <c r="P8432" s="119"/>
      <c r="Q8432" s="118">
        <v>19630</v>
      </c>
      <c r="R8432" s="119"/>
      <c r="S8432" s="118">
        <v>15950</v>
      </c>
      <c r="T8432" s="119"/>
      <c r="U8432" s="118">
        <f t="shared" ref="U8432" si="12755">SUM(K8432:T8433)</f>
        <v>2149780</v>
      </c>
      <c r="V8432" s="122"/>
      <c r="W8432" s="124"/>
      <c r="X8432" s="126" t="s">
        <v>24749</v>
      </c>
      <c r="Y8432" s="127"/>
      <c r="Z8432" s="127"/>
      <c r="AA8432" s="127"/>
      <c r="AB8432" s="128"/>
      <c r="AC8432" s="15" t="s">
        <v>20</v>
      </c>
      <c r="AD8432" s="129" t="s">
        <v>23967</v>
      </c>
      <c r="AE8432" s="130"/>
      <c r="AF8432" s="130"/>
      <c r="AG8432" s="130"/>
      <c r="AH8432" s="130"/>
      <c r="AI8432" s="131"/>
      <c r="AJ8432" s="132"/>
      <c r="AK8432" s="127"/>
      <c r="AL8432" s="128"/>
      <c r="AM8432" s="21"/>
      <c r="AN8432" s="133">
        <v>46137</v>
      </c>
      <c r="AO8432" s="134"/>
      <c r="AP8432" s="135">
        <v>1298</v>
      </c>
      <c r="AQ8432" s="136"/>
      <c r="AR8432" s="118">
        <v>2075000</v>
      </c>
      <c r="AS8432" s="119"/>
      <c r="AT8432" s="118">
        <f t="shared" ref="AT8432" si="12756">AR8432*0.1</f>
        <v>207500</v>
      </c>
      <c r="AU8432" s="119"/>
      <c r="AV8432" s="118">
        <v>19630</v>
      </c>
      <c r="AW8432" s="119"/>
      <c r="AX8432" s="118">
        <f t="shared" ref="AX8432" si="12757">SUM(AR8432:AW8432)</f>
        <v>2302130</v>
      </c>
      <c r="AY8432" s="119"/>
      <c r="AZ8432" s="137">
        <v>46154</v>
      </c>
    </row>
    <row r="8433" spans="1:52" ht="17.100000000000001" customHeight="1" thickBot="1">
      <c r="A8433" s="110"/>
      <c r="B8433" s="27" t="s">
        <v>3367</v>
      </c>
      <c r="C8433" s="27">
        <v>5011</v>
      </c>
      <c r="D8433" s="14" t="s">
        <v>23940</v>
      </c>
      <c r="E8433" s="112"/>
      <c r="F8433" s="139" t="s">
        <v>23966</v>
      </c>
      <c r="G8433" s="140"/>
      <c r="H8433" s="141"/>
      <c r="I8433" s="26">
        <v>28665</v>
      </c>
      <c r="J8433" s="117"/>
      <c r="K8433" s="120"/>
      <c r="L8433" s="121"/>
      <c r="M8433" s="120"/>
      <c r="N8433" s="121"/>
      <c r="O8433" s="120"/>
      <c r="P8433" s="121"/>
      <c r="Q8433" s="120"/>
      <c r="R8433" s="121"/>
      <c r="S8433" s="120"/>
      <c r="T8433" s="121"/>
      <c r="U8433" s="120"/>
      <c r="V8433" s="123"/>
      <c r="W8433" s="125"/>
      <c r="X8433" s="142" t="s">
        <v>24750</v>
      </c>
      <c r="Y8433" s="143"/>
      <c r="Z8433" s="143"/>
      <c r="AA8433" s="143"/>
      <c r="AB8433" s="144"/>
      <c r="AC8433" s="16" t="s">
        <v>21</v>
      </c>
      <c r="AD8433" s="17" t="s">
        <v>24751</v>
      </c>
      <c r="AE8433" s="145" t="s">
        <v>24752</v>
      </c>
      <c r="AF8433" s="146"/>
      <c r="AG8433" s="146"/>
      <c r="AH8433" s="146"/>
      <c r="AI8433" s="147"/>
      <c r="AJ8433" s="148"/>
      <c r="AK8433" s="143"/>
      <c r="AL8433" s="144"/>
      <c r="AM8433" s="22"/>
      <c r="AN8433" s="149" t="s">
        <v>2511</v>
      </c>
      <c r="AO8433" s="144"/>
      <c r="AP8433" s="148">
        <v>80394</v>
      </c>
      <c r="AQ8433" s="144"/>
      <c r="AR8433" s="120"/>
      <c r="AS8433" s="121"/>
      <c r="AT8433" s="120"/>
      <c r="AU8433" s="121"/>
      <c r="AV8433" s="120"/>
      <c r="AW8433" s="121"/>
      <c r="AX8433" s="120"/>
      <c r="AY8433" s="121"/>
      <c r="AZ8433" s="138"/>
    </row>
    <row r="8434" spans="1:52" ht="17.100000000000001" customHeight="1" thickTop="1">
      <c r="A8434" s="109" t="s">
        <v>23899</v>
      </c>
      <c r="B8434" s="28">
        <v>46133</v>
      </c>
      <c r="C8434" s="25">
        <v>936</v>
      </c>
      <c r="D8434" s="13" t="s">
        <v>23939</v>
      </c>
      <c r="E8434" s="111"/>
      <c r="F8434" s="113" t="s">
        <v>15533</v>
      </c>
      <c r="G8434" s="114"/>
      <c r="H8434" s="115"/>
      <c r="I8434" s="24"/>
      <c r="J8434" s="116">
        <v>4</v>
      </c>
      <c r="K8434" s="118">
        <v>484000</v>
      </c>
      <c r="L8434" s="119"/>
      <c r="M8434" s="118">
        <f t="shared" ref="M8434" si="12758">K8434*0.1</f>
        <v>48400</v>
      </c>
      <c r="N8434" s="119"/>
      <c r="O8434" s="118">
        <v>0</v>
      </c>
      <c r="P8434" s="119"/>
      <c r="Q8434" s="118">
        <v>7140</v>
      </c>
      <c r="R8434" s="119"/>
      <c r="S8434" s="118">
        <v>15950</v>
      </c>
      <c r="T8434" s="119"/>
      <c r="U8434" s="118">
        <f t="shared" ref="U8434" si="12759">SUM(K8434:T8435)</f>
        <v>555490</v>
      </c>
      <c r="V8434" s="122"/>
      <c r="W8434" s="124"/>
      <c r="X8434" s="126" t="s">
        <v>24599</v>
      </c>
      <c r="Y8434" s="127"/>
      <c r="Z8434" s="127"/>
      <c r="AA8434" s="127"/>
      <c r="AB8434" s="128"/>
      <c r="AC8434" s="15" t="s">
        <v>20</v>
      </c>
      <c r="AD8434" s="129"/>
      <c r="AE8434" s="130"/>
      <c r="AF8434" s="130"/>
      <c r="AG8434" s="130"/>
      <c r="AH8434" s="130"/>
      <c r="AI8434" s="131"/>
      <c r="AJ8434" s="132"/>
      <c r="AK8434" s="127"/>
      <c r="AL8434" s="128"/>
      <c r="AM8434" s="21"/>
      <c r="AN8434" s="133">
        <v>46144</v>
      </c>
      <c r="AO8434" s="134"/>
      <c r="AP8434" s="135">
        <v>1299</v>
      </c>
      <c r="AQ8434" s="136"/>
      <c r="AR8434" s="118">
        <v>560000</v>
      </c>
      <c r="AS8434" s="119"/>
      <c r="AT8434" s="118">
        <f t="shared" ref="AT8434" si="12760">AR8434*0.1</f>
        <v>56000</v>
      </c>
      <c r="AU8434" s="119"/>
      <c r="AV8434" s="118">
        <v>7140</v>
      </c>
      <c r="AW8434" s="119"/>
      <c r="AX8434" s="118">
        <f t="shared" ref="AX8434" si="12761">SUM(AR8434:AW8434)</f>
        <v>623140</v>
      </c>
      <c r="AY8434" s="119"/>
      <c r="AZ8434" s="137">
        <v>46154</v>
      </c>
    </row>
    <row r="8435" spans="1:52" ht="17.100000000000001" customHeight="1" thickBot="1">
      <c r="A8435" s="110"/>
      <c r="B8435" s="27" t="s">
        <v>2699</v>
      </c>
      <c r="C8435" s="27">
        <v>3089</v>
      </c>
      <c r="D8435" s="14" t="s">
        <v>1720</v>
      </c>
      <c r="E8435" s="112"/>
      <c r="F8435" s="139" t="s">
        <v>23917</v>
      </c>
      <c r="G8435" s="140"/>
      <c r="H8435" s="141"/>
      <c r="I8435" s="26">
        <v>25398</v>
      </c>
      <c r="J8435" s="117"/>
      <c r="K8435" s="120"/>
      <c r="L8435" s="121"/>
      <c r="M8435" s="120"/>
      <c r="N8435" s="121"/>
      <c r="O8435" s="120"/>
      <c r="P8435" s="121"/>
      <c r="Q8435" s="120"/>
      <c r="R8435" s="121"/>
      <c r="S8435" s="120"/>
      <c r="T8435" s="121"/>
      <c r="U8435" s="120"/>
      <c r="V8435" s="123"/>
      <c r="W8435" s="125"/>
      <c r="X8435" s="142" t="s">
        <v>7450</v>
      </c>
      <c r="Y8435" s="143"/>
      <c r="Z8435" s="143"/>
      <c r="AA8435" s="143"/>
      <c r="AB8435" s="144"/>
      <c r="AC8435" s="16" t="s">
        <v>21</v>
      </c>
      <c r="AD8435" s="17" t="s">
        <v>24588</v>
      </c>
      <c r="AE8435" s="145"/>
      <c r="AF8435" s="146"/>
      <c r="AG8435" s="146"/>
      <c r="AH8435" s="146"/>
      <c r="AI8435" s="147"/>
      <c r="AJ8435" s="148"/>
      <c r="AK8435" s="143"/>
      <c r="AL8435" s="144"/>
      <c r="AM8435" s="22"/>
      <c r="AN8435" s="149" t="s">
        <v>7284</v>
      </c>
      <c r="AO8435" s="144"/>
      <c r="AP8435" s="148">
        <v>60075</v>
      </c>
      <c r="AQ8435" s="144"/>
      <c r="AR8435" s="120"/>
      <c r="AS8435" s="121"/>
      <c r="AT8435" s="120"/>
      <c r="AU8435" s="121"/>
      <c r="AV8435" s="120"/>
      <c r="AW8435" s="121"/>
      <c r="AX8435" s="120"/>
      <c r="AY8435" s="121"/>
      <c r="AZ8435" s="138"/>
    </row>
    <row r="8436" spans="1:52" ht="17.100000000000001" customHeight="1" thickTop="1">
      <c r="A8436" s="109" t="s">
        <v>23900</v>
      </c>
      <c r="B8436" s="28">
        <v>46133</v>
      </c>
      <c r="C8436" s="25">
        <v>936</v>
      </c>
      <c r="D8436" s="13" t="s">
        <v>23968</v>
      </c>
      <c r="E8436" s="111"/>
      <c r="F8436" s="113" t="s">
        <v>23918</v>
      </c>
      <c r="G8436" s="114"/>
      <c r="H8436" s="115"/>
      <c r="I8436" s="24"/>
      <c r="J8436" s="116">
        <v>4</v>
      </c>
      <c r="K8436" s="118">
        <v>1621000</v>
      </c>
      <c r="L8436" s="119"/>
      <c r="M8436" s="118">
        <f t="shared" ref="M8436" si="12762">K8436*0.1</f>
        <v>162100</v>
      </c>
      <c r="N8436" s="119"/>
      <c r="O8436" s="118">
        <v>0</v>
      </c>
      <c r="P8436" s="119"/>
      <c r="Q8436" s="118">
        <v>20050</v>
      </c>
      <c r="R8436" s="119"/>
      <c r="S8436" s="118">
        <v>15950</v>
      </c>
      <c r="T8436" s="119"/>
      <c r="U8436" s="118">
        <f t="shared" ref="U8436" si="12763">SUM(K8436:T8437)</f>
        <v>1819100</v>
      </c>
      <c r="V8436" s="122"/>
      <c r="W8436" s="124"/>
      <c r="X8436" s="126" t="s">
        <v>24809</v>
      </c>
      <c r="Y8436" s="127"/>
      <c r="Z8436" s="127"/>
      <c r="AA8436" s="127"/>
      <c r="AB8436" s="128"/>
      <c r="AC8436" s="15" t="s">
        <v>20</v>
      </c>
      <c r="AD8436" s="129"/>
      <c r="AE8436" s="130"/>
      <c r="AF8436" s="130"/>
      <c r="AG8436" s="130"/>
      <c r="AH8436" s="130"/>
      <c r="AI8436" s="131"/>
      <c r="AJ8436" s="132"/>
      <c r="AK8436" s="127"/>
      <c r="AL8436" s="128"/>
      <c r="AM8436" s="21"/>
      <c r="AN8436" s="133"/>
      <c r="AO8436" s="134"/>
      <c r="AP8436" s="135"/>
      <c r="AQ8436" s="136"/>
      <c r="AR8436" s="118"/>
      <c r="AS8436" s="119"/>
      <c r="AT8436" s="118">
        <f t="shared" ref="AT8436" si="12764">AR8436*0.1</f>
        <v>0</v>
      </c>
      <c r="AU8436" s="119"/>
      <c r="AV8436" s="118"/>
      <c r="AW8436" s="119"/>
      <c r="AX8436" s="118">
        <f t="shared" ref="AX8436" si="12765">SUM(AR8436:AW8436)</f>
        <v>0</v>
      </c>
      <c r="AY8436" s="119"/>
      <c r="AZ8436" s="137"/>
    </row>
    <row r="8437" spans="1:52" ht="17.100000000000001" customHeight="1" thickBot="1">
      <c r="A8437" s="110"/>
      <c r="B8437" s="27" t="s">
        <v>2699</v>
      </c>
      <c r="C8437" s="27">
        <v>5014</v>
      </c>
      <c r="D8437" s="14" t="s">
        <v>2601</v>
      </c>
      <c r="E8437" s="112"/>
      <c r="F8437" s="139" t="s">
        <v>23969</v>
      </c>
      <c r="G8437" s="140"/>
      <c r="H8437" s="141"/>
      <c r="I8437" s="26">
        <v>66467</v>
      </c>
      <c r="J8437" s="117"/>
      <c r="K8437" s="120"/>
      <c r="L8437" s="121"/>
      <c r="M8437" s="120"/>
      <c r="N8437" s="121"/>
      <c r="O8437" s="120"/>
      <c r="P8437" s="121"/>
      <c r="Q8437" s="120"/>
      <c r="R8437" s="121"/>
      <c r="S8437" s="120"/>
      <c r="T8437" s="121"/>
      <c r="U8437" s="120"/>
      <c r="V8437" s="123"/>
      <c r="W8437" s="125"/>
      <c r="X8437" s="142" t="s">
        <v>3562</v>
      </c>
      <c r="Y8437" s="143"/>
      <c r="Z8437" s="143"/>
      <c r="AA8437" s="143"/>
      <c r="AB8437" s="144"/>
      <c r="AC8437" s="16" t="s">
        <v>21</v>
      </c>
      <c r="AD8437" s="17" t="s">
        <v>24805</v>
      </c>
      <c r="AE8437" s="145" t="s">
        <v>24211</v>
      </c>
      <c r="AF8437" s="146"/>
      <c r="AG8437" s="146"/>
      <c r="AH8437" s="146"/>
      <c r="AI8437" s="147"/>
      <c r="AJ8437" s="148"/>
      <c r="AK8437" s="143"/>
      <c r="AL8437" s="144"/>
      <c r="AM8437" s="22"/>
      <c r="AN8437" s="149"/>
      <c r="AO8437" s="144"/>
      <c r="AP8437" s="148"/>
      <c r="AQ8437" s="144"/>
      <c r="AR8437" s="120"/>
      <c r="AS8437" s="121"/>
      <c r="AT8437" s="120"/>
      <c r="AU8437" s="121"/>
      <c r="AV8437" s="120"/>
      <c r="AW8437" s="121"/>
      <c r="AX8437" s="120"/>
      <c r="AY8437" s="121"/>
      <c r="AZ8437" s="138"/>
    </row>
    <row r="8438" spans="1:52" ht="17.100000000000001" customHeight="1" thickTop="1">
      <c r="A8438" s="109" t="s">
        <v>23901</v>
      </c>
      <c r="B8438" s="28">
        <v>46133</v>
      </c>
      <c r="C8438" s="25">
        <v>936</v>
      </c>
      <c r="D8438" s="13" t="s">
        <v>23970</v>
      </c>
      <c r="E8438" s="111"/>
      <c r="F8438" s="113" t="s">
        <v>23919</v>
      </c>
      <c r="G8438" s="114"/>
      <c r="H8438" s="115"/>
      <c r="I8438" s="24"/>
      <c r="J8438" s="116">
        <v>4</v>
      </c>
      <c r="K8438" s="118">
        <v>919000</v>
      </c>
      <c r="L8438" s="119"/>
      <c r="M8438" s="118">
        <f t="shared" ref="M8438" si="12766">K8438*0.1</f>
        <v>91900</v>
      </c>
      <c r="N8438" s="119"/>
      <c r="O8438" s="118">
        <v>0</v>
      </c>
      <c r="P8438" s="119"/>
      <c r="Q8438" s="118">
        <v>11810</v>
      </c>
      <c r="R8438" s="119"/>
      <c r="S8438" s="118">
        <v>15950</v>
      </c>
      <c r="T8438" s="119"/>
      <c r="U8438" s="118">
        <f t="shared" ref="U8438" si="12767">SUM(K8438:T8439)</f>
        <v>1038660</v>
      </c>
      <c r="V8438" s="122"/>
      <c r="W8438" s="124"/>
      <c r="X8438" s="126" t="s">
        <v>24270</v>
      </c>
      <c r="Y8438" s="127"/>
      <c r="Z8438" s="127"/>
      <c r="AA8438" s="127"/>
      <c r="AB8438" s="128"/>
      <c r="AC8438" s="15" t="s">
        <v>20</v>
      </c>
      <c r="AD8438" s="129"/>
      <c r="AE8438" s="130"/>
      <c r="AF8438" s="130"/>
      <c r="AG8438" s="130"/>
      <c r="AH8438" s="130"/>
      <c r="AI8438" s="131"/>
      <c r="AJ8438" s="132"/>
      <c r="AK8438" s="127"/>
      <c r="AL8438" s="128"/>
      <c r="AM8438" s="21"/>
      <c r="AN8438" s="133"/>
      <c r="AO8438" s="134"/>
      <c r="AP8438" s="135"/>
      <c r="AQ8438" s="136"/>
      <c r="AR8438" s="118"/>
      <c r="AS8438" s="119"/>
      <c r="AT8438" s="118">
        <f t="shared" ref="AT8438" si="12768">AR8438*0.1</f>
        <v>0</v>
      </c>
      <c r="AU8438" s="119"/>
      <c r="AV8438" s="118"/>
      <c r="AW8438" s="119"/>
      <c r="AX8438" s="118">
        <f t="shared" ref="AX8438" si="12769">SUM(AR8438:AW8438)</f>
        <v>0</v>
      </c>
      <c r="AY8438" s="119"/>
      <c r="AZ8438" s="137"/>
    </row>
    <row r="8439" spans="1:52" ht="17.100000000000001" customHeight="1" thickBot="1">
      <c r="A8439" s="110"/>
      <c r="B8439" s="27" t="s">
        <v>2699</v>
      </c>
      <c r="C8439" s="27">
        <v>5030</v>
      </c>
      <c r="D8439" s="14" t="s">
        <v>2601</v>
      </c>
      <c r="E8439" s="112"/>
      <c r="F8439" s="139" t="s">
        <v>23971</v>
      </c>
      <c r="G8439" s="140"/>
      <c r="H8439" s="141"/>
      <c r="I8439" s="26">
        <v>69002</v>
      </c>
      <c r="J8439" s="117"/>
      <c r="K8439" s="120"/>
      <c r="L8439" s="121"/>
      <c r="M8439" s="120"/>
      <c r="N8439" s="121"/>
      <c r="O8439" s="120"/>
      <c r="P8439" s="121"/>
      <c r="Q8439" s="120"/>
      <c r="R8439" s="121"/>
      <c r="S8439" s="120"/>
      <c r="T8439" s="121"/>
      <c r="U8439" s="120"/>
      <c r="V8439" s="123"/>
      <c r="W8439" s="125"/>
      <c r="X8439" s="142" t="s">
        <v>10378</v>
      </c>
      <c r="Y8439" s="143"/>
      <c r="Z8439" s="143"/>
      <c r="AA8439" s="143"/>
      <c r="AB8439" s="144"/>
      <c r="AC8439" s="16" t="s">
        <v>21</v>
      </c>
      <c r="AD8439" s="17" t="s">
        <v>24261</v>
      </c>
      <c r="AE8439" s="145" t="s">
        <v>24172</v>
      </c>
      <c r="AF8439" s="146"/>
      <c r="AG8439" s="146"/>
      <c r="AH8439" s="146"/>
      <c r="AI8439" s="147"/>
      <c r="AJ8439" s="148"/>
      <c r="AK8439" s="143"/>
      <c r="AL8439" s="144"/>
      <c r="AM8439" s="22"/>
      <c r="AN8439" s="149"/>
      <c r="AO8439" s="144"/>
      <c r="AP8439" s="148"/>
      <c r="AQ8439" s="144"/>
      <c r="AR8439" s="120"/>
      <c r="AS8439" s="121"/>
      <c r="AT8439" s="120"/>
      <c r="AU8439" s="121"/>
      <c r="AV8439" s="120"/>
      <c r="AW8439" s="121"/>
      <c r="AX8439" s="120"/>
      <c r="AY8439" s="121"/>
      <c r="AZ8439" s="138"/>
    </row>
    <row r="8440" spans="1:52" ht="17.100000000000001" customHeight="1" thickTop="1">
      <c r="A8440" s="109" t="s">
        <v>23922</v>
      </c>
      <c r="B8440" s="28">
        <v>46133</v>
      </c>
      <c r="C8440" s="25">
        <v>936</v>
      </c>
      <c r="D8440" s="13" t="s">
        <v>23972</v>
      </c>
      <c r="E8440" s="111"/>
      <c r="F8440" s="113" t="s">
        <v>23920</v>
      </c>
      <c r="G8440" s="114"/>
      <c r="H8440" s="115"/>
      <c r="I8440" s="24" t="s">
        <v>23974</v>
      </c>
      <c r="J8440" s="150" t="s">
        <v>1715</v>
      </c>
      <c r="K8440" s="118">
        <v>505000</v>
      </c>
      <c r="L8440" s="119"/>
      <c r="M8440" s="118">
        <f t="shared" ref="M8440" si="12770">K8440*0.1</f>
        <v>50500</v>
      </c>
      <c r="N8440" s="119"/>
      <c r="O8440" s="118">
        <v>0</v>
      </c>
      <c r="P8440" s="119"/>
      <c r="Q8440" s="118">
        <v>7510</v>
      </c>
      <c r="R8440" s="119"/>
      <c r="S8440" s="118">
        <v>15950</v>
      </c>
      <c r="T8440" s="119"/>
      <c r="U8440" s="118">
        <f t="shared" ref="U8440" si="12771">SUM(K8440:T8441)</f>
        <v>578960</v>
      </c>
      <c r="V8440" s="122"/>
      <c r="W8440" s="124"/>
      <c r="X8440" s="126" t="s">
        <v>23975</v>
      </c>
      <c r="Y8440" s="127"/>
      <c r="Z8440" s="127"/>
      <c r="AA8440" s="127"/>
      <c r="AB8440" s="128"/>
      <c r="AC8440" s="15" t="s">
        <v>20</v>
      </c>
      <c r="AD8440" s="129"/>
      <c r="AE8440" s="130"/>
      <c r="AF8440" s="130"/>
      <c r="AG8440" s="130"/>
      <c r="AH8440" s="130"/>
      <c r="AI8440" s="131"/>
      <c r="AJ8440" s="132"/>
      <c r="AK8440" s="127"/>
      <c r="AL8440" s="128"/>
      <c r="AM8440" s="21" t="s">
        <v>25217</v>
      </c>
      <c r="AN8440" s="133">
        <v>46144</v>
      </c>
      <c r="AO8440" s="134"/>
      <c r="AP8440" s="135">
        <v>1299</v>
      </c>
      <c r="AQ8440" s="136"/>
      <c r="AR8440" s="118">
        <v>565000</v>
      </c>
      <c r="AS8440" s="119"/>
      <c r="AT8440" s="118">
        <f t="shared" ref="AT8440" si="12772">AR8440*0.1</f>
        <v>56500</v>
      </c>
      <c r="AU8440" s="119"/>
      <c r="AV8440" s="118">
        <v>7510</v>
      </c>
      <c r="AW8440" s="119"/>
      <c r="AX8440" s="118">
        <f t="shared" ref="AX8440" si="12773">SUM(AR8440:AW8440)</f>
        <v>629010</v>
      </c>
      <c r="AY8440" s="119"/>
      <c r="AZ8440" s="137">
        <v>46154</v>
      </c>
    </row>
    <row r="8441" spans="1:52" ht="17.100000000000001" customHeight="1" thickBot="1">
      <c r="A8441" s="110"/>
      <c r="B8441" s="27" t="s">
        <v>2699</v>
      </c>
      <c r="C8441" s="27">
        <v>7188</v>
      </c>
      <c r="D8441" s="14" t="s">
        <v>23973</v>
      </c>
      <c r="E8441" s="112"/>
      <c r="F8441" s="139" t="s">
        <v>23921</v>
      </c>
      <c r="G8441" s="140"/>
      <c r="H8441" s="141"/>
      <c r="I8441" s="26">
        <v>45151</v>
      </c>
      <c r="J8441" s="117"/>
      <c r="K8441" s="120"/>
      <c r="L8441" s="121"/>
      <c r="M8441" s="120"/>
      <c r="N8441" s="121"/>
      <c r="O8441" s="120"/>
      <c r="P8441" s="121"/>
      <c r="Q8441" s="120"/>
      <c r="R8441" s="121"/>
      <c r="S8441" s="120"/>
      <c r="T8441" s="121"/>
      <c r="U8441" s="120"/>
      <c r="V8441" s="123"/>
      <c r="W8441" s="125"/>
      <c r="X8441" s="142" t="s">
        <v>24280</v>
      </c>
      <c r="Y8441" s="143"/>
      <c r="Z8441" s="143"/>
      <c r="AA8441" s="143"/>
      <c r="AB8441" s="144"/>
      <c r="AC8441" s="16" t="s">
        <v>21</v>
      </c>
      <c r="AD8441" s="17" t="s">
        <v>24261</v>
      </c>
      <c r="AE8441" s="145" t="s">
        <v>2401</v>
      </c>
      <c r="AF8441" s="146"/>
      <c r="AG8441" s="146"/>
      <c r="AH8441" s="146"/>
      <c r="AI8441" s="147"/>
      <c r="AJ8441" s="148"/>
      <c r="AK8441" s="143"/>
      <c r="AL8441" s="144"/>
      <c r="AM8441" s="22"/>
      <c r="AN8441" s="149" t="s">
        <v>25047</v>
      </c>
      <c r="AO8441" s="144"/>
      <c r="AP8441" s="148">
        <v>60408</v>
      </c>
      <c r="AQ8441" s="144"/>
      <c r="AR8441" s="120"/>
      <c r="AS8441" s="121"/>
      <c r="AT8441" s="120"/>
      <c r="AU8441" s="121"/>
      <c r="AV8441" s="120"/>
      <c r="AW8441" s="121"/>
      <c r="AX8441" s="120"/>
      <c r="AY8441" s="121"/>
      <c r="AZ8441" s="138"/>
    </row>
    <row r="8442" spans="1:52" ht="17.100000000000001" customHeight="1" thickTop="1">
      <c r="A8442" s="109" t="s">
        <v>23923</v>
      </c>
      <c r="B8442" s="28">
        <v>46133</v>
      </c>
      <c r="C8442" s="25">
        <v>1237</v>
      </c>
      <c r="D8442" s="13" t="s">
        <v>23976</v>
      </c>
      <c r="E8442" s="111"/>
      <c r="F8442" s="113" t="s">
        <v>23930</v>
      </c>
      <c r="G8442" s="114"/>
      <c r="H8442" s="115"/>
      <c r="I8442" s="24"/>
      <c r="J8442" s="116">
        <v>4</v>
      </c>
      <c r="K8442" s="118">
        <v>632000</v>
      </c>
      <c r="L8442" s="119"/>
      <c r="M8442" s="118">
        <f t="shared" ref="M8442" si="12774">K8442*0.1</f>
        <v>63200</v>
      </c>
      <c r="N8442" s="119"/>
      <c r="O8442" s="118">
        <v>0</v>
      </c>
      <c r="P8442" s="119"/>
      <c r="Q8442" s="118">
        <v>14500</v>
      </c>
      <c r="R8442" s="119"/>
      <c r="S8442" s="118">
        <v>15950</v>
      </c>
      <c r="T8442" s="119"/>
      <c r="U8442" s="118">
        <f t="shared" ref="U8442" si="12775">SUM(K8442:T8443)</f>
        <v>725650</v>
      </c>
      <c r="V8442" s="122"/>
      <c r="W8442" s="124"/>
      <c r="X8442" s="126" t="s">
        <v>24164</v>
      </c>
      <c r="Y8442" s="127"/>
      <c r="Z8442" s="127"/>
      <c r="AA8442" s="127"/>
      <c r="AB8442" s="128"/>
      <c r="AC8442" s="15" t="s">
        <v>20</v>
      </c>
      <c r="AD8442" s="129"/>
      <c r="AE8442" s="130"/>
      <c r="AF8442" s="130"/>
      <c r="AG8442" s="130"/>
      <c r="AH8442" s="130"/>
      <c r="AI8442" s="131"/>
      <c r="AJ8442" s="132"/>
      <c r="AK8442" s="127"/>
      <c r="AL8442" s="128"/>
      <c r="AM8442" s="21"/>
      <c r="AN8442" s="133">
        <v>46144</v>
      </c>
      <c r="AO8442" s="134"/>
      <c r="AP8442" s="135">
        <v>1299</v>
      </c>
      <c r="AQ8442" s="136"/>
      <c r="AR8442" s="118">
        <v>775000</v>
      </c>
      <c r="AS8442" s="119"/>
      <c r="AT8442" s="118">
        <f t="shared" ref="AT8442" si="12776">AR8442*0.1</f>
        <v>77500</v>
      </c>
      <c r="AU8442" s="119"/>
      <c r="AV8442" s="118">
        <v>14500</v>
      </c>
      <c r="AW8442" s="119"/>
      <c r="AX8442" s="118">
        <f t="shared" ref="AX8442" si="12777">SUM(AR8442:AW8442)</f>
        <v>867000</v>
      </c>
      <c r="AY8442" s="119"/>
      <c r="AZ8442" s="137">
        <v>46154</v>
      </c>
    </row>
    <row r="8443" spans="1:52" ht="17.100000000000001" customHeight="1" thickBot="1">
      <c r="A8443" s="110"/>
      <c r="B8443" s="27" t="s">
        <v>2379</v>
      </c>
      <c r="C8443" s="27">
        <v>4280</v>
      </c>
      <c r="D8443" s="14" t="s">
        <v>23977</v>
      </c>
      <c r="E8443" s="112"/>
      <c r="F8443" s="139" t="s">
        <v>23978</v>
      </c>
      <c r="G8443" s="140"/>
      <c r="H8443" s="141"/>
      <c r="I8443" s="26">
        <v>41914</v>
      </c>
      <c r="J8443" s="117"/>
      <c r="K8443" s="120"/>
      <c r="L8443" s="121"/>
      <c r="M8443" s="120"/>
      <c r="N8443" s="121"/>
      <c r="O8443" s="120"/>
      <c r="P8443" s="121"/>
      <c r="Q8443" s="120"/>
      <c r="R8443" s="121"/>
      <c r="S8443" s="120"/>
      <c r="T8443" s="121"/>
      <c r="U8443" s="120"/>
      <c r="V8443" s="123"/>
      <c r="W8443" s="125"/>
      <c r="X8443" s="142" t="s">
        <v>24165</v>
      </c>
      <c r="Y8443" s="143"/>
      <c r="Z8443" s="143"/>
      <c r="AA8443" s="143"/>
      <c r="AB8443" s="144"/>
      <c r="AC8443" s="16" t="s">
        <v>21</v>
      </c>
      <c r="AD8443" s="17" t="s">
        <v>24135</v>
      </c>
      <c r="AE8443" s="145" t="s">
        <v>24212</v>
      </c>
      <c r="AF8443" s="146"/>
      <c r="AG8443" s="146"/>
      <c r="AH8443" s="146"/>
      <c r="AI8443" s="147"/>
      <c r="AJ8443" s="148"/>
      <c r="AK8443" s="143"/>
      <c r="AL8443" s="144"/>
      <c r="AM8443" s="22"/>
      <c r="AN8443" s="149" t="s">
        <v>25047</v>
      </c>
      <c r="AO8443" s="144"/>
      <c r="AP8443" s="148">
        <v>80021</v>
      </c>
      <c r="AQ8443" s="144"/>
      <c r="AR8443" s="120"/>
      <c r="AS8443" s="121"/>
      <c r="AT8443" s="120"/>
      <c r="AU8443" s="121"/>
      <c r="AV8443" s="120"/>
      <c r="AW8443" s="121"/>
      <c r="AX8443" s="120"/>
      <c r="AY8443" s="121"/>
      <c r="AZ8443" s="138"/>
    </row>
    <row r="8444" spans="1:52" ht="17.100000000000001" customHeight="1" thickTop="1">
      <c r="A8444" s="109" t="s">
        <v>23924</v>
      </c>
      <c r="B8444" s="28">
        <v>46133</v>
      </c>
      <c r="C8444" s="25">
        <v>1237</v>
      </c>
      <c r="D8444" s="13" t="s">
        <v>23979</v>
      </c>
      <c r="E8444" s="111"/>
      <c r="F8444" s="113" t="s">
        <v>17575</v>
      </c>
      <c r="G8444" s="114"/>
      <c r="H8444" s="115"/>
      <c r="I8444" s="24"/>
      <c r="J8444" s="116">
        <v>4</v>
      </c>
      <c r="K8444" s="118">
        <v>750000</v>
      </c>
      <c r="L8444" s="119"/>
      <c r="M8444" s="118">
        <f t="shared" ref="M8444" si="12778">K8444*0.1</f>
        <v>75000</v>
      </c>
      <c r="N8444" s="119"/>
      <c r="O8444" s="118">
        <v>0</v>
      </c>
      <c r="P8444" s="119"/>
      <c r="Q8444" s="118">
        <v>7440</v>
      </c>
      <c r="R8444" s="119"/>
      <c r="S8444" s="118">
        <v>15950</v>
      </c>
      <c r="T8444" s="119"/>
      <c r="U8444" s="118">
        <f t="shared" ref="U8444" si="12779">SUM(K8444:T8445)</f>
        <v>848390</v>
      </c>
      <c r="V8444" s="122"/>
      <c r="W8444" s="124"/>
      <c r="X8444" s="126" t="s">
        <v>24600</v>
      </c>
      <c r="Y8444" s="127"/>
      <c r="Z8444" s="127"/>
      <c r="AA8444" s="127"/>
      <c r="AB8444" s="128"/>
      <c r="AC8444" s="15" t="s">
        <v>20</v>
      </c>
      <c r="AD8444" s="129"/>
      <c r="AE8444" s="130"/>
      <c r="AF8444" s="130"/>
      <c r="AG8444" s="130"/>
      <c r="AH8444" s="130"/>
      <c r="AI8444" s="131"/>
      <c r="AJ8444" s="132"/>
      <c r="AK8444" s="127"/>
      <c r="AL8444" s="128"/>
      <c r="AM8444" s="21"/>
      <c r="AN8444" s="133">
        <v>46144</v>
      </c>
      <c r="AO8444" s="134"/>
      <c r="AP8444" s="135">
        <v>1299</v>
      </c>
      <c r="AQ8444" s="136"/>
      <c r="AR8444" s="118">
        <v>900000</v>
      </c>
      <c r="AS8444" s="119"/>
      <c r="AT8444" s="118">
        <f t="shared" ref="AT8444" si="12780">AR8444*0.1</f>
        <v>90000</v>
      </c>
      <c r="AU8444" s="119"/>
      <c r="AV8444" s="118">
        <v>7440</v>
      </c>
      <c r="AW8444" s="119"/>
      <c r="AX8444" s="118">
        <f t="shared" ref="AX8444" si="12781">SUM(AR8444:AW8444)</f>
        <v>997440</v>
      </c>
      <c r="AY8444" s="119"/>
      <c r="AZ8444" s="137">
        <v>46154</v>
      </c>
    </row>
    <row r="8445" spans="1:52" ht="17.100000000000001" customHeight="1" thickBot="1">
      <c r="A8445" s="110"/>
      <c r="B8445" s="27" t="s">
        <v>2379</v>
      </c>
      <c r="C8445" s="27">
        <v>62017</v>
      </c>
      <c r="D8445" s="14" t="s">
        <v>23940</v>
      </c>
      <c r="E8445" s="112"/>
      <c r="F8445" s="139" t="s">
        <v>23931</v>
      </c>
      <c r="G8445" s="140"/>
      <c r="H8445" s="141"/>
      <c r="I8445" s="26">
        <v>44269</v>
      </c>
      <c r="J8445" s="117"/>
      <c r="K8445" s="120"/>
      <c r="L8445" s="121"/>
      <c r="M8445" s="120"/>
      <c r="N8445" s="121"/>
      <c r="O8445" s="120"/>
      <c r="P8445" s="121"/>
      <c r="Q8445" s="120"/>
      <c r="R8445" s="121"/>
      <c r="S8445" s="120"/>
      <c r="T8445" s="121"/>
      <c r="U8445" s="120"/>
      <c r="V8445" s="123"/>
      <c r="W8445" s="125"/>
      <c r="X8445" s="142" t="s">
        <v>7450</v>
      </c>
      <c r="Y8445" s="143"/>
      <c r="Z8445" s="143"/>
      <c r="AA8445" s="143"/>
      <c r="AB8445" s="144"/>
      <c r="AC8445" s="16" t="s">
        <v>21</v>
      </c>
      <c r="AD8445" s="17" t="s">
        <v>24588</v>
      </c>
      <c r="AE8445" s="145"/>
      <c r="AF8445" s="146"/>
      <c r="AG8445" s="146"/>
      <c r="AH8445" s="146"/>
      <c r="AI8445" s="147"/>
      <c r="AJ8445" s="148"/>
      <c r="AK8445" s="143"/>
      <c r="AL8445" s="144"/>
      <c r="AM8445" s="22"/>
      <c r="AN8445" s="149" t="s">
        <v>25047</v>
      </c>
      <c r="AO8445" s="144"/>
      <c r="AP8445" s="148">
        <v>41047</v>
      </c>
      <c r="AQ8445" s="144"/>
      <c r="AR8445" s="120"/>
      <c r="AS8445" s="121"/>
      <c r="AT8445" s="120"/>
      <c r="AU8445" s="121"/>
      <c r="AV8445" s="120"/>
      <c r="AW8445" s="121"/>
      <c r="AX8445" s="120"/>
      <c r="AY8445" s="121"/>
      <c r="AZ8445" s="138"/>
    </row>
    <row r="8446" spans="1:52" ht="17.100000000000001" customHeight="1" thickTop="1">
      <c r="A8446" s="109" t="s">
        <v>23925</v>
      </c>
      <c r="B8446" s="28">
        <v>46133</v>
      </c>
      <c r="C8446" s="25">
        <v>1090</v>
      </c>
      <c r="D8446" s="13" t="s">
        <v>859</v>
      </c>
      <c r="E8446" s="111"/>
      <c r="F8446" s="113" t="s">
        <v>23932</v>
      </c>
      <c r="G8446" s="114"/>
      <c r="H8446" s="115"/>
      <c r="I8446" s="24"/>
      <c r="J8446" s="116">
        <v>4.5</v>
      </c>
      <c r="K8446" s="118">
        <v>2005000</v>
      </c>
      <c r="L8446" s="119"/>
      <c r="M8446" s="118">
        <f t="shared" ref="M8446" si="12782">K8446*0.1</f>
        <v>200500</v>
      </c>
      <c r="N8446" s="119"/>
      <c r="O8446" s="118">
        <v>0</v>
      </c>
      <c r="P8446" s="119"/>
      <c r="Q8446" s="118">
        <v>19090</v>
      </c>
      <c r="R8446" s="119"/>
      <c r="S8446" s="118">
        <v>16500</v>
      </c>
      <c r="T8446" s="119"/>
      <c r="U8446" s="118">
        <f t="shared" ref="U8446" si="12783">SUM(K8446:T8447)</f>
        <v>2241090</v>
      </c>
      <c r="V8446" s="122"/>
      <c r="W8446" s="124"/>
      <c r="X8446" s="126" t="s">
        <v>24284</v>
      </c>
      <c r="Y8446" s="127"/>
      <c r="Z8446" s="127"/>
      <c r="AA8446" s="127"/>
      <c r="AB8446" s="128"/>
      <c r="AC8446" s="15" t="s">
        <v>20</v>
      </c>
      <c r="AD8446" s="129" t="s">
        <v>15223</v>
      </c>
      <c r="AE8446" s="130"/>
      <c r="AF8446" s="130"/>
      <c r="AG8446" s="130"/>
      <c r="AH8446" s="130"/>
      <c r="AI8446" s="131"/>
      <c r="AJ8446" s="132"/>
      <c r="AK8446" s="127"/>
      <c r="AL8446" s="128"/>
      <c r="AM8446" s="21"/>
      <c r="AN8446" s="133"/>
      <c r="AO8446" s="134"/>
      <c r="AP8446" s="135"/>
      <c r="AQ8446" s="136"/>
      <c r="AR8446" s="118"/>
      <c r="AS8446" s="119"/>
      <c r="AT8446" s="118">
        <f t="shared" ref="AT8446" si="12784">AR8446*0.1</f>
        <v>0</v>
      </c>
      <c r="AU8446" s="119"/>
      <c r="AV8446" s="118"/>
      <c r="AW8446" s="119"/>
      <c r="AX8446" s="118">
        <f t="shared" ref="AX8446" si="12785">SUM(AR8446:AW8446)</f>
        <v>0</v>
      </c>
      <c r="AY8446" s="119"/>
      <c r="AZ8446" s="137"/>
    </row>
    <row r="8447" spans="1:52" ht="17.100000000000001" customHeight="1" thickBot="1">
      <c r="A8447" s="110"/>
      <c r="B8447" s="27" t="s">
        <v>1591</v>
      </c>
      <c r="C8447" s="27">
        <v>84174</v>
      </c>
      <c r="D8447" s="14" t="s">
        <v>2601</v>
      </c>
      <c r="E8447" s="112"/>
      <c r="F8447" s="139" t="s">
        <v>23933</v>
      </c>
      <c r="G8447" s="140"/>
      <c r="H8447" s="141"/>
      <c r="I8447" s="26">
        <v>64730</v>
      </c>
      <c r="J8447" s="117"/>
      <c r="K8447" s="120"/>
      <c r="L8447" s="121"/>
      <c r="M8447" s="120"/>
      <c r="N8447" s="121"/>
      <c r="O8447" s="120"/>
      <c r="P8447" s="121"/>
      <c r="Q8447" s="120"/>
      <c r="R8447" s="121"/>
      <c r="S8447" s="120"/>
      <c r="T8447" s="121"/>
      <c r="U8447" s="120"/>
      <c r="V8447" s="123"/>
      <c r="W8447" s="125"/>
      <c r="X8447" s="142" t="s">
        <v>24285</v>
      </c>
      <c r="Y8447" s="143"/>
      <c r="Z8447" s="143"/>
      <c r="AA8447" s="143"/>
      <c r="AB8447" s="144"/>
      <c r="AC8447" s="16" t="s">
        <v>21</v>
      </c>
      <c r="AD8447" s="17" t="s">
        <v>24261</v>
      </c>
      <c r="AE8447" s="145" t="s">
        <v>5083</v>
      </c>
      <c r="AF8447" s="146"/>
      <c r="AG8447" s="146"/>
      <c r="AH8447" s="146"/>
      <c r="AI8447" s="147"/>
      <c r="AJ8447" s="148"/>
      <c r="AK8447" s="143"/>
      <c r="AL8447" s="144"/>
      <c r="AM8447" s="22"/>
      <c r="AN8447" s="149"/>
      <c r="AO8447" s="144"/>
      <c r="AP8447" s="148"/>
      <c r="AQ8447" s="144"/>
      <c r="AR8447" s="120"/>
      <c r="AS8447" s="121"/>
      <c r="AT8447" s="120"/>
      <c r="AU8447" s="121"/>
      <c r="AV8447" s="120"/>
      <c r="AW8447" s="121"/>
      <c r="AX8447" s="120"/>
      <c r="AY8447" s="121"/>
      <c r="AZ8447" s="138"/>
    </row>
    <row r="8448" spans="1:52" ht="17.100000000000001" customHeight="1" thickTop="1">
      <c r="A8448" s="109" t="s">
        <v>23926</v>
      </c>
      <c r="B8448" s="28">
        <v>46133</v>
      </c>
      <c r="C8448" s="25">
        <v>1090</v>
      </c>
      <c r="D8448" s="13" t="s">
        <v>1977</v>
      </c>
      <c r="E8448" s="111"/>
      <c r="F8448" s="113" t="s">
        <v>1938</v>
      </c>
      <c r="G8448" s="114"/>
      <c r="H8448" s="115"/>
      <c r="I8448" s="24"/>
      <c r="J8448" s="116">
        <v>4</v>
      </c>
      <c r="K8448" s="118">
        <v>695000</v>
      </c>
      <c r="L8448" s="119"/>
      <c r="M8448" s="118">
        <f t="shared" ref="M8448" si="12786">K8448*0.1</f>
        <v>69500</v>
      </c>
      <c r="N8448" s="119"/>
      <c r="O8448" s="118">
        <v>0</v>
      </c>
      <c r="P8448" s="119"/>
      <c r="Q8448" s="118">
        <v>17600</v>
      </c>
      <c r="R8448" s="119"/>
      <c r="S8448" s="118">
        <v>16500</v>
      </c>
      <c r="T8448" s="119"/>
      <c r="U8448" s="118">
        <f t="shared" ref="U8448" si="12787">SUM(K8448:T8449)</f>
        <v>798600</v>
      </c>
      <c r="V8448" s="122"/>
      <c r="W8448" s="124"/>
      <c r="X8448" s="126" t="s">
        <v>24597</v>
      </c>
      <c r="Y8448" s="127"/>
      <c r="Z8448" s="127"/>
      <c r="AA8448" s="127"/>
      <c r="AB8448" s="128"/>
      <c r="AC8448" s="15" t="s">
        <v>20</v>
      </c>
      <c r="AD8448" s="129" t="s">
        <v>1670</v>
      </c>
      <c r="AE8448" s="130"/>
      <c r="AF8448" s="130"/>
      <c r="AG8448" s="130"/>
      <c r="AH8448" s="130"/>
      <c r="AI8448" s="131"/>
      <c r="AJ8448" s="132"/>
      <c r="AK8448" s="127"/>
      <c r="AL8448" s="128"/>
      <c r="AM8448" s="21"/>
      <c r="AN8448" s="133">
        <v>46135</v>
      </c>
      <c r="AO8448" s="134"/>
      <c r="AP8448" s="135">
        <v>1328</v>
      </c>
      <c r="AQ8448" s="136"/>
      <c r="AR8448" s="118">
        <v>845000</v>
      </c>
      <c r="AS8448" s="119"/>
      <c r="AT8448" s="118">
        <f t="shared" ref="AT8448" si="12788">AR8448*0.1</f>
        <v>84500</v>
      </c>
      <c r="AU8448" s="119"/>
      <c r="AV8448" s="118">
        <v>17600</v>
      </c>
      <c r="AW8448" s="119"/>
      <c r="AX8448" s="118">
        <f t="shared" ref="AX8448" si="12789">SUM(AR8448:AW8448)</f>
        <v>947100</v>
      </c>
      <c r="AY8448" s="119"/>
      <c r="AZ8448" s="137">
        <v>46136</v>
      </c>
    </row>
    <row r="8449" spans="1:52" ht="17.100000000000001" customHeight="1" thickBot="1">
      <c r="A8449" s="110"/>
      <c r="B8449" s="27" t="s">
        <v>1591</v>
      </c>
      <c r="C8449" s="27">
        <v>84316</v>
      </c>
      <c r="D8449" s="14" t="s">
        <v>1700</v>
      </c>
      <c r="E8449" s="112"/>
      <c r="F8449" s="139" t="s">
        <v>23934</v>
      </c>
      <c r="G8449" s="140"/>
      <c r="H8449" s="141"/>
      <c r="I8449" s="26">
        <v>52168</v>
      </c>
      <c r="J8449" s="117"/>
      <c r="K8449" s="120"/>
      <c r="L8449" s="121"/>
      <c r="M8449" s="120"/>
      <c r="N8449" s="121"/>
      <c r="O8449" s="120"/>
      <c r="P8449" s="121"/>
      <c r="Q8449" s="120"/>
      <c r="R8449" s="121"/>
      <c r="S8449" s="120"/>
      <c r="T8449" s="121"/>
      <c r="U8449" s="120"/>
      <c r="V8449" s="123"/>
      <c r="W8449" s="125"/>
      <c r="X8449" s="142" t="s">
        <v>17783</v>
      </c>
      <c r="Y8449" s="143"/>
      <c r="Z8449" s="143"/>
      <c r="AA8449" s="143"/>
      <c r="AB8449" s="144"/>
      <c r="AC8449" s="16" t="s">
        <v>21</v>
      </c>
      <c r="AD8449" s="17" t="s">
        <v>24588</v>
      </c>
      <c r="AE8449" s="145" t="s">
        <v>1742</v>
      </c>
      <c r="AF8449" s="146"/>
      <c r="AG8449" s="146"/>
      <c r="AH8449" s="146"/>
      <c r="AI8449" s="147"/>
      <c r="AJ8449" s="148"/>
      <c r="AK8449" s="143"/>
      <c r="AL8449" s="144"/>
      <c r="AM8449" s="22"/>
      <c r="AN8449" s="149" t="s">
        <v>24066</v>
      </c>
      <c r="AO8449" s="144"/>
      <c r="AP8449" s="148">
        <v>195</v>
      </c>
      <c r="AQ8449" s="144"/>
      <c r="AR8449" s="120"/>
      <c r="AS8449" s="121"/>
      <c r="AT8449" s="120"/>
      <c r="AU8449" s="121"/>
      <c r="AV8449" s="120"/>
      <c r="AW8449" s="121"/>
      <c r="AX8449" s="120"/>
      <c r="AY8449" s="121"/>
      <c r="AZ8449" s="138"/>
    </row>
    <row r="8450" spans="1:52" ht="17.100000000000001" customHeight="1" thickTop="1">
      <c r="A8450" s="109" t="s">
        <v>23927</v>
      </c>
      <c r="B8450" s="28">
        <v>46133</v>
      </c>
      <c r="C8450" s="25">
        <v>987</v>
      </c>
      <c r="D8450" s="13" t="s">
        <v>3530</v>
      </c>
      <c r="E8450" s="111"/>
      <c r="F8450" s="113" t="s">
        <v>18706</v>
      </c>
      <c r="G8450" s="114"/>
      <c r="H8450" s="115"/>
      <c r="I8450" s="24"/>
      <c r="J8450" s="116">
        <v>4</v>
      </c>
      <c r="K8450" s="118">
        <v>714000</v>
      </c>
      <c r="L8450" s="119"/>
      <c r="M8450" s="118">
        <f t="shared" ref="M8450" si="12790">K8450*0.1</f>
        <v>71400</v>
      </c>
      <c r="N8450" s="119"/>
      <c r="O8450" s="118">
        <v>0</v>
      </c>
      <c r="P8450" s="119"/>
      <c r="Q8450" s="118">
        <v>8110</v>
      </c>
      <c r="R8450" s="119"/>
      <c r="S8450" s="118">
        <v>22000</v>
      </c>
      <c r="T8450" s="119"/>
      <c r="U8450" s="118">
        <f t="shared" ref="U8450" si="12791">SUM(K8450:T8451)</f>
        <v>815510</v>
      </c>
      <c r="V8450" s="122"/>
      <c r="W8450" s="124"/>
      <c r="X8450" s="126" t="s">
        <v>24777</v>
      </c>
      <c r="Y8450" s="127"/>
      <c r="Z8450" s="127"/>
      <c r="AA8450" s="127"/>
      <c r="AB8450" s="128"/>
      <c r="AC8450" s="15" t="s">
        <v>20</v>
      </c>
      <c r="AD8450" s="129" t="s">
        <v>16303</v>
      </c>
      <c r="AE8450" s="130"/>
      <c r="AF8450" s="130"/>
      <c r="AG8450" s="130"/>
      <c r="AH8450" s="130"/>
      <c r="AI8450" s="131"/>
      <c r="AJ8450" s="132"/>
      <c r="AK8450" s="127"/>
      <c r="AL8450" s="128"/>
      <c r="AM8450" s="21"/>
      <c r="AN8450" s="133">
        <v>46158</v>
      </c>
      <c r="AO8450" s="134"/>
      <c r="AP8450" s="135">
        <v>1300</v>
      </c>
      <c r="AQ8450" s="136"/>
      <c r="AR8450" s="118">
        <v>790000</v>
      </c>
      <c r="AS8450" s="119"/>
      <c r="AT8450" s="118">
        <f t="shared" ref="AT8450" si="12792">AR8450*0.1</f>
        <v>79000</v>
      </c>
      <c r="AU8450" s="119"/>
      <c r="AV8450" s="118">
        <v>8110</v>
      </c>
      <c r="AW8450" s="119"/>
      <c r="AX8450" s="118">
        <f t="shared" ref="AX8450" si="12793">SUM(AR8450:AW8450)</f>
        <v>877110</v>
      </c>
      <c r="AY8450" s="119"/>
      <c r="AZ8450" s="137">
        <v>46161</v>
      </c>
    </row>
    <row r="8451" spans="1:52" ht="17.100000000000001" customHeight="1" thickBot="1">
      <c r="A8451" s="110"/>
      <c r="B8451" s="27" t="s">
        <v>18196</v>
      </c>
      <c r="C8451" s="27">
        <v>204</v>
      </c>
      <c r="D8451" s="14" t="s">
        <v>1720</v>
      </c>
      <c r="E8451" s="112"/>
      <c r="F8451" s="139" t="s">
        <v>23935</v>
      </c>
      <c r="G8451" s="140"/>
      <c r="H8451" s="141"/>
      <c r="I8451" s="26">
        <v>56609</v>
      </c>
      <c r="J8451" s="117"/>
      <c r="K8451" s="120"/>
      <c r="L8451" s="121"/>
      <c r="M8451" s="120"/>
      <c r="N8451" s="121"/>
      <c r="O8451" s="120"/>
      <c r="P8451" s="121"/>
      <c r="Q8451" s="120"/>
      <c r="R8451" s="121"/>
      <c r="S8451" s="120"/>
      <c r="T8451" s="121"/>
      <c r="U8451" s="120"/>
      <c r="V8451" s="123"/>
      <c r="W8451" s="125"/>
      <c r="X8451" s="142" t="s">
        <v>2482</v>
      </c>
      <c r="Y8451" s="143"/>
      <c r="Z8451" s="143"/>
      <c r="AA8451" s="143"/>
      <c r="AB8451" s="144"/>
      <c r="AC8451" s="16" t="s">
        <v>21</v>
      </c>
      <c r="AD8451" s="17" t="s">
        <v>24751</v>
      </c>
      <c r="AE8451" s="145" t="s">
        <v>4982</v>
      </c>
      <c r="AF8451" s="146"/>
      <c r="AG8451" s="146"/>
      <c r="AH8451" s="146"/>
      <c r="AI8451" s="147"/>
      <c r="AJ8451" s="148"/>
      <c r="AK8451" s="143"/>
      <c r="AL8451" s="144"/>
      <c r="AM8451" s="22"/>
      <c r="AN8451" s="149" t="s">
        <v>2511</v>
      </c>
      <c r="AO8451" s="144"/>
      <c r="AP8451" s="148">
        <v>60177</v>
      </c>
      <c r="AQ8451" s="144"/>
      <c r="AR8451" s="120"/>
      <c r="AS8451" s="121"/>
      <c r="AT8451" s="120"/>
      <c r="AU8451" s="121"/>
      <c r="AV8451" s="120"/>
      <c r="AW8451" s="121"/>
      <c r="AX8451" s="120"/>
      <c r="AY8451" s="121"/>
      <c r="AZ8451" s="138"/>
    </row>
    <row r="8452" spans="1:52" ht="17.100000000000001" customHeight="1" thickTop="1">
      <c r="A8452" s="109" t="s">
        <v>23928</v>
      </c>
      <c r="B8452" s="28">
        <v>46133</v>
      </c>
      <c r="C8452" s="25">
        <v>987</v>
      </c>
      <c r="D8452" s="13" t="s">
        <v>1863</v>
      </c>
      <c r="E8452" s="111"/>
      <c r="F8452" s="113" t="s">
        <v>22147</v>
      </c>
      <c r="G8452" s="114"/>
      <c r="H8452" s="115"/>
      <c r="I8452" s="24"/>
      <c r="J8452" s="116">
        <v>4</v>
      </c>
      <c r="K8452" s="118">
        <v>614000</v>
      </c>
      <c r="L8452" s="119"/>
      <c r="M8452" s="118">
        <f t="shared" ref="M8452" si="12794">K8452*0.1</f>
        <v>61400</v>
      </c>
      <c r="N8452" s="119"/>
      <c r="O8452" s="118">
        <v>0</v>
      </c>
      <c r="P8452" s="119"/>
      <c r="Q8452" s="118">
        <v>9130</v>
      </c>
      <c r="R8452" s="119"/>
      <c r="S8452" s="118">
        <v>22000</v>
      </c>
      <c r="T8452" s="119"/>
      <c r="U8452" s="118">
        <f t="shared" ref="U8452" si="12795">SUM(K8452:T8453)</f>
        <v>706530</v>
      </c>
      <c r="V8452" s="122"/>
      <c r="W8452" s="124"/>
      <c r="X8452" s="126" t="s">
        <v>24778</v>
      </c>
      <c r="Y8452" s="127"/>
      <c r="Z8452" s="127"/>
      <c r="AA8452" s="127"/>
      <c r="AB8452" s="128"/>
      <c r="AC8452" s="15" t="s">
        <v>20</v>
      </c>
      <c r="AD8452" s="129" t="s">
        <v>2054</v>
      </c>
      <c r="AE8452" s="130"/>
      <c r="AF8452" s="130"/>
      <c r="AG8452" s="130"/>
      <c r="AH8452" s="130"/>
      <c r="AI8452" s="131"/>
      <c r="AJ8452" s="132"/>
      <c r="AK8452" s="127"/>
      <c r="AL8452" s="128"/>
      <c r="AM8452" s="21"/>
      <c r="AN8452" s="133"/>
      <c r="AO8452" s="134"/>
      <c r="AP8452" s="135"/>
      <c r="AQ8452" s="136"/>
      <c r="AR8452" s="118"/>
      <c r="AS8452" s="119"/>
      <c r="AT8452" s="118">
        <f t="shared" ref="AT8452" si="12796">AR8452*0.1</f>
        <v>0</v>
      </c>
      <c r="AU8452" s="119"/>
      <c r="AV8452" s="118"/>
      <c r="AW8452" s="119"/>
      <c r="AX8452" s="118">
        <f t="shared" ref="AX8452" si="12797">SUM(AR8452:AW8452)</f>
        <v>0</v>
      </c>
      <c r="AY8452" s="119"/>
      <c r="AZ8452" s="137"/>
    </row>
    <row r="8453" spans="1:52" ht="17.100000000000001" customHeight="1" thickBot="1">
      <c r="A8453" s="110"/>
      <c r="B8453" s="27" t="s">
        <v>18196</v>
      </c>
      <c r="C8453" s="27">
        <v>1020</v>
      </c>
      <c r="D8453" s="14" t="s">
        <v>1592</v>
      </c>
      <c r="E8453" s="112"/>
      <c r="F8453" s="139" t="s">
        <v>23936</v>
      </c>
      <c r="G8453" s="140"/>
      <c r="H8453" s="141"/>
      <c r="I8453" s="26">
        <v>54309</v>
      </c>
      <c r="J8453" s="117"/>
      <c r="K8453" s="120"/>
      <c r="L8453" s="121"/>
      <c r="M8453" s="120"/>
      <c r="N8453" s="121"/>
      <c r="O8453" s="120"/>
      <c r="P8453" s="121"/>
      <c r="Q8453" s="120"/>
      <c r="R8453" s="121"/>
      <c r="S8453" s="120"/>
      <c r="T8453" s="121"/>
      <c r="U8453" s="120"/>
      <c r="V8453" s="123"/>
      <c r="W8453" s="125"/>
      <c r="X8453" s="142" t="s">
        <v>2482</v>
      </c>
      <c r="Y8453" s="143"/>
      <c r="Z8453" s="143"/>
      <c r="AA8453" s="143"/>
      <c r="AB8453" s="144"/>
      <c r="AC8453" s="16" t="s">
        <v>21</v>
      </c>
      <c r="AD8453" s="17" t="s">
        <v>24751</v>
      </c>
      <c r="AE8453" s="145" t="s">
        <v>1670</v>
      </c>
      <c r="AF8453" s="146"/>
      <c r="AG8453" s="146"/>
      <c r="AH8453" s="146"/>
      <c r="AI8453" s="147"/>
      <c r="AJ8453" s="148"/>
      <c r="AK8453" s="143"/>
      <c r="AL8453" s="144"/>
      <c r="AM8453" s="22"/>
      <c r="AN8453" s="149"/>
      <c r="AO8453" s="144"/>
      <c r="AP8453" s="148"/>
      <c r="AQ8453" s="144"/>
      <c r="AR8453" s="120"/>
      <c r="AS8453" s="121"/>
      <c r="AT8453" s="120"/>
      <c r="AU8453" s="121"/>
      <c r="AV8453" s="120"/>
      <c r="AW8453" s="121"/>
      <c r="AX8453" s="120"/>
      <c r="AY8453" s="121"/>
      <c r="AZ8453" s="138"/>
    </row>
    <row r="8454" spans="1:52" ht="17.100000000000001" customHeight="1" thickTop="1">
      <c r="A8454" s="109" t="s">
        <v>23929</v>
      </c>
      <c r="B8454" s="28">
        <v>46133</v>
      </c>
      <c r="C8454" s="25">
        <v>987</v>
      </c>
      <c r="D8454" s="13" t="s">
        <v>1902</v>
      </c>
      <c r="E8454" s="111"/>
      <c r="F8454" s="113" t="s">
        <v>23937</v>
      </c>
      <c r="G8454" s="114"/>
      <c r="H8454" s="115"/>
      <c r="I8454" s="24"/>
      <c r="J8454" s="116">
        <v>4</v>
      </c>
      <c r="K8454" s="118">
        <v>493000</v>
      </c>
      <c r="L8454" s="119"/>
      <c r="M8454" s="118">
        <f t="shared" ref="M8454" si="12798">K8454*0.1</f>
        <v>49300</v>
      </c>
      <c r="N8454" s="119"/>
      <c r="O8454" s="118">
        <v>0</v>
      </c>
      <c r="P8454" s="119"/>
      <c r="Q8454" s="118">
        <v>7140</v>
      </c>
      <c r="R8454" s="119"/>
      <c r="S8454" s="118">
        <v>22000</v>
      </c>
      <c r="T8454" s="119"/>
      <c r="U8454" s="118">
        <f t="shared" ref="U8454" si="12799">SUM(K8454:T8455)</f>
        <v>571440</v>
      </c>
      <c r="V8454" s="122"/>
      <c r="W8454" s="124"/>
      <c r="X8454" s="126" t="s">
        <v>24779</v>
      </c>
      <c r="Y8454" s="127"/>
      <c r="Z8454" s="127"/>
      <c r="AA8454" s="127"/>
      <c r="AB8454" s="128"/>
      <c r="AC8454" s="15" t="s">
        <v>20</v>
      </c>
      <c r="AD8454" s="129" t="s">
        <v>2054</v>
      </c>
      <c r="AE8454" s="130"/>
      <c r="AF8454" s="130"/>
      <c r="AG8454" s="130"/>
      <c r="AH8454" s="130"/>
      <c r="AI8454" s="131"/>
      <c r="AJ8454" s="132"/>
      <c r="AK8454" s="127"/>
      <c r="AL8454" s="128"/>
      <c r="AM8454" s="21"/>
      <c r="AN8454" s="133"/>
      <c r="AO8454" s="134"/>
      <c r="AP8454" s="135"/>
      <c r="AQ8454" s="136"/>
      <c r="AR8454" s="118"/>
      <c r="AS8454" s="119"/>
      <c r="AT8454" s="118">
        <f t="shared" ref="AT8454" si="12800">AR8454*0.1</f>
        <v>0</v>
      </c>
      <c r="AU8454" s="119"/>
      <c r="AV8454" s="118"/>
      <c r="AW8454" s="119"/>
      <c r="AX8454" s="118">
        <f t="shared" ref="AX8454" si="12801">SUM(AR8454:AW8454)</f>
        <v>0</v>
      </c>
      <c r="AY8454" s="119"/>
      <c r="AZ8454" s="137"/>
    </row>
    <row r="8455" spans="1:52" ht="17.100000000000001" customHeight="1" thickBot="1">
      <c r="A8455" s="110"/>
      <c r="B8455" s="27" t="s">
        <v>18196</v>
      </c>
      <c r="C8455" s="27">
        <v>1086</v>
      </c>
      <c r="D8455" s="14" t="s">
        <v>19929</v>
      </c>
      <c r="E8455" s="112"/>
      <c r="F8455" s="139" t="s">
        <v>23938</v>
      </c>
      <c r="G8455" s="140"/>
      <c r="H8455" s="141"/>
      <c r="I8455" s="26">
        <v>23310</v>
      </c>
      <c r="J8455" s="117"/>
      <c r="K8455" s="120"/>
      <c r="L8455" s="121"/>
      <c r="M8455" s="120"/>
      <c r="N8455" s="121"/>
      <c r="O8455" s="120"/>
      <c r="P8455" s="121"/>
      <c r="Q8455" s="120"/>
      <c r="R8455" s="121"/>
      <c r="S8455" s="120"/>
      <c r="T8455" s="121"/>
      <c r="U8455" s="120"/>
      <c r="V8455" s="123"/>
      <c r="W8455" s="125"/>
      <c r="X8455" s="142" t="s">
        <v>10224</v>
      </c>
      <c r="Y8455" s="143"/>
      <c r="Z8455" s="143"/>
      <c r="AA8455" s="143"/>
      <c r="AB8455" s="144"/>
      <c r="AC8455" s="16" t="s">
        <v>21</v>
      </c>
      <c r="AD8455" s="17" t="s">
        <v>24751</v>
      </c>
      <c r="AE8455" s="145" t="s">
        <v>24678</v>
      </c>
      <c r="AF8455" s="146"/>
      <c r="AG8455" s="146"/>
      <c r="AH8455" s="146"/>
      <c r="AI8455" s="147"/>
      <c r="AJ8455" s="148"/>
      <c r="AK8455" s="143"/>
      <c r="AL8455" s="144"/>
      <c r="AM8455" s="22"/>
      <c r="AN8455" s="149"/>
      <c r="AO8455" s="144"/>
      <c r="AP8455" s="148"/>
      <c r="AQ8455" s="144"/>
      <c r="AR8455" s="120"/>
      <c r="AS8455" s="121"/>
      <c r="AT8455" s="120"/>
      <c r="AU8455" s="121"/>
      <c r="AV8455" s="120"/>
      <c r="AW8455" s="121"/>
      <c r="AX8455" s="120"/>
      <c r="AY8455" s="121"/>
      <c r="AZ8455" s="138"/>
    </row>
    <row r="8456" spans="1:52" ht="17.100000000000001" customHeight="1" thickTop="1">
      <c r="A8456" s="109" t="s">
        <v>23980</v>
      </c>
      <c r="B8456" s="28">
        <v>46133</v>
      </c>
      <c r="C8456" s="25">
        <v>1285</v>
      </c>
      <c r="D8456" s="13" t="s">
        <v>1776</v>
      </c>
      <c r="E8456" s="111"/>
      <c r="F8456" s="113" t="s">
        <v>16138</v>
      </c>
      <c r="G8456" s="114"/>
      <c r="H8456" s="115"/>
      <c r="I8456" s="24"/>
      <c r="J8456" s="116">
        <v>4.5</v>
      </c>
      <c r="K8456" s="118">
        <v>695000</v>
      </c>
      <c r="L8456" s="119"/>
      <c r="M8456" s="118">
        <f t="shared" ref="M8456" si="12802">K8456*0.1</f>
        <v>69500</v>
      </c>
      <c r="N8456" s="119"/>
      <c r="O8456" s="118">
        <v>0</v>
      </c>
      <c r="P8456" s="119"/>
      <c r="Q8456" s="118">
        <v>17700</v>
      </c>
      <c r="R8456" s="119"/>
      <c r="S8456" s="118">
        <f>18500+1850</f>
        <v>20350</v>
      </c>
      <c r="T8456" s="119"/>
      <c r="U8456" s="118">
        <f t="shared" ref="U8456" si="12803">SUM(K8456:T8457)</f>
        <v>802550</v>
      </c>
      <c r="V8456" s="122"/>
      <c r="W8456" s="124"/>
      <c r="X8456" s="126" t="s">
        <v>24806</v>
      </c>
      <c r="Y8456" s="127"/>
      <c r="Z8456" s="127"/>
      <c r="AA8456" s="127"/>
      <c r="AB8456" s="128"/>
      <c r="AC8456" s="15" t="s">
        <v>20</v>
      </c>
      <c r="AD8456" s="129"/>
      <c r="AE8456" s="130"/>
      <c r="AF8456" s="130"/>
      <c r="AG8456" s="130"/>
      <c r="AH8456" s="130"/>
      <c r="AI8456" s="131"/>
      <c r="AJ8456" s="132"/>
      <c r="AK8456" s="127"/>
      <c r="AL8456" s="128"/>
      <c r="AM8456" s="21"/>
      <c r="AN8456" s="133">
        <v>46158</v>
      </c>
      <c r="AO8456" s="134"/>
      <c r="AP8456" s="135">
        <v>1300</v>
      </c>
      <c r="AQ8456" s="136"/>
      <c r="AR8456" s="118">
        <v>860000</v>
      </c>
      <c r="AS8456" s="119"/>
      <c r="AT8456" s="118">
        <f t="shared" ref="AT8456" si="12804">AR8456*0.1</f>
        <v>86000</v>
      </c>
      <c r="AU8456" s="119"/>
      <c r="AV8456" s="118">
        <v>17700</v>
      </c>
      <c r="AW8456" s="119"/>
      <c r="AX8456" s="118">
        <f t="shared" ref="AX8456" si="12805">SUM(AR8456:AW8456)</f>
        <v>963700</v>
      </c>
      <c r="AY8456" s="119"/>
      <c r="AZ8456" s="137">
        <v>46161</v>
      </c>
    </row>
    <row r="8457" spans="1:52" ht="17.100000000000001" customHeight="1" thickBot="1">
      <c r="A8457" s="110"/>
      <c r="B8457" s="27" t="s">
        <v>7478</v>
      </c>
      <c r="C8457" s="27">
        <v>38140</v>
      </c>
      <c r="D8457" s="14" t="s">
        <v>904</v>
      </c>
      <c r="E8457" s="112"/>
      <c r="F8457" s="139" t="s">
        <v>24009</v>
      </c>
      <c r="G8457" s="140"/>
      <c r="H8457" s="141"/>
      <c r="I8457" s="26">
        <v>55204</v>
      </c>
      <c r="J8457" s="117"/>
      <c r="K8457" s="120"/>
      <c r="L8457" s="121"/>
      <c r="M8457" s="120"/>
      <c r="N8457" s="121"/>
      <c r="O8457" s="120"/>
      <c r="P8457" s="121"/>
      <c r="Q8457" s="120"/>
      <c r="R8457" s="121"/>
      <c r="S8457" s="120"/>
      <c r="T8457" s="121"/>
      <c r="U8457" s="120"/>
      <c r="V8457" s="123"/>
      <c r="W8457" s="125"/>
      <c r="X8457" s="142" t="s">
        <v>24807</v>
      </c>
      <c r="Y8457" s="143"/>
      <c r="Z8457" s="143"/>
      <c r="AA8457" s="143"/>
      <c r="AB8457" s="144"/>
      <c r="AC8457" s="16" t="s">
        <v>21</v>
      </c>
      <c r="AD8457" s="17" t="s">
        <v>24805</v>
      </c>
      <c r="AE8457" s="145" t="s">
        <v>24808</v>
      </c>
      <c r="AF8457" s="146"/>
      <c r="AG8457" s="146"/>
      <c r="AH8457" s="146"/>
      <c r="AI8457" s="147"/>
      <c r="AJ8457" s="148"/>
      <c r="AK8457" s="143"/>
      <c r="AL8457" s="144"/>
      <c r="AM8457" s="22"/>
      <c r="AN8457" s="149" t="s">
        <v>2511</v>
      </c>
      <c r="AO8457" s="144"/>
      <c r="AP8457" s="148">
        <v>80389</v>
      </c>
      <c r="AQ8457" s="144"/>
      <c r="AR8457" s="120"/>
      <c r="AS8457" s="121"/>
      <c r="AT8457" s="120"/>
      <c r="AU8457" s="121"/>
      <c r="AV8457" s="120"/>
      <c r="AW8457" s="121"/>
      <c r="AX8457" s="120"/>
      <c r="AY8457" s="121"/>
      <c r="AZ8457" s="138"/>
    </row>
    <row r="8458" spans="1:52" ht="17.100000000000001" customHeight="1" thickTop="1">
      <c r="A8458" s="109" t="s">
        <v>23981</v>
      </c>
      <c r="B8458" s="28">
        <v>46134</v>
      </c>
      <c r="C8458" s="25">
        <v>1278</v>
      </c>
      <c r="D8458" s="13" t="s">
        <v>23994</v>
      </c>
      <c r="E8458" s="111"/>
      <c r="F8458" s="113" t="s">
        <v>23985</v>
      </c>
      <c r="G8458" s="114"/>
      <c r="H8458" s="115"/>
      <c r="I8458" s="24" t="s">
        <v>23995</v>
      </c>
      <c r="J8458" s="116">
        <v>4</v>
      </c>
      <c r="K8458" s="118">
        <v>635000</v>
      </c>
      <c r="L8458" s="119"/>
      <c r="M8458" s="118">
        <f t="shared" ref="M8458" si="12806">K8458*0.1</f>
        <v>63500</v>
      </c>
      <c r="N8458" s="119"/>
      <c r="O8458" s="118">
        <v>39820</v>
      </c>
      <c r="P8458" s="119"/>
      <c r="Q8458" s="118">
        <v>9230</v>
      </c>
      <c r="R8458" s="119"/>
      <c r="S8458" s="118">
        <v>22000</v>
      </c>
      <c r="T8458" s="119"/>
      <c r="U8458" s="118">
        <f t="shared" ref="U8458" si="12807">SUM(K8458:T8459)</f>
        <v>769550</v>
      </c>
      <c r="V8458" s="122"/>
      <c r="W8458" s="124"/>
      <c r="X8458" s="126" t="s">
        <v>23996</v>
      </c>
      <c r="Y8458" s="127"/>
      <c r="Z8458" s="127"/>
      <c r="AA8458" s="127"/>
      <c r="AB8458" s="128"/>
      <c r="AC8458" s="15" t="s">
        <v>20</v>
      </c>
      <c r="AD8458" s="129" t="s">
        <v>23942</v>
      </c>
      <c r="AE8458" s="130"/>
      <c r="AF8458" s="130"/>
      <c r="AG8458" s="130"/>
      <c r="AH8458" s="130"/>
      <c r="AI8458" s="131"/>
      <c r="AJ8458" s="132"/>
      <c r="AK8458" s="127"/>
      <c r="AL8458" s="128"/>
      <c r="AM8458" s="21"/>
      <c r="AN8458" s="133">
        <v>46144</v>
      </c>
      <c r="AO8458" s="134"/>
      <c r="AP8458" s="135">
        <v>1299</v>
      </c>
      <c r="AQ8458" s="136"/>
      <c r="AR8458" s="118">
        <v>750000</v>
      </c>
      <c r="AS8458" s="119"/>
      <c r="AT8458" s="118">
        <f t="shared" ref="AT8458" si="12808">AR8458*0.1</f>
        <v>75000</v>
      </c>
      <c r="AU8458" s="119"/>
      <c r="AV8458" s="118">
        <v>9230</v>
      </c>
      <c r="AW8458" s="119"/>
      <c r="AX8458" s="118">
        <f t="shared" ref="AX8458" si="12809">SUM(AR8458:AW8458)</f>
        <v>834230</v>
      </c>
      <c r="AY8458" s="119"/>
      <c r="AZ8458" s="137">
        <v>46154</v>
      </c>
    </row>
    <row r="8459" spans="1:52" ht="17.100000000000001" customHeight="1" thickBot="1">
      <c r="A8459" s="110"/>
      <c r="B8459" s="27" t="s">
        <v>23984</v>
      </c>
      <c r="C8459" s="27">
        <v>10113</v>
      </c>
      <c r="D8459" s="14" t="s">
        <v>23973</v>
      </c>
      <c r="E8459" s="112"/>
      <c r="F8459" s="139" t="s">
        <v>23986</v>
      </c>
      <c r="G8459" s="140"/>
      <c r="H8459" s="141"/>
      <c r="I8459" s="26">
        <v>67821</v>
      </c>
      <c r="J8459" s="117"/>
      <c r="K8459" s="120"/>
      <c r="L8459" s="121"/>
      <c r="M8459" s="120"/>
      <c r="N8459" s="121"/>
      <c r="O8459" s="120"/>
      <c r="P8459" s="121"/>
      <c r="Q8459" s="120"/>
      <c r="R8459" s="121"/>
      <c r="S8459" s="120"/>
      <c r="T8459" s="121"/>
      <c r="U8459" s="120"/>
      <c r="V8459" s="123"/>
      <c r="W8459" s="125"/>
      <c r="X8459" s="142" t="s">
        <v>3410</v>
      </c>
      <c r="Y8459" s="143"/>
      <c r="Z8459" s="143"/>
      <c r="AA8459" s="143"/>
      <c r="AB8459" s="144"/>
      <c r="AC8459" s="16" t="s">
        <v>21</v>
      </c>
      <c r="AD8459" s="17" t="s">
        <v>24751</v>
      </c>
      <c r="AE8459" s="145" t="s">
        <v>4488</v>
      </c>
      <c r="AF8459" s="146"/>
      <c r="AG8459" s="146"/>
      <c r="AH8459" s="146"/>
      <c r="AI8459" s="147"/>
      <c r="AJ8459" s="148"/>
      <c r="AK8459" s="143"/>
      <c r="AL8459" s="144"/>
      <c r="AM8459" s="22"/>
      <c r="AN8459" s="149" t="s">
        <v>25047</v>
      </c>
      <c r="AO8459" s="144"/>
      <c r="AP8459" s="148">
        <v>79</v>
      </c>
      <c r="AQ8459" s="144"/>
      <c r="AR8459" s="120"/>
      <c r="AS8459" s="121"/>
      <c r="AT8459" s="120"/>
      <c r="AU8459" s="121"/>
      <c r="AV8459" s="120"/>
      <c r="AW8459" s="121"/>
      <c r="AX8459" s="120"/>
      <c r="AY8459" s="121"/>
      <c r="AZ8459" s="138"/>
    </row>
    <row r="8460" spans="1:52" ht="17.100000000000001" customHeight="1" thickTop="1">
      <c r="A8460" s="109" t="s">
        <v>23982</v>
      </c>
      <c r="B8460" s="28">
        <v>46134</v>
      </c>
      <c r="C8460" s="25">
        <v>1014</v>
      </c>
      <c r="D8460" s="13" t="s">
        <v>23997</v>
      </c>
      <c r="E8460" s="111"/>
      <c r="F8460" s="113" t="s">
        <v>23988</v>
      </c>
      <c r="G8460" s="114"/>
      <c r="H8460" s="115"/>
      <c r="I8460" s="24" t="s">
        <v>23998</v>
      </c>
      <c r="J8460" s="116">
        <v>3.5</v>
      </c>
      <c r="K8460" s="118">
        <v>2300000</v>
      </c>
      <c r="L8460" s="119"/>
      <c r="M8460" s="118">
        <f t="shared" ref="M8460" si="12810">K8460*0.1</f>
        <v>230000</v>
      </c>
      <c r="N8460" s="119"/>
      <c r="O8460" s="118">
        <v>58410</v>
      </c>
      <c r="P8460" s="119"/>
      <c r="Q8460" s="118">
        <v>15780</v>
      </c>
      <c r="R8460" s="119"/>
      <c r="S8460" s="118">
        <v>12100</v>
      </c>
      <c r="T8460" s="119"/>
      <c r="U8460" s="118">
        <f t="shared" ref="U8460" si="12811">SUM(K8460:T8461)</f>
        <v>2616290</v>
      </c>
      <c r="V8460" s="122"/>
      <c r="W8460" s="124"/>
      <c r="X8460" s="126" t="s">
        <v>23999</v>
      </c>
      <c r="Y8460" s="127"/>
      <c r="Z8460" s="127"/>
      <c r="AA8460" s="127"/>
      <c r="AB8460" s="128"/>
      <c r="AC8460" s="15" t="s">
        <v>20</v>
      </c>
      <c r="AD8460" s="129"/>
      <c r="AE8460" s="130"/>
      <c r="AF8460" s="130"/>
      <c r="AG8460" s="130"/>
      <c r="AH8460" s="130"/>
      <c r="AI8460" s="131"/>
      <c r="AJ8460" s="132"/>
      <c r="AK8460" s="127"/>
      <c r="AL8460" s="128"/>
      <c r="AM8460" s="21" t="s">
        <v>24989</v>
      </c>
      <c r="AN8460" s="133"/>
      <c r="AO8460" s="134"/>
      <c r="AP8460" s="135"/>
      <c r="AQ8460" s="136"/>
      <c r="AR8460" s="118"/>
      <c r="AS8460" s="119"/>
      <c r="AT8460" s="118">
        <f t="shared" ref="AT8460" si="12812">AR8460*0.1</f>
        <v>0</v>
      </c>
      <c r="AU8460" s="119"/>
      <c r="AV8460" s="118"/>
      <c r="AW8460" s="119"/>
      <c r="AX8460" s="118">
        <f t="shared" ref="AX8460" si="12813">SUM(AR8460:AW8460)</f>
        <v>0</v>
      </c>
      <c r="AY8460" s="119"/>
      <c r="AZ8460" s="137"/>
    </row>
    <row r="8461" spans="1:52" ht="17.100000000000001" customHeight="1" thickBot="1">
      <c r="A8461" s="110"/>
      <c r="B8461" s="27" t="s">
        <v>23987</v>
      </c>
      <c r="C8461" s="27">
        <v>1160</v>
      </c>
      <c r="D8461" s="14" t="s">
        <v>1720</v>
      </c>
      <c r="E8461" s="112"/>
      <c r="F8461" s="139" t="s">
        <v>23989</v>
      </c>
      <c r="G8461" s="140"/>
      <c r="H8461" s="141"/>
      <c r="I8461" s="26">
        <v>181061</v>
      </c>
      <c r="J8461" s="117"/>
      <c r="K8461" s="120"/>
      <c r="L8461" s="121"/>
      <c r="M8461" s="120"/>
      <c r="N8461" s="121"/>
      <c r="O8461" s="120"/>
      <c r="P8461" s="121"/>
      <c r="Q8461" s="120"/>
      <c r="R8461" s="121"/>
      <c r="S8461" s="120"/>
      <c r="T8461" s="121"/>
      <c r="U8461" s="120"/>
      <c r="V8461" s="123"/>
      <c r="W8461" s="125"/>
      <c r="X8461" s="142" t="s">
        <v>24787</v>
      </c>
      <c r="Y8461" s="143"/>
      <c r="Z8461" s="143"/>
      <c r="AA8461" s="143"/>
      <c r="AB8461" s="144"/>
      <c r="AC8461" s="16" t="s">
        <v>21</v>
      </c>
      <c r="AD8461" s="17" t="s">
        <v>24751</v>
      </c>
      <c r="AE8461" s="145"/>
      <c r="AF8461" s="146"/>
      <c r="AG8461" s="146"/>
      <c r="AH8461" s="146"/>
      <c r="AI8461" s="147"/>
      <c r="AJ8461" s="148"/>
      <c r="AK8461" s="143"/>
      <c r="AL8461" s="144"/>
      <c r="AM8461" s="22"/>
      <c r="AN8461" s="149"/>
      <c r="AO8461" s="144"/>
      <c r="AP8461" s="148"/>
      <c r="AQ8461" s="144"/>
      <c r="AR8461" s="120"/>
      <c r="AS8461" s="121"/>
      <c r="AT8461" s="120"/>
      <c r="AU8461" s="121"/>
      <c r="AV8461" s="120"/>
      <c r="AW8461" s="121"/>
      <c r="AX8461" s="120"/>
      <c r="AY8461" s="121"/>
      <c r="AZ8461" s="138"/>
    </row>
    <row r="8462" spans="1:52" ht="17.100000000000001" customHeight="1" thickTop="1">
      <c r="A8462" s="109" t="s">
        <v>23983</v>
      </c>
      <c r="B8462" s="28">
        <v>46134</v>
      </c>
      <c r="C8462" s="25">
        <v>1014</v>
      </c>
      <c r="D8462" s="13" t="s">
        <v>23939</v>
      </c>
      <c r="E8462" s="111"/>
      <c r="F8462" s="113" t="s">
        <v>23990</v>
      </c>
      <c r="G8462" s="114"/>
      <c r="H8462" s="115"/>
      <c r="I8462" s="24"/>
      <c r="J8462" s="116">
        <v>4</v>
      </c>
      <c r="K8462" s="118">
        <v>880000</v>
      </c>
      <c r="L8462" s="119"/>
      <c r="M8462" s="118">
        <f t="shared" ref="M8462" si="12814">K8462*0.1</f>
        <v>88000</v>
      </c>
      <c r="N8462" s="119"/>
      <c r="O8462" s="118">
        <v>0</v>
      </c>
      <c r="P8462" s="119"/>
      <c r="Q8462" s="118">
        <v>7510</v>
      </c>
      <c r="R8462" s="119"/>
      <c r="S8462" s="118">
        <v>12100</v>
      </c>
      <c r="T8462" s="119"/>
      <c r="U8462" s="118">
        <f t="shared" ref="U8462" si="12815">SUM(K8462:T8463)</f>
        <v>987610</v>
      </c>
      <c r="V8462" s="122"/>
      <c r="W8462" s="124"/>
      <c r="X8462" s="126" t="s">
        <v>24748</v>
      </c>
      <c r="Y8462" s="127"/>
      <c r="Z8462" s="127"/>
      <c r="AA8462" s="127"/>
      <c r="AB8462" s="128"/>
      <c r="AC8462" s="15" t="s">
        <v>20</v>
      </c>
      <c r="AD8462" s="129"/>
      <c r="AE8462" s="130"/>
      <c r="AF8462" s="130"/>
      <c r="AG8462" s="130"/>
      <c r="AH8462" s="130"/>
      <c r="AI8462" s="131"/>
      <c r="AJ8462" s="132"/>
      <c r="AK8462" s="127"/>
      <c r="AL8462" s="128"/>
      <c r="AM8462" s="21"/>
      <c r="AN8462" s="133">
        <v>46137</v>
      </c>
      <c r="AO8462" s="134"/>
      <c r="AP8462" s="135">
        <v>1298</v>
      </c>
      <c r="AQ8462" s="136"/>
      <c r="AR8462" s="118">
        <v>1040000</v>
      </c>
      <c r="AS8462" s="119"/>
      <c r="AT8462" s="118">
        <f t="shared" ref="AT8462" si="12816">AR8462*0.1</f>
        <v>104000</v>
      </c>
      <c r="AU8462" s="119"/>
      <c r="AV8462" s="118">
        <v>7510</v>
      </c>
      <c r="AW8462" s="119"/>
      <c r="AX8462" s="118">
        <f t="shared" ref="AX8462" si="12817">SUM(AR8462:AW8462)</f>
        <v>1151510</v>
      </c>
      <c r="AY8462" s="119"/>
      <c r="AZ8462" s="137">
        <v>46143</v>
      </c>
    </row>
    <row r="8463" spans="1:52" ht="17.100000000000001" customHeight="1" thickBot="1">
      <c r="A8463" s="110"/>
      <c r="B8463" s="27" t="s">
        <v>23987</v>
      </c>
      <c r="C8463" s="27">
        <v>1282</v>
      </c>
      <c r="D8463" s="14" t="s">
        <v>23973</v>
      </c>
      <c r="E8463" s="112"/>
      <c r="F8463" s="139" t="s">
        <v>23991</v>
      </c>
      <c r="G8463" s="140"/>
      <c r="H8463" s="141"/>
      <c r="I8463" s="26">
        <v>35001</v>
      </c>
      <c r="J8463" s="117"/>
      <c r="K8463" s="120"/>
      <c r="L8463" s="121"/>
      <c r="M8463" s="120"/>
      <c r="N8463" s="121"/>
      <c r="O8463" s="120"/>
      <c r="P8463" s="121"/>
      <c r="Q8463" s="120"/>
      <c r="R8463" s="121"/>
      <c r="S8463" s="120"/>
      <c r="T8463" s="121"/>
      <c r="U8463" s="120"/>
      <c r="V8463" s="123"/>
      <c r="W8463" s="125"/>
      <c r="X8463" s="142" t="s">
        <v>6866</v>
      </c>
      <c r="Y8463" s="143"/>
      <c r="Z8463" s="143"/>
      <c r="AA8463" s="143"/>
      <c r="AB8463" s="144"/>
      <c r="AC8463" s="16" t="s">
        <v>21</v>
      </c>
      <c r="AD8463" s="17" t="s">
        <v>3980</v>
      </c>
      <c r="AE8463" s="145"/>
      <c r="AF8463" s="146"/>
      <c r="AG8463" s="146"/>
      <c r="AH8463" s="146"/>
      <c r="AI8463" s="147"/>
      <c r="AJ8463" s="148"/>
      <c r="AK8463" s="143"/>
      <c r="AL8463" s="144"/>
      <c r="AM8463" s="22"/>
      <c r="AN8463" s="149" t="s">
        <v>2511</v>
      </c>
      <c r="AO8463" s="144"/>
      <c r="AP8463" s="148">
        <v>216</v>
      </c>
      <c r="AQ8463" s="144"/>
      <c r="AR8463" s="120"/>
      <c r="AS8463" s="121"/>
      <c r="AT8463" s="120"/>
      <c r="AU8463" s="121"/>
      <c r="AV8463" s="120"/>
      <c r="AW8463" s="121"/>
      <c r="AX8463" s="120"/>
      <c r="AY8463" s="121"/>
      <c r="AZ8463" s="138"/>
    </row>
    <row r="8464" spans="1:52" ht="17.100000000000001" customHeight="1" thickTop="1">
      <c r="A8464" s="109" t="s">
        <v>24004</v>
      </c>
      <c r="B8464" s="28">
        <v>46134</v>
      </c>
      <c r="C8464" s="25">
        <v>1014</v>
      </c>
      <c r="D8464" s="13" t="s">
        <v>23958</v>
      </c>
      <c r="E8464" s="111"/>
      <c r="F8464" s="113" t="s">
        <v>23992</v>
      </c>
      <c r="G8464" s="114"/>
      <c r="H8464" s="115"/>
      <c r="I8464" s="24"/>
      <c r="J8464" s="116">
        <v>4.5</v>
      </c>
      <c r="K8464" s="118">
        <v>535000</v>
      </c>
      <c r="L8464" s="119"/>
      <c r="M8464" s="118">
        <f t="shared" ref="M8464" si="12818">K8464*0.1</f>
        <v>53500</v>
      </c>
      <c r="N8464" s="119"/>
      <c r="O8464" s="118">
        <v>0</v>
      </c>
      <c r="P8464" s="119"/>
      <c r="Q8464" s="118">
        <v>7140</v>
      </c>
      <c r="R8464" s="119"/>
      <c r="S8464" s="118">
        <v>12100</v>
      </c>
      <c r="T8464" s="119"/>
      <c r="U8464" s="118">
        <f t="shared" ref="U8464" si="12819">SUM(K8464:T8465)</f>
        <v>607740</v>
      </c>
      <c r="V8464" s="122"/>
      <c r="W8464" s="124"/>
      <c r="X8464" s="126" t="s">
        <v>24792</v>
      </c>
      <c r="Y8464" s="127"/>
      <c r="Z8464" s="127"/>
      <c r="AA8464" s="127"/>
      <c r="AB8464" s="128"/>
      <c r="AC8464" s="15" t="s">
        <v>20</v>
      </c>
      <c r="AD8464" s="129" t="s">
        <v>23942</v>
      </c>
      <c r="AE8464" s="130"/>
      <c r="AF8464" s="130"/>
      <c r="AG8464" s="130"/>
      <c r="AH8464" s="130"/>
      <c r="AI8464" s="131"/>
      <c r="AJ8464" s="132"/>
      <c r="AK8464" s="127"/>
      <c r="AL8464" s="128"/>
      <c r="AM8464" s="21"/>
      <c r="AN8464" s="133">
        <v>46144</v>
      </c>
      <c r="AO8464" s="134"/>
      <c r="AP8464" s="135">
        <v>1299</v>
      </c>
      <c r="AQ8464" s="136"/>
      <c r="AR8464" s="118">
        <v>610000</v>
      </c>
      <c r="AS8464" s="119"/>
      <c r="AT8464" s="118">
        <f t="shared" ref="AT8464" si="12820">AR8464*0.1</f>
        <v>61000</v>
      </c>
      <c r="AU8464" s="119"/>
      <c r="AV8464" s="118">
        <v>7140</v>
      </c>
      <c r="AW8464" s="119"/>
      <c r="AX8464" s="118">
        <f t="shared" ref="AX8464" si="12821">SUM(AR8464:AW8464)</f>
        <v>678140</v>
      </c>
      <c r="AY8464" s="119"/>
      <c r="AZ8464" s="137">
        <v>46154</v>
      </c>
    </row>
    <row r="8465" spans="1:52" ht="17.100000000000001" customHeight="1" thickBot="1">
      <c r="A8465" s="110"/>
      <c r="B8465" s="27" t="s">
        <v>23987</v>
      </c>
      <c r="C8465" s="27">
        <v>4040</v>
      </c>
      <c r="D8465" s="14" t="s">
        <v>1720</v>
      </c>
      <c r="E8465" s="112"/>
      <c r="F8465" s="139" t="s">
        <v>23993</v>
      </c>
      <c r="G8465" s="140"/>
      <c r="H8465" s="141"/>
      <c r="I8465" s="26">
        <v>43535</v>
      </c>
      <c r="J8465" s="117"/>
      <c r="K8465" s="120"/>
      <c r="L8465" s="121"/>
      <c r="M8465" s="120"/>
      <c r="N8465" s="121"/>
      <c r="O8465" s="120"/>
      <c r="P8465" s="121"/>
      <c r="Q8465" s="120"/>
      <c r="R8465" s="121"/>
      <c r="S8465" s="120"/>
      <c r="T8465" s="121"/>
      <c r="U8465" s="120"/>
      <c r="V8465" s="123"/>
      <c r="W8465" s="125"/>
      <c r="X8465" s="142" t="s">
        <v>8060</v>
      </c>
      <c r="Y8465" s="143"/>
      <c r="Z8465" s="143"/>
      <c r="AA8465" s="143"/>
      <c r="AB8465" s="144"/>
      <c r="AC8465" s="16" t="s">
        <v>21</v>
      </c>
      <c r="AD8465" s="17" t="s">
        <v>24751</v>
      </c>
      <c r="AE8465" s="145" t="s">
        <v>1670</v>
      </c>
      <c r="AF8465" s="146"/>
      <c r="AG8465" s="146"/>
      <c r="AH8465" s="146"/>
      <c r="AI8465" s="147"/>
      <c r="AJ8465" s="148"/>
      <c r="AK8465" s="143"/>
      <c r="AL8465" s="144"/>
      <c r="AM8465" s="22"/>
      <c r="AN8465" s="149" t="s">
        <v>25047</v>
      </c>
      <c r="AO8465" s="144"/>
      <c r="AP8465" s="148">
        <v>60108</v>
      </c>
      <c r="AQ8465" s="144"/>
      <c r="AR8465" s="120"/>
      <c r="AS8465" s="121"/>
      <c r="AT8465" s="120"/>
      <c r="AU8465" s="121"/>
      <c r="AV8465" s="120"/>
      <c r="AW8465" s="121"/>
      <c r="AX8465" s="120"/>
      <c r="AY8465" s="121"/>
      <c r="AZ8465" s="138"/>
    </row>
    <row r="8466" spans="1:52" ht="17.100000000000001" customHeight="1" thickTop="1">
      <c r="A8466" s="109" t="s">
        <v>24005</v>
      </c>
      <c r="B8466" s="28">
        <v>46134</v>
      </c>
      <c r="C8466" s="25">
        <v>2352</v>
      </c>
      <c r="D8466" s="13" t="s">
        <v>4824</v>
      </c>
      <c r="E8466" s="111"/>
      <c r="F8466" s="113" t="s">
        <v>9979</v>
      </c>
      <c r="G8466" s="114"/>
      <c r="H8466" s="115"/>
      <c r="I8466" s="24"/>
      <c r="J8466" s="116">
        <v>4.5</v>
      </c>
      <c r="K8466" s="118">
        <v>1160000</v>
      </c>
      <c r="L8466" s="119"/>
      <c r="M8466" s="118">
        <f t="shared" ref="M8466" si="12822">K8466*0.1</f>
        <v>116000</v>
      </c>
      <c r="N8466" s="119"/>
      <c r="O8466" s="118">
        <v>0</v>
      </c>
      <c r="P8466" s="119"/>
      <c r="Q8466" s="118">
        <v>18300</v>
      </c>
      <c r="R8466" s="119"/>
      <c r="S8466" s="118">
        <v>16500</v>
      </c>
      <c r="T8466" s="119"/>
      <c r="U8466" s="118">
        <f t="shared" ref="U8466" si="12823">SUM(K8466:T8467)</f>
        <v>1310800</v>
      </c>
      <c r="V8466" s="122"/>
      <c r="W8466" s="124"/>
      <c r="X8466" s="126" t="s">
        <v>24286</v>
      </c>
      <c r="Y8466" s="127"/>
      <c r="Z8466" s="127"/>
      <c r="AA8466" s="127"/>
      <c r="AB8466" s="128"/>
      <c r="AC8466" s="15" t="s">
        <v>20</v>
      </c>
      <c r="AD8466" s="129" t="s">
        <v>171</v>
      </c>
      <c r="AE8466" s="130"/>
      <c r="AF8466" s="130"/>
      <c r="AG8466" s="130"/>
      <c r="AH8466" s="130"/>
      <c r="AI8466" s="131"/>
      <c r="AJ8466" s="132"/>
      <c r="AK8466" s="127"/>
      <c r="AL8466" s="128"/>
      <c r="AM8466" s="21"/>
      <c r="AN8466" s="133"/>
      <c r="AO8466" s="134"/>
      <c r="AP8466" s="135"/>
      <c r="AQ8466" s="136"/>
      <c r="AR8466" s="118"/>
      <c r="AS8466" s="119"/>
      <c r="AT8466" s="118">
        <f t="shared" ref="AT8466" si="12824">AR8466*0.1</f>
        <v>0</v>
      </c>
      <c r="AU8466" s="119"/>
      <c r="AV8466" s="118"/>
      <c r="AW8466" s="119"/>
      <c r="AX8466" s="118">
        <f t="shared" ref="AX8466" si="12825">SUM(AR8466:AW8466)</f>
        <v>0</v>
      </c>
      <c r="AY8466" s="119"/>
      <c r="AZ8466" s="137"/>
    </row>
    <row r="8467" spans="1:52" ht="17.100000000000001" customHeight="1" thickBot="1">
      <c r="A8467" s="110"/>
      <c r="B8467" s="27" t="s">
        <v>3422</v>
      </c>
      <c r="C8467" s="27">
        <v>60043</v>
      </c>
      <c r="D8467" s="14" t="s">
        <v>2601</v>
      </c>
      <c r="E8467" s="112"/>
      <c r="F8467" s="139" t="s">
        <v>24003</v>
      </c>
      <c r="G8467" s="140"/>
      <c r="H8467" s="141"/>
      <c r="I8467" s="26">
        <v>37927</v>
      </c>
      <c r="J8467" s="117"/>
      <c r="K8467" s="120"/>
      <c r="L8467" s="121"/>
      <c r="M8467" s="120"/>
      <c r="N8467" s="121"/>
      <c r="O8467" s="120"/>
      <c r="P8467" s="121"/>
      <c r="Q8467" s="120"/>
      <c r="R8467" s="121"/>
      <c r="S8467" s="120"/>
      <c r="T8467" s="121"/>
      <c r="U8467" s="120"/>
      <c r="V8467" s="123"/>
      <c r="W8467" s="125"/>
      <c r="X8467" s="142" t="s">
        <v>7958</v>
      </c>
      <c r="Y8467" s="143"/>
      <c r="Z8467" s="143"/>
      <c r="AA8467" s="143"/>
      <c r="AB8467" s="144"/>
      <c r="AC8467" s="16" t="s">
        <v>21</v>
      </c>
      <c r="AD8467" s="17" t="s">
        <v>24261</v>
      </c>
      <c r="AE8467" s="145" t="s">
        <v>24287</v>
      </c>
      <c r="AF8467" s="146"/>
      <c r="AG8467" s="146"/>
      <c r="AH8467" s="146"/>
      <c r="AI8467" s="147"/>
      <c r="AJ8467" s="148"/>
      <c r="AK8467" s="143"/>
      <c r="AL8467" s="144"/>
      <c r="AM8467" s="22"/>
      <c r="AN8467" s="149"/>
      <c r="AO8467" s="144"/>
      <c r="AP8467" s="148"/>
      <c r="AQ8467" s="144"/>
      <c r="AR8467" s="120"/>
      <c r="AS8467" s="121"/>
      <c r="AT8467" s="120"/>
      <c r="AU8467" s="121"/>
      <c r="AV8467" s="120"/>
      <c r="AW8467" s="121"/>
      <c r="AX8467" s="120"/>
      <c r="AY8467" s="121"/>
      <c r="AZ8467" s="138"/>
    </row>
    <row r="8468" spans="1:52" ht="17.100000000000001" customHeight="1" thickTop="1">
      <c r="A8468" s="109" t="s">
        <v>24010</v>
      </c>
      <c r="B8468" s="28">
        <v>46134</v>
      </c>
      <c r="C8468" s="25">
        <v>2352</v>
      </c>
      <c r="D8468" s="13" t="s">
        <v>1725</v>
      </c>
      <c r="E8468" s="111"/>
      <c r="F8468" s="113" t="s">
        <v>24007</v>
      </c>
      <c r="G8468" s="114"/>
      <c r="H8468" s="115"/>
      <c r="I8468" s="24"/>
      <c r="J8468" s="116">
        <v>4</v>
      </c>
      <c r="K8468" s="118">
        <v>1165000</v>
      </c>
      <c r="L8468" s="119"/>
      <c r="M8468" s="118">
        <f t="shared" ref="M8468" si="12826">K8468*0.1</f>
        <v>116500</v>
      </c>
      <c r="N8468" s="119"/>
      <c r="O8468" s="118">
        <v>0</v>
      </c>
      <c r="P8468" s="119"/>
      <c r="Q8468" s="118">
        <v>10830</v>
      </c>
      <c r="R8468" s="119"/>
      <c r="S8468" s="118">
        <v>16500</v>
      </c>
      <c r="T8468" s="119"/>
      <c r="U8468" s="118">
        <f t="shared" ref="U8468" si="12827">SUM(K8468:T8469)</f>
        <v>1308830</v>
      </c>
      <c r="V8468" s="122"/>
      <c r="W8468" s="124"/>
      <c r="X8468" s="126" t="s">
        <v>24592</v>
      </c>
      <c r="Y8468" s="127"/>
      <c r="Z8468" s="127"/>
      <c r="AA8468" s="127"/>
      <c r="AB8468" s="128"/>
      <c r="AC8468" s="15" t="s">
        <v>20</v>
      </c>
      <c r="AD8468" s="129" t="s">
        <v>19300</v>
      </c>
      <c r="AE8468" s="130"/>
      <c r="AF8468" s="130"/>
      <c r="AG8468" s="130"/>
      <c r="AH8468" s="130"/>
      <c r="AI8468" s="131"/>
      <c r="AJ8468" s="132"/>
      <c r="AK8468" s="127"/>
      <c r="AL8468" s="128"/>
      <c r="AM8468" s="21"/>
      <c r="AN8468" s="133">
        <v>46137</v>
      </c>
      <c r="AO8468" s="134"/>
      <c r="AP8468" s="135">
        <v>1298</v>
      </c>
      <c r="AQ8468" s="136"/>
      <c r="AR8468" s="118">
        <v>1250000</v>
      </c>
      <c r="AS8468" s="119"/>
      <c r="AT8468" s="118">
        <f t="shared" ref="AT8468" si="12828">AR8468*0.1</f>
        <v>125000</v>
      </c>
      <c r="AU8468" s="119"/>
      <c r="AV8468" s="118">
        <v>10830</v>
      </c>
      <c r="AW8468" s="119"/>
      <c r="AX8468" s="118">
        <f t="shared" ref="AX8468" si="12829">SUM(AR8468:AW8468)</f>
        <v>1385830</v>
      </c>
      <c r="AY8468" s="119"/>
      <c r="AZ8468" s="137">
        <v>46140</v>
      </c>
    </row>
    <row r="8469" spans="1:52" ht="17.100000000000001" customHeight="1" thickBot="1">
      <c r="A8469" s="110"/>
      <c r="B8469" s="27" t="s">
        <v>3422</v>
      </c>
      <c r="C8469" s="27">
        <v>60208</v>
      </c>
      <c r="D8469" s="14" t="s">
        <v>133</v>
      </c>
      <c r="E8469" s="112"/>
      <c r="F8469" s="139" t="s">
        <v>24008</v>
      </c>
      <c r="G8469" s="140"/>
      <c r="H8469" s="141"/>
      <c r="I8469" s="26">
        <v>55154</v>
      </c>
      <c r="J8469" s="117"/>
      <c r="K8469" s="120"/>
      <c r="L8469" s="121"/>
      <c r="M8469" s="120"/>
      <c r="N8469" s="121"/>
      <c r="O8469" s="120"/>
      <c r="P8469" s="121"/>
      <c r="Q8469" s="120"/>
      <c r="R8469" s="121"/>
      <c r="S8469" s="120"/>
      <c r="T8469" s="121"/>
      <c r="U8469" s="120"/>
      <c r="V8469" s="123"/>
      <c r="W8469" s="125"/>
      <c r="X8469" s="142" t="s">
        <v>13389</v>
      </c>
      <c r="Y8469" s="143"/>
      <c r="Z8469" s="143"/>
      <c r="AA8469" s="143"/>
      <c r="AB8469" s="144"/>
      <c r="AC8469" s="16" t="s">
        <v>21</v>
      </c>
      <c r="AD8469" s="17" t="s">
        <v>24588</v>
      </c>
      <c r="AE8469" s="145" t="s">
        <v>14109</v>
      </c>
      <c r="AF8469" s="146"/>
      <c r="AG8469" s="146"/>
      <c r="AH8469" s="146"/>
      <c r="AI8469" s="147"/>
      <c r="AJ8469" s="148"/>
      <c r="AK8469" s="143"/>
      <c r="AL8469" s="144"/>
      <c r="AM8469" s="22"/>
      <c r="AN8469" s="149" t="s">
        <v>2511</v>
      </c>
      <c r="AO8469" s="144"/>
      <c r="AP8469" s="148">
        <v>205</v>
      </c>
      <c r="AQ8469" s="144"/>
      <c r="AR8469" s="120"/>
      <c r="AS8469" s="121"/>
      <c r="AT8469" s="120"/>
      <c r="AU8469" s="121"/>
      <c r="AV8469" s="120"/>
      <c r="AW8469" s="121"/>
      <c r="AX8469" s="120"/>
      <c r="AY8469" s="121"/>
      <c r="AZ8469" s="138"/>
    </row>
    <row r="8470" spans="1:52" ht="17.100000000000001" customHeight="1" thickTop="1">
      <c r="A8470" s="109" t="s">
        <v>24006</v>
      </c>
      <c r="B8470" s="28">
        <v>46134</v>
      </c>
      <c r="C8470" s="25">
        <v>1835</v>
      </c>
      <c r="D8470" s="13" t="s">
        <v>1953</v>
      </c>
      <c r="E8470" s="111"/>
      <c r="F8470" s="113" t="s">
        <v>11543</v>
      </c>
      <c r="G8470" s="114"/>
      <c r="H8470" s="115"/>
      <c r="I8470" s="24"/>
      <c r="J8470" s="116">
        <v>4.5</v>
      </c>
      <c r="K8470" s="118">
        <v>1465000</v>
      </c>
      <c r="L8470" s="119"/>
      <c r="M8470" s="118">
        <f t="shared" ref="M8470" si="12830">K8470*0.1</f>
        <v>146500</v>
      </c>
      <c r="N8470" s="119"/>
      <c r="O8470" s="118">
        <v>0</v>
      </c>
      <c r="P8470" s="119"/>
      <c r="Q8470" s="118">
        <v>24360</v>
      </c>
      <c r="R8470" s="119"/>
      <c r="S8470" s="118">
        <f>18500+1850</f>
        <v>20350</v>
      </c>
      <c r="T8470" s="119"/>
      <c r="U8470" s="118">
        <f t="shared" ref="U8470" si="12831">SUM(K8470:T8471)</f>
        <v>1656210</v>
      </c>
      <c r="V8470" s="122"/>
      <c r="W8470" s="124"/>
      <c r="X8470" s="126" t="s">
        <v>24683</v>
      </c>
      <c r="Y8470" s="127"/>
      <c r="Z8470" s="127"/>
      <c r="AA8470" s="127"/>
      <c r="AB8470" s="128"/>
      <c r="AC8470" s="15" t="s">
        <v>20</v>
      </c>
      <c r="AD8470" s="129"/>
      <c r="AE8470" s="130"/>
      <c r="AF8470" s="130"/>
      <c r="AG8470" s="130"/>
      <c r="AH8470" s="130"/>
      <c r="AI8470" s="131"/>
      <c r="AJ8470" s="132"/>
      <c r="AK8470" s="127"/>
      <c r="AL8470" s="128"/>
      <c r="AM8470" s="21"/>
      <c r="AN8470" s="133">
        <v>46158</v>
      </c>
      <c r="AO8470" s="134"/>
      <c r="AP8470" s="135">
        <v>1300</v>
      </c>
      <c r="AQ8470" s="136"/>
      <c r="AR8470" s="118">
        <v>1605000</v>
      </c>
      <c r="AS8470" s="119"/>
      <c r="AT8470" s="118">
        <f t="shared" ref="AT8470" si="12832">AR8470*0.1</f>
        <v>160500</v>
      </c>
      <c r="AU8470" s="119"/>
      <c r="AV8470" s="118">
        <v>24360</v>
      </c>
      <c r="AW8470" s="119"/>
      <c r="AX8470" s="118">
        <f t="shared" ref="AX8470" si="12833">SUM(AR8470:AW8470)</f>
        <v>1789860</v>
      </c>
      <c r="AY8470" s="119"/>
      <c r="AZ8470" s="137">
        <v>46161</v>
      </c>
    </row>
    <row r="8471" spans="1:52" ht="17.100000000000001" customHeight="1" thickBot="1">
      <c r="A8471" s="110"/>
      <c r="B8471" s="27" t="s">
        <v>2559</v>
      </c>
      <c r="C8471" s="27">
        <v>38030</v>
      </c>
      <c r="D8471" s="14" t="s">
        <v>1812</v>
      </c>
      <c r="E8471" s="112"/>
      <c r="F8471" s="139" t="s">
        <v>24012</v>
      </c>
      <c r="G8471" s="140"/>
      <c r="H8471" s="141"/>
      <c r="I8471" s="26">
        <v>77717</v>
      </c>
      <c r="J8471" s="117"/>
      <c r="K8471" s="120"/>
      <c r="L8471" s="121"/>
      <c r="M8471" s="120"/>
      <c r="N8471" s="121"/>
      <c r="O8471" s="120"/>
      <c r="P8471" s="121"/>
      <c r="Q8471" s="120"/>
      <c r="R8471" s="121"/>
      <c r="S8471" s="120"/>
      <c r="T8471" s="121"/>
      <c r="U8471" s="120"/>
      <c r="V8471" s="123"/>
      <c r="W8471" s="125"/>
      <c r="X8471" s="142" t="s">
        <v>20358</v>
      </c>
      <c r="Y8471" s="143"/>
      <c r="Z8471" s="143"/>
      <c r="AA8471" s="143"/>
      <c r="AB8471" s="144"/>
      <c r="AC8471" s="16" t="s">
        <v>21</v>
      </c>
      <c r="AD8471" s="17" t="s">
        <v>1962</v>
      </c>
      <c r="AE8471" s="145" t="s">
        <v>24172</v>
      </c>
      <c r="AF8471" s="146"/>
      <c r="AG8471" s="146"/>
      <c r="AH8471" s="146"/>
      <c r="AI8471" s="147"/>
      <c r="AJ8471" s="148"/>
      <c r="AK8471" s="143"/>
      <c r="AL8471" s="144"/>
      <c r="AM8471" s="22"/>
      <c r="AN8471" s="149" t="s">
        <v>2511</v>
      </c>
      <c r="AO8471" s="144"/>
      <c r="AP8471" s="148">
        <v>80058</v>
      </c>
      <c r="AQ8471" s="144"/>
      <c r="AR8471" s="120"/>
      <c r="AS8471" s="121"/>
      <c r="AT8471" s="120"/>
      <c r="AU8471" s="121"/>
      <c r="AV8471" s="120"/>
      <c r="AW8471" s="121"/>
      <c r="AX8471" s="120"/>
      <c r="AY8471" s="121"/>
      <c r="AZ8471" s="138"/>
    </row>
    <row r="8472" spans="1:52" ht="17.100000000000001" customHeight="1" thickTop="1">
      <c r="A8472" s="109" t="s">
        <v>24011</v>
      </c>
      <c r="B8472" s="28">
        <v>46134</v>
      </c>
      <c r="C8472" s="25">
        <v>1835</v>
      </c>
      <c r="D8472" s="13" t="s">
        <v>1986</v>
      </c>
      <c r="E8472" s="111"/>
      <c r="F8472" s="113" t="s">
        <v>24013</v>
      </c>
      <c r="G8472" s="114"/>
      <c r="H8472" s="115"/>
      <c r="I8472" s="24"/>
      <c r="J8472" s="116">
        <v>4</v>
      </c>
      <c r="K8472" s="118">
        <v>1130000</v>
      </c>
      <c r="L8472" s="119"/>
      <c r="M8472" s="118">
        <f t="shared" ref="M8472" si="12834">K8472*0.1</f>
        <v>113000</v>
      </c>
      <c r="N8472" s="119"/>
      <c r="O8472" s="118">
        <v>0</v>
      </c>
      <c r="P8472" s="119"/>
      <c r="Q8472" s="118">
        <v>7440</v>
      </c>
      <c r="R8472" s="119"/>
      <c r="S8472" s="118">
        <f>17500+1750</f>
        <v>19250</v>
      </c>
      <c r="T8472" s="119"/>
      <c r="U8472" s="118">
        <f t="shared" ref="U8472" si="12835">SUM(K8472:T8473)</f>
        <v>1269690</v>
      </c>
      <c r="V8472" s="122"/>
      <c r="W8472" s="124"/>
      <c r="X8472" s="126" t="s">
        <v>24682</v>
      </c>
      <c r="Y8472" s="127"/>
      <c r="Z8472" s="127"/>
      <c r="AA8472" s="127"/>
      <c r="AB8472" s="128"/>
      <c r="AC8472" s="15" t="s">
        <v>20</v>
      </c>
      <c r="AD8472" s="129" t="s">
        <v>1670</v>
      </c>
      <c r="AE8472" s="130"/>
      <c r="AF8472" s="130"/>
      <c r="AG8472" s="130"/>
      <c r="AH8472" s="130"/>
      <c r="AI8472" s="131"/>
      <c r="AJ8472" s="132"/>
      <c r="AK8472" s="127"/>
      <c r="AL8472" s="128"/>
      <c r="AM8472" s="21"/>
      <c r="AN8472" s="133">
        <v>46137</v>
      </c>
      <c r="AO8472" s="134"/>
      <c r="AP8472" s="135">
        <v>1298</v>
      </c>
      <c r="AQ8472" s="136"/>
      <c r="AR8472" s="118">
        <v>1250000</v>
      </c>
      <c r="AS8472" s="119"/>
      <c r="AT8472" s="118">
        <f t="shared" ref="AT8472" si="12836">AR8472*0.1</f>
        <v>125000</v>
      </c>
      <c r="AU8472" s="119"/>
      <c r="AV8472" s="118">
        <v>7440</v>
      </c>
      <c r="AW8472" s="119"/>
      <c r="AX8472" s="118">
        <f t="shared" ref="AX8472" si="12837">SUM(AR8472:AW8472)</f>
        <v>1382440</v>
      </c>
      <c r="AY8472" s="119"/>
      <c r="AZ8472" s="137">
        <v>46143</v>
      </c>
    </row>
    <row r="8473" spans="1:52" ht="17.100000000000001" customHeight="1" thickBot="1">
      <c r="A8473" s="110"/>
      <c r="B8473" s="27" t="s">
        <v>2559</v>
      </c>
      <c r="C8473" s="27">
        <v>40135</v>
      </c>
      <c r="D8473" s="14" t="s">
        <v>1720</v>
      </c>
      <c r="E8473" s="112"/>
      <c r="F8473" s="139" t="s">
        <v>24014</v>
      </c>
      <c r="G8473" s="140"/>
      <c r="H8473" s="141"/>
      <c r="I8473" s="26">
        <v>44495</v>
      </c>
      <c r="J8473" s="117"/>
      <c r="K8473" s="120"/>
      <c r="L8473" s="121"/>
      <c r="M8473" s="120"/>
      <c r="N8473" s="121"/>
      <c r="O8473" s="120"/>
      <c r="P8473" s="121"/>
      <c r="Q8473" s="120"/>
      <c r="R8473" s="121"/>
      <c r="S8473" s="120"/>
      <c r="T8473" s="121"/>
      <c r="U8473" s="120"/>
      <c r="V8473" s="123"/>
      <c r="W8473" s="125"/>
      <c r="X8473" s="142" t="s">
        <v>9092</v>
      </c>
      <c r="Y8473" s="143"/>
      <c r="Z8473" s="143"/>
      <c r="AA8473" s="143"/>
      <c r="AB8473" s="144"/>
      <c r="AC8473" s="16" t="s">
        <v>21</v>
      </c>
      <c r="AD8473" s="17" t="s">
        <v>1962</v>
      </c>
      <c r="AE8473" s="145" t="s">
        <v>24678</v>
      </c>
      <c r="AF8473" s="146"/>
      <c r="AG8473" s="146"/>
      <c r="AH8473" s="146"/>
      <c r="AI8473" s="147"/>
      <c r="AJ8473" s="148"/>
      <c r="AK8473" s="143"/>
      <c r="AL8473" s="144"/>
      <c r="AM8473" s="22"/>
      <c r="AN8473" s="149" t="s">
        <v>6748</v>
      </c>
      <c r="AO8473" s="144"/>
      <c r="AP8473" s="148">
        <v>41079</v>
      </c>
      <c r="AQ8473" s="144"/>
      <c r="AR8473" s="120"/>
      <c r="AS8473" s="121"/>
      <c r="AT8473" s="120"/>
      <c r="AU8473" s="121"/>
      <c r="AV8473" s="120"/>
      <c r="AW8473" s="121"/>
      <c r="AX8473" s="120"/>
      <c r="AY8473" s="121"/>
      <c r="AZ8473" s="138"/>
    </row>
    <row r="8474" spans="1:52" ht="17.100000000000001" customHeight="1" thickTop="1">
      <c r="A8474" s="109" t="s">
        <v>24062</v>
      </c>
      <c r="B8474" s="28">
        <v>46135</v>
      </c>
      <c r="C8474" s="25">
        <v>1328</v>
      </c>
      <c r="D8474" s="13" t="s">
        <v>24068</v>
      </c>
      <c r="E8474" s="111"/>
      <c r="F8474" s="113" t="s">
        <v>24069</v>
      </c>
      <c r="G8474" s="114"/>
      <c r="H8474" s="115"/>
      <c r="I8474" s="24" t="s">
        <v>24071</v>
      </c>
      <c r="J8474" s="116">
        <v>4.5</v>
      </c>
      <c r="K8474" s="118">
        <v>2050000</v>
      </c>
      <c r="L8474" s="119"/>
      <c r="M8474" s="118">
        <f t="shared" ref="M8474" si="12838">K8474*0.1</f>
        <v>205000</v>
      </c>
      <c r="N8474" s="119"/>
      <c r="O8474" s="118">
        <f>33000+3300</f>
        <v>36300</v>
      </c>
      <c r="P8474" s="119"/>
      <c r="Q8474" s="118">
        <v>17490</v>
      </c>
      <c r="R8474" s="119"/>
      <c r="S8474" s="118">
        <v>26400</v>
      </c>
      <c r="T8474" s="119"/>
      <c r="U8474" s="118">
        <f t="shared" ref="U8474" si="12839">SUM(K8474:T8475)</f>
        <v>2335190</v>
      </c>
      <c r="V8474" s="122"/>
      <c r="W8474" s="124"/>
      <c r="X8474" s="126" t="s">
        <v>24072</v>
      </c>
      <c r="Y8474" s="127"/>
      <c r="Z8474" s="127"/>
      <c r="AA8474" s="127"/>
      <c r="AB8474" s="128"/>
      <c r="AC8474" s="15" t="s">
        <v>20</v>
      </c>
      <c r="AD8474" s="129" t="s">
        <v>24073</v>
      </c>
      <c r="AE8474" s="130"/>
      <c r="AF8474" s="130"/>
      <c r="AG8474" s="130"/>
      <c r="AH8474" s="130"/>
      <c r="AI8474" s="131"/>
      <c r="AJ8474" s="132"/>
      <c r="AK8474" s="127"/>
      <c r="AL8474" s="128"/>
      <c r="AM8474" s="21"/>
      <c r="AN8474" s="133">
        <v>46137</v>
      </c>
      <c r="AO8474" s="134"/>
      <c r="AP8474" s="135">
        <v>1298</v>
      </c>
      <c r="AQ8474" s="136"/>
      <c r="AR8474" s="118">
        <v>2420000</v>
      </c>
      <c r="AS8474" s="119"/>
      <c r="AT8474" s="118">
        <f t="shared" ref="AT8474" si="12840">AR8474*0.1</f>
        <v>242000</v>
      </c>
      <c r="AU8474" s="119"/>
      <c r="AV8474" s="118">
        <v>17490</v>
      </c>
      <c r="AW8474" s="119"/>
      <c r="AX8474" s="118">
        <f t="shared" ref="AX8474" si="12841">SUM(AR8474:AW8474)</f>
        <v>2679490</v>
      </c>
      <c r="AY8474" s="119"/>
      <c r="AZ8474" s="137">
        <v>46154</v>
      </c>
    </row>
    <row r="8475" spans="1:52" ht="17.100000000000001" customHeight="1" thickBot="1">
      <c r="A8475" s="110"/>
      <c r="B8475" s="27" t="s">
        <v>24066</v>
      </c>
      <c r="C8475" s="27">
        <v>48</v>
      </c>
      <c r="D8475" s="14" t="s">
        <v>133</v>
      </c>
      <c r="E8475" s="112"/>
      <c r="F8475" s="139" t="s">
        <v>24070</v>
      </c>
      <c r="G8475" s="140"/>
      <c r="H8475" s="141"/>
      <c r="I8475" s="26">
        <v>55120</v>
      </c>
      <c r="J8475" s="117"/>
      <c r="K8475" s="120"/>
      <c r="L8475" s="121"/>
      <c r="M8475" s="120"/>
      <c r="N8475" s="121"/>
      <c r="O8475" s="120"/>
      <c r="P8475" s="121"/>
      <c r="Q8475" s="120"/>
      <c r="R8475" s="121"/>
      <c r="S8475" s="120"/>
      <c r="T8475" s="121"/>
      <c r="U8475" s="120"/>
      <c r="V8475" s="123"/>
      <c r="W8475" s="125"/>
      <c r="X8475" s="142" t="s">
        <v>24288</v>
      </c>
      <c r="Y8475" s="143"/>
      <c r="Z8475" s="143"/>
      <c r="AA8475" s="143"/>
      <c r="AB8475" s="144"/>
      <c r="AC8475" s="16" t="s">
        <v>21</v>
      </c>
      <c r="AD8475" s="17" t="s">
        <v>24261</v>
      </c>
      <c r="AE8475" s="145" t="s">
        <v>24289</v>
      </c>
      <c r="AF8475" s="146"/>
      <c r="AG8475" s="146"/>
      <c r="AH8475" s="146"/>
      <c r="AI8475" s="147"/>
      <c r="AJ8475" s="148"/>
      <c r="AK8475" s="143"/>
      <c r="AL8475" s="144"/>
      <c r="AM8475" s="22"/>
      <c r="AN8475" s="149" t="s">
        <v>6749</v>
      </c>
      <c r="AO8475" s="144"/>
      <c r="AP8475" s="148">
        <v>80433</v>
      </c>
      <c r="AQ8475" s="144"/>
      <c r="AR8475" s="120"/>
      <c r="AS8475" s="121"/>
      <c r="AT8475" s="120"/>
      <c r="AU8475" s="121"/>
      <c r="AV8475" s="120"/>
      <c r="AW8475" s="121"/>
      <c r="AX8475" s="120"/>
      <c r="AY8475" s="121"/>
      <c r="AZ8475" s="138"/>
    </row>
    <row r="8476" spans="1:52" ht="17.100000000000001" customHeight="1" thickTop="1">
      <c r="A8476" s="109" t="s">
        <v>24063</v>
      </c>
      <c r="B8476" s="28">
        <v>46135</v>
      </c>
      <c r="C8476" s="25">
        <v>1328</v>
      </c>
      <c r="D8476" s="13" t="s">
        <v>24074</v>
      </c>
      <c r="E8476" s="111"/>
      <c r="F8476" s="113" t="s">
        <v>24075</v>
      </c>
      <c r="G8476" s="114"/>
      <c r="H8476" s="115"/>
      <c r="I8476" s="24"/>
      <c r="J8476" s="116">
        <v>4.5</v>
      </c>
      <c r="K8476" s="118">
        <v>1605000</v>
      </c>
      <c r="L8476" s="119"/>
      <c r="M8476" s="118">
        <f t="shared" ref="M8476" si="12842">K8476*0.1</f>
        <v>160500</v>
      </c>
      <c r="N8476" s="119"/>
      <c r="O8476" s="118">
        <v>0</v>
      </c>
      <c r="P8476" s="119"/>
      <c r="Q8476" s="118">
        <v>15160</v>
      </c>
      <c r="R8476" s="119"/>
      <c r="S8476" s="118">
        <v>16500</v>
      </c>
      <c r="T8476" s="119"/>
      <c r="U8476" s="118">
        <f t="shared" ref="U8476" si="12843">SUM(K8476:T8477)</f>
        <v>1797160</v>
      </c>
      <c r="V8476" s="122"/>
      <c r="W8476" s="124"/>
      <c r="X8476" s="126" t="s">
        <v>24614</v>
      </c>
      <c r="Y8476" s="127"/>
      <c r="Z8476" s="127"/>
      <c r="AA8476" s="127"/>
      <c r="AB8476" s="128"/>
      <c r="AC8476" s="15" t="s">
        <v>20</v>
      </c>
      <c r="AD8476" s="129" t="s">
        <v>24077</v>
      </c>
      <c r="AE8476" s="130"/>
      <c r="AF8476" s="130"/>
      <c r="AG8476" s="130"/>
      <c r="AH8476" s="130"/>
      <c r="AI8476" s="131"/>
      <c r="AJ8476" s="132"/>
      <c r="AK8476" s="127"/>
      <c r="AL8476" s="128"/>
      <c r="AM8476" s="21"/>
      <c r="AN8476" s="133"/>
      <c r="AO8476" s="134"/>
      <c r="AP8476" s="135"/>
      <c r="AQ8476" s="136"/>
      <c r="AR8476" s="118"/>
      <c r="AS8476" s="119"/>
      <c r="AT8476" s="118">
        <f t="shared" ref="AT8476" si="12844">AR8476*0.1</f>
        <v>0</v>
      </c>
      <c r="AU8476" s="119"/>
      <c r="AV8476" s="118"/>
      <c r="AW8476" s="119"/>
      <c r="AX8476" s="118">
        <f t="shared" ref="AX8476" si="12845">SUM(AR8476:AW8476)</f>
        <v>0</v>
      </c>
      <c r="AY8476" s="119"/>
      <c r="AZ8476" s="137"/>
    </row>
    <row r="8477" spans="1:52" ht="17.100000000000001" customHeight="1" thickBot="1">
      <c r="A8477" s="110"/>
      <c r="B8477" s="27" t="s">
        <v>24066</v>
      </c>
      <c r="C8477" s="27">
        <v>546</v>
      </c>
      <c r="D8477" s="14" t="s">
        <v>2601</v>
      </c>
      <c r="E8477" s="112"/>
      <c r="F8477" s="139" t="s">
        <v>24076</v>
      </c>
      <c r="G8477" s="140"/>
      <c r="H8477" s="141"/>
      <c r="I8477" s="26">
        <v>43225</v>
      </c>
      <c r="J8477" s="117"/>
      <c r="K8477" s="120"/>
      <c r="L8477" s="121"/>
      <c r="M8477" s="120"/>
      <c r="N8477" s="121"/>
      <c r="O8477" s="120"/>
      <c r="P8477" s="121"/>
      <c r="Q8477" s="120"/>
      <c r="R8477" s="121"/>
      <c r="S8477" s="120"/>
      <c r="T8477" s="121"/>
      <c r="U8477" s="120"/>
      <c r="V8477" s="123"/>
      <c r="W8477" s="125"/>
      <c r="X8477" s="142" t="s">
        <v>11808</v>
      </c>
      <c r="Y8477" s="143"/>
      <c r="Z8477" s="143"/>
      <c r="AA8477" s="143"/>
      <c r="AB8477" s="144"/>
      <c r="AC8477" s="16" t="s">
        <v>21</v>
      </c>
      <c r="AD8477" s="17" t="s">
        <v>24588</v>
      </c>
      <c r="AE8477" s="145" t="s">
        <v>24681</v>
      </c>
      <c r="AF8477" s="146"/>
      <c r="AG8477" s="146"/>
      <c r="AH8477" s="146"/>
      <c r="AI8477" s="147"/>
      <c r="AJ8477" s="148"/>
      <c r="AK8477" s="143"/>
      <c r="AL8477" s="144"/>
      <c r="AM8477" s="22"/>
      <c r="AN8477" s="149"/>
      <c r="AO8477" s="144"/>
      <c r="AP8477" s="148"/>
      <c r="AQ8477" s="144"/>
      <c r="AR8477" s="120"/>
      <c r="AS8477" s="121"/>
      <c r="AT8477" s="120"/>
      <c r="AU8477" s="121"/>
      <c r="AV8477" s="120"/>
      <c r="AW8477" s="121"/>
      <c r="AX8477" s="120"/>
      <c r="AY8477" s="121"/>
      <c r="AZ8477" s="138"/>
    </row>
    <row r="8478" spans="1:52" ht="17.100000000000001" customHeight="1" thickTop="1">
      <c r="A8478" s="109" t="s">
        <v>24064</v>
      </c>
      <c r="B8478" s="28">
        <v>46135</v>
      </c>
      <c r="C8478" s="25">
        <v>1328</v>
      </c>
      <c r="D8478" s="13" t="s">
        <v>24078</v>
      </c>
      <c r="E8478" s="111"/>
      <c r="F8478" s="113" t="s">
        <v>24080</v>
      </c>
      <c r="G8478" s="114"/>
      <c r="H8478" s="115"/>
      <c r="I8478" s="24"/>
      <c r="J8478" s="116">
        <v>4.5</v>
      </c>
      <c r="K8478" s="118">
        <v>1705000</v>
      </c>
      <c r="L8478" s="119"/>
      <c r="M8478" s="118">
        <f t="shared" ref="M8478" si="12846">K8478*0.1</f>
        <v>170500</v>
      </c>
      <c r="N8478" s="119"/>
      <c r="O8478" s="118">
        <v>0</v>
      </c>
      <c r="P8478" s="119"/>
      <c r="Q8478" s="118">
        <v>21720</v>
      </c>
      <c r="R8478" s="119"/>
      <c r="S8478" s="118">
        <v>16500</v>
      </c>
      <c r="T8478" s="119"/>
      <c r="U8478" s="118">
        <f t="shared" ref="U8478" si="12847">SUM(K8478:T8479)</f>
        <v>1913720</v>
      </c>
      <c r="V8478" s="122"/>
      <c r="W8478" s="124"/>
      <c r="X8478" s="126" t="s">
        <v>24613</v>
      </c>
      <c r="Y8478" s="127"/>
      <c r="Z8478" s="127"/>
      <c r="AA8478" s="127"/>
      <c r="AB8478" s="128"/>
      <c r="AC8478" s="15" t="s">
        <v>20</v>
      </c>
      <c r="AD8478" s="129" t="s">
        <v>24082</v>
      </c>
      <c r="AE8478" s="130"/>
      <c r="AF8478" s="130"/>
      <c r="AG8478" s="130"/>
      <c r="AH8478" s="130"/>
      <c r="AI8478" s="131"/>
      <c r="AJ8478" s="132"/>
      <c r="AK8478" s="127"/>
      <c r="AL8478" s="128"/>
      <c r="AM8478" s="21"/>
      <c r="AN8478" s="133">
        <v>46144</v>
      </c>
      <c r="AO8478" s="134"/>
      <c r="AP8478" s="135">
        <v>1299</v>
      </c>
      <c r="AQ8478" s="136"/>
      <c r="AR8478" s="118">
        <v>1860000</v>
      </c>
      <c r="AS8478" s="119"/>
      <c r="AT8478" s="118">
        <f t="shared" ref="AT8478" si="12848">AR8478*0.1</f>
        <v>186000</v>
      </c>
      <c r="AU8478" s="119"/>
      <c r="AV8478" s="118">
        <v>21720</v>
      </c>
      <c r="AW8478" s="119"/>
      <c r="AX8478" s="118">
        <f t="shared" ref="AX8478" si="12849">SUM(AR8478:AW8478)</f>
        <v>2067720</v>
      </c>
      <c r="AY8478" s="119"/>
      <c r="AZ8478" s="137">
        <v>46154</v>
      </c>
    </row>
    <row r="8479" spans="1:52" ht="17.100000000000001" customHeight="1" thickBot="1">
      <c r="A8479" s="110"/>
      <c r="B8479" s="27" t="s">
        <v>24066</v>
      </c>
      <c r="C8479" s="27">
        <v>565</v>
      </c>
      <c r="D8479" s="14" t="s">
        <v>24079</v>
      </c>
      <c r="E8479" s="112"/>
      <c r="F8479" s="139" t="s">
        <v>24081</v>
      </c>
      <c r="G8479" s="140"/>
      <c r="H8479" s="141"/>
      <c r="I8479" s="26">
        <v>85523</v>
      </c>
      <c r="J8479" s="117"/>
      <c r="K8479" s="120"/>
      <c r="L8479" s="121"/>
      <c r="M8479" s="120"/>
      <c r="N8479" s="121"/>
      <c r="O8479" s="120"/>
      <c r="P8479" s="121"/>
      <c r="Q8479" s="120"/>
      <c r="R8479" s="121"/>
      <c r="S8479" s="120"/>
      <c r="T8479" s="121"/>
      <c r="U8479" s="120"/>
      <c r="V8479" s="123"/>
      <c r="W8479" s="125"/>
      <c r="X8479" s="142" t="s">
        <v>11808</v>
      </c>
      <c r="Y8479" s="143"/>
      <c r="Z8479" s="143"/>
      <c r="AA8479" s="143"/>
      <c r="AB8479" s="144"/>
      <c r="AC8479" s="16" t="s">
        <v>21</v>
      </c>
      <c r="AD8479" s="17" t="s">
        <v>24588</v>
      </c>
      <c r="AE8479" s="145" t="s">
        <v>24681</v>
      </c>
      <c r="AF8479" s="146"/>
      <c r="AG8479" s="146"/>
      <c r="AH8479" s="146"/>
      <c r="AI8479" s="147"/>
      <c r="AJ8479" s="148"/>
      <c r="AK8479" s="143"/>
      <c r="AL8479" s="144"/>
      <c r="AM8479" s="22"/>
      <c r="AN8479" s="149" t="s">
        <v>25324</v>
      </c>
      <c r="AO8479" s="144"/>
      <c r="AP8479" s="148">
        <v>80017</v>
      </c>
      <c r="AQ8479" s="144"/>
      <c r="AR8479" s="120"/>
      <c r="AS8479" s="121"/>
      <c r="AT8479" s="120"/>
      <c r="AU8479" s="121"/>
      <c r="AV8479" s="120"/>
      <c r="AW8479" s="121"/>
      <c r="AX8479" s="120"/>
      <c r="AY8479" s="121"/>
      <c r="AZ8479" s="138"/>
    </row>
    <row r="8480" spans="1:52" ht="17.100000000000001" customHeight="1" thickTop="1">
      <c r="A8480" s="109" t="s">
        <v>24065</v>
      </c>
      <c r="B8480" s="28">
        <v>46135</v>
      </c>
      <c r="C8480" s="25">
        <v>1328</v>
      </c>
      <c r="D8480" s="13" t="s">
        <v>24083</v>
      </c>
      <c r="E8480" s="111"/>
      <c r="F8480" s="113" t="s">
        <v>24085</v>
      </c>
      <c r="G8480" s="114"/>
      <c r="H8480" s="115"/>
      <c r="I8480" s="24"/>
      <c r="J8480" s="116">
        <v>4</v>
      </c>
      <c r="K8480" s="118">
        <v>885000</v>
      </c>
      <c r="L8480" s="119"/>
      <c r="M8480" s="118">
        <f t="shared" ref="M8480" si="12850">K8480*0.1</f>
        <v>88500</v>
      </c>
      <c r="N8480" s="119"/>
      <c r="O8480" s="118">
        <v>0</v>
      </c>
      <c r="P8480" s="119"/>
      <c r="Q8480" s="118">
        <v>23210</v>
      </c>
      <c r="R8480" s="119"/>
      <c r="S8480" s="118">
        <v>16500</v>
      </c>
      <c r="T8480" s="119"/>
      <c r="U8480" s="118">
        <f t="shared" ref="U8480" si="12851">SUM(K8480:T8481)</f>
        <v>1013210</v>
      </c>
      <c r="V8480" s="122"/>
      <c r="W8480" s="124"/>
      <c r="X8480" s="126" t="s">
        <v>24612</v>
      </c>
      <c r="Y8480" s="127"/>
      <c r="Z8480" s="127"/>
      <c r="AA8480" s="127"/>
      <c r="AB8480" s="128"/>
      <c r="AC8480" s="15" t="s">
        <v>20</v>
      </c>
      <c r="AD8480" s="129" t="s">
        <v>24087</v>
      </c>
      <c r="AE8480" s="130"/>
      <c r="AF8480" s="130"/>
      <c r="AG8480" s="130"/>
      <c r="AH8480" s="130"/>
      <c r="AI8480" s="131"/>
      <c r="AJ8480" s="132"/>
      <c r="AK8480" s="127"/>
      <c r="AL8480" s="128"/>
      <c r="AM8480" s="21"/>
      <c r="AN8480" s="133">
        <v>46144</v>
      </c>
      <c r="AO8480" s="134"/>
      <c r="AP8480" s="135">
        <v>1299</v>
      </c>
      <c r="AQ8480" s="136"/>
      <c r="AR8480" s="118">
        <v>990000</v>
      </c>
      <c r="AS8480" s="119"/>
      <c r="AT8480" s="118">
        <f t="shared" ref="AT8480" si="12852">AR8480*0.1</f>
        <v>99000</v>
      </c>
      <c r="AU8480" s="119"/>
      <c r="AV8480" s="118">
        <v>23210</v>
      </c>
      <c r="AW8480" s="119"/>
      <c r="AX8480" s="118">
        <f t="shared" ref="AX8480" si="12853">SUM(AR8480:AW8480)</f>
        <v>1112210</v>
      </c>
      <c r="AY8480" s="119"/>
      <c r="AZ8480" s="137">
        <v>46154</v>
      </c>
    </row>
    <row r="8481" spans="1:52" ht="17.100000000000001" customHeight="1" thickBot="1">
      <c r="A8481" s="110"/>
      <c r="B8481" s="27" t="s">
        <v>24066</v>
      </c>
      <c r="C8481" s="27">
        <v>566</v>
      </c>
      <c r="D8481" s="14" t="s">
        <v>24084</v>
      </c>
      <c r="E8481" s="112"/>
      <c r="F8481" s="139" t="s">
        <v>24086</v>
      </c>
      <c r="G8481" s="140"/>
      <c r="H8481" s="141"/>
      <c r="I8481" s="26">
        <v>57921</v>
      </c>
      <c r="J8481" s="117"/>
      <c r="K8481" s="120"/>
      <c r="L8481" s="121"/>
      <c r="M8481" s="120"/>
      <c r="N8481" s="121"/>
      <c r="O8481" s="120"/>
      <c r="P8481" s="121"/>
      <c r="Q8481" s="120"/>
      <c r="R8481" s="121"/>
      <c r="S8481" s="120"/>
      <c r="T8481" s="121"/>
      <c r="U8481" s="120"/>
      <c r="V8481" s="123"/>
      <c r="W8481" s="125"/>
      <c r="X8481" s="142" t="s">
        <v>11808</v>
      </c>
      <c r="Y8481" s="143"/>
      <c r="Z8481" s="143"/>
      <c r="AA8481" s="143"/>
      <c r="AB8481" s="144"/>
      <c r="AC8481" s="16" t="s">
        <v>21</v>
      </c>
      <c r="AD8481" s="17" t="s">
        <v>24588</v>
      </c>
      <c r="AE8481" s="145" t="s">
        <v>1614</v>
      </c>
      <c r="AF8481" s="146"/>
      <c r="AG8481" s="146"/>
      <c r="AH8481" s="146"/>
      <c r="AI8481" s="147"/>
      <c r="AJ8481" s="148"/>
      <c r="AK8481" s="143"/>
      <c r="AL8481" s="144"/>
      <c r="AM8481" s="22"/>
      <c r="AN8481" s="149" t="s">
        <v>25047</v>
      </c>
      <c r="AO8481" s="144"/>
      <c r="AP8481" s="148">
        <v>80010</v>
      </c>
      <c r="AQ8481" s="144"/>
      <c r="AR8481" s="120"/>
      <c r="AS8481" s="121"/>
      <c r="AT8481" s="120"/>
      <c r="AU8481" s="121"/>
      <c r="AV8481" s="120"/>
      <c r="AW8481" s="121"/>
      <c r="AX8481" s="120"/>
      <c r="AY8481" s="121"/>
      <c r="AZ8481" s="138"/>
    </row>
    <row r="8482" spans="1:52" ht="17.100000000000001" customHeight="1" thickTop="1">
      <c r="A8482" s="109" t="s">
        <v>24067</v>
      </c>
      <c r="B8482" s="28">
        <v>46135</v>
      </c>
      <c r="C8482" s="25">
        <v>1328</v>
      </c>
      <c r="D8482" s="13" t="s">
        <v>24088</v>
      </c>
      <c r="E8482" s="111"/>
      <c r="F8482" s="113" t="s">
        <v>24089</v>
      </c>
      <c r="G8482" s="114"/>
      <c r="H8482" s="115"/>
      <c r="I8482" s="24"/>
      <c r="J8482" s="116">
        <v>4.5</v>
      </c>
      <c r="K8482" s="118">
        <v>2380000</v>
      </c>
      <c r="L8482" s="119"/>
      <c r="M8482" s="118">
        <f t="shared" ref="M8482" si="12854">K8482*0.1</f>
        <v>238000</v>
      </c>
      <c r="N8482" s="119"/>
      <c r="O8482" s="118">
        <v>0</v>
      </c>
      <c r="P8482" s="119"/>
      <c r="Q8482" s="118">
        <v>17360</v>
      </c>
      <c r="R8482" s="119"/>
      <c r="S8482" s="118">
        <v>16500</v>
      </c>
      <c r="T8482" s="119"/>
      <c r="U8482" s="118">
        <f t="shared" ref="U8482" si="12855">SUM(K8482:T8483)</f>
        <v>2651860</v>
      </c>
      <c r="V8482" s="122"/>
      <c r="W8482" s="124"/>
      <c r="X8482" s="126" t="s">
        <v>24611</v>
      </c>
      <c r="Y8482" s="127"/>
      <c r="Z8482" s="127"/>
      <c r="AA8482" s="127"/>
      <c r="AB8482" s="128"/>
      <c r="AC8482" s="15" t="s">
        <v>20</v>
      </c>
      <c r="AD8482" s="129" t="s">
        <v>24091</v>
      </c>
      <c r="AE8482" s="130"/>
      <c r="AF8482" s="130"/>
      <c r="AG8482" s="130"/>
      <c r="AH8482" s="130"/>
      <c r="AI8482" s="131"/>
      <c r="AJ8482" s="132"/>
      <c r="AK8482" s="127"/>
      <c r="AL8482" s="128"/>
      <c r="AM8482" s="21"/>
      <c r="AN8482" s="133"/>
      <c r="AO8482" s="134"/>
      <c r="AP8482" s="135"/>
      <c r="AQ8482" s="136"/>
      <c r="AR8482" s="118"/>
      <c r="AS8482" s="119"/>
      <c r="AT8482" s="118">
        <f t="shared" ref="AT8482" si="12856">AR8482*0.1</f>
        <v>0</v>
      </c>
      <c r="AU8482" s="119"/>
      <c r="AV8482" s="118"/>
      <c r="AW8482" s="119"/>
      <c r="AX8482" s="118">
        <f t="shared" ref="AX8482" si="12857">SUM(AR8482:AW8482)</f>
        <v>0</v>
      </c>
      <c r="AY8482" s="119"/>
      <c r="AZ8482" s="137"/>
    </row>
    <row r="8483" spans="1:52" ht="17.100000000000001" customHeight="1" thickBot="1">
      <c r="A8483" s="110"/>
      <c r="B8483" s="27" t="s">
        <v>24066</v>
      </c>
      <c r="C8483" s="27">
        <v>569</v>
      </c>
      <c r="D8483" s="14" t="s">
        <v>24084</v>
      </c>
      <c r="E8483" s="112"/>
      <c r="F8483" s="139" t="s">
        <v>24090</v>
      </c>
      <c r="G8483" s="140"/>
      <c r="H8483" s="141"/>
      <c r="I8483" s="26">
        <v>49918</v>
      </c>
      <c r="J8483" s="117"/>
      <c r="K8483" s="120"/>
      <c r="L8483" s="121"/>
      <c r="M8483" s="120"/>
      <c r="N8483" s="121"/>
      <c r="O8483" s="120"/>
      <c r="P8483" s="121"/>
      <c r="Q8483" s="120"/>
      <c r="R8483" s="121"/>
      <c r="S8483" s="120"/>
      <c r="T8483" s="121"/>
      <c r="U8483" s="120"/>
      <c r="V8483" s="123"/>
      <c r="W8483" s="125"/>
      <c r="X8483" s="142" t="s">
        <v>1861</v>
      </c>
      <c r="Y8483" s="143"/>
      <c r="Z8483" s="143"/>
      <c r="AA8483" s="143"/>
      <c r="AB8483" s="144"/>
      <c r="AC8483" s="16" t="s">
        <v>21</v>
      </c>
      <c r="AD8483" s="17" t="s">
        <v>24588</v>
      </c>
      <c r="AE8483" s="145" t="s">
        <v>11914</v>
      </c>
      <c r="AF8483" s="146"/>
      <c r="AG8483" s="146"/>
      <c r="AH8483" s="146"/>
      <c r="AI8483" s="147"/>
      <c r="AJ8483" s="148"/>
      <c r="AK8483" s="143"/>
      <c r="AL8483" s="144"/>
      <c r="AM8483" s="22"/>
      <c r="AN8483" s="149"/>
      <c r="AO8483" s="144"/>
      <c r="AP8483" s="148"/>
      <c r="AQ8483" s="144"/>
      <c r="AR8483" s="120"/>
      <c r="AS8483" s="121"/>
      <c r="AT8483" s="120"/>
      <c r="AU8483" s="121"/>
      <c r="AV8483" s="120"/>
      <c r="AW8483" s="121"/>
      <c r="AX8483" s="120"/>
      <c r="AY8483" s="121"/>
      <c r="AZ8483" s="138"/>
    </row>
    <row r="8484" spans="1:52" ht="17.100000000000001" customHeight="1" thickTop="1">
      <c r="A8484" s="151" t="s">
        <v>24094</v>
      </c>
      <c r="B8484" s="28">
        <v>46135</v>
      </c>
      <c r="C8484" s="25">
        <v>1980</v>
      </c>
      <c r="D8484" s="13" t="s">
        <v>24100</v>
      </c>
      <c r="E8484" s="111"/>
      <c r="F8484" s="113" t="s">
        <v>24101</v>
      </c>
      <c r="G8484" s="114"/>
      <c r="H8484" s="115"/>
      <c r="I8484" s="24"/>
      <c r="J8484" s="116">
        <v>4.5</v>
      </c>
      <c r="K8484" s="118">
        <v>577000</v>
      </c>
      <c r="L8484" s="119"/>
      <c r="M8484" s="118">
        <f t="shared" ref="M8484" si="12858">K8484*0.1</f>
        <v>57700</v>
      </c>
      <c r="N8484" s="119"/>
      <c r="O8484" s="118">
        <v>0</v>
      </c>
      <c r="P8484" s="119"/>
      <c r="Q8484" s="118">
        <v>6550</v>
      </c>
      <c r="R8484" s="119"/>
      <c r="S8484" s="118">
        <v>17050</v>
      </c>
      <c r="T8484" s="119"/>
      <c r="U8484" s="118">
        <f t="shared" ref="U8484" si="12859">SUM(K8484:T8485)</f>
        <v>658300</v>
      </c>
      <c r="V8484" s="122"/>
      <c r="W8484" s="124"/>
      <c r="X8484" s="126"/>
      <c r="Y8484" s="127"/>
      <c r="Z8484" s="127"/>
      <c r="AA8484" s="127"/>
      <c r="AB8484" s="128"/>
      <c r="AC8484" s="15" t="s">
        <v>20</v>
      </c>
      <c r="AD8484" s="129" t="s">
        <v>24103</v>
      </c>
      <c r="AE8484" s="130"/>
      <c r="AF8484" s="130"/>
      <c r="AG8484" s="130"/>
      <c r="AH8484" s="130"/>
      <c r="AI8484" s="131"/>
      <c r="AJ8484" s="132" t="s">
        <v>8040</v>
      </c>
      <c r="AK8484" s="127"/>
      <c r="AL8484" s="128"/>
      <c r="AM8484" s="21"/>
      <c r="AN8484" s="133"/>
      <c r="AO8484" s="134"/>
      <c r="AP8484" s="135"/>
      <c r="AQ8484" s="136"/>
      <c r="AR8484" s="118"/>
      <c r="AS8484" s="119"/>
      <c r="AT8484" s="118">
        <f t="shared" ref="AT8484" si="12860">AR8484*0.1</f>
        <v>0</v>
      </c>
      <c r="AU8484" s="119"/>
      <c r="AV8484" s="118"/>
      <c r="AW8484" s="119"/>
      <c r="AX8484" s="118">
        <f t="shared" ref="AX8484" si="12861">SUM(AR8484:AW8484)</f>
        <v>0</v>
      </c>
      <c r="AY8484" s="119"/>
      <c r="AZ8484" s="137"/>
    </row>
    <row r="8485" spans="1:52" ht="17.100000000000001" customHeight="1" thickBot="1">
      <c r="A8485" s="152"/>
      <c r="B8485" s="27" t="s">
        <v>24099</v>
      </c>
      <c r="C8485" s="27">
        <v>3055</v>
      </c>
      <c r="D8485" s="14" t="s">
        <v>1720</v>
      </c>
      <c r="E8485" s="112"/>
      <c r="F8485" s="139" t="s">
        <v>24102</v>
      </c>
      <c r="G8485" s="140"/>
      <c r="H8485" s="141"/>
      <c r="I8485" s="26">
        <v>16991</v>
      </c>
      <c r="J8485" s="117"/>
      <c r="K8485" s="120"/>
      <c r="L8485" s="121"/>
      <c r="M8485" s="120"/>
      <c r="N8485" s="121"/>
      <c r="O8485" s="120"/>
      <c r="P8485" s="121"/>
      <c r="Q8485" s="120"/>
      <c r="R8485" s="121"/>
      <c r="S8485" s="120"/>
      <c r="T8485" s="121"/>
      <c r="U8485" s="120"/>
      <c r="V8485" s="123"/>
      <c r="W8485" s="125"/>
      <c r="X8485" s="142"/>
      <c r="Y8485" s="143"/>
      <c r="Z8485" s="143"/>
      <c r="AA8485" s="143"/>
      <c r="AB8485" s="144"/>
      <c r="AC8485" s="16" t="s">
        <v>21</v>
      </c>
      <c r="AD8485" s="17" t="s">
        <v>10540</v>
      </c>
      <c r="AE8485" s="145"/>
      <c r="AF8485" s="146"/>
      <c r="AG8485" s="146"/>
      <c r="AH8485" s="146"/>
      <c r="AI8485" s="147"/>
      <c r="AJ8485" s="148"/>
      <c r="AK8485" s="143"/>
      <c r="AL8485" s="144"/>
      <c r="AM8485" s="22"/>
      <c r="AN8485" s="149"/>
      <c r="AO8485" s="144"/>
      <c r="AP8485" s="148"/>
      <c r="AQ8485" s="144"/>
      <c r="AR8485" s="120"/>
      <c r="AS8485" s="121"/>
      <c r="AT8485" s="120"/>
      <c r="AU8485" s="121"/>
      <c r="AV8485" s="120"/>
      <c r="AW8485" s="121"/>
      <c r="AX8485" s="120"/>
      <c r="AY8485" s="121"/>
      <c r="AZ8485" s="138"/>
    </row>
    <row r="8486" spans="1:52" ht="17.100000000000001" customHeight="1" thickTop="1">
      <c r="A8486" s="109" t="s">
        <v>24095</v>
      </c>
      <c r="B8486" s="28">
        <v>46135</v>
      </c>
      <c r="C8486" s="25">
        <v>1980</v>
      </c>
      <c r="D8486" s="13" t="s">
        <v>24104</v>
      </c>
      <c r="E8486" s="111"/>
      <c r="F8486" s="113" t="s">
        <v>24105</v>
      </c>
      <c r="G8486" s="114"/>
      <c r="H8486" s="115"/>
      <c r="I8486" s="24"/>
      <c r="J8486" s="116">
        <v>4</v>
      </c>
      <c r="K8486" s="118">
        <v>721000</v>
      </c>
      <c r="L8486" s="119"/>
      <c r="M8486" s="118">
        <f t="shared" ref="M8486" si="12862">K8486*0.1</f>
        <v>72100</v>
      </c>
      <c r="N8486" s="119"/>
      <c r="O8486" s="118">
        <v>0</v>
      </c>
      <c r="P8486" s="119"/>
      <c r="Q8486" s="118">
        <v>7440</v>
      </c>
      <c r="R8486" s="119"/>
      <c r="S8486" s="118">
        <v>15950</v>
      </c>
      <c r="T8486" s="119"/>
      <c r="U8486" s="118">
        <f t="shared" ref="U8486" si="12863">SUM(K8486:T8487)</f>
        <v>816490</v>
      </c>
      <c r="V8486" s="122"/>
      <c r="W8486" s="124"/>
      <c r="X8486" s="126" t="s">
        <v>24601</v>
      </c>
      <c r="Y8486" s="127"/>
      <c r="Z8486" s="127"/>
      <c r="AA8486" s="127"/>
      <c r="AB8486" s="128"/>
      <c r="AC8486" s="15" t="s">
        <v>20</v>
      </c>
      <c r="AD8486" s="129"/>
      <c r="AE8486" s="130"/>
      <c r="AF8486" s="130"/>
      <c r="AG8486" s="130"/>
      <c r="AH8486" s="130"/>
      <c r="AI8486" s="131"/>
      <c r="AJ8486" s="132"/>
      <c r="AK8486" s="127"/>
      <c r="AL8486" s="128"/>
      <c r="AM8486" s="21"/>
      <c r="AN8486" s="133"/>
      <c r="AO8486" s="134"/>
      <c r="AP8486" s="135"/>
      <c r="AQ8486" s="136"/>
      <c r="AR8486" s="118"/>
      <c r="AS8486" s="119"/>
      <c r="AT8486" s="118">
        <f t="shared" ref="AT8486" si="12864">AR8486*0.1</f>
        <v>0</v>
      </c>
      <c r="AU8486" s="119"/>
      <c r="AV8486" s="118"/>
      <c r="AW8486" s="119"/>
      <c r="AX8486" s="118">
        <f t="shared" ref="AX8486" si="12865">SUM(AR8486:AW8486)</f>
        <v>0</v>
      </c>
      <c r="AY8486" s="119"/>
      <c r="AZ8486" s="137"/>
    </row>
    <row r="8487" spans="1:52" ht="17.100000000000001" customHeight="1" thickBot="1">
      <c r="A8487" s="110"/>
      <c r="B8487" s="27" t="s">
        <v>24099</v>
      </c>
      <c r="C8487" s="27">
        <v>62005</v>
      </c>
      <c r="D8487" s="14" t="s">
        <v>24079</v>
      </c>
      <c r="E8487" s="112"/>
      <c r="F8487" s="139" t="s">
        <v>24106</v>
      </c>
      <c r="G8487" s="140"/>
      <c r="H8487" s="141"/>
      <c r="I8487" s="26">
        <v>46718</v>
      </c>
      <c r="J8487" s="117"/>
      <c r="K8487" s="120"/>
      <c r="L8487" s="121"/>
      <c r="M8487" s="120"/>
      <c r="N8487" s="121"/>
      <c r="O8487" s="120"/>
      <c r="P8487" s="121"/>
      <c r="Q8487" s="120"/>
      <c r="R8487" s="121"/>
      <c r="S8487" s="120"/>
      <c r="T8487" s="121"/>
      <c r="U8487" s="120"/>
      <c r="V8487" s="123"/>
      <c r="W8487" s="125"/>
      <c r="X8487" s="142" t="s">
        <v>12378</v>
      </c>
      <c r="Y8487" s="143"/>
      <c r="Z8487" s="143"/>
      <c r="AA8487" s="143"/>
      <c r="AB8487" s="144"/>
      <c r="AC8487" s="16" t="s">
        <v>21</v>
      </c>
      <c r="AD8487" s="17" t="s">
        <v>24588</v>
      </c>
      <c r="AE8487" s="145" t="s">
        <v>10327</v>
      </c>
      <c r="AF8487" s="146"/>
      <c r="AG8487" s="146"/>
      <c r="AH8487" s="146"/>
      <c r="AI8487" s="147"/>
      <c r="AJ8487" s="148"/>
      <c r="AK8487" s="143"/>
      <c r="AL8487" s="144"/>
      <c r="AM8487" s="22"/>
      <c r="AN8487" s="149"/>
      <c r="AO8487" s="144"/>
      <c r="AP8487" s="148"/>
      <c r="AQ8487" s="144"/>
      <c r="AR8487" s="120"/>
      <c r="AS8487" s="121"/>
      <c r="AT8487" s="120"/>
      <c r="AU8487" s="121"/>
      <c r="AV8487" s="120"/>
      <c r="AW8487" s="121"/>
      <c r="AX8487" s="120"/>
      <c r="AY8487" s="121"/>
      <c r="AZ8487" s="138"/>
    </row>
    <row r="8488" spans="1:52" ht="17.100000000000001" customHeight="1" thickTop="1">
      <c r="A8488" s="109" t="s">
        <v>24096</v>
      </c>
      <c r="B8488" s="28">
        <v>46135</v>
      </c>
      <c r="C8488" s="25">
        <v>1980</v>
      </c>
      <c r="D8488" s="13" t="s">
        <v>24107</v>
      </c>
      <c r="E8488" s="111"/>
      <c r="F8488" s="113" t="s">
        <v>24105</v>
      </c>
      <c r="G8488" s="114"/>
      <c r="H8488" s="115"/>
      <c r="I8488" s="24"/>
      <c r="J8488" s="116">
        <v>4</v>
      </c>
      <c r="K8488" s="118">
        <v>778000</v>
      </c>
      <c r="L8488" s="119"/>
      <c r="M8488" s="118">
        <f t="shared" ref="M8488" si="12866">K8488*0.1</f>
        <v>77800</v>
      </c>
      <c r="N8488" s="119"/>
      <c r="O8488" s="118">
        <v>0</v>
      </c>
      <c r="P8488" s="119"/>
      <c r="Q8488" s="118">
        <v>7440</v>
      </c>
      <c r="R8488" s="119"/>
      <c r="S8488" s="118">
        <v>15950</v>
      </c>
      <c r="T8488" s="119"/>
      <c r="U8488" s="118">
        <f t="shared" ref="U8488" si="12867">SUM(K8488:T8489)</f>
        <v>879190</v>
      </c>
      <c r="V8488" s="122"/>
      <c r="W8488" s="124"/>
      <c r="X8488" s="126" t="s">
        <v>24675</v>
      </c>
      <c r="Y8488" s="127"/>
      <c r="Z8488" s="127"/>
      <c r="AA8488" s="127"/>
      <c r="AB8488" s="128"/>
      <c r="AC8488" s="15" t="s">
        <v>20</v>
      </c>
      <c r="AD8488" s="129"/>
      <c r="AE8488" s="130"/>
      <c r="AF8488" s="130"/>
      <c r="AG8488" s="130"/>
      <c r="AH8488" s="130"/>
      <c r="AI8488" s="131"/>
      <c r="AJ8488" s="132"/>
      <c r="AK8488" s="127"/>
      <c r="AL8488" s="128"/>
      <c r="AM8488" s="21"/>
      <c r="AN8488" s="133">
        <v>46144</v>
      </c>
      <c r="AO8488" s="134"/>
      <c r="AP8488" s="135">
        <v>1299</v>
      </c>
      <c r="AQ8488" s="136"/>
      <c r="AR8488" s="118">
        <v>845000</v>
      </c>
      <c r="AS8488" s="119"/>
      <c r="AT8488" s="118">
        <f t="shared" ref="AT8488" si="12868">AR8488*0.1</f>
        <v>84500</v>
      </c>
      <c r="AU8488" s="119"/>
      <c r="AV8488" s="118">
        <v>7440</v>
      </c>
      <c r="AW8488" s="119"/>
      <c r="AX8488" s="118">
        <f t="shared" ref="AX8488" si="12869">SUM(AR8488:AW8488)</f>
        <v>936940</v>
      </c>
      <c r="AY8488" s="119"/>
      <c r="AZ8488" s="137">
        <v>46154</v>
      </c>
    </row>
    <row r="8489" spans="1:52" ht="17.100000000000001" customHeight="1" thickBot="1">
      <c r="A8489" s="110"/>
      <c r="B8489" s="27" t="s">
        <v>24099</v>
      </c>
      <c r="C8489" s="27">
        <v>62037</v>
      </c>
      <c r="D8489" s="14" t="s">
        <v>24079</v>
      </c>
      <c r="E8489" s="112"/>
      <c r="F8489" s="139" t="s">
        <v>24108</v>
      </c>
      <c r="G8489" s="140"/>
      <c r="H8489" s="141"/>
      <c r="I8489" s="26">
        <v>52365</v>
      </c>
      <c r="J8489" s="117"/>
      <c r="K8489" s="120"/>
      <c r="L8489" s="121"/>
      <c r="M8489" s="120"/>
      <c r="N8489" s="121"/>
      <c r="O8489" s="120"/>
      <c r="P8489" s="121"/>
      <c r="Q8489" s="120"/>
      <c r="R8489" s="121"/>
      <c r="S8489" s="120"/>
      <c r="T8489" s="121"/>
      <c r="U8489" s="120"/>
      <c r="V8489" s="123"/>
      <c r="W8489" s="125"/>
      <c r="X8489" s="142" t="s">
        <v>24676</v>
      </c>
      <c r="Y8489" s="143"/>
      <c r="Z8489" s="143"/>
      <c r="AA8489" s="143"/>
      <c r="AB8489" s="144"/>
      <c r="AC8489" s="16" t="s">
        <v>21</v>
      </c>
      <c r="AD8489" s="17" t="s">
        <v>1962</v>
      </c>
      <c r="AE8489" s="145" t="s">
        <v>4929</v>
      </c>
      <c r="AF8489" s="146"/>
      <c r="AG8489" s="146"/>
      <c r="AH8489" s="146"/>
      <c r="AI8489" s="147"/>
      <c r="AJ8489" s="148"/>
      <c r="AK8489" s="143"/>
      <c r="AL8489" s="144"/>
      <c r="AM8489" s="22"/>
      <c r="AN8489" s="149" t="s">
        <v>25047</v>
      </c>
      <c r="AO8489" s="144"/>
      <c r="AP8489" s="148">
        <v>41078</v>
      </c>
      <c r="AQ8489" s="144"/>
      <c r="AR8489" s="120"/>
      <c r="AS8489" s="121"/>
      <c r="AT8489" s="120"/>
      <c r="AU8489" s="121"/>
      <c r="AV8489" s="120"/>
      <c r="AW8489" s="121"/>
      <c r="AX8489" s="120"/>
      <c r="AY8489" s="121"/>
      <c r="AZ8489" s="138"/>
    </row>
    <row r="8490" spans="1:52" ht="17.100000000000001" customHeight="1" thickTop="1">
      <c r="A8490" s="109" t="s">
        <v>24097</v>
      </c>
      <c r="B8490" s="28">
        <v>46135</v>
      </c>
      <c r="C8490" s="25">
        <v>1980</v>
      </c>
      <c r="D8490" s="13" t="s">
        <v>24107</v>
      </c>
      <c r="E8490" s="111"/>
      <c r="F8490" s="113" t="s">
        <v>24105</v>
      </c>
      <c r="G8490" s="114"/>
      <c r="H8490" s="115"/>
      <c r="I8490" s="24"/>
      <c r="J8490" s="116">
        <v>4.5</v>
      </c>
      <c r="K8490" s="118">
        <v>835000</v>
      </c>
      <c r="L8490" s="119"/>
      <c r="M8490" s="118">
        <f t="shared" ref="M8490" si="12870">K8490*0.1</f>
        <v>83500</v>
      </c>
      <c r="N8490" s="119"/>
      <c r="O8490" s="118">
        <v>0</v>
      </c>
      <c r="P8490" s="119"/>
      <c r="Q8490" s="118">
        <v>7440</v>
      </c>
      <c r="R8490" s="119"/>
      <c r="S8490" s="118">
        <v>15950</v>
      </c>
      <c r="T8490" s="119"/>
      <c r="U8490" s="118">
        <f t="shared" ref="U8490" si="12871">SUM(K8490:T8491)</f>
        <v>941890</v>
      </c>
      <c r="V8490" s="122"/>
      <c r="W8490" s="124"/>
      <c r="X8490" s="126" t="s">
        <v>24602</v>
      </c>
      <c r="Y8490" s="127"/>
      <c r="Z8490" s="127"/>
      <c r="AA8490" s="127"/>
      <c r="AB8490" s="128"/>
      <c r="AC8490" s="15" t="s">
        <v>20</v>
      </c>
      <c r="AD8490" s="129"/>
      <c r="AE8490" s="130"/>
      <c r="AF8490" s="130"/>
      <c r="AG8490" s="130"/>
      <c r="AH8490" s="130"/>
      <c r="AI8490" s="131"/>
      <c r="AJ8490" s="132"/>
      <c r="AK8490" s="127"/>
      <c r="AL8490" s="128"/>
      <c r="AM8490" s="21"/>
      <c r="AN8490" s="133">
        <v>46144</v>
      </c>
      <c r="AO8490" s="134"/>
      <c r="AP8490" s="135">
        <v>1299</v>
      </c>
      <c r="AQ8490" s="136"/>
      <c r="AR8490" s="118">
        <v>950000</v>
      </c>
      <c r="AS8490" s="119"/>
      <c r="AT8490" s="118">
        <f t="shared" ref="AT8490" si="12872">AR8490*0.1</f>
        <v>95000</v>
      </c>
      <c r="AU8490" s="119"/>
      <c r="AV8490" s="118">
        <v>7440</v>
      </c>
      <c r="AW8490" s="119"/>
      <c r="AX8490" s="118">
        <f t="shared" ref="AX8490" si="12873">SUM(AR8490:AW8490)</f>
        <v>1052440</v>
      </c>
      <c r="AY8490" s="119"/>
      <c r="AZ8490" s="137">
        <v>46156</v>
      </c>
    </row>
    <row r="8491" spans="1:52" ht="17.100000000000001" customHeight="1" thickBot="1">
      <c r="A8491" s="110"/>
      <c r="B8491" s="27" t="s">
        <v>24099</v>
      </c>
      <c r="C8491" s="27">
        <v>62105</v>
      </c>
      <c r="D8491" s="14" t="s">
        <v>1720</v>
      </c>
      <c r="E8491" s="112"/>
      <c r="F8491" s="139" t="s">
        <v>24109</v>
      </c>
      <c r="G8491" s="140"/>
      <c r="H8491" s="141"/>
      <c r="I8491" s="26">
        <v>46587</v>
      </c>
      <c r="J8491" s="117"/>
      <c r="K8491" s="120"/>
      <c r="L8491" s="121"/>
      <c r="M8491" s="120"/>
      <c r="N8491" s="121"/>
      <c r="O8491" s="120"/>
      <c r="P8491" s="121"/>
      <c r="Q8491" s="120"/>
      <c r="R8491" s="121"/>
      <c r="S8491" s="120"/>
      <c r="T8491" s="121"/>
      <c r="U8491" s="120"/>
      <c r="V8491" s="123"/>
      <c r="W8491" s="125"/>
      <c r="X8491" s="142" t="s">
        <v>12405</v>
      </c>
      <c r="Y8491" s="143"/>
      <c r="Z8491" s="143"/>
      <c r="AA8491" s="143"/>
      <c r="AB8491" s="144"/>
      <c r="AC8491" s="16" t="s">
        <v>21</v>
      </c>
      <c r="AD8491" s="17" t="s">
        <v>24588</v>
      </c>
      <c r="AE8491" s="145" t="s">
        <v>24603</v>
      </c>
      <c r="AF8491" s="146"/>
      <c r="AG8491" s="146"/>
      <c r="AH8491" s="146"/>
      <c r="AI8491" s="147"/>
      <c r="AJ8491" s="148"/>
      <c r="AK8491" s="143"/>
      <c r="AL8491" s="144"/>
      <c r="AM8491" s="22"/>
      <c r="AN8491" s="149" t="s">
        <v>25324</v>
      </c>
      <c r="AO8491" s="144"/>
      <c r="AP8491" s="148">
        <v>41005</v>
      </c>
      <c r="AQ8491" s="144"/>
      <c r="AR8491" s="120"/>
      <c r="AS8491" s="121"/>
      <c r="AT8491" s="120"/>
      <c r="AU8491" s="121"/>
      <c r="AV8491" s="120"/>
      <c r="AW8491" s="121"/>
      <c r="AX8491" s="120"/>
      <c r="AY8491" s="121"/>
      <c r="AZ8491" s="138"/>
    </row>
    <row r="8492" spans="1:52" ht="17.100000000000001" customHeight="1" thickTop="1">
      <c r="A8492" s="109" t="s">
        <v>24098</v>
      </c>
      <c r="B8492" s="28">
        <v>46135</v>
      </c>
      <c r="C8492" s="25">
        <v>1980</v>
      </c>
      <c r="D8492" s="13" t="s">
        <v>24107</v>
      </c>
      <c r="E8492" s="111"/>
      <c r="F8492" s="113" t="s">
        <v>24105</v>
      </c>
      <c r="G8492" s="114"/>
      <c r="H8492" s="115"/>
      <c r="I8492" s="24"/>
      <c r="J8492" s="116">
        <v>4</v>
      </c>
      <c r="K8492" s="118">
        <v>768000</v>
      </c>
      <c r="L8492" s="119"/>
      <c r="M8492" s="118">
        <f t="shared" ref="M8492" si="12874">K8492*0.1</f>
        <v>76800</v>
      </c>
      <c r="N8492" s="119"/>
      <c r="O8492" s="118">
        <v>0</v>
      </c>
      <c r="P8492" s="119"/>
      <c r="Q8492" s="118">
        <v>7440</v>
      </c>
      <c r="R8492" s="119"/>
      <c r="S8492" s="118">
        <v>15950</v>
      </c>
      <c r="T8492" s="119"/>
      <c r="U8492" s="118">
        <f t="shared" ref="U8492" si="12875">SUM(K8492:T8493)</f>
        <v>868190</v>
      </c>
      <c r="V8492" s="122"/>
      <c r="W8492" s="124"/>
      <c r="X8492" s="126" t="s">
        <v>24604</v>
      </c>
      <c r="Y8492" s="127"/>
      <c r="Z8492" s="127"/>
      <c r="AA8492" s="127"/>
      <c r="AB8492" s="128"/>
      <c r="AC8492" s="15" t="s">
        <v>20</v>
      </c>
      <c r="AD8492" s="129"/>
      <c r="AE8492" s="130"/>
      <c r="AF8492" s="130"/>
      <c r="AG8492" s="130"/>
      <c r="AH8492" s="130"/>
      <c r="AI8492" s="131"/>
      <c r="AJ8492" s="132"/>
      <c r="AK8492" s="127"/>
      <c r="AL8492" s="128"/>
      <c r="AM8492" s="21"/>
      <c r="AN8492" s="133"/>
      <c r="AO8492" s="134"/>
      <c r="AP8492" s="135"/>
      <c r="AQ8492" s="136"/>
      <c r="AR8492" s="118"/>
      <c r="AS8492" s="119"/>
      <c r="AT8492" s="118">
        <f t="shared" ref="AT8492" si="12876">AR8492*0.1</f>
        <v>0</v>
      </c>
      <c r="AU8492" s="119"/>
      <c r="AV8492" s="118"/>
      <c r="AW8492" s="119"/>
      <c r="AX8492" s="118">
        <f t="shared" ref="AX8492" si="12877">SUM(AR8492:AW8492)</f>
        <v>0</v>
      </c>
      <c r="AY8492" s="119"/>
      <c r="AZ8492" s="137"/>
    </row>
    <row r="8493" spans="1:52" ht="17.100000000000001" customHeight="1" thickBot="1">
      <c r="A8493" s="110"/>
      <c r="B8493" s="27" t="s">
        <v>24099</v>
      </c>
      <c r="C8493" s="27">
        <v>62111</v>
      </c>
      <c r="D8493" s="14" t="s">
        <v>24079</v>
      </c>
      <c r="E8493" s="112"/>
      <c r="F8493" s="139" t="s">
        <v>24110</v>
      </c>
      <c r="G8493" s="140"/>
      <c r="H8493" s="141"/>
      <c r="I8493" s="26">
        <v>47579</v>
      </c>
      <c r="J8493" s="117"/>
      <c r="K8493" s="120"/>
      <c r="L8493" s="121"/>
      <c r="M8493" s="120"/>
      <c r="N8493" s="121"/>
      <c r="O8493" s="120"/>
      <c r="P8493" s="121"/>
      <c r="Q8493" s="120"/>
      <c r="R8493" s="121"/>
      <c r="S8493" s="120"/>
      <c r="T8493" s="121"/>
      <c r="U8493" s="120"/>
      <c r="V8493" s="123"/>
      <c r="W8493" s="125"/>
      <c r="X8493" s="142" t="s">
        <v>12405</v>
      </c>
      <c r="Y8493" s="143"/>
      <c r="Z8493" s="143"/>
      <c r="AA8493" s="143"/>
      <c r="AB8493" s="144"/>
      <c r="AC8493" s="16" t="s">
        <v>21</v>
      </c>
      <c r="AD8493" s="17" t="s">
        <v>24588</v>
      </c>
      <c r="AE8493" s="145"/>
      <c r="AF8493" s="146"/>
      <c r="AG8493" s="146"/>
      <c r="AH8493" s="146"/>
      <c r="AI8493" s="147"/>
      <c r="AJ8493" s="148"/>
      <c r="AK8493" s="143"/>
      <c r="AL8493" s="144"/>
      <c r="AM8493" s="22"/>
      <c r="AN8493" s="149"/>
      <c r="AO8493" s="144"/>
      <c r="AP8493" s="148"/>
      <c r="AQ8493" s="144"/>
      <c r="AR8493" s="120"/>
      <c r="AS8493" s="121"/>
      <c r="AT8493" s="120"/>
      <c r="AU8493" s="121"/>
      <c r="AV8493" s="120"/>
      <c r="AW8493" s="121"/>
      <c r="AX8493" s="120"/>
      <c r="AY8493" s="121"/>
      <c r="AZ8493" s="138"/>
    </row>
    <row r="8494" spans="1:52" ht="17.100000000000001" customHeight="1" thickTop="1">
      <c r="A8494" s="109" t="s">
        <v>24213</v>
      </c>
      <c r="B8494" s="28">
        <v>46135</v>
      </c>
      <c r="C8494" s="25">
        <v>1563</v>
      </c>
      <c r="D8494" s="13" t="s">
        <v>24223</v>
      </c>
      <c r="E8494" s="111"/>
      <c r="F8494" s="113" t="s">
        <v>24222</v>
      </c>
      <c r="G8494" s="114"/>
      <c r="H8494" s="115"/>
      <c r="I8494" s="24" t="s">
        <v>24224</v>
      </c>
      <c r="J8494" s="116">
        <v>4</v>
      </c>
      <c r="K8494" s="118">
        <v>2440000</v>
      </c>
      <c r="L8494" s="119"/>
      <c r="M8494" s="118">
        <f t="shared" ref="M8494" si="12878">K8494*0.1</f>
        <v>244000</v>
      </c>
      <c r="N8494" s="119"/>
      <c r="O8494" s="118">
        <f>31600+3160</f>
        <v>34760</v>
      </c>
      <c r="P8494" s="119"/>
      <c r="Q8494" s="118">
        <v>11740</v>
      </c>
      <c r="R8494" s="119"/>
      <c r="S8494" s="118">
        <v>16500</v>
      </c>
      <c r="T8494" s="119"/>
      <c r="U8494" s="118">
        <f t="shared" ref="U8494" si="12879">SUM(K8494:T8495)</f>
        <v>2747000</v>
      </c>
      <c r="V8494" s="122"/>
      <c r="W8494" s="124"/>
      <c r="X8494" s="126" t="s">
        <v>24226</v>
      </c>
      <c r="Y8494" s="127"/>
      <c r="Z8494" s="127"/>
      <c r="AA8494" s="127"/>
      <c r="AB8494" s="128"/>
      <c r="AC8494" s="15" t="s">
        <v>20</v>
      </c>
      <c r="AD8494" s="129" t="s">
        <v>24227</v>
      </c>
      <c r="AE8494" s="130"/>
      <c r="AF8494" s="130"/>
      <c r="AG8494" s="130"/>
      <c r="AH8494" s="130"/>
      <c r="AI8494" s="131"/>
      <c r="AJ8494" s="132"/>
      <c r="AK8494" s="127"/>
      <c r="AL8494" s="128"/>
      <c r="AM8494" s="21"/>
      <c r="AN8494" s="133"/>
      <c r="AO8494" s="134"/>
      <c r="AP8494" s="135"/>
      <c r="AQ8494" s="136"/>
      <c r="AR8494" s="118"/>
      <c r="AS8494" s="119"/>
      <c r="AT8494" s="118">
        <f t="shared" ref="AT8494" si="12880">AR8494*0.1</f>
        <v>0</v>
      </c>
      <c r="AU8494" s="119"/>
      <c r="AV8494" s="118"/>
      <c r="AW8494" s="119"/>
      <c r="AX8494" s="118">
        <f t="shared" ref="AX8494" si="12881">SUM(AR8494:AW8494)</f>
        <v>0</v>
      </c>
      <c r="AY8494" s="119"/>
      <c r="AZ8494" s="137"/>
    </row>
    <row r="8495" spans="1:52" ht="17.100000000000001" customHeight="1" thickBot="1">
      <c r="A8495" s="110"/>
      <c r="B8495" s="27" t="s">
        <v>24221</v>
      </c>
      <c r="C8495" s="27">
        <v>79067</v>
      </c>
      <c r="D8495" s="14" t="s">
        <v>133</v>
      </c>
      <c r="E8495" s="112"/>
      <c r="F8495" s="139" t="s">
        <v>24225</v>
      </c>
      <c r="G8495" s="140"/>
      <c r="H8495" s="141"/>
      <c r="I8495" s="26">
        <v>26410</v>
      </c>
      <c r="J8495" s="117"/>
      <c r="K8495" s="120"/>
      <c r="L8495" s="121"/>
      <c r="M8495" s="120"/>
      <c r="N8495" s="121"/>
      <c r="O8495" s="120"/>
      <c r="P8495" s="121"/>
      <c r="Q8495" s="120"/>
      <c r="R8495" s="121"/>
      <c r="S8495" s="120"/>
      <c r="T8495" s="121"/>
      <c r="U8495" s="120"/>
      <c r="V8495" s="123"/>
      <c r="W8495" s="125"/>
      <c r="X8495" s="142" t="s">
        <v>1997</v>
      </c>
      <c r="Y8495" s="143"/>
      <c r="Z8495" s="143"/>
      <c r="AA8495" s="143"/>
      <c r="AB8495" s="144"/>
      <c r="AC8495" s="16" t="s">
        <v>21</v>
      </c>
      <c r="AD8495" s="17" t="s">
        <v>2413</v>
      </c>
      <c r="AE8495" s="145" t="s">
        <v>1945</v>
      </c>
      <c r="AF8495" s="146"/>
      <c r="AG8495" s="146"/>
      <c r="AH8495" s="146"/>
      <c r="AI8495" s="147"/>
      <c r="AJ8495" s="148"/>
      <c r="AK8495" s="143"/>
      <c r="AL8495" s="144"/>
      <c r="AM8495" s="22"/>
      <c r="AN8495" s="149"/>
      <c r="AO8495" s="144"/>
      <c r="AP8495" s="148"/>
      <c r="AQ8495" s="144"/>
      <c r="AR8495" s="120"/>
      <c r="AS8495" s="121"/>
      <c r="AT8495" s="120"/>
      <c r="AU8495" s="121"/>
      <c r="AV8495" s="120"/>
      <c r="AW8495" s="121"/>
      <c r="AX8495" s="120"/>
      <c r="AY8495" s="121"/>
      <c r="AZ8495" s="138"/>
    </row>
    <row r="8496" spans="1:52" ht="17.100000000000001" customHeight="1" thickTop="1">
      <c r="A8496" s="109" t="s">
        <v>24214</v>
      </c>
      <c r="B8496" s="28">
        <v>46135</v>
      </c>
      <c r="C8496" s="25">
        <v>2155</v>
      </c>
      <c r="D8496" s="13" t="s">
        <v>24229</v>
      </c>
      <c r="E8496" s="111"/>
      <c r="F8496" s="113" t="s">
        <v>24231</v>
      </c>
      <c r="G8496" s="114"/>
      <c r="H8496" s="115"/>
      <c r="I8496" s="24" t="s">
        <v>24233</v>
      </c>
      <c r="J8496" s="116">
        <v>4.5</v>
      </c>
      <c r="K8496" s="118">
        <v>1696000</v>
      </c>
      <c r="L8496" s="119"/>
      <c r="M8496" s="118">
        <f t="shared" ref="M8496" si="12882">K8496*0.1</f>
        <v>169600</v>
      </c>
      <c r="N8496" s="119"/>
      <c r="O8496" s="118">
        <f>32910+3290</f>
        <v>36200</v>
      </c>
      <c r="P8496" s="119"/>
      <c r="Q8496" s="118">
        <v>12550</v>
      </c>
      <c r="R8496" s="119"/>
      <c r="S8496" s="118">
        <v>14300</v>
      </c>
      <c r="T8496" s="119"/>
      <c r="U8496" s="118">
        <f t="shared" ref="U8496" si="12883">SUM(K8496:T8497)</f>
        <v>1928650</v>
      </c>
      <c r="V8496" s="122"/>
      <c r="W8496" s="124"/>
      <c r="X8496" s="126" t="s">
        <v>24799</v>
      </c>
      <c r="Y8496" s="127"/>
      <c r="Z8496" s="127"/>
      <c r="AA8496" s="127"/>
      <c r="AB8496" s="128"/>
      <c r="AC8496" s="15" t="s">
        <v>20</v>
      </c>
      <c r="AD8496" s="129" t="s">
        <v>24234</v>
      </c>
      <c r="AE8496" s="130"/>
      <c r="AF8496" s="130"/>
      <c r="AG8496" s="130"/>
      <c r="AH8496" s="130"/>
      <c r="AI8496" s="131"/>
      <c r="AJ8496" s="132"/>
      <c r="AK8496" s="127"/>
      <c r="AL8496" s="128"/>
      <c r="AM8496" s="21"/>
      <c r="AN8496" s="133"/>
      <c r="AO8496" s="134"/>
      <c r="AP8496" s="135"/>
      <c r="AQ8496" s="136"/>
      <c r="AR8496" s="118"/>
      <c r="AS8496" s="119"/>
      <c r="AT8496" s="118">
        <f t="shared" ref="AT8496" si="12884">AR8496*0.1</f>
        <v>0</v>
      </c>
      <c r="AU8496" s="119"/>
      <c r="AV8496" s="118"/>
      <c r="AW8496" s="119"/>
      <c r="AX8496" s="118">
        <f t="shared" ref="AX8496" si="12885">SUM(AR8496:AW8496)</f>
        <v>0</v>
      </c>
      <c r="AY8496" s="119"/>
      <c r="AZ8496" s="137"/>
    </row>
    <row r="8497" spans="1:52" ht="17.100000000000001" customHeight="1" thickBot="1">
      <c r="A8497" s="110"/>
      <c r="B8497" s="27" t="s">
        <v>24228</v>
      </c>
      <c r="C8497" s="27">
        <v>33</v>
      </c>
      <c r="D8497" s="14" t="s">
        <v>24230</v>
      </c>
      <c r="E8497" s="112"/>
      <c r="F8497" s="139" t="s">
        <v>24232</v>
      </c>
      <c r="G8497" s="140"/>
      <c r="H8497" s="141"/>
      <c r="I8497" s="26">
        <v>49368</v>
      </c>
      <c r="J8497" s="117"/>
      <c r="K8497" s="120"/>
      <c r="L8497" s="121"/>
      <c r="M8497" s="120"/>
      <c r="N8497" s="121"/>
      <c r="O8497" s="120"/>
      <c r="P8497" s="121"/>
      <c r="Q8497" s="120"/>
      <c r="R8497" s="121"/>
      <c r="S8497" s="120"/>
      <c r="T8497" s="121"/>
      <c r="U8497" s="120"/>
      <c r="V8497" s="123"/>
      <c r="W8497" s="125"/>
      <c r="X8497" s="142" t="s">
        <v>24264</v>
      </c>
      <c r="Y8497" s="143"/>
      <c r="Z8497" s="143"/>
      <c r="AA8497" s="143"/>
      <c r="AB8497" s="144"/>
      <c r="AC8497" s="16" t="s">
        <v>21</v>
      </c>
      <c r="AD8497" s="17" t="s">
        <v>24751</v>
      </c>
      <c r="AE8497" s="145" t="s">
        <v>24800</v>
      </c>
      <c r="AF8497" s="146"/>
      <c r="AG8497" s="146"/>
      <c r="AH8497" s="146"/>
      <c r="AI8497" s="147"/>
      <c r="AJ8497" s="148"/>
      <c r="AK8497" s="143"/>
      <c r="AL8497" s="144"/>
      <c r="AM8497" s="22"/>
      <c r="AN8497" s="149"/>
      <c r="AO8497" s="144"/>
      <c r="AP8497" s="148"/>
      <c r="AQ8497" s="144"/>
      <c r="AR8497" s="120"/>
      <c r="AS8497" s="121"/>
      <c r="AT8497" s="120"/>
      <c r="AU8497" s="121"/>
      <c r="AV8497" s="120"/>
      <c r="AW8497" s="121"/>
      <c r="AX8497" s="120"/>
      <c r="AY8497" s="121"/>
      <c r="AZ8497" s="138"/>
    </row>
    <row r="8498" spans="1:52" ht="17.100000000000001" customHeight="1" thickTop="1">
      <c r="A8498" s="109" t="s">
        <v>24215</v>
      </c>
      <c r="B8498" s="28">
        <v>46135</v>
      </c>
      <c r="C8498" s="25">
        <v>2155</v>
      </c>
      <c r="D8498" s="13" t="s">
        <v>24235</v>
      </c>
      <c r="E8498" s="111"/>
      <c r="F8498" s="113" t="s">
        <v>24237</v>
      </c>
      <c r="G8498" s="114"/>
      <c r="H8498" s="115"/>
      <c r="I8498" s="24"/>
      <c r="J8498" s="116">
        <v>3.5</v>
      </c>
      <c r="K8498" s="118">
        <v>281000</v>
      </c>
      <c r="L8498" s="119"/>
      <c r="M8498" s="118">
        <f t="shared" ref="M8498" si="12886">K8498*0.1</f>
        <v>28100</v>
      </c>
      <c r="N8498" s="119"/>
      <c r="O8498" s="118">
        <v>0</v>
      </c>
      <c r="P8498" s="119"/>
      <c r="Q8498" s="118">
        <v>8140</v>
      </c>
      <c r="R8498" s="119"/>
      <c r="S8498" s="118">
        <v>14300</v>
      </c>
      <c r="T8498" s="119"/>
      <c r="U8498" s="118">
        <f t="shared" ref="U8498" si="12887">SUM(K8498:T8499)</f>
        <v>331540</v>
      </c>
      <c r="V8498" s="122"/>
      <c r="W8498" s="124"/>
      <c r="X8498" s="126" t="s">
        <v>24796</v>
      </c>
      <c r="Y8498" s="127"/>
      <c r="Z8498" s="127"/>
      <c r="AA8498" s="127"/>
      <c r="AB8498" s="128"/>
      <c r="AC8498" s="15" t="s">
        <v>20</v>
      </c>
      <c r="AD8498" s="129"/>
      <c r="AE8498" s="130"/>
      <c r="AF8498" s="130"/>
      <c r="AG8498" s="130"/>
      <c r="AH8498" s="130"/>
      <c r="AI8498" s="131"/>
      <c r="AJ8498" s="132"/>
      <c r="AK8498" s="127"/>
      <c r="AL8498" s="128"/>
      <c r="AM8498" s="21"/>
      <c r="AN8498" s="133"/>
      <c r="AO8498" s="134"/>
      <c r="AP8498" s="135"/>
      <c r="AQ8498" s="136"/>
      <c r="AR8498" s="118"/>
      <c r="AS8498" s="119"/>
      <c r="AT8498" s="118">
        <f t="shared" ref="AT8498" si="12888">AR8498*0.1</f>
        <v>0</v>
      </c>
      <c r="AU8498" s="119"/>
      <c r="AV8498" s="118"/>
      <c r="AW8498" s="119"/>
      <c r="AX8498" s="118">
        <f t="shared" ref="AX8498" si="12889">SUM(AR8498:AW8498)</f>
        <v>0</v>
      </c>
      <c r="AY8498" s="119"/>
      <c r="AZ8498" s="137"/>
    </row>
    <row r="8499" spans="1:52" ht="17.100000000000001" customHeight="1" thickBot="1">
      <c r="A8499" s="110"/>
      <c r="B8499" s="27" t="s">
        <v>24228</v>
      </c>
      <c r="C8499" s="27">
        <v>214</v>
      </c>
      <c r="D8499" s="14" t="s">
        <v>24236</v>
      </c>
      <c r="E8499" s="112"/>
      <c r="F8499" s="139" t="s">
        <v>24238</v>
      </c>
      <c r="G8499" s="140"/>
      <c r="H8499" s="141"/>
      <c r="I8499" s="26">
        <v>49985</v>
      </c>
      <c r="J8499" s="117"/>
      <c r="K8499" s="120"/>
      <c r="L8499" s="121"/>
      <c r="M8499" s="120"/>
      <c r="N8499" s="121"/>
      <c r="O8499" s="120"/>
      <c r="P8499" s="121"/>
      <c r="Q8499" s="120"/>
      <c r="R8499" s="121"/>
      <c r="S8499" s="120"/>
      <c r="T8499" s="121"/>
      <c r="U8499" s="120"/>
      <c r="V8499" s="123"/>
      <c r="W8499" s="125"/>
      <c r="X8499" s="142" t="s">
        <v>13312</v>
      </c>
      <c r="Y8499" s="143"/>
      <c r="Z8499" s="143"/>
      <c r="AA8499" s="143"/>
      <c r="AB8499" s="144"/>
      <c r="AC8499" s="16" t="s">
        <v>21</v>
      </c>
      <c r="AD8499" s="17" t="s">
        <v>24751</v>
      </c>
      <c r="AE8499" s="145" t="s">
        <v>171</v>
      </c>
      <c r="AF8499" s="146"/>
      <c r="AG8499" s="146"/>
      <c r="AH8499" s="146"/>
      <c r="AI8499" s="147"/>
      <c r="AJ8499" s="148"/>
      <c r="AK8499" s="143"/>
      <c r="AL8499" s="144"/>
      <c r="AM8499" s="22"/>
      <c r="AN8499" s="149"/>
      <c r="AO8499" s="144"/>
      <c r="AP8499" s="148"/>
      <c r="AQ8499" s="144"/>
      <c r="AR8499" s="120"/>
      <c r="AS8499" s="121"/>
      <c r="AT8499" s="120"/>
      <c r="AU8499" s="121"/>
      <c r="AV8499" s="120"/>
      <c r="AW8499" s="121"/>
      <c r="AX8499" s="120"/>
      <c r="AY8499" s="121"/>
      <c r="AZ8499" s="138"/>
    </row>
    <row r="8500" spans="1:52" ht="17.100000000000001" customHeight="1" thickTop="1">
      <c r="A8500" s="109" t="s">
        <v>24216</v>
      </c>
      <c r="B8500" s="28">
        <v>46135</v>
      </c>
      <c r="C8500" s="25">
        <v>2155</v>
      </c>
      <c r="D8500" s="13" t="s">
        <v>24239</v>
      </c>
      <c r="E8500" s="111"/>
      <c r="F8500" s="113" t="s">
        <v>24241</v>
      </c>
      <c r="G8500" s="114"/>
      <c r="H8500" s="115"/>
      <c r="I8500" s="24"/>
      <c r="J8500" s="116">
        <v>4</v>
      </c>
      <c r="K8500" s="118">
        <v>1154000</v>
      </c>
      <c r="L8500" s="119"/>
      <c r="M8500" s="118">
        <f t="shared" ref="M8500" si="12890">K8500*0.1</f>
        <v>115400</v>
      </c>
      <c r="N8500" s="119"/>
      <c r="O8500" s="118">
        <v>0</v>
      </c>
      <c r="P8500" s="119"/>
      <c r="Q8500" s="118">
        <v>6850</v>
      </c>
      <c r="R8500" s="119"/>
      <c r="S8500" s="118">
        <v>14300</v>
      </c>
      <c r="T8500" s="119"/>
      <c r="U8500" s="118">
        <f t="shared" ref="U8500" si="12891">SUM(K8500:T8501)</f>
        <v>1290550</v>
      </c>
      <c r="V8500" s="122"/>
      <c r="W8500" s="124"/>
      <c r="X8500" s="126" t="s">
        <v>25133</v>
      </c>
      <c r="Y8500" s="127"/>
      <c r="Z8500" s="127"/>
      <c r="AA8500" s="127"/>
      <c r="AB8500" s="128"/>
      <c r="AC8500" s="15" t="s">
        <v>20</v>
      </c>
      <c r="AD8500" s="129"/>
      <c r="AE8500" s="130"/>
      <c r="AF8500" s="130"/>
      <c r="AG8500" s="130"/>
      <c r="AH8500" s="130"/>
      <c r="AI8500" s="131"/>
      <c r="AJ8500" s="132"/>
      <c r="AK8500" s="127"/>
      <c r="AL8500" s="128"/>
      <c r="AM8500" s="21"/>
      <c r="AN8500" s="133">
        <v>46141</v>
      </c>
      <c r="AO8500" s="134"/>
      <c r="AP8500" s="135">
        <v>1015</v>
      </c>
      <c r="AQ8500" s="136"/>
      <c r="AR8500" s="118">
        <v>1240000</v>
      </c>
      <c r="AS8500" s="119"/>
      <c r="AT8500" s="118">
        <f t="shared" ref="AT8500" si="12892">AR8500*0.1</f>
        <v>124000</v>
      </c>
      <c r="AU8500" s="119"/>
      <c r="AV8500" s="118">
        <v>6850</v>
      </c>
      <c r="AW8500" s="119"/>
      <c r="AX8500" s="118">
        <f t="shared" ref="AX8500" si="12893">SUM(AR8500:AW8500)</f>
        <v>1370850</v>
      </c>
      <c r="AY8500" s="119"/>
      <c r="AZ8500" s="137">
        <v>46154</v>
      </c>
    </row>
    <row r="8501" spans="1:52" ht="17.100000000000001" customHeight="1" thickBot="1">
      <c r="A8501" s="110"/>
      <c r="B8501" s="27" t="s">
        <v>24228</v>
      </c>
      <c r="C8501" s="27">
        <v>2510</v>
      </c>
      <c r="D8501" s="14" t="s">
        <v>24240</v>
      </c>
      <c r="E8501" s="112"/>
      <c r="F8501" s="139" t="s">
        <v>24242</v>
      </c>
      <c r="G8501" s="140"/>
      <c r="H8501" s="141"/>
      <c r="I8501" s="26">
        <v>34113</v>
      </c>
      <c r="J8501" s="117"/>
      <c r="K8501" s="120"/>
      <c r="L8501" s="121"/>
      <c r="M8501" s="120"/>
      <c r="N8501" s="121"/>
      <c r="O8501" s="120"/>
      <c r="P8501" s="121"/>
      <c r="Q8501" s="120"/>
      <c r="R8501" s="121"/>
      <c r="S8501" s="120"/>
      <c r="T8501" s="121"/>
      <c r="U8501" s="120"/>
      <c r="V8501" s="123"/>
      <c r="W8501" s="125"/>
      <c r="X8501" s="142" t="s">
        <v>2997</v>
      </c>
      <c r="Y8501" s="143"/>
      <c r="Z8501" s="143"/>
      <c r="AA8501" s="143"/>
      <c r="AB8501" s="144"/>
      <c r="AC8501" s="16" t="s">
        <v>21</v>
      </c>
      <c r="AD8501" s="17" t="s">
        <v>2009</v>
      </c>
      <c r="AE8501" s="145"/>
      <c r="AF8501" s="146"/>
      <c r="AG8501" s="146"/>
      <c r="AH8501" s="146"/>
      <c r="AI8501" s="147"/>
      <c r="AJ8501" s="148"/>
      <c r="AK8501" s="143"/>
      <c r="AL8501" s="144"/>
      <c r="AM8501" s="22"/>
      <c r="AN8501" s="149" t="s">
        <v>25325</v>
      </c>
      <c r="AO8501" s="144"/>
      <c r="AP8501" s="148">
        <v>5080</v>
      </c>
      <c r="AQ8501" s="144"/>
      <c r="AR8501" s="120"/>
      <c r="AS8501" s="121"/>
      <c r="AT8501" s="120"/>
      <c r="AU8501" s="121"/>
      <c r="AV8501" s="120"/>
      <c r="AW8501" s="121"/>
      <c r="AX8501" s="120"/>
      <c r="AY8501" s="121"/>
      <c r="AZ8501" s="138"/>
    </row>
    <row r="8502" spans="1:52" ht="17.100000000000001" customHeight="1" thickTop="1">
      <c r="A8502" s="109" t="s">
        <v>24217</v>
      </c>
      <c r="B8502" s="28">
        <v>46135</v>
      </c>
      <c r="C8502" s="25">
        <v>2155</v>
      </c>
      <c r="D8502" s="13" t="s">
        <v>24100</v>
      </c>
      <c r="E8502" s="111"/>
      <c r="F8502" s="113" t="s">
        <v>24244</v>
      </c>
      <c r="G8502" s="114"/>
      <c r="H8502" s="115"/>
      <c r="I8502" s="24"/>
      <c r="J8502" s="116">
        <v>4</v>
      </c>
      <c r="K8502" s="118">
        <v>836000</v>
      </c>
      <c r="L8502" s="119"/>
      <c r="M8502" s="118">
        <f t="shared" ref="M8502" si="12894">K8502*0.1</f>
        <v>83600</v>
      </c>
      <c r="N8502" s="119"/>
      <c r="O8502" s="118">
        <v>0</v>
      </c>
      <c r="P8502" s="119"/>
      <c r="Q8502" s="118">
        <v>7040</v>
      </c>
      <c r="R8502" s="119"/>
      <c r="S8502" s="118">
        <v>14300</v>
      </c>
      <c r="T8502" s="119"/>
      <c r="U8502" s="118">
        <f t="shared" ref="U8502" si="12895">SUM(K8502:T8503)</f>
        <v>940940</v>
      </c>
      <c r="V8502" s="122"/>
      <c r="W8502" s="124"/>
      <c r="X8502" s="126" t="s">
        <v>24794</v>
      </c>
      <c r="Y8502" s="127"/>
      <c r="Z8502" s="127"/>
      <c r="AA8502" s="127"/>
      <c r="AB8502" s="128"/>
      <c r="AC8502" s="15" t="s">
        <v>20</v>
      </c>
      <c r="AD8502" s="129" t="s">
        <v>24103</v>
      </c>
      <c r="AE8502" s="130"/>
      <c r="AF8502" s="130"/>
      <c r="AG8502" s="130"/>
      <c r="AH8502" s="130"/>
      <c r="AI8502" s="131"/>
      <c r="AJ8502" s="132"/>
      <c r="AK8502" s="127"/>
      <c r="AL8502" s="128"/>
      <c r="AM8502" s="21"/>
      <c r="AN8502" s="133">
        <v>46141</v>
      </c>
      <c r="AO8502" s="134"/>
      <c r="AP8502" s="135">
        <v>1015</v>
      </c>
      <c r="AQ8502" s="136"/>
      <c r="AR8502" s="118">
        <v>1080000</v>
      </c>
      <c r="AS8502" s="119"/>
      <c r="AT8502" s="118">
        <f t="shared" ref="AT8502" si="12896">AR8502*0.1</f>
        <v>108000</v>
      </c>
      <c r="AU8502" s="119"/>
      <c r="AV8502" s="118">
        <v>7040</v>
      </c>
      <c r="AW8502" s="119"/>
      <c r="AX8502" s="118">
        <f t="shared" ref="AX8502" si="12897">SUM(AR8502:AW8502)</f>
        <v>1195040</v>
      </c>
      <c r="AY8502" s="119"/>
      <c r="AZ8502" s="137">
        <v>46154</v>
      </c>
    </row>
    <row r="8503" spans="1:52" ht="17.100000000000001" customHeight="1" thickBot="1">
      <c r="A8503" s="110"/>
      <c r="B8503" s="27" t="s">
        <v>24228</v>
      </c>
      <c r="C8503" s="27">
        <v>2582</v>
      </c>
      <c r="D8503" s="14" t="s">
        <v>24243</v>
      </c>
      <c r="E8503" s="112"/>
      <c r="F8503" s="139" t="s">
        <v>24245</v>
      </c>
      <c r="G8503" s="140"/>
      <c r="H8503" s="141"/>
      <c r="I8503" s="26">
        <v>69941</v>
      </c>
      <c r="J8503" s="117"/>
      <c r="K8503" s="120"/>
      <c r="L8503" s="121"/>
      <c r="M8503" s="120"/>
      <c r="N8503" s="121"/>
      <c r="O8503" s="120"/>
      <c r="P8503" s="121"/>
      <c r="Q8503" s="120"/>
      <c r="R8503" s="121"/>
      <c r="S8503" s="120"/>
      <c r="T8503" s="121"/>
      <c r="U8503" s="120"/>
      <c r="V8503" s="123"/>
      <c r="W8503" s="125"/>
      <c r="X8503" s="142" t="s">
        <v>24795</v>
      </c>
      <c r="Y8503" s="143"/>
      <c r="Z8503" s="143"/>
      <c r="AA8503" s="143"/>
      <c r="AB8503" s="144"/>
      <c r="AC8503" s="16" t="s">
        <v>21</v>
      </c>
      <c r="AD8503" s="17" t="s">
        <v>24751</v>
      </c>
      <c r="AE8503" s="145" t="s">
        <v>1670</v>
      </c>
      <c r="AF8503" s="146"/>
      <c r="AG8503" s="146"/>
      <c r="AH8503" s="146"/>
      <c r="AI8503" s="147"/>
      <c r="AJ8503" s="148"/>
      <c r="AK8503" s="143"/>
      <c r="AL8503" s="144"/>
      <c r="AM8503" s="22"/>
      <c r="AN8503" s="149" t="s">
        <v>25326</v>
      </c>
      <c r="AO8503" s="144"/>
      <c r="AP8503" s="148">
        <v>5229</v>
      </c>
      <c r="AQ8503" s="144"/>
      <c r="AR8503" s="120"/>
      <c r="AS8503" s="121"/>
      <c r="AT8503" s="120"/>
      <c r="AU8503" s="121"/>
      <c r="AV8503" s="120"/>
      <c r="AW8503" s="121"/>
      <c r="AX8503" s="120"/>
      <c r="AY8503" s="121"/>
      <c r="AZ8503" s="138"/>
    </row>
    <row r="8504" spans="1:52" ht="17.100000000000001" customHeight="1" thickTop="1">
      <c r="A8504" s="109" t="s">
        <v>24218</v>
      </c>
      <c r="B8504" s="28">
        <v>46135</v>
      </c>
      <c r="C8504" s="25">
        <v>2155</v>
      </c>
      <c r="D8504" s="13" t="s">
        <v>24246</v>
      </c>
      <c r="E8504" s="111"/>
      <c r="F8504" s="113" t="s">
        <v>24247</v>
      </c>
      <c r="G8504" s="114"/>
      <c r="H8504" s="115"/>
      <c r="I8504" s="24"/>
      <c r="J8504" s="116">
        <v>4</v>
      </c>
      <c r="K8504" s="118">
        <v>1118000</v>
      </c>
      <c r="L8504" s="119"/>
      <c r="M8504" s="118">
        <f t="shared" ref="M8504" si="12898">K8504*0.1</f>
        <v>111800</v>
      </c>
      <c r="N8504" s="119"/>
      <c r="O8504" s="118">
        <v>0</v>
      </c>
      <c r="P8504" s="119"/>
      <c r="Q8504" s="118">
        <v>8130</v>
      </c>
      <c r="R8504" s="119"/>
      <c r="S8504" s="118">
        <v>14300</v>
      </c>
      <c r="T8504" s="119"/>
      <c r="U8504" s="118">
        <f t="shared" ref="U8504" si="12899">SUM(K8504:T8505)</f>
        <v>1252230</v>
      </c>
      <c r="V8504" s="122"/>
      <c r="W8504" s="124"/>
      <c r="X8504" s="126" t="s">
        <v>24674</v>
      </c>
      <c r="Y8504" s="127"/>
      <c r="Z8504" s="127"/>
      <c r="AA8504" s="127"/>
      <c r="AB8504" s="128"/>
      <c r="AC8504" s="15" t="s">
        <v>20</v>
      </c>
      <c r="AD8504" s="129"/>
      <c r="AE8504" s="130"/>
      <c r="AF8504" s="130"/>
      <c r="AG8504" s="130"/>
      <c r="AH8504" s="130"/>
      <c r="AI8504" s="131"/>
      <c r="AJ8504" s="132"/>
      <c r="AK8504" s="127"/>
      <c r="AL8504" s="128"/>
      <c r="AM8504" s="21"/>
      <c r="AN8504" s="133">
        <v>46141</v>
      </c>
      <c r="AO8504" s="134"/>
      <c r="AP8504" s="135">
        <v>1015</v>
      </c>
      <c r="AQ8504" s="136"/>
      <c r="AR8504" s="118">
        <v>1195000</v>
      </c>
      <c r="AS8504" s="119"/>
      <c r="AT8504" s="118">
        <f t="shared" ref="AT8504" si="12900">AR8504*0.1</f>
        <v>119500</v>
      </c>
      <c r="AU8504" s="119"/>
      <c r="AV8504" s="118">
        <v>8130</v>
      </c>
      <c r="AW8504" s="119"/>
      <c r="AX8504" s="118">
        <f t="shared" ref="AX8504" si="12901">SUM(AR8504:AW8504)</f>
        <v>1322630</v>
      </c>
      <c r="AY8504" s="119"/>
      <c r="AZ8504" s="137">
        <v>46153</v>
      </c>
    </row>
    <row r="8505" spans="1:52" ht="17.100000000000001" customHeight="1" thickBot="1">
      <c r="A8505" s="110"/>
      <c r="B8505" s="27" t="s">
        <v>24228</v>
      </c>
      <c r="C8505" s="27">
        <v>2595</v>
      </c>
      <c r="D8505" s="14" t="s">
        <v>1812</v>
      </c>
      <c r="E8505" s="112"/>
      <c r="F8505" s="139" t="s">
        <v>24248</v>
      </c>
      <c r="G8505" s="140"/>
      <c r="H8505" s="141"/>
      <c r="I8505" s="26">
        <v>3929</v>
      </c>
      <c r="J8505" s="117"/>
      <c r="K8505" s="120"/>
      <c r="L8505" s="121"/>
      <c r="M8505" s="120"/>
      <c r="N8505" s="121"/>
      <c r="O8505" s="120"/>
      <c r="P8505" s="121"/>
      <c r="Q8505" s="120"/>
      <c r="R8505" s="121"/>
      <c r="S8505" s="120"/>
      <c r="T8505" s="121"/>
      <c r="U8505" s="120"/>
      <c r="V8505" s="123"/>
      <c r="W8505" s="125"/>
      <c r="X8505" s="142" t="s">
        <v>2440</v>
      </c>
      <c r="Y8505" s="143"/>
      <c r="Z8505" s="143"/>
      <c r="AA8505" s="143"/>
      <c r="AB8505" s="144"/>
      <c r="AC8505" s="16" t="s">
        <v>21</v>
      </c>
      <c r="AD8505" s="17" t="s">
        <v>1962</v>
      </c>
      <c r="AE8505" s="145"/>
      <c r="AF8505" s="146"/>
      <c r="AG8505" s="146"/>
      <c r="AH8505" s="146"/>
      <c r="AI8505" s="147"/>
      <c r="AJ8505" s="148"/>
      <c r="AK8505" s="143"/>
      <c r="AL8505" s="144"/>
      <c r="AM8505" s="22"/>
      <c r="AN8505" s="149" t="s">
        <v>2794</v>
      </c>
      <c r="AO8505" s="144"/>
      <c r="AP8505" s="148">
        <v>5066</v>
      </c>
      <c r="AQ8505" s="144"/>
      <c r="AR8505" s="120"/>
      <c r="AS8505" s="121"/>
      <c r="AT8505" s="120"/>
      <c r="AU8505" s="121"/>
      <c r="AV8505" s="120"/>
      <c r="AW8505" s="121"/>
      <c r="AX8505" s="120"/>
      <c r="AY8505" s="121"/>
      <c r="AZ8505" s="138"/>
    </row>
    <row r="8506" spans="1:52" ht="17.100000000000001" customHeight="1" thickTop="1">
      <c r="A8506" s="109" t="s">
        <v>24219</v>
      </c>
      <c r="B8506" s="28">
        <v>46135</v>
      </c>
      <c r="C8506" s="25">
        <v>2155</v>
      </c>
      <c r="D8506" s="13" t="s">
        <v>24249</v>
      </c>
      <c r="E8506" s="111"/>
      <c r="F8506" s="113" t="s">
        <v>24250</v>
      </c>
      <c r="G8506" s="114"/>
      <c r="H8506" s="115"/>
      <c r="I8506" s="24" t="s">
        <v>24252</v>
      </c>
      <c r="J8506" s="116">
        <v>4</v>
      </c>
      <c r="K8506" s="118">
        <v>1034000</v>
      </c>
      <c r="L8506" s="119"/>
      <c r="M8506" s="118">
        <f t="shared" ref="M8506" si="12902">K8506*0.1</f>
        <v>103400</v>
      </c>
      <c r="N8506" s="119"/>
      <c r="O8506" s="118">
        <v>0</v>
      </c>
      <c r="P8506" s="119"/>
      <c r="Q8506" s="118">
        <v>8110</v>
      </c>
      <c r="R8506" s="119"/>
      <c r="S8506" s="118">
        <v>14300</v>
      </c>
      <c r="T8506" s="119"/>
      <c r="U8506" s="118">
        <f t="shared" ref="U8506" si="12903">SUM(K8506:T8507)</f>
        <v>1159810</v>
      </c>
      <c r="V8506" s="122"/>
      <c r="W8506" s="124"/>
      <c r="X8506" s="126" t="s">
        <v>24253</v>
      </c>
      <c r="Y8506" s="127"/>
      <c r="Z8506" s="127"/>
      <c r="AA8506" s="127"/>
      <c r="AB8506" s="128"/>
      <c r="AC8506" s="15" t="s">
        <v>20</v>
      </c>
      <c r="AD8506" s="129" t="s">
        <v>24254</v>
      </c>
      <c r="AE8506" s="130"/>
      <c r="AF8506" s="130"/>
      <c r="AG8506" s="130"/>
      <c r="AH8506" s="130"/>
      <c r="AI8506" s="131"/>
      <c r="AJ8506" s="132"/>
      <c r="AK8506" s="127"/>
      <c r="AL8506" s="128"/>
      <c r="AM8506" s="21"/>
      <c r="AN8506" s="133">
        <v>46141</v>
      </c>
      <c r="AO8506" s="134"/>
      <c r="AP8506" s="135">
        <v>1015</v>
      </c>
      <c r="AQ8506" s="136"/>
      <c r="AR8506" s="118">
        <v>1075000</v>
      </c>
      <c r="AS8506" s="119"/>
      <c r="AT8506" s="118">
        <f t="shared" ref="AT8506" si="12904">AR8506*0.1</f>
        <v>107500</v>
      </c>
      <c r="AU8506" s="119"/>
      <c r="AV8506" s="118">
        <v>8110</v>
      </c>
      <c r="AW8506" s="119"/>
      <c r="AX8506" s="118">
        <f t="shared" ref="AX8506" si="12905">SUM(AR8506:AW8506)</f>
        <v>1190610</v>
      </c>
      <c r="AY8506" s="119"/>
      <c r="AZ8506" s="137">
        <v>46153</v>
      </c>
    </row>
    <row r="8507" spans="1:52" ht="17.100000000000001" customHeight="1" thickBot="1">
      <c r="A8507" s="110"/>
      <c r="B8507" s="27" t="s">
        <v>24228</v>
      </c>
      <c r="C8507" s="27">
        <v>2600</v>
      </c>
      <c r="D8507" s="14" t="s">
        <v>2601</v>
      </c>
      <c r="E8507" s="112"/>
      <c r="F8507" s="139" t="s">
        <v>24251</v>
      </c>
      <c r="G8507" s="140"/>
      <c r="H8507" s="141"/>
      <c r="I8507" s="26">
        <v>51838</v>
      </c>
      <c r="J8507" s="117"/>
      <c r="K8507" s="120"/>
      <c r="L8507" s="121"/>
      <c r="M8507" s="120"/>
      <c r="N8507" s="121"/>
      <c r="O8507" s="120"/>
      <c r="P8507" s="121"/>
      <c r="Q8507" s="120"/>
      <c r="R8507" s="121"/>
      <c r="S8507" s="120"/>
      <c r="T8507" s="121"/>
      <c r="U8507" s="120"/>
      <c r="V8507" s="123"/>
      <c r="W8507" s="125"/>
      <c r="X8507" s="142" t="s">
        <v>19197</v>
      </c>
      <c r="Y8507" s="143"/>
      <c r="Z8507" s="143"/>
      <c r="AA8507" s="143"/>
      <c r="AB8507" s="144"/>
      <c r="AC8507" s="16" t="s">
        <v>21</v>
      </c>
      <c r="AD8507" s="17" t="s">
        <v>1962</v>
      </c>
      <c r="AE8507" s="145" t="s">
        <v>2441</v>
      </c>
      <c r="AF8507" s="146"/>
      <c r="AG8507" s="146"/>
      <c r="AH8507" s="146"/>
      <c r="AI8507" s="147"/>
      <c r="AJ8507" s="148"/>
      <c r="AK8507" s="143"/>
      <c r="AL8507" s="144"/>
      <c r="AM8507" s="22"/>
      <c r="AN8507" s="149" t="s">
        <v>2794</v>
      </c>
      <c r="AO8507" s="144"/>
      <c r="AP8507" s="148">
        <v>5155</v>
      </c>
      <c r="AQ8507" s="144"/>
      <c r="AR8507" s="120"/>
      <c r="AS8507" s="121"/>
      <c r="AT8507" s="120"/>
      <c r="AU8507" s="121"/>
      <c r="AV8507" s="120"/>
      <c r="AW8507" s="121"/>
      <c r="AX8507" s="120"/>
      <c r="AY8507" s="121"/>
      <c r="AZ8507" s="138"/>
    </row>
    <row r="8508" spans="1:52" ht="17.100000000000001" customHeight="1" thickTop="1">
      <c r="A8508" s="109" t="s">
        <v>24220</v>
      </c>
      <c r="B8508" s="28">
        <v>46135</v>
      </c>
      <c r="C8508" s="25">
        <v>2155</v>
      </c>
      <c r="D8508" s="13" t="s">
        <v>24107</v>
      </c>
      <c r="E8508" s="111"/>
      <c r="F8508" s="113" t="s">
        <v>24241</v>
      </c>
      <c r="G8508" s="114"/>
      <c r="H8508" s="115"/>
      <c r="I8508" s="24"/>
      <c r="J8508" s="116">
        <v>4.5</v>
      </c>
      <c r="K8508" s="118">
        <v>854000</v>
      </c>
      <c r="L8508" s="119"/>
      <c r="M8508" s="118">
        <f t="shared" ref="M8508" si="12906">K8508*0.1</f>
        <v>85400</v>
      </c>
      <c r="N8508" s="119"/>
      <c r="O8508" s="118">
        <v>0</v>
      </c>
      <c r="P8508" s="119"/>
      <c r="Q8508" s="118">
        <v>6830</v>
      </c>
      <c r="R8508" s="119"/>
      <c r="S8508" s="118">
        <v>14300</v>
      </c>
      <c r="T8508" s="119"/>
      <c r="U8508" s="118">
        <f t="shared" ref="U8508" si="12907">SUM(K8508:T8509)</f>
        <v>960530</v>
      </c>
      <c r="V8508" s="122"/>
      <c r="W8508" s="124"/>
      <c r="X8508" s="126" t="s">
        <v>24801</v>
      </c>
      <c r="Y8508" s="127"/>
      <c r="Z8508" s="127"/>
      <c r="AA8508" s="127"/>
      <c r="AB8508" s="128"/>
      <c r="AC8508" s="15" t="s">
        <v>20</v>
      </c>
      <c r="AD8508" s="129" t="s">
        <v>24256</v>
      </c>
      <c r="AE8508" s="130"/>
      <c r="AF8508" s="130"/>
      <c r="AG8508" s="130"/>
      <c r="AH8508" s="130"/>
      <c r="AI8508" s="131"/>
      <c r="AJ8508" s="132"/>
      <c r="AK8508" s="127"/>
      <c r="AL8508" s="128"/>
      <c r="AM8508" s="21"/>
      <c r="AN8508" s="133">
        <v>46141</v>
      </c>
      <c r="AO8508" s="134"/>
      <c r="AP8508" s="135">
        <v>1015</v>
      </c>
      <c r="AQ8508" s="136"/>
      <c r="AR8508" s="118">
        <v>940000</v>
      </c>
      <c r="AS8508" s="119"/>
      <c r="AT8508" s="118">
        <f t="shared" ref="AT8508" si="12908">AR8508*0.1</f>
        <v>94000</v>
      </c>
      <c r="AU8508" s="119"/>
      <c r="AV8508" s="118">
        <v>6830</v>
      </c>
      <c r="AW8508" s="119"/>
      <c r="AX8508" s="118">
        <f t="shared" ref="AX8508" si="12909">SUM(AR8508:AW8508)</f>
        <v>1040830</v>
      </c>
      <c r="AY8508" s="119"/>
      <c r="AZ8508" s="137">
        <v>46156</v>
      </c>
    </row>
    <row r="8509" spans="1:52" ht="17.100000000000001" customHeight="1" thickBot="1">
      <c r="A8509" s="110"/>
      <c r="B8509" s="27" t="s">
        <v>24228</v>
      </c>
      <c r="C8509" s="27">
        <v>2606</v>
      </c>
      <c r="D8509" s="14" t="s">
        <v>1812</v>
      </c>
      <c r="E8509" s="112"/>
      <c r="F8509" s="139" t="s">
        <v>24255</v>
      </c>
      <c r="G8509" s="140"/>
      <c r="H8509" s="141"/>
      <c r="I8509" s="26">
        <v>59633</v>
      </c>
      <c r="J8509" s="117"/>
      <c r="K8509" s="120"/>
      <c r="L8509" s="121"/>
      <c r="M8509" s="120"/>
      <c r="N8509" s="121"/>
      <c r="O8509" s="120"/>
      <c r="P8509" s="121"/>
      <c r="Q8509" s="120"/>
      <c r="R8509" s="121"/>
      <c r="S8509" s="120"/>
      <c r="T8509" s="121"/>
      <c r="U8509" s="120"/>
      <c r="V8509" s="123"/>
      <c r="W8509" s="125"/>
      <c r="X8509" s="142" t="s">
        <v>24802</v>
      </c>
      <c r="Y8509" s="143"/>
      <c r="Z8509" s="143"/>
      <c r="AA8509" s="143"/>
      <c r="AB8509" s="144"/>
      <c r="AC8509" s="16" t="s">
        <v>21</v>
      </c>
      <c r="AD8509" s="17" t="s">
        <v>24751</v>
      </c>
      <c r="AE8509" s="145" t="s">
        <v>2692</v>
      </c>
      <c r="AF8509" s="146"/>
      <c r="AG8509" s="146"/>
      <c r="AH8509" s="146"/>
      <c r="AI8509" s="147"/>
      <c r="AJ8509" s="148"/>
      <c r="AK8509" s="143"/>
      <c r="AL8509" s="144"/>
      <c r="AM8509" s="22"/>
      <c r="AN8509" s="149" t="s">
        <v>25326</v>
      </c>
      <c r="AO8509" s="144"/>
      <c r="AP8509" s="148">
        <v>5085</v>
      </c>
      <c r="AQ8509" s="144"/>
      <c r="AR8509" s="120"/>
      <c r="AS8509" s="121"/>
      <c r="AT8509" s="120"/>
      <c r="AU8509" s="121"/>
      <c r="AV8509" s="120"/>
      <c r="AW8509" s="121"/>
      <c r="AX8509" s="120"/>
      <c r="AY8509" s="121"/>
      <c r="AZ8509" s="138"/>
    </row>
    <row r="8510" spans="1:52" ht="17.100000000000001" customHeight="1" thickTop="1">
      <c r="A8510" s="109" t="s">
        <v>24295</v>
      </c>
      <c r="B8510" s="28">
        <v>46135</v>
      </c>
      <c r="C8510" s="25">
        <v>2024</v>
      </c>
      <c r="D8510" s="13" t="s">
        <v>24434</v>
      </c>
      <c r="E8510" s="111"/>
      <c r="F8510" s="113" t="s">
        <v>24231</v>
      </c>
      <c r="G8510" s="114"/>
      <c r="H8510" s="115"/>
      <c r="I8510" s="24" t="s">
        <v>24436</v>
      </c>
      <c r="J8510" s="116">
        <v>4</v>
      </c>
      <c r="K8510" s="118">
        <v>1511000</v>
      </c>
      <c r="L8510" s="119"/>
      <c r="M8510" s="118">
        <f t="shared" ref="M8510" si="12910">K8510*0.1</f>
        <v>151100</v>
      </c>
      <c r="N8510" s="119"/>
      <c r="O8510" s="118">
        <v>39820</v>
      </c>
      <c r="P8510" s="119"/>
      <c r="Q8510" s="118">
        <v>12550</v>
      </c>
      <c r="R8510" s="119"/>
      <c r="S8510" s="118">
        <v>22000</v>
      </c>
      <c r="T8510" s="119"/>
      <c r="U8510" s="118">
        <f t="shared" ref="U8510" si="12911">SUM(K8510:T8511)</f>
        <v>1736470</v>
      </c>
      <c r="V8510" s="122"/>
      <c r="W8510" s="124"/>
      <c r="X8510" s="126" t="s">
        <v>24437</v>
      </c>
      <c r="Y8510" s="127"/>
      <c r="Z8510" s="127"/>
      <c r="AA8510" s="127"/>
      <c r="AB8510" s="128"/>
      <c r="AC8510" s="15" t="s">
        <v>20</v>
      </c>
      <c r="AD8510" s="129"/>
      <c r="AE8510" s="130"/>
      <c r="AF8510" s="130"/>
      <c r="AG8510" s="130"/>
      <c r="AH8510" s="130"/>
      <c r="AI8510" s="131"/>
      <c r="AJ8510" s="132"/>
      <c r="AK8510" s="127"/>
      <c r="AL8510" s="128"/>
      <c r="AM8510" s="21"/>
      <c r="AN8510" s="133">
        <v>46155</v>
      </c>
      <c r="AO8510" s="134"/>
      <c r="AP8510" s="135">
        <v>1016</v>
      </c>
      <c r="AQ8510" s="136"/>
      <c r="AR8510" s="118">
        <v>1495000</v>
      </c>
      <c r="AS8510" s="119"/>
      <c r="AT8510" s="118">
        <f t="shared" ref="AT8510" si="12912">AR8510*0.1</f>
        <v>149500</v>
      </c>
      <c r="AU8510" s="119"/>
      <c r="AV8510" s="118">
        <v>12550</v>
      </c>
      <c r="AW8510" s="119"/>
      <c r="AX8510" s="118">
        <f t="shared" ref="AX8510" si="12913">SUM(AR8510:AW8510)</f>
        <v>1657050</v>
      </c>
      <c r="AY8510" s="119"/>
      <c r="AZ8510" s="137">
        <v>46161</v>
      </c>
    </row>
    <row r="8511" spans="1:52" ht="17.100000000000001" customHeight="1" thickBot="1">
      <c r="A8511" s="110"/>
      <c r="B8511" s="27" t="s">
        <v>24304</v>
      </c>
      <c r="C8511" s="27">
        <v>10072</v>
      </c>
      <c r="D8511" s="14" t="s">
        <v>24435</v>
      </c>
      <c r="E8511" s="112"/>
      <c r="F8511" s="139" t="s">
        <v>24305</v>
      </c>
      <c r="G8511" s="140"/>
      <c r="H8511" s="141"/>
      <c r="I8511" s="26">
        <v>53954</v>
      </c>
      <c r="J8511" s="117"/>
      <c r="K8511" s="120"/>
      <c r="L8511" s="121"/>
      <c r="M8511" s="120"/>
      <c r="N8511" s="121"/>
      <c r="O8511" s="120"/>
      <c r="P8511" s="121"/>
      <c r="Q8511" s="120"/>
      <c r="R8511" s="121"/>
      <c r="S8511" s="120"/>
      <c r="T8511" s="121"/>
      <c r="U8511" s="120"/>
      <c r="V8511" s="123"/>
      <c r="W8511" s="125"/>
      <c r="X8511" s="142" t="s">
        <v>2918</v>
      </c>
      <c r="Y8511" s="143"/>
      <c r="Z8511" s="143"/>
      <c r="AA8511" s="143"/>
      <c r="AB8511" s="144"/>
      <c r="AC8511" s="16" t="s">
        <v>21</v>
      </c>
      <c r="AD8511" s="17" t="s">
        <v>2009</v>
      </c>
      <c r="AE8511" s="145" t="s">
        <v>7841</v>
      </c>
      <c r="AF8511" s="146"/>
      <c r="AG8511" s="146"/>
      <c r="AH8511" s="146"/>
      <c r="AI8511" s="147"/>
      <c r="AJ8511" s="148"/>
      <c r="AK8511" s="143"/>
      <c r="AL8511" s="144"/>
      <c r="AM8511" s="22"/>
      <c r="AN8511" s="149" t="s">
        <v>2794</v>
      </c>
      <c r="AO8511" s="144"/>
      <c r="AP8511" s="148">
        <v>5107</v>
      </c>
      <c r="AQ8511" s="144"/>
      <c r="AR8511" s="120"/>
      <c r="AS8511" s="121"/>
      <c r="AT8511" s="120"/>
      <c r="AU8511" s="121"/>
      <c r="AV8511" s="120"/>
      <c r="AW8511" s="121"/>
      <c r="AX8511" s="120"/>
      <c r="AY8511" s="121"/>
      <c r="AZ8511" s="138"/>
    </row>
    <row r="8512" spans="1:52" ht="17.100000000000001" customHeight="1" thickTop="1">
      <c r="A8512" s="109" t="s">
        <v>24296</v>
      </c>
      <c r="B8512" s="28">
        <v>46135</v>
      </c>
      <c r="C8512" s="25">
        <v>2024</v>
      </c>
      <c r="D8512" s="13" t="s">
        <v>24438</v>
      </c>
      <c r="E8512" s="111"/>
      <c r="F8512" s="113" t="s">
        <v>24439</v>
      </c>
      <c r="G8512" s="114"/>
      <c r="H8512" s="115"/>
      <c r="I8512" s="24"/>
      <c r="J8512" s="116">
        <v>4</v>
      </c>
      <c r="K8512" s="118">
        <v>573000</v>
      </c>
      <c r="L8512" s="119"/>
      <c r="M8512" s="118">
        <f t="shared" ref="M8512" si="12914">K8512*0.1</f>
        <v>57300</v>
      </c>
      <c r="N8512" s="119"/>
      <c r="O8512" s="118">
        <v>0</v>
      </c>
      <c r="P8512" s="119"/>
      <c r="Q8512" s="118">
        <v>9130</v>
      </c>
      <c r="R8512" s="119"/>
      <c r="S8512" s="118">
        <v>22000</v>
      </c>
      <c r="T8512" s="119"/>
      <c r="U8512" s="118">
        <f t="shared" ref="U8512" si="12915">SUM(K8512:T8513)</f>
        <v>661430</v>
      </c>
      <c r="V8512" s="122"/>
      <c r="W8512" s="124"/>
      <c r="X8512" s="126" t="s">
        <v>24757</v>
      </c>
      <c r="Y8512" s="127"/>
      <c r="Z8512" s="127"/>
      <c r="AA8512" s="127"/>
      <c r="AB8512" s="128"/>
      <c r="AC8512" s="15" t="s">
        <v>20</v>
      </c>
      <c r="AD8512" s="129" t="s">
        <v>24440</v>
      </c>
      <c r="AE8512" s="130"/>
      <c r="AF8512" s="130"/>
      <c r="AG8512" s="130"/>
      <c r="AH8512" s="130"/>
      <c r="AI8512" s="131"/>
      <c r="AJ8512" s="132"/>
      <c r="AK8512" s="127"/>
      <c r="AL8512" s="128"/>
      <c r="AM8512" s="21"/>
      <c r="AN8512" s="133">
        <v>46141</v>
      </c>
      <c r="AO8512" s="134"/>
      <c r="AP8512" s="135">
        <v>1015</v>
      </c>
      <c r="AQ8512" s="136"/>
      <c r="AR8512" s="118">
        <v>655000</v>
      </c>
      <c r="AS8512" s="119"/>
      <c r="AT8512" s="118">
        <f t="shared" ref="AT8512" si="12916">AR8512*0.1</f>
        <v>65500</v>
      </c>
      <c r="AU8512" s="119"/>
      <c r="AV8512" s="118">
        <v>9130</v>
      </c>
      <c r="AW8512" s="119"/>
      <c r="AX8512" s="118">
        <f t="shared" ref="AX8512" si="12917">SUM(AR8512:AW8512)</f>
        <v>729630</v>
      </c>
      <c r="AY8512" s="119"/>
      <c r="AZ8512" s="137">
        <v>46153</v>
      </c>
    </row>
    <row r="8513" spans="1:52" ht="17.100000000000001" customHeight="1" thickBot="1">
      <c r="A8513" s="110"/>
      <c r="B8513" s="27" t="s">
        <v>24304</v>
      </c>
      <c r="C8513" s="27">
        <v>30082</v>
      </c>
      <c r="D8513" s="14" t="s">
        <v>1720</v>
      </c>
      <c r="E8513" s="112"/>
      <c r="F8513" s="139" t="s">
        <v>24306</v>
      </c>
      <c r="G8513" s="140"/>
      <c r="H8513" s="141"/>
      <c r="I8513" s="26">
        <v>56245</v>
      </c>
      <c r="J8513" s="117"/>
      <c r="K8513" s="120"/>
      <c r="L8513" s="121"/>
      <c r="M8513" s="120"/>
      <c r="N8513" s="121"/>
      <c r="O8513" s="120"/>
      <c r="P8513" s="121"/>
      <c r="Q8513" s="120"/>
      <c r="R8513" s="121"/>
      <c r="S8513" s="120"/>
      <c r="T8513" s="121"/>
      <c r="U8513" s="120"/>
      <c r="V8513" s="123"/>
      <c r="W8513" s="125"/>
      <c r="X8513" s="142" t="s">
        <v>12246</v>
      </c>
      <c r="Y8513" s="143"/>
      <c r="Z8513" s="143"/>
      <c r="AA8513" s="143"/>
      <c r="AB8513" s="144"/>
      <c r="AC8513" s="16" t="s">
        <v>21</v>
      </c>
      <c r="AD8513" s="17" t="s">
        <v>24751</v>
      </c>
      <c r="AE8513" s="145" t="s">
        <v>24758</v>
      </c>
      <c r="AF8513" s="146"/>
      <c r="AG8513" s="146"/>
      <c r="AH8513" s="146"/>
      <c r="AI8513" s="147"/>
      <c r="AJ8513" s="148"/>
      <c r="AK8513" s="143"/>
      <c r="AL8513" s="144"/>
      <c r="AM8513" s="22"/>
      <c r="AN8513" s="149" t="s">
        <v>2794</v>
      </c>
      <c r="AO8513" s="144"/>
      <c r="AP8513" s="148">
        <v>5121</v>
      </c>
      <c r="AQ8513" s="144"/>
      <c r="AR8513" s="120"/>
      <c r="AS8513" s="121"/>
      <c r="AT8513" s="120"/>
      <c r="AU8513" s="121"/>
      <c r="AV8513" s="120"/>
      <c r="AW8513" s="121"/>
      <c r="AX8513" s="120"/>
      <c r="AY8513" s="121"/>
      <c r="AZ8513" s="138"/>
    </row>
    <row r="8514" spans="1:52" ht="17.100000000000001" customHeight="1" thickTop="1">
      <c r="A8514" s="109" t="s">
        <v>24297</v>
      </c>
      <c r="B8514" s="28">
        <v>46135</v>
      </c>
      <c r="C8514" s="25">
        <v>2024</v>
      </c>
      <c r="D8514" s="13" t="s">
        <v>24441</v>
      </c>
      <c r="E8514" s="111"/>
      <c r="F8514" s="113" t="s">
        <v>24442</v>
      </c>
      <c r="G8514" s="114"/>
      <c r="H8514" s="115"/>
      <c r="I8514" s="24"/>
      <c r="J8514" s="116">
        <v>3.5</v>
      </c>
      <c r="K8514" s="118">
        <v>630000</v>
      </c>
      <c r="L8514" s="119"/>
      <c r="M8514" s="118">
        <f t="shared" ref="M8514" si="12918">K8514*0.1</f>
        <v>63000</v>
      </c>
      <c r="N8514" s="119"/>
      <c r="O8514" s="118">
        <v>0</v>
      </c>
      <c r="P8514" s="119"/>
      <c r="Q8514" s="118">
        <v>8950</v>
      </c>
      <c r="R8514" s="119"/>
      <c r="S8514" s="118">
        <v>22000</v>
      </c>
      <c r="T8514" s="119"/>
      <c r="U8514" s="118">
        <f t="shared" ref="U8514" si="12919">SUM(K8514:T8515)</f>
        <v>723950</v>
      </c>
      <c r="V8514" s="122"/>
      <c r="W8514" s="124"/>
      <c r="X8514" s="126" t="s">
        <v>24860</v>
      </c>
      <c r="Y8514" s="127"/>
      <c r="Z8514" s="127"/>
      <c r="AA8514" s="127"/>
      <c r="AB8514" s="128"/>
      <c r="AC8514" s="15" t="s">
        <v>20</v>
      </c>
      <c r="AD8514" s="129" t="s">
        <v>24443</v>
      </c>
      <c r="AE8514" s="130"/>
      <c r="AF8514" s="130"/>
      <c r="AG8514" s="130"/>
      <c r="AH8514" s="130"/>
      <c r="AI8514" s="131"/>
      <c r="AJ8514" s="132"/>
      <c r="AK8514" s="127"/>
      <c r="AL8514" s="128"/>
      <c r="AM8514" s="21"/>
      <c r="AN8514" s="133">
        <v>46141</v>
      </c>
      <c r="AO8514" s="134"/>
      <c r="AP8514" s="135">
        <v>1015</v>
      </c>
      <c r="AQ8514" s="136"/>
      <c r="AR8514" s="118">
        <v>750000</v>
      </c>
      <c r="AS8514" s="119"/>
      <c r="AT8514" s="118">
        <f t="shared" ref="AT8514" si="12920">AR8514*0.1</f>
        <v>75000</v>
      </c>
      <c r="AU8514" s="119"/>
      <c r="AV8514" s="118">
        <v>8950</v>
      </c>
      <c r="AW8514" s="119"/>
      <c r="AX8514" s="118">
        <f t="shared" ref="AX8514" si="12921">SUM(AR8514:AW8514)</f>
        <v>833950</v>
      </c>
      <c r="AY8514" s="119"/>
      <c r="AZ8514" s="137">
        <v>46153</v>
      </c>
    </row>
    <row r="8515" spans="1:52" ht="17.100000000000001" customHeight="1" thickBot="1">
      <c r="A8515" s="110"/>
      <c r="B8515" s="27" t="s">
        <v>24304</v>
      </c>
      <c r="C8515" s="27">
        <v>30125</v>
      </c>
      <c r="D8515" s="14" t="s">
        <v>1720</v>
      </c>
      <c r="E8515" s="112"/>
      <c r="F8515" s="139" t="s">
        <v>24307</v>
      </c>
      <c r="G8515" s="140"/>
      <c r="H8515" s="141"/>
      <c r="I8515" s="26">
        <v>50616</v>
      </c>
      <c r="J8515" s="117"/>
      <c r="K8515" s="120"/>
      <c r="L8515" s="121"/>
      <c r="M8515" s="120"/>
      <c r="N8515" s="121"/>
      <c r="O8515" s="120"/>
      <c r="P8515" s="121"/>
      <c r="Q8515" s="120"/>
      <c r="R8515" s="121"/>
      <c r="S8515" s="120"/>
      <c r="T8515" s="121"/>
      <c r="U8515" s="120"/>
      <c r="V8515" s="123"/>
      <c r="W8515" s="125"/>
      <c r="X8515" s="142" t="s">
        <v>24859</v>
      </c>
      <c r="Y8515" s="143"/>
      <c r="Z8515" s="143"/>
      <c r="AA8515" s="143"/>
      <c r="AB8515" s="144"/>
      <c r="AC8515" s="16" t="s">
        <v>21</v>
      </c>
      <c r="AD8515" s="17" t="s">
        <v>24856</v>
      </c>
      <c r="AE8515" s="145" t="s">
        <v>25143</v>
      </c>
      <c r="AF8515" s="146"/>
      <c r="AG8515" s="146"/>
      <c r="AH8515" s="146"/>
      <c r="AI8515" s="147"/>
      <c r="AJ8515" s="148"/>
      <c r="AK8515" s="143"/>
      <c r="AL8515" s="144"/>
      <c r="AM8515" s="22"/>
      <c r="AN8515" s="149" t="s">
        <v>2794</v>
      </c>
      <c r="AO8515" s="144"/>
      <c r="AP8515" s="148">
        <v>5070</v>
      </c>
      <c r="AQ8515" s="144"/>
      <c r="AR8515" s="120"/>
      <c r="AS8515" s="121"/>
      <c r="AT8515" s="120"/>
      <c r="AU8515" s="121"/>
      <c r="AV8515" s="120"/>
      <c r="AW8515" s="121"/>
      <c r="AX8515" s="120"/>
      <c r="AY8515" s="121"/>
      <c r="AZ8515" s="138"/>
    </row>
    <row r="8516" spans="1:52" ht="17.100000000000001" customHeight="1" thickTop="1">
      <c r="A8516" s="109" t="s">
        <v>24298</v>
      </c>
      <c r="B8516" s="28">
        <v>46135</v>
      </c>
      <c r="C8516" s="25">
        <v>2024</v>
      </c>
      <c r="D8516" s="13" t="s">
        <v>24444</v>
      </c>
      <c r="E8516" s="111"/>
      <c r="F8516" s="113" t="s">
        <v>24445</v>
      </c>
      <c r="G8516" s="114"/>
      <c r="H8516" s="115"/>
      <c r="I8516" s="24" t="s">
        <v>24446</v>
      </c>
      <c r="J8516" s="116">
        <v>4</v>
      </c>
      <c r="K8516" s="118">
        <v>3039000</v>
      </c>
      <c r="L8516" s="119"/>
      <c r="M8516" s="118">
        <f t="shared" ref="M8516" si="12922">K8516*0.1</f>
        <v>303900</v>
      </c>
      <c r="N8516" s="119"/>
      <c r="O8516" s="118">
        <v>43780</v>
      </c>
      <c r="P8516" s="119"/>
      <c r="Q8516" s="118">
        <v>14900</v>
      </c>
      <c r="R8516" s="119"/>
      <c r="S8516" s="118">
        <v>22000</v>
      </c>
      <c r="T8516" s="119"/>
      <c r="U8516" s="118">
        <f t="shared" ref="U8516" si="12923">SUM(K8516:T8517)</f>
        <v>3423580</v>
      </c>
      <c r="V8516" s="122"/>
      <c r="W8516" s="124"/>
      <c r="X8516" s="126" t="s">
        <v>24447</v>
      </c>
      <c r="Y8516" s="127"/>
      <c r="Z8516" s="127"/>
      <c r="AA8516" s="127"/>
      <c r="AB8516" s="128"/>
      <c r="AC8516" s="15" t="s">
        <v>20</v>
      </c>
      <c r="AD8516" s="129" t="s">
        <v>24443</v>
      </c>
      <c r="AE8516" s="130"/>
      <c r="AF8516" s="130"/>
      <c r="AG8516" s="130"/>
      <c r="AH8516" s="130"/>
      <c r="AI8516" s="131"/>
      <c r="AJ8516" s="132"/>
      <c r="AK8516" s="127"/>
      <c r="AL8516" s="128"/>
      <c r="AM8516" s="21"/>
      <c r="AN8516" s="133">
        <v>46141</v>
      </c>
      <c r="AO8516" s="134"/>
      <c r="AP8516" s="135">
        <v>1015</v>
      </c>
      <c r="AQ8516" s="136"/>
      <c r="AR8516" s="118">
        <v>3230000</v>
      </c>
      <c r="AS8516" s="119"/>
      <c r="AT8516" s="118">
        <f t="shared" ref="AT8516" si="12924">AR8516*0.1</f>
        <v>323000</v>
      </c>
      <c r="AU8516" s="119"/>
      <c r="AV8516" s="118">
        <v>14900</v>
      </c>
      <c r="AW8516" s="119"/>
      <c r="AX8516" s="118">
        <f t="shared" ref="AX8516" si="12925">SUM(AR8516:AW8516)</f>
        <v>3567900</v>
      </c>
      <c r="AY8516" s="119"/>
      <c r="AZ8516" s="137">
        <v>46153</v>
      </c>
    </row>
    <row r="8517" spans="1:52" ht="17.100000000000001" customHeight="1" thickBot="1">
      <c r="A8517" s="110"/>
      <c r="B8517" s="27" t="s">
        <v>24304</v>
      </c>
      <c r="C8517" s="27">
        <v>30160</v>
      </c>
      <c r="D8517" s="14" t="s">
        <v>2601</v>
      </c>
      <c r="E8517" s="112"/>
      <c r="F8517" s="139" t="s">
        <v>24308</v>
      </c>
      <c r="G8517" s="140"/>
      <c r="H8517" s="141"/>
      <c r="I8517" s="26">
        <v>34787</v>
      </c>
      <c r="J8517" s="117"/>
      <c r="K8517" s="120"/>
      <c r="L8517" s="121"/>
      <c r="M8517" s="120"/>
      <c r="N8517" s="121"/>
      <c r="O8517" s="120"/>
      <c r="P8517" s="121"/>
      <c r="Q8517" s="120"/>
      <c r="R8517" s="121"/>
      <c r="S8517" s="120"/>
      <c r="T8517" s="121"/>
      <c r="U8517" s="120"/>
      <c r="V8517" s="123"/>
      <c r="W8517" s="125"/>
      <c r="X8517" s="142" t="s">
        <v>16380</v>
      </c>
      <c r="Y8517" s="143"/>
      <c r="Z8517" s="143"/>
      <c r="AA8517" s="143"/>
      <c r="AB8517" s="144"/>
      <c r="AC8517" s="16" t="s">
        <v>21</v>
      </c>
      <c r="AD8517" s="17" t="s">
        <v>24751</v>
      </c>
      <c r="AE8517" s="145" t="s">
        <v>3123</v>
      </c>
      <c r="AF8517" s="146"/>
      <c r="AG8517" s="146"/>
      <c r="AH8517" s="146"/>
      <c r="AI8517" s="147"/>
      <c r="AJ8517" s="148"/>
      <c r="AK8517" s="143"/>
      <c r="AL8517" s="144"/>
      <c r="AM8517" s="22"/>
      <c r="AN8517" s="149" t="s">
        <v>2794</v>
      </c>
      <c r="AO8517" s="144"/>
      <c r="AP8517" s="148">
        <v>5134</v>
      </c>
      <c r="AQ8517" s="144"/>
      <c r="AR8517" s="120"/>
      <c r="AS8517" s="121"/>
      <c r="AT8517" s="120"/>
      <c r="AU8517" s="121"/>
      <c r="AV8517" s="120"/>
      <c r="AW8517" s="121"/>
      <c r="AX8517" s="120"/>
      <c r="AY8517" s="121"/>
      <c r="AZ8517" s="138"/>
    </row>
    <row r="8518" spans="1:52" ht="17.100000000000001" customHeight="1" thickTop="1">
      <c r="A8518" s="109" t="s">
        <v>24299</v>
      </c>
      <c r="B8518" s="28">
        <v>46135</v>
      </c>
      <c r="C8518" s="25">
        <v>2024</v>
      </c>
      <c r="D8518" s="13" t="s">
        <v>24448</v>
      </c>
      <c r="E8518" s="111"/>
      <c r="F8518" s="113" t="s">
        <v>24450</v>
      </c>
      <c r="G8518" s="114"/>
      <c r="H8518" s="115"/>
      <c r="I8518" s="24"/>
      <c r="J8518" s="116">
        <v>4</v>
      </c>
      <c r="K8518" s="118">
        <v>2422000</v>
      </c>
      <c r="L8518" s="119"/>
      <c r="M8518" s="118">
        <f t="shared" ref="M8518" si="12926">K8518*0.1</f>
        <v>242200</v>
      </c>
      <c r="N8518" s="119"/>
      <c r="O8518" s="118">
        <v>0</v>
      </c>
      <c r="P8518" s="119"/>
      <c r="Q8518" s="118">
        <v>13180</v>
      </c>
      <c r="R8518" s="119"/>
      <c r="S8518" s="118">
        <v>22000</v>
      </c>
      <c r="T8518" s="119"/>
      <c r="U8518" s="118">
        <f t="shared" ref="U8518" si="12927">SUM(K8518:T8519)</f>
        <v>2699380</v>
      </c>
      <c r="V8518" s="122"/>
      <c r="W8518" s="124"/>
      <c r="X8518" s="126" t="s">
        <v>24762</v>
      </c>
      <c r="Y8518" s="127"/>
      <c r="Z8518" s="127"/>
      <c r="AA8518" s="127"/>
      <c r="AB8518" s="128"/>
      <c r="AC8518" s="15" t="s">
        <v>20</v>
      </c>
      <c r="AD8518" s="129" t="s">
        <v>24451</v>
      </c>
      <c r="AE8518" s="130"/>
      <c r="AF8518" s="130"/>
      <c r="AG8518" s="130"/>
      <c r="AH8518" s="130"/>
      <c r="AI8518" s="131"/>
      <c r="AJ8518" s="132" t="s">
        <v>24576</v>
      </c>
      <c r="AK8518" s="127"/>
      <c r="AL8518" s="128"/>
      <c r="AM8518" s="21"/>
      <c r="AN8518" s="133">
        <v>46141</v>
      </c>
      <c r="AO8518" s="134"/>
      <c r="AP8518" s="135">
        <v>1015</v>
      </c>
      <c r="AQ8518" s="136"/>
      <c r="AR8518" s="118">
        <v>2530000</v>
      </c>
      <c r="AS8518" s="119"/>
      <c r="AT8518" s="118">
        <f t="shared" ref="AT8518" si="12928">AR8518*0.1</f>
        <v>253000</v>
      </c>
      <c r="AU8518" s="119"/>
      <c r="AV8518" s="118">
        <v>13180</v>
      </c>
      <c r="AW8518" s="119"/>
      <c r="AX8518" s="118">
        <f t="shared" ref="AX8518" si="12929">SUM(AR8518:AW8518)</f>
        <v>2796180</v>
      </c>
      <c r="AY8518" s="119"/>
      <c r="AZ8518" s="137">
        <v>46153</v>
      </c>
    </row>
    <row r="8519" spans="1:52" ht="17.100000000000001" customHeight="1" thickBot="1">
      <c r="A8519" s="110"/>
      <c r="B8519" s="27" t="s">
        <v>24304</v>
      </c>
      <c r="C8519" s="27">
        <v>30165</v>
      </c>
      <c r="D8519" s="14" t="s">
        <v>24449</v>
      </c>
      <c r="E8519" s="112"/>
      <c r="F8519" s="139" t="s">
        <v>24309</v>
      </c>
      <c r="G8519" s="140"/>
      <c r="H8519" s="141"/>
      <c r="I8519" s="26">
        <v>43970</v>
      </c>
      <c r="J8519" s="117"/>
      <c r="K8519" s="120"/>
      <c r="L8519" s="121"/>
      <c r="M8519" s="120"/>
      <c r="N8519" s="121"/>
      <c r="O8519" s="120"/>
      <c r="P8519" s="121"/>
      <c r="Q8519" s="120"/>
      <c r="R8519" s="121"/>
      <c r="S8519" s="120"/>
      <c r="T8519" s="121"/>
      <c r="U8519" s="120"/>
      <c r="V8519" s="123"/>
      <c r="W8519" s="125"/>
      <c r="X8519" s="142" t="s">
        <v>16380</v>
      </c>
      <c r="Y8519" s="143"/>
      <c r="Z8519" s="143"/>
      <c r="AA8519" s="143"/>
      <c r="AB8519" s="144"/>
      <c r="AC8519" s="16" t="s">
        <v>21</v>
      </c>
      <c r="AD8519" s="17" t="s">
        <v>24751</v>
      </c>
      <c r="AE8519" s="145" t="s">
        <v>1742</v>
      </c>
      <c r="AF8519" s="146"/>
      <c r="AG8519" s="146"/>
      <c r="AH8519" s="146"/>
      <c r="AI8519" s="147"/>
      <c r="AJ8519" s="148"/>
      <c r="AK8519" s="143"/>
      <c r="AL8519" s="144"/>
      <c r="AM8519" s="22"/>
      <c r="AN8519" s="149" t="s">
        <v>2794</v>
      </c>
      <c r="AO8519" s="144"/>
      <c r="AP8519" s="148">
        <v>5073</v>
      </c>
      <c r="AQ8519" s="144"/>
      <c r="AR8519" s="120"/>
      <c r="AS8519" s="121"/>
      <c r="AT8519" s="120"/>
      <c r="AU8519" s="121"/>
      <c r="AV8519" s="120"/>
      <c r="AW8519" s="121"/>
      <c r="AX8519" s="120"/>
      <c r="AY8519" s="121"/>
      <c r="AZ8519" s="138"/>
    </row>
    <row r="8520" spans="1:52" ht="17.100000000000001" customHeight="1" thickTop="1">
      <c r="A8520" s="109" t="s">
        <v>24300</v>
      </c>
      <c r="B8520" s="28">
        <v>46135</v>
      </c>
      <c r="C8520" s="25">
        <v>2024</v>
      </c>
      <c r="D8520" s="13" t="s">
        <v>24452</v>
      </c>
      <c r="E8520" s="111"/>
      <c r="F8520" s="113" t="s">
        <v>24453</v>
      </c>
      <c r="G8520" s="114"/>
      <c r="H8520" s="115"/>
      <c r="I8520" s="24" t="s">
        <v>24454</v>
      </c>
      <c r="J8520" s="116">
        <v>4</v>
      </c>
      <c r="K8520" s="118">
        <v>1257000</v>
      </c>
      <c r="L8520" s="119"/>
      <c r="M8520" s="118">
        <f t="shared" ref="M8520" si="12930">K8520*0.1</f>
        <v>125700</v>
      </c>
      <c r="N8520" s="119"/>
      <c r="O8520" s="118">
        <v>39820</v>
      </c>
      <c r="P8520" s="119"/>
      <c r="Q8520" s="118">
        <v>12470</v>
      </c>
      <c r="R8520" s="119"/>
      <c r="S8520" s="118">
        <v>22000</v>
      </c>
      <c r="T8520" s="119"/>
      <c r="U8520" s="118">
        <f t="shared" ref="U8520" si="12931">SUM(K8520:T8521)</f>
        <v>1456990</v>
      </c>
      <c r="V8520" s="122"/>
      <c r="W8520" s="124"/>
      <c r="X8520" s="126" t="s">
        <v>24455</v>
      </c>
      <c r="Y8520" s="127"/>
      <c r="Z8520" s="127"/>
      <c r="AA8520" s="127"/>
      <c r="AB8520" s="128"/>
      <c r="AC8520" s="15" t="s">
        <v>20</v>
      </c>
      <c r="AD8520" s="129" t="s">
        <v>24456</v>
      </c>
      <c r="AE8520" s="130"/>
      <c r="AF8520" s="130"/>
      <c r="AG8520" s="130"/>
      <c r="AH8520" s="130"/>
      <c r="AI8520" s="131"/>
      <c r="AJ8520" s="132"/>
      <c r="AK8520" s="127"/>
      <c r="AL8520" s="128"/>
      <c r="AM8520" s="21"/>
      <c r="AN8520" s="133">
        <v>46141</v>
      </c>
      <c r="AO8520" s="134"/>
      <c r="AP8520" s="135">
        <v>1015</v>
      </c>
      <c r="AQ8520" s="136"/>
      <c r="AR8520" s="118">
        <v>1340000</v>
      </c>
      <c r="AS8520" s="119"/>
      <c r="AT8520" s="118">
        <f t="shared" ref="AT8520" si="12932">AR8520*0.1</f>
        <v>134000</v>
      </c>
      <c r="AU8520" s="119"/>
      <c r="AV8520" s="118">
        <v>12470</v>
      </c>
      <c r="AW8520" s="119"/>
      <c r="AX8520" s="118">
        <f t="shared" ref="AX8520" si="12933">SUM(AR8520:AW8520)</f>
        <v>1486470</v>
      </c>
      <c r="AY8520" s="119"/>
      <c r="AZ8520" s="137">
        <v>46154</v>
      </c>
    </row>
    <row r="8521" spans="1:52" ht="17.100000000000001" customHeight="1" thickBot="1">
      <c r="A8521" s="110"/>
      <c r="B8521" s="27" t="s">
        <v>24304</v>
      </c>
      <c r="C8521" s="27">
        <v>30295</v>
      </c>
      <c r="D8521" s="14" t="s">
        <v>2601</v>
      </c>
      <c r="E8521" s="112"/>
      <c r="F8521" s="139" t="s">
        <v>24310</v>
      </c>
      <c r="G8521" s="140"/>
      <c r="H8521" s="141"/>
      <c r="I8521" s="26">
        <v>85286</v>
      </c>
      <c r="J8521" s="117"/>
      <c r="K8521" s="120"/>
      <c r="L8521" s="121"/>
      <c r="M8521" s="120"/>
      <c r="N8521" s="121"/>
      <c r="O8521" s="120"/>
      <c r="P8521" s="121"/>
      <c r="Q8521" s="120"/>
      <c r="R8521" s="121"/>
      <c r="S8521" s="120"/>
      <c r="T8521" s="121"/>
      <c r="U8521" s="120"/>
      <c r="V8521" s="123"/>
      <c r="W8521" s="125"/>
      <c r="X8521" s="142" t="s">
        <v>24774</v>
      </c>
      <c r="Y8521" s="143"/>
      <c r="Z8521" s="143"/>
      <c r="AA8521" s="143"/>
      <c r="AB8521" s="144"/>
      <c r="AC8521" s="16" t="s">
        <v>21</v>
      </c>
      <c r="AD8521" s="17" t="s">
        <v>24751</v>
      </c>
      <c r="AE8521" s="145" t="s">
        <v>24775</v>
      </c>
      <c r="AF8521" s="146"/>
      <c r="AG8521" s="146"/>
      <c r="AH8521" s="146"/>
      <c r="AI8521" s="147"/>
      <c r="AJ8521" s="148"/>
      <c r="AK8521" s="143"/>
      <c r="AL8521" s="144"/>
      <c r="AM8521" s="22"/>
      <c r="AN8521" s="149" t="s">
        <v>25326</v>
      </c>
      <c r="AO8521" s="144"/>
      <c r="AP8521" s="148">
        <v>5084</v>
      </c>
      <c r="AQ8521" s="144"/>
      <c r="AR8521" s="120"/>
      <c r="AS8521" s="121"/>
      <c r="AT8521" s="120"/>
      <c r="AU8521" s="121"/>
      <c r="AV8521" s="120"/>
      <c r="AW8521" s="121"/>
      <c r="AX8521" s="120"/>
      <c r="AY8521" s="121"/>
      <c r="AZ8521" s="138"/>
    </row>
    <row r="8522" spans="1:52" ht="17.100000000000001" customHeight="1" thickTop="1">
      <c r="A8522" s="109" t="s">
        <v>24301</v>
      </c>
      <c r="B8522" s="28">
        <v>46135</v>
      </c>
      <c r="C8522" s="25">
        <v>2024</v>
      </c>
      <c r="D8522" s="13" t="s">
        <v>24457</v>
      </c>
      <c r="E8522" s="111"/>
      <c r="F8522" s="113" t="s">
        <v>25531</v>
      </c>
      <c r="G8522" s="114"/>
      <c r="H8522" s="115"/>
      <c r="I8522" s="24"/>
      <c r="J8522" s="116">
        <v>4</v>
      </c>
      <c r="K8522" s="118">
        <v>351000</v>
      </c>
      <c r="L8522" s="119"/>
      <c r="M8522" s="118">
        <f t="shared" ref="M8522" si="12934">K8522*0.1</f>
        <v>35100</v>
      </c>
      <c r="N8522" s="119"/>
      <c r="O8522" s="118">
        <v>0</v>
      </c>
      <c r="P8522" s="119"/>
      <c r="Q8522" s="118">
        <v>8680</v>
      </c>
      <c r="R8522" s="119"/>
      <c r="S8522" s="118">
        <v>22000</v>
      </c>
      <c r="T8522" s="119"/>
      <c r="U8522" s="118">
        <f t="shared" ref="U8522" si="12935">SUM(K8522:T8523)</f>
        <v>416780</v>
      </c>
      <c r="V8522" s="122"/>
      <c r="W8522" s="124"/>
      <c r="X8522" s="126" t="s">
        <v>24793</v>
      </c>
      <c r="Y8522" s="127"/>
      <c r="Z8522" s="127"/>
      <c r="AA8522" s="127"/>
      <c r="AB8522" s="128"/>
      <c r="AC8522" s="15" t="s">
        <v>20</v>
      </c>
      <c r="AD8522" s="129" t="s">
        <v>24458</v>
      </c>
      <c r="AE8522" s="130"/>
      <c r="AF8522" s="130"/>
      <c r="AG8522" s="130"/>
      <c r="AH8522" s="130"/>
      <c r="AI8522" s="131"/>
      <c r="AJ8522" s="132"/>
      <c r="AK8522" s="127"/>
      <c r="AL8522" s="128"/>
      <c r="AM8522" s="21"/>
      <c r="AN8522" s="133">
        <v>46155</v>
      </c>
      <c r="AO8522" s="134"/>
      <c r="AP8522" s="135">
        <v>1016</v>
      </c>
      <c r="AQ8522" s="136"/>
      <c r="AR8522" s="118">
        <v>445000</v>
      </c>
      <c r="AS8522" s="119"/>
      <c r="AT8522" s="118">
        <f t="shared" ref="AT8522" si="12936">AR8522*0.1</f>
        <v>44500</v>
      </c>
      <c r="AU8522" s="119"/>
      <c r="AV8522" s="118">
        <v>8680</v>
      </c>
      <c r="AW8522" s="119"/>
      <c r="AX8522" s="118">
        <f t="shared" ref="AX8522" si="12937">SUM(AR8522:AW8522)</f>
        <v>498180</v>
      </c>
      <c r="AY8522" s="119"/>
      <c r="AZ8522" s="137">
        <v>46160</v>
      </c>
    </row>
    <row r="8523" spans="1:52" ht="17.100000000000001" customHeight="1" thickBot="1">
      <c r="A8523" s="110"/>
      <c r="B8523" s="27" t="s">
        <v>24304</v>
      </c>
      <c r="C8523" s="27">
        <v>50008</v>
      </c>
      <c r="D8523" s="14" t="s">
        <v>1720</v>
      </c>
      <c r="E8523" s="112"/>
      <c r="F8523" s="139" t="s">
        <v>24311</v>
      </c>
      <c r="G8523" s="140"/>
      <c r="H8523" s="141"/>
      <c r="I8523" s="26">
        <v>55660</v>
      </c>
      <c r="J8523" s="117"/>
      <c r="K8523" s="120"/>
      <c r="L8523" s="121"/>
      <c r="M8523" s="120"/>
      <c r="N8523" s="121"/>
      <c r="O8523" s="120"/>
      <c r="P8523" s="121"/>
      <c r="Q8523" s="120"/>
      <c r="R8523" s="121"/>
      <c r="S8523" s="120"/>
      <c r="T8523" s="121"/>
      <c r="U8523" s="120"/>
      <c r="V8523" s="123"/>
      <c r="W8523" s="125"/>
      <c r="X8523" s="142" t="s">
        <v>11902</v>
      </c>
      <c r="Y8523" s="143"/>
      <c r="Z8523" s="143"/>
      <c r="AA8523" s="143"/>
      <c r="AB8523" s="144"/>
      <c r="AC8523" s="16" t="s">
        <v>21</v>
      </c>
      <c r="AD8523" s="17" t="s">
        <v>24751</v>
      </c>
      <c r="AE8523" s="145" t="s">
        <v>9112</v>
      </c>
      <c r="AF8523" s="146"/>
      <c r="AG8523" s="146"/>
      <c r="AH8523" s="146"/>
      <c r="AI8523" s="147"/>
      <c r="AJ8523" s="148"/>
      <c r="AK8523" s="143"/>
      <c r="AL8523" s="144"/>
      <c r="AM8523" s="22"/>
      <c r="AN8523" s="149" t="s">
        <v>2794</v>
      </c>
      <c r="AO8523" s="144"/>
      <c r="AP8523" s="148">
        <v>2068</v>
      </c>
      <c r="AQ8523" s="144"/>
      <c r="AR8523" s="120"/>
      <c r="AS8523" s="121"/>
      <c r="AT8523" s="120"/>
      <c r="AU8523" s="121"/>
      <c r="AV8523" s="120"/>
      <c r="AW8523" s="121"/>
      <c r="AX8523" s="120"/>
      <c r="AY8523" s="121"/>
      <c r="AZ8523" s="138"/>
    </row>
    <row r="8524" spans="1:52" ht="17.100000000000001" customHeight="1" thickTop="1">
      <c r="A8524" s="109" t="s">
        <v>24302</v>
      </c>
      <c r="B8524" s="28">
        <v>46135</v>
      </c>
      <c r="C8524" s="25">
        <v>2024</v>
      </c>
      <c r="D8524" s="13" t="s">
        <v>24459</v>
      </c>
      <c r="E8524" s="111"/>
      <c r="F8524" s="113" t="s">
        <v>16687</v>
      </c>
      <c r="G8524" s="114"/>
      <c r="H8524" s="115"/>
      <c r="I8524" s="24" t="s">
        <v>24460</v>
      </c>
      <c r="J8524" s="116">
        <v>4</v>
      </c>
      <c r="K8524" s="118">
        <v>875000</v>
      </c>
      <c r="L8524" s="119"/>
      <c r="M8524" s="118">
        <f t="shared" ref="M8524" si="12938">K8524*0.1</f>
        <v>87500</v>
      </c>
      <c r="N8524" s="119"/>
      <c r="O8524" s="118">
        <v>0</v>
      </c>
      <c r="P8524" s="119"/>
      <c r="Q8524" s="118">
        <v>8990</v>
      </c>
      <c r="R8524" s="119"/>
      <c r="S8524" s="118">
        <v>22000</v>
      </c>
      <c r="T8524" s="119"/>
      <c r="U8524" s="118">
        <f t="shared" ref="U8524" si="12939">SUM(K8524:T8525)</f>
        <v>993490</v>
      </c>
      <c r="V8524" s="122"/>
      <c r="W8524" s="124"/>
      <c r="X8524" s="126" t="s">
        <v>24461</v>
      </c>
      <c r="Y8524" s="127"/>
      <c r="Z8524" s="127"/>
      <c r="AA8524" s="127"/>
      <c r="AB8524" s="128"/>
      <c r="AC8524" s="15" t="s">
        <v>20</v>
      </c>
      <c r="AD8524" s="129" t="s">
        <v>24462</v>
      </c>
      <c r="AE8524" s="130"/>
      <c r="AF8524" s="130"/>
      <c r="AG8524" s="130"/>
      <c r="AH8524" s="130"/>
      <c r="AI8524" s="131"/>
      <c r="AJ8524" s="132"/>
      <c r="AK8524" s="127"/>
      <c r="AL8524" s="128"/>
      <c r="AM8524" s="21"/>
      <c r="AN8524" s="133">
        <v>46155</v>
      </c>
      <c r="AO8524" s="134"/>
      <c r="AP8524" s="135">
        <v>1016</v>
      </c>
      <c r="AQ8524" s="136"/>
      <c r="AR8524" s="118">
        <v>980000</v>
      </c>
      <c r="AS8524" s="119"/>
      <c r="AT8524" s="118">
        <f t="shared" ref="AT8524" si="12940">AR8524*0.1</f>
        <v>98000</v>
      </c>
      <c r="AU8524" s="119"/>
      <c r="AV8524" s="118">
        <v>8990</v>
      </c>
      <c r="AW8524" s="119"/>
      <c r="AX8524" s="118">
        <f t="shared" ref="AX8524" si="12941">SUM(AR8524:AW8524)</f>
        <v>1086990</v>
      </c>
      <c r="AY8524" s="119"/>
      <c r="AZ8524" s="137">
        <v>46161</v>
      </c>
    </row>
    <row r="8525" spans="1:52" ht="17.100000000000001" customHeight="1" thickBot="1">
      <c r="A8525" s="110"/>
      <c r="B8525" s="27" t="s">
        <v>24304</v>
      </c>
      <c r="C8525" s="27">
        <v>50106</v>
      </c>
      <c r="D8525" s="14" t="s">
        <v>15238</v>
      </c>
      <c r="E8525" s="112"/>
      <c r="F8525" s="139" t="s">
        <v>24312</v>
      </c>
      <c r="G8525" s="140"/>
      <c r="H8525" s="141"/>
      <c r="I8525" s="26">
        <v>52340</v>
      </c>
      <c r="J8525" s="117"/>
      <c r="K8525" s="120"/>
      <c r="L8525" s="121"/>
      <c r="M8525" s="120"/>
      <c r="N8525" s="121"/>
      <c r="O8525" s="120"/>
      <c r="P8525" s="121"/>
      <c r="Q8525" s="120"/>
      <c r="R8525" s="121"/>
      <c r="S8525" s="120"/>
      <c r="T8525" s="121"/>
      <c r="U8525" s="120"/>
      <c r="V8525" s="123"/>
      <c r="W8525" s="125"/>
      <c r="X8525" s="142" t="s">
        <v>24790</v>
      </c>
      <c r="Y8525" s="143"/>
      <c r="Z8525" s="143"/>
      <c r="AA8525" s="143"/>
      <c r="AB8525" s="144"/>
      <c r="AC8525" s="16" t="s">
        <v>21</v>
      </c>
      <c r="AD8525" s="17" t="s">
        <v>24751</v>
      </c>
      <c r="AE8525" s="145" t="s">
        <v>9640</v>
      </c>
      <c r="AF8525" s="146"/>
      <c r="AG8525" s="146"/>
      <c r="AH8525" s="146"/>
      <c r="AI8525" s="147"/>
      <c r="AJ8525" s="148"/>
      <c r="AK8525" s="143"/>
      <c r="AL8525" s="144"/>
      <c r="AM8525" s="22"/>
      <c r="AN8525" s="149" t="s">
        <v>9053</v>
      </c>
      <c r="AO8525" s="144"/>
      <c r="AP8525" s="148">
        <v>2067</v>
      </c>
      <c r="AQ8525" s="144"/>
      <c r="AR8525" s="120"/>
      <c r="AS8525" s="121"/>
      <c r="AT8525" s="120"/>
      <c r="AU8525" s="121"/>
      <c r="AV8525" s="120"/>
      <c r="AW8525" s="121"/>
      <c r="AX8525" s="120"/>
      <c r="AY8525" s="121"/>
      <c r="AZ8525" s="138"/>
    </row>
    <row r="8526" spans="1:52" ht="17.100000000000001" customHeight="1" thickTop="1">
      <c r="A8526" s="109" t="s">
        <v>24303</v>
      </c>
      <c r="B8526" s="28">
        <v>46135</v>
      </c>
      <c r="C8526" s="25">
        <v>2024</v>
      </c>
      <c r="D8526" s="13" t="s">
        <v>24463</v>
      </c>
      <c r="E8526" s="111"/>
      <c r="F8526" s="113" t="s">
        <v>15533</v>
      </c>
      <c r="G8526" s="114"/>
      <c r="H8526" s="115"/>
      <c r="I8526" s="24"/>
      <c r="J8526" s="116">
        <v>3.5</v>
      </c>
      <c r="K8526" s="118">
        <v>390000</v>
      </c>
      <c r="L8526" s="119"/>
      <c r="M8526" s="118">
        <f t="shared" ref="M8526" si="12942">K8526*0.1</f>
        <v>39000</v>
      </c>
      <c r="N8526" s="119"/>
      <c r="O8526" s="118">
        <v>0</v>
      </c>
      <c r="P8526" s="119"/>
      <c r="Q8526" s="118">
        <v>7140</v>
      </c>
      <c r="R8526" s="119"/>
      <c r="S8526" s="118">
        <v>22000</v>
      </c>
      <c r="T8526" s="119"/>
      <c r="U8526" s="118">
        <f t="shared" ref="U8526" si="12943">SUM(K8526:T8527)</f>
        <v>458140</v>
      </c>
      <c r="V8526" s="122"/>
      <c r="W8526" s="124"/>
      <c r="X8526" s="126" t="s">
        <v>24753</v>
      </c>
      <c r="Y8526" s="127"/>
      <c r="Z8526" s="127"/>
      <c r="AA8526" s="127"/>
      <c r="AB8526" s="128"/>
      <c r="AC8526" s="15" t="s">
        <v>20</v>
      </c>
      <c r="AD8526" s="129"/>
      <c r="AE8526" s="130"/>
      <c r="AF8526" s="130"/>
      <c r="AG8526" s="130"/>
      <c r="AH8526" s="130"/>
      <c r="AI8526" s="131"/>
      <c r="AJ8526" s="132"/>
      <c r="AK8526" s="127"/>
      <c r="AL8526" s="128"/>
      <c r="AM8526" s="21"/>
      <c r="AN8526" s="133">
        <v>46141</v>
      </c>
      <c r="AO8526" s="134"/>
      <c r="AP8526" s="135">
        <v>1015</v>
      </c>
      <c r="AQ8526" s="136"/>
      <c r="AR8526" s="118">
        <v>405000</v>
      </c>
      <c r="AS8526" s="119"/>
      <c r="AT8526" s="118">
        <f t="shared" ref="AT8526" si="12944">AR8526*0.1</f>
        <v>40500</v>
      </c>
      <c r="AU8526" s="119"/>
      <c r="AV8526" s="118">
        <v>7140</v>
      </c>
      <c r="AW8526" s="119"/>
      <c r="AX8526" s="118">
        <f t="shared" ref="AX8526" si="12945">SUM(AR8526:AW8526)</f>
        <v>452640</v>
      </c>
      <c r="AY8526" s="119"/>
      <c r="AZ8526" s="137">
        <v>46153</v>
      </c>
    </row>
    <row r="8527" spans="1:52" ht="17.100000000000001" customHeight="1" thickBot="1">
      <c r="A8527" s="110"/>
      <c r="B8527" s="27" t="s">
        <v>24304</v>
      </c>
      <c r="C8527" s="27">
        <v>50112</v>
      </c>
      <c r="D8527" s="14" t="s">
        <v>1720</v>
      </c>
      <c r="E8527" s="112"/>
      <c r="F8527" s="139" t="s">
        <v>24313</v>
      </c>
      <c r="G8527" s="140"/>
      <c r="H8527" s="141"/>
      <c r="I8527" s="26">
        <v>40163</v>
      </c>
      <c r="J8527" s="117"/>
      <c r="K8527" s="120"/>
      <c r="L8527" s="121"/>
      <c r="M8527" s="120"/>
      <c r="N8527" s="121"/>
      <c r="O8527" s="120"/>
      <c r="P8527" s="121"/>
      <c r="Q8527" s="120"/>
      <c r="R8527" s="121"/>
      <c r="S8527" s="120"/>
      <c r="T8527" s="121"/>
      <c r="U8527" s="120"/>
      <c r="V8527" s="123"/>
      <c r="W8527" s="125"/>
      <c r="X8527" s="142" t="s">
        <v>7450</v>
      </c>
      <c r="Y8527" s="143"/>
      <c r="Z8527" s="143"/>
      <c r="AA8527" s="143"/>
      <c r="AB8527" s="144"/>
      <c r="AC8527" s="16" t="s">
        <v>21</v>
      </c>
      <c r="AD8527" s="17" t="s">
        <v>24751</v>
      </c>
      <c r="AE8527" s="145"/>
      <c r="AF8527" s="146"/>
      <c r="AG8527" s="146"/>
      <c r="AH8527" s="146"/>
      <c r="AI8527" s="147"/>
      <c r="AJ8527" s="148"/>
      <c r="AK8527" s="143"/>
      <c r="AL8527" s="144"/>
      <c r="AM8527" s="22"/>
      <c r="AN8527" s="149" t="s">
        <v>2794</v>
      </c>
      <c r="AO8527" s="144"/>
      <c r="AP8527" s="148">
        <v>5128</v>
      </c>
      <c r="AQ8527" s="144"/>
      <c r="AR8527" s="120"/>
      <c r="AS8527" s="121"/>
      <c r="AT8527" s="120"/>
      <c r="AU8527" s="121"/>
      <c r="AV8527" s="120"/>
      <c r="AW8527" s="121"/>
      <c r="AX8527" s="120"/>
      <c r="AY8527" s="121"/>
      <c r="AZ8527" s="138"/>
    </row>
    <row r="8528" spans="1:52" ht="17.100000000000001" customHeight="1" thickTop="1">
      <c r="A8528" s="109" t="s">
        <v>24314</v>
      </c>
      <c r="B8528" s="28">
        <v>46135</v>
      </c>
      <c r="C8528" s="25">
        <v>2024</v>
      </c>
      <c r="D8528" s="13" t="s">
        <v>24464</v>
      </c>
      <c r="E8528" s="111"/>
      <c r="F8528" s="113" t="s">
        <v>23606</v>
      </c>
      <c r="G8528" s="114"/>
      <c r="H8528" s="115"/>
      <c r="I8528" s="24" t="s">
        <v>24466</v>
      </c>
      <c r="J8528" s="116">
        <v>4</v>
      </c>
      <c r="K8528" s="118">
        <v>876000</v>
      </c>
      <c r="L8528" s="119"/>
      <c r="M8528" s="118">
        <f t="shared" ref="M8528" si="12946">K8528*0.1</f>
        <v>87600</v>
      </c>
      <c r="N8528" s="119"/>
      <c r="O8528" s="118">
        <v>0</v>
      </c>
      <c r="P8528" s="119"/>
      <c r="Q8528" s="118">
        <v>6850</v>
      </c>
      <c r="R8528" s="119"/>
      <c r="S8528" s="118">
        <v>22000</v>
      </c>
      <c r="T8528" s="119"/>
      <c r="U8528" s="118">
        <f t="shared" ref="U8528" si="12947">SUM(K8528:T8529)</f>
        <v>992450</v>
      </c>
      <c r="V8528" s="122"/>
      <c r="W8528" s="124"/>
      <c r="X8528" s="126" t="s">
        <v>24467</v>
      </c>
      <c r="Y8528" s="127"/>
      <c r="Z8528" s="127"/>
      <c r="AA8528" s="127"/>
      <c r="AB8528" s="128"/>
      <c r="AC8528" s="15" t="s">
        <v>20</v>
      </c>
      <c r="AD8528" s="129" t="s">
        <v>24468</v>
      </c>
      <c r="AE8528" s="130"/>
      <c r="AF8528" s="130"/>
      <c r="AG8528" s="130"/>
      <c r="AH8528" s="130"/>
      <c r="AI8528" s="131"/>
      <c r="AJ8528" s="132"/>
      <c r="AK8528" s="127"/>
      <c r="AL8528" s="128"/>
      <c r="AM8528" s="21"/>
      <c r="AN8528" s="133">
        <v>46141</v>
      </c>
      <c r="AO8528" s="134"/>
      <c r="AP8528" s="135">
        <v>1015</v>
      </c>
      <c r="AQ8528" s="136"/>
      <c r="AR8528" s="118">
        <v>1040000</v>
      </c>
      <c r="AS8528" s="119"/>
      <c r="AT8528" s="118">
        <f t="shared" ref="AT8528" si="12948">AR8528*0.1</f>
        <v>104000</v>
      </c>
      <c r="AU8528" s="119"/>
      <c r="AV8528" s="118">
        <v>6850</v>
      </c>
      <c r="AW8528" s="119"/>
      <c r="AX8528" s="118">
        <f t="shared" ref="AX8528" si="12949">SUM(AR8528:AW8528)</f>
        <v>1150850</v>
      </c>
      <c r="AY8528" s="119"/>
      <c r="AZ8528" s="137">
        <v>46154</v>
      </c>
    </row>
    <row r="8529" spans="1:52" ht="17.100000000000001" customHeight="1" thickBot="1">
      <c r="A8529" s="110"/>
      <c r="B8529" s="27" t="s">
        <v>24304</v>
      </c>
      <c r="C8529" s="27">
        <v>50124</v>
      </c>
      <c r="D8529" s="14" t="s">
        <v>24465</v>
      </c>
      <c r="E8529" s="112"/>
      <c r="F8529" s="139" t="s">
        <v>24353</v>
      </c>
      <c r="G8529" s="140"/>
      <c r="H8529" s="141"/>
      <c r="I8529" s="26">
        <v>40084</v>
      </c>
      <c r="J8529" s="117"/>
      <c r="K8529" s="120"/>
      <c r="L8529" s="121"/>
      <c r="M8529" s="120"/>
      <c r="N8529" s="121"/>
      <c r="O8529" s="120"/>
      <c r="P8529" s="121"/>
      <c r="Q8529" s="120"/>
      <c r="R8529" s="121"/>
      <c r="S8529" s="120"/>
      <c r="T8529" s="121"/>
      <c r="U8529" s="120"/>
      <c r="V8529" s="123"/>
      <c r="W8529" s="125"/>
      <c r="X8529" s="142" t="s">
        <v>24780</v>
      </c>
      <c r="Y8529" s="143"/>
      <c r="Z8529" s="143"/>
      <c r="AA8529" s="143"/>
      <c r="AB8529" s="144"/>
      <c r="AC8529" s="16" t="s">
        <v>21</v>
      </c>
      <c r="AD8529" s="17" t="s">
        <v>24751</v>
      </c>
      <c r="AE8529" s="145" t="s">
        <v>24781</v>
      </c>
      <c r="AF8529" s="146"/>
      <c r="AG8529" s="146"/>
      <c r="AH8529" s="146"/>
      <c r="AI8529" s="147"/>
      <c r="AJ8529" s="148"/>
      <c r="AK8529" s="143"/>
      <c r="AL8529" s="144"/>
      <c r="AM8529" s="22"/>
      <c r="AN8529" s="149" t="s">
        <v>25326</v>
      </c>
      <c r="AO8529" s="144"/>
      <c r="AP8529" s="148">
        <v>5089</v>
      </c>
      <c r="AQ8529" s="144"/>
      <c r="AR8529" s="120"/>
      <c r="AS8529" s="121"/>
      <c r="AT8529" s="120"/>
      <c r="AU8529" s="121"/>
      <c r="AV8529" s="120"/>
      <c r="AW8529" s="121"/>
      <c r="AX8529" s="120"/>
      <c r="AY8529" s="121"/>
      <c r="AZ8529" s="138"/>
    </row>
    <row r="8530" spans="1:52" ht="17.100000000000001" customHeight="1" thickTop="1">
      <c r="A8530" s="109" t="s">
        <v>24315</v>
      </c>
      <c r="B8530" s="28">
        <v>46135</v>
      </c>
      <c r="C8530" s="25">
        <v>2024</v>
      </c>
      <c r="D8530" s="13" t="s">
        <v>24469</v>
      </c>
      <c r="E8530" s="111"/>
      <c r="F8530" s="113" t="s">
        <v>16264</v>
      </c>
      <c r="G8530" s="114"/>
      <c r="H8530" s="115"/>
      <c r="I8530" s="24"/>
      <c r="J8530" s="116">
        <v>4</v>
      </c>
      <c r="K8530" s="118">
        <v>703000</v>
      </c>
      <c r="L8530" s="119"/>
      <c r="M8530" s="118">
        <f t="shared" ref="M8530" si="12950">K8530*0.1</f>
        <v>70300</v>
      </c>
      <c r="N8530" s="119"/>
      <c r="O8530" s="118">
        <v>0</v>
      </c>
      <c r="P8530" s="119"/>
      <c r="Q8530" s="118">
        <v>6470</v>
      </c>
      <c r="R8530" s="119"/>
      <c r="S8530" s="118">
        <v>22000</v>
      </c>
      <c r="T8530" s="119"/>
      <c r="U8530" s="118">
        <f t="shared" ref="U8530" si="12951">SUM(K8530:T8531)</f>
        <v>801770</v>
      </c>
      <c r="V8530" s="122"/>
      <c r="W8530" s="124"/>
      <c r="X8530" s="126" t="s">
        <v>24754</v>
      </c>
      <c r="Y8530" s="127"/>
      <c r="Z8530" s="127"/>
      <c r="AA8530" s="127"/>
      <c r="AB8530" s="128"/>
      <c r="AC8530" s="15" t="s">
        <v>20</v>
      </c>
      <c r="AD8530" s="129" t="s">
        <v>24468</v>
      </c>
      <c r="AE8530" s="130"/>
      <c r="AF8530" s="130"/>
      <c r="AG8530" s="130"/>
      <c r="AH8530" s="130"/>
      <c r="AI8530" s="131"/>
      <c r="AJ8530" s="132"/>
      <c r="AK8530" s="127"/>
      <c r="AL8530" s="128"/>
      <c r="AM8530" s="21"/>
      <c r="AN8530" s="133">
        <v>46141</v>
      </c>
      <c r="AO8530" s="134"/>
      <c r="AP8530" s="135">
        <v>1015</v>
      </c>
      <c r="AQ8530" s="136"/>
      <c r="AR8530" s="118">
        <v>815000</v>
      </c>
      <c r="AS8530" s="119"/>
      <c r="AT8530" s="118">
        <f t="shared" ref="AT8530" si="12952">AR8530*0.1</f>
        <v>81500</v>
      </c>
      <c r="AU8530" s="119"/>
      <c r="AV8530" s="118">
        <v>6470</v>
      </c>
      <c r="AW8530" s="119"/>
      <c r="AX8530" s="118">
        <f t="shared" ref="AX8530" si="12953">SUM(AR8530:AW8530)</f>
        <v>902970</v>
      </c>
      <c r="AY8530" s="119"/>
      <c r="AZ8530" s="137">
        <v>46153</v>
      </c>
    </row>
    <row r="8531" spans="1:52" ht="17.100000000000001" customHeight="1" thickBot="1">
      <c r="A8531" s="110"/>
      <c r="B8531" s="27" t="s">
        <v>24304</v>
      </c>
      <c r="C8531" s="27">
        <v>50154</v>
      </c>
      <c r="D8531" s="14" t="s">
        <v>1720</v>
      </c>
      <c r="E8531" s="112"/>
      <c r="F8531" s="139" t="s">
        <v>24354</v>
      </c>
      <c r="G8531" s="140"/>
      <c r="H8531" s="141"/>
      <c r="I8531" s="26">
        <v>9409</v>
      </c>
      <c r="J8531" s="117"/>
      <c r="K8531" s="120"/>
      <c r="L8531" s="121"/>
      <c r="M8531" s="120"/>
      <c r="N8531" s="121"/>
      <c r="O8531" s="120"/>
      <c r="P8531" s="121"/>
      <c r="Q8531" s="120"/>
      <c r="R8531" s="121"/>
      <c r="S8531" s="120"/>
      <c r="T8531" s="121"/>
      <c r="U8531" s="120"/>
      <c r="V8531" s="123"/>
      <c r="W8531" s="125"/>
      <c r="X8531" s="142" t="s">
        <v>24755</v>
      </c>
      <c r="Y8531" s="143"/>
      <c r="Z8531" s="143"/>
      <c r="AA8531" s="143"/>
      <c r="AB8531" s="144"/>
      <c r="AC8531" s="16" t="s">
        <v>21</v>
      </c>
      <c r="AD8531" s="17" t="s">
        <v>24751</v>
      </c>
      <c r="AE8531" s="145" t="s">
        <v>10559</v>
      </c>
      <c r="AF8531" s="146"/>
      <c r="AG8531" s="146"/>
      <c r="AH8531" s="146"/>
      <c r="AI8531" s="147"/>
      <c r="AJ8531" s="148"/>
      <c r="AK8531" s="143"/>
      <c r="AL8531" s="144"/>
      <c r="AM8531" s="22"/>
      <c r="AN8531" s="149" t="s">
        <v>2794</v>
      </c>
      <c r="AO8531" s="144"/>
      <c r="AP8531" s="148">
        <v>5136</v>
      </c>
      <c r="AQ8531" s="144"/>
      <c r="AR8531" s="120"/>
      <c r="AS8531" s="121"/>
      <c r="AT8531" s="120"/>
      <c r="AU8531" s="121"/>
      <c r="AV8531" s="120"/>
      <c r="AW8531" s="121"/>
      <c r="AX8531" s="120"/>
      <c r="AY8531" s="121"/>
      <c r="AZ8531" s="138"/>
    </row>
    <row r="8532" spans="1:52" ht="17.100000000000001" customHeight="1" thickTop="1">
      <c r="A8532" s="109" t="s">
        <v>24316</v>
      </c>
      <c r="B8532" s="28">
        <v>46135</v>
      </c>
      <c r="C8532" s="25">
        <v>2024</v>
      </c>
      <c r="D8532" s="13" t="s">
        <v>24444</v>
      </c>
      <c r="E8532" s="111"/>
      <c r="F8532" s="113" t="s">
        <v>24470</v>
      </c>
      <c r="G8532" s="114"/>
      <c r="H8532" s="115"/>
      <c r="I8532" s="24"/>
      <c r="J8532" s="116">
        <v>4</v>
      </c>
      <c r="K8532" s="118">
        <v>634000</v>
      </c>
      <c r="L8532" s="119"/>
      <c r="M8532" s="118">
        <f t="shared" ref="M8532" si="12954">K8532*0.1</f>
        <v>63400</v>
      </c>
      <c r="N8532" s="119"/>
      <c r="O8532" s="118">
        <v>0</v>
      </c>
      <c r="P8532" s="119"/>
      <c r="Q8532" s="118">
        <v>7140</v>
      </c>
      <c r="R8532" s="119"/>
      <c r="S8532" s="118">
        <v>22000</v>
      </c>
      <c r="T8532" s="119"/>
      <c r="U8532" s="118">
        <f t="shared" ref="U8532" si="12955">SUM(K8532:T8533)</f>
        <v>726540</v>
      </c>
      <c r="V8532" s="122"/>
      <c r="W8532" s="124"/>
      <c r="X8532" s="126" t="s">
        <v>24797</v>
      </c>
      <c r="Y8532" s="127"/>
      <c r="Z8532" s="127"/>
      <c r="AA8532" s="127"/>
      <c r="AB8532" s="128"/>
      <c r="AC8532" s="15" t="s">
        <v>20</v>
      </c>
      <c r="AD8532" s="129"/>
      <c r="AE8532" s="130"/>
      <c r="AF8532" s="130"/>
      <c r="AG8532" s="130"/>
      <c r="AH8532" s="130"/>
      <c r="AI8532" s="131"/>
      <c r="AJ8532" s="132"/>
      <c r="AK8532" s="127"/>
      <c r="AL8532" s="128"/>
      <c r="AM8532" s="21"/>
      <c r="AN8532" s="133">
        <v>46155</v>
      </c>
      <c r="AO8532" s="134"/>
      <c r="AP8532" s="135">
        <v>1016</v>
      </c>
      <c r="AQ8532" s="136"/>
      <c r="AR8532" s="118">
        <v>700000</v>
      </c>
      <c r="AS8532" s="119"/>
      <c r="AT8532" s="118">
        <f t="shared" ref="AT8532" si="12956">AR8532*0.1</f>
        <v>70000</v>
      </c>
      <c r="AU8532" s="119"/>
      <c r="AV8532" s="118">
        <v>7140</v>
      </c>
      <c r="AW8532" s="119"/>
      <c r="AX8532" s="118">
        <f t="shared" ref="AX8532" si="12957">SUM(AR8532:AW8532)</f>
        <v>777140</v>
      </c>
      <c r="AY8532" s="119"/>
      <c r="AZ8532" s="137">
        <v>46161</v>
      </c>
    </row>
    <row r="8533" spans="1:52" ht="17.100000000000001" customHeight="1" thickBot="1">
      <c r="A8533" s="110"/>
      <c r="B8533" s="27" t="s">
        <v>24304</v>
      </c>
      <c r="C8533" s="27">
        <v>50178</v>
      </c>
      <c r="D8533" s="14" t="s">
        <v>24435</v>
      </c>
      <c r="E8533" s="112"/>
      <c r="F8533" s="139" t="s">
        <v>24355</v>
      </c>
      <c r="G8533" s="140"/>
      <c r="H8533" s="141"/>
      <c r="I8533" s="26">
        <v>22671</v>
      </c>
      <c r="J8533" s="117"/>
      <c r="K8533" s="120"/>
      <c r="L8533" s="121"/>
      <c r="M8533" s="120"/>
      <c r="N8533" s="121"/>
      <c r="O8533" s="120"/>
      <c r="P8533" s="121"/>
      <c r="Q8533" s="120"/>
      <c r="R8533" s="121"/>
      <c r="S8533" s="120"/>
      <c r="T8533" s="121"/>
      <c r="U8533" s="120"/>
      <c r="V8533" s="123"/>
      <c r="W8533" s="125"/>
      <c r="X8533" s="142" t="s">
        <v>24798</v>
      </c>
      <c r="Y8533" s="143"/>
      <c r="Z8533" s="143"/>
      <c r="AA8533" s="143"/>
      <c r="AB8533" s="144"/>
      <c r="AC8533" s="16" t="s">
        <v>21</v>
      </c>
      <c r="AD8533" s="17" t="s">
        <v>24751</v>
      </c>
      <c r="AE8533" s="145"/>
      <c r="AF8533" s="146"/>
      <c r="AG8533" s="146"/>
      <c r="AH8533" s="146"/>
      <c r="AI8533" s="147"/>
      <c r="AJ8533" s="148"/>
      <c r="AK8533" s="143"/>
      <c r="AL8533" s="144"/>
      <c r="AM8533" s="22"/>
      <c r="AN8533" s="149" t="s">
        <v>7285</v>
      </c>
      <c r="AO8533" s="144"/>
      <c r="AP8533" s="148">
        <v>2035</v>
      </c>
      <c r="AQ8533" s="144"/>
      <c r="AR8533" s="120"/>
      <c r="AS8533" s="121"/>
      <c r="AT8533" s="120"/>
      <c r="AU8533" s="121"/>
      <c r="AV8533" s="120"/>
      <c r="AW8533" s="121"/>
      <c r="AX8533" s="120"/>
      <c r="AY8533" s="121"/>
      <c r="AZ8533" s="138"/>
    </row>
    <row r="8534" spans="1:52" ht="17.100000000000001" customHeight="1" thickTop="1">
      <c r="A8534" s="109" t="s">
        <v>24317</v>
      </c>
      <c r="B8534" s="28">
        <v>46135</v>
      </c>
      <c r="C8534" s="25">
        <v>2024</v>
      </c>
      <c r="D8534" s="13" t="s">
        <v>24471</v>
      </c>
      <c r="E8534" s="111"/>
      <c r="F8534" s="113" t="s">
        <v>24472</v>
      </c>
      <c r="G8534" s="114"/>
      <c r="H8534" s="115"/>
      <c r="I8534" s="24"/>
      <c r="J8534" s="116">
        <v>4</v>
      </c>
      <c r="K8534" s="118">
        <v>882000</v>
      </c>
      <c r="L8534" s="119"/>
      <c r="M8534" s="118">
        <f t="shared" ref="M8534" si="12958">K8534*0.1</f>
        <v>88200</v>
      </c>
      <c r="N8534" s="119"/>
      <c r="O8534" s="118">
        <v>0</v>
      </c>
      <c r="P8534" s="119"/>
      <c r="Q8534" s="118">
        <v>8110</v>
      </c>
      <c r="R8534" s="119"/>
      <c r="S8534" s="118">
        <v>22000</v>
      </c>
      <c r="T8534" s="119"/>
      <c r="U8534" s="118">
        <f t="shared" ref="U8534" si="12959">SUM(K8534:T8535)</f>
        <v>1000310</v>
      </c>
      <c r="V8534" s="122"/>
      <c r="W8534" s="124"/>
      <c r="X8534" s="126" t="s">
        <v>24770</v>
      </c>
      <c r="Y8534" s="127"/>
      <c r="Z8534" s="127"/>
      <c r="AA8534" s="127"/>
      <c r="AB8534" s="128"/>
      <c r="AC8534" s="15" t="s">
        <v>20</v>
      </c>
      <c r="AD8534" s="129"/>
      <c r="AE8534" s="130"/>
      <c r="AF8534" s="130"/>
      <c r="AG8534" s="130"/>
      <c r="AH8534" s="130"/>
      <c r="AI8534" s="131"/>
      <c r="AJ8534" s="132"/>
      <c r="AK8534" s="127"/>
      <c r="AL8534" s="128"/>
      <c r="AM8534" s="21"/>
      <c r="AN8534" s="133">
        <v>46141</v>
      </c>
      <c r="AO8534" s="134"/>
      <c r="AP8534" s="135">
        <v>1015</v>
      </c>
      <c r="AQ8534" s="136"/>
      <c r="AR8534" s="118">
        <v>970000</v>
      </c>
      <c r="AS8534" s="119"/>
      <c r="AT8534" s="118">
        <f t="shared" ref="AT8534" si="12960">AR8534*0.1</f>
        <v>97000</v>
      </c>
      <c r="AU8534" s="119"/>
      <c r="AV8534" s="118">
        <v>8110</v>
      </c>
      <c r="AW8534" s="119"/>
      <c r="AX8534" s="118">
        <f t="shared" ref="AX8534" si="12961">SUM(AR8534:AW8534)</f>
        <v>1075110</v>
      </c>
      <c r="AY8534" s="119"/>
      <c r="AZ8534" s="137">
        <v>46154</v>
      </c>
    </row>
    <row r="8535" spans="1:52" ht="17.100000000000001" customHeight="1" thickBot="1">
      <c r="A8535" s="110"/>
      <c r="B8535" s="27" t="s">
        <v>24304</v>
      </c>
      <c r="C8535" s="27">
        <v>50187</v>
      </c>
      <c r="D8535" s="14" t="s">
        <v>24465</v>
      </c>
      <c r="E8535" s="112"/>
      <c r="F8535" s="139" t="s">
        <v>24356</v>
      </c>
      <c r="G8535" s="140"/>
      <c r="H8535" s="141"/>
      <c r="I8535" s="26">
        <v>55984</v>
      </c>
      <c r="J8535" s="117"/>
      <c r="K8535" s="120"/>
      <c r="L8535" s="121"/>
      <c r="M8535" s="120"/>
      <c r="N8535" s="121"/>
      <c r="O8535" s="120"/>
      <c r="P8535" s="121"/>
      <c r="Q8535" s="120"/>
      <c r="R8535" s="121"/>
      <c r="S8535" s="120"/>
      <c r="T8535" s="121"/>
      <c r="U8535" s="120"/>
      <c r="V8535" s="123"/>
      <c r="W8535" s="125"/>
      <c r="X8535" s="142" t="s">
        <v>11902</v>
      </c>
      <c r="Y8535" s="143"/>
      <c r="Z8535" s="143"/>
      <c r="AA8535" s="143"/>
      <c r="AB8535" s="144"/>
      <c r="AC8535" s="16" t="s">
        <v>21</v>
      </c>
      <c r="AD8535" s="17" t="s">
        <v>24751</v>
      </c>
      <c r="AE8535" s="145" t="s">
        <v>24771</v>
      </c>
      <c r="AF8535" s="146"/>
      <c r="AG8535" s="146"/>
      <c r="AH8535" s="146"/>
      <c r="AI8535" s="147"/>
      <c r="AJ8535" s="148"/>
      <c r="AK8535" s="143"/>
      <c r="AL8535" s="144"/>
      <c r="AM8535" s="22"/>
      <c r="AN8535" s="149" t="s">
        <v>25326</v>
      </c>
      <c r="AO8535" s="144"/>
      <c r="AP8535" s="148">
        <v>5069</v>
      </c>
      <c r="AQ8535" s="144"/>
      <c r="AR8535" s="120"/>
      <c r="AS8535" s="121"/>
      <c r="AT8535" s="120"/>
      <c r="AU8535" s="121"/>
      <c r="AV8535" s="120"/>
      <c r="AW8535" s="121"/>
      <c r="AX8535" s="120"/>
      <c r="AY8535" s="121"/>
      <c r="AZ8535" s="138"/>
    </row>
    <row r="8536" spans="1:52" ht="17.100000000000001" customHeight="1" thickTop="1">
      <c r="A8536" s="109" t="s">
        <v>24318</v>
      </c>
      <c r="B8536" s="28">
        <v>46135</v>
      </c>
      <c r="C8536" s="25">
        <v>2024</v>
      </c>
      <c r="D8536" s="13" t="s">
        <v>24471</v>
      </c>
      <c r="E8536" s="111"/>
      <c r="F8536" s="113" t="s">
        <v>24474</v>
      </c>
      <c r="G8536" s="114"/>
      <c r="H8536" s="115"/>
      <c r="I8536" s="24"/>
      <c r="J8536" s="116">
        <v>4</v>
      </c>
      <c r="K8536" s="118">
        <v>803000</v>
      </c>
      <c r="L8536" s="119"/>
      <c r="M8536" s="118">
        <f t="shared" ref="M8536" si="12962">K8536*0.1</f>
        <v>80300</v>
      </c>
      <c r="N8536" s="119"/>
      <c r="O8536" s="118">
        <v>0</v>
      </c>
      <c r="P8536" s="119"/>
      <c r="Q8536" s="118">
        <v>9120</v>
      </c>
      <c r="R8536" s="119"/>
      <c r="S8536" s="118">
        <v>22000</v>
      </c>
      <c r="T8536" s="119"/>
      <c r="U8536" s="118">
        <f t="shared" ref="U8536" si="12963">SUM(K8536:T8537)</f>
        <v>914420</v>
      </c>
      <c r="V8536" s="122"/>
      <c r="W8536" s="124"/>
      <c r="X8536" s="126" t="s">
        <v>24776</v>
      </c>
      <c r="Y8536" s="127"/>
      <c r="Z8536" s="127"/>
      <c r="AA8536" s="127"/>
      <c r="AB8536" s="128"/>
      <c r="AC8536" s="15" t="s">
        <v>20</v>
      </c>
      <c r="AD8536" s="129" t="s">
        <v>24475</v>
      </c>
      <c r="AE8536" s="130"/>
      <c r="AF8536" s="130"/>
      <c r="AG8536" s="130"/>
      <c r="AH8536" s="130"/>
      <c r="AI8536" s="131"/>
      <c r="AJ8536" s="132"/>
      <c r="AK8536" s="127"/>
      <c r="AL8536" s="128"/>
      <c r="AM8536" s="21"/>
      <c r="AN8536" s="133">
        <v>46141</v>
      </c>
      <c r="AO8536" s="134"/>
      <c r="AP8536" s="135">
        <v>1015</v>
      </c>
      <c r="AQ8536" s="136"/>
      <c r="AR8536" s="118">
        <v>900000</v>
      </c>
      <c r="AS8536" s="119"/>
      <c r="AT8536" s="118">
        <f t="shared" ref="AT8536" si="12964">AR8536*0.1</f>
        <v>90000</v>
      </c>
      <c r="AU8536" s="119"/>
      <c r="AV8536" s="118">
        <v>9120</v>
      </c>
      <c r="AW8536" s="119"/>
      <c r="AX8536" s="118">
        <f t="shared" ref="AX8536" si="12965">SUM(AR8536:AW8536)</f>
        <v>999120</v>
      </c>
      <c r="AY8536" s="119"/>
      <c r="AZ8536" s="137">
        <v>46154</v>
      </c>
    </row>
    <row r="8537" spans="1:52" ht="17.100000000000001" customHeight="1" thickBot="1">
      <c r="A8537" s="110"/>
      <c r="B8537" s="27" t="s">
        <v>24304</v>
      </c>
      <c r="C8537" s="27">
        <v>50195</v>
      </c>
      <c r="D8537" s="14" t="s">
        <v>24473</v>
      </c>
      <c r="E8537" s="112"/>
      <c r="F8537" s="139" t="s">
        <v>24357</v>
      </c>
      <c r="G8537" s="140"/>
      <c r="H8537" s="141"/>
      <c r="I8537" s="26">
        <v>44940</v>
      </c>
      <c r="J8537" s="117"/>
      <c r="K8537" s="120"/>
      <c r="L8537" s="121"/>
      <c r="M8537" s="120"/>
      <c r="N8537" s="121"/>
      <c r="O8537" s="120"/>
      <c r="P8537" s="121"/>
      <c r="Q8537" s="120"/>
      <c r="R8537" s="121"/>
      <c r="S8537" s="120"/>
      <c r="T8537" s="121"/>
      <c r="U8537" s="120"/>
      <c r="V8537" s="123"/>
      <c r="W8537" s="125"/>
      <c r="X8537" s="142" t="s">
        <v>16380</v>
      </c>
      <c r="Y8537" s="143"/>
      <c r="Z8537" s="143"/>
      <c r="AA8537" s="143"/>
      <c r="AB8537" s="144"/>
      <c r="AC8537" s="16" t="s">
        <v>21</v>
      </c>
      <c r="AD8537" s="17" t="s">
        <v>24751</v>
      </c>
      <c r="AE8537" s="145" t="s">
        <v>171</v>
      </c>
      <c r="AF8537" s="146"/>
      <c r="AG8537" s="146"/>
      <c r="AH8537" s="146"/>
      <c r="AI8537" s="147"/>
      <c r="AJ8537" s="148"/>
      <c r="AK8537" s="143"/>
      <c r="AL8537" s="144"/>
      <c r="AM8537" s="22"/>
      <c r="AN8537" s="149" t="s">
        <v>25326</v>
      </c>
      <c r="AO8537" s="144"/>
      <c r="AP8537" s="148">
        <v>5123</v>
      </c>
      <c r="AQ8537" s="144"/>
      <c r="AR8537" s="120"/>
      <c r="AS8537" s="121"/>
      <c r="AT8537" s="120"/>
      <c r="AU8537" s="121"/>
      <c r="AV8537" s="120"/>
      <c r="AW8537" s="121"/>
      <c r="AX8537" s="120"/>
      <c r="AY8537" s="121"/>
      <c r="AZ8537" s="138"/>
    </row>
    <row r="8538" spans="1:52" ht="17.100000000000001" customHeight="1" thickTop="1">
      <c r="A8538" s="109" t="s">
        <v>24319</v>
      </c>
      <c r="B8538" s="28">
        <v>46135</v>
      </c>
      <c r="C8538" s="25">
        <v>2024</v>
      </c>
      <c r="D8538" s="13" t="s">
        <v>24476</v>
      </c>
      <c r="E8538" s="111"/>
      <c r="F8538" s="113" t="s">
        <v>24477</v>
      </c>
      <c r="G8538" s="114"/>
      <c r="H8538" s="115"/>
      <c r="I8538" s="24"/>
      <c r="J8538" s="116">
        <v>3.5</v>
      </c>
      <c r="K8538" s="118">
        <v>491000</v>
      </c>
      <c r="L8538" s="119"/>
      <c r="M8538" s="118">
        <f t="shared" ref="M8538" si="12966">K8538*0.1</f>
        <v>49100</v>
      </c>
      <c r="N8538" s="119"/>
      <c r="O8538" s="118">
        <v>0</v>
      </c>
      <c r="P8538" s="119"/>
      <c r="Q8538" s="118">
        <v>8400</v>
      </c>
      <c r="R8538" s="119"/>
      <c r="S8538" s="118">
        <v>22000</v>
      </c>
      <c r="T8538" s="119"/>
      <c r="U8538" s="118">
        <f t="shared" ref="U8538" si="12967">SUM(K8538:T8539)</f>
        <v>570500</v>
      </c>
      <c r="V8538" s="122"/>
      <c r="W8538" s="124"/>
      <c r="X8538" s="126" t="s">
        <v>24858</v>
      </c>
      <c r="Y8538" s="127"/>
      <c r="Z8538" s="127"/>
      <c r="AA8538" s="127"/>
      <c r="AB8538" s="128"/>
      <c r="AC8538" s="15" t="s">
        <v>20</v>
      </c>
      <c r="AD8538" s="129" t="s">
        <v>24478</v>
      </c>
      <c r="AE8538" s="130"/>
      <c r="AF8538" s="130"/>
      <c r="AG8538" s="130"/>
      <c r="AH8538" s="130"/>
      <c r="AI8538" s="131"/>
      <c r="AJ8538" s="132"/>
      <c r="AK8538" s="127"/>
      <c r="AL8538" s="128"/>
      <c r="AM8538" s="21"/>
      <c r="AN8538" s="133">
        <v>46141</v>
      </c>
      <c r="AO8538" s="134"/>
      <c r="AP8538" s="135">
        <v>1015</v>
      </c>
      <c r="AQ8538" s="136"/>
      <c r="AR8538" s="118">
        <v>560000</v>
      </c>
      <c r="AS8538" s="119"/>
      <c r="AT8538" s="118">
        <f t="shared" ref="AT8538" si="12968">AR8538*0.1</f>
        <v>56000</v>
      </c>
      <c r="AU8538" s="119"/>
      <c r="AV8538" s="118">
        <v>8400</v>
      </c>
      <c r="AW8538" s="119"/>
      <c r="AX8538" s="118">
        <f t="shared" ref="AX8538" si="12969">SUM(AR8538:AW8538)</f>
        <v>624400</v>
      </c>
      <c r="AY8538" s="119"/>
      <c r="AZ8538" s="137">
        <v>46154</v>
      </c>
    </row>
    <row r="8539" spans="1:52" ht="17.100000000000001" customHeight="1" thickBot="1">
      <c r="A8539" s="110"/>
      <c r="B8539" s="27" t="s">
        <v>24304</v>
      </c>
      <c r="C8539" s="27">
        <v>50225</v>
      </c>
      <c r="D8539" s="14" t="s">
        <v>24449</v>
      </c>
      <c r="E8539" s="112"/>
      <c r="F8539" s="139" t="s">
        <v>24358</v>
      </c>
      <c r="G8539" s="140"/>
      <c r="H8539" s="141"/>
      <c r="I8539" s="26">
        <v>54335</v>
      </c>
      <c r="J8539" s="117"/>
      <c r="K8539" s="120"/>
      <c r="L8539" s="121"/>
      <c r="M8539" s="120"/>
      <c r="N8539" s="121"/>
      <c r="O8539" s="120"/>
      <c r="P8539" s="121"/>
      <c r="Q8539" s="120"/>
      <c r="R8539" s="121"/>
      <c r="S8539" s="120"/>
      <c r="T8539" s="121"/>
      <c r="U8539" s="120"/>
      <c r="V8539" s="123"/>
      <c r="W8539" s="125"/>
      <c r="X8539" s="142" t="s">
        <v>24859</v>
      </c>
      <c r="Y8539" s="143"/>
      <c r="Z8539" s="143"/>
      <c r="AA8539" s="143"/>
      <c r="AB8539" s="144"/>
      <c r="AC8539" s="16" t="s">
        <v>21</v>
      </c>
      <c r="AD8539" s="17" t="s">
        <v>24856</v>
      </c>
      <c r="AE8539" s="145" t="s">
        <v>24838</v>
      </c>
      <c r="AF8539" s="146"/>
      <c r="AG8539" s="146"/>
      <c r="AH8539" s="146"/>
      <c r="AI8539" s="147"/>
      <c r="AJ8539" s="148"/>
      <c r="AK8539" s="143"/>
      <c r="AL8539" s="144"/>
      <c r="AM8539" s="22"/>
      <c r="AN8539" s="149" t="s">
        <v>7285</v>
      </c>
      <c r="AO8539" s="144"/>
      <c r="AP8539" s="148">
        <v>5148</v>
      </c>
      <c r="AQ8539" s="144"/>
      <c r="AR8539" s="120"/>
      <c r="AS8539" s="121"/>
      <c r="AT8539" s="120"/>
      <c r="AU8539" s="121"/>
      <c r="AV8539" s="120"/>
      <c r="AW8539" s="121"/>
      <c r="AX8539" s="120"/>
      <c r="AY8539" s="121"/>
      <c r="AZ8539" s="138"/>
    </row>
    <row r="8540" spans="1:52" ht="17.100000000000001" customHeight="1" thickTop="1">
      <c r="A8540" s="109" t="s">
        <v>24320</v>
      </c>
      <c r="B8540" s="28">
        <v>46135</v>
      </c>
      <c r="C8540" s="25">
        <v>2024</v>
      </c>
      <c r="D8540" s="13" t="s">
        <v>24441</v>
      </c>
      <c r="E8540" s="111"/>
      <c r="F8540" s="113" t="s">
        <v>15949</v>
      </c>
      <c r="G8540" s="114"/>
      <c r="H8540" s="115"/>
      <c r="I8540" s="24"/>
      <c r="J8540" s="116">
        <v>4</v>
      </c>
      <c r="K8540" s="118">
        <v>401000</v>
      </c>
      <c r="L8540" s="119"/>
      <c r="M8540" s="118">
        <f t="shared" ref="M8540" si="12970">K8540*0.1</f>
        <v>40100</v>
      </c>
      <c r="N8540" s="119"/>
      <c r="O8540" s="118">
        <v>0</v>
      </c>
      <c r="P8540" s="119"/>
      <c r="Q8540" s="118">
        <v>7140</v>
      </c>
      <c r="R8540" s="119"/>
      <c r="S8540" s="118">
        <v>22000</v>
      </c>
      <c r="T8540" s="119"/>
      <c r="U8540" s="118">
        <f t="shared" ref="U8540" si="12971">SUM(K8540:T8541)</f>
        <v>470240</v>
      </c>
      <c r="V8540" s="122"/>
      <c r="W8540" s="124"/>
      <c r="X8540" s="126" t="s">
        <v>24763</v>
      </c>
      <c r="Y8540" s="127"/>
      <c r="Z8540" s="127"/>
      <c r="AA8540" s="127"/>
      <c r="AB8540" s="128"/>
      <c r="AC8540" s="15" t="s">
        <v>20</v>
      </c>
      <c r="AD8540" s="129" t="s">
        <v>24451</v>
      </c>
      <c r="AE8540" s="130"/>
      <c r="AF8540" s="130"/>
      <c r="AG8540" s="130"/>
      <c r="AH8540" s="130"/>
      <c r="AI8540" s="131"/>
      <c r="AJ8540" s="132"/>
      <c r="AK8540" s="127"/>
      <c r="AL8540" s="128"/>
      <c r="AM8540" s="21"/>
      <c r="AN8540" s="133">
        <v>46141</v>
      </c>
      <c r="AO8540" s="134"/>
      <c r="AP8540" s="135">
        <v>1015</v>
      </c>
      <c r="AQ8540" s="136"/>
      <c r="AR8540" s="118">
        <v>480000</v>
      </c>
      <c r="AS8540" s="119"/>
      <c r="AT8540" s="118">
        <f t="shared" ref="AT8540" si="12972">AR8540*0.1</f>
        <v>48000</v>
      </c>
      <c r="AU8540" s="119"/>
      <c r="AV8540" s="118">
        <v>7140</v>
      </c>
      <c r="AW8540" s="119"/>
      <c r="AX8540" s="118">
        <f t="shared" ref="AX8540" si="12973">SUM(AR8540:AW8540)</f>
        <v>535140</v>
      </c>
      <c r="AY8540" s="119"/>
      <c r="AZ8540" s="137">
        <v>46153</v>
      </c>
    </row>
    <row r="8541" spans="1:52" ht="17.100000000000001" customHeight="1" thickBot="1">
      <c r="A8541" s="110"/>
      <c r="B8541" s="27" t="s">
        <v>24304</v>
      </c>
      <c r="C8541" s="27">
        <v>50231</v>
      </c>
      <c r="D8541" s="14" t="s">
        <v>24449</v>
      </c>
      <c r="E8541" s="112"/>
      <c r="F8541" s="139" t="s">
        <v>24359</v>
      </c>
      <c r="G8541" s="140"/>
      <c r="H8541" s="141"/>
      <c r="I8541" s="26">
        <v>23250</v>
      </c>
      <c r="J8541" s="117"/>
      <c r="K8541" s="120"/>
      <c r="L8541" s="121"/>
      <c r="M8541" s="120"/>
      <c r="N8541" s="121"/>
      <c r="O8541" s="120"/>
      <c r="P8541" s="121"/>
      <c r="Q8541" s="120"/>
      <c r="R8541" s="121"/>
      <c r="S8541" s="120"/>
      <c r="T8541" s="121"/>
      <c r="U8541" s="120"/>
      <c r="V8541" s="123"/>
      <c r="W8541" s="125"/>
      <c r="X8541" s="142" t="s">
        <v>2482</v>
      </c>
      <c r="Y8541" s="143"/>
      <c r="Z8541" s="143"/>
      <c r="AA8541" s="143"/>
      <c r="AB8541" s="144"/>
      <c r="AC8541" s="16" t="s">
        <v>21</v>
      </c>
      <c r="AD8541" s="17" t="s">
        <v>24751</v>
      </c>
      <c r="AE8541" s="145" t="s">
        <v>1633</v>
      </c>
      <c r="AF8541" s="146"/>
      <c r="AG8541" s="146"/>
      <c r="AH8541" s="146"/>
      <c r="AI8541" s="147"/>
      <c r="AJ8541" s="148"/>
      <c r="AK8541" s="143"/>
      <c r="AL8541" s="144"/>
      <c r="AM8541" s="22"/>
      <c r="AN8541" s="149" t="s">
        <v>2794</v>
      </c>
      <c r="AO8541" s="144"/>
      <c r="AP8541" s="148">
        <v>5067</v>
      </c>
      <c r="AQ8541" s="144"/>
      <c r="AR8541" s="120"/>
      <c r="AS8541" s="121"/>
      <c r="AT8541" s="120"/>
      <c r="AU8541" s="121"/>
      <c r="AV8541" s="120"/>
      <c r="AW8541" s="121"/>
      <c r="AX8541" s="120"/>
      <c r="AY8541" s="121"/>
      <c r="AZ8541" s="138"/>
    </row>
    <row r="8542" spans="1:52" ht="17.100000000000001" customHeight="1" thickTop="1">
      <c r="A8542" s="109" t="s">
        <v>24321</v>
      </c>
      <c r="B8542" s="28">
        <v>46135</v>
      </c>
      <c r="C8542" s="25">
        <v>2024</v>
      </c>
      <c r="D8542" s="13" t="s">
        <v>24479</v>
      </c>
      <c r="E8542" s="111"/>
      <c r="F8542" s="113" t="s">
        <v>24481</v>
      </c>
      <c r="G8542" s="114"/>
      <c r="H8542" s="115"/>
      <c r="I8542" s="24" t="s">
        <v>24482</v>
      </c>
      <c r="J8542" s="116">
        <v>4</v>
      </c>
      <c r="K8542" s="118">
        <v>660000</v>
      </c>
      <c r="L8542" s="119"/>
      <c r="M8542" s="118">
        <f t="shared" ref="M8542" si="12974">K8542*0.1</f>
        <v>66000</v>
      </c>
      <c r="N8542" s="119"/>
      <c r="O8542" s="118">
        <v>0</v>
      </c>
      <c r="P8542" s="119"/>
      <c r="Q8542" s="118">
        <v>8400</v>
      </c>
      <c r="R8542" s="119"/>
      <c r="S8542" s="118">
        <v>22000</v>
      </c>
      <c r="T8542" s="119"/>
      <c r="U8542" s="118">
        <f t="shared" ref="U8542" si="12975">SUM(K8542:T8543)</f>
        <v>756400</v>
      </c>
      <c r="V8542" s="122"/>
      <c r="W8542" s="124"/>
      <c r="X8542" s="126" t="s">
        <v>24483</v>
      </c>
      <c r="Y8542" s="127"/>
      <c r="Z8542" s="127"/>
      <c r="AA8542" s="127"/>
      <c r="AB8542" s="128"/>
      <c r="AC8542" s="15" t="s">
        <v>20</v>
      </c>
      <c r="AD8542" s="129" t="s">
        <v>24484</v>
      </c>
      <c r="AE8542" s="130"/>
      <c r="AF8542" s="130"/>
      <c r="AG8542" s="130"/>
      <c r="AH8542" s="130"/>
      <c r="AI8542" s="131"/>
      <c r="AJ8542" s="132"/>
      <c r="AK8542" s="127"/>
      <c r="AL8542" s="128"/>
      <c r="AM8542" s="21"/>
      <c r="AN8542" s="133">
        <v>46141</v>
      </c>
      <c r="AO8542" s="134"/>
      <c r="AP8542" s="135">
        <v>1015</v>
      </c>
      <c r="AQ8542" s="136"/>
      <c r="AR8542" s="118">
        <v>780000</v>
      </c>
      <c r="AS8542" s="119"/>
      <c r="AT8542" s="118">
        <f t="shared" ref="AT8542" si="12976">AR8542*0.1</f>
        <v>78000</v>
      </c>
      <c r="AU8542" s="119"/>
      <c r="AV8542" s="118">
        <v>8400</v>
      </c>
      <c r="AW8542" s="119"/>
      <c r="AX8542" s="118">
        <f t="shared" ref="AX8542" si="12977">SUM(AR8542:AW8542)</f>
        <v>866400</v>
      </c>
      <c r="AY8542" s="119"/>
      <c r="AZ8542" s="137">
        <v>46156</v>
      </c>
    </row>
    <row r="8543" spans="1:52" ht="17.100000000000001" customHeight="1" thickBot="1">
      <c r="A8543" s="110"/>
      <c r="B8543" s="27" t="s">
        <v>24304</v>
      </c>
      <c r="C8543" s="27">
        <v>50258</v>
      </c>
      <c r="D8543" s="14" t="s">
        <v>24480</v>
      </c>
      <c r="E8543" s="112"/>
      <c r="F8543" s="139" t="s">
        <v>24360</v>
      </c>
      <c r="G8543" s="140"/>
      <c r="H8543" s="141"/>
      <c r="I8543" s="26">
        <v>31820</v>
      </c>
      <c r="J8543" s="117"/>
      <c r="K8543" s="120"/>
      <c r="L8543" s="121"/>
      <c r="M8543" s="120"/>
      <c r="N8543" s="121"/>
      <c r="O8543" s="120"/>
      <c r="P8543" s="121"/>
      <c r="Q8543" s="120"/>
      <c r="R8543" s="121"/>
      <c r="S8543" s="120"/>
      <c r="T8543" s="121"/>
      <c r="U8543" s="120"/>
      <c r="V8543" s="123"/>
      <c r="W8543" s="125"/>
      <c r="X8543" s="142" t="s">
        <v>24790</v>
      </c>
      <c r="Y8543" s="143"/>
      <c r="Z8543" s="143"/>
      <c r="AA8543" s="143"/>
      <c r="AB8543" s="144"/>
      <c r="AC8543" s="16" t="s">
        <v>21</v>
      </c>
      <c r="AD8543" s="17" t="s">
        <v>24751</v>
      </c>
      <c r="AE8543" s="145" t="s">
        <v>24791</v>
      </c>
      <c r="AF8543" s="146"/>
      <c r="AG8543" s="146"/>
      <c r="AH8543" s="146"/>
      <c r="AI8543" s="147"/>
      <c r="AJ8543" s="148"/>
      <c r="AK8543" s="143"/>
      <c r="AL8543" s="144"/>
      <c r="AM8543" s="22"/>
      <c r="AN8543" s="149" t="s">
        <v>8809</v>
      </c>
      <c r="AO8543" s="144"/>
      <c r="AP8543" s="148">
        <v>5064</v>
      </c>
      <c r="AQ8543" s="144"/>
      <c r="AR8543" s="120"/>
      <c r="AS8543" s="121"/>
      <c r="AT8543" s="120"/>
      <c r="AU8543" s="121"/>
      <c r="AV8543" s="120"/>
      <c r="AW8543" s="121"/>
      <c r="AX8543" s="120"/>
      <c r="AY8543" s="121"/>
      <c r="AZ8543" s="138"/>
    </row>
    <row r="8544" spans="1:52" ht="17.100000000000001" customHeight="1" thickTop="1">
      <c r="A8544" s="109" t="s">
        <v>24322</v>
      </c>
      <c r="B8544" s="28">
        <v>46135</v>
      </c>
      <c r="C8544" s="25">
        <v>2024</v>
      </c>
      <c r="D8544" s="13" t="s">
        <v>24485</v>
      </c>
      <c r="E8544" s="111"/>
      <c r="F8544" s="113" t="s">
        <v>19705</v>
      </c>
      <c r="G8544" s="114"/>
      <c r="H8544" s="115"/>
      <c r="I8544" s="24" t="s">
        <v>24486</v>
      </c>
      <c r="J8544" s="116">
        <v>4.5</v>
      </c>
      <c r="K8544" s="118">
        <v>1058000</v>
      </c>
      <c r="L8544" s="119"/>
      <c r="M8544" s="118">
        <f t="shared" ref="M8544" si="12978">K8544*0.1</f>
        <v>105800</v>
      </c>
      <c r="N8544" s="119"/>
      <c r="O8544" s="118">
        <v>0</v>
      </c>
      <c r="P8544" s="119"/>
      <c r="Q8544" s="118">
        <v>8640</v>
      </c>
      <c r="R8544" s="119"/>
      <c r="S8544" s="118">
        <v>22000</v>
      </c>
      <c r="T8544" s="119"/>
      <c r="U8544" s="118">
        <f t="shared" ref="U8544" si="12979">SUM(K8544:T8545)</f>
        <v>1194440</v>
      </c>
      <c r="V8544" s="122"/>
      <c r="W8544" s="124"/>
      <c r="X8544" s="126" t="s">
        <v>24487</v>
      </c>
      <c r="Y8544" s="127"/>
      <c r="Z8544" s="127"/>
      <c r="AA8544" s="127"/>
      <c r="AB8544" s="128"/>
      <c r="AC8544" s="15" t="s">
        <v>20</v>
      </c>
      <c r="AD8544" s="129" t="s">
        <v>24488</v>
      </c>
      <c r="AE8544" s="130"/>
      <c r="AF8544" s="130"/>
      <c r="AG8544" s="130"/>
      <c r="AH8544" s="130"/>
      <c r="AI8544" s="131"/>
      <c r="AJ8544" s="132"/>
      <c r="AK8544" s="127"/>
      <c r="AL8544" s="128"/>
      <c r="AM8544" s="21"/>
      <c r="AN8544" s="133"/>
      <c r="AO8544" s="134"/>
      <c r="AP8544" s="135"/>
      <c r="AQ8544" s="136"/>
      <c r="AR8544" s="118"/>
      <c r="AS8544" s="119"/>
      <c r="AT8544" s="118">
        <f t="shared" ref="AT8544" si="12980">AR8544*0.1</f>
        <v>0</v>
      </c>
      <c r="AU8544" s="119"/>
      <c r="AV8544" s="118"/>
      <c r="AW8544" s="119"/>
      <c r="AX8544" s="118">
        <f t="shared" ref="AX8544" si="12981">SUM(AR8544:AW8544)</f>
        <v>0</v>
      </c>
      <c r="AY8544" s="119"/>
      <c r="AZ8544" s="137"/>
    </row>
    <row r="8545" spans="1:52" ht="17.100000000000001" customHeight="1" thickBot="1">
      <c r="A8545" s="110"/>
      <c r="B8545" s="27" t="s">
        <v>24304</v>
      </c>
      <c r="C8545" s="27">
        <v>50268</v>
      </c>
      <c r="D8545" s="14" t="s">
        <v>1812</v>
      </c>
      <c r="E8545" s="112"/>
      <c r="F8545" s="139" t="s">
        <v>24361</v>
      </c>
      <c r="G8545" s="140"/>
      <c r="H8545" s="141"/>
      <c r="I8545" s="26">
        <v>14865</v>
      </c>
      <c r="J8545" s="117"/>
      <c r="K8545" s="120"/>
      <c r="L8545" s="121"/>
      <c r="M8545" s="120"/>
      <c r="N8545" s="121"/>
      <c r="O8545" s="120"/>
      <c r="P8545" s="121"/>
      <c r="Q8545" s="120"/>
      <c r="R8545" s="121"/>
      <c r="S8545" s="120"/>
      <c r="T8545" s="121"/>
      <c r="U8545" s="120"/>
      <c r="V8545" s="123"/>
      <c r="W8545" s="125"/>
      <c r="X8545" s="142" t="s">
        <v>24782</v>
      </c>
      <c r="Y8545" s="143"/>
      <c r="Z8545" s="143"/>
      <c r="AA8545" s="143"/>
      <c r="AB8545" s="144"/>
      <c r="AC8545" s="16" t="s">
        <v>21</v>
      </c>
      <c r="AD8545" s="17" t="s">
        <v>24751</v>
      </c>
      <c r="AE8545" s="145" t="s">
        <v>13071</v>
      </c>
      <c r="AF8545" s="146"/>
      <c r="AG8545" s="146"/>
      <c r="AH8545" s="146"/>
      <c r="AI8545" s="147"/>
      <c r="AJ8545" s="148"/>
      <c r="AK8545" s="143"/>
      <c r="AL8545" s="144"/>
      <c r="AM8545" s="22"/>
      <c r="AN8545" s="149"/>
      <c r="AO8545" s="144"/>
      <c r="AP8545" s="148"/>
      <c r="AQ8545" s="144"/>
      <c r="AR8545" s="120"/>
      <c r="AS8545" s="121"/>
      <c r="AT8545" s="120"/>
      <c r="AU8545" s="121"/>
      <c r="AV8545" s="120"/>
      <c r="AW8545" s="121"/>
      <c r="AX8545" s="120"/>
      <c r="AY8545" s="121"/>
      <c r="AZ8545" s="138"/>
    </row>
    <row r="8546" spans="1:52" ht="17.100000000000001" customHeight="1" thickTop="1">
      <c r="A8546" s="109" t="s">
        <v>24323</v>
      </c>
      <c r="B8546" s="28">
        <v>46135</v>
      </c>
      <c r="C8546" s="25">
        <v>2024</v>
      </c>
      <c r="D8546" s="13" t="s">
        <v>24489</v>
      </c>
      <c r="E8546" s="111"/>
      <c r="F8546" s="113" t="s">
        <v>24490</v>
      </c>
      <c r="G8546" s="114"/>
      <c r="H8546" s="115"/>
      <c r="I8546" s="24" t="s">
        <v>24491</v>
      </c>
      <c r="J8546" s="116">
        <v>4</v>
      </c>
      <c r="K8546" s="118">
        <v>354000</v>
      </c>
      <c r="L8546" s="119"/>
      <c r="M8546" s="118">
        <f t="shared" ref="M8546" si="12982">K8546*0.1</f>
        <v>35400</v>
      </c>
      <c r="N8546" s="119"/>
      <c r="O8546" s="118">
        <v>0</v>
      </c>
      <c r="P8546" s="119"/>
      <c r="Q8546" s="118">
        <v>10070</v>
      </c>
      <c r="R8546" s="119"/>
      <c r="S8546" s="118">
        <v>22000</v>
      </c>
      <c r="T8546" s="119"/>
      <c r="U8546" s="118">
        <f t="shared" ref="U8546" si="12983">SUM(K8546:T8547)</f>
        <v>421470</v>
      </c>
      <c r="V8546" s="122"/>
      <c r="W8546" s="124"/>
      <c r="X8546" s="126" t="s">
        <v>24492</v>
      </c>
      <c r="Y8546" s="127"/>
      <c r="Z8546" s="127"/>
      <c r="AA8546" s="127"/>
      <c r="AB8546" s="128"/>
      <c r="AC8546" s="15" t="s">
        <v>20</v>
      </c>
      <c r="AD8546" s="129" t="s">
        <v>24493</v>
      </c>
      <c r="AE8546" s="130"/>
      <c r="AF8546" s="130"/>
      <c r="AG8546" s="130"/>
      <c r="AH8546" s="130"/>
      <c r="AI8546" s="131"/>
      <c r="AJ8546" s="132"/>
      <c r="AK8546" s="127"/>
      <c r="AL8546" s="128"/>
      <c r="AM8546" s="21"/>
      <c r="AN8546" s="133">
        <v>46141</v>
      </c>
      <c r="AO8546" s="134"/>
      <c r="AP8546" s="135">
        <v>1015</v>
      </c>
      <c r="AQ8546" s="136"/>
      <c r="AR8546" s="118">
        <v>430000</v>
      </c>
      <c r="AS8546" s="119"/>
      <c r="AT8546" s="118">
        <f t="shared" ref="AT8546" si="12984">AR8546*0.1</f>
        <v>43000</v>
      </c>
      <c r="AU8546" s="119"/>
      <c r="AV8546" s="118">
        <v>10070</v>
      </c>
      <c r="AW8546" s="119"/>
      <c r="AX8546" s="118">
        <f t="shared" ref="AX8546" si="12985">SUM(AR8546:AW8546)</f>
        <v>483070</v>
      </c>
      <c r="AY8546" s="119"/>
      <c r="AZ8546" s="137">
        <v>46156</v>
      </c>
    </row>
    <row r="8547" spans="1:52" ht="17.100000000000001" customHeight="1" thickBot="1">
      <c r="A8547" s="110"/>
      <c r="B8547" s="27" t="s">
        <v>24304</v>
      </c>
      <c r="C8547" s="27">
        <v>70002</v>
      </c>
      <c r="D8547" s="14" t="s">
        <v>1720</v>
      </c>
      <c r="E8547" s="112"/>
      <c r="F8547" s="139" t="s">
        <v>24362</v>
      </c>
      <c r="G8547" s="140"/>
      <c r="H8547" s="141"/>
      <c r="I8547" s="26">
        <v>64547</v>
      </c>
      <c r="J8547" s="117"/>
      <c r="K8547" s="120"/>
      <c r="L8547" s="121"/>
      <c r="M8547" s="120"/>
      <c r="N8547" s="121"/>
      <c r="O8547" s="120"/>
      <c r="P8547" s="121"/>
      <c r="Q8547" s="120"/>
      <c r="R8547" s="121"/>
      <c r="S8547" s="120"/>
      <c r="T8547" s="121"/>
      <c r="U8547" s="120"/>
      <c r="V8547" s="123"/>
      <c r="W8547" s="125"/>
      <c r="X8547" s="142" t="s">
        <v>24789</v>
      </c>
      <c r="Y8547" s="143"/>
      <c r="Z8547" s="143"/>
      <c r="AA8547" s="143"/>
      <c r="AB8547" s="144"/>
      <c r="AC8547" s="16" t="s">
        <v>21</v>
      </c>
      <c r="AD8547" s="17" t="s">
        <v>24751</v>
      </c>
      <c r="AE8547" s="145" t="s">
        <v>1581</v>
      </c>
      <c r="AF8547" s="146"/>
      <c r="AG8547" s="146"/>
      <c r="AH8547" s="146"/>
      <c r="AI8547" s="147"/>
      <c r="AJ8547" s="148"/>
      <c r="AK8547" s="143"/>
      <c r="AL8547" s="144"/>
      <c r="AM8547" s="22"/>
      <c r="AN8547" s="149" t="s">
        <v>25326</v>
      </c>
      <c r="AO8547" s="144"/>
      <c r="AP8547" s="148">
        <v>5152</v>
      </c>
      <c r="AQ8547" s="144"/>
      <c r="AR8547" s="120"/>
      <c r="AS8547" s="121"/>
      <c r="AT8547" s="120"/>
      <c r="AU8547" s="121"/>
      <c r="AV8547" s="120"/>
      <c r="AW8547" s="121"/>
      <c r="AX8547" s="120"/>
      <c r="AY8547" s="121"/>
      <c r="AZ8547" s="138"/>
    </row>
    <row r="8548" spans="1:52" ht="17.100000000000001" customHeight="1" thickTop="1">
      <c r="A8548" s="109" t="s">
        <v>24324</v>
      </c>
      <c r="B8548" s="28">
        <v>46135</v>
      </c>
      <c r="C8548" s="25">
        <v>2024</v>
      </c>
      <c r="D8548" s="13" t="s">
        <v>24494</v>
      </c>
      <c r="E8548" s="111"/>
      <c r="F8548" s="113" t="s">
        <v>24495</v>
      </c>
      <c r="G8548" s="114"/>
      <c r="H8548" s="115"/>
      <c r="I8548" s="24" t="s">
        <v>24446</v>
      </c>
      <c r="J8548" s="116">
        <v>4</v>
      </c>
      <c r="K8548" s="118">
        <v>516000</v>
      </c>
      <c r="L8548" s="119"/>
      <c r="M8548" s="118">
        <f t="shared" ref="M8548" si="12986">K8548*0.1</f>
        <v>51600</v>
      </c>
      <c r="N8548" s="119"/>
      <c r="O8548" s="118">
        <v>34760</v>
      </c>
      <c r="P8548" s="119"/>
      <c r="Q8548" s="118">
        <v>9730</v>
      </c>
      <c r="R8548" s="119"/>
      <c r="S8548" s="118">
        <v>22000</v>
      </c>
      <c r="T8548" s="119"/>
      <c r="U8548" s="118">
        <f t="shared" ref="U8548" si="12987">SUM(K8548:T8549)</f>
        <v>634090</v>
      </c>
      <c r="V8548" s="122"/>
      <c r="W8548" s="124"/>
      <c r="X8548" s="126" t="s">
        <v>24496</v>
      </c>
      <c r="Y8548" s="127"/>
      <c r="Z8548" s="127"/>
      <c r="AA8548" s="127"/>
      <c r="AB8548" s="128"/>
      <c r="AC8548" s="15" t="s">
        <v>20</v>
      </c>
      <c r="AD8548" s="129" t="s">
        <v>24497</v>
      </c>
      <c r="AE8548" s="130"/>
      <c r="AF8548" s="130"/>
      <c r="AG8548" s="130"/>
      <c r="AH8548" s="130"/>
      <c r="AI8548" s="131"/>
      <c r="AJ8548" s="132"/>
      <c r="AK8548" s="127"/>
      <c r="AL8548" s="128"/>
      <c r="AM8548" s="21" t="s">
        <v>25606</v>
      </c>
      <c r="AN8548" s="133"/>
      <c r="AO8548" s="134"/>
      <c r="AP8548" s="135"/>
      <c r="AQ8548" s="136"/>
      <c r="AR8548" s="118"/>
      <c r="AS8548" s="119"/>
      <c r="AT8548" s="118">
        <f t="shared" ref="AT8548" si="12988">AR8548*0.1</f>
        <v>0</v>
      </c>
      <c r="AU8548" s="119"/>
      <c r="AV8548" s="118"/>
      <c r="AW8548" s="119"/>
      <c r="AX8548" s="118">
        <f t="shared" ref="AX8548" si="12989">SUM(AR8548:AW8548)</f>
        <v>0</v>
      </c>
      <c r="AY8548" s="119"/>
      <c r="AZ8548" s="137"/>
    </row>
    <row r="8549" spans="1:52" ht="17.100000000000001" customHeight="1" thickBot="1">
      <c r="A8549" s="110"/>
      <c r="B8549" s="27" t="s">
        <v>24304</v>
      </c>
      <c r="C8549" s="27">
        <v>70192</v>
      </c>
      <c r="D8549" s="14" t="s">
        <v>133</v>
      </c>
      <c r="E8549" s="112"/>
      <c r="F8549" s="139" t="s">
        <v>24363</v>
      </c>
      <c r="G8549" s="140"/>
      <c r="H8549" s="141"/>
      <c r="I8549" s="26">
        <v>59320</v>
      </c>
      <c r="J8549" s="117"/>
      <c r="K8549" s="120"/>
      <c r="L8549" s="121"/>
      <c r="M8549" s="120"/>
      <c r="N8549" s="121"/>
      <c r="O8549" s="120"/>
      <c r="P8549" s="121"/>
      <c r="Q8549" s="120"/>
      <c r="R8549" s="121"/>
      <c r="S8549" s="120"/>
      <c r="T8549" s="121"/>
      <c r="U8549" s="120"/>
      <c r="V8549" s="123"/>
      <c r="W8549" s="125"/>
      <c r="X8549" s="142" t="s">
        <v>24855</v>
      </c>
      <c r="Y8549" s="143"/>
      <c r="Z8549" s="143"/>
      <c r="AA8549" s="143"/>
      <c r="AB8549" s="144"/>
      <c r="AC8549" s="16" t="s">
        <v>21</v>
      </c>
      <c r="AD8549" s="17" t="s">
        <v>24856</v>
      </c>
      <c r="AE8549" s="145" t="s">
        <v>24857</v>
      </c>
      <c r="AF8549" s="146"/>
      <c r="AG8549" s="146"/>
      <c r="AH8549" s="146"/>
      <c r="AI8549" s="147"/>
      <c r="AJ8549" s="148"/>
      <c r="AK8549" s="143"/>
      <c r="AL8549" s="144"/>
      <c r="AM8549" s="22"/>
      <c r="AN8549" s="149"/>
      <c r="AO8549" s="144"/>
      <c r="AP8549" s="148"/>
      <c r="AQ8549" s="144"/>
      <c r="AR8549" s="120"/>
      <c r="AS8549" s="121"/>
      <c r="AT8549" s="120"/>
      <c r="AU8549" s="121"/>
      <c r="AV8549" s="120"/>
      <c r="AW8549" s="121"/>
      <c r="AX8549" s="120"/>
      <c r="AY8549" s="121"/>
      <c r="AZ8549" s="138"/>
    </row>
    <row r="8550" spans="1:52" ht="17.100000000000001" customHeight="1" thickTop="1">
      <c r="A8550" s="109" t="s">
        <v>24325</v>
      </c>
      <c r="B8550" s="28">
        <v>46135</v>
      </c>
      <c r="C8550" s="25">
        <v>2024</v>
      </c>
      <c r="D8550" s="13" t="s">
        <v>24498</v>
      </c>
      <c r="E8550" s="111"/>
      <c r="F8550" s="113" t="s">
        <v>24500</v>
      </c>
      <c r="G8550" s="114"/>
      <c r="H8550" s="115"/>
      <c r="I8550" s="24"/>
      <c r="J8550" s="116">
        <v>4</v>
      </c>
      <c r="K8550" s="118">
        <v>360000</v>
      </c>
      <c r="L8550" s="119"/>
      <c r="M8550" s="118">
        <f t="shared" ref="M8550" si="12990">K8550*0.1</f>
        <v>36000</v>
      </c>
      <c r="N8550" s="119"/>
      <c r="O8550" s="118">
        <v>0</v>
      </c>
      <c r="P8550" s="119"/>
      <c r="Q8550" s="118">
        <v>9190</v>
      </c>
      <c r="R8550" s="119"/>
      <c r="S8550" s="118">
        <v>22000</v>
      </c>
      <c r="T8550" s="119"/>
      <c r="U8550" s="118">
        <f t="shared" ref="U8550" si="12991">SUM(K8550:T8551)</f>
        <v>427190</v>
      </c>
      <c r="V8550" s="122"/>
      <c r="W8550" s="124"/>
      <c r="X8550" s="126" t="s">
        <v>25141</v>
      </c>
      <c r="Y8550" s="127"/>
      <c r="Z8550" s="127"/>
      <c r="AA8550" s="127"/>
      <c r="AB8550" s="128"/>
      <c r="AC8550" s="15" t="s">
        <v>20</v>
      </c>
      <c r="AD8550" s="129"/>
      <c r="AE8550" s="130"/>
      <c r="AF8550" s="130"/>
      <c r="AG8550" s="130"/>
      <c r="AH8550" s="130"/>
      <c r="AI8550" s="131"/>
      <c r="AJ8550" s="132"/>
      <c r="AK8550" s="127"/>
      <c r="AL8550" s="128"/>
      <c r="AM8550" s="21"/>
      <c r="AN8550" s="133">
        <v>46144</v>
      </c>
      <c r="AO8550" s="134"/>
      <c r="AP8550" s="135">
        <v>1299</v>
      </c>
      <c r="AQ8550" s="136"/>
      <c r="AR8550" s="118">
        <v>450000</v>
      </c>
      <c r="AS8550" s="119"/>
      <c r="AT8550" s="118">
        <f t="shared" ref="AT8550" si="12992">AR8550*0.1</f>
        <v>45000</v>
      </c>
      <c r="AU8550" s="119"/>
      <c r="AV8550" s="118">
        <v>9190</v>
      </c>
      <c r="AW8550" s="119"/>
      <c r="AX8550" s="118">
        <f t="shared" ref="AX8550" si="12993">SUM(AR8550:AW8550)</f>
        <v>504190</v>
      </c>
      <c r="AY8550" s="119"/>
      <c r="AZ8550" s="137">
        <v>46154</v>
      </c>
    </row>
    <row r="8551" spans="1:52" ht="17.100000000000001" customHeight="1" thickBot="1">
      <c r="A8551" s="110"/>
      <c r="B8551" s="27" t="s">
        <v>24304</v>
      </c>
      <c r="C8551" s="27">
        <v>70283</v>
      </c>
      <c r="D8551" s="14" t="s">
        <v>24499</v>
      </c>
      <c r="E8551" s="112"/>
      <c r="F8551" s="139" t="s">
        <v>24364</v>
      </c>
      <c r="G8551" s="140"/>
      <c r="H8551" s="141"/>
      <c r="I8551" s="26">
        <v>30374</v>
      </c>
      <c r="J8551" s="117"/>
      <c r="K8551" s="120"/>
      <c r="L8551" s="121"/>
      <c r="M8551" s="120"/>
      <c r="N8551" s="121"/>
      <c r="O8551" s="120"/>
      <c r="P8551" s="121"/>
      <c r="Q8551" s="120"/>
      <c r="R8551" s="121"/>
      <c r="S8551" s="120"/>
      <c r="T8551" s="121"/>
      <c r="U8551" s="120"/>
      <c r="V8551" s="123"/>
      <c r="W8551" s="125"/>
      <c r="X8551" s="142" t="s">
        <v>14231</v>
      </c>
      <c r="Y8551" s="143"/>
      <c r="Z8551" s="143"/>
      <c r="AA8551" s="143"/>
      <c r="AB8551" s="144"/>
      <c r="AC8551" s="16" t="s">
        <v>21</v>
      </c>
      <c r="AD8551" s="17" t="s">
        <v>2009</v>
      </c>
      <c r="AE8551" s="145" t="s">
        <v>171</v>
      </c>
      <c r="AF8551" s="146"/>
      <c r="AG8551" s="146"/>
      <c r="AH8551" s="146"/>
      <c r="AI8551" s="147"/>
      <c r="AJ8551" s="148"/>
      <c r="AK8551" s="143"/>
      <c r="AL8551" s="144"/>
      <c r="AM8551" s="22"/>
      <c r="AN8551" s="149" t="s">
        <v>25323</v>
      </c>
      <c r="AO8551" s="144"/>
      <c r="AP8551" s="148">
        <v>60391</v>
      </c>
      <c r="AQ8551" s="144"/>
      <c r="AR8551" s="120"/>
      <c r="AS8551" s="121"/>
      <c r="AT8551" s="120"/>
      <c r="AU8551" s="121"/>
      <c r="AV8551" s="120"/>
      <c r="AW8551" s="121"/>
      <c r="AX8551" s="120"/>
      <c r="AY8551" s="121"/>
      <c r="AZ8551" s="138"/>
    </row>
    <row r="8552" spans="1:52" ht="17.100000000000001" customHeight="1" thickTop="1">
      <c r="A8552" s="109" t="s">
        <v>24326</v>
      </c>
      <c r="B8552" s="28">
        <v>46135</v>
      </c>
      <c r="C8552" s="25">
        <v>2024</v>
      </c>
      <c r="D8552" s="13" t="s">
        <v>24501</v>
      </c>
      <c r="E8552" s="111"/>
      <c r="F8552" s="113" t="s">
        <v>24502</v>
      </c>
      <c r="G8552" s="114"/>
      <c r="H8552" s="115"/>
      <c r="I8552" s="24" t="s">
        <v>24436</v>
      </c>
      <c r="J8552" s="116">
        <v>4</v>
      </c>
      <c r="K8552" s="118">
        <v>506000</v>
      </c>
      <c r="L8552" s="119"/>
      <c r="M8552" s="118">
        <f t="shared" ref="M8552" si="12994">K8552*0.1</f>
        <v>50600</v>
      </c>
      <c r="N8552" s="119"/>
      <c r="O8552" s="118">
        <v>29700</v>
      </c>
      <c r="P8552" s="119"/>
      <c r="Q8552" s="118">
        <v>8190</v>
      </c>
      <c r="R8552" s="119"/>
      <c r="S8552" s="118">
        <v>22000</v>
      </c>
      <c r="T8552" s="119"/>
      <c r="U8552" s="118">
        <f t="shared" ref="U8552" si="12995">SUM(K8552:T8553)</f>
        <v>616490</v>
      </c>
      <c r="V8552" s="122"/>
      <c r="W8552" s="124"/>
      <c r="X8552" s="126" t="s">
        <v>24503</v>
      </c>
      <c r="Y8552" s="127"/>
      <c r="Z8552" s="127"/>
      <c r="AA8552" s="127"/>
      <c r="AB8552" s="128"/>
      <c r="AC8552" s="15" t="s">
        <v>20</v>
      </c>
      <c r="AD8552" s="129" t="s">
        <v>24504</v>
      </c>
      <c r="AE8552" s="130"/>
      <c r="AF8552" s="130"/>
      <c r="AG8552" s="130"/>
      <c r="AH8552" s="130"/>
      <c r="AI8552" s="131"/>
      <c r="AJ8552" s="132"/>
      <c r="AK8552" s="127"/>
      <c r="AL8552" s="128"/>
      <c r="AM8552" s="21" t="s">
        <v>25604</v>
      </c>
      <c r="AN8552" s="133"/>
      <c r="AO8552" s="134"/>
      <c r="AP8552" s="135"/>
      <c r="AQ8552" s="136"/>
      <c r="AR8552" s="118"/>
      <c r="AS8552" s="119"/>
      <c r="AT8552" s="118">
        <f t="shared" ref="AT8552" si="12996">AR8552*0.1</f>
        <v>0</v>
      </c>
      <c r="AU8552" s="119"/>
      <c r="AV8552" s="118"/>
      <c r="AW8552" s="119"/>
      <c r="AX8552" s="118">
        <f t="shared" ref="AX8552" si="12997">SUM(AR8552:AW8552)</f>
        <v>0</v>
      </c>
      <c r="AY8552" s="119"/>
      <c r="AZ8552" s="137"/>
    </row>
    <row r="8553" spans="1:52" ht="17.100000000000001" customHeight="1" thickBot="1">
      <c r="A8553" s="110"/>
      <c r="B8553" s="27" t="s">
        <v>24304</v>
      </c>
      <c r="C8553" s="27">
        <v>75086</v>
      </c>
      <c r="D8553" s="14" t="s">
        <v>1812</v>
      </c>
      <c r="E8553" s="112"/>
      <c r="F8553" s="139" t="s">
        <v>24365</v>
      </c>
      <c r="G8553" s="140"/>
      <c r="H8553" s="141"/>
      <c r="I8553" s="26">
        <v>47621</v>
      </c>
      <c r="J8553" s="117"/>
      <c r="K8553" s="120"/>
      <c r="L8553" s="121"/>
      <c r="M8553" s="120"/>
      <c r="N8553" s="121"/>
      <c r="O8553" s="120"/>
      <c r="P8553" s="121"/>
      <c r="Q8553" s="120"/>
      <c r="R8553" s="121"/>
      <c r="S8553" s="120"/>
      <c r="T8553" s="121"/>
      <c r="U8553" s="120"/>
      <c r="V8553" s="123"/>
      <c r="W8553" s="125"/>
      <c r="X8553" s="142" t="s">
        <v>24785</v>
      </c>
      <c r="Y8553" s="143"/>
      <c r="Z8553" s="143"/>
      <c r="AA8553" s="143"/>
      <c r="AB8553" s="144"/>
      <c r="AC8553" s="16" t="s">
        <v>21</v>
      </c>
      <c r="AD8553" s="17" t="s">
        <v>24751</v>
      </c>
      <c r="AE8553" s="145" t="s">
        <v>24786</v>
      </c>
      <c r="AF8553" s="146"/>
      <c r="AG8553" s="146"/>
      <c r="AH8553" s="146"/>
      <c r="AI8553" s="147"/>
      <c r="AJ8553" s="148"/>
      <c r="AK8553" s="143"/>
      <c r="AL8553" s="144"/>
      <c r="AM8553" s="22"/>
      <c r="AN8553" s="149"/>
      <c r="AO8553" s="144"/>
      <c r="AP8553" s="148"/>
      <c r="AQ8553" s="144"/>
      <c r="AR8553" s="120"/>
      <c r="AS8553" s="121"/>
      <c r="AT8553" s="120"/>
      <c r="AU8553" s="121"/>
      <c r="AV8553" s="120"/>
      <c r="AW8553" s="121"/>
      <c r="AX8553" s="120"/>
      <c r="AY8553" s="121"/>
      <c r="AZ8553" s="138"/>
    </row>
    <row r="8554" spans="1:52" ht="17.100000000000001" customHeight="1" thickTop="1">
      <c r="A8554" s="109" t="s">
        <v>24327</v>
      </c>
      <c r="B8554" s="28">
        <v>46135</v>
      </c>
      <c r="C8554" s="25">
        <v>2024</v>
      </c>
      <c r="D8554" s="13" t="s">
        <v>24505</v>
      </c>
      <c r="E8554" s="111"/>
      <c r="F8554" s="113" t="s">
        <v>24506</v>
      </c>
      <c r="G8554" s="114"/>
      <c r="H8554" s="115"/>
      <c r="I8554" s="24"/>
      <c r="J8554" s="116">
        <v>4</v>
      </c>
      <c r="K8554" s="118">
        <v>261000</v>
      </c>
      <c r="L8554" s="119"/>
      <c r="M8554" s="118">
        <f t="shared" ref="M8554" si="12998">K8554*0.1</f>
        <v>26100</v>
      </c>
      <c r="N8554" s="119"/>
      <c r="O8554" s="118">
        <v>0</v>
      </c>
      <c r="P8554" s="119"/>
      <c r="Q8554" s="118">
        <v>8060</v>
      </c>
      <c r="R8554" s="119"/>
      <c r="S8554" s="118">
        <v>22000</v>
      </c>
      <c r="T8554" s="119"/>
      <c r="U8554" s="118">
        <f t="shared" ref="U8554" si="12999">SUM(K8554:T8555)</f>
        <v>317160</v>
      </c>
      <c r="V8554" s="122"/>
      <c r="W8554" s="124"/>
      <c r="X8554" s="126" t="s">
        <v>9706</v>
      </c>
      <c r="Y8554" s="127"/>
      <c r="Z8554" s="127"/>
      <c r="AA8554" s="127"/>
      <c r="AB8554" s="128"/>
      <c r="AC8554" s="15" t="s">
        <v>20</v>
      </c>
      <c r="AD8554" s="129" t="s">
        <v>24440</v>
      </c>
      <c r="AE8554" s="130"/>
      <c r="AF8554" s="130"/>
      <c r="AG8554" s="130"/>
      <c r="AH8554" s="130"/>
      <c r="AI8554" s="131"/>
      <c r="AJ8554" s="132"/>
      <c r="AK8554" s="127"/>
      <c r="AL8554" s="128"/>
      <c r="AM8554" s="21"/>
      <c r="AN8554" s="133"/>
      <c r="AO8554" s="134"/>
      <c r="AP8554" s="135"/>
      <c r="AQ8554" s="136"/>
      <c r="AR8554" s="118"/>
      <c r="AS8554" s="119"/>
      <c r="AT8554" s="118">
        <f t="shared" ref="AT8554" si="13000">AR8554*0.1</f>
        <v>0</v>
      </c>
      <c r="AU8554" s="119"/>
      <c r="AV8554" s="118"/>
      <c r="AW8554" s="119"/>
      <c r="AX8554" s="118">
        <f t="shared" ref="AX8554" si="13001">SUM(AR8554:AW8554)</f>
        <v>0</v>
      </c>
      <c r="AY8554" s="119"/>
      <c r="AZ8554" s="137"/>
    </row>
    <row r="8555" spans="1:52" ht="17.100000000000001" customHeight="1" thickBot="1">
      <c r="A8555" s="110"/>
      <c r="B8555" s="27" t="s">
        <v>24304</v>
      </c>
      <c r="C8555" s="27">
        <v>75286</v>
      </c>
      <c r="D8555" s="14" t="s">
        <v>24473</v>
      </c>
      <c r="E8555" s="112"/>
      <c r="F8555" s="139" t="s">
        <v>24366</v>
      </c>
      <c r="G8555" s="140"/>
      <c r="H8555" s="141"/>
      <c r="I8555" s="26">
        <v>36331</v>
      </c>
      <c r="J8555" s="117"/>
      <c r="K8555" s="120"/>
      <c r="L8555" s="121"/>
      <c r="M8555" s="120"/>
      <c r="N8555" s="121"/>
      <c r="O8555" s="120"/>
      <c r="P8555" s="121"/>
      <c r="Q8555" s="120"/>
      <c r="R8555" s="121"/>
      <c r="S8555" s="120"/>
      <c r="T8555" s="121"/>
      <c r="U8555" s="120"/>
      <c r="V8555" s="123"/>
      <c r="W8555" s="125"/>
      <c r="X8555" s="142" t="s">
        <v>2482</v>
      </c>
      <c r="Y8555" s="143"/>
      <c r="Z8555" s="143"/>
      <c r="AA8555" s="143"/>
      <c r="AB8555" s="144"/>
      <c r="AC8555" s="16" t="s">
        <v>21</v>
      </c>
      <c r="AD8555" s="17" t="s">
        <v>2009</v>
      </c>
      <c r="AE8555" s="145" t="s">
        <v>5140</v>
      </c>
      <c r="AF8555" s="146"/>
      <c r="AG8555" s="146"/>
      <c r="AH8555" s="146"/>
      <c r="AI8555" s="147"/>
      <c r="AJ8555" s="148"/>
      <c r="AK8555" s="143"/>
      <c r="AL8555" s="144"/>
      <c r="AM8555" s="22"/>
      <c r="AN8555" s="149"/>
      <c r="AO8555" s="144"/>
      <c r="AP8555" s="148"/>
      <c r="AQ8555" s="144"/>
      <c r="AR8555" s="120"/>
      <c r="AS8555" s="121"/>
      <c r="AT8555" s="120"/>
      <c r="AU8555" s="121"/>
      <c r="AV8555" s="120"/>
      <c r="AW8555" s="121"/>
      <c r="AX8555" s="120"/>
      <c r="AY8555" s="121"/>
      <c r="AZ8555" s="138"/>
    </row>
    <row r="8556" spans="1:52" ht="17.100000000000001" customHeight="1" thickTop="1">
      <c r="A8556" s="109" t="s">
        <v>24328</v>
      </c>
      <c r="B8556" s="28">
        <v>46135</v>
      </c>
      <c r="C8556" s="25">
        <v>2024</v>
      </c>
      <c r="D8556" s="13" t="s">
        <v>24507</v>
      </c>
      <c r="E8556" s="111"/>
      <c r="F8556" s="113" t="s">
        <v>24508</v>
      </c>
      <c r="G8556" s="114"/>
      <c r="H8556" s="115"/>
      <c r="I8556" s="24"/>
      <c r="J8556" s="150" t="s">
        <v>24509</v>
      </c>
      <c r="K8556" s="118">
        <v>228000</v>
      </c>
      <c r="L8556" s="119"/>
      <c r="M8556" s="118">
        <f t="shared" ref="M8556" si="13002">K8556*0.1</f>
        <v>22800</v>
      </c>
      <c r="N8556" s="119"/>
      <c r="O8556" s="118">
        <v>0</v>
      </c>
      <c r="P8556" s="119"/>
      <c r="Q8556" s="118">
        <v>10830</v>
      </c>
      <c r="R8556" s="119"/>
      <c r="S8556" s="118">
        <v>22000</v>
      </c>
      <c r="T8556" s="119"/>
      <c r="U8556" s="118">
        <f t="shared" ref="U8556" si="13003">SUM(K8556:T8557)</f>
        <v>283630</v>
      </c>
      <c r="V8556" s="122"/>
      <c r="W8556" s="124"/>
      <c r="X8556" s="126" t="s">
        <v>24756</v>
      </c>
      <c r="Y8556" s="127"/>
      <c r="Z8556" s="127"/>
      <c r="AA8556" s="127"/>
      <c r="AB8556" s="128"/>
      <c r="AC8556" s="15" t="s">
        <v>20</v>
      </c>
      <c r="AD8556" s="129" t="s">
        <v>25164</v>
      </c>
      <c r="AE8556" s="130"/>
      <c r="AF8556" s="130"/>
      <c r="AG8556" s="130"/>
      <c r="AH8556" s="130"/>
      <c r="AI8556" s="131"/>
      <c r="AJ8556" s="132"/>
      <c r="AK8556" s="127"/>
      <c r="AL8556" s="128"/>
      <c r="AM8556" s="21"/>
      <c r="AN8556" s="133">
        <v>46141</v>
      </c>
      <c r="AO8556" s="134"/>
      <c r="AP8556" s="135">
        <v>1015</v>
      </c>
      <c r="AQ8556" s="136"/>
      <c r="AR8556" s="118">
        <v>280000</v>
      </c>
      <c r="AS8556" s="119"/>
      <c r="AT8556" s="118">
        <f t="shared" ref="AT8556" si="13004">AR8556*0.1</f>
        <v>28000</v>
      </c>
      <c r="AU8556" s="119"/>
      <c r="AV8556" s="118">
        <v>10830</v>
      </c>
      <c r="AW8556" s="119"/>
      <c r="AX8556" s="118">
        <f t="shared" ref="AX8556" si="13005">SUM(AR8556:AW8556)</f>
        <v>318830</v>
      </c>
      <c r="AY8556" s="119"/>
      <c r="AZ8556" s="137">
        <v>46153</v>
      </c>
    </row>
    <row r="8557" spans="1:52" ht="17.100000000000001" customHeight="1" thickBot="1">
      <c r="A8557" s="110"/>
      <c r="B8557" s="27" t="s">
        <v>24304</v>
      </c>
      <c r="C8557" s="27">
        <v>90037</v>
      </c>
      <c r="D8557" s="14" t="s">
        <v>24435</v>
      </c>
      <c r="E8557" s="112"/>
      <c r="F8557" s="139" t="s">
        <v>24367</v>
      </c>
      <c r="G8557" s="140"/>
      <c r="H8557" s="141"/>
      <c r="I8557" s="26">
        <v>157450</v>
      </c>
      <c r="J8557" s="117"/>
      <c r="K8557" s="120"/>
      <c r="L8557" s="121"/>
      <c r="M8557" s="120"/>
      <c r="N8557" s="121"/>
      <c r="O8557" s="120"/>
      <c r="P8557" s="121"/>
      <c r="Q8557" s="120"/>
      <c r="R8557" s="121"/>
      <c r="S8557" s="120"/>
      <c r="T8557" s="121"/>
      <c r="U8557" s="120"/>
      <c r="V8557" s="123"/>
      <c r="W8557" s="125"/>
      <c r="X8557" s="142" t="s">
        <v>3007</v>
      </c>
      <c r="Y8557" s="143"/>
      <c r="Z8557" s="143"/>
      <c r="AA8557" s="143"/>
      <c r="AB8557" s="144"/>
      <c r="AC8557" s="16" t="s">
        <v>21</v>
      </c>
      <c r="AD8557" s="17" t="s">
        <v>24751</v>
      </c>
      <c r="AE8557" s="145" t="s">
        <v>25142</v>
      </c>
      <c r="AF8557" s="146"/>
      <c r="AG8557" s="146"/>
      <c r="AH8557" s="146"/>
      <c r="AI8557" s="147"/>
      <c r="AJ8557" s="148"/>
      <c r="AK8557" s="143"/>
      <c r="AL8557" s="144"/>
      <c r="AM8557" s="22"/>
      <c r="AN8557" s="149" t="s">
        <v>2794</v>
      </c>
      <c r="AO8557" s="144"/>
      <c r="AP8557" s="148">
        <v>5099</v>
      </c>
      <c r="AQ8557" s="144"/>
      <c r="AR8557" s="120"/>
      <c r="AS8557" s="121"/>
      <c r="AT8557" s="120"/>
      <c r="AU8557" s="121"/>
      <c r="AV8557" s="120"/>
      <c r="AW8557" s="121"/>
      <c r="AX8557" s="120"/>
      <c r="AY8557" s="121"/>
      <c r="AZ8557" s="138"/>
    </row>
    <row r="8558" spans="1:52" ht="17.100000000000001" customHeight="1" thickTop="1">
      <c r="A8558" s="109" t="s">
        <v>24329</v>
      </c>
      <c r="B8558" s="28">
        <v>46135</v>
      </c>
      <c r="C8558" s="25">
        <v>2024</v>
      </c>
      <c r="D8558" s="13" t="s">
        <v>24510</v>
      </c>
      <c r="E8558" s="111"/>
      <c r="F8558" s="113" t="s">
        <v>24511</v>
      </c>
      <c r="G8558" s="114"/>
      <c r="H8558" s="115"/>
      <c r="I8558" s="24"/>
      <c r="J8558" s="116">
        <v>4</v>
      </c>
      <c r="K8558" s="118">
        <v>576000</v>
      </c>
      <c r="L8558" s="119"/>
      <c r="M8558" s="118">
        <f t="shared" ref="M8558" si="13006">K8558*0.1</f>
        <v>57600</v>
      </c>
      <c r="N8558" s="119"/>
      <c r="O8558" s="118">
        <v>0</v>
      </c>
      <c r="P8558" s="119"/>
      <c r="Q8558" s="118">
        <v>11810</v>
      </c>
      <c r="R8558" s="119"/>
      <c r="S8558" s="118">
        <v>22000</v>
      </c>
      <c r="T8558" s="119"/>
      <c r="U8558" s="118">
        <f t="shared" ref="U8558" si="13007">SUM(K8558:T8559)</f>
        <v>667410</v>
      </c>
      <c r="V8558" s="122"/>
      <c r="W8558" s="124"/>
      <c r="X8558" s="126" t="s">
        <v>24783</v>
      </c>
      <c r="Y8558" s="127"/>
      <c r="Z8558" s="127"/>
      <c r="AA8558" s="127"/>
      <c r="AB8558" s="128"/>
      <c r="AC8558" s="15" t="s">
        <v>20</v>
      </c>
      <c r="AD8558" s="129"/>
      <c r="AE8558" s="130"/>
      <c r="AF8558" s="130"/>
      <c r="AG8558" s="130"/>
      <c r="AH8558" s="130"/>
      <c r="AI8558" s="131"/>
      <c r="AJ8558" s="132"/>
      <c r="AK8558" s="127"/>
      <c r="AL8558" s="128"/>
      <c r="AM8558" s="21"/>
      <c r="AN8558" s="133">
        <v>46155</v>
      </c>
      <c r="AO8558" s="134"/>
      <c r="AP8558" s="135">
        <v>1016</v>
      </c>
      <c r="AQ8558" s="136"/>
      <c r="AR8558" s="118">
        <v>580000</v>
      </c>
      <c r="AS8558" s="119"/>
      <c r="AT8558" s="118">
        <f t="shared" ref="AT8558" si="13008">AR8558*0.1</f>
        <v>58000</v>
      </c>
      <c r="AU8558" s="119"/>
      <c r="AV8558" s="118">
        <v>11810</v>
      </c>
      <c r="AW8558" s="119"/>
      <c r="AX8558" s="118">
        <f t="shared" ref="AX8558" si="13009">SUM(AR8558:AW8558)</f>
        <v>649810</v>
      </c>
      <c r="AY8558" s="119"/>
      <c r="AZ8558" s="137">
        <v>46160</v>
      </c>
    </row>
    <row r="8559" spans="1:52" ht="17.100000000000001" customHeight="1" thickBot="1">
      <c r="A8559" s="110"/>
      <c r="B8559" s="27" t="s">
        <v>24304</v>
      </c>
      <c r="C8559" s="27">
        <v>90105</v>
      </c>
      <c r="D8559" s="14" t="s">
        <v>24435</v>
      </c>
      <c r="E8559" s="112"/>
      <c r="F8559" s="139" t="s">
        <v>24368</v>
      </c>
      <c r="G8559" s="140"/>
      <c r="H8559" s="141"/>
      <c r="I8559" s="26">
        <v>81673</v>
      </c>
      <c r="J8559" s="117"/>
      <c r="K8559" s="120"/>
      <c r="L8559" s="121"/>
      <c r="M8559" s="120"/>
      <c r="N8559" s="121"/>
      <c r="O8559" s="120"/>
      <c r="P8559" s="121"/>
      <c r="Q8559" s="120"/>
      <c r="R8559" s="121"/>
      <c r="S8559" s="120"/>
      <c r="T8559" s="121"/>
      <c r="U8559" s="120"/>
      <c r="V8559" s="123"/>
      <c r="W8559" s="125"/>
      <c r="X8559" s="142" t="s">
        <v>24784</v>
      </c>
      <c r="Y8559" s="143"/>
      <c r="Z8559" s="143"/>
      <c r="AA8559" s="143"/>
      <c r="AB8559" s="144"/>
      <c r="AC8559" s="16" t="s">
        <v>21</v>
      </c>
      <c r="AD8559" s="17" t="s">
        <v>24751</v>
      </c>
      <c r="AE8559" s="145" t="s">
        <v>9186</v>
      </c>
      <c r="AF8559" s="146"/>
      <c r="AG8559" s="146"/>
      <c r="AH8559" s="146"/>
      <c r="AI8559" s="147"/>
      <c r="AJ8559" s="148" t="s">
        <v>24623</v>
      </c>
      <c r="AK8559" s="143"/>
      <c r="AL8559" s="144"/>
      <c r="AM8559" s="22"/>
      <c r="AN8559" s="149" t="s">
        <v>2794</v>
      </c>
      <c r="AO8559" s="144"/>
      <c r="AP8559" s="148">
        <v>6099</v>
      </c>
      <c r="AQ8559" s="144"/>
      <c r="AR8559" s="120"/>
      <c r="AS8559" s="121"/>
      <c r="AT8559" s="120"/>
      <c r="AU8559" s="121"/>
      <c r="AV8559" s="120"/>
      <c r="AW8559" s="121"/>
      <c r="AX8559" s="120"/>
      <c r="AY8559" s="121"/>
      <c r="AZ8559" s="138"/>
    </row>
    <row r="8560" spans="1:52" ht="17.100000000000001" customHeight="1" thickTop="1">
      <c r="A8560" s="109" t="s">
        <v>24330</v>
      </c>
      <c r="B8560" s="28">
        <v>46135</v>
      </c>
      <c r="C8560" s="25">
        <v>2024</v>
      </c>
      <c r="D8560" s="13" t="s">
        <v>24512</v>
      </c>
      <c r="E8560" s="111"/>
      <c r="F8560" s="113" t="s">
        <v>24513</v>
      </c>
      <c r="G8560" s="114"/>
      <c r="H8560" s="115"/>
      <c r="I8560" s="24"/>
      <c r="J8560" s="116">
        <v>4</v>
      </c>
      <c r="K8560" s="118">
        <v>396000</v>
      </c>
      <c r="L8560" s="119"/>
      <c r="M8560" s="118">
        <f t="shared" ref="M8560" si="13010">K8560*0.1</f>
        <v>39600</v>
      </c>
      <c r="N8560" s="119"/>
      <c r="O8560" s="118">
        <v>0</v>
      </c>
      <c r="P8560" s="119"/>
      <c r="Q8560" s="118">
        <v>9380</v>
      </c>
      <c r="R8560" s="119"/>
      <c r="S8560" s="118">
        <v>22000</v>
      </c>
      <c r="T8560" s="119"/>
      <c r="U8560" s="118">
        <f t="shared" ref="U8560" si="13011">SUM(K8560:T8561)</f>
        <v>466980</v>
      </c>
      <c r="V8560" s="122"/>
      <c r="W8560" s="124"/>
      <c r="X8560" s="126" t="s">
        <v>24788</v>
      </c>
      <c r="Y8560" s="127"/>
      <c r="Z8560" s="127"/>
      <c r="AA8560" s="127"/>
      <c r="AB8560" s="128"/>
      <c r="AC8560" s="15" t="s">
        <v>20</v>
      </c>
      <c r="AD8560" s="129"/>
      <c r="AE8560" s="130"/>
      <c r="AF8560" s="130"/>
      <c r="AG8560" s="130"/>
      <c r="AH8560" s="130"/>
      <c r="AI8560" s="131"/>
      <c r="AJ8560" s="132"/>
      <c r="AK8560" s="127"/>
      <c r="AL8560" s="128"/>
      <c r="AM8560" s="21"/>
      <c r="AN8560" s="133"/>
      <c r="AO8560" s="134"/>
      <c r="AP8560" s="135"/>
      <c r="AQ8560" s="136"/>
      <c r="AR8560" s="118"/>
      <c r="AS8560" s="119"/>
      <c r="AT8560" s="118">
        <f t="shared" ref="AT8560" si="13012">AR8560*0.1</f>
        <v>0</v>
      </c>
      <c r="AU8560" s="119"/>
      <c r="AV8560" s="118"/>
      <c r="AW8560" s="119"/>
      <c r="AX8560" s="118">
        <f t="shared" ref="AX8560" si="13013">SUM(AR8560:AW8560)</f>
        <v>0</v>
      </c>
      <c r="AY8560" s="119"/>
      <c r="AZ8560" s="137"/>
    </row>
    <row r="8561" spans="1:52" ht="17.100000000000001" customHeight="1" thickBot="1">
      <c r="A8561" s="110"/>
      <c r="B8561" s="27" t="s">
        <v>24304</v>
      </c>
      <c r="C8561" s="27">
        <v>90209</v>
      </c>
      <c r="D8561" s="14" t="s">
        <v>1720</v>
      </c>
      <c r="E8561" s="112"/>
      <c r="F8561" s="139" t="s">
        <v>24369</v>
      </c>
      <c r="G8561" s="140"/>
      <c r="H8561" s="141"/>
      <c r="I8561" s="26">
        <v>141310</v>
      </c>
      <c r="J8561" s="117"/>
      <c r="K8561" s="120"/>
      <c r="L8561" s="121"/>
      <c r="M8561" s="120"/>
      <c r="N8561" s="121"/>
      <c r="O8561" s="120"/>
      <c r="P8561" s="121"/>
      <c r="Q8561" s="120"/>
      <c r="R8561" s="121"/>
      <c r="S8561" s="120"/>
      <c r="T8561" s="121"/>
      <c r="U8561" s="120"/>
      <c r="V8561" s="123"/>
      <c r="W8561" s="125"/>
      <c r="X8561" s="142" t="s">
        <v>2729</v>
      </c>
      <c r="Y8561" s="143"/>
      <c r="Z8561" s="143"/>
      <c r="AA8561" s="143"/>
      <c r="AB8561" s="144"/>
      <c r="AC8561" s="16" t="s">
        <v>21</v>
      </c>
      <c r="AD8561" s="17" t="s">
        <v>24751</v>
      </c>
      <c r="AE8561" s="145" t="s">
        <v>4488</v>
      </c>
      <c r="AF8561" s="146"/>
      <c r="AG8561" s="146"/>
      <c r="AH8561" s="146"/>
      <c r="AI8561" s="147"/>
      <c r="AJ8561" s="148"/>
      <c r="AK8561" s="143"/>
      <c r="AL8561" s="144"/>
      <c r="AM8561" s="22"/>
      <c r="AN8561" s="149"/>
      <c r="AO8561" s="144"/>
      <c r="AP8561" s="148"/>
      <c r="AQ8561" s="144"/>
      <c r="AR8561" s="120"/>
      <c r="AS8561" s="121"/>
      <c r="AT8561" s="120"/>
      <c r="AU8561" s="121"/>
      <c r="AV8561" s="120"/>
      <c r="AW8561" s="121"/>
      <c r="AX8561" s="120"/>
      <c r="AY8561" s="121"/>
      <c r="AZ8561" s="138"/>
    </row>
    <row r="8562" spans="1:52" ht="17.100000000000001" customHeight="1" thickTop="1">
      <c r="A8562" s="109" t="s">
        <v>24331</v>
      </c>
      <c r="B8562" s="28">
        <v>46136</v>
      </c>
      <c r="C8562" s="25">
        <v>1416</v>
      </c>
      <c r="D8562" s="13" t="s">
        <v>24514</v>
      </c>
      <c r="E8562" s="111"/>
      <c r="F8562" s="113" t="s">
        <v>24371</v>
      </c>
      <c r="G8562" s="114"/>
      <c r="H8562" s="115"/>
      <c r="I8562" s="24" t="s">
        <v>24515</v>
      </c>
      <c r="J8562" s="116">
        <v>4</v>
      </c>
      <c r="K8562" s="118">
        <v>801000</v>
      </c>
      <c r="L8562" s="119"/>
      <c r="M8562" s="118">
        <f t="shared" ref="M8562" si="13014">K8562*0.1</f>
        <v>80100</v>
      </c>
      <c r="N8562" s="119"/>
      <c r="O8562" s="118">
        <v>39820</v>
      </c>
      <c r="P8562" s="119"/>
      <c r="Q8562" s="118">
        <v>11820</v>
      </c>
      <c r="R8562" s="119"/>
      <c r="S8562" s="118">
        <v>15400</v>
      </c>
      <c r="T8562" s="119"/>
      <c r="U8562" s="118">
        <f t="shared" ref="U8562" si="13015">SUM(K8562:T8563)</f>
        <v>948140</v>
      </c>
      <c r="V8562" s="122"/>
      <c r="W8562" s="124"/>
      <c r="X8562" s="126" t="s">
        <v>24760</v>
      </c>
      <c r="Y8562" s="127"/>
      <c r="Z8562" s="127"/>
      <c r="AA8562" s="127"/>
      <c r="AB8562" s="128"/>
      <c r="AC8562" s="15" t="s">
        <v>20</v>
      </c>
      <c r="AD8562" s="129" t="s">
        <v>24516</v>
      </c>
      <c r="AE8562" s="130"/>
      <c r="AF8562" s="130"/>
      <c r="AG8562" s="130"/>
      <c r="AH8562" s="130"/>
      <c r="AI8562" s="131"/>
      <c r="AJ8562" s="132"/>
      <c r="AK8562" s="127"/>
      <c r="AL8562" s="128"/>
      <c r="AM8562" s="21"/>
      <c r="AN8562" s="133">
        <v>46141</v>
      </c>
      <c r="AO8562" s="134"/>
      <c r="AP8562" s="135">
        <v>1015</v>
      </c>
      <c r="AQ8562" s="136"/>
      <c r="AR8562" s="118">
        <v>910000</v>
      </c>
      <c r="AS8562" s="119"/>
      <c r="AT8562" s="118">
        <f t="shared" ref="AT8562" si="13016">AR8562*0.1</f>
        <v>91000</v>
      </c>
      <c r="AU8562" s="119"/>
      <c r="AV8562" s="118">
        <v>11820</v>
      </c>
      <c r="AW8562" s="119"/>
      <c r="AX8562" s="118">
        <f t="shared" ref="AX8562" si="13017">SUM(AR8562:AW8562)</f>
        <v>1012820</v>
      </c>
      <c r="AY8562" s="119"/>
      <c r="AZ8562" s="137">
        <v>46153</v>
      </c>
    </row>
    <row r="8563" spans="1:52" ht="17.100000000000001" customHeight="1" thickBot="1">
      <c r="A8563" s="110"/>
      <c r="B8563" s="27" t="s">
        <v>24370</v>
      </c>
      <c r="C8563" s="27">
        <v>3023</v>
      </c>
      <c r="D8563" s="14" t="s">
        <v>24465</v>
      </c>
      <c r="E8563" s="112"/>
      <c r="F8563" s="139" t="s">
        <v>24372</v>
      </c>
      <c r="G8563" s="140"/>
      <c r="H8563" s="141"/>
      <c r="I8563" s="26">
        <v>66788</v>
      </c>
      <c r="J8563" s="117"/>
      <c r="K8563" s="120"/>
      <c r="L8563" s="121"/>
      <c r="M8563" s="120"/>
      <c r="N8563" s="121"/>
      <c r="O8563" s="120"/>
      <c r="P8563" s="121"/>
      <c r="Q8563" s="120"/>
      <c r="R8563" s="121"/>
      <c r="S8563" s="120"/>
      <c r="T8563" s="121"/>
      <c r="U8563" s="120"/>
      <c r="V8563" s="123"/>
      <c r="W8563" s="125"/>
      <c r="X8563" s="142" t="s">
        <v>24761</v>
      </c>
      <c r="Y8563" s="143"/>
      <c r="Z8563" s="143"/>
      <c r="AA8563" s="143"/>
      <c r="AB8563" s="144"/>
      <c r="AC8563" s="16" t="s">
        <v>21</v>
      </c>
      <c r="AD8563" s="17" t="s">
        <v>24751</v>
      </c>
      <c r="AE8563" s="145" t="s">
        <v>10730</v>
      </c>
      <c r="AF8563" s="146"/>
      <c r="AG8563" s="146"/>
      <c r="AH8563" s="146"/>
      <c r="AI8563" s="147"/>
      <c r="AJ8563" s="148"/>
      <c r="AK8563" s="143"/>
      <c r="AL8563" s="144"/>
      <c r="AM8563" s="22"/>
      <c r="AN8563" s="149" t="s">
        <v>2794</v>
      </c>
      <c r="AO8563" s="144"/>
      <c r="AP8563" s="148">
        <v>5140</v>
      </c>
      <c r="AQ8563" s="144"/>
      <c r="AR8563" s="120"/>
      <c r="AS8563" s="121"/>
      <c r="AT8563" s="120"/>
      <c r="AU8563" s="121"/>
      <c r="AV8563" s="120"/>
      <c r="AW8563" s="121"/>
      <c r="AX8563" s="120"/>
      <c r="AY8563" s="121"/>
      <c r="AZ8563" s="138"/>
    </row>
    <row r="8564" spans="1:52" ht="17.100000000000001" customHeight="1" thickTop="1">
      <c r="A8564" s="109" t="s">
        <v>24332</v>
      </c>
      <c r="B8564" s="28">
        <v>46136</v>
      </c>
      <c r="C8564" s="25">
        <v>1416</v>
      </c>
      <c r="D8564" s="13" t="s">
        <v>24517</v>
      </c>
      <c r="E8564" s="111"/>
      <c r="F8564" s="113" t="s">
        <v>24519</v>
      </c>
      <c r="G8564" s="114"/>
      <c r="H8564" s="115"/>
      <c r="I8564" s="24"/>
      <c r="J8564" s="116">
        <v>4.5</v>
      </c>
      <c r="K8564" s="118">
        <v>1261000</v>
      </c>
      <c r="L8564" s="119"/>
      <c r="M8564" s="118">
        <f t="shared" ref="M8564" si="13018">K8564*0.1</f>
        <v>126100</v>
      </c>
      <c r="N8564" s="119"/>
      <c r="O8564" s="118">
        <v>0</v>
      </c>
      <c r="P8564" s="119"/>
      <c r="Q8564" s="118">
        <v>9490</v>
      </c>
      <c r="R8564" s="119"/>
      <c r="S8564" s="118">
        <v>15400</v>
      </c>
      <c r="T8564" s="119"/>
      <c r="U8564" s="118">
        <f t="shared" ref="U8564" si="13019">SUM(K8564:T8565)</f>
        <v>1411990</v>
      </c>
      <c r="V8564" s="122"/>
      <c r="W8564" s="124"/>
      <c r="X8564" s="126" t="s">
        <v>25529</v>
      </c>
      <c r="Y8564" s="127"/>
      <c r="Z8564" s="127"/>
      <c r="AA8564" s="127"/>
      <c r="AB8564" s="128"/>
      <c r="AC8564" s="15" t="s">
        <v>20</v>
      </c>
      <c r="AD8564" s="129" t="s">
        <v>24475</v>
      </c>
      <c r="AE8564" s="130"/>
      <c r="AF8564" s="130"/>
      <c r="AG8564" s="130"/>
      <c r="AH8564" s="130"/>
      <c r="AI8564" s="131"/>
      <c r="AJ8564" s="132"/>
      <c r="AK8564" s="127"/>
      <c r="AL8564" s="128"/>
      <c r="AM8564" s="21"/>
      <c r="AN8564" s="133">
        <v>46141</v>
      </c>
      <c r="AO8564" s="134"/>
      <c r="AP8564" s="135">
        <v>1015</v>
      </c>
      <c r="AQ8564" s="136"/>
      <c r="AR8564" s="118">
        <v>1350000</v>
      </c>
      <c r="AS8564" s="119"/>
      <c r="AT8564" s="118">
        <f t="shared" ref="AT8564" si="13020">AR8564*0.1</f>
        <v>135000</v>
      </c>
      <c r="AU8564" s="119"/>
      <c r="AV8564" s="118">
        <v>9490</v>
      </c>
      <c r="AW8564" s="119"/>
      <c r="AX8564" s="118">
        <f t="shared" ref="AX8564" si="13021">SUM(AR8564:AW8564)</f>
        <v>1494490</v>
      </c>
      <c r="AY8564" s="119"/>
      <c r="AZ8564" s="137">
        <v>46156</v>
      </c>
    </row>
    <row r="8565" spans="1:52" ht="17.100000000000001" customHeight="1" thickBot="1">
      <c r="A8565" s="110"/>
      <c r="B8565" s="27" t="s">
        <v>24370</v>
      </c>
      <c r="C8565" s="27">
        <v>3148</v>
      </c>
      <c r="D8565" s="14" t="s">
        <v>24518</v>
      </c>
      <c r="E8565" s="112"/>
      <c r="F8565" s="139" t="s">
        <v>24373</v>
      </c>
      <c r="G8565" s="140"/>
      <c r="H8565" s="141"/>
      <c r="I8565" s="26">
        <v>29731</v>
      </c>
      <c r="J8565" s="117"/>
      <c r="K8565" s="120"/>
      <c r="L8565" s="121"/>
      <c r="M8565" s="120"/>
      <c r="N8565" s="121"/>
      <c r="O8565" s="120"/>
      <c r="P8565" s="121"/>
      <c r="Q8565" s="120"/>
      <c r="R8565" s="121"/>
      <c r="S8565" s="120"/>
      <c r="T8565" s="121"/>
      <c r="U8565" s="120"/>
      <c r="V8565" s="123"/>
      <c r="W8565" s="125"/>
      <c r="X8565" s="142" t="s">
        <v>25530</v>
      </c>
      <c r="Y8565" s="143"/>
      <c r="Z8565" s="143"/>
      <c r="AA8565" s="143"/>
      <c r="AB8565" s="144"/>
      <c r="AC8565" s="16" t="s">
        <v>21</v>
      </c>
      <c r="AD8565" s="17" t="s">
        <v>25528</v>
      </c>
      <c r="AE8565" s="145" t="s">
        <v>4488</v>
      </c>
      <c r="AF8565" s="146"/>
      <c r="AG8565" s="146"/>
      <c r="AH8565" s="146"/>
      <c r="AI8565" s="147"/>
      <c r="AJ8565" s="148"/>
      <c r="AK8565" s="143"/>
      <c r="AL8565" s="144"/>
      <c r="AM8565" s="22"/>
      <c r="AN8565" s="149" t="s">
        <v>25326</v>
      </c>
      <c r="AO8565" s="144"/>
      <c r="AP8565" s="148">
        <v>5091</v>
      </c>
      <c r="AQ8565" s="144"/>
      <c r="AR8565" s="120"/>
      <c r="AS8565" s="121"/>
      <c r="AT8565" s="120"/>
      <c r="AU8565" s="121"/>
      <c r="AV8565" s="120"/>
      <c r="AW8565" s="121"/>
      <c r="AX8565" s="120"/>
      <c r="AY8565" s="121"/>
      <c r="AZ8565" s="138"/>
    </row>
    <row r="8566" spans="1:52" ht="17.100000000000001" customHeight="1" thickTop="1">
      <c r="A8566" s="109" t="s">
        <v>24333</v>
      </c>
      <c r="B8566" s="28">
        <v>46136</v>
      </c>
      <c r="C8566" s="25">
        <v>1416</v>
      </c>
      <c r="D8566" s="13" t="s">
        <v>24520</v>
      </c>
      <c r="E8566" s="111"/>
      <c r="F8566" s="113" t="s">
        <v>24374</v>
      </c>
      <c r="G8566" s="114"/>
      <c r="H8566" s="115"/>
      <c r="I8566" s="24"/>
      <c r="J8566" s="116">
        <v>4</v>
      </c>
      <c r="K8566" s="118">
        <v>2152000</v>
      </c>
      <c r="L8566" s="119"/>
      <c r="M8566" s="118">
        <f t="shared" ref="M8566" si="13022">K8566*0.1</f>
        <v>215200</v>
      </c>
      <c r="N8566" s="119"/>
      <c r="O8566" s="118">
        <v>0</v>
      </c>
      <c r="P8566" s="119"/>
      <c r="Q8566" s="118">
        <v>15890</v>
      </c>
      <c r="R8566" s="119"/>
      <c r="S8566" s="118">
        <v>15400</v>
      </c>
      <c r="T8566" s="119"/>
      <c r="U8566" s="118">
        <f t="shared" ref="U8566" si="13023">SUM(K8566:T8567)</f>
        <v>2398490</v>
      </c>
      <c r="V8566" s="122"/>
      <c r="W8566" s="124"/>
      <c r="X8566" s="126" t="s">
        <v>24759</v>
      </c>
      <c r="Y8566" s="127"/>
      <c r="Z8566" s="127"/>
      <c r="AA8566" s="127"/>
      <c r="AB8566" s="128"/>
      <c r="AC8566" s="15" t="s">
        <v>20</v>
      </c>
      <c r="AD8566" s="129" t="s">
        <v>24475</v>
      </c>
      <c r="AE8566" s="130"/>
      <c r="AF8566" s="130"/>
      <c r="AG8566" s="130"/>
      <c r="AH8566" s="130"/>
      <c r="AI8566" s="131"/>
      <c r="AJ8566" s="132"/>
      <c r="AK8566" s="127"/>
      <c r="AL8566" s="128"/>
      <c r="AM8566" s="21"/>
      <c r="AN8566" s="133">
        <v>46141</v>
      </c>
      <c r="AO8566" s="134"/>
      <c r="AP8566" s="135">
        <v>1015</v>
      </c>
      <c r="AQ8566" s="136"/>
      <c r="AR8566" s="118">
        <v>2240000</v>
      </c>
      <c r="AS8566" s="119"/>
      <c r="AT8566" s="118">
        <f t="shared" ref="AT8566" si="13024">AR8566*0.1</f>
        <v>224000</v>
      </c>
      <c r="AU8566" s="119"/>
      <c r="AV8566" s="118">
        <v>15890</v>
      </c>
      <c r="AW8566" s="119"/>
      <c r="AX8566" s="118">
        <f t="shared" ref="AX8566" si="13025">SUM(AR8566:AW8566)</f>
        <v>2479890</v>
      </c>
      <c r="AY8566" s="119"/>
      <c r="AZ8566" s="137">
        <v>46153</v>
      </c>
    </row>
    <row r="8567" spans="1:52" ht="17.100000000000001" customHeight="1" thickBot="1">
      <c r="A8567" s="110"/>
      <c r="B8567" s="27" t="s">
        <v>24370</v>
      </c>
      <c r="C8567" s="27">
        <v>3150</v>
      </c>
      <c r="D8567" s="14" t="s">
        <v>24435</v>
      </c>
      <c r="E8567" s="112"/>
      <c r="F8567" s="139" t="s">
        <v>24375</v>
      </c>
      <c r="G8567" s="140"/>
      <c r="H8567" s="141"/>
      <c r="I8567" s="26">
        <v>37218</v>
      </c>
      <c r="J8567" s="117"/>
      <c r="K8567" s="120"/>
      <c r="L8567" s="121"/>
      <c r="M8567" s="120"/>
      <c r="N8567" s="121"/>
      <c r="O8567" s="120"/>
      <c r="P8567" s="121"/>
      <c r="Q8567" s="120"/>
      <c r="R8567" s="121"/>
      <c r="S8567" s="120"/>
      <c r="T8567" s="121"/>
      <c r="U8567" s="120"/>
      <c r="V8567" s="123"/>
      <c r="W8567" s="125"/>
      <c r="X8567" s="142" t="s">
        <v>2394</v>
      </c>
      <c r="Y8567" s="143"/>
      <c r="Z8567" s="143"/>
      <c r="AA8567" s="143"/>
      <c r="AB8567" s="144"/>
      <c r="AC8567" s="16" t="s">
        <v>21</v>
      </c>
      <c r="AD8567" s="17" t="s">
        <v>24751</v>
      </c>
      <c r="AE8567" s="145" t="s">
        <v>171</v>
      </c>
      <c r="AF8567" s="146"/>
      <c r="AG8567" s="146"/>
      <c r="AH8567" s="146"/>
      <c r="AI8567" s="147"/>
      <c r="AJ8567" s="148"/>
      <c r="AK8567" s="143"/>
      <c r="AL8567" s="144"/>
      <c r="AM8567" s="22"/>
      <c r="AN8567" s="149" t="s">
        <v>2794</v>
      </c>
      <c r="AO8567" s="144"/>
      <c r="AP8567" s="148">
        <v>5100</v>
      </c>
      <c r="AQ8567" s="144"/>
      <c r="AR8567" s="120"/>
      <c r="AS8567" s="121"/>
      <c r="AT8567" s="120"/>
      <c r="AU8567" s="121"/>
      <c r="AV8567" s="120"/>
      <c r="AW8567" s="121"/>
      <c r="AX8567" s="120"/>
      <c r="AY8567" s="121"/>
      <c r="AZ8567" s="138"/>
    </row>
    <row r="8568" spans="1:52" ht="17.100000000000001" customHeight="1" thickTop="1">
      <c r="A8568" s="109" t="s">
        <v>24334</v>
      </c>
      <c r="B8568" s="28">
        <v>46136</v>
      </c>
      <c r="C8568" s="25">
        <v>1416</v>
      </c>
      <c r="D8568" s="13" t="s">
        <v>24521</v>
      </c>
      <c r="E8568" s="111"/>
      <c r="F8568" s="113" t="s">
        <v>24376</v>
      </c>
      <c r="G8568" s="114"/>
      <c r="H8568" s="115"/>
      <c r="I8568" s="24"/>
      <c r="J8568" s="116">
        <v>4</v>
      </c>
      <c r="K8568" s="118">
        <v>1270000</v>
      </c>
      <c r="L8568" s="119"/>
      <c r="M8568" s="118">
        <f t="shared" ref="M8568" si="13026">K8568*0.1</f>
        <v>127000</v>
      </c>
      <c r="N8568" s="119"/>
      <c r="O8568" s="118">
        <v>0</v>
      </c>
      <c r="P8568" s="119"/>
      <c r="Q8568" s="118">
        <v>12710</v>
      </c>
      <c r="R8568" s="119"/>
      <c r="S8568" s="118">
        <v>15400</v>
      </c>
      <c r="T8568" s="119"/>
      <c r="U8568" s="118">
        <f t="shared" ref="U8568" si="13027">SUM(K8568:T8569)</f>
        <v>1425110</v>
      </c>
      <c r="V8568" s="122"/>
      <c r="W8568" s="124"/>
      <c r="X8568" s="126" t="s">
        <v>25140</v>
      </c>
      <c r="Y8568" s="127"/>
      <c r="Z8568" s="127"/>
      <c r="AA8568" s="127"/>
      <c r="AB8568" s="128"/>
      <c r="AC8568" s="15" t="s">
        <v>20</v>
      </c>
      <c r="AD8568" s="129" t="s">
        <v>24451</v>
      </c>
      <c r="AE8568" s="130"/>
      <c r="AF8568" s="130"/>
      <c r="AG8568" s="130"/>
      <c r="AH8568" s="130"/>
      <c r="AI8568" s="131"/>
      <c r="AJ8568" s="132"/>
      <c r="AK8568" s="127"/>
      <c r="AL8568" s="128"/>
      <c r="AM8568" s="21"/>
      <c r="AN8568" s="133">
        <v>46141</v>
      </c>
      <c r="AO8568" s="134"/>
      <c r="AP8568" s="135">
        <v>1015</v>
      </c>
      <c r="AQ8568" s="136"/>
      <c r="AR8568" s="118">
        <v>1325000</v>
      </c>
      <c r="AS8568" s="119"/>
      <c r="AT8568" s="118">
        <f t="shared" ref="AT8568" si="13028">AR8568*0.1</f>
        <v>132500</v>
      </c>
      <c r="AU8568" s="119"/>
      <c r="AV8568" s="118">
        <v>12710</v>
      </c>
      <c r="AW8568" s="119"/>
      <c r="AX8568" s="118">
        <f t="shared" ref="AX8568" si="13029">SUM(AR8568:AW8568)</f>
        <v>1470210</v>
      </c>
      <c r="AY8568" s="119"/>
      <c r="AZ8568" s="137">
        <v>46153</v>
      </c>
    </row>
    <row r="8569" spans="1:52" ht="17.100000000000001" customHeight="1" thickBot="1">
      <c r="A8569" s="110"/>
      <c r="B8569" s="27" t="s">
        <v>24370</v>
      </c>
      <c r="C8569" s="27">
        <v>3221</v>
      </c>
      <c r="D8569" s="14" t="s">
        <v>24465</v>
      </c>
      <c r="E8569" s="112"/>
      <c r="F8569" s="139" t="s">
        <v>24377</v>
      </c>
      <c r="G8569" s="140"/>
      <c r="H8569" s="141"/>
      <c r="I8569" s="26">
        <v>122170</v>
      </c>
      <c r="J8569" s="117"/>
      <c r="K8569" s="120"/>
      <c r="L8569" s="121"/>
      <c r="M8569" s="120"/>
      <c r="N8569" s="121"/>
      <c r="O8569" s="120"/>
      <c r="P8569" s="121"/>
      <c r="Q8569" s="120"/>
      <c r="R8569" s="121"/>
      <c r="S8569" s="120"/>
      <c r="T8569" s="121"/>
      <c r="U8569" s="120"/>
      <c r="V8569" s="123"/>
      <c r="W8569" s="125"/>
      <c r="X8569" s="142" t="s">
        <v>3334</v>
      </c>
      <c r="Y8569" s="143"/>
      <c r="Z8569" s="143"/>
      <c r="AA8569" s="143"/>
      <c r="AB8569" s="144"/>
      <c r="AC8569" s="16" t="s">
        <v>21</v>
      </c>
      <c r="AD8569" s="17" t="s">
        <v>2009</v>
      </c>
      <c r="AE8569" s="145" t="s">
        <v>1742</v>
      </c>
      <c r="AF8569" s="146"/>
      <c r="AG8569" s="146"/>
      <c r="AH8569" s="146"/>
      <c r="AI8569" s="147"/>
      <c r="AJ8569" s="148"/>
      <c r="AK8569" s="143"/>
      <c r="AL8569" s="144"/>
      <c r="AM8569" s="22"/>
      <c r="AN8569" s="149" t="s">
        <v>2794</v>
      </c>
      <c r="AO8569" s="144"/>
      <c r="AP8569" s="148">
        <v>5087</v>
      </c>
      <c r="AQ8569" s="144"/>
      <c r="AR8569" s="120"/>
      <c r="AS8569" s="121"/>
      <c r="AT8569" s="120"/>
      <c r="AU8569" s="121"/>
      <c r="AV8569" s="120"/>
      <c r="AW8569" s="121"/>
      <c r="AX8569" s="120"/>
      <c r="AY8569" s="121"/>
      <c r="AZ8569" s="138"/>
    </row>
    <row r="8570" spans="1:52" ht="17.100000000000001" customHeight="1" thickTop="1">
      <c r="A8570" s="109" t="s">
        <v>24335</v>
      </c>
      <c r="B8570" s="28">
        <v>46136</v>
      </c>
      <c r="C8570" s="25">
        <v>1416</v>
      </c>
      <c r="D8570" s="13" t="s">
        <v>24507</v>
      </c>
      <c r="E8570" s="111"/>
      <c r="F8570" s="113" t="s">
        <v>24378</v>
      </c>
      <c r="G8570" s="114"/>
      <c r="H8570" s="115"/>
      <c r="I8570" s="24" t="s">
        <v>24522</v>
      </c>
      <c r="J8570" s="116">
        <v>4</v>
      </c>
      <c r="K8570" s="118">
        <v>491000</v>
      </c>
      <c r="L8570" s="119"/>
      <c r="M8570" s="118">
        <f t="shared" ref="M8570" si="13030">K8570*0.1</f>
        <v>49100</v>
      </c>
      <c r="N8570" s="119"/>
      <c r="O8570" s="118">
        <v>0</v>
      </c>
      <c r="P8570" s="119"/>
      <c r="Q8570" s="118">
        <v>9770</v>
      </c>
      <c r="R8570" s="119"/>
      <c r="S8570" s="118">
        <v>15400</v>
      </c>
      <c r="T8570" s="119"/>
      <c r="U8570" s="118">
        <f t="shared" ref="U8570" si="13031">SUM(K8570:T8571)</f>
        <v>565270</v>
      </c>
      <c r="V8570" s="122"/>
      <c r="W8570" s="124"/>
      <c r="X8570" s="126" t="s">
        <v>25527</v>
      </c>
      <c r="Y8570" s="127"/>
      <c r="Z8570" s="127"/>
      <c r="AA8570" s="127"/>
      <c r="AB8570" s="128"/>
      <c r="AC8570" s="15" t="s">
        <v>20</v>
      </c>
      <c r="AD8570" s="129"/>
      <c r="AE8570" s="130"/>
      <c r="AF8570" s="130"/>
      <c r="AG8570" s="130"/>
      <c r="AH8570" s="130"/>
      <c r="AI8570" s="131"/>
      <c r="AJ8570" s="132"/>
      <c r="AK8570" s="127"/>
      <c r="AL8570" s="128"/>
      <c r="AM8570" s="21"/>
      <c r="AN8570" s="133">
        <v>46141</v>
      </c>
      <c r="AO8570" s="134"/>
      <c r="AP8570" s="135">
        <v>1015</v>
      </c>
      <c r="AQ8570" s="136"/>
      <c r="AR8570" s="118">
        <v>550000</v>
      </c>
      <c r="AS8570" s="119"/>
      <c r="AT8570" s="118">
        <f t="shared" ref="AT8570" si="13032">AR8570*0.1</f>
        <v>55000</v>
      </c>
      <c r="AU8570" s="119"/>
      <c r="AV8570" s="118">
        <v>9770</v>
      </c>
      <c r="AW8570" s="119"/>
      <c r="AX8570" s="118">
        <f t="shared" ref="AX8570" si="13033">SUM(AR8570:AW8570)</f>
        <v>614770</v>
      </c>
      <c r="AY8570" s="119"/>
      <c r="AZ8570" s="137">
        <v>46156</v>
      </c>
    </row>
    <row r="8571" spans="1:52" ht="17.100000000000001" customHeight="1" thickBot="1">
      <c r="A8571" s="110"/>
      <c r="B8571" s="27" t="s">
        <v>24370</v>
      </c>
      <c r="C8571" s="27">
        <v>7005</v>
      </c>
      <c r="D8571" s="14" t="s">
        <v>24473</v>
      </c>
      <c r="E8571" s="112"/>
      <c r="F8571" s="139" t="s">
        <v>24379</v>
      </c>
      <c r="G8571" s="140"/>
      <c r="H8571" s="141"/>
      <c r="I8571" s="26">
        <v>37969</v>
      </c>
      <c r="J8571" s="117"/>
      <c r="K8571" s="120"/>
      <c r="L8571" s="121"/>
      <c r="M8571" s="120"/>
      <c r="N8571" s="121"/>
      <c r="O8571" s="120"/>
      <c r="P8571" s="121"/>
      <c r="Q8571" s="120"/>
      <c r="R8571" s="121"/>
      <c r="S8571" s="120"/>
      <c r="T8571" s="121"/>
      <c r="U8571" s="120"/>
      <c r="V8571" s="123"/>
      <c r="W8571" s="125"/>
      <c r="X8571" s="142" t="s">
        <v>7966</v>
      </c>
      <c r="Y8571" s="143"/>
      <c r="Z8571" s="143"/>
      <c r="AA8571" s="143"/>
      <c r="AB8571" s="144"/>
      <c r="AC8571" s="16" t="s">
        <v>21</v>
      </c>
      <c r="AD8571" s="17" t="s">
        <v>25528</v>
      </c>
      <c r="AE8571" s="145" t="s">
        <v>7841</v>
      </c>
      <c r="AF8571" s="146"/>
      <c r="AG8571" s="146"/>
      <c r="AH8571" s="146"/>
      <c r="AI8571" s="147"/>
      <c r="AJ8571" s="148"/>
      <c r="AK8571" s="143"/>
      <c r="AL8571" s="144"/>
      <c r="AM8571" s="22"/>
      <c r="AN8571" s="149" t="s">
        <v>2794</v>
      </c>
      <c r="AO8571" s="144"/>
      <c r="AP8571" s="148">
        <v>5081</v>
      </c>
      <c r="AQ8571" s="144"/>
      <c r="AR8571" s="120"/>
      <c r="AS8571" s="121"/>
      <c r="AT8571" s="120"/>
      <c r="AU8571" s="121"/>
      <c r="AV8571" s="120"/>
      <c r="AW8571" s="121"/>
      <c r="AX8571" s="120"/>
      <c r="AY8571" s="121"/>
      <c r="AZ8571" s="138"/>
    </row>
    <row r="8572" spans="1:52" ht="17.100000000000001" customHeight="1" thickTop="1">
      <c r="A8572" s="109" t="s">
        <v>24336</v>
      </c>
      <c r="B8572" s="28">
        <v>46136</v>
      </c>
      <c r="C8572" s="25">
        <v>1416</v>
      </c>
      <c r="D8572" s="13" t="s">
        <v>24523</v>
      </c>
      <c r="E8572" s="111"/>
      <c r="F8572" s="113" t="s">
        <v>24380</v>
      </c>
      <c r="G8572" s="114"/>
      <c r="H8572" s="115"/>
      <c r="I8572" s="24" t="s">
        <v>24524</v>
      </c>
      <c r="J8572" s="116">
        <v>4</v>
      </c>
      <c r="K8572" s="118">
        <v>481000</v>
      </c>
      <c r="L8572" s="119"/>
      <c r="M8572" s="118">
        <f t="shared" ref="M8572" si="13034">K8572*0.1</f>
        <v>48100</v>
      </c>
      <c r="N8572" s="119"/>
      <c r="O8572" s="118">
        <v>0</v>
      </c>
      <c r="P8572" s="119"/>
      <c r="Q8572" s="118">
        <v>7140</v>
      </c>
      <c r="R8572" s="119"/>
      <c r="S8572" s="118">
        <v>15400</v>
      </c>
      <c r="T8572" s="119"/>
      <c r="U8572" s="118">
        <f t="shared" ref="U8572" si="13035">SUM(K8572:T8573)</f>
        <v>551640</v>
      </c>
      <c r="V8572" s="122"/>
      <c r="W8572" s="124"/>
      <c r="X8572" s="126" t="s">
        <v>25397</v>
      </c>
      <c r="Y8572" s="127"/>
      <c r="Z8572" s="127"/>
      <c r="AA8572" s="127"/>
      <c r="AB8572" s="128"/>
      <c r="AC8572" s="15" t="s">
        <v>20</v>
      </c>
      <c r="AD8572" s="129"/>
      <c r="AE8572" s="130"/>
      <c r="AF8572" s="130"/>
      <c r="AG8572" s="130"/>
      <c r="AH8572" s="130"/>
      <c r="AI8572" s="131"/>
      <c r="AJ8572" s="132"/>
      <c r="AK8572" s="127"/>
      <c r="AL8572" s="128"/>
      <c r="AM8572" s="21"/>
      <c r="AN8572" s="133">
        <v>46141</v>
      </c>
      <c r="AO8572" s="134"/>
      <c r="AP8572" s="135">
        <v>1015</v>
      </c>
      <c r="AQ8572" s="136"/>
      <c r="AR8572" s="118">
        <v>515000</v>
      </c>
      <c r="AS8572" s="119"/>
      <c r="AT8572" s="118">
        <f t="shared" ref="AT8572" si="13036">AR8572*0.1</f>
        <v>51500</v>
      </c>
      <c r="AU8572" s="119"/>
      <c r="AV8572" s="118">
        <v>7140</v>
      </c>
      <c r="AW8572" s="119"/>
      <c r="AX8572" s="118">
        <f t="shared" ref="AX8572" si="13037">SUM(AR8572:AW8572)</f>
        <v>573640</v>
      </c>
      <c r="AY8572" s="119"/>
      <c r="AZ8572" s="137">
        <v>46156</v>
      </c>
    </row>
    <row r="8573" spans="1:52" ht="17.100000000000001" customHeight="1" thickBot="1">
      <c r="A8573" s="110"/>
      <c r="B8573" s="27" t="s">
        <v>24370</v>
      </c>
      <c r="C8573" s="27">
        <v>7009</v>
      </c>
      <c r="D8573" s="14" t="s">
        <v>24465</v>
      </c>
      <c r="E8573" s="112"/>
      <c r="F8573" s="139" t="s">
        <v>24381</v>
      </c>
      <c r="G8573" s="140"/>
      <c r="H8573" s="141"/>
      <c r="I8573" s="26">
        <v>31010</v>
      </c>
      <c r="J8573" s="117"/>
      <c r="K8573" s="120"/>
      <c r="L8573" s="121"/>
      <c r="M8573" s="120"/>
      <c r="N8573" s="121"/>
      <c r="O8573" s="120"/>
      <c r="P8573" s="121"/>
      <c r="Q8573" s="120"/>
      <c r="R8573" s="121"/>
      <c r="S8573" s="120"/>
      <c r="T8573" s="121"/>
      <c r="U8573" s="120"/>
      <c r="V8573" s="123"/>
      <c r="W8573" s="125"/>
      <c r="X8573" s="142" t="s">
        <v>7966</v>
      </c>
      <c r="Y8573" s="143"/>
      <c r="Z8573" s="143"/>
      <c r="AA8573" s="143"/>
      <c r="AB8573" s="144"/>
      <c r="AC8573" s="16" t="s">
        <v>21</v>
      </c>
      <c r="AD8573" s="17" t="s">
        <v>1847</v>
      </c>
      <c r="AE8573" s="145" t="s">
        <v>17056</v>
      </c>
      <c r="AF8573" s="146"/>
      <c r="AG8573" s="146"/>
      <c r="AH8573" s="146"/>
      <c r="AI8573" s="147"/>
      <c r="AJ8573" s="148"/>
      <c r="AK8573" s="143"/>
      <c r="AL8573" s="144"/>
      <c r="AM8573" s="22"/>
      <c r="AN8573" s="149" t="s">
        <v>2794</v>
      </c>
      <c r="AO8573" s="144"/>
      <c r="AP8573" s="148">
        <v>5131</v>
      </c>
      <c r="AQ8573" s="144"/>
      <c r="AR8573" s="120"/>
      <c r="AS8573" s="121"/>
      <c r="AT8573" s="120"/>
      <c r="AU8573" s="121"/>
      <c r="AV8573" s="120"/>
      <c r="AW8573" s="121"/>
      <c r="AX8573" s="120"/>
      <c r="AY8573" s="121"/>
      <c r="AZ8573" s="138"/>
    </row>
    <row r="8574" spans="1:52" ht="17.100000000000001" customHeight="1" thickTop="1">
      <c r="A8574" s="109" t="s">
        <v>24337</v>
      </c>
      <c r="B8574" s="28">
        <v>46136</v>
      </c>
      <c r="C8574" s="25">
        <v>1416</v>
      </c>
      <c r="D8574" s="13" t="s">
        <v>24438</v>
      </c>
      <c r="E8574" s="111"/>
      <c r="F8574" s="113" t="s">
        <v>24382</v>
      </c>
      <c r="G8574" s="114"/>
      <c r="H8574" s="115"/>
      <c r="I8574" s="24"/>
      <c r="J8574" s="116">
        <v>4</v>
      </c>
      <c r="K8574" s="118">
        <v>462000</v>
      </c>
      <c r="L8574" s="119"/>
      <c r="M8574" s="118">
        <f t="shared" ref="M8574" si="13038">K8574*0.1</f>
        <v>46200</v>
      </c>
      <c r="N8574" s="119"/>
      <c r="O8574" s="118">
        <v>0</v>
      </c>
      <c r="P8574" s="119"/>
      <c r="Q8574" s="118">
        <v>7510</v>
      </c>
      <c r="R8574" s="119"/>
      <c r="S8574" s="118">
        <v>15400</v>
      </c>
      <c r="T8574" s="119"/>
      <c r="U8574" s="118">
        <f t="shared" ref="U8574" si="13039">SUM(K8574:T8575)</f>
        <v>531110</v>
      </c>
      <c r="V8574" s="122"/>
      <c r="W8574" s="124"/>
      <c r="X8574" s="126" t="s">
        <v>25401</v>
      </c>
      <c r="Y8574" s="127"/>
      <c r="Z8574" s="127"/>
      <c r="AA8574" s="127"/>
      <c r="AB8574" s="128"/>
      <c r="AC8574" s="15" t="s">
        <v>20</v>
      </c>
      <c r="AD8574" s="129"/>
      <c r="AE8574" s="130"/>
      <c r="AF8574" s="130"/>
      <c r="AG8574" s="130"/>
      <c r="AH8574" s="130"/>
      <c r="AI8574" s="131"/>
      <c r="AJ8574" s="132"/>
      <c r="AK8574" s="127"/>
      <c r="AL8574" s="128"/>
      <c r="AM8574" s="21"/>
      <c r="AN8574" s="133">
        <v>46155</v>
      </c>
      <c r="AO8574" s="134"/>
      <c r="AP8574" s="135">
        <v>1016</v>
      </c>
      <c r="AQ8574" s="136"/>
      <c r="AR8574" s="118">
        <v>550000</v>
      </c>
      <c r="AS8574" s="119"/>
      <c r="AT8574" s="118">
        <f t="shared" ref="AT8574" si="13040">AR8574*0.1</f>
        <v>55000</v>
      </c>
      <c r="AU8574" s="119"/>
      <c r="AV8574" s="118">
        <v>7510</v>
      </c>
      <c r="AW8574" s="119"/>
      <c r="AX8574" s="118">
        <f t="shared" ref="AX8574" si="13041">SUM(AR8574:AW8574)</f>
        <v>612510</v>
      </c>
      <c r="AY8574" s="119"/>
      <c r="AZ8574" s="137">
        <v>46161</v>
      </c>
    </row>
    <row r="8575" spans="1:52" ht="17.100000000000001" customHeight="1" thickBot="1">
      <c r="A8575" s="110"/>
      <c r="B8575" s="27" t="s">
        <v>24370</v>
      </c>
      <c r="C8575" s="27">
        <v>7143</v>
      </c>
      <c r="D8575" s="14" t="s">
        <v>1720</v>
      </c>
      <c r="E8575" s="112"/>
      <c r="F8575" s="139" t="s">
        <v>24383</v>
      </c>
      <c r="G8575" s="140"/>
      <c r="H8575" s="141"/>
      <c r="I8575" s="26">
        <v>52690</v>
      </c>
      <c r="J8575" s="117"/>
      <c r="K8575" s="120"/>
      <c r="L8575" s="121"/>
      <c r="M8575" s="120"/>
      <c r="N8575" s="121"/>
      <c r="O8575" s="120"/>
      <c r="P8575" s="121"/>
      <c r="Q8575" s="120"/>
      <c r="R8575" s="121"/>
      <c r="S8575" s="120"/>
      <c r="T8575" s="121"/>
      <c r="U8575" s="120"/>
      <c r="V8575" s="123"/>
      <c r="W8575" s="125"/>
      <c r="X8575" s="142" t="s">
        <v>7966</v>
      </c>
      <c r="Y8575" s="143"/>
      <c r="Z8575" s="143"/>
      <c r="AA8575" s="143"/>
      <c r="AB8575" s="144"/>
      <c r="AC8575" s="16" t="s">
        <v>21</v>
      </c>
      <c r="AD8575" s="17" t="s">
        <v>1847</v>
      </c>
      <c r="AE8575" s="145" t="s">
        <v>171</v>
      </c>
      <c r="AF8575" s="146"/>
      <c r="AG8575" s="146"/>
      <c r="AH8575" s="146"/>
      <c r="AI8575" s="147"/>
      <c r="AJ8575" s="148"/>
      <c r="AK8575" s="143"/>
      <c r="AL8575" s="144"/>
      <c r="AM8575" s="22"/>
      <c r="AN8575" s="149" t="s">
        <v>7285</v>
      </c>
      <c r="AO8575" s="144"/>
      <c r="AP8575" s="148">
        <v>2069</v>
      </c>
      <c r="AQ8575" s="144"/>
      <c r="AR8575" s="120"/>
      <c r="AS8575" s="121"/>
      <c r="AT8575" s="120"/>
      <c r="AU8575" s="121"/>
      <c r="AV8575" s="120"/>
      <c r="AW8575" s="121"/>
      <c r="AX8575" s="120"/>
      <c r="AY8575" s="121"/>
      <c r="AZ8575" s="138"/>
    </row>
    <row r="8576" spans="1:52" ht="17.100000000000001" customHeight="1" thickTop="1">
      <c r="A8576" s="109" t="s">
        <v>24338</v>
      </c>
      <c r="B8576" s="28">
        <v>46136</v>
      </c>
      <c r="C8576" s="25">
        <v>1416</v>
      </c>
      <c r="D8576" s="13" t="s">
        <v>24463</v>
      </c>
      <c r="E8576" s="111"/>
      <c r="F8576" s="113" t="s">
        <v>24384</v>
      </c>
      <c r="G8576" s="114"/>
      <c r="H8576" s="115"/>
      <c r="I8576" s="24"/>
      <c r="J8576" s="116">
        <v>4.5</v>
      </c>
      <c r="K8576" s="118">
        <v>1438000</v>
      </c>
      <c r="L8576" s="119"/>
      <c r="M8576" s="118">
        <f t="shared" ref="M8576" si="13042">K8576*0.1</f>
        <v>143800</v>
      </c>
      <c r="N8576" s="119"/>
      <c r="O8576" s="118">
        <v>0</v>
      </c>
      <c r="P8576" s="119"/>
      <c r="Q8576" s="118">
        <v>19180</v>
      </c>
      <c r="R8576" s="119"/>
      <c r="S8576" s="118">
        <v>15400</v>
      </c>
      <c r="T8576" s="119"/>
      <c r="U8576" s="118">
        <f t="shared" ref="U8576" si="13043">SUM(K8576:T8577)</f>
        <v>1616380</v>
      </c>
      <c r="V8576" s="122"/>
      <c r="W8576" s="124"/>
      <c r="X8576" s="126" t="s">
        <v>24814</v>
      </c>
      <c r="Y8576" s="127"/>
      <c r="Z8576" s="127"/>
      <c r="AA8576" s="127"/>
      <c r="AB8576" s="128"/>
      <c r="AC8576" s="15" t="s">
        <v>20</v>
      </c>
      <c r="AD8576" s="129" t="s">
        <v>24525</v>
      </c>
      <c r="AE8576" s="130"/>
      <c r="AF8576" s="130"/>
      <c r="AG8576" s="130"/>
      <c r="AH8576" s="130"/>
      <c r="AI8576" s="131"/>
      <c r="AJ8576" s="132"/>
      <c r="AK8576" s="127"/>
      <c r="AL8576" s="128"/>
      <c r="AM8576" s="21"/>
      <c r="AN8576" s="133">
        <v>46156</v>
      </c>
      <c r="AO8576" s="134"/>
      <c r="AP8576" s="135">
        <v>1330</v>
      </c>
      <c r="AQ8576" s="136"/>
      <c r="AR8576" s="118">
        <v>1495000</v>
      </c>
      <c r="AS8576" s="119"/>
      <c r="AT8576" s="118">
        <f t="shared" ref="AT8576" si="13044">AR8576*0.1</f>
        <v>149500</v>
      </c>
      <c r="AU8576" s="119"/>
      <c r="AV8576" s="118">
        <v>19180</v>
      </c>
      <c r="AW8576" s="119"/>
      <c r="AX8576" s="118">
        <f t="shared" ref="AX8576" si="13045">SUM(AR8576:AW8576)</f>
        <v>1663680</v>
      </c>
      <c r="AY8576" s="119"/>
      <c r="AZ8576" s="137">
        <v>46157</v>
      </c>
    </row>
    <row r="8577" spans="1:52" ht="17.100000000000001" customHeight="1" thickBot="1">
      <c r="A8577" s="110"/>
      <c r="B8577" s="27" t="s">
        <v>24370</v>
      </c>
      <c r="C8577" s="27">
        <v>7147</v>
      </c>
      <c r="D8577" s="14" t="s">
        <v>24449</v>
      </c>
      <c r="E8577" s="112"/>
      <c r="F8577" s="139" t="s">
        <v>24385</v>
      </c>
      <c r="G8577" s="140"/>
      <c r="H8577" s="141"/>
      <c r="I8577" s="26">
        <v>98697</v>
      </c>
      <c r="J8577" s="117"/>
      <c r="K8577" s="120"/>
      <c r="L8577" s="121"/>
      <c r="M8577" s="120"/>
      <c r="N8577" s="121"/>
      <c r="O8577" s="120"/>
      <c r="P8577" s="121"/>
      <c r="Q8577" s="120"/>
      <c r="R8577" s="121"/>
      <c r="S8577" s="120"/>
      <c r="T8577" s="121"/>
      <c r="U8577" s="120"/>
      <c r="V8577" s="123"/>
      <c r="W8577" s="125"/>
      <c r="X8577" s="142" t="s">
        <v>24130</v>
      </c>
      <c r="Y8577" s="143"/>
      <c r="Z8577" s="143"/>
      <c r="AA8577" s="143"/>
      <c r="AB8577" s="144"/>
      <c r="AC8577" s="16" t="s">
        <v>21</v>
      </c>
      <c r="AD8577" s="17" t="s">
        <v>24805</v>
      </c>
      <c r="AE8577" s="145" t="s">
        <v>24812</v>
      </c>
      <c r="AF8577" s="146"/>
      <c r="AG8577" s="146"/>
      <c r="AH8577" s="146"/>
      <c r="AI8577" s="147"/>
      <c r="AJ8577" s="148"/>
      <c r="AK8577" s="143"/>
      <c r="AL8577" s="144"/>
      <c r="AM8577" s="22"/>
      <c r="AN8577" s="149" t="s">
        <v>1747</v>
      </c>
      <c r="AO8577" s="144"/>
      <c r="AP8577" s="148">
        <v>513</v>
      </c>
      <c r="AQ8577" s="144"/>
      <c r="AR8577" s="120"/>
      <c r="AS8577" s="121"/>
      <c r="AT8577" s="120"/>
      <c r="AU8577" s="121"/>
      <c r="AV8577" s="120"/>
      <c r="AW8577" s="121"/>
      <c r="AX8577" s="120"/>
      <c r="AY8577" s="121"/>
      <c r="AZ8577" s="138"/>
    </row>
    <row r="8578" spans="1:52" ht="17.100000000000001" customHeight="1" thickTop="1">
      <c r="A8578" s="109" t="s">
        <v>24339</v>
      </c>
      <c r="B8578" s="28">
        <v>46136</v>
      </c>
      <c r="C8578" s="25">
        <v>1416</v>
      </c>
      <c r="D8578" s="13" t="s">
        <v>24521</v>
      </c>
      <c r="E8578" s="111"/>
      <c r="F8578" s="113" t="s">
        <v>24386</v>
      </c>
      <c r="G8578" s="114"/>
      <c r="H8578" s="115"/>
      <c r="I8578" s="24"/>
      <c r="J8578" s="116">
        <v>4</v>
      </c>
      <c r="K8578" s="118">
        <v>474000</v>
      </c>
      <c r="L8578" s="119"/>
      <c r="M8578" s="118">
        <f t="shared" ref="M8578" si="13046">K8578*0.1</f>
        <v>47400</v>
      </c>
      <c r="N8578" s="119"/>
      <c r="O8578" s="118">
        <v>0</v>
      </c>
      <c r="P8578" s="119"/>
      <c r="Q8578" s="118">
        <v>8400</v>
      </c>
      <c r="R8578" s="119"/>
      <c r="S8578" s="118">
        <v>15400</v>
      </c>
      <c r="T8578" s="119"/>
      <c r="U8578" s="118">
        <f t="shared" ref="U8578" si="13047">SUM(K8578:T8579)</f>
        <v>545200</v>
      </c>
      <c r="V8578" s="122"/>
      <c r="W8578" s="124"/>
      <c r="X8578" s="126" t="s">
        <v>25575</v>
      </c>
      <c r="Y8578" s="127"/>
      <c r="Z8578" s="127"/>
      <c r="AA8578" s="127"/>
      <c r="AB8578" s="128"/>
      <c r="AC8578" s="15" t="s">
        <v>20</v>
      </c>
      <c r="AD8578" s="129"/>
      <c r="AE8578" s="130"/>
      <c r="AF8578" s="130"/>
      <c r="AG8578" s="130"/>
      <c r="AH8578" s="130"/>
      <c r="AI8578" s="131"/>
      <c r="AJ8578" s="132"/>
      <c r="AK8578" s="127"/>
      <c r="AL8578" s="128"/>
      <c r="AM8578" s="21"/>
      <c r="AN8578" s="133">
        <v>46155</v>
      </c>
      <c r="AO8578" s="134"/>
      <c r="AP8578" s="135">
        <v>1016</v>
      </c>
      <c r="AQ8578" s="136"/>
      <c r="AR8578" s="118">
        <v>600000</v>
      </c>
      <c r="AS8578" s="119"/>
      <c r="AT8578" s="118">
        <f t="shared" ref="AT8578" si="13048">AR8578*0.1</f>
        <v>60000</v>
      </c>
      <c r="AU8578" s="119"/>
      <c r="AV8578" s="118">
        <v>8400</v>
      </c>
      <c r="AW8578" s="119"/>
      <c r="AX8578" s="118">
        <f t="shared" ref="AX8578" si="13049">SUM(AR8578:AW8578)</f>
        <v>668400</v>
      </c>
      <c r="AY8578" s="119"/>
      <c r="AZ8578" s="137">
        <v>46161</v>
      </c>
    </row>
    <row r="8579" spans="1:52" ht="17.100000000000001" customHeight="1" thickBot="1">
      <c r="A8579" s="110"/>
      <c r="B8579" s="27" t="s">
        <v>24370</v>
      </c>
      <c r="C8579" s="27">
        <v>7156</v>
      </c>
      <c r="D8579" s="14" t="s">
        <v>1720</v>
      </c>
      <c r="E8579" s="112"/>
      <c r="F8579" s="139" t="s">
        <v>24387</v>
      </c>
      <c r="G8579" s="140"/>
      <c r="H8579" s="141"/>
      <c r="I8579" s="26">
        <v>15016</v>
      </c>
      <c r="J8579" s="117"/>
      <c r="K8579" s="120"/>
      <c r="L8579" s="121"/>
      <c r="M8579" s="120"/>
      <c r="N8579" s="121"/>
      <c r="O8579" s="120"/>
      <c r="P8579" s="121"/>
      <c r="Q8579" s="120"/>
      <c r="R8579" s="121"/>
      <c r="S8579" s="120"/>
      <c r="T8579" s="121"/>
      <c r="U8579" s="120"/>
      <c r="V8579" s="123"/>
      <c r="W8579" s="125"/>
      <c r="X8579" s="142" t="s">
        <v>8904</v>
      </c>
      <c r="Y8579" s="143"/>
      <c r="Z8579" s="143"/>
      <c r="AA8579" s="143"/>
      <c r="AB8579" s="144"/>
      <c r="AC8579" s="16" t="s">
        <v>21</v>
      </c>
      <c r="AD8579" s="17" t="s">
        <v>2413</v>
      </c>
      <c r="AE8579" s="145" t="s">
        <v>3624</v>
      </c>
      <c r="AF8579" s="146"/>
      <c r="AG8579" s="146"/>
      <c r="AH8579" s="146"/>
      <c r="AI8579" s="147"/>
      <c r="AJ8579" s="148"/>
      <c r="AK8579" s="143"/>
      <c r="AL8579" s="144"/>
      <c r="AM8579" s="22"/>
      <c r="AN8579" s="149" t="s">
        <v>7285</v>
      </c>
      <c r="AO8579" s="144"/>
      <c r="AP8579" s="148">
        <v>2065</v>
      </c>
      <c r="AQ8579" s="144"/>
      <c r="AR8579" s="120"/>
      <c r="AS8579" s="121"/>
      <c r="AT8579" s="120"/>
      <c r="AU8579" s="121"/>
      <c r="AV8579" s="120"/>
      <c r="AW8579" s="121"/>
      <c r="AX8579" s="120"/>
      <c r="AY8579" s="121"/>
      <c r="AZ8579" s="138"/>
    </row>
    <row r="8580" spans="1:52" ht="17.100000000000001" customHeight="1" thickTop="1">
      <c r="A8580" s="109" t="s">
        <v>24340</v>
      </c>
      <c r="B8580" s="28">
        <v>46136</v>
      </c>
      <c r="C8580" s="25">
        <v>1203</v>
      </c>
      <c r="D8580" s="13" t="s">
        <v>24476</v>
      </c>
      <c r="E8580" s="111"/>
      <c r="F8580" s="113" t="s">
        <v>24526</v>
      </c>
      <c r="G8580" s="114"/>
      <c r="H8580" s="115"/>
      <c r="I8580" s="24" t="s">
        <v>24486</v>
      </c>
      <c r="J8580" s="116">
        <v>4.5</v>
      </c>
      <c r="K8580" s="118">
        <v>1240000</v>
      </c>
      <c r="L8580" s="119"/>
      <c r="M8580" s="118">
        <f t="shared" ref="M8580" si="13050">K8580*0.1</f>
        <v>124000</v>
      </c>
      <c r="N8580" s="119"/>
      <c r="O8580" s="118">
        <v>36300</v>
      </c>
      <c r="P8580" s="119"/>
      <c r="Q8580" s="118">
        <v>20630</v>
      </c>
      <c r="R8580" s="119"/>
      <c r="S8580" s="118">
        <v>16500</v>
      </c>
      <c r="T8580" s="119"/>
      <c r="U8580" s="118">
        <f t="shared" ref="U8580" si="13051">SUM(K8580:T8581)</f>
        <v>1437430</v>
      </c>
      <c r="V8580" s="122"/>
      <c r="W8580" s="124"/>
      <c r="X8580" s="126" t="s">
        <v>24528</v>
      </c>
      <c r="Y8580" s="127"/>
      <c r="Z8580" s="127"/>
      <c r="AA8580" s="127"/>
      <c r="AB8580" s="128"/>
      <c r="AC8580" s="15" t="s">
        <v>20</v>
      </c>
      <c r="AD8580" s="129" t="s">
        <v>24478</v>
      </c>
      <c r="AE8580" s="130"/>
      <c r="AF8580" s="130"/>
      <c r="AG8580" s="130"/>
      <c r="AH8580" s="130"/>
      <c r="AI8580" s="131"/>
      <c r="AJ8580" s="132"/>
      <c r="AK8580" s="127"/>
      <c r="AL8580" s="128"/>
      <c r="AM8580" s="21"/>
      <c r="AN8580" s="133"/>
      <c r="AO8580" s="134"/>
      <c r="AP8580" s="135"/>
      <c r="AQ8580" s="136"/>
      <c r="AR8580" s="118"/>
      <c r="AS8580" s="119"/>
      <c r="AT8580" s="118">
        <f t="shared" ref="AT8580" si="13052">AR8580*0.1</f>
        <v>0</v>
      </c>
      <c r="AU8580" s="119"/>
      <c r="AV8580" s="118"/>
      <c r="AW8580" s="119"/>
      <c r="AX8580" s="118">
        <f t="shared" ref="AX8580" si="13053">SUM(AR8580:AW8580)</f>
        <v>0</v>
      </c>
      <c r="AY8580" s="119"/>
      <c r="AZ8580" s="137"/>
    </row>
    <row r="8581" spans="1:52" ht="17.100000000000001" customHeight="1" thickBot="1">
      <c r="A8581" s="110"/>
      <c r="B8581" s="27" t="s">
        <v>24388</v>
      </c>
      <c r="C8581" s="27">
        <v>88125</v>
      </c>
      <c r="D8581" s="14" t="s">
        <v>1592</v>
      </c>
      <c r="E8581" s="112"/>
      <c r="F8581" s="139" t="s">
        <v>24527</v>
      </c>
      <c r="G8581" s="140"/>
      <c r="H8581" s="141"/>
      <c r="I8581" s="26">
        <v>67719</v>
      </c>
      <c r="J8581" s="117"/>
      <c r="K8581" s="120"/>
      <c r="L8581" s="121"/>
      <c r="M8581" s="120"/>
      <c r="N8581" s="121"/>
      <c r="O8581" s="120"/>
      <c r="P8581" s="121"/>
      <c r="Q8581" s="120"/>
      <c r="R8581" s="121"/>
      <c r="S8581" s="120"/>
      <c r="T8581" s="121"/>
      <c r="U8581" s="120"/>
      <c r="V8581" s="123"/>
      <c r="W8581" s="125"/>
      <c r="X8581" s="142" t="s">
        <v>24811</v>
      </c>
      <c r="Y8581" s="143"/>
      <c r="Z8581" s="143"/>
      <c r="AA8581" s="143"/>
      <c r="AB8581" s="144"/>
      <c r="AC8581" s="16" t="s">
        <v>21</v>
      </c>
      <c r="AD8581" s="17" t="s">
        <v>24805</v>
      </c>
      <c r="AE8581" s="145" t="s">
        <v>24812</v>
      </c>
      <c r="AF8581" s="146"/>
      <c r="AG8581" s="146"/>
      <c r="AH8581" s="146"/>
      <c r="AI8581" s="147"/>
      <c r="AJ8581" s="148"/>
      <c r="AK8581" s="143"/>
      <c r="AL8581" s="144"/>
      <c r="AM8581" s="22"/>
      <c r="AN8581" s="149"/>
      <c r="AO8581" s="144"/>
      <c r="AP8581" s="148"/>
      <c r="AQ8581" s="144"/>
      <c r="AR8581" s="120"/>
      <c r="AS8581" s="121"/>
      <c r="AT8581" s="120"/>
      <c r="AU8581" s="121"/>
      <c r="AV8581" s="120"/>
      <c r="AW8581" s="121"/>
      <c r="AX8581" s="120"/>
      <c r="AY8581" s="121"/>
      <c r="AZ8581" s="138"/>
    </row>
    <row r="8582" spans="1:52" ht="17.100000000000001" customHeight="1" thickTop="1">
      <c r="A8582" s="109" t="s">
        <v>24341</v>
      </c>
      <c r="B8582" s="28">
        <v>46136</v>
      </c>
      <c r="C8582" s="25">
        <v>2132</v>
      </c>
      <c r="D8582" s="13" t="s">
        <v>24479</v>
      </c>
      <c r="E8582" s="111"/>
      <c r="F8582" s="113" t="s">
        <v>24390</v>
      </c>
      <c r="G8582" s="114"/>
      <c r="H8582" s="115"/>
      <c r="I8582" s="24" t="s">
        <v>24530</v>
      </c>
      <c r="J8582" s="116">
        <v>4</v>
      </c>
      <c r="K8582" s="118">
        <v>1340000</v>
      </c>
      <c r="L8582" s="119"/>
      <c r="M8582" s="118">
        <f t="shared" ref="M8582" si="13054">K8582*0.1</f>
        <v>134000</v>
      </c>
      <c r="N8582" s="119"/>
      <c r="O8582" s="118">
        <v>34760</v>
      </c>
      <c r="P8582" s="119"/>
      <c r="Q8582" s="118">
        <v>17600</v>
      </c>
      <c r="R8582" s="119"/>
      <c r="S8582" s="118">
        <v>16500</v>
      </c>
      <c r="T8582" s="119"/>
      <c r="U8582" s="118">
        <f t="shared" ref="U8582" si="13055">SUM(K8582:T8583)</f>
        <v>1542860</v>
      </c>
      <c r="V8582" s="122"/>
      <c r="W8582" s="124"/>
      <c r="X8582" s="126" t="s">
        <v>24531</v>
      </c>
      <c r="Y8582" s="127"/>
      <c r="Z8582" s="127"/>
      <c r="AA8582" s="127"/>
      <c r="AB8582" s="128"/>
      <c r="AC8582" s="15" t="s">
        <v>20</v>
      </c>
      <c r="AD8582" s="129"/>
      <c r="AE8582" s="130"/>
      <c r="AF8582" s="130"/>
      <c r="AG8582" s="130"/>
      <c r="AH8582" s="130"/>
      <c r="AI8582" s="131"/>
      <c r="AJ8582" s="132"/>
      <c r="AK8582" s="127"/>
      <c r="AL8582" s="128"/>
      <c r="AM8582" s="21" t="s">
        <v>25962</v>
      </c>
      <c r="AN8582" s="133"/>
      <c r="AO8582" s="134"/>
      <c r="AP8582" s="135"/>
      <c r="AQ8582" s="136"/>
      <c r="AR8582" s="118"/>
      <c r="AS8582" s="119"/>
      <c r="AT8582" s="118">
        <f t="shared" ref="AT8582" si="13056">AR8582*0.1</f>
        <v>0</v>
      </c>
      <c r="AU8582" s="119"/>
      <c r="AV8582" s="118"/>
      <c r="AW8582" s="119"/>
      <c r="AX8582" s="118">
        <f t="shared" ref="AX8582" si="13057">SUM(AR8582:AW8582)</f>
        <v>0</v>
      </c>
      <c r="AY8582" s="119"/>
      <c r="AZ8582" s="137"/>
    </row>
    <row r="8583" spans="1:52" ht="17.100000000000001" customHeight="1" thickBot="1">
      <c r="A8583" s="110"/>
      <c r="B8583" s="27" t="s">
        <v>24389</v>
      </c>
      <c r="C8583" s="27">
        <v>58483</v>
      </c>
      <c r="D8583" s="14" t="s">
        <v>1812</v>
      </c>
      <c r="E8583" s="112"/>
      <c r="F8583" s="139" t="s">
        <v>24529</v>
      </c>
      <c r="G8583" s="140"/>
      <c r="H8583" s="141"/>
      <c r="I8583" s="26">
        <v>37071</v>
      </c>
      <c r="J8583" s="117"/>
      <c r="K8583" s="120"/>
      <c r="L8583" s="121"/>
      <c r="M8583" s="120"/>
      <c r="N8583" s="121"/>
      <c r="O8583" s="120"/>
      <c r="P8583" s="121"/>
      <c r="Q8583" s="120"/>
      <c r="R8583" s="121"/>
      <c r="S8583" s="120"/>
      <c r="T8583" s="121"/>
      <c r="U8583" s="120"/>
      <c r="V8583" s="123"/>
      <c r="W8583" s="125"/>
      <c r="X8583" s="142" t="s">
        <v>24810</v>
      </c>
      <c r="Y8583" s="143"/>
      <c r="Z8583" s="143"/>
      <c r="AA8583" s="143"/>
      <c r="AB8583" s="144"/>
      <c r="AC8583" s="16" t="s">
        <v>21</v>
      </c>
      <c r="AD8583" s="17" t="s">
        <v>24805</v>
      </c>
      <c r="AE8583" s="145" t="s">
        <v>13451</v>
      </c>
      <c r="AF8583" s="146"/>
      <c r="AG8583" s="146"/>
      <c r="AH8583" s="146"/>
      <c r="AI8583" s="147"/>
      <c r="AJ8583" s="148"/>
      <c r="AK8583" s="143"/>
      <c r="AL8583" s="144"/>
      <c r="AM8583" s="22"/>
      <c r="AN8583" s="149"/>
      <c r="AO8583" s="144"/>
      <c r="AP8583" s="148"/>
      <c r="AQ8583" s="144"/>
      <c r="AR8583" s="120"/>
      <c r="AS8583" s="121"/>
      <c r="AT8583" s="120"/>
      <c r="AU8583" s="121"/>
      <c r="AV8583" s="120"/>
      <c r="AW8583" s="121"/>
      <c r="AX8583" s="120"/>
      <c r="AY8583" s="121"/>
      <c r="AZ8583" s="138"/>
    </row>
    <row r="8584" spans="1:52" ht="17.100000000000001" customHeight="1" thickTop="1">
      <c r="A8584" s="109" t="s">
        <v>24342</v>
      </c>
      <c r="B8584" s="28">
        <v>46136</v>
      </c>
      <c r="C8584" s="25"/>
      <c r="D8584" s="13" t="s">
        <v>24441</v>
      </c>
      <c r="E8584" s="111"/>
      <c r="F8584" s="113" t="s">
        <v>14286</v>
      </c>
      <c r="G8584" s="114"/>
      <c r="H8584" s="115"/>
      <c r="I8584" s="24" t="s">
        <v>24532</v>
      </c>
      <c r="J8584" s="116">
        <v>4</v>
      </c>
      <c r="K8584" s="118">
        <v>1405000</v>
      </c>
      <c r="L8584" s="119"/>
      <c r="M8584" s="118">
        <f t="shared" ref="M8584" si="13058">K8584*0.1</f>
        <v>140500</v>
      </c>
      <c r="N8584" s="119"/>
      <c r="O8584" s="118">
        <v>22800</v>
      </c>
      <c r="P8584" s="119"/>
      <c r="Q8584" s="118">
        <v>7760</v>
      </c>
      <c r="R8584" s="119"/>
      <c r="S8584" s="118">
        <v>0</v>
      </c>
      <c r="T8584" s="119"/>
      <c r="U8584" s="118">
        <f t="shared" ref="U8584" si="13059">SUM(K8584:T8585)</f>
        <v>1576060</v>
      </c>
      <c r="V8584" s="122"/>
      <c r="W8584" s="124"/>
      <c r="X8584" s="126"/>
      <c r="Y8584" s="127"/>
      <c r="Z8584" s="127"/>
      <c r="AA8584" s="127"/>
      <c r="AB8584" s="128"/>
      <c r="AC8584" s="15" t="s">
        <v>20</v>
      </c>
      <c r="AD8584" s="129" t="s">
        <v>24533</v>
      </c>
      <c r="AE8584" s="130"/>
      <c r="AF8584" s="130"/>
      <c r="AG8584" s="130"/>
      <c r="AH8584" s="130"/>
      <c r="AI8584" s="131"/>
      <c r="AJ8584" s="132"/>
      <c r="AK8584" s="127"/>
      <c r="AL8584" s="128"/>
      <c r="AM8584" s="21"/>
      <c r="AN8584" s="133"/>
      <c r="AO8584" s="134"/>
      <c r="AP8584" s="135"/>
      <c r="AQ8584" s="136"/>
      <c r="AR8584" s="118"/>
      <c r="AS8584" s="119"/>
      <c r="AT8584" s="118">
        <f t="shared" ref="AT8584" si="13060">AR8584*0.1</f>
        <v>0</v>
      </c>
      <c r="AU8584" s="119"/>
      <c r="AV8584" s="118"/>
      <c r="AW8584" s="119"/>
      <c r="AX8584" s="118">
        <f t="shared" ref="AX8584" si="13061">SUM(AR8584:AW8584)</f>
        <v>0</v>
      </c>
      <c r="AY8584" s="119"/>
      <c r="AZ8584" s="137"/>
    </row>
    <row r="8585" spans="1:52" ht="17.100000000000001" customHeight="1" thickBot="1">
      <c r="A8585" s="110"/>
      <c r="B8585" s="27" t="s">
        <v>24391</v>
      </c>
      <c r="C8585" s="27" t="s">
        <v>24392</v>
      </c>
      <c r="D8585" s="14" t="s">
        <v>24435</v>
      </c>
      <c r="E8585" s="112"/>
      <c r="F8585" s="139" t="s">
        <v>24393</v>
      </c>
      <c r="G8585" s="140"/>
      <c r="H8585" s="141"/>
      <c r="I8585" s="26">
        <v>19939</v>
      </c>
      <c r="J8585" s="117"/>
      <c r="K8585" s="120"/>
      <c r="L8585" s="121"/>
      <c r="M8585" s="120"/>
      <c r="N8585" s="121"/>
      <c r="O8585" s="120"/>
      <c r="P8585" s="121"/>
      <c r="Q8585" s="120"/>
      <c r="R8585" s="121"/>
      <c r="S8585" s="120"/>
      <c r="T8585" s="121"/>
      <c r="U8585" s="120"/>
      <c r="V8585" s="123"/>
      <c r="W8585" s="125"/>
      <c r="X8585" s="142"/>
      <c r="Y8585" s="143"/>
      <c r="Z8585" s="143"/>
      <c r="AA8585" s="143"/>
      <c r="AB8585" s="144"/>
      <c r="AC8585" s="16" t="s">
        <v>21</v>
      </c>
      <c r="AD8585" s="17"/>
      <c r="AE8585" s="145"/>
      <c r="AF8585" s="146"/>
      <c r="AG8585" s="146"/>
      <c r="AH8585" s="146"/>
      <c r="AI8585" s="147"/>
      <c r="AJ8585" s="148"/>
      <c r="AK8585" s="143"/>
      <c r="AL8585" s="144"/>
      <c r="AM8585" s="22"/>
      <c r="AN8585" s="149"/>
      <c r="AO8585" s="144"/>
      <c r="AP8585" s="148"/>
      <c r="AQ8585" s="144"/>
      <c r="AR8585" s="120"/>
      <c r="AS8585" s="121"/>
      <c r="AT8585" s="120"/>
      <c r="AU8585" s="121"/>
      <c r="AV8585" s="120"/>
      <c r="AW8585" s="121"/>
      <c r="AX8585" s="120"/>
      <c r="AY8585" s="121"/>
      <c r="AZ8585" s="138"/>
    </row>
    <row r="8586" spans="1:52" ht="17.100000000000001" customHeight="1" thickTop="1">
      <c r="A8586" s="109" t="s">
        <v>24343</v>
      </c>
      <c r="B8586" s="28">
        <v>46136</v>
      </c>
      <c r="C8586" s="25"/>
      <c r="D8586" s="13" t="s">
        <v>24534</v>
      </c>
      <c r="E8586" s="111"/>
      <c r="F8586" s="113" t="s">
        <v>15162</v>
      </c>
      <c r="G8586" s="114"/>
      <c r="H8586" s="115"/>
      <c r="I8586" s="24" t="s">
        <v>24535</v>
      </c>
      <c r="J8586" s="116">
        <v>4.5</v>
      </c>
      <c r="K8586" s="118">
        <v>3500000</v>
      </c>
      <c r="L8586" s="119"/>
      <c r="M8586" s="118">
        <f t="shared" ref="M8586" si="13062">K8586*0.1</f>
        <v>350000</v>
      </c>
      <c r="N8586" s="119"/>
      <c r="O8586" s="118">
        <v>41600</v>
      </c>
      <c r="P8586" s="119"/>
      <c r="Q8586" s="118">
        <v>15540</v>
      </c>
      <c r="R8586" s="119"/>
      <c r="S8586" s="118">
        <v>0</v>
      </c>
      <c r="T8586" s="119"/>
      <c r="U8586" s="118">
        <f t="shared" ref="U8586" si="13063">SUM(K8586:T8587)</f>
        <v>3907140</v>
      </c>
      <c r="V8586" s="122"/>
      <c r="W8586" s="124"/>
      <c r="X8586" s="126"/>
      <c r="Y8586" s="127"/>
      <c r="Z8586" s="127"/>
      <c r="AA8586" s="127"/>
      <c r="AB8586" s="128"/>
      <c r="AC8586" s="15" t="s">
        <v>20</v>
      </c>
      <c r="AD8586" s="129" t="s">
        <v>24533</v>
      </c>
      <c r="AE8586" s="130"/>
      <c r="AF8586" s="130"/>
      <c r="AG8586" s="130"/>
      <c r="AH8586" s="130"/>
      <c r="AI8586" s="131"/>
      <c r="AJ8586" s="132"/>
      <c r="AK8586" s="127"/>
      <c r="AL8586" s="128"/>
      <c r="AM8586" s="21"/>
      <c r="AN8586" s="133"/>
      <c r="AO8586" s="134"/>
      <c r="AP8586" s="135"/>
      <c r="AQ8586" s="136"/>
      <c r="AR8586" s="118"/>
      <c r="AS8586" s="119"/>
      <c r="AT8586" s="118">
        <f t="shared" ref="AT8586" si="13064">AR8586*0.1</f>
        <v>0</v>
      </c>
      <c r="AU8586" s="119"/>
      <c r="AV8586" s="118"/>
      <c r="AW8586" s="119"/>
      <c r="AX8586" s="118">
        <f t="shared" ref="AX8586" si="13065">SUM(AR8586:AW8586)</f>
        <v>0</v>
      </c>
      <c r="AY8586" s="119"/>
      <c r="AZ8586" s="137"/>
    </row>
    <row r="8587" spans="1:52" ht="17.100000000000001" customHeight="1" thickBot="1">
      <c r="A8587" s="110"/>
      <c r="B8587" s="27" t="s">
        <v>24391</v>
      </c>
      <c r="C8587" s="27" t="s">
        <v>24394</v>
      </c>
      <c r="D8587" s="14" t="s">
        <v>24449</v>
      </c>
      <c r="E8587" s="112"/>
      <c r="F8587" s="139" t="s">
        <v>24395</v>
      </c>
      <c r="G8587" s="140"/>
      <c r="H8587" s="141"/>
      <c r="I8587" s="26">
        <v>55893</v>
      </c>
      <c r="J8587" s="117"/>
      <c r="K8587" s="120"/>
      <c r="L8587" s="121"/>
      <c r="M8587" s="120"/>
      <c r="N8587" s="121"/>
      <c r="O8587" s="120"/>
      <c r="P8587" s="121"/>
      <c r="Q8587" s="120"/>
      <c r="R8587" s="121"/>
      <c r="S8587" s="120"/>
      <c r="T8587" s="121"/>
      <c r="U8587" s="120"/>
      <c r="V8587" s="123"/>
      <c r="W8587" s="125"/>
      <c r="X8587" s="142"/>
      <c r="Y8587" s="143"/>
      <c r="Z8587" s="143"/>
      <c r="AA8587" s="143"/>
      <c r="AB8587" s="144"/>
      <c r="AC8587" s="16" t="s">
        <v>21</v>
      </c>
      <c r="AD8587" s="17"/>
      <c r="AE8587" s="145"/>
      <c r="AF8587" s="146"/>
      <c r="AG8587" s="146"/>
      <c r="AH8587" s="146"/>
      <c r="AI8587" s="147"/>
      <c r="AJ8587" s="148"/>
      <c r="AK8587" s="143"/>
      <c r="AL8587" s="144"/>
      <c r="AM8587" s="22"/>
      <c r="AN8587" s="149"/>
      <c r="AO8587" s="144"/>
      <c r="AP8587" s="148"/>
      <c r="AQ8587" s="144"/>
      <c r="AR8587" s="120"/>
      <c r="AS8587" s="121"/>
      <c r="AT8587" s="120"/>
      <c r="AU8587" s="121"/>
      <c r="AV8587" s="120"/>
      <c r="AW8587" s="121"/>
      <c r="AX8587" s="120"/>
      <c r="AY8587" s="121"/>
      <c r="AZ8587" s="138"/>
    </row>
    <row r="8588" spans="1:52" ht="17.100000000000001" customHeight="1" thickTop="1">
      <c r="A8588" s="109" t="s">
        <v>24344</v>
      </c>
      <c r="B8588" s="28">
        <v>46136</v>
      </c>
      <c r="C8588" s="25"/>
      <c r="D8588" s="13" t="s">
        <v>24536</v>
      </c>
      <c r="E8588" s="111"/>
      <c r="F8588" s="113" t="s">
        <v>24537</v>
      </c>
      <c r="G8588" s="114"/>
      <c r="H8588" s="115"/>
      <c r="I8588" s="24" t="s">
        <v>24538</v>
      </c>
      <c r="J8588" s="116">
        <v>4.5</v>
      </c>
      <c r="K8588" s="118">
        <v>4345000</v>
      </c>
      <c r="L8588" s="119"/>
      <c r="M8588" s="118">
        <f t="shared" ref="M8588" si="13066">K8588*0.1</f>
        <v>434500</v>
      </c>
      <c r="N8588" s="119"/>
      <c r="O8588" s="118">
        <v>36200</v>
      </c>
      <c r="P8588" s="119"/>
      <c r="Q8588" s="118">
        <v>15220</v>
      </c>
      <c r="R8588" s="119"/>
      <c r="S8588" s="118">
        <v>0</v>
      </c>
      <c r="T8588" s="119"/>
      <c r="U8588" s="118">
        <f t="shared" ref="U8588" si="13067">SUM(K8588:T8589)</f>
        <v>4830920</v>
      </c>
      <c r="V8588" s="122"/>
      <c r="W8588" s="124"/>
      <c r="X8588" s="126"/>
      <c r="Y8588" s="127"/>
      <c r="Z8588" s="127"/>
      <c r="AA8588" s="127"/>
      <c r="AB8588" s="128"/>
      <c r="AC8588" s="15" t="s">
        <v>20</v>
      </c>
      <c r="AD8588" s="129" t="s">
        <v>24539</v>
      </c>
      <c r="AE8588" s="130"/>
      <c r="AF8588" s="130"/>
      <c r="AG8588" s="130"/>
      <c r="AH8588" s="130"/>
      <c r="AI8588" s="131"/>
      <c r="AJ8588" s="132"/>
      <c r="AK8588" s="127"/>
      <c r="AL8588" s="128"/>
      <c r="AM8588" s="21"/>
      <c r="AN8588" s="133"/>
      <c r="AO8588" s="134"/>
      <c r="AP8588" s="135"/>
      <c r="AQ8588" s="136"/>
      <c r="AR8588" s="118"/>
      <c r="AS8588" s="119"/>
      <c r="AT8588" s="118">
        <f t="shared" ref="AT8588" si="13068">AR8588*0.1</f>
        <v>0</v>
      </c>
      <c r="AU8588" s="119"/>
      <c r="AV8588" s="118"/>
      <c r="AW8588" s="119"/>
      <c r="AX8588" s="118">
        <f t="shared" ref="AX8588" si="13069">SUM(AR8588:AW8588)</f>
        <v>0</v>
      </c>
      <c r="AY8588" s="119"/>
      <c r="AZ8588" s="137"/>
    </row>
    <row r="8589" spans="1:52" ht="17.100000000000001" customHeight="1" thickBot="1">
      <c r="A8589" s="110"/>
      <c r="B8589" s="27" t="s">
        <v>24391</v>
      </c>
      <c r="C8589" s="27" t="s">
        <v>24396</v>
      </c>
      <c r="D8589" s="14" t="s">
        <v>24518</v>
      </c>
      <c r="E8589" s="112"/>
      <c r="F8589" s="139" t="s">
        <v>24397</v>
      </c>
      <c r="G8589" s="140"/>
      <c r="H8589" s="141"/>
      <c r="I8589" s="26">
        <v>38095</v>
      </c>
      <c r="J8589" s="117"/>
      <c r="K8589" s="120"/>
      <c r="L8589" s="121"/>
      <c r="M8589" s="120"/>
      <c r="N8589" s="121"/>
      <c r="O8589" s="120"/>
      <c r="P8589" s="121"/>
      <c r="Q8589" s="120"/>
      <c r="R8589" s="121"/>
      <c r="S8589" s="120"/>
      <c r="T8589" s="121"/>
      <c r="U8589" s="120"/>
      <c r="V8589" s="123"/>
      <c r="W8589" s="125"/>
      <c r="X8589" s="142"/>
      <c r="Y8589" s="143"/>
      <c r="Z8589" s="143"/>
      <c r="AA8589" s="143"/>
      <c r="AB8589" s="144"/>
      <c r="AC8589" s="16" t="s">
        <v>21</v>
      </c>
      <c r="AD8589" s="17"/>
      <c r="AE8589" s="145"/>
      <c r="AF8589" s="146"/>
      <c r="AG8589" s="146"/>
      <c r="AH8589" s="146"/>
      <c r="AI8589" s="147"/>
      <c r="AJ8589" s="148"/>
      <c r="AK8589" s="143"/>
      <c r="AL8589" s="144"/>
      <c r="AM8589" s="22"/>
      <c r="AN8589" s="149"/>
      <c r="AO8589" s="144"/>
      <c r="AP8589" s="148"/>
      <c r="AQ8589" s="144"/>
      <c r="AR8589" s="120"/>
      <c r="AS8589" s="121"/>
      <c r="AT8589" s="120"/>
      <c r="AU8589" s="121"/>
      <c r="AV8589" s="120"/>
      <c r="AW8589" s="121"/>
      <c r="AX8589" s="120"/>
      <c r="AY8589" s="121"/>
      <c r="AZ8589" s="138"/>
    </row>
    <row r="8590" spans="1:52" ht="17.100000000000001" customHeight="1" thickTop="1">
      <c r="A8590" s="109" t="s">
        <v>24345</v>
      </c>
      <c r="B8590" s="28">
        <v>46137</v>
      </c>
      <c r="C8590" s="25">
        <v>1541</v>
      </c>
      <c r="D8590" s="13" t="s">
        <v>24441</v>
      </c>
      <c r="E8590" s="111"/>
      <c r="F8590" s="113" t="s">
        <v>24399</v>
      </c>
      <c r="G8590" s="114"/>
      <c r="H8590" s="115"/>
      <c r="I8590" s="24"/>
      <c r="J8590" s="116">
        <v>4.5</v>
      </c>
      <c r="K8590" s="118">
        <v>1700000</v>
      </c>
      <c r="L8590" s="119"/>
      <c r="M8590" s="118">
        <f t="shared" ref="M8590" si="13070">K8590*0.1</f>
        <v>170000</v>
      </c>
      <c r="N8590" s="119"/>
      <c r="O8590" s="118">
        <v>0</v>
      </c>
      <c r="P8590" s="119"/>
      <c r="Q8590" s="118">
        <v>18170</v>
      </c>
      <c r="R8590" s="119"/>
      <c r="S8590" s="118">
        <v>27500</v>
      </c>
      <c r="T8590" s="119"/>
      <c r="U8590" s="118">
        <f t="shared" ref="U8590" si="13071">SUM(K8590:T8591)</f>
        <v>1915670</v>
      </c>
      <c r="V8590" s="122"/>
      <c r="W8590" s="124"/>
      <c r="X8590" s="126" t="s">
        <v>25167</v>
      </c>
      <c r="Y8590" s="127"/>
      <c r="Z8590" s="127"/>
      <c r="AA8590" s="127"/>
      <c r="AB8590" s="128"/>
      <c r="AC8590" s="15" t="s">
        <v>20</v>
      </c>
      <c r="AD8590" s="129" t="s">
        <v>24451</v>
      </c>
      <c r="AE8590" s="130"/>
      <c r="AF8590" s="130"/>
      <c r="AG8590" s="130"/>
      <c r="AH8590" s="130"/>
      <c r="AI8590" s="131"/>
      <c r="AJ8590" s="132" t="s">
        <v>25300</v>
      </c>
      <c r="AK8590" s="127"/>
      <c r="AL8590" s="128"/>
      <c r="AM8590" s="21"/>
      <c r="AN8590" s="133">
        <v>46156</v>
      </c>
      <c r="AO8590" s="134"/>
      <c r="AP8590" s="135">
        <v>1330</v>
      </c>
      <c r="AQ8590" s="136"/>
      <c r="AR8590" s="118">
        <v>1855000</v>
      </c>
      <c r="AS8590" s="119"/>
      <c r="AT8590" s="118">
        <f t="shared" ref="AT8590" si="13072">AR8590*0.1</f>
        <v>185500</v>
      </c>
      <c r="AU8590" s="119"/>
      <c r="AV8590" s="118">
        <v>18170</v>
      </c>
      <c r="AW8590" s="119"/>
      <c r="AX8590" s="118">
        <f t="shared" ref="AX8590" si="13073">SUM(AR8590:AW8590)</f>
        <v>2058670</v>
      </c>
      <c r="AY8590" s="119"/>
      <c r="AZ8590" s="137">
        <v>46157</v>
      </c>
    </row>
    <row r="8591" spans="1:52" ht="17.100000000000001" customHeight="1" thickBot="1">
      <c r="A8591" s="110"/>
      <c r="B8591" s="27" t="s">
        <v>24398</v>
      </c>
      <c r="C8591" s="27">
        <v>83077</v>
      </c>
      <c r="D8591" s="14" t="s">
        <v>24499</v>
      </c>
      <c r="E8591" s="112"/>
      <c r="F8591" s="139" t="s">
        <v>24575</v>
      </c>
      <c r="G8591" s="140"/>
      <c r="H8591" s="141"/>
      <c r="I8591" s="26">
        <v>40600</v>
      </c>
      <c r="J8591" s="117"/>
      <c r="K8591" s="120"/>
      <c r="L8591" s="121"/>
      <c r="M8591" s="120"/>
      <c r="N8591" s="121"/>
      <c r="O8591" s="120"/>
      <c r="P8591" s="121"/>
      <c r="Q8591" s="120"/>
      <c r="R8591" s="121"/>
      <c r="S8591" s="120"/>
      <c r="T8591" s="121"/>
      <c r="U8591" s="120"/>
      <c r="V8591" s="123"/>
      <c r="W8591" s="125"/>
      <c r="X8591" s="142" t="s">
        <v>25168</v>
      </c>
      <c r="Y8591" s="143"/>
      <c r="Z8591" s="143"/>
      <c r="AA8591" s="143"/>
      <c r="AB8591" s="144"/>
      <c r="AC8591" s="16" t="s">
        <v>21</v>
      </c>
      <c r="AD8591" s="17" t="s">
        <v>2009</v>
      </c>
      <c r="AE8591" s="145" t="s">
        <v>25299</v>
      </c>
      <c r="AF8591" s="146"/>
      <c r="AG8591" s="146"/>
      <c r="AH8591" s="146"/>
      <c r="AI8591" s="147"/>
      <c r="AJ8591" s="148"/>
      <c r="AK8591" s="143"/>
      <c r="AL8591" s="144"/>
      <c r="AM8591" s="22"/>
      <c r="AN8591" s="149" t="s">
        <v>1747</v>
      </c>
      <c r="AO8591" s="144"/>
      <c r="AP8591" s="148">
        <v>514</v>
      </c>
      <c r="AQ8591" s="144"/>
      <c r="AR8591" s="120"/>
      <c r="AS8591" s="121"/>
      <c r="AT8591" s="120"/>
      <c r="AU8591" s="121"/>
      <c r="AV8591" s="120"/>
      <c r="AW8591" s="121"/>
      <c r="AX8591" s="120"/>
      <c r="AY8591" s="121"/>
      <c r="AZ8591" s="138"/>
    </row>
    <row r="8592" spans="1:52" ht="17.100000000000001" customHeight="1" thickTop="1">
      <c r="A8592" s="109" t="s">
        <v>24346</v>
      </c>
      <c r="B8592" s="28">
        <v>46137</v>
      </c>
      <c r="C8592" s="25">
        <v>1541</v>
      </c>
      <c r="D8592" s="13" t="s">
        <v>24544</v>
      </c>
      <c r="E8592" s="111"/>
      <c r="F8592" s="113" t="s">
        <v>24400</v>
      </c>
      <c r="G8592" s="114"/>
      <c r="H8592" s="115"/>
      <c r="I8592" s="24" t="s">
        <v>24546</v>
      </c>
      <c r="J8592" s="116">
        <v>4.5</v>
      </c>
      <c r="K8592" s="118">
        <v>805000</v>
      </c>
      <c r="L8592" s="119"/>
      <c r="M8592" s="118">
        <f t="shared" ref="M8592" si="13074">K8592*0.1</f>
        <v>80500</v>
      </c>
      <c r="N8592" s="119"/>
      <c r="O8592" s="118">
        <v>34760</v>
      </c>
      <c r="P8592" s="119"/>
      <c r="Q8592" s="118">
        <v>19440</v>
      </c>
      <c r="R8592" s="119"/>
      <c r="S8592" s="118">
        <v>16500</v>
      </c>
      <c r="T8592" s="119"/>
      <c r="U8592" s="118">
        <f t="shared" ref="U8592" si="13075">SUM(K8592:T8593)</f>
        <v>956200</v>
      </c>
      <c r="V8592" s="122"/>
      <c r="W8592" s="124"/>
      <c r="X8592" s="126" t="s">
        <v>24547</v>
      </c>
      <c r="Y8592" s="127"/>
      <c r="Z8592" s="127"/>
      <c r="AA8592" s="127"/>
      <c r="AB8592" s="128"/>
      <c r="AC8592" s="15" t="s">
        <v>20</v>
      </c>
      <c r="AD8592" s="129" t="s">
        <v>24475</v>
      </c>
      <c r="AE8592" s="130"/>
      <c r="AF8592" s="130"/>
      <c r="AG8592" s="130"/>
      <c r="AH8592" s="130"/>
      <c r="AI8592" s="131"/>
      <c r="AJ8592" s="132"/>
      <c r="AK8592" s="127"/>
      <c r="AL8592" s="128"/>
      <c r="AM8592" s="21"/>
      <c r="AN8592" s="133">
        <v>46142</v>
      </c>
      <c r="AO8592" s="134"/>
      <c r="AP8592" s="135">
        <v>1329</v>
      </c>
      <c r="AQ8592" s="136"/>
      <c r="AR8592" s="118">
        <v>965000</v>
      </c>
      <c r="AS8592" s="119"/>
      <c r="AT8592" s="118">
        <f t="shared" ref="AT8592" si="13076">AR8592*0.1</f>
        <v>96500</v>
      </c>
      <c r="AU8592" s="119"/>
      <c r="AV8592" s="118">
        <v>19440</v>
      </c>
      <c r="AW8592" s="119"/>
      <c r="AX8592" s="118">
        <f t="shared" ref="AX8592" si="13077">SUM(AR8592:AW8592)</f>
        <v>1080940</v>
      </c>
      <c r="AY8592" s="119"/>
      <c r="AZ8592" s="137">
        <v>46143</v>
      </c>
    </row>
    <row r="8593" spans="1:52" ht="17.100000000000001" customHeight="1" thickBot="1">
      <c r="A8593" s="110"/>
      <c r="B8593" s="27" t="s">
        <v>24398</v>
      </c>
      <c r="C8593" s="27">
        <v>83214</v>
      </c>
      <c r="D8593" s="14" t="s">
        <v>24449</v>
      </c>
      <c r="E8593" s="112"/>
      <c r="F8593" s="139" t="s">
        <v>24545</v>
      </c>
      <c r="G8593" s="140"/>
      <c r="H8593" s="141"/>
      <c r="I8593" s="26">
        <v>58264</v>
      </c>
      <c r="J8593" s="117"/>
      <c r="K8593" s="120"/>
      <c r="L8593" s="121"/>
      <c r="M8593" s="120"/>
      <c r="N8593" s="121"/>
      <c r="O8593" s="120"/>
      <c r="P8593" s="121"/>
      <c r="Q8593" s="120"/>
      <c r="R8593" s="121"/>
      <c r="S8593" s="120"/>
      <c r="T8593" s="121"/>
      <c r="U8593" s="120"/>
      <c r="V8593" s="123"/>
      <c r="W8593" s="125"/>
      <c r="X8593" s="142" t="s">
        <v>2918</v>
      </c>
      <c r="Y8593" s="143"/>
      <c r="Z8593" s="143"/>
      <c r="AA8593" s="143"/>
      <c r="AB8593" s="144"/>
      <c r="AC8593" s="16" t="s">
        <v>21</v>
      </c>
      <c r="AD8593" s="17" t="s">
        <v>2009</v>
      </c>
      <c r="AE8593" s="145" t="s">
        <v>9808</v>
      </c>
      <c r="AF8593" s="146"/>
      <c r="AG8593" s="146"/>
      <c r="AH8593" s="146"/>
      <c r="AI8593" s="147"/>
      <c r="AJ8593" s="148"/>
      <c r="AK8593" s="143"/>
      <c r="AL8593" s="144"/>
      <c r="AM8593" s="22"/>
      <c r="AN8593" s="149" t="s">
        <v>1747</v>
      </c>
      <c r="AO8593" s="144"/>
      <c r="AP8593" s="148">
        <v>124</v>
      </c>
      <c r="AQ8593" s="144"/>
      <c r="AR8593" s="120"/>
      <c r="AS8593" s="121"/>
      <c r="AT8593" s="120"/>
      <c r="AU8593" s="121"/>
      <c r="AV8593" s="120"/>
      <c r="AW8593" s="121"/>
      <c r="AX8593" s="120"/>
      <c r="AY8593" s="121"/>
      <c r="AZ8593" s="138"/>
    </row>
    <row r="8594" spans="1:52" ht="17.100000000000001" customHeight="1" thickTop="1">
      <c r="A8594" s="109" t="s">
        <v>24347</v>
      </c>
      <c r="B8594" s="28">
        <v>46137</v>
      </c>
      <c r="C8594" s="25">
        <v>1020</v>
      </c>
      <c r="D8594" s="13" t="s">
        <v>24540</v>
      </c>
      <c r="E8594" s="111"/>
      <c r="F8594" s="113" t="s">
        <v>24402</v>
      </c>
      <c r="G8594" s="114"/>
      <c r="H8594" s="115"/>
      <c r="I8594" s="24"/>
      <c r="J8594" s="116">
        <v>4.5</v>
      </c>
      <c r="K8594" s="118">
        <v>540000</v>
      </c>
      <c r="L8594" s="119"/>
      <c r="M8594" s="118">
        <f t="shared" ref="M8594" si="13078">K8594*0.1</f>
        <v>54000</v>
      </c>
      <c r="N8594" s="119"/>
      <c r="O8594" s="118">
        <v>0</v>
      </c>
      <c r="P8594" s="119"/>
      <c r="Q8594" s="118">
        <v>12470</v>
      </c>
      <c r="R8594" s="119"/>
      <c r="S8594" s="118">
        <v>20900</v>
      </c>
      <c r="T8594" s="119"/>
      <c r="U8594" s="118">
        <f t="shared" ref="U8594" si="13079">SUM(K8594:T8595)</f>
        <v>627370</v>
      </c>
      <c r="V8594" s="122"/>
      <c r="W8594" s="124"/>
      <c r="X8594" s="126" t="s">
        <v>25237</v>
      </c>
      <c r="Y8594" s="127"/>
      <c r="Z8594" s="127"/>
      <c r="AA8594" s="127"/>
      <c r="AB8594" s="128"/>
      <c r="AC8594" s="15" t="s">
        <v>20</v>
      </c>
      <c r="AD8594" s="129" t="s">
        <v>24475</v>
      </c>
      <c r="AE8594" s="130"/>
      <c r="AF8594" s="130"/>
      <c r="AG8594" s="130"/>
      <c r="AH8594" s="130"/>
      <c r="AI8594" s="131"/>
      <c r="AJ8594" s="132"/>
      <c r="AK8594" s="127"/>
      <c r="AL8594" s="128"/>
      <c r="AM8594" s="21"/>
      <c r="AN8594" s="133">
        <v>46144</v>
      </c>
      <c r="AO8594" s="134"/>
      <c r="AP8594" s="135">
        <v>1299</v>
      </c>
      <c r="AQ8594" s="136"/>
      <c r="AR8594" s="118">
        <v>875000</v>
      </c>
      <c r="AS8594" s="119"/>
      <c r="AT8594" s="118">
        <f t="shared" ref="AT8594" si="13080">AR8594*0.1</f>
        <v>87500</v>
      </c>
      <c r="AU8594" s="119"/>
      <c r="AV8594" s="118">
        <v>12470</v>
      </c>
      <c r="AW8594" s="119"/>
      <c r="AX8594" s="118">
        <f t="shared" ref="AX8594" si="13081">SUM(AR8594:AW8594)</f>
        <v>974970</v>
      </c>
      <c r="AY8594" s="119"/>
      <c r="AZ8594" s="137">
        <v>46154</v>
      </c>
    </row>
    <row r="8595" spans="1:52" ht="17.100000000000001" customHeight="1" thickBot="1">
      <c r="A8595" s="110"/>
      <c r="B8595" s="27" t="s">
        <v>24401</v>
      </c>
      <c r="C8595" s="27">
        <v>5036</v>
      </c>
      <c r="D8595" s="14" t="s">
        <v>24480</v>
      </c>
      <c r="E8595" s="112"/>
      <c r="F8595" s="139" t="s">
        <v>24541</v>
      </c>
      <c r="G8595" s="140"/>
      <c r="H8595" s="141"/>
      <c r="I8595" s="26">
        <v>56902</v>
      </c>
      <c r="J8595" s="117"/>
      <c r="K8595" s="120"/>
      <c r="L8595" s="121"/>
      <c r="M8595" s="120"/>
      <c r="N8595" s="121"/>
      <c r="O8595" s="120"/>
      <c r="P8595" s="121"/>
      <c r="Q8595" s="120"/>
      <c r="R8595" s="121"/>
      <c r="S8595" s="120"/>
      <c r="T8595" s="121"/>
      <c r="U8595" s="120"/>
      <c r="V8595" s="123"/>
      <c r="W8595" s="125"/>
      <c r="X8595" s="142" t="s">
        <v>9906</v>
      </c>
      <c r="Y8595" s="143"/>
      <c r="Z8595" s="143"/>
      <c r="AA8595" s="143"/>
      <c r="AB8595" s="144"/>
      <c r="AC8595" s="16" t="s">
        <v>21</v>
      </c>
      <c r="AD8595" s="17" t="s">
        <v>4287</v>
      </c>
      <c r="AE8595" s="145" t="s">
        <v>5275</v>
      </c>
      <c r="AF8595" s="146"/>
      <c r="AG8595" s="146"/>
      <c r="AH8595" s="146"/>
      <c r="AI8595" s="147"/>
      <c r="AJ8595" s="148"/>
      <c r="AK8595" s="143"/>
      <c r="AL8595" s="144"/>
      <c r="AM8595" s="22"/>
      <c r="AN8595" s="149" t="s">
        <v>25047</v>
      </c>
      <c r="AO8595" s="144"/>
      <c r="AP8595" s="148">
        <v>80293</v>
      </c>
      <c r="AQ8595" s="144"/>
      <c r="AR8595" s="120"/>
      <c r="AS8595" s="121"/>
      <c r="AT8595" s="120"/>
      <c r="AU8595" s="121"/>
      <c r="AV8595" s="120"/>
      <c r="AW8595" s="121"/>
      <c r="AX8595" s="120"/>
      <c r="AY8595" s="121"/>
      <c r="AZ8595" s="138"/>
    </row>
    <row r="8596" spans="1:52" ht="17.100000000000001" customHeight="1" thickTop="1">
      <c r="A8596" s="109" t="s">
        <v>24348</v>
      </c>
      <c r="B8596" s="28">
        <v>46137</v>
      </c>
      <c r="C8596" s="25">
        <v>1020</v>
      </c>
      <c r="D8596" s="13" t="s">
        <v>24542</v>
      </c>
      <c r="E8596" s="111"/>
      <c r="F8596" s="113" t="s">
        <v>24390</v>
      </c>
      <c r="G8596" s="114"/>
      <c r="H8596" s="115"/>
      <c r="I8596" s="24"/>
      <c r="J8596" s="116">
        <v>4</v>
      </c>
      <c r="K8596" s="118">
        <v>640000</v>
      </c>
      <c r="L8596" s="119"/>
      <c r="M8596" s="118">
        <f t="shared" ref="M8596" si="13082">K8596*0.1</f>
        <v>64000</v>
      </c>
      <c r="N8596" s="119"/>
      <c r="O8596" s="118">
        <v>0</v>
      </c>
      <c r="P8596" s="119"/>
      <c r="Q8596" s="118">
        <v>17700</v>
      </c>
      <c r="R8596" s="119"/>
      <c r="S8596" s="118">
        <v>15950</v>
      </c>
      <c r="T8596" s="119"/>
      <c r="U8596" s="118">
        <f t="shared" ref="U8596" si="13083">SUM(K8596:T8597)</f>
        <v>737650</v>
      </c>
      <c r="V8596" s="122"/>
      <c r="W8596" s="124"/>
      <c r="X8596" s="126" t="s">
        <v>25176</v>
      </c>
      <c r="Y8596" s="127"/>
      <c r="Z8596" s="127"/>
      <c r="AA8596" s="127"/>
      <c r="AB8596" s="128"/>
      <c r="AC8596" s="15" t="s">
        <v>20</v>
      </c>
      <c r="AD8596" s="129"/>
      <c r="AE8596" s="130"/>
      <c r="AF8596" s="130"/>
      <c r="AG8596" s="130"/>
      <c r="AH8596" s="130"/>
      <c r="AI8596" s="131"/>
      <c r="AJ8596" s="132"/>
      <c r="AK8596" s="127"/>
      <c r="AL8596" s="128"/>
      <c r="AM8596" s="21"/>
      <c r="AN8596" s="133">
        <v>46158</v>
      </c>
      <c r="AO8596" s="134"/>
      <c r="AP8596" s="135">
        <v>1300</v>
      </c>
      <c r="AQ8596" s="136"/>
      <c r="AR8596" s="118">
        <v>730000</v>
      </c>
      <c r="AS8596" s="119"/>
      <c r="AT8596" s="118">
        <f t="shared" ref="AT8596" si="13084">AR8596*0.1</f>
        <v>73000</v>
      </c>
      <c r="AU8596" s="119"/>
      <c r="AV8596" s="118">
        <v>17700</v>
      </c>
      <c r="AW8596" s="119"/>
      <c r="AX8596" s="118">
        <f t="shared" ref="AX8596" si="13085">SUM(AR8596:AW8596)</f>
        <v>820700</v>
      </c>
      <c r="AY8596" s="119"/>
      <c r="AZ8596" s="137">
        <v>46161</v>
      </c>
    </row>
    <row r="8597" spans="1:52" ht="17.100000000000001" customHeight="1" thickBot="1">
      <c r="A8597" s="110"/>
      <c r="B8597" s="27" t="s">
        <v>24401</v>
      </c>
      <c r="C8597" s="27">
        <v>5101</v>
      </c>
      <c r="D8597" s="14" t="s">
        <v>133</v>
      </c>
      <c r="E8597" s="112"/>
      <c r="F8597" s="139" t="s">
        <v>24543</v>
      </c>
      <c r="G8597" s="140"/>
      <c r="H8597" s="141"/>
      <c r="I8597" s="26">
        <v>37352</v>
      </c>
      <c r="J8597" s="117"/>
      <c r="K8597" s="120"/>
      <c r="L8597" s="121"/>
      <c r="M8597" s="120"/>
      <c r="N8597" s="121"/>
      <c r="O8597" s="120"/>
      <c r="P8597" s="121"/>
      <c r="Q8597" s="120"/>
      <c r="R8597" s="121"/>
      <c r="S8597" s="120"/>
      <c r="T8597" s="121"/>
      <c r="U8597" s="120"/>
      <c r="V8597" s="123"/>
      <c r="W8597" s="125"/>
      <c r="X8597" s="142" t="s">
        <v>5161</v>
      </c>
      <c r="Y8597" s="143"/>
      <c r="Z8597" s="143"/>
      <c r="AA8597" s="143"/>
      <c r="AB8597" s="144"/>
      <c r="AC8597" s="16" t="s">
        <v>21</v>
      </c>
      <c r="AD8597" s="17" t="s">
        <v>2066</v>
      </c>
      <c r="AE8597" s="145"/>
      <c r="AF8597" s="146"/>
      <c r="AG8597" s="146"/>
      <c r="AH8597" s="146"/>
      <c r="AI8597" s="147"/>
      <c r="AJ8597" s="148"/>
      <c r="AK8597" s="143"/>
      <c r="AL8597" s="144"/>
      <c r="AM8597" s="22"/>
      <c r="AN8597" s="149" t="s">
        <v>2511</v>
      </c>
      <c r="AO8597" s="144"/>
      <c r="AP8597" s="148">
        <v>80053</v>
      </c>
      <c r="AQ8597" s="144"/>
      <c r="AR8597" s="120"/>
      <c r="AS8597" s="121"/>
      <c r="AT8597" s="120"/>
      <c r="AU8597" s="121"/>
      <c r="AV8597" s="120"/>
      <c r="AW8597" s="121"/>
      <c r="AX8597" s="120"/>
      <c r="AY8597" s="121"/>
      <c r="AZ8597" s="138"/>
    </row>
    <row r="8598" spans="1:52" ht="17.100000000000001" customHeight="1" thickTop="1">
      <c r="A8598" s="151" t="s">
        <v>24349</v>
      </c>
      <c r="B8598" s="28">
        <v>46137</v>
      </c>
      <c r="C8598" s="25">
        <v>1298</v>
      </c>
      <c r="D8598" s="13" t="s">
        <v>24548</v>
      </c>
      <c r="E8598" s="111"/>
      <c r="F8598" s="113" t="s">
        <v>24404</v>
      </c>
      <c r="G8598" s="114"/>
      <c r="H8598" s="115"/>
      <c r="I8598" s="24"/>
      <c r="J8598" s="116">
        <v>4</v>
      </c>
      <c r="K8598" s="118">
        <v>1050000</v>
      </c>
      <c r="L8598" s="119"/>
      <c r="M8598" s="118">
        <f t="shared" ref="M8598" si="13086">K8598*0.1</f>
        <v>105000</v>
      </c>
      <c r="N8598" s="119"/>
      <c r="O8598" s="118">
        <v>0</v>
      </c>
      <c r="P8598" s="119"/>
      <c r="Q8598" s="118">
        <v>13860</v>
      </c>
      <c r="R8598" s="119"/>
      <c r="S8598" s="118">
        <v>12100</v>
      </c>
      <c r="T8598" s="119"/>
      <c r="U8598" s="118">
        <f t="shared" ref="U8598" si="13087">SUM(K8598:T8599)</f>
        <v>1180960</v>
      </c>
      <c r="V8598" s="122"/>
      <c r="W8598" s="124"/>
      <c r="X8598" s="126"/>
      <c r="Y8598" s="127"/>
      <c r="Z8598" s="127"/>
      <c r="AA8598" s="127"/>
      <c r="AB8598" s="128"/>
      <c r="AC8598" s="15" t="s">
        <v>20</v>
      </c>
      <c r="AD8598" s="129" t="s">
        <v>24475</v>
      </c>
      <c r="AE8598" s="130"/>
      <c r="AF8598" s="130"/>
      <c r="AG8598" s="130"/>
      <c r="AH8598" s="130"/>
      <c r="AI8598" s="131"/>
      <c r="AJ8598" s="132" t="s">
        <v>24851</v>
      </c>
      <c r="AK8598" s="127"/>
      <c r="AL8598" s="128"/>
      <c r="AM8598" s="21"/>
      <c r="AN8598" s="133"/>
      <c r="AO8598" s="134"/>
      <c r="AP8598" s="135"/>
      <c r="AQ8598" s="136"/>
      <c r="AR8598" s="118"/>
      <c r="AS8598" s="119"/>
      <c r="AT8598" s="118">
        <f t="shared" ref="AT8598" si="13088">AR8598*0.1</f>
        <v>0</v>
      </c>
      <c r="AU8598" s="119"/>
      <c r="AV8598" s="118"/>
      <c r="AW8598" s="119"/>
      <c r="AX8598" s="118">
        <f t="shared" ref="AX8598" si="13089">SUM(AR8598:AW8598)</f>
        <v>0</v>
      </c>
      <c r="AY8598" s="119"/>
      <c r="AZ8598" s="137"/>
    </row>
    <row r="8599" spans="1:52" ht="17.100000000000001" customHeight="1" thickBot="1">
      <c r="A8599" s="152"/>
      <c r="B8599" s="27" t="s">
        <v>24403</v>
      </c>
      <c r="C8599" s="27">
        <v>31285</v>
      </c>
      <c r="D8599" s="14" t="s">
        <v>24435</v>
      </c>
      <c r="E8599" s="112"/>
      <c r="F8599" s="139" t="s">
        <v>24405</v>
      </c>
      <c r="G8599" s="140"/>
      <c r="H8599" s="141"/>
      <c r="I8599" s="26">
        <v>135050</v>
      </c>
      <c r="J8599" s="117"/>
      <c r="K8599" s="120"/>
      <c r="L8599" s="121"/>
      <c r="M8599" s="120"/>
      <c r="N8599" s="121"/>
      <c r="O8599" s="120"/>
      <c r="P8599" s="121"/>
      <c r="Q8599" s="120"/>
      <c r="R8599" s="121"/>
      <c r="S8599" s="120"/>
      <c r="T8599" s="121"/>
      <c r="U8599" s="120"/>
      <c r="V8599" s="123"/>
      <c r="W8599" s="125"/>
      <c r="X8599" s="142"/>
      <c r="Y8599" s="143"/>
      <c r="Z8599" s="143"/>
      <c r="AA8599" s="143"/>
      <c r="AB8599" s="144"/>
      <c r="AC8599" s="16" t="s">
        <v>21</v>
      </c>
      <c r="AD8599" s="17" t="s">
        <v>24850</v>
      </c>
      <c r="AE8599" s="145"/>
      <c r="AF8599" s="146"/>
      <c r="AG8599" s="146"/>
      <c r="AH8599" s="146"/>
      <c r="AI8599" s="147"/>
      <c r="AJ8599" s="148"/>
      <c r="AK8599" s="143"/>
      <c r="AL8599" s="144"/>
      <c r="AM8599" s="22"/>
      <c r="AN8599" s="149"/>
      <c r="AO8599" s="144"/>
      <c r="AP8599" s="148"/>
      <c r="AQ8599" s="144"/>
      <c r="AR8599" s="120"/>
      <c r="AS8599" s="121"/>
      <c r="AT8599" s="120"/>
      <c r="AU8599" s="121"/>
      <c r="AV8599" s="120"/>
      <c r="AW8599" s="121"/>
      <c r="AX8599" s="120"/>
      <c r="AY8599" s="121"/>
      <c r="AZ8599" s="138"/>
    </row>
    <row r="8600" spans="1:52" ht="17.100000000000001" customHeight="1" thickTop="1">
      <c r="A8600" s="109" t="s">
        <v>24350</v>
      </c>
      <c r="B8600" s="28">
        <v>46137</v>
      </c>
      <c r="C8600" s="25">
        <v>1298</v>
      </c>
      <c r="D8600" s="13" t="s">
        <v>24549</v>
      </c>
      <c r="E8600" s="111"/>
      <c r="F8600" s="113" t="s">
        <v>24406</v>
      </c>
      <c r="G8600" s="114"/>
      <c r="H8600" s="115"/>
      <c r="I8600" s="24" t="s">
        <v>24550</v>
      </c>
      <c r="J8600" s="116">
        <v>4.5</v>
      </c>
      <c r="K8600" s="118">
        <v>1100000</v>
      </c>
      <c r="L8600" s="119"/>
      <c r="M8600" s="118">
        <f t="shared" ref="M8600" si="13090">K8600*0.1</f>
        <v>110000</v>
      </c>
      <c r="N8600" s="119"/>
      <c r="O8600" s="118">
        <v>0</v>
      </c>
      <c r="P8600" s="119"/>
      <c r="Q8600" s="118">
        <v>8200</v>
      </c>
      <c r="R8600" s="119"/>
      <c r="S8600" s="118">
        <v>12100</v>
      </c>
      <c r="T8600" s="119"/>
      <c r="U8600" s="118">
        <f t="shared" ref="U8600" si="13091">SUM(K8600:T8601)</f>
        <v>1230300</v>
      </c>
      <c r="V8600" s="122"/>
      <c r="W8600" s="124"/>
      <c r="X8600" s="126" t="s">
        <v>24551</v>
      </c>
      <c r="Y8600" s="127"/>
      <c r="Z8600" s="127"/>
      <c r="AA8600" s="127"/>
      <c r="AB8600" s="128"/>
      <c r="AC8600" s="15" t="s">
        <v>20</v>
      </c>
      <c r="AD8600" s="129"/>
      <c r="AE8600" s="130"/>
      <c r="AF8600" s="130"/>
      <c r="AG8600" s="130"/>
      <c r="AH8600" s="130"/>
      <c r="AI8600" s="131"/>
      <c r="AJ8600" s="132"/>
      <c r="AK8600" s="127"/>
      <c r="AL8600" s="128"/>
      <c r="AM8600" s="21"/>
      <c r="AN8600" s="133"/>
      <c r="AO8600" s="134"/>
      <c r="AP8600" s="135"/>
      <c r="AQ8600" s="136"/>
      <c r="AR8600" s="118"/>
      <c r="AS8600" s="119"/>
      <c r="AT8600" s="118">
        <f t="shared" ref="AT8600" si="13092">AR8600*0.1</f>
        <v>0</v>
      </c>
      <c r="AU8600" s="119"/>
      <c r="AV8600" s="118"/>
      <c r="AW8600" s="119"/>
      <c r="AX8600" s="118">
        <f t="shared" ref="AX8600" si="13093">SUM(AR8600:AW8600)</f>
        <v>0</v>
      </c>
      <c r="AY8600" s="119"/>
      <c r="AZ8600" s="137"/>
    </row>
    <row r="8601" spans="1:52" ht="17.100000000000001" customHeight="1" thickBot="1">
      <c r="A8601" s="110"/>
      <c r="B8601" s="27" t="s">
        <v>2511</v>
      </c>
      <c r="C8601" s="27">
        <v>31305</v>
      </c>
      <c r="D8601" s="14" t="s">
        <v>24499</v>
      </c>
      <c r="E8601" s="112"/>
      <c r="F8601" s="139" t="s">
        <v>24407</v>
      </c>
      <c r="G8601" s="140"/>
      <c r="H8601" s="141"/>
      <c r="I8601" s="26">
        <v>25922</v>
      </c>
      <c r="J8601" s="117"/>
      <c r="K8601" s="120"/>
      <c r="L8601" s="121"/>
      <c r="M8601" s="120"/>
      <c r="N8601" s="121"/>
      <c r="O8601" s="120"/>
      <c r="P8601" s="121"/>
      <c r="Q8601" s="120"/>
      <c r="R8601" s="121"/>
      <c r="S8601" s="120"/>
      <c r="T8601" s="121"/>
      <c r="U8601" s="120"/>
      <c r="V8601" s="123"/>
      <c r="W8601" s="125"/>
      <c r="X8601" s="142" t="s">
        <v>25173</v>
      </c>
      <c r="Y8601" s="143"/>
      <c r="Z8601" s="143"/>
      <c r="AA8601" s="143"/>
      <c r="AB8601" s="144"/>
      <c r="AC8601" s="16" t="s">
        <v>21</v>
      </c>
      <c r="AD8601" s="17" t="s">
        <v>2009</v>
      </c>
      <c r="AE8601" s="145" t="s">
        <v>8818</v>
      </c>
      <c r="AF8601" s="146"/>
      <c r="AG8601" s="146"/>
      <c r="AH8601" s="146"/>
      <c r="AI8601" s="147"/>
      <c r="AJ8601" s="148"/>
      <c r="AK8601" s="143"/>
      <c r="AL8601" s="144"/>
      <c r="AM8601" s="22"/>
      <c r="AN8601" s="149"/>
      <c r="AO8601" s="144"/>
      <c r="AP8601" s="148"/>
      <c r="AQ8601" s="144"/>
      <c r="AR8601" s="120"/>
      <c r="AS8601" s="121"/>
      <c r="AT8601" s="120"/>
      <c r="AU8601" s="121"/>
      <c r="AV8601" s="120"/>
      <c r="AW8601" s="121"/>
      <c r="AX8601" s="120"/>
      <c r="AY8601" s="121"/>
      <c r="AZ8601" s="138"/>
    </row>
    <row r="8602" spans="1:52" ht="17.100000000000001" customHeight="1" thickTop="1">
      <c r="A8602" s="109" t="s">
        <v>24351</v>
      </c>
      <c r="B8602" s="28">
        <v>46137</v>
      </c>
      <c r="C8602" s="25">
        <v>1298</v>
      </c>
      <c r="D8602" s="13" t="s">
        <v>24552</v>
      </c>
      <c r="E8602" s="111"/>
      <c r="F8602" s="113" t="s">
        <v>24408</v>
      </c>
      <c r="G8602" s="114"/>
      <c r="H8602" s="115"/>
      <c r="I8602" s="24" t="s">
        <v>24554</v>
      </c>
      <c r="J8602" s="116">
        <v>4</v>
      </c>
      <c r="K8602" s="118">
        <v>1105000</v>
      </c>
      <c r="L8602" s="119"/>
      <c r="M8602" s="118">
        <f t="shared" ref="M8602" si="13094">K8602*0.1</f>
        <v>110500</v>
      </c>
      <c r="N8602" s="119"/>
      <c r="O8602" s="118">
        <v>0</v>
      </c>
      <c r="P8602" s="119"/>
      <c r="Q8602" s="118">
        <v>6850</v>
      </c>
      <c r="R8602" s="119"/>
      <c r="S8602" s="118">
        <v>12100</v>
      </c>
      <c r="T8602" s="119"/>
      <c r="U8602" s="118">
        <f t="shared" ref="U8602" si="13095">SUM(K8602:T8603)</f>
        <v>1234450</v>
      </c>
      <c r="V8602" s="122"/>
      <c r="W8602" s="124"/>
      <c r="X8602" s="126" t="s">
        <v>24555</v>
      </c>
      <c r="Y8602" s="127"/>
      <c r="Z8602" s="127"/>
      <c r="AA8602" s="127"/>
      <c r="AB8602" s="128"/>
      <c r="AC8602" s="15" t="s">
        <v>20</v>
      </c>
      <c r="AD8602" s="129" t="s">
        <v>24556</v>
      </c>
      <c r="AE8602" s="130"/>
      <c r="AF8602" s="130"/>
      <c r="AG8602" s="130"/>
      <c r="AH8602" s="130"/>
      <c r="AI8602" s="131"/>
      <c r="AJ8602" s="132"/>
      <c r="AK8602" s="127"/>
      <c r="AL8602" s="128"/>
      <c r="AM8602" s="21"/>
      <c r="AN8602" s="133"/>
      <c r="AO8602" s="134"/>
      <c r="AP8602" s="135"/>
      <c r="AQ8602" s="136"/>
      <c r="AR8602" s="118"/>
      <c r="AS8602" s="119"/>
      <c r="AT8602" s="118">
        <f t="shared" ref="AT8602" si="13096">AR8602*0.1</f>
        <v>0</v>
      </c>
      <c r="AU8602" s="119"/>
      <c r="AV8602" s="118"/>
      <c r="AW8602" s="119"/>
      <c r="AX8602" s="118">
        <f t="shared" ref="AX8602" si="13097">SUM(AR8602:AW8602)</f>
        <v>0</v>
      </c>
      <c r="AY8602" s="119"/>
      <c r="AZ8602" s="137"/>
    </row>
    <row r="8603" spans="1:52" ht="17.100000000000001" customHeight="1" thickBot="1">
      <c r="A8603" s="110"/>
      <c r="B8603" s="27" t="s">
        <v>2511</v>
      </c>
      <c r="C8603" s="27">
        <v>31325</v>
      </c>
      <c r="D8603" s="14" t="s">
        <v>24553</v>
      </c>
      <c r="E8603" s="112"/>
      <c r="F8603" s="139" t="s">
        <v>24409</v>
      </c>
      <c r="G8603" s="140"/>
      <c r="H8603" s="141"/>
      <c r="I8603" s="26">
        <v>29560</v>
      </c>
      <c r="J8603" s="117"/>
      <c r="K8603" s="120"/>
      <c r="L8603" s="121"/>
      <c r="M8603" s="120"/>
      <c r="N8603" s="121"/>
      <c r="O8603" s="120"/>
      <c r="P8603" s="121"/>
      <c r="Q8603" s="120"/>
      <c r="R8603" s="121"/>
      <c r="S8603" s="120"/>
      <c r="T8603" s="121"/>
      <c r="U8603" s="120"/>
      <c r="V8603" s="123"/>
      <c r="W8603" s="125"/>
      <c r="X8603" s="142" t="s">
        <v>25171</v>
      </c>
      <c r="Y8603" s="143"/>
      <c r="Z8603" s="143"/>
      <c r="AA8603" s="143"/>
      <c r="AB8603" s="144"/>
      <c r="AC8603" s="16" t="s">
        <v>21</v>
      </c>
      <c r="AD8603" s="17" t="s">
        <v>2009</v>
      </c>
      <c r="AE8603" s="145" t="s">
        <v>25172</v>
      </c>
      <c r="AF8603" s="146"/>
      <c r="AG8603" s="146"/>
      <c r="AH8603" s="146"/>
      <c r="AI8603" s="147"/>
      <c r="AJ8603" s="148"/>
      <c r="AK8603" s="143"/>
      <c r="AL8603" s="144"/>
      <c r="AM8603" s="22"/>
      <c r="AN8603" s="149"/>
      <c r="AO8603" s="144"/>
      <c r="AP8603" s="148"/>
      <c r="AQ8603" s="144"/>
      <c r="AR8603" s="120"/>
      <c r="AS8603" s="121"/>
      <c r="AT8603" s="120"/>
      <c r="AU8603" s="121"/>
      <c r="AV8603" s="120"/>
      <c r="AW8603" s="121"/>
      <c r="AX8603" s="120"/>
      <c r="AY8603" s="121"/>
      <c r="AZ8603" s="138"/>
    </row>
    <row r="8604" spans="1:52" ht="17.100000000000001" customHeight="1" thickTop="1">
      <c r="A8604" s="109" t="s">
        <v>24352</v>
      </c>
      <c r="B8604" s="28">
        <v>46137</v>
      </c>
      <c r="C8604" s="25">
        <v>1298</v>
      </c>
      <c r="D8604" s="13" t="s">
        <v>24557</v>
      </c>
      <c r="E8604" s="111"/>
      <c r="F8604" s="113" t="s">
        <v>24410</v>
      </c>
      <c r="G8604" s="114"/>
      <c r="H8604" s="115"/>
      <c r="I8604" s="24"/>
      <c r="J8604" s="116">
        <v>4</v>
      </c>
      <c r="K8604" s="118">
        <v>945000</v>
      </c>
      <c r="L8604" s="119"/>
      <c r="M8604" s="118">
        <f t="shared" ref="M8604" si="13098">K8604*0.1</f>
        <v>94500</v>
      </c>
      <c r="N8604" s="119"/>
      <c r="O8604" s="118">
        <v>0</v>
      </c>
      <c r="P8604" s="119"/>
      <c r="Q8604" s="118">
        <v>7440</v>
      </c>
      <c r="R8604" s="119"/>
      <c r="S8604" s="118">
        <v>11000</v>
      </c>
      <c r="T8604" s="119"/>
      <c r="U8604" s="118">
        <f t="shared" ref="U8604" si="13099">SUM(K8604:T8605)</f>
        <v>1057940</v>
      </c>
      <c r="V8604" s="122"/>
      <c r="W8604" s="124"/>
      <c r="X8604" s="126" t="s">
        <v>25169</v>
      </c>
      <c r="Y8604" s="127"/>
      <c r="Z8604" s="127"/>
      <c r="AA8604" s="127"/>
      <c r="AB8604" s="128"/>
      <c r="AC8604" s="15" t="s">
        <v>20</v>
      </c>
      <c r="AD8604" s="129" t="s">
        <v>24558</v>
      </c>
      <c r="AE8604" s="130"/>
      <c r="AF8604" s="130"/>
      <c r="AG8604" s="130"/>
      <c r="AH8604" s="130"/>
      <c r="AI8604" s="131"/>
      <c r="AJ8604" s="132"/>
      <c r="AK8604" s="127"/>
      <c r="AL8604" s="128"/>
      <c r="AM8604" s="21"/>
      <c r="AN8604" s="133"/>
      <c r="AO8604" s="134"/>
      <c r="AP8604" s="135"/>
      <c r="AQ8604" s="136"/>
      <c r="AR8604" s="118"/>
      <c r="AS8604" s="119"/>
      <c r="AT8604" s="118">
        <f t="shared" ref="AT8604" si="13100">AR8604*0.1</f>
        <v>0</v>
      </c>
      <c r="AU8604" s="119"/>
      <c r="AV8604" s="118"/>
      <c r="AW8604" s="119"/>
      <c r="AX8604" s="118">
        <f t="shared" ref="AX8604" si="13101">SUM(AR8604:AW8604)</f>
        <v>0</v>
      </c>
      <c r="AY8604" s="119"/>
      <c r="AZ8604" s="137"/>
    </row>
    <row r="8605" spans="1:52" ht="17.100000000000001" customHeight="1" thickBot="1">
      <c r="A8605" s="110"/>
      <c r="B8605" s="27" t="s">
        <v>2511</v>
      </c>
      <c r="C8605" s="27">
        <v>40031</v>
      </c>
      <c r="D8605" s="14" t="s">
        <v>24449</v>
      </c>
      <c r="E8605" s="112"/>
      <c r="F8605" s="139" t="s">
        <v>24411</v>
      </c>
      <c r="G8605" s="140"/>
      <c r="H8605" s="141"/>
      <c r="I8605" s="26">
        <v>50455</v>
      </c>
      <c r="J8605" s="117"/>
      <c r="K8605" s="120"/>
      <c r="L8605" s="121"/>
      <c r="M8605" s="120"/>
      <c r="N8605" s="121"/>
      <c r="O8605" s="120"/>
      <c r="P8605" s="121"/>
      <c r="Q8605" s="120"/>
      <c r="R8605" s="121"/>
      <c r="S8605" s="120"/>
      <c r="T8605" s="121"/>
      <c r="U8605" s="120"/>
      <c r="V8605" s="123"/>
      <c r="W8605" s="125"/>
      <c r="X8605" s="142" t="s">
        <v>15395</v>
      </c>
      <c r="Y8605" s="143"/>
      <c r="Z8605" s="143"/>
      <c r="AA8605" s="143"/>
      <c r="AB8605" s="144"/>
      <c r="AC8605" s="16" t="s">
        <v>21</v>
      </c>
      <c r="AD8605" s="17" t="s">
        <v>2009</v>
      </c>
      <c r="AE8605" s="145" t="s">
        <v>25170</v>
      </c>
      <c r="AF8605" s="146"/>
      <c r="AG8605" s="146"/>
      <c r="AH8605" s="146"/>
      <c r="AI8605" s="147"/>
      <c r="AJ8605" s="148"/>
      <c r="AK8605" s="143"/>
      <c r="AL8605" s="144"/>
      <c r="AM8605" s="22"/>
      <c r="AN8605" s="149"/>
      <c r="AO8605" s="144"/>
      <c r="AP8605" s="148"/>
      <c r="AQ8605" s="144"/>
      <c r="AR8605" s="120"/>
      <c r="AS8605" s="121"/>
      <c r="AT8605" s="120"/>
      <c r="AU8605" s="121"/>
      <c r="AV8605" s="120"/>
      <c r="AW8605" s="121"/>
      <c r="AX8605" s="120"/>
      <c r="AY8605" s="121"/>
      <c r="AZ8605" s="138"/>
    </row>
    <row r="8606" spans="1:52" ht="17.100000000000001" customHeight="1" thickTop="1">
      <c r="A8606" s="109" t="s">
        <v>24425</v>
      </c>
      <c r="B8606" s="28">
        <v>46137</v>
      </c>
      <c r="C8606" s="25">
        <v>1298</v>
      </c>
      <c r="D8606" s="13" t="s">
        <v>24557</v>
      </c>
      <c r="E8606" s="111"/>
      <c r="F8606" s="113" t="s">
        <v>24410</v>
      </c>
      <c r="G8606" s="114"/>
      <c r="H8606" s="115"/>
      <c r="I8606" s="24"/>
      <c r="J8606" s="116">
        <v>4</v>
      </c>
      <c r="K8606" s="118">
        <v>990000</v>
      </c>
      <c r="L8606" s="119"/>
      <c r="M8606" s="118">
        <f t="shared" ref="M8606" si="13102">K8606*0.1</f>
        <v>99000</v>
      </c>
      <c r="N8606" s="119"/>
      <c r="O8606" s="118">
        <v>0</v>
      </c>
      <c r="P8606" s="119"/>
      <c r="Q8606" s="118">
        <v>7440</v>
      </c>
      <c r="R8606" s="119"/>
      <c r="S8606" s="118">
        <v>11000</v>
      </c>
      <c r="T8606" s="119"/>
      <c r="U8606" s="118">
        <f t="shared" ref="U8606" si="13103">SUM(K8606:T8607)</f>
        <v>1107440</v>
      </c>
      <c r="V8606" s="122"/>
      <c r="W8606" s="124"/>
      <c r="X8606" s="126" t="s">
        <v>25138</v>
      </c>
      <c r="Y8606" s="127"/>
      <c r="Z8606" s="127"/>
      <c r="AA8606" s="127"/>
      <c r="AB8606" s="128"/>
      <c r="AC8606" s="15" t="s">
        <v>20</v>
      </c>
      <c r="AD8606" s="129" t="s">
        <v>24558</v>
      </c>
      <c r="AE8606" s="130"/>
      <c r="AF8606" s="130"/>
      <c r="AG8606" s="130"/>
      <c r="AH8606" s="130"/>
      <c r="AI8606" s="131"/>
      <c r="AJ8606" s="132"/>
      <c r="AK8606" s="127"/>
      <c r="AL8606" s="128"/>
      <c r="AM8606" s="21"/>
      <c r="AN8606" s="133">
        <v>46144</v>
      </c>
      <c r="AO8606" s="134"/>
      <c r="AP8606" s="135">
        <v>1299</v>
      </c>
      <c r="AQ8606" s="136"/>
      <c r="AR8606" s="118">
        <v>1095000</v>
      </c>
      <c r="AS8606" s="119"/>
      <c r="AT8606" s="118">
        <f t="shared" ref="AT8606" si="13104">AR8606*0.1</f>
        <v>109500</v>
      </c>
      <c r="AU8606" s="119"/>
      <c r="AV8606" s="118">
        <v>7440</v>
      </c>
      <c r="AW8606" s="119"/>
      <c r="AX8606" s="118">
        <f t="shared" ref="AX8606" si="13105">SUM(AR8606:AW8606)</f>
        <v>1211940</v>
      </c>
      <c r="AY8606" s="119"/>
      <c r="AZ8606" s="137">
        <v>46154</v>
      </c>
    </row>
    <row r="8607" spans="1:52" ht="17.100000000000001" customHeight="1" thickBot="1">
      <c r="A8607" s="110"/>
      <c r="B8607" s="27" t="s">
        <v>2511</v>
      </c>
      <c r="C8607" s="27">
        <v>40035</v>
      </c>
      <c r="D8607" s="14" t="s">
        <v>24449</v>
      </c>
      <c r="E8607" s="112"/>
      <c r="F8607" s="139" t="s">
        <v>24412</v>
      </c>
      <c r="G8607" s="140"/>
      <c r="H8607" s="141"/>
      <c r="I8607" s="26">
        <v>48990</v>
      </c>
      <c r="J8607" s="117"/>
      <c r="K8607" s="120"/>
      <c r="L8607" s="121"/>
      <c r="M8607" s="120"/>
      <c r="N8607" s="121"/>
      <c r="O8607" s="120"/>
      <c r="P8607" s="121"/>
      <c r="Q8607" s="120"/>
      <c r="R8607" s="121"/>
      <c r="S8607" s="120"/>
      <c r="T8607" s="121"/>
      <c r="U8607" s="120"/>
      <c r="V8607" s="123"/>
      <c r="W8607" s="125"/>
      <c r="X8607" s="142" t="s">
        <v>15395</v>
      </c>
      <c r="Y8607" s="143"/>
      <c r="Z8607" s="143"/>
      <c r="AA8607" s="143"/>
      <c r="AB8607" s="144"/>
      <c r="AC8607" s="16" t="s">
        <v>21</v>
      </c>
      <c r="AD8607" s="17" t="s">
        <v>2009</v>
      </c>
      <c r="AE8607" s="145" t="s">
        <v>25139</v>
      </c>
      <c r="AF8607" s="146"/>
      <c r="AG8607" s="146"/>
      <c r="AH8607" s="146"/>
      <c r="AI8607" s="147"/>
      <c r="AJ8607" s="148"/>
      <c r="AK8607" s="143"/>
      <c r="AL8607" s="144"/>
      <c r="AM8607" s="22"/>
      <c r="AN8607" s="149" t="s">
        <v>25047</v>
      </c>
      <c r="AO8607" s="144"/>
      <c r="AP8607" s="148">
        <v>41015</v>
      </c>
      <c r="AQ8607" s="144"/>
      <c r="AR8607" s="120"/>
      <c r="AS8607" s="121"/>
      <c r="AT8607" s="120"/>
      <c r="AU8607" s="121"/>
      <c r="AV8607" s="120"/>
      <c r="AW8607" s="121"/>
      <c r="AX8607" s="120"/>
      <c r="AY8607" s="121"/>
      <c r="AZ8607" s="138"/>
    </row>
    <row r="8608" spans="1:52" ht="17.100000000000001" customHeight="1" thickTop="1">
      <c r="A8608" s="109" t="s">
        <v>24426</v>
      </c>
      <c r="B8608" s="28">
        <v>46137</v>
      </c>
      <c r="C8608" s="25">
        <v>1298</v>
      </c>
      <c r="D8608" s="13" t="s">
        <v>24559</v>
      </c>
      <c r="E8608" s="111"/>
      <c r="F8608" s="113" t="s">
        <v>24413</v>
      </c>
      <c r="G8608" s="114"/>
      <c r="H8608" s="115"/>
      <c r="I8608" s="24"/>
      <c r="J8608" s="116">
        <v>4.5</v>
      </c>
      <c r="K8608" s="118">
        <v>307000</v>
      </c>
      <c r="L8608" s="119"/>
      <c r="M8608" s="118">
        <f t="shared" ref="M8608" si="13106">K8608*0.1</f>
        <v>30700</v>
      </c>
      <c r="N8608" s="119"/>
      <c r="O8608" s="118">
        <v>0</v>
      </c>
      <c r="P8608" s="119"/>
      <c r="Q8608" s="118">
        <v>12470</v>
      </c>
      <c r="R8608" s="119"/>
      <c r="S8608" s="118">
        <v>16500</v>
      </c>
      <c r="T8608" s="119"/>
      <c r="U8608" s="118">
        <f t="shared" ref="U8608" si="13107">SUM(K8608:T8609)</f>
        <v>366670</v>
      </c>
      <c r="V8608" s="122"/>
      <c r="W8608" s="124"/>
      <c r="X8608" s="126" t="s">
        <v>25137</v>
      </c>
      <c r="Y8608" s="127"/>
      <c r="Z8608" s="127"/>
      <c r="AA8608" s="127"/>
      <c r="AB8608" s="128"/>
      <c r="AC8608" s="15" t="s">
        <v>20</v>
      </c>
      <c r="AD8608" s="129"/>
      <c r="AE8608" s="130"/>
      <c r="AF8608" s="130"/>
      <c r="AG8608" s="130"/>
      <c r="AH8608" s="130"/>
      <c r="AI8608" s="131"/>
      <c r="AJ8608" s="132"/>
      <c r="AK8608" s="127"/>
      <c r="AL8608" s="128"/>
      <c r="AM8608" s="21"/>
      <c r="AN8608" s="133">
        <v>46144</v>
      </c>
      <c r="AO8608" s="134"/>
      <c r="AP8608" s="135">
        <v>1299</v>
      </c>
      <c r="AQ8608" s="136"/>
      <c r="AR8608" s="118">
        <v>460000</v>
      </c>
      <c r="AS8608" s="119"/>
      <c r="AT8608" s="118">
        <f t="shared" ref="AT8608" si="13108">AR8608*0.1</f>
        <v>46000</v>
      </c>
      <c r="AU8608" s="119"/>
      <c r="AV8608" s="118">
        <v>12470</v>
      </c>
      <c r="AW8608" s="119"/>
      <c r="AX8608" s="118">
        <f t="shared" ref="AX8608" si="13109">SUM(AR8608:AW8608)</f>
        <v>518470</v>
      </c>
      <c r="AY8608" s="119"/>
      <c r="AZ8608" s="137">
        <v>46154</v>
      </c>
    </row>
    <row r="8609" spans="1:52" ht="17.100000000000001" customHeight="1" thickBot="1">
      <c r="A8609" s="110"/>
      <c r="B8609" s="27" t="s">
        <v>2511</v>
      </c>
      <c r="C8609" s="27">
        <v>53403</v>
      </c>
      <c r="D8609" s="14" t="s">
        <v>24560</v>
      </c>
      <c r="E8609" s="112"/>
      <c r="F8609" s="139" t="s">
        <v>25136</v>
      </c>
      <c r="G8609" s="140"/>
      <c r="H8609" s="141"/>
      <c r="I8609" s="26">
        <v>77787</v>
      </c>
      <c r="J8609" s="117"/>
      <c r="K8609" s="120"/>
      <c r="L8609" s="121"/>
      <c r="M8609" s="120"/>
      <c r="N8609" s="121"/>
      <c r="O8609" s="120"/>
      <c r="P8609" s="121"/>
      <c r="Q8609" s="120"/>
      <c r="R8609" s="121"/>
      <c r="S8609" s="120"/>
      <c r="T8609" s="121"/>
      <c r="U8609" s="120"/>
      <c r="V8609" s="123"/>
      <c r="W8609" s="125"/>
      <c r="X8609" s="142" t="s">
        <v>17520</v>
      </c>
      <c r="Y8609" s="143"/>
      <c r="Z8609" s="143"/>
      <c r="AA8609" s="143"/>
      <c r="AB8609" s="144"/>
      <c r="AC8609" s="16" t="s">
        <v>21</v>
      </c>
      <c r="AD8609" s="17" t="s">
        <v>2009</v>
      </c>
      <c r="AE8609" s="145" t="s">
        <v>24679</v>
      </c>
      <c r="AF8609" s="146"/>
      <c r="AG8609" s="146"/>
      <c r="AH8609" s="146"/>
      <c r="AI8609" s="147"/>
      <c r="AJ8609" s="148"/>
      <c r="AK8609" s="143"/>
      <c r="AL8609" s="144"/>
      <c r="AM8609" s="22"/>
      <c r="AN8609" s="149" t="s">
        <v>25047</v>
      </c>
      <c r="AO8609" s="144"/>
      <c r="AP8609" s="148">
        <v>80002</v>
      </c>
      <c r="AQ8609" s="144"/>
      <c r="AR8609" s="120"/>
      <c r="AS8609" s="121"/>
      <c r="AT8609" s="120"/>
      <c r="AU8609" s="121"/>
      <c r="AV8609" s="120"/>
      <c r="AW8609" s="121"/>
      <c r="AX8609" s="120"/>
      <c r="AY8609" s="121"/>
      <c r="AZ8609" s="138"/>
    </row>
    <row r="8610" spans="1:52" ht="17.100000000000001" customHeight="1" thickTop="1">
      <c r="A8610" s="151" t="s">
        <v>24427</v>
      </c>
      <c r="B8610" s="28">
        <v>46137</v>
      </c>
      <c r="C8610" s="25">
        <v>1298</v>
      </c>
      <c r="D8610" s="13" t="s">
        <v>24561</v>
      </c>
      <c r="E8610" s="111"/>
      <c r="F8610" s="113" t="s">
        <v>24414</v>
      </c>
      <c r="G8610" s="114"/>
      <c r="H8610" s="115"/>
      <c r="I8610" s="24"/>
      <c r="J8610" s="116">
        <v>4</v>
      </c>
      <c r="K8610" s="118">
        <v>1033000</v>
      </c>
      <c r="L8610" s="119"/>
      <c r="M8610" s="118">
        <f t="shared" ref="M8610" si="13110">K8610*0.1</f>
        <v>103300</v>
      </c>
      <c r="N8610" s="119"/>
      <c r="O8610" s="118">
        <v>0</v>
      </c>
      <c r="P8610" s="119"/>
      <c r="Q8610" s="118">
        <v>10360</v>
      </c>
      <c r="R8610" s="119"/>
      <c r="S8610" s="118">
        <v>13200</v>
      </c>
      <c r="T8610" s="119"/>
      <c r="U8610" s="118">
        <f t="shared" ref="U8610" si="13111">SUM(K8610:T8611)</f>
        <v>1159860</v>
      </c>
      <c r="V8610" s="122"/>
      <c r="W8610" s="124"/>
      <c r="X8610" s="126"/>
      <c r="Y8610" s="127"/>
      <c r="Z8610" s="127"/>
      <c r="AA8610" s="127"/>
      <c r="AB8610" s="128"/>
      <c r="AC8610" s="15" t="s">
        <v>20</v>
      </c>
      <c r="AD8610" s="129"/>
      <c r="AE8610" s="130"/>
      <c r="AF8610" s="130"/>
      <c r="AG8610" s="130"/>
      <c r="AH8610" s="130"/>
      <c r="AI8610" s="131"/>
      <c r="AJ8610" s="132" t="s">
        <v>8040</v>
      </c>
      <c r="AK8610" s="127"/>
      <c r="AL8610" s="128"/>
      <c r="AM8610" s="21"/>
      <c r="AN8610" s="133"/>
      <c r="AO8610" s="134"/>
      <c r="AP8610" s="135"/>
      <c r="AQ8610" s="136"/>
      <c r="AR8610" s="118"/>
      <c r="AS8610" s="119"/>
      <c r="AT8610" s="118">
        <f t="shared" ref="AT8610" si="13112">AR8610*0.1</f>
        <v>0</v>
      </c>
      <c r="AU8610" s="119"/>
      <c r="AV8610" s="118"/>
      <c r="AW8610" s="119"/>
      <c r="AX8610" s="118">
        <f t="shared" ref="AX8610" si="13113">SUM(AR8610:AW8610)</f>
        <v>0</v>
      </c>
      <c r="AY8610" s="119"/>
      <c r="AZ8610" s="137"/>
    </row>
    <row r="8611" spans="1:52" ht="17.100000000000001" customHeight="1" thickBot="1">
      <c r="A8611" s="152"/>
      <c r="B8611" s="27" t="s">
        <v>2511</v>
      </c>
      <c r="C8611" s="27">
        <v>53503</v>
      </c>
      <c r="D8611" s="14" t="s">
        <v>24465</v>
      </c>
      <c r="E8611" s="112"/>
      <c r="F8611" s="139" t="s">
        <v>24415</v>
      </c>
      <c r="G8611" s="140"/>
      <c r="H8611" s="141"/>
      <c r="I8611" s="26">
        <v>37843</v>
      </c>
      <c r="J8611" s="117"/>
      <c r="K8611" s="120"/>
      <c r="L8611" s="121"/>
      <c r="M8611" s="120"/>
      <c r="N8611" s="121"/>
      <c r="O8611" s="120"/>
      <c r="P8611" s="121"/>
      <c r="Q8611" s="120"/>
      <c r="R8611" s="121"/>
      <c r="S8611" s="120"/>
      <c r="T8611" s="121"/>
      <c r="U8611" s="120"/>
      <c r="V8611" s="123"/>
      <c r="W8611" s="125"/>
      <c r="X8611" s="142"/>
      <c r="Y8611" s="143"/>
      <c r="Z8611" s="143"/>
      <c r="AA8611" s="143"/>
      <c r="AB8611" s="144"/>
      <c r="AC8611" s="16" t="s">
        <v>21</v>
      </c>
      <c r="AD8611" s="17" t="s">
        <v>10540</v>
      </c>
      <c r="AE8611" s="145"/>
      <c r="AF8611" s="146"/>
      <c r="AG8611" s="146"/>
      <c r="AH8611" s="146"/>
      <c r="AI8611" s="147"/>
      <c r="AJ8611" s="148"/>
      <c r="AK8611" s="143"/>
      <c r="AL8611" s="144"/>
      <c r="AM8611" s="22"/>
      <c r="AN8611" s="149"/>
      <c r="AO8611" s="144"/>
      <c r="AP8611" s="148"/>
      <c r="AQ8611" s="144"/>
      <c r="AR8611" s="120"/>
      <c r="AS8611" s="121"/>
      <c r="AT8611" s="120"/>
      <c r="AU8611" s="121"/>
      <c r="AV8611" s="120"/>
      <c r="AW8611" s="121"/>
      <c r="AX8611" s="120"/>
      <c r="AY8611" s="121"/>
      <c r="AZ8611" s="138"/>
    </row>
    <row r="8612" spans="1:52" ht="17.100000000000001" customHeight="1" thickTop="1">
      <c r="A8612" s="109" t="s">
        <v>24428</v>
      </c>
      <c r="B8612" s="28">
        <v>46137</v>
      </c>
      <c r="C8612" s="25">
        <v>1298</v>
      </c>
      <c r="D8612" s="13" t="s">
        <v>24562</v>
      </c>
      <c r="E8612" s="111"/>
      <c r="F8612" s="113" t="s">
        <v>24416</v>
      </c>
      <c r="G8612" s="114"/>
      <c r="H8612" s="115"/>
      <c r="I8612" s="24" t="s">
        <v>24454</v>
      </c>
      <c r="J8612" s="116">
        <v>4.5</v>
      </c>
      <c r="K8612" s="118">
        <v>500000</v>
      </c>
      <c r="L8612" s="119"/>
      <c r="M8612" s="118">
        <f t="shared" ref="M8612" si="13114">K8612*0.1</f>
        <v>50000</v>
      </c>
      <c r="N8612" s="119"/>
      <c r="O8612" s="118">
        <v>0</v>
      </c>
      <c r="P8612" s="119"/>
      <c r="Q8612" s="118">
        <v>5870</v>
      </c>
      <c r="R8612" s="119"/>
      <c r="S8612" s="118">
        <v>23100</v>
      </c>
      <c r="T8612" s="119"/>
      <c r="U8612" s="118">
        <f t="shared" ref="U8612" si="13115">SUM(K8612:T8613)</f>
        <v>578970</v>
      </c>
      <c r="V8612" s="122"/>
      <c r="W8612" s="124"/>
      <c r="X8612" s="126" t="s">
        <v>24563</v>
      </c>
      <c r="Y8612" s="127"/>
      <c r="Z8612" s="127"/>
      <c r="AA8612" s="127"/>
      <c r="AB8612" s="128"/>
      <c r="AC8612" s="15" t="s">
        <v>20</v>
      </c>
      <c r="AD8612" s="129"/>
      <c r="AE8612" s="130"/>
      <c r="AF8612" s="130"/>
      <c r="AG8612" s="130"/>
      <c r="AH8612" s="130"/>
      <c r="AI8612" s="131"/>
      <c r="AJ8612" s="132"/>
      <c r="AK8612" s="127"/>
      <c r="AL8612" s="128"/>
      <c r="AM8612" s="21"/>
      <c r="AN8612" s="133">
        <v>46141</v>
      </c>
      <c r="AO8612" s="134"/>
      <c r="AP8612" s="135">
        <v>1015</v>
      </c>
      <c r="AQ8612" s="136"/>
      <c r="AR8612" s="118">
        <v>650000</v>
      </c>
      <c r="AS8612" s="119"/>
      <c r="AT8612" s="118">
        <f t="shared" ref="AT8612" si="13116">AR8612*0.1</f>
        <v>65000</v>
      </c>
      <c r="AU8612" s="119"/>
      <c r="AV8612" s="118">
        <v>5870</v>
      </c>
      <c r="AW8612" s="119"/>
      <c r="AX8612" s="118">
        <f t="shared" ref="AX8612" si="13117">SUM(AR8612:AW8612)</f>
        <v>720870</v>
      </c>
      <c r="AY8612" s="119"/>
      <c r="AZ8612" s="137">
        <v>46154</v>
      </c>
    </row>
    <row r="8613" spans="1:52" ht="17.100000000000001" customHeight="1" thickBot="1">
      <c r="A8613" s="110"/>
      <c r="B8613" s="27" t="s">
        <v>2511</v>
      </c>
      <c r="C8613" s="27">
        <v>65038</v>
      </c>
      <c r="D8613" s="14" t="s">
        <v>24449</v>
      </c>
      <c r="E8613" s="112"/>
      <c r="F8613" s="139" t="s">
        <v>24417</v>
      </c>
      <c r="G8613" s="140"/>
      <c r="H8613" s="141"/>
      <c r="I8613" s="26">
        <v>23770</v>
      </c>
      <c r="J8613" s="117"/>
      <c r="K8613" s="120"/>
      <c r="L8613" s="121"/>
      <c r="M8613" s="120"/>
      <c r="N8613" s="121"/>
      <c r="O8613" s="120"/>
      <c r="P8613" s="121"/>
      <c r="Q8613" s="120"/>
      <c r="R8613" s="121"/>
      <c r="S8613" s="120"/>
      <c r="T8613" s="121"/>
      <c r="U8613" s="120"/>
      <c r="V8613" s="123"/>
      <c r="W8613" s="125"/>
      <c r="X8613" s="142" t="s">
        <v>25135</v>
      </c>
      <c r="Y8613" s="143"/>
      <c r="Z8613" s="143"/>
      <c r="AA8613" s="143"/>
      <c r="AB8613" s="144"/>
      <c r="AC8613" s="16" t="s">
        <v>21</v>
      </c>
      <c r="AD8613" s="17" t="s">
        <v>2009</v>
      </c>
      <c r="AE8613" s="145" t="s">
        <v>171</v>
      </c>
      <c r="AF8613" s="146"/>
      <c r="AG8613" s="146"/>
      <c r="AH8613" s="146"/>
      <c r="AI8613" s="147"/>
      <c r="AJ8613" s="148"/>
      <c r="AK8613" s="143"/>
      <c r="AL8613" s="144"/>
      <c r="AM8613" s="22"/>
      <c r="AN8613" s="149" t="s">
        <v>25326</v>
      </c>
      <c r="AO8613" s="144"/>
      <c r="AP8613" s="148">
        <v>2114</v>
      </c>
      <c r="AQ8613" s="144"/>
      <c r="AR8613" s="120"/>
      <c r="AS8613" s="121"/>
      <c r="AT8613" s="120"/>
      <c r="AU8613" s="121"/>
      <c r="AV8613" s="120"/>
      <c r="AW8613" s="121"/>
      <c r="AX8613" s="120"/>
      <c r="AY8613" s="121"/>
      <c r="AZ8613" s="138"/>
    </row>
    <row r="8614" spans="1:52" ht="17.100000000000001" customHeight="1" thickTop="1">
      <c r="A8614" s="109" t="s">
        <v>24429</v>
      </c>
      <c r="B8614" s="28">
        <v>46137</v>
      </c>
      <c r="C8614" s="25">
        <v>1298</v>
      </c>
      <c r="D8614" s="13" t="s">
        <v>24564</v>
      </c>
      <c r="E8614" s="111"/>
      <c r="F8614" s="113" t="s">
        <v>24418</v>
      </c>
      <c r="G8614" s="114"/>
      <c r="H8614" s="115"/>
      <c r="I8614" s="24"/>
      <c r="J8614" s="116">
        <v>4.5</v>
      </c>
      <c r="K8614" s="118">
        <v>830000</v>
      </c>
      <c r="L8614" s="119"/>
      <c r="M8614" s="118">
        <f t="shared" ref="M8614" si="13118">K8614*0.1</f>
        <v>83000</v>
      </c>
      <c r="N8614" s="119"/>
      <c r="O8614" s="118">
        <v>0</v>
      </c>
      <c r="P8614" s="119"/>
      <c r="Q8614" s="118">
        <v>8740</v>
      </c>
      <c r="R8614" s="119"/>
      <c r="S8614" s="118">
        <v>12100</v>
      </c>
      <c r="T8614" s="119"/>
      <c r="U8614" s="118">
        <f t="shared" ref="U8614" si="13119">SUM(K8614:T8615)</f>
        <v>933840</v>
      </c>
      <c r="V8614" s="122"/>
      <c r="W8614" s="124"/>
      <c r="X8614" s="126" t="s">
        <v>25149</v>
      </c>
      <c r="Y8614" s="127"/>
      <c r="Z8614" s="127"/>
      <c r="AA8614" s="127"/>
      <c r="AB8614" s="128"/>
      <c r="AC8614" s="15" t="s">
        <v>20</v>
      </c>
      <c r="AD8614" s="129" t="s">
        <v>24566</v>
      </c>
      <c r="AE8614" s="130"/>
      <c r="AF8614" s="130"/>
      <c r="AG8614" s="130"/>
      <c r="AH8614" s="130"/>
      <c r="AI8614" s="131"/>
      <c r="AJ8614" s="132"/>
      <c r="AK8614" s="127"/>
      <c r="AL8614" s="128"/>
      <c r="AM8614" s="21"/>
      <c r="AN8614" s="133"/>
      <c r="AO8614" s="134"/>
      <c r="AP8614" s="135"/>
      <c r="AQ8614" s="136"/>
      <c r="AR8614" s="118"/>
      <c r="AS8614" s="119"/>
      <c r="AT8614" s="118">
        <f t="shared" ref="AT8614" si="13120">AR8614*0.1</f>
        <v>0</v>
      </c>
      <c r="AU8614" s="119"/>
      <c r="AV8614" s="118"/>
      <c r="AW8614" s="119"/>
      <c r="AX8614" s="118">
        <f t="shared" ref="AX8614" si="13121">SUM(AR8614:AW8614)</f>
        <v>0</v>
      </c>
      <c r="AY8614" s="119"/>
      <c r="AZ8614" s="137"/>
    </row>
    <row r="8615" spans="1:52" ht="17.100000000000001" customHeight="1" thickBot="1">
      <c r="A8615" s="110"/>
      <c r="B8615" s="27" t="s">
        <v>2511</v>
      </c>
      <c r="C8615" s="27">
        <v>65145</v>
      </c>
      <c r="D8615" s="14" t="s">
        <v>24565</v>
      </c>
      <c r="E8615" s="112"/>
      <c r="F8615" s="139" t="s">
        <v>24419</v>
      </c>
      <c r="G8615" s="140"/>
      <c r="H8615" s="141"/>
      <c r="I8615" s="26">
        <v>49171</v>
      </c>
      <c r="J8615" s="117"/>
      <c r="K8615" s="120"/>
      <c r="L8615" s="121"/>
      <c r="M8615" s="120"/>
      <c r="N8615" s="121"/>
      <c r="O8615" s="120"/>
      <c r="P8615" s="121"/>
      <c r="Q8615" s="120"/>
      <c r="R8615" s="121"/>
      <c r="S8615" s="120"/>
      <c r="T8615" s="121"/>
      <c r="U8615" s="120"/>
      <c r="V8615" s="123"/>
      <c r="W8615" s="125"/>
      <c r="X8615" s="142" t="s">
        <v>2918</v>
      </c>
      <c r="Y8615" s="143"/>
      <c r="Z8615" s="143"/>
      <c r="AA8615" s="143"/>
      <c r="AB8615" s="144"/>
      <c r="AC8615" s="16" t="s">
        <v>21</v>
      </c>
      <c r="AD8615" s="17" t="s">
        <v>2009</v>
      </c>
      <c r="AE8615" s="145" t="s">
        <v>25150</v>
      </c>
      <c r="AF8615" s="146"/>
      <c r="AG8615" s="146"/>
      <c r="AH8615" s="146"/>
      <c r="AI8615" s="147"/>
      <c r="AJ8615" s="148"/>
      <c r="AK8615" s="143"/>
      <c r="AL8615" s="144"/>
      <c r="AM8615" s="22"/>
      <c r="AN8615" s="149"/>
      <c r="AO8615" s="144"/>
      <c r="AP8615" s="148"/>
      <c r="AQ8615" s="144"/>
      <c r="AR8615" s="120"/>
      <c r="AS8615" s="121"/>
      <c r="AT8615" s="120"/>
      <c r="AU8615" s="121"/>
      <c r="AV8615" s="120"/>
      <c r="AW8615" s="121"/>
      <c r="AX8615" s="120"/>
      <c r="AY8615" s="121"/>
      <c r="AZ8615" s="138"/>
    </row>
    <row r="8616" spans="1:52" ht="17.100000000000001" customHeight="1" thickTop="1">
      <c r="A8616" s="109" t="s">
        <v>24430</v>
      </c>
      <c r="B8616" s="28">
        <v>46137</v>
      </c>
      <c r="C8616" s="25">
        <v>1298</v>
      </c>
      <c r="D8616" s="13" t="s">
        <v>24498</v>
      </c>
      <c r="E8616" s="111"/>
      <c r="F8616" s="113" t="s">
        <v>24420</v>
      </c>
      <c r="G8616" s="114"/>
      <c r="H8616" s="115"/>
      <c r="I8616" s="24" t="s">
        <v>24567</v>
      </c>
      <c r="J8616" s="116">
        <v>4</v>
      </c>
      <c r="K8616" s="118">
        <v>525000</v>
      </c>
      <c r="L8616" s="119"/>
      <c r="M8616" s="118">
        <f t="shared" ref="M8616" si="13122">K8616*0.1</f>
        <v>52500</v>
      </c>
      <c r="N8616" s="119"/>
      <c r="O8616" s="118">
        <v>0</v>
      </c>
      <c r="P8616" s="119"/>
      <c r="Q8616" s="118">
        <v>9790</v>
      </c>
      <c r="R8616" s="119"/>
      <c r="S8616" s="118">
        <v>12100</v>
      </c>
      <c r="T8616" s="119"/>
      <c r="U8616" s="118">
        <f t="shared" ref="U8616" si="13123">SUM(K8616:T8617)</f>
        <v>599390</v>
      </c>
      <c r="V8616" s="122"/>
      <c r="W8616" s="124"/>
      <c r="X8616" s="126" t="s">
        <v>24568</v>
      </c>
      <c r="Y8616" s="127"/>
      <c r="Z8616" s="127"/>
      <c r="AA8616" s="127"/>
      <c r="AB8616" s="128"/>
      <c r="AC8616" s="15" t="s">
        <v>20</v>
      </c>
      <c r="AD8616" s="129"/>
      <c r="AE8616" s="130"/>
      <c r="AF8616" s="130"/>
      <c r="AG8616" s="130"/>
      <c r="AH8616" s="130"/>
      <c r="AI8616" s="131"/>
      <c r="AJ8616" s="132"/>
      <c r="AK8616" s="127"/>
      <c r="AL8616" s="128"/>
      <c r="AM8616" s="21"/>
      <c r="AN8616" s="133"/>
      <c r="AO8616" s="134"/>
      <c r="AP8616" s="135"/>
      <c r="AQ8616" s="136"/>
      <c r="AR8616" s="118"/>
      <c r="AS8616" s="119"/>
      <c r="AT8616" s="118">
        <f t="shared" ref="AT8616" si="13124">AR8616*0.1</f>
        <v>0</v>
      </c>
      <c r="AU8616" s="119"/>
      <c r="AV8616" s="118"/>
      <c r="AW8616" s="119"/>
      <c r="AX8616" s="118">
        <f t="shared" ref="AX8616" si="13125">SUM(AR8616:AW8616)</f>
        <v>0</v>
      </c>
      <c r="AY8616" s="119"/>
      <c r="AZ8616" s="137"/>
    </row>
    <row r="8617" spans="1:52" ht="17.100000000000001" customHeight="1" thickBot="1">
      <c r="A8617" s="110"/>
      <c r="B8617" s="27" t="s">
        <v>2511</v>
      </c>
      <c r="C8617" s="27">
        <v>65197</v>
      </c>
      <c r="D8617" s="14" t="s">
        <v>24499</v>
      </c>
      <c r="E8617" s="112"/>
      <c r="F8617" s="139" t="s">
        <v>24421</v>
      </c>
      <c r="G8617" s="140"/>
      <c r="H8617" s="141"/>
      <c r="I8617" s="26">
        <v>62088</v>
      </c>
      <c r="J8617" s="117"/>
      <c r="K8617" s="120"/>
      <c r="L8617" s="121"/>
      <c r="M8617" s="120"/>
      <c r="N8617" s="121"/>
      <c r="O8617" s="120"/>
      <c r="P8617" s="121"/>
      <c r="Q8617" s="120"/>
      <c r="R8617" s="121"/>
      <c r="S8617" s="120"/>
      <c r="T8617" s="121"/>
      <c r="U8617" s="120"/>
      <c r="V8617" s="123"/>
      <c r="W8617" s="125"/>
      <c r="X8617" s="142" t="s">
        <v>2918</v>
      </c>
      <c r="Y8617" s="143"/>
      <c r="Z8617" s="143"/>
      <c r="AA8617" s="143"/>
      <c r="AB8617" s="144"/>
      <c r="AC8617" s="16" t="s">
        <v>21</v>
      </c>
      <c r="AD8617" s="17" t="s">
        <v>2009</v>
      </c>
      <c r="AE8617" s="145" t="s">
        <v>25148</v>
      </c>
      <c r="AF8617" s="146"/>
      <c r="AG8617" s="146"/>
      <c r="AH8617" s="146"/>
      <c r="AI8617" s="147"/>
      <c r="AJ8617" s="148" t="s">
        <v>24622</v>
      </c>
      <c r="AK8617" s="143"/>
      <c r="AL8617" s="144"/>
      <c r="AM8617" s="22"/>
      <c r="AN8617" s="149"/>
      <c r="AO8617" s="144"/>
      <c r="AP8617" s="148"/>
      <c r="AQ8617" s="144"/>
      <c r="AR8617" s="120"/>
      <c r="AS8617" s="121"/>
      <c r="AT8617" s="120"/>
      <c r="AU8617" s="121"/>
      <c r="AV8617" s="120"/>
      <c r="AW8617" s="121"/>
      <c r="AX8617" s="120"/>
      <c r="AY8617" s="121"/>
      <c r="AZ8617" s="138"/>
    </row>
    <row r="8618" spans="1:52" ht="17.100000000000001" customHeight="1" thickTop="1">
      <c r="A8618" s="109" t="s">
        <v>24431</v>
      </c>
      <c r="B8618" s="28">
        <v>46137</v>
      </c>
      <c r="C8618" s="25">
        <v>1298</v>
      </c>
      <c r="D8618" s="13" t="s">
        <v>24463</v>
      </c>
      <c r="E8618" s="111"/>
      <c r="F8618" s="113" t="s">
        <v>23905</v>
      </c>
      <c r="G8618" s="114"/>
      <c r="H8618" s="115"/>
      <c r="I8618" s="24" t="s">
        <v>24569</v>
      </c>
      <c r="J8618" s="116">
        <v>4.5</v>
      </c>
      <c r="K8618" s="118">
        <v>1165000</v>
      </c>
      <c r="L8618" s="119"/>
      <c r="M8618" s="118">
        <f t="shared" ref="M8618" si="13126">K8618*0.1</f>
        <v>116500</v>
      </c>
      <c r="N8618" s="119"/>
      <c r="O8618" s="118">
        <v>0</v>
      </c>
      <c r="P8618" s="119"/>
      <c r="Q8618" s="118">
        <v>8390</v>
      </c>
      <c r="R8618" s="119"/>
      <c r="S8618" s="118">
        <v>12100</v>
      </c>
      <c r="T8618" s="119"/>
      <c r="U8618" s="118">
        <f t="shared" ref="U8618" si="13127">SUM(K8618:T8619)</f>
        <v>1301990</v>
      </c>
      <c r="V8618" s="122"/>
      <c r="W8618" s="124"/>
      <c r="X8618" s="126" t="s">
        <v>24570</v>
      </c>
      <c r="Y8618" s="127"/>
      <c r="Z8618" s="127"/>
      <c r="AA8618" s="127"/>
      <c r="AB8618" s="128"/>
      <c r="AC8618" s="15" t="s">
        <v>20</v>
      </c>
      <c r="AD8618" s="129" t="s">
        <v>24478</v>
      </c>
      <c r="AE8618" s="130"/>
      <c r="AF8618" s="130"/>
      <c r="AG8618" s="130"/>
      <c r="AH8618" s="130"/>
      <c r="AI8618" s="131"/>
      <c r="AJ8618" s="132"/>
      <c r="AK8618" s="127"/>
      <c r="AL8618" s="128"/>
      <c r="AM8618" s="21"/>
      <c r="AN8618" s="133"/>
      <c r="AO8618" s="134"/>
      <c r="AP8618" s="135"/>
      <c r="AQ8618" s="136"/>
      <c r="AR8618" s="118"/>
      <c r="AS8618" s="119"/>
      <c r="AT8618" s="118">
        <f t="shared" ref="AT8618" si="13128">AR8618*0.1</f>
        <v>0</v>
      </c>
      <c r="AU8618" s="119"/>
      <c r="AV8618" s="118"/>
      <c r="AW8618" s="119"/>
      <c r="AX8618" s="118">
        <f t="shared" ref="AX8618" si="13129">SUM(AR8618:AW8618)</f>
        <v>0</v>
      </c>
      <c r="AY8618" s="119"/>
      <c r="AZ8618" s="137"/>
    </row>
    <row r="8619" spans="1:52" ht="17.100000000000001" customHeight="1" thickBot="1">
      <c r="A8619" s="110"/>
      <c r="B8619" s="27" t="s">
        <v>2511</v>
      </c>
      <c r="C8619" s="27">
        <v>65286</v>
      </c>
      <c r="D8619" s="14" t="s">
        <v>24465</v>
      </c>
      <c r="E8619" s="112"/>
      <c r="F8619" s="139" t="s">
        <v>24422</v>
      </c>
      <c r="G8619" s="140"/>
      <c r="H8619" s="141"/>
      <c r="I8619" s="26">
        <v>46340</v>
      </c>
      <c r="J8619" s="117"/>
      <c r="K8619" s="120"/>
      <c r="L8619" s="121"/>
      <c r="M8619" s="120"/>
      <c r="N8619" s="121"/>
      <c r="O8619" s="120"/>
      <c r="P8619" s="121"/>
      <c r="Q8619" s="120"/>
      <c r="R8619" s="121"/>
      <c r="S8619" s="120"/>
      <c r="T8619" s="121"/>
      <c r="U8619" s="120"/>
      <c r="V8619" s="123"/>
      <c r="W8619" s="125"/>
      <c r="X8619" s="142" t="s">
        <v>25147</v>
      </c>
      <c r="Y8619" s="143"/>
      <c r="Z8619" s="143"/>
      <c r="AA8619" s="143"/>
      <c r="AB8619" s="144"/>
      <c r="AC8619" s="16" t="s">
        <v>21</v>
      </c>
      <c r="AD8619" s="17" t="s">
        <v>2009</v>
      </c>
      <c r="AE8619" s="145" t="s">
        <v>5275</v>
      </c>
      <c r="AF8619" s="146"/>
      <c r="AG8619" s="146"/>
      <c r="AH8619" s="146"/>
      <c r="AI8619" s="147"/>
      <c r="AJ8619" s="148"/>
      <c r="AK8619" s="143"/>
      <c r="AL8619" s="144"/>
      <c r="AM8619" s="22"/>
      <c r="AN8619" s="149"/>
      <c r="AO8619" s="144"/>
      <c r="AP8619" s="148"/>
      <c r="AQ8619" s="144"/>
      <c r="AR8619" s="120"/>
      <c r="AS8619" s="121"/>
      <c r="AT8619" s="120"/>
      <c r="AU8619" s="121"/>
      <c r="AV8619" s="120"/>
      <c r="AW8619" s="121"/>
      <c r="AX8619" s="120"/>
      <c r="AY8619" s="121"/>
      <c r="AZ8619" s="138"/>
    </row>
    <row r="8620" spans="1:52" ht="17.100000000000001" customHeight="1" thickTop="1">
      <c r="A8620" s="109" t="s">
        <v>24432</v>
      </c>
      <c r="B8620" s="28">
        <v>46137</v>
      </c>
      <c r="C8620" s="25">
        <v>1298</v>
      </c>
      <c r="D8620" s="13" t="s">
        <v>24571</v>
      </c>
      <c r="E8620" s="111"/>
      <c r="F8620" s="113" t="s">
        <v>24423</v>
      </c>
      <c r="G8620" s="114"/>
      <c r="H8620" s="115"/>
      <c r="I8620" s="24" t="s">
        <v>24436</v>
      </c>
      <c r="J8620" s="116">
        <v>4</v>
      </c>
      <c r="K8620" s="118">
        <v>455000</v>
      </c>
      <c r="L8620" s="119"/>
      <c r="M8620" s="118">
        <f t="shared" ref="M8620" si="13130">K8620*0.1</f>
        <v>45500</v>
      </c>
      <c r="N8620" s="119"/>
      <c r="O8620" s="118">
        <v>0</v>
      </c>
      <c r="P8620" s="119"/>
      <c r="Q8620" s="118">
        <v>7950</v>
      </c>
      <c r="R8620" s="119"/>
      <c r="S8620" s="118">
        <v>12100</v>
      </c>
      <c r="T8620" s="119"/>
      <c r="U8620" s="118">
        <f t="shared" ref="U8620" si="13131">SUM(K8620:T8621)</f>
        <v>520550</v>
      </c>
      <c r="V8620" s="122"/>
      <c r="W8620" s="124"/>
      <c r="X8620" s="126" t="s">
        <v>24572</v>
      </c>
      <c r="Y8620" s="127"/>
      <c r="Z8620" s="127"/>
      <c r="AA8620" s="127"/>
      <c r="AB8620" s="128"/>
      <c r="AC8620" s="15" t="s">
        <v>20</v>
      </c>
      <c r="AD8620" s="129"/>
      <c r="AE8620" s="130"/>
      <c r="AF8620" s="130"/>
      <c r="AG8620" s="130"/>
      <c r="AH8620" s="130"/>
      <c r="AI8620" s="131"/>
      <c r="AJ8620" s="132"/>
      <c r="AK8620" s="127"/>
      <c r="AL8620" s="128"/>
      <c r="AM8620" s="21"/>
      <c r="AN8620" s="133"/>
      <c r="AO8620" s="134"/>
      <c r="AP8620" s="135"/>
      <c r="AQ8620" s="136"/>
      <c r="AR8620" s="118"/>
      <c r="AS8620" s="119"/>
      <c r="AT8620" s="118">
        <f t="shared" ref="AT8620" si="13132">AR8620*0.1</f>
        <v>0</v>
      </c>
      <c r="AU8620" s="119"/>
      <c r="AV8620" s="118"/>
      <c r="AW8620" s="119"/>
      <c r="AX8620" s="118">
        <f t="shared" ref="AX8620" si="13133">SUM(AR8620:AW8620)</f>
        <v>0</v>
      </c>
      <c r="AY8620" s="119"/>
      <c r="AZ8620" s="137"/>
    </row>
    <row r="8621" spans="1:52" ht="17.100000000000001" customHeight="1" thickBot="1">
      <c r="A8621" s="110"/>
      <c r="B8621" s="27" t="s">
        <v>2511</v>
      </c>
      <c r="C8621" s="27">
        <v>65368</v>
      </c>
      <c r="D8621" s="14" t="s">
        <v>24565</v>
      </c>
      <c r="E8621" s="112"/>
      <c r="F8621" s="139" t="s">
        <v>24424</v>
      </c>
      <c r="G8621" s="140"/>
      <c r="H8621" s="141"/>
      <c r="I8621" s="26">
        <v>62500</v>
      </c>
      <c r="J8621" s="117"/>
      <c r="K8621" s="120"/>
      <c r="L8621" s="121"/>
      <c r="M8621" s="120"/>
      <c r="N8621" s="121"/>
      <c r="O8621" s="120"/>
      <c r="P8621" s="121"/>
      <c r="Q8621" s="120"/>
      <c r="R8621" s="121"/>
      <c r="S8621" s="120"/>
      <c r="T8621" s="121"/>
      <c r="U8621" s="120"/>
      <c r="V8621" s="123"/>
      <c r="W8621" s="125"/>
      <c r="X8621" s="142" t="s">
        <v>25151</v>
      </c>
      <c r="Y8621" s="143"/>
      <c r="Z8621" s="143"/>
      <c r="AA8621" s="143"/>
      <c r="AB8621" s="144"/>
      <c r="AC8621" s="16" t="s">
        <v>21</v>
      </c>
      <c r="AD8621" s="17" t="s">
        <v>2009</v>
      </c>
      <c r="AE8621" s="145" t="s">
        <v>1742</v>
      </c>
      <c r="AF8621" s="146"/>
      <c r="AG8621" s="146"/>
      <c r="AH8621" s="146"/>
      <c r="AI8621" s="147"/>
      <c r="AJ8621" s="148"/>
      <c r="AK8621" s="143"/>
      <c r="AL8621" s="144"/>
      <c r="AM8621" s="22"/>
      <c r="AN8621" s="149"/>
      <c r="AO8621" s="144"/>
      <c r="AP8621" s="148"/>
      <c r="AQ8621" s="144"/>
      <c r="AR8621" s="120"/>
      <c r="AS8621" s="121"/>
      <c r="AT8621" s="120"/>
      <c r="AU8621" s="121"/>
      <c r="AV8621" s="120"/>
      <c r="AW8621" s="121"/>
      <c r="AX8621" s="120"/>
      <c r="AY8621" s="121"/>
      <c r="AZ8621" s="138"/>
    </row>
    <row r="8622" spans="1:52" ht="17.100000000000001" customHeight="1" thickTop="1">
      <c r="A8622" s="109" t="s">
        <v>24433</v>
      </c>
      <c r="B8622" s="28">
        <v>46137</v>
      </c>
      <c r="C8622" s="25">
        <v>1298</v>
      </c>
      <c r="D8622" s="13" t="s">
        <v>24573</v>
      </c>
      <c r="E8622" s="111"/>
      <c r="F8622" s="113" t="s">
        <v>24390</v>
      </c>
      <c r="G8622" s="114"/>
      <c r="H8622" s="115"/>
      <c r="I8622" s="24"/>
      <c r="J8622" s="116">
        <v>4.5</v>
      </c>
      <c r="K8622" s="118">
        <v>1495000</v>
      </c>
      <c r="L8622" s="119"/>
      <c r="M8622" s="118">
        <f t="shared" ref="M8622" si="13134">K8622*0.1</f>
        <v>149500</v>
      </c>
      <c r="N8622" s="119"/>
      <c r="O8622" s="118">
        <v>0</v>
      </c>
      <c r="P8622" s="119"/>
      <c r="Q8622" s="118">
        <v>14390</v>
      </c>
      <c r="R8622" s="119"/>
      <c r="S8622" s="118">
        <v>16500</v>
      </c>
      <c r="T8622" s="119"/>
      <c r="U8622" s="118">
        <f t="shared" ref="U8622" si="13135">SUM(K8622:T8623)</f>
        <v>1675390</v>
      </c>
      <c r="V8622" s="122"/>
      <c r="W8622" s="124"/>
      <c r="X8622" s="126" t="s">
        <v>25134</v>
      </c>
      <c r="Y8622" s="127"/>
      <c r="Z8622" s="127"/>
      <c r="AA8622" s="127"/>
      <c r="AB8622" s="128"/>
      <c r="AC8622" s="15" t="s">
        <v>20</v>
      </c>
      <c r="AD8622" s="129" t="s">
        <v>24539</v>
      </c>
      <c r="AE8622" s="130"/>
      <c r="AF8622" s="130"/>
      <c r="AG8622" s="130"/>
      <c r="AH8622" s="130"/>
      <c r="AI8622" s="131"/>
      <c r="AJ8622" s="132"/>
      <c r="AK8622" s="127"/>
      <c r="AL8622" s="128"/>
      <c r="AM8622" s="21"/>
      <c r="AN8622" s="133">
        <v>46142</v>
      </c>
      <c r="AO8622" s="134"/>
      <c r="AP8622" s="135">
        <v>1329</v>
      </c>
      <c r="AQ8622" s="136"/>
      <c r="AR8622" s="118">
        <v>1660000</v>
      </c>
      <c r="AS8622" s="119"/>
      <c r="AT8622" s="118">
        <f t="shared" ref="AT8622" si="13136">AR8622*0.1</f>
        <v>166000</v>
      </c>
      <c r="AU8622" s="119"/>
      <c r="AV8622" s="118">
        <v>14390</v>
      </c>
      <c r="AW8622" s="119"/>
      <c r="AX8622" s="118">
        <f t="shared" ref="AX8622" si="13137">SUM(AR8622:AW8622)</f>
        <v>1840390</v>
      </c>
      <c r="AY8622" s="119"/>
      <c r="AZ8622" s="137">
        <v>46143</v>
      </c>
    </row>
    <row r="8623" spans="1:52" ht="17.100000000000001" customHeight="1" thickBot="1">
      <c r="A8623" s="110"/>
      <c r="B8623" s="27" t="s">
        <v>2511</v>
      </c>
      <c r="C8623" s="27">
        <v>81077</v>
      </c>
      <c r="D8623" s="14" t="s">
        <v>24435</v>
      </c>
      <c r="E8623" s="112"/>
      <c r="F8623" s="139" t="s">
        <v>24574</v>
      </c>
      <c r="G8623" s="140"/>
      <c r="H8623" s="141"/>
      <c r="I8623" s="26">
        <v>45480</v>
      </c>
      <c r="J8623" s="117"/>
      <c r="K8623" s="120"/>
      <c r="L8623" s="121"/>
      <c r="M8623" s="120"/>
      <c r="N8623" s="121"/>
      <c r="O8623" s="120"/>
      <c r="P8623" s="121"/>
      <c r="Q8623" s="120"/>
      <c r="R8623" s="121"/>
      <c r="S8623" s="120"/>
      <c r="T8623" s="121"/>
      <c r="U8623" s="120"/>
      <c r="V8623" s="123"/>
      <c r="W8623" s="125"/>
      <c r="X8623" s="142" t="s">
        <v>1594</v>
      </c>
      <c r="Y8623" s="143"/>
      <c r="Z8623" s="143"/>
      <c r="AA8623" s="143"/>
      <c r="AB8623" s="144"/>
      <c r="AC8623" s="16" t="s">
        <v>21</v>
      </c>
      <c r="AD8623" s="17" t="s">
        <v>2009</v>
      </c>
      <c r="AE8623" s="145" t="s">
        <v>4883</v>
      </c>
      <c r="AF8623" s="146"/>
      <c r="AG8623" s="146"/>
      <c r="AH8623" s="146"/>
      <c r="AI8623" s="147"/>
      <c r="AJ8623" s="148"/>
      <c r="AK8623" s="143"/>
      <c r="AL8623" s="144"/>
      <c r="AM8623" s="22"/>
      <c r="AN8623" s="149" t="s">
        <v>1747</v>
      </c>
      <c r="AO8623" s="144"/>
      <c r="AP8623" s="148">
        <v>504</v>
      </c>
      <c r="AQ8623" s="144"/>
      <c r="AR8623" s="120"/>
      <c r="AS8623" s="121"/>
      <c r="AT8623" s="120"/>
      <c r="AU8623" s="121"/>
      <c r="AV8623" s="120"/>
      <c r="AW8623" s="121"/>
      <c r="AX8623" s="120"/>
      <c r="AY8623" s="121"/>
      <c r="AZ8623" s="138"/>
    </row>
    <row r="8624" spans="1:52" ht="17.100000000000001" customHeight="1" thickTop="1">
      <c r="A8624" s="109" t="s">
        <v>24578</v>
      </c>
      <c r="B8624" s="28">
        <v>46137</v>
      </c>
      <c r="C8624" s="25">
        <v>1716</v>
      </c>
      <c r="D8624" s="13" t="s">
        <v>1906</v>
      </c>
      <c r="E8624" s="111"/>
      <c r="F8624" s="113" t="s">
        <v>1871</v>
      </c>
      <c r="G8624" s="114"/>
      <c r="H8624" s="115"/>
      <c r="I8624" s="24"/>
      <c r="J8624" s="116">
        <v>3.5</v>
      </c>
      <c r="K8624" s="118">
        <v>1725000</v>
      </c>
      <c r="L8624" s="119"/>
      <c r="M8624" s="118">
        <f t="shared" ref="M8624" si="13138">K8624*0.1</f>
        <v>172500</v>
      </c>
      <c r="N8624" s="119"/>
      <c r="O8624" s="118">
        <v>0</v>
      </c>
      <c r="P8624" s="119"/>
      <c r="Q8624" s="118">
        <v>16240</v>
      </c>
      <c r="R8624" s="119"/>
      <c r="S8624" s="118">
        <v>16500</v>
      </c>
      <c r="T8624" s="119"/>
      <c r="U8624" s="118">
        <f t="shared" ref="U8624" si="13139">SUM(K8624:T8625)</f>
        <v>1930240</v>
      </c>
      <c r="V8624" s="122"/>
      <c r="W8624" s="124"/>
      <c r="X8624" s="126" t="s">
        <v>24673</v>
      </c>
      <c r="Y8624" s="127"/>
      <c r="Z8624" s="127"/>
      <c r="AA8624" s="127"/>
      <c r="AB8624" s="128"/>
      <c r="AC8624" s="15" t="s">
        <v>20</v>
      </c>
      <c r="AD8624" s="129" t="s">
        <v>1575</v>
      </c>
      <c r="AE8624" s="130"/>
      <c r="AF8624" s="130"/>
      <c r="AG8624" s="130"/>
      <c r="AH8624" s="130"/>
      <c r="AI8624" s="131"/>
      <c r="AJ8624" s="132"/>
      <c r="AK8624" s="127"/>
      <c r="AL8624" s="128"/>
      <c r="AM8624" s="21"/>
      <c r="AN8624" s="133"/>
      <c r="AO8624" s="134"/>
      <c r="AP8624" s="135"/>
      <c r="AQ8624" s="136"/>
      <c r="AR8624" s="118"/>
      <c r="AS8624" s="119"/>
      <c r="AT8624" s="118">
        <f t="shared" ref="AT8624" si="13140">AR8624*0.1</f>
        <v>0</v>
      </c>
      <c r="AU8624" s="119"/>
      <c r="AV8624" s="118"/>
      <c r="AW8624" s="119"/>
      <c r="AX8624" s="118">
        <f t="shared" ref="AX8624" si="13141">SUM(AR8624:AW8624)</f>
        <v>0</v>
      </c>
      <c r="AY8624" s="119"/>
      <c r="AZ8624" s="137"/>
    </row>
    <row r="8625" spans="1:52" ht="17.100000000000001" customHeight="1" thickBot="1">
      <c r="A8625" s="110"/>
      <c r="B8625" s="27" t="s">
        <v>24577</v>
      </c>
      <c r="C8625" s="27">
        <v>217</v>
      </c>
      <c r="D8625" s="14" t="s">
        <v>275</v>
      </c>
      <c r="E8625" s="112"/>
      <c r="F8625" s="139" t="s">
        <v>24580</v>
      </c>
      <c r="G8625" s="140"/>
      <c r="H8625" s="141"/>
      <c r="I8625" s="26">
        <v>33637</v>
      </c>
      <c r="J8625" s="117"/>
      <c r="K8625" s="120"/>
      <c r="L8625" s="121"/>
      <c r="M8625" s="120"/>
      <c r="N8625" s="121"/>
      <c r="O8625" s="120"/>
      <c r="P8625" s="121"/>
      <c r="Q8625" s="120"/>
      <c r="R8625" s="121"/>
      <c r="S8625" s="120"/>
      <c r="T8625" s="121"/>
      <c r="U8625" s="120"/>
      <c r="V8625" s="123"/>
      <c r="W8625" s="125"/>
      <c r="X8625" s="142" t="s">
        <v>18819</v>
      </c>
      <c r="Y8625" s="143"/>
      <c r="Z8625" s="143"/>
      <c r="AA8625" s="143"/>
      <c r="AB8625" s="144"/>
      <c r="AC8625" s="16" t="s">
        <v>21</v>
      </c>
      <c r="AD8625" s="17" t="s">
        <v>1962</v>
      </c>
      <c r="AE8625" s="145" t="s">
        <v>1945</v>
      </c>
      <c r="AF8625" s="146"/>
      <c r="AG8625" s="146"/>
      <c r="AH8625" s="146"/>
      <c r="AI8625" s="147"/>
      <c r="AJ8625" s="148"/>
      <c r="AK8625" s="143"/>
      <c r="AL8625" s="144"/>
      <c r="AM8625" s="22"/>
      <c r="AN8625" s="149"/>
      <c r="AO8625" s="144"/>
      <c r="AP8625" s="148"/>
      <c r="AQ8625" s="144"/>
      <c r="AR8625" s="120"/>
      <c r="AS8625" s="121"/>
      <c r="AT8625" s="120"/>
      <c r="AU8625" s="121"/>
      <c r="AV8625" s="120"/>
      <c r="AW8625" s="121"/>
      <c r="AX8625" s="120"/>
      <c r="AY8625" s="121"/>
      <c r="AZ8625" s="138"/>
    </row>
    <row r="8626" spans="1:52" ht="17.100000000000001" customHeight="1" thickTop="1">
      <c r="A8626" s="109" t="s">
        <v>24579</v>
      </c>
      <c r="B8626" s="28">
        <v>46137</v>
      </c>
      <c r="C8626" s="25">
        <v>1716</v>
      </c>
      <c r="D8626" s="13" t="s">
        <v>2970</v>
      </c>
      <c r="E8626" s="111"/>
      <c r="F8626" s="113" t="s">
        <v>16415</v>
      </c>
      <c r="G8626" s="114"/>
      <c r="H8626" s="115"/>
      <c r="I8626" s="24"/>
      <c r="J8626" s="116">
        <v>4</v>
      </c>
      <c r="K8626" s="118">
        <v>2425000</v>
      </c>
      <c r="L8626" s="119"/>
      <c r="M8626" s="118">
        <f t="shared" ref="M8626" si="13142">K8626*0.1</f>
        <v>242500</v>
      </c>
      <c r="N8626" s="119"/>
      <c r="O8626" s="118">
        <v>0</v>
      </c>
      <c r="P8626" s="119"/>
      <c r="Q8626" s="118">
        <v>22030</v>
      </c>
      <c r="R8626" s="119"/>
      <c r="S8626" s="118">
        <v>16500</v>
      </c>
      <c r="T8626" s="119"/>
      <c r="U8626" s="118">
        <f t="shared" ref="U8626" si="13143">SUM(K8626:T8627)</f>
        <v>2706030</v>
      </c>
      <c r="V8626" s="122"/>
      <c r="W8626" s="124"/>
      <c r="X8626" s="126" t="s">
        <v>25238</v>
      </c>
      <c r="Y8626" s="127"/>
      <c r="Z8626" s="127"/>
      <c r="AA8626" s="127"/>
      <c r="AB8626" s="128"/>
      <c r="AC8626" s="15" t="s">
        <v>20</v>
      </c>
      <c r="AD8626" s="129" t="s">
        <v>2176</v>
      </c>
      <c r="AE8626" s="130"/>
      <c r="AF8626" s="130"/>
      <c r="AG8626" s="130"/>
      <c r="AH8626" s="130"/>
      <c r="AI8626" s="131"/>
      <c r="AJ8626" s="132"/>
      <c r="AK8626" s="127"/>
      <c r="AL8626" s="128"/>
      <c r="AM8626" s="21"/>
      <c r="AN8626" s="133">
        <v>46158</v>
      </c>
      <c r="AO8626" s="134"/>
      <c r="AP8626" s="135">
        <v>1300</v>
      </c>
      <c r="AQ8626" s="136"/>
      <c r="AR8626" s="118">
        <v>2640000</v>
      </c>
      <c r="AS8626" s="119"/>
      <c r="AT8626" s="118">
        <f t="shared" ref="AT8626" si="13144">AR8626*0.1</f>
        <v>264000</v>
      </c>
      <c r="AU8626" s="119"/>
      <c r="AV8626" s="118">
        <v>22030</v>
      </c>
      <c r="AW8626" s="119"/>
      <c r="AX8626" s="118">
        <f t="shared" ref="AX8626" si="13145">SUM(AR8626:AW8626)</f>
        <v>2926030</v>
      </c>
      <c r="AY8626" s="119"/>
      <c r="AZ8626" s="137">
        <v>46161</v>
      </c>
    </row>
    <row r="8627" spans="1:52" ht="17.100000000000001" customHeight="1" thickBot="1">
      <c r="A8627" s="110"/>
      <c r="B8627" s="27" t="s">
        <v>24577</v>
      </c>
      <c r="C8627" s="27">
        <v>576</v>
      </c>
      <c r="D8627" s="14" t="s">
        <v>133</v>
      </c>
      <c r="E8627" s="112"/>
      <c r="F8627" s="139" t="s">
        <v>24581</v>
      </c>
      <c r="G8627" s="140"/>
      <c r="H8627" s="141"/>
      <c r="I8627" s="26">
        <v>60465</v>
      </c>
      <c r="J8627" s="117"/>
      <c r="K8627" s="120"/>
      <c r="L8627" s="121"/>
      <c r="M8627" s="120"/>
      <c r="N8627" s="121"/>
      <c r="O8627" s="120"/>
      <c r="P8627" s="121"/>
      <c r="Q8627" s="120"/>
      <c r="R8627" s="121"/>
      <c r="S8627" s="120"/>
      <c r="T8627" s="121"/>
      <c r="U8627" s="120"/>
      <c r="V8627" s="123"/>
      <c r="W8627" s="125"/>
      <c r="X8627" s="142" t="s">
        <v>2217</v>
      </c>
      <c r="Y8627" s="143"/>
      <c r="Z8627" s="143"/>
      <c r="AA8627" s="143"/>
      <c r="AB8627" s="144"/>
      <c r="AC8627" s="16" t="s">
        <v>21</v>
      </c>
      <c r="AD8627" s="17" t="s">
        <v>4287</v>
      </c>
      <c r="AE8627" s="145" t="s">
        <v>1614</v>
      </c>
      <c r="AF8627" s="146"/>
      <c r="AG8627" s="146"/>
      <c r="AH8627" s="146"/>
      <c r="AI8627" s="147"/>
      <c r="AJ8627" s="148"/>
      <c r="AK8627" s="143"/>
      <c r="AL8627" s="144"/>
      <c r="AM8627" s="22"/>
      <c r="AN8627" s="149" t="s">
        <v>2511</v>
      </c>
      <c r="AO8627" s="144"/>
      <c r="AP8627" s="148">
        <v>80051</v>
      </c>
      <c r="AQ8627" s="144"/>
      <c r="AR8627" s="120"/>
      <c r="AS8627" s="121"/>
      <c r="AT8627" s="120"/>
      <c r="AU8627" s="121"/>
      <c r="AV8627" s="120"/>
      <c r="AW8627" s="121"/>
      <c r="AX8627" s="120"/>
      <c r="AY8627" s="121"/>
      <c r="AZ8627" s="138"/>
    </row>
    <row r="8628" spans="1:52" ht="17.100000000000001" customHeight="1" thickTop="1">
      <c r="A8628" s="109" t="s">
        <v>24582</v>
      </c>
      <c r="B8628" s="28">
        <v>46138</v>
      </c>
      <c r="C8628" s="25"/>
      <c r="D8628" s="13" t="s">
        <v>3381</v>
      </c>
      <c r="E8628" s="111"/>
      <c r="F8628" s="113" t="s">
        <v>24584</v>
      </c>
      <c r="G8628" s="114"/>
      <c r="H8628" s="115"/>
      <c r="I8628" s="24" t="s">
        <v>9428</v>
      </c>
      <c r="J8628" s="116"/>
      <c r="K8628" s="118"/>
      <c r="L8628" s="119"/>
      <c r="M8628" s="118">
        <f t="shared" ref="M8628" si="13146">K8628*0.1</f>
        <v>0</v>
      </c>
      <c r="N8628" s="119"/>
      <c r="O8628" s="118">
        <v>0</v>
      </c>
      <c r="P8628" s="119"/>
      <c r="Q8628" s="118"/>
      <c r="R8628" s="119"/>
      <c r="S8628" s="118"/>
      <c r="T8628" s="119"/>
      <c r="U8628" s="118">
        <f t="shared" ref="U8628" si="13147">SUM(K8628:T8629)</f>
        <v>0</v>
      </c>
      <c r="V8628" s="122"/>
      <c r="W8628" s="124"/>
      <c r="X8628" s="126" t="s">
        <v>24586</v>
      </c>
      <c r="Y8628" s="127"/>
      <c r="Z8628" s="127"/>
      <c r="AA8628" s="127"/>
      <c r="AB8628" s="128"/>
      <c r="AC8628" s="15" t="s">
        <v>20</v>
      </c>
      <c r="AD8628" s="129"/>
      <c r="AE8628" s="130"/>
      <c r="AF8628" s="130"/>
      <c r="AG8628" s="130"/>
      <c r="AH8628" s="130"/>
      <c r="AI8628" s="131"/>
      <c r="AJ8628" s="132"/>
      <c r="AK8628" s="127"/>
      <c r="AL8628" s="128"/>
      <c r="AM8628" s="21"/>
      <c r="AN8628" s="133"/>
      <c r="AO8628" s="134"/>
      <c r="AP8628" s="135"/>
      <c r="AQ8628" s="136"/>
      <c r="AR8628" s="118"/>
      <c r="AS8628" s="119"/>
      <c r="AT8628" s="118">
        <f t="shared" ref="AT8628" si="13148">AR8628*0.1</f>
        <v>0</v>
      </c>
      <c r="AU8628" s="119"/>
      <c r="AV8628" s="118"/>
      <c r="AW8628" s="119"/>
      <c r="AX8628" s="118">
        <f t="shared" ref="AX8628" si="13149">SUM(AR8628:AW8628)</f>
        <v>0</v>
      </c>
      <c r="AY8628" s="119"/>
      <c r="AZ8628" s="137"/>
    </row>
    <row r="8629" spans="1:52" ht="17.100000000000001" customHeight="1" thickBot="1">
      <c r="A8629" s="110"/>
      <c r="B8629" s="27" t="s">
        <v>24583</v>
      </c>
      <c r="C8629" s="27"/>
      <c r="D8629" s="14"/>
      <c r="E8629" s="112"/>
      <c r="F8629" s="139" t="s">
        <v>24585</v>
      </c>
      <c r="G8629" s="140"/>
      <c r="H8629" s="141"/>
      <c r="I8629" s="26"/>
      <c r="J8629" s="117"/>
      <c r="K8629" s="120"/>
      <c r="L8629" s="121"/>
      <c r="M8629" s="120"/>
      <c r="N8629" s="121"/>
      <c r="O8629" s="120"/>
      <c r="P8629" s="121"/>
      <c r="Q8629" s="120"/>
      <c r="R8629" s="121"/>
      <c r="S8629" s="120"/>
      <c r="T8629" s="121"/>
      <c r="U8629" s="120"/>
      <c r="V8629" s="123"/>
      <c r="W8629" s="125"/>
      <c r="X8629" s="142" t="s">
        <v>24587</v>
      </c>
      <c r="Y8629" s="143"/>
      <c r="Z8629" s="143"/>
      <c r="AA8629" s="143"/>
      <c r="AB8629" s="144"/>
      <c r="AC8629" s="16" t="s">
        <v>21</v>
      </c>
      <c r="AD8629" s="17" t="s">
        <v>24588</v>
      </c>
      <c r="AE8629" s="145" t="s">
        <v>3123</v>
      </c>
      <c r="AF8629" s="146"/>
      <c r="AG8629" s="146"/>
      <c r="AH8629" s="146"/>
      <c r="AI8629" s="147"/>
      <c r="AJ8629" s="148"/>
      <c r="AK8629" s="143"/>
      <c r="AL8629" s="144"/>
      <c r="AM8629" s="22"/>
      <c r="AN8629" s="149"/>
      <c r="AO8629" s="144"/>
      <c r="AP8629" s="148"/>
      <c r="AQ8629" s="144"/>
      <c r="AR8629" s="120"/>
      <c r="AS8629" s="121"/>
      <c r="AT8629" s="120"/>
      <c r="AU8629" s="121"/>
      <c r="AV8629" s="120"/>
      <c r="AW8629" s="121"/>
      <c r="AX8629" s="120"/>
      <c r="AY8629" s="121"/>
      <c r="AZ8629" s="138"/>
    </row>
    <row r="8630" spans="1:52" ht="17.100000000000001" customHeight="1" thickTop="1">
      <c r="A8630" s="109" t="s">
        <v>24634</v>
      </c>
      <c r="B8630" s="28">
        <v>46139</v>
      </c>
      <c r="C8630" s="25">
        <v>2091</v>
      </c>
      <c r="D8630" s="13" t="s">
        <v>2301</v>
      </c>
      <c r="E8630" s="111"/>
      <c r="F8630" s="113" t="s">
        <v>24639</v>
      </c>
      <c r="G8630" s="114"/>
      <c r="H8630" s="115"/>
      <c r="I8630" s="24" t="s">
        <v>1547</v>
      </c>
      <c r="J8630" s="116">
        <v>4</v>
      </c>
      <c r="K8630" s="118">
        <v>835000</v>
      </c>
      <c r="L8630" s="119"/>
      <c r="M8630" s="118">
        <f t="shared" ref="M8630" si="13150">K8630*0.1</f>
        <v>83500</v>
      </c>
      <c r="N8630" s="119"/>
      <c r="O8630" s="118">
        <f>36200+3620</f>
        <v>39820</v>
      </c>
      <c r="P8630" s="119"/>
      <c r="Q8630" s="118">
        <v>21440</v>
      </c>
      <c r="R8630" s="119"/>
      <c r="S8630" s="118">
        <v>11000</v>
      </c>
      <c r="T8630" s="119"/>
      <c r="U8630" s="118">
        <f t="shared" ref="U8630" si="13151">SUM(K8630:T8631)</f>
        <v>990760</v>
      </c>
      <c r="V8630" s="122"/>
      <c r="W8630" s="124"/>
      <c r="X8630" s="126" t="s">
        <v>24641</v>
      </c>
      <c r="Y8630" s="127"/>
      <c r="Z8630" s="127"/>
      <c r="AA8630" s="127"/>
      <c r="AB8630" s="128"/>
      <c r="AC8630" s="15" t="s">
        <v>20</v>
      </c>
      <c r="AD8630" s="129" t="s">
        <v>1690</v>
      </c>
      <c r="AE8630" s="130"/>
      <c r="AF8630" s="130"/>
      <c r="AG8630" s="130"/>
      <c r="AH8630" s="130"/>
      <c r="AI8630" s="131"/>
      <c r="AJ8630" s="132"/>
      <c r="AK8630" s="127"/>
      <c r="AL8630" s="128"/>
      <c r="AM8630" s="21"/>
      <c r="AN8630" s="133"/>
      <c r="AO8630" s="134"/>
      <c r="AP8630" s="135"/>
      <c r="AQ8630" s="136"/>
      <c r="AR8630" s="118"/>
      <c r="AS8630" s="119"/>
      <c r="AT8630" s="118">
        <f t="shared" ref="AT8630" si="13152">AR8630*0.1</f>
        <v>0</v>
      </c>
      <c r="AU8630" s="119"/>
      <c r="AV8630" s="118"/>
      <c r="AW8630" s="119"/>
      <c r="AX8630" s="118">
        <f t="shared" ref="AX8630" si="13153">SUM(AR8630:AW8630)</f>
        <v>0</v>
      </c>
      <c r="AY8630" s="119"/>
      <c r="AZ8630" s="137"/>
    </row>
    <row r="8631" spans="1:52" ht="17.100000000000001" customHeight="1" thickBot="1">
      <c r="A8631" s="110"/>
      <c r="B8631" s="27" t="s">
        <v>83</v>
      </c>
      <c r="C8631" s="27">
        <v>36004</v>
      </c>
      <c r="D8631" s="14" t="s">
        <v>1592</v>
      </c>
      <c r="E8631" s="112"/>
      <c r="F8631" s="139" t="s">
        <v>24640</v>
      </c>
      <c r="G8631" s="140"/>
      <c r="H8631" s="141"/>
      <c r="I8631" s="26">
        <v>78046</v>
      </c>
      <c r="J8631" s="117"/>
      <c r="K8631" s="120"/>
      <c r="L8631" s="121"/>
      <c r="M8631" s="120"/>
      <c r="N8631" s="121"/>
      <c r="O8631" s="120"/>
      <c r="P8631" s="121"/>
      <c r="Q8631" s="120"/>
      <c r="R8631" s="121"/>
      <c r="S8631" s="120"/>
      <c r="T8631" s="121"/>
      <c r="U8631" s="120"/>
      <c r="V8631" s="123"/>
      <c r="W8631" s="125"/>
      <c r="X8631" s="142" t="s">
        <v>24813</v>
      </c>
      <c r="Y8631" s="143"/>
      <c r="Z8631" s="143"/>
      <c r="AA8631" s="143"/>
      <c r="AB8631" s="144"/>
      <c r="AC8631" s="16" t="s">
        <v>21</v>
      </c>
      <c r="AD8631" s="17" t="s">
        <v>24805</v>
      </c>
      <c r="AE8631" s="145" t="s">
        <v>2920</v>
      </c>
      <c r="AF8631" s="146"/>
      <c r="AG8631" s="146"/>
      <c r="AH8631" s="146"/>
      <c r="AI8631" s="147"/>
      <c r="AJ8631" s="148"/>
      <c r="AK8631" s="143"/>
      <c r="AL8631" s="144"/>
      <c r="AM8631" s="22"/>
      <c r="AN8631" s="149"/>
      <c r="AO8631" s="144"/>
      <c r="AP8631" s="148"/>
      <c r="AQ8631" s="144"/>
      <c r="AR8631" s="120"/>
      <c r="AS8631" s="121"/>
      <c r="AT8631" s="120"/>
      <c r="AU8631" s="121"/>
      <c r="AV8631" s="120"/>
      <c r="AW8631" s="121"/>
      <c r="AX8631" s="120"/>
      <c r="AY8631" s="121"/>
      <c r="AZ8631" s="138"/>
    </row>
    <row r="8632" spans="1:52" ht="17.100000000000001" customHeight="1" thickTop="1">
      <c r="A8632" s="109" t="s">
        <v>24635</v>
      </c>
      <c r="B8632" s="28">
        <v>46139</v>
      </c>
      <c r="C8632" s="25"/>
      <c r="D8632" s="13" t="s">
        <v>4835</v>
      </c>
      <c r="E8632" s="111"/>
      <c r="F8632" s="113" t="s">
        <v>24642</v>
      </c>
      <c r="G8632" s="114"/>
      <c r="H8632" s="115"/>
      <c r="I8632" s="24"/>
      <c r="J8632" s="116">
        <v>4</v>
      </c>
      <c r="K8632" s="118">
        <v>561000</v>
      </c>
      <c r="L8632" s="119"/>
      <c r="M8632" s="118">
        <f t="shared" ref="M8632" si="13154">K8632*0.1</f>
        <v>56100</v>
      </c>
      <c r="N8632" s="119"/>
      <c r="O8632" s="118">
        <v>0</v>
      </c>
      <c r="P8632" s="119"/>
      <c r="Q8632" s="118">
        <v>14520</v>
      </c>
      <c r="R8632" s="119"/>
      <c r="S8632" s="118">
        <v>14850</v>
      </c>
      <c r="T8632" s="119"/>
      <c r="U8632" s="118">
        <f t="shared" ref="U8632" si="13155">SUM(K8632:T8633)</f>
        <v>646470</v>
      </c>
      <c r="V8632" s="122"/>
      <c r="W8632" s="124"/>
      <c r="X8632" s="126" t="s">
        <v>25281</v>
      </c>
      <c r="Y8632" s="127"/>
      <c r="Z8632" s="127"/>
      <c r="AA8632" s="127"/>
      <c r="AB8632" s="128"/>
      <c r="AC8632" s="15" t="s">
        <v>20</v>
      </c>
      <c r="AD8632" s="129"/>
      <c r="AE8632" s="130"/>
      <c r="AF8632" s="130"/>
      <c r="AG8632" s="130"/>
      <c r="AH8632" s="130"/>
      <c r="AI8632" s="131"/>
      <c r="AJ8632" s="132"/>
      <c r="AK8632" s="127"/>
      <c r="AL8632" s="128"/>
      <c r="AM8632" s="21"/>
      <c r="AN8632" s="133">
        <v>46144</v>
      </c>
      <c r="AO8632" s="134"/>
      <c r="AP8632" s="135">
        <v>1299</v>
      </c>
      <c r="AQ8632" s="136"/>
      <c r="AR8632" s="118">
        <v>720000</v>
      </c>
      <c r="AS8632" s="119"/>
      <c r="AT8632" s="118">
        <f t="shared" ref="AT8632" si="13156">AR8632*0.1</f>
        <v>72000</v>
      </c>
      <c r="AU8632" s="119"/>
      <c r="AV8632" s="118">
        <v>14520</v>
      </c>
      <c r="AW8632" s="119"/>
      <c r="AX8632" s="118">
        <f t="shared" ref="AX8632" si="13157">SUM(AR8632:AW8632)</f>
        <v>806520</v>
      </c>
      <c r="AY8632" s="119"/>
      <c r="AZ8632" s="137">
        <v>46154</v>
      </c>
    </row>
    <row r="8633" spans="1:52" ht="17.100000000000001" customHeight="1" thickBot="1">
      <c r="A8633" s="110"/>
      <c r="B8633" s="27" t="s">
        <v>2774</v>
      </c>
      <c r="C8633" s="27">
        <v>70133</v>
      </c>
      <c r="D8633" s="14" t="s">
        <v>1576</v>
      </c>
      <c r="E8633" s="112"/>
      <c r="F8633" s="139" t="s">
        <v>25280</v>
      </c>
      <c r="G8633" s="140"/>
      <c r="H8633" s="141"/>
      <c r="I8633" s="26">
        <v>43073</v>
      </c>
      <c r="J8633" s="117"/>
      <c r="K8633" s="120"/>
      <c r="L8633" s="121"/>
      <c r="M8633" s="120"/>
      <c r="N8633" s="121"/>
      <c r="O8633" s="120"/>
      <c r="P8633" s="121"/>
      <c r="Q8633" s="120"/>
      <c r="R8633" s="121"/>
      <c r="S8633" s="120"/>
      <c r="T8633" s="121"/>
      <c r="U8633" s="120"/>
      <c r="V8633" s="123"/>
      <c r="W8633" s="125"/>
      <c r="X8633" s="142" t="s">
        <v>25282</v>
      </c>
      <c r="Y8633" s="143"/>
      <c r="Z8633" s="143"/>
      <c r="AA8633" s="143"/>
      <c r="AB8633" s="144"/>
      <c r="AC8633" s="16" t="s">
        <v>21</v>
      </c>
      <c r="AD8633" s="17" t="s">
        <v>25271</v>
      </c>
      <c r="AE8633" s="145" t="s">
        <v>24680</v>
      </c>
      <c r="AF8633" s="146"/>
      <c r="AG8633" s="146"/>
      <c r="AH8633" s="146"/>
      <c r="AI8633" s="147"/>
      <c r="AJ8633" s="148"/>
      <c r="AK8633" s="143"/>
      <c r="AL8633" s="144"/>
      <c r="AM8633" s="22"/>
      <c r="AN8633" s="149" t="s">
        <v>25047</v>
      </c>
      <c r="AO8633" s="144"/>
      <c r="AP8633" s="148">
        <v>80062</v>
      </c>
      <c r="AQ8633" s="144"/>
      <c r="AR8633" s="120"/>
      <c r="AS8633" s="121"/>
      <c r="AT8633" s="120"/>
      <c r="AU8633" s="121"/>
      <c r="AV8633" s="120"/>
      <c r="AW8633" s="121"/>
      <c r="AX8633" s="120"/>
      <c r="AY8633" s="121"/>
      <c r="AZ8633" s="138"/>
    </row>
    <row r="8634" spans="1:52" ht="17.100000000000001" customHeight="1" thickTop="1">
      <c r="A8634" s="109" t="s">
        <v>24636</v>
      </c>
      <c r="B8634" s="28">
        <v>46139</v>
      </c>
      <c r="C8634" s="25"/>
      <c r="D8634" s="13" t="s">
        <v>1615</v>
      </c>
      <c r="E8634" s="111"/>
      <c r="F8634" s="113" t="s">
        <v>24643</v>
      </c>
      <c r="G8634" s="114"/>
      <c r="H8634" s="115"/>
      <c r="I8634" s="24" t="s">
        <v>3931</v>
      </c>
      <c r="J8634" s="116">
        <v>4.5</v>
      </c>
      <c r="K8634" s="118">
        <v>1100000</v>
      </c>
      <c r="L8634" s="119"/>
      <c r="M8634" s="118">
        <f t="shared" ref="M8634" si="13158">K8634*0.1</f>
        <v>110000</v>
      </c>
      <c r="N8634" s="119"/>
      <c r="O8634" s="118">
        <f>36200+3620</f>
        <v>39820</v>
      </c>
      <c r="P8634" s="119"/>
      <c r="Q8634" s="118">
        <v>18980</v>
      </c>
      <c r="R8634" s="119"/>
      <c r="S8634" s="118">
        <v>14850</v>
      </c>
      <c r="T8634" s="119"/>
      <c r="U8634" s="118">
        <f t="shared" ref="U8634" si="13159">SUM(K8634:T8635)</f>
        <v>1283650</v>
      </c>
      <c r="V8634" s="122"/>
      <c r="W8634" s="124"/>
      <c r="X8634" s="126" t="s">
        <v>24644</v>
      </c>
      <c r="Y8634" s="127"/>
      <c r="Z8634" s="127"/>
      <c r="AA8634" s="127"/>
      <c r="AB8634" s="128"/>
      <c r="AC8634" s="15" t="s">
        <v>20</v>
      </c>
      <c r="AD8634" s="129"/>
      <c r="AE8634" s="130"/>
      <c r="AF8634" s="130"/>
      <c r="AG8634" s="130"/>
      <c r="AH8634" s="130"/>
      <c r="AI8634" s="131"/>
      <c r="AJ8634" s="132"/>
      <c r="AK8634" s="127"/>
      <c r="AL8634" s="128"/>
      <c r="AM8634" s="21"/>
      <c r="AN8634" s="133"/>
      <c r="AO8634" s="134"/>
      <c r="AP8634" s="135"/>
      <c r="AQ8634" s="136"/>
      <c r="AR8634" s="118"/>
      <c r="AS8634" s="119"/>
      <c r="AT8634" s="118">
        <f t="shared" ref="AT8634" si="13160">AR8634*0.1</f>
        <v>0</v>
      </c>
      <c r="AU8634" s="119"/>
      <c r="AV8634" s="118"/>
      <c r="AW8634" s="119"/>
      <c r="AX8634" s="118">
        <f t="shared" ref="AX8634" si="13161">SUM(AR8634:AW8634)</f>
        <v>0</v>
      </c>
      <c r="AY8634" s="119"/>
      <c r="AZ8634" s="137"/>
    </row>
    <row r="8635" spans="1:52" ht="17.100000000000001" customHeight="1" thickBot="1">
      <c r="A8635" s="110"/>
      <c r="B8635" s="27" t="s">
        <v>2774</v>
      </c>
      <c r="C8635" s="27">
        <v>80255</v>
      </c>
      <c r="D8635" s="14" t="s">
        <v>1556</v>
      </c>
      <c r="E8635" s="112"/>
      <c r="F8635" s="139" t="s">
        <v>25269</v>
      </c>
      <c r="G8635" s="140"/>
      <c r="H8635" s="141"/>
      <c r="I8635" s="26">
        <v>61064</v>
      </c>
      <c r="J8635" s="117"/>
      <c r="K8635" s="120"/>
      <c r="L8635" s="121"/>
      <c r="M8635" s="120"/>
      <c r="N8635" s="121"/>
      <c r="O8635" s="120"/>
      <c r="P8635" s="121"/>
      <c r="Q8635" s="120"/>
      <c r="R8635" s="121"/>
      <c r="S8635" s="120"/>
      <c r="T8635" s="121"/>
      <c r="U8635" s="120"/>
      <c r="V8635" s="123"/>
      <c r="W8635" s="125"/>
      <c r="X8635" s="142" t="s">
        <v>25270</v>
      </c>
      <c r="Y8635" s="143"/>
      <c r="Z8635" s="143"/>
      <c r="AA8635" s="143"/>
      <c r="AB8635" s="144"/>
      <c r="AC8635" s="16" t="s">
        <v>21</v>
      </c>
      <c r="AD8635" s="17" t="s">
        <v>25271</v>
      </c>
      <c r="AE8635" s="145" t="s">
        <v>7859</v>
      </c>
      <c r="AF8635" s="146"/>
      <c r="AG8635" s="146"/>
      <c r="AH8635" s="146"/>
      <c r="AI8635" s="147"/>
      <c r="AJ8635" s="148"/>
      <c r="AK8635" s="143"/>
      <c r="AL8635" s="144"/>
      <c r="AM8635" s="22"/>
      <c r="AN8635" s="149"/>
      <c r="AO8635" s="144"/>
      <c r="AP8635" s="148"/>
      <c r="AQ8635" s="144"/>
      <c r="AR8635" s="120"/>
      <c r="AS8635" s="121"/>
      <c r="AT8635" s="120"/>
      <c r="AU8635" s="121"/>
      <c r="AV8635" s="120"/>
      <c r="AW8635" s="121"/>
      <c r="AX8635" s="120"/>
      <c r="AY8635" s="121"/>
      <c r="AZ8635" s="138"/>
    </row>
    <row r="8636" spans="1:52" ht="17.100000000000001" customHeight="1" thickTop="1">
      <c r="A8636" s="109" t="s">
        <v>24637</v>
      </c>
      <c r="B8636" s="28">
        <v>46139</v>
      </c>
      <c r="C8636" s="25"/>
      <c r="D8636" s="13" t="s">
        <v>2084</v>
      </c>
      <c r="E8636" s="111"/>
      <c r="F8636" s="113" t="s">
        <v>24645</v>
      </c>
      <c r="G8636" s="114"/>
      <c r="H8636" s="115"/>
      <c r="I8636" s="24"/>
      <c r="J8636" s="116">
        <v>4</v>
      </c>
      <c r="K8636" s="118">
        <v>1953000</v>
      </c>
      <c r="L8636" s="119"/>
      <c r="M8636" s="118">
        <f t="shared" ref="M8636" si="13162">K8636*0.1</f>
        <v>195300</v>
      </c>
      <c r="N8636" s="119"/>
      <c r="O8636" s="118">
        <v>0</v>
      </c>
      <c r="P8636" s="119"/>
      <c r="Q8636" s="118">
        <v>15910</v>
      </c>
      <c r="R8636" s="119"/>
      <c r="S8636" s="118">
        <v>14850</v>
      </c>
      <c r="T8636" s="119"/>
      <c r="U8636" s="118">
        <f t="shared" ref="U8636" si="13163">SUM(K8636:T8637)</f>
        <v>2179060</v>
      </c>
      <c r="V8636" s="122"/>
      <c r="W8636" s="124"/>
      <c r="X8636" s="126" t="s">
        <v>25284</v>
      </c>
      <c r="Y8636" s="127"/>
      <c r="Z8636" s="127"/>
      <c r="AA8636" s="127"/>
      <c r="AB8636" s="128"/>
      <c r="AC8636" s="15" t="s">
        <v>20</v>
      </c>
      <c r="AD8636" s="129" t="s">
        <v>1670</v>
      </c>
      <c r="AE8636" s="130"/>
      <c r="AF8636" s="130"/>
      <c r="AG8636" s="130"/>
      <c r="AH8636" s="130"/>
      <c r="AI8636" s="131"/>
      <c r="AJ8636" s="132"/>
      <c r="AK8636" s="127"/>
      <c r="AL8636" s="128"/>
      <c r="AM8636" s="21"/>
      <c r="AN8636" s="133">
        <v>46144</v>
      </c>
      <c r="AO8636" s="134"/>
      <c r="AP8636" s="135">
        <v>1299</v>
      </c>
      <c r="AQ8636" s="136"/>
      <c r="AR8636" s="118">
        <v>2250000</v>
      </c>
      <c r="AS8636" s="119"/>
      <c r="AT8636" s="118">
        <f t="shared" ref="AT8636" si="13164">AR8636*0.1</f>
        <v>225000</v>
      </c>
      <c r="AU8636" s="119"/>
      <c r="AV8636" s="118">
        <v>15910</v>
      </c>
      <c r="AW8636" s="119"/>
      <c r="AX8636" s="118">
        <f t="shared" ref="AX8636" si="13165">SUM(AR8636:AW8636)</f>
        <v>2490910</v>
      </c>
      <c r="AY8636" s="119"/>
      <c r="AZ8636" s="137">
        <v>46154</v>
      </c>
    </row>
    <row r="8637" spans="1:52" ht="17.100000000000001" customHeight="1" thickBot="1">
      <c r="A8637" s="110"/>
      <c r="B8637" s="27" t="s">
        <v>2774</v>
      </c>
      <c r="C8637" s="27">
        <v>80257</v>
      </c>
      <c r="D8637" s="14" t="s">
        <v>1720</v>
      </c>
      <c r="E8637" s="112"/>
      <c r="F8637" s="139" t="s">
        <v>25283</v>
      </c>
      <c r="G8637" s="140"/>
      <c r="H8637" s="141"/>
      <c r="I8637" s="26">
        <v>21785</v>
      </c>
      <c r="J8637" s="117"/>
      <c r="K8637" s="120"/>
      <c r="L8637" s="121"/>
      <c r="M8637" s="120"/>
      <c r="N8637" s="121"/>
      <c r="O8637" s="120"/>
      <c r="P8637" s="121"/>
      <c r="Q8637" s="120"/>
      <c r="R8637" s="121"/>
      <c r="S8637" s="120"/>
      <c r="T8637" s="121"/>
      <c r="U8637" s="120"/>
      <c r="V8637" s="123"/>
      <c r="W8637" s="125"/>
      <c r="X8637" s="142" t="s">
        <v>25285</v>
      </c>
      <c r="Y8637" s="143"/>
      <c r="Z8637" s="143"/>
      <c r="AA8637" s="143"/>
      <c r="AB8637" s="144"/>
      <c r="AC8637" s="16" t="s">
        <v>21</v>
      </c>
      <c r="AD8637" s="17" t="s">
        <v>25271</v>
      </c>
      <c r="AE8637" s="145" t="s">
        <v>9056</v>
      </c>
      <c r="AF8637" s="146"/>
      <c r="AG8637" s="146"/>
      <c r="AH8637" s="146"/>
      <c r="AI8637" s="147"/>
      <c r="AJ8637" s="148"/>
      <c r="AK8637" s="143"/>
      <c r="AL8637" s="144"/>
      <c r="AM8637" s="22"/>
      <c r="AN8637" s="149" t="s">
        <v>25047</v>
      </c>
      <c r="AO8637" s="144"/>
      <c r="AP8637" s="148">
        <v>80066</v>
      </c>
      <c r="AQ8637" s="144"/>
      <c r="AR8637" s="120"/>
      <c r="AS8637" s="121"/>
      <c r="AT8637" s="120"/>
      <c r="AU8637" s="121"/>
      <c r="AV8637" s="120"/>
      <c r="AW8637" s="121"/>
      <c r="AX8637" s="120"/>
      <c r="AY8637" s="121"/>
      <c r="AZ8637" s="138"/>
    </row>
    <row r="8638" spans="1:52" ht="17.100000000000001" customHeight="1" thickTop="1">
      <c r="A8638" s="109" t="s">
        <v>24638</v>
      </c>
      <c r="B8638" s="28">
        <v>46139</v>
      </c>
      <c r="C8638" s="25"/>
      <c r="D8638" s="13" t="s">
        <v>1059</v>
      </c>
      <c r="E8638" s="111"/>
      <c r="F8638" s="113" t="s">
        <v>12043</v>
      </c>
      <c r="G8638" s="114"/>
      <c r="H8638" s="115"/>
      <c r="I8638" s="24"/>
      <c r="J8638" s="116">
        <v>4</v>
      </c>
      <c r="K8638" s="118">
        <v>1663000</v>
      </c>
      <c r="L8638" s="119"/>
      <c r="M8638" s="118">
        <f t="shared" ref="M8638" si="13166">K8638*0.1</f>
        <v>166300</v>
      </c>
      <c r="N8638" s="119"/>
      <c r="O8638" s="118">
        <v>0</v>
      </c>
      <c r="P8638" s="119"/>
      <c r="Q8638" s="118">
        <v>17930</v>
      </c>
      <c r="R8638" s="119"/>
      <c r="S8638" s="118">
        <v>14850</v>
      </c>
      <c r="T8638" s="119"/>
      <c r="U8638" s="118">
        <f t="shared" ref="U8638" si="13167">SUM(K8638:T8639)</f>
        <v>1862080</v>
      </c>
      <c r="V8638" s="122"/>
      <c r="W8638" s="124"/>
      <c r="X8638" s="126" t="s">
        <v>25277</v>
      </c>
      <c r="Y8638" s="127"/>
      <c r="Z8638" s="127"/>
      <c r="AA8638" s="127"/>
      <c r="AB8638" s="128"/>
      <c r="AC8638" s="15" t="s">
        <v>20</v>
      </c>
      <c r="AD8638" s="129"/>
      <c r="AE8638" s="130"/>
      <c r="AF8638" s="130"/>
      <c r="AG8638" s="130"/>
      <c r="AH8638" s="130"/>
      <c r="AI8638" s="131"/>
      <c r="AJ8638" s="132"/>
      <c r="AK8638" s="127"/>
      <c r="AL8638" s="128"/>
      <c r="AM8638" s="21"/>
      <c r="AN8638" s="133">
        <v>46144</v>
      </c>
      <c r="AO8638" s="134"/>
      <c r="AP8638" s="135">
        <v>1299</v>
      </c>
      <c r="AQ8638" s="136"/>
      <c r="AR8638" s="118">
        <v>1820000</v>
      </c>
      <c r="AS8638" s="119"/>
      <c r="AT8638" s="118">
        <f t="shared" ref="AT8638" si="13168">AR8638*0.1</f>
        <v>182000</v>
      </c>
      <c r="AU8638" s="119"/>
      <c r="AV8638" s="118">
        <v>17930</v>
      </c>
      <c r="AW8638" s="119"/>
      <c r="AX8638" s="118">
        <f t="shared" ref="AX8638" si="13169">SUM(AR8638:AW8638)</f>
        <v>2019930</v>
      </c>
      <c r="AY8638" s="119"/>
      <c r="AZ8638" s="137">
        <v>46154</v>
      </c>
    </row>
    <row r="8639" spans="1:52" ht="17.100000000000001" customHeight="1" thickBot="1">
      <c r="A8639" s="110"/>
      <c r="B8639" s="27" t="s">
        <v>2774</v>
      </c>
      <c r="C8639" s="27">
        <v>80259</v>
      </c>
      <c r="D8639" s="14" t="s">
        <v>1592</v>
      </c>
      <c r="E8639" s="112"/>
      <c r="F8639" s="139" t="s">
        <v>25276</v>
      </c>
      <c r="G8639" s="140"/>
      <c r="H8639" s="141"/>
      <c r="I8639" s="26">
        <v>49109</v>
      </c>
      <c r="J8639" s="117"/>
      <c r="K8639" s="120"/>
      <c r="L8639" s="121"/>
      <c r="M8639" s="120"/>
      <c r="N8639" s="121"/>
      <c r="O8639" s="120"/>
      <c r="P8639" s="121"/>
      <c r="Q8639" s="120"/>
      <c r="R8639" s="121"/>
      <c r="S8639" s="120"/>
      <c r="T8639" s="121"/>
      <c r="U8639" s="120"/>
      <c r="V8639" s="123"/>
      <c r="W8639" s="125"/>
      <c r="X8639" s="142" t="s">
        <v>25270</v>
      </c>
      <c r="Y8639" s="143"/>
      <c r="Z8639" s="143"/>
      <c r="AA8639" s="143"/>
      <c r="AB8639" s="144"/>
      <c r="AC8639" s="16" t="s">
        <v>21</v>
      </c>
      <c r="AD8639" s="17" t="s">
        <v>25271</v>
      </c>
      <c r="AE8639" s="145"/>
      <c r="AF8639" s="146"/>
      <c r="AG8639" s="146"/>
      <c r="AH8639" s="146"/>
      <c r="AI8639" s="147"/>
      <c r="AJ8639" s="148"/>
      <c r="AK8639" s="143"/>
      <c r="AL8639" s="144"/>
      <c r="AM8639" s="22"/>
      <c r="AN8639" s="149" t="s">
        <v>25047</v>
      </c>
      <c r="AO8639" s="144"/>
      <c r="AP8639" s="148">
        <v>80064</v>
      </c>
      <c r="AQ8639" s="144"/>
      <c r="AR8639" s="120"/>
      <c r="AS8639" s="121"/>
      <c r="AT8639" s="120"/>
      <c r="AU8639" s="121"/>
      <c r="AV8639" s="120"/>
      <c r="AW8639" s="121"/>
      <c r="AX8639" s="120"/>
      <c r="AY8639" s="121"/>
      <c r="AZ8639" s="138"/>
    </row>
    <row r="8640" spans="1:52" ht="17.100000000000001" customHeight="1" thickTop="1">
      <c r="A8640" s="109" t="s">
        <v>24646</v>
      </c>
      <c r="B8640" s="28">
        <v>46139</v>
      </c>
      <c r="C8640" s="25"/>
      <c r="D8640" s="13" t="s">
        <v>2465</v>
      </c>
      <c r="E8640" s="111"/>
      <c r="F8640" s="113" t="s">
        <v>4559</v>
      </c>
      <c r="G8640" s="114"/>
      <c r="H8640" s="115"/>
      <c r="I8640" s="24"/>
      <c r="J8640" s="116">
        <v>4</v>
      </c>
      <c r="K8640" s="118">
        <v>329000</v>
      </c>
      <c r="L8640" s="119"/>
      <c r="M8640" s="118">
        <f t="shared" ref="M8640" si="13170">K8640*0.1</f>
        <v>32900</v>
      </c>
      <c r="N8640" s="119"/>
      <c r="O8640" s="118">
        <v>0</v>
      </c>
      <c r="P8640" s="119"/>
      <c r="Q8640" s="118">
        <v>18960</v>
      </c>
      <c r="R8640" s="119"/>
      <c r="S8640" s="118">
        <v>14850</v>
      </c>
      <c r="T8640" s="119"/>
      <c r="U8640" s="118">
        <f t="shared" ref="U8640" si="13171">SUM(K8640:T8641)</f>
        <v>395710</v>
      </c>
      <c r="V8640" s="122"/>
      <c r="W8640" s="124"/>
      <c r="X8640" s="126" t="s">
        <v>25278</v>
      </c>
      <c r="Y8640" s="127"/>
      <c r="Z8640" s="127"/>
      <c r="AA8640" s="127"/>
      <c r="AB8640" s="128"/>
      <c r="AC8640" s="15" t="s">
        <v>20</v>
      </c>
      <c r="AD8640" s="129"/>
      <c r="AE8640" s="130"/>
      <c r="AF8640" s="130"/>
      <c r="AG8640" s="130"/>
      <c r="AH8640" s="130"/>
      <c r="AI8640" s="131"/>
      <c r="AJ8640" s="132"/>
      <c r="AK8640" s="127"/>
      <c r="AL8640" s="128"/>
      <c r="AM8640" s="21"/>
      <c r="AN8640" s="133">
        <v>46144</v>
      </c>
      <c r="AO8640" s="134"/>
      <c r="AP8640" s="135">
        <v>1299</v>
      </c>
      <c r="AQ8640" s="136"/>
      <c r="AR8640" s="118">
        <v>480000</v>
      </c>
      <c r="AS8640" s="119"/>
      <c r="AT8640" s="118">
        <f t="shared" ref="AT8640" si="13172">AR8640*0.1</f>
        <v>48000</v>
      </c>
      <c r="AU8640" s="119"/>
      <c r="AV8640" s="118">
        <v>18960</v>
      </c>
      <c r="AW8640" s="119"/>
      <c r="AX8640" s="118">
        <f t="shared" ref="AX8640" si="13173">SUM(AR8640:AW8640)</f>
        <v>546960</v>
      </c>
      <c r="AY8640" s="119"/>
      <c r="AZ8640" s="137">
        <v>46154</v>
      </c>
    </row>
    <row r="8641" spans="1:52" ht="17.100000000000001" customHeight="1" thickBot="1">
      <c r="A8641" s="110"/>
      <c r="B8641" s="27" t="s">
        <v>8858</v>
      </c>
      <c r="C8641" s="27">
        <v>60106</v>
      </c>
      <c r="D8641" s="14" t="s">
        <v>275</v>
      </c>
      <c r="E8641" s="112"/>
      <c r="F8641" s="139" t="s">
        <v>24647</v>
      </c>
      <c r="G8641" s="140"/>
      <c r="H8641" s="141"/>
      <c r="I8641" s="26">
        <v>74754</v>
      </c>
      <c r="J8641" s="117"/>
      <c r="K8641" s="120"/>
      <c r="L8641" s="121"/>
      <c r="M8641" s="120"/>
      <c r="N8641" s="121"/>
      <c r="O8641" s="120"/>
      <c r="P8641" s="121"/>
      <c r="Q8641" s="120"/>
      <c r="R8641" s="121"/>
      <c r="S8641" s="120"/>
      <c r="T8641" s="121"/>
      <c r="U8641" s="120"/>
      <c r="V8641" s="123"/>
      <c r="W8641" s="125"/>
      <c r="X8641" s="142" t="s">
        <v>25279</v>
      </c>
      <c r="Y8641" s="143"/>
      <c r="Z8641" s="143"/>
      <c r="AA8641" s="143"/>
      <c r="AB8641" s="144"/>
      <c r="AC8641" s="16" t="s">
        <v>21</v>
      </c>
      <c r="AD8641" s="17" t="s">
        <v>25271</v>
      </c>
      <c r="AE8641" s="145" t="s">
        <v>7859</v>
      </c>
      <c r="AF8641" s="146"/>
      <c r="AG8641" s="146"/>
      <c r="AH8641" s="146"/>
      <c r="AI8641" s="147"/>
      <c r="AJ8641" s="148"/>
      <c r="AK8641" s="143"/>
      <c r="AL8641" s="144"/>
      <c r="AM8641" s="22"/>
      <c r="AN8641" s="149" t="s">
        <v>25047</v>
      </c>
      <c r="AO8641" s="144"/>
      <c r="AP8641" s="148">
        <v>80372</v>
      </c>
      <c r="AQ8641" s="144"/>
      <c r="AR8641" s="120"/>
      <c r="AS8641" s="121"/>
      <c r="AT8641" s="120"/>
      <c r="AU8641" s="121"/>
      <c r="AV8641" s="120"/>
      <c r="AW8641" s="121"/>
      <c r="AX8641" s="120"/>
      <c r="AY8641" s="121"/>
      <c r="AZ8641" s="138"/>
    </row>
    <row r="8642" spans="1:52" ht="17.100000000000001" customHeight="1" thickTop="1">
      <c r="A8642" s="109" t="s">
        <v>24661</v>
      </c>
      <c r="B8642" s="28">
        <v>46139</v>
      </c>
      <c r="C8642" s="25"/>
      <c r="D8642" s="13" t="s">
        <v>1977</v>
      </c>
      <c r="E8642" s="111"/>
      <c r="F8642" s="113" t="s">
        <v>24650</v>
      </c>
      <c r="G8642" s="114"/>
      <c r="H8642" s="115"/>
      <c r="I8642" s="24" t="s">
        <v>17951</v>
      </c>
      <c r="J8642" s="116">
        <v>4</v>
      </c>
      <c r="K8642" s="118">
        <f>1853500/1.1</f>
        <v>1684999.9999999998</v>
      </c>
      <c r="L8642" s="119"/>
      <c r="M8642" s="118">
        <f t="shared" ref="M8642" si="13174">K8642*0.1</f>
        <v>168500</v>
      </c>
      <c r="N8642" s="119"/>
      <c r="O8642" s="118">
        <v>32900</v>
      </c>
      <c r="P8642" s="119"/>
      <c r="Q8642" s="118">
        <v>12470</v>
      </c>
      <c r="R8642" s="119"/>
      <c r="S8642" s="118">
        <v>0</v>
      </c>
      <c r="T8642" s="119"/>
      <c r="U8642" s="118">
        <f t="shared" ref="U8642" si="13175">SUM(K8642:T8643)</f>
        <v>1898869.9999999998</v>
      </c>
      <c r="V8642" s="122"/>
      <c r="W8642" s="124"/>
      <c r="X8642" s="126"/>
      <c r="Y8642" s="127"/>
      <c r="Z8642" s="127"/>
      <c r="AA8642" s="127"/>
      <c r="AB8642" s="128"/>
      <c r="AC8642" s="15" t="s">
        <v>20</v>
      </c>
      <c r="AD8642" s="129" t="s">
        <v>171</v>
      </c>
      <c r="AE8642" s="130"/>
      <c r="AF8642" s="130"/>
      <c r="AG8642" s="130"/>
      <c r="AH8642" s="130"/>
      <c r="AI8642" s="131"/>
      <c r="AJ8642" s="132"/>
      <c r="AK8642" s="127"/>
      <c r="AL8642" s="128"/>
      <c r="AM8642" s="21"/>
      <c r="AN8642" s="133"/>
      <c r="AO8642" s="134"/>
      <c r="AP8642" s="135"/>
      <c r="AQ8642" s="136"/>
      <c r="AR8642" s="118"/>
      <c r="AS8642" s="119"/>
      <c r="AT8642" s="118">
        <f t="shared" ref="AT8642" si="13176">AR8642*0.1</f>
        <v>0</v>
      </c>
      <c r="AU8642" s="119"/>
      <c r="AV8642" s="118"/>
      <c r="AW8642" s="119"/>
      <c r="AX8642" s="118">
        <f t="shared" ref="AX8642" si="13177">SUM(AR8642:AW8642)</f>
        <v>0</v>
      </c>
      <c r="AY8642" s="119"/>
      <c r="AZ8642" s="137"/>
    </row>
    <row r="8643" spans="1:52" ht="17.100000000000001" customHeight="1" thickBot="1">
      <c r="A8643" s="110"/>
      <c r="B8643" s="27" t="s">
        <v>1718</v>
      </c>
      <c r="C8643" s="27" t="s">
        <v>24649</v>
      </c>
      <c r="D8643" s="14" t="s">
        <v>275</v>
      </c>
      <c r="E8643" s="112"/>
      <c r="F8643" s="139" t="s">
        <v>24651</v>
      </c>
      <c r="G8643" s="140"/>
      <c r="H8643" s="141"/>
      <c r="I8643" s="26">
        <v>55320</v>
      </c>
      <c r="J8643" s="117"/>
      <c r="K8643" s="120"/>
      <c r="L8643" s="121"/>
      <c r="M8643" s="120"/>
      <c r="N8643" s="121"/>
      <c r="O8643" s="120"/>
      <c r="P8643" s="121"/>
      <c r="Q8643" s="120"/>
      <c r="R8643" s="121"/>
      <c r="S8643" s="120"/>
      <c r="T8643" s="121"/>
      <c r="U8643" s="120"/>
      <c r="V8643" s="123"/>
      <c r="W8643" s="125"/>
      <c r="X8643" s="142"/>
      <c r="Y8643" s="143"/>
      <c r="Z8643" s="143"/>
      <c r="AA8643" s="143"/>
      <c r="AB8643" s="144"/>
      <c r="AC8643" s="16" t="s">
        <v>21</v>
      </c>
      <c r="AD8643" s="17"/>
      <c r="AE8643" s="145"/>
      <c r="AF8643" s="146"/>
      <c r="AG8643" s="146"/>
      <c r="AH8643" s="146"/>
      <c r="AI8643" s="147"/>
      <c r="AJ8643" s="148"/>
      <c r="AK8643" s="143"/>
      <c r="AL8643" s="144"/>
      <c r="AM8643" s="22"/>
      <c r="AN8643" s="149"/>
      <c r="AO8643" s="144"/>
      <c r="AP8643" s="148"/>
      <c r="AQ8643" s="144"/>
      <c r="AR8643" s="120"/>
      <c r="AS8643" s="121"/>
      <c r="AT8643" s="120"/>
      <c r="AU8643" s="121"/>
      <c r="AV8643" s="120"/>
      <c r="AW8643" s="121"/>
      <c r="AX8643" s="120"/>
      <c r="AY8643" s="121"/>
      <c r="AZ8643" s="138"/>
    </row>
    <row r="8644" spans="1:52" ht="17.100000000000001" customHeight="1" thickTop="1">
      <c r="A8644" s="109" t="s">
        <v>24662</v>
      </c>
      <c r="B8644" s="28">
        <v>46139</v>
      </c>
      <c r="C8644" s="25"/>
      <c r="D8644" s="13" t="s">
        <v>1922</v>
      </c>
      <c r="E8644" s="111"/>
      <c r="F8644" s="113" t="s">
        <v>11367</v>
      </c>
      <c r="G8644" s="114"/>
      <c r="H8644" s="115"/>
      <c r="I8644" s="24" t="s">
        <v>24654</v>
      </c>
      <c r="J8644" s="116">
        <v>4</v>
      </c>
      <c r="K8644" s="118">
        <f>1919500/1.1</f>
        <v>1744999.9999999998</v>
      </c>
      <c r="L8644" s="119"/>
      <c r="M8644" s="118">
        <f t="shared" ref="M8644" si="13178">K8644*0.1</f>
        <v>174500</v>
      </c>
      <c r="N8644" s="119"/>
      <c r="O8644" s="118">
        <v>25400</v>
      </c>
      <c r="P8644" s="119"/>
      <c r="Q8644" s="118">
        <v>8600</v>
      </c>
      <c r="R8644" s="119"/>
      <c r="S8644" s="118">
        <v>0</v>
      </c>
      <c r="T8644" s="119"/>
      <c r="U8644" s="118">
        <f t="shared" ref="U8644" si="13179">SUM(K8644:T8645)</f>
        <v>1953499.9999999998</v>
      </c>
      <c r="V8644" s="122"/>
      <c r="W8644" s="124"/>
      <c r="X8644" s="126"/>
      <c r="Y8644" s="127"/>
      <c r="Z8644" s="127"/>
      <c r="AA8644" s="127"/>
      <c r="AB8644" s="128"/>
      <c r="AC8644" s="15" t="s">
        <v>20</v>
      </c>
      <c r="AD8644" s="129" t="s">
        <v>24656</v>
      </c>
      <c r="AE8644" s="130"/>
      <c r="AF8644" s="130"/>
      <c r="AG8644" s="130"/>
      <c r="AH8644" s="130"/>
      <c r="AI8644" s="131"/>
      <c r="AJ8644" s="132"/>
      <c r="AK8644" s="127"/>
      <c r="AL8644" s="128"/>
      <c r="AM8644" s="21"/>
      <c r="AN8644" s="133"/>
      <c r="AO8644" s="134"/>
      <c r="AP8644" s="135"/>
      <c r="AQ8644" s="136"/>
      <c r="AR8644" s="118"/>
      <c r="AS8644" s="119"/>
      <c r="AT8644" s="118">
        <f t="shared" ref="AT8644" si="13180">AR8644*0.1</f>
        <v>0</v>
      </c>
      <c r="AU8644" s="119"/>
      <c r="AV8644" s="118"/>
      <c r="AW8644" s="119"/>
      <c r="AX8644" s="118">
        <f t="shared" ref="AX8644" si="13181">SUM(AR8644:AW8644)</f>
        <v>0</v>
      </c>
      <c r="AY8644" s="119"/>
      <c r="AZ8644" s="137"/>
    </row>
    <row r="8645" spans="1:52" ht="17.100000000000001" customHeight="1" thickBot="1">
      <c r="A8645" s="110"/>
      <c r="B8645" s="27" t="s">
        <v>1718</v>
      </c>
      <c r="C8645" s="27" t="s">
        <v>24652</v>
      </c>
      <c r="D8645" s="14" t="s">
        <v>2601</v>
      </c>
      <c r="E8645" s="112"/>
      <c r="F8645" s="139" t="s">
        <v>24653</v>
      </c>
      <c r="G8645" s="140"/>
      <c r="H8645" s="141"/>
      <c r="I8645" s="26">
        <v>35699</v>
      </c>
      <c r="J8645" s="117"/>
      <c r="K8645" s="120"/>
      <c r="L8645" s="121"/>
      <c r="M8645" s="120"/>
      <c r="N8645" s="121"/>
      <c r="O8645" s="120"/>
      <c r="P8645" s="121"/>
      <c r="Q8645" s="120"/>
      <c r="R8645" s="121"/>
      <c r="S8645" s="120"/>
      <c r="T8645" s="121"/>
      <c r="U8645" s="120"/>
      <c r="V8645" s="123"/>
      <c r="W8645" s="125"/>
      <c r="X8645" s="142"/>
      <c r="Y8645" s="143"/>
      <c r="Z8645" s="143"/>
      <c r="AA8645" s="143"/>
      <c r="AB8645" s="144"/>
      <c r="AC8645" s="16" t="s">
        <v>21</v>
      </c>
      <c r="AD8645" s="17"/>
      <c r="AE8645" s="145"/>
      <c r="AF8645" s="146"/>
      <c r="AG8645" s="146"/>
      <c r="AH8645" s="146"/>
      <c r="AI8645" s="147"/>
      <c r="AJ8645" s="148"/>
      <c r="AK8645" s="143"/>
      <c r="AL8645" s="144"/>
      <c r="AM8645" s="22"/>
      <c r="AN8645" s="149"/>
      <c r="AO8645" s="144"/>
      <c r="AP8645" s="148"/>
      <c r="AQ8645" s="144"/>
      <c r="AR8645" s="120"/>
      <c r="AS8645" s="121"/>
      <c r="AT8645" s="120"/>
      <c r="AU8645" s="121"/>
      <c r="AV8645" s="120"/>
      <c r="AW8645" s="121"/>
      <c r="AX8645" s="120"/>
      <c r="AY8645" s="121"/>
      <c r="AZ8645" s="138"/>
    </row>
    <row r="8646" spans="1:52" ht="17.100000000000001" customHeight="1" thickTop="1">
      <c r="A8646" s="109" t="s">
        <v>24663</v>
      </c>
      <c r="B8646" s="28">
        <v>46139</v>
      </c>
      <c r="C8646" s="25"/>
      <c r="D8646" s="13" t="s">
        <v>2838</v>
      </c>
      <c r="E8646" s="111"/>
      <c r="F8646" s="113" t="s">
        <v>24658</v>
      </c>
      <c r="G8646" s="114"/>
      <c r="H8646" s="115"/>
      <c r="I8646" s="24" t="s">
        <v>24660</v>
      </c>
      <c r="J8646" s="116">
        <v>4.5</v>
      </c>
      <c r="K8646" s="118">
        <f>5731000/1.1</f>
        <v>5210000</v>
      </c>
      <c r="L8646" s="119"/>
      <c r="M8646" s="118">
        <f t="shared" ref="M8646" si="13182">K8646*0.1</f>
        <v>521000</v>
      </c>
      <c r="N8646" s="119"/>
      <c r="O8646" s="118">
        <v>37500</v>
      </c>
      <c r="P8646" s="119"/>
      <c r="Q8646" s="118">
        <v>14230</v>
      </c>
      <c r="R8646" s="119"/>
      <c r="S8646" s="118">
        <v>0</v>
      </c>
      <c r="T8646" s="119"/>
      <c r="U8646" s="118">
        <f t="shared" ref="U8646" si="13183">SUM(K8646:T8647)</f>
        <v>5782730</v>
      </c>
      <c r="V8646" s="122"/>
      <c r="W8646" s="124"/>
      <c r="X8646" s="126"/>
      <c r="Y8646" s="127"/>
      <c r="Z8646" s="127"/>
      <c r="AA8646" s="127"/>
      <c r="AB8646" s="128"/>
      <c r="AC8646" s="15" t="s">
        <v>20</v>
      </c>
      <c r="AD8646" s="129" t="s">
        <v>3412</v>
      </c>
      <c r="AE8646" s="130"/>
      <c r="AF8646" s="130"/>
      <c r="AG8646" s="130"/>
      <c r="AH8646" s="130"/>
      <c r="AI8646" s="131"/>
      <c r="AJ8646" s="132"/>
      <c r="AK8646" s="127"/>
      <c r="AL8646" s="128"/>
      <c r="AM8646" s="21"/>
      <c r="AN8646" s="133"/>
      <c r="AO8646" s="134"/>
      <c r="AP8646" s="135"/>
      <c r="AQ8646" s="136"/>
      <c r="AR8646" s="118"/>
      <c r="AS8646" s="119"/>
      <c r="AT8646" s="118">
        <f t="shared" ref="AT8646" si="13184">AR8646*0.1</f>
        <v>0</v>
      </c>
      <c r="AU8646" s="119"/>
      <c r="AV8646" s="118"/>
      <c r="AW8646" s="119"/>
      <c r="AX8646" s="118">
        <f t="shared" ref="AX8646" si="13185">SUM(AR8646:AW8646)</f>
        <v>0</v>
      </c>
      <c r="AY8646" s="119"/>
      <c r="AZ8646" s="137"/>
    </row>
    <row r="8647" spans="1:52" ht="17.100000000000001" customHeight="1" thickBot="1">
      <c r="A8647" s="110"/>
      <c r="B8647" s="27" t="s">
        <v>1718</v>
      </c>
      <c r="C8647" s="27" t="s">
        <v>24657</v>
      </c>
      <c r="D8647" s="14" t="s">
        <v>1592</v>
      </c>
      <c r="E8647" s="112"/>
      <c r="F8647" s="139" t="s">
        <v>24659</v>
      </c>
      <c r="G8647" s="140"/>
      <c r="H8647" s="141"/>
      <c r="I8647" s="26">
        <v>4263</v>
      </c>
      <c r="J8647" s="117"/>
      <c r="K8647" s="120"/>
      <c r="L8647" s="121"/>
      <c r="M8647" s="120"/>
      <c r="N8647" s="121"/>
      <c r="O8647" s="120"/>
      <c r="P8647" s="121"/>
      <c r="Q8647" s="120"/>
      <c r="R8647" s="121"/>
      <c r="S8647" s="120"/>
      <c r="T8647" s="121"/>
      <c r="U8647" s="120"/>
      <c r="V8647" s="123"/>
      <c r="W8647" s="125"/>
      <c r="X8647" s="142"/>
      <c r="Y8647" s="143"/>
      <c r="Z8647" s="143"/>
      <c r="AA8647" s="143"/>
      <c r="AB8647" s="144"/>
      <c r="AC8647" s="16" t="s">
        <v>21</v>
      </c>
      <c r="AD8647" s="17"/>
      <c r="AE8647" s="145"/>
      <c r="AF8647" s="146"/>
      <c r="AG8647" s="146"/>
      <c r="AH8647" s="146"/>
      <c r="AI8647" s="147"/>
      <c r="AJ8647" s="148"/>
      <c r="AK8647" s="143"/>
      <c r="AL8647" s="144"/>
      <c r="AM8647" s="22"/>
      <c r="AN8647" s="149"/>
      <c r="AO8647" s="144"/>
      <c r="AP8647" s="148"/>
      <c r="AQ8647" s="144"/>
      <c r="AR8647" s="120"/>
      <c r="AS8647" s="121"/>
      <c r="AT8647" s="120"/>
      <c r="AU8647" s="121"/>
      <c r="AV8647" s="120"/>
      <c r="AW8647" s="121"/>
      <c r="AX8647" s="120"/>
      <c r="AY8647" s="121"/>
      <c r="AZ8647" s="138"/>
    </row>
    <row r="8648" spans="1:52" ht="17.100000000000001" customHeight="1" thickTop="1">
      <c r="A8648" s="109" t="s">
        <v>24665</v>
      </c>
      <c r="B8648" s="28">
        <v>46139</v>
      </c>
      <c r="C8648" s="25"/>
      <c r="D8648" s="13" t="s">
        <v>3550</v>
      </c>
      <c r="E8648" s="111"/>
      <c r="F8648" s="113" t="s">
        <v>16855</v>
      </c>
      <c r="G8648" s="114"/>
      <c r="H8648" s="115"/>
      <c r="I8648" s="24" t="s">
        <v>14681</v>
      </c>
      <c r="J8648" s="116">
        <v>4</v>
      </c>
      <c r="K8648" s="118">
        <f>863500/1.1</f>
        <v>784999.99999999988</v>
      </c>
      <c r="L8648" s="119"/>
      <c r="M8648" s="118">
        <f t="shared" ref="M8648" si="13186">K8648*0.1</f>
        <v>78499.999999999985</v>
      </c>
      <c r="N8648" s="119"/>
      <c r="O8648" s="118">
        <v>0</v>
      </c>
      <c r="P8648" s="119"/>
      <c r="Q8648" s="118">
        <v>9310</v>
      </c>
      <c r="R8648" s="119"/>
      <c r="S8648" s="118">
        <v>0</v>
      </c>
      <c r="T8648" s="119"/>
      <c r="U8648" s="118">
        <f t="shared" ref="U8648" si="13187">SUM(K8648:T8649)</f>
        <v>872809.99999999988</v>
      </c>
      <c r="V8648" s="122"/>
      <c r="W8648" s="124"/>
      <c r="X8648" s="126"/>
      <c r="Y8648" s="127"/>
      <c r="Z8648" s="127"/>
      <c r="AA8648" s="127"/>
      <c r="AB8648" s="128"/>
      <c r="AC8648" s="15" t="s">
        <v>20</v>
      </c>
      <c r="AD8648" s="129" t="s">
        <v>171</v>
      </c>
      <c r="AE8648" s="130"/>
      <c r="AF8648" s="130"/>
      <c r="AG8648" s="130"/>
      <c r="AH8648" s="130"/>
      <c r="AI8648" s="131"/>
      <c r="AJ8648" s="132"/>
      <c r="AK8648" s="127"/>
      <c r="AL8648" s="128"/>
      <c r="AM8648" s="21"/>
      <c r="AN8648" s="133"/>
      <c r="AO8648" s="134"/>
      <c r="AP8648" s="135"/>
      <c r="AQ8648" s="136"/>
      <c r="AR8648" s="118"/>
      <c r="AS8648" s="119"/>
      <c r="AT8648" s="118">
        <f t="shared" ref="AT8648" si="13188">AR8648*0.1</f>
        <v>0</v>
      </c>
      <c r="AU8648" s="119"/>
      <c r="AV8648" s="118"/>
      <c r="AW8648" s="119"/>
      <c r="AX8648" s="118">
        <f t="shared" ref="AX8648" si="13189">SUM(AR8648:AW8648)</f>
        <v>0</v>
      </c>
      <c r="AY8648" s="119"/>
      <c r="AZ8648" s="137"/>
    </row>
    <row r="8649" spans="1:52" ht="17.100000000000001" customHeight="1" thickBot="1">
      <c r="A8649" s="110"/>
      <c r="B8649" s="27" t="s">
        <v>1718</v>
      </c>
      <c r="C8649" s="27" t="s">
        <v>24666</v>
      </c>
      <c r="D8649" s="14" t="s">
        <v>1576</v>
      </c>
      <c r="E8649" s="112"/>
      <c r="F8649" s="139" t="s">
        <v>24667</v>
      </c>
      <c r="G8649" s="140"/>
      <c r="H8649" s="141"/>
      <c r="I8649" s="26">
        <v>42513</v>
      </c>
      <c r="J8649" s="117"/>
      <c r="K8649" s="120"/>
      <c r="L8649" s="121"/>
      <c r="M8649" s="120"/>
      <c r="N8649" s="121"/>
      <c r="O8649" s="120"/>
      <c r="P8649" s="121"/>
      <c r="Q8649" s="120"/>
      <c r="R8649" s="121"/>
      <c r="S8649" s="120"/>
      <c r="T8649" s="121"/>
      <c r="U8649" s="120"/>
      <c r="V8649" s="123"/>
      <c r="W8649" s="125"/>
      <c r="X8649" s="142"/>
      <c r="Y8649" s="143"/>
      <c r="Z8649" s="143"/>
      <c r="AA8649" s="143"/>
      <c r="AB8649" s="144"/>
      <c r="AC8649" s="16" t="s">
        <v>21</v>
      </c>
      <c r="AD8649" s="17"/>
      <c r="AE8649" s="145"/>
      <c r="AF8649" s="146"/>
      <c r="AG8649" s="146"/>
      <c r="AH8649" s="146"/>
      <c r="AI8649" s="147"/>
      <c r="AJ8649" s="148"/>
      <c r="AK8649" s="143"/>
      <c r="AL8649" s="144"/>
      <c r="AM8649" s="22"/>
      <c r="AN8649" s="149"/>
      <c r="AO8649" s="144"/>
      <c r="AP8649" s="148"/>
      <c r="AQ8649" s="144"/>
      <c r="AR8649" s="120"/>
      <c r="AS8649" s="121"/>
      <c r="AT8649" s="120"/>
      <c r="AU8649" s="121"/>
      <c r="AV8649" s="120"/>
      <c r="AW8649" s="121"/>
      <c r="AX8649" s="120"/>
      <c r="AY8649" s="121"/>
      <c r="AZ8649" s="138"/>
    </row>
    <row r="8650" spans="1:52" ht="17.100000000000001" customHeight="1" thickTop="1">
      <c r="A8650" s="109" t="s">
        <v>24684</v>
      </c>
      <c r="B8650" s="28">
        <v>46140</v>
      </c>
      <c r="C8650" s="25">
        <v>1939</v>
      </c>
      <c r="D8650" s="13" t="s">
        <v>1986</v>
      </c>
      <c r="E8650" s="111"/>
      <c r="F8650" s="113" t="s">
        <v>19907</v>
      </c>
      <c r="G8650" s="114"/>
      <c r="H8650" s="115"/>
      <c r="I8650" s="24" t="s">
        <v>2112</v>
      </c>
      <c r="J8650" s="116">
        <v>4</v>
      </c>
      <c r="K8650" s="118">
        <v>611000</v>
      </c>
      <c r="L8650" s="119"/>
      <c r="M8650" s="118">
        <f t="shared" ref="M8650" si="13190">K8650*0.1</f>
        <v>61100</v>
      </c>
      <c r="N8650" s="119"/>
      <c r="O8650" s="118">
        <v>0</v>
      </c>
      <c r="P8650" s="119"/>
      <c r="Q8650" s="118">
        <v>7510</v>
      </c>
      <c r="R8650" s="119"/>
      <c r="S8650" s="118">
        <v>15950</v>
      </c>
      <c r="T8650" s="119"/>
      <c r="U8650" s="118">
        <f t="shared" ref="U8650" si="13191">SUM(K8650:T8651)</f>
        <v>695560</v>
      </c>
      <c r="V8650" s="122"/>
      <c r="W8650" s="124"/>
      <c r="X8650" s="126" t="s">
        <v>24726</v>
      </c>
      <c r="Y8650" s="127"/>
      <c r="Z8650" s="127"/>
      <c r="AA8650" s="127"/>
      <c r="AB8650" s="128"/>
      <c r="AC8650" s="15" t="s">
        <v>20</v>
      </c>
      <c r="AD8650" s="129"/>
      <c r="AE8650" s="130"/>
      <c r="AF8650" s="130"/>
      <c r="AG8650" s="130"/>
      <c r="AH8650" s="130"/>
      <c r="AI8650" s="131"/>
      <c r="AJ8650" s="132"/>
      <c r="AK8650" s="127"/>
      <c r="AL8650" s="128"/>
      <c r="AM8650" s="21" t="s">
        <v>25364</v>
      </c>
      <c r="AN8650" s="133">
        <v>46144</v>
      </c>
      <c r="AO8650" s="134"/>
      <c r="AP8650" s="135">
        <v>1299</v>
      </c>
      <c r="AQ8650" s="136"/>
      <c r="AR8650" s="118">
        <v>705000</v>
      </c>
      <c r="AS8650" s="119"/>
      <c r="AT8650" s="118">
        <f t="shared" ref="AT8650" si="13192">AR8650*0.1</f>
        <v>70500</v>
      </c>
      <c r="AU8650" s="119"/>
      <c r="AV8650" s="118">
        <v>7510</v>
      </c>
      <c r="AW8650" s="119"/>
      <c r="AX8650" s="118">
        <f t="shared" ref="AX8650" si="13193">SUM(AR8650:AW8650)</f>
        <v>783010</v>
      </c>
      <c r="AY8650" s="119"/>
      <c r="AZ8650" s="137">
        <v>46156</v>
      </c>
    </row>
    <row r="8651" spans="1:52" ht="17.100000000000001" customHeight="1" thickBot="1">
      <c r="A8651" s="110"/>
      <c r="B8651" s="27" t="s">
        <v>2131</v>
      </c>
      <c r="C8651" s="27">
        <v>3009</v>
      </c>
      <c r="D8651" s="14" t="s">
        <v>1720</v>
      </c>
      <c r="E8651" s="112"/>
      <c r="F8651" s="139" t="s">
        <v>24698</v>
      </c>
      <c r="G8651" s="140"/>
      <c r="H8651" s="141"/>
      <c r="I8651" s="26">
        <v>36958</v>
      </c>
      <c r="J8651" s="117"/>
      <c r="K8651" s="120"/>
      <c r="L8651" s="121"/>
      <c r="M8651" s="120"/>
      <c r="N8651" s="121"/>
      <c r="O8651" s="120"/>
      <c r="P8651" s="121"/>
      <c r="Q8651" s="120"/>
      <c r="R8651" s="121"/>
      <c r="S8651" s="120"/>
      <c r="T8651" s="121"/>
      <c r="U8651" s="120"/>
      <c r="V8651" s="123"/>
      <c r="W8651" s="125"/>
      <c r="X8651" s="142" t="s">
        <v>7450</v>
      </c>
      <c r="Y8651" s="143"/>
      <c r="Z8651" s="143"/>
      <c r="AA8651" s="143"/>
      <c r="AB8651" s="144"/>
      <c r="AC8651" s="16" t="s">
        <v>21</v>
      </c>
      <c r="AD8651" s="17" t="s">
        <v>4287</v>
      </c>
      <c r="AE8651" s="145" t="s">
        <v>24853</v>
      </c>
      <c r="AF8651" s="146"/>
      <c r="AG8651" s="146"/>
      <c r="AH8651" s="146"/>
      <c r="AI8651" s="147"/>
      <c r="AJ8651" s="148"/>
      <c r="AK8651" s="143"/>
      <c r="AL8651" s="144"/>
      <c r="AM8651" s="22"/>
      <c r="AN8651" s="149" t="s">
        <v>25047</v>
      </c>
      <c r="AO8651" s="144"/>
      <c r="AP8651" s="148">
        <v>60378</v>
      </c>
      <c r="AQ8651" s="144"/>
      <c r="AR8651" s="120"/>
      <c r="AS8651" s="121"/>
      <c r="AT8651" s="120"/>
      <c r="AU8651" s="121"/>
      <c r="AV8651" s="120"/>
      <c r="AW8651" s="121"/>
      <c r="AX8651" s="120"/>
      <c r="AY8651" s="121"/>
      <c r="AZ8651" s="138"/>
    </row>
    <row r="8652" spans="1:52" ht="17.100000000000001" customHeight="1" thickTop="1">
      <c r="A8652" s="151" t="s">
        <v>24685</v>
      </c>
      <c r="B8652" s="28">
        <v>46140</v>
      </c>
      <c r="C8652" s="25">
        <v>1939</v>
      </c>
      <c r="D8652" s="13" t="s">
        <v>1651</v>
      </c>
      <c r="E8652" s="111"/>
      <c r="F8652" s="113" t="s">
        <v>15533</v>
      </c>
      <c r="G8652" s="114"/>
      <c r="H8652" s="115"/>
      <c r="I8652" s="24"/>
      <c r="J8652" s="116">
        <v>4.5</v>
      </c>
      <c r="K8652" s="118">
        <v>495000</v>
      </c>
      <c r="L8652" s="119"/>
      <c r="M8652" s="118">
        <f t="shared" ref="M8652" si="13194">K8652*0.1</f>
        <v>49500</v>
      </c>
      <c r="N8652" s="119"/>
      <c r="O8652" s="118">
        <v>0</v>
      </c>
      <c r="P8652" s="119"/>
      <c r="Q8652" s="118">
        <v>6550</v>
      </c>
      <c r="R8652" s="119"/>
      <c r="S8652" s="118">
        <v>15950</v>
      </c>
      <c r="T8652" s="119"/>
      <c r="U8652" s="118">
        <f t="shared" ref="U8652" si="13195">SUM(K8652:T8653)</f>
        <v>567000</v>
      </c>
      <c r="V8652" s="122"/>
      <c r="W8652" s="124"/>
      <c r="X8652" s="126" t="s">
        <v>25235</v>
      </c>
      <c r="Y8652" s="127"/>
      <c r="Z8652" s="127"/>
      <c r="AA8652" s="127"/>
      <c r="AB8652" s="128"/>
      <c r="AC8652" s="15" t="s">
        <v>20</v>
      </c>
      <c r="AD8652" s="129" t="s">
        <v>1670</v>
      </c>
      <c r="AE8652" s="130"/>
      <c r="AF8652" s="130"/>
      <c r="AG8652" s="130"/>
      <c r="AH8652" s="130"/>
      <c r="AI8652" s="131"/>
      <c r="AJ8652" s="132" t="s">
        <v>25550</v>
      </c>
      <c r="AK8652" s="127"/>
      <c r="AL8652" s="128"/>
      <c r="AM8652" s="21"/>
      <c r="AN8652" s="133"/>
      <c r="AO8652" s="134"/>
      <c r="AP8652" s="135"/>
      <c r="AQ8652" s="136"/>
      <c r="AR8652" s="118"/>
      <c r="AS8652" s="119"/>
      <c r="AT8652" s="118">
        <f t="shared" ref="AT8652" si="13196">AR8652*0.1</f>
        <v>0</v>
      </c>
      <c r="AU8652" s="119"/>
      <c r="AV8652" s="118"/>
      <c r="AW8652" s="119"/>
      <c r="AX8652" s="118">
        <f t="shared" ref="AX8652" si="13197">SUM(AR8652:AW8652)</f>
        <v>0</v>
      </c>
      <c r="AY8652" s="119"/>
      <c r="AZ8652" s="137"/>
    </row>
    <row r="8653" spans="1:52" ht="17.100000000000001" customHeight="1" thickBot="1">
      <c r="A8653" s="152"/>
      <c r="B8653" s="27" t="s">
        <v>2131</v>
      </c>
      <c r="C8653" s="27">
        <v>3043</v>
      </c>
      <c r="D8653" s="14" t="s">
        <v>1720</v>
      </c>
      <c r="E8653" s="112"/>
      <c r="F8653" s="139" t="s">
        <v>24699</v>
      </c>
      <c r="G8653" s="140"/>
      <c r="H8653" s="141"/>
      <c r="I8653" s="26">
        <v>41210</v>
      </c>
      <c r="J8653" s="117"/>
      <c r="K8653" s="120"/>
      <c r="L8653" s="121"/>
      <c r="M8653" s="120"/>
      <c r="N8653" s="121"/>
      <c r="O8653" s="120"/>
      <c r="P8653" s="121"/>
      <c r="Q8653" s="120"/>
      <c r="R8653" s="121"/>
      <c r="S8653" s="120"/>
      <c r="T8653" s="121"/>
      <c r="U8653" s="120"/>
      <c r="V8653" s="123"/>
      <c r="W8653" s="125"/>
      <c r="X8653" s="142" t="s">
        <v>7450</v>
      </c>
      <c r="Y8653" s="143"/>
      <c r="Z8653" s="143"/>
      <c r="AA8653" s="143"/>
      <c r="AB8653" s="144"/>
      <c r="AC8653" s="16" t="s">
        <v>21</v>
      </c>
      <c r="AD8653" s="17" t="s">
        <v>4287</v>
      </c>
      <c r="AE8653" s="145" t="s">
        <v>11427</v>
      </c>
      <c r="AF8653" s="146"/>
      <c r="AG8653" s="146"/>
      <c r="AH8653" s="146"/>
      <c r="AI8653" s="147"/>
      <c r="AJ8653" s="148"/>
      <c r="AK8653" s="143"/>
      <c r="AL8653" s="144"/>
      <c r="AM8653" s="22"/>
      <c r="AN8653" s="149"/>
      <c r="AO8653" s="144"/>
      <c r="AP8653" s="148"/>
      <c r="AQ8653" s="144"/>
      <c r="AR8653" s="120"/>
      <c r="AS8653" s="121"/>
      <c r="AT8653" s="120"/>
      <c r="AU8653" s="121"/>
      <c r="AV8653" s="120"/>
      <c r="AW8653" s="121"/>
      <c r="AX8653" s="120"/>
      <c r="AY8653" s="121"/>
      <c r="AZ8653" s="138"/>
    </row>
    <row r="8654" spans="1:52" ht="17.100000000000001" customHeight="1" thickTop="1">
      <c r="A8654" s="109" t="s">
        <v>24686</v>
      </c>
      <c r="B8654" s="28">
        <v>46140</v>
      </c>
      <c r="C8654" s="25">
        <v>1939</v>
      </c>
      <c r="D8654" s="13" t="s">
        <v>1651</v>
      </c>
      <c r="E8654" s="111"/>
      <c r="F8654" s="113" t="s">
        <v>15533</v>
      </c>
      <c r="G8654" s="114"/>
      <c r="H8654" s="115"/>
      <c r="I8654" s="24"/>
      <c r="J8654" s="116">
        <v>4</v>
      </c>
      <c r="K8654" s="118">
        <v>495000</v>
      </c>
      <c r="L8654" s="119"/>
      <c r="M8654" s="118">
        <f t="shared" ref="M8654" si="13198">K8654*0.1</f>
        <v>49500</v>
      </c>
      <c r="N8654" s="119"/>
      <c r="O8654" s="118">
        <v>0</v>
      </c>
      <c r="P8654" s="119"/>
      <c r="Q8654" s="118">
        <v>6550</v>
      </c>
      <c r="R8654" s="119"/>
      <c r="S8654" s="118">
        <v>15950</v>
      </c>
      <c r="T8654" s="119"/>
      <c r="U8654" s="118">
        <f t="shared" ref="U8654" si="13199">SUM(K8654:T8655)</f>
        <v>567000</v>
      </c>
      <c r="V8654" s="122"/>
      <c r="W8654" s="124"/>
      <c r="X8654" s="126" t="s">
        <v>25236</v>
      </c>
      <c r="Y8654" s="127"/>
      <c r="Z8654" s="127"/>
      <c r="AA8654" s="127"/>
      <c r="AB8654" s="128"/>
      <c r="AC8654" s="15" t="s">
        <v>20</v>
      </c>
      <c r="AD8654" s="129" t="s">
        <v>1670</v>
      </c>
      <c r="AE8654" s="130"/>
      <c r="AF8654" s="130"/>
      <c r="AG8654" s="130"/>
      <c r="AH8654" s="130"/>
      <c r="AI8654" s="131"/>
      <c r="AJ8654" s="132"/>
      <c r="AK8654" s="127"/>
      <c r="AL8654" s="128"/>
      <c r="AM8654" s="21"/>
      <c r="AN8654" s="133">
        <v>46144</v>
      </c>
      <c r="AO8654" s="134"/>
      <c r="AP8654" s="135">
        <v>1299</v>
      </c>
      <c r="AQ8654" s="136"/>
      <c r="AR8654" s="118">
        <v>605000</v>
      </c>
      <c r="AS8654" s="119"/>
      <c r="AT8654" s="118">
        <f t="shared" ref="AT8654" si="13200">AR8654*0.1</f>
        <v>60500</v>
      </c>
      <c r="AU8654" s="119"/>
      <c r="AV8654" s="118">
        <v>6550</v>
      </c>
      <c r="AW8654" s="119"/>
      <c r="AX8654" s="118">
        <f t="shared" ref="AX8654" si="13201">SUM(AR8654:AW8654)</f>
        <v>672050</v>
      </c>
      <c r="AY8654" s="119"/>
      <c r="AZ8654" s="137">
        <v>46154</v>
      </c>
    </row>
    <row r="8655" spans="1:52" ht="17.100000000000001" customHeight="1" thickBot="1">
      <c r="A8655" s="110"/>
      <c r="B8655" s="27" t="s">
        <v>2131</v>
      </c>
      <c r="C8655" s="27">
        <v>3059</v>
      </c>
      <c r="D8655" s="14" t="s">
        <v>1720</v>
      </c>
      <c r="E8655" s="112"/>
      <c r="F8655" s="139" t="s">
        <v>24700</v>
      </c>
      <c r="G8655" s="140"/>
      <c r="H8655" s="141"/>
      <c r="I8655" s="26">
        <v>26158</v>
      </c>
      <c r="J8655" s="117"/>
      <c r="K8655" s="120"/>
      <c r="L8655" s="121"/>
      <c r="M8655" s="120"/>
      <c r="N8655" s="121"/>
      <c r="O8655" s="120"/>
      <c r="P8655" s="121"/>
      <c r="Q8655" s="120"/>
      <c r="R8655" s="121"/>
      <c r="S8655" s="120"/>
      <c r="T8655" s="121"/>
      <c r="U8655" s="120"/>
      <c r="V8655" s="123"/>
      <c r="W8655" s="125"/>
      <c r="X8655" s="142" t="s">
        <v>7450</v>
      </c>
      <c r="Y8655" s="143"/>
      <c r="Z8655" s="143"/>
      <c r="AA8655" s="143"/>
      <c r="AB8655" s="144"/>
      <c r="AC8655" s="16" t="s">
        <v>21</v>
      </c>
      <c r="AD8655" s="17" t="s">
        <v>4287</v>
      </c>
      <c r="AE8655" s="145" t="s">
        <v>171</v>
      </c>
      <c r="AF8655" s="146"/>
      <c r="AG8655" s="146"/>
      <c r="AH8655" s="146"/>
      <c r="AI8655" s="147"/>
      <c r="AJ8655" s="148"/>
      <c r="AK8655" s="143"/>
      <c r="AL8655" s="144"/>
      <c r="AM8655" s="22"/>
      <c r="AN8655" s="149" t="s">
        <v>25047</v>
      </c>
      <c r="AO8655" s="144"/>
      <c r="AP8655" s="148">
        <v>60388</v>
      </c>
      <c r="AQ8655" s="144"/>
      <c r="AR8655" s="120"/>
      <c r="AS8655" s="121"/>
      <c r="AT8655" s="120"/>
      <c r="AU8655" s="121"/>
      <c r="AV8655" s="120"/>
      <c r="AW8655" s="121"/>
      <c r="AX8655" s="120"/>
      <c r="AY8655" s="121"/>
      <c r="AZ8655" s="138"/>
    </row>
    <row r="8656" spans="1:52" ht="17.100000000000001" customHeight="1" thickTop="1">
      <c r="A8656" s="109" t="s">
        <v>24687</v>
      </c>
      <c r="B8656" s="28">
        <v>46140</v>
      </c>
      <c r="C8656" s="25">
        <v>1939</v>
      </c>
      <c r="D8656" s="13" t="s">
        <v>1977</v>
      </c>
      <c r="E8656" s="111"/>
      <c r="F8656" s="113" t="s">
        <v>18209</v>
      </c>
      <c r="G8656" s="114"/>
      <c r="H8656" s="115"/>
      <c r="I8656" s="24"/>
      <c r="J8656" s="116">
        <v>4</v>
      </c>
      <c r="K8656" s="118">
        <v>775000</v>
      </c>
      <c r="L8656" s="119"/>
      <c r="M8656" s="118">
        <f t="shared" ref="M8656" si="13202">K8656*0.1</f>
        <v>77500</v>
      </c>
      <c r="N8656" s="119"/>
      <c r="O8656" s="118">
        <v>0</v>
      </c>
      <c r="P8656" s="119"/>
      <c r="Q8656" s="118">
        <v>9140</v>
      </c>
      <c r="R8656" s="119"/>
      <c r="S8656" s="118">
        <v>15950</v>
      </c>
      <c r="T8656" s="119"/>
      <c r="U8656" s="118">
        <f t="shared" ref="U8656" si="13203">SUM(K8656:T8657)</f>
        <v>877590</v>
      </c>
      <c r="V8656" s="122"/>
      <c r="W8656" s="124"/>
      <c r="X8656" s="126" t="s">
        <v>25162</v>
      </c>
      <c r="Y8656" s="127"/>
      <c r="Z8656" s="127"/>
      <c r="AA8656" s="127"/>
      <c r="AB8656" s="128"/>
      <c r="AC8656" s="15" t="s">
        <v>20</v>
      </c>
      <c r="AD8656" s="129" t="s">
        <v>24727</v>
      </c>
      <c r="AE8656" s="130"/>
      <c r="AF8656" s="130"/>
      <c r="AG8656" s="130"/>
      <c r="AH8656" s="130"/>
      <c r="AI8656" s="131"/>
      <c r="AJ8656" s="132"/>
      <c r="AK8656" s="127"/>
      <c r="AL8656" s="128"/>
      <c r="AM8656" s="21"/>
      <c r="AN8656" s="133"/>
      <c r="AO8656" s="134"/>
      <c r="AP8656" s="135"/>
      <c r="AQ8656" s="136"/>
      <c r="AR8656" s="118"/>
      <c r="AS8656" s="119"/>
      <c r="AT8656" s="118">
        <f t="shared" ref="AT8656" si="13204">AR8656*0.1</f>
        <v>0</v>
      </c>
      <c r="AU8656" s="119"/>
      <c r="AV8656" s="118"/>
      <c r="AW8656" s="119"/>
      <c r="AX8656" s="118">
        <f t="shared" ref="AX8656" si="13205">SUM(AR8656:AW8656)</f>
        <v>0</v>
      </c>
      <c r="AY8656" s="119"/>
      <c r="AZ8656" s="137"/>
    </row>
    <row r="8657" spans="1:52" ht="17.100000000000001" customHeight="1" thickBot="1">
      <c r="A8657" s="110"/>
      <c r="B8657" s="27" t="s">
        <v>2131</v>
      </c>
      <c r="C8657" s="27">
        <v>3202</v>
      </c>
      <c r="D8657" s="14" t="s">
        <v>275</v>
      </c>
      <c r="E8657" s="112"/>
      <c r="F8657" s="139" t="s">
        <v>24701</v>
      </c>
      <c r="G8657" s="140"/>
      <c r="H8657" s="141"/>
      <c r="I8657" s="26">
        <v>52186</v>
      </c>
      <c r="J8657" s="117"/>
      <c r="K8657" s="120"/>
      <c r="L8657" s="121"/>
      <c r="M8657" s="120"/>
      <c r="N8657" s="121"/>
      <c r="O8657" s="120"/>
      <c r="P8657" s="121"/>
      <c r="Q8657" s="120"/>
      <c r="R8657" s="121"/>
      <c r="S8657" s="120"/>
      <c r="T8657" s="121"/>
      <c r="U8657" s="120"/>
      <c r="V8657" s="123"/>
      <c r="W8657" s="125"/>
      <c r="X8657" s="142" t="s">
        <v>5014</v>
      </c>
      <c r="Y8657" s="143"/>
      <c r="Z8657" s="143"/>
      <c r="AA8657" s="143"/>
      <c r="AB8657" s="144"/>
      <c r="AC8657" s="16" t="s">
        <v>21</v>
      </c>
      <c r="AD8657" s="17" t="s">
        <v>2009</v>
      </c>
      <c r="AE8657" s="145" t="s">
        <v>25163</v>
      </c>
      <c r="AF8657" s="146"/>
      <c r="AG8657" s="146"/>
      <c r="AH8657" s="146"/>
      <c r="AI8657" s="147"/>
      <c r="AJ8657" s="148"/>
      <c r="AK8657" s="143"/>
      <c r="AL8657" s="144"/>
      <c r="AM8657" s="22"/>
      <c r="AN8657" s="149"/>
      <c r="AO8657" s="144"/>
      <c r="AP8657" s="148"/>
      <c r="AQ8657" s="144"/>
      <c r="AR8657" s="120"/>
      <c r="AS8657" s="121"/>
      <c r="AT8657" s="120"/>
      <c r="AU8657" s="121"/>
      <c r="AV8657" s="120"/>
      <c r="AW8657" s="121"/>
      <c r="AX8657" s="120"/>
      <c r="AY8657" s="121"/>
      <c r="AZ8657" s="138"/>
    </row>
    <row r="8658" spans="1:52" ht="17.100000000000001" customHeight="1" thickTop="1">
      <c r="A8658" s="109" t="s">
        <v>24688</v>
      </c>
      <c r="B8658" s="28">
        <v>46140</v>
      </c>
      <c r="C8658" s="25">
        <v>1939</v>
      </c>
      <c r="D8658" s="13" t="s">
        <v>2371</v>
      </c>
      <c r="E8658" s="111"/>
      <c r="F8658" s="113" t="s">
        <v>15218</v>
      </c>
      <c r="G8658" s="114"/>
      <c r="H8658" s="115"/>
      <c r="I8658" s="24"/>
      <c r="J8658" s="116">
        <v>2</v>
      </c>
      <c r="K8658" s="118">
        <v>97000</v>
      </c>
      <c r="L8658" s="119"/>
      <c r="M8658" s="118">
        <f t="shared" ref="M8658" si="13206">K8658*0.1</f>
        <v>9700</v>
      </c>
      <c r="N8658" s="119"/>
      <c r="O8658" s="118">
        <v>0</v>
      </c>
      <c r="P8658" s="119"/>
      <c r="Q8658" s="118">
        <v>9790</v>
      </c>
      <c r="R8658" s="119"/>
      <c r="S8658" s="118">
        <v>15950</v>
      </c>
      <c r="T8658" s="119"/>
      <c r="U8658" s="118">
        <f t="shared" ref="U8658" si="13207">SUM(K8658:T8659)</f>
        <v>132440</v>
      </c>
      <c r="V8658" s="122"/>
      <c r="W8658" s="124"/>
      <c r="X8658" s="126" t="s">
        <v>25160</v>
      </c>
      <c r="Y8658" s="127"/>
      <c r="Z8658" s="127"/>
      <c r="AA8658" s="127"/>
      <c r="AB8658" s="128"/>
      <c r="AC8658" s="15" t="s">
        <v>20</v>
      </c>
      <c r="AD8658" s="129"/>
      <c r="AE8658" s="130"/>
      <c r="AF8658" s="130"/>
      <c r="AG8658" s="130"/>
      <c r="AH8658" s="130"/>
      <c r="AI8658" s="131"/>
      <c r="AJ8658" s="132"/>
      <c r="AK8658" s="127"/>
      <c r="AL8658" s="128"/>
      <c r="AM8658" s="21"/>
      <c r="AN8658" s="133">
        <v>46158</v>
      </c>
      <c r="AO8658" s="134"/>
      <c r="AP8658" s="135">
        <v>1300</v>
      </c>
      <c r="AQ8658" s="136"/>
      <c r="AR8658" s="118">
        <v>220000</v>
      </c>
      <c r="AS8658" s="119"/>
      <c r="AT8658" s="118">
        <f t="shared" ref="AT8658" si="13208">AR8658*0.1</f>
        <v>22000</v>
      </c>
      <c r="AU8658" s="119"/>
      <c r="AV8658" s="118">
        <v>9790</v>
      </c>
      <c r="AW8658" s="119"/>
      <c r="AX8658" s="118">
        <f t="shared" ref="AX8658" si="13209">SUM(AR8658:AW8658)</f>
        <v>251790</v>
      </c>
      <c r="AY8658" s="119"/>
      <c r="AZ8658" s="137">
        <v>46161</v>
      </c>
    </row>
    <row r="8659" spans="1:52" ht="17.100000000000001" customHeight="1" thickBot="1">
      <c r="A8659" s="110"/>
      <c r="B8659" s="27" t="s">
        <v>2131</v>
      </c>
      <c r="C8659" s="27">
        <v>3243</v>
      </c>
      <c r="D8659" s="14" t="s">
        <v>2800</v>
      </c>
      <c r="E8659" s="112"/>
      <c r="F8659" s="139" t="s">
        <v>24702</v>
      </c>
      <c r="G8659" s="140"/>
      <c r="H8659" s="141"/>
      <c r="I8659" s="26">
        <v>47734</v>
      </c>
      <c r="J8659" s="117"/>
      <c r="K8659" s="120"/>
      <c r="L8659" s="121"/>
      <c r="M8659" s="120"/>
      <c r="N8659" s="121"/>
      <c r="O8659" s="120"/>
      <c r="P8659" s="121"/>
      <c r="Q8659" s="120"/>
      <c r="R8659" s="121"/>
      <c r="S8659" s="120"/>
      <c r="T8659" s="121"/>
      <c r="U8659" s="120"/>
      <c r="V8659" s="123"/>
      <c r="W8659" s="125"/>
      <c r="X8659" s="142" t="s">
        <v>25161</v>
      </c>
      <c r="Y8659" s="143"/>
      <c r="Z8659" s="143"/>
      <c r="AA8659" s="143"/>
      <c r="AB8659" s="144"/>
      <c r="AC8659" s="16" t="s">
        <v>21</v>
      </c>
      <c r="AD8659" s="17" t="s">
        <v>2009</v>
      </c>
      <c r="AE8659" s="145" t="s">
        <v>24861</v>
      </c>
      <c r="AF8659" s="146"/>
      <c r="AG8659" s="146"/>
      <c r="AH8659" s="146"/>
      <c r="AI8659" s="147"/>
      <c r="AJ8659" s="148"/>
      <c r="AK8659" s="143"/>
      <c r="AL8659" s="144"/>
      <c r="AM8659" s="22"/>
      <c r="AN8659" s="149" t="s">
        <v>2511</v>
      </c>
      <c r="AO8659" s="144"/>
      <c r="AP8659" s="148">
        <v>60150</v>
      </c>
      <c r="AQ8659" s="144"/>
      <c r="AR8659" s="120"/>
      <c r="AS8659" s="121"/>
      <c r="AT8659" s="120"/>
      <c r="AU8659" s="121"/>
      <c r="AV8659" s="120"/>
      <c r="AW8659" s="121"/>
      <c r="AX8659" s="120"/>
      <c r="AY8659" s="121"/>
      <c r="AZ8659" s="138"/>
    </row>
    <row r="8660" spans="1:52" ht="17.100000000000001" customHeight="1" thickTop="1">
      <c r="A8660" s="109" t="s">
        <v>24689</v>
      </c>
      <c r="B8660" s="28">
        <v>46140</v>
      </c>
      <c r="C8660" s="25">
        <v>1939</v>
      </c>
      <c r="D8660" s="13" t="s">
        <v>3550</v>
      </c>
      <c r="E8660" s="111"/>
      <c r="F8660" s="113" t="s">
        <v>18183</v>
      </c>
      <c r="G8660" s="114"/>
      <c r="H8660" s="115"/>
      <c r="I8660" s="24"/>
      <c r="J8660" s="116">
        <v>4</v>
      </c>
      <c r="K8660" s="118">
        <v>1023000</v>
      </c>
      <c r="L8660" s="119"/>
      <c r="M8660" s="118">
        <f t="shared" ref="M8660" si="13210">K8660*0.1</f>
        <v>102300</v>
      </c>
      <c r="N8660" s="119"/>
      <c r="O8660" s="118">
        <v>0</v>
      </c>
      <c r="P8660" s="119"/>
      <c r="Q8660" s="118">
        <v>15180</v>
      </c>
      <c r="R8660" s="119"/>
      <c r="S8660" s="118">
        <v>15950</v>
      </c>
      <c r="T8660" s="119"/>
      <c r="U8660" s="118">
        <f t="shared" ref="U8660" si="13211">SUM(K8660:T8661)</f>
        <v>1156430</v>
      </c>
      <c r="V8660" s="122"/>
      <c r="W8660" s="124"/>
      <c r="X8660" s="126" t="s">
        <v>25166</v>
      </c>
      <c r="Y8660" s="127"/>
      <c r="Z8660" s="127"/>
      <c r="AA8660" s="127"/>
      <c r="AB8660" s="128"/>
      <c r="AC8660" s="15" t="s">
        <v>20</v>
      </c>
      <c r="AD8660" s="129"/>
      <c r="AE8660" s="130"/>
      <c r="AF8660" s="130"/>
      <c r="AG8660" s="130"/>
      <c r="AH8660" s="130"/>
      <c r="AI8660" s="131"/>
      <c r="AJ8660" s="132"/>
      <c r="AK8660" s="127"/>
      <c r="AL8660" s="128"/>
      <c r="AM8660" s="21"/>
      <c r="AN8660" s="133"/>
      <c r="AO8660" s="134"/>
      <c r="AP8660" s="135"/>
      <c r="AQ8660" s="136"/>
      <c r="AR8660" s="118"/>
      <c r="AS8660" s="119"/>
      <c r="AT8660" s="118">
        <f t="shared" ref="AT8660" si="13212">AR8660*0.1</f>
        <v>0</v>
      </c>
      <c r="AU8660" s="119"/>
      <c r="AV8660" s="118"/>
      <c r="AW8660" s="119"/>
      <c r="AX8660" s="118">
        <f t="shared" ref="AX8660" si="13213">SUM(AR8660:AW8660)</f>
        <v>0</v>
      </c>
      <c r="AY8660" s="119"/>
      <c r="AZ8660" s="137"/>
    </row>
    <row r="8661" spans="1:52" ht="17.100000000000001" customHeight="1" thickBot="1">
      <c r="A8661" s="110"/>
      <c r="B8661" s="27" t="s">
        <v>2131</v>
      </c>
      <c r="C8661" s="27">
        <v>5034</v>
      </c>
      <c r="D8661" s="14" t="s">
        <v>904</v>
      </c>
      <c r="E8661" s="112"/>
      <c r="F8661" s="139" t="s">
        <v>24728</v>
      </c>
      <c r="G8661" s="140"/>
      <c r="H8661" s="141"/>
      <c r="I8661" s="26">
        <v>68574</v>
      </c>
      <c r="J8661" s="117"/>
      <c r="K8661" s="120"/>
      <c r="L8661" s="121"/>
      <c r="M8661" s="120"/>
      <c r="N8661" s="121"/>
      <c r="O8661" s="120"/>
      <c r="P8661" s="121"/>
      <c r="Q8661" s="120"/>
      <c r="R8661" s="121"/>
      <c r="S8661" s="120"/>
      <c r="T8661" s="121"/>
      <c r="U8661" s="120"/>
      <c r="V8661" s="123"/>
      <c r="W8661" s="125"/>
      <c r="X8661" s="142" t="s">
        <v>9553</v>
      </c>
      <c r="Y8661" s="143"/>
      <c r="Z8661" s="143"/>
      <c r="AA8661" s="143"/>
      <c r="AB8661" s="144"/>
      <c r="AC8661" s="16" t="s">
        <v>21</v>
      </c>
      <c r="AD8661" s="17" t="s">
        <v>2009</v>
      </c>
      <c r="AE8661" s="145" t="s">
        <v>24862</v>
      </c>
      <c r="AF8661" s="146"/>
      <c r="AG8661" s="146"/>
      <c r="AH8661" s="146"/>
      <c r="AI8661" s="147"/>
      <c r="AJ8661" s="148"/>
      <c r="AK8661" s="143"/>
      <c r="AL8661" s="144"/>
      <c r="AM8661" s="22"/>
      <c r="AN8661" s="149"/>
      <c r="AO8661" s="144"/>
      <c r="AP8661" s="148"/>
      <c r="AQ8661" s="144"/>
      <c r="AR8661" s="120"/>
      <c r="AS8661" s="121"/>
      <c r="AT8661" s="120"/>
      <c r="AU8661" s="121"/>
      <c r="AV8661" s="120"/>
      <c r="AW8661" s="121"/>
      <c r="AX8661" s="120"/>
      <c r="AY8661" s="121"/>
      <c r="AZ8661" s="138"/>
    </row>
    <row r="8662" spans="1:52" ht="17.100000000000001" customHeight="1" thickTop="1">
      <c r="A8662" s="109" t="s">
        <v>24690</v>
      </c>
      <c r="B8662" s="28">
        <v>46140</v>
      </c>
      <c r="C8662" s="25">
        <v>1939</v>
      </c>
      <c r="D8662" s="13" t="s">
        <v>2036</v>
      </c>
      <c r="E8662" s="111"/>
      <c r="F8662" s="113" t="s">
        <v>24703</v>
      </c>
      <c r="G8662" s="114"/>
      <c r="H8662" s="115"/>
      <c r="I8662" s="24"/>
      <c r="J8662" s="116">
        <v>4</v>
      </c>
      <c r="K8662" s="118">
        <v>4760000</v>
      </c>
      <c r="L8662" s="119"/>
      <c r="M8662" s="118">
        <f t="shared" ref="M8662" si="13214">K8662*0.1</f>
        <v>476000</v>
      </c>
      <c r="N8662" s="119"/>
      <c r="O8662" s="118">
        <v>0</v>
      </c>
      <c r="P8662" s="119"/>
      <c r="Q8662" s="118">
        <v>19560</v>
      </c>
      <c r="R8662" s="119"/>
      <c r="S8662" s="118">
        <v>15950</v>
      </c>
      <c r="T8662" s="119"/>
      <c r="U8662" s="118">
        <f t="shared" ref="U8662" si="13215">SUM(K8662:T8663)</f>
        <v>5271510</v>
      </c>
      <c r="V8662" s="122"/>
      <c r="W8662" s="124"/>
      <c r="X8662" s="126" t="s">
        <v>25178</v>
      </c>
      <c r="Y8662" s="127"/>
      <c r="Z8662" s="127"/>
      <c r="AA8662" s="127"/>
      <c r="AB8662" s="128"/>
      <c r="AC8662" s="15" t="s">
        <v>20</v>
      </c>
      <c r="AD8662" s="129" t="s">
        <v>1670</v>
      </c>
      <c r="AE8662" s="130"/>
      <c r="AF8662" s="130"/>
      <c r="AG8662" s="130"/>
      <c r="AH8662" s="130"/>
      <c r="AI8662" s="131"/>
      <c r="AJ8662" s="132"/>
      <c r="AK8662" s="127"/>
      <c r="AL8662" s="128"/>
      <c r="AM8662" s="21"/>
      <c r="AN8662" s="133"/>
      <c r="AO8662" s="134"/>
      <c r="AP8662" s="135"/>
      <c r="AQ8662" s="136"/>
      <c r="AR8662" s="118"/>
      <c r="AS8662" s="119"/>
      <c r="AT8662" s="118">
        <f t="shared" ref="AT8662" si="13216">AR8662*0.1</f>
        <v>0</v>
      </c>
      <c r="AU8662" s="119"/>
      <c r="AV8662" s="118"/>
      <c r="AW8662" s="119"/>
      <c r="AX8662" s="118">
        <f t="shared" ref="AX8662" si="13217">SUM(AR8662:AW8662)</f>
        <v>0</v>
      </c>
      <c r="AY8662" s="119"/>
      <c r="AZ8662" s="137"/>
    </row>
    <row r="8663" spans="1:52" ht="17.100000000000001" customHeight="1" thickBot="1">
      <c r="A8663" s="110"/>
      <c r="B8663" s="27" t="s">
        <v>2131</v>
      </c>
      <c r="C8663" s="27">
        <v>79231</v>
      </c>
      <c r="D8663" s="14" t="s">
        <v>2601</v>
      </c>
      <c r="E8663" s="112"/>
      <c r="F8663" s="139" t="s">
        <v>24704</v>
      </c>
      <c r="G8663" s="140"/>
      <c r="H8663" s="141"/>
      <c r="I8663" s="26">
        <v>35578</v>
      </c>
      <c r="J8663" s="117"/>
      <c r="K8663" s="120"/>
      <c r="L8663" s="121"/>
      <c r="M8663" s="120"/>
      <c r="N8663" s="121"/>
      <c r="O8663" s="120"/>
      <c r="P8663" s="121"/>
      <c r="Q8663" s="120"/>
      <c r="R8663" s="121"/>
      <c r="S8663" s="120"/>
      <c r="T8663" s="121"/>
      <c r="U8663" s="120"/>
      <c r="V8663" s="123"/>
      <c r="W8663" s="125"/>
      <c r="X8663" s="142" t="s">
        <v>5250</v>
      </c>
      <c r="Y8663" s="143"/>
      <c r="Z8663" s="143"/>
      <c r="AA8663" s="143"/>
      <c r="AB8663" s="144"/>
      <c r="AC8663" s="16" t="s">
        <v>21</v>
      </c>
      <c r="AD8663" s="17" t="s">
        <v>2066</v>
      </c>
      <c r="AE8663" s="145" t="s">
        <v>25179</v>
      </c>
      <c r="AF8663" s="146"/>
      <c r="AG8663" s="146"/>
      <c r="AH8663" s="146"/>
      <c r="AI8663" s="147"/>
      <c r="AJ8663" s="148"/>
      <c r="AK8663" s="143"/>
      <c r="AL8663" s="144"/>
      <c r="AM8663" s="22"/>
      <c r="AN8663" s="149"/>
      <c r="AO8663" s="144"/>
      <c r="AP8663" s="148"/>
      <c r="AQ8663" s="144"/>
      <c r="AR8663" s="120"/>
      <c r="AS8663" s="121"/>
      <c r="AT8663" s="120"/>
      <c r="AU8663" s="121"/>
      <c r="AV8663" s="120"/>
      <c r="AW8663" s="121"/>
      <c r="AX8663" s="120"/>
      <c r="AY8663" s="121"/>
      <c r="AZ8663" s="138"/>
    </row>
    <row r="8664" spans="1:52" ht="17.100000000000001" customHeight="1" thickTop="1">
      <c r="A8664" s="109" t="s">
        <v>24691</v>
      </c>
      <c r="B8664" s="28">
        <v>46140</v>
      </c>
      <c r="C8664" s="25">
        <v>817</v>
      </c>
      <c r="D8664" s="13" t="s">
        <v>1986</v>
      </c>
      <c r="E8664" s="111"/>
      <c r="F8664" s="113" t="s">
        <v>15533</v>
      </c>
      <c r="G8664" s="114"/>
      <c r="H8664" s="115"/>
      <c r="I8664" s="24" t="s">
        <v>3733</v>
      </c>
      <c r="J8664" s="116">
        <v>4</v>
      </c>
      <c r="K8664" s="118">
        <v>425000</v>
      </c>
      <c r="L8664" s="119"/>
      <c r="M8664" s="118">
        <f t="shared" ref="M8664" si="13218">K8664*0.1</f>
        <v>42500</v>
      </c>
      <c r="N8664" s="119"/>
      <c r="O8664" s="118">
        <v>0</v>
      </c>
      <c r="P8664" s="119"/>
      <c r="Q8664" s="118">
        <v>7140</v>
      </c>
      <c r="R8664" s="119"/>
      <c r="S8664" s="118">
        <v>15950</v>
      </c>
      <c r="T8664" s="119"/>
      <c r="U8664" s="118">
        <f t="shared" ref="U8664" si="13219">SUM(K8664:T8665)</f>
        <v>490590</v>
      </c>
      <c r="V8664" s="122"/>
      <c r="W8664" s="124"/>
      <c r="X8664" s="126" t="s">
        <v>24729</v>
      </c>
      <c r="Y8664" s="127"/>
      <c r="Z8664" s="127"/>
      <c r="AA8664" s="127"/>
      <c r="AB8664" s="128"/>
      <c r="AC8664" s="15" t="s">
        <v>20</v>
      </c>
      <c r="AD8664" s="129"/>
      <c r="AE8664" s="130"/>
      <c r="AF8664" s="130"/>
      <c r="AG8664" s="130"/>
      <c r="AH8664" s="130"/>
      <c r="AI8664" s="131"/>
      <c r="AJ8664" s="132"/>
      <c r="AK8664" s="127"/>
      <c r="AL8664" s="128"/>
      <c r="AM8664" s="21" t="s">
        <v>25407</v>
      </c>
      <c r="AN8664" s="133">
        <v>46144</v>
      </c>
      <c r="AO8664" s="134"/>
      <c r="AP8664" s="135">
        <v>1299</v>
      </c>
      <c r="AQ8664" s="136"/>
      <c r="AR8664" s="118">
        <v>445000</v>
      </c>
      <c r="AS8664" s="119"/>
      <c r="AT8664" s="118">
        <f t="shared" ref="AT8664" si="13220">AR8664*0.1</f>
        <v>44500</v>
      </c>
      <c r="AU8664" s="119"/>
      <c r="AV8664" s="118">
        <v>7140</v>
      </c>
      <c r="AW8664" s="119"/>
      <c r="AX8664" s="118">
        <f t="shared" ref="AX8664" si="13221">SUM(AR8664:AW8664)</f>
        <v>496640</v>
      </c>
      <c r="AY8664" s="119"/>
      <c r="AZ8664" s="137">
        <v>46161</v>
      </c>
    </row>
    <row r="8665" spans="1:52" ht="17.100000000000001" customHeight="1" thickBot="1">
      <c r="A8665" s="110"/>
      <c r="B8665" s="27" t="s">
        <v>3367</v>
      </c>
      <c r="C8665" s="27">
        <v>3032</v>
      </c>
      <c r="D8665" s="14" t="s">
        <v>1576</v>
      </c>
      <c r="E8665" s="112"/>
      <c r="F8665" s="139" t="s">
        <v>24705</v>
      </c>
      <c r="G8665" s="140"/>
      <c r="H8665" s="141"/>
      <c r="I8665" s="26">
        <v>34117</v>
      </c>
      <c r="J8665" s="117"/>
      <c r="K8665" s="120"/>
      <c r="L8665" s="121"/>
      <c r="M8665" s="120"/>
      <c r="N8665" s="121"/>
      <c r="O8665" s="120"/>
      <c r="P8665" s="121"/>
      <c r="Q8665" s="120"/>
      <c r="R8665" s="121"/>
      <c r="S8665" s="120"/>
      <c r="T8665" s="121"/>
      <c r="U8665" s="120"/>
      <c r="V8665" s="123"/>
      <c r="W8665" s="125"/>
      <c r="X8665" s="142" t="s">
        <v>25380</v>
      </c>
      <c r="Y8665" s="143"/>
      <c r="Z8665" s="143"/>
      <c r="AA8665" s="143"/>
      <c r="AB8665" s="144"/>
      <c r="AC8665" s="16" t="s">
        <v>21</v>
      </c>
      <c r="AD8665" s="17" t="s">
        <v>1847</v>
      </c>
      <c r="AE8665" s="145"/>
      <c r="AF8665" s="146"/>
      <c r="AG8665" s="146"/>
      <c r="AH8665" s="146"/>
      <c r="AI8665" s="147"/>
      <c r="AJ8665" s="148"/>
      <c r="AK8665" s="143"/>
      <c r="AL8665" s="144"/>
      <c r="AM8665" s="22"/>
      <c r="AN8665" s="149" t="s">
        <v>25047</v>
      </c>
      <c r="AO8665" s="144"/>
      <c r="AP8665" s="148">
        <v>60384</v>
      </c>
      <c r="AQ8665" s="144"/>
      <c r="AR8665" s="120"/>
      <c r="AS8665" s="121"/>
      <c r="AT8665" s="120"/>
      <c r="AU8665" s="121"/>
      <c r="AV8665" s="120"/>
      <c r="AW8665" s="121"/>
      <c r="AX8665" s="120"/>
      <c r="AY8665" s="121"/>
      <c r="AZ8665" s="138"/>
    </row>
    <row r="8666" spans="1:52" ht="17.100000000000001" customHeight="1" thickTop="1">
      <c r="A8666" s="109" t="s">
        <v>24692</v>
      </c>
      <c r="B8666" s="28">
        <v>46140</v>
      </c>
      <c r="C8666" s="25">
        <v>817</v>
      </c>
      <c r="D8666" s="13" t="s">
        <v>1686</v>
      </c>
      <c r="E8666" s="111"/>
      <c r="F8666" s="113" t="s">
        <v>17564</v>
      </c>
      <c r="G8666" s="114"/>
      <c r="H8666" s="115"/>
      <c r="I8666" s="24"/>
      <c r="J8666" s="116">
        <v>3.5</v>
      </c>
      <c r="K8666" s="118">
        <v>440000</v>
      </c>
      <c r="L8666" s="119"/>
      <c r="M8666" s="118">
        <f t="shared" ref="M8666" si="13222">K8666*0.1</f>
        <v>44000</v>
      </c>
      <c r="N8666" s="119"/>
      <c r="O8666" s="118">
        <v>0</v>
      </c>
      <c r="P8666" s="119"/>
      <c r="Q8666" s="118">
        <v>9790</v>
      </c>
      <c r="R8666" s="119"/>
      <c r="S8666" s="118">
        <v>15950</v>
      </c>
      <c r="T8666" s="119"/>
      <c r="U8666" s="118">
        <f t="shared" ref="U8666" si="13223">SUM(K8666:T8667)</f>
        <v>509740</v>
      </c>
      <c r="V8666" s="122"/>
      <c r="W8666" s="124"/>
      <c r="X8666" s="126" t="s">
        <v>25286</v>
      </c>
      <c r="Y8666" s="127"/>
      <c r="Z8666" s="127"/>
      <c r="AA8666" s="127"/>
      <c r="AB8666" s="128"/>
      <c r="AC8666" s="15" t="s">
        <v>20</v>
      </c>
      <c r="AD8666" s="129"/>
      <c r="AE8666" s="130"/>
      <c r="AF8666" s="130"/>
      <c r="AG8666" s="130"/>
      <c r="AH8666" s="130"/>
      <c r="AI8666" s="131"/>
      <c r="AJ8666" s="132"/>
      <c r="AK8666" s="127"/>
      <c r="AL8666" s="128"/>
      <c r="AM8666" s="21"/>
      <c r="AN8666" s="133">
        <v>46144</v>
      </c>
      <c r="AO8666" s="134"/>
      <c r="AP8666" s="135">
        <v>1299</v>
      </c>
      <c r="AQ8666" s="136"/>
      <c r="AR8666" s="118">
        <v>575000</v>
      </c>
      <c r="AS8666" s="119"/>
      <c r="AT8666" s="118">
        <f t="shared" ref="AT8666" si="13224">AR8666*0.1</f>
        <v>57500</v>
      </c>
      <c r="AU8666" s="119"/>
      <c r="AV8666" s="118">
        <v>9790</v>
      </c>
      <c r="AW8666" s="119"/>
      <c r="AX8666" s="118">
        <f t="shared" ref="AX8666" si="13225">SUM(AR8666:AW8666)</f>
        <v>642290</v>
      </c>
      <c r="AY8666" s="119"/>
      <c r="AZ8666" s="137">
        <v>46154</v>
      </c>
    </row>
    <row r="8667" spans="1:52" ht="17.100000000000001" customHeight="1" thickBot="1">
      <c r="A8667" s="110"/>
      <c r="B8667" s="27" t="s">
        <v>3367</v>
      </c>
      <c r="C8667" s="27">
        <v>3052</v>
      </c>
      <c r="D8667" s="14" t="s">
        <v>2040</v>
      </c>
      <c r="E8667" s="112"/>
      <c r="F8667" s="139" t="s">
        <v>24706</v>
      </c>
      <c r="G8667" s="140"/>
      <c r="H8667" s="141"/>
      <c r="I8667" s="26">
        <v>68682</v>
      </c>
      <c r="J8667" s="117"/>
      <c r="K8667" s="120"/>
      <c r="L8667" s="121"/>
      <c r="M8667" s="120"/>
      <c r="N8667" s="121"/>
      <c r="O8667" s="120"/>
      <c r="P8667" s="121"/>
      <c r="Q8667" s="120"/>
      <c r="R8667" s="121"/>
      <c r="S8667" s="120"/>
      <c r="T8667" s="121"/>
      <c r="U8667" s="120"/>
      <c r="V8667" s="123"/>
      <c r="W8667" s="125"/>
      <c r="X8667" s="142" t="s">
        <v>25287</v>
      </c>
      <c r="Y8667" s="143"/>
      <c r="Z8667" s="143"/>
      <c r="AA8667" s="143"/>
      <c r="AB8667" s="144"/>
      <c r="AC8667" s="16" t="s">
        <v>21</v>
      </c>
      <c r="AD8667" s="17" t="s">
        <v>25271</v>
      </c>
      <c r="AE8667" s="145"/>
      <c r="AF8667" s="146"/>
      <c r="AG8667" s="146"/>
      <c r="AH8667" s="146"/>
      <c r="AI8667" s="147"/>
      <c r="AJ8667" s="148"/>
      <c r="AK8667" s="143"/>
      <c r="AL8667" s="144"/>
      <c r="AM8667" s="22"/>
      <c r="AN8667" s="149" t="s">
        <v>25047</v>
      </c>
      <c r="AO8667" s="144"/>
      <c r="AP8667" s="148">
        <v>60387</v>
      </c>
      <c r="AQ8667" s="144"/>
      <c r="AR8667" s="120"/>
      <c r="AS8667" s="121"/>
      <c r="AT8667" s="120"/>
      <c r="AU8667" s="121"/>
      <c r="AV8667" s="120"/>
      <c r="AW8667" s="121"/>
      <c r="AX8667" s="120"/>
      <c r="AY8667" s="121"/>
      <c r="AZ8667" s="138"/>
    </row>
    <row r="8668" spans="1:52" ht="17.100000000000001" customHeight="1" thickTop="1">
      <c r="A8668" s="109" t="s">
        <v>24693</v>
      </c>
      <c r="B8668" s="28">
        <v>46140</v>
      </c>
      <c r="C8668" s="25">
        <v>937</v>
      </c>
      <c r="D8668" s="13" t="s">
        <v>24730</v>
      </c>
      <c r="E8668" s="111"/>
      <c r="F8668" s="113" t="s">
        <v>24707</v>
      </c>
      <c r="G8668" s="114"/>
      <c r="H8668" s="115"/>
      <c r="I8668" s="24"/>
      <c r="J8668" s="116">
        <v>4</v>
      </c>
      <c r="K8668" s="118">
        <v>421000</v>
      </c>
      <c r="L8668" s="119"/>
      <c r="M8668" s="118">
        <f t="shared" ref="M8668" si="13226">K8668*0.1</f>
        <v>42100</v>
      </c>
      <c r="N8668" s="119"/>
      <c r="O8668" s="118">
        <v>0</v>
      </c>
      <c r="P8668" s="119"/>
      <c r="Q8668" s="118">
        <v>17080</v>
      </c>
      <c r="R8668" s="119"/>
      <c r="S8668" s="118">
        <v>15950</v>
      </c>
      <c r="T8668" s="119"/>
      <c r="U8668" s="118">
        <f t="shared" ref="U8668" si="13227">SUM(K8668:T8669)</f>
        <v>496130</v>
      </c>
      <c r="V8668" s="122"/>
      <c r="W8668" s="124"/>
      <c r="X8668" s="126" t="s">
        <v>25158</v>
      </c>
      <c r="Y8668" s="127"/>
      <c r="Z8668" s="127"/>
      <c r="AA8668" s="127"/>
      <c r="AB8668" s="128"/>
      <c r="AC8668" s="15" t="s">
        <v>20</v>
      </c>
      <c r="AD8668" s="129" t="s">
        <v>7512</v>
      </c>
      <c r="AE8668" s="130"/>
      <c r="AF8668" s="130"/>
      <c r="AG8668" s="130"/>
      <c r="AH8668" s="130"/>
      <c r="AI8668" s="131"/>
      <c r="AJ8668" s="132"/>
      <c r="AK8668" s="127"/>
      <c r="AL8668" s="128"/>
      <c r="AM8668" s="21"/>
      <c r="AN8668" s="133"/>
      <c r="AO8668" s="134"/>
      <c r="AP8668" s="135"/>
      <c r="AQ8668" s="136"/>
      <c r="AR8668" s="118"/>
      <c r="AS8668" s="119"/>
      <c r="AT8668" s="118">
        <f t="shared" ref="AT8668" si="13228">AR8668*0.1</f>
        <v>0</v>
      </c>
      <c r="AU8668" s="119"/>
      <c r="AV8668" s="118"/>
      <c r="AW8668" s="119"/>
      <c r="AX8668" s="118">
        <f t="shared" ref="AX8668" si="13229">SUM(AR8668:AW8668)</f>
        <v>0</v>
      </c>
      <c r="AY8668" s="119"/>
      <c r="AZ8668" s="137"/>
    </row>
    <row r="8669" spans="1:52" ht="17.100000000000001" customHeight="1" thickBot="1">
      <c r="A8669" s="110"/>
      <c r="B8669" s="27" t="s">
        <v>2699</v>
      </c>
      <c r="C8669" s="27">
        <v>4001</v>
      </c>
      <c r="D8669" s="14" t="s">
        <v>1720</v>
      </c>
      <c r="E8669" s="112"/>
      <c r="F8669" s="139" t="s">
        <v>24708</v>
      </c>
      <c r="G8669" s="140"/>
      <c r="H8669" s="141"/>
      <c r="I8669" s="26">
        <v>33121</v>
      </c>
      <c r="J8669" s="117"/>
      <c r="K8669" s="120"/>
      <c r="L8669" s="121"/>
      <c r="M8669" s="120"/>
      <c r="N8669" s="121"/>
      <c r="O8669" s="120"/>
      <c r="P8669" s="121"/>
      <c r="Q8669" s="120"/>
      <c r="R8669" s="121"/>
      <c r="S8669" s="120"/>
      <c r="T8669" s="121"/>
      <c r="U8669" s="120"/>
      <c r="V8669" s="123"/>
      <c r="W8669" s="125"/>
      <c r="X8669" s="142" t="s">
        <v>25159</v>
      </c>
      <c r="Y8669" s="143"/>
      <c r="Z8669" s="143"/>
      <c r="AA8669" s="143"/>
      <c r="AB8669" s="144"/>
      <c r="AC8669" s="16" t="s">
        <v>21</v>
      </c>
      <c r="AD8669" s="17" t="s">
        <v>2009</v>
      </c>
      <c r="AE8669" s="145" t="s">
        <v>2441</v>
      </c>
      <c r="AF8669" s="146"/>
      <c r="AG8669" s="146"/>
      <c r="AH8669" s="146"/>
      <c r="AI8669" s="147"/>
      <c r="AJ8669" s="148"/>
      <c r="AK8669" s="143"/>
      <c r="AL8669" s="144"/>
      <c r="AM8669" s="22"/>
      <c r="AN8669" s="149"/>
      <c r="AO8669" s="144"/>
      <c r="AP8669" s="148"/>
      <c r="AQ8669" s="144"/>
      <c r="AR8669" s="120"/>
      <c r="AS8669" s="121"/>
      <c r="AT8669" s="120"/>
      <c r="AU8669" s="121"/>
      <c r="AV8669" s="120"/>
      <c r="AW8669" s="121"/>
      <c r="AX8669" s="120"/>
      <c r="AY8669" s="121"/>
      <c r="AZ8669" s="138"/>
    </row>
    <row r="8670" spans="1:52" ht="17.100000000000001" customHeight="1" thickTop="1">
      <c r="A8670" s="109" t="s">
        <v>24694</v>
      </c>
      <c r="B8670" s="28">
        <v>46140</v>
      </c>
      <c r="C8670" s="25">
        <v>937</v>
      </c>
      <c r="D8670" s="13" t="s">
        <v>1988</v>
      </c>
      <c r="E8670" s="111"/>
      <c r="F8670" s="113" t="s">
        <v>19916</v>
      </c>
      <c r="G8670" s="114"/>
      <c r="H8670" s="115"/>
      <c r="I8670" s="24"/>
      <c r="J8670" s="116">
        <v>4</v>
      </c>
      <c r="K8670" s="118">
        <v>1294000</v>
      </c>
      <c r="L8670" s="119"/>
      <c r="M8670" s="118">
        <f t="shared" ref="M8670" si="13230">K8670*0.1</f>
        <v>129400</v>
      </c>
      <c r="N8670" s="119"/>
      <c r="O8670" s="118">
        <v>0</v>
      </c>
      <c r="P8670" s="119"/>
      <c r="Q8670" s="118">
        <v>8990</v>
      </c>
      <c r="R8670" s="119"/>
      <c r="S8670" s="118">
        <v>15950</v>
      </c>
      <c r="T8670" s="119"/>
      <c r="U8670" s="118">
        <f t="shared" ref="U8670" si="13231">SUM(K8670:T8671)</f>
        <v>1448340</v>
      </c>
      <c r="V8670" s="122"/>
      <c r="W8670" s="124"/>
      <c r="X8670" s="126" t="s">
        <v>25288</v>
      </c>
      <c r="Y8670" s="127"/>
      <c r="Z8670" s="127"/>
      <c r="AA8670" s="127"/>
      <c r="AB8670" s="128"/>
      <c r="AC8670" s="15" t="s">
        <v>20</v>
      </c>
      <c r="AD8670" s="129" t="s">
        <v>1670</v>
      </c>
      <c r="AE8670" s="130"/>
      <c r="AF8670" s="130"/>
      <c r="AG8670" s="130"/>
      <c r="AH8670" s="130"/>
      <c r="AI8670" s="131"/>
      <c r="AJ8670" s="132"/>
      <c r="AK8670" s="127"/>
      <c r="AL8670" s="128"/>
      <c r="AM8670" s="21"/>
      <c r="AN8670" s="133">
        <v>46144</v>
      </c>
      <c r="AO8670" s="134"/>
      <c r="AP8670" s="135">
        <v>1299</v>
      </c>
      <c r="AQ8670" s="136"/>
      <c r="AR8670" s="118">
        <v>1395000</v>
      </c>
      <c r="AS8670" s="119"/>
      <c r="AT8670" s="118">
        <f t="shared" ref="AT8670" si="13232">AR8670*0.1</f>
        <v>139500</v>
      </c>
      <c r="AU8670" s="119"/>
      <c r="AV8670" s="118">
        <v>8990</v>
      </c>
      <c r="AW8670" s="119"/>
      <c r="AX8670" s="118">
        <f t="shared" ref="AX8670" si="13233">SUM(AR8670:AW8670)</f>
        <v>1543490</v>
      </c>
      <c r="AY8670" s="119"/>
      <c r="AZ8670" s="137">
        <v>46154</v>
      </c>
    </row>
    <row r="8671" spans="1:52" ht="17.100000000000001" customHeight="1" thickBot="1">
      <c r="A8671" s="110"/>
      <c r="B8671" s="27" t="s">
        <v>2699</v>
      </c>
      <c r="C8671" s="27">
        <v>62013</v>
      </c>
      <c r="D8671" s="14" t="s">
        <v>1592</v>
      </c>
      <c r="E8671" s="112"/>
      <c r="F8671" s="139" t="s">
        <v>24709</v>
      </c>
      <c r="G8671" s="140"/>
      <c r="H8671" s="141"/>
      <c r="I8671" s="26">
        <v>26936</v>
      </c>
      <c r="J8671" s="117"/>
      <c r="K8671" s="120"/>
      <c r="L8671" s="121"/>
      <c r="M8671" s="120"/>
      <c r="N8671" s="121"/>
      <c r="O8671" s="120"/>
      <c r="P8671" s="121"/>
      <c r="Q8671" s="120"/>
      <c r="R8671" s="121"/>
      <c r="S8671" s="120"/>
      <c r="T8671" s="121"/>
      <c r="U8671" s="120"/>
      <c r="V8671" s="123"/>
      <c r="W8671" s="125"/>
      <c r="X8671" s="142" t="s">
        <v>25273</v>
      </c>
      <c r="Y8671" s="143"/>
      <c r="Z8671" s="143"/>
      <c r="AA8671" s="143"/>
      <c r="AB8671" s="144"/>
      <c r="AC8671" s="16" t="s">
        <v>21</v>
      </c>
      <c r="AD8671" s="17" t="s">
        <v>25271</v>
      </c>
      <c r="AE8671" s="145" t="s">
        <v>11427</v>
      </c>
      <c r="AF8671" s="146"/>
      <c r="AG8671" s="146"/>
      <c r="AH8671" s="146"/>
      <c r="AI8671" s="147"/>
      <c r="AJ8671" s="148"/>
      <c r="AK8671" s="143"/>
      <c r="AL8671" s="144"/>
      <c r="AM8671" s="22"/>
      <c r="AN8671" s="149" t="s">
        <v>25324</v>
      </c>
      <c r="AO8671" s="144"/>
      <c r="AP8671" s="148">
        <v>41075</v>
      </c>
      <c r="AQ8671" s="144"/>
      <c r="AR8671" s="120"/>
      <c r="AS8671" s="121"/>
      <c r="AT8671" s="120"/>
      <c r="AU8671" s="121"/>
      <c r="AV8671" s="120"/>
      <c r="AW8671" s="121"/>
      <c r="AX8671" s="120"/>
      <c r="AY8671" s="121"/>
      <c r="AZ8671" s="138"/>
    </row>
    <row r="8672" spans="1:52" ht="17.100000000000001" customHeight="1" thickTop="1">
      <c r="A8672" s="109" t="s">
        <v>24695</v>
      </c>
      <c r="B8672" s="28">
        <v>46140</v>
      </c>
      <c r="C8672" s="25">
        <v>937</v>
      </c>
      <c r="D8672" s="13" t="s">
        <v>1902</v>
      </c>
      <c r="E8672" s="111"/>
      <c r="F8672" s="113" t="s">
        <v>18180</v>
      </c>
      <c r="G8672" s="114"/>
      <c r="H8672" s="115"/>
      <c r="I8672" s="24"/>
      <c r="J8672" s="116">
        <v>4</v>
      </c>
      <c r="K8672" s="118">
        <v>1053000</v>
      </c>
      <c r="L8672" s="119"/>
      <c r="M8672" s="118">
        <f t="shared" ref="M8672" si="13234">K8672*0.1</f>
        <v>105300</v>
      </c>
      <c r="N8672" s="119"/>
      <c r="O8672" s="118">
        <v>0</v>
      </c>
      <c r="P8672" s="119"/>
      <c r="Q8672" s="118">
        <v>7440</v>
      </c>
      <c r="R8672" s="119"/>
      <c r="S8672" s="118">
        <v>15950</v>
      </c>
      <c r="T8672" s="119"/>
      <c r="U8672" s="118">
        <f t="shared" ref="U8672" si="13235">SUM(K8672:T8673)</f>
        <v>1181690</v>
      </c>
      <c r="V8672" s="122"/>
      <c r="W8672" s="124"/>
      <c r="X8672" s="126" t="s">
        <v>25272</v>
      </c>
      <c r="Y8672" s="127"/>
      <c r="Z8672" s="127"/>
      <c r="AA8672" s="127"/>
      <c r="AB8672" s="128"/>
      <c r="AC8672" s="15" t="s">
        <v>20</v>
      </c>
      <c r="AD8672" s="129"/>
      <c r="AE8672" s="130"/>
      <c r="AF8672" s="130"/>
      <c r="AG8672" s="130"/>
      <c r="AH8672" s="130"/>
      <c r="AI8672" s="131"/>
      <c r="AJ8672" s="132"/>
      <c r="AK8672" s="127"/>
      <c r="AL8672" s="128"/>
      <c r="AM8672" s="21"/>
      <c r="AN8672" s="133"/>
      <c r="AO8672" s="134"/>
      <c r="AP8672" s="135"/>
      <c r="AQ8672" s="136"/>
      <c r="AR8672" s="118"/>
      <c r="AS8672" s="119"/>
      <c r="AT8672" s="118">
        <f t="shared" ref="AT8672" si="13236">AR8672*0.1</f>
        <v>0</v>
      </c>
      <c r="AU8672" s="119"/>
      <c r="AV8672" s="118"/>
      <c r="AW8672" s="119"/>
      <c r="AX8672" s="118">
        <f t="shared" ref="AX8672" si="13237">SUM(AR8672:AW8672)</f>
        <v>0</v>
      </c>
      <c r="AY8672" s="119"/>
      <c r="AZ8672" s="137"/>
    </row>
    <row r="8673" spans="1:52" ht="17.100000000000001" customHeight="1" thickBot="1">
      <c r="A8673" s="110"/>
      <c r="B8673" s="27" t="s">
        <v>2699</v>
      </c>
      <c r="C8673" s="27">
        <v>62029</v>
      </c>
      <c r="D8673" s="14" t="s">
        <v>1592</v>
      </c>
      <c r="E8673" s="112"/>
      <c r="F8673" s="139" t="s">
        <v>24710</v>
      </c>
      <c r="G8673" s="140"/>
      <c r="H8673" s="141"/>
      <c r="I8673" s="26">
        <v>34536</v>
      </c>
      <c r="J8673" s="117"/>
      <c r="K8673" s="120"/>
      <c r="L8673" s="121"/>
      <c r="M8673" s="120"/>
      <c r="N8673" s="121"/>
      <c r="O8673" s="120"/>
      <c r="P8673" s="121"/>
      <c r="Q8673" s="120"/>
      <c r="R8673" s="121"/>
      <c r="S8673" s="120"/>
      <c r="T8673" s="121"/>
      <c r="U8673" s="120"/>
      <c r="V8673" s="123"/>
      <c r="W8673" s="125"/>
      <c r="X8673" s="142" t="s">
        <v>25273</v>
      </c>
      <c r="Y8673" s="143"/>
      <c r="Z8673" s="143"/>
      <c r="AA8673" s="143"/>
      <c r="AB8673" s="144"/>
      <c r="AC8673" s="16" t="s">
        <v>21</v>
      </c>
      <c r="AD8673" s="17" t="s">
        <v>25271</v>
      </c>
      <c r="AE8673" s="145"/>
      <c r="AF8673" s="146"/>
      <c r="AG8673" s="146"/>
      <c r="AH8673" s="146"/>
      <c r="AI8673" s="147"/>
      <c r="AJ8673" s="148"/>
      <c r="AK8673" s="143"/>
      <c r="AL8673" s="144"/>
      <c r="AM8673" s="22"/>
      <c r="AN8673" s="149"/>
      <c r="AO8673" s="144"/>
      <c r="AP8673" s="148"/>
      <c r="AQ8673" s="144"/>
      <c r="AR8673" s="120"/>
      <c r="AS8673" s="121"/>
      <c r="AT8673" s="120"/>
      <c r="AU8673" s="121"/>
      <c r="AV8673" s="120"/>
      <c r="AW8673" s="121"/>
      <c r="AX8673" s="120"/>
      <c r="AY8673" s="121"/>
      <c r="AZ8673" s="138"/>
    </row>
    <row r="8674" spans="1:52" ht="17.100000000000001" customHeight="1" thickTop="1">
      <c r="A8674" s="109" t="s">
        <v>24696</v>
      </c>
      <c r="B8674" s="28">
        <v>46140</v>
      </c>
      <c r="C8674" s="25">
        <v>1091</v>
      </c>
      <c r="D8674" s="13" t="s">
        <v>2465</v>
      </c>
      <c r="E8674" s="111"/>
      <c r="F8674" s="113" t="s">
        <v>24711</v>
      </c>
      <c r="G8674" s="114"/>
      <c r="H8674" s="115"/>
      <c r="I8674" s="24" t="s">
        <v>5454</v>
      </c>
      <c r="J8674" s="116">
        <v>4.5</v>
      </c>
      <c r="K8674" s="118">
        <v>19200000</v>
      </c>
      <c r="L8674" s="119"/>
      <c r="M8674" s="118">
        <f t="shared" ref="M8674" si="13238">K8674*0.1</f>
        <v>1920000</v>
      </c>
      <c r="N8674" s="119"/>
      <c r="O8674" s="118">
        <v>51370</v>
      </c>
      <c r="P8674" s="119"/>
      <c r="Q8674" s="118">
        <v>22640</v>
      </c>
      <c r="R8674" s="119"/>
      <c r="S8674" s="118">
        <v>16500</v>
      </c>
      <c r="T8674" s="119"/>
      <c r="U8674" s="118">
        <f t="shared" ref="U8674" si="13239">SUM(K8674:T8675)</f>
        <v>21210510</v>
      </c>
      <c r="V8674" s="122"/>
      <c r="W8674" s="124"/>
      <c r="X8674" s="126" t="s">
        <v>24732</v>
      </c>
      <c r="Y8674" s="127"/>
      <c r="Z8674" s="127"/>
      <c r="AA8674" s="127"/>
      <c r="AB8674" s="128"/>
      <c r="AC8674" s="15" t="s">
        <v>20</v>
      </c>
      <c r="AD8674" s="129" t="s">
        <v>24733</v>
      </c>
      <c r="AE8674" s="130"/>
      <c r="AF8674" s="130"/>
      <c r="AG8674" s="130"/>
      <c r="AH8674" s="130"/>
      <c r="AI8674" s="131"/>
      <c r="AJ8674" s="132"/>
      <c r="AK8674" s="127"/>
      <c r="AL8674" s="128"/>
      <c r="AM8674" s="21"/>
      <c r="AN8674" s="133"/>
      <c r="AO8674" s="134"/>
      <c r="AP8674" s="135"/>
      <c r="AQ8674" s="136"/>
      <c r="AR8674" s="118"/>
      <c r="AS8674" s="119"/>
      <c r="AT8674" s="118">
        <f t="shared" ref="AT8674" si="13240">AR8674*0.1</f>
        <v>0</v>
      </c>
      <c r="AU8674" s="119"/>
      <c r="AV8674" s="118"/>
      <c r="AW8674" s="119"/>
      <c r="AX8674" s="118">
        <f t="shared" ref="AX8674" si="13241">SUM(AR8674:AW8674)</f>
        <v>0</v>
      </c>
      <c r="AY8674" s="119"/>
      <c r="AZ8674" s="137"/>
    </row>
    <row r="8675" spans="1:52" ht="17.100000000000001" customHeight="1" thickBot="1">
      <c r="A8675" s="110"/>
      <c r="B8675" s="27" t="s">
        <v>1591</v>
      </c>
      <c r="C8675" s="27">
        <v>84246</v>
      </c>
      <c r="D8675" s="14" t="s">
        <v>1592</v>
      </c>
      <c r="E8675" s="112"/>
      <c r="F8675" s="139" t="s">
        <v>24731</v>
      </c>
      <c r="G8675" s="140"/>
      <c r="H8675" s="141"/>
      <c r="I8675" s="26">
        <v>35821</v>
      </c>
      <c r="J8675" s="117"/>
      <c r="K8675" s="120"/>
      <c r="L8675" s="121"/>
      <c r="M8675" s="120"/>
      <c r="N8675" s="121"/>
      <c r="O8675" s="120"/>
      <c r="P8675" s="121"/>
      <c r="Q8675" s="120"/>
      <c r="R8675" s="121"/>
      <c r="S8675" s="120"/>
      <c r="T8675" s="121"/>
      <c r="U8675" s="120"/>
      <c r="V8675" s="123"/>
      <c r="W8675" s="125"/>
      <c r="X8675" s="142" t="s">
        <v>1656</v>
      </c>
      <c r="Y8675" s="143"/>
      <c r="Z8675" s="143"/>
      <c r="AA8675" s="143"/>
      <c r="AB8675" s="144"/>
      <c r="AC8675" s="16" t="s">
        <v>21</v>
      </c>
      <c r="AD8675" s="17" t="s">
        <v>4287</v>
      </c>
      <c r="AE8675" s="145" t="s">
        <v>1742</v>
      </c>
      <c r="AF8675" s="146"/>
      <c r="AG8675" s="146"/>
      <c r="AH8675" s="146"/>
      <c r="AI8675" s="147"/>
      <c r="AJ8675" s="148"/>
      <c r="AK8675" s="143"/>
      <c r="AL8675" s="144"/>
      <c r="AM8675" s="22"/>
      <c r="AN8675" s="149"/>
      <c r="AO8675" s="144"/>
      <c r="AP8675" s="148"/>
      <c r="AQ8675" s="144"/>
      <c r="AR8675" s="120"/>
      <c r="AS8675" s="121"/>
      <c r="AT8675" s="120"/>
      <c r="AU8675" s="121"/>
      <c r="AV8675" s="120"/>
      <c r="AW8675" s="121"/>
      <c r="AX8675" s="120"/>
      <c r="AY8675" s="121"/>
      <c r="AZ8675" s="138"/>
    </row>
    <row r="8676" spans="1:52" ht="17.100000000000001" customHeight="1" thickTop="1">
      <c r="A8676" s="109" t="s">
        <v>24697</v>
      </c>
      <c r="B8676" s="28">
        <v>46140</v>
      </c>
      <c r="C8676" s="25">
        <v>988</v>
      </c>
      <c r="D8676" s="13" t="s">
        <v>1988</v>
      </c>
      <c r="E8676" s="111"/>
      <c r="F8676" s="113" t="s">
        <v>24734</v>
      </c>
      <c r="G8676" s="114"/>
      <c r="H8676" s="115"/>
      <c r="I8676" s="24"/>
      <c r="J8676" s="116">
        <v>3.5</v>
      </c>
      <c r="K8676" s="118">
        <v>713000</v>
      </c>
      <c r="L8676" s="119"/>
      <c r="M8676" s="118">
        <f t="shared" ref="M8676" si="13242">K8676*0.1</f>
        <v>71300</v>
      </c>
      <c r="N8676" s="119"/>
      <c r="O8676" s="118">
        <v>0</v>
      </c>
      <c r="P8676" s="119"/>
      <c r="Q8676" s="118">
        <v>8200</v>
      </c>
      <c r="R8676" s="119"/>
      <c r="S8676" s="118">
        <v>22000</v>
      </c>
      <c r="T8676" s="119"/>
      <c r="U8676" s="118">
        <f t="shared" ref="U8676" si="13243">SUM(K8676:T8677)</f>
        <v>814500</v>
      </c>
      <c r="V8676" s="122"/>
      <c r="W8676" s="124"/>
      <c r="X8676" s="126" t="s">
        <v>25594</v>
      </c>
      <c r="Y8676" s="127"/>
      <c r="Z8676" s="127"/>
      <c r="AA8676" s="127"/>
      <c r="AB8676" s="128"/>
      <c r="AC8676" s="15" t="s">
        <v>20</v>
      </c>
      <c r="AD8676" s="129" t="s">
        <v>21893</v>
      </c>
      <c r="AE8676" s="130"/>
      <c r="AF8676" s="130"/>
      <c r="AG8676" s="130"/>
      <c r="AH8676" s="130"/>
      <c r="AI8676" s="131"/>
      <c r="AJ8676" s="132"/>
      <c r="AK8676" s="127"/>
      <c r="AL8676" s="128"/>
      <c r="AM8676" s="21"/>
      <c r="AN8676" s="133">
        <v>46158</v>
      </c>
      <c r="AO8676" s="134"/>
      <c r="AP8676" s="135">
        <v>1300</v>
      </c>
      <c r="AQ8676" s="136"/>
      <c r="AR8676" s="118">
        <v>790000</v>
      </c>
      <c r="AS8676" s="119"/>
      <c r="AT8676" s="118">
        <f t="shared" ref="AT8676" si="13244">AR8676*0.1</f>
        <v>79000</v>
      </c>
      <c r="AU8676" s="119"/>
      <c r="AV8676" s="118">
        <v>8200</v>
      </c>
      <c r="AW8676" s="119"/>
      <c r="AX8676" s="118">
        <f t="shared" ref="AX8676" si="13245">SUM(AR8676:AW8676)</f>
        <v>877200</v>
      </c>
      <c r="AY8676" s="119"/>
      <c r="AZ8676" s="137">
        <v>46161</v>
      </c>
    </row>
    <row r="8677" spans="1:52" ht="17.100000000000001" customHeight="1" thickBot="1">
      <c r="A8677" s="110"/>
      <c r="B8677" s="27" t="s">
        <v>18196</v>
      </c>
      <c r="C8677" s="27">
        <v>9</v>
      </c>
      <c r="D8677" s="14" t="s">
        <v>1592</v>
      </c>
      <c r="E8677" s="112"/>
      <c r="F8677" s="139" t="s">
        <v>24735</v>
      </c>
      <c r="G8677" s="140"/>
      <c r="H8677" s="141"/>
      <c r="I8677" s="26">
        <v>48231</v>
      </c>
      <c r="J8677" s="117"/>
      <c r="K8677" s="120"/>
      <c r="L8677" s="121"/>
      <c r="M8677" s="120"/>
      <c r="N8677" s="121"/>
      <c r="O8677" s="120"/>
      <c r="P8677" s="121"/>
      <c r="Q8677" s="120"/>
      <c r="R8677" s="121"/>
      <c r="S8677" s="120"/>
      <c r="T8677" s="121"/>
      <c r="U8677" s="120"/>
      <c r="V8677" s="123"/>
      <c r="W8677" s="125"/>
      <c r="X8677" s="142" t="s">
        <v>2482</v>
      </c>
      <c r="Y8677" s="143"/>
      <c r="Z8677" s="143"/>
      <c r="AA8677" s="143"/>
      <c r="AB8677" s="144"/>
      <c r="AC8677" s="16" t="s">
        <v>21</v>
      </c>
      <c r="AD8677" s="17" t="s">
        <v>2413</v>
      </c>
      <c r="AE8677" s="145" t="s">
        <v>11427</v>
      </c>
      <c r="AF8677" s="146"/>
      <c r="AG8677" s="146"/>
      <c r="AH8677" s="146"/>
      <c r="AI8677" s="147"/>
      <c r="AJ8677" s="148"/>
      <c r="AK8677" s="143"/>
      <c r="AL8677" s="144"/>
      <c r="AM8677" s="22"/>
      <c r="AN8677" s="149" t="s">
        <v>2511</v>
      </c>
      <c r="AO8677" s="144"/>
      <c r="AP8677" s="148">
        <v>62094</v>
      </c>
      <c r="AQ8677" s="144"/>
      <c r="AR8677" s="120"/>
      <c r="AS8677" s="121"/>
      <c r="AT8677" s="120"/>
      <c r="AU8677" s="121"/>
      <c r="AV8677" s="120"/>
      <c r="AW8677" s="121"/>
      <c r="AX8677" s="120"/>
      <c r="AY8677" s="121"/>
      <c r="AZ8677" s="138"/>
    </row>
    <row r="8678" spans="1:52" ht="17.100000000000001" customHeight="1" thickTop="1">
      <c r="A8678" s="109" t="s">
        <v>24712</v>
      </c>
      <c r="B8678" s="28">
        <v>46140</v>
      </c>
      <c r="C8678" s="25">
        <v>988</v>
      </c>
      <c r="D8678" s="13" t="s">
        <v>1986</v>
      </c>
      <c r="E8678" s="111"/>
      <c r="F8678" s="113" t="s">
        <v>17575</v>
      </c>
      <c r="G8678" s="114"/>
      <c r="H8678" s="115"/>
      <c r="I8678" s="24"/>
      <c r="J8678" s="116">
        <v>3.5</v>
      </c>
      <c r="K8678" s="118">
        <v>743000</v>
      </c>
      <c r="L8678" s="119"/>
      <c r="M8678" s="118">
        <f t="shared" ref="M8678" si="13246">K8678*0.1</f>
        <v>74300</v>
      </c>
      <c r="N8678" s="119"/>
      <c r="O8678" s="118">
        <v>0</v>
      </c>
      <c r="P8678" s="119"/>
      <c r="Q8678" s="118">
        <v>7440</v>
      </c>
      <c r="R8678" s="119"/>
      <c r="S8678" s="118">
        <v>22000</v>
      </c>
      <c r="T8678" s="119"/>
      <c r="U8678" s="118">
        <f t="shared" ref="U8678" si="13247">SUM(K8678:T8679)</f>
        <v>846740</v>
      </c>
      <c r="V8678" s="122"/>
      <c r="W8678" s="124"/>
      <c r="X8678" s="126" t="s">
        <v>25593</v>
      </c>
      <c r="Y8678" s="127"/>
      <c r="Z8678" s="127"/>
      <c r="AA8678" s="127"/>
      <c r="AB8678" s="128"/>
      <c r="AC8678" s="15" t="s">
        <v>20</v>
      </c>
      <c r="AD8678" s="129" t="s">
        <v>2054</v>
      </c>
      <c r="AE8678" s="130"/>
      <c r="AF8678" s="130"/>
      <c r="AG8678" s="130"/>
      <c r="AH8678" s="130"/>
      <c r="AI8678" s="131"/>
      <c r="AJ8678" s="132"/>
      <c r="AK8678" s="127"/>
      <c r="AL8678" s="128"/>
      <c r="AM8678" s="21"/>
      <c r="AN8678" s="133"/>
      <c r="AO8678" s="134"/>
      <c r="AP8678" s="135"/>
      <c r="AQ8678" s="136"/>
      <c r="AR8678" s="118"/>
      <c r="AS8678" s="119"/>
      <c r="AT8678" s="118">
        <f t="shared" ref="AT8678" si="13248">AR8678*0.1</f>
        <v>0</v>
      </c>
      <c r="AU8678" s="119"/>
      <c r="AV8678" s="118"/>
      <c r="AW8678" s="119"/>
      <c r="AX8678" s="118">
        <f t="shared" ref="AX8678" si="13249">SUM(AR8678:AW8678)</f>
        <v>0</v>
      </c>
      <c r="AY8678" s="119"/>
      <c r="AZ8678" s="137"/>
    </row>
    <row r="8679" spans="1:52" ht="17.100000000000001" customHeight="1" thickBot="1">
      <c r="A8679" s="110"/>
      <c r="B8679" s="27" t="s">
        <v>18196</v>
      </c>
      <c r="C8679" s="27">
        <v>101</v>
      </c>
      <c r="D8679" s="14" t="s">
        <v>1592</v>
      </c>
      <c r="E8679" s="112"/>
      <c r="F8679" s="139" t="s">
        <v>24736</v>
      </c>
      <c r="G8679" s="140"/>
      <c r="H8679" s="141"/>
      <c r="I8679" s="26">
        <v>42058</v>
      </c>
      <c r="J8679" s="117"/>
      <c r="K8679" s="120"/>
      <c r="L8679" s="121"/>
      <c r="M8679" s="120"/>
      <c r="N8679" s="121"/>
      <c r="O8679" s="120"/>
      <c r="P8679" s="121"/>
      <c r="Q8679" s="120"/>
      <c r="R8679" s="121"/>
      <c r="S8679" s="120"/>
      <c r="T8679" s="121"/>
      <c r="U8679" s="120"/>
      <c r="V8679" s="123"/>
      <c r="W8679" s="125"/>
      <c r="X8679" s="142" t="s">
        <v>2482</v>
      </c>
      <c r="Y8679" s="143"/>
      <c r="Z8679" s="143"/>
      <c r="AA8679" s="143"/>
      <c r="AB8679" s="144"/>
      <c r="AC8679" s="16" t="s">
        <v>21</v>
      </c>
      <c r="AD8679" s="17" t="s">
        <v>2413</v>
      </c>
      <c r="AE8679" s="145" t="s">
        <v>25613</v>
      </c>
      <c r="AF8679" s="146"/>
      <c r="AG8679" s="146"/>
      <c r="AH8679" s="146"/>
      <c r="AI8679" s="147"/>
      <c r="AJ8679" s="148"/>
      <c r="AK8679" s="143"/>
      <c r="AL8679" s="144"/>
      <c r="AM8679" s="22"/>
      <c r="AN8679" s="149"/>
      <c r="AO8679" s="144"/>
      <c r="AP8679" s="148"/>
      <c r="AQ8679" s="144"/>
      <c r="AR8679" s="120"/>
      <c r="AS8679" s="121"/>
      <c r="AT8679" s="120"/>
      <c r="AU8679" s="121"/>
      <c r="AV8679" s="120"/>
      <c r="AW8679" s="121"/>
      <c r="AX8679" s="120"/>
      <c r="AY8679" s="121"/>
      <c r="AZ8679" s="138"/>
    </row>
    <row r="8680" spans="1:52" ht="17.100000000000001" customHeight="1" thickTop="1">
      <c r="A8680" s="109" t="s">
        <v>24713</v>
      </c>
      <c r="B8680" s="28">
        <v>46140</v>
      </c>
      <c r="C8680" s="25">
        <v>988</v>
      </c>
      <c r="D8680" s="13" t="s">
        <v>1651</v>
      </c>
      <c r="E8680" s="111"/>
      <c r="F8680" s="113" t="s">
        <v>15089</v>
      </c>
      <c r="G8680" s="114"/>
      <c r="H8680" s="115"/>
      <c r="I8680" s="24"/>
      <c r="J8680" s="116">
        <v>3.5</v>
      </c>
      <c r="K8680" s="118">
        <v>1183000</v>
      </c>
      <c r="L8680" s="119"/>
      <c r="M8680" s="118">
        <f t="shared" ref="M8680" si="13250">K8680*0.1</f>
        <v>118300</v>
      </c>
      <c r="N8680" s="119"/>
      <c r="O8680" s="118">
        <v>0</v>
      </c>
      <c r="P8680" s="119"/>
      <c r="Q8680" s="118">
        <v>8990</v>
      </c>
      <c r="R8680" s="119"/>
      <c r="S8680" s="118">
        <v>22000</v>
      </c>
      <c r="T8680" s="119"/>
      <c r="U8680" s="118">
        <f t="shared" ref="U8680" si="13251">SUM(K8680:T8681)</f>
        <v>1332290</v>
      </c>
      <c r="V8680" s="122"/>
      <c r="W8680" s="124"/>
      <c r="X8680" s="126" t="s">
        <v>25592</v>
      </c>
      <c r="Y8680" s="127"/>
      <c r="Z8680" s="127"/>
      <c r="AA8680" s="127"/>
      <c r="AB8680" s="128"/>
      <c r="AC8680" s="15" t="s">
        <v>20</v>
      </c>
      <c r="AD8680" s="129" t="s">
        <v>1670</v>
      </c>
      <c r="AE8680" s="130"/>
      <c r="AF8680" s="130"/>
      <c r="AG8680" s="130"/>
      <c r="AH8680" s="130"/>
      <c r="AI8680" s="131"/>
      <c r="AJ8680" s="132"/>
      <c r="AK8680" s="127"/>
      <c r="AL8680" s="128"/>
      <c r="AM8680" s="21"/>
      <c r="AN8680" s="133"/>
      <c r="AO8680" s="134"/>
      <c r="AP8680" s="135"/>
      <c r="AQ8680" s="136"/>
      <c r="AR8680" s="118"/>
      <c r="AS8680" s="119"/>
      <c r="AT8680" s="118">
        <f t="shared" ref="AT8680" si="13252">AR8680*0.1</f>
        <v>0</v>
      </c>
      <c r="AU8680" s="119"/>
      <c r="AV8680" s="118"/>
      <c r="AW8680" s="119"/>
      <c r="AX8680" s="118">
        <f t="shared" ref="AX8680" si="13253">SUM(AR8680:AW8680)</f>
        <v>0</v>
      </c>
      <c r="AY8680" s="119"/>
      <c r="AZ8680" s="137"/>
    </row>
    <row r="8681" spans="1:52" ht="17.100000000000001" customHeight="1" thickBot="1">
      <c r="A8681" s="110"/>
      <c r="B8681" s="27" t="s">
        <v>18196</v>
      </c>
      <c r="C8681" s="27">
        <v>102</v>
      </c>
      <c r="D8681" s="14" t="s">
        <v>1592</v>
      </c>
      <c r="E8681" s="112"/>
      <c r="F8681" s="139" t="s">
        <v>24737</v>
      </c>
      <c r="G8681" s="140"/>
      <c r="H8681" s="141"/>
      <c r="I8681" s="26">
        <v>39307</v>
      </c>
      <c r="J8681" s="117"/>
      <c r="K8681" s="120"/>
      <c r="L8681" s="121"/>
      <c r="M8681" s="120"/>
      <c r="N8681" s="121"/>
      <c r="O8681" s="120"/>
      <c r="P8681" s="121"/>
      <c r="Q8681" s="120"/>
      <c r="R8681" s="121"/>
      <c r="S8681" s="120"/>
      <c r="T8681" s="121"/>
      <c r="U8681" s="120"/>
      <c r="V8681" s="123"/>
      <c r="W8681" s="125"/>
      <c r="X8681" s="142" t="s">
        <v>2482</v>
      </c>
      <c r="Y8681" s="143"/>
      <c r="Z8681" s="143"/>
      <c r="AA8681" s="143"/>
      <c r="AB8681" s="144"/>
      <c r="AC8681" s="16" t="s">
        <v>21</v>
      </c>
      <c r="AD8681" s="17" t="s">
        <v>2413</v>
      </c>
      <c r="AE8681" s="145" t="s">
        <v>10331</v>
      </c>
      <c r="AF8681" s="146"/>
      <c r="AG8681" s="146"/>
      <c r="AH8681" s="146"/>
      <c r="AI8681" s="147"/>
      <c r="AJ8681" s="148"/>
      <c r="AK8681" s="143"/>
      <c r="AL8681" s="144"/>
      <c r="AM8681" s="22"/>
      <c r="AN8681" s="149"/>
      <c r="AO8681" s="144"/>
      <c r="AP8681" s="148"/>
      <c r="AQ8681" s="144"/>
      <c r="AR8681" s="120"/>
      <c r="AS8681" s="121"/>
      <c r="AT8681" s="120"/>
      <c r="AU8681" s="121"/>
      <c r="AV8681" s="120"/>
      <c r="AW8681" s="121"/>
      <c r="AX8681" s="120"/>
      <c r="AY8681" s="121"/>
      <c r="AZ8681" s="138"/>
    </row>
    <row r="8682" spans="1:52" ht="17.100000000000001" customHeight="1" thickTop="1">
      <c r="A8682" s="109" t="s">
        <v>24714</v>
      </c>
      <c r="B8682" s="28">
        <v>46140</v>
      </c>
      <c r="C8682" s="25">
        <v>988</v>
      </c>
      <c r="D8682" s="13" t="s">
        <v>1929</v>
      </c>
      <c r="E8682" s="111"/>
      <c r="F8682" s="113" t="s">
        <v>24852</v>
      </c>
      <c r="G8682" s="114"/>
      <c r="H8682" s="115"/>
      <c r="I8682" s="24"/>
      <c r="J8682" s="116">
        <v>4</v>
      </c>
      <c r="K8682" s="118">
        <v>1735000</v>
      </c>
      <c r="L8682" s="119"/>
      <c r="M8682" s="118">
        <f t="shared" ref="M8682" si="13254">K8682*0.1</f>
        <v>173500</v>
      </c>
      <c r="N8682" s="119"/>
      <c r="O8682" s="118">
        <v>0</v>
      </c>
      <c r="P8682" s="119"/>
      <c r="Q8682" s="118">
        <v>9550</v>
      </c>
      <c r="R8682" s="119"/>
      <c r="S8682" s="118">
        <v>22000</v>
      </c>
      <c r="T8682" s="119"/>
      <c r="U8682" s="118">
        <f t="shared" ref="U8682" si="13255">SUM(K8682:T8683)</f>
        <v>1940050</v>
      </c>
      <c r="V8682" s="122"/>
      <c r="W8682" s="124"/>
      <c r="X8682" s="126" t="s">
        <v>25591</v>
      </c>
      <c r="Y8682" s="127"/>
      <c r="Z8682" s="127"/>
      <c r="AA8682" s="127"/>
      <c r="AB8682" s="128"/>
      <c r="AC8682" s="15" t="s">
        <v>20</v>
      </c>
      <c r="AD8682" s="129" t="s">
        <v>2054</v>
      </c>
      <c r="AE8682" s="130"/>
      <c r="AF8682" s="130"/>
      <c r="AG8682" s="130"/>
      <c r="AH8682" s="130"/>
      <c r="AI8682" s="131"/>
      <c r="AJ8682" s="132"/>
      <c r="AK8682" s="127"/>
      <c r="AL8682" s="128"/>
      <c r="AM8682" s="21"/>
      <c r="AN8682" s="133"/>
      <c r="AO8682" s="134"/>
      <c r="AP8682" s="135"/>
      <c r="AQ8682" s="136"/>
      <c r="AR8682" s="118"/>
      <c r="AS8682" s="119"/>
      <c r="AT8682" s="118">
        <f t="shared" ref="AT8682" si="13256">AR8682*0.1</f>
        <v>0</v>
      </c>
      <c r="AU8682" s="119"/>
      <c r="AV8682" s="118"/>
      <c r="AW8682" s="119"/>
      <c r="AX8682" s="118">
        <f t="shared" ref="AX8682" si="13257">SUM(AR8682:AW8682)</f>
        <v>0</v>
      </c>
      <c r="AY8682" s="119"/>
      <c r="AZ8682" s="137"/>
    </row>
    <row r="8683" spans="1:52" ht="17.100000000000001" customHeight="1" thickBot="1">
      <c r="A8683" s="110"/>
      <c r="B8683" s="27" t="s">
        <v>18196</v>
      </c>
      <c r="C8683" s="27">
        <v>239</v>
      </c>
      <c r="D8683" s="14" t="s">
        <v>2601</v>
      </c>
      <c r="E8683" s="112"/>
      <c r="F8683" s="139" t="s">
        <v>24738</v>
      </c>
      <c r="G8683" s="140"/>
      <c r="H8683" s="141"/>
      <c r="I8683" s="26">
        <v>70129</v>
      </c>
      <c r="J8683" s="117"/>
      <c r="K8683" s="120"/>
      <c r="L8683" s="121"/>
      <c r="M8683" s="120"/>
      <c r="N8683" s="121"/>
      <c r="O8683" s="120"/>
      <c r="P8683" s="121"/>
      <c r="Q8683" s="120"/>
      <c r="R8683" s="121"/>
      <c r="S8683" s="120"/>
      <c r="T8683" s="121"/>
      <c r="U8683" s="120"/>
      <c r="V8683" s="123"/>
      <c r="W8683" s="125"/>
      <c r="X8683" s="142" t="s">
        <v>21174</v>
      </c>
      <c r="Y8683" s="143"/>
      <c r="Z8683" s="143"/>
      <c r="AA8683" s="143"/>
      <c r="AB8683" s="144"/>
      <c r="AC8683" s="16" t="s">
        <v>21</v>
      </c>
      <c r="AD8683" s="17" t="s">
        <v>2413</v>
      </c>
      <c r="AE8683" s="145" t="s">
        <v>25146</v>
      </c>
      <c r="AF8683" s="146"/>
      <c r="AG8683" s="146"/>
      <c r="AH8683" s="146"/>
      <c r="AI8683" s="147"/>
      <c r="AJ8683" s="148"/>
      <c r="AK8683" s="143"/>
      <c r="AL8683" s="144"/>
      <c r="AM8683" s="22"/>
      <c r="AN8683" s="149"/>
      <c r="AO8683" s="144"/>
      <c r="AP8683" s="148"/>
      <c r="AQ8683" s="144"/>
      <c r="AR8683" s="120"/>
      <c r="AS8683" s="121"/>
      <c r="AT8683" s="120"/>
      <c r="AU8683" s="121"/>
      <c r="AV8683" s="120"/>
      <c r="AW8683" s="121"/>
      <c r="AX8683" s="120"/>
      <c r="AY8683" s="121"/>
      <c r="AZ8683" s="138"/>
    </row>
    <row r="8684" spans="1:52" ht="17.100000000000001" customHeight="1" thickTop="1">
      <c r="A8684" s="109" t="s">
        <v>24715</v>
      </c>
      <c r="B8684" s="28">
        <v>46140</v>
      </c>
      <c r="C8684" s="25">
        <v>988</v>
      </c>
      <c r="D8684" s="13" t="s">
        <v>2329</v>
      </c>
      <c r="E8684" s="111"/>
      <c r="F8684" s="113" t="s">
        <v>18706</v>
      </c>
      <c r="G8684" s="114"/>
      <c r="H8684" s="115"/>
      <c r="I8684" s="24"/>
      <c r="J8684" s="116">
        <v>4</v>
      </c>
      <c r="K8684" s="118">
        <v>803000</v>
      </c>
      <c r="L8684" s="119"/>
      <c r="M8684" s="118">
        <f t="shared" ref="M8684" si="13258">K8684*0.1</f>
        <v>80300</v>
      </c>
      <c r="N8684" s="119"/>
      <c r="O8684" s="118">
        <v>0</v>
      </c>
      <c r="P8684" s="119"/>
      <c r="Q8684" s="118">
        <v>8110</v>
      </c>
      <c r="R8684" s="119"/>
      <c r="S8684" s="118">
        <v>22000</v>
      </c>
      <c r="T8684" s="119"/>
      <c r="U8684" s="118">
        <f t="shared" ref="U8684" si="13259">SUM(K8684:T8685)</f>
        <v>913410</v>
      </c>
      <c r="V8684" s="122"/>
      <c r="W8684" s="124"/>
      <c r="X8684" s="126" t="s">
        <v>25589</v>
      </c>
      <c r="Y8684" s="127"/>
      <c r="Z8684" s="127"/>
      <c r="AA8684" s="127"/>
      <c r="AB8684" s="128"/>
      <c r="AC8684" s="15" t="s">
        <v>20</v>
      </c>
      <c r="AD8684" s="129" t="s">
        <v>3485</v>
      </c>
      <c r="AE8684" s="130"/>
      <c r="AF8684" s="130"/>
      <c r="AG8684" s="130"/>
      <c r="AH8684" s="130"/>
      <c r="AI8684" s="131"/>
      <c r="AJ8684" s="132"/>
      <c r="AK8684" s="127"/>
      <c r="AL8684" s="128"/>
      <c r="AM8684" s="21"/>
      <c r="AN8684" s="133"/>
      <c r="AO8684" s="134"/>
      <c r="AP8684" s="135"/>
      <c r="AQ8684" s="136"/>
      <c r="AR8684" s="118"/>
      <c r="AS8684" s="119"/>
      <c r="AT8684" s="118">
        <f t="shared" ref="AT8684" si="13260">AR8684*0.1</f>
        <v>0</v>
      </c>
      <c r="AU8684" s="119"/>
      <c r="AV8684" s="118"/>
      <c r="AW8684" s="119"/>
      <c r="AX8684" s="118">
        <f t="shared" ref="AX8684" si="13261">SUM(AR8684:AW8684)</f>
        <v>0</v>
      </c>
      <c r="AY8684" s="119"/>
      <c r="AZ8684" s="137"/>
    </row>
    <row r="8685" spans="1:52" ht="17.100000000000001" customHeight="1" thickBot="1">
      <c r="A8685" s="110"/>
      <c r="B8685" s="27" t="s">
        <v>18196</v>
      </c>
      <c r="C8685" s="27">
        <v>1009</v>
      </c>
      <c r="D8685" s="14" t="s">
        <v>1720</v>
      </c>
      <c r="E8685" s="112"/>
      <c r="F8685" s="139" t="s">
        <v>24739</v>
      </c>
      <c r="G8685" s="140"/>
      <c r="H8685" s="141"/>
      <c r="I8685" s="26">
        <v>53621</v>
      </c>
      <c r="J8685" s="117"/>
      <c r="K8685" s="120"/>
      <c r="L8685" s="121"/>
      <c r="M8685" s="120"/>
      <c r="N8685" s="121"/>
      <c r="O8685" s="120"/>
      <c r="P8685" s="121"/>
      <c r="Q8685" s="120"/>
      <c r="R8685" s="121"/>
      <c r="S8685" s="120"/>
      <c r="T8685" s="121"/>
      <c r="U8685" s="120"/>
      <c r="V8685" s="123"/>
      <c r="W8685" s="125"/>
      <c r="X8685" s="142" t="s">
        <v>25590</v>
      </c>
      <c r="Y8685" s="143"/>
      <c r="Z8685" s="143"/>
      <c r="AA8685" s="143"/>
      <c r="AB8685" s="144"/>
      <c r="AC8685" s="16" t="s">
        <v>21</v>
      </c>
      <c r="AD8685" s="17" t="s">
        <v>2413</v>
      </c>
      <c r="AE8685" s="145" t="s">
        <v>9807</v>
      </c>
      <c r="AF8685" s="146"/>
      <c r="AG8685" s="146"/>
      <c r="AH8685" s="146"/>
      <c r="AI8685" s="147"/>
      <c r="AJ8685" s="148"/>
      <c r="AK8685" s="143"/>
      <c r="AL8685" s="144"/>
      <c r="AM8685" s="22"/>
      <c r="AN8685" s="149"/>
      <c r="AO8685" s="144"/>
      <c r="AP8685" s="148"/>
      <c r="AQ8685" s="144"/>
      <c r="AR8685" s="120"/>
      <c r="AS8685" s="121"/>
      <c r="AT8685" s="120"/>
      <c r="AU8685" s="121"/>
      <c r="AV8685" s="120"/>
      <c r="AW8685" s="121"/>
      <c r="AX8685" s="120"/>
      <c r="AY8685" s="121"/>
      <c r="AZ8685" s="138"/>
    </row>
    <row r="8686" spans="1:52" ht="17.100000000000001" customHeight="1" thickTop="1">
      <c r="A8686" s="109" t="s">
        <v>24716</v>
      </c>
      <c r="B8686" s="28">
        <v>46140</v>
      </c>
      <c r="C8686" s="25"/>
      <c r="D8686" s="13" t="s">
        <v>2838</v>
      </c>
      <c r="E8686" s="111"/>
      <c r="F8686" s="113" t="s">
        <v>17864</v>
      </c>
      <c r="G8686" s="114"/>
      <c r="H8686" s="115"/>
      <c r="I8686" s="24" t="s">
        <v>24740</v>
      </c>
      <c r="J8686" s="116">
        <v>4.5</v>
      </c>
      <c r="K8686" s="118">
        <v>5200000</v>
      </c>
      <c r="L8686" s="119"/>
      <c r="M8686" s="118">
        <f t="shared" ref="M8686" si="13262">K8686*0.1</f>
        <v>520000</v>
      </c>
      <c r="N8686" s="119"/>
      <c r="O8686" s="118">
        <v>41600</v>
      </c>
      <c r="P8686" s="119"/>
      <c r="Q8686" s="118">
        <v>14230</v>
      </c>
      <c r="R8686" s="119"/>
      <c r="S8686" s="118">
        <v>0</v>
      </c>
      <c r="T8686" s="119"/>
      <c r="U8686" s="118">
        <f t="shared" ref="U8686" si="13263">SUM(K8686:T8687)</f>
        <v>5775830</v>
      </c>
      <c r="V8686" s="122"/>
      <c r="W8686" s="124"/>
      <c r="X8686" s="126" t="s">
        <v>25563</v>
      </c>
      <c r="Y8686" s="127"/>
      <c r="Z8686" s="127"/>
      <c r="AA8686" s="127"/>
      <c r="AB8686" s="128"/>
      <c r="AC8686" s="15" t="s">
        <v>20</v>
      </c>
      <c r="AD8686" s="129" t="s">
        <v>15223</v>
      </c>
      <c r="AE8686" s="130"/>
      <c r="AF8686" s="130"/>
      <c r="AG8686" s="130"/>
      <c r="AH8686" s="130"/>
      <c r="AI8686" s="131"/>
      <c r="AJ8686" s="132"/>
      <c r="AK8686" s="127"/>
      <c r="AL8686" s="128"/>
      <c r="AM8686" s="21"/>
      <c r="AN8686" s="133"/>
      <c r="AO8686" s="134"/>
      <c r="AP8686" s="135"/>
      <c r="AQ8686" s="136"/>
      <c r="AR8686" s="118"/>
      <c r="AS8686" s="119"/>
      <c r="AT8686" s="118">
        <f t="shared" ref="AT8686" si="13264">AR8686*0.1</f>
        <v>0</v>
      </c>
      <c r="AU8686" s="119"/>
      <c r="AV8686" s="118"/>
      <c r="AW8686" s="119"/>
      <c r="AX8686" s="118">
        <f t="shared" ref="AX8686" si="13265">SUM(AR8686:AW8686)</f>
        <v>0</v>
      </c>
      <c r="AY8686" s="119"/>
      <c r="AZ8686" s="137"/>
    </row>
    <row r="8687" spans="1:52" ht="17.100000000000001" customHeight="1" thickBot="1">
      <c r="A8687" s="110"/>
      <c r="B8687" s="27" t="s">
        <v>1718</v>
      </c>
      <c r="C8687" s="27" t="s">
        <v>24720</v>
      </c>
      <c r="D8687" s="14" t="s">
        <v>1592</v>
      </c>
      <c r="E8687" s="112"/>
      <c r="F8687" s="139" t="s">
        <v>24721</v>
      </c>
      <c r="G8687" s="140"/>
      <c r="H8687" s="141"/>
      <c r="I8687" s="26">
        <v>4139</v>
      </c>
      <c r="J8687" s="117"/>
      <c r="K8687" s="120"/>
      <c r="L8687" s="121"/>
      <c r="M8687" s="120"/>
      <c r="N8687" s="121"/>
      <c r="O8687" s="120"/>
      <c r="P8687" s="121"/>
      <c r="Q8687" s="120"/>
      <c r="R8687" s="121"/>
      <c r="S8687" s="120"/>
      <c r="T8687" s="121"/>
      <c r="U8687" s="120"/>
      <c r="V8687" s="123"/>
      <c r="W8687" s="125"/>
      <c r="X8687" s="142" t="s">
        <v>25564</v>
      </c>
      <c r="Y8687" s="143"/>
      <c r="Z8687" s="143"/>
      <c r="AA8687" s="143"/>
      <c r="AB8687" s="144"/>
      <c r="AC8687" s="16" t="s">
        <v>21</v>
      </c>
      <c r="AD8687" s="17" t="s">
        <v>2413</v>
      </c>
      <c r="AE8687" s="145" t="s">
        <v>25565</v>
      </c>
      <c r="AF8687" s="146"/>
      <c r="AG8687" s="146"/>
      <c r="AH8687" s="146"/>
      <c r="AI8687" s="147"/>
      <c r="AJ8687" s="148"/>
      <c r="AK8687" s="143"/>
      <c r="AL8687" s="144"/>
      <c r="AM8687" s="22"/>
      <c r="AN8687" s="149"/>
      <c r="AO8687" s="144"/>
      <c r="AP8687" s="148"/>
      <c r="AQ8687" s="144"/>
      <c r="AR8687" s="120"/>
      <c r="AS8687" s="121"/>
      <c r="AT8687" s="120"/>
      <c r="AU8687" s="121"/>
      <c r="AV8687" s="120"/>
      <c r="AW8687" s="121"/>
      <c r="AX8687" s="120"/>
      <c r="AY8687" s="121"/>
      <c r="AZ8687" s="138"/>
    </row>
    <row r="8688" spans="1:52" ht="17.100000000000001" customHeight="1" thickTop="1">
      <c r="A8688" s="109" t="s">
        <v>24717</v>
      </c>
      <c r="B8688" s="28">
        <v>46141</v>
      </c>
      <c r="C8688" s="25">
        <v>1015</v>
      </c>
      <c r="D8688" s="13" t="s">
        <v>4609</v>
      </c>
      <c r="E8688" s="111"/>
      <c r="F8688" s="113" t="s">
        <v>24722</v>
      </c>
      <c r="G8688" s="114"/>
      <c r="H8688" s="115"/>
      <c r="I8688" s="24"/>
      <c r="J8688" s="116">
        <v>4</v>
      </c>
      <c r="K8688" s="118">
        <v>970000</v>
      </c>
      <c r="L8688" s="119"/>
      <c r="M8688" s="118">
        <f t="shared" ref="M8688" si="13266">K8688*0.1</f>
        <v>97000</v>
      </c>
      <c r="N8688" s="119"/>
      <c r="O8688" s="118">
        <v>0</v>
      </c>
      <c r="P8688" s="119"/>
      <c r="Q8688" s="118">
        <v>13860</v>
      </c>
      <c r="R8688" s="119"/>
      <c r="S8688" s="118">
        <v>12100</v>
      </c>
      <c r="T8688" s="119"/>
      <c r="U8688" s="118">
        <f t="shared" ref="U8688" si="13267">SUM(K8688:T8689)</f>
        <v>1092960</v>
      </c>
      <c r="V8688" s="122"/>
      <c r="W8688" s="124"/>
      <c r="X8688" s="126" t="s">
        <v>25558</v>
      </c>
      <c r="Y8688" s="127"/>
      <c r="Z8688" s="127"/>
      <c r="AA8688" s="127"/>
      <c r="AB8688" s="128"/>
      <c r="AC8688" s="15" t="s">
        <v>20</v>
      </c>
      <c r="AD8688" s="129"/>
      <c r="AE8688" s="130"/>
      <c r="AF8688" s="130"/>
      <c r="AG8688" s="130"/>
      <c r="AH8688" s="130"/>
      <c r="AI8688" s="131"/>
      <c r="AJ8688" s="132"/>
      <c r="AK8688" s="127"/>
      <c r="AL8688" s="128"/>
      <c r="AM8688" s="21"/>
      <c r="AN8688" s="133"/>
      <c r="AO8688" s="134"/>
      <c r="AP8688" s="135"/>
      <c r="AQ8688" s="136"/>
      <c r="AR8688" s="118"/>
      <c r="AS8688" s="119"/>
      <c r="AT8688" s="118">
        <f t="shared" ref="AT8688" si="13268">AR8688*0.1</f>
        <v>0</v>
      </c>
      <c r="AU8688" s="119"/>
      <c r="AV8688" s="118"/>
      <c r="AW8688" s="119"/>
      <c r="AX8688" s="118">
        <f t="shared" ref="AX8688" si="13269">SUM(AR8688:AW8688)</f>
        <v>0</v>
      </c>
      <c r="AY8688" s="119"/>
      <c r="AZ8688" s="137"/>
    </row>
    <row r="8689" spans="1:52" ht="17.100000000000001" customHeight="1" thickBot="1">
      <c r="A8689" s="110"/>
      <c r="B8689" s="27" t="s">
        <v>2794</v>
      </c>
      <c r="C8689" s="27">
        <v>1187</v>
      </c>
      <c r="D8689" s="14" t="s">
        <v>2601</v>
      </c>
      <c r="E8689" s="112"/>
      <c r="F8689" s="139" t="s">
        <v>24723</v>
      </c>
      <c r="G8689" s="140"/>
      <c r="H8689" s="141"/>
      <c r="I8689" s="26">
        <v>147734</v>
      </c>
      <c r="J8689" s="117"/>
      <c r="K8689" s="120"/>
      <c r="L8689" s="121"/>
      <c r="M8689" s="120"/>
      <c r="N8689" s="121"/>
      <c r="O8689" s="120"/>
      <c r="P8689" s="121"/>
      <c r="Q8689" s="120"/>
      <c r="R8689" s="121"/>
      <c r="S8689" s="120"/>
      <c r="T8689" s="121"/>
      <c r="U8689" s="120"/>
      <c r="V8689" s="123"/>
      <c r="W8689" s="125"/>
      <c r="X8689" s="142" t="s">
        <v>1997</v>
      </c>
      <c r="Y8689" s="143"/>
      <c r="Z8689" s="143"/>
      <c r="AA8689" s="143"/>
      <c r="AB8689" s="144"/>
      <c r="AC8689" s="16" t="s">
        <v>21</v>
      </c>
      <c r="AD8689" s="17" t="s">
        <v>2413</v>
      </c>
      <c r="AE8689" s="145" t="s">
        <v>2051</v>
      </c>
      <c r="AF8689" s="146"/>
      <c r="AG8689" s="146"/>
      <c r="AH8689" s="146"/>
      <c r="AI8689" s="147"/>
      <c r="AJ8689" s="148"/>
      <c r="AK8689" s="143"/>
      <c r="AL8689" s="144"/>
      <c r="AM8689" s="22"/>
      <c r="AN8689" s="149"/>
      <c r="AO8689" s="144"/>
      <c r="AP8689" s="148"/>
      <c r="AQ8689" s="144"/>
      <c r="AR8689" s="120"/>
      <c r="AS8689" s="121"/>
      <c r="AT8689" s="120"/>
      <c r="AU8689" s="121"/>
      <c r="AV8689" s="120"/>
      <c r="AW8689" s="121"/>
      <c r="AX8689" s="120"/>
      <c r="AY8689" s="121"/>
      <c r="AZ8689" s="138"/>
    </row>
    <row r="8690" spans="1:52" ht="17.100000000000001" customHeight="1" thickTop="1">
      <c r="A8690" s="109" t="s">
        <v>24718</v>
      </c>
      <c r="B8690" s="28">
        <v>46141</v>
      </c>
      <c r="C8690" s="25">
        <v>1015</v>
      </c>
      <c r="D8690" s="13" t="s">
        <v>2465</v>
      </c>
      <c r="E8690" s="111"/>
      <c r="F8690" s="113" t="s">
        <v>16059</v>
      </c>
      <c r="G8690" s="114"/>
      <c r="H8690" s="115"/>
      <c r="I8690" s="24"/>
      <c r="J8690" s="116">
        <v>4.5</v>
      </c>
      <c r="K8690" s="118">
        <v>1980000</v>
      </c>
      <c r="L8690" s="119"/>
      <c r="M8690" s="118">
        <f t="shared" ref="M8690" si="13270">K8690*0.1</f>
        <v>198000</v>
      </c>
      <c r="N8690" s="119"/>
      <c r="O8690" s="118">
        <v>0</v>
      </c>
      <c r="P8690" s="119"/>
      <c r="Q8690" s="118">
        <v>17700</v>
      </c>
      <c r="R8690" s="119"/>
      <c r="S8690" s="118">
        <v>12100</v>
      </c>
      <c r="T8690" s="119"/>
      <c r="U8690" s="118">
        <f t="shared" ref="U8690" si="13271">SUM(K8690:T8691)</f>
        <v>2207800</v>
      </c>
      <c r="V8690" s="122"/>
      <c r="W8690" s="124"/>
      <c r="X8690" s="126" t="s">
        <v>25551</v>
      </c>
      <c r="Y8690" s="127"/>
      <c r="Z8690" s="127"/>
      <c r="AA8690" s="127"/>
      <c r="AB8690" s="128"/>
      <c r="AC8690" s="15" t="s">
        <v>20</v>
      </c>
      <c r="AD8690" s="129" t="s">
        <v>24742</v>
      </c>
      <c r="AE8690" s="130"/>
      <c r="AF8690" s="130"/>
      <c r="AG8690" s="130"/>
      <c r="AH8690" s="130"/>
      <c r="AI8690" s="131"/>
      <c r="AJ8690" s="132"/>
      <c r="AK8690" s="127"/>
      <c r="AL8690" s="128"/>
      <c r="AM8690" s="21"/>
      <c r="AN8690" s="133"/>
      <c r="AO8690" s="134"/>
      <c r="AP8690" s="135"/>
      <c r="AQ8690" s="136"/>
      <c r="AR8690" s="118"/>
      <c r="AS8690" s="119"/>
      <c r="AT8690" s="118">
        <f t="shared" ref="AT8690" si="13272">AR8690*0.1</f>
        <v>0</v>
      </c>
      <c r="AU8690" s="119"/>
      <c r="AV8690" s="118"/>
      <c r="AW8690" s="119"/>
      <c r="AX8690" s="118">
        <f t="shared" ref="AX8690" si="13273">SUM(AR8690:AW8690)</f>
        <v>0</v>
      </c>
      <c r="AY8690" s="119"/>
      <c r="AZ8690" s="137"/>
    </row>
    <row r="8691" spans="1:52" ht="17.100000000000001" customHeight="1" thickBot="1">
      <c r="A8691" s="110"/>
      <c r="B8691" s="27" t="s">
        <v>2794</v>
      </c>
      <c r="C8691" s="27">
        <v>1328</v>
      </c>
      <c r="D8691" s="14" t="s">
        <v>133</v>
      </c>
      <c r="E8691" s="112"/>
      <c r="F8691" s="139" t="s">
        <v>24741</v>
      </c>
      <c r="G8691" s="140"/>
      <c r="H8691" s="141"/>
      <c r="I8691" s="26">
        <v>35470</v>
      </c>
      <c r="J8691" s="117"/>
      <c r="K8691" s="120"/>
      <c r="L8691" s="121"/>
      <c r="M8691" s="120"/>
      <c r="N8691" s="121"/>
      <c r="O8691" s="120"/>
      <c r="P8691" s="121"/>
      <c r="Q8691" s="120"/>
      <c r="R8691" s="121"/>
      <c r="S8691" s="120"/>
      <c r="T8691" s="121"/>
      <c r="U8691" s="120"/>
      <c r="V8691" s="123"/>
      <c r="W8691" s="125"/>
      <c r="X8691" s="142" t="s">
        <v>25552</v>
      </c>
      <c r="Y8691" s="143"/>
      <c r="Z8691" s="143"/>
      <c r="AA8691" s="143"/>
      <c r="AB8691" s="144"/>
      <c r="AC8691" s="16" t="s">
        <v>21</v>
      </c>
      <c r="AD8691" s="17" t="s">
        <v>2413</v>
      </c>
      <c r="AE8691" s="145" t="s">
        <v>25553</v>
      </c>
      <c r="AF8691" s="146"/>
      <c r="AG8691" s="146"/>
      <c r="AH8691" s="146"/>
      <c r="AI8691" s="147"/>
      <c r="AJ8691" s="148"/>
      <c r="AK8691" s="143"/>
      <c r="AL8691" s="144"/>
      <c r="AM8691" s="22"/>
      <c r="AN8691" s="149"/>
      <c r="AO8691" s="144"/>
      <c r="AP8691" s="148"/>
      <c r="AQ8691" s="144"/>
      <c r="AR8691" s="120"/>
      <c r="AS8691" s="121"/>
      <c r="AT8691" s="120"/>
      <c r="AU8691" s="121"/>
      <c r="AV8691" s="120"/>
      <c r="AW8691" s="121"/>
      <c r="AX8691" s="120"/>
      <c r="AY8691" s="121"/>
      <c r="AZ8691" s="138"/>
    </row>
    <row r="8692" spans="1:52" ht="17.100000000000001" customHeight="1" thickTop="1">
      <c r="A8692" s="109" t="s">
        <v>24719</v>
      </c>
      <c r="B8692" s="28">
        <v>46141</v>
      </c>
      <c r="C8692" s="25"/>
      <c r="D8692" s="13" t="s">
        <v>2759</v>
      </c>
      <c r="E8692" s="111"/>
      <c r="F8692" s="113" t="s">
        <v>24743</v>
      </c>
      <c r="G8692" s="114"/>
      <c r="H8692" s="115"/>
      <c r="I8692" s="24" t="s">
        <v>5124</v>
      </c>
      <c r="J8692" s="116">
        <v>4</v>
      </c>
      <c r="K8692" s="118">
        <v>2005000</v>
      </c>
      <c r="L8692" s="119"/>
      <c r="M8692" s="118">
        <f t="shared" ref="M8692" si="13274">K8692*0.1</f>
        <v>200500</v>
      </c>
      <c r="N8692" s="119"/>
      <c r="O8692" s="118">
        <v>30000</v>
      </c>
      <c r="P8692" s="119"/>
      <c r="Q8692" s="118">
        <v>12470</v>
      </c>
      <c r="R8692" s="119"/>
      <c r="S8692" s="118">
        <v>0</v>
      </c>
      <c r="T8692" s="119"/>
      <c r="U8692" s="118">
        <f t="shared" ref="U8692" si="13275">SUM(K8692:T8693)</f>
        <v>2247970</v>
      </c>
      <c r="V8692" s="122"/>
      <c r="W8692" s="124"/>
      <c r="X8692" s="126"/>
      <c r="Y8692" s="127"/>
      <c r="Z8692" s="127"/>
      <c r="AA8692" s="127"/>
      <c r="AB8692" s="128"/>
      <c r="AC8692" s="15" t="s">
        <v>20</v>
      </c>
      <c r="AD8692" s="129" t="s">
        <v>15223</v>
      </c>
      <c r="AE8692" s="130"/>
      <c r="AF8692" s="130"/>
      <c r="AG8692" s="130"/>
      <c r="AH8692" s="130"/>
      <c r="AI8692" s="131"/>
      <c r="AJ8692" s="132"/>
      <c r="AK8692" s="127"/>
      <c r="AL8692" s="128"/>
      <c r="AM8692" s="21"/>
      <c r="AN8692" s="133"/>
      <c r="AO8692" s="134"/>
      <c r="AP8692" s="135"/>
      <c r="AQ8692" s="136"/>
      <c r="AR8692" s="118"/>
      <c r="AS8692" s="119"/>
      <c r="AT8692" s="118">
        <f t="shared" ref="AT8692" si="13276">AR8692*0.1</f>
        <v>0</v>
      </c>
      <c r="AU8692" s="119"/>
      <c r="AV8692" s="118"/>
      <c r="AW8692" s="119"/>
      <c r="AX8692" s="118">
        <f t="shared" ref="AX8692" si="13277">SUM(AR8692:AW8692)</f>
        <v>0</v>
      </c>
      <c r="AY8692" s="119"/>
      <c r="AZ8692" s="137"/>
    </row>
    <row r="8693" spans="1:52" ht="17.100000000000001" customHeight="1" thickBot="1">
      <c r="A8693" s="110"/>
      <c r="B8693" s="27" t="s">
        <v>1718</v>
      </c>
      <c r="C8693" s="27" t="s">
        <v>24724</v>
      </c>
      <c r="D8693" s="14" t="s">
        <v>2601</v>
      </c>
      <c r="E8693" s="112"/>
      <c r="F8693" s="139" t="s">
        <v>24725</v>
      </c>
      <c r="G8693" s="140"/>
      <c r="H8693" s="141"/>
      <c r="I8693" s="26">
        <v>46107</v>
      </c>
      <c r="J8693" s="117"/>
      <c r="K8693" s="120"/>
      <c r="L8693" s="121"/>
      <c r="M8693" s="120"/>
      <c r="N8693" s="121"/>
      <c r="O8693" s="120"/>
      <c r="P8693" s="121"/>
      <c r="Q8693" s="120"/>
      <c r="R8693" s="121"/>
      <c r="S8693" s="120"/>
      <c r="T8693" s="121"/>
      <c r="U8693" s="120"/>
      <c r="V8693" s="123"/>
      <c r="W8693" s="125"/>
      <c r="X8693" s="142"/>
      <c r="Y8693" s="143"/>
      <c r="Z8693" s="143"/>
      <c r="AA8693" s="143"/>
      <c r="AB8693" s="144"/>
      <c r="AC8693" s="16" t="s">
        <v>21</v>
      </c>
      <c r="AD8693" s="17"/>
      <c r="AE8693" s="145"/>
      <c r="AF8693" s="146"/>
      <c r="AG8693" s="146"/>
      <c r="AH8693" s="146"/>
      <c r="AI8693" s="147"/>
      <c r="AJ8693" s="148"/>
      <c r="AK8693" s="143"/>
      <c r="AL8693" s="144"/>
      <c r="AM8693" s="22"/>
      <c r="AN8693" s="149"/>
      <c r="AO8693" s="144"/>
      <c r="AP8693" s="148"/>
      <c r="AQ8693" s="144"/>
      <c r="AR8693" s="120"/>
      <c r="AS8693" s="121"/>
      <c r="AT8693" s="120"/>
      <c r="AU8693" s="121"/>
      <c r="AV8693" s="120"/>
      <c r="AW8693" s="121"/>
      <c r="AX8693" s="120"/>
      <c r="AY8693" s="121"/>
      <c r="AZ8693" s="138"/>
    </row>
    <row r="8694" spans="1:52" ht="17.100000000000001" customHeight="1" thickTop="1">
      <c r="A8694" s="109" t="s">
        <v>24745</v>
      </c>
      <c r="B8694" s="28">
        <v>46141</v>
      </c>
      <c r="C8694" s="25">
        <v>1329</v>
      </c>
      <c r="D8694" s="13" t="s">
        <v>3550</v>
      </c>
      <c r="E8694" s="111"/>
      <c r="F8694" s="113" t="s">
        <v>24747</v>
      </c>
      <c r="G8694" s="114"/>
      <c r="H8694" s="115"/>
      <c r="I8694" s="24" t="s">
        <v>8224</v>
      </c>
      <c r="J8694" s="116">
        <v>4</v>
      </c>
      <c r="K8694" s="118">
        <v>3127000</v>
      </c>
      <c r="L8694" s="119"/>
      <c r="M8694" s="118">
        <f t="shared" ref="M8694" si="13278">K8694*0.1</f>
        <v>312700</v>
      </c>
      <c r="N8694" s="119"/>
      <c r="O8694" s="118">
        <f>45800+4580</f>
        <v>50380</v>
      </c>
      <c r="P8694" s="119"/>
      <c r="Q8694" s="118">
        <v>26470</v>
      </c>
      <c r="R8694" s="119"/>
      <c r="S8694" s="118">
        <v>15400</v>
      </c>
      <c r="T8694" s="119"/>
      <c r="U8694" s="118">
        <f t="shared" ref="U8694" si="13279">SUM(K8694:T8695)</f>
        <v>3531950</v>
      </c>
      <c r="V8694" s="122"/>
      <c r="W8694" s="124"/>
      <c r="X8694" s="126" t="s">
        <v>25165</v>
      </c>
      <c r="Y8694" s="127"/>
      <c r="Z8694" s="127"/>
      <c r="AA8694" s="127"/>
      <c r="AB8694" s="128"/>
      <c r="AC8694" s="15" t="s">
        <v>20</v>
      </c>
      <c r="AD8694" s="129"/>
      <c r="AE8694" s="130"/>
      <c r="AF8694" s="130"/>
      <c r="AG8694" s="130"/>
      <c r="AH8694" s="130"/>
      <c r="AI8694" s="131"/>
      <c r="AJ8694" s="132"/>
      <c r="AK8694" s="127"/>
      <c r="AL8694" s="128"/>
      <c r="AM8694" s="21" t="s">
        <v>25963</v>
      </c>
      <c r="AN8694" s="133"/>
      <c r="AO8694" s="134"/>
      <c r="AP8694" s="135"/>
      <c r="AQ8694" s="136"/>
      <c r="AR8694" s="118"/>
      <c r="AS8694" s="119"/>
      <c r="AT8694" s="118">
        <f t="shared" ref="AT8694" si="13280">AR8694*0.1</f>
        <v>0</v>
      </c>
      <c r="AU8694" s="119"/>
      <c r="AV8694" s="118"/>
      <c r="AW8694" s="119"/>
      <c r="AX8694" s="118">
        <f t="shared" ref="AX8694" si="13281">SUM(AR8694:AW8694)</f>
        <v>0</v>
      </c>
      <c r="AY8694" s="119"/>
      <c r="AZ8694" s="137"/>
    </row>
    <row r="8695" spans="1:52" ht="17.100000000000001" customHeight="1" thickBot="1">
      <c r="A8695" s="110"/>
      <c r="B8695" s="27" t="s">
        <v>5292</v>
      </c>
      <c r="C8695" s="27">
        <v>3097</v>
      </c>
      <c r="D8695" s="14" t="s">
        <v>133</v>
      </c>
      <c r="E8695" s="112"/>
      <c r="F8695" s="139" t="s">
        <v>24746</v>
      </c>
      <c r="G8695" s="140"/>
      <c r="H8695" s="141"/>
      <c r="I8695" s="26">
        <v>44287</v>
      </c>
      <c r="J8695" s="117"/>
      <c r="K8695" s="120"/>
      <c r="L8695" s="121"/>
      <c r="M8695" s="120"/>
      <c r="N8695" s="121"/>
      <c r="O8695" s="120"/>
      <c r="P8695" s="121"/>
      <c r="Q8695" s="120"/>
      <c r="R8695" s="121"/>
      <c r="S8695" s="120"/>
      <c r="T8695" s="121"/>
      <c r="U8695" s="120"/>
      <c r="V8695" s="123"/>
      <c r="W8695" s="125"/>
      <c r="X8695" s="142" t="s">
        <v>2321</v>
      </c>
      <c r="Y8695" s="143"/>
      <c r="Z8695" s="143"/>
      <c r="AA8695" s="143"/>
      <c r="AB8695" s="144"/>
      <c r="AC8695" s="16" t="s">
        <v>21</v>
      </c>
      <c r="AD8695" s="17" t="s">
        <v>2009</v>
      </c>
      <c r="AE8695" s="145" t="s">
        <v>25611</v>
      </c>
      <c r="AF8695" s="146"/>
      <c r="AG8695" s="146"/>
      <c r="AH8695" s="146"/>
      <c r="AI8695" s="147"/>
      <c r="AJ8695" s="148"/>
      <c r="AK8695" s="143"/>
      <c r="AL8695" s="144"/>
      <c r="AM8695" s="22"/>
      <c r="AN8695" s="149"/>
      <c r="AO8695" s="144"/>
      <c r="AP8695" s="148"/>
      <c r="AQ8695" s="144"/>
      <c r="AR8695" s="120"/>
      <c r="AS8695" s="121"/>
      <c r="AT8695" s="120"/>
      <c r="AU8695" s="121"/>
      <c r="AV8695" s="120"/>
      <c r="AW8695" s="121"/>
      <c r="AX8695" s="120"/>
      <c r="AY8695" s="121"/>
      <c r="AZ8695" s="138"/>
    </row>
    <row r="8696" spans="1:52" ht="17.100000000000001" customHeight="1" thickTop="1">
      <c r="A8696" s="109" t="s">
        <v>24764</v>
      </c>
      <c r="B8696" s="28">
        <v>46141</v>
      </c>
      <c r="C8696" s="25"/>
      <c r="D8696" s="13" t="s">
        <v>2963</v>
      </c>
      <c r="E8696" s="111"/>
      <c r="F8696" s="113" t="s">
        <v>24765</v>
      </c>
      <c r="G8696" s="114"/>
      <c r="H8696" s="115"/>
      <c r="I8696" s="24" t="s">
        <v>5100</v>
      </c>
      <c r="J8696" s="116"/>
      <c r="K8696" s="118">
        <v>3200000</v>
      </c>
      <c r="L8696" s="119"/>
      <c r="M8696" s="118">
        <v>0</v>
      </c>
      <c r="N8696" s="119"/>
      <c r="O8696" s="118">
        <v>0</v>
      </c>
      <c r="P8696" s="119"/>
      <c r="Q8696" s="118">
        <v>0</v>
      </c>
      <c r="R8696" s="119"/>
      <c r="S8696" s="118">
        <v>0</v>
      </c>
      <c r="T8696" s="119"/>
      <c r="U8696" s="118">
        <f t="shared" ref="U8696" si="13282">SUM(K8696:T8697)</f>
        <v>3200000</v>
      </c>
      <c r="V8696" s="122"/>
      <c r="W8696" s="124"/>
      <c r="X8696" s="126" t="s">
        <v>24767</v>
      </c>
      <c r="Y8696" s="127"/>
      <c r="Z8696" s="127"/>
      <c r="AA8696" s="127"/>
      <c r="AB8696" s="128"/>
      <c r="AC8696" s="15" t="s">
        <v>20</v>
      </c>
      <c r="AD8696" s="129"/>
      <c r="AE8696" s="130"/>
      <c r="AF8696" s="130"/>
      <c r="AG8696" s="130"/>
      <c r="AH8696" s="130"/>
      <c r="AI8696" s="131"/>
      <c r="AJ8696" s="132"/>
      <c r="AK8696" s="127"/>
      <c r="AL8696" s="128"/>
      <c r="AM8696" s="21"/>
      <c r="AN8696" s="133"/>
      <c r="AO8696" s="134"/>
      <c r="AP8696" s="135"/>
      <c r="AQ8696" s="136"/>
      <c r="AR8696" s="118"/>
      <c r="AS8696" s="119"/>
      <c r="AT8696" s="118">
        <f t="shared" ref="AT8696" si="13283">AR8696*0.1</f>
        <v>0</v>
      </c>
      <c r="AU8696" s="119"/>
      <c r="AV8696" s="118"/>
      <c r="AW8696" s="119"/>
      <c r="AX8696" s="118">
        <f t="shared" ref="AX8696" si="13284">SUM(AR8696:AW8696)</f>
        <v>0</v>
      </c>
      <c r="AY8696" s="119"/>
      <c r="AZ8696" s="137"/>
    </row>
    <row r="8697" spans="1:52" ht="17.100000000000001" customHeight="1" thickBot="1">
      <c r="A8697" s="110"/>
      <c r="B8697" s="27" t="s">
        <v>8454</v>
      </c>
      <c r="C8697" s="27"/>
      <c r="D8697" s="14"/>
      <c r="E8697" s="112"/>
      <c r="F8697" s="139" t="s">
        <v>24766</v>
      </c>
      <c r="G8697" s="140"/>
      <c r="H8697" s="141"/>
      <c r="I8697" s="26"/>
      <c r="J8697" s="117"/>
      <c r="K8697" s="120"/>
      <c r="L8697" s="121"/>
      <c r="M8697" s="120"/>
      <c r="N8697" s="121"/>
      <c r="O8697" s="120"/>
      <c r="P8697" s="121"/>
      <c r="Q8697" s="120"/>
      <c r="R8697" s="121"/>
      <c r="S8697" s="120"/>
      <c r="T8697" s="121"/>
      <c r="U8697" s="120"/>
      <c r="V8697" s="123"/>
      <c r="W8697" s="125"/>
      <c r="X8697" s="142" t="s">
        <v>24768</v>
      </c>
      <c r="Y8697" s="143"/>
      <c r="Z8697" s="143"/>
      <c r="AA8697" s="143"/>
      <c r="AB8697" s="144"/>
      <c r="AC8697" s="16" t="s">
        <v>21</v>
      </c>
      <c r="AD8697" s="17" t="s">
        <v>1957</v>
      </c>
      <c r="AE8697" s="145" t="s">
        <v>1945</v>
      </c>
      <c r="AF8697" s="146"/>
      <c r="AG8697" s="146"/>
      <c r="AH8697" s="146"/>
      <c r="AI8697" s="147"/>
      <c r="AJ8697" s="148"/>
      <c r="AK8697" s="143"/>
      <c r="AL8697" s="144"/>
      <c r="AM8697" s="22"/>
      <c r="AN8697" s="149"/>
      <c r="AO8697" s="144"/>
      <c r="AP8697" s="148"/>
      <c r="AQ8697" s="144"/>
      <c r="AR8697" s="120"/>
      <c r="AS8697" s="121"/>
      <c r="AT8697" s="120"/>
      <c r="AU8697" s="121"/>
      <c r="AV8697" s="120"/>
      <c r="AW8697" s="121"/>
      <c r="AX8697" s="120"/>
      <c r="AY8697" s="121"/>
      <c r="AZ8697" s="138"/>
    </row>
    <row r="8698" spans="1:52" ht="17.100000000000001" customHeight="1" thickTop="1">
      <c r="A8698" s="109" t="s">
        <v>24815</v>
      </c>
      <c r="B8698" s="28">
        <v>46141</v>
      </c>
      <c r="C8698" s="25">
        <v>1836</v>
      </c>
      <c r="D8698" s="13" t="s">
        <v>24824</v>
      </c>
      <c r="E8698" s="111"/>
      <c r="F8698" s="113" t="s">
        <v>24825</v>
      </c>
      <c r="G8698" s="114"/>
      <c r="H8698" s="115"/>
      <c r="I8698" s="24" t="s">
        <v>24826</v>
      </c>
      <c r="J8698" s="116">
        <v>4</v>
      </c>
      <c r="K8698" s="118">
        <v>1085000</v>
      </c>
      <c r="L8698" s="119"/>
      <c r="M8698" s="118">
        <f t="shared" ref="M8698" si="13285">K8698*0.1</f>
        <v>108500</v>
      </c>
      <c r="N8698" s="119"/>
      <c r="O8698" s="118">
        <f>36200+3620</f>
        <v>39820</v>
      </c>
      <c r="P8698" s="119"/>
      <c r="Q8698" s="118">
        <v>12470</v>
      </c>
      <c r="R8698" s="119"/>
      <c r="S8698" s="118">
        <f>18500+1850</f>
        <v>20350</v>
      </c>
      <c r="T8698" s="119"/>
      <c r="U8698" s="118">
        <f t="shared" ref="U8698" si="13286">SUM(K8698:T8699)</f>
        <v>1266140</v>
      </c>
      <c r="V8698" s="122"/>
      <c r="W8698" s="124"/>
      <c r="X8698" s="126" t="s">
        <v>24827</v>
      </c>
      <c r="Y8698" s="127"/>
      <c r="Z8698" s="127"/>
      <c r="AA8698" s="127"/>
      <c r="AB8698" s="128"/>
      <c r="AC8698" s="15" t="s">
        <v>20</v>
      </c>
      <c r="AD8698" s="129"/>
      <c r="AE8698" s="130"/>
      <c r="AF8698" s="130"/>
      <c r="AG8698" s="130"/>
      <c r="AH8698" s="130"/>
      <c r="AI8698" s="131"/>
      <c r="AJ8698" s="132"/>
      <c r="AK8698" s="127"/>
      <c r="AL8698" s="128"/>
      <c r="AM8698" s="21" t="s">
        <v>25965</v>
      </c>
      <c r="AN8698" s="133"/>
      <c r="AO8698" s="134"/>
      <c r="AP8698" s="135"/>
      <c r="AQ8698" s="136"/>
      <c r="AR8698" s="118"/>
      <c r="AS8698" s="119"/>
      <c r="AT8698" s="118">
        <f t="shared" ref="AT8698" si="13287">AR8698*0.1</f>
        <v>0</v>
      </c>
      <c r="AU8698" s="119"/>
      <c r="AV8698" s="118"/>
      <c r="AW8698" s="119"/>
      <c r="AX8698" s="118">
        <f t="shared" ref="AX8698" si="13288">SUM(AR8698:AW8698)</f>
        <v>0</v>
      </c>
      <c r="AY8698" s="119"/>
      <c r="AZ8698" s="137"/>
    </row>
    <row r="8699" spans="1:52" ht="17.100000000000001" customHeight="1" thickBot="1">
      <c r="A8699" s="110"/>
      <c r="B8699" s="27" t="s">
        <v>24839</v>
      </c>
      <c r="C8699" s="27">
        <v>30227</v>
      </c>
      <c r="D8699" s="14" t="s">
        <v>2601</v>
      </c>
      <c r="E8699" s="112"/>
      <c r="F8699" s="139" t="s">
        <v>24820</v>
      </c>
      <c r="G8699" s="140"/>
      <c r="H8699" s="141"/>
      <c r="I8699" s="26">
        <v>100168</v>
      </c>
      <c r="J8699" s="117"/>
      <c r="K8699" s="120"/>
      <c r="L8699" s="121"/>
      <c r="M8699" s="120"/>
      <c r="N8699" s="121"/>
      <c r="O8699" s="120"/>
      <c r="P8699" s="121"/>
      <c r="Q8699" s="120"/>
      <c r="R8699" s="121"/>
      <c r="S8699" s="120"/>
      <c r="T8699" s="121"/>
      <c r="U8699" s="120"/>
      <c r="V8699" s="123"/>
      <c r="W8699" s="125"/>
      <c r="X8699" s="142" t="s">
        <v>1997</v>
      </c>
      <c r="Y8699" s="143"/>
      <c r="Z8699" s="143"/>
      <c r="AA8699" s="143"/>
      <c r="AB8699" s="144"/>
      <c r="AC8699" s="16" t="s">
        <v>21</v>
      </c>
      <c r="AD8699" s="17" t="s">
        <v>2066</v>
      </c>
      <c r="AE8699" s="145"/>
      <c r="AF8699" s="146"/>
      <c r="AG8699" s="146"/>
      <c r="AH8699" s="146"/>
      <c r="AI8699" s="147"/>
      <c r="AJ8699" s="148"/>
      <c r="AK8699" s="143"/>
      <c r="AL8699" s="144"/>
      <c r="AM8699" s="22"/>
      <c r="AN8699" s="149"/>
      <c r="AO8699" s="144"/>
      <c r="AP8699" s="148"/>
      <c r="AQ8699" s="144"/>
      <c r="AR8699" s="120"/>
      <c r="AS8699" s="121"/>
      <c r="AT8699" s="120"/>
      <c r="AU8699" s="121"/>
      <c r="AV8699" s="120"/>
      <c r="AW8699" s="121"/>
      <c r="AX8699" s="120"/>
      <c r="AY8699" s="121"/>
      <c r="AZ8699" s="138"/>
    </row>
    <row r="8700" spans="1:52" ht="17.100000000000001" customHeight="1" thickTop="1">
      <c r="A8700" s="109" t="s">
        <v>24816</v>
      </c>
      <c r="B8700" s="28">
        <v>46141</v>
      </c>
      <c r="C8700" s="25">
        <v>1836</v>
      </c>
      <c r="D8700" s="13" t="s">
        <v>24828</v>
      </c>
      <c r="E8700" s="111"/>
      <c r="F8700" s="113" t="s">
        <v>24830</v>
      </c>
      <c r="G8700" s="114"/>
      <c r="H8700" s="115"/>
      <c r="I8700" s="24"/>
      <c r="J8700" s="116">
        <v>4</v>
      </c>
      <c r="K8700" s="118">
        <v>985000</v>
      </c>
      <c r="L8700" s="119"/>
      <c r="M8700" s="118">
        <f t="shared" ref="M8700" si="13289">K8700*0.1</f>
        <v>98500</v>
      </c>
      <c r="N8700" s="119"/>
      <c r="O8700" s="118">
        <v>0</v>
      </c>
      <c r="P8700" s="119"/>
      <c r="Q8700" s="118">
        <v>9750</v>
      </c>
      <c r="R8700" s="119"/>
      <c r="S8700" s="118">
        <v>20350</v>
      </c>
      <c r="T8700" s="119"/>
      <c r="U8700" s="118">
        <f t="shared" ref="U8700" si="13290">SUM(K8700:T8701)</f>
        <v>1113600</v>
      </c>
      <c r="V8700" s="122"/>
      <c r="W8700" s="124"/>
      <c r="X8700" s="126" t="s">
        <v>25157</v>
      </c>
      <c r="Y8700" s="127"/>
      <c r="Z8700" s="127"/>
      <c r="AA8700" s="127"/>
      <c r="AB8700" s="128"/>
      <c r="AC8700" s="15" t="s">
        <v>20</v>
      </c>
      <c r="AD8700" s="129" t="s">
        <v>24832</v>
      </c>
      <c r="AE8700" s="130"/>
      <c r="AF8700" s="130"/>
      <c r="AG8700" s="130"/>
      <c r="AH8700" s="130"/>
      <c r="AI8700" s="131"/>
      <c r="AJ8700" s="132"/>
      <c r="AK8700" s="127"/>
      <c r="AL8700" s="128"/>
      <c r="AM8700" s="21"/>
      <c r="AN8700" s="133"/>
      <c r="AO8700" s="134"/>
      <c r="AP8700" s="135"/>
      <c r="AQ8700" s="136"/>
      <c r="AR8700" s="118"/>
      <c r="AS8700" s="119"/>
      <c r="AT8700" s="118">
        <f t="shared" ref="AT8700" si="13291">AR8700*0.1</f>
        <v>0</v>
      </c>
      <c r="AU8700" s="119"/>
      <c r="AV8700" s="118"/>
      <c r="AW8700" s="119"/>
      <c r="AX8700" s="118">
        <f t="shared" ref="AX8700" si="13292">SUM(AR8700:AW8700)</f>
        <v>0</v>
      </c>
      <c r="AY8700" s="119"/>
      <c r="AZ8700" s="137"/>
    </row>
    <row r="8701" spans="1:52" ht="17.100000000000001" customHeight="1" thickBot="1">
      <c r="A8701" s="110"/>
      <c r="B8701" s="27" t="s">
        <v>24839</v>
      </c>
      <c r="C8701" s="27">
        <v>36209</v>
      </c>
      <c r="D8701" s="14" t="s">
        <v>24829</v>
      </c>
      <c r="E8701" s="112"/>
      <c r="F8701" s="139" t="s">
        <v>24821</v>
      </c>
      <c r="G8701" s="140"/>
      <c r="H8701" s="141"/>
      <c r="I8701" s="26">
        <v>58771</v>
      </c>
      <c r="J8701" s="117"/>
      <c r="K8701" s="120"/>
      <c r="L8701" s="121"/>
      <c r="M8701" s="120"/>
      <c r="N8701" s="121"/>
      <c r="O8701" s="120"/>
      <c r="P8701" s="121"/>
      <c r="Q8701" s="120"/>
      <c r="R8701" s="121"/>
      <c r="S8701" s="120"/>
      <c r="T8701" s="121"/>
      <c r="U8701" s="120"/>
      <c r="V8701" s="123"/>
      <c r="W8701" s="125"/>
      <c r="X8701" s="142" t="s">
        <v>8418</v>
      </c>
      <c r="Y8701" s="143"/>
      <c r="Z8701" s="143"/>
      <c r="AA8701" s="143"/>
      <c r="AB8701" s="144"/>
      <c r="AC8701" s="16" t="s">
        <v>21</v>
      </c>
      <c r="AD8701" s="17" t="s">
        <v>2009</v>
      </c>
      <c r="AE8701" s="145" t="s">
        <v>6911</v>
      </c>
      <c r="AF8701" s="146"/>
      <c r="AG8701" s="146"/>
      <c r="AH8701" s="146"/>
      <c r="AI8701" s="147"/>
      <c r="AJ8701" s="148"/>
      <c r="AK8701" s="143"/>
      <c r="AL8701" s="144"/>
      <c r="AM8701" s="22"/>
      <c r="AN8701" s="149"/>
      <c r="AO8701" s="144"/>
      <c r="AP8701" s="148"/>
      <c r="AQ8701" s="144"/>
      <c r="AR8701" s="120"/>
      <c r="AS8701" s="121"/>
      <c r="AT8701" s="120"/>
      <c r="AU8701" s="121"/>
      <c r="AV8701" s="120"/>
      <c r="AW8701" s="121"/>
      <c r="AX8701" s="120"/>
      <c r="AY8701" s="121"/>
      <c r="AZ8701" s="138"/>
    </row>
    <row r="8702" spans="1:52" ht="17.100000000000001" customHeight="1" thickTop="1">
      <c r="A8702" s="109" t="s">
        <v>24817</v>
      </c>
      <c r="B8702" s="28">
        <v>46141</v>
      </c>
      <c r="C8702" s="25">
        <v>1836</v>
      </c>
      <c r="D8702" s="13" t="s">
        <v>24833</v>
      </c>
      <c r="E8702" s="111"/>
      <c r="F8702" s="113" t="s">
        <v>3221</v>
      </c>
      <c r="G8702" s="114"/>
      <c r="H8702" s="115"/>
      <c r="I8702" s="24"/>
      <c r="J8702" s="116">
        <v>4.5</v>
      </c>
      <c r="K8702" s="118">
        <v>1105000</v>
      </c>
      <c r="L8702" s="119"/>
      <c r="M8702" s="118">
        <f t="shared" ref="M8702" si="13293">K8702*0.1</f>
        <v>110500</v>
      </c>
      <c r="N8702" s="119"/>
      <c r="O8702" s="118">
        <v>0</v>
      </c>
      <c r="P8702" s="119"/>
      <c r="Q8702" s="118">
        <v>19090</v>
      </c>
      <c r="R8702" s="119"/>
      <c r="S8702" s="118">
        <v>20350</v>
      </c>
      <c r="T8702" s="119"/>
      <c r="U8702" s="118">
        <f t="shared" ref="U8702" si="13294">SUM(K8702:T8703)</f>
        <v>1254940</v>
      </c>
      <c r="V8702" s="122"/>
      <c r="W8702" s="124"/>
      <c r="X8702" s="126" t="s">
        <v>25177</v>
      </c>
      <c r="Y8702" s="127"/>
      <c r="Z8702" s="127"/>
      <c r="AA8702" s="127"/>
      <c r="AB8702" s="128"/>
      <c r="AC8702" s="15" t="s">
        <v>20</v>
      </c>
      <c r="AD8702" s="129"/>
      <c r="AE8702" s="130"/>
      <c r="AF8702" s="130"/>
      <c r="AG8702" s="130"/>
      <c r="AH8702" s="130"/>
      <c r="AI8702" s="131"/>
      <c r="AJ8702" s="132"/>
      <c r="AK8702" s="127"/>
      <c r="AL8702" s="128"/>
      <c r="AM8702" s="21"/>
      <c r="AN8702" s="133"/>
      <c r="AO8702" s="134"/>
      <c r="AP8702" s="135"/>
      <c r="AQ8702" s="136"/>
      <c r="AR8702" s="118"/>
      <c r="AS8702" s="119"/>
      <c r="AT8702" s="118">
        <f t="shared" ref="AT8702" si="13295">AR8702*0.1</f>
        <v>0</v>
      </c>
      <c r="AU8702" s="119"/>
      <c r="AV8702" s="118"/>
      <c r="AW8702" s="119"/>
      <c r="AX8702" s="118">
        <f t="shared" ref="AX8702" si="13296">SUM(AR8702:AW8702)</f>
        <v>0</v>
      </c>
      <c r="AY8702" s="119"/>
      <c r="AZ8702" s="137"/>
    </row>
    <row r="8703" spans="1:52" ht="17.100000000000001" customHeight="1" thickBot="1">
      <c r="A8703" s="110"/>
      <c r="B8703" s="27" t="s">
        <v>24839</v>
      </c>
      <c r="C8703" s="27">
        <v>38167</v>
      </c>
      <c r="D8703" s="14" t="s">
        <v>24834</v>
      </c>
      <c r="E8703" s="112"/>
      <c r="F8703" s="139" t="s">
        <v>24822</v>
      </c>
      <c r="G8703" s="140"/>
      <c r="H8703" s="141"/>
      <c r="I8703" s="26">
        <v>65546</v>
      </c>
      <c r="J8703" s="117"/>
      <c r="K8703" s="120"/>
      <c r="L8703" s="121"/>
      <c r="M8703" s="120"/>
      <c r="N8703" s="121"/>
      <c r="O8703" s="120"/>
      <c r="P8703" s="121"/>
      <c r="Q8703" s="120"/>
      <c r="R8703" s="121"/>
      <c r="S8703" s="120"/>
      <c r="T8703" s="121"/>
      <c r="U8703" s="120"/>
      <c r="V8703" s="123"/>
      <c r="W8703" s="125"/>
      <c r="X8703" s="142" t="s">
        <v>1997</v>
      </c>
      <c r="Y8703" s="143"/>
      <c r="Z8703" s="143"/>
      <c r="AA8703" s="143"/>
      <c r="AB8703" s="144"/>
      <c r="AC8703" s="16" t="s">
        <v>21</v>
      </c>
      <c r="AD8703" s="17" t="s">
        <v>2066</v>
      </c>
      <c r="AE8703" s="145" t="s">
        <v>1742</v>
      </c>
      <c r="AF8703" s="146"/>
      <c r="AG8703" s="146"/>
      <c r="AH8703" s="146"/>
      <c r="AI8703" s="147"/>
      <c r="AJ8703" s="148"/>
      <c r="AK8703" s="143"/>
      <c r="AL8703" s="144"/>
      <c r="AM8703" s="22"/>
      <c r="AN8703" s="149"/>
      <c r="AO8703" s="144"/>
      <c r="AP8703" s="148"/>
      <c r="AQ8703" s="144"/>
      <c r="AR8703" s="120"/>
      <c r="AS8703" s="121"/>
      <c r="AT8703" s="120"/>
      <c r="AU8703" s="121"/>
      <c r="AV8703" s="120"/>
      <c r="AW8703" s="121"/>
      <c r="AX8703" s="120"/>
      <c r="AY8703" s="121"/>
      <c r="AZ8703" s="138"/>
    </row>
    <row r="8704" spans="1:52" ht="17.100000000000001" customHeight="1" thickTop="1">
      <c r="A8704" s="109" t="s">
        <v>24818</v>
      </c>
      <c r="B8704" s="28">
        <v>46141</v>
      </c>
      <c r="C8704" s="25">
        <v>1836</v>
      </c>
      <c r="D8704" s="13" t="s">
        <v>24835</v>
      </c>
      <c r="E8704" s="111"/>
      <c r="F8704" s="113" t="s">
        <v>24837</v>
      </c>
      <c r="G8704" s="114"/>
      <c r="H8704" s="115"/>
      <c r="I8704" s="24"/>
      <c r="J8704" s="116">
        <v>4.5</v>
      </c>
      <c r="K8704" s="118">
        <v>770000</v>
      </c>
      <c r="L8704" s="119"/>
      <c r="M8704" s="118">
        <f t="shared" ref="M8704" si="13297">K8704*0.1</f>
        <v>77000</v>
      </c>
      <c r="N8704" s="119"/>
      <c r="O8704" s="118">
        <v>0</v>
      </c>
      <c r="P8704" s="119"/>
      <c r="Q8704" s="118">
        <v>7440</v>
      </c>
      <c r="R8704" s="119"/>
      <c r="S8704" s="118">
        <f>17500+1750</f>
        <v>19250</v>
      </c>
      <c r="T8704" s="119"/>
      <c r="U8704" s="118">
        <f t="shared" ref="U8704" si="13298">SUM(K8704:T8705)</f>
        <v>873690</v>
      </c>
      <c r="V8704" s="122"/>
      <c r="W8704" s="124"/>
      <c r="X8704" s="126" t="s">
        <v>25289</v>
      </c>
      <c r="Y8704" s="127"/>
      <c r="Z8704" s="127"/>
      <c r="AA8704" s="127"/>
      <c r="AB8704" s="128"/>
      <c r="AC8704" s="15" t="s">
        <v>20</v>
      </c>
      <c r="AD8704" s="129" t="s">
        <v>24838</v>
      </c>
      <c r="AE8704" s="130"/>
      <c r="AF8704" s="130"/>
      <c r="AG8704" s="130"/>
      <c r="AH8704" s="130"/>
      <c r="AI8704" s="131"/>
      <c r="AJ8704" s="132"/>
      <c r="AK8704" s="127"/>
      <c r="AL8704" s="128"/>
      <c r="AM8704" s="21"/>
      <c r="AN8704" s="133">
        <v>46144</v>
      </c>
      <c r="AO8704" s="134"/>
      <c r="AP8704" s="135">
        <v>1299</v>
      </c>
      <c r="AQ8704" s="136"/>
      <c r="AR8704" s="118">
        <v>850000</v>
      </c>
      <c r="AS8704" s="119"/>
      <c r="AT8704" s="118">
        <f t="shared" ref="AT8704" si="13299">AR8704*0.1</f>
        <v>85000</v>
      </c>
      <c r="AU8704" s="119"/>
      <c r="AV8704" s="118">
        <v>7440</v>
      </c>
      <c r="AW8704" s="119"/>
      <c r="AX8704" s="118">
        <f t="shared" ref="AX8704" si="13300">SUM(AR8704:AW8704)</f>
        <v>942440</v>
      </c>
      <c r="AY8704" s="119"/>
      <c r="AZ8704" s="137">
        <v>46154</v>
      </c>
    </row>
    <row r="8705" spans="1:52" ht="17.100000000000001" customHeight="1" thickBot="1">
      <c r="A8705" s="110"/>
      <c r="B8705" s="27" t="s">
        <v>24839</v>
      </c>
      <c r="C8705" s="27">
        <v>40022</v>
      </c>
      <c r="D8705" s="14" t="s">
        <v>24836</v>
      </c>
      <c r="E8705" s="112"/>
      <c r="F8705" s="139" t="s">
        <v>24823</v>
      </c>
      <c r="G8705" s="140"/>
      <c r="H8705" s="141"/>
      <c r="I8705" s="26">
        <v>40194</v>
      </c>
      <c r="J8705" s="117"/>
      <c r="K8705" s="120"/>
      <c r="L8705" s="121"/>
      <c r="M8705" s="120"/>
      <c r="N8705" s="121"/>
      <c r="O8705" s="120"/>
      <c r="P8705" s="121"/>
      <c r="Q8705" s="120"/>
      <c r="R8705" s="121"/>
      <c r="S8705" s="120"/>
      <c r="T8705" s="121"/>
      <c r="U8705" s="120"/>
      <c r="V8705" s="123"/>
      <c r="W8705" s="125"/>
      <c r="X8705" s="142" t="s">
        <v>25273</v>
      </c>
      <c r="Y8705" s="143"/>
      <c r="Z8705" s="143"/>
      <c r="AA8705" s="143"/>
      <c r="AB8705" s="144"/>
      <c r="AC8705" s="16" t="s">
        <v>21</v>
      </c>
      <c r="AD8705" s="17" t="s">
        <v>25271</v>
      </c>
      <c r="AE8705" s="145" t="s">
        <v>11427</v>
      </c>
      <c r="AF8705" s="146"/>
      <c r="AG8705" s="146"/>
      <c r="AH8705" s="146"/>
      <c r="AI8705" s="147"/>
      <c r="AJ8705" s="148"/>
      <c r="AK8705" s="143"/>
      <c r="AL8705" s="144"/>
      <c r="AM8705" s="22"/>
      <c r="AN8705" s="149" t="s">
        <v>25047</v>
      </c>
      <c r="AO8705" s="144"/>
      <c r="AP8705" s="148">
        <v>41079</v>
      </c>
      <c r="AQ8705" s="144"/>
      <c r="AR8705" s="120"/>
      <c r="AS8705" s="121"/>
      <c r="AT8705" s="120"/>
      <c r="AU8705" s="121"/>
      <c r="AV8705" s="120"/>
      <c r="AW8705" s="121"/>
      <c r="AX8705" s="120"/>
      <c r="AY8705" s="121"/>
      <c r="AZ8705" s="138"/>
    </row>
    <row r="8706" spans="1:52" ht="17.100000000000001" customHeight="1" thickTop="1">
      <c r="A8706" s="109" t="s">
        <v>24840</v>
      </c>
      <c r="B8706" s="28">
        <v>46142</v>
      </c>
      <c r="C8706" s="25">
        <v>1981</v>
      </c>
      <c r="D8706" s="13" t="s">
        <v>24844</v>
      </c>
      <c r="E8706" s="111"/>
      <c r="F8706" s="113" t="s">
        <v>24845</v>
      </c>
      <c r="G8706" s="114"/>
      <c r="H8706" s="115"/>
      <c r="I8706" s="24"/>
      <c r="J8706" s="116">
        <v>4.5</v>
      </c>
      <c r="K8706" s="118">
        <v>559000</v>
      </c>
      <c r="L8706" s="119"/>
      <c r="M8706" s="118">
        <f t="shared" ref="M8706" si="13301">K8706*0.1</f>
        <v>55900</v>
      </c>
      <c r="N8706" s="119"/>
      <c r="O8706" s="118">
        <v>0</v>
      </c>
      <c r="P8706" s="119"/>
      <c r="Q8706" s="118">
        <v>6550</v>
      </c>
      <c r="R8706" s="119"/>
      <c r="S8706" s="118">
        <f>15500+1550</f>
        <v>17050</v>
      </c>
      <c r="T8706" s="119"/>
      <c r="U8706" s="118">
        <f t="shared" ref="U8706" si="13302">SUM(K8706:T8707)</f>
        <v>638500</v>
      </c>
      <c r="V8706" s="122"/>
      <c r="W8706" s="124"/>
      <c r="X8706" s="126" t="s">
        <v>25600</v>
      </c>
      <c r="Y8706" s="127"/>
      <c r="Z8706" s="127"/>
      <c r="AA8706" s="127"/>
      <c r="AB8706" s="128"/>
      <c r="AC8706" s="15" t="s">
        <v>20</v>
      </c>
      <c r="AD8706" s="129" t="s">
        <v>24838</v>
      </c>
      <c r="AE8706" s="130"/>
      <c r="AF8706" s="130"/>
      <c r="AG8706" s="130"/>
      <c r="AH8706" s="130"/>
      <c r="AI8706" s="131"/>
      <c r="AJ8706" s="132"/>
      <c r="AK8706" s="127"/>
      <c r="AL8706" s="128"/>
      <c r="AM8706" s="21"/>
      <c r="AN8706" s="133"/>
      <c r="AO8706" s="134"/>
      <c r="AP8706" s="135"/>
      <c r="AQ8706" s="136"/>
      <c r="AR8706" s="118"/>
      <c r="AS8706" s="119"/>
      <c r="AT8706" s="118">
        <f t="shared" ref="AT8706" si="13303">AR8706*0.1</f>
        <v>0</v>
      </c>
      <c r="AU8706" s="119"/>
      <c r="AV8706" s="118"/>
      <c r="AW8706" s="119"/>
      <c r="AX8706" s="118">
        <f t="shared" ref="AX8706" si="13304">SUM(AR8706:AW8706)</f>
        <v>0</v>
      </c>
      <c r="AY8706" s="119"/>
      <c r="AZ8706" s="137"/>
    </row>
    <row r="8707" spans="1:52" ht="17.100000000000001" customHeight="1" thickBot="1">
      <c r="A8707" s="110"/>
      <c r="B8707" s="27" t="s">
        <v>24819</v>
      </c>
      <c r="C8707" s="27">
        <v>3027</v>
      </c>
      <c r="D8707" s="14" t="s">
        <v>1720</v>
      </c>
      <c r="E8707" s="112"/>
      <c r="F8707" s="139" t="s">
        <v>24846</v>
      </c>
      <c r="G8707" s="140"/>
      <c r="H8707" s="141"/>
      <c r="I8707" s="26">
        <v>9083</v>
      </c>
      <c r="J8707" s="117"/>
      <c r="K8707" s="120"/>
      <c r="L8707" s="121"/>
      <c r="M8707" s="120"/>
      <c r="N8707" s="121"/>
      <c r="O8707" s="120"/>
      <c r="P8707" s="121"/>
      <c r="Q8707" s="120"/>
      <c r="R8707" s="121"/>
      <c r="S8707" s="120"/>
      <c r="T8707" s="121"/>
      <c r="U8707" s="120"/>
      <c r="V8707" s="123"/>
      <c r="W8707" s="125"/>
      <c r="X8707" s="142" t="s">
        <v>7450</v>
      </c>
      <c r="Y8707" s="143"/>
      <c r="Z8707" s="143"/>
      <c r="AA8707" s="143"/>
      <c r="AB8707" s="144"/>
      <c r="AC8707" s="16" t="s">
        <v>21</v>
      </c>
      <c r="AD8707" s="17" t="s">
        <v>2413</v>
      </c>
      <c r="AE8707" s="145" t="s">
        <v>4938</v>
      </c>
      <c r="AF8707" s="146"/>
      <c r="AG8707" s="146"/>
      <c r="AH8707" s="146"/>
      <c r="AI8707" s="147"/>
      <c r="AJ8707" s="148"/>
      <c r="AK8707" s="143"/>
      <c r="AL8707" s="144"/>
      <c r="AM8707" s="22"/>
      <c r="AN8707" s="149"/>
      <c r="AO8707" s="144"/>
      <c r="AP8707" s="148"/>
      <c r="AQ8707" s="144"/>
      <c r="AR8707" s="120"/>
      <c r="AS8707" s="121"/>
      <c r="AT8707" s="120"/>
      <c r="AU8707" s="121"/>
      <c r="AV8707" s="120"/>
      <c r="AW8707" s="121"/>
      <c r="AX8707" s="120"/>
      <c r="AY8707" s="121"/>
      <c r="AZ8707" s="138"/>
    </row>
    <row r="8708" spans="1:52" ht="17.100000000000001" customHeight="1" thickTop="1">
      <c r="A8708" s="109" t="s">
        <v>24841</v>
      </c>
      <c r="B8708" s="28">
        <v>46142</v>
      </c>
      <c r="C8708" s="25">
        <v>1981</v>
      </c>
      <c r="D8708" s="13" t="s">
        <v>24835</v>
      </c>
      <c r="E8708" s="111"/>
      <c r="F8708" s="113" t="s">
        <v>24847</v>
      </c>
      <c r="G8708" s="114"/>
      <c r="H8708" s="115"/>
      <c r="I8708" s="24"/>
      <c r="J8708" s="116">
        <v>4.5</v>
      </c>
      <c r="K8708" s="118">
        <v>1276000</v>
      </c>
      <c r="L8708" s="119"/>
      <c r="M8708" s="118">
        <f t="shared" ref="M8708" si="13305">K8708*0.1</f>
        <v>127600</v>
      </c>
      <c r="N8708" s="119"/>
      <c r="O8708" s="118">
        <v>0</v>
      </c>
      <c r="P8708" s="119"/>
      <c r="Q8708" s="118">
        <v>7440</v>
      </c>
      <c r="R8708" s="119"/>
      <c r="S8708" s="118">
        <v>15950</v>
      </c>
      <c r="T8708" s="119"/>
      <c r="U8708" s="118">
        <f t="shared" ref="U8708" si="13306">SUM(K8708:T8709)</f>
        <v>1426990</v>
      </c>
      <c r="V8708" s="122"/>
      <c r="W8708" s="124"/>
      <c r="X8708" s="126" t="s">
        <v>25599</v>
      </c>
      <c r="Y8708" s="127"/>
      <c r="Z8708" s="127"/>
      <c r="AA8708" s="127"/>
      <c r="AB8708" s="128"/>
      <c r="AC8708" s="15" t="s">
        <v>20</v>
      </c>
      <c r="AD8708" s="129"/>
      <c r="AE8708" s="130"/>
      <c r="AF8708" s="130"/>
      <c r="AG8708" s="130"/>
      <c r="AH8708" s="130"/>
      <c r="AI8708" s="131"/>
      <c r="AJ8708" s="132"/>
      <c r="AK8708" s="127"/>
      <c r="AL8708" s="128"/>
      <c r="AM8708" s="21"/>
      <c r="AN8708" s="133"/>
      <c r="AO8708" s="134"/>
      <c r="AP8708" s="135"/>
      <c r="AQ8708" s="136"/>
      <c r="AR8708" s="118"/>
      <c r="AS8708" s="119"/>
      <c r="AT8708" s="118">
        <f t="shared" ref="AT8708" si="13307">AR8708*0.1</f>
        <v>0</v>
      </c>
      <c r="AU8708" s="119"/>
      <c r="AV8708" s="118"/>
      <c r="AW8708" s="119"/>
      <c r="AX8708" s="118">
        <f t="shared" ref="AX8708" si="13308">SUM(AR8708:AW8708)</f>
        <v>0</v>
      </c>
      <c r="AY8708" s="119"/>
      <c r="AZ8708" s="137"/>
    </row>
    <row r="8709" spans="1:52" ht="17.100000000000001" customHeight="1" thickBot="1">
      <c r="A8709" s="110"/>
      <c r="B8709" s="27" t="s">
        <v>24819</v>
      </c>
      <c r="C8709" s="27">
        <v>62007</v>
      </c>
      <c r="D8709" s="14" t="s">
        <v>24836</v>
      </c>
      <c r="E8709" s="112"/>
      <c r="F8709" s="139" t="s">
        <v>24848</v>
      </c>
      <c r="G8709" s="140"/>
      <c r="H8709" s="141"/>
      <c r="I8709" s="26">
        <v>22380</v>
      </c>
      <c r="J8709" s="117"/>
      <c r="K8709" s="120"/>
      <c r="L8709" s="121"/>
      <c r="M8709" s="120"/>
      <c r="N8709" s="121"/>
      <c r="O8709" s="120"/>
      <c r="P8709" s="121"/>
      <c r="Q8709" s="120"/>
      <c r="R8709" s="121"/>
      <c r="S8709" s="120"/>
      <c r="T8709" s="121"/>
      <c r="U8709" s="120"/>
      <c r="V8709" s="123"/>
      <c r="W8709" s="125"/>
      <c r="X8709" s="142" t="s">
        <v>7450</v>
      </c>
      <c r="Y8709" s="143"/>
      <c r="Z8709" s="143"/>
      <c r="AA8709" s="143"/>
      <c r="AB8709" s="144"/>
      <c r="AC8709" s="16" t="s">
        <v>21</v>
      </c>
      <c r="AD8709" s="17" t="s">
        <v>2413</v>
      </c>
      <c r="AE8709" s="145"/>
      <c r="AF8709" s="146"/>
      <c r="AG8709" s="146"/>
      <c r="AH8709" s="146"/>
      <c r="AI8709" s="147"/>
      <c r="AJ8709" s="148"/>
      <c r="AK8709" s="143"/>
      <c r="AL8709" s="144"/>
      <c r="AM8709" s="22"/>
      <c r="AN8709" s="149"/>
      <c r="AO8709" s="144"/>
      <c r="AP8709" s="148"/>
      <c r="AQ8709" s="144"/>
      <c r="AR8709" s="120"/>
      <c r="AS8709" s="121"/>
      <c r="AT8709" s="120"/>
      <c r="AU8709" s="121"/>
      <c r="AV8709" s="120"/>
      <c r="AW8709" s="121"/>
      <c r="AX8709" s="120"/>
      <c r="AY8709" s="121"/>
      <c r="AZ8709" s="138"/>
    </row>
    <row r="8710" spans="1:52" ht="17.100000000000001" customHeight="1" thickTop="1">
      <c r="A8710" s="109" t="s">
        <v>24842</v>
      </c>
      <c r="B8710" s="28">
        <v>46142</v>
      </c>
      <c r="C8710" s="25">
        <v>1981</v>
      </c>
      <c r="D8710" s="13" t="s">
        <v>24835</v>
      </c>
      <c r="E8710" s="111"/>
      <c r="F8710" s="113" t="s">
        <v>24847</v>
      </c>
      <c r="G8710" s="114"/>
      <c r="H8710" s="115"/>
      <c r="I8710" s="24"/>
      <c r="J8710" s="116">
        <v>4.5</v>
      </c>
      <c r="K8710" s="118">
        <v>1294000</v>
      </c>
      <c r="L8710" s="119"/>
      <c r="M8710" s="118">
        <f t="shared" ref="M8710" si="13309">K8710*0.1</f>
        <v>129400</v>
      </c>
      <c r="N8710" s="119"/>
      <c r="O8710" s="118">
        <v>0</v>
      </c>
      <c r="P8710" s="119"/>
      <c r="Q8710" s="118">
        <v>7440</v>
      </c>
      <c r="R8710" s="119"/>
      <c r="S8710" s="118">
        <v>15950</v>
      </c>
      <c r="T8710" s="119"/>
      <c r="U8710" s="118">
        <f t="shared" ref="U8710" si="13310">SUM(K8710:T8711)</f>
        <v>1446790</v>
      </c>
      <c r="V8710" s="122"/>
      <c r="W8710" s="124"/>
      <c r="X8710" s="126" t="s">
        <v>25598</v>
      </c>
      <c r="Y8710" s="127"/>
      <c r="Z8710" s="127"/>
      <c r="AA8710" s="127"/>
      <c r="AB8710" s="128"/>
      <c r="AC8710" s="15" t="s">
        <v>20</v>
      </c>
      <c r="AD8710" s="129"/>
      <c r="AE8710" s="130"/>
      <c r="AF8710" s="130"/>
      <c r="AG8710" s="130"/>
      <c r="AH8710" s="130"/>
      <c r="AI8710" s="131"/>
      <c r="AJ8710" s="132"/>
      <c r="AK8710" s="127"/>
      <c r="AL8710" s="128"/>
      <c r="AM8710" s="21"/>
      <c r="AN8710" s="133"/>
      <c r="AO8710" s="134"/>
      <c r="AP8710" s="135"/>
      <c r="AQ8710" s="136"/>
      <c r="AR8710" s="118"/>
      <c r="AS8710" s="119"/>
      <c r="AT8710" s="118">
        <f t="shared" ref="AT8710" si="13311">AR8710*0.1</f>
        <v>0</v>
      </c>
      <c r="AU8710" s="119"/>
      <c r="AV8710" s="118"/>
      <c r="AW8710" s="119"/>
      <c r="AX8710" s="118">
        <f t="shared" ref="AX8710" si="13312">SUM(AR8710:AW8710)</f>
        <v>0</v>
      </c>
      <c r="AY8710" s="119"/>
      <c r="AZ8710" s="137"/>
    </row>
    <row r="8711" spans="1:52" ht="17.100000000000001" customHeight="1" thickBot="1">
      <c r="A8711" s="110"/>
      <c r="B8711" s="27" t="s">
        <v>24819</v>
      </c>
      <c r="C8711" s="27">
        <v>62015</v>
      </c>
      <c r="D8711" s="14" t="s">
        <v>24836</v>
      </c>
      <c r="E8711" s="112"/>
      <c r="F8711" s="139" t="s">
        <v>24849</v>
      </c>
      <c r="G8711" s="140"/>
      <c r="H8711" s="141"/>
      <c r="I8711" s="26">
        <v>21420</v>
      </c>
      <c r="J8711" s="117"/>
      <c r="K8711" s="120"/>
      <c r="L8711" s="121"/>
      <c r="M8711" s="120"/>
      <c r="N8711" s="121"/>
      <c r="O8711" s="120"/>
      <c r="P8711" s="121"/>
      <c r="Q8711" s="120"/>
      <c r="R8711" s="121"/>
      <c r="S8711" s="120"/>
      <c r="T8711" s="121"/>
      <c r="U8711" s="120"/>
      <c r="V8711" s="123"/>
      <c r="W8711" s="125"/>
      <c r="X8711" s="142" t="s">
        <v>7450</v>
      </c>
      <c r="Y8711" s="143"/>
      <c r="Z8711" s="143"/>
      <c r="AA8711" s="143"/>
      <c r="AB8711" s="144"/>
      <c r="AC8711" s="16" t="s">
        <v>21</v>
      </c>
      <c r="AD8711" s="17" t="s">
        <v>2413</v>
      </c>
      <c r="AE8711" s="145"/>
      <c r="AF8711" s="146"/>
      <c r="AG8711" s="146"/>
      <c r="AH8711" s="146"/>
      <c r="AI8711" s="147"/>
      <c r="AJ8711" s="148"/>
      <c r="AK8711" s="143"/>
      <c r="AL8711" s="144"/>
      <c r="AM8711" s="22"/>
      <c r="AN8711" s="149"/>
      <c r="AO8711" s="144"/>
      <c r="AP8711" s="148"/>
      <c r="AQ8711" s="144"/>
      <c r="AR8711" s="120"/>
      <c r="AS8711" s="121"/>
      <c r="AT8711" s="120"/>
      <c r="AU8711" s="121"/>
      <c r="AV8711" s="120"/>
      <c r="AW8711" s="121"/>
      <c r="AX8711" s="120"/>
      <c r="AY8711" s="121"/>
      <c r="AZ8711" s="138"/>
    </row>
    <row r="8712" spans="1:52" ht="17.100000000000001" customHeight="1" thickTop="1">
      <c r="A8712" s="109" t="s">
        <v>24843</v>
      </c>
      <c r="B8712" s="28">
        <v>46142</v>
      </c>
      <c r="C8712" s="25">
        <v>2156</v>
      </c>
      <c r="D8712" s="13" t="s">
        <v>24879</v>
      </c>
      <c r="E8712" s="111"/>
      <c r="F8712" s="113" t="s">
        <v>24880</v>
      </c>
      <c r="G8712" s="114"/>
      <c r="H8712" s="115"/>
      <c r="I8712" s="24"/>
      <c r="J8712" s="116">
        <v>4</v>
      </c>
      <c r="K8712" s="118">
        <v>408000</v>
      </c>
      <c r="L8712" s="119"/>
      <c r="M8712" s="118">
        <f t="shared" ref="M8712" si="13313">K8712*0.1</f>
        <v>40800</v>
      </c>
      <c r="N8712" s="119"/>
      <c r="O8712" s="118">
        <v>0</v>
      </c>
      <c r="P8712" s="119"/>
      <c r="Q8712" s="118">
        <v>9790</v>
      </c>
      <c r="R8712" s="119"/>
      <c r="S8712" s="118">
        <v>14300</v>
      </c>
      <c r="T8712" s="119"/>
      <c r="U8712" s="118">
        <f t="shared" ref="U8712" si="13314">SUM(K8712:T8713)</f>
        <v>472890</v>
      </c>
      <c r="V8712" s="122"/>
      <c r="W8712" s="124"/>
      <c r="X8712" s="126" t="s">
        <v>25568</v>
      </c>
      <c r="Y8712" s="127"/>
      <c r="Z8712" s="127"/>
      <c r="AA8712" s="127"/>
      <c r="AB8712" s="128"/>
      <c r="AC8712" s="15" t="s">
        <v>20</v>
      </c>
      <c r="AD8712" s="129"/>
      <c r="AE8712" s="130"/>
      <c r="AF8712" s="130"/>
      <c r="AG8712" s="130"/>
      <c r="AH8712" s="130"/>
      <c r="AI8712" s="131"/>
      <c r="AJ8712" s="132"/>
      <c r="AK8712" s="127"/>
      <c r="AL8712" s="128"/>
      <c r="AM8712" s="21"/>
      <c r="AN8712" s="133"/>
      <c r="AO8712" s="134"/>
      <c r="AP8712" s="135"/>
      <c r="AQ8712" s="136"/>
      <c r="AR8712" s="118"/>
      <c r="AS8712" s="119"/>
      <c r="AT8712" s="118">
        <f t="shared" ref="AT8712" si="13315">AR8712*0.1</f>
        <v>0</v>
      </c>
      <c r="AU8712" s="119"/>
      <c r="AV8712" s="118"/>
      <c r="AW8712" s="119"/>
      <c r="AX8712" s="118">
        <f t="shared" ref="AX8712" si="13316">SUM(AR8712:AW8712)</f>
        <v>0</v>
      </c>
      <c r="AY8712" s="119"/>
      <c r="AZ8712" s="137"/>
    </row>
    <row r="8713" spans="1:52" ht="17.100000000000001" customHeight="1" thickBot="1">
      <c r="A8713" s="110"/>
      <c r="B8713" s="27" t="s">
        <v>24869</v>
      </c>
      <c r="C8713" s="27">
        <v>140</v>
      </c>
      <c r="D8713" s="14" t="s">
        <v>1720</v>
      </c>
      <c r="E8713" s="112"/>
      <c r="F8713" s="139" t="s">
        <v>24871</v>
      </c>
      <c r="G8713" s="140"/>
      <c r="H8713" s="141"/>
      <c r="I8713" s="26">
        <v>54595</v>
      </c>
      <c r="J8713" s="117"/>
      <c r="K8713" s="120"/>
      <c r="L8713" s="121"/>
      <c r="M8713" s="120"/>
      <c r="N8713" s="121"/>
      <c r="O8713" s="120"/>
      <c r="P8713" s="121"/>
      <c r="Q8713" s="120"/>
      <c r="R8713" s="121"/>
      <c r="S8713" s="120"/>
      <c r="T8713" s="121"/>
      <c r="U8713" s="120"/>
      <c r="V8713" s="123"/>
      <c r="W8713" s="125"/>
      <c r="X8713" s="142" t="s">
        <v>3410</v>
      </c>
      <c r="Y8713" s="143"/>
      <c r="Z8713" s="143"/>
      <c r="AA8713" s="143"/>
      <c r="AB8713" s="144"/>
      <c r="AC8713" s="16" t="s">
        <v>21</v>
      </c>
      <c r="AD8713" s="17" t="s">
        <v>2413</v>
      </c>
      <c r="AE8713" s="145" t="s">
        <v>2051</v>
      </c>
      <c r="AF8713" s="146"/>
      <c r="AG8713" s="146"/>
      <c r="AH8713" s="146"/>
      <c r="AI8713" s="147"/>
      <c r="AJ8713" s="148"/>
      <c r="AK8713" s="143"/>
      <c r="AL8713" s="144"/>
      <c r="AM8713" s="22"/>
      <c r="AN8713" s="149"/>
      <c r="AO8713" s="144"/>
      <c r="AP8713" s="148"/>
      <c r="AQ8713" s="144"/>
      <c r="AR8713" s="120"/>
      <c r="AS8713" s="121"/>
      <c r="AT8713" s="120"/>
      <c r="AU8713" s="121"/>
      <c r="AV8713" s="120"/>
      <c r="AW8713" s="121"/>
      <c r="AX8713" s="120"/>
      <c r="AY8713" s="121"/>
      <c r="AZ8713" s="138"/>
    </row>
    <row r="8714" spans="1:52" ht="17.100000000000001" customHeight="1" thickTop="1">
      <c r="A8714" s="109" t="s">
        <v>24863</v>
      </c>
      <c r="B8714" s="28">
        <v>46142</v>
      </c>
      <c r="C8714" s="25">
        <v>2156</v>
      </c>
      <c r="D8714" s="13" t="s">
        <v>24881</v>
      </c>
      <c r="E8714" s="111"/>
      <c r="F8714" s="113" t="s">
        <v>15204</v>
      </c>
      <c r="G8714" s="114"/>
      <c r="H8714" s="115"/>
      <c r="I8714" s="24"/>
      <c r="J8714" s="116">
        <v>5</v>
      </c>
      <c r="K8714" s="118">
        <v>611000</v>
      </c>
      <c r="L8714" s="119"/>
      <c r="M8714" s="118">
        <f t="shared" ref="M8714" si="13317">K8714*0.1</f>
        <v>61100</v>
      </c>
      <c r="N8714" s="119"/>
      <c r="O8714" s="118">
        <v>0</v>
      </c>
      <c r="P8714" s="119"/>
      <c r="Q8714" s="118">
        <v>7950</v>
      </c>
      <c r="R8714" s="119"/>
      <c r="S8714" s="118">
        <v>14300</v>
      </c>
      <c r="T8714" s="119"/>
      <c r="U8714" s="118">
        <f t="shared" ref="U8714" si="13318">SUM(K8714:T8715)</f>
        <v>694350</v>
      </c>
      <c r="V8714" s="122"/>
      <c r="W8714" s="124"/>
      <c r="X8714" s="126" t="s">
        <v>25392</v>
      </c>
      <c r="Y8714" s="127"/>
      <c r="Z8714" s="127"/>
      <c r="AA8714" s="127"/>
      <c r="AB8714" s="128"/>
      <c r="AC8714" s="15" t="s">
        <v>20</v>
      </c>
      <c r="AD8714" s="129"/>
      <c r="AE8714" s="130"/>
      <c r="AF8714" s="130"/>
      <c r="AG8714" s="130"/>
      <c r="AH8714" s="130"/>
      <c r="AI8714" s="131"/>
      <c r="AJ8714" s="132"/>
      <c r="AK8714" s="127"/>
      <c r="AL8714" s="128"/>
      <c r="AM8714" s="21"/>
      <c r="AN8714" s="133"/>
      <c r="AO8714" s="134"/>
      <c r="AP8714" s="135"/>
      <c r="AQ8714" s="136"/>
      <c r="AR8714" s="118"/>
      <c r="AS8714" s="119"/>
      <c r="AT8714" s="118">
        <f t="shared" ref="AT8714" si="13319">AR8714*0.1</f>
        <v>0</v>
      </c>
      <c r="AU8714" s="119"/>
      <c r="AV8714" s="118"/>
      <c r="AW8714" s="119"/>
      <c r="AX8714" s="118">
        <f t="shared" ref="AX8714" si="13320">SUM(AR8714:AW8714)</f>
        <v>0</v>
      </c>
      <c r="AY8714" s="119"/>
      <c r="AZ8714" s="137"/>
    </row>
    <row r="8715" spans="1:52" ht="17.100000000000001" customHeight="1" thickBot="1">
      <c r="A8715" s="110"/>
      <c r="B8715" s="27" t="s">
        <v>24869</v>
      </c>
      <c r="C8715" s="27">
        <v>2005</v>
      </c>
      <c r="D8715" s="14" t="s">
        <v>24882</v>
      </c>
      <c r="E8715" s="112"/>
      <c r="F8715" s="139" t="s">
        <v>24872</v>
      </c>
      <c r="G8715" s="140"/>
      <c r="H8715" s="141"/>
      <c r="I8715" s="26">
        <v>20934</v>
      </c>
      <c r="J8715" s="117"/>
      <c r="K8715" s="120"/>
      <c r="L8715" s="121"/>
      <c r="M8715" s="120"/>
      <c r="N8715" s="121"/>
      <c r="O8715" s="120"/>
      <c r="P8715" s="121"/>
      <c r="Q8715" s="120"/>
      <c r="R8715" s="121"/>
      <c r="S8715" s="120"/>
      <c r="T8715" s="121"/>
      <c r="U8715" s="120"/>
      <c r="V8715" s="123"/>
      <c r="W8715" s="125"/>
      <c r="X8715" s="142" t="s">
        <v>25393</v>
      </c>
      <c r="Y8715" s="143"/>
      <c r="Z8715" s="143"/>
      <c r="AA8715" s="143"/>
      <c r="AB8715" s="144"/>
      <c r="AC8715" s="16" t="s">
        <v>21</v>
      </c>
      <c r="AD8715" s="17" t="s">
        <v>1847</v>
      </c>
      <c r="AE8715" s="145"/>
      <c r="AF8715" s="146"/>
      <c r="AG8715" s="146"/>
      <c r="AH8715" s="146"/>
      <c r="AI8715" s="147"/>
      <c r="AJ8715" s="148"/>
      <c r="AK8715" s="143"/>
      <c r="AL8715" s="144"/>
      <c r="AM8715" s="22"/>
      <c r="AN8715" s="149"/>
      <c r="AO8715" s="144"/>
      <c r="AP8715" s="148"/>
      <c r="AQ8715" s="144"/>
      <c r="AR8715" s="120"/>
      <c r="AS8715" s="121"/>
      <c r="AT8715" s="120"/>
      <c r="AU8715" s="121"/>
      <c r="AV8715" s="120"/>
      <c r="AW8715" s="121"/>
      <c r="AX8715" s="120"/>
      <c r="AY8715" s="121"/>
      <c r="AZ8715" s="138"/>
    </row>
    <row r="8716" spans="1:52" ht="17.100000000000001" customHeight="1" thickTop="1">
      <c r="A8716" s="109" t="s">
        <v>24864</v>
      </c>
      <c r="B8716" s="28">
        <v>46142</v>
      </c>
      <c r="C8716" s="25">
        <v>2156</v>
      </c>
      <c r="D8716" s="13" t="s">
        <v>24883</v>
      </c>
      <c r="E8716" s="111"/>
      <c r="F8716" s="113" t="s">
        <v>24884</v>
      </c>
      <c r="G8716" s="114"/>
      <c r="H8716" s="115"/>
      <c r="I8716" s="24" t="s">
        <v>24885</v>
      </c>
      <c r="J8716" s="116">
        <v>4</v>
      </c>
      <c r="K8716" s="118">
        <v>854000</v>
      </c>
      <c r="L8716" s="119"/>
      <c r="M8716" s="118">
        <f t="shared" ref="M8716" si="13321">K8716*0.1</f>
        <v>85400</v>
      </c>
      <c r="N8716" s="119"/>
      <c r="O8716" s="118">
        <v>0</v>
      </c>
      <c r="P8716" s="119"/>
      <c r="Q8716" s="118">
        <v>8550</v>
      </c>
      <c r="R8716" s="119"/>
      <c r="S8716" s="118">
        <v>14300</v>
      </c>
      <c r="T8716" s="119"/>
      <c r="U8716" s="118">
        <f t="shared" ref="U8716" si="13322">SUM(K8716:T8717)</f>
        <v>962250</v>
      </c>
      <c r="V8716" s="122"/>
      <c r="W8716" s="124"/>
      <c r="X8716" s="126" t="s">
        <v>24887</v>
      </c>
      <c r="Y8716" s="127"/>
      <c r="Z8716" s="127"/>
      <c r="AA8716" s="127"/>
      <c r="AB8716" s="128"/>
      <c r="AC8716" s="15" t="s">
        <v>20</v>
      </c>
      <c r="AD8716" s="129" t="s">
        <v>24838</v>
      </c>
      <c r="AE8716" s="130"/>
      <c r="AF8716" s="130"/>
      <c r="AG8716" s="130"/>
      <c r="AH8716" s="130"/>
      <c r="AI8716" s="131"/>
      <c r="AJ8716" s="132"/>
      <c r="AK8716" s="127"/>
      <c r="AL8716" s="128"/>
      <c r="AM8716" s="21"/>
      <c r="AN8716" s="133"/>
      <c r="AO8716" s="134"/>
      <c r="AP8716" s="135"/>
      <c r="AQ8716" s="136"/>
      <c r="AR8716" s="118"/>
      <c r="AS8716" s="119"/>
      <c r="AT8716" s="118">
        <f t="shared" ref="AT8716" si="13323">AR8716*0.1</f>
        <v>0</v>
      </c>
      <c r="AU8716" s="119"/>
      <c r="AV8716" s="118"/>
      <c r="AW8716" s="119"/>
      <c r="AX8716" s="118">
        <f t="shared" ref="AX8716" si="13324">SUM(AR8716:AW8716)</f>
        <v>0</v>
      </c>
      <c r="AY8716" s="119"/>
      <c r="AZ8716" s="137"/>
    </row>
    <row r="8717" spans="1:52" ht="17.100000000000001" customHeight="1" thickBot="1">
      <c r="A8717" s="110"/>
      <c r="B8717" s="27" t="s">
        <v>24869</v>
      </c>
      <c r="C8717" s="27">
        <v>2093</v>
      </c>
      <c r="D8717" s="14" t="s">
        <v>24829</v>
      </c>
      <c r="E8717" s="112"/>
      <c r="F8717" s="139" t="s">
        <v>24873</v>
      </c>
      <c r="G8717" s="140"/>
      <c r="H8717" s="141"/>
      <c r="I8717" s="26">
        <v>50548</v>
      </c>
      <c r="J8717" s="117"/>
      <c r="K8717" s="120"/>
      <c r="L8717" s="121"/>
      <c r="M8717" s="120"/>
      <c r="N8717" s="121"/>
      <c r="O8717" s="120"/>
      <c r="P8717" s="121"/>
      <c r="Q8717" s="120"/>
      <c r="R8717" s="121"/>
      <c r="S8717" s="120"/>
      <c r="T8717" s="121"/>
      <c r="U8717" s="120"/>
      <c r="V8717" s="123"/>
      <c r="W8717" s="125"/>
      <c r="X8717" s="142" t="s">
        <v>25391</v>
      </c>
      <c r="Y8717" s="143"/>
      <c r="Z8717" s="143"/>
      <c r="AA8717" s="143"/>
      <c r="AB8717" s="144"/>
      <c r="AC8717" s="16" t="s">
        <v>21</v>
      </c>
      <c r="AD8717" s="17" t="s">
        <v>1847</v>
      </c>
      <c r="AE8717" s="145" t="s">
        <v>3123</v>
      </c>
      <c r="AF8717" s="146"/>
      <c r="AG8717" s="146"/>
      <c r="AH8717" s="146"/>
      <c r="AI8717" s="147"/>
      <c r="AJ8717" s="148"/>
      <c r="AK8717" s="143"/>
      <c r="AL8717" s="144"/>
      <c r="AM8717" s="22"/>
      <c r="AN8717" s="149"/>
      <c r="AO8717" s="144"/>
      <c r="AP8717" s="148"/>
      <c r="AQ8717" s="144"/>
      <c r="AR8717" s="120"/>
      <c r="AS8717" s="121"/>
      <c r="AT8717" s="120"/>
      <c r="AU8717" s="121"/>
      <c r="AV8717" s="120"/>
      <c r="AW8717" s="121"/>
      <c r="AX8717" s="120"/>
      <c r="AY8717" s="121"/>
      <c r="AZ8717" s="138"/>
    </row>
    <row r="8718" spans="1:52" ht="17.100000000000001" customHeight="1" thickTop="1">
      <c r="A8718" s="109" t="s">
        <v>24865</v>
      </c>
      <c r="B8718" s="28">
        <v>46142</v>
      </c>
      <c r="C8718" s="25">
        <v>2156</v>
      </c>
      <c r="D8718" s="13" t="s">
        <v>2179</v>
      </c>
      <c r="E8718" s="111"/>
      <c r="F8718" s="113" t="s">
        <v>24886</v>
      </c>
      <c r="G8718" s="114"/>
      <c r="H8718" s="115"/>
      <c r="I8718" s="24"/>
      <c r="J8718" s="116">
        <v>4</v>
      </c>
      <c r="K8718" s="118">
        <v>489000</v>
      </c>
      <c r="L8718" s="119"/>
      <c r="M8718" s="118">
        <f t="shared" ref="M8718" si="13325">K8718*0.1</f>
        <v>48900</v>
      </c>
      <c r="N8718" s="119"/>
      <c r="O8718" s="118">
        <v>0</v>
      </c>
      <c r="P8718" s="119"/>
      <c r="Q8718" s="118">
        <v>9080</v>
      </c>
      <c r="R8718" s="119"/>
      <c r="S8718" s="118">
        <v>14300</v>
      </c>
      <c r="T8718" s="119"/>
      <c r="U8718" s="118">
        <f t="shared" ref="U8718" si="13326">SUM(K8718:T8719)</f>
        <v>561280</v>
      </c>
      <c r="V8718" s="122"/>
      <c r="W8718" s="124"/>
      <c r="X8718" s="126" t="s">
        <v>25389</v>
      </c>
      <c r="Y8718" s="127"/>
      <c r="Z8718" s="127"/>
      <c r="AA8718" s="127"/>
      <c r="AB8718" s="128"/>
      <c r="AC8718" s="15" t="s">
        <v>20</v>
      </c>
      <c r="AD8718" s="129"/>
      <c r="AE8718" s="130"/>
      <c r="AF8718" s="130"/>
      <c r="AG8718" s="130"/>
      <c r="AH8718" s="130"/>
      <c r="AI8718" s="131"/>
      <c r="AJ8718" s="132"/>
      <c r="AK8718" s="127"/>
      <c r="AL8718" s="128"/>
      <c r="AM8718" s="21"/>
      <c r="AN8718" s="133">
        <v>46155</v>
      </c>
      <c r="AO8718" s="134"/>
      <c r="AP8718" s="135">
        <v>1016</v>
      </c>
      <c r="AQ8718" s="136"/>
      <c r="AR8718" s="118">
        <v>550000</v>
      </c>
      <c r="AS8718" s="119"/>
      <c r="AT8718" s="118">
        <f t="shared" ref="AT8718" si="13327">AR8718*0.1</f>
        <v>55000</v>
      </c>
      <c r="AU8718" s="119"/>
      <c r="AV8718" s="118">
        <v>9080</v>
      </c>
      <c r="AW8718" s="119"/>
      <c r="AX8718" s="118">
        <f t="shared" ref="AX8718" si="13328">SUM(AR8718:AW8718)</f>
        <v>614080</v>
      </c>
      <c r="AY8718" s="119"/>
      <c r="AZ8718" s="137">
        <v>46160</v>
      </c>
    </row>
    <row r="8719" spans="1:52" ht="17.100000000000001" customHeight="1" thickBot="1">
      <c r="A8719" s="110"/>
      <c r="B8719" s="27" t="s">
        <v>24869</v>
      </c>
      <c r="C8719" s="27">
        <v>2541</v>
      </c>
      <c r="D8719" s="14" t="s">
        <v>1720</v>
      </c>
      <c r="E8719" s="112"/>
      <c r="F8719" s="139" t="s">
        <v>24874</v>
      </c>
      <c r="G8719" s="140"/>
      <c r="H8719" s="141"/>
      <c r="I8719" s="26">
        <v>54343</v>
      </c>
      <c r="J8719" s="117"/>
      <c r="K8719" s="120"/>
      <c r="L8719" s="121"/>
      <c r="M8719" s="120"/>
      <c r="N8719" s="121"/>
      <c r="O8719" s="120"/>
      <c r="P8719" s="121"/>
      <c r="Q8719" s="120"/>
      <c r="R8719" s="121"/>
      <c r="S8719" s="120"/>
      <c r="T8719" s="121"/>
      <c r="U8719" s="120"/>
      <c r="V8719" s="123"/>
      <c r="W8719" s="125"/>
      <c r="X8719" s="142" t="s">
        <v>25390</v>
      </c>
      <c r="Y8719" s="143"/>
      <c r="Z8719" s="143"/>
      <c r="AA8719" s="143"/>
      <c r="AB8719" s="144"/>
      <c r="AC8719" s="16" t="s">
        <v>21</v>
      </c>
      <c r="AD8719" s="17" t="s">
        <v>1847</v>
      </c>
      <c r="AE8719" s="145"/>
      <c r="AF8719" s="146"/>
      <c r="AG8719" s="146"/>
      <c r="AH8719" s="146"/>
      <c r="AI8719" s="147"/>
      <c r="AJ8719" s="148"/>
      <c r="AK8719" s="143"/>
      <c r="AL8719" s="144"/>
      <c r="AM8719" s="22"/>
      <c r="AN8719" s="149" t="s">
        <v>2794</v>
      </c>
      <c r="AO8719" s="144"/>
      <c r="AP8719" s="148">
        <v>5049</v>
      </c>
      <c r="AQ8719" s="144"/>
      <c r="AR8719" s="120"/>
      <c r="AS8719" s="121"/>
      <c r="AT8719" s="120"/>
      <c r="AU8719" s="121"/>
      <c r="AV8719" s="120"/>
      <c r="AW8719" s="121"/>
      <c r="AX8719" s="120"/>
      <c r="AY8719" s="121"/>
      <c r="AZ8719" s="138"/>
    </row>
    <row r="8720" spans="1:52" ht="17.100000000000001" customHeight="1" thickTop="1">
      <c r="A8720" s="109" t="s">
        <v>24866</v>
      </c>
      <c r="B8720" s="28">
        <v>46142</v>
      </c>
      <c r="C8720" s="25">
        <v>2156</v>
      </c>
      <c r="D8720" s="13" t="s">
        <v>1845</v>
      </c>
      <c r="E8720" s="111"/>
      <c r="F8720" s="113" t="s">
        <v>24888</v>
      </c>
      <c r="G8720" s="114"/>
      <c r="H8720" s="115"/>
      <c r="I8720" s="24"/>
      <c r="J8720" s="116">
        <v>4.5</v>
      </c>
      <c r="K8720" s="118">
        <v>1145000</v>
      </c>
      <c r="L8720" s="119"/>
      <c r="M8720" s="118">
        <f t="shared" ref="M8720" si="13329">K8720*0.1</f>
        <v>114500</v>
      </c>
      <c r="N8720" s="119"/>
      <c r="O8720" s="118">
        <v>0</v>
      </c>
      <c r="P8720" s="119"/>
      <c r="Q8720" s="118">
        <v>7510</v>
      </c>
      <c r="R8720" s="119"/>
      <c r="S8720" s="118">
        <v>14300</v>
      </c>
      <c r="T8720" s="119"/>
      <c r="U8720" s="118">
        <f t="shared" ref="U8720" si="13330">SUM(K8720:T8721)</f>
        <v>1281310</v>
      </c>
      <c r="V8720" s="122"/>
      <c r="W8720" s="124"/>
      <c r="X8720" s="126" t="s">
        <v>25383</v>
      </c>
      <c r="Y8720" s="127"/>
      <c r="Z8720" s="127"/>
      <c r="AA8720" s="127"/>
      <c r="AB8720" s="128"/>
      <c r="AC8720" s="15" t="s">
        <v>20</v>
      </c>
      <c r="AD8720" s="129"/>
      <c r="AE8720" s="130"/>
      <c r="AF8720" s="130"/>
      <c r="AG8720" s="130"/>
      <c r="AH8720" s="130"/>
      <c r="AI8720" s="131"/>
      <c r="AJ8720" s="132" t="s">
        <v>25647</v>
      </c>
      <c r="AK8720" s="127"/>
      <c r="AL8720" s="128"/>
      <c r="AM8720" s="21"/>
      <c r="AN8720" s="133">
        <v>46144</v>
      </c>
      <c r="AO8720" s="134"/>
      <c r="AP8720" s="135">
        <v>1299</v>
      </c>
      <c r="AQ8720" s="136"/>
      <c r="AR8720" s="118">
        <v>1215000</v>
      </c>
      <c r="AS8720" s="119"/>
      <c r="AT8720" s="118">
        <f t="shared" ref="AT8720" si="13331">AR8720*0.1</f>
        <v>121500</v>
      </c>
      <c r="AU8720" s="119"/>
      <c r="AV8720" s="118">
        <v>7510</v>
      </c>
      <c r="AW8720" s="119"/>
      <c r="AX8720" s="118">
        <f t="shared" ref="AX8720" si="13332">SUM(AR8720:AW8720)</f>
        <v>1344010</v>
      </c>
      <c r="AY8720" s="119"/>
      <c r="AZ8720" s="137">
        <v>46156</v>
      </c>
    </row>
    <row r="8721" spans="1:52" ht="17.100000000000001" customHeight="1" thickBot="1">
      <c r="A8721" s="110"/>
      <c r="B8721" s="27" t="s">
        <v>24869</v>
      </c>
      <c r="C8721" s="27">
        <v>4020</v>
      </c>
      <c r="D8721" s="14" t="s">
        <v>1720</v>
      </c>
      <c r="E8721" s="112"/>
      <c r="F8721" s="139" t="s">
        <v>24875</v>
      </c>
      <c r="G8721" s="140"/>
      <c r="H8721" s="141"/>
      <c r="I8721" s="26">
        <v>24630</v>
      </c>
      <c r="J8721" s="117"/>
      <c r="K8721" s="120"/>
      <c r="L8721" s="121"/>
      <c r="M8721" s="120"/>
      <c r="N8721" s="121"/>
      <c r="O8721" s="120"/>
      <c r="P8721" s="121"/>
      <c r="Q8721" s="120"/>
      <c r="R8721" s="121"/>
      <c r="S8721" s="120"/>
      <c r="T8721" s="121"/>
      <c r="U8721" s="120"/>
      <c r="V8721" s="123"/>
      <c r="W8721" s="125"/>
      <c r="X8721" s="142" t="s">
        <v>25384</v>
      </c>
      <c r="Y8721" s="143"/>
      <c r="Z8721" s="143"/>
      <c r="AA8721" s="143"/>
      <c r="AB8721" s="144"/>
      <c r="AC8721" s="16" t="s">
        <v>21</v>
      </c>
      <c r="AD8721" s="17" t="s">
        <v>1847</v>
      </c>
      <c r="AE8721" s="145"/>
      <c r="AF8721" s="146"/>
      <c r="AG8721" s="146"/>
      <c r="AH8721" s="146"/>
      <c r="AI8721" s="147"/>
      <c r="AJ8721" s="148"/>
      <c r="AK8721" s="143"/>
      <c r="AL8721" s="144"/>
      <c r="AM8721" s="22"/>
      <c r="AN8721" s="149" t="s">
        <v>25047</v>
      </c>
      <c r="AO8721" s="144"/>
      <c r="AP8721" s="148">
        <v>162</v>
      </c>
      <c r="AQ8721" s="144"/>
      <c r="AR8721" s="120"/>
      <c r="AS8721" s="121"/>
      <c r="AT8721" s="120"/>
      <c r="AU8721" s="121"/>
      <c r="AV8721" s="120"/>
      <c r="AW8721" s="121"/>
      <c r="AX8721" s="120"/>
      <c r="AY8721" s="121"/>
      <c r="AZ8721" s="138"/>
    </row>
    <row r="8722" spans="1:52" ht="17.100000000000001" customHeight="1" thickTop="1">
      <c r="A8722" s="109" t="s">
        <v>24867</v>
      </c>
      <c r="B8722" s="28">
        <v>46142</v>
      </c>
      <c r="C8722" s="25">
        <v>2156</v>
      </c>
      <c r="D8722" s="13" t="s">
        <v>24889</v>
      </c>
      <c r="E8722" s="111"/>
      <c r="F8722" s="113" t="s">
        <v>24891</v>
      </c>
      <c r="G8722" s="114"/>
      <c r="H8722" s="115"/>
      <c r="I8722" s="24" t="s">
        <v>24892</v>
      </c>
      <c r="J8722" s="116">
        <v>3.5</v>
      </c>
      <c r="K8722" s="118">
        <v>2503000</v>
      </c>
      <c r="L8722" s="119"/>
      <c r="M8722" s="118">
        <f t="shared" ref="M8722" si="13333">K8722*0.1</f>
        <v>250300</v>
      </c>
      <c r="N8722" s="119"/>
      <c r="O8722" s="118">
        <f>37819+3781</f>
        <v>41600</v>
      </c>
      <c r="P8722" s="119"/>
      <c r="Q8722" s="118">
        <v>10980</v>
      </c>
      <c r="R8722" s="119"/>
      <c r="S8722" s="118">
        <v>14300</v>
      </c>
      <c r="T8722" s="119"/>
      <c r="U8722" s="118">
        <f t="shared" ref="U8722" si="13334">SUM(K8722:T8723)</f>
        <v>2820180</v>
      </c>
      <c r="V8722" s="122"/>
      <c r="W8722" s="124"/>
      <c r="X8722" s="126" t="s">
        <v>24893</v>
      </c>
      <c r="Y8722" s="127"/>
      <c r="Z8722" s="127"/>
      <c r="AA8722" s="127"/>
      <c r="AB8722" s="128"/>
      <c r="AC8722" s="15" t="s">
        <v>20</v>
      </c>
      <c r="AD8722" s="129" t="s">
        <v>24894</v>
      </c>
      <c r="AE8722" s="130"/>
      <c r="AF8722" s="130"/>
      <c r="AG8722" s="130"/>
      <c r="AH8722" s="130"/>
      <c r="AI8722" s="131"/>
      <c r="AJ8722" s="132"/>
      <c r="AK8722" s="127"/>
      <c r="AL8722" s="128"/>
      <c r="AM8722" s="21" t="s">
        <v>25964</v>
      </c>
      <c r="AN8722" s="133"/>
      <c r="AO8722" s="134"/>
      <c r="AP8722" s="135"/>
      <c r="AQ8722" s="136"/>
      <c r="AR8722" s="118"/>
      <c r="AS8722" s="119"/>
      <c r="AT8722" s="118">
        <f t="shared" ref="AT8722" si="13335">AR8722*0.1</f>
        <v>0</v>
      </c>
      <c r="AU8722" s="119"/>
      <c r="AV8722" s="118"/>
      <c r="AW8722" s="119"/>
      <c r="AX8722" s="118">
        <f t="shared" ref="AX8722" si="13336">SUM(AR8722:AW8722)</f>
        <v>0</v>
      </c>
      <c r="AY8722" s="119"/>
      <c r="AZ8722" s="137"/>
    </row>
    <row r="8723" spans="1:52" ht="17.100000000000001" customHeight="1" thickBot="1">
      <c r="A8723" s="110"/>
      <c r="B8723" s="27" t="s">
        <v>24869</v>
      </c>
      <c r="C8723" s="27">
        <v>4077</v>
      </c>
      <c r="D8723" s="14" t="s">
        <v>24890</v>
      </c>
      <c r="E8723" s="112"/>
      <c r="F8723" s="139" t="s">
        <v>24876</v>
      </c>
      <c r="G8723" s="140"/>
      <c r="H8723" s="141"/>
      <c r="I8723" s="26">
        <v>49688</v>
      </c>
      <c r="J8723" s="117"/>
      <c r="K8723" s="120"/>
      <c r="L8723" s="121"/>
      <c r="M8723" s="120"/>
      <c r="N8723" s="121"/>
      <c r="O8723" s="120"/>
      <c r="P8723" s="121"/>
      <c r="Q8723" s="120"/>
      <c r="R8723" s="121"/>
      <c r="S8723" s="120"/>
      <c r="T8723" s="121"/>
      <c r="U8723" s="120"/>
      <c r="V8723" s="123"/>
      <c r="W8723" s="125"/>
      <c r="X8723" s="142" t="s">
        <v>25387</v>
      </c>
      <c r="Y8723" s="143"/>
      <c r="Z8723" s="143"/>
      <c r="AA8723" s="143"/>
      <c r="AB8723" s="144"/>
      <c r="AC8723" s="16" t="s">
        <v>21</v>
      </c>
      <c r="AD8723" s="17" t="s">
        <v>1847</v>
      </c>
      <c r="AE8723" s="145" t="s">
        <v>25388</v>
      </c>
      <c r="AF8723" s="146"/>
      <c r="AG8723" s="146"/>
      <c r="AH8723" s="146"/>
      <c r="AI8723" s="147"/>
      <c r="AJ8723" s="148"/>
      <c r="AK8723" s="143"/>
      <c r="AL8723" s="144"/>
      <c r="AM8723" s="22"/>
      <c r="AN8723" s="149"/>
      <c r="AO8723" s="144"/>
      <c r="AP8723" s="148"/>
      <c r="AQ8723" s="144"/>
      <c r="AR8723" s="120"/>
      <c r="AS8723" s="121"/>
      <c r="AT8723" s="120"/>
      <c r="AU8723" s="121"/>
      <c r="AV8723" s="120"/>
      <c r="AW8723" s="121"/>
      <c r="AX8723" s="120"/>
      <c r="AY8723" s="121"/>
      <c r="AZ8723" s="138"/>
    </row>
    <row r="8724" spans="1:52" ht="17.100000000000001" customHeight="1" thickTop="1">
      <c r="A8724" s="109" t="s">
        <v>24868</v>
      </c>
      <c r="B8724" s="28">
        <v>46142</v>
      </c>
      <c r="C8724" s="25">
        <v>2156</v>
      </c>
      <c r="D8724" s="13" t="s">
        <v>24895</v>
      </c>
      <c r="E8724" s="111"/>
      <c r="F8724" s="113" t="s">
        <v>24896</v>
      </c>
      <c r="G8724" s="114"/>
      <c r="H8724" s="115"/>
      <c r="I8724" s="24"/>
      <c r="J8724" s="116">
        <v>4</v>
      </c>
      <c r="K8724" s="118">
        <v>2029000</v>
      </c>
      <c r="L8724" s="119"/>
      <c r="M8724" s="118">
        <f t="shared" ref="M8724" si="13337">K8724*0.1</f>
        <v>202900</v>
      </c>
      <c r="N8724" s="119"/>
      <c r="O8724" s="118">
        <v>0</v>
      </c>
      <c r="P8724" s="119"/>
      <c r="Q8724" s="118">
        <v>13860</v>
      </c>
      <c r="R8724" s="119"/>
      <c r="S8724" s="118">
        <v>14300</v>
      </c>
      <c r="T8724" s="119"/>
      <c r="U8724" s="118">
        <f t="shared" ref="U8724" si="13338">SUM(K8724:T8725)</f>
        <v>2260060</v>
      </c>
      <c r="V8724" s="122"/>
      <c r="W8724" s="124"/>
      <c r="X8724" s="126" t="s">
        <v>25381</v>
      </c>
      <c r="Y8724" s="127"/>
      <c r="Z8724" s="127"/>
      <c r="AA8724" s="127"/>
      <c r="AB8724" s="128"/>
      <c r="AC8724" s="15" t="s">
        <v>20</v>
      </c>
      <c r="AD8724" s="129"/>
      <c r="AE8724" s="130"/>
      <c r="AF8724" s="130"/>
      <c r="AG8724" s="130"/>
      <c r="AH8724" s="130"/>
      <c r="AI8724" s="131"/>
      <c r="AJ8724" s="132"/>
      <c r="AK8724" s="127"/>
      <c r="AL8724" s="128"/>
      <c r="AM8724" s="21"/>
      <c r="AN8724" s="133">
        <v>46144</v>
      </c>
      <c r="AO8724" s="134"/>
      <c r="AP8724" s="135">
        <v>1299</v>
      </c>
      <c r="AQ8724" s="136"/>
      <c r="AR8724" s="118">
        <v>2180000</v>
      </c>
      <c r="AS8724" s="119"/>
      <c r="AT8724" s="118">
        <f t="shared" ref="AT8724" si="13339">AR8724*0.1</f>
        <v>218000</v>
      </c>
      <c r="AU8724" s="119"/>
      <c r="AV8724" s="118">
        <v>13860</v>
      </c>
      <c r="AW8724" s="119"/>
      <c r="AX8724" s="118">
        <f t="shared" ref="AX8724" si="13340">SUM(AR8724:AW8724)</f>
        <v>2411860</v>
      </c>
      <c r="AY8724" s="119"/>
      <c r="AZ8724" s="137">
        <v>46156</v>
      </c>
    </row>
    <row r="8725" spans="1:52" ht="17.100000000000001" customHeight="1" thickBot="1">
      <c r="A8725" s="110"/>
      <c r="B8725" s="27" t="s">
        <v>24869</v>
      </c>
      <c r="C8725" s="27">
        <v>4211</v>
      </c>
      <c r="D8725" s="14" t="s">
        <v>24829</v>
      </c>
      <c r="E8725" s="112"/>
      <c r="F8725" s="139" t="s">
        <v>24877</v>
      </c>
      <c r="G8725" s="140"/>
      <c r="H8725" s="141"/>
      <c r="I8725" s="26">
        <v>38686</v>
      </c>
      <c r="J8725" s="117"/>
      <c r="K8725" s="120"/>
      <c r="L8725" s="121"/>
      <c r="M8725" s="120"/>
      <c r="N8725" s="121"/>
      <c r="O8725" s="120"/>
      <c r="P8725" s="121"/>
      <c r="Q8725" s="120"/>
      <c r="R8725" s="121"/>
      <c r="S8725" s="120"/>
      <c r="T8725" s="121"/>
      <c r="U8725" s="120"/>
      <c r="V8725" s="123"/>
      <c r="W8725" s="125"/>
      <c r="X8725" s="142" t="s">
        <v>25382</v>
      </c>
      <c r="Y8725" s="143"/>
      <c r="Z8725" s="143"/>
      <c r="AA8725" s="143"/>
      <c r="AB8725" s="144"/>
      <c r="AC8725" s="16" t="s">
        <v>21</v>
      </c>
      <c r="AD8725" s="17" t="s">
        <v>1847</v>
      </c>
      <c r="AE8725" s="145" t="s">
        <v>25175</v>
      </c>
      <c r="AF8725" s="146"/>
      <c r="AG8725" s="146"/>
      <c r="AH8725" s="146"/>
      <c r="AI8725" s="147"/>
      <c r="AJ8725" s="148"/>
      <c r="AK8725" s="143"/>
      <c r="AL8725" s="144"/>
      <c r="AM8725" s="22"/>
      <c r="AN8725" s="149" t="s">
        <v>25047</v>
      </c>
      <c r="AO8725" s="144"/>
      <c r="AP8725" s="148">
        <v>175</v>
      </c>
      <c r="AQ8725" s="144"/>
      <c r="AR8725" s="120"/>
      <c r="AS8725" s="121"/>
      <c r="AT8725" s="120"/>
      <c r="AU8725" s="121"/>
      <c r="AV8725" s="120"/>
      <c r="AW8725" s="121"/>
      <c r="AX8725" s="120"/>
      <c r="AY8725" s="121"/>
      <c r="AZ8725" s="138"/>
    </row>
    <row r="8726" spans="1:52" ht="17.100000000000001" customHeight="1" thickTop="1">
      <c r="A8726" s="109" t="s">
        <v>24870</v>
      </c>
      <c r="B8726" s="28">
        <v>46142</v>
      </c>
      <c r="C8726" s="25">
        <v>2156</v>
      </c>
      <c r="D8726" s="13" t="s">
        <v>24828</v>
      </c>
      <c r="E8726" s="111"/>
      <c r="F8726" s="113" t="s">
        <v>24897</v>
      </c>
      <c r="G8726" s="114"/>
      <c r="H8726" s="115"/>
      <c r="I8726" s="24"/>
      <c r="J8726" s="116">
        <v>4.5</v>
      </c>
      <c r="K8726" s="118">
        <v>864000</v>
      </c>
      <c r="L8726" s="119"/>
      <c r="M8726" s="118">
        <f t="shared" ref="M8726" si="13341">K8726*0.1</f>
        <v>86400</v>
      </c>
      <c r="N8726" s="119"/>
      <c r="O8726" s="118">
        <v>0</v>
      </c>
      <c r="P8726" s="119"/>
      <c r="Q8726" s="118">
        <v>8110</v>
      </c>
      <c r="R8726" s="119"/>
      <c r="S8726" s="118">
        <v>14300</v>
      </c>
      <c r="T8726" s="119"/>
      <c r="U8726" s="118">
        <f t="shared" ref="U8726" si="13342">SUM(K8726:T8727)</f>
        <v>972810</v>
      </c>
      <c r="V8726" s="122"/>
      <c r="W8726" s="124"/>
      <c r="X8726" s="126" t="s">
        <v>25385</v>
      </c>
      <c r="Y8726" s="127"/>
      <c r="Z8726" s="127"/>
      <c r="AA8726" s="127"/>
      <c r="AB8726" s="128"/>
      <c r="AC8726" s="15" t="s">
        <v>20</v>
      </c>
      <c r="AD8726" s="129"/>
      <c r="AE8726" s="130"/>
      <c r="AF8726" s="130"/>
      <c r="AG8726" s="130"/>
      <c r="AH8726" s="130"/>
      <c r="AI8726" s="131"/>
      <c r="AJ8726" s="132"/>
      <c r="AK8726" s="127"/>
      <c r="AL8726" s="128"/>
      <c r="AM8726" s="21"/>
      <c r="AN8726" s="133"/>
      <c r="AO8726" s="134"/>
      <c r="AP8726" s="135"/>
      <c r="AQ8726" s="136"/>
      <c r="AR8726" s="118"/>
      <c r="AS8726" s="119"/>
      <c r="AT8726" s="118">
        <f t="shared" ref="AT8726" si="13343">AR8726*0.1</f>
        <v>0</v>
      </c>
      <c r="AU8726" s="119"/>
      <c r="AV8726" s="118"/>
      <c r="AW8726" s="119"/>
      <c r="AX8726" s="118">
        <f t="shared" ref="AX8726" si="13344">SUM(AR8726:AW8726)</f>
        <v>0</v>
      </c>
      <c r="AY8726" s="119"/>
      <c r="AZ8726" s="137"/>
    </row>
    <row r="8727" spans="1:52" ht="17.100000000000001" customHeight="1" thickBot="1">
      <c r="A8727" s="110"/>
      <c r="B8727" s="27" t="s">
        <v>24869</v>
      </c>
      <c r="C8727" s="27">
        <v>35085</v>
      </c>
      <c r="D8727" s="14" t="s">
        <v>24829</v>
      </c>
      <c r="E8727" s="112"/>
      <c r="F8727" s="139" t="s">
        <v>24878</v>
      </c>
      <c r="G8727" s="140"/>
      <c r="H8727" s="141"/>
      <c r="I8727" s="26">
        <v>58061</v>
      </c>
      <c r="J8727" s="117"/>
      <c r="K8727" s="120"/>
      <c r="L8727" s="121"/>
      <c r="M8727" s="120"/>
      <c r="N8727" s="121"/>
      <c r="O8727" s="120"/>
      <c r="P8727" s="121"/>
      <c r="Q8727" s="120"/>
      <c r="R8727" s="121"/>
      <c r="S8727" s="120"/>
      <c r="T8727" s="121"/>
      <c r="U8727" s="120"/>
      <c r="V8727" s="123"/>
      <c r="W8727" s="125"/>
      <c r="X8727" s="142" t="s">
        <v>25181</v>
      </c>
      <c r="Y8727" s="143"/>
      <c r="Z8727" s="143"/>
      <c r="AA8727" s="143"/>
      <c r="AB8727" s="144"/>
      <c r="AC8727" s="16" t="s">
        <v>21</v>
      </c>
      <c r="AD8727" s="17" t="s">
        <v>1847</v>
      </c>
      <c r="AE8727" s="145" t="s">
        <v>25386</v>
      </c>
      <c r="AF8727" s="146"/>
      <c r="AG8727" s="146"/>
      <c r="AH8727" s="146"/>
      <c r="AI8727" s="147"/>
      <c r="AJ8727" s="148"/>
      <c r="AK8727" s="143"/>
      <c r="AL8727" s="144"/>
      <c r="AM8727" s="22"/>
      <c r="AN8727" s="149"/>
      <c r="AO8727" s="144"/>
      <c r="AP8727" s="148"/>
      <c r="AQ8727" s="144"/>
      <c r="AR8727" s="120"/>
      <c r="AS8727" s="121"/>
      <c r="AT8727" s="120"/>
      <c r="AU8727" s="121"/>
      <c r="AV8727" s="120"/>
      <c r="AW8727" s="121"/>
      <c r="AX8727" s="120"/>
      <c r="AY8727" s="121"/>
      <c r="AZ8727" s="138"/>
    </row>
    <row r="8728" spans="1:52" ht="17.100000000000001" customHeight="1" thickTop="1">
      <c r="A8728" s="109" t="s">
        <v>24898</v>
      </c>
      <c r="B8728" s="28">
        <v>46142</v>
      </c>
      <c r="C8728" s="25">
        <v>2025</v>
      </c>
      <c r="D8728" s="13" t="s">
        <v>24921</v>
      </c>
      <c r="E8728" s="111"/>
      <c r="F8728" s="113" t="s">
        <v>24922</v>
      </c>
      <c r="G8728" s="114"/>
      <c r="H8728" s="115"/>
      <c r="I8728" s="24"/>
      <c r="J8728" s="150" t="s">
        <v>24923</v>
      </c>
      <c r="K8728" s="118">
        <v>1517000</v>
      </c>
      <c r="L8728" s="119"/>
      <c r="M8728" s="118">
        <f t="shared" ref="M8728" si="13345">K8728*0.1</f>
        <v>151700</v>
      </c>
      <c r="N8728" s="119"/>
      <c r="O8728" s="118">
        <v>0</v>
      </c>
      <c r="P8728" s="119"/>
      <c r="Q8728" s="118">
        <v>16550</v>
      </c>
      <c r="R8728" s="119"/>
      <c r="S8728" s="118">
        <v>22000</v>
      </c>
      <c r="T8728" s="119"/>
      <c r="U8728" s="118">
        <f t="shared" ref="U8728" si="13346">SUM(K8728:T8729)</f>
        <v>1707250</v>
      </c>
      <c r="V8728" s="122"/>
      <c r="W8728" s="124"/>
      <c r="X8728" s="126" t="s">
        <v>25588</v>
      </c>
      <c r="Y8728" s="127"/>
      <c r="Z8728" s="127"/>
      <c r="AA8728" s="127"/>
      <c r="AB8728" s="128"/>
      <c r="AC8728" s="15" t="s">
        <v>20</v>
      </c>
      <c r="AD8728" s="129" t="s">
        <v>24924</v>
      </c>
      <c r="AE8728" s="130"/>
      <c r="AF8728" s="130"/>
      <c r="AG8728" s="130"/>
      <c r="AH8728" s="130"/>
      <c r="AI8728" s="131"/>
      <c r="AJ8728" s="132"/>
      <c r="AK8728" s="127"/>
      <c r="AL8728" s="128"/>
      <c r="AM8728" s="21"/>
      <c r="AN8728" s="133"/>
      <c r="AO8728" s="134"/>
      <c r="AP8728" s="135"/>
      <c r="AQ8728" s="136"/>
      <c r="AR8728" s="118"/>
      <c r="AS8728" s="119"/>
      <c r="AT8728" s="118">
        <f t="shared" ref="AT8728" si="13347">AR8728*0.1</f>
        <v>0</v>
      </c>
      <c r="AU8728" s="119"/>
      <c r="AV8728" s="118"/>
      <c r="AW8728" s="119"/>
      <c r="AX8728" s="118">
        <f t="shared" ref="AX8728" si="13348">SUM(AR8728:AW8728)</f>
        <v>0</v>
      </c>
      <c r="AY8728" s="119"/>
      <c r="AZ8728" s="137"/>
    </row>
    <row r="8729" spans="1:52" ht="17.100000000000001" customHeight="1" thickBot="1">
      <c r="A8729" s="110"/>
      <c r="B8729" s="27" t="s">
        <v>24908</v>
      </c>
      <c r="C8729" s="27">
        <v>30170</v>
      </c>
      <c r="D8729" s="14" t="s">
        <v>2601</v>
      </c>
      <c r="E8729" s="112"/>
      <c r="F8729" s="139" t="s">
        <v>24910</v>
      </c>
      <c r="G8729" s="140"/>
      <c r="H8729" s="141"/>
      <c r="I8729" s="26">
        <v>59743</v>
      </c>
      <c r="J8729" s="117"/>
      <c r="K8729" s="120"/>
      <c r="L8729" s="121"/>
      <c r="M8729" s="120"/>
      <c r="N8729" s="121"/>
      <c r="O8729" s="120"/>
      <c r="P8729" s="121"/>
      <c r="Q8729" s="120"/>
      <c r="R8729" s="121"/>
      <c r="S8729" s="120"/>
      <c r="T8729" s="121"/>
      <c r="U8729" s="120"/>
      <c r="V8729" s="123"/>
      <c r="W8729" s="125"/>
      <c r="X8729" s="142" t="s">
        <v>15032</v>
      </c>
      <c r="Y8729" s="143"/>
      <c r="Z8729" s="143"/>
      <c r="AA8729" s="143"/>
      <c r="AB8729" s="144"/>
      <c r="AC8729" s="16" t="s">
        <v>21</v>
      </c>
      <c r="AD8729" s="17" t="s">
        <v>3742</v>
      </c>
      <c r="AE8729" s="145" t="s">
        <v>3604</v>
      </c>
      <c r="AF8729" s="146"/>
      <c r="AG8729" s="146"/>
      <c r="AH8729" s="146"/>
      <c r="AI8729" s="147"/>
      <c r="AJ8729" s="148"/>
      <c r="AK8729" s="143"/>
      <c r="AL8729" s="144"/>
      <c r="AM8729" s="22"/>
      <c r="AN8729" s="149"/>
      <c r="AO8729" s="144"/>
      <c r="AP8729" s="148"/>
      <c r="AQ8729" s="144"/>
      <c r="AR8729" s="120"/>
      <c r="AS8729" s="121"/>
      <c r="AT8729" s="120"/>
      <c r="AU8729" s="121"/>
      <c r="AV8729" s="120"/>
      <c r="AW8729" s="121"/>
      <c r="AX8729" s="120"/>
      <c r="AY8729" s="121"/>
      <c r="AZ8729" s="138"/>
    </row>
    <row r="8730" spans="1:52" ht="17.100000000000001" customHeight="1" thickTop="1">
      <c r="A8730" s="109" t="s">
        <v>24899</v>
      </c>
      <c r="B8730" s="28">
        <v>46142</v>
      </c>
      <c r="C8730" s="25">
        <v>2025</v>
      </c>
      <c r="D8730" s="13" t="s">
        <v>24930</v>
      </c>
      <c r="E8730" s="111"/>
      <c r="F8730" s="113" t="s">
        <v>24931</v>
      </c>
      <c r="G8730" s="114"/>
      <c r="H8730" s="115"/>
      <c r="I8730" s="24" t="s">
        <v>24932</v>
      </c>
      <c r="J8730" s="116">
        <v>3.5</v>
      </c>
      <c r="K8730" s="118">
        <v>2881000</v>
      </c>
      <c r="L8730" s="119"/>
      <c r="M8730" s="118">
        <f t="shared" ref="M8730" si="13349">K8730*0.1</f>
        <v>288100</v>
      </c>
      <c r="N8730" s="119"/>
      <c r="O8730" s="118">
        <f>39800+3980</f>
        <v>43780</v>
      </c>
      <c r="P8730" s="119"/>
      <c r="Q8730" s="118">
        <v>14900</v>
      </c>
      <c r="R8730" s="119"/>
      <c r="S8730" s="118">
        <v>22000</v>
      </c>
      <c r="T8730" s="119"/>
      <c r="U8730" s="118">
        <f t="shared" ref="U8730" si="13350">SUM(K8730:T8731)</f>
        <v>3249780</v>
      </c>
      <c r="V8730" s="122"/>
      <c r="W8730" s="124"/>
      <c r="X8730" s="126" t="s">
        <v>24933</v>
      </c>
      <c r="Y8730" s="127"/>
      <c r="Z8730" s="127"/>
      <c r="AA8730" s="127"/>
      <c r="AB8730" s="128"/>
      <c r="AC8730" s="15" t="s">
        <v>20</v>
      </c>
      <c r="AD8730" s="129" t="s">
        <v>24924</v>
      </c>
      <c r="AE8730" s="130"/>
      <c r="AF8730" s="130"/>
      <c r="AG8730" s="130"/>
      <c r="AH8730" s="130"/>
      <c r="AI8730" s="131"/>
      <c r="AJ8730" s="132"/>
      <c r="AK8730" s="127"/>
      <c r="AL8730" s="128"/>
      <c r="AM8730" s="21"/>
      <c r="AN8730" s="133">
        <v>46144</v>
      </c>
      <c r="AO8730" s="134"/>
      <c r="AP8730" s="135">
        <v>1299</v>
      </c>
      <c r="AQ8730" s="136"/>
      <c r="AR8730" s="118">
        <v>3165000</v>
      </c>
      <c r="AS8730" s="119"/>
      <c r="AT8730" s="118">
        <f t="shared" ref="AT8730" si="13351">AR8730*0.1</f>
        <v>316500</v>
      </c>
      <c r="AU8730" s="119"/>
      <c r="AV8730" s="118">
        <v>14900</v>
      </c>
      <c r="AW8730" s="119"/>
      <c r="AX8730" s="118">
        <f t="shared" ref="AX8730" si="13352">SUM(AR8730:AW8730)</f>
        <v>3496400</v>
      </c>
      <c r="AY8730" s="119"/>
      <c r="AZ8730" s="137">
        <v>46161</v>
      </c>
    </row>
    <row r="8731" spans="1:52" ht="17.100000000000001" customHeight="1" thickBot="1">
      <c r="A8731" s="110"/>
      <c r="B8731" s="27" t="s">
        <v>24908</v>
      </c>
      <c r="C8731" s="27">
        <v>30176</v>
      </c>
      <c r="D8731" s="14" t="s">
        <v>2601</v>
      </c>
      <c r="E8731" s="112"/>
      <c r="F8731" s="139" t="s">
        <v>24911</v>
      </c>
      <c r="G8731" s="140"/>
      <c r="H8731" s="141"/>
      <c r="I8731" s="26">
        <v>37242</v>
      </c>
      <c r="J8731" s="117"/>
      <c r="K8731" s="120"/>
      <c r="L8731" s="121"/>
      <c r="M8731" s="120"/>
      <c r="N8731" s="121"/>
      <c r="O8731" s="120"/>
      <c r="P8731" s="121"/>
      <c r="Q8731" s="120"/>
      <c r="R8731" s="121"/>
      <c r="S8731" s="120"/>
      <c r="T8731" s="121"/>
      <c r="U8731" s="120"/>
      <c r="V8731" s="123"/>
      <c r="W8731" s="125"/>
      <c r="X8731" s="142" t="s">
        <v>2321</v>
      </c>
      <c r="Y8731" s="143"/>
      <c r="Z8731" s="143"/>
      <c r="AA8731" s="143"/>
      <c r="AB8731" s="144"/>
      <c r="AC8731" s="16" t="s">
        <v>21</v>
      </c>
      <c r="AD8731" s="17" t="s">
        <v>2413</v>
      </c>
      <c r="AE8731" s="145" t="s">
        <v>5075</v>
      </c>
      <c r="AF8731" s="146"/>
      <c r="AG8731" s="146"/>
      <c r="AH8731" s="146"/>
      <c r="AI8731" s="147"/>
      <c r="AJ8731" s="148"/>
      <c r="AK8731" s="143"/>
      <c r="AL8731" s="144"/>
      <c r="AM8731" s="22"/>
      <c r="AN8731" s="149" t="s">
        <v>25047</v>
      </c>
      <c r="AO8731" s="144"/>
      <c r="AP8731" s="148">
        <v>195</v>
      </c>
      <c r="AQ8731" s="144"/>
      <c r="AR8731" s="120"/>
      <c r="AS8731" s="121"/>
      <c r="AT8731" s="120"/>
      <c r="AU8731" s="121"/>
      <c r="AV8731" s="120"/>
      <c r="AW8731" s="121"/>
      <c r="AX8731" s="120"/>
      <c r="AY8731" s="121"/>
      <c r="AZ8731" s="138"/>
    </row>
    <row r="8732" spans="1:52" ht="17.100000000000001" customHeight="1" thickTop="1">
      <c r="A8732" s="109" t="s">
        <v>24900</v>
      </c>
      <c r="B8732" s="28">
        <v>46142</v>
      </c>
      <c r="C8732" s="25">
        <v>2025</v>
      </c>
      <c r="D8732" s="13" t="s">
        <v>24927</v>
      </c>
      <c r="E8732" s="111"/>
      <c r="F8732" s="113" t="s">
        <v>24928</v>
      </c>
      <c r="G8732" s="114"/>
      <c r="H8732" s="115"/>
      <c r="I8732" s="24"/>
      <c r="J8732" s="116">
        <v>4</v>
      </c>
      <c r="K8732" s="118">
        <v>1196000</v>
      </c>
      <c r="L8732" s="119"/>
      <c r="M8732" s="118">
        <f t="shared" ref="M8732" si="13353">K8732*0.1</f>
        <v>119600</v>
      </c>
      <c r="N8732" s="119"/>
      <c r="O8732" s="118">
        <v>0</v>
      </c>
      <c r="P8732" s="119"/>
      <c r="Q8732" s="118">
        <v>12710</v>
      </c>
      <c r="R8732" s="119"/>
      <c r="S8732" s="118">
        <v>22000</v>
      </c>
      <c r="T8732" s="119"/>
      <c r="U8732" s="118">
        <f t="shared" ref="U8732" si="13354">SUM(K8732:T8733)</f>
        <v>1350310</v>
      </c>
      <c r="V8732" s="122"/>
      <c r="W8732" s="124"/>
      <c r="X8732" s="126" t="s">
        <v>25595</v>
      </c>
      <c r="Y8732" s="127"/>
      <c r="Z8732" s="127"/>
      <c r="AA8732" s="127"/>
      <c r="AB8732" s="128"/>
      <c r="AC8732" s="15" t="s">
        <v>20</v>
      </c>
      <c r="AD8732" s="129" t="s">
        <v>24929</v>
      </c>
      <c r="AE8732" s="130"/>
      <c r="AF8732" s="130"/>
      <c r="AG8732" s="130"/>
      <c r="AH8732" s="130"/>
      <c r="AI8732" s="131"/>
      <c r="AJ8732" s="132"/>
      <c r="AK8732" s="127"/>
      <c r="AL8732" s="128"/>
      <c r="AM8732" s="21"/>
      <c r="AN8732" s="133"/>
      <c r="AO8732" s="134"/>
      <c r="AP8732" s="135"/>
      <c r="AQ8732" s="136"/>
      <c r="AR8732" s="118"/>
      <c r="AS8732" s="119"/>
      <c r="AT8732" s="118">
        <f t="shared" ref="AT8732" si="13355">AR8732*0.1</f>
        <v>0</v>
      </c>
      <c r="AU8732" s="119"/>
      <c r="AV8732" s="118"/>
      <c r="AW8732" s="119"/>
      <c r="AX8732" s="118">
        <f t="shared" ref="AX8732" si="13356">SUM(AR8732:AW8732)</f>
        <v>0</v>
      </c>
      <c r="AY8732" s="119"/>
      <c r="AZ8732" s="137"/>
    </row>
    <row r="8733" spans="1:52" ht="17.100000000000001" customHeight="1" thickBot="1">
      <c r="A8733" s="110"/>
      <c r="B8733" s="27" t="s">
        <v>24908</v>
      </c>
      <c r="C8733" s="27">
        <v>30248</v>
      </c>
      <c r="D8733" s="14" t="s">
        <v>1720</v>
      </c>
      <c r="E8733" s="112"/>
      <c r="F8733" s="139" t="s">
        <v>24912</v>
      </c>
      <c r="G8733" s="140"/>
      <c r="H8733" s="141"/>
      <c r="I8733" s="26">
        <v>73120</v>
      </c>
      <c r="J8733" s="117"/>
      <c r="K8733" s="120"/>
      <c r="L8733" s="121"/>
      <c r="M8733" s="120"/>
      <c r="N8733" s="121"/>
      <c r="O8733" s="120"/>
      <c r="P8733" s="121"/>
      <c r="Q8733" s="120"/>
      <c r="R8733" s="121"/>
      <c r="S8733" s="120"/>
      <c r="T8733" s="121"/>
      <c r="U8733" s="120"/>
      <c r="V8733" s="123"/>
      <c r="W8733" s="125"/>
      <c r="X8733" s="142" t="s">
        <v>21953</v>
      </c>
      <c r="Y8733" s="143"/>
      <c r="Z8733" s="143"/>
      <c r="AA8733" s="143"/>
      <c r="AB8733" s="144"/>
      <c r="AC8733" s="16" t="s">
        <v>21</v>
      </c>
      <c r="AD8733" s="17" t="s">
        <v>2413</v>
      </c>
      <c r="AE8733" s="145" t="s">
        <v>1742</v>
      </c>
      <c r="AF8733" s="146"/>
      <c r="AG8733" s="146"/>
      <c r="AH8733" s="146"/>
      <c r="AI8733" s="147"/>
      <c r="AJ8733" s="148"/>
      <c r="AK8733" s="143"/>
      <c r="AL8733" s="144"/>
      <c r="AM8733" s="22"/>
      <c r="AN8733" s="149"/>
      <c r="AO8733" s="144"/>
      <c r="AP8733" s="148"/>
      <c r="AQ8733" s="144"/>
      <c r="AR8733" s="120"/>
      <c r="AS8733" s="121"/>
      <c r="AT8733" s="120"/>
      <c r="AU8733" s="121"/>
      <c r="AV8733" s="120"/>
      <c r="AW8733" s="121"/>
      <c r="AX8733" s="120"/>
      <c r="AY8733" s="121"/>
      <c r="AZ8733" s="138"/>
    </row>
    <row r="8734" spans="1:52" ht="17.100000000000001" customHeight="1" thickTop="1">
      <c r="A8734" s="109" t="s">
        <v>24901</v>
      </c>
      <c r="B8734" s="28">
        <v>46142</v>
      </c>
      <c r="C8734" s="25">
        <v>2025</v>
      </c>
      <c r="D8734" s="13" t="s">
        <v>24925</v>
      </c>
      <c r="E8734" s="111"/>
      <c r="F8734" s="113" t="s">
        <v>24926</v>
      </c>
      <c r="G8734" s="114"/>
      <c r="H8734" s="115"/>
      <c r="I8734" s="24"/>
      <c r="J8734" s="116">
        <v>4.5</v>
      </c>
      <c r="K8734" s="118">
        <v>2963000</v>
      </c>
      <c r="L8734" s="119"/>
      <c r="M8734" s="118">
        <f t="shared" ref="M8734" si="13357">K8734*0.1</f>
        <v>296300</v>
      </c>
      <c r="N8734" s="119"/>
      <c r="O8734" s="118">
        <v>0</v>
      </c>
      <c r="P8734" s="119"/>
      <c r="Q8734" s="118">
        <v>13370</v>
      </c>
      <c r="R8734" s="119"/>
      <c r="S8734" s="118">
        <v>22000</v>
      </c>
      <c r="T8734" s="119"/>
      <c r="U8734" s="118">
        <f t="shared" ref="U8734" si="13358">SUM(K8734:T8735)</f>
        <v>3294670</v>
      </c>
      <c r="V8734" s="122"/>
      <c r="W8734" s="124"/>
      <c r="X8734" s="126" t="s">
        <v>25569</v>
      </c>
      <c r="Y8734" s="127"/>
      <c r="Z8734" s="127"/>
      <c r="AA8734" s="127"/>
      <c r="AB8734" s="128"/>
      <c r="AC8734" s="15" t="s">
        <v>20</v>
      </c>
      <c r="AD8734" s="129" t="s">
        <v>24924</v>
      </c>
      <c r="AE8734" s="130"/>
      <c r="AF8734" s="130"/>
      <c r="AG8734" s="130"/>
      <c r="AH8734" s="130"/>
      <c r="AI8734" s="131"/>
      <c r="AJ8734" s="132"/>
      <c r="AK8734" s="127"/>
      <c r="AL8734" s="128"/>
      <c r="AM8734" s="21"/>
      <c r="AN8734" s="133">
        <v>46158</v>
      </c>
      <c r="AO8734" s="134"/>
      <c r="AP8734" s="135">
        <v>1300</v>
      </c>
      <c r="AQ8734" s="136"/>
      <c r="AR8734" s="118">
        <v>3100000</v>
      </c>
      <c r="AS8734" s="119"/>
      <c r="AT8734" s="118">
        <f t="shared" ref="AT8734" si="13359">AR8734*0.1</f>
        <v>310000</v>
      </c>
      <c r="AU8734" s="119"/>
      <c r="AV8734" s="118">
        <v>13370</v>
      </c>
      <c r="AW8734" s="119"/>
      <c r="AX8734" s="118">
        <f t="shared" ref="AX8734" si="13360">SUM(AR8734:AW8734)</f>
        <v>3423370</v>
      </c>
      <c r="AY8734" s="119"/>
      <c r="AZ8734" s="137">
        <v>46161</v>
      </c>
    </row>
    <row r="8735" spans="1:52" ht="17.100000000000001" customHeight="1" thickBot="1">
      <c r="A8735" s="110"/>
      <c r="B8735" s="27" t="s">
        <v>24908</v>
      </c>
      <c r="C8735" s="27">
        <v>30264</v>
      </c>
      <c r="D8735" s="14" t="s">
        <v>24829</v>
      </c>
      <c r="E8735" s="112"/>
      <c r="F8735" s="139" t="s">
        <v>24913</v>
      </c>
      <c r="G8735" s="140"/>
      <c r="H8735" s="141"/>
      <c r="I8735" s="26">
        <v>32266</v>
      </c>
      <c r="J8735" s="117"/>
      <c r="K8735" s="120"/>
      <c r="L8735" s="121"/>
      <c r="M8735" s="120"/>
      <c r="N8735" s="121"/>
      <c r="O8735" s="120"/>
      <c r="P8735" s="121"/>
      <c r="Q8735" s="120"/>
      <c r="R8735" s="121"/>
      <c r="S8735" s="120"/>
      <c r="T8735" s="121"/>
      <c r="U8735" s="120"/>
      <c r="V8735" s="123"/>
      <c r="W8735" s="125"/>
      <c r="X8735" s="142" t="s">
        <v>25570</v>
      </c>
      <c r="Y8735" s="143"/>
      <c r="Z8735" s="143"/>
      <c r="AA8735" s="143"/>
      <c r="AB8735" s="144"/>
      <c r="AC8735" s="16" t="s">
        <v>21</v>
      </c>
      <c r="AD8735" s="17" t="s">
        <v>2413</v>
      </c>
      <c r="AE8735" s="145" t="s">
        <v>25984</v>
      </c>
      <c r="AF8735" s="146"/>
      <c r="AG8735" s="146"/>
      <c r="AH8735" s="146"/>
      <c r="AI8735" s="147"/>
      <c r="AJ8735" s="148"/>
      <c r="AK8735" s="143"/>
      <c r="AL8735" s="144"/>
      <c r="AM8735" s="22"/>
      <c r="AN8735" s="149" t="s">
        <v>2511</v>
      </c>
      <c r="AO8735" s="144"/>
      <c r="AP8735" s="148">
        <v>13089</v>
      </c>
      <c r="AQ8735" s="144"/>
      <c r="AR8735" s="120"/>
      <c r="AS8735" s="121"/>
      <c r="AT8735" s="120"/>
      <c r="AU8735" s="121"/>
      <c r="AV8735" s="120"/>
      <c r="AW8735" s="121"/>
      <c r="AX8735" s="120"/>
      <c r="AY8735" s="121"/>
      <c r="AZ8735" s="138"/>
    </row>
    <row r="8736" spans="1:52" ht="17.100000000000001" customHeight="1" thickTop="1">
      <c r="A8736" s="109" t="s">
        <v>24902</v>
      </c>
      <c r="B8736" s="28">
        <v>46142</v>
      </c>
      <c r="C8736" s="25">
        <v>2025</v>
      </c>
      <c r="D8736" s="13" t="s">
        <v>24953</v>
      </c>
      <c r="E8736" s="111"/>
      <c r="F8736" s="113" t="s">
        <v>24954</v>
      </c>
      <c r="G8736" s="114"/>
      <c r="H8736" s="115"/>
      <c r="I8736" s="24" t="s">
        <v>24955</v>
      </c>
      <c r="J8736" s="116">
        <v>4</v>
      </c>
      <c r="K8736" s="118">
        <v>721000</v>
      </c>
      <c r="L8736" s="119"/>
      <c r="M8736" s="118">
        <f t="shared" ref="M8736" si="13361">K8736*0.1</f>
        <v>72100</v>
      </c>
      <c r="N8736" s="119"/>
      <c r="O8736" s="118">
        <v>0</v>
      </c>
      <c r="P8736" s="119"/>
      <c r="Q8736" s="118">
        <v>6590</v>
      </c>
      <c r="R8736" s="119"/>
      <c r="S8736" s="118">
        <v>22000</v>
      </c>
      <c r="T8736" s="119"/>
      <c r="U8736" s="118">
        <f t="shared" ref="U8736" si="13362">SUM(K8736:T8737)</f>
        <v>821690</v>
      </c>
      <c r="V8736" s="122"/>
      <c r="W8736" s="124"/>
      <c r="X8736" s="126" t="s">
        <v>24956</v>
      </c>
      <c r="Y8736" s="127"/>
      <c r="Z8736" s="127"/>
      <c r="AA8736" s="127"/>
      <c r="AB8736" s="128"/>
      <c r="AC8736" s="15" t="s">
        <v>20</v>
      </c>
      <c r="AD8736" s="129" t="s">
        <v>24957</v>
      </c>
      <c r="AE8736" s="130"/>
      <c r="AF8736" s="130"/>
      <c r="AG8736" s="130"/>
      <c r="AH8736" s="130"/>
      <c r="AI8736" s="131"/>
      <c r="AJ8736" s="132"/>
      <c r="AK8736" s="127"/>
      <c r="AL8736" s="128"/>
      <c r="AM8736" s="21"/>
      <c r="AN8736" s="133"/>
      <c r="AO8736" s="134"/>
      <c r="AP8736" s="135"/>
      <c r="AQ8736" s="136"/>
      <c r="AR8736" s="118"/>
      <c r="AS8736" s="119"/>
      <c r="AT8736" s="118">
        <f t="shared" ref="AT8736" si="13363">AR8736*0.1</f>
        <v>0</v>
      </c>
      <c r="AU8736" s="119"/>
      <c r="AV8736" s="118"/>
      <c r="AW8736" s="119"/>
      <c r="AX8736" s="118">
        <f t="shared" ref="AX8736" si="13364">SUM(AR8736:AW8736)</f>
        <v>0</v>
      </c>
      <c r="AY8736" s="119"/>
      <c r="AZ8736" s="137"/>
    </row>
    <row r="8737" spans="1:52" ht="17.100000000000001" customHeight="1" thickBot="1">
      <c r="A8737" s="110"/>
      <c r="B8737" s="27" t="s">
        <v>24908</v>
      </c>
      <c r="C8737" s="27">
        <v>50018</v>
      </c>
      <c r="D8737" s="14" t="s">
        <v>24890</v>
      </c>
      <c r="E8737" s="112"/>
      <c r="F8737" s="139" t="s">
        <v>24914</v>
      </c>
      <c r="G8737" s="140"/>
      <c r="H8737" s="141"/>
      <c r="I8737" s="26">
        <v>58255</v>
      </c>
      <c r="J8737" s="117"/>
      <c r="K8737" s="120"/>
      <c r="L8737" s="121"/>
      <c r="M8737" s="120"/>
      <c r="N8737" s="121"/>
      <c r="O8737" s="120"/>
      <c r="P8737" s="121"/>
      <c r="Q8737" s="120"/>
      <c r="R8737" s="121"/>
      <c r="S8737" s="120"/>
      <c r="T8737" s="121"/>
      <c r="U8737" s="120"/>
      <c r="V8737" s="123"/>
      <c r="W8737" s="125"/>
      <c r="X8737" s="142" t="s">
        <v>13734</v>
      </c>
      <c r="Y8737" s="143"/>
      <c r="Z8737" s="143"/>
      <c r="AA8737" s="143"/>
      <c r="AB8737" s="144"/>
      <c r="AC8737" s="16" t="s">
        <v>21</v>
      </c>
      <c r="AD8737" s="17" t="s">
        <v>2413</v>
      </c>
      <c r="AE8737" s="145" t="s">
        <v>7984</v>
      </c>
      <c r="AF8737" s="146"/>
      <c r="AG8737" s="146"/>
      <c r="AH8737" s="146"/>
      <c r="AI8737" s="147"/>
      <c r="AJ8737" s="148"/>
      <c r="AK8737" s="143"/>
      <c r="AL8737" s="144"/>
      <c r="AM8737" s="22"/>
      <c r="AN8737" s="149"/>
      <c r="AO8737" s="144"/>
      <c r="AP8737" s="148"/>
      <c r="AQ8737" s="144"/>
      <c r="AR8737" s="120"/>
      <c r="AS8737" s="121"/>
      <c r="AT8737" s="120"/>
      <c r="AU8737" s="121"/>
      <c r="AV8737" s="120"/>
      <c r="AW8737" s="121"/>
      <c r="AX8737" s="120"/>
      <c r="AY8737" s="121"/>
      <c r="AZ8737" s="138"/>
    </row>
    <row r="8738" spans="1:52" ht="17.100000000000001" customHeight="1" thickTop="1">
      <c r="A8738" s="109" t="s">
        <v>24903</v>
      </c>
      <c r="B8738" s="28">
        <v>46142</v>
      </c>
      <c r="C8738" s="25">
        <v>2025</v>
      </c>
      <c r="D8738" s="13" t="s">
        <v>24921</v>
      </c>
      <c r="E8738" s="111"/>
      <c r="F8738" s="113" t="s">
        <v>24952</v>
      </c>
      <c r="G8738" s="114"/>
      <c r="H8738" s="115"/>
      <c r="I8738" s="24"/>
      <c r="J8738" s="116">
        <v>4</v>
      </c>
      <c r="K8738" s="118">
        <v>656000</v>
      </c>
      <c r="L8738" s="119"/>
      <c r="M8738" s="118">
        <f t="shared" ref="M8738" si="13365">K8738*0.1</f>
        <v>65600</v>
      </c>
      <c r="N8738" s="119"/>
      <c r="O8738" s="118">
        <v>0</v>
      </c>
      <c r="P8738" s="119"/>
      <c r="Q8738" s="118">
        <v>9200</v>
      </c>
      <c r="R8738" s="119"/>
      <c r="S8738" s="118">
        <v>22000</v>
      </c>
      <c r="T8738" s="119"/>
      <c r="U8738" s="118">
        <f t="shared" ref="U8738" si="13366">SUM(K8738:T8739)</f>
        <v>752800</v>
      </c>
      <c r="V8738" s="122"/>
      <c r="W8738" s="124"/>
      <c r="X8738" s="126" t="s">
        <v>25596</v>
      </c>
      <c r="Y8738" s="127"/>
      <c r="Z8738" s="127"/>
      <c r="AA8738" s="127"/>
      <c r="AB8738" s="128"/>
      <c r="AC8738" s="15" t="s">
        <v>20</v>
      </c>
      <c r="AD8738" s="129"/>
      <c r="AE8738" s="130"/>
      <c r="AF8738" s="130"/>
      <c r="AG8738" s="130"/>
      <c r="AH8738" s="130"/>
      <c r="AI8738" s="131"/>
      <c r="AJ8738" s="132"/>
      <c r="AK8738" s="127"/>
      <c r="AL8738" s="128"/>
      <c r="AM8738" s="21"/>
      <c r="AN8738" s="133"/>
      <c r="AO8738" s="134"/>
      <c r="AP8738" s="135"/>
      <c r="AQ8738" s="136"/>
      <c r="AR8738" s="118"/>
      <c r="AS8738" s="119"/>
      <c r="AT8738" s="118">
        <f t="shared" ref="AT8738" si="13367">AR8738*0.1</f>
        <v>0</v>
      </c>
      <c r="AU8738" s="119"/>
      <c r="AV8738" s="118"/>
      <c r="AW8738" s="119"/>
      <c r="AX8738" s="118">
        <f t="shared" ref="AX8738" si="13368">SUM(AR8738:AW8738)</f>
        <v>0</v>
      </c>
      <c r="AY8738" s="119"/>
      <c r="AZ8738" s="137"/>
    </row>
    <row r="8739" spans="1:52" ht="17.100000000000001" customHeight="1" thickBot="1">
      <c r="A8739" s="110"/>
      <c r="B8739" s="27" t="s">
        <v>24908</v>
      </c>
      <c r="C8739" s="27">
        <v>50019</v>
      </c>
      <c r="D8739" s="14" t="s">
        <v>24829</v>
      </c>
      <c r="E8739" s="112"/>
      <c r="F8739" s="139" t="s">
        <v>24915</v>
      </c>
      <c r="G8739" s="140"/>
      <c r="H8739" s="141"/>
      <c r="I8739" s="26">
        <v>56911</v>
      </c>
      <c r="J8739" s="117"/>
      <c r="K8739" s="120"/>
      <c r="L8739" s="121"/>
      <c r="M8739" s="120"/>
      <c r="N8739" s="121"/>
      <c r="O8739" s="120"/>
      <c r="P8739" s="121"/>
      <c r="Q8739" s="120"/>
      <c r="R8739" s="121"/>
      <c r="S8739" s="120"/>
      <c r="T8739" s="121"/>
      <c r="U8739" s="120"/>
      <c r="V8739" s="123"/>
      <c r="W8739" s="125"/>
      <c r="X8739" s="142" t="s">
        <v>6837</v>
      </c>
      <c r="Y8739" s="143"/>
      <c r="Z8739" s="143"/>
      <c r="AA8739" s="143"/>
      <c r="AB8739" s="144"/>
      <c r="AC8739" s="16" t="s">
        <v>21</v>
      </c>
      <c r="AD8739" s="17" t="s">
        <v>2413</v>
      </c>
      <c r="AE8739" s="145" t="s">
        <v>7984</v>
      </c>
      <c r="AF8739" s="146"/>
      <c r="AG8739" s="146"/>
      <c r="AH8739" s="146"/>
      <c r="AI8739" s="147"/>
      <c r="AJ8739" s="148"/>
      <c r="AK8739" s="143"/>
      <c r="AL8739" s="144"/>
      <c r="AM8739" s="22"/>
      <c r="AN8739" s="149"/>
      <c r="AO8739" s="144"/>
      <c r="AP8739" s="148"/>
      <c r="AQ8739" s="144"/>
      <c r="AR8739" s="120"/>
      <c r="AS8739" s="121"/>
      <c r="AT8739" s="120"/>
      <c r="AU8739" s="121"/>
      <c r="AV8739" s="120"/>
      <c r="AW8739" s="121"/>
      <c r="AX8739" s="120"/>
      <c r="AY8739" s="121"/>
      <c r="AZ8739" s="138"/>
    </row>
    <row r="8740" spans="1:52" ht="17.100000000000001" customHeight="1" thickTop="1">
      <c r="A8740" s="109" t="s">
        <v>24904</v>
      </c>
      <c r="B8740" s="28">
        <v>46142</v>
      </c>
      <c r="C8740" s="25">
        <v>2025</v>
      </c>
      <c r="D8740" s="13" t="s">
        <v>24948</v>
      </c>
      <c r="E8740" s="111"/>
      <c r="F8740" s="113" t="s">
        <v>24949</v>
      </c>
      <c r="G8740" s="114"/>
      <c r="H8740" s="115"/>
      <c r="I8740" s="24" t="s">
        <v>24950</v>
      </c>
      <c r="J8740" s="116">
        <v>4</v>
      </c>
      <c r="K8740" s="118">
        <v>279000</v>
      </c>
      <c r="L8740" s="119"/>
      <c r="M8740" s="118">
        <f t="shared" ref="M8740" si="13369">K8740*0.1</f>
        <v>27900</v>
      </c>
      <c r="N8740" s="119"/>
      <c r="O8740" s="118">
        <v>0</v>
      </c>
      <c r="P8740" s="119"/>
      <c r="Q8740" s="118">
        <v>8460</v>
      </c>
      <c r="R8740" s="119"/>
      <c r="S8740" s="118">
        <v>22000</v>
      </c>
      <c r="T8740" s="119"/>
      <c r="U8740" s="118">
        <f t="shared" ref="U8740" si="13370">SUM(K8740:T8741)</f>
        <v>337360</v>
      </c>
      <c r="V8740" s="122"/>
      <c r="W8740" s="124"/>
      <c r="X8740" s="126" t="s">
        <v>25735</v>
      </c>
      <c r="Y8740" s="127"/>
      <c r="Z8740" s="127"/>
      <c r="AA8740" s="127"/>
      <c r="AB8740" s="128"/>
      <c r="AC8740" s="15" t="s">
        <v>20</v>
      </c>
      <c r="AD8740" s="129" t="s">
        <v>24951</v>
      </c>
      <c r="AE8740" s="130"/>
      <c r="AF8740" s="130"/>
      <c r="AG8740" s="130"/>
      <c r="AH8740" s="130"/>
      <c r="AI8740" s="131"/>
      <c r="AJ8740" s="132"/>
      <c r="AK8740" s="127"/>
      <c r="AL8740" s="128"/>
      <c r="AM8740" s="21"/>
      <c r="AN8740" s="133"/>
      <c r="AO8740" s="134"/>
      <c r="AP8740" s="135"/>
      <c r="AQ8740" s="136"/>
      <c r="AR8740" s="118"/>
      <c r="AS8740" s="119"/>
      <c r="AT8740" s="118">
        <f t="shared" ref="AT8740" si="13371">AR8740*0.1</f>
        <v>0</v>
      </c>
      <c r="AU8740" s="119"/>
      <c r="AV8740" s="118"/>
      <c r="AW8740" s="119"/>
      <c r="AX8740" s="118">
        <f t="shared" ref="AX8740" si="13372">SUM(AR8740:AW8740)</f>
        <v>0</v>
      </c>
      <c r="AY8740" s="119"/>
      <c r="AZ8740" s="137"/>
    </row>
    <row r="8741" spans="1:52" ht="17.100000000000001" customHeight="1" thickBot="1">
      <c r="A8741" s="110"/>
      <c r="B8741" s="27" t="s">
        <v>24908</v>
      </c>
      <c r="C8741" s="27">
        <v>50121</v>
      </c>
      <c r="D8741" s="14" t="s">
        <v>1720</v>
      </c>
      <c r="E8741" s="112"/>
      <c r="F8741" s="139" t="s">
        <v>24916</v>
      </c>
      <c r="G8741" s="140"/>
      <c r="H8741" s="141"/>
      <c r="I8741" s="26">
        <v>34266</v>
      </c>
      <c r="J8741" s="117"/>
      <c r="K8741" s="120"/>
      <c r="L8741" s="121"/>
      <c r="M8741" s="120"/>
      <c r="N8741" s="121"/>
      <c r="O8741" s="120"/>
      <c r="P8741" s="121"/>
      <c r="Q8741" s="120"/>
      <c r="R8741" s="121"/>
      <c r="S8741" s="120"/>
      <c r="T8741" s="121"/>
      <c r="U8741" s="120"/>
      <c r="V8741" s="123"/>
      <c r="W8741" s="125"/>
      <c r="X8741" s="142" t="s">
        <v>25736</v>
      </c>
      <c r="Y8741" s="143"/>
      <c r="Z8741" s="143"/>
      <c r="AA8741" s="143"/>
      <c r="AB8741" s="144"/>
      <c r="AC8741" s="16" t="s">
        <v>21</v>
      </c>
      <c r="AD8741" s="17" t="s">
        <v>25722</v>
      </c>
      <c r="AE8741" s="145" t="s">
        <v>3896</v>
      </c>
      <c r="AF8741" s="146"/>
      <c r="AG8741" s="146"/>
      <c r="AH8741" s="146"/>
      <c r="AI8741" s="147"/>
      <c r="AJ8741" s="148"/>
      <c r="AK8741" s="143"/>
      <c r="AL8741" s="144"/>
      <c r="AM8741" s="22"/>
      <c r="AN8741" s="149"/>
      <c r="AO8741" s="144"/>
      <c r="AP8741" s="148"/>
      <c r="AQ8741" s="144"/>
      <c r="AR8741" s="120"/>
      <c r="AS8741" s="121"/>
      <c r="AT8741" s="120"/>
      <c r="AU8741" s="121"/>
      <c r="AV8741" s="120"/>
      <c r="AW8741" s="121"/>
      <c r="AX8741" s="120"/>
      <c r="AY8741" s="121"/>
      <c r="AZ8741" s="138"/>
    </row>
    <row r="8742" spans="1:52" ht="17.100000000000001" customHeight="1" thickTop="1">
      <c r="A8742" s="109" t="s">
        <v>24905</v>
      </c>
      <c r="B8742" s="28">
        <v>46142</v>
      </c>
      <c r="C8742" s="25">
        <v>2025</v>
      </c>
      <c r="D8742" s="13" t="s">
        <v>24937</v>
      </c>
      <c r="E8742" s="111"/>
      <c r="F8742" s="113" t="s">
        <v>24945</v>
      </c>
      <c r="G8742" s="114"/>
      <c r="H8742" s="115"/>
      <c r="I8742" s="24" t="s">
        <v>24946</v>
      </c>
      <c r="J8742" s="116">
        <v>4</v>
      </c>
      <c r="K8742" s="118">
        <v>748000</v>
      </c>
      <c r="L8742" s="119"/>
      <c r="M8742" s="118">
        <f t="shared" ref="M8742" si="13373">K8742*0.1</f>
        <v>74800</v>
      </c>
      <c r="N8742" s="119"/>
      <c r="O8742" s="118">
        <v>0</v>
      </c>
      <c r="P8742" s="119"/>
      <c r="Q8742" s="118">
        <v>8740</v>
      </c>
      <c r="R8742" s="119"/>
      <c r="S8742" s="118">
        <v>22000</v>
      </c>
      <c r="T8742" s="119"/>
      <c r="U8742" s="118">
        <f t="shared" ref="U8742" si="13374">SUM(K8742:T8743)</f>
        <v>853540</v>
      </c>
      <c r="V8742" s="122"/>
      <c r="W8742" s="124"/>
      <c r="X8742" s="126" t="s">
        <v>24947</v>
      </c>
      <c r="Y8742" s="127"/>
      <c r="Z8742" s="127"/>
      <c r="AA8742" s="127"/>
      <c r="AB8742" s="128"/>
      <c r="AC8742" s="15" t="s">
        <v>20</v>
      </c>
      <c r="AD8742" s="129" t="s">
        <v>24939</v>
      </c>
      <c r="AE8742" s="130"/>
      <c r="AF8742" s="130"/>
      <c r="AG8742" s="130"/>
      <c r="AH8742" s="130"/>
      <c r="AI8742" s="131"/>
      <c r="AJ8742" s="132"/>
      <c r="AK8742" s="127"/>
      <c r="AL8742" s="128"/>
      <c r="AM8742" s="21"/>
      <c r="AN8742" s="133"/>
      <c r="AO8742" s="134"/>
      <c r="AP8742" s="135"/>
      <c r="AQ8742" s="136"/>
      <c r="AR8742" s="118"/>
      <c r="AS8742" s="119"/>
      <c r="AT8742" s="118">
        <f t="shared" ref="AT8742" si="13375">AR8742*0.1</f>
        <v>0</v>
      </c>
      <c r="AU8742" s="119"/>
      <c r="AV8742" s="118"/>
      <c r="AW8742" s="119"/>
      <c r="AX8742" s="118">
        <f t="shared" ref="AX8742" si="13376">SUM(AR8742:AW8742)</f>
        <v>0</v>
      </c>
      <c r="AY8742" s="119"/>
      <c r="AZ8742" s="137"/>
    </row>
    <row r="8743" spans="1:52" ht="17.100000000000001" customHeight="1" thickBot="1">
      <c r="A8743" s="110"/>
      <c r="B8743" s="27" t="s">
        <v>24908</v>
      </c>
      <c r="C8743" s="27">
        <v>50137</v>
      </c>
      <c r="D8743" s="14" t="s">
        <v>24944</v>
      </c>
      <c r="E8743" s="112"/>
      <c r="F8743" s="139" t="s">
        <v>24917</v>
      </c>
      <c r="G8743" s="140"/>
      <c r="H8743" s="141"/>
      <c r="I8743" s="26">
        <v>15436</v>
      </c>
      <c r="J8743" s="117"/>
      <c r="K8743" s="120"/>
      <c r="L8743" s="121"/>
      <c r="M8743" s="120"/>
      <c r="N8743" s="121"/>
      <c r="O8743" s="120"/>
      <c r="P8743" s="121"/>
      <c r="Q8743" s="120"/>
      <c r="R8743" s="121"/>
      <c r="S8743" s="120"/>
      <c r="T8743" s="121"/>
      <c r="U8743" s="120"/>
      <c r="V8743" s="123"/>
      <c r="W8743" s="125"/>
      <c r="X8743" s="142" t="s">
        <v>4116</v>
      </c>
      <c r="Y8743" s="143"/>
      <c r="Z8743" s="143"/>
      <c r="AA8743" s="143"/>
      <c r="AB8743" s="144"/>
      <c r="AC8743" s="16" t="s">
        <v>21</v>
      </c>
      <c r="AD8743" s="17" t="s">
        <v>2413</v>
      </c>
      <c r="AE8743" s="145" t="s">
        <v>2385</v>
      </c>
      <c r="AF8743" s="146"/>
      <c r="AG8743" s="146"/>
      <c r="AH8743" s="146"/>
      <c r="AI8743" s="147"/>
      <c r="AJ8743" s="148"/>
      <c r="AK8743" s="143"/>
      <c r="AL8743" s="144"/>
      <c r="AM8743" s="22"/>
      <c r="AN8743" s="149"/>
      <c r="AO8743" s="144"/>
      <c r="AP8743" s="148"/>
      <c r="AQ8743" s="144"/>
      <c r="AR8743" s="120"/>
      <c r="AS8743" s="121"/>
      <c r="AT8743" s="120"/>
      <c r="AU8743" s="121"/>
      <c r="AV8743" s="120"/>
      <c r="AW8743" s="121"/>
      <c r="AX8743" s="120"/>
      <c r="AY8743" s="121"/>
      <c r="AZ8743" s="138"/>
    </row>
    <row r="8744" spans="1:52" ht="17.100000000000001" customHeight="1" thickTop="1">
      <c r="A8744" s="109" t="s">
        <v>24906</v>
      </c>
      <c r="B8744" s="28">
        <v>46142</v>
      </c>
      <c r="C8744" s="25">
        <v>2025</v>
      </c>
      <c r="D8744" s="13" t="s">
        <v>24940</v>
      </c>
      <c r="E8744" s="111"/>
      <c r="F8744" s="113" t="s">
        <v>24941</v>
      </c>
      <c r="G8744" s="114"/>
      <c r="H8744" s="115"/>
      <c r="I8744" s="24" t="s">
        <v>24942</v>
      </c>
      <c r="J8744" s="116">
        <v>4</v>
      </c>
      <c r="K8744" s="118">
        <v>689000</v>
      </c>
      <c r="L8744" s="119"/>
      <c r="M8744" s="118">
        <f t="shared" ref="M8744" si="13377">K8744*0.1</f>
        <v>68900</v>
      </c>
      <c r="N8744" s="119"/>
      <c r="O8744" s="118">
        <v>0</v>
      </c>
      <c r="P8744" s="119"/>
      <c r="Q8744" s="118">
        <v>9790</v>
      </c>
      <c r="R8744" s="119"/>
      <c r="S8744" s="118">
        <v>22000</v>
      </c>
      <c r="T8744" s="119"/>
      <c r="U8744" s="118">
        <f t="shared" ref="U8744" si="13378">SUM(K8744:T8745)</f>
        <v>789690</v>
      </c>
      <c r="V8744" s="122"/>
      <c r="W8744" s="124"/>
      <c r="X8744" s="126" t="s">
        <v>24943</v>
      </c>
      <c r="Y8744" s="127"/>
      <c r="Z8744" s="127"/>
      <c r="AA8744" s="127"/>
      <c r="AB8744" s="128"/>
      <c r="AC8744" s="15" t="s">
        <v>20</v>
      </c>
      <c r="AD8744" s="129" t="s">
        <v>24924</v>
      </c>
      <c r="AE8744" s="130"/>
      <c r="AF8744" s="130"/>
      <c r="AG8744" s="130"/>
      <c r="AH8744" s="130"/>
      <c r="AI8744" s="131"/>
      <c r="AJ8744" s="132"/>
      <c r="AK8744" s="127"/>
      <c r="AL8744" s="128"/>
      <c r="AM8744" s="21"/>
      <c r="AN8744" s="133"/>
      <c r="AO8744" s="134"/>
      <c r="AP8744" s="135"/>
      <c r="AQ8744" s="136"/>
      <c r="AR8744" s="118"/>
      <c r="AS8744" s="119"/>
      <c r="AT8744" s="118">
        <f t="shared" ref="AT8744" si="13379">AR8744*0.1</f>
        <v>0</v>
      </c>
      <c r="AU8744" s="119"/>
      <c r="AV8744" s="118"/>
      <c r="AW8744" s="119"/>
      <c r="AX8744" s="118">
        <f t="shared" ref="AX8744" si="13380">SUM(AR8744:AW8744)</f>
        <v>0</v>
      </c>
      <c r="AY8744" s="119"/>
      <c r="AZ8744" s="137"/>
    </row>
    <row r="8745" spans="1:52" ht="17.100000000000001" customHeight="1" thickBot="1">
      <c r="A8745" s="110"/>
      <c r="B8745" s="27" t="s">
        <v>24908</v>
      </c>
      <c r="C8745" s="27">
        <v>50203</v>
      </c>
      <c r="D8745" s="14" t="s">
        <v>133</v>
      </c>
      <c r="E8745" s="112"/>
      <c r="F8745" s="139" t="s">
        <v>24918</v>
      </c>
      <c r="G8745" s="140"/>
      <c r="H8745" s="141"/>
      <c r="I8745" s="26">
        <v>34789</v>
      </c>
      <c r="J8745" s="117"/>
      <c r="K8745" s="120"/>
      <c r="L8745" s="121"/>
      <c r="M8745" s="120"/>
      <c r="N8745" s="121"/>
      <c r="O8745" s="120"/>
      <c r="P8745" s="121"/>
      <c r="Q8745" s="120"/>
      <c r="R8745" s="121"/>
      <c r="S8745" s="120"/>
      <c r="T8745" s="121"/>
      <c r="U8745" s="120"/>
      <c r="V8745" s="123"/>
      <c r="W8745" s="125"/>
      <c r="X8745" s="142" t="s">
        <v>25597</v>
      </c>
      <c r="Y8745" s="143"/>
      <c r="Z8745" s="143"/>
      <c r="AA8745" s="143"/>
      <c r="AB8745" s="144"/>
      <c r="AC8745" s="16" t="s">
        <v>21</v>
      </c>
      <c r="AD8745" s="17" t="s">
        <v>2413</v>
      </c>
      <c r="AE8745" s="145" t="s">
        <v>2385</v>
      </c>
      <c r="AF8745" s="146"/>
      <c r="AG8745" s="146"/>
      <c r="AH8745" s="146"/>
      <c r="AI8745" s="147"/>
      <c r="AJ8745" s="148"/>
      <c r="AK8745" s="143"/>
      <c r="AL8745" s="144"/>
      <c r="AM8745" s="22"/>
      <c r="AN8745" s="149"/>
      <c r="AO8745" s="144"/>
      <c r="AP8745" s="148"/>
      <c r="AQ8745" s="144"/>
      <c r="AR8745" s="120"/>
      <c r="AS8745" s="121"/>
      <c r="AT8745" s="120"/>
      <c r="AU8745" s="121"/>
      <c r="AV8745" s="120"/>
      <c r="AW8745" s="121"/>
      <c r="AX8745" s="120"/>
      <c r="AY8745" s="121"/>
      <c r="AZ8745" s="138"/>
    </row>
    <row r="8746" spans="1:52" ht="17.100000000000001" customHeight="1" thickTop="1">
      <c r="A8746" s="109" t="s">
        <v>24907</v>
      </c>
      <c r="B8746" s="28">
        <v>46142</v>
      </c>
      <c r="C8746" s="25">
        <v>2025</v>
      </c>
      <c r="D8746" s="13" t="s">
        <v>24937</v>
      </c>
      <c r="E8746" s="111"/>
      <c r="F8746" s="113" t="s">
        <v>24938</v>
      </c>
      <c r="G8746" s="114"/>
      <c r="H8746" s="115"/>
      <c r="I8746" s="24"/>
      <c r="J8746" s="116">
        <v>4</v>
      </c>
      <c r="K8746" s="118">
        <v>1004000</v>
      </c>
      <c r="L8746" s="119"/>
      <c r="M8746" s="118">
        <f t="shared" ref="M8746" si="13381">K8746*0.1</f>
        <v>100400</v>
      </c>
      <c r="N8746" s="119"/>
      <c r="O8746" s="118">
        <v>0</v>
      </c>
      <c r="P8746" s="119"/>
      <c r="Q8746" s="118">
        <v>7150</v>
      </c>
      <c r="R8746" s="119"/>
      <c r="S8746" s="118">
        <v>22000</v>
      </c>
      <c r="T8746" s="119"/>
      <c r="U8746" s="118">
        <f t="shared" ref="U8746" si="13382">SUM(K8746:T8747)</f>
        <v>1133550</v>
      </c>
      <c r="V8746" s="122"/>
      <c r="W8746" s="124"/>
      <c r="X8746" s="126" t="s">
        <v>25533</v>
      </c>
      <c r="Y8746" s="127"/>
      <c r="Z8746" s="127"/>
      <c r="AA8746" s="127"/>
      <c r="AB8746" s="128"/>
      <c r="AC8746" s="15" t="s">
        <v>20</v>
      </c>
      <c r="AD8746" s="129" t="s">
        <v>24939</v>
      </c>
      <c r="AE8746" s="130"/>
      <c r="AF8746" s="130"/>
      <c r="AG8746" s="130"/>
      <c r="AH8746" s="130"/>
      <c r="AI8746" s="131"/>
      <c r="AJ8746" s="132"/>
      <c r="AK8746" s="127"/>
      <c r="AL8746" s="128"/>
      <c r="AM8746" s="21"/>
      <c r="AN8746" s="133">
        <v>46144</v>
      </c>
      <c r="AO8746" s="134"/>
      <c r="AP8746" s="135">
        <v>1299</v>
      </c>
      <c r="AQ8746" s="136"/>
      <c r="AR8746" s="118">
        <v>1075000</v>
      </c>
      <c r="AS8746" s="119"/>
      <c r="AT8746" s="118">
        <f t="shared" ref="AT8746" si="13383">AR8746*0.1</f>
        <v>107500</v>
      </c>
      <c r="AU8746" s="119"/>
      <c r="AV8746" s="118">
        <v>7150</v>
      </c>
      <c r="AW8746" s="119"/>
      <c r="AX8746" s="118">
        <f t="shared" ref="AX8746" si="13384">SUM(AR8746:AW8746)</f>
        <v>1189650</v>
      </c>
      <c r="AY8746" s="119"/>
      <c r="AZ8746" s="137">
        <v>46161</v>
      </c>
    </row>
    <row r="8747" spans="1:52" ht="17.100000000000001" customHeight="1" thickBot="1">
      <c r="A8747" s="110"/>
      <c r="B8747" s="27" t="s">
        <v>24908</v>
      </c>
      <c r="C8747" s="27">
        <v>50227</v>
      </c>
      <c r="D8747" s="14" t="s">
        <v>24829</v>
      </c>
      <c r="E8747" s="112"/>
      <c r="F8747" s="139" t="s">
        <v>24919</v>
      </c>
      <c r="G8747" s="140"/>
      <c r="H8747" s="141"/>
      <c r="I8747" s="26">
        <v>44280</v>
      </c>
      <c r="J8747" s="117"/>
      <c r="K8747" s="120"/>
      <c r="L8747" s="121"/>
      <c r="M8747" s="120"/>
      <c r="N8747" s="121"/>
      <c r="O8747" s="120"/>
      <c r="P8747" s="121"/>
      <c r="Q8747" s="120"/>
      <c r="R8747" s="121"/>
      <c r="S8747" s="120"/>
      <c r="T8747" s="121"/>
      <c r="U8747" s="120"/>
      <c r="V8747" s="123"/>
      <c r="W8747" s="125"/>
      <c r="X8747" s="142" t="s">
        <v>5254</v>
      </c>
      <c r="Y8747" s="143"/>
      <c r="Z8747" s="143"/>
      <c r="AA8747" s="143"/>
      <c r="AB8747" s="144"/>
      <c r="AC8747" s="16" t="s">
        <v>21</v>
      </c>
      <c r="AD8747" s="17" t="s">
        <v>2413</v>
      </c>
      <c r="AE8747" s="145" t="s">
        <v>2051</v>
      </c>
      <c r="AF8747" s="146"/>
      <c r="AG8747" s="146"/>
      <c r="AH8747" s="146"/>
      <c r="AI8747" s="147"/>
      <c r="AJ8747" s="148"/>
      <c r="AK8747" s="143"/>
      <c r="AL8747" s="144"/>
      <c r="AM8747" s="22"/>
      <c r="AN8747" s="149" t="s">
        <v>25047</v>
      </c>
      <c r="AO8747" s="144"/>
      <c r="AP8747" s="148">
        <v>60423</v>
      </c>
      <c r="AQ8747" s="144"/>
      <c r="AR8747" s="120"/>
      <c r="AS8747" s="121"/>
      <c r="AT8747" s="120"/>
      <c r="AU8747" s="121"/>
      <c r="AV8747" s="120"/>
      <c r="AW8747" s="121"/>
      <c r="AX8747" s="120"/>
      <c r="AY8747" s="121"/>
      <c r="AZ8747" s="138"/>
    </row>
    <row r="8748" spans="1:52" ht="17.100000000000001" customHeight="1" thickTop="1">
      <c r="A8748" s="109" t="s">
        <v>24909</v>
      </c>
      <c r="B8748" s="28">
        <v>46142</v>
      </c>
      <c r="C8748" s="25">
        <v>2025</v>
      </c>
      <c r="D8748" s="13" t="s">
        <v>24934</v>
      </c>
      <c r="E8748" s="111"/>
      <c r="F8748" s="113" t="s">
        <v>24935</v>
      </c>
      <c r="G8748" s="114"/>
      <c r="H8748" s="115"/>
      <c r="I8748" s="24"/>
      <c r="J8748" s="116">
        <v>4</v>
      </c>
      <c r="K8748" s="118">
        <v>360000</v>
      </c>
      <c r="L8748" s="119"/>
      <c r="M8748" s="118">
        <f t="shared" ref="M8748" si="13385">K8748*0.1</f>
        <v>36000</v>
      </c>
      <c r="N8748" s="119"/>
      <c r="O8748" s="118">
        <v>0</v>
      </c>
      <c r="P8748" s="119"/>
      <c r="Q8748" s="118">
        <v>8460</v>
      </c>
      <c r="R8748" s="119"/>
      <c r="S8748" s="118">
        <v>22000</v>
      </c>
      <c r="T8748" s="119"/>
      <c r="U8748" s="118">
        <f t="shared" ref="U8748" si="13386">SUM(K8748:T8749)</f>
        <v>426460</v>
      </c>
      <c r="V8748" s="122"/>
      <c r="W8748" s="124"/>
      <c r="X8748" s="126" t="s">
        <v>25737</v>
      </c>
      <c r="Y8748" s="127"/>
      <c r="Z8748" s="127"/>
      <c r="AA8748" s="127"/>
      <c r="AB8748" s="128"/>
      <c r="AC8748" s="15" t="s">
        <v>20</v>
      </c>
      <c r="AD8748" s="129" t="s">
        <v>24936</v>
      </c>
      <c r="AE8748" s="130"/>
      <c r="AF8748" s="130"/>
      <c r="AG8748" s="130"/>
      <c r="AH8748" s="130"/>
      <c r="AI8748" s="131"/>
      <c r="AJ8748" s="132"/>
      <c r="AK8748" s="127"/>
      <c r="AL8748" s="128"/>
      <c r="AM8748" s="21"/>
      <c r="AN8748" s="133"/>
      <c r="AO8748" s="134"/>
      <c r="AP8748" s="135"/>
      <c r="AQ8748" s="136"/>
      <c r="AR8748" s="118"/>
      <c r="AS8748" s="119"/>
      <c r="AT8748" s="118">
        <f t="shared" ref="AT8748" si="13387">AR8748*0.1</f>
        <v>0</v>
      </c>
      <c r="AU8748" s="119"/>
      <c r="AV8748" s="118"/>
      <c r="AW8748" s="119"/>
      <c r="AX8748" s="118">
        <f t="shared" ref="AX8748" si="13388">SUM(AR8748:AW8748)</f>
        <v>0</v>
      </c>
      <c r="AY8748" s="119"/>
      <c r="AZ8748" s="137"/>
    </row>
    <row r="8749" spans="1:52" ht="17.100000000000001" customHeight="1" thickBot="1">
      <c r="A8749" s="110"/>
      <c r="B8749" s="27" t="s">
        <v>24908</v>
      </c>
      <c r="C8749" s="27">
        <v>50232</v>
      </c>
      <c r="D8749" s="14" t="s">
        <v>2601</v>
      </c>
      <c r="E8749" s="112"/>
      <c r="F8749" s="139" t="s">
        <v>24920</v>
      </c>
      <c r="G8749" s="140"/>
      <c r="H8749" s="141"/>
      <c r="I8749" s="26">
        <v>58960</v>
      </c>
      <c r="J8749" s="117"/>
      <c r="K8749" s="120"/>
      <c r="L8749" s="121"/>
      <c r="M8749" s="120"/>
      <c r="N8749" s="121"/>
      <c r="O8749" s="120"/>
      <c r="P8749" s="121"/>
      <c r="Q8749" s="120"/>
      <c r="R8749" s="121"/>
      <c r="S8749" s="120"/>
      <c r="T8749" s="121"/>
      <c r="U8749" s="120"/>
      <c r="V8749" s="123"/>
      <c r="W8749" s="125"/>
      <c r="X8749" s="142" t="s">
        <v>25738</v>
      </c>
      <c r="Y8749" s="143"/>
      <c r="Z8749" s="143"/>
      <c r="AA8749" s="143"/>
      <c r="AB8749" s="144"/>
      <c r="AC8749" s="16" t="s">
        <v>21</v>
      </c>
      <c r="AD8749" s="17" t="s">
        <v>25722</v>
      </c>
      <c r="AE8749" s="145" t="s">
        <v>24603</v>
      </c>
      <c r="AF8749" s="146"/>
      <c r="AG8749" s="146"/>
      <c r="AH8749" s="146"/>
      <c r="AI8749" s="147"/>
      <c r="AJ8749" s="148"/>
      <c r="AK8749" s="143"/>
      <c r="AL8749" s="144"/>
      <c r="AM8749" s="22"/>
      <c r="AN8749" s="149"/>
      <c r="AO8749" s="144"/>
      <c r="AP8749" s="148"/>
      <c r="AQ8749" s="144"/>
      <c r="AR8749" s="120"/>
      <c r="AS8749" s="121"/>
      <c r="AT8749" s="120"/>
      <c r="AU8749" s="121"/>
      <c r="AV8749" s="120"/>
      <c r="AW8749" s="121"/>
      <c r="AX8749" s="120"/>
      <c r="AY8749" s="121"/>
      <c r="AZ8749" s="138"/>
    </row>
    <row r="8750" spans="1:52" ht="17.100000000000001" customHeight="1" thickTop="1">
      <c r="A8750" s="109" t="s">
        <v>24993</v>
      </c>
      <c r="B8750" s="28">
        <v>46143</v>
      </c>
      <c r="C8750" s="25">
        <v>2133</v>
      </c>
      <c r="D8750" s="13" t="s">
        <v>24959</v>
      </c>
      <c r="E8750" s="111"/>
      <c r="F8750" s="113" t="s">
        <v>24960</v>
      </c>
      <c r="G8750" s="114"/>
      <c r="H8750" s="115"/>
      <c r="I8750" s="24" t="s">
        <v>24962</v>
      </c>
      <c r="J8750" s="116">
        <v>4.5</v>
      </c>
      <c r="K8750" s="118">
        <v>490000</v>
      </c>
      <c r="L8750" s="119"/>
      <c r="M8750" s="118">
        <f t="shared" ref="M8750" si="13389">K8750*0.1</f>
        <v>49000</v>
      </c>
      <c r="N8750" s="119"/>
      <c r="O8750" s="118">
        <f>32900+3290</f>
        <v>36190</v>
      </c>
      <c r="P8750" s="119"/>
      <c r="Q8750" s="118">
        <v>19120</v>
      </c>
      <c r="R8750" s="119"/>
      <c r="S8750" s="118">
        <v>22000</v>
      </c>
      <c r="T8750" s="119"/>
      <c r="U8750" s="118">
        <f t="shared" ref="U8750" si="13390">SUM(K8750:T8751)</f>
        <v>616310</v>
      </c>
      <c r="V8750" s="122"/>
      <c r="W8750" s="124"/>
      <c r="X8750" s="126" t="s">
        <v>24963</v>
      </c>
      <c r="Y8750" s="127"/>
      <c r="Z8750" s="127"/>
      <c r="AA8750" s="127"/>
      <c r="AB8750" s="128"/>
      <c r="AC8750" s="15" t="s">
        <v>20</v>
      </c>
      <c r="AD8750" s="129" t="s">
        <v>24964</v>
      </c>
      <c r="AE8750" s="130"/>
      <c r="AF8750" s="130"/>
      <c r="AG8750" s="130"/>
      <c r="AH8750" s="130"/>
      <c r="AI8750" s="131"/>
      <c r="AJ8750" s="132"/>
      <c r="AK8750" s="127"/>
      <c r="AL8750" s="128"/>
      <c r="AM8750" s="21"/>
      <c r="AN8750" s="133">
        <v>46156</v>
      </c>
      <c r="AO8750" s="134"/>
      <c r="AP8750" s="135">
        <v>1330</v>
      </c>
      <c r="AQ8750" s="136"/>
      <c r="AR8750" s="118">
        <v>665000</v>
      </c>
      <c r="AS8750" s="119"/>
      <c r="AT8750" s="118">
        <f t="shared" ref="AT8750" si="13391">AR8750*0.1</f>
        <v>66500</v>
      </c>
      <c r="AU8750" s="119"/>
      <c r="AV8750" s="118">
        <v>19120</v>
      </c>
      <c r="AW8750" s="119"/>
      <c r="AX8750" s="118">
        <f t="shared" ref="AX8750" si="13392">SUM(AR8750:AW8750)</f>
        <v>750620</v>
      </c>
      <c r="AY8750" s="119"/>
      <c r="AZ8750" s="137">
        <v>46157</v>
      </c>
    </row>
    <row r="8751" spans="1:52" ht="17.100000000000001" customHeight="1" thickBot="1">
      <c r="A8751" s="110"/>
      <c r="B8751" s="27" t="s">
        <v>24958</v>
      </c>
      <c r="C8751" s="27">
        <v>58236</v>
      </c>
      <c r="D8751" s="14" t="s">
        <v>1720</v>
      </c>
      <c r="E8751" s="112"/>
      <c r="F8751" s="139" t="s">
        <v>24961</v>
      </c>
      <c r="G8751" s="140"/>
      <c r="H8751" s="141"/>
      <c r="I8751" s="26">
        <v>44311</v>
      </c>
      <c r="J8751" s="117"/>
      <c r="K8751" s="120"/>
      <c r="L8751" s="121"/>
      <c r="M8751" s="120"/>
      <c r="N8751" s="121"/>
      <c r="O8751" s="120"/>
      <c r="P8751" s="121"/>
      <c r="Q8751" s="120"/>
      <c r="R8751" s="121"/>
      <c r="S8751" s="120"/>
      <c r="T8751" s="121"/>
      <c r="U8751" s="120"/>
      <c r="V8751" s="123"/>
      <c r="W8751" s="125"/>
      <c r="X8751" s="142" t="s">
        <v>3410</v>
      </c>
      <c r="Y8751" s="143"/>
      <c r="Z8751" s="143"/>
      <c r="AA8751" s="143"/>
      <c r="AB8751" s="144"/>
      <c r="AC8751" s="16" t="s">
        <v>21</v>
      </c>
      <c r="AD8751" s="17" t="s">
        <v>2413</v>
      </c>
      <c r="AE8751" s="145" t="s">
        <v>1690</v>
      </c>
      <c r="AF8751" s="146"/>
      <c r="AG8751" s="146"/>
      <c r="AH8751" s="146"/>
      <c r="AI8751" s="147"/>
      <c r="AJ8751" s="148"/>
      <c r="AK8751" s="143"/>
      <c r="AL8751" s="144"/>
      <c r="AM8751" s="22"/>
      <c r="AN8751" s="149" t="s">
        <v>1747</v>
      </c>
      <c r="AO8751" s="144"/>
      <c r="AP8751" s="148">
        <v>150</v>
      </c>
      <c r="AQ8751" s="144"/>
      <c r="AR8751" s="120"/>
      <c r="AS8751" s="121"/>
      <c r="AT8751" s="120"/>
      <c r="AU8751" s="121"/>
      <c r="AV8751" s="120"/>
      <c r="AW8751" s="121"/>
      <c r="AX8751" s="120"/>
      <c r="AY8751" s="121"/>
      <c r="AZ8751" s="138"/>
    </row>
    <row r="8752" spans="1:52" ht="17.100000000000001" customHeight="1" thickTop="1">
      <c r="A8752" s="109" t="s">
        <v>24994</v>
      </c>
      <c r="B8752" s="28">
        <v>46143</v>
      </c>
      <c r="C8752" s="25">
        <v>2133</v>
      </c>
      <c r="D8752" s="13" t="s">
        <v>24965</v>
      </c>
      <c r="E8752" s="111"/>
      <c r="F8752" s="113" t="s">
        <v>24967</v>
      </c>
      <c r="G8752" s="114"/>
      <c r="H8752" s="115"/>
      <c r="I8752" s="24"/>
      <c r="J8752" s="116">
        <v>4.5</v>
      </c>
      <c r="K8752" s="118">
        <v>1250000</v>
      </c>
      <c r="L8752" s="119"/>
      <c r="M8752" s="118">
        <f t="shared" ref="M8752" si="13393">K8752*0.1</f>
        <v>125000</v>
      </c>
      <c r="N8752" s="119"/>
      <c r="O8752" s="118">
        <v>0</v>
      </c>
      <c r="P8752" s="119"/>
      <c r="Q8752" s="118">
        <v>16250</v>
      </c>
      <c r="R8752" s="119"/>
      <c r="S8752" s="118">
        <v>22000</v>
      </c>
      <c r="T8752" s="119"/>
      <c r="U8752" s="118">
        <f t="shared" ref="U8752" si="13394">SUM(K8752:T8753)</f>
        <v>1413250</v>
      </c>
      <c r="V8752" s="122"/>
      <c r="W8752" s="124"/>
      <c r="X8752" s="126" t="s">
        <v>25394</v>
      </c>
      <c r="Y8752" s="127"/>
      <c r="Z8752" s="127"/>
      <c r="AA8752" s="127"/>
      <c r="AB8752" s="128"/>
      <c r="AC8752" s="15" t="s">
        <v>20</v>
      </c>
      <c r="AD8752" s="129"/>
      <c r="AE8752" s="130"/>
      <c r="AF8752" s="130"/>
      <c r="AG8752" s="130"/>
      <c r="AH8752" s="130"/>
      <c r="AI8752" s="131"/>
      <c r="AJ8752" s="132"/>
      <c r="AK8752" s="127"/>
      <c r="AL8752" s="128"/>
      <c r="AM8752" s="21"/>
      <c r="AN8752" s="133">
        <v>46156</v>
      </c>
      <c r="AO8752" s="134"/>
      <c r="AP8752" s="135">
        <v>1330</v>
      </c>
      <c r="AQ8752" s="136"/>
      <c r="AR8752" s="118">
        <v>1375000</v>
      </c>
      <c r="AS8752" s="119"/>
      <c r="AT8752" s="118">
        <f t="shared" ref="AT8752" si="13395">AR8752*0.1</f>
        <v>137500</v>
      </c>
      <c r="AU8752" s="119"/>
      <c r="AV8752" s="118">
        <v>16250</v>
      </c>
      <c r="AW8752" s="119"/>
      <c r="AX8752" s="118">
        <f t="shared" ref="AX8752" si="13396">SUM(AR8752:AW8752)</f>
        <v>1528750</v>
      </c>
      <c r="AY8752" s="119"/>
      <c r="AZ8752" s="137">
        <v>46157</v>
      </c>
    </row>
    <row r="8753" spans="1:52" ht="17.100000000000001" customHeight="1" thickBot="1">
      <c r="A8753" s="110"/>
      <c r="B8753" s="27" t="s">
        <v>24958</v>
      </c>
      <c r="C8753" s="27">
        <v>58370</v>
      </c>
      <c r="D8753" s="14" t="s">
        <v>24966</v>
      </c>
      <c r="E8753" s="112"/>
      <c r="F8753" s="139" t="s">
        <v>24968</v>
      </c>
      <c r="G8753" s="140"/>
      <c r="H8753" s="141"/>
      <c r="I8753" s="26">
        <v>39494</v>
      </c>
      <c r="J8753" s="117"/>
      <c r="K8753" s="120"/>
      <c r="L8753" s="121"/>
      <c r="M8753" s="120"/>
      <c r="N8753" s="121"/>
      <c r="O8753" s="120"/>
      <c r="P8753" s="121"/>
      <c r="Q8753" s="120"/>
      <c r="R8753" s="121"/>
      <c r="S8753" s="120"/>
      <c r="T8753" s="121"/>
      <c r="U8753" s="120"/>
      <c r="V8753" s="123"/>
      <c r="W8753" s="125"/>
      <c r="X8753" s="142" t="s">
        <v>25395</v>
      </c>
      <c r="Y8753" s="143"/>
      <c r="Z8753" s="143"/>
      <c r="AA8753" s="143"/>
      <c r="AB8753" s="144"/>
      <c r="AC8753" s="16" t="s">
        <v>21</v>
      </c>
      <c r="AD8753" s="17" t="s">
        <v>25396</v>
      </c>
      <c r="AE8753" s="145"/>
      <c r="AF8753" s="146"/>
      <c r="AG8753" s="146"/>
      <c r="AH8753" s="146"/>
      <c r="AI8753" s="147"/>
      <c r="AJ8753" s="148"/>
      <c r="AK8753" s="143"/>
      <c r="AL8753" s="144"/>
      <c r="AM8753" s="22"/>
      <c r="AN8753" s="149" t="s">
        <v>1747</v>
      </c>
      <c r="AO8753" s="144"/>
      <c r="AP8753" s="148">
        <v>142</v>
      </c>
      <c r="AQ8753" s="144"/>
      <c r="AR8753" s="120"/>
      <c r="AS8753" s="121"/>
      <c r="AT8753" s="120"/>
      <c r="AU8753" s="121"/>
      <c r="AV8753" s="120"/>
      <c r="AW8753" s="121"/>
      <c r="AX8753" s="120"/>
      <c r="AY8753" s="121"/>
      <c r="AZ8753" s="138"/>
    </row>
    <row r="8754" spans="1:52" ht="17.100000000000001" customHeight="1" thickTop="1">
      <c r="A8754" s="109" t="s">
        <v>24995</v>
      </c>
      <c r="B8754" s="28">
        <v>46143</v>
      </c>
      <c r="C8754" s="25">
        <v>2133</v>
      </c>
      <c r="D8754" s="13" t="s">
        <v>24969</v>
      </c>
      <c r="E8754" s="111"/>
      <c r="F8754" s="113" t="s">
        <v>24970</v>
      </c>
      <c r="G8754" s="114"/>
      <c r="H8754" s="115"/>
      <c r="I8754" s="24"/>
      <c r="J8754" s="116">
        <v>4.5</v>
      </c>
      <c r="K8754" s="118">
        <v>1700000</v>
      </c>
      <c r="L8754" s="119"/>
      <c r="M8754" s="118">
        <f t="shared" ref="M8754" si="13397">K8754*0.1</f>
        <v>170000</v>
      </c>
      <c r="N8754" s="119"/>
      <c r="O8754" s="118">
        <v>0</v>
      </c>
      <c r="P8754" s="119"/>
      <c r="Q8754" s="118">
        <v>12370</v>
      </c>
      <c r="R8754" s="119"/>
      <c r="S8754" s="118">
        <v>22000</v>
      </c>
      <c r="T8754" s="119"/>
      <c r="U8754" s="118">
        <f t="shared" ref="U8754" si="13398">SUM(K8754:T8755)</f>
        <v>1904370</v>
      </c>
      <c r="V8754" s="122"/>
      <c r="W8754" s="124"/>
      <c r="X8754" s="126" t="s">
        <v>25549</v>
      </c>
      <c r="Y8754" s="127"/>
      <c r="Z8754" s="127"/>
      <c r="AA8754" s="127"/>
      <c r="AB8754" s="128"/>
      <c r="AC8754" s="15" t="s">
        <v>20</v>
      </c>
      <c r="AD8754" s="129" t="s">
        <v>24972</v>
      </c>
      <c r="AE8754" s="130"/>
      <c r="AF8754" s="130"/>
      <c r="AG8754" s="130"/>
      <c r="AH8754" s="130"/>
      <c r="AI8754" s="131"/>
      <c r="AJ8754" s="132"/>
      <c r="AK8754" s="127"/>
      <c r="AL8754" s="128"/>
      <c r="AM8754" s="21"/>
      <c r="AN8754" s="133"/>
      <c r="AO8754" s="134"/>
      <c r="AP8754" s="135"/>
      <c r="AQ8754" s="136"/>
      <c r="AR8754" s="118"/>
      <c r="AS8754" s="119"/>
      <c r="AT8754" s="118">
        <f t="shared" ref="AT8754" si="13399">AR8754*0.1</f>
        <v>0</v>
      </c>
      <c r="AU8754" s="119"/>
      <c r="AV8754" s="118"/>
      <c r="AW8754" s="119"/>
      <c r="AX8754" s="118">
        <f t="shared" ref="AX8754" si="13400">SUM(AR8754:AW8754)</f>
        <v>0</v>
      </c>
      <c r="AY8754" s="119"/>
      <c r="AZ8754" s="137"/>
    </row>
    <row r="8755" spans="1:52" ht="17.100000000000001" customHeight="1" thickBot="1">
      <c r="A8755" s="110"/>
      <c r="B8755" s="27" t="s">
        <v>24958</v>
      </c>
      <c r="C8755" s="27">
        <v>58373</v>
      </c>
      <c r="D8755" s="14" t="s">
        <v>24836</v>
      </c>
      <c r="E8755" s="112"/>
      <c r="F8755" s="139" t="s">
        <v>24971</v>
      </c>
      <c r="G8755" s="140"/>
      <c r="H8755" s="141"/>
      <c r="I8755" s="26">
        <v>53000</v>
      </c>
      <c r="J8755" s="117"/>
      <c r="K8755" s="120"/>
      <c r="L8755" s="121"/>
      <c r="M8755" s="120"/>
      <c r="N8755" s="121"/>
      <c r="O8755" s="120"/>
      <c r="P8755" s="121"/>
      <c r="Q8755" s="120"/>
      <c r="R8755" s="121"/>
      <c r="S8755" s="120"/>
      <c r="T8755" s="121"/>
      <c r="U8755" s="120"/>
      <c r="V8755" s="123"/>
      <c r="W8755" s="125"/>
      <c r="X8755" s="142" t="s">
        <v>1997</v>
      </c>
      <c r="Y8755" s="143"/>
      <c r="Z8755" s="143"/>
      <c r="AA8755" s="143"/>
      <c r="AB8755" s="144"/>
      <c r="AC8755" s="16" t="s">
        <v>21</v>
      </c>
      <c r="AD8755" s="17" t="s">
        <v>2413</v>
      </c>
      <c r="AE8755" s="145" t="s">
        <v>1732</v>
      </c>
      <c r="AF8755" s="146"/>
      <c r="AG8755" s="146"/>
      <c r="AH8755" s="146"/>
      <c r="AI8755" s="147"/>
      <c r="AJ8755" s="148"/>
      <c r="AK8755" s="143"/>
      <c r="AL8755" s="144"/>
      <c r="AM8755" s="22"/>
      <c r="AN8755" s="149"/>
      <c r="AO8755" s="144"/>
      <c r="AP8755" s="148"/>
      <c r="AQ8755" s="144"/>
      <c r="AR8755" s="120"/>
      <c r="AS8755" s="121"/>
      <c r="AT8755" s="120"/>
      <c r="AU8755" s="121"/>
      <c r="AV8755" s="120"/>
      <c r="AW8755" s="121"/>
      <c r="AX8755" s="120"/>
      <c r="AY8755" s="121"/>
      <c r="AZ8755" s="138"/>
    </row>
    <row r="8756" spans="1:52" ht="17.100000000000001" customHeight="1" thickTop="1">
      <c r="A8756" s="109" t="s">
        <v>24996</v>
      </c>
      <c r="B8756" s="28">
        <v>46143</v>
      </c>
      <c r="C8756" s="25">
        <v>1204</v>
      </c>
      <c r="D8756" s="13" t="s">
        <v>24974</v>
      </c>
      <c r="E8756" s="111"/>
      <c r="F8756" s="113" t="s">
        <v>24975</v>
      </c>
      <c r="G8756" s="114"/>
      <c r="H8756" s="115"/>
      <c r="I8756" s="24"/>
      <c r="J8756" s="116">
        <v>4</v>
      </c>
      <c r="K8756" s="118">
        <v>1230000</v>
      </c>
      <c r="L8756" s="119"/>
      <c r="M8756" s="118">
        <f t="shared" ref="M8756" si="13401">K8756*0.1</f>
        <v>123000</v>
      </c>
      <c r="N8756" s="119"/>
      <c r="O8756" s="118">
        <v>0</v>
      </c>
      <c r="P8756" s="119"/>
      <c r="Q8756" s="118">
        <v>13860</v>
      </c>
      <c r="R8756" s="119"/>
      <c r="S8756" s="118">
        <v>16500</v>
      </c>
      <c r="T8756" s="119"/>
      <c r="U8756" s="118">
        <f t="shared" ref="U8756" si="13402">SUM(K8756:T8757)</f>
        <v>1383360</v>
      </c>
      <c r="V8756" s="122"/>
      <c r="W8756" s="124"/>
      <c r="X8756" s="126" t="s">
        <v>25559</v>
      </c>
      <c r="Y8756" s="127"/>
      <c r="Z8756" s="127"/>
      <c r="AA8756" s="127"/>
      <c r="AB8756" s="128"/>
      <c r="AC8756" s="15" t="s">
        <v>20</v>
      </c>
      <c r="AD8756" s="129" t="s">
        <v>24831</v>
      </c>
      <c r="AE8756" s="130"/>
      <c r="AF8756" s="130"/>
      <c r="AG8756" s="130"/>
      <c r="AH8756" s="130"/>
      <c r="AI8756" s="131"/>
      <c r="AJ8756" s="132"/>
      <c r="AK8756" s="127"/>
      <c r="AL8756" s="128"/>
      <c r="AM8756" s="21"/>
      <c r="AN8756" s="133"/>
      <c r="AO8756" s="134"/>
      <c r="AP8756" s="135"/>
      <c r="AQ8756" s="136"/>
      <c r="AR8756" s="118"/>
      <c r="AS8756" s="119"/>
      <c r="AT8756" s="118">
        <f t="shared" ref="AT8756" si="13403">AR8756*0.1</f>
        <v>0</v>
      </c>
      <c r="AU8756" s="119"/>
      <c r="AV8756" s="118"/>
      <c r="AW8756" s="119"/>
      <c r="AX8756" s="118">
        <f t="shared" ref="AX8756" si="13404">SUM(AR8756:AW8756)</f>
        <v>0</v>
      </c>
      <c r="AY8756" s="119"/>
      <c r="AZ8756" s="137"/>
    </row>
    <row r="8757" spans="1:52" ht="17.100000000000001" customHeight="1" thickBot="1">
      <c r="A8757" s="110"/>
      <c r="B8757" s="27" t="s">
        <v>24973</v>
      </c>
      <c r="C8757" s="27">
        <v>20229</v>
      </c>
      <c r="D8757" s="14" t="s">
        <v>24829</v>
      </c>
      <c r="E8757" s="112"/>
      <c r="F8757" s="139" t="s">
        <v>24976</v>
      </c>
      <c r="G8757" s="140"/>
      <c r="H8757" s="141"/>
      <c r="I8757" s="26">
        <v>144600</v>
      </c>
      <c r="J8757" s="117"/>
      <c r="K8757" s="120"/>
      <c r="L8757" s="121"/>
      <c r="M8757" s="120"/>
      <c r="N8757" s="121"/>
      <c r="O8757" s="120"/>
      <c r="P8757" s="121"/>
      <c r="Q8757" s="120"/>
      <c r="R8757" s="121"/>
      <c r="S8757" s="120"/>
      <c r="T8757" s="121"/>
      <c r="U8757" s="120"/>
      <c r="V8757" s="123"/>
      <c r="W8757" s="125"/>
      <c r="X8757" s="142" t="s">
        <v>25560</v>
      </c>
      <c r="Y8757" s="143"/>
      <c r="Z8757" s="143"/>
      <c r="AA8757" s="143"/>
      <c r="AB8757" s="144"/>
      <c r="AC8757" s="16" t="s">
        <v>21</v>
      </c>
      <c r="AD8757" s="17" t="s">
        <v>2413</v>
      </c>
      <c r="AE8757" s="145"/>
      <c r="AF8757" s="146"/>
      <c r="AG8757" s="146"/>
      <c r="AH8757" s="146"/>
      <c r="AI8757" s="147"/>
      <c r="AJ8757" s="148"/>
      <c r="AK8757" s="143"/>
      <c r="AL8757" s="144"/>
      <c r="AM8757" s="22"/>
      <c r="AN8757" s="149"/>
      <c r="AO8757" s="144"/>
      <c r="AP8757" s="148"/>
      <c r="AQ8757" s="144"/>
      <c r="AR8757" s="120"/>
      <c r="AS8757" s="121"/>
      <c r="AT8757" s="120"/>
      <c r="AU8757" s="121"/>
      <c r="AV8757" s="120"/>
      <c r="AW8757" s="121"/>
      <c r="AX8757" s="120"/>
      <c r="AY8757" s="121"/>
      <c r="AZ8757" s="138"/>
    </row>
    <row r="8758" spans="1:52" ht="17.100000000000001" customHeight="1" thickTop="1">
      <c r="A8758" s="109" t="s">
        <v>24997</v>
      </c>
      <c r="B8758" s="28">
        <v>46143</v>
      </c>
      <c r="C8758" s="25">
        <v>289</v>
      </c>
      <c r="D8758" s="13" t="s">
        <v>24978</v>
      </c>
      <c r="E8758" s="111"/>
      <c r="F8758" s="113" t="s">
        <v>24979</v>
      </c>
      <c r="G8758" s="114"/>
      <c r="H8758" s="115"/>
      <c r="I8758" s="24" t="s">
        <v>24981</v>
      </c>
      <c r="J8758" s="150" t="s">
        <v>24982</v>
      </c>
      <c r="K8758" s="118">
        <v>1398000</v>
      </c>
      <c r="L8758" s="119"/>
      <c r="M8758" s="118">
        <f t="shared" ref="M8758" si="13405">K8758*0.1</f>
        <v>139800</v>
      </c>
      <c r="N8758" s="119"/>
      <c r="O8758" s="118">
        <v>0</v>
      </c>
      <c r="P8758" s="119"/>
      <c r="Q8758" s="118">
        <v>7360</v>
      </c>
      <c r="R8758" s="119"/>
      <c r="S8758" s="118">
        <v>22000</v>
      </c>
      <c r="T8758" s="119"/>
      <c r="U8758" s="118">
        <f t="shared" ref="U8758" si="13406">SUM(K8758:T8759)</f>
        <v>1567160</v>
      </c>
      <c r="V8758" s="122"/>
      <c r="W8758" s="124"/>
      <c r="X8758" s="126" t="s">
        <v>24983</v>
      </c>
      <c r="Y8758" s="127"/>
      <c r="Z8758" s="127"/>
      <c r="AA8758" s="127"/>
      <c r="AB8758" s="128"/>
      <c r="AC8758" s="15" t="s">
        <v>20</v>
      </c>
      <c r="AD8758" s="129" t="s">
        <v>24838</v>
      </c>
      <c r="AE8758" s="130"/>
      <c r="AF8758" s="130"/>
      <c r="AG8758" s="130"/>
      <c r="AH8758" s="130"/>
      <c r="AI8758" s="131"/>
      <c r="AJ8758" s="132"/>
      <c r="AK8758" s="127"/>
      <c r="AL8758" s="128"/>
      <c r="AM8758" s="21"/>
      <c r="AN8758" s="133"/>
      <c r="AO8758" s="134"/>
      <c r="AP8758" s="135"/>
      <c r="AQ8758" s="136"/>
      <c r="AR8758" s="118"/>
      <c r="AS8758" s="119"/>
      <c r="AT8758" s="118">
        <f t="shared" ref="AT8758" si="13407">AR8758*0.1</f>
        <v>0</v>
      </c>
      <c r="AU8758" s="119"/>
      <c r="AV8758" s="118"/>
      <c r="AW8758" s="119"/>
      <c r="AX8758" s="118">
        <f t="shared" ref="AX8758" si="13408">SUM(AR8758:AW8758)</f>
        <v>0</v>
      </c>
      <c r="AY8758" s="119"/>
      <c r="AZ8758" s="137"/>
    </row>
    <row r="8759" spans="1:52" ht="17.100000000000001" customHeight="1" thickBot="1">
      <c r="A8759" s="110"/>
      <c r="B8759" s="27" t="s">
        <v>24977</v>
      </c>
      <c r="C8759" s="27">
        <v>51</v>
      </c>
      <c r="D8759" s="14" t="s">
        <v>24836</v>
      </c>
      <c r="E8759" s="112"/>
      <c r="F8759" s="139" t="s">
        <v>24980</v>
      </c>
      <c r="G8759" s="140"/>
      <c r="H8759" s="141"/>
      <c r="I8759" s="26">
        <v>14</v>
      </c>
      <c r="J8759" s="117"/>
      <c r="K8759" s="120"/>
      <c r="L8759" s="121"/>
      <c r="M8759" s="120"/>
      <c r="N8759" s="121"/>
      <c r="O8759" s="120"/>
      <c r="P8759" s="121"/>
      <c r="Q8759" s="120"/>
      <c r="R8759" s="121"/>
      <c r="S8759" s="120"/>
      <c r="T8759" s="121"/>
      <c r="U8759" s="120"/>
      <c r="V8759" s="123"/>
      <c r="W8759" s="125"/>
      <c r="X8759" s="142" t="s">
        <v>25181</v>
      </c>
      <c r="Y8759" s="143"/>
      <c r="Z8759" s="143"/>
      <c r="AA8759" s="143"/>
      <c r="AB8759" s="144"/>
      <c r="AC8759" s="16" t="s">
        <v>21</v>
      </c>
      <c r="AD8759" s="17" t="s">
        <v>2066</v>
      </c>
      <c r="AE8759" s="145" t="s">
        <v>1633</v>
      </c>
      <c r="AF8759" s="146"/>
      <c r="AG8759" s="146"/>
      <c r="AH8759" s="146"/>
      <c r="AI8759" s="147"/>
      <c r="AJ8759" s="148"/>
      <c r="AK8759" s="143"/>
      <c r="AL8759" s="144"/>
      <c r="AM8759" s="22"/>
      <c r="AN8759" s="149"/>
      <c r="AO8759" s="144"/>
      <c r="AP8759" s="148"/>
      <c r="AQ8759" s="144"/>
      <c r="AR8759" s="120"/>
      <c r="AS8759" s="121"/>
      <c r="AT8759" s="120"/>
      <c r="AU8759" s="121"/>
      <c r="AV8759" s="120"/>
      <c r="AW8759" s="121"/>
      <c r="AX8759" s="120"/>
      <c r="AY8759" s="121"/>
      <c r="AZ8759" s="138"/>
    </row>
    <row r="8760" spans="1:52" ht="17.100000000000001" customHeight="1" thickTop="1">
      <c r="A8760" s="109" t="s">
        <v>24998</v>
      </c>
      <c r="B8760" s="28">
        <v>46143</v>
      </c>
      <c r="C8760" s="25">
        <v>289</v>
      </c>
      <c r="D8760" s="13" t="s">
        <v>24984</v>
      </c>
      <c r="E8760" s="111"/>
      <c r="F8760" s="113" t="s">
        <v>24985</v>
      </c>
      <c r="G8760" s="114"/>
      <c r="H8760" s="115"/>
      <c r="I8760" s="24"/>
      <c r="J8760" s="116">
        <v>4.5</v>
      </c>
      <c r="K8760" s="118">
        <v>545000</v>
      </c>
      <c r="L8760" s="119"/>
      <c r="M8760" s="118">
        <f t="shared" ref="M8760" si="13409">K8760*0.1</f>
        <v>54500</v>
      </c>
      <c r="N8760" s="119"/>
      <c r="O8760" s="118">
        <v>0</v>
      </c>
      <c r="P8760" s="119"/>
      <c r="Q8760" s="118">
        <v>10060</v>
      </c>
      <c r="R8760" s="119"/>
      <c r="S8760" s="118">
        <v>22000</v>
      </c>
      <c r="T8760" s="119"/>
      <c r="U8760" s="118">
        <f t="shared" ref="U8760" si="13410">SUM(K8760:T8761)</f>
        <v>631560</v>
      </c>
      <c r="V8760" s="122"/>
      <c r="W8760" s="124"/>
      <c r="X8760" s="126" t="s">
        <v>25180</v>
      </c>
      <c r="Y8760" s="127"/>
      <c r="Z8760" s="127"/>
      <c r="AA8760" s="127"/>
      <c r="AB8760" s="128"/>
      <c r="AC8760" s="15" t="s">
        <v>20</v>
      </c>
      <c r="AD8760" s="129"/>
      <c r="AE8760" s="130"/>
      <c r="AF8760" s="130"/>
      <c r="AG8760" s="130"/>
      <c r="AH8760" s="130"/>
      <c r="AI8760" s="131"/>
      <c r="AJ8760" s="132"/>
      <c r="AK8760" s="127"/>
      <c r="AL8760" s="128"/>
      <c r="AM8760" s="21"/>
      <c r="AN8760" s="133">
        <v>46155</v>
      </c>
      <c r="AO8760" s="134"/>
      <c r="AP8760" s="135">
        <v>1016</v>
      </c>
      <c r="AQ8760" s="136"/>
      <c r="AR8760" s="118">
        <v>650000</v>
      </c>
      <c r="AS8760" s="119"/>
      <c r="AT8760" s="118">
        <f t="shared" ref="AT8760" si="13411">AR8760*0.1</f>
        <v>65000</v>
      </c>
      <c r="AU8760" s="119"/>
      <c r="AV8760" s="118">
        <v>10060</v>
      </c>
      <c r="AW8760" s="119"/>
      <c r="AX8760" s="118">
        <f t="shared" ref="AX8760" si="13412">SUM(AR8760:AW8760)</f>
        <v>725060</v>
      </c>
      <c r="AY8760" s="119"/>
      <c r="AZ8760" s="137">
        <v>46161</v>
      </c>
    </row>
    <row r="8761" spans="1:52" ht="17.100000000000001" customHeight="1" thickBot="1">
      <c r="A8761" s="110"/>
      <c r="B8761" s="27" t="s">
        <v>24977</v>
      </c>
      <c r="C8761" s="27">
        <v>73</v>
      </c>
      <c r="D8761" s="14" t="s">
        <v>24829</v>
      </c>
      <c r="E8761" s="112"/>
      <c r="F8761" s="139" t="s">
        <v>24986</v>
      </c>
      <c r="G8761" s="140"/>
      <c r="H8761" s="141"/>
      <c r="I8761" s="26">
        <v>20090</v>
      </c>
      <c r="J8761" s="117"/>
      <c r="K8761" s="120"/>
      <c r="L8761" s="121"/>
      <c r="M8761" s="120"/>
      <c r="N8761" s="121"/>
      <c r="O8761" s="120"/>
      <c r="P8761" s="121"/>
      <c r="Q8761" s="120"/>
      <c r="R8761" s="121"/>
      <c r="S8761" s="120"/>
      <c r="T8761" s="121"/>
      <c r="U8761" s="120"/>
      <c r="V8761" s="123"/>
      <c r="W8761" s="125"/>
      <c r="X8761" s="142" t="s">
        <v>4381</v>
      </c>
      <c r="Y8761" s="143"/>
      <c r="Z8761" s="143"/>
      <c r="AA8761" s="143"/>
      <c r="AB8761" s="144"/>
      <c r="AC8761" s="16" t="s">
        <v>21</v>
      </c>
      <c r="AD8761" s="17" t="s">
        <v>2066</v>
      </c>
      <c r="AE8761" s="145" t="s">
        <v>7429</v>
      </c>
      <c r="AF8761" s="146"/>
      <c r="AG8761" s="146"/>
      <c r="AH8761" s="146"/>
      <c r="AI8761" s="147"/>
      <c r="AJ8761" s="148"/>
      <c r="AK8761" s="143"/>
      <c r="AL8761" s="144"/>
      <c r="AM8761" s="22"/>
      <c r="AN8761" s="149" t="s">
        <v>7285</v>
      </c>
      <c r="AO8761" s="144"/>
      <c r="AP8761" s="148">
        <v>5064</v>
      </c>
      <c r="AQ8761" s="144"/>
      <c r="AR8761" s="120"/>
      <c r="AS8761" s="121"/>
      <c r="AT8761" s="120"/>
      <c r="AU8761" s="121"/>
      <c r="AV8761" s="120"/>
      <c r="AW8761" s="121"/>
      <c r="AX8761" s="120"/>
      <c r="AY8761" s="121"/>
      <c r="AZ8761" s="138"/>
    </row>
    <row r="8762" spans="1:52" ht="17.100000000000001" customHeight="1" thickTop="1">
      <c r="A8762" s="151" t="s">
        <v>24999</v>
      </c>
      <c r="B8762" s="28">
        <v>46143</v>
      </c>
      <c r="C8762" s="25">
        <v>1417</v>
      </c>
      <c r="D8762" s="13" t="s">
        <v>25061</v>
      </c>
      <c r="E8762" s="111"/>
      <c r="F8762" s="113" t="s">
        <v>25024</v>
      </c>
      <c r="G8762" s="114"/>
      <c r="H8762" s="115"/>
      <c r="I8762" s="24"/>
      <c r="J8762" s="116">
        <v>4.5</v>
      </c>
      <c r="K8762" s="118">
        <v>2171000</v>
      </c>
      <c r="L8762" s="119"/>
      <c r="M8762" s="118">
        <f t="shared" ref="M8762" si="13413">K8762*0.1</f>
        <v>217100</v>
      </c>
      <c r="N8762" s="119"/>
      <c r="O8762" s="118">
        <v>0</v>
      </c>
      <c r="P8762" s="119"/>
      <c r="Q8762" s="118">
        <v>10660</v>
      </c>
      <c r="R8762" s="119"/>
      <c r="S8762" s="118">
        <v>15400</v>
      </c>
      <c r="T8762" s="119"/>
      <c r="U8762" s="118">
        <f t="shared" ref="U8762" si="13414">SUM(K8762:T8763)</f>
        <v>2414160</v>
      </c>
      <c r="V8762" s="122"/>
      <c r="W8762" s="124"/>
      <c r="X8762" s="126" t="s">
        <v>25400</v>
      </c>
      <c r="Y8762" s="127"/>
      <c r="Z8762" s="127"/>
      <c r="AA8762" s="127"/>
      <c r="AB8762" s="128"/>
      <c r="AC8762" s="15" t="s">
        <v>20</v>
      </c>
      <c r="AD8762" s="129" t="s">
        <v>25063</v>
      </c>
      <c r="AE8762" s="130"/>
      <c r="AF8762" s="130"/>
      <c r="AG8762" s="130"/>
      <c r="AH8762" s="130"/>
      <c r="AI8762" s="131"/>
      <c r="AJ8762" s="132" t="s">
        <v>25991</v>
      </c>
      <c r="AK8762" s="127"/>
      <c r="AL8762" s="128"/>
      <c r="AM8762" s="21"/>
      <c r="AN8762" s="133"/>
      <c r="AO8762" s="134"/>
      <c r="AP8762" s="135"/>
      <c r="AQ8762" s="136"/>
      <c r="AR8762" s="118"/>
      <c r="AS8762" s="119"/>
      <c r="AT8762" s="118">
        <f t="shared" ref="AT8762" si="13415">AR8762*0.1</f>
        <v>0</v>
      </c>
      <c r="AU8762" s="119"/>
      <c r="AV8762" s="118"/>
      <c r="AW8762" s="119"/>
      <c r="AX8762" s="118">
        <f t="shared" ref="AX8762" si="13416">SUM(AR8762:AW8762)</f>
        <v>0</v>
      </c>
      <c r="AY8762" s="119"/>
      <c r="AZ8762" s="137"/>
    </row>
    <row r="8763" spans="1:52" ht="17.100000000000001" customHeight="1" thickBot="1">
      <c r="A8763" s="152"/>
      <c r="B8763" s="27" t="s">
        <v>25023</v>
      </c>
      <c r="C8763" s="27">
        <v>1279</v>
      </c>
      <c r="D8763" s="14" t="s">
        <v>25062</v>
      </c>
      <c r="E8763" s="112"/>
      <c r="F8763" s="139" t="s">
        <v>25025</v>
      </c>
      <c r="G8763" s="140"/>
      <c r="H8763" s="141"/>
      <c r="I8763" s="26">
        <v>19825</v>
      </c>
      <c r="J8763" s="117"/>
      <c r="K8763" s="120"/>
      <c r="L8763" s="121"/>
      <c r="M8763" s="120"/>
      <c r="N8763" s="121"/>
      <c r="O8763" s="120"/>
      <c r="P8763" s="121"/>
      <c r="Q8763" s="120"/>
      <c r="R8763" s="121"/>
      <c r="S8763" s="120"/>
      <c r="T8763" s="121"/>
      <c r="U8763" s="120"/>
      <c r="V8763" s="123"/>
      <c r="W8763" s="125"/>
      <c r="X8763" s="142" t="s">
        <v>22929</v>
      </c>
      <c r="Y8763" s="143"/>
      <c r="Z8763" s="143"/>
      <c r="AA8763" s="143"/>
      <c r="AB8763" s="144"/>
      <c r="AC8763" s="16" t="s">
        <v>21</v>
      </c>
      <c r="AD8763" s="17" t="s">
        <v>1847</v>
      </c>
      <c r="AE8763" s="145" t="s">
        <v>1742</v>
      </c>
      <c r="AF8763" s="146"/>
      <c r="AG8763" s="146"/>
      <c r="AH8763" s="146"/>
      <c r="AI8763" s="147"/>
      <c r="AJ8763" s="148"/>
      <c r="AK8763" s="143"/>
      <c r="AL8763" s="144"/>
      <c r="AM8763" s="22"/>
      <c r="AN8763" s="149"/>
      <c r="AO8763" s="144"/>
      <c r="AP8763" s="148"/>
      <c r="AQ8763" s="144"/>
      <c r="AR8763" s="120"/>
      <c r="AS8763" s="121"/>
      <c r="AT8763" s="120"/>
      <c r="AU8763" s="121"/>
      <c r="AV8763" s="120"/>
      <c r="AW8763" s="121"/>
      <c r="AX8763" s="120"/>
      <c r="AY8763" s="121"/>
      <c r="AZ8763" s="138"/>
    </row>
    <row r="8764" spans="1:52" ht="17.100000000000001" customHeight="1" thickTop="1">
      <c r="A8764" s="109" t="s">
        <v>25000</v>
      </c>
      <c r="B8764" s="28">
        <v>46143</v>
      </c>
      <c r="C8764" s="25">
        <v>1417</v>
      </c>
      <c r="D8764" s="13" t="s">
        <v>25064</v>
      </c>
      <c r="E8764" s="111"/>
      <c r="F8764" s="113" t="s">
        <v>25026</v>
      </c>
      <c r="G8764" s="114"/>
      <c r="H8764" s="115"/>
      <c r="I8764" s="24" t="s">
        <v>25065</v>
      </c>
      <c r="J8764" s="116">
        <v>6</v>
      </c>
      <c r="K8764" s="118">
        <v>5414000</v>
      </c>
      <c r="L8764" s="119"/>
      <c r="M8764" s="118">
        <f t="shared" ref="M8764" si="13417">K8764*0.1</f>
        <v>541400</v>
      </c>
      <c r="N8764" s="119"/>
      <c r="O8764" s="118">
        <v>39820</v>
      </c>
      <c r="P8764" s="119"/>
      <c r="Q8764" s="118">
        <v>16370</v>
      </c>
      <c r="R8764" s="119"/>
      <c r="S8764" s="118">
        <v>15400</v>
      </c>
      <c r="T8764" s="119"/>
      <c r="U8764" s="118">
        <f t="shared" ref="U8764" si="13418">SUM(K8764:T8765)</f>
        <v>6026990</v>
      </c>
      <c r="V8764" s="122"/>
      <c r="W8764" s="124"/>
      <c r="X8764" s="126" t="s">
        <v>25402</v>
      </c>
      <c r="Y8764" s="127"/>
      <c r="Z8764" s="127"/>
      <c r="AA8764" s="127"/>
      <c r="AB8764" s="128"/>
      <c r="AC8764" s="15" t="s">
        <v>20</v>
      </c>
      <c r="AD8764" s="129" t="s">
        <v>25066</v>
      </c>
      <c r="AE8764" s="130"/>
      <c r="AF8764" s="130"/>
      <c r="AG8764" s="130"/>
      <c r="AH8764" s="130"/>
      <c r="AI8764" s="131"/>
      <c r="AJ8764" s="132"/>
      <c r="AK8764" s="127"/>
      <c r="AL8764" s="128"/>
      <c r="AM8764" s="21"/>
      <c r="AN8764" s="133">
        <v>46155</v>
      </c>
      <c r="AO8764" s="134"/>
      <c r="AP8764" s="135">
        <v>1016</v>
      </c>
      <c r="AQ8764" s="136"/>
      <c r="AR8764" s="118">
        <v>5905000</v>
      </c>
      <c r="AS8764" s="119"/>
      <c r="AT8764" s="118">
        <f t="shared" ref="AT8764" si="13419">AR8764*0.1</f>
        <v>590500</v>
      </c>
      <c r="AU8764" s="119"/>
      <c r="AV8764" s="118">
        <v>16370</v>
      </c>
      <c r="AW8764" s="119"/>
      <c r="AX8764" s="118">
        <f t="shared" ref="AX8764" si="13420">SUM(AR8764:AW8764)</f>
        <v>6511870</v>
      </c>
      <c r="AY8764" s="119"/>
      <c r="AZ8764" s="137">
        <v>46160</v>
      </c>
    </row>
    <row r="8765" spans="1:52" ht="17.100000000000001" customHeight="1" thickBot="1">
      <c r="A8765" s="110"/>
      <c r="B8765" s="27" t="s">
        <v>25023</v>
      </c>
      <c r="C8765" s="27">
        <v>3002</v>
      </c>
      <c r="D8765" s="14" t="s">
        <v>2601</v>
      </c>
      <c r="E8765" s="112"/>
      <c r="F8765" s="139" t="s">
        <v>25027</v>
      </c>
      <c r="G8765" s="140"/>
      <c r="H8765" s="141"/>
      <c r="I8765" s="26">
        <v>4750</v>
      </c>
      <c r="J8765" s="117"/>
      <c r="K8765" s="120"/>
      <c r="L8765" s="121"/>
      <c r="M8765" s="120"/>
      <c r="N8765" s="121"/>
      <c r="O8765" s="120"/>
      <c r="P8765" s="121"/>
      <c r="Q8765" s="120"/>
      <c r="R8765" s="121"/>
      <c r="S8765" s="120"/>
      <c r="T8765" s="121"/>
      <c r="U8765" s="120"/>
      <c r="V8765" s="123"/>
      <c r="W8765" s="125"/>
      <c r="X8765" s="142" t="s">
        <v>25403</v>
      </c>
      <c r="Y8765" s="143"/>
      <c r="Z8765" s="143"/>
      <c r="AA8765" s="143"/>
      <c r="AB8765" s="144"/>
      <c r="AC8765" s="16" t="s">
        <v>21</v>
      </c>
      <c r="AD8765" s="17" t="s">
        <v>1847</v>
      </c>
      <c r="AE8765" s="145" t="s">
        <v>2750</v>
      </c>
      <c r="AF8765" s="146"/>
      <c r="AG8765" s="146"/>
      <c r="AH8765" s="146"/>
      <c r="AI8765" s="147"/>
      <c r="AJ8765" s="148"/>
      <c r="AK8765" s="143"/>
      <c r="AL8765" s="144"/>
      <c r="AM8765" s="22"/>
      <c r="AN8765" s="149" t="s">
        <v>2794</v>
      </c>
      <c r="AO8765" s="144"/>
      <c r="AP8765" s="148">
        <v>5057</v>
      </c>
      <c r="AQ8765" s="144"/>
      <c r="AR8765" s="120"/>
      <c r="AS8765" s="121"/>
      <c r="AT8765" s="120"/>
      <c r="AU8765" s="121"/>
      <c r="AV8765" s="120"/>
      <c r="AW8765" s="121"/>
      <c r="AX8765" s="120"/>
      <c r="AY8765" s="121"/>
      <c r="AZ8765" s="138"/>
    </row>
    <row r="8766" spans="1:52" ht="17.100000000000001" customHeight="1" thickTop="1">
      <c r="A8766" s="109" t="s">
        <v>25001</v>
      </c>
      <c r="B8766" s="28">
        <v>46143</v>
      </c>
      <c r="C8766" s="25">
        <v>1417</v>
      </c>
      <c r="D8766" s="13" t="s">
        <v>25067</v>
      </c>
      <c r="E8766" s="111"/>
      <c r="F8766" s="113" t="s">
        <v>25028</v>
      </c>
      <c r="G8766" s="114"/>
      <c r="H8766" s="115"/>
      <c r="I8766" s="24" t="s">
        <v>25069</v>
      </c>
      <c r="J8766" s="116">
        <v>45</v>
      </c>
      <c r="K8766" s="118">
        <v>600000</v>
      </c>
      <c r="L8766" s="119"/>
      <c r="M8766" s="118">
        <f t="shared" ref="M8766" si="13421">K8766*0.1</f>
        <v>60000</v>
      </c>
      <c r="N8766" s="119"/>
      <c r="O8766" s="118">
        <v>0</v>
      </c>
      <c r="P8766" s="119"/>
      <c r="Q8766" s="118">
        <v>9290</v>
      </c>
      <c r="R8766" s="119"/>
      <c r="S8766" s="118">
        <v>15400</v>
      </c>
      <c r="T8766" s="119"/>
      <c r="U8766" s="118">
        <f t="shared" ref="U8766" si="13422">SUM(K8766:T8767)</f>
        <v>684690</v>
      </c>
      <c r="V8766" s="122"/>
      <c r="W8766" s="124"/>
      <c r="X8766" s="126" t="s">
        <v>25538</v>
      </c>
      <c r="Y8766" s="127"/>
      <c r="Z8766" s="127"/>
      <c r="AA8766" s="127"/>
      <c r="AB8766" s="128"/>
      <c r="AC8766" s="15" t="s">
        <v>20</v>
      </c>
      <c r="AD8766" s="129"/>
      <c r="AE8766" s="130"/>
      <c r="AF8766" s="130"/>
      <c r="AG8766" s="130"/>
      <c r="AH8766" s="130"/>
      <c r="AI8766" s="131"/>
      <c r="AJ8766" s="132"/>
      <c r="AK8766" s="127"/>
      <c r="AL8766" s="128"/>
      <c r="AM8766" s="21"/>
      <c r="AN8766" s="133">
        <v>46155</v>
      </c>
      <c r="AO8766" s="134"/>
      <c r="AP8766" s="135">
        <v>1016</v>
      </c>
      <c r="AQ8766" s="136"/>
      <c r="AR8766" s="118">
        <v>665000</v>
      </c>
      <c r="AS8766" s="119"/>
      <c r="AT8766" s="118">
        <f t="shared" ref="AT8766" si="13423">AR8766*0.1</f>
        <v>66500</v>
      </c>
      <c r="AU8766" s="119"/>
      <c r="AV8766" s="118">
        <v>9290</v>
      </c>
      <c r="AW8766" s="119"/>
      <c r="AX8766" s="118">
        <f t="shared" ref="AX8766" si="13424">SUM(AR8766:AW8766)</f>
        <v>740790</v>
      </c>
      <c r="AY8766" s="119"/>
      <c r="AZ8766" s="137">
        <v>46160</v>
      </c>
    </row>
    <row r="8767" spans="1:52" ht="17.100000000000001" customHeight="1" thickBot="1">
      <c r="A8767" s="110"/>
      <c r="B8767" s="27" t="s">
        <v>25023</v>
      </c>
      <c r="C8767" s="27">
        <v>3008</v>
      </c>
      <c r="D8767" s="14" t="s">
        <v>25068</v>
      </c>
      <c r="E8767" s="112"/>
      <c r="F8767" s="139" t="s">
        <v>25029</v>
      </c>
      <c r="G8767" s="140"/>
      <c r="H8767" s="141"/>
      <c r="I8767" s="26">
        <v>39320</v>
      </c>
      <c r="J8767" s="117"/>
      <c r="K8767" s="120"/>
      <c r="L8767" s="121"/>
      <c r="M8767" s="120"/>
      <c r="N8767" s="121"/>
      <c r="O8767" s="120"/>
      <c r="P8767" s="121"/>
      <c r="Q8767" s="120"/>
      <c r="R8767" s="121"/>
      <c r="S8767" s="120"/>
      <c r="T8767" s="121"/>
      <c r="U8767" s="120"/>
      <c r="V8767" s="123"/>
      <c r="W8767" s="125"/>
      <c r="X8767" s="142" t="s">
        <v>1997</v>
      </c>
      <c r="Y8767" s="143"/>
      <c r="Z8767" s="143"/>
      <c r="AA8767" s="143"/>
      <c r="AB8767" s="144"/>
      <c r="AC8767" s="16" t="s">
        <v>21</v>
      </c>
      <c r="AD8767" s="17" t="s">
        <v>2413</v>
      </c>
      <c r="AE8767" s="145" t="s">
        <v>1581</v>
      </c>
      <c r="AF8767" s="146"/>
      <c r="AG8767" s="146"/>
      <c r="AH8767" s="146"/>
      <c r="AI8767" s="147"/>
      <c r="AJ8767" s="148"/>
      <c r="AK8767" s="143"/>
      <c r="AL8767" s="144"/>
      <c r="AM8767" s="22"/>
      <c r="AN8767" s="149" t="s">
        <v>2794</v>
      </c>
      <c r="AO8767" s="144"/>
      <c r="AP8767" s="148">
        <v>5053</v>
      </c>
      <c r="AQ8767" s="144"/>
      <c r="AR8767" s="120"/>
      <c r="AS8767" s="121"/>
      <c r="AT8767" s="120"/>
      <c r="AU8767" s="121"/>
      <c r="AV8767" s="120"/>
      <c r="AW8767" s="121"/>
      <c r="AX8767" s="120"/>
      <c r="AY8767" s="121"/>
      <c r="AZ8767" s="138"/>
    </row>
    <row r="8768" spans="1:52" ht="17.100000000000001" customHeight="1" thickTop="1">
      <c r="A8768" s="151" t="s">
        <v>25002</v>
      </c>
      <c r="B8768" s="28">
        <v>46143</v>
      </c>
      <c r="C8768" s="25">
        <v>1417</v>
      </c>
      <c r="D8768" s="13" t="s">
        <v>25064</v>
      </c>
      <c r="E8768" s="111"/>
      <c r="F8768" s="113" t="s">
        <v>25070</v>
      </c>
      <c r="G8768" s="114"/>
      <c r="H8768" s="115"/>
      <c r="I8768" s="24" t="s">
        <v>25071</v>
      </c>
      <c r="J8768" s="116">
        <v>4.5</v>
      </c>
      <c r="K8768" s="118">
        <v>2902000</v>
      </c>
      <c r="L8768" s="119"/>
      <c r="M8768" s="118">
        <f t="shared" ref="M8768" si="13425">K8768*0.1</f>
        <v>290200</v>
      </c>
      <c r="N8768" s="119"/>
      <c r="O8768" s="118">
        <v>27940</v>
      </c>
      <c r="P8768" s="119"/>
      <c r="Q8768" s="118">
        <v>9300</v>
      </c>
      <c r="R8768" s="119"/>
      <c r="S8768" s="118">
        <v>15400</v>
      </c>
      <c r="T8768" s="119"/>
      <c r="U8768" s="118">
        <f t="shared" ref="U8768" si="13426">SUM(K8768:T8769)</f>
        <v>3244840</v>
      </c>
      <c r="V8768" s="122"/>
      <c r="W8768" s="124"/>
      <c r="X8768" s="126" t="s">
        <v>25580</v>
      </c>
      <c r="Y8768" s="127"/>
      <c r="Z8768" s="127"/>
      <c r="AA8768" s="127"/>
      <c r="AB8768" s="128"/>
      <c r="AC8768" s="15" t="s">
        <v>20</v>
      </c>
      <c r="AD8768" s="129" t="s">
        <v>25072</v>
      </c>
      <c r="AE8768" s="130"/>
      <c r="AF8768" s="130"/>
      <c r="AG8768" s="130"/>
      <c r="AH8768" s="130"/>
      <c r="AI8768" s="131"/>
      <c r="AJ8768" s="132" t="s">
        <v>25646</v>
      </c>
      <c r="AK8768" s="127"/>
      <c r="AL8768" s="128"/>
      <c r="AM8768" s="21"/>
      <c r="AN8768" s="133"/>
      <c r="AO8768" s="134"/>
      <c r="AP8768" s="135"/>
      <c r="AQ8768" s="136"/>
      <c r="AR8768" s="118"/>
      <c r="AS8768" s="119"/>
      <c r="AT8768" s="118">
        <f t="shared" ref="AT8768" si="13427">AR8768*0.1</f>
        <v>0</v>
      </c>
      <c r="AU8768" s="119"/>
      <c r="AV8768" s="118"/>
      <c r="AW8768" s="119"/>
      <c r="AX8768" s="118">
        <f t="shared" ref="AX8768" si="13428">SUM(AR8768:AW8768)</f>
        <v>0</v>
      </c>
      <c r="AY8768" s="119"/>
      <c r="AZ8768" s="137"/>
    </row>
    <row r="8769" spans="1:52" ht="17.100000000000001" customHeight="1" thickBot="1">
      <c r="A8769" s="152"/>
      <c r="B8769" s="27" t="s">
        <v>25023</v>
      </c>
      <c r="C8769" s="27">
        <v>3047</v>
      </c>
      <c r="D8769" s="14" t="s">
        <v>2601</v>
      </c>
      <c r="E8769" s="112"/>
      <c r="F8769" s="139" t="s">
        <v>25030</v>
      </c>
      <c r="G8769" s="140"/>
      <c r="H8769" s="141"/>
      <c r="I8769" s="26">
        <v>6203</v>
      </c>
      <c r="J8769" s="117"/>
      <c r="K8769" s="120"/>
      <c r="L8769" s="121"/>
      <c r="M8769" s="120"/>
      <c r="N8769" s="121"/>
      <c r="O8769" s="120"/>
      <c r="P8769" s="121"/>
      <c r="Q8769" s="120"/>
      <c r="R8769" s="121"/>
      <c r="S8769" s="120"/>
      <c r="T8769" s="121"/>
      <c r="U8769" s="120"/>
      <c r="V8769" s="123"/>
      <c r="W8769" s="125"/>
      <c r="X8769" s="142" t="s">
        <v>4234</v>
      </c>
      <c r="Y8769" s="143"/>
      <c r="Z8769" s="143"/>
      <c r="AA8769" s="143"/>
      <c r="AB8769" s="144"/>
      <c r="AC8769" s="16" t="s">
        <v>21</v>
      </c>
      <c r="AD8769" s="17" t="s">
        <v>2413</v>
      </c>
      <c r="AE8769" s="145" t="s">
        <v>2347</v>
      </c>
      <c r="AF8769" s="146"/>
      <c r="AG8769" s="146"/>
      <c r="AH8769" s="146"/>
      <c r="AI8769" s="147"/>
      <c r="AJ8769" s="148"/>
      <c r="AK8769" s="143"/>
      <c r="AL8769" s="144"/>
      <c r="AM8769" s="22"/>
      <c r="AN8769" s="149"/>
      <c r="AO8769" s="144"/>
      <c r="AP8769" s="148"/>
      <c r="AQ8769" s="144"/>
      <c r="AR8769" s="120"/>
      <c r="AS8769" s="121"/>
      <c r="AT8769" s="120"/>
      <c r="AU8769" s="121"/>
      <c r="AV8769" s="120"/>
      <c r="AW8769" s="121"/>
      <c r="AX8769" s="120"/>
      <c r="AY8769" s="121"/>
      <c r="AZ8769" s="138"/>
    </row>
    <row r="8770" spans="1:52" ht="17.100000000000001" customHeight="1" thickTop="1">
      <c r="A8770" s="109" t="s">
        <v>25003</v>
      </c>
      <c r="B8770" s="28">
        <v>46143</v>
      </c>
      <c r="C8770" s="25">
        <v>1417</v>
      </c>
      <c r="D8770" s="13" t="s">
        <v>25073</v>
      </c>
      <c r="E8770" s="111"/>
      <c r="F8770" s="113" t="s">
        <v>25031</v>
      </c>
      <c r="G8770" s="114"/>
      <c r="H8770" s="115"/>
      <c r="I8770" s="24"/>
      <c r="J8770" s="116">
        <v>4</v>
      </c>
      <c r="K8770" s="118">
        <v>868000</v>
      </c>
      <c r="L8770" s="119"/>
      <c r="M8770" s="118">
        <f t="shared" ref="M8770" si="13429">K8770*0.1</f>
        <v>86800</v>
      </c>
      <c r="N8770" s="119"/>
      <c r="O8770" s="118">
        <v>0</v>
      </c>
      <c r="P8770" s="119"/>
      <c r="Q8770" s="118">
        <v>7860</v>
      </c>
      <c r="R8770" s="119"/>
      <c r="S8770" s="118">
        <v>15400</v>
      </c>
      <c r="T8770" s="119"/>
      <c r="U8770" s="118">
        <f t="shared" ref="U8770" si="13430">SUM(K8770:T8771)</f>
        <v>978060</v>
      </c>
      <c r="V8770" s="122"/>
      <c r="W8770" s="124"/>
      <c r="X8770" s="126" t="s">
        <v>25576</v>
      </c>
      <c r="Y8770" s="127"/>
      <c r="Z8770" s="127"/>
      <c r="AA8770" s="127"/>
      <c r="AB8770" s="128"/>
      <c r="AC8770" s="15" t="s">
        <v>20</v>
      </c>
      <c r="AD8770" s="129"/>
      <c r="AE8770" s="130"/>
      <c r="AF8770" s="130"/>
      <c r="AG8770" s="130"/>
      <c r="AH8770" s="130"/>
      <c r="AI8770" s="131"/>
      <c r="AJ8770" s="132"/>
      <c r="AK8770" s="127"/>
      <c r="AL8770" s="128"/>
      <c r="AM8770" s="21"/>
      <c r="AN8770" s="133"/>
      <c r="AO8770" s="134"/>
      <c r="AP8770" s="135"/>
      <c r="AQ8770" s="136"/>
      <c r="AR8770" s="118"/>
      <c r="AS8770" s="119"/>
      <c r="AT8770" s="118">
        <f t="shared" ref="AT8770" si="13431">AR8770*0.1</f>
        <v>0</v>
      </c>
      <c r="AU8770" s="119"/>
      <c r="AV8770" s="118"/>
      <c r="AW8770" s="119"/>
      <c r="AX8770" s="118">
        <f t="shared" ref="AX8770" si="13432">SUM(AR8770:AW8770)</f>
        <v>0</v>
      </c>
      <c r="AY8770" s="119"/>
      <c r="AZ8770" s="137"/>
    </row>
    <row r="8771" spans="1:52" ht="17.100000000000001" customHeight="1" thickBot="1">
      <c r="A8771" s="110"/>
      <c r="B8771" s="27" t="s">
        <v>25023</v>
      </c>
      <c r="C8771" s="27">
        <v>3087</v>
      </c>
      <c r="D8771" s="14" t="s">
        <v>1720</v>
      </c>
      <c r="E8771" s="112"/>
      <c r="F8771" s="139" t="s">
        <v>25032</v>
      </c>
      <c r="G8771" s="140"/>
      <c r="H8771" s="141"/>
      <c r="I8771" s="26">
        <v>16856</v>
      </c>
      <c r="J8771" s="117"/>
      <c r="K8771" s="120"/>
      <c r="L8771" s="121"/>
      <c r="M8771" s="120"/>
      <c r="N8771" s="121"/>
      <c r="O8771" s="120"/>
      <c r="P8771" s="121"/>
      <c r="Q8771" s="120"/>
      <c r="R8771" s="121"/>
      <c r="S8771" s="120"/>
      <c r="T8771" s="121"/>
      <c r="U8771" s="120"/>
      <c r="V8771" s="123"/>
      <c r="W8771" s="125"/>
      <c r="X8771" s="142" t="s">
        <v>4296</v>
      </c>
      <c r="Y8771" s="143"/>
      <c r="Z8771" s="143"/>
      <c r="AA8771" s="143"/>
      <c r="AB8771" s="144"/>
      <c r="AC8771" s="16" t="s">
        <v>21</v>
      </c>
      <c r="AD8771" s="17" t="s">
        <v>2413</v>
      </c>
      <c r="AE8771" s="145" t="s">
        <v>171</v>
      </c>
      <c r="AF8771" s="146"/>
      <c r="AG8771" s="146"/>
      <c r="AH8771" s="146"/>
      <c r="AI8771" s="147"/>
      <c r="AJ8771" s="148"/>
      <c r="AK8771" s="143"/>
      <c r="AL8771" s="144"/>
      <c r="AM8771" s="22"/>
      <c r="AN8771" s="149"/>
      <c r="AO8771" s="144"/>
      <c r="AP8771" s="148"/>
      <c r="AQ8771" s="144"/>
      <c r="AR8771" s="120"/>
      <c r="AS8771" s="121"/>
      <c r="AT8771" s="120"/>
      <c r="AU8771" s="121"/>
      <c r="AV8771" s="120"/>
      <c r="AW8771" s="121"/>
      <c r="AX8771" s="120"/>
      <c r="AY8771" s="121"/>
      <c r="AZ8771" s="138"/>
    </row>
    <row r="8772" spans="1:52" ht="17.100000000000001" customHeight="1" thickTop="1">
      <c r="A8772" s="109" t="s">
        <v>25004</v>
      </c>
      <c r="B8772" s="28">
        <v>46143</v>
      </c>
      <c r="C8772" s="25">
        <v>1417</v>
      </c>
      <c r="D8772" s="13" t="s">
        <v>25074</v>
      </c>
      <c r="E8772" s="111"/>
      <c r="F8772" s="113" t="s">
        <v>25033</v>
      </c>
      <c r="G8772" s="114"/>
      <c r="H8772" s="115"/>
      <c r="I8772" s="24" t="s">
        <v>25075</v>
      </c>
      <c r="J8772" s="116">
        <v>3.5</v>
      </c>
      <c r="K8772" s="118">
        <v>445000</v>
      </c>
      <c r="L8772" s="119"/>
      <c r="M8772" s="118">
        <f t="shared" ref="M8772" si="13433">K8772*0.1</f>
        <v>44500</v>
      </c>
      <c r="N8772" s="119"/>
      <c r="O8772" s="118">
        <v>0</v>
      </c>
      <c r="P8772" s="119"/>
      <c r="Q8772" s="118">
        <v>8680</v>
      </c>
      <c r="R8772" s="119"/>
      <c r="S8772" s="118">
        <v>15400</v>
      </c>
      <c r="T8772" s="119"/>
      <c r="U8772" s="118">
        <f t="shared" ref="U8772" si="13434">SUM(K8772:T8773)</f>
        <v>513580</v>
      </c>
      <c r="V8772" s="122"/>
      <c r="W8772" s="124"/>
      <c r="X8772" s="126" t="s">
        <v>25398</v>
      </c>
      <c r="Y8772" s="127"/>
      <c r="Z8772" s="127"/>
      <c r="AA8772" s="127"/>
      <c r="AB8772" s="128"/>
      <c r="AC8772" s="15" t="s">
        <v>20</v>
      </c>
      <c r="AD8772" s="129"/>
      <c r="AE8772" s="130"/>
      <c r="AF8772" s="130"/>
      <c r="AG8772" s="130"/>
      <c r="AH8772" s="130"/>
      <c r="AI8772" s="131"/>
      <c r="AJ8772" s="132"/>
      <c r="AK8772" s="127"/>
      <c r="AL8772" s="128"/>
      <c r="AM8772" s="21"/>
      <c r="AN8772" s="133"/>
      <c r="AO8772" s="134"/>
      <c r="AP8772" s="135"/>
      <c r="AQ8772" s="136"/>
      <c r="AR8772" s="118"/>
      <c r="AS8772" s="119"/>
      <c r="AT8772" s="118">
        <f t="shared" ref="AT8772" si="13435">AR8772*0.1</f>
        <v>0</v>
      </c>
      <c r="AU8772" s="119"/>
      <c r="AV8772" s="118"/>
      <c r="AW8772" s="119"/>
      <c r="AX8772" s="118">
        <f t="shared" ref="AX8772" si="13436">SUM(AR8772:AW8772)</f>
        <v>0</v>
      </c>
      <c r="AY8772" s="119"/>
      <c r="AZ8772" s="137"/>
    </row>
    <row r="8773" spans="1:52" ht="17.100000000000001" customHeight="1" thickBot="1">
      <c r="A8773" s="110"/>
      <c r="B8773" s="27" t="s">
        <v>25023</v>
      </c>
      <c r="C8773" s="27">
        <v>3100</v>
      </c>
      <c r="D8773" s="14" t="s">
        <v>2040</v>
      </c>
      <c r="E8773" s="112"/>
      <c r="F8773" s="139" t="s">
        <v>25034</v>
      </c>
      <c r="G8773" s="140"/>
      <c r="H8773" s="141"/>
      <c r="I8773" s="26">
        <v>64737</v>
      </c>
      <c r="J8773" s="117"/>
      <c r="K8773" s="120"/>
      <c r="L8773" s="121"/>
      <c r="M8773" s="120"/>
      <c r="N8773" s="121"/>
      <c r="O8773" s="120"/>
      <c r="P8773" s="121"/>
      <c r="Q8773" s="120"/>
      <c r="R8773" s="121"/>
      <c r="S8773" s="120"/>
      <c r="T8773" s="121"/>
      <c r="U8773" s="120"/>
      <c r="V8773" s="123"/>
      <c r="W8773" s="125"/>
      <c r="X8773" s="142" t="s">
        <v>1997</v>
      </c>
      <c r="Y8773" s="143"/>
      <c r="Z8773" s="143"/>
      <c r="AA8773" s="143"/>
      <c r="AB8773" s="144"/>
      <c r="AC8773" s="16" t="s">
        <v>21</v>
      </c>
      <c r="AD8773" s="17" t="s">
        <v>1847</v>
      </c>
      <c r="AE8773" s="145" t="s">
        <v>2441</v>
      </c>
      <c r="AF8773" s="146"/>
      <c r="AG8773" s="146"/>
      <c r="AH8773" s="146"/>
      <c r="AI8773" s="147"/>
      <c r="AJ8773" s="148"/>
      <c r="AK8773" s="143"/>
      <c r="AL8773" s="144"/>
      <c r="AM8773" s="22"/>
      <c r="AN8773" s="149"/>
      <c r="AO8773" s="144"/>
      <c r="AP8773" s="148"/>
      <c r="AQ8773" s="144"/>
      <c r="AR8773" s="120"/>
      <c r="AS8773" s="121"/>
      <c r="AT8773" s="120"/>
      <c r="AU8773" s="121"/>
      <c r="AV8773" s="120"/>
      <c r="AW8773" s="121"/>
      <c r="AX8773" s="120"/>
      <c r="AY8773" s="121"/>
      <c r="AZ8773" s="138"/>
    </row>
    <row r="8774" spans="1:52" ht="17.100000000000001" customHeight="1" thickTop="1">
      <c r="A8774" s="109" t="s">
        <v>25005</v>
      </c>
      <c r="B8774" s="28">
        <v>46143</v>
      </c>
      <c r="C8774" s="25">
        <v>1417</v>
      </c>
      <c r="D8774" s="13" t="s">
        <v>25076</v>
      </c>
      <c r="E8774" s="111"/>
      <c r="F8774" s="113" t="s">
        <v>25035</v>
      </c>
      <c r="G8774" s="114"/>
      <c r="H8774" s="115"/>
      <c r="I8774" s="24" t="s">
        <v>25077</v>
      </c>
      <c r="J8774" s="116">
        <v>4</v>
      </c>
      <c r="K8774" s="118">
        <v>1617000</v>
      </c>
      <c r="L8774" s="119"/>
      <c r="M8774" s="118">
        <f t="shared" ref="M8774" si="13437">K8774*0.1</f>
        <v>161700</v>
      </c>
      <c r="N8774" s="119"/>
      <c r="O8774" s="118">
        <v>41250</v>
      </c>
      <c r="P8774" s="119"/>
      <c r="Q8774" s="118">
        <v>12980</v>
      </c>
      <c r="R8774" s="119"/>
      <c r="S8774" s="118">
        <v>15400</v>
      </c>
      <c r="T8774" s="119"/>
      <c r="U8774" s="118">
        <f t="shared" ref="U8774" si="13438">SUM(K8774:T8775)</f>
        <v>1848330</v>
      </c>
      <c r="V8774" s="122"/>
      <c r="W8774" s="124"/>
      <c r="X8774" s="126" t="s">
        <v>25534</v>
      </c>
      <c r="Y8774" s="127"/>
      <c r="Z8774" s="127"/>
      <c r="AA8774" s="127"/>
      <c r="AB8774" s="128"/>
      <c r="AC8774" s="15" t="s">
        <v>20</v>
      </c>
      <c r="AD8774" s="129" t="s">
        <v>25078</v>
      </c>
      <c r="AE8774" s="130"/>
      <c r="AF8774" s="130"/>
      <c r="AG8774" s="130"/>
      <c r="AH8774" s="130"/>
      <c r="AI8774" s="131"/>
      <c r="AJ8774" s="132"/>
      <c r="AK8774" s="127"/>
      <c r="AL8774" s="128"/>
      <c r="AM8774" s="21"/>
      <c r="AN8774" s="133">
        <v>46155</v>
      </c>
      <c r="AO8774" s="134"/>
      <c r="AP8774" s="135">
        <v>1016</v>
      </c>
      <c r="AQ8774" s="136"/>
      <c r="AR8774" s="118">
        <v>1745000</v>
      </c>
      <c r="AS8774" s="119"/>
      <c r="AT8774" s="118">
        <f t="shared" ref="AT8774" si="13439">AR8774*0.1</f>
        <v>174500</v>
      </c>
      <c r="AU8774" s="119"/>
      <c r="AV8774" s="118">
        <v>12980</v>
      </c>
      <c r="AW8774" s="119"/>
      <c r="AX8774" s="118">
        <f t="shared" ref="AX8774" si="13440">SUM(AR8774:AW8774)</f>
        <v>1932480</v>
      </c>
      <c r="AY8774" s="119"/>
      <c r="AZ8774" s="137">
        <v>46160</v>
      </c>
    </row>
    <row r="8775" spans="1:52" ht="17.100000000000001" customHeight="1" thickBot="1">
      <c r="A8775" s="110"/>
      <c r="B8775" s="27" t="s">
        <v>25023</v>
      </c>
      <c r="C8775" s="27">
        <v>3159</v>
      </c>
      <c r="D8775" s="14" t="s">
        <v>25068</v>
      </c>
      <c r="E8775" s="112"/>
      <c r="F8775" s="139" t="s">
        <v>25036</v>
      </c>
      <c r="G8775" s="140"/>
      <c r="H8775" s="141"/>
      <c r="I8775" s="26">
        <v>64661</v>
      </c>
      <c r="J8775" s="117"/>
      <c r="K8775" s="120"/>
      <c r="L8775" s="121"/>
      <c r="M8775" s="120"/>
      <c r="N8775" s="121"/>
      <c r="O8775" s="120"/>
      <c r="P8775" s="121"/>
      <c r="Q8775" s="120"/>
      <c r="R8775" s="121"/>
      <c r="S8775" s="120"/>
      <c r="T8775" s="121"/>
      <c r="U8775" s="120"/>
      <c r="V8775" s="123"/>
      <c r="W8775" s="125"/>
      <c r="X8775" s="142" t="s">
        <v>25535</v>
      </c>
      <c r="Y8775" s="143"/>
      <c r="Z8775" s="143"/>
      <c r="AA8775" s="143"/>
      <c r="AB8775" s="144"/>
      <c r="AC8775" s="16" t="s">
        <v>21</v>
      </c>
      <c r="AD8775" s="17" t="s">
        <v>2413</v>
      </c>
      <c r="AE8775" s="145" t="s">
        <v>25612</v>
      </c>
      <c r="AF8775" s="146"/>
      <c r="AG8775" s="146"/>
      <c r="AH8775" s="146"/>
      <c r="AI8775" s="147"/>
      <c r="AJ8775" s="148"/>
      <c r="AK8775" s="143"/>
      <c r="AL8775" s="144"/>
      <c r="AM8775" s="22"/>
      <c r="AN8775" s="149" t="s">
        <v>2794</v>
      </c>
      <c r="AO8775" s="144"/>
      <c r="AP8775" s="148">
        <v>5042</v>
      </c>
      <c r="AQ8775" s="144"/>
      <c r="AR8775" s="120"/>
      <c r="AS8775" s="121"/>
      <c r="AT8775" s="120"/>
      <c r="AU8775" s="121"/>
      <c r="AV8775" s="120"/>
      <c r="AW8775" s="121"/>
      <c r="AX8775" s="120"/>
      <c r="AY8775" s="121"/>
      <c r="AZ8775" s="138"/>
    </row>
    <row r="8776" spans="1:52" ht="17.100000000000001" customHeight="1" thickTop="1">
      <c r="A8776" s="109" t="s">
        <v>25006</v>
      </c>
      <c r="B8776" s="28">
        <v>46143</v>
      </c>
      <c r="C8776" s="25">
        <v>1417</v>
      </c>
      <c r="D8776" s="13" t="s">
        <v>25079</v>
      </c>
      <c r="E8776" s="111"/>
      <c r="F8776" s="113" t="s">
        <v>25037</v>
      </c>
      <c r="G8776" s="114"/>
      <c r="H8776" s="115"/>
      <c r="I8776" s="24" t="s">
        <v>25080</v>
      </c>
      <c r="J8776" s="116">
        <v>4.5</v>
      </c>
      <c r="K8776" s="118">
        <v>797000</v>
      </c>
      <c r="L8776" s="119"/>
      <c r="M8776" s="118">
        <f t="shared" ref="M8776" si="13441">K8776*0.1</f>
        <v>79700</v>
      </c>
      <c r="N8776" s="119"/>
      <c r="O8776" s="118">
        <v>0</v>
      </c>
      <c r="P8776" s="119"/>
      <c r="Q8776" s="118">
        <v>5690</v>
      </c>
      <c r="R8776" s="119"/>
      <c r="S8776" s="118">
        <v>15400</v>
      </c>
      <c r="T8776" s="119"/>
      <c r="U8776" s="118">
        <f t="shared" ref="U8776" si="13442">SUM(K8776:T8777)</f>
        <v>897790</v>
      </c>
      <c r="V8776" s="122"/>
      <c r="W8776" s="124"/>
      <c r="X8776" s="126" t="s">
        <v>25536</v>
      </c>
      <c r="Y8776" s="127"/>
      <c r="Z8776" s="127"/>
      <c r="AA8776" s="127"/>
      <c r="AB8776" s="128"/>
      <c r="AC8776" s="15" t="s">
        <v>20</v>
      </c>
      <c r="AD8776" s="129"/>
      <c r="AE8776" s="130"/>
      <c r="AF8776" s="130"/>
      <c r="AG8776" s="130"/>
      <c r="AH8776" s="130"/>
      <c r="AI8776" s="131"/>
      <c r="AJ8776" s="132"/>
      <c r="AK8776" s="127"/>
      <c r="AL8776" s="128"/>
      <c r="AM8776" s="21"/>
      <c r="AN8776" s="133">
        <v>46155</v>
      </c>
      <c r="AO8776" s="134"/>
      <c r="AP8776" s="135">
        <v>1016</v>
      </c>
      <c r="AQ8776" s="136"/>
      <c r="AR8776" s="118">
        <v>940000</v>
      </c>
      <c r="AS8776" s="119"/>
      <c r="AT8776" s="118">
        <f t="shared" ref="AT8776" si="13443">AR8776*0.1</f>
        <v>94000</v>
      </c>
      <c r="AU8776" s="119"/>
      <c r="AV8776" s="118">
        <v>5690</v>
      </c>
      <c r="AW8776" s="119"/>
      <c r="AX8776" s="118">
        <f t="shared" ref="AX8776" si="13444">SUM(AR8776:AW8776)</f>
        <v>1039690</v>
      </c>
      <c r="AY8776" s="119"/>
      <c r="AZ8776" s="137">
        <v>46160</v>
      </c>
    </row>
    <row r="8777" spans="1:52" ht="17.100000000000001" customHeight="1" thickBot="1">
      <c r="A8777" s="110"/>
      <c r="B8777" s="27" t="s">
        <v>25023</v>
      </c>
      <c r="C8777" s="27">
        <v>4557</v>
      </c>
      <c r="D8777" s="14" t="s">
        <v>1720</v>
      </c>
      <c r="E8777" s="112"/>
      <c r="F8777" s="139" t="s">
        <v>25038</v>
      </c>
      <c r="G8777" s="140"/>
      <c r="H8777" s="141"/>
      <c r="I8777" s="26">
        <v>4072</v>
      </c>
      <c r="J8777" s="117"/>
      <c r="K8777" s="120"/>
      <c r="L8777" s="121"/>
      <c r="M8777" s="120"/>
      <c r="N8777" s="121"/>
      <c r="O8777" s="120"/>
      <c r="P8777" s="121"/>
      <c r="Q8777" s="120"/>
      <c r="R8777" s="121"/>
      <c r="S8777" s="120"/>
      <c r="T8777" s="121"/>
      <c r="U8777" s="120"/>
      <c r="V8777" s="123"/>
      <c r="W8777" s="125"/>
      <c r="X8777" s="142" t="s">
        <v>25537</v>
      </c>
      <c r="Y8777" s="143"/>
      <c r="Z8777" s="143"/>
      <c r="AA8777" s="143"/>
      <c r="AB8777" s="144"/>
      <c r="AC8777" s="16" t="s">
        <v>21</v>
      </c>
      <c r="AD8777" s="17" t="s">
        <v>2413</v>
      </c>
      <c r="AE8777" s="145"/>
      <c r="AF8777" s="146"/>
      <c r="AG8777" s="146"/>
      <c r="AH8777" s="146"/>
      <c r="AI8777" s="147"/>
      <c r="AJ8777" s="148"/>
      <c r="AK8777" s="143"/>
      <c r="AL8777" s="144"/>
      <c r="AM8777" s="22"/>
      <c r="AN8777" s="149" t="s">
        <v>2794</v>
      </c>
      <c r="AO8777" s="144"/>
      <c r="AP8777" s="148">
        <v>5045</v>
      </c>
      <c r="AQ8777" s="144"/>
      <c r="AR8777" s="120"/>
      <c r="AS8777" s="121"/>
      <c r="AT8777" s="120"/>
      <c r="AU8777" s="121"/>
      <c r="AV8777" s="120"/>
      <c r="AW8777" s="121"/>
      <c r="AX8777" s="120"/>
      <c r="AY8777" s="121"/>
      <c r="AZ8777" s="138"/>
    </row>
    <row r="8778" spans="1:52" ht="17.100000000000001" customHeight="1" thickTop="1">
      <c r="A8778" s="109" t="s">
        <v>25007</v>
      </c>
      <c r="B8778" s="28">
        <v>46143</v>
      </c>
      <c r="C8778" s="25">
        <v>1417</v>
      </c>
      <c r="D8778" s="13" t="s">
        <v>25081</v>
      </c>
      <c r="E8778" s="111"/>
      <c r="F8778" s="113" t="s">
        <v>24519</v>
      </c>
      <c r="G8778" s="114"/>
      <c r="H8778" s="115"/>
      <c r="I8778" s="24"/>
      <c r="J8778" s="116">
        <v>4</v>
      </c>
      <c r="K8778" s="118">
        <v>1136000</v>
      </c>
      <c r="L8778" s="119"/>
      <c r="M8778" s="118">
        <f t="shared" ref="M8778" si="13445">K8778*0.1</f>
        <v>113600</v>
      </c>
      <c r="N8778" s="119"/>
      <c r="O8778" s="118">
        <v>0</v>
      </c>
      <c r="P8778" s="119"/>
      <c r="Q8778" s="118">
        <v>9490</v>
      </c>
      <c r="R8778" s="119"/>
      <c r="S8778" s="118">
        <v>15400</v>
      </c>
      <c r="T8778" s="119"/>
      <c r="U8778" s="118">
        <f t="shared" ref="U8778" si="13446">SUM(K8778:T8779)</f>
        <v>1274490</v>
      </c>
      <c r="V8778" s="122"/>
      <c r="W8778" s="124"/>
      <c r="X8778" s="126" t="s">
        <v>25577</v>
      </c>
      <c r="Y8778" s="127"/>
      <c r="Z8778" s="127"/>
      <c r="AA8778" s="127"/>
      <c r="AB8778" s="128"/>
      <c r="AC8778" s="15" t="s">
        <v>20</v>
      </c>
      <c r="AD8778" s="129" t="s">
        <v>25083</v>
      </c>
      <c r="AE8778" s="130"/>
      <c r="AF8778" s="130"/>
      <c r="AG8778" s="130"/>
      <c r="AH8778" s="130"/>
      <c r="AI8778" s="131"/>
      <c r="AJ8778" s="132"/>
      <c r="AK8778" s="127"/>
      <c r="AL8778" s="128"/>
      <c r="AM8778" s="21"/>
      <c r="AN8778" s="133"/>
      <c r="AO8778" s="134"/>
      <c r="AP8778" s="135"/>
      <c r="AQ8778" s="136"/>
      <c r="AR8778" s="118"/>
      <c r="AS8778" s="119"/>
      <c r="AT8778" s="118">
        <f t="shared" ref="AT8778" si="13447">AR8778*0.1</f>
        <v>0</v>
      </c>
      <c r="AU8778" s="119"/>
      <c r="AV8778" s="118"/>
      <c r="AW8778" s="119"/>
      <c r="AX8778" s="118">
        <f t="shared" ref="AX8778" si="13448">SUM(AR8778:AW8778)</f>
        <v>0</v>
      </c>
      <c r="AY8778" s="119"/>
      <c r="AZ8778" s="137"/>
    </row>
    <row r="8779" spans="1:52" ht="17.100000000000001" customHeight="1" thickBot="1">
      <c r="A8779" s="110"/>
      <c r="B8779" s="27" t="s">
        <v>25023</v>
      </c>
      <c r="C8779" s="27">
        <v>7061</v>
      </c>
      <c r="D8779" s="14" t="s">
        <v>25082</v>
      </c>
      <c r="E8779" s="112"/>
      <c r="F8779" s="139" t="s">
        <v>25039</v>
      </c>
      <c r="G8779" s="140"/>
      <c r="H8779" s="141"/>
      <c r="I8779" s="26">
        <v>64865</v>
      </c>
      <c r="J8779" s="117"/>
      <c r="K8779" s="120"/>
      <c r="L8779" s="121"/>
      <c r="M8779" s="120"/>
      <c r="N8779" s="121"/>
      <c r="O8779" s="120"/>
      <c r="P8779" s="121"/>
      <c r="Q8779" s="120"/>
      <c r="R8779" s="121"/>
      <c r="S8779" s="120"/>
      <c r="T8779" s="121"/>
      <c r="U8779" s="120"/>
      <c r="V8779" s="123"/>
      <c r="W8779" s="125"/>
      <c r="X8779" s="142" t="s">
        <v>8807</v>
      </c>
      <c r="Y8779" s="143"/>
      <c r="Z8779" s="143"/>
      <c r="AA8779" s="143"/>
      <c r="AB8779" s="144"/>
      <c r="AC8779" s="16" t="s">
        <v>21</v>
      </c>
      <c r="AD8779" s="17" t="s">
        <v>2413</v>
      </c>
      <c r="AE8779" s="145" t="s">
        <v>10730</v>
      </c>
      <c r="AF8779" s="146"/>
      <c r="AG8779" s="146"/>
      <c r="AH8779" s="146"/>
      <c r="AI8779" s="147"/>
      <c r="AJ8779" s="148"/>
      <c r="AK8779" s="143"/>
      <c r="AL8779" s="144"/>
      <c r="AM8779" s="22"/>
      <c r="AN8779" s="149"/>
      <c r="AO8779" s="144"/>
      <c r="AP8779" s="148"/>
      <c r="AQ8779" s="144"/>
      <c r="AR8779" s="120"/>
      <c r="AS8779" s="121"/>
      <c r="AT8779" s="120"/>
      <c r="AU8779" s="121"/>
      <c r="AV8779" s="120"/>
      <c r="AW8779" s="121"/>
      <c r="AX8779" s="120"/>
      <c r="AY8779" s="121"/>
      <c r="AZ8779" s="138"/>
    </row>
    <row r="8780" spans="1:52" ht="17.100000000000001" customHeight="1" thickTop="1">
      <c r="A8780" s="109" t="s">
        <v>25008</v>
      </c>
      <c r="B8780" s="28">
        <v>46143</v>
      </c>
      <c r="C8780" s="25">
        <v>1417</v>
      </c>
      <c r="D8780" s="13" t="s">
        <v>25084</v>
      </c>
      <c r="E8780" s="111"/>
      <c r="F8780" s="113" t="s">
        <v>25086</v>
      </c>
      <c r="G8780" s="114"/>
      <c r="H8780" s="115"/>
      <c r="I8780" s="24" t="s">
        <v>25087</v>
      </c>
      <c r="J8780" s="150" t="s">
        <v>25088</v>
      </c>
      <c r="K8780" s="118">
        <v>615000</v>
      </c>
      <c r="L8780" s="119"/>
      <c r="M8780" s="118">
        <f t="shared" ref="M8780" si="13449">K8780*0.1</f>
        <v>61500</v>
      </c>
      <c r="N8780" s="119"/>
      <c r="O8780" s="118">
        <v>0</v>
      </c>
      <c r="P8780" s="119"/>
      <c r="Q8780" s="118">
        <v>8790</v>
      </c>
      <c r="R8780" s="119"/>
      <c r="S8780" s="118">
        <v>15400</v>
      </c>
      <c r="T8780" s="119"/>
      <c r="U8780" s="118">
        <f t="shared" ref="U8780" si="13450">SUM(K8780:T8781)</f>
        <v>700690</v>
      </c>
      <c r="V8780" s="122"/>
      <c r="W8780" s="124"/>
      <c r="X8780" s="126" t="s">
        <v>25578</v>
      </c>
      <c r="Y8780" s="127"/>
      <c r="Z8780" s="127"/>
      <c r="AA8780" s="127"/>
      <c r="AB8780" s="128"/>
      <c r="AC8780" s="15" t="s">
        <v>20</v>
      </c>
      <c r="AD8780" s="129"/>
      <c r="AE8780" s="130"/>
      <c r="AF8780" s="130"/>
      <c r="AG8780" s="130"/>
      <c r="AH8780" s="130"/>
      <c r="AI8780" s="131"/>
      <c r="AJ8780" s="132"/>
      <c r="AK8780" s="127"/>
      <c r="AL8780" s="128"/>
      <c r="AM8780" s="21"/>
      <c r="AN8780" s="133">
        <v>46155</v>
      </c>
      <c r="AO8780" s="134"/>
      <c r="AP8780" s="135">
        <v>1016</v>
      </c>
      <c r="AQ8780" s="136"/>
      <c r="AR8780" s="118">
        <v>750000</v>
      </c>
      <c r="AS8780" s="119"/>
      <c r="AT8780" s="118">
        <f t="shared" ref="AT8780" si="13451">AR8780*0.1</f>
        <v>75000</v>
      </c>
      <c r="AU8780" s="119"/>
      <c r="AV8780" s="118">
        <v>8790</v>
      </c>
      <c r="AW8780" s="119"/>
      <c r="AX8780" s="118">
        <f t="shared" ref="AX8780" si="13452">SUM(AR8780:AW8780)</f>
        <v>833790</v>
      </c>
      <c r="AY8780" s="119"/>
      <c r="AZ8780" s="137">
        <v>46161</v>
      </c>
    </row>
    <row r="8781" spans="1:52" ht="17.100000000000001" customHeight="1" thickBot="1">
      <c r="A8781" s="110"/>
      <c r="B8781" s="27" t="s">
        <v>25023</v>
      </c>
      <c r="C8781" s="27">
        <v>7071</v>
      </c>
      <c r="D8781" s="14" t="s">
        <v>25085</v>
      </c>
      <c r="E8781" s="112"/>
      <c r="F8781" s="139" t="s">
        <v>25040</v>
      </c>
      <c r="G8781" s="140"/>
      <c r="H8781" s="141"/>
      <c r="I8781" s="26">
        <v>56488</v>
      </c>
      <c r="J8781" s="117"/>
      <c r="K8781" s="120"/>
      <c r="L8781" s="121"/>
      <c r="M8781" s="120"/>
      <c r="N8781" s="121"/>
      <c r="O8781" s="120"/>
      <c r="P8781" s="121"/>
      <c r="Q8781" s="120"/>
      <c r="R8781" s="121"/>
      <c r="S8781" s="120"/>
      <c r="T8781" s="121"/>
      <c r="U8781" s="120"/>
      <c r="V8781" s="123"/>
      <c r="W8781" s="125"/>
      <c r="X8781" s="142" t="s">
        <v>25579</v>
      </c>
      <c r="Y8781" s="143"/>
      <c r="Z8781" s="143"/>
      <c r="AA8781" s="143"/>
      <c r="AB8781" s="144"/>
      <c r="AC8781" s="16" t="s">
        <v>21</v>
      </c>
      <c r="AD8781" s="17" t="s">
        <v>2413</v>
      </c>
      <c r="AE8781" s="145" t="s">
        <v>10729</v>
      </c>
      <c r="AF8781" s="146"/>
      <c r="AG8781" s="146"/>
      <c r="AH8781" s="146"/>
      <c r="AI8781" s="147"/>
      <c r="AJ8781" s="148"/>
      <c r="AK8781" s="143"/>
      <c r="AL8781" s="144"/>
      <c r="AM8781" s="22"/>
      <c r="AN8781" s="149" t="s">
        <v>8809</v>
      </c>
      <c r="AO8781" s="144"/>
      <c r="AP8781" s="148">
        <v>5038</v>
      </c>
      <c r="AQ8781" s="144"/>
      <c r="AR8781" s="120"/>
      <c r="AS8781" s="121"/>
      <c r="AT8781" s="120"/>
      <c r="AU8781" s="121"/>
      <c r="AV8781" s="120"/>
      <c r="AW8781" s="121"/>
      <c r="AX8781" s="120"/>
      <c r="AY8781" s="121"/>
      <c r="AZ8781" s="138"/>
    </row>
    <row r="8782" spans="1:52" ht="17.100000000000001" customHeight="1" thickTop="1">
      <c r="A8782" s="109" t="s">
        <v>25009</v>
      </c>
      <c r="B8782" s="28">
        <v>46143</v>
      </c>
      <c r="C8782" s="25">
        <v>1417</v>
      </c>
      <c r="D8782" s="13" t="s">
        <v>25089</v>
      </c>
      <c r="E8782" s="111"/>
      <c r="F8782" s="113" t="s">
        <v>25041</v>
      </c>
      <c r="G8782" s="114"/>
      <c r="H8782" s="115"/>
      <c r="I8782" s="24"/>
      <c r="J8782" s="116">
        <v>3.5</v>
      </c>
      <c r="K8782" s="118">
        <v>544000</v>
      </c>
      <c r="L8782" s="119"/>
      <c r="M8782" s="118">
        <f t="shared" ref="M8782" si="13453">K8782*0.1</f>
        <v>54400</v>
      </c>
      <c r="N8782" s="119"/>
      <c r="O8782" s="118">
        <v>0</v>
      </c>
      <c r="P8782" s="119"/>
      <c r="Q8782" s="118">
        <v>15390</v>
      </c>
      <c r="R8782" s="119"/>
      <c r="S8782" s="118">
        <v>15400</v>
      </c>
      <c r="T8782" s="119"/>
      <c r="U8782" s="118">
        <f t="shared" ref="U8782" si="13454">SUM(K8782:T8783)</f>
        <v>629190</v>
      </c>
      <c r="V8782" s="122"/>
      <c r="W8782" s="124"/>
      <c r="X8782" s="126" t="s">
        <v>25574</v>
      </c>
      <c r="Y8782" s="127"/>
      <c r="Z8782" s="127"/>
      <c r="AA8782" s="127"/>
      <c r="AB8782" s="128"/>
      <c r="AC8782" s="15" t="s">
        <v>20</v>
      </c>
      <c r="AD8782" s="129"/>
      <c r="AE8782" s="130"/>
      <c r="AF8782" s="130"/>
      <c r="AG8782" s="130"/>
      <c r="AH8782" s="130"/>
      <c r="AI8782" s="131"/>
      <c r="AJ8782" s="132"/>
      <c r="AK8782" s="127"/>
      <c r="AL8782" s="128"/>
      <c r="AM8782" s="21"/>
      <c r="AN8782" s="133"/>
      <c r="AO8782" s="134"/>
      <c r="AP8782" s="135"/>
      <c r="AQ8782" s="136"/>
      <c r="AR8782" s="118"/>
      <c r="AS8782" s="119"/>
      <c r="AT8782" s="118">
        <f t="shared" ref="AT8782" si="13455">AR8782*0.1</f>
        <v>0</v>
      </c>
      <c r="AU8782" s="119"/>
      <c r="AV8782" s="118"/>
      <c r="AW8782" s="119"/>
      <c r="AX8782" s="118">
        <f t="shared" ref="AX8782" si="13456">SUM(AR8782:AW8782)</f>
        <v>0</v>
      </c>
      <c r="AY8782" s="119"/>
      <c r="AZ8782" s="137"/>
    </row>
    <row r="8783" spans="1:52" ht="17.100000000000001" customHeight="1" thickBot="1">
      <c r="A8783" s="110"/>
      <c r="B8783" s="27" t="s">
        <v>25023</v>
      </c>
      <c r="C8783" s="27">
        <v>7097</v>
      </c>
      <c r="D8783" s="14" t="s">
        <v>2601</v>
      </c>
      <c r="E8783" s="112"/>
      <c r="F8783" s="139" t="s">
        <v>25042</v>
      </c>
      <c r="G8783" s="140"/>
      <c r="H8783" s="141"/>
      <c r="I8783" s="26">
        <v>148856</v>
      </c>
      <c r="J8783" s="117"/>
      <c r="K8783" s="120"/>
      <c r="L8783" s="121"/>
      <c r="M8783" s="120"/>
      <c r="N8783" s="121"/>
      <c r="O8783" s="120"/>
      <c r="P8783" s="121"/>
      <c r="Q8783" s="120"/>
      <c r="R8783" s="121"/>
      <c r="S8783" s="120"/>
      <c r="T8783" s="121"/>
      <c r="U8783" s="120"/>
      <c r="V8783" s="123"/>
      <c r="W8783" s="125"/>
      <c r="X8783" s="142" t="s">
        <v>13734</v>
      </c>
      <c r="Y8783" s="143"/>
      <c r="Z8783" s="143"/>
      <c r="AA8783" s="143"/>
      <c r="AB8783" s="144"/>
      <c r="AC8783" s="16" t="s">
        <v>21</v>
      </c>
      <c r="AD8783" s="17" t="s">
        <v>2413</v>
      </c>
      <c r="AE8783" s="145" t="s">
        <v>14166</v>
      </c>
      <c r="AF8783" s="146"/>
      <c r="AG8783" s="146"/>
      <c r="AH8783" s="146"/>
      <c r="AI8783" s="147"/>
      <c r="AJ8783" s="148"/>
      <c r="AK8783" s="143"/>
      <c r="AL8783" s="144"/>
      <c r="AM8783" s="22"/>
      <c r="AN8783" s="149"/>
      <c r="AO8783" s="144"/>
      <c r="AP8783" s="148"/>
      <c r="AQ8783" s="144"/>
      <c r="AR8783" s="120"/>
      <c r="AS8783" s="121"/>
      <c r="AT8783" s="120"/>
      <c r="AU8783" s="121"/>
      <c r="AV8783" s="120"/>
      <c r="AW8783" s="121"/>
      <c r="AX8783" s="120"/>
      <c r="AY8783" s="121"/>
      <c r="AZ8783" s="138"/>
    </row>
    <row r="8784" spans="1:52" ht="17.100000000000001" customHeight="1" thickTop="1">
      <c r="A8784" s="109" t="s">
        <v>25010</v>
      </c>
      <c r="B8784" s="28">
        <v>46143</v>
      </c>
      <c r="C8784" s="25">
        <v>1417</v>
      </c>
      <c r="D8784" s="13" t="s">
        <v>25090</v>
      </c>
      <c r="E8784" s="111"/>
      <c r="F8784" s="113" t="s">
        <v>25043</v>
      </c>
      <c r="G8784" s="114"/>
      <c r="H8784" s="115"/>
      <c r="I8784" s="24" t="s">
        <v>25091</v>
      </c>
      <c r="J8784" s="116">
        <v>4</v>
      </c>
      <c r="K8784" s="118">
        <v>183000</v>
      </c>
      <c r="L8784" s="119"/>
      <c r="M8784" s="118">
        <f t="shared" ref="M8784" si="13457">K8784*0.1</f>
        <v>18300</v>
      </c>
      <c r="N8784" s="119"/>
      <c r="O8784" s="118">
        <v>0</v>
      </c>
      <c r="P8784" s="119"/>
      <c r="Q8784" s="118">
        <v>10000</v>
      </c>
      <c r="R8784" s="119"/>
      <c r="S8784" s="118">
        <v>15400</v>
      </c>
      <c r="T8784" s="119"/>
      <c r="U8784" s="118">
        <f t="shared" ref="U8784" si="13458">SUM(K8784:T8785)</f>
        <v>226700</v>
      </c>
      <c r="V8784" s="122"/>
      <c r="W8784" s="124"/>
      <c r="X8784" s="126" t="s">
        <v>25399</v>
      </c>
      <c r="Y8784" s="127"/>
      <c r="Z8784" s="127"/>
      <c r="AA8784" s="127"/>
      <c r="AB8784" s="128"/>
      <c r="AC8784" s="15" t="s">
        <v>20</v>
      </c>
      <c r="AD8784" s="129" t="s">
        <v>3888</v>
      </c>
      <c r="AE8784" s="130"/>
      <c r="AF8784" s="130"/>
      <c r="AG8784" s="130"/>
      <c r="AH8784" s="130"/>
      <c r="AI8784" s="131"/>
      <c r="AJ8784" s="132"/>
      <c r="AK8784" s="127"/>
      <c r="AL8784" s="128"/>
      <c r="AM8784" s="21"/>
      <c r="AN8784" s="133"/>
      <c r="AO8784" s="134"/>
      <c r="AP8784" s="135"/>
      <c r="AQ8784" s="136"/>
      <c r="AR8784" s="118"/>
      <c r="AS8784" s="119"/>
      <c r="AT8784" s="118">
        <f t="shared" ref="AT8784" si="13459">AR8784*0.1</f>
        <v>0</v>
      </c>
      <c r="AU8784" s="119"/>
      <c r="AV8784" s="118"/>
      <c r="AW8784" s="119"/>
      <c r="AX8784" s="118">
        <f t="shared" ref="AX8784" si="13460">SUM(AR8784:AW8784)</f>
        <v>0</v>
      </c>
      <c r="AY8784" s="119"/>
      <c r="AZ8784" s="137"/>
    </row>
    <row r="8785" spans="1:52" ht="17.100000000000001" customHeight="1" thickBot="1">
      <c r="A8785" s="110"/>
      <c r="B8785" s="27" t="s">
        <v>25023</v>
      </c>
      <c r="C8785" s="27">
        <v>9052</v>
      </c>
      <c r="D8785" s="14" t="s">
        <v>2601</v>
      </c>
      <c r="E8785" s="112"/>
      <c r="F8785" s="139" t="s">
        <v>25044</v>
      </c>
      <c r="G8785" s="140"/>
      <c r="H8785" s="141"/>
      <c r="I8785" s="26">
        <v>40317</v>
      </c>
      <c r="J8785" s="117"/>
      <c r="K8785" s="120"/>
      <c r="L8785" s="121"/>
      <c r="M8785" s="120"/>
      <c r="N8785" s="121"/>
      <c r="O8785" s="120"/>
      <c r="P8785" s="121"/>
      <c r="Q8785" s="120"/>
      <c r="R8785" s="121"/>
      <c r="S8785" s="120"/>
      <c r="T8785" s="121"/>
      <c r="U8785" s="120"/>
      <c r="V8785" s="123"/>
      <c r="W8785" s="125"/>
      <c r="X8785" s="142" t="s">
        <v>9077</v>
      </c>
      <c r="Y8785" s="143"/>
      <c r="Z8785" s="143"/>
      <c r="AA8785" s="143"/>
      <c r="AB8785" s="144"/>
      <c r="AC8785" s="16" t="s">
        <v>21</v>
      </c>
      <c r="AD8785" s="17" t="s">
        <v>1847</v>
      </c>
      <c r="AE8785" s="145" t="s">
        <v>171</v>
      </c>
      <c r="AF8785" s="146"/>
      <c r="AG8785" s="146"/>
      <c r="AH8785" s="146"/>
      <c r="AI8785" s="147"/>
      <c r="AJ8785" s="148"/>
      <c r="AK8785" s="143"/>
      <c r="AL8785" s="144"/>
      <c r="AM8785" s="22"/>
      <c r="AN8785" s="149"/>
      <c r="AO8785" s="144"/>
      <c r="AP8785" s="148"/>
      <c r="AQ8785" s="144"/>
      <c r="AR8785" s="120"/>
      <c r="AS8785" s="121"/>
      <c r="AT8785" s="120"/>
      <c r="AU8785" s="121"/>
      <c r="AV8785" s="120"/>
      <c r="AW8785" s="121"/>
      <c r="AX8785" s="120"/>
      <c r="AY8785" s="121"/>
      <c r="AZ8785" s="138"/>
    </row>
    <row r="8786" spans="1:52" ht="17.100000000000001" customHeight="1" thickTop="1">
      <c r="A8786" s="109" t="s">
        <v>25011</v>
      </c>
      <c r="B8786" s="28">
        <v>46144</v>
      </c>
      <c r="C8786" s="25">
        <v>1542</v>
      </c>
      <c r="D8786" s="13" t="s">
        <v>25092</v>
      </c>
      <c r="E8786" s="111"/>
      <c r="F8786" s="113" t="s">
        <v>4785</v>
      </c>
      <c r="G8786" s="114"/>
      <c r="H8786" s="115"/>
      <c r="I8786" s="24" t="s">
        <v>25094</v>
      </c>
      <c r="J8786" s="116">
        <v>4.5</v>
      </c>
      <c r="K8786" s="118">
        <v>1365000</v>
      </c>
      <c r="L8786" s="119"/>
      <c r="M8786" s="118">
        <f t="shared" ref="M8786" si="13461">K8786*0.1</f>
        <v>136500</v>
      </c>
      <c r="N8786" s="119"/>
      <c r="O8786" s="118">
        <v>31570</v>
      </c>
      <c r="P8786" s="119"/>
      <c r="Q8786" s="118">
        <v>11740</v>
      </c>
      <c r="R8786" s="119"/>
      <c r="S8786" s="118">
        <v>22000</v>
      </c>
      <c r="T8786" s="119"/>
      <c r="U8786" s="118">
        <f t="shared" ref="U8786" si="13462">SUM(K8786:T8787)</f>
        <v>1566810</v>
      </c>
      <c r="V8786" s="122"/>
      <c r="W8786" s="124"/>
      <c r="X8786" s="126" t="s">
        <v>25095</v>
      </c>
      <c r="Y8786" s="127"/>
      <c r="Z8786" s="127"/>
      <c r="AA8786" s="127"/>
      <c r="AB8786" s="128"/>
      <c r="AC8786" s="15" t="s">
        <v>20</v>
      </c>
      <c r="AD8786" s="129"/>
      <c r="AE8786" s="130"/>
      <c r="AF8786" s="130"/>
      <c r="AG8786" s="130"/>
      <c r="AH8786" s="130"/>
      <c r="AI8786" s="131"/>
      <c r="AJ8786" s="132"/>
      <c r="AK8786" s="127"/>
      <c r="AL8786" s="128"/>
      <c r="AM8786" s="21"/>
      <c r="AN8786" s="133">
        <v>46158</v>
      </c>
      <c r="AO8786" s="134"/>
      <c r="AP8786" s="135">
        <v>1300</v>
      </c>
      <c r="AQ8786" s="136"/>
      <c r="AR8786" s="118">
        <v>1530000</v>
      </c>
      <c r="AS8786" s="119"/>
      <c r="AT8786" s="118">
        <f t="shared" ref="AT8786" si="13463">AR8786*0.1</f>
        <v>153000</v>
      </c>
      <c r="AU8786" s="119"/>
      <c r="AV8786" s="118">
        <v>11740</v>
      </c>
      <c r="AW8786" s="119"/>
      <c r="AX8786" s="118">
        <f t="shared" ref="AX8786" si="13464">SUM(AR8786:AW8786)</f>
        <v>1694740</v>
      </c>
      <c r="AY8786" s="119"/>
      <c r="AZ8786" s="137">
        <v>46161</v>
      </c>
    </row>
    <row r="8787" spans="1:52" ht="17.100000000000001" customHeight="1" thickBot="1">
      <c r="A8787" s="110"/>
      <c r="B8787" s="27" t="s">
        <v>25045</v>
      </c>
      <c r="C8787" s="27">
        <v>83012</v>
      </c>
      <c r="D8787" s="14" t="s">
        <v>25093</v>
      </c>
      <c r="E8787" s="112"/>
      <c r="F8787" s="139" t="s">
        <v>25581</v>
      </c>
      <c r="G8787" s="140"/>
      <c r="H8787" s="141"/>
      <c r="I8787" s="26">
        <v>39964</v>
      </c>
      <c r="J8787" s="117"/>
      <c r="K8787" s="120"/>
      <c r="L8787" s="121"/>
      <c r="M8787" s="120"/>
      <c r="N8787" s="121"/>
      <c r="O8787" s="120"/>
      <c r="P8787" s="121"/>
      <c r="Q8787" s="120"/>
      <c r="R8787" s="121"/>
      <c r="S8787" s="120"/>
      <c r="T8787" s="121"/>
      <c r="U8787" s="120"/>
      <c r="V8787" s="123"/>
      <c r="W8787" s="125"/>
      <c r="X8787" s="142" t="s">
        <v>25582</v>
      </c>
      <c r="Y8787" s="143"/>
      <c r="Z8787" s="143"/>
      <c r="AA8787" s="143"/>
      <c r="AB8787" s="144"/>
      <c r="AC8787" s="16" t="s">
        <v>21</v>
      </c>
      <c r="AD8787" s="17" t="s">
        <v>3742</v>
      </c>
      <c r="AE8787" s="145" t="s">
        <v>1633</v>
      </c>
      <c r="AF8787" s="146"/>
      <c r="AG8787" s="146"/>
      <c r="AH8787" s="146"/>
      <c r="AI8787" s="147"/>
      <c r="AJ8787" s="148"/>
      <c r="AK8787" s="143"/>
      <c r="AL8787" s="144"/>
      <c r="AM8787" s="22"/>
      <c r="AN8787" s="149" t="s">
        <v>2511</v>
      </c>
      <c r="AO8787" s="144"/>
      <c r="AP8787" s="148">
        <v>80351</v>
      </c>
      <c r="AQ8787" s="144"/>
      <c r="AR8787" s="120"/>
      <c r="AS8787" s="121"/>
      <c r="AT8787" s="120"/>
      <c r="AU8787" s="121"/>
      <c r="AV8787" s="120"/>
      <c r="AW8787" s="121"/>
      <c r="AX8787" s="120"/>
      <c r="AY8787" s="121"/>
      <c r="AZ8787" s="138"/>
    </row>
    <row r="8788" spans="1:52" ht="17.100000000000001" customHeight="1" thickTop="1">
      <c r="A8788" s="109" t="s">
        <v>25012</v>
      </c>
      <c r="B8788" s="28">
        <v>46144</v>
      </c>
      <c r="C8788" s="25">
        <v>1542</v>
      </c>
      <c r="D8788" s="13" t="s">
        <v>25096</v>
      </c>
      <c r="E8788" s="111"/>
      <c r="F8788" s="113" t="s">
        <v>25046</v>
      </c>
      <c r="G8788" s="114"/>
      <c r="H8788" s="115"/>
      <c r="I8788" s="24" t="s">
        <v>25098</v>
      </c>
      <c r="J8788" s="116">
        <v>4.5</v>
      </c>
      <c r="K8788" s="118">
        <v>1725000</v>
      </c>
      <c r="L8788" s="119"/>
      <c r="M8788" s="118">
        <f t="shared" ref="M8788" si="13465">K8788*0.1</f>
        <v>172500</v>
      </c>
      <c r="N8788" s="119"/>
      <c r="O8788" s="118">
        <v>27940</v>
      </c>
      <c r="P8788" s="119"/>
      <c r="Q8788" s="118">
        <v>19090</v>
      </c>
      <c r="R8788" s="119"/>
      <c r="S8788" s="118">
        <v>22000</v>
      </c>
      <c r="T8788" s="119"/>
      <c r="U8788" s="118">
        <f t="shared" ref="U8788" si="13466">SUM(K8788:T8789)</f>
        <v>1966530</v>
      </c>
      <c r="V8788" s="122"/>
      <c r="W8788" s="124"/>
      <c r="X8788" s="126" t="s">
        <v>25099</v>
      </c>
      <c r="Y8788" s="127"/>
      <c r="Z8788" s="127"/>
      <c r="AA8788" s="127"/>
      <c r="AB8788" s="128"/>
      <c r="AC8788" s="15" t="s">
        <v>20</v>
      </c>
      <c r="AD8788" s="129"/>
      <c r="AE8788" s="130"/>
      <c r="AF8788" s="130"/>
      <c r="AG8788" s="130"/>
      <c r="AH8788" s="130"/>
      <c r="AI8788" s="131"/>
      <c r="AJ8788" s="132"/>
      <c r="AK8788" s="127"/>
      <c r="AL8788" s="128"/>
      <c r="AM8788" s="21"/>
      <c r="AN8788" s="133"/>
      <c r="AO8788" s="134"/>
      <c r="AP8788" s="135"/>
      <c r="AQ8788" s="136"/>
      <c r="AR8788" s="118"/>
      <c r="AS8788" s="119"/>
      <c r="AT8788" s="118">
        <f t="shared" ref="AT8788" si="13467">AR8788*0.1</f>
        <v>0</v>
      </c>
      <c r="AU8788" s="119"/>
      <c r="AV8788" s="118"/>
      <c r="AW8788" s="119"/>
      <c r="AX8788" s="118">
        <f t="shared" ref="AX8788" si="13468">SUM(AR8788:AW8788)</f>
        <v>0</v>
      </c>
      <c r="AY8788" s="119"/>
      <c r="AZ8788" s="137"/>
    </row>
    <row r="8789" spans="1:52" ht="17.100000000000001" customHeight="1" thickBot="1">
      <c r="A8789" s="110"/>
      <c r="B8789" s="27" t="s">
        <v>25045</v>
      </c>
      <c r="C8789" s="27">
        <v>83019</v>
      </c>
      <c r="D8789" s="14" t="s">
        <v>25093</v>
      </c>
      <c r="E8789" s="112"/>
      <c r="F8789" s="139" t="s">
        <v>25097</v>
      </c>
      <c r="G8789" s="140"/>
      <c r="H8789" s="141"/>
      <c r="I8789" s="26">
        <v>23067</v>
      </c>
      <c r="J8789" s="117"/>
      <c r="K8789" s="120"/>
      <c r="L8789" s="121"/>
      <c r="M8789" s="120"/>
      <c r="N8789" s="121"/>
      <c r="O8789" s="120"/>
      <c r="P8789" s="121"/>
      <c r="Q8789" s="120"/>
      <c r="R8789" s="121"/>
      <c r="S8789" s="120"/>
      <c r="T8789" s="121"/>
      <c r="U8789" s="120"/>
      <c r="V8789" s="123"/>
      <c r="W8789" s="125"/>
      <c r="X8789" s="142" t="s">
        <v>25557</v>
      </c>
      <c r="Y8789" s="143"/>
      <c r="Z8789" s="143"/>
      <c r="AA8789" s="143"/>
      <c r="AB8789" s="144"/>
      <c r="AC8789" s="16" t="s">
        <v>21</v>
      </c>
      <c r="AD8789" s="17" t="s">
        <v>2413</v>
      </c>
      <c r="AE8789" s="145"/>
      <c r="AF8789" s="146"/>
      <c r="AG8789" s="146"/>
      <c r="AH8789" s="146"/>
      <c r="AI8789" s="147"/>
      <c r="AJ8789" s="148"/>
      <c r="AK8789" s="143"/>
      <c r="AL8789" s="144"/>
      <c r="AM8789" s="22"/>
      <c r="AN8789" s="149"/>
      <c r="AO8789" s="144"/>
      <c r="AP8789" s="148"/>
      <c r="AQ8789" s="144"/>
      <c r="AR8789" s="120"/>
      <c r="AS8789" s="121"/>
      <c r="AT8789" s="120"/>
      <c r="AU8789" s="121"/>
      <c r="AV8789" s="120"/>
      <c r="AW8789" s="121"/>
      <c r="AX8789" s="120"/>
      <c r="AY8789" s="121"/>
      <c r="AZ8789" s="138"/>
    </row>
    <row r="8790" spans="1:52" ht="17.100000000000001" customHeight="1" thickTop="1">
      <c r="A8790" s="109" t="s">
        <v>25013</v>
      </c>
      <c r="B8790" s="28">
        <v>46144</v>
      </c>
      <c r="C8790" s="25">
        <v>1299</v>
      </c>
      <c r="D8790" s="13" t="s">
        <v>25100</v>
      </c>
      <c r="E8790" s="111"/>
      <c r="F8790" s="113" t="s">
        <v>25048</v>
      </c>
      <c r="G8790" s="114"/>
      <c r="H8790" s="115"/>
      <c r="I8790" s="24"/>
      <c r="J8790" s="116">
        <v>4.5</v>
      </c>
      <c r="K8790" s="118">
        <v>2130000</v>
      </c>
      <c r="L8790" s="119"/>
      <c r="M8790" s="118">
        <f t="shared" ref="M8790" si="13469">K8790*0.1</f>
        <v>213000</v>
      </c>
      <c r="N8790" s="119"/>
      <c r="O8790" s="118">
        <v>0</v>
      </c>
      <c r="P8790" s="119"/>
      <c r="Q8790" s="118">
        <v>15890</v>
      </c>
      <c r="R8790" s="119"/>
      <c r="S8790" s="118">
        <v>12100</v>
      </c>
      <c r="T8790" s="119"/>
      <c r="U8790" s="118">
        <f t="shared" ref="U8790" si="13470">SUM(K8790:T8791)</f>
        <v>2370990</v>
      </c>
      <c r="V8790" s="122"/>
      <c r="W8790" s="124"/>
      <c r="X8790" s="126" t="s">
        <v>25671</v>
      </c>
      <c r="Y8790" s="127"/>
      <c r="Z8790" s="127"/>
      <c r="AA8790" s="127"/>
      <c r="AB8790" s="128"/>
      <c r="AC8790" s="15" t="s">
        <v>20</v>
      </c>
      <c r="AD8790" s="129" t="s">
        <v>25102</v>
      </c>
      <c r="AE8790" s="130"/>
      <c r="AF8790" s="130"/>
      <c r="AG8790" s="130"/>
      <c r="AH8790" s="130"/>
      <c r="AI8790" s="131"/>
      <c r="AJ8790" s="132"/>
      <c r="AK8790" s="127"/>
      <c r="AL8790" s="128"/>
      <c r="AM8790" s="21"/>
      <c r="AN8790" s="133"/>
      <c r="AO8790" s="134"/>
      <c r="AP8790" s="135"/>
      <c r="AQ8790" s="136"/>
      <c r="AR8790" s="118"/>
      <c r="AS8790" s="119"/>
      <c r="AT8790" s="118">
        <f t="shared" ref="AT8790" si="13471">AR8790*0.1</f>
        <v>0</v>
      </c>
      <c r="AU8790" s="119"/>
      <c r="AV8790" s="118"/>
      <c r="AW8790" s="119"/>
      <c r="AX8790" s="118">
        <f t="shared" ref="AX8790" si="13472">SUM(AR8790:AW8790)</f>
        <v>0</v>
      </c>
      <c r="AY8790" s="119"/>
      <c r="AZ8790" s="137"/>
    </row>
    <row r="8791" spans="1:52" ht="17.100000000000001" customHeight="1" thickBot="1">
      <c r="A8791" s="110"/>
      <c r="B8791" s="27" t="s">
        <v>25047</v>
      </c>
      <c r="C8791" s="27">
        <v>31154</v>
      </c>
      <c r="D8791" s="14" t="s">
        <v>2601</v>
      </c>
      <c r="E8791" s="112"/>
      <c r="F8791" s="139" t="s">
        <v>25101</v>
      </c>
      <c r="G8791" s="140"/>
      <c r="H8791" s="141"/>
      <c r="I8791" s="26">
        <v>45099</v>
      </c>
      <c r="J8791" s="117"/>
      <c r="K8791" s="120"/>
      <c r="L8791" s="121"/>
      <c r="M8791" s="120"/>
      <c r="N8791" s="121"/>
      <c r="O8791" s="120"/>
      <c r="P8791" s="121"/>
      <c r="Q8791" s="120"/>
      <c r="R8791" s="121"/>
      <c r="S8791" s="120"/>
      <c r="T8791" s="121"/>
      <c r="U8791" s="120"/>
      <c r="V8791" s="123"/>
      <c r="W8791" s="125"/>
      <c r="X8791" s="142" t="s">
        <v>3410</v>
      </c>
      <c r="Y8791" s="143"/>
      <c r="Z8791" s="143"/>
      <c r="AA8791" s="143"/>
      <c r="AB8791" s="144"/>
      <c r="AC8791" s="16" t="s">
        <v>21</v>
      </c>
      <c r="AD8791" s="17" t="s">
        <v>2730</v>
      </c>
      <c r="AE8791" s="145" t="s">
        <v>10730</v>
      </c>
      <c r="AF8791" s="146"/>
      <c r="AG8791" s="146"/>
      <c r="AH8791" s="146"/>
      <c r="AI8791" s="147"/>
      <c r="AJ8791" s="148"/>
      <c r="AK8791" s="143"/>
      <c r="AL8791" s="144"/>
      <c r="AM8791" s="22"/>
      <c r="AN8791" s="149"/>
      <c r="AO8791" s="144"/>
      <c r="AP8791" s="148"/>
      <c r="AQ8791" s="144"/>
      <c r="AR8791" s="120"/>
      <c r="AS8791" s="121"/>
      <c r="AT8791" s="120"/>
      <c r="AU8791" s="121"/>
      <c r="AV8791" s="120"/>
      <c r="AW8791" s="121"/>
      <c r="AX8791" s="120"/>
      <c r="AY8791" s="121"/>
      <c r="AZ8791" s="138"/>
    </row>
    <row r="8792" spans="1:52" ht="17.100000000000001" customHeight="1" thickTop="1">
      <c r="A8792" s="109" t="s">
        <v>25014</v>
      </c>
      <c r="B8792" s="28">
        <v>46144</v>
      </c>
      <c r="C8792" s="25">
        <v>1299</v>
      </c>
      <c r="D8792" s="13" t="s">
        <v>25103</v>
      </c>
      <c r="E8792" s="111"/>
      <c r="F8792" s="113" t="s">
        <v>25049</v>
      </c>
      <c r="G8792" s="114"/>
      <c r="H8792" s="115"/>
      <c r="I8792" s="24"/>
      <c r="J8792" s="116">
        <v>4</v>
      </c>
      <c r="K8792" s="118">
        <v>1155000</v>
      </c>
      <c r="L8792" s="119"/>
      <c r="M8792" s="118">
        <f t="shared" ref="M8792" si="13473">K8792*0.1</f>
        <v>115500</v>
      </c>
      <c r="N8792" s="119"/>
      <c r="O8792" s="118">
        <v>0</v>
      </c>
      <c r="P8792" s="119"/>
      <c r="Q8792" s="118">
        <v>8190</v>
      </c>
      <c r="R8792" s="119"/>
      <c r="S8792" s="118">
        <v>12100</v>
      </c>
      <c r="T8792" s="119"/>
      <c r="U8792" s="118">
        <f t="shared" ref="U8792" si="13474">SUM(K8792:T8793)</f>
        <v>1290790</v>
      </c>
      <c r="V8792" s="122"/>
      <c r="W8792" s="124"/>
      <c r="X8792" s="126" t="s">
        <v>25668</v>
      </c>
      <c r="Y8792" s="127"/>
      <c r="Z8792" s="127"/>
      <c r="AA8792" s="127"/>
      <c r="AB8792" s="128"/>
      <c r="AC8792" s="15" t="s">
        <v>20</v>
      </c>
      <c r="AD8792" s="129" t="s">
        <v>25104</v>
      </c>
      <c r="AE8792" s="130"/>
      <c r="AF8792" s="130"/>
      <c r="AG8792" s="130"/>
      <c r="AH8792" s="130"/>
      <c r="AI8792" s="131"/>
      <c r="AJ8792" s="132"/>
      <c r="AK8792" s="127"/>
      <c r="AL8792" s="128"/>
      <c r="AM8792" s="21"/>
      <c r="AN8792" s="133"/>
      <c r="AO8792" s="134"/>
      <c r="AP8792" s="135"/>
      <c r="AQ8792" s="136"/>
      <c r="AR8792" s="118"/>
      <c r="AS8792" s="119"/>
      <c r="AT8792" s="118">
        <f t="shared" ref="AT8792" si="13475">AR8792*0.1</f>
        <v>0</v>
      </c>
      <c r="AU8792" s="119"/>
      <c r="AV8792" s="118"/>
      <c r="AW8792" s="119"/>
      <c r="AX8792" s="118">
        <f t="shared" ref="AX8792" si="13476">SUM(AR8792:AW8792)</f>
        <v>0</v>
      </c>
      <c r="AY8792" s="119"/>
      <c r="AZ8792" s="137"/>
    </row>
    <row r="8793" spans="1:52" ht="17.100000000000001" customHeight="1" thickBot="1">
      <c r="A8793" s="110"/>
      <c r="B8793" s="27" t="s">
        <v>25047</v>
      </c>
      <c r="C8793" s="27">
        <v>31297</v>
      </c>
      <c r="D8793" s="14" t="s">
        <v>25068</v>
      </c>
      <c r="E8793" s="112"/>
      <c r="F8793" s="139" t="s">
        <v>25050</v>
      </c>
      <c r="G8793" s="140"/>
      <c r="H8793" s="141"/>
      <c r="I8793" s="26">
        <v>43042</v>
      </c>
      <c r="J8793" s="117"/>
      <c r="K8793" s="120"/>
      <c r="L8793" s="121"/>
      <c r="M8793" s="120"/>
      <c r="N8793" s="121"/>
      <c r="O8793" s="120"/>
      <c r="P8793" s="121"/>
      <c r="Q8793" s="120"/>
      <c r="R8793" s="121"/>
      <c r="S8793" s="120"/>
      <c r="T8793" s="121"/>
      <c r="U8793" s="120"/>
      <c r="V8793" s="123"/>
      <c r="W8793" s="125"/>
      <c r="X8793" s="142" t="s">
        <v>25669</v>
      </c>
      <c r="Y8793" s="143"/>
      <c r="Z8793" s="143"/>
      <c r="AA8793" s="143"/>
      <c r="AB8793" s="144"/>
      <c r="AC8793" s="16" t="s">
        <v>21</v>
      </c>
      <c r="AD8793" s="17" t="s">
        <v>2730</v>
      </c>
      <c r="AE8793" s="145" t="s">
        <v>25670</v>
      </c>
      <c r="AF8793" s="146"/>
      <c r="AG8793" s="146"/>
      <c r="AH8793" s="146"/>
      <c r="AI8793" s="147"/>
      <c r="AJ8793" s="148"/>
      <c r="AK8793" s="143"/>
      <c r="AL8793" s="144"/>
      <c r="AM8793" s="22"/>
      <c r="AN8793" s="149"/>
      <c r="AO8793" s="144"/>
      <c r="AP8793" s="148"/>
      <c r="AQ8793" s="144"/>
      <c r="AR8793" s="120"/>
      <c r="AS8793" s="121"/>
      <c r="AT8793" s="120"/>
      <c r="AU8793" s="121"/>
      <c r="AV8793" s="120"/>
      <c r="AW8793" s="121"/>
      <c r="AX8793" s="120"/>
      <c r="AY8793" s="121"/>
      <c r="AZ8793" s="138"/>
    </row>
    <row r="8794" spans="1:52" ht="17.100000000000001" customHeight="1" thickTop="1">
      <c r="A8794" s="109" t="s">
        <v>25015</v>
      </c>
      <c r="B8794" s="28">
        <v>46144</v>
      </c>
      <c r="C8794" s="25">
        <v>1299</v>
      </c>
      <c r="D8794" s="13" t="s">
        <v>25105</v>
      </c>
      <c r="E8794" s="111"/>
      <c r="F8794" s="113" t="s">
        <v>25051</v>
      </c>
      <c r="G8794" s="114"/>
      <c r="H8794" s="115"/>
      <c r="I8794" s="24"/>
      <c r="J8794" s="116">
        <v>4</v>
      </c>
      <c r="K8794" s="118">
        <v>2830000</v>
      </c>
      <c r="L8794" s="119"/>
      <c r="M8794" s="118">
        <f t="shared" ref="M8794" si="13477">K8794*0.1</f>
        <v>283000</v>
      </c>
      <c r="N8794" s="119"/>
      <c r="O8794" s="118">
        <v>0</v>
      </c>
      <c r="P8794" s="119"/>
      <c r="Q8794" s="118">
        <v>10510</v>
      </c>
      <c r="R8794" s="119"/>
      <c r="S8794" s="118">
        <v>12100</v>
      </c>
      <c r="T8794" s="119"/>
      <c r="U8794" s="118">
        <f t="shared" ref="U8794" si="13478">SUM(K8794:T8795)</f>
        <v>3135610</v>
      </c>
      <c r="V8794" s="122"/>
      <c r="W8794" s="124"/>
      <c r="X8794" s="126" t="s">
        <v>25666</v>
      </c>
      <c r="Y8794" s="127"/>
      <c r="Z8794" s="127"/>
      <c r="AA8794" s="127"/>
      <c r="AB8794" s="128"/>
      <c r="AC8794" s="15" t="s">
        <v>20</v>
      </c>
      <c r="AD8794" s="129" t="s">
        <v>25072</v>
      </c>
      <c r="AE8794" s="130"/>
      <c r="AF8794" s="130"/>
      <c r="AG8794" s="130"/>
      <c r="AH8794" s="130"/>
      <c r="AI8794" s="131"/>
      <c r="AJ8794" s="132" t="s">
        <v>25667</v>
      </c>
      <c r="AK8794" s="127"/>
      <c r="AL8794" s="128"/>
      <c r="AM8794" s="21"/>
      <c r="AN8794" s="133">
        <v>46155</v>
      </c>
      <c r="AO8794" s="134"/>
      <c r="AP8794" s="135">
        <v>1016</v>
      </c>
      <c r="AQ8794" s="136"/>
      <c r="AR8794" s="118">
        <v>3035000</v>
      </c>
      <c r="AS8794" s="119"/>
      <c r="AT8794" s="118">
        <f t="shared" ref="AT8794" si="13479">AR8794*0.1</f>
        <v>303500</v>
      </c>
      <c r="AU8794" s="119"/>
      <c r="AV8794" s="118">
        <v>10510</v>
      </c>
      <c r="AW8794" s="119"/>
      <c r="AX8794" s="118">
        <f t="shared" ref="AX8794" si="13480">SUM(AR8794:AW8794)</f>
        <v>3349010</v>
      </c>
      <c r="AY8794" s="119"/>
      <c r="AZ8794" s="137">
        <v>46161</v>
      </c>
    </row>
    <row r="8795" spans="1:52" ht="17.100000000000001" customHeight="1" thickBot="1">
      <c r="A8795" s="110"/>
      <c r="B8795" s="27" t="s">
        <v>25047</v>
      </c>
      <c r="C8795" s="27">
        <v>31345</v>
      </c>
      <c r="D8795" s="14" t="s">
        <v>25068</v>
      </c>
      <c r="E8795" s="112"/>
      <c r="F8795" s="139" t="s">
        <v>25052</v>
      </c>
      <c r="G8795" s="140"/>
      <c r="H8795" s="141"/>
      <c r="I8795" s="26">
        <v>45490</v>
      </c>
      <c r="J8795" s="117"/>
      <c r="K8795" s="120"/>
      <c r="L8795" s="121"/>
      <c r="M8795" s="120"/>
      <c r="N8795" s="121"/>
      <c r="O8795" s="120"/>
      <c r="P8795" s="121"/>
      <c r="Q8795" s="120"/>
      <c r="R8795" s="121"/>
      <c r="S8795" s="120"/>
      <c r="T8795" s="121"/>
      <c r="U8795" s="120"/>
      <c r="V8795" s="123"/>
      <c r="W8795" s="125"/>
      <c r="X8795" s="142" t="s">
        <v>2659</v>
      </c>
      <c r="Y8795" s="143"/>
      <c r="Z8795" s="143"/>
      <c r="AA8795" s="143"/>
      <c r="AB8795" s="144"/>
      <c r="AC8795" s="16" t="s">
        <v>21</v>
      </c>
      <c r="AD8795" s="17" t="s">
        <v>2730</v>
      </c>
      <c r="AE8795" s="145" t="s">
        <v>25672</v>
      </c>
      <c r="AF8795" s="146"/>
      <c r="AG8795" s="146"/>
      <c r="AH8795" s="146"/>
      <c r="AI8795" s="147"/>
      <c r="AJ8795" s="148"/>
      <c r="AK8795" s="143"/>
      <c r="AL8795" s="144"/>
      <c r="AM8795" s="22"/>
      <c r="AN8795" s="149" t="s">
        <v>2794</v>
      </c>
      <c r="AO8795" s="144"/>
      <c r="AP8795" s="148">
        <v>5041</v>
      </c>
      <c r="AQ8795" s="144"/>
      <c r="AR8795" s="120"/>
      <c r="AS8795" s="121"/>
      <c r="AT8795" s="120"/>
      <c r="AU8795" s="121"/>
      <c r="AV8795" s="120"/>
      <c r="AW8795" s="121"/>
      <c r="AX8795" s="120"/>
      <c r="AY8795" s="121"/>
      <c r="AZ8795" s="138"/>
    </row>
    <row r="8796" spans="1:52" ht="17.100000000000001" customHeight="1" thickTop="1">
      <c r="A8796" s="109" t="s">
        <v>25016</v>
      </c>
      <c r="B8796" s="28">
        <v>46144</v>
      </c>
      <c r="C8796" s="25">
        <v>1299</v>
      </c>
      <c r="D8796" s="13" t="s">
        <v>25106</v>
      </c>
      <c r="E8796" s="111"/>
      <c r="F8796" s="113" t="s">
        <v>25053</v>
      </c>
      <c r="G8796" s="114"/>
      <c r="H8796" s="115"/>
      <c r="I8796" s="24"/>
      <c r="J8796" s="116">
        <v>4.5</v>
      </c>
      <c r="K8796" s="118">
        <v>1105000</v>
      </c>
      <c r="L8796" s="119"/>
      <c r="M8796" s="118">
        <f t="shared" ref="M8796" si="13481">K8796*0.1</f>
        <v>110500</v>
      </c>
      <c r="N8796" s="119"/>
      <c r="O8796" s="118">
        <v>0</v>
      </c>
      <c r="P8796" s="119"/>
      <c r="Q8796" s="118">
        <v>9810</v>
      </c>
      <c r="R8796" s="119"/>
      <c r="S8796" s="118">
        <v>13200</v>
      </c>
      <c r="T8796" s="119"/>
      <c r="U8796" s="118">
        <f t="shared" ref="U8796" si="13482">SUM(K8796:T8797)</f>
        <v>1238510</v>
      </c>
      <c r="V8796" s="122"/>
      <c r="W8796" s="124"/>
      <c r="X8796" s="126" t="s">
        <v>25675</v>
      </c>
      <c r="Y8796" s="127"/>
      <c r="Z8796" s="127"/>
      <c r="AA8796" s="127"/>
      <c r="AB8796" s="128"/>
      <c r="AC8796" s="15" t="s">
        <v>20</v>
      </c>
      <c r="AD8796" s="129" t="s">
        <v>25107</v>
      </c>
      <c r="AE8796" s="130"/>
      <c r="AF8796" s="130"/>
      <c r="AG8796" s="130"/>
      <c r="AH8796" s="130"/>
      <c r="AI8796" s="131"/>
      <c r="AJ8796" s="132"/>
      <c r="AK8796" s="127"/>
      <c r="AL8796" s="128"/>
      <c r="AM8796" s="21"/>
      <c r="AN8796" s="133">
        <v>46158</v>
      </c>
      <c r="AO8796" s="134"/>
      <c r="AP8796" s="135">
        <v>1300</v>
      </c>
      <c r="AQ8796" s="136"/>
      <c r="AR8796" s="118">
        <v>1195000</v>
      </c>
      <c r="AS8796" s="119"/>
      <c r="AT8796" s="118">
        <f t="shared" ref="AT8796" si="13483">AR8796*0.1</f>
        <v>119500</v>
      </c>
      <c r="AU8796" s="119"/>
      <c r="AV8796" s="118">
        <v>9810</v>
      </c>
      <c r="AW8796" s="119"/>
      <c r="AX8796" s="118">
        <f t="shared" ref="AX8796" si="13484">SUM(AR8796:AW8796)</f>
        <v>1324310</v>
      </c>
      <c r="AY8796" s="119"/>
      <c r="AZ8796" s="137">
        <v>46161</v>
      </c>
    </row>
    <row r="8797" spans="1:52" ht="17.100000000000001" customHeight="1" thickBot="1">
      <c r="A8797" s="110"/>
      <c r="B8797" s="27" t="s">
        <v>25047</v>
      </c>
      <c r="C8797" s="27">
        <v>35018</v>
      </c>
      <c r="D8797" s="14" t="s">
        <v>2601</v>
      </c>
      <c r="E8797" s="112"/>
      <c r="F8797" s="139" t="s">
        <v>25054</v>
      </c>
      <c r="G8797" s="140"/>
      <c r="H8797" s="141"/>
      <c r="I8797" s="26">
        <v>37797</v>
      </c>
      <c r="J8797" s="117"/>
      <c r="K8797" s="120"/>
      <c r="L8797" s="121"/>
      <c r="M8797" s="120"/>
      <c r="N8797" s="121"/>
      <c r="O8797" s="120"/>
      <c r="P8797" s="121"/>
      <c r="Q8797" s="120"/>
      <c r="R8797" s="121"/>
      <c r="S8797" s="120"/>
      <c r="T8797" s="121"/>
      <c r="U8797" s="120"/>
      <c r="V8797" s="123"/>
      <c r="W8797" s="125"/>
      <c r="X8797" s="142" t="s">
        <v>25676</v>
      </c>
      <c r="Y8797" s="143"/>
      <c r="Z8797" s="143"/>
      <c r="AA8797" s="143"/>
      <c r="AB8797" s="144"/>
      <c r="AC8797" s="16" t="s">
        <v>21</v>
      </c>
      <c r="AD8797" s="17" t="s">
        <v>2730</v>
      </c>
      <c r="AE8797" s="145" t="s">
        <v>25677</v>
      </c>
      <c r="AF8797" s="146"/>
      <c r="AG8797" s="146"/>
      <c r="AH8797" s="146"/>
      <c r="AI8797" s="147"/>
      <c r="AJ8797" s="148"/>
      <c r="AK8797" s="143"/>
      <c r="AL8797" s="144"/>
      <c r="AM8797" s="22"/>
      <c r="AN8797" s="149" t="s">
        <v>2511</v>
      </c>
      <c r="AO8797" s="144"/>
      <c r="AP8797" s="148">
        <v>55112</v>
      </c>
      <c r="AQ8797" s="144"/>
      <c r="AR8797" s="120"/>
      <c r="AS8797" s="121"/>
      <c r="AT8797" s="120"/>
      <c r="AU8797" s="121"/>
      <c r="AV8797" s="120"/>
      <c r="AW8797" s="121"/>
      <c r="AX8797" s="120"/>
      <c r="AY8797" s="121"/>
      <c r="AZ8797" s="138"/>
    </row>
    <row r="8798" spans="1:52" ht="17.100000000000001" customHeight="1" thickTop="1">
      <c r="A8798" s="109" t="s">
        <v>25017</v>
      </c>
      <c r="B8798" s="28">
        <v>46144</v>
      </c>
      <c r="C8798" s="25">
        <v>1299</v>
      </c>
      <c r="D8798" s="13" t="s">
        <v>25108</v>
      </c>
      <c r="E8798" s="111"/>
      <c r="F8798" s="113" t="s">
        <v>25055</v>
      </c>
      <c r="G8798" s="114"/>
      <c r="H8798" s="115"/>
      <c r="I8798" s="24" t="s">
        <v>25109</v>
      </c>
      <c r="J8798" s="116">
        <v>4</v>
      </c>
      <c r="K8798" s="118">
        <v>3415000</v>
      </c>
      <c r="L8798" s="119"/>
      <c r="M8798" s="118">
        <f t="shared" ref="M8798" si="13485">K8798*0.1</f>
        <v>341500</v>
      </c>
      <c r="N8798" s="119"/>
      <c r="O8798" s="118">
        <v>53130</v>
      </c>
      <c r="P8798" s="119"/>
      <c r="Q8798" s="118">
        <v>15210</v>
      </c>
      <c r="R8798" s="119"/>
      <c r="S8798" s="118">
        <v>12100</v>
      </c>
      <c r="T8798" s="119"/>
      <c r="U8798" s="118">
        <f t="shared" ref="U8798" si="13486">SUM(K8798:T8799)</f>
        <v>3836940</v>
      </c>
      <c r="V8798" s="122"/>
      <c r="W8798" s="124"/>
      <c r="X8798" s="126" t="s">
        <v>25110</v>
      </c>
      <c r="Y8798" s="127"/>
      <c r="Z8798" s="127"/>
      <c r="AA8798" s="127"/>
      <c r="AB8798" s="128"/>
      <c r="AC8798" s="15" t="s">
        <v>20</v>
      </c>
      <c r="AD8798" s="129" t="s">
        <v>25111</v>
      </c>
      <c r="AE8798" s="130"/>
      <c r="AF8798" s="130"/>
      <c r="AG8798" s="130"/>
      <c r="AH8798" s="130"/>
      <c r="AI8798" s="131"/>
      <c r="AJ8798" s="132"/>
      <c r="AK8798" s="127"/>
      <c r="AL8798" s="128"/>
      <c r="AM8798" s="21"/>
      <c r="AN8798" s="133"/>
      <c r="AO8798" s="134"/>
      <c r="AP8798" s="135"/>
      <c r="AQ8798" s="136"/>
      <c r="AR8798" s="118"/>
      <c r="AS8798" s="119"/>
      <c r="AT8798" s="118">
        <f t="shared" ref="AT8798" si="13487">AR8798*0.1</f>
        <v>0</v>
      </c>
      <c r="AU8798" s="119"/>
      <c r="AV8798" s="118"/>
      <c r="AW8798" s="119"/>
      <c r="AX8798" s="118">
        <f t="shared" ref="AX8798" si="13488">SUM(AR8798:AW8798)</f>
        <v>0</v>
      </c>
      <c r="AY8798" s="119"/>
      <c r="AZ8798" s="137"/>
    </row>
    <row r="8799" spans="1:52" ht="17.100000000000001" customHeight="1" thickBot="1">
      <c r="A8799" s="110"/>
      <c r="B8799" s="27" t="s">
        <v>25047</v>
      </c>
      <c r="C8799" s="27">
        <v>37301</v>
      </c>
      <c r="D8799" s="14" t="s">
        <v>25068</v>
      </c>
      <c r="E8799" s="112"/>
      <c r="F8799" s="139" t="s">
        <v>25056</v>
      </c>
      <c r="G8799" s="140"/>
      <c r="H8799" s="141"/>
      <c r="I8799" s="26">
        <v>112831</v>
      </c>
      <c r="J8799" s="117"/>
      <c r="K8799" s="120"/>
      <c r="L8799" s="121"/>
      <c r="M8799" s="120"/>
      <c r="N8799" s="121"/>
      <c r="O8799" s="120"/>
      <c r="P8799" s="121"/>
      <c r="Q8799" s="120"/>
      <c r="R8799" s="121"/>
      <c r="S8799" s="120"/>
      <c r="T8799" s="121"/>
      <c r="U8799" s="120"/>
      <c r="V8799" s="123"/>
      <c r="W8799" s="125"/>
      <c r="X8799" s="142" t="s">
        <v>25673</v>
      </c>
      <c r="Y8799" s="143"/>
      <c r="Z8799" s="143"/>
      <c r="AA8799" s="143"/>
      <c r="AB8799" s="144"/>
      <c r="AC8799" s="16" t="s">
        <v>21</v>
      </c>
      <c r="AD8799" s="17" t="s">
        <v>2730</v>
      </c>
      <c r="AE8799" s="145" t="s">
        <v>25674</v>
      </c>
      <c r="AF8799" s="146"/>
      <c r="AG8799" s="146"/>
      <c r="AH8799" s="146"/>
      <c r="AI8799" s="147"/>
      <c r="AJ8799" s="148"/>
      <c r="AK8799" s="143"/>
      <c r="AL8799" s="144"/>
      <c r="AM8799" s="22"/>
      <c r="AN8799" s="149"/>
      <c r="AO8799" s="144"/>
      <c r="AP8799" s="148"/>
      <c r="AQ8799" s="144"/>
      <c r="AR8799" s="120"/>
      <c r="AS8799" s="121"/>
      <c r="AT8799" s="120"/>
      <c r="AU8799" s="121"/>
      <c r="AV8799" s="120"/>
      <c r="AW8799" s="121"/>
      <c r="AX8799" s="120"/>
      <c r="AY8799" s="121"/>
      <c r="AZ8799" s="138"/>
    </row>
    <row r="8800" spans="1:52" ht="17.100000000000001" customHeight="1" thickTop="1">
      <c r="A8800" s="109" t="s">
        <v>25018</v>
      </c>
      <c r="B8800" s="28">
        <v>46144</v>
      </c>
      <c r="C8800" s="25">
        <v>1299</v>
      </c>
      <c r="D8800" s="13" t="s">
        <v>25112</v>
      </c>
      <c r="E8800" s="111"/>
      <c r="F8800" s="113" t="s">
        <v>25113</v>
      </c>
      <c r="G8800" s="114"/>
      <c r="H8800" s="115"/>
      <c r="I8800" s="24"/>
      <c r="J8800" s="116">
        <v>4</v>
      </c>
      <c r="K8800" s="118">
        <v>1240000</v>
      </c>
      <c r="L8800" s="119"/>
      <c r="M8800" s="118">
        <f t="shared" ref="M8800" si="13489">K8800*0.1</f>
        <v>124000</v>
      </c>
      <c r="N8800" s="119"/>
      <c r="O8800" s="118">
        <v>0</v>
      </c>
      <c r="P8800" s="119"/>
      <c r="Q8800" s="118">
        <v>22240</v>
      </c>
      <c r="R8800" s="119"/>
      <c r="S8800" s="118">
        <v>22000</v>
      </c>
      <c r="T8800" s="119"/>
      <c r="U8800" s="118">
        <f t="shared" ref="U8800" si="13490">SUM(K8800:T8801)</f>
        <v>1408240</v>
      </c>
      <c r="V8800" s="122"/>
      <c r="W8800" s="124"/>
      <c r="X8800" s="126" t="s">
        <v>25678</v>
      </c>
      <c r="Y8800" s="127"/>
      <c r="Z8800" s="127"/>
      <c r="AA8800" s="127"/>
      <c r="AB8800" s="128"/>
      <c r="AC8800" s="15" t="s">
        <v>20</v>
      </c>
      <c r="AD8800" s="129" t="s">
        <v>25115</v>
      </c>
      <c r="AE8800" s="130"/>
      <c r="AF8800" s="130"/>
      <c r="AG8800" s="130"/>
      <c r="AH8800" s="130"/>
      <c r="AI8800" s="131"/>
      <c r="AJ8800" s="132"/>
      <c r="AK8800" s="127"/>
      <c r="AL8800" s="128"/>
      <c r="AM8800" s="21"/>
      <c r="AN8800" s="133"/>
      <c r="AO8800" s="134"/>
      <c r="AP8800" s="135"/>
      <c r="AQ8800" s="136"/>
      <c r="AR8800" s="118"/>
      <c r="AS8800" s="119"/>
      <c r="AT8800" s="118">
        <f t="shared" ref="AT8800" si="13491">AR8800*0.1</f>
        <v>0</v>
      </c>
      <c r="AU8800" s="119"/>
      <c r="AV8800" s="118"/>
      <c r="AW8800" s="119"/>
      <c r="AX8800" s="118">
        <f t="shared" ref="AX8800" si="13492">SUM(AR8800:AW8800)</f>
        <v>0</v>
      </c>
      <c r="AY8800" s="119"/>
      <c r="AZ8800" s="137"/>
    </row>
    <row r="8801" spans="1:52" ht="17.100000000000001" customHeight="1" thickBot="1">
      <c r="A8801" s="110"/>
      <c r="B8801" s="27" t="s">
        <v>25047</v>
      </c>
      <c r="C8801" s="27">
        <v>81042</v>
      </c>
      <c r="D8801" s="14" t="s">
        <v>25085</v>
      </c>
      <c r="E8801" s="112"/>
      <c r="F8801" s="139" t="s">
        <v>25114</v>
      </c>
      <c r="G8801" s="140"/>
      <c r="H8801" s="141"/>
      <c r="I8801" s="26">
        <v>29427</v>
      </c>
      <c r="J8801" s="117"/>
      <c r="K8801" s="120"/>
      <c r="L8801" s="121"/>
      <c r="M8801" s="120"/>
      <c r="N8801" s="121"/>
      <c r="O8801" s="120"/>
      <c r="P8801" s="121"/>
      <c r="Q8801" s="120"/>
      <c r="R8801" s="121"/>
      <c r="S8801" s="120"/>
      <c r="T8801" s="121"/>
      <c r="U8801" s="120"/>
      <c r="V8801" s="123"/>
      <c r="W8801" s="125"/>
      <c r="X8801" s="142" t="s">
        <v>3410</v>
      </c>
      <c r="Y8801" s="143"/>
      <c r="Z8801" s="143"/>
      <c r="AA8801" s="143"/>
      <c r="AB8801" s="144"/>
      <c r="AC8801" s="16" t="s">
        <v>21</v>
      </c>
      <c r="AD8801" s="17" t="s">
        <v>2730</v>
      </c>
      <c r="AE8801" s="145" t="s">
        <v>25679</v>
      </c>
      <c r="AF8801" s="146"/>
      <c r="AG8801" s="146"/>
      <c r="AH8801" s="146"/>
      <c r="AI8801" s="147"/>
      <c r="AJ8801" s="148"/>
      <c r="AK8801" s="143"/>
      <c r="AL8801" s="144"/>
      <c r="AM8801" s="22"/>
      <c r="AN8801" s="149"/>
      <c r="AO8801" s="144"/>
      <c r="AP8801" s="148"/>
      <c r="AQ8801" s="144"/>
      <c r="AR8801" s="120"/>
      <c r="AS8801" s="121"/>
      <c r="AT8801" s="120"/>
      <c r="AU8801" s="121"/>
      <c r="AV8801" s="120"/>
      <c r="AW8801" s="121"/>
      <c r="AX8801" s="120"/>
      <c r="AY8801" s="121"/>
      <c r="AZ8801" s="138"/>
    </row>
    <row r="8802" spans="1:52" ht="17.100000000000001" customHeight="1" thickTop="1">
      <c r="A8802" s="109" t="s">
        <v>25019</v>
      </c>
      <c r="B8802" s="28">
        <v>46144</v>
      </c>
      <c r="C8802" s="25">
        <v>1299</v>
      </c>
      <c r="D8802" s="13" t="s">
        <v>25116</v>
      </c>
      <c r="E8802" s="111"/>
      <c r="F8802" s="113" t="s">
        <v>25057</v>
      </c>
      <c r="G8802" s="114"/>
      <c r="H8802" s="115"/>
      <c r="I8802" s="24" t="s">
        <v>25118</v>
      </c>
      <c r="J8802" s="116">
        <v>4</v>
      </c>
      <c r="K8802" s="118">
        <v>1715000</v>
      </c>
      <c r="L8802" s="119"/>
      <c r="M8802" s="118">
        <f t="shared" ref="M8802" si="13493">K8802*0.1</f>
        <v>171500</v>
      </c>
      <c r="N8802" s="119"/>
      <c r="O8802" s="118">
        <v>33000</v>
      </c>
      <c r="P8802" s="119"/>
      <c r="Q8802" s="118">
        <v>18890</v>
      </c>
      <c r="R8802" s="119"/>
      <c r="S8802" s="118">
        <v>22000</v>
      </c>
      <c r="T8802" s="119"/>
      <c r="U8802" s="118">
        <f t="shared" ref="U8802" si="13494">SUM(K8802:T8803)</f>
        <v>1960390</v>
      </c>
      <c r="V8802" s="122"/>
      <c r="W8802" s="124"/>
      <c r="X8802" s="126" t="s">
        <v>25119</v>
      </c>
      <c r="Y8802" s="127"/>
      <c r="Z8802" s="127"/>
      <c r="AA8802" s="127"/>
      <c r="AB8802" s="128"/>
      <c r="AC8802" s="15" t="s">
        <v>20</v>
      </c>
      <c r="AD8802" s="129" t="s">
        <v>25121</v>
      </c>
      <c r="AE8802" s="130"/>
      <c r="AF8802" s="130"/>
      <c r="AG8802" s="130"/>
      <c r="AH8802" s="130"/>
      <c r="AI8802" s="131"/>
      <c r="AJ8802" s="132"/>
      <c r="AK8802" s="127"/>
      <c r="AL8802" s="128"/>
      <c r="AM8802" s="21" t="s">
        <v>25961</v>
      </c>
      <c r="AN8802" s="133"/>
      <c r="AO8802" s="134"/>
      <c r="AP8802" s="135"/>
      <c r="AQ8802" s="136"/>
      <c r="AR8802" s="118"/>
      <c r="AS8802" s="119"/>
      <c r="AT8802" s="118">
        <f t="shared" ref="AT8802" si="13495">AR8802*0.1</f>
        <v>0</v>
      </c>
      <c r="AU8802" s="119"/>
      <c r="AV8802" s="118"/>
      <c r="AW8802" s="119"/>
      <c r="AX8802" s="118">
        <f t="shared" ref="AX8802" si="13496">SUM(AR8802:AW8802)</f>
        <v>0</v>
      </c>
      <c r="AY8802" s="119"/>
      <c r="AZ8802" s="137"/>
    </row>
    <row r="8803" spans="1:52" ht="17.100000000000001" customHeight="1" thickBot="1">
      <c r="A8803" s="110"/>
      <c r="B8803" s="27" t="s">
        <v>25047</v>
      </c>
      <c r="C8803" s="27">
        <v>81058</v>
      </c>
      <c r="D8803" s="14" t="s">
        <v>25093</v>
      </c>
      <c r="E8803" s="112"/>
      <c r="F8803" s="139" t="s">
        <v>25117</v>
      </c>
      <c r="G8803" s="140"/>
      <c r="H8803" s="141"/>
      <c r="I8803" s="26">
        <v>60273</v>
      </c>
      <c r="J8803" s="117"/>
      <c r="K8803" s="120"/>
      <c r="L8803" s="121"/>
      <c r="M8803" s="120"/>
      <c r="N8803" s="121"/>
      <c r="O8803" s="120"/>
      <c r="P8803" s="121"/>
      <c r="Q8803" s="120"/>
      <c r="R8803" s="121"/>
      <c r="S8803" s="120"/>
      <c r="T8803" s="121"/>
      <c r="U8803" s="120"/>
      <c r="V8803" s="123"/>
      <c r="W8803" s="125"/>
      <c r="X8803" s="142" t="s">
        <v>2321</v>
      </c>
      <c r="Y8803" s="143"/>
      <c r="Z8803" s="143"/>
      <c r="AA8803" s="143"/>
      <c r="AB8803" s="144"/>
      <c r="AC8803" s="16" t="s">
        <v>21</v>
      </c>
      <c r="AD8803" s="17" t="s">
        <v>2730</v>
      </c>
      <c r="AE8803" s="145" t="s">
        <v>25680</v>
      </c>
      <c r="AF8803" s="146"/>
      <c r="AG8803" s="146"/>
      <c r="AH8803" s="146"/>
      <c r="AI8803" s="147"/>
      <c r="AJ8803" s="148"/>
      <c r="AK8803" s="143"/>
      <c r="AL8803" s="144"/>
      <c r="AM8803" s="22"/>
      <c r="AN8803" s="149"/>
      <c r="AO8803" s="144"/>
      <c r="AP8803" s="148"/>
      <c r="AQ8803" s="144"/>
      <c r="AR8803" s="120"/>
      <c r="AS8803" s="121"/>
      <c r="AT8803" s="120"/>
      <c r="AU8803" s="121"/>
      <c r="AV8803" s="120"/>
      <c r="AW8803" s="121"/>
      <c r="AX8803" s="120"/>
      <c r="AY8803" s="121"/>
      <c r="AZ8803" s="138"/>
    </row>
    <row r="8804" spans="1:52" ht="17.100000000000001" customHeight="1" thickTop="1">
      <c r="A8804" s="109" t="s">
        <v>25020</v>
      </c>
      <c r="B8804" s="28">
        <v>46144</v>
      </c>
      <c r="C8804" s="25">
        <v>1299</v>
      </c>
      <c r="D8804" s="13" t="s">
        <v>25108</v>
      </c>
      <c r="E8804" s="111"/>
      <c r="F8804" s="113" t="s">
        <v>25058</v>
      </c>
      <c r="G8804" s="114"/>
      <c r="H8804" s="115"/>
      <c r="I8804" s="24" t="s">
        <v>25109</v>
      </c>
      <c r="J8804" s="116">
        <v>4</v>
      </c>
      <c r="K8804" s="118">
        <v>1760000</v>
      </c>
      <c r="L8804" s="119"/>
      <c r="M8804" s="118">
        <f t="shared" ref="M8804" si="13497">K8804*0.1</f>
        <v>176000</v>
      </c>
      <c r="N8804" s="119"/>
      <c r="O8804" s="118">
        <v>60940</v>
      </c>
      <c r="P8804" s="119"/>
      <c r="Q8804" s="118">
        <v>14840</v>
      </c>
      <c r="R8804" s="119"/>
      <c r="S8804" s="118">
        <v>22000</v>
      </c>
      <c r="T8804" s="119"/>
      <c r="U8804" s="118">
        <f t="shared" ref="U8804" si="13498">SUM(K8804:T8805)</f>
        <v>2033780</v>
      </c>
      <c r="V8804" s="122"/>
      <c r="W8804" s="124"/>
      <c r="X8804" s="126" t="s">
        <v>25123</v>
      </c>
      <c r="Y8804" s="127"/>
      <c r="Z8804" s="127"/>
      <c r="AA8804" s="127"/>
      <c r="AB8804" s="128"/>
      <c r="AC8804" s="15" t="s">
        <v>20</v>
      </c>
      <c r="AD8804" s="129" t="s">
        <v>25124</v>
      </c>
      <c r="AE8804" s="130"/>
      <c r="AF8804" s="130"/>
      <c r="AG8804" s="130"/>
      <c r="AH8804" s="130"/>
      <c r="AI8804" s="131"/>
      <c r="AJ8804" s="132"/>
      <c r="AK8804" s="127"/>
      <c r="AL8804" s="128"/>
      <c r="AM8804" s="21" t="s">
        <v>25960</v>
      </c>
      <c r="AN8804" s="133"/>
      <c r="AO8804" s="134"/>
      <c r="AP8804" s="135"/>
      <c r="AQ8804" s="136"/>
      <c r="AR8804" s="118"/>
      <c r="AS8804" s="119"/>
      <c r="AT8804" s="118">
        <f t="shared" ref="AT8804" si="13499">AR8804*0.1</f>
        <v>0</v>
      </c>
      <c r="AU8804" s="119"/>
      <c r="AV8804" s="118"/>
      <c r="AW8804" s="119"/>
      <c r="AX8804" s="118">
        <f t="shared" ref="AX8804" si="13500">SUM(AR8804:AW8804)</f>
        <v>0</v>
      </c>
      <c r="AY8804" s="119"/>
      <c r="AZ8804" s="137"/>
    </row>
    <row r="8805" spans="1:52" ht="17.100000000000001" customHeight="1" thickBot="1">
      <c r="A8805" s="110"/>
      <c r="B8805" s="27" t="s">
        <v>25047</v>
      </c>
      <c r="C8805" s="27">
        <v>82138</v>
      </c>
      <c r="D8805" s="14" t="s">
        <v>1720</v>
      </c>
      <c r="E8805" s="112"/>
      <c r="F8805" s="139" t="s">
        <v>25122</v>
      </c>
      <c r="G8805" s="140"/>
      <c r="H8805" s="141"/>
      <c r="I8805" s="26">
        <v>72183</v>
      </c>
      <c r="J8805" s="117"/>
      <c r="K8805" s="120"/>
      <c r="L8805" s="121"/>
      <c r="M8805" s="120"/>
      <c r="N8805" s="121"/>
      <c r="O8805" s="120"/>
      <c r="P8805" s="121"/>
      <c r="Q8805" s="120"/>
      <c r="R8805" s="121"/>
      <c r="S8805" s="120"/>
      <c r="T8805" s="121"/>
      <c r="U8805" s="120"/>
      <c r="V8805" s="123"/>
      <c r="W8805" s="125"/>
      <c r="X8805" s="142" t="s">
        <v>25681</v>
      </c>
      <c r="Y8805" s="143"/>
      <c r="Z8805" s="143"/>
      <c r="AA8805" s="143"/>
      <c r="AB8805" s="144"/>
      <c r="AC8805" s="16" t="s">
        <v>21</v>
      </c>
      <c r="AD8805" s="17" t="s">
        <v>2730</v>
      </c>
      <c r="AE8805" s="145" t="s">
        <v>25682</v>
      </c>
      <c r="AF8805" s="146"/>
      <c r="AG8805" s="146"/>
      <c r="AH8805" s="146"/>
      <c r="AI8805" s="147"/>
      <c r="AJ8805" s="148"/>
      <c r="AK8805" s="143"/>
      <c r="AL8805" s="144"/>
      <c r="AM8805" s="22"/>
      <c r="AN8805" s="149"/>
      <c r="AO8805" s="144"/>
      <c r="AP8805" s="148"/>
      <c r="AQ8805" s="144"/>
      <c r="AR8805" s="120"/>
      <c r="AS8805" s="121"/>
      <c r="AT8805" s="120"/>
      <c r="AU8805" s="121"/>
      <c r="AV8805" s="120"/>
      <c r="AW8805" s="121"/>
      <c r="AX8805" s="120"/>
      <c r="AY8805" s="121"/>
      <c r="AZ8805" s="138"/>
    </row>
    <row r="8806" spans="1:52" ht="17.100000000000001" customHeight="1" thickTop="1">
      <c r="A8806" s="109" t="s">
        <v>25021</v>
      </c>
      <c r="B8806" s="28">
        <v>46144</v>
      </c>
      <c r="C8806" s="25">
        <v>1299</v>
      </c>
      <c r="D8806" s="13" t="s">
        <v>25103</v>
      </c>
      <c r="E8806" s="111"/>
      <c r="F8806" s="113" t="s">
        <v>25059</v>
      </c>
      <c r="G8806" s="114"/>
      <c r="H8806" s="115"/>
      <c r="I8806" s="24" t="s">
        <v>25126</v>
      </c>
      <c r="J8806" s="116">
        <v>4.5</v>
      </c>
      <c r="K8806" s="118">
        <v>1935000</v>
      </c>
      <c r="L8806" s="119"/>
      <c r="M8806" s="118">
        <f t="shared" ref="M8806" si="13501">K8806*0.1</f>
        <v>193500</v>
      </c>
      <c r="N8806" s="119"/>
      <c r="O8806" s="118">
        <v>33000</v>
      </c>
      <c r="P8806" s="119"/>
      <c r="Q8806" s="118">
        <v>20150</v>
      </c>
      <c r="R8806" s="119"/>
      <c r="S8806" s="118">
        <v>22000</v>
      </c>
      <c r="T8806" s="119"/>
      <c r="U8806" s="118">
        <f t="shared" ref="U8806" si="13502">SUM(K8806:T8807)</f>
        <v>2203650</v>
      </c>
      <c r="V8806" s="122"/>
      <c r="W8806" s="124"/>
      <c r="X8806" s="126" t="s">
        <v>25127</v>
      </c>
      <c r="Y8806" s="127"/>
      <c r="Z8806" s="127"/>
      <c r="AA8806" s="127"/>
      <c r="AB8806" s="128"/>
      <c r="AC8806" s="15" t="s">
        <v>20</v>
      </c>
      <c r="AD8806" s="129" t="s">
        <v>25128</v>
      </c>
      <c r="AE8806" s="130"/>
      <c r="AF8806" s="130"/>
      <c r="AG8806" s="130"/>
      <c r="AH8806" s="130"/>
      <c r="AI8806" s="131"/>
      <c r="AJ8806" s="132"/>
      <c r="AK8806" s="127"/>
      <c r="AL8806" s="128"/>
      <c r="AM8806" s="21"/>
      <c r="AN8806" s="133">
        <v>46158</v>
      </c>
      <c r="AO8806" s="134"/>
      <c r="AP8806" s="135">
        <v>1300</v>
      </c>
      <c r="AQ8806" s="136"/>
      <c r="AR8806" s="118">
        <v>2045000</v>
      </c>
      <c r="AS8806" s="119"/>
      <c r="AT8806" s="118">
        <f t="shared" ref="AT8806" si="13503">AR8806*0.1</f>
        <v>204500</v>
      </c>
      <c r="AU8806" s="119"/>
      <c r="AV8806" s="118">
        <v>20150</v>
      </c>
      <c r="AW8806" s="119"/>
      <c r="AX8806" s="118">
        <f t="shared" ref="AX8806" si="13504">SUM(AR8806:AW8806)</f>
        <v>2269650</v>
      </c>
      <c r="AY8806" s="119"/>
      <c r="AZ8806" s="137">
        <v>46161</v>
      </c>
    </row>
    <row r="8807" spans="1:52" ht="17.100000000000001" customHeight="1" thickBot="1">
      <c r="A8807" s="110"/>
      <c r="B8807" s="27" t="s">
        <v>25047</v>
      </c>
      <c r="C8807" s="27">
        <v>82228</v>
      </c>
      <c r="D8807" s="14" t="s">
        <v>25085</v>
      </c>
      <c r="E8807" s="112"/>
      <c r="F8807" s="139" t="s">
        <v>25125</v>
      </c>
      <c r="G8807" s="140"/>
      <c r="H8807" s="141"/>
      <c r="I8807" s="26">
        <v>47670</v>
      </c>
      <c r="J8807" s="117"/>
      <c r="K8807" s="120"/>
      <c r="L8807" s="121"/>
      <c r="M8807" s="120"/>
      <c r="N8807" s="121"/>
      <c r="O8807" s="120"/>
      <c r="P8807" s="121"/>
      <c r="Q8807" s="120"/>
      <c r="R8807" s="121"/>
      <c r="S8807" s="120"/>
      <c r="T8807" s="121"/>
      <c r="U8807" s="120"/>
      <c r="V8807" s="123"/>
      <c r="W8807" s="125"/>
      <c r="X8807" s="142" t="s">
        <v>1656</v>
      </c>
      <c r="Y8807" s="143"/>
      <c r="Z8807" s="143"/>
      <c r="AA8807" s="143"/>
      <c r="AB8807" s="144"/>
      <c r="AC8807" s="16" t="s">
        <v>21</v>
      </c>
      <c r="AD8807" s="17" t="s">
        <v>2730</v>
      </c>
      <c r="AE8807" s="145" t="s">
        <v>2195</v>
      </c>
      <c r="AF8807" s="146"/>
      <c r="AG8807" s="146"/>
      <c r="AH8807" s="146"/>
      <c r="AI8807" s="147"/>
      <c r="AJ8807" s="148"/>
      <c r="AK8807" s="143"/>
      <c r="AL8807" s="144"/>
      <c r="AM8807" s="22"/>
      <c r="AN8807" s="149" t="s">
        <v>2511</v>
      </c>
      <c r="AO8807" s="144"/>
      <c r="AP8807" s="148">
        <v>80124</v>
      </c>
      <c r="AQ8807" s="144"/>
      <c r="AR8807" s="120"/>
      <c r="AS8807" s="121"/>
      <c r="AT8807" s="120"/>
      <c r="AU8807" s="121"/>
      <c r="AV8807" s="120"/>
      <c r="AW8807" s="121"/>
      <c r="AX8807" s="120"/>
      <c r="AY8807" s="121"/>
      <c r="AZ8807" s="138"/>
    </row>
    <row r="8808" spans="1:52" ht="17.100000000000001" customHeight="1" thickTop="1">
      <c r="A8808" s="109" t="s">
        <v>25022</v>
      </c>
      <c r="B8808" s="28">
        <v>46144</v>
      </c>
      <c r="C8808" s="25">
        <v>1299</v>
      </c>
      <c r="D8808" s="13" t="s">
        <v>25129</v>
      </c>
      <c r="E8808" s="111"/>
      <c r="F8808" s="113" t="s">
        <v>25060</v>
      </c>
      <c r="G8808" s="114"/>
      <c r="H8808" s="115"/>
      <c r="I8808" s="24" t="s">
        <v>25118</v>
      </c>
      <c r="J8808" s="116">
        <v>4.5</v>
      </c>
      <c r="K8808" s="118">
        <v>505000</v>
      </c>
      <c r="L8808" s="119"/>
      <c r="M8808" s="118">
        <f t="shared" ref="M8808" si="13505">K8808*0.1</f>
        <v>50500</v>
      </c>
      <c r="N8808" s="119"/>
      <c r="O8808" s="118">
        <v>31570</v>
      </c>
      <c r="P8808" s="119"/>
      <c r="Q8808" s="118">
        <v>17940</v>
      </c>
      <c r="R8808" s="119"/>
      <c r="S8808" s="118">
        <v>22000</v>
      </c>
      <c r="T8808" s="119"/>
      <c r="U8808" s="118">
        <f t="shared" ref="U8808" si="13506">SUM(K8808:T8809)</f>
        <v>627010</v>
      </c>
      <c r="V8808" s="122"/>
      <c r="W8808" s="124"/>
      <c r="X8808" s="126" t="s">
        <v>25131</v>
      </c>
      <c r="Y8808" s="127"/>
      <c r="Z8808" s="127"/>
      <c r="AA8808" s="127"/>
      <c r="AB8808" s="128"/>
      <c r="AC8808" s="15" t="s">
        <v>20</v>
      </c>
      <c r="AD8808" s="129" t="s">
        <v>25120</v>
      </c>
      <c r="AE8808" s="130"/>
      <c r="AF8808" s="130"/>
      <c r="AG8808" s="130"/>
      <c r="AH8808" s="130"/>
      <c r="AI8808" s="131"/>
      <c r="AJ8808" s="132"/>
      <c r="AK8808" s="127"/>
      <c r="AL8808" s="128"/>
      <c r="AM8808" s="21"/>
      <c r="AN8808" s="133"/>
      <c r="AO8808" s="134"/>
      <c r="AP8808" s="135"/>
      <c r="AQ8808" s="136"/>
      <c r="AR8808" s="118"/>
      <c r="AS8808" s="119"/>
      <c r="AT8808" s="118">
        <f t="shared" ref="AT8808" si="13507">AR8808*0.1</f>
        <v>0</v>
      </c>
      <c r="AU8808" s="119"/>
      <c r="AV8808" s="118"/>
      <c r="AW8808" s="119"/>
      <c r="AX8808" s="118">
        <f t="shared" ref="AX8808" si="13508">SUM(AR8808:AW8808)</f>
        <v>0</v>
      </c>
      <c r="AY8808" s="119"/>
      <c r="AZ8808" s="137"/>
    </row>
    <row r="8809" spans="1:52" ht="17.100000000000001" customHeight="1" thickBot="1">
      <c r="A8809" s="110"/>
      <c r="B8809" s="27" t="s">
        <v>25047</v>
      </c>
      <c r="C8809" s="27">
        <v>82229</v>
      </c>
      <c r="D8809" s="14" t="s">
        <v>25082</v>
      </c>
      <c r="E8809" s="112"/>
      <c r="F8809" s="139" t="s">
        <v>25130</v>
      </c>
      <c r="G8809" s="140"/>
      <c r="H8809" s="141"/>
      <c r="I8809" s="26">
        <v>14897</v>
      </c>
      <c r="J8809" s="117"/>
      <c r="K8809" s="120"/>
      <c r="L8809" s="121"/>
      <c r="M8809" s="120"/>
      <c r="N8809" s="121"/>
      <c r="O8809" s="120"/>
      <c r="P8809" s="121"/>
      <c r="Q8809" s="120"/>
      <c r="R8809" s="121"/>
      <c r="S8809" s="120"/>
      <c r="T8809" s="121"/>
      <c r="U8809" s="120"/>
      <c r="V8809" s="123"/>
      <c r="W8809" s="125"/>
      <c r="X8809" s="142" t="s">
        <v>25683</v>
      </c>
      <c r="Y8809" s="143"/>
      <c r="Z8809" s="143"/>
      <c r="AA8809" s="143"/>
      <c r="AB8809" s="144"/>
      <c r="AC8809" s="16" t="s">
        <v>21</v>
      </c>
      <c r="AD8809" s="17" t="s">
        <v>2730</v>
      </c>
      <c r="AE8809" s="145" t="s">
        <v>25684</v>
      </c>
      <c r="AF8809" s="146"/>
      <c r="AG8809" s="146"/>
      <c r="AH8809" s="146"/>
      <c r="AI8809" s="147"/>
      <c r="AJ8809" s="148"/>
      <c r="AK8809" s="143"/>
      <c r="AL8809" s="144"/>
      <c r="AM8809" s="22"/>
      <c r="AN8809" s="149"/>
      <c r="AO8809" s="144"/>
      <c r="AP8809" s="148"/>
      <c r="AQ8809" s="144"/>
      <c r="AR8809" s="120"/>
      <c r="AS8809" s="121"/>
      <c r="AT8809" s="120"/>
      <c r="AU8809" s="121"/>
      <c r="AV8809" s="120"/>
      <c r="AW8809" s="121"/>
      <c r="AX8809" s="120"/>
      <c r="AY8809" s="121"/>
      <c r="AZ8809" s="138"/>
    </row>
    <row r="8810" spans="1:52" ht="17.100000000000001" customHeight="1" thickTop="1">
      <c r="A8810" s="109" t="s">
        <v>25220</v>
      </c>
      <c r="B8810" s="28">
        <v>46150</v>
      </c>
      <c r="C8810" s="25"/>
      <c r="D8810" s="13" t="s">
        <v>900</v>
      </c>
      <c r="E8810" s="111"/>
      <c r="F8810" s="113" t="s">
        <v>25212</v>
      </c>
      <c r="G8810" s="114"/>
      <c r="H8810" s="115"/>
      <c r="I8810" s="24" t="s">
        <v>4109</v>
      </c>
      <c r="J8810" s="116">
        <v>4</v>
      </c>
      <c r="K8810" s="118">
        <v>574000</v>
      </c>
      <c r="L8810" s="119"/>
      <c r="M8810" s="118">
        <f t="shared" ref="M8810" si="13509">K8810*0.1</f>
        <v>57400</v>
      </c>
      <c r="N8810" s="119"/>
      <c r="O8810" s="118">
        <v>29600</v>
      </c>
      <c r="P8810" s="119"/>
      <c r="Q8810" s="118">
        <v>13010</v>
      </c>
      <c r="R8810" s="119"/>
      <c r="S8810" s="118">
        <v>0</v>
      </c>
      <c r="T8810" s="119"/>
      <c r="U8810" s="118">
        <f t="shared" ref="U8810" si="13510">SUM(K8810:T8811)</f>
        <v>674010</v>
      </c>
      <c r="V8810" s="122"/>
      <c r="W8810" s="124"/>
      <c r="X8810" s="126"/>
      <c r="Y8810" s="127"/>
      <c r="Z8810" s="127"/>
      <c r="AA8810" s="127"/>
      <c r="AB8810" s="128"/>
      <c r="AC8810" s="15" t="s">
        <v>20</v>
      </c>
      <c r="AD8810" s="129" t="s">
        <v>3517</v>
      </c>
      <c r="AE8810" s="130"/>
      <c r="AF8810" s="130"/>
      <c r="AG8810" s="130"/>
      <c r="AH8810" s="130"/>
      <c r="AI8810" s="131"/>
      <c r="AJ8810" s="132"/>
      <c r="AK8810" s="127"/>
      <c r="AL8810" s="128"/>
      <c r="AM8810" s="21"/>
      <c r="AN8810" s="133"/>
      <c r="AO8810" s="134"/>
      <c r="AP8810" s="135"/>
      <c r="AQ8810" s="136"/>
      <c r="AR8810" s="118"/>
      <c r="AS8810" s="119"/>
      <c r="AT8810" s="118">
        <f t="shared" ref="AT8810" si="13511">AR8810*0.1</f>
        <v>0</v>
      </c>
      <c r="AU8810" s="119"/>
      <c r="AV8810" s="118"/>
      <c r="AW8810" s="119"/>
      <c r="AX8810" s="118">
        <f t="shared" ref="AX8810" si="13512">SUM(AR8810:AW8810)</f>
        <v>0</v>
      </c>
      <c r="AY8810" s="119"/>
      <c r="AZ8810" s="137"/>
    </row>
    <row r="8811" spans="1:52" ht="17.100000000000001" customHeight="1" thickBot="1">
      <c r="A8811" s="110"/>
      <c r="B8811" s="27" t="s">
        <v>1718</v>
      </c>
      <c r="C8811" s="27" t="s">
        <v>25211</v>
      </c>
      <c r="D8811" s="14" t="s">
        <v>1592</v>
      </c>
      <c r="E8811" s="112"/>
      <c r="F8811" s="139" t="s">
        <v>25213</v>
      </c>
      <c r="G8811" s="140"/>
      <c r="H8811" s="141"/>
      <c r="I8811" s="26">
        <v>71771</v>
      </c>
      <c r="J8811" s="117"/>
      <c r="K8811" s="120"/>
      <c r="L8811" s="121"/>
      <c r="M8811" s="120"/>
      <c r="N8811" s="121"/>
      <c r="O8811" s="120"/>
      <c r="P8811" s="121"/>
      <c r="Q8811" s="120"/>
      <c r="R8811" s="121"/>
      <c r="S8811" s="120"/>
      <c r="T8811" s="121"/>
      <c r="U8811" s="120"/>
      <c r="V8811" s="123"/>
      <c r="W8811" s="125"/>
      <c r="X8811" s="142"/>
      <c r="Y8811" s="143"/>
      <c r="Z8811" s="143"/>
      <c r="AA8811" s="143"/>
      <c r="AB8811" s="144"/>
      <c r="AC8811" s="16" t="s">
        <v>21</v>
      </c>
      <c r="AD8811" s="17"/>
      <c r="AE8811" s="145"/>
      <c r="AF8811" s="146"/>
      <c r="AG8811" s="146"/>
      <c r="AH8811" s="146"/>
      <c r="AI8811" s="147"/>
      <c r="AJ8811" s="148"/>
      <c r="AK8811" s="143"/>
      <c r="AL8811" s="144"/>
      <c r="AM8811" s="22"/>
      <c r="AN8811" s="149"/>
      <c r="AO8811" s="144"/>
      <c r="AP8811" s="148"/>
      <c r="AQ8811" s="144"/>
      <c r="AR8811" s="120"/>
      <c r="AS8811" s="121"/>
      <c r="AT8811" s="120"/>
      <c r="AU8811" s="121"/>
      <c r="AV8811" s="120"/>
      <c r="AW8811" s="121"/>
      <c r="AX8811" s="120"/>
      <c r="AY8811" s="121"/>
      <c r="AZ8811" s="138"/>
    </row>
    <row r="8812" spans="1:52" ht="17.100000000000001" customHeight="1" thickTop="1">
      <c r="A8812" s="109" t="s">
        <v>25221</v>
      </c>
      <c r="B8812" s="28">
        <v>46150</v>
      </c>
      <c r="C8812" s="25"/>
      <c r="D8812" s="13" t="s">
        <v>2697</v>
      </c>
      <c r="E8812" s="111"/>
      <c r="F8812" s="113" t="s">
        <v>13275</v>
      </c>
      <c r="G8812" s="114"/>
      <c r="H8812" s="115"/>
      <c r="I8812" s="24" t="s">
        <v>2697</v>
      </c>
      <c r="J8812" s="116">
        <v>4.5</v>
      </c>
      <c r="K8812" s="118">
        <v>1965000</v>
      </c>
      <c r="L8812" s="119"/>
      <c r="M8812" s="118">
        <f t="shared" ref="M8812" si="13513">K8812*0.1</f>
        <v>196500</v>
      </c>
      <c r="N8812" s="119"/>
      <c r="O8812" s="118">
        <v>25400</v>
      </c>
      <c r="P8812" s="119"/>
      <c r="Q8812" s="118">
        <v>6450</v>
      </c>
      <c r="R8812" s="119"/>
      <c r="S8812" s="118">
        <v>0</v>
      </c>
      <c r="T8812" s="119"/>
      <c r="U8812" s="118">
        <f t="shared" ref="U8812" si="13514">SUM(K8812:T8813)</f>
        <v>2193350</v>
      </c>
      <c r="V8812" s="122"/>
      <c r="W8812" s="124"/>
      <c r="X8812" s="126"/>
      <c r="Y8812" s="127"/>
      <c r="Z8812" s="127"/>
      <c r="AA8812" s="127"/>
      <c r="AB8812" s="128"/>
      <c r="AC8812" s="15" t="s">
        <v>20</v>
      </c>
      <c r="AD8812" s="129" t="s">
        <v>4682</v>
      </c>
      <c r="AE8812" s="130"/>
      <c r="AF8812" s="130"/>
      <c r="AG8812" s="130"/>
      <c r="AH8812" s="130"/>
      <c r="AI8812" s="131"/>
      <c r="AJ8812" s="132"/>
      <c r="AK8812" s="127"/>
      <c r="AL8812" s="128"/>
      <c r="AM8812" s="21"/>
      <c r="AN8812" s="133"/>
      <c r="AO8812" s="134"/>
      <c r="AP8812" s="135"/>
      <c r="AQ8812" s="136"/>
      <c r="AR8812" s="118"/>
      <c r="AS8812" s="119"/>
      <c r="AT8812" s="118">
        <f t="shared" ref="AT8812" si="13515">AR8812*0.1</f>
        <v>0</v>
      </c>
      <c r="AU8812" s="119"/>
      <c r="AV8812" s="118"/>
      <c r="AW8812" s="119"/>
      <c r="AX8812" s="118">
        <f t="shared" ref="AX8812" si="13516">SUM(AR8812:AW8812)</f>
        <v>0</v>
      </c>
      <c r="AY8812" s="119"/>
      <c r="AZ8812" s="137"/>
    </row>
    <row r="8813" spans="1:52" ht="17.100000000000001" customHeight="1" thickBot="1">
      <c r="A8813" s="110"/>
      <c r="B8813" s="27" t="s">
        <v>1718</v>
      </c>
      <c r="C8813" s="27" t="s">
        <v>25185</v>
      </c>
      <c r="D8813" s="14" t="s">
        <v>2800</v>
      </c>
      <c r="E8813" s="112"/>
      <c r="F8813" s="139" t="s">
        <v>25186</v>
      </c>
      <c r="G8813" s="140"/>
      <c r="H8813" s="141"/>
      <c r="I8813" s="26">
        <v>12691</v>
      </c>
      <c r="J8813" s="117"/>
      <c r="K8813" s="120"/>
      <c r="L8813" s="121"/>
      <c r="M8813" s="120"/>
      <c r="N8813" s="121"/>
      <c r="O8813" s="120"/>
      <c r="P8813" s="121"/>
      <c r="Q8813" s="120"/>
      <c r="R8813" s="121"/>
      <c r="S8813" s="120"/>
      <c r="T8813" s="121"/>
      <c r="U8813" s="120"/>
      <c r="V8813" s="123"/>
      <c r="W8813" s="125"/>
      <c r="X8813" s="142"/>
      <c r="Y8813" s="143"/>
      <c r="Z8813" s="143"/>
      <c r="AA8813" s="143"/>
      <c r="AB8813" s="144"/>
      <c r="AC8813" s="16" t="s">
        <v>21</v>
      </c>
      <c r="AD8813" s="17"/>
      <c r="AE8813" s="145"/>
      <c r="AF8813" s="146"/>
      <c r="AG8813" s="146"/>
      <c r="AH8813" s="146"/>
      <c r="AI8813" s="147"/>
      <c r="AJ8813" s="148"/>
      <c r="AK8813" s="143"/>
      <c r="AL8813" s="144"/>
      <c r="AM8813" s="22"/>
      <c r="AN8813" s="149"/>
      <c r="AO8813" s="144"/>
      <c r="AP8813" s="148"/>
      <c r="AQ8813" s="144"/>
      <c r="AR8813" s="120"/>
      <c r="AS8813" s="121"/>
      <c r="AT8813" s="120"/>
      <c r="AU8813" s="121"/>
      <c r="AV8813" s="120"/>
      <c r="AW8813" s="121"/>
      <c r="AX8813" s="120"/>
      <c r="AY8813" s="121"/>
      <c r="AZ8813" s="138"/>
    </row>
    <row r="8814" spans="1:52" ht="17.100000000000001" customHeight="1" thickTop="1">
      <c r="A8814" s="109" t="s">
        <v>25222</v>
      </c>
      <c r="B8814" s="28">
        <v>46150</v>
      </c>
      <c r="C8814" s="25"/>
      <c r="D8814" s="13" t="s">
        <v>2458</v>
      </c>
      <c r="E8814" s="111"/>
      <c r="F8814" s="113" t="s">
        <v>25188</v>
      </c>
      <c r="G8814" s="114"/>
      <c r="H8814" s="115"/>
      <c r="I8814" s="24" t="s">
        <v>4096</v>
      </c>
      <c r="J8814" s="116">
        <v>4</v>
      </c>
      <c r="K8814" s="118">
        <v>1630000</v>
      </c>
      <c r="L8814" s="119"/>
      <c r="M8814" s="118">
        <f t="shared" ref="M8814" si="13517">K8814*0.1</f>
        <v>163000</v>
      </c>
      <c r="N8814" s="119"/>
      <c r="O8814" s="118">
        <v>37500</v>
      </c>
      <c r="P8814" s="119"/>
      <c r="Q8814" s="118">
        <v>12860</v>
      </c>
      <c r="R8814" s="119"/>
      <c r="S8814" s="118">
        <v>0</v>
      </c>
      <c r="T8814" s="119"/>
      <c r="U8814" s="118">
        <f t="shared" ref="U8814" si="13518">SUM(K8814:T8815)</f>
        <v>1843360</v>
      </c>
      <c r="V8814" s="122"/>
      <c r="W8814" s="124"/>
      <c r="X8814" s="126"/>
      <c r="Y8814" s="127"/>
      <c r="Z8814" s="127"/>
      <c r="AA8814" s="127"/>
      <c r="AB8814" s="128"/>
      <c r="AC8814" s="15" t="s">
        <v>20</v>
      </c>
      <c r="AD8814" s="129" t="s">
        <v>4462</v>
      </c>
      <c r="AE8814" s="130"/>
      <c r="AF8814" s="130"/>
      <c r="AG8814" s="130"/>
      <c r="AH8814" s="130"/>
      <c r="AI8814" s="131"/>
      <c r="AJ8814" s="132"/>
      <c r="AK8814" s="127"/>
      <c r="AL8814" s="128"/>
      <c r="AM8814" s="21"/>
      <c r="AN8814" s="133"/>
      <c r="AO8814" s="134"/>
      <c r="AP8814" s="135"/>
      <c r="AQ8814" s="136"/>
      <c r="AR8814" s="118"/>
      <c r="AS8814" s="119"/>
      <c r="AT8814" s="118">
        <f t="shared" ref="AT8814" si="13519">AR8814*0.1</f>
        <v>0</v>
      </c>
      <c r="AU8814" s="119"/>
      <c r="AV8814" s="118"/>
      <c r="AW8814" s="119"/>
      <c r="AX8814" s="118">
        <f t="shared" ref="AX8814" si="13520">SUM(AR8814:AW8814)</f>
        <v>0</v>
      </c>
      <c r="AY8814" s="119"/>
      <c r="AZ8814" s="137"/>
    </row>
    <row r="8815" spans="1:52" ht="17.100000000000001" customHeight="1" thickBot="1">
      <c r="A8815" s="110"/>
      <c r="B8815" s="27" t="s">
        <v>1718</v>
      </c>
      <c r="C8815" s="27" t="s">
        <v>25187</v>
      </c>
      <c r="D8815" s="14" t="s">
        <v>25214</v>
      </c>
      <c r="E8815" s="112"/>
      <c r="F8815" s="139" t="s">
        <v>25189</v>
      </c>
      <c r="G8815" s="140"/>
      <c r="H8815" s="141"/>
      <c r="I8815" s="26">
        <v>48094</v>
      </c>
      <c r="J8815" s="117"/>
      <c r="K8815" s="120"/>
      <c r="L8815" s="121"/>
      <c r="M8815" s="120"/>
      <c r="N8815" s="121"/>
      <c r="O8815" s="120"/>
      <c r="P8815" s="121"/>
      <c r="Q8815" s="120"/>
      <c r="R8815" s="121"/>
      <c r="S8815" s="120"/>
      <c r="T8815" s="121"/>
      <c r="U8815" s="120"/>
      <c r="V8815" s="123"/>
      <c r="W8815" s="125"/>
      <c r="X8815" s="142"/>
      <c r="Y8815" s="143"/>
      <c r="Z8815" s="143"/>
      <c r="AA8815" s="143"/>
      <c r="AB8815" s="144"/>
      <c r="AC8815" s="16" t="s">
        <v>21</v>
      </c>
      <c r="AD8815" s="17"/>
      <c r="AE8815" s="145"/>
      <c r="AF8815" s="146"/>
      <c r="AG8815" s="146"/>
      <c r="AH8815" s="146"/>
      <c r="AI8815" s="147"/>
      <c r="AJ8815" s="148"/>
      <c r="AK8815" s="143"/>
      <c r="AL8815" s="144"/>
      <c r="AM8815" s="22"/>
      <c r="AN8815" s="149"/>
      <c r="AO8815" s="144"/>
      <c r="AP8815" s="148"/>
      <c r="AQ8815" s="144"/>
      <c r="AR8815" s="120"/>
      <c r="AS8815" s="121"/>
      <c r="AT8815" s="120"/>
      <c r="AU8815" s="121"/>
      <c r="AV8815" s="120"/>
      <c r="AW8815" s="121"/>
      <c r="AX8815" s="120"/>
      <c r="AY8815" s="121"/>
      <c r="AZ8815" s="138"/>
    </row>
    <row r="8816" spans="1:52" ht="17.100000000000001" customHeight="1" thickTop="1">
      <c r="A8816" s="109" t="s">
        <v>25223</v>
      </c>
      <c r="B8816" s="28">
        <v>46150</v>
      </c>
      <c r="C8816" s="25"/>
      <c r="D8816" s="13" t="s">
        <v>2914</v>
      </c>
      <c r="E8816" s="111"/>
      <c r="F8816" s="113" t="s">
        <v>25191</v>
      </c>
      <c r="G8816" s="114"/>
      <c r="H8816" s="115"/>
      <c r="I8816" s="24" t="s">
        <v>2064</v>
      </c>
      <c r="J8816" s="116">
        <v>4</v>
      </c>
      <c r="K8816" s="118">
        <v>3505000</v>
      </c>
      <c r="L8816" s="119"/>
      <c r="M8816" s="118">
        <f t="shared" ref="M8816" si="13521">K8816*0.1</f>
        <v>350500</v>
      </c>
      <c r="N8816" s="119"/>
      <c r="O8816" s="118">
        <v>37500</v>
      </c>
      <c r="P8816" s="119"/>
      <c r="Q8816" s="118">
        <v>16550</v>
      </c>
      <c r="R8816" s="119"/>
      <c r="S8816" s="118">
        <v>0</v>
      </c>
      <c r="T8816" s="119"/>
      <c r="U8816" s="118">
        <f t="shared" ref="U8816" si="13522">SUM(K8816:T8817)</f>
        <v>3909550</v>
      </c>
      <c r="V8816" s="122"/>
      <c r="W8816" s="124"/>
      <c r="X8816" s="126"/>
      <c r="Y8816" s="127"/>
      <c r="Z8816" s="127"/>
      <c r="AA8816" s="127"/>
      <c r="AB8816" s="128"/>
      <c r="AC8816" s="15" t="s">
        <v>20</v>
      </c>
      <c r="AD8816" s="129" t="s">
        <v>186</v>
      </c>
      <c r="AE8816" s="130"/>
      <c r="AF8816" s="130"/>
      <c r="AG8816" s="130"/>
      <c r="AH8816" s="130"/>
      <c r="AI8816" s="131"/>
      <c r="AJ8816" s="132"/>
      <c r="AK8816" s="127"/>
      <c r="AL8816" s="128"/>
      <c r="AM8816" s="21"/>
      <c r="AN8816" s="133"/>
      <c r="AO8816" s="134"/>
      <c r="AP8816" s="135"/>
      <c r="AQ8816" s="136"/>
      <c r="AR8816" s="118"/>
      <c r="AS8816" s="119"/>
      <c r="AT8816" s="118">
        <f t="shared" ref="AT8816" si="13523">AR8816*0.1</f>
        <v>0</v>
      </c>
      <c r="AU8816" s="119"/>
      <c r="AV8816" s="118"/>
      <c r="AW8816" s="119"/>
      <c r="AX8816" s="118">
        <f t="shared" ref="AX8816" si="13524">SUM(AR8816:AW8816)</f>
        <v>0</v>
      </c>
      <c r="AY8816" s="119"/>
      <c r="AZ8816" s="137"/>
    </row>
    <row r="8817" spans="1:52" ht="17.100000000000001" customHeight="1" thickBot="1">
      <c r="A8817" s="110"/>
      <c r="B8817" s="27" t="s">
        <v>1718</v>
      </c>
      <c r="C8817" s="27" t="s">
        <v>25190</v>
      </c>
      <c r="D8817" s="14" t="s">
        <v>275</v>
      </c>
      <c r="E8817" s="112"/>
      <c r="F8817" s="139" t="s">
        <v>25192</v>
      </c>
      <c r="G8817" s="140"/>
      <c r="H8817" s="141"/>
      <c r="I8817" s="26">
        <v>38217</v>
      </c>
      <c r="J8817" s="117"/>
      <c r="K8817" s="120"/>
      <c r="L8817" s="121"/>
      <c r="M8817" s="120"/>
      <c r="N8817" s="121"/>
      <c r="O8817" s="120"/>
      <c r="P8817" s="121"/>
      <c r="Q8817" s="120"/>
      <c r="R8817" s="121"/>
      <c r="S8817" s="120"/>
      <c r="T8817" s="121"/>
      <c r="U8817" s="120"/>
      <c r="V8817" s="123"/>
      <c r="W8817" s="125"/>
      <c r="X8817" s="142"/>
      <c r="Y8817" s="143"/>
      <c r="Z8817" s="143"/>
      <c r="AA8817" s="143"/>
      <c r="AB8817" s="144"/>
      <c r="AC8817" s="16" t="s">
        <v>21</v>
      </c>
      <c r="AD8817" s="17"/>
      <c r="AE8817" s="145"/>
      <c r="AF8817" s="146"/>
      <c r="AG8817" s="146"/>
      <c r="AH8817" s="146"/>
      <c r="AI8817" s="147"/>
      <c r="AJ8817" s="148"/>
      <c r="AK8817" s="143"/>
      <c r="AL8817" s="144"/>
      <c r="AM8817" s="22"/>
      <c r="AN8817" s="149"/>
      <c r="AO8817" s="144"/>
      <c r="AP8817" s="148"/>
      <c r="AQ8817" s="144"/>
      <c r="AR8817" s="120"/>
      <c r="AS8817" s="121"/>
      <c r="AT8817" s="120"/>
      <c r="AU8817" s="121"/>
      <c r="AV8817" s="120"/>
      <c r="AW8817" s="121"/>
      <c r="AX8817" s="120"/>
      <c r="AY8817" s="121"/>
      <c r="AZ8817" s="138"/>
    </row>
    <row r="8818" spans="1:52" ht="17.100000000000001" customHeight="1" thickTop="1">
      <c r="A8818" s="109" t="s">
        <v>25224</v>
      </c>
      <c r="B8818" s="28">
        <v>46150</v>
      </c>
      <c r="C8818" s="25"/>
      <c r="D8818" s="13" t="s">
        <v>1714</v>
      </c>
      <c r="E8818" s="111"/>
      <c r="F8818" s="113" t="s">
        <v>25194</v>
      </c>
      <c r="G8818" s="114"/>
      <c r="H8818" s="115"/>
      <c r="I8818" s="24" t="s">
        <v>6834</v>
      </c>
      <c r="J8818" s="116">
        <v>4</v>
      </c>
      <c r="K8818" s="118">
        <v>2075000</v>
      </c>
      <c r="L8818" s="119"/>
      <c r="M8818" s="118">
        <f t="shared" ref="M8818" si="13525">K8818*0.1</f>
        <v>207500</v>
      </c>
      <c r="N8818" s="119"/>
      <c r="O8818" s="118">
        <v>29000</v>
      </c>
      <c r="P8818" s="119"/>
      <c r="Q8818" s="118">
        <v>0</v>
      </c>
      <c r="R8818" s="119"/>
      <c r="S8818" s="118">
        <v>0</v>
      </c>
      <c r="T8818" s="119"/>
      <c r="U8818" s="118">
        <f t="shared" ref="U8818" si="13526">SUM(K8818:T8819)</f>
        <v>2311500</v>
      </c>
      <c r="V8818" s="122"/>
      <c r="W8818" s="124"/>
      <c r="X8818" s="126"/>
      <c r="Y8818" s="127"/>
      <c r="Z8818" s="127"/>
      <c r="AA8818" s="127"/>
      <c r="AB8818" s="128"/>
      <c r="AC8818" s="15" t="s">
        <v>20</v>
      </c>
      <c r="AD8818" s="129" t="s">
        <v>186</v>
      </c>
      <c r="AE8818" s="130"/>
      <c r="AF8818" s="130"/>
      <c r="AG8818" s="130"/>
      <c r="AH8818" s="130"/>
      <c r="AI8818" s="131"/>
      <c r="AJ8818" s="132"/>
      <c r="AK8818" s="127"/>
      <c r="AL8818" s="128"/>
      <c r="AM8818" s="21"/>
      <c r="AN8818" s="133"/>
      <c r="AO8818" s="134"/>
      <c r="AP8818" s="135"/>
      <c r="AQ8818" s="136"/>
      <c r="AR8818" s="118"/>
      <c r="AS8818" s="119"/>
      <c r="AT8818" s="118">
        <f t="shared" ref="AT8818" si="13527">AR8818*0.1</f>
        <v>0</v>
      </c>
      <c r="AU8818" s="119"/>
      <c r="AV8818" s="118"/>
      <c r="AW8818" s="119"/>
      <c r="AX8818" s="118">
        <f t="shared" ref="AX8818" si="13528">SUM(AR8818:AW8818)</f>
        <v>0</v>
      </c>
      <c r="AY8818" s="119"/>
      <c r="AZ8818" s="137"/>
    </row>
    <row r="8819" spans="1:52" ht="17.100000000000001" customHeight="1" thickBot="1">
      <c r="A8819" s="110"/>
      <c r="B8819" s="27" t="s">
        <v>1718</v>
      </c>
      <c r="C8819" s="27" t="s">
        <v>25193</v>
      </c>
      <c r="D8819" s="14" t="s">
        <v>22140</v>
      </c>
      <c r="E8819" s="112"/>
      <c r="F8819" s="139" t="s">
        <v>25195</v>
      </c>
      <c r="G8819" s="140"/>
      <c r="H8819" s="141"/>
      <c r="I8819" s="26">
        <v>45495</v>
      </c>
      <c r="J8819" s="117"/>
      <c r="K8819" s="120"/>
      <c r="L8819" s="121"/>
      <c r="M8819" s="120"/>
      <c r="N8819" s="121"/>
      <c r="O8819" s="120"/>
      <c r="P8819" s="121"/>
      <c r="Q8819" s="120"/>
      <c r="R8819" s="121"/>
      <c r="S8819" s="120"/>
      <c r="T8819" s="121"/>
      <c r="U8819" s="120"/>
      <c r="V8819" s="123"/>
      <c r="W8819" s="125"/>
      <c r="X8819" s="142"/>
      <c r="Y8819" s="143"/>
      <c r="Z8819" s="143"/>
      <c r="AA8819" s="143"/>
      <c r="AB8819" s="144"/>
      <c r="AC8819" s="16" t="s">
        <v>21</v>
      </c>
      <c r="AD8819" s="17"/>
      <c r="AE8819" s="145"/>
      <c r="AF8819" s="146"/>
      <c r="AG8819" s="146"/>
      <c r="AH8819" s="146"/>
      <c r="AI8819" s="147"/>
      <c r="AJ8819" s="148"/>
      <c r="AK8819" s="143"/>
      <c r="AL8819" s="144"/>
      <c r="AM8819" s="22"/>
      <c r="AN8819" s="149"/>
      <c r="AO8819" s="144"/>
      <c r="AP8819" s="148"/>
      <c r="AQ8819" s="144"/>
      <c r="AR8819" s="120"/>
      <c r="AS8819" s="121"/>
      <c r="AT8819" s="120"/>
      <c r="AU8819" s="121"/>
      <c r="AV8819" s="120"/>
      <c r="AW8819" s="121"/>
      <c r="AX8819" s="120"/>
      <c r="AY8819" s="121"/>
      <c r="AZ8819" s="138"/>
    </row>
    <row r="8820" spans="1:52" ht="17.100000000000001" customHeight="1" thickTop="1">
      <c r="A8820" s="109" t="s">
        <v>25225</v>
      </c>
      <c r="B8820" s="28">
        <v>46150</v>
      </c>
      <c r="C8820" s="25"/>
      <c r="D8820" s="13" t="s">
        <v>1845</v>
      </c>
      <c r="E8820" s="111"/>
      <c r="F8820" s="113" t="s">
        <v>25197</v>
      </c>
      <c r="G8820" s="114"/>
      <c r="H8820" s="115"/>
      <c r="I8820" s="24" t="s">
        <v>4390</v>
      </c>
      <c r="J8820" s="116">
        <v>4.5</v>
      </c>
      <c r="K8820" s="118">
        <v>855000</v>
      </c>
      <c r="L8820" s="119"/>
      <c r="M8820" s="118">
        <f t="shared" ref="M8820" si="13529">K8820*0.1</f>
        <v>85500</v>
      </c>
      <c r="N8820" s="119"/>
      <c r="O8820" s="118">
        <v>25400</v>
      </c>
      <c r="P8820" s="119"/>
      <c r="Q8820" s="118">
        <v>9770</v>
      </c>
      <c r="R8820" s="119"/>
      <c r="S8820" s="118">
        <v>0</v>
      </c>
      <c r="T8820" s="119"/>
      <c r="U8820" s="118">
        <f t="shared" ref="U8820" si="13530">SUM(K8820:T8821)</f>
        <v>975670</v>
      </c>
      <c r="V8820" s="122"/>
      <c r="W8820" s="124"/>
      <c r="X8820" s="126"/>
      <c r="Y8820" s="127"/>
      <c r="Z8820" s="127"/>
      <c r="AA8820" s="127"/>
      <c r="AB8820" s="128"/>
      <c r="AC8820" s="15" t="s">
        <v>20</v>
      </c>
      <c r="AD8820" s="129"/>
      <c r="AE8820" s="130"/>
      <c r="AF8820" s="130"/>
      <c r="AG8820" s="130"/>
      <c r="AH8820" s="130"/>
      <c r="AI8820" s="131"/>
      <c r="AJ8820" s="132"/>
      <c r="AK8820" s="127"/>
      <c r="AL8820" s="128"/>
      <c r="AM8820" s="21"/>
      <c r="AN8820" s="133"/>
      <c r="AO8820" s="134"/>
      <c r="AP8820" s="135"/>
      <c r="AQ8820" s="136"/>
      <c r="AR8820" s="118"/>
      <c r="AS8820" s="119"/>
      <c r="AT8820" s="118">
        <f t="shared" ref="AT8820" si="13531">AR8820*0.1</f>
        <v>0</v>
      </c>
      <c r="AU8820" s="119"/>
      <c r="AV8820" s="118"/>
      <c r="AW8820" s="119"/>
      <c r="AX8820" s="118">
        <f t="shared" ref="AX8820" si="13532">SUM(AR8820:AW8820)</f>
        <v>0</v>
      </c>
      <c r="AY8820" s="119"/>
      <c r="AZ8820" s="137"/>
    </row>
    <row r="8821" spans="1:52" ht="17.100000000000001" customHeight="1" thickBot="1">
      <c r="A8821" s="110"/>
      <c r="B8821" s="27" t="s">
        <v>1718</v>
      </c>
      <c r="C8821" s="27" t="s">
        <v>25196</v>
      </c>
      <c r="D8821" s="14" t="s">
        <v>1576</v>
      </c>
      <c r="E8821" s="112"/>
      <c r="F8821" s="139" t="s">
        <v>25198</v>
      </c>
      <c r="G8821" s="140"/>
      <c r="H8821" s="141"/>
      <c r="I8821" s="26">
        <v>56234</v>
      </c>
      <c r="J8821" s="117"/>
      <c r="K8821" s="120"/>
      <c r="L8821" s="121"/>
      <c r="M8821" s="120"/>
      <c r="N8821" s="121"/>
      <c r="O8821" s="120"/>
      <c r="P8821" s="121"/>
      <c r="Q8821" s="120"/>
      <c r="R8821" s="121"/>
      <c r="S8821" s="120"/>
      <c r="T8821" s="121"/>
      <c r="U8821" s="120"/>
      <c r="V8821" s="123"/>
      <c r="W8821" s="125"/>
      <c r="X8821" s="142"/>
      <c r="Y8821" s="143"/>
      <c r="Z8821" s="143"/>
      <c r="AA8821" s="143"/>
      <c r="AB8821" s="144"/>
      <c r="AC8821" s="16" t="s">
        <v>21</v>
      </c>
      <c r="AD8821" s="17"/>
      <c r="AE8821" s="145"/>
      <c r="AF8821" s="146"/>
      <c r="AG8821" s="146"/>
      <c r="AH8821" s="146"/>
      <c r="AI8821" s="147"/>
      <c r="AJ8821" s="148"/>
      <c r="AK8821" s="143"/>
      <c r="AL8821" s="144"/>
      <c r="AM8821" s="22"/>
      <c r="AN8821" s="149"/>
      <c r="AO8821" s="144"/>
      <c r="AP8821" s="148"/>
      <c r="AQ8821" s="144"/>
      <c r="AR8821" s="120"/>
      <c r="AS8821" s="121"/>
      <c r="AT8821" s="120"/>
      <c r="AU8821" s="121"/>
      <c r="AV8821" s="120"/>
      <c r="AW8821" s="121"/>
      <c r="AX8821" s="120"/>
      <c r="AY8821" s="121"/>
      <c r="AZ8821" s="138"/>
    </row>
    <row r="8822" spans="1:52" ht="17.100000000000001" customHeight="1" thickTop="1">
      <c r="A8822" s="109" t="s">
        <v>25226</v>
      </c>
      <c r="B8822" s="28">
        <v>46150</v>
      </c>
      <c r="C8822" s="25"/>
      <c r="D8822" s="13" t="s">
        <v>2301</v>
      </c>
      <c r="E8822" s="111"/>
      <c r="F8822" s="113" t="s">
        <v>25200</v>
      </c>
      <c r="G8822" s="114"/>
      <c r="H8822" s="115"/>
      <c r="I8822" s="24" t="s">
        <v>2571</v>
      </c>
      <c r="J8822" s="116">
        <v>4</v>
      </c>
      <c r="K8822" s="118">
        <v>735000</v>
      </c>
      <c r="L8822" s="119"/>
      <c r="M8822" s="118">
        <f t="shared" ref="M8822" si="13533">K8822*0.1</f>
        <v>73500</v>
      </c>
      <c r="N8822" s="119"/>
      <c r="O8822" s="118">
        <v>0</v>
      </c>
      <c r="P8822" s="119"/>
      <c r="Q8822" s="118">
        <v>0</v>
      </c>
      <c r="R8822" s="119"/>
      <c r="S8822" s="118">
        <v>0</v>
      </c>
      <c r="T8822" s="119"/>
      <c r="U8822" s="118">
        <f t="shared" ref="U8822" si="13534">SUM(K8822:T8823)</f>
        <v>808500</v>
      </c>
      <c r="V8822" s="122"/>
      <c r="W8822" s="124"/>
      <c r="X8822" s="126"/>
      <c r="Y8822" s="127"/>
      <c r="Z8822" s="127"/>
      <c r="AA8822" s="127"/>
      <c r="AB8822" s="128"/>
      <c r="AC8822" s="15" t="s">
        <v>20</v>
      </c>
      <c r="AD8822" s="129" t="s">
        <v>186</v>
      </c>
      <c r="AE8822" s="130"/>
      <c r="AF8822" s="130"/>
      <c r="AG8822" s="130"/>
      <c r="AH8822" s="130"/>
      <c r="AI8822" s="131"/>
      <c r="AJ8822" s="132"/>
      <c r="AK8822" s="127"/>
      <c r="AL8822" s="128"/>
      <c r="AM8822" s="21"/>
      <c r="AN8822" s="133"/>
      <c r="AO8822" s="134"/>
      <c r="AP8822" s="135"/>
      <c r="AQ8822" s="136"/>
      <c r="AR8822" s="118"/>
      <c r="AS8822" s="119"/>
      <c r="AT8822" s="118">
        <f t="shared" ref="AT8822" si="13535">AR8822*0.1</f>
        <v>0</v>
      </c>
      <c r="AU8822" s="119"/>
      <c r="AV8822" s="118"/>
      <c r="AW8822" s="119"/>
      <c r="AX8822" s="118">
        <f t="shared" ref="AX8822" si="13536">SUM(AR8822:AW8822)</f>
        <v>0</v>
      </c>
      <c r="AY8822" s="119"/>
      <c r="AZ8822" s="137"/>
    </row>
    <row r="8823" spans="1:52" ht="17.100000000000001" customHeight="1" thickBot="1">
      <c r="A8823" s="110"/>
      <c r="B8823" s="27" t="s">
        <v>1718</v>
      </c>
      <c r="C8823" s="27" t="s">
        <v>25199</v>
      </c>
      <c r="D8823" s="14" t="s">
        <v>1720</v>
      </c>
      <c r="E8823" s="112"/>
      <c r="F8823" s="139" t="s">
        <v>25201</v>
      </c>
      <c r="G8823" s="140"/>
      <c r="H8823" s="141"/>
      <c r="I8823" s="26">
        <v>89944</v>
      </c>
      <c r="J8823" s="117"/>
      <c r="K8823" s="120"/>
      <c r="L8823" s="121"/>
      <c r="M8823" s="120"/>
      <c r="N8823" s="121"/>
      <c r="O8823" s="120"/>
      <c r="P8823" s="121"/>
      <c r="Q8823" s="120"/>
      <c r="R8823" s="121"/>
      <c r="S8823" s="120"/>
      <c r="T8823" s="121"/>
      <c r="U8823" s="120"/>
      <c r="V8823" s="123"/>
      <c r="W8823" s="125"/>
      <c r="X8823" s="142"/>
      <c r="Y8823" s="143"/>
      <c r="Z8823" s="143"/>
      <c r="AA8823" s="143"/>
      <c r="AB8823" s="144"/>
      <c r="AC8823" s="16" t="s">
        <v>21</v>
      </c>
      <c r="AD8823" s="17"/>
      <c r="AE8823" s="145"/>
      <c r="AF8823" s="146"/>
      <c r="AG8823" s="146"/>
      <c r="AH8823" s="146"/>
      <c r="AI8823" s="147"/>
      <c r="AJ8823" s="148"/>
      <c r="AK8823" s="143"/>
      <c r="AL8823" s="144"/>
      <c r="AM8823" s="22"/>
      <c r="AN8823" s="149"/>
      <c r="AO8823" s="144"/>
      <c r="AP8823" s="148"/>
      <c r="AQ8823" s="144"/>
      <c r="AR8823" s="120"/>
      <c r="AS8823" s="121"/>
      <c r="AT8823" s="120"/>
      <c r="AU8823" s="121"/>
      <c r="AV8823" s="120"/>
      <c r="AW8823" s="121"/>
      <c r="AX8823" s="120"/>
      <c r="AY8823" s="121"/>
      <c r="AZ8823" s="138"/>
    </row>
    <row r="8824" spans="1:52" ht="17.100000000000001" customHeight="1" thickTop="1">
      <c r="A8824" s="109" t="s">
        <v>25227</v>
      </c>
      <c r="B8824" s="28">
        <v>46150</v>
      </c>
      <c r="C8824" s="25"/>
      <c r="D8824" s="13" t="s">
        <v>1695</v>
      </c>
      <c r="E8824" s="111"/>
      <c r="F8824" s="113" t="s">
        <v>7054</v>
      </c>
      <c r="G8824" s="114"/>
      <c r="H8824" s="115"/>
      <c r="I8824" s="24" t="s">
        <v>3931</v>
      </c>
      <c r="J8824" s="116">
        <v>4.5</v>
      </c>
      <c r="K8824" s="118">
        <v>1940000</v>
      </c>
      <c r="L8824" s="119"/>
      <c r="M8824" s="118">
        <f t="shared" ref="M8824" si="13537">K8824*0.1</f>
        <v>194000</v>
      </c>
      <c r="N8824" s="119"/>
      <c r="O8824" s="118">
        <v>32900</v>
      </c>
      <c r="P8824" s="119"/>
      <c r="Q8824" s="118">
        <v>0</v>
      </c>
      <c r="R8824" s="119"/>
      <c r="S8824" s="118">
        <v>0</v>
      </c>
      <c r="T8824" s="119"/>
      <c r="U8824" s="118">
        <f t="shared" ref="U8824" si="13538">SUM(K8824:T8825)</f>
        <v>2166900</v>
      </c>
      <c r="V8824" s="122"/>
      <c r="W8824" s="124"/>
      <c r="X8824" s="126"/>
      <c r="Y8824" s="127"/>
      <c r="Z8824" s="127"/>
      <c r="AA8824" s="127"/>
      <c r="AB8824" s="128"/>
      <c r="AC8824" s="15" t="s">
        <v>20</v>
      </c>
      <c r="AD8824" s="129" t="s">
        <v>186</v>
      </c>
      <c r="AE8824" s="130"/>
      <c r="AF8824" s="130"/>
      <c r="AG8824" s="130"/>
      <c r="AH8824" s="130"/>
      <c r="AI8824" s="131"/>
      <c r="AJ8824" s="132"/>
      <c r="AK8824" s="127"/>
      <c r="AL8824" s="128"/>
      <c r="AM8824" s="21"/>
      <c r="AN8824" s="133"/>
      <c r="AO8824" s="134"/>
      <c r="AP8824" s="135"/>
      <c r="AQ8824" s="136"/>
      <c r="AR8824" s="118"/>
      <c r="AS8824" s="119"/>
      <c r="AT8824" s="118">
        <f t="shared" ref="AT8824" si="13539">AR8824*0.1</f>
        <v>0</v>
      </c>
      <c r="AU8824" s="119"/>
      <c r="AV8824" s="118"/>
      <c r="AW8824" s="119"/>
      <c r="AX8824" s="118">
        <f t="shared" ref="AX8824" si="13540">SUM(AR8824:AW8824)</f>
        <v>0</v>
      </c>
      <c r="AY8824" s="119"/>
      <c r="AZ8824" s="137"/>
    </row>
    <row r="8825" spans="1:52" ht="17.100000000000001" customHeight="1" thickBot="1">
      <c r="A8825" s="110"/>
      <c r="B8825" s="27" t="s">
        <v>1718</v>
      </c>
      <c r="C8825" s="27" t="s">
        <v>25202</v>
      </c>
      <c r="D8825" s="14" t="s">
        <v>3793</v>
      </c>
      <c r="E8825" s="112"/>
      <c r="F8825" s="139" t="s">
        <v>25203</v>
      </c>
      <c r="G8825" s="140"/>
      <c r="H8825" s="141"/>
      <c r="I8825" s="26">
        <v>47693</v>
      </c>
      <c r="J8825" s="117"/>
      <c r="K8825" s="120"/>
      <c r="L8825" s="121"/>
      <c r="M8825" s="120"/>
      <c r="N8825" s="121"/>
      <c r="O8825" s="120"/>
      <c r="P8825" s="121"/>
      <c r="Q8825" s="120"/>
      <c r="R8825" s="121"/>
      <c r="S8825" s="120"/>
      <c r="T8825" s="121"/>
      <c r="U8825" s="120"/>
      <c r="V8825" s="123"/>
      <c r="W8825" s="125"/>
      <c r="X8825" s="142"/>
      <c r="Y8825" s="143"/>
      <c r="Z8825" s="143"/>
      <c r="AA8825" s="143"/>
      <c r="AB8825" s="144"/>
      <c r="AC8825" s="16" t="s">
        <v>21</v>
      </c>
      <c r="AD8825" s="17"/>
      <c r="AE8825" s="145"/>
      <c r="AF8825" s="146"/>
      <c r="AG8825" s="146"/>
      <c r="AH8825" s="146"/>
      <c r="AI8825" s="147"/>
      <c r="AJ8825" s="148"/>
      <c r="AK8825" s="143"/>
      <c r="AL8825" s="144"/>
      <c r="AM8825" s="22"/>
      <c r="AN8825" s="149"/>
      <c r="AO8825" s="144"/>
      <c r="AP8825" s="148"/>
      <c r="AQ8825" s="144"/>
      <c r="AR8825" s="120"/>
      <c r="AS8825" s="121"/>
      <c r="AT8825" s="120"/>
      <c r="AU8825" s="121"/>
      <c r="AV8825" s="120"/>
      <c r="AW8825" s="121"/>
      <c r="AX8825" s="120"/>
      <c r="AY8825" s="121"/>
      <c r="AZ8825" s="138"/>
    </row>
    <row r="8826" spans="1:52" ht="17.100000000000001" customHeight="1" thickTop="1">
      <c r="A8826" s="109" t="s">
        <v>25228</v>
      </c>
      <c r="B8826" s="28">
        <v>46150</v>
      </c>
      <c r="C8826" s="25"/>
      <c r="D8826" s="13" t="s">
        <v>1986</v>
      </c>
      <c r="E8826" s="111"/>
      <c r="F8826" s="113" t="s">
        <v>25205</v>
      </c>
      <c r="G8826" s="114"/>
      <c r="H8826" s="115"/>
      <c r="I8826" s="24" t="s">
        <v>2112</v>
      </c>
      <c r="J8826" s="116">
        <v>4</v>
      </c>
      <c r="K8826" s="118">
        <v>810000</v>
      </c>
      <c r="L8826" s="119"/>
      <c r="M8826" s="118">
        <f t="shared" ref="M8826" si="13541">K8826*0.1</f>
        <v>81000</v>
      </c>
      <c r="N8826" s="119"/>
      <c r="O8826" s="118">
        <v>0</v>
      </c>
      <c r="P8826" s="119"/>
      <c r="Q8826" s="118">
        <v>7860</v>
      </c>
      <c r="R8826" s="119"/>
      <c r="S8826" s="118">
        <v>0</v>
      </c>
      <c r="T8826" s="119"/>
      <c r="U8826" s="118">
        <f t="shared" ref="U8826" si="13542">SUM(K8826:T8827)</f>
        <v>898860</v>
      </c>
      <c r="V8826" s="122"/>
      <c r="W8826" s="124"/>
      <c r="X8826" s="126"/>
      <c r="Y8826" s="127"/>
      <c r="Z8826" s="127"/>
      <c r="AA8826" s="127"/>
      <c r="AB8826" s="128"/>
      <c r="AC8826" s="15" t="s">
        <v>20</v>
      </c>
      <c r="AD8826" s="129" t="s">
        <v>186</v>
      </c>
      <c r="AE8826" s="130"/>
      <c r="AF8826" s="130"/>
      <c r="AG8826" s="130"/>
      <c r="AH8826" s="130"/>
      <c r="AI8826" s="131"/>
      <c r="AJ8826" s="132"/>
      <c r="AK8826" s="127"/>
      <c r="AL8826" s="128"/>
      <c r="AM8826" s="21"/>
      <c r="AN8826" s="133"/>
      <c r="AO8826" s="134"/>
      <c r="AP8826" s="135"/>
      <c r="AQ8826" s="136"/>
      <c r="AR8826" s="118"/>
      <c r="AS8826" s="119"/>
      <c r="AT8826" s="118">
        <f t="shared" ref="AT8826" si="13543">AR8826*0.1</f>
        <v>0</v>
      </c>
      <c r="AU8826" s="119"/>
      <c r="AV8826" s="118"/>
      <c r="AW8826" s="119"/>
      <c r="AX8826" s="118">
        <f t="shared" ref="AX8826" si="13544">SUM(AR8826:AW8826)</f>
        <v>0</v>
      </c>
      <c r="AY8826" s="119"/>
      <c r="AZ8826" s="137"/>
    </row>
    <row r="8827" spans="1:52" ht="17.100000000000001" customHeight="1" thickBot="1">
      <c r="A8827" s="110"/>
      <c r="B8827" s="27" t="s">
        <v>1718</v>
      </c>
      <c r="C8827" s="27" t="s">
        <v>25204</v>
      </c>
      <c r="D8827" s="14" t="s">
        <v>275</v>
      </c>
      <c r="E8827" s="112"/>
      <c r="F8827" s="139" t="s">
        <v>25206</v>
      </c>
      <c r="G8827" s="140"/>
      <c r="H8827" s="141"/>
      <c r="I8827" s="26">
        <v>38059</v>
      </c>
      <c r="J8827" s="117"/>
      <c r="K8827" s="120"/>
      <c r="L8827" s="121"/>
      <c r="M8827" s="120"/>
      <c r="N8827" s="121"/>
      <c r="O8827" s="120"/>
      <c r="P8827" s="121"/>
      <c r="Q8827" s="120"/>
      <c r="R8827" s="121"/>
      <c r="S8827" s="120"/>
      <c r="T8827" s="121"/>
      <c r="U8827" s="120"/>
      <c r="V8827" s="123"/>
      <c r="W8827" s="125"/>
      <c r="X8827" s="142"/>
      <c r="Y8827" s="143"/>
      <c r="Z8827" s="143"/>
      <c r="AA8827" s="143"/>
      <c r="AB8827" s="144"/>
      <c r="AC8827" s="16" t="s">
        <v>21</v>
      </c>
      <c r="AD8827" s="17"/>
      <c r="AE8827" s="145"/>
      <c r="AF8827" s="146"/>
      <c r="AG8827" s="146"/>
      <c r="AH8827" s="146"/>
      <c r="AI8827" s="147"/>
      <c r="AJ8827" s="148"/>
      <c r="AK8827" s="143"/>
      <c r="AL8827" s="144"/>
      <c r="AM8827" s="22"/>
      <c r="AN8827" s="149"/>
      <c r="AO8827" s="144"/>
      <c r="AP8827" s="148"/>
      <c r="AQ8827" s="144"/>
      <c r="AR8827" s="120"/>
      <c r="AS8827" s="121"/>
      <c r="AT8827" s="120"/>
      <c r="AU8827" s="121"/>
      <c r="AV8827" s="120"/>
      <c r="AW8827" s="121"/>
      <c r="AX8827" s="120"/>
      <c r="AY8827" s="121"/>
      <c r="AZ8827" s="138"/>
    </row>
    <row r="8828" spans="1:52" ht="17.100000000000001" customHeight="1" thickTop="1">
      <c r="A8828" s="109" t="s">
        <v>25229</v>
      </c>
      <c r="B8828" s="28">
        <v>46150</v>
      </c>
      <c r="C8828" s="25"/>
      <c r="D8828" s="13" t="s">
        <v>1697</v>
      </c>
      <c r="E8828" s="111"/>
      <c r="F8828" s="113" t="s">
        <v>7164</v>
      </c>
      <c r="G8828" s="114"/>
      <c r="H8828" s="115"/>
      <c r="I8828" s="24" t="s">
        <v>4109</v>
      </c>
      <c r="J8828" s="116">
        <v>4.5</v>
      </c>
      <c r="K8828" s="118">
        <v>1195000</v>
      </c>
      <c r="L8828" s="119"/>
      <c r="M8828" s="118">
        <f t="shared" ref="M8828" si="13545">K8828*0.1</f>
        <v>119500</v>
      </c>
      <c r="N8828" s="119"/>
      <c r="O8828" s="118">
        <v>0</v>
      </c>
      <c r="P8828" s="119"/>
      <c r="Q8828" s="118">
        <v>8630</v>
      </c>
      <c r="R8828" s="119"/>
      <c r="S8828" s="118">
        <v>0</v>
      </c>
      <c r="T8828" s="119"/>
      <c r="U8828" s="118">
        <f t="shared" ref="U8828" si="13546">SUM(K8828:T8829)</f>
        <v>1323130</v>
      </c>
      <c r="V8828" s="122"/>
      <c r="W8828" s="124"/>
      <c r="X8828" s="126"/>
      <c r="Y8828" s="127"/>
      <c r="Z8828" s="127"/>
      <c r="AA8828" s="127"/>
      <c r="AB8828" s="128"/>
      <c r="AC8828" s="15" t="s">
        <v>20</v>
      </c>
      <c r="AD8828" s="129"/>
      <c r="AE8828" s="130"/>
      <c r="AF8828" s="130"/>
      <c r="AG8828" s="130"/>
      <c r="AH8828" s="130"/>
      <c r="AI8828" s="131"/>
      <c r="AJ8828" s="132"/>
      <c r="AK8828" s="127"/>
      <c r="AL8828" s="128"/>
      <c r="AM8828" s="21"/>
      <c r="AN8828" s="133"/>
      <c r="AO8828" s="134"/>
      <c r="AP8828" s="135"/>
      <c r="AQ8828" s="136"/>
      <c r="AR8828" s="118"/>
      <c r="AS8828" s="119"/>
      <c r="AT8828" s="118">
        <f t="shared" ref="AT8828" si="13547">AR8828*0.1</f>
        <v>0</v>
      </c>
      <c r="AU8828" s="119"/>
      <c r="AV8828" s="118"/>
      <c r="AW8828" s="119"/>
      <c r="AX8828" s="118">
        <f t="shared" ref="AX8828" si="13548">SUM(AR8828:AW8828)</f>
        <v>0</v>
      </c>
      <c r="AY8828" s="119"/>
      <c r="AZ8828" s="137"/>
    </row>
    <row r="8829" spans="1:52" ht="17.100000000000001" customHeight="1" thickBot="1">
      <c r="A8829" s="110"/>
      <c r="B8829" s="27" t="s">
        <v>1718</v>
      </c>
      <c r="C8829" s="27" t="s">
        <v>25207</v>
      </c>
      <c r="D8829" s="14" t="s">
        <v>275</v>
      </c>
      <c r="E8829" s="112"/>
      <c r="F8829" s="139" t="s">
        <v>25208</v>
      </c>
      <c r="G8829" s="140"/>
      <c r="H8829" s="141"/>
      <c r="I8829" s="26">
        <v>31619</v>
      </c>
      <c r="J8829" s="117"/>
      <c r="K8829" s="120"/>
      <c r="L8829" s="121"/>
      <c r="M8829" s="120"/>
      <c r="N8829" s="121"/>
      <c r="O8829" s="120"/>
      <c r="P8829" s="121"/>
      <c r="Q8829" s="120"/>
      <c r="R8829" s="121"/>
      <c r="S8829" s="120"/>
      <c r="T8829" s="121"/>
      <c r="U8829" s="120"/>
      <c r="V8829" s="123"/>
      <c r="W8829" s="125"/>
      <c r="X8829" s="142"/>
      <c r="Y8829" s="143"/>
      <c r="Z8829" s="143"/>
      <c r="AA8829" s="143"/>
      <c r="AB8829" s="144"/>
      <c r="AC8829" s="16" t="s">
        <v>21</v>
      </c>
      <c r="AD8829" s="17"/>
      <c r="AE8829" s="145"/>
      <c r="AF8829" s="146"/>
      <c r="AG8829" s="146"/>
      <c r="AH8829" s="146"/>
      <c r="AI8829" s="147"/>
      <c r="AJ8829" s="148"/>
      <c r="AK8829" s="143"/>
      <c r="AL8829" s="144"/>
      <c r="AM8829" s="22"/>
      <c r="AN8829" s="149"/>
      <c r="AO8829" s="144"/>
      <c r="AP8829" s="148"/>
      <c r="AQ8829" s="144"/>
      <c r="AR8829" s="120"/>
      <c r="AS8829" s="121"/>
      <c r="AT8829" s="120"/>
      <c r="AU8829" s="121"/>
      <c r="AV8829" s="120"/>
      <c r="AW8829" s="121"/>
      <c r="AX8829" s="120"/>
      <c r="AY8829" s="121"/>
      <c r="AZ8829" s="138"/>
    </row>
    <row r="8830" spans="1:52" ht="17.100000000000001" customHeight="1" thickTop="1">
      <c r="A8830" s="109" t="s">
        <v>25230</v>
      </c>
      <c r="B8830" s="28">
        <v>46150</v>
      </c>
      <c r="C8830" s="25"/>
      <c r="D8830" s="13" t="s">
        <v>1986</v>
      </c>
      <c r="E8830" s="111"/>
      <c r="F8830" s="113" t="s">
        <v>25210</v>
      </c>
      <c r="G8830" s="114"/>
      <c r="H8830" s="115"/>
      <c r="I8830" s="24" t="s">
        <v>2064</v>
      </c>
      <c r="J8830" s="116">
        <v>4</v>
      </c>
      <c r="K8830" s="118">
        <v>1475000</v>
      </c>
      <c r="L8830" s="119"/>
      <c r="M8830" s="118">
        <f t="shared" ref="M8830" si="13549">K8830*0.1</f>
        <v>147500</v>
      </c>
      <c r="N8830" s="119"/>
      <c r="O8830" s="118">
        <v>20800</v>
      </c>
      <c r="P8830" s="119"/>
      <c r="Q8830" s="118">
        <v>9300</v>
      </c>
      <c r="R8830" s="119"/>
      <c r="S8830" s="118">
        <v>0</v>
      </c>
      <c r="T8830" s="119"/>
      <c r="U8830" s="118">
        <f t="shared" ref="U8830" si="13550">SUM(K8830:T8831)</f>
        <v>1652600</v>
      </c>
      <c r="V8830" s="122"/>
      <c r="W8830" s="124"/>
      <c r="X8830" s="126" t="s">
        <v>26011</v>
      </c>
      <c r="Y8830" s="127"/>
      <c r="Z8830" s="127"/>
      <c r="AA8830" s="127"/>
      <c r="AB8830" s="128"/>
      <c r="AC8830" s="15" t="s">
        <v>20</v>
      </c>
      <c r="AD8830" s="129"/>
      <c r="AE8830" s="130"/>
      <c r="AF8830" s="130"/>
      <c r="AG8830" s="130"/>
      <c r="AH8830" s="130"/>
      <c r="AI8830" s="131"/>
      <c r="AJ8830" s="132"/>
      <c r="AK8830" s="127"/>
      <c r="AL8830" s="128"/>
      <c r="AM8830" s="21"/>
      <c r="AN8830" s="133"/>
      <c r="AO8830" s="134"/>
      <c r="AP8830" s="135"/>
      <c r="AQ8830" s="136"/>
      <c r="AR8830" s="118"/>
      <c r="AS8830" s="119"/>
      <c r="AT8830" s="118">
        <f t="shared" ref="AT8830" si="13551">AR8830*0.1</f>
        <v>0</v>
      </c>
      <c r="AU8830" s="119"/>
      <c r="AV8830" s="118"/>
      <c r="AW8830" s="119"/>
      <c r="AX8830" s="118">
        <f t="shared" ref="AX8830" si="13552">SUM(AR8830:AW8830)</f>
        <v>0</v>
      </c>
      <c r="AY8830" s="119"/>
      <c r="AZ8830" s="137"/>
    </row>
    <row r="8831" spans="1:52" ht="17.100000000000001" customHeight="1" thickBot="1">
      <c r="A8831" s="110"/>
      <c r="B8831" s="27" t="s">
        <v>1718</v>
      </c>
      <c r="C8831" s="27" t="s">
        <v>25209</v>
      </c>
      <c r="D8831" s="14" t="s">
        <v>133</v>
      </c>
      <c r="E8831" s="112"/>
      <c r="F8831" s="139" t="s">
        <v>26010</v>
      </c>
      <c r="G8831" s="140"/>
      <c r="H8831" s="141"/>
      <c r="I8831" s="26">
        <v>47808</v>
      </c>
      <c r="J8831" s="117"/>
      <c r="K8831" s="120"/>
      <c r="L8831" s="121"/>
      <c r="M8831" s="120"/>
      <c r="N8831" s="121"/>
      <c r="O8831" s="120"/>
      <c r="P8831" s="121"/>
      <c r="Q8831" s="120"/>
      <c r="R8831" s="121"/>
      <c r="S8831" s="120"/>
      <c r="T8831" s="121"/>
      <c r="U8831" s="120"/>
      <c r="V8831" s="123"/>
      <c r="W8831" s="125"/>
      <c r="X8831" s="142" t="s">
        <v>26012</v>
      </c>
      <c r="Y8831" s="143"/>
      <c r="Z8831" s="143"/>
      <c r="AA8831" s="143"/>
      <c r="AB8831" s="144"/>
      <c r="AC8831" s="16" t="s">
        <v>21</v>
      </c>
      <c r="AD8831" s="17" t="s">
        <v>1976</v>
      </c>
      <c r="AE8831" s="145"/>
      <c r="AF8831" s="146"/>
      <c r="AG8831" s="146"/>
      <c r="AH8831" s="146"/>
      <c r="AI8831" s="147"/>
      <c r="AJ8831" s="148"/>
      <c r="AK8831" s="143"/>
      <c r="AL8831" s="144"/>
      <c r="AM8831" s="22"/>
      <c r="AN8831" s="149"/>
      <c r="AO8831" s="144"/>
      <c r="AP8831" s="148"/>
      <c r="AQ8831" s="144"/>
      <c r="AR8831" s="120"/>
      <c r="AS8831" s="121"/>
      <c r="AT8831" s="120"/>
      <c r="AU8831" s="121"/>
      <c r="AV8831" s="120"/>
      <c r="AW8831" s="121"/>
      <c r="AX8831" s="120"/>
      <c r="AY8831" s="121"/>
      <c r="AZ8831" s="138"/>
    </row>
    <row r="8832" spans="1:52" ht="17.100000000000001" customHeight="1" thickTop="1">
      <c r="A8832" s="109" t="s">
        <v>25231</v>
      </c>
      <c r="B8832" s="28">
        <v>46150</v>
      </c>
      <c r="C8832" s="25"/>
      <c r="D8832" s="13" t="s">
        <v>2348</v>
      </c>
      <c r="E8832" s="111"/>
      <c r="F8832" s="113" t="s">
        <v>25233</v>
      </c>
      <c r="G8832" s="114"/>
      <c r="H8832" s="115"/>
      <c r="I8832" s="24" t="s">
        <v>3931</v>
      </c>
      <c r="J8832" s="116">
        <v>4.5</v>
      </c>
      <c r="K8832" s="118">
        <v>905000</v>
      </c>
      <c r="L8832" s="119"/>
      <c r="M8832" s="118">
        <f t="shared" ref="M8832" si="13553">K8832*0.1</f>
        <v>90500</v>
      </c>
      <c r="N8832" s="119"/>
      <c r="O8832" s="118">
        <v>0</v>
      </c>
      <c r="P8832" s="119"/>
      <c r="Q8832" s="118">
        <v>8110</v>
      </c>
      <c r="R8832" s="119"/>
      <c r="S8832" s="118">
        <v>0</v>
      </c>
      <c r="T8832" s="119"/>
      <c r="U8832" s="118">
        <f t="shared" ref="U8832" si="13554">SUM(K8832:T8833)</f>
        <v>1003610</v>
      </c>
      <c r="V8832" s="122"/>
      <c r="W8832" s="124"/>
      <c r="X8832" s="126"/>
      <c r="Y8832" s="127"/>
      <c r="Z8832" s="127"/>
      <c r="AA8832" s="127"/>
      <c r="AB8832" s="128"/>
      <c r="AC8832" s="15" t="s">
        <v>20</v>
      </c>
      <c r="AD8832" s="129" t="s">
        <v>186</v>
      </c>
      <c r="AE8832" s="130"/>
      <c r="AF8832" s="130"/>
      <c r="AG8832" s="130"/>
      <c r="AH8832" s="130"/>
      <c r="AI8832" s="131"/>
      <c r="AJ8832" s="132"/>
      <c r="AK8832" s="127"/>
      <c r="AL8832" s="128"/>
      <c r="AM8832" s="21"/>
      <c r="AN8832" s="133"/>
      <c r="AO8832" s="134"/>
      <c r="AP8832" s="135"/>
      <c r="AQ8832" s="136"/>
      <c r="AR8832" s="118"/>
      <c r="AS8832" s="119"/>
      <c r="AT8832" s="118">
        <f t="shared" ref="AT8832" si="13555">AR8832*0.1</f>
        <v>0</v>
      </c>
      <c r="AU8832" s="119"/>
      <c r="AV8832" s="118"/>
      <c r="AW8832" s="119"/>
      <c r="AX8832" s="118">
        <f t="shared" ref="AX8832" si="13556">SUM(AR8832:AW8832)</f>
        <v>0</v>
      </c>
      <c r="AY8832" s="119"/>
      <c r="AZ8832" s="137"/>
    </row>
    <row r="8833" spans="1:52" ht="17.100000000000001" customHeight="1" thickBot="1">
      <c r="A8833" s="110"/>
      <c r="B8833" s="27" t="s">
        <v>1718</v>
      </c>
      <c r="C8833" s="27" t="s">
        <v>25219</v>
      </c>
      <c r="D8833" s="14" t="s">
        <v>2601</v>
      </c>
      <c r="E8833" s="112"/>
      <c r="F8833" s="139" t="s">
        <v>25232</v>
      </c>
      <c r="G8833" s="140"/>
      <c r="H8833" s="141"/>
      <c r="I8833" s="26">
        <v>40138</v>
      </c>
      <c r="J8833" s="117"/>
      <c r="K8833" s="120"/>
      <c r="L8833" s="121"/>
      <c r="M8833" s="120"/>
      <c r="N8833" s="121"/>
      <c r="O8833" s="120"/>
      <c r="P8833" s="121"/>
      <c r="Q8833" s="120"/>
      <c r="R8833" s="121"/>
      <c r="S8833" s="120"/>
      <c r="T8833" s="121"/>
      <c r="U8833" s="120"/>
      <c r="V8833" s="123"/>
      <c r="W8833" s="125"/>
      <c r="X8833" s="142"/>
      <c r="Y8833" s="143"/>
      <c r="Z8833" s="143"/>
      <c r="AA8833" s="143"/>
      <c r="AB8833" s="144"/>
      <c r="AC8833" s="16" t="s">
        <v>21</v>
      </c>
      <c r="AD8833" s="17"/>
      <c r="AE8833" s="145"/>
      <c r="AF8833" s="146"/>
      <c r="AG8833" s="146"/>
      <c r="AH8833" s="146"/>
      <c r="AI8833" s="147"/>
      <c r="AJ8833" s="148"/>
      <c r="AK8833" s="143"/>
      <c r="AL8833" s="144"/>
      <c r="AM8833" s="22"/>
      <c r="AN8833" s="149"/>
      <c r="AO8833" s="144"/>
      <c r="AP8833" s="148"/>
      <c r="AQ8833" s="144"/>
      <c r="AR8833" s="120"/>
      <c r="AS8833" s="121"/>
      <c r="AT8833" s="120"/>
      <c r="AU8833" s="121"/>
      <c r="AV8833" s="120"/>
      <c r="AW8833" s="121"/>
      <c r="AX8833" s="120"/>
      <c r="AY8833" s="121"/>
      <c r="AZ8833" s="138"/>
    </row>
    <row r="8834" spans="1:52" ht="17.100000000000001" customHeight="1" thickTop="1">
      <c r="A8834" s="109" t="s">
        <v>25255</v>
      </c>
      <c r="B8834" s="28">
        <v>46151</v>
      </c>
      <c r="C8834" s="25">
        <v>1717</v>
      </c>
      <c r="D8834" s="13" t="s">
        <v>2187</v>
      </c>
      <c r="E8834" s="111"/>
      <c r="F8834" s="113" t="s">
        <v>25256</v>
      </c>
      <c r="G8834" s="114"/>
      <c r="H8834" s="115"/>
      <c r="I8834" s="24"/>
      <c r="J8834" s="116">
        <v>4.5</v>
      </c>
      <c r="K8834" s="118">
        <v>2185000</v>
      </c>
      <c r="L8834" s="119"/>
      <c r="M8834" s="118">
        <f t="shared" ref="M8834" si="13557">K8834*0.1</f>
        <v>218500</v>
      </c>
      <c r="N8834" s="119"/>
      <c r="O8834" s="118">
        <v>0</v>
      </c>
      <c r="P8834" s="119"/>
      <c r="Q8834" s="118">
        <v>17800</v>
      </c>
      <c r="R8834" s="119"/>
      <c r="S8834" s="118">
        <v>16500</v>
      </c>
      <c r="T8834" s="119"/>
      <c r="U8834" s="118">
        <f t="shared" ref="U8834" si="13558">SUM(K8834:T8835)</f>
        <v>2437800</v>
      </c>
      <c r="V8834" s="122"/>
      <c r="W8834" s="124"/>
      <c r="X8834" s="126" t="s">
        <v>25554</v>
      </c>
      <c r="Y8834" s="127"/>
      <c r="Z8834" s="127"/>
      <c r="AA8834" s="127"/>
      <c r="AB8834" s="128"/>
      <c r="AC8834" s="15" t="s">
        <v>20</v>
      </c>
      <c r="AD8834" s="129" t="s">
        <v>1565</v>
      </c>
      <c r="AE8834" s="130"/>
      <c r="AF8834" s="130"/>
      <c r="AG8834" s="130"/>
      <c r="AH8834" s="130"/>
      <c r="AI8834" s="131"/>
      <c r="AJ8834" s="132"/>
      <c r="AK8834" s="127"/>
      <c r="AL8834" s="128"/>
      <c r="AM8834" s="21"/>
      <c r="AN8834" s="133">
        <v>46158</v>
      </c>
      <c r="AO8834" s="134"/>
      <c r="AP8834" s="135">
        <v>1300</v>
      </c>
      <c r="AQ8834" s="136"/>
      <c r="AR8834" s="118">
        <v>2400000</v>
      </c>
      <c r="AS8834" s="119"/>
      <c r="AT8834" s="118">
        <f t="shared" ref="AT8834" si="13559">AR8834*0.1</f>
        <v>240000</v>
      </c>
      <c r="AU8834" s="119"/>
      <c r="AV8834" s="118">
        <v>17800</v>
      </c>
      <c r="AW8834" s="119"/>
      <c r="AX8834" s="118">
        <f t="shared" ref="AX8834" si="13560">SUM(AR8834:AW8834)</f>
        <v>2657800</v>
      </c>
      <c r="AY8834" s="119"/>
      <c r="AZ8834" s="137">
        <v>46161</v>
      </c>
    </row>
    <row r="8835" spans="1:52" ht="17.100000000000001" customHeight="1" thickBot="1">
      <c r="A8835" s="110"/>
      <c r="B8835" s="27" t="s">
        <v>24577</v>
      </c>
      <c r="C8835" s="27">
        <v>582</v>
      </c>
      <c r="D8835" s="14" t="s">
        <v>133</v>
      </c>
      <c r="E8835" s="112"/>
      <c r="F8835" s="139" t="s">
        <v>25257</v>
      </c>
      <c r="G8835" s="140"/>
      <c r="H8835" s="141"/>
      <c r="I8835" s="26">
        <v>67958</v>
      </c>
      <c r="J8835" s="117"/>
      <c r="K8835" s="120"/>
      <c r="L8835" s="121"/>
      <c r="M8835" s="120"/>
      <c r="N8835" s="121"/>
      <c r="O8835" s="120"/>
      <c r="P8835" s="121"/>
      <c r="Q8835" s="120"/>
      <c r="R8835" s="121"/>
      <c r="S8835" s="120"/>
      <c r="T8835" s="121"/>
      <c r="U8835" s="120"/>
      <c r="V8835" s="123"/>
      <c r="W8835" s="125"/>
      <c r="X8835" s="142" t="s">
        <v>1970</v>
      </c>
      <c r="Y8835" s="143"/>
      <c r="Z8835" s="143"/>
      <c r="AA8835" s="143"/>
      <c r="AB8835" s="144"/>
      <c r="AC8835" s="16" t="s">
        <v>21</v>
      </c>
      <c r="AD8835" s="17" t="s">
        <v>2413</v>
      </c>
      <c r="AE8835" s="145" t="s">
        <v>3123</v>
      </c>
      <c r="AF8835" s="146"/>
      <c r="AG8835" s="146"/>
      <c r="AH8835" s="146"/>
      <c r="AI8835" s="147"/>
      <c r="AJ8835" s="148"/>
      <c r="AK8835" s="143"/>
      <c r="AL8835" s="144"/>
      <c r="AM8835" s="22"/>
      <c r="AN8835" s="149" t="s">
        <v>2511</v>
      </c>
      <c r="AO8835" s="144"/>
      <c r="AP8835" s="148">
        <v>80291</v>
      </c>
      <c r="AQ8835" s="144"/>
      <c r="AR8835" s="120"/>
      <c r="AS8835" s="121"/>
      <c r="AT8835" s="120"/>
      <c r="AU8835" s="121"/>
      <c r="AV8835" s="120"/>
      <c r="AW8835" s="121"/>
      <c r="AX8835" s="120"/>
      <c r="AY8835" s="121"/>
      <c r="AZ8835" s="138"/>
    </row>
    <row r="8836" spans="1:52" ht="17.100000000000001" customHeight="1" thickTop="1">
      <c r="A8836" s="109" t="s">
        <v>25258</v>
      </c>
      <c r="B8836" s="28">
        <v>46151</v>
      </c>
      <c r="C8836" s="25">
        <v>310</v>
      </c>
      <c r="D8836" s="13" t="s">
        <v>2141</v>
      </c>
      <c r="E8836" s="111"/>
      <c r="F8836" s="113" t="s">
        <v>25239</v>
      </c>
      <c r="G8836" s="114"/>
      <c r="H8836" s="115"/>
      <c r="I8836" s="24"/>
      <c r="J8836" s="116">
        <v>3.5</v>
      </c>
      <c r="K8836" s="118">
        <v>731000</v>
      </c>
      <c r="L8836" s="119"/>
      <c r="M8836" s="118">
        <f t="shared" ref="M8836" si="13561">K8836*0.1</f>
        <v>73100</v>
      </c>
      <c r="N8836" s="119"/>
      <c r="O8836" s="118">
        <v>0</v>
      </c>
      <c r="P8836" s="119"/>
      <c r="Q8836" s="118">
        <v>11530</v>
      </c>
      <c r="R8836" s="119"/>
      <c r="S8836" s="118">
        <v>12100</v>
      </c>
      <c r="T8836" s="119"/>
      <c r="U8836" s="118">
        <f t="shared" ref="U8836" si="13562">SUM(K8836:T8837)</f>
        <v>827730</v>
      </c>
      <c r="V8836" s="122"/>
      <c r="W8836" s="124"/>
      <c r="X8836" s="126" t="s">
        <v>25542</v>
      </c>
      <c r="Y8836" s="127"/>
      <c r="Z8836" s="127"/>
      <c r="AA8836" s="127"/>
      <c r="AB8836" s="128"/>
      <c r="AC8836" s="15" t="s">
        <v>20</v>
      </c>
      <c r="AD8836" s="129"/>
      <c r="AE8836" s="130"/>
      <c r="AF8836" s="130"/>
      <c r="AG8836" s="130"/>
      <c r="AH8836" s="130"/>
      <c r="AI8836" s="131"/>
      <c r="AJ8836" s="132"/>
      <c r="AK8836" s="127"/>
      <c r="AL8836" s="128"/>
      <c r="AM8836" s="21"/>
      <c r="AN8836" s="133">
        <v>46155</v>
      </c>
      <c r="AO8836" s="134"/>
      <c r="AP8836" s="135">
        <v>1016</v>
      </c>
      <c r="AQ8836" s="136"/>
      <c r="AR8836" s="118">
        <v>810000</v>
      </c>
      <c r="AS8836" s="119"/>
      <c r="AT8836" s="118">
        <f t="shared" ref="AT8836" si="13563">AR8836*0.1</f>
        <v>81000</v>
      </c>
      <c r="AU8836" s="119"/>
      <c r="AV8836" s="118">
        <v>11530</v>
      </c>
      <c r="AW8836" s="119"/>
      <c r="AX8836" s="118">
        <f t="shared" ref="AX8836" si="13564">SUM(AR8836:AW8836)</f>
        <v>902530</v>
      </c>
      <c r="AY8836" s="119"/>
      <c r="AZ8836" s="137">
        <v>46160</v>
      </c>
    </row>
    <row r="8837" spans="1:52" ht="17.100000000000001" customHeight="1" thickBot="1">
      <c r="A8837" s="110"/>
      <c r="B8837" s="27" t="s">
        <v>3574</v>
      </c>
      <c r="C8837" s="27">
        <v>249</v>
      </c>
      <c r="D8837" s="14" t="s">
        <v>2601</v>
      </c>
      <c r="E8837" s="112"/>
      <c r="F8837" s="139" t="s">
        <v>25240</v>
      </c>
      <c r="G8837" s="140"/>
      <c r="H8837" s="141"/>
      <c r="I8837" s="26">
        <v>111228</v>
      </c>
      <c r="J8837" s="117"/>
      <c r="K8837" s="120"/>
      <c r="L8837" s="121"/>
      <c r="M8837" s="120"/>
      <c r="N8837" s="121"/>
      <c r="O8837" s="120"/>
      <c r="P8837" s="121"/>
      <c r="Q8837" s="120"/>
      <c r="R8837" s="121"/>
      <c r="S8837" s="120"/>
      <c r="T8837" s="121"/>
      <c r="U8837" s="120"/>
      <c r="V8837" s="123"/>
      <c r="W8837" s="125"/>
      <c r="X8837" s="142" t="s">
        <v>21174</v>
      </c>
      <c r="Y8837" s="143"/>
      <c r="Z8837" s="143"/>
      <c r="AA8837" s="143"/>
      <c r="AB8837" s="144"/>
      <c r="AC8837" s="16" t="s">
        <v>21</v>
      </c>
      <c r="AD8837" s="17" t="s">
        <v>2413</v>
      </c>
      <c r="AE8837" s="145" t="s">
        <v>4608</v>
      </c>
      <c r="AF8837" s="146"/>
      <c r="AG8837" s="146"/>
      <c r="AH8837" s="146"/>
      <c r="AI8837" s="147"/>
      <c r="AJ8837" s="148"/>
      <c r="AK8837" s="143"/>
      <c r="AL8837" s="144"/>
      <c r="AM8837" s="22"/>
      <c r="AN8837" s="149" t="s">
        <v>2794</v>
      </c>
      <c r="AO8837" s="144"/>
      <c r="AP8837" s="148">
        <v>5131</v>
      </c>
      <c r="AQ8837" s="144"/>
      <c r="AR8837" s="120"/>
      <c r="AS8837" s="121"/>
      <c r="AT8837" s="120"/>
      <c r="AU8837" s="121"/>
      <c r="AV8837" s="120"/>
      <c r="AW8837" s="121"/>
      <c r="AX8837" s="120"/>
      <c r="AY8837" s="121"/>
      <c r="AZ8837" s="138"/>
    </row>
    <row r="8838" spans="1:52" ht="16.5" customHeight="1" thickTop="1">
      <c r="A8838" s="109" t="s">
        <v>25259</v>
      </c>
      <c r="B8838" s="28">
        <v>46151</v>
      </c>
      <c r="C8838" s="25">
        <v>310</v>
      </c>
      <c r="D8838" s="13" t="s">
        <v>1615</v>
      </c>
      <c r="E8838" s="111"/>
      <c r="F8838" s="113" t="s">
        <v>25241</v>
      </c>
      <c r="G8838" s="114"/>
      <c r="H8838" s="115"/>
      <c r="I8838" s="24"/>
      <c r="J8838" s="116">
        <v>4</v>
      </c>
      <c r="K8838" s="118">
        <v>2668000</v>
      </c>
      <c r="L8838" s="119"/>
      <c r="M8838" s="118">
        <f t="shared" ref="M8838" si="13565">K8838*0.1</f>
        <v>266800</v>
      </c>
      <c r="N8838" s="119"/>
      <c r="O8838" s="118">
        <v>0</v>
      </c>
      <c r="P8838" s="119"/>
      <c r="Q8838" s="118">
        <v>16550</v>
      </c>
      <c r="R8838" s="119"/>
      <c r="S8838" s="118">
        <v>12100</v>
      </c>
      <c r="T8838" s="119"/>
      <c r="U8838" s="118">
        <f t="shared" ref="U8838" si="13566">SUM(K8838:T8839)</f>
        <v>2963450</v>
      </c>
      <c r="V8838" s="122"/>
      <c r="W8838" s="124"/>
      <c r="X8838" s="126" t="s">
        <v>25572</v>
      </c>
      <c r="Y8838" s="127"/>
      <c r="Z8838" s="127"/>
      <c r="AA8838" s="127"/>
      <c r="AB8838" s="128"/>
      <c r="AC8838" s="15" t="s">
        <v>20</v>
      </c>
      <c r="AD8838" s="129" t="s">
        <v>1670</v>
      </c>
      <c r="AE8838" s="130"/>
      <c r="AF8838" s="130"/>
      <c r="AG8838" s="130"/>
      <c r="AH8838" s="130"/>
      <c r="AI8838" s="131"/>
      <c r="AJ8838" s="132"/>
      <c r="AK8838" s="127"/>
      <c r="AL8838" s="128"/>
      <c r="AM8838" s="21"/>
      <c r="AN8838" s="133"/>
      <c r="AO8838" s="134"/>
      <c r="AP8838" s="135"/>
      <c r="AQ8838" s="136"/>
      <c r="AR8838" s="118"/>
      <c r="AS8838" s="119"/>
      <c r="AT8838" s="118">
        <f t="shared" ref="AT8838" si="13567">AR8838*0.1</f>
        <v>0</v>
      </c>
      <c r="AU8838" s="119"/>
      <c r="AV8838" s="118"/>
      <c r="AW8838" s="119"/>
      <c r="AX8838" s="118">
        <f t="shared" ref="AX8838" si="13568">SUM(AR8838:AW8838)</f>
        <v>0</v>
      </c>
      <c r="AY8838" s="119"/>
      <c r="AZ8838" s="137"/>
    </row>
    <row r="8839" spans="1:52" ht="17.100000000000001" customHeight="1" thickBot="1">
      <c r="A8839" s="110"/>
      <c r="B8839" s="27" t="s">
        <v>3574</v>
      </c>
      <c r="C8839" s="27">
        <v>280</v>
      </c>
      <c r="D8839" s="14" t="s">
        <v>2601</v>
      </c>
      <c r="E8839" s="112"/>
      <c r="F8839" s="139" t="s">
        <v>25242</v>
      </c>
      <c r="G8839" s="140"/>
      <c r="H8839" s="141"/>
      <c r="I8839" s="26">
        <v>97091</v>
      </c>
      <c r="J8839" s="117"/>
      <c r="K8839" s="120"/>
      <c r="L8839" s="121"/>
      <c r="M8839" s="120"/>
      <c r="N8839" s="121"/>
      <c r="O8839" s="120"/>
      <c r="P8839" s="121"/>
      <c r="Q8839" s="120"/>
      <c r="R8839" s="121"/>
      <c r="S8839" s="120"/>
      <c r="T8839" s="121"/>
      <c r="U8839" s="120"/>
      <c r="V8839" s="123"/>
      <c r="W8839" s="125"/>
      <c r="X8839" s="142" t="s">
        <v>11156</v>
      </c>
      <c r="Y8839" s="143"/>
      <c r="Z8839" s="143"/>
      <c r="AA8839" s="143"/>
      <c r="AB8839" s="144"/>
      <c r="AC8839" s="16" t="s">
        <v>21</v>
      </c>
      <c r="AD8839" s="17" t="s">
        <v>2413</v>
      </c>
      <c r="AE8839" s="145" t="s">
        <v>25616</v>
      </c>
      <c r="AF8839" s="146"/>
      <c r="AG8839" s="146"/>
      <c r="AH8839" s="146"/>
      <c r="AI8839" s="147"/>
      <c r="AJ8839" s="148"/>
      <c r="AK8839" s="143"/>
      <c r="AL8839" s="144"/>
      <c r="AM8839" s="22"/>
      <c r="AN8839" s="149"/>
      <c r="AO8839" s="144"/>
      <c r="AP8839" s="148"/>
      <c r="AQ8839" s="144"/>
      <c r="AR8839" s="120"/>
      <c r="AS8839" s="121"/>
      <c r="AT8839" s="120"/>
      <c r="AU8839" s="121"/>
      <c r="AV8839" s="120"/>
      <c r="AW8839" s="121"/>
      <c r="AX8839" s="120"/>
      <c r="AY8839" s="121"/>
      <c r="AZ8839" s="138"/>
    </row>
    <row r="8840" spans="1:52" ht="17.100000000000001" customHeight="1" thickTop="1">
      <c r="A8840" s="109" t="s">
        <v>25260</v>
      </c>
      <c r="B8840" s="28">
        <v>46151</v>
      </c>
      <c r="C8840" s="25">
        <v>310</v>
      </c>
      <c r="D8840" s="13" t="s">
        <v>2301</v>
      </c>
      <c r="E8840" s="111"/>
      <c r="F8840" s="113" t="s">
        <v>25241</v>
      </c>
      <c r="G8840" s="114"/>
      <c r="H8840" s="115"/>
      <c r="I8840" s="24"/>
      <c r="J8840" s="116">
        <v>4</v>
      </c>
      <c r="K8840" s="118">
        <v>2132000</v>
      </c>
      <c r="L8840" s="119"/>
      <c r="M8840" s="118">
        <f t="shared" ref="M8840" si="13569">K8840*0.1</f>
        <v>213200</v>
      </c>
      <c r="N8840" s="119"/>
      <c r="O8840" s="118">
        <v>0</v>
      </c>
      <c r="P8840" s="119"/>
      <c r="Q8840" s="118">
        <v>16550</v>
      </c>
      <c r="R8840" s="119"/>
      <c r="S8840" s="118">
        <v>12100</v>
      </c>
      <c r="T8840" s="119"/>
      <c r="U8840" s="118">
        <f t="shared" ref="U8840" si="13570">SUM(K8840:T8841)</f>
        <v>2373850</v>
      </c>
      <c r="V8840" s="122"/>
      <c r="W8840" s="124"/>
      <c r="X8840" s="126" t="s">
        <v>25539</v>
      </c>
      <c r="Y8840" s="127"/>
      <c r="Z8840" s="127"/>
      <c r="AA8840" s="127"/>
      <c r="AB8840" s="128"/>
      <c r="AC8840" s="15" t="s">
        <v>20</v>
      </c>
      <c r="AD8840" s="129"/>
      <c r="AE8840" s="130"/>
      <c r="AF8840" s="130"/>
      <c r="AG8840" s="130"/>
      <c r="AH8840" s="130"/>
      <c r="AI8840" s="131"/>
      <c r="AJ8840" s="132"/>
      <c r="AK8840" s="127"/>
      <c r="AL8840" s="128"/>
      <c r="AM8840" s="21"/>
      <c r="AN8840" s="133">
        <v>46155</v>
      </c>
      <c r="AO8840" s="134"/>
      <c r="AP8840" s="135">
        <v>1016</v>
      </c>
      <c r="AQ8840" s="136"/>
      <c r="AR8840" s="118">
        <v>2220000</v>
      </c>
      <c r="AS8840" s="119"/>
      <c r="AT8840" s="118">
        <f t="shared" ref="AT8840" si="13571">AR8840*0.1</f>
        <v>222000</v>
      </c>
      <c r="AU8840" s="119"/>
      <c r="AV8840" s="118">
        <v>16550</v>
      </c>
      <c r="AW8840" s="119"/>
      <c r="AX8840" s="118">
        <f t="shared" ref="AX8840" si="13572">SUM(AR8840:AW8840)</f>
        <v>2458550</v>
      </c>
      <c r="AY8840" s="119"/>
      <c r="AZ8840" s="137">
        <v>46160</v>
      </c>
    </row>
    <row r="8841" spans="1:52" ht="17.100000000000001" customHeight="1" thickBot="1">
      <c r="A8841" s="110"/>
      <c r="B8841" s="27" t="s">
        <v>3574</v>
      </c>
      <c r="C8841" s="27">
        <v>360</v>
      </c>
      <c r="D8841" s="14" t="s">
        <v>2601</v>
      </c>
      <c r="E8841" s="112"/>
      <c r="F8841" s="139" t="s">
        <v>25243</v>
      </c>
      <c r="G8841" s="140"/>
      <c r="H8841" s="141"/>
      <c r="I8841" s="26">
        <v>126823</v>
      </c>
      <c r="J8841" s="117"/>
      <c r="K8841" s="120"/>
      <c r="L8841" s="121"/>
      <c r="M8841" s="120"/>
      <c r="N8841" s="121"/>
      <c r="O8841" s="120"/>
      <c r="P8841" s="121"/>
      <c r="Q8841" s="120"/>
      <c r="R8841" s="121"/>
      <c r="S8841" s="120"/>
      <c r="T8841" s="121"/>
      <c r="U8841" s="120"/>
      <c r="V8841" s="123"/>
      <c r="W8841" s="125"/>
      <c r="X8841" s="142" t="s">
        <v>25540</v>
      </c>
      <c r="Y8841" s="143"/>
      <c r="Z8841" s="143"/>
      <c r="AA8841" s="143"/>
      <c r="AB8841" s="144"/>
      <c r="AC8841" s="16" t="s">
        <v>21</v>
      </c>
      <c r="AD8841" s="17" t="s">
        <v>2413</v>
      </c>
      <c r="AE8841" s="145" t="s">
        <v>25545</v>
      </c>
      <c r="AF8841" s="146"/>
      <c r="AG8841" s="146"/>
      <c r="AH8841" s="146"/>
      <c r="AI8841" s="147"/>
      <c r="AJ8841" s="148"/>
      <c r="AK8841" s="143"/>
      <c r="AL8841" s="144"/>
      <c r="AM8841" s="22"/>
      <c r="AN8841" s="149" t="s">
        <v>2794</v>
      </c>
      <c r="AO8841" s="144"/>
      <c r="AP8841" s="148">
        <v>5112</v>
      </c>
      <c r="AQ8841" s="144"/>
      <c r="AR8841" s="120"/>
      <c r="AS8841" s="121"/>
      <c r="AT8841" s="120"/>
      <c r="AU8841" s="121"/>
      <c r="AV8841" s="120"/>
      <c r="AW8841" s="121"/>
      <c r="AX8841" s="120"/>
      <c r="AY8841" s="121"/>
      <c r="AZ8841" s="138"/>
    </row>
    <row r="8842" spans="1:52" ht="17.100000000000001" customHeight="1" thickTop="1">
      <c r="A8842" s="109" t="s">
        <v>25261</v>
      </c>
      <c r="B8842" s="28">
        <v>46151</v>
      </c>
      <c r="C8842" s="25">
        <v>310</v>
      </c>
      <c r="D8842" s="13" t="s">
        <v>1953</v>
      </c>
      <c r="E8842" s="111"/>
      <c r="F8842" s="113" t="s">
        <v>11757</v>
      </c>
      <c r="G8842" s="114"/>
      <c r="H8842" s="115"/>
      <c r="I8842" s="24"/>
      <c r="J8842" s="116">
        <v>4</v>
      </c>
      <c r="K8842" s="118">
        <v>1369000</v>
      </c>
      <c r="L8842" s="119"/>
      <c r="M8842" s="118">
        <f t="shared" ref="M8842" si="13573">K8842*0.1</f>
        <v>136900</v>
      </c>
      <c r="N8842" s="119"/>
      <c r="O8842" s="118">
        <v>0</v>
      </c>
      <c r="P8842" s="119"/>
      <c r="Q8842" s="118">
        <v>9950</v>
      </c>
      <c r="R8842" s="119"/>
      <c r="S8842" s="118">
        <v>13200</v>
      </c>
      <c r="T8842" s="119"/>
      <c r="U8842" s="118">
        <f t="shared" ref="U8842" si="13574">SUM(K8842:T8843)</f>
        <v>1529050</v>
      </c>
      <c r="V8842" s="122"/>
      <c r="W8842" s="124"/>
      <c r="X8842" s="126" t="s">
        <v>25585</v>
      </c>
      <c r="Y8842" s="127"/>
      <c r="Z8842" s="127"/>
      <c r="AA8842" s="127"/>
      <c r="AB8842" s="128"/>
      <c r="AC8842" s="15" t="s">
        <v>20</v>
      </c>
      <c r="AD8842" s="129" t="s">
        <v>5302</v>
      </c>
      <c r="AE8842" s="130"/>
      <c r="AF8842" s="130"/>
      <c r="AG8842" s="130"/>
      <c r="AH8842" s="130"/>
      <c r="AI8842" s="131"/>
      <c r="AJ8842" s="132"/>
      <c r="AK8842" s="127"/>
      <c r="AL8842" s="128"/>
      <c r="AM8842" s="21"/>
      <c r="AN8842" s="133"/>
      <c r="AO8842" s="134"/>
      <c r="AP8842" s="135"/>
      <c r="AQ8842" s="136"/>
      <c r="AR8842" s="118"/>
      <c r="AS8842" s="119"/>
      <c r="AT8842" s="118">
        <f t="shared" ref="AT8842" si="13575">AR8842*0.1</f>
        <v>0</v>
      </c>
      <c r="AU8842" s="119"/>
      <c r="AV8842" s="118"/>
      <c r="AW8842" s="119"/>
      <c r="AX8842" s="118">
        <f t="shared" ref="AX8842" si="13576">SUM(AR8842:AW8842)</f>
        <v>0</v>
      </c>
      <c r="AY8842" s="119"/>
      <c r="AZ8842" s="137"/>
    </row>
    <row r="8843" spans="1:52" ht="17.100000000000001" customHeight="1" thickBot="1">
      <c r="A8843" s="110"/>
      <c r="B8843" s="27" t="s">
        <v>3574</v>
      </c>
      <c r="C8843" s="27">
        <v>2029</v>
      </c>
      <c r="D8843" s="14" t="s">
        <v>2601</v>
      </c>
      <c r="E8843" s="112"/>
      <c r="F8843" s="139" t="s">
        <v>25244</v>
      </c>
      <c r="G8843" s="140"/>
      <c r="H8843" s="141"/>
      <c r="I8843" s="26">
        <v>24065</v>
      </c>
      <c r="J8843" s="117"/>
      <c r="K8843" s="120"/>
      <c r="L8843" s="121"/>
      <c r="M8843" s="120"/>
      <c r="N8843" s="121"/>
      <c r="O8843" s="120"/>
      <c r="P8843" s="121"/>
      <c r="Q8843" s="120"/>
      <c r="R8843" s="121"/>
      <c r="S8843" s="120"/>
      <c r="T8843" s="121"/>
      <c r="U8843" s="120"/>
      <c r="V8843" s="123"/>
      <c r="W8843" s="125"/>
      <c r="X8843" s="142" t="s">
        <v>21892</v>
      </c>
      <c r="Y8843" s="143"/>
      <c r="Z8843" s="143"/>
      <c r="AA8843" s="143"/>
      <c r="AB8843" s="144"/>
      <c r="AC8843" s="16" t="s">
        <v>21</v>
      </c>
      <c r="AD8843" s="17" t="s">
        <v>3742</v>
      </c>
      <c r="AE8843" s="145" t="s">
        <v>25586</v>
      </c>
      <c r="AF8843" s="146"/>
      <c r="AG8843" s="146"/>
      <c r="AH8843" s="146"/>
      <c r="AI8843" s="147"/>
      <c r="AJ8843" s="148"/>
      <c r="AK8843" s="143"/>
      <c r="AL8843" s="144"/>
      <c r="AM8843" s="22"/>
      <c r="AN8843" s="149"/>
      <c r="AO8843" s="144"/>
      <c r="AP8843" s="148"/>
      <c r="AQ8843" s="144"/>
      <c r="AR8843" s="120"/>
      <c r="AS8843" s="121"/>
      <c r="AT8843" s="120"/>
      <c r="AU8843" s="121"/>
      <c r="AV8843" s="120"/>
      <c r="AW8843" s="121"/>
      <c r="AX8843" s="120"/>
      <c r="AY8843" s="121"/>
      <c r="AZ8843" s="138"/>
    </row>
    <row r="8844" spans="1:52" ht="17.100000000000001" customHeight="1" thickTop="1">
      <c r="A8844" s="109" t="s">
        <v>25262</v>
      </c>
      <c r="B8844" s="28">
        <v>46151</v>
      </c>
      <c r="C8844" s="25">
        <v>310</v>
      </c>
      <c r="D8844" s="13" t="s">
        <v>4121</v>
      </c>
      <c r="E8844" s="111"/>
      <c r="F8844" s="113" t="s">
        <v>3667</v>
      </c>
      <c r="G8844" s="114"/>
      <c r="H8844" s="115"/>
      <c r="I8844" s="24"/>
      <c r="J8844" s="116">
        <v>4</v>
      </c>
      <c r="K8844" s="118">
        <v>1116000</v>
      </c>
      <c r="L8844" s="119"/>
      <c r="M8844" s="118">
        <f t="shared" ref="M8844" si="13577">K8844*0.1</f>
        <v>111600</v>
      </c>
      <c r="N8844" s="119"/>
      <c r="O8844" s="118">
        <v>0</v>
      </c>
      <c r="P8844" s="119"/>
      <c r="Q8844" s="118">
        <v>9750</v>
      </c>
      <c r="R8844" s="119"/>
      <c r="S8844" s="118">
        <v>13200</v>
      </c>
      <c r="T8844" s="119"/>
      <c r="U8844" s="118">
        <f t="shared" ref="U8844" si="13578">SUM(K8844:T8845)</f>
        <v>1250550</v>
      </c>
      <c r="V8844" s="122"/>
      <c r="W8844" s="124"/>
      <c r="X8844" s="126" t="s">
        <v>25541</v>
      </c>
      <c r="Y8844" s="127"/>
      <c r="Z8844" s="127"/>
      <c r="AA8844" s="127"/>
      <c r="AB8844" s="128"/>
      <c r="AC8844" s="15" t="s">
        <v>20</v>
      </c>
      <c r="AD8844" s="129"/>
      <c r="AE8844" s="130"/>
      <c r="AF8844" s="130"/>
      <c r="AG8844" s="130"/>
      <c r="AH8844" s="130"/>
      <c r="AI8844" s="131"/>
      <c r="AJ8844" s="132"/>
      <c r="AK8844" s="127"/>
      <c r="AL8844" s="128"/>
      <c r="AM8844" s="21"/>
      <c r="AN8844" s="133">
        <v>46155</v>
      </c>
      <c r="AO8844" s="134"/>
      <c r="AP8844" s="135">
        <v>1016</v>
      </c>
      <c r="AQ8844" s="136"/>
      <c r="AR8844" s="118">
        <v>1180000</v>
      </c>
      <c r="AS8844" s="119"/>
      <c r="AT8844" s="118">
        <f t="shared" ref="AT8844" si="13579">AR8844*0.1</f>
        <v>118000</v>
      </c>
      <c r="AU8844" s="119"/>
      <c r="AV8844" s="118">
        <v>9750</v>
      </c>
      <c r="AW8844" s="119"/>
      <c r="AX8844" s="118">
        <f t="shared" ref="AX8844" si="13580">SUM(AR8844:AW8844)</f>
        <v>1307750</v>
      </c>
      <c r="AY8844" s="119"/>
      <c r="AZ8844" s="137">
        <v>46160</v>
      </c>
    </row>
    <row r="8845" spans="1:52" ht="17.100000000000001" customHeight="1" thickBot="1">
      <c r="A8845" s="110"/>
      <c r="B8845" s="27" t="s">
        <v>3574</v>
      </c>
      <c r="C8845" s="27">
        <v>2054</v>
      </c>
      <c r="D8845" s="14" t="s">
        <v>2601</v>
      </c>
      <c r="E8845" s="112"/>
      <c r="F8845" s="139" t="s">
        <v>25245</v>
      </c>
      <c r="G8845" s="140"/>
      <c r="H8845" s="141"/>
      <c r="I8845" s="26">
        <v>50135</v>
      </c>
      <c r="J8845" s="117"/>
      <c r="K8845" s="120"/>
      <c r="L8845" s="121"/>
      <c r="M8845" s="120"/>
      <c r="N8845" s="121"/>
      <c r="O8845" s="120"/>
      <c r="P8845" s="121"/>
      <c r="Q8845" s="120"/>
      <c r="R8845" s="121"/>
      <c r="S8845" s="120"/>
      <c r="T8845" s="121"/>
      <c r="U8845" s="120"/>
      <c r="V8845" s="123"/>
      <c r="W8845" s="125"/>
      <c r="X8845" s="142" t="s">
        <v>21043</v>
      </c>
      <c r="Y8845" s="143"/>
      <c r="Z8845" s="143"/>
      <c r="AA8845" s="143"/>
      <c r="AB8845" s="144"/>
      <c r="AC8845" s="16" t="s">
        <v>21</v>
      </c>
      <c r="AD8845" s="17" t="s">
        <v>2413</v>
      </c>
      <c r="AE8845" s="145" t="s">
        <v>4608</v>
      </c>
      <c r="AF8845" s="146"/>
      <c r="AG8845" s="146"/>
      <c r="AH8845" s="146"/>
      <c r="AI8845" s="147"/>
      <c r="AJ8845" s="148"/>
      <c r="AK8845" s="143"/>
      <c r="AL8845" s="144"/>
      <c r="AM8845" s="22"/>
      <c r="AN8845" s="149" t="s">
        <v>2794</v>
      </c>
      <c r="AO8845" s="144"/>
      <c r="AP8845" s="148">
        <v>5114</v>
      </c>
      <c r="AQ8845" s="144"/>
      <c r="AR8845" s="120"/>
      <c r="AS8845" s="121"/>
      <c r="AT8845" s="120"/>
      <c r="AU8845" s="121"/>
      <c r="AV8845" s="120"/>
      <c r="AW8845" s="121"/>
      <c r="AX8845" s="120"/>
      <c r="AY8845" s="121"/>
      <c r="AZ8845" s="138"/>
    </row>
    <row r="8846" spans="1:52" ht="17.100000000000001" customHeight="1" thickTop="1">
      <c r="A8846" s="109" t="s">
        <v>25263</v>
      </c>
      <c r="B8846" s="28">
        <v>46151</v>
      </c>
      <c r="C8846" s="25">
        <v>310</v>
      </c>
      <c r="D8846" s="13" t="s">
        <v>1651</v>
      </c>
      <c r="E8846" s="111"/>
      <c r="F8846" s="113" t="s">
        <v>25246</v>
      </c>
      <c r="G8846" s="114"/>
      <c r="H8846" s="115"/>
      <c r="I8846" s="24"/>
      <c r="J8846" s="116">
        <v>4</v>
      </c>
      <c r="K8846" s="118">
        <v>2119000</v>
      </c>
      <c r="L8846" s="119"/>
      <c r="M8846" s="118">
        <f t="shared" ref="M8846" si="13581">K8846*0.1</f>
        <v>211900</v>
      </c>
      <c r="N8846" s="119"/>
      <c r="O8846" s="118">
        <v>0</v>
      </c>
      <c r="P8846" s="119"/>
      <c r="Q8846" s="118">
        <v>12250</v>
      </c>
      <c r="R8846" s="119"/>
      <c r="S8846" s="118">
        <v>13200</v>
      </c>
      <c r="T8846" s="119"/>
      <c r="U8846" s="118">
        <f t="shared" ref="U8846" si="13582">SUM(K8846:T8847)</f>
        <v>2356350</v>
      </c>
      <c r="V8846" s="122"/>
      <c r="W8846" s="124"/>
      <c r="X8846" s="126" t="s">
        <v>25543</v>
      </c>
      <c r="Y8846" s="127"/>
      <c r="Z8846" s="127"/>
      <c r="AA8846" s="127"/>
      <c r="AB8846" s="128"/>
      <c r="AC8846" s="15" t="s">
        <v>20</v>
      </c>
      <c r="AD8846" s="129" t="s">
        <v>1670</v>
      </c>
      <c r="AE8846" s="130"/>
      <c r="AF8846" s="130"/>
      <c r="AG8846" s="130"/>
      <c r="AH8846" s="130"/>
      <c r="AI8846" s="131"/>
      <c r="AJ8846" s="132"/>
      <c r="AK8846" s="127"/>
      <c r="AL8846" s="128"/>
      <c r="AM8846" s="21"/>
      <c r="AN8846" s="133">
        <v>46155</v>
      </c>
      <c r="AO8846" s="134"/>
      <c r="AP8846" s="135">
        <v>1016</v>
      </c>
      <c r="AQ8846" s="136"/>
      <c r="AR8846" s="118">
        <v>2350000</v>
      </c>
      <c r="AS8846" s="119"/>
      <c r="AT8846" s="118">
        <f t="shared" ref="AT8846" si="13583">AR8846*0.1</f>
        <v>235000</v>
      </c>
      <c r="AU8846" s="119"/>
      <c r="AV8846" s="118">
        <v>12250</v>
      </c>
      <c r="AW8846" s="119"/>
      <c r="AX8846" s="118">
        <f t="shared" ref="AX8846" si="13584">SUM(AR8846:AW8846)</f>
        <v>2597250</v>
      </c>
      <c r="AY8846" s="119"/>
      <c r="AZ8846" s="137">
        <v>46160</v>
      </c>
    </row>
    <row r="8847" spans="1:52" ht="17.100000000000001" customHeight="1" thickBot="1">
      <c r="A8847" s="110"/>
      <c r="B8847" s="27" t="s">
        <v>3574</v>
      </c>
      <c r="C8847" s="27">
        <v>2128</v>
      </c>
      <c r="D8847" s="14" t="s">
        <v>133</v>
      </c>
      <c r="E8847" s="112"/>
      <c r="F8847" s="139" t="s">
        <v>25247</v>
      </c>
      <c r="G8847" s="140"/>
      <c r="H8847" s="141"/>
      <c r="I8847" s="26">
        <v>46608</v>
      </c>
      <c r="J8847" s="117"/>
      <c r="K8847" s="120"/>
      <c r="L8847" s="121"/>
      <c r="M8847" s="120"/>
      <c r="N8847" s="121"/>
      <c r="O8847" s="120"/>
      <c r="P8847" s="121"/>
      <c r="Q8847" s="120"/>
      <c r="R8847" s="121"/>
      <c r="S8847" s="120"/>
      <c r="T8847" s="121"/>
      <c r="U8847" s="120"/>
      <c r="V8847" s="123"/>
      <c r="W8847" s="125"/>
      <c r="X8847" s="142" t="s">
        <v>25544</v>
      </c>
      <c r="Y8847" s="143"/>
      <c r="Z8847" s="143"/>
      <c r="AA8847" s="143"/>
      <c r="AB8847" s="144"/>
      <c r="AC8847" s="16" t="s">
        <v>21</v>
      </c>
      <c r="AD8847" s="17" t="s">
        <v>2413</v>
      </c>
      <c r="AE8847" s="145" t="s">
        <v>1565</v>
      </c>
      <c r="AF8847" s="146"/>
      <c r="AG8847" s="146"/>
      <c r="AH8847" s="146"/>
      <c r="AI8847" s="147"/>
      <c r="AJ8847" s="148"/>
      <c r="AK8847" s="143"/>
      <c r="AL8847" s="144"/>
      <c r="AM8847" s="22"/>
      <c r="AN8847" s="149" t="s">
        <v>7285</v>
      </c>
      <c r="AO8847" s="144"/>
      <c r="AP8847" s="148">
        <v>5133</v>
      </c>
      <c r="AQ8847" s="144"/>
      <c r="AR8847" s="120"/>
      <c r="AS8847" s="121"/>
      <c r="AT8847" s="120"/>
      <c r="AU8847" s="121"/>
      <c r="AV8847" s="120"/>
      <c r="AW8847" s="121"/>
      <c r="AX8847" s="120"/>
      <c r="AY8847" s="121"/>
      <c r="AZ8847" s="138"/>
    </row>
    <row r="8848" spans="1:52" ht="17.100000000000001" customHeight="1" thickTop="1">
      <c r="A8848" s="109" t="s">
        <v>25264</v>
      </c>
      <c r="B8848" s="28">
        <v>46151</v>
      </c>
      <c r="C8848" s="25">
        <v>310</v>
      </c>
      <c r="D8848" s="13" t="s">
        <v>1688</v>
      </c>
      <c r="E8848" s="111"/>
      <c r="F8848" s="113" t="s">
        <v>5217</v>
      </c>
      <c r="G8848" s="114"/>
      <c r="H8848" s="115"/>
      <c r="I8848" s="24"/>
      <c r="J8848" s="116">
        <v>4</v>
      </c>
      <c r="K8848" s="118">
        <v>2553000</v>
      </c>
      <c r="L8848" s="119"/>
      <c r="M8848" s="118">
        <f t="shared" ref="M8848" si="13585">K8848*0.1</f>
        <v>255300</v>
      </c>
      <c r="N8848" s="119"/>
      <c r="O8848" s="118">
        <v>0</v>
      </c>
      <c r="P8848" s="119"/>
      <c r="Q8848" s="118">
        <v>12250</v>
      </c>
      <c r="R8848" s="119"/>
      <c r="S8848" s="118">
        <v>13200</v>
      </c>
      <c r="T8848" s="119"/>
      <c r="U8848" s="118">
        <f t="shared" ref="U8848" si="13586">SUM(K8848:T8849)</f>
        <v>2833750</v>
      </c>
      <c r="V8848" s="122"/>
      <c r="W8848" s="124"/>
      <c r="X8848" s="126" t="s">
        <v>25573</v>
      </c>
      <c r="Y8848" s="127"/>
      <c r="Z8848" s="127"/>
      <c r="AA8848" s="127"/>
      <c r="AB8848" s="128"/>
      <c r="AC8848" s="15" t="s">
        <v>20</v>
      </c>
      <c r="AD8848" s="129"/>
      <c r="AE8848" s="130"/>
      <c r="AF8848" s="130"/>
      <c r="AG8848" s="130"/>
      <c r="AH8848" s="130"/>
      <c r="AI8848" s="131"/>
      <c r="AJ8848" s="132"/>
      <c r="AK8848" s="127"/>
      <c r="AL8848" s="128"/>
      <c r="AM8848" s="21"/>
      <c r="AN8848" s="133"/>
      <c r="AO8848" s="134"/>
      <c r="AP8848" s="135"/>
      <c r="AQ8848" s="136"/>
      <c r="AR8848" s="118"/>
      <c r="AS8848" s="119"/>
      <c r="AT8848" s="118">
        <f t="shared" ref="AT8848" si="13587">AR8848*0.1</f>
        <v>0</v>
      </c>
      <c r="AU8848" s="119"/>
      <c r="AV8848" s="118"/>
      <c r="AW8848" s="119"/>
      <c r="AX8848" s="118">
        <f t="shared" ref="AX8848" si="13588">SUM(AR8848:AW8848)</f>
        <v>0</v>
      </c>
      <c r="AY8848" s="119"/>
      <c r="AZ8848" s="137"/>
    </row>
    <row r="8849" spans="1:52" ht="17.100000000000001" customHeight="1" thickBot="1">
      <c r="A8849" s="110"/>
      <c r="B8849" s="27" t="s">
        <v>3574</v>
      </c>
      <c r="C8849" s="27">
        <v>2186</v>
      </c>
      <c r="D8849" s="14" t="s">
        <v>2601</v>
      </c>
      <c r="E8849" s="112"/>
      <c r="F8849" s="139" t="s">
        <v>25248</v>
      </c>
      <c r="G8849" s="140"/>
      <c r="H8849" s="141"/>
      <c r="I8849" s="26">
        <v>52080</v>
      </c>
      <c r="J8849" s="117"/>
      <c r="K8849" s="120"/>
      <c r="L8849" s="121"/>
      <c r="M8849" s="120"/>
      <c r="N8849" s="121"/>
      <c r="O8849" s="120"/>
      <c r="P8849" s="121"/>
      <c r="Q8849" s="120"/>
      <c r="R8849" s="121"/>
      <c r="S8849" s="120"/>
      <c r="T8849" s="121"/>
      <c r="U8849" s="120"/>
      <c r="V8849" s="123"/>
      <c r="W8849" s="125"/>
      <c r="X8849" s="142" t="s">
        <v>5250</v>
      </c>
      <c r="Y8849" s="143"/>
      <c r="Z8849" s="143"/>
      <c r="AA8849" s="143"/>
      <c r="AB8849" s="144"/>
      <c r="AC8849" s="16" t="s">
        <v>21</v>
      </c>
      <c r="AD8849" s="17" t="s">
        <v>2413</v>
      </c>
      <c r="AE8849" s="145" t="s">
        <v>12126</v>
      </c>
      <c r="AF8849" s="146"/>
      <c r="AG8849" s="146"/>
      <c r="AH8849" s="146"/>
      <c r="AI8849" s="147"/>
      <c r="AJ8849" s="148"/>
      <c r="AK8849" s="143"/>
      <c r="AL8849" s="144"/>
      <c r="AM8849" s="22"/>
      <c r="AN8849" s="149"/>
      <c r="AO8849" s="144"/>
      <c r="AP8849" s="148"/>
      <c r="AQ8849" s="144"/>
      <c r="AR8849" s="120"/>
      <c r="AS8849" s="121"/>
      <c r="AT8849" s="120"/>
      <c r="AU8849" s="121"/>
      <c r="AV8849" s="120"/>
      <c r="AW8849" s="121"/>
      <c r="AX8849" s="120"/>
      <c r="AY8849" s="121"/>
      <c r="AZ8849" s="138"/>
    </row>
    <row r="8850" spans="1:52" ht="17.100000000000001" customHeight="1" thickTop="1">
      <c r="A8850" s="109" t="s">
        <v>25265</v>
      </c>
      <c r="B8850" s="28">
        <v>46151</v>
      </c>
      <c r="C8850" s="25">
        <v>310</v>
      </c>
      <c r="D8850" s="13" t="s">
        <v>2970</v>
      </c>
      <c r="E8850" s="111"/>
      <c r="F8850" s="113" t="s">
        <v>24244</v>
      </c>
      <c r="G8850" s="114"/>
      <c r="H8850" s="115"/>
      <c r="I8850" s="24"/>
      <c r="J8850" s="116">
        <v>4</v>
      </c>
      <c r="K8850" s="118">
        <v>1232000</v>
      </c>
      <c r="L8850" s="119"/>
      <c r="M8850" s="118">
        <f t="shared" ref="M8850" si="13589">K8850*0.1</f>
        <v>123200</v>
      </c>
      <c r="N8850" s="119"/>
      <c r="O8850" s="118">
        <v>0</v>
      </c>
      <c r="P8850" s="119"/>
      <c r="Q8850" s="118">
        <v>8740</v>
      </c>
      <c r="R8850" s="119"/>
      <c r="S8850" s="118">
        <v>15950</v>
      </c>
      <c r="T8850" s="119"/>
      <c r="U8850" s="118">
        <f t="shared" ref="U8850" si="13590">SUM(K8850:T8851)</f>
        <v>1379890</v>
      </c>
      <c r="V8850" s="122"/>
      <c r="W8850" s="124"/>
      <c r="X8850" s="126" t="s">
        <v>25571</v>
      </c>
      <c r="Y8850" s="127"/>
      <c r="Z8850" s="127"/>
      <c r="AA8850" s="127"/>
      <c r="AB8850" s="128"/>
      <c r="AC8850" s="15" t="s">
        <v>20</v>
      </c>
      <c r="AD8850" s="129"/>
      <c r="AE8850" s="130"/>
      <c r="AF8850" s="130"/>
      <c r="AG8850" s="130"/>
      <c r="AH8850" s="130"/>
      <c r="AI8850" s="131"/>
      <c r="AJ8850" s="132"/>
      <c r="AK8850" s="127"/>
      <c r="AL8850" s="128"/>
      <c r="AM8850" s="21"/>
      <c r="AN8850" s="133"/>
      <c r="AO8850" s="134"/>
      <c r="AP8850" s="135"/>
      <c r="AQ8850" s="136"/>
      <c r="AR8850" s="118"/>
      <c r="AS8850" s="119"/>
      <c r="AT8850" s="118">
        <f t="shared" ref="AT8850" si="13591">AR8850*0.1</f>
        <v>0</v>
      </c>
      <c r="AU8850" s="119"/>
      <c r="AV8850" s="118"/>
      <c r="AW8850" s="119"/>
      <c r="AX8850" s="118">
        <f t="shared" ref="AX8850" si="13592">SUM(AR8850:AW8850)</f>
        <v>0</v>
      </c>
      <c r="AY8850" s="119"/>
      <c r="AZ8850" s="137"/>
    </row>
    <row r="8851" spans="1:52" ht="17.100000000000001" customHeight="1" thickBot="1">
      <c r="A8851" s="110"/>
      <c r="B8851" s="27" t="s">
        <v>3574</v>
      </c>
      <c r="C8851" s="27">
        <v>3026</v>
      </c>
      <c r="D8851" s="14" t="s">
        <v>2601</v>
      </c>
      <c r="E8851" s="112"/>
      <c r="F8851" s="139" t="s">
        <v>25234</v>
      </c>
      <c r="G8851" s="140"/>
      <c r="H8851" s="141"/>
      <c r="I8851" s="26">
        <v>43862</v>
      </c>
      <c r="J8851" s="117"/>
      <c r="K8851" s="120"/>
      <c r="L8851" s="121"/>
      <c r="M8851" s="120"/>
      <c r="N8851" s="121"/>
      <c r="O8851" s="120"/>
      <c r="P8851" s="121"/>
      <c r="Q8851" s="120"/>
      <c r="R8851" s="121"/>
      <c r="S8851" s="120"/>
      <c r="T8851" s="121"/>
      <c r="U8851" s="120"/>
      <c r="V8851" s="123"/>
      <c r="W8851" s="125"/>
      <c r="X8851" s="142" t="s">
        <v>2133</v>
      </c>
      <c r="Y8851" s="143"/>
      <c r="Z8851" s="143"/>
      <c r="AA8851" s="143"/>
      <c r="AB8851" s="144"/>
      <c r="AC8851" s="16" t="s">
        <v>21</v>
      </c>
      <c r="AD8851" s="17" t="s">
        <v>2413</v>
      </c>
      <c r="AE8851" s="145" t="s">
        <v>25615</v>
      </c>
      <c r="AF8851" s="146"/>
      <c r="AG8851" s="146"/>
      <c r="AH8851" s="146"/>
      <c r="AI8851" s="147"/>
      <c r="AJ8851" s="148"/>
      <c r="AK8851" s="143"/>
      <c r="AL8851" s="144"/>
      <c r="AM8851" s="22"/>
      <c r="AN8851" s="149"/>
      <c r="AO8851" s="144"/>
      <c r="AP8851" s="148"/>
      <c r="AQ8851" s="144"/>
      <c r="AR8851" s="120"/>
      <c r="AS8851" s="121"/>
      <c r="AT8851" s="120"/>
      <c r="AU8851" s="121"/>
      <c r="AV8851" s="120"/>
      <c r="AW8851" s="121"/>
      <c r="AX8851" s="120"/>
      <c r="AY8851" s="121"/>
      <c r="AZ8851" s="138"/>
    </row>
    <row r="8852" spans="1:52" ht="17.100000000000001" customHeight="1" thickTop="1">
      <c r="A8852" s="109" t="s">
        <v>25266</v>
      </c>
      <c r="B8852" s="28">
        <v>46151</v>
      </c>
      <c r="C8852" s="25">
        <v>310</v>
      </c>
      <c r="D8852" s="13" t="s">
        <v>1986</v>
      </c>
      <c r="E8852" s="111"/>
      <c r="F8852" s="113" t="s">
        <v>9856</v>
      </c>
      <c r="G8852" s="114"/>
      <c r="H8852" s="115"/>
      <c r="I8852" s="24" t="s">
        <v>2112</v>
      </c>
      <c r="J8852" s="116">
        <v>4</v>
      </c>
      <c r="K8852" s="118">
        <v>638000</v>
      </c>
      <c r="L8852" s="119"/>
      <c r="M8852" s="118">
        <f t="shared" ref="M8852" si="13593">K8852*0.1</f>
        <v>63800</v>
      </c>
      <c r="N8852" s="119"/>
      <c r="O8852" s="118">
        <v>0</v>
      </c>
      <c r="P8852" s="119"/>
      <c r="Q8852" s="118">
        <v>7510</v>
      </c>
      <c r="R8852" s="119"/>
      <c r="S8852" s="118">
        <v>12100</v>
      </c>
      <c r="T8852" s="119"/>
      <c r="U8852" s="118">
        <f t="shared" ref="U8852" si="13594">SUM(K8852:T8853)</f>
        <v>721410</v>
      </c>
      <c r="V8852" s="122"/>
      <c r="W8852" s="124"/>
      <c r="X8852" s="126" t="s">
        <v>25250</v>
      </c>
      <c r="Y8852" s="127"/>
      <c r="Z8852" s="127"/>
      <c r="AA8852" s="127"/>
      <c r="AB8852" s="128"/>
      <c r="AC8852" s="15" t="s">
        <v>20</v>
      </c>
      <c r="AD8852" s="129"/>
      <c r="AE8852" s="130"/>
      <c r="AF8852" s="130"/>
      <c r="AG8852" s="130"/>
      <c r="AH8852" s="130"/>
      <c r="AI8852" s="131"/>
      <c r="AJ8852" s="132"/>
      <c r="AK8852" s="127"/>
      <c r="AL8852" s="128"/>
      <c r="AM8852" s="21"/>
      <c r="AN8852" s="133"/>
      <c r="AO8852" s="134"/>
      <c r="AP8852" s="135"/>
      <c r="AQ8852" s="136"/>
      <c r="AR8852" s="118"/>
      <c r="AS8852" s="119"/>
      <c r="AT8852" s="118">
        <f t="shared" ref="AT8852" si="13595">AR8852*0.1</f>
        <v>0</v>
      </c>
      <c r="AU8852" s="119"/>
      <c r="AV8852" s="118"/>
      <c r="AW8852" s="119"/>
      <c r="AX8852" s="118">
        <f t="shared" ref="AX8852" si="13596">SUM(AR8852:AW8852)</f>
        <v>0</v>
      </c>
      <c r="AY8852" s="119"/>
      <c r="AZ8852" s="137"/>
    </row>
    <row r="8853" spans="1:52" ht="17.100000000000001" customHeight="1" thickBot="1">
      <c r="A8853" s="110"/>
      <c r="B8853" s="27" t="s">
        <v>3574</v>
      </c>
      <c r="C8853" s="27">
        <v>3057</v>
      </c>
      <c r="D8853" s="14" t="s">
        <v>1720</v>
      </c>
      <c r="E8853" s="112"/>
      <c r="F8853" s="139" t="s">
        <v>25249</v>
      </c>
      <c r="G8853" s="140"/>
      <c r="H8853" s="141"/>
      <c r="I8853" s="26">
        <v>53545</v>
      </c>
      <c r="J8853" s="117"/>
      <c r="K8853" s="120"/>
      <c r="L8853" s="121"/>
      <c r="M8853" s="120"/>
      <c r="N8853" s="121"/>
      <c r="O8853" s="120"/>
      <c r="P8853" s="121"/>
      <c r="Q8853" s="120"/>
      <c r="R8853" s="121"/>
      <c r="S8853" s="120"/>
      <c r="T8853" s="121"/>
      <c r="U8853" s="120"/>
      <c r="V8853" s="123"/>
      <c r="W8853" s="125"/>
      <c r="X8853" s="142" t="s">
        <v>7450</v>
      </c>
      <c r="Y8853" s="143"/>
      <c r="Z8853" s="143"/>
      <c r="AA8853" s="143"/>
      <c r="AB8853" s="144"/>
      <c r="AC8853" s="16" t="s">
        <v>21</v>
      </c>
      <c r="AD8853" s="17" t="s">
        <v>3742</v>
      </c>
      <c r="AE8853" s="145"/>
      <c r="AF8853" s="146"/>
      <c r="AG8853" s="146"/>
      <c r="AH8853" s="146"/>
      <c r="AI8853" s="147"/>
      <c r="AJ8853" s="148"/>
      <c r="AK8853" s="143"/>
      <c r="AL8853" s="144"/>
      <c r="AM8853" s="22"/>
      <c r="AN8853" s="149"/>
      <c r="AO8853" s="144"/>
      <c r="AP8853" s="148"/>
      <c r="AQ8853" s="144"/>
      <c r="AR8853" s="120"/>
      <c r="AS8853" s="121"/>
      <c r="AT8853" s="120"/>
      <c r="AU8853" s="121"/>
      <c r="AV8853" s="120"/>
      <c r="AW8853" s="121"/>
      <c r="AX8853" s="120"/>
      <c r="AY8853" s="121"/>
      <c r="AZ8853" s="138"/>
    </row>
    <row r="8854" spans="1:52" ht="17.100000000000001" customHeight="1" thickTop="1">
      <c r="A8854" s="109" t="s">
        <v>25267</v>
      </c>
      <c r="B8854" s="28">
        <v>46151</v>
      </c>
      <c r="C8854" s="25">
        <v>310</v>
      </c>
      <c r="D8854" s="13" t="s">
        <v>2359</v>
      </c>
      <c r="E8854" s="111"/>
      <c r="F8854" s="113" t="s">
        <v>25251</v>
      </c>
      <c r="G8854" s="114"/>
      <c r="H8854" s="115"/>
      <c r="I8854" s="24" t="s">
        <v>1559</v>
      </c>
      <c r="J8854" s="116">
        <v>4</v>
      </c>
      <c r="K8854" s="118">
        <v>644000</v>
      </c>
      <c r="L8854" s="119"/>
      <c r="M8854" s="118">
        <f t="shared" ref="M8854" si="13597">K8854*0.1</f>
        <v>64400</v>
      </c>
      <c r="N8854" s="119"/>
      <c r="O8854" s="118">
        <v>0</v>
      </c>
      <c r="P8854" s="119"/>
      <c r="Q8854" s="118">
        <v>7510</v>
      </c>
      <c r="R8854" s="119"/>
      <c r="S8854" s="118">
        <v>12100</v>
      </c>
      <c r="T8854" s="119"/>
      <c r="U8854" s="118">
        <f t="shared" ref="U8854" si="13598">SUM(K8854:T8855)</f>
        <v>728010</v>
      </c>
      <c r="V8854" s="122"/>
      <c r="W8854" s="124"/>
      <c r="X8854" s="126" t="s">
        <v>25253</v>
      </c>
      <c r="Y8854" s="127"/>
      <c r="Z8854" s="127"/>
      <c r="AA8854" s="127"/>
      <c r="AB8854" s="128"/>
      <c r="AC8854" s="15" t="s">
        <v>20</v>
      </c>
      <c r="AD8854" s="129"/>
      <c r="AE8854" s="130"/>
      <c r="AF8854" s="130"/>
      <c r="AG8854" s="130"/>
      <c r="AH8854" s="130"/>
      <c r="AI8854" s="131"/>
      <c r="AJ8854" s="132"/>
      <c r="AK8854" s="127"/>
      <c r="AL8854" s="128"/>
      <c r="AM8854" s="21"/>
      <c r="AN8854" s="133"/>
      <c r="AO8854" s="134"/>
      <c r="AP8854" s="135"/>
      <c r="AQ8854" s="136"/>
      <c r="AR8854" s="118"/>
      <c r="AS8854" s="119"/>
      <c r="AT8854" s="118">
        <f t="shared" ref="AT8854" si="13599">AR8854*0.1</f>
        <v>0</v>
      </c>
      <c r="AU8854" s="119"/>
      <c r="AV8854" s="118"/>
      <c r="AW8854" s="119"/>
      <c r="AX8854" s="118">
        <f t="shared" ref="AX8854" si="13600">SUM(AR8854:AW8854)</f>
        <v>0</v>
      </c>
      <c r="AY8854" s="119"/>
      <c r="AZ8854" s="137"/>
    </row>
    <row r="8855" spans="1:52" ht="17.100000000000001" customHeight="1" thickBot="1">
      <c r="A8855" s="110"/>
      <c r="B8855" s="27" t="s">
        <v>3574</v>
      </c>
      <c r="C8855" s="27">
        <v>3109</v>
      </c>
      <c r="D8855" s="14" t="s">
        <v>1720</v>
      </c>
      <c r="E8855" s="112"/>
      <c r="F8855" s="139" t="s">
        <v>25252</v>
      </c>
      <c r="G8855" s="140"/>
      <c r="H8855" s="141"/>
      <c r="I8855" s="26">
        <v>55692</v>
      </c>
      <c r="J8855" s="117"/>
      <c r="K8855" s="120"/>
      <c r="L8855" s="121"/>
      <c r="M8855" s="120"/>
      <c r="N8855" s="121"/>
      <c r="O8855" s="120"/>
      <c r="P8855" s="121"/>
      <c r="Q8855" s="120"/>
      <c r="R8855" s="121"/>
      <c r="S8855" s="120"/>
      <c r="T8855" s="121"/>
      <c r="U8855" s="120"/>
      <c r="V8855" s="123"/>
      <c r="W8855" s="125"/>
      <c r="X8855" s="142" t="s">
        <v>7450</v>
      </c>
      <c r="Y8855" s="143"/>
      <c r="Z8855" s="143"/>
      <c r="AA8855" s="143"/>
      <c r="AB8855" s="144"/>
      <c r="AC8855" s="16" t="s">
        <v>21</v>
      </c>
      <c r="AD8855" s="17" t="s">
        <v>2730</v>
      </c>
      <c r="AE8855" s="145"/>
      <c r="AF8855" s="146"/>
      <c r="AG8855" s="146"/>
      <c r="AH8855" s="146"/>
      <c r="AI8855" s="147"/>
      <c r="AJ8855" s="148"/>
      <c r="AK8855" s="143"/>
      <c r="AL8855" s="144"/>
      <c r="AM8855" s="22"/>
      <c r="AN8855" s="149"/>
      <c r="AO8855" s="144"/>
      <c r="AP8855" s="148"/>
      <c r="AQ8855" s="144"/>
      <c r="AR8855" s="120"/>
      <c r="AS8855" s="121"/>
      <c r="AT8855" s="120"/>
      <c r="AU8855" s="121"/>
      <c r="AV8855" s="120"/>
      <c r="AW8855" s="121"/>
      <c r="AX8855" s="120"/>
      <c r="AY8855" s="121"/>
      <c r="AZ8855" s="138"/>
    </row>
    <row r="8856" spans="1:52" ht="17.100000000000001" customHeight="1" thickTop="1">
      <c r="A8856" s="109" t="s">
        <v>25268</v>
      </c>
      <c r="B8856" s="28">
        <v>46151</v>
      </c>
      <c r="C8856" s="25">
        <v>310</v>
      </c>
      <c r="D8856" s="13" t="s">
        <v>2500</v>
      </c>
      <c r="E8856" s="111"/>
      <c r="F8856" s="113" t="s">
        <v>7177</v>
      </c>
      <c r="G8856" s="114"/>
      <c r="H8856" s="115"/>
      <c r="I8856" s="24"/>
      <c r="J8856" s="116">
        <v>4</v>
      </c>
      <c r="K8856" s="118">
        <v>653000</v>
      </c>
      <c r="L8856" s="119"/>
      <c r="M8856" s="118">
        <f t="shared" ref="M8856" si="13601">K8856*0.1</f>
        <v>65300</v>
      </c>
      <c r="N8856" s="119"/>
      <c r="O8856" s="118">
        <v>0</v>
      </c>
      <c r="P8856" s="119"/>
      <c r="Q8856" s="118">
        <v>12450</v>
      </c>
      <c r="R8856" s="119"/>
      <c r="S8856" s="118">
        <v>15950</v>
      </c>
      <c r="T8856" s="119"/>
      <c r="U8856" s="118">
        <f t="shared" ref="U8856" si="13602">SUM(K8856:T8857)</f>
        <v>746700</v>
      </c>
      <c r="V8856" s="122"/>
      <c r="W8856" s="124"/>
      <c r="X8856" s="126" t="s">
        <v>25556</v>
      </c>
      <c r="Y8856" s="127"/>
      <c r="Z8856" s="127"/>
      <c r="AA8856" s="127"/>
      <c r="AB8856" s="128"/>
      <c r="AC8856" s="15" t="s">
        <v>20</v>
      </c>
      <c r="AD8856" s="129"/>
      <c r="AE8856" s="130"/>
      <c r="AF8856" s="130"/>
      <c r="AG8856" s="130"/>
      <c r="AH8856" s="130"/>
      <c r="AI8856" s="131"/>
      <c r="AJ8856" s="132"/>
      <c r="AK8856" s="127"/>
      <c r="AL8856" s="128"/>
      <c r="AM8856" s="21"/>
      <c r="AN8856" s="133"/>
      <c r="AO8856" s="134"/>
      <c r="AP8856" s="135"/>
      <c r="AQ8856" s="136"/>
      <c r="AR8856" s="118"/>
      <c r="AS8856" s="119"/>
      <c r="AT8856" s="118">
        <f t="shared" ref="AT8856" si="13603">AR8856*0.1</f>
        <v>0</v>
      </c>
      <c r="AU8856" s="119"/>
      <c r="AV8856" s="118"/>
      <c r="AW8856" s="119"/>
      <c r="AX8856" s="118">
        <f t="shared" ref="AX8856" si="13604">SUM(AR8856:AW8856)</f>
        <v>0</v>
      </c>
      <c r="AY8856" s="119"/>
      <c r="AZ8856" s="137"/>
    </row>
    <row r="8857" spans="1:52" ht="17.100000000000001" customHeight="1" thickBot="1">
      <c r="A8857" s="110"/>
      <c r="B8857" s="27" t="s">
        <v>3574</v>
      </c>
      <c r="C8857" s="27">
        <v>5030</v>
      </c>
      <c r="D8857" s="14" t="s">
        <v>1592</v>
      </c>
      <c r="E8857" s="112"/>
      <c r="F8857" s="139" t="s">
        <v>25254</v>
      </c>
      <c r="G8857" s="140"/>
      <c r="H8857" s="141"/>
      <c r="I8857" s="26">
        <v>73286</v>
      </c>
      <c r="J8857" s="117"/>
      <c r="K8857" s="120"/>
      <c r="L8857" s="121"/>
      <c r="M8857" s="120"/>
      <c r="N8857" s="121"/>
      <c r="O8857" s="120"/>
      <c r="P8857" s="121"/>
      <c r="Q8857" s="120"/>
      <c r="R8857" s="121"/>
      <c r="S8857" s="120"/>
      <c r="T8857" s="121"/>
      <c r="U8857" s="120"/>
      <c r="V8857" s="123"/>
      <c r="W8857" s="125"/>
      <c r="X8857" s="142" t="s">
        <v>20537</v>
      </c>
      <c r="Y8857" s="143"/>
      <c r="Z8857" s="143"/>
      <c r="AA8857" s="143"/>
      <c r="AB8857" s="144"/>
      <c r="AC8857" s="16" t="s">
        <v>21</v>
      </c>
      <c r="AD8857" s="17" t="s">
        <v>2413</v>
      </c>
      <c r="AE8857" s="145" t="s">
        <v>22911</v>
      </c>
      <c r="AF8857" s="146"/>
      <c r="AG8857" s="146"/>
      <c r="AH8857" s="146"/>
      <c r="AI8857" s="147"/>
      <c r="AJ8857" s="148"/>
      <c r="AK8857" s="143"/>
      <c r="AL8857" s="144"/>
      <c r="AM8857" s="22"/>
      <c r="AN8857" s="149"/>
      <c r="AO8857" s="144"/>
      <c r="AP8857" s="148"/>
      <c r="AQ8857" s="144"/>
      <c r="AR8857" s="120"/>
      <c r="AS8857" s="121"/>
      <c r="AT8857" s="120"/>
      <c r="AU8857" s="121"/>
      <c r="AV8857" s="120"/>
      <c r="AW8857" s="121"/>
      <c r="AX8857" s="120"/>
      <c r="AY8857" s="121"/>
      <c r="AZ8857" s="138"/>
    </row>
    <row r="8858" spans="1:52" ht="17.100000000000001" customHeight="1" thickTop="1">
      <c r="A8858" s="109" t="s">
        <v>25367</v>
      </c>
      <c r="B8858" s="28">
        <v>46153</v>
      </c>
      <c r="C8858" s="25">
        <v>2092</v>
      </c>
      <c r="D8858" s="13" t="s">
        <v>25303</v>
      </c>
      <c r="E8858" s="111"/>
      <c r="F8858" s="113" t="s">
        <v>25305</v>
      </c>
      <c r="G8858" s="114"/>
      <c r="H8858" s="115"/>
      <c r="I8858" s="24" t="s">
        <v>25307</v>
      </c>
      <c r="J8858" s="116">
        <v>4</v>
      </c>
      <c r="K8858" s="118">
        <v>604000</v>
      </c>
      <c r="L8858" s="119"/>
      <c r="M8858" s="118">
        <f t="shared" ref="M8858" si="13605">K8858*0.1</f>
        <v>60400</v>
      </c>
      <c r="N8858" s="119"/>
      <c r="O8858" s="118">
        <v>0</v>
      </c>
      <c r="P8858" s="119"/>
      <c r="Q8858" s="118">
        <v>7140</v>
      </c>
      <c r="R8858" s="119"/>
      <c r="S8858" s="118">
        <v>8800</v>
      </c>
      <c r="T8858" s="119"/>
      <c r="U8858" s="118">
        <f t="shared" ref="U8858" si="13606">SUM(K8858:T8859)</f>
        <v>680340</v>
      </c>
      <c r="V8858" s="122"/>
      <c r="W8858" s="124"/>
      <c r="X8858" s="126" t="s">
        <v>25308</v>
      </c>
      <c r="Y8858" s="127"/>
      <c r="Z8858" s="127"/>
      <c r="AA8858" s="127"/>
      <c r="AB8858" s="128"/>
      <c r="AC8858" s="15" t="s">
        <v>20</v>
      </c>
      <c r="AD8858" s="129" t="s">
        <v>25309</v>
      </c>
      <c r="AE8858" s="130"/>
      <c r="AF8858" s="130"/>
      <c r="AG8858" s="130"/>
      <c r="AH8858" s="130"/>
      <c r="AI8858" s="131"/>
      <c r="AJ8858" s="132"/>
      <c r="AK8858" s="127"/>
      <c r="AL8858" s="128"/>
      <c r="AM8858" s="21"/>
      <c r="AN8858" s="133">
        <v>46158</v>
      </c>
      <c r="AO8858" s="134"/>
      <c r="AP8858" s="135">
        <v>1300</v>
      </c>
      <c r="AQ8858" s="136"/>
      <c r="AR8858" s="118">
        <v>705000</v>
      </c>
      <c r="AS8858" s="119"/>
      <c r="AT8858" s="118">
        <f t="shared" ref="AT8858" si="13607">AR8858*0.1</f>
        <v>70500</v>
      </c>
      <c r="AU8858" s="119"/>
      <c r="AV8858" s="118">
        <v>7140</v>
      </c>
      <c r="AW8858" s="119"/>
      <c r="AX8858" s="118">
        <f t="shared" ref="AX8858" si="13608">SUM(AR8858:AW8858)</f>
        <v>782640</v>
      </c>
      <c r="AY8858" s="119"/>
      <c r="AZ8858" s="137">
        <v>46161</v>
      </c>
    </row>
    <row r="8859" spans="1:52" ht="17.100000000000001" customHeight="1" thickBot="1">
      <c r="A8859" s="110"/>
      <c r="B8859" s="27" t="s">
        <v>25302</v>
      </c>
      <c r="C8859" s="27">
        <v>11047</v>
      </c>
      <c r="D8859" s="14" t="s">
        <v>25304</v>
      </c>
      <c r="E8859" s="112"/>
      <c r="F8859" s="139" t="s">
        <v>25306</v>
      </c>
      <c r="G8859" s="140"/>
      <c r="H8859" s="141"/>
      <c r="I8859" s="26">
        <v>25002</v>
      </c>
      <c r="J8859" s="117"/>
      <c r="K8859" s="120"/>
      <c r="L8859" s="121"/>
      <c r="M8859" s="120"/>
      <c r="N8859" s="121"/>
      <c r="O8859" s="120"/>
      <c r="P8859" s="121"/>
      <c r="Q8859" s="120"/>
      <c r="R8859" s="121"/>
      <c r="S8859" s="120"/>
      <c r="T8859" s="121"/>
      <c r="U8859" s="120"/>
      <c r="V8859" s="123"/>
      <c r="W8859" s="125"/>
      <c r="X8859" s="142" t="s">
        <v>2321</v>
      </c>
      <c r="Y8859" s="143"/>
      <c r="Z8859" s="143"/>
      <c r="AA8859" s="143"/>
      <c r="AB8859" s="144"/>
      <c r="AC8859" s="16" t="s">
        <v>21</v>
      </c>
      <c r="AD8859" s="17" t="s">
        <v>2413</v>
      </c>
      <c r="AE8859" s="145" t="s">
        <v>2385</v>
      </c>
      <c r="AF8859" s="146"/>
      <c r="AG8859" s="146"/>
      <c r="AH8859" s="146"/>
      <c r="AI8859" s="147"/>
      <c r="AJ8859" s="148"/>
      <c r="AK8859" s="143"/>
      <c r="AL8859" s="144"/>
      <c r="AM8859" s="22"/>
      <c r="AN8859" s="149" t="s">
        <v>2511</v>
      </c>
      <c r="AO8859" s="144"/>
      <c r="AP8859" s="148">
        <v>60337</v>
      </c>
      <c r="AQ8859" s="144"/>
      <c r="AR8859" s="120"/>
      <c r="AS8859" s="121"/>
      <c r="AT8859" s="120"/>
      <c r="AU8859" s="121"/>
      <c r="AV8859" s="120"/>
      <c r="AW8859" s="121"/>
      <c r="AX8859" s="120"/>
      <c r="AY8859" s="121"/>
      <c r="AZ8859" s="138"/>
    </row>
    <row r="8860" spans="1:52" ht="17.100000000000001" customHeight="1" thickTop="1">
      <c r="A8860" s="109" t="s">
        <v>25368</v>
      </c>
      <c r="B8860" s="28">
        <v>46153</v>
      </c>
      <c r="C8860" s="25">
        <v>2092</v>
      </c>
      <c r="D8860" s="13" t="s">
        <v>25318</v>
      </c>
      <c r="E8860" s="111"/>
      <c r="F8860" s="113" t="s">
        <v>25320</v>
      </c>
      <c r="G8860" s="114"/>
      <c r="H8860" s="115"/>
      <c r="I8860" s="24"/>
      <c r="J8860" s="116">
        <v>4</v>
      </c>
      <c r="K8860" s="118">
        <v>821000</v>
      </c>
      <c r="L8860" s="119"/>
      <c r="M8860" s="118">
        <f t="shared" ref="M8860" si="13609">K8860*0.1</f>
        <v>82100</v>
      </c>
      <c r="N8860" s="119"/>
      <c r="O8860" s="118">
        <v>0</v>
      </c>
      <c r="P8860" s="119"/>
      <c r="Q8860" s="118">
        <v>15180</v>
      </c>
      <c r="R8860" s="119"/>
      <c r="S8860" s="118">
        <v>11000</v>
      </c>
      <c r="T8860" s="119"/>
      <c r="U8860" s="118">
        <f t="shared" ref="U8860" si="13610">SUM(K8860:T8861)</f>
        <v>929280</v>
      </c>
      <c r="V8860" s="122"/>
      <c r="W8860" s="124"/>
      <c r="X8860" s="126" t="s">
        <v>25583</v>
      </c>
      <c r="Y8860" s="127"/>
      <c r="Z8860" s="127"/>
      <c r="AA8860" s="127"/>
      <c r="AB8860" s="128"/>
      <c r="AC8860" s="15" t="s">
        <v>20</v>
      </c>
      <c r="AD8860" s="129" t="s">
        <v>25322</v>
      </c>
      <c r="AE8860" s="130"/>
      <c r="AF8860" s="130"/>
      <c r="AG8860" s="130"/>
      <c r="AH8860" s="130"/>
      <c r="AI8860" s="131"/>
      <c r="AJ8860" s="132"/>
      <c r="AK8860" s="127"/>
      <c r="AL8860" s="128"/>
      <c r="AM8860" s="21"/>
      <c r="AN8860" s="133"/>
      <c r="AO8860" s="134"/>
      <c r="AP8860" s="135"/>
      <c r="AQ8860" s="136"/>
      <c r="AR8860" s="118"/>
      <c r="AS8860" s="119"/>
      <c r="AT8860" s="118">
        <f t="shared" ref="AT8860" si="13611">AR8860*0.1</f>
        <v>0</v>
      </c>
      <c r="AU8860" s="119"/>
      <c r="AV8860" s="118"/>
      <c r="AW8860" s="119"/>
      <c r="AX8860" s="118">
        <f t="shared" ref="AX8860" si="13612">SUM(AR8860:AW8860)</f>
        <v>0</v>
      </c>
      <c r="AY8860" s="119"/>
      <c r="AZ8860" s="137"/>
    </row>
    <row r="8861" spans="1:52" ht="17.100000000000001" customHeight="1" thickBot="1">
      <c r="A8861" s="110"/>
      <c r="B8861" s="27" t="s">
        <v>25302</v>
      </c>
      <c r="C8861" s="27">
        <v>11064</v>
      </c>
      <c r="D8861" s="14" t="s">
        <v>25319</v>
      </c>
      <c r="E8861" s="112"/>
      <c r="F8861" s="139" t="s">
        <v>25321</v>
      </c>
      <c r="G8861" s="140"/>
      <c r="H8861" s="141"/>
      <c r="I8861" s="26">
        <v>89711</v>
      </c>
      <c r="J8861" s="117"/>
      <c r="K8861" s="120"/>
      <c r="L8861" s="121"/>
      <c r="M8861" s="120"/>
      <c r="N8861" s="121"/>
      <c r="O8861" s="120"/>
      <c r="P8861" s="121"/>
      <c r="Q8861" s="120"/>
      <c r="R8861" s="121"/>
      <c r="S8861" s="120"/>
      <c r="T8861" s="121"/>
      <c r="U8861" s="120"/>
      <c r="V8861" s="123"/>
      <c r="W8861" s="125"/>
      <c r="X8861" s="142" t="s">
        <v>4464</v>
      </c>
      <c r="Y8861" s="143"/>
      <c r="Z8861" s="143"/>
      <c r="AA8861" s="143"/>
      <c r="AB8861" s="144"/>
      <c r="AC8861" s="16" t="s">
        <v>21</v>
      </c>
      <c r="AD8861" s="17" t="s">
        <v>3742</v>
      </c>
      <c r="AE8861" s="145" t="s">
        <v>1742</v>
      </c>
      <c r="AF8861" s="146"/>
      <c r="AG8861" s="146"/>
      <c r="AH8861" s="146"/>
      <c r="AI8861" s="147"/>
      <c r="AJ8861" s="148"/>
      <c r="AK8861" s="143"/>
      <c r="AL8861" s="144"/>
      <c r="AM8861" s="22"/>
      <c r="AN8861" s="149"/>
      <c r="AO8861" s="144"/>
      <c r="AP8861" s="148"/>
      <c r="AQ8861" s="144"/>
      <c r="AR8861" s="120"/>
      <c r="AS8861" s="121"/>
      <c r="AT8861" s="120"/>
      <c r="AU8861" s="121"/>
      <c r="AV8861" s="120"/>
      <c r="AW8861" s="121"/>
      <c r="AX8861" s="120"/>
      <c r="AY8861" s="121"/>
      <c r="AZ8861" s="138"/>
    </row>
    <row r="8862" spans="1:52" ht="17.100000000000001" customHeight="1" thickTop="1">
      <c r="A8862" s="109" t="s">
        <v>25369</v>
      </c>
      <c r="B8862" s="28">
        <v>46153</v>
      </c>
      <c r="C8862" s="25">
        <v>2092</v>
      </c>
      <c r="D8862" s="13" t="s">
        <v>25327</v>
      </c>
      <c r="E8862" s="111"/>
      <c r="F8862" s="113" t="s">
        <v>25329</v>
      </c>
      <c r="G8862" s="114"/>
      <c r="H8862" s="115"/>
      <c r="I8862" s="24"/>
      <c r="J8862" s="116">
        <v>4</v>
      </c>
      <c r="K8862" s="118">
        <v>825000</v>
      </c>
      <c r="L8862" s="119"/>
      <c r="M8862" s="118">
        <f t="shared" ref="M8862" si="13613">K8862*0.1</f>
        <v>82500</v>
      </c>
      <c r="N8862" s="119"/>
      <c r="O8862" s="118">
        <v>0</v>
      </c>
      <c r="P8862" s="119"/>
      <c r="Q8862" s="118">
        <v>6830</v>
      </c>
      <c r="R8862" s="119"/>
      <c r="S8862" s="118">
        <f>19000+1900</f>
        <v>20900</v>
      </c>
      <c r="T8862" s="119"/>
      <c r="U8862" s="118">
        <f t="shared" ref="U8862" si="13614">SUM(K8862:T8863)</f>
        <v>935230</v>
      </c>
      <c r="V8862" s="122"/>
      <c r="W8862" s="124"/>
      <c r="X8862" s="126" t="s">
        <v>25659</v>
      </c>
      <c r="Y8862" s="127"/>
      <c r="Z8862" s="127"/>
      <c r="AA8862" s="127"/>
      <c r="AB8862" s="128"/>
      <c r="AC8862" s="15" t="s">
        <v>20</v>
      </c>
      <c r="AD8862" s="129" t="s">
        <v>25331</v>
      </c>
      <c r="AE8862" s="130"/>
      <c r="AF8862" s="130"/>
      <c r="AG8862" s="130"/>
      <c r="AH8862" s="130"/>
      <c r="AI8862" s="131"/>
      <c r="AJ8862" s="132"/>
      <c r="AK8862" s="127"/>
      <c r="AL8862" s="128"/>
      <c r="AM8862" s="21"/>
      <c r="AN8862" s="133"/>
      <c r="AO8862" s="134"/>
      <c r="AP8862" s="135"/>
      <c r="AQ8862" s="136"/>
      <c r="AR8862" s="118"/>
      <c r="AS8862" s="119"/>
      <c r="AT8862" s="118">
        <f t="shared" ref="AT8862" si="13615">AR8862*0.1</f>
        <v>0</v>
      </c>
      <c r="AU8862" s="119"/>
      <c r="AV8862" s="118"/>
      <c r="AW8862" s="119"/>
      <c r="AX8862" s="118">
        <f t="shared" ref="AX8862" si="13616">SUM(AR8862:AW8862)</f>
        <v>0</v>
      </c>
      <c r="AY8862" s="119"/>
      <c r="AZ8862" s="137"/>
    </row>
    <row r="8863" spans="1:52" ht="17.100000000000001" customHeight="1" thickBot="1">
      <c r="A8863" s="110"/>
      <c r="B8863" s="27" t="s">
        <v>25302</v>
      </c>
      <c r="C8863" s="27">
        <v>25134</v>
      </c>
      <c r="D8863" s="14" t="s">
        <v>25328</v>
      </c>
      <c r="E8863" s="112"/>
      <c r="F8863" s="139" t="s">
        <v>25330</v>
      </c>
      <c r="G8863" s="140"/>
      <c r="H8863" s="141"/>
      <c r="I8863" s="26">
        <v>56923</v>
      </c>
      <c r="J8863" s="117"/>
      <c r="K8863" s="120"/>
      <c r="L8863" s="121"/>
      <c r="M8863" s="120"/>
      <c r="N8863" s="121"/>
      <c r="O8863" s="120"/>
      <c r="P8863" s="121"/>
      <c r="Q8863" s="120"/>
      <c r="R8863" s="121"/>
      <c r="S8863" s="120"/>
      <c r="T8863" s="121"/>
      <c r="U8863" s="120"/>
      <c r="V8863" s="123"/>
      <c r="W8863" s="125"/>
      <c r="X8863" s="142" t="s">
        <v>2482</v>
      </c>
      <c r="Y8863" s="143"/>
      <c r="Z8863" s="143"/>
      <c r="AA8863" s="143"/>
      <c r="AB8863" s="144"/>
      <c r="AC8863" s="16" t="s">
        <v>21</v>
      </c>
      <c r="AD8863" s="17" t="s">
        <v>2730</v>
      </c>
      <c r="AE8863" s="145"/>
      <c r="AF8863" s="146"/>
      <c r="AG8863" s="146"/>
      <c r="AH8863" s="146"/>
      <c r="AI8863" s="147"/>
      <c r="AJ8863" s="148"/>
      <c r="AK8863" s="143"/>
      <c r="AL8863" s="144"/>
      <c r="AM8863" s="22"/>
      <c r="AN8863" s="149"/>
      <c r="AO8863" s="144"/>
      <c r="AP8863" s="148"/>
      <c r="AQ8863" s="144"/>
      <c r="AR8863" s="120"/>
      <c r="AS8863" s="121"/>
      <c r="AT8863" s="120"/>
      <c r="AU8863" s="121"/>
      <c r="AV8863" s="120"/>
      <c r="AW8863" s="121"/>
      <c r="AX8863" s="120"/>
      <c r="AY8863" s="121"/>
      <c r="AZ8863" s="138"/>
    </row>
    <row r="8864" spans="1:52" ht="17.100000000000001" customHeight="1" thickTop="1">
      <c r="A8864" s="109" t="s">
        <v>25370</v>
      </c>
      <c r="B8864" s="28">
        <v>46153</v>
      </c>
      <c r="C8864" s="25">
        <v>2092</v>
      </c>
      <c r="D8864" s="13" t="s">
        <v>25310</v>
      </c>
      <c r="E8864" s="111"/>
      <c r="F8864" s="113" t="s">
        <v>25312</v>
      </c>
      <c r="G8864" s="114"/>
      <c r="H8864" s="115"/>
      <c r="I8864" s="24"/>
      <c r="J8864" s="116">
        <v>4.5</v>
      </c>
      <c r="K8864" s="118">
        <v>1076000</v>
      </c>
      <c r="L8864" s="119"/>
      <c r="M8864" s="118">
        <f t="shared" ref="M8864" si="13617">K8864*0.1</f>
        <v>107600</v>
      </c>
      <c r="N8864" s="119"/>
      <c r="O8864" s="118">
        <v>0</v>
      </c>
      <c r="P8864" s="119"/>
      <c r="Q8864" s="118">
        <v>14760</v>
      </c>
      <c r="R8864" s="119"/>
      <c r="S8864" s="118">
        <v>11000</v>
      </c>
      <c r="T8864" s="119"/>
      <c r="U8864" s="118">
        <f t="shared" ref="U8864" si="13618">SUM(K8864:T8865)</f>
        <v>1209360</v>
      </c>
      <c r="V8864" s="122"/>
      <c r="W8864" s="124"/>
      <c r="X8864" s="126" t="s">
        <v>25725</v>
      </c>
      <c r="Y8864" s="127"/>
      <c r="Z8864" s="127"/>
      <c r="AA8864" s="127"/>
      <c r="AB8864" s="128"/>
      <c r="AC8864" s="15" t="s">
        <v>20</v>
      </c>
      <c r="AD8864" s="129" t="s">
        <v>25314</v>
      </c>
      <c r="AE8864" s="130"/>
      <c r="AF8864" s="130"/>
      <c r="AG8864" s="130"/>
      <c r="AH8864" s="130"/>
      <c r="AI8864" s="131"/>
      <c r="AJ8864" s="132"/>
      <c r="AK8864" s="127"/>
      <c r="AL8864" s="128"/>
      <c r="AM8864" s="21"/>
      <c r="AN8864" s="133">
        <v>46158</v>
      </c>
      <c r="AO8864" s="134"/>
      <c r="AP8864" s="135">
        <v>1300</v>
      </c>
      <c r="AQ8864" s="136"/>
      <c r="AR8864" s="118">
        <v>1255000</v>
      </c>
      <c r="AS8864" s="119"/>
      <c r="AT8864" s="118">
        <f t="shared" ref="AT8864" si="13619">AR8864*0.1</f>
        <v>125500</v>
      </c>
      <c r="AU8864" s="119"/>
      <c r="AV8864" s="118">
        <v>14760</v>
      </c>
      <c r="AW8864" s="119"/>
      <c r="AX8864" s="118">
        <f t="shared" ref="AX8864" si="13620">SUM(AR8864:AW8864)</f>
        <v>1395260</v>
      </c>
      <c r="AY8864" s="119"/>
      <c r="AZ8864" s="137">
        <v>46161</v>
      </c>
    </row>
    <row r="8865" spans="1:52" ht="17.100000000000001" customHeight="1" thickBot="1">
      <c r="A8865" s="110"/>
      <c r="B8865" s="27" t="s">
        <v>25302</v>
      </c>
      <c r="C8865" s="27">
        <v>33503</v>
      </c>
      <c r="D8865" s="14" t="s">
        <v>25311</v>
      </c>
      <c r="E8865" s="112"/>
      <c r="F8865" s="139" t="s">
        <v>25313</v>
      </c>
      <c r="G8865" s="140"/>
      <c r="H8865" s="141"/>
      <c r="I8865" s="26">
        <v>54065</v>
      </c>
      <c r="J8865" s="117"/>
      <c r="K8865" s="120"/>
      <c r="L8865" s="121"/>
      <c r="M8865" s="120"/>
      <c r="N8865" s="121"/>
      <c r="O8865" s="120"/>
      <c r="P8865" s="121"/>
      <c r="Q8865" s="120"/>
      <c r="R8865" s="121"/>
      <c r="S8865" s="120"/>
      <c r="T8865" s="121"/>
      <c r="U8865" s="120"/>
      <c r="V8865" s="123"/>
      <c r="W8865" s="125"/>
      <c r="X8865" s="142" t="s">
        <v>4820</v>
      </c>
      <c r="Y8865" s="143"/>
      <c r="Z8865" s="143"/>
      <c r="AA8865" s="143"/>
      <c r="AB8865" s="144"/>
      <c r="AC8865" s="16" t="s">
        <v>21</v>
      </c>
      <c r="AD8865" s="17" t="s">
        <v>25722</v>
      </c>
      <c r="AE8865" s="145" t="s">
        <v>5275</v>
      </c>
      <c r="AF8865" s="146"/>
      <c r="AG8865" s="146"/>
      <c r="AH8865" s="146"/>
      <c r="AI8865" s="147"/>
      <c r="AJ8865" s="148"/>
      <c r="AK8865" s="143"/>
      <c r="AL8865" s="144"/>
      <c r="AM8865" s="22"/>
      <c r="AN8865" s="149" t="s">
        <v>2511</v>
      </c>
      <c r="AO8865" s="144"/>
      <c r="AP8865" s="148">
        <v>80357</v>
      </c>
      <c r="AQ8865" s="144"/>
      <c r="AR8865" s="120"/>
      <c r="AS8865" s="121"/>
      <c r="AT8865" s="120"/>
      <c r="AU8865" s="121"/>
      <c r="AV8865" s="120"/>
      <c r="AW8865" s="121"/>
      <c r="AX8865" s="120"/>
      <c r="AY8865" s="121"/>
      <c r="AZ8865" s="138"/>
    </row>
    <row r="8866" spans="1:52" ht="17.100000000000001" customHeight="1" thickTop="1">
      <c r="A8866" s="109" t="s">
        <v>25371</v>
      </c>
      <c r="B8866" s="28">
        <v>46153</v>
      </c>
      <c r="C8866" s="25">
        <v>2092</v>
      </c>
      <c r="D8866" s="13" t="s">
        <v>25332</v>
      </c>
      <c r="E8866" s="111"/>
      <c r="F8866" s="113" t="s">
        <v>25334</v>
      </c>
      <c r="G8866" s="114"/>
      <c r="H8866" s="115"/>
      <c r="I8866" s="24"/>
      <c r="J8866" s="116">
        <v>4.5</v>
      </c>
      <c r="K8866" s="118">
        <v>716000</v>
      </c>
      <c r="L8866" s="119"/>
      <c r="M8866" s="118">
        <f t="shared" ref="M8866" si="13621">K8866*0.1</f>
        <v>71600</v>
      </c>
      <c r="N8866" s="119"/>
      <c r="O8866" s="118">
        <v>0</v>
      </c>
      <c r="P8866" s="119"/>
      <c r="Q8866" s="118">
        <v>19150</v>
      </c>
      <c r="R8866" s="119"/>
      <c r="S8866" s="118">
        <v>11000</v>
      </c>
      <c r="T8866" s="119"/>
      <c r="U8866" s="118">
        <f t="shared" ref="U8866" si="13622">SUM(K8866:T8867)</f>
        <v>817750</v>
      </c>
      <c r="V8866" s="122"/>
      <c r="W8866" s="124"/>
      <c r="X8866" s="126" t="s">
        <v>26039</v>
      </c>
      <c r="Y8866" s="127"/>
      <c r="Z8866" s="127"/>
      <c r="AA8866" s="127"/>
      <c r="AB8866" s="128"/>
      <c r="AC8866" s="15" t="s">
        <v>20</v>
      </c>
      <c r="AD8866" s="129" t="s">
        <v>25336</v>
      </c>
      <c r="AE8866" s="130"/>
      <c r="AF8866" s="130"/>
      <c r="AG8866" s="130"/>
      <c r="AH8866" s="130"/>
      <c r="AI8866" s="131"/>
      <c r="AJ8866" s="132"/>
      <c r="AK8866" s="127"/>
      <c r="AL8866" s="128"/>
      <c r="AM8866" s="21"/>
      <c r="AN8866" s="133">
        <v>46158</v>
      </c>
      <c r="AO8866" s="134"/>
      <c r="AP8866" s="135">
        <v>1300</v>
      </c>
      <c r="AQ8866" s="136"/>
      <c r="AR8866" s="118">
        <v>1050000</v>
      </c>
      <c r="AS8866" s="119"/>
      <c r="AT8866" s="118">
        <f t="shared" ref="AT8866" si="13623">AR8866*0.1</f>
        <v>105000</v>
      </c>
      <c r="AU8866" s="119"/>
      <c r="AV8866" s="118">
        <v>19150</v>
      </c>
      <c r="AW8866" s="119"/>
      <c r="AX8866" s="118">
        <f t="shared" ref="AX8866" si="13624">SUM(AR8866:AW8866)</f>
        <v>1174150</v>
      </c>
      <c r="AY8866" s="119"/>
      <c r="AZ8866" s="137"/>
    </row>
    <row r="8867" spans="1:52" ht="17.100000000000001" customHeight="1" thickBot="1">
      <c r="A8867" s="110"/>
      <c r="B8867" s="27" t="s">
        <v>25302</v>
      </c>
      <c r="C8867" s="27">
        <v>34533</v>
      </c>
      <c r="D8867" s="14" t="s">
        <v>25333</v>
      </c>
      <c r="E8867" s="112"/>
      <c r="F8867" s="139" t="s">
        <v>25335</v>
      </c>
      <c r="G8867" s="140"/>
      <c r="H8867" s="141"/>
      <c r="I8867" s="26">
        <v>76879</v>
      </c>
      <c r="J8867" s="117"/>
      <c r="K8867" s="120"/>
      <c r="L8867" s="121"/>
      <c r="M8867" s="120"/>
      <c r="N8867" s="121"/>
      <c r="O8867" s="120"/>
      <c r="P8867" s="121"/>
      <c r="Q8867" s="120"/>
      <c r="R8867" s="121"/>
      <c r="S8867" s="120"/>
      <c r="T8867" s="121"/>
      <c r="U8867" s="120"/>
      <c r="V8867" s="123"/>
      <c r="W8867" s="125"/>
      <c r="X8867" s="142" t="s">
        <v>26040</v>
      </c>
      <c r="Y8867" s="143"/>
      <c r="Z8867" s="143"/>
      <c r="AA8867" s="143"/>
      <c r="AB8867" s="144"/>
      <c r="AC8867" s="16" t="s">
        <v>21</v>
      </c>
      <c r="AD8867" s="17" t="s">
        <v>1976</v>
      </c>
      <c r="AE8867" s="145" t="s">
        <v>5083</v>
      </c>
      <c r="AF8867" s="146"/>
      <c r="AG8867" s="146"/>
      <c r="AH8867" s="146"/>
      <c r="AI8867" s="147"/>
      <c r="AJ8867" s="148"/>
      <c r="AK8867" s="143"/>
      <c r="AL8867" s="144"/>
      <c r="AM8867" s="22"/>
      <c r="AN8867" s="149" t="s">
        <v>2511</v>
      </c>
      <c r="AO8867" s="144"/>
      <c r="AP8867" s="148">
        <v>80422</v>
      </c>
      <c r="AQ8867" s="144"/>
      <c r="AR8867" s="120"/>
      <c r="AS8867" s="121"/>
      <c r="AT8867" s="120"/>
      <c r="AU8867" s="121"/>
      <c r="AV8867" s="120"/>
      <c r="AW8867" s="121"/>
      <c r="AX8867" s="120"/>
      <c r="AY8867" s="121"/>
      <c r="AZ8867" s="138"/>
    </row>
    <row r="8868" spans="1:52" ht="17.100000000000001" customHeight="1" thickTop="1">
      <c r="A8868" s="109" t="s">
        <v>25372</v>
      </c>
      <c r="B8868" s="28">
        <v>46153</v>
      </c>
      <c r="C8868" s="25">
        <v>2092</v>
      </c>
      <c r="D8868" s="13" t="s">
        <v>25337</v>
      </c>
      <c r="E8868" s="111"/>
      <c r="F8868" s="113" t="s">
        <v>25338</v>
      </c>
      <c r="G8868" s="114"/>
      <c r="H8868" s="115"/>
      <c r="I8868" s="24" t="s">
        <v>25340</v>
      </c>
      <c r="J8868" s="116">
        <v>4</v>
      </c>
      <c r="K8868" s="118">
        <v>560000</v>
      </c>
      <c r="L8868" s="119"/>
      <c r="M8868" s="118">
        <f t="shared" ref="M8868" si="13625">K8868*0.1</f>
        <v>56000</v>
      </c>
      <c r="N8868" s="119"/>
      <c r="O8868" s="118">
        <f>32900+290</f>
        <v>33190</v>
      </c>
      <c r="P8868" s="119"/>
      <c r="Q8868" s="118">
        <v>20170</v>
      </c>
      <c r="R8868" s="119"/>
      <c r="S8868" s="118">
        <v>11000</v>
      </c>
      <c r="T8868" s="119"/>
      <c r="U8868" s="118">
        <f t="shared" ref="U8868" si="13626">SUM(K8868:T8869)</f>
        <v>680360</v>
      </c>
      <c r="V8868" s="122"/>
      <c r="W8868" s="124"/>
      <c r="X8868" s="126" t="s">
        <v>25341</v>
      </c>
      <c r="Y8868" s="127"/>
      <c r="Z8868" s="127"/>
      <c r="AA8868" s="127"/>
      <c r="AB8868" s="128"/>
      <c r="AC8868" s="15" t="s">
        <v>20</v>
      </c>
      <c r="AD8868" s="129" t="s">
        <v>25342</v>
      </c>
      <c r="AE8868" s="130"/>
      <c r="AF8868" s="130"/>
      <c r="AG8868" s="130"/>
      <c r="AH8868" s="130"/>
      <c r="AI8868" s="131"/>
      <c r="AJ8868" s="132"/>
      <c r="AK8868" s="127"/>
      <c r="AL8868" s="128"/>
      <c r="AM8868" s="21"/>
      <c r="AN8868" s="133"/>
      <c r="AO8868" s="134"/>
      <c r="AP8868" s="135"/>
      <c r="AQ8868" s="136"/>
      <c r="AR8868" s="118"/>
      <c r="AS8868" s="119"/>
      <c r="AT8868" s="118">
        <f t="shared" ref="AT8868" si="13627">AR8868*0.1</f>
        <v>0</v>
      </c>
      <c r="AU8868" s="119"/>
      <c r="AV8868" s="118"/>
      <c r="AW8868" s="119"/>
      <c r="AX8868" s="118">
        <f t="shared" ref="AX8868" si="13628">SUM(AR8868:AW8868)</f>
        <v>0</v>
      </c>
      <c r="AY8868" s="119"/>
      <c r="AZ8868" s="137"/>
    </row>
    <row r="8869" spans="1:52" ht="17.100000000000001" customHeight="1" thickBot="1">
      <c r="A8869" s="110"/>
      <c r="B8869" s="27" t="s">
        <v>25302</v>
      </c>
      <c r="C8869" s="27">
        <v>36014</v>
      </c>
      <c r="D8869" s="14" t="s">
        <v>25319</v>
      </c>
      <c r="E8869" s="112"/>
      <c r="F8869" s="139" t="s">
        <v>25339</v>
      </c>
      <c r="G8869" s="140"/>
      <c r="H8869" s="141"/>
      <c r="I8869" s="26">
        <v>85327</v>
      </c>
      <c r="J8869" s="117"/>
      <c r="K8869" s="120"/>
      <c r="L8869" s="121"/>
      <c r="M8869" s="120"/>
      <c r="N8869" s="121"/>
      <c r="O8869" s="120"/>
      <c r="P8869" s="121"/>
      <c r="Q8869" s="120"/>
      <c r="R8869" s="121"/>
      <c r="S8869" s="120"/>
      <c r="T8869" s="121"/>
      <c r="U8869" s="120"/>
      <c r="V8869" s="123"/>
      <c r="W8869" s="125"/>
      <c r="X8869" s="142" t="s">
        <v>25555</v>
      </c>
      <c r="Y8869" s="143"/>
      <c r="Z8869" s="143"/>
      <c r="AA8869" s="143"/>
      <c r="AB8869" s="144"/>
      <c r="AC8869" s="16" t="s">
        <v>21</v>
      </c>
      <c r="AD8869" s="17" t="s">
        <v>2413</v>
      </c>
      <c r="AE8869" s="145" t="s">
        <v>1614</v>
      </c>
      <c r="AF8869" s="146"/>
      <c r="AG8869" s="146"/>
      <c r="AH8869" s="146"/>
      <c r="AI8869" s="147"/>
      <c r="AJ8869" s="148"/>
      <c r="AK8869" s="143"/>
      <c r="AL8869" s="144"/>
      <c r="AM8869" s="22"/>
      <c r="AN8869" s="149"/>
      <c r="AO8869" s="144"/>
      <c r="AP8869" s="148"/>
      <c r="AQ8869" s="144"/>
      <c r="AR8869" s="120"/>
      <c r="AS8869" s="121"/>
      <c r="AT8869" s="120"/>
      <c r="AU8869" s="121"/>
      <c r="AV8869" s="120"/>
      <c r="AW8869" s="121"/>
      <c r="AX8869" s="120"/>
      <c r="AY8869" s="121"/>
      <c r="AZ8869" s="138"/>
    </row>
    <row r="8870" spans="1:52" ht="17.100000000000001" customHeight="1" thickTop="1">
      <c r="A8870" s="109" t="s">
        <v>25373</v>
      </c>
      <c r="B8870" s="28">
        <v>46153</v>
      </c>
      <c r="C8870" s="25"/>
      <c r="D8870" s="13" t="s">
        <v>25354</v>
      </c>
      <c r="E8870" s="111"/>
      <c r="F8870" s="113" t="s">
        <v>25355</v>
      </c>
      <c r="G8870" s="114"/>
      <c r="H8870" s="115"/>
      <c r="I8870" s="24" t="s">
        <v>25356</v>
      </c>
      <c r="J8870" s="116">
        <v>4</v>
      </c>
      <c r="K8870" s="118">
        <v>830000</v>
      </c>
      <c r="L8870" s="119"/>
      <c r="M8870" s="118">
        <f t="shared" ref="M8870" si="13629">K8870*0.1</f>
        <v>83000</v>
      </c>
      <c r="N8870" s="119"/>
      <c r="O8870" s="118">
        <f>32900+3290</f>
        <v>36190</v>
      </c>
      <c r="P8870" s="119"/>
      <c r="Q8870" s="118">
        <v>22240</v>
      </c>
      <c r="R8870" s="119"/>
      <c r="S8870" s="118">
        <v>25850</v>
      </c>
      <c r="T8870" s="119"/>
      <c r="U8870" s="118">
        <f t="shared" ref="U8870" si="13630">SUM(K8870:T8871)</f>
        <v>997280</v>
      </c>
      <c r="V8870" s="122"/>
      <c r="W8870" s="124"/>
      <c r="X8870" s="126" t="s">
        <v>25357</v>
      </c>
      <c r="Y8870" s="127"/>
      <c r="Z8870" s="127"/>
      <c r="AA8870" s="127"/>
      <c r="AB8870" s="128"/>
      <c r="AC8870" s="15" t="s">
        <v>20</v>
      </c>
      <c r="AD8870" s="129" t="s">
        <v>25358</v>
      </c>
      <c r="AE8870" s="130"/>
      <c r="AF8870" s="130"/>
      <c r="AG8870" s="130"/>
      <c r="AH8870" s="130"/>
      <c r="AI8870" s="131"/>
      <c r="AJ8870" s="132"/>
      <c r="AK8870" s="127"/>
      <c r="AL8870" s="128"/>
      <c r="AM8870" s="21"/>
      <c r="AN8870" s="133">
        <v>46158</v>
      </c>
      <c r="AO8870" s="134"/>
      <c r="AP8870" s="135">
        <v>1300</v>
      </c>
      <c r="AQ8870" s="136"/>
      <c r="AR8870" s="118">
        <v>875000</v>
      </c>
      <c r="AS8870" s="119"/>
      <c r="AT8870" s="118">
        <f t="shared" ref="AT8870" si="13631">AR8870*0.1</f>
        <v>87500</v>
      </c>
      <c r="AU8870" s="119"/>
      <c r="AV8870" s="118">
        <v>22240</v>
      </c>
      <c r="AW8870" s="119"/>
      <c r="AX8870" s="118">
        <f t="shared" ref="AX8870" si="13632">SUM(AR8870:AW8870)</f>
        <v>984740</v>
      </c>
      <c r="AY8870" s="119"/>
      <c r="AZ8870" s="137">
        <v>46161</v>
      </c>
    </row>
    <row r="8871" spans="1:52" ht="17.100000000000001" customHeight="1" thickBot="1">
      <c r="A8871" s="110"/>
      <c r="B8871" s="27" t="s">
        <v>25290</v>
      </c>
      <c r="C8871" s="27">
        <v>50076</v>
      </c>
      <c r="D8871" s="14" t="s">
        <v>133</v>
      </c>
      <c r="E8871" s="112"/>
      <c r="F8871" s="139" t="s">
        <v>25648</v>
      </c>
      <c r="G8871" s="140"/>
      <c r="H8871" s="141"/>
      <c r="I8871" s="26">
        <v>59474</v>
      </c>
      <c r="J8871" s="117"/>
      <c r="K8871" s="120"/>
      <c r="L8871" s="121"/>
      <c r="M8871" s="120"/>
      <c r="N8871" s="121"/>
      <c r="O8871" s="120"/>
      <c r="P8871" s="121"/>
      <c r="Q8871" s="120"/>
      <c r="R8871" s="121"/>
      <c r="S8871" s="120"/>
      <c r="T8871" s="121"/>
      <c r="U8871" s="120"/>
      <c r="V8871" s="123"/>
      <c r="W8871" s="125"/>
      <c r="X8871" s="142" t="s">
        <v>25649</v>
      </c>
      <c r="Y8871" s="143"/>
      <c r="Z8871" s="143"/>
      <c r="AA8871" s="143"/>
      <c r="AB8871" s="144"/>
      <c r="AC8871" s="16" t="s">
        <v>21</v>
      </c>
      <c r="AD8871" s="17" t="s">
        <v>2730</v>
      </c>
      <c r="AE8871" s="145" t="s">
        <v>4453</v>
      </c>
      <c r="AF8871" s="146"/>
      <c r="AG8871" s="146"/>
      <c r="AH8871" s="146"/>
      <c r="AI8871" s="147"/>
      <c r="AJ8871" s="148"/>
      <c r="AK8871" s="143"/>
      <c r="AL8871" s="144"/>
      <c r="AM8871" s="22"/>
      <c r="AN8871" s="149" t="s">
        <v>2511</v>
      </c>
      <c r="AO8871" s="144"/>
      <c r="AP8871" s="148">
        <v>80427</v>
      </c>
      <c r="AQ8871" s="144"/>
      <c r="AR8871" s="120"/>
      <c r="AS8871" s="121"/>
      <c r="AT8871" s="120"/>
      <c r="AU8871" s="121"/>
      <c r="AV8871" s="120"/>
      <c r="AW8871" s="121"/>
      <c r="AX8871" s="120"/>
      <c r="AY8871" s="121"/>
      <c r="AZ8871" s="138"/>
    </row>
    <row r="8872" spans="1:52" ht="17.100000000000001" customHeight="1" thickTop="1">
      <c r="A8872" s="109" t="s">
        <v>25374</v>
      </c>
      <c r="B8872" s="28">
        <v>46153</v>
      </c>
      <c r="C8872" s="25"/>
      <c r="D8872" s="13" t="s">
        <v>25344</v>
      </c>
      <c r="E8872" s="111"/>
      <c r="F8872" s="113" t="s">
        <v>25345</v>
      </c>
      <c r="G8872" s="114"/>
      <c r="H8872" s="115"/>
      <c r="I8872" s="24"/>
      <c r="J8872" s="116">
        <v>4</v>
      </c>
      <c r="K8872" s="118">
        <v>650000</v>
      </c>
      <c r="L8872" s="119"/>
      <c r="M8872" s="118">
        <f t="shared" ref="M8872" si="13633">K8872*0.1</f>
        <v>65000</v>
      </c>
      <c r="N8872" s="119"/>
      <c r="O8872" s="118">
        <v>0</v>
      </c>
      <c r="P8872" s="119"/>
      <c r="Q8872" s="118">
        <v>16160</v>
      </c>
      <c r="R8872" s="119"/>
      <c r="S8872" s="118">
        <v>15950</v>
      </c>
      <c r="T8872" s="119"/>
      <c r="U8872" s="118">
        <f t="shared" ref="U8872" si="13634">SUM(K8872:T8873)</f>
        <v>747110</v>
      </c>
      <c r="V8872" s="122"/>
      <c r="W8872" s="124"/>
      <c r="X8872" s="126" t="s">
        <v>26015</v>
      </c>
      <c r="Y8872" s="127"/>
      <c r="Z8872" s="127"/>
      <c r="AA8872" s="127"/>
      <c r="AB8872" s="128"/>
      <c r="AC8872" s="15" t="s">
        <v>20</v>
      </c>
      <c r="AD8872" s="129"/>
      <c r="AE8872" s="130"/>
      <c r="AF8872" s="130"/>
      <c r="AG8872" s="130"/>
      <c r="AH8872" s="130"/>
      <c r="AI8872" s="131"/>
      <c r="AJ8872" s="132"/>
      <c r="AK8872" s="127"/>
      <c r="AL8872" s="128"/>
      <c r="AM8872" s="21"/>
      <c r="AN8872" s="133">
        <v>46158</v>
      </c>
      <c r="AO8872" s="134"/>
      <c r="AP8872" s="135">
        <v>1300</v>
      </c>
      <c r="AQ8872" s="136"/>
      <c r="AR8872" s="118">
        <v>765000</v>
      </c>
      <c r="AS8872" s="119"/>
      <c r="AT8872" s="118">
        <f t="shared" ref="AT8872" si="13635">AR8872*0.1</f>
        <v>76500</v>
      </c>
      <c r="AU8872" s="119"/>
      <c r="AV8872" s="118">
        <v>16160</v>
      </c>
      <c r="AW8872" s="119"/>
      <c r="AX8872" s="118">
        <f t="shared" ref="AX8872" si="13636">SUM(AR8872:AW8872)</f>
        <v>857660</v>
      </c>
      <c r="AY8872" s="119"/>
      <c r="AZ8872" s="137"/>
    </row>
    <row r="8873" spans="1:52" ht="17.100000000000001" customHeight="1" thickBot="1">
      <c r="A8873" s="110"/>
      <c r="B8873" s="27" t="s">
        <v>25343</v>
      </c>
      <c r="C8873" s="27">
        <v>80253</v>
      </c>
      <c r="D8873" s="14" t="s">
        <v>25333</v>
      </c>
      <c r="E8873" s="112"/>
      <c r="F8873" s="139" t="s">
        <v>26014</v>
      </c>
      <c r="G8873" s="140"/>
      <c r="H8873" s="141"/>
      <c r="I8873" s="26">
        <v>51579</v>
      </c>
      <c r="J8873" s="117"/>
      <c r="K8873" s="120"/>
      <c r="L8873" s="121"/>
      <c r="M8873" s="120"/>
      <c r="N8873" s="121"/>
      <c r="O8873" s="120"/>
      <c r="P8873" s="121"/>
      <c r="Q8873" s="120"/>
      <c r="R8873" s="121"/>
      <c r="S8873" s="120"/>
      <c r="T8873" s="121"/>
      <c r="U8873" s="120"/>
      <c r="V8873" s="123"/>
      <c r="W8873" s="125"/>
      <c r="X8873" s="142" t="s">
        <v>3300</v>
      </c>
      <c r="Y8873" s="143"/>
      <c r="Z8873" s="143"/>
      <c r="AA8873" s="143"/>
      <c r="AB8873" s="144"/>
      <c r="AC8873" s="16" t="s">
        <v>21</v>
      </c>
      <c r="AD8873" s="17" t="s">
        <v>1976</v>
      </c>
      <c r="AE8873" s="145" t="s">
        <v>7859</v>
      </c>
      <c r="AF8873" s="146"/>
      <c r="AG8873" s="146"/>
      <c r="AH8873" s="146"/>
      <c r="AI8873" s="147"/>
      <c r="AJ8873" s="148"/>
      <c r="AK8873" s="143"/>
      <c r="AL8873" s="144"/>
      <c r="AM8873" s="22"/>
      <c r="AN8873" s="149" t="s">
        <v>2511</v>
      </c>
      <c r="AO8873" s="144"/>
      <c r="AP8873" s="148">
        <v>80290</v>
      </c>
      <c r="AQ8873" s="144"/>
      <c r="AR8873" s="120"/>
      <c r="AS8873" s="121"/>
      <c r="AT8873" s="120"/>
      <c r="AU8873" s="121"/>
      <c r="AV8873" s="120"/>
      <c r="AW8873" s="121"/>
      <c r="AX8873" s="120"/>
      <c r="AY8873" s="121"/>
      <c r="AZ8873" s="138"/>
    </row>
    <row r="8874" spans="1:52" ht="17.100000000000001" customHeight="1" thickTop="1">
      <c r="A8874" s="109" t="s">
        <v>25375</v>
      </c>
      <c r="B8874" s="28">
        <v>46153</v>
      </c>
      <c r="C8874" s="25"/>
      <c r="D8874" s="13" t="s">
        <v>1998</v>
      </c>
      <c r="E8874" s="111"/>
      <c r="F8874" s="113" t="s">
        <v>25315</v>
      </c>
      <c r="G8874" s="114"/>
      <c r="H8874" s="115"/>
      <c r="I8874" s="24" t="s">
        <v>1559</v>
      </c>
      <c r="J8874" s="116">
        <v>4</v>
      </c>
      <c r="K8874" s="118">
        <v>2810000</v>
      </c>
      <c r="L8874" s="119"/>
      <c r="M8874" s="118">
        <f t="shared" ref="M8874" si="13637">K8874*0.1</f>
        <v>281000</v>
      </c>
      <c r="N8874" s="119"/>
      <c r="O8874" s="118">
        <f>36200+3620</f>
        <v>39820</v>
      </c>
      <c r="P8874" s="119"/>
      <c r="Q8874" s="118">
        <v>15040</v>
      </c>
      <c r="R8874" s="119"/>
      <c r="S8874" s="118">
        <v>15950</v>
      </c>
      <c r="T8874" s="119"/>
      <c r="U8874" s="118">
        <f t="shared" ref="U8874" si="13638">SUM(K8874:T8875)</f>
        <v>3161810</v>
      </c>
      <c r="V8874" s="122"/>
      <c r="W8874" s="124"/>
      <c r="X8874" s="126" t="s">
        <v>25317</v>
      </c>
      <c r="Y8874" s="127"/>
      <c r="Z8874" s="127"/>
      <c r="AA8874" s="127"/>
      <c r="AB8874" s="128"/>
      <c r="AC8874" s="15" t="s">
        <v>20</v>
      </c>
      <c r="AD8874" s="129" t="s">
        <v>18023</v>
      </c>
      <c r="AE8874" s="130"/>
      <c r="AF8874" s="130"/>
      <c r="AG8874" s="130"/>
      <c r="AH8874" s="130"/>
      <c r="AI8874" s="131"/>
      <c r="AJ8874" s="132"/>
      <c r="AK8874" s="127"/>
      <c r="AL8874" s="128"/>
      <c r="AM8874" s="21"/>
      <c r="AN8874" s="133"/>
      <c r="AO8874" s="134"/>
      <c r="AP8874" s="135"/>
      <c r="AQ8874" s="136"/>
      <c r="AR8874" s="118"/>
      <c r="AS8874" s="119"/>
      <c r="AT8874" s="118">
        <f t="shared" ref="AT8874" si="13639">AR8874*0.1</f>
        <v>0</v>
      </c>
      <c r="AU8874" s="119"/>
      <c r="AV8874" s="118"/>
      <c r="AW8874" s="119"/>
      <c r="AX8874" s="118">
        <f t="shared" ref="AX8874" si="13640">SUM(AR8874:AW8874)</f>
        <v>0</v>
      </c>
      <c r="AY8874" s="119"/>
      <c r="AZ8874" s="137"/>
    </row>
    <row r="8875" spans="1:52" ht="17.100000000000001" customHeight="1" thickBot="1">
      <c r="A8875" s="110"/>
      <c r="B8875" s="27" t="s">
        <v>17485</v>
      </c>
      <c r="C8875" s="27">
        <v>60155</v>
      </c>
      <c r="D8875" s="14" t="s">
        <v>275</v>
      </c>
      <c r="E8875" s="112"/>
      <c r="F8875" s="139" t="s">
        <v>25316</v>
      </c>
      <c r="G8875" s="140"/>
      <c r="H8875" s="141"/>
      <c r="I8875" s="26">
        <v>11339</v>
      </c>
      <c r="J8875" s="117"/>
      <c r="K8875" s="120"/>
      <c r="L8875" s="121"/>
      <c r="M8875" s="120"/>
      <c r="N8875" s="121"/>
      <c r="O8875" s="120"/>
      <c r="P8875" s="121"/>
      <c r="Q8875" s="120"/>
      <c r="R8875" s="121"/>
      <c r="S8875" s="120"/>
      <c r="T8875" s="121"/>
      <c r="U8875" s="120"/>
      <c r="V8875" s="123"/>
      <c r="W8875" s="125"/>
      <c r="X8875" s="142" t="s">
        <v>26018</v>
      </c>
      <c r="Y8875" s="143"/>
      <c r="Z8875" s="143"/>
      <c r="AA8875" s="143"/>
      <c r="AB8875" s="144"/>
      <c r="AC8875" s="16" t="s">
        <v>21</v>
      </c>
      <c r="AD8875" s="17" t="s">
        <v>1976</v>
      </c>
      <c r="AE8875" s="145" t="s">
        <v>8813</v>
      </c>
      <c r="AF8875" s="146"/>
      <c r="AG8875" s="146"/>
      <c r="AH8875" s="146"/>
      <c r="AI8875" s="147"/>
      <c r="AJ8875" s="148"/>
      <c r="AK8875" s="143"/>
      <c r="AL8875" s="144"/>
      <c r="AM8875" s="22"/>
      <c r="AN8875" s="149"/>
      <c r="AO8875" s="144"/>
      <c r="AP8875" s="148"/>
      <c r="AQ8875" s="144"/>
      <c r="AR8875" s="120"/>
      <c r="AS8875" s="121"/>
      <c r="AT8875" s="120"/>
      <c r="AU8875" s="121"/>
      <c r="AV8875" s="120"/>
      <c r="AW8875" s="121"/>
      <c r="AX8875" s="120"/>
      <c r="AY8875" s="121"/>
      <c r="AZ8875" s="138"/>
    </row>
    <row r="8876" spans="1:52" ht="17.100000000000001" customHeight="1" thickTop="1">
      <c r="A8876" s="109" t="s">
        <v>25376</v>
      </c>
      <c r="B8876" s="28">
        <v>46153</v>
      </c>
      <c r="C8876" s="25"/>
      <c r="D8876" s="13" t="s">
        <v>25291</v>
      </c>
      <c r="E8876" s="111"/>
      <c r="F8876" s="113" t="s">
        <v>25292</v>
      </c>
      <c r="G8876" s="114"/>
      <c r="H8876" s="115"/>
      <c r="I8876" s="24" t="s">
        <v>25293</v>
      </c>
      <c r="J8876" s="116">
        <v>4</v>
      </c>
      <c r="K8876" s="118">
        <v>530000</v>
      </c>
      <c r="L8876" s="119"/>
      <c r="M8876" s="118">
        <f t="shared" ref="M8876" si="13641">K8876*0.1</f>
        <v>53000</v>
      </c>
      <c r="N8876" s="119"/>
      <c r="O8876" s="118">
        <f>37800+3780</f>
        <v>41580</v>
      </c>
      <c r="P8876" s="119"/>
      <c r="Q8876" s="118">
        <v>15940</v>
      </c>
      <c r="R8876" s="119"/>
      <c r="S8876" s="118">
        <v>15950</v>
      </c>
      <c r="T8876" s="119"/>
      <c r="U8876" s="118">
        <f t="shared" ref="U8876" si="13642">SUM(K8876:T8877)</f>
        <v>656470</v>
      </c>
      <c r="V8876" s="122"/>
      <c r="W8876" s="124"/>
      <c r="X8876" s="126" t="s">
        <v>25294</v>
      </c>
      <c r="Y8876" s="127"/>
      <c r="Z8876" s="127"/>
      <c r="AA8876" s="127"/>
      <c r="AB8876" s="128"/>
      <c r="AC8876" s="15" t="s">
        <v>20</v>
      </c>
      <c r="AD8876" s="129"/>
      <c r="AE8876" s="130"/>
      <c r="AF8876" s="130"/>
      <c r="AG8876" s="130"/>
      <c r="AH8876" s="130"/>
      <c r="AI8876" s="131"/>
      <c r="AJ8876" s="132"/>
      <c r="AK8876" s="127"/>
      <c r="AL8876" s="128"/>
      <c r="AM8876" s="21"/>
      <c r="AN8876" s="133"/>
      <c r="AO8876" s="134"/>
      <c r="AP8876" s="135"/>
      <c r="AQ8876" s="136"/>
      <c r="AR8876" s="118"/>
      <c r="AS8876" s="119"/>
      <c r="AT8876" s="118">
        <f t="shared" ref="AT8876" si="13643">AR8876*0.1</f>
        <v>0</v>
      </c>
      <c r="AU8876" s="119"/>
      <c r="AV8876" s="118"/>
      <c r="AW8876" s="119"/>
      <c r="AX8876" s="118">
        <f t="shared" ref="AX8876" si="13644">SUM(AR8876:AW8876)</f>
        <v>0</v>
      </c>
      <c r="AY8876" s="119"/>
      <c r="AZ8876" s="137"/>
    </row>
    <row r="8877" spans="1:52" ht="17.100000000000001" customHeight="1" thickBot="1">
      <c r="A8877" s="110"/>
      <c r="B8877" s="27" t="s">
        <v>25301</v>
      </c>
      <c r="C8877" s="27">
        <v>50050</v>
      </c>
      <c r="D8877" s="14" t="s">
        <v>2601</v>
      </c>
      <c r="E8877" s="112"/>
      <c r="F8877" s="139" t="s">
        <v>25744</v>
      </c>
      <c r="G8877" s="140"/>
      <c r="H8877" s="141"/>
      <c r="I8877" s="26">
        <v>41790</v>
      </c>
      <c r="J8877" s="117"/>
      <c r="K8877" s="120"/>
      <c r="L8877" s="121"/>
      <c r="M8877" s="120"/>
      <c r="N8877" s="121"/>
      <c r="O8877" s="120"/>
      <c r="P8877" s="121"/>
      <c r="Q8877" s="120"/>
      <c r="R8877" s="121"/>
      <c r="S8877" s="120"/>
      <c r="T8877" s="121"/>
      <c r="U8877" s="120"/>
      <c r="V8877" s="123"/>
      <c r="W8877" s="125"/>
      <c r="X8877" s="142" t="s">
        <v>25745</v>
      </c>
      <c r="Y8877" s="143"/>
      <c r="Z8877" s="143"/>
      <c r="AA8877" s="143"/>
      <c r="AB8877" s="144"/>
      <c r="AC8877" s="16" t="s">
        <v>21</v>
      </c>
      <c r="AD8877" s="17" t="s">
        <v>25722</v>
      </c>
      <c r="AE8877" s="145" t="s">
        <v>25746</v>
      </c>
      <c r="AF8877" s="146"/>
      <c r="AG8877" s="146"/>
      <c r="AH8877" s="146"/>
      <c r="AI8877" s="147"/>
      <c r="AJ8877" s="148"/>
      <c r="AK8877" s="143"/>
      <c r="AL8877" s="144"/>
      <c r="AM8877" s="22"/>
      <c r="AN8877" s="149"/>
      <c r="AO8877" s="144"/>
      <c r="AP8877" s="148"/>
      <c r="AQ8877" s="144"/>
      <c r="AR8877" s="120"/>
      <c r="AS8877" s="121"/>
      <c r="AT8877" s="120"/>
      <c r="AU8877" s="121"/>
      <c r="AV8877" s="120"/>
      <c r="AW8877" s="121"/>
      <c r="AX8877" s="120"/>
      <c r="AY8877" s="121"/>
      <c r="AZ8877" s="138"/>
    </row>
    <row r="8878" spans="1:52" ht="17.100000000000001" customHeight="1" thickTop="1">
      <c r="A8878" s="109" t="s">
        <v>25377</v>
      </c>
      <c r="B8878" s="28">
        <v>46153</v>
      </c>
      <c r="C8878" s="25"/>
      <c r="D8878" s="13" t="s">
        <v>25348</v>
      </c>
      <c r="E8878" s="111"/>
      <c r="F8878" s="113" t="s">
        <v>25349</v>
      </c>
      <c r="G8878" s="114"/>
      <c r="H8878" s="115"/>
      <c r="I8878" s="24" t="s">
        <v>25350</v>
      </c>
      <c r="J8878" s="116">
        <v>4.5</v>
      </c>
      <c r="K8878" s="118">
        <f>2150000</f>
        <v>2150000</v>
      </c>
      <c r="L8878" s="119"/>
      <c r="M8878" s="118">
        <f t="shared" ref="M8878" si="13645">K8878*0.1</f>
        <v>215000</v>
      </c>
      <c r="N8878" s="119"/>
      <c r="O8878" s="118">
        <v>32600</v>
      </c>
      <c r="P8878" s="119"/>
      <c r="Q8878" s="118">
        <v>11710</v>
      </c>
      <c r="R8878" s="119"/>
      <c r="S8878" s="118">
        <v>0</v>
      </c>
      <c r="T8878" s="119"/>
      <c r="U8878" s="118">
        <f t="shared" ref="U8878" si="13646">SUM(K8878:T8879)</f>
        <v>2409310</v>
      </c>
      <c r="V8878" s="122"/>
      <c r="W8878" s="124"/>
      <c r="X8878" s="126"/>
      <c r="Y8878" s="127"/>
      <c r="Z8878" s="127"/>
      <c r="AA8878" s="127"/>
      <c r="AB8878" s="128"/>
      <c r="AC8878" s="15" t="s">
        <v>20</v>
      </c>
      <c r="AD8878" s="129" t="s">
        <v>186</v>
      </c>
      <c r="AE8878" s="130"/>
      <c r="AF8878" s="130"/>
      <c r="AG8878" s="130"/>
      <c r="AH8878" s="130"/>
      <c r="AI8878" s="131"/>
      <c r="AJ8878" s="132"/>
      <c r="AK8878" s="127"/>
      <c r="AL8878" s="128"/>
      <c r="AM8878" s="21"/>
      <c r="AN8878" s="133"/>
      <c r="AO8878" s="134"/>
      <c r="AP8878" s="135"/>
      <c r="AQ8878" s="136"/>
      <c r="AR8878" s="118"/>
      <c r="AS8878" s="119"/>
      <c r="AT8878" s="118">
        <f t="shared" ref="AT8878" si="13647">AR8878*0.1</f>
        <v>0</v>
      </c>
      <c r="AU8878" s="119"/>
      <c r="AV8878" s="118"/>
      <c r="AW8878" s="119"/>
      <c r="AX8878" s="118">
        <f t="shared" ref="AX8878" si="13648">SUM(AR8878:AW8878)</f>
        <v>0</v>
      </c>
      <c r="AY8878" s="119"/>
      <c r="AZ8878" s="137"/>
    </row>
    <row r="8879" spans="1:52" ht="17.100000000000001" customHeight="1" thickBot="1">
      <c r="A8879" s="110"/>
      <c r="B8879" s="27" t="s">
        <v>25346</v>
      </c>
      <c r="C8879" s="27" t="s">
        <v>25347</v>
      </c>
      <c r="D8879" s="14" t="s">
        <v>25352</v>
      </c>
      <c r="E8879" s="112"/>
      <c r="F8879" s="139" t="s">
        <v>25351</v>
      </c>
      <c r="G8879" s="140"/>
      <c r="H8879" s="141"/>
      <c r="I8879" s="26">
        <v>7805</v>
      </c>
      <c r="J8879" s="117"/>
      <c r="K8879" s="120"/>
      <c r="L8879" s="121"/>
      <c r="M8879" s="120"/>
      <c r="N8879" s="121"/>
      <c r="O8879" s="120"/>
      <c r="P8879" s="121"/>
      <c r="Q8879" s="120"/>
      <c r="R8879" s="121"/>
      <c r="S8879" s="120"/>
      <c r="T8879" s="121"/>
      <c r="U8879" s="120"/>
      <c r="V8879" s="123"/>
      <c r="W8879" s="125"/>
      <c r="X8879" s="142"/>
      <c r="Y8879" s="143"/>
      <c r="Z8879" s="143"/>
      <c r="AA8879" s="143"/>
      <c r="AB8879" s="144"/>
      <c r="AC8879" s="16" t="s">
        <v>21</v>
      </c>
      <c r="AD8879" s="17"/>
      <c r="AE8879" s="145"/>
      <c r="AF8879" s="146"/>
      <c r="AG8879" s="146"/>
      <c r="AH8879" s="146"/>
      <c r="AI8879" s="147"/>
      <c r="AJ8879" s="148"/>
      <c r="AK8879" s="143"/>
      <c r="AL8879" s="144"/>
      <c r="AM8879" s="22"/>
      <c r="AN8879" s="149"/>
      <c r="AO8879" s="144"/>
      <c r="AP8879" s="148"/>
      <c r="AQ8879" s="144"/>
      <c r="AR8879" s="120"/>
      <c r="AS8879" s="121"/>
      <c r="AT8879" s="120"/>
      <c r="AU8879" s="121"/>
      <c r="AV8879" s="120"/>
      <c r="AW8879" s="121"/>
      <c r="AX8879" s="120"/>
      <c r="AY8879" s="121"/>
      <c r="AZ8879" s="138"/>
    </row>
    <row r="8880" spans="1:52" ht="17.100000000000001" customHeight="1" thickTop="1">
      <c r="A8880" s="109" t="s">
        <v>25428</v>
      </c>
      <c r="B8880" s="28">
        <v>46154</v>
      </c>
      <c r="C8880" s="25">
        <v>1940</v>
      </c>
      <c r="D8880" s="13" t="s">
        <v>1906</v>
      </c>
      <c r="E8880" s="111"/>
      <c r="F8880" s="113" t="s">
        <v>15533</v>
      </c>
      <c r="G8880" s="114"/>
      <c r="H8880" s="115"/>
      <c r="I8880" s="24"/>
      <c r="J8880" s="116">
        <v>4.5</v>
      </c>
      <c r="K8880" s="118">
        <v>558000</v>
      </c>
      <c r="L8880" s="119"/>
      <c r="M8880" s="118">
        <f t="shared" ref="M8880" si="13649">K8880*0.1</f>
        <v>55800</v>
      </c>
      <c r="N8880" s="119"/>
      <c r="O8880" s="118">
        <v>0</v>
      </c>
      <c r="P8880" s="119"/>
      <c r="Q8880" s="118">
        <v>6550</v>
      </c>
      <c r="R8880" s="119"/>
      <c r="S8880" s="118">
        <v>15950</v>
      </c>
      <c r="T8880" s="119"/>
      <c r="U8880" s="118">
        <f t="shared" ref="U8880" si="13650">SUM(K8880:T8881)</f>
        <v>636300</v>
      </c>
      <c r="V8880" s="122"/>
      <c r="W8880" s="124"/>
      <c r="X8880" s="126" t="s">
        <v>25734</v>
      </c>
      <c r="Y8880" s="127"/>
      <c r="Z8880" s="127"/>
      <c r="AA8880" s="127"/>
      <c r="AB8880" s="128"/>
      <c r="AC8880" s="15" t="s">
        <v>20</v>
      </c>
      <c r="AD8880" s="129"/>
      <c r="AE8880" s="130"/>
      <c r="AF8880" s="130"/>
      <c r="AG8880" s="130"/>
      <c r="AH8880" s="130"/>
      <c r="AI8880" s="131"/>
      <c r="AJ8880" s="132"/>
      <c r="AK8880" s="127"/>
      <c r="AL8880" s="128"/>
      <c r="AM8880" s="21"/>
      <c r="AN8880" s="133"/>
      <c r="AO8880" s="134"/>
      <c r="AP8880" s="135"/>
      <c r="AQ8880" s="136"/>
      <c r="AR8880" s="118"/>
      <c r="AS8880" s="119"/>
      <c r="AT8880" s="118">
        <f t="shared" ref="AT8880" si="13651">AR8880*0.1</f>
        <v>0</v>
      </c>
      <c r="AU8880" s="119"/>
      <c r="AV8880" s="118"/>
      <c r="AW8880" s="119"/>
      <c r="AX8880" s="118">
        <f t="shared" ref="AX8880" si="13652">SUM(AR8880:AW8880)</f>
        <v>0</v>
      </c>
      <c r="AY8880" s="119"/>
      <c r="AZ8880" s="137"/>
    </row>
    <row r="8881" spans="1:52" ht="17.100000000000001" customHeight="1" thickBot="1">
      <c r="A8881" s="110"/>
      <c r="B8881" s="27" t="s">
        <v>2131</v>
      </c>
      <c r="C8881" s="27">
        <v>3267</v>
      </c>
      <c r="D8881" s="14" t="s">
        <v>1720</v>
      </c>
      <c r="E8881" s="112"/>
      <c r="F8881" s="139" t="s">
        <v>25408</v>
      </c>
      <c r="G8881" s="140"/>
      <c r="H8881" s="141"/>
      <c r="I8881" s="26">
        <v>13700</v>
      </c>
      <c r="J8881" s="117"/>
      <c r="K8881" s="120"/>
      <c r="L8881" s="121"/>
      <c r="M8881" s="120"/>
      <c r="N8881" s="121"/>
      <c r="O8881" s="120"/>
      <c r="P8881" s="121"/>
      <c r="Q8881" s="120"/>
      <c r="R8881" s="121"/>
      <c r="S8881" s="120"/>
      <c r="T8881" s="121"/>
      <c r="U8881" s="120"/>
      <c r="V8881" s="123"/>
      <c r="W8881" s="125"/>
      <c r="X8881" s="142" t="s">
        <v>7450</v>
      </c>
      <c r="Y8881" s="143"/>
      <c r="Z8881" s="143"/>
      <c r="AA8881" s="143"/>
      <c r="AB8881" s="144"/>
      <c r="AC8881" s="16" t="s">
        <v>21</v>
      </c>
      <c r="AD8881" s="17" t="s">
        <v>25722</v>
      </c>
      <c r="AE8881" s="145" t="s">
        <v>10331</v>
      </c>
      <c r="AF8881" s="146"/>
      <c r="AG8881" s="146"/>
      <c r="AH8881" s="146"/>
      <c r="AI8881" s="147"/>
      <c r="AJ8881" s="148"/>
      <c r="AK8881" s="143"/>
      <c r="AL8881" s="144"/>
      <c r="AM8881" s="22"/>
      <c r="AN8881" s="149"/>
      <c r="AO8881" s="144"/>
      <c r="AP8881" s="148"/>
      <c r="AQ8881" s="144"/>
      <c r="AR8881" s="120"/>
      <c r="AS8881" s="121"/>
      <c r="AT8881" s="120"/>
      <c r="AU8881" s="121"/>
      <c r="AV8881" s="120"/>
      <c r="AW8881" s="121"/>
      <c r="AX8881" s="120"/>
      <c r="AY8881" s="121"/>
      <c r="AZ8881" s="138"/>
    </row>
    <row r="8882" spans="1:52" ht="17.100000000000001" customHeight="1" thickTop="1">
      <c r="A8882" s="109" t="s">
        <v>25429</v>
      </c>
      <c r="B8882" s="28">
        <v>46154</v>
      </c>
      <c r="C8882" s="25">
        <v>1940</v>
      </c>
      <c r="D8882" s="13" t="s">
        <v>5614</v>
      </c>
      <c r="E8882" s="111"/>
      <c r="F8882" s="113" t="s">
        <v>24378</v>
      </c>
      <c r="G8882" s="114"/>
      <c r="H8882" s="115"/>
      <c r="I8882" s="24"/>
      <c r="J8882" s="116">
        <v>4</v>
      </c>
      <c r="K8882" s="118">
        <v>331000</v>
      </c>
      <c r="L8882" s="119"/>
      <c r="M8882" s="118">
        <f t="shared" ref="M8882" si="13653">K8882*0.1</f>
        <v>33100</v>
      </c>
      <c r="N8882" s="119"/>
      <c r="O8882" s="118">
        <v>0</v>
      </c>
      <c r="P8882" s="119"/>
      <c r="Q8882" s="118">
        <v>9770</v>
      </c>
      <c r="R8882" s="119"/>
      <c r="S8882" s="118">
        <v>15950</v>
      </c>
      <c r="T8882" s="119"/>
      <c r="U8882" s="118">
        <f t="shared" ref="U8882" si="13654">SUM(K8882:T8883)</f>
        <v>389820</v>
      </c>
      <c r="V8882" s="122"/>
      <c r="W8882" s="124"/>
      <c r="X8882" s="126" t="s">
        <v>25664</v>
      </c>
      <c r="Y8882" s="127"/>
      <c r="Z8882" s="127"/>
      <c r="AA8882" s="127"/>
      <c r="AB8882" s="128"/>
      <c r="AC8882" s="15" t="s">
        <v>25353</v>
      </c>
      <c r="AD8882" s="129"/>
      <c r="AE8882" s="130"/>
      <c r="AF8882" s="130"/>
      <c r="AG8882" s="130"/>
      <c r="AH8882" s="130"/>
      <c r="AI8882" s="131"/>
      <c r="AJ8882" s="132"/>
      <c r="AK8882" s="127"/>
      <c r="AL8882" s="128"/>
      <c r="AM8882" s="21"/>
      <c r="AN8882" s="133">
        <v>46158</v>
      </c>
      <c r="AO8882" s="134"/>
      <c r="AP8882" s="135">
        <v>1300</v>
      </c>
      <c r="AQ8882" s="136"/>
      <c r="AR8882" s="118">
        <v>430000</v>
      </c>
      <c r="AS8882" s="119"/>
      <c r="AT8882" s="118">
        <f t="shared" ref="AT8882" si="13655">AR8882*0.1</f>
        <v>43000</v>
      </c>
      <c r="AU8882" s="119"/>
      <c r="AV8882" s="118">
        <v>9770</v>
      </c>
      <c r="AW8882" s="119"/>
      <c r="AX8882" s="118">
        <f t="shared" ref="AX8882" si="13656">SUM(AR8882:AW8882)</f>
        <v>482770</v>
      </c>
      <c r="AY8882" s="119"/>
      <c r="AZ8882" s="137">
        <v>46161</v>
      </c>
    </row>
    <row r="8883" spans="1:52" ht="17.100000000000001" customHeight="1" thickBot="1">
      <c r="A8883" s="110"/>
      <c r="B8883" s="27" t="s">
        <v>2131</v>
      </c>
      <c r="C8883" s="27">
        <v>3423</v>
      </c>
      <c r="D8883" s="14" t="s">
        <v>1720</v>
      </c>
      <c r="E8883" s="112"/>
      <c r="F8883" s="139" t="s">
        <v>25409</v>
      </c>
      <c r="G8883" s="140"/>
      <c r="H8883" s="141"/>
      <c r="I8883" s="26">
        <v>51565</v>
      </c>
      <c r="J8883" s="117"/>
      <c r="K8883" s="120"/>
      <c r="L8883" s="121"/>
      <c r="M8883" s="120"/>
      <c r="N8883" s="121"/>
      <c r="O8883" s="120"/>
      <c r="P8883" s="121"/>
      <c r="Q8883" s="120"/>
      <c r="R8883" s="121"/>
      <c r="S8883" s="120"/>
      <c r="T8883" s="121"/>
      <c r="U8883" s="120"/>
      <c r="V8883" s="123"/>
      <c r="W8883" s="125"/>
      <c r="X8883" s="142" t="s">
        <v>25665</v>
      </c>
      <c r="Y8883" s="143"/>
      <c r="Z8883" s="143"/>
      <c r="AA8883" s="143"/>
      <c r="AB8883" s="144"/>
      <c r="AC8883" s="16" t="s">
        <v>21</v>
      </c>
      <c r="AD8883" s="17" t="s">
        <v>2730</v>
      </c>
      <c r="AE8883" s="145" t="s">
        <v>4077</v>
      </c>
      <c r="AF8883" s="146"/>
      <c r="AG8883" s="146"/>
      <c r="AH8883" s="146"/>
      <c r="AI8883" s="147"/>
      <c r="AJ8883" s="148"/>
      <c r="AK8883" s="143"/>
      <c r="AL8883" s="144"/>
      <c r="AM8883" s="22"/>
      <c r="AN8883" s="149" t="s">
        <v>2511</v>
      </c>
      <c r="AO8883" s="144"/>
      <c r="AP8883" s="148">
        <v>60353</v>
      </c>
      <c r="AQ8883" s="144"/>
      <c r="AR8883" s="120"/>
      <c r="AS8883" s="121"/>
      <c r="AT8883" s="120"/>
      <c r="AU8883" s="121"/>
      <c r="AV8883" s="120"/>
      <c r="AW8883" s="121"/>
      <c r="AX8883" s="120"/>
      <c r="AY8883" s="121"/>
      <c r="AZ8883" s="138"/>
    </row>
    <row r="8884" spans="1:52" ht="17.100000000000001" customHeight="1" thickTop="1">
      <c r="A8884" s="109" t="s">
        <v>25430</v>
      </c>
      <c r="B8884" s="28">
        <v>46154</v>
      </c>
      <c r="C8884" s="25">
        <v>1940</v>
      </c>
      <c r="D8884" s="13" t="s">
        <v>1586</v>
      </c>
      <c r="E8884" s="111"/>
      <c r="F8884" s="113" t="s">
        <v>25410</v>
      </c>
      <c r="G8884" s="114"/>
      <c r="H8884" s="115"/>
      <c r="I8884" s="24"/>
      <c r="J8884" s="116">
        <v>4</v>
      </c>
      <c r="K8884" s="118">
        <v>1083000</v>
      </c>
      <c r="L8884" s="119"/>
      <c r="M8884" s="118">
        <f t="shared" ref="M8884" si="13657">K8884*0.1</f>
        <v>108300</v>
      </c>
      <c r="N8884" s="119"/>
      <c r="O8884" s="118">
        <v>0</v>
      </c>
      <c r="P8884" s="119"/>
      <c r="Q8884" s="118">
        <v>18570</v>
      </c>
      <c r="R8884" s="119"/>
      <c r="S8884" s="118">
        <v>15950</v>
      </c>
      <c r="T8884" s="119"/>
      <c r="U8884" s="118">
        <f t="shared" ref="U8884" si="13658">SUM(K8884:T8885)</f>
        <v>1225820</v>
      </c>
      <c r="V8884" s="122"/>
      <c r="W8884" s="124"/>
      <c r="X8884" s="126" t="s">
        <v>25655</v>
      </c>
      <c r="Y8884" s="127"/>
      <c r="Z8884" s="127"/>
      <c r="AA8884" s="127"/>
      <c r="AB8884" s="128"/>
      <c r="AC8884" s="15" t="s">
        <v>20</v>
      </c>
      <c r="AD8884" s="129"/>
      <c r="AE8884" s="130"/>
      <c r="AF8884" s="130"/>
      <c r="AG8884" s="130"/>
      <c r="AH8884" s="130"/>
      <c r="AI8884" s="131"/>
      <c r="AJ8884" s="132"/>
      <c r="AK8884" s="127"/>
      <c r="AL8884" s="128"/>
      <c r="AM8884" s="21"/>
      <c r="AN8884" s="133">
        <v>46158</v>
      </c>
      <c r="AO8884" s="134"/>
      <c r="AP8884" s="135">
        <v>1300</v>
      </c>
      <c r="AQ8884" s="136"/>
      <c r="AR8884" s="118">
        <v>1195000</v>
      </c>
      <c r="AS8884" s="119"/>
      <c r="AT8884" s="118">
        <f t="shared" ref="AT8884" si="13659">AR8884*0.1</f>
        <v>119500</v>
      </c>
      <c r="AU8884" s="119"/>
      <c r="AV8884" s="118">
        <v>18570</v>
      </c>
      <c r="AW8884" s="119"/>
      <c r="AX8884" s="118">
        <f t="shared" ref="AX8884" si="13660">SUM(AR8884:AW8884)</f>
        <v>1333070</v>
      </c>
      <c r="AY8884" s="119"/>
      <c r="AZ8884" s="137">
        <v>46161</v>
      </c>
    </row>
    <row r="8885" spans="1:52" ht="17.100000000000001" customHeight="1" thickBot="1">
      <c r="A8885" s="110"/>
      <c r="B8885" s="27" t="s">
        <v>2131</v>
      </c>
      <c r="C8885" s="27">
        <v>32058</v>
      </c>
      <c r="D8885" s="14" t="s">
        <v>1576</v>
      </c>
      <c r="E8885" s="112"/>
      <c r="F8885" s="139" t="s">
        <v>25470</v>
      </c>
      <c r="G8885" s="140"/>
      <c r="H8885" s="141"/>
      <c r="I8885" s="26">
        <v>37898</v>
      </c>
      <c r="J8885" s="117"/>
      <c r="K8885" s="120"/>
      <c r="L8885" s="121"/>
      <c r="M8885" s="120"/>
      <c r="N8885" s="121"/>
      <c r="O8885" s="120"/>
      <c r="P8885" s="121"/>
      <c r="Q8885" s="120"/>
      <c r="R8885" s="121"/>
      <c r="S8885" s="120"/>
      <c r="T8885" s="121"/>
      <c r="U8885" s="120"/>
      <c r="V8885" s="123"/>
      <c r="W8885" s="125"/>
      <c r="X8885" s="142" t="s">
        <v>25656</v>
      </c>
      <c r="Y8885" s="143"/>
      <c r="Z8885" s="143"/>
      <c r="AA8885" s="143"/>
      <c r="AB8885" s="144"/>
      <c r="AC8885" s="16" t="s">
        <v>21</v>
      </c>
      <c r="AD8885" s="17" t="s">
        <v>2730</v>
      </c>
      <c r="AE8885" s="145" t="s">
        <v>9450</v>
      </c>
      <c r="AF8885" s="146"/>
      <c r="AG8885" s="146"/>
      <c r="AH8885" s="146"/>
      <c r="AI8885" s="147"/>
      <c r="AJ8885" s="148"/>
      <c r="AK8885" s="143"/>
      <c r="AL8885" s="144"/>
      <c r="AM8885" s="22"/>
      <c r="AN8885" s="149" t="s">
        <v>2511</v>
      </c>
      <c r="AO8885" s="144"/>
      <c r="AP8885" s="148">
        <v>80347</v>
      </c>
      <c r="AQ8885" s="144"/>
      <c r="AR8885" s="120"/>
      <c r="AS8885" s="121"/>
      <c r="AT8885" s="120"/>
      <c r="AU8885" s="121"/>
      <c r="AV8885" s="120"/>
      <c r="AW8885" s="121"/>
      <c r="AX8885" s="120"/>
      <c r="AY8885" s="121"/>
      <c r="AZ8885" s="138"/>
    </row>
    <row r="8886" spans="1:52" ht="17.100000000000001" customHeight="1" thickTop="1">
      <c r="A8886" s="109" t="s">
        <v>25431</v>
      </c>
      <c r="B8886" s="28">
        <v>46154</v>
      </c>
      <c r="C8886" s="25">
        <v>1940</v>
      </c>
      <c r="D8886" s="13" t="s">
        <v>1786</v>
      </c>
      <c r="E8886" s="111"/>
      <c r="F8886" s="113" t="s">
        <v>15089</v>
      </c>
      <c r="G8886" s="114"/>
      <c r="H8886" s="115"/>
      <c r="I8886" s="24"/>
      <c r="J8886" s="116">
        <v>4</v>
      </c>
      <c r="K8886" s="118">
        <v>1086000</v>
      </c>
      <c r="L8886" s="119"/>
      <c r="M8886" s="118">
        <f t="shared" ref="M8886" si="13661">K8886*0.1</f>
        <v>108600</v>
      </c>
      <c r="N8886" s="119"/>
      <c r="O8886" s="118">
        <v>0</v>
      </c>
      <c r="P8886" s="119"/>
      <c r="Q8886" s="118">
        <v>8990</v>
      </c>
      <c r="R8886" s="119"/>
      <c r="S8886" s="118">
        <v>15950</v>
      </c>
      <c r="T8886" s="119"/>
      <c r="U8886" s="118">
        <f t="shared" ref="U8886" si="13662">SUM(K8886:T8887)</f>
        <v>1219540</v>
      </c>
      <c r="V8886" s="122"/>
      <c r="W8886" s="124"/>
      <c r="X8886" s="126" t="s">
        <v>25663</v>
      </c>
      <c r="Y8886" s="127"/>
      <c r="Z8886" s="127"/>
      <c r="AA8886" s="127"/>
      <c r="AB8886" s="128"/>
      <c r="AC8886" s="15" t="s">
        <v>20</v>
      </c>
      <c r="AD8886" s="129"/>
      <c r="AE8886" s="130"/>
      <c r="AF8886" s="130"/>
      <c r="AG8886" s="130"/>
      <c r="AH8886" s="130"/>
      <c r="AI8886" s="131"/>
      <c r="AJ8886" s="132"/>
      <c r="AK8886" s="127"/>
      <c r="AL8886" s="128"/>
      <c r="AM8886" s="21"/>
      <c r="AN8886" s="133">
        <v>46158</v>
      </c>
      <c r="AO8886" s="134"/>
      <c r="AP8886" s="135">
        <v>1300</v>
      </c>
      <c r="AQ8886" s="136"/>
      <c r="AR8886" s="118">
        <v>1200000</v>
      </c>
      <c r="AS8886" s="119"/>
      <c r="AT8886" s="118">
        <f t="shared" ref="AT8886" si="13663">AR8886*0.1</f>
        <v>120000</v>
      </c>
      <c r="AU8886" s="119"/>
      <c r="AV8886" s="118">
        <v>8990</v>
      </c>
      <c r="AW8886" s="119"/>
      <c r="AX8886" s="118">
        <f t="shared" ref="AX8886" si="13664">SUM(AR8886:AW8886)</f>
        <v>1328990</v>
      </c>
      <c r="AY8886" s="119"/>
      <c r="AZ8886" s="137"/>
    </row>
    <row r="8887" spans="1:52" ht="17.100000000000001" customHeight="1" thickBot="1">
      <c r="A8887" s="110"/>
      <c r="B8887" s="27" t="s">
        <v>2131</v>
      </c>
      <c r="C8887" s="27">
        <v>62077</v>
      </c>
      <c r="D8887" s="14" t="s">
        <v>1592</v>
      </c>
      <c r="E8887" s="112"/>
      <c r="F8887" s="139" t="s">
        <v>25411</v>
      </c>
      <c r="G8887" s="140"/>
      <c r="H8887" s="141"/>
      <c r="I8887" s="26">
        <v>33437</v>
      </c>
      <c r="J8887" s="117"/>
      <c r="K8887" s="120"/>
      <c r="L8887" s="121"/>
      <c r="M8887" s="120"/>
      <c r="N8887" s="121"/>
      <c r="O8887" s="120"/>
      <c r="P8887" s="121"/>
      <c r="Q8887" s="120"/>
      <c r="R8887" s="121"/>
      <c r="S8887" s="120"/>
      <c r="T8887" s="121"/>
      <c r="U8887" s="120"/>
      <c r="V8887" s="123"/>
      <c r="W8887" s="125"/>
      <c r="X8887" s="142" t="s">
        <v>11158</v>
      </c>
      <c r="Y8887" s="143"/>
      <c r="Z8887" s="143"/>
      <c r="AA8887" s="143"/>
      <c r="AB8887" s="144"/>
      <c r="AC8887" s="16" t="s">
        <v>21</v>
      </c>
      <c r="AD8887" s="17" t="s">
        <v>2730</v>
      </c>
      <c r="AE8887" s="145"/>
      <c r="AF8887" s="146"/>
      <c r="AG8887" s="146"/>
      <c r="AH8887" s="146"/>
      <c r="AI8887" s="147"/>
      <c r="AJ8887" s="148"/>
      <c r="AK8887" s="143"/>
      <c r="AL8887" s="144"/>
      <c r="AM8887" s="22"/>
      <c r="AN8887" s="149" t="s">
        <v>6748</v>
      </c>
      <c r="AO8887" s="144"/>
      <c r="AP8887" s="148">
        <v>41128</v>
      </c>
      <c r="AQ8887" s="144"/>
      <c r="AR8887" s="120"/>
      <c r="AS8887" s="121"/>
      <c r="AT8887" s="120"/>
      <c r="AU8887" s="121"/>
      <c r="AV8887" s="120"/>
      <c r="AW8887" s="121"/>
      <c r="AX8887" s="120"/>
      <c r="AY8887" s="121"/>
      <c r="AZ8887" s="138"/>
    </row>
    <row r="8888" spans="1:52" ht="17.100000000000001" customHeight="1" thickTop="1">
      <c r="A8888" s="109" t="s">
        <v>25432</v>
      </c>
      <c r="B8888" s="28">
        <v>46154</v>
      </c>
      <c r="C8888" s="25">
        <v>1940</v>
      </c>
      <c r="D8888" s="13" t="s">
        <v>1953</v>
      </c>
      <c r="E8888" s="111"/>
      <c r="F8888" s="113" t="s">
        <v>15531</v>
      </c>
      <c r="G8888" s="114"/>
      <c r="H8888" s="115"/>
      <c r="I8888" s="24"/>
      <c r="J8888" s="116">
        <v>4</v>
      </c>
      <c r="K8888" s="118">
        <v>371000</v>
      </c>
      <c r="L8888" s="119"/>
      <c r="M8888" s="118">
        <f t="shared" ref="M8888" si="13665">K8888*0.1</f>
        <v>37100</v>
      </c>
      <c r="N8888" s="119"/>
      <c r="O8888" s="118">
        <v>0</v>
      </c>
      <c r="P8888" s="119"/>
      <c r="Q8888" s="118">
        <v>8850</v>
      </c>
      <c r="R8888" s="119"/>
      <c r="S8888" s="118">
        <v>15950</v>
      </c>
      <c r="T8888" s="119"/>
      <c r="U8888" s="118">
        <f t="shared" ref="U8888" si="13666">SUM(K8888:T8889)</f>
        <v>432900</v>
      </c>
      <c r="V8888" s="122"/>
      <c r="W8888" s="124"/>
      <c r="X8888" s="126" t="s">
        <v>26016</v>
      </c>
      <c r="Y8888" s="127"/>
      <c r="Z8888" s="127"/>
      <c r="AA8888" s="127"/>
      <c r="AB8888" s="128"/>
      <c r="AC8888" s="15" t="s">
        <v>20</v>
      </c>
      <c r="AD8888" s="129"/>
      <c r="AE8888" s="130"/>
      <c r="AF8888" s="130"/>
      <c r="AG8888" s="130"/>
      <c r="AH8888" s="130"/>
      <c r="AI8888" s="131"/>
      <c r="AJ8888" s="132"/>
      <c r="AK8888" s="127"/>
      <c r="AL8888" s="128"/>
      <c r="AM8888" s="21"/>
      <c r="AN8888" s="133">
        <v>46158</v>
      </c>
      <c r="AO8888" s="134"/>
      <c r="AP8888" s="135">
        <v>1300</v>
      </c>
      <c r="AQ8888" s="136"/>
      <c r="AR8888" s="118">
        <v>475000</v>
      </c>
      <c r="AS8888" s="119"/>
      <c r="AT8888" s="118">
        <f t="shared" ref="AT8888" si="13667">AR8888*0.1</f>
        <v>47500</v>
      </c>
      <c r="AU8888" s="119"/>
      <c r="AV8888" s="118">
        <v>8850</v>
      </c>
      <c r="AW8888" s="119"/>
      <c r="AX8888" s="118">
        <f t="shared" ref="AX8888" si="13668">SUM(AR8888:AW8888)</f>
        <v>531350</v>
      </c>
      <c r="AY8888" s="119"/>
      <c r="AZ8888" s="137"/>
    </row>
    <row r="8889" spans="1:52" ht="17.100000000000001" customHeight="1" thickBot="1">
      <c r="A8889" s="110"/>
      <c r="B8889" s="27" t="s">
        <v>2131</v>
      </c>
      <c r="C8889" s="27">
        <v>70049</v>
      </c>
      <c r="D8889" s="14" t="s">
        <v>1720</v>
      </c>
      <c r="E8889" s="112"/>
      <c r="F8889" s="139" t="s">
        <v>25412</v>
      </c>
      <c r="G8889" s="140"/>
      <c r="H8889" s="141"/>
      <c r="I8889" s="26">
        <v>57818</v>
      </c>
      <c r="J8889" s="117"/>
      <c r="K8889" s="120"/>
      <c r="L8889" s="121"/>
      <c r="M8889" s="120"/>
      <c r="N8889" s="121"/>
      <c r="O8889" s="120"/>
      <c r="P8889" s="121"/>
      <c r="Q8889" s="120"/>
      <c r="R8889" s="121"/>
      <c r="S8889" s="120"/>
      <c r="T8889" s="121"/>
      <c r="U8889" s="120"/>
      <c r="V8889" s="123"/>
      <c r="W8889" s="125"/>
      <c r="X8889" s="142" t="s">
        <v>5250</v>
      </c>
      <c r="Y8889" s="143"/>
      <c r="Z8889" s="143"/>
      <c r="AA8889" s="143"/>
      <c r="AB8889" s="144"/>
      <c r="AC8889" s="16" t="s">
        <v>21</v>
      </c>
      <c r="AD8889" s="17" t="s">
        <v>1976</v>
      </c>
      <c r="AE8889" s="145" t="s">
        <v>25687</v>
      </c>
      <c r="AF8889" s="146"/>
      <c r="AG8889" s="146"/>
      <c r="AH8889" s="146"/>
      <c r="AI8889" s="147"/>
      <c r="AJ8889" s="148"/>
      <c r="AK8889" s="143"/>
      <c r="AL8889" s="144"/>
      <c r="AM8889" s="22"/>
      <c r="AN8889" s="149" t="s">
        <v>2511</v>
      </c>
      <c r="AO8889" s="144"/>
      <c r="AP8889" s="148">
        <v>60414</v>
      </c>
      <c r="AQ8889" s="144"/>
      <c r="AR8889" s="120"/>
      <c r="AS8889" s="121"/>
      <c r="AT8889" s="120"/>
      <c r="AU8889" s="121"/>
      <c r="AV8889" s="120"/>
      <c r="AW8889" s="121"/>
      <c r="AX8889" s="120"/>
      <c r="AY8889" s="121"/>
      <c r="AZ8889" s="138"/>
    </row>
    <row r="8890" spans="1:52" ht="17.100000000000001" customHeight="1" thickTop="1">
      <c r="A8890" s="109" t="s">
        <v>25433</v>
      </c>
      <c r="B8890" s="28">
        <v>46154</v>
      </c>
      <c r="C8890" s="25">
        <v>1940</v>
      </c>
      <c r="D8890" s="13" t="s">
        <v>1902</v>
      </c>
      <c r="E8890" s="111"/>
      <c r="F8890" s="113" t="s">
        <v>25413</v>
      </c>
      <c r="G8890" s="114"/>
      <c r="H8890" s="115"/>
      <c r="I8890" s="24"/>
      <c r="J8890" s="116">
        <v>4</v>
      </c>
      <c r="K8890" s="118">
        <v>1155000</v>
      </c>
      <c r="L8890" s="119"/>
      <c r="M8890" s="118">
        <f t="shared" ref="M8890" si="13669">K8890*0.1</f>
        <v>115500</v>
      </c>
      <c r="N8890" s="119"/>
      <c r="O8890" s="118">
        <v>0</v>
      </c>
      <c r="P8890" s="119"/>
      <c r="Q8890" s="118">
        <v>7440</v>
      </c>
      <c r="R8890" s="119"/>
      <c r="S8890" s="118">
        <v>15950</v>
      </c>
      <c r="T8890" s="119"/>
      <c r="U8890" s="118">
        <f t="shared" ref="U8890" si="13670">SUM(K8890:T8891)</f>
        <v>1293890</v>
      </c>
      <c r="V8890" s="122"/>
      <c r="W8890" s="124"/>
      <c r="X8890" s="126" t="s">
        <v>25732</v>
      </c>
      <c r="Y8890" s="127"/>
      <c r="Z8890" s="127"/>
      <c r="AA8890" s="127"/>
      <c r="AB8890" s="128"/>
      <c r="AC8890" s="15" t="s">
        <v>20</v>
      </c>
      <c r="AD8890" s="129"/>
      <c r="AE8890" s="130"/>
      <c r="AF8890" s="130"/>
      <c r="AG8890" s="130"/>
      <c r="AH8890" s="130"/>
      <c r="AI8890" s="131"/>
      <c r="AJ8890" s="132"/>
      <c r="AK8890" s="127"/>
      <c r="AL8890" s="128"/>
      <c r="AM8890" s="21"/>
      <c r="AN8890" s="133"/>
      <c r="AO8890" s="134"/>
      <c r="AP8890" s="135"/>
      <c r="AQ8890" s="136"/>
      <c r="AR8890" s="118"/>
      <c r="AS8890" s="119"/>
      <c r="AT8890" s="118">
        <f t="shared" ref="AT8890" si="13671">AR8890*0.1</f>
        <v>0</v>
      </c>
      <c r="AU8890" s="119"/>
      <c r="AV8890" s="118"/>
      <c r="AW8890" s="119"/>
      <c r="AX8890" s="118">
        <f t="shared" ref="AX8890" si="13672">SUM(AR8890:AW8890)</f>
        <v>0</v>
      </c>
      <c r="AY8890" s="119"/>
      <c r="AZ8890" s="137"/>
    </row>
    <row r="8891" spans="1:52" ht="17.100000000000001" customHeight="1" thickBot="1">
      <c r="A8891" s="110"/>
      <c r="B8891" s="27" t="s">
        <v>2131</v>
      </c>
      <c r="C8891" s="27">
        <v>79116</v>
      </c>
      <c r="D8891" s="14" t="s">
        <v>1592</v>
      </c>
      <c r="E8891" s="112"/>
      <c r="F8891" s="139" t="s">
        <v>25414</v>
      </c>
      <c r="G8891" s="140"/>
      <c r="H8891" s="141"/>
      <c r="I8891" s="26">
        <v>31629</v>
      </c>
      <c r="J8891" s="117"/>
      <c r="K8891" s="120"/>
      <c r="L8891" s="121"/>
      <c r="M8891" s="120"/>
      <c r="N8891" s="121"/>
      <c r="O8891" s="120"/>
      <c r="P8891" s="121"/>
      <c r="Q8891" s="120"/>
      <c r="R8891" s="121"/>
      <c r="S8891" s="120"/>
      <c r="T8891" s="121"/>
      <c r="U8891" s="120"/>
      <c r="V8891" s="123"/>
      <c r="W8891" s="125"/>
      <c r="X8891" s="142" t="s">
        <v>7450</v>
      </c>
      <c r="Y8891" s="143"/>
      <c r="Z8891" s="143"/>
      <c r="AA8891" s="143"/>
      <c r="AB8891" s="144"/>
      <c r="AC8891" s="16" t="s">
        <v>21</v>
      </c>
      <c r="AD8891" s="17" t="s">
        <v>25722</v>
      </c>
      <c r="AE8891" s="145"/>
      <c r="AF8891" s="146"/>
      <c r="AG8891" s="146"/>
      <c r="AH8891" s="146"/>
      <c r="AI8891" s="147"/>
      <c r="AJ8891" s="148"/>
      <c r="AK8891" s="143"/>
      <c r="AL8891" s="144"/>
      <c r="AM8891" s="22"/>
      <c r="AN8891" s="149"/>
      <c r="AO8891" s="144"/>
      <c r="AP8891" s="148"/>
      <c r="AQ8891" s="144"/>
      <c r="AR8891" s="120"/>
      <c r="AS8891" s="121"/>
      <c r="AT8891" s="120"/>
      <c r="AU8891" s="121"/>
      <c r="AV8891" s="120"/>
      <c r="AW8891" s="121"/>
      <c r="AX8891" s="120"/>
      <c r="AY8891" s="121"/>
      <c r="AZ8891" s="138"/>
    </row>
    <row r="8892" spans="1:52" ht="17.100000000000001" customHeight="1" thickTop="1">
      <c r="A8892" s="109" t="s">
        <v>25434</v>
      </c>
      <c r="B8892" s="28">
        <v>46154</v>
      </c>
      <c r="C8892" s="25">
        <v>1940</v>
      </c>
      <c r="D8892" s="13" t="s">
        <v>2001</v>
      </c>
      <c r="E8892" s="111"/>
      <c r="F8892" s="113" t="s">
        <v>15533</v>
      </c>
      <c r="G8892" s="114"/>
      <c r="H8892" s="115"/>
      <c r="I8892" s="24"/>
      <c r="J8892" s="116">
        <v>4.5</v>
      </c>
      <c r="K8892" s="118">
        <v>582000</v>
      </c>
      <c r="L8892" s="119"/>
      <c r="M8892" s="118">
        <f t="shared" ref="M8892" si="13673">K8892*0.1</f>
        <v>58200</v>
      </c>
      <c r="N8892" s="119"/>
      <c r="O8892" s="118">
        <v>0</v>
      </c>
      <c r="P8892" s="119"/>
      <c r="Q8892" s="118">
        <v>6550</v>
      </c>
      <c r="R8892" s="119"/>
      <c r="S8892" s="118">
        <v>15950</v>
      </c>
      <c r="T8892" s="119"/>
      <c r="U8892" s="118">
        <f t="shared" ref="U8892" si="13674">SUM(K8892:T8893)</f>
        <v>662700</v>
      </c>
      <c r="V8892" s="122"/>
      <c r="W8892" s="124"/>
      <c r="X8892" s="126" t="s">
        <v>25733</v>
      </c>
      <c r="Y8892" s="127"/>
      <c r="Z8892" s="127"/>
      <c r="AA8892" s="127"/>
      <c r="AB8892" s="128"/>
      <c r="AC8892" s="15" t="s">
        <v>20</v>
      </c>
      <c r="AD8892" s="129" t="s">
        <v>1670</v>
      </c>
      <c r="AE8892" s="130"/>
      <c r="AF8892" s="130"/>
      <c r="AG8892" s="130"/>
      <c r="AH8892" s="130"/>
      <c r="AI8892" s="131"/>
      <c r="AJ8892" s="132"/>
      <c r="AK8892" s="127"/>
      <c r="AL8892" s="128"/>
      <c r="AM8892" s="21"/>
      <c r="AN8892" s="133"/>
      <c r="AO8892" s="134"/>
      <c r="AP8892" s="135"/>
      <c r="AQ8892" s="136"/>
      <c r="AR8892" s="118"/>
      <c r="AS8892" s="119"/>
      <c r="AT8892" s="118">
        <f t="shared" ref="AT8892" si="13675">AR8892*0.1</f>
        <v>0</v>
      </c>
      <c r="AU8892" s="119"/>
      <c r="AV8892" s="118"/>
      <c r="AW8892" s="119"/>
      <c r="AX8892" s="118">
        <f t="shared" ref="AX8892" si="13676">SUM(AR8892:AW8892)</f>
        <v>0</v>
      </c>
      <c r="AY8892" s="119"/>
      <c r="AZ8892" s="137"/>
    </row>
    <row r="8893" spans="1:52" ht="17.100000000000001" customHeight="1" thickBot="1">
      <c r="A8893" s="110"/>
      <c r="B8893" s="27" t="s">
        <v>2131</v>
      </c>
      <c r="C8893" s="27">
        <v>79140</v>
      </c>
      <c r="D8893" s="14" t="s">
        <v>1720</v>
      </c>
      <c r="E8893" s="112"/>
      <c r="F8893" s="139" t="s">
        <v>25415</v>
      </c>
      <c r="G8893" s="140"/>
      <c r="H8893" s="141"/>
      <c r="I8893" s="26">
        <v>8428</v>
      </c>
      <c r="J8893" s="117"/>
      <c r="K8893" s="120"/>
      <c r="L8893" s="121"/>
      <c r="M8893" s="120"/>
      <c r="N8893" s="121"/>
      <c r="O8893" s="120"/>
      <c r="P8893" s="121"/>
      <c r="Q8893" s="120"/>
      <c r="R8893" s="121"/>
      <c r="S8893" s="120"/>
      <c r="T8893" s="121"/>
      <c r="U8893" s="120"/>
      <c r="V8893" s="123"/>
      <c r="W8893" s="125"/>
      <c r="X8893" s="142" t="s">
        <v>7450</v>
      </c>
      <c r="Y8893" s="143"/>
      <c r="Z8893" s="143"/>
      <c r="AA8893" s="143"/>
      <c r="AB8893" s="144"/>
      <c r="AC8893" s="16" t="s">
        <v>21</v>
      </c>
      <c r="AD8893" s="17" t="s">
        <v>25722</v>
      </c>
      <c r="AE8893" s="145" t="s">
        <v>10331</v>
      </c>
      <c r="AF8893" s="146"/>
      <c r="AG8893" s="146"/>
      <c r="AH8893" s="146"/>
      <c r="AI8893" s="147"/>
      <c r="AJ8893" s="148"/>
      <c r="AK8893" s="143"/>
      <c r="AL8893" s="144"/>
      <c r="AM8893" s="22"/>
      <c r="AN8893" s="149"/>
      <c r="AO8893" s="144"/>
      <c r="AP8893" s="148"/>
      <c r="AQ8893" s="144"/>
      <c r="AR8893" s="120"/>
      <c r="AS8893" s="121"/>
      <c r="AT8893" s="120"/>
      <c r="AU8893" s="121"/>
      <c r="AV8893" s="120"/>
      <c r="AW8893" s="121"/>
      <c r="AX8893" s="120"/>
      <c r="AY8893" s="121"/>
      <c r="AZ8893" s="138"/>
    </row>
    <row r="8894" spans="1:52" ht="17.100000000000001" customHeight="1" thickTop="1">
      <c r="A8894" s="109" t="s">
        <v>25435</v>
      </c>
      <c r="B8894" s="28">
        <v>46154</v>
      </c>
      <c r="C8894" s="25">
        <v>1940</v>
      </c>
      <c r="D8894" s="13" t="s">
        <v>1651</v>
      </c>
      <c r="E8894" s="111"/>
      <c r="F8894" s="113" t="s">
        <v>15089</v>
      </c>
      <c r="G8894" s="114"/>
      <c r="H8894" s="115"/>
      <c r="I8894" s="24"/>
      <c r="J8894" s="116">
        <v>4.5</v>
      </c>
      <c r="K8894" s="118">
        <v>1217000</v>
      </c>
      <c r="L8894" s="119"/>
      <c r="M8894" s="118">
        <f t="shared" ref="M8894" si="13677">K8894*0.1</f>
        <v>121700</v>
      </c>
      <c r="N8894" s="119"/>
      <c r="O8894" s="118">
        <v>0</v>
      </c>
      <c r="P8894" s="119"/>
      <c r="Q8894" s="118">
        <v>8990</v>
      </c>
      <c r="R8894" s="119"/>
      <c r="S8894" s="118">
        <v>15950</v>
      </c>
      <c r="T8894" s="119"/>
      <c r="U8894" s="118">
        <f t="shared" ref="U8894" si="13678">SUM(K8894:T8895)</f>
        <v>1363640</v>
      </c>
      <c r="V8894" s="122"/>
      <c r="W8894" s="124"/>
      <c r="X8894" s="126" t="s">
        <v>25661</v>
      </c>
      <c r="Y8894" s="127"/>
      <c r="Z8894" s="127"/>
      <c r="AA8894" s="127"/>
      <c r="AB8894" s="128"/>
      <c r="AC8894" s="15" t="s">
        <v>20</v>
      </c>
      <c r="AD8894" s="129"/>
      <c r="AE8894" s="130"/>
      <c r="AF8894" s="130"/>
      <c r="AG8894" s="130"/>
      <c r="AH8894" s="130"/>
      <c r="AI8894" s="131"/>
      <c r="AJ8894" s="132"/>
      <c r="AK8894" s="127"/>
      <c r="AL8894" s="128"/>
      <c r="AM8894" s="21"/>
      <c r="AN8894" s="133"/>
      <c r="AO8894" s="134"/>
      <c r="AP8894" s="135"/>
      <c r="AQ8894" s="136"/>
      <c r="AR8894" s="118"/>
      <c r="AS8894" s="119"/>
      <c r="AT8894" s="118">
        <f t="shared" ref="AT8894" si="13679">AR8894*0.1</f>
        <v>0</v>
      </c>
      <c r="AU8894" s="119"/>
      <c r="AV8894" s="118"/>
      <c r="AW8894" s="119"/>
      <c r="AX8894" s="118">
        <f t="shared" ref="AX8894" si="13680">SUM(AR8894:AW8894)</f>
        <v>0</v>
      </c>
      <c r="AY8894" s="119"/>
      <c r="AZ8894" s="137"/>
    </row>
    <row r="8895" spans="1:52" ht="17.100000000000001" customHeight="1" thickBot="1">
      <c r="A8895" s="110"/>
      <c r="B8895" s="27" t="s">
        <v>2131</v>
      </c>
      <c r="C8895" s="27">
        <v>79219</v>
      </c>
      <c r="D8895" s="14" t="s">
        <v>1592</v>
      </c>
      <c r="E8895" s="112"/>
      <c r="F8895" s="139" t="s">
        <v>25416</v>
      </c>
      <c r="G8895" s="140"/>
      <c r="H8895" s="141"/>
      <c r="I8895" s="26">
        <v>14541</v>
      </c>
      <c r="J8895" s="117"/>
      <c r="K8895" s="120"/>
      <c r="L8895" s="121"/>
      <c r="M8895" s="120"/>
      <c r="N8895" s="121"/>
      <c r="O8895" s="120"/>
      <c r="P8895" s="121"/>
      <c r="Q8895" s="120"/>
      <c r="R8895" s="121"/>
      <c r="S8895" s="120"/>
      <c r="T8895" s="121"/>
      <c r="U8895" s="120"/>
      <c r="V8895" s="123"/>
      <c r="W8895" s="125"/>
      <c r="X8895" s="142" t="s">
        <v>25662</v>
      </c>
      <c r="Y8895" s="143"/>
      <c r="Z8895" s="143"/>
      <c r="AA8895" s="143"/>
      <c r="AB8895" s="144"/>
      <c r="AC8895" s="16" t="s">
        <v>21</v>
      </c>
      <c r="AD8895" s="17" t="s">
        <v>2730</v>
      </c>
      <c r="AE8895" s="145"/>
      <c r="AF8895" s="146"/>
      <c r="AG8895" s="146"/>
      <c r="AH8895" s="146"/>
      <c r="AI8895" s="147"/>
      <c r="AJ8895" s="148"/>
      <c r="AK8895" s="143"/>
      <c r="AL8895" s="144"/>
      <c r="AM8895" s="22"/>
      <c r="AN8895" s="149"/>
      <c r="AO8895" s="144"/>
      <c r="AP8895" s="148"/>
      <c r="AQ8895" s="144"/>
      <c r="AR8895" s="120"/>
      <c r="AS8895" s="121"/>
      <c r="AT8895" s="120"/>
      <c r="AU8895" s="121"/>
      <c r="AV8895" s="120"/>
      <c r="AW8895" s="121"/>
      <c r="AX8895" s="120"/>
      <c r="AY8895" s="121"/>
      <c r="AZ8895" s="138"/>
    </row>
    <row r="8896" spans="1:52" ht="17.100000000000001" customHeight="1" thickTop="1">
      <c r="A8896" s="109" t="s">
        <v>25436</v>
      </c>
      <c r="B8896" s="28">
        <v>46154</v>
      </c>
      <c r="C8896" s="25">
        <v>1940</v>
      </c>
      <c r="D8896" s="13" t="s">
        <v>2359</v>
      </c>
      <c r="E8896" s="111"/>
      <c r="F8896" s="113" t="s">
        <v>17575</v>
      </c>
      <c r="G8896" s="114"/>
      <c r="H8896" s="115"/>
      <c r="I8896" s="24"/>
      <c r="J8896" s="116">
        <v>4</v>
      </c>
      <c r="K8896" s="118">
        <v>819000</v>
      </c>
      <c r="L8896" s="119"/>
      <c r="M8896" s="118">
        <f t="shared" ref="M8896" si="13681">K8896*0.1</f>
        <v>81900</v>
      </c>
      <c r="N8896" s="119"/>
      <c r="O8896" s="118">
        <v>0</v>
      </c>
      <c r="P8896" s="119"/>
      <c r="Q8896" s="118">
        <v>7440</v>
      </c>
      <c r="R8896" s="119"/>
      <c r="S8896" s="118">
        <v>15950</v>
      </c>
      <c r="T8896" s="119"/>
      <c r="U8896" s="118">
        <f t="shared" ref="U8896" si="13682">SUM(K8896:T8897)</f>
        <v>924290</v>
      </c>
      <c r="V8896" s="122"/>
      <c r="W8896" s="124"/>
      <c r="X8896" s="126" t="s">
        <v>25660</v>
      </c>
      <c r="Y8896" s="127"/>
      <c r="Z8896" s="127"/>
      <c r="AA8896" s="127"/>
      <c r="AB8896" s="128"/>
      <c r="AC8896" s="15" t="s">
        <v>20</v>
      </c>
      <c r="AD8896" s="129"/>
      <c r="AE8896" s="130"/>
      <c r="AF8896" s="130"/>
      <c r="AG8896" s="130"/>
      <c r="AH8896" s="130"/>
      <c r="AI8896" s="131"/>
      <c r="AJ8896" s="132"/>
      <c r="AK8896" s="127"/>
      <c r="AL8896" s="128"/>
      <c r="AM8896" s="21"/>
      <c r="AN8896" s="133"/>
      <c r="AO8896" s="134"/>
      <c r="AP8896" s="135"/>
      <c r="AQ8896" s="136"/>
      <c r="AR8896" s="118"/>
      <c r="AS8896" s="119"/>
      <c r="AT8896" s="118">
        <f t="shared" ref="AT8896" si="13683">AR8896*0.1</f>
        <v>0</v>
      </c>
      <c r="AU8896" s="119"/>
      <c r="AV8896" s="118"/>
      <c r="AW8896" s="119"/>
      <c r="AX8896" s="118">
        <f t="shared" ref="AX8896" si="13684">SUM(AR8896:AW8896)</f>
        <v>0</v>
      </c>
      <c r="AY8896" s="119"/>
      <c r="AZ8896" s="137"/>
    </row>
    <row r="8897" spans="1:52" ht="17.100000000000001" customHeight="1" thickBot="1">
      <c r="A8897" s="110"/>
      <c r="B8897" s="27" t="s">
        <v>2131</v>
      </c>
      <c r="C8897" s="27">
        <v>79321</v>
      </c>
      <c r="D8897" s="14" t="s">
        <v>1720</v>
      </c>
      <c r="E8897" s="112"/>
      <c r="F8897" s="139" t="s">
        <v>25417</v>
      </c>
      <c r="G8897" s="140"/>
      <c r="H8897" s="141"/>
      <c r="I8897" s="26">
        <v>44870</v>
      </c>
      <c r="J8897" s="117"/>
      <c r="K8897" s="120"/>
      <c r="L8897" s="121"/>
      <c r="M8897" s="120"/>
      <c r="N8897" s="121"/>
      <c r="O8897" s="120"/>
      <c r="P8897" s="121"/>
      <c r="Q8897" s="120"/>
      <c r="R8897" s="121"/>
      <c r="S8897" s="120"/>
      <c r="T8897" s="121"/>
      <c r="U8897" s="120"/>
      <c r="V8897" s="123"/>
      <c r="W8897" s="125"/>
      <c r="X8897" s="142" t="s">
        <v>11158</v>
      </c>
      <c r="Y8897" s="143"/>
      <c r="Z8897" s="143"/>
      <c r="AA8897" s="143"/>
      <c r="AB8897" s="144"/>
      <c r="AC8897" s="16" t="s">
        <v>21</v>
      </c>
      <c r="AD8897" s="17" t="s">
        <v>2730</v>
      </c>
      <c r="AE8897" s="145"/>
      <c r="AF8897" s="146"/>
      <c r="AG8897" s="146"/>
      <c r="AH8897" s="146"/>
      <c r="AI8897" s="147"/>
      <c r="AJ8897" s="148"/>
      <c r="AK8897" s="143"/>
      <c r="AL8897" s="144"/>
      <c r="AM8897" s="22"/>
      <c r="AN8897" s="149"/>
      <c r="AO8897" s="144"/>
      <c r="AP8897" s="148"/>
      <c r="AQ8897" s="144"/>
      <c r="AR8897" s="120"/>
      <c r="AS8897" s="121"/>
      <c r="AT8897" s="120"/>
      <c r="AU8897" s="121"/>
      <c r="AV8897" s="120"/>
      <c r="AW8897" s="121"/>
      <c r="AX8897" s="120"/>
      <c r="AY8897" s="121"/>
      <c r="AZ8897" s="138"/>
    </row>
    <row r="8898" spans="1:52" ht="17.100000000000001" customHeight="1" thickTop="1">
      <c r="A8898" s="109" t="s">
        <v>25437</v>
      </c>
      <c r="B8898" s="28">
        <v>46154</v>
      </c>
      <c r="C8898" s="25">
        <v>1940</v>
      </c>
      <c r="D8898" s="13" t="s">
        <v>1651</v>
      </c>
      <c r="E8898" s="111"/>
      <c r="F8898" s="113" t="s">
        <v>7312</v>
      </c>
      <c r="G8898" s="114"/>
      <c r="H8898" s="115"/>
      <c r="I8898" s="24"/>
      <c r="J8898" s="116">
        <v>4</v>
      </c>
      <c r="K8898" s="118">
        <v>1232000</v>
      </c>
      <c r="L8898" s="119"/>
      <c r="M8898" s="118">
        <f t="shared" ref="M8898" si="13685">K8898*0.1</f>
        <v>123200</v>
      </c>
      <c r="N8898" s="119"/>
      <c r="O8898" s="118">
        <v>0</v>
      </c>
      <c r="P8898" s="119"/>
      <c r="Q8898" s="118">
        <v>6850</v>
      </c>
      <c r="R8898" s="119"/>
      <c r="S8898" s="118">
        <v>15950</v>
      </c>
      <c r="T8898" s="119"/>
      <c r="U8898" s="118">
        <f t="shared" ref="U8898" si="13686">SUM(K8898:T8899)</f>
        <v>1378000</v>
      </c>
      <c r="V8898" s="122"/>
      <c r="W8898" s="124"/>
      <c r="X8898" s="126" t="s">
        <v>26019</v>
      </c>
      <c r="Y8898" s="127"/>
      <c r="Z8898" s="127"/>
      <c r="AA8898" s="127"/>
      <c r="AB8898" s="128"/>
      <c r="AC8898" s="15" t="s">
        <v>20</v>
      </c>
      <c r="AD8898" s="129"/>
      <c r="AE8898" s="130"/>
      <c r="AF8898" s="130"/>
      <c r="AG8898" s="130"/>
      <c r="AH8898" s="130"/>
      <c r="AI8898" s="131"/>
      <c r="AJ8898" s="132"/>
      <c r="AK8898" s="127"/>
      <c r="AL8898" s="128"/>
      <c r="AM8898" s="21"/>
      <c r="AN8898" s="133"/>
      <c r="AO8898" s="134"/>
      <c r="AP8898" s="135"/>
      <c r="AQ8898" s="136"/>
      <c r="AR8898" s="118"/>
      <c r="AS8898" s="119"/>
      <c r="AT8898" s="118">
        <f t="shared" ref="AT8898" si="13687">AR8898*0.1</f>
        <v>0</v>
      </c>
      <c r="AU8898" s="119"/>
      <c r="AV8898" s="118"/>
      <c r="AW8898" s="119"/>
      <c r="AX8898" s="118">
        <f t="shared" ref="AX8898" si="13688">SUM(AR8898:AW8898)</f>
        <v>0</v>
      </c>
      <c r="AY8898" s="119"/>
      <c r="AZ8898" s="137"/>
    </row>
    <row r="8899" spans="1:52" ht="17.100000000000001" customHeight="1" thickBot="1">
      <c r="A8899" s="110"/>
      <c r="B8899" s="27" t="s">
        <v>2131</v>
      </c>
      <c r="C8899" s="27">
        <v>79404</v>
      </c>
      <c r="D8899" s="14" t="s">
        <v>2325</v>
      </c>
      <c r="E8899" s="112"/>
      <c r="F8899" s="139" t="s">
        <v>25418</v>
      </c>
      <c r="G8899" s="140"/>
      <c r="H8899" s="141"/>
      <c r="I8899" s="26">
        <v>46002</v>
      </c>
      <c r="J8899" s="117"/>
      <c r="K8899" s="120"/>
      <c r="L8899" s="121"/>
      <c r="M8899" s="120"/>
      <c r="N8899" s="121"/>
      <c r="O8899" s="120"/>
      <c r="P8899" s="121"/>
      <c r="Q8899" s="120"/>
      <c r="R8899" s="121"/>
      <c r="S8899" s="120"/>
      <c r="T8899" s="121"/>
      <c r="U8899" s="120"/>
      <c r="V8899" s="123"/>
      <c r="W8899" s="125"/>
      <c r="X8899" s="142" t="s">
        <v>5250</v>
      </c>
      <c r="Y8899" s="143"/>
      <c r="Z8899" s="143"/>
      <c r="AA8899" s="143"/>
      <c r="AB8899" s="144"/>
      <c r="AC8899" s="16" t="s">
        <v>21</v>
      </c>
      <c r="AD8899" s="17" t="s">
        <v>1976</v>
      </c>
      <c r="AE8899" s="145" t="s">
        <v>22911</v>
      </c>
      <c r="AF8899" s="146"/>
      <c r="AG8899" s="146"/>
      <c r="AH8899" s="146"/>
      <c r="AI8899" s="147"/>
      <c r="AJ8899" s="148"/>
      <c r="AK8899" s="143"/>
      <c r="AL8899" s="144"/>
      <c r="AM8899" s="22"/>
      <c r="AN8899" s="149"/>
      <c r="AO8899" s="144"/>
      <c r="AP8899" s="148"/>
      <c r="AQ8899" s="144"/>
      <c r="AR8899" s="120"/>
      <c r="AS8899" s="121"/>
      <c r="AT8899" s="120"/>
      <c r="AU8899" s="121"/>
      <c r="AV8899" s="120"/>
      <c r="AW8899" s="121"/>
      <c r="AX8899" s="120"/>
      <c r="AY8899" s="121"/>
      <c r="AZ8899" s="138"/>
    </row>
    <row r="8900" spans="1:52" ht="17.100000000000001" customHeight="1" thickTop="1">
      <c r="A8900" s="109" t="s">
        <v>25438</v>
      </c>
      <c r="B8900" s="28">
        <v>46154</v>
      </c>
      <c r="C8900" s="25">
        <v>818</v>
      </c>
      <c r="D8900" s="13" t="s">
        <v>2009</v>
      </c>
      <c r="E8900" s="111"/>
      <c r="F8900" s="113" t="s">
        <v>25419</v>
      </c>
      <c r="G8900" s="114"/>
      <c r="H8900" s="115"/>
      <c r="I8900" s="24"/>
      <c r="J8900" s="116">
        <v>4</v>
      </c>
      <c r="K8900" s="118">
        <v>1073000</v>
      </c>
      <c r="L8900" s="119"/>
      <c r="M8900" s="118">
        <f t="shared" ref="M8900" si="13689">K8900*0.1</f>
        <v>107300</v>
      </c>
      <c r="N8900" s="119"/>
      <c r="O8900" s="118">
        <v>0</v>
      </c>
      <c r="P8900" s="119"/>
      <c r="Q8900" s="118">
        <v>7040</v>
      </c>
      <c r="R8900" s="119"/>
      <c r="S8900" s="118">
        <v>15950</v>
      </c>
      <c r="T8900" s="119"/>
      <c r="U8900" s="118">
        <f t="shared" ref="U8900" si="13690">SUM(K8900:T8901)</f>
        <v>1203290</v>
      </c>
      <c r="V8900" s="122"/>
      <c r="W8900" s="124"/>
      <c r="X8900" s="126"/>
      <c r="Y8900" s="127"/>
      <c r="Z8900" s="127"/>
      <c r="AA8900" s="127"/>
      <c r="AB8900" s="128"/>
      <c r="AC8900" s="15" t="s">
        <v>20</v>
      </c>
      <c r="AD8900" s="129"/>
      <c r="AE8900" s="130"/>
      <c r="AF8900" s="130"/>
      <c r="AG8900" s="130"/>
      <c r="AH8900" s="130"/>
      <c r="AI8900" s="131"/>
      <c r="AJ8900" s="132"/>
      <c r="AK8900" s="127"/>
      <c r="AL8900" s="128"/>
      <c r="AM8900" s="21"/>
      <c r="AN8900" s="133">
        <v>46158</v>
      </c>
      <c r="AO8900" s="134"/>
      <c r="AP8900" s="135">
        <v>1300</v>
      </c>
      <c r="AQ8900" s="136"/>
      <c r="AR8900" s="118">
        <v>1150000</v>
      </c>
      <c r="AS8900" s="119"/>
      <c r="AT8900" s="118">
        <f t="shared" ref="AT8900" si="13691">AR8900*0.1</f>
        <v>115000</v>
      </c>
      <c r="AU8900" s="119"/>
      <c r="AV8900" s="118">
        <v>7040</v>
      </c>
      <c r="AW8900" s="119"/>
      <c r="AX8900" s="118">
        <f t="shared" ref="AX8900" si="13692">SUM(AR8900:AW8900)</f>
        <v>1272040</v>
      </c>
      <c r="AY8900" s="119"/>
      <c r="AZ8900" s="137"/>
    </row>
    <row r="8901" spans="1:52" ht="17.100000000000001" customHeight="1" thickBot="1">
      <c r="A8901" s="110"/>
      <c r="B8901" s="27" t="s">
        <v>3367</v>
      </c>
      <c r="C8901" s="27">
        <v>3027</v>
      </c>
      <c r="D8901" s="14" t="s">
        <v>2601</v>
      </c>
      <c r="E8901" s="112"/>
      <c r="F8901" s="139" t="s">
        <v>25420</v>
      </c>
      <c r="G8901" s="140"/>
      <c r="H8901" s="141"/>
      <c r="I8901" s="26">
        <v>25035</v>
      </c>
      <c r="J8901" s="117"/>
      <c r="K8901" s="120"/>
      <c r="L8901" s="121"/>
      <c r="M8901" s="120"/>
      <c r="N8901" s="121"/>
      <c r="O8901" s="120"/>
      <c r="P8901" s="121"/>
      <c r="Q8901" s="120"/>
      <c r="R8901" s="121"/>
      <c r="S8901" s="120"/>
      <c r="T8901" s="121"/>
      <c r="U8901" s="120"/>
      <c r="V8901" s="123"/>
      <c r="W8901" s="125"/>
      <c r="X8901" s="142"/>
      <c r="Y8901" s="143"/>
      <c r="Z8901" s="143"/>
      <c r="AA8901" s="143"/>
      <c r="AB8901" s="144"/>
      <c r="AC8901" s="16" t="s">
        <v>21</v>
      </c>
      <c r="AD8901" s="17"/>
      <c r="AE8901" s="145"/>
      <c r="AF8901" s="146"/>
      <c r="AG8901" s="146"/>
      <c r="AH8901" s="146"/>
      <c r="AI8901" s="147"/>
      <c r="AJ8901" s="148"/>
      <c r="AK8901" s="143"/>
      <c r="AL8901" s="144"/>
      <c r="AM8901" s="22"/>
      <c r="AN8901" s="149" t="s">
        <v>6748</v>
      </c>
      <c r="AO8901" s="144"/>
      <c r="AP8901" s="148">
        <v>60366</v>
      </c>
      <c r="AQ8901" s="144"/>
      <c r="AR8901" s="120"/>
      <c r="AS8901" s="121"/>
      <c r="AT8901" s="120"/>
      <c r="AU8901" s="121"/>
      <c r="AV8901" s="120"/>
      <c r="AW8901" s="121"/>
      <c r="AX8901" s="120"/>
      <c r="AY8901" s="121"/>
      <c r="AZ8901" s="138"/>
    </row>
    <row r="8902" spans="1:52" ht="17.100000000000001" customHeight="1" thickTop="1">
      <c r="A8902" s="109" t="s">
        <v>25439</v>
      </c>
      <c r="B8902" s="28">
        <v>46154</v>
      </c>
      <c r="C8902" s="25">
        <v>818</v>
      </c>
      <c r="D8902" s="13" t="s">
        <v>1920</v>
      </c>
      <c r="E8902" s="111"/>
      <c r="F8902" s="113" t="s">
        <v>25421</v>
      </c>
      <c r="G8902" s="114"/>
      <c r="H8902" s="115"/>
      <c r="I8902" s="24"/>
      <c r="J8902" s="116">
        <v>4</v>
      </c>
      <c r="K8902" s="118">
        <v>707000</v>
      </c>
      <c r="L8902" s="119"/>
      <c r="M8902" s="118">
        <f t="shared" ref="M8902" si="13693">K8902*0.1</f>
        <v>70700</v>
      </c>
      <c r="N8902" s="119"/>
      <c r="O8902" s="118">
        <v>0</v>
      </c>
      <c r="P8902" s="119"/>
      <c r="Q8902" s="118">
        <v>19330</v>
      </c>
      <c r="R8902" s="119"/>
      <c r="S8902" s="118">
        <v>15950</v>
      </c>
      <c r="T8902" s="119"/>
      <c r="U8902" s="118">
        <f t="shared" ref="U8902" si="13694">SUM(K8902:T8903)</f>
        <v>812980</v>
      </c>
      <c r="V8902" s="122"/>
      <c r="W8902" s="124"/>
      <c r="X8902" s="126" t="s">
        <v>25584</v>
      </c>
      <c r="Y8902" s="127"/>
      <c r="Z8902" s="127"/>
      <c r="AA8902" s="127"/>
      <c r="AB8902" s="128"/>
      <c r="AC8902" s="15" t="s">
        <v>20</v>
      </c>
      <c r="AD8902" s="129"/>
      <c r="AE8902" s="130"/>
      <c r="AF8902" s="130"/>
      <c r="AG8902" s="130"/>
      <c r="AH8902" s="130"/>
      <c r="AI8902" s="131"/>
      <c r="AJ8902" s="132"/>
      <c r="AK8902" s="127"/>
      <c r="AL8902" s="128"/>
      <c r="AM8902" s="21"/>
      <c r="AN8902" s="133">
        <v>46158</v>
      </c>
      <c r="AO8902" s="134"/>
      <c r="AP8902" s="135">
        <v>1300</v>
      </c>
      <c r="AQ8902" s="136"/>
      <c r="AR8902" s="118">
        <v>855000</v>
      </c>
      <c r="AS8902" s="119"/>
      <c r="AT8902" s="118">
        <f t="shared" ref="AT8902" si="13695">AR8902*0.1</f>
        <v>85500</v>
      </c>
      <c r="AU8902" s="119"/>
      <c r="AV8902" s="118">
        <v>19320</v>
      </c>
      <c r="AW8902" s="119"/>
      <c r="AX8902" s="118">
        <f t="shared" ref="AX8902" si="13696">SUM(AR8902:AW8902)</f>
        <v>959820</v>
      </c>
      <c r="AY8902" s="119"/>
      <c r="AZ8902" s="137">
        <v>46161</v>
      </c>
    </row>
    <row r="8903" spans="1:52" ht="17.100000000000001" customHeight="1" thickBot="1">
      <c r="A8903" s="110"/>
      <c r="B8903" s="27" t="s">
        <v>3367</v>
      </c>
      <c r="C8903" s="27">
        <v>5012</v>
      </c>
      <c r="D8903" s="14" t="s">
        <v>1592</v>
      </c>
      <c r="E8903" s="112"/>
      <c r="F8903" s="139" t="s">
        <v>25471</v>
      </c>
      <c r="G8903" s="140"/>
      <c r="H8903" s="141"/>
      <c r="I8903" s="26">
        <v>73162</v>
      </c>
      <c r="J8903" s="117"/>
      <c r="K8903" s="120"/>
      <c r="L8903" s="121"/>
      <c r="M8903" s="120"/>
      <c r="N8903" s="121"/>
      <c r="O8903" s="120"/>
      <c r="P8903" s="121"/>
      <c r="Q8903" s="120"/>
      <c r="R8903" s="121"/>
      <c r="S8903" s="120"/>
      <c r="T8903" s="121"/>
      <c r="U8903" s="120"/>
      <c r="V8903" s="123"/>
      <c r="W8903" s="125"/>
      <c r="X8903" s="142" t="s">
        <v>10418</v>
      </c>
      <c r="Y8903" s="143"/>
      <c r="Z8903" s="143"/>
      <c r="AA8903" s="143"/>
      <c r="AB8903" s="144"/>
      <c r="AC8903" s="16" t="s">
        <v>21</v>
      </c>
      <c r="AD8903" s="17" t="s">
        <v>3742</v>
      </c>
      <c r="AE8903" s="145" t="s">
        <v>3624</v>
      </c>
      <c r="AF8903" s="146"/>
      <c r="AG8903" s="146"/>
      <c r="AH8903" s="146"/>
      <c r="AI8903" s="147"/>
      <c r="AJ8903" s="148"/>
      <c r="AK8903" s="143"/>
      <c r="AL8903" s="144"/>
      <c r="AM8903" s="22"/>
      <c r="AN8903" s="149" t="s">
        <v>2511</v>
      </c>
      <c r="AO8903" s="144"/>
      <c r="AP8903" s="148">
        <v>80349</v>
      </c>
      <c r="AQ8903" s="144"/>
      <c r="AR8903" s="120"/>
      <c r="AS8903" s="121"/>
      <c r="AT8903" s="120"/>
      <c r="AU8903" s="121"/>
      <c r="AV8903" s="120"/>
      <c r="AW8903" s="121"/>
      <c r="AX8903" s="120"/>
      <c r="AY8903" s="121"/>
      <c r="AZ8903" s="138"/>
    </row>
    <row r="8904" spans="1:52" ht="17.100000000000001" customHeight="1" thickTop="1">
      <c r="A8904" s="109" t="s">
        <v>25440</v>
      </c>
      <c r="B8904" s="28">
        <v>46154</v>
      </c>
      <c r="C8904" s="25">
        <v>938</v>
      </c>
      <c r="D8904" s="13" t="s">
        <v>1712</v>
      </c>
      <c r="E8904" s="111"/>
      <c r="F8904" s="113" t="s">
        <v>15565</v>
      </c>
      <c r="G8904" s="114"/>
      <c r="H8904" s="115"/>
      <c r="I8904" s="24"/>
      <c r="J8904" s="116">
        <v>4</v>
      </c>
      <c r="K8904" s="118">
        <v>1013000</v>
      </c>
      <c r="L8904" s="119"/>
      <c r="M8904" s="118">
        <f t="shared" ref="M8904" si="13697">K8904*0.1</f>
        <v>101300</v>
      </c>
      <c r="N8904" s="119"/>
      <c r="O8904" s="118">
        <v>0</v>
      </c>
      <c r="P8904" s="119"/>
      <c r="Q8904" s="118">
        <v>12030</v>
      </c>
      <c r="R8904" s="119"/>
      <c r="S8904" s="118">
        <v>15950</v>
      </c>
      <c r="T8904" s="119"/>
      <c r="U8904" s="118">
        <f t="shared" ref="U8904" si="13698">SUM(K8904:T8905)</f>
        <v>1142280</v>
      </c>
      <c r="V8904" s="122"/>
      <c r="W8904" s="124"/>
      <c r="X8904" s="126" t="s">
        <v>25658</v>
      </c>
      <c r="Y8904" s="127"/>
      <c r="Z8904" s="127"/>
      <c r="AA8904" s="127"/>
      <c r="AB8904" s="128"/>
      <c r="AC8904" s="15" t="s">
        <v>20</v>
      </c>
      <c r="AD8904" s="129"/>
      <c r="AE8904" s="130"/>
      <c r="AF8904" s="130"/>
      <c r="AG8904" s="130"/>
      <c r="AH8904" s="130"/>
      <c r="AI8904" s="131"/>
      <c r="AJ8904" s="132"/>
      <c r="AK8904" s="127"/>
      <c r="AL8904" s="128"/>
      <c r="AM8904" s="21"/>
      <c r="AN8904" s="133">
        <v>46158</v>
      </c>
      <c r="AO8904" s="134"/>
      <c r="AP8904" s="135">
        <v>1300</v>
      </c>
      <c r="AQ8904" s="136"/>
      <c r="AR8904" s="118">
        <v>1125000</v>
      </c>
      <c r="AS8904" s="119"/>
      <c r="AT8904" s="118">
        <f t="shared" ref="AT8904" si="13699">AR8904*0.1</f>
        <v>112500</v>
      </c>
      <c r="AU8904" s="119"/>
      <c r="AV8904" s="118">
        <v>12030</v>
      </c>
      <c r="AW8904" s="119"/>
      <c r="AX8904" s="118">
        <f t="shared" ref="AX8904" si="13700">SUM(AR8904:AW8904)</f>
        <v>1249530</v>
      </c>
      <c r="AY8904" s="119"/>
      <c r="AZ8904" s="137">
        <v>46161</v>
      </c>
    </row>
    <row r="8905" spans="1:52" ht="17.100000000000001" customHeight="1" thickBot="1">
      <c r="A8905" s="110"/>
      <c r="B8905" s="27" t="s">
        <v>2699</v>
      </c>
      <c r="C8905" s="27">
        <v>362</v>
      </c>
      <c r="D8905" s="14" t="s">
        <v>275</v>
      </c>
      <c r="E8905" s="112"/>
      <c r="F8905" s="139" t="s">
        <v>25422</v>
      </c>
      <c r="G8905" s="140"/>
      <c r="H8905" s="141"/>
      <c r="I8905" s="26">
        <v>107464</v>
      </c>
      <c r="J8905" s="117"/>
      <c r="K8905" s="120"/>
      <c r="L8905" s="121"/>
      <c r="M8905" s="120"/>
      <c r="N8905" s="121"/>
      <c r="O8905" s="120"/>
      <c r="P8905" s="121"/>
      <c r="Q8905" s="120"/>
      <c r="R8905" s="121"/>
      <c r="S8905" s="120"/>
      <c r="T8905" s="121"/>
      <c r="U8905" s="120"/>
      <c r="V8905" s="123"/>
      <c r="W8905" s="125"/>
      <c r="X8905" s="142" t="s">
        <v>10691</v>
      </c>
      <c r="Y8905" s="143"/>
      <c r="Z8905" s="143"/>
      <c r="AA8905" s="143"/>
      <c r="AB8905" s="144"/>
      <c r="AC8905" s="16" t="s">
        <v>21</v>
      </c>
      <c r="AD8905" s="17" t="s">
        <v>2730</v>
      </c>
      <c r="AE8905" s="145" t="s">
        <v>16732</v>
      </c>
      <c r="AF8905" s="146"/>
      <c r="AG8905" s="146"/>
      <c r="AH8905" s="146"/>
      <c r="AI8905" s="147"/>
      <c r="AJ8905" s="148"/>
      <c r="AK8905" s="143"/>
      <c r="AL8905" s="144"/>
      <c r="AM8905" s="22"/>
      <c r="AN8905" s="149" t="s">
        <v>2511</v>
      </c>
      <c r="AO8905" s="144"/>
      <c r="AP8905" s="148">
        <v>225</v>
      </c>
      <c r="AQ8905" s="144"/>
      <c r="AR8905" s="120"/>
      <c r="AS8905" s="121"/>
      <c r="AT8905" s="120"/>
      <c r="AU8905" s="121"/>
      <c r="AV8905" s="120"/>
      <c r="AW8905" s="121"/>
      <c r="AX8905" s="120"/>
      <c r="AY8905" s="121"/>
      <c r="AZ8905" s="138"/>
    </row>
    <row r="8906" spans="1:52" ht="17.100000000000001" customHeight="1" thickTop="1">
      <c r="A8906" s="109" t="s">
        <v>25441</v>
      </c>
      <c r="B8906" s="28">
        <v>46154</v>
      </c>
      <c r="C8906" s="25">
        <v>938</v>
      </c>
      <c r="D8906" s="13" t="s">
        <v>1986</v>
      </c>
      <c r="E8906" s="111"/>
      <c r="F8906" s="113" t="s">
        <v>20169</v>
      </c>
      <c r="G8906" s="114"/>
      <c r="H8906" s="115"/>
      <c r="I8906" s="24" t="s">
        <v>2112</v>
      </c>
      <c r="J8906" s="116">
        <v>4</v>
      </c>
      <c r="K8906" s="118">
        <v>1035000</v>
      </c>
      <c r="L8906" s="119"/>
      <c r="M8906" s="118">
        <f t="shared" ref="M8906" si="13701">K8906*0.1</f>
        <v>103500</v>
      </c>
      <c r="N8906" s="119"/>
      <c r="O8906" s="118">
        <v>0</v>
      </c>
      <c r="P8906" s="119"/>
      <c r="Q8906" s="118">
        <v>8400</v>
      </c>
      <c r="R8906" s="119"/>
      <c r="S8906" s="118">
        <v>15950</v>
      </c>
      <c r="T8906" s="119"/>
      <c r="U8906" s="118">
        <f t="shared" ref="U8906" si="13702">SUM(K8906:T8907)</f>
        <v>1162850</v>
      </c>
      <c r="V8906" s="122"/>
      <c r="W8906" s="124"/>
      <c r="X8906" s="126" t="s">
        <v>25472</v>
      </c>
      <c r="Y8906" s="127"/>
      <c r="Z8906" s="127"/>
      <c r="AA8906" s="127"/>
      <c r="AB8906" s="128"/>
      <c r="AC8906" s="15" t="s">
        <v>20</v>
      </c>
      <c r="AD8906" s="129" t="s">
        <v>15583</v>
      </c>
      <c r="AE8906" s="130"/>
      <c r="AF8906" s="130"/>
      <c r="AG8906" s="130"/>
      <c r="AH8906" s="130"/>
      <c r="AI8906" s="131"/>
      <c r="AJ8906" s="132"/>
      <c r="AK8906" s="127"/>
      <c r="AL8906" s="128"/>
      <c r="AM8906" s="21"/>
      <c r="AN8906" s="133"/>
      <c r="AO8906" s="134"/>
      <c r="AP8906" s="135"/>
      <c r="AQ8906" s="136"/>
      <c r="AR8906" s="118"/>
      <c r="AS8906" s="119"/>
      <c r="AT8906" s="118">
        <f t="shared" ref="AT8906" si="13703">AR8906*0.1</f>
        <v>0</v>
      </c>
      <c r="AU8906" s="119"/>
      <c r="AV8906" s="118"/>
      <c r="AW8906" s="119"/>
      <c r="AX8906" s="118">
        <f t="shared" ref="AX8906" si="13704">SUM(AR8906:AW8906)</f>
        <v>0</v>
      </c>
      <c r="AY8906" s="119"/>
      <c r="AZ8906" s="137"/>
    </row>
    <row r="8907" spans="1:52" ht="17.100000000000001" customHeight="1" thickBot="1">
      <c r="A8907" s="110"/>
      <c r="B8907" s="27" t="s">
        <v>2699</v>
      </c>
      <c r="C8907" s="27">
        <v>3231</v>
      </c>
      <c r="D8907" s="14" t="s">
        <v>1720</v>
      </c>
      <c r="E8907" s="112"/>
      <c r="F8907" s="139" t="s">
        <v>25423</v>
      </c>
      <c r="G8907" s="140"/>
      <c r="H8907" s="141"/>
      <c r="I8907" s="26">
        <v>14432</v>
      </c>
      <c r="J8907" s="117"/>
      <c r="K8907" s="120"/>
      <c r="L8907" s="121"/>
      <c r="M8907" s="120"/>
      <c r="N8907" s="121"/>
      <c r="O8907" s="120"/>
      <c r="P8907" s="121"/>
      <c r="Q8907" s="120"/>
      <c r="R8907" s="121"/>
      <c r="S8907" s="120"/>
      <c r="T8907" s="121"/>
      <c r="U8907" s="120"/>
      <c r="V8907" s="123"/>
      <c r="W8907" s="125"/>
      <c r="X8907" s="142" t="s">
        <v>25587</v>
      </c>
      <c r="Y8907" s="143"/>
      <c r="Z8907" s="143"/>
      <c r="AA8907" s="143"/>
      <c r="AB8907" s="144"/>
      <c r="AC8907" s="16" t="s">
        <v>21</v>
      </c>
      <c r="AD8907" s="17" t="s">
        <v>3742</v>
      </c>
      <c r="AE8907" s="145" t="s">
        <v>2395</v>
      </c>
      <c r="AF8907" s="146"/>
      <c r="AG8907" s="146"/>
      <c r="AH8907" s="146"/>
      <c r="AI8907" s="147"/>
      <c r="AJ8907" s="148"/>
      <c r="AK8907" s="143"/>
      <c r="AL8907" s="144"/>
      <c r="AM8907" s="22"/>
      <c r="AN8907" s="149"/>
      <c r="AO8907" s="144"/>
      <c r="AP8907" s="148"/>
      <c r="AQ8907" s="144"/>
      <c r="AR8907" s="120"/>
      <c r="AS8907" s="121"/>
      <c r="AT8907" s="120"/>
      <c r="AU8907" s="121"/>
      <c r="AV8907" s="120"/>
      <c r="AW8907" s="121"/>
      <c r="AX8907" s="120"/>
      <c r="AY8907" s="121"/>
      <c r="AZ8907" s="138"/>
    </row>
    <row r="8908" spans="1:52" ht="17.100000000000001" customHeight="1" thickTop="1">
      <c r="A8908" s="109" t="s">
        <v>25442</v>
      </c>
      <c r="B8908" s="28">
        <v>46154</v>
      </c>
      <c r="C8908" s="25">
        <v>938</v>
      </c>
      <c r="D8908" s="13" t="s">
        <v>1986</v>
      </c>
      <c r="E8908" s="111"/>
      <c r="F8908" s="113" t="s">
        <v>15533</v>
      </c>
      <c r="G8908" s="114"/>
      <c r="H8908" s="115"/>
      <c r="I8908" s="24"/>
      <c r="J8908" s="116">
        <v>4</v>
      </c>
      <c r="K8908" s="118">
        <v>386000</v>
      </c>
      <c r="L8908" s="119"/>
      <c r="M8908" s="118">
        <f t="shared" ref="M8908" si="13705">K8908*0.1</f>
        <v>38600</v>
      </c>
      <c r="N8908" s="119"/>
      <c r="O8908" s="118">
        <v>0</v>
      </c>
      <c r="P8908" s="119"/>
      <c r="Q8908" s="118">
        <v>7140</v>
      </c>
      <c r="R8908" s="119"/>
      <c r="S8908" s="118">
        <v>15950</v>
      </c>
      <c r="T8908" s="119"/>
      <c r="U8908" s="118">
        <f t="shared" ref="U8908" si="13706">SUM(K8908:T8909)</f>
        <v>447690</v>
      </c>
      <c r="V8908" s="122"/>
      <c r="W8908" s="124"/>
      <c r="X8908" s="126" t="s">
        <v>26022</v>
      </c>
      <c r="Y8908" s="127"/>
      <c r="Z8908" s="127"/>
      <c r="AA8908" s="127"/>
      <c r="AB8908" s="128"/>
      <c r="AC8908" s="15" t="s">
        <v>20</v>
      </c>
      <c r="AD8908" s="129"/>
      <c r="AE8908" s="130"/>
      <c r="AF8908" s="130"/>
      <c r="AG8908" s="130"/>
      <c r="AH8908" s="130"/>
      <c r="AI8908" s="131"/>
      <c r="AJ8908" s="132"/>
      <c r="AK8908" s="127"/>
      <c r="AL8908" s="128"/>
      <c r="AM8908" s="21"/>
      <c r="AN8908" s="133"/>
      <c r="AO8908" s="134"/>
      <c r="AP8908" s="135"/>
      <c r="AQ8908" s="136"/>
      <c r="AR8908" s="118"/>
      <c r="AS8908" s="119"/>
      <c r="AT8908" s="118">
        <f t="shared" ref="AT8908" si="13707">AR8908*0.1</f>
        <v>0</v>
      </c>
      <c r="AU8908" s="119"/>
      <c r="AV8908" s="118"/>
      <c r="AW8908" s="119"/>
      <c r="AX8908" s="118">
        <f t="shared" ref="AX8908" si="13708">SUM(AR8908:AW8908)</f>
        <v>0</v>
      </c>
      <c r="AY8908" s="119"/>
      <c r="AZ8908" s="137"/>
    </row>
    <row r="8909" spans="1:52" ht="17.100000000000001" customHeight="1" thickBot="1">
      <c r="A8909" s="110"/>
      <c r="B8909" s="27" t="s">
        <v>2699</v>
      </c>
      <c r="C8909" s="27">
        <v>3248</v>
      </c>
      <c r="D8909" s="14" t="s">
        <v>1576</v>
      </c>
      <c r="E8909" s="112"/>
      <c r="F8909" s="139" t="s">
        <v>25424</v>
      </c>
      <c r="G8909" s="140"/>
      <c r="H8909" s="141"/>
      <c r="I8909" s="26">
        <v>24058</v>
      </c>
      <c r="J8909" s="117"/>
      <c r="K8909" s="120"/>
      <c r="L8909" s="121"/>
      <c r="M8909" s="120"/>
      <c r="N8909" s="121"/>
      <c r="O8909" s="120"/>
      <c r="P8909" s="121"/>
      <c r="Q8909" s="120"/>
      <c r="R8909" s="121"/>
      <c r="S8909" s="120"/>
      <c r="T8909" s="121"/>
      <c r="U8909" s="120"/>
      <c r="V8909" s="123"/>
      <c r="W8909" s="125"/>
      <c r="X8909" s="142" t="s">
        <v>8710</v>
      </c>
      <c r="Y8909" s="143"/>
      <c r="Z8909" s="143"/>
      <c r="AA8909" s="143"/>
      <c r="AB8909" s="144"/>
      <c r="AC8909" s="16" t="s">
        <v>21</v>
      </c>
      <c r="AD8909" s="17" t="s">
        <v>1976</v>
      </c>
      <c r="AE8909" s="145"/>
      <c r="AF8909" s="146"/>
      <c r="AG8909" s="146"/>
      <c r="AH8909" s="146"/>
      <c r="AI8909" s="147"/>
      <c r="AJ8909" s="148"/>
      <c r="AK8909" s="143"/>
      <c r="AL8909" s="144"/>
      <c r="AM8909" s="22"/>
      <c r="AN8909" s="149"/>
      <c r="AO8909" s="144"/>
      <c r="AP8909" s="148"/>
      <c r="AQ8909" s="144"/>
      <c r="AR8909" s="120"/>
      <c r="AS8909" s="121"/>
      <c r="AT8909" s="120"/>
      <c r="AU8909" s="121"/>
      <c r="AV8909" s="120"/>
      <c r="AW8909" s="121"/>
      <c r="AX8909" s="120"/>
      <c r="AY8909" s="121"/>
      <c r="AZ8909" s="138"/>
    </row>
    <row r="8910" spans="1:52" ht="17.100000000000001" customHeight="1" thickTop="1">
      <c r="A8910" s="109" t="s">
        <v>25443</v>
      </c>
      <c r="B8910" s="28">
        <v>46154</v>
      </c>
      <c r="C8910" s="25">
        <v>938</v>
      </c>
      <c r="D8910" s="13" t="s">
        <v>2135</v>
      </c>
      <c r="E8910" s="111"/>
      <c r="F8910" s="113" t="s">
        <v>25425</v>
      </c>
      <c r="G8910" s="114"/>
      <c r="H8910" s="115"/>
      <c r="I8910" s="24"/>
      <c r="J8910" s="116">
        <v>4</v>
      </c>
      <c r="K8910" s="118">
        <v>996000</v>
      </c>
      <c r="L8910" s="119"/>
      <c r="M8910" s="118">
        <f t="shared" ref="M8910" si="13709">K8910*0.1</f>
        <v>99600</v>
      </c>
      <c r="N8910" s="119"/>
      <c r="O8910" s="118">
        <v>0</v>
      </c>
      <c r="P8910" s="119"/>
      <c r="Q8910" s="118">
        <v>19580</v>
      </c>
      <c r="R8910" s="119"/>
      <c r="S8910" s="118">
        <v>15950</v>
      </c>
      <c r="T8910" s="119"/>
      <c r="U8910" s="118">
        <f t="shared" ref="U8910" si="13710">SUM(K8910:T8911)</f>
        <v>1131130</v>
      </c>
      <c r="V8910" s="122"/>
      <c r="W8910" s="124"/>
      <c r="X8910" s="126" t="s">
        <v>25743</v>
      </c>
      <c r="Y8910" s="127"/>
      <c r="Z8910" s="127"/>
      <c r="AA8910" s="127"/>
      <c r="AB8910" s="128"/>
      <c r="AC8910" s="15" t="s">
        <v>20</v>
      </c>
      <c r="AD8910" s="129"/>
      <c r="AE8910" s="130"/>
      <c r="AF8910" s="130"/>
      <c r="AG8910" s="130"/>
      <c r="AH8910" s="130"/>
      <c r="AI8910" s="131"/>
      <c r="AJ8910" s="132"/>
      <c r="AK8910" s="127"/>
      <c r="AL8910" s="128"/>
      <c r="AM8910" s="21"/>
      <c r="AN8910" s="133"/>
      <c r="AO8910" s="134"/>
      <c r="AP8910" s="135"/>
      <c r="AQ8910" s="136"/>
      <c r="AR8910" s="118"/>
      <c r="AS8910" s="119"/>
      <c r="AT8910" s="118">
        <f t="shared" ref="AT8910" si="13711">AR8910*0.1</f>
        <v>0</v>
      </c>
      <c r="AU8910" s="119"/>
      <c r="AV8910" s="118"/>
      <c r="AW8910" s="119"/>
      <c r="AX8910" s="118">
        <f t="shared" ref="AX8910" si="13712">SUM(AR8910:AW8910)</f>
        <v>0</v>
      </c>
      <c r="AY8910" s="119"/>
      <c r="AZ8910" s="137"/>
    </row>
    <row r="8911" spans="1:52" ht="17.100000000000001" customHeight="1" thickBot="1">
      <c r="A8911" s="110"/>
      <c r="B8911" s="27" t="s">
        <v>2699</v>
      </c>
      <c r="C8911" s="27">
        <v>5038</v>
      </c>
      <c r="D8911" s="14" t="s">
        <v>904</v>
      </c>
      <c r="E8911" s="112"/>
      <c r="F8911" s="139" t="s">
        <v>25473</v>
      </c>
      <c r="G8911" s="140"/>
      <c r="H8911" s="141"/>
      <c r="I8911" s="26">
        <v>58305</v>
      </c>
      <c r="J8911" s="117"/>
      <c r="K8911" s="120"/>
      <c r="L8911" s="121"/>
      <c r="M8911" s="120"/>
      <c r="N8911" s="121"/>
      <c r="O8911" s="120"/>
      <c r="P8911" s="121"/>
      <c r="Q8911" s="120"/>
      <c r="R8911" s="121"/>
      <c r="S8911" s="120"/>
      <c r="T8911" s="121"/>
      <c r="U8911" s="120"/>
      <c r="V8911" s="123"/>
      <c r="W8911" s="125"/>
      <c r="X8911" s="142" t="s">
        <v>16224</v>
      </c>
      <c r="Y8911" s="143"/>
      <c r="Z8911" s="143"/>
      <c r="AA8911" s="143"/>
      <c r="AB8911" s="144"/>
      <c r="AC8911" s="16" t="s">
        <v>21</v>
      </c>
      <c r="AD8911" s="17" t="s">
        <v>25722</v>
      </c>
      <c r="AE8911" s="145" t="s">
        <v>25688</v>
      </c>
      <c r="AF8911" s="146"/>
      <c r="AG8911" s="146"/>
      <c r="AH8911" s="146"/>
      <c r="AI8911" s="147"/>
      <c r="AJ8911" s="148"/>
      <c r="AK8911" s="143"/>
      <c r="AL8911" s="144"/>
      <c r="AM8911" s="22"/>
      <c r="AN8911" s="149"/>
      <c r="AO8911" s="144"/>
      <c r="AP8911" s="148"/>
      <c r="AQ8911" s="144"/>
      <c r="AR8911" s="120"/>
      <c r="AS8911" s="121"/>
      <c r="AT8911" s="120"/>
      <c r="AU8911" s="121"/>
      <c r="AV8911" s="120"/>
      <c r="AW8911" s="121"/>
      <c r="AX8911" s="120"/>
      <c r="AY8911" s="121"/>
      <c r="AZ8911" s="138"/>
    </row>
    <row r="8912" spans="1:52" ht="17.100000000000001" customHeight="1" thickTop="1">
      <c r="A8912" s="109" t="s">
        <v>25444</v>
      </c>
      <c r="B8912" s="28">
        <v>46154</v>
      </c>
      <c r="C8912" s="25">
        <v>1239</v>
      </c>
      <c r="D8912" s="13" t="s">
        <v>1549</v>
      </c>
      <c r="E8912" s="111"/>
      <c r="F8912" s="113" t="s">
        <v>16834</v>
      </c>
      <c r="G8912" s="114"/>
      <c r="H8912" s="115"/>
      <c r="I8912" s="24"/>
      <c r="J8912" s="116">
        <v>4</v>
      </c>
      <c r="K8912" s="118">
        <v>1000000</v>
      </c>
      <c r="L8912" s="119"/>
      <c r="M8912" s="118">
        <f t="shared" ref="M8912" si="13713">K8912*0.1</f>
        <v>100000</v>
      </c>
      <c r="N8912" s="119"/>
      <c r="O8912" s="118">
        <v>0</v>
      </c>
      <c r="P8912" s="119"/>
      <c r="Q8912" s="118">
        <v>12470</v>
      </c>
      <c r="R8912" s="119"/>
      <c r="S8912" s="118">
        <v>15950</v>
      </c>
      <c r="T8912" s="119"/>
      <c r="U8912" s="118">
        <f t="shared" ref="U8912" si="13714">SUM(K8912:T8913)</f>
        <v>1128420</v>
      </c>
      <c r="V8912" s="122"/>
      <c r="W8912" s="124"/>
      <c r="X8912" s="126" t="s">
        <v>25730</v>
      </c>
      <c r="Y8912" s="127"/>
      <c r="Z8912" s="127"/>
      <c r="AA8912" s="127"/>
      <c r="AB8912" s="128"/>
      <c r="AC8912" s="15" t="s">
        <v>20</v>
      </c>
      <c r="AD8912" s="129"/>
      <c r="AE8912" s="130"/>
      <c r="AF8912" s="130"/>
      <c r="AG8912" s="130"/>
      <c r="AH8912" s="130"/>
      <c r="AI8912" s="131"/>
      <c r="AJ8912" s="132"/>
      <c r="AK8912" s="127"/>
      <c r="AL8912" s="128"/>
      <c r="AM8912" s="21"/>
      <c r="AN8912" s="133"/>
      <c r="AO8912" s="134"/>
      <c r="AP8912" s="135"/>
      <c r="AQ8912" s="136"/>
      <c r="AR8912" s="118"/>
      <c r="AS8912" s="119"/>
      <c r="AT8912" s="118">
        <f t="shared" ref="AT8912" si="13715">AR8912*0.1</f>
        <v>0</v>
      </c>
      <c r="AU8912" s="119"/>
      <c r="AV8912" s="118"/>
      <c r="AW8912" s="119"/>
      <c r="AX8912" s="118">
        <f t="shared" ref="AX8912" si="13716">SUM(AR8912:AW8912)</f>
        <v>0</v>
      </c>
      <c r="AY8912" s="119"/>
      <c r="AZ8912" s="137"/>
    </row>
    <row r="8913" spans="1:52" ht="17.100000000000001" customHeight="1" thickBot="1">
      <c r="A8913" s="110"/>
      <c r="B8913" s="27" t="s">
        <v>2379</v>
      </c>
      <c r="C8913" s="27">
        <v>303</v>
      </c>
      <c r="D8913" s="14" t="s">
        <v>2601</v>
      </c>
      <c r="E8913" s="112"/>
      <c r="F8913" s="139" t="s">
        <v>25426</v>
      </c>
      <c r="G8913" s="140"/>
      <c r="H8913" s="141"/>
      <c r="I8913" s="26">
        <v>98301</v>
      </c>
      <c r="J8913" s="117"/>
      <c r="K8913" s="120"/>
      <c r="L8913" s="121"/>
      <c r="M8913" s="120"/>
      <c r="N8913" s="121"/>
      <c r="O8913" s="120"/>
      <c r="P8913" s="121"/>
      <c r="Q8913" s="120"/>
      <c r="R8913" s="121"/>
      <c r="S8913" s="120"/>
      <c r="T8913" s="121"/>
      <c r="U8913" s="120"/>
      <c r="V8913" s="123"/>
      <c r="W8913" s="125"/>
      <c r="X8913" s="142" t="s">
        <v>10380</v>
      </c>
      <c r="Y8913" s="143"/>
      <c r="Z8913" s="143"/>
      <c r="AA8913" s="143"/>
      <c r="AB8913" s="144"/>
      <c r="AC8913" s="16" t="s">
        <v>21</v>
      </c>
      <c r="AD8913" s="17" t="s">
        <v>25722</v>
      </c>
      <c r="AE8913" s="145" t="s">
        <v>25686</v>
      </c>
      <c r="AF8913" s="146"/>
      <c r="AG8913" s="146"/>
      <c r="AH8913" s="146"/>
      <c r="AI8913" s="147"/>
      <c r="AJ8913" s="148"/>
      <c r="AK8913" s="143"/>
      <c r="AL8913" s="144"/>
      <c r="AM8913" s="22"/>
      <c r="AN8913" s="149"/>
      <c r="AO8913" s="144"/>
      <c r="AP8913" s="148"/>
      <c r="AQ8913" s="144"/>
      <c r="AR8913" s="120"/>
      <c r="AS8913" s="121"/>
      <c r="AT8913" s="120"/>
      <c r="AU8913" s="121"/>
      <c r="AV8913" s="120"/>
      <c r="AW8913" s="121"/>
      <c r="AX8913" s="120"/>
      <c r="AY8913" s="121"/>
      <c r="AZ8913" s="138"/>
    </row>
    <row r="8914" spans="1:52" ht="17.100000000000001" customHeight="1" thickTop="1">
      <c r="A8914" s="109" t="s">
        <v>25445</v>
      </c>
      <c r="B8914" s="28">
        <v>46154</v>
      </c>
      <c r="C8914" s="25">
        <v>1239</v>
      </c>
      <c r="D8914" s="13" t="s">
        <v>1986</v>
      </c>
      <c r="E8914" s="111"/>
      <c r="F8914" s="113" t="s">
        <v>17575</v>
      </c>
      <c r="G8914" s="114"/>
      <c r="H8914" s="115"/>
      <c r="I8914" s="24"/>
      <c r="J8914" s="116">
        <v>4</v>
      </c>
      <c r="K8914" s="118">
        <v>703000</v>
      </c>
      <c r="L8914" s="119"/>
      <c r="M8914" s="118">
        <f t="shared" ref="M8914" si="13717">K8914*0.1</f>
        <v>70300</v>
      </c>
      <c r="N8914" s="119"/>
      <c r="O8914" s="118">
        <v>0</v>
      </c>
      <c r="P8914" s="119"/>
      <c r="Q8914" s="118">
        <v>7440</v>
      </c>
      <c r="R8914" s="119"/>
      <c r="S8914" s="118">
        <v>15950</v>
      </c>
      <c r="T8914" s="119"/>
      <c r="U8914" s="118">
        <f t="shared" ref="U8914" si="13718">SUM(K8914:T8915)</f>
        <v>796690</v>
      </c>
      <c r="V8914" s="122"/>
      <c r="W8914" s="124"/>
      <c r="X8914" s="126" t="s">
        <v>25731</v>
      </c>
      <c r="Y8914" s="127"/>
      <c r="Z8914" s="127"/>
      <c r="AA8914" s="127"/>
      <c r="AB8914" s="128"/>
      <c r="AC8914" s="15" t="s">
        <v>20</v>
      </c>
      <c r="AD8914" s="129"/>
      <c r="AE8914" s="130"/>
      <c r="AF8914" s="130"/>
      <c r="AG8914" s="130"/>
      <c r="AH8914" s="130"/>
      <c r="AI8914" s="131"/>
      <c r="AJ8914" s="132"/>
      <c r="AK8914" s="127"/>
      <c r="AL8914" s="128"/>
      <c r="AM8914" s="21"/>
      <c r="AN8914" s="133"/>
      <c r="AO8914" s="134"/>
      <c r="AP8914" s="135"/>
      <c r="AQ8914" s="136"/>
      <c r="AR8914" s="118"/>
      <c r="AS8914" s="119"/>
      <c r="AT8914" s="118">
        <f t="shared" ref="AT8914" si="13719">AR8914*0.1</f>
        <v>0</v>
      </c>
      <c r="AU8914" s="119"/>
      <c r="AV8914" s="118"/>
      <c r="AW8914" s="119"/>
      <c r="AX8914" s="118">
        <f t="shared" ref="AX8914" si="13720">SUM(AR8914:AW8914)</f>
        <v>0</v>
      </c>
      <c r="AY8914" s="119"/>
      <c r="AZ8914" s="137"/>
    </row>
    <row r="8915" spans="1:52" ht="17.100000000000001" customHeight="1" thickBot="1">
      <c r="A8915" s="110"/>
      <c r="B8915" s="27" t="s">
        <v>2379</v>
      </c>
      <c r="C8915" s="27">
        <v>62087</v>
      </c>
      <c r="D8915" s="14" t="s">
        <v>1592</v>
      </c>
      <c r="E8915" s="112"/>
      <c r="F8915" s="139" t="s">
        <v>25427</v>
      </c>
      <c r="G8915" s="140"/>
      <c r="H8915" s="141"/>
      <c r="I8915" s="26">
        <v>51094</v>
      </c>
      <c r="J8915" s="117"/>
      <c r="K8915" s="120"/>
      <c r="L8915" s="121"/>
      <c r="M8915" s="120"/>
      <c r="N8915" s="121"/>
      <c r="O8915" s="120"/>
      <c r="P8915" s="121"/>
      <c r="Q8915" s="120"/>
      <c r="R8915" s="121"/>
      <c r="S8915" s="120"/>
      <c r="T8915" s="121"/>
      <c r="U8915" s="120"/>
      <c r="V8915" s="123"/>
      <c r="W8915" s="125"/>
      <c r="X8915" s="142" t="s">
        <v>7450</v>
      </c>
      <c r="Y8915" s="143"/>
      <c r="Z8915" s="143"/>
      <c r="AA8915" s="143"/>
      <c r="AB8915" s="144"/>
      <c r="AC8915" s="16" t="s">
        <v>21</v>
      </c>
      <c r="AD8915" s="17" t="s">
        <v>25722</v>
      </c>
      <c r="AE8915" s="145"/>
      <c r="AF8915" s="146"/>
      <c r="AG8915" s="146"/>
      <c r="AH8915" s="146"/>
      <c r="AI8915" s="147"/>
      <c r="AJ8915" s="148"/>
      <c r="AK8915" s="143"/>
      <c r="AL8915" s="144"/>
      <c r="AM8915" s="22"/>
      <c r="AN8915" s="149"/>
      <c r="AO8915" s="144"/>
      <c r="AP8915" s="148"/>
      <c r="AQ8915" s="144"/>
      <c r="AR8915" s="120"/>
      <c r="AS8915" s="121"/>
      <c r="AT8915" s="120"/>
      <c r="AU8915" s="121"/>
      <c r="AV8915" s="120"/>
      <c r="AW8915" s="121"/>
      <c r="AX8915" s="120"/>
      <c r="AY8915" s="121"/>
      <c r="AZ8915" s="138"/>
    </row>
    <row r="8916" spans="1:52" ht="17.100000000000001" customHeight="1" thickTop="1">
      <c r="A8916" s="109" t="s">
        <v>25446</v>
      </c>
      <c r="B8916" s="28">
        <v>46154</v>
      </c>
      <c r="C8916" s="25">
        <v>1092</v>
      </c>
      <c r="D8916" s="13" t="s">
        <v>2737</v>
      </c>
      <c r="E8916" s="111"/>
      <c r="F8916" s="113" t="s">
        <v>25460</v>
      </c>
      <c r="G8916" s="114"/>
      <c r="H8916" s="115"/>
      <c r="I8916" s="24" t="s">
        <v>11124</v>
      </c>
      <c r="J8916" s="116">
        <v>4</v>
      </c>
      <c r="K8916" s="118">
        <v>1905000</v>
      </c>
      <c r="L8916" s="119"/>
      <c r="M8916" s="118">
        <f t="shared" ref="M8916" si="13721">K8916*0.1</f>
        <v>190500</v>
      </c>
      <c r="N8916" s="119"/>
      <c r="O8916" s="118">
        <v>33000</v>
      </c>
      <c r="P8916" s="119"/>
      <c r="Q8916" s="118">
        <v>23610</v>
      </c>
      <c r="R8916" s="119"/>
      <c r="S8916" s="118">
        <v>16500</v>
      </c>
      <c r="T8916" s="119"/>
      <c r="U8916" s="118">
        <f t="shared" ref="U8916" si="13722">SUM(K8916:T8917)</f>
        <v>2168610</v>
      </c>
      <c r="V8916" s="122"/>
      <c r="W8916" s="124"/>
      <c r="X8916" s="126" t="s">
        <v>25469</v>
      </c>
      <c r="Y8916" s="127"/>
      <c r="Z8916" s="127"/>
      <c r="AA8916" s="127"/>
      <c r="AB8916" s="128"/>
      <c r="AC8916" s="15" t="s">
        <v>20</v>
      </c>
      <c r="AD8916" s="129" t="s">
        <v>15198</v>
      </c>
      <c r="AE8916" s="130"/>
      <c r="AF8916" s="130"/>
      <c r="AG8916" s="130"/>
      <c r="AH8916" s="130"/>
      <c r="AI8916" s="131"/>
      <c r="AJ8916" s="132"/>
      <c r="AK8916" s="127"/>
      <c r="AL8916" s="128"/>
      <c r="AM8916" s="21"/>
      <c r="AN8916" s="133"/>
      <c r="AO8916" s="134"/>
      <c r="AP8916" s="135"/>
      <c r="AQ8916" s="136"/>
      <c r="AR8916" s="118"/>
      <c r="AS8916" s="119"/>
      <c r="AT8916" s="118">
        <f t="shared" ref="AT8916" si="13723">AR8916*0.1</f>
        <v>0</v>
      </c>
      <c r="AU8916" s="119"/>
      <c r="AV8916" s="118"/>
      <c r="AW8916" s="119"/>
      <c r="AX8916" s="118">
        <f t="shared" ref="AX8916" si="13724">SUM(AR8916:AW8916)</f>
        <v>0</v>
      </c>
      <c r="AY8916" s="119"/>
      <c r="AZ8916" s="137"/>
    </row>
    <row r="8917" spans="1:52" ht="17.100000000000001" customHeight="1" thickBot="1">
      <c r="A8917" s="110"/>
      <c r="B8917" s="27" t="s">
        <v>1591</v>
      </c>
      <c r="C8917" s="27">
        <v>82038</v>
      </c>
      <c r="D8917" s="14" t="s">
        <v>133</v>
      </c>
      <c r="E8917" s="112"/>
      <c r="F8917" s="139" t="s">
        <v>25468</v>
      </c>
      <c r="G8917" s="140"/>
      <c r="H8917" s="141"/>
      <c r="I8917" s="26">
        <v>23664</v>
      </c>
      <c r="J8917" s="117"/>
      <c r="K8917" s="120"/>
      <c r="L8917" s="121"/>
      <c r="M8917" s="120"/>
      <c r="N8917" s="121"/>
      <c r="O8917" s="120"/>
      <c r="P8917" s="121"/>
      <c r="Q8917" s="120"/>
      <c r="R8917" s="121"/>
      <c r="S8917" s="120"/>
      <c r="T8917" s="121"/>
      <c r="U8917" s="120"/>
      <c r="V8917" s="123"/>
      <c r="W8917" s="125"/>
      <c r="X8917" s="142"/>
      <c r="Y8917" s="143"/>
      <c r="Z8917" s="143"/>
      <c r="AA8917" s="143"/>
      <c r="AB8917" s="144"/>
      <c r="AC8917" s="16" t="s">
        <v>21</v>
      </c>
      <c r="AD8917" s="17"/>
      <c r="AE8917" s="145"/>
      <c r="AF8917" s="146"/>
      <c r="AG8917" s="146"/>
      <c r="AH8917" s="146"/>
      <c r="AI8917" s="147"/>
      <c r="AJ8917" s="148"/>
      <c r="AK8917" s="143"/>
      <c r="AL8917" s="144"/>
      <c r="AM8917" s="22"/>
      <c r="AN8917" s="149"/>
      <c r="AO8917" s="144"/>
      <c r="AP8917" s="148"/>
      <c r="AQ8917" s="144"/>
      <c r="AR8917" s="120"/>
      <c r="AS8917" s="121"/>
      <c r="AT8917" s="120"/>
      <c r="AU8917" s="121"/>
      <c r="AV8917" s="120"/>
      <c r="AW8917" s="121"/>
      <c r="AX8917" s="120"/>
      <c r="AY8917" s="121"/>
      <c r="AZ8917" s="138"/>
    </row>
    <row r="8918" spans="1:52" ht="17.100000000000001" customHeight="1" thickTop="1">
      <c r="A8918" s="109" t="s">
        <v>25447</v>
      </c>
      <c r="B8918" s="28">
        <v>46154</v>
      </c>
      <c r="C8918" s="25">
        <v>989</v>
      </c>
      <c r="D8918" s="13" t="s">
        <v>1697</v>
      </c>
      <c r="E8918" s="111"/>
      <c r="F8918" s="113" t="s">
        <v>15215</v>
      </c>
      <c r="G8918" s="114"/>
      <c r="H8918" s="115"/>
      <c r="I8918" s="24"/>
      <c r="J8918" s="116">
        <v>4</v>
      </c>
      <c r="K8918" s="118">
        <v>963000</v>
      </c>
      <c r="L8918" s="119"/>
      <c r="M8918" s="118">
        <f t="shared" ref="M8918" si="13725">K8918*0.1</f>
        <v>96300</v>
      </c>
      <c r="N8918" s="119"/>
      <c r="O8918" s="118">
        <v>0</v>
      </c>
      <c r="P8918" s="119"/>
      <c r="Q8918" s="118">
        <v>6850</v>
      </c>
      <c r="R8918" s="119"/>
      <c r="S8918" s="118">
        <v>22000</v>
      </c>
      <c r="T8918" s="119"/>
      <c r="U8918" s="118">
        <f t="shared" ref="U8918" si="13726">SUM(K8918:T8919)</f>
        <v>1088150</v>
      </c>
      <c r="V8918" s="122"/>
      <c r="W8918" s="124"/>
      <c r="X8918" s="126" t="s">
        <v>25723</v>
      </c>
      <c r="Y8918" s="127"/>
      <c r="Z8918" s="127"/>
      <c r="AA8918" s="127"/>
      <c r="AB8918" s="128"/>
      <c r="AC8918" s="15" t="s">
        <v>20</v>
      </c>
      <c r="AD8918" s="129" t="s">
        <v>1670</v>
      </c>
      <c r="AE8918" s="130"/>
      <c r="AF8918" s="130"/>
      <c r="AG8918" s="130"/>
      <c r="AH8918" s="130"/>
      <c r="AI8918" s="131"/>
      <c r="AJ8918" s="132"/>
      <c r="AK8918" s="127"/>
      <c r="AL8918" s="128"/>
      <c r="AM8918" s="21"/>
      <c r="AN8918" s="133">
        <v>46158</v>
      </c>
      <c r="AO8918" s="134"/>
      <c r="AP8918" s="135">
        <v>1300</v>
      </c>
      <c r="AQ8918" s="136"/>
      <c r="AR8918" s="118">
        <v>1075000</v>
      </c>
      <c r="AS8918" s="119"/>
      <c r="AT8918" s="118">
        <f t="shared" ref="AT8918" si="13727">AR8918*0.1</f>
        <v>107500</v>
      </c>
      <c r="AU8918" s="119"/>
      <c r="AV8918" s="118">
        <v>6850</v>
      </c>
      <c r="AW8918" s="119"/>
      <c r="AX8918" s="118">
        <f t="shared" ref="AX8918" si="13728">SUM(AR8918:AW8918)</f>
        <v>1189350</v>
      </c>
      <c r="AY8918" s="119"/>
      <c r="AZ8918" s="137">
        <v>46161</v>
      </c>
    </row>
    <row r="8919" spans="1:52" ht="17.100000000000001" customHeight="1" thickBot="1">
      <c r="A8919" s="110"/>
      <c r="B8919" s="27" t="s">
        <v>18196</v>
      </c>
      <c r="C8919" s="27">
        <v>8</v>
      </c>
      <c r="D8919" s="14" t="s">
        <v>275</v>
      </c>
      <c r="E8919" s="112"/>
      <c r="F8919" s="139" t="s">
        <v>25461</v>
      </c>
      <c r="G8919" s="140"/>
      <c r="H8919" s="141"/>
      <c r="I8919" s="26">
        <v>33847</v>
      </c>
      <c r="J8919" s="117"/>
      <c r="K8919" s="120"/>
      <c r="L8919" s="121"/>
      <c r="M8919" s="120"/>
      <c r="N8919" s="121"/>
      <c r="O8919" s="120"/>
      <c r="P8919" s="121"/>
      <c r="Q8919" s="120"/>
      <c r="R8919" s="121"/>
      <c r="S8919" s="120"/>
      <c r="T8919" s="121"/>
      <c r="U8919" s="120"/>
      <c r="V8919" s="123"/>
      <c r="W8919" s="125"/>
      <c r="X8919" s="142" t="s">
        <v>2482</v>
      </c>
      <c r="Y8919" s="143"/>
      <c r="Z8919" s="143"/>
      <c r="AA8919" s="143"/>
      <c r="AB8919" s="144"/>
      <c r="AC8919" s="16" t="s">
        <v>21</v>
      </c>
      <c r="AD8919" s="17" t="s">
        <v>25722</v>
      </c>
      <c r="AE8919" s="145" t="s">
        <v>25689</v>
      </c>
      <c r="AF8919" s="146"/>
      <c r="AG8919" s="146"/>
      <c r="AH8919" s="146"/>
      <c r="AI8919" s="147"/>
      <c r="AJ8919" s="148"/>
      <c r="AK8919" s="143"/>
      <c r="AL8919" s="144"/>
      <c r="AM8919" s="22"/>
      <c r="AN8919" s="149" t="s">
        <v>2511</v>
      </c>
      <c r="AO8919" s="144"/>
      <c r="AP8919" s="148">
        <v>62120</v>
      </c>
      <c r="AQ8919" s="144"/>
      <c r="AR8919" s="120"/>
      <c r="AS8919" s="121"/>
      <c r="AT8919" s="120"/>
      <c r="AU8919" s="121"/>
      <c r="AV8919" s="120"/>
      <c r="AW8919" s="121"/>
      <c r="AX8919" s="120"/>
      <c r="AY8919" s="121"/>
      <c r="AZ8919" s="138"/>
    </row>
    <row r="8920" spans="1:52" ht="17.100000000000001" customHeight="1" thickTop="1">
      <c r="A8920" s="109" t="s">
        <v>25448</v>
      </c>
      <c r="B8920" s="28">
        <v>46154</v>
      </c>
      <c r="C8920" s="25">
        <v>989</v>
      </c>
      <c r="D8920" s="13" t="s">
        <v>1986</v>
      </c>
      <c r="E8920" s="111"/>
      <c r="F8920" s="113" t="s">
        <v>7775</v>
      </c>
      <c r="G8920" s="114"/>
      <c r="H8920" s="115"/>
      <c r="I8920" s="24"/>
      <c r="J8920" s="116">
        <v>3.5</v>
      </c>
      <c r="K8920" s="118">
        <v>363000</v>
      </c>
      <c r="L8920" s="119"/>
      <c r="M8920" s="118">
        <f t="shared" ref="M8920" si="13729">K8920*0.1</f>
        <v>36300</v>
      </c>
      <c r="N8920" s="119"/>
      <c r="O8920" s="118">
        <v>0</v>
      </c>
      <c r="P8920" s="119"/>
      <c r="Q8920" s="118">
        <v>6960</v>
      </c>
      <c r="R8920" s="119"/>
      <c r="S8920" s="118">
        <v>22000</v>
      </c>
      <c r="T8920" s="119"/>
      <c r="U8920" s="118">
        <f t="shared" ref="U8920" si="13730">SUM(K8920:T8921)</f>
        <v>428260</v>
      </c>
      <c r="V8920" s="122"/>
      <c r="W8920" s="124"/>
      <c r="X8920" s="126" t="s">
        <v>25742</v>
      </c>
      <c r="Y8920" s="127"/>
      <c r="Z8920" s="127"/>
      <c r="AA8920" s="127"/>
      <c r="AB8920" s="128"/>
      <c r="AC8920" s="15" t="s">
        <v>20</v>
      </c>
      <c r="AD8920" s="129" t="s">
        <v>2054</v>
      </c>
      <c r="AE8920" s="130"/>
      <c r="AF8920" s="130"/>
      <c r="AG8920" s="130"/>
      <c r="AH8920" s="130"/>
      <c r="AI8920" s="131"/>
      <c r="AJ8920" s="132"/>
      <c r="AK8920" s="127"/>
      <c r="AL8920" s="128"/>
      <c r="AM8920" s="21"/>
      <c r="AN8920" s="133"/>
      <c r="AO8920" s="134"/>
      <c r="AP8920" s="135"/>
      <c r="AQ8920" s="136"/>
      <c r="AR8920" s="118"/>
      <c r="AS8920" s="119"/>
      <c r="AT8920" s="118">
        <f t="shared" ref="AT8920" si="13731">AR8920*0.1</f>
        <v>0</v>
      </c>
      <c r="AU8920" s="119"/>
      <c r="AV8920" s="118"/>
      <c r="AW8920" s="119"/>
      <c r="AX8920" s="118">
        <f t="shared" ref="AX8920" si="13732">SUM(AR8920:AW8920)</f>
        <v>0</v>
      </c>
      <c r="AY8920" s="119"/>
      <c r="AZ8920" s="137"/>
    </row>
    <row r="8921" spans="1:52" ht="17.100000000000001" customHeight="1" thickBot="1">
      <c r="A8921" s="110"/>
      <c r="B8921" s="27" t="s">
        <v>18196</v>
      </c>
      <c r="C8921" s="27">
        <v>35</v>
      </c>
      <c r="D8921" s="14" t="s">
        <v>1592</v>
      </c>
      <c r="E8921" s="112"/>
      <c r="F8921" s="139" t="s">
        <v>25462</v>
      </c>
      <c r="G8921" s="140"/>
      <c r="H8921" s="141"/>
      <c r="I8921" s="26">
        <v>23143</v>
      </c>
      <c r="J8921" s="117"/>
      <c r="K8921" s="120"/>
      <c r="L8921" s="121"/>
      <c r="M8921" s="120"/>
      <c r="N8921" s="121"/>
      <c r="O8921" s="120"/>
      <c r="P8921" s="121"/>
      <c r="Q8921" s="120"/>
      <c r="R8921" s="121"/>
      <c r="S8921" s="120"/>
      <c r="T8921" s="121"/>
      <c r="U8921" s="120"/>
      <c r="V8921" s="123"/>
      <c r="W8921" s="125"/>
      <c r="X8921" s="142" t="s">
        <v>2482</v>
      </c>
      <c r="Y8921" s="143"/>
      <c r="Z8921" s="143"/>
      <c r="AA8921" s="143"/>
      <c r="AB8921" s="144"/>
      <c r="AC8921" s="16" t="s">
        <v>21</v>
      </c>
      <c r="AD8921" s="17" t="s">
        <v>25722</v>
      </c>
      <c r="AE8921" s="145" t="s">
        <v>1670</v>
      </c>
      <c r="AF8921" s="146"/>
      <c r="AG8921" s="146"/>
      <c r="AH8921" s="146"/>
      <c r="AI8921" s="147"/>
      <c r="AJ8921" s="148"/>
      <c r="AK8921" s="143"/>
      <c r="AL8921" s="144"/>
      <c r="AM8921" s="22"/>
      <c r="AN8921" s="149"/>
      <c r="AO8921" s="144"/>
      <c r="AP8921" s="148"/>
      <c r="AQ8921" s="144"/>
      <c r="AR8921" s="120"/>
      <c r="AS8921" s="121"/>
      <c r="AT8921" s="120"/>
      <c r="AU8921" s="121"/>
      <c r="AV8921" s="120"/>
      <c r="AW8921" s="121"/>
      <c r="AX8921" s="120"/>
      <c r="AY8921" s="121"/>
      <c r="AZ8921" s="138"/>
    </row>
    <row r="8922" spans="1:52" ht="17.100000000000001" customHeight="1" thickTop="1">
      <c r="A8922" s="109" t="s">
        <v>25449</v>
      </c>
      <c r="B8922" s="28">
        <v>46154</v>
      </c>
      <c r="C8922" s="25">
        <v>989</v>
      </c>
      <c r="D8922" s="13" t="s">
        <v>3530</v>
      </c>
      <c r="E8922" s="111"/>
      <c r="F8922" s="113" t="s">
        <v>17575</v>
      </c>
      <c r="G8922" s="114"/>
      <c r="H8922" s="115"/>
      <c r="I8922" s="24"/>
      <c r="J8922" s="116">
        <v>3.5</v>
      </c>
      <c r="K8922" s="118">
        <v>684000</v>
      </c>
      <c r="L8922" s="119"/>
      <c r="M8922" s="118">
        <f t="shared" ref="M8922" si="13733">K8922*0.1</f>
        <v>68400</v>
      </c>
      <c r="N8922" s="119"/>
      <c r="O8922" s="118">
        <v>0</v>
      </c>
      <c r="P8922" s="119"/>
      <c r="Q8922" s="118">
        <v>7440</v>
      </c>
      <c r="R8922" s="119"/>
      <c r="S8922" s="118">
        <v>22000</v>
      </c>
      <c r="T8922" s="119"/>
      <c r="U8922" s="118">
        <f t="shared" ref="U8922" si="13734">SUM(K8922:T8923)</f>
        <v>781840</v>
      </c>
      <c r="V8922" s="122"/>
      <c r="W8922" s="124"/>
      <c r="X8922" s="126" t="s">
        <v>25721</v>
      </c>
      <c r="Y8922" s="127"/>
      <c r="Z8922" s="127"/>
      <c r="AA8922" s="127"/>
      <c r="AB8922" s="128"/>
      <c r="AC8922" s="15" t="s">
        <v>20</v>
      </c>
      <c r="AD8922" s="129" t="s">
        <v>2054</v>
      </c>
      <c r="AE8922" s="130"/>
      <c r="AF8922" s="130"/>
      <c r="AG8922" s="130"/>
      <c r="AH8922" s="130"/>
      <c r="AI8922" s="131"/>
      <c r="AJ8922" s="132"/>
      <c r="AK8922" s="127"/>
      <c r="AL8922" s="128"/>
      <c r="AM8922" s="21"/>
      <c r="AN8922" s="133">
        <v>46158</v>
      </c>
      <c r="AO8922" s="134"/>
      <c r="AP8922" s="135">
        <v>1300</v>
      </c>
      <c r="AQ8922" s="136"/>
      <c r="AR8922" s="118">
        <v>865000</v>
      </c>
      <c r="AS8922" s="119"/>
      <c r="AT8922" s="118">
        <f t="shared" ref="AT8922" si="13735">AR8922*0.1</f>
        <v>86500</v>
      </c>
      <c r="AU8922" s="119"/>
      <c r="AV8922" s="118">
        <v>7440</v>
      </c>
      <c r="AW8922" s="119"/>
      <c r="AX8922" s="118">
        <f t="shared" ref="AX8922" si="13736">SUM(AR8922:AW8922)</f>
        <v>958940</v>
      </c>
      <c r="AY8922" s="119"/>
      <c r="AZ8922" s="137">
        <v>46161</v>
      </c>
    </row>
    <row r="8923" spans="1:52" ht="17.100000000000001" customHeight="1" thickBot="1">
      <c r="A8923" s="110"/>
      <c r="B8923" s="27" t="s">
        <v>18196</v>
      </c>
      <c r="C8923" s="27">
        <v>91</v>
      </c>
      <c r="D8923" s="14" t="s">
        <v>1592</v>
      </c>
      <c r="E8923" s="112"/>
      <c r="F8923" s="139" t="s">
        <v>25463</v>
      </c>
      <c r="G8923" s="140"/>
      <c r="H8923" s="141"/>
      <c r="I8923" s="26">
        <v>46670</v>
      </c>
      <c r="J8923" s="117"/>
      <c r="K8923" s="120"/>
      <c r="L8923" s="121"/>
      <c r="M8923" s="120"/>
      <c r="N8923" s="121"/>
      <c r="O8923" s="120"/>
      <c r="P8923" s="121"/>
      <c r="Q8923" s="120"/>
      <c r="R8923" s="121"/>
      <c r="S8923" s="120"/>
      <c r="T8923" s="121"/>
      <c r="U8923" s="120"/>
      <c r="V8923" s="123"/>
      <c r="W8923" s="125"/>
      <c r="X8923" s="142" t="s">
        <v>2482</v>
      </c>
      <c r="Y8923" s="143"/>
      <c r="Z8923" s="143"/>
      <c r="AA8923" s="143"/>
      <c r="AB8923" s="144"/>
      <c r="AC8923" s="16" t="s">
        <v>21</v>
      </c>
      <c r="AD8923" s="17" t="s">
        <v>25722</v>
      </c>
      <c r="AE8923" s="145" t="s">
        <v>10331</v>
      </c>
      <c r="AF8923" s="146"/>
      <c r="AG8923" s="146"/>
      <c r="AH8923" s="146"/>
      <c r="AI8923" s="147"/>
      <c r="AJ8923" s="148"/>
      <c r="AK8923" s="143"/>
      <c r="AL8923" s="144"/>
      <c r="AM8923" s="22"/>
      <c r="AN8923" s="149" t="s">
        <v>2511</v>
      </c>
      <c r="AO8923" s="144"/>
      <c r="AP8923" s="148">
        <v>40191</v>
      </c>
      <c r="AQ8923" s="144"/>
      <c r="AR8923" s="120"/>
      <c r="AS8923" s="121"/>
      <c r="AT8923" s="120"/>
      <c r="AU8923" s="121"/>
      <c r="AV8923" s="120"/>
      <c r="AW8923" s="121"/>
      <c r="AX8923" s="120"/>
      <c r="AY8923" s="121"/>
      <c r="AZ8923" s="138"/>
    </row>
    <row r="8924" spans="1:52" ht="17.100000000000001" customHeight="1" thickTop="1">
      <c r="A8924" s="109" t="s">
        <v>25450</v>
      </c>
      <c r="B8924" s="28">
        <v>46154</v>
      </c>
      <c r="C8924" s="25">
        <v>989</v>
      </c>
      <c r="D8924" s="13" t="s">
        <v>2737</v>
      </c>
      <c r="E8924" s="111"/>
      <c r="F8924" s="113" t="s">
        <v>17939</v>
      </c>
      <c r="G8924" s="114"/>
      <c r="H8924" s="115"/>
      <c r="I8924" s="24"/>
      <c r="J8924" s="116">
        <v>3.5</v>
      </c>
      <c r="K8924" s="118">
        <v>1283000</v>
      </c>
      <c r="L8924" s="119"/>
      <c r="M8924" s="118">
        <f t="shared" ref="M8924" si="13737">K8924*0.1</f>
        <v>128300</v>
      </c>
      <c r="N8924" s="119"/>
      <c r="O8924" s="118">
        <v>0</v>
      </c>
      <c r="P8924" s="119"/>
      <c r="Q8924" s="118">
        <v>9150</v>
      </c>
      <c r="R8924" s="119"/>
      <c r="S8924" s="118">
        <v>22000</v>
      </c>
      <c r="T8924" s="119"/>
      <c r="U8924" s="118">
        <f t="shared" ref="U8924" si="13738">SUM(K8924:T8925)</f>
        <v>1442450</v>
      </c>
      <c r="V8924" s="122"/>
      <c r="W8924" s="124"/>
      <c r="X8924" s="126" t="s">
        <v>25741</v>
      </c>
      <c r="Y8924" s="127"/>
      <c r="Z8924" s="127"/>
      <c r="AA8924" s="127"/>
      <c r="AB8924" s="128"/>
      <c r="AC8924" s="15" t="s">
        <v>20</v>
      </c>
      <c r="AD8924" s="129" t="s">
        <v>2054</v>
      </c>
      <c r="AE8924" s="130"/>
      <c r="AF8924" s="130"/>
      <c r="AG8924" s="130"/>
      <c r="AH8924" s="130"/>
      <c r="AI8924" s="131"/>
      <c r="AJ8924" s="132"/>
      <c r="AK8924" s="127"/>
      <c r="AL8924" s="128"/>
      <c r="AM8924" s="21"/>
      <c r="AN8924" s="133"/>
      <c r="AO8924" s="134"/>
      <c r="AP8924" s="135"/>
      <c r="AQ8924" s="136"/>
      <c r="AR8924" s="118"/>
      <c r="AS8924" s="119"/>
      <c r="AT8924" s="118">
        <f t="shared" ref="AT8924" si="13739">AR8924*0.1</f>
        <v>0</v>
      </c>
      <c r="AU8924" s="119"/>
      <c r="AV8924" s="118"/>
      <c r="AW8924" s="119"/>
      <c r="AX8924" s="118">
        <f t="shared" ref="AX8924" si="13740">SUM(AR8924:AW8924)</f>
        <v>0</v>
      </c>
      <c r="AY8924" s="119"/>
      <c r="AZ8924" s="137"/>
    </row>
    <row r="8925" spans="1:52" ht="17.100000000000001" customHeight="1" thickBot="1">
      <c r="A8925" s="110"/>
      <c r="B8925" s="27" t="s">
        <v>18196</v>
      </c>
      <c r="C8925" s="27">
        <v>92</v>
      </c>
      <c r="D8925" s="14" t="s">
        <v>275</v>
      </c>
      <c r="E8925" s="112"/>
      <c r="F8925" s="139" t="s">
        <v>25464</v>
      </c>
      <c r="G8925" s="140"/>
      <c r="H8925" s="141"/>
      <c r="I8925" s="26">
        <v>47168</v>
      </c>
      <c r="J8925" s="117"/>
      <c r="K8925" s="120"/>
      <c r="L8925" s="121"/>
      <c r="M8925" s="120"/>
      <c r="N8925" s="121"/>
      <c r="O8925" s="120"/>
      <c r="P8925" s="121"/>
      <c r="Q8925" s="120"/>
      <c r="R8925" s="121"/>
      <c r="S8925" s="120"/>
      <c r="T8925" s="121"/>
      <c r="U8925" s="120"/>
      <c r="V8925" s="123"/>
      <c r="W8925" s="125"/>
      <c r="X8925" s="142" t="s">
        <v>2482</v>
      </c>
      <c r="Y8925" s="143"/>
      <c r="Z8925" s="143"/>
      <c r="AA8925" s="143"/>
      <c r="AB8925" s="144"/>
      <c r="AC8925" s="16" t="s">
        <v>21</v>
      </c>
      <c r="AD8925" s="17" t="s">
        <v>25722</v>
      </c>
      <c r="AE8925" s="145" t="s">
        <v>1670</v>
      </c>
      <c r="AF8925" s="146"/>
      <c r="AG8925" s="146"/>
      <c r="AH8925" s="146"/>
      <c r="AI8925" s="147"/>
      <c r="AJ8925" s="148"/>
      <c r="AK8925" s="143"/>
      <c r="AL8925" s="144"/>
      <c r="AM8925" s="22"/>
      <c r="AN8925" s="149"/>
      <c r="AO8925" s="144"/>
      <c r="AP8925" s="148"/>
      <c r="AQ8925" s="144"/>
      <c r="AR8925" s="120"/>
      <c r="AS8925" s="121"/>
      <c r="AT8925" s="120"/>
      <c r="AU8925" s="121"/>
      <c r="AV8925" s="120"/>
      <c r="AW8925" s="121"/>
      <c r="AX8925" s="120"/>
      <c r="AY8925" s="121"/>
      <c r="AZ8925" s="138"/>
    </row>
    <row r="8926" spans="1:52" ht="17.100000000000001" customHeight="1" thickTop="1">
      <c r="A8926" s="109" t="s">
        <v>25451</v>
      </c>
      <c r="B8926" s="28">
        <v>46154</v>
      </c>
      <c r="C8926" s="25">
        <v>989</v>
      </c>
      <c r="D8926" s="13" t="s">
        <v>1986</v>
      </c>
      <c r="E8926" s="111"/>
      <c r="F8926" s="113" t="s">
        <v>15851</v>
      </c>
      <c r="G8926" s="114"/>
      <c r="H8926" s="115"/>
      <c r="I8926" s="24"/>
      <c r="J8926" s="116">
        <v>4</v>
      </c>
      <c r="K8926" s="118">
        <v>493000</v>
      </c>
      <c r="L8926" s="119"/>
      <c r="M8926" s="118">
        <f t="shared" ref="M8926" si="13741">K8926*0.1</f>
        <v>49300</v>
      </c>
      <c r="N8926" s="119"/>
      <c r="O8926" s="118">
        <v>0</v>
      </c>
      <c r="P8926" s="119"/>
      <c r="Q8926" s="118">
        <v>8430</v>
      </c>
      <c r="R8926" s="119"/>
      <c r="S8926" s="118">
        <v>22000</v>
      </c>
      <c r="T8926" s="119"/>
      <c r="U8926" s="118">
        <f t="shared" ref="U8926" si="13742">SUM(K8926:T8927)</f>
        <v>572730</v>
      </c>
      <c r="V8926" s="122"/>
      <c r="W8926" s="124"/>
      <c r="X8926" s="126" t="s">
        <v>25740</v>
      </c>
      <c r="Y8926" s="127"/>
      <c r="Z8926" s="127"/>
      <c r="AA8926" s="127"/>
      <c r="AB8926" s="128"/>
      <c r="AC8926" s="15" t="s">
        <v>20</v>
      </c>
      <c r="AD8926" s="129" t="s">
        <v>2054</v>
      </c>
      <c r="AE8926" s="130"/>
      <c r="AF8926" s="130"/>
      <c r="AG8926" s="130"/>
      <c r="AH8926" s="130"/>
      <c r="AI8926" s="131"/>
      <c r="AJ8926" s="132"/>
      <c r="AK8926" s="127"/>
      <c r="AL8926" s="128"/>
      <c r="AM8926" s="21"/>
      <c r="AN8926" s="133"/>
      <c r="AO8926" s="134"/>
      <c r="AP8926" s="135"/>
      <c r="AQ8926" s="136"/>
      <c r="AR8926" s="118"/>
      <c r="AS8926" s="119"/>
      <c r="AT8926" s="118">
        <f t="shared" ref="AT8926" si="13743">AR8926*0.1</f>
        <v>0</v>
      </c>
      <c r="AU8926" s="119"/>
      <c r="AV8926" s="118"/>
      <c r="AW8926" s="119"/>
      <c r="AX8926" s="118">
        <f t="shared" ref="AX8926" si="13744">SUM(AR8926:AW8926)</f>
        <v>0</v>
      </c>
      <c r="AY8926" s="119"/>
      <c r="AZ8926" s="137"/>
    </row>
    <row r="8927" spans="1:52" ht="17.100000000000001" customHeight="1" thickBot="1">
      <c r="A8927" s="110"/>
      <c r="B8927" s="27" t="s">
        <v>18196</v>
      </c>
      <c r="C8927" s="27">
        <v>123</v>
      </c>
      <c r="D8927" s="14" t="s">
        <v>1720</v>
      </c>
      <c r="E8927" s="112"/>
      <c r="F8927" s="139" t="s">
        <v>25465</v>
      </c>
      <c r="G8927" s="140"/>
      <c r="H8927" s="141"/>
      <c r="I8927" s="26">
        <v>41252</v>
      </c>
      <c r="J8927" s="117"/>
      <c r="K8927" s="120"/>
      <c r="L8927" s="121"/>
      <c r="M8927" s="120"/>
      <c r="N8927" s="121"/>
      <c r="O8927" s="120"/>
      <c r="P8927" s="121"/>
      <c r="Q8927" s="120"/>
      <c r="R8927" s="121"/>
      <c r="S8927" s="120"/>
      <c r="T8927" s="121"/>
      <c r="U8927" s="120"/>
      <c r="V8927" s="123"/>
      <c r="W8927" s="125"/>
      <c r="X8927" s="142" t="s">
        <v>2482</v>
      </c>
      <c r="Y8927" s="143"/>
      <c r="Z8927" s="143"/>
      <c r="AA8927" s="143"/>
      <c r="AB8927" s="144"/>
      <c r="AC8927" s="16" t="s">
        <v>21</v>
      </c>
      <c r="AD8927" s="17" t="s">
        <v>25722</v>
      </c>
      <c r="AE8927" s="145" t="s">
        <v>171</v>
      </c>
      <c r="AF8927" s="146"/>
      <c r="AG8927" s="146"/>
      <c r="AH8927" s="146"/>
      <c r="AI8927" s="147"/>
      <c r="AJ8927" s="148"/>
      <c r="AK8927" s="143"/>
      <c r="AL8927" s="144"/>
      <c r="AM8927" s="22"/>
      <c r="AN8927" s="149"/>
      <c r="AO8927" s="144"/>
      <c r="AP8927" s="148"/>
      <c r="AQ8927" s="144"/>
      <c r="AR8927" s="120"/>
      <c r="AS8927" s="121"/>
      <c r="AT8927" s="120"/>
      <c r="AU8927" s="121"/>
      <c r="AV8927" s="120"/>
      <c r="AW8927" s="121"/>
      <c r="AX8927" s="120"/>
      <c r="AY8927" s="121"/>
      <c r="AZ8927" s="138"/>
    </row>
    <row r="8928" spans="1:52" ht="17.100000000000001" customHeight="1" thickTop="1">
      <c r="A8928" s="109" t="s">
        <v>25452</v>
      </c>
      <c r="B8928" s="28">
        <v>46154</v>
      </c>
      <c r="C8928" s="25">
        <v>989</v>
      </c>
      <c r="D8928" s="13" t="s">
        <v>2949</v>
      </c>
      <c r="E8928" s="111"/>
      <c r="F8928" s="113" t="s">
        <v>15531</v>
      </c>
      <c r="G8928" s="114"/>
      <c r="H8928" s="115"/>
      <c r="I8928" s="24"/>
      <c r="J8928" s="116">
        <v>3.5</v>
      </c>
      <c r="K8928" s="118">
        <v>343000</v>
      </c>
      <c r="L8928" s="119"/>
      <c r="M8928" s="118">
        <f t="shared" ref="M8928" si="13745">K8928*0.1</f>
        <v>34300</v>
      </c>
      <c r="N8928" s="119"/>
      <c r="O8928" s="118">
        <v>0</v>
      </c>
      <c r="P8928" s="119"/>
      <c r="Q8928" s="118">
        <v>8850</v>
      </c>
      <c r="R8928" s="119"/>
      <c r="S8928" s="118">
        <v>22000</v>
      </c>
      <c r="T8928" s="119"/>
      <c r="U8928" s="118">
        <f t="shared" ref="U8928" si="13746">SUM(K8928:T8929)</f>
        <v>408150</v>
      </c>
      <c r="V8928" s="122"/>
      <c r="W8928" s="124"/>
      <c r="X8928" s="126" t="s">
        <v>25739</v>
      </c>
      <c r="Y8928" s="127"/>
      <c r="Z8928" s="127"/>
      <c r="AA8928" s="127"/>
      <c r="AB8928" s="128"/>
      <c r="AC8928" s="15" t="s">
        <v>20</v>
      </c>
      <c r="AD8928" s="129" t="s">
        <v>2054</v>
      </c>
      <c r="AE8928" s="130"/>
      <c r="AF8928" s="130"/>
      <c r="AG8928" s="130"/>
      <c r="AH8928" s="130"/>
      <c r="AI8928" s="131"/>
      <c r="AJ8928" s="132"/>
      <c r="AK8928" s="127"/>
      <c r="AL8928" s="128"/>
      <c r="AM8928" s="21"/>
      <c r="AN8928" s="133"/>
      <c r="AO8928" s="134"/>
      <c r="AP8928" s="135"/>
      <c r="AQ8928" s="136"/>
      <c r="AR8928" s="118"/>
      <c r="AS8928" s="119"/>
      <c r="AT8928" s="118">
        <f t="shared" ref="AT8928" si="13747">AR8928*0.1</f>
        <v>0</v>
      </c>
      <c r="AU8928" s="119"/>
      <c r="AV8928" s="118"/>
      <c r="AW8928" s="119"/>
      <c r="AX8928" s="118">
        <f t="shared" ref="AX8928" si="13748">SUM(AR8928:AW8928)</f>
        <v>0</v>
      </c>
      <c r="AY8928" s="119"/>
      <c r="AZ8928" s="137"/>
    </row>
    <row r="8929" spans="1:52" ht="17.100000000000001" customHeight="1" thickBot="1">
      <c r="A8929" s="110"/>
      <c r="B8929" s="27" t="s">
        <v>18196</v>
      </c>
      <c r="C8929" s="27">
        <v>126</v>
      </c>
      <c r="D8929" s="14" t="s">
        <v>904</v>
      </c>
      <c r="E8929" s="112"/>
      <c r="F8929" s="139" t="s">
        <v>25466</v>
      </c>
      <c r="G8929" s="140"/>
      <c r="H8929" s="141"/>
      <c r="I8929" s="26">
        <v>59693</v>
      </c>
      <c r="J8929" s="117"/>
      <c r="K8929" s="120"/>
      <c r="L8929" s="121"/>
      <c r="M8929" s="120"/>
      <c r="N8929" s="121"/>
      <c r="O8929" s="120"/>
      <c r="P8929" s="121"/>
      <c r="Q8929" s="120"/>
      <c r="R8929" s="121"/>
      <c r="S8929" s="120"/>
      <c r="T8929" s="121"/>
      <c r="U8929" s="120"/>
      <c r="V8929" s="123"/>
      <c r="W8929" s="125"/>
      <c r="X8929" s="142" t="s">
        <v>2482</v>
      </c>
      <c r="Y8929" s="143"/>
      <c r="Z8929" s="143"/>
      <c r="AA8929" s="143"/>
      <c r="AB8929" s="144"/>
      <c r="AC8929" s="16" t="s">
        <v>21</v>
      </c>
      <c r="AD8929" s="17" t="s">
        <v>25722</v>
      </c>
      <c r="AE8929" s="145" t="s">
        <v>1670</v>
      </c>
      <c r="AF8929" s="146"/>
      <c r="AG8929" s="146"/>
      <c r="AH8929" s="146"/>
      <c r="AI8929" s="147"/>
      <c r="AJ8929" s="148"/>
      <c r="AK8929" s="143"/>
      <c r="AL8929" s="144"/>
      <c r="AM8929" s="22"/>
      <c r="AN8929" s="149"/>
      <c r="AO8929" s="144"/>
      <c r="AP8929" s="148"/>
      <c r="AQ8929" s="144"/>
      <c r="AR8929" s="120"/>
      <c r="AS8929" s="121"/>
      <c r="AT8929" s="120"/>
      <c r="AU8929" s="121"/>
      <c r="AV8929" s="120"/>
      <c r="AW8929" s="121"/>
      <c r="AX8929" s="120"/>
      <c r="AY8929" s="121"/>
      <c r="AZ8929" s="138"/>
    </row>
    <row r="8930" spans="1:52" ht="17.100000000000001" customHeight="1" thickTop="1">
      <c r="A8930" s="109" t="s">
        <v>25453</v>
      </c>
      <c r="B8930" s="28">
        <v>46154</v>
      </c>
      <c r="C8930" s="25">
        <v>989</v>
      </c>
      <c r="D8930" s="13" t="s">
        <v>1986</v>
      </c>
      <c r="E8930" s="111"/>
      <c r="F8930" s="113" t="s">
        <v>7775</v>
      </c>
      <c r="G8930" s="114"/>
      <c r="H8930" s="115"/>
      <c r="I8930" s="24"/>
      <c r="J8930" s="116">
        <v>3.5</v>
      </c>
      <c r="K8930" s="118">
        <v>363000</v>
      </c>
      <c r="L8930" s="119"/>
      <c r="M8930" s="118">
        <f t="shared" ref="M8930" si="13749">K8930*0.1</f>
        <v>36300</v>
      </c>
      <c r="N8930" s="119"/>
      <c r="O8930" s="118">
        <v>0</v>
      </c>
      <c r="P8930" s="119"/>
      <c r="Q8930" s="118">
        <v>6960</v>
      </c>
      <c r="R8930" s="119"/>
      <c r="S8930" s="118">
        <v>22000</v>
      </c>
      <c r="T8930" s="119"/>
      <c r="U8930" s="118">
        <f t="shared" ref="U8930" si="13750">SUM(K8930:T8931)</f>
        <v>428260</v>
      </c>
      <c r="V8930" s="122"/>
      <c r="W8930" s="124"/>
      <c r="X8930" s="126"/>
      <c r="Y8930" s="127"/>
      <c r="Z8930" s="127"/>
      <c r="AA8930" s="127"/>
      <c r="AB8930" s="128"/>
      <c r="AC8930" s="15" t="s">
        <v>20</v>
      </c>
      <c r="AD8930" s="129" t="s">
        <v>2054</v>
      </c>
      <c r="AE8930" s="130"/>
      <c r="AF8930" s="130"/>
      <c r="AG8930" s="130"/>
      <c r="AH8930" s="130"/>
      <c r="AI8930" s="131"/>
      <c r="AJ8930" s="132"/>
      <c r="AK8930" s="127"/>
      <c r="AL8930" s="128"/>
      <c r="AM8930" s="21"/>
      <c r="AN8930" s="133"/>
      <c r="AO8930" s="134"/>
      <c r="AP8930" s="135"/>
      <c r="AQ8930" s="136"/>
      <c r="AR8930" s="118"/>
      <c r="AS8930" s="119"/>
      <c r="AT8930" s="118">
        <f t="shared" ref="AT8930" si="13751">AR8930*0.1</f>
        <v>0</v>
      </c>
      <c r="AU8930" s="119"/>
      <c r="AV8930" s="118"/>
      <c r="AW8930" s="119"/>
      <c r="AX8930" s="118">
        <f t="shared" ref="AX8930" si="13752">SUM(AR8930:AW8930)</f>
        <v>0</v>
      </c>
      <c r="AY8930" s="119"/>
      <c r="AZ8930" s="137"/>
    </row>
    <row r="8931" spans="1:52" ht="17.100000000000001" customHeight="1" thickBot="1">
      <c r="A8931" s="110"/>
      <c r="B8931" s="27" t="s">
        <v>18196</v>
      </c>
      <c r="C8931" s="27">
        <v>199</v>
      </c>
      <c r="D8931" s="14" t="s">
        <v>1720</v>
      </c>
      <c r="E8931" s="112"/>
      <c r="F8931" s="139" t="s">
        <v>25467</v>
      </c>
      <c r="G8931" s="140"/>
      <c r="H8931" s="141"/>
      <c r="I8931" s="26">
        <v>23305</v>
      </c>
      <c r="J8931" s="117"/>
      <c r="K8931" s="120"/>
      <c r="L8931" s="121"/>
      <c r="M8931" s="120"/>
      <c r="N8931" s="121"/>
      <c r="O8931" s="120"/>
      <c r="P8931" s="121"/>
      <c r="Q8931" s="120"/>
      <c r="R8931" s="121"/>
      <c r="S8931" s="120"/>
      <c r="T8931" s="121"/>
      <c r="U8931" s="120"/>
      <c r="V8931" s="123"/>
      <c r="W8931" s="125"/>
      <c r="X8931" s="142"/>
      <c r="Y8931" s="143"/>
      <c r="Z8931" s="143"/>
      <c r="AA8931" s="143"/>
      <c r="AB8931" s="144"/>
      <c r="AC8931" s="16" t="s">
        <v>21</v>
      </c>
      <c r="AD8931" s="17"/>
      <c r="AE8931" s="145" t="s">
        <v>1670</v>
      </c>
      <c r="AF8931" s="146"/>
      <c r="AG8931" s="146"/>
      <c r="AH8931" s="146"/>
      <c r="AI8931" s="147"/>
      <c r="AJ8931" s="148"/>
      <c r="AK8931" s="143"/>
      <c r="AL8931" s="144"/>
      <c r="AM8931" s="22"/>
      <c r="AN8931" s="149"/>
      <c r="AO8931" s="144"/>
      <c r="AP8931" s="148"/>
      <c r="AQ8931" s="144"/>
      <c r="AR8931" s="120"/>
      <c r="AS8931" s="121"/>
      <c r="AT8931" s="120"/>
      <c r="AU8931" s="121"/>
      <c r="AV8931" s="120"/>
      <c r="AW8931" s="121"/>
      <c r="AX8931" s="120"/>
      <c r="AY8931" s="121"/>
      <c r="AZ8931" s="138"/>
    </row>
    <row r="8932" spans="1:52" ht="17.100000000000001" customHeight="1" thickTop="1">
      <c r="A8932" s="109" t="s">
        <v>25454</v>
      </c>
      <c r="B8932" s="28">
        <v>46154</v>
      </c>
      <c r="C8932" s="25">
        <v>1287</v>
      </c>
      <c r="D8932" s="13" t="s">
        <v>2329</v>
      </c>
      <c r="E8932" s="111"/>
      <c r="F8932" s="113" t="s">
        <v>25474</v>
      </c>
      <c r="G8932" s="114"/>
      <c r="H8932" s="115"/>
      <c r="I8932" s="24" t="s">
        <v>1547</v>
      </c>
      <c r="J8932" s="116">
        <v>4.5</v>
      </c>
      <c r="K8932" s="118">
        <v>1611000</v>
      </c>
      <c r="L8932" s="119"/>
      <c r="M8932" s="118">
        <f t="shared" ref="M8932" si="13753">K8932*0.1</f>
        <v>161100</v>
      </c>
      <c r="N8932" s="119"/>
      <c r="O8932" s="118">
        <f>33000</f>
        <v>33000</v>
      </c>
      <c r="P8932" s="119"/>
      <c r="Q8932" s="118">
        <v>20410</v>
      </c>
      <c r="R8932" s="119"/>
      <c r="S8932" s="118">
        <f>18500+1850</f>
        <v>20350</v>
      </c>
      <c r="T8932" s="119"/>
      <c r="U8932" s="118">
        <f t="shared" ref="U8932" si="13754">SUM(K8932:T8933)</f>
        <v>1845860</v>
      </c>
      <c r="V8932" s="122"/>
      <c r="W8932" s="124"/>
      <c r="X8932" s="126" t="s">
        <v>25476</v>
      </c>
      <c r="Y8932" s="127"/>
      <c r="Z8932" s="127"/>
      <c r="AA8932" s="127"/>
      <c r="AB8932" s="128"/>
      <c r="AC8932" s="15" t="s">
        <v>20</v>
      </c>
      <c r="AD8932" s="129" t="s">
        <v>25477</v>
      </c>
      <c r="AE8932" s="130"/>
      <c r="AF8932" s="130"/>
      <c r="AG8932" s="130"/>
      <c r="AH8932" s="130"/>
      <c r="AI8932" s="131"/>
      <c r="AJ8932" s="132"/>
      <c r="AK8932" s="127"/>
      <c r="AL8932" s="128"/>
      <c r="AM8932" s="21"/>
      <c r="AN8932" s="133">
        <v>46158</v>
      </c>
      <c r="AO8932" s="134"/>
      <c r="AP8932" s="135">
        <v>1300</v>
      </c>
      <c r="AQ8932" s="136"/>
      <c r="AR8932" s="118">
        <v>1765000</v>
      </c>
      <c r="AS8932" s="119"/>
      <c r="AT8932" s="118">
        <f t="shared" ref="AT8932" si="13755">AR8932*0.1</f>
        <v>176500</v>
      </c>
      <c r="AU8932" s="119"/>
      <c r="AV8932" s="118">
        <v>20410</v>
      </c>
      <c r="AW8932" s="119"/>
      <c r="AX8932" s="118">
        <f t="shared" ref="AX8932" si="13756">SUM(AR8932:AW8932)</f>
        <v>1961910</v>
      </c>
      <c r="AY8932" s="119"/>
      <c r="AZ8932" s="137">
        <v>46161</v>
      </c>
    </row>
    <row r="8933" spans="1:52" ht="17.100000000000001" customHeight="1" thickBot="1">
      <c r="A8933" s="110"/>
      <c r="B8933" s="27" t="s">
        <v>3600</v>
      </c>
      <c r="C8933" s="27">
        <v>38041</v>
      </c>
      <c r="D8933" s="14" t="s">
        <v>904</v>
      </c>
      <c r="E8933" s="112"/>
      <c r="F8933" s="139" t="s">
        <v>25475</v>
      </c>
      <c r="G8933" s="140"/>
      <c r="H8933" s="141"/>
      <c r="I8933" s="26">
        <v>20696</v>
      </c>
      <c r="J8933" s="117"/>
      <c r="K8933" s="120"/>
      <c r="L8933" s="121"/>
      <c r="M8933" s="120"/>
      <c r="N8933" s="121"/>
      <c r="O8933" s="120"/>
      <c r="P8933" s="121"/>
      <c r="Q8933" s="120"/>
      <c r="R8933" s="121"/>
      <c r="S8933" s="120"/>
      <c r="T8933" s="121"/>
      <c r="U8933" s="120"/>
      <c r="V8933" s="123"/>
      <c r="W8933" s="125"/>
      <c r="X8933" s="142" t="s">
        <v>25724</v>
      </c>
      <c r="Y8933" s="143"/>
      <c r="Z8933" s="143"/>
      <c r="AA8933" s="143"/>
      <c r="AB8933" s="144"/>
      <c r="AC8933" s="16" t="s">
        <v>21</v>
      </c>
      <c r="AD8933" s="17" t="s">
        <v>25722</v>
      </c>
      <c r="AE8933" s="145" t="s">
        <v>2195</v>
      </c>
      <c r="AF8933" s="146"/>
      <c r="AG8933" s="146"/>
      <c r="AH8933" s="146"/>
      <c r="AI8933" s="147"/>
      <c r="AJ8933" s="148"/>
      <c r="AK8933" s="143"/>
      <c r="AL8933" s="144"/>
      <c r="AM8933" s="22"/>
      <c r="AN8933" s="149" t="s">
        <v>2511</v>
      </c>
      <c r="AO8933" s="144"/>
      <c r="AP8933" s="148">
        <v>80401</v>
      </c>
      <c r="AQ8933" s="144"/>
      <c r="AR8933" s="120"/>
      <c r="AS8933" s="121"/>
      <c r="AT8933" s="120"/>
      <c r="AU8933" s="121"/>
      <c r="AV8933" s="120"/>
      <c r="AW8933" s="121"/>
      <c r="AX8933" s="120"/>
      <c r="AY8933" s="121"/>
      <c r="AZ8933" s="138"/>
    </row>
    <row r="8934" spans="1:52" ht="17.100000000000001" customHeight="1" thickTop="1">
      <c r="A8934" s="109" t="s">
        <v>25455</v>
      </c>
      <c r="B8934" s="28">
        <v>46155</v>
      </c>
      <c r="C8934" s="25">
        <v>1016</v>
      </c>
      <c r="D8934" s="13" t="s">
        <v>1929</v>
      </c>
      <c r="E8934" s="111"/>
      <c r="F8934" s="113" t="s">
        <v>22147</v>
      </c>
      <c r="G8934" s="114"/>
      <c r="H8934" s="115"/>
      <c r="I8934" s="24" t="s">
        <v>25486</v>
      </c>
      <c r="J8934" s="116">
        <v>4</v>
      </c>
      <c r="K8934" s="118">
        <v>605000</v>
      </c>
      <c r="L8934" s="119"/>
      <c r="M8934" s="118">
        <f t="shared" ref="M8934" si="13757">K8934*0.1</f>
        <v>60500</v>
      </c>
      <c r="N8934" s="119"/>
      <c r="O8934" s="118">
        <v>31570</v>
      </c>
      <c r="P8934" s="119"/>
      <c r="Q8934" s="118">
        <v>9130</v>
      </c>
      <c r="R8934" s="119"/>
      <c r="S8934" s="118">
        <v>12100</v>
      </c>
      <c r="T8934" s="119"/>
      <c r="U8934" s="118">
        <f t="shared" ref="U8934" si="13758">SUM(K8934:T8935)</f>
        <v>718300</v>
      </c>
      <c r="V8934" s="122"/>
      <c r="W8934" s="124"/>
      <c r="X8934" s="126" t="s">
        <v>25487</v>
      </c>
      <c r="Y8934" s="127"/>
      <c r="Z8934" s="127"/>
      <c r="AA8934" s="127"/>
      <c r="AB8934" s="128"/>
      <c r="AC8934" s="15" t="s">
        <v>20</v>
      </c>
      <c r="AD8934" s="129" t="s">
        <v>25488</v>
      </c>
      <c r="AE8934" s="130"/>
      <c r="AF8934" s="130"/>
      <c r="AG8934" s="130"/>
      <c r="AH8934" s="130"/>
      <c r="AI8934" s="131"/>
      <c r="AJ8934" s="132"/>
      <c r="AK8934" s="127"/>
      <c r="AL8934" s="128"/>
      <c r="AM8934" s="21"/>
      <c r="AN8934" s="133"/>
      <c r="AO8934" s="134"/>
      <c r="AP8934" s="135"/>
      <c r="AQ8934" s="136"/>
      <c r="AR8934" s="118"/>
      <c r="AS8934" s="119"/>
      <c r="AT8934" s="118">
        <f t="shared" ref="AT8934" si="13759">AR8934*0.1</f>
        <v>0</v>
      </c>
      <c r="AU8934" s="119"/>
      <c r="AV8934" s="118"/>
      <c r="AW8934" s="119"/>
      <c r="AX8934" s="118">
        <f t="shared" ref="AX8934" si="13760">SUM(AR8934:AW8934)</f>
        <v>0</v>
      </c>
      <c r="AY8934" s="119"/>
      <c r="AZ8934" s="137"/>
    </row>
    <row r="8935" spans="1:52" ht="17.100000000000001" customHeight="1" thickBot="1">
      <c r="A8935" s="110"/>
      <c r="B8935" s="27" t="s">
        <v>2794</v>
      </c>
      <c r="C8935" s="27">
        <v>1290</v>
      </c>
      <c r="D8935" s="14" t="s">
        <v>1592</v>
      </c>
      <c r="E8935" s="112"/>
      <c r="F8935" s="139" t="s">
        <v>25479</v>
      </c>
      <c r="G8935" s="140"/>
      <c r="H8935" s="141"/>
      <c r="I8935" s="26">
        <v>51151</v>
      </c>
      <c r="J8935" s="117"/>
      <c r="K8935" s="120"/>
      <c r="L8935" s="121"/>
      <c r="M8935" s="120"/>
      <c r="N8935" s="121"/>
      <c r="O8935" s="120"/>
      <c r="P8935" s="121"/>
      <c r="Q8935" s="120"/>
      <c r="R8935" s="121"/>
      <c r="S8935" s="120"/>
      <c r="T8935" s="121"/>
      <c r="U8935" s="120"/>
      <c r="V8935" s="123"/>
      <c r="W8935" s="125"/>
      <c r="X8935" s="142" t="s">
        <v>18187</v>
      </c>
      <c r="Y8935" s="143"/>
      <c r="Z8935" s="143"/>
      <c r="AA8935" s="143"/>
      <c r="AB8935" s="144"/>
      <c r="AC8935" s="16" t="s">
        <v>21</v>
      </c>
      <c r="AD8935" s="17"/>
      <c r="AE8935" s="145" t="s">
        <v>9450</v>
      </c>
      <c r="AF8935" s="146"/>
      <c r="AG8935" s="146"/>
      <c r="AH8935" s="146"/>
      <c r="AI8935" s="147"/>
      <c r="AJ8935" s="148"/>
      <c r="AK8935" s="143"/>
      <c r="AL8935" s="144"/>
      <c r="AM8935" s="22"/>
      <c r="AN8935" s="149"/>
      <c r="AO8935" s="144"/>
      <c r="AP8935" s="148"/>
      <c r="AQ8935" s="144"/>
      <c r="AR8935" s="120"/>
      <c r="AS8935" s="121"/>
      <c r="AT8935" s="120"/>
      <c r="AU8935" s="121"/>
      <c r="AV8935" s="120"/>
      <c r="AW8935" s="121"/>
      <c r="AX8935" s="120"/>
      <c r="AY8935" s="121"/>
      <c r="AZ8935" s="138"/>
    </row>
    <row r="8936" spans="1:52" ht="17.100000000000001" customHeight="1" thickTop="1">
      <c r="A8936" s="109" t="s">
        <v>25456</v>
      </c>
      <c r="B8936" s="28">
        <v>46155</v>
      </c>
      <c r="C8936" s="25">
        <v>1016</v>
      </c>
      <c r="D8936" s="13" t="s">
        <v>1902</v>
      </c>
      <c r="E8936" s="111"/>
      <c r="F8936" s="113" t="s">
        <v>15593</v>
      </c>
      <c r="G8936" s="114"/>
      <c r="H8936" s="115"/>
      <c r="I8936" s="24"/>
      <c r="J8936" s="116">
        <v>4</v>
      </c>
      <c r="K8936" s="118">
        <v>970000</v>
      </c>
      <c r="L8936" s="119"/>
      <c r="M8936" s="118">
        <f t="shared" ref="M8936" si="13761">K8936*0.1</f>
        <v>97000</v>
      </c>
      <c r="N8936" s="119"/>
      <c r="O8936" s="118">
        <v>0</v>
      </c>
      <c r="P8936" s="119"/>
      <c r="Q8936" s="118">
        <v>9810</v>
      </c>
      <c r="R8936" s="119"/>
      <c r="S8936" s="118">
        <v>12100</v>
      </c>
      <c r="T8936" s="119"/>
      <c r="U8936" s="118">
        <f t="shared" ref="U8936" si="13762">SUM(K8936:T8937)</f>
        <v>1088910</v>
      </c>
      <c r="V8936" s="122"/>
      <c r="W8936" s="124"/>
      <c r="X8936" s="126"/>
      <c r="Y8936" s="127"/>
      <c r="Z8936" s="127"/>
      <c r="AA8936" s="127"/>
      <c r="AB8936" s="128"/>
      <c r="AC8936" s="15" t="s">
        <v>20</v>
      </c>
      <c r="AD8936" s="129"/>
      <c r="AE8936" s="130"/>
      <c r="AF8936" s="130"/>
      <c r="AG8936" s="130"/>
      <c r="AH8936" s="130"/>
      <c r="AI8936" s="131"/>
      <c r="AJ8936" s="132"/>
      <c r="AK8936" s="127"/>
      <c r="AL8936" s="128"/>
      <c r="AM8936" s="21"/>
      <c r="AN8936" s="133"/>
      <c r="AO8936" s="134"/>
      <c r="AP8936" s="135"/>
      <c r="AQ8936" s="136"/>
      <c r="AR8936" s="118"/>
      <c r="AS8936" s="119"/>
      <c r="AT8936" s="118">
        <f t="shared" ref="AT8936" si="13763">AR8936*0.1</f>
        <v>0</v>
      </c>
      <c r="AU8936" s="119"/>
      <c r="AV8936" s="118"/>
      <c r="AW8936" s="119"/>
      <c r="AX8936" s="118">
        <f t="shared" ref="AX8936" si="13764">SUM(AR8936:AW8936)</f>
        <v>0</v>
      </c>
      <c r="AY8936" s="119"/>
      <c r="AZ8936" s="137"/>
    </row>
    <row r="8937" spans="1:52" ht="17.100000000000001" customHeight="1" thickBot="1">
      <c r="A8937" s="110"/>
      <c r="B8937" s="27" t="s">
        <v>2794</v>
      </c>
      <c r="C8937" s="27">
        <v>1298</v>
      </c>
      <c r="D8937" s="14" t="s">
        <v>1720</v>
      </c>
      <c r="E8937" s="112"/>
      <c r="F8937" s="139" t="s">
        <v>25480</v>
      </c>
      <c r="G8937" s="140"/>
      <c r="H8937" s="141"/>
      <c r="I8937" s="26">
        <v>59119</v>
      </c>
      <c r="J8937" s="117"/>
      <c r="K8937" s="120"/>
      <c r="L8937" s="121"/>
      <c r="M8937" s="120"/>
      <c r="N8937" s="121"/>
      <c r="O8937" s="120"/>
      <c r="P8937" s="121"/>
      <c r="Q8937" s="120"/>
      <c r="R8937" s="121"/>
      <c r="S8937" s="120"/>
      <c r="T8937" s="121"/>
      <c r="U8937" s="120"/>
      <c r="V8937" s="123"/>
      <c r="W8937" s="125"/>
      <c r="X8937" s="142"/>
      <c r="Y8937" s="143"/>
      <c r="Z8937" s="143"/>
      <c r="AA8937" s="143"/>
      <c r="AB8937" s="144"/>
      <c r="AC8937" s="16" t="s">
        <v>21</v>
      </c>
      <c r="AD8937" s="17"/>
      <c r="AE8937" s="145"/>
      <c r="AF8937" s="146"/>
      <c r="AG8937" s="146"/>
      <c r="AH8937" s="146"/>
      <c r="AI8937" s="147"/>
      <c r="AJ8937" s="148"/>
      <c r="AK8937" s="143"/>
      <c r="AL8937" s="144"/>
      <c r="AM8937" s="22"/>
      <c r="AN8937" s="149"/>
      <c r="AO8937" s="144"/>
      <c r="AP8937" s="148"/>
      <c r="AQ8937" s="144"/>
      <c r="AR8937" s="120"/>
      <c r="AS8937" s="121"/>
      <c r="AT8937" s="120"/>
      <c r="AU8937" s="121"/>
      <c r="AV8937" s="120"/>
      <c r="AW8937" s="121"/>
      <c r="AX8937" s="120"/>
      <c r="AY8937" s="121"/>
      <c r="AZ8937" s="138"/>
    </row>
    <row r="8938" spans="1:52" ht="17.100000000000001" customHeight="1" thickTop="1">
      <c r="A8938" s="109" t="s">
        <v>25457</v>
      </c>
      <c r="B8938" s="28">
        <v>46155</v>
      </c>
      <c r="C8938" s="25">
        <v>1016</v>
      </c>
      <c r="D8938" s="13" t="s">
        <v>2359</v>
      </c>
      <c r="E8938" s="111"/>
      <c r="F8938" s="113" t="s">
        <v>25481</v>
      </c>
      <c r="G8938" s="114"/>
      <c r="H8938" s="115"/>
      <c r="I8938" s="24"/>
      <c r="J8938" s="116">
        <v>4.5</v>
      </c>
      <c r="K8938" s="118">
        <v>1505000</v>
      </c>
      <c r="L8938" s="119"/>
      <c r="M8938" s="118">
        <f t="shared" ref="M8938" si="13765">K8938*0.1</f>
        <v>150500</v>
      </c>
      <c r="N8938" s="119"/>
      <c r="O8938" s="118">
        <v>0</v>
      </c>
      <c r="P8938" s="119"/>
      <c r="Q8938" s="118">
        <v>9830</v>
      </c>
      <c r="R8938" s="119"/>
      <c r="S8938" s="118">
        <v>12100</v>
      </c>
      <c r="T8938" s="119"/>
      <c r="U8938" s="118">
        <f t="shared" ref="U8938" si="13766">SUM(K8938:T8939)</f>
        <v>1677430</v>
      </c>
      <c r="V8938" s="122"/>
      <c r="W8938" s="124"/>
      <c r="X8938" s="126"/>
      <c r="Y8938" s="127"/>
      <c r="Z8938" s="127"/>
      <c r="AA8938" s="127"/>
      <c r="AB8938" s="128"/>
      <c r="AC8938" s="15" t="s">
        <v>20</v>
      </c>
      <c r="AD8938" s="129"/>
      <c r="AE8938" s="130"/>
      <c r="AF8938" s="130"/>
      <c r="AG8938" s="130"/>
      <c r="AH8938" s="130"/>
      <c r="AI8938" s="131"/>
      <c r="AJ8938" s="132"/>
      <c r="AK8938" s="127"/>
      <c r="AL8938" s="128"/>
      <c r="AM8938" s="21"/>
      <c r="AN8938" s="133"/>
      <c r="AO8938" s="134"/>
      <c r="AP8938" s="135"/>
      <c r="AQ8938" s="136"/>
      <c r="AR8938" s="118"/>
      <c r="AS8938" s="119"/>
      <c r="AT8938" s="118">
        <f t="shared" ref="AT8938" si="13767">AR8938*0.1</f>
        <v>0</v>
      </c>
      <c r="AU8938" s="119"/>
      <c r="AV8938" s="118"/>
      <c r="AW8938" s="119"/>
      <c r="AX8938" s="118">
        <f t="shared" ref="AX8938" si="13768">SUM(AR8938:AW8938)</f>
        <v>0</v>
      </c>
      <c r="AY8938" s="119"/>
      <c r="AZ8938" s="137"/>
    </row>
    <row r="8939" spans="1:52" ht="17.100000000000001" customHeight="1" thickBot="1">
      <c r="A8939" s="110"/>
      <c r="B8939" s="27" t="s">
        <v>2794</v>
      </c>
      <c r="C8939" s="27">
        <v>1303</v>
      </c>
      <c r="D8939" s="14" t="s">
        <v>1592</v>
      </c>
      <c r="E8939" s="112"/>
      <c r="F8939" s="139" t="s">
        <v>25482</v>
      </c>
      <c r="G8939" s="140"/>
      <c r="H8939" s="141"/>
      <c r="I8939" s="26">
        <v>36688</v>
      </c>
      <c r="J8939" s="117"/>
      <c r="K8939" s="120"/>
      <c r="L8939" s="121"/>
      <c r="M8939" s="120"/>
      <c r="N8939" s="121"/>
      <c r="O8939" s="120"/>
      <c r="P8939" s="121"/>
      <c r="Q8939" s="120"/>
      <c r="R8939" s="121"/>
      <c r="S8939" s="120"/>
      <c r="T8939" s="121"/>
      <c r="U8939" s="120"/>
      <c r="V8939" s="123"/>
      <c r="W8939" s="125"/>
      <c r="X8939" s="142"/>
      <c r="Y8939" s="143"/>
      <c r="Z8939" s="143"/>
      <c r="AA8939" s="143"/>
      <c r="AB8939" s="144"/>
      <c r="AC8939" s="16" t="s">
        <v>21</v>
      </c>
      <c r="AD8939" s="17"/>
      <c r="AE8939" s="145"/>
      <c r="AF8939" s="146"/>
      <c r="AG8939" s="146"/>
      <c r="AH8939" s="146"/>
      <c r="AI8939" s="147"/>
      <c r="AJ8939" s="148"/>
      <c r="AK8939" s="143"/>
      <c r="AL8939" s="144"/>
      <c r="AM8939" s="22"/>
      <c r="AN8939" s="149"/>
      <c r="AO8939" s="144"/>
      <c r="AP8939" s="148"/>
      <c r="AQ8939" s="144"/>
      <c r="AR8939" s="120"/>
      <c r="AS8939" s="121"/>
      <c r="AT8939" s="120"/>
      <c r="AU8939" s="121"/>
      <c r="AV8939" s="120"/>
      <c r="AW8939" s="121"/>
      <c r="AX8939" s="120"/>
      <c r="AY8939" s="121"/>
      <c r="AZ8939" s="138"/>
    </row>
    <row r="8940" spans="1:52" ht="17.100000000000001" customHeight="1" thickTop="1">
      <c r="A8940" s="109" t="s">
        <v>25458</v>
      </c>
      <c r="B8940" s="28">
        <v>46155</v>
      </c>
      <c r="C8940" s="25">
        <v>1016</v>
      </c>
      <c r="D8940" s="13" t="s">
        <v>2272</v>
      </c>
      <c r="E8940" s="111"/>
      <c r="F8940" s="113" t="s">
        <v>19650</v>
      </c>
      <c r="G8940" s="114"/>
      <c r="H8940" s="115"/>
      <c r="I8940" s="24" t="s">
        <v>10342</v>
      </c>
      <c r="J8940" s="116">
        <v>4.5</v>
      </c>
      <c r="K8940" s="118">
        <v>920000</v>
      </c>
      <c r="L8940" s="119"/>
      <c r="M8940" s="118">
        <f t="shared" ref="M8940" si="13769">K8940*0.1</f>
        <v>92000</v>
      </c>
      <c r="N8940" s="119"/>
      <c r="O8940" s="118">
        <v>0</v>
      </c>
      <c r="P8940" s="119"/>
      <c r="Q8940" s="118">
        <v>7230</v>
      </c>
      <c r="R8940" s="119"/>
      <c r="S8940" s="118">
        <v>12100</v>
      </c>
      <c r="T8940" s="119"/>
      <c r="U8940" s="118">
        <f t="shared" ref="U8940" si="13770">SUM(K8940:T8941)</f>
        <v>1031330</v>
      </c>
      <c r="V8940" s="122"/>
      <c r="W8940" s="124"/>
      <c r="X8940" s="126" t="s">
        <v>25489</v>
      </c>
      <c r="Y8940" s="127"/>
      <c r="Z8940" s="127"/>
      <c r="AA8940" s="127"/>
      <c r="AB8940" s="128"/>
      <c r="AC8940" s="15" t="s">
        <v>20</v>
      </c>
      <c r="AD8940" s="129"/>
      <c r="AE8940" s="130"/>
      <c r="AF8940" s="130"/>
      <c r="AG8940" s="130"/>
      <c r="AH8940" s="130"/>
      <c r="AI8940" s="131"/>
      <c r="AJ8940" s="132"/>
      <c r="AK8940" s="127"/>
      <c r="AL8940" s="128"/>
      <c r="AM8940" s="21"/>
      <c r="AN8940" s="133"/>
      <c r="AO8940" s="134"/>
      <c r="AP8940" s="135"/>
      <c r="AQ8940" s="136"/>
      <c r="AR8940" s="118"/>
      <c r="AS8940" s="119"/>
      <c r="AT8940" s="118">
        <f t="shared" ref="AT8940" si="13771">AR8940*0.1</f>
        <v>0</v>
      </c>
      <c r="AU8940" s="119"/>
      <c r="AV8940" s="118"/>
      <c r="AW8940" s="119"/>
      <c r="AX8940" s="118">
        <f t="shared" ref="AX8940" si="13772">SUM(AR8940:AW8940)</f>
        <v>0</v>
      </c>
      <c r="AY8940" s="119"/>
      <c r="AZ8940" s="137"/>
    </row>
    <row r="8941" spans="1:52" ht="17.100000000000001" customHeight="1" thickBot="1">
      <c r="A8941" s="110"/>
      <c r="B8941" s="27" t="s">
        <v>2794</v>
      </c>
      <c r="C8941" s="27">
        <v>1312</v>
      </c>
      <c r="D8941" s="14" t="s">
        <v>1556</v>
      </c>
      <c r="E8941" s="112"/>
      <c r="F8941" s="139" t="s">
        <v>25483</v>
      </c>
      <c r="G8941" s="140"/>
      <c r="H8941" s="141"/>
      <c r="I8941" s="26">
        <v>18135</v>
      </c>
      <c r="J8941" s="117"/>
      <c r="K8941" s="120"/>
      <c r="L8941" s="121"/>
      <c r="M8941" s="120"/>
      <c r="N8941" s="121"/>
      <c r="O8941" s="120"/>
      <c r="P8941" s="121"/>
      <c r="Q8941" s="120"/>
      <c r="R8941" s="121"/>
      <c r="S8941" s="120"/>
      <c r="T8941" s="121"/>
      <c r="U8941" s="120"/>
      <c r="V8941" s="123"/>
      <c r="W8941" s="125"/>
      <c r="X8941" s="142"/>
      <c r="Y8941" s="143"/>
      <c r="Z8941" s="143"/>
      <c r="AA8941" s="143"/>
      <c r="AB8941" s="144"/>
      <c r="AC8941" s="16" t="s">
        <v>21</v>
      </c>
      <c r="AD8941" s="17"/>
      <c r="AE8941" s="145"/>
      <c r="AF8941" s="146"/>
      <c r="AG8941" s="146"/>
      <c r="AH8941" s="146"/>
      <c r="AI8941" s="147"/>
      <c r="AJ8941" s="148"/>
      <c r="AK8941" s="143"/>
      <c r="AL8941" s="144"/>
      <c r="AM8941" s="22"/>
      <c r="AN8941" s="149"/>
      <c r="AO8941" s="144"/>
      <c r="AP8941" s="148"/>
      <c r="AQ8941" s="144"/>
      <c r="AR8941" s="120"/>
      <c r="AS8941" s="121"/>
      <c r="AT8941" s="120"/>
      <c r="AU8941" s="121"/>
      <c r="AV8941" s="120"/>
      <c r="AW8941" s="121"/>
      <c r="AX8941" s="120"/>
      <c r="AY8941" s="121"/>
      <c r="AZ8941" s="138"/>
    </row>
    <row r="8942" spans="1:52" ht="17.100000000000001" customHeight="1" thickTop="1">
      <c r="A8942" s="109" t="s">
        <v>25459</v>
      </c>
      <c r="B8942" s="28">
        <v>46155</v>
      </c>
      <c r="C8942" s="25">
        <v>1016</v>
      </c>
      <c r="D8942" s="13" t="s">
        <v>1642</v>
      </c>
      <c r="E8942" s="111"/>
      <c r="F8942" s="113" t="s">
        <v>17575</v>
      </c>
      <c r="G8942" s="114"/>
      <c r="H8942" s="115"/>
      <c r="I8942" s="24"/>
      <c r="J8942" s="116">
        <v>4.5</v>
      </c>
      <c r="K8942" s="118">
        <v>860000</v>
      </c>
      <c r="L8942" s="119"/>
      <c r="M8942" s="118">
        <f t="shared" ref="M8942" si="13773">K8942*0.1</f>
        <v>86000</v>
      </c>
      <c r="N8942" s="119"/>
      <c r="O8942" s="118">
        <v>0</v>
      </c>
      <c r="P8942" s="119"/>
      <c r="Q8942" s="118">
        <v>7440</v>
      </c>
      <c r="R8942" s="119"/>
      <c r="S8942" s="118">
        <v>12100</v>
      </c>
      <c r="T8942" s="119"/>
      <c r="U8942" s="118">
        <f t="shared" ref="U8942" si="13774">SUM(K8942:T8943)</f>
        <v>965540</v>
      </c>
      <c r="V8942" s="122"/>
      <c r="W8942" s="124"/>
      <c r="X8942" s="126"/>
      <c r="Y8942" s="127"/>
      <c r="Z8942" s="127"/>
      <c r="AA8942" s="127"/>
      <c r="AB8942" s="128"/>
      <c r="AC8942" s="15" t="s">
        <v>20</v>
      </c>
      <c r="AD8942" s="129"/>
      <c r="AE8942" s="130"/>
      <c r="AF8942" s="130"/>
      <c r="AG8942" s="130"/>
      <c r="AH8942" s="130"/>
      <c r="AI8942" s="131"/>
      <c r="AJ8942" s="132"/>
      <c r="AK8942" s="127"/>
      <c r="AL8942" s="128"/>
      <c r="AM8942" s="21"/>
      <c r="AN8942" s="133"/>
      <c r="AO8942" s="134"/>
      <c r="AP8942" s="135"/>
      <c r="AQ8942" s="136"/>
      <c r="AR8942" s="118"/>
      <c r="AS8942" s="119"/>
      <c r="AT8942" s="118">
        <f t="shared" ref="AT8942" si="13775">AR8942*0.1</f>
        <v>0</v>
      </c>
      <c r="AU8942" s="119"/>
      <c r="AV8942" s="118"/>
      <c r="AW8942" s="119"/>
      <c r="AX8942" s="118">
        <f t="shared" ref="AX8942" si="13776">SUM(AR8942:AW8942)</f>
        <v>0</v>
      </c>
      <c r="AY8942" s="119"/>
      <c r="AZ8942" s="137"/>
    </row>
    <row r="8943" spans="1:52" ht="17.100000000000001" customHeight="1" thickBot="1">
      <c r="A8943" s="110"/>
      <c r="B8943" s="27" t="s">
        <v>2794</v>
      </c>
      <c r="C8943" s="27">
        <v>8044</v>
      </c>
      <c r="D8943" s="14" t="s">
        <v>1592</v>
      </c>
      <c r="E8943" s="112"/>
      <c r="F8943" s="139" t="s">
        <v>25484</v>
      </c>
      <c r="G8943" s="140"/>
      <c r="H8943" s="141"/>
      <c r="I8943" s="26">
        <v>25032</v>
      </c>
      <c r="J8943" s="117"/>
      <c r="K8943" s="120"/>
      <c r="L8943" s="121"/>
      <c r="M8943" s="120"/>
      <c r="N8943" s="121"/>
      <c r="O8943" s="120"/>
      <c r="P8943" s="121"/>
      <c r="Q8943" s="120"/>
      <c r="R8943" s="121"/>
      <c r="S8943" s="120"/>
      <c r="T8943" s="121"/>
      <c r="U8943" s="120"/>
      <c r="V8943" s="123"/>
      <c r="W8943" s="125"/>
      <c r="X8943" s="142"/>
      <c r="Y8943" s="143"/>
      <c r="Z8943" s="143"/>
      <c r="AA8943" s="143"/>
      <c r="AB8943" s="144"/>
      <c r="AC8943" s="16" t="s">
        <v>21</v>
      </c>
      <c r="AD8943" s="17"/>
      <c r="AE8943" s="145"/>
      <c r="AF8943" s="146"/>
      <c r="AG8943" s="146"/>
      <c r="AH8943" s="146"/>
      <c r="AI8943" s="147"/>
      <c r="AJ8943" s="148"/>
      <c r="AK8943" s="143"/>
      <c r="AL8943" s="144"/>
      <c r="AM8943" s="22"/>
      <c r="AN8943" s="149"/>
      <c r="AO8943" s="144"/>
      <c r="AP8943" s="148"/>
      <c r="AQ8943" s="144"/>
      <c r="AR8943" s="120"/>
      <c r="AS8943" s="121"/>
      <c r="AT8943" s="120"/>
      <c r="AU8943" s="121"/>
      <c r="AV8943" s="120"/>
      <c r="AW8943" s="121"/>
      <c r="AX8943" s="120"/>
      <c r="AY8943" s="121"/>
      <c r="AZ8943" s="138"/>
    </row>
    <row r="8944" spans="1:52" ht="17.100000000000001" customHeight="1" thickTop="1">
      <c r="A8944" s="109" t="s">
        <v>25478</v>
      </c>
      <c r="B8944" s="28">
        <v>46155</v>
      </c>
      <c r="C8944" s="25">
        <v>1016</v>
      </c>
      <c r="D8944" s="13" t="s">
        <v>1642</v>
      </c>
      <c r="E8944" s="111"/>
      <c r="F8944" s="113" t="s">
        <v>7820</v>
      </c>
      <c r="G8944" s="114"/>
      <c r="H8944" s="115"/>
      <c r="I8944" s="24"/>
      <c r="J8944" s="116">
        <v>4.5</v>
      </c>
      <c r="K8944" s="118">
        <v>655000</v>
      </c>
      <c r="L8944" s="119"/>
      <c r="M8944" s="118">
        <f t="shared" ref="M8944" si="13777">K8944*0.1</f>
        <v>65500</v>
      </c>
      <c r="N8944" s="119"/>
      <c r="O8944" s="118">
        <v>0</v>
      </c>
      <c r="P8944" s="119"/>
      <c r="Q8944" s="118">
        <v>8010</v>
      </c>
      <c r="R8944" s="119"/>
      <c r="S8944" s="118">
        <v>12100</v>
      </c>
      <c r="T8944" s="119"/>
      <c r="U8944" s="118">
        <f t="shared" ref="U8944" si="13778">SUM(K8944:T8945)</f>
        <v>740610</v>
      </c>
      <c r="V8944" s="122"/>
      <c r="W8944" s="124"/>
      <c r="X8944" s="126"/>
      <c r="Y8944" s="127"/>
      <c r="Z8944" s="127"/>
      <c r="AA8944" s="127"/>
      <c r="AB8944" s="128"/>
      <c r="AC8944" s="15" t="s">
        <v>20</v>
      </c>
      <c r="AD8944" s="129"/>
      <c r="AE8944" s="130"/>
      <c r="AF8944" s="130"/>
      <c r="AG8944" s="130"/>
      <c r="AH8944" s="130"/>
      <c r="AI8944" s="131"/>
      <c r="AJ8944" s="132"/>
      <c r="AK8944" s="127"/>
      <c r="AL8944" s="128"/>
      <c r="AM8944" s="21"/>
      <c r="AN8944" s="133"/>
      <c r="AO8944" s="134"/>
      <c r="AP8944" s="135"/>
      <c r="AQ8944" s="136"/>
      <c r="AR8944" s="118"/>
      <c r="AS8944" s="119"/>
      <c r="AT8944" s="118">
        <f t="shared" ref="AT8944" si="13779">AR8944*0.1</f>
        <v>0</v>
      </c>
      <c r="AU8944" s="119"/>
      <c r="AV8944" s="118"/>
      <c r="AW8944" s="119"/>
      <c r="AX8944" s="118">
        <f t="shared" ref="AX8944" si="13780">SUM(AR8944:AW8944)</f>
        <v>0</v>
      </c>
      <c r="AY8944" s="119"/>
      <c r="AZ8944" s="137"/>
    </row>
    <row r="8945" spans="1:52" ht="17.100000000000001" customHeight="1" thickBot="1">
      <c r="A8945" s="110"/>
      <c r="B8945" s="27" t="s">
        <v>2794</v>
      </c>
      <c r="C8945" s="27">
        <v>8068</v>
      </c>
      <c r="D8945" s="14" t="s">
        <v>1592</v>
      </c>
      <c r="E8945" s="112"/>
      <c r="F8945" s="139" t="s">
        <v>25485</v>
      </c>
      <c r="G8945" s="140"/>
      <c r="H8945" s="141"/>
      <c r="I8945" s="26">
        <v>54111</v>
      </c>
      <c r="J8945" s="117"/>
      <c r="K8945" s="120"/>
      <c r="L8945" s="121"/>
      <c r="M8945" s="120"/>
      <c r="N8945" s="121"/>
      <c r="O8945" s="120"/>
      <c r="P8945" s="121"/>
      <c r="Q8945" s="120"/>
      <c r="R8945" s="121"/>
      <c r="S8945" s="120"/>
      <c r="T8945" s="121"/>
      <c r="U8945" s="120"/>
      <c r="V8945" s="123"/>
      <c r="W8945" s="125"/>
      <c r="X8945" s="142"/>
      <c r="Y8945" s="143"/>
      <c r="Z8945" s="143"/>
      <c r="AA8945" s="143"/>
      <c r="AB8945" s="144"/>
      <c r="AC8945" s="16" t="s">
        <v>21</v>
      </c>
      <c r="AD8945" s="17"/>
      <c r="AE8945" s="145"/>
      <c r="AF8945" s="146"/>
      <c r="AG8945" s="146"/>
      <c r="AH8945" s="146"/>
      <c r="AI8945" s="147"/>
      <c r="AJ8945" s="148"/>
      <c r="AK8945" s="143"/>
      <c r="AL8945" s="144"/>
      <c r="AM8945" s="22"/>
      <c r="AN8945" s="149"/>
      <c r="AO8945" s="144"/>
      <c r="AP8945" s="148"/>
      <c r="AQ8945" s="144"/>
      <c r="AR8945" s="120"/>
      <c r="AS8945" s="121"/>
      <c r="AT8945" s="120"/>
      <c r="AU8945" s="121"/>
      <c r="AV8945" s="120"/>
      <c r="AW8945" s="121"/>
      <c r="AX8945" s="120"/>
      <c r="AY8945" s="121"/>
      <c r="AZ8945" s="138"/>
    </row>
    <row r="8946" spans="1:52" ht="17.100000000000001" customHeight="1" thickTop="1">
      <c r="A8946" s="109" t="s">
        <v>25491</v>
      </c>
      <c r="B8946" s="28">
        <v>46155</v>
      </c>
      <c r="C8946" s="25">
        <v>2354</v>
      </c>
      <c r="D8946" s="13" t="s">
        <v>25496</v>
      </c>
      <c r="E8946" s="111"/>
      <c r="F8946" s="113" t="s">
        <v>25497</v>
      </c>
      <c r="G8946" s="114"/>
      <c r="H8946" s="115"/>
      <c r="I8946" s="24" t="s">
        <v>25501</v>
      </c>
      <c r="J8946" s="116">
        <v>4.5</v>
      </c>
      <c r="K8946" s="118">
        <v>540000</v>
      </c>
      <c r="L8946" s="119"/>
      <c r="M8946" s="118">
        <f t="shared" ref="M8946" si="13781">K8946*0.1</f>
        <v>54000</v>
      </c>
      <c r="N8946" s="119"/>
      <c r="O8946" s="118">
        <v>15000</v>
      </c>
      <c r="P8946" s="119"/>
      <c r="Q8946" s="118">
        <v>8790</v>
      </c>
      <c r="R8946" s="119"/>
      <c r="S8946" s="118">
        <v>16500</v>
      </c>
      <c r="T8946" s="119"/>
      <c r="U8946" s="118">
        <f t="shared" ref="U8946" si="13782">SUM(K8946:T8947)</f>
        <v>634290</v>
      </c>
      <c r="V8946" s="122"/>
      <c r="W8946" s="124"/>
      <c r="X8946" s="126" t="s">
        <v>26025</v>
      </c>
      <c r="Y8946" s="127"/>
      <c r="Z8946" s="127"/>
      <c r="AA8946" s="127"/>
      <c r="AB8946" s="128"/>
      <c r="AC8946" s="15" t="s">
        <v>20</v>
      </c>
      <c r="AD8946" s="129"/>
      <c r="AE8946" s="130"/>
      <c r="AF8946" s="130"/>
      <c r="AG8946" s="130"/>
      <c r="AH8946" s="130"/>
      <c r="AI8946" s="131"/>
      <c r="AJ8946" s="132"/>
      <c r="AK8946" s="127"/>
      <c r="AL8946" s="128"/>
      <c r="AM8946" s="21"/>
      <c r="AN8946" s="133"/>
      <c r="AO8946" s="134"/>
      <c r="AP8946" s="135"/>
      <c r="AQ8946" s="136"/>
      <c r="AR8946" s="118"/>
      <c r="AS8946" s="119"/>
      <c r="AT8946" s="118">
        <f t="shared" ref="AT8946" si="13783">AR8946*0.1</f>
        <v>0</v>
      </c>
      <c r="AU8946" s="119"/>
      <c r="AV8946" s="118"/>
      <c r="AW8946" s="119"/>
      <c r="AX8946" s="118">
        <f t="shared" ref="AX8946" si="13784">SUM(AR8946:AW8946)</f>
        <v>0</v>
      </c>
      <c r="AY8946" s="119"/>
      <c r="AZ8946" s="137"/>
    </row>
    <row r="8947" spans="1:52" ht="17.100000000000001" customHeight="1" thickBot="1">
      <c r="A8947" s="110"/>
      <c r="B8947" s="27" t="s">
        <v>25495</v>
      </c>
      <c r="C8947" s="27">
        <v>20104</v>
      </c>
      <c r="D8947" s="14" t="s">
        <v>2601</v>
      </c>
      <c r="E8947" s="112"/>
      <c r="F8947" s="139" t="s">
        <v>25498</v>
      </c>
      <c r="G8947" s="140"/>
      <c r="H8947" s="141"/>
      <c r="I8947" s="26">
        <v>98091</v>
      </c>
      <c r="J8947" s="117"/>
      <c r="K8947" s="120"/>
      <c r="L8947" s="121"/>
      <c r="M8947" s="120"/>
      <c r="N8947" s="121"/>
      <c r="O8947" s="120"/>
      <c r="P8947" s="121"/>
      <c r="Q8947" s="120"/>
      <c r="R8947" s="121"/>
      <c r="S8947" s="120"/>
      <c r="T8947" s="121"/>
      <c r="U8947" s="120"/>
      <c r="V8947" s="123"/>
      <c r="W8947" s="125"/>
      <c r="X8947" s="142" t="s">
        <v>2321</v>
      </c>
      <c r="Y8947" s="143"/>
      <c r="Z8947" s="143"/>
      <c r="AA8947" s="143"/>
      <c r="AB8947" s="144"/>
      <c r="AC8947" s="16" t="s">
        <v>21</v>
      </c>
      <c r="AD8947" s="17" t="s">
        <v>1976</v>
      </c>
      <c r="AE8947" s="145" t="s">
        <v>26026</v>
      </c>
      <c r="AF8947" s="146"/>
      <c r="AG8947" s="146"/>
      <c r="AH8947" s="146"/>
      <c r="AI8947" s="147"/>
      <c r="AJ8947" s="148"/>
      <c r="AK8947" s="143"/>
      <c r="AL8947" s="144"/>
      <c r="AM8947" s="22"/>
      <c r="AN8947" s="149"/>
      <c r="AO8947" s="144"/>
      <c r="AP8947" s="148"/>
      <c r="AQ8947" s="144"/>
      <c r="AR8947" s="120"/>
      <c r="AS8947" s="121"/>
      <c r="AT8947" s="120"/>
      <c r="AU8947" s="121"/>
      <c r="AV8947" s="120"/>
      <c r="AW8947" s="121"/>
      <c r="AX8947" s="120"/>
      <c r="AY8947" s="121"/>
      <c r="AZ8947" s="138"/>
    </row>
    <row r="8948" spans="1:52" ht="17.100000000000001" customHeight="1" thickTop="1">
      <c r="A8948" s="109" t="s">
        <v>25492</v>
      </c>
      <c r="B8948" s="28">
        <v>46155</v>
      </c>
      <c r="C8948" s="25">
        <v>2354</v>
      </c>
      <c r="D8948" s="13" t="s">
        <v>25499</v>
      </c>
      <c r="E8948" s="111"/>
      <c r="F8948" s="113" t="s">
        <v>16834</v>
      </c>
      <c r="G8948" s="114"/>
      <c r="H8948" s="115"/>
      <c r="I8948" s="24"/>
      <c r="J8948" s="116">
        <v>4</v>
      </c>
      <c r="K8948" s="118">
        <v>1300000</v>
      </c>
      <c r="L8948" s="119"/>
      <c r="M8948" s="118">
        <f t="shared" ref="M8948" si="13785">K8948*0.1</f>
        <v>130000</v>
      </c>
      <c r="N8948" s="119"/>
      <c r="O8948" s="118">
        <v>0</v>
      </c>
      <c r="P8948" s="119"/>
      <c r="Q8948" s="118">
        <v>12470</v>
      </c>
      <c r="R8948" s="119"/>
      <c r="S8948" s="118">
        <v>16500</v>
      </c>
      <c r="T8948" s="119"/>
      <c r="U8948" s="118">
        <f t="shared" ref="U8948" si="13786">SUM(K8948:T8949)</f>
        <v>1458970</v>
      </c>
      <c r="V8948" s="122"/>
      <c r="W8948" s="124"/>
      <c r="X8948" s="126" t="s">
        <v>26023</v>
      </c>
      <c r="Y8948" s="127"/>
      <c r="Z8948" s="127"/>
      <c r="AA8948" s="127"/>
      <c r="AB8948" s="128"/>
      <c r="AC8948" s="15" t="s">
        <v>20</v>
      </c>
      <c r="AD8948" s="129" t="s">
        <v>5302</v>
      </c>
      <c r="AE8948" s="130"/>
      <c r="AF8948" s="130"/>
      <c r="AG8948" s="130"/>
      <c r="AH8948" s="130"/>
      <c r="AI8948" s="131"/>
      <c r="AJ8948" s="132"/>
      <c r="AK8948" s="127"/>
      <c r="AL8948" s="128"/>
      <c r="AM8948" s="21"/>
      <c r="AN8948" s="133"/>
      <c r="AO8948" s="134"/>
      <c r="AP8948" s="135"/>
      <c r="AQ8948" s="136"/>
      <c r="AR8948" s="118"/>
      <c r="AS8948" s="119"/>
      <c r="AT8948" s="118">
        <f t="shared" ref="AT8948" si="13787">AR8948*0.1</f>
        <v>0</v>
      </c>
      <c r="AU8948" s="119"/>
      <c r="AV8948" s="118"/>
      <c r="AW8948" s="119"/>
      <c r="AX8948" s="118">
        <f t="shared" ref="AX8948" si="13788">SUM(AR8948:AW8948)</f>
        <v>0</v>
      </c>
      <c r="AY8948" s="119"/>
      <c r="AZ8948" s="137"/>
    </row>
    <row r="8949" spans="1:52" ht="17.100000000000001" customHeight="1" thickBot="1">
      <c r="A8949" s="110"/>
      <c r="B8949" s="27" t="s">
        <v>25495</v>
      </c>
      <c r="C8949" s="27">
        <v>60234</v>
      </c>
      <c r="D8949" s="14" t="s">
        <v>25502</v>
      </c>
      <c r="E8949" s="112"/>
      <c r="F8949" s="139" t="s">
        <v>25500</v>
      </c>
      <c r="G8949" s="140"/>
      <c r="H8949" s="141"/>
      <c r="I8949" s="26">
        <v>74068</v>
      </c>
      <c r="J8949" s="117"/>
      <c r="K8949" s="120"/>
      <c r="L8949" s="121"/>
      <c r="M8949" s="120"/>
      <c r="N8949" s="121"/>
      <c r="O8949" s="120"/>
      <c r="P8949" s="121"/>
      <c r="Q8949" s="120"/>
      <c r="R8949" s="121"/>
      <c r="S8949" s="120"/>
      <c r="T8949" s="121"/>
      <c r="U8949" s="120"/>
      <c r="V8949" s="123"/>
      <c r="W8949" s="125"/>
      <c r="X8949" s="142" t="s">
        <v>2440</v>
      </c>
      <c r="Y8949" s="143"/>
      <c r="Z8949" s="143"/>
      <c r="AA8949" s="143"/>
      <c r="AB8949" s="144"/>
      <c r="AC8949" s="16" t="s">
        <v>21</v>
      </c>
      <c r="AD8949" s="17" t="s">
        <v>1976</v>
      </c>
      <c r="AE8949" s="145" t="s">
        <v>26024</v>
      </c>
      <c r="AF8949" s="146"/>
      <c r="AG8949" s="146"/>
      <c r="AH8949" s="146"/>
      <c r="AI8949" s="147"/>
      <c r="AJ8949" s="148"/>
      <c r="AK8949" s="143"/>
      <c r="AL8949" s="144"/>
      <c r="AM8949" s="22"/>
      <c r="AN8949" s="149"/>
      <c r="AO8949" s="144"/>
      <c r="AP8949" s="148"/>
      <c r="AQ8949" s="144"/>
      <c r="AR8949" s="120"/>
      <c r="AS8949" s="121"/>
      <c r="AT8949" s="120"/>
      <c r="AU8949" s="121"/>
      <c r="AV8949" s="120"/>
      <c r="AW8949" s="121"/>
      <c r="AX8949" s="120"/>
      <c r="AY8949" s="121"/>
      <c r="AZ8949" s="138"/>
    </row>
    <row r="8950" spans="1:52" ht="17.100000000000001" customHeight="1" thickTop="1">
      <c r="A8950" s="109" t="s">
        <v>25493</v>
      </c>
      <c r="B8950" s="28">
        <v>46155</v>
      </c>
      <c r="C8950" s="25">
        <v>1837</v>
      </c>
      <c r="D8950" s="13" t="s">
        <v>25506</v>
      </c>
      <c r="E8950" s="111"/>
      <c r="F8950" s="113" t="s">
        <v>25507</v>
      </c>
      <c r="G8950" s="114"/>
      <c r="H8950" s="115"/>
      <c r="I8950" s="24" t="s">
        <v>25509</v>
      </c>
      <c r="J8950" s="116">
        <v>4.5</v>
      </c>
      <c r="K8950" s="118">
        <v>845000</v>
      </c>
      <c r="L8950" s="119"/>
      <c r="M8950" s="118">
        <f t="shared" ref="M8950" si="13789">K8950*0.1</f>
        <v>84500</v>
      </c>
      <c r="N8950" s="119"/>
      <c r="O8950" s="118">
        <f>32900+3290</f>
        <v>36190</v>
      </c>
      <c r="P8950" s="119"/>
      <c r="Q8950" s="118">
        <v>20540</v>
      </c>
      <c r="R8950" s="119"/>
      <c r="S8950" s="118">
        <f>18500+1850</f>
        <v>20350</v>
      </c>
      <c r="T8950" s="119"/>
      <c r="U8950" s="118">
        <f t="shared" ref="U8950" si="13790">SUM(K8950:T8951)</f>
        <v>1006580</v>
      </c>
      <c r="V8950" s="122"/>
      <c r="W8950" s="124"/>
      <c r="X8950" s="126" t="s">
        <v>25510</v>
      </c>
      <c r="Y8950" s="127"/>
      <c r="Z8950" s="127"/>
      <c r="AA8950" s="127"/>
      <c r="AB8950" s="128"/>
      <c r="AC8950" s="15" t="s">
        <v>20</v>
      </c>
      <c r="AD8950" s="129" t="s">
        <v>25511</v>
      </c>
      <c r="AE8950" s="130"/>
      <c r="AF8950" s="130"/>
      <c r="AG8950" s="130"/>
      <c r="AH8950" s="130"/>
      <c r="AI8950" s="131"/>
      <c r="AJ8950" s="132"/>
      <c r="AK8950" s="127"/>
      <c r="AL8950" s="128"/>
      <c r="AM8950" s="21"/>
      <c r="AN8950" s="133"/>
      <c r="AO8950" s="134"/>
      <c r="AP8950" s="135"/>
      <c r="AQ8950" s="136"/>
      <c r="AR8950" s="118"/>
      <c r="AS8950" s="119"/>
      <c r="AT8950" s="118">
        <f t="shared" ref="AT8950" si="13791">AR8950*0.1</f>
        <v>0</v>
      </c>
      <c r="AU8950" s="119"/>
      <c r="AV8950" s="118"/>
      <c r="AW8950" s="119"/>
      <c r="AX8950" s="118">
        <f t="shared" ref="AX8950" si="13792">SUM(AR8950:AW8950)</f>
        <v>0</v>
      </c>
      <c r="AY8950" s="119"/>
      <c r="AZ8950" s="137"/>
    </row>
    <row r="8951" spans="1:52" ht="17.100000000000001" customHeight="1" thickBot="1">
      <c r="A8951" s="110"/>
      <c r="B8951" s="27" t="s">
        <v>25505</v>
      </c>
      <c r="C8951" s="27">
        <v>38059</v>
      </c>
      <c r="D8951" s="14" t="s">
        <v>2601</v>
      </c>
      <c r="E8951" s="112"/>
      <c r="F8951" s="139" t="s">
        <v>25508</v>
      </c>
      <c r="G8951" s="140"/>
      <c r="H8951" s="141"/>
      <c r="I8951" s="26">
        <v>87133</v>
      </c>
      <c r="J8951" s="117"/>
      <c r="K8951" s="120"/>
      <c r="L8951" s="121"/>
      <c r="M8951" s="120"/>
      <c r="N8951" s="121"/>
      <c r="O8951" s="120"/>
      <c r="P8951" s="121"/>
      <c r="Q8951" s="120"/>
      <c r="R8951" s="121"/>
      <c r="S8951" s="120"/>
      <c r="T8951" s="121"/>
      <c r="U8951" s="120"/>
      <c r="V8951" s="123"/>
      <c r="W8951" s="125"/>
      <c r="X8951" s="142"/>
      <c r="Y8951" s="143"/>
      <c r="Z8951" s="143"/>
      <c r="AA8951" s="143"/>
      <c r="AB8951" s="144"/>
      <c r="AC8951" s="16" t="s">
        <v>21</v>
      </c>
      <c r="AD8951" s="17"/>
      <c r="AE8951" s="145"/>
      <c r="AF8951" s="146"/>
      <c r="AG8951" s="146"/>
      <c r="AH8951" s="146"/>
      <c r="AI8951" s="147"/>
      <c r="AJ8951" s="148"/>
      <c r="AK8951" s="143"/>
      <c r="AL8951" s="144"/>
      <c r="AM8951" s="22"/>
      <c r="AN8951" s="149"/>
      <c r="AO8951" s="144"/>
      <c r="AP8951" s="148"/>
      <c r="AQ8951" s="144"/>
      <c r="AR8951" s="120"/>
      <c r="AS8951" s="121"/>
      <c r="AT8951" s="120"/>
      <c r="AU8951" s="121"/>
      <c r="AV8951" s="120"/>
      <c r="AW8951" s="121"/>
      <c r="AX8951" s="120"/>
      <c r="AY8951" s="121"/>
      <c r="AZ8951" s="138"/>
    </row>
    <row r="8952" spans="1:52" ht="17.100000000000001" customHeight="1" thickTop="1">
      <c r="A8952" s="109" t="s">
        <v>25494</v>
      </c>
      <c r="B8952" s="28">
        <v>46155</v>
      </c>
      <c r="C8952" s="25">
        <v>1837</v>
      </c>
      <c r="D8952" s="13" t="s">
        <v>25512</v>
      </c>
      <c r="E8952" s="111"/>
      <c r="F8952" s="113" t="s">
        <v>25514</v>
      </c>
      <c r="G8952" s="114"/>
      <c r="H8952" s="115"/>
      <c r="I8952" s="24" t="s">
        <v>25516</v>
      </c>
      <c r="J8952" s="116">
        <v>4</v>
      </c>
      <c r="K8952" s="118">
        <v>2685000</v>
      </c>
      <c r="L8952" s="119"/>
      <c r="M8952" s="118">
        <f t="shared" ref="M8952" si="13793">K8952*0.1</f>
        <v>268500</v>
      </c>
      <c r="N8952" s="119"/>
      <c r="O8952" s="118">
        <v>33000</v>
      </c>
      <c r="P8952" s="119"/>
      <c r="Q8952" s="118">
        <v>16160</v>
      </c>
      <c r="R8952" s="119"/>
      <c r="S8952" s="118">
        <f t="shared" ref="S8952" si="13794">18500+1850</f>
        <v>20350</v>
      </c>
      <c r="T8952" s="119"/>
      <c r="U8952" s="118">
        <f t="shared" ref="U8952" si="13795">SUM(K8952:T8953)</f>
        <v>3023010</v>
      </c>
      <c r="V8952" s="122"/>
      <c r="W8952" s="124"/>
      <c r="X8952" s="126" t="s">
        <v>25517</v>
      </c>
      <c r="Y8952" s="127"/>
      <c r="Z8952" s="127"/>
      <c r="AA8952" s="127"/>
      <c r="AB8952" s="128"/>
      <c r="AC8952" s="15" t="s">
        <v>20</v>
      </c>
      <c r="AD8952" s="129"/>
      <c r="AE8952" s="130"/>
      <c r="AF8952" s="130"/>
      <c r="AG8952" s="130"/>
      <c r="AH8952" s="130"/>
      <c r="AI8952" s="131"/>
      <c r="AJ8952" s="132"/>
      <c r="AK8952" s="127"/>
      <c r="AL8952" s="128"/>
      <c r="AM8952" s="21"/>
      <c r="AN8952" s="133"/>
      <c r="AO8952" s="134"/>
      <c r="AP8952" s="135"/>
      <c r="AQ8952" s="136"/>
      <c r="AR8952" s="118"/>
      <c r="AS8952" s="119"/>
      <c r="AT8952" s="118">
        <f t="shared" ref="AT8952" si="13796">AR8952*0.1</f>
        <v>0</v>
      </c>
      <c r="AU8952" s="119"/>
      <c r="AV8952" s="118"/>
      <c r="AW8952" s="119"/>
      <c r="AX8952" s="118">
        <f t="shared" ref="AX8952" si="13797">SUM(AR8952:AW8952)</f>
        <v>0</v>
      </c>
      <c r="AY8952" s="119"/>
      <c r="AZ8952" s="137"/>
    </row>
    <row r="8953" spans="1:52" ht="17.100000000000001" customHeight="1" thickBot="1">
      <c r="A8953" s="110"/>
      <c r="B8953" s="27" t="s">
        <v>25505</v>
      </c>
      <c r="C8953" s="27">
        <v>38213</v>
      </c>
      <c r="D8953" s="14" t="s">
        <v>25513</v>
      </c>
      <c r="E8953" s="112"/>
      <c r="F8953" s="139" t="s">
        <v>25515</v>
      </c>
      <c r="G8953" s="140"/>
      <c r="H8953" s="141"/>
      <c r="I8953" s="26">
        <v>41602</v>
      </c>
      <c r="J8953" s="117"/>
      <c r="K8953" s="120"/>
      <c r="L8953" s="121"/>
      <c r="M8953" s="120"/>
      <c r="N8953" s="121"/>
      <c r="O8953" s="120"/>
      <c r="P8953" s="121"/>
      <c r="Q8953" s="120"/>
      <c r="R8953" s="121"/>
      <c r="S8953" s="120"/>
      <c r="T8953" s="121"/>
      <c r="U8953" s="120"/>
      <c r="V8953" s="123"/>
      <c r="W8953" s="125"/>
      <c r="X8953" s="142"/>
      <c r="Y8953" s="143"/>
      <c r="Z8953" s="143"/>
      <c r="AA8953" s="143"/>
      <c r="AB8953" s="144"/>
      <c r="AC8953" s="16" t="s">
        <v>21</v>
      </c>
      <c r="AD8953" s="17"/>
      <c r="AE8953" s="145"/>
      <c r="AF8953" s="146"/>
      <c r="AG8953" s="146"/>
      <c r="AH8953" s="146"/>
      <c r="AI8953" s="147"/>
      <c r="AJ8953" s="148"/>
      <c r="AK8953" s="143"/>
      <c r="AL8953" s="144"/>
      <c r="AM8953" s="22"/>
      <c r="AN8953" s="149"/>
      <c r="AO8953" s="144"/>
      <c r="AP8953" s="148"/>
      <c r="AQ8953" s="144"/>
      <c r="AR8953" s="120"/>
      <c r="AS8953" s="121"/>
      <c r="AT8953" s="120"/>
      <c r="AU8953" s="121"/>
      <c r="AV8953" s="120"/>
      <c r="AW8953" s="121"/>
      <c r="AX8953" s="120"/>
      <c r="AY8953" s="121"/>
      <c r="AZ8953" s="138"/>
    </row>
    <row r="8954" spans="1:52" ht="17.100000000000001" customHeight="1" thickTop="1">
      <c r="A8954" s="109" t="s">
        <v>25503</v>
      </c>
      <c r="B8954" s="28">
        <v>46155</v>
      </c>
      <c r="C8954" s="25">
        <v>1837</v>
      </c>
      <c r="D8954" s="13" t="s">
        <v>25518</v>
      </c>
      <c r="E8954" s="111"/>
      <c r="F8954" s="113" t="s">
        <v>25690</v>
      </c>
      <c r="G8954" s="114"/>
      <c r="H8954" s="115"/>
      <c r="I8954" s="24"/>
      <c r="J8954" s="116">
        <v>4</v>
      </c>
      <c r="K8954" s="118">
        <v>575000</v>
      </c>
      <c r="L8954" s="119"/>
      <c r="M8954" s="118">
        <f t="shared" ref="M8954" si="13798">K8954*0.1</f>
        <v>57500</v>
      </c>
      <c r="N8954" s="119"/>
      <c r="O8954" s="118">
        <v>0</v>
      </c>
      <c r="P8954" s="119"/>
      <c r="Q8954" s="118">
        <v>20170</v>
      </c>
      <c r="R8954" s="119"/>
      <c r="S8954" s="118">
        <f t="shared" ref="S8954" si="13799">18500+1850</f>
        <v>20350</v>
      </c>
      <c r="T8954" s="119"/>
      <c r="U8954" s="118">
        <f t="shared" ref="U8954" si="13800">SUM(K8954:T8955)</f>
        <v>673020</v>
      </c>
      <c r="V8954" s="122"/>
      <c r="W8954" s="124"/>
      <c r="X8954" s="126"/>
      <c r="Y8954" s="127"/>
      <c r="Z8954" s="127"/>
      <c r="AA8954" s="127"/>
      <c r="AB8954" s="128"/>
      <c r="AC8954" s="15" t="s">
        <v>20</v>
      </c>
      <c r="AD8954" s="129"/>
      <c r="AE8954" s="130"/>
      <c r="AF8954" s="130"/>
      <c r="AG8954" s="130"/>
      <c r="AH8954" s="130"/>
      <c r="AI8954" s="131"/>
      <c r="AJ8954" s="132"/>
      <c r="AK8954" s="127"/>
      <c r="AL8954" s="128"/>
      <c r="AM8954" s="21"/>
      <c r="AN8954" s="133">
        <v>46158</v>
      </c>
      <c r="AO8954" s="134"/>
      <c r="AP8954" s="135">
        <v>1300</v>
      </c>
      <c r="AQ8954" s="136"/>
      <c r="AR8954" s="118">
        <v>680000</v>
      </c>
      <c r="AS8954" s="119"/>
      <c r="AT8954" s="118">
        <f t="shared" ref="AT8954" si="13801">AR8954*0.1</f>
        <v>68000</v>
      </c>
      <c r="AU8954" s="119"/>
      <c r="AV8954" s="118">
        <v>20170</v>
      </c>
      <c r="AW8954" s="119"/>
      <c r="AX8954" s="118">
        <f t="shared" ref="AX8954" si="13802">SUM(AR8954:AW8954)</f>
        <v>768170</v>
      </c>
      <c r="AY8954" s="119"/>
      <c r="AZ8954" s="137"/>
    </row>
    <row r="8955" spans="1:52" ht="17.100000000000001" customHeight="1" thickBot="1">
      <c r="A8955" s="110"/>
      <c r="B8955" s="27" t="s">
        <v>25505</v>
      </c>
      <c r="C8955" s="27">
        <v>38291</v>
      </c>
      <c r="D8955" s="14" t="s">
        <v>25502</v>
      </c>
      <c r="E8955" s="112"/>
      <c r="F8955" s="139" t="s">
        <v>25519</v>
      </c>
      <c r="G8955" s="140"/>
      <c r="H8955" s="141"/>
      <c r="I8955" s="26">
        <v>62791</v>
      </c>
      <c r="J8955" s="117"/>
      <c r="K8955" s="120"/>
      <c r="L8955" s="121"/>
      <c r="M8955" s="120"/>
      <c r="N8955" s="121"/>
      <c r="O8955" s="120"/>
      <c r="P8955" s="121"/>
      <c r="Q8955" s="120"/>
      <c r="R8955" s="121"/>
      <c r="S8955" s="120"/>
      <c r="T8955" s="121"/>
      <c r="U8955" s="120"/>
      <c r="V8955" s="123"/>
      <c r="W8955" s="125"/>
      <c r="X8955" s="142"/>
      <c r="Y8955" s="143"/>
      <c r="Z8955" s="143"/>
      <c r="AA8955" s="143"/>
      <c r="AB8955" s="144"/>
      <c r="AC8955" s="16" t="s">
        <v>21</v>
      </c>
      <c r="AD8955" s="17"/>
      <c r="AE8955" s="145" t="s">
        <v>2195</v>
      </c>
      <c r="AF8955" s="146"/>
      <c r="AG8955" s="146"/>
      <c r="AH8955" s="146"/>
      <c r="AI8955" s="147"/>
      <c r="AJ8955" s="148"/>
      <c r="AK8955" s="143"/>
      <c r="AL8955" s="144"/>
      <c r="AM8955" s="22"/>
      <c r="AN8955" s="149" t="s">
        <v>2511</v>
      </c>
      <c r="AO8955" s="144"/>
      <c r="AP8955" s="148">
        <v>80368</v>
      </c>
      <c r="AQ8955" s="144"/>
      <c r="AR8955" s="120"/>
      <c r="AS8955" s="121"/>
      <c r="AT8955" s="120"/>
      <c r="AU8955" s="121"/>
      <c r="AV8955" s="120"/>
      <c r="AW8955" s="121"/>
      <c r="AX8955" s="120"/>
      <c r="AY8955" s="121"/>
      <c r="AZ8955" s="138"/>
    </row>
    <row r="8956" spans="1:52" ht="17.100000000000001" customHeight="1" thickTop="1">
      <c r="A8956" s="109" t="s">
        <v>25504</v>
      </c>
      <c r="B8956" s="28">
        <v>46155</v>
      </c>
      <c r="C8956" s="25">
        <v>1837</v>
      </c>
      <c r="D8956" s="13" t="s">
        <v>25520</v>
      </c>
      <c r="E8956" s="111"/>
      <c r="F8956" s="113" t="s">
        <v>25522</v>
      </c>
      <c r="G8956" s="114"/>
      <c r="H8956" s="115"/>
      <c r="I8956" s="24" t="s">
        <v>25524</v>
      </c>
      <c r="J8956" s="116">
        <v>4.5</v>
      </c>
      <c r="K8956" s="118">
        <v>1605000</v>
      </c>
      <c r="L8956" s="119"/>
      <c r="M8956" s="118">
        <f t="shared" ref="M8956" si="13803">K8956*0.1</f>
        <v>160500</v>
      </c>
      <c r="N8956" s="119"/>
      <c r="O8956" s="118">
        <f>25400+2540</f>
        <v>27940</v>
      </c>
      <c r="P8956" s="119"/>
      <c r="Q8956" s="118">
        <v>12370</v>
      </c>
      <c r="R8956" s="119"/>
      <c r="S8956" s="118">
        <f t="shared" ref="S8956" si="13804">18500+1850</f>
        <v>20350</v>
      </c>
      <c r="T8956" s="119"/>
      <c r="U8956" s="118">
        <f t="shared" ref="U8956" si="13805">SUM(K8956:T8957)</f>
        <v>1826160</v>
      </c>
      <c r="V8956" s="122"/>
      <c r="W8956" s="124"/>
      <c r="X8956" s="126" t="s">
        <v>25525</v>
      </c>
      <c r="Y8956" s="127"/>
      <c r="Z8956" s="127"/>
      <c r="AA8956" s="127"/>
      <c r="AB8956" s="128"/>
      <c r="AC8956" s="15" t="s">
        <v>20</v>
      </c>
      <c r="AD8956" s="129" t="s">
        <v>25526</v>
      </c>
      <c r="AE8956" s="130"/>
      <c r="AF8956" s="130"/>
      <c r="AG8956" s="130"/>
      <c r="AH8956" s="130"/>
      <c r="AI8956" s="131"/>
      <c r="AJ8956" s="132"/>
      <c r="AK8956" s="127"/>
      <c r="AL8956" s="128"/>
      <c r="AM8956" s="21"/>
      <c r="AN8956" s="133"/>
      <c r="AO8956" s="134"/>
      <c r="AP8956" s="135"/>
      <c r="AQ8956" s="136"/>
      <c r="AR8956" s="118"/>
      <c r="AS8956" s="119"/>
      <c r="AT8956" s="118">
        <f t="shared" ref="AT8956" si="13806">AR8956*0.1</f>
        <v>0</v>
      </c>
      <c r="AU8956" s="119"/>
      <c r="AV8956" s="118"/>
      <c r="AW8956" s="119"/>
      <c r="AX8956" s="118">
        <f t="shared" ref="AX8956" si="13807">SUM(AR8956:AW8956)</f>
        <v>0</v>
      </c>
      <c r="AY8956" s="119"/>
      <c r="AZ8956" s="137"/>
    </row>
    <row r="8957" spans="1:52" ht="17.100000000000001" customHeight="1" thickBot="1">
      <c r="A8957" s="110"/>
      <c r="B8957" s="27" t="s">
        <v>25505</v>
      </c>
      <c r="C8957" s="27">
        <v>38303</v>
      </c>
      <c r="D8957" s="14" t="s">
        <v>25521</v>
      </c>
      <c r="E8957" s="112"/>
      <c r="F8957" s="139" t="s">
        <v>25523</v>
      </c>
      <c r="G8957" s="140"/>
      <c r="H8957" s="141"/>
      <c r="I8957" s="26">
        <v>42575</v>
      </c>
      <c r="J8957" s="117"/>
      <c r="K8957" s="120"/>
      <c r="L8957" s="121"/>
      <c r="M8957" s="120"/>
      <c r="N8957" s="121"/>
      <c r="O8957" s="120"/>
      <c r="P8957" s="121"/>
      <c r="Q8957" s="120"/>
      <c r="R8957" s="121"/>
      <c r="S8957" s="120"/>
      <c r="T8957" s="121"/>
      <c r="U8957" s="120"/>
      <c r="V8957" s="123"/>
      <c r="W8957" s="125"/>
      <c r="X8957" s="142" t="s">
        <v>25657</v>
      </c>
      <c r="Y8957" s="143"/>
      <c r="Z8957" s="143"/>
      <c r="AA8957" s="143"/>
      <c r="AB8957" s="144"/>
      <c r="AC8957" s="16" t="s">
        <v>21</v>
      </c>
      <c r="AD8957" s="17" t="s">
        <v>2730</v>
      </c>
      <c r="AE8957" s="145" t="s">
        <v>1633</v>
      </c>
      <c r="AF8957" s="146"/>
      <c r="AG8957" s="146"/>
      <c r="AH8957" s="146"/>
      <c r="AI8957" s="147"/>
      <c r="AJ8957" s="148"/>
      <c r="AK8957" s="143"/>
      <c r="AL8957" s="144"/>
      <c r="AM8957" s="22"/>
      <c r="AN8957" s="149"/>
      <c r="AO8957" s="144"/>
      <c r="AP8957" s="148"/>
      <c r="AQ8957" s="144"/>
      <c r="AR8957" s="120"/>
      <c r="AS8957" s="121"/>
      <c r="AT8957" s="120"/>
      <c r="AU8957" s="121"/>
      <c r="AV8957" s="120"/>
      <c r="AW8957" s="121"/>
      <c r="AX8957" s="120"/>
      <c r="AY8957" s="121"/>
      <c r="AZ8957" s="138"/>
    </row>
    <row r="8958" spans="1:52" ht="17.100000000000001" customHeight="1" thickTop="1">
      <c r="A8958" s="109" t="s">
        <v>25617</v>
      </c>
      <c r="B8958" s="28">
        <v>46156</v>
      </c>
      <c r="C8958" s="25">
        <v>1982</v>
      </c>
      <c r="D8958" s="13" t="s">
        <v>2329</v>
      </c>
      <c r="E8958" s="111"/>
      <c r="F8958" s="113" t="s">
        <v>25625</v>
      </c>
      <c r="G8958" s="114"/>
      <c r="H8958" s="115"/>
      <c r="I8958" s="24"/>
      <c r="J8958" s="116">
        <v>4.5</v>
      </c>
      <c r="K8958" s="118">
        <v>655000</v>
      </c>
      <c r="L8958" s="119"/>
      <c r="M8958" s="118">
        <f t="shared" ref="M8958" si="13808">K8958*0.1</f>
        <v>65500</v>
      </c>
      <c r="N8958" s="119"/>
      <c r="O8958" s="118">
        <v>0</v>
      </c>
      <c r="P8958" s="119"/>
      <c r="Q8958" s="118">
        <v>7510</v>
      </c>
      <c r="R8958" s="119"/>
      <c r="S8958" s="118">
        <v>17050</v>
      </c>
      <c r="T8958" s="119"/>
      <c r="U8958" s="118">
        <f t="shared" ref="U8958" si="13809">SUM(K8958:T8959)</f>
        <v>745060</v>
      </c>
      <c r="V8958" s="122"/>
      <c r="W8958" s="124"/>
      <c r="X8958" s="126"/>
      <c r="Y8958" s="127"/>
      <c r="Z8958" s="127"/>
      <c r="AA8958" s="127"/>
      <c r="AB8958" s="128"/>
      <c r="AC8958" s="15" t="s">
        <v>20</v>
      </c>
      <c r="AD8958" s="129"/>
      <c r="AE8958" s="130"/>
      <c r="AF8958" s="130"/>
      <c r="AG8958" s="130"/>
      <c r="AH8958" s="130"/>
      <c r="AI8958" s="131"/>
      <c r="AJ8958" s="132"/>
      <c r="AK8958" s="127"/>
      <c r="AL8958" s="128"/>
      <c r="AM8958" s="21"/>
      <c r="AN8958" s="133"/>
      <c r="AO8958" s="134"/>
      <c r="AP8958" s="135"/>
      <c r="AQ8958" s="136"/>
      <c r="AR8958" s="118"/>
      <c r="AS8958" s="119"/>
      <c r="AT8958" s="118">
        <f t="shared" ref="AT8958" si="13810">AR8958*0.1</f>
        <v>0</v>
      </c>
      <c r="AU8958" s="119"/>
      <c r="AV8958" s="118"/>
      <c r="AW8958" s="119"/>
      <c r="AX8958" s="118">
        <f t="shared" ref="AX8958" si="13811">SUM(AR8958:AW8958)</f>
        <v>0</v>
      </c>
      <c r="AY8958" s="119"/>
      <c r="AZ8958" s="137"/>
    </row>
    <row r="8959" spans="1:52" ht="17.100000000000001" customHeight="1" thickBot="1">
      <c r="A8959" s="110"/>
      <c r="B8959" s="27" t="s">
        <v>3792</v>
      </c>
      <c r="C8959" s="27">
        <v>3048</v>
      </c>
      <c r="D8959" s="14" t="s">
        <v>1592</v>
      </c>
      <c r="E8959" s="112"/>
      <c r="F8959" s="139" t="s">
        <v>25621</v>
      </c>
      <c r="G8959" s="140"/>
      <c r="H8959" s="141"/>
      <c r="I8959" s="26">
        <v>12418</v>
      </c>
      <c r="J8959" s="117"/>
      <c r="K8959" s="120"/>
      <c r="L8959" s="121"/>
      <c r="M8959" s="120"/>
      <c r="N8959" s="121"/>
      <c r="O8959" s="120"/>
      <c r="P8959" s="121"/>
      <c r="Q8959" s="120"/>
      <c r="R8959" s="121"/>
      <c r="S8959" s="120"/>
      <c r="T8959" s="121"/>
      <c r="U8959" s="120"/>
      <c r="V8959" s="123"/>
      <c r="W8959" s="125"/>
      <c r="X8959" s="142"/>
      <c r="Y8959" s="143"/>
      <c r="Z8959" s="143"/>
      <c r="AA8959" s="143"/>
      <c r="AB8959" s="144"/>
      <c r="AC8959" s="16" t="s">
        <v>21</v>
      </c>
      <c r="AD8959" s="17"/>
      <c r="AE8959" s="145"/>
      <c r="AF8959" s="146"/>
      <c r="AG8959" s="146"/>
      <c r="AH8959" s="146"/>
      <c r="AI8959" s="147"/>
      <c r="AJ8959" s="148"/>
      <c r="AK8959" s="143"/>
      <c r="AL8959" s="144"/>
      <c r="AM8959" s="22"/>
      <c r="AN8959" s="149"/>
      <c r="AO8959" s="144"/>
      <c r="AP8959" s="148"/>
      <c r="AQ8959" s="144"/>
      <c r="AR8959" s="120"/>
      <c r="AS8959" s="121"/>
      <c r="AT8959" s="120"/>
      <c r="AU8959" s="121"/>
      <c r="AV8959" s="120"/>
      <c r="AW8959" s="121"/>
      <c r="AX8959" s="120"/>
      <c r="AY8959" s="121"/>
      <c r="AZ8959" s="138"/>
    </row>
    <row r="8960" spans="1:52" ht="17.100000000000001" customHeight="1" thickTop="1">
      <c r="A8960" s="109" t="s">
        <v>25618</v>
      </c>
      <c r="B8960" s="28">
        <v>46156</v>
      </c>
      <c r="C8960" s="25">
        <v>1982</v>
      </c>
      <c r="D8960" s="13" t="s">
        <v>2135</v>
      </c>
      <c r="E8960" s="111"/>
      <c r="F8960" s="113" t="s">
        <v>25200</v>
      </c>
      <c r="G8960" s="114"/>
      <c r="H8960" s="115"/>
      <c r="I8960" s="24"/>
      <c r="J8960" s="116">
        <v>5</v>
      </c>
      <c r="K8960" s="118">
        <v>1146000</v>
      </c>
      <c r="L8960" s="119"/>
      <c r="M8960" s="118">
        <f t="shared" ref="M8960" si="13812">K8960*0.1</f>
        <v>114600</v>
      </c>
      <c r="N8960" s="119"/>
      <c r="O8960" s="118">
        <v>0</v>
      </c>
      <c r="P8960" s="119"/>
      <c r="Q8960" s="118">
        <v>8640</v>
      </c>
      <c r="R8960" s="119"/>
      <c r="S8960" s="118">
        <v>15950</v>
      </c>
      <c r="T8960" s="119"/>
      <c r="U8960" s="118">
        <f t="shared" ref="U8960" si="13813">SUM(K8960:T8961)</f>
        <v>1285190</v>
      </c>
      <c r="V8960" s="122"/>
      <c r="W8960" s="124"/>
      <c r="X8960" s="126" t="s">
        <v>26020</v>
      </c>
      <c r="Y8960" s="127"/>
      <c r="Z8960" s="127"/>
      <c r="AA8960" s="127"/>
      <c r="AB8960" s="128"/>
      <c r="AC8960" s="15" t="s">
        <v>20</v>
      </c>
      <c r="AD8960" s="129" t="s">
        <v>171</v>
      </c>
      <c r="AE8960" s="130"/>
      <c r="AF8960" s="130"/>
      <c r="AG8960" s="130"/>
      <c r="AH8960" s="130"/>
      <c r="AI8960" s="131"/>
      <c r="AJ8960" s="132"/>
      <c r="AK8960" s="127"/>
      <c r="AL8960" s="128"/>
      <c r="AM8960" s="21"/>
      <c r="AN8960" s="133"/>
      <c r="AO8960" s="134"/>
      <c r="AP8960" s="135"/>
      <c r="AQ8960" s="136"/>
      <c r="AR8960" s="118"/>
      <c r="AS8960" s="119"/>
      <c r="AT8960" s="118">
        <f t="shared" ref="AT8960" si="13814">AR8960*0.1</f>
        <v>0</v>
      </c>
      <c r="AU8960" s="119"/>
      <c r="AV8960" s="118"/>
      <c r="AW8960" s="119"/>
      <c r="AX8960" s="118">
        <f t="shared" ref="AX8960" si="13815">SUM(AR8960:AW8960)</f>
        <v>0</v>
      </c>
      <c r="AY8960" s="119"/>
      <c r="AZ8960" s="137"/>
    </row>
    <row r="8961" spans="1:52" ht="17.100000000000001" customHeight="1" thickBot="1">
      <c r="A8961" s="110"/>
      <c r="B8961" s="27" t="s">
        <v>3792</v>
      </c>
      <c r="C8961" s="27">
        <v>8094</v>
      </c>
      <c r="D8961" s="14" t="s">
        <v>904</v>
      </c>
      <c r="E8961" s="112"/>
      <c r="F8961" s="139" t="s">
        <v>25622</v>
      </c>
      <c r="G8961" s="140"/>
      <c r="H8961" s="141"/>
      <c r="I8961" s="26">
        <v>32338</v>
      </c>
      <c r="J8961" s="117"/>
      <c r="K8961" s="120"/>
      <c r="L8961" s="121"/>
      <c r="M8961" s="120"/>
      <c r="N8961" s="121"/>
      <c r="O8961" s="120"/>
      <c r="P8961" s="121"/>
      <c r="Q8961" s="120"/>
      <c r="R8961" s="121"/>
      <c r="S8961" s="120"/>
      <c r="T8961" s="121"/>
      <c r="U8961" s="120"/>
      <c r="V8961" s="123"/>
      <c r="W8961" s="125"/>
      <c r="X8961" s="142" t="s">
        <v>26021</v>
      </c>
      <c r="Y8961" s="143"/>
      <c r="Z8961" s="143"/>
      <c r="AA8961" s="143"/>
      <c r="AB8961" s="144"/>
      <c r="AC8961" s="16" t="s">
        <v>21</v>
      </c>
      <c r="AD8961" s="17" t="s">
        <v>1976</v>
      </c>
      <c r="AE8961" s="145" t="s">
        <v>171</v>
      </c>
      <c r="AF8961" s="146"/>
      <c r="AG8961" s="146"/>
      <c r="AH8961" s="146"/>
      <c r="AI8961" s="147"/>
      <c r="AJ8961" s="148"/>
      <c r="AK8961" s="143"/>
      <c r="AL8961" s="144"/>
      <c r="AM8961" s="22"/>
      <c r="AN8961" s="149"/>
      <c r="AO8961" s="144"/>
      <c r="AP8961" s="148"/>
      <c r="AQ8961" s="144"/>
      <c r="AR8961" s="120"/>
      <c r="AS8961" s="121"/>
      <c r="AT8961" s="120"/>
      <c r="AU8961" s="121"/>
      <c r="AV8961" s="120"/>
      <c r="AW8961" s="121"/>
      <c r="AX8961" s="120"/>
      <c r="AY8961" s="121"/>
      <c r="AZ8961" s="138"/>
    </row>
    <row r="8962" spans="1:52" ht="17.100000000000001" customHeight="1" thickTop="1">
      <c r="A8962" s="109" t="s">
        <v>25619</v>
      </c>
      <c r="B8962" s="28">
        <v>46156</v>
      </c>
      <c r="C8962" s="25">
        <v>1982</v>
      </c>
      <c r="D8962" s="13" t="s">
        <v>3832</v>
      </c>
      <c r="E8962" s="111"/>
      <c r="F8962" s="113" t="s">
        <v>25626</v>
      </c>
      <c r="G8962" s="114"/>
      <c r="H8962" s="115"/>
      <c r="I8962" s="24"/>
      <c r="J8962" s="116">
        <v>4</v>
      </c>
      <c r="K8962" s="118">
        <v>1023000</v>
      </c>
      <c r="L8962" s="119"/>
      <c r="M8962" s="118">
        <f t="shared" ref="M8962" si="13816">K8962*0.1</f>
        <v>102300</v>
      </c>
      <c r="N8962" s="119"/>
      <c r="O8962" s="118">
        <v>0</v>
      </c>
      <c r="P8962" s="119"/>
      <c r="Q8962" s="118">
        <v>8990</v>
      </c>
      <c r="R8962" s="119"/>
      <c r="S8962" s="118">
        <v>15950</v>
      </c>
      <c r="T8962" s="119"/>
      <c r="U8962" s="118">
        <f t="shared" ref="U8962" si="13817">SUM(K8962:T8963)</f>
        <v>1150240</v>
      </c>
      <c r="V8962" s="122"/>
      <c r="W8962" s="124"/>
      <c r="X8962" s="126" t="s">
        <v>25728</v>
      </c>
      <c r="Y8962" s="127"/>
      <c r="Z8962" s="127"/>
      <c r="AA8962" s="127"/>
      <c r="AB8962" s="128"/>
      <c r="AC8962" s="15" t="s">
        <v>20</v>
      </c>
      <c r="AD8962" s="129" t="s">
        <v>4982</v>
      </c>
      <c r="AE8962" s="130"/>
      <c r="AF8962" s="130"/>
      <c r="AG8962" s="130"/>
      <c r="AH8962" s="130"/>
      <c r="AI8962" s="131"/>
      <c r="AJ8962" s="132"/>
      <c r="AK8962" s="127"/>
      <c r="AL8962" s="128"/>
      <c r="AM8962" s="21"/>
      <c r="AN8962" s="133"/>
      <c r="AO8962" s="134"/>
      <c r="AP8962" s="135"/>
      <c r="AQ8962" s="136"/>
      <c r="AR8962" s="118"/>
      <c r="AS8962" s="119"/>
      <c r="AT8962" s="118">
        <f t="shared" ref="AT8962" si="13818">AR8962*0.1</f>
        <v>0</v>
      </c>
      <c r="AU8962" s="119"/>
      <c r="AV8962" s="118"/>
      <c r="AW8962" s="119"/>
      <c r="AX8962" s="118">
        <f t="shared" ref="AX8962" si="13819">SUM(AR8962:AW8962)</f>
        <v>0</v>
      </c>
      <c r="AY8962" s="119"/>
      <c r="AZ8962" s="137"/>
    </row>
    <row r="8963" spans="1:52" ht="17.100000000000001" customHeight="1" thickBot="1">
      <c r="A8963" s="110"/>
      <c r="B8963" s="27" t="s">
        <v>3792</v>
      </c>
      <c r="C8963" s="27">
        <v>62033</v>
      </c>
      <c r="D8963" s="14" t="s">
        <v>1592</v>
      </c>
      <c r="E8963" s="112"/>
      <c r="F8963" s="139" t="s">
        <v>25623</v>
      </c>
      <c r="G8963" s="140"/>
      <c r="H8963" s="141"/>
      <c r="I8963" s="26">
        <v>57325</v>
      </c>
      <c r="J8963" s="117"/>
      <c r="K8963" s="120"/>
      <c r="L8963" s="121"/>
      <c r="M8963" s="120"/>
      <c r="N8963" s="121"/>
      <c r="O8963" s="120"/>
      <c r="P8963" s="121"/>
      <c r="Q8963" s="120"/>
      <c r="R8963" s="121"/>
      <c r="S8963" s="120"/>
      <c r="T8963" s="121"/>
      <c r="U8963" s="120"/>
      <c r="V8963" s="123"/>
      <c r="W8963" s="125"/>
      <c r="X8963" s="142" t="s">
        <v>3795</v>
      </c>
      <c r="Y8963" s="143"/>
      <c r="Z8963" s="143"/>
      <c r="AA8963" s="143"/>
      <c r="AB8963" s="144"/>
      <c r="AC8963" s="16" t="s">
        <v>21</v>
      </c>
      <c r="AD8963" s="17" t="s">
        <v>25722</v>
      </c>
      <c r="AE8963" s="145" t="s">
        <v>25729</v>
      </c>
      <c r="AF8963" s="146"/>
      <c r="AG8963" s="146"/>
      <c r="AH8963" s="146"/>
      <c r="AI8963" s="147"/>
      <c r="AJ8963" s="148"/>
      <c r="AK8963" s="143"/>
      <c r="AL8963" s="144"/>
      <c r="AM8963" s="22"/>
      <c r="AN8963" s="149"/>
      <c r="AO8963" s="144"/>
      <c r="AP8963" s="148"/>
      <c r="AQ8963" s="144"/>
      <c r="AR8963" s="120"/>
      <c r="AS8963" s="121"/>
      <c r="AT8963" s="120"/>
      <c r="AU8963" s="121"/>
      <c r="AV8963" s="120"/>
      <c r="AW8963" s="121"/>
      <c r="AX8963" s="120"/>
      <c r="AY8963" s="121"/>
      <c r="AZ8963" s="138"/>
    </row>
    <row r="8964" spans="1:52" ht="17.100000000000001" customHeight="1" thickTop="1">
      <c r="A8964" s="109" t="s">
        <v>25620</v>
      </c>
      <c r="B8964" s="28">
        <v>46156</v>
      </c>
      <c r="C8964" s="25">
        <v>1982</v>
      </c>
      <c r="D8964" s="13" t="s">
        <v>1986</v>
      </c>
      <c r="E8964" s="111"/>
      <c r="F8964" s="113" t="s">
        <v>4980</v>
      </c>
      <c r="G8964" s="114"/>
      <c r="H8964" s="115"/>
      <c r="I8964" s="24"/>
      <c r="J8964" s="116">
        <v>4.5</v>
      </c>
      <c r="K8964" s="118">
        <v>697000</v>
      </c>
      <c r="L8964" s="119"/>
      <c r="M8964" s="118">
        <f t="shared" ref="M8964" si="13820">K8964*0.1</f>
        <v>69700</v>
      </c>
      <c r="N8964" s="119"/>
      <c r="O8964" s="118">
        <v>0</v>
      </c>
      <c r="P8964" s="119"/>
      <c r="Q8964" s="118">
        <v>7440</v>
      </c>
      <c r="R8964" s="119"/>
      <c r="S8964" s="118">
        <v>15950</v>
      </c>
      <c r="T8964" s="119"/>
      <c r="U8964" s="118">
        <f t="shared" ref="U8964" si="13821">SUM(K8964:T8965)</f>
        <v>790090</v>
      </c>
      <c r="V8964" s="122"/>
      <c r="W8964" s="124"/>
      <c r="X8964" s="126"/>
      <c r="Y8964" s="127"/>
      <c r="Z8964" s="127"/>
      <c r="AA8964" s="127"/>
      <c r="AB8964" s="128"/>
      <c r="AC8964" s="15" t="s">
        <v>20</v>
      </c>
      <c r="AD8964" s="129"/>
      <c r="AE8964" s="130"/>
      <c r="AF8964" s="130"/>
      <c r="AG8964" s="130"/>
      <c r="AH8964" s="130"/>
      <c r="AI8964" s="131"/>
      <c r="AJ8964" s="132"/>
      <c r="AK8964" s="127"/>
      <c r="AL8964" s="128"/>
      <c r="AM8964" s="21"/>
      <c r="AN8964" s="133"/>
      <c r="AO8964" s="134"/>
      <c r="AP8964" s="135"/>
      <c r="AQ8964" s="136"/>
      <c r="AR8964" s="118"/>
      <c r="AS8964" s="119"/>
      <c r="AT8964" s="118">
        <f t="shared" ref="AT8964" si="13822">AR8964*0.1</f>
        <v>0</v>
      </c>
      <c r="AU8964" s="119"/>
      <c r="AV8964" s="118"/>
      <c r="AW8964" s="119"/>
      <c r="AX8964" s="118">
        <f t="shared" ref="AX8964" si="13823">SUM(AR8964:AW8964)</f>
        <v>0</v>
      </c>
      <c r="AY8964" s="119"/>
      <c r="AZ8964" s="137"/>
    </row>
    <row r="8965" spans="1:52" ht="17.100000000000001" customHeight="1" thickBot="1">
      <c r="A8965" s="110"/>
      <c r="B8965" s="27" t="s">
        <v>3792</v>
      </c>
      <c r="C8965" s="27">
        <v>62100</v>
      </c>
      <c r="D8965" s="14" t="s">
        <v>1592</v>
      </c>
      <c r="E8965" s="112"/>
      <c r="F8965" s="139" t="s">
        <v>25624</v>
      </c>
      <c r="G8965" s="140"/>
      <c r="H8965" s="141"/>
      <c r="I8965" s="26">
        <v>55793</v>
      </c>
      <c r="J8965" s="117"/>
      <c r="K8965" s="120"/>
      <c r="L8965" s="121"/>
      <c r="M8965" s="120"/>
      <c r="N8965" s="121"/>
      <c r="O8965" s="120"/>
      <c r="P8965" s="121"/>
      <c r="Q8965" s="120"/>
      <c r="R8965" s="121"/>
      <c r="S8965" s="120"/>
      <c r="T8965" s="121"/>
      <c r="U8965" s="120"/>
      <c r="V8965" s="123"/>
      <c r="W8965" s="125"/>
      <c r="X8965" s="142"/>
      <c r="Y8965" s="143"/>
      <c r="Z8965" s="143"/>
      <c r="AA8965" s="143"/>
      <c r="AB8965" s="144"/>
      <c r="AC8965" s="16" t="s">
        <v>21</v>
      </c>
      <c r="AD8965" s="17"/>
      <c r="AE8965" s="145"/>
      <c r="AF8965" s="146"/>
      <c r="AG8965" s="146"/>
      <c r="AH8965" s="146"/>
      <c r="AI8965" s="147"/>
      <c r="AJ8965" s="148"/>
      <c r="AK8965" s="143"/>
      <c r="AL8965" s="144"/>
      <c r="AM8965" s="22"/>
      <c r="AN8965" s="149"/>
      <c r="AO8965" s="144"/>
      <c r="AP8965" s="148"/>
      <c r="AQ8965" s="144"/>
      <c r="AR8965" s="120"/>
      <c r="AS8965" s="121"/>
      <c r="AT8965" s="120"/>
      <c r="AU8965" s="121"/>
      <c r="AV8965" s="120"/>
      <c r="AW8965" s="121"/>
      <c r="AX8965" s="120"/>
      <c r="AY8965" s="121"/>
      <c r="AZ8965" s="138"/>
    </row>
    <row r="8966" spans="1:52" ht="17.100000000000001" customHeight="1" thickTop="1">
      <c r="A8966" s="109" t="s">
        <v>25627</v>
      </c>
      <c r="B8966" s="28">
        <v>46156</v>
      </c>
      <c r="C8966" s="25">
        <v>1330</v>
      </c>
      <c r="D8966" s="13" t="s">
        <v>1714</v>
      </c>
      <c r="E8966" s="111"/>
      <c r="F8966" s="113" t="s">
        <v>25640</v>
      </c>
      <c r="G8966" s="114"/>
      <c r="H8966" s="115"/>
      <c r="I8966" s="24"/>
      <c r="J8966" s="116">
        <v>4.5</v>
      </c>
      <c r="K8966" s="118">
        <v>2510000</v>
      </c>
      <c r="L8966" s="119"/>
      <c r="M8966" s="118">
        <f t="shared" ref="M8966" si="13824">K8966*0.1</f>
        <v>251000</v>
      </c>
      <c r="N8966" s="119"/>
      <c r="O8966" s="118">
        <v>0</v>
      </c>
      <c r="P8966" s="119"/>
      <c r="Q8966" s="118">
        <v>21020</v>
      </c>
      <c r="R8966" s="119"/>
      <c r="S8966" s="118">
        <v>16500</v>
      </c>
      <c r="T8966" s="119"/>
      <c r="U8966" s="118">
        <f t="shared" ref="U8966" si="13825">SUM(K8966:T8967)</f>
        <v>2798520</v>
      </c>
      <c r="V8966" s="122"/>
      <c r="W8966" s="124"/>
      <c r="X8966" s="126"/>
      <c r="Y8966" s="127"/>
      <c r="Z8966" s="127"/>
      <c r="AA8966" s="127"/>
      <c r="AB8966" s="128"/>
      <c r="AC8966" s="15" t="s">
        <v>20</v>
      </c>
      <c r="AD8966" s="129" t="s">
        <v>171</v>
      </c>
      <c r="AE8966" s="130"/>
      <c r="AF8966" s="130"/>
      <c r="AG8966" s="130"/>
      <c r="AH8966" s="130"/>
      <c r="AI8966" s="131"/>
      <c r="AJ8966" s="132"/>
      <c r="AK8966" s="127"/>
      <c r="AL8966" s="128"/>
      <c r="AM8966" s="21"/>
      <c r="AN8966" s="133"/>
      <c r="AO8966" s="134"/>
      <c r="AP8966" s="135"/>
      <c r="AQ8966" s="136"/>
      <c r="AR8966" s="118"/>
      <c r="AS8966" s="119"/>
      <c r="AT8966" s="118">
        <f t="shared" ref="AT8966" si="13826">AR8966*0.1</f>
        <v>0</v>
      </c>
      <c r="AU8966" s="119"/>
      <c r="AV8966" s="118"/>
      <c r="AW8966" s="119"/>
      <c r="AX8966" s="118">
        <f t="shared" ref="AX8966" si="13827">SUM(AR8966:AW8966)</f>
        <v>0</v>
      </c>
      <c r="AY8966" s="119"/>
      <c r="AZ8966" s="137"/>
    </row>
    <row r="8967" spans="1:52" ht="17.100000000000001" customHeight="1" thickBot="1">
      <c r="A8967" s="110"/>
      <c r="B8967" s="27" t="s">
        <v>1747</v>
      </c>
      <c r="C8967" s="27">
        <v>108</v>
      </c>
      <c r="D8967" s="14" t="s">
        <v>1592</v>
      </c>
      <c r="E8967" s="112"/>
      <c r="F8967" s="139" t="s">
        <v>25632</v>
      </c>
      <c r="G8967" s="140"/>
      <c r="H8967" s="141"/>
      <c r="I8967" s="26">
        <v>83181</v>
      </c>
      <c r="J8967" s="117"/>
      <c r="K8967" s="120"/>
      <c r="L8967" s="121"/>
      <c r="M8967" s="120"/>
      <c r="N8967" s="121"/>
      <c r="O8967" s="120"/>
      <c r="P8967" s="121"/>
      <c r="Q8967" s="120"/>
      <c r="R8967" s="121"/>
      <c r="S8967" s="120"/>
      <c r="T8967" s="121"/>
      <c r="U8967" s="120"/>
      <c r="V8967" s="123"/>
      <c r="W8967" s="125"/>
      <c r="X8967" s="142"/>
      <c r="Y8967" s="143"/>
      <c r="Z8967" s="143"/>
      <c r="AA8967" s="143"/>
      <c r="AB8967" s="144"/>
      <c r="AC8967" s="16" t="s">
        <v>21</v>
      </c>
      <c r="AD8967" s="17"/>
      <c r="AE8967" s="145"/>
      <c r="AF8967" s="146"/>
      <c r="AG8967" s="146"/>
      <c r="AH8967" s="146"/>
      <c r="AI8967" s="147"/>
      <c r="AJ8967" s="148"/>
      <c r="AK8967" s="143"/>
      <c r="AL8967" s="144"/>
      <c r="AM8967" s="22"/>
      <c r="AN8967" s="149"/>
      <c r="AO8967" s="144"/>
      <c r="AP8967" s="148"/>
      <c r="AQ8967" s="144"/>
      <c r="AR8967" s="120"/>
      <c r="AS8967" s="121"/>
      <c r="AT8967" s="120"/>
      <c r="AU8967" s="121"/>
      <c r="AV8967" s="120"/>
      <c r="AW8967" s="121"/>
      <c r="AX8967" s="120"/>
      <c r="AY8967" s="121"/>
      <c r="AZ8967" s="138"/>
    </row>
    <row r="8968" spans="1:52" ht="17.100000000000001" customHeight="1" thickTop="1">
      <c r="A8968" s="109" t="s">
        <v>25628</v>
      </c>
      <c r="B8968" s="28">
        <v>46156</v>
      </c>
      <c r="C8968" s="25">
        <v>1330</v>
      </c>
      <c r="D8968" s="13" t="s">
        <v>818</v>
      </c>
      <c r="E8968" s="111"/>
      <c r="F8968" s="113" t="s">
        <v>25641</v>
      </c>
      <c r="G8968" s="114"/>
      <c r="H8968" s="115"/>
      <c r="I8968" s="24" t="s">
        <v>1559</v>
      </c>
      <c r="J8968" s="116">
        <v>4.5</v>
      </c>
      <c r="K8968" s="118">
        <v>2930000</v>
      </c>
      <c r="L8968" s="119"/>
      <c r="M8968" s="118">
        <f t="shared" ref="M8968" si="13828">K8968*0.1</f>
        <v>293000</v>
      </c>
      <c r="N8968" s="119"/>
      <c r="O8968" s="118">
        <f>30000+3000</f>
        <v>33000</v>
      </c>
      <c r="P8968" s="119"/>
      <c r="Q8968" s="118">
        <v>23470</v>
      </c>
      <c r="R8968" s="119"/>
      <c r="S8968" s="118">
        <v>16500</v>
      </c>
      <c r="T8968" s="119"/>
      <c r="U8968" s="118">
        <f t="shared" ref="U8968" si="13829">SUM(K8968:T8969)</f>
        <v>3295970</v>
      </c>
      <c r="V8968" s="122"/>
      <c r="W8968" s="124"/>
      <c r="X8968" s="126" t="s">
        <v>25642</v>
      </c>
      <c r="Y8968" s="127"/>
      <c r="Z8968" s="127"/>
      <c r="AA8968" s="127"/>
      <c r="AB8968" s="128"/>
      <c r="AC8968" s="15" t="s">
        <v>20</v>
      </c>
      <c r="AD8968" s="129" t="s">
        <v>1633</v>
      </c>
      <c r="AE8968" s="130"/>
      <c r="AF8968" s="130"/>
      <c r="AG8968" s="130"/>
      <c r="AH8968" s="130"/>
      <c r="AI8968" s="131"/>
      <c r="AJ8968" s="132"/>
      <c r="AK8968" s="127"/>
      <c r="AL8968" s="128"/>
      <c r="AM8968" s="21"/>
      <c r="AN8968" s="133"/>
      <c r="AO8968" s="134"/>
      <c r="AP8968" s="135"/>
      <c r="AQ8968" s="136"/>
      <c r="AR8968" s="118"/>
      <c r="AS8968" s="119"/>
      <c r="AT8968" s="118">
        <f t="shared" ref="AT8968" si="13830">AR8968*0.1</f>
        <v>0</v>
      </c>
      <c r="AU8968" s="119"/>
      <c r="AV8968" s="118"/>
      <c r="AW8968" s="119"/>
      <c r="AX8968" s="118">
        <f t="shared" ref="AX8968" si="13831">SUM(AR8968:AW8968)</f>
        <v>0</v>
      </c>
      <c r="AY8968" s="119"/>
      <c r="AZ8968" s="137"/>
    </row>
    <row r="8969" spans="1:52" ht="17.100000000000001" customHeight="1" thickBot="1">
      <c r="A8969" s="110"/>
      <c r="B8969" s="27" t="s">
        <v>1747</v>
      </c>
      <c r="C8969" s="27">
        <v>179</v>
      </c>
      <c r="D8969" s="14" t="s">
        <v>275</v>
      </c>
      <c r="E8969" s="112"/>
      <c r="F8969" s="139" t="s">
        <v>25633</v>
      </c>
      <c r="G8969" s="140"/>
      <c r="H8969" s="141"/>
      <c r="I8969" s="26">
        <v>79788</v>
      </c>
      <c r="J8969" s="117"/>
      <c r="K8969" s="120"/>
      <c r="L8969" s="121"/>
      <c r="M8969" s="120"/>
      <c r="N8969" s="121"/>
      <c r="O8969" s="120"/>
      <c r="P8969" s="121"/>
      <c r="Q8969" s="120"/>
      <c r="R8969" s="121"/>
      <c r="S8969" s="120"/>
      <c r="T8969" s="121"/>
      <c r="U8969" s="120"/>
      <c r="V8969" s="123"/>
      <c r="W8969" s="125"/>
      <c r="X8969" s="142" t="s">
        <v>8545</v>
      </c>
      <c r="Y8969" s="143"/>
      <c r="Z8969" s="143"/>
      <c r="AA8969" s="143"/>
      <c r="AB8969" s="144"/>
      <c r="AC8969" s="16" t="s">
        <v>21</v>
      </c>
      <c r="AD8969" s="17" t="s">
        <v>1976</v>
      </c>
      <c r="AE8969" s="145" t="s">
        <v>26017</v>
      </c>
      <c r="AF8969" s="146"/>
      <c r="AG8969" s="146"/>
      <c r="AH8969" s="146"/>
      <c r="AI8969" s="147"/>
      <c r="AJ8969" s="148"/>
      <c r="AK8969" s="143"/>
      <c r="AL8969" s="144"/>
      <c r="AM8969" s="22"/>
      <c r="AN8969" s="149"/>
      <c r="AO8969" s="144"/>
      <c r="AP8969" s="148"/>
      <c r="AQ8969" s="144"/>
      <c r="AR8969" s="120"/>
      <c r="AS8969" s="121"/>
      <c r="AT8969" s="120"/>
      <c r="AU8969" s="121"/>
      <c r="AV8969" s="120"/>
      <c r="AW8969" s="121"/>
      <c r="AX8969" s="120"/>
      <c r="AY8969" s="121"/>
      <c r="AZ8969" s="138"/>
    </row>
    <row r="8970" spans="1:52" ht="17.100000000000001" customHeight="1" thickTop="1">
      <c r="A8970" s="109" t="s">
        <v>25629</v>
      </c>
      <c r="B8970" s="28">
        <v>46156</v>
      </c>
      <c r="C8970" s="25">
        <v>1330</v>
      </c>
      <c r="D8970" s="13" t="s">
        <v>1686</v>
      </c>
      <c r="E8970" s="111"/>
      <c r="F8970" s="113" t="s">
        <v>1938</v>
      </c>
      <c r="G8970" s="114"/>
      <c r="H8970" s="115"/>
      <c r="I8970" s="24"/>
      <c r="J8970" s="116">
        <v>4.5</v>
      </c>
      <c r="K8970" s="118">
        <v>405000</v>
      </c>
      <c r="L8970" s="119"/>
      <c r="M8970" s="118">
        <f t="shared" ref="M8970" si="13832">K8970*0.1</f>
        <v>40500</v>
      </c>
      <c r="N8970" s="119"/>
      <c r="O8970" s="118">
        <v>33000</v>
      </c>
      <c r="P8970" s="119"/>
      <c r="Q8970" s="118">
        <v>18960</v>
      </c>
      <c r="R8970" s="119"/>
      <c r="S8970" s="118">
        <v>16500</v>
      </c>
      <c r="T8970" s="119"/>
      <c r="U8970" s="118">
        <f t="shared" ref="U8970" si="13833">SUM(K8970:T8971)</f>
        <v>513960</v>
      </c>
      <c r="V8970" s="122"/>
      <c r="W8970" s="124"/>
      <c r="X8970" s="126" t="s">
        <v>26013</v>
      </c>
      <c r="Y8970" s="127"/>
      <c r="Z8970" s="127"/>
      <c r="AA8970" s="127"/>
      <c r="AB8970" s="128"/>
      <c r="AC8970" s="15" t="s">
        <v>20</v>
      </c>
      <c r="AD8970" s="129"/>
      <c r="AE8970" s="130"/>
      <c r="AF8970" s="130"/>
      <c r="AG8970" s="130"/>
      <c r="AH8970" s="130"/>
      <c r="AI8970" s="131"/>
      <c r="AJ8970" s="132"/>
      <c r="AK8970" s="127"/>
      <c r="AL8970" s="128"/>
      <c r="AM8970" s="21"/>
      <c r="AN8970" s="133">
        <v>46158</v>
      </c>
      <c r="AO8970" s="134"/>
      <c r="AP8970" s="135">
        <v>1300</v>
      </c>
      <c r="AQ8970" s="136"/>
      <c r="AR8970" s="118">
        <v>545000</v>
      </c>
      <c r="AS8970" s="119"/>
      <c r="AT8970" s="118">
        <f t="shared" ref="AT8970" si="13834">AR8970*0.1</f>
        <v>54500</v>
      </c>
      <c r="AU8970" s="119"/>
      <c r="AV8970" s="118">
        <v>18960</v>
      </c>
      <c r="AW8970" s="119"/>
      <c r="AX8970" s="118">
        <f t="shared" ref="AX8970" si="13835">SUM(AR8970:AW8970)</f>
        <v>618460</v>
      </c>
      <c r="AY8970" s="119"/>
      <c r="AZ8970" s="137"/>
    </row>
    <row r="8971" spans="1:52" ht="17.100000000000001" customHeight="1" thickBot="1">
      <c r="A8971" s="110"/>
      <c r="B8971" s="27" t="s">
        <v>1747</v>
      </c>
      <c r="C8971" s="27">
        <v>512</v>
      </c>
      <c r="D8971" s="14" t="s">
        <v>1576</v>
      </c>
      <c r="E8971" s="112"/>
      <c r="F8971" s="139" t="s">
        <v>25634</v>
      </c>
      <c r="G8971" s="140"/>
      <c r="H8971" s="141"/>
      <c r="I8971" s="26">
        <v>52769</v>
      </c>
      <c r="J8971" s="117"/>
      <c r="K8971" s="120"/>
      <c r="L8971" s="121"/>
      <c r="M8971" s="120"/>
      <c r="N8971" s="121"/>
      <c r="O8971" s="120"/>
      <c r="P8971" s="121"/>
      <c r="Q8971" s="120"/>
      <c r="R8971" s="121"/>
      <c r="S8971" s="120"/>
      <c r="T8971" s="121"/>
      <c r="U8971" s="120"/>
      <c r="V8971" s="123"/>
      <c r="W8971" s="125"/>
      <c r="X8971" s="142" t="s">
        <v>2440</v>
      </c>
      <c r="Y8971" s="143"/>
      <c r="Z8971" s="143"/>
      <c r="AA8971" s="143"/>
      <c r="AB8971" s="144"/>
      <c r="AC8971" s="16" t="s">
        <v>21</v>
      </c>
      <c r="AD8971" s="17" t="s">
        <v>1976</v>
      </c>
      <c r="AE8971" s="145" t="s">
        <v>2832</v>
      </c>
      <c r="AF8971" s="146"/>
      <c r="AG8971" s="146"/>
      <c r="AH8971" s="146"/>
      <c r="AI8971" s="147"/>
      <c r="AJ8971" s="148"/>
      <c r="AK8971" s="143"/>
      <c r="AL8971" s="144"/>
      <c r="AM8971" s="22"/>
      <c r="AN8971" s="149" t="s">
        <v>2511</v>
      </c>
      <c r="AO8971" s="144"/>
      <c r="AP8971" s="148">
        <v>80400</v>
      </c>
      <c r="AQ8971" s="144"/>
      <c r="AR8971" s="120"/>
      <c r="AS8971" s="121"/>
      <c r="AT8971" s="120"/>
      <c r="AU8971" s="121"/>
      <c r="AV8971" s="120"/>
      <c r="AW8971" s="121"/>
      <c r="AX8971" s="120"/>
      <c r="AY8971" s="121"/>
      <c r="AZ8971" s="138"/>
    </row>
    <row r="8972" spans="1:52" ht="17.100000000000001" customHeight="1" thickTop="1">
      <c r="A8972" s="109" t="s">
        <v>25630</v>
      </c>
      <c r="B8972" s="28">
        <v>46156</v>
      </c>
      <c r="C8972" s="25">
        <v>1330</v>
      </c>
      <c r="D8972" s="13" t="s">
        <v>2970</v>
      </c>
      <c r="E8972" s="111"/>
      <c r="F8972" s="113" t="s">
        <v>1777</v>
      </c>
      <c r="G8972" s="114"/>
      <c r="H8972" s="115"/>
      <c r="I8972" s="24" t="s">
        <v>4109</v>
      </c>
      <c r="J8972" s="116">
        <v>4.5</v>
      </c>
      <c r="K8972" s="118">
        <v>1505000</v>
      </c>
      <c r="L8972" s="119"/>
      <c r="M8972" s="118">
        <f t="shared" ref="M8972" si="13836">K8972*0.1</f>
        <v>150500</v>
      </c>
      <c r="N8972" s="119"/>
      <c r="O8972" s="118">
        <v>33000</v>
      </c>
      <c r="P8972" s="119"/>
      <c r="Q8972" s="118">
        <v>16240</v>
      </c>
      <c r="R8972" s="119"/>
      <c r="S8972" s="118">
        <v>16500</v>
      </c>
      <c r="T8972" s="119"/>
      <c r="U8972" s="118">
        <f t="shared" ref="U8972" si="13837">SUM(K8972:T8973)</f>
        <v>1721240</v>
      </c>
      <c r="V8972" s="122"/>
      <c r="W8972" s="124"/>
      <c r="X8972" s="126" t="s">
        <v>25643</v>
      </c>
      <c r="Y8972" s="127"/>
      <c r="Z8972" s="127"/>
      <c r="AA8972" s="127"/>
      <c r="AB8972" s="128"/>
      <c r="AC8972" s="15" t="s">
        <v>20</v>
      </c>
      <c r="AD8972" s="129" t="s">
        <v>25644</v>
      </c>
      <c r="AE8972" s="130"/>
      <c r="AF8972" s="130"/>
      <c r="AG8972" s="130"/>
      <c r="AH8972" s="130"/>
      <c r="AI8972" s="131"/>
      <c r="AJ8972" s="132"/>
      <c r="AK8972" s="127"/>
      <c r="AL8972" s="128"/>
      <c r="AM8972" s="21"/>
      <c r="AN8972" s="133"/>
      <c r="AO8972" s="134"/>
      <c r="AP8972" s="135"/>
      <c r="AQ8972" s="136"/>
      <c r="AR8972" s="118"/>
      <c r="AS8972" s="119"/>
      <c r="AT8972" s="118">
        <f t="shared" ref="AT8972" si="13838">AR8972*0.1</f>
        <v>0</v>
      </c>
      <c r="AU8972" s="119"/>
      <c r="AV8972" s="118"/>
      <c r="AW8972" s="119"/>
      <c r="AX8972" s="118">
        <f t="shared" ref="AX8972" si="13839">SUM(AR8972:AW8972)</f>
        <v>0</v>
      </c>
      <c r="AY8972" s="119"/>
      <c r="AZ8972" s="137"/>
    </row>
    <row r="8973" spans="1:52" ht="17.100000000000001" customHeight="1" thickBot="1">
      <c r="A8973" s="110"/>
      <c r="B8973" s="27" t="s">
        <v>1747</v>
      </c>
      <c r="C8973" s="27">
        <v>584</v>
      </c>
      <c r="D8973" s="14" t="s">
        <v>133</v>
      </c>
      <c r="E8973" s="112"/>
      <c r="F8973" s="139" t="s">
        <v>25635</v>
      </c>
      <c r="G8973" s="140"/>
      <c r="H8973" s="141"/>
      <c r="I8973" s="26">
        <v>40346</v>
      </c>
      <c r="J8973" s="117"/>
      <c r="K8973" s="120"/>
      <c r="L8973" s="121"/>
      <c r="M8973" s="120"/>
      <c r="N8973" s="121"/>
      <c r="O8973" s="120"/>
      <c r="P8973" s="121"/>
      <c r="Q8973" s="120"/>
      <c r="R8973" s="121"/>
      <c r="S8973" s="120"/>
      <c r="T8973" s="121"/>
      <c r="U8973" s="120"/>
      <c r="V8973" s="123"/>
      <c r="W8973" s="125"/>
      <c r="X8973" s="142" t="s">
        <v>1861</v>
      </c>
      <c r="Y8973" s="143"/>
      <c r="Z8973" s="143"/>
      <c r="AA8973" s="143"/>
      <c r="AB8973" s="144"/>
      <c r="AC8973" s="16" t="s">
        <v>21</v>
      </c>
      <c r="AD8973" s="17" t="s">
        <v>1976</v>
      </c>
      <c r="AE8973" s="145" t="s">
        <v>1658</v>
      </c>
      <c r="AF8973" s="146"/>
      <c r="AG8973" s="146"/>
      <c r="AH8973" s="146"/>
      <c r="AI8973" s="147"/>
      <c r="AJ8973" s="148"/>
      <c r="AK8973" s="143"/>
      <c r="AL8973" s="144"/>
      <c r="AM8973" s="22"/>
      <c r="AN8973" s="149"/>
      <c r="AO8973" s="144"/>
      <c r="AP8973" s="148"/>
      <c r="AQ8973" s="144"/>
      <c r="AR8973" s="120"/>
      <c r="AS8973" s="121"/>
      <c r="AT8973" s="120"/>
      <c r="AU8973" s="121"/>
      <c r="AV8973" s="120"/>
      <c r="AW8973" s="121"/>
      <c r="AX8973" s="120"/>
      <c r="AY8973" s="121"/>
      <c r="AZ8973" s="138"/>
    </row>
    <row r="8974" spans="1:52" ht="17.100000000000001" customHeight="1" thickTop="1">
      <c r="A8974" s="109" t="s">
        <v>25631</v>
      </c>
      <c r="B8974" s="28">
        <v>46156</v>
      </c>
      <c r="C8974" s="25">
        <v>1330</v>
      </c>
      <c r="D8974" s="13" t="s">
        <v>1958</v>
      </c>
      <c r="E8974" s="111"/>
      <c r="F8974" s="113" t="s">
        <v>25645</v>
      </c>
      <c r="G8974" s="114"/>
      <c r="H8974" s="115"/>
      <c r="I8974" s="24"/>
      <c r="J8974" s="116">
        <v>4</v>
      </c>
      <c r="K8974" s="118">
        <v>420000</v>
      </c>
      <c r="L8974" s="119"/>
      <c r="M8974" s="118">
        <f t="shared" ref="M8974" si="13840">K8974*0.1</f>
        <v>42000</v>
      </c>
      <c r="N8974" s="119"/>
      <c r="O8974" s="118">
        <v>0</v>
      </c>
      <c r="P8974" s="119"/>
      <c r="Q8974" s="118">
        <v>14840</v>
      </c>
      <c r="R8974" s="119"/>
      <c r="S8974" s="118">
        <v>16500</v>
      </c>
      <c r="T8974" s="119"/>
      <c r="U8974" s="118">
        <f t="shared" ref="U8974" si="13841">SUM(K8974:T8975)</f>
        <v>493340</v>
      </c>
      <c r="V8974" s="122"/>
      <c r="W8974" s="124"/>
      <c r="X8974" s="126"/>
      <c r="Y8974" s="127"/>
      <c r="Z8974" s="127"/>
      <c r="AA8974" s="127"/>
      <c r="AB8974" s="128"/>
      <c r="AC8974" s="15" t="s">
        <v>20</v>
      </c>
      <c r="AD8974" s="129"/>
      <c r="AE8974" s="130"/>
      <c r="AF8974" s="130"/>
      <c r="AG8974" s="130"/>
      <c r="AH8974" s="130"/>
      <c r="AI8974" s="131"/>
      <c r="AJ8974" s="132"/>
      <c r="AK8974" s="127"/>
      <c r="AL8974" s="128"/>
      <c r="AM8974" s="21"/>
      <c r="AN8974" s="133"/>
      <c r="AO8974" s="134"/>
      <c r="AP8974" s="135"/>
      <c r="AQ8974" s="136"/>
      <c r="AR8974" s="118"/>
      <c r="AS8974" s="119"/>
      <c r="AT8974" s="118">
        <f t="shared" ref="AT8974" si="13842">AR8974*0.1</f>
        <v>0</v>
      </c>
      <c r="AU8974" s="119"/>
      <c r="AV8974" s="118"/>
      <c r="AW8974" s="119"/>
      <c r="AX8974" s="118">
        <f t="shared" ref="AX8974" si="13843">SUM(AR8974:AW8974)</f>
        <v>0</v>
      </c>
      <c r="AY8974" s="119"/>
      <c r="AZ8974" s="137"/>
    </row>
    <row r="8975" spans="1:52" ht="17.100000000000001" customHeight="1" thickBot="1">
      <c r="A8975" s="110"/>
      <c r="B8975" s="27" t="s">
        <v>1747</v>
      </c>
      <c r="C8975" s="27">
        <v>850</v>
      </c>
      <c r="D8975" s="14" t="s">
        <v>275</v>
      </c>
      <c r="E8975" s="112"/>
      <c r="F8975" s="139" t="s">
        <v>25636</v>
      </c>
      <c r="G8975" s="140"/>
      <c r="H8975" s="141"/>
      <c r="I8975" s="26">
        <v>71291</v>
      </c>
      <c r="J8975" s="117"/>
      <c r="K8975" s="120"/>
      <c r="L8975" s="121"/>
      <c r="M8975" s="120"/>
      <c r="N8975" s="121"/>
      <c r="O8975" s="120"/>
      <c r="P8975" s="121"/>
      <c r="Q8975" s="120"/>
      <c r="R8975" s="121"/>
      <c r="S8975" s="120"/>
      <c r="T8975" s="121"/>
      <c r="U8975" s="120"/>
      <c r="V8975" s="123"/>
      <c r="W8975" s="125"/>
      <c r="X8975" s="142"/>
      <c r="Y8975" s="143"/>
      <c r="Z8975" s="143"/>
      <c r="AA8975" s="143"/>
      <c r="AB8975" s="144"/>
      <c r="AC8975" s="16" t="s">
        <v>21</v>
      </c>
      <c r="AD8975" s="17"/>
      <c r="AE8975" s="145" t="s">
        <v>25685</v>
      </c>
      <c r="AF8975" s="146"/>
      <c r="AG8975" s="146"/>
      <c r="AH8975" s="146"/>
      <c r="AI8975" s="147"/>
      <c r="AJ8975" s="148"/>
      <c r="AK8975" s="143"/>
      <c r="AL8975" s="144"/>
      <c r="AM8975" s="22"/>
      <c r="AN8975" s="149"/>
      <c r="AO8975" s="144"/>
      <c r="AP8975" s="148"/>
      <c r="AQ8975" s="144"/>
      <c r="AR8975" s="120"/>
      <c r="AS8975" s="121"/>
      <c r="AT8975" s="120"/>
      <c r="AU8975" s="121"/>
      <c r="AV8975" s="120"/>
      <c r="AW8975" s="121"/>
      <c r="AX8975" s="120"/>
      <c r="AY8975" s="121"/>
      <c r="AZ8975" s="138"/>
    </row>
    <row r="8976" spans="1:52" ht="17.100000000000001" customHeight="1" thickTop="1">
      <c r="A8976" s="109" t="s">
        <v>25650</v>
      </c>
      <c r="B8976" s="28">
        <v>46158</v>
      </c>
      <c r="C8976" s="25"/>
      <c r="D8976" s="13" t="s">
        <v>1758</v>
      </c>
      <c r="E8976" s="111"/>
      <c r="F8976" s="113" t="s">
        <v>3221</v>
      </c>
      <c r="G8976" s="114"/>
      <c r="H8976" s="115"/>
      <c r="I8976" s="24" t="s">
        <v>5662</v>
      </c>
      <c r="J8976" s="116"/>
      <c r="K8976" s="118">
        <v>300000</v>
      </c>
      <c r="L8976" s="119"/>
      <c r="M8976" s="118">
        <v>0</v>
      </c>
      <c r="N8976" s="119"/>
      <c r="O8976" s="118">
        <v>0</v>
      </c>
      <c r="P8976" s="119"/>
      <c r="Q8976" s="118">
        <v>0</v>
      </c>
      <c r="R8976" s="119"/>
      <c r="S8976" s="118">
        <v>0</v>
      </c>
      <c r="T8976" s="119"/>
      <c r="U8976" s="118">
        <f t="shared" ref="U8976" si="13844">SUM(K8976:T8977)</f>
        <v>300000</v>
      </c>
      <c r="V8976" s="122"/>
      <c r="W8976" s="124"/>
      <c r="X8976" s="126" t="s">
        <v>25653</v>
      </c>
      <c r="Y8976" s="127"/>
      <c r="Z8976" s="127"/>
      <c r="AA8976" s="127"/>
      <c r="AB8976" s="128"/>
      <c r="AC8976" s="15" t="s">
        <v>20</v>
      </c>
      <c r="AD8976" s="129"/>
      <c r="AE8976" s="130"/>
      <c r="AF8976" s="130"/>
      <c r="AG8976" s="130"/>
      <c r="AH8976" s="130"/>
      <c r="AI8976" s="131"/>
      <c r="AJ8976" s="132"/>
      <c r="AK8976" s="127"/>
      <c r="AL8976" s="128"/>
      <c r="AM8976" s="21"/>
      <c r="AN8976" s="133"/>
      <c r="AO8976" s="134"/>
      <c r="AP8976" s="135"/>
      <c r="AQ8976" s="136"/>
      <c r="AR8976" s="118"/>
      <c r="AS8976" s="119"/>
      <c r="AT8976" s="118">
        <f t="shared" ref="AT8976" si="13845">AR8976*0.1</f>
        <v>0</v>
      </c>
      <c r="AU8976" s="119"/>
      <c r="AV8976" s="118"/>
      <c r="AW8976" s="119"/>
      <c r="AX8976" s="118">
        <f t="shared" ref="AX8976" si="13846">SUM(AR8976:AW8976)</f>
        <v>0</v>
      </c>
      <c r="AY8976" s="119"/>
      <c r="AZ8976" s="137"/>
    </row>
    <row r="8977" spans="1:52" ht="17.100000000000001" customHeight="1" thickBot="1">
      <c r="A8977" s="110"/>
      <c r="B8977" s="27" t="s">
        <v>25651</v>
      </c>
      <c r="C8977" s="27"/>
      <c r="D8977" s="14"/>
      <c r="E8977" s="112"/>
      <c r="F8977" s="139" t="s">
        <v>25652</v>
      </c>
      <c r="G8977" s="140"/>
      <c r="H8977" s="141"/>
      <c r="I8977" s="26">
        <v>79724</v>
      </c>
      <c r="J8977" s="117"/>
      <c r="K8977" s="120"/>
      <c r="L8977" s="121"/>
      <c r="M8977" s="120"/>
      <c r="N8977" s="121"/>
      <c r="O8977" s="120"/>
      <c r="P8977" s="121"/>
      <c r="Q8977" s="120"/>
      <c r="R8977" s="121"/>
      <c r="S8977" s="120"/>
      <c r="T8977" s="121"/>
      <c r="U8977" s="120"/>
      <c r="V8977" s="123"/>
      <c r="W8977" s="125"/>
      <c r="X8977" s="142" t="s">
        <v>25654</v>
      </c>
      <c r="Y8977" s="143"/>
      <c r="Z8977" s="143"/>
      <c r="AA8977" s="143"/>
      <c r="AB8977" s="144"/>
      <c r="AC8977" s="16" t="s">
        <v>21</v>
      </c>
      <c r="AD8977" s="17" t="s">
        <v>2730</v>
      </c>
      <c r="AE8977" s="145" t="s">
        <v>1742</v>
      </c>
      <c r="AF8977" s="146"/>
      <c r="AG8977" s="146"/>
      <c r="AH8977" s="146"/>
      <c r="AI8977" s="147"/>
      <c r="AJ8977" s="148"/>
      <c r="AK8977" s="143"/>
      <c r="AL8977" s="144"/>
      <c r="AM8977" s="22"/>
      <c r="AN8977" s="149"/>
      <c r="AO8977" s="144"/>
      <c r="AP8977" s="148"/>
      <c r="AQ8977" s="144"/>
      <c r="AR8977" s="120"/>
      <c r="AS8977" s="121"/>
      <c r="AT8977" s="120"/>
      <c r="AU8977" s="121"/>
      <c r="AV8977" s="120"/>
      <c r="AW8977" s="121"/>
      <c r="AX8977" s="120"/>
      <c r="AY8977" s="121"/>
      <c r="AZ8977" s="138"/>
    </row>
    <row r="8978" spans="1:52" ht="17.100000000000001" customHeight="1" thickTop="1">
      <c r="A8978" s="109" t="s">
        <v>25691</v>
      </c>
      <c r="B8978" s="28">
        <v>46156</v>
      </c>
      <c r="C8978" s="25">
        <v>2157</v>
      </c>
      <c r="D8978" s="13" t="s">
        <v>2001</v>
      </c>
      <c r="E8978" s="111"/>
      <c r="F8978" s="113" t="s">
        <v>25880</v>
      </c>
      <c r="G8978" s="114"/>
      <c r="H8978" s="115"/>
      <c r="I8978" s="24" t="s">
        <v>2152</v>
      </c>
      <c r="J8978" s="116">
        <v>4.5</v>
      </c>
      <c r="K8978" s="118">
        <v>1360000</v>
      </c>
      <c r="L8978" s="119"/>
      <c r="M8978" s="118">
        <f t="shared" ref="M8978" si="13847">K8978*0.1</f>
        <v>136000</v>
      </c>
      <c r="N8978" s="119"/>
      <c r="O8978" s="118">
        <v>0</v>
      </c>
      <c r="P8978" s="119"/>
      <c r="Q8978" s="118">
        <v>0</v>
      </c>
      <c r="R8978" s="119"/>
      <c r="S8978" s="118">
        <v>14300</v>
      </c>
      <c r="T8978" s="119"/>
      <c r="U8978" s="118">
        <f t="shared" ref="U8978" si="13848">SUM(K8978:T8979)</f>
        <v>1510300</v>
      </c>
      <c r="V8978" s="122"/>
      <c r="W8978" s="124"/>
      <c r="X8978" s="126" t="s">
        <v>25881</v>
      </c>
      <c r="Y8978" s="127"/>
      <c r="Z8978" s="127"/>
      <c r="AA8978" s="127"/>
      <c r="AB8978" s="128"/>
      <c r="AC8978" s="15" t="s">
        <v>20</v>
      </c>
      <c r="AD8978" s="129"/>
      <c r="AE8978" s="130"/>
      <c r="AF8978" s="130"/>
      <c r="AG8978" s="130"/>
      <c r="AH8978" s="130"/>
      <c r="AI8978" s="131"/>
      <c r="AJ8978" s="132"/>
      <c r="AK8978" s="127"/>
      <c r="AL8978" s="128"/>
      <c r="AM8978" s="21"/>
      <c r="AN8978" s="133"/>
      <c r="AO8978" s="134"/>
      <c r="AP8978" s="135"/>
      <c r="AQ8978" s="136"/>
      <c r="AR8978" s="118"/>
      <c r="AS8978" s="119"/>
      <c r="AT8978" s="118">
        <f t="shared" ref="AT8978" si="13849">AR8978*0.1</f>
        <v>0</v>
      </c>
      <c r="AU8978" s="119"/>
      <c r="AV8978" s="118"/>
      <c r="AW8978" s="119"/>
      <c r="AX8978" s="118">
        <f t="shared" ref="AX8978" si="13850">SUM(AR8978:AW8978)</f>
        <v>0</v>
      </c>
      <c r="AY8978" s="119"/>
      <c r="AZ8978" s="137"/>
    </row>
    <row r="8979" spans="1:52" ht="17.100000000000001" customHeight="1" thickBot="1">
      <c r="A8979" s="110"/>
      <c r="B8979" s="27" t="s">
        <v>25709</v>
      </c>
      <c r="C8979" s="27">
        <v>2135</v>
      </c>
      <c r="D8979" s="14" t="s">
        <v>2601</v>
      </c>
      <c r="E8979" s="112"/>
      <c r="F8979" s="139" t="s">
        <v>25710</v>
      </c>
      <c r="G8979" s="140"/>
      <c r="H8979" s="141"/>
      <c r="I8979" s="26">
        <v>22910</v>
      </c>
      <c r="J8979" s="117"/>
      <c r="K8979" s="120"/>
      <c r="L8979" s="121"/>
      <c r="M8979" s="120"/>
      <c r="N8979" s="121"/>
      <c r="O8979" s="120"/>
      <c r="P8979" s="121"/>
      <c r="Q8979" s="120"/>
      <c r="R8979" s="121"/>
      <c r="S8979" s="120"/>
      <c r="T8979" s="121"/>
      <c r="U8979" s="120"/>
      <c r="V8979" s="123"/>
      <c r="W8979" s="125"/>
      <c r="X8979" s="142" t="s">
        <v>26034</v>
      </c>
      <c r="Y8979" s="143"/>
      <c r="Z8979" s="143"/>
      <c r="AA8979" s="143"/>
      <c r="AB8979" s="144"/>
      <c r="AC8979" s="16" t="s">
        <v>21</v>
      </c>
      <c r="AD8979" s="17" t="s">
        <v>2730</v>
      </c>
      <c r="AE8979" s="145" t="s">
        <v>2441</v>
      </c>
      <c r="AF8979" s="146"/>
      <c r="AG8979" s="146"/>
      <c r="AH8979" s="146"/>
      <c r="AI8979" s="147"/>
      <c r="AJ8979" s="148"/>
      <c r="AK8979" s="143"/>
      <c r="AL8979" s="144"/>
      <c r="AM8979" s="22"/>
      <c r="AN8979" s="149"/>
      <c r="AO8979" s="144"/>
      <c r="AP8979" s="148"/>
      <c r="AQ8979" s="144"/>
      <c r="AR8979" s="120"/>
      <c r="AS8979" s="121"/>
      <c r="AT8979" s="120"/>
      <c r="AU8979" s="121"/>
      <c r="AV8979" s="120"/>
      <c r="AW8979" s="121"/>
      <c r="AX8979" s="120"/>
      <c r="AY8979" s="121"/>
      <c r="AZ8979" s="138"/>
    </row>
    <row r="8980" spans="1:52" ht="17.100000000000001" customHeight="1" thickTop="1">
      <c r="A8980" s="109" t="s">
        <v>25692</v>
      </c>
      <c r="B8980" s="28">
        <v>46156</v>
      </c>
      <c r="C8980" s="25">
        <v>2157</v>
      </c>
      <c r="D8980" s="13" t="s">
        <v>2359</v>
      </c>
      <c r="E8980" s="111"/>
      <c r="F8980" s="113" t="s">
        <v>4603</v>
      </c>
      <c r="G8980" s="114"/>
      <c r="H8980" s="115"/>
      <c r="I8980" s="24" t="s">
        <v>25882</v>
      </c>
      <c r="J8980" s="116">
        <v>4</v>
      </c>
      <c r="K8980" s="118">
        <v>931000</v>
      </c>
      <c r="L8980" s="119"/>
      <c r="M8980" s="118">
        <f t="shared" ref="M8980" si="13851">K8980*0.1</f>
        <v>93100</v>
      </c>
      <c r="N8980" s="119"/>
      <c r="O8980" s="118">
        <v>0</v>
      </c>
      <c r="P8980" s="119"/>
      <c r="Q8980" s="118">
        <v>8640</v>
      </c>
      <c r="R8980" s="119"/>
      <c r="S8980" s="118">
        <v>14300</v>
      </c>
      <c r="T8980" s="119"/>
      <c r="U8980" s="118">
        <f t="shared" ref="U8980" si="13852">SUM(K8980:T8981)</f>
        <v>1047040</v>
      </c>
      <c r="V8980" s="122"/>
      <c r="W8980" s="124"/>
      <c r="X8980" s="126" t="s">
        <v>25883</v>
      </c>
      <c r="Y8980" s="127"/>
      <c r="Z8980" s="127"/>
      <c r="AA8980" s="127"/>
      <c r="AB8980" s="128"/>
      <c r="AC8980" s="15" t="s">
        <v>20</v>
      </c>
      <c r="AD8980" s="129" t="s">
        <v>2198</v>
      </c>
      <c r="AE8980" s="130"/>
      <c r="AF8980" s="130"/>
      <c r="AG8980" s="130"/>
      <c r="AH8980" s="130"/>
      <c r="AI8980" s="131"/>
      <c r="AJ8980" s="132"/>
      <c r="AK8980" s="127"/>
      <c r="AL8980" s="128"/>
      <c r="AM8980" s="21"/>
      <c r="AN8980" s="133"/>
      <c r="AO8980" s="134"/>
      <c r="AP8980" s="135"/>
      <c r="AQ8980" s="136"/>
      <c r="AR8980" s="118"/>
      <c r="AS8980" s="119"/>
      <c r="AT8980" s="118">
        <f t="shared" ref="AT8980" si="13853">AR8980*0.1</f>
        <v>0</v>
      </c>
      <c r="AU8980" s="119"/>
      <c r="AV8980" s="118"/>
      <c r="AW8980" s="119"/>
      <c r="AX8980" s="118">
        <f t="shared" ref="AX8980" si="13854">SUM(AR8980:AW8980)</f>
        <v>0</v>
      </c>
      <c r="AY8980" s="119"/>
      <c r="AZ8980" s="137"/>
    </row>
    <row r="8981" spans="1:52" ht="17.100000000000001" customHeight="1" thickBot="1">
      <c r="A8981" s="110"/>
      <c r="B8981" s="27" t="s">
        <v>25709</v>
      </c>
      <c r="C8981" s="27">
        <v>2163</v>
      </c>
      <c r="D8981" s="14" t="s">
        <v>3793</v>
      </c>
      <c r="E8981" s="112"/>
      <c r="F8981" s="139" t="s">
        <v>25711</v>
      </c>
      <c r="G8981" s="140"/>
      <c r="H8981" s="141"/>
      <c r="I8981" s="26">
        <v>20096</v>
      </c>
      <c r="J8981" s="117"/>
      <c r="K8981" s="120"/>
      <c r="L8981" s="121"/>
      <c r="M8981" s="120"/>
      <c r="N8981" s="121"/>
      <c r="O8981" s="120"/>
      <c r="P8981" s="121"/>
      <c r="Q8981" s="120"/>
      <c r="R8981" s="121"/>
      <c r="S8981" s="120"/>
      <c r="T8981" s="121"/>
      <c r="U8981" s="120"/>
      <c r="V8981" s="123"/>
      <c r="W8981" s="125"/>
      <c r="X8981" s="142" t="s">
        <v>26032</v>
      </c>
      <c r="Y8981" s="143"/>
      <c r="Z8981" s="143"/>
      <c r="AA8981" s="143"/>
      <c r="AB8981" s="144"/>
      <c r="AC8981" s="16" t="s">
        <v>21</v>
      </c>
      <c r="AD8981" s="17" t="s">
        <v>1976</v>
      </c>
      <c r="AE8981" s="145" t="s">
        <v>26033</v>
      </c>
      <c r="AF8981" s="146"/>
      <c r="AG8981" s="146"/>
      <c r="AH8981" s="146"/>
      <c r="AI8981" s="147"/>
      <c r="AJ8981" s="148"/>
      <c r="AK8981" s="143"/>
      <c r="AL8981" s="144"/>
      <c r="AM8981" s="22"/>
      <c r="AN8981" s="149"/>
      <c r="AO8981" s="144"/>
      <c r="AP8981" s="148"/>
      <c r="AQ8981" s="144"/>
      <c r="AR8981" s="120"/>
      <c r="AS8981" s="121"/>
      <c r="AT8981" s="120"/>
      <c r="AU8981" s="121"/>
      <c r="AV8981" s="120"/>
      <c r="AW8981" s="121"/>
      <c r="AX8981" s="120"/>
      <c r="AY8981" s="121"/>
      <c r="AZ8981" s="138"/>
    </row>
    <row r="8982" spans="1:52" ht="17.100000000000001" customHeight="1" thickTop="1">
      <c r="A8982" s="109" t="s">
        <v>25693</v>
      </c>
      <c r="B8982" s="28">
        <v>46156</v>
      </c>
      <c r="C8982" s="25">
        <v>2157</v>
      </c>
      <c r="D8982" s="13" t="s">
        <v>2100</v>
      </c>
      <c r="E8982" s="111"/>
      <c r="F8982" s="113" t="s">
        <v>25884</v>
      </c>
      <c r="G8982" s="114"/>
      <c r="H8982" s="115"/>
      <c r="I8982" s="24"/>
      <c r="J8982" s="116">
        <v>4</v>
      </c>
      <c r="K8982" s="118">
        <v>525000</v>
      </c>
      <c r="L8982" s="119"/>
      <c r="M8982" s="118">
        <f t="shared" ref="M8982" si="13855">K8982*0.1</f>
        <v>52500</v>
      </c>
      <c r="N8982" s="119"/>
      <c r="O8982" s="118">
        <v>0</v>
      </c>
      <c r="P8982" s="119"/>
      <c r="Q8982" s="118">
        <v>5870</v>
      </c>
      <c r="R8982" s="119"/>
      <c r="S8982" s="118">
        <v>14300</v>
      </c>
      <c r="T8982" s="119"/>
      <c r="U8982" s="118">
        <f t="shared" ref="U8982" si="13856">SUM(K8982:T8983)</f>
        <v>597670</v>
      </c>
      <c r="V8982" s="122"/>
      <c r="W8982" s="124"/>
      <c r="X8982" s="126"/>
      <c r="Y8982" s="127"/>
      <c r="Z8982" s="127"/>
      <c r="AA8982" s="127"/>
      <c r="AB8982" s="128"/>
      <c r="AC8982" s="15" t="s">
        <v>20</v>
      </c>
      <c r="AD8982" s="129" t="s">
        <v>25885</v>
      </c>
      <c r="AE8982" s="130"/>
      <c r="AF8982" s="130"/>
      <c r="AG8982" s="130"/>
      <c r="AH8982" s="130"/>
      <c r="AI8982" s="131"/>
      <c r="AJ8982" s="132"/>
      <c r="AK8982" s="127"/>
      <c r="AL8982" s="128"/>
      <c r="AM8982" s="21"/>
      <c r="AN8982" s="133"/>
      <c r="AO8982" s="134"/>
      <c r="AP8982" s="135"/>
      <c r="AQ8982" s="136"/>
      <c r="AR8982" s="118"/>
      <c r="AS8982" s="119"/>
      <c r="AT8982" s="118">
        <f t="shared" ref="AT8982" si="13857">AR8982*0.1</f>
        <v>0</v>
      </c>
      <c r="AU8982" s="119"/>
      <c r="AV8982" s="118"/>
      <c r="AW8982" s="119"/>
      <c r="AX8982" s="118">
        <f t="shared" ref="AX8982" si="13858">SUM(AR8982:AW8982)</f>
        <v>0</v>
      </c>
      <c r="AY8982" s="119"/>
      <c r="AZ8982" s="137"/>
    </row>
    <row r="8983" spans="1:52" ht="17.100000000000001" customHeight="1" thickBot="1">
      <c r="A8983" s="110"/>
      <c r="B8983" s="27" t="s">
        <v>25709</v>
      </c>
      <c r="C8983" s="27">
        <v>2502</v>
      </c>
      <c r="D8983" s="14" t="s">
        <v>1720</v>
      </c>
      <c r="E8983" s="112"/>
      <c r="F8983" s="139" t="s">
        <v>25712</v>
      </c>
      <c r="G8983" s="140"/>
      <c r="H8983" s="141"/>
      <c r="I8983" s="26">
        <v>50482</v>
      </c>
      <c r="J8983" s="117"/>
      <c r="K8983" s="120"/>
      <c r="L8983" s="121"/>
      <c r="M8983" s="120"/>
      <c r="N8983" s="121"/>
      <c r="O8983" s="120"/>
      <c r="P8983" s="121"/>
      <c r="Q8983" s="120"/>
      <c r="R8983" s="121"/>
      <c r="S8983" s="120"/>
      <c r="T8983" s="121"/>
      <c r="U8983" s="120"/>
      <c r="V8983" s="123"/>
      <c r="W8983" s="125"/>
      <c r="X8983" s="142"/>
      <c r="Y8983" s="143"/>
      <c r="Z8983" s="143"/>
      <c r="AA8983" s="143"/>
      <c r="AB8983" s="144"/>
      <c r="AC8983" s="16" t="s">
        <v>21</v>
      </c>
      <c r="AD8983" s="17"/>
      <c r="AE8983" s="145"/>
      <c r="AF8983" s="146"/>
      <c r="AG8983" s="146"/>
      <c r="AH8983" s="146"/>
      <c r="AI8983" s="147"/>
      <c r="AJ8983" s="148"/>
      <c r="AK8983" s="143"/>
      <c r="AL8983" s="144"/>
      <c r="AM8983" s="22"/>
      <c r="AN8983" s="149"/>
      <c r="AO8983" s="144"/>
      <c r="AP8983" s="148"/>
      <c r="AQ8983" s="144"/>
      <c r="AR8983" s="120"/>
      <c r="AS8983" s="121"/>
      <c r="AT8983" s="120"/>
      <c r="AU8983" s="121"/>
      <c r="AV8983" s="120"/>
      <c r="AW8983" s="121"/>
      <c r="AX8983" s="120"/>
      <c r="AY8983" s="121"/>
      <c r="AZ8983" s="138"/>
    </row>
    <row r="8984" spans="1:52" ht="17.100000000000001" customHeight="1" thickTop="1">
      <c r="A8984" s="109" t="s">
        <v>25694</v>
      </c>
      <c r="B8984" s="28">
        <v>46156</v>
      </c>
      <c r="C8984" s="25">
        <v>2157</v>
      </c>
      <c r="D8984" s="13" t="s">
        <v>3386</v>
      </c>
      <c r="E8984" s="111"/>
      <c r="F8984" s="113" t="s">
        <v>15215</v>
      </c>
      <c r="G8984" s="114"/>
      <c r="H8984" s="115"/>
      <c r="I8984" s="24" t="s">
        <v>4951</v>
      </c>
      <c r="J8984" s="116">
        <v>3.5</v>
      </c>
      <c r="K8984" s="118">
        <v>977000</v>
      </c>
      <c r="L8984" s="119"/>
      <c r="M8984" s="118">
        <f t="shared" ref="M8984" si="13859">K8984*0.1</f>
        <v>97700</v>
      </c>
      <c r="N8984" s="119"/>
      <c r="O8984" s="118">
        <v>0</v>
      </c>
      <c r="P8984" s="119"/>
      <c r="Q8984" s="118">
        <v>6830</v>
      </c>
      <c r="R8984" s="119"/>
      <c r="S8984" s="118">
        <v>14300</v>
      </c>
      <c r="T8984" s="119"/>
      <c r="U8984" s="118">
        <f t="shared" ref="U8984" si="13860">SUM(K8984:T8985)</f>
        <v>1095830</v>
      </c>
      <c r="V8984" s="122"/>
      <c r="W8984" s="124"/>
      <c r="X8984" s="126"/>
      <c r="Y8984" s="127"/>
      <c r="Z8984" s="127"/>
      <c r="AA8984" s="127"/>
      <c r="AB8984" s="128"/>
      <c r="AC8984" s="15" t="s">
        <v>20</v>
      </c>
      <c r="AD8984" s="129"/>
      <c r="AE8984" s="130"/>
      <c r="AF8984" s="130"/>
      <c r="AG8984" s="130"/>
      <c r="AH8984" s="130"/>
      <c r="AI8984" s="131"/>
      <c r="AJ8984" s="132"/>
      <c r="AK8984" s="127"/>
      <c r="AL8984" s="128"/>
      <c r="AM8984" s="21"/>
      <c r="AN8984" s="133"/>
      <c r="AO8984" s="134"/>
      <c r="AP8984" s="135"/>
      <c r="AQ8984" s="136"/>
      <c r="AR8984" s="118"/>
      <c r="AS8984" s="119"/>
      <c r="AT8984" s="118">
        <f t="shared" ref="AT8984" si="13861">AR8984*0.1</f>
        <v>0</v>
      </c>
      <c r="AU8984" s="119"/>
      <c r="AV8984" s="118"/>
      <c r="AW8984" s="119"/>
      <c r="AX8984" s="118">
        <f t="shared" ref="AX8984" si="13862">SUM(AR8984:AW8984)</f>
        <v>0</v>
      </c>
      <c r="AY8984" s="119"/>
      <c r="AZ8984" s="137"/>
    </row>
    <row r="8985" spans="1:52" ht="17.100000000000001" customHeight="1" thickBot="1">
      <c r="A8985" s="110"/>
      <c r="B8985" s="27" t="s">
        <v>25709</v>
      </c>
      <c r="C8985" s="27">
        <v>2546</v>
      </c>
      <c r="D8985" s="14" t="s">
        <v>2206</v>
      </c>
      <c r="E8985" s="112"/>
      <c r="F8985" s="139" t="s">
        <v>25713</v>
      </c>
      <c r="G8985" s="140"/>
      <c r="H8985" s="141"/>
      <c r="I8985" s="26">
        <v>26649</v>
      </c>
      <c r="J8985" s="117"/>
      <c r="K8985" s="120"/>
      <c r="L8985" s="121"/>
      <c r="M8985" s="120"/>
      <c r="N8985" s="121"/>
      <c r="O8985" s="120"/>
      <c r="P8985" s="121"/>
      <c r="Q8985" s="120"/>
      <c r="R8985" s="121"/>
      <c r="S8985" s="120"/>
      <c r="T8985" s="121"/>
      <c r="U8985" s="120"/>
      <c r="V8985" s="123"/>
      <c r="W8985" s="125"/>
      <c r="X8985" s="142"/>
      <c r="Y8985" s="143"/>
      <c r="Z8985" s="143"/>
      <c r="AA8985" s="143"/>
      <c r="AB8985" s="144"/>
      <c r="AC8985" s="16" t="s">
        <v>21</v>
      </c>
      <c r="AD8985" s="17"/>
      <c r="AE8985" s="145"/>
      <c r="AF8985" s="146"/>
      <c r="AG8985" s="146"/>
      <c r="AH8985" s="146"/>
      <c r="AI8985" s="147"/>
      <c r="AJ8985" s="148"/>
      <c r="AK8985" s="143"/>
      <c r="AL8985" s="144"/>
      <c r="AM8985" s="22"/>
      <c r="AN8985" s="149"/>
      <c r="AO8985" s="144"/>
      <c r="AP8985" s="148"/>
      <c r="AQ8985" s="144"/>
      <c r="AR8985" s="120"/>
      <c r="AS8985" s="121"/>
      <c r="AT8985" s="120"/>
      <c r="AU8985" s="121"/>
      <c r="AV8985" s="120"/>
      <c r="AW8985" s="121"/>
      <c r="AX8985" s="120"/>
      <c r="AY8985" s="121"/>
      <c r="AZ8985" s="138"/>
    </row>
    <row r="8986" spans="1:52" ht="17.100000000000001" customHeight="1" thickTop="1">
      <c r="A8986" s="109" t="s">
        <v>25695</v>
      </c>
      <c r="B8986" s="28">
        <v>46156</v>
      </c>
      <c r="C8986" s="25">
        <v>2157</v>
      </c>
      <c r="D8986" s="13" t="s">
        <v>3322</v>
      </c>
      <c r="E8986" s="111"/>
      <c r="F8986" s="113" t="s">
        <v>25886</v>
      </c>
      <c r="G8986" s="114"/>
      <c r="H8986" s="115"/>
      <c r="I8986" s="24" t="s">
        <v>4390</v>
      </c>
      <c r="J8986" s="116">
        <v>4</v>
      </c>
      <c r="K8986" s="118">
        <v>883000</v>
      </c>
      <c r="L8986" s="119"/>
      <c r="M8986" s="118">
        <f t="shared" ref="M8986" si="13863">K8986*0.1</f>
        <v>88300</v>
      </c>
      <c r="N8986" s="119"/>
      <c r="O8986" s="118">
        <v>0</v>
      </c>
      <c r="P8986" s="119"/>
      <c r="Q8986" s="118">
        <v>8790</v>
      </c>
      <c r="R8986" s="119"/>
      <c r="S8986" s="118">
        <v>14300</v>
      </c>
      <c r="T8986" s="119"/>
      <c r="U8986" s="118">
        <f t="shared" ref="U8986" si="13864">SUM(K8986:T8987)</f>
        <v>994390</v>
      </c>
      <c r="V8986" s="122"/>
      <c r="W8986" s="124"/>
      <c r="X8986" s="126"/>
      <c r="Y8986" s="127"/>
      <c r="Z8986" s="127"/>
      <c r="AA8986" s="127"/>
      <c r="AB8986" s="128"/>
      <c r="AC8986" s="15" t="s">
        <v>20</v>
      </c>
      <c r="AD8986" s="129" t="s">
        <v>1690</v>
      </c>
      <c r="AE8986" s="130"/>
      <c r="AF8986" s="130"/>
      <c r="AG8986" s="130"/>
      <c r="AH8986" s="130"/>
      <c r="AI8986" s="131"/>
      <c r="AJ8986" s="132"/>
      <c r="AK8986" s="127"/>
      <c r="AL8986" s="128"/>
      <c r="AM8986" s="21"/>
      <c r="AN8986" s="133"/>
      <c r="AO8986" s="134"/>
      <c r="AP8986" s="135"/>
      <c r="AQ8986" s="136"/>
      <c r="AR8986" s="118"/>
      <c r="AS8986" s="119"/>
      <c r="AT8986" s="118">
        <f t="shared" ref="AT8986" si="13865">AR8986*0.1</f>
        <v>0</v>
      </c>
      <c r="AU8986" s="119"/>
      <c r="AV8986" s="118"/>
      <c r="AW8986" s="119"/>
      <c r="AX8986" s="118">
        <f t="shared" ref="AX8986" si="13866">SUM(AR8986:AW8986)</f>
        <v>0</v>
      </c>
      <c r="AY8986" s="119"/>
      <c r="AZ8986" s="137"/>
    </row>
    <row r="8987" spans="1:52" ht="17.100000000000001" customHeight="1" thickBot="1">
      <c r="A8987" s="110"/>
      <c r="B8987" s="27" t="s">
        <v>25709</v>
      </c>
      <c r="C8987" s="27">
        <v>2569</v>
      </c>
      <c r="D8987" s="14" t="s">
        <v>3855</v>
      </c>
      <c r="E8987" s="112"/>
      <c r="F8987" s="139" t="s">
        <v>25714</v>
      </c>
      <c r="G8987" s="140"/>
      <c r="H8987" s="141"/>
      <c r="I8987" s="26">
        <v>51388</v>
      </c>
      <c r="J8987" s="117"/>
      <c r="K8987" s="120"/>
      <c r="L8987" s="121"/>
      <c r="M8987" s="120"/>
      <c r="N8987" s="121"/>
      <c r="O8987" s="120"/>
      <c r="P8987" s="121"/>
      <c r="Q8987" s="120"/>
      <c r="R8987" s="121"/>
      <c r="S8987" s="120"/>
      <c r="T8987" s="121"/>
      <c r="U8987" s="120"/>
      <c r="V8987" s="123"/>
      <c r="W8987" s="125"/>
      <c r="X8987" s="142"/>
      <c r="Y8987" s="143"/>
      <c r="Z8987" s="143"/>
      <c r="AA8987" s="143"/>
      <c r="AB8987" s="144"/>
      <c r="AC8987" s="16" t="s">
        <v>21</v>
      </c>
      <c r="AD8987" s="17"/>
      <c r="AE8987" s="145"/>
      <c r="AF8987" s="146"/>
      <c r="AG8987" s="146"/>
      <c r="AH8987" s="146"/>
      <c r="AI8987" s="147"/>
      <c r="AJ8987" s="148"/>
      <c r="AK8987" s="143"/>
      <c r="AL8987" s="144"/>
      <c r="AM8987" s="22"/>
      <c r="AN8987" s="149"/>
      <c r="AO8987" s="144"/>
      <c r="AP8987" s="148"/>
      <c r="AQ8987" s="144"/>
      <c r="AR8987" s="120"/>
      <c r="AS8987" s="121"/>
      <c r="AT8987" s="120"/>
      <c r="AU8987" s="121"/>
      <c r="AV8987" s="120"/>
      <c r="AW8987" s="121"/>
      <c r="AX8987" s="120"/>
      <c r="AY8987" s="121"/>
      <c r="AZ8987" s="138"/>
    </row>
    <row r="8988" spans="1:52" ht="17.100000000000001" customHeight="1" thickTop="1">
      <c r="A8988" s="109" t="s">
        <v>25696</v>
      </c>
      <c r="B8988" s="28">
        <v>46156</v>
      </c>
      <c r="C8988" s="25">
        <v>2157</v>
      </c>
      <c r="D8988" s="13" t="s">
        <v>2508</v>
      </c>
      <c r="E8988" s="111"/>
      <c r="F8988" s="113" t="s">
        <v>5217</v>
      </c>
      <c r="G8988" s="114"/>
      <c r="H8988" s="115"/>
      <c r="I8988" s="24" t="s">
        <v>19772</v>
      </c>
      <c r="J8988" s="116">
        <v>4.5</v>
      </c>
      <c r="K8988" s="118">
        <v>2942000</v>
      </c>
      <c r="L8988" s="119"/>
      <c r="M8988" s="118">
        <f t="shared" ref="M8988" si="13867">K8988*0.1</f>
        <v>294200</v>
      </c>
      <c r="N8988" s="119"/>
      <c r="O8988" s="118">
        <v>30000</v>
      </c>
      <c r="P8988" s="119"/>
      <c r="Q8988" s="118">
        <v>12250</v>
      </c>
      <c r="R8988" s="119"/>
      <c r="S8988" s="118">
        <v>14300</v>
      </c>
      <c r="T8988" s="119"/>
      <c r="U8988" s="118">
        <f t="shared" ref="U8988" si="13868">SUM(K8988:T8989)</f>
        <v>3292750</v>
      </c>
      <c r="V8988" s="122"/>
      <c r="W8988" s="124"/>
      <c r="X8988" s="126" t="s">
        <v>25887</v>
      </c>
      <c r="Y8988" s="127"/>
      <c r="Z8988" s="127"/>
      <c r="AA8988" s="127"/>
      <c r="AB8988" s="128"/>
      <c r="AC8988" s="15" t="s">
        <v>20</v>
      </c>
      <c r="AD8988" s="129" t="s">
        <v>3412</v>
      </c>
      <c r="AE8988" s="130"/>
      <c r="AF8988" s="130"/>
      <c r="AG8988" s="130"/>
      <c r="AH8988" s="130"/>
      <c r="AI8988" s="131"/>
      <c r="AJ8988" s="132"/>
      <c r="AK8988" s="127"/>
      <c r="AL8988" s="128"/>
      <c r="AM8988" s="21"/>
      <c r="AN8988" s="133"/>
      <c r="AO8988" s="134"/>
      <c r="AP8988" s="135"/>
      <c r="AQ8988" s="136"/>
      <c r="AR8988" s="118"/>
      <c r="AS8988" s="119"/>
      <c r="AT8988" s="118">
        <f t="shared" ref="AT8988" si="13869">AR8988*0.1</f>
        <v>0</v>
      </c>
      <c r="AU8988" s="119"/>
      <c r="AV8988" s="118"/>
      <c r="AW8988" s="119"/>
      <c r="AX8988" s="118">
        <f t="shared" ref="AX8988" si="13870">SUM(AR8988:AW8988)</f>
        <v>0</v>
      </c>
      <c r="AY8988" s="119"/>
      <c r="AZ8988" s="137"/>
    </row>
    <row r="8989" spans="1:52" ht="17.100000000000001" customHeight="1" thickBot="1">
      <c r="A8989" s="110"/>
      <c r="B8989" s="27" t="s">
        <v>25709</v>
      </c>
      <c r="C8989" s="27">
        <v>4047</v>
      </c>
      <c r="D8989" s="14" t="s">
        <v>275</v>
      </c>
      <c r="E8989" s="112"/>
      <c r="F8989" s="139" t="s">
        <v>25715</v>
      </c>
      <c r="G8989" s="140"/>
      <c r="H8989" s="141"/>
      <c r="I8989" s="26">
        <v>30081</v>
      </c>
      <c r="J8989" s="117"/>
      <c r="K8989" s="120"/>
      <c r="L8989" s="121"/>
      <c r="M8989" s="120"/>
      <c r="N8989" s="121"/>
      <c r="O8989" s="120"/>
      <c r="P8989" s="121"/>
      <c r="Q8989" s="120"/>
      <c r="R8989" s="121"/>
      <c r="S8989" s="120"/>
      <c r="T8989" s="121"/>
      <c r="U8989" s="120"/>
      <c r="V8989" s="123"/>
      <c r="W8989" s="125"/>
      <c r="X8989" s="142"/>
      <c r="Y8989" s="143"/>
      <c r="Z8989" s="143"/>
      <c r="AA8989" s="143"/>
      <c r="AB8989" s="144"/>
      <c r="AC8989" s="16" t="s">
        <v>21</v>
      </c>
      <c r="AD8989" s="17"/>
      <c r="AE8989" s="145"/>
      <c r="AF8989" s="146"/>
      <c r="AG8989" s="146"/>
      <c r="AH8989" s="146"/>
      <c r="AI8989" s="147"/>
      <c r="AJ8989" s="148"/>
      <c r="AK8989" s="143"/>
      <c r="AL8989" s="144"/>
      <c r="AM8989" s="22"/>
      <c r="AN8989" s="149"/>
      <c r="AO8989" s="144"/>
      <c r="AP8989" s="148"/>
      <c r="AQ8989" s="144"/>
      <c r="AR8989" s="120"/>
      <c r="AS8989" s="121"/>
      <c r="AT8989" s="120"/>
      <c r="AU8989" s="121"/>
      <c r="AV8989" s="120"/>
      <c r="AW8989" s="121"/>
      <c r="AX8989" s="120"/>
      <c r="AY8989" s="121"/>
      <c r="AZ8989" s="138"/>
    </row>
    <row r="8990" spans="1:52" ht="17.100000000000001" customHeight="1" thickTop="1">
      <c r="A8990" s="109" t="s">
        <v>25697</v>
      </c>
      <c r="B8990" s="28">
        <v>46156</v>
      </c>
      <c r="C8990" s="25">
        <v>2157</v>
      </c>
      <c r="D8990" s="13" t="s">
        <v>1631</v>
      </c>
      <c r="E8990" s="111"/>
      <c r="F8990" s="113" t="s">
        <v>25888</v>
      </c>
      <c r="G8990" s="114"/>
      <c r="H8990" s="115"/>
      <c r="I8990" s="24"/>
      <c r="J8990" s="116">
        <v>4.5</v>
      </c>
      <c r="K8990" s="118">
        <v>2686000</v>
      </c>
      <c r="L8990" s="119"/>
      <c r="M8990" s="118">
        <f t="shared" ref="M8990" si="13871">K8990*0.1</f>
        <v>268600</v>
      </c>
      <c r="N8990" s="119"/>
      <c r="O8990" s="118">
        <v>0</v>
      </c>
      <c r="P8990" s="119"/>
      <c r="Q8990" s="118">
        <v>10250</v>
      </c>
      <c r="R8990" s="119"/>
      <c r="S8990" s="118">
        <v>14300</v>
      </c>
      <c r="T8990" s="119"/>
      <c r="U8990" s="118">
        <f t="shared" ref="U8990" si="13872">SUM(K8990:T8991)</f>
        <v>2979150</v>
      </c>
      <c r="V8990" s="122"/>
      <c r="W8990" s="124"/>
      <c r="X8990" s="126" t="s">
        <v>26031</v>
      </c>
      <c r="Y8990" s="127"/>
      <c r="Z8990" s="127"/>
      <c r="AA8990" s="127"/>
      <c r="AB8990" s="128"/>
      <c r="AC8990" s="15" t="s">
        <v>20</v>
      </c>
      <c r="AD8990" s="129" t="s">
        <v>25889</v>
      </c>
      <c r="AE8990" s="130"/>
      <c r="AF8990" s="130"/>
      <c r="AG8990" s="130"/>
      <c r="AH8990" s="130"/>
      <c r="AI8990" s="131"/>
      <c r="AJ8990" s="132"/>
      <c r="AK8990" s="127"/>
      <c r="AL8990" s="128"/>
      <c r="AM8990" s="21"/>
      <c r="AN8990" s="133"/>
      <c r="AO8990" s="134"/>
      <c r="AP8990" s="135"/>
      <c r="AQ8990" s="136"/>
      <c r="AR8990" s="118"/>
      <c r="AS8990" s="119"/>
      <c r="AT8990" s="118">
        <f t="shared" ref="AT8990" si="13873">AR8990*0.1</f>
        <v>0</v>
      </c>
      <c r="AU8990" s="119"/>
      <c r="AV8990" s="118"/>
      <c r="AW8990" s="119"/>
      <c r="AX8990" s="118">
        <f t="shared" ref="AX8990" si="13874">SUM(AR8990:AW8990)</f>
        <v>0</v>
      </c>
      <c r="AY8990" s="119"/>
      <c r="AZ8990" s="137"/>
    </row>
    <row r="8991" spans="1:52" ht="17.100000000000001" customHeight="1" thickBot="1">
      <c r="A8991" s="110"/>
      <c r="B8991" s="27" t="s">
        <v>25709</v>
      </c>
      <c r="C8991" s="27">
        <v>4076</v>
      </c>
      <c r="D8991" s="14" t="s">
        <v>904</v>
      </c>
      <c r="E8991" s="112"/>
      <c r="F8991" s="139" t="s">
        <v>25716</v>
      </c>
      <c r="G8991" s="140"/>
      <c r="H8991" s="141"/>
      <c r="I8991" s="26">
        <v>39406</v>
      </c>
      <c r="J8991" s="117"/>
      <c r="K8991" s="120"/>
      <c r="L8991" s="121"/>
      <c r="M8991" s="120"/>
      <c r="N8991" s="121"/>
      <c r="O8991" s="120"/>
      <c r="P8991" s="121"/>
      <c r="Q8991" s="120"/>
      <c r="R8991" s="121"/>
      <c r="S8991" s="120"/>
      <c r="T8991" s="121"/>
      <c r="U8991" s="120"/>
      <c r="V8991" s="123"/>
      <c r="W8991" s="125"/>
      <c r="X8991" s="142" t="s">
        <v>11808</v>
      </c>
      <c r="Y8991" s="143"/>
      <c r="Z8991" s="143"/>
      <c r="AA8991" s="143"/>
      <c r="AB8991" s="144"/>
      <c r="AC8991" s="16" t="s">
        <v>21</v>
      </c>
      <c r="AD8991" s="17" t="s">
        <v>1976</v>
      </c>
      <c r="AE8991" s="145" t="s">
        <v>26030</v>
      </c>
      <c r="AF8991" s="146"/>
      <c r="AG8991" s="146"/>
      <c r="AH8991" s="146"/>
      <c r="AI8991" s="147"/>
      <c r="AJ8991" s="148"/>
      <c r="AK8991" s="143"/>
      <c r="AL8991" s="144"/>
      <c r="AM8991" s="22"/>
      <c r="AN8991" s="149"/>
      <c r="AO8991" s="144"/>
      <c r="AP8991" s="148"/>
      <c r="AQ8991" s="144"/>
      <c r="AR8991" s="120"/>
      <c r="AS8991" s="121"/>
      <c r="AT8991" s="120"/>
      <c r="AU8991" s="121"/>
      <c r="AV8991" s="120"/>
      <c r="AW8991" s="121"/>
      <c r="AX8991" s="120"/>
      <c r="AY8991" s="121"/>
      <c r="AZ8991" s="138"/>
    </row>
    <row r="8992" spans="1:52" ht="17.100000000000001" customHeight="1" thickTop="1">
      <c r="A8992" s="109" t="s">
        <v>25698</v>
      </c>
      <c r="B8992" s="28">
        <v>46156</v>
      </c>
      <c r="C8992" s="25">
        <v>2157</v>
      </c>
      <c r="D8992" s="13" t="s">
        <v>1572</v>
      </c>
      <c r="E8992" s="111"/>
      <c r="F8992" s="113" t="s">
        <v>5123</v>
      </c>
      <c r="G8992" s="114"/>
      <c r="H8992" s="115"/>
      <c r="I8992" s="24" t="s">
        <v>23015</v>
      </c>
      <c r="J8992" s="150" t="s">
        <v>1715</v>
      </c>
      <c r="K8992" s="118">
        <v>1154000</v>
      </c>
      <c r="L8992" s="119"/>
      <c r="M8992" s="118">
        <f t="shared" ref="M8992" si="13875">K8992*0.1</f>
        <v>115400</v>
      </c>
      <c r="N8992" s="119"/>
      <c r="O8992" s="118">
        <v>37500</v>
      </c>
      <c r="P8992" s="119"/>
      <c r="Q8992" s="118">
        <v>16550</v>
      </c>
      <c r="R8992" s="119"/>
      <c r="S8992" s="118">
        <v>14300</v>
      </c>
      <c r="T8992" s="119"/>
      <c r="U8992" s="118">
        <f t="shared" ref="U8992" si="13876">SUM(K8992:T8993)</f>
        <v>1337750</v>
      </c>
      <c r="V8992" s="122"/>
      <c r="W8992" s="124"/>
      <c r="X8992" s="126" t="s">
        <v>25890</v>
      </c>
      <c r="Y8992" s="127"/>
      <c r="Z8992" s="127"/>
      <c r="AA8992" s="127"/>
      <c r="AB8992" s="128"/>
      <c r="AC8992" s="15" t="s">
        <v>20</v>
      </c>
      <c r="AD8992" s="129" t="s">
        <v>1633</v>
      </c>
      <c r="AE8992" s="130"/>
      <c r="AF8992" s="130"/>
      <c r="AG8992" s="130"/>
      <c r="AH8992" s="130"/>
      <c r="AI8992" s="131"/>
      <c r="AJ8992" s="132"/>
      <c r="AK8992" s="127"/>
      <c r="AL8992" s="128"/>
      <c r="AM8992" s="21"/>
      <c r="AN8992" s="133"/>
      <c r="AO8992" s="134"/>
      <c r="AP8992" s="135"/>
      <c r="AQ8992" s="136"/>
      <c r="AR8992" s="118"/>
      <c r="AS8992" s="119"/>
      <c r="AT8992" s="118">
        <f t="shared" ref="AT8992" si="13877">AR8992*0.1</f>
        <v>0</v>
      </c>
      <c r="AU8992" s="119"/>
      <c r="AV8992" s="118"/>
      <c r="AW8992" s="119"/>
      <c r="AX8992" s="118">
        <f t="shared" ref="AX8992" si="13878">SUM(AR8992:AW8992)</f>
        <v>0</v>
      </c>
      <c r="AY8992" s="119"/>
      <c r="AZ8992" s="137"/>
    </row>
    <row r="8993" spans="1:52" ht="17.100000000000001" customHeight="1" thickBot="1">
      <c r="A8993" s="110"/>
      <c r="B8993" s="27" t="s">
        <v>25709</v>
      </c>
      <c r="C8993" s="27">
        <v>4168</v>
      </c>
      <c r="D8993" s="14" t="s">
        <v>275</v>
      </c>
      <c r="E8993" s="112"/>
      <c r="F8993" s="139" t="s">
        <v>25717</v>
      </c>
      <c r="G8993" s="140"/>
      <c r="H8993" s="141"/>
      <c r="I8993" s="26">
        <v>117517</v>
      </c>
      <c r="J8993" s="117"/>
      <c r="K8993" s="120"/>
      <c r="L8993" s="121"/>
      <c r="M8993" s="120"/>
      <c r="N8993" s="121"/>
      <c r="O8993" s="120"/>
      <c r="P8993" s="121"/>
      <c r="Q8993" s="120"/>
      <c r="R8993" s="121"/>
      <c r="S8993" s="120"/>
      <c r="T8993" s="121"/>
      <c r="U8993" s="120"/>
      <c r="V8993" s="123"/>
      <c r="W8993" s="125"/>
      <c r="X8993" s="142" t="s">
        <v>26029</v>
      </c>
      <c r="Y8993" s="143"/>
      <c r="Z8993" s="143"/>
      <c r="AA8993" s="143"/>
      <c r="AB8993" s="144"/>
      <c r="AC8993" s="16" t="s">
        <v>21</v>
      </c>
      <c r="AD8993" s="17" t="s">
        <v>1976</v>
      </c>
      <c r="AE8993" s="145" t="s">
        <v>1658</v>
      </c>
      <c r="AF8993" s="146"/>
      <c r="AG8993" s="146"/>
      <c r="AH8993" s="146"/>
      <c r="AI8993" s="147"/>
      <c r="AJ8993" s="148"/>
      <c r="AK8993" s="143"/>
      <c r="AL8993" s="144"/>
      <c r="AM8993" s="22"/>
      <c r="AN8993" s="149"/>
      <c r="AO8993" s="144"/>
      <c r="AP8993" s="148"/>
      <c r="AQ8993" s="144"/>
      <c r="AR8993" s="120"/>
      <c r="AS8993" s="121"/>
      <c r="AT8993" s="120"/>
      <c r="AU8993" s="121"/>
      <c r="AV8993" s="120"/>
      <c r="AW8993" s="121"/>
      <c r="AX8993" s="120"/>
      <c r="AY8993" s="121"/>
      <c r="AZ8993" s="138"/>
    </row>
    <row r="8994" spans="1:52" ht="17.100000000000001" customHeight="1" thickTop="1">
      <c r="A8994" s="109" t="s">
        <v>25699</v>
      </c>
      <c r="B8994" s="28">
        <v>46156</v>
      </c>
      <c r="C8994" s="25">
        <v>2157</v>
      </c>
      <c r="D8994" s="13" t="s">
        <v>2859</v>
      </c>
      <c r="E8994" s="111"/>
      <c r="F8994" s="113" t="s">
        <v>9275</v>
      </c>
      <c r="G8994" s="114"/>
      <c r="H8994" s="115"/>
      <c r="I8994" s="24"/>
      <c r="J8994" s="116">
        <v>3.5</v>
      </c>
      <c r="K8994" s="118">
        <v>2339000</v>
      </c>
      <c r="L8994" s="119"/>
      <c r="M8994" s="118">
        <f t="shared" ref="M8994" si="13879">K8994*0.1</f>
        <v>233900</v>
      </c>
      <c r="N8994" s="119"/>
      <c r="O8994" s="118">
        <v>0</v>
      </c>
      <c r="P8994" s="119"/>
      <c r="Q8994" s="118">
        <v>16550</v>
      </c>
      <c r="R8994" s="119"/>
      <c r="S8994" s="118">
        <v>14300</v>
      </c>
      <c r="T8994" s="119"/>
      <c r="U8994" s="118">
        <f t="shared" ref="U8994" si="13880">SUM(K8994:T8995)</f>
        <v>2603750</v>
      </c>
      <c r="V8994" s="122"/>
      <c r="W8994" s="124"/>
      <c r="X8994" s="126" t="s">
        <v>26028</v>
      </c>
      <c r="Y8994" s="127"/>
      <c r="Z8994" s="127"/>
      <c r="AA8994" s="127"/>
      <c r="AB8994" s="128"/>
      <c r="AC8994" s="15" t="s">
        <v>20</v>
      </c>
      <c r="AD8994" s="129"/>
      <c r="AE8994" s="130"/>
      <c r="AF8994" s="130"/>
      <c r="AG8994" s="130"/>
      <c r="AH8994" s="130"/>
      <c r="AI8994" s="131"/>
      <c r="AJ8994" s="132"/>
      <c r="AK8994" s="127"/>
      <c r="AL8994" s="128"/>
      <c r="AM8994" s="21"/>
      <c r="AN8994" s="133"/>
      <c r="AO8994" s="134"/>
      <c r="AP8994" s="135"/>
      <c r="AQ8994" s="136"/>
      <c r="AR8994" s="118"/>
      <c r="AS8994" s="119"/>
      <c r="AT8994" s="118">
        <f t="shared" ref="AT8994" si="13881">AR8994*0.1</f>
        <v>0</v>
      </c>
      <c r="AU8994" s="119"/>
      <c r="AV8994" s="118"/>
      <c r="AW8994" s="119"/>
      <c r="AX8994" s="118">
        <f t="shared" ref="AX8994" si="13882">SUM(AR8994:AW8994)</f>
        <v>0</v>
      </c>
      <c r="AY8994" s="119"/>
      <c r="AZ8994" s="137"/>
    </row>
    <row r="8995" spans="1:52" ht="17.100000000000001" customHeight="1" thickBot="1">
      <c r="A8995" s="110"/>
      <c r="B8995" s="27" t="s">
        <v>25709</v>
      </c>
      <c r="C8995" s="27">
        <v>4326</v>
      </c>
      <c r="D8995" s="14" t="s">
        <v>275</v>
      </c>
      <c r="E8995" s="112"/>
      <c r="F8995" s="139" t="s">
        <v>25718</v>
      </c>
      <c r="G8995" s="140"/>
      <c r="H8995" s="141"/>
      <c r="I8995" s="26">
        <v>89995</v>
      </c>
      <c r="J8995" s="117"/>
      <c r="K8995" s="120"/>
      <c r="L8995" s="121"/>
      <c r="M8995" s="120"/>
      <c r="N8995" s="121"/>
      <c r="O8995" s="120"/>
      <c r="P8995" s="121"/>
      <c r="Q8995" s="120"/>
      <c r="R8995" s="121"/>
      <c r="S8995" s="120"/>
      <c r="T8995" s="121"/>
      <c r="U8995" s="120"/>
      <c r="V8995" s="123"/>
      <c r="W8995" s="125"/>
      <c r="X8995" s="142" t="s">
        <v>2440</v>
      </c>
      <c r="Y8995" s="143"/>
      <c r="Z8995" s="143"/>
      <c r="AA8995" s="143"/>
      <c r="AB8995" s="144"/>
      <c r="AC8995" s="16" t="s">
        <v>21</v>
      </c>
      <c r="AD8995" s="17" t="s">
        <v>1976</v>
      </c>
      <c r="AE8995" s="145"/>
      <c r="AF8995" s="146"/>
      <c r="AG8995" s="146"/>
      <c r="AH8995" s="146"/>
      <c r="AI8995" s="147"/>
      <c r="AJ8995" s="148"/>
      <c r="AK8995" s="143"/>
      <c r="AL8995" s="144"/>
      <c r="AM8995" s="22"/>
      <c r="AN8995" s="149"/>
      <c r="AO8995" s="144"/>
      <c r="AP8995" s="148"/>
      <c r="AQ8995" s="144"/>
      <c r="AR8995" s="120"/>
      <c r="AS8995" s="121"/>
      <c r="AT8995" s="120"/>
      <c r="AU8995" s="121"/>
      <c r="AV8995" s="120"/>
      <c r="AW8995" s="121"/>
      <c r="AX8995" s="120"/>
      <c r="AY8995" s="121"/>
      <c r="AZ8995" s="138"/>
    </row>
    <row r="8996" spans="1:52" ht="17.100000000000001" customHeight="1" thickTop="1">
      <c r="A8996" s="109" t="s">
        <v>25700</v>
      </c>
      <c r="B8996" s="28">
        <v>46156</v>
      </c>
      <c r="C8996" s="25">
        <v>2157</v>
      </c>
      <c r="D8996" s="13" t="s">
        <v>1686</v>
      </c>
      <c r="E8996" s="111"/>
      <c r="F8996" s="113" t="s">
        <v>25891</v>
      </c>
      <c r="G8996" s="114"/>
      <c r="H8996" s="115"/>
      <c r="I8996" s="24"/>
      <c r="J8996" s="116">
        <v>4</v>
      </c>
      <c r="K8996" s="118">
        <v>560000</v>
      </c>
      <c r="L8996" s="119"/>
      <c r="M8996" s="118">
        <f t="shared" ref="M8996" si="13883">K8996*0.1</f>
        <v>56000</v>
      </c>
      <c r="N8996" s="119"/>
      <c r="O8996" s="118">
        <v>0</v>
      </c>
      <c r="P8996" s="119"/>
      <c r="Q8996" s="118">
        <v>9130</v>
      </c>
      <c r="R8996" s="119"/>
      <c r="S8996" s="118">
        <v>14300</v>
      </c>
      <c r="T8996" s="119"/>
      <c r="U8996" s="118">
        <f t="shared" ref="U8996" si="13884">SUM(K8996:T8997)</f>
        <v>639430</v>
      </c>
      <c r="V8996" s="122"/>
      <c r="W8996" s="124"/>
      <c r="X8996" s="126" t="s">
        <v>26027</v>
      </c>
      <c r="Y8996" s="127"/>
      <c r="Z8996" s="127"/>
      <c r="AA8996" s="127"/>
      <c r="AB8996" s="128"/>
      <c r="AC8996" s="15" t="s">
        <v>20</v>
      </c>
      <c r="AD8996" s="129"/>
      <c r="AE8996" s="130"/>
      <c r="AF8996" s="130"/>
      <c r="AG8996" s="130"/>
      <c r="AH8996" s="130"/>
      <c r="AI8996" s="131"/>
      <c r="AJ8996" s="132"/>
      <c r="AK8996" s="127"/>
      <c r="AL8996" s="128"/>
      <c r="AM8996" s="21"/>
      <c r="AN8996" s="133"/>
      <c r="AO8996" s="134"/>
      <c r="AP8996" s="135"/>
      <c r="AQ8996" s="136"/>
      <c r="AR8996" s="118"/>
      <c r="AS8996" s="119"/>
      <c r="AT8996" s="118">
        <f t="shared" ref="AT8996" si="13885">AR8996*0.1</f>
        <v>0</v>
      </c>
      <c r="AU8996" s="119"/>
      <c r="AV8996" s="118"/>
      <c r="AW8996" s="119"/>
      <c r="AX8996" s="118">
        <f t="shared" ref="AX8996" si="13886">SUM(AR8996:AW8996)</f>
        <v>0</v>
      </c>
      <c r="AY8996" s="119"/>
      <c r="AZ8996" s="137"/>
    </row>
    <row r="8997" spans="1:52" ht="17.100000000000001" customHeight="1" thickBot="1">
      <c r="A8997" s="110"/>
      <c r="B8997" s="27" t="s">
        <v>25709</v>
      </c>
      <c r="C8997" s="27">
        <v>4446</v>
      </c>
      <c r="D8997" s="14" t="s">
        <v>904</v>
      </c>
      <c r="E8997" s="112"/>
      <c r="F8997" s="139" t="s">
        <v>25719</v>
      </c>
      <c r="G8997" s="140"/>
      <c r="H8997" s="141"/>
      <c r="I8997" s="26">
        <v>52773</v>
      </c>
      <c r="J8997" s="117"/>
      <c r="K8997" s="120"/>
      <c r="L8997" s="121"/>
      <c r="M8997" s="120"/>
      <c r="N8997" s="121"/>
      <c r="O8997" s="120"/>
      <c r="P8997" s="121"/>
      <c r="Q8997" s="120"/>
      <c r="R8997" s="121"/>
      <c r="S8997" s="120"/>
      <c r="T8997" s="121"/>
      <c r="U8997" s="120"/>
      <c r="V8997" s="123"/>
      <c r="W8997" s="125"/>
      <c r="X8997" s="142" t="s">
        <v>2802</v>
      </c>
      <c r="Y8997" s="143"/>
      <c r="Z8997" s="143"/>
      <c r="AA8997" s="143"/>
      <c r="AB8997" s="144"/>
      <c r="AC8997" s="16" t="s">
        <v>21</v>
      </c>
      <c r="AD8997" s="17" t="s">
        <v>1976</v>
      </c>
      <c r="AE8997" s="145" t="s">
        <v>1670</v>
      </c>
      <c r="AF8997" s="146"/>
      <c r="AG8997" s="146"/>
      <c r="AH8997" s="146"/>
      <c r="AI8997" s="147"/>
      <c r="AJ8997" s="148"/>
      <c r="AK8997" s="143"/>
      <c r="AL8997" s="144"/>
      <c r="AM8997" s="22"/>
      <c r="AN8997" s="149"/>
      <c r="AO8997" s="144"/>
      <c r="AP8997" s="148"/>
      <c r="AQ8997" s="144"/>
      <c r="AR8997" s="120"/>
      <c r="AS8997" s="121"/>
      <c r="AT8997" s="120"/>
      <c r="AU8997" s="121"/>
      <c r="AV8997" s="120"/>
      <c r="AW8997" s="121"/>
      <c r="AX8997" s="120"/>
      <c r="AY8997" s="121"/>
      <c r="AZ8997" s="138"/>
    </row>
    <row r="8998" spans="1:52" ht="17.100000000000001" customHeight="1" thickTop="1">
      <c r="A8998" s="109" t="s">
        <v>25701</v>
      </c>
      <c r="B8998" s="28">
        <v>46156</v>
      </c>
      <c r="C8998" s="25">
        <v>2157</v>
      </c>
      <c r="D8998" s="13" t="s">
        <v>3322</v>
      </c>
      <c r="E8998" s="111"/>
      <c r="F8998" s="113" t="s">
        <v>25892</v>
      </c>
      <c r="G8998" s="114"/>
      <c r="H8998" s="115"/>
      <c r="I8998" s="24" t="s">
        <v>25893</v>
      </c>
      <c r="J8998" s="116">
        <v>4</v>
      </c>
      <c r="K8998" s="118">
        <v>5506000</v>
      </c>
      <c r="L8998" s="119"/>
      <c r="M8998" s="118">
        <f t="shared" ref="M8998" si="13887">K8998*0.1</f>
        <v>550600</v>
      </c>
      <c r="N8998" s="119"/>
      <c r="O8998" s="118">
        <v>72500</v>
      </c>
      <c r="P8998" s="119"/>
      <c r="Q8998" s="118">
        <v>15060</v>
      </c>
      <c r="R8998" s="119"/>
      <c r="S8998" s="118">
        <v>14300</v>
      </c>
      <c r="T8998" s="119"/>
      <c r="U8998" s="118">
        <f t="shared" ref="U8998" si="13888">SUM(K8998:T8999)</f>
        <v>6158460</v>
      </c>
      <c r="V8998" s="122"/>
      <c r="W8998" s="124"/>
      <c r="X8998" s="126" t="s">
        <v>25894</v>
      </c>
      <c r="Y8998" s="127"/>
      <c r="Z8998" s="127"/>
      <c r="AA8998" s="127"/>
      <c r="AB8998" s="128"/>
      <c r="AC8998" s="15" t="s">
        <v>20</v>
      </c>
      <c r="AD8998" s="129" t="s">
        <v>25895</v>
      </c>
      <c r="AE8998" s="130"/>
      <c r="AF8998" s="130"/>
      <c r="AG8998" s="130"/>
      <c r="AH8998" s="130"/>
      <c r="AI8998" s="131"/>
      <c r="AJ8998" s="132"/>
      <c r="AK8998" s="127"/>
      <c r="AL8998" s="128"/>
      <c r="AM8998" s="21"/>
      <c r="AN8998" s="133"/>
      <c r="AO8998" s="134"/>
      <c r="AP8998" s="135"/>
      <c r="AQ8998" s="136"/>
      <c r="AR8998" s="118"/>
      <c r="AS8998" s="119"/>
      <c r="AT8998" s="118">
        <f t="shared" ref="AT8998" si="13889">AR8998*0.1</f>
        <v>0</v>
      </c>
      <c r="AU8998" s="119"/>
      <c r="AV8998" s="118"/>
      <c r="AW8998" s="119"/>
      <c r="AX8998" s="118">
        <f t="shared" ref="AX8998" si="13890">SUM(AR8998:AW8998)</f>
        <v>0</v>
      </c>
      <c r="AY8998" s="119"/>
      <c r="AZ8998" s="137"/>
    </row>
    <row r="8999" spans="1:52" ht="17.100000000000001" customHeight="1" thickBot="1">
      <c r="A8999" s="110"/>
      <c r="B8999" s="27" t="s">
        <v>25709</v>
      </c>
      <c r="C8999" s="27">
        <v>4487</v>
      </c>
      <c r="D8999" s="14" t="s">
        <v>275</v>
      </c>
      <c r="E8999" s="112"/>
      <c r="F8999" s="139" t="s">
        <v>25720</v>
      </c>
      <c r="G8999" s="140"/>
      <c r="H8999" s="141"/>
      <c r="I8999" s="26">
        <v>94411</v>
      </c>
      <c r="J8999" s="117"/>
      <c r="K8999" s="120"/>
      <c r="L8999" s="121"/>
      <c r="M8999" s="120"/>
      <c r="N8999" s="121"/>
      <c r="O8999" s="120"/>
      <c r="P8999" s="121"/>
      <c r="Q8999" s="120"/>
      <c r="R8999" s="121"/>
      <c r="S8999" s="120"/>
      <c r="T8999" s="121"/>
      <c r="U8999" s="120"/>
      <c r="V8999" s="123"/>
      <c r="W8999" s="125"/>
      <c r="X8999" s="142" t="s">
        <v>13026</v>
      </c>
      <c r="Y8999" s="143"/>
      <c r="Z8999" s="143"/>
      <c r="AA8999" s="143"/>
      <c r="AB8999" s="144"/>
      <c r="AC8999" s="16" t="s">
        <v>21</v>
      </c>
      <c r="AD8999" s="17" t="s">
        <v>1976</v>
      </c>
      <c r="AE8999" s="145" t="s">
        <v>2441</v>
      </c>
      <c r="AF8999" s="146"/>
      <c r="AG8999" s="146"/>
      <c r="AH8999" s="146"/>
      <c r="AI8999" s="147"/>
      <c r="AJ8999" s="148"/>
      <c r="AK8999" s="143"/>
      <c r="AL8999" s="144"/>
      <c r="AM8999" s="22"/>
      <c r="AN8999" s="149"/>
      <c r="AO8999" s="144"/>
      <c r="AP8999" s="148"/>
      <c r="AQ8999" s="144"/>
      <c r="AR8999" s="120"/>
      <c r="AS8999" s="121"/>
      <c r="AT8999" s="120"/>
      <c r="AU8999" s="121"/>
      <c r="AV8999" s="120"/>
      <c r="AW8999" s="121"/>
      <c r="AX8999" s="120"/>
      <c r="AY8999" s="121"/>
      <c r="AZ8999" s="138"/>
    </row>
    <row r="9000" spans="1:52" ht="17.100000000000001" customHeight="1" thickTop="1">
      <c r="A9000" s="109" t="s">
        <v>25702</v>
      </c>
      <c r="B9000" s="28">
        <v>46156</v>
      </c>
      <c r="C9000" s="25">
        <v>2026</v>
      </c>
      <c r="D9000" s="13" t="s">
        <v>1714</v>
      </c>
      <c r="E9000" s="111"/>
      <c r="F9000" s="113" t="s">
        <v>25909</v>
      </c>
      <c r="G9000" s="114"/>
      <c r="H9000" s="115"/>
      <c r="I9000" s="24"/>
      <c r="J9000" s="116">
        <v>3.5</v>
      </c>
      <c r="K9000" s="118">
        <v>10820</v>
      </c>
      <c r="L9000" s="119"/>
      <c r="M9000" s="118">
        <f t="shared" ref="M9000" si="13891">K9000*0.1</f>
        <v>1082</v>
      </c>
      <c r="N9000" s="119"/>
      <c r="O9000" s="118">
        <v>0</v>
      </c>
      <c r="P9000" s="119"/>
      <c r="Q9000" s="118">
        <v>7440</v>
      </c>
      <c r="R9000" s="119"/>
      <c r="S9000" s="118">
        <v>22000</v>
      </c>
      <c r="T9000" s="119"/>
      <c r="U9000" s="118">
        <f t="shared" ref="U9000" si="13892">SUM(K9000:T9001)</f>
        <v>41342</v>
      </c>
      <c r="V9000" s="122"/>
      <c r="W9000" s="124"/>
      <c r="X9000" s="126"/>
      <c r="Y9000" s="127"/>
      <c r="Z9000" s="127"/>
      <c r="AA9000" s="127"/>
      <c r="AB9000" s="128"/>
      <c r="AC9000" s="15" t="s">
        <v>20</v>
      </c>
      <c r="AD9000" s="129" t="s">
        <v>1670</v>
      </c>
      <c r="AE9000" s="130"/>
      <c r="AF9000" s="130"/>
      <c r="AG9000" s="130"/>
      <c r="AH9000" s="130"/>
      <c r="AI9000" s="131"/>
      <c r="AJ9000" s="132"/>
      <c r="AK9000" s="127"/>
      <c r="AL9000" s="128"/>
      <c r="AM9000" s="21"/>
      <c r="AN9000" s="133"/>
      <c r="AO9000" s="134"/>
      <c r="AP9000" s="135"/>
      <c r="AQ9000" s="136"/>
      <c r="AR9000" s="118"/>
      <c r="AS9000" s="119"/>
      <c r="AT9000" s="118">
        <f t="shared" ref="AT9000" si="13893">AR9000*0.1</f>
        <v>0</v>
      </c>
      <c r="AU9000" s="119"/>
      <c r="AV9000" s="118"/>
      <c r="AW9000" s="119"/>
      <c r="AX9000" s="118">
        <f t="shared" ref="AX9000" si="13894">SUM(AR9000:AW9000)</f>
        <v>0</v>
      </c>
      <c r="AY9000" s="119"/>
      <c r="AZ9000" s="137"/>
    </row>
    <row r="9001" spans="1:52" ht="17.100000000000001" customHeight="1" thickBot="1">
      <c r="A9001" s="110"/>
      <c r="B9001" s="27" t="s">
        <v>2200</v>
      </c>
      <c r="C9001" s="27">
        <v>30016</v>
      </c>
      <c r="D9001" s="14" t="s">
        <v>1592</v>
      </c>
      <c r="E9001" s="112"/>
      <c r="F9001" s="139" t="s">
        <v>25756</v>
      </c>
      <c r="G9001" s="140"/>
      <c r="H9001" s="141"/>
      <c r="I9001" s="26">
        <v>34762</v>
      </c>
      <c r="J9001" s="117"/>
      <c r="K9001" s="120"/>
      <c r="L9001" s="121"/>
      <c r="M9001" s="120"/>
      <c r="N9001" s="121"/>
      <c r="O9001" s="120"/>
      <c r="P9001" s="121"/>
      <c r="Q9001" s="120"/>
      <c r="R9001" s="121"/>
      <c r="S9001" s="120"/>
      <c r="T9001" s="121"/>
      <c r="U9001" s="120"/>
      <c r="V9001" s="123"/>
      <c r="W9001" s="125"/>
      <c r="X9001" s="142"/>
      <c r="Y9001" s="143"/>
      <c r="Z9001" s="143"/>
      <c r="AA9001" s="143"/>
      <c r="AB9001" s="144"/>
      <c r="AC9001" s="16" t="s">
        <v>21</v>
      </c>
      <c r="AD9001" s="17"/>
      <c r="AE9001" s="145"/>
      <c r="AF9001" s="146"/>
      <c r="AG9001" s="146"/>
      <c r="AH9001" s="146"/>
      <c r="AI9001" s="147"/>
      <c r="AJ9001" s="148"/>
      <c r="AK9001" s="143"/>
      <c r="AL9001" s="144"/>
      <c r="AM9001" s="22"/>
      <c r="AN9001" s="149"/>
      <c r="AO9001" s="144"/>
      <c r="AP9001" s="148"/>
      <c r="AQ9001" s="144"/>
      <c r="AR9001" s="120"/>
      <c r="AS9001" s="121"/>
      <c r="AT9001" s="120"/>
      <c r="AU9001" s="121"/>
      <c r="AV9001" s="120"/>
      <c r="AW9001" s="121"/>
      <c r="AX9001" s="120"/>
      <c r="AY9001" s="121"/>
      <c r="AZ9001" s="138"/>
    </row>
    <row r="9002" spans="1:52" ht="17.100000000000001" customHeight="1" thickTop="1">
      <c r="A9002" s="109" t="s">
        <v>25703</v>
      </c>
      <c r="B9002" s="28">
        <v>46156</v>
      </c>
      <c r="C9002" s="25">
        <v>2026</v>
      </c>
      <c r="D9002" s="13" t="s">
        <v>2606</v>
      </c>
      <c r="E9002" s="111"/>
      <c r="F9002" s="113" t="s">
        <v>8893</v>
      </c>
      <c r="G9002" s="114"/>
      <c r="H9002" s="115"/>
      <c r="I9002" s="24" t="s">
        <v>4096</v>
      </c>
      <c r="J9002" s="116">
        <v>4.5</v>
      </c>
      <c r="K9002" s="118">
        <v>2740000</v>
      </c>
      <c r="L9002" s="119"/>
      <c r="M9002" s="118">
        <f t="shared" ref="M9002" si="13895">K9002*0.1</f>
        <v>274000</v>
      </c>
      <c r="N9002" s="119"/>
      <c r="O9002" s="118">
        <f>36200+3620</f>
        <v>39820</v>
      </c>
      <c r="P9002" s="119"/>
      <c r="Q9002" s="118">
        <v>16550</v>
      </c>
      <c r="R9002" s="119"/>
      <c r="S9002" s="118">
        <v>22000</v>
      </c>
      <c r="T9002" s="119"/>
      <c r="U9002" s="118">
        <f t="shared" ref="U9002" si="13896">SUM(K9002:T9003)</f>
        <v>3092370</v>
      </c>
      <c r="V9002" s="122"/>
      <c r="W9002" s="124"/>
      <c r="X9002" s="126" t="s">
        <v>25907</v>
      </c>
      <c r="Y9002" s="127"/>
      <c r="Z9002" s="127"/>
      <c r="AA9002" s="127"/>
      <c r="AB9002" s="128"/>
      <c r="AC9002" s="15" t="s">
        <v>20</v>
      </c>
      <c r="AD9002" s="129" t="s">
        <v>25908</v>
      </c>
      <c r="AE9002" s="130"/>
      <c r="AF9002" s="130"/>
      <c r="AG9002" s="130"/>
      <c r="AH9002" s="130"/>
      <c r="AI9002" s="131"/>
      <c r="AJ9002" s="132"/>
      <c r="AK9002" s="127"/>
      <c r="AL9002" s="128"/>
      <c r="AM9002" s="21"/>
      <c r="AN9002" s="133"/>
      <c r="AO9002" s="134"/>
      <c r="AP9002" s="135"/>
      <c r="AQ9002" s="136"/>
      <c r="AR9002" s="118"/>
      <c r="AS9002" s="119"/>
      <c r="AT9002" s="118">
        <f t="shared" ref="AT9002" si="13897">AR9002*0.1</f>
        <v>0</v>
      </c>
      <c r="AU9002" s="119"/>
      <c r="AV9002" s="118"/>
      <c r="AW9002" s="119"/>
      <c r="AX9002" s="118">
        <f t="shared" ref="AX9002" si="13898">SUM(AR9002:AW9002)</f>
        <v>0</v>
      </c>
      <c r="AY9002" s="119"/>
      <c r="AZ9002" s="137"/>
    </row>
    <row r="9003" spans="1:52" ht="17.100000000000001" customHeight="1" thickBot="1">
      <c r="A9003" s="110"/>
      <c r="B9003" s="27" t="s">
        <v>2200</v>
      </c>
      <c r="C9003" s="27">
        <v>30163</v>
      </c>
      <c r="D9003" s="14" t="s">
        <v>275</v>
      </c>
      <c r="E9003" s="112"/>
      <c r="F9003" s="139" t="s">
        <v>25757</v>
      </c>
      <c r="G9003" s="140"/>
      <c r="H9003" s="141"/>
      <c r="I9003" s="26">
        <v>15587</v>
      </c>
      <c r="J9003" s="117"/>
      <c r="K9003" s="120"/>
      <c r="L9003" s="121"/>
      <c r="M9003" s="120"/>
      <c r="N9003" s="121"/>
      <c r="O9003" s="120"/>
      <c r="P9003" s="121"/>
      <c r="Q9003" s="120"/>
      <c r="R9003" s="121"/>
      <c r="S9003" s="120"/>
      <c r="T9003" s="121"/>
      <c r="U9003" s="120"/>
      <c r="V9003" s="123"/>
      <c r="W9003" s="125"/>
      <c r="X9003" s="142"/>
      <c r="Y9003" s="143"/>
      <c r="Z9003" s="143"/>
      <c r="AA9003" s="143"/>
      <c r="AB9003" s="144"/>
      <c r="AC9003" s="16" t="s">
        <v>21</v>
      </c>
      <c r="AD9003" s="17"/>
      <c r="AE9003" s="145"/>
      <c r="AF9003" s="146"/>
      <c r="AG9003" s="146"/>
      <c r="AH9003" s="146"/>
      <c r="AI9003" s="147"/>
      <c r="AJ9003" s="148"/>
      <c r="AK9003" s="143"/>
      <c r="AL9003" s="144"/>
      <c r="AM9003" s="22"/>
      <c r="AN9003" s="149"/>
      <c r="AO9003" s="144"/>
      <c r="AP9003" s="148"/>
      <c r="AQ9003" s="144"/>
      <c r="AR9003" s="120"/>
      <c r="AS9003" s="121"/>
      <c r="AT9003" s="120"/>
      <c r="AU9003" s="121"/>
      <c r="AV9003" s="120"/>
      <c r="AW9003" s="121"/>
      <c r="AX9003" s="120"/>
      <c r="AY9003" s="121"/>
      <c r="AZ9003" s="138"/>
    </row>
    <row r="9004" spans="1:52" ht="17.100000000000001" customHeight="1" thickTop="1">
      <c r="A9004" s="109" t="s">
        <v>25704</v>
      </c>
      <c r="B9004" s="28">
        <v>46156</v>
      </c>
      <c r="C9004" s="25">
        <v>2026</v>
      </c>
      <c r="D9004" s="13" t="s">
        <v>2654</v>
      </c>
      <c r="E9004" s="111"/>
      <c r="F9004" s="113" t="s">
        <v>25758</v>
      </c>
      <c r="G9004" s="114"/>
      <c r="H9004" s="115"/>
      <c r="I9004" s="24" t="s">
        <v>9428</v>
      </c>
      <c r="J9004" s="116">
        <v>3.5</v>
      </c>
      <c r="K9004" s="118">
        <v>3407000</v>
      </c>
      <c r="L9004" s="119"/>
      <c r="M9004" s="118">
        <f t="shared" ref="M9004" si="13899">K9004*0.1</f>
        <v>340700</v>
      </c>
      <c r="N9004" s="119"/>
      <c r="O9004" s="118">
        <f>47500+4750</f>
        <v>52250</v>
      </c>
      <c r="P9004" s="119"/>
      <c r="Q9004" s="118">
        <v>15780</v>
      </c>
      <c r="R9004" s="119"/>
      <c r="S9004" s="118">
        <v>22000</v>
      </c>
      <c r="T9004" s="119"/>
      <c r="U9004" s="118">
        <f t="shared" ref="U9004" si="13900">SUM(K9004:T9005)</f>
        <v>3837730</v>
      </c>
      <c r="V9004" s="122"/>
      <c r="W9004" s="124"/>
      <c r="X9004" s="126" t="s">
        <v>25906</v>
      </c>
      <c r="Y9004" s="127"/>
      <c r="Z9004" s="127"/>
      <c r="AA9004" s="127"/>
      <c r="AB9004" s="128"/>
      <c r="AC9004" s="15" t="s">
        <v>20</v>
      </c>
      <c r="AD9004" s="129"/>
      <c r="AE9004" s="130"/>
      <c r="AF9004" s="130"/>
      <c r="AG9004" s="130"/>
      <c r="AH9004" s="130"/>
      <c r="AI9004" s="131"/>
      <c r="AJ9004" s="132"/>
      <c r="AK9004" s="127"/>
      <c r="AL9004" s="128"/>
      <c r="AM9004" s="21"/>
      <c r="AN9004" s="133"/>
      <c r="AO9004" s="134"/>
      <c r="AP9004" s="135"/>
      <c r="AQ9004" s="136"/>
      <c r="AR9004" s="118"/>
      <c r="AS9004" s="119"/>
      <c r="AT9004" s="118">
        <f t="shared" ref="AT9004" si="13901">AR9004*0.1</f>
        <v>0</v>
      </c>
      <c r="AU9004" s="119"/>
      <c r="AV9004" s="118"/>
      <c r="AW9004" s="119"/>
      <c r="AX9004" s="118">
        <f t="shared" ref="AX9004" si="13902">SUM(AR9004:AW9004)</f>
        <v>0</v>
      </c>
      <c r="AY9004" s="119"/>
      <c r="AZ9004" s="137"/>
    </row>
    <row r="9005" spans="1:52" ht="17.100000000000001" customHeight="1" thickBot="1">
      <c r="A9005" s="110"/>
      <c r="B9005" s="27" t="s">
        <v>2200</v>
      </c>
      <c r="C9005" s="27">
        <v>30236</v>
      </c>
      <c r="D9005" s="14" t="s">
        <v>275</v>
      </c>
      <c r="E9005" s="112"/>
      <c r="F9005" s="139" t="s">
        <v>25905</v>
      </c>
      <c r="G9005" s="140"/>
      <c r="H9005" s="141"/>
      <c r="I9005" s="26">
        <v>83132</v>
      </c>
      <c r="J9005" s="117"/>
      <c r="K9005" s="120"/>
      <c r="L9005" s="121"/>
      <c r="M9005" s="120"/>
      <c r="N9005" s="121"/>
      <c r="O9005" s="120"/>
      <c r="P9005" s="121"/>
      <c r="Q9005" s="120"/>
      <c r="R9005" s="121"/>
      <c r="S9005" s="120"/>
      <c r="T9005" s="121"/>
      <c r="U9005" s="120"/>
      <c r="V9005" s="123"/>
      <c r="W9005" s="125"/>
      <c r="X9005" s="142"/>
      <c r="Y9005" s="143"/>
      <c r="Z9005" s="143"/>
      <c r="AA9005" s="143"/>
      <c r="AB9005" s="144"/>
      <c r="AC9005" s="16" t="s">
        <v>21</v>
      </c>
      <c r="AD9005" s="17"/>
      <c r="AE9005" s="145"/>
      <c r="AF9005" s="146"/>
      <c r="AG9005" s="146"/>
      <c r="AH9005" s="146"/>
      <c r="AI9005" s="147"/>
      <c r="AJ9005" s="148"/>
      <c r="AK9005" s="143"/>
      <c r="AL9005" s="144"/>
      <c r="AM9005" s="22"/>
      <c r="AN9005" s="149"/>
      <c r="AO9005" s="144"/>
      <c r="AP9005" s="148"/>
      <c r="AQ9005" s="144"/>
      <c r="AR9005" s="120"/>
      <c r="AS9005" s="121"/>
      <c r="AT9005" s="120"/>
      <c r="AU9005" s="121"/>
      <c r="AV9005" s="120"/>
      <c r="AW9005" s="121"/>
      <c r="AX9005" s="120"/>
      <c r="AY9005" s="121"/>
      <c r="AZ9005" s="138"/>
    </row>
    <row r="9006" spans="1:52" ht="17.100000000000001" customHeight="1" thickTop="1">
      <c r="A9006" s="109" t="s">
        <v>25705</v>
      </c>
      <c r="B9006" s="28">
        <v>46156</v>
      </c>
      <c r="C9006" s="25">
        <v>2026</v>
      </c>
      <c r="D9006" s="13" t="s">
        <v>2009</v>
      </c>
      <c r="E9006" s="111"/>
      <c r="F9006" s="113" t="s">
        <v>25904</v>
      </c>
      <c r="G9006" s="114"/>
      <c r="H9006" s="115"/>
      <c r="I9006" s="24"/>
      <c r="J9006" s="116">
        <v>4.5</v>
      </c>
      <c r="K9006" s="118">
        <v>1361000</v>
      </c>
      <c r="L9006" s="119"/>
      <c r="M9006" s="118">
        <f t="shared" ref="M9006" si="13903">K9006*0.1</f>
        <v>136100</v>
      </c>
      <c r="N9006" s="119"/>
      <c r="O9006" s="118">
        <v>0</v>
      </c>
      <c r="P9006" s="119"/>
      <c r="Q9006" s="118">
        <v>8170</v>
      </c>
      <c r="R9006" s="119"/>
      <c r="S9006" s="118">
        <v>22000</v>
      </c>
      <c r="T9006" s="119"/>
      <c r="U9006" s="118">
        <f t="shared" ref="U9006" si="13904">SUM(K9006:T9007)</f>
        <v>1527270</v>
      </c>
      <c r="V9006" s="122"/>
      <c r="W9006" s="124"/>
      <c r="X9006" s="126"/>
      <c r="Y9006" s="127"/>
      <c r="Z9006" s="127"/>
      <c r="AA9006" s="127"/>
      <c r="AB9006" s="128"/>
      <c r="AC9006" s="15" t="s">
        <v>20</v>
      </c>
      <c r="AD9006" s="129" t="s">
        <v>1565</v>
      </c>
      <c r="AE9006" s="130"/>
      <c r="AF9006" s="130"/>
      <c r="AG9006" s="130"/>
      <c r="AH9006" s="130"/>
      <c r="AI9006" s="131"/>
      <c r="AJ9006" s="132"/>
      <c r="AK9006" s="127"/>
      <c r="AL9006" s="128"/>
      <c r="AM9006" s="21"/>
      <c r="AN9006" s="133"/>
      <c r="AO9006" s="134"/>
      <c r="AP9006" s="135"/>
      <c r="AQ9006" s="136"/>
      <c r="AR9006" s="118"/>
      <c r="AS9006" s="119"/>
      <c r="AT9006" s="118">
        <f t="shared" ref="AT9006" si="13905">AR9006*0.1</f>
        <v>0</v>
      </c>
      <c r="AU9006" s="119"/>
      <c r="AV9006" s="118"/>
      <c r="AW9006" s="119"/>
      <c r="AX9006" s="118">
        <f t="shared" ref="AX9006" si="13906">SUM(AR9006:AW9006)</f>
        <v>0</v>
      </c>
      <c r="AY9006" s="119"/>
      <c r="AZ9006" s="137"/>
    </row>
    <row r="9007" spans="1:52" ht="17.100000000000001" customHeight="1" thickBot="1">
      <c r="A9007" s="110"/>
      <c r="B9007" s="27" t="s">
        <v>2200</v>
      </c>
      <c r="C9007" s="27">
        <v>30371</v>
      </c>
      <c r="D9007" s="14" t="s">
        <v>2601</v>
      </c>
      <c r="E9007" s="112"/>
      <c r="F9007" s="139" t="s">
        <v>25759</v>
      </c>
      <c r="G9007" s="140"/>
      <c r="H9007" s="141"/>
      <c r="I9007" s="26">
        <v>19019</v>
      </c>
      <c r="J9007" s="117"/>
      <c r="K9007" s="120"/>
      <c r="L9007" s="121"/>
      <c r="M9007" s="120"/>
      <c r="N9007" s="121"/>
      <c r="O9007" s="120"/>
      <c r="P9007" s="121"/>
      <c r="Q9007" s="120"/>
      <c r="R9007" s="121"/>
      <c r="S9007" s="120"/>
      <c r="T9007" s="121"/>
      <c r="U9007" s="120"/>
      <c r="V9007" s="123"/>
      <c r="W9007" s="125"/>
      <c r="X9007" s="142"/>
      <c r="Y9007" s="143"/>
      <c r="Z9007" s="143"/>
      <c r="AA9007" s="143"/>
      <c r="AB9007" s="144"/>
      <c r="AC9007" s="16" t="s">
        <v>21</v>
      </c>
      <c r="AD9007" s="17"/>
      <c r="AE9007" s="145"/>
      <c r="AF9007" s="146"/>
      <c r="AG9007" s="146"/>
      <c r="AH9007" s="146"/>
      <c r="AI9007" s="147"/>
      <c r="AJ9007" s="148"/>
      <c r="AK9007" s="143"/>
      <c r="AL9007" s="144"/>
      <c r="AM9007" s="22"/>
      <c r="AN9007" s="149"/>
      <c r="AO9007" s="144"/>
      <c r="AP9007" s="148"/>
      <c r="AQ9007" s="144"/>
      <c r="AR9007" s="120"/>
      <c r="AS9007" s="121"/>
      <c r="AT9007" s="120"/>
      <c r="AU9007" s="121"/>
      <c r="AV9007" s="120"/>
      <c r="AW9007" s="121"/>
      <c r="AX9007" s="120"/>
      <c r="AY9007" s="121"/>
      <c r="AZ9007" s="138"/>
    </row>
    <row r="9008" spans="1:52" ht="17.100000000000001" customHeight="1" thickTop="1">
      <c r="A9008" s="109" t="s">
        <v>25706</v>
      </c>
      <c r="B9008" s="28">
        <v>46156</v>
      </c>
      <c r="C9008" s="25">
        <v>2026</v>
      </c>
      <c r="D9008" s="13" t="s">
        <v>2465</v>
      </c>
      <c r="E9008" s="111"/>
      <c r="F9008" s="113" t="s">
        <v>25903</v>
      </c>
      <c r="G9008" s="114"/>
      <c r="H9008" s="115"/>
      <c r="I9008" s="24"/>
      <c r="J9008" s="116">
        <v>4</v>
      </c>
      <c r="K9008" s="118">
        <v>404000</v>
      </c>
      <c r="L9008" s="119"/>
      <c r="M9008" s="118">
        <f t="shared" ref="M9008" si="13907">K9008*0.1</f>
        <v>40400</v>
      </c>
      <c r="N9008" s="119"/>
      <c r="O9008" s="118">
        <v>0</v>
      </c>
      <c r="P9008" s="119"/>
      <c r="Q9008" s="118">
        <v>9630</v>
      </c>
      <c r="R9008" s="119"/>
      <c r="S9008" s="118">
        <v>22000</v>
      </c>
      <c r="T9008" s="119"/>
      <c r="U9008" s="118">
        <f t="shared" ref="U9008" si="13908">SUM(K9008:T9009)</f>
        <v>476030</v>
      </c>
      <c r="V9008" s="122"/>
      <c r="W9008" s="124"/>
      <c r="X9008" s="126"/>
      <c r="Y9008" s="127"/>
      <c r="Z9008" s="127"/>
      <c r="AA9008" s="127"/>
      <c r="AB9008" s="128"/>
      <c r="AC9008" s="15" t="s">
        <v>20</v>
      </c>
      <c r="AD9008" s="129" t="s">
        <v>1670</v>
      </c>
      <c r="AE9008" s="130"/>
      <c r="AF9008" s="130"/>
      <c r="AG9008" s="130"/>
      <c r="AH9008" s="130"/>
      <c r="AI9008" s="131"/>
      <c r="AJ9008" s="132"/>
      <c r="AK9008" s="127"/>
      <c r="AL9008" s="128"/>
      <c r="AM9008" s="21"/>
      <c r="AN9008" s="133"/>
      <c r="AO9008" s="134"/>
      <c r="AP9008" s="135"/>
      <c r="AQ9008" s="136"/>
      <c r="AR9008" s="118"/>
      <c r="AS9008" s="119"/>
      <c r="AT9008" s="118">
        <f t="shared" ref="AT9008" si="13909">AR9008*0.1</f>
        <v>0</v>
      </c>
      <c r="AU9008" s="119"/>
      <c r="AV9008" s="118"/>
      <c r="AW9008" s="119"/>
      <c r="AX9008" s="118">
        <f t="shared" ref="AX9008" si="13910">SUM(AR9008:AW9008)</f>
        <v>0</v>
      </c>
      <c r="AY9008" s="119"/>
      <c r="AZ9008" s="137"/>
    </row>
    <row r="9009" spans="1:52" ht="17.100000000000001" customHeight="1" thickBot="1">
      <c r="A9009" s="110"/>
      <c r="B9009" s="27" t="s">
        <v>2200</v>
      </c>
      <c r="C9009" s="27">
        <v>30372</v>
      </c>
      <c r="D9009" s="14" t="s">
        <v>1635</v>
      </c>
      <c r="E9009" s="112"/>
      <c r="F9009" s="139" t="s">
        <v>25760</v>
      </c>
      <c r="G9009" s="140"/>
      <c r="H9009" s="141"/>
      <c r="I9009" s="26">
        <v>59723</v>
      </c>
      <c r="J9009" s="117"/>
      <c r="K9009" s="120"/>
      <c r="L9009" s="121"/>
      <c r="M9009" s="120"/>
      <c r="N9009" s="121"/>
      <c r="O9009" s="120"/>
      <c r="P9009" s="121"/>
      <c r="Q9009" s="120"/>
      <c r="R9009" s="121"/>
      <c r="S9009" s="120"/>
      <c r="T9009" s="121"/>
      <c r="U9009" s="120"/>
      <c r="V9009" s="123"/>
      <c r="W9009" s="125"/>
      <c r="X9009" s="142"/>
      <c r="Y9009" s="143"/>
      <c r="Z9009" s="143"/>
      <c r="AA9009" s="143"/>
      <c r="AB9009" s="144"/>
      <c r="AC9009" s="16" t="s">
        <v>21</v>
      </c>
      <c r="AD9009" s="17"/>
      <c r="AE9009" s="145"/>
      <c r="AF9009" s="146"/>
      <c r="AG9009" s="146"/>
      <c r="AH9009" s="146"/>
      <c r="AI9009" s="147"/>
      <c r="AJ9009" s="148"/>
      <c r="AK9009" s="143"/>
      <c r="AL9009" s="144"/>
      <c r="AM9009" s="22"/>
      <c r="AN9009" s="149"/>
      <c r="AO9009" s="144"/>
      <c r="AP9009" s="148"/>
      <c r="AQ9009" s="144"/>
      <c r="AR9009" s="120"/>
      <c r="AS9009" s="121"/>
      <c r="AT9009" s="120"/>
      <c r="AU9009" s="121"/>
      <c r="AV9009" s="120"/>
      <c r="AW9009" s="121"/>
      <c r="AX9009" s="120"/>
      <c r="AY9009" s="121"/>
      <c r="AZ9009" s="138"/>
    </row>
    <row r="9010" spans="1:52" ht="17.100000000000001" customHeight="1" thickTop="1">
      <c r="A9010" s="109" t="s">
        <v>25707</v>
      </c>
      <c r="B9010" s="28">
        <v>46156</v>
      </c>
      <c r="C9010" s="25">
        <v>2026</v>
      </c>
      <c r="D9010" s="13" t="s">
        <v>2428</v>
      </c>
      <c r="E9010" s="111"/>
      <c r="F9010" s="113" t="s">
        <v>9828</v>
      </c>
      <c r="G9010" s="114"/>
      <c r="H9010" s="115"/>
      <c r="I9010" s="24" t="s">
        <v>4314</v>
      </c>
      <c r="J9010" s="116">
        <v>4.5</v>
      </c>
      <c r="K9010" s="118">
        <v>1285000</v>
      </c>
      <c r="L9010" s="119"/>
      <c r="M9010" s="118">
        <f t="shared" ref="M9010" si="13911">K9010*0.1</f>
        <v>128500</v>
      </c>
      <c r="N9010" s="119"/>
      <c r="O9010" s="118">
        <v>0</v>
      </c>
      <c r="P9010" s="119"/>
      <c r="Q9010" s="118">
        <v>11100</v>
      </c>
      <c r="R9010" s="119"/>
      <c r="S9010" s="118">
        <v>22000</v>
      </c>
      <c r="T9010" s="119"/>
      <c r="U9010" s="118">
        <f t="shared" ref="U9010" si="13912">SUM(K9010:T9011)</f>
        <v>1446600</v>
      </c>
      <c r="V9010" s="122"/>
      <c r="W9010" s="124"/>
      <c r="X9010" s="126"/>
      <c r="Y9010" s="127"/>
      <c r="Z9010" s="127"/>
      <c r="AA9010" s="127"/>
      <c r="AB9010" s="128"/>
      <c r="AC9010" s="15" t="s">
        <v>20</v>
      </c>
      <c r="AD9010" s="129" t="s">
        <v>5525</v>
      </c>
      <c r="AE9010" s="130"/>
      <c r="AF9010" s="130"/>
      <c r="AG9010" s="130"/>
      <c r="AH9010" s="130"/>
      <c r="AI9010" s="131"/>
      <c r="AJ9010" s="132"/>
      <c r="AK9010" s="127"/>
      <c r="AL9010" s="128"/>
      <c r="AM9010" s="21"/>
      <c r="AN9010" s="133"/>
      <c r="AO9010" s="134"/>
      <c r="AP9010" s="135"/>
      <c r="AQ9010" s="136"/>
      <c r="AR9010" s="118"/>
      <c r="AS9010" s="119"/>
      <c r="AT9010" s="118">
        <f t="shared" ref="AT9010" si="13913">AR9010*0.1</f>
        <v>0</v>
      </c>
      <c r="AU9010" s="119"/>
      <c r="AV9010" s="118"/>
      <c r="AW9010" s="119"/>
      <c r="AX9010" s="118">
        <f t="shared" ref="AX9010" si="13914">SUM(AR9010:AW9010)</f>
        <v>0</v>
      </c>
      <c r="AY9010" s="119"/>
      <c r="AZ9010" s="137"/>
    </row>
    <row r="9011" spans="1:52" ht="17.100000000000001" customHeight="1" thickBot="1">
      <c r="A9011" s="110"/>
      <c r="B9011" s="27" t="s">
        <v>2200</v>
      </c>
      <c r="C9011" s="27">
        <v>50107</v>
      </c>
      <c r="D9011" s="14" t="s">
        <v>133</v>
      </c>
      <c r="E9011" s="112"/>
      <c r="F9011" s="139" t="s">
        <v>25761</v>
      </c>
      <c r="G9011" s="140"/>
      <c r="H9011" s="141"/>
      <c r="I9011" s="26">
        <v>28998</v>
      </c>
      <c r="J9011" s="117"/>
      <c r="K9011" s="120"/>
      <c r="L9011" s="121"/>
      <c r="M9011" s="120"/>
      <c r="N9011" s="121"/>
      <c r="O9011" s="120"/>
      <c r="P9011" s="121"/>
      <c r="Q9011" s="120"/>
      <c r="R9011" s="121"/>
      <c r="S9011" s="120"/>
      <c r="T9011" s="121"/>
      <c r="U9011" s="120"/>
      <c r="V9011" s="123"/>
      <c r="W9011" s="125"/>
      <c r="X9011" s="142"/>
      <c r="Y9011" s="143"/>
      <c r="Z9011" s="143"/>
      <c r="AA9011" s="143"/>
      <c r="AB9011" s="144"/>
      <c r="AC9011" s="16" t="s">
        <v>21</v>
      </c>
      <c r="AD9011" s="17"/>
      <c r="AE9011" s="145"/>
      <c r="AF9011" s="146"/>
      <c r="AG9011" s="146"/>
      <c r="AH9011" s="146"/>
      <c r="AI9011" s="147"/>
      <c r="AJ9011" s="148"/>
      <c r="AK9011" s="143"/>
      <c r="AL9011" s="144"/>
      <c r="AM9011" s="22"/>
      <c r="AN9011" s="149"/>
      <c r="AO9011" s="144"/>
      <c r="AP9011" s="148"/>
      <c r="AQ9011" s="144"/>
      <c r="AR9011" s="120"/>
      <c r="AS9011" s="121"/>
      <c r="AT9011" s="120"/>
      <c r="AU9011" s="121"/>
      <c r="AV9011" s="120"/>
      <c r="AW9011" s="121"/>
      <c r="AX9011" s="120"/>
      <c r="AY9011" s="121"/>
      <c r="AZ9011" s="138"/>
    </row>
    <row r="9012" spans="1:52" ht="17.100000000000001" customHeight="1" thickTop="1">
      <c r="A9012" s="109" t="s">
        <v>25708</v>
      </c>
      <c r="B9012" s="28">
        <v>46156</v>
      </c>
      <c r="C9012" s="25">
        <v>2026</v>
      </c>
      <c r="D9012" s="13" t="s">
        <v>1847</v>
      </c>
      <c r="E9012" s="111"/>
      <c r="F9012" s="113" t="s">
        <v>5481</v>
      </c>
      <c r="G9012" s="114"/>
      <c r="H9012" s="115"/>
      <c r="I9012" s="24" t="s">
        <v>4096</v>
      </c>
      <c r="J9012" s="116">
        <v>5</v>
      </c>
      <c r="K9012" s="118">
        <v>1463000</v>
      </c>
      <c r="L9012" s="119"/>
      <c r="M9012" s="118">
        <f t="shared" ref="M9012" si="13915">K9012*0.1</f>
        <v>146300</v>
      </c>
      <c r="N9012" s="119"/>
      <c r="O9012" s="118">
        <v>0</v>
      </c>
      <c r="P9012" s="119"/>
      <c r="Q9012" s="118">
        <v>11100</v>
      </c>
      <c r="R9012" s="119"/>
      <c r="S9012" s="118">
        <v>22000</v>
      </c>
      <c r="T9012" s="119"/>
      <c r="U9012" s="118">
        <f t="shared" ref="U9012" si="13916">SUM(K9012:T9013)</f>
        <v>1642400</v>
      </c>
      <c r="V9012" s="122"/>
      <c r="W9012" s="124"/>
      <c r="X9012" s="126"/>
      <c r="Y9012" s="127"/>
      <c r="Z9012" s="127"/>
      <c r="AA9012" s="127"/>
      <c r="AB9012" s="128"/>
      <c r="AC9012" s="15" t="s">
        <v>20</v>
      </c>
      <c r="AD9012" s="129" t="s">
        <v>5525</v>
      </c>
      <c r="AE9012" s="130"/>
      <c r="AF9012" s="130"/>
      <c r="AG9012" s="130"/>
      <c r="AH9012" s="130"/>
      <c r="AI9012" s="131"/>
      <c r="AJ9012" s="132"/>
      <c r="AK9012" s="127"/>
      <c r="AL9012" s="128"/>
      <c r="AM9012" s="21"/>
      <c r="AN9012" s="133"/>
      <c r="AO9012" s="134"/>
      <c r="AP9012" s="135"/>
      <c r="AQ9012" s="136"/>
      <c r="AR9012" s="118"/>
      <c r="AS9012" s="119"/>
      <c r="AT9012" s="118">
        <f t="shared" ref="AT9012" si="13917">AR9012*0.1</f>
        <v>0</v>
      </c>
      <c r="AU9012" s="119"/>
      <c r="AV9012" s="118"/>
      <c r="AW9012" s="119"/>
      <c r="AX9012" s="118">
        <f t="shared" ref="AX9012" si="13918">SUM(AR9012:AW9012)</f>
        <v>0</v>
      </c>
      <c r="AY9012" s="119"/>
      <c r="AZ9012" s="137"/>
    </row>
    <row r="9013" spans="1:52" ht="17.100000000000001" customHeight="1" thickBot="1">
      <c r="A9013" s="110"/>
      <c r="B9013" s="27" t="s">
        <v>2200</v>
      </c>
      <c r="C9013" s="27">
        <v>50127</v>
      </c>
      <c r="D9013" s="14" t="s">
        <v>133</v>
      </c>
      <c r="E9013" s="112"/>
      <c r="F9013" s="139" t="s">
        <v>25762</v>
      </c>
      <c r="G9013" s="140"/>
      <c r="H9013" s="141"/>
      <c r="I9013" s="26">
        <v>18008</v>
      </c>
      <c r="J9013" s="117"/>
      <c r="K9013" s="120"/>
      <c r="L9013" s="121"/>
      <c r="M9013" s="120"/>
      <c r="N9013" s="121"/>
      <c r="O9013" s="120"/>
      <c r="P9013" s="121"/>
      <c r="Q9013" s="120"/>
      <c r="R9013" s="121"/>
      <c r="S9013" s="120"/>
      <c r="T9013" s="121"/>
      <c r="U9013" s="120"/>
      <c r="V9013" s="123"/>
      <c r="W9013" s="125"/>
      <c r="X9013" s="142"/>
      <c r="Y9013" s="143"/>
      <c r="Z9013" s="143"/>
      <c r="AA9013" s="143"/>
      <c r="AB9013" s="144"/>
      <c r="AC9013" s="16" t="s">
        <v>21</v>
      </c>
      <c r="AD9013" s="17"/>
      <c r="AE9013" s="145"/>
      <c r="AF9013" s="146"/>
      <c r="AG9013" s="146"/>
      <c r="AH9013" s="146"/>
      <c r="AI9013" s="147"/>
      <c r="AJ9013" s="148"/>
      <c r="AK9013" s="143"/>
      <c r="AL9013" s="144"/>
      <c r="AM9013" s="22"/>
      <c r="AN9013" s="149"/>
      <c r="AO9013" s="144"/>
      <c r="AP9013" s="148"/>
      <c r="AQ9013" s="144"/>
      <c r="AR9013" s="120"/>
      <c r="AS9013" s="121"/>
      <c r="AT9013" s="120"/>
      <c r="AU9013" s="121"/>
      <c r="AV9013" s="120"/>
      <c r="AW9013" s="121"/>
      <c r="AX9013" s="120"/>
      <c r="AY9013" s="121"/>
      <c r="AZ9013" s="138"/>
    </row>
    <row r="9014" spans="1:52" ht="17.100000000000001" customHeight="1" thickTop="1">
      <c r="A9014" s="109" t="s">
        <v>25748</v>
      </c>
      <c r="B9014" s="28">
        <v>46156</v>
      </c>
      <c r="C9014" s="25">
        <v>2026</v>
      </c>
      <c r="D9014" s="13" t="s">
        <v>1688</v>
      </c>
      <c r="E9014" s="111"/>
      <c r="F9014" s="113" t="s">
        <v>25900</v>
      </c>
      <c r="G9014" s="114"/>
      <c r="H9014" s="115"/>
      <c r="I9014" s="24" t="s">
        <v>6716</v>
      </c>
      <c r="J9014" s="116">
        <v>4.5</v>
      </c>
      <c r="K9014" s="118">
        <v>1190000</v>
      </c>
      <c r="L9014" s="119"/>
      <c r="M9014" s="118">
        <f t="shared" ref="M9014" si="13919">K9014*0.1</f>
        <v>119000</v>
      </c>
      <c r="N9014" s="119"/>
      <c r="O9014" s="118">
        <v>0</v>
      </c>
      <c r="P9014" s="119"/>
      <c r="Q9014" s="118">
        <v>8630</v>
      </c>
      <c r="R9014" s="119"/>
      <c r="S9014" s="118">
        <v>22000</v>
      </c>
      <c r="T9014" s="119"/>
      <c r="U9014" s="118">
        <f t="shared" ref="U9014" si="13920">SUM(K9014:T9015)</f>
        <v>1339630</v>
      </c>
      <c r="V9014" s="122"/>
      <c r="W9014" s="124"/>
      <c r="X9014" s="126" t="s">
        <v>25901</v>
      </c>
      <c r="Y9014" s="127"/>
      <c r="Z9014" s="127"/>
      <c r="AA9014" s="127"/>
      <c r="AB9014" s="128"/>
      <c r="AC9014" s="15" t="s">
        <v>20</v>
      </c>
      <c r="AD9014" s="129" t="s">
        <v>25902</v>
      </c>
      <c r="AE9014" s="130"/>
      <c r="AF9014" s="130"/>
      <c r="AG9014" s="130"/>
      <c r="AH9014" s="130"/>
      <c r="AI9014" s="131"/>
      <c r="AJ9014" s="132"/>
      <c r="AK9014" s="127"/>
      <c r="AL9014" s="128"/>
      <c r="AM9014" s="21"/>
      <c r="AN9014" s="133"/>
      <c r="AO9014" s="134"/>
      <c r="AP9014" s="135"/>
      <c r="AQ9014" s="136"/>
      <c r="AR9014" s="118"/>
      <c r="AS9014" s="119"/>
      <c r="AT9014" s="118">
        <f t="shared" ref="AT9014" si="13921">AR9014*0.1</f>
        <v>0</v>
      </c>
      <c r="AU9014" s="119"/>
      <c r="AV9014" s="118"/>
      <c r="AW9014" s="119"/>
      <c r="AX9014" s="118">
        <f t="shared" ref="AX9014" si="13922">SUM(AR9014:AW9014)</f>
        <v>0</v>
      </c>
      <c r="AY9014" s="119"/>
      <c r="AZ9014" s="137"/>
    </row>
    <row r="9015" spans="1:52" ht="17.100000000000001" customHeight="1" thickBot="1">
      <c r="A9015" s="110"/>
      <c r="B9015" s="27" t="s">
        <v>2200</v>
      </c>
      <c r="C9015" s="27">
        <v>50152</v>
      </c>
      <c r="D9015" s="14" t="s">
        <v>133</v>
      </c>
      <c r="E9015" s="112"/>
      <c r="F9015" s="139" t="s">
        <v>25763</v>
      </c>
      <c r="G9015" s="140"/>
      <c r="H9015" s="141"/>
      <c r="I9015" s="26">
        <v>44057</v>
      </c>
      <c r="J9015" s="117"/>
      <c r="K9015" s="120"/>
      <c r="L9015" s="121"/>
      <c r="M9015" s="120"/>
      <c r="N9015" s="121"/>
      <c r="O9015" s="120"/>
      <c r="P9015" s="121"/>
      <c r="Q9015" s="120"/>
      <c r="R9015" s="121"/>
      <c r="S9015" s="120"/>
      <c r="T9015" s="121"/>
      <c r="U9015" s="120"/>
      <c r="V9015" s="123"/>
      <c r="W9015" s="125"/>
      <c r="X9015" s="142"/>
      <c r="Y9015" s="143"/>
      <c r="Z9015" s="143"/>
      <c r="AA9015" s="143"/>
      <c r="AB9015" s="144"/>
      <c r="AC9015" s="16" t="s">
        <v>21</v>
      </c>
      <c r="AD9015" s="17"/>
      <c r="AE9015" s="145"/>
      <c r="AF9015" s="146"/>
      <c r="AG9015" s="146"/>
      <c r="AH9015" s="146"/>
      <c r="AI9015" s="147"/>
      <c r="AJ9015" s="148"/>
      <c r="AK9015" s="143"/>
      <c r="AL9015" s="144"/>
      <c r="AM9015" s="22"/>
      <c r="AN9015" s="149"/>
      <c r="AO9015" s="144"/>
      <c r="AP9015" s="148"/>
      <c r="AQ9015" s="144"/>
      <c r="AR9015" s="120"/>
      <c r="AS9015" s="121"/>
      <c r="AT9015" s="120"/>
      <c r="AU9015" s="121"/>
      <c r="AV9015" s="120"/>
      <c r="AW9015" s="121"/>
      <c r="AX9015" s="120"/>
      <c r="AY9015" s="121"/>
      <c r="AZ9015" s="138"/>
    </row>
    <row r="9016" spans="1:52" ht="17.100000000000001" customHeight="1" thickTop="1">
      <c r="A9016" s="109" t="s">
        <v>25749</v>
      </c>
      <c r="B9016" s="28">
        <v>46156</v>
      </c>
      <c r="C9016" s="25">
        <v>2026</v>
      </c>
      <c r="D9016" s="13" t="s">
        <v>2737</v>
      </c>
      <c r="E9016" s="111"/>
      <c r="F9016" s="113" t="s">
        <v>3908</v>
      </c>
      <c r="G9016" s="114"/>
      <c r="H9016" s="115"/>
      <c r="I9016" s="24" t="s">
        <v>3509</v>
      </c>
      <c r="J9016" s="116">
        <v>4.5</v>
      </c>
      <c r="K9016" s="118">
        <v>905000</v>
      </c>
      <c r="L9016" s="119"/>
      <c r="M9016" s="118">
        <f t="shared" ref="M9016" si="13923">K9016*0.1</f>
        <v>90500</v>
      </c>
      <c r="N9016" s="119"/>
      <c r="O9016" s="118">
        <v>0</v>
      </c>
      <c r="P9016" s="119"/>
      <c r="Q9016" s="118">
        <v>5340</v>
      </c>
      <c r="R9016" s="119"/>
      <c r="S9016" s="118">
        <v>22000</v>
      </c>
      <c r="T9016" s="119"/>
      <c r="U9016" s="118">
        <f t="shared" ref="U9016" si="13924">SUM(K9016:T9017)</f>
        <v>1022840</v>
      </c>
      <c r="V9016" s="122"/>
      <c r="W9016" s="124"/>
      <c r="X9016" s="126"/>
      <c r="Y9016" s="127"/>
      <c r="Z9016" s="127"/>
      <c r="AA9016" s="127"/>
      <c r="AB9016" s="128"/>
      <c r="AC9016" s="15" t="s">
        <v>20</v>
      </c>
      <c r="AD9016" s="129" t="s">
        <v>5525</v>
      </c>
      <c r="AE9016" s="130"/>
      <c r="AF9016" s="130"/>
      <c r="AG9016" s="130"/>
      <c r="AH9016" s="130"/>
      <c r="AI9016" s="131"/>
      <c r="AJ9016" s="132"/>
      <c r="AK9016" s="127"/>
      <c r="AL9016" s="128"/>
      <c r="AM9016" s="21"/>
      <c r="AN9016" s="133"/>
      <c r="AO9016" s="134"/>
      <c r="AP9016" s="135"/>
      <c r="AQ9016" s="136"/>
      <c r="AR9016" s="118"/>
      <c r="AS9016" s="119"/>
      <c r="AT9016" s="118">
        <f t="shared" ref="AT9016" si="13925">AR9016*0.1</f>
        <v>0</v>
      </c>
      <c r="AU9016" s="119"/>
      <c r="AV9016" s="118"/>
      <c r="AW9016" s="119"/>
      <c r="AX9016" s="118">
        <f t="shared" ref="AX9016" si="13926">SUM(AR9016:AW9016)</f>
        <v>0</v>
      </c>
      <c r="AY9016" s="119"/>
      <c r="AZ9016" s="137"/>
    </row>
    <row r="9017" spans="1:52" ht="17.100000000000001" customHeight="1" thickBot="1">
      <c r="A9017" s="110"/>
      <c r="B9017" s="27" t="s">
        <v>2200</v>
      </c>
      <c r="C9017" s="27">
        <v>50181</v>
      </c>
      <c r="D9017" s="14" t="s">
        <v>3809</v>
      </c>
      <c r="E9017" s="112"/>
      <c r="F9017" s="139" t="s">
        <v>25764</v>
      </c>
      <c r="G9017" s="140"/>
      <c r="H9017" s="141"/>
      <c r="I9017" s="26">
        <v>14882</v>
      </c>
      <c r="J9017" s="117"/>
      <c r="K9017" s="120"/>
      <c r="L9017" s="121"/>
      <c r="M9017" s="120"/>
      <c r="N9017" s="121"/>
      <c r="O9017" s="120"/>
      <c r="P9017" s="121"/>
      <c r="Q9017" s="120"/>
      <c r="R9017" s="121"/>
      <c r="S9017" s="120"/>
      <c r="T9017" s="121"/>
      <c r="U9017" s="120"/>
      <c r="V9017" s="123"/>
      <c r="W9017" s="125"/>
      <c r="X9017" s="142"/>
      <c r="Y9017" s="143"/>
      <c r="Z9017" s="143"/>
      <c r="AA9017" s="143"/>
      <c r="AB9017" s="144"/>
      <c r="AC9017" s="16" t="s">
        <v>21</v>
      </c>
      <c r="AD9017" s="17"/>
      <c r="AE9017" s="145"/>
      <c r="AF9017" s="146"/>
      <c r="AG9017" s="146"/>
      <c r="AH9017" s="146"/>
      <c r="AI9017" s="147"/>
      <c r="AJ9017" s="148"/>
      <c r="AK9017" s="143"/>
      <c r="AL9017" s="144"/>
      <c r="AM9017" s="22"/>
      <c r="AN9017" s="149"/>
      <c r="AO9017" s="144"/>
      <c r="AP9017" s="148"/>
      <c r="AQ9017" s="144"/>
      <c r="AR9017" s="120"/>
      <c r="AS9017" s="121"/>
      <c r="AT9017" s="120"/>
      <c r="AU9017" s="121"/>
      <c r="AV9017" s="120"/>
      <c r="AW9017" s="121"/>
      <c r="AX9017" s="120"/>
      <c r="AY9017" s="121"/>
      <c r="AZ9017" s="138"/>
    </row>
    <row r="9018" spans="1:52" ht="17.100000000000001" customHeight="1" thickTop="1">
      <c r="A9018" s="109" t="s">
        <v>25750</v>
      </c>
      <c r="B9018" s="28">
        <v>46156</v>
      </c>
      <c r="C9018" s="25">
        <v>2026</v>
      </c>
      <c r="D9018" s="13" t="s">
        <v>1930</v>
      </c>
      <c r="E9018" s="111"/>
      <c r="F9018" s="113" t="s">
        <v>3908</v>
      </c>
      <c r="G9018" s="114"/>
      <c r="H9018" s="115"/>
      <c r="I9018" s="24" t="s">
        <v>1547</v>
      </c>
      <c r="J9018" s="116">
        <v>4.5</v>
      </c>
      <c r="K9018" s="118">
        <v>1063000</v>
      </c>
      <c r="L9018" s="119"/>
      <c r="M9018" s="118">
        <f t="shared" ref="M9018" si="13927">K9018*0.1</f>
        <v>106300</v>
      </c>
      <c r="N9018" s="119"/>
      <c r="O9018" s="118">
        <v>0</v>
      </c>
      <c r="P9018" s="119"/>
      <c r="Q9018" s="118">
        <v>5340</v>
      </c>
      <c r="R9018" s="119"/>
      <c r="S9018" s="118">
        <v>22000</v>
      </c>
      <c r="T9018" s="119"/>
      <c r="U9018" s="118">
        <f t="shared" ref="U9018" si="13928">SUM(K9018:T9019)</f>
        <v>1196640</v>
      </c>
      <c r="V9018" s="122"/>
      <c r="W9018" s="124"/>
      <c r="X9018" s="126"/>
      <c r="Y9018" s="127"/>
      <c r="Z9018" s="127"/>
      <c r="AA9018" s="127"/>
      <c r="AB9018" s="128"/>
      <c r="AC9018" s="15" t="s">
        <v>20</v>
      </c>
      <c r="AD9018" s="129" t="s">
        <v>25910</v>
      </c>
      <c r="AE9018" s="130"/>
      <c r="AF9018" s="130"/>
      <c r="AG9018" s="130"/>
      <c r="AH9018" s="130"/>
      <c r="AI9018" s="131"/>
      <c r="AJ9018" s="132"/>
      <c r="AK9018" s="127"/>
      <c r="AL9018" s="128"/>
      <c r="AM9018" s="21"/>
      <c r="AN9018" s="133"/>
      <c r="AO9018" s="134"/>
      <c r="AP9018" s="135"/>
      <c r="AQ9018" s="136"/>
      <c r="AR9018" s="118"/>
      <c r="AS9018" s="119"/>
      <c r="AT9018" s="118">
        <f t="shared" ref="AT9018" si="13929">AR9018*0.1</f>
        <v>0</v>
      </c>
      <c r="AU9018" s="119"/>
      <c r="AV9018" s="118"/>
      <c r="AW9018" s="119"/>
      <c r="AX9018" s="118">
        <f t="shared" ref="AX9018" si="13930">SUM(AR9018:AW9018)</f>
        <v>0</v>
      </c>
      <c r="AY9018" s="119"/>
      <c r="AZ9018" s="137"/>
    </row>
    <row r="9019" spans="1:52" ht="17.100000000000001" customHeight="1" thickBot="1">
      <c r="A9019" s="110"/>
      <c r="B9019" s="27" t="s">
        <v>2200</v>
      </c>
      <c r="C9019" s="27">
        <v>50199</v>
      </c>
      <c r="D9019" s="14" t="s">
        <v>2800</v>
      </c>
      <c r="E9019" s="112"/>
      <c r="F9019" s="139" t="s">
        <v>25765</v>
      </c>
      <c r="G9019" s="140"/>
      <c r="H9019" s="141"/>
      <c r="I9019" s="26">
        <v>427</v>
      </c>
      <c r="J9019" s="117"/>
      <c r="K9019" s="120"/>
      <c r="L9019" s="121"/>
      <c r="M9019" s="120"/>
      <c r="N9019" s="121"/>
      <c r="O9019" s="120"/>
      <c r="P9019" s="121"/>
      <c r="Q9019" s="120"/>
      <c r="R9019" s="121"/>
      <c r="S9019" s="120"/>
      <c r="T9019" s="121"/>
      <c r="U9019" s="120"/>
      <c r="V9019" s="123"/>
      <c r="W9019" s="125"/>
      <c r="X9019" s="142"/>
      <c r="Y9019" s="143"/>
      <c r="Z9019" s="143"/>
      <c r="AA9019" s="143"/>
      <c r="AB9019" s="144"/>
      <c r="AC9019" s="16" t="s">
        <v>21</v>
      </c>
      <c r="AD9019" s="17"/>
      <c r="AE9019" s="145"/>
      <c r="AF9019" s="146"/>
      <c r="AG9019" s="146"/>
      <c r="AH9019" s="146"/>
      <c r="AI9019" s="147"/>
      <c r="AJ9019" s="148"/>
      <c r="AK9019" s="143"/>
      <c r="AL9019" s="144"/>
      <c r="AM9019" s="22"/>
      <c r="AN9019" s="149"/>
      <c r="AO9019" s="144"/>
      <c r="AP9019" s="148"/>
      <c r="AQ9019" s="144"/>
      <c r="AR9019" s="120"/>
      <c r="AS9019" s="121"/>
      <c r="AT9019" s="120"/>
      <c r="AU9019" s="121"/>
      <c r="AV9019" s="120"/>
      <c r="AW9019" s="121"/>
      <c r="AX9019" s="120"/>
      <c r="AY9019" s="121"/>
      <c r="AZ9019" s="138"/>
    </row>
    <row r="9020" spans="1:52" ht="17.100000000000001" customHeight="1" thickTop="1">
      <c r="A9020" s="109" t="s">
        <v>25751</v>
      </c>
      <c r="B9020" s="28">
        <v>46156</v>
      </c>
      <c r="C9020" s="25">
        <v>2026</v>
      </c>
      <c r="D9020" s="13" t="s">
        <v>1929</v>
      </c>
      <c r="E9020" s="111"/>
      <c r="F9020" s="113" t="s">
        <v>7673</v>
      </c>
      <c r="G9020" s="114"/>
      <c r="H9020" s="115"/>
      <c r="I9020" s="24"/>
      <c r="J9020" s="116">
        <v>4</v>
      </c>
      <c r="K9020" s="118">
        <v>313000</v>
      </c>
      <c r="L9020" s="119"/>
      <c r="M9020" s="118">
        <v>0</v>
      </c>
      <c r="N9020" s="119"/>
      <c r="O9020" s="118">
        <v>0</v>
      </c>
      <c r="P9020" s="119"/>
      <c r="Q9020" s="118">
        <v>9550</v>
      </c>
      <c r="R9020" s="119"/>
      <c r="S9020" s="118">
        <v>22000</v>
      </c>
      <c r="T9020" s="119"/>
      <c r="U9020" s="118">
        <f t="shared" ref="U9020" si="13931">SUM(K9020:T9021)</f>
        <v>344550</v>
      </c>
      <c r="V9020" s="122"/>
      <c r="W9020" s="124"/>
      <c r="X9020" s="126"/>
      <c r="Y9020" s="127"/>
      <c r="Z9020" s="127"/>
      <c r="AA9020" s="127"/>
      <c r="AB9020" s="128"/>
      <c r="AC9020" s="15" t="s">
        <v>20</v>
      </c>
      <c r="AD9020" s="129" t="s">
        <v>22437</v>
      </c>
      <c r="AE9020" s="130"/>
      <c r="AF9020" s="130"/>
      <c r="AG9020" s="130"/>
      <c r="AH9020" s="130"/>
      <c r="AI9020" s="131"/>
      <c r="AJ9020" s="132" t="s">
        <v>25770</v>
      </c>
      <c r="AK9020" s="127"/>
      <c r="AL9020" s="128"/>
      <c r="AM9020" s="21"/>
      <c r="AN9020" s="133"/>
      <c r="AO9020" s="134"/>
      <c r="AP9020" s="135"/>
      <c r="AQ9020" s="136"/>
      <c r="AR9020" s="118"/>
      <c r="AS9020" s="119"/>
      <c r="AT9020" s="118">
        <f t="shared" ref="AT9020" si="13932">AR9020*0.1</f>
        <v>0</v>
      </c>
      <c r="AU9020" s="119"/>
      <c r="AV9020" s="118"/>
      <c r="AW9020" s="119"/>
      <c r="AX9020" s="118">
        <f t="shared" ref="AX9020" si="13933">SUM(AR9020:AW9020)</f>
        <v>0</v>
      </c>
      <c r="AY9020" s="119"/>
      <c r="AZ9020" s="137"/>
    </row>
    <row r="9021" spans="1:52" ht="17.100000000000001" customHeight="1" thickBot="1">
      <c r="A9021" s="110"/>
      <c r="B9021" s="27" t="s">
        <v>2200</v>
      </c>
      <c r="C9021" s="27">
        <v>50202</v>
      </c>
      <c r="D9021" s="14" t="s">
        <v>3855</v>
      </c>
      <c r="E9021" s="112"/>
      <c r="F9021" s="139" t="s">
        <v>25766</v>
      </c>
      <c r="G9021" s="140"/>
      <c r="H9021" s="141"/>
      <c r="I9021" s="26">
        <v>59092</v>
      </c>
      <c r="J9021" s="117"/>
      <c r="K9021" s="120"/>
      <c r="L9021" s="121"/>
      <c r="M9021" s="120"/>
      <c r="N9021" s="121"/>
      <c r="O9021" s="120"/>
      <c r="P9021" s="121"/>
      <c r="Q9021" s="120"/>
      <c r="R9021" s="121"/>
      <c r="S9021" s="120"/>
      <c r="T9021" s="121"/>
      <c r="U9021" s="120"/>
      <c r="V9021" s="123"/>
      <c r="W9021" s="125"/>
      <c r="X9021" s="142"/>
      <c r="Y9021" s="143"/>
      <c r="Z9021" s="143"/>
      <c r="AA9021" s="143"/>
      <c r="AB9021" s="144"/>
      <c r="AC9021" s="16" t="s">
        <v>21</v>
      </c>
      <c r="AD9021" s="17"/>
      <c r="AE9021" s="145"/>
      <c r="AF9021" s="146"/>
      <c r="AG9021" s="146"/>
      <c r="AH9021" s="146"/>
      <c r="AI9021" s="147"/>
      <c r="AJ9021" s="148"/>
      <c r="AK9021" s="143"/>
      <c r="AL9021" s="144"/>
      <c r="AM9021" s="22"/>
      <c r="AN9021" s="149"/>
      <c r="AO9021" s="144"/>
      <c r="AP9021" s="148"/>
      <c r="AQ9021" s="144"/>
      <c r="AR9021" s="120"/>
      <c r="AS9021" s="121"/>
      <c r="AT9021" s="120"/>
      <c r="AU9021" s="121"/>
      <c r="AV9021" s="120"/>
      <c r="AW9021" s="121"/>
      <c r="AX9021" s="120"/>
      <c r="AY9021" s="121"/>
      <c r="AZ9021" s="138"/>
    </row>
    <row r="9022" spans="1:52" ht="17.100000000000001" customHeight="1" thickTop="1">
      <c r="A9022" s="109" t="s">
        <v>25752</v>
      </c>
      <c r="B9022" s="28">
        <v>46156</v>
      </c>
      <c r="C9022" s="25">
        <v>2026</v>
      </c>
      <c r="D9022" s="13" t="s">
        <v>2415</v>
      </c>
      <c r="E9022" s="111"/>
      <c r="F9022" s="113" t="s">
        <v>6741</v>
      </c>
      <c r="G9022" s="114"/>
      <c r="H9022" s="115"/>
      <c r="I9022" s="24" t="s">
        <v>4096</v>
      </c>
      <c r="J9022" s="116">
        <v>4</v>
      </c>
      <c r="K9022" s="118">
        <v>787000</v>
      </c>
      <c r="L9022" s="119"/>
      <c r="M9022" s="118">
        <f t="shared" ref="M9022" si="13934">K9022*0.1</f>
        <v>78700</v>
      </c>
      <c r="N9022" s="119"/>
      <c r="O9022" s="118">
        <v>0</v>
      </c>
      <c r="P9022" s="119"/>
      <c r="Q9022" s="118">
        <v>6860</v>
      </c>
      <c r="R9022" s="119"/>
      <c r="S9022" s="118">
        <v>22000</v>
      </c>
      <c r="T9022" s="119"/>
      <c r="U9022" s="118">
        <f t="shared" ref="U9022" si="13935">SUM(K9022:T9023)</f>
        <v>894560</v>
      </c>
      <c r="V9022" s="122"/>
      <c r="W9022" s="124"/>
      <c r="X9022" s="126" t="s">
        <v>25896</v>
      </c>
      <c r="Y9022" s="127"/>
      <c r="Z9022" s="127"/>
      <c r="AA9022" s="127"/>
      <c r="AB9022" s="128"/>
      <c r="AC9022" s="15" t="s">
        <v>20</v>
      </c>
      <c r="AD9022" s="129"/>
      <c r="AE9022" s="130"/>
      <c r="AF9022" s="130"/>
      <c r="AG9022" s="130"/>
      <c r="AH9022" s="130"/>
      <c r="AI9022" s="131"/>
      <c r="AJ9022" s="132"/>
      <c r="AK9022" s="127"/>
      <c r="AL9022" s="128"/>
      <c r="AM9022" s="21"/>
      <c r="AN9022" s="133"/>
      <c r="AO9022" s="134"/>
      <c r="AP9022" s="135"/>
      <c r="AQ9022" s="136"/>
      <c r="AR9022" s="118"/>
      <c r="AS9022" s="119"/>
      <c r="AT9022" s="118">
        <f t="shared" ref="AT9022" si="13936">AR9022*0.1</f>
        <v>0</v>
      </c>
      <c r="AU9022" s="119"/>
      <c r="AV9022" s="118"/>
      <c r="AW9022" s="119"/>
      <c r="AX9022" s="118">
        <f t="shared" ref="AX9022" si="13937">SUM(AR9022:AW9022)</f>
        <v>0</v>
      </c>
      <c r="AY9022" s="119"/>
      <c r="AZ9022" s="137"/>
    </row>
    <row r="9023" spans="1:52" ht="17.100000000000001" customHeight="1" thickBot="1">
      <c r="A9023" s="110"/>
      <c r="B9023" s="27" t="s">
        <v>2200</v>
      </c>
      <c r="C9023" s="27">
        <v>50235</v>
      </c>
      <c r="D9023" s="14" t="s">
        <v>1592</v>
      </c>
      <c r="E9023" s="112"/>
      <c r="F9023" s="139" t="s">
        <v>25767</v>
      </c>
      <c r="G9023" s="140"/>
      <c r="H9023" s="141"/>
      <c r="I9023" s="26">
        <v>9297</v>
      </c>
      <c r="J9023" s="117"/>
      <c r="K9023" s="120"/>
      <c r="L9023" s="121"/>
      <c r="M9023" s="120"/>
      <c r="N9023" s="121"/>
      <c r="O9023" s="120"/>
      <c r="P9023" s="121"/>
      <c r="Q9023" s="120"/>
      <c r="R9023" s="121"/>
      <c r="S9023" s="120"/>
      <c r="T9023" s="121"/>
      <c r="U9023" s="120"/>
      <c r="V9023" s="123"/>
      <c r="W9023" s="125"/>
      <c r="X9023" s="142"/>
      <c r="Y9023" s="143"/>
      <c r="Z9023" s="143"/>
      <c r="AA9023" s="143"/>
      <c r="AB9023" s="144"/>
      <c r="AC9023" s="16" t="s">
        <v>21</v>
      </c>
      <c r="AD9023" s="17"/>
      <c r="AE9023" s="145"/>
      <c r="AF9023" s="146"/>
      <c r="AG9023" s="146"/>
      <c r="AH9023" s="146"/>
      <c r="AI9023" s="147"/>
      <c r="AJ9023" s="148"/>
      <c r="AK9023" s="143"/>
      <c r="AL9023" s="144"/>
      <c r="AM9023" s="22"/>
      <c r="AN9023" s="149"/>
      <c r="AO9023" s="144"/>
      <c r="AP9023" s="148"/>
      <c r="AQ9023" s="144"/>
      <c r="AR9023" s="120"/>
      <c r="AS9023" s="121"/>
      <c r="AT9023" s="120"/>
      <c r="AU9023" s="121"/>
      <c r="AV9023" s="120"/>
      <c r="AW9023" s="121"/>
      <c r="AX9023" s="120"/>
      <c r="AY9023" s="121"/>
      <c r="AZ9023" s="138"/>
    </row>
    <row r="9024" spans="1:52" ht="17.100000000000001" customHeight="1" thickTop="1">
      <c r="A9024" s="109" t="s">
        <v>25753</v>
      </c>
      <c r="B9024" s="28">
        <v>46156</v>
      </c>
      <c r="C9024" s="25">
        <v>2026</v>
      </c>
      <c r="D9024" s="13" t="s">
        <v>1937</v>
      </c>
      <c r="E9024" s="111"/>
      <c r="F9024" s="113" t="s">
        <v>25897</v>
      </c>
      <c r="G9024" s="114"/>
      <c r="H9024" s="115"/>
      <c r="I9024" s="24" t="s">
        <v>2956</v>
      </c>
      <c r="J9024" s="116">
        <v>4</v>
      </c>
      <c r="K9024" s="118">
        <v>279000</v>
      </c>
      <c r="L9024" s="119"/>
      <c r="M9024" s="118">
        <f t="shared" ref="M9024" si="13938">K9024*0.1</f>
        <v>27900</v>
      </c>
      <c r="N9024" s="119"/>
      <c r="O9024" s="118">
        <v>0</v>
      </c>
      <c r="P9024" s="119"/>
      <c r="Q9024" s="118">
        <v>8460</v>
      </c>
      <c r="R9024" s="119"/>
      <c r="S9024" s="118">
        <v>22000</v>
      </c>
      <c r="T9024" s="119"/>
      <c r="U9024" s="118">
        <f t="shared" ref="U9024" si="13939">SUM(K9024:T9025)</f>
        <v>337360</v>
      </c>
      <c r="V9024" s="122"/>
      <c r="W9024" s="124"/>
      <c r="X9024" s="126"/>
      <c r="Y9024" s="127"/>
      <c r="Z9024" s="127"/>
      <c r="AA9024" s="127"/>
      <c r="AB9024" s="128"/>
      <c r="AC9024" s="15" t="s">
        <v>20</v>
      </c>
      <c r="AD9024" s="129" t="s">
        <v>25898</v>
      </c>
      <c r="AE9024" s="130"/>
      <c r="AF9024" s="130"/>
      <c r="AG9024" s="130"/>
      <c r="AH9024" s="130"/>
      <c r="AI9024" s="131"/>
      <c r="AJ9024" s="132"/>
      <c r="AK9024" s="127"/>
      <c r="AL9024" s="128"/>
      <c r="AM9024" s="21"/>
      <c r="AN9024" s="133"/>
      <c r="AO9024" s="134"/>
      <c r="AP9024" s="135"/>
      <c r="AQ9024" s="136"/>
      <c r="AR9024" s="118"/>
      <c r="AS9024" s="119"/>
      <c r="AT9024" s="118">
        <f t="shared" ref="AT9024" si="13940">AR9024*0.1</f>
        <v>0</v>
      </c>
      <c r="AU9024" s="119"/>
      <c r="AV9024" s="118"/>
      <c r="AW9024" s="119"/>
      <c r="AX9024" s="118">
        <f t="shared" ref="AX9024" si="13941">SUM(AR9024:AW9024)</f>
        <v>0</v>
      </c>
      <c r="AY9024" s="119"/>
      <c r="AZ9024" s="137"/>
    </row>
    <row r="9025" spans="1:52" ht="17.100000000000001" customHeight="1" thickBot="1">
      <c r="A9025" s="110"/>
      <c r="B9025" s="27" t="s">
        <v>2200</v>
      </c>
      <c r="C9025" s="27">
        <v>50254</v>
      </c>
      <c r="D9025" s="14" t="s">
        <v>275</v>
      </c>
      <c r="E9025" s="112"/>
      <c r="F9025" s="139" t="s">
        <v>25768</v>
      </c>
      <c r="G9025" s="140"/>
      <c r="H9025" s="141"/>
      <c r="I9025" s="26">
        <v>48856</v>
      </c>
      <c r="J9025" s="117"/>
      <c r="K9025" s="120"/>
      <c r="L9025" s="121"/>
      <c r="M9025" s="120"/>
      <c r="N9025" s="121"/>
      <c r="O9025" s="120"/>
      <c r="P9025" s="121"/>
      <c r="Q9025" s="120"/>
      <c r="R9025" s="121"/>
      <c r="S9025" s="120"/>
      <c r="T9025" s="121"/>
      <c r="U9025" s="120"/>
      <c r="V9025" s="123"/>
      <c r="W9025" s="125"/>
      <c r="X9025" s="142"/>
      <c r="Y9025" s="143"/>
      <c r="Z9025" s="143"/>
      <c r="AA9025" s="143"/>
      <c r="AB9025" s="144"/>
      <c r="AC9025" s="16" t="s">
        <v>21</v>
      </c>
      <c r="AD9025" s="17"/>
      <c r="AE9025" s="145"/>
      <c r="AF9025" s="146"/>
      <c r="AG9025" s="146"/>
      <c r="AH9025" s="146"/>
      <c r="AI9025" s="147"/>
      <c r="AJ9025" s="148"/>
      <c r="AK9025" s="143"/>
      <c r="AL9025" s="144"/>
      <c r="AM9025" s="22"/>
      <c r="AN9025" s="149"/>
      <c r="AO9025" s="144"/>
      <c r="AP9025" s="148"/>
      <c r="AQ9025" s="144"/>
      <c r="AR9025" s="120"/>
      <c r="AS9025" s="121"/>
      <c r="AT9025" s="120"/>
      <c r="AU9025" s="121"/>
      <c r="AV9025" s="120"/>
      <c r="AW9025" s="121"/>
      <c r="AX9025" s="120"/>
      <c r="AY9025" s="121"/>
      <c r="AZ9025" s="138"/>
    </row>
    <row r="9026" spans="1:52" ht="17.100000000000001" customHeight="1" thickTop="1">
      <c r="A9026" s="109" t="s">
        <v>25754</v>
      </c>
      <c r="B9026" s="28">
        <v>46156</v>
      </c>
      <c r="C9026" s="25">
        <v>2026</v>
      </c>
      <c r="D9026" s="13" t="s">
        <v>2157</v>
      </c>
      <c r="E9026" s="111"/>
      <c r="F9026" s="113" t="s">
        <v>25899</v>
      </c>
      <c r="G9026" s="114"/>
      <c r="H9026" s="115"/>
      <c r="I9026" s="24" t="s">
        <v>4314</v>
      </c>
      <c r="J9026" s="116">
        <v>4</v>
      </c>
      <c r="K9026" s="118">
        <v>240000</v>
      </c>
      <c r="L9026" s="119"/>
      <c r="M9026" s="118">
        <f t="shared" ref="M9026" si="13942">K9026*0.1</f>
        <v>24000</v>
      </c>
      <c r="N9026" s="119"/>
      <c r="O9026" s="118">
        <v>0</v>
      </c>
      <c r="P9026" s="119"/>
      <c r="Q9026" s="118">
        <v>8930</v>
      </c>
      <c r="R9026" s="119"/>
      <c r="S9026" s="118">
        <v>22000</v>
      </c>
      <c r="T9026" s="119"/>
      <c r="U9026" s="118">
        <f t="shared" ref="U9026" si="13943">SUM(K9026:T9027)</f>
        <v>294930</v>
      </c>
      <c r="V9026" s="122"/>
      <c r="W9026" s="124"/>
      <c r="X9026" s="126"/>
      <c r="Y9026" s="127"/>
      <c r="Z9026" s="127"/>
      <c r="AA9026" s="127"/>
      <c r="AB9026" s="128"/>
      <c r="AC9026" s="15" t="s">
        <v>20</v>
      </c>
      <c r="AD9026" s="129" t="s">
        <v>3896</v>
      </c>
      <c r="AE9026" s="130"/>
      <c r="AF9026" s="130"/>
      <c r="AG9026" s="130"/>
      <c r="AH9026" s="130"/>
      <c r="AI9026" s="131"/>
      <c r="AJ9026" s="132"/>
      <c r="AK9026" s="127"/>
      <c r="AL9026" s="128"/>
      <c r="AM9026" s="21"/>
      <c r="AN9026" s="133"/>
      <c r="AO9026" s="134"/>
      <c r="AP9026" s="135"/>
      <c r="AQ9026" s="136"/>
      <c r="AR9026" s="118"/>
      <c r="AS9026" s="119"/>
      <c r="AT9026" s="118">
        <f t="shared" ref="AT9026" si="13944">AR9026*0.1</f>
        <v>0</v>
      </c>
      <c r="AU9026" s="119"/>
      <c r="AV9026" s="118"/>
      <c r="AW9026" s="119"/>
      <c r="AX9026" s="118">
        <f t="shared" ref="AX9026" si="13945">SUM(AR9026:AW9026)</f>
        <v>0</v>
      </c>
      <c r="AY9026" s="119"/>
      <c r="AZ9026" s="137"/>
    </row>
    <row r="9027" spans="1:52" ht="17.100000000000001" customHeight="1" thickBot="1">
      <c r="A9027" s="110"/>
      <c r="B9027" s="27" t="s">
        <v>2200</v>
      </c>
      <c r="C9027" s="27">
        <v>90175</v>
      </c>
      <c r="D9027" s="14" t="s">
        <v>1720</v>
      </c>
      <c r="E9027" s="112"/>
      <c r="F9027" s="139" t="s">
        <v>25769</v>
      </c>
      <c r="G9027" s="140"/>
      <c r="H9027" s="141"/>
      <c r="I9027" s="26">
        <v>14383</v>
      </c>
      <c r="J9027" s="117"/>
      <c r="K9027" s="120"/>
      <c r="L9027" s="121"/>
      <c r="M9027" s="120"/>
      <c r="N9027" s="121"/>
      <c r="O9027" s="120"/>
      <c r="P9027" s="121"/>
      <c r="Q9027" s="120"/>
      <c r="R9027" s="121"/>
      <c r="S9027" s="120"/>
      <c r="T9027" s="121"/>
      <c r="U9027" s="120"/>
      <c r="V9027" s="123"/>
      <c r="W9027" s="125"/>
      <c r="X9027" s="142"/>
      <c r="Y9027" s="143"/>
      <c r="Z9027" s="143"/>
      <c r="AA9027" s="143"/>
      <c r="AB9027" s="144"/>
      <c r="AC9027" s="16" t="s">
        <v>21</v>
      </c>
      <c r="AD9027" s="17"/>
      <c r="AE9027" s="145"/>
      <c r="AF9027" s="146"/>
      <c r="AG9027" s="146"/>
      <c r="AH9027" s="146"/>
      <c r="AI9027" s="147"/>
      <c r="AJ9027" s="148"/>
      <c r="AK9027" s="143"/>
      <c r="AL9027" s="144"/>
      <c r="AM9027" s="22"/>
      <c r="AN9027" s="149"/>
      <c r="AO9027" s="144"/>
      <c r="AP9027" s="148"/>
      <c r="AQ9027" s="144"/>
      <c r="AR9027" s="120"/>
      <c r="AS9027" s="121"/>
      <c r="AT9027" s="120"/>
      <c r="AU9027" s="121"/>
      <c r="AV9027" s="120"/>
      <c r="AW9027" s="121"/>
      <c r="AX9027" s="120"/>
      <c r="AY9027" s="121"/>
      <c r="AZ9027" s="138"/>
    </row>
    <row r="9028" spans="1:52" ht="17.100000000000001" customHeight="1" thickTop="1">
      <c r="A9028" s="109" t="s">
        <v>25755</v>
      </c>
      <c r="B9028" s="28">
        <v>46157</v>
      </c>
      <c r="C9028" s="25"/>
      <c r="D9028" s="13" t="s">
        <v>1922</v>
      </c>
      <c r="E9028" s="111"/>
      <c r="F9028" s="113" t="s">
        <v>25914</v>
      </c>
      <c r="G9028" s="114"/>
      <c r="H9028" s="115"/>
      <c r="I9028" s="24" t="s">
        <v>2571</v>
      </c>
      <c r="J9028" s="116">
        <v>4</v>
      </c>
      <c r="K9028" s="118">
        <v>2125000</v>
      </c>
      <c r="L9028" s="119"/>
      <c r="M9028" s="118">
        <f t="shared" ref="M9028" si="13946">K9028*0.1</f>
        <v>212500</v>
      </c>
      <c r="N9028" s="119"/>
      <c r="O9028" s="118">
        <v>20300</v>
      </c>
      <c r="P9028" s="119"/>
      <c r="Q9028" s="118">
        <v>11740</v>
      </c>
      <c r="R9028" s="119"/>
      <c r="S9028" s="118">
        <v>0</v>
      </c>
      <c r="T9028" s="119"/>
      <c r="U9028" s="118">
        <f t="shared" ref="U9028" si="13947">SUM(K9028:T9029)</f>
        <v>2369540</v>
      </c>
      <c r="V9028" s="122"/>
      <c r="W9028" s="124"/>
      <c r="X9028" s="126"/>
      <c r="Y9028" s="127"/>
      <c r="Z9028" s="127"/>
      <c r="AA9028" s="127"/>
      <c r="AB9028" s="128"/>
      <c r="AC9028" s="15" t="s">
        <v>20</v>
      </c>
      <c r="AD9028" s="129" t="s">
        <v>25998</v>
      </c>
      <c r="AE9028" s="130"/>
      <c r="AF9028" s="130"/>
      <c r="AG9028" s="130"/>
      <c r="AH9028" s="130"/>
      <c r="AI9028" s="131"/>
      <c r="AJ9028" s="132"/>
      <c r="AK9028" s="127"/>
      <c r="AL9028" s="128"/>
      <c r="AM9028" s="21"/>
      <c r="AN9028" s="133"/>
      <c r="AO9028" s="134"/>
      <c r="AP9028" s="135"/>
      <c r="AQ9028" s="136"/>
      <c r="AR9028" s="118"/>
      <c r="AS9028" s="119"/>
      <c r="AT9028" s="118">
        <f t="shared" ref="AT9028" si="13948">AR9028*0.1</f>
        <v>0</v>
      </c>
      <c r="AU9028" s="119"/>
      <c r="AV9028" s="118"/>
      <c r="AW9028" s="119"/>
      <c r="AX9028" s="118">
        <f t="shared" ref="AX9028" si="13949">SUM(AR9028:AW9028)</f>
        <v>0</v>
      </c>
      <c r="AY9028" s="119"/>
      <c r="AZ9028" s="137"/>
    </row>
    <row r="9029" spans="1:52" ht="17.100000000000001" customHeight="1" thickBot="1">
      <c r="A9029" s="110"/>
      <c r="B9029" s="27" t="s">
        <v>1718</v>
      </c>
      <c r="C9029" s="27" t="s">
        <v>25778</v>
      </c>
      <c r="D9029" s="14" t="s">
        <v>2601</v>
      </c>
      <c r="E9029" s="112"/>
      <c r="F9029" s="139" t="s">
        <v>25915</v>
      </c>
      <c r="G9029" s="140"/>
      <c r="H9029" s="141"/>
      <c r="I9029" s="26">
        <v>55152</v>
      </c>
      <c r="J9029" s="117"/>
      <c r="K9029" s="120"/>
      <c r="L9029" s="121"/>
      <c r="M9029" s="120"/>
      <c r="N9029" s="121"/>
      <c r="O9029" s="120"/>
      <c r="P9029" s="121"/>
      <c r="Q9029" s="120"/>
      <c r="R9029" s="121"/>
      <c r="S9029" s="120"/>
      <c r="T9029" s="121"/>
      <c r="U9029" s="120"/>
      <c r="V9029" s="123"/>
      <c r="W9029" s="125"/>
      <c r="X9029" s="142"/>
      <c r="Y9029" s="143"/>
      <c r="Z9029" s="143"/>
      <c r="AA9029" s="143"/>
      <c r="AB9029" s="144"/>
      <c r="AC9029" s="16" t="s">
        <v>21</v>
      </c>
      <c r="AD9029" s="17"/>
      <c r="AE9029" s="145"/>
      <c r="AF9029" s="146"/>
      <c r="AG9029" s="146"/>
      <c r="AH9029" s="146"/>
      <c r="AI9029" s="147"/>
      <c r="AJ9029" s="148"/>
      <c r="AK9029" s="143"/>
      <c r="AL9029" s="144"/>
      <c r="AM9029" s="22"/>
      <c r="AN9029" s="149"/>
      <c r="AO9029" s="144"/>
      <c r="AP9029" s="148"/>
      <c r="AQ9029" s="144"/>
      <c r="AR9029" s="120"/>
      <c r="AS9029" s="121"/>
      <c r="AT9029" s="120"/>
      <c r="AU9029" s="121"/>
      <c r="AV9029" s="120"/>
      <c r="AW9029" s="121"/>
      <c r="AX9029" s="120"/>
      <c r="AY9029" s="121"/>
      <c r="AZ9029" s="138"/>
    </row>
    <row r="9030" spans="1:52" ht="17.100000000000001" customHeight="1" thickTop="1">
      <c r="A9030" s="109" t="s">
        <v>25771</v>
      </c>
      <c r="B9030" s="28">
        <v>46157</v>
      </c>
      <c r="C9030" s="25"/>
      <c r="D9030" s="13" t="s">
        <v>2494</v>
      </c>
      <c r="E9030" s="111"/>
      <c r="F9030" s="113" t="s">
        <v>25912</v>
      </c>
      <c r="G9030" s="114"/>
      <c r="H9030" s="115"/>
      <c r="I9030" s="24" t="s">
        <v>1613</v>
      </c>
      <c r="J9030" s="116">
        <v>5</v>
      </c>
      <c r="K9030" s="118">
        <v>5340000</v>
      </c>
      <c r="L9030" s="119"/>
      <c r="M9030" s="118">
        <f t="shared" ref="M9030" si="13950">K9030*0.1</f>
        <v>534000</v>
      </c>
      <c r="N9030" s="119"/>
      <c r="O9030" s="118">
        <v>32600</v>
      </c>
      <c r="P9030" s="119"/>
      <c r="Q9030" s="118">
        <v>15760</v>
      </c>
      <c r="R9030" s="119"/>
      <c r="S9030" s="118">
        <v>0</v>
      </c>
      <c r="T9030" s="119"/>
      <c r="U9030" s="118">
        <f t="shared" ref="U9030" si="13951">SUM(K9030:T9031)</f>
        <v>5922360</v>
      </c>
      <c r="V9030" s="122"/>
      <c r="W9030" s="124"/>
      <c r="X9030" s="126"/>
      <c r="Y9030" s="127"/>
      <c r="Z9030" s="127"/>
      <c r="AA9030" s="127"/>
      <c r="AB9030" s="128"/>
      <c r="AC9030" s="15" t="s">
        <v>20</v>
      </c>
      <c r="AD9030" s="129" t="s">
        <v>25998</v>
      </c>
      <c r="AE9030" s="130"/>
      <c r="AF9030" s="130"/>
      <c r="AG9030" s="130"/>
      <c r="AH9030" s="130"/>
      <c r="AI9030" s="131"/>
      <c r="AJ9030" s="132"/>
      <c r="AK9030" s="127"/>
      <c r="AL9030" s="128"/>
      <c r="AM9030" s="21"/>
      <c r="AN9030" s="133"/>
      <c r="AO9030" s="134"/>
      <c r="AP9030" s="135"/>
      <c r="AQ9030" s="136"/>
      <c r="AR9030" s="118"/>
      <c r="AS9030" s="119"/>
      <c r="AT9030" s="118">
        <f t="shared" ref="AT9030" si="13952">AR9030*0.1</f>
        <v>0</v>
      </c>
      <c r="AU9030" s="119"/>
      <c r="AV9030" s="118"/>
      <c r="AW9030" s="119"/>
      <c r="AX9030" s="118">
        <f t="shared" ref="AX9030" si="13953">SUM(AR9030:AW9030)</f>
        <v>0</v>
      </c>
      <c r="AY9030" s="119"/>
      <c r="AZ9030" s="137"/>
    </row>
    <row r="9031" spans="1:52" ht="17.100000000000001" customHeight="1" thickBot="1">
      <c r="A9031" s="110"/>
      <c r="B9031" s="27" t="s">
        <v>1718</v>
      </c>
      <c r="C9031" s="27" t="s">
        <v>25779</v>
      </c>
      <c r="D9031" s="14" t="s">
        <v>1592</v>
      </c>
      <c r="E9031" s="112"/>
      <c r="F9031" s="139" t="s">
        <v>25913</v>
      </c>
      <c r="G9031" s="140"/>
      <c r="H9031" s="141"/>
      <c r="I9031" s="26">
        <v>1452</v>
      </c>
      <c r="J9031" s="117"/>
      <c r="K9031" s="120"/>
      <c r="L9031" s="121"/>
      <c r="M9031" s="120"/>
      <c r="N9031" s="121"/>
      <c r="O9031" s="120"/>
      <c r="P9031" s="121"/>
      <c r="Q9031" s="120"/>
      <c r="R9031" s="121"/>
      <c r="S9031" s="120"/>
      <c r="T9031" s="121"/>
      <c r="U9031" s="120"/>
      <c r="V9031" s="123"/>
      <c r="W9031" s="125"/>
      <c r="X9031" s="142"/>
      <c r="Y9031" s="143"/>
      <c r="Z9031" s="143"/>
      <c r="AA9031" s="143"/>
      <c r="AB9031" s="144"/>
      <c r="AC9031" s="16" t="s">
        <v>21</v>
      </c>
      <c r="AD9031" s="17"/>
      <c r="AE9031" s="145"/>
      <c r="AF9031" s="146"/>
      <c r="AG9031" s="146"/>
      <c r="AH9031" s="146"/>
      <c r="AI9031" s="147"/>
      <c r="AJ9031" s="148"/>
      <c r="AK9031" s="143"/>
      <c r="AL9031" s="144"/>
      <c r="AM9031" s="22"/>
      <c r="AN9031" s="149"/>
      <c r="AO9031" s="144"/>
      <c r="AP9031" s="148"/>
      <c r="AQ9031" s="144"/>
      <c r="AR9031" s="120"/>
      <c r="AS9031" s="121"/>
      <c r="AT9031" s="120"/>
      <c r="AU9031" s="121"/>
      <c r="AV9031" s="120"/>
      <c r="AW9031" s="121"/>
      <c r="AX9031" s="120"/>
      <c r="AY9031" s="121"/>
      <c r="AZ9031" s="138"/>
    </row>
    <row r="9032" spans="1:52" ht="17.100000000000001" customHeight="1" thickTop="1">
      <c r="A9032" s="109" t="s">
        <v>25772</v>
      </c>
      <c r="B9032" s="28">
        <v>46157</v>
      </c>
      <c r="C9032" s="25"/>
      <c r="D9032" s="13" t="s">
        <v>859</v>
      </c>
      <c r="E9032" s="111"/>
      <c r="F9032" s="113" t="s">
        <v>25241</v>
      </c>
      <c r="G9032" s="114"/>
      <c r="H9032" s="115"/>
      <c r="I9032" s="24" t="s">
        <v>3923</v>
      </c>
      <c r="J9032" s="116">
        <v>4.5</v>
      </c>
      <c r="K9032" s="118">
        <v>3245000</v>
      </c>
      <c r="L9032" s="119"/>
      <c r="M9032" s="118">
        <f t="shared" ref="M9032" si="13954">K9032*0.1</f>
        <v>324500</v>
      </c>
      <c r="N9032" s="119"/>
      <c r="O9032" s="118">
        <v>36200</v>
      </c>
      <c r="P9032" s="119"/>
      <c r="Q9032" s="118">
        <v>14900</v>
      </c>
      <c r="R9032" s="119"/>
      <c r="S9032" s="118">
        <v>0</v>
      </c>
      <c r="T9032" s="119"/>
      <c r="U9032" s="118">
        <f t="shared" ref="U9032" si="13955">SUM(K9032:T9033)</f>
        <v>3620600</v>
      </c>
      <c r="V9032" s="122"/>
      <c r="W9032" s="124"/>
      <c r="X9032" s="126"/>
      <c r="Y9032" s="127"/>
      <c r="Z9032" s="127"/>
      <c r="AA9032" s="127"/>
      <c r="AB9032" s="128"/>
      <c r="AC9032" s="15" t="s">
        <v>20</v>
      </c>
      <c r="AD9032" s="129" t="s">
        <v>25885</v>
      </c>
      <c r="AE9032" s="130"/>
      <c r="AF9032" s="130"/>
      <c r="AG9032" s="130"/>
      <c r="AH9032" s="130"/>
      <c r="AI9032" s="131"/>
      <c r="AJ9032" s="132"/>
      <c r="AK9032" s="127"/>
      <c r="AL9032" s="128"/>
      <c r="AM9032" s="21"/>
      <c r="AN9032" s="133"/>
      <c r="AO9032" s="134"/>
      <c r="AP9032" s="135"/>
      <c r="AQ9032" s="136"/>
      <c r="AR9032" s="118"/>
      <c r="AS9032" s="119"/>
      <c r="AT9032" s="118">
        <f t="shared" ref="AT9032" si="13956">AR9032*0.1</f>
        <v>0</v>
      </c>
      <c r="AU9032" s="119"/>
      <c r="AV9032" s="118"/>
      <c r="AW9032" s="119"/>
      <c r="AX9032" s="118">
        <f t="shared" ref="AX9032" si="13957">SUM(AR9032:AW9032)</f>
        <v>0</v>
      </c>
      <c r="AY9032" s="119"/>
      <c r="AZ9032" s="137"/>
    </row>
    <row r="9033" spans="1:52" ht="17.100000000000001" customHeight="1" thickBot="1">
      <c r="A9033" s="110"/>
      <c r="B9033" s="27" t="s">
        <v>1718</v>
      </c>
      <c r="C9033" s="27" t="s">
        <v>25780</v>
      </c>
      <c r="D9033" s="14" t="s">
        <v>2601</v>
      </c>
      <c r="E9033" s="112"/>
      <c r="F9033" s="139" t="s">
        <v>25911</v>
      </c>
      <c r="G9033" s="140"/>
      <c r="H9033" s="141"/>
      <c r="I9033" s="26">
        <v>68203</v>
      </c>
      <c r="J9033" s="117"/>
      <c r="K9033" s="120"/>
      <c r="L9033" s="121"/>
      <c r="M9033" s="120"/>
      <c r="N9033" s="121"/>
      <c r="O9033" s="120"/>
      <c r="P9033" s="121"/>
      <c r="Q9033" s="120"/>
      <c r="R9033" s="121"/>
      <c r="S9033" s="120"/>
      <c r="T9033" s="121"/>
      <c r="U9033" s="120"/>
      <c r="V9033" s="123"/>
      <c r="W9033" s="125"/>
      <c r="X9033" s="142"/>
      <c r="Y9033" s="143"/>
      <c r="Z9033" s="143"/>
      <c r="AA9033" s="143"/>
      <c r="AB9033" s="144"/>
      <c r="AC9033" s="16" t="s">
        <v>21</v>
      </c>
      <c r="AD9033" s="17"/>
      <c r="AE9033" s="145"/>
      <c r="AF9033" s="146"/>
      <c r="AG9033" s="146"/>
      <c r="AH9033" s="146"/>
      <c r="AI9033" s="147"/>
      <c r="AJ9033" s="148"/>
      <c r="AK9033" s="143"/>
      <c r="AL9033" s="144"/>
      <c r="AM9033" s="22"/>
      <c r="AN9033" s="149"/>
      <c r="AO9033" s="144"/>
      <c r="AP9033" s="148"/>
      <c r="AQ9033" s="144"/>
      <c r="AR9033" s="120"/>
      <c r="AS9033" s="121"/>
      <c r="AT9033" s="120"/>
      <c r="AU9033" s="121"/>
      <c r="AV9033" s="120"/>
      <c r="AW9033" s="121"/>
      <c r="AX9033" s="120"/>
      <c r="AY9033" s="121"/>
      <c r="AZ9033" s="138"/>
    </row>
    <row r="9034" spans="1:52" ht="17.100000000000001" customHeight="1" thickTop="1">
      <c r="A9034" s="109" t="s">
        <v>25773</v>
      </c>
      <c r="B9034" s="28">
        <v>46157</v>
      </c>
      <c r="C9034" s="25">
        <v>2134</v>
      </c>
      <c r="D9034" s="13" t="s">
        <v>2654</v>
      </c>
      <c r="E9034" s="111"/>
      <c r="F9034" s="113" t="s">
        <v>25916</v>
      </c>
      <c r="G9034" s="114"/>
      <c r="H9034" s="115"/>
      <c r="I9034" s="24"/>
      <c r="J9034" s="116">
        <v>4</v>
      </c>
      <c r="K9034" s="118">
        <v>2840000</v>
      </c>
      <c r="L9034" s="119"/>
      <c r="M9034" s="118">
        <f t="shared" ref="M9034" si="13958">K9034*0.1</f>
        <v>284000</v>
      </c>
      <c r="N9034" s="119"/>
      <c r="O9034" s="118">
        <v>0</v>
      </c>
      <c r="P9034" s="119"/>
      <c r="Q9034" s="118">
        <v>21720</v>
      </c>
      <c r="R9034" s="119"/>
      <c r="S9034" s="118">
        <v>16500</v>
      </c>
      <c r="T9034" s="119"/>
      <c r="U9034" s="118">
        <f t="shared" ref="U9034" si="13959">SUM(K9034:T9035)</f>
        <v>3162220</v>
      </c>
      <c r="V9034" s="122"/>
      <c r="W9034" s="124"/>
      <c r="X9034" s="126"/>
      <c r="Y9034" s="127"/>
      <c r="Z9034" s="127"/>
      <c r="AA9034" s="127"/>
      <c r="AB9034" s="128"/>
      <c r="AC9034" s="15" t="s">
        <v>20</v>
      </c>
      <c r="AD9034" s="129" t="s">
        <v>1633</v>
      </c>
      <c r="AE9034" s="130"/>
      <c r="AF9034" s="130"/>
      <c r="AG9034" s="130"/>
      <c r="AH9034" s="130"/>
      <c r="AI9034" s="131"/>
      <c r="AJ9034" s="132"/>
      <c r="AK9034" s="127"/>
      <c r="AL9034" s="128"/>
      <c r="AM9034" s="21"/>
      <c r="AN9034" s="133"/>
      <c r="AO9034" s="134"/>
      <c r="AP9034" s="135"/>
      <c r="AQ9034" s="136"/>
      <c r="AR9034" s="118"/>
      <c r="AS9034" s="119"/>
      <c r="AT9034" s="118">
        <f t="shared" ref="AT9034" si="13960">AR9034*0.1</f>
        <v>0</v>
      </c>
      <c r="AU9034" s="119"/>
      <c r="AV9034" s="118"/>
      <c r="AW9034" s="119"/>
      <c r="AX9034" s="118">
        <f t="shared" ref="AX9034" si="13961">SUM(AR9034:AW9034)</f>
        <v>0</v>
      </c>
      <c r="AY9034" s="119"/>
      <c r="AZ9034" s="137"/>
    </row>
    <row r="9035" spans="1:52" ht="17.100000000000001" customHeight="1" thickBot="1">
      <c r="A9035" s="110"/>
      <c r="B9035" s="27" t="s">
        <v>1543</v>
      </c>
      <c r="C9035" s="27">
        <v>58759</v>
      </c>
      <c r="D9035" s="14" t="s">
        <v>275</v>
      </c>
      <c r="E9035" s="112"/>
      <c r="F9035" s="139" t="s">
        <v>25917</v>
      </c>
      <c r="G9035" s="140"/>
      <c r="H9035" s="141"/>
      <c r="I9035" s="26">
        <v>57659</v>
      </c>
      <c r="J9035" s="117"/>
      <c r="K9035" s="120"/>
      <c r="L9035" s="121"/>
      <c r="M9035" s="120"/>
      <c r="N9035" s="121"/>
      <c r="O9035" s="120"/>
      <c r="P9035" s="121"/>
      <c r="Q9035" s="120"/>
      <c r="R9035" s="121"/>
      <c r="S9035" s="120"/>
      <c r="T9035" s="121"/>
      <c r="U9035" s="120"/>
      <c r="V9035" s="123"/>
      <c r="W9035" s="125"/>
      <c r="X9035" s="142"/>
      <c r="Y9035" s="143"/>
      <c r="Z9035" s="143"/>
      <c r="AA9035" s="143"/>
      <c r="AB9035" s="144"/>
      <c r="AC9035" s="16" t="s">
        <v>21</v>
      </c>
      <c r="AD9035" s="17"/>
      <c r="AE9035" s="145"/>
      <c r="AF9035" s="146"/>
      <c r="AG9035" s="146"/>
      <c r="AH9035" s="146"/>
      <c r="AI9035" s="147"/>
      <c r="AJ9035" s="148"/>
      <c r="AK9035" s="143"/>
      <c r="AL9035" s="144"/>
      <c r="AM9035" s="22"/>
      <c r="AN9035" s="149"/>
      <c r="AO9035" s="144"/>
      <c r="AP9035" s="148"/>
      <c r="AQ9035" s="144"/>
      <c r="AR9035" s="120"/>
      <c r="AS9035" s="121"/>
      <c r="AT9035" s="120"/>
      <c r="AU9035" s="121"/>
      <c r="AV9035" s="120"/>
      <c r="AW9035" s="121"/>
      <c r="AX9035" s="120"/>
      <c r="AY9035" s="121"/>
      <c r="AZ9035" s="138"/>
    </row>
    <row r="9036" spans="1:52" ht="17.100000000000001" customHeight="1" thickTop="1">
      <c r="A9036" s="109" t="s">
        <v>25774</v>
      </c>
      <c r="B9036" s="28">
        <v>46157</v>
      </c>
      <c r="C9036" s="25">
        <v>290</v>
      </c>
      <c r="D9036" s="13" t="s">
        <v>2616</v>
      </c>
      <c r="E9036" s="111"/>
      <c r="F9036" s="113" t="s">
        <v>25918</v>
      </c>
      <c r="G9036" s="114"/>
      <c r="H9036" s="115"/>
      <c r="I9036" s="24" t="s">
        <v>3509</v>
      </c>
      <c r="J9036" s="116">
        <v>4</v>
      </c>
      <c r="K9036" s="118">
        <v>468000</v>
      </c>
      <c r="L9036" s="119"/>
      <c r="M9036" s="118">
        <f t="shared" ref="M9036" si="13962">K9036*0.1</f>
        <v>46800</v>
      </c>
      <c r="N9036" s="119"/>
      <c r="O9036" s="118">
        <v>0</v>
      </c>
      <c r="P9036" s="119"/>
      <c r="Q9036" s="118">
        <v>7140</v>
      </c>
      <c r="R9036" s="119"/>
      <c r="S9036" s="118">
        <v>22000</v>
      </c>
      <c r="T9036" s="119"/>
      <c r="U9036" s="118">
        <f t="shared" ref="U9036" si="13963">SUM(K9036:T9037)</f>
        <v>543940</v>
      </c>
      <c r="V9036" s="122"/>
      <c r="W9036" s="124"/>
      <c r="X9036" s="126" t="s">
        <v>25919</v>
      </c>
      <c r="Y9036" s="127"/>
      <c r="Z9036" s="127"/>
      <c r="AA9036" s="127"/>
      <c r="AB9036" s="128"/>
      <c r="AC9036" s="15" t="s">
        <v>20</v>
      </c>
      <c r="AD9036" s="129" t="s">
        <v>7698</v>
      </c>
      <c r="AE9036" s="130"/>
      <c r="AF9036" s="130"/>
      <c r="AG9036" s="130"/>
      <c r="AH9036" s="130"/>
      <c r="AI9036" s="131"/>
      <c r="AJ9036" s="132"/>
      <c r="AK9036" s="127"/>
      <c r="AL9036" s="128"/>
      <c r="AM9036" s="21"/>
      <c r="AN9036" s="133"/>
      <c r="AO9036" s="134"/>
      <c r="AP9036" s="135"/>
      <c r="AQ9036" s="136"/>
      <c r="AR9036" s="118"/>
      <c r="AS9036" s="119"/>
      <c r="AT9036" s="118">
        <f t="shared" ref="AT9036" si="13964">AR9036*0.1</f>
        <v>0</v>
      </c>
      <c r="AU9036" s="119"/>
      <c r="AV9036" s="118"/>
      <c r="AW9036" s="119"/>
      <c r="AX9036" s="118">
        <f t="shared" ref="AX9036" si="13965">SUM(AR9036:AW9036)</f>
        <v>0</v>
      </c>
      <c r="AY9036" s="119"/>
      <c r="AZ9036" s="137"/>
    </row>
    <row r="9037" spans="1:52" ht="17.100000000000001" customHeight="1" thickBot="1">
      <c r="A9037" s="110"/>
      <c r="B9037" s="27" t="s">
        <v>3957</v>
      </c>
      <c r="C9037" s="27">
        <v>32</v>
      </c>
      <c r="D9037" s="14" t="s">
        <v>1576</v>
      </c>
      <c r="E9037" s="112"/>
      <c r="F9037" s="139" t="s">
        <v>25789</v>
      </c>
      <c r="G9037" s="140"/>
      <c r="H9037" s="141"/>
      <c r="I9037" s="26">
        <v>27119</v>
      </c>
      <c r="J9037" s="117"/>
      <c r="K9037" s="120"/>
      <c r="L9037" s="121"/>
      <c r="M9037" s="120"/>
      <c r="N9037" s="121"/>
      <c r="O9037" s="120"/>
      <c r="P9037" s="121"/>
      <c r="Q9037" s="120"/>
      <c r="R9037" s="121"/>
      <c r="S9037" s="120"/>
      <c r="T9037" s="121"/>
      <c r="U9037" s="120"/>
      <c r="V9037" s="123"/>
      <c r="W9037" s="125"/>
      <c r="X9037" s="142"/>
      <c r="Y9037" s="143"/>
      <c r="Z9037" s="143"/>
      <c r="AA9037" s="143"/>
      <c r="AB9037" s="144"/>
      <c r="AC9037" s="16" t="s">
        <v>21</v>
      </c>
      <c r="AD9037" s="17"/>
      <c r="AE9037" s="145"/>
      <c r="AF9037" s="146"/>
      <c r="AG9037" s="146"/>
      <c r="AH9037" s="146"/>
      <c r="AI9037" s="147"/>
      <c r="AJ9037" s="148"/>
      <c r="AK9037" s="143"/>
      <c r="AL9037" s="144"/>
      <c r="AM9037" s="22"/>
      <c r="AN9037" s="149"/>
      <c r="AO9037" s="144"/>
      <c r="AP9037" s="148"/>
      <c r="AQ9037" s="144"/>
      <c r="AR9037" s="120"/>
      <c r="AS9037" s="121"/>
      <c r="AT9037" s="120"/>
      <c r="AU9037" s="121"/>
      <c r="AV9037" s="120"/>
      <c r="AW9037" s="121"/>
      <c r="AX9037" s="120"/>
      <c r="AY9037" s="121"/>
      <c r="AZ9037" s="138"/>
    </row>
    <row r="9038" spans="1:52" ht="17.100000000000001" customHeight="1" thickTop="1">
      <c r="A9038" s="109" t="s">
        <v>25775</v>
      </c>
      <c r="B9038" s="28">
        <v>46157</v>
      </c>
      <c r="C9038" s="25">
        <v>290</v>
      </c>
      <c r="D9038" s="13" t="s">
        <v>2859</v>
      </c>
      <c r="E9038" s="111"/>
      <c r="F9038" s="113" t="s">
        <v>7018</v>
      </c>
      <c r="G9038" s="114"/>
      <c r="H9038" s="115"/>
      <c r="I9038" s="24" t="s">
        <v>2152</v>
      </c>
      <c r="J9038" s="116">
        <v>4</v>
      </c>
      <c r="K9038" s="118">
        <v>396000</v>
      </c>
      <c r="L9038" s="119"/>
      <c r="M9038" s="118">
        <f t="shared" ref="M9038" si="13966">K9038*0.1</f>
        <v>39600</v>
      </c>
      <c r="N9038" s="119"/>
      <c r="O9038" s="118">
        <v>0</v>
      </c>
      <c r="P9038" s="119"/>
      <c r="Q9038" s="118">
        <v>7140</v>
      </c>
      <c r="R9038" s="119"/>
      <c r="S9038" s="118">
        <v>22000</v>
      </c>
      <c r="T9038" s="119"/>
      <c r="U9038" s="118">
        <f t="shared" ref="U9038" si="13967">SUM(K9038:T9039)</f>
        <v>464740</v>
      </c>
      <c r="V9038" s="122"/>
      <c r="W9038" s="124"/>
      <c r="X9038" s="126" t="s">
        <v>25920</v>
      </c>
      <c r="Y9038" s="127"/>
      <c r="Z9038" s="127"/>
      <c r="AA9038" s="127"/>
      <c r="AB9038" s="128"/>
      <c r="AC9038" s="15" t="s">
        <v>20</v>
      </c>
      <c r="AD9038" s="129"/>
      <c r="AE9038" s="130"/>
      <c r="AF9038" s="130"/>
      <c r="AG9038" s="130"/>
      <c r="AH9038" s="130"/>
      <c r="AI9038" s="131"/>
      <c r="AJ9038" s="132"/>
      <c r="AK9038" s="127"/>
      <c r="AL9038" s="128"/>
      <c r="AM9038" s="21"/>
      <c r="AN9038" s="133"/>
      <c r="AO9038" s="134"/>
      <c r="AP9038" s="135"/>
      <c r="AQ9038" s="136"/>
      <c r="AR9038" s="118"/>
      <c r="AS9038" s="119"/>
      <c r="AT9038" s="118">
        <f t="shared" ref="AT9038" si="13968">AR9038*0.1</f>
        <v>0</v>
      </c>
      <c r="AU9038" s="119"/>
      <c r="AV9038" s="118"/>
      <c r="AW9038" s="119"/>
      <c r="AX9038" s="118">
        <f t="shared" ref="AX9038" si="13969">SUM(AR9038:AW9038)</f>
        <v>0</v>
      </c>
      <c r="AY9038" s="119"/>
      <c r="AZ9038" s="137"/>
    </row>
    <row r="9039" spans="1:52" ht="17.100000000000001" customHeight="1" thickBot="1">
      <c r="A9039" s="110"/>
      <c r="B9039" s="27" t="s">
        <v>3957</v>
      </c>
      <c r="C9039" s="27">
        <v>52</v>
      </c>
      <c r="D9039" s="14" t="s">
        <v>275</v>
      </c>
      <c r="E9039" s="112"/>
      <c r="F9039" s="139" t="s">
        <v>25790</v>
      </c>
      <c r="G9039" s="140"/>
      <c r="H9039" s="141"/>
      <c r="I9039" s="26">
        <v>39023</v>
      </c>
      <c r="J9039" s="117"/>
      <c r="K9039" s="120"/>
      <c r="L9039" s="121"/>
      <c r="M9039" s="120"/>
      <c r="N9039" s="121"/>
      <c r="O9039" s="120"/>
      <c r="P9039" s="121"/>
      <c r="Q9039" s="120"/>
      <c r="R9039" s="121"/>
      <c r="S9039" s="120"/>
      <c r="T9039" s="121"/>
      <c r="U9039" s="120"/>
      <c r="V9039" s="123"/>
      <c r="W9039" s="125"/>
      <c r="X9039" s="142"/>
      <c r="Y9039" s="143"/>
      <c r="Z9039" s="143"/>
      <c r="AA9039" s="143"/>
      <c r="AB9039" s="144"/>
      <c r="AC9039" s="16" t="s">
        <v>21</v>
      </c>
      <c r="AD9039" s="17"/>
      <c r="AE9039" s="145"/>
      <c r="AF9039" s="146"/>
      <c r="AG9039" s="146"/>
      <c r="AH9039" s="146"/>
      <c r="AI9039" s="147"/>
      <c r="AJ9039" s="148"/>
      <c r="AK9039" s="143"/>
      <c r="AL9039" s="144"/>
      <c r="AM9039" s="22"/>
      <c r="AN9039" s="149"/>
      <c r="AO9039" s="144"/>
      <c r="AP9039" s="148"/>
      <c r="AQ9039" s="144"/>
      <c r="AR9039" s="120"/>
      <c r="AS9039" s="121"/>
      <c r="AT9039" s="120"/>
      <c r="AU9039" s="121"/>
      <c r="AV9039" s="120"/>
      <c r="AW9039" s="121"/>
      <c r="AX9039" s="120"/>
      <c r="AY9039" s="121"/>
      <c r="AZ9039" s="138"/>
    </row>
    <row r="9040" spans="1:52" ht="17.100000000000001" customHeight="1" thickTop="1">
      <c r="A9040" s="109" t="s">
        <v>25776</v>
      </c>
      <c r="B9040" s="28">
        <v>46157</v>
      </c>
      <c r="C9040" s="25">
        <v>290</v>
      </c>
      <c r="D9040" s="13" t="s">
        <v>7495</v>
      </c>
      <c r="E9040" s="111"/>
      <c r="F9040" s="113" t="s">
        <v>25921</v>
      </c>
      <c r="G9040" s="114"/>
      <c r="H9040" s="115"/>
      <c r="I9040" s="24"/>
      <c r="J9040" s="116">
        <v>4</v>
      </c>
      <c r="K9040" s="118">
        <v>246000</v>
      </c>
      <c r="L9040" s="119"/>
      <c r="M9040" s="118">
        <f t="shared" ref="M9040" si="13970">K9040*0.1</f>
        <v>24600</v>
      </c>
      <c r="N9040" s="119"/>
      <c r="O9040" s="118">
        <v>0</v>
      </c>
      <c r="P9040" s="119"/>
      <c r="Q9040" s="118">
        <v>9070</v>
      </c>
      <c r="R9040" s="119"/>
      <c r="S9040" s="118">
        <v>22000</v>
      </c>
      <c r="T9040" s="119"/>
      <c r="U9040" s="118">
        <f t="shared" ref="U9040" si="13971">SUM(K9040:T9041)</f>
        <v>301670</v>
      </c>
      <c r="V9040" s="122"/>
      <c r="W9040" s="124"/>
      <c r="X9040" s="126"/>
      <c r="Y9040" s="127"/>
      <c r="Z9040" s="127"/>
      <c r="AA9040" s="127"/>
      <c r="AB9040" s="128"/>
      <c r="AC9040" s="15" t="s">
        <v>20</v>
      </c>
      <c r="AD9040" s="129"/>
      <c r="AE9040" s="130"/>
      <c r="AF9040" s="130"/>
      <c r="AG9040" s="130"/>
      <c r="AH9040" s="130"/>
      <c r="AI9040" s="131"/>
      <c r="AJ9040" s="132"/>
      <c r="AK9040" s="127"/>
      <c r="AL9040" s="128"/>
      <c r="AM9040" s="21"/>
      <c r="AN9040" s="133"/>
      <c r="AO9040" s="134"/>
      <c r="AP9040" s="135"/>
      <c r="AQ9040" s="136"/>
      <c r="AR9040" s="118"/>
      <c r="AS9040" s="119"/>
      <c r="AT9040" s="118">
        <f t="shared" ref="AT9040" si="13972">AR9040*0.1</f>
        <v>0</v>
      </c>
      <c r="AU9040" s="119"/>
      <c r="AV9040" s="118"/>
      <c r="AW9040" s="119"/>
      <c r="AX9040" s="118">
        <f t="shared" ref="AX9040" si="13973">SUM(AR9040:AW9040)</f>
        <v>0</v>
      </c>
      <c r="AY9040" s="119"/>
      <c r="AZ9040" s="137"/>
    </row>
    <row r="9041" spans="1:52" ht="17.100000000000001" customHeight="1" thickBot="1">
      <c r="A9041" s="110"/>
      <c r="B9041" s="27" t="s">
        <v>3957</v>
      </c>
      <c r="C9041" s="27">
        <v>81</v>
      </c>
      <c r="D9041" s="14" t="s">
        <v>2800</v>
      </c>
      <c r="E9041" s="112"/>
      <c r="F9041" s="139" t="s">
        <v>25791</v>
      </c>
      <c r="G9041" s="140"/>
      <c r="H9041" s="141"/>
      <c r="I9041" s="26">
        <v>53337</v>
      </c>
      <c r="J9041" s="117"/>
      <c r="K9041" s="120"/>
      <c r="L9041" s="121"/>
      <c r="M9041" s="120"/>
      <c r="N9041" s="121"/>
      <c r="O9041" s="120"/>
      <c r="P9041" s="121"/>
      <c r="Q9041" s="120"/>
      <c r="R9041" s="121"/>
      <c r="S9041" s="120"/>
      <c r="T9041" s="121"/>
      <c r="U9041" s="120"/>
      <c r="V9041" s="123"/>
      <c r="W9041" s="125"/>
      <c r="X9041" s="142"/>
      <c r="Y9041" s="143"/>
      <c r="Z9041" s="143"/>
      <c r="AA9041" s="143"/>
      <c r="AB9041" s="144"/>
      <c r="AC9041" s="16" t="s">
        <v>21</v>
      </c>
      <c r="AD9041" s="17"/>
      <c r="AE9041" s="145"/>
      <c r="AF9041" s="146"/>
      <c r="AG9041" s="146"/>
      <c r="AH9041" s="146"/>
      <c r="AI9041" s="147"/>
      <c r="AJ9041" s="148"/>
      <c r="AK9041" s="143"/>
      <c r="AL9041" s="144"/>
      <c r="AM9041" s="22"/>
      <c r="AN9041" s="149"/>
      <c r="AO9041" s="144"/>
      <c r="AP9041" s="148"/>
      <c r="AQ9041" s="144"/>
      <c r="AR9041" s="120"/>
      <c r="AS9041" s="121"/>
      <c r="AT9041" s="120"/>
      <c r="AU9041" s="121"/>
      <c r="AV9041" s="120"/>
      <c r="AW9041" s="121"/>
      <c r="AX9041" s="120"/>
      <c r="AY9041" s="121"/>
      <c r="AZ9041" s="138"/>
    </row>
    <row r="9042" spans="1:52" ht="17.100000000000001" customHeight="1" thickTop="1">
      <c r="A9042" s="109" t="s">
        <v>25777</v>
      </c>
      <c r="B9042" s="28">
        <v>46157</v>
      </c>
      <c r="C9042" s="25">
        <v>290</v>
      </c>
      <c r="D9042" s="13" t="s">
        <v>3530</v>
      </c>
      <c r="E9042" s="111"/>
      <c r="F9042" s="113" t="s">
        <v>18247</v>
      </c>
      <c r="G9042" s="114"/>
      <c r="H9042" s="115"/>
      <c r="I9042" s="24"/>
      <c r="J9042" s="116">
        <v>4</v>
      </c>
      <c r="K9042" s="118">
        <v>555000</v>
      </c>
      <c r="L9042" s="119"/>
      <c r="M9042" s="118">
        <f t="shared" ref="M9042" si="13974">K9042*0.1</f>
        <v>55500</v>
      </c>
      <c r="N9042" s="119"/>
      <c r="O9042" s="118">
        <v>0</v>
      </c>
      <c r="P9042" s="119"/>
      <c r="Q9042" s="118">
        <v>7510</v>
      </c>
      <c r="R9042" s="119"/>
      <c r="S9042" s="118">
        <v>22000</v>
      </c>
      <c r="T9042" s="119"/>
      <c r="U9042" s="118">
        <f t="shared" ref="U9042" si="13975">SUM(K9042:T9043)</f>
        <v>640010</v>
      </c>
      <c r="V9042" s="122"/>
      <c r="W9042" s="124"/>
      <c r="X9042" s="126"/>
      <c r="Y9042" s="127"/>
      <c r="Z9042" s="127"/>
      <c r="AA9042" s="127"/>
      <c r="AB9042" s="128"/>
      <c r="AC9042" s="15" t="s">
        <v>20</v>
      </c>
      <c r="AD9042" s="129"/>
      <c r="AE9042" s="130"/>
      <c r="AF9042" s="130"/>
      <c r="AG9042" s="130"/>
      <c r="AH9042" s="130"/>
      <c r="AI9042" s="131"/>
      <c r="AJ9042" s="132"/>
      <c r="AK9042" s="127"/>
      <c r="AL9042" s="128"/>
      <c r="AM9042" s="21"/>
      <c r="AN9042" s="133"/>
      <c r="AO9042" s="134"/>
      <c r="AP9042" s="135"/>
      <c r="AQ9042" s="136"/>
      <c r="AR9042" s="118"/>
      <c r="AS9042" s="119"/>
      <c r="AT9042" s="118">
        <f t="shared" ref="AT9042" si="13976">AR9042*0.1</f>
        <v>0</v>
      </c>
      <c r="AU9042" s="119"/>
      <c r="AV9042" s="118"/>
      <c r="AW9042" s="119"/>
      <c r="AX9042" s="118">
        <f t="shared" ref="AX9042" si="13977">SUM(AR9042:AW9042)</f>
        <v>0</v>
      </c>
      <c r="AY9042" s="119"/>
      <c r="AZ9042" s="137"/>
    </row>
    <row r="9043" spans="1:52" ht="17.100000000000001" customHeight="1" thickBot="1">
      <c r="A9043" s="110"/>
      <c r="B9043" s="27" t="s">
        <v>3957</v>
      </c>
      <c r="C9043" s="27">
        <v>108</v>
      </c>
      <c r="D9043" s="14" t="s">
        <v>1592</v>
      </c>
      <c r="E9043" s="112"/>
      <c r="F9043" s="139" t="s">
        <v>25792</v>
      </c>
      <c r="G9043" s="140"/>
      <c r="H9043" s="141"/>
      <c r="I9043" s="26">
        <v>42516</v>
      </c>
      <c r="J9043" s="117"/>
      <c r="K9043" s="120"/>
      <c r="L9043" s="121"/>
      <c r="M9043" s="120"/>
      <c r="N9043" s="121"/>
      <c r="O9043" s="120"/>
      <c r="P9043" s="121"/>
      <c r="Q9043" s="120"/>
      <c r="R9043" s="121"/>
      <c r="S9043" s="120"/>
      <c r="T9043" s="121"/>
      <c r="U9043" s="120"/>
      <c r="V9043" s="123"/>
      <c r="W9043" s="125"/>
      <c r="X9043" s="142"/>
      <c r="Y9043" s="143"/>
      <c r="Z9043" s="143"/>
      <c r="AA9043" s="143"/>
      <c r="AB9043" s="144"/>
      <c r="AC9043" s="16" t="s">
        <v>21</v>
      </c>
      <c r="AD9043" s="17"/>
      <c r="AE9043" s="145"/>
      <c r="AF9043" s="146"/>
      <c r="AG9043" s="146"/>
      <c r="AH9043" s="146"/>
      <c r="AI9043" s="147"/>
      <c r="AJ9043" s="148"/>
      <c r="AK9043" s="143"/>
      <c r="AL9043" s="144"/>
      <c r="AM9043" s="22"/>
      <c r="AN9043" s="149"/>
      <c r="AO9043" s="144"/>
      <c r="AP9043" s="148"/>
      <c r="AQ9043" s="144"/>
      <c r="AR9043" s="120"/>
      <c r="AS9043" s="121"/>
      <c r="AT9043" s="120"/>
      <c r="AU9043" s="121"/>
      <c r="AV9043" s="120"/>
      <c r="AW9043" s="121"/>
      <c r="AX9043" s="120"/>
      <c r="AY9043" s="121"/>
      <c r="AZ9043" s="138"/>
    </row>
    <row r="9044" spans="1:52" ht="17.100000000000001" customHeight="1" thickTop="1">
      <c r="A9044" s="109" t="s">
        <v>25781</v>
      </c>
      <c r="B9044" s="28">
        <v>46157</v>
      </c>
      <c r="C9044" s="25">
        <v>290</v>
      </c>
      <c r="D9044" s="13" t="s">
        <v>2963</v>
      </c>
      <c r="E9044" s="111"/>
      <c r="F9044" s="113" t="s">
        <v>25922</v>
      </c>
      <c r="G9044" s="114"/>
      <c r="H9044" s="115"/>
      <c r="I9044" s="24"/>
      <c r="J9044" s="116">
        <v>4.5</v>
      </c>
      <c r="K9044" s="118">
        <v>648000</v>
      </c>
      <c r="L9044" s="119"/>
      <c r="M9044" s="118">
        <f t="shared" ref="M9044" si="13978">K9044*0.1</f>
        <v>64800</v>
      </c>
      <c r="N9044" s="119"/>
      <c r="O9044" s="118">
        <v>0</v>
      </c>
      <c r="P9044" s="119"/>
      <c r="Q9044" s="118">
        <v>6840</v>
      </c>
      <c r="R9044" s="119"/>
      <c r="S9044" s="118">
        <v>22000</v>
      </c>
      <c r="T9044" s="119"/>
      <c r="U9044" s="118">
        <f t="shared" ref="U9044" si="13979">SUM(K9044:T9045)</f>
        <v>741640</v>
      </c>
      <c r="V9044" s="122"/>
      <c r="W9044" s="124"/>
      <c r="X9044" s="126"/>
      <c r="Y9044" s="127"/>
      <c r="Z9044" s="127"/>
      <c r="AA9044" s="127"/>
      <c r="AB9044" s="128"/>
      <c r="AC9044" s="15" t="s">
        <v>20</v>
      </c>
      <c r="AD9044" s="129" t="s">
        <v>4420</v>
      </c>
      <c r="AE9044" s="130"/>
      <c r="AF9044" s="130"/>
      <c r="AG9044" s="130"/>
      <c r="AH9044" s="130"/>
      <c r="AI9044" s="131"/>
      <c r="AJ9044" s="132"/>
      <c r="AK9044" s="127"/>
      <c r="AL9044" s="128"/>
      <c r="AM9044" s="21"/>
      <c r="AN9044" s="133"/>
      <c r="AO9044" s="134"/>
      <c r="AP9044" s="135"/>
      <c r="AQ9044" s="136"/>
      <c r="AR9044" s="118"/>
      <c r="AS9044" s="119"/>
      <c r="AT9044" s="118">
        <f t="shared" ref="AT9044" si="13980">AR9044*0.1</f>
        <v>0</v>
      </c>
      <c r="AU9044" s="119"/>
      <c r="AV9044" s="118"/>
      <c r="AW9044" s="119"/>
      <c r="AX9044" s="118">
        <f t="shared" ref="AX9044" si="13981">SUM(AR9044:AW9044)</f>
        <v>0</v>
      </c>
      <c r="AY9044" s="119"/>
      <c r="AZ9044" s="137"/>
    </row>
    <row r="9045" spans="1:52" ht="17.100000000000001" customHeight="1" thickBot="1">
      <c r="A9045" s="110"/>
      <c r="B9045" s="27" t="s">
        <v>3957</v>
      </c>
      <c r="C9045" s="27">
        <v>114</v>
      </c>
      <c r="D9045" s="14" t="s">
        <v>275</v>
      </c>
      <c r="E9045" s="112"/>
      <c r="F9045" s="139" t="s">
        <v>25793</v>
      </c>
      <c r="G9045" s="140"/>
      <c r="H9045" s="141"/>
      <c r="I9045" s="26">
        <v>29850</v>
      </c>
      <c r="J9045" s="117"/>
      <c r="K9045" s="120"/>
      <c r="L9045" s="121"/>
      <c r="M9045" s="120"/>
      <c r="N9045" s="121"/>
      <c r="O9045" s="120"/>
      <c r="P9045" s="121"/>
      <c r="Q9045" s="120"/>
      <c r="R9045" s="121"/>
      <c r="S9045" s="120"/>
      <c r="T9045" s="121"/>
      <c r="U9045" s="120"/>
      <c r="V9045" s="123"/>
      <c r="W9045" s="125"/>
      <c r="X9045" s="142"/>
      <c r="Y9045" s="143"/>
      <c r="Z9045" s="143"/>
      <c r="AA9045" s="143"/>
      <c r="AB9045" s="144"/>
      <c r="AC9045" s="16" t="s">
        <v>21</v>
      </c>
      <c r="AD9045" s="17"/>
      <c r="AE9045" s="145"/>
      <c r="AF9045" s="146"/>
      <c r="AG9045" s="146"/>
      <c r="AH9045" s="146"/>
      <c r="AI9045" s="147"/>
      <c r="AJ9045" s="148"/>
      <c r="AK9045" s="143"/>
      <c r="AL9045" s="144"/>
      <c r="AM9045" s="22"/>
      <c r="AN9045" s="149"/>
      <c r="AO9045" s="144"/>
      <c r="AP9045" s="148"/>
      <c r="AQ9045" s="144"/>
      <c r="AR9045" s="120"/>
      <c r="AS9045" s="121"/>
      <c r="AT9045" s="120"/>
      <c r="AU9045" s="121"/>
      <c r="AV9045" s="120"/>
      <c r="AW9045" s="121"/>
      <c r="AX9045" s="120"/>
      <c r="AY9045" s="121"/>
      <c r="AZ9045" s="138"/>
    </row>
    <row r="9046" spans="1:52" ht="17.100000000000001" customHeight="1" thickTop="1">
      <c r="A9046" s="109" t="s">
        <v>25782</v>
      </c>
      <c r="B9046" s="28">
        <v>46157</v>
      </c>
      <c r="C9046" s="25">
        <v>290</v>
      </c>
      <c r="D9046" s="13" t="s">
        <v>2157</v>
      </c>
      <c r="E9046" s="111"/>
      <c r="F9046" s="113" t="s">
        <v>25923</v>
      </c>
      <c r="G9046" s="114"/>
      <c r="H9046" s="115"/>
      <c r="I9046" s="24"/>
      <c r="J9046" s="116">
        <v>3.5</v>
      </c>
      <c r="K9046" s="118">
        <v>1465000</v>
      </c>
      <c r="L9046" s="119"/>
      <c r="M9046" s="118">
        <f t="shared" ref="M9046" si="13982">K9046*0.1</f>
        <v>146500</v>
      </c>
      <c r="N9046" s="119"/>
      <c r="O9046" s="118">
        <v>0</v>
      </c>
      <c r="P9046" s="119"/>
      <c r="Q9046" s="118">
        <v>12410</v>
      </c>
      <c r="R9046" s="119"/>
      <c r="S9046" s="118">
        <v>22000</v>
      </c>
      <c r="T9046" s="119"/>
      <c r="U9046" s="118">
        <f t="shared" ref="U9046" si="13983">SUM(K9046:T9047)</f>
        <v>1645910</v>
      </c>
      <c r="V9046" s="122"/>
      <c r="W9046" s="124"/>
      <c r="X9046" s="126"/>
      <c r="Y9046" s="127"/>
      <c r="Z9046" s="127"/>
      <c r="AA9046" s="127"/>
      <c r="AB9046" s="128"/>
      <c r="AC9046" s="15" t="s">
        <v>20</v>
      </c>
      <c r="AD9046" s="129" t="s">
        <v>9186</v>
      </c>
      <c r="AE9046" s="130"/>
      <c r="AF9046" s="130"/>
      <c r="AG9046" s="130"/>
      <c r="AH9046" s="130"/>
      <c r="AI9046" s="131"/>
      <c r="AJ9046" s="132" t="s">
        <v>25925</v>
      </c>
      <c r="AK9046" s="127"/>
      <c r="AL9046" s="128"/>
      <c r="AM9046" s="21"/>
      <c r="AN9046" s="133"/>
      <c r="AO9046" s="134"/>
      <c r="AP9046" s="135"/>
      <c r="AQ9046" s="136"/>
      <c r="AR9046" s="118"/>
      <c r="AS9046" s="119"/>
      <c r="AT9046" s="118">
        <f t="shared" ref="AT9046" si="13984">AR9046*0.1</f>
        <v>0</v>
      </c>
      <c r="AU9046" s="119"/>
      <c r="AV9046" s="118"/>
      <c r="AW9046" s="119"/>
      <c r="AX9046" s="118">
        <f t="shared" ref="AX9046" si="13985">SUM(AR9046:AW9046)</f>
        <v>0</v>
      </c>
      <c r="AY9046" s="119"/>
      <c r="AZ9046" s="137"/>
    </row>
    <row r="9047" spans="1:52" ht="17.100000000000001" customHeight="1" thickBot="1">
      <c r="A9047" s="110"/>
      <c r="B9047" s="27" t="s">
        <v>3957</v>
      </c>
      <c r="C9047" s="27">
        <v>20024</v>
      </c>
      <c r="D9047" s="14" t="s">
        <v>1592</v>
      </c>
      <c r="E9047" s="112"/>
      <c r="F9047" s="139" t="s">
        <v>25924</v>
      </c>
      <c r="G9047" s="140"/>
      <c r="H9047" s="141"/>
      <c r="I9047" s="26">
        <v>33104</v>
      </c>
      <c r="J9047" s="117"/>
      <c r="K9047" s="120"/>
      <c r="L9047" s="121"/>
      <c r="M9047" s="120"/>
      <c r="N9047" s="121"/>
      <c r="O9047" s="120"/>
      <c r="P9047" s="121"/>
      <c r="Q9047" s="120"/>
      <c r="R9047" s="121"/>
      <c r="S9047" s="120"/>
      <c r="T9047" s="121"/>
      <c r="U9047" s="120"/>
      <c r="V9047" s="123"/>
      <c r="W9047" s="125"/>
      <c r="X9047" s="142"/>
      <c r="Y9047" s="143"/>
      <c r="Z9047" s="143"/>
      <c r="AA9047" s="143"/>
      <c r="AB9047" s="144"/>
      <c r="AC9047" s="16" t="s">
        <v>21</v>
      </c>
      <c r="AD9047" s="17"/>
      <c r="AE9047" s="145"/>
      <c r="AF9047" s="146"/>
      <c r="AG9047" s="146"/>
      <c r="AH9047" s="146"/>
      <c r="AI9047" s="147"/>
      <c r="AJ9047" s="148"/>
      <c r="AK9047" s="143"/>
      <c r="AL9047" s="144"/>
      <c r="AM9047" s="22"/>
      <c r="AN9047" s="149"/>
      <c r="AO9047" s="144"/>
      <c r="AP9047" s="148"/>
      <c r="AQ9047" s="144"/>
      <c r="AR9047" s="120"/>
      <c r="AS9047" s="121"/>
      <c r="AT9047" s="120"/>
      <c r="AU9047" s="121"/>
      <c r="AV9047" s="120"/>
      <c r="AW9047" s="121"/>
      <c r="AX9047" s="120"/>
      <c r="AY9047" s="121"/>
      <c r="AZ9047" s="138"/>
    </row>
    <row r="9048" spans="1:52" ht="17.100000000000001" customHeight="1" thickTop="1">
      <c r="A9048" s="109" t="s">
        <v>25783</v>
      </c>
      <c r="B9048" s="28">
        <v>46157</v>
      </c>
      <c r="C9048" s="25">
        <v>290</v>
      </c>
      <c r="D9048" s="13" t="s">
        <v>2963</v>
      </c>
      <c r="E9048" s="111"/>
      <c r="F9048" s="113" t="s">
        <v>25926</v>
      </c>
      <c r="G9048" s="114"/>
      <c r="H9048" s="115"/>
      <c r="I9048" s="24" t="s">
        <v>1547</v>
      </c>
      <c r="J9048" s="116">
        <v>5</v>
      </c>
      <c r="K9048" s="118">
        <v>793000</v>
      </c>
      <c r="L9048" s="119"/>
      <c r="M9048" s="118">
        <f t="shared" ref="M9048" si="13986">K9048*0.1</f>
        <v>79300</v>
      </c>
      <c r="N9048" s="119"/>
      <c r="O9048" s="118">
        <v>0</v>
      </c>
      <c r="P9048" s="119"/>
      <c r="Q9048" s="118">
        <v>5990</v>
      </c>
      <c r="R9048" s="119"/>
      <c r="S9048" s="118">
        <v>22000</v>
      </c>
      <c r="T9048" s="119"/>
      <c r="U9048" s="118">
        <f t="shared" ref="U9048" si="13987">SUM(K9048:T9049)</f>
        <v>900290</v>
      </c>
      <c r="V9048" s="122"/>
      <c r="W9048" s="124"/>
      <c r="X9048" s="126" t="s">
        <v>25927</v>
      </c>
      <c r="Y9048" s="127"/>
      <c r="Z9048" s="127"/>
      <c r="AA9048" s="127"/>
      <c r="AB9048" s="128"/>
      <c r="AC9048" s="15" t="s">
        <v>20</v>
      </c>
      <c r="AD9048" s="129" t="s">
        <v>2198</v>
      </c>
      <c r="AE9048" s="130"/>
      <c r="AF9048" s="130"/>
      <c r="AG9048" s="130"/>
      <c r="AH9048" s="130"/>
      <c r="AI9048" s="131"/>
      <c r="AJ9048" s="132"/>
      <c r="AK9048" s="127"/>
      <c r="AL9048" s="128"/>
      <c r="AM9048" s="21"/>
      <c r="AN9048" s="133"/>
      <c r="AO9048" s="134"/>
      <c r="AP9048" s="135"/>
      <c r="AQ9048" s="136"/>
      <c r="AR9048" s="118"/>
      <c r="AS9048" s="119"/>
      <c r="AT9048" s="118">
        <f t="shared" ref="AT9048" si="13988">AR9048*0.1</f>
        <v>0</v>
      </c>
      <c r="AU9048" s="119"/>
      <c r="AV9048" s="118"/>
      <c r="AW9048" s="119"/>
      <c r="AX9048" s="118">
        <f t="shared" ref="AX9048" si="13989">SUM(AR9048:AW9048)</f>
        <v>0</v>
      </c>
      <c r="AY9048" s="119"/>
      <c r="AZ9048" s="137"/>
    </row>
    <row r="9049" spans="1:52" ht="17.100000000000001" customHeight="1" thickBot="1">
      <c r="A9049" s="110"/>
      <c r="B9049" s="27" t="s">
        <v>3957</v>
      </c>
      <c r="C9049" s="27">
        <v>20045</v>
      </c>
      <c r="D9049" s="14" t="s">
        <v>3327</v>
      </c>
      <c r="E9049" s="112"/>
      <c r="F9049" s="139" t="s">
        <v>25794</v>
      </c>
      <c r="G9049" s="140"/>
      <c r="H9049" s="141"/>
      <c r="I9049" s="26">
        <v>26593</v>
      </c>
      <c r="J9049" s="117"/>
      <c r="K9049" s="120"/>
      <c r="L9049" s="121"/>
      <c r="M9049" s="120"/>
      <c r="N9049" s="121"/>
      <c r="O9049" s="120"/>
      <c r="P9049" s="121"/>
      <c r="Q9049" s="120"/>
      <c r="R9049" s="121"/>
      <c r="S9049" s="120"/>
      <c r="T9049" s="121"/>
      <c r="U9049" s="120"/>
      <c r="V9049" s="123"/>
      <c r="W9049" s="125"/>
      <c r="X9049" s="142"/>
      <c r="Y9049" s="143"/>
      <c r="Z9049" s="143"/>
      <c r="AA9049" s="143"/>
      <c r="AB9049" s="144"/>
      <c r="AC9049" s="16" t="s">
        <v>21</v>
      </c>
      <c r="AD9049" s="17"/>
      <c r="AE9049" s="145"/>
      <c r="AF9049" s="146"/>
      <c r="AG9049" s="146"/>
      <c r="AH9049" s="146"/>
      <c r="AI9049" s="147"/>
      <c r="AJ9049" s="148"/>
      <c r="AK9049" s="143"/>
      <c r="AL9049" s="144"/>
      <c r="AM9049" s="22"/>
      <c r="AN9049" s="149"/>
      <c r="AO9049" s="144"/>
      <c r="AP9049" s="148"/>
      <c r="AQ9049" s="144"/>
      <c r="AR9049" s="120"/>
      <c r="AS9049" s="121"/>
      <c r="AT9049" s="120"/>
      <c r="AU9049" s="121"/>
      <c r="AV9049" s="120"/>
      <c r="AW9049" s="121"/>
      <c r="AX9049" s="120"/>
      <c r="AY9049" s="121"/>
      <c r="AZ9049" s="138"/>
    </row>
    <row r="9050" spans="1:52" ht="17.100000000000001" customHeight="1" thickTop="1">
      <c r="A9050" s="109" t="s">
        <v>25784</v>
      </c>
      <c r="B9050" s="28">
        <v>46157</v>
      </c>
      <c r="C9050" s="25">
        <v>290</v>
      </c>
      <c r="D9050" s="13" t="s">
        <v>1697</v>
      </c>
      <c r="E9050" s="111"/>
      <c r="F9050" s="113" t="s">
        <v>25928</v>
      </c>
      <c r="G9050" s="114"/>
      <c r="H9050" s="115"/>
      <c r="I9050" s="24"/>
      <c r="J9050" s="116">
        <v>4</v>
      </c>
      <c r="K9050" s="118">
        <v>1050000</v>
      </c>
      <c r="L9050" s="119"/>
      <c r="M9050" s="118">
        <f t="shared" ref="M9050" si="13990">K9050*0.1</f>
        <v>105000</v>
      </c>
      <c r="N9050" s="119"/>
      <c r="O9050" s="118">
        <v>0</v>
      </c>
      <c r="P9050" s="119"/>
      <c r="Q9050" s="118">
        <v>8170</v>
      </c>
      <c r="R9050" s="119"/>
      <c r="S9050" s="118">
        <v>22000</v>
      </c>
      <c r="T9050" s="119"/>
      <c r="U9050" s="118">
        <f t="shared" ref="U9050" si="13991">SUM(K9050:T9051)</f>
        <v>1185170</v>
      </c>
      <c r="V9050" s="122"/>
      <c r="W9050" s="124"/>
      <c r="X9050" s="126"/>
      <c r="Y9050" s="127"/>
      <c r="Z9050" s="127"/>
      <c r="AA9050" s="127"/>
      <c r="AB9050" s="128"/>
      <c r="AC9050" s="15" t="s">
        <v>20</v>
      </c>
      <c r="AD9050" s="129" t="s">
        <v>11853</v>
      </c>
      <c r="AE9050" s="130"/>
      <c r="AF9050" s="130"/>
      <c r="AG9050" s="130"/>
      <c r="AH9050" s="130"/>
      <c r="AI9050" s="131"/>
      <c r="AJ9050" s="132"/>
      <c r="AK9050" s="127"/>
      <c r="AL9050" s="128"/>
      <c r="AM9050" s="21"/>
      <c r="AN9050" s="133"/>
      <c r="AO9050" s="134"/>
      <c r="AP9050" s="135"/>
      <c r="AQ9050" s="136"/>
      <c r="AR9050" s="118"/>
      <c r="AS9050" s="119"/>
      <c r="AT9050" s="118">
        <f t="shared" ref="AT9050" si="13992">AR9050*0.1</f>
        <v>0</v>
      </c>
      <c r="AU9050" s="119"/>
      <c r="AV9050" s="118"/>
      <c r="AW9050" s="119"/>
      <c r="AX9050" s="118">
        <f t="shared" ref="AX9050" si="13993">SUM(AR9050:AW9050)</f>
        <v>0</v>
      </c>
      <c r="AY9050" s="119"/>
      <c r="AZ9050" s="137"/>
    </row>
    <row r="9051" spans="1:52" ht="17.100000000000001" customHeight="1" thickBot="1">
      <c r="A9051" s="110"/>
      <c r="B9051" s="27" t="s">
        <v>3957</v>
      </c>
      <c r="C9051" s="27">
        <v>20104</v>
      </c>
      <c r="D9051" s="14" t="s">
        <v>1720</v>
      </c>
      <c r="E9051" s="112"/>
      <c r="F9051" s="139" t="s">
        <v>25795</v>
      </c>
      <c r="G9051" s="140"/>
      <c r="H9051" s="141"/>
      <c r="I9051" s="26">
        <v>48778</v>
      </c>
      <c r="J9051" s="117"/>
      <c r="K9051" s="120"/>
      <c r="L9051" s="121"/>
      <c r="M9051" s="120"/>
      <c r="N9051" s="121"/>
      <c r="O9051" s="120"/>
      <c r="P9051" s="121"/>
      <c r="Q9051" s="120"/>
      <c r="R9051" s="121"/>
      <c r="S9051" s="120"/>
      <c r="T9051" s="121"/>
      <c r="U9051" s="120"/>
      <c r="V9051" s="123"/>
      <c r="W9051" s="125"/>
      <c r="X9051" s="142"/>
      <c r="Y9051" s="143"/>
      <c r="Z9051" s="143"/>
      <c r="AA9051" s="143"/>
      <c r="AB9051" s="144"/>
      <c r="AC9051" s="16" t="s">
        <v>21</v>
      </c>
      <c r="AD9051" s="17"/>
      <c r="AE9051" s="145"/>
      <c r="AF9051" s="146"/>
      <c r="AG9051" s="146"/>
      <c r="AH9051" s="146"/>
      <c r="AI9051" s="147"/>
      <c r="AJ9051" s="148"/>
      <c r="AK9051" s="143"/>
      <c r="AL9051" s="144"/>
      <c r="AM9051" s="22"/>
      <c r="AN9051" s="149"/>
      <c r="AO9051" s="144"/>
      <c r="AP9051" s="148"/>
      <c r="AQ9051" s="144"/>
      <c r="AR9051" s="120"/>
      <c r="AS9051" s="121"/>
      <c r="AT9051" s="120"/>
      <c r="AU9051" s="121"/>
      <c r="AV9051" s="120"/>
      <c r="AW9051" s="121"/>
      <c r="AX9051" s="120"/>
      <c r="AY9051" s="121"/>
      <c r="AZ9051" s="138"/>
    </row>
    <row r="9052" spans="1:52" ht="17.100000000000001" customHeight="1" thickTop="1">
      <c r="A9052" s="109" t="s">
        <v>25785</v>
      </c>
      <c r="B9052" s="28">
        <v>46157</v>
      </c>
      <c r="C9052" s="25">
        <v>290</v>
      </c>
      <c r="D9052" s="13" t="s">
        <v>1697</v>
      </c>
      <c r="E9052" s="111"/>
      <c r="F9052" s="113" t="s">
        <v>25928</v>
      </c>
      <c r="G9052" s="114"/>
      <c r="H9052" s="115"/>
      <c r="I9052" s="24"/>
      <c r="J9052" s="116">
        <v>4</v>
      </c>
      <c r="K9052" s="118">
        <v>1059000</v>
      </c>
      <c r="L9052" s="119"/>
      <c r="M9052" s="118">
        <f t="shared" ref="M9052" si="13994">K9052*0.1</f>
        <v>105900</v>
      </c>
      <c r="N9052" s="119"/>
      <c r="O9052" s="118">
        <v>0</v>
      </c>
      <c r="P9052" s="119"/>
      <c r="Q9052" s="118">
        <v>8170</v>
      </c>
      <c r="R9052" s="119"/>
      <c r="S9052" s="118">
        <v>22000</v>
      </c>
      <c r="T9052" s="119"/>
      <c r="U9052" s="118">
        <f t="shared" ref="U9052" si="13995">SUM(K9052:T9053)</f>
        <v>1195070</v>
      </c>
      <c r="V9052" s="122"/>
      <c r="W9052" s="124"/>
      <c r="X9052" s="126"/>
      <c r="Y9052" s="127"/>
      <c r="Z9052" s="127"/>
      <c r="AA9052" s="127"/>
      <c r="AB9052" s="128"/>
      <c r="AC9052" s="15" t="s">
        <v>20</v>
      </c>
      <c r="AD9052" s="129" t="s">
        <v>11853</v>
      </c>
      <c r="AE9052" s="130"/>
      <c r="AF9052" s="130"/>
      <c r="AG9052" s="130"/>
      <c r="AH9052" s="130"/>
      <c r="AI9052" s="131"/>
      <c r="AJ9052" s="132"/>
      <c r="AK9052" s="127"/>
      <c r="AL9052" s="128"/>
      <c r="AM9052" s="21"/>
      <c r="AN9052" s="133"/>
      <c r="AO9052" s="134"/>
      <c r="AP9052" s="135"/>
      <c r="AQ9052" s="136"/>
      <c r="AR9052" s="118"/>
      <c r="AS9052" s="119"/>
      <c r="AT9052" s="118">
        <f t="shared" ref="AT9052" si="13996">AR9052*0.1</f>
        <v>0</v>
      </c>
      <c r="AU9052" s="119"/>
      <c r="AV9052" s="118"/>
      <c r="AW9052" s="119"/>
      <c r="AX9052" s="118">
        <f t="shared" ref="AX9052" si="13997">SUM(AR9052:AW9052)</f>
        <v>0</v>
      </c>
      <c r="AY9052" s="119"/>
      <c r="AZ9052" s="137"/>
    </row>
    <row r="9053" spans="1:52" ht="17.100000000000001" customHeight="1" thickBot="1">
      <c r="A9053" s="110"/>
      <c r="B9053" s="27" t="s">
        <v>3957</v>
      </c>
      <c r="C9053" s="27">
        <v>20107</v>
      </c>
      <c r="D9053" s="14" t="s">
        <v>1720</v>
      </c>
      <c r="E9053" s="112"/>
      <c r="F9053" s="139" t="s">
        <v>25796</v>
      </c>
      <c r="G9053" s="140"/>
      <c r="H9053" s="141"/>
      <c r="I9053" s="26">
        <v>44003</v>
      </c>
      <c r="J9053" s="117"/>
      <c r="K9053" s="120"/>
      <c r="L9053" s="121"/>
      <c r="M9053" s="120"/>
      <c r="N9053" s="121"/>
      <c r="O9053" s="120"/>
      <c r="P9053" s="121"/>
      <c r="Q9053" s="120"/>
      <c r="R9053" s="121"/>
      <c r="S9053" s="120"/>
      <c r="T9053" s="121"/>
      <c r="U9053" s="120"/>
      <c r="V9053" s="123"/>
      <c r="W9053" s="125"/>
      <c r="X9053" s="142"/>
      <c r="Y9053" s="143"/>
      <c r="Z9053" s="143"/>
      <c r="AA9053" s="143"/>
      <c r="AB9053" s="144"/>
      <c r="AC9053" s="16" t="s">
        <v>21</v>
      </c>
      <c r="AD9053" s="17"/>
      <c r="AE9053" s="145"/>
      <c r="AF9053" s="146"/>
      <c r="AG9053" s="146"/>
      <c r="AH9053" s="146"/>
      <c r="AI9053" s="147"/>
      <c r="AJ9053" s="148"/>
      <c r="AK9053" s="143"/>
      <c r="AL9053" s="144"/>
      <c r="AM9053" s="22"/>
      <c r="AN9053" s="149"/>
      <c r="AO9053" s="144"/>
      <c r="AP9053" s="148"/>
      <c r="AQ9053" s="144"/>
      <c r="AR9053" s="120"/>
      <c r="AS9053" s="121"/>
      <c r="AT9053" s="120"/>
      <c r="AU9053" s="121"/>
      <c r="AV9053" s="120"/>
      <c r="AW9053" s="121"/>
      <c r="AX9053" s="120"/>
      <c r="AY9053" s="121"/>
      <c r="AZ9053" s="138"/>
    </row>
    <row r="9054" spans="1:52" ht="17.100000000000001" customHeight="1" thickTop="1">
      <c r="A9054" s="109" t="s">
        <v>25786</v>
      </c>
      <c r="B9054" s="28">
        <v>46157</v>
      </c>
      <c r="C9054" s="25">
        <v>290</v>
      </c>
      <c r="D9054" s="13" t="s">
        <v>1697</v>
      </c>
      <c r="E9054" s="111"/>
      <c r="F9054" s="113" t="s">
        <v>25928</v>
      </c>
      <c r="G9054" s="114"/>
      <c r="H9054" s="115"/>
      <c r="I9054" s="24"/>
      <c r="J9054" s="116">
        <v>4.5</v>
      </c>
      <c r="K9054" s="118">
        <v>1019000</v>
      </c>
      <c r="L9054" s="119"/>
      <c r="M9054" s="118">
        <f t="shared" ref="M9054" si="13998">K9054*0.1</f>
        <v>101900</v>
      </c>
      <c r="N9054" s="119"/>
      <c r="O9054" s="118">
        <v>0</v>
      </c>
      <c r="P9054" s="119"/>
      <c r="Q9054" s="118">
        <v>8170</v>
      </c>
      <c r="R9054" s="119"/>
      <c r="S9054" s="118">
        <v>22000</v>
      </c>
      <c r="T9054" s="119"/>
      <c r="U9054" s="118">
        <f t="shared" ref="U9054" si="13999">SUM(K9054:T9055)</f>
        <v>1151070</v>
      </c>
      <c r="V9054" s="122"/>
      <c r="W9054" s="124"/>
      <c r="X9054" s="126"/>
      <c r="Y9054" s="127"/>
      <c r="Z9054" s="127"/>
      <c r="AA9054" s="127"/>
      <c r="AB9054" s="128"/>
      <c r="AC9054" s="15" t="s">
        <v>20</v>
      </c>
      <c r="AD9054" s="129" t="s">
        <v>11853</v>
      </c>
      <c r="AE9054" s="130"/>
      <c r="AF9054" s="130"/>
      <c r="AG9054" s="130"/>
      <c r="AH9054" s="130"/>
      <c r="AI9054" s="131"/>
      <c r="AJ9054" s="132"/>
      <c r="AK9054" s="127"/>
      <c r="AL9054" s="128"/>
      <c r="AM9054" s="21"/>
      <c r="AN9054" s="133"/>
      <c r="AO9054" s="134"/>
      <c r="AP9054" s="135"/>
      <c r="AQ9054" s="136"/>
      <c r="AR9054" s="118"/>
      <c r="AS9054" s="119"/>
      <c r="AT9054" s="118">
        <f t="shared" ref="AT9054" si="14000">AR9054*0.1</f>
        <v>0</v>
      </c>
      <c r="AU9054" s="119"/>
      <c r="AV9054" s="118"/>
      <c r="AW9054" s="119"/>
      <c r="AX9054" s="118">
        <f t="shared" ref="AX9054" si="14001">SUM(AR9054:AW9054)</f>
        <v>0</v>
      </c>
      <c r="AY9054" s="119"/>
      <c r="AZ9054" s="137"/>
    </row>
    <row r="9055" spans="1:52" ht="17.100000000000001" customHeight="1" thickBot="1">
      <c r="A9055" s="110"/>
      <c r="B9055" s="27" t="s">
        <v>3957</v>
      </c>
      <c r="C9055" s="27">
        <v>20108</v>
      </c>
      <c r="D9055" s="14" t="s">
        <v>1720</v>
      </c>
      <c r="E9055" s="112"/>
      <c r="F9055" s="139" t="s">
        <v>25797</v>
      </c>
      <c r="G9055" s="140"/>
      <c r="H9055" s="141"/>
      <c r="I9055" s="26">
        <v>51034</v>
      </c>
      <c r="J9055" s="117"/>
      <c r="K9055" s="120"/>
      <c r="L9055" s="121"/>
      <c r="M9055" s="120"/>
      <c r="N9055" s="121"/>
      <c r="O9055" s="120"/>
      <c r="P9055" s="121"/>
      <c r="Q9055" s="120"/>
      <c r="R9055" s="121"/>
      <c r="S9055" s="120"/>
      <c r="T9055" s="121"/>
      <c r="U9055" s="120"/>
      <c r="V9055" s="123"/>
      <c r="W9055" s="125"/>
      <c r="X9055" s="142"/>
      <c r="Y9055" s="143"/>
      <c r="Z9055" s="143"/>
      <c r="AA9055" s="143"/>
      <c r="AB9055" s="144"/>
      <c r="AC9055" s="16" t="s">
        <v>21</v>
      </c>
      <c r="AD9055" s="17"/>
      <c r="AE9055" s="145"/>
      <c r="AF9055" s="146"/>
      <c r="AG9055" s="146"/>
      <c r="AH9055" s="146"/>
      <c r="AI9055" s="147"/>
      <c r="AJ9055" s="148"/>
      <c r="AK9055" s="143"/>
      <c r="AL9055" s="144"/>
      <c r="AM9055" s="22"/>
      <c r="AN9055" s="149"/>
      <c r="AO9055" s="144"/>
      <c r="AP9055" s="148"/>
      <c r="AQ9055" s="144"/>
      <c r="AR9055" s="120"/>
      <c r="AS9055" s="121"/>
      <c r="AT9055" s="120"/>
      <c r="AU9055" s="121"/>
      <c r="AV9055" s="120"/>
      <c r="AW9055" s="121"/>
      <c r="AX9055" s="120"/>
      <c r="AY9055" s="121"/>
      <c r="AZ9055" s="138"/>
    </row>
    <row r="9056" spans="1:52" ht="17.100000000000001" customHeight="1" thickTop="1">
      <c r="A9056" s="109" t="s">
        <v>25787</v>
      </c>
      <c r="B9056" s="28">
        <v>46157</v>
      </c>
      <c r="C9056" s="25">
        <v>290</v>
      </c>
      <c r="D9056" s="13" t="s">
        <v>1697</v>
      </c>
      <c r="E9056" s="111"/>
      <c r="F9056" s="113" t="s">
        <v>25928</v>
      </c>
      <c r="G9056" s="114"/>
      <c r="H9056" s="115"/>
      <c r="I9056" s="24"/>
      <c r="J9056" s="116">
        <v>4</v>
      </c>
      <c r="K9056" s="118">
        <v>1029000</v>
      </c>
      <c r="L9056" s="119"/>
      <c r="M9056" s="118">
        <f t="shared" ref="M9056" si="14002">K9056*0.1</f>
        <v>102900</v>
      </c>
      <c r="N9056" s="119"/>
      <c r="O9056" s="118">
        <v>0</v>
      </c>
      <c r="P9056" s="119"/>
      <c r="Q9056" s="118">
        <v>8170</v>
      </c>
      <c r="R9056" s="119"/>
      <c r="S9056" s="118">
        <v>22000</v>
      </c>
      <c r="T9056" s="119"/>
      <c r="U9056" s="118">
        <f t="shared" ref="U9056" si="14003">SUM(K9056:T9057)</f>
        <v>1162070</v>
      </c>
      <c r="V9056" s="122"/>
      <c r="W9056" s="124"/>
      <c r="X9056" s="126"/>
      <c r="Y9056" s="127"/>
      <c r="Z9056" s="127"/>
      <c r="AA9056" s="127"/>
      <c r="AB9056" s="128"/>
      <c r="AC9056" s="15" t="s">
        <v>20</v>
      </c>
      <c r="AD9056" s="129" t="s">
        <v>11853</v>
      </c>
      <c r="AE9056" s="130"/>
      <c r="AF9056" s="130"/>
      <c r="AG9056" s="130"/>
      <c r="AH9056" s="130"/>
      <c r="AI9056" s="131"/>
      <c r="AJ9056" s="132"/>
      <c r="AK9056" s="127"/>
      <c r="AL9056" s="128"/>
      <c r="AM9056" s="21"/>
      <c r="AN9056" s="133"/>
      <c r="AO9056" s="134"/>
      <c r="AP9056" s="135"/>
      <c r="AQ9056" s="136"/>
      <c r="AR9056" s="118"/>
      <c r="AS9056" s="119"/>
      <c r="AT9056" s="118">
        <f t="shared" ref="AT9056" si="14004">AR9056*0.1</f>
        <v>0</v>
      </c>
      <c r="AU9056" s="119"/>
      <c r="AV9056" s="118"/>
      <c r="AW9056" s="119"/>
      <c r="AX9056" s="118">
        <f t="shared" ref="AX9056" si="14005">SUM(AR9056:AW9056)</f>
        <v>0</v>
      </c>
      <c r="AY9056" s="119"/>
      <c r="AZ9056" s="137"/>
    </row>
    <row r="9057" spans="1:52" ht="17.100000000000001" customHeight="1" thickBot="1">
      <c r="A9057" s="110"/>
      <c r="B9057" s="27" t="s">
        <v>3957</v>
      </c>
      <c r="C9057" s="27">
        <v>20119</v>
      </c>
      <c r="D9057" s="14" t="s">
        <v>1720</v>
      </c>
      <c r="E9057" s="112"/>
      <c r="F9057" s="139" t="s">
        <v>25798</v>
      </c>
      <c r="G9057" s="140"/>
      <c r="H9057" s="141"/>
      <c r="I9057" s="26">
        <v>49446</v>
      </c>
      <c r="J9057" s="117"/>
      <c r="K9057" s="120"/>
      <c r="L9057" s="121"/>
      <c r="M9057" s="120"/>
      <c r="N9057" s="121"/>
      <c r="O9057" s="120"/>
      <c r="P9057" s="121"/>
      <c r="Q9057" s="120"/>
      <c r="R9057" s="121"/>
      <c r="S9057" s="120"/>
      <c r="T9057" s="121"/>
      <c r="U9057" s="120"/>
      <c r="V9057" s="123"/>
      <c r="W9057" s="125"/>
      <c r="X9057" s="142"/>
      <c r="Y9057" s="143"/>
      <c r="Z9057" s="143"/>
      <c r="AA9057" s="143"/>
      <c r="AB9057" s="144"/>
      <c r="AC9057" s="16" t="s">
        <v>21</v>
      </c>
      <c r="AD9057" s="17"/>
      <c r="AE9057" s="145"/>
      <c r="AF9057" s="146"/>
      <c r="AG9057" s="146"/>
      <c r="AH9057" s="146"/>
      <c r="AI9057" s="147"/>
      <c r="AJ9057" s="148"/>
      <c r="AK9057" s="143"/>
      <c r="AL9057" s="144"/>
      <c r="AM9057" s="22"/>
      <c r="AN9057" s="149"/>
      <c r="AO9057" s="144"/>
      <c r="AP9057" s="148"/>
      <c r="AQ9057" s="144"/>
      <c r="AR9057" s="120"/>
      <c r="AS9057" s="121"/>
      <c r="AT9057" s="120"/>
      <c r="AU9057" s="121"/>
      <c r="AV9057" s="120"/>
      <c r="AW9057" s="121"/>
      <c r="AX9057" s="120"/>
      <c r="AY9057" s="121"/>
      <c r="AZ9057" s="138"/>
    </row>
    <row r="9058" spans="1:52" ht="17.100000000000001" customHeight="1" thickTop="1">
      <c r="A9058" s="109" t="s">
        <v>25788</v>
      </c>
      <c r="B9058" s="28">
        <v>46157</v>
      </c>
      <c r="C9058" s="25">
        <v>1418</v>
      </c>
      <c r="D9058" s="13" t="s">
        <v>2022</v>
      </c>
      <c r="E9058" s="111"/>
      <c r="F9058" s="113" t="s">
        <v>7999</v>
      </c>
      <c r="G9058" s="114"/>
      <c r="H9058" s="115"/>
      <c r="I9058" s="24" t="s">
        <v>5028</v>
      </c>
      <c r="J9058" s="116">
        <v>4</v>
      </c>
      <c r="K9058" s="118">
        <v>670000</v>
      </c>
      <c r="L9058" s="119"/>
      <c r="M9058" s="118">
        <f t="shared" ref="M9058" si="14006">K9058*0.1</f>
        <v>67000</v>
      </c>
      <c r="N9058" s="119"/>
      <c r="O9058" s="118">
        <v>0</v>
      </c>
      <c r="P9058" s="119"/>
      <c r="Q9058" s="118">
        <v>8850</v>
      </c>
      <c r="R9058" s="119"/>
      <c r="S9058" s="118">
        <v>15400</v>
      </c>
      <c r="T9058" s="119"/>
      <c r="U9058" s="118">
        <f t="shared" ref="U9058" si="14007">SUM(K9058:T9059)</f>
        <v>761250</v>
      </c>
      <c r="V9058" s="122"/>
      <c r="W9058" s="124"/>
      <c r="X9058" s="126"/>
      <c r="Y9058" s="127"/>
      <c r="Z9058" s="127"/>
      <c r="AA9058" s="127"/>
      <c r="AB9058" s="128"/>
      <c r="AC9058" s="15" t="s">
        <v>20</v>
      </c>
      <c r="AD9058" s="129" t="s">
        <v>171</v>
      </c>
      <c r="AE9058" s="130"/>
      <c r="AF9058" s="130"/>
      <c r="AG9058" s="130"/>
      <c r="AH9058" s="130"/>
      <c r="AI9058" s="131"/>
      <c r="AJ9058" s="132"/>
      <c r="AK9058" s="127"/>
      <c r="AL9058" s="128"/>
      <c r="AM9058" s="21"/>
      <c r="AN9058" s="133"/>
      <c r="AO9058" s="134"/>
      <c r="AP9058" s="135"/>
      <c r="AQ9058" s="136"/>
      <c r="AR9058" s="118"/>
      <c r="AS9058" s="119"/>
      <c r="AT9058" s="118">
        <f t="shared" ref="AT9058" si="14008">AR9058*0.1</f>
        <v>0</v>
      </c>
      <c r="AU9058" s="119"/>
      <c r="AV9058" s="118"/>
      <c r="AW9058" s="119"/>
      <c r="AX9058" s="118">
        <f t="shared" ref="AX9058" si="14009">SUM(AR9058:AW9058)</f>
        <v>0</v>
      </c>
      <c r="AY9058" s="119"/>
      <c r="AZ9058" s="137"/>
    </row>
    <row r="9059" spans="1:52" ht="17.100000000000001" customHeight="1" thickBot="1">
      <c r="A9059" s="110"/>
      <c r="B9059" s="27" t="s">
        <v>2641</v>
      </c>
      <c r="C9059" s="27">
        <v>3001</v>
      </c>
      <c r="D9059" s="14" t="s">
        <v>1720</v>
      </c>
      <c r="E9059" s="112"/>
      <c r="F9059" s="139" t="s">
        <v>25814</v>
      </c>
      <c r="G9059" s="140"/>
      <c r="H9059" s="141"/>
      <c r="I9059" s="26">
        <v>5809</v>
      </c>
      <c r="J9059" s="117"/>
      <c r="K9059" s="120"/>
      <c r="L9059" s="121"/>
      <c r="M9059" s="120"/>
      <c r="N9059" s="121"/>
      <c r="O9059" s="120"/>
      <c r="P9059" s="121"/>
      <c r="Q9059" s="120"/>
      <c r="R9059" s="121"/>
      <c r="S9059" s="120"/>
      <c r="T9059" s="121"/>
      <c r="U9059" s="120"/>
      <c r="V9059" s="123"/>
      <c r="W9059" s="125"/>
      <c r="X9059" s="142"/>
      <c r="Y9059" s="143"/>
      <c r="Z9059" s="143"/>
      <c r="AA9059" s="143"/>
      <c r="AB9059" s="144"/>
      <c r="AC9059" s="16" t="s">
        <v>21</v>
      </c>
      <c r="AD9059" s="17"/>
      <c r="AE9059" s="145"/>
      <c r="AF9059" s="146"/>
      <c r="AG9059" s="146"/>
      <c r="AH9059" s="146"/>
      <c r="AI9059" s="147"/>
      <c r="AJ9059" s="148"/>
      <c r="AK9059" s="143"/>
      <c r="AL9059" s="144"/>
      <c r="AM9059" s="22"/>
      <c r="AN9059" s="149"/>
      <c r="AO9059" s="144"/>
      <c r="AP9059" s="148"/>
      <c r="AQ9059" s="144"/>
      <c r="AR9059" s="120"/>
      <c r="AS9059" s="121"/>
      <c r="AT9059" s="120"/>
      <c r="AU9059" s="121"/>
      <c r="AV9059" s="120"/>
      <c r="AW9059" s="121"/>
      <c r="AX9059" s="120"/>
      <c r="AY9059" s="121"/>
      <c r="AZ9059" s="138"/>
    </row>
    <row r="9060" spans="1:52" ht="17.100000000000001" customHeight="1" thickTop="1">
      <c r="A9060" s="109" t="s">
        <v>25799</v>
      </c>
      <c r="B9060" s="28">
        <v>46157</v>
      </c>
      <c r="C9060" s="25">
        <v>1418</v>
      </c>
      <c r="D9060" s="13" t="s">
        <v>1839</v>
      </c>
      <c r="E9060" s="111"/>
      <c r="F9060" s="113" t="s">
        <v>7085</v>
      </c>
      <c r="G9060" s="114"/>
      <c r="H9060" s="115"/>
      <c r="I9060" s="24" t="s">
        <v>7787</v>
      </c>
      <c r="J9060" s="116">
        <v>4</v>
      </c>
      <c r="K9060" s="118">
        <v>850000</v>
      </c>
      <c r="L9060" s="119"/>
      <c r="M9060" s="118">
        <f t="shared" ref="M9060" si="14010">K9060*0.1</f>
        <v>85000</v>
      </c>
      <c r="N9060" s="119"/>
      <c r="O9060" s="118">
        <v>0</v>
      </c>
      <c r="P9060" s="119"/>
      <c r="Q9060" s="118">
        <v>9010</v>
      </c>
      <c r="R9060" s="119"/>
      <c r="S9060" s="118">
        <v>19800</v>
      </c>
      <c r="T9060" s="119"/>
      <c r="U9060" s="118">
        <f t="shared" ref="U9060" si="14011">SUM(K9060:T9061)</f>
        <v>963810</v>
      </c>
      <c r="V9060" s="122"/>
      <c r="W9060" s="124"/>
      <c r="X9060" s="126"/>
      <c r="Y9060" s="127"/>
      <c r="Z9060" s="127"/>
      <c r="AA9060" s="127"/>
      <c r="AB9060" s="128"/>
      <c r="AC9060" s="15" t="s">
        <v>20</v>
      </c>
      <c r="AD9060" s="129" t="s">
        <v>1605</v>
      </c>
      <c r="AE9060" s="130"/>
      <c r="AF9060" s="130"/>
      <c r="AG9060" s="130"/>
      <c r="AH9060" s="130"/>
      <c r="AI9060" s="131"/>
      <c r="AJ9060" s="132"/>
      <c r="AK9060" s="127"/>
      <c r="AL9060" s="128"/>
      <c r="AM9060" s="21"/>
      <c r="AN9060" s="133"/>
      <c r="AO9060" s="134"/>
      <c r="AP9060" s="135"/>
      <c r="AQ9060" s="136"/>
      <c r="AR9060" s="118"/>
      <c r="AS9060" s="119"/>
      <c r="AT9060" s="118">
        <f t="shared" ref="AT9060" si="14012">AR9060*0.1</f>
        <v>0</v>
      </c>
      <c r="AU9060" s="119"/>
      <c r="AV9060" s="118"/>
      <c r="AW9060" s="119"/>
      <c r="AX9060" s="118">
        <f t="shared" ref="AX9060" si="14013">SUM(AR9060:AW9060)</f>
        <v>0</v>
      </c>
      <c r="AY9060" s="119"/>
      <c r="AZ9060" s="137"/>
    </row>
    <row r="9061" spans="1:52" ht="17.100000000000001" customHeight="1" thickBot="1">
      <c r="A9061" s="110"/>
      <c r="B9061" s="27" t="s">
        <v>2641</v>
      </c>
      <c r="C9061" s="27">
        <v>3020</v>
      </c>
      <c r="D9061" s="14" t="s">
        <v>1720</v>
      </c>
      <c r="E9061" s="112"/>
      <c r="F9061" s="139" t="s">
        <v>25815</v>
      </c>
      <c r="G9061" s="140"/>
      <c r="H9061" s="141"/>
      <c r="I9061" s="26">
        <v>27680</v>
      </c>
      <c r="J9061" s="117"/>
      <c r="K9061" s="120"/>
      <c r="L9061" s="121"/>
      <c r="M9061" s="120"/>
      <c r="N9061" s="121"/>
      <c r="O9061" s="120"/>
      <c r="P9061" s="121"/>
      <c r="Q9061" s="120"/>
      <c r="R9061" s="121"/>
      <c r="S9061" s="120"/>
      <c r="T9061" s="121"/>
      <c r="U9061" s="120"/>
      <c r="V9061" s="123"/>
      <c r="W9061" s="125"/>
      <c r="X9061" s="142"/>
      <c r="Y9061" s="143"/>
      <c r="Z9061" s="143"/>
      <c r="AA9061" s="143"/>
      <c r="AB9061" s="144"/>
      <c r="AC9061" s="16" t="s">
        <v>21</v>
      </c>
      <c r="AD9061" s="17"/>
      <c r="AE9061" s="145"/>
      <c r="AF9061" s="146"/>
      <c r="AG9061" s="146"/>
      <c r="AH9061" s="146"/>
      <c r="AI9061" s="147"/>
      <c r="AJ9061" s="148"/>
      <c r="AK9061" s="143"/>
      <c r="AL9061" s="144"/>
      <c r="AM9061" s="22"/>
      <c r="AN9061" s="149"/>
      <c r="AO9061" s="144"/>
      <c r="AP9061" s="148"/>
      <c r="AQ9061" s="144"/>
      <c r="AR9061" s="120"/>
      <c r="AS9061" s="121"/>
      <c r="AT9061" s="120"/>
      <c r="AU9061" s="121"/>
      <c r="AV9061" s="120"/>
      <c r="AW9061" s="121"/>
      <c r="AX9061" s="120"/>
      <c r="AY9061" s="121"/>
      <c r="AZ9061" s="138"/>
    </row>
    <row r="9062" spans="1:52" ht="17.100000000000001" customHeight="1" thickTop="1">
      <c r="A9062" s="109" t="s">
        <v>25800</v>
      </c>
      <c r="B9062" s="28">
        <v>46157</v>
      </c>
      <c r="C9062" s="25">
        <v>1418</v>
      </c>
      <c r="D9062" s="13" t="s">
        <v>1920</v>
      </c>
      <c r="E9062" s="111"/>
      <c r="F9062" s="113" t="s">
        <v>25816</v>
      </c>
      <c r="G9062" s="114"/>
      <c r="H9062" s="115"/>
      <c r="I9062" s="24" t="s">
        <v>25931</v>
      </c>
      <c r="J9062" s="116">
        <v>4</v>
      </c>
      <c r="K9062" s="118">
        <v>934000</v>
      </c>
      <c r="L9062" s="119"/>
      <c r="M9062" s="118">
        <f t="shared" ref="M9062" si="14014">K9062*0.1</f>
        <v>93400</v>
      </c>
      <c r="N9062" s="119"/>
      <c r="O9062" s="118">
        <f>32900+3290</f>
        <v>36190</v>
      </c>
      <c r="P9062" s="119"/>
      <c r="Q9062" s="118">
        <v>12470</v>
      </c>
      <c r="R9062" s="119"/>
      <c r="S9062" s="118">
        <v>15400</v>
      </c>
      <c r="T9062" s="119"/>
      <c r="U9062" s="118">
        <f t="shared" ref="U9062" si="14015">SUM(K9062:T9063)</f>
        <v>1091460</v>
      </c>
      <c r="V9062" s="122"/>
      <c r="W9062" s="124"/>
      <c r="X9062" s="126"/>
      <c r="Y9062" s="127"/>
      <c r="Z9062" s="127"/>
      <c r="AA9062" s="127"/>
      <c r="AB9062" s="128"/>
      <c r="AC9062" s="15" t="s">
        <v>20</v>
      </c>
      <c r="AD9062" s="129" t="s">
        <v>1732</v>
      </c>
      <c r="AE9062" s="130"/>
      <c r="AF9062" s="130"/>
      <c r="AG9062" s="130"/>
      <c r="AH9062" s="130"/>
      <c r="AI9062" s="131"/>
      <c r="AJ9062" s="132"/>
      <c r="AK9062" s="127"/>
      <c r="AL9062" s="128"/>
      <c r="AM9062" s="21"/>
      <c r="AN9062" s="133"/>
      <c r="AO9062" s="134"/>
      <c r="AP9062" s="135"/>
      <c r="AQ9062" s="136"/>
      <c r="AR9062" s="118"/>
      <c r="AS9062" s="119"/>
      <c r="AT9062" s="118">
        <f t="shared" ref="AT9062" si="14016">AR9062*0.1</f>
        <v>0</v>
      </c>
      <c r="AU9062" s="119"/>
      <c r="AV9062" s="118"/>
      <c r="AW9062" s="119"/>
      <c r="AX9062" s="118">
        <f t="shared" ref="AX9062" si="14017">SUM(AR9062:AW9062)</f>
        <v>0</v>
      </c>
      <c r="AY9062" s="119"/>
      <c r="AZ9062" s="137"/>
    </row>
    <row r="9063" spans="1:52" ht="17.100000000000001" customHeight="1" thickBot="1">
      <c r="A9063" s="110"/>
      <c r="B9063" s="27" t="s">
        <v>2641</v>
      </c>
      <c r="C9063" s="27">
        <v>3025</v>
      </c>
      <c r="D9063" s="14" t="s">
        <v>275</v>
      </c>
      <c r="E9063" s="112"/>
      <c r="F9063" s="139" t="s">
        <v>25817</v>
      </c>
      <c r="G9063" s="140"/>
      <c r="H9063" s="141"/>
      <c r="I9063" s="26">
        <v>106940</v>
      </c>
      <c r="J9063" s="117"/>
      <c r="K9063" s="120"/>
      <c r="L9063" s="121"/>
      <c r="M9063" s="120"/>
      <c r="N9063" s="121"/>
      <c r="O9063" s="120"/>
      <c r="P9063" s="121"/>
      <c r="Q9063" s="120"/>
      <c r="R9063" s="121"/>
      <c r="S9063" s="120"/>
      <c r="T9063" s="121"/>
      <c r="U9063" s="120"/>
      <c r="V9063" s="123"/>
      <c r="W9063" s="125"/>
      <c r="X9063" s="142"/>
      <c r="Y9063" s="143"/>
      <c r="Z9063" s="143"/>
      <c r="AA9063" s="143"/>
      <c r="AB9063" s="144"/>
      <c r="AC9063" s="16" t="s">
        <v>21</v>
      </c>
      <c r="AD9063" s="17"/>
      <c r="AE9063" s="145"/>
      <c r="AF9063" s="146"/>
      <c r="AG9063" s="146"/>
      <c r="AH9063" s="146"/>
      <c r="AI9063" s="147"/>
      <c r="AJ9063" s="148"/>
      <c r="AK9063" s="143"/>
      <c r="AL9063" s="144"/>
      <c r="AM9063" s="22"/>
      <c r="AN9063" s="149"/>
      <c r="AO9063" s="144"/>
      <c r="AP9063" s="148"/>
      <c r="AQ9063" s="144"/>
      <c r="AR9063" s="120"/>
      <c r="AS9063" s="121"/>
      <c r="AT9063" s="120"/>
      <c r="AU9063" s="121"/>
      <c r="AV9063" s="120"/>
      <c r="AW9063" s="121"/>
      <c r="AX9063" s="120"/>
      <c r="AY9063" s="121"/>
      <c r="AZ9063" s="138"/>
    </row>
    <row r="9064" spans="1:52" ht="17.100000000000001" customHeight="1" thickTop="1">
      <c r="A9064" s="109" t="s">
        <v>25801</v>
      </c>
      <c r="B9064" s="28">
        <v>46157</v>
      </c>
      <c r="C9064" s="25">
        <v>1418</v>
      </c>
      <c r="D9064" s="13" t="s">
        <v>3478</v>
      </c>
      <c r="E9064" s="111"/>
      <c r="F9064" s="113" t="s">
        <v>25818</v>
      </c>
      <c r="G9064" s="114"/>
      <c r="H9064" s="115"/>
      <c r="I9064" s="24" t="s">
        <v>14473</v>
      </c>
      <c r="J9064" s="116">
        <v>4</v>
      </c>
      <c r="K9064" s="118">
        <v>1498000</v>
      </c>
      <c r="L9064" s="119"/>
      <c r="M9064" s="118">
        <f t="shared" ref="M9064" si="14018">K9064*0.1</f>
        <v>149800</v>
      </c>
      <c r="N9064" s="119"/>
      <c r="O9064" s="118">
        <f>37500+3750</f>
        <v>41250</v>
      </c>
      <c r="P9064" s="119"/>
      <c r="Q9064" s="118">
        <v>12400</v>
      </c>
      <c r="R9064" s="119"/>
      <c r="S9064" s="118">
        <v>15400</v>
      </c>
      <c r="T9064" s="119"/>
      <c r="U9064" s="118">
        <f t="shared" ref="U9064" si="14019">SUM(K9064:T9065)</f>
        <v>1716850</v>
      </c>
      <c r="V9064" s="122"/>
      <c r="W9064" s="124"/>
      <c r="X9064" s="126"/>
      <c r="Y9064" s="127"/>
      <c r="Z9064" s="127"/>
      <c r="AA9064" s="127"/>
      <c r="AB9064" s="128"/>
      <c r="AC9064" s="15" t="s">
        <v>20</v>
      </c>
      <c r="AD9064" s="129" t="s">
        <v>25930</v>
      </c>
      <c r="AE9064" s="130"/>
      <c r="AF9064" s="130"/>
      <c r="AG9064" s="130"/>
      <c r="AH9064" s="130"/>
      <c r="AI9064" s="131"/>
      <c r="AJ9064" s="132"/>
      <c r="AK9064" s="127"/>
      <c r="AL9064" s="128"/>
      <c r="AM9064" s="21"/>
      <c r="AN9064" s="133"/>
      <c r="AO9064" s="134"/>
      <c r="AP9064" s="135"/>
      <c r="AQ9064" s="136"/>
      <c r="AR9064" s="118"/>
      <c r="AS9064" s="119"/>
      <c r="AT9064" s="118">
        <f t="shared" ref="AT9064" si="14020">AR9064*0.1</f>
        <v>0</v>
      </c>
      <c r="AU9064" s="119"/>
      <c r="AV9064" s="118"/>
      <c r="AW9064" s="119"/>
      <c r="AX9064" s="118">
        <f t="shared" ref="AX9064" si="14021">SUM(AR9064:AW9064)</f>
        <v>0</v>
      </c>
      <c r="AY9064" s="119"/>
      <c r="AZ9064" s="137"/>
    </row>
    <row r="9065" spans="1:52" ht="17.100000000000001" customHeight="1" thickBot="1">
      <c r="A9065" s="110"/>
      <c r="B9065" s="27" t="s">
        <v>2641</v>
      </c>
      <c r="C9065" s="27">
        <v>3107</v>
      </c>
      <c r="D9065" s="14" t="s">
        <v>275</v>
      </c>
      <c r="E9065" s="112"/>
      <c r="F9065" s="139" t="s">
        <v>25819</v>
      </c>
      <c r="G9065" s="140"/>
      <c r="H9065" s="141"/>
      <c r="I9065" s="26">
        <v>133607</v>
      </c>
      <c r="J9065" s="117"/>
      <c r="K9065" s="120"/>
      <c r="L9065" s="121"/>
      <c r="M9065" s="120"/>
      <c r="N9065" s="121"/>
      <c r="O9065" s="120"/>
      <c r="P9065" s="121"/>
      <c r="Q9065" s="120"/>
      <c r="R9065" s="121"/>
      <c r="S9065" s="120"/>
      <c r="T9065" s="121"/>
      <c r="U9065" s="120"/>
      <c r="V9065" s="123"/>
      <c r="W9065" s="125"/>
      <c r="X9065" s="142"/>
      <c r="Y9065" s="143"/>
      <c r="Z9065" s="143"/>
      <c r="AA9065" s="143"/>
      <c r="AB9065" s="144"/>
      <c r="AC9065" s="16" t="s">
        <v>21</v>
      </c>
      <c r="AD9065" s="17"/>
      <c r="AE9065" s="145"/>
      <c r="AF9065" s="146"/>
      <c r="AG9065" s="146"/>
      <c r="AH9065" s="146"/>
      <c r="AI9065" s="147"/>
      <c r="AJ9065" s="148"/>
      <c r="AK9065" s="143"/>
      <c r="AL9065" s="144"/>
      <c r="AM9065" s="22"/>
      <c r="AN9065" s="149"/>
      <c r="AO9065" s="144"/>
      <c r="AP9065" s="148"/>
      <c r="AQ9065" s="144"/>
      <c r="AR9065" s="120"/>
      <c r="AS9065" s="121"/>
      <c r="AT9065" s="120"/>
      <c r="AU9065" s="121"/>
      <c r="AV9065" s="120"/>
      <c r="AW9065" s="121"/>
      <c r="AX9065" s="120"/>
      <c r="AY9065" s="121"/>
      <c r="AZ9065" s="138"/>
    </row>
    <row r="9066" spans="1:52" ht="17.100000000000001" customHeight="1" thickTop="1">
      <c r="A9066" s="109" t="s">
        <v>25802</v>
      </c>
      <c r="B9066" s="28">
        <v>46157</v>
      </c>
      <c r="C9066" s="25">
        <v>1418</v>
      </c>
      <c r="D9066" s="13" t="s">
        <v>1922</v>
      </c>
      <c r="E9066" s="111"/>
      <c r="F9066" s="113" t="s">
        <v>4047</v>
      </c>
      <c r="G9066" s="114"/>
      <c r="H9066" s="115"/>
      <c r="I9066" s="24"/>
      <c r="J9066" s="116">
        <v>4</v>
      </c>
      <c r="K9066" s="118">
        <v>1359000</v>
      </c>
      <c r="L9066" s="119"/>
      <c r="M9066" s="118">
        <f t="shared" ref="M9066" si="14022">K9066*0.1</f>
        <v>135900</v>
      </c>
      <c r="N9066" s="119"/>
      <c r="O9066" s="118">
        <v>0</v>
      </c>
      <c r="P9066" s="119"/>
      <c r="Q9066" s="118">
        <v>10720</v>
      </c>
      <c r="R9066" s="119"/>
      <c r="S9066" s="118">
        <v>15400</v>
      </c>
      <c r="T9066" s="119"/>
      <c r="U9066" s="118">
        <f t="shared" ref="U9066" si="14023">SUM(K9066:T9067)</f>
        <v>1521020</v>
      </c>
      <c r="V9066" s="122"/>
      <c r="W9066" s="124"/>
      <c r="X9066" s="126"/>
      <c r="Y9066" s="127"/>
      <c r="Z9066" s="127"/>
      <c r="AA9066" s="127"/>
      <c r="AB9066" s="128"/>
      <c r="AC9066" s="15" t="s">
        <v>20</v>
      </c>
      <c r="AD9066" s="129" t="s">
        <v>171</v>
      </c>
      <c r="AE9066" s="130"/>
      <c r="AF9066" s="130"/>
      <c r="AG9066" s="130"/>
      <c r="AH9066" s="130"/>
      <c r="AI9066" s="131"/>
      <c r="AJ9066" s="132"/>
      <c r="AK9066" s="127"/>
      <c r="AL9066" s="128"/>
      <c r="AM9066" s="21"/>
      <c r="AN9066" s="133"/>
      <c r="AO9066" s="134"/>
      <c r="AP9066" s="135"/>
      <c r="AQ9066" s="136"/>
      <c r="AR9066" s="118"/>
      <c r="AS9066" s="119"/>
      <c r="AT9066" s="118">
        <f t="shared" ref="AT9066" si="14024">AR9066*0.1</f>
        <v>0</v>
      </c>
      <c r="AU9066" s="119"/>
      <c r="AV9066" s="118"/>
      <c r="AW9066" s="119"/>
      <c r="AX9066" s="118">
        <f t="shared" ref="AX9066" si="14025">SUM(AR9066:AW9066)</f>
        <v>0</v>
      </c>
      <c r="AY9066" s="119"/>
      <c r="AZ9066" s="137"/>
    </row>
    <row r="9067" spans="1:52" ht="17.100000000000001" customHeight="1" thickBot="1">
      <c r="A9067" s="110"/>
      <c r="B9067" s="27" t="s">
        <v>2641</v>
      </c>
      <c r="C9067" s="27">
        <v>3116</v>
      </c>
      <c r="D9067" s="14" t="s">
        <v>2601</v>
      </c>
      <c r="E9067" s="112"/>
      <c r="F9067" s="139" t="s">
        <v>25820</v>
      </c>
      <c r="G9067" s="140"/>
      <c r="H9067" s="141"/>
      <c r="I9067" s="26">
        <v>50409</v>
      </c>
      <c r="J9067" s="117"/>
      <c r="K9067" s="120"/>
      <c r="L9067" s="121"/>
      <c r="M9067" s="120"/>
      <c r="N9067" s="121"/>
      <c r="O9067" s="120"/>
      <c r="P9067" s="121"/>
      <c r="Q9067" s="120"/>
      <c r="R9067" s="121"/>
      <c r="S9067" s="120"/>
      <c r="T9067" s="121"/>
      <c r="U9067" s="120"/>
      <c r="V9067" s="123"/>
      <c r="W9067" s="125"/>
      <c r="X9067" s="142"/>
      <c r="Y9067" s="143"/>
      <c r="Z9067" s="143"/>
      <c r="AA9067" s="143"/>
      <c r="AB9067" s="144"/>
      <c r="AC9067" s="16" t="s">
        <v>21</v>
      </c>
      <c r="AD9067" s="17"/>
      <c r="AE9067" s="145"/>
      <c r="AF9067" s="146"/>
      <c r="AG9067" s="146"/>
      <c r="AH9067" s="146"/>
      <c r="AI9067" s="147"/>
      <c r="AJ9067" s="148"/>
      <c r="AK9067" s="143"/>
      <c r="AL9067" s="144"/>
      <c r="AM9067" s="22"/>
      <c r="AN9067" s="149"/>
      <c r="AO9067" s="144"/>
      <c r="AP9067" s="148"/>
      <c r="AQ9067" s="144"/>
      <c r="AR9067" s="120"/>
      <c r="AS9067" s="121"/>
      <c r="AT9067" s="120"/>
      <c r="AU9067" s="121"/>
      <c r="AV9067" s="120"/>
      <c r="AW9067" s="121"/>
      <c r="AX9067" s="120"/>
      <c r="AY9067" s="121"/>
      <c r="AZ9067" s="138"/>
    </row>
    <row r="9068" spans="1:52" ht="17.100000000000001" customHeight="1" thickTop="1">
      <c r="A9068" s="109" t="s">
        <v>25803</v>
      </c>
      <c r="B9068" s="28">
        <v>46157</v>
      </c>
      <c r="C9068" s="25">
        <v>1418</v>
      </c>
      <c r="D9068" s="13" t="s">
        <v>2272</v>
      </c>
      <c r="E9068" s="111"/>
      <c r="F9068" s="113" t="s">
        <v>4026</v>
      </c>
      <c r="G9068" s="114"/>
      <c r="H9068" s="115"/>
      <c r="I9068" s="24" t="s">
        <v>5620</v>
      </c>
      <c r="J9068" s="116">
        <v>4</v>
      </c>
      <c r="K9068" s="118">
        <v>1028000</v>
      </c>
      <c r="L9068" s="119"/>
      <c r="M9068" s="118">
        <f t="shared" ref="M9068" si="14026">K9068*0.1</f>
        <v>102800</v>
      </c>
      <c r="N9068" s="119"/>
      <c r="O9068" s="118">
        <v>0</v>
      </c>
      <c r="P9068" s="119"/>
      <c r="Q9068" s="118">
        <v>8350</v>
      </c>
      <c r="R9068" s="119"/>
      <c r="S9068" s="118">
        <v>15400</v>
      </c>
      <c r="T9068" s="119"/>
      <c r="U9068" s="118">
        <f t="shared" ref="U9068" si="14027">SUM(K9068:T9069)</f>
        <v>1154550</v>
      </c>
      <c r="V9068" s="122"/>
      <c r="W9068" s="124"/>
      <c r="X9068" s="126"/>
      <c r="Y9068" s="127"/>
      <c r="Z9068" s="127"/>
      <c r="AA9068" s="127"/>
      <c r="AB9068" s="128"/>
      <c r="AC9068" s="15" t="s">
        <v>20</v>
      </c>
      <c r="AD9068" s="129" t="s">
        <v>25929</v>
      </c>
      <c r="AE9068" s="130"/>
      <c r="AF9068" s="130"/>
      <c r="AG9068" s="130"/>
      <c r="AH9068" s="130"/>
      <c r="AI9068" s="131"/>
      <c r="AJ9068" s="132"/>
      <c r="AK9068" s="127"/>
      <c r="AL9068" s="128"/>
      <c r="AM9068" s="21"/>
      <c r="AN9068" s="133"/>
      <c r="AO9068" s="134"/>
      <c r="AP9068" s="135"/>
      <c r="AQ9068" s="136"/>
      <c r="AR9068" s="118"/>
      <c r="AS9068" s="119"/>
      <c r="AT9068" s="118">
        <f t="shared" ref="AT9068" si="14028">AR9068*0.1</f>
        <v>0</v>
      </c>
      <c r="AU9068" s="119"/>
      <c r="AV9068" s="118"/>
      <c r="AW9068" s="119"/>
      <c r="AX9068" s="118">
        <f t="shared" ref="AX9068" si="14029">SUM(AR9068:AW9068)</f>
        <v>0</v>
      </c>
      <c r="AY9068" s="119"/>
      <c r="AZ9068" s="137"/>
    </row>
    <row r="9069" spans="1:52" ht="17.100000000000001" customHeight="1" thickBot="1">
      <c r="A9069" s="110"/>
      <c r="B9069" s="27" t="s">
        <v>2641</v>
      </c>
      <c r="C9069" s="27">
        <v>3144</v>
      </c>
      <c r="D9069" s="14" t="s">
        <v>2836</v>
      </c>
      <c r="E9069" s="112"/>
      <c r="F9069" s="139" t="s">
        <v>25821</v>
      </c>
      <c r="G9069" s="140"/>
      <c r="H9069" s="141"/>
      <c r="I9069" s="26">
        <v>14207</v>
      </c>
      <c r="J9069" s="117"/>
      <c r="K9069" s="120"/>
      <c r="L9069" s="121"/>
      <c r="M9069" s="120"/>
      <c r="N9069" s="121"/>
      <c r="O9069" s="120"/>
      <c r="P9069" s="121"/>
      <c r="Q9069" s="120"/>
      <c r="R9069" s="121"/>
      <c r="S9069" s="120"/>
      <c r="T9069" s="121"/>
      <c r="U9069" s="120"/>
      <c r="V9069" s="123"/>
      <c r="W9069" s="125"/>
      <c r="X9069" s="142"/>
      <c r="Y9069" s="143"/>
      <c r="Z9069" s="143"/>
      <c r="AA9069" s="143"/>
      <c r="AB9069" s="144"/>
      <c r="AC9069" s="16" t="s">
        <v>21</v>
      </c>
      <c r="AD9069" s="17"/>
      <c r="AE9069" s="145"/>
      <c r="AF9069" s="146"/>
      <c r="AG9069" s="146"/>
      <c r="AH9069" s="146"/>
      <c r="AI9069" s="147"/>
      <c r="AJ9069" s="148"/>
      <c r="AK9069" s="143"/>
      <c r="AL9069" s="144"/>
      <c r="AM9069" s="22"/>
      <c r="AN9069" s="149"/>
      <c r="AO9069" s="144"/>
      <c r="AP9069" s="148"/>
      <c r="AQ9069" s="144"/>
      <c r="AR9069" s="120"/>
      <c r="AS9069" s="121"/>
      <c r="AT9069" s="120"/>
      <c r="AU9069" s="121"/>
      <c r="AV9069" s="120"/>
      <c r="AW9069" s="121"/>
      <c r="AX9069" s="120"/>
      <c r="AY9069" s="121"/>
      <c r="AZ9069" s="138"/>
    </row>
    <row r="9070" spans="1:52" ht="17.100000000000001" customHeight="1" thickTop="1">
      <c r="A9070" s="109" t="s">
        <v>25804</v>
      </c>
      <c r="B9070" s="28">
        <v>46157</v>
      </c>
      <c r="C9070" s="25">
        <v>1418</v>
      </c>
      <c r="D9070" s="13" t="s">
        <v>2359</v>
      </c>
      <c r="E9070" s="111"/>
      <c r="F9070" s="113" t="s">
        <v>4559</v>
      </c>
      <c r="G9070" s="114"/>
      <c r="H9070" s="115"/>
      <c r="I9070" s="24" t="s">
        <v>9848</v>
      </c>
      <c r="J9070" s="116">
        <v>4</v>
      </c>
      <c r="K9070" s="118">
        <v>1150000</v>
      </c>
      <c r="L9070" s="119"/>
      <c r="M9070" s="118">
        <f t="shared" ref="M9070" si="14030">K9070*0.1</f>
        <v>115000</v>
      </c>
      <c r="N9070" s="119"/>
      <c r="O9070" s="118">
        <f>25400+2540</f>
        <v>27940</v>
      </c>
      <c r="P9070" s="119"/>
      <c r="Q9070" s="118">
        <v>16240</v>
      </c>
      <c r="R9070" s="119"/>
      <c r="S9070" s="118">
        <v>15400</v>
      </c>
      <c r="T9070" s="119"/>
      <c r="U9070" s="118">
        <f t="shared" ref="U9070" si="14031">SUM(K9070:T9071)</f>
        <v>1324580</v>
      </c>
      <c r="V9070" s="122"/>
      <c r="W9070" s="124"/>
      <c r="X9070" s="126"/>
      <c r="Y9070" s="127"/>
      <c r="Z9070" s="127"/>
      <c r="AA9070" s="127"/>
      <c r="AB9070" s="128"/>
      <c r="AC9070" s="15" t="s">
        <v>20</v>
      </c>
      <c r="AD9070" s="129" t="s">
        <v>1633</v>
      </c>
      <c r="AE9070" s="130"/>
      <c r="AF9070" s="130"/>
      <c r="AG9070" s="130"/>
      <c r="AH9070" s="130"/>
      <c r="AI9070" s="131"/>
      <c r="AJ9070" s="132"/>
      <c r="AK9070" s="127"/>
      <c r="AL9070" s="128"/>
      <c r="AM9070" s="21"/>
      <c r="AN9070" s="133"/>
      <c r="AO9070" s="134"/>
      <c r="AP9070" s="135"/>
      <c r="AQ9070" s="136"/>
      <c r="AR9070" s="118"/>
      <c r="AS9070" s="119"/>
      <c r="AT9070" s="118">
        <f t="shared" ref="AT9070" si="14032">AR9070*0.1</f>
        <v>0</v>
      </c>
      <c r="AU9070" s="119"/>
      <c r="AV9070" s="118"/>
      <c r="AW9070" s="119"/>
      <c r="AX9070" s="118">
        <f t="shared" ref="AX9070" si="14033">SUM(AR9070:AW9070)</f>
        <v>0</v>
      </c>
      <c r="AY9070" s="119"/>
      <c r="AZ9070" s="137"/>
    </row>
    <row r="9071" spans="1:52" ht="17.100000000000001" customHeight="1" thickBot="1">
      <c r="A9071" s="110"/>
      <c r="B9071" s="27" t="s">
        <v>2641</v>
      </c>
      <c r="C9071" s="27">
        <v>7043</v>
      </c>
      <c r="D9071" s="14" t="s">
        <v>1812</v>
      </c>
      <c r="E9071" s="112"/>
      <c r="F9071" s="139" t="s">
        <v>25822</v>
      </c>
      <c r="G9071" s="140"/>
      <c r="H9071" s="141"/>
      <c r="I9071" s="26">
        <v>55591</v>
      </c>
      <c r="J9071" s="117"/>
      <c r="K9071" s="120"/>
      <c r="L9071" s="121"/>
      <c r="M9071" s="120"/>
      <c r="N9071" s="121"/>
      <c r="O9071" s="120"/>
      <c r="P9071" s="121"/>
      <c r="Q9071" s="120"/>
      <c r="R9071" s="121"/>
      <c r="S9071" s="120"/>
      <c r="T9071" s="121"/>
      <c r="U9071" s="120"/>
      <c r="V9071" s="123"/>
      <c r="W9071" s="125"/>
      <c r="X9071" s="142"/>
      <c r="Y9071" s="143"/>
      <c r="Z9071" s="143"/>
      <c r="AA9071" s="143"/>
      <c r="AB9071" s="144"/>
      <c r="AC9071" s="16" t="s">
        <v>21</v>
      </c>
      <c r="AD9071" s="17"/>
      <c r="AE9071" s="145"/>
      <c r="AF9071" s="146"/>
      <c r="AG9071" s="146"/>
      <c r="AH9071" s="146"/>
      <c r="AI9071" s="147"/>
      <c r="AJ9071" s="148"/>
      <c r="AK9071" s="143"/>
      <c r="AL9071" s="144"/>
      <c r="AM9071" s="22"/>
      <c r="AN9071" s="149"/>
      <c r="AO9071" s="144"/>
      <c r="AP9071" s="148"/>
      <c r="AQ9071" s="144"/>
      <c r="AR9071" s="120"/>
      <c r="AS9071" s="121"/>
      <c r="AT9071" s="120"/>
      <c r="AU9071" s="121"/>
      <c r="AV9071" s="120"/>
      <c r="AW9071" s="121"/>
      <c r="AX9071" s="120"/>
      <c r="AY9071" s="121"/>
      <c r="AZ9071" s="138"/>
    </row>
    <row r="9072" spans="1:52" ht="17.100000000000001" customHeight="1" thickTop="1">
      <c r="A9072" s="109" t="s">
        <v>25805</v>
      </c>
      <c r="B9072" s="28">
        <v>46157</v>
      </c>
      <c r="C9072" s="25">
        <v>1418</v>
      </c>
      <c r="D9072" s="13" t="s">
        <v>3478</v>
      </c>
      <c r="E9072" s="111"/>
      <c r="F9072" s="113" t="s">
        <v>25823</v>
      </c>
      <c r="G9072" s="114"/>
      <c r="H9072" s="115"/>
      <c r="I9072" s="24" t="s">
        <v>25932</v>
      </c>
      <c r="J9072" s="116">
        <v>4</v>
      </c>
      <c r="K9072" s="118">
        <v>1277000</v>
      </c>
      <c r="L9072" s="119"/>
      <c r="M9072" s="118">
        <f t="shared" ref="M9072" si="14034">K9072*0.1</f>
        <v>127700</v>
      </c>
      <c r="N9072" s="119"/>
      <c r="O9072" s="118">
        <f>32900+3290</f>
        <v>36190</v>
      </c>
      <c r="P9072" s="119"/>
      <c r="Q9072" s="118">
        <v>24360</v>
      </c>
      <c r="R9072" s="119"/>
      <c r="S9072" s="118">
        <v>15400</v>
      </c>
      <c r="T9072" s="119"/>
      <c r="U9072" s="118">
        <f t="shared" ref="U9072" si="14035">SUM(K9072:T9073)</f>
        <v>1480650</v>
      </c>
      <c r="V9072" s="122"/>
      <c r="W9072" s="124"/>
      <c r="X9072" s="126"/>
      <c r="Y9072" s="127"/>
      <c r="Z9072" s="127"/>
      <c r="AA9072" s="127"/>
      <c r="AB9072" s="128"/>
      <c r="AC9072" s="15" t="s">
        <v>20</v>
      </c>
      <c r="AD9072" s="129" t="s">
        <v>25933</v>
      </c>
      <c r="AE9072" s="130"/>
      <c r="AF9072" s="130"/>
      <c r="AG9072" s="130"/>
      <c r="AH9072" s="130"/>
      <c r="AI9072" s="131"/>
      <c r="AJ9072" s="132"/>
      <c r="AK9072" s="127"/>
      <c r="AL9072" s="128"/>
      <c r="AM9072" s="21"/>
      <c r="AN9072" s="133"/>
      <c r="AO9072" s="134"/>
      <c r="AP9072" s="135"/>
      <c r="AQ9072" s="136"/>
      <c r="AR9072" s="118"/>
      <c r="AS9072" s="119"/>
      <c r="AT9072" s="118">
        <f t="shared" ref="AT9072" si="14036">AR9072*0.1</f>
        <v>0</v>
      </c>
      <c r="AU9072" s="119"/>
      <c r="AV9072" s="118"/>
      <c r="AW9072" s="119"/>
      <c r="AX9072" s="118">
        <f t="shared" ref="AX9072" si="14037">SUM(AR9072:AW9072)</f>
        <v>0</v>
      </c>
      <c r="AY9072" s="119"/>
      <c r="AZ9072" s="137"/>
    </row>
    <row r="9073" spans="1:52" ht="17.100000000000001" customHeight="1" thickBot="1">
      <c r="A9073" s="110"/>
      <c r="B9073" s="27" t="s">
        <v>2641</v>
      </c>
      <c r="C9073" s="27">
        <v>7093</v>
      </c>
      <c r="D9073" s="14" t="s">
        <v>2601</v>
      </c>
      <c r="E9073" s="112"/>
      <c r="F9073" s="139" t="s">
        <v>25824</v>
      </c>
      <c r="G9073" s="140"/>
      <c r="H9073" s="141"/>
      <c r="I9073" s="26">
        <v>66126</v>
      </c>
      <c r="J9073" s="117"/>
      <c r="K9073" s="120"/>
      <c r="L9073" s="121"/>
      <c r="M9073" s="120"/>
      <c r="N9073" s="121"/>
      <c r="O9073" s="120"/>
      <c r="P9073" s="121"/>
      <c r="Q9073" s="120"/>
      <c r="R9073" s="121"/>
      <c r="S9073" s="120"/>
      <c r="T9073" s="121"/>
      <c r="U9073" s="120"/>
      <c r="V9073" s="123"/>
      <c r="W9073" s="125"/>
      <c r="X9073" s="142"/>
      <c r="Y9073" s="143"/>
      <c r="Z9073" s="143"/>
      <c r="AA9073" s="143"/>
      <c r="AB9073" s="144"/>
      <c r="AC9073" s="16" t="s">
        <v>21</v>
      </c>
      <c r="AD9073" s="17"/>
      <c r="AE9073" s="145"/>
      <c r="AF9073" s="146"/>
      <c r="AG9073" s="146"/>
      <c r="AH9073" s="146"/>
      <c r="AI9073" s="147"/>
      <c r="AJ9073" s="148"/>
      <c r="AK9073" s="143"/>
      <c r="AL9073" s="144"/>
      <c r="AM9073" s="22"/>
      <c r="AN9073" s="149"/>
      <c r="AO9073" s="144"/>
      <c r="AP9073" s="148"/>
      <c r="AQ9073" s="144"/>
      <c r="AR9073" s="120"/>
      <c r="AS9073" s="121"/>
      <c r="AT9073" s="120"/>
      <c r="AU9073" s="121"/>
      <c r="AV9073" s="120"/>
      <c r="AW9073" s="121"/>
      <c r="AX9073" s="120"/>
      <c r="AY9073" s="121"/>
      <c r="AZ9073" s="138"/>
    </row>
    <row r="9074" spans="1:52" ht="17.100000000000001" customHeight="1" thickTop="1">
      <c r="A9074" s="109" t="s">
        <v>25806</v>
      </c>
      <c r="B9074" s="28">
        <v>46157</v>
      </c>
      <c r="C9074" s="25">
        <v>1418</v>
      </c>
      <c r="D9074" s="13" t="s">
        <v>3296</v>
      </c>
      <c r="E9074" s="111"/>
      <c r="F9074" s="113" t="s">
        <v>25825</v>
      </c>
      <c r="G9074" s="114"/>
      <c r="H9074" s="115"/>
      <c r="I9074" s="24" t="s">
        <v>2976</v>
      </c>
      <c r="J9074" s="116">
        <v>4</v>
      </c>
      <c r="K9074" s="118">
        <v>682000</v>
      </c>
      <c r="L9074" s="119"/>
      <c r="M9074" s="118">
        <f t="shared" ref="M9074" si="14038">K9074*0.1</f>
        <v>68200</v>
      </c>
      <c r="N9074" s="119"/>
      <c r="O9074" s="118">
        <v>0</v>
      </c>
      <c r="P9074" s="119"/>
      <c r="Q9074" s="118">
        <v>8400</v>
      </c>
      <c r="R9074" s="119"/>
      <c r="S9074" s="118">
        <v>15400</v>
      </c>
      <c r="T9074" s="119"/>
      <c r="U9074" s="118">
        <f t="shared" ref="U9074" si="14039">SUM(K9074:T9075)</f>
        <v>774000</v>
      </c>
      <c r="V9074" s="122"/>
      <c r="W9074" s="124"/>
      <c r="X9074" s="126"/>
      <c r="Y9074" s="127"/>
      <c r="Z9074" s="127"/>
      <c r="AA9074" s="127"/>
      <c r="AB9074" s="128"/>
      <c r="AC9074" s="15" t="s">
        <v>20</v>
      </c>
      <c r="AD9074" s="129"/>
      <c r="AE9074" s="130"/>
      <c r="AF9074" s="130"/>
      <c r="AG9074" s="130"/>
      <c r="AH9074" s="130"/>
      <c r="AI9074" s="131"/>
      <c r="AJ9074" s="132"/>
      <c r="AK9074" s="127"/>
      <c r="AL9074" s="128"/>
      <c r="AM9074" s="21"/>
      <c r="AN9074" s="133"/>
      <c r="AO9074" s="134"/>
      <c r="AP9074" s="135"/>
      <c r="AQ9074" s="136"/>
      <c r="AR9074" s="118"/>
      <c r="AS9074" s="119"/>
      <c r="AT9074" s="118">
        <f t="shared" ref="AT9074" si="14040">AR9074*0.1</f>
        <v>0</v>
      </c>
      <c r="AU9074" s="119"/>
      <c r="AV9074" s="118"/>
      <c r="AW9074" s="119"/>
      <c r="AX9074" s="118">
        <f t="shared" ref="AX9074" si="14041">SUM(AR9074:AW9074)</f>
        <v>0</v>
      </c>
      <c r="AY9074" s="119"/>
      <c r="AZ9074" s="137"/>
    </row>
    <row r="9075" spans="1:52" ht="17.100000000000001" customHeight="1" thickBot="1">
      <c r="A9075" s="110"/>
      <c r="B9075" s="27" t="s">
        <v>2641</v>
      </c>
      <c r="C9075" s="27">
        <v>7583</v>
      </c>
      <c r="D9075" s="14" t="s">
        <v>1812</v>
      </c>
      <c r="E9075" s="112"/>
      <c r="F9075" s="139" t="s">
        <v>25826</v>
      </c>
      <c r="G9075" s="140"/>
      <c r="H9075" s="141"/>
      <c r="I9075" s="26">
        <v>44223</v>
      </c>
      <c r="J9075" s="117"/>
      <c r="K9075" s="120"/>
      <c r="L9075" s="121"/>
      <c r="M9075" s="120"/>
      <c r="N9075" s="121"/>
      <c r="O9075" s="120"/>
      <c r="P9075" s="121"/>
      <c r="Q9075" s="120"/>
      <c r="R9075" s="121"/>
      <c r="S9075" s="120"/>
      <c r="T9075" s="121"/>
      <c r="U9075" s="120"/>
      <c r="V9075" s="123"/>
      <c r="W9075" s="125"/>
      <c r="X9075" s="142"/>
      <c r="Y9075" s="143"/>
      <c r="Z9075" s="143"/>
      <c r="AA9075" s="143"/>
      <c r="AB9075" s="144"/>
      <c r="AC9075" s="16" t="s">
        <v>21</v>
      </c>
      <c r="AD9075" s="17"/>
      <c r="AE9075" s="145"/>
      <c r="AF9075" s="146"/>
      <c r="AG9075" s="146"/>
      <c r="AH9075" s="146"/>
      <c r="AI9075" s="147"/>
      <c r="AJ9075" s="148"/>
      <c r="AK9075" s="143"/>
      <c r="AL9075" s="144"/>
      <c r="AM9075" s="22"/>
      <c r="AN9075" s="149"/>
      <c r="AO9075" s="144"/>
      <c r="AP9075" s="148"/>
      <c r="AQ9075" s="144"/>
      <c r="AR9075" s="120"/>
      <c r="AS9075" s="121"/>
      <c r="AT9075" s="120"/>
      <c r="AU9075" s="121"/>
      <c r="AV9075" s="120"/>
      <c r="AW9075" s="121"/>
      <c r="AX9075" s="120"/>
      <c r="AY9075" s="121"/>
      <c r="AZ9075" s="138"/>
    </row>
    <row r="9076" spans="1:52" ht="17.100000000000001" customHeight="1" thickTop="1">
      <c r="A9076" s="109" t="s">
        <v>25807</v>
      </c>
      <c r="B9076" s="28">
        <v>46157</v>
      </c>
      <c r="C9076" s="25">
        <v>1418</v>
      </c>
      <c r="D9076" s="13" t="s">
        <v>11570</v>
      </c>
      <c r="E9076" s="111"/>
      <c r="F9076" s="113" t="s">
        <v>5099</v>
      </c>
      <c r="G9076" s="114"/>
      <c r="H9076" s="115"/>
      <c r="I9076" s="24" t="s">
        <v>21587</v>
      </c>
      <c r="J9076" s="116">
        <v>3.5</v>
      </c>
      <c r="K9076" s="118">
        <v>280000</v>
      </c>
      <c r="L9076" s="119"/>
      <c r="M9076" s="118">
        <f t="shared" ref="M9076" si="14042">K9076*0.1</f>
        <v>28000</v>
      </c>
      <c r="N9076" s="119"/>
      <c r="O9076" s="118">
        <f>37500+3750</f>
        <v>41250</v>
      </c>
      <c r="P9076" s="119"/>
      <c r="Q9076" s="118">
        <v>16260</v>
      </c>
      <c r="R9076" s="119"/>
      <c r="S9076" s="118">
        <v>15400</v>
      </c>
      <c r="T9076" s="119"/>
      <c r="U9076" s="118">
        <f t="shared" ref="U9076" si="14043">SUM(K9076:T9077)</f>
        <v>380910</v>
      </c>
      <c r="V9076" s="122"/>
      <c r="W9076" s="124"/>
      <c r="X9076" s="126"/>
      <c r="Y9076" s="127"/>
      <c r="Z9076" s="127"/>
      <c r="AA9076" s="127"/>
      <c r="AB9076" s="128"/>
      <c r="AC9076" s="15" t="s">
        <v>20</v>
      </c>
      <c r="AD9076" s="129"/>
      <c r="AE9076" s="130"/>
      <c r="AF9076" s="130"/>
      <c r="AG9076" s="130"/>
      <c r="AH9076" s="130"/>
      <c r="AI9076" s="131"/>
      <c r="AJ9076" s="132"/>
      <c r="AK9076" s="127"/>
      <c r="AL9076" s="128"/>
      <c r="AM9076" s="21"/>
      <c r="AN9076" s="133"/>
      <c r="AO9076" s="134"/>
      <c r="AP9076" s="135"/>
      <c r="AQ9076" s="136"/>
      <c r="AR9076" s="118"/>
      <c r="AS9076" s="119"/>
      <c r="AT9076" s="118">
        <f t="shared" ref="AT9076" si="14044">AR9076*0.1</f>
        <v>0</v>
      </c>
      <c r="AU9076" s="119"/>
      <c r="AV9076" s="118"/>
      <c r="AW9076" s="119"/>
      <c r="AX9076" s="118">
        <f t="shared" ref="AX9076" si="14045">SUM(AR9076:AW9076)</f>
        <v>0</v>
      </c>
      <c r="AY9076" s="119"/>
      <c r="AZ9076" s="137"/>
    </row>
    <row r="9077" spans="1:52" ht="17.100000000000001" customHeight="1" thickBot="1">
      <c r="A9077" s="110"/>
      <c r="B9077" s="27" t="s">
        <v>2641</v>
      </c>
      <c r="C9077" s="27">
        <v>9002</v>
      </c>
      <c r="D9077" s="14" t="s">
        <v>2601</v>
      </c>
      <c r="E9077" s="112"/>
      <c r="F9077" s="139" t="s">
        <v>25827</v>
      </c>
      <c r="G9077" s="140"/>
      <c r="H9077" s="141"/>
      <c r="I9077" s="26">
        <v>158277</v>
      </c>
      <c r="J9077" s="117"/>
      <c r="K9077" s="120"/>
      <c r="L9077" s="121"/>
      <c r="M9077" s="120"/>
      <c r="N9077" s="121"/>
      <c r="O9077" s="120"/>
      <c r="P9077" s="121"/>
      <c r="Q9077" s="120"/>
      <c r="R9077" s="121"/>
      <c r="S9077" s="120"/>
      <c r="T9077" s="121"/>
      <c r="U9077" s="120"/>
      <c r="V9077" s="123"/>
      <c r="W9077" s="125"/>
      <c r="X9077" s="142"/>
      <c r="Y9077" s="143"/>
      <c r="Z9077" s="143"/>
      <c r="AA9077" s="143"/>
      <c r="AB9077" s="144"/>
      <c r="AC9077" s="16" t="s">
        <v>21</v>
      </c>
      <c r="AD9077" s="17"/>
      <c r="AE9077" s="145"/>
      <c r="AF9077" s="146"/>
      <c r="AG9077" s="146"/>
      <c r="AH9077" s="146"/>
      <c r="AI9077" s="147"/>
      <c r="AJ9077" s="148"/>
      <c r="AK9077" s="143"/>
      <c r="AL9077" s="144"/>
      <c r="AM9077" s="22"/>
      <c r="AN9077" s="149"/>
      <c r="AO9077" s="144"/>
      <c r="AP9077" s="148"/>
      <c r="AQ9077" s="144"/>
      <c r="AR9077" s="120"/>
      <c r="AS9077" s="121"/>
      <c r="AT9077" s="120"/>
      <c r="AU9077" s="121"/>
      <c r="AV9077" s="120"/>
      <c r="AW9077" s="121"/>
      <c r="AX9077" s="120"/>
      <c r="AY9077" s="121"/>
      <c r="AZ9077" s="138"/>
    </row>
    <row r="9078" spans="1:52" ht="17.100000000000001" customHeight="1" thickTop="1">
      <c r="A9078" s="109" t="s">
        <v>25808</v>
      </c>
      <c r="B9078" s="28">
        <v>46157</v>
      </c>
      <c r="C9078" s="25">
        <v>1418</v>
      </c>
      <c r="D9078" s="13" t="s">
        <v>1642</v>
      </c>
      <c r="E9078" s="111"/>
      <c r="F9078" s="113" t="s">
        <v>25832</v>
      </c>
      <c r="G9078" s="114"/>
      <c r="H9078" s="115"/>
      <c r="I9078" s="24"/>
      <c r="J9078" s="150" t="s">
        <v>1715</v>
      </c>
      <c r="K9078" s="118">
        <v>373000</v>
      </c>
      <c r="L9078" s="119"/>
      <c r="M9078" s="118">
        <f t="shared" ref="M9078" si="14046">K9078*0.1</f>
        <v>37300</v>
      </c>
      <c r="N9078" s="119"/>
      <c r="O9078" s="118">
        <v>0</v>
      </c>
      <c r="P9078" s="119"/>
      <c r="Q9078" s="118">
        <v>7920</v>
      </c>
      <c r="R9078" s="119"/>
      <c r="S9078" s="118">
        <v>15400</v>
      </c>
      <c r="T9078" s="119"/>
      <c r="U9078" s="118">
        <f t="shared" ref="U9078" si="14047">SUM(K9078:T9079)</f>
        <v>433620</v>
      </c>
      <c r="V9078" s="122"/>
      <c r="W9078" s="124"/>
      <c r="X9078" s="126"/>
      <c r="Y9078" s="127"/>
      <c r="Z9078" s="127"/>
      <c r="AA9078" s="127"/>
      <c r="AB9078" s="128"/>
      <c r="AC9078" s="15" t="s">
        <v>20</v>
      </c>
      <c r="AD9078" s="129"/>
      <c r="AE9078" s="130"/>
      <c r="AF9078" s="130"/>
      <c r="AG9078" s="130"/>
      <c r="AH9078" s="130"/>
      <c r="AI9078" s="131"/>
      <c r="AJ9078" s="132"/>
      <c r="AK9078" s="127"/>
      <c r="AL9078" s="128"/>
      <c r="AM9078" s="21"/>
      <c r="AN9078" s="133"/>
      <c r="AO9078" s="134"/>
      <c r="AP9078" s="135"/>
      <c r="AQ9078" s="136"/>
      <c r="AR9078" s="118"/>
      <c r="AS9078" s="119"/>
      <c r="AT9078" s="118">
        <f t="shared" ref="AT9078" si="14048">AR9078*0.1</f>
        <v>0</v>
      </c>
      <c r="AU9078" s="119"/>
      <c r="AV9078" s="118"/>
      <c r="AW9078" s="119"/>
      <c r="AX9078" s="118">
        <f t="shared" ref="AX9078" si="14049">SUM(AR9078:AW9078)</f>
        <v>0</v>
      </c>
      <c r="AY9078" s="119"/>
      <c r="AZ9078" s="137"/>
    </row>
    <row r="9079" spans="1:52" ht="17.100000000000001" customHeight="1" thickBot="1">
      <c r="A9079" s="110"/>
      <c r="B9079" s="27" t="s">
        <v>2641</v>
      </c>
      <c r="C9079" s="27">
        <v>9003</v>
      </c>
      <c r="D9079" s="14" t="s">
        <v>1720</v>
      </c>
      <c r="E9079" s="112"/>
      <c r="F9079" s="139" t="s">
        <v>25833</v>
      </c>
      <c r="G9079" s="140"/>
      <c r="H9079" s="141"/>
      <c r="I9079" s="26">
        <v>7830</v>
      </c>
      <c r="J9079" s="117"/>
      <c r="K9079" s="120"/>
      <c r="L9079" s="121"/>
      <c r="M9079" s="120"/>
      <c r="N9079" s="121"/>
      <c r="O9079" s="120"/>
      <c r="P9079" s="121"/>
      <c r="Q9079" s="120"/>
      <c r="R9079" s="121"/>
      <c r="S9079" s="120"/>
      <c r="T9079" s="121"/>
      <c r="U9079" s="120"/>
      <c r="V9079" s="123"/>
      <c r="W9079" s="125"/>
      <c r="X9079" s="142"/>
      <c r="Y9079" s="143"/>
      <c r="Z9079" s="143"/>
      <c r="AA9079" s="143"/>
      <c r="AB9079" s="144"/>
      <c r="AC9079" s="16" t="s">
        <v>21</v>
      </c>
      <c r="AD9079" s="17"/>
      <c r="AE9079" s="145"/>
      <c r="AF9079" s="146"/>
      <c r="AG9079" s="146"/>
      <c r="AH9079" s="146"/>
      <c r="AI9079" s="147"/>
      <c r="AJ9079" s="148"/>
      <c r="AK9079" s="143"/>
      <c r="AL9079" s="144"/>
      <c r="AM9079" s="22"/>
      <c r="AN9079" s="149"/>
      <c r="AO9079" s="144"/>
      <c r="AP9079" s="148"/>
      <c r="AQ9079" s="144"/>
      <c r="AR9079" s="120"/>
      <c r="AS9079" s="121"/>
      <c r="AT9079" s="120"/>
      <c r="AU9079" s="121"/>
      <c r="AV9079" s="120"/>
      <c r="AW9079" s="121"/>
      <c r="AX9079" s="120"/>
      <c r="AY9079" s="121"/>
      <c r="AZ9079" s="138"/>
    </row>
    <row r="9080" spans="1:52" ht="17.100000000000001" customHeight="1" thickTop="1">
      <c r="A9080" s="109" t="s">
        <v>25809</v>
      </c>
      <c r="B9080" s="28">
        <v>46157</v>
      </c>
      <c r="C9080" s="25">
        <v>1418</v>
      </c>
      <c r="D9080" s="13" t="s">
        <v>1902</v>
      </c>
      <c r="E9080" s="111"/>
      <c r="F9080" s="113" t="s">
        <v>13272</v>
      </c>
      <c r="G9080" s="114"/>
      <c r="H9080" s="115"/>
      <c r="I9080" s="24"/>
      <c r="J9080" s="116">
        <v>3.5</v>
      </c>
      <c r="K9080" s="118">
        <v>625000</v>
      </c>
      <c r="L9080" s="119"/>
      <c r="M9080" s="118">
        <f t="shared" ref="M9080" si="14050">K9080*0.1</f>
        <v>62500</v>
      </c>
      <c r="N9080" s="119"/>
      <c r="O9080" s="118">
        <v>0</v>
      </c>
      <c r="P9080" s="119"/>
      <c r="Q9080" s="118">
        <v>8190</v>
      </c>
      <c r="R9080" s="119"/>
      <c r="S9080" s="118">
        <v>15400</v>
      </c>
      <c r="T9080" s="119"/>
      <c r="U9080" s="118">
        <f t="shared" ref="U9080" si="14051">SUM(K9080:T9081)</f>
        <v>711090</v>
      </c>
      <c r="V9080" s="122"/>
      <c r="W9080" s="124"/>
      <c r="X9080" s="126"/>
      <c r="Y9080" s="127"/>
      <c r="Z9080" s="127"/>
      <c r="AA9080" s="127"/>
      <c r="AB9080" s="128"/>
      <c r="AC9080" s="15" t="s">
        <v>20</v>
      </c>
      <c r="AD9080" s="129"/>
      <c r="AE9080" s="130"/>
      <c r="AF9080" s="130"/>
      <c r="AG9080" s="130"/>
      <c r="AH9080" s="130"/>
      <c r="AI9080" s="131"/>
      <c r="AJ9080" s="132"/>
      <c r="AK9080" s="127"/>
      <c r="AL9080" s="128"/>
      <c r="AM9080" s="21"/>
      <c r="AN9080" s="133"/>
      <c r="AO9080" s="134"/>
      <c r="AP9080" s="135"/>
      <c r="AQ9080" s="136"/>
      <c r="AR9080" s="118"/>
      <c r="AS9080" s="119"/>
      <c r="AT9080" s="118">
        <f t="shared" ref="AT9080" si="14052">AR9080*0.1</f>
        <v>0</v>
      </c>
      <c r="AU9080" s="119"/>
      <c r="AV9080" s="118"/>
      <c r="AW9080" s="119"/>
      <c r="AX9080" s="118">
        <f t="shared" ref="AX9080" si="14053">SUM(AR9080:AW9080)</f>
        <v>0</v>
      </c>
      <c r="AY9080" s="119"/>
      <c r="AZ9080" s="137"/>
    </row>
    <row r="9081" spans="1:52" ht="17.100000000000001" customHeight="1" thickBot="1">
      <c r="A9081" s="110"/>
      <c r="B9081" s="27" t="s">
        <v>2641</v>
      </c>
      <c r="C9081" s="27">
        <v>9007</v>
      </c>
      <c r="D9081" s="14" t="s">
        <v>2040</v>
      </c>
      <c r="E9081" s="112"/>
      <c r="F9081" s="139" t="s">
        <v>25828</v>
      </c>
      <c r="G9081" s="140"/>
      <c r="H9081" s="141"/>
      <c r="I9081" s="26">
        <v>44363</v>
      </c>
      <c r="J9081" s="117"/>
      <c r="K9081" s="120"/>
      <c r="L9081" s="121"/>
      <c r="M9081" s="120"/>
      <c r="N9081" s="121"/>
      <c r="O9081" s="120"/>
      <c r="P9081" s="121"/>
      <c r="Q9081" s="120"/>
      <c r="R9081" s="121"/>
      <c r="S9081" s="120"/>
      <c r="T9081" s="121"/>
      <c r="U9081" s="120"/>
      <c r="V9081" s="123"/>
      <c r="W9081" s="125"/>
      <c r="X9081" s="142"/>
      <c r="Y9081" s="143"/>
      <c r="Z9081" s="143"/>
      <c r="AA9081" s="143"/>
      <c r="AB9081" s="144"/>
      <c r="AC9081" s="16" t="s">
        <v>21</v>
      </c>
      <c r="AD9081" s="17"/>
      <c r="AE9081" s="145"/>
      <c r="AF9081" s="146"/>
      <c r="AG9081" s="146"/>
      <c r="AH9081" s="146"/>
      <c r="AI9081" s="147"/>
      <c r="AJ9081" s="148"/>
      <c r="AK9081" s="143"/>
      <c r="AL9081" s="144"/>
      <c r="AM9081" s="22"/>
      <c r="AN9081" s="149"/>
      <c r="AO9081" s="144"/>
      <c r="AP9081" s="148"/>
      <c r="AQ9081" s="144"/>
      <c r="AR9081" s="120"/>
      <c r="AS9081" s="121"/>
      <c r="AT9081" s="120"/>
      <c r="AU9081" s="121"/>
      <c r="AV9081" s="120"/>
      <c r="AW9081" s="121"/>
      <c r="AX9081" s="120"/>
      <c r="AY9081" s="121"/>
      <c r="AZ9081" s="138"/>
    </row>
    <row r="9082" spans="1:52" ht="17.100000000000001" customHeight="1" thickTop="1">
      <c r="A9082" s="109" t="s">
        <v>25810</v>
      </c>
      <c r="B9082" s="28">
        <v>46157</v>
      </c>
      <c r="C9082" s="25">
        <v>1418</v>
      </c>
      <c r="D9082" s="13" t="s">
        <v>1803</v>
      </c>
      <c r="E9082" s="111"/>
      <c r="F9082" s="113" t="s">
        <v>5375</v>
      </c>
      <c r="G9082" s="114"/>
      <c r="H9082" s="115"/>
      <c r="I9082" s="24"/>
      <c r="J9082" s="116">
        <v>3.5</v>
      </c>
      <c r="K9082" s="118">
        <v>391000</v>
      </c>
      <c r="L9082" s="119"/>
      <c r="M9082" s="118">
        <f t="shared" ref="M9082" si="14054">K9082*0.1</f>
        <v>39100</v>
      </c>
      <c r="N9082" s="119"/>
      <c r="O9082" s="118">
        <v>0</v>
      </c>
      <c r="P9082" s="119"/>
      <c r="Q9082" s="118">
        <v>9800</v>
      </c>
      <c r="R9082" s="119"/>
      <c r="S9082" s="118">
        <v>15400</v>
      </c>
      <c r="T9082" s="119"/>
      <c r="U9082" s="118">
        <f t="shared" ref="U9082" si="14055">SUM(K9082:T9083)</f>
        <v>455300</v>
      </c>
      <c r="V9082" s="122"/>
      <c r="W9082" s="124"/>
      <c r="X9082" s="126"/>
      <c r="Y9082" s="127"/>
      <c r="Z9082" s="127"/>
      <c r="AA9082" s="127"/>
      <c r="AB9082" s="128"/>
      <c r="AC9082" s="15" t="s">
        <v>20</v>
      </c>
      <c r="AD9082" s="129"/>
      <c r="AE9082" s="130"/>
      <c r="AF9082" s="130"/>
      <c r="AG9082" s="130"/>
      <c r="AH9082" s="130"/>
      <c r="AI9082" s="131"/>
      <c r="AJ9082" s="132"/>
      <c r="AK9082" s="127"/>
      <c r="AL9082" s="128"/>
      <c r="AM9082" s="21"/>
      <c r="AN9082" s="133"/>
      <c r="AO9082" s="134"/>
      <c r="AP9082" s="135"/>
      <c r="AQ9082" s="136"/>
      <c r="AR9082" s="118"/>
      <c r="AS9082" s="119"/>
      <c r="AT9082" s="118">
        <f t="shared" ref="AT9082" si="14056">AR9082*0.1</f>
        <v>0</v>
      </c>
      <c r="AU9082" s="119"/>
      <c r="AV9082" s="118"/>
      <c r="AW9082" s="119"/>
      <c r="AX9082" s="118">
        <f t="shared" ref="AX9082" si="14057">SUM(AR9082:AW9082)</f>
        <v>0</v>
      </c>
      <c r="AY9082" s="119"/>
      <c r="AZ9082" s="137"/>
    </row>
    <row r="9083" spans="1:52" ht="17.100000000000001" customHeight="1" thickBot="1">
      <c r="A9083" s="110"/>
      <c r="B9083" s="27" t="s">
        <v>2641</v>
      </c>
      <c r="C9083" s="27">
        <v>9014</v>
      </c>
      <c r="D9083" s="14" t="s">
        <v>904</v>
      </c>
      <c r="E9083" s="112"/>
      <c r="F9083" s="139" t="s">
        <v>25829</v>
      </c>
      <c r="G9083" s="140"/>
      <c r="H9083" s="141"/>
      <c r="I9083" s="26">
        <v>54507</v>
      </c>
      <c r="J9083" s="117"/>
      <c r="K9083" s="120"/>
      <c r="L9083" s="121"/>
      <c r="M9083" s="120"/>
      <c r="N9083" s="121"/>
      <c r="O9083" s="120"/>
      <c r="P9083" s="121"/>
      <c r="Q9083" s="120"/>
      <c r="R9083" s="121"/>
      <c r="S9083" s="120"/>
      <c r="T9083" s="121"/>
      <c r="U9083" s="120"/>
      <c r="V9083" s="123"/>
      <c r="W9083" s="125"/>
      <c r="X9083" s="142"/>
      <c r="Y9083" s="143"/>
      <c r="Z9083" s="143"/>
      <c r="AA9083" s="143"/>
      <c r="AB9083" s="144"/>
      <c r="AC9083" s="16" t="s">
        <v>21</v>
      </c>
      <c r="AD9083" s="17"/>
      <c r="AE9083" s="145"/>
      <c r="AF9083" s="146"/>
      <c r="AG9083" s="146"/>
      <c r="AH9083" s="146"/>
      <c r="AI9083" s="147"/>
      <c r="AJ9083" s="148"/>
      <c r="AK9083" s="143"/>
      <c r="AL9083" s="144"/>
      <c r="AM9083" s="22"/>
      <c r="AN9083" s="149"/>
      <c r="AO9083" s="144"/>
      <c r="AP9083" s="148"/>
      <c r="AQ9083" s="144"/>
      <c r="AR9083" s="120"/>
      <c r="AS9083" s="121"/>
      <c r="AT9083" s="120"/>
      <c r="AU9083" s="121"/>
      <c r="AV9083" s="120"/>
      <c r="AW9083" s="121"/>
      <c r="AX9083" s="120"/>
      <c r="AY9083" s="121"/>
      <c r="AZ9083" s="138"/>
    </row>
    <row r="9084" spans="1:52" ht="17.100000000000001" customHeight="1" thickTop="1">
      <c r="A9084" s="109" t="s">
        <v>25811</v>
      </c>
      <c r="B9084" s="28">
        <v>46157</v>
      </c>
      <c r="C9084" s="25">
        <v>1418</v>
      </c>
      <c r="D9084" s="13" t="s">
        <v>2359</v>
      </c>
      <c r="E9084" s="111"/>
      <c r="F9084" s="113" t="s">
        <v>7389</v>
      </c>
      <c r="G9084" s="114"/>
      <c r="H9084" s="115"/>
      <c r="I9084" s="24"/>
      <c r="J9084" s="150" t="s">
        <v>1715</v>
      </c>
      <c r="K9084" s="118">
        <v>364000</v>
      </c>
      <c r="L9084" s="119"/>
      <c r="M9084" s="118">
        <f t="shared" ref="M9084" si="14058">K9084*0.1</f>
        <v>36400</v>
      </c>
      <c r="N9084" s="119"/>
      <c r="O9084" s="118">
        <v>0</v>
      </c>
      <c r="P9084" s="119"/>
      <c r="Q9084" s="118">
        <v>5340</v>
      </c>
      <c r="R9084" s="119"/>
      <c r="S9084" s="118">
        <v>15400</v>
      </c>
      <c r="T9084" s="119"/>
      <c r="U9084" s="118">
        <f t="shared" ref="U9084" si="14059">SUM(K9084:T9085)</f>
        <v>421140</v>
      </c>
      <c r="V9084" s="122"/>
      <c r="W9084" s="124"/>
      <c r="X9084" s="126"/>
      <c r="Y9084" s="127"/>
      <c r="Z9084" s="127"/>
      <c r="AA9084" s="127"/>
      <c r="AB9084" s="128"/>
      <c r="AC9084" s="15" t="s">
        <v>20</v>
      </c>
      <c r="AD9084" s="129"/>
      <c r="AE9084" s="130"/>
      <c r="AF9084" s="130"/>
      <c r="AG9084" s="130"/>
      <c r="AH9084" s="130"/>
      <c r="AI9084" s="131"/>
      <c r="AJ9084" s="132"/>
      <c r="AK9084" s="127"/>
      <c r="AL9084" s="128"/>
      <c r="AM9084" s="21"/>
      <c r="AN9084" s="133"/>
      <c r="AO9084" s="134"/>
      <c r="AP9084" s="135"/>
      <c r="AQ9084" s="136"/>
      <c r="AR9084" s="118"/>
      <c r="AS9084" s="119"/>
      <c r="AT9084" s="118">
        <f t="shared" ref="AT9084" si="14060">AR9084*0.1</f>
        <v>0</v>
      </c>
      <c r="AU9084" s="119"/>
      <c r="AV9084" s="118"/>
      <c r="AW9084" s="119"/>
      <c r="AX9084" s="118">
        <f t="shared" ref="AX9084" si="14061">SUM(AR9084:AW9084)</f>
        <v>0</v>
      </c>
      <c r="AY9084" s="119"/>
      <c r="AZ9084" s="137"/>
    </row>
    <row r="9085" spans="1:52" ht="17.100000000000001" customHeight="1" thickBot="1">
      <c r="A9085" s="110"/>
      <c r="B9085" s="27" t="s">
        <v>2641</v>
      </c>
      <c r="C9085" s="27">
        <v>9032</v>
      </c>
      <c r="D9085" s="14" t="s">
        <v>2800</v>
      </c>
      <c r="E9085" s="112"/>
      <c r="F9085" s="139" t="s">
        <v>25830</v>
      </c>
      <c r="G9085" s="140"/>
      <c r="H9085" s="141"/>
      <c r="I9085" s="26">
        <v>21720</v>
      </c>
      <c r="J9085" s="117"/>
      <c r="K9085" s="120"/>
      <c r="L9085" s="121"/>
      <c r="M9085" s="120"/>
      <c r="N9085" s="121"/>
      <c r="O9085" s="120"/>
      <c r="P9085" s="121"/>
      <c r="Q9085" s="120"/>
      <c r="R9085" s="121"/>
      <c r="S9085" s="120"/>
      <c r="T9085" s="121"/>
      <c r="U9085" s="120"/>
      <c r="V9085" s="123"/>
      <c r="W9085" s="125"/>
      <c r="X9085" s="142"/>
      <c r="Y9085" s="143"/>
      <c r="Z9085" s="143"/>
      <c r="AA9085" s="143"/>
      <c r="AB9085" s="144"/>
      <c r="AC9085" s="16" t="s">
        <v>21</v>
      </c>
      <c r="AD9085" s="17"/>
      <c r="AE9085" s="145"/>
      <c r="AF9085" s="146"/>
      <c r="AG9085" s="146"/>
      <c r="AH9085" s="146"/>
      <c r="AI9085" s="147"/>
      <c r="AJ9085" s="148"/>
      <c r="AK9085" s="143"/>
      <c r="AL9085" s="144"/>
      <c r="AM9085" s="22"/>
      <c r="AN9085" s="149"/>
      <c r="AO9085" s="144"/>
      <c r="AP9085" s="148"/>
      <c r="AQ9085" s="144"/>
      <c r="AR9085" s="120"/>
      <c r="AS9085" s="121"/>
      <c r="AT9085" s="120"/>
      <c r="AU9085" s="121"/>
      <c r="AV9085" s="120"/>
      <c r="AW9085" s="121"/>
      <c r="AX9085" s="120"/>
      <c r="AY9085" s="121"/>
      <c r="AZ9085" s="138"/>
    </row>
    <row r="9086" spans="1:52" ht="17.100000000000001" customHeight="1" thickTop="1">
      <c r="A9086" s="109" t="s">
        <v>25812</v>
      </c>
      <c r="B9086" s="28">
        <v>46157</v>
      </c>
      <c r="C9086" s="25">
        <v>1418</v>
      </c>
      <c r="D9086" s="13" t="s">
        <v>2141</v>
      </c>
      <c r="E9086" s="111"/>
      <c r="F9086" s="113" t="s">
        <v>4218</v>
      </c>
      <c r="G9086" s="114"/>
      <c r="H9086" s="115"/>
      <c r="I9086" s="24"/>
      <c r="J9086" s="116">
        <v>4</v>
      </c>
      <c r="K9086" s="118">
        <v>238000</v>
      </c>
      <c r="L9086" s="119"/>
      <c r="M9086" s="118">
        <f t="shared" ref="M9086" si="14062">K9086*0.1</f>
        <v>23800</v>
      </c>
      <c r="N9086" s="119"/>
      <c r="O9086" s="118">
        <v>0</v>
      </c>
      <c r="P9086" s="119"/>
      <c r="Q9086" s="118">
        <v>8460</v>
      </c>
      <c r="R9086" s="119"/>
      <c r="S9086" s="118">
        <v>15400</v>
      </c>
      <c r="T9086" s="119"/>
      <c r="U9086" s="118">
        <f t="shared" ref="U9086" si="14063">SUM(K9086:T9087)</f>
        <v>285660</v>
      </c>
      <c r="V9086" s="122"/>
      <c r="W9086" s="124"/>
      <c r="X9086" s="126"/>
      <c r="Y9086" s="127"/>
      <c r="Z9086" s="127"/>
      <c r="AA9086" s="127"/>
      <c r="AB9086" s="128"/>
      <c r="AC9086" s="15" t="s">
        <v>20</v>
      </c>
      <c r="AD9086" s="129"/>
      <c r="AE9086" s="130"/>
      <c r="AF9086" s="130"/>
      <c r="AG9086" s="130"/>
      <c r="AH9086" s="130"/>
      <c r="AI9086" s="131"/>
      <c r="AJ9086" s="132"/>
      <c r="AK9086" s="127"/>
      <c r="AL9086" s="128"/>
      <c r="AM9086" s="21"/>
      <c r="AN9086" s="133"/>
      <c r="AO9086" s="134"/>
      <c r="AP9086" s="135"/>
      <c r="AQ9086" s="136"/>
      <c r="AR9086" s="118"/>
      <c r="AS9086" s="119"/>
      <c r="AT9086" s="118">
        <f t="shared" ref="AT9086" si="14064">AR9086*0.1</f>
        <v>0</v>
      </c>
      <c r="AU9086" s="119"/>
      <c r="AV9086" s="118"/>
      <c r="AW9086" s="119"/>
      <c r="AX9086" s="118">
        <f t="shared" ref="AX9086" si="14065">SUM(AR9086:AW9086)</f>
        <v>0</v>
      </c>
      <c r="AY9086" s="119"/>
      <c r="AZ9086" s="137"/>
    </row>
    <row r="9087" spans="1:52" ht="17.100000000000001" customHeight="1" thickBot="1">
      <c r="A9087" s="110"/>
      <c r="B9087" s="27" t="s">
        <v>2641</v>
      </c>
      <c r="C9087" s="27">
        <v>9375</v>
      </c>
      <c r="D9087" s="14" t="s">
        <v>3327</v>
      </c>
      <c r="E9087" s="112"/>
      <c r="F9087" s="139" t="s">
        <v>25834</v>
      </c>
      <c r="G9087" s="140"/>
      <c r="H9087" s="141"/>
      <c r="I9087" s="26">
        <v>42369</v>
      </c>
      <c r="J9087" s="117"/>
      <c r="K9087" s="120"/>
      <c r="L9087" s="121"/>
      <c r="M9087" s="120"/>
      <c r="N9087" s="121"/>
      <c r="O9087" s="120"/>
      <c r="P9087" s="121"/>
      <c r="Q9087" s="120"/>
      <c r="R9087" s="121"/>
      <c r="S9087" s="120"/>
      <c r="T9087" s="121"/>
      <c r="U9087" s="120"/>
      <c r="V9087" s="123"/>
      <c r="W9087" s="125"/>
      <c r="X9087" s="142"/>
      <c r="Y9087" s="143"/>
      <c r="Z9087" s="143"/>
      <c r="AA9087" s="143"/>
      <c r="AB9087" s="144"/>
      <c r="AC9087" s="16" t="s">
        <v>21</v>
      </c>
      <c r="AD9087" s="17"/>
      <c r="AE9087" s="145"/>
      <c r="AF9087" s="146"/>
      <c r="AG9087" s="146"/>
      <c r="AH9087" s="146"/>
      <c r="AI9087" s="147"/>
      <c r="AJ9087" s="148"/>
      <c r="AK9087" s="143"/>
      <c r="AL9087" s="144"/>
      <c r="AM9087" s="22"/>
      <c r="AN9087" s="149"/>
      <c r="AO9087" s="144"/>
      <c r="AP9087" s="148"/>
      <c r="AQ9087" s="144"/>
      <c r="AR9087" s="120"/>
      <c r="AS9087" s="121"/>
      <c r="AT9087" s="120"/>
      <c r="AU9087" s="121"/>
      <c r="AV9087" s="120"/>
      <c r="AW9087" s="121"/>
      <c r="AX9087" s="120"/>
      <c r="AY9087" s="121"/>
      <c r="AZ9087" s="138"/>
    </row>
    <row r="9088" spans="1:52" ht="17.100000000000001" customHeight="1" thickTop="1">
      <c r="A9088" s="109" t="s">
        <v>25813</v>
      </c>
      <c r="B9088" s="28">
        <v>46158</v>
      </c>
      <c r="C9088" s="25">
        <v>1543</v>
      </c>
      <c r="D9088" s="13" t="s">
        <v>1988</v>
      </c>
      <c r="E9088" s="111"/>
      <c r="F9088" s="113" t="s">
        <v>25936</v>
      </c>
      <c r="G9088" s="114"/>
      <c r="H9088" s="115"/>
      <c r="I9088" s="24"/>
      <c r="J9088" s="116">
        <v>4.5</v>
      </c>
      <c r="K9088" s="118">
        <v>2690000</v>
      </c>
      <c r="L9088" s="119"/>
      <c r="M9088" s="118">
        <f t="shared" ref="M9088" si="14066">K9088*0.1</f>
        <v>269000</v>
      </c>
      <c r="N9088" s="119"/>
      <c r="O9088" s="118">
        <v>0</v>
      </c>
      <c r="P9088" s="119"/>
      <c r="Q9088" s="118">
        <v>15040</v>
      </c>
      <c r="R9088" s="119"/>
      <c r="S9088" s="118">
        <v>16500</v>
      </c>
      <c r="T9088" s="119"/>
      <c r="U9088" s="118">
        <f t="shared" ref="U9088" si="14067">SUM(K9088:T9089)</f>
        <v>2990540</v>
      </c>
      <c r="V9088" s="122"/>
      <c r="W9088" s="124"/>
      <c r="X9088" s="126"/>
      <c r="Y9088" s="127"/>
      <c r="Z9088" s="127"/>
      <c r="AA9088" s="127"/>
      <c r="AB9088" s="128"/>
      <c r="AC9088" s="15" t="s">
        <v>20</v>
      </c>
      <c r="AD9088" s="129"/>
      <c r="AE9088" s="130"/>
      <c r="AF9088" s="130"/>
      <c r="AG9088" s="130"/>
      <c r="AH9088" s="130"/>
      <c r="AI9088" s="131"/>
      <c r="AJ9088" s="132"/>
      <c r="AK9088" s="127"/>
      <c r="AL9088" s="128"/>
      <c r="AM9088" s="21"/>
      <c r="AN9088" s="133"/>
      <c r="AO9088" s="134"/>
      <c r="AP9088" s="135"/>
      <c r="AQ9088" s="136"/>
      <c r="AR9088" s="118"/>
      <c r="AS9088" s="119"/>
      <c r="AT9088" s="118">
        <f t="shared" ref="AT9088" si="14068">AR9088*0.1</f>
        <v>0</v>
      </c>
      <c r="AU9088" s="119"/>
      <c r="AV9088" s="118"/>
      <c r="AW9088" s="119"/>
      <c r="AX9088" s="118">
        <f t="shared" ref="AX9088" si="14069">SUM(AR9088:AW9088)</f>
        <v>0</v>
      </c>
      <c r="AY9088" s="119"/>
      <c r="AZ9088" s="137"/>
    </row>
    <row r="9089" spans="1:52" ht="17.100000000000001" customHeight="1" thickBot="1">
      <c r="A9089" s="110"/>
      <c r="B9089" s="27" t="s">
        <v>1555</v>
      </c>
      <c r="C9089" s="27">
        <v>83033</v>
      </c>
      <c r="D9089" s="14" t="s">
        <v>133</v>
      </c>
      <c r="E9089" s="112"/>
      <c r="F9089" s="139" t="s">
        <v>25937</v>
      </c>
      <c r="G9089" s="140"/>
      <c r="H9089" s="141"/>
      <c r="I9089" s="26">
        <v>14565</v>
      </c>
      <c r="J9089" s="117"/>
      <c r="K9089" s="120"/>
      <c r="L9089" s="121"/>
      <c r="M9089" s="120"/>
      <c r="N9089" s="121"/>
      <c r="O9089" s="120"/>
      <c r="P9089" s="121"/>
      <c r="Q9089" s="120"/>
      <c r="R9089" s="121"/>
      <c r="S9089" s="120"/>
      <c r="T9089" s="121"/>
      <c r="U9089" s="120"/>
      <c r="V9089" s="123"/>
      <c r="W9089" s="125"/>
      <c r="X9089" s="142"/>
      <c r="Y9089" s="143"/>
      <c r="Z9089" s="143"/>
      <c r="AA9089" s="143"/>
      <c r="AB9089" s="144"/>
      <c r="AC9089" s="16" t="s">
        <v>21</v>
      </c>
      <c r="AD9089" s="17"/>
      <c r="AE9089" s="145"/>
      <c r="AF9089" s="146"/>
      <c r="AG9089" s="146"/>
      <c r="AH9089" s="146"/>
      <c r="AI9089" s="147"/>
      <c r="AJ9089" s="148"/>
      <c r="AK9089" s="143"/>
      <c r="AL9089" s="144"/>
      <c r="AM9089" s="22"/>
      <c r="AN9089" s="149"/>
      <c r="AO9089" s="144"/>
      <c r="AP9089" s="148"/>
      <c r="AQ9089" s="144"/>
      <c r="AR9089" s="120"/>
      <c r="AS9089" s="121"/>
      <c r="AT9089" s="120"/>
      <c r="AU9089" s="121"/>
      <c r="AV9089" s="120"/>
      <c r="AW9089" s="121"/>
      <c r="AX9089" s="120"/>
      <c r="AY9089" s="121"/>
      <c r="AZ9089" s="138"/>
    </row>
    <row r="9090" spans="1:52" ht="17.100000000000001" customHeight="1" thickTop="1">
      <c r="A9090" s="109" t="s">
        <v>25831</v>
      </c>
      <c r="B9090" s="28">
        <v>46158</v>
      </c>
      <c r="C9090" s="25">
        <v>1465</v>
      </c>
      <c r="D9090" s="13" t="s">
        <v>1760</v>
      </c>
      <c r="E9090" s="111"/>
      <c r="F9090" s="113" t="s">
        <v>2732</v>
      </c>
      <c r="G9090" s="114"/>
      <c r="H9090" s="115"/>
      <c r="I9090" s="24" t="s">
        <v>10850</v>
      </c>
      <c r="J9090" s="116">
        <v>4.5</v>
      </c>
      <c r="K9090" s="118">
        <v>2795000</v>
      </c>
      <c r="L9090" s="119"/>
      <c r="M9090" s="118">
        <f t="shared" ref="M9090" si="14070">K9090*0.1</f>
        <v>279500</v>
      </c>
      <c r="N9090" s="119"/>
      <c r="O9090" s="118">
        <f>30000+3000</f>
        <v>33000</v>
      </c>
      <c r="P9090" s="119"/>
      <c r="Q9090" s="118">
        <v>18170</v>
      </c>
      <c r="R9090" s="119"/>
      <c r="S9090" s="118">
        <v>16500</v>
      </c>
      <c r="T9090" s="119"/>
      <c r="U9090" s="118">
        <f t="shared" ref="U9090" si="14071">SUM(K9090:T9091)</f>
        <v>3142170</v>
      </c>
      <c r="V9090" s="122"/>
      <c r="W9090" s="124"/>
      <c r="X9090" s="126" t="s">
        <v>25935</v>
      </c>
      <c r="Y9090" s="127"/>
      <c r="Z9090" s="127"/>
      <c r="AA9090" s="127"/>
      <c r="AB9090" s="128"/>
      <c r="AC9090" s="15" t="s">
        <v>20</v>
      </c>
      <c r="AD9090" s="129" t="s">
        <v>3412</v>
      </c>
      <c r="AE9090" s="130"/>
      <c r="AF9090" s="130"/>
      <c r="AG9090" s="130"/>
      <c r="AH9090" s="130"/>
      <c r="AI9090" s="131"/>
      <c r="AJ9090" s="132"/>
      <c r="AK9090" s="127"/>
      <c r="AL9090" s="128"/>
      <c r="AM9090" s="21"/>
      <c r="AN9090" s="133"/>
      <c r="AO9090" s="134"/>
      <c r="AP9090" s="135"/>
      <c r="AQ9090" s="136"/>
      <c r="AR9090" s="118"/>
      <c r="AS9090" s="119"/>
      <c r="AT9090" s="118">
        <f t="shared" ref="AT9090" si="14072">AR9090*0.1</f>
        <v>0</v>
      </c>
      <c r="AU9090" s="119"/>
      <c r="AV9090" s="118"/>
      <c r="AW9090" s="119"/>
      <c r="AX9090" s="118">
        <f t="shared" ref="AX9090" si="14073">SUM(AR9090:AW9090)</f>
        <v>0</v>
      </c>
      <c r="AY9090" s="119"/>
      <c r="AZ9090" s="137"/>
    </row>
    <row r="9091" spans="1:52" ht="17.100000000000001" customHeight="1" thickBot="1">
      <c r="A9091" s="110"/>
      <c r="B9091" s="27" t="s">
        <v>1779</v>
      </c>
      <c r="C9091" s="27">
        <v>7254</v>
      </c>
      <c r="D9091" s="14" t="s">
        <v>133</v>
      </c>
      <c r="E9091" s="112"/>
      <c r="F9091" s="139" t="s">
        <v>25934</v>
      </c>
      <c r="G9091" s="140"/>
      <c r="H9091" s="141"/>
      <c r="I9091" s="26">
        <v>32386</v>
      </c>
      <c r="J9091" s="117"/>
      <c r="K9091" s="120"/>
      <c r="L9091" s="121"/>
      <c r="M9091" s="120"/>
      <c r="N9091" s="121"/>
      <c r="O9091" s="120"/>
      <c r="P9091" s="121"/>
      <c r="Q9091" s="120"/>
      <c r="R9091" s="121"/>
      <c r="S9091" s="120"/>
      <c r="T9091" s="121"/>
      <c r="U9091" s="120"/>
      <c r="V9091" s="123"/>
      <c r="W9091" s="125"/>
      <c r="X9091" s="142"/>
      <c r="Y9091" s="143"/>
      <c r="Z9091" s="143"/>
      <c r="AA9091" s="143"/>
      <c r="AB9091" s="144"/>
      <c r="AC9091" s="16" t="s">
        <v>21</v>
      </c>
      <c r="AD9091" s="17"/>
      <c r="AE9091" s="145"/>
      <c r="AF9091" s="146"/>
      <c r="AG9091" s="146"/>
      <c r="AH9091" s="146"/>
      <c r="AI9091" s="147"/>
      <c r="AJ9091" s="148"/>
      <c r="AK9091" s="143"/>
      <c r="AL9091" s="144"/>
      <c r="AM9091" s="22"/>
      <c r="AN9091" s="149"/>
      <c r="AO9091" s="144"/>
      <c r="AP9091" s="148"/>
      <c r="AQ9091" s="144"/>
      <c r="AR9091" s="120"/>
      <c r="AS9091" s="121"/>
      <c r="AT9091" s="120"/>
      <c r="AU9091" s="121"/>
      <c r="AV9091" s="120"/>
      <c r="AW9091" s="121"/>
      <c r="AX9091" s="120"/>
      <c r="AY9091" s="121"/>
      <c r="AZ9091" s="138"/>
    </row>
    <row r="9092" spans="1:52" ht="17.100000000000001" customHeight="1" thickTop="1">
      <c r="A9092" s="109" t="s">
        <v>25835</v>
      </c>
      <c r="B9092" s="28">
        <v>46158</v>
      </c>
      <c r="C9092" s="25">
        <v>1022</v>
      </c>
      <c r="D9092" s="13" t="s">
        <v>2737</v>
      </c>
      <c r="E9092" s="111"/>
      <c r="F9092" s="113" t="s">
        <v>3780</v>
      </c>
      <c r="G9092" s="114"/>
      <c r="H9092" s="115"/>
      <c r="I9092" s="24"/>
      <c r="J9092" s="116">
        <v>4</v>
      </c>
      <c r="K9092" s="118">
        <v>1751000</v>
      </c>
      <c r="L9092" s="119"/>
      <c r="M9092" s="118">
        <f t="shared" ref="M9092" si="14074">K9092*0.1</f>
        <v>175100</v>
      </c>
      <c r="N9092" s="119"/>
      <c r="O9092" s="118">
        <v>0</v>
      </c>
      <c r="P9092" s="119"/>
      <c r="Q9092" s="118">
        <v>11740</v>
      </c>
      <c r="R9092" s="119"/>
      <c r="S9092" s="118">
        <f>17500+1750</f>
        <v>19250</v>
      </c>
      <c r="T9092" s="119"/>
      <c r="U9092" s="118">
        <f t="shared" ref="U9092" si="14075">SUM(K9092:T9093)</f>
        <v>1957090</v>
      </c>
      <c r="V9092" s="122"/>
      <c r="W9092" s="124"/>
      <c r="X9092" s="126"/>
      <c r="Y9092" s="127"/>
      <c r="Z9092" s="127"/>
      <c r="AA9092" s="127"/>
      <c r="AB9092" s="128"/>
      <c r="AC9092" s="15" t="s">
        <v>20</v>
      </c>
      <c r="AD9092" s="129" t="s">
        <v>1670</v>
      </c>
      <c r="AE9092" s="130"/>
      <c r="AF9092" s="130"/>
      <c r="AG9092" s="130"/>
      <c r="AH9092" s="130"/>
      <c r="AI9092" s="131"/>
      <c r="AJ9092" s="132"/>
      <c r="AK9092" s="127"/>
      <c r="AL9092" s="128"/>
      <c r="AM9092" s="21"/>
      <c r="AN9092" s="133"/>
      <c r="AO9092" s="134"/>
      <c r="AP9092" s="135"/>
      <c r="AQ9092" s="136"/>
      <c r="AR9092" s="118"/>
      <c r="AS9092" s="119"/>
      <c r="AT9092" s="118">
        <f t="shared" ref="AT9092" si="14076">AR9092*0.1</f>
        <v>0</v>
      </c>
      <c r="AU9092" s="119"/>
      <c r="AV9092" s="118"/>
      <c r="AW9092" s="119"/>
      <c r="AX9092" s="118">
        <f t="shared" ref="AX9092" si="14077">SUM(AR9092:AW9092)</f>
        <v>0</v>
      </c>
      <c r="AY9092" s="119"/>
      <c r="AZ9092" s="137"/>
    </row>
    <row r="9093" spans="1:52" ht="17.100000000000001" customHeight="1" thickBot="1">
      <c r="A9093" s="110"/>
      <c r="B9093" s="27" t="s">
        <v>1707</v>
      </c>
      <c r="C9093" s="27">
        <v>5087</v>
      </c>
      <c r="D9093" s="14" t="s">
        <v>2836</v>
      </c>
      <c r="E9093" s="112"/>
      <c r="F9093" s="139" t="s">
        <v>25877</v>
      </c>
      <c r="G9093" s="140"/>
      <c r="H9093" s="141"/>
      <c r="I9093" s="26">
        <v>38761</v>
      </c>
      <c r="J9093" s="117"/>
      <c r="K9093" s="120"/>
      <c r="L9093" s="121"/>
      <c r="M9093" s="120"/>
      <c r="N9093" s="121"/>
      <c r="O9093" s="120"/>
      <c r="P9093" s="121"/>
      <c r="Q9093" s="120"/>
      <c r="R9093" s="121"/>
      <c r="S9093" s="120"/>
      <c r="T9093" s="121"/>
      <c r="U9093" s="120"/>
      <c r="V9093" s="123"/>
      <c r="W9093" s="125"/>
      <c r="X9093" s="142"/>
      <c r="Y9093" s="143"/>
      <c r="Z9093" s="143"/>
      <c r="AA9093" s="143"/>
      <c r="AB9093" s="144"/>
      <c r="AC9093" s="16" t="s">
        <v>21</v>
      </c>
      <c r="AD9093" s="17"/>
      <c r="AE9093" s="145"/>
      <c r="AF9093" s="146"/>
      <c r="AG9093" s="146"/>
      <c r="AH9093" s="146"/>
      <c r="AI9093" s="147"/>
      <c r="AJ9093" s="148"/>
      <c r="AK9093" s="143"/>
      <c r="AL9093" s="144"/>
      <c r="AM9093" s="22"/>
      <c r="AN9093" s="149"/>
      <c r="AO9093" s="144"/>
      <c r="AP9093" s="148"/>
      <c r="AQ9093" s="144"/>
      <c r="AR9093" s="120"/>
      <c r="AS9093" s="121"/>
      <c r="AT9093" s="120"/>
      <c r="AU9093" s="121"/>
      <c r="AV9093" s="120"/>
      <c r="AW9093" s="121"/>
      <c r="AX9093" s="120"/>
      <c r="AY9093" s="121"/>
      <c r="AZ9093" s="138"/>
    </row>
    <row r="9094" spans="1:52" ht="17.100000000000001" customHeight="1" thickTop="1">
      <c r="A9094" s="109" t="s">
        <v>25836</v>
      </c>
      <c r="B9094" s="28">
        <v>46158</v>
      </c>
      <c r="C9094" s="25">
        <v>1300</v>
      </c>
      <c r="D9094" s="13" t="s">
        <v>2914</v>
      </c>
      <c r="E9094" s="111"/>
      <c r="F9094" s="113" t="s">
        <v>24830</v>
      </c>
      <c r="G9094" s="114"/>
      <c r="H9094" s="115"/>
      <c r="I9094" s="24"/>
      <c r="J9094" s="116">
        <v>4.5</v>
      </c>
      <c r="K9094" s="118">
        <v>1000000</v>
      </c>
      <c r="L9094" s="119"/>
      <c r="M9094" s="118">
        <f t="shared" ref="M9094" si="14078">K9094*0.1</f>
        <v>100000</v>
      </c>
      <c r="N9094" s="119"/>
      <c r="O9094" s="118">
        <v>0</v>
      </c>
      <c r="P9094" s="119"/>
      <c r="Q9094" s="118">
        <v>9750</v>
      </c>
      <c r="R9094" s="119"/>
      <c r="S9094" s="118">
        <v>13200</v>
      </c>
      <c r="T9094" s="119"/>
      <c r="U9094" s="118">
        <f t="shared" ref="U9094" si="14079">SUM(K9094:T9095)</f>
        <v>1122950</v>
      </c>
      <c r="V9094" s="122"/>
      <c r="W9094" s="124"/>
      <c r="X9094" s="126"/>
      <c r="Y9094" s="127"/>
      <c r="Z9094" s="127"/>
      <c r="AA9094" s="127"/>
      <c r="AB9094" s="128"/>
      <c r="AC9094" s="15" t="s">
        <v>20</v>
      </c>
      <c r="AD9094" s="129" t="s">
        <v>5500</v>
      </c>
      <c r="AE9094" s="130"/>
      <c r="AF9094" s="130"/>
      <c r="AG9094" s="130"/>
      <c r="AH9094" s="130"/>
      <c r="AI9094" s="131"/>
      <c r="AJ9094" s="132"/>
      <c r="AK9094" s="127"/>
      <c r="AL9094" s="128"/>
      <c r="AM9094" s="21"/>
      <c r="AN9094" s="133"/>
      <c r="AO9094" s="134"/>
      <c r="AP9094" s="135"/>
      <c r="AQ9094" s="136"/>
      <c r="AR9094" s="118"/>
      <c r="AS9094" s="119"/>
      <c r="AT9094" s="118">
        <f t="shared" ref="AT9094" si="14080">AR9094*0.1</f>
        <v>0</v>
      </c>
      <c r="AU9094" s="119"/>
      <c r="AV9094" s="118"/>
      <c r="AW9094" s="119"/>
      <c r="AX9094" s="118">
        <f t="shared" ref="AX9094" si="14081">SUM(AR9094:AW9094)</f>
        <v>0</v>
      </c>
      <c r="AY9094" s="119"/>
      <c r="AZ9094" s="137"/>
    </row>
    <row r="9095" spans="1:52" ht="17.100000000000001" customHeight="1" thickBot="1">
      <c r="A9095" s="110"/>
      <c r="B9095" s="27" t="s">
        <v>2511</v>
      </c>
      <c r="C9095" s="27">
        <v>30142</v>
      </c>
      <c r="D9095" s="14" t="s">
        <v>275</v>
      </c>
      <c r="E9095" s="112"/>
      <c r="F9095" s="139" t="s">
        <v>25857</v>
      </c>
      <c r="G9095" s="140"/>
      <c r="H9095" s="141"/>
      <c r="I9095" s="26">
        <v>55360</v>
      </c>
      <c r="J9095" s="117"/>
      <c r="K9095" s="120"/>
      <c r="L9095" s="121"/>
      <c r="M9095" s="120"/>
      <c r="N9095" s="121"/>
      <c r="O9095" s="120"/>
      <c r="P9095" s="121"/>
      <c r="Q9095" s="120"/>
      <c r="R9095" s="121"/>
      <c r="S9095" s="120"/>
      <c r="T9095" s="121"/>
      <c r="U9095" s="120"/>
      <c r="V9095" s="123"/>
      <c r="W9095" s="125"/>
      <c r="X9095" s="142"/>
      <c r="Y9095" s="143"/>
      <c r="Z9095" s="143"/>
      <c r="AA9095" s="143"/>
      <c r="AB9095" s="144"/>
      <c r="AC9095" s="16" t="s">
        <v>21</v>
      </c>
      <c r="AD9095" s="17"/>
      <c r="AE9095" s="145"/>
      <c r="AF9095" s="146"/>
      <c r="AG9095" s="146"/>
      <c r="AH9095" s="146"/>
      <c r="AI9095" s="147"/>
      <c r="AJ9095" s="148"/>
      <c r="AK9095" s="143"/>
      <c r="AL9095" s="144"/>
      <c r="AM9095" s="22"/>
      <c r="AN9095" s="149"/>
      <c r="AO9095" s="144"/>
      <c r="AP9095" s="148"/>
      <c r="AQ9095" s="144"/>
      <c r="AR9095" s="120"/>
      <c r="AS9095" s="121"/>
      <c r="AT9095" s="120"/>
      <c r="AU9095" s="121"/>
      <c r="AV9095" s="120"/>
      <c r="AW9095" s="121"/>
      <c r="AX9095" s="120"/>
      <c r="AY9095" s="121"/>
      <c r="AZ9095" s="138"/>
    </row>
    <row r="9096" spans="1:52" ht="17.100000000000001" customHeight="1" thickTop="1">
      <c r="A9096" s="109" t="s">
        <v>25837</v>
      </c>
      <c r="B9096" s="28">
        <v>46158</v>
      </c>
      <c r="C9096" s="25">
        <v>1300</v>
      </c>
      <c r="D9096" s="13" t="s">
        <v>1920</v>
      </c>
      <c r="E9096" s="111"/>
      <c r="F9096" s="113" t="s">
        <v>25858</v>
      </c>
      <c r="G9096" s="114"/>
      <c r="H9096" s="115"/>
      <c r="I9096" s="24" t="s">
        <v>11251</v>
      </c>
      <c r="J9096" s="116">
        <v>4</v>
      </c>
      <c r="K9096" s="118">
        <v>780000</v>
      </c>
      <c r="L9096" s="119"/>
      <c r="M9096" s="118">
        <f t="shared" ref="M9096" si="14082">K9096*0.1</f>
        <v>78000</v>
      </c>
      <c r="N9096" s="119"/>
      <c r="O9096" s="118">
        <f>32900+3290</f>
        <v>36190</v>
      </c>
      <c r="P9096" s="119"/>
      <c r="Q9096" s="118">
        <v>11480</v>
      </c>
      <c r="R9096" s="119"/>
      <c r="S9096" s="118">
        <v>12100</v>
      </c>
      <c r="T9096" s="119"/>
      <c r="U9096" s="118">
        <f t="shared" ref="U9096" si="14083">SUM(K9096:T9097)</f>
        <v>917770</v>
      </c>
      <c r="V9096" s="122"/>
      <c r="W9096" s="124"/>
      <c r="X9096" s="126" t="s">
        <v>25958</v>
      </c>
      <c r="Y9096" s="127"/>
      <c r="Z9096" s="127"/>
      <c r="AA9096" s="127"/>
      <c r="AB9096" s="128"/>
      <c r="AC9096" s="15" t="s">
        <v>20</v>
      </c>
      <c r="AD9096" s="129" t="s">
        <v>25959</v>
      </c>
      <c r="AE9096" s="130"/>
      <c r="AF9096" s="130"/>
      <c r="AG9096" s="130"/>
      <c r="AH9096" s="130"/>
      <c r="AI9096" s="131"/>
      <c r="AJ9096" s="132"/>
      <c r="AK9096" s="127"/>
      <c r="AL9096" s="128"/>
      <c r="AM9096" s="21"/>
      <c r="AN9096" s="133"/>
      <c r="AO9096" s="134"/>
      <c r="AP9096" s="135"/>
      <c r="AQ9096" s="136"/>
      <c r="AR9096" s="118"/>
      <c r="AS9096" s="119"/>
      <c r="AT9096" s="118">
        <f t="shared" ref="AT9096" si="14084">AR9096*0.1</f>
        <v>0</v>
      </c>
      <c r="AU9096" s="119"/>
      <c r="AV9096" s="118"/>
      <c r="AW9096" s="119"/>
      <c r="AX9096" s="118">
        <f t="shared" ref="AX9096" si="14085">SUM(AR9096:AW9096)</f>
        <v>0</v>
      </c>
      <c r="AY9096" s="119"/>
      <c r="AZ9096" s="137"/>
    </row>
    <row r="9097" spans="1:52" ht="17.100000000000001" customHeight="1" thickBot="1">
      <c r="A9097" s="110"/>
      <c r="B9097" s="27" t="s">
        <v>2511</v>
      </c>
      <c r="C9097" s="27">
        <v>37080</v>
      </c>
      <c r="D9097" s="14" t="s">
        <v>1720</v>
      </c>
      <c r="E9097" s="112"/>
      <c r="F9097" s="139" t="s">
        <v>25859</v>
      </c>
      <c r="G9097" s="140"/>
      <c r="H9097" s="141"/>
      <c r="I9097" s="26">
        <v>101425</v>
      </c>
      <c r="J9097" s="117"/>
      <c r="K9097" s="120"/>
      <c r="L9097" s="121"/>
      <c r="M9097" s="120"/>
      <c r="N9097" s="121"/>
      <c r="O9097" s="120"/>
      <c r="P9097" s="121"/>
      <c r="Q9097" s="120"/>
      <c r="R9097" s="121"/>
      <c r="S9097" s="120"/>
      <c r="T9097" s="121"/>
      <c r="U9097" s="120"/>
      <c r="V9097" s="123"/>
      <c r="W9097" s="125"/>
      <c r="X9097" s="142"/>
      <c r="Y9097" s="143"/>
      <c r="Z9097" s="143"/>
      <c r="AA9097" s="143"/>
      <c r="AB9097" s="144"/>
      <c r="AC9097" s="16" t="s">
        <v>21</v>
      </c>
      <c r="AD9097" s="17"/>
      <c r="AE9097" s="145"/>
      <c r="AF9097" s="146"/>
      <c r="AG9097" s="146"/>
      <c r="AH9097" s="146"/>
      <c r="AI9097" s="147"/>
      <c r="AJ9097" s="148"/>
      <c r="AK9097" s="143"/>
      <c r="AL9097" s="144"/>
      <c r="AM9097" s="22"/>
      <c r="AN9097" s="149"/>
      <c r="AO9097" s="144"/>
      <c r="AP9097" s="148"/>
      <c r="AQ9097" s="144"/>
      <c r="AR9097" s="120"/>
      <c r="AS9097" s="121"/>
      <c r="AT9097" s="120"/>
      <c r="AU9097" s="121"/>
      <c r="AV9097" s="120"/>
      <c r="AW9097" s="121"/>
      <c r="AX9097" s="120"/>
      <c r="AY9097" s="121"/>
      <c r="AZ9097" s="138"/>
    </row>
    <row r="9098" spans="1:52" ht="17.100000000000001" customHeight="1" thickTop="1">
      <c r="A9098" s="109" t="s">
        <v>25838</v>
      </c>
      <c r="B9098" s="28">
        <v>46158</v>
      </c>
      <c r="C9098" s="25">
        <v>1300</v>
      </c>
      <c r="D9098" s="13" t="s">
        <v>2458</v>
      </c>
      <c r="E9098" s="111"/>
      <c r="F9098" s="113" t="s">
        <v>2993</v>
      </c>
      <c r="G9098" s="114"/>
      <c r="H9098" s="115"/>
      <c r="I9098" s="24" t="s">
        <v>13355</v>
      </c>
      <c r="J9098" s="116">
        <v>4</v>
      </c>
      <c r="K9098" s="118">
        <v>550000</v>
      </c>
      <c r="L9098" s="119"/>
      <c r="M9098" s="118">
        <f t="shared" ref="M9098" si="14086">K9098*0.1</f>
        <v>55000</v>
      </c>
      <c r="N9098" s="119"/>
      <c r="O9098" s="118">
        <v>0</v>
      </c>
      <c r="P9098" s="119"/>
      <c r="Q9098" s="118">
        <v>8400</v>
      </c>
      <c r="R9098" s="119"/>
      <c r="S9098" s="118">
        <v>13200</v>
      </c>
      <c r="T9098" s="119"/>
      <c r="U9098" s="118">
        <f t="shared" ref="U9098" si="14087">SUM(K9098:T9099)</f>
        <v>626600</v>
      </c>
      <c r="V9098" s="122"/>
      <c r="W9098" s="124"/>
      <c r="X9098" s="126" t="s">
        <v>25956</v>
      </c>
      <c r="Y9098" s="127"/>
      <c r="Z9098" s="127"/>
      <c r="AA9098" s="127"/>
      <c r="AB9098" s="128"/>
      <c r="AC9098" s="15" t="s">
        <v>20</v>
      </c>
      <c r="AD9098" s="129" t="s">
        <v>25957</v>
      </c>
      <c r="AE9098" s="130"/>
      <c r="AF9098" s="130"/>
      <c r="AG9098" s="130"/>
      <c r="AH9098" s="130"/>
      <c r="AI9098" s="131"/>
      <c r="AJ9098" s="132"/>
      <c r="AK9098" s="127"/>
      <c r="AL9098" s="128"/>
      <c r="AM9098" s="21"/>
      <c r="AN9098" s="133"/>
      <c r="AO9098" s="134"/>
      <c r="AP9098" s="135"/>
      <c r="AQ9098" s="136"/>
      <c r="AR9098" s="118"/>
      <c r="AS9098" s="119"/>
      <c r="AT9098" s="118">
        <f t="shared" ref="AT9098" si="14088">AR9098*0.1</f>
        <v>0</v>
      </c>
      <c r="AU9098" s="119"/>
      <c r="AV9098" s="118"/>
      <c r="AW9098" s="119"/>
      <c r="AX9098" s="118">
        <f t="shared" ref="AX9098" si="14089">SUM(AR9098:AW9098)</f>
        <v>0</v>
      </c>
      <c r="AY9098" s="119"/>
      <c r="AZ9098" s="137"/>
    </row>
    <row r="9099" spans="1:52" ht="17.100000000000001" customHeight="1" thickBot="1">
      <c r="A9099" s="110"/>
      <c r="B9099" s="27" t="s">
        <v>2511</v>
      </c>
      <c r="C9099" s="27">
        <v>62117</v>
      </c>
      <c r="D9099" s="14" t="s">
        <v>1812</v>
      </c>
      <c r="E9099" s="112"/>
      <c r="F9099" s="139" t="s">
        <v>25860</v>
      </c>
      <c r="G9099" s="140"/>
      <c r="H9099" s="141"/>
      <c r="I9099" s="26">
        <v>62000</v>
      </c>
      <c r="J9099" s="117"/>
      <c r="K9099" s="120"/>
      <c r="L9099" s="121"/>
      <c r="M9099" s="120"/>
      <c r="N9099" s="121"/>
      <c r="O9099" s="120"/>
      <c r="P9099" s="121"/>
      <c r="Q9099" s="120"/>
      <c r="R9099" s="121"/>
      <c r="S9099" s="120"/>
      <c r="T9099" s="121"/>
      <c r="U9099" s="120"/>
      <c r="V9099" s="123"/>
      <c r="W9099" s="125"/>
      <c r="X9099" s="142"/>
      <c r="Y9099" s="143"/>
      <c r="Z9099" s="143"/>
      <c r="AA9099" s="143"/>
      <c r="AB9099" s="144"/>
      <c r="AC9099" s="16" t="s">
        <v>21</v>
      </c>
      <c r="AD9099" s="17"/>
      <c r="AE9099" s="145"/>
      <c r="AF9099" s="146"/>
      <c r="AG9099" s="146"/>
      <c r="AH9099" s="146"/>
      <c r="AI9099" s="147"/>
      <c r="AJ9099" s="148"/>
      <c r="AK9099" s="143"/>
      <c r="AL9099" s="144"/>
      <c r="AM9099" s="22"/>
      <c r="AN9099" s="149"/>
      <c r="AO9099" s="144"/>
      <c r="AP9099" s="148"/>
      <c r="AQ9099" s="144"/>
      <c r="AR9099" s="120"/>
      <c r="AS9099" s="121"/>
      <c r="AT9099" s="120"/>
      <c r="AU9099" s="121"/>
      <c r="AV9099" s="120"/>
      <c r="AW9099" s="121"/>
      <c r="AX9099" s="120"/>
      <c r="AY9099" s="121"/>
      <c r="AZ9099" s="138"/>
    </row>
    <row r="9100" spans="1:52" ht="17.100000000000001" customHeight="1" thickTop="1">
      <c r="A9100" s="109" t="s">
        <v>25839</v>
      </c>
      <c r="B9100" s="28">
        <v>46158</v>
      </c>
      <c r="C9100" s="25">
        <v>1300</v>
      </c>
      <c r="D9100" s="13" t="s">
        <v>3478</v>
      </c>
      <c r="E9100" s="111"/>
      <c r="F9100" s="113" t="s">
        <v>25861</v>
      </c>
      <c r="G9100" s="114"/>
      <c r="H9100" s="115"/>
      <c r="I9100" s="24"/>
      <c r="J9100" s="116">
        <v>4</v>
      </c>
      <c r="K9100" s="118">
        <v>680000</v>
      </c>
      <c r="L9100" s="119"/>
      <c r="M9100" s="118">
        <f t="shared" ref="M9100" si="14090">K9100*0.1</f>
        <v>68000</v>
      </c>
      <c r="N9100" s="119"/>
      <c r="O9100" s="118">
        <v>0</v>
      </c>
      <c r="P9100" s="119"/>
      <c r="Q9100" s="118">
        <v>9200</v>
      </c>
      <c r="R9100" s="119"/>
      <c r="S9100" s="118">
        <v>12100</v>
      </c>
      <c r="T9100" s="119"/>
      <c r="U9100" s="118">
        <f t="shared" ref="U9100" si="14091">SUM(K9100:T9101)</f>
        <v>769300</v>
      </c>
      <c r="V9100" s="122"/>
      <c r="W9100" s="124"/>
      <c r="X9100" s="126"/>
      <c r="Y9100" s="127"/>
      <c r="Z9100" s="127"/>
      <c r="AA9100" s="127"/>
      <c r="AB9100" s="128"/>
      <c r="AC9100" s="15" t="s">
        <v>20</v>
      </c>
      <c r="AD9100" s="129" t="s">
        <v>19059</v>
      </c>
      <c r="AE9100" s="130"/>
      <c r="AF9100" s="130"/>
      <c r="AG9100" s="130"/>
      <c r="AH9100" s="130"/>
      <c r="AI9100" s="131"/>
      <c r="AJ9100" s="132"/>
      <c r="AK9100" s="127"/>
      <c r="AL9100" s="128"/>
      <c r="AM9100" s="21"/>
      <c r="AN9100" s="133"/>
      <c r="AO9100" s="134"/>
      <c r="AP9100" s="135"/>
      <c r="AQ9100" s="136"/>
      <c r="AR9100" s="118"/>
      <c r="AS9100" s="119"/>
      <c r="AT9100" s="118">
        <f t="shared" ref="AT9100" si="14092">AR9100*0.1</f>
        <v>0</v>
      </c>
      <c r="AU9100" s="119"/>
      <c r="AV9100" s="118"/>
      <c r="AW9100" s="119"/>
      <c r="AX9100" s="118">
        <f t="shared" ref="AX9100" si="14093">SUM(AR9100:AW9100)</f>
        <v>0</v>
      </c>
      <c r="AY9100" s="119"/>
      <c r="AZ9100" s="137"/>
    </row>
    <row r="9101" spans="1:52" ht="17.100000000000001" customHeight="1" thickBot="1">
      <c r="A9101" s="110"/>
      <c r="B9101" s="27" t="s">
        <v>2511</v>
      </c>
      <c r="C9101" s="27">
        <v>65094</v>
      </c>
      <c r="D9101" s="14" t="s">
        <v>1720</v>
      </c>
      <c r="E9101" s="112"/>
      <c r="F9101" s="139" t="s">
        <v>25862</v>
      </c>
      <c r="G9101" s="140"/>
      <c r="H9101" s="141"/>
      <c r="I9101" s="26">
        <v>32810</v>
      </c>
      <c r="J9101" s="117"/>
      <c r="K9101" s="120"/>
      <c r="L9101" s="121"/>
      <c r="M9101" s="120"/>
      <c r="N9101" s="121"/>
      <c r="O9101" s="120"/>
      <c r="P9101" s="121"/>
      <c r="Q9101" s="120"/>
      <c r="R9101" s="121"/>
      <c r="S9101" s="120"/>
      <c r="T9101" s="121"/>
      <c r="U9101" s="120"/>
      <c r="V9101" s="123"/>
      <c r="W9101" s="125"/>
      <c r="X9101" s="142"/>
      <c r="Y9101" s="143"/>
      <c r="Z9101" s="143"/>
      <c r="AA9101" s="143"/>
      <c r="AB9101" s="144"/>
      <c r="AC9101" s="16" t="s">
        <v>21</v>
      </c>
      <c r="AD9101" s="17"/>
      <c r="AE9101" s="145"/>
      <c r="AF9101" s="146"/>
      <c r="AG9101" s="146"/>
      <c r="AH9101" s="146"/>
      <c r="AI9101" s="147"/>
      <c r="AJ9101" s="148"/>
      <c r="AK9101" s="143"/>
      <c r="AL9101" s="144"/>
      <c r="AM9101" s="22"/>
      <c r="AN9101" s="149"/>
      <c r="AO9101" s="144"/>
      <c r="AP9101" s="148"/>
      <c r="AQ9101" s="144"/>
      <c r="AR9101" s="120"/>
      <c r="AS9101" s="121"/>
      <c r="AT9101" s="120"/>
      <c r="AU9101" s="121"/>
      <c r="AV9101" s="120"/>
      <c r="AW9101" s="121"/>
      <c r="AX9101" s="120"/>
      <c r="AY9101" s="121"/>
      <c r="AZ9101" s="138"/>
    </row>
    <row r="9102" spans="1:52" ht="17.100000000000001" customHeight="1" thickTop="1">
      <c r="A9102" s="109" t="s">
        <v>25840</v>
      </c>
      <c r="B9102" s="28">
        <v>46158</v>
      </c>
      <c r="C9102" s="25">
        <v>1300</v>
      </c>
      <c r="D9102" s="13" t="s">
        <v>1606</v>
      </c>
      <c r="E9102" s="111"/>
      <c r="F9102" s="113" t="s">
        <v>7635</v>
      </c>
      <c r="G9102" s="114"/>
      <c r="H9102" s="115"/>
      <c r="I9102" s="24"/>
      <c r="J9102" s="116">
        <v>4</v>
      </c>
      <c r="K9102" s="118">
        <v>700000</v>
      </c>
      <c r="L9102" s="119"/>
      <c r="M9102" s="118">
        <f t="shared" ref="M9102" si="14094">K9102*0.1</f>
        <v>70000</v>
      </c>
      <c r="N9102" s="119"/>
      <c r="O9102" s="118">
        <v>0</v>
      </c>
      <c r="P9102" s="119"/>
      <c r="Q9102" s="118">
        <v>9080</v>
      </c>
      <c r="R9102" s="119"/>
      <c r="S9102" s="118">
        <v>12100</v>
      </c>
      <c r="T9102" s="119"/>
      <c r="U9102" s="118">
        <f t="shared" ref="U9102" si="14095">SUM(K9102:T9103)</f>
        <v>791180</v>
      </c>
      <c r="V9102" s="122"/>
      <c r="W9102" s="124"/>
      <c r="X9102" s="126"/>
      <c r="Y9102" s="127"/>
      <c r="Z9102" s="127"/>
      <c r="AA9102" s="127"/>
      <c r="AB9102" s="128"/>
      <c r="AC9102" s="15" t="s">
        <v>20</v>
      </c>
      <c r="AD9102" s="129"/>
      <c r="AE9102" s="130"/>
      <c r="AF9102" s="130"/>
      <c r="AG9102" s="130"/>
      <c r="AH9102" s="130"/>
      <c r="AI9102" s="131"/>
      <c r="AJ9102" s="132"/>
      <c r="AK9102" s="127"/>
      <c r="AL9102" s="128"/>
      <c r="AM9102" s="21"/>
      <c r="AN9102" s="133"/>
      <c r="AO9102" s="134"/>
      <c r="AP9102" s="135"/>
      <c r="AQ9102" s="136"/>
      <c r="AR9102" s="118"/>
      <c r="AS9102" s="119"/>
      <c r="AT9102" s="118">
        <f t="shared" ref="AT9102" si="14096">AR9102*0.1</f>
        <v>0</v>
      </c>
      <c r="AU9102" s="119"/>
      <c r="AV9102" s="118"/>
      <c r="AW9102" s="119"/>
      <c r="AX9102" s="118">
        <f t="shared" ref="AX9102" si="14097">SUM(AR9102:AW9102)</f>
        <v>0</v>
      </c>
      <c r="AY9102" s="119"/>
      <c r="AZ9102" s="137"/>
    </row>
    <row r="9103" spans="1:52" ht="17.100000000000001" customHeight="1" thickBot="1">
      <c r="A9103" s="110"/>
      <c r="B9103" s="27" t="s">
        <v>2511</v>
      </c>
      <c r="C9103" s="27">
        <v>65181</v>
      </c>
      <c r="D9103" s="14" t="s">
        <v>2040</v>
      </c>
      <c r="E9103" s="112"/>
      <c r="F9103" s="139" t="s">
        <v>25863</v>
      </c>
      <c r="G9103" s="140"/>
      <c r="H9103" s="141"/>
      <c r="I9103" s="26">
        <v>71384</v>
      </c>
      <c r="J9103" s="117"/>
      <c r="K9103" s="120"/>
      <c r="L9103" s="121"/>
      <c r="M9103" s="120"/>
      <c r="N9103" s="121"/>
      <c r="O9103" s="120"/>
      <c r="P9103" s="121"/>
      <c r="Q9103" s="120"/>
      <c r="R9103" s="121"/>
      <c r="S9103" s="120"/>
      <c r="T9103" s="121"/>
      <c r="U9103" s="120"/>
      <c r="V9103" s="123"/>
      <c r="W9103" s="125"/>
      <c r="X9103" s="142"/>
      <c r="Y9103" s="143"/>
      <c r="Z9103" s="143"/>
      <c r="AA9103" s="143"/>
      <c r="AB9103" s="144"/>
      <c r="AC9103" s="16" t="s">
        <v>21</v>
      </c>
      <c r="AD9103" s="17"/>
      <c r="AE9103" s="145"/>
      <c r="AF9103" s="146"/>
      <c r="AG9103" s="146"/>
      <c r="AH9103" s="146"/>
      <c r="AI9103" s="147"/>
      <c r="AJ9103" s="148"/>
      <c r="AK9103" s="143"/>
      <c r="AL9103" s="144"/>
      <c r="AM9103" s="22"/>
      <c r="AN9103" s="149"/>
      <c r="AO9103" s="144"/>
      <c r="AP9103" s="148"/>
      <c r="AQ9103" s="144"/>
      <c r="AR9103" s="120"/>
      <c r="AS9103" s="121"/>
      <c r="AT9103" s="120"/>
      <c r="AU9103" s="121"/>
      <c r="AV9103" s="120"/>
      <c r="AW9103" s="121"/>
      <c r="AX9103" s="120"/>
      <c r="AY9103" s="121"/>
      <c r="AZ9103" s="138"/>
    </row>
    <row r="9104" spans="1:52" ht="17.100000000000001" customHeight="1" thickTop="1">
      <c r="A9104" s="109" t="s">
        <v>25841</v>
      </c>
      <c r="B9104" s="28">
        <v>46158</v>
      </c>
      <c r="C9104" s="25">
        <v>1300</v>
      </c>
      <c r="D9104" s="13" t="s">
        <v>1855</v>
      </c>
      <c r="E9104" s="111"/>
      <c r="F9104" s="113" t="s">
        <v>3908</v>
      </c>
      <c r="G9104" s="114"/>
      <c r="H9104" s="115"/>
      <c r="I9104" s="24" t="s">
        <v>8235</v>
      </c>
      <c r="J9104" s="116">
        <v>4</v>
      </c>
      <c r="K9104" s="118">
        <v>390000</v>
      </c>
      <c r="L9104" s="119"/>
      <c r="M9104" s="118">
        <f t="shared" ref="M9104" si="14098">K9104*0.1</f>
        <v>39000</v>
      </c>
      <c r="N9104" s="119"/>
      <c r="O9104" s="118">
        <v>0</v>
      </c>
      <c r="P9104" s="119"/>
      <c r="Q9104" s="118">
        <v>7950</v>
      </c>
      <c r="R9104" s="119"/>
      <c r="S9104" s="118">
        <v>13200</v>
      </c>
      <c r="T9104" s="119"/>
      <c r="U9104" s="118">
        <f t="shared" ref="U9104" si="14099">SUM(K9104:T9105)</f>
        <v>450150</v>
      </c>
      <c r="V9104" s="122"/>
      <c r="W9104" s="124"/>
      <c r="X9104" s="126" t="s">
        <v>25955</v>
      </c>
      <c r="Y9104" s="127"/>
      <c r="Z9104" s="127"/>
      <c r="AA9104" s="127"/>
      <c r="AB9104" s="128"/>
      <c r="AC9104" s="15" t="s">
        <v>20</v>
      </c>
      <c r="AD9104" s="129" t="s">
        <v>1670</v>
      </c>
      <c r="AE9104" s="130"/>
      <c r="AF9104" s="130"/>
      <c r="AG9104" s="130"/>
      <c r="AH9104" s="130"/>
      <c r="AI9104" s="131"/>
      <c r="AJ9104" s="132"/>
      <c r="AK9104" s="127"/>
      <c r="AL9104" s="128"/>
      <c r="AM9104" s="21"/>
      <c r="AN9104" s="133"/>
      <c r="AO9104" s="134"/>
      <c r="AP9104" s="135"/>
      <c r="AQ9104" s="136"/>
      <c r="AR9104" s="118"/>
      <c r="AS9104" s="119"/>
      <c r="AT9104" s="118">
        <f t="shared" ref="AT9104" si="14100">AR9104*0.1</f>
        <v>0</v>
      </c>
      <c r="AU9104" s="119"/>
      <c r="AV9104" s="118"/>
      <c r="AW9104" s="119"/>
      <c r="AX9104" s="118">
        <f t="shared" ref="AX9104" si="14101">SUM(AR9104:AW9104)</f>
        <v>0</v>
      </c>
      <c r="AY9104" s="119"/>
      <c r="AZ9104" s="137"/>
    </row>
    <row r="9105" spans="1:52" ht="17.100000000000001" customHeight="1" thickBot="1">
      <c r="A9105" s="110"/>
      <c r="B9105" s="27" t="s">
        <v>2511</v>
      </c>
      <c r="C9105" s="27">
        <v>65283</v>
      </c>
      <c r="D9105" s="14" t="s">
        <v>3855</v>
      </c>
      <c r="E9105" s="112"/>
      <c r="F9105" s="139" t="s">
        <v>25864</v>
      </c>
      <c r="G9105" s="140"/>
      <c r="H9105" s="141"/>
      <c r="I9105" s="26">
        <v>52058</v>
      </c>
      <c r="J9105" s="117"/>
      <c r="K9105" s="120"/>
      <c r="L9105" s="121"/>
      <c r="M9105" s="120"/>
      <c r="N9105" s="121"/>
      <c r="O9105" s="120"/>
      <c r="P9105" s="121"/>
      <c r="Q9105" s="120"/>
      <c r="R9105" s="121"/>
      <c r="S9105" s="120"/>
      <c r="T9105" s="121"/>
      <c r="U9105" s="120"/>
      <c r="V9105" s="123"/>
      <c r="W9105" s="125"/>
      <c r="X9105" s="142"/>
      <c r="Y9105" s="143"/>
      <c r="Z9105" s="143"/>
      <c r="AA9105" s="143"/>
      <c r="AB9105" s="144"/>
      <c r="AC9105" s="16" t="s">
        <v>21</v>
      </c>
      <c r="AD9105" s="17"/>
      <c r="AE9105" s="145"/>
      <c r="AF9105" s="146"/>
      <c r="AG9105" s="146"/>
      <c r="AH9105" s="146"/>
      <c r="AI9105" s="147"/>
      <c r="AJ9105" s="148"/>
      <c r="AK9105" s="143"/>
      <c r="AL9105" s="144"/>
      <c r="AM9105" s="22"/>
      <c r="AN9105" s="149"/>
      <c r="AO9105" s="144"/>
      <c r="AP9105" s="148"/>
      <c r="AQ9105" s="144"/>
      <c r="AR9105" s="120"/>
      <c r="AS9105" s="121"/>
      <c r="AT9105" s="120"/>
      <c r="AU9105" s="121"/>
      <c r="AV9105" s="120"/>
      <c r="AW9105" s="121"/>
      <c r="AX9105" s="120"/>
      <c r="AY9105" s="121"/>
      <c r="AZ9105" s="138"/>
    </row>
    <row r="9106" spans="1:52" ht="17.100000000000001" customHeight="1" thickTop="1">
      <c r="A9106" s="109" t="s">
        <v>25842</v>
      </c>
      <c r="B9106" s="28">
        <v>46158</v>
      </c>
      <c r="C9106" s="25">
        <v>1300</v>
      </c>
      <c r="D9106" s="13" t="s">
        <v>2157</v>
      </c>
      <c r="E9106" s="111"/>
      <c r="F9106" s="113" t="s">
        <v>2993</v>
      </c>
      <c r="G9106" s="114"/>
      <c r="H9106" s="115"/>
      <c r="I9106" s="24"/>
      <c r="J9106" s="116">
        <v>4.5</v>
      </c>
      <c r="K9106" s="118">
        <v>665000</v>
      </c>
      <c r="L9106" s="119"/>
      <c r="M9106" s="118">
        <f t="shared" ref="M9106" si="14102">K9106*0.1</f>
        <v>66500</v>
      </c>
      <c r="N9106" s="119"/>
      <c r="O9106" s="118">
        <v>0</v>
      </c>
      <c r="P9106" s="119"/>
      <c r="Q9106" s="118">
        <v>8860</v>
      </c>
      <c r="R9106" s="119"/>
      <c r="S9106" s="118">
        <v>13200</v>
      </c>
      <c r="T9106" s="119"/>
      <c r="U9106" s="118">
        <f t="shared" ref="U9106" si="14103">SUM(K9106:T9107)</f>
        <v>753560</v>
      </c>
      <c r="V9106" s="122"/>
      <c r="W9106" s="124"/>
      <c r="X9106" s="126"/>
      <c r="Y9106" s="127"/>
      <c r="Z9106" s="127"/>
      <c r="AA9106" s="127"/>
      <c r="AB9106" s="128"/>
      <c r="AC9106" s="15" t="s">
        <v>20</v>
      </c>
      <c r="AD9106" s="129" t="s">
        <v>25954</v>
      </c>
      <c r="AE9106" s="130"/>
      <c r="AF9106" s="130"/>
      <c r="AG9106" s="130"/>
      <c r="AH9106" s="130"/>
      <c r="AI9106" s="131"/>
      <c r="AJ9106" s="132"/>
      <c r="AK9106" s="127"/>
      <c r="AL9106" s="128"/>
      <c r="AM9106" s="21"/>
      <c r="AN9106" s="133"/>
      <c r="AO9106" s="134"/>
      <c r="AP9106" s="135"/>
      <c r="AQ9106" s="136"/>
      <c r="AR9106" s="118"/>
      <c r="AS9106" s="119"/>
      <c r="AT9106" s="118">
        <f t="shared" ref="AT9106" si="14104">AR9106*0.1</f>
        <v>0</v>
      </c>
      <c r="AU9106" s="119"/>
      <c r="AV9106" s="118"/>
      <c r="AW9106" s="119"/>
      <c r="AX9106" s="118">
        <f t="shared" ref="AX9106" si="14105">SUM(AR9106:AW9106)</f>
        <v>0</v>
      </c>
      <c r="AY9106" s="119"/>
      <c r="AZ9106" s="137"/>
    </row>
    <row r="9107" spans="1:52" ht="17.100000000000001" customHeight="1" thickBot="1">
      <c r="A9107" s="110"/>
      <c r="B9107" s="27" t="s">
        <v>2511</v>
      </c>
      <c r="C9107" s="27">
        <v>65329</v>
      </c>
      <c r="D9107" s="14" t="s">
        <v>1720</v>
      </c>
      <c r="E9107" s="112"/>
      <c r="F9107" s="139" t="s">
        <v>25865</v>
      </c>
      <c r="G9107" s="140"/>
      <c r="H9107" s="141"/>
      <c r="I9107" s="26">
        <v>38896</v>
      </c>
      <c r="J9107" s="117"/>
      <c r="K9107" s="120"/>
      <c r="L9107" s="121"/>
      <c r="M9107" s="120"/>
      <c r="N9107" s="121"/>
      <c r="O9107" s="120"/>
      <c r="P9107" s="121"/>
      <c r="Q9107" s="120"/>
      <c r="R9107" s="121"/>
      <c r="S9107" s="120"/>
      <c r="T9107" s="121"/>
      <c r="U9107" s="120"/>
      <c r="V9107" s="123"/>
      <c r="W9107" s="125"/>
      <c r="X9107" s="142"/>
      <c r="Y9107" s="143"/>
      <c r="Z9107" s="143"/>
      <c r="AA9107" s="143"/>
      <c r="AB9107" s="144"/>
      <c r="AC9107" s="16" t="s">
        <v>21</v>
      </c>
      <c r="AD9107" s="17"/>
      <c r="AE9107" s="145"/>
      <c r="AF9107" s="146"/>
      <c r="AG9107" s="146"/>
      <c r="AH9107" s="146"/>
      <c r="AI9107" s="147"/>
      <c r="AJ9107" s="148"/>
      <c r="AK9107" s="143"/>
      <c r="AL9107" s="144"/>
      <c r="AM9107" s="22"/>
      <c r="AN9107" s="149"/>
      <c r="AO9107" s="144"/>
      <c r="AP9107" s="148"/>
      <c r="AQ9107" s="144"/>
      <c r="AR9107" s="120"/>
      <c r="AS9107" s="121"/>
      <c r="AT9107" s="120"/>
      <c r="AU9107" s="121"/>
      <c r="AV9107" s="120"/>
      <c r="AW9107" s="121"/>
      <c r="AX9107" s="120"/>
      <c r="AY9107" s="121"/>
      <c r="AZ9107" s="138"/>
    </row>
    <row r="9108" spans="1:52" ht="17.100000000000001" customHeight="1" thickTop="1">
      <c r="A9108" s="109" t="s">
        <v>25843</v>
      </c>
      <c r="B9108" s="28">
        <v>46158</v>
      </c>
      <c r="C9108" s="25">
        <v>1300</v>
      </c>
      <c r="D9108" s="13" t="s">
        <v>1651</v>
      </c>
      <c r="E9108" s="111"/>
      <c r="F9108" s="113" t="s">
        <v>4603</v>
      </c>
      <c r="G9108" s="114"/>
      <c r="H9108" s="115"/>
      <c r="I9108" s="24"/>
      <c r="J9108" s="116">
        <v>4.5</v>
      </c>
      <c r="K9108" s="118">
        <v>1025000</v>
      </c>
      <c r="L9108" s="119"/>
      <c r="M9108" s="118">
        <f t="shared" ref="M9108" si="14106">K9108*0.1</f>
        <v>102500</v>
      </c>
      <c r="N9108" s="119"/>
      <c r="O9108" s="118">
        <v>0</v>
      </c>
      <c r="P9108" s="119"/>
      <c r="Q9108" s="118">
        <v>8200</v>
      </c>
      <c r="R9108" s="119"/>
      <c r="S9108" s="118">
        <v>12100</v>
      </c>
      <c r="T9108" s="119"/>
      <c r="U9108" s="118">
        <f t="shared" ref="U9108" si="14107">SUM(K9108:T9109)</f>
        <v>1147800</v>
      </c>
      <c r="V9108" s="122"/>
      <c r="W9108" s="124"/>
      <c r="X9108" s="126"/>
      <c r="Y9108" s="127"/>
      <c r="Z9108" s="127"/>
      <c r="AA9108" s="127"/>
      <c r="AB9108" s="128"/>
      <c r="AC9108" s="15" t="s">
        <v>20</v>
      </c>
      <c r="AD9108" s="129" t="s">
        <v>1945</v>
      </c>
      <c r="AE9108" s="130"/>
      <c r="AF9108" s="130"/>
      <c r="AG9108" s="130"/>
      <c r="AH9108" s="130"/>
      <c r="AI9108" s="131"/>
      <c r="AJ9108" s="132"/>
      <c r="AK9108" s="127"/>
      <c r="AL9108" s="128"/>
      <c r="AM9108" s="21"/>
      <c r="AN9108" s="133"/>
      <c r="AO9108" s="134"/>
      <c r="AP9108" s="135"/>
      <c r="AQ9108" s="136"/>
      <c r="AR9108" s="118"/>
      <c r="AS9108" s="119"/>
      <c r="AT9108" s="118">
        <f t="shared" ref="AT9108" si="14108">AR9108*0.1</f>
        <v>0</v>
      </c>
      <c r="AU9108" s="119"/>
      <c r="AV9108" s="118"/>
      <c r="AW9108" s="119"/>
      <c r="AX9108" s="118">
        <f t="shared" ref="AX9108" si="14109">SUM(AR9108:AW9108)</f>
        <v>0</v>
      </c>
      <c r="AY9108" s="119"/>
      <c r="AZ9108" s="137"/>
    </row>
    <row r="9109" spans="1:52" ht="17.100000000000001" customHeight="1" thickBot="1">
      <c r="A9109" s="110"/>
      <c r="B9109" s="27" t="s">
        <v>2511</v>
      </c>
      <c r="C9109" s="27">
        <v>65433</v>
      </c>
      <c r="D9109" s="14" t="s">
        <v>2800</v>
      </c>
      <c r="E9109" s="112"/>
      <c r="F9109" s="139" t="s">
        <v>25866</v>
      </c>
      <c r="G9109" s="140"/>
      <c r="H9109" s="141"/>
      <c r="I9109" s="26">
        <v>29600</v>
      </c>
      <c r="J9109" s="117"/>
      <c r="K9109" s="120"/>
      <c r="L9109" s="121"/>
      <c r="M9109" s="120"/>
      <c r="N9109" s="121"/>
      <c r="O9109" s="120"/>
      <c r="P9109" s="121"/>
      <c r="Q9109" s="120"/>
      <c r="R9109" s="121"/>
      <c r="S9109" s="120"/>
      <c r="T9109" s="121"/>
      <c r="U9109" s="120"/>
      <c r="V9109" s="123"/>
      <c r="W9109" s="125"/>
      <c r="X9109" s="142"/>
      <c r="Y9109" s="143"/>
      <c r="Z9109" s="143"/>
      <c r="AA9109" s="143"/>
      <c r="AB9109" s="144"/>
      <c r="AC9109" s="16" t="s">
        <v>21</v>
      </c>
      <c r="AD9109" s="17"/>
      <c r="AE9109" s="145"/>
      <c r="AF9109" s="146"/>
      <c r="AG9109" s="146"/>
      <c r="AH9109" s="146"/>
      <c r="AI9109" s="147"/>
      <c r="AJ9109" s="148"/>
      <c r="AK9109" s="143"/>
      <c r="AL9109" s="144"/>
      <c r="AM9109" s="22"/>
      <c r="AN9109" s="149"/>
      <c r="AO9109" s="144"/>
      <c r="AP9109" s="148"/>
      <c r="AQ9109" s="144"/>
      <c r="AR9109" s="120"/>
      <c r="AS9109" s="121"/>
      <c r="AT9109" s="120"/>
      <c r="AU9109" s="121"/>
      <c r="AV9109" s="120"/>
      <c r="AW9109" s="121"/>
      <c r="AX9109" s="120"/>
      <c r="AY9109" s="121"/>
      <c r="AZ9109" s="138"/>
    </row>
    <row r="9110" spans="1:52" ht="17.100000000000001" customHeight="1" thickTop="1">
      <c r="A9110" s="109" t="s">
        <v>25844</v>
      </c>
      <c r="B9110" s="28">
        <v>46158</v>
      </c>
      <c r="C9110" s="25">
        <v>1300</v>
      </c>
      <c r="D9110" s="13" t="s">
        <v>2196</v>
      </c>
      <c r="E9110" s="111"/>
      <c r="F9110" s="113" t="s">
        <v>2993</v>
      </c>
      <c r="G9110" s="114"/>
      <c r="H9110" s="115"/>
      <c r="I9110" s="24" t="s">
        <v>16698</v>
      </c>
      <c r="J9110" s="116">
        <v>4</v>
      </c>
      <c r="K9110" s="118">
        <v>560000</v>
      </c>
      <c r="L9110" s="119"/>
      <c r="M9110" s="118">
        <f t="shared" ref="M9110" si="14110">K9110*0.1</f>
        <v>56000</v>
      </c>
      <c r="N9110" s="119"/>
      <c r="O9110" s="118">
        <v>0</v>
      </c>
      <c r="P9110" s="119"/>
      <c r="Q9110" s="118">
        <v>8400</v>
      </c>
      <c r="R9110" s="119"/>
      <c r="S9110" s="118">
        <v>13200</v>
      </c>
      <c r="T9110" s="119"/>
      <c r="U9110" s="118">
        <f t="shared" ref="U9110" si="14111">SUM(K9110:T9111)</f>
        <v>637600</v>
      </c>
      <c r="V9110" s="122"/>
      <c r="W9110" s="124"/>
      <c r="X9110" s="126" t="s">
        <v>25953</v>
      </c>
      <c r="Y9110" s="127"/>
      <c r="Z9110" s="127"/>
      <c r="AA9110" s="127"/>
      <c r="AB9110" s="128"/>
      <c r="AC9110" s="15" t="s">
        <v>20</v>
      </c>
      <c r="AD9110" s="129" t="s">
        <v>171</v>
      </c>
      <c r="AE9110" s="130"/>
      <c r="AF9110" s="130"/>
      <c r="AG9110" s="130"/>
      <c r="AH9110" s="130"/>
      <c r="AI9110" s="131"/>
      <c r="AJ9110" s="132"/>
      <c r="AK9110" s="127"/>
      <c r="AL9110" s="128"/>
      <c r="AM9110" s="21"/>
      <c r="AN9110" s="133"/>
      <c r="AO9110" s="134"/>
      <c r="AP9110" s="135"/>
      <c r="AQ9110" s="136"/>
      <c r="AR9110" s="118"/>
      <c r="AS9110" s="119"/>
      <c r="AT9110" s="118">
        <f t="shared" ref="AT9110" si="14112">AR9110*0.1</f>
        <v>0</v>
      </c>
      <c r="AU9110" s="119"/>
      <c r="AV9110" s="118"/>
      <c r="AW9110" s="119"/>
      <c r="AX9110" s="118">
        <f t="shared" ref="AX9110" si="14113">SUM(AR9110:AW9110)</f>
        <v>0</v>
      </c>
      <c r="AY9110" s="119"/>
      <c r="AZ9110" s="137"/>
    </row>
    <row r="9111" spans="1:52" ht="17.100000000000001" customHeight="1" thickBot="1">
      <c r="A9111" s="110"/>
      <c r="B9111" s="27" t="s">
        <v>2511</v>
      </c>
      <c r="C9111" s="27">
        <v>65533</v>
      </c>
      <c r="D9111" s="14" t="s">
        <v>904</v>
      </c>
      <c r="E9111" s="112"/>
      <c r="F9111" s="139" t="s">
        <v>25867</v>
      </c>
      <c r="G9111" s="140"/>
      <c r="H9111" s="141"/>
      <c r="I9111" s="26">
        <v>33410</v>
      </c>
      <c r="J9111" s="117"/>
      <c r="K9111" s="120"/>
      <c r="L9111" s="121"/>
      <c r="M9111" s="120"/>
      <c r="N9111" s="121"/>
      <c r="O9111" s="120"/>
      <c r="P9111" s="121"/>
      <c r="Q9111" s="120"/>
      <c r="R9111" s="121"/>
      <c r="S9111" s="120"/>
      <c r="T9111" s="121"/>
      <c r="U9111" s="120"/>
      <c r="V9111" s="123"/>
      <c r="W9111" s="125"/>
      <c r="X9111" s="142"/>
      <c r="Y9111" s="143"/>
      <c r="Z9111" s="143"/>
      <c r="AA9111" s="143"/>
      <c r="AB9111" s="144"/>
      <c r="AC9111" s="16" t="s">
        <v>21</v>
      </c>
      <c r="AD9111" s="17"/>
      <c r="AE9111" s="145"/>
      <c r="AF9111" s="146"/>
      <c r="AG9111" s="146"/>
      <c r="AH9111" s="146"/>
      <c r="AI9111" s="147"/>
      <c r="AJ9111" s="148"/>
      <c r="AK9111" s="143"/>
      <c r="AL9111" s="144"/>
      <c r="AM9111" s="22"/>
      <c r="AN9111" s="149"/>
      <c r="AO9111" s="144"/>
      <c r="AP9111" s="148"/>
      <c r="AQ9111" s="144"/>
      <c r="AR9111" s="120"/>
      <c r="AS9111" s="121"/>
      <c r="AT9111" s="120"/>
      <c r="AU9111" s="121"/>
      <c r="AV9111" s="120"/>
      <c r="AW9111" s="121"/>
      <c r="AX9111" s="120"/>
      <c r="AY9111" s="121"/>
      <c r="AZ9111" s="138"/>
    </row>
    <row r="9112" spans="1:52" ht="17.100000000000001" customHeight="1" thickTop="1">
      <c r="A9112" s="109" t="s">
        <v>25845</v>
      </c>
      <c r="B9112" s="28">
        <v>46158</v>
      </c>
      <c r="C9112" s="25">
        <v>1300</v>
      </c>
      <c r="D9112" s="13" t="s">
        <v>1714</v>
      </c>
      <c r="E9112" s="111"/>
      <c r="F9112" s="113" t="s">
        <v>4436</v>
      </c>
      <c r="G9112" s="114"/>
      <c r="H9112" s="115"/>
      <c r="I9112" s="24"/>
      <c r="J9112" s="116">
        <v>4.5</v>
      </c>
      <c r="K9112" s="118">
        <v>1045000</v>
      </c>
      <c r="L9112" s="119"/>
      <c r="M9112" s="118">
        <f t="shared" ref="M9112" si="14114">K9112*0.1</f>
        <v>104500</v>
      </c>
      <c r="N9112" s="119"/>
      <c r="O9112" s="118">
        <v>0</v>
      </c>
      <c r="P9112" s="119"/>
      <c r="Q9112" s="118">
        <v>7150</v>
      </c>
      <c r="R9112" s="119"/>
      <c r="S9112" s="118">
        <v>12100</v>
      </c>
      <c r="T9112" s="119"/>
      <c r="U9112" s="118">
        <f t="shared" ref="U9112" si="14115">SUM(K9112:T9113)</f>
        <v>1168750</v>
      </c>
      <c r="V9112" s="122"/>
      <c r="W9112" s="124"/>
      <c r="X9112" s="126"/>
      <c r="Y9112" s="127"/>
      <c r="Z9112" s="127"/>
      <c r="AA9112" s="127"/>
      <c r="AB9112" s="128"/>
      <c r="AC9112" s="15" t="s">
        <v>20</v>
      </c>
      <c r="AD9112" s="129" t="s">
        <v>4705</v>
      </c>
      <c r="AE9112" s="130"/>
      <c r="AF9112" s="130"/>
      <c r="AG9112" s="130"/>
      <c r="AH9112" s="130"/>
      <c r="AI9112" s="131"/>
      <c r="AJ9112" s="132"/>
      <c r="AK9112" s="127"/>
      <c r="AL9112" s="128"/>
      <c r="AM9112" s="21"/>
      <c r="AN9112" s="133"/>
      <c r="AO9112" s="134"/>
      <c r="AP9112" s="135"/>
      <c r="AQ9112" s="136"/>
      <c r="AR9112" s="118"/>
      <c r="AS9112" s="119"/>
      <c r="AT9112" s="118">
        <f t="shared" ref="AT9112" si="14116">AR9112*0.1</f>
        <v>0</v>
      </c>
      <c r="AU9112" s="119"/>
      <c r="AV9112" s="118"/>
      <c r="AW9112" s="119"/>
      <c r="AX9112" s="118">
        <f t="shared" ref="AX9112" si="14117">SUM(AR9112:AW9112)</f>
        <v>0</v>
      </c>
      <c r="AY9112" s="119"/>
      <c r="AZ9112" s="137"/>
    </row>
    <row r="9113" spans="1:52" ht="17.100000000000001" customHeight="1" thickBot="1">
      <c r="A9113" s="110"/>
      <c r="B9113" s="27" t="s">
        <v>2511</v>
      </c>
      <c r="C9113" s="27">
        <v>65749</v>
      </c>
      <c r="D9113" s="14" t="s">
        <v>275</v>
      </c>
      <c r="E9113" s="112"/>
      <c r="F9113" s="139" t="s">
        <v>25868</v>
      </c>
      <c r="G9113" s="140"/>
      <c r="H9113" s="141"/>
      <c r="I9113" s="26">
        <v>56956</v>
      </c>
      <c r="J9113" s="117"/>
      <c r="K9113" s="120"/>
      <c r="L9113" s="121"/>
      <c r="M9113" s="120"/>
      <c r="N9113" s="121"/>
      <c r="O9113" s="120"/>
      <c r="P9113" s="121"/>
      <c r="Q9113" s="120"/>
      <c r="R9113" s="121"/>
      <c r="S9113" s="120"/>
      <c r="T9113" s="121"/>
      <c r="U9113" s="120"/>
      <c r="V9113" s="123"/>
      <c r="W9113" s="125"/>
      <c r="X9113" s="142"/>
      <c r="Y9113" s="143"/>
      <c r="Z9113" s="143"/>
      <c r="AA9113" s="143"/>
      <c r="AB9113" s="144"/>
      <c r="AC9113" s="16" t="s">
        <v>21</v>
      </c>
      <c r="AD9113" s="17"/>
      <c r="AE9113" s="145"/>
      <c r="AF9113" s="146"/>
      <c r="AG9113" s="146"/>
      <c r="AH9113" s="146"/>
      <c r="AI9113" s="147"/>
      <c r="AJ9113" s="148"/>
      <c r="AK9113" s="143"/>
      <c r="AL9113" s="144"/>
      <c r="AM9113" s="22"/>
      <c r="AN9113" s="149"/>
      <c r="AO9113" s="144"/>
      <c r="AP9113" s="148"/>
      <c r="AQ9113" s="144"/>
      <c r="AR9113" s="120"/>
      <c r="AS9113" s="121"/>
      <c r="AT9113" s="120"/>
      <c r="AU9113" s="121"/>
      <c r="AV9113" s="120"/>
      <c r="AW9113" s="121"/>
      <c r="AX9113" s="120"/>
      <c r="AY9113" s="121"/>
      <c r="AZ9113" s="138"/>
    </row>
    <row r="9114" spans="1:52" ht="17.100000000000001" customHeight="1" thickTop="1">
      <c r="A9114" s="109" t="s">
        <v>25846</v>
      </c>
      <c r="B9114" s="28">
        <v>46158</v>
      </c>
      <c r="C9114" s="25">
        <v>1300</v>
      </c>
      <c r="D9114" s="13" t="s">
        <v>2022</v>
      </c>
      <c r="E9114" s="111"/>
      <c r="F9114" s="113" t="s">
        <v>25869</v>
      </c>
      <c r="G9114" s="114"/>
      <c r="H9114" s="115"/>
      <c r="I9114" s="24" t="s">
        <v>5128</v>
      </c>
      <c r="J9114" s="116">
        <v>4</v>
      </c>
      <c r="K9114" s="118">
        <v>485000</v>
      </c>
      <c r="L9114" s="119"/>
      <c r="M9114" s="118">
        <f t="shared" ref="M9114" si="14118">K9114*0.1</f>
        <v>48500</v>
      </c>
      <c r="N9114" s="119"/>
      <c r="O9114" s="118">
        <v>0</v>
      </c>
      <c r="P9114" s="119"/>
      <c r="Q9114" s="118">
        <v>8850</v>
      </c>
      <c r="R9114" s="119"/>
      <c r="S9114" s="118">
        <v>13200</v>
      </c>
      <c r="T9114" s="119"/>
      <c r="U9114" s="118">
        <f t="shared" ref="U9114" si="14119">SUM(K9114:T9115)</f>
        <v>555550</v>
      </c>
      <c r="V9114" s="122"/>
      <c r="W9114" s="124"/>
      <c r="X9114" s="126" t="s">
        <v>25952</v>
      </c>
      <c r="Y9114" s="127"/>
      <c r="Z9114" s="127"/>
      <c r="AA9114" s="127"/>
      <c r="AB9114" s="128"/>
      <c r="AC9114" s="15" t="s">
        <v>20</v>
      </c>
      <c r="AD9114" s="129"/>
      <c r="AE9114" s="130"/>
      <c r="AF9114" s="130"/>
      <c r="AG9114" s="130"/>
      <c r="AH9114" s="130"/>
      <c r="AI9114" s="131"/>
      <c r="AJ9114" s="132"/>
      <c r="AK9114" s="127"/>
      <c r="AL9114" s="128"/>
      <c r="AM9114" s="21"/>
      <c r="AN9114" s="133"/>
      <c r="AO9114" s="134"/>
      <c r="AP9114" s="135"/>
      <c r="AQ9114" s="136"/>
      <c r="AR9114" s="118"/>
      <c r="AS9114" s="119"/>
      <c r="AT9114" s="118">
        <f t="shared" ref="AT9114" si="14120">AR9114*0.1</f>
        <v>0</v>
      </c>
      <c r="AU9114" s="119"/>
      <c r="AV9114" s="118"/>
      <c r="AW9114" s="119"/>
      <c r="AX9114" s="118">
        <f t="shared" ref="AX9114" si="14121">SUM(AR9114:AW9114)</f>
        <v>0</v>
      </c>
      <c r="AY9114" s="119"/>
      <c r="AZ9114" s="137"/>
    </row>
    <row r="9115" spans="1:52" ht="17.100000000000001" customHeight="1" thickBot="1">
      <c r="A9115" s="110"/>
      <c r="B9115" s="27" t="s">
        <v>2511</v>
      </c>
      <c r="C9115" s="27">
        <v>65779</v>
      </c>
      <c r="D9115" s="14" t="s">
        <v>904</v>
      </c>
      <c r="E9115" s="112"/>
      <c r="F9115" s="139" t="s">
        <v>25870</v>
      </c>
      <c r="G9115" s="140"/>
      <c r="H9115" s="141"/>
      <c r="I9115" s="26">
        <v>56629</v>
      </c>
      <c r="J9115" s="117"/>
      <c r="K9115" s="120"/>
      <c r="L9115" s="121"/>
      <c r="M9115" s="120"/>
      <c r="N9115" s="121"/>
      <c r="O9115" s="120"/>
      <c r="P9115" s="121"/>
      <c r="Q9115" s="120"/>
      <c r="R9115" s="121"/>
      <c r="S9115" s="120"/>
      <c r="T9115" s="121"/>
      <c r="U9115" s="120"/>
      <c r="V9115" s="123"/>
      <c r="W9115" s="125"/>
      <c r="X9115" s="142"/>
      <c r="Y9115" s="143"/>
      <c r="Z9115" s="143"/>
      <c r="AA9115" s="143"/>
      <c r="AB9115" s="144"/>
      <c r="AC9115" s="16" t="s">
        <v>21</v>
      </c>
      <c r="AD9115" s="17"/>
      <c r="AE9115" s="145"/>
      <c r="AF9115" s="146"/>
      <c r="AG9115" s="146"/>
      <c r="AH9115" s="146"/>
      <c r="AI9115" s="147"/>
      <c r="AJ9115" s="148"/>
      <c r="AK9115" s="143"/>
      <c r="AL9115" s="144"/>
      <c r="AM9115" s="22"/>
      <c r="AN9115" s="149"/>
      <c r="AO9115" s="144"/>
      <c r="AP9115" s="148"/>
      <c r="AQ9115" s="144"/>
      <c r="AR9115" s="120"/>
      <c r="AS9115" s="121"/>
      <c r="AT9115" s="120"/>
      <c r="AU9115" s="121"/>
      <c r="AV9115" s="120"/>
      <c r="AW9115" s="121"/>
      <c r="AX9115" s="120"/>
      <c r="AY9115" s="121"/>
      <c r="AZ9115" s="138"/>
    </row>
    <row r="9116" spans="1:52" ht="17.100000000000001" customHeight="1" thickTop="1">
      <c r="A9116" s="109" t="s">
        <v>25847</v>
      </c>
      <c r="B9116" s="28">
        <v>46158</v>
      </c>
      <c r="C9116" s="25">
        <v>1300</v>
      </c>
      <c r="D9116" s="13" t="s">
        <v>2135</v>
      </c>
      <c r="E9116" s="111"/>
      <c r="F9116" s="113" t="s">
        <v>9371</v>
      </c>
      <c r="G9116" s="114"/>
      <c r="H9116" s="115"/>
      <c r="I9116" s="24"/>
      <c r="J9116" s="116">
        <v>4.5</v>
      </c>
      <c r="K9116" s="118">
        <v>670000</v>
      </c>
      <c r="L9116" s="119"/>
      <c r="M9116" s="118">
        <f t="shared" ref="M9116" si="14122">K9116*0.1</f>
        <v>67000</v>
      </c>
      <c r="N9116" s="119"/>
      <c r="O9116" s="118">
        <v>0</v>
      </c>
      <c r="P9116" s="119"/>
      <c r="Q9116" s="118">
        <v>9790</v>
      </c>
      <c r="R9116" s="119"/>
      <c r="S9116" s="118">
        <v>13200</v>
      </c>
      <c r="T9116" s="119"/>
      <c r="U9116" s="118">
        <f t="shared" ref="U9116" si="14123">SUM(K9116:T9117)</f>
        <v>759990</v>
      </c>
      <c r="V9116" s="122"/>
      <c r="W9116" s="124"/>
      <c r="X9116" s="126"/>
      <c r="Y9116" s="127"/>
      <c r="Z9116" s="127"/>
      <c r="AA9116" s="127"/>
      <c r="AB9116" s="128"/>
      <c r="AC9116" s="15" t="s">
        <v>20</v>
      </c>
      <c r="AD9116" s="129"/>
      <c r="AE9116" s="130"/>
      <c r="AF9116" s="130"/>
      <c r="AG9116" s="130"/>
      <c r="AH9116" s="130"/>
      <c r="AI9116" s="131"/>
      <c r="AJ9116" s="132"/>
      <c r="AK9116" s="127"/>
      <c r="AL9116" s="128"/>
      <c r="AM9116" s="21"/>
      <c r="AN9116" s="133"/>
      <c r="AO9116" s="134"/>
      <c r="AP9116" s="135"/>
      <c r="AQ9116" s="136"/>
      <c r="AR9116" s="118"/>
      <c r="AS9116" s="119"/>
      <c r="AT9116" s="118">
        <f t="shared" ref="AT9116" si="14124">AR9116*0.1</f>
        <v>0</v>
      </c>
      <c r="AU9116" s="119"/>
      <c r="AV9116" s="118"/>
      <c r="AW9116" s="119"/>
      <c r="AX9116" s="118">
        <f t="shared" ref="AX9116" si="14125">SUM(AR9116:AW9116)</f>
        <v>0</v>
      </c>
      <c r="AY9116" s="119"/>
      <c r="AZ9116" s="137"/>
    </row>
    <row r="9117" spans="1:52" ht="17.100000000000001" customHeight="1" thickBot="1">
      <c r="A9117" s="110"/>
      <c r="B9117" s="27" t="s">
        <v>2511</v>
      </c>
      <c r="C9117" s="27">
        <v>65807</v>
      </c>
      <c r="D9117" s="14" t="s">
        <v>2040</v>
      </c>
      <c r="E9117" s="112"/>
      <c r="F9117" s="139" t="s">
        <v>25871</v>
      </c>
      <c r="G9117" s="140"/>
      <c r="H9117" s="141"/>
      <c r="I9117" s="26">
        <v>59927</v>
      </c>
      <c r="J9117" s="117"/>
      <c r="K9117" s="120"/>
      <c r="L9117" s="121"/>
      <c r="M9117" s="120"/>
      <c r="N9117" s="121"/>
      <c r="O9117" s="120"/>
      <c r="P9117" s="121"/>
      <c r="Q9117" s="120"/>
      <c r="R9117" s="121"/>
      <c r="S9117" s="120"/>
      <c r="T9117" s="121"/>
      <c r="U9117" s="120"/>
      <c r="V9117" s="123"/>
      <c r="W9117" s="125"/>
      <c r="X9117" s="142"/>
      <c r="Y9117" s="143"/>
      <c r="Z9117" s="143"/>
      <c r="AA9117" s="143"/>
      <c r="AB9117" s="144"/>
      <c r="AC9117" s="16" t="s">
        <v>21</v>
      </c>
      <c r="AD9117" s="17"/>
      <c r="AE9117" s="145"/>
      <c r="AF9117" s="146"/>
      <c r="AG9117" s="146"/>
      <c r="AH9117" s="146"/>
      <c r="AI9117" s="147"/>
      <c r="AJ9117" s="148"/>
      <c r="AK9117" s="143"/>
      <c r="AL9117" s="144"/>
      <c r="AM9117" s="22"/>
      <c r="AN9117" s="149"/>
      <c r="AO9117" s="144"/>
      <c r="AP9117" s="148"/>
      <c r="AQ9117" s="144"/>
      <c r="AR9117" s="120"/>
      <c r="AS9117" s="121"/>
      <c r="AT9117" s="120"/>
      <c r="AU9117" s="121"/>
      <c r="AV9117" s="120"/>
      <c r="AW9117" s="121"/>
      <c r="AX9117" s="120"/>
      <c r="AY9117" s="121"/>
      <c r="AZ9117" s="138"/>
    </row>
    <row r="9118" spans="1:52" ht="17.100000000000001" customHeight="1" thickTop="1">
      <c r="A9118" s="109" t="s">
        <v>25848</v>
      </c>
      <c r="B9118" s="28">
        <v>46158</v>
      </c>
      <c r="C9118" s="25">
        <v>1300</v>
      </c>
      <c r="D9118" s="13" t="s">
        <v>2606</v>
      </c>
      <c r="E9118" s="111"/>
      <c r="F9118" s="113" t="s">
        <v>2993</v>
      </c>
      <c r="G9118" s="114"/>
      <c r="H9118" s="115"/>
      <c r="I9118" s="24"/>
      <c r="J9118" s="116">
        <v>4.5</v>
      </c>
      <c r="K9118" s="118">
        <v>760000</v>
      </c>
      <c r="L9118" s="119"/>
      <c r="M9118" s="118">
        <f t="shared" ref="M9118" si="14126">K9118*0.1</f>
        <v>76000</v>
      </c>
      <c r="N9118" s="119"/>
      <c r="O9118" s="118">
        <v>0</v>
      </c>
      <c r="P9118" s="119"/>
      <c r="Q9118" s="118">
        <v>8400</v>
      </c>
      <c r="R9118" s="119"/>
      <c r="S9118" s="118">
        <v>13200</v>
      </c>
      <c r="T9118" s="119"/>
      <c r="U9118" s="118">
        <f t="shared" ref="U9118" si="14127">SUM(K9118:T9119)</f>
        <v>857600</v>
      </c>
      <c r="V9118" s="122"/>
      <c r="W9118" s="124"/>
      <c r="X9118" s="126"/>
      <c r="Y9118" s="127"/>
      <c r="Z9118" s="127"/>
      <c r="AA9118" s="127"/>
      <c r="AB9118" s="128"/>
      <c r="AC9118" s="15" t="s">
        <v>20</v>
      </c>
      <c r="AD9118" s="129" t="s">
        <v>3371</v>
      </c>
      <c r="AE9118" s="130"/>
      <c r="AF9118" s="130"/>
      <c r="AG9118" s="130"/>
      <c r="AH9118" s="130"/>
      <c r="AI9118" s="131"/>
      <c r="AJ9118" s="132"/>
      <c r="AK9118" s="127"/>
      <c r="AL9118" s="128"/>
      <c r="AM9118" s="21"/>
      <c r="AN9118" s="133"/>
      <c r="AO9118" s="134"/>
      <c r="AP9118" s="135"/>
      <c r="AQ9118" s="136"/>
      <c r="AR9118" s="118"/>
      <c r="AS9118" s="119"/>
      <c r="AT9118" s="118">
        <f t="shared" ref="AT9118" si="14128">AR9118*0.1</f>
        <v>0</v>
      </c>
      <c r="AU9118" s="119"/>
      <c r="AV9118" s="118"/>
      <c r="AW9118" s="119"/>
      <c r="AX9118" s="118">
        <f t="shared" ref="AX9118" si="14129">SUM(AR9118:AW9118)</f>
        <v>0</v>
      </c>
      <c r="AY9118" s="119"/>
      <c r="AZ9118" s="137"/>
    </row>
    <row r="9119" spans="1:52" ht="17.100000000000001" customHeight="1" thickBot="1">
      <c r="A9119" s="110"/>
      <c r="B9119" s="27" t="s">
        <v>2511</v>
      </c>
      <c r="C9119" s="27">
        <v>65821</v>
      </c>
      <c r="D9119" s="14" t="s">
        <v>904</v>
      </c>
      <c r="E9119" s="112"/>
      <c r="F9119" s="139" t="s">
        <v>25872</v>
      </c>
      <c r="G9119" s="140"/>
      <c r="H9119" s="141"/>
      <c r="I9119" s="26">
        <v>47978</v>
      </c>
      <c r="J9119" s="117"/>
      <c r="K9119" s="120"/>
      <c r="L9119" s="121"/>
      <c r="M9119" s="120"/>
      <c r="N9119" s="121"/>
      <c r="O9119" s="120"/>
      <c r="P9119" s="121"/>
      <c r="Q9119" s="120"/>
      <c r="R9119" s="121"/>
      <c r="S9119" s="120"/>
      <c r="T9119" s="121"/>
      <c r="U9119" s="120"/>
      <c r="V9119" s="123"/>
      <c r="W9119" s="125"/>
      <c r="X9119" s="142"/>
      <c r="Y9119" s="143"/>
      <c r="Z9119" s="143"/>
      <c r="AA9119" s="143"/>
      <c r="AB9119" s="144"/>
      <c r="AC9119" s="16" t="s">
        <v>21</v>
      </c>
      <c r="AD9119" s="17"/>
      <c r="AE9119" s="145"/>
      <c r="AF9119" s="146"/>
      <c r="AG9119" s="146"/>
      <c r="AH9119" s="146"/>
      <c r="AI9119" s="147"/>
      <c r="AJ9119" s="148"/>
      <c r="AK9119" s="143"/>
      <c r="AL9119" s="144"/>
      <c r="AM9119" s="22"/>
      <c r="AN9119" s="149"/>
      <c r="AO9119" s="144"/>
      <c r="AP9119" s="148"/>
      <c r="AQ9119" s="144"/>
      <c r="AR9119" s="120"/>
      <c r="AS9119" s="121"/>
      <c r="AT9119" s="120"/>
      <c r="AU9119" s="121"/>
      <c r="AV9119" s="120"/>
      <c r="AW9119" s="121"/>
      <c r="AX9119" s="120"/>
      <c r="AY9119" s="121"/>
      <c r="AZ9119" s="138"/>
    </row>
    <row r="9120" spans="1:52" ht="17.100000000000001" customHeight="1" thickTop="1">
      <c r="A9120" s="109" t="s">
        <v>25849</v>
      </c>
      <c r="B9120" s="28">
        <v>46158</v>
      </c>
      <c r="C9120" s="25">
        <v>1300</v>
      </c>
      <c r="D9120" s="13" t="s">
        <v>3461</v>
      </c>
      <c r="E9120" s="111"/>
      <c r="F9120" s="113" t="s">
        <v>6960</v>
      </c>
      <c r="G9120" s="114"/>
      <c r="H9120" s="115"/>
      <c r="I9120" s="24" t="s">
        <v>22193</v>
      </c>
      <c r="J9120" s="116">
        <v>4.5</v>
      </c>
      <c r="K9120" s="118">
        <v>1019000</v>
      </c>
      <c r="L9120" s="119"/>
      <c r="M9120" s="118">
        <f t="shared" ref="M9120" si="14130">K9120*0.1</f>
        <v>101900</v>
      </c>
      <c r="N9120" s="119"/>
      <c r="O9120" s="118">
        <v>0</v>
      </c>
      <c r="P9120" s="119"/>
      <c r="Q9120" s="118">
        <v>7040</v>
      </c>
      <c r="R9120" s="119"/>
      <c r="S9120" s="118">
        <v>13200</v>
      </c>
      <c r="T9120" s="119"/>
      <c r="U9120" s="118">
        <f t="shared" ref="U9120" si="14131">SUM(K9120:T9121)</f>
        <v>1141140</v>
      </c>
      <c r="V9120" s="122"/>
      <c r="W9120" s="124"/>
      <c r="X9120" s="126" t="s">
        <v>25951</v>
      </c>
      <c r="Y9120" s="127"/>
      <c r="Z9120" s="127"/>
      <c r="AA9120" s="127"/>
      <c r="AB9120" s="128"/>
      <c r="AC9120" s="15" t="s">
        <v>20</v>
      </c>
      <c r="AD9120" s="129" t="s">
        <v>11853</v>
      </c>
      <c r="AE9120" s="130"/>
      <c r="AF9120" s="130"/>
      <c r="AG9120" s="130"/>
      <c r="AH9120" s="130"/>
      <c r="AI9120" s="131"/>
      <c r="AJ9120" s="132"/>
      <c r="AK9120" s="127"/>
      <c r="AL9120" s="128"/>
      <c r="AM9120" s="21"/>
      <c r="AN9120" s="133"/>
      <c r="AO9120" s="134"/>
      <c r="AP9120" s="135"/>
      <c r="AQ9120" s="136"/>
      <c r="AR9120" s="118"/>
      <c r="AS9120" s="119"/>
      <c r="AT9120" s="118">
        <f t="shared" ref="AT9120" si="14132">AR9120*0.1</f>
        <v>0</v>
      </c>
      <c r="AU9120" s="119"/>
      <c r="AV9120" s="118"/>
      <c r="AW9120" s="119"/>
      <c r="AX9120" s="118">
        <f t="shared" ref="AX9120" si="14133">SUM(AR9120:AW9120)</f>
        <v>0</v>
      </c>
      <c r="AY9120" s="119"/>
      <c r="AZ9120" s="137"/>
    </row>
    <row r="9121" spans="1:52" ht="17.100000000000001" customHeight="1" thickBot="1">
      <c r="A9121" s="110"/>
      <c r="B9121" s="27" t="s">
        <v>2511</v>
      </c>
      <c r="C9121" s="27">
        <v>65874</v>
      </c>
      <c r="D9121" s="14" t="s">
        <v>904</v>
      </c>
      <c r="E9121" s="112"/>
      <c r="F9121" s="139" t="s">
        <v>25873</v>
      </c>
      <c r="G9121" s="140"/>
      <c r="H9121" s="141"/>
      <c r="I9121" s="26">
        <v>31750</v>
      </c>
      <c r="J9121" s="117"/>
      <c r="K9121" s="120"/>
      <c r="L9121" s="121"/>
      <c r="M9121" s="120"/>
      <c r="N9121" s="121"/>
      <c r="O9121" s="120"/>
      <c r="P9121" s="121"/>
      <c r="Q9121" s="120"/>
      <c r="R9121" s="121"/>
      <c r="S9121" s="120"/>
      <c r="T9121" s="121"/>
      <c r="U9121" s="120"/>
      <c r="V9121" s="123"/>
      <c r="W9121" s="125"/>
      <c r="X9121" s="142"/>
      <c r="Y9121" s="143"/>
      <c r="Z9121" s="143"/>
      <c r="AA9121" s="143"/>
      <c r="AB9121" s="144"/>
      <c r="AC9121" s="16" t="s">
        <v>21</v>
      </c>
      <c r="AD9121" s="17"/>
      <c r="AE9121" s="145"/>
      <c r="AF9121" s="146"/>
      <c r="AG9121" s="146"/>
      <c r="AH9121" s="146"/>
      <c r="AI9121" s="147"/>
      <c r="AJ9121" s="148"/>
      <c r="AK9121" s="143"/>
      <c r="AL9121" s="144"/>
      <c r="AM9121" s="22"/>
      <c r="AN9121" s="149"/>
      <c r="AO9121" s="144"/>
      <c r="AP9121" s="148"/>
      <c r="AQ9121" s="144"/>
      <c r="AR9121" s="120"/>
      <c r="AS9121" s="121"/>
      <c r="AT9121" s="120"/>
      <c r="AU9121" s="121"/>
      <c r="AV9121" s="120"/>
      <c r="AW9121" s="121"/>
      <c r="AX9121" s="120"/>
      <c r="AY9121" s="121"/>
      <c r="AZ9121" s="138"/>
    </row>
    <row r="9122" spans="1:52" ht="17.100000000000001" customHeight="1" thickTop="1">
      <c r="A9122" s="109" t="s">
        <v>25850</v>
      </c>
      <c r="B9122" s="28">
        <v>46158</v>
      </c>
      <c r="C9122" s="25">
        <v>1300</v>
      </c>
      <c r="D9122" s="13" t="s">
        <v>1863</v>
      </c>
      <c r="E9122" s="111"/>
      <c r="F9122" s="113" t="s">
        <v>13622</v>
      </c>
      <c r="G9122" s="114"/>
      <c r="H9122" s="115"/>
      <c r="I9122" s="24"/>
      <c r="J9122" s="116">
        <v>4</v>
      </c>
      <c r="K9122" s="118">
        <v>710000</v>
      </c>
      <c r="L9122" s="119"/>
      <c r="M9122" s="118">
        <f t="shared" ref="M9122" si="14134">K9122*0.1</f>
        <v>71000</v>
      </c>
      <c r="N9122" s="119"/>
      <c r="O9122" s="118">
        <v>0</v>
      </c>
      <c r="P9122" s="119"/>
      <c r="Q9122" s="118">
        <v>8790</v>
      </c>
      <c r="R9122" s="119"/>
      <c r="S9122" s="118">
        <v>13200</v>
      </c>
      <c r="T9122" s="119"/>
      <c r="U9122" s="118">
        <f>710000+71000+8790+13200</f>
        <v>802990</v>
      </c>
      <c r="V9122" s="122"/>
      <c r="W9122" s="124"/>
      <c r="X9122" s="126"/>
      <c r="Y9122" s="127"/>
      <c r="Z9122" s="127"/>
      <c r="AA9122" s="127"/>
      <c r="AB9122" s="128"/>
      <c r="AC9122" s="15" t="s">
        <v>20</v>
      </c>
      <c r="AD9122" s="129"/>
      <c r="AE9122" s="130"/>
      <c r="AF9122" s="130"/>
      <c r="AG9122" s="130"/>
      <c r="AH9122" s="130"/>
      <c r="AI9122" s="131"/>
      <c r="AJ9122" s="132"/>
      <c r="AK9122" s="127"/>
      <c r="AL9122" s="128"/>
      <c r="AM9122" s="21"/>
      <c r="AN9122" s="133"/>
      <c r="AO9122" s="134"/>
      <c r="AP9122" s="135"/>
      <c r="AQ9122" s="136"/>
      <c r="AR9122" s="118"/>
      <c r="AS9122" s="119"/>
      <c r="AT9122" s="118">
        <f t="shared" ref="AT9122" si="14135">AR9122*0.1</f>
        <v>0</v>
      </c>
      <c r="AU9122" s="119"/>
      <c r="AV9122" s="118"/>
      <c r="AW9122" s="119"/>
      <c r="AX9122" s="118">
        <f t="shared" ref="AX9122" si="14136">SUM(AR9122:AW9122)</f>
        <v>0</v>
      </c>
      <c r="AY9122" s="119"/>
      <c r="AZ9122" s="137"/>
    </row>
    <row r="9123" spans="1:52" ht="17.100000000000001" customHeight="1" thickBot="1">
      <c r="A9123" s="110"/>
      <c r="B9123" s="27" t="s">
        <v>2511</v>
      </c>
      <c r="C9123" s="27">
        <v>65911</v>
      </c>
      <c r="D9123" s="14" t="s">
        <v>3327</v>
      </c>
      <c r="E9123" s="112"/>
      <c r="F9123" s="139" t="s">
        <v>25874</v>
      </c>
      <c r="G9123" s="140"/>
      <c r="H9123" s="141"/>
      <c r="I9123" s="26">
        <v>18542</v>
      </c>
      <c r="J9123" s="117"/>
      <c r="K9123" s="120"/>
      <c r="L9123" s="121"/>
      <c r="M9123" s="120"/>
      <c r="N9123" s="121"/>
      <c r="O9123" s="120"/>
      <c r="P9123" s="121"/>
      <c r="Q9123" s="120"/>
      <c r="R9123" s="121"/>
      <c r="S9123" s="120"/>
      <c r="T9123" s="121"/>
      <c r="U9123" s="120"/>
      <c r="V9123" s="123"/>
      <c r="W9123" s="125"/>
      <c r="X9123" s="142"/>
      <c r="Y9123" s="143"/>
      <c r="Z9123" s="143"/>
      <c r="AA9123" s="143"/>
      <c r="AB9123" s="144"/>
      <c r="AC9123" s="16" t="s">
        <v>21</v>
      </c>
      <c r="AD9123" s="17"/>
      <c r="AE9123" s="145"/>
      <c r="AF9123" s="146"/>
      <c r="AG9123" s="146"/>
      <c r="AH9123" s="146"/>
      <c r="AI9123" s="147"/>
      <c r="AJ9123" s="148"/>
      <c r="AK9123" s="143"/>
      <c r="AL9123" s="144"/>
      <c r="AM9123" s="22"/>
      <c r="AN9123" s="149"/>
      <c r="AO9123" s="144"/>
      <c r="AP9123" s="148"/>
      <c r="AQ9123" s="144"/>
      <c r="AR9123" s="120"/>
      <c r="AS9123" s="121"/>
      <c r="AT9123" s="120"/>
      <c r="AU9123" s="121"/>
      <c r="AV9123" s="120"/>
      <c r="AW9123" s="121"/>
      <c r="AX9123" s="120"/>
      <c r="AY9123" s="121"/>
      <c r="AZ9123" s="138"/>
    </row>
    <row r="9124" spans="1:52" ht="17.100000000000001" customHeight="1" thickTop="1">
      <c r="A9124" s="109" t="s">
        <v>25851</v>
      </c>
      <c r="B9124" s="28">
        <v>46158</v>
      </c>
      <c r="C9124" s="25">
        <v>1300</v>
      </c>
      <c r="D9124" s="13" t="s">
        <v>2689</v>
      </c>
      <c r="E9124" s="111"/>
      <c r="F9124" s="113" t="s">
        <v>25947</v>
      </c>
      <c r="G9124" s="114"/>
      <c r="H9124" s="115"/>
      <c r="I9124" s="24" t="s">
        <v>4048</v>
      </c>
      <c r="J9124" s="116">
        <v>4.5</v>
      </c>
      <c r="K9124" s="118">
        <v>2110000</v>
      </c>
      <c r="L9124" s="119"/>
      <c r="M9124" s="118">
        <f t="shared" ref="M9124" si="14137">K9124*0.1</f>
        <v>211000</v>
      </c>
      <c r="N9124" s="119"/>
      <c r="O9124" s="118">
        <f>30000+3000</f>
        <v>33000</v>
      </c>
      <c r="P9124" s="119"/>
      <c r="Q9124" s="118">
        <v>16360</v>
      </c>
      <c r="R9124" s="119"/>
      <c r="S9124" s="118">
        <v>16500</v>
      </c>
      <c r="T9124" s="119"/>
      <c r="U9124" s="118">
        <f t="shared" ref="U9124" si="14138">SUM(K9124:T9125)</f>
        <v>2386860</v>
      </c>
      <c r="V9124" s="122"/>
      <c r="W9124" s="124"/>
      <c r="X9124" s="126" t="s">
        <v>25949</v>
      </c>
      <c r="Y9124" s="127"/>
      <c r="Z9124" s="127"/>
      <c r="AA9124" s="127"/>
      <c r="AB9124" s="128"/>
      <c r="AC9124" s="15" t="s">
        <v>20</v>
      </c>
      <c r="AD9124" s="129" t="s">
        <v>25950</v>
      </c>
      <c r="AE9124" s="130"/>
      <c r="AF9124" s="130"/>
      <c r="AG9124" s="130"/>
      <c r="AH9124" s="130"/>
      <c r="AI9124" s="131"/>
      <c r="AJ9124" s="132"/>
      <c r="AK9124" s="127"/>
      <c r="AL9124" s="128"/>
      <c r="AM9124" s="21"/>
      <c r="AN9124" s="133"/>
      <c r="AO9124" s="134"/>
      <c r="AP9124" s="135"/>
      <c r="AQ9124" s="136"/>
      <c r="AR9124" s="118"/>
      <c r="AS9124" s="119"/>
      <c r="AT9124" s="118">
        <f t="shared" ref="AT9124" si="14139">AR9124*0.1</f>
        <v>0</v>
      </c>
      <c r="AU9124" s="119"/>
      <c r="AV9124" s="118"/>
      <c r="AW9124" s="119"/>
      <c r="AX9124" s="118">
        <f t="shared" ref="AX9124" si="14140">SUM(AR9124:AW9124)</f>
        <v>0</v>
      </c>
      <c r="AY9124" s="119"/>
      <c r="AZ9124" s="137"/>
    </row>
    <row r="9125" spans="1:52" ht="17.100000000000001" customHeight="1" thickBot="1">
      <c r="A9125" s="110"/>
      <c r="B9125" s="27" t="s">
        <v>2511</v>
      </c>
      <c r="C9125" s="27">
        <v>82007</v>
      </c>
      <c r="D9125" s="14" t="s">
        <v>133</v>
      </c>
      <c r="E9125" s="112"/>
      <c r="F9125" s="139" t="s">
        <v>25948</v>
      </c>
      <c r="G9125" s="140"/>
      <c r="H9125" s="141"/>
      <c r="I9125" s="26">
        <v>52359</v>
      </c>
      <c r="J9125" s="117"/>
      <c r="K9125" s="120"/>
      <c r="L9125" s="121"/>
      <c r="M9125" s="120"/>
      <c r="N9125" s="121"/>
      <c r="O9125" s="120"/>
      <c r="P9125" s="121"/>
      <c r="Q9125" s="120"/>
      <c r="R9125" s="121"/>
      <c r="S9125" s="120"/>
      <c r="T9125" s="121"/>
      <c r="U9125" s="120"/>
      <c r="V9125" s="123"/>
      <c r="W9125" s="125"/>
      <c r="X9125" s="142"/>
      <c r="Y9125" s="143"/>
      <c r="Z9125" s="143"/>
      <c r="AA9125" s="143"/>
      <c r="AB9125" s="144"/>
      <c r="AC9125" s="16" t="s">
        <v>21</v>
      </c>
      <c r="AD9125" s="17"/>
      <c r="AE9125" s="145"/>
      <c r="AF9125" s="146"/>
      <c r="AG9125" s="146"/>
      <c r="AH9125" s="146"/>
      <c r="AI9125" s="147"/>
      <c r="AJ9125" s="148"/>
      <c r="AK9125" s="143"/>
      <c r="AL9125" s="144"/>
      <c r="AM9125" s="22"/>
      <c r="AN9125" s="149"/>
      <c r="AO9125" s="144"/>
      <c r="AP9125" s="148"/>
      <c r="AQ9125" s="144"/>
      <c r="AR9125" s="120"/>
      <c r="AS9125" s="121"/>
      <c r="AT9125" s="120"/>
      <c r="AU9125" s="121"/>
      <c r="AV9125" s="120"/>
      <c r="AW9125" s="121"/>
      <c r="AX9125" s="120"/>
      <c r="AY9125" s="121"/>
      <c r="AZ9125" s="138"/>
    </row>
    <row r="9126" spans="1:52" ht="17.100000000000001" customHeight="1" thickTop="1">
      <c r="A9126" s="109" t="s">
        <v>25852</v>
      </c>
      <c r="B9126" s="28">
        <v>46158</v>
      </c>
      <c r="C9126" s="25">
        <v>1300</v>
      </c>
      <c r="D9126" s="13" t="s">
        <v>3386</v>
      </c>
      <c r="E9126" s="111"/>
      <c r="F9126" s="113" t="s">
        <v>25944</v>
      </c>
      <c r="G9126" s="114"/>
      <c r="H9126" s="115"/>
      <c r="I9126" s="24" t="s">
        <v>4096</v>
      </c>
      <c r="J9126" s="116">
        <v>5</v>
      </c>
      <c r="K9126" s="118">
        <v>2070000</v>
      </c>
      <c r="L9126" s="119"/>
      <c r="M9126" s="118">
        <f t="shared" ref="M9126" si="14141">K9126*0.1</f>
        <v>207000</v>
      </c>
      <c r="N9126" s="119"/>
      <c r="O9126" s="118">
        <v>33000</v>
      </c>
      <c r="P9126" s="119"/>
      <c r="Q9126" s="118">
        <v>23260</v>
      </c>
      <c r="R9126" s="119"/>
      <c r="S9126" s="118">
        <v>16500</v>
      </c>
      <c r="T9126" s="119"/>
      <c r="U9126" s="118">
        <f t="shared" ref="U9126" si="14142">SUM(K9126:T9127)</f>
        <v>2349760</v>
      </c>
      <c r="V9126" s="122"/>
      <c r="W9126" s="124"/>
      <c r="X9126" s="126" t="s">
        <v>25946</v>
      </c>
      <c r="Y9126" s="127"/>
      <c r="Z9126" s="127"/>
      <c r="AA9126" s="127"/>
      <c r="AB9126" s="128"/>
      <c r="AC9126" s="15" t="s">
        <v>20</v>
      </c>
      <c r="AD9126" s="129" t="s">
        <v>1565</v>
      </c>
      <c r="AE9126" s="130"/>
      <c r="AF9126" s="130"/>
      <c r="AG9126" s="130"/>
      <c r="AH9126" s="130"/>
      <c r="AI9126" s="131"/>
      <c r="AJ9126" s="132"/>
      <c r="AK9126" s="127"/>
      <c r="AL9126" s="128"/>
      <c r="AM9126" s="21"/>
      <c r="AN9126" s="133"/>
      <c r="AO9126" s="134"/>
      <c r="AP9126" s="135"/>
      <c r="AQ9126" s="136"/>
      <c r="AR9126" s="118"/>
      <c r="AS9126" s="119"/>
      <c r="AT9126" s="118">
        <f t="shared" ref="AT9126" si="14143">AR9126*0.1</f>
        <v>0</v>
      </c>
      <c r="AU9126" s="119"/>
      <c r="AV9126" s="118"/>
      <c r="AW9126" s="119"/>
      <c r="AX9126" s="118">
        <f t="shared" ref="AX9126" si="14144">SUM(AR9126:AW9126)</f>
        <v>0</v>
      </c>
      <c r="AY9126" s="119"/>
      <c r="AZ9126" s="137"/>
    </row>
    <row r="9127" spans="1:52" ht="17.100000000000001" customHeight="1" thickBot="1">
      <c r="A9127" s="110"/>
      <c r="B9127" s="27" t="s">
        <v>2511</v>
      </c>
      <c r="C9127" s="27">
        <v>82169</v>
      </c>
      <c r="D9127" s="14" t="s">
        <v>2601</v>
      </c>
      <c r="E9127" s="112"/>
      <c r="F9127" s="139" t="s">
        <v>25945</v>
      </c>
      <c r="G9127" s="140"/>
      <c r="H9127" s="141"/>
      <c r="I9127" s="26">
        <v>34200</v>
      </c>
      <c r="J9127" s="117"/>
      <c r="K9127" s="120"/>
      <c r="L9127" s="121"/>
      <c r="M9127" s="120"/>
      <c r="N9127" s="121"/>
      <c r="O9127" s="120"/>
      <c r="P9127" s="121"/>
      <c r="Q9127" s="120"/>
      <c r="R9127" s="121"/>
      <c r="S9127" s="120"/>
      <c r="T9127" s="121"/>
      <c r="U9127" s="120"/>
      <c r="V9127" s="123"/>
      <c r="W9127" s="125"/>
      <c r="X9127" s="142"/>
      <c r="Y9127" s="143"/>
      <c r="Z9127" s="143"/>
      <c r="AA9127" s="143"/>
      <c r="AB9127" s="144"/>
      <c r="AC9127" s="16" t="s">
        <v>21</v>
      </c>
      <c r="AD9127" s="17"/>
      <c r="AE9127" s="145"/>
      <c r="AF9127" s="146"/>
      <c r="AG9127" s="146"/>
      <c r="AH9127" s="146"/>
      <c r="AI9127" s="147"/>
      <c r="AJ9127" s="148"/>
      <c r="AK9127" s="143"/>
      <c r="AL9127" s="144"/>
      <c r="AM9127" s="22"/>
      <c r="AN9127" s="149"/>
      <c r="AO9127" s="144"/>
      <c r="AP9127" s="148"/>
      <c r="AQ9127" s="144"/>
      <c r="AR9127" s="120"/>
      <c r="AS9127" s="121"/>
      <c r="AT9127" s="120"/>
      <c r="AU9127" s="121"/>
      <c r="AV9127" s="120"/>
      <c r="AW9127" s="121"/>
      <c r="AX9127" s="120"/>
      <c r="AY9127" s="121"/>
      <c r="AZ9127" s="138"/>
    </row>
    <row r="9128" spans="1:52" ht="17.100000000000001" customHeight="1" thickTop="1">
      <c r="A9128" s="109" t="s">
        <v>25853</v>
      </c>
      <c r="B9128" s="28">
        <v>46158</v>
      </c>
      <c r="C9128" s="25">
        <v>1300</v>
      </c>
      <c r="D9128" s="13" t="s">
        <v>1853</v>
      </c>
      <c r="E9128" s="111"/>
      <c r="F9128" s="113" t="s">
        <v>25875</v>
      </c>
      <c r="G9128" s="114"/>
      <c r="H9128" s="115"/>
      <c r="I9128" s="24" t="s">
        <v>14577</v>
      </c>
      <c r="J9128" s="116">
        <v>3.5</v>
      </c>
      <c r="K9128" s="118">
        <v>1000000</v>
      </c>
      <c r="L9128" s="119"/>
      <c r="M9128" s="118">
        <f t="shared" ref="M9128" si="14145">K9128*0.1</f>
        <v>100000</v>
      </c>
      <c r="N9128" s="119"/>
      <c r="O9128" s="118">
        <f>25400+2540</f>
        <v>27940</v>
      </c>
      <c r="P9128" s="119"/>
      <c r="Q9128" s="118">
        <v>19090</v>
      </c>
      <c r="R9128" s="119"/>
      <c r="S9128" s="118">
        <v>23100</v>
      </c>
      <c r="T9128" s="119"/>
      <c r="U9128" s="118">
        <f t="shared" ref="U9128" si="14146">SUM(K9128:T9129)</f>
        <v>1170130</v>
      </c>
      <c r="V9128" s="122"/>
      <c r="W9128" s="124"/>
      <c r="X9128" s="126" t="s">
        <v>25943</v>
      </c>
      <c r="Y9128" s="127"/>
      <c r="Z9128" s="127"/>
      <c r="AA9128" s="127"/>
      <c r="AB9128" s="128"/>
      <c r="AC9128" s="15" t="s">
        <v>20</v>
      </c>
      <c r="AD9128" s="129" t="s">
        <v>1945</v>
      </c>
      <c r="AE9128" s="130"/>
      <c r="AF9128" s="130"/>
      <c r="AG9128" s="130"/>
      <c r="AH9128" s="130"/>
      <c r="AI9128" s="131"/>
      <c r="AJ9128" s="132"/>
      <c r="AK9128" s="127"/>
      <c r="AL9128" s="128"/>
      <c r="AM9128" s="21"/>
      <c r="AN9128" s="133"/>
      <c r="AO9128" s="134"/>
      <c r="AP9128" s="135"/>
      <c r="AQ9128" s="136"/>
      <c r="AR9128" s="118"/>
      <c r="AS9128" s="119"/>
      <c r="AT9128" s="118">
        <f t="shared" ref="AT9128" si="14147">AR9128*0.1</f>
        <v>0</v>
      </c>
      <c r="AU9128" s="119"/>
      <c r="AV9128" s="118"/>
      <c r="AW9128" s="119"/>
      <c r="AX9128" s="118">
        <f t="shared" ref="AX9128" si="14148">SUM(AR9128:AW9128)</f>
        <v>0</v>
      </c>
      <c r="AY9128" s="119"/>
      <c r="AZ9128" s="137"/>
    </row>
    <row r="9129" spans="1:52" ht="17.100000000000001" customHeight="1" thickBot="1">
      <c r="A9129" s="110"/>
      <c r="B9129" s="27" t="s">
        <v>2511</v>
      </c>
      <c r="C9129" s="27">
        <v>82419</v>
      </c>
      <c r="D9129" s="14" t="s">
        <v>1812</v>
      </c>
      <c r="E9129" s="112"/>
      <c r="F9129" s="139" t="s">
        <v>25942</v>
      </c>
      <c r="G9129" s="140"/>
      <c r="H9129" s="141"/>
      <c r="I9129" s="26">
        <v>64812</v>
      </c>
      <c r="J9129" s="117"/>
      <c r="K9129" s="120"/>
      <c r="L9129" s="121"/>
      <c r="M9129" s="120"/>
      <c r="N9129" s="121"/>
      <c r="O9129" s="120"/>
      <c r="P9129" s="121"/>
      <c r="Q9129" s="120"/>
      <c r="R9129" s="121"/>
      <c r="S9129" s="120"/>
      <c r="T9129" s="121"/>
      <c r="U9129" s="120"/>
      <c r="V9129" s="123"/>
      <c r="W9129" s="125"/>
      <c r="X9129" s="142"/>
      <c r="Y9129" s="143"/>
      <c r="Z9129" s="143"/>
      <c r="AA9129" s="143"/>
      <c r="AB9129" s="144"/>
      <c r="AC9129" s="16" t="s">
        <v>21</v>
      </c>
      <c r="AD9129" s="17"/>
      <c r="AE9129" s="145"/>
      <c r="AF9129" s="146"/>
      <c r="AG9129" s="146"/>
      <c r="AH9129" s="146"/>
      <c r="AI9129" s="147"/>
      <c r="AJ9129" s="148"/>
      <c r="AK9129" s="143"/>
      <c r="AL9129" s="144"/>
      <c r="AM9129" s="22"/>
      <c r="AN9129" s="149"/>
      <c r="AO9129" s="144"/>
      <c r="AP9129" s="148"/>
      <c r="AQ9129" s="144"/>
      <c r="AR9129" s="120"/>
      <c r="AS9129" s="121"/>
      <c r="AT9129" s="120"/>
      <c r="AU9129" s="121"/>
      <c r="AV9129" s="120"/>
      <c r="AW9129" s="121"/>
      <c r="AX9129" s="120"/>
      <c r="AY9129" s="121"/>
      <c r="AZ9129" s="138"/>
    </row>
    <row r="9130" spans="1:52" ht="17.100000000000001" customHeight="1" thickTop="1">
      <c r="A9130" s="109" t="s">
        <v>25854</v>
      </c>
      <c r="B9130" s="28">
        <v>46158</v>
      </c>
      <c r="C9130" s="25">
        <v>1300</v>
      </c>
      <c r="D9130" s="13" t="s">
        <v>2606</v>
      </c>
      <c r="E9130" s="111"/>
      <c r="F9130" s="113" t="s">
        <v>13808</v>
      </c>
      <c r="G9130" s="114"/>
      <c r="H9130" s="115"/>
      <c r="I9130" s="24" t="s">
        <v>12190</v>
      </c>
      <c r="J9130" s="116">
        <v>4.5</v>
      </c>
      <c r="K9130" s="118">
        <v>500000</v>
      </c>
      <c r="L9130" s="119"/>
      <c r="M9130" s="118">
        <f t="shared" ref="M9130" si="14149">K9130*0.1</f>
        <v>50000</v>
      </c>
      <c r="N9130" s="119"/>
      <c r="O9130" s="118">
        <f>20800+2080</f>
        <v>22880</v>
      </c>
      <c r="P9130" s="119"/>
      <c r="Q9130" s="118">
        <v>11930</v>
      </c>
      <c r="R9130" s="119"/>
      <c r="S9130" s="118">
        <v>23100</v>
      </c>
      <c r="T9130" s="119"/>
      <c r="U9130" s="118">
        <f t="shared" ref="U9130" si="14150">SUM(K9130:T9131)</f>
        <v>607910</v>
      </c>
      <c r="V9130" s="122"/>
      <c r="W9130" s="124"/>
      <c r="X9130" s="126" t="s">
        <v>25941</v>
      </c>
      <c r="Y9130" s="127"/>
      <c r="Z9130" s="127"/>
      <c r="AA9130" s="127"/>
      <c r="AB9130" s="128"/>
      <c r="AC9130" s="15" t="s">
        <v>20</v>
      </c>
      <c r="AD9130" s="129" t="s">
        <v>1670</v>
      </c>
      <c r="AE9130" s="130"/>
      <c r="AF9130" s="130"/>
      <c r="AG9130" s="130"/>
      <c r="AH9130" s="130"/>
      <c r="AI9130" s="131"/>
      <c r="AJ9130" s="132"/>
      <c r="AK9130" s="127"/>
      <c r="AL9130" s="128"/>
      <c r="AM9130" s="21"/>
      <c r="AN9130" s="133"/>
      <c r="AO9130" s="134"/>
      <c r="AP9130" s="135"/>
      <c r="AQ9130" s="136"/>
      <c r="AR9130" s="118"/>
      <c r="AS9130" s="119"/>
      <c r="AT9130" s="118">
        <f t="shared" ref="AT9130" si="14151">AR9130*0.1</f>
        <v>0</v>
      </c>
      <c r="AU9130" s="119"/>
      <c r="AV9130" s="118"/>
      <c r="AW9130" s="119"/>
      <c r="AX9130" s="118">
        <f t="shared" ref="AX9130" si="14152">SUM(AR9130:AW9130)</f>
        <v>0</v>
      </c>
      <c r="AY9130" s="119"/>
      <c r="AZ9130" s="137"/>
    </row>
    <row r="9131" spans="1:52" ht="17.100000000000001" customHeight="1" thickBot="1">
      <c r="A9131" s="110"/>
      <c r="B9131" s="27" t="s">
        <v>2511</v>
      </c>
      <c r="C9131" s="27">
        <v>82469</v>
      </c>
      <c r="D9131" s="14" t="s">
        <v>904</v>
      </c>
      <c r="E9131" s="112"/>
      <c r="F9131" s="139" t="s">
        <v>25940</v>
      </c>
      <c r="G9131" s="140"/>
      <c r="H9131" s="141"/>
      <c r="I9131" s="26">
        <v>55210</v>
      </c>
      <c r="J9131" s="117"/>
      <c r="K9131" s="120"/>
      <c r="L9131" s="121"/>
      <c r="M9131" s="120"/>
      <c r="N9131" s="121"/>
      <c r="O9131" s="120"/>
      <c r="P9131" s="121"/>
      <c r="Q9131" s="120"/>
      <c r="R9131" s="121"/>
      <c r="S9131" s="120"/>
      <c r="T9131" s="121"/>
      <c r="U9131" s="120"/>
      <c r="V9131" s="123"/>
      <c r="W9131" s="125"/>
      <c r="X9131" s="142"/>
      <c r="Y9131" s="143"/>
      <c r="Z9131" s="143"/>
      <c r="AA9131" s="143"/>
      <c r="AB9131" s="144"/>
      <c r="AC9131" s="16" t="s">
        <v>21</v>
      </c>
      <c r="AD9131" s="17"/>
      <c r="AE9131" s="145"/>
      <c r="AF9131" s="146"/>
      <c r="AG9131" s="146"/>
      <c r="AH9131" s="146"/>
      <c r="AI9131" s="147"/>
      <c r="AJ9131" s="148"/>
      <c r="AK9131" s="143"/>
      <c r="AL9131" s="144"/>
      <c r="AM9131" s="22"/>
      <c r="AN9131" s="149"/>
      <c r="AO9131" s="144"/>
      <c r="AP9131" s="148"/>
      <c r="AQ9131" s="144"/>
      <c r="AR9131" s="120"/>
      <c r="AS9131" s="121"/>
      <c r="AT9131" s="120"/>
      <c r="AU9131" s="121"/>
      <c r="AV9131" s="120"/>
      <c r="AW9131" s="121"/>
      <c r="AX9131" s="120"/>
      <c r="AY9131" s="121"/>
      <c r="AZ9131" s="138"/>
    </row>
    <row r="9132" spans="1:52" ht="17.100000000000001" customHeight="1" thickTop="1">
      <c r="A9132" s="109" t="s">
        <v>25855</v>
      </c>
      <c r="B9132" s="28">
        <v>46158</v>
      </c>
      <c r="C9132" s="25">
        <v>1300</v>
      </c>
      <c r="D9132" s="13" t="s">
        <v>2135</v>
      </c>
      <c r="E9132" s="111"/>
      <c r="F9132" s="113" t="s">
        <v>25876</v>
      </c>
      <c r="G9132" s="114"/>
      <c r="H9132" s="115"/>
      <c r="I9132" s="24" t="s">
        <v>4193</v>
      </c>
      <c r="J9132" s="116">
        <v>4</v>
      </c>
      <c r="K9132" s="118">
        <v>1170000</v>
      </c>
      <c r="L9132" s="119"/>
      <c r="M9132" s="118">
        <f t="shared" ref="M9132" si="14153">K9132*0.1</f>
        <v>117000</v>
      </c>
      <c r="N9132" s="119"/>
      <c r="O9132" s="118">
        <f>28700+2870</f>
        <v>31570</v>
      </c>
      <c r="P9132" s="119"/>
      <c r="Q9132" s="118">
        <v>19330</v>
      </c>
      <c r="R9132" s="119"/>
      <c r="S9132" s="118">
        <v>16500</v>
      </c>
      <c r="T9132" s="119"/>
      <c r="U9132" s="118">
        <f t="shared" ref="U9132" si="14154">SUM(K9132:T9133)</f>
        <v>1354400</v>
      </c>
      <c r="V9132" s="122"/>
      <c r="W9132" s="124"/>
      <c r="X9132" s="126" t="s">
        <v>25939</v>
      </c>
      <c r="Y9132" s="127"/>
      <c r="Z9132" s="127"/>
      <c r="AA9132" s="127"/>
      <c r="AB9132" s="128"/>
      <c r="AC9132" s="15" t="s">
        <v>20</v>
      </c>
      <c r="AD9132" s="129" t="s">
        <v>1575</v>
      </c>
      <c r="AE9132" s="130"/>
      <c r="AF9132" s="130"/>
      <c r="AG9132" s="130"/>
      <c r="AH9132" s="130"/>
      <c r="AI9132" s="131"/>
      <c r="AJ9132" s="132"/>
      <c r="AK9132" s="127"/>
      <c r="AL9132" s="128"/>
      <c r="AM9132" s="21"/>
      <c r="AN9132" s="133"/>
      <c r="AO9132" s="134"/>
      <c r="AP9132" s="135"/>
      <c r="AQ9132" s="136"/>
      <c r="AR9132" s="118"/>
      <c r="AS9132" s="119"/>
      <c r="AT9132" s="118">
        <f t="shared" ref="AT9132" si="14155">AR9132*0.1</f>
        <v>0</v>
      </c>
      <c r="AU9132" s="119"/>
      <c r="AV9132" s="118"/>
      <c r="AW9132" s="119"/>
      <c r="AX9132" s="118">
        <f t="shared" ref="AX9132" si="14156">SUM(AR9132:AW9132)</f>
        <v>0</v>
      </c>
      <c r="AY9132" s="119"/>
      <c r="AZ9132" s="137"/>
    </row>
    <row r="9133" spans="1:52" ht="17.100000000000001" customHeight="1" thickBot="1">
      <c r="A9133" s="110"/>
      <c r="B9133" s="27" t="s">
        <v>2511</v>
      </c>
      <c r="C9133" s="27">
        <v>82916</v>
      </c>
      <c r="D9133" s="14" t="s">
        <v>1592</v>
      </c>
      <c r="E9133" s="112"/>
      <c r="F9133" s="139" t="s">
        <v>25938</v>
      </c>
      <c r="G9133" s="140"/>
      <c r="H9133" s="141"/>
      <c r="I9133" s="26">
        <v>58258</v>
      </c>
      <c r="J9133" s="117"/>
      <c r="K9133" s="120"/>
      <c r="L9133" s="121"/>
      <c r="M9133" s="120"/>
      <c r="N9133" s="121"/>
      <c r="O9133" s="120"/>
      <c r="P9133" s="121"/>
      <c r="Q9133" s="120"/>
      <c r="R9133" s="121"/>
      <c r="S9133" s="120"/>
      <c r="T9133" s="121"/>
      <c r="U9133" s="120"/>
      <c r="V9133" s="123"/>
      <c r="W9133" s="125"/>
      <c r="X9133" s="142"/>
      <c r="Y9133" s="143"/>
      <c r="Z9133" s="143"/>
      <c r="AA9133" s="143"/>
      <c r="AB9133" s="144"/>
      <c r="AC9133" s="16" t="s">
        <v>21</v>
      </c>
      <c r="AD9133" s="17"/>
      <c r="AE9133" s="145"/>
      <c r="AF9133" s="146"/>
      <c r="AG9133" s="146"/>
      <c r="AH9133" s="146"/>
      <c r="AI9133" s="147"/>
      <c r="AJ9133" s="148"/>
      <c r="AK9133" s="143"/>
      <c r="AL9133" s="144"/>
      <c r="AM9133" s="22"/>
      <c r="AN9133" s="149"/>
      <c r="AO9133" s="144"/>
      <c r="AP9133" s="148"/>
      <c r="AQ9133" s="144"/>
      <c r="AR9133" s="120"/>
      <c r="AS9133" s="121"/>
      <c r="AT9133" s="120"/>
      <c r="AU9133" s="121"/>
      <c r="AV9133" s="120"/>
      <c r="AW9133" s="121"/>
      <c r="AX9133" s="120"/>
      <c r="AY9133" s="121"/>
      <c r="AZ9133" s="138"/>
    </row>
    <row r="9134" spans="1:52" ht="17.100000000000001" customHeight="1" thickTop="1">
      <c r="A9134" s="109" t="s">
        <v>25856</v>
      </c>
      <c r="B9134" s="28">
        <v>46160</v>
      </c>
      <c r="C9134" s="25"/>
      <c r="D9134" s="13" t="s">
        <v>1712</v>
      </c>
      <c r="E9134" s="111"/>
      <c r="F9134" s="113" t="s">
        <v>4559</v>
      </c>
      <c r="G9134" s="114"/>
      <c r="H9134" s="115"/>
      <c r="I9134" s="24" t="s">
        <v>2956</v>
      </c>
      <c r="J9134" s="116">
        <v>4</v>
      </c>
      <c r="K9134" s="118">
        <v>671000</v>
      </c>
      <c r="L9134" s="119"/>
      <c r="M9134" s="118">
        <f t="shared" ref="M9134" si="14157">K9134*0.1</f>
        <v>67100</v>
      </c>
      <c r="N9134" s="119"/>
      <c r="O9134" s="118">
        <f>28700+2870</f>
        <v>31570</v>
      </c>
      <c r="P9134" s="119"/>
      <c r="Q9134" s="118">
        <v>17700</v>
      </c>
      <c r="R9134" s="119"/>
      <c r="S9134" s="118">
        <v>15950</v>
      </c>
      <c r="T9134" s="119"/>
      <c r="U9134" s="118">
        <f t="shared" ref="U9134" si="14158">SUM(K9134:T9135)</f>
        <v>803320</v>
      </c>
      <c r="V9134" s="122"/>
      <c r="W9134" s="124"/>
      <c r="X9134" s="126" t="s">
        <v>25879</v>
      </c>
      <c r="Y9134" s="127"/>
      <c r="Z9134" s="127"/>
      <c r="AA9134" s="127"/>
      <c r="AB9134" s="128"/>
      <c r="AC9134" s="15" t="s">
        <v>20</v>
      </c>
      <c r="AD9134" s="129"/>
      <c r="AE9134" s="130"/>
      <c r="AF9134" s="130"/>
      <c r="AG9134" s="130"/>
      <c r="AH9134" s="130"/>
      <c r="AI9134" s="131"/>
      <c r="AJ9134" s="132"/>
      <c r="AK9134" s="127"/>
      <c r="AL9134" s="128"/>
      <c r="AM9134" s="21"/>
      <c r="AN9134" s="133"/>
      <c r="AO9134" s="134"/>
      <c r="AP9134" s="135"/>
      <c r="AQ9134" s="136"/>
      <c r="AR9134" s="118"/>
      <c r="AS9134" s="119"/>
      <c r="AT9134" s="118">
        <f t="shared" ref="AT9134" si="14159">AR9134*0.1</f>
        <v>0</v>
      </c>
      <c r="AU9134" s="119"/>
      <c r="AV9134" s="118"/>
      <c r="AW9134" s="119"/>
      <c r="AX9134" s="118">
        <f t="shared" ref="AX9134" si="14160">SUM(AR9134:AW9134)</f>
        <v>0</v>
      </c>
      <c r="AY9134" s="119"/>
      <c r="AZ9134" s="137"/>
    </row>
    <row r="9135" spans="1:52" ht="17.100000000000001" customHeight="1" thickBot="1">
      <c r="A9135" s="110"/>
      <c r="B9135" s="27" t="s">
        <v>4475</v>
      </c>
      <c r="C9135" s="27">
        <v>80060</v>
      </c>
      <c r="D9135" s="14" t="s">
        <v>1576</v>
      </c>
      <c r="E9135" s="112"/>
      <c r="F9135" s="139" t="s">
        <v>25878</v>
      </c>
      <c r="G9135" s="140"/>
      <c r="H9135" s="141"/>
      <c r="I9135" s="26">
        <v>56461</v>
      </c>
      <c r="J9135" s="117"/>
      <c r="K9135" s="120"/>
      <c r="L9135" s="121"/>
      <c r="M9135" s="120"/>
      <c r="N9135" s="121"/>
      <c r="O9135" s="120"/>
      <c r="P9135" s="121"/>
      <c r="Q9135" s="120"/>
      <c r="R9135" s="121"/>
      <c r="S9135" s="120"/>
      <c r="T9135" s="121"/>
      <c r="U9135" s="120"/>
      <c r="V9135" s="123"/>
      <c r="W9135" s="125"/>
      <c r="X9135" s="142"/>
      <c r="Y9135" s="143"/>
      <c r="Z9135" s="143"/>
      <c r="AA9135" s="143"/>
      <c r="AB9135" s="144"/>
      <c r="AC9135" s="16" t="s">
        <v>21</v>
      </c>
      <c r="AD9135" s="17"/>
      <c r="AE9135" s="145"/>
      <c r="AF9135" s="146"/>
      <c r="AG9135" s="146"/>
      <c r="AH9135" s="146"/>
      <c r="AI9135" s="147"/>
      <c r="AJ9135" s="148"/>
      <c r="AK9135" s="143"/>
      <c r="AL9135" s="144"/>
      <c r="AM9135" s="22"/>
      <c r="AN9135" s="149"/>
      <c r="AO9135" s="144"/>
      <c r="AP9135" s="148"/>
      <c r="AQ9135" s="144"/>
      <c r="AR9135" s="120"/>
      <c r="AS9135" s="121"/>
      <c r="AT9135" s="120"/>
      <c r="AU9135" s="121"/>
      <c r="AV9135" s="120"/>
      <c r="AW9135" s="121"/>
      <c r="AX9135" s="120"/>
      <c r="AY9135" s="121"/>
      <c r="AZ9135" s="138"/>
    </row>
    <row r="9136" spans="1:52" ht="17.100000000000001" customHeight="1" thickTop="1">
      <c r="A9136" s="109" t="s">
        <v>25999</v>
      </c>
      <c r="B9136" s="28">
        <v>46160</v>
      </c>
      <c r="C9136" s="25"/>
      <c r="D9136" s="13" t="s">
        <v>1686</v>
      </c>
      <c r="E9136" s="111"/>
      <c r="F9136" s="113" t="s">
        <v>25967</v>
      </c>
      <c r="G9136" s="114"/>
      <c r="H9136" s="115"/>
      <c r="I9136" s="24"/>
      <c r="J9136" s="116">
        <v>4</v>
      </c>
      <c r="K9136" s="118">
        <v>744000</v>
      </c>
      <c r="L9136" s="119"/>
      <c r="M9136" s="118">
        <f t="shared" ref="M9136" si="14161">K9136*0.1</f>
        <v>74400</v>
      </c>
      <c r="N9136" s="119"/>
      <c r="O9136" s="118">
        <v>0</v>
      </c>
      <c r="P9136" s="119"/>
      <c r="Q9136" s="118">
        <v>19440</v>
      </c>
      <c r="R9136" s="119"/>
      <c r="S9136" s="118">
        <v>15950</v>
      </c>
      <c r="T9136" s="119"/>
      <c r="U9136" s="118">
        <f t="shared" ref="U9136" si="14162">SUM(K9136:T9137)</f>
        <v>853790</v>
      </c>
      <c r="V9136" s="122"/>
      <c r="W9136" s="124"/>
      <c r="X9136" s="126"/>
      <c r="Y9136" s="127"/>
      <c r="Z9136" s="127"/>
      <c r="AA9136" s="127"/>
      <c r="AB9136" s="128"/>
      <c r="AC9136" s="15" t="s">
        <v>20</v>
      </c>
      <c r="AD9136" s="129"/>
      <c r="AE9136" s="130"/>
      <c r="AF9136" s="130"/>
      <c r="AG9136" s="130"/>
      <c r="AH9136" s="130"/>
      <c r="AI9136" s="131"/>
      <c r="AJ9136" s="132"/>
      <c r="AK9136" s="127"/>
      <c r="AL9136" s="128"/>
      <c r="AM9136" s="21"/>
      <c r="AN9136" s="133"/>
      <c r="AO9136" s="134"/>
      <c r="AP9136" s="135"/>
      <c r="AQ9136" s="136"/>
      <c r="AR9136" s="118"/>
      <c r="AS9136" s="119"/>
      <c r="AT9136" s="118">
        <f t="shared" ref="AT9136" si="14163">AR9136*0.1</f>
        <v>0</v>
      </c>
      <c r="AU9136" s="119"/>
      <c r="AV9136" s="118"/>
      <c r="AW9136" s="119"/>
      <c r="AX9136" s="118">
        <f t="shared" ref="AX9136" si="14164">SUM(AR9136:AW9136)</f>
        <v>0</v>
      </c>
      <c r="AY9136" s="119"/>
      <c r="AZ9136" s="137"/>
    </row>
    <row r="9137" spans="1:52" ht="17.100000000000001" customHeight="1" thickBot="1">
      <c r="A9137" s="110"/>
      <c r="B9137" s="27" t="s">
        <v>4475</v>
      </c>
      <c r="C9137" s="27">
        <v>80253</v>
      </c>
      <c r="D9137" s="14" t="s">
        <v>3327</v>
      </c>
      <c r="E9137" s="112"/>
      <c r="F9137" s="139" t="s">
        <v>25968</v>
      </c>
      <c r="G9137" s="140"/>
      <c r="H9137" s="141"/>
      <c r="I9137" s="26">
        <v>48969</v>
      </c>
      <c r="J9137" s="117"/>
      <c r="K9137" s="120"/>
      <c r="L9137" s="121"/>
      <c r="M9137" s="120"/>
      <c r="N9137" s="121"/>
      <c r="O9137" s="120"/>
      <c r="P9137" s="121"/>
      <c r="Q9137" s="120"/>
      <c r="R9137" s="121"/>
      <c r="S9137" s="120"/>
      <c r="T9137" s="121"/>
      <c r="U9137" s="120"/>
      <c r="V9137" s="123"/>
      <c r="W9137" s="125"/>
      <c r="X9137" s="142"/>
      <c r="Y9137" s="143"/>
      <c r="Z9137" s="143"/>
      <c r="AA9137" s="143"/>
      <c r="AB9137" s="144"/>
      <c r="AC9137" s="16" t="s">
        <v>21</v>
      </c>
      <c r="AD9137" s="17"/>
      <c r="AE9137" s="145"/>
      <c r="AF9137" s="146"/>
      <c r="AG9137" s="146"/>
      <c r="AH9137" s="146"/>
      <c r="AI9137" s="147"/>
      <c r="AJ9137" s="148"/>
      <c r="AK9137" s="143"/>
      <c r="AL9137" s="144"/>
      <c r="AM9137" s="22"/>
      <c r="AN9137" s="149"/>
      <c r="AO9137" s="144"/>
      <c r="AP9137" s="148"/>
      <c r="AQ9137" s="144"/>
      <c r="AR9137" s="120"/>
      <c r="AS9137" s="121"/>
      <c r="AT9137" s="120"/>
      <c r="AU9137" s="121"/>
      <c r="AV9137" s="120"/>
      <c r="AW9137" s="121"/>
      <c r="AX9137" s="120"/>
      <c r="AY9137" s="121"/>
      <c r="AZ9137" s="138"/>
    </row>
    <row r="9138" spans="1:52" ht="17.100000000000001" customHeight="1" thickTop="1">
      <c r="A9138" s="109" t="s">
        <v>26000</v>
      </c>
      <c r="B9138" s="28">
        <v>46160</v>
      </c>
      <c r="C9138" s="25"/>
      <c r="D9138" s="13" t="s">
        <v>1920</v>
      </c>
      <c r="E9138" s="111"/>
      <c r="F9138" s="113" t="s">
        <v>11543</v>
      </c>
      <c r="G9138" s="114"/>
      <c r="H9138" s="115"/>
      <c r="I9138" s="24"/>
      <c r="J9138" s="116">
        <v>3.5</v>
      </c>
      <c r="K9138" s="118">
        <v>660000</v>
      </c>
      <c r="L9138" s="119"/>
      <c r="M9138" s="118">
        <f t="shared" ref="M9138" si="14165">K9138*0.1</f>
        <v>66000</v>
      </c>
      <c r="N9138" s="119"/>
      <c r="O9138" s="118">
        <v>0</v>
      </c>
      <c r="P9138" s="119"/>
      <c r="Q9138" s="118">
        <v>22520</v>
      </c>
      <c r="R9138" s="119"/>
      <c r="S9138" s="118">
        <v>14850</v>
      </c>
      <c r="T9138" s="119"/>
      <c r="U9138" s="118">
        <f t="shared" ref="U9138" si="14166">SUM(K9138:T9139)</f>
        <v>763370</v>
      </c>
      <c r="V9138" s="122"/>
      <c r="W9138" s="124"/>
      <c r="X9138" s="126"/>
      <c r="Y9138" s="127"/>
      <c r="Z9138" s="127"/>
      <c r="AA9138" s="127"/>
      <c r="AB9138" s="128"/>
      <c r="AC9138" s="15" t="s">
        <v>20</v>
      </c>
      <c r="AD9138" s="129"/>
      <c r="AE9138" s="130"/>
      <c r="AF9138" s="130"/>
      <c r="AG9138" s="130"/>
      <c r="AH9138" s="130"/>
      <c r="AI9138" s="131"/>
      <c r="AJ9138" s="132"/>
      <c r="AK9138" s="127"/>
      <c r="AL9138" s="128"/>
      <c r="AM9138" s="21"/>
      <c r="AN9138" s="133"/>
      <c r="AO9138" s="134"/>
      <c r="AP9138" s="135"/>
      <c r="AQ9138" s="136"/>
      <c r="AR9138" s="118"/>
      <c r="AS9138" s="119"/>
      <c r="AT9138" s="118">
        <f t="shared" ref="AT9138" si="14167">AR9138*0.1</f>
        <v>0</v>
      </c>
      <c r="AU9138" s="119"/>
      <c r="AV9138" s="118"/>
      <c r="AW9138" s="119"/>
      <c r="AX9138" s="118">
        <f t="shared" ref="AX9138" si="14168">SUM(AR9138:AW9138)</f>
        <v>0</v>
      </c>
      <c r="AY9138" s="119"/>
      <c r="AZ9138" s="137"/>
    </row>
    <row r="9139" spans="1:52" ht="17.100000000000001" customHeight="1" thickBot="1">
      <c r="A9139" s="110"/>
      <c r="B9139" s="27" t="s">
        <v>8858</v>
      </c>
      <c r="C9139" s="27">
        <v>60208</v>
      </c>
      <c r="D9139" s="14" t="s">
        <v>275</v>
      </c>
      <c r="E9139" s="112"/>
      <c r="F9139" s="139" t="s">
        <v>25969</v>
      </c>
      <c r="G9139" s="140"/>
      <c r="H9139" s="141"/>
      <c r="I9139" s="26">
        <v>58886</v>
      </c>
      <c r="J9139" s="117"/>
      <c r="K9139" s="120"/>
      <c r="L9139" s="121"/>
      <c r="M9139" s="120"/>
      <c r="N9139" s="121"/>
      <c r="O9139" s="120"/>
      <c r="P9139" s="121"/>
      <c r="Q9139" s="120"/>
      <c r="R9139" s="121"/>
      <c r="S9139" s="120"/>
      <c r="T9139" s="121"/>
      <c r="U9139" s="120"/>
      <c r="V9139" s="123"/>
      <c r="W9139" s="125"/>
      <c r="X9139" s="142"/>
      <c r="Y9139" s="143"/>
      <c r="Z9139" s="143"/>
      <c r="AA9139" s="143"/>
      <c r="AB9139" s="144"/>
      <c r="AC9139" s="16" t="s">
        <v>21</v>
      </c>
      <c r="AD9139" s="17"/>
      <c r="AE9139" s="145"/>
      <c r="AF9139" s="146"/>
      <c r="AG9139" s="146"/>
      <c r="AH9139" s="146"/>
      <c r="AI9139" s="147"/>
      <c r="AJ9139" s="148"/>
      <c r="AK9139" s="143"/>
      <c r="AL9139" s="144"/>
      <c r="AM9139" s="22"/>
      <c r="AN9139" s="149"/>
      <c r="AO9139" s="144"/>
      <c r="AP9139" s="148"/>
      <c r="AQ9139" s="144"/>
      <c r="AR9139" s="120"/>
      <c r="AS9139" s="121"/>
      <c r="AT9139" s="120"/>
      <c r="AU9139" s="121"/>
      <c r="AV9139" s="120"/>
      <c r="AW9139" s="121"/>
      <c r="AX9139" s="120"/>
      <c r="AY9139" s="121"/>
      <c r="AZ9139" s="138"/>
    </row>
    <row r="9140" spans="1:52" ht="17.100000000000001" customHeight="1" thickTop="1">
      <c r="A9140" s="109" t="s">
        <v>26001</v>
      </c>
      <c r="B9140" s="28">
        <v>46160</v>
      </c>
      <c r="C9140" s="25">
        <v>2093</v>
      </c>
      <c r="D9140" s="13" t="s">
        <v>2970</v>
      </c>
      <c r="E9140" s="111"/>
      <c r="F9140" s="113" t="s">
        <v>25970</v>
      </c>
      <c r="G9140" s="114"/>
      <c r="H9140" s="115"/>
      <c r="I9140" s="24"/>
      <c r="J9140" s="116">
        <v>4</v>
      </c>
      <c r="K9140" s="118">
        <v>1315000</v>
      </c>
      <c r="L9140" s="119"/>
      <c r="M9140" s="118">
        <f t="shared" ref="M9140" si="14169">K9140*0.1</f>
        <v>131500</v>
      </c>
      <c r="N9140" s="119"/>
      <c r="O9140" s="118">
        <v>0</v>
      </c>
      <c r="P9140" s="119"/>
      <c r="Q9140" s="118">
        <v>16320</v>
      </c>
      <c r="R9140" s="119"/>
      <c r="S9140" s="118">
        <v>11000</v>
      </c>
      <c r="T9140" s="119"/>
      <c r="U9140" s="118">
        <f t="shared" ref="U9140" si="14170">SUM(K9140:T9141)</f>
        <v>1473820</v>
      </c>
      <c r="V9140" s="122"/>
      <c r="W9140" s="124"/>
      <c r="X9140" s="126"/>
      <c r="Y9140" s="127"/>
      <c r="Z9140" s="127"/>
      <c r="AA9140" s="127"/>
      <c r="AB9140" s="128"/>
      <c r="AC9140" s="15" t="s">
        <v>20</v>
      </c>
      <c r="AD9140" s="129" t="s">
        <v>25972</v>
      </c>
      <c r="AE9140" s="130"/>
      <c r="AF9140" s="130"/>
      <c r="AG9140" s="130"/>
      <c r="AH9140" s="130"/>
      <c r="AI9140" s="131"/>
      <c r="AJ9140" s="132"/>
      <c r="AK9140" s="127"/>
      <c r="AL9140" s="128"/>
      <c r="AM9140" s="21"/>
      <c r="AN9140" s="133"/>
      <c r="AO9140" s="134"/>
      <c r="AP9140" s="135"/>
      <c r="AQ9140" s="136"/>
      <c r="AR9140" s="118"/>
      <c r="AS9140" s="119"/>
      <c r="AT9140" s="118">
        <f t="shared" ref="AT9140" si="14171">AR9140*0.1</f>
        <v>0</v>
      </c>
      <c r="AU9140" s="119"/>
      <c r="AV9140" s="118"/>
      <c r="AW9140" s="119"/>
      <c r="AX9140" s="118">
        <f t="shared" ref="AX9140" si="14172">SUM(AR9140:AW9140)</f>
        <v>0</v>
      </c>
      <c r="AY9140" s="119"/>
      <c r="AZ9140" s="137"/>
    </row>
    <row r="9141" spans="1:52" ht="17.100000000000001" customHeight="1" thickBot="1">
      <c r="A9141" s="110"/>
      <c r="B9141" s="27" t="s">
        <v>83</v>
      </c>
      <c r="C9141" s="27">
        <v>33518</v>
      </c>
      <c r="D9141" s="14" t="s">
        <v>1720</v>
      </c>
      <c r="E9141" s="112"/>
      <c r="F9141" s="139" t="s">
        <v>25971</v>
      </c>
      <c r="G9141" s="140"/>
      <c r="H9141" s="141"/>
      <c r="I9141" s="26">
        <v>46595</v>
      </c>
      <c r="J9141" s="117"/>
      <c r="K9141" s="120"/>
      <c r="L9141" s="121"/>
      <c r="M9141" s="120"/>
      <c r="N9141" s="121"/>
      <c r="O9141" s="120"/>
      <c r="P9141" s="121"/>
      <c r="Q9141" s="120"/>
      <c r="R9141" s="121"/>
      <c r="S9141" s="120"/>
      <c r="T9141" s="121"/>
      <c r="U9141" s="120"/>
      <c r="V9141" s="123"/>
      <c r="W9141" s="125"/>
      <c r="X9141" s="142"/>
      <c r="Y9141" s="143"/>
      <c r="Z9141" s="143"/>
      <c r="AA9141" s="143"/>
      <c r="AB9141" s="144"/>
      <c r="AC9141" s="16" t="s">
        <v>21</v>
      </c>
      <c r="AD9141" s="17"/>
      <c r="AE9141" s="145"/>
      <c r="AF9141" s="146"/>
      <c r="AG9141" s="146"/>
      <c r="AH9141" s="146"/>
      <c r="AI9141" s="147"/>
      <c r="AJ9141" s="148"/>
      <c r="AK9141" s="143"/>
      <c r="AL9141" s="144"/>
      <c r="AM9141" s="22"/>
      <c r="AN9141" s="149"/>
      <c r="AO9141" s="144"/>
      <c r="AP9141" s="148"/>
      <c r="AQ9141" s="144"/>
      <c r="AR9141" s="120"/>
      <c r="AS9141" s="121"/>
      <c r="AT9141" s="120"/>
      <c r="AU9141" s="121"/>
      <c r="AV9141" s="120"/>
      <c r="AW9141" s="121"/>
      <c r="AX9141" s="120"/>
      <c r="AY9141" s="121"/>
      <c r="AZ9141" s="138"/>
    </row>
    <row r="9142" spans="1:52" ht="17.100000000000001" customHeight="1" thickTop="1">
      <c r="A9142" s="109" t="s">
        <v>26002</v>
      </c>
      <c r="B9142" s="28">
        <v>46160</v>
      </c>
      <c r="C9142" s="25">
        <v>2093</v>
      </c>
      <c r="D9142" s="13" t="s">
        <v>859</v>
      </c>
      <c r="E9142" s="111"/>
      <c r="F9142" s="113" t="s">
        <v>25973</v>
      </c>
      <c r="G9142" s="114"/>
      <c r="H9142" s="115"/>
      <c r="I9142" s="24"/>
      <c r="J9142" s="116">
        <v>4</v>
      </c>
      <c r="K9142" s="118">
        <v>2890000</v>
      </c>
      <c r="L9142" s="119"/>
      <c r="M9142" s="118">
        <f t="shared" ref="M9142" si="14173">K9142*0.1</f>
        <v>289000</v>
      </c>
      <c r="N9142" s="119"/>
      <c r="O9142" s="118">
        <v>0</v>
      </c>
      <c r="P9142" s="119"/>
      <c r="Q9142" s="118">
        <v>21600</v>
      </c>
      <c r="R9142" s="119"/>
      <c r="S9142" s="118">
        <v>11000</v>
      </c>
      <c r="T9142" s="119"/>
      <c r="U9142" s="118">
        <f t="shared" ref="U9142" si="14174">SUM(K9142:T9143)</f>
        <v>3211600</v>
      </c>
      <c r="V9142" s="122"/>
      <c r="W9142" s="124"/>
      <c r="X9142" s="126"/>
      <c r="Y9142" s="127"/>
      <c r="Z9142" s="127"/>
      <c r="AA9142" s="127"/>
      <c r="AB9142" s="128"/>
      <c r="AC9142" s="15" t="s">
        <v>20</v>
      </c>
      <c r="AD9142" s="129" t="s">
        <v>25975</v>
      </c>
      <c r="AE9142" s="130"/>
      <c r="AF9142" s="130"/>
      <c r="AG9142" s="130"/>
      <c r="AH9142" s="130"/>
      <c r="AI9142" s="131"/>
      <c r="AJ9142" s="132"/>
      <c r="AK9142" s="127"/>
      <c r="AL9142" s="128"/>
      <c r="AM9142" s="21"/>
      <c r="AN9142" s="133"/>
      <c r="AO9142" s="134"/>
      <c r="AP9142" s="135"/>
      <c r="AQ9142" s="136"/>
      <c r="AR9142" s="118"/>
      <c r="AS9142" s="119"/>
      <c r="AT9142" s="118">
        <f t="shared" ref="AT9142" si="14175">AR9142*0.1</f>
        <v>0</v>
      </c>
      <c r="AU9142" s="119"/>
      <c r="AV9142" s="118"/>
      <c r="AW9142" s="119"/>
      <c r="AX9142" s="118">
        <f t="shared" ref="AX9142" si="14176">SUM(AR9142:AW9142)</f>
        <v>0</v>
      </c>
      <c r="AY9142" s="119"/>
      <c r="AZ9142" s="137"/>
    </row>
    <row r="9143" spans="1:52" ht="17.100000000000001" customHeight="1" thickBot="1">
      <c r="A9143" s="110"/>
      <c r="B9143" s="27" t="s">
        <v>83</v>
      </c>
      <c r="C9143" s="27">
        <v>33519</v>
      </c>
      <c r="D9143" s="14" t="s">
        <v>275</v>
      </c>
      <c r="E9143" s="112"/>
      <c r="F9143" s="139" t="s">
        <v>25974</v>
      </c>
      <c r="G9143" s="140"/>
      <c r="H9143" s="141"/>
      <c r="I9143" s="26">
        <v>35704</v>
      </c>
      <c r="J9143" s="117"/>
      <c r="K9143" s="120"/>
      <c r="L9143" s="121"/>
      <c r="M9143" s="120"/>
      <c r="N9143" s="121"/>
      <c r="O9143" s="120"/>
      <c r="P9143" s="121"/>
      <c r="Q9143" s="120"/>
      <c r="R9143" s="121"/>
      <c r="S9143" s="120"/>
      <c r="T9143" s="121"/>
      <c r="U9143" s="120"/>
      <c r="V9143" s="123"/>
      <c r="W9143" s="125"/>
      <c r="X9143" s="142"/>
      <c r="Y9143" s="143"/>
      <c r="Z9143" s="143"/>
      <c r="AA9143" s="143"/>
      <c r="AB9143" s="144"/>
      <c r="AC9143" s="16" t="s">
        <v>21</v>
      </c>
      <c r="AD9143" s="17"/>
      <c r="AE9143" s="145"/>
      <c r="AF9143" s="146"/>
      <c r="AG9143" s="146"/>
      <c r="AH9143" s="146"/>
      <c r="AI9143" s="147"/>
      <c r="AJ9143" s="148"/>
      <c r="AK9143" s="143"/>
      <c r="AL9143" s="144"/>
      <c r="AM9143" s="22"/>
      <c r="AN9143" s="149"/>
      <c r="AO9143" s="144"/>
      <c r="AP9143" s="148"/>
      <c r="AQ9143" s="144"/>
      <c r="AR9143" s="120"/>
      <c r="AS9143" s="121"/>
      <c r="AT9143" s="120"/>
      <c r="AU9143" s="121"/>
      <c r="AV9143" s="120"/>
      <c r="AW9143" s="121"/>
      <c r="AX9143" s="120"/>
      <c r="AY9143" s="121"/>
      <c r="AZ9143" s="138"/>
    </row>
    <row r="9144" spans="1:52" ht="17.100000000000001" customHeight="1" thickTop="1">
      <c r="A9144" s="109" t="s">
        <v>26003</v>
      </c>
      <c r="B9144" s="28">
        <v>46160</v>
      </c>
      <c r="C9144" s="25">
        <v>2093</v>
      </c>
      <c r="D9144" s="13" t="s">
        <v>1929</v>
      </c>
      <c r="E9144" s="111"/>
      <c r="F9144" s="113" t="s">
        <v>25976</v>
      </c>
      <c r="G9144" s="114"/>
      <c r="H9144" s="115"/>
      <c r="I9144" s="24"/>
      <c r="J9144" s="116">
        <v>4</v>
      </c>
      <c r="K9144" s="118">
        <v>855000</v>
      </c>
      <c r="L9144" s="119"/>
      <c r="M9144" s="118">
        <f t="shared" ref="M9144" si="14177">K9144*0.1</f>
        <v>85500</v>
      </c>
      <c r="N9144" s="119"/>
      <c r="O9144" s="118">
        <v>0</v>
      </c>
      <c r="P9144" s="119"/>
      <c r="Q9144" s="118">
        <v>24050</v>
      </c>
      <c r="R9144" s="119"/>
      <c r="S9144" s="118">
        <v>11000</v>
      </c>
      <c r="T9144" s="119"/>
      <c r="U9144" s="118">
        <f t="shared" ref="U9144" si="14178">SUM(K9144:T9145)</f>
        <v>975550</v>
      </c>
      <c r="V9144" s="122"/>
      <c r="W9144" s="124"/>
      <c r="X9144" s="126"/>
      <c r="Y9144" s="127"/>
      <c r="Z9144" s="127"/>
      <c r="AA9144" s="127"/>
      <c r="AB9144" s="128"/>
      <c r="AC9144" s="15" t="s">
        <v>20</v>
      </c>
      <c r="AD9144" s="129" t="s">
        <v>171</v>
      </c>
      <c r="AE9144" s="130"/>
      <c r="AF9144" s="130"/>
      <c r="AG9144" s="130"/>
      <c r="AH9144" s="130"/>
      <c r="AI9144" s="131"/>
      <c r="AJ9144" s="132"/>
      <c r="AK9144" s="127"/>
      <c r="AL9144" s="128"/>
      <c r="AM9144" s="21"/>
      <c r="AN9144" s="133"/>
      <c r="AO9144" s="134"/>
      <c r="AP9144" s="135"/>
      <c r="AQ9144" s="136"/>
      <c r="AR9144" s="118"/>
      <c r="AS9144" s="119"/>
      <c r="AT9144" s="118">
        <f t="shared" ref="AT9144" si="14179">AR9144*0.1</f>
        <v>0</v>
      </c>
      <c r="AU9144" s="119"/>
      <c r="AV9144" s="118"/>
      <c r="AW9144" s="119"/>
      <c r="AX9144" s="118">
        <f t="shared" ref="AX9144" si="14180">SUM(AR9144:AW9144)</f>
        <v>0</v>
      </c>
      <c r="AY9144" s="119"/>
      <c r="AZ9144" s="137"/>
    </row>
    <row r="9145" spans="1:52" ht="17.100000000000001" customHeight="1" thickBot="1">
      <c r="A9145" s="110"/>
      <c r="B9145" s="27" t="s">
        <v>83</v>
      </c>
      <c r="C9145" s="27">
        <v>34546</v>
      </c>
      <c r="D9145" s="14" t="s">
        <v>2601</v>
      </c>
      <c r="E9145" s="112"/>
      <c r="F9145" s="139" t="s">
        <v>25977</v>
      </c>
      <c r="G9145" s="140"/>
      <c r="H9145" s="141"/>
      <c r="I9145" s="26">
        <v>60180</v>
      </c>
      <c r="J9145" s="117"/>
      <c r="K9145" s="120"/>
      <c r="L9145" s="121"/>
      <c r="M9145" s="120"/>
      <c r="N9145" s="121"/>
      <c r="O9145" s="120"/>
      <c r="P9145" s="121"/>
      <c r="Q9145" s="120"/>
      <c r="R9145" s="121"/>
      <c r="S9145" s="120"/>
      <c r="T9145" s="121"/>
      <c r="U9145" s="120"/>
      <c r="V9145" s="123"/>
      <c r="W9145" s="125"/>
      <c r="X9145" s="142"/>
      <c r="Y9145" s="143"/>
      <c r="Z9145" s="143"/>
      <c r="AA9145" s="143"/>
      <c r="AB9145" s="144"/>
      <c r="AC9145" s="16" t="s">
        <v>21</v>
      </c>
      <c r="AD9145" s="17"/>
      <c r="AE9145" s="145"/>
      <c r="AF9145" s="146"/>
      <c r="AG9145" s="146"/>
      <c r="AH9145" s="146"/>
      <c r="AI9145" s="147"/>
      <c r="AJ9145" s="148"/>
      <c r="AK9145" s="143"/>
      <c r="AL9145" s="144"/>
      <c r="AM9145" s="22"/>
      <c r="AN9145" s="149"/>
      <c r="AO9145" s="144"/>
      <c r="AP9145" s="148"/>
      <c r="AQ9145" s="144"/>
      <c r="AR9145" s="120"/>
      <c r="AS9145" s="121"/>
      <c r="AT9145" s="120"/>
      <c r="AU9145" s="121"/>
      <c r="AV9145" s="120"/>
      <c r="AW9145" s="121"/>
      <c r="AX9145" s="120"/>
      <c r="AY9145" s="121"/>
      <c r="AZ9145" s="138"/>
    </row>
    <row r="9146" spans="1:52" ht="17.100000000000001" customHeight="1" thickTop="1">
      <c r="A9146" s="109" t="s">
        <v>26004</v>
      </c>
      <c r="B9146" s="28">
        <v>46160</v>
      </c>
      <c r="C9146" s="25">
        <v>2093</v>
      </c>
      <c r="D9146" s="13" t="s">
        <v>2970</v>
      </c>
      <c r="E9146" s="111"/>
      <c r="F9146" s="113" t="s">
        <v>25978</v>
      </c>
      <c r="G9146" s="114"/>
      <c r="H9146" s="115"/>
      <c r="I9146" s="24"/>
      <c r="J9146" s="116">
        <v>4.5</v>
      </c>
      <c r="K9146" s="118">
        <v>2250000</v>
      </c>
      <c r="L9146" s="119"/>
      <c r="M9146" s="118">
        <f t="shared" ref="M9146" si="14181">K9146*0.1</f>
        <v>225000</v>
      </c>
      <c r="N9146" s="119"/>
      <c r="O9146" s="118">
        <v>0</v>
      </c>
      <c r="P9146" s="119"/>
      <c r="Q9146" s="118">
        <v>19560</v>
      </c>
      <c r="R9146" s="119"/>
      <c r="S9146" s="118">
        <v>11000</v>
      </c>
      <c r="T9146" s="119"/>
      <c r="U9146" s="118">
        <f t="shared" ref="U9146" si="14182">SUM(K9146:T9147)</f>
        <v>2505560</v>
      </c>
      <c r="V9146" s="122"/>
      <c r="W9146" s="124"/>
      <c r="X9146" s="126"/>
      <c r="Y9146" s="127"/>
      <c r="Z9146" s="127"/>
      <c r="AA9146" s="127"/>
      <c r="AB9146" s="128"/>
      <c r="AC9146" s="15" t="s">
        <v>20</v>
      </c>
      <c r="AD9146" s="129" t="s">
        <v>25980</v>
      </c>
      <c r="AE9146" s="130"/>
      <c r="AF9146" s="130"/>
      <c r="AG9146" s="130"/>
      <c r="AH9146" s="130"/>
      <c r="AI9146" s="131"/>
      <c r="AJ9146" s="132"/>
      <c r="AK9146" s="127"/>
      <c r="AL9146" s="128"/>
      <c r="AM9146" s="21"/>
      <c r="AN9146" s="133"/>
      <c r="AO9146" s="134"/>
      <c r="AP9146" s="135"/>
      <c r="AQ9146" s="136"/>
      <c r="AR9146" s="118"/>
      <c r="AS9146" s="119"/>
      <c r="AT9146" s="118">
        <f t="shared" ref="AT9146" si="14183">AR9146*0.1</f>
        <v>0</v>
      </c>
      <c r="AU9146" s="119"/>
      <c r="AV9146" s="118"/>
      <c r="AW9146" s="119"/>
      <c r="AX9146" s="118">
        <f t="shared" ref="AX9146" si="14184">SUM(AR9146:AW9146)</f>
        <v>0</v>
      </c>
      <c r="AY9146" s="119"/>
      <c r="AZ9146" s="137"/>
    </row>
    <row r="9147" spans="1:52" ht="17.100000000000001" customHeight="1" thickBot="1">
      <c r="A9147" s="110"/>
      <c r="B9147" s="27" t="s">
        <v>83</v>
      </c>
      <c r="C9147" s="27">
        <v>34582</v>
      </c>
      <c r="D9147" s="14" t="s">
        <v>133</v>
      </c>
      <c r="E9147" s="112"/>
      <c r="F9147" s="139" t="s">
        <v>25979</v>
      </c>
      <c r="G9147" s="140"/>
      <c r="H9147" s="141"/>
      <c r="I9147" s="26">
        <v>72052</v>
      </c>
      <c r="J9147" s="117"/>
      <c r="K9147" s="120"/>
      <c r="L9147" s="121"/>
      <c r="M9147" s="120"/>
      <c r="N9147" s="121"/>
      <c r="O9147" s="120"/>
      <c r="P9147" s="121"/>
      <c r="Q9147" s="120"/>
      <c r="R9147" s="121"/>
      <c r="S9147" s="120"/>
      <c r="T9147" s="121"/>
      <c r="U9147" s="120"/>
      <c r="V9147" s="123"/>
      <c r="W9147" s="125"/>
      <c r="X9147" s="142"/>
      <c r="Y9147" s="143"/>
      <c r="Z9147" s="143"/>
      <c r="AA9147" s="143"/>
      <c r="AB9147" s="144"/>
      <c r="AC9147" s="16" t="s">
        <v>21</v>
      </c>
      <c r="AD9147" s="17"/>
      <c r="AE9147" s="145"/>
      <c r="AF9147" s="146"/>
      <c r="AG9147" s="146"/>
      <c r="AH9147" s="146"/>
      <c r="AI9147" s="147"/>
      <c r="AJ9147" s="148"/>
      <c r="AK9147" s="143"/>
      <c r="AL9147" s="144"/>
      <c r="AM9147" s="22"/>
      <c r="AN9147" s="149"/>
      <c r="AO9147" s="144"/>
      <c r="AP9147" s="148"/>
      <c r="AQ9147" s="144"/>
      <c r="AR9147" s="120"/>
      <c r="AS9147" s="121"/>
      <c r="AT9147" s="120"/>
      <c r="AU9147" s="121"/>
      <c r="AV9147" s="120"/>
      <c r="AW9147" s="121"/>
      <c r="AX9147" s="120"/>
      <c r="AY9147" s="121"/>
      <c r="AZ9147" s="138"/>
    </row>
    <row r="9148" spans="1:52" ht="17.100000000000001" customHeight="1" thickTop="1">
      <c r="A9148" s="109" t="s">
        <v>26005</v>
      </c>
      <c r="B9148" s="28">
        <v>46160</v>
      </c>
      <c r="C9148" s="25">
        <v>2093</v>
      </c>
      <c r="D9148" s="13" t="s">
        <v>2022</v>
      </c>
      <c r="E9148" s="111"/>
      <c r="F9148" s="113" t="s">
        <v>25981</v>
      </c>
      <c r="G9148" s="114"/>
      <c r="H9148" s="115"/>
      <c r="I9148" s="24" t="s">
        <v>2112</v>
      </c>
      <c r="J9148" s="116">
        <v>4</v>
      </c>
      <c r="K9148" s="118">
        <v>1545000</v>
      </c>
      <c r="L9148" s="119"/>
      <c r="M9148" s="118">
        <f t="shared" ref="M9148" si="14185">K9148*0.1</f>
        <v>154500</v>
      </c>
      <c r="N9148" s="119"/>
      <c r="O9148" s="118">
        <f>42500+4250</f>
        <v>46750</v>
      </c>
      <c r="P9148" s="119"/>
      <c r="Q9148" s="118">
        <v>16730</v>
      </c>
      <c r="R9148" s="119"/>
      <c r="S9148" s="118">
        <v>11000</v>
      </c>
      <c r="T9148" s="119"/>
      <c r="U9148" s="118">
        <f t="shared" ref="U9148" si="14186">SUM(K9148:T9149)</f>
        <v>1773980</v>
      </c>
      <c r="V9148" s="122"/>
      <c r="W9148" s="124"/>
      <c r="X9148" s="126" t="s">
        <v>25983</v>
      </c>
      <c r="Y9148" s="127"/>
      <c r="Z9148" s="127"/>
      <c r="AA9148" s="127"/>
      <c r="AB9148" s="128"/>
      <c r="AC9148" s="15" t="s">
        <v>20</v>
      </c>
      <c r="AD9148" s="129" t="s">
        <v>1609</v>
      </c>
      <c r="AE9148" s="130"/>
      <c r="AF9148" s="130"/>
      <c r="AG9148" s="130"/>
      <c r="AH9148" s="130"/>
      <c r="AI9148" s="131"/>
      <c r="AJ9148" s="132"/>
      <c r="AK9148" s="127"/>
      <c r="AL9148" s="128"/>
      <c r="AM9148" s="21"/>
      <c r="AN9148" s="133"/>
      <c r="AO9148" s="134"/>
      <c r="AP9148" s="135"/>
      <c r="AQ9148" s="136"/>
      <c r="AR9148" s="118"/>
      <c r="AS9148" s="119"/>
      <c r="AT9148" s="118">
        <f t="shared" ref="AT9148" si="14187">AR9148*0.1</f>
        <v>0</v>
      </c>
      <c r="AU9148" s="119"/>
      <c r="AV9148" s="118"/>
      <c r="AW9148" s="119"/>
      <c r="AX9148" s="118">
        <f t="shared" ref="AX9148" si="14188">SUM(AR9148:AW9148)</f>
        <v>0</v>
      </c>
      <c r="AY9148" s="119"/>
      <c r="AZ9148" s="137"/>
    </row>
    <row r="9149" spans="1:52" ht="17.100000000000001" customHeight="1" thickBot="1">
      <c r="A9149" s="110"/>
      <c r="B9149" s="27" t="s">
        <v>83</v>
      </c>
      <c r="C9149" s="27">
        <v>36030</v>
      </c>
      <c r="D9149" s="14" t="s">
        <v>2601</v>
      </c>
      <c r="E9149" s="112"/>
      <c r="F9149" s="139" t="s">
        <v>25982</v>
      </c>
      <c r="G9149" s="140"/>
      <c r="H9149" s="141"/>
      <c r="I9149" s="26">
        <v>64019</v>
      </c>
      <c r="J9149" s="117"/>
      <c r="K9149" s="120"/>
      <c r="L9149" s="121"/>
      <c r="M9149" s="120"/>
      <c r="N9149" s="121"/>
      <c r="O9149" s="120"/>
      <c r="P9149" s="121"/>
      <c r="Q9149" s="120"/>
      <c r="R9149" s="121"/>
      <c r="S9149" s="120"/>
      <c r="T9149" s="121"/>
      <c r="U9149" s="120"/>
      <c r="V9149" s="123"/>
      <c r="W9149" s="125"/>
      <c r="X9149" s="142"/>
      <c r="Y9149" s="143"/>
      <c r="Z9149" s="143"/>
      <c r="AA9149" s="143"/>
      <c r="AB9149" s="144"/>
      <c r="AC9149" s="16" t="s">
        <v>21</v>
      </c>
      <c r="AD9149" s="17"/>
      <c r="AE9149" s="145"/>
      <c r="AF9149" s="146"/>
      <c r="AG9149" s="146"/>
      <c r="AH9149" s="146"/>
      <c r="AI9149" s="147"/>
      <c r="AJ9149" s="148"/>
      <c r="AK9149" s="143"/>
      <c r="AL9149" s="144"/>
      <c r="AM9149" s="22"/>
      <c r="AN9149" s="149"/>
      <c r="AO9149" s="144"/>
      <c r="AP9149" s="148"/>
      <c r="AQ9149" s="144"/>
      <c r="AR9149" s="120"/>
      <c r="AS9149" s="121"/>
      <c r="AT9149" s="120"/>
      <c r="AU9149" s="121"/>
      <c r="AV9149" s="120"/>
      <c r="AW9149" s="121"/>
      <c r="AX9149" s="120"/>
      <c r="AY9149" s="121"/>
      <c r="AZ9149" s="138"/>
    </row>
    <row r="9150" spans="1:52" ht="17.100000000000001" customHeight="1" thickTop="1">
      <c r="A9150" s="109" t="s">
        <v>26006</v>
      </c>
      <c r="B9150" s="28">
        <v>46160</v>
      </c>
      <c r="C9150" s="25"/>
      <c r="D9150" s="13" t="s">
        <v>3014</v>
      </c>
      <c r="E9150" s="111"/>
      <c r="F9150" s="113" t="s">
        <v>25989</v>
      </c>
      <c r="G9150" s="114"/>
      <c r="H9150" s="115"/>
      <c r="I9150" s="24" t="s">
        <v>4193</v>
      </c>
      <c r="J9150" s="116">
        <v>4.5</v>
      </c>
      <c r="K9150" s="118">
        <v>2085000</v>
      </c>
      <c r="L9150" s="119"/>
      <c r="M9150" s="118">
        <f t="shared" ref="M9150" si="14189">K9150*0.1</f>
        <v>208500</v>
      </c>
      <c r="N9150" s="119"/>
      <c r="O9150" s="118">
        <v>22800</v>
      </c>
      <c r="P9150" s="119"/>
      <c r="Q9150" s="118">
        <v>11740</v>
      </c>
      <c r="R9150" s="119"/>
      <c r="S9150" s="118">
        <v>0</v>
      </c>
      <c r="T9150" s="119"/>
      <c r="U9150" s="118">
        <f t="shared" ref="U9150" si="14190">SUM(K9150:T9151)</f>
        <v>2328040</v>
      </c>
      <c r="V9150" s="122"/>
      <c r="W9150" s="124"/>
      <c r="X9150" s="126"/>
      <c r="Y9150" s="127"/>
      <c r="Z9150" s="127"/>
      <c r="AA9150" s="127"/>
      <c r="AB9150" s="128"/>
      <c r="AC9150" s="15" t="s">
        <v>20</v>
      </c>
      <c r="AD9150" s="129" t="s">
        <v>25885</v>
      </c>
      <c r="AE9150" s="130"/>
      <c r="AF9150" s="130"/>
      <c r="AG9150" s="130"/>
      <c r="AH9150" s="130"/>
      <c r="AI9150" s="131"/>
      <c r="AJ9150" s="132"/>
      <c r="AK9150" s="127"/>
      <c r="AL9150" s="128"/>
      <c r="AM9150" s="21"/>
      <c r="AN9150" s="133"/>
      <c r="AO9150" s="134"/>
      <c r="AP9150" s="135"/>
      <c r="AQ9150" s="136"/>
      <c r="AR9150" s="118"/>
      <c r="AS9150" s="119"/>
      <c r="AT9150" s="118">
        <f t="shared" ref="AT9150" si="14191">AR9150*0.1</f>
        <v>0</v>
      </c>
      <c r="AU9150" s="119"/>
      <c r="AV9150" s="118"/>
      <c r="AW9150" s="119"/>
      <c r="AX9150" s="118">
        <f t="shared" ref="AX9150" si="14192">SUM(AR9150:AW9150)</f>
        <v>0</v>
      </c>
      <c r="AY9150" s="119"/>
      <c r="AZ9150" s="137"/>
    </row>
    <row r="9151" spans="1:52" ht="17.100000000000001" customHeight="1" thickBot="1">
      <c r="A9151" s="110"/>
      <c r="B9151" s="27" t="s">
        <v>1718</v>
      </c>
      <c r="C9151" s="27" t="s">
        <v>25986</v>
      </c>
      <c r="D9151" s="14" t="s">
        <v>1592</v>
      </c>
      <c r="E9151" s="112"/>
      <c r="F9151" s="139" t="s">
        <v>25990</v>
      </c>
      <c r="G9151" s="140"/>
      <c r="H9151" s="141"/>
      <c r="I9151" s="26">
        <v>47601</v>
      </c>
      <c r="J9151" s="117"/>
      <c r="K9151" s="120"/>
      <c r="L9151" s="121"/>
      <c r="M9151" s="120"/>
      <c r="N9151" s="121"/>
      <c r="O9151" s="120"/>
      <c r="P9151" s="121"/>
      <c r="Q9151" s="120"/>
      <c r="R9151" s="121"/>
      <c r="S9151" s="120"/>
      <c r="T9151" s="121"/>
      <c r="U9151" s="120"/>
      <c r="V9151" s="123"/>
      <c r="W9151" s="125"/>
      <c r="X9151" s="142"/>
      <c r="Y9151" s="143"/>
      <c r="Z9151" s="143"/>
      <c r="AA9151" s="143"/>
      <c r="AB9151" s="144"/>
      <c r="AC9151" s="16" t="s">
        <v>21</v>
      </c>
      <c r="AD9151" s="17"/>
      <c r="AE9151" s="145"/>
      <c r="AF9151" s="146"/>
      <c r="AG9151" s="146"/>
      <c r="AH9151" s="146"/>
      <c r="AI9151" s="147"/>
      <c r="AJ9151" s="148"/>
      <c r="AK9151" s="143"/>
      <c r="AL9151" s="144"/>
      <c r="AM9151" s="22"/>
      <c r="AN9151" s="149"/>
      <c r="AO9151" s="144"/>
      <c r="AP9151" s="148"/>
      <c r="AQ9151" s="144"/>
      <c r="AR9151" s="120"/>
      <c r="AS9151" s="121"/>
      <c r="AT9151" s="120"/>
      <c r="AU9151" s="121"/>
      <c r="AV9151" s="120"/>
      <c r="AW9151" s="121"/>
      <c r="AX9151" s="120"/>
      <c r="AY9151" s="121"/>
      <c r="AZ9151" s="138"/>
    </row>
    <row r="9152" spans="1:52" ht="17.100000000000001" customHeight="1" thickTop="1">
      <c r="A9152" s="109" t="s">
        <v>26007</v>
      </c>
      <c r="B9152" s="28">
        <v>46160</v>
      </c>
      <c r="C9152" s="25"/>
      <c r="D9152" s="13" t="s">
        <v>1977</v>
      </c>
      <c r="E9152" s="111"/>
      <c r="F9152" s="113" t="s">
        <v>25993</v>
      </c>
      <c r="G9152" s="114"/>
      <c r="H9152" s="115"/>
      <c r="I9152" s="24" t="s">
        <v>3509</v>
      </c>
      <c r="J9152" s="116">
        <v>3.5</v>
      </c>
      <c r="K9152" s="118">
        <v>1330000</v>
      </c>
      <c r="L9152" s="119"/>
      <c r="M9152" s="118">
        <f t="shared" ref="M9152" si="14193">K9152*0.1</f>
        <v>133000</v>
      </c>
      <c r="N9152" s="119"/>
      <c r="O9152" s="118">
        <v>22100</v>
      </c>
      <c r="P9152" s="119"/>
      <c r="Q9152" s="118">
        <v>24350</v>
      </c>
      <c r="R9152" s="119"/>
      <c r="S9152" s="118">
        <v>0</v>
      </c>
      <c r="T9152" s="119"/>
      <c r="U9152" s="118">
        <f t="shared" ref="U9152" si="14194">SUM(K9152:T9153)</f>
        <v>1509450</v>
      </c>
      <c r="V9152" s="122"/>
      <c r="W9152" s="124"/>
      <c r="X9152" s="126"/>
      <c r="Y9152" s="127"/>
      <c r="Z9152" s="127"/>
      <c r="AA9152" s="127"/>
      <c r="AB9152" s="128"/>
      <c r="AC9152" s="15" t="s">
        <v>20</v>
      </c>
      <c r="AD9152" s="129"/>
      <c r="AE9152" s="130"/>
      <c r="AF9152" s="130"/>
      <c r="AG9152" s="130"/>
      <c r="AH9152" s="130"/>
      <c r="AI9152" s="131"/>
      <c r="AJ9152" s="132"/>
      <c r="AK9152" s="127"/>
      <c r="AL9152" s="128"/>
      <c r="AM9152" s="21"/>
      <c r="AN9152" s="133"/>
      <c r="AO9152" s="134"/>
      <c r="AP9152" s="135"/>
      <c r="AQ9152" s="136"/>
      <c r="AR9152" s="118"/>
      <c r="AS9152" s="119"/>
      <c r="AT9152" s="118">
        <f t="shared" ref="AT9152" si="14195">AR9152*0.1</f>
        <v>0</v>
      </c>
      <c r="AU9152" s="119"/>
      <c r="AV9152" s="118"/>
      <c r="AW9152" s="119"/>
      <c r="AX9152" s="118">
        <f t="shared" ref="AX9152" si="14196">SUM(AR9152:AW9152)</f>
        <v>0</v>
      </c>
      <c r="AY9152" s="119"/>
      <c r="AZ9152" s="137"/>
    </row>
    <row r="9153" spans="1:52" ht="17.100000000000001" customHeight="1" thickBot="1">
      <c r="A9153" s="110"/>
      <c r="B9153" s="27" t="s">
        <v>1718</v>
      </c>
      <c r="C9153" s="27" t="s">
        <v>25987</v>
      </c>
      <c r="D9153" s="14" t="s">
        <v>133</v>
      </c>
      <c r="E9153" s="112"/>
      <c r="F9153" s="139" t="s">
        <v>25994</v>
      </c>
      <c r="G9153" s="140"/>
      <c r="H9153" s="141"/>
      <c r="I9153" s="26">
        <v>52938</v>
      </c>
      <c r="J9153" s="117"/>
      <c r="K9153" s="120"/>
      <c r="L9153" s="121"/>
      <c r="M9153" s="120"/>
      <c r="N9153" s="121"/>
      <c r="O9153" s="120"/>
      <c r="P9153" s="121"/>
      <c r="Q9153" s="120"/>
      <c r="R9153" s="121"/>
      <c r="S9153" s="120"/>
      <c r="T9153" s="121"/>
      <c r="U9153" s="120"/>
      <c r="V9153" s="123"/>
      <c r="W9153" s="125"/>
      <c r="X9153" s="142"/>
      <c r="Y9153" s="143"/>
      <c r="Z9153" s="143"/>
      <c r="AA9153" s="143"/>
      <c r="AB9153" s="144"/>
      <c r="AC9153" s="16" t="s">
        <v>21</v>
      </c>
      <c r="AD9153" s="17"/>
      <c r="AE9153" s="145"/>
      <c r="AF9153" s="146"/>
      <c r="AG9153" s="146"/>
      <c r="AH9153" s="146"/>
      <c r="AI9153" s="147"/>
      <c r="AJ9153" s="148"/>
      <c r="AK9153" s="143"/>
      <c r="AL9153" s="144"/>
      <c r="AM9153" s="22"/>
      <c r="AN9153" s="149"/>
      <c r="AO9153" s="144"/>
      <c r="AP9153" s="148"/>
      <c r="AQ9153" s="144"/>
      <c r="AR9153" s="120"/>
      <c r="AS9153" s="121"/>
      <c r="AT9153" s="120"/>
      <c r="AU9153" s="121"/>
      <c r="AV9153" s="120"/>
      <c r="AW9153" s="121"/>
      <c r="AX9153" s="120"/>
      <c r="AY9153" s="121"/>
      <c r="AZ9153" s="138"/>
    </row>
    <row r="9154" spans="1:52" ht="17.100000000000001" customHeight="1" thickTop="1">
      <c r="A9154" s="109" t="s">
        <v>26008</v>
      </c>
      <c r="B9154" s="28">
        <v>46160</v>
      </c>
      <c r="C9154" s="25"/>
      <c r="D9154" s="13" t="s">
        <v>2914</v>
      </c>
      <c r="E9154" s="111"/>
      <c r="F9154" s="113" t="s">
        <v>3667</v>
      </c>
      <c r="G9154" s="114"/>
      <c r="H9154" s="115"/>
      <c r="I9154" s="24" t="s">
        <v>2064</v>
      </c>
      <c r="J9154" s="116">
        <v>4.5</v>
      </c>
      <c r="K9154" s="118">
        <v>1225000</v>
      </c>
      <c r="L9154" s="119"/>
      <c r="M9154" s="118">
        <f t="shared" ref="M9154" si="14197">K9154*0.1</f>
        <v>122500</v>
      </c>
      <c r="N9154" s="119"/>
      <c r="O9154" s="118">
        <v>24500</v>
      </c>
      <c r="P9154" s="119"/>
      <c r="Q9154" s="118">
        <v>9750</v>
      </c>
      <c r="R9154" s="119"/>
      <c r="S9154" s="118">
        <v>0</v>
      </c>
      <c r="T9154" s="119"/>
      <c r="U9154" s="118">
        <v>1381750</v>
      </c>
      <c r="V9154" s="122"/>
      <c r="W9154" s="124"/>
      <c r="X9154" s="126"/>
      <c r="Y9154" s="127"/>
      <c r="Z9154" s="127"/>
      <c r="AA9154" s="127"/>
      <c r="AB9154" s="128"/>
      <c r="AC9154" s="15" t="s">
        <v>20</v>
      </c>
      <c r="AD9154" s="129" t="s">
        <v>25950</v>
      </c>
      <c r="AE9154" s="130"/>
      <c r="AF9154" s="130"/>
      <c r="AG9154" s="130"/>
      <c r="AH9154" s="130"/>
      <c r="AI9154" s="131"/>
      <c r="AJ9154" s="132"/>
      <c r="AK9154" s="127"/>
      <c r="AL9154" s="128"/>
      <c r="AM9154" s="21"/>
      <c r="AN9154" s="133"/>
      <c r="AO9154" s="134"/>
      <c r="AP9154" s="135"/>
      <c r="AQ9154" s="136"/>
      <c r="AR9154" s="118"/>
      <c r="AS9154" s="119"/>
      <c r="AT9154" s="118">
        <f t="shared" ref="AT9154" si="14198">AR9154*0.1</f>
        <v>0</v>
      </c>
      <c r="AU9154" s="119"/>
      <c r="AV9154" s="118"/>
      <c r="AW9154" s="119"/>
      <c r="AX9154" s="118">
        <f t="shared" ref="AX9154" si="14199">SUM(AR9154:AW9154)</f>
        <v>0</v>
      </c>
      <c r="AY9154" s="119"/>
      <c r="AZ9154" s="137"/>
    </row>
    <row r="9155" spans="1:52" ht="17.100000000000001" customHeight="1" thickBot="1">
      <c r="A9155" s="110"/>
      <c r="B9155" s="27" t="s">
        <v>1718</v>
      </c>
      <c r="C9155" s="27" t="s">
        <v>25988</v>
      </c>
      <c r="D9155" s="14" t="s">
        <v>275</v>
      </c>
      <c r="E9155" s="112"/>
      <c r="F9155" s="139" t="s">
        <v>25995</v>
      </c>
      <c r="G9155" s="140"/>
      <c r="H9155" s="141"/>
      <c r="I9155" s="26">
        <v>24748</v>
      </c>
      <c r="J9155" s="117"/>
      <c r="K9155" s="120"/>
      <c r="L9155" s="121"/>
      <c r="M9155" s="120"/>
      <c r="N9155" s="121"/>
      <c r="O9155" s="120"/>
      <c r="P9155" s="121"/>
      <c r="Q9155" s="120"/>
      <c r="R9155" s="121"/>
      <c r="S9155" s="120"/>
      <c r="T9155" s="121"/>
      <c r="U9155" s="120"/>
      <c r="V9155" s="123"/>
      <c r="W9155" s="125"/>
      <c r="X9155" s="142"/>
      <c r="Y9155" s="143"/>
      <c r="Z9155" s="143"/>
      <c r="AA9155" s="143"/>
      <c r="AB9155" s="144"/>
      <c r="AC9155" s="16" t="s">
        <v>21</v>
      </c>
      <c r="AD9155" s="17"/>
      <c r="AE9155" s="145"/>
      <c r="AF9155" s="146"/>
      <c r="AG9155" s="146"/>
      <c r="AH9155" s="146"/>
      <c r="AI9155" s="147"/>
      <c r="AJ9155" s="148"/>
      <c r="AK9155" s="143"/>
      <c r="AL9155" s="144"/>
      <c r="AM9155" s="22"/>
      <c r="AN9155" s="149"/>
      <c r="AO9155" s="144"/>
      <c r="AP9155" s="148"/>
      <c r="AQ9155" s="144"/>
      <c r="AR9155" s="120"/>
      <c r="AS9155" s="121"/>
      <c r="AT9155" s="120"/>
      <c r="AU9155" s="121"/>
      <c r="AV9155" s="120"/>
      <c r="AW9155" s="121"/>
      <c r="AX9155" s="120"/>
      <c r="AY9155" s="121"/>
      <c r="AZ9155" s="138"/>
    </row>
    <row r="9156" spans="1:52" ht="17.100000000000001" customHeight="1" thickTop="1">
      <c r="A9156" s="109" t="s">
        <v>26009</v>
      </c>
      <c r="B9156" s="28">
        <v>46160</v>
      </c>
      <c r="C9156" s="25"/>
      <c r="D9156" s="13" t="s">
        <v>3322</v>
      </c>
      <c r="E9156" s="111"/>
      <c r="F9156" s="113" t="s">
        <v>3323</v>
      </c>
      <c r="G9156" s="114"/>
      <c r="H9156" s="115"/>
      <c r="I9156" s="24" t="s">
        <v>2571</v>
      </c>
      <c r="J9156" s="116">
        <v>4.5</v>
      </c>
      <c r="K9156" s="118">
        <v>930000</v>
      </c>
      <c r="L9156" s="119"/>
      <c r="M9156" s="118">
        <f t="shared" ref="M9156" si="14200">K9156*0.1</f>
        <v>93000</v>
      </c>
      <c r="N9156" s="119"/>
      <c r="O9156" s="118">
        <v>0</v>
      </c>
      <c r="P9156" s="119"/>
      <c r="Q9156" s="118">
        <v>8110</v>
      </c>
      <c r="R9156" s="119"/>
      <c r="S9156" s="118">
        <v>0</v>
      </c>
      <c r="T9156" s="119"/>
      <c r="U9156" s="118">
        <f t="shared" ref="U9156" si="14201">SUM(K9156:T9157)</f>
        <v>1031110</v>
      </c>
      <c r="V9156" s="122"/>
      <c r="W9156" s="124"/>
      <c r="X9156" s="126"/>
      <c r="Y9156" s="127"/>
      <c r="Z9156" s="127"/>
      <c r="AA9156" s="127"/>
      <c r="AB9156" s="128"/>
      <c r="AC9156" s="15" t="s">
        <v>20</v>
      </c>
      <c r="AD9156" s="129" t="s">
        <v>2544</v>
      </c>
      <c r="AE9156" s="130"/>
      <c r="AF9156" s="130"/>
      <c r="AG9156" s="130"/>
      <c r="AH9156" s="130"/>
      <c r="AI9156" s="131"/>
      <c r="AJ9156" s="132"/>
      <c r="AK9156" s="127"/>
      <c r="AL9156" s="128"/>
      <c r="AM9156" s="21"/>
      <c r="AN9156" s="133"/>
      <c r="AO9156" s="134"/>
      <c r="AP9156" s="135"/>
      <c r="AQ9156" s="136"/>
      <c r="AR9156" s="118"/>
      <c r="AS9156" s="119"/>
      <c r="AT9156" s="118">
        <f t="shared" ref="AT9156" si="14202">AR9156*0.1</f>
        <v>0</v>
      </c>
      <c r="AU9156" s="119"/>
      <c r="AV9156" s="118"/>
      <c r="AW9156" s="119"/>
      <c r="AX9156" s="118">
        <f t="shared" ref="AX9156" si="14203">SUM(AR9156:AW9156)</f>
        <v>0</v>
      </c>
      <c r="AY9156" s="119"/>
      <c r="AZ9156" s="137"/>
    </row>
    <row r="9157" spans="1:52" ht="17.100000000000001" customHeight="1" thickBot="1">
      <c r="A9157" s="110"/>
      <c r="B9157" s="27" t="s">
        <v>1718</v>
      </c>
      <c r="C9157" s="27" t="s">
        <v>25996</v>
      </c>
      <c r="D9157" s="14" t="s">
        <v>1592</v>
      </c>
      <c r="E9157" s="112"/>
      <c r="F9157" s="139" t="s">
        <v>25997</v>
      </c>
      <c r="G9157" s="140"/>
      <c r="H9157" s="141"/>
      <c r="I9157" s="26">
        <v>44936</v>
      </c>
      <c r="J9157" s="117"/>
      <c r="K9157" s="120"/>
      <c r="L9157" s="121"/>
      <c r="M9157" s="120"/>
      <c r="N9157" s="121"/>
      <c r="O9157" s="120"/>
      <c r="P9157" s="121"/>
      <c r="Q9157" s="120"/>
      <c r="R9157" s="121"/>
      <c r="S9157" s="120"/>
      <c r="T9157" s="121"/>
      <c r="U9157" s="120"/>
      <c r="V9157" s="123"/>
      <c r="W9157" s="125"/>
      <c r="X9157" s="142"/>
      <c r="Y9157" s="143"/>
      <c r="Z9157" s="143"/>
      <c r="AA9157" s="143"/>
      <c r="AB9157" s="144"/>
      <c r="AC9157" s="16" t="s">
        <v>21</v>
      </c>
      <c r="AD9157" s="17"/>
      <c r="AE9157" s="145"/>
      <c r="AF9157" s="146"/>
      <c r="AG9157" s="146"/>
      <c r="AH9157" s="146"/>
      <c r="AI9157" s="147"/>
      <c r="AJ9157" s="148"/>
      <c r="AK9157" s="143"/>
      <c r="AL9157" s="144"/>
      <c r="AM9157" s="22"/>
      <c r="AN9157" s="149"/>
      <c r="AO9157" s="144"/>
      <c r="AP9157" s="148"/>
      <c r="AQ9157" s="144"/>
      <c r="AR9157" s="120"/>
      <c r="AS9157" s="121"/>
      <c r="AT9157" s="120"/>
      <c r="AU9157" s="121"/>
      <c r="AV9157" s="120"/>
      <c r="AW9157" s="121"/>
      <c r="AX9157" s="120"/>
      <c r="AY9157" s="121"/>
      <c r="AZ9157" s="138"/>
    </row>
    <row r="9158" spans="1:52" ht="17.100000000000001" customHeight="1" thickTop="1">
      <c r="A9158" s="109" t="s">
        <v>26035</v>
      </c>
      <c r="B9158" s="28">
        <v>46160</v>
      </c>
      <c r="C9158" s="25"/>
      <c r="D9158" s="13" t="s">
        <v>2415</v>
      </c>
      <c r="E9158" s="111"/>
      <c r="F9158" s="113" t="s">
        <v>26037</v>
      </c>
      <c r="G9158" s="114"/>
      <c r="H9158" s="115"/>
      <c r="I9158" s="24" t="s">
        <v>2584</v>
      </c>
      <c r="J9158" s="116">
        <v>5</v>
      </c>
      <c r="K9158" s="118">
        <v>5250000</v>
      </c>
      <c r="L9158" s="119"/>
      <c r="M9158" s="118">
        <f t="shared" ref="M9158" si="14204">K9158*0.1</f>
        <v>525000</v>
      </c>
      <c r="N9158" s="119"/>
      <c r="O9158" s="118">
        <v>37500</v>
      </c>
      <c r="P9158" s="119"/>
      <c r="Q9158" s="118">
        <v>14230</v>
      </c>
      <c r="R9158" s="119"/>
      <c r="S9158" s="118">
        <v>0</v>
      </c>
      <c r="T9158" s="119"/>
      <c r="U9158" s="118">
        <f t="shared" ref="U9158" si="14205">SUM(K9158:T9159)</f>
        <v>5826730</v>
      </c>
      <c r="V9158" s="122"/>
      <c r="W9158" s="124"/>
      <c r="X9158" s="126"/>
      <c r="Y9158" s="127"/>
      <c r="Z9158" s="127"/>
      <c r="AA9158" s="127"/>
      <c r="AB9158" s="128"/>
      <c r="AC9158" s="15" t="s">
        <v>20</v>
      </c>
      <c r="AD9158" s="129" t="s">
        <v>25998</v>
      </c>
      <c r="AE9158" s="130"/>
      <c r="AF9158" s="130"/>
      <c r="AG9158" s="130"/>
      <c r="AH9158" s="130"/>
      <c r="AI9158" s="131"/>
      <c r="AJ9158" s="132"/>
      <c r="AK9158" s="127"/>
      <c r="AL9158" s="128"/>
      <c r="AM9158" s="21"/>
      <c r="AN9158" s="133"/>
      <c r="AO9158" s="134"/>
      <c r="AP9158" s="135"/>
      <c r="AQ9158" s="136"/>
      <c r="AR9158" s="118"/>
      <c r="AS9158" s="119"/>
      <c r="AT9158" s="118">
        <f t="shared" ref="AT9158" si="14206">AR9158*0.1</f>
        <v>0</v>
      </c>
      <c r="AU9158" s="119"/>
      <c r="AV9158" s="118"/>
      <c r="AW9158" s="119"/>
      <c r="AX9158" s="118">
        <f t="shared" ref="AX9158" si="14207">SUM(AR9158:AW9158)</f>
        <v>0</v>
      </c>
      <c r="AY9158" s="119"/>
      <c r="AZ9158" s="137"/>
    </row>
    <row r="9159" spans="1:52" ht="17.100000000000001" customHeight="1" thickBot="1">
      <c r="A9159" s="110"/>
      <c r="B9159" s="27" t="s">
        <v>1718</v>
      </c>
      <c r="C9159" s="27" t="s">
        <v>26036</v>
      </c>
      <c r="D9159" s="14" t="s">
        <v>2601</v>
      </c>
      <c r="E9159" s="112"/>
      <c r="F9159" s="139" t="s">
        <v>26038</v>
      </c>
      <c r="G9159" s="140"/>
      <c r="H9159" s="141"/>
      <c r="I9159" s="26">
        <v>5087</v>
      </c>
      <c r="J9159" s="117"/>
      <c r="K9159" s="120"/>
      <c r="L9159" s="121"/>
      <c r="M9159" s="120"/>
      <c r="N9159" s="121"/>
      <c r="O9159" s="120"/>
      <c r="P9159" s="121"/>
      <c r="Q9159" s="120"/>
      <c r="R9159" s="121"/>
      <c r="S9159" s="120"/>
      <c r="T9159" s="121"/>
      <c r="U9159" s="120"/>
      <c r="V9159" s="123"/>
      <c r="W9159" s="125"/>
      <c r="X9159" s="142"/>
      <c r="Y9159" s="143"/>
      <c r="Z9159" s="143"/>
      <c r="AA9159" s="143"/>
      <c r="AB9159" s="144"/>
      <c r="AC9159" s="16" t="s">
        <v>21</v>
      </c>
      <c r="AD9159" s="17"/>
      <c r="AE9159" s="145"/>
      <c r="AF9159" s="146"/>
      <c r="AG9159" s="146"/>
      <c r="AH9159" s="146"/>
      <c r="AI9159" s="147"/>
      <c r="AJ9159" s="148"/>
      <c r="AK9159" s="143"/>
      <c r="AL9159" s="144"/>
      <c r="AM9159" s="22"/>
      <c r="AN9159" s="149"/>
      <c r="AO9159" s="144"/>
      <c r="AP9159" s="148"/>
      <c r="AQ9159" s="144"/>
      <c r="AR9159" s="120"/>
      <c r="AS9159" s="121"/>
      <c r="AT9159" s="120"/>
      <c r="AU9159" s="121"/>
      <c r="AV9159" s="120"/>
      <c r="AW9159" s="121"/>
      <c r="AX9159" s="120"/>
      <c r="AY9159" s="121"/>
      <c r="AZ9159" s="138"/>
    </row>
    <row r="9160" spans="1:52" ht="17.100000000000001" customHeight="1" thickTop="1">
      <c r="A9160" s="109" t="s">
        <v>26041</v>
      </c>
      <c r="B9160" s="28">
        <v>46161</v>
      </c>
      <c r="C9160" s="25">
        <v>1093</v>
      </c>
      <c r="D9160" s="13" t="s">
        <v>1642</v>
      </c>
      <c r="E9160" s="111"/>
      <c r="F9160" s="113" t="s">
        <v>26066</v>
      </c>
      <c r="G9160" s="114"/>
      <c r="H9160" s="115"/>
      <c r="I9160" s="24" t="s">
        <v>1559</v>
      </c>
      <c r="J9160" s="116">
        <v>4.5</v>
      </c>
      <c r="K9160" s="118">
        <v>2185000</v>
      </c>
      <c r="L9160" s="119"/>
      <c r="M9160" s="118">
        <f t="shared" ref="M9160" si="14208">K9160*0.1</f>
        <v>218500</v>
      </c>
      <c r="N9160" s="119"/>
      <c r="O9160" s="118">
        <v>33000</v>
      </c>
      <c r="P9160" s="119"/>
      <c r="Q9160" s="118">
        <v>21070</v>
      </c>
      <c r="R9160" s="119"/>
      <c r="S9160" s="118">
        <v>16500</v>
      </c>
      <c r="T9160" s="119"/>
      <c r="U9160" s="118">
        <f t="shared" ref="U9160" si="14209">SUM(K9160:T9161)</f>
        <v>2474070</v>
      </c>
      <c r="V9160" s="122"/>
      <c r="W9160" s="124"/>
      <c r="X9160" s="126" t="s">
        <v>26105</v>
      </c>
      <c r="Y9160" s="127"/>
      <c r="Z9160" s="127"/>
      <c r="AA9160" s="127"/>
      <c r="AB9160" s="128"/>
      <c r="AC9160" s="15" t="s">
        <v>20</v>
      </c>
      <c r="AD9160" s="382" t="s">
        <v>26106</v>
      </c>
      <c r="AE9160" s="383"/>
      <c r="AF9160" s="383"/>
      <c r="AG9160" s="383"/>
      <c r="AH9160" s="383"/>
      <c r="AI9160" s="384"/>
      <c r="AJ9160" s="132"/>
      <c r="AK9160" s="127"/>
      <c r="AL9160" s="128"/>
      <c r="AM9160" s="21"/>
      <c r="AN9160" s="133"/>
      <c r="AO9160" s="134"/>
      <c r="AP9160" s="135"/>
      <c r="AQ9160" s="136"/>
      <c r="AR9160" s="118"/>
      <c r="AS9160" s="119"/>
      <c r="AT9160" s="118">
        <f t="shared" ref="AT9160" si="14210">AR9160*0.1</f>
        <v>0</v>
      </c>
      <c r="AU9160" s="119"/>
      <c r="AV9160" s="118"/>
      <c r="AW9160" s="119"/>
      <c r="AX9160" s="118">
        <f t="shared" ref="AX9160" si="14211">SUM(AR9160:AW9160)</f>
        <v>0</v>
      </c>
      <c r="AY9160" s="119"/>
      <c r="AZ9160" s="137"/>
    </row>
    <row r="9161" spans="1:52" ht="17.100000000000001" customHeight="1" thickBot="1">
      <c r="A9161" s="110"/>
      <c r="B9161" s="27" t="s">
        <v>1591</v>
      </c>
      <c r="C9161" s="27">
        <v>84288</v>
      </c>
      <c r="D9161" s="14" t="s">
        <v>1592</v>
      </c>
      <c r="E9161" s="112"/>
      <c r="F9161" s="139" t="s">
        <v>26104</v>
      </c>
      <c r="G9161" s="140"/>
      <c r="H9161" s="141"/>
      <c r="I9161" s="26">
        <v>32102</v>
      </c>
      <c r="J9161" s="117"/>
      <c r="K9161" s="120"/>
      <c r="L9161" s="121"/>
      <c r="M9161" s="120"/>
      <c r="N9161" s="121"/>
      <c r="O9161" s="120"/>
      <c r="P9161" s="121"/>
      <c r="Q9161" s="120"/>
      <c r="R9161" s="121"/>
      <c r="S9161" s="120"/>
      <c r="T9161" s="121"/>
      <c r="U9161" s="120"/>
      <c r="V9161" s="123"/>
      <c r="W9161" s="125"/>
      <c r="X9161" s="142"/>
      <c r="Y9161" s="143"/>
      <c r="Z9161" s="143"/>
      <c r="AA9161" s="143"/>
      <c r="AB9161" s="144"/>
      <c r="AC9161" s="16" t="s">
        <v>21</v>
      </c>
      <c r="AD9161" s="17"/>
      <c r="AE9161" s="145"/>
      <c r="AF9161" s="146"/>
      <c r="AG9161" s="146"/>
      <c r="AH9161" s="146"/>
      <c r="AI9161" s="147"/>
      <c r="AJ9161" s="148"/>
      <c r="AK9161" s="143"/>
      <c r="AL9161" s="144"/>
      <c r="AM9161" s="22"/>
      <c r="AN9161" s="149"/>
      <c r="AO9161" s="144"/>
      <c r="AP9161" s="148"/>
      <c r="AQ9161" s="144"/>
      <c r="AR9161" s="120"/>
      <c r="AS9161" s="121"/>
      <c r="AT9161" s="120"/>
      <c r="AU9161" s="121"/>
      <c r="AV9161" s="120"/>
      <c r="AW9161" s="121"/>
      <c r="AX9161" s="120"/>
      <c r="AY9161" s="121"/>
      <c r="AZ9161" s="138"/>
    </row>
    <row r="9162" spans="1:52" ht="17.100000000000001" customHeight="1" thickTop="1">
      <c r="A9162" s="109" t="s">
        <v>26042</v>
      </c>
      <c r="B9162" s="28">
        <v>46161</v>
      </c>
      <c r="C9162" s="25">
        <v>1941</v>
      </c>
      <c r="D9162" s="13" t="s">
        <v>1906</v>
      </c>
      <c r="E9162" s="111"/>
      <c r="F9162" s="113" t="s">
        <v>15533</v>
      </c>
      <c r="G9162" s="114"/>
      <c r="H9162" s="115"/>
      <c r="I9162" s="24"/>
      <c r="J9162" s="116">
        <v>4</v>
      </c>
      <c r="K9162" s="118">
        <v>511000</v>
      </c>
      <c r="L9162" s="119"/>
      <c r="M9162" s="118">
        <f t="shared" ref="M9162" si="14212">K9162*0.1</f>
        <v>51100</v>
      </c>
      <c r="N9162" s="119"/>
      <c r="O9162" s="118">
        <v>0</v>
      </c>
      <c r="P9162" s="119"/>
      <c r="Q9162" s="118">
        <v>6550</v>
      </c>
      <c r="R9162" s="119"/>
      <c r="S9162" s="118">
        <v>15950</v>
      </c>
      <c r="T9162" s="119"/>
      <c r="U9162" s="118">
        <f t="shared" ref="U9162" si="14213">SUM(K9162:T9163)</f>
        <v>584600</v>
      </c>
      <c r="V9162" s="122"/>
      <c r="W9162" s="124"/>
      <c r="X9162" s="126"/>
      <c r="Y9162" s="127"/>
      <c r="Z9162" s="127"/>
      <c r="AA9162" s="127"/>
      <c r="AB9162" s="128"/>
      <c r="AC9162" s="15" t="s">
        <v>20</v>
      </c>
      <c r="AD9162" s="129" t="s">
        <v>1670</v>
      </c>
      <c r="AE9162" s="130"/>
      <c r="AF9162" s="130"/>
      <c r="AG9162" s="130"/>
      <c r="AH9162" s="130"/>
      <c r="AI9162" s="131"/>
      <c r="AJ9162" s="132"/>
      <c r="AK9162" s="127"/>
      <c r="AL9162" s="128"/>
      <c r="AM9162" s="21"/>
      <c r="AN9162" s="133"/>
      <c r="AO9162" s="134"/>
      <c r="AP9162" s="135"/>
      <c r="AQ9162" s="136"/>
      <c r="AR9162" s="118"/>
      <c r="AS9162" s="119"/>
      <c r="AT9162" s="118">
        <f t="shared" ref="AT9162" si="14214">AR9162*0.1</f>
        <v>0</v>
      </c>
      <c r="AU9162" s="119"/>
      <c r="AV9162" s="118"/>
      <c r="AW9162" s="119"/>
      <c r="AX9162" s="118">
        <f t="shared" ref="AX9162" si="14215">SUM(AR9162:AW9162)</f>
        <v>0</v>
      </c>
      <c r="AY9162" s="119"/>
      <c r="AZ9162" s="137"/>
    </row>
    <row r="9163" spans="1:52" ht="17.100000000000001" customHeight="1" thickBot="1">
      <c r="A9163" s="110"/>
      <c r="B9163" s="27" t="s">
        <v>2131</v>
      </c>
      <c r="C9163" s="27">
        <v>3269</v>
      </c>
      <c r="D9163" s="14" t="s">
        <v>1720</v>
      </c>
      <c r="E9163" s="112"/>
      <c r="F9163" s="139" t="s">
        <v>26067</v>
      </c>
      <c r="G9163" s="140"/>
      <c r="H9163" s="141"/>
      <c r="I9163" s="26">
        <v>40783</v>
      </c>
      <c r="J9163" s="117"/>
      <c r="K9163" s="120"/>
      <c r="L9163" s="121"/>
      <c r="M9163" s="120"/>
      <c r="N9163" s="121"/>
      <c r="O9163" s="120"/>
      <c r="P9163" s="121"/>
      <c r="Q9163" s="120"/>
      <c r="R9163" s="121"/>
      <c r="S9163" s="120"/>
      <c r="T9163" s="121"/>
      <c r="U9163" s="120"/>
      <c r="V9163" s="123"/>
      <c r="W9163" s="125"/>
      <c r="X9163" s="142"/>
      <c r="Y9163" s="143"/>
      <c r="Z9163" s="143"/>
      <c r="AA9163" s="143"/>
      <c r="AB9163" s="144"/>
      <c r="AC9163" s="16" t="s">
        <v>21</v>
      </c>
      <c r="AD9163" s="17"/>
      <c r="AE9163" s="145"/>
      <c r="AF9163" s="146"/>
      <c r="AG9163" s="146"/>
      <c r="AH9163" s="146"/>
      <c r="AI9163" s="147"/>
      <c r="AJ9163" s="148"/>
      <c r="AK9163" s="143"/>
      <c r="AL9163" s="144"/>
      <c r="AM9163" s="22"/>
      <c r="AN9163" s="149"/>
      <c r="AO9163" s="144"/>
      <c r="AP9163" s="148"/>
      <c r="AQ9163" s="144"/>
      <c r="AR9163" s="120"/>
      <c r="AS9163" s="121"/>
      <c r="AT9163" s="120"/>
      <c r="AU9163" s="121"/>
      <c r="AV9163" s="120"/>
      <c r="AW9163" s="121"/>
      <c r="AX9163" s="120"/>
      <c r="AY9163" s="121"/>
      <c r="AZ9163" s="138"/>
    </row>
    <row r="9164" spans="1:52" ht="17.100000000000001" customHeight="1" thickTop="1">
      <c r="A9164" s="109" t="s">
        <v>26043</v>
      </c>
      <c r="B9164" s="28">
        <v>46161</v>
      </c>
      <c r="C9164" s="25">
        <v>1941</v>
      </c>
      <c r="D9164" s="13" t="s">
        <v>2949</v>
      </c>
      <c r="E9164" s="111"/>
      <c r="F9164" s="113" t="s">
        <v>2993</v>
      </c>
      <c r="G9164" s="114"/>
      <c r="H9164" s="115"/>
      <c r="I9164" s="24" t="s">
        <v>2919</v>
      </c>
      <c r="J9164" s="116">
        <v>4</v>
      </c>
      <c r="K9164" s="118">
        <v>711000</v>
      </c>
      <c r="L9164" s="119"/>
      <c r="M9164" s="118">
        <f t="shared" ref="M9164" si="14216">K9164*0.1</f>
        <v>71100</v>
      </c>
      <c r="N9164" s="119"/>
      <c r="O9164" s="118">
        <v>0</v>
      </c>
      <c r="P9164" s="119"/>
      <c r="Q9164" s="118">
        <v>8400</v>
      </c>
      <c r="R9164" s="119"/>
      <c r="S9164" s="118">
        <v>15950</v>
      </c>
      <c r="T9164" s="119"/>
      <c r="U9164" s="118">
        <f t="shared" ref="U9164" si="14217">SUM(K9164:T9165)</f>
        <v>806450</v>
      </c>
      <c r="V9164" s="122"/>
      <c r="W9164" s="124"/>
      <c r="X9164" s="126" t="s">
        <v>26107</v>
      </c>
      <c r="Y9164" s="127"/>
      <c r="Z9164" s="127"/>
      <c r="AA9164" s="127"/>
      <c r="AB9164" s="128"/>
      <c r="AC9164" s="15" t="s">
        <v>20</v>
      </c>
      <c r="AD9164" s="129"/>
      <c r="AE9164" s="130"/>
      <c r="AF9164" s="130"/>
      <c r="AG9164" s="130"/>
      <c r="AH9164" s="130"/>
      <c r="AI9164" s="131"/>
      <c r="AJ9164" s="132"/>
      <c r="AK9164" s="127"/>
      <c r="AL9164" s="128"/>
      <c r="AM9164" s="21"/>
      <c r="AN9164" s="133"/>
      <c r="AO9164" s="134"/>
      <c r="AP9164" s="135"/>
      <c r="AQ9164" s="136"/>
      <c r="AR9164" s="118"/>
      <c r="AS9164" s="119"/>
      <c r="AT9164" s="118">
        <f t="shared" ref="AT9164" si="14218">AR9164*0.1</f>
        <v>0</v>
      </c>
      <c r="AU9164" s="119"/>
      <c r="AV9164" s="118"/>
      <c r="AW9164" s="119"/>
      <c r="AX9164" s="118">
        <f t="shared" ref="AX9164" si="14219">SUM(AR9164:AW9164)</f>
        <v>0</v>
      </c>
      <c r="AY9164" s="119"/>
      <c r="AZ9164" s="137"/>
    </row>
    <row r="9165" spans="1:52" ht="17.100000000000001" customHeight="1" thickBot="1">
      <c r="A9165" s="110"/>
      <c r="B9165" s="27" t="s">
        <v>2131</v>
      </c>
      <c r="C9165" s="27">
        <v>3277</v>
      </c>
      <c r="D9165" s="14" t="s">
        <v>1610</v>
      </c>
      <c r="E9165" s="112"/>
      <c r="F9165" s="139" t="s">
        <v>26068</v>
      </c>
      <c r="G9165" s="140"/>
      <c r="H9165" s="141"/>
      <c r="I9165" s="26">
        <v>30149</v>
      </c>
      <c r="J9165" s="117"/>
      <c r="K9165" s="120"/>
      <c r="L9165" s="121"/>
      <c r="M9165" s="120"/>
      <c r="N9165" s="121"/>
      <c r="O9165" s="120"/>
      <c r="P9165" s="121"/>
      <c r="Q9165" s="120"/>
      <c r="R9165" s="121"/>
      <c r="S9165" s="120"/>
      <c r="T9165" s="121"/>
      <c r="U9165" s="120"/>
      <c r="V9165" s="123"/>
      <c r="W9165" s="125"/>
      <c r="X9165" s="142"/>
      <c r="Y9165" s="143"/>
      <c r="Z9165" s="143"/>
      <c r="AA9165" s="143"/>
      <c r="AB9165" s="144"/>
      <c r="AC9165" s="16" t="s">
        <v>21</v>
      </c>
      <c r="AD9165" s="17"/>
      <c r="AE9165" s="145"/>
      <c r="AF9165" s="146"/>
      <c r="AG9165" s="146"/>
      <c r="AH9165" s="146"/>
      <c r="AI9165" s="147"/>
      <c r="AJ9165" s="148"/>
      <c r="AK9165" s="143"/>
      <c r="AL9165" s="144"/>
      <c r="AM9165" s="22"/>
      <c r="AN9165" s="149"/>
      <c r="AO9165" s="144"/>
      <c r="AP9165" s="148"/>
      <c r="AQ9165" s="144"/>
      <c r="AR9165" s="120"/>
      <c r="AS9165" s="121"/>
      <c r="AT9165" s="120"/>
      <c r="AU9165" s="121"/>
      <c r="AV9165" s="120"/>
      <c r="AW9165" s="121"/>
      <c r="AX9165" s="120"/>
      <c r="AY9165" s="121"/>
      <c r="AZ9165" s="138"/>
    </row>
    <row r="9166" spans="1:52" ht="17.100000000000001" customHeight="1" thickTop="1">
      <c r="A9166" s="109" t="s">
        <v>26044</v>
      </c>
      <c r="B9166" s="28">
        <v>46161</v>
      </c>
      <c r="C9166" s="25">
        <v>1941</v>
      </c>
      <c r="D9166" s="13" t="s">
        <v>1760</v>
      </c>
      <c r="E9166" s="111"/>
      <c r="F9166" s="113" t="s">
        <v>15865</v>
      </c>
      <c r="G9166" s="114"/>
      <c r="H9166" s="115"/>
      <c r="I9166" s="24"/>
      <c r="J9166" s="116">
        <v>4.5</v>
      </c>
      <c r="K9166" s="118">
        <v>731000</v>
      </c>
      <c r="L9166" s="119"/>
      <c r="M9166" s="118">
        <f t="shared" ref="M9166" si="14220">K9166*0.1</f>
        <v>73100</v>
      </c>
      <c r="N9166" s="119"/>
      <c r="O9166" s="118">
        <v>0</v>
      </c>
      <c r="P9166" s="119"/>
      <c r="Q9166" s="118">
        <v>8010</v>
      </c>
      <c r="R9166" s="119"/>
      <c r="S9166" s="118">
        <v>15950</v>
      </c>
      <c r="T9166" s="119"/>
      <c r="U9166" s="118">
        <f t="shared" ref="U9166" si="14221">SUM(K9166:T9167)</f>
        <v>828060</v>
      </c>
      <c r="V9166" s="122"/>
      <c r="W9166" s="124"/>
      <c r="X9166" s="126"/>
      <c r="Y9166" s="127"/>
      <c r="Z9166" s="127"/>
      <c r="AA9166" s="127"/>
      <c r="AB9166" s="128"/>
      <c r="AC9166" s="15" t="s">
        <v>20</v>
      </c>
      <c r="AD9166" s="129" t="s">
        <v>5208</v>
      </c>
      <c r="AE9166" s="130"/>
      <c r="AF9166" s="130"/>
      <c r="AG9166" s="130"/>
      <c r="AH9166" s="130"/>
      <c r="AI9166" s="131"/>
      <c r="AJ9166" s="132"/>
      <c r="AK9166" s="127"/>
      <c r="AL9166" s="128"/>
      <c r="AM9166" s="21"/>
      <c r="AN9166" s="133"/>
      <c r="AO9166" s="134"/>
      <c r="AP9166" s="135"/>
      <c r="AQ9166" s="136"/>
      <c r="AR9166" s="118"/>
      <c r="AS9166" s="119"/>
      <c r="AT9166" s="118">
        <f t="shared" ref="AT9166" si="14222">AR9166*0.1</f>
        <v>0</v>
      </c>
      <c r="AU9166" s="119"/>
      <c r="AV9166" s="118"/>
      <c r="AW9166" s="119"/>
      <c r="AX9166" s="118">
        <f t="shared" ref="AX9166" si="14223">SUM(AR9166:AW9166)</f>
        <v>0</v>
      </c>
      <c r="AY9166" s="119"/>
      <c r="AZ9166" s="137"/>
    </row>
    <row r="9167" spans="1:52" ht="17.100000000000001" customHeight="1" thickBot="1">
      <c r="A9167" s="110"/>
      <c r="B9167" s="27" t="s">
        <v>2131</v>
      </c>
      <c r="C9167" s="27">
        <v>3312</v>
      </c>
      <c r="D9167" s="14" t="s">
        <v>1592</v>
      </c>
      <c r="E9167" s="112"/>
      <c r="F9167" s="139" t="s">
        <v>26069</v>
      </c>
      <c r="G9167" s="140"/>
      <c r="H9167" s="141"/>
      <c r="I9167" s="26">
        <v>70290</v>
      </c>
      <c r="J9167" s="117"/>
      <c r="K9167" s="120"/>
      <c r="L9167" s="121"/>
      <c r="M9167" s="120"/>
      <c r="N9167" s="121"/>
      <c r="O9167" s="120"/>
      <c r="P9167" s="121"/>
      <c r="Q9167" s="120"/>
      <c r="R9167" s="121"/>
      <c r="S9167" s="120"/>
      <c r="T9167" s="121"/>
      <c r="U9167" s="120"/>
      <c r="V9167" s="123"/>
      <c r="W9167" s="125"/>
      <c r="X9167" s="142"/>
      <c r="Y9167" s="143"/>
      <c r="Z9167" s="143"/>
      <c r="AA9167" s="143"/>
      <c r="AB9167" s="144"/>
      <c r="AC9167" s="16" t="s">
        <v>21</v>
      </c>
      <c r="AD9167" s="17"/>
      <c r="AE9167" s="145"/>
      <c r="AF9167" s="146"/>
      <c r="AG9167" s="146"/>
      <c r="AH9167" s="146"/>
      <c r="AI9167" s="147"/>
      <c r="AJ9167" s="148"/>
      <c r="AK9167" s="143"/>
      <c r="AL9167" s="144"/>
      <c r="AM9167" s="22"/>
      <c r="AN9167" s="149"/>
      <c r="AO9167" s="144"/>
      <c r="AP9167" s="148"/>
      <c r="AQ9167" s="144"/>
      <c r="AR9167" s="120"/>
      <c r="AS9167" s="121"/>
      <c r="AT9167" s="120"/>
      <c r="AU9167" s="121"/>
      <c r="AV9167" s="120"/>
      <c r="AW9167" s="121"/>
      <c r="AX9167" s="120"/>
      <c r="AY9167" s="121"/>
      <c r="AZ9167" s="138"/>
    </row>
    <row r="9168" spans="1:52" ht="17.100000000000001" customHeight="1" thickTop="1">
      <c r="A9168" s="109" t="s">
        <v>26045</v>
      </c>
      <c r="B9168" s="28">
        <v>46161</v>
      </c>
      <c r="C9168" s="25">
        <v>1941</v>
      </c>
      <c r="D9168" s="13" t="s">
        <v>859</v>
      </c>
      <c r="E9168" s="111"/>
      <c r="F9168" s="113" t="s">
        <v>15853</v>
      </c>
      <c r="G9168" s="114"/>
      <c r="H9168" s="115"/>
      <c r="I9168" s="24"/>
      <c r="J9168" s="116">
        <v>4</v>
      </c>
      <c r="K9168" s="118">
        <v>1139000</v>
      </c>
      <c r="L9168" s="119"/>
      <c r="M9168" s="118">
        <f t="shared" ref="M9168" si="14224">K9168*0.1</f>
        <v>113900</v>
      </c>
      <c r="N9168" s="119"/>
      <c r="O9168" s="118">
        <v>0</v>
      </c>
      <c r="P9168" s="119"/>
      <c r="Q9168" s="118">
        <v>8390</v>
      </c>
      <c r="R9168" s="119"/>
      <c r="S9168" s="118">
        <v>15950</v>
      </c>
      <c r="T9168" s="119"/>
      <c r="U9168" s="118">
        <f t="shared" ref="U9168" si="14225">SUM(K9168:T9169)</f>
        <v>1277240</v>
      </c>
      <c r="V9168" s="122"/>
      <c r="W9168" s="124"/>
      <c r="X9168" s="126"/>
      <c r="Y9168" s="127"/>
      <c r="Z9168" s="127"/>
      <c r="AA9168" s="127"/>
      <c r="AB9168" s="128"/>
      <c r="AC9168" s="15" t="s">
        <v>20</v>
      </c>
      <c r="AD9168" s="129"/>
      <c r="AE9168" s="130"/>
      <c r="AF9168" s="130"/>
      <c r="AG9168" s="130"/>
      <c r="AH9168" s="130"/>
      <c r="AI9168" s="131"/>
      <c r="AJ9168" s="132"/>
      <c r="AK9168" s="127"/>
      <c r="AL9168" s="128"/>
      <c r="AM9168" s="21"/>
      <c r="AN9168" s="133"/>
      <c r="AO9168" s="134"/>
      <c r="AP9168" s="135"/>
      <c r="AQ9168" s="136"/>
      <c r="AR9168" s="118"/>
      <c r="AS9168" s="119"/>
      <c r="AT9168" s="118">
        <f t="shared" ref="AT9168" si="14226">AR9168*0.1</f>
        <v>0</v>
      </c>
      <c r="AU9168" s="119"/>
      <c r="AV9168" s="118"/>
      <c r="AW9168" s="119"/>
      <c r="AX9168" s="118">
        <f t="shared" ref="AX9168" si="14227">SUM(AR9168:AW9168)</f>
        <v>0</v>
      </c>
      <c r="AY9168" s="119"/>
      <c r="AZ9168" s="137"/>
    </row>
    <row r="9169" spans="1:52" ht="17.100000000000001" customHeight="1" thickBot="1">
      <c r="A9169" s="110"/>
      <c r="B9169" s="27" t="s">
        <v>2131</v>
      </c>
      <c r="C9169" s="27">
        <v>3321</v>
      </c>
      <c r="D9169" s="14" t="s">
        <v>1812</v>
      </c>
      <c r="E9169" s="112"/>
      <c r="F9169" s="139" t="s">
        <v>26070</v>
      </c>
      <c r="G9169" s="140"/>
      <c r="H9169" s="141"/>
      <c r="I9169" s="26">
        <v>18258</v>
      </c>
      <c r="J9169" s="117"/>
      <c r="K9169" s="120"/>
      <c r="L9169" s="121"/>
      <c r="M9169" s="120"/>
      <c r="N9169" s="121"/>
      <c r="O9169" s="120"/>
      <c r="P9169" s="121"/>
      <c r="Q9169" s="120"/>
      <c r="R9169" s="121"/>
      <c r="S9169" s="120"/>
      <c r="T9169" s="121"/>
      <c r="U9169" s="120"/>
      <c r="V9169" s="123"/>
      <c r="W9169" s="125"/>
      <c r="X9169" s="142"/>
      <c r="Y9169" s="143"/>
      <c r="Z9169" s="143"/>
      <c r="AA9169" s="143"/>
      <c r="AB9169" s="144"/>
      <c r="AC9169" s="16" t="s">
        <v>21</v>
      </c>
      <c r="AD9169" s="17"/>
      <c r="AE9169" s="145"/>
      <c r="AF9169" s="146"/>
      <c r="AG9169" s="146"/>
      <c r="AH9169" s="146"/>
      <c r="AI9169" s="147"/>
      <c r="AJ9169" s="148"/>
      <c r="AK9169" s="143"/>
      <c r="AL9169" s="144"/>
      <c r="AM9169" s="22"/>
      <c r="AN9169" s="149"/>
      <c r="AO9169" s="144"/>
      <c r="AP9169" s="148"/>
      <c r="AQ9169" s="144"/>
      <c r="AR9169" s="120"/>
      <c r="AS9169" s="121"/>
      <c r="AT9169" s="120"/>
      <c r="AU9169" s="121"/>
      <c r="AV9169" s="120"/>
      <c r="AW9169" s="121"/>
      <c r="AX9169" s="120"/>
      <c r="AY9169" s="121"/>
      <c r="AZ9169" s="138"/>
    </row>
    <row r="9170" spans="1:52" ht="17.100000000000001" customHeight="1" thickTop="1">
      <c r="A9170" s="109" t="s">
        <v>26046</v>
      </c>
      <c r="B9170" s="28">
        <v>46161</v>
      </c>
      <c r="C9170" s="25">
        <v>1941</v>
      </c>
      <c r="D9170" s="13" t="s">
        <v>1986</v>
      </c>
      <c r="E9170" s="111"/>
      <c r="F9170" s="113" t="s">
        <v>16633</v>
      </c>
      <c r="G9170" s="114"/>
      <c r="H9170" s="115"/>
      <c r="I9170" s="24"/>
      <c r="J9170" s="116">
        <v>4</v>
      </c>
      <c r="K9170" s="118">
        <v>602000</v>
      </c>
      <c r="L9170" s="119"/>
      <c r="M9170" s="118">
        <f t="shared" ref="M9170" si="14228">K9170*0.1</f>
        <v>60200</v>
      </c>
      <c r="N9170" s="119"/>
      <c r="O9170" s="118">
        <v>0</v>
      </c>
      <c r="P9170" s="119"/>
      <c r="Q9170" s="118">
        <v>7150</v>
      </c>
      <c r="R9170" s="119"/>
      <c r="S9170" s="118">
        <v>15950</v>
      </c>
      <c r="T9170" s="119"/>
      <c r="U9170" s="118">
        <f t="shared" ref="U9170" si="14229">SUM(K9170:T9171)</f>
        <v>685300</v>
      </c>
      <c r="V9170" s="122"/>
      <c r="W9170" s="124"/>
      <c r="X9170" s="126"/>
      <c r="Y9170" s="127"/>
      <c r="Z9170" s="127"/>
      <c r="AA9170" s="127"/>
      <c r="AB9170" s="128"/>
      <c r="AC9170" s="15" t="s">
        <v>20</v>
      </c>
      <c r="AD9170" s="129"/>
      <c r="AE9170" s="130"/>
      <c r="AF9170" s="130"/>
      <c r="AG9170" s="130"/>
      <c r="AH9170" s="130"/>
      <c r="AI9170" s="131"/>
      <c r="AJ9170" s="132"/>
      <c r="AK9170" s="127"/>
      <c r="AL9170" s="128"/>
      <c r="AM9170" s="21"/>
      <c r="AN9170" s="133"/>
      <c r="AO9170" s="134"/>
      <c r="AP9170" s="135"/>
      <c r="AQ9170" s="136"/>
      <c r="AR9170" s="118"/>
      <c r="AS9170" s="119"/>
      <c r="AT9170" s="118">
        <f t="shared" ref="AT9170" si="14230">AR9170*0.1</f>
        <v>0</v>
      </c>
      <c r="AU9170" s="119"/>
      <c r="AV9170" s="118"/>
      <c r="AW9170" s="119"/>
      <c r="AX9170" s="118">
        <f t="shared" ref="AX9170" si="14231">SUM(AR9170:AW9170)</f>
        <v>0</v>
      </c>
      <c r="AY9170" s="119"/>
      <c r="AZ9170" s="137"/>
    </row>
    <row r="9171" spans="1:52" ht="17.100000000000001" customHeight="1" thickBot="1">
      <c r="A9171" s="110"/>
      <c r="B9171" s="27" t="s">
        <v>2131</v>
      </c>
      <c r="C9171" s="27">
        <v>3323</v>
      </c>
      <c r="D9171" s="14" t="s">
        <v>1720</v>
      </c>
      <c r="E9171" s="112"/>
      <c r="F9171" s="139" t="s">
        <v>26071</v>
      </c>
      <c r="G9171" s="140"/>
      <c r="H9171" s="141"/>
      <c r="I9171" s="26">
        <v>49168</v>
      </c>
      <c r="J9171" s="117"/>
      <c r="K9171" s="120"/>
      <c r="L9171" s="121"/>
      <c r="M9171" s="120"/>
      <c r="N9171" s="121"/>
      <c r="O9171" s="120"/>
      <c r="P9171" s="121"/>
      <c r="Q9171" s="120"/>
      <c r="R9171" s="121"/>
      <c r="S9171" s="120"/>
      <c r="T9171" s="121"/>
      <c r="U9171" s="120"/>
      <c r="V9171" s="123"/>
      <c r="W9171" s="125"/>
      <c r="X9171" s="142"/>
      <c r="Y9171" s="143"/>
      <c r="Z9171" s="143"/>
      <c r="AA9171" s="143"/>
      <c r="AB9171" s="144"/>
      <c r="AC9171" s="16" t="s">
        <v>21</v>
      </c>
      <c r="AD9171" s="17"/>
      <c r="AE9171" s="145"/>
      <c r="AF9171" s="146"/>
      <c r="AG9171" s="146"/>
      <c r="AH9171" s="146"/>
      <c r="AI9171" s="147"/>
      <c r="AJ9171" s="148"/>
      <c r="AK9171" s="143"/>
      <c r="AL9171" s="144"/>
      <c r="AM9171" s="22"/>
      <c r="AN9171" s="149"/>
      <c r="AO9171" s="144"/>
      <c r="AP9171" s="148"/>
      <c r="AQ9171" s="144"/>
      <c r="AR9171" s="120"/>
      <c r="AS9171" s="121"/>
      <c r="AT9171" s="120"/>
      <c r="AU9171" s="121"/>
      <c r="AV9171" s="120"/>
      <c r="AW9171" s="121"/>
      <c r="AX9171" s="120"/>
      <c r="AY9171" s="121"/>
      <c r="AZ9171" s="138"/>
    </row>
    <row r="9172" spans="1:52" ht="17.100000000000001" customHeight="1" thickTop="1">
      <c r="A9172" s="109" t="s">
        <v>26047</v>
      </c>
      <c r="B9172" s="28">
        <v>46161</v>
      </c>
      <c r="C9172" s="25">
        <v>1941</v>
      </c>
      <c r="D9172" s="13" t="s">
        <v>1651</v>
      </c>
      <c r="E9172" s="111"/>
      <c r="F9172" s="113" t="s">
        <v>7794</v>
      </c>
      <c r="G9172" s="114"/>
      <c r="H9172" s="115"/>
      <c r="I9172" s="24" t="s">
        <v>2112</v>
      </c>
      <c r="J9172" s="116">
        <v>3.5</v>
      </c>
      <c r="K9172" s="118">
        <v>604000</v>
      </c>
      <c r="L9172" s="119"/>
      <c r="M9172" s="118">
        <f t="shared" ref="M9172" si="14232">K9172*0.1</f>
        <v>60400</v>
      </c>
      <c r="N9172" s="119"/>
      <c r="O9172" s="118">
        <v>0</v>
      </c>
      <c r="P9172" s="119"/>
      <c r="Q9172" s="118">
        <v>8010</v>
      </c>
      <c r="R9172" s="119"/>
      <c r="S9172" s="118">
        <v>15950</v>
      </c>
      <c r="T9172" s="119"/>
      <c r="U9172" s="118">
        <f t="shared" ref="U9172" si="14233">SUM(K9172:T9173)</f>
        <v>688360</v>
      </c>
      <c r="V9172" s="122"/>
      <c r="W9172" s="124"/>
      <c r="X9172" s="126" t="s">
        <v>26108</v>
      </c>
      <c r="Y9172" s="127"/>
      <c r="Z9172" s="127"/>
      <c r="AA9172" s="127"/>
      <c r="AB9172" s="128"/>
      <c r="AC9172" s="15" t="s">
        <v>20</v>
      </c>
      <c r="AD9172" s="129" t="s">
        <v>17270</v>
      </c>
      <c r="AE9172" s="130"/>
      <c r="AF9172" s="130"/>
      <c r="AG9172" s="130"/>
      <c r="AH9172" s="130"/>
      <c r="AI9172" s="131"/>
      <c r="AJ9172" s="132"/>
      <c r="AK9172" s="127"/>
      <c r="AL9172" s="128"/>
      <c r="AM9172" s="21"/>
      <c r="AN9172" s="133"/>
      <c r="AO9172" s="134"/>
      <c r="AP9172" s="135"/>
      <c r="AQ9172" s="136"/>
      <c r="AR9172" s="118"/>
      <c r="AS9172" s="119"/>
      <c r="AT9172" s="118">
        <f t="shared" ref="AT9172" si="14234">AR9172*0.1</f>
        <v>0</v>
      </c>
      <c r="AU9172" s="119"/>
      <c r="AV9172" s="118"/>
      <c r="AW9172" s="119"/>
      <c r="AX9172" s="118">
        <f t="shared" ref="AX9172" si="14235">SUM(AR9172:AW9172)</f>
        <v>0</v>
      </c>
      <c r="AY9172" s="119"/>
      <c r="AZ9172" s="137"/>
    </row>
    <row r="9173" spans="1:52" ht="17.100000000000001" customHeight="1" thickBot="1">
      <c r="A9173" s="110"/>
      <c r="B9173" s="27" t="s">
        <v>2131</v>
      </c>
      <c r="C9173" s="27">
        <v>3384</v>
      </c>
      <c r="D9173" s="14" t="s">
        <v>1592</v>
      </c>
      <c r="E9173" s="112"/>
      <c r="F9173" s="139" t="s">
        <v>26072</v>
      </c>
      <c r="G9173" s="140"/>
      <c r="H9173" s="141"/>
      <c r="I9173" s="26">
        <v>58376</v>
      </c>
      <c r="J9173" s="117"/>
      <c r="K9173" s="120"/>
      <c r="L9173" s="121"/>
      <c r="M9173" s="120"/>
      <c r="N9173" s="121"/>
      <c r="O9173" s="120"/>
      <c r="P9173" s="121"/>
      <c r="Q9173" s="120"/>
      <c r="R9173" s="121"/>
      <c r="S9173" s="120"/>
      <c r="T9173" s="121"/>
      <c r="U9173" s="120"/>
      <c r="V9173" s="123"/>
      <c r="W9173" s="125"/>
      <c r="X9173" s="142"/>
      <c r="Y9173" s="143"/>
      <c r="Z9173" s="143"/>
      <c r="AA9173" s="143"/>
      <c r="AB9173" s="144"/>
      <c r="AC9173" s="16" t="s">
        <v>21</v>
      </c>
      <c r="AD9173" s="17"/>
      <c r="AE9173" s="145"/>
      <c r="AF9173" s="146"/>
      <c r="AG9173" s="146"/>
      <c r="AH9173" s="146"/>
      <c r="AI9173" s="147"/>
      <c r="AJ9173" s="148"/>
      <c r="AK9173" s="143"/>
      <c r="AL9173" s="144"/>
      <c r="AM9173" s="22"/>
      <c r="AN9173" s="149"/>
      <c r="AO9173" s="144"/>
      <c r="AP9173" s="148"/>
      <c r="AQ9173" s="144"/>
      <c r="AR9173" s="120"/>
      <c r="AS9173" s="121"/>
      <c r="AT9173" s="120"/>
      <c r="AU9173" s="121"/>
      <c r="AV9173" s="120"/>
      <c r="AW9173" s="121"/>
      <c r="AX9173" s="120"/>
      <c r="AY9173" s="121"/>
      <c r="AZ9173" s="138"/>
    </row>
    <row r="9174" spans="1:52" ht="17.100000000000001" customHeight="1" thickTop="1">
      <c r="A9174" s="109" t="s">
        <v>26048</v>
      </c>
      <c r="B9174" s="28">
        <v>46161</v>
      </c>
      <c r="C9174" s="25">
        <v>1941</v>
      </c>
      <c r="D9174" s="13" t="s">
        <v>1651</v>
      </c>
      <c r="E9174" s="111"/>
      <c r="F9174" s="113" t="s">
        <v>16016</v>
      </c>
      <c r="G9174" s="114"/>
      <c r="H9174" s="115"/>
      <c r="I9174" s="24"/>
      <c r="J9174" s="116">
        <v>4</v>
      </c>
      <c r="K9174" s="118">
        <v>1331000</v>
      </c>
      <c r="L9174" s="119"/>
      <c r="M9174" s="118">
        <f t="shared" ref="M9174" si="14236">K9174*0.1</f>
        <v>133100</v>
      </c>
      <c r="N9174" s="119"/>
      <c r="O9174" s="118">
        <v>0</v>
      </c>
      <c r="P9174" s="119"/>
      <c r="Q9174" s="118">
        <v>7040</v>
      </c>
      <c r="R9174" s="119"/>
      <c r="S9174" s="118">
        <v>15950</v>
      </c>
      <c r="T9174" s="119"/>
      <c r="U9174" s="118">
        <f t="shared" ref="U9174" si="14237">SUM(K9174:T9175)</f>
        <v>1487090</v>
      </c>
      <c r="V9174" s="122"/>
      <c r="W9174" s="124"/>
      <c r="X9174" s="126"/>
      <c r="Y9174" s="127"/>
      <c r="Z9174" s="127"/>
      <c r="AA9174" s="127"/>
      <c r="AB9174" s="128"/>
      <c r="AC9174" s="15" t="s">
        <v>20</v>
      </c>
      <c r="AD9174" s="129" t="s">
        <v>7512</v>
      </c>
      <c r="AE9174" s="130"/>
      <c r="AF9174" s="130"/>
      <c r="AG9174" s="130"/>
      <c r="AH9174" s="130"/>
      <c r="AI9174" s="131"/>
      <c r="AJ9174" s="132"/>
      <c r="AK9174" s="127"/>
      <c r="AL9174" s="128"/>
      <c r="AM9174" s="21"/>
      <c r="AN9174" s="133"/>
      <c r="AO9174" s="134"/>
      <c r="AP9174" s="135"/>
      <c r="AQ9174" s="136"/>
      <c r="AR9174" s="118"/>
      <c r="AS9174" s="119"/>
      <c r="AT9174" s="118">
        <f t="shared" ref="AT9174" si="14238">AR9174*0.1</f>
        <v>0</v>
      </c>
      <c r="AU9174" s="119"/>
      <c r="AV9174" s="118"/>
      <c r="AW9174" s="119"/>
      <c r="AX9174" s="118">
        <f t="shared" ref="AX9174" si="14239">SUM(AR9174:AW9174)</f>
        <v>0</v>
      </c>
      <c r="AY9174" s="119"/>
      <c r="AZ9174" s="137"/>
    </row>
    <row r="9175" spans="1:52" ht="17.100000000000001" customHeight="1" thickBot="1">
      <c r="A9175" s="110"/>
      <c r="B9175" s="27" t="s">
        <v>2131</v>
      </c>
      <c r="C9175" s="27">
        <v>3416</v>
      </c>
      <c r="D9175" s="14" t="s">
        <v>2601</v>
      </c>
      <c r="E9175" s="112"/>
      <c r="F9175" s="139" t="s">
        <v>26073</v>
      </c>
      <c r="G9175" s="140"/>
      <c r="H9175" s="141"/>
      <c r="I9175" s="26">
        <v>21424</v>
      </c>
      <c r="J9175" s="117"/>
      <c r="K9175" s="120"/>
      <c r="L9175" s="121"/>
      <c r="M9175" s="120"/>
      <c r="N9175" s="121"/>
      <c r="O9175" s="120"/>
      <c r="P9175" s="121"/>
      <c r="Q9175" s="120"/>
      <c r="R9175" s="121"/>
      <c r="S9175" s="120"/>
      <c r="T9175" s="121"/>
      <c r="U9175" s="120"/>
      <c r="V9175" s="123"/>
      <c r="W9175" s="125"/>
      <c r="X9175" s="142"/>
      <c r="Y9175" s="143"/>
      <c r="Z9175" s="143"/>
      <c r="AA9175" s="143"/>
      <c r="AB9175" s="144"/>
      <c r="AC9175" s="16" t="s">
        <v>21</v>
      </c>
      <c r="AD9175" s="17"/>
      <c r="AE9175" s="145"/>
      <c r="AF9175" s="146"/>
      <c r="AG9175" s="146"/>
      <c r="AH9175" s="146"/>
      <c r="AI9175" s="147"/>
      <c r="AJ9175" s="148"/>
      <c r="AK9175" s="143"/>
      <c r="AL9175" s="144"/>
      <c r="AM9175" s="22"/>
      <c r="AN9175" s="149"/>
      <c r="AO9175" s="144"/>
      <c r="AP9175" s="148"/>
      <c r="AQ9175" s="144"/>
      <c r="AR9175" s="120"/>
      <c r="AS9175" s="121"/>
      <c r="AT9175" s="120"/>
      <c r="AU9175" s="121"/>
      <c r="AV9175" s="120"/>
      <c r="AW9175" s="121"/>
      <c r="AX9175" s="120"/>
      <c r="AY9175" s="121"/>
      <c r="AZ9175" s="138"/>
    </row>
    <row r="9176" spans="1:52" ht="17.100000000000001" customHeight="1" thickTop="1">
      <c r="A9176" s="109" t="s">
        <v>26049</v>
      </c>
      <c r="B9176" s="28">
        <v>46161</v>
      </c>
      <c r="C9176" s="25">
        <v>1941</v>
      </c>
      <c r="D9176" s="13" t="s">
        <v>2465</v>
      </c>
      <c r="E9176" s="111"/>
      <c r="F9176" s="113" t="s">
        <v>15571</v>
      </c>
      <c r="G9176" s="114"/>
      <c r="H9176" s="115"/>
      <c r="I9176" s="24"/>
      <c r="J9176" s="116">
        <v>3.5</v>
      </c>
      <c r="K9176" s="118">
        <v>371000</v>
      </c>
      <c r="L9176" s="119"/>
      <c r="M9176" s="118">
        <f t="shared" ref="M9176" si="14240">K9176*0.1</f>
        <v>37100</v>
      </c>
      <c r="N9176" s="119"/>
      <c r="O9176" s="118">
        <v>0</v>
      </c>
      <c r="P9176" s="119"/>
      <c r="Q9176" s="118">
        <v>8850</v>
      </c>
      <c r="R9176" s="119"/>
      <c r="S9176" s="118">
        <v>15950</v>
      </c>
      <c r="T9176" s="119"/>
      <c r="U9176" s="118">
        <f t="shared" ref="U9176" si="14241">SUM(K9176:T9177)</f>
        <v>432900</v>
      </c>
      <c r="V9176" s="122"/>
      <c r="W9176" s="124"/>
      <c r="X9176" s="126"/>
      <c r="Y9176" s="127"/>
      <c r="Z9176" s="127"/>
      <c r="AA9176" s="127"/>
      <c r="AB9176" s="128"/>
      <c r="AC9176" s="15" t="s">
        <v>20</v>
      </c>
      <c r="AD9176" s="129"/>
      <c r="AE9176" s="130"/>
      <c r="AF9176" s="130"/>
      <c r="AG9176" s="130"/>
      <c r="AH9176" s="130"/>
      <c r="AI9176" s="131"/>
      <c r="AJ9176" s="132"/>
      <c r="AK9176" s="127"/>
      <c r="AL9176" s="128"/>
      <c r="AM9176" s="21"/>
      <c r="AN9176" s="133"/>
      <c r="AO9176" s="134"/>
      <c r="AP9176" s="135"/>
      <c r="AQ9176" s="136"/>
      <c r="AR9176" s="118"/>
      <c r="AS9176" s="119"/>
      <c r="AT9176" s="118">
        <f t="shared" ref="AT9176" si="14242">AR9176*0.1</f>
        <v>0</v>
      </c>
      <c r="AU9176" s="119"/>
      <c r="AV9176" s="118"/>
      <c r="AW9176" s="119"/>
      <c r="AX9176" s="118">
        <f t="shared" ref="AX9176" si="14243">SUM(AR9176:AW9176)</f>
        <v>0</v>
      </c>
      <c r="AY9176" s="119"/>
      <c r="AZ9176" s="137"/>
    </row>
    <row r="9177" spans="1:52" ht="17.100000000000001" customHeight="1" thickBot="1">
      <c r="A9177" s="110"/>
      <c r="B9177" s="27" t="s">
        <v>2131</v>
      </c>
      <c r="C9177" s="27">
        <v>3469</v>
      </c>
      <c r="D9177" s="14" t="s">
        <v>19929</v>
      </c>
      <c r="E9177" s="112"/>
      <c r="F9177" s="139" t="s">
        <v>26074</v>
      </c>
      <c r="G9177" s="140"/>
      <c r="H9177" s="141"/>
      <c r="I9177" s="26">
        <v>18610</v>
      </c>
      <c r="J9177" s="117"/>
      <c r="K9177" s="120"/>
      <c r="L9177" s="121"/>
      <c r="M9177" s="120"/>
      <c r="N9177" s="121"/>
      <c r="O9177" s="120"/>
      <c r="P9177" s="121"/>
      <c r="Q9177" s="120"/>
      <c r="R9177" s="121"/>
      <c r="S9177" s="120"/>
      <c r="T9177" s="121"/>
      <c r="U9177" s="120"/>
      <c r="V9177" s="123"/>
      <c r="W9177" s="125"/>
      <c r="X9177" s="142"/>
      <c r="Y9177" s="143"/>
      <c r="Z9177" s="143"/>
      <c r="AA9177" s="143"/>
      <c r="AB9177" s="144"/>
      <c r="AC9177" s="16" t="s">
        <v>21</v>
      </c>
      <c r="AD9177" s="17"/>
      <c r="AE9177" s="145"/>
      <c r="AF9177" s="146"/>
      <c r="AG9177" s="146"/>
      <c r="AH9177" s="146"/>
      <c r="AI9177" s="147"/>
      <c r="AJ9177" s="148"/>
      <c r="AK9177" s="143"/>
      <c r="AL9177" s="144"/>
      <c r="AM9177" s="22"/>
      <c r="AN9177" s="149"/>
      <c r="AO9177" s="144"/>
      <c r="AP9177" s="148"/>
      <c r="AQ9177" s="144"/>
      <c r="AR9177" s="120"/>
      <c r="AS9177" s="121"/>
      <c r="AT9177" s="120"/>
      <c r="AU9177" s="121"/>
      <c r="AV9177" s="120"/>
      <c r="AW9177" s="121"/>
      <c r="AX9177" s="120"/>
      <c r="AY9177" s="121"/>
      <c r="AZ9177" s="138"/>
    </row>
    <row r="9178" spans="1:52" ht="17.100000000000001" customHeight="1" thickTop="1">
      <c r="A9178" s="109" t="s">
        <v>26050</v>
      </c>
      <c r="B9178" s="28">
        <v>46161</v>
      </c>
      <c r="C9178" s="25">
        <v>1941</v>
      </c>
      <c r="D9178" s="13" t="s">
        <v>1803</v>
      </c>
      <c r="E9178" s="111"/>
      <c r="F9178" s="113" t="s">
        <v>26075</v>
      </c>
      <c r="G9178" s="114"/>
      <c r="H9178" s="115"/>
      <c r="I9178" s="24"/>
      <c r="J9178" s="116">
        <v>4.5</v>
      </c>
      <c r="K9178" s="118">
        <v>1306000</v>
      </c>
      <c r="L9178" s="119"/>
      <c r="M9178" s="118">
        <f t="shared" ref="M9178" si="14244">K9178*0.1</f>
        <v>130600</v>
      </c>
      <c r="N9178" s="119"/>
      <c r="O9178" s="118">
        <v>0</v>
      </c>
      <c r="P9178" s="119"/>
      <c r="Q9178" s="118">
        <v>16480</v>
      </c>
      <c r="R9178" s="119"/>
      <c r="S9178" s="118">
        <v>15950</v>
      </c>
      <c r="T9178" s="119"/>
      <c r="U9178" s="118">
        <f t="shared" ref="U9178" si="14245">SUM(K9178:T9179)</f>
        <v>1469030</v>
      </c>
      <c r="V9178" s="122"/>
      <c r="W9178" s="124"/>
      <c r="X9178" s="126"/>
      <c r="Y9178" s="127"/>
      <c r="Z9178" s="127"/>
      <c r="AA9178" s="127"/>
      <c r="AB9178" s="128"/>
      <c r="AC9178" s="15" t="s">
        <v>20</v>
      </c>
      <c r="AD9178" s="129"/>
      <c r="AE9178" s="130"/>
      <c r="AF9178" s="130"/>
      <c r="AG9178" s="130"/>
      <c r="AH9178" s="130"/>
      <c r="AI9178" s="131"/>
      <c r="AJ9178" s="132"/>
      <c r="AK9178" s="127"/>
      <c r="AL9178" s="128"/>
      <c r="AM9178" s="21"/>
      <c r="AN9178" s="133"/>
      <c r="AO9178" s="134"/>
      <c r="AP9178" s="135"/>
      <c r="AQ9178" s="136"/>
      <c r="AR9178" s="118"/>
      <c r="AS9178" s="119"/>
      <c r="AT9178" s="118">
        <f t="shared" ref="AT9178" si="14246">AR9178*0.1</f>
        <v>0</v>
      </c>
      <c r="AU9178" s="119"/>
      <c r="AV9178" s="118"/>
      <c r="AW9178" s="119"/>
      <c r="AX9178" s="118">
        <f t="shared" ref="AX9178" si="14247">SUM(AR9178:AW9178)</f>
        <v>0</v>
      </c>
      <c r="AY9178" s="119"/>
      <c r="AZ9178" s="137"/>
    </row>
    <row r="9179" spans="1:52" ht="17.100000000000001" customHeight="1" thickBot="1">
      <c r="A9179" s="110"/>
      <c r="B9179" s="27" t="s">
        <v>2131</v>
      </c>
      <c r="C9179" s="27">
        <v>5035</v>
      </c>
      <c r="D9179" s="14" t="s">
        <v>1592</v>
      </c>
      <c r="E9179" s="112"/>
      <c r="F9179" s="139" t="s">
        <v>26109</v>
      </c>
      <c r="G9179" s="140"/>
      <c r="H9179" s="141"/>
      <c r="I9179" s="26">
        <v>25794</v>
      </c>
      <c r="J9179" s="117"/>
      <c r="K9179" s="120"/>
      <c r="L9179" s="121"/>
      <c r="M9179" s="120"/>
      <c r="N9179" s="121"/>
      <c r="O9179" s="120"/>
      <c r="P9179" s="121"/>
      <c r="Q9179" s="120"/>
      <c r="R9179" s="121"/>
      <c r="S9179" s="120"/>
      <c r="T9179" s="121"/>
      <c r="U9179" s="120"/>
      <c r="V9179" s="123"/>
      <c r="W9179" s="125"/>
      <c r="X9179" s="142"/>
      <c r="Y9179" s="143"/>
      <c r="Z9179" s="143"/>
      <c r="AA9179" s="143"/>
      <c r="AB9179" s="144"/>
      <c r="AC9179" s="16" t="s">
        <v>21</v>
      </c>
      <c r="AD9179" s="17"/>
      <c r="AE9179" s="145"/>
      <c r="AF9179" s="146"/>
      <c r="AG9179" s="146"/>
      <c r="AH9179" s="146"/>
      <c r="AI9179" s="147"/>
      <c r="AJ9179" s="148"/>
      <c r="AK9179" s="143"/>
      <c r="AL9179" s="144"/>
      <c r="AM9179" s="22"/>
      <c r="AN9179" s="149"/>
      <c r="AO9179" s="144"/>
      <c r="AP9179" s="148"/>
      <c r="AQ9179" s="144"/>
      <c r="AR9179" s="120"/>
      <c r="AS9179" s="121"/>
      <c r="AT9179" s="120"/>
      <c r="AU9179" s="121"/>
      <c r="AV9179" s="120"/>
      <c r="AW9179" s="121"/>
      <c r="AX9179" s="120"/>
      <c r="AY9179" s="121"/>
      <c r="AZ9179" s="138"/>
    </row>
    <row r="9180" spans="1:52" ht="17.100000000000001" customHeight="1" thickTop="1">
      <c r="A9180" s="109" t="s">
        <v>26051</v>
      </c>
      <c r="B9180" s="28">
        <v>46161</v>
      </c>
      <c r="C9180" s="25">
        <v>1941</v>
      </c>
      <c r="D9180" s="13" t="s">
        <v>2301</v>
      </c>
      <c r="E9180" s="111"/>
      <c r="F9180" s="113" t="s">
        <v>1871</v>
      </c>
      <c r="G9180" s="114"/>
      <c r="H9180" s="115"/>
      <c r="I9180" s="24" t="s">
        <v>2956</v>
      </c>
      <c r="J9180" s="116">
        <v>4.5</v>
      </c>
      <c r="K9180" s="118">
        <v>1092000</v>
      </c>
      <c r="L9180" s="119"/>
      <c r="M9180" s="118">
        <f t="shared" ref="M9180" si="14248">K9180*0.1</f>
        <v>109200</v>
      </c>
      <c r="N9180" s="119"/>
      <c r="O9180" s="118">
        <v>36190</v>
      </c>
      <c r="P9180" s="119"/>
      <c r="Q9180" s="118">
        <v>16240</v>
      </c>
      <c r="R9180" s="119"/>
      <c r="S9180" s="118">
        <v>15950</v>
      </c>
      <c r="T9180" s="119"/>
      <c r="U9180" s="118">
        <f t="shared" ref="U9180" si="14249">SUM(K9180:T9181)</f>
        <v>1269580</v>
      </c>
      <c r="V9180" s="122"/>
      <c r="W9180" s="124"/>
      <c r="X9180" s="126" t="s">
        <v>26111</v>
      </c>
      <c r="Y9180" s="127"/>
      <c r="Z9180" s="127"/>
      <c r="AA9180" s="127"/>
      <c r="AB9180" s="128"/>
      <c r="AC9180" s="15" t="s">
        <v>20</v>
      </c>
      <c r="AD9180" s="129"/>
      <c r="AE9180" s="130"/>
      <c r="AF9180" s="130"/>
      <c r="AG9180" s="130"/>
      <c r="AH9180" s="130"/>
      <c r="AI9180" s="131"/>
      <c r="AJ9180" s="132"/>
      <c r="AK9180" s="127"/>
      <c r="AL9180" s="128"/>
      <c r="AM9180" s="21"/>
      <c r="AN9180" s="133"/>
      <c r="AO9180" s="134"/>
      <c r="AP9180" s="135"/>
      <c r="AQ9180" s="136"/>
      <c r="AR9180" s="118"/>
      <c r="AS9180" s="119"/>
      <c r="AT9180" s="118">
        <f t="shared" ref="AT9180" si="14250">AR9180*0.1</f>
        <v>0</v>
      </c>
      <c r="AU9180" s="119"/>
      <c r="AV9180" s="118"/>
      <c r="AW9180" s="119"/>
      <c r="AX9180" s="118">
        <f t="shared" ref="AX9180" si="14251">SUM(AR9180:AW9180)</f>
        <v>0</v>
      </c>
      <c r="AY9180" s="119"/>
      <c r="AZ9180" s="137"/>
    </row>
    <row r="9181" spans="1:52" ht="17.100000000000001" customHeight="1" thickBot="1">
      <c r="A9181" s="110"/>
      <c r="B9181" s="27" t="s">
        <v>2131</v>
      </c>
      <c r="C9181" s="27">
        <v>5073</v>
      </c>
      <c r="D9181" s="14" t="s">
        <v>1748</v>
      </c>
      <c r="E9181" s="112"/>
      <c r="F9181" s="139" t="s">
        <v>26110</v>
      </c>
      <c r="G9181" s="140"/>
      <c r="H9181" s="141"/>
      <c r="I9181" s="26">
        <v>53612</v>
      </c>
      <c r="J9181" s="117"/>
      <c r="K9181" s="120"/>
      <c r="L9181" s="121"/>
      <c r="M9181" s="120"/>
      <c r="N9181" s="121"/>
      <c r="O9181" s="120"/>
      <c r="P9181" s="121"/>
      <c r="Q9181" s="120"/>
      <c r="R9181" s="121"/>
      <c r="S9181" s="120"/>
      <c r="T9181" s="121"/>
      <c r="U9181" s="120"/>
      <c r="V9181" s="123"/>
      <c r="W9181" s="125"/>
      <c r="X9181" s="142"/>
      <c r="Y9181" s="143"/>
      <c r="Z9181" s="143"/>
      <c r="AA9181" s="143"/>
      <c r="AB9181" s="144"/>
      <c r="AC9181" s="16" t="s">
        <v>21</v>
      </c>
      <c r="AD9181" s="17"/>
      <c r="AE9181" s="145"/>
      <c r="AF9181" s="146"/>
      <c r="AG9181" s="146"/>
      <c r="AH9181" s="146"/>
      <c r="AI9181" s="147"/>
      <c r="AJ9181" s="148"/>
      <c r="AK9181" s="143"/>
      <c r="AL9181" s="144"/>
      <c r="AM9181" s="22"/>
      <c r="AN9181" s="149"/>
      <c r="AO9181" s="144"/>
      <c r="AP9181" s="148"/>
      <c r="AQ9181" s="144"/>
      <c r="AR9181" s="120"/>
      <c r="AS9181" s="121"/>
      <c r="AT9181" s="120"/>
      <c r="AU9181" s="121"/>
      <c r="AV9181" s="120"/>
      <c r="AW9181" s="121"/>
      <c r="AX9181" s="120"/>
      <c r="AY9181" s="121"/>
      <c r="AZ9181" s="138"/>
    </row>
    <row r="9182" spans="1:52" ht="17.100000000000001" customHeight="1" thickTop="1">
      <c r="A9182" s="109" t="s">
        <v>26052</v>
      </c>
      <c r="B9182" s="28">
        <v>46161</v>
      </c>
      <c r="C9182" s="25">
        <v>1941</v>
      </c>
      <c r="D9182" s="13" t="s">
        <v>1986</v>
      </c>
      <c r="E9182" s="111"/>
      <c r="F9182" s="113" t="s">
        <v>15949</v>
      </c>
      <c r="G9182" s="114"/>
      <c r="H9182" s="115"/>
      <c r="I9182" s="24"/>
      <c r="J9182" s="116">
        <v>3.5</v>
      </c>
      <c r="K9182" s="118">
        <v>340000</v>
      </c>
      <c r="L9182" s="119"/>
      <c r="M9182" s="118">
        <f t="shared" ref="M9182" si="14252">K9182*0.1</f>
        <v>34000</v>
      </c>
      <c r="N9182" s="119"/>
      <c r="O9182" s="118">
        <v>0</v>
      </c>
      <c r="P9182" s="119"/>
      <c r="Q9182" s="118">
        <v>7140</v>
      </c>
      <c r="R9182" s="119"/>
      <c r="S9182" s="118">
        <v>15950</v>
      </c>
      <c r="T9182" s="119"/>
      <c r="U9182" s="118">
        <f t="shared" ref="U9182" si="14253">SUM(K9182:T9183)</f>
        <v>397090</v>
      </c>
      <c r="V9182" s="122"/>
      <c r="W9182" s="124"/>
      <c r="X9182" s="126"/>
      <c r="Y9182" s="127"/>
      <c r="Z9182" s="127"/>
      <c r="AA9182" s="127"/>
      <c r="AB9182" s="128"/>
      <c r="AC9182" s="15" t="s">
        <v>20</v>
      </c>
      <c r="AD9182" s="129" t="s">
        <v>5208</v>
      </c>
      <c r="AE9182" s="130"/>
      <c r="AF9182" s="130"/>
      <c r="AG9182" s="130"/>
      <c r="AH9182" s="130"/>
      <c r="AI9182" s="131"/>
      <c r="AJ9182" s="132"/>
      <c r="AK9182" s="127"/>
      <c r="AL9182" s="128"/>
      <c r="AM9182" s="21"/>
      <c r="AN9182" s="133"/>
      <c r="AO9182" s="134"/>
      <c r="AP9182" s="135"/>
      <c r="AQ9182" s="136"/>
      <c r="AR9182" s="118"/>
      <c r="AS9182" s="119"/>
      <c r="AT9182" s="118">
        <f t="shared" ref="AT9182" si="14254">AR9182*0.1</f>
        <v>0</v>
      </c>
      <c r="AU9182" s="119"/>
      <c r="AV9182" s="118"/>
      <c r="AW9182" s="119"/>
      <c r="AX9182" s="118">
        <f t="shared" ref="AX9182" si="14255">SUM(AR9182:AW9182)</f>
        <v>0</v>
      </c>
      <c r="AY9182" s="119"/>
      <c r="AZ9182" s="137"/>
    </row>
    <row r="9183" spans="1:52" ht="17.100000000000001" customHeight="1" thickBot="1">
      <c r="A9183" s="110"/>
      <c r="B9183" s="27" t="s">
        <v>2131</v>
      </c>
      <c r="C9183" s="27">
        <v>5412</v>
      </c>
      <c r="D9183" s="14" t="s">
        <v>1720</v>
      </c>
      <c r="E9183" s="112"/>
      <c r="F9183" s="139" t="s">
        <v>26076</v>
      </c>
      <c r="G9183" s="140"/>
      <c r="H9183" s="141"/>
      <c r="I9183" s="26">
        <v>33680</v>
      </c>
      <c r="J9183" s="117"/>
      <c r="K9183" s="120"/>
      <c r="L9183" s="121"/>
      <c r="M9183" s="120"/>
      <c r="N9183" s="121"/>
      <c r="O9183" s="120"/>
      <c r="P9183" s="121"/>
      <c r="Q9183" s="120"/>
      <c r="R9183" s="121"/>
      <c r="S9183" s="120"/>
      <c r="T9183" s="121"/>
      <c r="U9183" s="120"/>
      <c r="V9183" s="123"/>
      <c r="W9183" s="125"/>
      <c r="X9183" s="142"/>
      <c r="Y9183" s="143"/>
      <c r="Z9183" s="143"/>
      <c r="AA9183" s="143"/>
      <c r="AB9183" s="144"/>
      <c r="AC9183" s="16" t="s">
        <v>21</v>
      </c>
      <c r="AD9183" s="17"/>
      <c r="AE9183" s="145"/>
      <c r="AF9183" s="146"/>
      <c r="AG9183" s="146"/>
      <c r="AH9183" s="146"/>
      <c r="AI9183" s="147"/>
      <c r="AJ9183" s="148"/>
      <c r="AK9183" s="143"/>
      <c r="AL9183" s="144"/>
      <c r="AM9183" s="22"/>
      <c r="AN9183" s="149"/>
      <c r="AO9183" s="144"/>
      <c r="AP9183" s="148"/>
      <c r="AQ9183" s="144"/>
      <c r="AR9183" s="120"/>
      <c r="AS9183" s="121"/>
      <c r="AT9183" s="120"/>
      <c r="AU9183" s="121"/>
      <c r="AV9183" s="120"/>
      <c r="AW9183" s="121"/>
      <c r="AX9183" s="120"/>
      <c r="AY9183" s="121"/>
      <c r="AZ9183" s="138"/>
    </row>
    <row r="9184" spans="1:52" ht="17.100000000000001" customHeight="1" thickTop="1">
      <c r="A9184" s="109" t="s">
        <v>26053</v>
      </c>
      <c r="B9184" s="28">
        <v>46161</v>
      </c>
      <c r="C9184" s="25">
        <v>1941</v>
      </c>
      <c r="D9184" s="13" t="s">
        <v>1803</v>
      </c>
      <c r="E9184" s="111"/>
      <c r="F9184" s="113" t="s">
        <v>26077</v>
      </c>
      <c r="G9184" s="114"/>
      <c r="H9184" s="115"/>
      <c r="I9184" s="24"/>
      <c r="J9184" s="116">
        <v>4</v>
      </c>
      <c r="K9184" s="118">
        <v>1113000</v>
      </c>
      <c r="L9184" s="119"/>
      <c r="M9184" s="118">
        <f t="shared" ref="M9184" si="14256">K9184*0.1</f>
        <v>111300</v>
      </c>
      <c r="N9184" s="119"/>
      <c r="O9184" s="118">
        <v>0</v>
      </c>
      <c r="P9184" s="119"/>
      <c r="Q9184" s="118">
        <v>11480</v>
      </c>
      <c r="R9184" s="119"/>
      <c r="S9184" s="118">
        <v>15950</v>
      </c>
      <c r="T9184" s="119"/>
      <c r="U9184" s="118">
        <f t="shared" ref="U9184" si="14257">SUM(K9184:T9185)</f>
        <v>1251730</v>
      </c>
      <c r="V9184" s="122"/>
      <c r="W9184" s="124"/>
      <c r="X9184" s="126"/>
      <c r="Y9184" s="127"/>
      <c r="Z9184" s="127"/>
      <c r="AA9184" s="127"/>
      <c r="AB9184" s="128"/>
      <c r="AC9184" s="15" t="s">
        <v>20</v>
      </c>
      <c r="AD9184" s="129"/>
      <c r="AE9184" s="130"/>
      <c r="AF9184" s="130"/>
      <c r="AG9184" s="130"/>
      <c r="AH9184" s="130"/>
      <c r="AI9184" s="131"/>
      <c r="AJ9184" s="132"/>
      <c r="AK9184" s="127"/>
      <c r="AL9184" s="128"/>
      <c r="AM9184" s="21"/>
      <c r="AN9184" s="133"/>
      <c r="AO9184" s="134"/>
      <c r="AP9184" s="135"/>
      <c r="AQ9184" s="136"/>
      <c r="AR9184" s="118"/>
      <c r="AS9184" s="119"/>
      <c r="AT9184" s="118">
        <f t="shared" ref="AT9184" si="14258">AR9184*0.1</f>
        <v>0</v>
      </c>
      <c r="AU9184" s="119"/>
      <c r="AV9184" s="118"/>
      <c r="AW9184" s="119"/>
      <c r="AX9184" s="118">
        <f t="shared" ref="AX9184" si="14259">SUM(AR9184:AW9184)</f>
        <v>0</v>
      </c>
      <c r="AY9184" s="119"/>
      <c r="AZ9184" s="137"/>
    </row>
    <row r="9185" spans="1:52" ht="17.100000000000001" customHeight="1" thickBot="1">
      <c r="A9185" s="110"/>
      <c r="B9185" s="27" t="s">
        <v>2131</v>
      </c>
      <c r="C9185" s="27">
        <v>5424</v>
      </c>
      <c r="D9185" s="14" t="s">
        <v>26112</v>
      </c>
      <c r="E9185" s="112"/>
      <c r="F9185" s="139" t="s">
        <v>26078</v>
      </c>
      <c r="G9185" s="140"/>
      <c r="H9185" s="141"/>
      <c r="I9185" s="26">
        <v>35590</v>
      </c>
      <c r="J9185" s="117"/>
      <c r="K9185" s="120"/>
      <c r="L9185" s="121"/>
      <c r="M9185" s="120"/>
      <c r="N9185" s="121"/>
      <c r="O9185" s="120"/>
      <c r="P9185" s="121"/>
      <c r="Q9185" s="120"/>
      <c r="R9185" s="121"/>
      <c r="S9185" s="120"/>
      <c r="T9185" s="121"/>
      <c r="U9185" s="120"/>
      <c r="V9185" s="123"/>
      <c r="W9185" s="125"/>
      <c r="X9185" s="142"/>
      <c r="Y9185" s="143"/>
      <c r="Z9185" s="143"/>
      <c r="AA9185" s="143"/>
      <c r="AB9185" s="144"/>
      <c r="AC9185" s="16" t="s">
        <v>21</v>
      </c>
      <c r="AD9185" s="17"/>
      <c r="AE9185" s="145"/>
      <c r="AF9185" s="146"/>
      <c r="AG9185" s="146"/>
      <c r="AH9185" s="146"/>
      <c r="AI9185" s="147"/>
      <c r="AJ9185" s="148"/>
      <c r="AK9185" s="143"/>
      <c r="AL9185" s="144"/>
      <c r="AM9185" s="22"/>
      <c r="AN9185" s="149"/>
      <c r="AO9185" s="144"/>
      <c r="AP9185" s="148"/>
      <c r="AQ9185" s="144"/>
      <c r="AR9185" s="120"/>
      <c r="AS9185" s="121"/>
      <c r="AT9185" s="120"/>
      <c r="AU9185" s="121"/>
      <c r="AV9185" s="120"/>
      <c r="AW9185" s="121"/>
      <c r="AX9185" s="120"/>
      <c r="AY9185" s="121"/>
      <c r="AZ9185" s="138"/>
    </row>
    <row r="9186" spans="1:52" ht="17.100000000000001" customHeight="1" thickTop="1">
      <c r="A9186" s="109" t="s">
        <v>26054</v>
      </c>
      <c r="B9186" s="28">
        <v>46161</v>
      </c>
      <c r="C9186" s="25">
        <v>1941</v>
      </c>
      <c r="D9186" s="13" t="s">
        <v>1986</v>
      </c>
      <c r="E9186" s="111"/>
      <c r="F9186" s="113" t="s">
        <v>26079</v>
      </c>
      <c r="G9186" s="114"/>
      <c r="H9186" s="115"/>
      <c r="I9186" s="24"/>
      <c r="J9186" s="116">
        <v>4</v>
      </c>
      <c r="K9186" s="118">
        <v>846000</v>
      </c>
      <c r="L9186" s="119"/>
      <c r="M9186" s="118">
        <f t="shared" ref="M9186" si="14260">K9186*0.1</f>
        <v>84600</v>
      </c>
      <c r="N9186" s="119"/>
      <c r="O9186" s="118">
        <v>0</v>
      </c>
      <c r="P9186" s="119"/>
      <c r="Q9186" s="118">
        <v>8550</v>
      </c>
      <c r="R9186" s="119"/>
      <c r="S9186" s="118">
        <v>15950</v>
      </c>
      <c r="T9186" s="119"/>
      <c r="U9186" s="118">
        <f t="shared" ref="U9186" si="14261">SUM(K9186:T9187)</f>
        <v>955100</v>
      </c>
      <c r="V9186" s="122"/>
      <c r="W9186" s="124"/>
      <c r="X9186" s="126"/>
      <c r="Y9186" s="127"/>
      <c r="Z9186" s="127"/>
      <c r="AA9186" s="127"/>
      <c r="AB9186" s="128"/>
      <c r="AC9186" s="15" t="s">
        <v>20</v>
      </c>
      <c r="AD9186" s="129"/>
      <c r="AE9186" s="130"/>
      <c r="AF9186" s="130"/>
      <c r="AG9186" s="130"/>
      <c r="AH9186" s="130"/>
      <c r="AI9186" s="131"/>
      <c r="AJ9186" s="132"/>
      <c r="AK9186" s="127"/>
      <c r="AL9186" s="128"/>
      <c r="AM9186" s="21"/>
      <c r="AN9186" s="133"/>
      <c r="AO9186" s="134"/>
      <c r="AP9186" s="135"/>
      <c r="AQ9186" s="136"/>
      <c r="AR9186" s="118"/>
      <c r="AS9186" s="119"/>
      <c r="AT9186" s="118">
        <f t="shared" ref="AT9186" si="14262">AR9186*0.1</f>
        <v>0</v>
      </c>
      <c r="AU9186" s="119"/>
      <c r="AV9186" s="118"/>
      <c r="AW9186" s="119"/>
      <c r="AX9186" s="118">
        <f t="shared" ref="AX9186" si="14263">SUM(AR9186:AW9186)</f>
        <v>0</v>
      </c>
      <c r="AY9186" s="119"/>
      <c r="AZ9186" s="137"/>
    </row>
    <row r="9187" spans="1:52" ht="17.100000000000001" customHeight="1" thickBot="1">
      <c r="A9187" s="110"/>
      <c r="B9187" s="27" t="s">
        <v>2131</v>
      </c>
      <c r="C9187" s="27">
        <v>5467</v>
      </c>
      <c r="D9187" s="14" t="s">
        <v>26113</v>
      </c>
      <c r="E9187" s="112"/>
      <c r="F9187" s="139" t="s">
        <v>26080</v>
      </c>
      <c r="G9187" s="140"/>
      <c r="H9187" s="141"/>
      <c r="I9187" s="26">
        <v>39920</v>
      </c>
      <c r="J9187" s="117"/>
      <c r="K9187" s="120"/>
      <c r="L9187" s="121"/>
      <c r="M9187" s="120"/>
      <c r="N9187" s="121"/>
      <c r="O9187" s="120"/>
      <c r="P9187" s="121"/>
      <c r="Q9187" s="120"/>
      <c r="R9187" s="121"/>
      <c r="S9187" s="120"/>
      <c r="T9187" s="121"/>
      <c r="U9187" s="120"/>
      <c r="V9187" s="123"/>
      <c r="W9187" s="125"/>
      <c r="X9187" s="142"/>
      <c r="Y9187" s="143"/>
      <c r="Z9187" s="143"/>
      <c r="AA9187" s="143"/>
      <c r="AB9187" s="144"/>
      <c r="AC9187" s="16" t="s">
        <v>21</v>
      </c>
      <c r="AD9187" s="17"/>
      <c r="AE9187" s="145"/>
      <c r="AF9187" s="146"/>
      <c r="AG9187" s="146"/>
      <c r="AH9187" s="146"/>
      <c r="AI9187" s="147"/>
      <c r="AJ9187" s="148"/>
      <c r="AK9187" s="143"/>
      <c r="AL9187" s="144"/>
      <c r="AM9187" s="22"/>
      <c r="AN9187" s="149"/>
      <c r="AO9187" s="144"/>
      <c r="AP9187" s="148"/>
      <c r="AQ9187" s="144"/>
      <c r="AR9187" s="120"/>
      <c r="AS9187" s="121"/>
      <c r="AT9187" s="120"/>
      <c r="AU9187" s="121"/>
      <c r="AV9187" s="120"/>
      <c r="AW9187" s="121"/>
      <c r="AX9187" s="120"/>
      <c r="AY9187" s="121"/>
      <c r="AZ9187" s="138"/>
    </row>
    <row r="9188" spans="1:52" ht="17.100000000000001" customHeight="1" thickTop="1">
      <c r="A9188" s="109" t="s">
        <v>26055</v>
      </c>
      <c r="B9188" s="28">
        <v>46161</v>
      </c>
      <c r="C9188" s="25">
        <v>1941</v>
      </c>
      <c r="D9188" s="13" t="s">
        <v>2606</v>
      </c>
      <c r="E9188" s="111"/>
      <c r="F9188" s="113" t="s">
        <v>26081</v>
      </c>
      <c r="G9188" s="114"/>
      <c r="H9188" s="115"/>
      <c r="I9188" s="24" t="s">
        <v>4096</v>
      </c>
      <c r="J9188" s="116">
        <v>3.5</v>
      </c>
      <c r="K9188" s="118">
        <v>816000</v>
      </c>
      <c r="L9188" s="119"/>
      <c r="M9188" s="118">
        <f t="shared" ref="M9188" si="14264">K9188*0.1</f>
        <v>81600</v>
      </c>
      <c r="N9188" s="119"/>
      <c r="O9188" s="118">
        <v>0</v>
      </c>
      <c r="P9188" s="119"/>
      <c r="Q9188" s="118">
        <v>8790</v>
      </c>
      <c r="R9188" s="119"/>
      <c r="S9188" s="118">
        <v>15950</v>
      </c>
      <c r="T9188" s="119"/>
      <c r="U9188" s="118">
        <f t="shared" ref="U9188" si="14265">SUM(K9188:T9189)</f>
        <v>922340</v>
      </c>
      <c r="V9188" s="122"/>
      <c r="W9188" s="124"/>
      <c r="X9188" s="126"/>
      <c r="Y9188" s="127"/>
      <c r="Z9188" s="127"/>
      <c r="AA9188" s="127"/>
      <c r="AB9188" s="128"/>
      <c r="AC9188" s="15" t="s">
        <v>20</v>
      </c>
      <c r="AD9188" s="129" t="s">
        <v>3896</v>
      </c>
      <c r="AE9188" s="130"/>
      <c r="AF9188" s="130"/>
      <c r="AG9188" s="130"/>
      <c r="AH9188" s="130"/>
      <c r="AI9188" s="131"/>
      <c r="AJ9188" s="132"/>
      <c r="AK9188" s="127"/>
      <c r="AL9188" s="128"/>
      <c r="AM9188" s="21"/>
      <c r="AN9188" s="133"/>
      <c r="AO9188" s="134"/>
      <c r="AP9188" s="135"/>
      <c r="AQ9188" s="136"/>
      <c r="AR9188" s="118"/>
      <c r="AS9188" s="119"/>
      <c r="AT9188" s="118">
        <f t="shared" ref="AT9188" si="14266">AR9188*0.1</f>
        <v>0</v>
      </c>
      <c r="AU9188" s="119"/>
      <c r="AV9188" s="118"/>
      <c r="AW9188" s="119"/>
      <c r="AX9188" s="118">
        <f t="shared" ref="AX9188" si="14267">SUM(AR9188:AW9188)</f>
        <v>0</v>
      </c>
      <c r="AY9188" s="119"/>
      <c r="AZ9188" s="137"/>
    </row>
    <row r="9189" spans="1:52" ht="17.100000000000001" customHeight="1" thickBot="1">
      <c r="A9189" s="110"/>
      <c r="B9189" s="27" t="s">
        <v>2131</v>
      </c>
      <c r="C9189" s="27">
        <v>5482</v>
      </c>
      <c r="D9189" s="14" t="s">
        <v>26114</v>
      </c>
      <c r="E9189" s="112"/>
      <c r="F9189" s="139" t="s">
        <v>26082</v>
      </c>
      <c r="G9189" s="140"/>
      <c r="H9189" s="141"/>
      <c r="I9189" s="26">
        <v>34355</v>
      </c>
      <c r="J9189" s="117"/>
      <c r="K9189" s="120"/>
      <c r="L9189" s="121"/>
      <c r="M9189" s="120"/>
      <c r="N9189" s="121"/>
      <c r="O9189" s="120"/>
      <c r="P9189" s="121"/>
      <c r="Q9189" s="120"/>
      <c r="R9189" s="121"/>
      <c r="S9189" s="120"/>
      <c r="T9189" s="121"/>
      <c r="U9189" s="120"/>
      <c r="V9189" s="123"/>
      <c r="W9189" s="125"/>
      <c r="X9189" s="142"/>
      <c r="Y9189" s="143"/>
      <c r="Z9189" s="143"/>
      <c r="AA9189" s="143"/>
      <c r="AB9189" s="144"/>
      <c r="AC9189" s="16" t="s">
        <v>21</v>
      </c>
      <c r="AD9189" s="17"/>
      <c r="AE9189" s="145"/>
      <c r="AF9189" s="146"/>
      <c r="AG9189" s="146"/>
      <c r="AH9189" s="146"/>
      <c r="AI9189" s="147"/>
      <c r="AJ9189" s="148"/>
      <c r="AK9189" s="143"/>
      <c r="AL9189" s="144"/>
      <c r="AM9189" s="22"/>
      <c r="AN9189" s="149"/>
      <c r="AO9189" s="144"/>
      <c r="AP9189" s="148"/>
      <c r="AQ9189" s="144"/>
      <c r="AR9189" s="120"/>
      <c r="AS9189" s="121"/>
      <c r="AT9189" s="120"/>
      <c r="AU9189" s="121"/>
      <c r="AV9189" s="120"/>
      <c r="AW9189" s="121"/>
      <c r="AX9189" s="120"/>
      <c r="AY9189" s="121"/>
      <c r="AZ9189" s="138"/>
    </row>
    <row r="9190" spans="1:52" ht="17.100000000000001" customHeight="1" thickTop="1">
      <c r="A9190" s="109" t="s">
        <v>26056</v>
      </c>
      <c r="B9190" s="28">
        <v>46161</v>
      </c>
      <c r="C9190" s="25">
        <v>1941</v>
      </c>
      <c r="D9190" s="13" t="s">
        <v>1902</v>
      </c>
      <c r="E9190" s="111"/>
      <c r="F9190" s="113" t="s">
        <v>26083</v>
      </c>
      <c r="G9190" s="114"/>
      <c r="H9190" s="115"/>
      <c r="I9190" s="24"/>
      <c r="J9190" s="116">
        <v>4</v>
      </c>
      <c r="K9190" s="118">
        <v>866000</v>
      </c>
      <c r="L9190" s="119"/>
      <c r="M9190" s="118">
        <f t="shared" ref="M9190" si="14268">K9190*0.1</f>
        <v>86600</v>
      </c>
      <c r="N9190" s="119"/>
      <c r="O9190" s="118">
        <v>0</v>
      </c>
      <c r="P9190" s="119"/>
      <c r="Q9190" s="118">
        <v>8790</v>
      </c>
      <c r="R9190" s="119"/>
      <c r="S9190" s="118">
        <v>15950</v>
      </c>
      <c r="T9190" s="119"/>
      <c r="U9190" s="118">
        <f t="shared" ref="U9190" si="14269">SUM(K9190:T9191)</f>
        <v>977340</v>
      </c>
      <c r="V9190" s="122"/>
      <c r="W9190" s="124"/>
      <c r="X9190" s="126"/>
      <c r="Y9190" s="127"/>
      <c r="Z9190" s="127"/>
      <c r="AA9190" s="127"/>
      <c r="AB9190" s="128"/>
      <c r="AC9190" s="15" t="s">
        <v>20</v>
      </c>
      <c r="AD9190" s="129"/>
      <c r="AE9190" s="130"/>
      <c r="AF9190" s="130"/>
      <c r="AG9190" s="130"/>
      <c r="AH9190" s="130"/>
      <c r="AI9190" s="131"/>
      <c r="AJ9190" s="132"/>
      <c r="AK9190" s="127"/>
      <c r="AL9190" s="128"/>
      <c r="AM9190" s="21"/>
      <c r="AN9190" s="133"/>
      <c r="AO9190" s="134"/>
      <c r="AP9190" s="135"/>
      <c r="AQ9190" s="136"/>
      <c r="AR9190" s="118"/>
      <c r="AS9190" s="119"/>
      <c r="AT9190" s="118">
        <f t="shared" ref="AT9190" si="14270">AR9190*0.1</f>
        <v>0</v>
      </c>
      <c r="AU9190" s="119"/>
      <c r="AV9190" s="118"/>
      <c r="AW9190" s="119"/>
      <c r="AX9190" s="118">
        <f t="shared" ref="AX9190" si="14271">SUM(AR9190:AW9190)</f>
        <v>0</v>
      </c>
      <c r="AY9190" s="119"/>
      <c r="AZ9190" s="137"/>
    </row>
    <row r="9191" spans="1:52" ht="17.100000000000001" customHeight="1" thickBot="1">
      <c r="A9191" s="110"/>
      <c r="B9191" s="27" t="s">
        <v>2131</v>
      </c>
      <c r="C9191" s="27">
        <v>79222</v>
      </c>
      <c r="D9191" s="14" t="s">
        <v>2800</v>
      </c>
      <c r="E9191" s="112"/>
      <c r="F9191" s="139" t="s">
        <v>26084</v>
      </c>
      <c r="G9191" s="140"/>
      <c r="H9191" s="141"/>
      <c r="I9191" s="26">
        <v>44362</v>
      </c>
      <c r="J9191" s="117"/>
      <c r="K9191" s="120"/>
      <c r="L9191" s="121"/>
      <c r="M9191" s="120"/>
      <c r="N9191" s="121"/>
      <c r="O9191" s="120"/>
      <c r="P9191" s="121"/>
      <c r="Q9191" s="120"/>
      <c r="R9191" s="121"/>
      <c r="S9191" s="120"/>
      <c r="T9191" s="121"/>
      <c r="U9191" s="120"/>
      <c r="V9191" s="123"/>
      <c r="W9191" s="125"/>
      <c r="X9191" s="142"/>
      <c r="Y9191" s="143"/>
      <c r="Z9191" s="143"/>
      <c r="AA9191" s="143"/>
      <c r="AB9191" s="144"/>
      <c r="AC9191" s="16" t="s">
        <v>21</v>
      </c>
      <c r="AD9191" s="17"/>
      <c r="AE9191" s="145"/>
      <c r="AF9191" s="146"/>
      <c r="AG9191" s="146"/>
      <c r="AH9191" s="146"/>
      <c r="AI9191" s="147"/>
      <c r="AJ9191" s="148"/>
      <c r="AK9191" s="143"/>
      <c r="AL9191" s="144"/>
      <c r="AM9191" s="22"/>
      <c r="AN9191" s="149"/>
      <c r="AO9191" s="144"/>
      <c r="AP9191" s="148"/>
      <c r="AQ9191" s="144"/>
      <c r="AR9191" s="120"/>
      <c r="AS9191" s="121"/>
      <c r="AT9191" s="120"/>
      <c r="AU9191" s="121"/>
      <c r="AV9191" s="120"/>
      <c r="AW9191" s="121"/>
      <c r="AX9191" s="120"/>
      <c r="AY9191" s="121"/>
      <c r="AZ9191" s="138"/>
    </row>
    <row r="9192" spans="1:52" ht="17.100000000000001" customHeight="1" thickTop="1">
      <c r="A9192" s="109" t="s">
        <v>26057</v>
      </c>
      <c r="B9192" s="28">
        <v>46161</v>
      </c>
      <c r="C9192" s="25">
        <v>819</v>
      </c>
      <c r="D9192" s="13" t="s">
        <v>3381</v>
      </c>
      <c r="E9192" s="111"/>
      <c r="F9192" s="113" t="s">
        <v>15565</v>
      </c>
      <c r="G9192" s="114"/>
      <c r="H9192" s="115"/>
      <c r="I9192" s="24"/>
      <c r="J9192" s="116">
        <v>4.5</v>
      </c>
      <c r="K9192" s="118">
        <v>1371000</v>
      </c>
      <c r="L9192" s="119"/>
      <c r="M9192" s="118">
        <f t="shared" ref="M9192" si="14272">K9192*0.1</f>
        <v>137100</v>
      </c>
      <c r="N9192" s="119"/>
      <c r="O9192" s="118">
        <v>0</v>
      </c>
      <c r="P9192" s="119"/>
      <c r="Q9192" s="118">
        <v>12030</v>
      </c>
      <c r="R9192" s="119"/>
      <c r="S9192" s="118">
        <v>15950</v>
      </c>
      <c r="T9192" s="119"/>
      <c r="U9192" s="118">
        <f t="shared" ref="U9192" si="14273">SUM(K9192:T9193)</f>
        <v>1536080</v>
      </c>
      <c r="V9192" s="122"/>
      <c r="W9192" s="124"/>
      <c r="X9192" s="126"/>
      <c r="Y9192" s="127"/>
      <c r="Z9192" s="127"/>
      <c r="AA9192" s="127"/>
      <c r="AB9192" s="128"/>
      <c r="AC9192" s="15" t="s">
        <v>20</v>
      </c>
      <c r="AD9192" s="129" t="s">
        <v>15319</v>
      </c>
      <c r="AE9192" s="130"/>
      <c r="AF9192" s="130"/>
      <c r="AG9192" s="130"/>
      <c r="AH9192" s="130"/>
      <c r="AI9192" s="131"/>
      <c r="AJ9192" s="132"/>
      <c r="AK9192" s="127"/>
      <c r="AL9192" s="128"/>
      <c r="AM9192" s="21"/>
      <c r="AN9192" s="133"/>
      <c r="AO9192" s="134"/>
      <c r="AP9192" s="135"/>
      <c r="AQ9192" s="136"/>
      <c r="AR9192" s="118"/>
      <c r="AS9192" s="119"/>
      <c r="AT9192" s="118">
        <f t="shared" ref="AT9192" si="14274">AR9192*0.1</f>
        <v>0</v>
      </c>
      <c r="AU9192" s="119"/>
      <c r="AV9192" s="118"/>
      <c r="AW9192" s="119"/>
      <c r="AX9192" s="118">
        <f t="shared" ref="AX9192" si="14275">SUM(AR9192:AW9192)</f>
        <v>0</v>
      </c>
      <c r="AY9192" s="119"/>
      <c r="AZ9192" s="137"/>
    </row>
    <row r="9193" spans="1:52" ht="17.100000000000001" customHeight="1" thickBot="1">
      <c r="A9193" s="110"/>
      <c r="B9193" s="27" t="s">
        <v>3367</v>
      </c>
      <c r="C9193" s="27">
        <v>143</v>
      </c>
      <c r="D9193" s="14" t="s">
        <v>2601</v>
      </c>
      <c r="E9193" s="112"/>
      <c r="F9193" s="139" t="s">
        <v>26085</v>
      </c>
      <c r="G9193" s="140"/>
      <c r="H9193" s="141"/>
      <c r="I9193" s="26">
        <v>90140</v>
      </c>
      <c r="J9193" s="117"/>
      <c r="K9193" s="120"/>
      <c r="L9193" s="121"/>
      <c r="M9193" s="120"/>
      <c r="N9193" s="121"/>
      <c r="O9193" s="120"/>
      <c r="P9193" s="121"/>
      <c r="Q9193" s="120"/>
      <c r="R9193" s="121"/>
      <c r="S9193" s="120"/>
      <c r="T9193" s="121"/>
      <c r="U9193" s="120"/>
      <c r="V9193" s="123"/>
      <c r="W9193" s="125"/>
      <c r="X9193" s="142"/>
      <c r="Y9193" s="143"/>
      <c r="Z9193" s="143"/>
      <c r="AA9193" s="143"/>
      <c r="AB9193" s="144"/>
      <c r="AC9193" s="16" t="s">
        <v>21</v>
      </c>
      <c r="AD9193" s="17"/>
      <c r="AE9193" s="145"/>
      <c r="AF9193" s="146"/>
      <c r="AG9193" s="146"/>
      <c r="AH9193" s="146"/>
      <c r="AI9193" s="147"/>
      <c r="AJ9193" s="148"/>
      <c r="AK9193" s="143"/>
      <c r="AL9193" s="144"/>
      <c r="AM9193" s="22"/>
      <c r="AN9193" s="149"/>
      <c r="AO9193" s="144"/>
      <c r="AP9193" s="148"/>
      <c r="AQ9193" s="144"/>
      <c r="AR9193" s="120"/>
      <c r="AS9193" s="121"/>
      <c r="AT9193" s="120"/>
      <c r="AU9193" s="121"/>
      <c r="AV9193" s="120"/>
      <c r="AW9193" s="121"/>
      <c r="AX9193" s="120"/>
      <c r="AY9193" s="121"/>
      <c r="AZ9193" s="138"/>
    </row>
    <row r="9194" spans="1:52" ht="17.100000000000001" customHeight="1" thickTop="1">
      <c r="A9194" s="109" t="s">
        <v>26058</v>
      </c>
      <c r="B9194" s="28">
        <v>46161</v>
      </c>
      <c r="C9194" s="25">
        <v>939</v>
      </c>
      <c r="D9194" s="13" t="s">
        <v>2036</v>
      </c>
      <c r="E9194" s="111"/>
      <c r="F9194" s="113" t="s">
        <v>26086</v>
      </c>
      <c r="G9194" s="114"/>
      <c r="H9194" s="115"/>
      <c r="I9194" s="24"/>
      <c r="J9194" s="116">
        <v>4</v>
      </c>
      <c r="K9194" s="118">
        <v>890000</v>
      </c>
      <c r="L9194" s="119"/>
      <c r="M9194" s="118">
        <f t="shared" ref="M9194" si="14276">K9194*0.1</f>
        <v>89000</v>
      </c>
      <c r="N9194" s="119"/>
      <c r="O9194" s="118">
        <v>0</v>
      </c>
      <c r="P9194" s="119"/>
      <c r="Q9194" s="118">
        <v>5670</v>
      </c>
      <c r="R9194" s="119"/>
      <c r="S9194" s="118">
        <v>15950</v>
      </c>
      <c r="T9194" s="119"/>
      <c r="U9194" s="118">
        <f t="shared" ref="U9194" si="14277">SUM(K9194:T9195)</f>
        <v>1000620</v>
      </c>
      <c r="V9194" s="122"/>
      <c r="W9194" s="124"/>
      <c r="X9194" s="126"/>
      <c r="Y9194" s="127"/>
      <c r="Z9194" s="127"/>
      <c r="AA9194" s="127"/>
      <c r="AB9194" s="128"/>
      <c r="AC9194" s="15" t="s">
        <v>20</v>
      </c>
      <c r="AD9194" s="129" t="s">
        <v>5208</v>
      </c>
      <c r="AE9194" s="130"/>
      <c r="AF9194" s="130"/>
      <c r="AG9194" s="130"/>
      <c r="AH9194" s="130"/>
      <c r="AI9194" s="131"/>
      <c r="AJ9194" s="132"/>
      <c r="AK9194" s="127"/>
      <c r="AL9194" s="128"/>
      <c r="AM9194" s="21"/>
      <c r="AN9194" s="133"/>
      <c r="AO9194" s="134"/>
      <c r="AP9194" s="135"/>
      <c r="AQ9194" s="136"/>
      <c r="AR9194" s="118"/>
      <c r="AS9194" s="119"/>
      <c r="AT9194" s="118">
        <f t="shared" ref="AT9194" si="14278">AR9194*0.1</f>
        <v>0</v>
      </c>
      <c r="AU9194" s="119"/>
      <c r="AV9194" s="118"/>
      <c r="AW9194" s="119"/>
      <c r="AX9194" s="118">
        <f t="shared" ref="AX9194" si="14279">SUM(AR9194:AW9194)</f>
        <v>0</v>
      </c>
      <c r="AY9194" s="119"/>
      <c r="AZ9194" s="137"/>
    </row>
    <row r="9195" spans="1:52" ht="17.100000000000001" customHeight="1" thickBot="1">
      <c r="A9195" s="110"/>
      <c r="B9195" s="27" t="s">
        <v>2699</v>
      </c>
      <c r="C9195" s="27">
        <v>3188</v>
      </c>
      <c r="D9195" s="14" t="s">
        <v>2325</v>
      </c>
      <c r="E9195" s="112"/>
      <c r="F9195" s="139" t="s">
        <v>26087</v>
      </c>
      <c r="G9195" s="140"/>
      <c r="H9195" s="141"/>
      <c r="I9195" s="26">
        <v>13383</v>
      </c>
      <c r="J9195" s="117"/>
      <c r="K9195" s="120"/>
      <c r="L9195" s="121"/>
      <c r="M9195" s="120"/>
      <c r="N9195" s="121"/>
      <c r="O9195" s="120"/>
      <c r="P9195" s="121"/>
      <c r="Q9195" s="120"/>
      <c r="R9195" s="121"/>
      <c r="S9195" s="120"/>
      <c r="T9195" s="121"/>
      <c r="U9195" s="120"/>
      <c r="V9195" s="123"/>
      <c r="W9195" s="125"/>
      <c r="X9195" s="142"/>
      <c r="Y9195" s="143"/>
      <c r="Z9195" s="143"/>
      <c r="AA9195" s="143"/>
      <c r="AB9195" s="144"/>
      <c r="AC9195" s="16" t="s">
        <v>21</v>
      </c>
      <c r="AD9195" s="17"/>
      <c r="AE9195" s="145"/>
      <c r="AF9195" s="146"/>
      <c r="AG9195" s="146"/>
      <c r="AH9195" s="146"/>
      <c r="AI9195" s="147"/>
      <c r="AJ9195" s="148"/>
      <c r="AK9195" s="143"/>
      <c r="AL9195" s="144"/>
      <c r="AM9195" s="22"/>
      <c r="AN9195" s="149"/>
      <c r="AO9195" s="144"/>
      <c r="AP9195" s="148"/>
      <c r="AQ9195" s="144"/>
      <c r="AR9195" s="120"/>
      <c r="AS9195" s="121"/>
      <c r="AT9195" s="120"/>
      <c r="AU9195" s="121"/>
      <c r="AV9195" s="120"/>
      <c r="AW9195" s="121"/>
      <c r="AX9195" s="120"/>
      <c r="AY9195" s="121"/>
      <c r="AZ9195" s="138"/>
    </row>
    <row r="9196" spans="1:52" ht="17.100000000000001" customHeight="1" thickTop="1">
      <c r="A9196" s="109" t="s">
        <v>26059</v>
      </c>
      <c r="B9196" s="28">
        <v>46161</v>
      </c>
      <c r="C9196" s="25">
        <v>939</v>
      </c>
      <c r="D9196" s="13" t="s">
        <v>1986</v>
      </c>
      <c r="E9196" s="111"/>
      <c r="F9196" s="113" t="s">
        <v>20384</v>
      </c>
      <c r="G9196" s="114"/>
      <c r="H9196" s="115"/>
      <c r="I9196" s="24"/>
      <c r="J9196" s="116">
        <v>4</v>
      </c>
      <c r="K9196" s="118">
        <v>2048000</v>
      </c>
      <c r="L9196" s="119"/>
      <c r="M9196" s="118">
        <f t="shared" ref="M9196" si="14280">K9196*0.1</f>
        <v>204800</v>
      </c>
      <c r="N9196" s="119"/>
      <c r="O9196" s="118">
        <v>0</v>
      </c>
      <c r="P9196" s="119"/>
      <c r="Q9196" s="118">
        <v>19090</v>
      </c>
      <c r="R9196" s="119"/>
      <c r="S9196" s="118">
        <v>15950</v>
      </c>
      <c r="T9196" s="119"/>
      <c r="U9196" s="118">
        <f t="shared" ref="U9196" si="14281">SUM(K9196:T9197)</f>
        <v>2287840</v>
      </c>
      <c r="V9196" s="122"/>
      <c r="W9196" s="124"/>
      <c r="X9196" s="126"/>
      <c r="Y9196" s="127"/>
      <c r="Z9196" s="127"/>
      <c r="AA9196" s="127"/>
      <c r="AB9196" s="128"/>
      <c r="AC9196" s="15" t="s">
        <v>20</v>
      </c>
      <c r="AD9196" s="129"/>
      <c r="AE9196" s="130"/>
      <c r="AF9196" s="130"/>
      <c r="AG9196" s="130"/>
      <c r="AH9196" s="130"/>
      <c r="AI9196" s="131"/>
      <c r="AJ9196" s="132"/>
      <c r="AK9196" s="127"/>
      <c r="AL9196" s="128"/>
      <c r="AM9196" s="21"/>
      <c r="AN9196" s="133"/>
      <c r="AO9196" s="134"/>
      <c r="AP9196" s="135"/>
      <c r="AQ9196" s="136"/>
      <c r="AR9196" s="118"/>
      <c r="AS9196" s="119"/>
      <c r="AT9196" s="118">
        <f t="shared" ref="AT9196" si="14282">AR9196*0.1</f>
        <v>0</v>
      </c>
      <c r="AU9196" s="119"/>
      <c r="AV9196" s="118"/>
      <c r="AW9196" s="119"/>
      <c r="AX9196" s="118">
        <f t="shared" ref="AX9196" si="14283">SUM(AR9196:AW9196)</f>
        <v>0</v>
      </c>
      <c r="AY9196" s="119"/>
      <c r="AZ9196" s="137"/>
    </row>
    <row r="9197" spans="1:52" ht="17.100000000000001" customHeight="1" thickBot="1">
      <c r="A9197" s="110"/>
      <c r="B9197" s="27" t="s">
        <v>2699</v>
      </c>
      <c r="C9197" s="27">
        <v>5009</v>
      </c>
      <c r="D9197" s="14" t="s">
        <v>2800</v>
      </c>
      <c r="E9197" s="112"/>
      <c r="F9197" s="139" t="s">
        <v>26115</v>
      </c>
      <c r="G9197" s="140"/>
      <c r="H9197" s="141"/>
      <c r="I9197" s="26">
        <v>14555</v>
      </c>
      <c r="J9197" s="117"/>
      <c r="K9197" s="120"/>
      <c r="L9197" s="121"/>
      <c r="M9197" s="120"/>
      <c r="N9197" s="121"/>
      <c r="O9197" s="120"/>
      <c r="P9197" s="121"/>
      <c r="Q9197" s="120"/>
      <c r="R9197" s="121"/>
      <c r="S9197" s="120"/>
      <c r="T9197" s="121"/>
      <c r="U9197" s="120"/>
      <c r="V9197" s="123"/>
      <c r="W9197" s="125"/>
      <c r="X9197" s="142"/>
      <c r="Y9197" s="143"/>
      <c r="Z9197" s="143"/>
      <c r="AA9197" s="143"/>
      <c r="AB9197" s="144"/>
      <c r="AC9197" s="16" t="s">
        <v>21</v>
      </c>
      <c r="AD9197" s="17"/>
      <c r="AE9197" s="145"/>
      <c r="AF9197" s="146"/>
      <c r="AG9197" s="146"/>
      <c r="AH9197" s="146"/>
      <c r="AI9197" s="147"/>
      <c r="AJ9197" s="148"/>
      <c r="AK9197" s="143"/>
      <c r="AL9197" s="144"/>
      <c r="AM9197" s="22"/>
      <c r="AN9197" s="149"/>
      <c r="AO9197" s="144"/>
      <c r="AP9197" s="148"/>
      <c r="AQ9197" s="144"/>
      <c r="AR9197" s="120"/>
      <c r="AS9197" s="121"/>
      <c r="AT9197" s="120"/>
      <c r="AU9197" s="121"/>
      <c r="AV9197" s="120"/>
      <c r="AW9197" s="121"/>
      <c r="AX9197" s="120"/>
      <c r="AY9197" s="121"/>
      <c r="AZ9197" s="138"/>
    </row>
    <row r="9198" spans="1:52" ht="17.100000000000001" customHeight="1" thickTop="1">
      <c r="A9198" s="109" t="s">
        <v>26060</v>
      </c>
      <c r="B9198" s="28">
        <v>46161</v>
      </c>
      <c r="C9198" s="25">
        <v>939</v>
      </c>
      <c r="D9198" s="13" t="s">
        <v>1888</v>
      </c>
      <c r="E9198" s="111"/>
      <c r="F9198" s="113" t="s">
        <v>18669</v>
      </c>
      <c r="G9198" s="114"/>
      <c r="H9198" s="115"/>
      <c r="I9198" s="24"/>
      <c r="J9198" s="116">
        <v>4</v>
      </c>
      <c r="K9198" s="118">
        <v>615000</v>
      </c>
      <c r="L9198" s="119"/>
      <c r="M9198" s="118">
        <f t="shared" ref="M9198" si="14284">K9198*0.1</f>
        <v>61500</v>
      </c>
      <c r="N9198" s="119"/>
      <c r="O9198" s="118">
        <v>0</v>
      </c>
      <c r="P9198" s="119"/>
      <c r="Q9198" s="118">
        <v>19120</v>
      </c>
      <c r="R9198" s="119"/>
      <c r="S9198" s="118">
        <v>15950</v>
      </c>
      <c r="T9198" s="119"/>
      <c r="U9198" s="118">
        <f t="shared" ref="U9198" si="14285">SUM(K9198:T9199)</f>
        <v>711570</v>
      </c>
      <c r="V9198" s="122"/>
      <c r="W9198" s="124"/>
      <c r="X9198" s="126"/>
      <c r="Y9198" s="127"/>
      <c r="Z9198" s="127"/>
      <c r="AA9198" s="127"/>
      <c r="AB9198" s="128"/>
      <c r="AC9198" s="15" t="s">
        <v>20</v>
      </c>
      <c r="AD9198" s="129"/>
      <c r="AE9198" s="130"/>
      <c r="AF9198" s="130"/>
      <c r="AG9198" s="130"/>
      <c r="AH9198" s="130"/>
      <c r="AI9198" s="131"/>
      <c r="AJ9198" s="132"/>
      <c r="AK9198" s="127"/>
      <c r="AL9198" s="128"/>
      <c r="AM9198" s="21"/>
      <c r="AN9198" s="133"/>
      <c r="AO9198" s="134"/>
      <c r="AP9198" s="135"/>
      <c r="AQ9198" s="136"/>
      <c r="AR9198" s="118"/>
      <c r="AS9198" s="119"/>
      <c r="AT9198" s="118">
        <f t="shared" ref="AT9198" si="14286">AR9198*0.1</f>
        <v>0</v>
      </c>
      <c r="AU9198" s="119"/>
      <c r="AV9198" s="118"/>
      <c r="AW9198" s="119"/>
      <c r="AX9198" s="118">
        <f t="shared" ref="AX9198" si="14287">SUM(AR9198:AW9198)</f>
        <v>0</v>
      </c>
      <c r="AY9198" s="119"/>
      <c r="AZ9198" s="137"/>
    </row>
    <row r="9199" spans="1:52" ht="17.100000000000001" customHeight="1" thickBot="1">
      <c r="A9199" s="110"/>
      <c r="B9199" s="27" t="s">
        <v>2699</v>
      </c>
      <c r="C9199" s="27">
        <v>5013</v>
      </c>
      <c r="D9199" s="14" t="s">
        <v>1592</v>
      </c>
      <c r="E9199" s="112"/>
      <c r="F9199" s="139" t="s">
        <v>26116</v>
      </c>
      <c r="G9199" s="140"/>
      <c r="H9199" s="141"/>
      <c r="I9199" s="26">
        <v>44862</v>
      </c>
      <c r="J9199" s="117"/>
      <c r="K9199" s="120"/>
      <c r="L9199" s="121"/>
      <c r="M9199" s="120"/>
      <c r="N9199" s="121"/>
      <c r="O9199" s="120"/>
      <c r="P9199" s="121"/>
      <c r="Q9199" s="120"/>
      <c r="R9199" s="121"/>
      <c r="S9199" s="120"/>
      <c r="T9199" s="121"/>
      <c r="U9199" s="120"/>
      <c r="V9199" s="123"/>
      <c r="W9199" s="125"/>
      <c r="X9199" s="142"/>
      <c r="Y9199" s="143"/>
      <c r="Z9199" s="143"/>
      <c r="AA9199" s="143"/>
      <c r="AB9199" s="144"/>
      <c r="AC9199" s="16" t="s">
        <v>21</v>
      </c>
      <c r="AD9199" s="17"/>
      <c r="AE9199" s="145"/>
      <c r="AF9199" s="146"/>
      <c r="AG9199" s="146"/>
      <c r="AH9199" s="146"/>
      <c r="AI9199" s="147"/>
      <c r="AJ9199" s="148"/>
      <c r="AK9199" s="143"/>
      <c r="AL9199" s="144"/>
      <c r="AM9199" s="22"/>
      <c r="AN9199" s="149"/>
      <c r="AO9199" s="144"/>
      <c r="AP9199" s="148"/>
      <c r="AQ9199" s="144"/>
      <c r="AR9199" s="120"/>
      <c r="AS9199" s="121"/>
      <c r="AT9199" s="120"/>
      <c r="AU9199" s="121"/>
      <c r="AV9199" s="120"/>
      <c r="AW9199" s="121"/>
      <c r="AX9199" s="120"/>
      <c r="AY9199" s="121"/>
      <c r="AZ9199" s="138"/>
    </row>
    <row r="9200" spans="1:52" ht="17.100000000000001" customHeight="1" thickTop="1">
      <c r="A9200" s="109" t="s">
        <v>26061</v>
      </c>
      <c r="B9200" s="28">
        <v>46161</v>
      </c>
      <c r="C9200" s="25">
        <v>1240</v>
      </c>
      <c r="D9200" s="13" t="s">
        <v>1712</v>
      </c>
      <c r="E9200" s="111"/>
      <c r="F9200" s="113" t="s">
        <v>1938</v>
      </c>
      <c r="G9200" s="114"/>
      <c r="H9200" s="115"/>
      <c r="I9200" s="24"/>
      <c r="J9200" s="116">
        <v>4</v>
      </c>
      <c r="K9200" s="118">
        <v>431000</v>
      </c>
      <c r="L9200" s="119"/>
      <c r="M9200" s="118">
        <f t="shared" ref="M9200" si="14288">K9200*0.1</f>
        <v>43100</v>
      </c>
      <c r="N9200" s="119"/>
      <c r="O9200" s="118">
        <v>0</v>
      </c>
      <c r="P9200" s="119"/>
      <c r="Q9200" s="118">
        <v>19090</v>
      </c>
      <c r="R9200" s="119"/>
      <c r="S9200" s="118">
        <v>15950</v>
      </c>
      <c r="T9200" s="119"/>
      <c r="U9200" s="118">
        <f t="shared" ref="U9200" si="14289">SUM(K9200:T9201)</f>
        <v>509140</v>
      </c>
      <c r="V9200" s="122"/>
      <c r="W9200" s="124"/>
      <c r="X9200" s="126"/>
      <c r="Y9200" s="127"/>
      <c r="Z9200" s="127"/>
      <c r="AA9200" s="127"/>
      <c r="AB9200" s="128"/>
      <c r="AC9200" s="15" t="s">
        <v>20</v>
      </c>
      <c r="AD9200" s="129"/>
      <c r="AE9200" s="130"/>
      <c r="AF9200" s="130"/>
      <c r="AG9200" s="130"/>
      <c r="AH9200" s="130"/>
      <c r="AI9200" s="131"/>
      <c r="AJ9200" s="132"/>
      <c r="AK9200" s="127"/>
      <c r="AL9200" s="128"/>
      <c r="AM9200" s="21"/>
      <c r="AN9200" s="133"/>
      <c r="AO9200" s="134"/>
      <c r="AP9200" s="135"/>
      <c r="AQ9200" s="136"/>
      <c r="AR9200" s="118"/>
      <c r="AS9200" s="119"/>
      <c r="AT9200" s="118">
        <f t="shared" ref="AT9200" si="14290">AR9200*0.1</f>
        <v>0</v>
      </c>
      <c r="AU9200" s="119"/>
      <c r="AV9200" s="118"/>
      <c r="AW9200" s="119"/>
      <c r="AX9200" s="118">
        <f t="shared" ref="AX9200" si="14291">SUM(AR9200:AW9200)</f>
        <v>0</v>
      </c>
      <c r="AY9200" s="119"/>
      <c r="AZ9200" s="137"/>
    </row>
    <row r="9201" spans="1:52" ht="17.100000000000001" customHeight="1" thickBot="1">
      <c r="A9201" s="110"/>
      <c r="B9201" s="27" t="s">
        <v>2379</v>
      </c>
      <c r="C9201" s="27">
        <v>5056</v>
      </c>
      <c r="D9201" s="14" t="s">
        <v>1576</v>
      </c>
      <c r="E9201" s="112"/>
      <c r="F9201" s="139" t="s">
        <v>26117</v>
      </c>
      <c r="G9201" s="140"/>
      <c r="H9201" s="141"/>
      <c r="I9201" s="26">
        <v>103196</v>
      </c>
      <c r="J9201" s="117"/>
      <c r="K9201" s="120"/>
      <c r="L9201" s="121"/>
      <c r="M9201" s="120"/>
      <c r="N9201" s="121"/>
      <c r="O9201" s="120"/>
      <c r="P9201" s="121"/>
      <c r="Q9201" s="120"/>
      <c r="R9201" s="121"/>
      <c r="S9201" s="120"/>
      <c r="T9201" s="121"/>
      <c r="U9201" s="120"/>
      <c r="V9201" s="123"/>
      <c r="W9201" s="125"/>
      <c r="X9201" s="142"/>
      <c r="Y9201" s="143"/>
      <c r="Z9201" s="143"/>
      <c r="AA9201" s="143"/>
      <c r="AB9201" s="144"/>
      <c r="AC9201" s="16" t="s">
        <v>21</v>
      </c>
      <c r="AD9201" s="17"/>
      <c r="AE9201" s="145"/>
      <c r="AF9201" s="146"/>
      <c r="AG9201" s="146"/>
      <c r="AH9201" s="146"/>
      <c r="AI9201" s="147"/>
      <c r="AJ9201" s="148"/>
      <c r="AK9201" s="143"/>
      <c r="AL9201" s="144"/>
      <c r="AM9201" s="22"/>
      <c r="AN9201" s="149"/>
      <c r="AO9201" s="144"/>
      <c r="AP9201" s="148"/>
      <c r="AQ9201" s="144"/>
      <c r="AR9201" s="120"/>
      <c r="AS9201" s="121"/>
      <c r="AT9201" s="120"/>
      <c r="AU9201" s="121"/>
      <c r="AV9201" s="120"/>
      <c r="AW9201" s="121"/>
      <c r="AX9201" s="120"/>
      <c r="AY9201" s="121"/>
      <c r="AZ9201" s="138"/>
    </row>
    <row r="9202" spans="1:52" ht="17.100000000000001" customHeight="1" thickTop="1">
      <c r="A9202" s="109" t="s">
        <v>26062</v>
      </c>
      <c r="B9202" s="28">
        <v>46161</v>
      </c>
      <c r="C9202" s="25">
        <v>1240</v>
      </c>
      <c r="D9202" s="13" t="s">
        <v>859</v>
      </c>
      <c r="E9202" s="111"/>
      <c r="F9202" s="113" t="s">
        <v>1938</v>
      </c>
      <c r="G9202" s="114"/>
      <c r="H9202" s="115"/>
      <c r="I9202" s="24"/>
      <c r="J9202" s="116">
        <v>4.5</v>
      </c>
      <c r="K9202" s="118">
        <v>2116000</v>
      </c>
      <c r="L9202" s="119"/>
      <c r="M9202" s="118">
        <f t="shared" ref="M9202" si="14292">K9202*0.1</f>
        <v>211600</v>
      </c>
      <c r="N9202" s="119"/>
      <c r="O9202" s="118">
        <v>0</v>
      </c>
      <c r="P9202" s="119"/>
      <c r="Q9202" s="118">
        <v>18170</v>
      </c>
      <c r="R9202" s="119"/>
      <c r="S9202" s="118">
        <v>15950</v>
      </c>
      <c r="T9202" s="119"/>
      <c r="U9202" s="118">
        <f t="shared" ref="U9202" si="14293">SUM(K9202:T9203)</f>
        <v>2361720</v>
      </c>
      <c r="V9202" s="122"/>
      <c r="W9202" s="124"/>
      <c r="X9202" s="126"/>
      <c r="Y9202" s="127"/>
      <c r="Z9202" s="127"/>
      <c r="AA9202" s="127"/>
      <c r="AB9202" s="128"/>
      <c r="AC9202" s="15" t="s">
        <v>20</v>
      </c>
      <c r="AD9202" s="129"/>
      <c r="AE9202" s="130"/>
      <c r="AF9202" s="130"/>
      <c r="AG9202" s="130"/>
      <c r="AH9202" s="130"/>
      <c r="AI9202" s="131"/>
      <c r="AJ9202" s="132"/>
      <c r="AK9202" s="127"/>
      <c r="AL9202" s="128"/>
      <c r="AM9202" s="21"/>
      <c r="AN9202" s="133"/>
      <c r="AO9202" s="134"/>
      <c r="AP9202" s="135"/>
      <c r="AQ9202" s="136"/>
      <c r="AR9202" s="118"/>
      <c r="AS9202" s="119"/>
      <c r="AT9202" s="118">
        <f t="shared" ref="AT9202" si="14294">AR9202*0.1</f>
        <v>0</v>
      </c>
      <c r="AU9202" s="119"/>
      <c r="AV9202" s="118"/>
      <c r="AW9202" s="119"/>
      <c r="AX9202" s="118">
        <f t="shared" ref="AX9202" si="14295">SUM(AR9202:AW9202)</f>
        <v>0</v>
      </c>
      <c r="AY9202" s="119"/>
      <c r="AZ9202" s="137"/>
    </row>
    <row r="9203" spans="1:52" ht="17.100000000000001" customHeight="1" thickBot="1">
      <c r="A9203" s="110"/>
      <c r="B9203" s="27" t="s">
        <v>2379</v>
      </c>
      <c r="C9203" s="27">
        <v>5071</v>
      </c>
      <c r="D9203" s="14"/>
      <c r="E9203" s="112"/>
      <c r="F9203" s="139" t="s">
        <v>26118</v>
      </c>
      <c r="G9203" s="140"/>
      <c r="H9203" s="141"/>
      <c r="I9203" s="26">
        <v>43508</v>
      </c>
      <c r="J9203" s="117"/>
      <c r="K9203" s="120"/>
      <c r="L9203" s="121"/>
      <c r="M9203" s="120"/>
      <c r="N9203" s="121"/>
      <c r="O9203" s="120"/>
      <c r="P9203" s="121"/>
      <c r="Q9203" s="120"/>
      <c r="R9203" s="121"/>
      <c r="S9203" s="120"/>
      <c r="T9203" s="121"/>
      <c r="U9203" s="120"/>
      <c r="V9203" s="123"/>
      <c r="W9203" s="125"/>
      <c r="X9203" s="142"/>
      <c r="Y9203" s="143"/>
      <c r="Z9203" s="143"/>
      <c r="AA9203" s="143"/>
      <c r="AB9203" s="144"/>
      <c r="AC9203" s="16" t="s">
        <v>21</v>
      </c>
      <c r="AD9203" s="17"/>
      <c r="AE9203" s="145"/>
      <c r="AF9203" s="146"/>
      <c r="AG9203" s="146"/>
      <c r="AH9203" s="146"/>
      <c r="AI9203" s="147"/>
      <c r="AJ9203" s="148"/>
      <c r="AK9203" s="143"/>
      <c r="AL9203" s="144"/>
      <c r="AM9203" s="22"/>
      <c r="AN9203" s="149"/>
      <c r="AO9203" s="144"/>
      <c r="AP9203" s="148"/>
      <c r="AQ9203" s="144"/>
      <c r="AR9203" s="120"/>
      <c r="AS9203" s="121"/>
      <c r="AT9203" s="120"/>
      <c r="AU9203" s="121"/>
      <c r="AV9203" s="120"/>
      <c r="AW9203" s="121"/>
      <c r="AX9203" s="120"/>
      <c r="AY9203" s="121"/>
      <c r="AZ9203" s="138"/>
    </row>
    <row r="9204" spans="1:52" ht="17.100000000000001" customHeight="1" thickTop="1">
      <c r="A9204" s="109" t="s">
        <v>26063</v>
      </c>
      <c r="B9204" s="28">
        <v>46161</v>
      </c>
      <c r="C9204" s="25">
        <v>1240</v>
      </c>
      <c r="D9204" s="13" t="s">
        <v>1906</v>
      </c>
      <c r="E9204" s="111"/>
      <c r="F9204" s="113" t="s">
        <v>26088</v>
      </c>
      <c r="G9204" s="114"/>
      <c r="H9204" s="115"/>
      <c r="I9204" s="24"/>
      <c r="J9204" s="116">
        <v>5</v>
      </c>
      <c r="K9204" s="118">
        <v>2148000</v>
      </c>
      <c r="L9204" s="119"/>
      <c r="M9204" s="118">
        <f t="shared" ref="M9204" si="14296">K9204*0.1</f>
        <v>214800</v>
      </c>
      <c r="N9204" s="119"/>
      <c r="O9204" s="118">
        <v>0</v>
      </c>
      <c r="P9204" s="119"/>
      <c r="Q9204" s="118">
        <v>15750</v>
      </c>
      <c r="R9204" s="119"/>
      <c r="S9204" s="118">
        <v>15950</v>
      </c>
      <c r="T9204" s="119"/>
      <c r="U9204" s="118">
        <f t="shared" ref="U9204" si="14297">SUM(K9204:T9205)</f>
        <v>2394500</v>
      </c>
      <c r="V9204" s="122"/>
      <c r="W9204" s="124"/>
      <c r="X9204" s="126"/>
      <c r="Y9204" s="127"/>
      <c r="Z9204" s="127"/>
      <c r="AA9204" s="127"/>
      <c r="AB9204" s="128"/>
      <c r="AC9204" s="15" t="s">
        <v>20</v>
      </c>
      <c r="AD9204" s="129" t="s">
        <v>17268</v>
      </c>
      <c r="AE9204" s="130"/>
      <c r="AF9204" s="130"/>
      <c r="AG9204" s="130"/>
      <c r="AH9204" s="130"/>
      <c r="AI9204" s="131"/>
      <c r="AJ9204" s="132"/>
      <c r="AK9204" s="127"/>
      <c r="AL9204" s="128"/>
      <c r="AM9204" s="21"/>
      <c r="AN9204" s="133"/>
      <c r="AO9204" s="134"/>
      <c r="AP9204" s="135"/>
      <c r="AQ9204" s="136"/>
      <c r="AR9204" s="118"/>
      <c r="AS9204" s="119"/>
      <c r="AT9204" s="118">
        <f t="shared" ref="AT9204" si="14298">AR9204*0.1</f>
        <v>0</v>
      </c>
      <c r="AU9204" s="119"/>
      <c r="AV9204" s="118"/>
      <c r="AW9204" s="119"/>
      <c r="AX9204" s="118">
        <f t="shared" ref="AX9204" si="14299">SUM(AR9204:AW9204)</f>
        <v>0</v>
      </c>
      <c r="AY9204" s="119"/>
      <c r="AZ9204" s="137"/>
    </row>
    <row r="9205" spans="1:52" ht="17.100000000000001" customHeight="1" thickBot="1">
      <c r="A9205" s="110"/>
      <c r="B9205" s="27" t="s">
        <v>2379</v>
      </c>
      <c r="C9205" s="27">
        <v>5073</v>
      </c>
      <c r="D9205" s="14" t="s">
        <v>1592</v>
      </c>
      <c r="E9205" s="112"/>
      <c r="F9205" s="139" t="s">
        <v>26119</v>
      </c>
      <c r="G9205" s="140"/>
      <c r="H9205" s="141"/>
      <c r="I9205" s="26">
        <v>15727</v>
      </c>
      <c r="J9205" s="117"/>
      <c r="K9205" s="120"/>
      <c r="L9205" s="121"/>
      <c r="M9205" s="120"/>
      <c r="N9205" s="121"/>
      <c r="O9205" s="120"/>
      <c r="P9205" s="121"/>
      <c r="Q9205" s="120"/>
      <c r="R9205" s="121"/>
      <c r="S9205" s="120"/>
      <c r="T9205" s="121"/>
      <c r="U9205" s="120"/>
      <c r="V9205" s="123"/>
      <c r="W9205" s="125"/>
      <c r="X9205" s="142"/>
      <c r="Y9205" s="143"/>
      <c r="Z9205" s="143"/>
      <c r="AA9205" s="143"/>
      <c r="AB9205" s="144"/>
      <c r="AC9205" s="16" t="s">
        <v>21</v>
      </c>
      <c r="AD9205" s="17"/>
      <c r="AE9205" s="145"/>
      <c r="AF9205" s="146"/>
      <c r="AG9205" s="146"/>
      <c r="AH9205" s="146"/>
      <c r="AI9205" s="147"/>
      <c r="AJ9205" s="148"/>
      <c r="AK9205" s="143"/>
      <c r="AL9205" s="144"/>
      <c r="AM9205" s="22"/>
      <c r="AN9205" s="149"/>
      <c r="AO9205" s="144"/>
      <c r="AP9205" s="148"/>
      <c r="AQ9205" s="144"/>
      <c r="AR9205" s="120"/>
      <c r="AS9205" s="121"/>
      <c r="AT9205" s="120"/>
      <c r="AU9205" s="121"/>
      <c r="AV9205" s="120"/>
      <c r="AW9205" s="121"/>
      <c r="AX9205" s="120"/>
      <c r="AY9205" s="121"/>
      <c r="AZ9205" s="138"/>
    </row>
    <row r="9206" spans="1:52" ht="17.100000000000001" customHeight="1" thickTop="1">
      <c r="A9206" s="109" t="s">
        <v>26064</v>
      </c>
      <c r="B9206" s="28">
        <v>46161</v>
      </c>
      <c r="C9206" s="25">
        <v>990</v>
      </c>
      <c r="D9206" s="13" t="s">
        <v>1986</v>
      </c>
      <c r="E9206" s="111"/>
      <c r="F9206" s="113" t="s">
        <v>15949</v>
      </c>
      <c r="G9206" s="114"/>
      <c r="H9206" s="115"/>
      <c r="I9206" s="24"/>
      <c r="J9206" s="116">
        <v>4</v>
      </c>
      <c r="K9206" s="118">
        <v>443000</v>
      </c>
      <c r="L9206" s="119"/>
      <c r="M9206" s="118">
        <f t="shared" ref="M9206" si="14300">K9206*0.1</f>
        <v>44300</v>
      </c>
      <c r="N9206" s="119"/>
      <c r="O9206" s="118">
        <v>0</v>
      </c>
      <c r="P9206" s="119"/>
      <c r="Q9206" s="118">
        <v>7140</v>
      </c>
      <c r="R9206" s="119"/>
      <c r="S9206" s="118">
        <v>22000</v>
      </c>
      <c r="T9206" s="119"/>
      <c r="U9206" s="118">
        <f t="shared" ref="U9206" si="14301">SUM(K9206:T9207)</f>
        <v>516440</v>
      </c>
      <c r="V9206" s="122"/>
      <c r="W9206" s="124"/>
      <c r="X9206" s="126"/>
      <c r="Y9206" s="127"/>
      <c r="Z9206" s="127"/>
      <c r="AA9206" s="127"/>
      <c r="AB9206" s="128"/>
      <c r="AC9206" s="15" t="s">
        <v>20</v>
      </c>
      <c r="AD9206" s="129" t="s">
        <v>2054</v>
      </c>
      <c r="AE9206" s="130"/>
      <c r="AF9206" s="130"/>
      <c r="AG9206" s="130"/>
      <c r="AH9206" s="130"/>
      <c r="AI9206" s="131"/>
      <c r="AJ9206" s="132"/>
      <c r="AK9206" s="127"/>
      <c r="AL9206" s="128"/>
      <c r="AM9206" s="21"/>
      <c r="AN9206" s="133"/>
      <c r="AO9206" s="134"/>
      <c r="AP9206" s="135"/>
      <c r="AQ9206" s="136"/>
      <c r="AR9206" s="118"/>
      <c r="AS9206" s="119"/>
      <c r="AT9206" s="118">
        <f t="shared" ref="AT9206" si="14302">AR9206*0.1</f>
        <v>0</v>
      </c>
      <c r="AU9206" s="119"/>
      <c r="AV9206" s="118"/>
      <c r="AW9206" s="119"/>
      <c r="AX9206" s="118">
        <f t="shared" ref="AX9206" si="14303">SUM(AR9206:AW9206)</f>
        <v>0</v>
      </c>
      <c r="AY9206" s="119"/>
      <c r="AZ9206" s="137"/>
    </row>
    <row r="9207" spans="1:52" ht="17.100000000000001" customHeight="1" thickBot="1">
      <c r="A9207" s="110"/>
      <c r="B9207" s="27" t="s">
        <v>18196</v>
      </c>
      <c r="C9207" s="27">
        <v>124</v>
      </c>
      <c r="D9207" s="14" t="s">
        <v>1592</v>
      </c>
      <c r="E9207" s="112"/>
      <c r="F9207" s="139" t="s">
        <v>26094</v>
      </c>
      <c r="G9207" s="140"/>
      <c r="H9207" s="141"/>
      <c r="I9207" s="26">
        <v>27239</v>
      </c>
      <c r="J9207" s="117"/>
      <c r="K9207" s="120"/>
      <c r="L9207" s="121"/>
      <c r="M9207" s="120"/>
      <c r="N9207" s="121"/>
      <c r="O9207" s="120"/>
      <c r="P9207" s="121"/>
      <c r="Q9207" s="120"/>
      <c r="R9207" s="121"/>
      <c r="S9207" s="120"/>
      <c r="T9207" s="121"/>
      <c r="U9207" s="120"/>
      <c r="V9207" s="123"/>
      <c r="W9207" s="125"/>
      <c r="X9207" s="142"/>
      <c r="Y9207" s="143"/>
      <c r="Z9207" s="143"/>
      <c r="AA9207" s="143"/>
      <c r="AB9207" s="144"/>
      <c r="AC9207" s="16" t="s">
        <v>21</v>
      </c>
      <c r="AD9207" s="17"/>
      <c r="AE9207" s="145"/>
      <c r="AF9207" s="146"/>
      <c r="AG9207" s="146"/>
      <c r="AH9207" s="146"/>
      <c r="AI9207" s="147"/>
      <c r="AJ9207" s="148"/>
      <c r="AK9207" s="143"/>
      <c r="AL9207" s="144"/>
      <c r="AM9207" s="22"/>
      <c r="AN9207" s="149"/>
      <c r="AO9207" s="144"/>
      <c r="AP9207" s="148"/>
      <c r="AQ9207" s="144"/>
      <c r="AR9207" s="120"/>
      <c r="AS9207" s="121"/>
      <c r="AT9207" s="120"/>
      <c r="AU9207" s="121"/>
      <c r="AV9207" s="120"/>
      <c r="AW9207" s="121"/>
      <c r="AX9207" s="120"/>
      <c r="AY9207" s="121"/>
      <c r="AZ9207" s="138"/>
    </row>
    <row r="9208" spans="1:52" ht="17.100000000000001" customHeight="1" thickTop="1">
      <c r="A9208" s="109" t="s">
        <v>26065</v>
      </c>
      <c r="B9208" s="28">
        <v>46161</v>
      </c>
      <c r="C9208" s="25">
        <v>990</v>
      </c>
      <c r="D9208" s="13" t="s">
        <v>2359</v>
      </c>
      <c r="E9208" s="111"/>
      <c r="F9208" s="113" t="s">
        <v>26095</v>
      </c>
      <c r="G9208" s="114"/>
      <c r="H9208" s="115"/>
      <c r="I9208" s="24"/>
      <c r="J9208" s="116">
        <v>3.5</v>
      </c>
      <c r="K9208" s="118">
        <v>1064000</v>
      </c>
      <c r="L9208" s="119"/>
      <c r="M9208" s="118">
        <f t="shared" ref="M9208" si="14304">K9208*0.1</f>
        <v>106400</v>
      </c>
      <c r="N9208" s="119"/>
      <c r="O9208" s="118">
        <v>0</v>
      </c>
      <c r="P9208" s="119"/>
      <c r="Q9208" s="118">
        <v>7440</v>
      </c>
      <c r="R9208" s="119"/>
      <c r="S9208" s="118">
        <v>22000</v>
      </c>
      <c r="T9208" s="119"/>
      <c r="U9208" s="118">
        <f t="shared" ref="U9208" si="14305">SUM(K9208:T9209)</f>
        <v>1199840</v>
      </c>
      <c r="V9208" s="122"/>
      <c r="W9208" s="124"/>
      <c r="X9208" s="126"/>
      <c r="Y9208" s="127"/>
      <c r="Z9208" s="127"/>
      <c r="AA9208" s="127"/>
      <c r="AB9208" s="128"/>
      <c r="AC9208" s="15" t="s">
        <v>20</v>
      </c>
      <c r="AD9208" s="129" t="s">
        <v>2054</v>
      </c>
      <c r="AE9208" s="130"/>
      <c r="AF9208" s="130"/>
      <c r="AG9208" s="130"/>
      <c r="AH9208" s="130"/>
      <c r="AI9208" s="131"/>
      <c r="AJ9208" s="132"/>
      <c r="AK9208" s="127"/>
      <c r="AL9208" s="128"/>
      <c r="AM9208" s="21"/>
      <c r="AN9208" s="133"/>
      <c r="AO9208" s="134"/>
      <c r="AP9208" s="135"/>
      <c r="AQ9208" s="136"/>
      <c r="AR9208" s="118"/>
      <c r="AS9208" s="119"/>
      <c r="AT9208" s="118">
        <f t="shared" ref="AT9208" si="14306">AR9208*0.1</f>
        <v>0</v>
      </c>
      <c r="AU9208" s="119"/>
      <c r="AV9208" s="118"/>
      <c r="AW9208" s="119"/>
      <c r="AX9208" s="118">
        <f t="shared" ref="AX9208" si="14307">SUM(AR9208:AW9208)</f>
        <v>0</v>
      </c>
      <c r="AY9208" s="119"/>
      <c r="AZ9208" s="137"/>
    </row>
    <row r="9209" spans="1:52" ht="17.100000000000001" customHeight="1" thickBot="1">
      <c r="A9209" s="110"/>
      <c r="B9209" s="27" t="s">
        <v>18196</v>
      </c>
      <c r="C9209" s="27">
        <v>185</v>
      </c>
      <c r="D9209" s="14" t="s">
        <v>1592</v>
      </c>
      <c r="E9209" s="112"/>
      <c r="F9209" s="139" t="s">
        <v>26096</v>
      </c>
      <c r="G9209" s="140"/>
      <c r="H9209" s="141"/>
      <c r="I9209" s="26">
        <v>28367</v>
      </c>
      <c r="J9209" s="117"/>
      <c r="K9209" s="120"/>
      <c r="L9209" s="121"/>
      <c r="M9209" s="120"/>
      <c r="N9209" s="121"/>
      <c r="O9209" s="120"/>
      <c r="P9209" s="121"/>
      <c r="Q9209" s="120"/>
      <c r="R9209" s="121"/>
      <c r="S9209" s="120"/>
      <c r="T9209" s="121"/>
      <c r="U9209" s="120"/>
      <c r="V9209" s="123"/>
      <c r="W9209" s="125"/>
      <c r="X9209" s="142"/>
      <c r="Y9209" s="143"/>
      <c r="Z9209" s="143"/>
      <c r="AA9209" s="143"/>
      <c r="AB9209" s="144"/>
      <c r="AC9209" s="16" t="s">
        <v>21</v>
      </c>
      <c r="AD9209" s="17"/>
      <c r="AE9209" s="145"/>
      <c r="AF9209" s="146"/>
      <c r="AG9209" s="146"/>
      <c r="AH9209" s="146"/>
      <c r="AI9209" s="147"/>
      <c r="AJ9209" s="148"/>
      <c r="AK9209" s="143"/>
      <c r="AL9209" s="144"/>
      <c r="AM9209" s="22"/>
      <c r="AN9209" s="149"/>
      <c r="AO9209" s="144"/>
      <c r="AP9209" s="148"/>
      <c r="AQ9209" s="144"/>
      <c r="AR9209" s="120"/>
      <c r="AS9209" s="121"/>
      <c r="AT9209" s="120"/>
      <c r="AU9209" s="121"/>
      <c r="AV9209" s="120"/>
      <c r="AW9209" s="121"/>
      <c r="AX9209" s="120"/>
      <c r="AY9209" s="121"/>
      <c r="AZ9209" s="138"/>
    </row>
    <row r="9210" spans="1:52" ht="17.100000000000001" customHeight="1" thickTop="1">
      <c r="A9210" s="109" t="s">
        <v>26089</v>
      </c>
      <c r="B9210" s="28">
        <v>46161</v>
      </c>
      <c r="C9210" s="25">
        <v>990</v>
      </c>
      <c r="D9210" s="13" t="s">
        <v>3530</v>
      </c>
      <c r="E9210" s="111"/>
      <c r="F9210" s="113" t="s">
        <v>22162</v>
      </c>
      <c r="G9210" s="114"/>
      <c r="H9210" s="115"/>
      <c r="I9210" s="24"/>
      <c r="J9210" s="116">
        <v>4</v>
      </c>
      <c r="K9210" s="118">
        <v>874000</v>
      </c>
      <c r="L9210" s="119"/>
      <c r="M9210" s="118">
        <f t="shared" ref="M9210" si="14308">K9210*0.1</f>
        <v>87400</v>
      </c>
      <c r="N9210" s="119"/>
      <c r="O9210" s="118">
        <v>0</v>
      </c>
      <c r="P9210" s="119"/>
      <c r="Q9210" s="118">
        <v>8790</v>
      </c>
      <c r="R9210" s="119"/>
      <c r="S9210" s="118">
        <v>22000</v>
      </c>
      <c r="T9210" s="119"/>
      <c r="U9210" s="118">
        <f t="shared" ref="U9210" si="14309">SUM(K9210:T9211)</f>
        <v>992190</v>
      </c>
      <c r="V9210" s="122"/>
      <c r="W9210" s="124"/>
      <c r="X9210" s="126"/>
      <c r="Y9210" s="127"/>
      <c r="Z9210" s="127"/>
      <c r="AA9210" s="127"/>
      <c r="AB9210" s="128"/>
      <c r="AC9210" s="15" t="s">
        <v>20</v>
      </c>
      <c r="AD9210" s="129" t="s">
        <v>2054</v>
      </c>
      <c r="AE9210" s="130"/>
      <c r="AF9210" s="130"/>
      <c r="AG9210" s="130"/>
      <c r="AH9210" s="130"/>
      <c r="AI9210" s="131"/>
      <c r="AJ9210" s="132"/>
      <c r="AK9210" s="127"/>
      <c r="AL9210" s="128"/>
      <c r="AM9210" s="21"/>
      <c r="AN9210" s="133"/>
      <c r="AO9210" s="134"/>
      <c r="AP9210" s="135"/>
      <c r="AQ9210" s="136"/>
      <c r="AR9210" s="118"/>
      <c r="AS9210" s="119"/>
      <c r="AT9210" s="118">
        <f t="shared" ref="AT9210" si="14310">AR9210*0.1</f>
        <v>0</v>
      </c>
      <c r="AU9210" s="119"/>
      <c r="AV9210" s="118"/>
      <c r="AW9210" s="119"/>
      <c r="AX9210" s="118">
        <f t="shared" ref="AX9210" si="14311">SUM(AR9210:AW9210)</f>
        <v>0</v>
      </c>
      <c r="AY9210" s="119"/>
      <c r="AZ9210" s="137"/>
    </row>
    <row r="9211" spans="1:52" ht="17.100000000000001" customHeight="1" thickBot="1">
      <c r="A9211" s="110"/>
      <c r="B9211" s="27" t="s">
        <v>18196</v>
      </c>
      <c r="C9211" s="27">
        <v>206</v>
      </c>
      <c r="D9211" s="14" t="s">
        <v>5615</v>
      </c>
      <c r="E9211" s="112"/>
      <c r="F9211" s="139" t="s">
        <v>26097</v>
      </c>
      <c r="G9211" s="140"/>
      <c r="H9211" s="141"/>
      <c r="I9211" s="26">
        <v>38838</v>
      </c>
      <c r="J9211" s="117"/>
      <c r="K9211" s="120"/>
      <c r="L9211" s="121"/>
      <c r="M9211" s="120"/>
      <c r="N9211" s="121"/>
      <c r="O9211" s="120"/>
      <c r="P9211" s="121"/>
      <c r="Q9211" s="120"/>
      <c r="R9211" s="121"/>
      <c r="S9211" s="120"/>
      <c r="T9211" s="121"/>
      <c r="U9211" s="120"/>
      <c r="V9211" s="123"/>
      <c r="W9211" s="125"/>
      <c r="X9211" s="142"/>
      <c r="Y9211" s="143"/>
      <c r="Z9211" s="143"/>
      <c r="AA9211" s="143"/>
      <c r="AB9211" s="144"/>
      <c r="AC9211" s="16" t="s">
        <v>21</v>
      </c>
      <c r="AD9211" s="17"/>
      <c r="AE9211" s="145"/>
      <c r="AF9211" s="146"/>
      <c r="AG9211" s="146"/>
      <c r="AH9211" s="146"/>
      <c r="AI9211" s="147"/>
      <c r="AJ9211" s="148"/>
      <c r="AK9211" s="143"/>
      <c r="AL9211" s="144"/>
      <c r="AM9211" s="22"/>
      <c r="AN9211" s="149"/>
      <c r="AO9211" s="144"/>
      <c r="AP9211" s="148"/>
      <c r="AQ9211" s="144"/>
      <c r="AR9211" s="120"/>
      <c r="AS9211" s="121"/>
      <c r="AT9211" s="120"/>
      <c r="AU9211" s="121"/>
      <c r="AV9211" s="120"/>
      <c r="AW9211" s="121"/>
      <c r="AX9211" s="120"/>
      <c r="AY9211" s="121"/>
      <c r="AZ9211" s="138"/>
    </row>
    <row r="9212" spans="1:52" ht="17.100000000000001" customHeight="1" thickTop="1">
      <c r="A9212" s="109" t="s">
        <v>26090</v>
      </c>
      <c r="B9212" s="28">
        <v>46161</v>
      </c>
      <c r="C9212" s="25">
        <v>990</v>
      </c>
      <c r="D9212" s="13" t="s">
        <v>1714</v>
      </c>
      <c r="E9212" s="111"/>
      <c r="F9212" s="113" t="s">
        <v>26098</v>
      </c>
      <c r="G9212" s="114"/>
      <c r="H9212" s="115"/>
      <c r="I9212" s="24"/>
      <c r="J9212" s="116">
        <v>3.5</v>
      </c>
      <c r="K9212" s="118">
        <v>813000</v>
      </c>
      <c r="L9212" s="119"/>
      <c r="M9212" s="118">
        <f t="shared" ref="M9212" si="14312">K9212*0.1</f>
        <v>81300</v>
      </c>
      <c r="N9212" s="119"/>
      <c r="O9212" s="118">
        <v>0</v>
      </c>
      <c r="P9212" s="119"/>
      <c r="Q9212" s="118">
        <v>6560</v>
      </c>
      <c r="R9212" s="119"/>
      <c r="S9212" s="118">
        <v>22000</v>
      </c>
      <c r="T9212" s="119"/>
      <c r="U9212" s="118">
        <f t="shared" ref="U9212" si="14313">SUM(K9212:T9213)</f>
        <v>922860</v>
      </c>
      <c r="V9212" s="122"/>
      <c r="W9212" s="124"/>
      <c r="X9212" s="126"/>
      <c r="Y9212" s="127"/>
      <c r="Z9212" s="127"/>
      <c r="AA9212" s="127"/>
      <c r="AB9212" s="128"/>
      <c r="AC9212" s="15" t="s">
        <v>20</v>
      </c>
      <c r="AD9212" s="129" t="s">
        <v>2054</v>
      </c>
      <c r="AE9212" s="130"/>
      <c r="AF9212" s="130"/>
      <c r="AG9212" s="130"/>
      <c r="AH9212" s="130"/>
      <c r="AI9212" s="131"/>
      <c r="AJ9212" s="132"/>
      <c r="AK9212" s="127"/>
      <c r="AL9212" s="128"/>
      <c r="AM9212" s="21"/>
      <c r="AN9212" s="133"/>
      <c r="AO9212" s="134"/>
      <c r="AP9212" s="135"/>
      <c r="AQ9212" s="136"/>
      <c r="AR9212" s="118"/>
      <c r="AS9212" s="119"/>
      <c r="AT9212" s="118">
        <f t="shared" ref="AT9212" si="14314">AR9212*0.1</f>
        <v>0</v>
      </c>
      <c r="AU9212" s="119"/>
      <c r="AV9212" s="118"/>
      <c r="AW9212" s="119"/>
      <c r="AX9212" s="118">
        <f t="shared" ref="AX9212" si="14315">SUM(AR9212:AW9212)</f>
        <v>0</v>
      </c>
      <c r="AY9212" s="119"/>
      <c r="AZ9212" s="137"/>
    </row>
    <row r="9213" spans="1:52" ht="17.100000000000001" customHeight="1" thickBot="1">
      <c r="A9213" s="110"/>
      <c r="B9213" s="27" t="s">
        <v>18196</v>
      </c>
      <c r="C9213" s="27">
        <v>225</v>
      </c>
      <c r="D9213" s="14" t="s">
        <v>275</v>
      </c>
      <c r="E9213" s="112"/>
      <c r="F9213" s="139" t="s">
        <v>26099</v>
      </c>
      <c r="G9213" s="140"/>
      <c r="H9213" s="141"/>
      <c r="I9213" s="26">
        <v>53664</v>
      </c>
      <c r="J9213" s="117"/>
      <c r="K9213" s="120"/>
      <c r="L9213" s="121"/>
      <c r="M9213" s="120"/>
      <c r="N9213" s="121"/>
      <c r="O9213" s="120"/>
      <c r="P9213" s="121"/>
      <c r="Q9213" s="120"/>
      <c r="R9213" s="121"/>
      <c r="S9213" s="120"/>
      <c r="T9213" s="121"/>
      <c r="U9213" s="120"/>
      <c r="V9213" s="123"/>
      <c r="W9213" s="125"/>
      <c r="X9213" s="142"/>
      <c r="Y9213" s="143"/>
      <c r="Z9213" s="143"/>
      <c r="AA9213" s="143"/>
      <c r="AB9213" s="144"/>
      <c r="AC9213" s="16" t="s">
        <v>21</v>
      </c>
      <c r="AD9213" s="17"/>
      <c r="AE9213" s="145"/>
      <c r="AF9213" s="146"/>
      <c r="AG9213" s="146"/>
      <c r="AH9213" s="146"/>
      <c r="AI9213" s="147"/>
      <c r="AJ9213" s="148"/>
      <c r="AK9213" s="143"/>
      <c r="AL9213" s="144"/>
      <c r="AM9213" s="22"/>
      <c r="AN9213" s="149"/>
      <c r="AO9213" s="144"/>
      <c r="AP9213" s="148"/>
      <c r="AQ9213" s="144"/>
      <c r="AR9213" s="120"/>
      <c r="AS9213" s="121"/>
      <c r="AT9213" s="120"/>
      <c r="AU9213" s="121"/>
      <c r="AV9213" s="120"/>
      <c r="AW9213" s="121"/>
      <c r="AX9213" s="120"/>
      <c r="AY9213" s="121"/>
      <c r="AZ9213" s="138"/>
    </row>
    <row r="9214" spans="1:52" ht="17.100000000000001" customHeight="1" thickTop="1">
      <c r="A9214" s="109" t="s">
        <v>26091</v>
      </c>
      <c r="B9214" s="28">
        <v>46161</v>
      </c>
      <c r="C9214" s="25">
        <v>990</v>
      </c>
      <c r="D9214" s="13" t="s">
        <v>1986</v>
      </c>
      <c r="E9214" s="111"/>
      <c r="F9214" s="113" t="s">
        <v>26100</v>
      </c>
      <c r="G9214" s="114"/>
      <c r="H9214" s="115"/>
      <c r="I9214" s="24"/>
      <c r="J9214" s="116">
        <v>4</v>
      </c>
      <c r="K9214" s="118">
        <v>843000</v>
      </c>
      <c r="L9214" s="119"/>
      <c r="M9214" s="118">
        <f t="shared" ref="M9214" si="14316">K9214*0.1</f>
        <v>84300</v>
      </c>
      <c r="N9214" s="119"/>
      <c r="O9214" s="118">
        <v>0</v>
      </c>
      <c r="P9214" s="119"/>
      <c r="Q9214" s="118">
        <v>6560</v>
      </c>
      <c r="R9214" s="119"/>
      <c r="S9214" s="118">
        <v>22000</v>
      </c>
      <c r="T9214" s="119"/>
      <c r="U9214" s="118">
        <f t="shared" ref="U9214" si="14317">SUM(K9214:T9215)</f>
        <v>955860</v>
      </c>
      <c r="V9214" s="122"/>
      <c r="W9214" s="124"/>
      <c r="X9214" s="126"/>
      <c r="Y9214" s="127"/>
      <c r="Z9214" s="127"/>
      <c r="AA9214" s="127"/>
      <c r="AB9214" s="128"/>
      <c r="AC9214" s="15" t="s">
        <v>20</v>
      </c>
      <c r="AD9214" s="129" t="s">
        <v>2054</v>
      </c>
      <c r="AE9214" s="130"/>
      <c r="AF9214" s="130"/>
      <c r="AG9214" s="130"/>
      <c r="AH9214" s="130"/>
      <c r="AI9214" s="131"/>
      <c r="AJ9214" s="132"/>
      <c r="AK9214" s="127"/>
      <c r="AL9214" s="128"/>
      <c r="AM9214" s="21"/>
      <c r="AN9214" s="133"/>
      <c r="AO9214" s="134"/>
      <c r="AP9214" s="135"/>
      <c r="AQ9214" s="136"/>
      <c r="AR9214" s="118"/>
      <c r="AS9214" s="119"/>
      <c r="AT9214" s="118">
        <f t="shared" ref="AT9214" si="14318">AR9214*0.1</f>
        <v>0</v>
      </c>
      <c r="AU9214" s="119"/>
      <c r="AV9214" s="118"/>
      <c r="AW9214" s="119"/>
      <c r="AX9214" s="118">
        <f t="shared" ref="AX9214" si="14319">SUM(AR9214:AW9214)</f>
        <v>0</v>
      </c>
      <c r="AY9214" s="119"/>
      <c r="AZ9214" s="137"/>
    </row>
    <row r="9215" spans="1:52" ht="17.100000000000001" customHeight="1" thickBot="1">
      <c r="A9215" s="110"/>
      <c r="B9215" s="27" t="s">
        <v>18196</v>
      </c>
      <c r="C9215" s="27">
        <v>288</v>
      </c>
      <c r="D9215" s="14" t="s">
        <v>2086</v>
      </c>
      <c r="E9215" s="112"/>
      <c r="F9215" s="139" t="s">
        <v>26101</v>
      </c>
      <c r="G9215" s="140"/>
      <c r="H9215" s="141"/>
      <c r="I9215" s="26">
        <v>23084</v>
      </c>
      <c r="J9215" s="117"/>
      <c r="K9215" s="120"/>
      <c r="L9215" s="121"/>
      <c r="M9215" s="120"/>
      <c r="N9215" s="121"/>
      <c r="O9215" s="120"/>
      <c r="P9215" s="121"/>
      <c r="Q9215" s="120"/>
      <c r="R9215" s="121"/>
      <c r="S9215" s="120"/>
      <c r="T9215" s="121"/>
      <c r="U9215" s="120"/>
      <c r="V9215" s="123"/>
      <c r="W9215" s="125"/>
      <c r="X9215" s="142"/>
      <c r="Y9215" s="143"/>
      <c r="Z9215" s="143"/>
      <c r="AA9215" s="143"/>
      <c r="AB9215" s="144"/>
      <c r="AC9215" s="16" t="s">
        <v>21</v>
      </c>
      <c r="AD9215" s="17"/>
      <c r="AE9215" s="145"/>
      <c r="AF9215" s="146"/>
      <c r="AG9215" s="146"/>
      <c r="AH9215" s="146"/>
      <c r="AI9215" s="147"/>
      <c r="AJ9215" s="148"/>
      <c r="AK9215" s="143"/>
      <c r="AL9215" s="144"/>
      <c r="AM9215" s="22"/>
      <c r="AN9215" s="149"/>
      <c r="AO9215" s="144"/>
      <c r="AP9215" s="148"/>
      <c r="AQ9215" s="144"/>
      <c r="AR9215" s="120"/>
      <c r="AS9215" s="121"/>
      <c r="AT9215" s="120"/>
      <c r="AU9215" s="121"/>
      <c r="AV9215" s="120"/>
      <c r="AW9215" s="121"/>
      <c r="AX9215" s="120"/>
      <c r="AY9215" s="121"/>
      <c r="AZ9215" s="138"/>
    </row>
    <row r="9216" spans="1:52" ht="17.100000000000001" customHeight="1" thickTop="1">
      <c r="A9216" s="109" t="s">
        <v>26092</v>
      </c>
      <c r="B9216" s="28">
        <v>46161</v>
      </c>
      <c r="C9216" s="25">
        <v>990</v>
      </c>
      <c r="D9216" s="13" t="s">
        <v>1642</v>
      </c>
      <c r="E9216" s="111"/>
      <c r="F9216" s="113" t="s">
        <v>7811</v>
      </c>
      <c r="G9216" s="114"/>
      <c r="H9216" s="115"/>
      <c r="I9216" s="24"/>
      <c r="J9216" s="116">
        <v>4.5</v>
      </c>
      <c r="K9216" s="118">
        <v>563000</v>
      </c>
      <c r="L9216" s="119"/>
      <c r="M9216" s="118">
        <f t="shared" ref="M9216" si="14320">K9216*0.1</f>
        <v>56300</v>
      </c>
      <c r="N9216" s="119"/>
      <c r="O9216" s="118">
        <v>0</v>
      </c>
      <c r="P9216" s="119"/>
      <c r="Q9216" s="118">
        <v>5690</v>
      </c>
      <c r="R9216" s="119"/>
      <c r="S9216" s="118">
        <v>22000</v>
      </c>
      <c r="T9216" s="119"/>
      <c r="U9216" s="118">
        <f t="shared" ref="U9216" si="14321">SUM(K9216:T9217)</f>
        <v>646990</v>
      </c>
      <c r="V9216" s="122"/>
      <c r="W9216" s="124"/>
      <c r="X9216" s="126"/>
      <c r="Y9216" s="127"/>
      <c r="Z9216" s="127"/>
      <c r="AA9216" s="127"/>
      <c r="AB9216" s="128"/>
      <c r="AC9216" s="15" t="s">
        <v>20</v>
      </c>
      <c r="AD9216" s="129" t="s">
        <v>1670</v>
      </c>
      <c r="AE9216" s="130"/>
      <c r="AF9216" s="130"/>
      <c r="AG9216" s="130"/>
      <c r="AH9216" s="130"/>
      <c r="AI9216" s="131"/>
      <c r="AJ9216" s="132"/>
      <c r="AK9216" s="127"/>
      <c r="AL9216" s="128"/>
      <c r="AM9216" s="21"/>
      <c r="AN9216" s="133"/>
      <c r="AO9216" s="134"/>
      <c r="AP9216" s="135"/>
      <c r="AQ9216" s="136"/>
      <c r="AR9216" s="118"/>
      <c r="AS9216" s="119"/>
      <c r="AT9216" s="118">
        <f t="shared" ref="AT9216" si="14322">AR9216*0.1</f>
        <v>0</v>
      </c>
      <c r="AU9216" s="119"/>
      <c r="AV9216" s="118"/>
      <c r="AW9216" s="119"/>
      <c r="AX9216" s="118">
        <f t="shared" ref="AX9216" si="14323">SUM(AR9216:AW9216)</f>
        <v>0</v>
      </c>
      <c r="AY9216" s="119"/>
      <c r="AZ9216" s="137"/>
    </row>
    <row r="9217" spans="1:52" ht="17.100000000000001" customHeight="1" thickBot="1">
      <c r="A9217" s="110"/>
      <c r="B9217" s="27" t="s">
        <v>18196</v>
      </c>
      <c r="C9217" s="27">
        <v>1004</v>
      </c>
      <c r="D9217" s="14" t="s">
        <v>1720</v>
      </c>
      <c r="E9217" s="112"/>
      <c r="F9217" s="139" t="s">
        <v>26102</v>
      </c>
      <c r="G9217" s="140"/>
      <c r="H9217" s="141"/>
      <c r="I9217" s="26">
        <v>24897</v>
      </c>
      <c r="J9217" s="117"/>
      <c r="K9217" s="120"/>
      <c r="L9217" s="121"/>
      <c r="M9217" s="120"/>
      <c r="N9217" s="121"/>
      <c r="O9217" s="120"/>
      <c r="P9217" s="121"/>
      <c r="Q9217" s="120"/>
      <c r="R9217" s="121"/>
      <c r="S9217" s="120"/>
      <c r="T9217" s="121"/>
      <c r="U9217" s="120"/>
      <c r="V9217" s="123"/>
      <c r="W9217" s="125"/>
      <c r="X9217" s="142"/>
      <c r="Y9217" s="143"/>
      <c r="Z9217" s="143"/>
      <c r="AA9217" s="143"/>
      <c r="AB9217" s="144"/>
      <c r="AC9217" s="16" t="s">
        <v>21</v>
      </c>
      <c r="AD9217" s="17"/>
      <c r="AE9217" s="145"/>
      <c r="AF9217" s="146"/>
      <c r="AG9217" s="146"/>
      <c r="AH9217" s="146"/>
      <c r="AI9217" s="147"/>
      <c r="AJ9217" s="148"/>
      <c r="AK9217" s="143"/>
      <c r="AL9217" s="144"/>
      <c r="AM9217" s="22"/>
      <c r="AN9217" s="149"/>
      <c r="AO9217" s="144"/>
      <c r="AP9217" s="148"/>
      <c r="AQ9217" s="144"/>
      <c r="AR9217" s="120"/>
      <c r="AS9217" s="121"/>
      <c r="AT9217" s="120"/>
      <c r="AU9217" s="121"/>
      <c r="AV9217" s="120"/>
      <c r="AW9217" s="121"/>
      <c r="AX9217" s="120"/>
      <c r="AY9217" s="121"/>
      <c r="AZ9217" s="138"/>
    </row>
    <row r="9218" spans="1:52" ht="17.100000000000001" customHeight="1" thickTop="1">
      <c r="A9218" s="109" t="s">
        <v>26093</v>
      </c>
      <c r="B9218" s="28">
        <v>46161</v>
      </c>
      <c r="C9218" s="25">
        <v>990</v>
      </c>
      <c r="D9218" s="13" t="s">
        <v>3530</v>
      </c>
      <c r="E9218" s="111"/>
      <c r="F9218" s="113" t="s">
        <v>18706</v>
      </c>
      <c r="G9218" s="114"/>
      <c r="H9218" s="115"/>
      <c r="I9218" s="24"/>
      <c r="J9218" s="116">
        <v>4</v>
      </c>
      <c r="K9218" s="118">
        <v>823000</v>
      </c>
      <c r="L9218" s="119"/>
      <c r="M9218" s="118">
        <f t="shared" ref="M9218" si="14324">K9218*0.1</f>
        <v>82300</v>
      </c>
      <c r="N9218" s="119"/>
      <c r="O9218" s="118">
        <v>0</v>
      </c>
      <c r="P9218" s="119"/>
      <c r="Q9218" s="118">
        <v>8110</v>
      </c>
      <c r="R9218" s="119"/>
      <c r="S9218" s="118">
        <v>22000</v>
      </c>
      <c r="T9218" s="119"/>
      <c r="U9218" s="118">
        <f t="shared" ref="U9218" si="14325">SUM(K9218:T9219)</f>
        <v>935410</v>
      </c>
      <c r="V9218" s="122"/>
      <c r="W9218" s="124"/>
      <c r="X9218" s="126"/>
      <c r="Y9218" s="127"/>
      <c r="Z9218" s="127"/>
      <c r="AA9218" s="127"/>
      <c r="AB9218" s="128"/>
      <c r="AC9218" s="15" t="s">
        <v>20</v>
      </c>
      <c r="AD9218" s="129" t="s">
        <v>16303</v>
      </c>
      <c r="AE9218" s="130"/>
      <c r="AF9218" s="130"/>
      <c r="AG9218" s="130"/>
      <c r="AH9218" s="130"/>
      <c r="AI9218" s="131"/>
      <c r="AJ9218" s="132"/>
      <c r="AK9218" s="127"/>
      <c r="AL9218" s="128"/>
      <c r="AM9218" s="21"/>
      <c r="AN9218" s="133"/>
      <c r="AO9218" s="134"/>
      <c r="AP9218" s="135"/>
      <c r="AQ9218" s="136"/>
      <c r="AR9218" s="118"/>
      <c r="AS9218" s="119"/>
      <c r="AT9218" s="118">
        <f t="shared" ref="AT9218" si="14326">AR9218*0.1</f>
        <v>0</v>
      </c>
      <c r="AU9218" s="119"/>
      <c r="AV9218" s="118"/>
      <c r="AW9218" s="119"/>
      <c r="AX9218" s="118">
        <f t="shared" ref="AX9218" si="14327">SUM(AR9218:AW9218)</f>
        <v>0</v>
      </c>
      <c r="AY9218" s="119"/>
      <c r="AZ9218" s="137"/>
    </row>
    <row r="9219" spans="1:52" ht="17.100000000000001" customHeight="1" thickBot="1">
      <c r="A9219" s="110"/>
      <c r="B9219" s="27" t="s">
        <v>18196</v>
      </c>
      <c r="C9219" s="27">
        <v>1042</v>
      </c>
      <c r="D9219" s="14" t="s">
        <v>1720</v>
      </c>
      <c r="E9219" s="112"/>
      <c r="F9219" s="139" t="s">
        <v>26103</v>
      </c>
      <c r="G9219" s="140"/>
      <c r="H9219" s="141"/>
      <c r="I9219" s="26">
        <v>55957</v>
      </c>
      <c r="J9219" s="117"/>
      <c r="K9219" s="120"/>
      <c r="L9219" s="121"/>
      <c r="M9219" s="120"/>
      <c r="N9219" s="121"/>
      <c r="O9219" s="120"/>
      <c r="P9219" s="121"/>
      <c r="Q9219" s="120"/>
      <c r="R9219" s="121"/>
      <c r="S9219" s="120"/>
      <c r="T9219" s="121"/>
      <c r="U9219" s="120"/>
      <c r="V9219" s="123"/>
      <c r="W9219" s="125"/>
      <c r="X9219" s="142"/>
      <c r="Y9219" s="143"/>
      <c r="Z9219" s="143"/>
      <c r="AA9219" s="143"/>
      <c r="AB9219" s="144"/>
      <c r="AC9219" s="16" t="s">
        <v>21</v>
      </c>
      <c r="AD9219" s="17"/>
      <c r="AE9219" s="145"/>
      <c r="AF9219" s="146"/>
      <c r="AG9219" s="146"/>
      <c r="AH9219" s="146"/>
      <c r="AI9219" s="147"/>
      <c r="AJ9219" s="148"/>
      <c r="AK9219" s="143"/>
      <c r="AL9219" s="144"/>
      <c r="AM9219" s="22"/>
      <c r="AN9219" s="149"/>
      <c r="AO9219" s="144"/>
      <c r="AP9219" s="148"/>
      <c r="AQ9219" s="144"/>
      <c r="AR9219" s="120"/>
      <c r="AS9219" s="121"/>
      <c r="AT9219" s="120"/>
      <c r="AU9219" s="121"/>
      <c r="AV9219" s="120"/>
      <c r="AW9219" s="121"/>
      <c r="AX9219" s="120"/>
      <c r="AY9219" s="121"/>
      <c r="AZ9219" s="138"/>
    </row>
    <row r="9220" spans="1:52" ht="17.100000000000001" customHeight="1" thickTop="1">
      <c r="A9220" s="109"/>
      <c r="B9220" s="28"/>
      <c r="C9220" s="25"/>
      <c r="D9220" s="13"/>
      <c r="E9220" s="111"/>
      <c r="F9220" s="113"/>
      <c r="G9220" s="114"/>
      <c r="H9220" s="115"/>
      <c r="I9220" s="24"/>
      <c r="J9220" s="116"/>
      <c r="K9220" s="118"/>
      <c r="L9220" s="119"/>
      <c r="M9220" s="118">
        <f t="shared" ref="M9220" si="14328">K9220*0.1</f>
        <v>0</v>
      </c>
      <c r="N9220" s="119"/>
      <c r="O9220" s="118">
        <v>0</v>
      </c>
      <c r="P9220" s="119"/>
      <c r="Q9220" s="118"/>
      <c r="R9220" s="119"/>
      <c r="S9220" s="118"/>
      <c r="T9220" s="119"/>
      <c r="U9220" s="118">
        <f t="shared" ref="U9220" si="14329">SUM(K9220:T9221)</f>
        <v>0</v>
      </c>
      <c r="V9220" s="122"/>
      <c r="W9220" s="124"/>
      <c r="X9220" s="126"/>
      <c r="Y9220" s="127"/>
      <c r="Z9220" s="127"/>
      <c r="AA9220" s="127"/>
      <c r="AB9220" s="128"/>
      <c r="AC9220" s="15" t="s">
        <v>20</v>
      </c>
      <c r="AD9220" s="129"/>
      <c r="AE9220" s="130"/>
      <c r="AF9220" s="130"/>
      <c r="AG9220" s="130"/>
      <c r="AH9220" s="130"/>
      <c r="AI9220" s="131"/>
      <c r="AJ9220" s="132"/>
      <c r="AK9220" s="127"/>
      <c r="AL9220" s="128"/>
      <c r="AM9220" s="21"/>
      <c r="AN9220" s="133"/>
      <c r="AO9220" s="134"/>
      <c r="AP9220" s="135"/>
      <c r="AQ9220" s="136"/>
      <c r="AR9220" s="118"/>
      <c r="AS9220" s="119"/>
      <c r="AT9220" s="118">
        <f t="shared" ref="AT9220" si="14330">AR9220*0.1</f>
        <v>0</v>
      </c>
      <c r="AU9220" s="119"/>
      <c r="AV9220" s="118"/>
      <c r="AW9220" s="119"/>
      <c r="AX9220" s="118">
        <f t="shared" ref="AX9220" si="14331">SUM(AR9220:AW9220)</f>
        <v>0</v>
      </c>
      <c r="AY9220" s="119"/>
      <c r="AZ9220" s="137"/>
    </row>
    <row r="9221" spans="1:52" ht="17.100000000000001" customHeight="1" thickBot="1">
      <c r="A9221" s="110"/>
      <c r="B9221" s="27"/>
      <c r="C9221" s="27"/>
      <c r="D9221" s="14"/>
      <c r="E9221" s="112"/>
      <c r="F9221" s="139"/>
      <c r="G9221" s="140"/>
      <c r="H9221" s="141"/>
      <c r="I9221" s="26"/>
      <c r="J9221" s="117"/>
      <c r="K9221" s="120"/>
      <c r="L9221" s="121"/>
      <c r="M9221" s="120"/>
      <c r="N9221" s="121"/>
      <c r="O9221" s="120"/>
      <c r="P9221" s="121"/>
      <c r="Q9221" s="120"/>
      <c r="R9221" s="121"/>
      <c r="S9221" s="120"/>
      <c r="T9221" s="121"/>
      <c r="U9221" s="120"/>
      <c r="V9221" s="123"/>
      <c r="W9221" s="125"/>
      <c r="X9221" s="142"/>
      <c r="Y9221" s="143"/>
      <c r="Z9221" s="143"/>
      <c r="AA9221" s="143"/>
      <c r="AB9221" s="144"/>
      <c r="AC9221" s="16" t="s">
        <v>21</v>
      </c>
      <c r="AD9221" s="17"/>
      <c r="AE9221" s="145"/>
      <c r="AF9221" s="146"/>
      <c r="AG9221" s="146"/>
      <c r="AH9221" s="146"/>
      <c r="AI9221" s="147"/>
      <c r="AJ9221" s="148"/>
      <c r="AK9221" s="143"/>
      <c r="AL9221" s="144"/>
      <c r="AM9221" s="22"/>
      <c r="AN9221" s="149"/>
      <c r="AO9221" s="144"/>
      <c r="AP9221" s="148"/>
      <c r="AQ9221" s="144"/>
      <c r="AR9221" s="120"/>
      <c r="AS9221" s="121"/>
      <c r="AT9221" s="120"/>
      <c r="AU9221" s="121"/>
      <c r="AV9221" s="120"/>
      <c r="AW9221" s="121"/>
      <c r="AX9221" s="120"/>
      <c r="AY9221" s="121"/>
      <c r="AZ9221" s="138"/>
    </row>
    <row r="9222" spans="1:52" ht="17.100000000000001" customHeight="1" thickTop="1">
      <c r="A9222" s="109"/>
      <c r="B9222" s="28"/>
      <c r="C9222" s="25"/>
      <c r="D9222" s="13"/>
      <c r="E9222" s="111"/>
      <c r="F9222" s="113"/>
      <c r="G9222" s="114"/>
      <c r="H9222" s="115"/>
      <c r="I9222" s="24"/>
      <c r="J9222" s="116"/>
      <c r="K9222" s="118"/>
      <c r="L9222" s="119"/>
      <c r="M9222" s="118">
        <f t="shared" ref="M9222" si="14332">K9222*0.1</f>
        <v>0</v>
      </c>
      <c r="N9222" s="119"/>
      <c r="O9222" s="118">
        <v>0</v>
      </c>
      <c r="P9222" s="119"/>
      <c r="Q9222" s="118"/>
      <c r="R9222" s="119"/>
      <c r="S9222" s="118"/>
      <c r="T9222" s="119"/>
      <c r="U9222" s="118">
        <f t="shared" ref="U9222" si="14333">SUM(K9222:T9223)</f>
        <v>0</v>
      </c>
      <c r="V9222" s="122"/>
      <c r="W9222" s="124"/>
      <c r="X9222" s="126"/>
      <c r="Y9222" s="127"/>
      <c r="Z9222" s="127"/>
      <c r="AA9222" s="127"/>
      <c r="AB9222" s="128"/>
      <c r="AC9222" s="15" t="s">
        <v>20</v>
      </c>
      <c r="AD9222" s="129"/>
      <c r="AE9222" s="130"/>
      <c r="AF9222" s="130"/>
      <c r="AG9222" s="130"/>
      <c r="AH9222" s="130"/>
      <c r="AI9222" s="131"/>
      <c r="AJ9222" s="132"/>
      <c r="AK9222" s="127"/>
      <c r="AL9222" s="128"/>
      <c r="AM9222" s="21"/>
      <c r="AN9222" s="133"/>
      <c r="AO9222" s="134"/>
      <c r="AP9222" s="135"/>
      <c r="AQ9222" s="136"/>
      <c r="AR9222" s="118"/>
      <c r="AS9222" s="119"/>
      <c r="AT9222" s="118">
        <f t="shared" ref="AT9222" si="14334">AR9222*0.1</f>
        <v>0</v>
      </c>
      <c r="AU9222" s="119"/>
      <c r="AV9222" s="118"/>
      <c r="AW9222" s="119"/>
      <c r="AX9222" s="118">
        <f t="shared" ref="AX9222" si="14335">SUM(AR9222:AW9222)</f>
        <v>0</v>
      </c>
      <c r="AY9222" s="119"/>
      <c r="AZ9222" s="137"/>
    </row>
    <row r="9223" spans="1:52" ht="17.100000000000001" customHeight="1" thickBot="1">
      <c r="A9223" s="110"/>
      <c r="B9223" s="27"/>
      <c r="C9223" s="27"/>
      <c r="D9223" s="14"/>
      <c r="E9223" s="112"/>
      <c r="F9223" s="139"/>
      <c r="G9223" s="140"/>
      <c r="H9223" s="141"/>
      <c r="I9223" s="26"/>
      <c r="J9223" s="117"/>
      <c r="K9223" s="120"/>
      <c r="L9223" s="121"/>
      <c r="M9223" s="120"/>
      <c r="N9223" s="121"/>
      <c r="O9223" s="120"/>
      <c r="P9223" s="121"/>
      <c r="Q9223" s="120"/>
      <c r="R9223" s="121"/>
      <c r="S9223" s="120"/>
      <c r="T9223" s="121"/>
      <c r="U9223" s="120"/>
      <c r="V9223" s="123"/>
      <c r="W9223" s="125"/>
      <c r="X9223" s="142"/>
      <c r="Y9223" s="143"/>
      <c r="Z9223" s="143"/>
      <c r="AA9223" s="143"/>
      <c r="AB9223" s="144"/>
      <c r="AC9223" s="16" t="s">
        <v>21</v>
      </c>
      <c r="AD9223" s="17"/>
      <c r="AE9223" s="145"/>
      <c r="AF9223" s="146"/>
      <c r="AG9223" s="146"/>
      <c r="AH9223" s="146"/>
      <c r="AI9223" s="147"/>
      <c r="AJ9223" s="148"/>
      <c r="AK9223" s="143"/>
      <c r="AL9223" s="144"/>
      <c r="AM9223" s="22"/>
      <c r="AN9223" s="149"/>
      <c r="AO9223" s="144"/>
      <c r="AP9223" s="148"/>
      <c r="AQ9223" s="144"/>
      <c r="AR9223" s="120"/>
      <c r="AS9223" s="121"/>
      <c r="AT9223" s="120"/>
      <c r="AU9223" s="121"/>
      <c r="AV9223" s="120"/>
      <c r="AW9223" s="121"/>
      <c r="AX9223" s="120"/>
      <c r="AY9223" s="121"/>
      <c r="AZ9223" s="138"/>
    </row>
    <row r="9224" spans="1:52" ht="17.100000000000001" customHeight="1" thickTop="1">
      <c r="A9224" s="109"/>
      <c r="B9224" s="28"/>
      <c r="C9224" s="25"/>
      <c r="D9224" s="13"/>
      <c r="E9224" s="111"/>
      <c r="F9224" s="113"/>
      <c r="G9224" s="114"/>
      <c r="H9224" s="115"/>
      <c r="I9224" s="24"/>
      <c r="J9224" s="116"/>
      <c r="K9224" s="118"/>
      <c r="L9224" s="119"/>
      <c r="M9224" s="118">
        <f t="shared" ref="M9224" si="14336">K9224*0.1</f>
        <v>0</v>
      </c>
      <c r="N9224" s="119"/>
      <c r="O9224" s="118">
        <v>0</v>
      </c>
      <c r="P9224" s="119"/>
      <c r="Q9224" s="118"/>
      <c r="R9224" s="119"/>
      <c r="S9224" s="118"/>
      <c r="T9224" s="119"/>
      <c r="U9224" s="118">
        <f t="shared" ref="U9224" si="14337">SUM(K9224:T9225)</f>
        <v>0</v>
      </c>
      <c r="V9224" s="122"/>
      <c r="W9224" s="124"/>
      <c r="X9224" s="126"/>
      <c r="Y9224" s="127"/>
      <c r="Z9224" s="127"/>
      <c r="AA9224" s="127"/>
      <c r="AB9224" s="128"/>
      <c r="AC9224" s="15" t="s">
        <v>20</v>
      </c>
      <c r="AD9224" s="129"/>
      <c r="AE9224" s="130"/>
      <c r="AF9224" s="130"/>
      <c r="AG9224" s="130"/>
      <c r="AH9224" s="130"/>
      <c r="AI9224" s="131"/>
      <c r="AJ9224" s="132"/>
      <c r="AK9224" s="127"/>
      <c r="AL9224" s="128"/>
      <c r="AM9224" s="21"/>
      <c r="AN9224" s="133"/>
      <c r="AO9224" s="134"/>
      <c r="AP9224" s="135"/>
      <c r="AQ9224" s="136"/>
      <c r="AR9224" s="118"/>
      <c r="AS9224" s="119"/>
      <c r="AT9224" s="118">
        <f t="shared" ref="AT9224" si="14338">AR9224*0.1</f>
        <v>0</v>
      </c>
      <c r="AU9224" s="119"/>
      <c r="AV9224" s="118"/>
      <c r="AW9224" s="119"/>
      <c r="AX9224" s="118">
        <f t="shared" ref="AX9224" si="14339">SUM(AR9224:AW9224)</f>
        <v>0</v>
      </c>
      <c r="AY9224" s="119"/>
      <c r="AZ9224" s="137"/>
    </row>
    <row r="9225" spans="1:52" ht="17.100000000000001" customHeight="1" thickBot="1">
      <c r="A9225" s="110"/>
      <c r="B9225" s="27"/>
      <c r="C9225" s="27"/>
      <c r="D9225" s="14"/>
      <c r="E9225" s="112"/>
      <c r="F9225" s="139"/>
      <c r="G9225" s="140"/>
      <c r="H9225" s="141"/>
      <c r="I9225" s="26"/>
      <c r="J9225" s="117"/>
      <c r="K9225" s="120"/>
      <c r="L9225" s="121"/>
      <c r="M9225" s="120"/>
      <c r="N9225" s="121"/>
      <c r="O9225" s="120"/>
      <c r="P9225" s="121"/>
      <c r="Q9225" s="120"/>
      <c r="R9225" s="121"/>
      <c r="S9225" s="120"/>
      <c r="T9225" s="121"/>
      <c r="U9225" s="120"/>
      <c r="V9225" s="123"/>
      <c r="W9225" s="125"/>
      <c r="X9225" s="142"/>
      <c r="Y9225" s="143"/>
      <c r="Z9225" s="143"/>
      <c r="AA9225" s="143"/>
      <c r="AB9225" s="144"/>
      <c r="AC9225" s="16" t="s">
        <v>21</v>
      </c>
      <c r="AD9225" s="17"/>
      <c r="AE9225" s="145"/>
      <c r="AF9225" s="146"/>
      <c r="AG9225" s="146"/>
      <c r="AH9225" s="146"/>
      <c r="AI9225" s="147"/>
      <c r="AJ9225" s="148"/>
      <c r="AK9225" s="143"/>
      <c r="AL9225" s="144"/>
      <c r="AM9225" s="22"/>
      <c r="AN9225" s="149"/>
      <c r="AO9225" s="144"/>
      <c r="AP9225" s="148"/>
      <c r="AQ9225" s="144"/>
      <c r="AR9225" s="120"/>
      <c r="AS9225" s="121"/>
      <c r="AT9225" s="120"/>
      <c r="AU9225" s="121"/>
      <c r="AV9225" s="120"/>
      <c r="AW9225" s="121"/>
      <c r="AX9225" s="120"/>
      <c r="AY9225" s="121"/>
      <c r="AZ9225" s="138"/>
    </row>
    <row r="9226" spans="1:52" ht="17.100000000000001" customHeight="1" thickTop="1">
      <c r="A9226" s="109"/>
      <c r="B9226" s="28"/>
      <c r="C9226" s="25"/>
      <c r="D9226" s="13"/>
      <c r="E9226" s="111"/>
      <c r="F9226" s="113"/>
      <c r="G9226" s="114"/>
      <c r="H9226" s="115"/>
      <c r="I9226" s="24"/>
      <c r="J9226" s="116"/>
      <c r="K9226" s="118"/>
      <c r="L9226" s="119"/>
      <c r="M9226" s="118">
        <f t="shared" ref="M9226" si="14340">K9226*0.1</f>
        <v>0</v>
      </c>
      <c r="N9226" s="119"/>
      <c r="O9226" s="118">
        <v>0</v>
      </c>
      <c r="P9226" s="119"/>
      <c r="Q9226" s="118"/>
      <c r="R9226" s="119"/>
      <c r="S9226" s="118"/>
      <c r="T9226" s="119"/>
      <c r="U9226" s="118">
        <f t="shared" ref="U9226" si="14341">SUM(K9226:T9227)</f>
        <v>0</v>
      </c>
      <c r="V9226" s="122"/>
      <c r="W9226" s="124"/>
      <c r="X9226" s="126"/>
      <c r="Y9226" s="127"/>
      <c r="Z9226" s="127"/>
      <c r="AA9226" s="127"/>
      <c r="AB9226" s="128"/>
      <c r="AC9226" s="15" t="s">
        <v>20</v>
      </c>
      <c r="AD9226" s="129"/>
      <c r="AE9226" s="130"/>
      <c r="AF9226" s="130"/>
      <c r="AG9226" s="130"/>
      <c r="AH9226" s="130"/>
      <c r="AI9226" s="131"/>
      <c r="AJ9226" s="132"/>
      <c r="AK9226" s="127"/>
      <c r="AL9226" s="128"/>
      <c r="AM9226" s="21"/>
      <c r="AN9226" s="133"/>
      <c r="AO9226" s="134"/>
      <c r="AP9226" s="135"/>
      <c r="AQ9226" s="136"/>
      <c r="AR9226" s="118"/>
      <c r="AS9226" s="119"/>
      <c r="AT9226" s="118">
        <f t="shared" ref="AT9226" si="14342">AR9226*0.1</f>
        <v>0</v>
      </c>
      <c r="AU9226" s="119"/>
      <c r="AV9226" s="118"/>
      <c r="AW9226" s="119"/>
      <c r="AX9226" s="118">
        <f t="shared" ref="AX9226" si="14343">SUM(AR9226:AW9226)</f>
        <v>0</v>
      </c>
      <c r="AY9226" s="119"/>
      <c r="AZ9226" s="137"/>
    </row>
    <row r="9227" spans="1:52" ht="17.100000000000001" customHeight="1" thickBot="1">
      <c r="A9227" s="110"/>
      <c r="B9227" s="27"/>
      <c r="C9227" s="27"/>
      <c r="D9227" s="14"/>
      <c r="E9227" s="112"/>
      <c r="F9227" s="139"/>
      <c r="G9227" s="140"/>
      <c r="H9227" s="141"/>
      <c r="I9227" s="26"/>
      <c r="J9227" s="117"/>
      <c r="K9227" s="120"/>
      <c r="L9227" s="121"/>
      <c r="M9227" s="120"/>
      <c r="N9227" s="121"/>
      <c r="O9227" s="120"/>
      <c r="P9227" s="121"/>
      <c r="Q9227" s="120"/>
      <c r="R9227" s="121"/>
      <c r="S9227" s="120"/>
      <c r="T9227" s="121"/>
      <c r="U9227" s="120"/>
      <c r="V9227" s="123"/>
      <c r="W9227" s="125"/>
      <c r="X9227" s="142"/>
      <c r="Y9227" s="143"/>
      <c r="Z9227" s="143"/>
      <c r="AA9227" s="143"/>
      <c r="AB9227" s="144"/>
      <c r="AC9227" s="16" t="s">
        <v>21</v>
      </c>
      <c r="AD9227" s="17"/>
      <c r="AE9227" s="145"/>
      <c r="AF9227" s="146"/>
      <c r="AG9227" s="146"/>
      <c r="AH9227" s="146"/>
      <c r="AI9227" s="147"/>
      <c r="AJ9227" s="148"/>
      <c r="AK9227" s="143"/>
      <c r="AL9227" s="144"/>
      <c r="AM9227" s="22"/>
      <c r="AN9227" s="149"/>
      <c r="AO9227" s="144"/>
      <c r="AP9227" s="148"/>
      <c r="AQ9227" s="144"/>
      <c r="AR9227" s="120"/>
      <c r="AS9227" s="121"/>
      <c r="AT9227" s="120"/>
      <c r="AU9227" s="121"/>
      <c r="AV9227" s="120"/>
      <c r="AW9227" s="121"/>
      <c r="AX9227" s="120"/>
      <c r="AY9227" s="121"/>
      <c r="AZ9227" s="138"/>
    </row>
    <row r="9228" spans="1:52" ht="17.100000000000001" customHeight="1" thickTop="1">
      <c r="A9228" s="109"/>
      <c r="B9228" s="28"/>
      <c r="C9228" s="25"/>
      <c r="D9228" s="13"/>
      <c r="E9228" s="111"/>
      <c r="F9228" s="113"/>
      <c r="G9228" s="114"/>
      <c r="H9228" s="115"/>
      <c r="I9228" s="24"/>
      <c r="J9228" s="116"/>
      <c r="K9228" s="118"/>
      <c r="L9228" s="119"/>
      <c r="M9228" s="118">
        <f t="shared" ref="M9228" si="14344">K9228*0.1</f>
        <v>0</v>
      </c>
      <c r="N9228" s="119"/>
      <c r="O9228" s="118">
        <v>0</v>
      </c>
      <c r="P9228" s="119"/>
      <c r="Q9228" s="118"/>
      <c r="R9228" s="119"/>
      <c r="S9228" s="118"/>
      <c r="T9228" s="119"/>
      <c r="U9228" s="118">
        <f t="shared" ref="U9228" si="14345">SUM(K9228:T9229)</f>
        <v>0</v>
      </c>
      <c r="V9228" s="122"/>
      <c r="W9228" s="124"/>
      <c r="X9228" s="126"/>
      <c r="Y9228" s="127"/>
      <c r="Z9228" s="127"/>
      <c r="AA9228" s="127"/>
      <c r="AB9228" s="128"/>
      <c r="AC9228" s="15" t="s">
        <v>20</v>
      </c>
      <c r="AD9228" s="129"/>
      <c r="AE9228" s="130"/>
      <c r="AF9228" s="130"/>
      <c r="AG9228" s="130"/>
      <c r="AH9228" s="130"/>
      <c r="AI9228" s="131"/>
      <c r="AJ9228" s="132"/>
      <c r="AK9228" s="127"/>
      <c r="AL9228" s="128"/>
      <c r="AM9228" s="21"/>
      <c r="AN9228" s="133"/>
      <c r="AO9228" s="134"/>
      <c r="AP9228" s="135"/>
      <c r="AQ9228" s="136"/>
      <c r="AR9228" s="118"/>
      <c r="AS9228" s="119"/>
      <c r="AT9228" s="118">
        <f t="shared" ref="AT9228" si="14346">AR9228*0.1</f>
        <v>0</v>
      </c>
      <c r="AU9228" s="119"/>
      <c r="AV9228" s="118"/>
      <c r="AW9228" s="119"/>
      <c r="AX9228" s="118">
        <f t="shared" ref="AX9228" si="14347">SUM(AR9228:AW9228)</f>
        <v>0</v>
      </c>
      <c r="AY9228" s="119"/>
      <c r="AZ9228" s="137"/>
    </row>
    <row r="9229" spans="1:52" ht="17.100000000000001" customHeight="1" thickBot="1">
      <c r="A9229" s="110"/>
      <c r="B9229" s="27"/>
      <c r="C9229" s="27"/>
      <c r="D9229" s="14"/>
      <c r="E9229" s="112"/>
      <c r="F9229" s="139"/>
      <c r="G9229" s="140"/>
      <c r="H9229" s="141"/>
      <c r="I9229" s="26"/>
      <c r="J9229" s="117"/>
      <c r="K9229" s="120"/>
      <c r="L9229" s="121"/>
      <c r="M9229" s="120"/>
      <c r="N9229" s="121"/>
      <c r="O9229" s="120"/>
      <c r="P9229" s="121"/>
      <c r="Q9229" s="120"/>
      <c r="R9229" s="121"/>
      <c r="S9229" s="120"/>
      <c r="T9229" s="121"/>
      <c r="U9229" s="120"/>
      <c r="V9229" s="123"/>
      <c r="W9229" s="125"/>
      <c r="X9229" s="142"/>
      <c r="Y9229" s="143"/>
      <c r="Z9229" s="143"/>
      <c r="AA9229" s="143"/>
      <c r="AB9229" s="144"/>
      <c r="AC9229" s="16" t="s">
        <v>21</v>
      </c>
      <c r="AD9229" s="17"/>
      <c r="AE9229" s="145"/>
      <c r="AF9229" s="146"/>
      <c r="AG9229" s="146"/>
      <c r="AH9229" s="146"/>
      <c r="AI9229" s="147"/>
      <c r="AJ9229" s="148"/>
      <c r="AK9229" s="143"/>
      <c r="AL9229" s="144"/>
      <c r="AM9229" s="22"/>
      <c r="AN9229" s="149"/>
      <c r="AO9229" s="144"/>
      <c r="AP9229" s="148"/>
      <c r="AQ9229" s="144"/>
      <c r="AR9229" s="120"/>
      <c r="AS9229" s="121"/>
      <c r="AT9229" s="120"/>
      <c r="AU9229" s="121"/>
      <c r="AV9229" s="120"/>
      <c r="AW9229" s="121"/>
      <c r="AX9229" s="120"/>
      <c r="AY9229" s="121"/>
      <c r="AZ9229" s="138"/>
    </row>
    <row r="9230" spans="1:52" ht="17.100000000000001" customHeight="1" thickTop="1">
      <c r="A9230" s="109"/>
      <c r="B9230" s="28"/>
      <c r="C9230" s="25"/>
      <c r="D9230" s="13"/>
      <c r="E9230" s="111"/>
      <c r="F9230" s="113"/>
      <c r="G9230" s="114"/>
      <c r="H9230" s="115"/>
      <c r="I9230" s="24"/>
      <c r="J9230" s="116"/>
      <c r="K9230" s="118"/>
      <c r="L9230" s="119"/>
      <c r="M9230" s="118">
        <f t="shared" ref="M9230" si="14348">K9230*0.1</f>
        <v>0</v>
      </c>
      <c r="N9230" s="119"/>
      <c r="O9230" s="118">
        <v>0</v>
      </c>
      <c r="P9230" s="119"/>
      <c r="Q9230" s="118"/>
      <c r="R9230" s="119"/>
      <c r="S9230" s="118"/>
      <c r="T9230" s="119"/>
      <c r="U9230" s="118">
        <f t="shared" ref="U9230" si="14349">SUM(K9230:T9231)</f>
        <v>0</v>
      </c>
      <c r="V9230" s="122"/>
      <c r="W9230" s="124"/>
      <c r="X9230" s="126"/>
      <c r="Y9230" s="127"/>
      <c r="Z9230" s="127"/>
      <c r="AA9230" s="127"/>
      <c r="AB9230" s="128"/>
      <c r="AC9230" s="15" t="s">
        <v>20</v>
      </c>
      <c r="AD9230" s="129"/>
      <c r="AE9230" s="130"/>
      <c r="AF9230" s="130"/>
      <c r="AG9230" s="130"/>
      <c r="AH9230" s="130"/>
      <c r="AI9230" s="131"/>
      <c r="AJ9230" s="132"/>
      <c r="AK9230" s="127"/>
      <c r="AL9230" s="128"/>
      <c r="AM9230" s="21"/>
      <c r="AN9230" s="133"/>
      <c r="AO9230" s="134"/>
      <c r="AP9230" s="135"/>
      <c r="AQ9230" s="136"/>
      <c r="AR9230" s="118"/>
      <c r="AS9230" s="119"/>
      <c r="AT9230" s="118">
        <f t="shared" ref="AT9230" si="14350">AR9230*0.1</f>
        <v>0</v>
      </c>
      <c r="AU9230" s="119"/>
      <c r="AV9230" s="118"/>
      <c r="AW9230" s="119"/>
      <c r="AX9230" s="118">
        <f t="shared" ref="AX9230" si="14351">SUM(AR9230:AW9230)</f>
        <v>0</v>
      </c>
      <c r="AY9230" s="119"/>
      <c r="AZ9230" s="137"/>
    </row>
    <row r="9231" spans="1:52" ht="17.100000000000001" customHeight="1" thickBot="1">
      <c r="A9231" s="110"/>
      <c r="B9231" s="27"/>
      <c r="C9231" s="27"/>
      <c r="D9231" s="14"/>
      <c r="E9231" s="112"/>
      <c r="F9231" s="139"/>
      <c r="G9231" s="140"/>
      <c r="H9231" s="141"/>
      <c r="I9231" s="26"/>
      <c r="J9231" s="117"/>
      <c r="K9231" s="120"/>
      <c r="L9231" s="121"/>
      <c r="M9231" s="120"/>
      <c r="N9231" s="121"/>
      <c r="O9231" s="120"/>
      <c r="P9231" s="121"/>
      <c r="Q9231" s="120"/>
      <c r="R9231" s="121"/>
      <c r="S9231" s="120"/>
      <c r="T9231" s="121"/>
      <c r="U9231" s="120"/>
      <c r="V9231" s="123"/>
      <c r="W9231" s="125"/>
      <c r="X9231" s="142"/>
      <c r="Y9231" s="143"/>
      <c r="Z9231" s="143"/>
      <c r="AA9231" s="143"/>
      <c r="AB9231" s="144"/>
      <c r="AC9231" s="16" t="s">
        <v>21</v>
      </c>
      <c r="AD9231" s="17"/>
      <c r="AE9231" s="145"/>
      <c r="AF9231" s="146"/>
      <c r="AG9231" s="146"/>
      <c r="AH9231" s="146"/>
      <c r="AI9231" s="147"/>
      <c r="AJ9231" s="148"/>
      <c r="AK9231" s="143"/>
      <c r="AL9231" s="144"/>
      <c r="AM9231" s="22"/>
      <c r="AN9231" s="149"/>
      <c r="AO9231" s="144"/>
      <c r="AP9231" s="148"/>
      <c r="AQ9231" s="144"/>
      <c r="AR9231" s="120"/>
      <c r="AS9231" s="121"/>
      <c r="AT9231" s="120"/>
      <c r="AU9231" s="121"/>
      <c r="AV9231" s="120"/>
      <c r="AW9231" s="121"/>
      <c r="AX9231" s="120"/>
      <c r="AY9231" s="121"/>
      <c r="AZ9231" s="138"/>
    </row>
    <row r="9232" spans="1:52" ht="17.100000000000001" customHeight="1" thickTop="1">
      <c r="A9232" s="109"/>
      <c r="B9232" s="28"/>
      <c r="C9232" s="25"/>
      <c r="D9232" s="13"/>
      <c r="E9232" s="111"/>
      <c r="F9232" s="113"/>
      <c r="G9232" s="114"/>
      <c r="H9232" s="115"/>
      <c r="I9232" s="24"/>
      <c r="J9232" s="116"/>
      <c r="K9232" s="118"/>
      <c r="L9232" s="119"/>
      <c r="M9232" s="118">
        <f t="shared" ref="M9232" si="14352">K9232*0.1</f>
        <v>0</v>
      </c>
      <c r="N9232" s="119"/>
      <c r="O9232" s="118">
        <v>0</v>
      </c>
      <c r="P9232" s="119"/>
      <c r="Q9232" s="118"/>
      <c r="R9232" s="119"/>
      <c r="S9232" s="118"/>
      <c r="T9232" s="119"/>
      <c r="U9232" s="118">
        <f t="shared" ref="U9232" si="14353">SUM(K9232:T9233)</f>
        <v>0</v>
      </c>
      <c r="V9232" s="122"/>
      <c r="W9232" s="124"/>
      <c r="X9232" s="126"/>
      <c r="Y9232" s="127"/>
      <c r="Z9232" s="127"/>
      <c r="AA9232" s="127"/>
      <c r="AB9232" s="128"/>
      <c r="AC9232" s="15" t="s">
        <v>20</v>
      </c>
      <c r="AD9232" s="129"/>
      <c r="AE9232" s="130"/>
      <c r="AF9232" s="130"/>
      <c r="AG9232" s="130"/>
      <c r="AH9232" s="130"/>
      <c r="AI9232" s="131"/>
      <c r="AJ9232" s="132"/>
      <c r="AK9232" s="127"/>
      <c r="AL9232" s="128"/>
      <c r="AM9232" s="21"/>
      <c r="AN9232" s="133"/>
      <c r="AO9232" s="134"/>
      <c r="AP9232" s="135"/>
      <c r="AQ9232" s="136"/>
      <c r="AR9232" s="118"/>
      <c r="AS9232" s="119"/>
      <c r="AT9232" s="118">
        <f t="shared" ref="AT9232" si="14354">AR9232*0.1</f>
        <v>0</v>
      </c>
      <c r="AU9232" s="119"/>
      <c r="AV9232" s="118"/>
      <c r="AW9232" s="119"/>
      <c r="AX9232" s="118">
        <f t="shared" ref="AX9232" si="14355">SUM(AR9232:AW9232)</f>
        <v>0</v>
      </c>
      <c r="AY9232" s="119"/>
      <c r="AZ9232" s="137"/>
    </row>
    <row r="9233" spans="1:52" ht="17.100000000000001" customHeight="1" thickBot="1">
      <c r="A9233" s="110"/>
      <c r="B9233" s="27"/>
      <c r="C9233" s="27"/>
      <c r="D9233" s="14"/>
      <c r="E9233" s="112"/>
      <c r="F9233" s="139"/>
      <c r="G9233" s="140"/>
      <c r="H9233" s="141"/>
      <c r="I9233" s="26"/>
      <c r="J9233" s="117"/>
      <c r="K9233" s="120"/>
      <c r="L9233" s="121"/>
      <c r="M9233" s="120"/>
      <c r="N9233" s="121"/>
      <c r="O9233" s="120"/>
      <c r="P9233" s="121"/>
      <c r="Q9233" s="120"/>
      <c r="R9233" s="121"/>
      <c r="S9233" s="120"/>
      <c r="T9233" s="121"/>
      <c r="U9233" s="120"/>
      <c r="V9233" s="123"/>
      <c r="W9233" s="125"/>
      <c r="X9233" s="142"/>
      <c r="Y9233" s="143"/>
      <c r="Z9233" s="143"/>
      <c r="AA9233" s="143"/>
      <c r="AB9233" s="144"/>
      <c r="AC9233" s="16" t="s">
        <v>21</v>
      </c>
      <c r="AD9233" s="17"/>
      <c r="AE9233" s="145"/>
      <c r="AF9233" s="146"/>
      <c r="AG9233" s="146"/>
      <c r="AH9233" s="146"/>
      <c r="AI9233" s="147"/>
      <c r="AJ9233" s="148"/>
      <c r="AK9233" s="143"/>
      <c r="AL9233" s="144"/>
      <c r="AM9233" s="22"/>
      <c r="AN9233" s="149"/>
      <c r="AO9233" s="144"/>
      <c r="AP9233" s="148"/>
      <c r="AQ9233" s="144"/>
      <c r="AR9233" s="120"/>
      <c r="AS9233" s="121"/>
      <c r="AT9233" s="120"/>
      <c r="AU9233" s="121"/>
      <c r="AV9233" s="120"/>
      <c r="AW9233" s="121"/>
      <c r="AX9233" s="120"/>
      <c r="AY9233" s="121"/>
      <c r="AZ9233" s="138"/>
    </row>
    <row r="9234" spans="1:52" ht="17.100000000000001" customHeight="1" thickTop="1">
      <c r="A9234" s="109"/>
      <c r="B9234" s="28"/>
      <c r="C9234" s="25"/>
      <c r="D9234" s="13"/>
      <c r="E9234" s="111"/>
      <c r="F9234" s="113"/>
      <c r="G9234" s="114"/>
      <c r="H9234" s="115"/>
      <c r="I9234" s="24"/>
      <c r="J9234" s="116"/>
      <c r="K9234" s="118"/>
      <c r="L9234" s="119"/>
      <c r="M9234" s="118">
        <f t="shared" ref="M9234" si="14356">K9234*0.1</f>
        <v>0</v>
      </c>
      <c r="N9234" s="119"/>
      <c r="O9234" s="118">
        <v>0</v>
      </c>
      <c r="P9234" s="119"/>
      <c r="Q9234" s="118"/>
      <c r="R9234" s="119"/>
      <c r="S9234" s="118"/>
      <c r="T9234" s="119"/>
      <c r="U9234" s="118">
        <f t="shared" ref="U9234" si="14357">SUM(K9234:T9235)</f>
        <v>0</v>
      </c>
      <c r="V9234" s="122"/>
      <c r="W9234" s="124"/>
      <c r="X9234" s="126"/>
      <c r="Y9234" s="127"/>
      <c r="Z9234" s="127"/>
      <c r="AA9234" s="127"/>
      <c r="AB9234" s="128"/>
      <c r="AC9234" s="15" t="s">
        <v>20</v>
      </c>
      <c r="AD9234" s="129"/>
      <c r="AE9234" s="130"/>
      <c r="AF9234" s="130"/>
      <c r="AG9234" s="130"/>
      <c r="AH9234" s="130"/>
      <c r="AI9234" s="131"/>
      <c r="AJ9234" s="132"/>
      <c r="AK9234" s="127"/>
      <c r="AL9234" s="128"/>
      <c r="AM9234" s="21"/>
      <c r="AN9234" s="133"/>
      <c r="AO9234" s="134"/>
      <c r="AP9234" s="135"/>
      <c r="AQ9234" s="136"/>
      <c r="AR9234" s="118"/>
      <c r="AS9234" s="119"/>
      <c r="AT9234" s="118">
        <f t="shared" ref="AT9234" si="14358">AR9234*0.1</f>
        <v>0</v>
      </c>
      <c r="AU9234" s="119"/>
      <c r="AV9234" s="118"/>
      <c r="AW9234" s="119"/>
      <c r="AX9234" s="118">
        <f t="shared" ref="AX9234" si="14359">SUM(AR9234:AW9234)</f>
        <v>0</v>
      </c>
      <c r="AY9234" s="119"/>
      <c r="AZ9234" s="137"/>
    </row>
    <row r="9235" spans="1:52" ht="17.100000000000001" customHeight="1" thickBot="1">
      <c r="A9235" s="110"/>
      <c r="B9235" s="27"/>
      <c r="C9235" s="27"/>
      <c r="D9235" s="14"/>
      <c r="E9235" s="112"/>
      <c r="F9235" s="139"/>
      <c r="G9235" s="140"/>
      <c r="H9235" s="141"/>
      <c r="I9235" s="26"/>
      <c r="J9235" s="117"/>
      <c r="K9235" s="120"/>
      <c r="L9235" s="121"/>
      <c r="M9235" s="120"/>
      <c r="N9235" s="121"/>
      <c r="O9235" s="120"/>
      <c r="P9235" s="121"/>
      <c r="Q9235" s="120"/>
      <c r="R9235" s="121"/>
      <c r="S9235" s="120"/>
      <c r="T9235" s="121"/>
      <c r="U9235" s="120"/>
      <c r="V9235" s="123"/>
      <c r="W9235" s="125"/>
      <c r="X9235" s="142"/>
      <c r="Y9235" s="143"/>
      <c r="Z9235" s="143"/>
      <c r="AA9235" s="143"/>
      <c r="AB9235" s="144"/>
      <c r="AC9235" s="16" t="s">
        <v>21</v>
      </c>
      <c r="AD9235" s="17"/>
      <c r="AE9235" s="145"/>
      <c r="AF9235" s="146"/>
      <c r="AG9235" s="146"/>
      <c r="AH9235" s="146"/>
      <c r="AI9235" s="147"/>
      <c r="AJ9235" s="148"/>
      <c r="AK9235" s="143"/>
      <c r="AL9235" s="144"/>
      <c r="AM9235" s="22"/>
      <c r="AN9235" s="149"/>
      <c r="AO9235" s="144"/>
      <c r="AP9235" s="148"/>
      <c r="AQ9235" s="144"/>
      <c r="AR9235" s="120"/>
      <c r="AS9235" s="121"/>
      <c r="AT9235" s="120"/>
      <c r="AU9235" s="121"/>
      <c r="AV9235" s="120"/>
      <c r="AW9235" s="121"/>
      <c r="AX9235" s="120"/>
      <c r="AY9235" s="121"/>
      <c r="AZ9235" s="138"/>
    </row>
    <row r="9236" spans="1:52" ht="17.100000000000001" customHeight="1" thickTop="1">
      <c r="A9236" s="109"/>
      <c r="B9236" s="28"/>
      <c r="C9236" s="25"/>
      <c r="D9236" s="13"/>
      <c r="E9236" s="111"/>
      <c r="F9236" s="113"/>
      <c r="G9236" s="114"/>
      <c r="H9236" s="115"/>
      <c r="I9236" s="24"/>
      <c r="J9236" s="116"/>
      <c r="K9236" s="118"/>
      <c r="L9236" s="119"/>
      <c r="M9236" s="118">
        <f t="shared" ref="M9236" si="14360">K9236*0.1</f>
        <v>0</v>
      </c>
      <c r="N9236" s="119"/>
      <c r="O9236" s="118">
        <v>0</v>
      </c>
      <c r="P9236" s="119"/>
      <c r="Q9236" s="118"/>
      <c r="R9236" s="119"/>
      <c r="S9236" s="118"/>
      <c r="T9236" s="119"/>
      <c r="U9236" s="118">
        <f t="shared" ref="U9236" si="14361">SUM(K9236:T9237)</f>
        <v>0</v>
      </c>
      <c r="V9236" s="122"/>
      <c r="W9236" s="124"/>
      <c r="X9236" s="126"/>
      <c r="Y9236" s="127"/>
      <c r="Z9236" s="127"/>
      <c r="AA9236" s="127"/>
      <c r="AB9236" s="128"/>
      <c r="AC9236" s="15" t="s">
        <v>20</v>
      </c>
      <c r="AD9236" s="129"/>
      <c r="AE9236" s="130"/>
      <c r="AF9236" s="130"/>
      <c r="AG9236" s="130"/>
      <c r="AH9236" s="130"/>
      <c r="AI9236" s="131"/>
      <c r="AJ9236" s="132"/>
      <c r="AK9236" s="127"/>
      <c r="AL9236" s="128"/>
      <c r="AM9236" s="21"/>
      <c r="AN9236" s="133"/>
      <c r="AO9236" s="134"/>
      <c r="AP9236" s="135"/>
      <c r="AQ9236" s="136"/>
      <c r="AR9236" s="118"/>
      <c r="AS9236" s="119"/>
      <c r="AT9236" s="118">
        <f t="shared" ref="AT9236" si="14362">AR9236*0.1</f>
        <v>0</v>
      </c>
      <c r="AU9236" s="119"/>
      <c r="AV9236" s="118"/>
      <c r="AW9236" s="119"/>
      <c r="AX9236" s="118">
        <f t="shared" ref="AX9236" si="14363">SUM(AR9236:AW9236)</f>
        <v>0</v>
      </c>
      <c r="AY9236" s="119"/>
      <c r="AZ9236" s="137"/>
    </row>
    <row r="9237" spans="1:52" ht="17.100000000000001" customHeight="1" thickBot="1">
      <c r="A9237" s="110"/>
      <c r="B9237" s="27"/>
      <c r="C9237" s="27"/>
      <c r="D9237" s="14"/>
      <c r="E9237" s="112"/>
      <c r="F9237" s="139"/>
      <c r="G9237" s="140"/>
      <c r="H9237" s="141"/>
      <c r="I9237" s="26"/>
      <c r="J9237" s="117"/>
      <c r="K9237" s="120"/>
      <c r="L9237" s="121"/>
      <c r="M9237" s="120"/>
      <c r="N9237" s="121"/>
      <c r="O9237" s="120"/>
      <c r="P9237" s="121"/>
      <c r="Q9237" s="120"/>
      <c r="R9237" s="121"/>
      <c r="S9237" s="120"/>
      <c r="T9237" s="121"/>
      <c r="U9237" s="120"/>
      <c r="V9237" s="123"/>
      <c r="W9237" s="125"/>
      <c r="X9237" s="142"/>
      <c r="Y9237" s="143"/>
      <c r="Z9237" s="143"/>
      <c r="AA9237" s="143"/>
      <c r="AB9237" s="144"/>
      <c r="AC9237" s="16" t="s">
        <v>21</v>
      </c>
      <c r="AD9237" s="17"/>
      <c r="AE9237" s="145"/>
      <c r="AF9237" s="146"/>
      <c r="AG9237" s="146"/>
      <c r="AH9237" s="146"/>
      <c r="AI9237" s="147"/>
      <c r="AJ9237" s="148"/>
      <c r="AK9237" s="143"/>
      <c r="AL9237" s="144"/>
      <c r="AM9237" s="22"/>
      <c r="AN9237" s="149"/>
      <c r="AO9237" s="144"/>
      <c r="AP9237" s="148"/>
      <c r="AQ9237" s="144"/>
      <c r="AR9237" s="120"/>
      <c r="AS9237" s="121"/>
      <c r="AT9237" s="120"/>
      <c r="AU9237" s="121"/>
      <c r="AV9237" s="120"/>
      <c r="AW9237" s="121"/>
      <c r="AX9237" s="120"/>
      <c r="AY9237" s="121"/>
      <c r="AZ9237" s="138"/>
    </row>
    <row r="9238" spans="1:52" ht="17.100000000000001" customHeight="1" thickTop="1">
      <c r="A9238" s="109"/>
      <c r="B9238" s="28"/>
      <c r="C9238" s="25"/>
      <c r="D9238" s="13"/>
      <c r="E9238" s="111"/>
      <c r="F9238" s="113"/>
      <c r="G9238" s="114"/>
      <c r="H9238" s="115"/>
      <c r="I9238" s="24"/>
      <c r="J9238" s="116"/>
      <c r="K9238" s="118"/>
      <c r="L9238" s="119"/>
      <c r="M9238" s="118">
        <f t="shared" ref="M9238" si="14364">K9238*0.1</f>
        <v>0</v>
      </c>
      <c r="N9238" s="119"/>
      <c r="O9238" s="118">
        <v>0</v>
      </c>
      <c r="P9238" s="119"/>
      <c r="Q9238" s="118"/>
      <c r="R9238" s="119"/>
      <c r="S9238" s="118"/>
      <c r="T9238" s="119"/>
      <c r="U9238" s="118">
        <f t="shared" ref="U9238" si="14365">SUM(K9238:T9239)</f>
        <v>0</v>
      </c>
      <c r="V9238" s="122"/>
      <c r="W9238" s="124"/>
      <c r="X9238" s="126"/>
      <c r="Y9238" s="127"/>
      <c r="Z9238" s="127"/>
      <c r="AA9238" s="127"/>
      <c r="AB9238" s="128"/>
      <c r="AC9238" s="15" t="s">
        <v>20</v>
      </c>
      <c r="AD9238" s="129"/>
      <c r="AE9238" s="130"/>
      <c r="AF9238" s="130"/>
      <c r="AG9238" s="130"/>
      <c r="AH9238" s="130"/>
      <c r="AI9238" s="131"/>
      <c r="AJ9238" s="132"/>
      <c r="AK9238" s="127"/>
      <c r="AL9238" s="128"/>
      <c r="AM9238" s="21"/>
      <c r="AN9238" s="133"/>
      <c r="AO9238" s="134"/>
      <c r="AP9238" s="135"/>
      <c r="AQ9238" s="136"/>
      <c r="AR9238" s="118"/>
      <c r="AS9238" s="119"/>
      <c r="AT9238" s="118">
        <f t="shared" ref="AT9238" si="14366">AR9238*0.1</f>
        <v>0</v>
      </c>
      <c r="AU9238" s="119"/>
      <c r="AV9238" s="118"/>
      <c r="AW9238" s="119"/>
      <c r="AX9238" s="118">
        <f t="shared" ref="AX9238" si="14367">SUM(AR9238:AW9238)</f>
        <v>0</v>
      </c>
      <c r="AY9238" s="119"/>
      <c r="AZ9238" s="137"/>
    </row>
    <row r="9239" spans="1:52" ht="17.100000000000001" customHeight="1" thickBot="1">
      <c r="A9239" s="110"/>
      <c r="B9239" s="27"/>
      <c r="C9239" s="27"/>
      <c r="D9239" s="14"/>
      <c r="E9239" s="112"/>
      <c r="F9239" s="139"/>
      <c r="G9239" s="140"/>
      <c r="H9239" s="141"/>
      <c r="I9239" s="26"/>
      <c r="J9239" s="117"/>
      <c r="K9239" s="120"/>
      <c r="L9239" s="121"/>
      <c r="M9239" s="120"/>
      <c r="N9239" s="121"/>
      <c r="O9239" s="120"/>
      <c r="P9239" s="121"/>
      <c r="Q9239" s="120"/>
      <c r="R9239" s="121"/>
      <c r="S9239" s="120"/>
      <c r="T9239" s="121"/>
      <c r="U9239" s="120"/>
      <c r="V9239" s="123"/>
      <c r="W9239" s="125"/>
      <c r="X9239" s="142"/>
      <c r="Y9239" s="143"/>
      <c r="Z9239" s="143"/>
      <c r="AA9239" s="143"/>
      <c r="AB9239" s="144"/>
      <c r="AC9239" s="16" t="s">
        <v>21</v>
      </c>
      <c r="AD9239" s="17"/>
      <c r="AE9239" s="145"/>
      <c r="AF9239" s="146"/>
      <c r="AG9239" s="146"/>
      <c r="AH9239" s="146"/>
      <c r="AI9239" s="147"/>
      <c r="AJ9239" s="148"/>
      <c r="AK9239" s="143"/>
      <c r="AL9239" s="144"/>
      <c r="AM9239" s="22"/>
      <c r="AN9239" s="149"/>
      <c r="AO9239" s="144"/>
      <c r="AP9239" s="148"/>
      <c r="AQ9239" s="144"/>
      <c r="AR9239" s="120"/>
      <c r="AS9239" s="121"/>
      <c r="AT9239" s="120"/>
      <c r="AU9239" s="121"/>
      <c r="AV9239" s="120"/>
      <c r="AW9239" s="121"/>
      <c r="AX9239" s="120"/>
      <c r="AY9239" s="121"/>
      <c r="AZ9239" s="138"/>
    </row>
    <row r="9240" spans="1:52" ht="17.100000000000001" customHeight="1" thickTop="1">
      <c r="A9240" s="109"/>
      <c r="B9240" s="28"/>
      <c r="C9240" s="25"/>
      <c r="D9240" s="13"/>
      <c r="E9240" s="111"/>
      <c r="F9240" s="113"/>
      <c r="G9240" s="114"/>
      <c r="H9240" s="115"/>
      <c r="I9240" s="24"/>
      <c r="J9240" s="116"/>
      <c r="K9240" s="118"/>
      <c r="L9240" s="119"/>
      <c r="M9240" s="118">
        <f t="shared" ref="M9240" si="14368">K9240*0.1</f>
        <v>0</v>
      </c>
      <c r="N9240" s="119"/>
      <c r="O9240" s="118">
        <v>0</v>
      </c>
      <c r="P9240" s="119"/>
      <c r="Q9240" s="118"/>
      <c r="R9240" s="119"/>
      <c r="S9240" s="118"/>
      <c r="T9240" s="119"/>
      <c r="U9240" s="118">
        <f t="shared" ref="U9240" si="14369">SUM(K9240:T9241)</f>
        <v>0</v>
      </c>
      <c r="V9240" s="122"/>
      <c r="W9240" s="124"/>
      <c r="X9240" s="126"/>
      <c r="Y9240" s="127"/>
      <c r="Z9240" s="127"/>
      <c r="AA9240" s="127"/>
      <c r="AB9240" s="128"/>
      <c r="AC9240" s="15" t="s">
        <v>20</v>
      </c>
      <c r="AD9240" s="129"/>
      <c r="AE9240" s="130"/>
      <c r="AF9240" s="130"/>
      <c r="AG9240" s="130"/>
      <c r="AH9240" s="130"/>
      <c r="AI9240" s="131"/>
      <c r="AJ9240" s="132"/>
      <c r="AK9240" s="127"/>
      <c r="AL9240" s="128"/>
      <c r="AM9240" s="21"/>
      <c r="AN9240" s="133"/>
      <c r="AO9240" s="134"/>
      <c r="AP9240" s="135"/>
      <c r="AQ9240" s="136"/>
      <c r="AR9240" s="118"/>
      <c r="AS9240" s="119"/>
      <c r="AT9240" s="118">
        <f t="shared" ref="AT9240" si="14370">AR9240*0.1</f>
        <v>0</v>
      </c>
      <c r="AU9240" s="119"/>
      <c r="AV9240" s="118"/>
      <c r="AW9240" s="119"/>
      <c r="AX9240" s="118">
        <f t="shared" ref="AX9240" si="14371">SUM(AR9240:AW9240)</f>
        <v>0</v>
      </c>
      <c r="AY9240" s="119"/>
      <c r="AZ9240" s="137"/>
    </row>
    <row r="9241" spans="1:52" ht="17.100000000000001" customHeight="1" thickBot="1">
      <c r="A9241" s="110"/>
      <c r="B9241" s="27"/>
      <c r="C9241" s="27"/>
      <c r="D9241" s="14"/>
      <c r="E9241" s="112"/>
      <c r="F9241" s="139"/>
      <c r="G9241" s="140"/>
      <c r="H9241" s="141"/>
      <c r="I9241" s="26"/>
      <c r="J9241" s="117"/>
      <c r="K9241" s="120"/>
      <c r="L9241" s="121"/>
      <c r="M9241" s="120"/>
      <c r="N9241" s="121"/>
      <c r="O9241" s="120"/>
      <c r="P9241" s="121"/>
      <c r="Q9241" s="120"/>
      <c r="R9241" s="121"/>
      <c r="S9241" s="120"/>
      <c r="T9241" s="121"/>
      <c r="U9241" s="120"/>
      <c r="V9241" s="123"/>
      <c r="W9241" s="125"/>
      <c r="X9241" s="142"/>
      <c r="Y9241" s="143"/>
      <c r="Z9241" s="143"/>
      <c r="AA9241" s="143"/>
      <c r="AB9241" s="144"/>
      <c r="AC9241" s="16" t="s">
        <v>21</v>
      </c>
      <c r="AD9241" s="17"/>
      <c r="AE9241" s="145"/>
      <c r="AF9241" s="146"/>
      <c r="AG9241" s="146"/>
      <c r="AH9241" s="146"/>
      <c r="AI9241" s="147"/>
      <c r="AJ9241" s="148"/>
      <c r="AK9241" s="143"/>
      <c r="AL9241" s="144"/>
      <c r="AM9241" s="22"/>
      <c r="AN9241" s="149"/>
      <c r="AO9241" s="144"/>
      <c r="AP9241" s="148"/>
      <c r="AQ9241" s="144"/>
      <c r="AR9241" s="120"/>
      <c r="AS9241" s="121"/>
      <c r="AT9241" s="120"/>
      <c r="AU9241" s="121"/>
      <c r="AV9241" s="120"/>
      <c r="AW9241" s="121"/>
      <c r="AX9241" s="120"/>
      <c r="AY9241" s="121"/>
      <c r="AZ9241" s="138"/>
    </row>
    <row r="9242" spans="1:52" ht="17.100000000000001" customHeight="1" thickTop="1">
      <c r="A9242" s="109"/>
      <c r="B9242" s="28"/>
      <c r="C9242" s="25"/>
      <c r="D9242" s="13"/>
      <c r="E9242" s="111"/>
      <c r="F9242" s="113"/>
      <c r="G9242" s="114"/>
      <c r="H9242" s="115"/>
      <c r="I9242" s="24"/>
      <c r="J9242" s="116"/>
      <c r="K9242" s="118"/>
      <c r="L9242" s="119"/>
      <c r="M9242" s="118">
        <f t="shared" ref="M9242" si="14372">K9242*0.1</f>
        <v>0</v>
      </c>
      <c r="N9242" s="119"/>
      <c r="O9242" s="118">
        <v>0</v>
      </c>
      <c r="P9242" s="119"/>
      <c r="Q9242" s="118"/>
      <c r="R9242" s="119"/>
      <c r="S9242" s="118"/>
      <c r="T9242" s="119"/>
      <c r="U9242" s="118">
        <f t="shared" ref="U9242" si="14373">SUM(K9242:T9243)</f>
        <v>0</v>
      </c>
      <c r="V9242" s="122"/>
      <c r="W9242" s="124"/>
      <c r="X9242" s="126"/>
      <c r="Y9242" s="127"/>
      <c r="Z9242" s="127"/>
      <c r="AA9242" s="127"/>
      <c r="AB9242" s="128"/>
      <c r="AC9242" s="15" t="s">
        <v>20</v>
      </c>
      <c r="AD9242" s="129"/>
      <c r="AE9242" s="130"/>
      <c r="AF9242" s="130"/>
      <c r="AG9242" s="130"/>
      <c r="AH9242" s="130"/>
      <c r="AI9242" s="131"/>
      <c r="AJ9242" s="132"/>
      <c r="AK9242" s="127"/>
      <c r="AL9242" s="128"/>
      <c r="AM9242" s="21"/>
      <c r="AN9242" s="133"/>
      <c r="AO9242" s="134"/>
      <c r="AP9242" s="135"/>
      <c r="AQ9242" s="136"/>
      <c r="AR9242" s="118"/>
      <c r="AS9242" s="119"/>
      <c r="AT9242" s="118">
        <f t="shared" ref="AT9242" si="14374">AR9242*0.1</f>
        <v>0</v>
      </c>
      <c r="AU9242" s="119"/>
      <c r="AV9242" s="118"/>
      <c r="AW9242" s="119"/>
      <c r="AX9242" s="118">
        <f t="shared" ref="AX9242" si="14375">SUM(AR9242:AW9242)</f>
        <v>0</v>
      </c>
      <c r="AY9242" s="119"/>
      <c r="AZ9242" s="137"/>
    </row>
    <row r="9243" spans="1:52" ht="17.100000000000001" customHeight="1" thickBot="1">
      <c r="A9243" s="110"/>
      <c r="B9243" s="27"/>
      <c r="C9243" s="27"/>
      <c r="D9243" s="14"/>
      <c r="E9243" s="112"/>
      <c r="F9243" s="139"/>
      <c r="G9243" s="140"/>
      <c r="H9243" s="141"/>
      <c r="I9243" s="26"/>
      <c r="J9243" s="117"/>
      <c r="K9243" s="120"/>
      <c r="L9243" s="121"/>
      <c r="M9243" s="120"/>
      <c r="N9243" s="121"/>
      <c r="O9243" s="120"/>
      <c r="P9243" s="121"/>
      <c r="Q9243" s="120"/>
      <c r="R9243" s="121"/>
      <c r="S9243" s="120"/>
      <c r="T9243" s="121"/>
      <c r="U9243" s="120"/>
      <c r="V9243" s="123"/>
      <c r="W9243" s="125"/>
      <c r="X9243" s="142"/>
      <c r="Y9243" s="143"/>
      <c r="Z9243" s="143"/>
      <c r="AA9243" s="143"/>
      <c r="AB9243" s="144"/>
      <c r="AC9243" s="16" t="s">
        <v>21</v>
      </c>
      <c r="AD9243" s="17"/>
      <c r="AE9243" s="145"/>
      <c r="AF9243" s="146"/>
      <c r="AG9243" s="146"/>
      <c r="AH9243" s="146"/>
      <c r="AI9243" s="147"/>
      <c r="AJ9243" s="148"/>
      <c r="AK9243" s="143"/>
      <c r="AL9243" s="144"/>
      <c r="AM9243" s="22"/>
      <c r="AN9243" s="149"/>
      <c r="AO9243" s="144"/>
      <c r="AP9243" s="148"/>
      <c r="AQ9243" s="144"/>
      <c r="AR9243" s="120"/>
      <c r="AS9243" s="121"/>
      <c r="AT9243" s="120"/>
      <c r="AU9243" s="121"/>
      <c r="AV9243" s="120"/>
      <c r="AW9243" s="121"/>
      <c r="AX9243" s="120"/>
      <c r="AY9243" s="121"/>
      <c r="AZ9243" s="138"/>
    </row>
    <row r="9244" spans="1:52" ht="17.100000000000001" customHeight="1" thickTop="1">
      <c r="A9244" s="109"/>
      <c r="B9244" s="28"/>
      <c r="C9244" s="25"/>
      <c r="D9244" s="13"/>
      <c r="E9244" s="111"/>
      <c r="F9244" s="113"/>
      <c r="G9244" s="114"/>
      <c r="H9244" s="115"/>
      <c r="I9244" s="24"/>
      <c r="J9244" s="116"/>
      <c r="K9244" s="118"/>
      <c r="L9244" s="119"/>
      <c r="M9244" s="118">
        <f t="shared" ref="M9244" si="14376">K9244*0.1</f>
        <v>0</v>
      </c>
      <c r="N9244" s="119"/>
      <c r="O9244" s="118">
        <v>0</v>
      </c>
      <c r="P9244" s="119"/>
      <c r="Q9244" s="118"/>
      <c r="R9244" s="119"/>
      <c r="S9244" s="118"/>
      <c r="T9244" s="119"/>
      <c r="U9244" s="118">
        <f t="shared" ref="U9244" si="14377">SUM(K9244:T9245)</f>
        <v>0</v>
      </c>
      <c r="V9244" s="122"/>
      <c r="W9244" s="124"/>
      <c r="X9244" s="126"/>
      <c r="Y9244" s="127"/>
      <c r="Z9244" s="127"/>
      <c r="AA9244" s="127"/>
      <c r="AB9244" s="128"/>
      <c r="AC9244" s="15" t="s">
        <v>20</v>
      </c>
      <c r="AD9244" s="129"/>
      <c r="AE9244" s="130"/>
      <c r="AF9244" s="130"/>
      <c r="AG9244" s="130"/>
      <c r="AH9244" s="130"/>
      <c r="AI9244" s="131"/>
      <c r="AJ9244" s="132"/>
      <c r="AK9244" s="127"/>
      <c r="AL9244" s="128"/>
      <c r="AM9244" s="21"/>
      <c r="AN9244" s="133"/>
      <c r="AO9244" s="134"/>
      <c r="AP9244" s="135"/>
      <c r="AQ9244" s="136"/>
      <c r="AR9244" s="118"/>
      <c r="AS9244" s="119"/>
      <c r="AT9244" s="118">
        <f t="shared" ref="AT9244" si="14378">AR9244*0.1</f>
        <v>0</v>
      </c>
      <c r="AU9244" s="119"/>
      <c r="AV9244" s="118"/>
      <c r="AW9244" s="119"/>
      <c r="AX9244" s="118">
        <f t="shared" ref="AX9244" si="14379">SUM(AR9244:AW9244)</f>
        <v>0</v>
      </c>
      <c r="AY9244" s="119"/>
      <c r="AZ9244" s="137"/>
    </row>
    <row r="9245" spans="1:52" ht="17.100000000000001" customHeight="1" thickBot="1">
      <c r="A9245" s="110"/>
      <c r="B9245" s="27"/>
      <c r="C9245" s="27"/>
      <c r="D9245" s="14"/>
      <c r="E9245" s="112"/>
      <c r="F9245" s="139"/>
      <c r="G9245" s="140"/>
      <c r="H9245" s="141"/>
      <c r="I9245" s="26"/>
      <c r="J9245" s="117"/>
      <c r="K9245" s="120"/>
      <c r="L9245" s="121"/>
      <c r="M9245" s="120"/>
      <c r="N9245" s="121"/>
      <c r="O9245" s="120"/>
      <c r="P9245" s="121"/>
      <c r="Q9245" s="120"/>
      <c r="R9245" s="121"/>
      <c r="S9245" s="120"/>
      <c r="T9245" s="121"/>
      <c r="U9245" s="120"/>
      <c r="V9245" s="123"/>
      <c r="W9245" s="125"/>
      <c r="X9245" s="142"/>
      <c r="Y9245" s="143"/>
      <c r="Z9245" s="143"/>
      <c r="AA9245" s="143"/>
      <c r="AB9245" s="144"/>
      <c r="AC9245" s="16" t="s">
        <v>21</v>
      </c>
      <c r="AD9245" s="17"/>
      <c r="AE9245" s="145"/>
      <c r="AF9245" s="146"/>
      <c r="AG9245" s="146"/>
      <c r="AH9245" s="146"/>
      <c r="AI9245" s="147"/>
      <c r="AJ9245" s="148"/>
      <c r="AK9245" s="143"/>
      <c r="AL9245" s="144"/>
      <c r="AM9245" s="22"/>
      <c r="AN9245" s="149"/>
      <c r="AO9245" s="144"/>
      <c r="AP9245" s="148"/>
      <c r="AQ9245" s="144"/>
      <c r="AR9245" s="120"/>
      <c r="AS9245" s="121"/>
      <c r="AT9245" s="120"/>
      <c r="AU9245" s="121"/>
      <c r="AV9245" s="120"/>
      <c r="AW9245" s="121"/>
      <c r="AX9245" s="120"/>
      <c r="AY9245" s="121"/>
      <c r="AZ9245" s="138"/>
    </row>
    <row r="9246" spans="1:52" ht="17.100000000000001" customHeight="1" thickTop="1">
      <c r="A9246" s="109"/>
      <c r="B9246" s="28"/>
      <c r="C9246" s="25"/>
      <c r="D9246" s="13"/>
      <c r="E9246" s="111"/>
      <c r="F9246" s="113"/>
      <c r="G9246" s="114"/>
      <c r="H9246" s="115"/>
      <c r="I9246" s="24"/>
      <c r="J9246" s="116"/>
      <c r="K9246" s="118"/>
      <c r="L9246" s="119"/>
      <c r="M9246" s="118">
        <f t="shared" ref="M9246" si="14380">K9246*0.1</f>
        <v>0</v>
      </c>
      <c r="N9246" s="119"/>
      <c r="O9246" s="118">
        <v>0</v>
      </c>
      <c r="P9246" s="119"/>
      <c r="Q9246" s="118"/>
      <c r="R9246" s="119"/>
      <c r="S9246" s="118"/>
      <c r="T9246" s="119"/>
      <c r="U9246" s="118">
        <f t="shared" ref="U9246" si="14381">SUM(K9246:T9247)</f>
        <v>0</v>
      </c>
      <c r="V9246" s="122"/>
      <c r="W9246" s="124"/>
      <c r="X9246" s="126"/>
      <c r="Y9246" s="127"/>
      <c r="Z9246" s="127"/>
      <c r="AA9246" s="127"/>
      <c r="AB9246" s="128"/>
      <c r="AC9246" s="15" t="s">
        <v>20</v>
      </c>
      <c r="AD9246" s="129"/>
      <c r="AE9246" s="130"/>
      <c r="AF9246" s="130"/>
      <c r="AG9246" s="130"/>
      <c r="AH9246" s="130"/>
      <c r="AI9246" s="131"/>
      <c r="AJ9246" s="132"/>
      <c r="AK9246" s="127"/>
      <c r="AL9246" s="128"/>
      <c r="AM9246" s="21"/>
      <c r="AN9246" s="133"/>
      <c r="AO9246" s="134"/>
      <c r="AP9246" s="135"/>
      <c r="AQ9246" s="136"/>
      <c r="AR9246" s="118"/>
      <c r="AS9246" s="119"/>
      <c r="AT9246" s="118">
        <f t="shared" ref="AT9246" si="14382">AR9246*0.1</f>
        <v>0</v>
      </c>
      <c r="AU9246" s="119"/>
      <c r="AV9246" s="118"/>
      <c r="AW9246" s="119"/>
      <c r="AX9246" s="118">
        <f t="shared" ref="AX9246" si="14383">SUM(AR9246:AW9246)</f>
        <v>0</v>
      </c>
      <c r="AY9246" s="119"/>
      <c r="AZ9246" s="137"/>
    </row>
    <row r="9247" spans="1:52" ht="17.100000000000001" customHeight="1" thickBot="1">
      <c r="A9247" s="110"/>
      <c r="B9247" s="27"/>
      <c r="C9247" s="27"/>
      <c r="D9247" s="14"/>
      <c r="E9247" s="112"/>
      <c r="F9247" s="139"/>
      <c r="G9247" s="140"/>
      <c r="H9247" s="141"/>
      <c r="I9247" s="26"/>
      <c r="J9247" s="117"/>
      <c r="K9247" s="120"/>
      <c r="L9247" s="121"/>
      <c r="M9247" s="120"/>
      <c r="N9247" s="121"/>
      <c r="O9247" s="120"/>
      <c r="P9247" s="121"/>
      <c r="Q9247" s="120"/>
      <c r="R9247" s="121"/>
      <c r="S9247" s="120"/>
      <c r="T9247" s="121"/>
      <c r="U9247" s="120"/>
      <c r="V9247" s="123"/>
      <c r="W9247" s="125"/>
      <c r="X9247" s="142"/>
      <c r="Y9247" s="143"/>
      <c r="Z9247" s="143"/>
      <c r="AA9247" s="143"/>
      <c r="AB9247" s="144"/>
      <c r="AC9247" s="16" t="s">
        <v>21</v>
      </c>
      <c r="AD9247" s="17"/>
      <c r="AE9247" s="145"/>
      <c r="AF9247" s="146"/>
      <c r="AG9247" s="146"/>
      <c r="AH9247" s="146"/>
      <c r="AI9247" s="147"/>
      <c r="AJ9247" s="148"/>
      <c r="AK9247" s="143"/>
      <c r="AL9247" s="144"/>
      <c r="AM9247" s="22"/>
      <c r="AN9247" s="149"/>
      <c r="AO9247" s="144"/>
      <c r="AP9247" s="148"/>
      <c r="AQ9247" s="144"/>
      <c r="AR9247" s="120"/>
      <c r="AS9247" s="121"/>
      <c r="AT9247" s="120"/>
      <c r="AU9247" s="121"/>
      <c r="AV9247" s="120"/>
      <c r="AW9247" s="121"/>
      <c r="AX9247" s="120"/>
      <c r="AY9247" s="121"/>
      <c r="AZ9247" s="138"/>
    </row>
    <row r="9248" spans="1:52" ht="17.100000000000001" customHeight="1" thickTop="1">
      <c r="A9248" s="109"/>
      <c r="B9248" s="28"/>
      <c r="C9248" s="25"/>
      <c r="D9248" s="13"/>
      <c r="E9248" s="111"/>
      <c r="F9248" s="113"/>
      <c r="G9248" s="114"/>
      <c r="H9248" s="115"/>
      <c r="I9248" s="24"/>
      <c r="J9248" s="116"/>
      <c r="K9248" s="118"/>
      <c r="L9248" s="119"/>
      <c r="M9248" s="118">
        <f t="shared" ref="M9248" si="14384">K9248*0.1</f>
        <v>0</v>
      </c>
      <c r="N9248" s="119"/>
      <c r="O9248" s="118">
        <v>0</v>
      </c>
      <c r="P9248" s="119"/>
      <c r="Q9248" s="118"/>
      <c r="R9248" s="119"/>
      <c r="S9248" s="118"/>
      <c r="T9248" s="119"/>
      <c r="U9248" s="118">
        <f t="shared" ref="U9248" si="14385">SUM(K9248:T9249)</f>
        <v>0</v>
      </c>
      <c r="V9248" s="122"/>
      <c r="W9248" s="124"/>
      <c r="X9248" s="126"/>
      <c r="Y9248" s="127"/>
      <c r="Z9248" s="127"/>
      <c r="AA9248" s="127"/>
      <c r="AB9248" s="128"/>
      <c r="AC9248" s="15" t="s">
        <v>20</v>
      </c>
      <c r="AD9248" s="129"/>
      <c r="AE9248" s="130"/>
      <c r="AF9248" s="130"/>
      <c r="AG9248" s="130"/>
      <c r="AH9248" s="130"/>
      <c r="AI9248" s="131"/>
      <c r="AJ9248" s="132"/>
      <c r="AK9248" s="127"/>
      <c r="AL9248" s="128"/>
      <c r="AM9248" s="21"/>
      <c r="AN9248" s="133"/>
      <c r="AO9248" s="134"/>
      <c r="AP9248" s="135"/>
      <c r="AQ9248" s="136"/>
      <c r="AR9248" s="118"/>
      <c r="AS9248" s="119"/>
      <c r="AT9248" s="118">
        <f t="shared" ref="AT9248" si="14386">AR9248*0.1</f>
        <v>0</v>
      </c>
      <c r="AU9248" s="119"/>
      <c r="AV9248" s="118"/>
      <c r="AW9248" s="119"/>
      <c r="AX9248" s="118">
        <f t="shared" ref="AX9248" si="14387">SUM(AR9248:AW9248)</f>
        <v>0</v>
      </c>
      <c r="AY9248" s="119"/>
      <c r="AZ9248" s="137"/>
    </row>
    <row r="9249" spans="1:52" ht="17.100000000000001" customHeight="1" thickBot="1">
      <c r="A9249" s="110"/>
      <c r="B9249" s="27"/>
      <c r="C9249" s="27"/>
      <c r="D9249" s="14"/>
      <c r="E9249" s="112"/>
      <c r="F9249" s="139"/>
      <c r="G9249" s="140"/>
      <c r="H9249" s="141"/>
      <c r="I9249" s="26"/>
      <c r="J9249" s="117"/>
      <c r="K9249" s="120"/>
      <c r="L9249" s="121"/>
      <c r="M9249" s="120"/>
      <c r="N9249" s="121"/>
      <c r="O9249" s="120"/>
      <c r="P9249" s="121"/>
      <c r="Q9249" s="120"/>
      <c r="R9249" s="121"/>
      <c r="S9249" s="120"/>
      <c r="T9249" s="121"/>
      <c r="U9249" s="120"/>
      <c r="V9249" s="123"/>
      <c r="W9249" s="125"/>
      <c r="X9249" s="142"/>
      <c r="Y9249" s="143"/>
      <c r="Z9249" s="143"/>
      <c r="AA9249" s="143"/>
      <c r="AB9249" s="144"/>
      <c r="AC9249" s="16" t="s">
        <v>21</v>
      </c>
      <c r="AD9249" s="17"/>
      <c r="AE9249" s="145"/>
      <c r="AF9249" s="146"/>
      <c r="AG9249" s="146"/>
      <c r="AH9249" s="146"/>
      <c r="AI9249" s="147"/>
      <c r="AJ9249" s="148"/>
      <c r="AK9249" s="143"/>
      <c r="AL9249" s="144"/>
      <c r="AM9249" s="22"/>
      <c r="AN9249" s="149"/>
      <c r="AO9249" s="144"/>
      <c r="AP9249" s="148"/>
      <c r="AQ9249" s="144"/>
      <c r="AR9249" s="120"/>
      <c r="AS9249" s="121"/>
      <c r="AT9249" s="120"/>
      <c r="AU9249" s="121"/>
      <c r="AV9249" s="120"/>
      <c r="AW9249" s="121"/>
      <c r="AX9249" s="120"/>
      <c r="AY9249" s="121"/>
      <c r="AZ9249" s="138"/>
    </row>
    <row r="9250" spans="1:52" ht="17.100000000000001" customHeight="1" thickTop="1">
      <c r="A9250" s="109"/>
      <c r="B9250" s="28"/>
      <c r="C9250" s="25"/>
      <c r="D9250" s="13"/>
      <c r="E9250" s="111"/>
      <c r="F9250" s="113"/>
      <c r="G9250" s="114"/>
      <c r="H9250" s="115"/>
      <c r="I9250" s="24"/>
      <c r="J9250" s="116"/>
      <c r="K9250" s="118"/>
      <c r="L9250" s="119"/>
      <c r="M9250" s="118">
        <f t="shared" ref="M9250" si="14388">K9250*0.1</f>
        <v>0</v>
      </c>
      <c r="N9250" s="119"/>
      <c r="O9250" s="118">
        <v>0</v>
      </c>
      <c r="P9250" s="119"/>
      <c r="Q9250" s="118"/>
      <c r="R9250" s="119"/>
      <c r="S9250" s="118"/>
      <c r="T9250" s="119"/>
      <c r="U9250" s="118">
        <f t="shared" ref="U9250" si="14389">SUM(K9250:T9251)</f>
        <v>0</v>
      </c>
      <c r="V9250" s="122"/>
      <c r="W9250" s="124"/>
      <c r="X9250" s="126"/>
      <c r="Y9250" s="127"/>
      <c r="Z9250" s="127"/>
      <c r="AA9250" s="127"/>
      <c r="AB9250" s="128"/>
      <c r="AC9250" s="15" t="s">
        <v>20</v>
      </c>
      <c r="AD9250" s="129"/>
      <c r="AE9250" s="130"/>
      <c r="AF9250" s="130"/>
      <c r="AG9250" s="130"/>
      <c r="AH9250" s="130"/>
      <c r="AI9250" s="131"/>
      <c r="AJ9250" s="132"/>
      <c r="AK9250" s="127"/>
      <c r="AL9250" s="128"/>
      <c r="AM9250" s="21"/>
      <c r="AN9250" s="133"/>
      <c r="AO9250" s="134"/>
      <c r="AP9250" s="135"/>
      <c r="AQ9250" s="136"/>
      <c r="AR9250" s="118"/>
      <c r="AS9250" s="119"/>
      <c r="AT9250" s="118">
        <f t="shared" ref="AT9250" si="14390">AR9250*0.1</f>
        <v>0</v>
      </c>
      <c r="AU9250" s="119"/>
      <c r="AV9250" s="118"/>
      <c r="AW9250" s="119"/>
      <c r="AX9250" s="118">
        <f t="shared" ref="AX9250" si="14391">SUM(AR9250:AW9250)</f>
        <v>0</v>
      </c>
      <c r="AY9250" s="119"/>
      <c r="AZ9250" s="137"/>
    </row>
    <row r="9251" spans="1:52" ht="17.100000000000001" customHeight="1" thickBot="1">
      <c r="A9251" s="110"/>
      <c r="B9251" s="27"/>
      <c r="C9251" s="27"/>
      <c r="D9251" s="14"/>
      <c r="E9251" s="112"/>
      <c r="F9251" s="139"/>
      <c r="G9251" s="140"/>
      <c r="H9251" s="141"/>
      <c r="I9251" s="26"/>
      <c r="J9251" s="117"/>
      <c r="K9251" s="120"/>
      <c r="L9251" s="121"/>
      <c r="M9251" s="120"/>
      <c r="N9251" s="121"/>
      <c r="O9251" s="120"/>
      <c r="P9251" s="121"/>
      <c r="Q9251" s="120"/>
      <c r="R9251" s="121"/>
      <c r="S9251" s="120"/>
      <c r="T9251" s="121"/>
      <c r="U9251" s="120"/>
      <c r="V9251" s="123"/>
      <c r="W9251" s="125"/>
      <c r="X9251" s="142"/>
      <c r="Y9251" s="143"/>
      <c r="Z9251" s="143"/>
      <c r="AA9251" s="143"/>
      <c r="AB9251" s="144"/>
      <c r="AC9251" s="16" t="s">
        <v>21</v>
      </c>
      <c r="AD9251" s="17"/>
      <c r="AE9251" s="145"/>
      <c r="AF9251" s="146"/>
      <c r="AG9251" s="146"/>
      <c r="AH9251" s="146"/>
      <c r="AI9251" s="147"/>
      <c r="AJ9251" s="148"/>
      <c r="AK9251" s="143"/>
      <c r="AL9251" s="144"/>
      <c r="AM9251" s="22"/>
      <c r="AN9251" s="149"/>
      <c r="AO9251" s="144"/>
      <c r="AP9251" s="148"/>
      <c r="AQ9251" s="144"/>
      <c r="AR9251" s="120"/>
      <c r="AS9251" s="121"/>
      <c r="AT9251" s="120"/>
      <c r="AU9251" s="121"/>
      <c r="AV9251" s="120"/>
      <c r="AW9251" s="121"/>
      <c r="AX9251" s="120"/>
      <c r="AY9251" s="121"/>
      <c r="AZ9251" s="138"/>
    </row>
    <row r="9252" spans="1:52" ht="17.100000000000001" customHeight="1" thickTop="1">
      <c r="A9252" s="109"/>
      <c r="B9252" s="28"/>
      <c r="C9252" s="25"/>
      <c r="D9252" s="13"/>
      <c r="E9252" s="111"/>
      <c r="F9252" s="113"/>
      <c r="G9252" s="114"/>
      <c r="H9252" s="115"/>
      <c r="I9252" s="24"/>
      <c r="J9252" s="116"/>
      <c r="K9252" s="118"/>
      <c r="L9252" s="119"/>
      <c r="M9252" s="118">
        <f t="shared" ref="M9252" si="14392">K9252*0.1</f>
        <v>0</v>
      </c>
      <c r="N9252" s="119"/>
      <c r="O9252" s="118">
        <v>0</v>
      </c>
      <c r="P9252" s="119"/>
      <c r="Q9252" s="118"/>
      <c r="R9252" s="119"/>
      <c r="S9252" s="118"/>
      <c r="T9252" s="119"/>
      <c r="U9252" s="118">
        <f t="shared" ref="U9252" si="14393">SUM(K9252:T9253)</f>
        <v>0</v>
      </c>
      <c r="V9252" s="122"/>
      <c r="W9252" s="124"/>
      <c r="X9252" s="126"/>
      <c r="Y9252" s="127"/>
      <c r="Z9252" s="127"/>
      <c r="AA9252" s="127"/>
      <c r="AB9252" s="128"/>
      <c r="AC9252" s="15" t="s">
        <v>20</v>
      </c>
      <c r="AD9252" s="129"/>
      <c r="AE9252" s="130"/>
      <c r="AF9252" s="130"/>
      <c r="AG9252" s="130"/>
      <c r="AH9252" s="130"/>
      <c r="AI9252" s="131"/>
      <c r="AJ9252" s="132"/>
      <c r="AK9252" s="127"/>
      <c r="AL9252" s="128"/>
      <c r="AM9252" s="21"/>
      <c r="AN9252" s="133"/>
      <c r="AO9252" s="134"/>
      <c r="AP9252" s="135"/>
      <c r="AQ9252" s="136"/>
      <c r="AR9252" s="118"/>
      <c r="AS9252" s="119"/>
      <c r="AT9252" s="118">
        <f t="shared" ref="AT9252" si="14394">AR9252*0.1</f>
        <v>0</v>
      </c>
      <c r="AU9252" s="119"/>
      <c r="AV9252" s="118"/>
      <c r="AW9252" s="119"/>
      <c r="AX9252" s="118">
        <f t="shared" ref="AX9252" si="14395">SUM(AR9252:AW9252)</f>
        <v>0</v>
      </c>
      <c r="AY9252" s="119"/>
      <c r="AZ9252" s="137"/>
    </row>
    <row r="9253" spans="1:52" ht="17.100000000000001" customHeight="1" thickBot="1">
      <c r="A9253" s="110"/>
      <c r="B9253" s="27"/>
      <c r="C9253" s="27"/>
      <c r="D9253" s="14"/>
      <c r="E9253" s="112"/>
      <c r="F9253" s="139"/>
      <c r="G9253" s="140"/>
      <c r="H9253" s="141"/>
      <c r="I9253" s="26"/>
      <c r="J9253" s="117"/>
      <c r="K9253" s="120"/>
      <c r="L9253" s="121"/>
      <c r="M9253" s="120"/>
      <c r="N9253" s="121"/>
      <c r="O9253" s="120"/>
      <c r="P9253" s="121"/>
      <c r="Q9253" s="120"/>
      <c r="R9253" s="121"/>
      <c r="S9253" s="120"/>
      <c r="T9253" s="121"/>
      <c r="U9253" s="120"/>
      <c r="V9253" s="123"/>
      <c r="W9253" s="125"/>
      <c r="X9253" s="142"/>
      <c r="Y9253" s="143"/>
      <c r="Z9253" s="143"/>
      <c r="AA9253" s="143"/>
      <c r="AB9253" s="144"/>
      <c r="AC9253" s="16" t="s">
        <v>21</v>
      </c>
      <c r="AD9253" s="17"/>
      <c r="AE9253" s="145"/>
      <c r="AF9253" s="146"/>
      <c r="AG9253" s="146"/>
      <c r="AH9253" s="146"/>
      <c r="AI9253" s="147"/>
      <c r="AJ9253" s="148"/>
      <c r="AK9253" s="143"/>
      <c r="AL9253" s="144"/>
      <c r="AM9253" s="22"/>
      <c r="AN9253" s="149"/>
      <c r="AO9253" s="144"/>
      <c r="AP9253" s="148"/>
      <c r="AQ9253" s="144"/>
      <c r="AR9253" s="120"/>
      <c r="AS9253" s="121"/>
      <c r="AT9253" s="120"/>
      <c r="AU9253" s="121"/>
      <c r="AV9253" s="120"/>
      <c r="AW9253" s="121"/>
      <c r="AX9253" s="120"/>
      <c r="AY9253" s="121"/>
      <c r="AZ9253" s="138"/>
    </row>
    <row r="9254" spans="1:52" ht="17.100000000000001" customHeight="1" thickTop="1">
      <c r="A9254" s="109"/>
      <c r="B9254" s="28"/>
      <c r="C9254" s="25"/>
      <c r="D9254" s="13"/>
      <c r="E9254" s="111"/>
      <c r="F9254" s="113"/>
      <c r="G9254" s="114"/>
      <c r="H9254" s="115"/>
      <c r="I9254" s="24"/>
      <c r="J9254" s="116"/>
      <c r="K9254" s="118"/>
      <c r="L9254" s="119"/>
      <c r="M9254" s="118">
        <f t="shared" ref="M9254" si="14396">K9254*0.1</f>
        <v>0</v>
      </c>
      <c r="N9254" s="119"/>
      <c r="O9254" s="118">
        <v>0</v>
      </c>
      <c r="P9254" s="119"/>
      <c r="Q9254" s="118"/>
      <c r="R9254" s="119"/>
      <c r="S9254" s="118"/>
      <c r="T9254" s="119"/>
      <c r="U9254" s="118">
        <f t="shared" ref="U9254" si="14397">SUM(K9254:T9255)</f>
        <v>0</v>
      </c>
      <c r="V9254" s="122"/>
      <c r="W9254" s="124"/>
      <c r="X9254" s="126"/>
      <c r="Y9254" s="127"/>
      <c r="Z9254" s="127"/>
      <c r="AA9254" s="127"/>
      <c r="AB9254" s="128"/>
      <c r="AC9254" s="15" t="s">
        <v>20</v>
      </c>
      <c r="AD9254" s="129"/>
      <c r="AE9254" s="130"/>
      <c r="AF9254" s="130"/>
      <c r="AG9254" s="130"/>
      <c r="AH9254" s="130"/>
      <c r="AI9254" s="131"/>
      <c r="AJ9254" s="132"/>
      <c r="AK9254" s="127"/>
      <c r="AL9254" s="128"/>
      <c r="AM9254" s="21"/>
      <c r="AN9254" s="133"/>
      <c r="AO9254" s="134"/>
      <c r="AP9254" s="135"/>
      <c r="AQ9254" s="136"/>
      <c r="AR9254" s="118"/>
      <c r="AS9254" s="119"/>
      <c r="AT9254" s="118">
        <f t="shared" ref="AT9254" si="14398">AR9254*0.1</f>
        <v>0</v>
      </c>
      <c r="AU9254" s="119"/>
      <c r="AV9254" s="118"/>
      <c r="AW9254" s="119"/>
      <c r="AX9254" s="118">
        <f t="shared" ref="AX9254" si="14399">SUM(AR9254:AW9254)</f>
        <v>0</v>
      </c>
      <c r="AY9254" s="119"/>
      <c r="AZ9254" s="137"/>
    </row>
    <row r="9255" spans="1:52" ht="17.100000000000001" customHeight="1" thickBot="1">
      <c r="A9255" s="110"/>
      <c r="B9255" s="27"/>
      <c r="C9255" s="27"/>
      <c r="D9255" s="14"/>
      <c r="E9255" s="112"/>
      <c r="F9255" s="139"/>
      <c r="G9255" s="140"/>
      <c r="H9255" s="141"/>
      <c r="I9255" s="26"/>
      <c r="J9255" s="117"/>
      <c r="K9255" s="120"/>
      <c r="L9255" s="121"/>
      <c r="M9255" s="120"/>
      <c r="N9255" s="121"/>
      <c r="O9255" s="120"/>
      <c r="P9255" s="121"/>
      <c r="Q9255" s="120"/>
      <c r="R9255" s="121"/>
      <c r="S9255" s="120"/>
      <c r="T9255" s="121"/>
      <c r="U9255" s="120"/>
      <c r="V9255" s="123"/>
      <c r="W9255" s="125"/>
      <c r="X9255" s="142"/>
      <c r="Y9255" s="143"/>
      <c r="Z9255" s="143"/>
      <c r="AA9255" s="143"/>
      <c r="AB9255" s="144"/>
      <c r="AC9255" s="16" t="s">
        <v>21</v>
      </c>
      <c r="AD9255" s="17"/>
      <c r="AE9255" s="145"/>
      <c r="AF9255" s="146"/>
      <c r="AG9255" s="146"/>
      <c r="AH9255" s="146"/>
      <c r="AI9255" s="147"/>
      <c r="AJ9255" s="148"/>
      <c r="AK9255" s="143"/>
      <c r="AL9255" s="144"/>
      <c r="AM9255" s="22"/>
      <c r="AN9255" s="149"/>
      <c r="AO9255" s="144"/>
      <c r="AP9255" s="148"/>
      <c r="AQ9255" s="144"/>
      <c r="AR9255" s="120"/>
      <c r="AS9255" s="121"/>
      <c r="AT9255" s="120"/>
      <c r="AU9255" s="121"/>
      <c r="AV9255" s="120"/>
      <c r="AW9255" s="121"/>
      <c r="AX9255" s="120"/>
      <c r="AY9255" s="121"/>
      <c r="AZ9255" s="138"/>
    </row>
    <row r="9256" spans="1:52" ht="17.100000000000001" customHeight="1" thickTop="1">
      <c r="A9256" s="109"/>
      <c r="B9256" s="28"/>
      <c r="C9256" s="25"/>
      <c r="D9256" s="13"/>
      <c r="E9256" s="111"/>
      <c r="F9256" s="113"/>
      <c r="G9256" s="114"/>
      <c r="H9256" s="115"/>
      <c r="I9256" s="24"/>
      <c r="J9256" s="116"/>
      <c r="K9256" s="118"/>
      <c r="L9256" s="119"/>
      <c r="M9256" s="118">
        <f t="shared" ref="M9256" si="14400">K9256*0.1</f>
        <v>0</v>
      </c>
      <c r="N9256" s="119"/>
      <c r="O9256" s="118">
        <v>0</v>
      </c>
      <c r="P9256" s="119"/>
      <c r="Q9256" s="118"/>
      <c r="R9256" s="119"/>
      <c r="S9256" s="118"/>
      <c r="T9256" s="119"/>
      <c r="U9256" s="118">
        <f t="shared" ref="U9256" si="14401">SUM(K9256:T9257)</f>
        <v>0</v>
      </c>
      <c r="V9256" s="122"/>
      <c r="W9256" s="124"/>
      <c r="X9256" s="126"/>
      <c r="Y9256" s="127"/>
      <c r="Z9256" s="127"/>
      <c r="AA9256" s="127"/>
      <c r="AB9256" s="128"/>
      <c r="AC9256" s="15" t="s">
        <v>20</v>
      </c>
      <c r="AD9256" s="129"/>
      <c r="AE9256" s="130"/>
      <c r="AF9256" s="130"/>
      <c r="AG9256" s="130"/>
      <c r="AH9256" s="130"/>
      <c r="AI9256" s="131"/>
      <c r="AJ9256" s="132"/>
      <c r="AK9256" s="127"/>
      <c r="AL9256" s="128"/>
      <c r="AM9256" s="21"/>
      <c r="AN9256" s="133"/>
      <c r="AO9256" s="134"/>
      <c r="AP9256" s="135"/>
      <c r="AQ9256" s="136"/>
      <c r="AR9256" s="118"/>
      <c r="AS9256" s="119"/>
      <c r="AT9256" s="118">
        <f t="shared" ref="AT9256" si="14402">AR9256*0.1</f>
        <v>0</v>
      </c>
      <c r="AU9256" s="119"/>
      <c r="AV9256" s="118"/>
      <c r="AW9256" s="119"/>
      <c r="AX9256" s="118">
        <f t="shared" ref="AX9256" si="14403">SUM(AR9256:AW9256)</f>
        <v>0</v>
      </c>
      <c r="AY9256" s="119"/>
      <c r="AZ9256" s="137"/>
    </row>
    <row r="9257" spans="1:52" ht="17.100000000000001" customHeight="1" thickBot="1">
      <c r="A9257" s="110"/>
      <c r="B9257" s="27"/>
      <c r="C9257" s="27"/>
      <c r="D9257" s="14"/>
      <c r="E9257" s="112"/>
      <c r="F9257" s="139"/>
      <c r="G9257" s="140"/>
      <c r="H9257" s="141"/>
      <c r="I9257" s="26"/>
      <c r="J9257" s="117"/>
      <c r="K9257" s="120"/>
      <c r="L9257" s="121"/>
      <c r="M9257" s="120"/>
      <c r="N9257" s="121"/>
      <c r="O9257" s="120"/>
      <c r="P9257" s="121"/>
      <c r="Q9257" s="120"/>
      <c r="R9257" s="121"/>
      <c r="S9257" s="120"/>
      <c r="T9257" s="121"/>
      <c r="U9257" s="120"/>
      <c r="V9257" s="123"/>
      <c r="W9257" s="125"/>
      <c r="X9257" s="142"/>
      <c r="Y9257" s="143"/>
      <c r="Z9257" s="143"/>
      <c r="AA9257" s="143"/>
      <c r="AB9257" s="144"/>
      <c r="AC9257" s="16" t="s">
        <v>21</v>
      </c>
      <c r="AD9257" s="17"/>
      <c r="AE9257" s="145"/>
      <c r="AF9257" s="146"/>
      <c r="AG9257" s="146"/>
      <c r="AH9257" s="146"/>
      <c r="AI9257" s="147"/>
      <c r="AJ9257" s="148"/>
      <c r="AK9257" s="143"/>
      <c r="AL9257" s="144"/>
      <c r="AM9257" s="22"/>
      <c r="AN9257" s="149"/>
      <c r="AO9257" s="144"/>
      <c r="AP9257" s="148"/>
      <c r="AQ9257" s="144"/>
      <c r="AR9257" s="120"/>
      <c r="AS9257" s="121"/>
      <c r="AT9257" s="120"/>
      <c r="AU9257" s="121"/>
      <c r="AV9257" s="120"/>
      <c r="AW9257" s="121"/>
      <c r="AX9257" s="120"/>
      <c r="AY9257" s="121"/>
      <c r="AZ9257" s="138"/>
    </row>
    <row r="9258" spans="1:52" ht="17.100000000000001" customHeight="1" thickTop="1">
      <c r="A9258" s="109"/>
      <c r="B9258" s="28"/>
      <c r="C9258" s="25"/>
      <c r="D9258" s="13"/>
      <c r="E9258" s="111"/>
      <c r="F9258" s="113"/>
      <c r="G9258" s="114"/>
      <c r="H9258" s="115"/>
      <c r="I9258" s="24"/>
      <c r="J9258" s="116"/>
      <c r="K9258" s="118"/>
      <c r="L9258" s="119"/>
      <c r="M9258" s="118">
        <f t="shared" ref="M9258" si="14404">K9258*0.1</f>
        <v>0</v>
      </c>
      <c r="N9258" s="119"/>
      <c r="O9258" s="118">
        <v>0</v>
      </c>
      <c r="P9258" s="119"/>
      <c r="Q9258" s="118"/>
      <c r="R9258" s="119"/>
      <c r="S9258" s="118"/>
      <c r="T9258" s="119"/>
      <c r="U9258" s="118">
        <f t="shared" ref="U9258" si="14405">SUM(K9258:T9259)</f>
        <v>0</v>
      </c>
      <c r="V9258" s="122"/>
      <c r="W9258" s="124"/>
      <c r="X9258" s="126"/>
      <c r="Y9258" s="127"/>
      <c r="Z9258" s="127"/>
      <c r="AA9258" s="127"/>
      <c r="AB9258" s="128"/>
      <c r="AC9258" s="15" t="s">
        <v>20</v>
      </c>
      <c r="AD9258" s="129"/>
      <c r="AE9258" s="130"/>
      <c r="AF9258" s="130"/>
      <c r="AG9258" s="130"/>
      <c r="AH9258" s="130"/>
      <c r="AI9258" s="131"/>
      <c r="AJ9258" s="132"/>
      <c r="AK9258" s="127"/>
      <c r="AL9258" s="128"/>
      <c r="AM9258" s="21"/>
      <c r="AN9258" s="133"/>
      <c r="AO9258" s="134"/>
      <c r="AP9258" s="135"/>
      <c r="AQ9258" s="136"/>
      <c r="AR9258" s="118"/>
      <c r="AS9258" s="119"/>
      <c r="AT9258" s="118">
        <f t="shared" ref="AT9258" si="14406">AR9258*0.1</f>
        <v>0</v>
      </c>
      <c r="AU9258" s="119"/>
      <c r="AV9258" s="118"/>
      <c r="AW9258" s="119"/>
      <c r="AX9258" s="118">
        <f t="shared" ref="AX9258" si="14407">SUM(AR9258:AW9258)</f>
        <v>0</v>
      </c>
      <c r="AY9258" s="119"/>
      <c r="AZ9258" s="137"/>
    </row>
    <row r="9259" spans="1:52" ht="17.100000000000001" customHeight="1" thickBot="1">
      <c r="A9259" s="110"/>
      <c r="B9259" s="27"/>
      <c r="C9259" s="27"/>
      <c r="D9259" s="14"/>
      <c r="E9259" s="112"/>
      <c r="F9259" s="139"/>
      <c r="G9259" s="140"/>
      <c r="H9259" s="141"/>
      <c r="I9259" s="26"/>
      <c r="J9259" s="117"/>
      <c r="K9259" s="120"/>
      <c r="L9259" s="121"/>
      <c r="M9259" s="120"/>
      <c r="N9259" s="121"/>
      <c r="O9259" s="120"/>
      <c r="P9259" s="121"/>
      <c r="Q9259" s="120"/>
      <c r="R9259" s="121"/>
      <c r="S9259" s="120"/>
      <c r="T9259" s="121"/>
      <c r="U9259" s="120"/>
      <c r="V9259" s="123"/>
      <c r="W9259" s="125"/>
      <c r="X9259" s="142"/>
      <c r="Y9259" s="143"/>
      <c r="Z9259" s="143"/>
      <c r="AA9259" s="143"/>
      <c r="AB9259" s="144"/>
      <c r="AC9259" s="16" t="s">
        <v>21</v>
      </c>
      <c r="AD9259" s="17"/>
      <c r="AE9259" s="145"/>
      <c r="AF9259" s="146"/>
      <c r="AG9259" s="146"/>
      <c r="AH9259" s="146"/>
      <c r="AI9259" s="147"/>
      <c r="AJ9259" s="148"/>
      <c r="AK9259" s="143"/>
      <c r="AL9259" s="144"/>
      <c r="AM9259" s="22"/>
      <c r="AN9259" s="149"/>
      <c r="AO9259" s="144"/>
      <c r="AP9259" s="148"/>
      <c r="AQ9259" s="144"/>
      <c r="AR9259" s="120"/>
      <c r="AS9259" s="121"/>
      <c r="AT9259" s="120"/>
      <c r="AU9259" s="121"/>
      <c r="AV9259" s="120"/>
      <c r="AW9259" s="121"/>
      <c r="AX9259" s="120"/>
      <c r="AY9259" s="121"/>
      <c r="AZ9259" s="138"/>
    </row>
    <row r="9260" spans="1:52" ht="17.100000000000001" customHeight="1" thickTop="1">
      <c r="A9260" s="109"/>
      <c r="B9260" s="28"/>
      <c r="C9260" s="25"/>
      <c r="D9260" s="13"/>
      <c r="E9260" s="111"/>
      <c r="F9260" s="113"/>
      <c r="G9260" s="114"/>
      <c r="H9260" s="115"/>
      <c r="I9260" s="24"/>
      <c r="J9260" s="116"/>
      <c r="K9260" s="118"/>
      <c r="L9260" s="119"/>
      <c r="M9260" s="118">
        <f t="shared" ref="M9260" si="14408">K9260*0.1</f>
        <v>0</v>
      </c>
      <c r="N9260" s="119"/>
      <c r="O9260" s="118">
        <v>0</v>
      </c>
      <c r="P9260" s="119"/>
      <c r="Q9260" s="118"/>
      <c r="R9260" s="119"/>
      <c r="S9260" s="118"/>
      <c r="T9260" s="119"/>
      <c r="U9260" s="118">
        <f t="shared" ref="U9260" si="14409">SUM(K9260:T9261)</f>
        <v>0</v>
      </c>
      <c r="V9260" s="122"/>
      <c r="W9260" s="124"/>
      <c r="X9260" s="126"/>
      <c r="Y9260" s="127"/>
      <c r="Z9260" s="127"/>
      <c r="AA9260" s="127"/>
      <c r="AB9260" s="128"/>
      <c r="AC9260" s="15" t="s">
        <v>20</v>
      </c>
      <c r="AD9260" s="129"/>
      <c r="AE9260" s="130"/>
      <c r="AF9260" s="130"/>
      <c r="AG9260" s="130"/>
      <c r="AH9260" s="130"/>
      <c r="AI9260" s="131"/>
      <c r="AJ9260" s="132"/>
      <c r="AK9260" s="127"/>
      <c r="AL9260" s="128"/>
      <c r="AM9260" s="21"/>
      <c r="AN9260" s="133"/>
      <c r="AO9260" s="134"/>
      <c r="AP9260" s="135"/>
      <c r="AQ9260" s="136"/>
      <c r="AR9260" s="118"/>
      <c r="AS9260" s="119"/>
      <c r="AT9260" s="118">
        <f t="shared" ref="AT9260" si="14410">AR9260*0.1</f>
        <v>0</v>
      </c>
      <c r="AU9260" s="119"/>
      <c r="AV9260" s="118"/>
      <c r="AW9260" s="119"/>
      <c r="AX9260" s="118">
        <f t="shared" ref="AX9260" si="14411">SUM(AR9260:AW9260)</f>
        <v>0</v>
      </c>
      <c r="AY9260" s="119"/>
      <c r="AZ9260" s="137"/>
    </row>
    <row r="9261" spans="1:52" ht="17.100000000000001" customHeight="1" thickBot="1">
      <c r="A9261" s="110"/>
      <c r="B9261" s="27"/>
      <c r="C9261" s="27"/>
      <c r="D9261" s="14"/>
      <c r="E9261" s="112"/>
      <c r="F9261" s="139"/>
      <c r="G9261" s="140"/>
      <c r="H9261" s="141"/>
      <c r="I9261" s="26"/>
      <c r="J9261" s="117"/>
      <c r="K9261" s="120"/>
      <c r="L9261" s="121"/>
      <c r="M9261" s="120"/>
      <c r="N9261" s="121"/>
      <c r="O9261" s="120"/>
      <c r="P9261" s="121"/>
      <c r="Q9261" s="120"/>
      <c r="R9261" s="121"/>
      <c r="S9261" s="120"/>
      <c r="T9261" s="121"/>
      <c r="U9261" s="120"/>
      <c r="V9261" s="123"/>
      <c r="W9261" s="125"/>
      <c r="X9261" s="142"/>
      <c r="Y9261" s="143"/>
      <c r="Z9261" s="143"/>
      <c r="AA9261" s="143"/>
      <c r="AB9261" s="144"/>
      <c r="AC9261" s="16" t="s">
        <v>21</v>
      </c>
      <c r="AD9261" s="17"/>
      <c r="AE9261" s="145"/>
      <c r="AF9261" s="146"/>
      <c r="AG9261" s="146"/>
      <c r="AH9261" s="146"/>
      <c r="AI9261" s="147"/>
      <c r="AJ9261" s="148"/>
      <c r="AK9261" s="143"/>
      <c r="AL9261" s="144"/>
      <c r="AM9261" s="22"/>
      <c r="AN9261" s="149"/>
      <c r="AO9261" s="144"/>
      <c r="AP9261" s="148"/>
      <c r="AQ9261" s="144"/>
      <c r="AR9261" s="120"/>
      <c r="AS9261" s="121"/>
      <c r="AT9261" s="120"/>
      <c r="AU9261" s="121"/>
      <c r="AV9261" s="120"/>
      <c r="AW9261" s="121"/>
      <c r="AX9261" s="120"/>
      <c r="AY9261" s="121"/>
      <c r="AZ9261" s="138"/>
    </row>
    <row r="9262" spans="1:52" ht="17.100000000000001" customHeight="1" thickTop="1">
      <c r="A9262" s="109"/>
      <c r="B9262" s="28"/>
      <c r="C9262" s="25"/>
      <c r="D9262" s="13"/>
      <c r="E9262" s="111"/>
      <c r="F9262" s="113"/>
      <c r="G9262" s="114"/>
      <c r="H9262" s="115"/>
      <c r="I9262" s="24"/>
      <c r="J9262" s="116"/>
      <c r="K9262" s="118"/>
      <c r="L9262" s="119"/>
      <c r="M9262" s="118">
        <f t="shared" ref="M9262" si="14412">K9262*0.1</f>
        <v>0</v>
      </c>
      <c r="N9262" s="119"/>
      <c r="O9262" s="118">
        <v>0</v>
      </c>
      <c r="P9262" s="119"/>
      <c r="Q9262" s="118"/>
      <c r="R9262" s="119"/>
      <c r="S9262" s="118"/>
      <c r="T9262" s="119"/>
      <c r="U9262" s="118">
        <f t="shared" ref="U9262" si="14413">SUM(K9262:T9263)</f>
        <v>0</v>
      </c>
      <c r="V9262" s="122"/>
      <c r="W9262" s="124"/>
      <c r="X9262" s="126"/>
      <c r="Y9262" s="127"/>
      <c r="Z9262" s="127"/>
      <c r="AA9262" s="127"/>
      <c r="AB9262" s="128"/>
      <c r="AC9262" s="15" t="s">
        <v>20</v>
      </c>
      <c r="AD9262" s="129"/>
      <c r="AE9262" s="130"/>
      <c r="AF9262" s="130"/>
      <c r="AG9262" s="130"/>
      <c r="AH9262" s="130"/>
      <c r="AI9262" s="131"/>
      <c r="AJ9262" s="132"/>
      <c r="AK9262" s="127"/>
      <c r="AL9262" s="128"/>
      <c r="AM9262" s="21"/>
      <c r="AN9262" s="133"/>
      <c r="AO9262" s="134"/>
      <c r="AP9262" s="135"/>
      <c r="AQ9262" s="136"/>
      <c r="AR9262" s="118"/>
      <c r="AS9262" s="119"/>
      <c r="AT9262" s="118">
        <f t="shared" ref="AT9262" si="14414">AR9262*0.1</f>
        <v>0</v>
      </c>
      <c r="AU9262" s="119"/>
      <c r="AV9262" s="118"/>
      <c r="AW9262" s="119"/>
      <c r="AX9262" s="118">
        <f t="shared" ref="AX9262" si="14415">SUM(AR9262:AW9262)</f>
        <v>0</v>
      </c>
      <c r="AY9262" s="119"/>
      <c r="AZ9262" s="137"/>
    </row>
    <row r="9263" spans="1:52" ht="17.100000000000001" customHeight="1" thickBot="1">
      <c r="A9263" s="110"/>
      <c r="B9263" s="27"/>
      <c r="C9263" s="27"/>
      <c r="D9263" s="14"/>
      <c r="E9263" s="112"/>
      <c r="F9263" s="139"/>
      <c r="G9263" s="140"/>
      <c r="H9263" s="141"/>
      <c r="I9263" s="26"/>
      <c r="J9263" s="117"/>
      <c r="K9263" s="120"/>
      <c r="L9263" s="121"/>
      <c r="M9263" s="120"/>
      <c r="N9263" s="121"/>
      <c r="O9263" s="120"/>
      <c r="P9263" s="121"/>
      <c r="Q9263" s="120"/>
      <c r="R9263" s="121"/>
      <c r="S9263" s="120"/>
      <c r="T9263" s="121"/>
      <c r="U9263" s="120"/>
      <c r="V9263" s="123"/>
      <c r="W9263" s="125"/>
      <c r="X9263" s="142"/>
      <c r="Y9263" s="143"/>
      <c r="Z9263" s="143"/>
      <c r="AA9263" s="143"/>
      <c r="AB9263" s="144"/>
      <c r="AC9263" s="16" t="s">
        <v>21</v>
      </c>
      <c r="AD9263" s="17"/>
      <c r="AE9263" s="145"/>
      <c r="AF9263" s="146"/>
      <c r="AG9263" s="146"/>
      <c r="AH9263" s="146"/>
      <c r="AI9263" s="147"/>
      <c r="AJ9263" s="148"/>
      <c r="AK9263" s="143"/>
      <c r="AL9263" s="144"/>
      <c r="AM9263" s="22"/>
      <c r="AN9263" s="149"/>
      <c r="AO9263" s="144"/>
      <c r="AP9263" s="148"/>
      <c r="AQ9263" s="144"/>
      <c r="AR9263" s="120"/>
      <c r="AS9263" s="121"/>
      <c r="AT9263" s="120"/>
      <c r="AU9263" s="121"/>
      <c r="AV9263" s="120"/>
      <c r="AW9263" s="121"/>
      <c r="AX9263" s="120"/>
      <c r="AY9263" s="121"/>
      <c r="AZ9263" s="138"/>
    </row>
    <row r="9264" spans="1:52" ht="17.100000000000001" customHeight="1" thickTop="1">
      <c r="A9264" s="109"/>
      <c r="B9264" s="28"/>
      <c r="C9264" s="25"/>
      <c r="D9264" s="13"/>
      <c r="E9264" s="111"/>
      <c r="F9264" s="113"/>
      <c r="G9264" s="114"/>
      <c r="H9264" s="115"/>
      <c r="I9264" s="24"/>
      <c r="J9264" s="116"/>
      <c r="K9264" s="118"/>
      <c r="L9264" s="119"/>
      <c r="M9264" s="118">
        <f t="shared" ref="M9264" si="14416">K9264*0.1</f>
        <v>0</v>
      </c>
      <c r="N9264" s="119"/>
      <c r="O9264" s="118">
        <v>0</v>
      </c>
      <c r="P9264" s="119"/>
      <c r="Q9264" s="118"/>
      <c r="R9264" s="119"/>
      <c r="S9264" s="118"/>
      <c r="T9264" s="119"/>
      <c r="U9264" s="118">
        <f t="shared" ref="U9264" si="14417">SUM(K9264:T9265)</f>
        <v>0</v>
      </c>
      <c r="V9264" s="122"/>
      <c r="W9264" s="124"/>
      <c r="X9264" s="126"/>
      <c r="Y9264" s="127"/>
      <c r="Z9264" s="127"/>
      <c r="AA9264" s="127"/>
      <c r="AB9264" s="128"/>
      <c r="AC9264" s="15" t="s">
        <v>20</v>
      </c>
      <c r="AD9264" s="129"/>
      <c r="AE9264" s="130"/>
      <c r="AF9264" s="130"/>
      <c r="AG9264" s="130"/>
      <c r="AH9264" s="130"/>
      <c r="AI9264" s="131"/>
      <c r="AJ9264" s="132"/>
      <c r="AK9264" s="127"/>
      <c r="AL9264" s="128"/>
      <c r="AM9264" s="21"/>
      <c r="AN9264" s="133"/>
      <c r="AO9264" s="134"/>
      <c r="AP9264" s="135"/>
      <c r="AQ9264" s="136"/>
      <c r="AR9264" s="118"/>
      <c r="AS9264" s="119"/>
      <c r="AT9264" s="118">
        <f t="shared" ref="AT9264" si="14418">AR9264*0.1</f>
        <v>0</v>
      </c>
      <c r="AU9264" s="119"/>
      <c r="AV9264" s="118"/>
      <c r="AW9264" s="119"/>
      <c r="AX9264" s="118">
        <f t="shared" ref="AX9264" si="14419">SUM(AR9264:AW9264)</f>
        <v>0</v>
      </c>
      <c r="AY9264" s="119"/>
      <c r="AZ9264" s="137"/>
    </row>
    <row r="9265" spans="1:52" ht="17.100000000000001" customHeight="1" thickBot="1">
      <c r="A9265" s="110"/>
      <c r="B9265" s="27"/>
      <c r="C9265" s="27"/>
      <c r="D9265" s="14"/>
      <c r="E9265" s="112"/>
      <c r="F9265" s="139"/>
      <c r="G9265" s="140"/>
      <c r="H9265" s="141"/>
      <c r="I9265" s="26"/>
      <c r="J9265" s="117"/>
      <c r="K9265" s="120"/>
      <c r="L9265" s="121"/>
      <c r="M9265" s="120"/>
      <c r="N9265" s="121"/>
      <c r="O9265" s="120"/>
      <c r="P9265" s="121"/>
      <c r="Q9265" s="120"/>
      <c r="R9265" s="121"/>
      <c r="S9265" s="120"/>
      <c r="T9265" s="121"/>
      <c r="U9265" s="120"/>
      <c r="V9265" s="123"/>
      <c r="W9265" s="125"/>
      <c r="X9265" s="142"/>
      <c r="Y9265" s="143"/>
      <c r="Z9265" s="143"/>
      <c r="AA9265" s="143"/>
      <c r="AB9265" s="144"/>
      <c r="AC9265" s="16" t="s">
        <v>21</v>
      </c>
      <c r="AD9265" s="17"/>
      <c r="AE9265" s="145"/>
      <c r="AF9265" s="146"/>
      <c r="AG9265" s="146"/>
      <c r="AH9265" s="146"/>
      <c r="AI9265" s="147"/>
      <c r="AJ9265" s="148"/>
      <c r="AK9265" s="143"/>
      <c r="AL9265" s="144"/>
      <c r="AM9265" s="22"/>
      <c r="AN9265" s="149"/>
      <c r="AO9265" s="144"/>
      <c r="AP9265" s="148"/>
      <c r="AQ9265" s="144"/>
      <c r="AR9265" s="120"/>
      <c r="AS9265" s="121"/>
      <c r="AT9265" s="120"/>
      <c r="AU9265" s="121"/>
      <c r="AV9265" s="120"/>
      <c r="AW9265" s="121"/>
      <c r="AX9265" s="120"/>
      <c r="AY9265" s="121"/>
      <c r="AZ9265" s="138"/>
    </row>
    <row r="9266" spans="1:52" ht="17.100000000000001" customHeight="1" thickTop="1">
      <c r="A9266" s="109"/>
      <c r="B9266" s="28"/>
      <c r="C9266" s="25"/>
      <c r="D9266" s="13"/>
      <c r="E9266" s="111"/>
      <c r="F9266" s="113"/>
      <c r="G9266" s="114"/>
      <c r="H9266" s="115"/>
      <c r="I9266" s="24"/>
      <c r="J9266" s="116"/>
      <c r="K9266" s="118"/>
      <c r="L9266" s="119"/>
      <c r="M9266" s="118">
        <f t="shared" ref="M9266" si="14420">K9266*0.1</f>
        <v>0</v>
      </c>
      <c r="N9266" s="119"/>
      <c r="O9266" s="118">
        <v>0</v>
      </c>
      <c r="P9266" s="119"/>
      <c r="Q9266" s="118"/>
      <c r="R9266" s="119"/>
      <c r="S9266" s="118"/>
      <c r="T9266" s="119"/>
      <c r="U9266" s="118">
        <f t="shared" ref="U9266" si="14421">SUM(K9266:T9267)</f>
        <v>0</v>
      </c>
      <c r="V9266" s="122"/>
      <c r="W9266" s="124"/>
      <c r="X9266" s="126"/>
      <c r="Y9266" s="127"/>
      <c r="Z9266" s="127"/>
      <c r="AA9266" s="127"/>
      <c r="AB9266" s="128"/>
      <c r="AC9266" s="15" t="s">
        <v>20</v>
      </c>
      <c r="AD9266" s="129"/>
      <c r="AE9266" s="130"/>
      <c r="AF9266" s="130"/>
      <c r="AG9266" s="130"/>
      <c r="AH9266" s="130"/>
      <c r="AI9266" s="131"/>
      <c r="AJ9266" s="132"/>
      <c r="AK9266" s="127"/>
      <c r="AL9266" s="128"/>
      <c r="AM9266" s="21"/>
      <c r="AN9266" s="133"/>
      <c r="AO9266" s="134"/>
      <c r="AP9266" s="135"/>
      <c r="AQ9266" s="136"/>
      <c r="AR9266" s="118"/>
      <c r="AS9266" s="119"/>
      <c r="AT9266" s="118">
        <f t="shared" ref="AT9266" si="14422">AR9266*0.1</f>
        <v>0</v>
      </c>
      <c r="AU9266" s="119"/>
      <c r="AV9266" s="118"/>
      <c r="AW9266" s="119"/>
      <c r="AX9266" s="118">
        <f t="shared" ref="AX9266" si="14423">SUM(AR9266:AW9266)</f>
        <v>0</v>
      </c>
      <c r="AY9266" s="119"/>
      <c r="AZ9266" s="137"/>
    </row>
    <row r="9267" spans="1:52" ht="17.100000000000001" customHeight="1" thickBot="1">
      <c r="A9267" s="110"/>
      <c r="B9267" s="27"/>
      <c r="C9267" s="27"/>
      <c r="D9267" s="14"/>
      <c r="E9267" s="112"/>
      <c r="F9267" s="139"/>
      <c r="G9267" s="140"/>
      <c r="H9267" s="141"/>
      <c r="I9267" s="26"/>
      <c r="J9267" s="117"/>
      <c r="K9267" s="120"/>
      <c r="L9267" s="121"/>
      <c r="M9267" s="120"/>
      <c r="N9267" s="121"/>
      <c r="O9267" s="120"/>
      <c r="P9267" s="121"/>
      <c r="Q9267" s="120"/>
      <c r="R9267" s="121"/>
      <c r="S9267" s="120"/>
      <c r="T9267" s="121"/>
      <c r="U9267" s="120"/>
      <c r="V9267" s="123"/>
      <c r="W9267" s="125"/>
      <c r="X9267" s="142"/>
      <c r="Y9267" s="143"/>
      <c r="Z9267" s="143"/>
      <c r="AA9267" s="143"/>
      <c r="AB9267" s="144"/>
      <c r="AC9267" s="16" t="s">
        <v>21</v>
      </c>
      <c r="AD9267" s="17"/>
      <c r="AE9267" s="145"/>
      <c r="AF9267" s="146"/>
      <c r="AG9267" s="146"/>
      <c r="AH9267" s="146"/>
      <c r="AI9267" s="147"/>
      <c r="AJ9267" s="148"/>
      <c r="AK9267" s="143"/>
      <c r="AL9267" s="144"/>
      <c r="AM9267" s="22"/>
      <c r="AN9267" s="149"/>
      <c r="AO9267" s="144"/>
      <c r="AP9267" s="148"/>
      <c r="AQ9267" s="144"/>
      <c r="AR9267" s="120"/>
      <c r="AS9267" s="121"/>
      <c r="AT9267" s="120"/>
      <c r="AU9267" s="121"/>
      <c r="AV9267" s="120"/>
      <c r="AW9267" s="121"/>
      <c r="AX9267" s="120"/>
      <c r="AY9267" s="121"/>
      <c r="AZ9267" s="138"/>
    </row>
    <row r="9268" spans="1:52" ht="17.100000000000001" customHeight="1" thickTop="1">
      <c r="A9268" s="109"/>
      <c r="B9268" s="28"/>
      <c r="C9268" s="25"/>
      <c r="D9268" s="13"/>
      <c r="E9268" s="111"/>
      <c r="F9268" s="113"/>
      <c r="G9268" s="114"/>
      <c r="H9268" s="115"/>
      <c r="I9268" s="24"/>
      <c r="J9268" s="116"/>
      <c r="K9268" s="118"/>
      <c r="L9268" s="119"/>
      <c r="M9268" s="118">
        <f t="shared" ref="M9268" si="14424">K9268*0.1</f>
        <v>0</v>
      </c>
      <c r="N9268" s="119"/>
      <c r="O9268" s="118">
        <v>0</v>
      </c>
      <c r="P9268" s="119"/>
      <c r="Q9268" s="118"/>
      <c r="R9268" s="119"/>
      <c r="S9268" s="118"/>
      <c r="T9268" s="119"/>
      <c r="U9268" s="118">
        <f t="shared" ref="U9268" si="14425">SUM(K9268:T9269)</f>
        <v>0</v>
      </c>
      <c r="V9268" s="122"/>
      <c r="W9268" s="124"/>
      <c r="X9268" s="126"/>
      <c r="Y9268" s="127"/>
      <c r="Z9268" s="127"/>
      <c r="AA9268" s="127"/>
      <c r="AB9268" s="128"/>
      <c r="AC9268" s="15" t="s">
        <v>20</v>
      </c>
      <c r="AD9268" s="129"/>
      <c r="AE9268" s="130"/>
      <c r="AF9268" s="130"/>
      <c r="AG9268" s="130"/>
      <c r="AH9268" s="130"/>
      <c r="AI9268" s="131"/>
      <c r="AJ9268" s="132"/>
      <c r="AK9268" s="127"/>
      <c r="AL9268" s="128"/>
      <c r="AM9268" s="21"/>
      <c r="AN9268" s="133"/>
      <c r="AO9268" s="134"/>
      <c r="AP9268" s="135"/>
      <c r="AQ9268" s="136"/>
      <c r="AR9268" s="118"/>
      <c r="AS9268" s="119"/>
      <c r="AT9268" s="118">
        <f t="shared" ref="AT9268" si="14426">AR9268*0.1</f>
        <v>0</v>
      </c>
      <c r="AU9268" s="119"/>
      <c r="AV9268" s="118"/>
      <c r="AW9268" s="119"/>
      <c r="AX9268" s="118">
        <f t="shared" ref="AX9268" si="14427">SUM(AR9268:AW9268)</f>
        <v>0</v>
      </c>
      <c r="AY9268" s="119"/>
      <c r="AZ9268" s="137"/>
    </row>
    <row r="9269" spans="1:52" ht="17.100000000000001" customHeight="1" thickBot="1">
      <c r="A9269" s="110"/>
      <c r="B9269" s="27"/>
      <c r="C9269" s="27"/>
      <c r="D9269" s="14"/>
      <c r="E9269" s="112"/>
      <c r="F9269" s="139"/>
      <c r="G9269" s="140"/>
      <c r="H9269" s="141"/>
      <c r="I9269" s="26"/>
      <c r="J9269" s="117"/>
      <c r="K9269" s="120"/>
      <c r="L9269" s="121"/>
      <c r="M9269" s="120"/>
      <c r="N9269" s="121"/>
      <c r="O9269" s="120"/>
      <c r="P9269" s="121"/>
      <c r="Q9269" s="120"/>
      <c r="R9269" s="121"/>
      <c r="S9269" s="120"/>
      <c r="T9269" s="121"/>
      <c r="U9269" s="120"/>
      <c r="V9269" s="123"/>
      <c r="W9269" s="125"/>
      <c r="X9269" s="142"/>
      <c r="Y9269" s="143"/>
      <c r="Z9269" s="143"/>
      <c r="AA9269" s="143"/>
      <c r="AB9269" s="144"/>
      <c r="AC9269" s="16" t="s">
        <v>21</v>
      </c>
      <c r="AD9269" s="17"/>
      <c r="AE9269" s="145"/>
      <c r="AF9269" s="146"/>
      <c r="AG9269" s="146"/>
      <c r="AH9269" s="146"/>
      <c r="AI9269" s="147"/>
      <c r="AJ9269" s="148"/>
      <c r="AK9269" s="143"/>
      <c r="AL9269" s="144"/>
      <c r="AM9269" s="22"/>
      <c r="AN9269" s="149"/>
      <c r="AO9269" s="144"/>
      <c r="AP9269" s="148"/>
      <c r="AQ9269" s="144"/>
      <c r="AR9269" s="120"/>
      <c r="AS9269" s="121"/>
      <c r="AT9269" s="120"/>
      <c r="AU9269" s="121"/>
      <c r="AV9269" s="120"/>
      <c r="AW9269" s="121"/>
      <c r="AX9269" s="120"/>
      <c r="AY9269" s="121"/>
      <c r="AZ9269" s="138"/>
    </row>
    <row r="9270" spans="1:52" ht="17.100000000000001" customHeight="1" thickTop="1">
      <c r="A9270" s="109"/>
      <c r="B9270" s="28"/>
      <c r="C9270" s="25"/>
      <c r="D9270" s="13"/>
      <c r="E9270" s="111"/>
      <c r="F9270" s="113"/>
      <c r="G9270" s="114"/>
      <c r="H9270" s="115"/>
      <c r="I9270" s="24"/>
      <c r="J9270" s="116"/>
      <c r="K9270" s="118"/>
      <c r="L9270" s="119"/>
      <c r="M9270" s="118">
        <f t="shared" ref="M9270" si="14428">K9270*0.1</f>
        <v>0</v>
      </c>
      <c r="N9270" s="119"/>
      <c r="O9270" s="118">
        <v>0</v>
      </c>
      <c r="P9270" s="119"/>
      <c r="Q9270" s="118"/>
      <c r="R9270" s="119"/>
      <c r="S9270" s="118"/>
      <c r="T9270" s="119"/>
      <c r="U9270" s="118">
        <f t="shared" ref="U9270" si="14429">SUM(K9270:T9271)</f>
        <v>0</v>
      </c>
      <c r="V9270" s="122"/>
      <c r="W9270" s="124"/>
      <c r="X9270" s="126"/>
      <c r="Y9270" s="127"/>
      <c r="Z9270" s="127"/>
      <c r="AA9270" s="127"/>
      <c r="AB9270" s="128"/>
      <c r="AC9270" s="15" t="s">
        <v>20</v>
      </c>
      <c r="AD9270" s="129"/>
      <c r="AE9270" s="130"/>
      <c r="AF9270" s="130"/>
      <c r="AG9270" s="130"/>
      <c r="AH9270" s="130"/>
      <c r="AI9270" s="131"/>
      <c r="AJ9270" s="132"/>
      <c r="AK9270" s="127"/>
      <c r="AL9270" s="128"/>
      <c r="AM9270" s="21"/>
      <c r="AN9270" s="133"/>
      <c r="AO9270" s="134"/>
      <c r="AP9270" s="135"/>
      <c r="AQ9270" s="136"/>
      <c r="AR9270" s="118"/>
      <c r="AS9270" s="119"/>
      <c r="AT9270" s="118">
        <f t="shared" ref="AT9270" si="14430">AR9270*0.1</f>
        <v>0</v>
      </c>
      <c r="AU9270" s="119"/>
      <c r="AV9270" s="118"/>
      <c r="AW9270" s="119"/>
      <c r="AX9270" s="118">
        <f t="shared" ref="AX9270" si="14431">SUM(AR9270:AW9270)</f>
        <v>0</v>
      </c>
      <c r="AY9270" s="119"/>
      <c r="AZ9270" s="137"/>
    </row>
    <row r="9271" spans="1:52" ht="17.100000000000001" customHeight="1" thickBot="1">
      <c r="A9271" s="110"/>
      <c r="B9271" s="27"/>
      <c r="C9271" s="27"/>
      <c r="D9271" s="14"/>
      <c r="E9271" s="112"/>
      <c r="F9271" s="139"/>
      <c r="G9271" s="140"/>
      <c r="H9271" s="141"/>
      <c r="I9271" s="26"/>
      <c r="J9271" s="117"/>
      <c r="K9271" s="120"/>
      <c r="L9271" s="121"/>
      <c r="M9271" s="120"/>
      <c r="N9271" s="121"/>
      <c r="O9271" s="120"/>
      <c r="P9271" s="121"/>
      <c r="Q9271" s="120"/>
      <c r="R9271" s="121"/>
      <c r="S9271" s="120"/>
      <c r="T9271" s="121"/>
      <c r="U9271" s="120"/>
      <c r="V9271" s="123"/>
      <c r="W9271" s="125"/>
      <c r="X9271" s="142"/>
      <c r="Y9271" s="143"/>
      <c r="Z9271" s="143"/>
      <c r="AA9271" s="143"/>
      <c r="AB9271" s="144"/>
      <c r="AC9271" s="16" t="s">
        <v>21</v>
      </c>
      <c r="AD9271" s="17"/>
      <c r="AE9271" s="145"/>
      <c r="AF9271" s="146"/>
      <c r="AG9271" s="146"/>
      <c r="AH9271" s="146"/>
      <c r="AI9271" s="147"/>
      <c r="AJ9271" s="148"/>
      <c r="AK9271" s="143"/>
      <c r="AL9271" s="144"/>
      <c r="AM9271" s="22"/>
      <c r="AN9271" s="149"/>
      <c r="AO9271" s="144"/>
      <c r="AP9271" s="148"/>
      <c r="AQ9271" s="144"/>
      <c r="AR9271" s="120"/>
      <c r="AS9271" s="121"/>
      <c r="AT9271" s="120"/>
      <c r="AU9271" s="121"/>
      <c r="AV9271" s="120"/>
      <c r="AW9271" s="121"/>
      <c r="AX9271" s="120"/>
      <c r="AY9271" s="121"/>
      <c r="AZ9271" s="138"/>
    </row>
    <row r="9272" spans="1:52" ht="17.100000000000001" customHeight="1" thickTop="1"/>
  </sheetData>
  <sheetProtection selectLockedCells="1" selectUnlockedCells="1"/>
  <mergeCells count="125202">
    <mergeCell ref="A8386:A8387"/>
    <mergeCell ref="E8386:E8387"/>
    <mergeCell ref="F8386:H8386"/>
    <mergeCell ref="J8386:J8387"/>
    <mergeCell ref="K8386:L8387"/>
    <mergeCell ref="M8386:N8387"/>
    <mergeCell ref="O8386:P8387"/>
    <mergeCell ref="Q8386:R8387"/>
    <mergeCell ref="S8386:T8387"/>
    <mergeCell ref="U8386:V8387"/>
    <mergeCell ref="W8386:W8387"/>
    <mergeCell ref="X8386:AB8386"/>
    <mergeCell ref="AD8386:AI8386"/>
    <mergeCell ref="AJ8386:AL8386"/>
    <mergeCell ref="AN8386:AO8386"/>
    <mergeCell ref="AP8386:AQ8386"/>
    <mergeCell ref="AR8386:AS8387"/>
    <mergeCell ref="AT8386:AU8387"/>
    <mergeCell ref="AV8386:AW8387"/>
    <mergeCell ref="AX8386:AY8387"/>
    <mergeCell ref="AZ8386:AZ8387"/>
    <mergeCell ref="F8387:H8387"/>
    <mergeCell ref="X8387:AB8387"/>
    <mergeCell ref="AE8387:AI8387"/>
    <mergeCell ref="AJ8387:AL8387"/>
    <mergeCell ref="AN8387:AO8387"/>
    <mergeCell ref="AP8387:AQ8387"/>
    <mergeCell ref="A8388:A8389"/>
    <mergeCell ref="E8388:E8389"/>
    <mergeCell ref="F8388:H8388"/>
    <mergeCell ref="J8388:J8389"/>
    <mergeCell ref="K8388:L8389"/>
    <mergeCell ref="M8388:N8389"/>
    <mergeCell ref="O8388:P8389"/>
    <mergeCell ref="Q8388:R8389"/>
    <mergeCell ref="S8388:T8389"/>
    <mergeCell ref="U8388:V8389"/>
    <mergeCell ref="W8388:W8389"/>
    <mergeCell ref="X8388:AB8388"/>
    <mergeCell ref="AD8388:AI8388"/>
    <mergeCell ref="AJ8388:AL8388"/>
    <mergeCell ref="AN8388:AO8388"/>
    <mergeCell ref="AP8388:AQ8388"/>
    <mergeCell ref="AR8388:AS8389"/>
    <mergeCell ref="AT8388:AU8389"/>
    <mergeCell ref="AV8388:AW8389"/>
    <mergeCell ref="AX8388:AY8389"/>
    <mergeCell ref="AZ8388:AZ8389"/>
    <mergeCell ref="F8389:H8389"/>
    <mergeCell ref="X8389:AB8389"/>
    <mergeCell ref="AE8389:AI8389"/>
    <mergeCell ref="AJ8389:AL8389"/>
    <mergeCell ref="AN8389:AO8389"/>
    <mergeCell ref="AP8389:AQ8389"/>
    <mergeCell ref="W8874:W8875"/>
    <mergeCell ref="X8874:AB8874"/>
    <mergeCell ref="AD8874:AI8874"/>
    <mergeCell ref="AJ8874:AL8874"/>
    <mergeCell ref="AN8874:AO8874"/>
    <mergeCell ref="AP8874:AQ8874"/>
    <mergeCell ref="AR8874:AS8875"/>
    <mergeCell ref="AT8874:AU8875"/>
    <mergeCell ref="AV8874:AW8875"/>
    <mergeCell ref="AX8874:AY8875"/>
    <mergeCell ref="AZ8874:AZ8875"/>
    <mergeCell ref="F8875:H8875"/>
    <mergeCell ref="X8875:AB8875"/>
    <mergeCell ref="AE8875:AI8875"/>
    <mergeCell ref="AJ8875:AL8875"/>
    <mergeCell ref="AN8875:AO8875"/>
    <mergeCell ref="AP8875:AQ8875"/>
    <mergeCell ref="W8456:W8457"/>
    <mergeCell ref="X8456:AB8456"/>
    <mergeCell ref="AD8456:AI8456"/>
    <mergeCell ref="AJ8456:AL8456"/>
    <mergeCell ref="AN8456:AO8456"/>
    <mergeCell ref="AP8456:AQ8456"/>
    <mergeCell ref="AR8456:AS8457"/>
    <mergeCell ref="AT8456:AU8457"/>
    <mergeCell ref="AV8456:AW8457"/>
    <mergeCell ref="AX8456:AY8457"/>
    <mergeCell ref="A8460:A8461"/>
    <mergeCell ref="E8460:E8461"/>
    <mergeCell ref="F8460:H8460"/>
    <mergeCell ref="J8460:J8461"/>
    <mergeCell ref="K8460:L8461"/>
    <mergeCell ref="M8460:N8461"/>
    <mergeCell ref="O8460:P8461"/>
    <mergeCell ref="Q8460:R8461"/>
    <mergeCell ref="S8460:T8461"/>
    <mergeCell ref="U8460:V8461"/>
    <mergeCell ref="W8460:W8461"/>
    <mergeCell ref="X8460:AB8460"/>
    <mergeCell ref="AD8460:AI8460"/>
    <mergeCell ref="AJ8460:AL8460"/>
    <mergeCell ref="AN8460:AO8460"/>
    <mergeCell ref="AP8460:AQ8460"/>
    <mergeCell ref="AR8460:AS8461"/>
    <mergeCell ref="AT8460:AU8461"/>
    <mergeCell ref="AV8460:AW8461"/>
    <mergeCell ref="AX8460:AY8461"/>
    <mergeCell ref="AZ8460:AZ8461"/>
    <mergeCell ref="F8461:H8461"/>
    <mergeCell ref="X8461:AB8461"/>
    <mergeCell ref="AE8461:AI8461"/>
    <mergeCell ref="AJ8461:AL8461"/>
    <mergeCell ref="AN8461:AO8461"/>
    <mergeCell ref="AP8461:AQ8461"/>
    <mergeCell ref="AJ8458:AL8458"/>
    <mergeCell ref="AN8458:AO8458"/>
    <mergeCell ref="AP8458:AQ8458"/>
    <mergeCell ref="AR8458:AS8459"/>
    <mergeCell ref="AT8458:AU8459"/>
    <mergeCell ref="AV8458:AW8459"/>
    <mergeCell ref="AX8458:AY8459"/>
    <mergeCell ref="A8462:A8463"/>
    <mergeCell ref="E8462:E8463"/>
    <mergeCell ref="F8462:H8462"/>
    <mergeCell ref="A8140:A8141"/>
    <mergeCell ref="E8140:E8141"/>
    <mergeCell ref="F8140:H8140"/>
    <mergeCell ref="J8140:J8141"/>
    <mergeCell ref="K8140:L8141"/>
    <mergeCell ref="M8140:N8141"/>
    <mergeCell ref="O8140:P8141"/>
    <mergeCell ref="Q8140:R8141"/>
    <mergeCell ref="S8140:T8141"/>
    <mergeCell ref="U8140:V8141"/>
    <mergeCell ref="W8140:W8141"/>
    <mergeCell ref="X8140:AB8140"/>
    <mergeCell ref="AD8140:AI8140"/>
    <mergeCell ref="AJ8140:AL8140"/>
    <mergeCell ref="AN8140:AO8140"/>
    <mergeCell ref="AP8140:AQ8140"/>
    <mergeCell ref="AR8140:AS8141"/>
    <mergeCell ref="AT8140:AU8141"/>
    <mergeCell ref="AV8140:AW8141"/>
    <mergeCell ref="AX8140:AY8141"/>
    <mergeCell ref="AZ8140:AZ8141"/>
    <mergeCell ref="F8141:H8141"/>
    <mergeCell ref="X8141:AB8141"/>
    <mergeCell ref="AE8141:AI8141"/>
    <mergeCell ref="AJ8141:AL8141"/>
    <mergeCell ref="AN8141:AO8141"/>
    <mergeCell ref="AP8141:AQ8141"/>
    <mergeCell ref="A8142:A8143"/>
    <mergeCell ref="E8142:E8143"/>
    <mergeCell ref="F8142:H8142"/>
    <mergeCell ref="J8142:J8143"/>
    <mergeCell ref="K8142:L8143"/>
    <mergeCell ref="M8142:N8143"/>
    <mergeCell ref="O8142:P8143"/>
    <mergeCell ref="Q8142:R8143"/>
    <mergeCell ref="S8142:T8143"/>
    <mergeCell ref="U8142:V8143"/>
    <mergeCell ref="W8142:W8143"/>
    <mergeCell ref="X8142:AB8142"/>
    <mergeCell ref="AD8142:AI8142"/>
    <mergeCell ref="AJ8142:AL8142"/>
    <mergeCell ref="AN8142:AO8142"/>
    <mergeCell ref="AP8142:AQ8142"/>
    <mergeCell ref="AR8142:AS8143"/>
    <mergeCell ref="AT8142:AU8143"/>
    <mergeCell ref="AV8142:AW8143"/>
    <mergeCell ref="AX8142:AY8143"/>
    <mergeCell ref="AZ8142:AZ8143"/>
    <mergeCell ref="F8143:H8143"/>
    <mergeCell ref="X8143:AB8143"/>
    <mergeCell ref="AE8143:AI8143"/>
    <mergeCell ref="AJ8143:AL8143"/>
    <mergeCell ref="AN8143:AO8143"/>
    <mergeCell ref="AP8143:AQ8143"/>
    <mergeCell ref="A7684:A7685"/>
    <mergeCell ref="E7684:E7685"/>
    <mergeCell ref="F7684:H7684"/>
    <mergeCell ref="J7684:J7685"/>
    <mergeCell ref="K7684:L7685"/>
    <mergeCell ref="M7684:N7685"/>
    <mergeCell ref="O7684:P7685"/>
    <mergeCell ref="Q7684:R7685"/>
    <mergeCell ref="S7684:T7685"/>
    <mergeCell ref="U7684:V7685"/>
    <mergeCell ref="W7684:W7685"/>
    <mergeCell ref="X7684:AB7684"/>
    <mergeCell ref="AD7684:AI7684"/>
    <mergeCell ref="AJ7684:AL7684"/>
    <mergeCell ref="AN7684:AO7684"/>
    <mergeCell ref="AP7684:AQ7684"/>
    <mergeCell ref="AR7684:AS7685"/>
    <mergeCell ref="AT7684:AU7685"/>
    <mergeCell ref="AV7684:AW7685"/>
    <mergeCell ref="AX7684:AY7685"/>
    <mergeCell ref="AZ7684:AZ7685"/>
    <mergeCell ref="F7685:H7685"/>
    <mergeCell ref="X7685:AB7685"/>
    <mergeCell ref="AE7685:AI7685"/>
    <mergeCell ref="AJ7685:AL7685"/>
    <mergeCell ref="AN7685:AO7685"/>
    <mergeCell ref="AP7685:AQ7685"/>
    <mergeCell ref="A7686:A7687"/>
    <mergeCell ref="E7686:E7687"/>
    <mergeCell ref="F7686:H7686"/>
    <mergeCell ref="J7686:J7687"/>
    <mergeCell ref="K7686:L7687"/>
    <mergeCell ref="M7686:N7687"/>
    <mergeCell ref="O7686:P7687"/>
    <mergeCell ref="Q7686:R7687"/>
    <mergeCell ref="S7686:T7687"/>
    <mergeCell ref="U7686:V7687"/>
    <mergeCell ref="W7686:W7687"/>
    <mergeCell ref="X7686:AB7686"/>
    <mergeCell ref="AD7686:AI7686"/>
    <mergeCell ref="AJ7686:AL7686"/>
    <mergeCell ref="AN7686:AO7686"/>
    <mergeCell ref="AP7686:AQ7686"/>
    <mergeCell ref="AR7686:AS7687"/>
    <mergeCell ref="AT7686:AU7687"/>
    <mergeCell ref="AV7686:AW7687"/>
    <mergeCell ref="AX7686:AY7687"/>
    <mergeCell ref="AZ7686:AZ7687"/>
    <mergeCell ref="F7687:H7687"/>
    <mergeCell ref="X7687:AB7687"/>
    <mergeCell ref="AE7687:AI7687"/>
    <mergeCell ref="AJ7687:AL7687"/>
    <mergeCell ref="AN7687:AO7687"/>
    <mergeCell ref="AP7687:AQ7687"/>
    <mergeCell ref="A6682:A6683"/>
    <mergeCell ref="E6682:E6683"/>
    <mergeCell ref="F6682:H6682"/>
    <mergeCell ref="J6682:J6683"/>
    <mergeCell ref="K6682:L6683"/>
    <mergeCell ref="M6682:N6683"/>
    <mergeCell ref="O6682:P6683"/>
    <mergeCell ref="Q6682:R6683"/>
    <mergeCell ref="S6682:T6683"/>
    <mergeCell ref="U6682:V6683"/>
    <mergeCell ref="W6682:W6683"/>
    <mergeCell ref="X6682:AB6682"/>
    <mergeCell ref="AD6682:AI6682"/>
    <mergeCell ref="AJ6682:AL6682"/>
    <mergeCell ref="AN6682:AO6682"/>
    <mergeCell ref="AP6682:AQ6682"/>
    <mergeCell ref="AR6682:AS6683"/>
    <mergeCell ref="AT6682:AU6683"/>
    <mergeCell ref="AV6682:AW6683"/>
    <mergeCell ref="AX6682:AY6683"/>
    <mergeCell ref="W7408:W7409"/>
    <mergeCell ref="X7408:AB7408"/>
    <mergeCell ref="AD7408:AI7408"/>
    <mergeCell ref="AJ7408:AL7408"/>
    <mergeCell ref="AN7408:AO7408"/>
    <mergeCell ref="AP7408:AQ7408"/>
    <mergeCell ref="AR7408:AS7409"/>
    <mergeCell ref="AT7408:AU7409"/>
    <mergeCell ref="AV7408:AW7409"/>
    <mergeCell ref="AX7408:AY7409"/>
    <mergeCell ref="AZ7408:AZ7409"/>
    <mergeCell ref="F7409:H7409"/>
    <mergeCell ref="X7409:AB7409"/>
    <mergeCell ref="AE7409:AI7409"/>
    <mergeCell ref="AJ7409:AL7409"/>
    <mergeCell ref="AN7409:AO7409"/>
    <mergeCell ref="AP7409:AQ7409"/>
    <mergeCell ref="AZ6682:AZ6683"/>
    <mergeCell ref="F6683:H6683"/>
    <mergeCell ref="X6683:AB6683"/>
    <mergeCell ref="AE6683:AI6683"/>
    <mergeCell ref="AJ6683:AL6683"/>
    <mergeCell ref="AN6683:AO6683"/>
    <mergeCell ref="AP6683:AQ6683"/>
    <mergeCell ref="E6684:E6685"/>
    <mergeCell ref="F6684:H6684"/>
    <mergeCell ref="J6684:J6685"/>
    <mergeCell ref="K6684:L6685"/>
    <mergeCell ref="M6684:N6685"/>
    <mergeCell ref="O6684:P6685"/>
    <mergeCell ref="Q6684:R6685"/>
    <mergeCell ref="S6684:T6685"/>
    <mergeCell ref="U6684:V6685"/>
    <mergeCell ref="W6684:W6685"/>
    <mergeCell ref="X6684:AB6684"/>
    <mergeCell ref="AD6684:AI6684"/>
    <mergeCell ref="AJ6684:AL6684"/>
    <mergeCell ref="AN6684:AO6684"/>
    <mergeCell ref="AP6684:AQ6684"/>
    <mergeCell ref="AR6684:AS6685"/>
    <mergeCell ref="AT6684:AU6685"/>
    <mergeCell ref="AV6684:AW6685"/>
    <mergeCell ref="AX6684:AY6685"/>
    <mergeCell ref="AZ6684:AZ6685"/>
    <mergeCell ref="AZ6672:AZ6673"/>
    <mergeCell ref="F6673:H6673"/>
    <mergeCell ref="X6673:AB6673"/>
    <mergeCell ref="AE6673:AI6673"/>
    <mergeCell ref="AJ6673:AL6673"/>
    <mergeCell ref="AN6673:AO6673"/>
    <mergeCell ref="AP6673:AQ6673"/>
    <mergeCell ref="A6676:A6677"/>
    <mergeCell ref="E6676:E6677"/>
    <mergeCell ref="F6676:H6676"/>
    <mergeCell ref="J6676:J6677"/>
    <mergeCell ref="K6676:L6677"/>
    <mergeCell ref="M6676:N6677"/>
    <mergeCell ref="O6676:P6677"/>
    <mergeCell ref="Q6676:R6677"/>
    <mergeCell ref="S6676:T6677"/>
    <mergeCell ref="U6676:V6677"/>
    <mergeCell ref="W6676:W6677"/>
    <mergeCell ref="X6676:AB6676"/>
    <mergeCell ref="AD6676:AI6676"/>
    <mergeCell ref="AJ6676:AL6676"/>
    <mergeCell ref="AN6676:AO6676"/>
    <mergeCell ref="AP6676:AQ6676"/>
    <mergeCell ref="AR6676:AS6677"/>
    <mergeCell ref="AT6676:AU6677"/>
    <mergeCell ref="AV6676:AW6677"/>
    <mergeCell ref="AX6676:AY6677"/>
    <mergeCell ref="AZ6676:AZ6677"/>
    <mergeCell ref="F6677:H6677"/>
    <mergeCell ref="X6677:AB6677"/>
    <mergeCell ref="AE6677:AI6677"/>
    <mergeCell ref="AJ6677:AL6677"/>
    <mergeCell ref="AN6677:AO6677"/>
    <mergeCell ref="AP6677:AQ6677"/>
    <mergeCell ref="A6674:A6675"/>
    <mergeCell ref="E6674:E6675"/>
    <mergeCell ref="F6674:H6674"/>
    <mergeCell ref="J6674:J6675"/>
    <mergeCell ref="K6674:L6675"/>
    <mergeCell ref="M6674:N6675"/>
    <mergeCell ref="O6674:P6675"/>
    <mergeCell ref="Q6674:R6675"/>
    <mergeCell ref="S6674:T6675"/>
    <mergeCell ref="U6674:V6675"/>
    <mergeCell ref="A6670:A6671"/>
    <mergeCell ref="E6670:E6671"/>
    <mergeCell ref="F6670:H6670"/>
    <mergeCell ref="J6670:J6671"/>
    <mergeCell ref="K6670:L6671"/>
    <mergeCell ref="M6670:N6671"/>
    <mergeCell ref="O6670:P6671"/>
    <mergeCell ref="Q6670:R6671"/>
    <mergeCell ref="S6670:T6671"/>
    <mergeCell ref="U6670:V6671"/>
    <mergeCell ref="W6670:W6671"/>
    <mergeCell ref="X6670:AB6670"/>
    <mergeCell ref="AD6670:AI6670"/>
    <mergeCell ref="AJ6670:AL6670"/>
    <mergeCell ref="AN6670:AO6670"/>
    <mergeCell ref="AP6670:AQ6670"/>
    <mergeCell ref="AR6670:AS6671"/>
    <mergeCell ref="AT6670:AU6671"/>
    <mergeCell ref="AV6670:AW6671"/>
    <mergeCell ref="AX6670:AY6671"/>
    <mergeCell ref="AZ6670:AZ6671"/>
    <mergeCell ref="F6671:H6671"/>
    <mergeCell ref="X6671:AB6671"/>
    <mergeCell ref="AE6671:AI6671"/>
    <mergeCell ref="AJ6671:AL6671"/>
    <mergeCell ref="AN6671:AO6671"/>
    <mergeCell ref="AP6671:AQ6671"/>
    <mergeCell ref="W6674:W6675"/>
    <mergeCell ref="X6674:AB6674"/>
    <mergeCell ref="AD6674:AI6674"/>
    <mergeCell ref="AJ6674:AL6674"/>
    <mergeCell ref="AN6674:AO6674"/>
    <mergeCell ref="AP6674:AQ6674"/>
    <mergeCell ref="AR6674:AS6675"/>
    <mergeCell ref="AT6674:AU6675"/>
    <mergeCell ref="AV6674:AW6675"/>
    <mergeCell ref="AX6674:AY6675"/>
    <mergeCell ref="AZ6674:AZ6675"/>
    <mergeCell ref="F6675:H6675"/>
    <mergeCell ref="X6675:AB6675"/>
    <mergeCell ref="AE6675:AI6675"/>
    <mergeCell ref="AJ6675:AL6675"/>
    <mergeCell ref="AN6675:AO6675"/>
    <mergeCell ref="AP6675:AQ6675"/>
    <mergeCell ref="A6672:A6673"/>
    <mergeCell ref="E6672:E6673"/>
    <mergeCell ref="F6672:H6672"/>
    <mergeCell ref="J6672:J6673"/>
    <mergeCell ref="K6672:L6673"/>
    <mergeCell ref="M6672:N6673"/>
    <mergeCell ref="O6672:P6673"/>
    <mergeCell ref="Q6672:R6673"/>
    <mergeCell ref="S6672:T6673"/>
    <mergeCell ref="U6672:V6673"/>
    <mergeCell ref="W6672:W6673"/>
    <mergeCell ref="X6672:AB6672"/>
    <mergeCell ref="AD6672:AI6672"/>
    <mergeCell ref="AJ6672:AL6672"/>
    <mergeCell ref="AN6672:AO6672"/>
    <mergeCell ref="AP6672:AQ6672"/>
    <mergeCell ref="AR6672:AS6673"/>
    <mergeCell ref="AT6672:AU6673"/>
    <mergeCell ref="AV6672:AW6673"/>
    <mergeCell ref="AX6672:AY6673"/>
    <mergeCell ref="A6666:A6667"/>
    <mergeCell ref="E6666:E6667"/>
    <mergeCell ref="F6666:H6666"/>
    <mergeCell ref="J6666:J6667"/>
    <mergeCell ref="K6666:L6667"/>
    <mergeCell ref="M6666:N6667"/>
    <mergeCell ref="O6666:P6667"/>
    <mergeCell ref="Q6666:R6667"/>
    <mergeCell ref="S6666:T6667"/>
    <mergeCell ref="U6666:V6667"/>
    <mergeCell ref="W6666:W6667"/>
    <mergeCell ref="X6666:AB6666"/>
    <mergeCell ref="AD6666:AI6666"/>
    <mergeCell ref="AJ6666:AL6666"/>
    <mergeCell ref="AN6666:AO6666"/>
    <mergeCell ref="AP6666:AQ6666"/>
    <mergeCell ref="AR6666:AS6667"/>
    <mergeCell ref="AT6666:AU6667"/>
    <mergeCell ref="AV6666:AW6667"/>
    <mergeCell ref="AX6666:AY6667"/>
    <mergeCell ref="AZ6666:AZ6667"/>
    <mergeCell ref="F6667:H6667"/>
    <mergeCell ref="X6667:AB6667"/>
    <mergeCell ref="AE6667:AI6667"/>
    <mergeCell ref="AJ6667:AL6667"/>
    <mergeCell ref="AN6667:AO6667"/>
    <mergeCell ref="AP6667:AQ6667"/>
    <mergeCell ref="A6668:A6669"/>
    <mergeCell ref="E6668:E6669"/>
    <mergeCell ref="F6668:H6668"/>
    <mergeCell ref="J6668:J6669"/>
    <mergeCell ref="K6668:L6669"/>
    <mergeCell ref="M6668:N6669"/>
    <mergeCell ref="O6668:P6669"/>
    <mergeCell ref="Q6668:R6669"/>
    <mergeCell ref="S6668:T6669"/>
    <mergeCell ref="U6668:V6669"/>
    <mergeCell ref="W6668:W6669"/>
    <mergeCell ref="X6668:AB6668"/>
    <mergeCell ref="AD6668:AI6668"/>
    <mergeCell ref="AJ6668:AL6668"/>
    <mergeCell ref="AN6668:AO6668"/>
    <mergeCell ref="AP6668:AQ6668"/>
    <mergeCell ref="AR6668:AS6669"/>
    <mergeCell ref="AT6668:AU6669"/>
    <mergeCell ref="AV6668:AW6669"/>
    <mergeCell ref="AX6668:AY6669"/>
    <mergeCell ref="AZ6668:AZ6669"/>
    <mergeCell ref="F6669:H6669"/>
    <mergeCell ref="X6669:AB6669"/>
    <mergeCell ref="AE6669:AI6669"/>
    <mergeCell ref="AJ6669:AL6669"/>
    <mergeCell ref="AN6669:AO6669"/>
    <mergeCell ref="AP6669:AQ6669"/>
    <mergeCell ref="A6520:A6521"/>
    <mergeCell ref="E6520:E6521"/>
    <mergeCell ref="F6520:H6520"/>
    <mergeCell ref="J6520:J6521"/>
    <mergeCell ref="K6520:L6521"/>
    <mergeCell ref="M6520:N6521"/>
    <mergeCell ref="O6520:P6521"/>
    <mergeCell ref="Q6520:R6521"/>
    <mergeCell ref="S6520:T6521"/>
    <mergeCell ref="U6520:V6521"/>
    <mergeCell ref="W6520:W6521"/>
    <mergeCell ref="X6520:AB6520"/>
    <mergeCell ref="AD6520:AI6520"/>
    <mergeCell ref="AJ6520:AL6520"/>
    <mergeCell ref="AN6520:AO6520"/>
    <mergeCell ref="AP6520:AQ6520"/>
    <mergeCell ref="AR6520:AS6521"/>
    <mergeCell ref="AT6520:AU6521"/>
    <mergeCell ref="AV6520:AW6521"/>
    <mergeCell ref="AX6520:AY6521"/>
    <mergeCell ref="AZ6520:AZ6521"/>
    <mergeCell ref="F6521:H6521"/>
    <mergeCell ref="X6521:AB6521"/>
    <mergeCell ref="AE6521:AI6521"/>
    <mergeCell ref="AJ6521:AL6521"/>
    <mergeCell ref="AN6521:AO6521"/>
    <mergeCell ref="AP6521:AQ6521"/>
    <mergeCell ref="A6560:A6561"/>
    <mergeCell ref="E6560:E6561"/>
    <mergeCell ref="F6560:H6560"/>
    <mergeCell ref="J6560:J6561"/>
    <mergeCell ref="K6560:L6561"/>
    <mergeCell ref="M6560:N6561"/>
    <mergeCell ref="O6560:P6561"/>
    <mergeCell ref="Q6560:R6561"/>
    <mergeCell ref="S6560:T6561"/>
    <mergeCell ref="U6560:V6561"/>
    <mergeCell ref="W6560:W6561"/>
    <mergeCell ref="X6560:AB6560"/>
    <mergeCell ref="AD6560:AI6560"/>
    <mergeCell ref="AJ6560:AL6560"/>
    <mergeCell ref="AN6560:AO6560"/>
    <mergeCell ref="AP6560:AQ6560"/>
    <mergeCell ref="AR6560:AS6561"/>
    <mergeCell ref="AT6560:AU6561"/>
    <mergeCell ref="AV6560:AW6561"/>
    <mergeCell ref="AX6560:AY6561"/>
    <mergeCell ref="AZ6560:AZ6561"/>
    <mergeCell ref="F6561:H6561"/>
    <mergeCell ref="X6561:AB6561"/>
    <mergeCell ref="AE6561:AI6561"/>
    <mergeCell ref="AJ6561:AL6561"/>
    <mergeCell ref="AN6561:AO6561"/>
    <mergeCell ref="AP6561:AQ6561"/>
    <mergeCell ref="A6524:A6525"/>
    <mergeCell ref="E6524:E6525"/>
    <mergeCell ref="F6524:H6524"/>
    <mergeCell ref="J6524:J6525"/>
    <mergeCell ref="K6524:L6525"/>
    <mergeCell ref="M6524:N6525"/>
    <mergeCell ref="O6524:P6525"/>
    <mergeCell ref="Q6524:R6525"/>
    <mergeCell ref="S6524:T6525"/>
    <mergeCell ref="U6524:V6525"/>
    <mergeCell ref="W6516:W6517"/>
    <mergeCell ref="X6516:AB6516"/>
    <mergeCell ref="AD6516:AI6516"/>
    <mergeCell ref="AJ6516:AL6516"/>
    <mergeCell ref="AN6516:AO6516"/>
    <mergeCell ref="AP6516:AQ6516"/>
    <mergeCell ref="AR6516:AS6517"/>
    <mergeCell ref="AT6516:AU6517"/>
    <mergeCell ref="AV6516:AW6517"/>
    <mergeCell ref="AX6516:AY6517"/>
    <mergeCell ref="AZ6516:AZ6517"/>
    <mergeCell ref="F6517:H6517"/>
    <mergeCell ref="X6517:AB6517"/>
    <mergeCell ref="AE6517:AI6517"/>
    <mergeCell ref="AJ6517:AL6517"/>
    <mergeCell ref="AN6517:AO6517"/>
    <mergeCell ref="AP6517:AQ6517"/>
    <mergeCell ref="A6518:A6519"/>
    <mergeCell ref="E6518:E6519"/>
    <mergeCell ref="F6518:H6518"/>
    <mergeCell ref="J6518:J6519"/>
    <mergeCell ref="K6518:L6519"/>
    <mergeCell ref="M6518:N6519"/>
    <mergeCell ref="O6518:P6519"/>
    <mergeCell ref="Q6518:R6519"/>
    <mergeCell ref="S6518:T6519"/>
    <mergeCell ref="U6518:V6519"/>
    <mergeCell ref="W6518:W6519"/>
    <mergeCell ref="X6518:AB6518"/>
    <mergeCell ref="AD6518:AI6518"/>
    <mergeCell ref="AJ6518:AL6518"/>
    <mergeCell ref="AN6518:AO6518"/>
    <mergeCell ref="AP6518:AQ6518"/>
    <mergeCell ref="AR6518:AS6519"/>
    <mergeCell ref="AT6518:AU6519"/>
    <mergeCell ref="AV6518:AW6519"/>
    <mergeCell ref="AX6518:AY6519"/>
    <mergeCell ref="AZ6518:AZ6519"/>
    <mergeCell ref="F6519:H6519"/>
    <mergeCell ref="X6519:AB6519"/>
    <mergeCell ref="AE6519:AI6519"/>
    <mergeCell ref="AJ6519:AL6519"/>
    <mergeCell ref="AN6519:AO6519"/>
    <mergeCell ref="AP6519:AQ6519"/>
    <mergeCell ref="A6010:A6011"/>
    <mergeCell ref="E6010:E6011"/>
    <mergeCell ref="F6010:H6010"/>
    <mergeCell ref="J6010:J6011"/>
    <mergeCell ref="K6010:L6011"/>
    <mergeCell ref="M6010:N6011"/>
    <mergeCell ref="O6010:P6011"/>
    <mergeCell ref="Q6010:R6011"/>
    <mergeCell ref="S6010:T6011"/>
    <mergeCell ref="U6010:V6011"/>
    <mergeCell ref="W6010:W6011"/>
    <mergeCell ref="X6010:AB6010"/>
    <mergeCell ref="AD6010:AI6010"/>
    <mergeCell ref="AJ6010:AL6010"/>
    <mergeCell ref="AN6010:AO6010"/>
    <mergeCell ref="AP6010:AQ6010"/>
    <mergeCell ref="AR6010:AS6011"/>
    <mergeCell ref="AT6010:AU6011"/>
    <mergeCell ref="AV6010:AW6011"/>
    <mergeCell ref="AX6010:AY6011"/>
    <mergeCell ref="AZ6010:AZ6011"/>
    <mergeCell ref="F6011:H6011"/>
    <mergeCell ref="X6011:AB6011"/>
    <mergeCell ref="AE6011:AI6011"/>
    <mergeCell ref="AJ6011:AL6011"/>
    <mergeCell ref="AN6011:AO6011"/>
    <mergeCell ref="AP6011:AQ6011"/>
    <mergeCell ref="A5804:A5805"/>
    <mergeCell ref="E5804:E5805"/>
    <mergeCell ref="F5804:H5804"/>
    <mergeCell ref="J5804:J5805"/>
    <mergeCell ref="K5804:L5805"/>
    <mergeCell ref="M5804:N5805"/>
    <mergeCell ref="O5804:P5805"/>
    <mergeCell ref="Q5804:R5805"/>
    <mergeCell ref="S5804:T5805"/>
    <mergeCell ref="U5804:V5805"/>
    <mergeCell ref="W5804:W5805"/>
    <mergeCell ref="X5804:AB5804"/>
    <mergeCell ref="AD5804:AI5804"/>
    <mergeCell ref="AJ5804:AL5804"/>
    <mergeCell ref="AN5804:AO5804"/>
    <mergeCell ref="AP5804:AQ5804"/>
    <mergeCell ref="AR5804:AS5805"/>
    <mergeCell ref="AT5804:AU5805"/>
    <mergeCell ref="AV5804:AW5805"/>
    <mergeCell ref="AX5804:AY5805"/>
    <mergeCell ref="AZ5804:AZ5805"/>
    <mergeCell ref="F5805:H5805"/>
    <mergeCell ref="X5805:AB5805"/>
    <mergeCell ref="AE5805:AI5805"/>
    <mergeCell ref="AJ5805:AL5805"/>
    <mergeCell ref="AN5805:AO5805"/>
    <mergeCell ref="AP5805:AQ5805"/>
    <mergeCell ref="A5828:A5829"/>
    <mergeCell ref="E5828:E5829"/>
    <mergeCell ref="F5828:H5828"/>
    <mergeCell ref="J5828:J5829"/>
    <mergeCell ref="K5828:L5829"/>
    <mergeCell ref="M5828:N5829"/>
    <mergeCell ref="O5828:P5829"/>
    <mergeCell ref="AT5828:AU5829"/>
    <mergeCell ref="AV5828:AW5829"/>
    <mergeCell ref="AX5828:AY5829"/>
    <mergeCell ref="A5800:A5801"/>
    <mergeCell ref="E5800:E5801"/>
    <mergeCell ref="F5800:H5800"/>
    <mergeCell ref="J5800:J5801"/>
    <mergeCell ref="K5800:L5801"/>
    <mergeCell ref="M5800:N5801"/>
    <mergeCell ref="O5800:P5801"/>
    <mergeCell ref="Q5800:R5801"/>
    <mergeCell ref="S5800:T5801"/>
    <mergeCell ref="U5800:V5801"/>
    <mergeCell ref="W5800:W5801"/>
    <mergeCell ref="X5800:AB5800"/>
    <mergeCell ref="AD5800:AI5800"/>
    <mergeCell ref="AJ5800:AL5800"/>
    <mergeCell ref="AN5800:AO5800"/>
    <mergeCell ref="AP5800:AQ5800"/>
    <mergeCell ref="AR5800:AS5801"/>
    <mergeCell ref="AT5800:AU5801"/>
    <mergeCell ref="AV5800:AW5801"/>
    <mergeCell ref="AX5800:AY5801"/>
    <mergeCell ref="AZ5800:AZ5801"/>
    <mergeCell ref="F5801:H5801"/>
    <mergeCell ref="X5801:AB5801"/>
    <mergeCell ref="AE5801:AI5801"/>
    <mergeCell ref="AJ5801:AL5801"/>
    <mergeCell ref="AN5801:AO5801"/>
    <mergeCell ref="AP5801:AQ5801"/>
    <mergeCell ref="A5802:A5803"/>
    <mergeCell ref="E5802:E5803"/>
    <mergeCell ref="F5802:H5802"/>
    <mergeCell ref="J5802:J5803"/>
    <mergeCell ref="K5802:L5803"/>
    <mergeCell ref="M5802:N5803"/>
    <mergeCell ref="O5802:P5803"/>
    <mergeCell ref="Q5802:R5803"/>
    <mergeCell ref="S5802:T5803"/>
    <mergeCell ref="U5802:V5803"/>
    <mergeCell ref="W5802:W5803"/>
    <mergeCell ref="X5802:AB5802"/>
    <mergeCell ref="AD5802:AI5802"/>
    <mergeCell ref="AJ5802:AL5802"/>
    <mergeCell ref="AN5802:AO5802"/>
    <mergeCell ref="AP5802:AQ5802"/>
    <mergeCell ref="AR5802:AS5803"/>
    <mergeCell ref="AT5802:AU5803"/>
    <mergeCell ref="AV5802:AW5803"/>
    <mergeCell ref="AX5802:AY5803"/>
    <mergeCell ref="AZ5802:AZ5803"/>
    <mergeCell ref="F5803:H5803"/>
    <mergeCell ref="X5803:AB5803"/>
    <mergeCell ref="AE5803:AI5803"/>
    <mergeCell ref="AJ5803:AL5803"/>
    <mergeCell ref="AN5803:AO5803"/>
    <mergeCell ref="AP5803:AQ5803"/>
    <mergeCell ref="A5796:A5797"/>
    <mergeCell ref="E5796:E5797"/>
    <mergeCell ref="F5796:H5796"/>
    <mergeCell ref="J5796:J5797"/>
    <mergeCell ref="K5796:L5797"/>
    <mergeCell ref="M5796:N5797"/>
    <mergeCell ref="O5796:P5797"/>
    <mergeCell ref="Q5796:R5797"/>
    <mergeCell ref="S5796:T5797"/>
    <mergeCell ref="U5796:V5797"/>
    <mergeCell ref="W5796:W5797"/>
    <mergeCell ref="X5796:AB5796"/>
    <mergeCell ref="AD5796:AI5796"/>
    <mergeCell ref="AJ5796:AL5796"/>
    <mergeCell ref="AN5796:AO5796"/>
    <mergeCell ref="AP5796:AQ5796"/>
    <mergeCell ref="AR5796:AS5797"/>
    <mergeCell ref="AT5796:AU5797"/>
    <mergeCell ref="AV5796:AW5797"/>
    <mergeCell ref="AX5796:AY5797"/>
    <mergeCell ref="AZ5796:AZ5797"/>
    <mergeCell ref="F5797:H5797"/>
    <mergeCell ref="X5797:AB5797"/>
    <mergeCell ref="AE5797:AI5797"/>
    <mergeCell ref="AJ5797:AL5797"/>
    <mergeCell ref="AN5797:AO5797"/>
    <mergeCell ref="AP5797:AQ5797"/>
    <mergeCell ref="A5798:A5799"/>
    <mergeCell ref="E5798:E5799"/>
    <mergeCell ref="F5798:H5798"/>
    <mergeCell ref="J5798:J5799"/>
    <mergeCell ref="K5798:L5799"/>
    <mergeCell ref="M5798:N5799"/>
    <mergeCell ref="O5798:P5799"/>
    <mergeCell ref="Q5798:R5799"/>
    <mergeCell ref="S5798:T5799"/>
    <mergeCell ref="U5798:V5799"/>
    <mergeCell ref="W5798:W5799"/>
    <mergeCell ref="X5798:AB5798"/>
    <mergeCell ref="AD5798:AI5798"/>
    <mergeCell ref="AJ5798:AL5798"/>
    <mergeCell ref="AN5798:AO5798"/>
    <mergeCell ref="AP5798:AQ5798"/>
    <mergeCell ref="AR5798:AS5799"/>
    <mergeCell ref="AT5798:AU5799"/>
    <mergeCell ref="AV5798:AW5799"/>
    <mergeCell ref="AX5798:AY5799"/>
    <mergeCell ref="AZ5798:AZ5799"/>
    <mergeCell ref="F5799:H5799"/>
    <mergeCell ref="X5799:AB5799"/>
    <mergeCell ref="AE5799:AI5799"/>
    <mergeCell ref="AJ5799:AL5799"/>
    <mergeCell ref="AN5799:AO5799"/>
    <mergeCell ref="AP5799:AQ5799"/>
    <mergeCell ref="O5786:P5787"/>
    <mergeCell ref="Q5786:R5787"/>
    <mergeCell ref="S5786:T5787"/>
    <mergeCell ref="U5786:V5787"/>
    <mergeCell ref="W5786:W5787"/>
    <mergeCell ref="X5786:AB5786"/>
    <mergeCell ref="AD5786:AI5786"/>
    <mergeCell ref="AJ5786:AL5786"/>
    <mergeCell ref="AN5786:AO5786"/>
    <mergeCell ref="AP5786:AQ5786"/>
    <mergeCell ref="AR5786:AS5787"/>
    <mergeCell ref="AT5786:AU5787"/>
    <mergeCell ref="AV5786:AW5787"/>
    <mergeCell ref="AX5786:AY5787"/>
    <mergeCell ref="AZ5786:AZ5787"/>
    <mergeCell ref="F5787:H5787"/>
    <mergeCell ref="X5787:AB5787"/>
    <mergeCell ref="AE5787:AI5787"/>
    <mergeCell ref="AJ5787:AL5787"/>
    <mergeCell ref="AN5787:AO5787"/>
    <mergeCell ref="AP5787:AQ5787"/>
    <mergeCell ref="A5792:A5793"/>
    <mergeCell ref="E5792:E5793"/>
    <mergeCell ref="F5792:H5792"/>
    <mergeCell ref="J5792:J5793"/>
    <mergeCell ref="K5792:L5793"/>
    <mergeCell ref="M5792:N5793"/>
    <mergeCell ref="O5792:P5793"/>
    <mergeCell ref="Q5792:R5793"/>
    <mergeCell ref="S5792:T5793"/>
    <mergeCell ref="U5792:V5793"/>
    <mergeCell ref="W5792:W5793"/>
    <mergeCell ref="X5792:AB5792"/>
    <mergeCell ref="AD5792:AI5792"/>
    <mergeCell ref="AJ5792:AL5792"/>
    <mergeCell ref="AN5792:AO5792"/>
    <mergeCell ref="AP5792:AQ5792"/>
    <mergeCell ref="AR5792:AS5793"/>
    <mergeCell ref="AT5792:AU5793"/>
    <mergeCell ref="AV5792:AW5793"/>
    <mergeCell ref="AX5792:AY5793"/>
    <mergeCell ref="AZ5792:AZ5793"/>
    <mergeCell ref="F5793:H5793"/>
    <mergeCell ref="X5793:AB5793"/>
    <mergeCell ref="AE5793:AI5793"/>
    <mergeCell ref="AJ5793:AL5793"/>
    <mergeCell ref="AN5793:AO5793"/>
    <mergeCell ref="AP5793:AQ5793"/>
    <mergeCell ref="AJ5790:AL5790"/>
    <mergeCell ref="AN5790:AO5790"/>
    <mergeCell ref="AP5790:AQ5790"/>
    <mergeCell ref="AR5790:AS5791"/>
    <mergeCell ref="AT5790:AU5791"/>
    <mergeCell ref="AV5790:AW5791"/>
    <mergeCell ref="AX5790:AY5791"/>
    <mergeCell ref="AZ5790:AZ5791"/>
    <mergeCell ref="F5791:H5791"/>
    <mergeCell ref="X5791:AB5791"/>
    <mergeCell ref="AE5791:AI5791"/>
    <mergeCell ref="AJ5791:AL5791"/>
    <mergeCell ref="AN5791:AO5791"/>
    <mergeCell ref="AP5791:AQ5791"/>
    <mergeCell ref="A5786:A5787"/>
    <mergeCell ref="E5786:E5787"/>
    <mergeCell ref="A5794:A5795"/>
    <mergeCell ref="E5794:E5795"/>
    <mergeCell ref="F5794:H5794"/>
    <mergeCell ref="A5826:A5827"/>
    <mergeCell ref="E5826:E5827"/>
    <mergeCell ref="F5826:H5826"/>
    <mergeCell ref="J5826:J5827"/>
    <mergeCell ref="K5826:L5827"/>
    <mergeCell ref="M5826:N5827"/>
    <mergeCell ref="O5826:P5827"/>
    <mergeCell ref="Q5826:R5827"/>
    <mergeCell ref="S5826:T5827"/>
    <mergeCell ref="U5826:V5827"/>
    <mergeCell ref="W5826:W5827"/>
    <mergeCell ref="X5826:AB5826"/>
    <mergeCell ref="AD5826:AI5826"/>
    <mergeCell ref="AJ5826:AL5826"/>
    <mergeCell ref="AN5826:AO5826"/>
    <mergeCell ref="AP5826:AQ5826"/>
    <mergeCell ref="AR5826:AS5827"/>
    <mergeCell ref="AT5826:AU5827"/>
    <mergeCell ref="AV5826:AW5827"/>
    <mergeCell ref="AX5826:AY5827"/>
    <mergeCell ref="AZ5826:AZ5827"/>
    <mergeCell ref="F5827:H5827"/>
    <mergeCell ref="X5827:AB5827"/>
    <mergeCell ref="AE5827:AI5827"/>
    <mergeCell ref="AJ5827:AL5827"/>
    <mergeCell ref="AN5827:AO5827"/>
    <mergeCell ref="AP5827:AQ5827"/>
    <mergeCell ref="W5824:W5825"/>
    <mergeCell ref="X5824:AB5824"/>
    <mergeCell ref="AD5824:AI5824"/>
    <mergeCell ref="AJ5824:AL5824"/>
    <mergeCell ref="AN5824:AO5824"/>
    <mergeCell ref="AP5824:AQ5824"/>
    <mergeCell ref="AR5824:AS5825"/>
    <mergeCell ref="AT5824:AU5825"/>
    <mergeCell ref="AV5824:AW5825"/>
    <mergeCell ref="AX5824:AY5825"/>
    <mergeCell ref="AZ5824:AZ5825"/>
    <mergeCell ref="F5825:H5825"/>
    <mergeCell ref="X5825:AB5825"/>
    <mergeCell ref="AE5825:AI5825"/>
    <mergeCell ref="AJ5825:AL5825"/>
    <mergeCell ref="AN5825:AO5825"/>
    <mergeCell ref="AP5825:AQ5825"/>
    <mergeCell ref="A5818:A5819"/>
    <mergeCell ref="E5818:E5819"/>
    <mergeCell ref="F5818:H5818"/>
    <mergeCell ref="J5818:J5819"/>
    <mergeCell ref="K5818:L5819"/>
    <mergeCell ref="M5818:N5819"/>
    <mergeCell ref="O5818:P5819"/>
    <mergeCell ref="Q5818:R5819"/>
    <mergeCell ref="S5818:T5819"/>
    <mergeCell ref="U5818:V5819"/>
    <mergeCell ref="W5818:W5819"/>
    <mergeCell ref="X5818:AB5818"/>
    <mergeCell ref="AD5818:AI5818"/>
    <mergeCell ref="AJ5818:AL5818"/>
    <mergeCell ref="AN5818:AO5818"/>
    <mergeCell ref="AP5818:AQ5818"/>
    <mergeCell ref="AR5818:AS5819"/>
    <mergeCell ref="AZ5828:AZ5829"/>
    <mergeCell ref="F5829:H5829"/>
    <mergeCell ref="X5829:AB5829"/>
    <mergeCell ref="AE5829:AI5829"/>
    <mergeCell ref="AJ5829:AL5829"/>
    <mergeCell ref="AN5829:AO5829"/>
    <mergeCell ref="AP5829:AQ5829"/>
    <mergeCell ref="A5822:A5823"/>
    <mergeCell ref="E5822:E5823"/>
    <mergeCell ref="F5822:H5822"/>
    <mergeCell ref="J5822:J5823"/>
    <mergeCell ref="K5822:L5823"/>
    <mergeCell ref="M5822:N5823"/>
    <mergeCell ref="O5822:P5823"/>
    <mergeCell ref="Q5822:R5823"/>
    <mergeCell ref="S5822:T5823"/>
    <mergeCell ref="U5822:V5823"/>
    <mergeCell ref="W5822:W5823"/>
    <mergeCell ref="X5822:AB5822"/>
    <mergeCell ref="AD5822:AI5822"/>
    <mergeCell ref="AJ5822:AL5822"/>
    <mergeCell ref="AN5822:AO5822"/>
    <mergeCell ref="AP5822:AQ5822"/>
    <mergeCell ref="AR5822:AS5823"/>
    <mergeCell ref="AT5822:AU5823"/>
    <mergeCell ref="AV5822:AW5823"/>
    <mergeCell ref="AX5822:AY5823"/>
    <mergeCell ref="AZ5822:AZ5823"/>
    <mergeCell ref="F5823:H5823"/>
    <mergeCell ref="X5823:AB5823"/>
    <mergeCell ref="AE5823:AI5823"/>
    <mergeCell ref="AJ5823:AL5823"/>
    <mergeCell ref="AN5823:AO5823"/>
    <mergeCell ref="AP5823:AQ5823"/>
    <mergeCell ref="A5824:A5825"/>
    <mergeCell ref="E5824:E5825"/>
    <mergeCell ref="F5824:H5824"/>
    <mergeCell ref="J5824:J5825"/>
    <mergeCell ref="K5824:L5825"/>
    <mergeCell ref="M5824:N5825"/>
    <mergeCell ref="O5824:P5825"/>
    <mergeCell ref="Q5824:R5825"/>
    <mergeCell ref="S5824:T5825"/>
    <mergeCell ref="U5824:V5825"/>
    <mergeCell ref="Q5828:R5829"/>
    <mergeCell ref="S5828:T5829"/>
    <mergeCell ref="U5828:V5829"/>
    <mergeCell ref="W5828:W5829"/>
    <mergeCell ref="X5828:AB5828"/>
    <mergeCell ref="AD5828:AI5828"/>
    <mergeCell ref="AJ5828:AL5828"/>
    <mergeCell ref="AN5828:AO5828"/>
    <mergeCell ref="AP5828:AQ5828"/>
    <mergeCell ref="AR5828:AS5829"/>
    <mergeCell ref="AT5818:AU5819"/>
    <mergeCell ref="AV5818:AW5819"/>
    <mergeCell ref="AX5818:AY5819"/>
    <mergeCell ref="AZ5818:AZ5819"/>
    <mergeCell ref="F5819:H5819"/>
    <mergeCell ref="X5819:AB5819"/>
    <mergeCell ref="AE5819:AI5819"/>
    <mergeCell ref="AJ5819:AL5819"/>
    <mergeCell ref="AN5819:AO5819"/>
    <mergeCell ref="AP5819:AQ5819"/>
    <mergeCell ref="A5820:A5821"/>
    <mergeCell ref="E5820:E5821"/>
    <mergeCell ref="F5820:H5820"/>
    <mergeCell ref="J5820:J5821"/>
    <mergeCell ref="K5820:L5821"/>
    <mergeCell ref="M5820:N5821"/>
    <mergeCell ref="O5820:P5821"/>
    <mergeCell ref="Q5820:R5821"/>
    <mergeCell ref="S5820:T5821"/>
    <mergeCell ref="U5820:V5821"/>
    <mergeCell ref="W5820:W5821"/>
    <mergeCell ref="X5820:AB5820"/>
    <mergeCell ref="AD5820:AI5820"/>
    <mergeCell ref="AJ5820:AL5820"/>
    <mergeCell ref="AN5820:AO5820"/>
    <mergeCell ref="AP5820:AQ5820"/>
    <mergeCell ref="AR5820:AS5821"/>
    <mergeCell ref="AT5820:AU5821"/>
    <mergeCell ref="AV5820:AW5821"/>
    <mergeCell ref="AX5820:AY5821"/>
    <mergeCell ref="AZ5820:AZ5821"/>
    <mergeCell ref="F5821:H5821"/>
    <mergeCell ref="X5821:AB5821"/>
    <mergeCell ref="AE5821:AI5821"/>
    <mergeCell ref="AJ5821:AL5821"/>
    <mergeCell ref="AN5821:AO5821"/>
    <mergeCell ref="AP5821:AQ5821"/>
    <mergeCell ref="A5814:A5815"/>
    <mergeCell ref="E5814:E5815"/>
    <mergeCell ref="F5814:H5814"/>
    <mergeCell ref="J5814:J5815"/>
    <mergeCell ref="K5814:L5815"/>
    <mergeCell ref="M5814:N5815"/>
    <mergeCell ref="O5814:P5815"/>
    <mergeCell ref="Q5814:R5815"/>
    <mergeCell ref="S5814:T5815"/>
    <mergeCell ref="U5814:V5815"/>
    <mergeCell ref="W5814:W5815"/>
    <mergeCell ref="X5814:AB5814"/>
    <mergeCell ref="AD5814:AI5814"/>
    <mergeCell ref="AJ5814:AL5814"/>
    <mergeCell ref="AN5814:AO5814"/>
    <mergeCell ref="AP5814:AQ5814"/>
    <mergeCell ref="AR5814:AS5815"/>
    <mergeCell ref="AT5814:AU5815"/>
    <mergeCell ref="AV5814:AW5815"/>
    <mergeCell ref="AX5814:AY5815"/>
    <mergeCell ref="AZ5814:AZ5815"/>
    <mergeCell ref="F5815:H5815"/>
    <mergeCell ref="X5815:AB5815"/>
    <mergeCell ref="AE5815:AI5815"/>
    <mergeCell ref="AJ5815:AL5815"/>
    <mergeCell ref="AN5815:AO5815"/>
    <mergeCell ref="AP5815:AQ5815"/>
    <mergeCell ref="A5816:A5817"/>
    <mergeCell ref="E5816:E5817"/>
    <mergeCell ref="F5816:H5816"/>
    <mergeCell ref="J5816:J5817"/>
    <mergeCell ref="K5816:L5817"/>
    <mergeCell ref="M5816:N5817"/>
    <mergeCell ref="O5816:P5817"/>
    <mergeCell ref="Q5816:R5817"/>
    <mergeCell ref="S5816:T5817"/>
    <mergeCell ref="U5816:V5817"/>
    <mergeCell ref="W5816:W5817"/>
    <mergeCell ref="X5816:AB5816"/>
    <mergeCell ref="AD5816:AI5816"/>
    <mergeCell ref="AJ5816:AL5816"/>
    <mergeCell ref="AN5816:AO5816"/>
    <mergeCell ref="AP5816:AQ5816"/>
    <mergeCell ref="AR5816:AS5817"/>
    <mergeCell ref="AT5816:AU5817"/>
    <mergeCell ref="AV5816:AW5817"/>
    <mergeCell ref="AX5816:AY5817"/>
    <mergeCell ref="AZ5816:AZ5817"/>
    <mergeCell ref="F5817:H5817"/>
    <mergeCell ref="X5817:AB5817"/>
    <mergeCell ref="AE5817:AI5817"/>
    <mergeCell ref="AJ5817:AL5817"/>
    <mergeCell ref="AN5817:AO5817"/>
    <mergeCell ref="AP5817:AQ5817"/>
    <mergeCell ref="A5810:A5811"/>
    <mergeCell ref="E5810:E5811"/>
    <mergeCell ref="F5810:H5810"/>
    <mergeCell ref="J5810:J5811"/>
    <mergeCell ref="K5810:L5811"/>
    <mergeCell ref="M5810:N5811"/>
    <mergeCell ref="O5810:P5811"/>
    <mergeCell ref="Q5810:R5811"/>
    <mergeCell ref="S5810:T5811"/>
    <mergeCell ref="U5810:V5811"/>
    <mergeCell ref="W5810:W5811"/>
    <mergeCell ref="X5810:AB5810"/>
    <mergeCell ref="AD5810:AI5810"/>
    <mergeCell ref="AJ5810:AL5810"/>
    <mergeCell ref="AN5810:AO5810"/>
    <mergeCell ref="AP5810:AQ5810"/>
    <mergeCell ref="AR5810:AS5811"/>
    <mergeCell ref="AT5810:AU5811"/>
    <mergeCell ref="AV5810:AW5811"/>
    <mergeCell ref="AX5810:AY5811"/>
    <mergeCell ref="AZ5810:AZ5811"/>
    <mergeCell ref="F5811:H5811"/>
    <mergeCell ref="X5811:AB5811"/>
    <mergeCell ref="AE5811:AI5811"/>
    <mergeCell ref="AJ5811:AL5811"/>
    <mergeCell ref="AN5811:AO5811"/>
    <mergeCell ref="AP5811:AQ5811"/>
    <mergeCell ref="A5812:A5813"/>
    <mergeCell ref="E5812:E5813"/>
    <mergeCell ref="F5812:H5812"/>
    <mergeCell ref="J5812:J5813"/>
    <mergeCell ref="K5812:L5813"/>
    <mergeCell ref="M5812:N5813"/>
    <mergeCell ref="O5812:P5813"/>
    <mergeCell ref="Q5812:R5813"/>
    <mergeCell ref="S5812:T5813"/>
    <mergeCell ref="U5812:V5813"/>
    <mergeCell ref="W5812:W5813"/>
    <mergeCell ref="X5812:AB5812"/>
    <mergeCell ref="AD5812:AI5812"/>
    <mergeCell ref="AJ5812:AL5812"/>
    <mergeCell ref="AN5812:AO5812"/>
    <mergeCell ref="AP5812:AQ5812"/>
    <mergeCell ref="AR5812:AS5813"/>
    <mergeCell ref="AT5812:AU5813"/>
    <mergeCell ref="AV5812:AW5813"/>
    <mergeCell ref="AX5812:AY5813"/>
    <mergeCell ref="AZ5812:AZ5813"/>
    <mergeCell ref="F5813:H5813"/>
    <mergeCell ref="X5813:AB5813"/>
    <mergeCell ref="AE5813:AI5813"/>
    <mergeCell ref="AJ5813:AL5813"/>
    <mergeCell ref="AN5813:AO5813"/>
    <mergeCell ref="AP5813:AQ5813"/>
    <mergeCell ref="A5806:A5807"/>
    <mergeCell ref="E5806:E5807"/>
    <mergeCell ref="F5806:H5806"/>
    <mergeCell ref="J5806:J5807"/>
    <mergeCell ref="K5806:L5807"/>
    <mergeCell ref="M5806:N5807"/>
    <mergeCell ref="O5806:P5807"/>
    <mergeCell ref="Q5806:R5807"/>
    <mergeCell ref="S5806:T5807"/>
    <mergeCell ref="U5806:V5807"/>
    <mergeCell ref="W5806:W5807"/>
    <mergeCell ref="X5806:AB5806"/>
    <mergeCell ref="AD5806:AI5806"/>
    <mergeCell ref="AJ5806:AL5806"/>
    <mergeCell ref="AN5806:AO5806"/>
    <mergeCell ref="AP5806:AQ5806"/>
    <mergeCell ref="AR5806:AS5807"/>
    <mergeCell ref="AT5806:AU5807"/>
    <mergeCell ref="AV5806:AW5807"/>
    <mergeCell ref="AX5806:AY5807"/>
    <mergeCell ref="AZ5806:AZ5807"/>
    <mergeCell ref="F5807:H5807"/>
    <mergeCell ref="X5807:AB5807"/>
    <mergeCell ref="AE5807:AI5807"/>
    <mergeCell ref="AJ5807:AL5807"/>
    <mergeCell ref="AN5807:AO5807"/>
    <mergeCell ref="AP5807:AQ5807"/>
    <mergeCell ref="A5808:A5809"/>
    <mergeCell ref="E5808:E5809"/>
    <mergeCell ref="F5808:H5808"/>
    <mergeCell ref="J5808:J5809"/>
    <mergeCell ref="K5808:L5809"/>
    <mergeCell ref="M5808:N5809"/>
    <mergeCell ref="O5808:P5809"/>
    <mergeCell ref="Q5808:R5809"/>
    <mergeCell ref="S5808:T5809"/>
    <mergeCell ref="U5808:V5809"/>
    <mergeCell ref="W5808:W5809"/>
    <mergeCell ref="X5808:AB5808"/>
    <mergeCell ref="AD5808:AI5808"/>
    <mergeCell ref="AJ5808:AL5808"/>
    <mergeCell ref="AN5808:AO5808"/>
    <mergeCell ref="AP5808:AQ5808"/>
    <mergeCell ref="AR5808:AS5809"/>
    <mergeCell ref="AT5808:AU5809"/>
    <mergeCell ref="AV5808:AW5809"/>
    <mergeCell ref="AX5808:AY5809"/>
    <mergeCell ref="AZ5808:AZ5809"/>
    <mergeCell ref="F5809:H5809"/>
    <mergeCell ref="X5809:AB5809"/>
    <mergeCell ref="AE5809:AI5809"/>
    <mergeCell ref="AJ5809:AL5809"/>
    <mergeCell ref="AN5809:AO5809"/>
    <mergeCell ref="AP5809:AQ5809"/>
    <mergeCell ref="J5794:J5795"/>
    <mergeCell ref="K5794:L5795"/>
    <mergeCell ref="M5794:N5795"/>
    <mergeCell ref="O5794:P5795"/>
    <mergeCell ref="Q5794:R5795"/>
    <mergeCell ref="S5794:T5795"/>
    <mergeCell ref="U5794:V5795"/>
    <mergeCell ref="W5794:W5795"/>
    <mergeCell ref="X5794:AB5794"/>
    <mergeCell ref="AD5794:AI5794"/>
    <mergeCell ref="AJ5794:AL5794"/>
    <mergeCell ref="AN5794:AO5794"/>
    <mergeCell ref="AP5794:AQ5794"/>
    <mergeCell ref="AR5794:AS5795"/>
    <mergeCell ref="AT5794:AU5795"/>
    <mergeCell ref="AV5794:AW5795"/>
    <mergeCell ref="AX5794:AY5795"/>
    <mergeCell ref="AZ5794:AZ5795"/>
    <mergeCell ref="F5795:H5795"/>
    <mergeCell ref="X5795:AB5795"/>
    <mergeCell ref="AE5795:AI5795"/>
    <mergeCell ref="AJ5795:AL5795"/>
    <mergeCell ref="AN5795:AO5795"/>
    <mergeCell ref="AP5795:AQ5795"/>
    <mergeCell ref="A5788:A5789"/>
    <mergeCell ref="E5788:E5789"/>
    <mergeCell ref="F5788:H5788"/>
    <mergeCell ref="J5788:J5789"/>
    <mergeCell ref="K5788:L5789"/>
    <mergeCell ref="M5788:N5789"/>
    <mergeCell ref="O5788:P5789"/>
    <mergeCell ref="Q5788:R5789"/>
    <mergeCell ref="S5788:T5789"/>
    <mergeCell ref="U5788:V5789"/>
    <mergeCell ref="W5788:W5789"/>
    <mergeCell ref="X5788:AB5788"/>
    <mergeCell ref="AD5788:AI5788"/>
    <mergeCell ref="AJ5788:AL5788"/>
    <mergeCell ref="AN5788:AO5788"/>
    <mergeCell ref="AP5788:AQ5788"/>
    <mergeCell ref="AR5788:AS5789"/>
    <mergeCell ref="AT5788:AU5789"/>
    <mergeCell ref="AV5788:AW5789"/>
    <mergeCell ref="AX5788:AY5789"/>
    <mergeCell ref="AZ5788:AZ5789"/>
    <mergeCell ref="F5789:H5789"/>
    <mergeCell ref="X5789:AB5789"/>
    <mergeCell ref="AE5789:AI5789"/>
    <mergeCell ref="AJ5789:AL5789"/>
    <mergeCell ref="AN5789:AO5789"/>
    <mergeCell ref="AP5789:AQ5789"/>
    <mergeCell ref="A5790:A5791"/>
    <mergeCell ref="E5790:E5791"/>
    <mergeCell ref="F5790:H5790"/>
    <mergeCell ref="J5790:J5791"/>
    <mergeCell ref="K5790:L5791"/>
    <mergeCell ref="M5790:N5791"/>
    <mergeCell ref="O5790:P5791"/>
    <mergeCell ref="Q5790:R5791"/>
    <mergeCell ref="S5790:T5791"/>
    <mergeCell ref="U5790:V5791"/>
    <mergeCell ref="W5790:W5791"/>
    <mergeCell ref="X5790:AB5790"/>
    <mergeCell ref="AD5790:AI5790"/>
    <mergeCell ref="O5782:P5783"/>
    <mergeCell ref="Q5782:R5783"/>
    <mergeCell ref="S5782:T5783"/>
    <mergeCell ref="U5782:V5783"/>
    <mergeCell ref="W5782:W5783"/>
    <mergeCell ref="X5782:AB5782"/>
    <mergeCell ref="AD5782:AI5782"/>
    <mergeCell ref="AJ5782:AL5782"/>
    <mergeCell ref="AN5782:AO5782"/>
    <mergeCell ref="AP5782:AQ5782"/>
    <mergeCell ref="AR5782:AS5783"/>
    <mergeCell ref="AT5782:AU5783"/>
    <mergeCell ref="AV5782:AW5783"/>
    <mergeCell ref="AX5782:AY5783"/>
    <mergeCell ref="AZ5782:AZ5783"/>
    <mergeCell ref="F5783:H5783"/>
    <mergeCell ref="X5783:AB5783"/>
    <mergeCell ref="AE5783:AI5783"/>
    <mergeCell ref="AJ5783:AL5783"/>
    <mergeCell ref="AN5783:AO5783"/>
    <mergeCell ref="AP5783:AQ5783"/>
    <mergeCell ref="A5784:A5785"/>
    <mergeCell ref="E5784:E5785"/>
    <mergeCell ref="F5784:H5784"/>
    <mergeCell ref="J5784:J5785"/>
    <mergeCell ref="K5784:L5785"/>
    <mergeCell ref="M5784:N5785"/>
    <mergeCell ref="O5784:P5785"/>
    <mergeCell ref="Q5784:R5785"/>
    <mergeCell ref="S5784:T5785"/>
    <mergeCell ref="U5784:V5785"/>
    <mergeCell ref="W5784:W5785"/>
    <mergeCell ref="X5784:AB5784"/>
    <mergeCell ref="AD5784:AI5784"/>
    <mergeCell ref="AJ5784:AL5784"/>
    <mergeCell ref="AN5784:AO5784"/>
    <mergeCell ref="AP5784:AQ5784"/>
    <mergeCell ref="AR5784:AS5785"/>
    <mergeCell ref="AT5784:AU5785"/>
    <mergeCell ref="AV5784:AW5785"/>
    <mergeCell ref="AX5784:AY5785"/>
    <mergeCell ref="AZ5784:AZ5785"/>
    <mergeCell ref="F5785:H5785"/>
    <mergeCell ref="X5785:AB5785"/>
    <mergeCell ref="AE5785:AI5785"/>
    <mergeCell ref="AJ5785:AL5785"/>
    <mergeCell ref="AN5785:AO5785"/>
    <mergeCell ref="AP5785:AQ5785"/>
    <mergeCell ref="F5786:H5786"/>
    <mergeCell ref="J5786:J5787"/>
    <mergeCell ref="K5786:L5787"/>
    <mergeCell ref="M5786:N5787"/>
    <mergeCell ref="A5778:A5779"/>
    <mergeCell ref="E5778:E5779"/>
    <mergeCell ref="F5778:H5778"/>
    <mergeCell ref="J5778:J5779"/>
    <mergeCell ref="K5778:L5779"/>
    <mergeCell ref="M5778:N5779"/>
    <mergeCell ref="O5778:P5779"/>
    <mergeCell ref="Q5778:R5779"/>
    <mergeCell ref="S5778:T5779"/>
    <mergeCell ref="U5778:V5779"/>
    <mergeCell ref="W5778:W5779"/>
    <mergeCell ref="X5778:AB5778"/>
    <mergeCell ref="AD5778:AI5778"/>
    <mergeCell ref="AJ5778:AL5778"/>
    <mergeCell ref="AN5778:AO5778"/>
    <mergeCell ref="AP5778:AQ5778"/>
    <mergeCell ref="AR5778:AS5779"/>
    <mergeCell ref="AT5778:AU5779"/>
    <mergeCell ref="AV5778:AW5779"/>
    <mergeCell ref="AX5778:AY5779"/>
    <mergeCell ref="AZ5778:AZ5779"/>
    <mergeCell ref="F5779:H5779"/>
    <mergeCell ref="X5779:AB5779"/>
    <mergeCell ref="AE5779:AI5779"/>
    <mergeCell ref="AJ5779:AL5779"/>
    <mergeCell ref="AN5779:AO5779"/>
    <mergeCell ref="AP5779:AQ5779"/>
    <mergeCell ref="A5780:A5781"/>
    <mergeCell ref="E5780:E5781"/>
    <mergeCell ref="F5780:H5780"/>
    <mergeCell ref="J5780:J5781"/>
    <mergeCell ref="K5780:L5781"/>
    <mergeCell ref="M5780:N5781"/>
    <mergeCell ref="O5780:P5781"/>
    <mergeCell ref="Q5780:R5781"/>
    <mergeCell ref="S5780:T5781"/>
    <mergeCell ref="U5780:V5781"/>
    <mergeCell ref="W5780:W5781"/>
    <mergeCell ref="X5780:AB5780"/>
    <mergeCell ref="AD5780:AI5780"/>
    <mergeCell ref="AJ5780:AL5780"/>
    <mergeCell ref="AN5780:AO5780"/>
    <mergeCell ref="AP5780:AQ5780"/>
    <mergeCell ref="AR5780:AS5781"/>
    <mergeCell ref="AT5780:AU5781"/>
    <mergeCell ref="AV5780:AW5781"/>
    <mergeCell ref="AX5780:AY5781"/>
    <mergeCell ref="AZ5780:AZ5781"/>
    <mergeCell ref="F5781:H5781"/>
    <mergeCell ref="X5781:AB5781"/>
    <mergeCell ref="AE5781:AI5781"/>
    <mergeCell ref="AJ5781:AL5781"/>
    <mergeCell ref="AN5781:AO5781"/>
    <mergeCell ref="AP5781:AQ5781"/>
    <mergeCell ref="A5782:A5783"/>
    <mergeCell ref="E5782:E5783"/>
    <mergeCell ref="F5782:H5782"/>
    <mergeCell ref="J5782:J5783"/>
    <mergeCell ref="K5782:L5783"/>
    <mergeCell ref="M5782:N5783"/>
    <mergeCell ref="A5774:A5775"/>
    <mergeCell ref="E5774:E5775"/>
    <mergeCell ref="F5774:H5774"/>
    <mergeCell ref="J5774:J5775"/>
    <mergeCell ref="K5774:L5775"/>
    <mergeCell ref="M5774:N5775"/>
    <mergeCell ref="O5774:P5775"/>
    <mergeCell ref="Q5774:R5775"/>
    <mergeCell ref="S5774:T5775"/>
    <mergeCell ref="U5774:V5775"/>
    <mergeCell ref="W5774:W5775"/>
    <mergeCell ref="X5774:AB5774"/>
    <mergeCell ref="AD5774:AI5774"/>
    <mergeCell ref="AJ5774:AL5774"/>
    <mergeCell ref="AN5774:AO5774"/>
    <mergeCell ref="AP5774:AQ5774"/>
    <mergeCell ref="AR5774:AS5775"/>
    <mergeCell ref="AT5774:AU5775"/>
    <mergeCell ref="AV5774:AW5775"/>
    <mergeCell ref="AX5774:AY5775"/>
    <mergeCell ref="AZ5774:AZ5775"/>
    <mergeCell ref="F5775:H5775"/>
    <mergeCell ref="X5775:AB5775"/>
    <mergeCell ref="AE5775:AI5775"/>
    <mergeCell ref="AJ5775:AL5775"/>
    <mergeCell ref="AN5775:AO5775"/>
    <mergeCell ref="AP5775:AQ5775"/>
    <mergeCell ref="A5776:A5777"/>
    <mergeCell ref="E5776:E5777"/>
    <mergeCell ref="F5776:H5776"/>
    <mergeCell ref="J5776:J5777"/>
    <mergeCell ref="K5776:L5777"/>
    <mergeCell ref="M5776:N5777"/>
    <mergeCell ref="O5776:P5777"/>
    <mergeCell ref="Q5776:R5777"/>
    <mergeCell ref="S5776:T5777"/>
    <mergeCell ref="U5776:V5777"/>
    <mergeCell ref="W5776:W5777"/>
    <mergeCell ref="X5776:AB5776"/>
    <mergeCell ref="AD5776:AI5776"/>
    <mergeCell ref="AJ5776:AL5776"/>
    <mergeCell ref="AN5776:AO5776"/>
    <mergeCell ref="AP5776:AQ5776"/>
    <mergeCell ref="AR5776:AS5777"/>
    <mergeCell ref="AT5776:AU5777"/>
    <mergeCell ref="AV5776:AW5777"/>
    <mergeCell ref="AX5776:AY5777"/>
    <mergeCell ref="AZ5776:AZ5777"/>
    <mergeCell ref="F5777:H5777"/>
    <mergeCell ref="X5777:AB5777"/>
    <mergeCell ref="AE5777:AI5777"/>
    <mergeCell ref="AJ5777:AL5777"/>
    <mergeCell ref="AN5777:AO5777"/>
    <mergeCell ref="AP5777:AQ5777"/>
    <mergeCell ref="A5770:A5771"/>
    <mergeCell ref="E5770:E5771"/>
    <mergeCell ref="F5770:H5770"/>
    <mergeCell ref="J5770:J5771"/>
    <mergeCell ref="K5770:L5771"/>
    <mergeCell ref="M5770:N5771"/>
    <mergeCell ref="O5770:P5771"/>
    <mergeCell ref="Q5770:R5771"/>
    <mergeCell ref="S5770:T5771"/>
    <mergeCell ref="U5770:V5771"/>
    <mergeCell ref="W5770:W5771"/>
    <mergeCell ref="X5770:AB5770"/>
    <mergeCell ref="AD5770:AI5770"/>
    <mergeCell ref="AJ5770:AL5770"/>
    <mergeCell ref="AN5770:AO5770"/>
    <mergeCell ref="AP5770:AQ5770"/>
    <mergeCell ref="AR5770:AS5771"/>
    <mergeCell ref="AT5770:AU5771"/>
    <mergeCell ref="AV5770:AW5771"/>
    <mergeCell ref="AX5770:AY5771"/>
    <mergeCell ref="AZ5770:AZ5771"/>
    <mergeCell ref="F5771:H5771"/>
    <mergeCell ref="X5771:AB5771"/>
    <mergeCell ref="AE5771:AI5771"/>
    <mergeCell ref="AJ5771:AL5771"/>
    <mergeCell ref="AN5771:AO5771"/>
    <mergeCell ref="AP5771:AQ5771"/>
    <mergeCell ref="A5772:A5773"/>
    <mergeCell ref="E5772:E5773"/>
    <mergeCell ref="F5772:H5772"/>
    <mergeCell ref="J5772:J5773"/>
    <mergeCell ref="K5772:L5773"/>
    <mergeCell ref="M5772:N5773"/>
    <mergeCell ref="O5772:P5773"/>
    <mergeCell ref="Q5772:R5773"/>
    <mergeCell ref="S5772:T5773"/>
    <mergeCell ref="U5772:V5773"/>
    <mergeCell ref="W5772:W5773"/>
    <mergeCell ref="X5772:AB5772"/>
    <mergeCell ref="AD5772:AI5772"/>
    <mergeCell ref="AJ5772:AL5772"/>
    <mergeCell ref="AN5772:AO5772"/>
    <mergeCell ref="AP5772:AQ5772"/>
    <mergeCell ref="AR5772:AS5773"/>
    <mergeCell ref="AT5772:AU5773"/>
    <mergeCell ref="AV5772:AW5773"/>
    <mergeCell ref="AX5772:AY5773"/>
    <mergeCell ref="AZ5772:AZ5773"/>
    <mergeCell ref="F5773:H5773"/>
    <mergeCell ref="X5773:AB5773"/>
    <mergeCell ref="AE5773:AI5773"/>
    <mergeCell ref="AJ5773:AL5773"/>
    <mergeCell ref="AN5773:AO5773"/>
    <mergeCell ref="AP5773:AQ5773"/>
    <mergeCell ref="A5766:A5767"/>
    <mergeCell ref="E5766:E5767"/>
    <mergeCell ref="F5766:H5766"/>
    <mergeCell ref="J5766:J5767"/>
    <mergeCell ref="K5766:L5767"/>
    <mergeCell ref="M5766:N5767"/>
    <mergeCell ref="O5766:P5767"/>
    <mergeCell ref="Q5766:R5767"/>
    <mergeCell ref="S5766:T5767"/>
    <mergeCell ref="U5766:V5767"/>
    <mergeCell ref="W5766:W5767"/>
    <mergeCell ref="X5766:AB5766"/>
    <mergeCell ref="AD5766:AI5766"/>
    <mergeCell ref="AJ5766:AL5766"/>
    <mergeCell ref="AN5766:AO5766"/>
    <mergeCell ref="AP5766:AQ5766"/>
    <mergeCell ref="AR5766:AS5767"/>
    <mergeCell ref="AT5766:AU5767"/>
    <mergeCell ref="AV5766:AW5767"/>
    <mergeCell ref="AX5766:AY5767"/>
    <mergeCell ref="AZ5766:AZ5767"/>
    <mergeCell ref="F5767:H5767"/>
    <mergeCell ref="X5767:AB5767"/>
    <mergeCell ref="AE5767:AI5767"/>
    <mergeCell ref="AJ5767:AL5767"/>
    <mergeCell ref="AN5767:AO5767"/>
    <mergeCell ref="AP5767:AQ5767"/>
    <mergeCell ref="A5768:A5769"/>
    <mergeCell ref="E5768:E5769"/>
    <mergeCell ref="F5768:H5768"/>
    <mergeCell ref="J5768:J5769"/>
    <mergeCell ref="K5768:L5769"/>
    <mergeCell ref="M5768:N5769"/>
    <mergeCell ref="O5768:P5769"/>
    <mergeCell ref="Q5768:R5769"/>
    <mergeCell ref="S5768:T5769"/>
    <mergeCell ref="U5768:V5769"/>
    <mergeCell ref="W5768:W5769"/>
    <mergeCell ref="X5768:AB5768"/>
    <mergeCell ref="AD5768:AI5768"/>
    <mergeCell ref="AJ5768:AL5768"/>
    <mergeCell ref="AN5768:AO5768"/>
    <mergeCell ref="AP5768:AQ5768"/>
    <mergeCell ref="AR5768:AS5769"/>
    <mergeCell ref="AT5768:AU5769"/>
    <mergeCell ref="AV5768:AW5769"/>
    <mergeCell ref="AX5768:AY5769"/>
    <mergeCell ref="AZ5768:AZ5769"/>
    <mergeCell ref="F5769:H5769"/>
    <mergeCell ref="X5769:AB5769"/>
    <mergeCell ref="AE5769:AI5769"/>
    <mergeCell ref="AJ5769:AL5769"/>
    <mergeCell ref="AN5769:AO5769"/>
    <mergeCell ref="AP5769:AQ5769"/>
    <mergeCell ref="A5762:A5763"/>
    <mergeCell ref="E5762:E5763"/>
    <mergeCell ref="F5762:H5762"/>
    <mergeCell ref="J5762:J5763"/>
    <mergeCell ref="K5762:L5763"/>
    <mergeCell ref="M5762:N5763"/>
    <mergeCell ref="O5762:P5763"/>
    <mergeCell ref="Q5762:R5763"/>
    <mergeCell ref="S5762:T5763"/>
    <mergeCell ref="U5762:V5763"/>
    <mergeCell ref="W5762:W5763"/>
    <mergeCell ref="X5762:AB5762"/>
    <mergeCell ref="AD5762:AI5762"/>
    <mergeCell ref="AJ5762:AL5762"/>
    <mergeCell ref="AN5762:AO5762"/>
    <mergeCell ref="AP5762:AQ5762"/>
    <mergeCell ref="AR5762:AS5763"/>
    <mergeCell ref="AT5762:AU5763"/>
    <mergeCell ref="AV5762:AW5763"/>
    <mergeCell ref="AX5762:AY5763"/>
    <mergeCell ref="AZ5762:AZ5763"/>
    <mergeCell ref="F5763:H5763"/>
    <mergeCell ref="X5763:AB5763"/>
    <mergeCell ref="AE5763:AI5763"/>
    <mergeCell ref="AJ5763:AL5763"/>
    <mergeCell ref="AN5763:AO5763"/>
    <mergeCell ref="AP5763:AQ5763"/>
    <mergeCell ref="A5764:A5765"/>
    <mergeCell ref="E5764:E5765"/>
    <mergeCell ref="F5764:H5764"/>
    <mergeCell ref="J5764:J5765"/>
    <mergeCell ref="K5764:L5765"/>
    <mergeCell ref="M5764:N5765"/>
    <mergeCell ref="O5764:P5765"/>
    <mergeCell ref="Q5764:R5765"/>
    <mergeCell ref="S5764:T5765"/>
    <mergeCell ref="U5764:V5765"/>
    <mergeCell ref="W5764:W5765"/>
    <mergeCell ref="X5764:AB5764"/>
    <mergeCell ref="AD5764:AI5764"/>
    <mergeCell ref="AJ5764:AL5764"/>
    <mergeCell ref="AN5764:AO5764"/>
    <mergeCell ref="AP5764:AQ5764"/>
    <mergeCell ref="AR5764:AS5765"/>
    <mergeCell ref="AT5764:AU5765"/>
    <mergeCell ref="AV5764:AW5765"/>
    <mergeCell ref="AX5764:AY5765"/>
    <mergeCell ref="AZ5764:AZ5765"/>
    <mergeCell ref="F5765:H5765"/>
    <mergeCell ref="X5765:AB5765"/>
    <mergeCell ref="AE5765:AI5765"/>
    <mergeCell ref="AJ5765:AL5765"/>
    <mergeCell ref="AN5765:AO5765"/>
    <mergeCell ref="AP5765:AQ5765"/>
    <mergeCell ref="A5758:A5759"/>
    <mergeCell ref="E5758:E5759"/>
    <mergeCell ref="F5758:H5758"/>
    <mergeCell ref="J5758:J5759"/>
    <mergeCell ref="K5758:L5759"/>
    <mergeCell ref="M5758:N5759"/>
    <mergeCell ref="O5758:P5759"/>
    <mergeCell ref="Q5758:R5759"/>
    <mergeCell ref="S5758:T5759"/>
    <mergeCell ref="U5758:V5759"/>
    <mergeCell ref="W5758:W5759"/>
    <mergeCell ref="X5758:AB5758"/>
    <mergeCell ref="AD5758:AI5758"/>
    <mergeCell ref="AJ5758:AL5758"/>
    <mergeCell ref="AN5758:AO5758"/>
    <mergeCell ref="AP5758:AQ5758"/>
    <mergeCell ref="AR5758:AS5759"/>
    <mergeCell ref="AT5758:AU5759"/>
    <mergeCell ref="AV5758:AW5759"/>
    <mergeCell ref="AX5758:AY5759"/>
    <mergeCell ref="AZ5758:AZ5759"/>
    <mergeCell ref="F5759:H5759"/>
    <mergeCell ref="X5759:AB5759"/>
    <mergeCell ref="AE5759:AI5759"/>
    <mergeCell ref="AJ5759:AL5759"/>
    <mergeCell ref="AN5759:AO5759"/>
    <mergeCell ref="AP5759:AQ5759"/>
    <mergeCell ref="A5760:A5761"/>
    <mergeCell ref="E5760:E5761"/>
    <mergeCell ref="F5760:H5760"/>
    <mergeCell ref="J5760:J5761"/>
    <mergeCell ref="K5760:L5761"/>
    <mergeCell ref="M5760:N5761"/>
    <mergeCell ref="O5760:P5761"/>
    <mergeCell ref="Q5760:R5761"/>
    <mergeCell ref="S5760:T5761"/>
    <mergeCell ref="U5760:V5761"/>
    <mergeCell ref="W5760:W5761"/>
    <mergeCell ref="X5760:AB5760"/>
    <mergeCell ref="AD5760:AI5760"/>
    <mergeCell ref="AJ5760:AL5760"/>
    <mergeCell ref="AN5760:AO5760"/>
    <mergeCell ref="AP5760:AQ5760"/>
    <mergeCell ref="AR5760:AS5761"/>
    <mergeCell ref="AT5760:AU5761"/>
    <mergeCell ref="AV5760:AW5761"/>
    <mergeCell ref="AX5760:AY5761"/>
    <mergeCell ref="AZ5760:AZ5761"/>
    <mergeCell ref="F5761:H5761"/>
    <mergeCell ref="X5761:AB5761"/>
    <mergeCell ref="AE5761:AI5761"/>
    <mergeCell ref="AJ5761:AL5761"/>
    <mergeCell ref="AN5761:AO5761"/>
    <mergeCell ref="AP5761:AQ5761"/>
    <mergeCell ref="A5754:A5755"/>
    <mergeCell ref="E5754:E5755"/>
    <mergeCell ref="F5754:H5754"/>
    <mergeCell ref="J5754:J5755"/>
    <mergeCell ref="K5754:L5755"/>
    <mergeCell ref="M5754:N5755"/>
    <mergeCell ref="O5754:P5755"/>
    <mergeCell ref="Q5754:R5755"/>
    <mergeCell ref="S5754:T5755"/>
    <mergeCell ref="U5754:V5755"/>
    <mergeCell ref="W5754:W5755"/>
    <mergeCell ref="X5754:AB5754"/>
    <mergeCell ref="AD5754:AI5754"/>
    <mergeCell ref="AJ5754:AL5754"/>
    <mergeCell ref="AN5754:AO5754"/>
    <mergeCell ref="AP5754:AQ5754"/>
    <mergeCell ref="AR5754:AS5755"/>
    <mergeCell ref="AT5754:AU5755"/>
    <mergeCell ref="AV5754:AW5755"/>
    <mergeCell ref="AX5754:AY5755"/>
    <mergeCell ref="AZ5754:AZ5755"/>
    <mergeCell ref="F5755:H5755"/>
    <mergeCell ref="X5755:AB5755"/>
    <mergeCell ref="AE5755:AI5755"/>
    <mergeCell ref="AJ5755:AL5755"/>
    <mergeCell ref="AN5755:AO5755"/>
    <mergeCell ref="AP5755:AQ5755"/>
    <mergeCell ref="A5756:A5757"/>
    <mergeCell ref="E5756:E5757"/>
    <mergeCell ref="F5756:H5756"/>
    <mergeCell ref="J5756:J5757"/>
    <mergeCell ref="K5756:L5757"/>
    <mergeCell ref="M5756:N5757"/>
    <mergeCell ref="O5756:P5757"/>
    <mergeCell ref="Q5756:R5757"/>
    <mergeCell ref="S5756:T5757"/>
    <mergeCell ref="U5756:V5757"/>
    <mergeCell ref="W5756:W5757"/>
    <mergeCell ref="X5756:AB5756"/>
    <mergeCell ref="AD5756:AI5756"/>
    <mergeCell ref="AJ5756:AL5756"/>
    <mergeCell ref="AN5756:AO5756"/>
    <mergeCell ref="AP5756:AQ5756"/>
    <mergeCell ref="AR5756:AS5757"/>
    <mergeCell ref="AT5756:AU5757"/>
    <mergeCell ref="AV5756:AW5757"/>
    <mergeCell ref="AX5756:AY5757"/>
    <mergeCell ref="AZ5756:AZ5757"/>
    <mergeCell ref="F5757:H5757"/>
    <mergeCell ref="X5757:AB5757"/>
    <mergeCell ref="AE5757:AI5757"/>
    <mergeCell ref="AJ5757:AL5757"/>
    <mergeCell ref="AN5757:AO5757"/>
    <mergeCell ref="AP5757:AQ5757"/>
    <mergeCell ref="A5750:A5751"/>
    <mergeCell ref="E5750:E5751"/>
    <mergeCell ref="F5750:H5750"/>
    <mergeCell ref="J5750:J5751"/>
    <mergeCell ref="K5750:L5751"/>
    <mergeCell ref="M5750:N5751"/>
    <mergeCell ref="O5750:P5751"/>
    <mergeCell ref="Q5750:R5751"/>
    <mergeCell ref="S5750:T5751"/>
    <mergeCell ref="U5750:V5751"/>
    <mergeCell ref="W5750:W5751"/>
    <mergeCell ref="X5750:AB5750"/>
    <mergeCell ref="AD5750:AI5750"/>
    <mergeCell ref="AJ5750:AL5750"/>
    <mergeCell ref="AN5750:AO5750"/>
    <mergeCell ref="AP5750:AQ5750"/>
    <mergeCell ref="AR5750:AS5751"/>
    <mergeCell ref="AT5750:AU5751"/>
    <mergeCell ref="AV5750:AW5751"/>
    <mergeCell ref="AX5750:AY5751"/>
    <mergeCell ref="AZ5750:AZ5751"/>
    <mergeCell ref="F5751:H5751"/>
    <mergeCell ref="X5751:AB5751"/>
    <mergeCell ref="AE5751:AI5751"/>
    <mergeCell ref="AJ5751:AL5751"/>
    <mergeCell ref="AN5751:AO5751"/>
    <mergeCell ref="AP5751:AQ5751"/>
    <mergeCell ref="A5752:A5753"/>
    <mergeCell ref="E5752:E5753"/>
    <mergeCell ref="F5752:H5752"/>
    <mergeCell ref="J5752:J5753"/>
    <mergeCell ref="K5752:L5753"/>
    <mergeCell ref="M5752:N5753"/>
    <mergeCell ref="O5752:P5753"/>
    <mergeCell ref="Q5752:R5753"/>
    <mergeCell ref="S5752:T5753"/>
    <mergeCell ref="U5752:V5753"/>
    <mergeCell ref="W5752:W5753"/>
    <mergeCell ref="X5752:AB5752"/>
    <mergeCell ref="AD5752:AI5752"/>
    <mergeCell ref="AJ5752:AL5752"/>
    <mergeCell ref="AN5752:AO5752"/>
    <mergeCell ref="AP5752:AQ5752"/>
    <mergeCell ref="AR5752:AS5753"/>
    <mergeCell ref="AT5752:AU5753"/>
    <mergeCell ref="AV5752:AW5753"/>
    <mergeCell ref="AX5752:AY5753"/>
    <mergeCell ref="AZ5752:AZ5753"/>
    <mergeCell ref="F5753:H5753"/>
    <mergeCell ref="X5753:AB5753"/>
    <mergeCell ref="AE5753:AI5753"/>
    <mergeCell ref="AJ5753:AL5753"/>
    <mergeCell ref="AN5753:AO5753"/>
    <mergeCell ref="AP5753:AQ5753"/>
    <mergeCell ref="A5744:A5745"/>
    <mergeCell ref="E5744:E5745"/>
    <mergeCell ref="F5744:H5744"/>
    <mergeCell ref="J5744:J5745"/>
    <mergeCell ref="K5744:L5745"/>
    <mergeCell ref="M5744:N5745"/>
    <mergeCell ref="O5744:P5745"/>
    <mergeCell ref="Q5744:R5745"/>
    <mergeCell ref="S5744:T5745"/>
    <mergeCell ref="U5744:V5745"/>
    <mergeCell ref="W5744:W5745"/>
    <mergeCell ref="X5744:AB5744"/>
    <mergeCell ref="AD5744:AI5744"/>
    <mergeCell ref="AJ5744:AL5744"/>
    <mergeCell ref="AN5744:AO5744"/>
    <mergeCell ref="AP5744:AQ5744"/>
    <mergeCell ref="AR5744:AS5745"/>
    <mergeCell ref="AT5744:AU5745"/>
    <mergeCell ref="AV5744:AW5745"/>
    <mergeCell ref="AX5744:AY5745"/>
    <mergeCell ref="AZ5744:AZ5745"/>
    <mergeCell ref="F5745:H5745"/>
    <mergeCell ref="X5745:AB5745"/>
    <mergeCell ref="AE5745:AI5745"/>
    <mergeCell ref="AJ5745:AL5745"/>
    <mergeCell ref="AN5745:AO5745"/>
    <mergeCell ref="AP5745:AQ5745"/>
    <mergeCell ref="A5746:A5747"/>
    <mergeCell ref="E5746:E5747"/>
    <mergeCell ref="F5746:H5746"/>
    <mergeCell ref="J5746:J5747"/>
    <mergeCell ref="K5746:L5747"/>
    <mergeCell ref="M5746:N5747"/>
    <mergeCell ref="O5746:P5747"/>
    <mergeCell ref="Q5746:R5747"/>
    <mergeCell ref="S5746:T5747"/>
    <mergeCell ref="U5746:V5747"/>
    <mergeCell ref="W5746:W5747"/>
    <mergeCell ref="X5746:AB5746"/>
    <mergeCell ref="AD5746:AI5746"/>
    <mergeCell ref="AJ5746:AL5746"/>
    <mergeCell ref="AN5746:AO5746"/>
    <mergeCell ref="AP5746:AQ5746"/>
    <mergeCell ref="AR5746:AS5747"/>
    <mergeCell ref="AT5746:AU5747"/>
    <mergeCell ref="AV5746:AW5747"/>
    <mergeCell ref="AX5746:AY5747"/>
    <mergeCell ref="AZ5746:AZ5747"/>
    <mergeCell ref="F5747:H5747"/>
    <mergeCell ref="X5747:AB5747"/>
    <mergeCell ref="AE5747:AI5747"/>
    <mergeCell ref="AJ5747:AL5747"/>
    <mergeCell ref="AN5747:AO5747"/>
    <mergeCell ref="AP5747:AQ5747"/>
    <mergeCell ref="A5740:A5741"/>
    <mergeCell ref="E5740:E5741"/>
    <mergeCell ref="F5740:H5740"/>
    <mergeCell ref="J5740:J5741"/>
    <mergeCell ref="K5740:L5741"/>
    <mergeCell ref="M5740:N5741"/>
    <mergeCell ref="O5740:P5741"/>
    <mergeCell ref="Q5740:R5741"/>
    <mergeCell ref="S5740:T5741"/>
    <mergeCell ref="U5740:V5741"/>
    <mergeCell ref="W5740:W5741"/>
    <mergeCell ref="X5740:AB5740"/>
    <mergeCell ref="AD5740:AI5740"/>
    <mergeCell ref="AJ5740:AL5740"/>
    <mergeCell ref="AN5740:AO5740"/>
    <mergeCell ref="AP5740:AQ5740"/>
    <mergeCell ref="AR5740:AS5741"/>
    <mergeCell ref="AT5740:AU5741"/>
    <mergeCell ref="AV5740:AW5741"/>
    <mergeCell ref="AX5740:AY5741"/>
    <mergeCell ref="AZ5740:AZ5741"/>
    <mergeCell ref="F5741:H5741"/>
    <mergeCell ref="X5741:AB5741"/>
    <mergeCell ref="AE5741:AI5741"/>
    <mergeCell ref="AJ5741:AL5741"/>
    <mergeCell ref="AN5741:AO5741"/>
    <mergeCell ref="AP5741:AQ5741"/>
    <mergeCell ref="A5742:A5743"/>
    <mergeCell ref="E5742:E5743"/>
    <mergeCell ref="F5742:H5742"/>
    <mergeCell ref="J5742:J5743"/>
    <mergeCell ref="K5742:L5743"/>
    <mergeCell ref="M5742:N5743"/>
    <mergeCell ref="O5742:P5743"/>
    <mergeCell ref="Q5742:R5743"/>
    <mergeCell ref="S5742:T5743"/>
    <mergeCell ref="U5742:V5743"/>
    <mergeCell ref="W5742:W5743"/>
    <mergeCell ref="X5742:AB5742"/>
    <mergeCell ref="AD5742:AI5742"/>
    <mergeCell ref="AJ5742:AL5742"/>
    <mergeCell ref="AN5742:AO5742"/>
    <mergeCell ref="AP5742:AQ5742"/>
    <mergeCell ref="AR5742:AS5743"/>
    <mergeCell ref="AT5742:AU5743"/>
    <mergeCell ref="AV5742:AW5743"/>
    <mergeCell ref="AX5742:AY5743"/>
    <mergeCell ref="AZ5742:AZ5743"/>
    <mergeCell ref="F5743:H5743"/>
    <mergeCell ref="X5743:AB5743"/>
    <mergeCell ref="AE5743:AI5743"/>
    <mergeCell ref="AJ5743:AL5743"/>
    <mergeCell ref="AN5743:AO5743"/>
    <mergeCell ref="AP5743:AQ5743"/>
    <mergeCell ref="A5736:A5737"/>
    <mergeCell ref="E5736:E5737"/>
    <mergeCell ref="F5736:H5736"/>
    <mergeCell ref="J5736:J5737"/>
    <mergeCell ref="K5736:L5737"/>
    <mergeCell ref="M5736:N5737"/>
    <mergeCell ref="O5736:P5737"/>
    <mergeCell ref="Q5736:R5737"/>
    <mergeCell ref="S5736:T5737"/>
    <mergeCell ref="U5736:V5737"/>
    <mergeCell ref="W5736:W5737"/>
    <mergeCell ref="X5736:AB5736"/>
    <mergeCell ref="AD5736:AI5736"/>
    <mergeCell ref="AJ5736:AL5736"/>
    <mergeCell ref="AN5736:AO5736"/>
    <mergeCell ref="AP5736:AQ5736"/>
    <mergeCell ref="AR5736:AS5737"/>
    <mergeCell ref="AT5736:AU5737"/>
    <mergeCell ref="AV5736:AW5737"/>
    <mergeCell ref="AX5736:AY5737"/>
    <mergeCell ref="AZ5736:AZ5737"/>
    <mergeCell ref="F5737:H5737"/>
    <mergeCell ref="X5737:AB5737"/>
    <mergeCell ref="AE5737:AI5737"/>
    <mergeCell ref="AJ5737:AL5737"/>
    <mergeCell ref="AN5737:AO5737"/>
    <mergeCell ref="AP5737:AQ5737"/>
    <mergeCell ref="A5738:A5739"/>
    <mergeCell ref="E5738:E5739"/>
    <mergeCell ref="F5738:H5738"/>
    <mergeCell ref="J5738:J5739"/>
    <mergeCell ref="K5738:L5739"/>
    <mergeCell ref="M5738:N5739"/>
    <mergeCell ref="O5738:P5739"/>
    <mergeCell ref="Q5738:R5739"/>
    <mergeCell ref="S5738:T5739"/>
    <mergeCell ref="U5738:V5739"/>
    <mergeCell ref="W5738:W5739"/>
    <mergeCell ref="X5738:AB5738"/>
    <mergeCell ref="AD5738:AI5738"/>
    <mergeCell ref="AJ5738:AL5738"/>
    <mergeCell ref="AN5738:AO5738"/>
    <mergeCell ref="AP5738:AQ5738"/>
    <mergeCell ref="AR5738:AS5739"/>
    <mergeCell ref="AT5738:AU5739"/>
    <mergeCell ref="AV5738:AW5739"/>
    <mergeCell ref="AX5738:AY5739"/>
    <mergeCell ref="AZ5738:AZ5739"/>
    <mergeCell ref="F5739:H5739"/>
    <mergeCell ref="X5739:AB5739"/>
    <mergeCell ref="AE5739:AI5739"/>
    <mergeCell ref="AJ5739:AL5739"/>
    <mergeCell ref="AN5739:AO5739"/>
    <mergeCell ref="AP5739:AQ5739"/>
    <mergeCell ref="A5732:A5733"/>
    <mergeCell ref="E5732:E5733"/>
    <mergeCell ref="F5732:H5732"/>
    <mergeCell ref="J5732:J5733"/>
    <mergeCell ref="K5732:L5733"/>
    <mergeCell ref="M5732:N5733"/>
    <mergeCell ref="O5732:P5733"/>
    <mergeCell ref="Q5732:R5733"/>
    <mergeCell ref="S5732:T5733"/>
    <mergeCell ref="U5732:V5733"/>
    <mergeCell ref="W5732:W5733"/>
    <mergeCell ref="X5732:AB5732"/>
    <mergeCell ref="AD5732:AI5732"/>
    <mergeCell ref="AJ5732:AL5732"/>
    <mergeCell ref="AN5732:AO5732"/>
    <mergeCell ref="AP5732:AQ5732"/>
    <mergeCell ref="AR5732:AS5733"/>
    <mergeCell ref="AT5732:AU5733"/>
    <mergeCell ref="AV5732:AW5733"/>
    <mergeCell ref="AX5732:AY5733"/>
    <mergeCell ref="AZ5732:AZ5733"/>
    <mergeCell ref="F5733:H5733"/>
    <mergeCell ref="X5733:AB5733"/>
    <mergeCell ref="AE5733:AI5733"/>
    <mergeCell ref="AJ5733:AL5733"/>
    <mergeCell ref="AN5733:AO5733"/>
    <mergeCell ref="AP5733:AQ5733"/>
    <mergeCell ref="A5734:A5735"/>
    <mergeCell ref="E5734:E5735"/>
    <mergeCell ref="F5734:H5734"/>
    <mergeCell ref="J5734:J5735"/>
    <mergeCell ref="K5734:L5735"/>
    <mergeCell ref="M5734:N5735"/>
    <mergeCell ref="O5734:P5735"/>
    <mergeCell ref="Q5734:R5735"/>
    <mergeCell ref="S5734:T5735"/>
    <mergeCell ref="U5734:V5735"/>
    <mergeCell ref="W5734:W5735"/>
    <mergeCell ref="X5734:AB5734"/>
    <mergeCell ref="AD5734:AI5734"/>
    <mergeCell ref="AJ5734:AL5734"/>
    <mergeCell ref="AN5734:AO5734"/>
    <mergeCell ref="AP5734:AQ5734"/>
    <mergeCell ref="AR5734:AS5735"/>
    <mergeCell ref="AT5734:AU5735"/>
    <mergeCell ref="AV5734:AW5735"/>
    <mergeCell ref="AX5734:AY5735"/>
    <mergeCell ref="AZ5734:AZ5735"/>
    <mergeCell ref="F5735:H5735"/>
    <mergeCell ref="X5735:AB5735"/>
    <mergeCell ref="AE5735:AI5735"/>
    <mergeCell ref="AJ5735:AL5735"/>
    <mergeCell ref="AN5735:AO5735"/>
    <mergeCell ref="AP5735:AQ5735"/>
    <mergeCell ref="A5728:A5729"/>
    <mergeCell ref="E5728:E5729"/>
    <mergeCell ref="F5728:H5728"/>
    <mergeCell ref="J5728:J5729"/>
    <mergeCell ref="K5728:L5729"/>
    <mergeCell ref="M5728:N5729"/>
    <mergeCell ref="O5728:P5729"/>
    <mergeCell ref="Q5728:R5729"/>
    <mergeCell ref="S5728:T5729"/>
    <mergeCell ref="U5728:V5729"/>
    <mergeCell ref="W5728:W5729"/>
    <mergeCell ref="X5728:AB5728"/>
    <mergeCell ref="AD5728:AI5728"/>
    <mergeCell ref="AJ5728:AL5728"/>
    <mergeCell ref="AN5728:AO5728"/>
    <mergeCell ref="AP5728:AQ5728"/>
    <mergeCell ref="AR5728:AS5729"/>
    <mergeCell ref="AT5728:AU5729"/>
    <mergeCell ref="AV5728:AW5729"/>
    <mergeCell ref="AX5728:AY5729"/>
    <mergeCell ref="AZ5728:AZ5729"/>
    <mergeCell ref="F5729:H5729"/>
    <mergeCell ref="X5729:AB5729"/>
    <mergeCell ref="AE5729:AI5729"/>
    <mergeCell ref="AJ5729:AL5729"/>
    <mergeCell ref="AN5729:AO5729"/>
    <mergeCell ref="AP5729:AQ5729"/>
    <mergeCell ref="A5730:A5731"/>
    <mergeCell ref="E5730:E5731"/>
    <mergeCell ref="F5730:H5730"/>
    <mergeCell ref="J5730:J5731"/>
    <mergeCell ref="K5730:L5731"/>
    <mergeCell ref="M5730:N5731"/>
    <mergeCell ref="O5730:P5731"/>
    <mergeCell ref="Q5730:R5731"/>
    <mergeCell ref="S5730:T5731"/>
    <mergeCell ref="U5730:V5731"/>
    <mergeCell ref="W5730:W5731"/>
    <mergeCell ref="X5730:AB5730"/>
    <mergeCell ref="AD5730:AI5730"/>
    <mergeCell ref="AJ5730:AL5730"/>
    <mergeCell ref="AN5730:AO5730"/>
    <mergeCell ref="AP5730:AQ5730"/>
    <mergeCell ref="AR5730:AS5731"/>
    <mergeCell ref="AT5730:AU5731"/>
    <mergeCell ref="AV5730:AW5731"/>
    <mergeCell ref="AX5730:AY5731"/>
    <mergeCell ref="AZ5730:AZ5731"/>
    <mergeCell ref="F5731:H5731"/>
    <mergeCell ref="X5731:AB5731"/>
    <mergeCell ref="AE5731:AI5731"/>
    <mergeCell ref="AJ5731:AL5731"/>
    <mergeCell ref="AN5731:AO5731"/>
    <mergeCell ref="AP5731:AQ5731"/>
    <mergeCell ref="A5724:A5725"/>
    <mergeCell ref="E5724:E5725"/>
    <mergeCell ref="F5724:H5724"/>
    <mergeCell ref="J5724:J5725"/>
    <mergeCell ref="K5724:L5725"/>
    <mergeCell ref="M5724:N5725"/>
    <mergeCell ref="O5724:P5725"/>
    <mergeCell ref="Q5724:R5725"/>
    <mergeCell ref="S5724:T5725"/>
    <mergeCell ref="U5724:V5725"/>
    <mergeCell ref="W5724:W5725"/>
    <mergeCell ref="X5724:AB5724"/>
    <mergeCell ref="AD5724:AI5724"/>
    <mergeCell ref="AJ5724:AL5724"/>
    <mergeCell ref="AN5724:AO5724"/>
    <mergeCell ref="AP5724:AQ5724"/>
    <mergeCell ref="AR5724:AS5725"/>
    <mergeCell ref="AT5724:AU5725"/>
    <mergeCell ref="AV5724:AW5725"/>
    <mergeCell ref="AX5724:AY5725"/>
    <mergeCell ref="AZ5724:AZ5725"/>
    <mergeCell ref="F5725:H5725"/>
    <mergeCell ref="X5725:AB5725"/>
    <mergeCell ref="AE5725:AI5725"/>
    <mergeCell ref="AJ5725:AL5725"/>
    <mergeCell ref="AN5725:AO5725"/>
    <mergeCell ref="AP5725:AQ5725"/>
    <mergeCell ref="A5726:A5727"/>
    <mergeCell ref="E5726:E5727"/>
    <mergeCell ref="F5726:H5726"/>
    <mergeCell ref="J5726:J5727"/>
    <mergeCell ref="K5726:L5727"/>
    <mergeCell ref="M5726:N5727"/>
    <mergeCell ref="O5726:P5727"/>
    <mergeCell ref="Q5726:R5727"/>
    <mergeCell ref="S5726:T5727"/>
    <mergeCell ref="U5726:V5727"/>
    <mergeCell ref="W5726:W5727"/>
    <mergeCell ref="X5726:AB5726"/>
    <mergeCell ref="AD5726:AI5726"/>
    <mergeCell ref="AJ5726:AL5726"/>
    <mergeCell ref="AN5726:AO5726"/>
    <mergeCell ref="AP5726:AQ5726"/>
    <mergeCell ref="AR5726:AS5727"/>
    <mergeCell ref="AT5726:AU5727"/>
    <mergeCell ref="AV5726:AW5727"/>
    <mergeCell ref="AX5726:AY5727"/>
    <mergeCell ref="AZ5726:AZ5727"/>
    <mergeCell ref="F5727:H5727"/>
    <mergeCell ref="X5727:AB5727"/>
    <mergeCell ref="AE5727:AI5727"/>
    <mergeCell ref="AJ5727:AL5727"/>
    <mergeCell ref="AN5727:AO5727"/>
    <mergeCell ref="AP5727:AQ5727"/>
    <mergeCell ref="A5720:A5721"/>
    <mergeCell ref="E5720:E5721"/>
    <mergeCell ref="F5720:H5720"/>
    <mergeCell ref="J5720:J5721"/>
    <mergeCell ref="K5720:L5721"/>
    <mergeCell ref="M5720:N5721"/>
    <mergeCell ref="O5720:P5721"/>
    <mergeCell ref="Q5720:R5721"/>
    <mergeCell ref="S5720:T5721"/>
    <mergeCell ref="U5720:V5721"/>
    <mergeCell ref="W5720:W5721"/>
    <mergeCell ref="X5720:AB5720"/>
    <mergeCell ref="AD5720:AI5720"/>
    <mergeCell ref="AJ5720:AL5720"/>
    <mergeCell ref="AN5720:AO5720"/>
    <mergeCell ref="AP5720:AQ5720"/>
    <mergeCell ref="AR5720:AS5721"/>
    <mergeCell ref="AT5720:AU5721"/>
    <mergeCell ref="AV5720:AW5721"/>
    <mergeCell ref="AX5720:AY5721"/>
    <mergeCell ref="AZ5720:AZ5721"/>
    <mergeCell ref="F5721:H5721"/>
    <mergeCell ref="X5721:AB5721"/>
    <mergeCell ref="AE5721:AI5721"/>
    <mergeCell ref="AJ5721:AL5721"/>
    <mergeCell ref="AN5721:AO5721"/>
    <mergeCell ref="AP5721:AQ5721"/>
    <mergeCell ref="A5722:A5723"/>
    <mergeCell ref="E5722:E5723"/>
    <mergeCell ref="F5722:H5722"/>
    <mergeCell ref="J5722:J5723"/>
    <mergeCell ref="K5722:L5723"/>
    <mergeCell ref="M5722:N5723"/>
    <mergeCell ref="O5722:P5723"/>
    <mergeCell ref="Q5722:R5723"/>
    <mergeCell ref="S5722:T5723"/>
    <mergeCell ref="U5722:V5723"/>
    <mergeCell ref="W5722:W5723"/>
    <mergeCell ref="X5722:AB5722"/>
    <mergeCell ref="AD5722:AI5722"/>
    <mergeCell ref="AJ5722:AL5722"/>
    <mergeCell ref="AN5722:AO5722"/>
    <mergeCell ref="AP5722:AQ5722"/>
    <mergeCell ref="AR5722:AS5723"/>
    <mergeCell ref="AT5722:AU5723"/>
    <mergeCell ref="AV5722:AW5723"/>
    <mergeCell ref="AX5722:AY5723"/>
    <mergeCell ref="AZ5722:AZ5723"/>
    <mergeCell ref="F5723:H5723"/>
    <mergeCell ref="X5723:AB5723"/>
    <mergeCell ref="AE5723:AI5723"/>
    <mergeCell ref="AJ5723:AL5723"/>
    <mergeCell ref="AN5723:AO5723"/>
    <mergeCell ref="AP5723:AQ5723"/>
    <mergeCell ref="A5716:A5717"/>
    <mergeCell ref="E5716:E5717"/>
    <mergeCell ref="F5716:H5716"/>
    <mergeCell ref="J5716:J5717"/>
    <mergeCell ref="K5716:L5717"/>
    <mergeCell ref="M5716:N5717"/>
    <mergeCell ref="O5716:P5717"/>
    <mergeCell ref="Q5716:R5717"/>
    <mergeCell ref="S5716:T5717"/>
    <mergeCell ref="U5716:V5717"/>
    <mergeCell ref="W5716:W5717"/>
    <mergeCell ref="X5716:AB5716"/>
    <mergeCell ref="AD5716:AI5716"/>
    <mergeCell ref="AJ5716:AL5716"/>
    <mergeCell ref="AN5716:AO5716"/>
    <mergeCell ref="AP5716:AQ5716"/>
    <mergeCell ref="AR5716:AS5717"/>
    <mergeCell ref="AT5716:AU5717"/>
    <mergeCell ref="AV5716:AW5717"/>
    <mergeCell ref="AX5716:AY5717"/>
    <mergeCell ref="AZ5716:AZ5717"/>
    <mergeCell ref="F5717:H5717"/>
    <mergeCell ref="X5717:AB5717"/>
    <mergeCell ref="AE5717:AI5717"/>
    <mergeCell ref="AJ5717:AL5717"/>
    <mergeCell ref="AN5717:AO5717"/>
    <mergeCell ref="AP5717:AQ5717"/>
    <mergeCell ref="A5718:A5719"/>
    <mergeCell ref="E5718:E5719"/>
    <mergeCell ref="F5718:H5718"/>
    <mergeCell ref="J5718:J5719"/>
    <mergeCell ref="K5718:L5719"/>
    <mergeCell ref="M5718:N5719"/>
    <mergeCell ref="O5718:P5719"/>
    <mergeCell ref="Q5718:R5719"/>
    <mergeCell ref="S5718:T5719"/>
    <mergeCell ref="U5718:V5719"/>
    <mergeCell ref="W5718:W5719"/>
    <mergeCell ref="X5718:AB5718"/>
    <mergeCell ref="AD5718:AI5718"/>
    <mergeCell ref="AJ5718:AL5718"/>
    <mergeCell ref="AN5718:AO5718"/>
    <mergeCell ref="AP5718:AQ5718"/>
    <mergeCell ref="AR5718:AS5719"/>
    <mergeCell ref="AT5718:AU5719"/>
    <mergeCell ref="AV5718:AW5719"/>
    <mergeCell ref="AX5718:AY5719"/>
    <mergeCell ref="AZ5718:AZ5719"/>
    <mergeCell ref="F5719:H5719"/>
    <mergeCell ref="X5719:AB5719"/>
    <mergeCell ref="AE5719:AI5719"/>
    <mergeCell ref="AJ5719:AL5719"/>
    <mergeCell ref="AN5719:AO5719"/>
    <mergeCell ref="AP5719:AQ5719"/>
    <mergeCell ref="A5712:A5713"/>
    <mergeCell ref="E5712:E5713"/>
    <mergeCell ref="F5712:H5712"/>
    <mergeCell ref="J5712:J5713"/>
    <mergeCell ref="K5712:L5713"/>
    <mergeCell ref="M5712:N5713"/>
    <mergeCell ref="O5712:P5713"/>
    <mergeCell ref="Q5712:R5713"/>
    <mergeCell ref="S5712:T5713"/>
    <mergeCell ref="U5712:V5713"/>
    <mergeCell ref="W5712:W5713"/>
    <mergeCell ref="X5712:AB5712"/>
    <mergeCell ref="AD5712:AI5712"/>
    <mergeCell ref="AJ5712:AL5712"/>
    <mergeCell ref="AN5712:AO5712"/>
    <mergeCell ref="AP5712:AQ5712"/>
    <mergeCell ref="AR5712:AS5713"/>
    <mergeCell ref="AT5712:AU5713"/>
    <mergeCell ref="AV5712:AW5713"/>
    <mergeCell ref="AX5712:AY5713"/>
    <mergeCell ref="AZ5712:AZ5713"/>
    <mergeCell ref="F5713:H5713"/>
    <mergeCell ref="X5713:AB5713"/>
    <mergeCell ref="AE5713:AI5713"/>
    <mergeCell ref="AJ5713:AL5713"/>
    <mergeCell ref="AN5713:AO5713"/>
    <mergeCell ref="AP5713:AQ5713"/>
    <mergeCell ref="A5714:A5715"/>
    <mergeCell ref="E5714:E5715"/>
    <mergeCell ref="F5714:H5714"/>
    <mergeCell ref="J5714:J5715"/>
    <mergeCell ref="K5714:L5715"/>
    <mergeCell ref="M5714:N5715"/>
    <mergeCell ref="O5714:P5715"/>
    <mergeCell ref="Q5714:R5715"/>
    <mergeCell ref="S5714:T5715"/>
    <mergeCell ref="U5714:V5715"/>
    <mergeCell ref="W5714:W5715"/>
    <mergeCell ref="X5714:AB5714"/>
    <mergeCell ref="AD5714:AI5714"/>
    <mergeCell ref="AJ5714:AL5714"/>
    <mergeCell ref="AN5714:AO5714"/>
    <mergeCell ref="AP5714:AQ5714"/>
    <mergeCell ref="AR5714:AS5715"/>
    <mergeCell ref="AT5714:AU5715"/>
    <mergeCell ref="AV5714:AW5715"/>
    <mergeCell ref="AX5714:AY5715"/>
    <mergeCell ref="AZ5714:AZ5715"/>
    <mergeCell ref="F5715:H5715"/>
    <mergeCell ref="X5715:AB5715"/>
    <mergeCell ref="AE5715:AI5715"/>
    <mergeCell ref="AJ5715:AL5715"/>
    <mergeCell ref="AN5715:AO5715"/>
    <mergeCell ref="AP5715:AQ5715"/>
    <mergeCell ref="A5708:A5709"/>
    <mergeCell ref="E5708:E5709"/>
    <mergeCell ref="F5708:H5708"/>
    <mergeCell ref="J5708:J5709"/>
    <mergeCell ref="K5708:L5709"/>
    <mergeCell ref="M5708:N5709"/>
    <mergeCell ref="O5708:P5709"/>
    <mergeCell ref="Q5708:R5709"/>
    <mergeCell ref="S5708:T5709"/>
    <mergeCell ref="U5708:V5709"/>
    <mergeCell ref="W5708:W5709"/>
    <mergeCell ref="X5708:AB5708"/>
    <mergeCell ref="AD5708:AI5708"/>
    <mergeCell ref="AJ5708:AL5708"/>
    <mergeCell ref="AN5708:AO5708"/>
    <mergeCell ref="AP5708:AQ5708"/>
    <mergeCell ref="AR5708:AS5709"/>
    <mergeCell ref="AT5708:AU5709"/>
    <mergeCell ref="AV5708:AW5709"/>
    <mergeCell ref="AX5708:AY5709"/>
    <mergeCell ref="AZ5708:AZ5709"/>
    <mergeCell ref="F5709:H5709"/>
    <mergeCell ref="X5709:AB5709"/>
    <mergeCell ref="AE5709:AI5709"/>
    <mergeCell ref="AJ5709:AL5709"/>
    <mergeCell ref="AN5709:AO5709"/>
    <mergeCell ref="AP5709:AQ5709"/>
    <mergeCell ref="A5710:A5711"/>
    <mergeCell ref="E5710:E5711"/>
    <mergeCell ref="F5710:H5710"/>
    <mergeCell ref="J5710:J5711"/>
    <mergeCell ref="K5710:L5711"/>
    <mergeCell ref="M5710:N5711"/>
    <mergeCell ref="O5710:P5711"/>
    <mergeCell ref="Q5710:R5711"/>
    <mergeCell ref="S5710:T5711"/>
    <mergeCell ref="U5710:V5711"/>
    <mergeCell ref="W5710:W5711"/>
    <mergeCell ref="X5710:AB5710"/>
    <mergeCell ref="AD5710:AI5710"/>
    <mergeCell ref="AJ5710:AL5710"/>
    <mergeCell ref="AN5710:AO5710"/>
    <mergeCell ref="AP5710:AQ5710"/>
    <mergeCell ref="AR5710:AS5711"/>
    <mergeCell ref="AT5710:AU5711"/>
    <mergeCell ref="AV5710:AW5711"/>
    <mergeCell ref="AX5710:AY5711"/>
    <mergeCell ref="AZ5710:AZ5711"/>
    <mergeCell ref="F5711:H5711"/>
    <mergeCell ref="X5711:AB5711"/>
    <mergeCell ref="AE5711:AI5711"/>
    <mergeCell ref="AJ5711:AL5711"/>
    <mergeCell ref="AN5711:AO5711"/>
    <mergeCell ref="AP5711:AQ5711"/>
    <mergeCell ref="A5704:A5705"/>
    <mergeCell ref="E5704:E5705"/>
    <mergeCell ref="F5704:H5704"/>
    <mergeCell ref="J5704:J5705"/>
    <mergeCell ref="K5704:L5705"/>
    <mergeCell ref="M5704:N5705"/>
    <mergeCell ref="O5704:P5705"/>
    <mergeCell ref="Q5704:R5705"/>
    <mergeCell ref="S5704:T5705"/>
    <mergeCell ref="U5704:V5705"/>
    <mergeCell ref="W5704:W5705"/>
    <mergeCell ref="X5704:AB5704"/>
    <mergeCell ref="AD5704:AI5704"/>
    <mergeCell ref="AJ5704:AL5704"/>
    <mergeCell ref="AN5704:AO5704"/>
    <mergeCell ref="AP5704:AQ5704"/>
    <mergeCell ref="AR5704:AS5705"/>
    <mergeCell ref="AT5704:AU5705"/>
    <mergeCell ref="AV5704:AW5705"/>
    <mergeCell ref="AX5704:AY5705"/>
    <mergeCell ref="AZ5704:AZ5705"/>
    <mergeCell ref="F5705:H5705"/>
    <mergeCell ref="X5705:AB5705"/>
    <mergeCell ref="AE5705:AI5705"/>
    <mergeCell ref="AJ5705:AL5705"/>
    <mergeCell ref="AN5705:AO5705"/>
    <mergeCell ref="AP5705:AQ5705"/>
    <mergeCell ref="A5706:A5707"/>
    <mergeCell ref="E5706:E5707"/>
    <mergeCell ref="F5706:H5706"/>
    <mergeCell ref="J5706:J5707"/>
    <mergeCell ref="K5706:L5707"/>
    <mergeCell ref="M5706:N5707"/>
    <mergeCell ref="O5706:P5707"/>
    <mergeCell ref="Q5706:R5707"/>
    <mergeCell ref="S5706:T5707"/>
    <mergeCell ref="U5706:V5707"/>
    <mergeCell ref="W5706:W5707"/>
    <mergeCell ref="X5706:AB5706"/>
    <mergeCell ref="AD5706:AI5706"/>
    <mergeCell ref="AJ5706:AL5706"/>
    <mergeCell ref="AN5706:AO5706"/>
    <mergeCell ref="AP5706:AQ5706"/>
    <mergeCell ref="AR5706:AS5707"/>
    <mergeCell ref="AT5706:AU5707"/>
    <mergeCell ref="AV5706:AW5707"/>
    <mergeCell ref="AX5706:AY5707"/>
    <mergeCell ref="AZ5706:AZ5707"/>
    <mergeCell ref="F5707:H5707"/>
    <mergeCell ref="X5707:AB5707"/>
    <mergeCell ref="AE5707:AI5707"/>
    <mergeCell ref="AJ5707:AL5707"/>
    <mergeCell ref="AN5707:AO5707"/>
    <mergeCell ref="AP5707:AQ5707"/>
    <mergeCell ref="A5700:A5701"/>
    <mergeCell ref="E5700:E5701"/>
    <mergeCell ref="F5700:H5700"/>
    <mergeCell ref="J5700:J5701"/>
    <mergeCell ref="K5700:L5701"/>
    <mergeCell ref="M5700:N5701"/>
    <mergeCell ref="O5700:P5701"/>
    <mergeCell ref="Q5700:R5701"/>
    <mergeCell ref="S5700:T5701"/>
    <mergeCell ref="U5700:V5701"/>
    <mergeCell ref="W5700:W5701"/>
    <mergeCell ref="X5700:AB5700"/>
    <mergeCell ref="AD5700:AI5700"/>
    <mergeCell ref="AJ5700:AL5700"/>
    <mergeCell ref="AN5700:AO5700"/>
    <mergeCell ref="AP5700:AQ5700"/>
    <mergeCell ref="AR5700:AS5701"/>
    <mergeCell ref="AT5700:AU5701"/>
    <mergeCell ref="AV5700:AW5701"/>
    <mergeCell ref="AX5700:AY5701"/>
    <mergeCell ref="AZ5700:AZ5701"/>
    <mergeCell ref="F5701:H5701"/>
    <mergeCell ref="X5701:AB5701"/>
    <mergeCell ref="AE5701:AI5701"/>
    <mergeCell ref="AJ5701:AL5701"/>
    <mergeCell ref="AN5701:AO5701"/>
    <mergeCell ref="AP5701:AQ5701"/>
    <mergeCell ref="A5702:A5703"/>
    <mergeCell ref="E5702:E5703"/>
    <mergeCell ref="F5702:H5702"/>
    <mergeCell ref="J5702:J5703"/>
    <mergeCell ref="K5702:L5703"/>
    <mergeCell ref="M5702:N5703"/>
    <mergeCell ref="O5702:P5703"/>
    <mergeCell ref="Q5702:R5703"/>
    <mergeCell ref="S5702:T5703"/>
    <mergeCell ref="U5702:V5703"/>
    <mergeCell ref="W5702:W5703"/>
    <mergeCell ref="X5702:AB5702"/>
    <mergeCell ref="AD5702:AI5702"/>
    <mergeCell ref="AJ5702:AL5702"/>
    <mergeCell ref="AN5702:AO5702"/>
    <mergeCell ref="AP5702:AQ5702"/>
    <mergeCell ref="AR5702:AS5703"/>
    <mergeCell ref="AT5702:AU5703"/>
    <mergeCell ref="AV5702:AW5703"/>
    <mergeCell ref="AX5702:AY5703"/>
    <mergeCell ref="AZ5702:AZ5703"/>
    <mergeCell ref="F5703:H5703"/>
    <mergeCell ref="X5703:AB5703"/>
    <mergeCell ref="AE5703:AI5703"/>
    <mergeCell ref="AJ5703:AL5703"/>
    <mergeCell ref="AN5703:AO5703"/>
    <mergeCell ref="AP5703:AQ5703"/>
    <mergeCell ref="A5696:A5697"/>
    <mergeCell ref="E5696:E5697"/>
    <mergeCell ref="F5696:H5696"/>
    <mergeCell ref="J5696:J5697"/>
    <mergeCell ref="K5696:L5697"/>
    <mergeCell ref="M5696:N5697"/>
    <mergeCell ref="O5696:P5697"/>
    <mergeCell ref="Q5696:R5697"/>
    <mergeCell ref="S5696:T5697"/>
    <mergeCell ref="U5696:V5697"/>
    <mergeCell ref="W5696:W5697"/>
    <mergeCell ref="X5696:AB5696"/>
    <mergeCell ref="AD5696:AI5696"/>
    <mergeCell ref="AJ5696:AL5696"/>
    <mergeCell ref="AN5696:AO5696"/>
    <mergeCell ref="AP5696:AQ5696"/>
    <mergeCell ref="AR5696:AS5697"/>
    <mergeCell ref="AT5696:AU5697"/>
    <mergeCell ref="AV5696:AW5697"/>
    <mergeCell ref="AX5696:AY5697"/>
    <mergeCell ref="AZ5696:AZ5697"/>
    <mergeCell ref="F5697:H5697"/>
    <mergeCell ref="X5697:AB5697"/>
    <mergeCell ref="AE5697:AI5697"/>
    <mergeCell ref="AJ5697:AL5697"/>
    <mergeCell ref="AN5697:AO5697"/>
    <mergeCell ref="AP5697:AQ5697"/>
    <mergeCell ref="A5698:A5699"/>
    <mergeCell ref="E5698:E5699"/>
    <mergeCell ref="F5698:H5698"/>
    <mergeCell ref="J5698:J5699"/>
    <mergeCell ref="K5698:L5699"/>
    <mergeCell ref="M5698:N5699"/>
    <mergeCell ref="O5698:P5699"/>
    <mergeCell ref="Q5698:R5699"/>
    <mergeCell ref="S5698:T5699"/>
    <mergeCell ref="U5698:V5699"/>
    <mergeCell ref="W5698:W5699"/>
    <mergeCell ref="X5698:AB5698"/>
    <mergeCell ref="AD5698:AI5698"/>
    <mergeCell ref="AJ5698:AL5698"/>
    <mergeCell ref="AN5698:AO5698"/>
    <mergeCell ref="AP5698:AQ5698"/>
    <mergeCell ref="AR5698:AS5699"/>
    <mergeCell ref="AT5698:AU5699"/>
    <mergeCell ref="AV5698:AW5699"/>
    <mergeCell ref="AX5698:AY5699"/>
    <mergeCell ref="AZ5698:AZ5699"/>
    <mergeCell ref="F5699:H5699"/>
    <mergeCell ref="X5699:AB5699"/>
    <mergeCell ref="AE5699:AI5699"/>
    <mergeCell ref="AJ5699:AL5699"/>
    <mergeCell ref="AN5699:AO5699"/>
    <mergeCell ref="AP5699:AQ5699"/>
    <mergeCell ref="A5692:A5693"/>
    <mergeCell ref="E5692:E5693"/>
    <mergeCell ref="F5692:H5692"/>
    <mergeCell ref="J5692:J5693"/>
    <mergeCell ref="K5692:L5693"/>
    <mergeCell ref="M5692:N5693"/>
    <mergeCell ref="O5692:P5693"/>
    <mergeCell ref="Q5692:R5693"/>
    <mergeCell ref="S5692:T5693"/>
    <mergeCell ref="U5692:V5693"/>
    <mergeCell ref="W5692:W5693"/>
    <mergeCell ref="X5692:AB5692"/>
    <mergeCell ref="AD5692:AI5692"/>
    <mergeCell ref="AJ5692:AL5692"/>
    <mergeCell ref="AN5692:AO5692"/>
    <mergeCell ref="AP5692:AQ5692"/>
    <mergeCell ref="AR5692:AS5693"/>
    <mergeCell ref="AT5692:AU5693"/>
    <mergeCell ref="AV5692:AW5693"/>
    <mergeCell ref="AX5692:AY5693"/>
    <mergeCell ref="AZ5692:AZ5693"/>
    <mergeCell ref="F5693:H5693"/>
    <mergeCell ref="X5693:AB5693"/>
    <mergeCell ref="AE5693:AI5693"/>
    <mergeCell ref="AJ5693:AL5693"/>
    <mergeCell ref="AN5693:AO5693"/>
    <mergeCell ref="AP5693:AQ5693"/>
    <mergeCell ref="A5694:A5695"/>
    <mergeCell ref="E5694:E5695"/>
    <mergeCell ref="F5694:H5694"/>
    <mergeCell ref="J5694:J5695"/>
    <mergeCell ref="K5694:L5695"/>
    <mergeCell ref="M5694:N5695"/>
    <mergeCell ref="O5694:P5695"/>
    <mergeCell ref="Q5694:R5695"/>
    <mergeCell ref="S5694:T5695"/>
    <mergeCell ref="U5694:V5695"/>
    <mergeCell ref="W5694:W5695"/>
    <mergeCell ref="X5694:AB5694"/>
    <mergeCell ref="AD5694:AI5694"/>
    <mergeCell ref="AJ5694:AL5694"/>
    <mergeCell ref="AN5694:AO5694"/>
    <mergeCell ref="AP5694:AQ5694"/>
    <mergeCell ref="AR5694:AS5695"/>
    <mergeCell ref="AT5694:AU5695"/>
    <mergeCell ref="AV5694:AW5695"/>
    <mergeCell ref="AX5694:AY5695"/>
    <mergeCell ref="AZ5694:AZ5695"/>
    <mergeCell ref="F5695:H5695"/>
    <mergeCell ref="X5695:AB5695"/>
    <mergeCell ref="AE5695:AI5695"/>
    <mergeCell ref="AJ5695:AL5695"/>
    <mergeCell ref="AN5695:AO5695"/>
    <mergeCell ref="AP5695:AQ5695"/>
    <mergeCell ref="A5688:A5689"/>
    <mergeCell ref="E5688:E5689"/>
    <mergeCell ref="F5688:H5688"/>
    <mergeCell ref="J5688:J5689"/>
    <mergeCell ref="K5688:L5689"/>
    <mergeCell ref="M5688:N5689"/>
    <mergeCell ref="O5688:P5689"/>
    <mergeCell ref="Q5688:R5689"/>
    <mergeCell ref="S5688:T5689"/>
    <mergeCell ref="U5688:V5689"/>
    <mergeCell ref="W5688:W5689"/>
    <mergeCell ref="X5688:AB5688"/>
    <mergeCell ref="AD5688:AI5688"/>
    <mergeCell ref="AJ5688:AL5688"/>
    <mergeCell ref="AN5688:AO5688"/>
    <mergeCell ref="AP5688:AQ5688"/>
    <mergeCell ref="AR5688:AS5689"/>
    <mergeCell ref="AT5688:AU5689"/>
    <mergeCell ref="AV5688:AW5689"/>
    <mergeCell ref="AX5688:AY5689"/>
    <mergeCell ref="AZ5688:AZ5689"/>
    <mergeCell ref="F5689:H5689"/>
    <mergeCell ref="X5689:AB5689"/>
    <mergeCell ref="AE5689:AI5689"/>
    <mergeCell ref="AJ5689:AL5689"/>
    <mergeCell ref="AN5689:AO5689"/>
    <mergeCell ref="AP5689:AQ5689"/>
    <mergeCell ref="A5690:A5691"/>
    <mergeCell ref="E5690:E5691"/>
    <mergeCell ref="F5690:H5690"/>
    <mergeCell ref="J5690:J5691"/>
    <mergeCell ref="K5690:L5691"/>
    <mergeCell ref="M5690:N5691"/>
    <mergeCell ref="O5690:P5691"/>
    <mergeCell ref="Q5690:R5691"/>
    <mergeCell ref="S5690:T5691"/>
    <mergeCell ref="U5690:V5691"/>
    <mergeCell ref="W5690:W5691"/>
    <mergeCell ref="X5690:AB5690"/>
    <mergeCell ref="AD5690:AI5690"/>
    <mergeCell ref="AJ5690:AL5690"/>
    <mergeCell ref="AN5690:AO5690"/>
    <mergeCell ref="AP5690:AQ5690"/>
    <mergeCell ref="AR5690:AS5691"/>
    <mergeCell ref="AT5690:AU5691"/>
    <mergeCell ref="AV5690:AW5691"/>
    <mergeCell ref="AX5690:AY5691"/>
    <mergeCell ref="AZ5690:AZ5691"/>
    <mergeCell ref="F5691:H5691"/>
    <mergeCell ref="X5691:AB5691"/>
    <mergeCell ref="AE5691:AI5691"/>
    <mergeCell ref="AJ5691:AL5691"/>
    <mergeCell ref="AN5691:AO5691"/>
    <mergeCell ref="AP5691:AQ5691"/>
    <mergeCell ref="A5684:A5685"/>
    <mergeCell ref="E5684:E5685"/>
    <mergeCell ref="F5684:H5684"/>
    <mergeCell ref="J5684:J5685"/>
    <mergeCell ref="K5684:L5685"/>
    <mergeCell ref="M5684:N5685"/>
    <mergeCell ref="O5684:P5685"/>
    <mergeCell ref="Q5684:R5685"/>
    <mergeCell ref="S5684:T5685"/>
    <mergeCell ref="U5684:V5685"/>
    <mergeCell ref="W5684:W5685"/>
    <mergeCell ref="X5684:AB5684"/>
    <mergeCell ref="AD5684:AI5684"/>
    <mergeCell ref="AJ5684:AL5684"/>
    <mergeCell ref="AN5684:AO5684"/>
    <mergeCell ref="AP5684:AQ5684"/>
    <mergeCell ref="AR5684:AS5685"/>
    <mergeCell ref="AT5684:AU5685"/>
    <mergeCell ref="AV5684:AW5685"/>
    <mergeCell ref="AX5684:AY5685"/>
    <mergeCell ref="AZ5684:AZ5685"/>
    <mergeCell ref="F5685:H5685"/>
    <mergeCell ref="X5685:AB5685"/>
    <mergeCell ref="AE5685:AI5685"/>
    <mergeCell ref="AJ5685:AL5685"/>
    <mergeCell ref="AN5685:AO5685"/>
    <mergeCell ref="AP5685:AQ5685"/>
    <mergeCell ref="A5686:A5687"/>
    <mergeCell ref="E5686:E5687"/>
    <mergeCell ref="F5686:H5686"/>
    <mergeCell ref="J5686:J5687"/>
    <mergeCell ref="K5686:L5687"/>
    <mergeCell ref="M5686:N5687"/>
    <mergeCell ref="O5686:P5687"/>
    <mergeCell ref="Q5686:R5687"/>
    <mergeCell ref="S5686:T5687"/>
    <mergeCell ref="U5686:V5687"/>
    <mergeCell ref="W5686:W5687"/>
    <mergeCell ref="X5686:AB5686"/>
    <mergeCell ref="AD5686:AI5686"/>
    <mergeCell ref="AJ5686:AL5686"/>
    <mergeCell ref="AN5686:AO5686"/>
    <mergeCell ref="AP5686:AQ5686"/>
    <mergeCell ref="AR5686:AS5687"/>
    <mergeCell ref="AT5686:AU5687"/>
    <mergeCell ref="AV5686:AW5687"/>
    <mergeCell ref="AX5686:AY5687"/>
    <mergeCell ref="AZ5686:AZ5687"/>
    <mergeCell ref="F5687:H5687"/>
    <mergeCell ref="X5687:AB5687"/>
    <mergeCell ref="AE5687:AI5687"/>
    <mergeCell ref="AJ5687:AL5687"/>
    <mergeCell ref="AN5687:AO5687"/>
    <mergeCell ref="AP5687:AQ5687"/>
    <mergeCell ref="A5680:A5681"/>
    <mergeCell ref="E5680:E5681"/>
    <mergeCell ref="F5680:H5680"/>
    <mergeCell ref="J5680:J5681"/>
    <mergeCell ref="K5680:L5681"/>
    <mergeCell ref="M5680:N5681"/>
    <mergeCell ref="O5680:P5681"/>
    <mergeCell ref="Q5680:R5681"/>
    <mergeCell ref="S5680:T5681"/>
    <mergeCell ref="U5680:V5681"/>
    <mergeCell ref="W5680:W5681"/>
    <mergeCell ref="X5680:AB5680"/>
    <mergeCell ref="AD5680:AI5680"/>
    <mergeCell ref="AJ5680:AL5680"/>
    <mergeCell ref="AN5680:AO5680"/>
    <mergeCell ref="AP5680:AQ5680"/>
    <mergeCell ref="AR5680:AS5681"/>
    <mergeCell ref="AT5680:AU5681"/>
    <mergeCell ref="AV5680:AW5681"/>
    <mergeCell ref="AX5680:AY5681"/>
    <mergeCell ref="AZ5680:AZ5681"/>
    <mergeCell ref="F5681:H5681"/>
    <mergeCell ref="X5681:AB5681"/>
    <mergeCell ref="AE5681:AI5681"/>
    <mergeCell ref="AJ5681:AL5681"/>
    <mergeCell ref="AN5681:AO5681"/>
    <mergeCell ref="AP5681:AQ5681"/>
    <mergeCell ref="A5682:A5683"/>
    <mergeCell ref="E5682:E5683"/>
    <mergeCell ref="F5682:H5682"/>
    <mergeCell ref="J5682:J5683"/>
    <mergeCell ref="K5682:L5683"/>
    <mergeCell ref="M5682:N5683"/>
    <mergeCell ref="O5682:P5683"/>
    <mergeCell ref="Q5682:R5683"/>
    <mergeCell ref="S5682:T5683"/>
    <mergeCell ref="U5682:V5683"/>
    <mergeCell ref="W5682:W5683"/>
    <mergeCell ref="X5682:AB5682"/>
    <mergeCell ref="AD5682:AI5682"/>
    <mergeCell ref="AJ5682:AL5682"/>
    <mergeCell ref="AN5682:AO5682"/>
    <mergeCell ref="AP5682:AQ5682"/>
    <mergeCell ref="AR5682:AS5683"/>
    <mergeCell ref="AT5682:AU5683"/>
    <mergeCell ref="AV5682:AW5683"/>
    <mergeCell ref="AX5682:AY5683"/>
    <mergeCell ref="AZ5682:AZ5683"/>
    <mergeCell ref="F5683:H5683"/>
    <mergeCell ref="X5683:AB5683"/>
    <mergeCell ref="AE5683:AI5683"/>
    <mergeCell ref="AJ5683:AL5683"/>
    <mergeCell ref="AN5683:AO5683"/>
    <mergeCell ref="AP5683:AQ5683"/>
    <mergeCell ref="A5676:A5677"/>
    <mergeCell ref="E5676:E5677"/>
    <mergeCell ref="F5676:H5676"/>
    <mergeCell ref="J5676:J5677"/>
    <mergeCell ref="K5676:L5677"/>
    <mergeCell ref="M5676:N5677"/>
    <mergeCell ref="O5676:P5677"/>
    <mergeCell ref="Q5676:R5677"/>
    <mergeCell ref="S5676:T5677"/>
    <mergeCell ref="U5676:V5677"/>
    <mergeCell ref="W5676:W5677"/>
    <mergeCell ref="X5676:AB5676"/>
    <mergeCell ref="AD5676:AI5676"/>
    <mergeCell ref="AJ5676:AL5676"/>
    <mergeCell ref="AN5676:AO5676"/>
    <mergeCell ref="AP5676:AQ5676"/>
    <mergeCell ref="AR5676:AS5677"/>
    <mergeCell ref="AT5676:AU5677"/>
    <mergeCell ref="AV5676:AW5677"/>
    <mergeCell ref="AX5676:AY5677"/>
    <mergeCell ref="AZ5676:AZ5677"/>
    <mergeCell ref="F5677:H5677"/>
    <mergeCell ref="X5677:AB5677"/>
    <mergeCell ref="AE5677:AI5677"/>
    <mergeCell ref="AJ5677:AL5677"/>
    <mergeCell ref="AN5677:AO5677"/>
    <mergeCell ref="AP5677:AQ5677"/>
    <mergeCell ref="A5678:A5679"/>
    <mergeCell ref="E5678:E5679"/>
    <mergeCell ref="F5678:H5678"/>
    <mergeCell ref="J5678:J5679"/>
    <mergeCell ref="K5678:L5679"/>
    <mergeCell ref="M5678:N5679"/>
    <mergeCell ref="O5678:P5679"/>
    <mergeCell ref="Q5678:R5679"/>
    <mergeCell ref="S5678:T5679"/>
    <mergeCell ref="U5678:V5679"/>
    <mergeCell ref="W5678:W5679"/>
    <mergeCell ref="X5678:AB5678"/>
    <mergeCell ref="AD5678:AI5678"/>
    <mergeCell ref="AJ5678:AL5678"/>
    <mergeCell ref="AN5678:AO5678"/>
    <mergeCell ref="AP5678:AQ5678"/>
    <mergeCell ref="AR5678:AS5679"/>
    <mergeCell ref="AT5678:AU5679"/>
    <mergeCell ref="AV5678:AW5679"/>
    <mergeCell ref="AX5678:AY5679"/>
    <mergeCell ref="AZ5678:AZ5679"/>
    <mergeCell ref="F5679:H5679"/>
    <mergeCell ref="X5679:AB5679"/>
    <mergeCell ref="AE5679:AI5679"/>
    <mergeCell ref="AJ5679:AL5679"/>
    <mergeCell ref="AN5679:AO5679"/>
    <mergeCell ref="AP5679:AQ5679"/>
    <mergeCell ref="A5672:A5673"/>
    <mergeCell ref="E5672:E5673"/>
    <mergeCell ref="F5672:H5672"/>
    <mergeCell ref="J5672:J5673"/>
    <mergeCell ref="K5672:L5673"/>
    <mergeCell ref="M5672:N5673"/>
    <mergeCell ref="O5672:P5673"/>
    <mergeCell ref="Q5672:R5673"/>
    <mergeCell ref="S5672:T5673"/>
    <mergeCell ref="U5672:V5673"/>
    <mergeCell ref="W5672:W5673"/>
    <mergeCell ref="X5672:AB5672"/>
    <mergeCell ref="AD5672:AI5672"/>
    <mergeCell ref="AJ5672:AL5672"/>
    <mergeCell ref="AN5672:AO5672"/>
    <mergeCell ref="AP5672:AQ5672"/>
    <mergeCell ref="AR5672:AS5673"/>
    <mergeCell ref="AT5672:AU5673"/>
    <mergeCell ref="AV5672:AW5673"/>
    <mergeCell ref="AX5672:AY5673"/>
    <mergeCell ref="AZ5672:AZ5673"/>
    <mergeCell ref="F5673:H5673"/>
    <mergeCell ref="X5673:AB5673"/>
    <mergeCell ref="AE5673:AI5673"/>
    <mergeCell ref="AJ5673:AL5673"/>
    <mergeCell ref="AN5673:AO5673"/>
    <mergeCell ref="AP5673:AQ5673"/>
    <mergeCell ref="A5674:A5675"/>
    <mergeCell ref="E5674:E5675"/>
    <mergeCell ref="F5674:H5674"/>
    <mergeCell ref="J5674:J5675"/>
    <mergeCell ref="K5674:L5675"/>
    <mergeCell ref="M5674:N5675"/>
    <mergeCell ref="O5674:P5675"/>
    <mergeCell ref="Q5674:R5675"/>
    <mergeCell ref="S5674:T5675"/>
    <mergeCell ref="U5674:V5675"/>
    <mergeCell ref="W5674:W5675"/>
    <mergeCell ref="X5674:AB5674"/>
    <mergeCell ref="AD5674:AI5674"/>
    <mergeCell ref="AJ5674:AL5674"/>
    <mergeCell ref="AN5674:AO5674"/>
    <mergeCell ref="AP5674:AQ5674"/>
    <mergeCell ref="AR5674:AS5675"/>
    <mergeCell ref="AT5674:AU5675"/>
    <mergeCell ref="AV5674:AW5675"/>
    <mergeCell ref="AX5674:AY5675"/>
    <mergeCell ref="AZ5674:AZ5675"/>
    <mergeCell ref="F5675:H5675"/>
    <mergeCell ref="X5675:AB5675"/>
    <mergeCell ref="AE5675:AI5675"/>
    <mergeCell ref="AJ5675:AL5675"/>
    <mergeCell ref="AN5675:AO5675"/>
    <mergeCell ref="AP5675:AQ5675"/>
    <mergeCell ref="A5668:A5669"/>
    <mergeCell ref="E5668:E5669"/>
    <mergeCell ref="F5668:H5668"/>
    <mergeCell ref="J5668:J5669"/>
    <mergeCell ref="K5668:L5669"/>
    <mergeCell ref="M5668:N5669"/>
    <mergeCell ref="O5668:P5669"/>
    <mergeCell ref="Q5668:R5669"/>
    <mergeCell ref="S5668:T5669"/>
    <mergeCell ref="U5668:V5669"/>
    <mergeCell ref="W5668:W5669"/>
    <mergeCell ref="X5668:AB5668"/>
    <mergeCell ref="AD5668:AI5668"/>
    <mergeCell ref="AJ5668:AL5668"/>
    <mergeCell ref="AN5668:AO5668"/>
    <mergeCell ref="AP5668:AQ5668"/>
    <mergeCell ref="AR5668:AS5669"/>
    <mergeCell ref="AT5668:AU5669"/>
    <mergeCell ref="AV5668:AW5669"/>
    <mergeCell ref="AX5668:AY5669"/>
    <mergeCell ref="AZ5668:AZ5669"/>
    <mergeCell ref="F5669:H5669"/>
    <mergeCell ref="X5669:AB5669"/>
    <mergeCell ref="AE5669:AI5669"/>
    <mergeCell ref="AJ5669:AL5669"/>
    <mergeCell ref="AN5669:AO5669"/>
    <mergeCell ref="AP5669:AQ5669"/>
    <mergeCell ref="A5670:A5671"/>
    <mergeCell ref="E5670:E5671"/>
    <mergeCell ref="F5670:H5670"/>
    <mergeCell ref="J5670:J5671"/>
    <mergeCell ref="K5670:L5671"/>
    <mergeCell ref="M5670:N5671"/>
    <mergeCell ref="O5670:P5671"/>
    <mergeCell ref="Q5670:R5671"/>
    <mergeCell ref="S5670:T5671"/>
    <mergeCell ref="U5670:V5671"/>
    <mergeCell ref="W5670:W5671"/>
    <mergeCell ref="X5670:AB5670"/>
    <mergeCell ref="AD5670:AI5670"/>
    <mergeCell ref="AJ5670:AL5670"/>
    <mergeCell ref="AN5670:AO5670"/>
    <mergeCell ref="AP5670:AQ5670"/>
    <mergeCell ref="AR5670:AS5671"/>
    <mergeCell ref="AT5670:AU5671"/>
    <mergeCell ref="AV5670:AW5671"/>
    <mergeCell ref="AX5670:AY5671"/>
    <mergeCell ref="AZ5670:AZ5671"/>
    <mergeCell ref="F5671:H5671"/>
    <mergeCell ref="X5671:AB5671"/>
    <mergeCell ref="AE5671:AI5671"/>
    <mergeCell ref="AJ5671:AL5671"/>
    <mergeCell ref="AN5671:AO5671"/>
    <mergeCell ref="AP5671:AQ5671"/>
    <mergeCell ref="A5664:A5665"/>
    <mergeCell ref="E5664:E5665"/>
    <mergeCell ref="F5664:H5664"/>
    <mergeCell ref="J5664:J5665"/>
    <mergeCell ref="K5664:L5665"/>
    <mergeCell ref="M5664:N5665"/>
    <mergeCell ref="O5664:P5665"/>
    <mergeCell ref="Q5664:R5665"/>
    <mergeCell ref="S5664:T5665"/>
    <mergeCell ref="U5664:V5665"/>
    <mergeCell ref="W5664:W5665"/>
    <mergeCell ref="X5664:AB5664"/>
    <mergeCell ref="AD5664:AI5664"/>
    <mergeCell ref="AJ5664:AL5664"/>
    <mergeCell ref="AN5664:AO5664"/>
    <mergeCell ref="AP5664:AQ5664"/>
    <mergeCell ref="AR5664:AS5665"/>
    <mergeCell ref="AT5664:AU5665"/>
    <mergeCell ref="AV5664:AW5665"/>
    <mergeCell ref="AX5664:AY5665"/>
    <mergeCell ref="AZ5664:AZ5665"/>
    <mergeCell ref="F5665:H5665"/>
    <mergeCell ref="X5665:AB5665"/>
    <mergeCell ref="AE5665:AI5665"/>
    <mergeCell ref="AJ5665:AL5665"/>
    <mergeCell ref="AN5665:AO5665"/>
    <mergeCell ref="AP5665:AQ5665"/>
    <mergeCell ref="A5666:A5667"/>
    <mergeCell ref="E5666:E5667"/>
    <mergeCell ref="F5666:H5666"/>
    <mergeCell ref="J5666:J5667"/>
    <mergeCell ref="K5666:L5667"/>
    <mergeCell ref="M5666:N5667"/>
    <mergeCell ref="O5666:P5667"/>
    <mergeCell ref="Q5666:R5667"/>
    <mergeCell ref="S5666:T5667"/>
    <mergeCell ref="U5666:V5667"/>
    <mergeCell ref="W5666:W5667"/>
    <mergeCell ref="X5666:AB5666"/>
    <mergeCell ref="AD5666:AI5666"/>
    <mergeCell ref="AJ5666:AL5666"/>
    <mergeCell ref="AN5666:AO5666"/>
    <mergeCell ref="AP5666:AQ5666"/>
    <mergeCell ref="AR5666:AS5667"/>
    <mergeCell ref="AT5666:AU5667"/>
    <mergeCell ref="AV5666:AW5667"/>
    <mergeCell ref="AX5666:AY5667"/>
    <mergeCell ref="AZ5666:AZ5667"/>
    <mergeCell ref="F5667:H5667"/>
    <mergeCell ref="X5667:AB5667"/>
    <mergeCell ref="AE5667:AI5667"/>
    <mergeCell ref="AJ5667:AL5667"/>
    <mergeCell ref="AN5667:AO5667"/>
    <mergeCell ref="AP5667:AQ5667"/>
    <mergeCell ref="A5660:A5661"/>
    <mergeCell ref="E5660:E5661"/>
    <mergeCell ref="F5660:H5660"/>
    <mergeCell ref="J5660:J5661"/>
    <mergeCell ref="K5660:L5661"/>
    <mergeCell ref="M5660:N5661"/>
    <mergeCell ref="O5660:P5661"/>
    <mergeCell ref="Q5660:R5661"/>
    <mergeCell ref="S5660:T5661"/>
    <mergeCell ref="U5660:V5661"/>
    <mergeCell ref="W5660:W5661"/>
    <mergeCell ref="X5660:AB5660"/>
    <mergeCell ref="AD5660:AI5660"/>
    <mergeCell ref="AJ5660:AL5660"/>
    <mergeCell ref="AN5660:AO5660"/>
    <mergeCell ref="AP5660:AQ5660"/>
    <mergeCell ref="AR5660:AS5661"/>
    <mergeCell ref="AT5660:AU5661"/>
    <mergeCell ref="AV5660:AW5661"/>
    <mergeCell ref="AX5660:AY5661"/>
    <mergeCell ref="AZ5660:AZ5661"/>
    <mergeCell ref="F5661:H5661"/>
    <mergeCell ref="X5661:AB5661"/>
    <mergeCell ref="AE5661:AI5661"/>
    <mergeCell ref="AJ5661:AL5661"/>
    <mergeCell ref="AN5661:AO5661"/>
    <mergeCell ref="AP5661:AQ5661"/>
    <mergeCell ref="A5662:A5663"/>
    <mergeCell ref="E5662:E5663"/>
    <mergeCell ref="F5662:H5662"/>
    <mergeCell ref="J5662:J5663"/>
    <mergeCell ref="K5662:L5663"/>
    <mergeCell ref="M5662:N5663"/>
    <mergeCell ref="O5662:P5663"/>
    <mergeCell ref="Q5662:R5663"/>
    <mergeCell ref="S5662:T5663"/>
    <mergeCell ref="U5662:V5663"/>
    <mergeCell ref="W5662:W5663"/>
    <mergeCell ref="X5662:AB5662"/>
    <mergeCell ref="AD5662:AI5662"/>
    <mergeCell ref="AJ5662:AL5662"/>
    <mergeCell ref="AN5662:AO5662"/>
    <mergeCell ref="AP5662:AQ5662"/>
    <mergeCell ref="AR5662:AS5663"/>
    <mergeCell ref="AT5662:AU5663"/>
    <mergeCell ref="AV5662:AW5663"/>
    <mergeCell ref="AX5662:AY5663"/>
    <mergeCell ref="AZ5662:AZ5663"/>
    <mergeCell ref="F5663:H5663"/>
    <mergeCell ref="X5663:AB5663"/>
    <mergeCell ref="AE5663:AI5663"/>
    <mergeCell ref="AJ5663:AL5663"/>
    <mergeCell ref="AN5663:AO5663"/>
    <mergeCell ref="AP5663:AQ5663"/>
    <mergeCell ref="A5656:A5657"/>
    <mergeCell ref="E5656:E5657"/>
    <mergeCell ref="F5656:H5656"/>
    <mergeCell ref="J5656:J5657"/>
    <mergeCell ref="K5656:L5657"/>
    <mergeCell ref="M5656:N5657"/>
    <mergeCell ref="O5656:P5657"/>
    <mergeCell ref="Q5656:R5657"/>
    <mergeCell ref="S5656:T5657"/>
    <mergeCell ref="U5656:V5657"/>
    <mergeCell ref="W5656:W5657"/>
    <mergeCell ref="X5656:AB5656"/>
    <mergeCell ref="AD5656:AI5656"/>
    <mergeCell ref="AJ5656:AL5656"/>
    <mergeCell ref="AN5656:AO5656"/>
    <mergeCell ref="AP5656:AQ5656"/>
    <mergeCell ref="AR5656:AS5657"/>
    <mergeCell ref="AT5656:AU5657"/>
    <mergeCell ref="AV5656:AW5657"/>
    <mergeCell ref="AX5656:AY5657"/>
    <mergeCell ref="AZ5656:AZ5657"/>
    <mergeCell ref="F5657:H5657"/>
    <mergeCell ref="X5657:AB5657"/>
    <mergeCell ref="AE5657:AI5657"/>
    <mergeCell ref="AJ5657:AL5657"/>
    <mergeCell ref="AN5657:AO5657"/>
    <mergeCell ref="AP5657:AQ5657"/>
    <mergeCell ref="A5658:A5659"/>
    <mergeCell ref="E5658:E5659"/>
    <mergeCell ref="F5658:H5658"/>
    <mergeCell ref="J5658:J5659"/>
    <mergeCell ref="K5658:L5659"/>
    <mergeCell ref="M5658:N5659"/>
    <mergeCell ref="O5658:P5659"/>
    <mergeCell ref="Q5658:R5659"/>
    <mergeCell ref="S5658:T5659"/>
    <mergeCell ref="U5658:V5659"/>
    <mergeCell ref="W5658:W5659"/>
    <mergeCell ref="X5658:AB5658"/>
    <mergeCell ref="AD5658:AI5658"/>
    <mergeCell ref="AJ5658:AL5658"/>
    <mergeCell ref="AN5658:AO5658"/>
    <mergeCell ref="AP5658:AQ5658"/>
    <mergeCell ref="AR5658:AS5659"/>
    <mergeCell ref="AT5658:AU5659"/>
    <mergeCell ref="AV5658:AW5659"/>
    <mergeCell ref="AX5658:AY5659"/>
    <mergeCell ref="AZ5658:AZ5659"/>
    <mergeCell ref="F5659:H5659"/>
    <mergeCell ref="X5659:AB5659"/>
    <mergeCell ref="AE5659:AI5659"/>
    <mergeCell ref="AJ5659:AL5659"/>
    <mergeCell ref="AN5659:AO5659"/>
    <mergeCell ref="AP5659:AQ5659"/>
    <mergeCell ref="A5652:A5653"/>
    <mergeCell ref="E5652:E5653"/>
    <mergeCell ref="F5652:H5652"/>
    <mergeCell ref="J5652:J5653"/>
    <mergeCell ref="K5652:L5653"/>
    <mergeCell ref="M5652:N5653"/>
    <mergeCell ref="O5652:P5653"/>
    <mergeCell ref="Q5652:R5653"/>
    <mergeCell ref="S5652:T5653"/>
    <mergeCell ref="U5652:V5653"/>
    <mergeCell ref="W5652:W5653"/>
    <mergeCell ref="X5652:AB5652"/>
    <mergeCell ref="AD5652:AI5652"/>
    <mergeCell ref="AJ5652:AL5652"/>
    <mergeCell ref="AN5652:AO5652"/>
    <mergeCell ref="AP5652:AQ5652"/>
    <mergeCell ref="AR5652:AS5653"/>
    <mergeCell ref="AT5652:AU5653"/>
    <mergeCell ref="AV5652:AW5653"/>
    <mergeCell ref="AX5652:AY5653"/>
    <mergeCell ref="AZ5652:AZ5653"/>
    <mergeCell ref="F5653:H5653"/>
    <mergeCell ref="X5653:AB5653"/>
    <mergeCell ref="AE5653:AI5653"/>
    <mergeCell ref="AJ5653:AL5653"/>
    <mergeCell ref="AN5653:AO5653"/>
    <mergeCell ref="AP5653:AQ5653"/>
    <mergeCell ref="A5654:A5655"/>
    <mergeCell ref="E5654:E5655"/>
    <mergeCell ref="F5654:H5654"/>
    <mergeCell ref="J5654:J5655"/>
    <mergeCell ref="K5654:L5655"/>
    <mergeCell ref="M5654:N5655"/>
    <mergeCell ref="O5654:P5655"/>
    <mergeCell ref="Q5654:R5655"/>
    <mergeCell ref="S5654:T5655"/>
    <mergeCell ref="U5654:V5655"/>
    <mergeCell ref="W5654:W5655"/>
    <mergeCell ref="X5654:AB5654"/>
    <mergeCell ref="AD5654:AI5654"/>
    <mergeCell ref="AJ5654:AL5654"/>
    <mergeCell ref="AN5654:AO5654"/>
    <mergeCell ref="AP5654:AQ5654"/>
    <mergeCell ref="AR5654:AS5655"/>
    <mergeCell ref="AT5654:AU5655"/>
    <mergeCell ref="AV5654:AW5655"/>
    <mergeCell ref="AX5654:AY5655"/>
    <mergeCell ref="AZ5654:AZ5655"/>
    <mergeCell ref="F5655:H5655"/>
    <mergeCell ref="X5655:AB5655"/>
    <mergeCell ref="AE5655:AI5655"/>
    <mergeCell ref="AJ5655:AL5655"/>
    <mergeCell ref="AN5655:AO5655"/>
    <mergeCell ref="AP5655:AQ5655"/>
    <mergeCell ref="A5648:A5649"/>
    <mergeCell ref="E5648:E5649"/>
    <mergeCell ref="F5648:H5648"/>
    <mergeCell ref="J5648:J5649"/>
    <mergeCell ref="K5648:L5649"/>
    <mergeCell ref="M5648:N5649"/>
    <mergeCell ref="O5648:P5649"/>
    <mergeCell ref="Q5648:R5649"/>
    <mergeCell ref="S5648:T5649"/>
    <mergeCell ref="U5648:V5649"/>
    <mergeCell ref="W5648:W5649"/>
    <mergeCell ref="X5648:AB5648"/>
    <mergeCell ref="AD5648:AI5648"/>
    <mergeCell ref="AJ5648:AL5648"/>
    <mergeCell ref="AN5648:AO5648"/>
    <mergeCell ref="AP5648:AQ5648"/>
    <mergeCell ref="AR5648:AS5649"/>
    <mergeCell ref="AT5648:AU5649"/>
    <mergeCell ref="AV5648:AW5649"/>
    <mergeCell ref="AX5648:AY5649"/>
    <mergeCell ref="AZ5648:AZ5649"/>
    <mergeCell ref="F5649:H5649"/>
    <mergeCell ref="X5649:AB5649"/>
    <mergeCell ref="AE5649:AI5649"/>
    <mergeCell ref="AJ5649:AL5649"/>
    <mergeCell ref="AN5649:AO5649"/>
    <mergeCell ref="AP5649:AQ5649"/>
    <mergeCell ref="A5650:A5651"/>
    <mergeCell ref="E5650:E5651"/>
    <mergeCell ref="F5650:H5650"/>
    <mergeCell ref="J5650:J5651"/>
    <mergeCell ref="K5650:L5651"/>
    <mergeCell ref="M5650:N5651"/>
    <mergeCell ref="O5650:P5651"/>
    <mergeCell ref="Q5650:R5651"/>
    <mergeCell ref="S5650:T5651"/>
    <mergeCell ref="U5650:V5651"/>
    <mergeCell ref="W5650:W5651"/>
    <mergeCell ref="X5650:AB5650"/>
    <mergeCell ref="AD5650:AI5650"/>
    <mergeCell ref="AJ5650:AL5650"/>
    <mergeCell ref="AN5650:AO5650"/>
    <mergeCell ref="AP5650:AQ5650"/>
    <mergeCell ref="AR5650:AS5651"/>
    <mergeCell ref="AT5650:AU5651"/>
    <mergeCell ref="AV5650:AW5651"/>
    <mergeCell ref="AX5650:AY5651"/>
    <mergeCell ref="AZ5650:AZ5651"/>
    <mergeCell ref="F5651:H5651"/>
    <mergeCell ref="X5651:AB5651"/>
    <mergeCell ref="AE5651:AI5651"/>
    <mergeCell ref="AJ5651:AL5651"/>
    <mergeCell ref="AN5651:AO5651"/>
    <mergeCell ref="AP5651:AQ5651"/>
    <mergeCell ref="A5644:A5645"/>
    <mergeCell ref="E5644:E5645"/>
    <mergeCell ref="F5644:H5644"/>
    <mergeCell ref="J5644:J5645"/>
    <mergeCell ref="K5644:L5645"/>
    <mergeCell ref="M5644:N5645"/>
    <mergeCell ref="O5644:P5645"/>
    <mergeCell ref="Q5644:R5645"/>
    <mergeCell ref="S5644:T5645"/>
    <mergeCell ref="U5644:V5645"/>
    <mergeCell ref="W5644:W5645"/>
    <mergeCell ref="X5644:AB5644"/>
    <mergeCell ref="AD5644:AI5644"/>
    <mergeCell ref="AJ5644:AL5644"/>
    <mergeCell ref="AN5644:AO5644"/>
    <mergeCell ref="AP5644:AQ5644"/>
    <mergeCell ref="AR5644:AS5645"/>
    <mergeCell ref="AT5644:AU5645"/>
    <mergeCell ref="AV5644:AW5645"/>
    <mergeCell ref="AX5644:AY5645"/>
    <mergeCell ref="AZ5644:AZ5645"/>
    <mergeCell ref="F5645:H5645"/>
    <mergeCell ref="X5645:AB5645"/>
    <mergeCell ref="AE5645:AI5645"/>
    <mergeCell ref="AJ5645:AL5645"/>
    <mergeCell ref="AN5645:AO5645"/>
    <mergeCell ref="AP5645:AQ5645"/>
    <mergeCell ref="A5646:A5647"/>
    <mergeCell ref="E5646:E5647"/>
    <mergeCell ref="F5646:H5646"/>
    <mergeCell ref="J5646:J5647"/>
    <mergeCell ref="K5646:L5647"/>
    <mergeCell ref="M5646:N5647"/>
    <mergeCell ref="O5646:P5647"/>
    <mergeCell ref="Q5646:R5647"/>
    <mergeCell ref="S5646:T5647"/>
    <mergeCell ref="U5646:V5647"/>
    <mergeCell ref="W5646:W5647"/>
    <mergeCell ref="X5646:AB5646"/>
    <mergeCell ref="AD5646:AI5646"/>
    <mergeCell ref="AJ5646:AL5646"/>
    <mergeCell ref="AN5646:AO5646"/>
    <mergeCell ref="AP5646:AQ5646"/>
    <mergeCell ref="AR5646:AS5647"/>
    <mergeCell ref="AT5646:AU5647"/>
    <mergeCell ref="AV5646:AW5647"/>
    <mergeCell ref="AX5646:AY5647"/>
    <mergeCell ref="AZ5646:AZ5647"/>
    <mergeCell ref="F5647:H5647"/>
    <mergeCell ref="X5647:AB5647"/>
    <mergeCell ref="AE5647:AI5647"/>
    <mergeCell ref="AJ5647:AL5647"/>
    <mergeCell ref="AN5647:AO5647"/>
    <mergeCell ref="AP5647:AQ5647"/>
    <mergeCell ref="A5640:A5641"/>
    <mergeCell ref="E5640:E5641"/>
    <mergeCell ref="F5640:H5640"/>
    <mergeCell ref="J5640:J5641"/>
    <mergeCell ref="K5640:L5641"/>
    <mergeCell ref="M5640:N5641"/>
    <mergeCell ref="O5640:P5641"/>
    <mergeCell ref="Q5640:R5641"/>
    <mergeCell ref="S5640:T5641"/>
    <mergeCell ref="U5640:V5641"/>
    <mergeCell ref="W5640:W5641"/>
    <mergeCell ref="X5640:AB5640"/>
    <mergeCell ref="AD5640:AI5640"/>
    <mergeCell ref="AJ5640:AL5640"/>
    <mergeCell ref="AN5640:AO5640"/>
    <mergeCell ref="AP5640:AQ5640"/>
    <mergeCell ref="AR5640:AS5641"/>
    <mergeCell ref="AT5640:AU5641"/>
    <mergeCell ref="AV5640:AW5641"/>
    <mergeCell ref="AX5640:AY5641"/>
    <mergeCell ref="AZ5640:AZ5641"/>
    <mergeCell ref="F5641:H5641"/>
    <mergeCell ref="X5641:AB5641"/>
    <mergeCell ref="AE5641:AI5641"/>
    <mergeCell ref="AJ5641:AL5641"/>
    <mergeCell ref="AN5641:AO5641"/>
    <mergeCell ref="AP5641:AQ5641"/>
    <mergeCell ref="A5642:A5643"/>
    <mergeCell ref="E5642:E5643"/>
    <mergeCell ref="F5642:H5642"/>
    <mergeCell ref="J5642:J5643"/>
    <mergeCell ref="K5642:L5643"/>
    <mergeCell ref="M5642:N5643"/>
    <mergeCell ref="O5642:P5643"/>
    <mergeCell ref="Q5642:R5643"/>
    <mergeCell ref="S5642:T5643"/>
    <mergeCell ref="U5642:V5643"/>
    <mergeCell ref="W5642:W5643"/>
    <mergeCell ref="X5642:AB5642"/>
    <mergeCell ref="AD5642:AI5642"/>
    <mergeCell ref="AJ5642:AL5642"/>
    <mergeCell ref="AN5642:AO5642"/>
    <mergeCell ref="AP5642:AQ5642"/>
    <mergeCell ref="AR5642:AS5643"/>
    <mergeCell ref="AT5642:AU5643"/>
    <mergeCell ref="AV5642:AW5643"/>
    <mergeCell ref="AX5642:AY5643"/>
    <mergeCell ref="AZ5642:AZ5643"/>
    <mergeCell ref="F5643:H5643"/>
    <mergeCell ref="X5643:AB5643"/>
    <mergeCell ref="AE5643:AI5643"/>
    <mergeCell ref="AJ5643:AL5643"/>
    <mergeCell ref="AN5643:AO5643"/>
    <mergeCell ref="AP5643:AQ5643"/>
    <mergeCell ref="A5636:A5637"/>
    <mergeCell ref="E5636:E5637"/>
    <mergeCell ref="F5636:H5636"/>
    <mergeCell ref="J5636:J5637"/>
    <mergeCell ref="K5636:L5637"/>
    <mergeCell ref="M5636:N5637"/>
    <mergeCell ref="O5636:P5637"/>
    <mergeCell ref="Q5636:R5637"/>
    <mergeCell ref="S5636:T5637"/>
    <mergeCell ref="U5636:V5637"/>
    <mergeCell ref="W5636:W5637"/>
    <mergeCell ref="X5636:AB5636"/>
    <mergeCell ref="AD5636:AI5636"/>
    <mergeCell ref="AJ5636:AL5636"/>
    <mergeCell ref="AN5636:AO5636"/>
    <mergeCell ref="AP5636:AQ5636"/>
    <mergeCell ref="AR5636:AS5637"/>
    <mergeCell ref="AT5636:AU5637"/>
    <mergeCell ref="AV5636:AW5637"/>
    <mergeCell ref="AX5636:AY5637"/>
    <mergeCell ref="AZ5636:AZ5637"/>
    <mergeCell ref="F5637:H5637"/>
    <mergeCell ref="X5637:AB5637"/>
    <mergeCell ref="AE5637:AI5637"/>
    <mergeCell ref="AJ5637:AL5637"/>
    <mergeCell ref="AN5637:AO5637"/>
    <mergeCell ref="AP5637:AQ5637"/>
    <mergeCell ref="A5638:A5639"/>
    <mergeCell ref="E5638:E5639"/>
    <mergeCell ref="F5638:H5638"/>
    <mergeCell ref="J5638:J5639"/>
    <mergeCell ref="K5638:L5639"/>
    <mergeCell ref="M5638:N5639"/>
    <mergeCell ref="O5638:P5639"/>
    <mergeCell ref="Q5638:R5639"/>
    <mergeCell ref="S5638:T5639"/>
    <mergeCell ref="U5638:V5639"/>
    <mergeCell ref="W5638:W5639"/>
    <mergeCell ref="X5638:AB5638"/>
    <mergeCell ref="AD5638:AI5638"/>
    <mergeCell ref="AJ5638:AL5638"/>
    <mergeCell ref="AN5638:AO5638"/>
    <mergeCell ref="AP5638:AQ5638"/>
    <mergeCell ref="AR5638:AS5639"/>
    <mergeCell ref="AT5638:AU5639"/>
    <mergeCell ref="AV5638:AW5639"/>
    <mergeCell ref="AX5638:AY5639"/>
    <mergeCell ref="AZ5638:AZ5639"/>
    <mergeCell ref="F5639:H5639"/>
    <mergeCell ref="X5639:AB5639"/>
    <mergeCell ref="AE5639:AI5639"/>
    <mergeCell ref="AJ5639:AL5639"/>
    <mergeCell ref="AN5639:AO5639"/>
    <mergeCell ref="AP5639:AQ5639"/>
    <mergeCell ref="A5632:A5633"/>
    <mergeCell ref="E5632:E5633"/>
    <mergeCell ref="F5632:H5632"/>
    <mergeCell ref="J5632:J5633"/>
    <mergeCell ref="K5632:L5633"/>
    <mergeCell ref="M5632:N5633"/>
    <mergeCell ref="O5632:P5633"/>
    <mergeCell ref="Q5632:R5633"/>
    <mergeCell ref="S5632:T5633"/>
    <mergeCell ref="U5632:V5633"/>
    <mergeCell ref="W5632:W5633"/>
    <mergeCell ref="X5632:AB5632"/>
    <mergeCell ref="AD5632:AI5632"/>
    <mergeCell ref="AJ5632:AL5632"/>
    <mergeCell ref="AN5632:AO5632"/>
    <mergeCell ref="AP5632:AQ5632"/>
    <mergeCell ref="AR5632:AS5633"/>
    <mergeCell ref="AT5632:AU5633"/>
    <mergeCell ref="AV5632:AW5633"/>
    <mergeCell ref="AX5632:AY5633"/>
    <mergeCell ref="AZ5632:AZ5633"/>
    <mergeCell ref="F5633:H5633"/>
    <mergeCell ref="X5633:AB5633"/>
    <mergeCell ref="AE5633:AI5633"/>
    <mergeCell ref="AJ5633:AL5633"/>
    <mergeCell ref="AN5633:AO5633"/>
    <mergeCell ref="AP5633:AQ5633"/>
    <mergeCell ref="A5634:A5635"/>
    <mergeCell ref="E5634:E5635"/>
    <mergeCell ref="F5634:H5634"/>
    <mergeCell ref="J5634:J5635"/>
    <mergeCell ref="K5634:L5635"/>
    <mergeCell ref="M5634:N5635"/>
    <mergeCell ref="O5634:P5635"/>
    <mergeCell ref="Q5634:R5635"/>
    <mergeCell ref="S5634:T5635"/>
    <mergeCell ref="U5634:V5635"/>
    <mergeCell ref="W5634:W5635"/>
    <mergeCell ref="X5634:AB5634"/>
    <mergeCell ref="AD5634:AI5634"/>
    <mergeCell ref="AJ5634:AL5634"/>
    <mergeCell ref="AN5634:AO5634"/>
    <mergeCell ref="AP5634:AQ5634"/>
    <mergeCell ref="AR5634:AS5635"/>
    <mergeCell ref="AT5634:AU5635"/>
    <mergeCell ref="AV5634:AW5635"/>
    <mergeCell ref="AX5634:AY5635"/>
    <mergeCell ref="AZ5634:AZ5635"/>
    <mergeCell ref="F5635:H5635"/>
    <mergeCell ref="X5635:AB5635"/>
    <mergeCell ref="AE5635:AI5635"/>
    <mergeCell ref="AJ5635:AL5635"/>
    <mergeCell ref="AN5635:AO5635"/>
    <mergeCell ref="AP5635:AQ5635"/>
    <mergeCell ref="A5628:A5629"/>
    <mergeCell ref="E5628:E5629"/>
    <mergeCell ref="F5628:H5628"/>
    <mergeCell ref="J5628:J5629"/>
    <mergeCell ref="K5628:L5629"/>
    <mergeCell ref="M5628:N5629"/>
    <mergeCell ref="O5628:P5629"/>
    <mergeCell ref="Q5628:R5629"/>
    <mergeCell ref="S5628:T5629"/>
    <mergeCell ref="U5628:V5629"/>
    <mergeCell ref="W5628:W5629"/>
    <mergeCell ref="X5628:AB5628"/>
    <mergeCell ref="AD5628:AI5628"/>
    <mergeCell ref="AJ5628:AL5628"/>
    <mergeCell ref="AN5628:AO5628"/>
    <mergeCell ref="AP5628:AQ5628"/>
    <mergeCell ref="AR5628:AS5629"/>
    <mergeCell ref="AT5628:AU5629"/>
    <mergeCell ref="AV5628:AW5629"/>
    <mergeCell ref="AX5628:AY5629"/>
    <mergeCell ref="AZ5628:AZ5629"/>
    <mergeCell ref="F5629:H5629"/>
    <mergeCell ref="X5629:AB5629"/>
    <mergeCell ref="AE5629:AI5629"/>
    <mergeCell ref="AJ5629:AL5629"/>
    <mergeCell ref="AN5629:AO5629"/>
    <mergeCell ref="AP5629:AQ5629"/>
    <mergeCell ref="A5630:A5631"/>
    <mergeCell ref="E5630:E5631"/>
    <mergeCell ref="F5630:H5630"/>
    <mergeCell ref="J5630:J5631"/>
    <mergeCell ref="K5630:L5631"/>
    <mergeCell ref="M5630:N5631"/>
    <mergeCell ref="O5630:P5631"/>
    <mergeCell ref="Q5630:R5631"/>
    <mergeCell ref="S5630:T5631"/>
    <mergeCell ref="U5630:V5631"/>
    <mergeCell ref="W5630:W5631"/>
    <mergeCell ref="X5630:AB5630"/>
    <mergeCell ref="AD5630:AI5630"/>
    <mergeCell ref="AJ5630:AL5630"/>
    <mergeCell ref="AN5630:AO5630"/>
    <mergeCell ref="AP5630:AQ5630"/>
    <mergeCell ref="AR5630:AS5631"/>
    <mergeCell ref="AT5630:AU5631"/>
    <mergeCell ref="AV5630:AW5631"/>
    <mergeCell ref="AX5630:AY5631"/>
    <mergeCell ref="AZ5630:AZ5631"/>
    <mergeCell ref="F5631:H5631"/>
    <mergeCell ref="X5631:AB5631"/>
    <mergeCell ref="AE5631:AI5631"/>
    <mergeCell ref="AJ5631:AL5631"/>
    <mergeCell ref="AN5631:AO5631"/>
    <mergeCell ref="AP5631:AQ5631"/>
    <mergeCell ref="W5506:W5507"/>
    <mergeCell ref="X5506:AB5506"/>
    <mergeCell ref="AD5506:AI5506"/>
    <mergeCell ref="AJ5506:AL5506"/>
    <mergeCell ref="AN5506:AO5506"/>
    <mergeCell ref="AP5506:AQ5506"/>
    <mergeCell ref="AR5506:AS5507"/>
    <mergeCell ref="AT5506:AU5507"/>
    <mergeCell ref="AV5506:AW5507"/>
    <mergeCell ref="AX5506:AY5507"/>
    <mergeCell ref="AZ5506:AZ5507"/>
    <mergeCell ref="F5507:H5507"/>
    <mergeCell ref="X5507:AB5507"/>
    <mergeCell ref="AE5507:AI5507"/>
    <mergeCell ref="AJ5507:AL5507"/>
    <mergeCell ref="AN5507:AO5507"/>
    <mergeCell ref="AP5507:AQ5507"/>
    <mergeCell ref="A5508:A5509"/>
    <mergeCell ref="E5508:E5509"/>
    <mergeCell ref="F5508:H5508"/>
    <mergeCell ref="J5508:J5509"/>
    <mergeCell ref="K5508:L5509"/>
    <mergeCell ref="M5508:N5509"/>
    <mergeCell ref="O5508:P5509"/>
    <mergeCell ref="Q5508:R5509"/>
    <mergeCell ref="S5508:T5509"/>
    <mergeCell ref="U5508:V5509"/>
    <mergeCell ref="W5508:W5509"/>
    <mergeCell ref="X5508:AB5508"/>
    <mergeCell ref="AD5508:AI5508"/>
    <mergeCell ref="AJ5508:AL5508"/>
    <mergeCell ref="AN5508:AO5508"/>
    <mergeCell ref="AP5508:AQ5508"/>
    <mergeCell ref="AR5508:AS5509"/>
    <mergeCell ref="AT5508:AU5509"/>
    <mergeCell ref="AV5508:AW5509"/>
    <mergeCell ref="AX5508:AY5509"/>
    <mergeCell ref="AZ5508:AZ5509"/>
    <mergeCell ref="F5509:H5509"/>
    <mergeCell ref="X5509:AB5509"/>
    <mergeCell ref="AE5509:AI5509"/>
    <mergeCell ref="AJ5509:AL5509"/>
    <mergeCell ref="AN5509:AO5509"/>
    <mergeCell ref="AP5509:AQ5509"/>
    <mergeCell ref="A5544:A5545"/>
    <mergeCell ref="E5544:E5545"/>
    <mergeCell ref="F5544:H5544"/>
    <mergeCell ref="J5544:J5545"/>
    <mergeCell ref="K5544:L5545"/>
    <mergeCell ref="M5544:N5545"/>
    <mergeCell ref="O5544:P5545"/>
    <mergeCell ref="Q5544:R5545"/>
    <mergeCell ref="S5544:T5545"/>
    <mergeCell ref="U5544:V5545"/>
    <mergeCell ref="W5544:W5545"/>
    <mergeCell ref="X5544:AB5544"/>
    <mergeCell ref="AD5544:AI5544"/>
    <mergeCell ref="AJ5544:AL5544"/>
    <mergeCell ref="AN5544:AO5544"/>
    <mergeCell ref="AP5544:AQ5544"/>
    <mergeCell ref="AR5544:AS5545"/>
    <mergeCell ref="AT5544:AU5545"/>
    <mergeCell ref="AV5544:AW5545"/>
    <mergeCell ref="AX5544:AY5545"/>
    <mergeCell ref="AZ5544:AZ5545"/>
    <mergeCell ref="F5545:H5545"/>
    <mergeCell ref="X5545:AB5545"/>
    <mergeCell ref="AE5545:AI5545"/>
    <mergeCell ref="AJ5545:AL5545"/>
    <mergeCell ref="AN5545:AO5545"/>
    <mergeCell ref="AP5545:AQ5545"/>
    <mergeCell ref="A5546:A5547"/>
    <mergeCell ref="E5546:E5547"/>
    <mergeCell ref="F5546:H5546"/>
    <mergeCell ref="J5546:J5547"/>
    <mergeCell ref="K5546:L5547"/>
    <mergeCell ref="M5546:N5547"/>
    <mergeCell ref="O5546:P5547"/>
    <mergeCell ref="Q5546:R5547"/>
    <mergeCell ref="S5546:T5547"/>
    <mergeCell ref="U5546:V5547"/>
    <mergeCell ref="W5546:W5547"/>
    <mergeCell ref="X5546:AB5546"/>
    <mergeCell ref="AD5546:AI5546"/>
    <mergeCell ref="AJ5546:AL5546"/>
    <mergeCell ref="AN5546:AO5546"/>
    <mergeCell ref="AP5546:AQ5546"/>
    <mergeCell ref="AR5546:AS5547"/>
    <mergeCell ref="AT5546:AU5547"/>
    <mergeCell ref="AV5546:AW5547"/>
    <mergeCell ref="AX5546:AY5547"/>
    <mergeCell ref="AZ5546:AZ5547"/>
    <mergeCell ref="F5547:H5547"/>
    <mergeCell ref="X5547:AB5547"/>
    <mergeCell ref="AE5547:AI5547"/>
    <mergeCell ref="AJ5547:AL5547"/>
    <mergeCell ref="AN5547:AO5547"/>
    <mergeCell ref="AP5547:AQ5547"/>
    <mergeCell ref="A5540:A5541"/>
    <mergeCell ref="E5540:E5541"/>
    <mergeCell ref="F5540:H5540"/>
    <mergeCell ref="J5540:J5541"/>
    <mergeCell ref="K5540:L5541"/>
    <mergeCell ref="M5540:N5541"/>
    <mergeCell ref="O5540:P5541"/>
    <mergeCell ref="Q5540:R5541"/>
    <mergeCell ref="S5540:T5541"/>
    <mergeCell ref="U5540:V5541"/>
    <mergeCell ref="W5540:W5541"/>
    <mergeCell ref="X5540:AB5540"/>
    <mergeCell ref="AD5540:AI5540"/>
    <mergeCell ref="AJ5540:AL5540"/>
    <mergeCell ref="AN5540:AO5540"/>
    <mergeCell ref="AP5540:AQ5540"/>
    <mergeCell ref="AR5540:AS5541"/>
    <mergeCell ref="AT5540:AU5541"/>
    <mergeCell ref="AV5540:AW5541"/>
    <mergeCell ref="AX5540:AY5541"/>
    <mergeCell ref="AZ5540:AZ5541"/>
    <mergeCell ref="F5541:H5541"/>
    <mergeCell ref="X5541:AB5541"/>
    <mergeCell ref="AE5541:AI5541"/>
    <mergeCell ref="AJ5541:AL5541"/>
    <mergeCell ref="AN5541:AO5541"/>
    <mergeCell ref="AP5541:AQ5541"/>
    <mergeCell ref="A5542:A5543"/>
    <mergeCell ref="E5542:E5543"/>
    <mergeCell ref="F5542:H5542"/>
    <mergeCell ref="J5542:J5543"/>
    <mergeCell ref="K5542:L5543"/>
    <mergeCell ref="M5542:N5543"/>
    <mergeCell ref="O5542:P5543"/>
    <mergeCell ref="Q5542:R5543"/>
    <mergeCell ref="S5542:T5543"/>
    <mergeCell ref="U5542:V5543"/>
    <mergeCell ref="W5542:W5543"/>
    <mergeCell ref="X5542:AB5542"/>
    <mergeCell ref="AD5542:AI5542"/>
    <mergeCell ref="AJ5542:AL5542"/>
    <mergeCell ref="AN5542:AO5542"/>
    <mergeCell ref="AP5542:AQ5542"/>
    <mergeCell ref="AR5542:AS5543"/>
    <mergeCell ref="AT5542:AU5543"/>
    <mergeCell ref="AV5542:AW5543"/>
    <mergeCell ref="AX5542:AY5543"/>
    <mergeCell ref="AZ5542:AZ5543"/>
    <mergeCell ref="F5543:H5543"/>
    <mergeCell ref="X5543:AB5543"/>
    <mergeCell ref="AE5543:AI5543"/>
    <mergeCell ref="AJ5543:AL5543"/>
    <mergeCell ref="AN5543:AO5543"/>
    <mergeCell ref="AP5543:AQ5543"/>
    <mergeCell ref="A5536:A5537"/>
    <mergeCell ref="E5536:E5537"/>
    <mergeCell ref="F5536:H5536"/>
    <mergeCell ref="J5536:J5537"/>
    <mergeCell ref="K5536:L5537"/>
    <mergeCell ref="M5536:N5537"/>
    <mergeCell ref="O5536:P5537"/>
    <mergeCell ref="Q5536:R5537"/>
    <mergeCell ref="S5536:T5537"/>
    <mergeCell ref="U5536:V5537"/>
    <mergeCell ref="W5536:W5537"/>
    <mergeCell ref="X5536:AB5536"/>
    <mergeCell ref="AD5536:AI5536"/>
    <mergeCell ref="AJ5536:AL5536"/>
    <mergeCell ref="AN5536:AO5536"/>
    <mergeCell ref="AP5536:AQ5536"/>
    <mergeCell ref="AR5536:AS5537"/>
    <mergeCell ref="AT5536:AU5537"/>
    <mergeCell ref="AV5536:AW5537"/>
    <mergeCell ref="AX5536:AY5537"/>
    <mergeCell ref="AZ5536:AZ5537"/>
    <mergeCell ref="F5537:H5537"/>
    <mergeCell ref="X5537:AB5537"/>
    <mergeCell ref="AE5537:AI5537"/>
    <mergeCell ref="AJ5537:AL5537"/>
    <mergeCell ref="AN5537:AO5537"/>
    <mergeCell ref="AP5537:AQ5537"/>
    <mergeCell ref="A5538:A5539"/>
    <mergeCell ref="E5538:E5539"/>
    <mergeCell ref="F5538:H5538"/>
    <mergeCell ref="J5538:J5539"/>
    <mergeCell ref="K5538:L5539"/>
    <mergeCell ref="M5538:N5539"/>
    <mergeCell ref="O5538:P5539"/>
    <mergeCell ref="Q5538:R5539"/>
    <mergeCell ref="S5538:T5539"/>
    <mergeCell ref="U5538:V5539"/>
    <mergeCell ref="W5538:W5539"/>
    <mergeCell ref="X5538:AB5538"/>
    <mergeCell ref="AD5538:AI5538"/>
    <mergeCell ref="AJ5538:AL5538"/>
    <mergeCell ref="AN5538:AO5538"/>
    <mergeCell ref="AP5538:AQ5538"/>
    <mergeCell ref="AR5538:AS5539"/>
    <mergeCell ref="AT5538:AU5539"/>
    <mergeCell ref="AV5538:AW5539"/>
    <mergeCell ref="AX5538:AY5539"/>
    <mergeCell ref="AZ5538:AZ5539"/>
    <mergeCell ref="F5539:H5539"/>
    <mergeCell ref="X5539:AB5539"/>
    <mergeCell ref="AE5539:AI5539"/>
    <mergeCell ref="AJ5539:AL5539"/>
    <mergeCell ref="AN5539:AO5539"/>
    <mergeCell ref="AP5539:AQ5539"/>
    <mergeCell ref="A5532:A5533"/>
    <mergeCell ref="E5532:E5533"/>
    <mergeCell ref="F5532:H5532"/>
    <mergeCell ref="J5532:J5533"/>
    <mergeCell ref="K5532:L5533"/>
    <mergeCell ref="M5532:N5533"/>
    <mergeCell ref="O5532:P5533"/>
    <mergeCell ref="Q5532:R5533"/>
    <mergeCell ref="S5532:T5533"/>
    <mergeCell ref="U5532:V5533"/>
    <mergeCell ref="W5532:W5533"/>
    <mergeCell ref="X5532:AB5532"/>
    <mergeCell ref="AD5532:AI5532"/>
    <mergeCell ref="AJ5532:AL5532"/>
    <mergeCell ref="AN5532:AO5532"/>
    <mergeCell ref="AP5532:AQ5532"/>
    <mergeCell ref="AR5532:AS5533"/>
    <mergeCell ref="AT5532:AU5533"/>
    <mergeCell ref="AV5532:AW5533"/>
    <mergeCell ref="AX5532:AY5533"/>
    <mergeCell ref="AZ5532:AZ5533"/>
    <mergeCell ref="F5533:H5533"/>
    <mergeCell ref="X5533:AB5533"/>
    <mergeCell ref="AE5533:AI5533"/>
    <mergeCell ref="AJ5533:AL5533"/>
    <mergeCell ref="AN5533:AO5533"/>
    <mergeCell ref="AP5533:AQ5533"/>
    <mergeCell ref="A5534:A5535"/>
    <mergeCell ref="E5534:E5535"/>
    <mergeCell ref="F5534:H5534"/>
    <mergeCell ref="J5534:J5535"/>
    <mergeCell ref="K5534:L5535"/>
    <mergeCell ref="M5534:N5535"/>
    <mergeCell ref="O5534:P5535"/>
    <mergeCell ref="Q5534:R5535"/>
    <mergeCell ref="S5534:T5535"/>
    <mergeCell ref="U5534:V5535"/>
    <mergeCell ref="W5534:W5535"/>
    <mergeCell ref="X5534:AB5534"/>
    <mergeCell ref="AD5534:AI5534"/>
    <mergeCell ref="AJ5534:AL5534"/>
    <mergeCell ref="AN5534:AO5534"/>
    <mergeCell ref="AP5534:AQ5534"/>
    <mergeCell ref="AR5534:AS5535"/>
    <mergeCell ref="AT5534:AU5535"/>
    <mergeCell ref="AV5534:AW5535"/>
    <mergeCell ref="AX5534:AY5535"/>
    <mergeCell ref="AZ5534:AZ5535"/>
    <mergeCell ref="F5535:H5535"/>
    <mergeCell ref="X5535:AB5535"/>
    <mergeCell ref="AE5535:AI5535"/>
    <mergeCell ref="AJ5535:AL5535"/>
    <mergeCell ref="AN5535:AO5535"/>
    <mergeCell ref="AP5535:AQ5535"/>
    <mergeCell ref="A5528:A5529"/>
    <mergeCell ref="E5528:E5529"/>
    <mergeCell ref="F5528:H5528"/>
    <mergeCell ref="J5528:J5529"/>
    <mergeCell ref="K5528:L5529"/>
    <mergeCell ref="M5528:N5529"/>
    <mergeCell ref="O5528:P5529"/>
    <mergeCell ref="Q5528:R5529"/>
    <mergeCell ref="S5528:T5529"/>
    <mergeCell ref="U5528:V5529"/>
    <mergeCell ref="W5528:W5529"/>
    <mergeCell ref="X5528:AB5528"/>
    <mergeCell ref="AD5528:AI5528"/>
    <mergeCell ref="AJ5528:AL5528"/>
    <mergeCell ref="AN5528:AO5528"/>
    <mergeCell ref="AP5528:AQ5528"/>
    <mergeCell ref="AR5528:AS5529"/>
    <mergeCell ref="AT5528:AU5529"/>
    <mergeCell ref="AV5528:AW5529"/>
    <mergeCell ref="AX5528:AY5529"/>
    <mergeCell ref="AZ5528:AZ5529"/>
    <mergeCell ref="F5529:H5529"/>
    <mergeCell ref="X5529:AB5529"/>
    <mergeCell ref="AE5529:AI5529"/>
    <mergeCell ref="AJ5529:AL5529"/>
    <mergeCell ref="AN5529:AO5529"/>
    <mergeCell ref="AP5529:AQ5529"/>
    <mergeCell ref="A5530:A5531"/>
    <mergeCell ref="E5530:E5531"/>
    <mergeCell ref="F5530:H5530"/>
    <mergeCell ref="J5530:J5531"/>
    <mergeCell ref="K5530:L5531"/>
    <mergeCell ref="M5530:N5531"/>
    <mergeCell ref="O5530:P5531"/>
    <mergeCell ref="Q5530:R5531"/>
    <mergeCell ref="S5530:T5531"/>
    <mergeCell ref="U5530:V5531"/>
    <mergeCell ref="W5530:W5531"/>
    <mergeCell ref="X5530:AB5530"/>
    <mergeCell ref="AD5530:AI5530"/>
    <mergeCell ref="AJ5530:AL5530"/>
    <mergeCell ref="AN5530:AO5530"/>
    <mergeCell ref="AP5530:AQ5530"/>
    <mergeCell ref="AR5530:AS5531"/>
    <mergeCell ref="AT5530:AU5531"/>
    <mergeCell ref="AV5530:AW5531"/>
    <mergeCell ref="AX5530:AY5531"/>
    <mergeCell ref="AZ5530:AZ5531"/>
    <mergeCell ref="F5531:H5531"/>
    <mergeCell ref="X5531:AB5531"/>
    <mergeCell ref="AE5531:AI5531"/>
    <mergeCell ref="AJ5531:AL5531"/>
    <mergeCell ref="AN5531:AO5531"/>
    <mergeCell ref="AP5531:AQ5531"/>
    <mergeCell ref="A5524:A5525"/>
    <mergeCell ref="E5524:E5525"/>
    <mergeCell ref="F5524:H5524"/>
    <mergeCell ref="J5524:J5525"/>
    <mergeCell ref="K5524:L5525"/>
    <mergeCell ref="M5524:N5525"/>
    <mergeCell ref="O5524:P5525"/>
    <mergeCell ref="Q5524:R5525"/>
    <mergeCell ref="S5524:T5525"/>
    <mergeCell ref="U5524:V5525"/>
    <mergeCell ref="W5524:W5525"/>
    <mergeCell ref="X5524:AB5524"/>
    <mergeCell ref="AD5524:AI5524"/>
    <mergeCell ref="AJ5524:AL5524"/>
    <mergeCell ref="AN5524:AO5524"/>
    <mergeCell ref="AP5524:AQ5524"/>
    <mergeCell ref="AR5524:AS5525"/>
    <mergeCell ref="AT5524:AU5525"/>
    <mergeCell ref="AV5524:AW5525"/>
    <mergeCell ref="AX5524:AY5525"/>
    <mergeCell ref="AZ5524:AZ5525"/>
    <mergeCell ref="F5525:H5525"/>
    <mergeCell ref="X5525:AB5525"/>
    <mergeCell ref="AE5525:AI5525"/>
    <mergeCell ref="AJ5525:AL5525"/>
    <mergeCell ref="AN5525:AO5525"/>
    <mergeCell ref="AP5525:AQ5525"/>
    <mergeCell ref="A5526:A5527"/>
    <mergeCell ref="E5526:E5527"/>
    <mergeCell ref="F5526:H5526"/>
    <mergeCell ref="J5526:J5527"/>
    <mergeCell ref="K5526:L5527"/>
    <mergeCell ref="M5526:N5527"/>
    <mergeCell ref="O5526:P5527"/>
    <mergeCell ref="Q5526:R5527"/>
    <mergeCell ref="S5526:T5527"/>
    <mergeCell ref="U5526:V5527"/>
    <mergeCell ref="W5526:W5527"/>
    <mergeCell ref="X5526:AB5526"/>
    <mergeCell ref="AD5526:AI5526"/>
    <mergeCell ref="AJ5526:AL5526"/>
    <mergeCell ref="AN5526:AO5526"/>
    <mergeCell ref="AP5526:AQ5526"/>
    <mergeCell ref="AR5526:AS5527"/>
    <mergeCell ref="AT5526:AU5527"/>
    <mergeCell ref="AV5526:AW5527"/>
    <mergeCell ref="AX5526:AY5527"/>
    <mergeCell ref="AZ5526:AZ5527"/>
    <mergeCell ref="F5527:H5527"/>
    <mergeCell ref="X5527:AB5527"/>
    <mergeCell ref="AE5527:AI5527"/>
    <mergeCell ref="AJ5527:AL5527"/>
    <mergeCell ref="AN5527:AO5527"/>
    <mergeCell ref="AP5527:AQ5527"/>
    <mergeCell ref="A5520:A5521"/>
    <mergeCell ref="E5520:E5521"/>
    <mergeCell ref="F5520:H5520"/>
    <mergeCell ref="J5520:J5521"/>
    <mergeCell ref="K5520:L5521"/>
    <mergeCell ref="M5520:N5521"/>
    <mergeCell ref="O5520:P5521"/>
    <mergeCell ref="Q5520:R5521"/>
    <mergeCell ref="S5520:T5521"/>
    <mergeCell ref="U5520:V5521"/>
    <mergeCell ref="W5520:W5521"/>
    <mergeCell ref="X5520:AB5520"/>
    <mergeCell ref="AD5520:AI5520"/>
    <mergeCell ref="AJ5520:AL5520"/>
    <mergeCell ref="AN5520:AO5520"/>
    <mergeCell ref="AP5520:AQ5520"/>
    <mergeCell ref="AR5520:AS5521"/>
    <mergeCell ref="AT5520:AU5521"/>
    <mergeCell ref="AV5520:AW5521"/>
    <mergeCell ref="AX5520:AY5521"/>
    <mergeCell ref="AZ5520:AZ5521"/>
    <mergeCell ref="F5521:H5521"/>
    <mergeCell ref="X5521:AB5521"/>
    <mergeCell ref="AE5521:AI5521"/>
    <mergeCell ref="AJ5521:AL5521"/>
    <mergeCell ref="AN5521:AO5521"/>
    <mergeCell ref="AP5521:AQ5521"/>
    <mergeCell ref="A5522:A5523"/>
    <mergeCell ref="E5522:E5523"/>
    <mergeCell ref="F5522:H5522"/>
    <mergeCell ref="J5522:J5523"/>
    <mergeCell ref="K5522:L5523"/>
    <mergeCell ref="M5522:N5523"/>
    <mergeCell ref="O5522:P5523"/>
    <mergeCell ref="Q5522:R5523"/>
    <mergeCell ref="S5522:T5523"/>
    <mergeCell ref="U5522:V5523"/>
    <mergeCell ref="W5522:W5523"/>
    <mergeCell ref="X5522:AB5522"/>
    <mergeCell ref="AD5522:AI5522"/>
    <mergeCell ref="AJ5522:AL5522"/>
    <mergeCell ref="AN5522:AO5522"/>
    <mergeCell ref="AP5522:AQ5522"/>
    <mergeCell ref="AR5522:AS5523"/>
    <mergeCell ref="AT5522:AU5523"/>
    <mergeCell ref="AV5522:AW5523"/>
    <mergeCell ref="AX5522:AY5523"/>
    <mergeCell ref="AZ5522:AZ5523"/>
    <mergeCell ref="F5523:H5523"/>
    <mergeCell ref="X5523:AB5523"/>
    <mergeCell ref="AE5523:AI5523"/>
    <mergeCell ref="AJ5523:AL5523"/>
    <mergeCell ref="AN5523:AO5523"/>
    <mergeCell ref="AP5523:AQ5523"/>
    <mergeCell ref="A5516:A5517"/>
    <mergeCell ref="E5516:E5517"/>
    <mergeCell ref="F5516:H5516"/>
    <mergeCell ref="J5516:J5517"/>
    <mergeCell ref="K5516:L5517"/>
    <mergeCell ref="M5516:N5517"/>
    <mergeCell ref="O5516:P5517"/>
    <mergeCell ref="Q5516:R5517"/>
    <mergeCell ref="S5516:T5517"/>
    <mergeCell ref="U5516:V5517"/>
    <mergeCell ref="W5516:W5517"/>
    <mergeCell ref="X5516:AB5516"/>
    <mergeCell ref="AD5516:AI5516"/>
    <mergeCell ref="AJ5516:AL5516"/>
    <mergeCell ref="AN5516:AO5516"/>
    <mergeCell ref="AP5516:AQ5516"/>
    <mergeCell ref="AR5516:AS5517"/>
    <mergeCell ref="AT5516:AU5517"/>
    <mergeCell ref="AV5516:AW5517"/>
    <mergeCell ref="AX5516:AY5517"/>
    <mergeCell ref="AZ5516:AZ5517"/>
    <mergeCell ref="F5517:H5517"/>
    <mergeCell ref="X5517:AB5517"/>
    <mergeCell ref="AE5517:AI5517"/>
    <mergeCell ref="AJ5517:AL5517"/>
    <mergeCell ref="AN5517:AO5517"/>
    <mergeCell ref="AP5517:AQ5517"/>
    <mergeCell ref="A5518:A5519"/>
    <mergeCell ref="E5518:E5519"/>
    <mergeCell ref="F5518:H5518"/>
    <mergeCell ref="J5518:J5519"/>
    <mergeCell ref="K5518:L5519"/>
    <mergeCell ref="M5518:N5519"/>
    <mergeCell ref="O5518:P5519"/>
    <mergeCell ref="Q5518:R5519"/>
    <mergeCell ref="S5518:T5519"/>
    <mergeCell ref="U5518:V5519"/>
    <mergeCell ref="W5518:W5519"/>
    <mergeCell ref="X5518:AB5518"/>
    <mergeCell ref="AD5518:AI5518"/>
    <mergeCell ref="AJ5518:AL5518"/>
    <mergeCell ref="AN5518:AO5518"/>
    <mergeCell ref="AP5518:AQ5518"/>
    <mergeCell ref="AR5518:AS5519"/>
    <mergeCell ref="AT5518:AU5519"/>
    <mergeCell ref="AV5518:AW5519"/>
    <mergeCell ref="AX5518:AY5519"/>
    <mergeCell ref="AZ5518:AZ5519"/>
    <mergeCell ref="F5519:H5519"/>
    <mergeCell ref="X5519:AB5519"/>
    <mergeCell ref="AE5519:AI5519"/>
    <mergeCell ref="AJ5519:AL5519"/>
    <mergeCell ref="AN5519:AO5519"/>
    <mergeCell ref="AP5519:AQ5519"/>
    <mergeCell ref="A5512:A5513"/>
    <mergeCell ref="E5512:E5513"/>
    <mergeCell ref="F5512:H5512"/>
    <mergeCell ref="J5512:J5513"/>
    <mergeCell ref="K5512:L5513"/>
    <mergeCell ref="M5512:N5513"/>
    <mergeCell ref="O5512:P5513"/>
    <mergeCell ref="Q5512:R5513"/>
    <mergeCell ref="S5512:T5513"/>
    <mergeCell ref="U5512:V5513"/>
    <mergeCell ref="W5512:W5513"/>
    <mergeCell ref="X5512:AB5512"/>
    <mergeCell ref="AD5512:AI5512"/>
    <mergeCell ref="AJ5512:AL5512"/>
    <mergeCell ref="AN5512:AO5512"/>
    <mergeCell ref="AP5512:AQ5512"/>
    <mergeCell ref="AR5512:AS5513"/>
    <mergeCell ref="AT5512:AU5513"/>
    <mergeCell ref="AV5512:AW5513"/>
    <mergeCell ref="AX5512:AY5513"/>
    <mergeCell ref="AZ5512:AZ5513"/>
    <mergeCell ref="F5513:H5513"/>
    <mergeCell ref="X5513:AB5513"/>
    <mergeCell ref="AE5513:AI5513"/>
    <mergeCell ref="AJ5513:AL5513"/>
    <mergeCell ref="AN5513:AO5513"/>
    <mergeCell ref="AP5513:AQ5513"/>
    <mergeCell ref="A5514:A5515"/>
    <mergeCell ref="E5514:E5515"/>
    <mergeCell ref="F5514:H5514"/>
    <mergeCell ref="J5514:J5515"/>
    <mergeCell ref="K5514:L5515"/>
    <mergeCell ref="M5514:N5515"/>
    <mergeCell ref="O5514:P5515"/>
    <mergeCell ref="Q5514:R5515"/>
    <mergeCell ref="S5514:T5515"/>
    <mergeCell ref="U5514:V5515"/>
    <mergeCell ref="W5514:W5515"/>
    <mergeCell ref="X5514:AB5514"/>
    <mergeCell ref="AD5514:AI5514"/>
    <mergeCell ref="AJ5514:AL5514"/>
    <mergeCell ref="AN5514:AO5514"/>
    <mergeCell ref="AP5514:AQ5514"/>
    <mergeCell ref="AR5514:AS5515"/>
    <mergeCell ref="AT5514:AU5515"/>
    <mergeCell ref="AV5514:AW5515"/>
    <mergeCell ref="AX5514:AY5515"/>
    <mergeCell ref="AZ5514:AZ5515"/>
    <mergeCell ref="F5515:H5515"/>
    <mergeCell ref="X5515:AB5515"/>
    <mergeCell ref="AE5515:AI5515"/>
    <mergeCell ref="AJ5515:AL5515"/>
    <mergeCell ref="AN5515:AO5515"/>
    <mergeCell ref="AP5515:AQ5515"/>
    <mergeCell ref="A5504:A5505"/>
    <mergeCell ref="E5504:E5505"/>
    <mergeCell ref="F5504:H5504"/>
    <mergeCell ref="J5504:J5505"/>
    <mergeCell ref="K5504:L5505"/>
    <mergeCell ref="M5504:N5505"/>
    <mergeCell ref="O5504:P5505"/>
    <mergeCell ref="Q5504:R5505"/>
    <mergeCell ref="S5504:T5505"/>
    <mergeCell ref="U5504:V5505"/>
    <mergeCell ref="W5504:W5505"/>
    <mergeCell ref="X5504:AB5504"/>
    <mergeCell ref="AD5504:AI5504"/>
    <mergeCell ref="AJ5504:AL5504"/>
    <mergeCell ref="AN5504:AO5504"/>
    <mergeCell ref="AP5504:AQ5504"/>
    <mergeCell ref="AR5504:AS5505"/>
    <mergeCell ref="AT5504:AU5505"/>
    <mergeCell ref="AV5504:AW5505"/>
    <mergeCell ref="AX5504:AY5505"/>
    <mergeCell ref="AZ5504:AZ5505"/>
    <mergeCell ref="F5505:H5505"/>
    <mergeCell ref="X5505:AB5505"/>
    <mergeCell ref="AE5505:AI5505"/>
    <mergeCell ref="AJ5505:AL5505"/>
    <mergeCell ref="AN5505:AO5505"/>
    <mergeCell ref="AP5505:AQ5505"/>
    <mergeCell ref="A5510:A5511"/>
    <mergeCell ref="E5510:E5511"/>
    <mergeCell ref="F5510:H5510"/>
    <mergeCell ref="J5510:J5511"/>
    <mergeCell ref="K5510:L5511"/>
    <mergeCell ref="M5510:N5511"/>
    <mergeCell ref="O5510:P5511"/>
    <mergeCell ref="Q5510:R5511"/>
    <mergeCell ref="S5510:T5511"/>
    <mergeCell ref="U5510:V5511"/>
    <mergeCell ref="W5510:W5511"/>
    <mergeCell ref="X5510:AB5510"/>
    <mergeCell ref="AD5510:AI5510"/>
    <mergeCell ref="AJ5510:AL5510"/>
    <mergeCell ref="AN5510:AO5510"/>
    <mergeCell ref="AP5510:AQ5510"/>
    <mergeCell ref="AR5510:AS5511"/>
    <mergeCell ref="AT5510:AU5511"/>
    <mergeCell ref="AV5510:AW5511"/>
    <mergeCell ref="AX5510:AY5511"/>
    <mergeCell ref="AZ5510:AZ5511"/>
    <mergeCell ref="F5511:H5511"/>
    <mergeCell ref="X5511:AB5511"/>
    <mergeCell ref="AE5511:AI5511"/>
    <mergeCell ref="AJ5511:AL5511"/>
    <mergeCell ref="AN5511:AO5511"/>
    <mergeCell ref="AP5511:AQ5511"/>
    <mergeCell ref="A5506:A5507"/>
    <mergeCell ref="E5506:E5507"/>
    <mergeCell ref="F5506:H5506"/>
    <mergeCell ref="J5506:J5507"/>
    <mergeCell ref="K5506:L5507"/>
    <mergeCell ref="M5506:N5507"/>
    <mergeCell ref="O5506:P5507"/>
    <mergeCell ref="Q5506:R5507"/>
    <mergeCell ref="S5506:T5507"/>
    <mergeCell ref="U5506:V5507"/>
    <mergeCell ref="A5500:A5501"/>
    <mergeCell ref="E5500:E5501"/>
    <mergeCell ref="F5500:H5500"/>
    <mergeCell ref="J5500:J5501"/>
    <mergeCell ref="K5500:L5501"/>
    <mergeCell ref="M5500:N5501"/>
    <mergeCell ref="O5500:P5501"/>
    <mergeCell ref="Q5500:R5501"/>
    <mergeCell ref="S5500:T5501"/>
    <mergeCell ref="U5500:V5501"/>
    <mergeCell ref="W5500:W5501"/>
    <mergeCell ref="X5500:AB5500"/>
    <mergeCell ref="AD5500:AI5500"/>
    <mergeCell ref="AJ5500:AL5500"/>
    <mergeCell ref="AN5500:AO5500"/>
    <mergeCell ref="AP5500:AQ5500"/>
    <mergeCell ref="AR5500:AS5501"/>
    <mergeCell ref="AT5500:AU5501"/>
    <mergeCell ref="AV5500:AW5501"/>
    <mergeCell ref="AX5500:AY5501"/>
    <mergeCell ref="AZ5500:AZ5501"/>
    <mergeCell ref="F5501:H5501"/>
    <mergeCell ref="X5501:AB5501"/>
    <mergeCell ref="AE5501:AI5501"/>
    <mergeCell ref="AJ5501:AL5501"/>
    <mergeCell ref="AN5501:AO5501"/>
    <mergeCell ref="AP5501:AQ5501"/>
    <mergeCell ref="A5502:A5503"/>
    <mergeCell ref="E5502:E5503"/>
    <mergeCell ref="F5502:H5502"/>
    <mergeCell ref="J5502:J5503"/>
    <mergeCell ref="K5502:L5503"/>
    <mergeCell ref="M5502:N5503"/>
    <mergeCell ref="O5502:P5503"/>
    <mergeCell ref="Q5502:R5503"/>
    <mergeCell ref="S5502:T5503"/>
    <mergeCell ref="U5502:V5503"/>
    <mergeCell ref="W5502:W5503"/>
    <mergeCell ref="X5502:AB5502"/>
    <mergeCell ref="AD5502:AI5502"/>
    <mergeCell ref="AJ5502:AL5502"/>
    <mergeCell ref="AN5502:AO5502"/>
    <mergeCell ref="AP5502:AQ5502"/>
    <mergeCell ref="AR5502:AS5503"/>
    <mergeCell ref="AT5502:AU5503"/>
    <mergeCell ref="AV5502:AW5503"/>
    <mergeCell ref="AX5502:AY5503"/>
    <mergeCell ref="AZ5502:AZ5503"/>
    <mergeCell ref="F5503:H5503"/>
    <mergeCell ref="X5503:AB5503"/>
    <mergeCell ref="AE5503:AI5503"/>
    <mergeCell ref="AJ5503:AL5503"/>
    <mergeCell ref="AN5503:AO5503"/>
    <mergeCell ref="AP5503:AQ5503"/>
    <mergeCell ref="A5496:A5497"/>
    <mergeCell ref="E5496:E5497"/>
    <mergeCell ref="F5496:H5496"/>
    <mergeCell ref="J5496:J5497"/>
    <mergeCell ref="K5496:L5497"/>
    <mergeCell ref="M5496:N5497"/>
    <mergeCell ref="O5496:P5497"/>
    <mergeCell ref="Q5496:R5497"/>
    <mergeCell ref="S5496:T5497"/>
    <mergeCell ref="U5496:V5497"/>
    <mergeCell ref="W5496:W5497"/>
    <mergeCell ref="X5496:AB5496"/>
    <mergeCell ref="AD5496:AI5496"/>
    <mergeCell ref="AJ5496:AL5496"/>
    <mergeCell ref="AN5496:AO5496"/>
    <mergeCell ref="AP5496:AQ5496"/>
    <mergeCell ref="AR5496:AS5497"/>
    <mergeCell ref="AT5496:AU5497"/>
    <mergeCell ref="AV5496:AW5497"/>
    <mergeCell ref="AX5496:AY5497"/>
    <mergeCell ref="AZ5496:AZ5497"/>
    <mergeCell ref="F5497:H5497"/>
    <mergeCell ref="X5497:AB5497"/>
    <mergeCell ref="AE5497:AI5497"/>
    <mergeCell ref="AJ5497:AL5497"/>
    <mergeCell ref="AN5497:AO5497"/>
    <mergeCell ref="AP5497:AQ5497"/>
    <mergeCell ref="A5498:A5499"/>
    <mergeCell ref="E5498:E5499"/>
    <mergeCell ref="F5498:H5498"/>
    <mergeCell ref="J5498:J5499"/>
    <mergeCell ref="K5498:L5499"/>
    <mergeCell ref="M5498:N5499"/>
    <mergeCell ref="O5498:P5499"/>
    <mergeCell ref="Q5498:R5499"/>
    <mergeCell ref="S5498:T5499"/>
    <mergeCell ref="U5498:V5499"/>
    <mergeCell ref="W5498:W5499"/>
    <mergeCell ref="X5498:AB5498"/>
    <mergeCell ref="AD5498:AI5498"/>
    <mergeCell ref="AJ5498:AL5498"/>
    <mergeCell ref="AN5498:AO5498"/>
    <mergeCell ref="AP5498:AQ5498"/>
    <mergeCell ref="AR5498:AS5499"/>
    <mergeCell ref="AT5498:AU5499"/>
    <mergeCell ref="AV5498:AW5499"/>
    <mergeCell ref="AX5498:AY5499"/>
    <mergeCell ref="AZ5498:AZ5499"/>
    <mergeCell ref="F5499:H5499"/>
    <mergeCell ref="X5499:AB5499"/>
    <mergeCell ref="AE5499:AI5499"/>
    <mergeCell ref="AJ5499:AL5499"/>
    <mergeCell ref="AN5499:AO5499"/>
    <mergeCell ref="AP5499:AQ5499"/>
    <mergeCell ref="A5492:A5493"/>
    <mergeCell ref="E5492:E5493"/>
    <mergeCell ref="F5492:H5492"/>
    <mergeCell ref="J5492:J5493"/>
    <mergeCell ref="K5492:L5493"/>
    <mergeCell ref="M5492:N5493"/>
    <mergeCell ref="O5492:P5493"/>
    <mergeCell ref="Q5492:R5493"/>
    <mergeCell ref="S5492:T5493"/>
    <mergeCell ref="U5492:V5493"/>
    <mergeCell ref="W5492:W5493"/>
    <mergeCell ref="X5492:AB5492"/>
    <mergeCell ref="AD5492:AI5492"/>
    <mergeCell ref="AJ5492:AL5492"/>
    <mergeCell ref="AN5492:AO5492"/>
    <mergeCell ref="AP5492:AQ5492"/>
    <mergeCell ref="AR5492:AS5493"/>
    <mergeCell ref="AT5492:AU5493"/>
    <mergeCell ref="AV5492:AW5493"/>
    <mergeCell ref="AX5492:AY5493"/>
    <mergeCell ref="AZ5492:AZ5493"/>
    <mergeCell ref="F5493:H5493"/>
    <mergeCell ref="X5493:AB5493"/>
    <mergeCell ref="AE5493:AI5493"/>
    <mergeCell ref="AJ5493:AL5493"/>
    <mergeCell ref="AN5493:AO5493"/>
    <mergeCell ref="AP5493:AQ5493"/>
    <mergeCell ref="A5494:A5495"/>
    <mergeCell ref="E5494:E5495"/>
    <mergeCell ref="F5494:H5494"/>
    <mergeCell ref="J5494:J5495"/>
    <mergeCell ref="K5494:L5495"/>
    <mergeCell ref="M5494:N5495"/>
    <mergeCell ref="O5494:P5495"/>
    <mergeCell ref="Q5494:R5495"/>
    <mergeCell ref="S5494:T5495"/>
    <mergeCell ref="U5494:V5495"/>
    <mergeCell ref="W5494:W5495"/>
    <mergeCell ref="X5494:AB5494"/>
    <mergeCell ref="AD5494:AI5494"/>
    <mergeCell ref="AJ5494:AL5494"/>
    <mergeCell ref="AN5494:AO5494"/>
    <mergeCell ref="AP5494:AQ5494"/>
    <mergeCell ref="AR5494:AS5495"/>
    <mergeCell ref="AT5494:AU5495"/>
    <mergeCell ref="AV5494:AW5495"/>
    <mergeCell ref="AX5494:AY5495"/>
    <mergeCell ref="AZ5494:AZ5495"/>
    <mergeCell ref="F5495:H5495"/>
    <mergeCell ref="X5495:AB5495"/>
    <mergeCell ref="AE5495:AI5495"/>
    <mergeCell ref="AJ5495:AL5495"/>
    <mergeCell ref="AN5495:AO5495"/>
    <mergeCell ref="AP5495:AQ5495"/>
    <mergeCell ref="A5488:A5489"/>
    <mergeCell ref="E5488:E5489"/>
    <mergeCell ref="F5488:H5488"/>
    <mergeCell ref="J5488:J5489"/>
    <mergeCell ref="K5488:L5489"/>
    <mergeCell ref="M5488:N5489"/>
    <mergeCell ref="O5488:P5489"/>
    <mergeCell ref="Q5488:R5489"/>
    <mergeCell ref="S5488:T5489"/>
    <mergeCell ref="U5488:V5489"/>
    <mergeCell ref="W5488:W5489"/>
    <mergeCell ref="X5488:AB5488"/>
    <mergeCell ref="AD5488:AI5488"/>
    <mergeCell ref="AJ5488:AL5488"/>
    <mergeCell ref="AN5488:AO5488"/>
    <mergeCell ref="AP5488:AQ5488"/>
    <mergeCell ref="AR5488:AS5489"/>
    <mergeCell ref="AT5488:AU5489"/>
    <mergeCell ref="AV5488:AW5489"/>
    <mergeCell ref="AX5488:AY5489"/>
    <mergeCell ref="AZ5488:AZ5489"/>
    <mergeCell ref="F5489:H5489"/>
    <mergeCell ref="X5489:AB5489"/>
    <mergeCell ref="AE5489:AI5489"/>
    <mergeCell ref="AJ5489:AL5489"/>
    <mergeCell ref="AN5489:AO5489"/>
    <mergeCell ref="AP5489:AQ5489"/>
    <mergeCell ref="A5490:A5491"/>
    <mergeCell ref="E5490:E5491"/>
    <mergeCell ref="F5490:H5490"/>
    <mergeCell ref="J5490:J5491"/>
    <mergeCell ref="K5490:L5491"/>
    <mergeCell ref="M5490:N5491"/>
    <mergeCell ref="O5490:P5491"/>
    <mergeCell ref="Q5490:R5491"/>
    <mergeCell ref="S5490:T5491"/>
    <mergeCell ref="U5490:V5491"/>
    <mergeCell ref="W5490:W5491"/>
    <mergeCell ref="X5490:AB5490"/>
    <mergeCell ref="AD5490:AI5490"/>
    <mergeCell ref="AJ5490:AL5490"/>
    <mergeCell ref="AN5490:AO5490"/>
    <mergeCell ref="AP5490:AQ5490"/>
    <mergeCell ref="AR5490:AS5491"/>
    <mergeCell ref="AT5490:AU5491"/>
    <mergeCell ref="AV5490:AW5491"/>
    <mergeCell ref="AX5490:AY5491"/>
    <mergeCell ref="AZ5490:AZ5491"/>
    <mergeCell ref="F5491:H5491"/>
    <mergeCell ref="X5491:AB5491"/>
    <mergeCell ref="AE5491:AI5491"/>
    <mergeCell ref="AJ5491:AL5491"/>
    <mergeCell ref="AN5491:AO5491"/>
    <mergeCell ref="AP5491:AQ5491"/>
    <mergeCell ref="A5484:A5485"/>
    <mergeCell ref="E5484:E5485"/>
    <mergeCell ref="F5484:H5484"/>
    <mergeCell ref="J5484:J5485"/>
    <mergeCell ref="K5484:L5485"/>
    <mergeCell ref="M5484:N5485"/>
    <mergeCell ref="O5484:P5485"/>
    <mergeCell ref="Q5484:R5485"/>
    <mergeCell ref="S5484:T5485"/>
    <mergeCell ref="U5484:V5485"/>
    <mergeCell ref="W5484:W5485"/>
    <mergeCell ref="X5484:AB5484"/>
    <mergeCell ref="AD5484:AI5484"/>
    <mergeCell ref="AJ5484:AL5484"/>
    <mergeCell ref="AN5484:AO5484"/>
    <mergeCell ref="AP5484:AQ5484"/>
    <mergeCell ref="AR5484:AS5485"/>
    <mergeCell ref="AT5484:AU5485"/>
    <mergeCell ref="AV5484:AW5485"/>
    <mergeCell ref="AX5484:AY5485"/>
    <mergeCell ref="AZ5484:AZ5485"/>
    <mergeCell ref="F5485:H5485"/>
    <mergeCell ref="X5485:AB5485"/>
    <mergeCell ref="AE5485:AI5485"/>
    <mergeCell ref="AJ5485:AL5485"/>
    <mergeCell ref="AN5485:AO5485"/>
    <mergeCell ref="AP5485:AQ5485"/>
    <mergeCell ref="A5486:A5487"/>
    <mergeCell ref="E5486:E5487"/>
    <mergeCell ref="F5486:H5486"/>
    <mergeCell ref="J5486:J5487"/>
    <mergeCell ref="K5486:L5487"/>
    <mergeCell ref="M5486:N5487"/>
    <mergeCell ref="O5486:P5487"/>
    <mergeCell ref="Q5486:R5487"/>
    <mergeCell ref="S5486:T5487"/>
    <mergeCell ref="U5486:V5487"/>
    <mergeCell ref="W5486:W5487"/>
    <mergeCell ref="X5486:AB5486"/>
    <mergeCell ref="AD5486:AI5486"/>
    <mergeCell ref="AJ5486:AL5486"/>
    <mergeCell ref="AN5486:AO5486"/>
    <mergeCell ref="AP5486:AQ5486"/>
    <mergeCell ref="AR5486:AS5487"/>
    <mergeCell ref="AT5486:AU5487"/>
    <mergeCell ref="AV5486:AW5487"/>
    <mergeCell ref="AX5486:AY5487"/>
    <mergeCell ref="AZ5486:AZ5487"/>
    <mergeCell ref="F5487:H5487"/>
    <mergeCell ref="X5487:AB5487"/>
    <mergeCell ref="AE5487:AI5487"/>
    <mergeCell ref="AJ5487:AL5487"/>
    <mergeCell ref="AN5487:AO5487"/>
    <mergeCell ref="AP5487:AQ5487"/>
    <mergeCell ref="A5480:A5481"/>
    <mergeCell ref="E5480:E5481"/>
    <mergeCell ref="F5480:H5480"/>
    <mergeCell ref="J5480:J5481"/>
    <mergeCell ref="K5480:L5481"/>
    <mergeCell ref="M5480:N5481"/>
    <mergeCell ref="O5480:P5481"/>
    <mergeCell ref="Q5480:R5481"/>
    <mergeCell ref="S5480:T5481"/>
    <mergeCell ref="U5480:V5481"/>
    <mergeCell ref="W5480:W5481"/>
    <mergeCell ref="X5480:AB5480"/>
    <mergeCell ref="AD5480:AI5480"/>
    <mergeCell ref="AJ5480:AL5480"/>
    <mergeCell ref="AN5480:AO5480"/>
    <mergeCell ref="AP5480:AQ5480"/>
    <mergeCell ref="AR5480:AS5481"/>
    <mergeCell ref="AT5480:AU5481"/>
    <mergeCell ref="AV5480:AW5481"/>
    <mergeCell ref="AX5480:AY5481"/>
    <mergeCell ref="AZ5480:AZ5481"/>
    <mergeCell ref="F5481:H5481"/>
    <mergeCell ref="X5481:AB5481"/>
    <mergeCell ref="AE5481:AI5481"/>
    <mergeCell ref="AJ5481:AL5481"/>
    <mergeCell ref="AN5481:AO5481"/>
    <mergeCell ref="AP5481:AQ5481"/>
    <mergeCell ref="A5482:A5483"/>
    <mergeCell ref="E5482:E5483"/>
    <mergeCell ref="F5482:H5482"/>
    <mergeCell ref="J5482:J5483"/>
    <mergeCell ref="K5482:L5483"/>
    <mergeCell ref="M5482:N5483"/>
    <mergeCell ref="O5482:P5483"/>
    <mergeCell ref="Q5482:R5483"/>
    <mergeCell ref="S5482:T5483"/>
    <mergeCell ref="U5482:V5483"/>
    <mergeCell ref="W5482:W5483"/>
    <mergeCell ref="X5482:AB5482"/>
    <mergeCell ref="AD5482:AI5482"/>
    <mergeCell ref="AJ5482:AL5482"/>
    <mergeCell ref="AN5482:AO5482"/>
    <mergeCell ref="AP5482:AQ5482"/>
    <mergeCell ref="AR5482:AS5483"/>
    <mergeCell ref="AT5482:AU5483"/>
    <mergeCell ref="AV5482:AW5483"/>
    <mergeCell ref="AX5482:AY5483"/>
    <mergeCell ref="AZ5482:AZ5483"/>
    <mergeCell ref="F5483:H5483"/>
    <mergeCell ref="X5483:AB5483"/>
    <mergeCell ref="AE5483:AI5483"/>
    <mergeCell ref="AJ5483:AL5483"/>
    <mergeCell ref="AN5483:AO5483"/>
    <mergeCell ref="AP5483:AQ5483"/>
    <mergeCell ref="A5476:A5477"/>
    <mergeCell ref="E5476:E5477"/>
    <mergeCell ref="F5476:H5476"/>
    <mergeCell ref="J5476:J5477"/>
    <mergeCell ref="K5476:L5477"/>
    <mergeCell ref="M5476:N5477"/>
    <mergeCell ref="O5476:P5477"/>
    <mergeCell ref="Q5476:R5477"/>
    <mergeCell ref="S5476:T5477"/>
    <mergeCell ref="U5476:V5477"/>
    <mergeCell ref="W5476:W5477"/>
    <mergeCell ref="X5476:AB5476"/>
    <mergeCell ref="AD5476:AI5476"/>
    <mergeCell ref="AJ5476:AL5476"/>
    <mergeCell ref="AN5476:AO5476"/>
    <mergeCell ref="AP5476:AQ5476"/>
    <mergeCell ref="AR5476:AS5477"/>
    <mergeCell ref="AT5476:AU5477"/>
    <mergeCell ref="AV5476:AW5477"/>
    <mergeCell ref="AX5476:AY5477"/>
    <mergeCell ref="AZ5476:AZ5477"/>
    <mergeCell ref="F5477:H5477"/>
    <mergeCell ref="X5477:AB5477"/>
    <mergeCell ref="AE5477:AI5477"/>
    <mergeCell ref="AJ5477:AL5477"/>
    <mergeCell ref="AN5477:AO5477"/>
    <mergeCell ref="AP5477:AQ5477"/>
    <mergeCell ref="A5478:A5479"/>
    <mergeCell ref="E5478:E5479"/>
    <mergeCell ref="F5478:H5478"/>
    <mergeCell ref="J5478:J5479"/>
    <mergeCell ref="K5478:L5479"/>
    <mergeCell ref="M5478:N5479"/>
    <mergeCell ref="O5478:P5479"/>
    <mergeCell ref="Q5478:R5479"/>
    <mergeCell ref="S5478:T5479"/>
    <mergeCell ref="U5478:V5479"/>
    <mergeCell ref="W5478:W5479"/>
    <mergeCell ref="X5478:AB5478"/>
    <mergeCell ref="AD5478:AI5478"/>
    <mergeCell ref="AJ5478:AL5478"/>
    <mergeCell ref="AN5478:AO5478"/>
    <mergeCell ref="AP5478:AQ5478"/>
    <mergeCell ref="AR5478:AS5479"/>
    <mergeCell ref="AT5478:AU5479"/>
    <mergeCell ref="AV5478:AW5479"/>
    <mergeCell ref="AX5478:AY5479"/>
    <mergeCell ref="AZ5478:AZ5479"/>
    <mergeCell ref="F5479:H5479"/>
    <mergeCell ref="X5479:AB5479"/>
    <mergeCell ref="AE5479:AI5479"/>
    <mergeCell ref="AJ5479:AL5479"/>
    <mergeCell ref="AN5479:AO5479"/>
    <mergeCell ref="AP5479:AQ5479"/>
    <mergeCell ref="A5472:A5473"/>
    <mergeCell ref="E5472:E5473"/>
    <mergeCell ref="F5472:H5472"/>
    <mergeCell ref="J5472:J5473"/>
    <mergeCell ref="K5472:L5473"/>
    <mergeCell ref="M5472:N5473"/>
    <mergeCell ref="O5472:P5473"/>
    <mergeCell ref="Q5472:R5473"/>
    <mergeCell ref="S5472:T5473"/>
    <mergeCell ref="U5472:V5473"/>
    <mergeCell ref="W5472:W5473"/>
    <mergeCell ref="X5472:AB5472"/>
    <mergeCell ref="AD5472:AI5472"/>
    <mergeCell ref="AJ5472:AL5472"/>
    <mergeCell ref="AN5472:AO5472"/>
    <mergeCell ref="AP5472:AQ5472"/>
    <mergeCell ref="AR5472:AS5473"/>
    <mergeCell ref="AT5472:AU5473"/>
    <mergeCell ref="AV5472:AW5473"/>
    <mergeCell ref="AX5472:AY5473"/>
    <mergeCell ref="AZ5472:AZ5473"/>
    <mergeCell ref="F5473:H5473"/>
    <mergeCell ref="X5473:AB5473"/>
    <mergeCell ref="AE5473:AI5473"/>
    <mergeCell ref="AJ5473:AL5473"/>
    <mergeCell ref="AN5473:AO5473"/>
    <mergeCell ref="AP5473:AQ5473"/>
    <mergeCell ref="A5474:A5475"/>
    <mergeCell ref="E5474:E5475"/>
    <mergeCell ref="F5474:H5474"/>
    <mergeCell ref="J5474:J5475"/>
    <mergeCell ref="K5474:L5475"/>
    <mergeCell ref="M5474:N5475"/>
    <mergeCell ref="O5474:P5475"/>
    <mergeCell ref="Q5474:R5475"/>
    <mergeCell ref="S5474:T5475"/>
    <mergeCell ref="U5474:V5475"/>
    <mergeCell ref="W5474:W5475"/>
    <mergeCell ref="X5474:AB5474"/>
    <mergeCell ref="AD5474:AI5474"/>
    <mergeCell ref="AJ5474:AL5474"/>
    <mergeCell ref="AN5474:AO5474"/>
    <mergeCell ref="AP5474:AQ5474"/>
    <mergeCell ref="AR5474:AS5475"/>
    <mergeCell ref="AT5474:AU5475"/>
    <mergeCell ref="AV5474:AW5475"/>
    <mergeCell ref="AX5474:AY5475"/>
    <mergeCell ref="AZ5474:AZ5475"/>
    <mergeCell ref="F5475:H5475"/>
    <mergeCell ref="X5475:AB5475"/>
    <mergeCell ref="AE5475:AI5475"/>
    <mergeCell ref="AJ5475:AL5475"/>
    <mergeCell ref="AN5475:AO5475"/>
    <mergeCell ref="AP5475:AQ5475"/>
    <mergeCell ref="A5468:A5469"/>
    <mergeCell ref="E5468:E5469"/>
    <mergeCell ref="F5468:H5468"/>
    <mergeCell ref="J5468:J5469"/>
    <mergeCell ref="K5468:L5469"/>
    <mergeCell ref="M5468:N5469"/>
    <mergeCell ref="O5468:P5469"/>
    <mergeCell ref="Q5468:R5469"/>
    <mergeCell ref="S5468:T5469"/>
    <mergeCell ref="U5468:V5469"/>
    <mergeCell ref="W5468:W5469"/>
    <mergeCell ref="X5468:AB5468"/>
    <mergeCell ref="AD5468:AI5468"/>
    <mergeCell ref="AJ5468:AL5468"/>
    <mergeCell ref="AN5468:AO5468"/>
    <mergeCell ref="AP5468:AQ5468"/>
    <mergeCell ref="AR5468:AS5469"/>
    <mergeCell ref="AT5468:AU5469"/>
    <mergeCell ref="AV5468:AW5469"/>
    <mergeCell ref="AX5468:AY5469"/>
    <mergeCell ref="AZ5468:AZ5469"/>
    <mergeCell ref="F5469:H5469"/>
    <mergeCell ref="X5469:AB5469"/>
    <mergeCell ref="AE5469:AI5469"/>
    <mergeCell ref="AJ5469:AL5469"/>
    <mergeCell ref="AN5469:AO5469"/>
    <mergeCell ref="AP5469:AQ5469"/>
    <mergeCell ref="A5470:A5471"/>
    <mergeCell ref="E5470:E5471"/>
    <mergeCell ref="F5470:H5470"/>
    <mergeCell ref="J5470:J5471"/>
    <mergeCell ref="K5470:L5471"/>
    <mergeCell ref="M5470:N5471"/>
    <mergeCell ref="O5470:P5471"/>
    <mergeCell ref="Q5470:R5471"/>
    <mergeCell ref="S5470:T5471"/>
    <mergeCell ref="U5470:V5471"/>
    <mergeCell ref="W5470:W5471"/>
    <mergeCell ref="X5470:AB5470"/>
    <mergeCell ref="AD5470:AI5470"/>
    <mergeCell ref="AJ5470:AL5470"/>
    <mergeCell ref="AN5470:AO5470"/>
    <mergeCell ref="AP5470:AQ5470"/>
    <mergeCell ref="AR5470:AS5471"/>
    <mergeCell ref="AT5470:AU5471"/>
    <mergeCell ref="AV5470:AW5471"/>
    <mergeCell ref="AX5470:AY5471"/>
    <mergeCell ref="AZ5470:AZ5471"/>
    <mergeCell ref="F5471:H5471"/>
    <mergeCell ref="X5471:AB5471"/>
    <mergeCell ref="AE5471:AI5471"/>
    <mergeCell ref="AJ5471:AL5471"/>
    <mergeCell ref="AN5471:AO5471"/>
    <mergeCell ref="AP5471:AQ5471"/>
    <mergeCell ref="A5464:A5465"/>
    <mergeCell ref="E5464:E5465"/>
    <mergeCell ref="F5464:H5464"/>
    <mergeCell ref="J5464:J5465"/>
    <mergeCell ref="K5464:L5465"/>
    <mergeCell ref="M5464:N5465"/>
    <mergeCell ref="O5464:P5465"/>
    <mergeCell ref="Q5464:R5465"/>
    <mergeCell ref="S5464:T5465"/>
    <mergeCell ref="U5464:V5465"/>
    <mergeCell ref="W5464:W5465"/>
    <mergeCell ref="X5464:AB5464"/>
    <mergeCell ref="AD5464:AI5464"/>
    <mergeCell ref="AJ5464:AL5464"/>
    <mergeCell ref="AN5464:AO5464"/>
    <mergeCell ref="AP5464:AQ5464"/>
    <mergeCell ref="AR5464:AS5465"/>
    <mergeCell ref="AT5464:AU5465"/>
    <mergeCell ref="AV5464:AW5465"/>
    <mergeCell ref="AX5464:AY5465"/>
    <mergeCell ref="AZ5464:AZ5465"/>
    <mergeCell ref="F5465:H5465"/>
    <mergeCell ref="X5465:AB5465"/>
    <mergeCell ref="AE5465:AI5465"/>
    <mergeCell ref="AJ5465:AL5465"/>
    <mergeCell ref="AN5465:AO5465"/>
    <mergeCell ref="AP5465:AQ5465"/>
    <mergeCell ref="A5466:A5467"/>
    <mergeCell ref="E5466:E5467"/>
    <mergeCell ref="F5466:H5466"/>
    <mergeCell ref="J5466:J5467"/>
    <mergeCell ref="K5466:L5467"/>
    <mergeCell ref="M5466:N5467"/>
    <mergeCell ref="O5466:P5467"/>
    <mergeCell ref="Q5466:R5467"/>
    <mergeCell ref="S5466:T5467"/>
    <mergeCell ref="U5466:V5467"/>
    <mergeCell ref="W5466:W5467"/>
    <mergeCell ref="X5466:AB5466"/>
    <mergeCell ref="AD5466:AI5466"/>
    <mergeCell ref="AJ5466:AL5466"/>
    <mergeCell ref="AN5466:AO5466"/>
    <mergeCell ref="AP5466:AQ5466"/>
    <mergeCell ref="AR5466:AS5467"/>
    <mergeCell ref="AT5466:AU5467"/>
    <mergeCell ref="AV5466:AW5467"/>
    <mergeCell ref="AX5466:AY5467"/>
    <mergeCell ref="AZ5466:AZ5467"/>
    <mergeCell ref="F5467:H5467"/>
    <mergeCell ref="X5467:AB5467"/>
    <mergeCell ref="AE5467:AI5467"/>
    <mergeCell ref="AJ5467:AL5467"/>
    <mergeCell ref="AN5467:AO5467"/>
    <mergeCell ref="AP5467:AQ5467"/>
    <mergeCell ref="A5460:A5461"/>
    <mergeCell ref="E5460:E5461"/>
    <mergeCell ref="F5460:H5460"/>
    <mergeCell ref="J5460:J5461"/>
    <mergeCell ref="K5460:L5461"/>
    <mergeCell ref="M5460:N5461"/>
    <mergeCell ref="O5460:P5461"/>
    <mergeCell ref="Q5460:R5461"/>
    <mergeCell ref="S5460:T5461"/>
    <mergeCell ref="U5460:V5461"/>
    <mergeCell ref="W5460:W5461"/>
    <mergeCell ref="X5460:AB5460"/>
    <mergeCell ref="AD5460:AI5460"/>
    <mergeCell ref="AJ5460:AL5460"/>
    <mergeCell ref="AN5460:AO5460"/>
    <mergeCell ref="AP5460:AQ5460"/>
    <mergeCell ref="AR5460:AS5461"/>
    <mergeCell ref="AT5460:AU5461"/>
    <mergeCell ref="AV5460:AW5461"/>
    <mergeCell ref="AX5460:AY5461"/>
    <mergeCell ref="AZ5460:AZ5461"/>
    <mergeCell ref="F5461:H5461"/>
    <mergeCell ref="X5461:AB5461"/>
    <mergeCell ref="AE5461:AI5461"/>
    <mergeCell ref="AJ5461:AL5461"/>
    <mergeCell ref="AN5461:AO5461"/>
    <mergeCell ref="AP5461:AQ5461"/>
    <mergeCell ref="A5462:A5463"/>
    <mergeCell ref="E5462:E5463"/>
    <mergeCell ref="F5462:H5462"/>
    <mergeCell ref="J5462:J5463"/>
    <mergeCell ref="K5462:L5463"/>
    <mergeCell ref="M5462:N5463"/>
    <mergeCell ref="O5462:P5463"/>
    <mergeCell ref="Q5462:R5463"/>
    <mergeCell ref="S5462:T5463"/>
    <mergeCell ref="U5462:V5463"/>
    <mergeCell ref="W5462:W5463"/>
    <mergeCell ref="X5462:AB5462"/>
    <mergeCell ref="AD5462:AI5462"/>
    <mergeCell ref="AJ5462:AL5462"/>
    <mergeCell ref="AN5462:AO5462"/>
    <mergeCell ref="AP5462:AQ5462"/>
    <mergeCell ref="AR5462:AS5463"/>
    <mergeCell ref="AT5462:AU5463"/>
    <mergeCell ref="AV5462:AW5463"/>
    <mergeCell ref="AX5462:AY5463"/>
    <mergeCell ref="AZ5462:AZ5463"/>
    <mergeCell ref="F5463:H5463"/>
    <mergeCell ref="X5463:AB5463"/>
    <mergeCell ref="AE5463:AI5463"/>
    <mergeCell ref="AJ5463:AL5463"/>
    <mergeCell ref="AN5463:AO5463"/>
    <mergeCell ref="AP5463:AQ5463"/>
    <mergeCell ref="A5456:A5457"/>
    <mergeCell ref="E5456:E5457"/>
    <mergeCell ref="F5456:H5456"/>
    <mergeCell ref="J5456:J5457"/>
    <mergeCell ref="K5456:L5457"/>
    <mergeCell ref="M5456:N5457"/>
    <mergeCell ref="O5456:P5457"/>
    <mergeCell ref="Q5456:R5457"/>
    <mergeCell ref="S5456:T5457"/>
    <mergeCell ref="U5456:V5457"/>
    <mergeCell ref="W5456:W5457"/>
    <mergeCell ref="X5456:AB5456"/>
    <mergeCell ref="AD5456:AI5456"/>
    <mergeCell ref="AJ5456:AL5456"/>
    <mergeCell ref="AN5456:AO5456"/>
    <mergeCell ref="AP5456:AQ5456"/>
    <mergeCell ref="AR5456:AS5457"/>
    <mergeCell ref="AT5456:AU5457"/>
    <mergeCell ref="AV5456:AW5457"/>
    <mergeCell ref="AX5456:AY5457"/>
    <mergeCell ref="AZ5456:AZ5457"/>
    <mergeCell ref="F5457:H5457"/>
    <mergeCell ref="X5457:AB5457"/>
    <mergeCell ref="AE5457:AI5457"/>
    <mergeCell ref="AJ5457:AL5457"/>
    <mergeCell ref="AN5457:AO5457"/>
    <mergeCell ref="AP5457:AQ5457"/>
    <mergeCell ref="A5458:A5459"/>
    <mergeCell ref="E5458:E5459"/>
    <mergeCell ref="F5458:H5458"/>
    <mergeCell ref="J5458:J5459"/>
    <mergeCell ref="K5458:L5459"/>
    <mergeCell ref="M5458:N5459"/>
    <mergeCell ref="O5458:P5459"/>
    <mergeCell ref="Q5458:R5459"/>
    <mergeCell ref="S5458:T5459"/>
    <mergeCell ref="U5458:V5459"/>
    <mergeCell ref="W5458:W5459"/>
    <mergeCell ref="X5458:AB5458"/>
    <mergeCell ref="AD5458:AI5458"/>
    <mergeCell ref="AJ5458:AL5458"/>
    <mergeCell ref="AN5458:AO5458"/>
    <mergeCell ref="AP5458:AQ5458"/>
    <mergeCell ref="AR5458:AS5459"/>
    <mergeCell ref="AT5458:AU5459"/>
    <mergeCell ref="AV5458:AW5459"/>
    <mergeCell ref="AX5458:AY5459"/>
    <mergeCell ref="AZ5458:AZ5459"/>
    <mergeCell ref="F5459:H5459"/>
    <mergeCell ref="X5459:AB5459"/>
    <mergeCell ref="AE5459:AI5459"/>
    <mergeCell ref="AJ5459:AL5459"/>
    <mergeCell ref="AN5459:AO5459"/>
    <mergeCell ref="AP5459:AQ5459"/>
    <mergeCell ref="A5452:A5453"/>
    <mergeCell ref="E5452:E5453"/>
    <mergeCell ref="F5452:H5452"/>
    <mergeCell ref="J5452:J5453"/>
    <mergeCell ref="K5452:L5453"/>
    <mergeCell ref="M5452:N5453"/>
    <mergeCell ref="O5452:P5453"/>
    <mergeCell ref="Q5452:R5453"/>
    <mergeCell ref="S5452:T5453"/>
    <mergeCell ref="U5452:V5453"/>
    <mergeCell ref="W5452:W5453"/>
    <mergeCell ref="X5452:AB5452"/>
    <mergeCell ref="AD5452:AI5452"/>
    <mergeCell ref="AJ5452:AL5452"/>
    <mergeCell ref="AN5452:AO5452"/>
    <mergeCell ref="AP5452:AQ5452"/>
    <mergeCell ref="AR5452:AS5453"/>
    <mergeCell ref="AT5452:AU5453"/>
    <mergeCell ref="AV5452:AW5453"/>
    <mergeCell ref="AX5452:AY5453"/>
    <mergeCell ref="AZ5452:AZ5453"/>
    <mergeCell ref="F5453:H5453"/>
    <mergeCell ref="X5453:AB5453"/>
    <mergeCell ref="AE5453:AI5453"/>
    <mergeCell ref="AJ5453:AL5453"/>
    <mergeCell ref="AN5453:AO5453"/>
    <mergeCell ref="AP5453:AQ5453"/>
    <mergeCell ref="A5454:A5455"/>
    <mergeCell ref="E5454:E5455"/>
    <mergeCell ref="F5454:H5454"/>
    <mergeCell ref="J5454:J5455"/>
    <mergeCell ref="K5454:L5455"/>
    <mergeCell ref="M5454:N5455"/>
    <mergeCell ref="O5454:P5455"/>
    <mergeCell ref="Q5454:R5455"/>
    <mergeCell ref="S5454:T5455"/>
    <mergeCell ref="U5454:V5455"/>
    <mergeCell ref="W5454:W5455"/>
    <mergeCell ref="X5454:AB5454"/>
    <mergeCell ref="AD5454:AI5454"/>
    <mergeCell ref="AJ5454:AL5454"/>
    <mergeCell ref="AN5454:AO5454"/>
    <mergeCell ref="AP5454:AQ5454"/>
    <mergeCell ref="AR5454:AS5455"/>
    <mergeCell ref="AT5454:AU5455"/>
    <mergeCell ref="AV5454:AW5455"/>
    <mergeCell ref="AX5454:AY5455"/>
    <mergeCell ref="AZ5454:AZ5455"/>
    <mergeCell ref="F5455:H5455"/>
    <mergeCell ref="X5455:AB5455"/>
    <mergeCell ref="AE5455:AI5455"/>
    <mergeCell ref="AJ5455:AL5455"/>
    <mergeCell ref="AN5455:AO5455"/>
    <mergeCell ref="AP5455:AQ5455"/>
    <mergeCell ref="A5448:A5449"/>
    <mergeCell ref="E5448:E5449"/>
    <mergeCell ref="F5448:H5448"/>
    <mergeCell ref="J5448:J5449"/>
    <mergeCell ref="K5448:L5449"/>
    <mergeCell ref="M5448:N5449"/>
    <mergeCell ref="O5448:P5449"/>
    <mergeCell ref="Q5448:R5449"/>
    <mergeCell ref="S5448:T5449"/>
    <mergeCell ref="U5448:V5449"/>
    <mergeCell ref="W5448:W5449"/>
    <mergeCell ref="X5448:AB5448"/>
    <mergeCell ref="AD5448:AI5448"/>
    <mergeCell ref="AJ5448:AL5448"/>
    <mergeCell ref="AN5448:AO5448"/>
    <mergeCell ref="AP5448:AQ5448"/>
    <mergeCell ref="AR5448:AS5449"/>
    <mergeCell ref="AT5448:AU5449"/>
    <mergeCell ref="AV5448:AW5449"/>
    <mergeCell ref="AX5448:AY5449"/>
    <mergeCell ref="AZ5448:AZ5449"/>
    <mergeCell ref="F5449:H5449"/>
    <mergeCell ref="X5449:AB5449"/>
    <mergeCell ref="AE5449:AI5449"/>
    <mergeCell ref="AJ5449:AL5449"/>
    <mergeCell ref="AN5449:AO5449"/>
    <mergeCell ref="AP5449:AQ5449"/>
    <mergeCell ref="A5450:A5451"/>
    <mergeCell ref="E5450:E5451"/>
    <mergeCell ref="F5450:H5450"/>
    <mergeCell ref="J5450:J5451"/>
    <mergeCell ref="K5450:L5451"/>
    <mergeCell ref="M5450:N5451"/>
    <mergeCell ref="O5450:P5451"/>
    <mergeCell ref="Q5450:R5451"/>
    <mergeCell ref="S5450:T5451"/>
    <mergeCell ref="U5450:V5451"/>
    <mergeCell ref="W5450:W5451"/>
    <mergeCell ref="X5450:AB5450"/>
    <mergeCell ref="AD5450:AI5450"/>
    <mergeCell ref="AJ5450:AL5450"/>
    <mergeCell ref="AN5450:AO5450"/>
    <mergeCell ref="AP5450:AQ5450"/>
    <mergeCell ref="AR5450:AS5451"/>
    <mergeCell ref="AT5450:AU5451"/>
    <mergeCell ref="AV5450:AW5451"/>
    <mergeCell ref="AX5450:AY5451"/>
    <mergeCell ref="AZ5450:AZ5451"/>
    <mergeCell ref="F5451:H5451"/>
    <mergeCell ref="X5451:AB5451"/>
    <mergeCell ref="AE5451:AI5451"/>
    <mergeCell ref="AJ5451:AL5451"/>
    <mergeCell ref="AN5451:AO5451"/>
    <mergeCell ref="AP5451:AQ5451"/>
    <mergeCell ref="A5444:A5445"/>
    <mergeCell ref="E5444:E5445"/>
    <mergeCell ref="F5444:H5444"/>
    <mergeCell ref="J5444:J5445"/>
    <mergeCell ref="K5444:L5445"/>
    <mergeCell ref="M5444:N5445"/>
    <mergeCell ref="O5444:P5445"/>
    <mergeCell ref="Q5444:R5445"/>
    <mergeCell ref="S5444:T5445"/>
    <mergeCell ref="U5444:V5445"/>
    <mergeCell ref="W5444:W5445"/>
    <mergeCell ref="X5444:AB5444"/>
    <mergeCell ref="AD5444:AI5444"/>
    <mergeCell ref="AJ5444:AL5444"/>
    <mergeCell ref="AN5444:AO5444"/>
    <mergeCell ref="AP5444:AQ5444"/>
    <mergeCell ref="AR5444:AS5445"/>
    <mergeCell ref="AT5444:AU5445"/>
    <mergeCell ref="AV5444:AW5445"/>
    <mergeCell ref="AX5444:AY5445"/>
    <mergeCell ref="AZ5444:AZ5445"/>
    <mergeCell ref="F5445:H5445"/>
    <mergeCell ref="X5445:AB5445"/>
    <mergeCell ref="AE5445:AI5445"/>
    <mergeCell ref="AJ5445:AL5445"/>
    <mergeCell ref="AN5445:AO5445"/>
    <mergeCell ref="AP5445:AQ5445"/>
    <mergeCell ref="A5446:A5447"/>
    <mergeCell ref="E5446:E5447"/>
    <mergeCell ref="F5446:H5446"/>
    <mergeCell ref="J5446:J5447"/>
    <mergeCell ref="K5446:L5447"/>
    <mergeCell ref="M5446:N5447"/>
    <mergeCell ref="O5446:P5447"/>
    <mergeCell ref="Q5446:R5447"/>
    <mergeCell ref="S5446:T5447"/>
    <mergeCell ref="U5446:V5447"/>
    <mergeCell ref="W5446:W5447"/>
    <mergeCell ref="X5446:AB5446"/>
    <mergeCell ref="AD5446:AI5446"/>
    <mergeCell ref="AJ5446:AL5446"/>
    <mergeCell ref="AN5446:AO5446"/>
    <mergeCell ref="AP5446:AQ5446"/>
    <mergeCell ref="AR5446:AS5447"/>
    <mergeCell ref="AT5446:AU5447"/>
    <mergeCell ref="AV5446:AW5447"/>
    <mergeCell ref="AX5446:AY5447"/>
    <mergeCell ref="AZ5446:AZ5447"/>
    <mergeCell ref="F5447:H5447"/>
    <mergeCell ref="X5447:AB5447"/>
    <mergeCell ref="AE5447:AI5447"/>
    <mergeCell ref="AJ5447:AL5447"/>
    <mergeCell ref="AN5447:AO5447"/>
    <mergeCell ref="AP5447:AQ5447"/>
    <mergeCell ref="A5440:A5441"/>
    <mergeCell ref="E5440:E5441"/>
    <mergeCell ref="F5440:H5440"/>
    <mergeCell ref="J5440:J5441"/>
    <mergeCell ref="K5440:L5441"/>
    <mergeCell ref="M5440:N5441"/>
    <mergeCell ref="O5440:P5441"/>
    <mergeCell ref="Q5440:R5441"/>
    <mergeCell ref="S5440:T5441"/>
    <mergeCell ref="U5440:V5441"/>
    <mergeCell ref="W5440:W5441"/>
    <mergeCell ref="X5440:AB5440"/>
    <mergeCell ref="AD5440:AI5440"/>
    <mergeCell ref="AJ5440:AL5440"/>
    <mergeCell ref="AN5440:AO5440"/>
    <mergeCell ref="AP5440:AQ5440"/>
    <mergeCell ref="AR5440:AS5441"/>
    <mergeCell ref="AT5440:AU5441"/>
    <mergeCell ref="AV5440:AW5441"/>
    <mergeCell ref="AX5440:AY5441"/>
    <mergeCell ref="AZ5440:AZ5441"/>
    <mergeCell ref="F5441:H5441"/>
    <mergeCell ref="X5441:AB5441"/>
    <mergeCell ref="AE5441:AI5441"/>
    <mergeCell ref="AJ5441:AL5441"/>
    <mergeCell ref="AN5441:AO5441"/>
    <mergeCell ref="AP5441:AQ5441"/>
    <mergeCell ref="A5442:A5443"/>
    <mergeCell ref="E5442:E5443"/>
    <mergeCell ref="F5442:H5442"/>
    <mergeCell ref="J5442:J5443"/>
    <mergeCell ref="K5442:L5443"/>
    <mergeCell ref="M5442:N5443"/>
    <mergeCell ref="O5442:P5443"/>
    <mergeCell ref="Q5442:R5443"/>
    <mergeCell ref="S5442:T5443"/>
    <mergeCell ref="U5442:V5443"/>
    <mergeCell ref="W5442:W5443"/>
    <mergeCell ref="X5442:AB5442"/>
    <mergeCell ref="AD5442:AI5442"/>
    <mergeCell ref="AJ5442:AL5442"/>
    <mergeCell ref="AN5442:AO5442"/>
    <mergeCell ref="AP5442:AQ5442"/>
    <mergeCell ref="AR5442:AS5443"/>
    <mergeCell ref="AT5442:AU5443"/>
    <mergeCell ref="AV5442:AW5443"/>
    <mergeCell ref="AX5442:AY5443"/>
    <mergeCell ref="AZ5442:AZ5443"/>
    <mergeCell ref="F5443:H5443"/>
    <mergeCell ref="X5443:AB5443"/>
    <mergeCell ref="AE5443:AI5443"/>
    <mergeCell ref="AJ5443:AL5443"/>
    <mergeCell ref="AN5443:AO5443"/>
    <mergeCell ref="AP5443:AQ5443"/>
    <mergeCell ref="A5436:A5437"/>
    <mergeCell ref="E5436:E5437"/>
    <mergeCell ref="F5436:H5436"/>
    <mergeCell ref="J5436:J5437"/>
    <mergeCell ref="K5436:L5437"/>
    <mergeCell ref="M5436:N5437"/>
    <mergeCell ref="O5436:P5437"/>
    <mergeCell ref="Q5436:R5437"/>
    <mergeCell ref="S5436:T5437"/>
    <mergeCell ref="U5436:V5437"/>
    <mergeCell ref="W5436:W5437"/>
    <mergeCell ref="X5436:AB5436"/>
    <mergeCell ref="AD5436:AI5436"/>
    <mergeCell ref="AJ5436:AL5436"/>
    <mergeCell ref="AN5436:AO5436"/>
    <mergeCell ref="AP5436:AQ5436"/>
    <mergeCell ref="AR5436:AS5437"/>
    <mergeCell ref="AT5436:AU5437"/>
    <mergeCell ref="AV5436:AW5437"/>
    <mergeCell ref="AX5436:AY5437"/>
    <mergeCell ref="AZ5436:AZ5437"/>
    <mergeCell ref="F5437:H5437"/>
    <mergeCell ref="X5437:AB5437"/>
    <mergeCell ref="AE5437:AI5437"/>
    <mergeCell ref="AJ5437:AL5437"/>
    <mergeCell ref="AN5437:AO5437"/>
    <mergeCell ref="AP5437:AQ5437"/>
    <mergeCell ref="A5438:A5439"/>
    <mergeCell ref="E5438:E5439"/>
    <mergeCell ref="F5438:H5438"/>
    <mergeCell ref="J5438:J5439"/>
    <mergeCell ref="K5438:L5439"/>
    <mergeCell ref="M5438:N5439"/>
    <mergeCell ref="O5438:P5439"/>
    <mergeCell ref="Q5438:R5439"/>
    <mergeCell ref="S5438:T5439"/>
    <mergeCell ref="U5438:V5439"/>
    <mergeCell ref="W5438:W5439"/>
    <mergeCell ref="X5438:AB5438"/>
    <mergeCell ref="AD5438:AI5438"/>
    <mergeCell ref="AJ5438:AL5438"/>
    <mergeCell ref="AN5438:AO5438"/>
    <mergeCell ref="AP5438:AQ5438"/>
    <mergeCell ref="AR5438:AS5439"/>
    <mergeCell ref="AT5438:AU5439"/>
    <mergeCell ref="AV5438:AW5439"/>
    <mergeCell ref="AX5438:AY5439"/>
    <mergeCell ref="AZ5438:AZ5439"/>
    <mergeCell ref="F5439:H5439"/>
    <mergeCell ref="X5439:AB5439"/>
    <mergeCell ref="AE5439:AI5439"/>
    <mergeCell ref="AJ5439:AL5439"/>
    <mergeCell ref="AN5439:AO5439"/>
    <mergeCell ref="AP5439:AQ5439"/>
    <mergeCell ref="A5432:A5433"/>
    <mergeCell ref="E5432:E5433"/>
    <mergeCell ref="F5432:H5432"/>
    <mergeCell ref="J5432:J5433"/>
    <mergeCell ref="K5432:L5433"/>
    <mergeCell ref="M5432:N5433"/>
    <mergeCell ref="O5432:P5433"/>
    <mergeCell ref="Q5432:R5433"/>
    <mergeCell ref="S5432:T5433"/>
    <mergeCell ref="U5432:V5433"/>
    <mergeCell ref="W5432:W5433"/>
    <mergeCell ref="X5432:AB5432"/>
    <mergeCell ref="AD5432:AI5432"/>
    <mergeCell ref="AJ5432:AL5432"/>
    <mergeCell ref="AN5432:AO5432"/>
    <mergeCell ref="AP5432:AQ5432"/>
    <mergeCell ref="AR5432:AS5433"/>
    <mergeCell ref="AT5432:AU5433"/>
    <mergeCell ref="AV5432:AW5433"/>
    <mergeCell ref="AX5432:AY5433"/>
    <mergeCell ref="AZ5432:AZ5433"/>
    <mergeCell ref="F5433:H5433"/>
    <mergeCell ref="X5433:AB5433"/>
    <mergeCell ref="AE5433:AI5433"/>
    <mergeCell ref="AJ5433:AL5433"/>
    <mergeCell ref="AN5433:AO5433"/>
    <mergeCell ref="AP5433:AQ5433"/>
    <mergeCell ref="A5434:A5435"/>
    <mergeCell ref="E5434:E5435"/>
    <mergeCell ref="F5434:H5434"/>
    <mergeCell ref="J5434:J5435"/>
    <mergeCell ref="K5434:L5435"/>
    <mergeCell ref="M5434:N5435"/>
    <mergeCell ref="O5434:P5435"/>
    <mergeCell ref="Q5434:R5435"/>
    <mergeCell ref="S5434:T5435"/>
    <mergeCell ref="U5434:V5435"/>
    <mergeCell ref="W5434:W5435"/>
    <mergeCell ref="X5434:AB5434"/>
    <mergeCell ref="AD5434:AI5434"/>
    <mergeCell ref="AJ5434:AL5434"/>
    <mergeCell ref="AN5434:AO5434"/>
    <mergeCell ref="AP5434:AQ5434"/>
    <mergeCell ref="AR5434:AS5435"/>
    <mergeCell ref="AT5434:AU5435"/>
    <mergeCell ref="AV5434:AW5435"/>
    <mergeCell ref="AX5434:AY5435"/>
    <mergeCell ref="AZ5434:AZ5435"/>
    <mergeCell ref="F5435:H5435"/>
    <mergeCell ref="X5435:AB5435"/>
    <mergeCell ref="AE5435:AI5435"/>
    <mergeCell ref="AJ5435:AL5435"/>
    <mergeCell ref="AN5435:AO5435"/>
    <mergeCell ref="AP5435:AQ5435"/>
    <mergeCell ref="A5428:A5429"/>
    <mergeCell ref="E5428:E5429"/>
    <mergeCell ref="F5428:H5428"/>
    <mergeCell ref="J5428:J5429"/>
    <mergeCell ref="K5428:L5429"/>
    <mergeCell ref="M5428:N5429"/>
    <mergeCell ref="O5428:P5429"/>
    <mergeCell ref="Q5428:R5429"/>
    <mergeCell ref="S5428:T5429"/>
    <mergeCell ref="U5428:V5429"/>
    <mergeCell ref="W5428:W5429"/>
    <mergeCell ref="X5428:AB5428"/>
    <mergeCell ref="AD5428:AI5428"/>
    <mergeCell ref="AJ5428:AL5428"/>
    <mergeCell ref="AN5428:AO5428"/>
    <mergeCell ref="AP5428:AQ5428"/>
    <mergeCell ref="AR5428:AS5429"/>
    <mergeCell ref="AT5428:AU5429"/>
    <mergeCell ref="AV5428:AW5429"/>
    <mergeCell ref="AX5428:AY5429"/>
    <mergeCell ref="AZ5428:AZ5429"/>
    <mergeCell ref="F5429:H5429"/>
    <mergeCell ref="X5429:AB5429"/>
    <mergeCell ref="AE5429:AI5429"/>
    <mergeCell ref="AJ5429:AL5429"/>
    <mergeCell ref="AN5429:AO5429"/>
    <mergeCell ref="AP5429:AQ5429"/>
    <mergeCell ref="A5430:A5431"/>
    <mergeCell ref="E5430:E5431"/>
    <mergeCell ref="F5430:H5430"/>
    <mergeCell ref="J5430:J5431"/>
    <mergeCell ref="K5430:L5431"/>
    <mergeCell ref="M5430:N5431"/>
    <mergeCell ref="O5430:P5431"/>
    <mergeCell ref="Q5430:R5431"/>
    <mergeCell ref="S5430:T5431"/>
    <mergeCell ref="U5430:V5431"/>
    <mergeCell ref="W5430:W5431"/>
    <mergeCell ref="X5430:AB5430"/>
    <mergeCell ref="AD5430:AI5430"/>
    <mergeCell ref="AJ5430:AL5430"/>
    <mergeCell ref="AN5430:AO5430"/>
    <mergeCell ref="AP5430:AQ5430"/>
    <mergeCell ref="AR5430:AS5431"/>
    <mergeCell ref="AT5430:AU5431"/>
    <mergeCell ref="AV5430:AW5431"/>
    <mergeCell ref="AX5430:AY5431"/>
    <mergeCell ref="AZ5430:AZ5431"/>
    <mergeCell ref="F5431:H5431"/>
    <mergeCell ref="X5431:AB5431"/>
    <mergeCell ref="AE5431:AI5431"/>
    <mergeCell ref="AJ5431:AL5431"/>
    <mergeCell ref="AN5431:AO5431"/>
    <mergeCell ref="AP5431:AQ5431"/>
    <mergeCell ref="A5424:A5425"/>
    <mergeCell ref="E5424:E5425"/>
    <mergeCell ref="F5424:H5424"/>
    <mergeCell ref="J5424:J5425"/>
    <mergeCell ref="K5424:L5425"/>
    <mergeCell ref="M5424:N5425"/>
    <mergeCell ref="O5424:P5425"/>
    <mergeCell ref="Q5424:R5425"/>
    <mergeCell ref="S5424:T5425"/>
    <mergeCell ref="U5424:V5425"/>
    <mergeCell ref="W5424:W5425"/>
    <mergeCell ref="X5424:AB5424"/>
    <mergeCell ref="AD5424:AI5424"/>
    <mergeCell ref="AJ5424:AL5424"/>
    <mergeCell ref="AN5424:AO5424"/>
    <mergeCell ref="AP5424:AQ5424"/>
    <mergeCell ref="AR5424:AS5425"/>
    <mergeCell ref="AT5424:AU5425"/>
    <mergeCell ref="AV5424:AW5425"/>
    <mergeCell ref="AX5424:AY5425"/>
    <mergeCell ref="AZ5424:AZ5425"/>
    <mergeCell ref="F5425:H5425"/>
    <mergeCell ref="X5425:AB5425"/>
    <mergeCell ref="AE5425:AI5425"/>
    <mergeCell ref="AJ5425:AL5425"/>
    <mergeCell ref="AN5425:AO5425"/>
    <mergeCell ref="AP5425:AQ5425"/>
    <mergeCell ref="A5426:A5427"/>
    <mergeCell ref="E5426:E5427"/>
    <mergeCell ref="F5426:H5426"/>
    <mergeCell ref="J5426:J5427"/>
    <mergeCell ref="K5426:L5427"/>
    <mergeCell ref="M5426:N5427"/>
    <mergeCell ref="O5426:P5427"/>
    <mergeCell ref="Q5426:R5427"/>
    <mergeCell ref="S5426:T5427"/>
    <mergeCell ref="U5426:V5427"/>
    <mergeCell ref="W5426:W5427"/>
    <mergeCell ref="X5426:AB5426"/>
    <mergeCell ref="AD5426:AI5426"/>
    <mergeCell ref="AJ5426:AL5426"/>
    <mergeCell ref="AN5426:AO5426"/>
    <mergeCell ref="AP5426:AQ5426"/>
    <mergeCell ref="AR5426:AS5427"/>
    <mergeCell ref="AT5426:AU5427"/>
    <mergeCell ref="AV5426:AW5427"/>
    <mergeCell ref="AX5426:AY5427"/>
    <mergeCell ref="AZ5426:AZ5427"/>
    <mergeCell ref="F5427:H5427"/>
    <mergeCell ref="X5427:AB5427"/>
    <mergeCell ref="AE5427:AI5427"/>
    <mergeCell ref="AJ5427:AL5427"/>
    <mergeCell ref="AN5427:AO5427"/>
    <mergeCell ref="AP5427:AQ5427"/>
    <mergeCell ref="A5420:A5421"/>
    <mergeCell ref="E5420:E5421"/>
    <mergeCell ref="F5420:H5420"/>
    <mergeCell ref="J5420:J5421"/>
    <mergeCell ref="K5420:L5421"/>
    <mergeCell ref="M5420:N5421"/>
    <mergeCell ref="O5420:P5421"/>
    <mergeCell ref="Q5420:R5421"/>
    <mergeCell ref="S5420:T5421"/>
    <mergeCell ref="U5420:V5421"/>
    <mergeCell ref="W5420:W5421"/>
    <mergeCell ref="X5420:AB5420"/>
    <mergeCell ref="AD5420:AI5420"/>
    <mergeCell ref="AJ5420:AL5420"/>
    <mergeCell ref="AN5420:AO5420"/>
    <mergeCell ref="AP5420:AQ5420"/>
    <mergeCell ref="AR5420:AS5421"/>
    <mergeCell ref="AT5420:AU5421"/>
    <mergeCell ref="AV5420:AW5421"/>
    <mergeCell ref="AX5420:AY5421"/>
    <mergeCell ref="AZ5420:AZ5421"/>
    <mergeCell ref="F5421:H5421"/>
    <mergeCell ref="X5421:AB5421"/>
    <mergeCell ref="AE5421:AI5421"/>
    <mergeCell ref="AJ5421:AL5421"/>
    <mergeCell ref="AN5421:AO5421"/>
    <mergeCell ref="AP5421:AQ5421"/>
    <mergeCell ref="A5422:A5423"/>
    <mergeCell ref="E5422:E5423"/>
    <mergeCell ref="F5422:H5422"/>
    <mergeCell ref="J5422:J5423"/>
    <mergeCell ref="K5422:L5423"/>
    <mergeCell ref="M5422:N5423"/>
    <mergeCell ref="O5422:P5423"/>
    <mergeCell ref="Q5422:R5423"/>
    <mergeCell ref="S5422:T5423"/>
    <mergeCell ref="U5422:V5423"/>
    <mergeCell ref="W5422:W5423"/>
    <mergeCell ref="X5422:AB5422"/>
    <mergeCell ref="AD5422:AI5422"/>
    <mergeCell ref="AJ5422:AL5422"/>
    <mergeCell ref="AN5422:AO5422"/>
    <mergeCell ref="AP5422:AQ5422"/>
    <mergeCell ref="AR5422:AS5423"/>
    <mergeCell ref="AT5422:AU5423"/>
    <mergeCell ref="AV5422:AW5423"/>
    <mergeCell ref="AX5422:AY5423"/>
    <mergeCell ref="AZ5422:AZ5423"/>
    <mergeCell ref="F5423:H5423"/>
    <mergeCell ref="X5423:AB5423"/>
    <mergeCell ref="AE5423:AI5423"/>
    <mergeCell ref="AJ5423:AL5423"/>
    <mergeCell ref="AN5423:AO5423"/>
    <mergeCell ref="AP5423:AQ5423"/>
    <mergeCell ref="A5416:A5417"/>
    <mergeCell ref="E5416:E5417"/>
    <mergeCell ref="F5416:H5416"/>
    <mergeCell ref="J5416:J5417"/>
    <mergeCell ref="K5416:L5417"/>
    <mergeCell ref="M5416:N5417"/>
    <mergeCell ref="O5416:P5417"/>
    <mergeCell ref="Q5416:R5417"/>
    <mergeCell ref="S5416:T5417"/>
    <mergeCell ref="U5416:V5417"/>
    <mergeCell ref="W5416:W5417"/>
    <mergeCell ref="X5416:AB5416"/>
    <mergeCell ref="AD5416:AI5416"/>
    <mergeCell ref="AJ5416:AL5416"/>
    <mergeCell ref="AN5416:AO5416"/>
    <mergeCell ref="AP5416:AQ5416"/>
    <mergeCell ref="AR5416:AS5417"/>
    <mergeCell ref="AT5416:AU5417"/>
    <mergeCell ref="AV5416:AW5417"/>
    <mergeCell ref="AX5416:AY5417"/>
    <mergeCell ref="AZ5416:AZ5417"/>
    <mergeCell ref="F5417:H5417"/>
    <mergeCell ref="X5417:AB5417"/>
    <mergeCell ref="AE5417:AI5417"/>
    <mergeCell ref="AJ5417:AL5417"/>
    <mergeCell ref="AN5417:AO5417"/>
    <mergeCell ref="AP5417:AQ5417"/>
    <mergeCell ref="A5418:A5419"/>
    <mergeCell ref="E5418:E5419"/>
    <mergeCell ref="F5418:H5418"/>
    <mergeCell ref="J5418:J5419"/>
    <mergeCell ref="K5418:L5419"/>
    <mergeCell ref="M5418:N5419"/>
    <mergeCell ref="O5418:P5419"/>
    <mergeCell ref="Q5418:R5419"/>
    <mergeCell ref="S5418:T5419"/>
    <mergeCell ref="U5418:V5419"/>
    <mergeCell ref="W5418:W5419"/>
    <mergeCell ref="X5418:AB5418"/>
    <mergeCell ref="AD5418:AI5418"/>
    <mergeCell ref="AJ5418:AL5418"/>
    <mergeCell ref="AN5418:AO5418"/>
    <mergeCell ref="AP5418:AQ5418"/>
    <mergeCell ref="AR5418:AS5419"/>
    <mergeCell ref="AT5418:AU5419"/>
    <mergeCell ref="AV5418:AW5419"/>
    <mergeCell ref="AX5418:AY5419"/>
    <mergeCell ref="AZ5418:AZ5419"/>
    <mergeCell ref="F5419:H5419"/>
    <mergeCell ref="X5419:AB5419"/>
    <mergeCell ref="AE5419:AI5419"/>
    <mergeCell ref="AJ5419:AL5419"/>
    <mergeCell ref="AN5419:AO5419"/>
    <mergeCell ref="AP5419:AQ5419"/>
    <mergeCell ref="A5412:A5413"/>
    <mergeCell ref="E5412:E5413"/>
    <mergeCell ref="F5412:H5412"/>
    <mergeCell ref="J5412:J5413"/>
    <mergeCell ref="K5412:L5413"/>
    <mergeCell ref="M5412:N5413"/>
    <mergeCell ref="O5412:P5413"/>
    <mergeCell ref="Q5412:R5413"/>
    <mergeCell ref="S5412:T5413"/>
    <mergeCell ref="U5412:V5413"/>
    <mergeCell ref="W5412:W5413"/>
    <mergeCell ref="X5412:AB5412"/>
    <mergeCell ref="AD5412:AI5412"/>
    <mergeCell ref="AJ5412:AL5412"/>
    <mergeCell ref="AN5412:AO5412"/>
    <mergeCell ref="AP5412:AQ5412"/>
    <mergeCell ref="AR5412:AS5413"/>
    <mergeCell ref="AT5412:AU5413"/>
    <mergeCell ref="AV5412:AW5413"/>
    <mergeCell ref="AX5412:AY5413"/>
    <mergeCell ref="AZ5412:AZ5413"/>
    <mergeCell ref="F5413:H5413"/>
    <mergeCell ref="X5413:AB5413"/>
    <mergeCell ref="AE5413:AI5413"/>
    <mergeCell ref="AJ5413:AL5413"/>
    <mergeCell ref="AN5413:AO5413"/>
    <mergeCell ref="AP5413:AQ5413"/>
    <mergeCell ref="A5414:A5415"/>
    <mergeCell ref="E5414:E5415"/>
    <mergeCell ref="F5414:H5414"/>
    <mergeCell ref="J5414:J5415"/>
    <mergeCell ref="K5414:L5415"/>
    <mergeCell ref="M5414:N5415"/>
    <mergeCell ref="O5414:P5415"/>
    <mergeCell ref="Q5414:R5415"/>
    <mergeCell ref="S5414:T5415"/>
    <mergeCell ref="U5414:V5415"/>
    <mergeCell ref="W5414:W5415"/>
    <mergeCell ref="X5414:AB5414"/>
    <mergeCell ref="AD5414:AI5414"/>
    <mergeCell ref="AJ5414:AL5414"/>
    <mergeCell ref="AN5414:AO5414"/>
    <mergeCell ref="AP5414:AQ5414"/>
    <mergeCell ref="AR5414:AS5415"/>
    <mergeCell ref="AT5414:AU5415"/>
    <mergeCell ref="AV5414:AW5415"/>
    <mergeCell ref="AX5414:AY5415"/>
    <mergeCell ref="AZ5414:AZ5415"/>
    <mergeCell ref="F5415:H5415"/>
    <mergeCell ref="X5415:AB5415"/>
    <mergeCell ref="AE5415:AI5415"/>
    <mergeCell ref="AJ5415:AL5415"/>
    <mergeCell ref="AN5415:AO5415"/>
    <mergeCell ref="AP5415:AQ5415"/>
    <mergeCell ref="A5408:A5409"/>
    <mergeCell ref="E5408:E5409"/>
    <mergeCell ref="F5408:H5408"/>
    <mergeCell ref="J5408:J5409"/>
    <mergeCell ref="K5408:L5409"/>
    <mergeCell ref="M5408:N5409"/>
    <mergeCell ref="O5408:P5409"/>
    <mergeCell ref="Q5408:R5409"/>
    <mergeCell ref="S5408:T5409"/>
    <mergeCell ref="U5408:V5409"/>
    <mergeCell ref="W5408:W5409"/>
    <mergeCell ref="X5408:AB5408"/>
    <mergeCell ref="AD5408:AI5408"/>
    <mergeCell ref="AJ5408:AL5408"/>
    <mergeCell ref="AN5408:AO5408"/>
    <mergeCell ref="AP5408:AQ5408"/>
    <mergeCell ref="AR5408:AS5409"/>
    <mergeCell ref="AT5408:AU5409"/>
    <mergeCell ref="AV5408:AW5409"/>
    <mergeCell ref="AX5408:AY5409"/>
    <mergeCell ref="AZ5408:AZ5409"/>
    <mergeCell ref="F5409:H5409"/>
    <mergeCell ref="X5409:AB5409"/>
    <mergeCell ref="AE5409:AI5409"/>
    <mergeCell ref="AJ5409:AL5409"/>
    <mergeCell ref="AN5409:AO5409"/>
    <mergeCell ref="AP5409:AQ5409"/>
    <mergeCell ref="A5410:A5411"/>
    <mergeCell ref="E5410:E5411"/>
    <mergeCell ref="F5410:H5410"/>
    <mergeCell ref="J5410:J5411"/>
    <mergeCell ref="K5410:L5411"/>
    <mergeCell ref="M5410:N5411"/>
    <mergeCell ref="O5410:P5411"/>
    <mergeCell ref="Q5410:R5411"/>
    <mergeCell ref="S5410:T5411"/>
    <mergeCell ref="U5410:V5411"/>
    <mergeCell ref="W5410:W5411"/>
    <mergeCell ref="X5410:AB5410"/>
    <mergeCell ref="AD5410:AI5410"/>
    <mergeCell ref="AJ5410:AL5410"/>
    <mergeCell ref="AN5410:AO5410"/>
    <mergeCell ref="AP5410:AQ5410"/>
    <mergeCell ref="AR5410:AS5411"/>
    <mergeCell ref="AT5410:AU5411"/>
    <mergeCell ref="AV5410:AW5411"/>
    <mergeCell ref="AX5410:AY5411"/>
    <mergeCell ref="AZ5410:AZ5411"/>
    <mergeCell ref="F5411:H5411"/>
    <mergeCell ref="X5411:AB5411"/>
    <mergeCell ref="AE5411:AI5411"/>
    <mergeCell ref="AJ5411:AL5411"/>
    <mergeCell ref="AN5411:AO5411"/>
    <mergeCell ref="AP5411:AQ5411"/>
    <mergeCell ref="A5404:A5405"/>
    <mergeCell ref="E5404:E5405"/>
    <mergeCell ref="F5404:H5404"/>
    <mergeCell ref="J5404:J5405"/>
    <mergeCell ref="K5404:L5405"/>
    <mergeCell ref="M5404:N5405"/>
    <mergeCell ref="O5404:P5405"/>
    <mergeCell ref="Q5404:R5405"/>
    <mergeCell ref="S5404:T5405"/>
    <mergeCell ref="U5404:V5405"/>
    <mergeCell ref="W5404:W5405"/>
    <mergeCell ref="X5404:AB5404"/>
    <mergeCell ref="AD5404:AI5404"/>
    <mergeCell ref="AJ5404:AL5404"/>
    <mergeCell ref="AN5404:AO5404"/>
    <mergeCell ref="AP5404:AQ5404"/>
    <mergeCell ref="AR5404:AS5405"/>
    <mergeCell ref="AT5404:AU5405"/>
    <mergeCell ref="AV5404:AW5405"/>
    <mergeCell ref="AX5404:AY5405"/>
    <mergeCell ref="AZ5404:AZ5405"/>
    <mergeCell ref="F5405:H5405"/>
    <mergeCell ref="X5405:AB5405"/>
    <mergeCell ref="AE5405:AI5405"/>
    <mergeCell ref="AJ5405:AL5405"/>
    <mergeCell ref="AN5405:AO5405"/>
    <mergeCell ref="AP5405:AQ5405"/>
    <mergeCell ref="A5406:A5407"/>
    <mergeCell ref="E5406:E5407"/>
    <mergeCell ref="F5406:H5406"/>
    <mergeCell ref="J5406:J5407"/>
    <mergeCell ref="K5406:L5407"/>
    <mergeCell ref="M5406:N5407"/>
    <mergeCell ref="O5406:P5407"/>
    <mergeCell ref="Q5406:R5407"/>
    <mergeCell ref="S5406:T5407"/>
    <mergeCell ref="U5406:V5407"/>
    <mergeCell ref="W5406:W5407"/>
    <mergeCell ref="X5406:AB5406"/>
    <mergeCell ref="AD5406:AI5406"/>
    <mergeCell ref="AJ5406:AL5406"/>
    <mergeCell ref="AN5406:AO5406"/>
    <mergeCell ref="AP5406:AQ5406"/>
    <mergeCell ref="AR5406:AS5407"/>
    <mergeCell ref="AT5406:AU5407"/>
    <mergeCell ref="AV5406:AW5407"/>
    <mergeCell ref="AX5406:AY5407"/>
    <mergeCell ref="AZ5406:AZ5407"/>
    <mergeCell ref="F5407:H5407"/>
    <mergeCell ref="X5407:AB5407"/>
    <mergeCell ref="AE5407:AI5407"/>
    <mergeCell ref="AJ5407:AL5407"/>
    <mergeCell ref="AN5407:AO5407"/>
    <mergeCell ref="AP5407:AQ5407"/>
    <mergeCell ref="A5400:A5401"/>
    <mergeCell ref="E5400:E5401"/>
    <mergeCell ref="F5400:H5400"/>
    <mergeCell ref="J5400:J5401"/>
    <mergeCell ref="K5400:L5401"/>
    <mergeCell ref="M5400:N5401"/>
    <mergeCell ref="O5400:P5401"/>
    <mergeCell ref="Q5400:R5401"/>
    <mergeCell ref="S5400:T5401"/>
    <mergeCell ref="U5400:V5401"/>
    <mergeCell ref="W5400:W5401"/>
    <mergeCell ref="X5400:AB5400"/>
    <mergeCell ref="AD5400:AI5400"/>
    <mergeCell ref="AJ5400:AL5400"/>
    <mergeCell ref="AN5400:AO5400"/>
    <mergeCell ref="AP5400:AQ5400"/>
    <mergeCell ref="AR5400:AS5401"/>
    <mergeCell ref="AT5400:AU5401"/>
    <mergeCell ref="AV5400:AW5401"/>
    <mergeCell ref="AX5400:AY5401"/>
    <mergeCell ref="AZ5400:AZ5401"/>
    <mergeCell ref="F5401:H5401"/>
    <mergeCell ref="X5401:AB5401"/>
    <mergeCell ref="AE5401:AI5401"/>
    <mergeCell ref="AJ5401:AL5401"/>
    <mergeCell ref="AN5401:AO5401"/>
    <mergeCell ref="AP5401:AQ5401"/>
    <mergeCell ref="A5402:A5403"/>
    <mergeCell ref="E5402:E5403"/>
    <mergeCell ref="F5402:H5402"/>
    <mergeCell ref="J5402:J5403"/>
    <mergeCell ref="K5402:L5403"/>
    <mergeCell ref="M5402:N5403"/>
    <mergeCell ref="O5402:P5403"/>
    <mergeCell ref="Q5402:R5403"/>
    <mergeCell ref="S5402:T5403"/>
    <mergeCell ref="U5402:V5403"/>
    <mergeCell ref="W5402:W5403"/>
    <mergeCell ref="X5402:AB5402"/>
    <mergeCell ref="AD5402:AI5402"/>
    <mergeCell ref="AJ5402:AL5402"/>
    <mergeCell ref="AN5402:AO5402"/>
    <mergeCell ref="AP5402:AQ5402"/>
    <mergeCell ref="AR5402:AS5403"/>
    <mergeCell ref="AT5402:AU5403"/>
    <mergeCell ref="AV5402:AW5403"/>
    <mergeCell ref="AX5402:AY5403"/>
    <mergeCell ref="AZ5402:AZ5403"/>
    <mergeCell ref="F5403:H5403"/>
    <mergeCell ref="X5403:AB5403"/>
    <mergeCell ref="AE5403:AI5403"/>
    <mergeCell ref="AJ5403:AL5403"/>
    <mergeCell ref="AN5403:AO5403"/>
    <mergeCell ref="AP5403:AQ5403"/>
    <mergeCell ref="A5396:A5397"/>
    <mergeCell ref="E5396:E5397"/>
    <mergeCell ref="F5396:H5396"/>
    <mergeCell ref="J5396:J5397"/>
    <mergeCell ref="K5396:L5397"/>
    <mergeCell ref="M5396:N5397"/>
    <mergeCell ref="O5396:P5397"/>
    <mergeCell ref="Q5396:R5397"/>
    <mergeCell ref="S5396:T5397"/>
    <mergeCell ref="U5396:V5397"/>
    <mergeCell ref="W5396:W5397"/>
    <mergeCell ref="X5396:AB5396"/>
    <mergeCell ref="AD5396:AI5396"/>
    <mergeCell ref="AJ5396:AL5396"/>
    <mergeCell ref="AN5396:AO5396"/>
    <mergeCell ref="AP5396:AQ5396"/>
    <mergeCell ref="AR5396:AS5397"/>
    <mergeCell ref="AT5396:AU5397"/>
    <mergeCell ref="AV5396:AW5397"/>
    <mergeCell ref="AX5396:AY5397"/>
    <mergeCell ref="AZ5396:AZ5397"/>
    <mergeCell ref="F5397:H5397"/>
    <mergeCell ref="X5397:AB5397"/>
    <mergeCell ref="AE5397:AI5397"/>
    <mergeCell ref="AJ5397:AL5397"/>
    <mergeCell ref="AN5397:AO5397"/>
    <mergeCell ref="AP5397:AQ5397"/>
    <mergeCell ref="A5398:A5399"/>
    <mergeCell ref="E5398:E5399"/>
    <mergeCell ref="F5398:H5398"/>
    <mergeCell ref="J5398:J5399"/>
    <mergeCell ref="K5398:L5399"/>
    <mergeCell ref="M5398:N5399"/>
    <mergeCell ref="O5398:P5399"/>
    <mergeCell ref="Q5398:R5399"/>
    <mergeCell ref="S5398:T5399"/>
    <mergeCell ref="U5398:V5399"/>
    <mergeCell ref="W5398:W5399"/>
    <mergeCell ref="X5398:AB5398"/>
    <mergeCell ref="AD5398:AI5398"/>
    <mergeCell ref="AJ5398:AL5398"/>
    <mergeCell ref="AN5398:AO5398"/>
    <mergeCell ref="AP5398:AQ5398"/>
    <mergeCell ref="AR5398:AS5399"/>
    <mergeCell ref="AT5398:AU5399"/>
    <mergeCell ref="AV5398:AW5399"/>
    <mergeCell ref="AX5398:AY5399"/>
    <mergeCell ref="AZ5398:AZ5399"/>
    <mergeCell ref="F5399:H5399"/>
    <mergeCell ref="X5399:AB5399"/>
    <mergeCell ref="AE5399:AI5399"/>
    <mergeCell ref="AJ5399:AL5399"/>
    <mergeCell ref="AN5399:AO5399"/>
    <mergeCell ref="AP5399:AQ5399"/>
    <mergeCell ref="A5392:A5393"/>
    <mergeCell ref="E5392:E5393"/>
    <mergeCell ref="F5392:H5392"/>
    <mergeCell ref="J5392:J5393"/>
    <mergeCell ref="K5392:L5393"/>
    <mergeCell ref="M5392:N5393"/>
    <mergeCell ref="O5392:P5393"/>
    <mergeCell ref="Q5392:R5393"/>
    <mergeCell ref="S5392:T5393"/>
    <mergeCell ref="U5392:V5393"/>
    <mergeCell ref="W5392:W5393"/>
    <mergeCell ref="X5392:AB5392"/>
    <mergeCell ref="AD5392:AI5392"/>
    <mergeCell ref="AJ5392:AL5392"/>
    <mergeCell ref="AN5392:AO5392"/>
    <mergeCell ref="AP5392:AQ5392"/>
    <mergeCell ref="AR5392:AS5393"/>
    <mergeCell ref="AT5392:AU5393"/>
    <mergeCell ref="AV5392:AW5393"/>
    <mergeCell ref="AX5392:AY5393"/>
    <mergeCell ref="AZ5392:AZ5393"/>
    <mergeCell ref="F5393:H5393"/>
    <mergeCell ref="X5393:AB5393"/>
    <mergeCell ref="AE5393:AI5393"/>
    <mergeCell ref="AJ5393:AL5393"/>
    <mergeCell ref="AN5393:AO5393"/>
    <mergeCell ref="AP5393:AQ5393"/>
    <mergeCell ref="A5394:A5395"/>
    <mergeCell ref="E5394:E5395"/>
    <mergeCell ref="F5394:H5394"/>
    <mergeCell ref="J5394:J5395"/>
    <mergeCell ref="K5394:L5395"/>
    <mergeCell ref="M5394:N5395"/>
    <mergeCell ref="O5394:P5395"/>
    <mergeCell ref="Q5394:R5395"/>
    <mergeCell ref="S5394:T5395"/>
    <mergeCell ref="U5394:V5395"/>
    <mergeCell ref="W5394:W5395"/>
    <mergeCell ref="X5394:AB5394"/>
    <mergeCell ref="AD5394:AI5394"/>
    <mergeCell ref="AJ5394:AL5394"/>
    <mergeCell ref="AN5394:AO5394"/>
    <mergeCell ref="AP5394:AQ5394"/>
    <mergeCell ref="AR5394:AS5395"/>
    <mergeCell ref="AT5394:AU5395"/>
    <mergeCell ref="AV5394:AW5395"/>
    <mergeCell ref="AX5394:AY5395"/>
    <mergeCell ref="AZ5394:AZ5395"/>
    <mergeCell ref="F5395:H5395"/>
    <mergeCell ref="X5395:AB5395"/>
    <mergeCell ref="AE5395:AI5395"/>
    <mergeCell ref="AJ5395:AL5395"/>
    <mergeCell ref="AN5395:AO5395"/>
    <mergeCell ref="AP5395:AQ5395"/>
    <mergeCell ref="A5388:A5389"/>
    <mergeCell ref="E5388:E5389"/>
    <mergeCell ref="F5388:H5388"/>
    <mergeCell ref="J5388:J5389"/>
    <mergeCell ref="K5388:L5389"/>
    <mergeCell ref="M5388:N5389"/>
    <mergeCell ref="O5388:P5389"/>
    <mergeCell ref="Q5388:R5389"/>
    <mergeCell ref="S5388:T5389"/>
    <mergeCell ref="U5388:V5389"/>
    <mergeCell ref="W5388:W5389"/>
    <mergeCell ref="X5388:AB5388"/>
    <mergeCell ref="AD5388:AI5388"/>
    <mergeCell ref="AJ5388:AL5388"/>
    <mergeCell ref="AN5388:AO5388"/>
    <mergeCell ref="AP5388:AQ5388"/>
    <mergeCell ref="AR5388:AS5389"/>
    <mergeCell ref="AT5388:AU5389"/>
    <mergeCell ref="AV5388:AW5389"/>
    <mergeCell ref="AX5388:AY5389"/>
    <mergeCell ref="AZ5388:AZ5389"/>
    <mergeCell ref="F5389:H5389"/>
    <mergeCell ref="X5389:AB5389"/>
    <mergeCell ref="AE5389:AI5389"/>
    <mergeCell ref="AJ5389:AL5389"/>
    <mergeCell ref="AN5389:AO5389"/>
    <mergeCell ref="AP5389:AQ5389"/>
    <mergeCell ref="A5390:A5391"/>
    <mergeCell ref="E5390:E5391"/>
    <mergeCell ref="F5390:H5390"/>
    <mergeCell ref="J5390:J5391"/>
    <mergeCell ref="K5390:L5391"/>
    <mergeCell ref="M5390:N5391"/>
    <mergeCell ref="O5390:P5391"/>
    <mergeCell ref="Q5390:R5391"/>
    <mergeCell ref="S5390:T5391"/>
    <mergeCell ref="U5390:V5391"/>
    <mergeCell ref="W5390:W5391"/>
    <mergeCell ref="X5390:AB5390"/>
    <mergeCell ref="AD5390:AI5390"/>
    <mergeCell ref="AJ5390:AL5390"/>
    <mergeCell ref="AN5390:AO5390"/>
    <mergeCell ref="AP5390:AQ5390"/>
    <mergeCell ref="AR5390:AS5391"/>
    <mergeCell ref="AT5390:AU5391"/>
    <mergeCell ref="AV5390:AW5391"/>
    <mergeCell ref="AX5390:AY5391"/>
    <mergeCell ref="AZ5390:AZ5391"/>
    <mergeCell ref="F5391:H5391"/>
    <mergeCell ref="X5391:AB5391"/>
    <mergeCell ref="AE5391:AI5391"/>
    <mergeCell ref="AJ5391:AL5391"/>
    <mergeCell ref="AN5391:AO5391"/>
    <mergeCell ref="AP5391:AQ5391"/>
    <mergeCell ref="A5384:A5385"/>
    <mergeCell ref="E5384:E5385"/>
    <mergeCell ref="F5384:H5384"/>
    <mergeCell ref="J5384:J5385"/>
    <mergeCell ref="K5384:L5385"/>
    <mergeCell ref="M5384:N5385"/>
    <mergeCell ref="O5384:P5385"/>
    <mergeCell ref="Q5384:R5385"/>
    <mergeCell ref="S5384:T5385"/>
    <mergeCell ref="U5384:V5385"/>
    <mergeCell ref="W5384:W5385"/>
    <mergeCell ref="X5384:AB5384"/>
    <mergeCell ref="AD5384:AI5384"/>
    <mergeCell ref="AJ5384:AL5384"/>
    <mergeCell ref="AN5384:AO5384"/>
    <mergeCell ref="AP5384:AQ5384"/>
    <mergeCell ref="AR5384:AS5385"/>
    <mergeCell ref="AT5384:AU5385"/>
    <mergeCell ref="AV5384:AW5385"/>
    <mergeCell ref="AX5384:AY5385"/>
    <mergeCell ref="AZ5384:AZ5385"/>
    <mergeCell ref="F5385:H5385"/>
    <mergeCell ref="X5385:AB5385"/>
    <mergeCell ref="AE5385:AI5385"/>
    <mergeCell ref="AJ5385:AL5385"/>
    <mergeCell ref="AN5385:AO5385"/>
    <mergeCell ref="AP5385:AQ5385"/>
    <mergeCell ref="A5386:A5387"/>
    <mergeCell ref="E5386:E5387"/>
    <mergeCell ref="F5386:H5386"/>
    <mergeCell ref="J5386:J5387"/>
    <mergeCell ref="K5386:L5387"/>
    <mergeCell ref="M5386:N5387"/>
    <mergeCell ref="O5386:P5387"/>
    <mergeCell ref="Q5386:R5387"/>
    <mergeCell ref="S5386:T5387"/>
    <mergeCell ref="U5386:V5387"/>
    <mergeCell ref="W5386:W5387"/>
    <mergeCell ref="X5386:AB5386"/>
    <mergeCell ref="AD5386:AI5386"/>
    <mergeCell ref="AJ5386:AL5386"/>
    <mergeCell ref="AN5386:AO5386"/>
    <mergeCell ref="AP5386:AQ5386"/>
    <mergeCell ref="AR5386:AS5387"/>
    <mergeCell ref="AT5386:AU5387"/>
    <mergeCell ref="AV5386:AW5387"/>
    <mergeCell ref="AX5386:AY5387"/>
    <mergeCell ref="AZ5386:AZ5387"/>
    <mergeCell ref="F5387:H5387"/>
    <mergeCell ref="X5387:AB5387"/>
    <mergeCell ref="AE5387:AI5387"/>
    <mergeCell ref="AJ5387:AL5387"/>
    <mergeCell ref="AN5387:AO5387"/>
    <mergeCell ref="AP5387:AQ5387"/>
    <mergeCell ref="A5380:A5381"/>
    <mergeCell ref="E5380:E5381"/>
    <mergeCell ref="F5380:H5380"/>
    <mergeCell ref="J5380:J5381"/>
    <mergeCell ref="K5380:L5381"/>
    <mergeCell ref="M5380:N5381"/>
    <mergeCell ref="O5380:P5381"/>
    <mergeCell ref="Q5380:R5381"/>
    <mergeCell ref="S5380:T5381"/>
    <mergeCell ref="U5380:V5381"/>
    <mergeCell ref="W5380:W5381"/>
    <mergeCell ref="X5380:AB5380"/>
    <mergeCell ref="AD5380:AI5380"/>
    <mergeCell ref="AJ5380:AL5380"/>
    <mergeCell ref="AN5380:AO5380"/>
    <mergeCell ref="AP5380:AQ5380"/>
    <mergeCell ref="AR5380:AS5381"/>
    <mergeCell ref="AT5380:AU5381"/>
    <mergeCell ref="AV5380:AW5381"/>
    <mergeCell ref="AX5380:AY5381"/>
    <mergeCell ref="AZ5380:AZ5381"/>
    <mergeCell ref="F5381:H5381"/>
    <mergeCell ref="X5381:AB5381"/>
    <mergeCell ref="AE5381:AI5381"/>
    <mergeCell ref="AJ5381:AL5381"/>
    <mergeCell ref="AN5381:AO5381"/>
    <mergeCell ref="AP5381:AQ5381"/>
    <mergeCell ref="A5382:A5383"/>
    <mergeCell ref="E5382:E5383"/>
    <mergeCell ref="F5382:H5382"/>
    <mergeCell ref="J5382:J5383"/>
    <mergeCell ref="K5382:L5383"/>
    <mergeCell ref="M5382:N5383"/>
    <mergeCell ref="O5382:P5383"/>
    <mergeCell ref="Q5382:R5383"/>
    <mergeCell ref="S5382:T5383"/>
    <mergeCell ref="U5382:V5383"/>
    <mergeCell ref="W5382:W5383"/>
    <mergeCell ref="X5382:AB5382"/>
    <mergeCell ref="AD5382:AI5382"/>
    <mergeCell ref="AJ5382:AL5382"/>
    <mergeCell ref="AN5382:AO5382"/>
    <mergeCell ref="AP5382:AQ5382"/>
    <mergeCell ref="AR5382:AS5383"/>
    <mergeCell ref="AT5382:AU5383"/>
    <mergeCell ref="AV5382:AW5383"/>
    <mergeCell ref="AX5382:AY5383"/>
    <mergeCell ref="AZ5382:AZ5383"/>
    <mergeCell ref="F5383:H5383"/>
    <mergeCell ref="X5383:AB5383"/>
    <mergeCell ref="AE5383:AI5383"/>
    <mergeCell ref="AJ5383:AL5383"/>
    <mergeCell ref="AN5383:AO5383"/>
    <mergeCell ref="AP5383:AQ5383"/>
    <mergeCell ref="A5376:A5377"/>
    <mergeCell ref="E5376:E5377"/>
    <mergeCell ref="F5376:H5376"/>
    <mergeCell ref="J5376:J5377"/>
    <mergeCell ref="K5376:L5377"/>
    <mergeCell ref="M5376:N5377"/>
    <mergeCell ref="O5376:P5377"/>
    <mergeCell ref="Q5376:R5377"/>
    <mergeCell ref="S5376:T5377"/>
    <mergeCell ref="U5376:V5377"/>
    <mergeCell ref="W5376:W5377"/>
    <mergeCell ref="X5376:AB5376"/>
    <mergeCell ref="AD5376:AI5376"/>
    <mergeCell ref="AJ5376:AL5376"/>
    <mergeCell ref="AN5376:AO5376"/>
    <mergeCell ref="AP5376:AQ5376"/>
    <mergeCell ref="AR5376:AS5377"/>
    <mergeCell ref="AT5376:AU5377"/>
    <mergeCell ref="AV5376:AW5377"/>
    <mergeCell ref="AX5376:AY5377"/>
    <mergeCell ref="AZ5376:AZ5377"/>
    <mergeCell ref="F5377:H5377"/>
    <mergeCell ref="X5377:AB5377"/>
    <mergeCell ref="AE5377:AI5377"/>
    <mergeCell ref="AJ5377:AL5377"/>
    <mergeCell ref="AN5377:AO5377"/>
    <mergeCell ref="AP5377:AQ5377"/>
    <mergeCell ref="A5378:A5379"/>
    <mergeCell ref="E5378:E5379"/>
    <mergeCell ref="F5378:H5378"/>
    <mergeCell ref="J5378:J5379"/>
    <mergeCell ref="K5378:L5379"/>
    <mergeCell ref="M5378:N5379"/>
    <mergeCell ref="O5378:P5379"/>
    <mergeCell ref="Q5378:R5379"/>
    <mergeCell ref="S5378:T5379"/>
    <mergeCell ref="U5378:V5379"/>
    <mergeCell ref="W5378:W5379"/>
    <mergeCell ref="X5378:AB5378"/>
    <mergeCell ref="AD5378:AI5378"/>
    <mergeCell ref="AJ5378:AL5378"/>
    <mergeCell ref="AN5378:AO5378"/>
    <mergeCell ref="AP5378:AQ5378"/>
    <mergeCell ref="AR5378:AS5379"/>
    <mergeCell ref="AT5378:AU5379"/>
    <mergeCell ref="AV5378:AW5379"/>
    <mergeCell ref="AX5378:AY5379"/>
    <mergeCell ref="AZ5378:AZ5379"/>
    <mergeCell ref="F5379:H5379"/>
    <mergeCell ref="X5379:AB5379"/>
    <mergeCell ref="AE5379:AI5379"/>
    <mergeCell ref="AJ5379:AL5379"/>
    <mergeCell ref="AN5379:AO5379"/>
    <mergeCell ref="AP5379:AQ5379"/>
    <mergeCell ref="A5372:A5373"/>
    <mergeCell ref="E5372:E5373"/>
    <mergeCell ref="F5372:H5372"/>
    <mergeCell ref="J5372:J5373"/>
    <mergeCell ref="K5372:L5373"/>
    <mergeCell ref="M5372:N5373"/>
    <mergeCell ref="O5372:P5373"/>
    <mergeCell ref="Q5372:R5373"/>
    <mergeCell ref="S5372:T5373"/>
    <mergeCell ref="U5372:V5373"/>
    <mergeCell ref="W5372:W5373"/>
    <mergeCell ref="X5372:AB5372"/>
    <mergeCell ref="AD5372:AI5372"/>
    <mergeCell ref="AJ5372:AL5372"/>
    <mergeCell ref="AN5372:AO5372"/>
    <mergeCell ref="AP5372:AQ5372"/>
    <mergeCell ref="AR5372:AS5373"/>
    <mergeCell ref="AT5372:AU5373"/>
    <mergeCell ref="AV5372:AW5373"/>
    <mergeCell ref="AX5372:AY5373"/>
    <mergeCell ref="AZ5372:AZ5373"/>
    <mergeCell ref="F5373:H5373"/>
    <mergeCell ref="X5373:AB5373"/>
    <mergeCell ref="AE5373:AI5373"/>
    <mergeCell ref="AJ5373:AL5373"/>
    <mergeCell ref="AN5373:AO5373"/>
    <mergeCell ref="AP5373:AQ5373"/>
    <mergeCell ref="A5374:A5375"/>
    <mergeCell ref="E5374:E5375"/>
    <mergeCell ref="F5374:H5374"/>
    <mergeCell ref="J5374:J5375"/>
    <mergeCell ref="K5374:L5375"/>
    <mergeCell ref="M5374:N5375"/>
    <mergeCell ref="O5374:P5375"/>
    <mergeCell ref="Q5374:R5375"/>
    <mergeCell ref="S5374:T5375"/>
    <mergeCell ref="U5374:V5375"/>
    <mergeCell ref="W5374:W5375"/>
    <mergeCell ref="X5374:AB5374"/>
    <mergeCell ref="AD5374:AI5374"/>
    <mergeCell ref="AJ5374:AL5374"/>
    <mergeCell ref="AN5374:AO5374"/>
    <mergeCell ref="AP5374:AQ5374"/>
    <mergeCell ref="AR5374:AS5375"/>
    <mergeCell ref="AT5374:AU5375"/>
    <mergeCell ref="AV5374:AW5375"/>
    <mergeCell ref="AX5374:AY5375"/>
    <mergeCell ref="AZ5374:AZ5375"/>
    <mergeCell ref="F5375:H5375"/>
    <mergeCell ref="X5375:AB5375"/>
    <mergeCell ref="AE5375:AI5375"/>
    <mergeCell ref="AJ5375:AL5375"/>
    <mergeCell ref="AN5375:AO5375"/>
    <mergeCell ref="AP5375:AQ5375"/>
    <mergeCell ref="A5042:A5043"/>
    <mergeCell ref="E5042:E5043"/>
    <mergeCell ref="F5042:H5042"/>
    <mergeCell ref="J5042:J5043"/>
    <mergeCell ref="K5042:L5043"/>
    <mergeCell ref="M5042:N5043"/>
    <mergeCell ref="O5042:P5043"/>
    <mergeCell ref="Q5042:R5043"/>
    <mergeCell ref="S5042:T5043"/>
    <mergeCell ref="U5042:V5043"/>
    <mergeCell ref="W5042:W5043"/>
    <mergeCell ref="X5042:AB5042"/>
    <mergeCell ref="AD5042:AI5042"/>
    <mergeCell ref="AJ5042:AL5042"/>
    <mergeCell ref="AN5042:AO5042"/>
    <mergeCell ref="AP5042:AQ5042"/>
    <mergeCell ref="AR5042:AS5043"/>
    <mergeCell ref="AT5042:AU5043"/>
    <mergeCell ref="AV5042:AW5043"/>
    <mergeCell ref="AX5042:AY5043"/>
    <mergeCell ref="AZ5042:AZ5043"/>
    <mergeCell ref="F5043:H5043"/>
    <mergeCell ref="X5043:AB5043"/>
    <mergeCell ref="AE5043:AI5043"/>
    <mergeCell ref="AJ5043:AL5043"/>
    <mergeCell ref="AN5043:AO5043"/>
    <mergeCell ref="AP5043:AQ5043"/>
    <mergeCell ref="W4926:W4927"/>
    <mergeCell ref="X4926:AB4926"/>
    <mergeCell ref="AD4926:AI4926"/>
    <mergeCell ref="AJ4926:AL4926"/>
    <mergeCell ref="AN4926:AO4926"/>
    <mergeCell ref="AP4926:AQ4926"/>
    <mergeCell ref="AR4926:AS4927"/>
    <mergeCell ref="AT4926:AU4927"/>
    <mergeCell ref="AV4926:AW4927"/>
    <mergeCell ref="AX4926:AY4927"/>
    <mergeCell ref="AZ4926:AZ4927"/>
    <mergeCell ref="F4927:H4927"/>
    <mergeCell ref="X4927:AB4927"/>
    <mergeCell ref="AE4927:AI4927"/>
    <mergeCell ref="AJ4927:AL4927"/>
    <mergeCell ref="AN4927:AO4927"/>
    <mergeCell ref="AP4927:AQ4927"/>
    <mergeCell ref="A4928:A4929"/>
    <mergeCell ref="E4928:E4929"/>
    <mergeCell ref="F4928:H4928"/>
    <mergeCell ref="J4928:J4929"/>
    <mergeCell ref="K4928:L4929"/>
    <mergeCell ref="M4928:N4929"/>
    <mergeCell ref="O4928:P4929"/>
    <mergeCell ref="Q4928:R4929"/>
    <mergeCell ref="S4928:T4929"/>
    <mergeCell ref="U4928:V4929"/>
    <mergeCell ref="W4928:W4929"/>
    <mergeCell ref="X4928:AB4928"/>
    <mergeCell ref="AD4928:AI4928"/>
    <mergeCell ref="AJ4928:AL4928"/>
    <mergeCell ref="AN4928:AO4928"/>
    <mergeCell ref="AP4928:AQ4928"/>
    <mergeCell ref="AR4928:AS4929"/>
    <mergeCell ref="AT4928:AU4929"/>
    <mergeCell ref="AV4928:AW4929"/>
    <mergeCell ref="AX4928:AY4929"/>
    <mergeCell ref="A4924:A4925"/>
    <mergeCell ref="E4924:E4925"/>
    <mergeCell ref="F4924:H4924"/>
    <mergeCell ref="J4924:J4925"/>
    <mergeCell ref="K4924:L4925"/>
    <mergeCell ref="M4924:N4925"/>
    <mergeCell ref="O4924:P4925"/>
    <mergeCell ref="Q4924:R4925"/>
    <mergeCell ref="S4924:T4925"/>
    <mergeCell ref="U4924:V4925"/>
    <mergeCell ref="W4924:W4925"/>
    <mergeCell ref="X4924:AB4924"/>
    <mergeCell ref="AD4924:AI4924"/>
    <mergeCell ref="AJ4924:AL4924"/>
    <mergeCell ref="AN4924:AO4924"/>
    <mergeCell ref="AP4924:AQ4924"/>
    <mergeCell ref="AR4924:AS4925"/>
    <mergeCell ref="AT4924:AU4925"/>
    <mergeCell ref="AV4924:AW4925"/>
    <mergeCell ref="AX4924:AY4925"/>
    <mergeCell ref="AZ4924:AZ4925"/>
    <mergeCell ref="F4925:H4925"/>
    <mergeCell ref="X4925:AB4925"/>
    <mergeCell ref="AZ4928:AZ4929"/>
    <mergeCell ref="F4929:H4929"/>
    <mergeCell ref="X4929:AB4929"/>
    <mergeCell ref="AE4929:AI4929"/>
    <mergeCell ref="AJ4929:AL4929"/>
    <mergeCell ref="AN4929:AO4929"/>
    <mergeCell ref="AP4929:AQ4929"/>
    <mergeCell ref="AZ4916:AZ4917"/>
    <mergeCell ref="F4917:H4917"/>
    <mergeCell ref="X4917:AB4917"/>
    <mergeCell ref="AE4917:AI4917"/>
    <mergeCell ref="AJ4917:AL4917"/>
    <mergeCell ref="AN4917:AO4917"/>
    <mergeCell ref="AP4917:AQ4917"/>
    <mergeCell ref="A4922:A4923"/>
    <mergeCell ref="E4922:E4923"/>
    <mergeCell ref="F4922:H4922"/>
    <mergeCell ref="J4922:J4923"/>
    <mergeCell ref="K4922:L4923"/>
    <mergeCell ref="M4922:N4923"/>
    <mergeCell ref="O4922:P4923"/>
    <mergeCell ref="Q4922:R4923"/>
    <mergeCell ref="S4922:T4923"/>
    <mergeCell ref="U4922:V4923"/>
    <mergeCell ref="W4922:W4923"/>
    <mergeCell ref="X4922:AB4922"/>
    <mergeCell ref="AD4922:AI4922"/>
    <mergeCell ref="AJ4922:AL4922"/>
    <mergeCell ref="AN4922:AO4922"/>
    <mergeCell ref="AP4922:AQ4922"/>
    <mergeCell ref="AR4922:AS4923"/>
    <mergeCell ref="AT4922:AU4923"/>
    <mergeCell ref="AV4922:AW4923"/>
    <mergeCell ref="AX4922:AY4923"/>
    <mergeCell ref="AZ4922:AZ4923"/>
    <mergeCell ref="F4923:H4923"/>
    <mergeCell ref="X4923:AB4923"/>
    <mergeCell ref="AE4923:AI4923"/>
    <mergeCell ref="AJ4923:AL4923"/>
    <mergeCell ref="AN4923:AO4923"/>
    <mergeCell ref="AP4923:AQ4923"/>
    <mergeCell ref="A4932:A4933"/>
    <mergeCell ref="E4932:E4933"/>
    <mergeCell ref="F4932:H4932"/>
    <mergeCell ref="J4932:J4933"/>
    <mergeCell ref="K4932:L4933"/>
    <mergeCell ref="M4932:N4933"/>
    <mergeCell ref="O4932:P4933"/>
    <mergeCell ref="Q4932:R4933"/>
    <mergeCell ref="S4932:T4933"/>
    <mergeCell ref="U4932:V4933"/>
    <mergeCell ref="W4932:W4933"/>
    <mergeCell ref="X4932:AB4932"/>
    <mergeCell ref="AD4932:AI4932"/>
    <mergeCell ref="AJ4932:AL4932"/>
    <mergeCell ref="AN4932:AO4932"/>
    <mergeCell ref="AP4932:AQ4932"/>
    <mergeCell ref="AR4932:AS4933"/>
    <mergeCell ref="AT4932:AU4933"/>
    <mergeCell ref="AV4932:AW4933"/>
    <mergeCell ref="AX4932:AY4933"/>
    <mergeCell ref="AZ4932:AZ4933"/>
    <mergeCell ref="F4933:H4933"/>
    <mergeCell ref="X4933:AB4933"/>
    <mergeCell ref="AE4933:AI4933"/>
    <mergeCell ref="AJ4933:AL4933"/>
    <mergeCell ref="AN4933:AO4933"/>
    <mergeCell ref="AP4933:AQ4933"/>
    <mergeCell ref="A4926:A4927"/>
    <mergeCell ref="E4926:E4927"/>
    <mergeCell ref="F4926:H4926"/>
    <mergeCell ref="J4926:J4927"/>
    <mergeCell ref="K4926:L4927"/>
    <mergeCell ref="M4926:N4927"/>
    <mergeCell ref="O4926:P4927"/>
    <mergeCell ref="Q4926:R4927"/>
    <mergeCell ref="S4926:T4927"/>
    <mergeCell ref="U4926:V4927"/>
    <mergeCell ref="A4930:A4931"/>
    <mergeCell ref="E4930:E4931"/>
    <mergeCell ref="F4930:H4930"/>
    <mergeCell ref="J4930:J4931"/>
    <mergeCell ref="K4930:L4931"/>
    <mergeCell ref="M4930:N4931"/>
    <mergeCell ref="O4930:P4931"/>
    <mergeCell ref="Q4930:R4931"/>
    <mergeCell ref="S4930:T4931"/>
    <mergeCell ref="U4930:V4931"/>
    <mergeCell ref="W4930:W4931"/>
    <mergeCell ref="X4930:AB4930"/>
    <mergeCell ref="AD4930:AI4930"/>
    <mergeCell ref="AJ4930:AL4930"/>
    <mergeCell ref="AN4930:AO4930"/>
    <mergeCell ref="AP4930:AQ4930"/>
    <mergeCell ref="AR4930:AS4931"/>
    <mergeCell ref="AT4930:AU4931"/>
    <mergeCell ref="AV4930:AW4931"/>
    <mergeCell ref="AX4930:AY4931"/>
    <mergeCell ref="AZ4930:AZ4931"/>
    <mergeCell ref="F4931:H4931"/>
    <mergeCell ref="X4931:AB4931"/>
    <mergeCell ref="AE4931:AI4931"/>
    <mergeCell ref="AJ4931:AL4931"/>
    <mergeCell ref="AN4931:AO4931"/>
    <mergeCell ref="AP4931:AQ4931"/>
    <mergeCell ref="W4918:W4919"/>
    <mergeCell ref="X4918:AB4918"/>
    <mergeCell ref="AD4918:AI4918"/>
    <mergeCell ref="AJ4918:AL4918"/>
    <mergeCell ref="AN4918:AO4918"/>
    <mergeCell ref="AP4918:AQ4918"/>
    <mergeCell ref="AR4918:AS4919"/>
    <mergeCell ref="AT4918:AU4919"/>
    <mergeCell ref="AV4918:AW4919"/>
    <mergeCell ref="AX4918:AY4919"/>
    <mergeCell ref="AZ4918:AZ4919"/>
    <mergeCell ref="F4919:H4919"/>
    <mergeCell ref="X4919:AB4919"/>
    <mergeCell ref="AE4919:AI4919"/>
    <mergeCell ref="AJ4919:AL4919"/>
    <mergeCell ref="AN4919:AO4919"/>
    <mergeCell ref="AP4919:AQ4919"/>
    <mergeCell ref="A4914:A4915"/>
    <mergeCell ref="E4914:E4915"/>
    <mergeCell ref="F4914:H4914"/>
    <mergeCell ref="J4914:J4915"/>
    <mergeCell ref="K4914:L4915"/>
    <mergeCell ref="M4914:N4915"/>
    <mergeCell ref="O4914:P4915"/>
    <mergeCell ref="Q4914:R4915"/>
    <mergeCell ref="S4914:T4915"/>
    <mergeCell ref="U4914:V4915"/>
    <mergeCell ref="W4914:W4915"/>
    <mergeCell ref="X4914:AB4914"/>
    <mergeCell ref="AD4914:AI4914"/>
    <mergeCell ref="AJ4914:AL4914"/>
    <mergeCell ref="AN4914:AO4914"/>
    <mergeCell ref="AP4914:AQ4914"/>
    <mergeCell ref="AR4914:AS4915"/>
    <mergeCell ref="AT4914:AU4915"/>
    <mergeCell ref="AV4914:AW4915"/>
    <mergeCell ref="AX4914:AY4915"/>
    <mergeCell ref="AZ4914:AZ4915"/>
    <mergeCell ref="F4915:H4915"/>
    <mergeCell ref="X4915:AB4915"/>
    <mergeCell ref="AE4915:AI4915"/>
    <mergeCell ref="AJ4915:AL4915"/>
    <mergeCell ref="AN4915:AO4915"/>
    <mergeCell ref="AP4915:AQ4915"/>
    <mergeCell ref="A4916:A4917"/>
    <mergeCell ref="E4916:E4917"/>
    <mergeCell ref="F4916:H4916"/>
    <mergeCell ref="J4916:J4917"/>
    <mergeCell ref="K4916:L4917"/>
    <mergeCell ref="M4916:N4917"/>
    <mergeCell ref="O4916:P4917"/>
    <mergeCell ref="Q4916:R4917"/>
    <mergeCell ref="S4916:T4917"/>
    <mergeCell ref="U4916:V4917"/>
    <mergeCell ref="W4916:W4917"/>
    <mergeCell ref="X4916:AB4916"/>
    <mergeCell ref="AD4916:AI4916"/>
    <mergeCell ref="AJ4916:AL4916"/>
    <mergeCell ref="AN4916:AO4916"/>
    <mergeCell ref="AP4916:AQ4916"/>
    <mergeCell ref="AR4916:AS4917"/>
    <mergeCell ref="AT4916:AU4917"/>
    <mergeCell ref="AV4916:AW4917"/>
    <mergeCell ref="AX4916:AY4917"/>
    <mergeCell ref="AZ4814:AZ4815"/>
    <mergeCell ref="F4815:H4815"/>
    <mergeCell ref="X4815:AB4815"/>
    <mergeCell ref="AE4815:AI4815"/>
    <mergeCell ref="AJ4815:AL4815"/>
    <mergeCell ref="AN4815:AO4815"/>
    <mergeCell ref="AP4815:AQ4815"/>
    <mergeCell ref="A4812:A4813"/>
    <mergeCell ref="E4812:E4813"/>
    <mergeCell ref="F4812:H4812"/>
    <mergeCell ref="J4812:J4813"/>
    <mergeCell ref="K4812:L4813"/>
    <mergeCell ref="M4812:N4813"/>
    <mergeCell ref="O4812:P4813"/>
    <mergeCell ref="Q4812:R4813"/>
    <mergeCell ref="S4812:T4813"/>
    <mergeCell ref="U4812:V4813"/>
    <mergeCell ref="A4828:A4829"/>
    <mergeCell ref="E4828:E4829"/>
    <mergeCell ref="F4828:H4828"/>
    <mergeCell ref="J4828:J4829"/>
    <mergeCell ref="K4828:L4829"/>
    <mergeCell ref="M4828:N4829"/>
    <mergeCell ref="O4828:P4829"/>
    <mergeCell ref="Q4828:R4829"/>
    <mergeCell ref="S4828:T4829"/>
    <mergeCell ref="U4828:V4829"/>
    <mergeCell ref="W4828:W4829"/>
    <mergeCell ref="X4828:AB4828"/>
    <mergeCell ref="AD4828:AI4828"/>
    <mergeCell ref="AJ4828:AL4828"/>
    <mergeCell ref="AN4828:AO4828"/>
    <mergeCell ref="AP4828:AQ4828"/>
    <mergeCell ref="AR4828:AS4829"/>
    <mergeCell ref="AT4828:AU4829"/>
    <mergeCell ref="AV4828:AW4829"/>
    <mergeCell ref="AX4828:AY4829"/>
    <mergeCell ref="A4826:A4827"/>
    <mergeCell ref="E4826:E4827"/>
    <mergeCell ref="F4826:H4826"/>
    <mergeCell ref="J4826:J4827"/>
    <mergeCell ref="K4826:L4827"/>
    <mergeCell ref="M4826:N4827"/>
    <mergeCell ref="O4826:P4827"/>
    <mergeCell ref="Q4826:R4827"/>
    <mergeCell ref="S4826:T4827"/>
    <mergeCell ref="U4826:V4827"/>
    <mergeCell ref="W4826:W4827"/>
    <mergeCell ref="X4826:AB4826"/>
    <mergeCell ref="AD4826:AI4826"/>
    <mergeCell ref="AJ4826:AL4826"/>
    <mergeCell ref="AN4826:AO4826"/>
    <mergeCell ref="AP4826:AQ4826"/>
    <mergeCell ref="AR4826:AS4827"/>
    <mergeCell ref="AT4826:AU4827"/>
    <mergeCell ref="AV4826:AW4827"/>
    <mergeCell ref="AX4826:AY4827"/>
    <mergeCell ref="AZ4826:AZ4827"/>
    <mergeCell ref="F4827:H4827"/>
    <mergeCell ref="X4827:AB4827"/>
    <mergeCell ref="AE4827:AI4827"/>
    <mergeCell ref="AJ4827:AL4827"/>
    <mergeCell ref="AN4827:AO4827"/>
    <mergeCell ref="AP4827:AQ4827"/>
    <mergeCell ref="A4810:A4811"/>
    <mergeCell ref="E4810:E4811"/>
    <mergeCell ref="F4810:H4810"/>
    <mergeCell ref="J4810:J4811"/>
    <mergeCell ref="K4810:L4811"/>
    <mergeCell ref="M4810:N4811"/>
    <mergeCell ref="O4810:P4811"/>
    <mergeCell ref="Q4810:R4811"/>
    <mergeCell ref="S4810:T4811"/>
    <mergeCell ref="U4810:V4811"/>
    <mergeCell ref="W4810:W4811"/>
    <mergeCell ref="X4810:AB4810"/>
    <mergeCell ref="AD4810:AI4810"/>
    <mergeCell ref="AJ4810:AL4810"/>
    <mergeCell ref="AN4810:AO4810"/>
    <mergeCell ref="AP4810:AQ4810"/>
    <mergeCell ref="AR4810:AS4811"/>
    <mergeCell ref="AT4810:AU4811"/>
    <mergeCell ref="AV4810:AW4811"/>
    <mergeCell ref="AX4810:AY4811"/>
    <mergeCell ref="AZ4810:AZ4811"/>
    <mergeCell ref="F4811:H4811"/>
    <mergeCell ref="X4811:AB4811"/>
    <mergeCell ref="AE4811:AI4811"/>
    <mergeCell ref="AJ4811:AL4811"/>
    <mergeCell ref="AN4811:AO4811"/>
    <mergeCell ref="AP4811:AQ4811"/>
    <mergeCell ref="AZ4724:AZ4725"/>
    <mergeCell ref="F4725:H4725"/>
    <mergeCell ref="X4725:AB4725"/>
    <mergeCell ref="AE4725:AI4725"/>
    <mergeCell ref="AJ4725:AL4725"/>
    <mergeCell ref="AN4725:AO4725"/>
    <mergeCell ref="AP4725:AQ4725"/>
    <mergeCell ref="A4802:A4803"/>
    <mergeCell ref="E4802:E4803"/>
    <mergeCell ref="F4802:H4802"/>
    <mergeCell ref="J4802:J4803"/>
    <mergeCell ref="K4802:L4803"/>
    <mergeCell ref="M4802:N4803"/>
    <mergeCell ref="O4802:P4803"/>
    <mergeCell ref="Q4802:R4803"/>
    <mergeCell ref="S4802:T4803"/>
    <mergeCell ref="U4802:V4803"/>
    <mergeCell ref="W4802:W4803"/>
    <mergeCell ref="X4802:AB4802"/>
    <mergeCell ref="AD4802:AI4802"/>
    <mergeCell ref="AJ4802:AL4802"/>
    <mergeCell ref="AN4802:AO4802"/>
    <mergeCell ref="AP4802:AQ4802"/>
    <mergeCell ref="AR4802:AS4803"/>
    <mergeCell ref="AT4802:AU4803"/>
    <mergeCell ref="AV4802:AW4803"/>
    <mergeCell ref="AX4802:AY4803"/>
    <mergeCell ref="AZ4802:AZ4803"/>
    <mergeCell ref="F4803:H4803"/>
    <mergeCell ref="A4808:A4809"/>
    <mergeCell ref="E4808:E4809"/>
    <mergeCell ref="F4808:H4808"/>
    <mergeCell ref="J4808:J4809"/>
    <mergeCell ref="K4808:L4809"/>
    <mergeCell ref="M4808:N4809"/>
    <mergeCell ref="O4808:P4809"/>
    <mergeCell ref="Q4808:R4809"/>
    <mergeCell ref="S4808:T4809"/>
    <mergeCell ref="U4808:V4809"/>
    <mergeCell ref="W4808:W4809"/>
    <mergeCell ref="X4808:AB4808"/>
    <mergeCell ref="AD4808:AI4808"/>
    <mergeCell ref="AJ4808:AL4808"/>
    <mergeCell ref="AN4808:AO4808"/>
    <mergeCell ref="AP4808:AQ4808"/>
    <mergeCell ref="AR4808:AS4809"/>
    <mergeCell ref="AT4808:AU4809"/>
    <mergeCell ref="AV4808:AW4809"/>
    <mergeCell ref="AX4808:AY4809"/>
    <mergeCell ref="AZ4808:AZ4809"/>
    <mergeCell ref="F4809:H4809"/>
    <mergeCell ref="X4809:AB4809"/>
    <mergeCell ref="AE4809:AI4809"/>
    <mergeCell ref="AJ4809:AL4809"/>
    <mergeCell ref="AN4809:AO4809"/>
    <mergeCell ref="AP4809:AQ4809"/>
    <mergeCell ref="A4722:A4723"/>
    <mergeCell ref="E4722:E4723"/>
    <mergeCell ref="F4722:H4722"/>
    <mergeCell ref="J4722:J4723"/>
    <mergeCell ref="K4722:L4723"/>
    <mergeCell ref="M4722:N4723"/>
    <mergeCell ref="O4722:P4723"/>
    <mergeCell ref="Q4722:R4723"/>
    <mergeCell ref="S4722:T4723"/>
    <mergeCell ref="U4722:V4723"/>
    <mergeCell ref="W4722:W4723"/>
    <mergeCell ref="X4722:AB4722"/>
    <mergeCell ref="AD4722:AI4722"/>
    <mergeCell ref="AJ4722:AL4722"/>
    <mergeCell ref="AN4722:AO4722"/>
    <mergeCell ref="AP4722:AQ4722"/>
    <mergeCell ref="AR4722:AS4723"/>
    <mergeCell ref="AT4722:AU4723"/>
    <mergeCell ref="AV4722:AW4723"/>
    <mergeCell ref="AX4722:AY4723"/>
    <mergeCell ref="AZ4722:AZ4723"/>
    <mergeCell ref="F4723:H4723"/>
    <mergeCell ref="X4723:AB4723"/>
    <mergeCell ref="AE4723:AI4723"/>
    <mergeCell ref="AJ4723:AL4723"/>
    <mergeCell ref="AN4723:AO4723"/>
    <mergeCell ref="AP4723:AQ4723"/>
    <mergeCell ref="X4803:AB4803"/>
    <mergeCell ref="AE4803:AI4803"/>
    <mergeCell ref="AJ4803:AL4803"/>
    <mergeCell ref="AN4803:AO4803"/>
    <mergeCell ref="AP4803:AQ4803"/>
    <mergeCell ref="A4804:A4805"/>
    <mergeCell ref="E4804:E4805"/>
    <mergeCell ref="F4804:H4804"/>
    <mergeCell ref="J4804:J4805"/>
    <mergeCell ref="K4804:L4805"/>
    <mergeCell ref="M4804:N4805"/>
    <mergeCell ref="O4804:P4805"/>
    <mergeCell ref="Q4804:R4805"/>
    <mergeCell ref="S4804:T4805"/>
    <mergeCell ref="U4804:V4805"/>
    <mergeCell ref="W4804:W4805"/>
    <mergeCell ref="X4804:AB4804"/>
    <mergeCell ref="AD4804:AI4804"/>
    <mergeCell ref="A4720:A4721"/>
    <mergeCell ref="E4720:E4721"/>
    <mergeCell ref="F4720:H4720"/>
    <mergeCell ref="J4720:J4721"/>
    <mergeCell ref="K4720:L4721"/>
    <mergeCell ref="M4720:N4721"/>
    <mergeCell ref="O4720:P4721"/>
    <mergeCell ref="Q4720:R4721"/>
    <mergeCell ref="S4720:T4721"/>
    <mergeCell ref="U4720:V4721"/>
    <mergeCell ref="W4720:W4721"/>
    <mergeCell ref="X4720:AB4720"/>
    <mergeCell ref="AD4720:AI4720"/>
    <mergeCell ref="AJ4720:AL4720"/>
    <mergeCell ref="AN4720:AO4720"/>
    <mergeCell ref="AP4720:AQ4720"/>
    <mergeCell ref="AR4720:AS4721"/>
    <mergeCell ref="AT4720:AU4721"/>
    <mergeCell ref="AV4720:AW4721"/>
    <mergeCell ref="AX4720:AY4721"/>
    <mergeCell ref="AZ4720:AZ4721"/>
    <mergeCell ref="F4721:H4721"/>
    <mergeCell ref="X4721:AB4721"/>
    <mergeCell ref="AE4721:AI4721"/>
    <mergeCell ref="AJ4721:AL4721"/>
    <mergeCell ref="AN4721:AO4721"/>
    <mergeCell ref="AP4721:AQ4721"/>
    <mergeCell ref="AR4712:AS4713"/>
    <mergeCell ref="AT4712:AU4713"/>
    <mergeCell ref="AV4712:AW4713"/>
    <mergeCell ref="AX4712:AY4713"/>
    <mergeCell ref="AZ4712:AZ4713"/>
    <mergeCell ref="F4713:H4713"/>
    <mergeCell ref="X4713:AB4713"/>
    <mergeCell ref="AE4713:AI4713"/>
    <mergeCell ref="AJ4713:AL4713"/>
    <mergeCell ref="AN4713:AO4713"/>
    <mergeCell ref="AP4713:AQ4713"/>
    <mergeCell ref="A4714:A4715"/>
    <mergeCell ref="E4714:E4715"/>
    <mergeCell ref="F4714:H4714"/>
    <mergeCell ref="J4714:J4715"/>
    <mergeCell ref="K4714:L4715"/>
    <mergeCell ref="M4714:N4715"/>
    <mergeCell ref="O4714:P4715"/>
    <mergeCell ref="Q4714:R4715"/>
    <mergeCell ref="AT4718:AU4719"/>
    <mergeCell ref="AV4718:AW4719"/>
    <mergeCell ref="AX4718:AY4719"/>
    <mergeCell ref="AZ4718:AZ4719"/>
    <mergeCell ref="F4719:H4719"/>
    <mergeCell ref="X4719:AB4719"/>
    <mergeCell ref="AE4719:AI4719"/>
    <mergeCell ref="AJ4719:AL4719"/>
    <mergeCell ref="AP4717:AQ4717"/>
    <mergeCell ref="A4718:A4719"/>
    <mergeCell ref="E4718:E4719"/>
    <mergeCell ref="F4718:H4718"/>
    <mergeCell ref="J4718:J4719"/>
    <mergeCell ref="K4718:L4719"/>
    <mergeCell ref="M4718:N4719"/>
    <mergeCell ref="O4718:P4719"/>
    <mergeCell ref="Q4718:R4719"/>
    <mergeCell ref="A4712:A4713"/>
    <mergeCell ref="E4712:E4713"/>
    <mergeCell ref="F4712:H4712"/>
    <mergeCell ref="J4712:J4713"/>
    <mergeCell ref="K4712:L4713"/>
    <mergeCell ref="M4712:N4713"/>
    <mergeCell ref="O4712:P4713"/>
    <mergeCell ref="Q4712:R4713"/>
    <mergeCell ref="S4712:T4713"/>
    <mergeCell ref="U4712:V4713"/>
    <mergeCell ref="W4712:W4713"/>
    <mergeCell ref="X4712:AB4712"/>
    <mergeCell ref="AD4712:AI4712"/>
    <mergeCell ref="AJ4712:AL4712"/>
    <mergeCell ref="AN4712:AO4712"/>
    <mergeCell ref="AP4712:AQ4712"/>
    <mergeCell ref="AN4719:AO4719"/>
    <mergeCell ref="AP4719:AQ4719"/>
    <mergeCell ref="A4716:A4717"/>
    <mergeCell ref="E4716:E4717"/>
    <mergeCell ref="F4716:H4716"/>
    <mergeCell ref="J4716:J4717"/>
    <mergeCell ref="K4716:L4717"/>
    <mergeCell ref="M4716:N4717"/>
    <mergeCell ref="O4716:P4717"/>
    <mergeCell ref="Q4716:R4717"/>
    <mergeCell ref="S4716:T4717"/>
    <mergeCell ref="U4716:V4717"/>
    <mergeCell ref="W4716:W4717"/>
    <mergeCell ref="X4716:AB4716"/>
    <mergeCell ref="AD4716:AI4716"/>
    <mergeCell ref="AJ4716:AL4716"/>
    <mergeCell ref="AN4716:AO4716"/>
    <mergeCell ref="AP4716:AQ4716"/>
    <mergeCell ref="AJ4714:AL4714"/>
    <mergeCell ref="AN4714:AO4714"/>
    <mergeCell ref="AP4714:AQ4714"/>
    <mergeCell ref="S4718:T4719"/>
    <mergeCell ref="U4718:V4719"/>
    <mergeCell ref="AR4716:AS4717"/>
    <mergeCell ref="AT4716:AU4717"/>
    <mergeCell ref="AV4716:AW4717"/>
    <mergeCell ref="AX4716:AY4717"/>
    <mergeCell ref="AZ4716:AZ4717"/>
    <mergeCell ref="F4717:H4717"/>
    <mergeCell ref="X4717:AB4717"/>
    <mergeCell ref="AE4717:AI4717"/>
    <mergeCell ref="AJ4717:AL4717"/>
    <mergeCell ref="AN4717:AO4717"/>
    <mergeCell ref="AE4715:AI4715"/>
    <mergeCell ref="AJ4715:AL4715"/>
    <mergeCell ref="AN4715:AO4715"/>
    <mergeCell ref="AP4715:AQ4715"/>
    <mergeCell ref="S4714:T4715"/>
    <mergeCell ref="U4714:V4715"/>
    <mergeCell ref="W4718:W4719"/>
    <mergeCell ref="X4718:AB4718"/>
    <mergeCell ref="AD4718:AI4718"/>
    <mergeCell ref="AJ4718:AL4718"/>
    <mergeCell ref="AN4718:AO4718"/>
    <mergeCell ref="AP4718:AQ4718"/>
    <mergeCell ref="AR4718:AS4719"/>
    <mergeCell ref="A4630:A4631"/>
    <mergeCell ref="E4630:E4631"/>
    <mergeCell ref="F4630:H4630"/>
    <mergeCell ref="J4630:J4631"/>
    <mergeCell ref="K4630:L4631"/>
    <mergeCell ref="M4630:N4631"/>
    <mergeCell ref="O4630:P4631"/>
    <mergeCell ref="Q4630:R4631"/>
    <mergeCell ref="S4630:T4631"/>
    <mergeCell ref="U4630:V4631"/>
    <mergeCell ref="W4630:W4631"/>
    <mergeCell ref="X4630:AB4630"/>
    <mergeCell ref="AD4630:AI4630"/>
    <mergeCell ref="AJ4630:AL4630"/>
    <mergeCell ref="AN4630:AO4630"/>
    <mergeCell ref="AP4630:AQ4630"/>
    <mergeCell ref="AR4630:AS4631"/>
    <mergeCell ref="AT4630:AU4631"/>
    <mergeCell ref="AV4630:AW4631"/>
    <mergeCell ref="AX4630:AY4631"/>
    <mergeCell ref="AZ4630:AZ4631"/>
    <mergeCell ref="F4631:H4631"/>
    <mergeCell ref="X4631:AB4631"/>
    <mergeCell ref="AE4631:AI4631"/>
    <mergeCell ref="AJ4631:AL4631"/>
    <mergeCell ref="AN4631:AO4631"/>
    <mergeCell ref="AP4631:AQ4631"/>
    <mergeCell ref="A4706:A4707"/>
    <mergeCell ref="E4706:E4707"/>
    <mergeCell ref="F4706:H4706"/>
    <mergeCell ref="J4706:J4707"/>
    <mergeCell ref="K4706:L4707"/>
    <mergeCell ref="M4706:N4707"/>
    <mergeCell ref="O4706:P4707"/>
    <mergeCell ref="Q4706:R4707"/>
    <mergeCell ref="S4706:T4707"/>
    <mergeCell ref="U4706:V4707"/>
    <mergeCell ref="A4702:A4703"/>
    <mergeCell ref="E4702:E4703"/>
    <mergeCell ref="F4702:H4702"/>
    <mergeCell ref="J4702:J4703"/>
    <mergeCell ref="K4702:L4703"/>
    <mergeCell ref="M4702:N4703"/>
    <mergeCell ref="O4702:P4703"/>
    <mergeCell ref="Q4702:R4703"/>
    <mergeCell ref="S4702:T4703"/>
    <mergeCell ref="U4702:V4703"/>
    <mergeCell ref="W4702:W4703"/>
    <mergeCell ref="X4702:AB4702"/>
    <mergeCell ref="AD4702:AI4702"/>
    <mergeCell ref="AJ4702:AL4702"/>
    <mergeCell ref="AN4702:AO4702"/>
    <mergeCell ref="AP4702:AQ4702"/>
    <mergeCell ref="AR4702:AS4703"/>
    <mergeCell ref="AT4702:AU4703"/>
    <mergeCell ref="AV4702:AW4703"/>
    <mergeCell ref="AX4702:AY4703"/>
    <mergeCell ref="AZ4702:AZ4703"/>
    <mergeCell ref="F4703:H4703"/>
    <mergeCell ref="X4703:AB4703"/>
    <mergeCell ref="AE4703:AI4703"/>
    <mergeCell ref="AJ4703:AL4703"/>
    <mergeCell ref="AN4703:AO4703"/>
    <mergeCell ref="AP4703:AQ4703"/>
    <mergeCell ref="W4626:W4627"/>
    <mergeCell ref="X4626:AB4626"/>
    <mergeCell ref="AD4626:AI4626"/>
    <mergeCell ref="AJ4626:AL4626"/>
    <mergeCell ref="AN4626:AO4626"/>
    <mergeCell ref="AP4626:AQ4626"/>
    <mergeCell ref="AR4626:AS4627"/>
    <mergeCell ref="AT4626:AU4627"/>
    <mergeCell ref="AV4626:AW4627"/>
    <mergeCell ref="AX4626:AY4627"/>
    <mergeCell ref="AZ4626:AZ4627"/>
    <mergeCell ref="F4627:H4627"/>
    <mergeCell ref="X4627:AB4627"/>
    <mergeCell ref="AE4627:AI4627"/>
    <mergeCell ref="AJ4627:AL4627"/>
    <mergeCell ref="AN4627:AO4627"/>
    <mergeCell ref="AP4627:AQ4627"/>
    <mergeCell ref="W4700:W4701"/>
    <mergeCell ref="X4700:AB4700"/>
    <mergeCell ref="AD4700:AI4700"/>
    <mergeCell ref="AJ4700:AL4700"/>
    <mergeCell ref="AN4700:AO4700"/>
    <mergeCell ref="AP4700:AQ4700"/>
    <mergeCell ref="AR4700:AS4701"/>
    <mergeCell ref="AT4700:AU4701"/>
    <mergeCell ref="AV4700:AW4701"/>
    <mergeCell ref="AX4700:AY4701"/>
    <mergeCell ref="AZ4700:AZ4701"/>
    <mergeCell ref="F4701:H4701"/>
    <mergeCell ref="X4701:AB4701"/>
    <mergeCell ref="AE4701:AI4701"/>
    <mergeCell ref="AJ4701:AL4701"/>
    <mergeCell ref="AN4701:AO4701"/>
    <mergeCell ref="AP4701:AQ4701"/>
    <mergeCell ref="W4640:W4641"/>
    <mergeCell ref="X4640:AB4640"/>
    <mergeCell ref="AD4640:AI4640"/>
    <mergeCell ref="AJ4640:AL4640"/>
    <mergeCell ref="AN4640:AO4640"/>
    <mergeCell ref="AP4640:AQ4640"/>
    <mergeCell ref="AR4640:AS4641"/>
    <mergeCell ref="A4628:A4629"/>
    <mergeCell ref="E4628:E4629"/>
    <mergeCell ref="F4628:H4628"/>
    <mergeCell ref="J4628:J4629"/>
    <mergeCell ref="K4628:L4629"/>
    <mergeCell ref="M4628:N4629"/>
    <mergeCell ref="O4628:P4629"/>
    <mergeCell ref="Q4628:R4629"/>
    <mergeCell ref="S4628:T4629"/>
    <mergeCell ref="U4628:V4629"/>
    <mergeCell ref="W4628:W4629"/>
    <mergeCell ref="X4628:AB4628"/>
    <mergeCell ref="AD4628:AI4628"/>
    <mergeCell ref="AJ4628:AL4628"/>
    <mergeCell ref="AN4628:AO4628"/>
    <mergeCell ref="AP4628:AQ4628"/>
    <mergeCell ref="AR4628:AS4629"/>
    <mergeCell ref="AT4628:AU4629"/>
    <mergeCell ref="AV4628:AW4629"/>
    <mergeCell ref="AX4628:AY4629"/>
    <mergeCell ref="AZ4628:AZ4629"/>
    <mergeCell ref="F4629:H4629"/>
    <mergeCell ref="X4629:AB4629"/>
    <mergeCell ref="AE4629:AI4629"/>
    <mergeCell ref="AJ4629:AL4629"/>
    <mergeCell ref="AN4629:AO4629"/>
    <mergeCell ref="AP4629:AQ4629"/>
    <mergeCell ref="W4614:W4615"/>
    <mergeCell ref="X4614:AB4614"/>
    <mergeCell ref="AD4614:AI4614"/>
    <mergeCell ref="AJ4614:AL4614"/>
    <mergeCell ref="AN4614:AO4614"/>
    <mergeCell ref="AP4614:AQ4614"/>
    <mergeCell ref="AR4614:AS4615"/>
    <mergeCell ref="AT4614:AU4615"/>
    <mergeCell ref="AV4614:AW4615"/>
    <mergeCell ref="AX4614:AY4615"/>
    <mergeCell ref="AZ4614:AZ4615"/>
    <mergeCell ref="F4615:H4615"/>
    <mergeCell ref="X4615:AB4615"/>
    <mergeCell ref="AE4615:AI4615"/>
    <mergeCell ref="AJ4615:AL4615"/>
    <mergeCell ref="AN4615:AO4615"/>
    <mergeCell ref="AP4615:AQ4615"/>
    <mergeCell ref="A4616:A4617"/>
    <mergeCell ref="E4616:E4617"/>
    <mergeCell ref="F4616:H4616"/>
    <mergeCell ref="J4616:J4617"/>
    <mergeCell ref="K4616:L4617"/>
    <mergeCell ref="M4616:N4617"/>
    <mergeCell ref="O4616:P4617"/>
    <mergeCell ref="Q4616:R4617"/>
    <mergeCell ref="S4616:T4617"/>
    <mergeCell ref="U4616:V4617"/>
    <mergeCell ref="W4616:W4617"/>
    <mergeCell ref="X4616:AB4616"/>
    <mergeCell ref="AD4616:AI4616"/>
    <mergeCell ref="AJ4616:AL4616"/>
    <mergeCell ref="AN4616:AO4616"/>
    <mergeCell ref="AP4616:AQ4616"/>
    <mergeCell ref="AR4616:AS4617"/>
    <mergeCell ref="AT4616:AU4617"/>
    <mergeCell ref="AV4616:AW4617"/>
    <mergeCell ref="AX4616:AY4617"/>
    <mergeCell ref="AZ4616:AZ4617"/>
    <mergeCell ref="F4617:H4617"/>
    <mergeCell ref="X4617:AB4617"/>
    <mergeCell ref="AE4617:AI4617"/>
    <mergeCell ref="AJ4617:AL4617"/>
    <mergeCell ref="AN4617:AO4617"/>
    <mergeCell ref="AP4617:AQ4617"/>
    <mergeCell ref="W4484:W4485"/>
    <mergeCell ref="X4484:AB4484"/>
    <mergeCell ref="AD4484:AI4484"/>
    <mergeCell ref="AJ4484:AL4484"/>
    <mergeCell ref="AN4484:AO4484"/>
    <mergeCell ref="AP4484:AQ4484"/>
    <mergeCell ref="AR4484:AS4485"/>
    <mergeCell ref="AT4484:AU4485"/>
    <mergeCell ref="AV4484:AW4485"/>
    <mergeCell ref="AX4484:AY4485"/>
    <mergeCell ref="AZ4484:AZ4485"/>
    <mergeCell ref="F4485:H4485"/>
    <mergeCell ref="X4485:AB4485"/>
    <mergeCell ref="AE4485:AI4485"/>
    <mergeCell ref="AJ4485:AL4485"/>
    <mergeCell ref="A4610:A4611"/>
    <mergeCell ref="E4610:E4611"/>
    <mergeCell ref="F4610:H4610"/>
    <mergeCell ref="J4610:J4611"/>
    <mergeCell ref="K4610:L4611"/>
    <mergeCell ref="M4610:N4611"/>
    <mergeCell ref="O4610:P4611"/>
    <mergeCell ref="Q4610:R4611"/>
    <mergeCell ref="S4610:T4611"/>
    <mergeCell ref="U4610:V4611"/>
    <mergeCell ref="W4610:W4611"/>
    <mergeCell ref="X4610:AB4610"/>
    <mergeCell ref="AD4610:AI4610"/>
    <mergeCell ref="AJ4610:AL4610"/>
    <mergeCell ref="AN4610:AO4610"/>
    <mergeCell ref="AP4610:AQ4610"/>
    <mergeCell ref="AR4610:AS4611"/>
    <mergeCell ref="AT4610:AU4611"/>
    <mergeCell ref="AV4610:AW4611"/>
    <mergeCell ref="AX4610:AY4611"/>
    <mergeCell ref="AZ4610:AZ4611"/>
    <mergeCell ref="F4611:H4611"/>
    <mergeCell ref="X4611:AB4611"/>
    <mergeCell ref="AE4611:AI4611"/>
    <mergeCell ref="AJ4611:AL4611"/>
    <mergeCell ref="AN4611:AO4611"/>
    <mergeCell ref="AP4611:AQ4611"/>
    <mergeCell ref="W4494:W4495"/>
    <mergeCell ref="X4494:AB4494"/>
    <mergeCell ref="AD4494:AI4494"/>
    <mergeCell ref="AJ4494:AL4494"/>
    <mergeCell ref="AN4494:AO4494"/>
    <mergeCell ref="AP4494:AQ4494"/>
    <mergeCell ref="AR4494:AS4495"/>
    <mergeCell ref="AT4494:AU4495"/>
    <mergeCell ref="AV4494:AW4495"/>
    <mergeCell ref="AX4494:AY4495"/>
    <mergeCell ref="AZ4494:AZ4495"/>
    <mergeCell ref="F4495:H4495"/>
    <mergeCell ref="X4495:AB4495"/>
    <mergeCell ref="AE4495:AI4495"/>
    <mergeCell ref="AJ4495:AL4495"/>
    <mergeCell ref="J4486:J4487"/>
    <mergeCell ref="K4486:L4487"/>
    <mergeCell ref="M4486:N4487"/>
    <mergeCell ref="O4486:P4487"/>
    <mergeCell ref="Q4486:R4487"/>
    <mergeCell ref="S4486:T4487"/>
    <mergeCell ref="U4486:V4487"/>
    <mergeCell ref="W4486:W4487"/>
    <mergeCell ref="X4486:AB4486"/>
    <mergeCell ref="AD4486:AI4486"/>
    <mergeCell ref="AJ4486:AL4486"/>
    <mergeCell ref="AN4486:AO4486"/>
    <mergeCell ref="AP4486:AQ4486"/>
    <mergeCell ref="AR4486:AS4487"/>
    <mergeCell ref="AT4486:AU4487"/>
    <mergeCell ref="AV4486:AW4487"/>
    <mergeCell ref="AX4486:AY4487"/>
    <mergeCell ref="AZ4486:AZ4487"/>
    <mergeCell ref="F4487:H4487"/>
    <mergeCell ref="X4487:AB4487"/>
    <mergeCell ref="AE4487:AI4487"/>
    <mergeCell ref="AJ4487:AL4487"/>
    <mergeCell ref="AN4487:AO4487"/>
    <mergeCell ref="AP4487:AQ4487"/>
    <mergeCell ref="W4496:W4497"/>
    <mergeCell ref="X4496:AB4496"/>
    <mergeCell ref="AD4496:AI4496"/>
    <mergeCell ref="AJ4496:AL4496"/>
    <mergeCell ref="AN4496:AO4496"/>
    <mergeCell ref="AP4496:AQ4496"/>
    <mergeCell ref="AR4496:AS4497"/>
    <mergeCell ref="AT4496:AU4497"/>
    <mergeCell ref="AV4496:AW4497"/>
    <mergeCell ref="AX4496:AY4497"/>
    <mergeCell ref="AZ4496:AZ4497"/>
    <mergeCell ref="F4497:H4497"/>
    <mergeCell ref="X4497:AB4497"/>
    <mergeCell ref="AE4497:AI4497"/>
    <mergeCell ref="AJ4497:AL4497"/>
    <mergeCell ref="AN4497:AO4497"/>
    <mergeCell ref="AP4497:AQ4497"/>
    <mergeCell ref="AZ4432:AZ4433"/>
    <mergeCell ref="F4433:H4433"/>
    <mergeCell ref="X4433:AB4433"/>
    <mergeCell ref="AE4433:AI4433"/>
    <mergeCell ref="AJ4433:AL4433"/>
    <mergeCell ref="AN4433:AO4433"/>
    <mergeCell ref="AP4433:AQ4433"/>
    <mergeCell ref="A4490:A4491"/>
    <mergeCell ref="E4490:E4491"/>
    <mergeCell ref="F4490:H4490"/>
    <mergeCell ref="J4490:J4491"/>
    <mergeCell ref="K4490:L4491"/>
    <mergeCell ref="M4490:N4491"/>
    <mergeCell ref="O4490:P4491"/>
    <mergeCell ref="Q4490:R4491"/>
    <mergeCell ref="S4490:T4491"/>
    <mergeCell ref="U4490:V4491"/>
    <mergeCell ref="W4490:W4491"/>
    <mergeCell ref="X4490:AB4490"/>
    <mergeCell ref="AD4490:AI4490"/>
    <mergeCell ref="AJ4490:AL4490"/>
    <mergeCell ref="AN4490:AO4490"/>
    <mergeCell ref="AP4490:AQ4490"/>
    <mergeCell ref="AR4490:AS4491"/>
    <mergeCell ref="AT4490:AU4491"/>
    <mergeCell ref="AV4490:AW4491"/>
    <mergeCell ref="AX4490:AY4491"/>
    <mergeCell ref="AZ4490:AZ4491"/>
    <mergeCell ref="F4491:H4491"/>
    <mergeCell ref="X4491:AB4491"/>
    <mergeCell ref="AE4491:AI4491"/>
    <mergeCell ref="AJ4491:AL4491"/>
    <mergeCell ref="AN4491:AO4491"/>
    <mergeCell ref="AP4491:AQ4491"/>
    <mergeCell ref="A4486:A4487"/>
    <mergeCell ref="E4486:E4487"/>
    <mergeCell ref="F4486:H4486"/>
    <mergeCell ref="A4472:A4473"/>
    <mergeCell ref="E4472:E4473"/>
    <mergeCell ref="F4472:H4472"/>
    <mergeCell ref="J4472:J4473"/>
    <mergeCell ref="K4472:L4473"/>
    <mergeCell ref="M4472:N4473"/>
    <mergeCell ref="O4472:P4473"/>
    <mergeCell ref="Q4472:R4473"/>
    <mergeCell ref="S4472:T4473"/>
    <mergeCell ref="U4472:V4473"/>
    <mergeCell ref="AV4482:AW4483"/>
    <mergeCell ref="AX4482:AY4483"/>
    <mergeCell ref="AZ4482:AZ4483"/>
    <mergeCell ref="F4483:H4483"/>
    <mergeCell ref="X4483:AB4483"/>
    <mergeCell ref="AE4483:AI4483"/>
    <mergeCell ref="AJ4483:AL4483"/>
    <mergeCell ref="AN4483:AO4483"/>
    <mergeCell ref="AP4483:AQ4483"/>
    <mergeCell ref="A4484:A4485"/>
    <mergeCell ref="E4484:E4485"/>
    <mergeCell ref="F4484:H4484"/>
    <mergeCell ref="J4484:J4485"/>
    <mergeCell ref="K4484:L4485"/>
    <mergeCell ref="M4484:N4485"/>
    <mergeCell ref="O4484:P4485"/>
    <mergeCell ref="Q4484:R4485"/>
    <mergeCell ref="W4428:W4429"/>
    <mergeCell ref="X4428:AB4428"/>
    <mergeCell ref="AD4428:AI4428"/>
    <mergeCell ref="AJ4428:AL4428"/>
    <mergeCell ref="AN4428:AO4428"/>
    <mergeCell ref="AP4428:AQ4428"/>
    <mergeCell ref="AR4428:AS4429"/>
    <mergeCell ref="AT4428:AU4429"/>
    <mergeCell ref="AV4428:AW4429"/>
    <mergeCell ref="AX4428:AY4429"/>
    <mergeCell ref="AZ4428:AZ4429"/>
    <mergeCell ref="F4429:H4429"/>
    <mergeCell ref="X4429:AB4429"/>
    <mergeCell ref="AE4429:AI4429"/>
    <mergeCell ref="AJ4429:AL4429"/>
    <mergeCell ref="AN4429:AO4429"/>
    <mergeCell ref="AP4429:AQ4429"/>
    <mergeCell ref="A4430:A4431"/>
    <mergeCell ref="E4430:E4431"/>
    <mergeCell ref="F4430:H4430"/>
    <mergeCell ref="J4430:J4431"/>
    <mergeCell ref="K4430:L4431"/>
    <mergeCell ref="M4430:N4431"/>
    <mergeCell ref="O4430:P4431"/>
    <mergeCell ref="Q4430:R4431"/>
    <mergeCell ref="S4430:T4431"/>
    <mergeCell ref="U4430:V4431"/>
    <mergeCell ref="W4430:W4431"/>
    <mergeCell ref="X4430:AB4430"/>
    <mergeCell ref="AD4430:AI4430"/>
    <mergeCell ref="AJ4430:AL4430"/>
    <mergeCell ref="AN4430:AO4430"/>
    <mergeCell ref="AP4430:AQ4430"/>
    <mergeCell ref="AR4430:AS4431"/>
    <mergeCell ref="AT4430:AU4431"/>
    <mergeCell ref="AV4430:AW4431"/>
    <mergeCell ref="AX4430:AY4431"/>
    <mergeCell ref="AZ4430:AZ4431"/>
    <mergeCell ref="F4431:H4431"/>
    <mergeCell ref="X4431:AB4431"/>
    <mergeCell ref="AE4431:AI4431"/>
    <mergeCell ref="AJ4431:AL4431"/>
    <mergeCell ref="AN4431:AO4431"/>
    <mergeCell ref="AP4431:AQ4431"/>
    <mergeCell ref="J4428:J4429"/>
    <mergeCell ref="K4428:L4429"/>
    <mergeCell ref="M4428:N4429"/>
    <mergeCell ref="O4428:P4429"/>
    <mergeCell ref="Q4428:R4429"/>
    <mergeCell ref="S4428:T4429"/>
    <mergeCell ref="U4428:V4429"/>
    <mergeCell ref="AZ4420:AZ4421"/>
    <mergeCell ref="F4421:H4421"/>
    <mergeCell ref="X4421:AB4421"/>
    <mergeCell ref="AE4421:AI4421"/>
    <mergeCell ref="AJ4421:AL4421"/>
    <mergeCell ref="AN4421:AO4421"/>
    <mergeCell ref="AP4421:AQ4421"/>
    <mergeCell ref="A4426:A4427"/>
    <mergeCell ref="E4426:E4427"/>
    <mergeCell ref="F4426:H4426"/>
    <mergeCell ref="J4426:J4427"/>
    <mergeCell ref="K4426:L4427"/>
    <mergeCell ref="M4426:N4427"/>
    <mergeCell ref="O4426:P4427"/>
    <mergeCell ref="Q4426:R4427"/>
    <mergeCell ref="S4426:T4427"/>
    <mergeCell ref="U4426:V4427"/>
    <mergeCell ref="W4426:W4427"/>
    <mergeCell ref="X4426:AB4426"/>
    <mergeCell ref="AD4426:AI4426"/>
    <mergeCell ref="AJ4426:AL4426"/>
    <mergeCell ref="AN4426:AO4426"/>
    <mergeCell ref="AP4426:AQ4426"/>
    <mergeCell ref="AR4426:AS4427"/>
    <mergeCell ref="AT4426:AU4427"/>
    <mergeCell ref="AV4426:AW4427"/>
    <mergeCell ref="AX4426:AY4427"/>
    <mergeCell ref="AZ4426:AZ4427"/>
    <mergeCell ref="F4427:H4427"/>
    <mergeCell ref="X4427:AB4427"/>
    <mergeCell ref="AE4427:AI4427"/>
    <mergeCell ref="AJ4427:AL4427"/>
    <mergeCell ref="AN4427:AO4427"/>
    <mergeCell ref="AP4427:AQ4427"/>
    <mergeCell ref="A4422:A4423"/>
    <mergeCell ref="E4422:E4423"/>
    <mergeCell ref="F4422:H4422"/>
    <mergeCell ref="J4422:J4423"/>
    <mergeCell ref="K4422:L4423"/>
    <mergeCell ref="M4422:N4423"/>
    <mergeCell ref="O4422:P4423"/>
    <mergeCell ref="Q4422:R4423"/>
    <mergeCell ref="S4422:T4423"/>
    <mergeCell ref="U4422:V4423"/>
    <mergeCell ref="A5002:A5003"/>
    <mergeCell ref="E5002:E5003"/>
    <mergeCell ref="F5002:H5002"/>
    <mergeCell ref="J5002:J5003"/>
    <mergeCell ref="K5002:L5003"/>
    <mergeCell ref="M5002:N5003"/>
    <mergeCell ref="O5002:P5003"/>
    <mergeCell ref="Q5002:R5003"/>
    <mergeCell ref="S5002:T5003"/>
    <mergeCell ref="U5002:V5003"/>
    <mergeCell ref="W5002:W5003"/>
    <mergeCell ref="X5002:AB5002"/>
    <mergeCell ref="AD5002:AI5002"/>
    <mergeCell ref="AJ5002:AL5002"/>
    <mergeCell ref="AN5002:AO5002"/>
    <mergeCell ref="AP5002:AQ5002"/>
    <mergeCell ref="AR5002:AS5003"/>
    <mergeCell ref="AT5002:AU5003"/>
    <mergeCell ref="AV5002:AW5003"/>
    <mergeCell ref="AX5002:AY5003"/>
    <mergeCell ref="AZ5002:AZ5003"/>
    <mergeCell ref="F5003:H5003"/>
    <mergeCell ref="X5003:AB5003"/>
    <mergeCell ref="AE5003:AI5003"/>
    <mergeCell ref="AJ5003:AL5003"/>
    <mergeCell ref="AN5003:AO5003"/>
    <mergeCell ref="AP5003:AQ5003"/>
    <mergeCell ref="W4410:W4411"/>
    <mergeCell ref="X4410:AB4410"/>
    <mergeCell ref="AD4410:AI4410"/>
    <mergeCell ref="AJ4410:AL4410"/>
    <mergeCell ref="AN4410:AO4410"/>
    <mergeCell ref="AP4410:AQ4410"/>
    <mergeCell ref="AR4410:AS4411"/>
    <mergeCell ref="AT4410:AU4411"/>
    <mergeCell ref="AV4410:AW4411"/>
    <mergeCell ref="AX4410:AY4411"/>
    <mergeCell ref="AZ4410:AZ4411"/>
    <mergeCell ref="F4411:H4411"/>
    <mergeCell ref="X4411:AB4411"/>
    <mergeCell ref="AE4411:AI4411"/>
    <mergeCell ref="AJ4411:AL4411"/>
    <mergeCell ref="AN4411:AO4411"/>
    <mergeCell ref="AP4411:AQ4411"/>
    <mergeCell ref="A4412:A4413"/>
    <mergeCell ref="E4412:E4413"/>
    <mergeCell ref="F4412:H4412"/>
    <mergeCell ref="J4412:J4413"/>
    <mergeCell ref="K4412:L4413"/>
    <mergeCell ref="M4412:N4413"/>
    <mergeCell ref="O4412:P4413"/>
    <mergeCell ref="Q4412:R4413"/>
    <mergeCell ref="S4412:T4413"/>
    <mergeCell ref="U4412:V4413"/>
    <mergeCell ref="W4412:W4413"/>
    <mergeCell ref="X4412:AB4412"/>
    <mergeCell ref="AD4412:AI4412"/>
    <mergeCell ref="AJ4412:AL4412"/>
    <mergeCell ref="AN4412:AO4412"/>
    <mergeCell ref="AP4412:AQ4412"/>
    <mergeCell ref="AR4412:AS4413"/>
    <mergeCell ref="AT4412:AU4413"/>
    <mergeCell ref="AV4412:AW4413"/>
    <mergeCell ref="AX4412:AY4413"/>
    <mergeCell ref="A4998:A4999"/>
    <mergeCell ref="E4998:E4999"/>
    <mergeCell ref="F4998:H4998"/>
    <mergeCell ref="J4998:J4999"/>
    <mergeCell ref="K4998:L4999"/>
    <mergeCell ref="M4998:N4999"/>
    <mergeCell ref="O4998:P4999"/>
    <mergeCell ref="Q4998:R4999"/>
    <mergeCell ref="S4998:T4999"/>
    <mergeCell ref="U4998:V4999"/>
    <mergeCell ref="W4998:W4999"/>
    <mergeCell ref="X4998:AB4998"/>
    <mergeCell ref="AD4998:AI4998"/>
    <mergeCell ref="AJ4998:AL4998"/>
    <mergeCell ref="AN4998:AO4998"/>
    <mergeCell ref="AP4998:AQ4998"/>
    <mergeCell ref="AR4998:AS4999"/>
    <mergeCell ref="AT4998:AU4999"/>
    <mergeCell ref="AV4998:AW4999"/>
    <mergeCell ref="AX4998:AY4999"/>
    <mergeCell ref="AZ4998:AZ4999"/>
    <mergeCell ref="F4999:H4999"/>
    <mergeCell ref="X4999:AB4999"/>
    <mergeCell ref="AE4999:AI4999"/>
    <mergeCell ref="AJ4999:AL4999"/>
    <mergeCell ref="AN4999:AO4999"/>
    <mergeCell ref="AP4999:AQ4999"/>
    <mergeCell ref="A5000:A5001"/>
    <mergeCell ref="E5000:E5001"/>
    <mergeCell ref="F5000:H5000"/>
    <mergeCell ref="J5000:J5001"/>
    <mergeCell ref="K5000:L5001"/>
    <mergeCell ref="M5000:N5001"/>
    <mergeCell ref="O5000:P5001"/>
    <mergeCell ref="Q5000:R5001"/>
    <mergeCell ref="S5000:T5001"/>
    <mergeCell ref="U5000:V5001"/>
    <mergeCell ref="W5000:W5001"/>
    <mergeCell ref="X5000:AB5000"/>
    <mergeCell ref="AD5000:AI5000"/>
    <mergeCell ref="AJ5000:AL5000"/>
    <mergeCell ref="AN5000:AO5000"/>
    <mergeCell ref="AP5000:AQ5000"/>
    <mergeCell ref="AR5000:AS5001"/>
    <mergeCell ref="AT5000:AU5001"/>
    <mergeCell ref="AV5000:AW5001"/>
    <mergeCell ref="AX5000:AY5001"/>
    <mergeCell ref="AZ5000:AZ5001"/>
    <mergeCell ref="F5001:H5001"/>
    <mergeCell ref="X5001:AB5001"/>
    <mergeCell ref="AE5001:AI5001"/>
    <mergeCell ref="AJ5001:AL5001"/>
    <mergeCell ref="AN5001:AO5001"/>
    <mergeCell ref="AP5001:AQ5001"/>
    <mergeCell ref="A4994:A4995"/>
    <mergeCell ref="E4994:E4995"/>
    <mergeCell ref="F4994:H4994"/>
    <mergeCell ref="J4994:J4995"/>
    <mergeCell ref="K4994:L4995"/>
    <mergeCell ref="M4994:N4995"/>
    <mergeCell ref="O4994:P4995"/>
    <mergeCell ref="Q4994:R4995"/>
    <mergeCell ref="S4994:T4995"/>
    <mergeCell ref="U4994:V4995"/>
    <mergeCell ref="W4994:W4995"/>
    <mergeCell ref="X4994:AB4994"/>
    <mergeCell ref="AD4994:AI4994"/>
    <mergeCell ref="AJ4994:AL4994"/>
    <mergeCell ref="AN4994:AO4994"/>
    <mergeCell ref="AP4994:AQ4994"/>
    <mergeCell ref="AR4994:AS4995"/>
    <mergeCell ref="AT4994:AU4995"/>
    <mergeCell ref="AV4994:AW4995"/>
    <mergeCell ref="AX4994:AY4995"/>
    <mergeCell ref="AZ4994:AZ4995"/>
    <mergeCell ref="F4995:H4995"/>
    <mergeCell ref="X4995:AB4995"/>
    <mergeCell ref="AE4995:AI4995"/>
    <mergeCell ref="AJ4995:AL4995"/>
    <mergeCell ref="AN4995:AO4995"/>
    <mergeCell ref="AP4995:AQ4995"/>
    <mergeCell ref="A4996:A4997"/>
    <mergeCell ref="E4996:E4997"/>
    <mergeCell ref="F4996:H4996"/>
    <mergeCell ref="J4996:J4997"/>
    <mergeCell ref="K4996:L4997"/>
    <mergeCell ref="M4996:N4997"/>
    <mergeCell ref="O4996:P4997"/>
    <mergeCell ref="Q4996:R4997"/>
    <mergeCell ref="S4996:T4997"/>
    <mergeCell ref="U4996:V4997"/>
    <mergeCell ref="W4996:W4997"/>
    <mergeCell ref="X4996:AB4996"/>
    <mergeCell ref="AD4996:AI4996"/>
    <mergeCell ref="AJ4996:AL4996"/>
    <mergeCell ref="AN4996:AO4996"/>
    <mergeCell ref="AP4996:AQ4996"/>
    <mergeCell ref="AR4996:AS4997"/>
    <mergeCell ref="AT4996:AU4997"/>
    <mergeCell ref="AV4996:AW4997"/>
    <mergeCell ref="AX4996:AY4997"/>
    <mergeCell ref="AZ4996:AZ4997"/>
    <mergeCell ref="F4997:H4997"/>
    <mergeCell ref="X4997:AB4997"/>
    <mergeCell ref="AE4997:AI4997"/>
    <mergeCell ref="AJ4997:AL4997"/>
    <mergeCell ref="AN4997:AO4997"/>
    <mergeCell ref="AP4997:AQ4997"/>
    <mergeCell ref="A4990:A4991"/>
    <mergeCell ref="E4990:E4991"/>
    <mergeCell ref="F4990:H4990"/>
    <mergeCell ref="J4990:J4991"/>
    <mergeCell ref="K4990:L4991"/>
    <mergeCell ref="M4990:N4991"/>
    <mergeCell ref="O4990:P4991"/>
    <mergeCell ref="Q4990:R4991"/>
    <mergeCell ref="S4990:T4991"/>
    <mergeCell ref="U4990:V4991"/>
    <mergeCell ref="W4990:W4991"/>
    <mergeCell ref="X4990:AB4990"/>
    <mergeCell ref="AD4990:AI4990"/>
    <mergeCell ref="AJ4990:AL4990"/>
    <mergeCell ref="AN4990:AO4990"/>
    <mergeCell ref="AP4990:AQ4990"/>
    <mergeCell ref="AR4990:AS4991"/>
    <mergeCell ref="AT4990:AU4991"/>
    <mergeCell ref="AV4990:AW4991"/>
    <mergeCell ref="AX4990:AY4991"/>
    <mergeCell ref="AZ4990:AZ4991"/>
    <mergeCell ref="F4991:H4991"/>
    <mergeCell ref="X4991:AB4991"/>
    <mergeCell ref="AE4991:AI4991"/>
    <mergeCell ref="AJ4991:AL4991"/>
    <mergeCell ref="AN4991:AO4991"/>
    <mergeCell ref="AP4991:AQ4991"/>
    <mergeCell ref="A4992:A4993"/>
    <mergeCell ref="E4992:E4993"/>
    <mergeCell ref="F4992:H4992"/>
    <mergeCell ref="J4992:J4993"/>
    <mergeCell ref="K4992:L4993"/>
    <mergeCell ref="M4992:N4993"/>
    <mergeCell ref="O4992:P4993"/>
    <mergeCell ref="Q4992:R4993"/>
    <mergeCell ref="S4992:T4993"/>
    <mergeCell ref="U4992:V4993"/>
    <mergeCell ref="W4992:W4993"/>
    <mergeCell ref="X4992:AB4992"/>
    <mergeCell ref="AD4992:AI4992"/>
    <mergeCell ref="AJ4992:AL4992"/>
    <mergeCell ref="AN4992:AO4992"/>
    <mergeCell ref="AP4992:AQ4992"/>
    <mergeCell ref="AR4992:AS4993"/>
    <mergeCell ref="AT4992:AU4993"/>
    <mergeCell ref="AV4992:AW4993"/>
    <mergeCell ref="AX4992:AY4993"/>
    <mergeCell ref="AZ4992:AZ4993"/>
    <mergeCell ref="F4993:H4993"/>
    <mergeCell ref="X4993:AB4993"/>
    <mergeCell ref="AE4993:AI4993"/>
    <mergeCell ref="AJ4993:AL4993"/>
    <mergeCell ref="AN4993:AO4993"/>
    <mergeCell ref="AP4993:AQ4993"/>
    <mergeCell ref="A4986:A4987"/>
    <mergeCell ref="E4986:E4987"/>
    <mergeCell ref="F4986:H4986"/>
    <mergeCell ref="J4986:J4987"/>
    <mergeCell ref="K4986:L4987"/>
    <mergeCell ref="M4986:N4987"/>
    <mergeCell ref="O4986:P4987"/>
    <mergeCell ref="Q4986:R4987"/>
    <mergeCell ref="S4986:T4987"/>
    <mergeCell ref="U4986:V4987"/>
    <mergeCell ref="W4986:W4987"/>
    <mergeCell ref="X4986:AB4986"/>
    <mergeCell ref="AD4986:AI4986"/>
    <mergeCell ref="AJ4986:AL4986"/>
    <mergeCell ref="AN4986:AO4986"/>
    <mergeCell ref="AP4986:AQ4986"/>
    <mergeCell ref="AR4986:AS4987"/>
    <mergeCell ref="AT4986:AU4987"/>
    <mergeCell ref="AV4986:AW4987"/>
    <mergeCell ref="AX4986:AY4987"/>
    <mergeCell ref="AZ4986:AZ4987"/>
    <mergeCell ref="F4987:H4987"/>
    <mergeCell ref="X4987:AB4987"/>
    <mergeCell ref="AE4987:AI4987"/>
    <mergeCell ref="AJ4987:AL4987"/>
    <mergeCell ref="AN4987:AO4987"/>
    <mergeCell ref="AP4987:AQ4987"/>
    <mergeCell ref="A4988:A4989"/>
    <mergeCell ref="E4988:E4989"/>
    <mergeCell ref="F4988:H4988"/>
    <mergeCell ref="J4988:J4989"/>
    <mergeCell ref="K4988:L4989"/>
    <mergeCell ref="M4988:N4989"/>
    <mergeCell ref="O4988:P4989"/>
    <mergeCell ref="Q4988:R4989"/>
    <mergeCell ref="S4988:T4989"/>
    <mergeCell ref="U4988:V4989"/>
    <mergeCell ref="W4988:W4989"/>
    <mergeCell ref="X4988:AB4988"/>
    <mergeCell ref="AD4988:AI4988"/>
    <mergeCell ref="AJ4988:AL4988"/>
    <mergeCell ref="AN4988:AO4988"/>
    <mergeCell ref="AP4988:AQ4988"/>
    <mergeCell ref="AR4988:AS4989"/>
    <mergeCell ref="AT4988:AU4989"/>
    <mergeCell ref="AV4988:AW4989"/>
    <mergeCell ref="AX4988:AY4989"/>
    <mergeCell ref="AZ4988:AZ4989"/>
    <mergeCell ref="F4989:H4989"/>
    <mergeCell ref="X4989:AB4989"/>
    <mergeCell ref="AE4989:AI4989"/>
    <mergeCell ref="AJ4989:AL4989"/>
    <mergeCell ref="AN4989:AO4989"/>
    <mergeCell ref="AP4989:AQ4989"/>
    <mergeCell ref="A4982:A4983"/>
    <mergeCell ref="E4982:E4983"/>
    <mergeCell ref="F4982:H4982"/>
    <mergeCell ref="J4982:J4983"/>
    <mergeCell ref="K4982:L4983"/>
    <mergeCell ref="M4982:N4983"/>
    <mergeCell ref="O4982:P4983"/>
    <mergeCell ref="Q4982:R4983"/>
    <mergeCell ref="S4982:T4983"/>
    <mergeCell ref="U4982:V4983"/>
    <mergeCell ref="W4982:W4983"/>
    <mergeCell ref="X4982:AB4982"/>
    <mergeCell ref="AD4982:AI4982"/>
    <mergeCell ref="AJ4982:AL4982"/>
    <mergeCell ref="AN4982:AO4982"/>
    <mergeCell ref="AP4982:AQ4982"/>
    <mergeCell ref="AR4982:AS4983"/>
    <mergeCell ref="AT4982:AU4983"/>
    <mergeCell ref="AV4982:AW4983"/>
    <mergeCell ref="AX4982:AY4983"/>
    <mergeCell ref="AZ4982:AZ4983"/>
    <mergeCell ref="F4983:H4983"/>
    <mergeCell ref="X4983:AB4983"/>
    <mergeCell ref="AE4983:AI4983"/>
    <mergeCell ref="AJ4983:AL4983"/>
    <mergeCell ref="AN4983:AO4983"/>
    <mergeCell ref="AP4983:AQ4983"/>
    <mergeCell ref="A4984:A4985"/>
    <mergeCell ref="E4984:E4985"/>
    <mergeCell ref="F4984:H4984"/>
    <mergeCell ref="J4984:J4985"/>
    <mergeCell ref="K4984:L4985"/>
    <mergeCell ref="M4984:N4985"/>
    <mergeCell ref="O4984:P4985"/>
    <mergeCell ref="Q4984:R4985"/>
    <mergeCell ref="S4984:T4985"/>
    <mergeCell ref="U4984:V4985"/>
    <mergeCell ref="W4984:W4985"/>
    <mergeCell ref="X4984:AB4984"/>
    <mergeCell ref="AD4984:AI4984"/>
    <mergeCell ref="AJ4984:AL4984"/>
    <mergeCell ref="AN4984:AO4984"/>
    <mergeCell ref="AP4984:AQ4984"/>
    <mergeCell ref="AR4984:AS4985"/>
    <mergeCell ref="AT4984:AU4985"/>
    <mergeCell ref="AV4984:AW4985"/>
    <mergeCell ref="AX4984:AY4985"/>
    <mergeCell ref="AZ4984:AZ4985"/>
    <mergeCell ref="F4985:H4985"/>
    <mergeCell ref="X4985:AB4985"/>
    <mergeCell ref="AE4985:AI4985"/>
    <mergeCell ref="AJ4985:AL4985"/>
    <mergeCell ref="AN4985:AO4985"/>
    <mergeCell ref="AP4985:AQ4985"/>
    <mergeCell ref="A4978:A4979"/>
    <mergeCell ref="E4978:E4979"/>
    <mergeCell ref="F4978:H4978"/>
    <mergeCell ref="J4978:J4979"/>
    <mergeCell ref="K4978:L4979"/>
    <mergeCell ref="M4978:N4979"/>
    <mergeCell ref="O4978:P4979"/>
    <mergeCell ref="Q4978:R4979"/>
    <mergeCell ref="S4978:T4979"/>
    <mergeCell ref="U4978:V4979"/>
    <mergeCell ref="W4978:W4979"/>
    <mergeCell ref="X4978:AB4978"/>
    <mergeCell ref="AD4978:AI4978"/>
    <mergeCell ref="AJ4978:AL4978"/>
    <mergeCell ref="AN4978:AO4978"/>
    <mergeCell ref="AP4978:AQ4978"/>
    <mergeCell ref="AR4978:AS4979"/>
    <mergeCell ref="AT4978:AU4979"/>
    <mergeCell ref="AV4978:AW4979"/>
    <mergeCell ref="AX4978:AY4979"/>
    <mergeCell ref="AZ4978:AZ4979"/>
    <mergeCell ref="F4979:H4979"/>
    <mergeCell ref="X4979:AB4979"/>
    <mergeCell ref="AE4979:AI4979"/>
    <mergeCell ref="AJ4979:AL4979"/>
    <mergeCell ref="AN4979:AO4979"/>
    <mergeCell ref="AP4979:AQ4979"/>
    <mergeCell ref="A4980:A4981"/>
    <mergeCell ref="E4980:E4981"/>
    <mergeCell ref="F4980:H4980"/>
    <mergeCell ref="J4980:J4981"/>
    <mergeCell ref="K4980:L4981"/>
    <mergeCell ref="M4980:N4981"/>
    <mergeCell ref="O4980:P4981"/>
    <mergeCell ref="Q4980:R4981"/>
    <mergeCell ref="S4980:T4981"/>
    <mergeCell ref="U4980:V4981"/>
    <mergeCell ref="W4980:W4981"/>
    <mergeCell ref="X4980:AB4980"/>
    <mergeCell ref="AD4980:AI4980"/>
    <mergeCell ref="AJ4980:AL4980"/>
    <mergeCell ref="AN4980:AO4980"/>
    <mergeCell ref="AP4980:AQ4980"/>
    <mergeCell ref="AR4980:AS4981"/>
    <mergeCell ref="AT4980:AU4981"/>
    <mergeCell ref="AV4980:AW4981"/>
    <mergeCell ref="AX4980:AY4981"/>
    <mergeCell ref="AZ4980:AZ4981"/>
    <mergeCell ref="F4981:H4981"/>
    <mergeCell ref="X4981:AB4981"/>
    <mergeCell ref="AE4981:AI4981"/>
    <mergeCell ref="AJ4981:AL4981"/>
    <mergeCell ref="AN4981:AO4981"/>
    <mergeCell ref="AP4981:AQ4981"/>
    <mergeCell ref="A4974:A4975"/>
    <mergeCell ref="E4974:E4975"/>
    <mergeCell ref="F4974:H4974"/>
    <mergeCell ref="J4974:J4975"/>
    <mergeCell ref="K4974:L4975"/>
    <mergeCell ref="M4974:N4975"/>
    <mergeCell ref="O4974:P4975"/>
    <mergeCell ref="Q4974:R4975"/>
    <mergeCell ref="S4974:T4975"/>
    <mergeCell ref="U4974:V4975"/>
    <mergeCell ref="W4974:W4975"/>
    <mergeCell ref="X4974:AB4974"/>
    <mergeCell ref="AD4974:AI4974"/>
    <mergeCell ref="AJ4974:AL4974"/>
    <mergeCell ref="AN4974:AO4974"/>
    <mergeCell ref="AP4974:AQ4974"/>
    <mergeCell ref="AR4974:AS4975"/>
    <mergeCell ref="AT4974:AU4975"/>
    <mergeCell ref="AV4974:AW4975"/>
    <mergeCell ref="AX4974:AY4975"/>
    <mergeCell ref="AZ4974:AZ4975"/>
    <mergeCell ref="F4975:H4975"/>
    <mergeCell ref="X4975:AB4975"/>
    <mergeCell ref="AE4975:AI4975"/>
    <mergeCell ref="AJ4975:AL4975"/>
    <mergeCell ref="AN4975:AO4975"/>
    <mergeCell ref="AP4975:AQ4975"/>
    <mergeCell ref="A4976:A4977"/>
    <mergeCell ref="E4976:E4977"/>
    <mergeCell ref="F4976:H4976"/>
    <mergeCell ref="J4976:J4977"/>
    <mergeCell ref="K4976:L4977"/>
    <mergeCell ref="M4976:N4977"/>
    <mergeCell ref="O4976:P4977"/>
    <mergeCell ref="Q4976:R4977"/>
    <mergeCell ref="S4976:T4977"/>
    <mergeCell ref="U4976:V4977"/>
    <mergeCell ref="W4976:W4977"/>
    <mergeCell ref="X4976:AB4976"/>
    <mergeCell ref="AD4976:AI4976"/>
    <mergeCell ref="AJ4976:AL4976"/>
    <mergeCell ref="AN4976:AO4976"/>
    <mergeCell ref="AP4976:AQ4976"/>
    <mergeCell ref="AR4976:AS4977"/>
    <mergeCell ref="AT4976:AU4977"/>
    <mergeCell ref="AV4976:AW4977"/>
    <mergeCell ref="AX4976:AY4977"/>
    <mergeCell ref="AZ4976:AZ4977"/>
    <mergeCell ref="F4977:H4977"/>
    <mergeCell ref="X4977:AB4977"/>
    <mergeCell ref="AE4977:AI4977"/>
    <mergeCell ref="AJ4977:AL4977"/>
    <mergeCell ref="AN4977:AO4977"/>
    <mergeCell ref="AP4977:AQ4977"/>
    <mergeCell ref="A4970:A4971"/>
    <mergeCell ref="E4970:E4971"/>
    <mergeCell ref="F4970:H4970"/>
    <mergeCell ref="J4970:J4971"/>
    <mergeCell ref="K4970:L4971"/>
    <mergeCell ref="M4970:N4971"/>
    <mergeCell ref="O4970:P4971"/>
    <mergeCell ref="Q4970:R4971"/>
    <mergeCell ref="S4970:T4971"/>
    <mergeCell ref="U4970:V4971"/>
    <mergeCell ref="W4970:W4971"/>
    <mergeCell ref="X4970:AB4970"/>
    <mergeCell ref="AD4970:AI4970"/>
    <mergeCell ref="AJ4970:AL4970"/>
    <mergeCell ref="AN4970:AO4970"/>
    <mergeCell ref="AP4970:AQ4970"/>
    <mergeCell ref="AR4970:AS4971"/>
    <mergeCell ref="AT4970:AU4971"/>
    <mergeCell ref="AV4970:AW4971"/>
    <mergeCell ref="AX4970:AY4971"/>
    <mergeCell ref="AZ4970:AZ4971"/>
    <mergeCell ref="F4971:H4971"/>
    <mergeCell ref="X4971:AB4971"/>
    <mergeCell ref="AE4971:AI4971"/>
    <mergeCell ref="AJ4971:AL4971"/>
    <mergeCell ref="AN4971:AO4971"/>
    <mergeCell ref="AP4971:AQ4971"/>
    <mergeCell ref="A4972:A4973"/>
    <mergeCell ref="E4972:E4973"/>
    <mergeCell ref="F4972:H4972"/>
    <mergeCell ref="J4972:J4973"/>
    <mergeCell ref="K4972:L4973"/>
    <mergeCell ref="M4972:N4973"/>
    <mergeCell ref="O4972:P4973"/>
    <mergeCell ref="Q4972:R4973"/>
    <mergeCell ref="S4972:T4973"/>
    <mergeCell ref="U4972:V4973"/>
    <mergeCell ref="W4972:W4973"/>
    <mergeCell ref="X4972:AB4972"/>
    <mergeCell ref="AD4972:AI4972"/>
    <mergeCell ref="AJ4972:AL4972"/>
    <mergeCell ref="AN4972:AO4972"/>
    <mergeCell ref="AP4972:AQ4972"/>
    <mergeCell ref="AR4972:AS4973"/>
    <mergeCell ref="AT4972:AU4973"/>
    <mergeCell ref="AV4972:AW4973"/>
    <mergeCell ref="AX4972:AY4973"/>
    <mergeCell ref="AZ4972:AZ4973"/>
    <mergeCell ref="F4973:H4973"/>
    <mergeCell ref="X4973:AB4973"/>
    <mergeCell ref="AE4973:AI4973"/>
    <mergeCell ref="AJ4973:AL4973"/>
    <mergeCell ref="AN4973:AO4973"/>
    <mergeCell ref="AP4973:AQ4973"/>
    <mergeCell ref="A4966:A4967"/>
    <mergeCell ref="E4966:E4967"/>
    <mergeCell ref="F4966:H4966"/>
    <mergeCell ref="J4966:J4967"/>
    <mergeCell ref="K4966:L4967"/>
    <mergeCell ref="M4966:N4967"/>
    <mergeCell ref="O4966:P4967"/>
    <mergeCell ref="Q4966:R4967"/>
    <mergeCell ref="S4966:T4967"/>
    <mergeCell ref="U4966:V4967"/>
    <mergeCell ref="W4966:W4967"/>
    <mergeCell ref="X4966:AB4966"/>
    <mergeCell ref="AD4966:AI4966"/>
    <mergeCell ref="AJ4966:AL4966"/>
    <mergeCell ref="AN4966:AO4966"/>
    <mergeCell ref="AP4966:AQ4966"/>
    <mergeCell ref="AR4966:AS4967"/>
    <mergeCell ref="AT4966:AU4967"/>
    <mergeCell ref="AV4966:AW4967"/>
    <mergeCell ref="AX4966:AY4967"/>
    <mergeCell ref="AZ4966:AZ4967"/>
    <mergeCell ref="F4967:H4967"/>
    <mergeCell ref="X4967:AB4967"/>
    <mergeCell ref="AE4967:AI4967"/>
    <mergeCell ref="AJ4967:AL4967"/>
    <mergeCell ref="AN4967:AO4967"/>
    <mergeCell ref="AP4967:AQ4967"/>
    <mergeCell ref="A4968:A4969"/>
    <mergeCell ref="E4968:E4969"/>
    <mergeCell ref="F4968:H4968"/>
    <mergeCell ref="J4968:J4969"/>
    <mergeCell ref="K4968:L4969"/>
    <mergeCell ref="M4968:N4969"/>
    <mergeCell ref="O4968:P4969"/>
    <mergeCell ref="Q4968:R4969"/>
    <mergeCell ref="S4968:T4969"/>
    <mergeCell ref="U4968:V4969"/>
    <mergeCell ref="W4968:W4969"/>
    <mergeCell ref="X4968:AB4968"/>
    <mergeCell ref="AD4968:AI4968"/>
    <mergeCell ref="AJ4968:AL4968"/>
    <mergeCell ref="AN4968:AO4968"/>
    <mergeCell ref="AP4968:AQ4968"/>
    <mergeCell ref="AR4968:AS4969"/>
    <mergeCell ref="AT4968:AU4969"/>
    <mergeCell ref="AV4968:AW4969"/>
    <mergeCell ref="AX4968:AY4969"/>
    <mergeCell ref="AZ4968:AZ4969"/>
    <mergeCell ref="F4969:H4969"/>
    <mergeCell ref="X4969:AB4969"/>
    <mergeCell ref="AE4969:AI4969"/>
    <mergeCell ref="AJ4969:AL4969"/>
    <mergeCell ref="AN4969:AO4969"/>
    <mergeCell ref="AP4969:AQ4969"/>
    <mergeCell ref="A4962:A4963"/>
    <mergeCell ref="E4962:E4963"/>
    <mergeCell ref="F4962:H4962"/>
    <mergeCell ref="J4962:J4963"/>
    <mergeCell ref="K4962:L4963"/>
    <mergeCell ref="M4962:N4963"/>
    <mergeCell ref="O4962:P4963"/>
    <mergeCell ref="Q4962:R4963"/>
    <mergeCell ref="S4962:T4963"/>
    <mergeCell ref="U4962:V4963"/>
    <mergeCell ref="W4962:W4963"/>
    <mergeCell ref="X4962:AB4962"/>
    <mergeCell ref="AD4962:AI4962"/>
    <mergeCell ref="AJ4962:AL4962"/>
    <mergeCell ref="AN4962:AO4962"/>
    <mergeCell ref="AP4962:AQ4962"/>
    <mergeCell ref="AR4962:AS4963"/>
    <mergeCell ref="AT4962:AU4963"/>
    <mergeCell ref="AV4962:AW4963"/>
    <mergeCell ref="AX4962:AY4963"/>
    <mergeCell ref="AZ4962:AZ4963"/>
    <mergeCell ref="F4963:H4963"/>
    <mergeCell ref="X4963:AB4963"/>
    <mergeCell ref="AE4963:AI4963"/>
    <mergeCell ref="AJ4963:AL4963"/>
    <mergeCell ref="AN4963:AO4963"/>
    <mergeCell ref="AP4963:AQ4963"/>
    <mergeCell ref="A4964:A4965"/>
    <mergeCell ref="E4964:E4965"/>
    <mergeCell ref="F4964:H4964"/>
    <mergeCell ref="J4964:J4965"/>
    <mergeCell ref="K4964:L4965"/>
    <mergeCell ref="M4964:N4965"/>
    <mergeCell ref="O4964:P4965"/>
    <mergeCell ref="Q4964:R4965"/>
    <mergeCell ref="S4964:T4965"/>
    <mergeCell ref="U4964:V4965"/>
    <mergeCell ref="W4964:W4965"/>
    <mergeCell ref="X4964:AB4964"/>
    <mergeCell ref="AD4964:AI4964"/>
    <mergeCell ref="AJ4964:AL4964"/>
    <mergeCell ref="AN4964:AO4964"/>
    <mergeCell ref="AP4964:AQ4964"/>
    <mergeCell ref="AR4964:AS4965"/>
    <mergeCell ref="AT4964:AU4965"/>
    <mergeCell ref="AV4964:AW4965"/>
    <mergeCell ref="AX4964:AY4965"/>
    <mergeCell ref="AZ4964:AZ4965"/>
    <mergeCell ref="F4965:H4965"/>
    <mergeCell ref="X4965:AB4965"/>
    <mergeCell ref="AE4965:AI4965"/>
    <mergeCell ref="AJ4965:AL4965"/>
    <mergeCell ref="AN4965:AO4965"/>
    <mergeCell ref="AP4965:AQ4965"/>
    <mergeCell ref="A4958:A4959"/>
    <mergeCell ref="E4958:E4959"/>
    <mergeCell ref="F4958:H4958"/>
    <mergeCell ref="J4958:J4959"/>
    <mergeCell ref="K4958:L4959"/>
    <mergeCell ref="M4958:N4959"/>
    <mergeCell ref="O4958:P4959"/>
    <mergeCell ref="Q4958:R4959"/>
    <mergeCell ref="S4958:T4959"/>
    <mergeCell ref="U4958:V4959"/>
    <mergeCell ref="W4958:W4959"/>
    <mergeCell ref="X4958:AB4958"/>
    <mergeCell ref="AD4958:AI4958"/>
    <mergeCell ref="AJ4958:AL4958"/>
    <mergeCell ref="AN4958:AO4958"/>
    <mergeCell ref="AP4958:AQ4958"/>
    <mergeCell ref="AR4958:AS4959"/>
    <mergeCell ref="AT4958:AU4959"/>
    <mergeCell ref="AV4958:AW4959"/>
    <mergeCell ref="AX4958:AY4959"/>
    <mergeCell ref="AZ4958:AZ4959"/>
    <mergeCell ref="F4959:H4959"/>
    <mergeCell ref="X4959:AB4959"/>
    <mergeCell ref="AE4959:AI4959"/>
    <mergeCell ref="AJ4959:AL4959"/>
    <mergeCell ref="AN4959:AO4959"/>
    <mergeCell ref="AP4959:AQ4959"/>
    <mergeCell ref="A4960:A4961"/>
    <mergeCell ref="E4960:E4961"/>
    <mergeCell ref="F4960:H4960"/>
    <mergeCell ref="J4960:J4961"/>
    <mergeCell ref="K4960:L4961"/>
    <mergeCell ref="M4960:N4961"/>
    <mergeCell ref="O4960:P4961"/>
    <mergeCell ref="Q4960:R4961"/>
    <mergeCell ref="S4960:T4961"/>
    <mergeCell ref="U4960:V4961"/>
    <mergeCell ref="W4960:W4961"/>
    <mergeCell ref="X4960:AB4960"/>
    <mergeCell ref="AD4960:AI4960"/>
    <mergeCell ref="AJ4960:AL4960"/>
    <mergeCell ref="AN4960:AO4960"/>
    <mergeCell ref="AP4960:AQ4960"/>
    <mergeCell ref="AR4960:AS4961"/>
    <mergeCell ref="AT4960:AU4961"/>
    <mergeCell ref="AV4960:AW4961"/>
    <mergeCell ref="AX4960:AY4961"/>
    <mergeCell ref="AZ4960:AZ4961"/>
    <mergeCell ref="F4961:H4961"/>
    <mergeCell ref="X4961:AB4961"/>
    <mergeCell ref="AE4961:AI4961"/>
    <mergeCell ref="AJ4961:AL4961"/>
    <mergeCell ref="AN4961:AO4961"/>
    <mergeCell ref="AP4961:AQ4961"/>
    <mergeCell ref="A4954:A4955"/>
    <mergeCell ref="E4954:E4955"/>
    <mergeCell ref="F4954:H4954"/>
    <mergeCell ref="J4954:J4955"/>
    <mergeCell ref="K4954:L4955"/>
    <mergeCell ref="M4954:N4955"/>
    <mergeCell ref="O4954:P4955"/>
    <mergeCell ref="Q4954:R4955"/>
    <mergeCell ref="S4954:T4955"/>
    <mergeCell ref="U4954:V4955"/>
    <mergeCell ref="W4954:W4955"/>
    <mergeCell ref="X4954:AB4954"/>
    <mergeCell ref="AD4954:AI4954"/>
    <mergeCell ref="AJ4954:AL4954"/>
    <mergeCell ref="AN4954:AO4954"/>
    <mergeCell ref="AP4954:AQ4954"/>
    <mergeCell ref="AR4954:AS4955"/>
    <mergeCell ref="AT4954:AU4955"/>
    <mergeCell ref="AV4954:AW4955"/>
    <mergeCell ref="AX4954:AY4955"/>
    <mergeCell ref="AZ4954:AZ4955"/>
    <mergeCell ref="F4955:H4955"/>
    <mergeCell ref="X4955:AB4955"/>
    <mergeCell ref="AE4955:AI4955"/>
    <mergeCell ref="AJ4955:AL4955"/>
    <mergeCell ref="AN4955:AO4955"/>
    <mergeCell ref="AP4955:AQ4955"/>
    <mergeCell ref="A4956:A4957"/>
    <mergeCell ref="E4956:E4957"/>
    <mergeCell ref="F4956:H4956"/>
    <mergeCell ref="J4956:J4957"/>
    <mergeCell ref="K4956:L4957"/>
    <mergeCell ref="M4956:N4957"/>
    <mergeCell ref="O4956:P4957"/>
    <mergeCell ref="Q4956:R4957"/>
    <mergeCell ref="S4956:T4957"/>
    <mergeCell ref="U4956:V4957"/>
    <mergeCell ref="W4956:W4957"/>
    <mergeCell ref="X4956:AB4956"/>
    <mergeCell ref="AD4956:AI4956"/>
    <mergeCell ref="AJ4956:AL4956"/>
    <mergeCell ref="AN4956:AO4956"/>
    <mergeCell ref="AP4956:AQ4956"/>
    <mergeCell ref="AR4956:AS4957"/>
    <mergeCell ref="AT4956:AU4957"/>
    <mergeCell ref="AV4956:AW4957"/>
    <mergeCell ref="AX4956:AY4957"/>
    <mergeCell ref="AZ4956:AZ4957"/>
    <mergeCell ref="F4957:H4957"/>
    <mergeCell ref="X4957:AB4957"/>
    <mergeCell ref="AE4957:AI4957"/>
    <mergeCell ref="AJ4957:AL4957"/>
    <mergeCell ref="AN4957:AO4957"/>
    <mergeCell ref="AP4957:AQ4957"/>
    <mergeCell ref="A4950:A4951"/>
    <mergeCell ref="E4950:E4951"/>
    <mergeCell ref="F4950:H4950"/>
    <mergeCell ref="J4950:J4951"/>
    <mergeCell ref="K4950:L4951"/>
    <mergeCell ref="M4950:N4951"/>
    <mergeCell ref="O4950:P4951"/>
    <mergeCell ref="Q4950:R4951"/>
    <mergeCell ref="S4950:T4951"/>
    <mergeCell ref="U4950:V4951"/>
    <mergeCell ref="W4950:W4951"/>
    <mergeCell ref="X4950:AB4950"/>
    <mergeCell ref="AD4950:AI4950"/>
    <mergeCell ref="AJ4950:AL4950"/>
    <mergeCell ref="AN4950:AO4950"/>
    <mergeCell ref="AP4950:AQ4950"/>
    <mergeCell ref="AR4950:AS4951"/>
    <mergeCell ref="AT4950:AU4951"/>
    <mergeCell ref="AV4950:AW4951"/>
    <mergeCell ref="AX4950:AY4951"/>
    <mergeCell ref="AZ4950:AZ4951"/>
    <mergeCell ref="F4951:H4951"/>
    <mergeCell ref="X4951:AB4951"/>
    <mergeCell ref="AE4951:AI4951"/>
    <mergeCell ref="AJ4951:AL4951"/>
    <mergeCell ref="AN4951:AO4951"/>
    <mergeCell ref="AP4951:AQ4951"/>
    <mergeCell ref="A4952:A4953"/>
    <mergeCell ref="E4952:E4953"/>
    <mergeCell ref="F4952:H4952"/>
    <mergeCell ref="J4952:J4953"/>
    <mergeCell ref="K4952:L4953"/>
    <mergeCell ref="M4952:N4953"/>
    <mergeCell ref="O4952:P4953"/>
    <mergeCell ref="Q4952:R4953"/>
    <mergeCell ref="S4952:T4953"/>
    <mergeCell ref="U4952:V4953"/>
    <mergeCell ref="W4952:W4953"/>
    <mergeCell ref="X4952:AB4952"/>
    <mergeCell ref="AD4952:AI4952"/>
    <mergeCell ref="AJ4952:AL4952"/>
    <mergeCell ref="AN4952:AO4952"/>
    <mergeCell ref="AP4952:AQ4952"/>
    <mergeCell ref="AR4952:AS4953"/>
    <mergeCell ref="AT4952:AU4953"/>
    <mergeCell ref="AV4952:AW4953"/>
    <mergeCell ref="AX4952:AY4953"/>
    <mergeCell ref="AZ4952:AZ4953"/>
    <mergeCell ref="F4953:H4953"/>
    <mergeCell ref="X4953:AB4953"/>
    <mergeCell ref="AE4953:AI4953"/>
    <mergeCell ref="AJ4953:AL4953"/>
    <mergeCell ref="AN4953:AO4953"/>
    <mergeCell ref="AP4953:AQ4953"/>
    <mergeCell ref="A4946:A4947"/>
    <mergeCell ref="E4946:E4947"/>
    <mergeCell ref="F4946:H4946"/>
    <mergeCell ref="J4946:J4947"/>
    <mergeCell ref="K4946:L4947"/>
    <mergeCell ref="M4946:N4947"/>
    <mergeCell ref="O4946:P4947"/>
    <mergeCell ref="Q4946:R4947"/>
    <mergeCell ref="S4946:T4947"/>
    <mergeCell ref="U4946:V4947"/>
    <mergeCell ref="W4946:W4947"/>
    <mergeCell ref="X4946:AB4946"/>
    <mergeCell ref="AD4946:AI4946"/>
    <mergeCell ref="AJ4946:AL4946"/>
    <mergeCell ref="AN4946:AO4946"/>
    <mergeCell ref="AP4946:AQ4946"/>
    <mergeCell ref="AR4946:AS4947"/>
    <mergeCell ref="AT4946:AU4947"/>
    <mergeCell ref="AV4946:AW4947"/>
    <mergeCell ref="AX4946:AY4947"/>
    <mergeCell ref="AZ4946:AZ4947"/>
    <mergeCell ref="F4947:H4947"/>
    <mergeCell ref="X4947:AB4947"/>
    <mergeCell ref="AE4947:AI4947"/>
    <mergeCell ref="AJ4947:AL4947"/>
    <mergeCell ref="AN4947:AO4947"/>
    <mergeCell ref="AP4947:AQ4947"/>
    <mergeCell ref="A4948:A4949"/>
    <mergeCell ref="E4948:E4949"/>
    <mergeCell ref="F4948:H4948"/>
    <mergeCell ref="J4948:J4949"/>
    <mergeCell ref="K4948:L4949"/>
    <mergeCell ref="M4948:N4949"/>
    <mergeCell ref="O4948:P4949"/>
    <mergeCell ref="Q4948:R4949"/>
    <mergeCell ref="S4948:T4949"/>
    <mergeCell ref="U4948:V4949"/>
    <mergeCell ref="W4948:W4949"/>
    <mergeCell ref="X4948:AB4948"/>
    <mergeCell ref="AD4948:AI4948"/>
    <mergeCell ref="AJ4948:AL4948"/>
    <mergeCell ref="AN4948:AO4948"/>
    <mergeCell ref="AP4948:AQ4948"/>
    <mergeCell ref="AR4948:AS4949"/>
    <mergeCell ref="AT4948:AU4949"/>
    <mergeCell ref="AV4948:AW4949"/>
    <mergeCell ref="AX4948:AY4949"/>
    <mergeCell ref="AZ4948:AZ4949"/>
    <mergeCell ref="F4949:H4949"/>
    <mergeCell ref="X4949:AB4949"/>
    <mergeCell ref="AE4949:AI4949"/>
    <mergeCell ref="AJ4949:AL4949"/>
    <mergeCell ref="AN4949:AO4949"/>
    <mergeCell ref="AP4949:AQ4949"/>
    <mergeCell ref="A4942:A4943"/>
    <mergeCell ref="E4942:E4943"/>
    <mergeCell ref="F4942:H4942"/>
    <mergeCell ref="J4942:J4943"/>
    <mergeCell ref="K4942:L4943"/>
    <mergeCell ref="M4942:N4943"/>
    <mergeCell ref="O4942:P4943"/>
    <mergeCell ref="Q4942:R4943"/>
    <mergeCell ref="S4942:T4943"/>
    <mergeCell ref="U4942:V4943"/>
    <mergeCell ref="W4942:W4943"/>
    <mergeCell ref="X4942:AB4942"/>
    <mergeCell ref="AD4942:AI4942"/>
    <mergeCell ref="AJ4942:AL4942"/>
    <mergeCell ref="AN4942:AO4942"/>
    <mergeCell ref="AP4942:AQ4942"/>
    <mergeCell ref="AR4942:AS4943"/>
    <mergeCell ref="AT4942:AU4943"/>
    <mergeCell ref="AV4942:AW4943"/>
    <mergeCell ref="AX4942:AY4943"/>
    <mergeCell ref="AZ4942:AZ4943"/>
    <mergeCell ref="F4943:H4943"/>
    <mergeCell ref="X4943:AB4943"/>
    <mergeCell ref="AE4943:AI4943"/>
    <mergeCell ref="AJ4943:AL4943"/>
    <mergeCell ref="AN4943:AO4943"/>
    <mergeCell ref="AP4943:AQ4943"/>
    <mergeCell ref="A4944:A4945"/>
    <mergeCell ref="E4944:E4945"/>
    <mergeCell ref="F4944:H4944"/>
    <mergeCell ref="J4944:J4945"/>
    <mergeCell ref="K4944:L4945"/>
    <mergeCell ref="M4944:N4945"/>
    <mergeCell ref="O4944:P4945"/>
    <mergeCell ref="Q4944:R4945"/>
    <mergeCell ref="S4944:T4945"/>
    <mergeCell ref="U4944:V4945"/>
    <mergeCell ref="W4944:W4945"/>
    <mergeCell ref="X4944:AB4944"/>
    <mergeCell ref="AD4944:AI4944"/>
    <mergeCell ref="AJ4944:AL4944"/>
    <mergeCell ref="AN4944:AO4944"/>
    <mergeCell ref="AP4944:AQ4944"/>
    <mergeCell ref="AR4944:AS4945"/>
    <mergeCell ref="AT4944:AU4945"/>
    <mergeCell ref="AV4944:AW4945"/>
    <mergeCell ref="AX4944:AY4945"/>
    <mergeCell ref="AZ4944:AZ4945"/>
    <mergeCell ref="F4945:H4945"/>
    <mergeCell ref="X4945:AB4945"/>
    <mergeCell ref="AE4945:AI4945"/>
    <mergeCell ref="AJ4945:AL4945"/>
    <mergeCell ref="AN4945:AO4945"/>
    <mergeCell ref="AP4945:AQ4945"/>
    <mergeCell ref="A4938:A4939"/>
    <mergeCell ref="E4938:E4939"/>
    <mergeCell ref="F4938:H4938"/>
    <mergeCell ref="J4938:J4939"/>
    <mergeCell ref="K4938:L4939"/>
    <mergeCell ref="M4938:N4939"/>
    <mergeCell ref="O4938:P4939"/>
    <mergeCell ref="Q4938:R4939"/>
    <mergeCell ref="S4938:T4939"/>
    <mergeCell ref="U4938:V4939"/>
    <mergeCell ref="W4938:W4939"/>
    <mergeCell ref="X4938:AB4938"/>
    <mergeCell ref="AD4938:AI4938"/>
    <mergeCell ref="AJ4938:AL4938"/>
    <mergeCell ref="AN4938:AO4938"/>
    <mergeCell ref="AP4938:AQ4938"/>
    <mergeCell ref="AR4938:AS4939"/>
    <mergeCell ref="AT4938:AU4939"/>
    <mergeCell ref="AV4938:AW4939"/>
    <mergeCell ref="AX4938:AY4939"/>
    <mergeCell ref="AZ4938:AZ4939"/>
    <mergeCell ref="F4939:H4939"/>
    <mergeCell ref="X4939:AB4939"/>
    <mergeCell ref="AE4939:AI4939"/>
    <mergeCell ref="AJ4939:AL4939"/>
    <mergeCell ref="AN4939:AO4939"/>
    <mergeCell ref="AP4939:AQ4939"/>
    <mergeCell ref="A4940:A4941"/>
    <mergeCell ref="E4940:E4941"/>
    <mergeCell ref="F4940:H4940"/>
    <mergeCell ref="J4940:J4941"/>
    <mergeCell ref="K4940:L4941"/>
    <mergeCell ref="M4940:N4941"/>
    <mergeCell ref="O4940:P4941"/>
    <mergeCell ref="Q4940:R4941"/>
    <mergeCell ref="S4940:T4941"/>
    <mergeCell ref="U4940:V4941"/>
    <mergeCell ref="W4940:W4941"/>
    <mergeCell ref="X4940:AB4940"/>
    <mergeCell ref="AD4940:AI4940"/>
    <mergeCell ref="AJ4940:AL4940"/>
    <mergeCell ref="AN4940:AO4940"/>
    <mergeCell ref="AP4940:AQ4940"/>
    <mergeCell ref="AR4940:AS4941"/>
    <mergeCell ref="AT4940:AU4941"/>
    <mergeCell ref="AV4940:AW4941"/>
    <mergeCell ref="AX4940:AY4941"/>
    <mergeCell ref="AZ4940:AZ4941"/>
    <mergeCell ref="F4941:H4941"/>
    <mergeCell ref="X4941:AB4941"/>
    <mergeCell ref="AE4941:AI4941"/>
    <mergeCell ref="AJ4941:AL4941"/>
    <mergeCell ref="AN4941:AO4941"/>
    <mergeCell ref="AP4941:AQ4941"/>
    <mergeCell ref="O4934:P4935"/>
    <mergeCell ref="Q4934:R4935"/>
    <mergeCell ref="S4934:T4935"/>
    <mergeCell ref="U4934:V4935"/>
    <mergeCell ref="W4934:W4935"/>
    <mergeCell ref="X4934:AB4934"/>
    <mergeCell ref="AD4934:AI4934"/>
    <mergeCell ref="AJ4934:AL4934"/>
    <mergeCell ref="AN4934:AO4934"/>
    <mergeCell ref="AP4934:AQ4934"/>
    <mergeCell ref="AR4934:AS4935"/>
    <mergeCell ref="AT4934:AU4935"/>
    <mergeCell ref="AV4934:AW4935"/>
    <mergeCell ref="AX4934:AY4935"/>
    <mergeCell ref="AZ4934:AZ4935"/>
    <mergeCell ref="F4935:H4935"/>
    <mergeCell ref="X4935:AB4935"/>
    <mergeCell ref="AE4935:AI4935"/>
    <mergeCell ref="AJ4935:AL4935"/>
    <mergeCell ref="AN4935:AO4935"/>
    <mergeCell ref="AP4935:AQ4935"/>
    <mergeCell ref="A4936:A4937"/>
    <mergeCell ref="E4936:E4937"/>
    <mergeCell ref="F4936:H4936"/>
    <mergeCell ref="J4936:J4937"/>
    <mergeCell ref="K4936:L4937"/>
    <mergeCell ref="M4936:N4937"/>
    <mergeCell ref="O4936:P4937"/>
    <mergeCell ref="Q4936:R4937"/>
    <mergeCell ref="S4936:T4937"/>
    <mergeCell ref="U4936:V4937"/>
    <mergeCell ref="W4936:W4937"/>
    <mergeCell ref="X4936:AB4936"/>
    <mergeCell ref="AD4936:AI4936"/>
    <mergeCell ref="AJ4936:AL4936"/>
    <mergeCell ref="AN4936:AO4936"/>
    <mergeCell ref="AP4936:AQ4936"/>
    <mergeCell ref="AR4936:AS4937"/>
    <mergeCell ref="AT4936:AU4937"/>
    <mergeCell ref="AV4936:AW4937"/>
    <mergeCell ref="AX4936:AY4937"/>
    <mergeCell ref="AZ4936:AZ4937"/>
    <mergeCell ref="F4937:H4937"/>
    <mergeCell ref="X4937:AB4937"/>
    <mergeCell ref="AE4937:AI4937"/>
    <mergeCell ref="AJ4937:AL4937"/>
    <mergeCell ref="AN4937:AO4937"/>
    <mergeCell ref="AP4937:AQ4937"/>
    <mergeCell ref="A4912:A4913"/>
    <mergeCell ref="E4912:E4913"/>
    <mergeCell ref="F4912:H4912"/>
    <mergeCell ref="J4912:J4913"/>
    <mergeCell ref="K4912:L4913"/>
    <mergeCell ref="M4912:N4913"/>
    <mergeCell ref="O4912:P4913"/>
    <mergeCell ref="Q4912:R4913"/>
    <mergeCell ref="S4912:T4913"/>
    <mergeCell ref="U4912:V4913"/>
    <mergeCell ref="W4912:W4913"/>
    <mergeCell ref="X4912:AB4912"/>
    <mergeCell ref="AD4912:AI4912"/>
    <mergeCell ref="AJ4912:AL4912"/>
    <mergeCell ref="AN4912:AO4912"/>
    <mergeCell ref="AP4912:AQ4912"/>
    <mergeCell ref="AR4912:AS4913"/>
    <mergeCell ref="AT4912:AU4913"/>
    <mergeCell ref="AV4912:AW4913"/>
    <mergeCell ref="AX4912:AY4913"/>
    <mergeCell ref="AZ4912:AZ4913"/>
    <mergeCell ref="F4913:H4913"/>
    <mergeCell ref="X4913:AB4913"/>
    <mergeCell ref="AE4913:AI4913"/>
    <mergeCell ref="AJ4913:AL4913"/>
    <mergeCell ref="AN4913:AO4913"/>
    <mergeCell ref="AP4913:AQ4913"/>
    <mergeCell ref="A4920:A4921"/>
    <mergeCell ref="E4920:E4921"/>
    <mergeCell ref="F4920:H4920"/>
    <mergeCell ref="J4920:J4921"/>
    <mergeCell ref="K4920:L4921"/>
    <mergeCell ref="M4920:N4921"/>
    <mergeCell ref="O4920:P4921"/>
    <mergeCell ref="Q4920:R4921"/>
    <mergeCell ref="S4920:T4921"/>
    <mergeCell ref="U4920:V4921"/>
    <mergeCell ref="W4920:W4921"/>
    <mergeCell ref="X4920:AB4920"/>
    <mergeCell ref="AD4920:AI4920"/>
    <mergeCell ref="AJ4920:AL4920"/>
    <mergeCell ref="AN4920:AO4920"/>
    <mergeCell ref="AP4920:AQ4920"/>
    <mergeCell ref="AR4920:AS4921"/>
    <mergeCell ref="AT4920:AU4921"/>
    <mergeCell ref="AV4920:AW4921"/>
    <mergeCell ref="AX4920:AY4921"/>
    <mergeCell ref="AZ4920:AZ4921"/>
    <mergeCell ref="F4921:H4921"/>
    <mergeCell ref="X4921:AB4921"/>
    <mergeCell ref="AE4921:AI4921"/>
    <mergeCell ref="AJ4921:AL4921"/>
    <mergeCell ref="AN4921:AO4921"/>
    <mergeCell ref="AP4921:AQ4921"/>
    <mergeCell ref="A4918:A4919"/>
    <mergeCell ref="E4918:E4919"/>
    <mergeCell ref="F4918:H4918"/>
    <mergeCell ref="J4918:J4919"/>
    <mergeCell ref="K4918:L4919"/>
    <mergeCell ref="M4918:N4919"/>
    <mergeCell ref="O4918:P4919"/>
    <mergeCell ref="Q4918:R4919"/>
    <mergeCell ref="S4918:T4919"/>
    <mergeCell ref="U4918:V4919"/>
    <mergeCell ref="A4908:A4909"/>
    <mergeCell ref="E4908:E4909"/>
    <mergeCell ref="F4908:H4908"/>
    <mergeCell ref="J4908:J4909"/>
    <mergeCell ref="K4908:L4909"/>
    <mergeCell ref="M4908:N4909"/>
    <mergeCell ref="O4908:P4909"/>
    <mergeCell ref="Q4908:R4909"/>
    <mergeCell ref="S4908:T4909"/>
    <mergeCell ref="U4908:V4909"/>
    <mergeCell ref="W4908:W4909"/>
    <mergeCell ref="X4908:AB4908"/>
    <mergeCell ref="AD4908:AI4908"/>
    <mergeCell ref="AJ4908:AL4908"/>
    <mergeCell ref="AN4908:AO4908"/>
    <mergeCell ref="AP4908:AQ4908"/>
    <mergeCell ref="AR4908:AS4909"/>
    <mergeCell ref="AT4908:AU4909"/>
    <mergeCell ref="AV4908:AW4909"/>
    <mergeCell ref="AX4908:AY4909"/>
    <mergeCell ref="AZ4908:AZ4909"/>
    <mergeCell ref="F4909:H4909"/>
    <mergeCell ref="X4909:AB4909"/>
    <mergeCell ref="AE4909:AI4909"/>
    <mergeCell ref="AJ4909:AL4909"/>
    <mergeCell ref="AN4909:AO4909"/>
    <mergeCell ref="AP4909:AQ4909"/>
    <mergeCell ref="A4910:A4911"/>
    <mergeCell ref="E4910:E4911"/>
    <mergeCell ref="F4910:H4910"/>
    <mergeCell ref="J4910:J4911"/>
    <mergeCell ref="K4910:L4911"/>
    <mergeCell ref="M4910:N4911"/>
    <mergeCell ref="O4910:P4911"/>
    <mergeCell ref="Q4910:R4911"/>
    <mergeCell ref="S4910:T4911"/>
    <mergeCell ref="U4910:V4911"/>
    <mergeCell ref="W4910:W4911"/>
    <mergeCell ref="X4910:AB4910"/>
    <mergeCell ref="AD4910:AI4910"/>
    <mergeCell ref="AJ4910:AL4910"/>
    <mergeCell ref="AN4910:AO4910"/>
    <mergeCell ref="AP4910:AQ4910"/>
    <mergeCell ref="AR4910:AS4911"/>
    <mergeCell ref="AT4910:AU4911"/>
    <mergeCell ref="AV4910:AW4911"/>
    <mergeCell ref="AX4910:AY4911"/>
    <mergeCell ref="AZ4910:AZ4911"/>
    <mergeCell ref="F4911:H4911"/>
    <mergeCell ref="X4911:AB4911"/>
    <mergeCell ref="AE4911:AI4911"/>
    <mergeCell ref="AJ4911:AL4911"/>
    <mergeCell ref="AN4911:AO4911"/>
    <mergeCell ref="AP4911:AQ4911"/>
    <mergeCell ref="A4904:A4905"/>
    <mergeCell ref="E4904:E4905"/>
    <mergeCell ref="F4904:H4904"/>
    <mergeCell ref="J4904:J4905"/>
    <mergeCell ref="K4904:L4905"/>
    <mergeCell ref="M4904:N4905"/>
    <mergeCell ref="O4904:P4905"/>
    <mergeCell ref="Q4904:R4905"/>
    <mergeCell ref="S4904:T4905"/>
    <mergeCell ref="U4904:V4905"/>
    <mergeCell ref="W4904:W4905"/>
    <mergeCell ref="X4904:AB4904"/>
    <mergeCell ref="AD4904:AI4904"/>
    <mergeCell ref="AJ4904:AL4904"/>
    <mergeCell ref="AN4904:AO4904"/>
    <mergeCell ref="AP4904:AQ4904"/>
    <mergeCell ref="AR4904:AS4905"/>
    <mergeCell ref="AT4904:AU4905"/>
    <mergeCell ref="AV4904:AW4905"/>
    <mergeCell ref="AX4904:AY4905"/>
    <mergeCell ref="AZ4904:AZ4905"/>
    <mergeCell ref="F4905:H4905"/>
    <mergeCell ref="X4905:AB4905"/>
    <mergeCell ref="AE4905:AI4905"/>
    <mergeCell ref="AJ4905:AL4905"/>
    <mergeCell ref="AN4905:AO4905"/>
    <mergeCell ref="AP4905:AQ4905"/>
    <mergeCell ref="A4906:A4907"/>
    <mergeCell ref="E4906:E4907"/>
    <mergeCell ref="F4906:H4906"/>
    <mergeCell ref="J4906:J4907"/>
    <mergeCell ref="K4906:L4907"/>
    <mergeCell ref="M4906:N4907"/>
    <mergeCell ref="O4906:P4907"/>
    <mergeCell ref="Q4906:R4907"/>
    <mergeCell ref="S4906:T4907"/>
    <mergeCell ref="U4906:V4907"/>
    <mergeCell ref="W4906:W4907"/>
    <mergeCell ref="X4906:AB4906"/>
    <mergeCell ref="AD4906:AI4906"/>
    <mergeCell ref="AJ4906:AL4906"/>
    <mergeCell ref="AN4906:AO4906"/>
    <mergeCell ref="AP4906:AQ4906"/>
    <mergeCell ref="AR4906:AS4907"/>
    <mergeCell ref="AT4906:AU4907"/>
    <mergeCell ref="AV4906:AW4907"/>
    <mergeCell ref="AX4906:AY4907"/>
    <mergeCell ref="AZ4906:AZ4907"/>
    <mergeCell ref="F4907:H4907"/>
    <mergeCell ref="X4907:AB4907"/>
    <mergeCell ref="AE4907:AI4907"/>
    <mergeCell ref="AJ4907:AL4907"/>
    <mergeCell ref="AN4907:AO4907"/>
    <mergeCell ref="AP4907:AQ4907"/>
    <mergeCell ref="A4900:A4901"/>
    <mergeCell ref="E4900:E4901"/>
    <mergeCell ref="F4900:H4900"/>
    <mergeCell ref="J4900:J4901"/>
    <mergeCell ref="K4900:L4901"/>
    <mergeCell ref="M4900:N4901"/>
    <mergeCell ref="O4900:P4901"/>
    <mergeCell ref="Q4900:R4901"/>
    <mergeCell ref="S4900:T4901"/>
    <mergeCell ref="U4900:V4901"/>
    <mergeCell ref="W4900:W4901"/>
    <mergeCell ref="X4900:AB4900"/>
    <mergeCell ref="AD4900:AI4900"/>
    <mergeCell ref="AJ4900:AL4900"/>
    <mergeCell ref="AN4900:AO4900"/>
    <mergeCell ref="AP4900:AQ4900"/>
    <mergeCell ref="AR4900:AS4901"/>
    <mergeCell ref="AT4900:AU4901"/>
    <mergeCell ref="AV4900:AW4901"/>
    <mergeCell ref="AX4900:AY4901"/>
    <mergeCell ref="AZ4900:AZ4901"/>
    <mergeCell ref="F4901:H4901"/>
    <mergeCell ref="X4901:AB4901"/>
    <mergeCell ref="AE4901:AI4901"/>
    <mergeCell ref="AJ4901:AL4901"/>
    <mergeCell ref="AN4901:AO4901"/>
    <mergeCell ref="AP4901:AQ4901"/>
    <mergeCell ref="A4902:A4903"/>
    <mergeCell ref="E4902:E4903"/>
    <mergeCell ref="F4902:H4902"/>
    <mergeCell ref="J4902:J4903"/>
    <mergeCell ref="K4902:L4903"/>
    <mergeCell ref="M4902:N4903"/>
    <mergeCell ref="O4902:P4903"/>
    <mergeCell ref="Q4902:R4903"/>
    <mergeCell ref="S4902:T4903"/>
    <mergeCell ref="U4902:V4903"/>
    <mergeCell ref="W4902:W4903"/>
    <mergeCell ref="X4902:AB4902"/>
    <mergeCell ref="AD4902:AI4902"/>
    <mergeCell ref="AJ4902:AL4902"/>
    <mergeCell ref="AN4902:AO4902"/>
    <mergeCell ref="AP4902:AQ4902"/>
    <mergeCell ref="AR4902:AS4903"/>
    <mergeCell ref="AT4902:AU4903"/>
    <mergeCell ref="AV4902:AW4903"/>
    <mergeCell ref="AX4902:AY4903"/>
    <mergeCell ref="AZ4902:AZ4903"/>
    <mergeCell ref="F4903:H4903"/>
    <mergeCell ref="X4903:AB4903"/>
    <mergeCell ref="AE4903:AI4903"/>
    <mergeCell ref="AJ4903:AL4903"/>
    <mergeCell ref="AN4903:AO4903"/>
    <mergeCell ref="AP4903:AQ4903"/>
    <mergeCell ref="A4896:A4897"/>
    <mergeCell ref="E4896:E4897"/>
    <mergeCell ref="F4896:H4896"/>
    <mergeCell ref="J4896:J4897"/>
    <mergeCell ref="K4896:L4897"/>
    <mergeCell ref="M4896:N4897"/>
    <mergeCell ref="O4896:P4897"/>
    <mergeCell ref="Q4896:R4897"/>
    <mergeCell ref="S4896:T4897"/>
    <mergeCell ref="U4896:V4897"/>
    <mergeCell ref="W4896:W4897"/>
    <mergeCell ref="X4896:AB4896"/>
    <mergeCell ref="AD4896:AI4896"/>
    <mergeCell ref="AJ4896:AL4896"/>
    <mergeCell ref="AN4896:AO4896"/>
    <mergeCell ref="AP4896:AQ4896"/>
    <mergeCell ref="AR4896:AS4897"/>
    <mergeCell ref="AT4896:AU4897"/>
    <mergeCell ref="AV4896:AW4897"/>
    <mergeCell ref="AX4896:AY4897"/>
    <mergeCell ref="AZ4896:AZ4897"/>
    <mergeCell ref="F4897:H4897"/>
    <mergeCell ref="X4897:AB4897"/>
    <mergeCell ref="AE4897:AI4897"/>
    <mergeCell ref="AJ4897:AL4897"/>
    <mergeCell ref="AN4897:AO4897"/>
    <mergeCell ref="AP4897:AQ4897"/>
    <mergeCell ref="A4898:A4899"/>
    <mergeCell ref="E4898:E4899"/>
    <mergeCell ref="F4898:H4898"/>
    <mergeCell ref="J4898:J4899"/>
    <mergeCell ref="K4898:L4899"/>
    <mergeCell ref="M4898:N4899"/>
    <mergeCell ref="O4898:P4899"/>
    <mergeCell ref="Q4898:R4899"/>
    <mergeCell ref="S4898:T4899"/>
    <mergeCell ref="U4898:V4899"/>
    <mergeCell ref="W4898:W4899"/>
    <mergeCell ref="X4898:AB4898"/>
    <mergeCell ref="AD4898:AI4898"/>
    <mergeCell ref="AJ4898:AL4898"/>
    <mergeCell ref="AN4898:AO4898"/>
    <mergeCell ref="AP4898:AQ4898"/>
    <mergeCell ref="AR4898:AS4899"/>
    <mergeCell ref="AT4898:AU4899"/>
    <mergeCell ref="AV4898:AW4899"/>
    <mergeCell ref="AX4898:AY4899"/>
    <mergeCell ref="AZ4898:AZ4899"/>
    <mergeCell ref="F4899:H4899"/>
    <mergeCell ref="X4899:AB4899"/>
    <mergeCell ref="AE4899:AI4899"/>
    <mergeCell ref="AJ4899:AL4899"/>
    <mergeCell ref="AN4899:AO4899"/>
    <mergeCell ref="AP4899:AQ4899"/>
    <mergeCell ref="A4892:A4893"/>
    <mergeCell ref="E4892:E4893"/>
    <mergeCell ref="F4892:H4892"/>
    <mergeCell ref="J4892:J4893"/>
    <mergeCell ref="K4892:L4893"/>
    <mergeCell ref="M4892:N4893"/>
    <mergeCell ref="O4892:P4893"/>
    <mergeCell ref="Q4892:R4893"/>
    <mergeCell ref="S4892:T4893"/>
    <mergeCell ref="U4892:V4893"/>
    <mergeCell ref="W4892:W4893"/>
    <mergeCell ref="X4892:AB4892"/>
    <mergeCell ref="AD4892:AI4892"/>
    <mergeCell ref="AJ4892:AL4892"/>
    <mergeCell ref="AN4892:AO4892"/>
    <mergeCell ref="AP4892:AQ4892"/>
    <mergeCell ref="AR4892:AS4893"/>
    <mergeCell ref="AT4892:AU4893"/>
    <mergeCell ref="AV4892:AW4893"/>
    <mergeCell ref="AX4892:AY4893"/>
    <mergeCell ref="AZ4892:AZ4893"/>
    <mergeCell ref="F4893:H4893"/>
    <mergeCell ref="X4893:AB4893"/>
    <mergeCell ref="AE4893:AI4893"/>
    <mergeCell ref="AJ4893:AL4893"/>
    <mergeCell ref="AN4893:AO4893"/>
    <mergeCell ref="AP4893:AQ4893"/>
    <mergeCell ref="A4894:A4895"/>
    <mergeCell ref="E4894:E4895"/>
    <mergeCell ref="F4894:H4894"/>
    <mergeCell ref="J4894:J4895"/>
    <mergeCell ref="K4894:L4895"/>
    <mergeCell ref="M4894:N4895"/>
    <mergeCell ref="O4894:P4895"/>
    <mergeCell ref="Q4894:R4895"/>
    <mergeCell ref="S4894:T4895"/>
    <mergeCell ref="U4894:V4895"/>
    <mergeCell ref="W4894:W4895"/>
    <mergeCell ref="X4894:AB4894"/>
    <mergeCell ref="AD4894:AI4894"/>
    <mergeCell ref="AJ4894:AL4894"/>
    <mergeCell ref="AN4894:AO4894"/>
    <mergeCell ref="AP4894:AQ4894"/>
    <mergeCell ref="AR4894:AS4895"/>
    <mergeCell ref="AT4894:AU4895"/>
    <mergeCell ref="AV4894:AW4895"/>
    <mergeCell ref="AX4894:AY4895"/>
    <mergeCell ref="AZ4894:AZ4895"/>
    <mergeCell ref="F4895:H4895"/>
    <mergeCell ref="X4895:AB4895"/>
    <mergeCell ref="AE4895:AI4895"/>
    <mergeCell ref="AJ4895:AL4895"/>
    <mergeCell ref="AN4895:AO4895"/>
    <mergeCell ref="AP4895:AQ4895"/>
    <mergeCell ref="A4886:A4887"/>
    <mergeCell ref="E4886:E4887"/>
    <mergeCell ref="F4886:H4886"/>
    <mergeCell ref="J4886:J4887"/>
    <mergeCell ref="K4886:L4887"/>
    <mergeCell ref="M4886:N4887"/>
    <mergeCell ref="O4886:P4887"/>
    <mergeCell ref="Q4886:R4887"/>
    <mergeCell ref="S4886:T4887"/>
    <mergeCell ref="U4886:V4887"/>
    <mergeCell ref="W4886:W4887"/>
    <mergeCell ref="X4886:AB4886"/>
    <mergeCell ref="AD4886:AI4886"/>
    <mergeCell ref="AJ4886:AL4886"/>
    <mergeCell ref="AN4886:AO4886"/>
    <mergeCell ref="AP4886:AQ4886"/>
    <mergeCell ref="AR4886:AS4887"/>
    <mergeCell ref="AT4886:AU4887"/>
    <mergeCell ref="AV4886:AW4887"/>
    <mergeCell ref="AX4886:AY4887"/>
    <mergeCell ref="AZ4886:AZ4887"/>
    <mergeCell ref="F4887:H4887"/>
    <mergeCell ref="X4887:AB4887"/>
    <mergeCell ref="AE4887:AI4887"/>
    <mergeCell ref="AJ4887:AL4887"/>
    <mergeCell ref="AN4887:AO4887"/>
    <mergeCell ref="AP4887:AQ4887"/>
    <mergeCell ref="A4890:A4891"/>
    <mergeCell ref="E4890:E4891"/>
    <mergeCell ref="F4890:H4890"/>
    <mergeCell ref="J4890:J4891"/>
    <mergeCell ref="K4890:L4891"/>
    <mergeCell ref="M4890:N4891"/>
    <mergeCell ref="O4890:P4891"/>
    <mergeCell ref="Q4890:R4891"/>
    <mergeCell ref="S4890:T4891"/>
    <mergeCell ref="U4890:V4891"/>
    <mergeCell ref="W4890:W4891"/>
    <mergeCell ref="X4890:AB4890"/>
    <mergeCell ref="AD4890:AI4890"/>
    <mergeCell ref="AJ4890:AL4890"/>
    <mergeCell ref="AN4890:AO4890"/>
    <mergeCell ref="AP4890:AQ4890"/>
    <mergeCell ref="AR4890:AS4891"/>
    <mergeCell ref="AT4890:AU4891"/>
    <mergeCell ref="AV4890:AW4891"/>
    <mergeCell ref="AX4890:AY4891"/>
    <mergeCell ref="AZ4890:AZ4891"/>
    <mergeCell ref="F4891:H4891"/>
    <mergeCell ref="X4891:AB4891"/>
    <mergeCell ref="AE4891:AI4891"/>
    <mergeCell ref="AJ4891:AL4891"/>
    <mergeCell ref="AN4891:AO4891"/>
    <mergeCell ref="AP4891:AQ4891"/>
    <mergeCell ref="AZ4882:AZ4883"/>
    <mergeCell ref="F4883:H4883"/>
    <mergeCell ref="X4883:AB4883"/>
    <mergeCell ref="AE4883:AI4883"/>
    <mergeCell ref="AJ4883:AL4883"/>
    <mergeCell ref="AN4883:AO4883"/>
    <mergeCell ref="AP4883:AQ4883"/>
    <mergeCell ref="A4884:A4885"/>
    <mergeCell ref="E4884:E4885"/>
    <mergeCell ref="F4884:H4884"/>
    <mergeCell ref="J4884:J4885"/>
    <mergeCell ref="K4884:L4885"/>
    <mergeCell ref="M4884:N4885"/>
    <mergeCell ref="O4884:P4885"/>
    <mergeCell ref="Q4884:R4885"/>
    <mergeCell ref="S4884:T4885"/>
    <mergeCell ref="U4884:V4885"/>
    <mergeCell ref="W4884:W4885"/>
    <mergeCell ref="X4884:AB4884"/>
    <mergeCell ref="AD4884:AI4884"/>
    <mergeCell ref="AJ4884:AL4884"/>
    <mergeCell ref="AN4884:AO4884"/>
    <mergeCell ref="AP4884:AQ4884"/>
    <mergeCell ref="AR4884:AS4885"/>
    <mergeCell ref="AT4884:AU4885"/>
    <mergeCell ref="AV4884:AW4885"/>
    <mergeCell ref="AX4884:AY4885"/>
    <mergeCell ref="AZ4884:AZ4885"/>
    <mergeCell ref="F4885:H4885"/>
    <mergeCell ref="X4885:AB4885"/>
    <mergeCell ref="AE4885:AI4885"/>
    <mergeCell ref="AJ4885:AL4885"/>
    <mergeCell ref="AN4885:AO4885"/>
    <mergeCell ref="AP4885:AQ4885"/>
    <mergeCell ref="A4876:A4877"/>
    <mergeCell ref="E4876:E4877"/>
    <mergeCell ref="F4876:H4876"/>
    <mergeCell ref="J4876:J4877"/>
    <mergeCell ref="K4876:L4877"/>
    <mergeCell ref="M4876:N4877"/>
    <mergeCell ref="O4876:P4877"/>
    <mergeCell ref="Q4876:R4877"/>
    <mergeCell ref="S4876:T4877"/>
    <mergeCell ref="U4876:V4877"/>
    <mergeCell ref="W4876:W4877"/>
    <mergeCell ref="X4876:AB4876"/>
    <mergeCell ref="AD4876:AI4876"/>
    <mergeCell ref="AJ4876:AL4876"/>
    <mergeCell ref="AN4876:AO4876"/>
    <mergeCell ref="AP4876:AQ4876"/>
    <mergeCell ref="AR4876:AS4877"/>
    <mergeCell ref="AT4876:AU4877"/>
    <mergeCell ref="AV4876:AW4877"/>
    <mergeCell ref="AX4876:AY4877"/>
    <mergeCell ref="AZ4876:AZ4877"/>
    <mergeCell ref="F4877:H4877"/>
    <mergeCell ref="X4877:AB4877"/>
    <mergeCell ref="AE4877:AI4877"/>
    <mergeCell ref="AJ4877:AL4877"/>
    <mergeCell ref="AN4877:AO4877"/>
    <mergeCell ref="AP4877:AQ4877"/>
    <mergeCell ref="A4880:A4881"/>
    <mergeCell ref="E4880:E4881"/>
    <mergeCell ref="F4880:H4880"/>
    <mergeCell ref="J4880:J4881"/>
    <mergeCell ref="K4880:L4881"/>
    <mergeCell ref="M4880:N4881"/>
    <mergeCell ref="O4880:P4881"/>
    <mergeCell ref="Q4880:R4881"/>
    <mergeCell ref="S4880:T4881"/>
    <mergeCell ref="U4880:V4881"/>
    <mergeCell ref="W4880:W4881"/>
    <mergeCell ref="X4880:AB4880"/>
    <mergeCell ref="AD4880:AI4880"/>
    <mergeCell ref="AJ4880:AL4880"/>
    <mergeCell ref="AN4880:AO4880"/>
    <mergeCell ref="AP4880:AQ4880"/>
    <mergeCell ref="AR4880:AS4881"/>
    <mergeCell ref="AT4880:AU4881"/>
    <mergeCell ref="AV4880:AW4881"/>
    <mergeCell ref="AX4880:AY4881"/>
    <mergeCell ref="AZ4880:AZ4881"/>
    <mergeCell ref="F4881:H4881"/>
    <mergeCell ref="X4881:AB4881"/>
    <mergeCell ref="AE4881:AI4881"/>
    <mergeCell ref="AJ4881:AL4881"/>
    <mergeCell ref="AN4881:AO4881"/>
    <mergeCell ref="AP4881:AQ4881"/>
    <mergeCell ref="A4878:A4879"/>
    <mergeCell ref="E4878:E4879"/>
    <mergeCell ref="F4878:H4878"/>
    <mergeCell ref="J4878:J4879"/>
    <mergeCell ref="K4878:L4879"/>
    <mergeCell ref="M4878:N4879"/>
    <mergeCell ref="O4878:P4879"/>
    <mergeCell ref="Q4878:R4879"/>
    <mergeCell ref="S4878:T4879"/>
    <mergeCell ref="U4878:V4879"/>
    <mergeCell ref="A4872:A4873"/>
    <mergeCell ref="E4872:E4873"/>
    <mergeCell ref="F4872:H4872"/>
    <mergeCell ref="J4872:J4873"/>
    <mergeCell ref="K4872:L4873"/>
    <mergeCell ref="M4872:N4873"/>
    <mergeCell ref="O4872:P4873"/>
    <mergeCell ref="Q4872:R4873"/>
    <mergeCell ref="S4872:T4873"/>
    <mergeCell ref="U4872:V4873"/>
    <mergeCell ref="W4872:W4873"/>
    <mergeCell ref="X4872:AB4872"/>
    <mergeCell ref="AD4872:AI4872"/>
    <mergeCell ref="AJ4872:AL4872"/>
    <mergeCell ref="AN4872:AO4872"/>
    <mergeCell ref="AP4872:AQ4872"/>
    <mergeCell ref="AR4872:AS4873"/>
    <mergeCell ref="AT4872:AU4873"/>
    <mergeCell ref="AV4872:AW4873"/>
    <mergeCell ref="AX4872:AY4873"/>
    <mergeCell ref="AZ4872:AZ4873"/>
    <mergeCell ref="F4873:H4873"/>
    <mergeCell ref="X4873:AB4873"/>
    <mergeCell ref="AE4873:AI4873"/>
    <mergeCell ref="AJ4873:AL4873"/>
    <mergeCell ref="AN4873:AO4873"/>
    <mergeCell ref="AP4873:AQ4873"/>
    <mergeCell ref="A4874:A4875"/>
    <mergeCell ref="E4874:E4875"/>
    <mergeCell ref="F4874:H4874"/>
    <mergeCell ref="J4874:J4875"/>
    <mergeCell ref="K4874:L4875"/>
    <mergeCell ref="M4874:N4875"/>
    <mergeCell ref="O4874:P4875"/>
    <mergeCell ref="Q4874:R4875"/>
    <mergeCell ref="S4874:T4875"/>
    <mergeCell ref="U4874:V4875"/>
    <mergeCell ref="W4874:W4875"/>
    <mergeCell ref="X4874:AB4874"/>
    <mergeCell ref="AD4874:AI4874"/>
    <mergeCell ref="AJ4874:AL4874"/>
    <mergeCell ref="AN4874:AO4874"/>
    <mergeCell ref="AP4874:AQ4874"/>
    <mergeCell ref="AR4874:AS4875"/>
    <mergeCell ref="AT4874:AU4875"/>
    <mergeCell ref="AV4874:AW4875"/>
    <mergeCell ref="AX4874:AY4875"/>
    <mergeCell ref="AZ4874:AZ4875"/>
    <mergeCell ref="F4875:H4875"/>
    <mergeCell ref="X4875:AB4875"/>
    <mergeCell ref="AE4875:AI4875"/>
    <mergeCell ref="AJ4875:AL4875"/>
    <mergeCell ref="AN4875:AO4875"/>
    <mergeCell ref="AP4875:AQ4875"/>
    <mergeCell ref="A4868:A4869"/>
    <mergeCell ref="E4868:E4869"/>
    <mergeCell ref="F4868:H4868"/>
    <mergeCell ref="J4868:J4869"/>
    <mergeCell ref="K4868:L4869"/>
    <mergeCell ref="M4868:N4869"/>
    <mergeCell ref="O4868:P4869"/>
    <mergeCell ref="Q4868:R4869"/>
    <mergeCell ref="S4868:T4869"/>
    <mergeCell ref="U4868:V4869"/>
    <mergeCell ref="W4868:W4869"/>
    <mergeCell ref="X4868:AB4868"/>
    <mergeCell ref="AD4868:AI4868"/>
    <mergeCell ref="AJ4868:AL4868"/>
    <mergeCell ref="AN4868:AO4868"/>
    <mergeCell ref="AP4868:AQ4868"/>
    <mergeCell ref="AR4868:AS4869"/>
    <mergeCell ref="AT4868:AU4869"/>
    <mergeCell ref="AV4868:AW4869"/>
    <mergeCell ref="AX4868:AY4869"/>
    <mergeCell ref="AZ4868:AZ4869"/>
    <mergeCell ref="F4869:H4869"/>
    <mergeCell ref="X4869:AB4869"/>
    <mergeCell ref="AE4869:AI4869"/>
    <mergeCell ref="AJ4869:AL4869"/>
    <mergeCell ref="AN4869:AO4869"/>
    <mergeCell ref="AP4869:AQ4869"/>
    <mergeCell ref="A4870:A4871"/>
    <mergeCell ref="E4870:E4871"/>
    <mergeCell ref="F4870:H4870"/>
    <mergeCell ref="J4870:J4871"/>
    <mergeCell ref="K4870:L4871"/>
    <mergeCell ref="M4870:N4871"/>
    <mergeCell ref="O4870:P4871"/>
    <mergeCell ref="Q4870:R4871"/>
    <mergeCell ref="S4870:T4871"/>
    <mergeCell ref="U4870:V4871"/>
    <mergeCell ref="W4870:W4871"/>
    <mergeCell ref="X4870:AB4870"/>
    <mergeCell ref="AD4870:AI4870"/>
    <mergeCell ref="AJ4870:AL4870"/>
    <mergeCell ref="AN4870:AO4870"/>
    <mergeCell ref="AP4870:AQ4870"/>
    <mergeCell ref="AR4870:AS4871"/>
    <mergeCell ref="AT4870:AU4871"/>
    <mergeCell ref="AV4870:AW4871"/>
    <mergeCell ref="AX4870:AY4871"/>
    <mergeCell ref="AZ4870:AZ4871"/>
    <mergeCell ref="F4871:H4871"/>
    <mergeCell ref="X4871:AB4871"/>
    <mergeCell ref="AE4871:AI4871"/>
    <mergeCell ref="AJ4871:AL4871"/>
    <mergeCell ref="AN4871:AO4871"/>
    <mergeCell ref="AP4871:AQ4871"/>
    <mergeCell ref="A4864:A4865"/>
    <mergeCell ref="E4864:E4865"/>
    <mergeCell ref="F4864:H4864"/>
    <mergeCell ref="J4864:J4865"/>
    <mergeCell ref="K4864:L4865"/>
    <mergeCell ref="M4864:N4865"/>
    <mergeCell ref="O4864:P4865"/>
    <mergeCell ref="Q4864:R4865"/>
    <mergeCell ref="S4864:T4865"/>
    <mergeCell ref="U4864:V4865"/>
    <mergeCell ref="W4864:W4865"/>
    <mergeCell ref="X4864:AB4864"/>
    <mergeCell ref="AD4864:AI4864"/>
    <mergeCell ref="AJ4864:AL4864"/>
    <mergeCell ref="AN4864:AO4864"/>
    <mergeCell ref="AP4864:AQ4864"/>
    <mergeCell ref="AR4864:AS4865"/>
    <mergeCell ref="AT4864:AU4865"/>
    <mergeCell ref="AV4864:AW4865"/>
    <mergeCell ref="AX4864:AY4865"/>
    <mergeCell ref="AZ4864:AZ4865"/>
    <mergeCell ref="F4865:H4865"/>
    <mergeCell ref="X4865:AB4865"/>
    <mergeCell ref="AE4865:AI4865"/>
    <mergeCell ref="AJ4865:AL4865"/>
    <mergeCell ref="AN4865:AO4865"/>
    <mergeCell ref="AP4865:AQ4865"/>
    <mergeCell ref="A4866:A4867"/>
    <mergeCell ref="E4866:E4867"/>
    <mergeCell ref="F4866:H4866"/>
    <mergeCell ref="J4866:J4867"/>
    <mergeCell ref="K4866:L4867"/>
    <mergeCell ref="M4866:N4867"/>
    <mergeCell ref="O4866:P4867"/>
    <mergeCell ref="Q4866:R4867"/>
    <mergeCell ref="S4866:T4867"/>
    <mergeCell ref="U4866:V4867"/>
    <mergeCell ref="W4866:W4867"/>
    <mergeCell ref="X4866:AB4866"/>
    <mergeCell ref="AD4866:AI4866"/>
    <mergeCell ref="AJ4866:AL4866"/>
    <mergeCell ref="AN4866:AO4866"/>
    <mergeCell ref="AP4866:AQ4866"/>
    <mergeCell ref="AR4866:AS4867"/>
    <mergeCell ref="AT4866:AU4867"/>
    <mergeCell ref="AV4866:AW4867"/>
    <mergeCell ref="AX4866:AY4867"/>
    <mergeCell ref="AZ4866:AZ4867"/>
    <mergeCell ref="F4867:H4867"/>
    <mergeCell ref="X4867:AB4867"/>
    <mergeCell ref="AE4867:AI4867"/>
    <mergeCell ref="AJ4867:AL4867"/>
    <mergeCell ref="AN4867:AO4867"/>
    <mergeCell ref="AP4867:AQ4867"/>
    <mergeCell ref="A4860:A4861"/>
    <mergeCell ref="E4860:E4861"/>
    <mergeCell ref="F4860:H4860"/>
    <mergeCell ref="J4860:J4861"/>
    <mergeCell ref="K4860:L4861"/>
    <mergeCell ref="M4860:N4861"/>
    <mergeCell ref="O4860:P4861"/>
    <mergeCell ref="Q4860:R4861"/>
    <mergeCell ref="S4860:T4861"/>
    <mergeCell ref="U4860:V4861"/>
    <mergeCell ref="W4860:W4861"/>
    <mergeCell ref="X4860:AB4860"/>
    <mergeCell ref="AD4860:AI4860"/>
    <mergeCell ref="AJ4860:AL4860"/>
    <mergeCell ref="AN4860:AO4860"/>
    <mergeCell ref="AP4860:AQ4860"/>
    <mergeCell ref="AR4860:AS4861"/>
    <mergeCell ref="AT4860:AU4861"/>
    <mergeCell ref="AV4860:AW4861"/>
    <mergeCell ref="AX4860:AY4861"/>
    <mergeCell ref="AZ4860:AZ4861"/>
    <mergeCell ref="F4861:H4861"/>
    <mergeCell ref="X4861:AB4861"/>
    <mergeCell ref="AE4861:AI4861"/>
    <mergeCell ref="AJ4861:AL4861"/>
    <mergeCell ref="AN4861:AO4861"/>
    <mergeCell ref="AP4861:AQ4861"/>
    <mergeCell ref="A4862:A4863"/>
    <mergeCell ref="E4862:E4863"/>
    <mergeCell ref="F4862:H4862"/>
    <mergeCell ref="J4862:J4863"/>
    <mergeCell ref="K4862:L4863"/>
    <mergeCell ref="M4862:N4863"/>
    <mergeCell ref="O4862:P4863"/>
    <mergeCell ref="Q4862:R4863"/>
    <mergeCell ref="S4862:T4863"/>
    <mergeCell ref="U4862:V4863"/>
    <mergeCell ref="W4862:W4863"/>
    <mergeCell ref="X4862:AB4862"/>
    <mergeCell ref="AD4862:AI4862"/>
    <mergeCell ref="AJ4862:AL4862"/>
    <mergeCell ref="AN4862:AO4862"/>
    <mergeCell ref="AP4862:AQ4862"/>
    <mergeCell ref="AR4862:AS4863"/>
    <mergeCell ref="AT4862:AU4863"/>
    <mergeCell ref="AV4862:AW4863"/>
    <mergeCell ref="AX4862:AY4863"/>
    <mergeCell ref="AZ4862:AZ4863"/>
    <mergeCell ref="F4863:H4863"/>
    <mergeCell ref="X4863:AB4863"/>
    <mergeCell ref="AE4863:AI4863"/>
    <mergeCell ref="AJ4863:AL4863"/>
    <mergeCell ref="AN4863:AO4863"/>
    <mergeCell ref="AP4863:AQ4863"/>
    <mergeCell ref="A4856:A4857"/>
    <mergeCell ref="E4856:E4857"/>
    <mergeCell ref="F4856:H4856"/>
    <mergeCell ref="J4856:J4857"/>
    <mergeCell ref="K4856:L4857"/>
    <mergeCell ref="M4856:N4857"/>
    <mergeCell ref="O4856:P4857"/>
    <mergeCell ref="Q4856:R4857"/>
    <mergeCell ref="S4856:T4857"/>
    <mergeCell ref="U4856:V4857"/>
    <mergeCell ref="W4856:W4857"/>
    <mergeCell ref="X4856:AB4856"/>
    <mergeCell ref="AD4856:AI4856"/>
    <mergeCell ref="AJ4856:AL4856"/>
    <mergeCell ref="AN4856:AO4856"/>
    <mergeCell ref="AP4856:AQ4856"/>
    <mergeCell ref="AR4856:AS4857"/>
    <mergeCell ref="AT4856:AU4857"/>
    <mergeCell ref="AV4856:AW4857"/>
    <mergeCell ref="AX4856:AY4857"/>
    <mergeCell ref="AZ4856:AZ4857"/>
    <mergeCell ref="F4857:H4857"/>
    <mergeCell ref="X4857:AB4857"/>
    <mergeCell ref="AE4857:AI4857"/>
    <mergeCell ref="AJ4857:AL4857"/>
    <mergeCell ref="AN4857:AO4857"/>
    <mergeCell ref="AP4857:AQ4857"/>
    <mergeCell ref="A4858:A4859"/>
    <mergeCell ref="E4858:E4859"/>
    <mergeCell ref="F4858:H4858"/>
    <mergeCell ref="J4858:J4859"/>
    <mergeCell ref="K4858:L4859"/>
    <mergeCell ref="M4858:N4859"/>
    <mergeCell ref="O4858:P4859"/>
    <mergeCell ref="Q4858:R4859"/>
    <mergeCell ref="S4858:T4859"/>
    <mergeCell ref="U4858:V4859"/>
    <mergeCell ref="W4858:W4859"/>
    <mergeCell ref="X4858:AB4858"/>
    <mergeCell ref="AD4858:AI4858"/>
    <mergeCell ref="AJ4858:AL4858"/>
    <mergeCell ref="AN4858:AO4858"/>
    <mergeCell ref="AP4858:AQ4858"/>
    <mergeCell ref="AR4858:AS4859"/>
    <mergeCell ref="AT4858:AU4859"/>
    <mergeCell ref="AV4858:AW4859"/>
    <mergeCell ref="AX4858:AY4859"/>
    <mergeCell ref="AZ4858:AZ4859"/>
    <mergeCell ref="F4859:H4859"/>
    <mergeCell ref="X4859:AB4859"/>
    <mergeCell ref="AE4859:AI4859"/>
    <mergeCell ref="AJ4859:AL4859"/>
    <mergeCell ref="AN4859:AO4859"/>
    <mergeCell ref="AP4859:AQ4859"/>
    <mergeCell ref="A4852:A4853"/>
    <mergeCell ref="E4852:E4853"/>
    <mergeCell ref="F4852:H4852"/>
    <mergeCell ref="J4852:J4853"/>
    <mergeCell ref="K4852:L4853"/>
    <mergeCell ref="M4852:N4853"/>
    <mergeCell ref="O4852:P4853"/>
    <mergeCell ref="Q4852:R4853"/>
    <mergeCell ref="S4852:T4853"/>
    <mergeCell ref="U4852:V4853"/>
    <mergeCell ref="W4852:W4853"/>
    <mergeCell ref="X4852:AB4852"/>
    <mergeCell ref="AD4852:AI4852"/>
    <mergeCell ref="AJ4852:AL4852"/>
    <mergeCell ref="AN4852:AO4852"/>
    <mergeCell ref="AP4852:AQ4852"/>
    <mergeCell ref="AR4852:AS4853"/>
    <mergeCell ref="AT4852:AU4853"/>
    <mergeCell ref="AV4852:AW4853"/>
    <mergeCell ref="AX4852:AY4853"/>
    <mergeCell ref="AZ4852:AZ4853"/>
    <mergeCell ref="F4853:H4853"/>
    <mergeCell ref="X4853:AB4853"/>
    <mergeCell ref="AE4853:AI4853"/>
    <mergeCell ref="AJ4853:AL4853"/>
    <mergeCell ref="AN4853:AO4853"/>
    <mergeCell ref="AP4853:AQ4853"/>
    <mergeCell ref="A4854:A4855"/>
    <mergeCell ref="E4854:E4855"/>
    <mergeCell ref="F4854:H4854"/>
    <mergeCell ref="J4854:J4855"/>
    <mergeCell ref="K4854:L4855"/>
    <mergeCell ref="M4854:N4855"/>
    <mergeCell ref="O4854:P4855"/>
    <mergeCell ref="Q4854:R4855"/>
    <mergeCell ref="S4854:T4855"/>
    <mergeCell ref="U4854:V4855"/>
    <mergeCell ref="W4854:W4855"/>
    <mergeCell ref="X4854:AB4854"/>
    <mergeCell ref="AD4854:AI4854"/>
    <mergeCell ref="AJ4854:AL4854"/>
    <mergeCell ref="AN4854:AO4854"/>
    <mergeCell ref="AP4854:AQ4854"/>
    <mergeCell ref="AR4854:AS4855"/>
    <mergeCell ref="AT4854:AU4855"/>
    <mergeCell ref="AV4854:AW4855"/>
    <mergeCell ref="AX4854:AY4855"/>
    <mergeCell ref="AZ4854:AZ4855"/>
    <mergeCell ref="F4855:H4855"/>
    <mergeCell ref="X4855:AB4855"/>
    <mergeCell ref="AE4855:AI4855"/>
    <mergeCell ref="AJ4855:AL4855"/>
    <mergeCell ref="AN4855:AO4855"/>
    <mergeCell ref="AP4855:AQ4855"/>
    <mergeCell ref="A4848:A4849"/>
    <mergeCell ref="E4848:E4849"/>
    <mergeCell ref="F4848:H4848"/>
    <mergeCell ref="J4848:J4849"/>
    <mergeCell ref="K4848:L4849"/>
    <mergeCell ref="M4848:N4849"/>
    <mergeCell ref="O4848:P4849"/>
    <mergeCell ref="Q4848:R4849"/>
    <mergeCell ref="S4848:T4849"/>
    <mergeCell ref="U4848:V4849"/>
    <mergeCell ref="W4848:W4849"/>
    <mergeCell ref="X4848:AB4848"/>
    <mergeCell ref="AD4848:AI4848"/>
    <mergeCell ref="AJ4848:AL4848"/>
    <mergeCell ref="AN4848:AO4848"/>
    <mergeCell ref="AP4848:AQ4848"/>
    <mergeCell ref="AR4848:AS4849"/>
    <mergeCell ref="AT4848:AU4849"/>
    <mergeCell ref="AV4848:AW4849"/>
    <mergeCell ref="AX4848:AY4849"/>
    <mergeCell ref="AZ4848:AZ4849"/>
    <mergeCell ref="F4849:H4849"/>
    <mergeCell ref="X4849:AB4849"/>
    <mergeCell ref="AE4849:AI4849"/>
    <mergeCell ref="AJ4849:AL4849"/>
    <mergeCell ref="AN4849:AO4849"/>
    <mergeCell ref="AP4849:AQ4849"/>
    <mergeCell ref="A4850:A4851"/>
    <mergeCell ref="E4850:E4851"/>
    <mergeCell ref="F4850:H4850"/>
    <mergeCell ref="J4850:J4851"/>
    <mergeCell ref="K4850:L4851"/>
    <mergeCell ref="M4850:N4851"/>
    <mergeCell ref="O4850:P4851"/>
    <mergeCell ref="Q4850:R4851"/>
    <mergeCell ref="S4850:T4851"/>
    <mergeCell ref="U4850:V4851"/>
    <mergeCell ref="W4850:W4851"/>
    <mergeCell ref="X4850:AB4850"/>
    <mergeCell ref="AD4850:AI4850"/>
    <mergeCell ref="AJ4850:AL4850"/>
    <mergeCell ref="AN4850:AO4850"/>
    <mergeCell ref="AP4850:AQ4850"/>
    <mergeCell ref="AR4850:AS4851"/>
    <mergeCell ref="AT4850:AU4851"/>
    <mergeCell ref="AV4850:AW4851"/>
    <mergeCell ref="AX4850:AY4851"/>
    <mergeCell ref="AZ4850:AZ4851"/>
    <mergeCell ref="F4851:H4851"/>
    <mergeCell ref="X4851:AB4851"/>
    <mergeCell ref="AE4851:AI4851"/>
    <mergeCell ref="AJ4851:AL4851"/>
    <mergeCell ref="AN4851:AO4851"/>
    <mergeCell ref="AP4851:AQ4851"/>
    <mergeCell ref="A4844:A4845"/>
    <mergeCell ref="E4844:E4845"/>
    <mergeCell ref="F4844:H4844"/>
    <mergeCell ref="J4844:J4845"/>
    <mergeCell ref="K4844:L4845"/>
    <mergeCell ref="M4844:N4845"/>
    <mergeCell ref="O4844:P4845"/>
    <mergeCell ref="Q4844:R4845"/>
    <mergeCell ref="S4844:T4845"/>
    <mergeCell ref="U4844:V4845"/>
    <mergeCell ref="W4844:W4845"/>
    <mergeCell ref="X4844:AB4844"/>
    <mergeCell ref="AD4844:AI4844"/>
    <mergeCell ref="AJ4844:AL4844"/>
    <mergeCell ref="AN4844:AO4844"/>
    <mergeCell ref="AP4844:AQ4844"/>
    <mergeCell ref="AR4844:AS4845"/>
    <mergeCell ref="AT4844:AU4845"/>
    <mergeCell ref="AV4844:AW4845"/>
    <mergeCell ref="AX4844:AY4845"/>
    <mergeCell ref="AZ4844:AZ4845"/>
    <mergeCell ref="F4845:H4845"/>
    <mergeCell ref="X4845:AB4845"/>
    <mergeCell ref="AE4845:AI4845"/>
    <mergeCell ref="AJ4845:AL4845"/>
    <mergeCell ref="AN4845:AO4845"/>
    <mergeCell ref="AP4845:AQ4845"/>
    <mergeCell ref="A4846:A4847"/>
    <mergeCell ref="E4846:E4847"/>
    <mergeCell ref="F4846:H4846"/>
    <mergeCell ref="J4846:J4847"/>
    <mergeCell ref="K4846:L4847"/>
    <mergeCell ref="M4846:N4847"/>
    <mergeCell ref="O4846:P4847"/>
    <mergeCell ref="Q4846:R4847"/>
    <mergeCell ref="S4846:T4847"/>
    <mergeCell ref="U4846:V4847"/>
    <mergeCell ref="W4846:W4847"/>
    <mergeCell ref="X4846:AB4846"/>
    <mergeCell ref="AD4846:AI4846"/>
    <mergeCell ref="AJ4846:AL4846"/>
    <mergeCell ref="AN4846:AO4846"/>
    <mergeCell ref="AP4846:AQ4846"/>
    <mergeCell ref="AR4846:AS4847"/>
    <mergeCell ref="AT4846:AU4847"/>
    <mergeCell ref="AV4846:AW4847"/>
    <mergeCell ref="AX4846:AY4847"/>
    <mergeCell ref="AZ4846:AZ4847"/>
    <mergeCell ref="F4847:H4847"/>
    <mergeCell ref="X4847:AB4847"/>
    <mergeCell ref="AE4847:AI4847"/>
    <mergeCell ref="AJ4847:AL4847"/>
    <mergeCell ref="AN4847:AO4847"/>
    <mergeCell ref="AP4847:AQ4847"/>
    <mergeCell ref="A4840:A4841"/>
    <mergeCell ref="E4840:E4841"/>
    <mergeCell ref="F4840:H4840"/>
    <mergeCell ref="J4840:J4841"/>
    <mergeCell ref="K4840:L4841"/>
    <mergeCell ref="M4840:N4841"/>
    <mergeCell ref="O4840:P4841"/>
    <mergeCell ref="Q4840:R4841"/>
    <mergeCell ref="S4840:T4841"/>
    <mergeCell ref="U4840:V4841"/>
    <mergeCell ref="W4840:W4841"/>
    <mergeCell ref="X4840:AB4840"/>
    <mergeCell ref="AD4840:AI4840"/>
    <mergeCell ref="AJ4840:AL4840"/>
    <mergeCell ref="AN4840:AO4840"/>
    <mergeCell ref="AP4840:AQ4840"/>
    <mergeCell ref="AR4840:AS4841"/>
    <mergeCell ref="AT4840:AU4841"/>
    <mergeCell ref="AV4840:AW4841"/>
    <mergeCell ref="AX4840:AY4841"/>
    <mergeCell ref="AZ4840:AZ4841"/>
    <mergeCell ref="F4841:H4841"/>
    <mergeCell ref="X4841:AB4841"/>
    <mergeCell ref="AE4841:AI4841"/>
    <mergeCell ref="AJ4841:AL4841"/>
    <mergeCell ref="AN4841:AO4841"/>
    <mergeCell ref="AP4841:AQ4841"/>
    <mergeCell ref="A4842:A4843"/>
    <mergeCell ref="E4842:E4843"/>
    <mergeCell ref="F4842:H4842"/>
    <mergeCell ref="J4842:J4843"/>
    <mergeCell ref="K4842:L4843"/>
    <mergeCell ref="M4842:N4843"/>
    <mergeCell ref="O4842:P4843"/>
    <mergeCell ref="Q4842:R4843"/>
    <mergeCell ref="S4842:T4843"/>
    <mergeCell ref="U4842:V4843"/>
    <mergeCell ref="W4842:W4843"/>
    <mergeCell ref="X4842:AB4842"/>
    <mergeCell ref="AD4842:AI4842"/>
    <mergeCell ref="AJ4842:AL4842"/>
    <mergeCell ref="AN4842:AO4842"/>
    <mergeCell ref="AP4842:AQ4842"/>
    <mergeCell ref="AR4842:AS4843"/>
    <mergeCell ref="AT4842:AU4843"/>
    <mergeCell ref="AV4842:AW4843"/>
    <mergeCell ref="AX4842:AY4843"/>
    <mergeCell ref="AZ4842:AZ4843"/>
    <mergeCell ref="F4843:H4843"/>
    <mergeCell ref="X4843:AB4843"/>
    <mergeCell ref="AE4843:AI4843"/>
    <mergeCell ref="AJ4843:AL4843"/>
    <mergeCell ref="AN4843:AO4843"/>
    <mergeCell ref="AP4843:AQ4843"/>
    <mergeCell ref="A4836:A4837"/>
    <mergeCell ref="E4836:E4837"/>
    <mergeCell ref="F4836:H4836"/>
    <mergeCell ref="J4836:J4837"/>
    <mergeCell ref="K4836:L4837"/>
    <mergeCell ref="M4836:N4837"/>
    <mergeCell ref="O4836:P4837"/>
    <mergeCell ref="Q4836:R4837"/>
    <mergeCell ref="S4836:T4837"/>
    <mergeCell ref="U4836:V4837"/>
    <mergeCell ref="W4836:W4837"/>
    <mergeCell ref="X4836:AB4836"/>
    <mergeCell ref="AD4836:AI4836"/>
    <mergeCell ref="AJ4836:AL4836"/>
    <mergeCell ref="AN4836:AO4836"/>
    <mergeCell ref="AP4836:AQ4836"/>
    <mergeCell ref="AR4836:AS4837"/>
    <mergeCell ref="AT4836:AU4837"/>
    <mergeCell ref="AV4836:AW4837"/>
    <mergeCell ref="AX4836:AY4837"/>
    <mergeCell ref="AZ4836:AZ4837"/>
    <mergeCell ref="F4837:H4837"/>
    <mergeCell ref="X4837:AB4837"/>
    <mergeCell ref="AE4837:AI4837"/>
    <mergeCell ref="AJ4837:AL4837"/>
    <mergeCell ref="AN4837:AO4837"/>
    <mergeCell ref="AP4837:AQ4837"/>
    <mergeCell ref="A4838:A4839"/>
    <mergeCell ref="E4838:E4839"/>
    <mergeCell ref="F4838:H4838"/>
    <mergeCell ref="J4838:J4839"/>
    <mergeCell ref="K4838:L4839"/>
    <mergeCell ref="M4838:N4839"/>
    <mergeCell ref="O4838:P4839"/>
    <mergeCell ref="Q4838:R4839"/>
    <mergeCell ref="S4838:T4839"/>
    <mergeCell ref="U4838:V4839"/>
    <mergeCell ref="W4838:W4839"/>
    <mergeCell ref="X4838:AB4838"/>
    <mergeCell ref="AD4838:AI4838"/>
    <mergeCell ref="AJ4838:AL4838"/>
    <mergeCell ref="AN4838:AO4838"/>
    <mergeCell ref="AP4838:AQ4838"/>
    <mergeCell ref="AR4838:AS4839"/>
    <mergeCell ref="AT4838:AU4839"/>
    <mergeCell ref="AV4838:AW4839"/>
    <mergeCell ref="AX4838:AY4839"/>
    <mergeCell ref="AZ4838:AZ4839"/>
    <mergeCell ref="F4839:H4839"/>
    <mergeCell ref="X4839:AB4839"/>
    <mergeCell ref="AE4839:AI4839"/>
    <mergeCell ref="AJ4839:AL4839"/>
    <mergeCell ref="AN4839:AO4839"/>
    <mergeCell ref="AP4839:AQ4839"/>
    <mergeCell ref="A4832:A4833"/>
    <mergeCell ref="E4832:E4833"/>
    <mergeCell ref="F4832:H4832"/>
    <mergeCell ref="J4832:J4833"/>
    <mergeCell ref="K4832:L4833"/>
    <mergeCell ref="M4832:N4833"/>
    <mergeCell ref="O4832:P4833"/>
    <mergeCell ref="Q4832:R4833"/>
    <mergeCell ref="S4832:T4833"/>
    <mergeCell ref="U4832:V4833"/>
    <mergeCell ref="W4832:W4833"/>
    <mergeCell ref="X4832:AB4832"/>
    <mergeCell ref="AD4832:AI4832"/>
    <mergeCell ref="AJ4832:AL4832"/>
    <mergeCell ref="AN4832:AO4832"/>
    <mergeCell ref="AP4832:AQ4832"/>
    <mergeCell ref="AR4832:AS4833"/>
    <mergeCell ref="AT4832:AU4833"/>
    <mergeCell ref="AV4832:AW4833"/>
    <mergeCell ref="AX4832:AY4833"/>
    <mergeCell ref="AZ4832:AZ4833"/>
    <mergeCell ref="F4833:H4833"/>
    <mergeCell ref="X4833:AB4833"/>
    <mergeCell ref="AE4833:AI4833"/>
    <mergeCell ref="AJ4833:AL4833"/>
    <mergeCell ref="AN4833:AO4833"/>
    <mergeCell ref="AP4833:AQ4833"/>
    <mergeCell ref="A4834:A4835"/>
    <mergeCell ref="E4834:E4835"/>
    <mergeCell ref="F4834:H4834"/>
    <mergeCell ref="J4834:J4835"/>
    <mergeCell ref="K4834:L4835"/>
    <mergeCell ref="M4834:N4835"/>
    <mergeCell ref="O4834:P4835"/>
    <mergeCell ref="Q4834:R4835"/>
    <mergeCell ref="S4834:T4835"/>
    <mergeCell ref="U4834:V4835"/>
    <mergeCell ref="W4834:W4835"/>
    <mergeCell ref="X4834:AB4834"/>
    <mergeCell ref="AD4834:AI4834"/>
    <mergeCell ref="AJ4834:AL4834"/>
    <mergeCell ref="AN4834:AO4834"/>
    <mergeCell ref="AP4834:AQ4834"/>
    <mergeCell ref="AR4834:AS4835"/>
    <mergeCell ref="AT4834:AU4835"/>
    <mergeCell ref="AV4834:AW4835"/>
    <mergeCell ref="AX4834:AY4835"/>
    <mergeCell ref="AZ4834:AZ4835"/>
    <mergeCell ref="F4835:H4835"/>
    <mergeCell ref="X4835:AB4835"/>
    <mergeCell ref="AE4835:AI4835"/>
    <mergeCell ref="AJ4835:AL4835"/>
    <mergeCell ref="AN4835:AO4835"/>
    <mergeCell ref="AP4835:AQ4835"/>
    <mergeCell ref="A4830:A4831"/>
    <mergeCell ref="E4830:E4831"/>
    <mergeCell ref="F4830:H4830"/>
    <mergeCell ref="J4830:J4831"/>
    <mergeCell ref="K4830:L4831"/>
    <mergeCell ref="M4830:N4831"/>
    <mergeCell ref="O4830:P4831"/>
    <mergeCell ref="Q4830:R4831"/>
    <mergeCell ref="S4830:T4831"/>
    <mergeCell ref="U4830:V4831"/>
    <mergeCell ref="W4830:W4831"/>
    <mergeCell ref="X4830:AB4830"/>
    <mergeCell ref="AD4830:AI4830"/>
    <mergeCell ref="AJ4830:AL4830"/>
    <mergeCell ref="AN4830:AO4830"/>
    <mergeCell ref="AP4830:AQ4830"/>
    <mergeCell ref="AR4830:AS4831"/>
    <mergeCell ref="AT4830:AU4831"/>
    <mergeCell ref="AV4830:AW4831"/>
    <mergeCell ref="AX4830:AY4831"/>
    <mergeCell ref="AZ4830:AZ4831"/>
    <mergeCell ref="F4831:H4831"/>
    <mergeCell ref="X4831:AB4831"/>
    <mergeCell ref="AE4831:AI4831"/>
    <mergeCell ref="AJ4831:AL4831"/>
    <mergeCell ref="AN4831:AO4831"/>
    <mergeCell ref="AP4831:AQ4831"/>
    <mergeCell ref="AZ4828:AZ4829"/>
    <mergeCell ref="F4829:H4829"/>
    <mergeCell ref="X4829:AB4829"/>
    <mergeCell ref="AE4829:AI4829"/>
    <mergeCell ref="AJ4829:AL4829"/>
    <mergeCell ref="AN4829:AO4829"/>
    <mergeCell ref="AP4829:AQ4829"/>
    <mergeCell ref="A4822:A4823"/>
    <mergeCell ref="E4822:E4823"/>
    <mergeCell ref="F4822:H4822"/>
    <mergeCell ref="J4822:J4823"/>
    <mergeCell ref="K4822:L4823"/>
    <mergeCell ref="M4822:N4823"/>
    <mergeCell ref="O4822:P4823"/>
    <mergeCell ref="Q4822:R4823"/>
    <mergeCell ref="S4822:T4823"/>
    <mergeCell ref="U4822:V4823"/>
    <mergeCell ref="W4822:W4823"/>
    <mergeCell ref="X4822:AB4822"/>
    <mergeCell ref="AD4822:AI4822"/>
    <mergeCell ref="AJ4822:AL4822"/>
    <mergeCell ref="AN4822:AO4822"/>
    <mergeCell ref="AP4822:AQ4822"/>
    <mergeCell ref="AR4822:AS4823"/>
    <mergeCell ref="AT4822:AU4823"/>
    <mergeCell ref="AV4822:AW4823"/>
    <mergeCell ref="AX4822:AY4823"/>
    <mergeCell ref="AZ4822:AZ4823"/>
    <mergeCell ref="F4823:H4823"/>
    <mergeCell ref="X4823:AB4823"/>
    <mergeCell ref="AE4823:AI4823"/>
    <mergeCell ref="AJ4823:AL4823"/>
    <mergeCell ref="AN4823:AO4823"/>
    <mergeCell ref="AP4823:AQ4823"/>
    <mergeCell ref="A4824:A4825"/>
    <mergeCell ref="E4824:E4825"/>
    <mergeCell ref="F4824:H4824"/>
    <mergeCell ref="J4824:J4825"/>
    <mergeCell ref="K4824:L4825"/>
    <mergeCell ref="M4824:N4825"/>
    <mergeCell ref="O4824:P4825"/>
    <mergeCell ref="Q4824:R4825"/>
    <mergeCell ref="S4824:T4825"/>
    <mergeCell ref="U4824:V4825"/>
    <mergeCell ref="W4824:W4825"/>
    <mergeCell ref="X4824:AB4824"/>
    <mergeCell ref="AD4824:AI4824"/>
    <mergeCell ref="AJ4824:AL4824"/>
    <mergeCell ref="AN4824:AO4824"/>
    <mergeCell ref="AP4824:AQ4824"/>
    <mergeCell ref="AR4824:AS4825"/>
    <mergeCell ref="AT4824:AU4825"/>
    <mergeCell ref="AV4824:AW4825"/>
    <mergeCell ref="AX4824:AY4825"/>
    <mergeCell ref="AZ4824:AZ4825"/>
    <mergeCell ref="F4825:H4825"/>
    <mergeCell ref="X4825:AB4825"/>
    <mergeCell ref="AE4825:AI4825"/>
    <mergeCell ref="AJ4825:AL4825"/>
    <mergeCell ref="AN4825:AO4825"/>
    <mergeCell ref="AP4825:AQ4825"/>
    <mergeCell ref="A4818:A4819"/>
    <mergeCell ref="E4818:E4819"/>
    <mergeCell ref="F4818:H4818"/>
    <mergeCell ref="J4818:J4819"/>
    <mergeCell ref="K4818:L4819"/>
    <mergeCell ref="M4818:N4819"/>
    <mergeCell ref="O4818:P4819"/>
    <mergeCell ref="Q4818:R4819"/>
    <mergeCell ref="S4818:T4819"/>
    <mergeCell ref="U4818:V4819"/>
    <mergeCell ref="W4818:W4819"/>
    <mergeCell ref="X4818:AB4818"/>
    <mergeCell ref="AD4818:AI4818"/>
    <mergeCell ref="AJ4818:AL4818"/>
    <mergeCell ref="AN4818:AO4818"/>
    <mergeCell ref="AP4818:AQ4818"/>
    <mergeCell ref="AR4818:AS4819"/>
    <mergeCell ref="AT4818:AU4819"/>
    <mergeCell ref="AV4818:AW4819"/>
    <mergeCell ref="AX4818:AY4819"/>
    <mergeCell ref="AZ4818:AZ4819"/>
    <mergeCell ref="F4819:H4819"/>
    <mergeCell ref="X4819:AB4819"/>
    <mergeCell ref="AE4819:AI4819"/>
    <mergeCell ref="AJ4819:AL4819"/>
    <mergeCell ref="AN4819:AO4819"/>
    <mergeCell ref="AP4819:AQ4819"/>
    <mergeCell ref="A4820:A4821"/>
    <mergeCell ref="E4820:E4821"/>
    <mergeCell ref="F4820:H4820"/>
    <mergeCell ref="J4820:J4821"/>
    <mergeCell ref="K4820:L4821"/>
    <mergeCell ref="M4820:N4821"/>
    <mergeCell ref="O4820:P4821"/>
    <mergeCell ref="Q4820:R4821"/>
    <mergeCell ref="S4820:T4821"/>
    <mergeCell ref="U4820:V4821"/>
    <mergeCell ref="W4820:W4821"/>
    <mergeCell ref="X4820:AB4820"/>
    <mergeCell ref="AD4820:AI4820"/>
    <mergeCell ref="AJ4820:AL4820"/>
    <mergeCell ref="AN4820:AO4820"/>
    <mergeCell ref="AP4820:AQ4820"/>
    <mergeCell ref="AR4820:AS4821"/>
    <mergeCell ref="AT4820:AU4821"/>
    <mergeCell ref="AV4820:AW4821"/>
    <mergeCell ref="AX4820:AY4821"/>
    <mergeCell ref="AZ4820:AZ4821"/>
    <mergeCell ref="F4821:H4821"/>
    <mergeCell ref="X4821:AB4821"/>
    <mergeCell ref="AE4821:AI4821"/>
    <mergeCell ref="AJ4821:AL4821"/>
    <mergeCell ref="AN4821:AO4821"/>
    <mergeCell ref="AP4821:AQ4821"/>
    <mergeCell ref="W4812:W4813"/>
    <mergeCell ref="X4812:AB4812"/>
    <mergeCell ref="AD4812:AI4812"/>
    <mergeCell ref="AJ4812:AL4812"/>
    <mergeCell ref="AN4812:AO4812"/>
    <mergeCell ref="AP4812:AQ4812"/>
    <mergeCell ref="AR4812:AS4813"/>
    <mergeCell ref="AT4812:AU4813"/>
    <mergeCell ref="AV4812:AW4813"/>
    <mergeCell ref="AX4812:AY4813"/>
    <mergeCell ref="AZ4812:AZ4813"/>
    <mergeCell ref="F4813:H4813"/>
    <mergeCell ref="X4813:AB4813"/>
    <mergeCell ref="AE4813:AI4813"/>
    <mergeCell ref="AJ4813:AL4813"/>
    <mergeCell ref="AN4813:AO4813"/>
    <mergeCell ref="AP4813:AQ4813"/>
    <mergeCell ref="A4816:A4817"/>
    <mergeCell ref="E4816:E4817"/>
    <mergeCell ref="F4816:H4816"/>
    <mergeCell ref="J4816:J4817"/>
    <mergeCell ref="K4816:L4817"/>
    <mergeCell ref="M4816:N4817"/>
    <mergeCell ref="O4816:P4817"/>
    <mergeCell ref="Q4816:R4817"/>
    <mergeCell ref="S4816:T4817"/>
    <mergeCell ref="U4816:V4817"/>
    <mergeCell ref="W4816:W4817"/>
    <mergeCell ref="X4816:AB4816"/>
    <mergeCell ref="AD4816:AI4816"/>
    <mergeCell ref="AJ4816:AL4816"/>
    <mergeCell ref="AN4816:AO4816"/>
    <mergeCell ref="AP4816:AQ4816"/>
    <mergeCell ref="AR4816:AS4817"/>
    <mergeCell ref="AT4816:AU4817"/>
    <mergeCell ref="AV4816:AW4817"/>
    <mergeCell ref="AX4816:AY4817"/>
    <mergeCell ref="AZ4816:AZ4817"/>
    <mergeCell ref="F4817:H4817"/>
    <mergeCell ref="X4817:AB4817"/>
    <mergeCell ref="AE4817:AI4817"/>
    <mergeCell ref="AJ4817:AL4817"/>
    <mergeCell ref="AN4817:AO4817"/>
    <mergeCell ref="AP4817:AQ4817"/>
    <mergeCell ref="A4814:A4815"/>
    <mergeCell ref="E4814:E4815"/>
    <mergeCell ref="F4814:H4814"/>
    <mergeCell ref="J4814:J4815"/>
    <mergeCell ref="K4814:L4815"/>
    <mergeCell ref="M4814:N4815"/>
    <mergeCell ref="O4814:P4815"/>
    <mergeCell ref="Q4814:R4815"/>
    <mergeCell ref="S4814:T4815"/>
    <mergeCell ref="U4814:V4815"/>
    <mergeCell ref="W4814:W4815"/>
    <mergeCell ref="X4814:AB4814"/>
    <mergeCell ref="AD4814:AI4814"/>
    <mergeCell ref="AJ4814:AL4814"/>
    <mergeCell ref="AN4814:AO4814"/>
    <mergeCell ref="AP4814:AQ4814"/>
    <mergeCell ref="AR4814:AS4815"/>
    <mergeCell ref="AT4814:AU4815"/>
    <mergeCell ref="AV4814:AW4815"/>
    <mergeCell ref="AX4814:AY4815"/>
    <mergeCell ref="AJ4804:AL4804"/>
    <mergeCell ref="AN4804:AO4804"/>
    <mergeCell ref="AP4804:AQ4804"/>
    <mergeCell ref="AR4804:AS4805"/>
    <mergeCell ref="AT4804:AU4805"/>
    <mergeCell ref="AV4804:AW4805"/>
    <mergeCell ref="AX4804:AY4805"/>
    <mergeCell ref="AZ4804:AZ4805"/>
    <mergeCell ref="F4805:H4805"/>
    <mergeCell ref="X4805:AB4805"/>
    <mergeCell ref="AE4805:AI4805"/>
    <mergeCell ref="AJ4805:AL4805"/>
    <mergeCell ref="AN4805:AO4805"/>
    <mergeCell ref="AP4805:AQ4805"/>
    <mergeCell ref="A4798:A4799"/>
    <mergeCell ref="E4798:E4799"/>
    <mergeCell ref="F4798:H4798"/>
    <mergeCell ref="J4798:J4799"/>
    <mergeCell ref="K4798:L4799"/>
    <mergeCell ref="M4798:N4799"/>
    <mergeCell ref="O4798:P4799"/>
    <mergeCell ref="Q4798:R4799"/>
    <mergeCell ref="S4798:T4799"/>
    <mergeCell ref="U4798:V4799"/>
    <mergeCell ref="W4798:W4799"/>
    <mergeCell ref="X4798:AB4798"/>
    <mergeCell ref="AD4798:AI4798"/>
    <mergeCell ref="AJ4798:AL4798"/>
    <mergeCell ref="AN4798:AO4798"/>
    <mergeCell ref="AP4798:AQ4798"/>
    <mergeCell ref="AR4798:AS4799"/>
    <mergeCell ref="AT4798:AU4799"/>
    <mergeCell ref="AV4798:AW4799"/>
    <mergeCell ref="AX4798:AY4799"/>
    <mergeCell ref="AZ4798:AZ4799"/>
    <mergeCell ref="F4799:H4799"/>
    <mergeCell ref="X4799:AB4799"/>
    <mergeCell ref="AE4799:AI4799"/>
    <mergeCell ref="AJ4799:AL4799"/>
    <mergeCell ref="AN4799:AO4799"/>
    <mergeCell ref="AP4799:AQ4799"/>
    <mergeCell ref="A4800:A4801"/>
    <mergeCell ref="E4800:E4801"/>
    <mergeCell ref="F4800:H4800"/>
    <mergeCell ref="J4800:J4801"/>
    <mergeCell ref="K4800:L4801"/>
    <mergeCell ref="M4800:N4801"/>
    <mergeCell ref="O4800:P4801"/>
    <mergeCell ref="Q4800:R4801"/>
    <mergeCell ref="S4800:T4801"/>
    <mergeCell ref="U4800:V4801"/>
    <mergeCell ref="W4800:W4801"/>
    <mergeCell ref="X4800:AB4800"/>
    <mergeCell ref="AD4800:AI4800"/>
    <mergeCell ref="AJ4800:AL4800"/>
    <mergeCell ref="AN4800:AO4800"/>
    <mergeCell ref="AP4800:AQ4800"/>
    <mergeCell ref="AR4800:AS4801"/>
    <mergeCell ref="AT4800:AU4801"/>
    <mergeCell ref="AV4800:AW4801"/>
    <mergeCell ref="AX4800:AY4801"/>
    <mergeCell ref="AZ4800:AZ4801"/>
    <mergeCell ref="F4801:H4801"/>
    <mergeCell ref="X4801:AB4801"/>
    <mergeCell ref="AE4801:AI4801"/>
    <mergeCell ref="AJ4801:AL4801"/>
    <mergeCell ref="AN4801:AO4801"/>
    <mergeCell ref="AP4801:AQ4801"/>
    <mergeCell ref="A4794:A4795"/>
    <mergeCell ref="E4794:E4795"/>
    <mergeCell ref="F4794:H4794"/>
    <mergeCell ref="J4794:J4795"/>
    <mergeCell ref="K4794:L4795"/>
    <mergeCell ref="M4794:N4795"/>
    <mergeCell ref="O4794:P4795"/>
    <mergeCell ref="Q4794:R4795"/>
    <mergeCell ref="S4794:T4795"/>
    <mergeCell ref="U4794:V4795"/>
    <mergeCell ref="W4794:W4795"/>
    <mergeCell ref="X4794:AB4794"/>
    <mergeCell ref="AD4794:AI4794"/>
    <mergeCell ref="AJ4794:AL4794"/>
    <mergeCell ref="AN4794:AO4794"/>
    <mergeCell ref="AP4794:AQ4794"/>
    <mergeCell ref="AR4794:AS4795"/>
    <mergeCell ref="AT4794:AU4795"/>
    <mergeCell ref="AV4794:AW4795"/>
    <mergeCell ref="AX4794:AY4795"/>
    <mergeCell ref="AZ4794:AZ4795"/>
    <mergeCell ref="F4795:H4795"/>
    <mergeCell ref="X4795:AB4795"/>
    <mergeCell ref="AE4795:AI4795"/>
    <mergeCell ref="AJ4795:AL4795"/>
    <mergeCell ref="AN4795:AO4795"/>
    <mergeCell ref="AP4795:AQ4795"/>
    <mergeCell ref="A4796:A4797"/>
    <mergeCell ref="E4796:E4797"/>
    <mergeCell ref="F4796:H4796"/>
    <mergeCell ref="J4796:J4797"/>
    <mergeCell ref="K4796:L4797"/>
    <mergeCell ref="M4796:N4797"/>
    <mergeCell ref="O4796:P4797"/>
    <mergeCell ref="Q4796:R4797"/>
    <mergeCell ref="S4796:T4797"/>
    <mergeCell ref="U4796:V4797"/>
    <mergeCell ref="W4796:W4797"/>
    <mergeCell ref="X4796:AB4796"/>
    <mergeCell ref="AD4796:AI4796"/>
    <mergeCell ref="AJ4796:AL4796"/>
    <mergeCell ref="AN4796:AO4796"/>
    <mergeCell ref="AP4796:AQ4796"/>
    <mergeCell ref="AR4796:AS4797"/>
    <mergeCell ref="AT4796:AU4797"/>
    <mergeCell ref="AV4796:AW4797"/>
    <mergeCell ref="AX4796:AY4797"/>
    <mergeCell ref="AZ4796:AZ4797"/>
    <mergeCell ref="F4797:H4797"/>
    <mergeCell ref="X4797:AB4797"/>
    <mergeCell ref="AE4797:AI4797"/>
    <mergeCell ref="AJ4797:AL4797"/>
    <mergeCell ref="AN4797:AO4797"/>
    <mergeCell ref="AP4797:AQ4797"/>
    <mergeCell ref="A4790:A4791"/>
    <mergeCell ref="E4790:E4791"/>
    <mergeCell ref="F4790:H4790"/>
    <mergeCell ref="J4790:J4791"/>
    <mergeCell ref="K4790:L4791"/>
    <mergeCell ref="M4790:N4791"/>
    <mergeCell ref="O4790:P4791"/>
    <mergeCell ref="Q4790:R4791"/>
    <mergeCell ref="S4790:T4791"/>
    <mergeCell ref="U4790:V4791"/>
    <mergeCell ref="W4790:W4791"/>
    <mergeCell ref="X4790:AB4790"/>
    <mergeCell ref="AD4790:AI4790"/>
    <mergeCell ref="AJ4790:AL4790"/>
    <mergeCell ref="AN4790:AO4790"/>
    <mergeCell ref="AP4790:AQ4790"/>
    <mergeCell ref="AR4790:AS4791"/>
    <mergeCell ref="AT4790:AU4791"/>
    <mergeCell ref="AV4790:AW4791"/>
    <mergeCell ref="AX4790:AY4791"/>
    <mergeCell ref="AZ4790:AZ4791"/>
    <mergeCell ref="F4791:H4791"/>
    <mergeCell ref="X4791:AB4791"/>
    <mergeCell ref="AE4791:AI4791"/>
    <mergeCell ref="AJ4791:AL4791"/>
    <mergeCell ref="AN4791:AO4791"/>
    <mergeCell ref="AP4791:AQ4791"/>
    <mergeCell ref="A4792:A4793"/>
    <mergeCell ref="E4792:E4793"/>
    <mergeCell ref="F4792:H4792"/>
    <mergeCell ref="J4792:J4793"/>
    <mergeCell ref="K4792:L4793"/>
    <mergeCell ref="M4792:N4793"/>
    <mergeCell ref="O4792:P4793"/>
    <mergeCell ref="Q4792:R4793"/>
    <mergeCell ref="S4792:T4793"/>
    <mergeCell ref="U4792:V4793"/>
    <mergeCell ref="W4792:W4793"/>
    <mergeCell ref="X4792:AB4792"/>
    <mergeCell ref="AD4792:AI4792"/>
    <mergeCell ref="AJ4792:AL4792"/>
    <mergeCell ref="AN4792:AO4792"/>
    <mergeCell ref="AP4792:AQ4792"/>
    <mergeCell ref="AR4792:AS4793"/>
    <mergeCell ref="AT4792:AU4793"/>
    <mergeCell ref="AV4792:AW4793"/>
    <mergeCell ref="AX4792:AY4793"/>
    <mergeCell ref="AZ4792:AZ4793"/>
    <mergeCell ref="F4793:H4793"/>
    <mergeCell ref="X4793:AB4793"/>
    <mergeCell ref="AE4793:AI4793"/>
    <mergeCell ref="AJ4793:AL4793"/>
    <mergeCell ref="AN4793:AO4793"/>
    <mergeCell ref="AP4793:AQ4793"/>
    <mergeCell ref="A4786:A4787"/>
    <mergeCell ref="E4786:E4787"/>
    <mergeCell ref="F4786:H4786"/>
    <mergeCell ref="J4786:J4787"/>
    <mergeCell ref="K4786:L4787"/>
    <mergeCell ref="M4786:N4787"/>
    <mergeCell ref="O4786:P4787"/>
    <mergeCell ref="Q4786:R4787"/>
    <mergeCell ref="S4786:T4787"/>
    <mergeCell ref="U4786:V4787"/>
    <mergeCell ref="W4786:W4787"/>
    <mergeCell ref="X4786:AB4786"/>
    <mergeCell ref="AD4786:AI4786"/>
    <mergeCell ref="AJ4786:AL4786"/>
    <mergeCell ref="AN4786:AO4786"/>
    <mergeCell ref="AP4786:AQ4786"/>
    <mergeCell ref="AR4786:AS4787"/>
    <mergeCell ref="AT4786:AU4787"/>
    <mergeCell ref="AV4786:AW4787"/>
    <mergeCell ref="AX4786:AY4787"/>
    <mergeCell ref="AZ4786:AZ4787"/>
    <mergeCell ref="F4787:H4787"/>
    <mergeCell ref="X4787:AB4787"/>
    <mergeCell ref="AE4787:AI4787"/>
    <mergeCell ref="AJ4787:AL4787"/>
    <mergeCell ref="AN4787:AO4787"/>
    <mergeCell ref="AP4787:AQ4787"/>
    <mergeCell ref="A4788:A4789"/>
    <mergeCell ref="E4788:E4789"/>
    <mergeCell ref="F4788:H4788"/>
    <mergeCell ref="J4788:J4789"/>
    <mergeCell ref="K4788:L4789"/>
    <mergeCell ref="M4788:N4789"/>
    <mergeCell ref="O4788:P4789"/>
    <mergeCell ref="Q4788:R4789"/>
    <mergeCell ref="S4788:T4789"/>
    <mergeCell ref="U4788:V4789"/>
    <mergeCell ref="W4788:W4789"/>
    <mergeCell ref="X4788:AB4788"/>
    <mergeCell ref="AD4788:AI4788"/>
    <mergeCell ref="AJ4788:AL4788"/>
    <mergeCell ref="AN4788:AO4788"/>
    <mergeCell ref="AP4788:AQ4788"/>
    <mergeCell ref="AR4788:AS4789"/>
    <mergeCell ref="AT4788:AU4789"/>
    <mergeCell ref="AV4788:AW4789"/>
    <mergeCell ref="AX4788:AY4789"/>
    <mergeCell ref="AZ4788:AZ4789"/>
    <mergeCell ref="F4789:H4789"/>
    <mergeCell ref="X4789:AB4789"/>
    <mergeCell ref="AE4789:AI4789"/>
    <mergeCell ref="AJ4789:AL4789"/>
    <mergeCell ref="AN4789:AO4789"/>
    <mergeCell ref="AP4789:AQ4789"/>
    <mergeCell ref="A4782:A4783"/>
    <mergeCell ref="E4782:E4783"/>
    <mergeCell ref="F4782:H4782"/>
    <mergeCell ref="J4782:J4783"/>
    <mergeCell ref="K4782:L4783"/>
    <mergeCell ref="M4782:N4783"/>
    <mergeCell ref="O4782:P4783"/>
    <mergeCell ref="Q4782:R4783"/>
    <mergeCell ref="S4782:T4783"/>
    <mergeCell ref="U4782:V4783"/>
    <mergeCell ref="W4782:W4783"/>
    <mergeCell ref="X4782:AB4782"/>
    <mergeCell ref="AD4782:AI4782"/>
    <mergeCell ref="AJ4782:AL4782"/>
    <mergeCell ref="AN4782:AO4782"/>
    <mergeCell ref="AP4782:AQ4782"/>
    <mergeCell ref="AR4782:AS4783"/>
    <mergeCell ref="AT4782:AU4783"/>
    <mergeCell ref="AV4782:AW4783"/>
    <mergeCell ref="AX4782:AY4783"/>
    <mergeCell ref="AZ4782:AZ4783"/>
    <mergeCell ref="F4783:H4783"/>
    <mergeCell ref="X4783:AB4783"/>
    <mergeCell ref="AE4783:AI4783"/>
    <mergeCell ref="AJ4783:AL4783"/>
    <mergeCell ref="AN4783:AO4783"/>
    <mergeCell ref="AP4783:AQ4783"/>
    <mergeCell ref="A4784:A4785"/>
    <mergeCell ref="E4784:E4785"/>
    <mergeCell ref="F4784:H4784"/>
    <mergeCell ref="J4784:J4785"/>
    <mergeCell ref="K4784:L4785"/>
    <mergeCell ref="M4784:N4785"/>
    <mergeCell ref="O4784:P4785"/>
    <mergeCell ref="Q4784:R4785"/>
    <mergeCell ref="S4784:T4785"/>
    <mergeCell ref="U4784:V4785"/>
    <mergeCell ref="W4784:W4785"/>
    <mergeCell ref="X4784:AB4784"/>
    <mergeCell ref="AD4784:AI4784"/>
    <mergeCell ref="AJ4784:AL4784"/>
    <mergeCell ref="AN4784:AO4784"/>
    <mergeCell ref="AP4784:AQ4784"/>
    <mergeCell ref="AR4784:AS4785"/>
    <mergeCell ref="AT4784:AU4785"/>
    <mergeCell ref="AV4784:AW4785"/>
    <mergeCell ref="AX4784:AY4785"/>
    <mergeCell ref="AZ4784:AZ4785"/>
    <mergeCell ref="F4785:H4785"/>
    <mergeCell ref="X4785:AB4785"/>
    <mergeCell ref="AE4785:AI4785"/>
    <mergeCell ref="AJ4785:AL4785"/>
    <mergeCell ref="AN4785:AO4785"/>
    <mergeCell ref="AP4785:AQ4785"/>
    <mergeCell ref="A4778:A4779"/>
    <mergeCell ref="E4778:E4779"/>
    <mergeCell ref="F4778:H4778"/>
    <mergeCell ref="J4778:J4779"/>
    <mergeCell ref="K4778:L4779"/>
    <mergeCell ref="M4778:N4779"/>
    <mergeCell ref="O4778:P4779"/>
    <mergeCell ref="Q4778:R4779"/>
    <mergeCell ref="S4778:T4779"/>
    <mergeCell ref="U4778:V4779"/>
    <mergeCell ref="W4778:W4779"/>
    <mergeCell ref="X4778:AB4778"/>
    <mergeCell ref="AD4778:AI4778"/>
    <mergeCell ref="AJ4778:AL4778"/>
    <mergeCell ref="AN4778:AO4778"/>
    <mergeCell ref="AP4778:AQ4778"/>
    <mergeCell ref="AR4778:AS4779"/>
    <mergeCell ref="AT4778:AU4779"/>
    <mergeCell ref="AV4778:AW4779"/>
    <mergeCell ref="AX4778:AY4779"/>
    <mergeCell ref="AZ4778:AZ4779"/>
    <mergeCell ref="F4779:H4779"/>
    <mergeCell ref="X4779:AB4779"/>
    <mergeCell ref="AE4779:AI4779"/>
    <mergeCell ref="AJ4779:AL4779"/>
    <mergeCell ref="AN4779:AO4779"/>
    <mergeCell ref="AP4779:AQ4779"/>
    <mergeCell ref="A4780:A4781"/>
    <mergeCell ref="E4780:E4781"/>
    <mergeCell ref="F4780:H4780"/>
    <mergeCell ref="J4780:J4781"/>
    <mergeCell ref="K4780:L4781"/>
    <mergeCell ref="M4780:N4781"/>
    <mergeCell ref="O4780:P4781"/>
    <mergeCell ref="Q4780:R4781"/>
    <mergeCell ref="S4780:T4781"/>
    <mergeCell ref="U4780:V4781"/>
    <mergeCell ref="W4780:W4781"/>
    <mergeCell ref="X4780:AB4780"/>
    <mergeCell ref="AD4780:AI4780"/>
    <mergeCell ref="AJ4780:AL4780"/>
    <mergeCell ref="AN4780:AO4780"/>
    <mergeCell ref="AP4780:AQ4780"/>
    <mergeCell ref="AR4780:AS4781"/>
    <mergeCell ref="AT4780:AU4781"/>
    <mergeCell ref="AV4780:AW4781"/>
    <mergeCell ref="AX4780:AY4781"/>
    <mergeCell ref="AZ4780:AZ4781"/>
    <mergeCell ref="F4781:H4781"/>
    <mergeCell ref="X4781:AB4781"/>
    <mergeCell ref="AE4781:AI4781"/>
    <mergeCell ref="AJ4781:AL4781"/>
    <mergeCell ref="AN4781:AO4781"/>
    <mergeCell ref="AP4781:AQ4781"/>
    <mergeCell ref="A4774:A4775"/>
    <mergeCell ref="E4774:E4775"/>
    <mergeCell ref="F4774:H4774"/>
    <mergeCell ref="J4774:J4775"/>
    <mergeCell ref="K4774:L4775"/>
    <mergeCell ref="M4774:N4775"/>
    <mergeCell ref="O4774:P4775"/>
    <mergeCell ref="Q4774:R4775"/>
    <mergeCell ref="S4774:T4775"/>
    <mergeCell ref="U4774:V4775"/>
    <mergeCell ref="W4774:W4775"/>
    <mergeCell ref="X4774:AB4774"/>
    <mergeCell ref="AD4774:AI4774"/>
    <mergeCell ref="AJ4774:AL4774"/>
    <mergeCell ref="AN4774:AO4774"/>
    <mergeCell ref="AP4774:AQ4774"/>
    <mergeCell ref="AR4774:AS4775"/>
    <mergeCell ref="AT4774:AU4775"/>
    <mergeCell ref="AV4774:AW4775"/>
    <mergeCell ref="AX4774:AY4775"/>
    <mergeCell ref="AZ4774:AZ4775"/>
    <mergeCell ref="F4775:H4775"/>
    <mergeCell ref="X4775:AB4775"/>
    <mergeCell ref="AE4775:AI4775"/>
    <mergeCell ref="AJ4775:AL4775"/>
    <mergeCell ref="AN4775:AO4775"/>
    <mergeCell ref="AP4775:AQ4775"/>
    <mergeCell ref="A4776:A4777"/>
    <mergeCell ref="E4776:E4777"/>
    <mergeCell ref="F4776:H4776"/>
    <mergeCell ref="J4776:J4777"/>
    <mergeCell ref="K4776:L4777"/>
    <mergeCell ref="M4776:N4777"/>
    <mergeCell ref="O4776:P4777"/>
    <mergeCell ref="Q4776:R4777"/>
    <mergeCell ref="S4776:T4777"/>
    <mergeCell ref="U4776:V4777"/>
    <mergeCell ref="W4776:W4777"/>
    <mergeCell ref="X4776:AB4776"/>
    <mergeCell ref="AD4776:AI4776"/>
    <mergeCell ref="AJ4776:AL4776"/>
    <mergeCell ref="AN4776:AO4776"/>
    <mergeCell ref="AP4776:AQ4776"/>
    <mergeCell ref="AR4776:AS4777"/>
    <mergeCell ref="AT4776:AU4777"/>
    <mergeCell ref="AV4776:AW4777"/>
    <mergeCell ref="AX4776:AY4777"/>
    <mergeCell ref="AZ4776:AZ4777"/>
    <mergeCell ref="F4777:H4777"/>
    <mergeCell ref="X4777:AB4777"/>
    <mergeCell ref="AE4777:AI4777"/>
    <mergeCell ref="AJ4777:AL4777"/>
    <mergeCell ref="AN4777:AO4777"/>
    <mergeCell ref="AP4777:AQ4777"/>
    <mergeCell ref="A4770:A4771"/>
    <mergeCell ref="E4770:E4771"/>
    <mergeCell ref="F4770:H4770"/>
    <mergeCell ref="J4770:J4771"/>
    <mergeCell ref="K4770:L4771"/>
    <mergeCell ref="M4770:N4771"/>
    <mergeCell ref="O4770:P4771"/>
    <mergeCell ref="Q4770:R4771"/>
    <mergeCell ref="S4770:T4771"/>
    <mergeCell ref="U4770:V4771"/>
    <mergeCell ref="W4770:W4771"/>
    <mergeCell ref="X4770:AB4770"/>
    <mergeCell ref="AD4770:AI4770"/>
    <mergeCell ref="AJ4770:AL4770"/>
    <mergeCell ref="AN4770:AO4770"/>
    <mergeCell ref="AP4770:AQ4770"/>
    <mergeCell ref="AR4770:AS4771"/>
    <mergeCell ref="AT4770:AU4771"/>
    <mergeCell ref="AV4770:AW4771"/>
    <mergeCell ref="AX4770:AY4771"/>
    <mergeCell ref="AZ4770:AZ4771"/>
    <mergeCell ref="F4771:H4771"/>
    <mergeCell ref="X4771:AB4771"/>
    <mergeCell ref="AE4771:AI4771"/>
    <mergeCell ref="AJ4771:AL4771"/>
    <mergeCell ref="AN4771:AO4771"/>
    <mergeCell ref="AP4771:AQ4771"/>
    <mergeCell ref="A4772:A4773"/>
    <mergeCell ref="E4772:E4773"/>
    <mergeCell ref="F4772:H4772"/>
    <mergeCell ref="J4772:J4773"/>
    <mergeCell ref="K4772:L4773"/>
    <mergeCell ref="M4772:N4773"/>
    <mergeCell ref="O4772:P4773"/>
    <mergeCell ref="Q4772:R4773"/>
    <mergeCell ref="S4772:T4773"/>
    <mergeCell ref="U4772:V4773"/>
    <mergeCell ref="W4772:W4773"/>
    <mergeCell ref="X4772:AB4772"/>
    <mergeCell ref="AD4772:AI4772"/>
    <mergeCell ref="AJ4772:AL4772"/>
    <mergeCell ref="AN4772:AO4772"/>
    <mergeCell ref="AP4772:AQ4772"/>
    <mergeCell ref="AR4772:AS4773"/>
    <mergeCell ref="AT4772:AU4773"/>
    <mergeCell ref="AV4772:AW4773"/>
    <mergeCell ref="AX4772:AY4773"/>
    <mergeCell ref="AZ4772:AZ4773"/>
    <mergeCell ref="F4773:H4773"/>
    <mergeCell ref="X4773:AB4773"/>
    <mergeCell ref="AE4773:AI4773"/>
    <mergeCell ref="AJ4773:AL4773"/>
    <mergeCell ref="AN4773:AO4773"/>
    <mergeCell ref="AP4773:AQ4773"/>
    <mergeCell ref="A4766:A4767"/>
    <mergeCell ref="E4766:E4767"/>
    <mergeCell ref="F4766:H4766"/>
    <mergeCell ref="J4766:J4767"/>
    <mergeCell ref="K4766:L4767"/>
    <mergeCell ref="M4766:N4767"/>
    <mergeCell ref="O4766:P4767"/>
    <mergeCell ref="Q4766:R4767"/>
    <mergeCell ref="S4766:T4767"/>
    <mergeCell ref="U4766:V4767"/>
    <mergeCell ref="W4766:W4767"/>
    <mergeCell ref="X4766:AB4766"/>
    <mergeCell ref="AD4766:AI4766"/>
    <mergeCell ref="AJ4766:AL4766"/>
    <mergeCell ref="AN4766:AO4766"/>
    <mergeCell ref="AP4766:AQ4766"/>
    <mergeCell ref="AR4766:AS4767"/>
    <mergeCell ref="AT4766:AU4767"/>
    <mergeCell ref="AV4766:AW4767"/>
    <mergeCell ref="AX4766:AY4767"/>
    <mergeCell ref="AZ4766:AZ4767"/>
    <mergeCell ref="F4767:H4767"/>
    <mergeCell ref="X4767:AB4767"/>
    <mergeCell ref="AE4767:AI4767"/>
    <mergeCell ref="AJ4767:AL4767"/>
    <mergeCell ref="AN4767:AO4767"/>
    <mergeCell ref="AP4767:AQ4767"/>
    <mergeCell ref="A4768:A4769"/>
    <mergeCell ref="E4768:E4769"/>
    <mergeCell ref="F4768:H4768"/>
    <mergeCell ref="J4768:J4769"/>
    <mergeCell ref="K4768:L4769"/>
    <mergeCell ref="M4768:N4769"/>
    <mergeCell ref="O4768:P4769"/>
    <mergeCell ref="Q4768:R4769"/>
    <mergeCell ref="S4768:T4769"/>
    <mergeCell ref="U4768:V4769"/>
    <mergeCell ref="W4768:W4769"/>
    <mergeCell ref="X4768:AB4768"/>
    <mergeCell ref="AD4768:AI4768"/>
    <mergeCell ref="AJ4768:AL4768"/>
    <mergeCell ref="AN4768:AO4768"/>
    <mergeCell ref="AP4768:AQ4768"/>
    <mergeCell ref="AR4768:AS4769"/>
    <mergeCell ref="AT4768:AU4769"/>
    <mergeCell ref="AV4768:AW4769"/>
    <mergeCell ref="AX4768:AY4769"/>
    <mergeCell ref="AZ4768:AZ4769"/>
    <mergeCell ref="F4769:H4769"/>
    <mergeCell ref="X4769:AB4769"/>
    <mergeCell ref="AE4769:AI4769"/>
    <mergeCell ref="AJ4769:AL4769"/>
    <mergeCell ref="AN4769:AO4769"/>
    <mergeCell ref="AP4769:AQ4769"/>
    <mergeCell ref="A4762:A4763"/>
    <mergeCell ref="E4762:E4763"/>
    <mergeCell ref="F4762:H4762"/>
    <mergeCell ref="J4762:J4763"/>
    <mergeCell ref="K4762:L4763"/>
    <mergeCell ref="M4762:N4763"/>
    <mergeCell ref="O4762:P4763"/>
    <mergeCell ref="Q4762:R4763"/>
    <mergeCell ref="S4762:T4763"/>
    <mergeCell ref="U4762:V4763"/>
    <mergeCell ref="W4762:W4763"/>
    <mergeCell ref="X4762:AB4762"/>
    <mergeCell ref="AD4762:AI4762"/>
    <mergeCell ref="AJ4762:AL4762"/>
    <mergeCell ref="AN4762:AO4762"/>
    <mergeCell ref="AP4762:AQ4762"/>
    <mergeCell ref="AR4762:AS4763"/>
    <mergeCell ref="AT4762:AU4763"/>
    <mergeCell ref="AV4762:AW4763"/>
    <mergeCell ref="AX4762:AY4763"/>
    <mergeCell ref="AZ4762:AZ4763"/>
    <mergeCell ref="F4763:H4763"/>
    <mergeCell ref="X4763:AB4763"/>
    <mergeCell ref="AE4763:AI4763"/>
    <mergeCell ref="AJ4763:AL4763"/>
    <mergeCell ref="AN4763:AO4763"/>
    <mergeCell ref="AP4763:AQ4763"/>
    <mergeCell ref="A4764:A4765"/>
    <mergeCell ref="E4764:E4765"/>
    <mergeCell ref="F4764:H4764"/>
    <mergeCell ref="J4764:J4765"/>
    <mergeCell ref="K4764:L4765"/>
    <mergeCell ref="M4764:N4765"/>
    <mergeCell ref="O4764:P4765"/>
    <mergeCell ref="Q4764:R4765"/>
    <mergeCell ref="S4764:T4765"/>
    <mergeCell ref="U4764:V4765"/>
    <mergeCell ref="W4764:W4765"/>
    <mergeCell ref="X4764:AB4764"/>
    <mergeCell ref="AD4764:AI4764"/>
    <mergeCell ref="AJ4764:AL4764"/>
    <mergeCell ref="AN4764:AO4764"/>
    <mergeCell ref="AP4764:AQ4764"/>
    <mergeCell ref="AR4764:AS4765"/>
    <mergeCell ref="AT4764:AU4765"/>
    <mergeCell ref="AV4764:AW4765"/>
    <mergeCell ref="AX4764:AY4765"/>
    <mergeCell ref="AZ4764:AZ4765"/>
    <mergeCell ref="F4765:H4765"/>
    <mergeCell ref="X4765:AB4765"/>
    <mergeCell ref="AE4765:AI4765"/>
    <mergeCell ref="AJ4765:AL4765"/>
    <mergeCell ref="AN4765:AO4765"/>
    <mergeCell ref="AP4765:AQ4765"/>
    <mergeCell ref="A4758:A4759"/>
    <mergeCell ref="E4758:E4759"/>
    <mergeCell ref="F4758:H4758"/>
    <mergeCell ref="J4758:J4759"/>
    <mergeCell ref="K4758:L4759"/>
    <mergeCell ref="M4758:N4759"/>
    <mergeCell ref="O4758:P4759"/>
    <mergeCell ref="Q4758:R4759"/>
    <mergeCell ref="S4758:T4759"/>
    <mergeCell ref="U4758:V4759"/>
    <mergeCell ref="W4758:W4759"/>
    <mergeCell ref="X4758:AB4758"/>
    <mergeCell ref="AD4758:AI4758"/>
    <mergeCell ref="AJ4758:AL4758"/>
    <mergeCell ref="AN4758:AO4758"/>
    <mergeCell ref="AP4758:AQ4758"/>
    <mergeCell ref="AR4758:AS4759"/>
    <mergeCell ref="AT4758:AU4759"/>
    <mergeCell ref="AV4758:AW4759"/>
    <mergeCell ref="AX4758:AY4759"/>
    <mergeCell ref="AZ4758:AZ4759"/>
    <mergeCell ref="F4759:H4759"/>
    <mergeCell ref="X4759:AB4759"/>
    <mergeCell ref="AE4759:AI4759"/>
    <mergeCell ref="AJ4759:AL4759"/>
    <mergeCell ref="AN4759:AO4759"/>
    <mergeCell ref="AP4759:AQ4759"/>
    <mergeCell ref="A4760:A4761"/>
    <mergeCell ref="E4760:E4761"/>
    <mergeCell ref="F4760:H4760"/>
    <mergeCell ref="J4760:J4761"/>
    <mergeCell ref="K4760:L4761"/>
    <mergeCell ref="M4760:N4761"/>
    <mergeCell ref="O4760:P4761"/>
    <mergeCell ref="Q4760:R4761"/>
    <mergeCell ref="S4760:T4761"/>
    <mergeCell ref="U4760:V4761"/>
    <mergeCell ref="W4760:W4761"/>
    <mergeCell ref="X4760:AB4760"/>
    <mergeCell ref="AD4760:AI4760"/>
    <mergeCell ref="AJ4760:AL4760"/>
    <mergeCell ref="AN4760:AO4760"/>
    <mergeCell ref="AP4760:AQ4760"/>
    <mergeCell ref="AR4760:AS4761"/>
    <mergeCell ref="AT4760:AU4761"/>
    <mergeCell ref="AV4760:AW4761"/>
    <mergeCell ref="AX4760:AY4761"/>
    <mergeCell ref="AZ4760:AZ4761"/>
    <mergeCell ref="F4761:H4761"/>
    <mergeCell ref="X4761:AB4761"/>
    <mergeCell ref="AE4761:AI4761"/>
    <mergeCell ref="AJ4761:AL4761"/>
    <mergeCell ref="AN4761:AO4761"/>
    <mergeCell ref="AP4761:AQ4761"/>
    <mergeCell ref="A4754:A4755"/>
    <mergeCell ref="E4754:E4755"/>
    <mergeCell ref="F4754:H4754"/>
    <mergeCell ref="J4754:J4755"/>
    <mergeCell ref="K4754:L4755"/>
    <mergeCell ref="M4754:N4755"/>
    <mergeCell ref="O4754:P4755"/>
    <mergeCell ref="Q4754:R4755"/>
    <mergeCell ref="S4754:T4755"/>
    <mergeCell ref="U4754:V4755"/>
    <mergeCell ref="W4754:W4755"/>
    <mergeCell ref="X4754:AB4754"/>
    <mergeCell ref="AD4754:AI4754"/>
    <mergeCell ref="AJ4754:AL4754"/>
    <mergeCell ref="AN4754:AO4754"/>
    <mergeCell ref="AP4754:AQ4754"/>
    <mergeCell ref="AR4754:AS4755"/>
    <mergeCell ref="AT4754:AU4755"/>
    <mergeCell ref="AV4754:AW4755"/>
    <mergeCell ref="AX4754:AY4755"/>
    <mergeCell ref="AZ4754:AZ4755"/>
    <mergeCell ref="F4755:H4755"/>
    <mergeCell ref="X4755:AB4755"/>
    <mergeCell ref="AE4755:AI4755"/>
    <mergeCell ref="AJ4755:AL4755"/>
    <mergeCell ref="AN4755:AO4755"/>
    <mergeCell ref="AP4755:AQ4755"/>
    <mergeCell ref="A4756:A4757"/>
    <mergeCell ref="E4756:E4757"/>
    <mergeCell ref="F4756:H4756"/>
    <mergeCell ref="J4756:J4757"/>
    <mergeCell ref="K4756:L4757"/>
    <mergeCell ref="M4756:N4757"/>
    <mergeCell ref="O4756:P4757"/>
    <mergeCell ref="Q4756:R4757"/>
    <mergeCell ref="S4756:T4757"/>
    <mergeCell ref="U4756:V4757"/>
    <mergeCell ref="W4756:W4757"/>
    <mergeCell ref="X4756:AB4756"/>
    <mergeCell ref="AD4756:AI4756"/>
    <mergeCell ref="AJ4756:AL4756"/>
    <mergeCell ref="AN4756:AO4756"/>
    <mergeCell ref="AP4756:AQ4756"/>
    <mergeCell ref="AR4756:AS4757"/>
    <mergeCell ref="AT4756:AU4757"/>
    <mergeCell ref="AV4756:AW4757"/>
    <mergeCell ref="AX4756:AY4757"/>
    <mergeCell ref="AZ4756:AZ4757"/>
    <mergeCell ref="F4757:H4757"/>
    <mergeCell ref="X4757:AB4757"/>
    <mergeCell ref="AE4757:AI4757"/>
    <mergeCell ref="AJ4757:AL4757"/>
    <mergeCell ref="AN4757:AO4757"/>
    <mergeCell ref="AP4757:AQ4757"/>
    <mergeCell ref="A4750:A4751"/>
    <mergeCell ref="E4750:E4751"/>
    <mergeCell ref="F4750:H4750"/>
    <mergeCell ref="J4750:J4751"/>
    <mergeCell ref="K4750:L4751"/>
    <mergeCell ref="M4750:N4751"/>
    <mergeCell ref="O4750:P4751"/>
    <mergeCell ref="Q4750:R4751"/>
    <mergeCell ref="S4750:T4751"/>
    <mergeCell ref="U4750:V4751"/>
    <mergeCell ref="W4750:W4751"/>
    <mergeCell ref="X4750:AB4750"/>
    <mergeCell ref="AD4750:AI4750"/>
    <mergeCell ref="AJ4750:AL4750"/>
    <mergeCell ref="AN4750:AO4750"/>
    <mergeCell ref="AP4750:AQ4750"/>
    <mergeCell ref="AR4750:AS4751"/>
    <mergeCell ref="AT4750:AU4751"/>
    <mergeCell ref="AV4750:AW4751"/>
    <mergeCell ref="AX4750:AY4751"/>
    <mergeCell ref="AZ4750:AZ4751"/>
    <mergeCell ref="F4751:H4751"/>
    <mergeCell ref="X4751:AB4751"/>
    <mergeCell ref="AE4751:AI4751"/>
    <mergeCell ref="AJ4751:AL4751"/>
    <mergeCell ref="AN4751:AO4751"/>
    <mergeCell ref="AP4751:AQ4751"/>
    <mergeCell ref="A4752:A4753"/>
    <mergeCell ref="E4752:E4753"/>
    <mergeCell ref="F4752:H4752"/>
    <mergeCell ref="J4752:J4753"/>
    <mergeCell ref="K4752:L4753"/>
    <mergeCell ref="M4752:N4753"/>
    <mergeCell ref="O4752:P4753"/>
    <mergeCell ref="Q4752:R4753"/>
    <mergeCell ref="S4752:T4753"/>
    <mergeCell ref="U4752:V4753"/>
    <mergeCell ref="W4752:W4753"/>
    <mergeCell ref="X4752:AB4752"/>
    <mergeCell ref="AD4752:AI4752"/>
    <mergeCell ref="AJ4752:AL4752"/>
    <mergeCell ref="AN4752:AO4752"/>
    <mergeCell ref="AP4752:AQ4752"/>
    <mergeCell ref="AR4752:AS4753"/>
    <mergeCell ref="AT4752:AU4753"/>
    <mergeCell ref="AV4752:AW4753"/>
    <mergeCell ref="AX4752:AY4753"/>
    <mergeCell ref="AZ4752:AZ4753"/>
    <mergeCell ref="F4753:H4753"/>
    <mergeCell ref="X4753:AB4753"/>
    <mergeCell ref="AE4753:AI4753"/>
    <mergeCell ref="AJ4753:AL4753"/>
    <mergeCell ref="AN4753:AO4753"/>
    <mergeCell ref="AP4753:AQ4753"/>
    <mergeCell ref="A4744:A4745"/>
    <mergeCell ref="E4744:E4745"/>
    <mergeCell ref="F4744:H4744"/>
    <mergeCell ref="J4744:J4745"/>
    <mergeCell ref="K4744:L4745"/>
    <mergeCell ref="M4744:N4745"/>
    <mergeCell ref="O4744:P4745"/>
    <mergeCell ref="Q4744:R4745"/>
    <mergeCell ref="S4744:T4745"/>
    <mergeCell ref="U4744:V4745"/>
    <mergeCell ref="W4744:W4745"/>
    <mergeCell ref="X4744:AB4744"/>
    <mergeCell ref="AD4744:AI4744"/>
    <mergeCell ref="AJ4744:AL4744"/>
    <mergeCell ref="AN4744:AO4744"/>
    <mergeCell ref="AP4744:AQ4744"/>
    <mergeCell ref="AR4744:AS4745"/>
    <mergeCell ref="AT4744:AU4745"/>
    <mergeCell ref="AV4744:AW4745"/>
    <mergeCell ref="AX4744:AY4745"/>
    <mergeCell ref="AZ4744:AZ4745"/>
    <mergeCell ref="F4745:H4745"/>
    <mergeCell ref="X4745:AB4745"/>
    <mergeCell ref="AE4745:AI4745"/>
    <mergeCell ref="AJ4745:AL4745"/>
    <mergeCell ref="AN4745:AO4745"/>
    <mergeCell ref="AP4745:AQ4745"/>
    <mergeCell ref="A4748:A4749"/>
    <mergeCell ref="E4748:E4749"/>
    <mergeCell ref="F4748:H4748"/>
    <mergeCell ref="J4748:J4749"/>
    <mergeCell ref="K4748:L4749"/>
    <mergeCell ref="M4748:N4749"/>
    <mergeCell ref="O4748:P4749"/>
    <mergeCell ref="Q4748:R4749"/>
    <mergeCell ref="S4748:T4749"/>
    <mergeCell ref="U4748:V4749"/>
    <mergeCell ref="W4748:W4749"/>
    <mergeCell ref="X4748:AB4748"/>
    <mergeCell ref="AD4748:AI4748"/>
    <mergeCell ref="AJ4748:AL4748"/>
    <mergeCell ref="AN4748:AO4748"/>
    <mergeCell ref="AP4748:AQ4748"/>
    <mergeCell ref="AR4748:AS4749"/>
    <mergeCell ref="AT4748:AU4749"/>
    <mergeCell ref="AV4748:AW4749"/>
    <mergeCell ref="AX4748:AY4749"/>
    <mergeCell ref="AZ4748:AZ4749"/>
    <mergeCell ref="F4749:H4749"/>
    <mergeCell ref="X4749:AB4749"/>
    <mergeCell ref="AE4749:AI4749"/>
    <mergeCell ref="AJ4749:AL4749"/>
    <mergeCell ref="AN4749:AO4749"/>
    <mergeCell ref="AP4749:AQ4749"/>
    <mergeCell ref="A4746:A4747"/>
    <mergeCell ref="E4746:E4747"/>
    <mergeCell ref="F4746:H4746"/>
    <mergeCell ref="J4746:J4747"/>
    <mergeCell ref="K4746:L4747"/>
    <mergeCell ref="M4746:N4747"/>
    <mergeCell ref="O4746:P4747"/>
    <mergeCell ref="Q4746:R4747"/>
    <mergeCell ref="S4746:T4747"/>
    <mergeCell ref="U4746:V4747"/>
    <mergeCell ref="A4740:A4741"/>
    <mergeCell ref="E4740:E4741"/>
    <mergeCell ref="F4740:H4740"/>
    <mergeCell ref="J4740:J4741"/>
    <mergeCell ref="K4740:L4741"/>
    <mergeCell ref="M4740:N4741"/>
    <mergeCell ref="O4740:P4741"/>
    <mergeCell ref="Q4740:R4741"/>
    <mergeCell ref="S4740:T4741"/>
    <mergeCell ref="U4740:V4741"/>
    <mergeCell ref="W4740:W4741"/>
    <mergeCell ref="X4740:AB4740"/>
    <mergeCell ref="AD4740:AI4740"/>
    <mergeCell ref="AJ4740:AL4740"/>
    <mergeCell ref="AN4740:AO4740"/>
    <mergeCell ref="AP4740:AQ4740"/>
    <mergeCell ref="AR4740:AS4741"/>
    <mergeCell ref="AT4740:AU4741"/>
    <mergeCell ref="AV4740:AW4741"/>
    <mergeCell ref="AX4740:AY4741"/>
    <mergeCell ref="AZ4740:AZ4741"/>
    <mergeCell ref="F4741:H4741"/>
    <mergeCell ref="X4741:AB4741"/>
    <mergeCell ref="AE4741:AI4741"/>
    <mergeCell ref="AJ4741:AL4741"/>
    <mergeCell ref="AN4741:AO4741"/>
    <mergeCell ref="AP4741:AQ4741"/>
    <mergeCell ref="A4742:A4743"/>
    <mergeCell ref="E4742:E4743"/>
    <mergeCell ref="F4742:H4742"/>
    <mergeCell ref="J4742:J4743"/>
    <mergeCell ref="K4742:L4743"/>
    <mergeCell ref="M4742:N4743"/>
    <mergeCell ref="O4742:P4743"/>
    <mergeCell ref="Q4742:R4743"/>
    <mergeCell ref="S4742:T4743"/>
    <mergeCell ref="U4742:V4743"/>
    <mergeCell ref="W4742:W4743"/>
    <mergeCell ref="X4742:AB4742"/>
    <mergeCell ref="AD4742:AI4742"/>
    <mergeCell ref="AJ4742:AL4742"/>
    <mergeCell ref="AN4742:AO4742"/>
    <mergeCell ref="AP4742:AQ4742"/>
    <mergeCell ref="AR4742:AS4743"/>
    <mergeCell ref="AT4742:AU4743"/>
    <mergeCell ref="AV4742:AW4743"/>
    <mergeCell ref="AX4742:AY4743"/>
    <mergeCell ref="AZ4742:AZ4743"/>
    <mergeCell ref="F4743:H4743"/>
    <mergeCell ref="X4743:AB4743"/>
    <mergeCell ref="AE4743:AI4743"/>
    <mergeCell ref="AJ4743:AL4743"/>
    <mergeCell ref="AN4743:AO4743"/>
    <mergeCell ref="AP4743:AQ4743"/>
    <mergeCell ref="A4736:A4737"/>
    <mergeCell ref="E4736:E4737"/>
    <mergeCell ref="F4736:H4736"/>
    <mergeCell ref="J4736:J4737"/>
    <mergeCell ref="K4736:L4737"/>
    <mergeCell ref="M4736:N4737"/>
    <mergeCell ref="O4736:P4737"/>
    <mergeCell ref="Q4736:R4737"/>
    <mergeCell ref="S4736:T4737"/>
    <mergeCell ref="U4736:V4737"/>
    <mergeCell ref="W4736:W4737"/>
    <mergeCell ref="X4736:AB4736"/>
    <mergeCell ref="AD4736:AI4736"/>
    <mergeCell ref="AJ4736:AL4736"/>
    <mergeCell ref="AN4736:AO4736"/>
    <mergeCell ref="AP4736:AQ4736"/>
    <mergeCell ref="AR4736:AS4737"/>
    <mergeCell ref="AT4736:AU4737"/>
    <mergeCell ref="AV4736:AW4737"/>
    <mergeCell ref="AX4736:AY4737"/>
    <mergeCell ref="AZ4736:AZ4737"/>
    <mergeCell ref="F4737:H4737"/>
    <mergeCell ref="X4737:AB4737"/>
    <mergeCell ref="AE4737:AI4737"/>
    <mergeCell ref="AJ4737:AL4737"/>
    <mergeCell ref="AN4737:AO4737"/>
    <mergeCell ref="AP4737:AQ4737"/>
    <mergeCell ref="A4738:A4739"/>
    <mergeCell ref="E4738:E4739"/>
    <mergeCell ref="F4738:H4738"/>
    <mergeCell ref="J4738:J4739"/>
    <mergeCell ref="K4738:L4739"/>
    <mergeCell ref="M4738:N4739"/>
    <mergeCell ref="O4738:P4739"/>
    <mergeCell ref="Q4738:R4739"/>
    <mergeCell ref="S4738:T4739"/>
    <mergeCell ref="U4738:V4739"/>
    <mergeCell ref="W4738:W4739"/>
    <mergeCell ref="X4738:AB4738"/>
    <mergeCell ref="AD4738:AI4738"/>
    <mergeCell ref="AJ4738:AL4738"/>
    <mergeCell ref="AN4738:AO4738"/>
    <mergeCell ref="AP4738:AQ4738"/>
    <mergeCell ref="AR4738:AS4739"/>
    <mergeCell ref="AT4738:AU4739"/>
    <mergeCell ref="AV4738:AW4739"/>
    <mergeCell ref="AX4738:AY4739"/>
    <mergeCell ref="AZ4738:AZ4739"/>
    <mergeCell ref="F4739:H4739"/>
    <mergeCell ref="X4739:AB4739"/>
    <mergeCell ref="AE4739:AI4739"/>
    <mergeCell ref="AJ4739:AL4739"/>
    <mergeCell ref="AN4739:AO4739"/>
    <mergeCell ref="AP4739:AQ4739"/>
    <mergeCell ref="A4732:A4733"/>
    <mergeCell ref="E4732:E4733"/>
    <mergeCell ref="F4732:H4732"/>
    <mergeCell ref="J4732:J4733"/>
    <mergeCell ref="K4732:L4733"/>
    <mergeCell ref="M4732:N4733"/>
    <mergeCell ref="O4732:P4733"/>
    <mergeCell ref="Q4732:R4733"/>
    <mergeCell ref="S4732:T4733"/>
    <mergeCell ref="U4732:V4733"/>
    <mergeCell ref="W4732:W4733"/>
    <mergeCell ref="X4732:AB4732"/>
    <mergeCell ref="AD4732:AI4732"/>
    <mergeCell ref="AJ4732:AL4732"/>
    <mergeCell ref="AN4732:AO4732"/>
    <mergeCell ref="AP4732:AQ4732"/>
    <mergeCell ref="AR4732:AS4733"/>
    <mergeCell ref="AT4732:AU4733"/>
    <mergeCell ref="AV4732:AW4733"/>
    <mergeCell ref="AX4732:AY4733"/>
    <mergeCell ref="AZ4732:AZ4733"/>
    <mergeCell ref="F4733:H4733"/>
    <mergeCell ref="X4733:AB4733"/>
    <mergeCell ref="AE4733:AI4733"/>
    <mergeCell ref="AJ4733:AL4733"/>
    <mergeCell ref="AN4733:AO4733"/>
    <mergeCell ref="AP4733:AQ4733"/>
    <mergeCell ref="A4734:A4735"/>
    <mergeCell ref="E4734:E4735"/>
    <mergeCell ref="F4734:H4734"/>
    <mergeCell ref="J4734:J4735"/>
    <mergeCell ref="K4734:L4735"/>
    <mergeCell ref="M4734:N4735"/>
    <mergeCell ref="O4734:P4735"/>
    <mergeCell ref="Q4734:R4735"/>
    <mergeCell ref="S4734:T4735"/>
    <mergeCell ref="U4734:V4735"/>
    <mergeCell ref="W4734:W4735"/>
    <mergeCell ref="X4734:AB4734"/>
    <mergeCell ref="AD4734:AI4734"/>
    <mergeCell ref="AJ4734:AL4734"/>
    <mergeCell ref="AN4734:AO4734"/>
    <mergeCell ref="AP4734:AQ4734"/>
    <mergeCell ref="AR4734:AS4735"/>
    <mergeCell ref="AT4734:AU4735"/>
    <mergeCell ref="AV4734:AW4735"/>
    <mergeCell ref="AX4734:AY4735"/>
    <mergeCell ref="AZ4734:AZ4735"/>
    <mergeCell ref="F4735:H4735"/>
    <mergeCell ref="X4735:AB4735"/>
    <mergeCell ref="AE4735:AI4735"/>
    <mergeCell ref="AJ4735:AL4735"/>
    <mergeCell ref="AN4735:AO4735"/>
    <mergeCell ref="AP4735:AQ4735"/>
    <mergeCell ref="AZ4728:AZ4729"/>
    <mergeCell ref="F4729:H4729"/>
    <mergeCell ref="X4729:AB4729"/>
    <mergeCell ref="AE4729:AI4729"/>
    <mergeCell ref="AJ4729:AL4729"/>
    <mergeCell ref="AN4729:AO4729"/>
    <mergeCell ref="AP4729:AQ4729"/>
    <mergeCell ref="A4730:A4731"/>
    <mergeCell ref="E4730:E4731"/>
    <mergeCell ref="F4730:H4730"/>
    <mergeCell ref="J4730:J4731"/>
    <mergeCell ref="K4730:L4731"/>
    <mergeCell ref="M4730:N4731"/>
    <mergeCell ref="O4730:P4731"/>
    <mergeCell ref="Q4730:R4731"/>
    <mergeCell ref="S4730:T4731"/>
    <mergeCell ref="U4730:V4731"/>
    <mergeCell ref="W4730:W4731"/>
    <mergeCell ref="X4730:AB4730"/>
    <mergeCell ref="AD4730:AI4730"/>
    <mergeCell ref="AJ4730:AL4730"/>
    <mergeCell ref="AN4730:AO4730"/>
    <mergeCell ref="AP4730:AQ4730"/>
    <mergeCell ref="AR4730:AS4731"/>
    <mergeCell ref="AT4730:AU4731"/>
    <mergeCell ref="AV4730:AW4731"/>
    <mergeCell ref="AX4730:AY4731"/>
    <mergeCell ref="AZ4730:AZ4731"/>
    <mergeCell ref="F4731:H4731"/>
    <mergeCell ref="X4731:AB4731"/>
    <mergeCell ref="AE4731:AI4731"/>
    <mergeCell ref="AJ4731:AL4731"/>
    <mergeCell ref="AN4731:AO4731"/>
    <mergeCell ref="AP4731:AQ4731"/>
    <mergeCell ref="J4724:J4725"/>
    <mergeCell ref="K4724:L4725"/>
    <mergeCell ref="M4724:N4725"/>
    <mergeCell ref="O4724:P4725"/>
    <mergeCell ref="Q4724:R4725"/>
    <mergeCell ref="S4724:T4725"/>
    <mergeCell ref="U4724:V4725"/>
    <mergeCell ref="W4724:W4725"/>
    <mergeCell ref="X4724:AB4724"/>
    <mergeCell ref="AD4724:AI4724"/>
    <mergeCell ref="AJ4724:AL4724"/>
    <mergeCell ref="AN4724:AO4724"/>
    <mergeCell ref="AP4724:AQ4724"/>
    <mergeCell ref="AR4724:AS4725"/>
    <mergeCell ref="AT4724:AU4725"/>
    <mergeCell ref="AV4724:AW4725"/>
    <mergeCell ref="AX4724:AY4725"/>
    <mergeCell ref="A4728:A4729"/>
    <mergeCell ref="E4728:E4729"/>
    <mergeCell ref="F4728:H4728"/>
    <mergeCell ref="J4728:J4729"/>
    <mergeCell ref="K4728:L4729"/>
    <mergeCell ref="M4728:N4729"/>
    <mergeCell ref="O4728:P4729"/>
    <mergeCell ref="Q4728:R4729"/>
    <mergeCell ref="S4728:T4729"/>
    <mergeCell ref="U4728:V4729"/>
    <mergeCell ref="W4728:W4729"/>
    <mergeCell ref="X4728:AB4728"/>
    <mergeCell ref="AD4728:AI4728"/>
    <mergeCell ref="AJ4728:AL4728"/>
    <mergeCell ref="AN4728:AO4728"/>
    <mergeCell ref="AP4728:AQ4728"/>
    <mergeCell ref="AR4728:AS4729"/>
    <mergeCell ref="AT4728:AU4729"/>
    <mergeCell ref="AV4728:AW4729"/>
    <mergeCell ref="AX4728:AY4729"/>
    <mergeCell ref="A4708:A4709"/>
    <mergeCell ref="E4708:E4709"/>
    <mergeCell ref="F4708:H4708"/>
    <mergeCell ref="J4708:J4709"/>
    <mergeCell ref="K4708:L4709"/>
    <mergeCell ref="M4708:N4709"/>
    <mergeCell ref="O4708:P4709"/>
    <mergeCell ref="Q4708:R4709"/>
    <mergeCell ref="S4708:T4709"/>
    <mergeCell ref="U4708:V4709"/>
    <mergeCell ref="A4710:A4711"/>
    <mergeCell ref="E4710:E4711"/>
    <mergeCell ref="F4710:H4710"/>
    <mergeCell ref="J4710:J4711"/>
    <mergeCell ref="K4710:L4711"/>
    <mergeCell ref="M4710:N4711"/>
    <mergeCell ref="O4710:P4711"/>
    <mergeCell ref="Q4710:R4711"/>
    <mergeCell ref="S4710:T4711"/>
    <mergeCell ref="U4710:V4711"/>
    <mergeCell ref="W4710:W4711"/>
    <mergeCell ref="X4710:AB4710"/>
    <mergeCell ref="AD4710:AI4710"/>
    <mergeCell ref="AJ4710:AL4710"/>
    <mergeCell ref="AN4710:AO4710"/>
    <mergeCell ref="AP4710:AQ4710"/>
    <mergeCell ref="AR4710:AS4711"/>
    <mergeCell ref="AT4710:AU4711"/>
    <mergeCell ref="AV4710:AW4711"/>
    <mergeCell ref="AX4710:AY4711"/>
    <mergeCell ref="AZ4710:AZ4711"/>
    <mergeCell ref="F4711:H4711"/>
    <mergeCell ref="X4711:AB4711"/>
    <mergeCell ref="AE4711:AI4711"/>
    <mergeCell ref="AJ4711:AL4711"/>
    <mergeCell ref="AN4711:AO4711"/>
    <mergeCell ref="AP4711:AQ4711"/>
    <mergeCell ref="W4708:W4709"/>
    <mergeCell ref="X4708:AB4708"/>
    <mergeCell ref="AD4708:AI4708"/>
    <mergeCell ref="AJ4708:AL4708"/>
    <mergeCell ref="AN4708:AO4708"/>
    <mergeCell ref="AP4708:AQ4708"/>
    <mergeCell ref="AR4708:AS4709"/>
    <mergeCell ref="AT4708:AU4709"/>
    <mergeCell ref="AV4708:AW4709"/>
    <mergeCell ref="AX4708:AY4709"/>
    <mergeCell ref="AZ4708:AZ4709"/>
    <mergeCell ref="F4709:H4709"/>
    <mergeCell ref="X4709:AB4709"/>
    <mergeCell ref="AE4709:AI4709"/>
    <mergeCell ref="AJ4709:AL4709"/>
    <mergeCell ref="AN4709:AO4709"/>
    <mergeCell ref="AP4709:AQ4709"/>
    <mergeCell ref="A4704:A4705"/>
    <mergeCell ref="E4704:E4705"/>
    <mergeCell ref="F4704:H4704"/>
    <mergeCell ref="J4704:J4705"/>
    <mergeCell ref="K4704:L4705"/>
    <mergeCell ref="M4704:N4705"/>
    <mergeCell ref="O4704:P4705"/>
    <mergeCell ref="Q4704:R4705"/>
    <mergeCell ref="S4704:T4705"/>
    <mergeCell ref="U4704:V4705"/>
    <mergeCell ref="W4704:W4705"/>
    <mergeCell ref="X4704:AB4704"/>
    <mergeCell ref="AD4704:AI4704"/>
    <mergeCell ref="AJ4704:AL4704"/>
    <mergeCell ref="AN4704:AO4704"/>
    <mergeCell ref="AP4704:AQ4704"/>
    <mergeCell ref="AR4704:AS4705"/>
    <mergeCell ref="AT4704:AU4705"/>
    <mergeCell ref="AV4704:AW4705"/>
    <mergeCell ref="AX4704:AY4705"/>
    <mergeCell ref="AZ4704:AZ4705"/>
    <mergeCell ref="F4705:H4705"/>
    <mergeCell ref="X4705:AB4705"/>
    <mergeCell ref="AE4705:AI4705"/>
    <mergeCell ref="AJ4705:AL4705"/>
    <mergeCell ref="AN4705:AO4705"/>
    <mergeCell ref="AP4705:AQ4705"/>
    <mergeCell ref="A4698:A4699"/>
    <mergeCell ref="E4698:E4699"/>
    <mergeCell ref="F4698:H4698"/>
    <mergeCell ref="J4698:J4699"/>
    <mergeCell ref="K4698:L4699"/>
    <mergeCell ref="M4698:N4699"/>
    <mergeCell ref="O4698:P4699"/>
    <mergeCell ref="Q4698:R4699"/>
    <mergeCell ref="S4698:T4699"/>
    <mergeCell ref="U4698:V4699"/>
    <mergeCell ref="W4698:W4699"/>
    <mergeCell ref="X4698:AB4698"/>
    <mergeCell ref="AD4698:AI4698"/>
    <mergeCell ref="AJ4698:AL4698"/>
    <mergeCell ref="AN4698:AO4698"/>
    <mergeCell ref="AP4698:AQ4698"/>
    <mergeCell ref="AR4698:AS4699"/>
    <mergeCell ref="AT4698:AU4699"/>
    <mergeCell ref="AV4698:AW4699"/>
    <mergeCell ref="AX4698:AY4699"/>
    <mergeCell ref="AZ4698:AZ4699"/>
    <mergeCell ref="F4699:H4699"/>
    <mergeCell ref="X4699:AB4699"/>
    <mergeCell ref="AE4699:AI4699"/>
    <mergeCell ref="AJ4699:AL4699"/>
    <mergeCell ref="AN4699:AO4699"/>
    <mergeCell ref="AP4699:AQ4699"/>
    <mergeCell ref="A4700:A4701"/>
    <mergeCell ref="E4700:E4701"/>
    <mergeCell ref="F4700:H4700"/>
    <mergeCell ref="J4700:J4701"/>
    <mergeCell ref="K4700:L4701"/>
    <mergeCell ref="M4700:N4701"/>
    <mergeCell ref="O4700:P4701"/>
    <mergeCell ref="Q4700:R4701"/>
    <mergeCell ref="S4700:T4701"/>
    <mergeCell ref="U4700:V4701"/>
    <mergeCell ref="A4694:A4695"/>
    <mergeCell ref="E4694:E4695"/>
    <mergeCell ref="F4694:H4694"/>
    <mergeCell ref="J4694:J4695"/>
    <mergeCell ref="K4694:L4695"/>
    <mergeCell ref="M4694:N4695"/>
    <mergeCell ref="O4694:P4695"/>
    <mergeCell ref="Q4694:R4695"/>
    <mergeCell ref="S4694:T4695"/>
    <mergeCell ref="U4694:V4695"/>
    <mergeCell ref="W4694:W4695"/>
    <mergeCell ref="X4694:AB4694"/>
    <mergeCell ref="AD4694:AI4694"/>
    <mergeCell ref="AJ4694:AL4694"/>
    <mergeCell ref="AN4694:AO4694"/>
    <mergeCell ref="AP4694:AQ4694"/>
    <mergeCell ref="AR4694:AS4695"/>
    <mergeCell ref="AT4694:AU4695"/>
    <mergeCell ref="AV4694:AW4695"/>
    <mergeCell ref="AX4694:AY4695"/>
    <mergeCell ref="AZ4694:AZ4695"/>
    <mergeCell ref="F4695:H4695"/>
    <mergeCell ref="X4695:AB4695"/>
    <mergeCell ref="AE4695:AI4695"/>
    <mergeCell ref="AJ4695:AL4695"/>
    <mergeCell ref="AN4695:AO4695"/>
    <mergeCell ref="AP4695:AQ4695"/>
    <mergeCell ref="A4696:A4697"/>
    <mergeCell ref="E4696:E4697"/>
    <mergeCell ref="F4696:H4696"/>
    <mergeCell ref="J4696:J4697"/>
    <mergeCell ref="K4696:L4697"/>
    <mergeCell ref="M4696:N4697"/>
    <mergeCell ref="O4696:P4697"/>
    <mergeCell ref="Q4696:R4697"/>
    <mergeCell ref="S4696:T4697"/>
    <mergeCell ref="U4696:V4697"/>
    <mergeCell ref="W4696:W4697"/>
    <mergeCell ref="X4696:AB4696"/>
    <mergeCell ref="AD4696:AI4696"/>
    <mergeCell ref="AJ4696:AL4696"/>
    <mergeCell ref="AN4696:AO4696"/>
    <mergeCell ref="AP4696:AQ4696"/>
    <mergeCell ref="AR4696:AS4697"/>
    <mergeCell ref="AT4696:AU4697"/>
    <mergeCell ref="AV4696:AW4697"/>
    <mergeCell ref="AX4696:AY4697"/>
    <mergeCell ref="AZ4696:AZ4697"/>
    <mergeCell ref="F4697:H4697"/>
    <mergeCell ref="X4697:AB4697"/>
    <mergeCell ref="AE4697:AI4697"/>
    <mergeCell ref="AJ4697:AL4697"/>
    <mergeCell ref="AN4697:AO4697"/>
    <mergeCell ref="AP4697:AQ4697"/>
    <mergeCell ref="A4690:A4691"/>
    <mergeCell ref="E4690:E4691"/>
    <mergeCell ref="F4690:H4690"/>
    <mergeCell ref="J4690:J4691"/>
    <mergeCell ref="K4690:L4691"/>
    <mergeCell ref="M4690:N4691"/>
    <mergeCell ref="O4690:P4691"/>
    <mergeCell ref="Q4690:R4691"/>
    <mergeCell ref="S4690:T4691"/>
    <mergeCell ref="U4690:V4691"/>
    <mergeCell ref="W4690:W4691"/>
    <mergeCell ref="X4690:AB4690"/>
    <mergeCell ref="AD4690:AI4690"/>
    <mergeCell ref="AJ4690:AL4690"/>
    <mergeCell ref="AN4690:AO4690"/>
    <mergeCell ref="AP4690:AQ4690"/>
    <mergeCell ref="AR4690:AS4691"/>
    <mergeCell ref="AT4690:AU4691"/>
    <mergeCell ref="AV4690:AW4691"/>
    <mergeCell ref="AX4690:AY4691"/>
    <mergeCell ref="AZ4690:AZ4691"/>
    <mergeCell ref="F4691:H4691"/>
    <mergeCell ref="X4691:AB4691"/>
    <mergeCell ref="AE4691:AI4691"/>
    <mergeCell ref="AJ4691:AL4691"/>
    <mergeCell ref="AN4691:AO4691"/>
    <mergeCell ref="AP4691:AQ4691"/>
    <mergeCell ref="A4692:A4693"/>
    <mergeCell ref="E4692:E4693"/>
    <mergeCell ref="F4692:H4692"/>
    <mergeCell ref="J4692:J4693"/>
    <mergeCell ref="K4692:L4693"/>
    <mergeCell ref="M4692:N4693"/>
    <mergeCell ref="O4692:P4693"/>
    <mergeCell ref="Q4692:R4693"/>
    <mergeCell ref="S4692:T4693"/>
    <mergeCell ref="U4692:V4693"/>
    <mergeCell ref="W4692:W4693"/>
    <mergeCell ref="X4692:AB4692"/>
    <mergeCell ref="AD4692:AI4692"/>
    <mergeCell ref="AJ4692:AL4692"/>
    <mergeCell ref="AN4692:AO4692"/>
    <mergeCell ref="AP4692:AQ4692"/>
    <mergeCell ref="AR4692:AS4693"/>
    <mergeCell ref="AT4692:AU4693"/>
    <mergeCell ref="AV4692:AW4693"/>
    <mergeCell ref="AX4692:AY4693"/>
    <mergeCell ref="AZ4692:AZ4693"/>
    <mergeCell ref="F4693:H4693"/>
    <mergeCell ref="X4693:AB4693"/>
    <mergeCell ref="AE4693:AI4693"/>
    <mergeCell ref="AJ4693:AL4693"/>
    <mergeCell ref="AN4693:AO4693"/>
    <mergeCell ref="AP4693:AQ4693"/>
    <mergeCell ref="A4686:A4687"/>
    <mergeCell ref="E4686:E4687"/>
    <mergeCell ref="F4686:H4686"/>
    <mergeCell ref="J4686:J4687"/>
    <mergeCell ref="K4686:L4687"/>
    <mergeCell ref="M4686:N4687"/>
    <mergeCell ref="O4686:P4687"/>
    <mergeCell ref="Q4686:R4687"/>
    <mergeCell ref="S4686:T4687"/>
    <mergeCell ref="U4686:V4687"/>
    <mergeCell ref="W4686:W4687"/>
    <mergeCell ref="X4686:AB4686"/>
    <mergeCell ref="AD4686:AI4686"/>
    <mergeCell ref="AJ4686:AL4686"/>
    <mergeCell ref="AN4686:AO4686"/>
    <mergeCell ref="AP4686:AQ4686"/>
    <mergeCell ref="AR4686:AS4687"/>
    <mergeCell ref="AT4686:AU4687"/>
    <mergeCell ref="AV4686:AW4687"/>
    <mergeCell ref="AX4686:AY4687"/>
    <mergeCell ref="AZ4686:AZ4687"/>
    <mergeCell ref="F4687:H4687"/>
    <mergeCell ref="X4687:AB4687"/>
    <mergeCell ref="AE4687:AI4687"/>
    <mergeCell ref="AJ4687:AL4687"/>
    <mergeCell ref="AN4687:AO4687"/>
    <mergeCell ref="AP4687:AQ4687"/>
    <mergeCell ref="A4688:A4689"/>
    <mergeCell ref="E4688:E4689"/>
    <mergeCell ref="F4688:H4688"/>
    <mergeCell ref="J4688:J4689"/>
    <mergeCell ref="K4688:L4689"/>
    <mergeCell ref="M4688:N4689"/>
    <mergeCell ref="O4688:P4689"/>
    <mergeCell ref="Q4688:R4689"/>
    <mergeCell ref="S4688:T4689"/>
    <mergeCell ref="U4688:V4689"/>
    <mergeCell ref="W4688:W4689"/>
    <mergeCell ref="X4688:AB4688"/>
    <mergeCell ref="AD4688:AI4688"/>
    <mergeCell ref="AJ4688:AL4688"/>
    <mergeCell ref="AN4688:AO4688"/>
    <mergeCell ref="AP4688:AQ4688"/>
    <mergeCell ref="AR4688:AS4689"/>
    <mergeCell ref="AT4688:AU4689"/>
    <mergeCell ref="AV4688:AW4689"/>
    <mergeCell ref="AX4688:AY4689"/>
    <mergeCell ref="AZ4688:AZ4689"/>
    <mergeCell ref="F4689:H4689"/>
    <mergeCell ref="X4689:AB4689"/>
    <mergeCell ref="AE4689:AI4689"/>
    <mergeCell ref="AJ4689:AL4689"/>
    <mergeCell ref="AN4689:AO4689"/>
    <mergeCell ref="AP4689:AQ4689"/>
    <mergeCell ref="A4682:A4683"/>
    <mergeCell ref="E4682:E4683"/>
    <mergeCell ref="F4682:H4682"/>
    <mergeCell ref="J4682:J4683"/>
    <mergeCell ref="K4682:L4683"/>
    <mergeCell ref="M4682:N4683"/>
    <mergeCell ref="O4682:P4683"/>
    <mergeCell ref="Q4682:R4683"/>
    <mergeCell ref="S4682:T4683"/>
    <mergeCell ref="U4682:V4683"/>
    <mergeCell ref="W4682:W4683"/>
    <mergeCell ref="X4682:AB4682"/>
    <mergeCell ref="AD4682:AI4682"/>
    <mergeCell ref="AJ4682:AL4682"/>
    <mergeCell ref="AN4682:AO4682"/>
    <mergeCell ref="AP4682:AQ4682"/>
    <mergeCell ref="AR4682:AS4683"/>
    <mergeCell ref="AT4682:AU4683"/>
    <mergeCell ref="AV4682:AW4683"/>
    <mergeCell ref="AX4682:AY4683"/>
    <mergeCell ref="AZ4682:AZ4683"/>
    <mergeCell ref="F4683:H4683"/>
    <mergeCell ref="X4683:AB4683"/>
    <mergeCell ref="AE4683:AI4683"/>
    <mergeCell ref="AJ4683:AL4683"/>
    <mergeCell ref="AN4683:AO4683"/>
    <mergeCell ref="AP4683:AQ4683"/>
    <mergeCell ref="A4684:A4685"/>
    <mergeCell ref="E4684:E4685"/>
    <mergeCell ref="F4684:H4684"/>
    <mergeCell ref="J4684:J4685"/>
    <mergeCell ref="K4684:L4685"/>
    <mergeCell ref="M4684:N4685"/>
    <mergeCell ref="O4684:P4685"/>
    <mergeCell ref="Q4684:R4685"/>
    <mergeCell ref="S4684:T4685"/>
    <mergeCell ref="U4684:V4685"/>
    <mergeCell ref="W4684:W4685"/>
    <mergeCell ref="X4684:AB4684"/>
    <mergeCell ref="AD4684:AI4684"/>
    <mergeCell ref="AJ4684:AL4684"/>
    <mergeCell ref="AN4684:AO4684"/>
    <mergeCell ref="AP4684:AQ4684"/>
    <mergeCell ref="AR4684:AS4685"/>
    <mergeCell ref="AT4684:AU4685"/>
    <mergeCell ref="AV4684:AW4685"/>
    <mergeCell ref="AX4684:AY4685"/>
    <mergeCell ref="AZ4684:AZ4685"/>
    <mergeCell ref="F4685:H4685"/>
    <mergeCell ref="X4685:AB4685"/>
    <mergeCell ref="AE4685:AI4685"/>
    <mergeCell ref="AJ4685:AL4685"/>
    <mergeCell ref="AN4685:AO4685"/>
    <mergeCell ref="AP4685:AQ4685"/>
    <mergeCell ref="A4678:A4679"/>
    <mergeCell ref="E4678:E4679"/>
    <mergeCell ref="F4678:H4678"/>
    <mergeCell ref="J4678:J4679"/>
    <mergeCell ref="K4678:L4679"/>
    <mergeCell ref="M4678:N4679"/>
    <mergeCell ref="O4678:P4679"/>
    <mergeCell ref="Q4678:R4679"/>
    <mergeCell ref="S4678:T4679"/>
    <mergeCell ref="U4678:V4679"/>
    <mergeCell ref="W4678:W4679"/>
    <mergeCell ref="X4678:AB4678"/>
    <mergeCell ref="AD4678:AI4678"/>
    <mergeCell ref="AJ4678:AL4678"/>
    <mergeCell ref="AN4678:AO4678"/>
    <mergeCell ref="AP4678:AQ4678"/>
    <mergeCell ref="AR4678:AS4679"/>
    <mergeCell ref="AT4678:AU4679"/>
    <mergeCell ref="AV4678:AW4679"/>
    <mergeCell ref="AX4678:AY4679"/>
    <mergeCell ref="AZ4678:AZ4679"/>
    <mergeCell ref="F4679:H4679"/>
    <mergeCell ref="X4679:AB4679"/>
    <mergeCell ref="AE4679:AI4679"/>
    <mergeCell ref="AJ4679:AL4679"/>
    <mergeCell ref="AN4679:AO4679"/>
    <mergeCell ref="AP4679:AQ4679"/>
    <mergeCell ref="A4680:A4681"/>
    <mergeCell ref="E4680:E4681"/>
    <mergeCell ref="F4680:H4680"/>
    <mergeCell ref="J4680:J4681"/>
    <mergeCell ref="K4680:L4681"/>
    <mergeCell ref="M4680:N4681"/>
    <mergeCell ref="O4680:P4681"/>
    <mergeCell ref="Q4680:R4681"/>
    <mergeCell ref="S4680:T4681"/>
    <mergeCell ref="U4680:V4681"/>
    <mergeCell ref="W4680:W4681"/>
    <mergeCell ref="X4680:AB4680"/>
    <mergeCell ref="AD4680:AI4680"/>
    <mergeCell ref="AJ4680:AL4680"/>
    <mergeCell ref="AN4680:AO4680"/>
    <mergeCell ref="AP4680:AQ4680"/>
    <mergeCell ref="AR4680:AS4681"/>
    <mergeCell ref="AT4680:AU4681"/>
    <mergeCell ref="AV4680:AW4681"/>
    <mergeCell ref="AX4680:AY4681"/>
    <mergeCell ref="AZ4680:AZ4681"/>
    <mergeCell ref="F4681:H4681"/>
    <mergeCell ref="X4681:AB4681"/>
    <mergeCell ref="AE4681:AI4681"/>
    <mergeCell ref="AJ4681:AL4681"/>
    <mergeCell ref="AN4681:AO4681"/>
    <mergeCell ref="AP4681:AQ4681"/>
    <mergeCell ref="A4674:A4675"/>
    <mergeCell ref="E4674:E4675"/>
    <mergeCell ref="F4674:H4674"/>
    <mergeCell ref="J4674:J4675"/>
    <mergeCell ref="K4674:L4675"/>
    <mergeCell ref="M4674:N4675"/>
    <mergeCell ref="O4674:P4675"/>
    <mergeCell ref="Q4674:R4675"/>
    <mergeCell ref="S4674:T4675"/>
    <mergeCell ref="U4674:V4675"/>
    <mergeCell ref="W4674:W4675"/>
    <mergeCell ref="X4674:AB4674"/>
    <mergeCell ref="AD4674:AI4674"/>
    <mergeCell ref="AJ4674:AL4674"/>
    <mergeCell ref="AN4674:AO4674"/>
    <mergeCell ref="AP4674:AQ4674"/>
    <mergeCell ref="AR4674:AS4675"/>
    <mergeCell ref="AT4674:AU4675"/>
    <mergeCell ref="AV4674:AW4675"/>
    <mergeCell ref="AX4674:AY4675"/>
    <mergeCell ref="AZ4674:AZ4675"/>
    <mergeCell ref="F4675:H4675"/>
    <mergeCell ref="X4675:AB4675"/>
    <mergeCell ref="AE4675:AI4675"/>
    <mergeCell ref="AJ4675:AL4675"/>
    <mergeCell ref="AN4675:AO4675"/>
    <mergeCell ref="AP4675:AQ4675"/>
    <mergeCell ref="A4676:A4677"/>
    <mergeCell ref="E4676:E4677"/>
    <mergeCell ref="F4676:H4676"/>
    <mergeCell ref="J4676:J4677"/>
    <mergeCell ref="K4676:L4677"/>
    <mergeCell ref="M4676:N4677"/>
    <mergeCell ref="O4676:P4677"/>
    <mergeCell ref="Q4676:R4677"/>
    <mergeCell ref="S4676:T4677"/>
    <mergeCell ref="U4676:V4677"/>
    <mergeCell ref="W4676:W4677"/>
    <mergeCell ref="X4676:AB4676"/>
    <mergeCell ref="AD4676:AI4676"/>
    <mergeCell ref="AJ4676:AL4676"/>
    <mergeCell ref="AN4676:AO4676"/>
    <mergeCell ref="AP4676:AQ4676"/>
    <mergeCell ref="AR4676:AS4677"/>
    <mergeCell ref="AT4676:AU4677"/>
    <mergeCell ref="AV4676:AW4677"/>
    <mergeCell ref="AX4676:AY4677"/>
    <mergeCell ref="AZ4676:AZ4677"/>
    <mergeCell ref="F4677:H4677"/>
    <mergeCell ref="X4677:AB4677"/>
    <mergeCell ref="AE4677:AI4677"/>
    <mergeCell ref="AJ4677:AL4677"/>
    <mergeCell ref="AN4677:AO4677"/>
    <mergeCell ref="AP4677:AQ4677"/>
    <mergeCell ref="A4670:A4671"/>
    <mergeCell ref="E4670:E4671"/>
    <mergeCell ref="F4670:H4670"/>
    <mergeCell ref="J4670:J4671"/>
    <mergeCell ref="K4670:L4671"/>
    <mergeCell ref="M4670:N4671"/>
    <mergeCell ref="O4670:P4671"/>
    <mergeCell ref="Q4670:R4671"/>
    <mergeCell ref="S4670:T4671"/>
    <mergeCell ref="U4670:V4671"/>
    <mergeCell ref="W4670:W4671"/>
    <mergeCell ref="X4670:AB4670"/>
    <mergeCell ref="AD4670:AI4670"/>
    <mergeCell ref="AJ4670:AL4670"/>
    <mergeCell ref="AN4670:AO4670"/>
    <mergeCell ref="AP4670:AQ4670"/>
    <mergeCell ref="AR4670:AS4671"/>
    <mergeCell ref="AT4670:AU4671"/>
    <mergeCell ref="AV4670:AW4671"/>
    <mergeCell ref="AX4670:AY4671"/>
    <mergeCell ref="AZ4670:AZ4671"/>
    <mergeCell ref="F4671:H4671"/>
    <mergeCell ref="X4671:AB4671"/>
    <mergeCell ref="AE4671:AI4671"/>
    <mergeCell ref="AJ4671:AL4671"/>
    <mergeCell ref="AN4671:AO4671"/>
    <mergeCell ref="AP4671:AQ4671"/>
    <mergeCell ref="A4672:A4673"/>
    <mergeCell ref="E4672:E4673"/>
    <mergeCell ref="F4672:H4672"/>
    <mergeCell ref="J4672:J4673"/>
    <mergeCell ref="K4672:L4673"/>
    <mergeCell ref="M4672:N4673"/>
    <mergeCell ref="O4672:P4673"/>
    <mergeCell ref="Q4672:R4673"/>
    <mergeCell ref="S4672:T4673"/>
    <mergeCell ref="U4672:V4673"/>
    <mergeCell ref="W4672:W4673"/>
    <mergeCell ref="X4672:AB4672"/>
    <mergeCell ref="AD4672:AI4672"/>
    <mergeCell ref="AJ4672:AL4672"/>
    <mergeCell ref="AN4672:AO4672"/>
    <mergeCell ref="AP4672:AQ4672"/>
    <mergeCell ref="AR4672:AS4673"/>
    <mergeCell ref="AT4672:AU4673"/>
    <mergeCell ref="AV4672:AW4673"/>
    <mergeCell ref="AX4672:AY4673"/>
    <mergeCell ref="AZ4672:AZ4673"/>
    <mergeCell ref="F4673:H4673"/>
    <mergeCell ref="X4673:AB4673"/>
    <mergeCell ref="AE4673:AI4673"/>
    <mergeCell ref="AJ4673:AL4673"/>
    <mergeCell ref="AN4673:AO4673"/>
    <mergeCell ref="AP4673:AQ4673"/>
    <mergeCell ref="A4666:A4667"/>
    <mergeCell ref="E4666:E4667"/>
    <mergeCell ref="F4666:H4666"/>
    <mergeCell ref="J4666:J4667"/>
    <mergeCell ref="K4666:L4667"/>
    <mergeCell ref="M4666:N4667"/>
    <mergeCell ref="O4666:P4667"/>
    <mergeCell ref="Q4666:R4667"/>
    <mergeCell ref="S4666:T4667"/>
    <mergeCell ref="U4666:V4667"/>
    <mergeCell ref="W4666:W4667"/>
    <mergeCell ref="X4666:AB4666"/>
    <mergeCell ref="AD4666:AI4666"/>
    <mergeCell ref="AJ4666:AL4666"/>
    <mergeCell ref="AN4666:AO4666"/>
    <mergeCell ref="AP4666:AQ4666"/>
    <mergeCell ref="AR4666:AS4667"/>
    <mergeCell ref="AT4666:AU4667"/>
    <mergeCell ref="AV4666:AW4667"/>
    <mergeCell ref="AX4666:AY4667"/>
    <mergeCell ref="AZ4666:AZ4667"/>
    <mergeCell ref="F4667:H4667"/>
    <mergeCell ref="X4667:AB4667"/>
    <mergeCell ref="AE4667:AI4667"/>
    <mergeCell ref="AJ4667:AL4667"/>
    <mergeCell ref="AN4667:AO4667"/>
    <mergeCell ref="AP4667:AQ4667"/>
    <mergeCell ref="A4668:A4669"/>
    <mergeCell ref="E4668:E4669"/>
    <mergeCell ref="F4668:H4668"/>
    <mergeCell ref="J4668:J4669"/>
    <mergeCell ref="K4668:L4669"/>
    <mergeCell ref="M4668:N4669"/>
    <mergeCell ref="O4668:P4669"/>
    <mergeCell ref="Q4668:R4669"/>
    <mergeCell ref="S4668:T4669"/>
    <mergeCell ref="U4668:V4669"/>
    <mergeCell ref="W4668:W4669"/>
    <mergeCell ref="X4668:AB4668"/>
    <mergeCell ref="AD4668:AI4668"/>
    <mergeCell ref="AJ4668:AL4668"/>
    <mergeCell ref="AN4668:AO4668"/>
    <mergeCell ref="AP4668:AQ4668"/>
    <mergeCell ref="AR4668:AS4669"/>
    <mergeCell ref="AT4668:AU4669"/>
    <mergeCell ref="AV4668:AW4669"/>
    <mergeCell ref="AX4668:AY4669"/>
    <mergeCell ref="AZ4668:AZ4669"/>
    <mergeCell ref="F4669:H4669"/>
    <mergeCell ref="X4669:AB4669"/>
    <mergeCell ref="AE4669:AI4669"/>
    <mergeCell ref="AJ4669:AL4669"/>
    <mergeCell ref="AN4669:AO4669"/>
    <mergeCell ref="AP4669:AQ4669"/>
    <mergeCell ref="A4662:A4663"/>
    <mergeCell ref="E4662:E4663"/>
    <mergeCell ref="F4662:H4662"/>
    <mergeCell ref="J4662:J4663"/>
    <mergeCell ref="K4662:L4663"/>
    <mergeCell ref="M4662:N4663"/>
    <mergeCell ref="O4662:P4663"/>
    <mergeCell ref="Q4662:R4663"/>
    <mergeCell ref="S4662:T4663"/>
    <mergeCell ref="U4662:V4663"/>
    <mergeCell ref="W4662:W4663"/>
    <mergeCell ref="X4662:AB4662"/>
    <mergeCell ref="AD4662:AI4662"/>
    <mergeCell ref="AJ4662:AL4662"/>
    <mergeCell ref="AN4662:AO4662"/>
    <mergeCell ref="AP4662:AQ4662"/>
    <mergeCell ref="AR4662:AS4663"/>
    <mergeCell ref="AT4662:AU4663"/>
    <mergeCell ref="AV4662:AW4663"/>
    <mergeCell ref="AX4662:AY4663"/>
    <mergeCell ref="AZ4662:AZ4663"/>
    <mergeCell ref="F4663:H4663"/>
    <mergeCell ref="X4663:AB4663"/>
    <mergeCell ref="AE4663:AI4663"/>
    <mergeCell ref="AJ4663:AL4663"/>
    <mergeCell ref="AN4663:AO4663"/>
    <mergeCell ref="AP4663:AQ4663"/>
    <mergeCell ref="A4664:A4665"/>
    <mergeCell ref="E4664:E4665"/>
    <mergeCell ref="F4664:H4664"/>
    <mergeCell ref="J4664:J4665"/>
    <mergeCell ref="K4664:L4665"/>
    <mergeCell ref="M4664:N4665"/>
    <mergeCell ref="O4664:P4665"/>
    <mergeCell ref="Q4664:R4665"/>
    <mergeCell ref="S4664:T4665"/>
    <mergeCell ref="U4664:V4665"/>
    <mergeCell ref="W4664:W4665"/>
    <mergeCell ref="X4664:AB4664"/>
    <mergeCell ref="AD4664:AI4664"/>
    <mergeCell ref="AJ4664:AL4664"/>
    <mergeCell ref="AN4664:AO4664"/>
    <mergeCell ref="AP4664:AQ4664"/>
    <mergeCell ref="AR4664:AS4665"/>
    <mergeCell ref="AT4664:AU4665"/>
    <mergeCell ref="AV4664:AW4665"/>
    <mergeCell ref="AX4664:AY4665"/>
    <mergeCell ref="AZ4664:AZ4665"/>
    <mergeCell ref="F4665:H4665"/>
    <mergeCell ref="X4665:AB4665"/>
    <mergeCell ref="AE4665:AI4665"/>
    <mergeCell ref="AJ4665:AL4665"/>
    <mergeCell ref="AN4665:AO4665"/>
    <mergeCell ref="AP4665:AQ4665"/>
    <mergeCell ref="A4658:A4659"/>
    <mergeCell ref="E4658:E4659"/>
    <mergeCell ref="F4658:H4658"/>
    <mergeCell ref="J4658:J4659"/>
    <mergeCell ref="K4658:L4659"/>
    <mergeCell ref="M4658:N4659"/>
    <mergeCell ref="O4658:P4659"/>
    <mergeCell ref="Q4658:R4659"/>
    <mergeCell ref="S4658:T4659"/>
    <mergeCell ref="U4658:V4659"/>
    <mergeCell ref="W4658:W4659"/>
    <mergeCell ref="X4658:AB4658"/>
    <mergeCell ref="AD4658:AI4658"/>
    <mergeCell ref="AJ4658:AL4658"/>
    <mergeCell ref="AN4658:AO4658"/>
    <mergeCell ref="AP4658:AQ4658"/>
    <mergeCell ref="AR4658:AS4659"/>
    <mergeCell ref="AT4658:AU4659"/>
    <mergeCell ref="AV4658:AW4659"/>
    <mergeCell ref="AX4658:AY4659"/>
    <mergeCell ref="AZ4658:AZ4659"/>
    <mergeCell ref="F4659:H4659"/>
    <mergeCell ref="X4659:AB4659"/>
    <mergeCell ref="AE4659:AI4659"/>
    <mergeCell ref="AJ4659:AL4659"/>
    <mergeCell ref="AN4659:AO4659"/>
    <mergeCell ref="AP4659:AQ4659"/>
    <mergeCell ref="A4660:A4661"/>
    <mergeCell ref="E4660:E4661"/>
    <mergeCell ref="F4660:H4660"/>
    <mergeCell ref="J4660:J4661"/>
    <mergeCell ref="K4660:L4661"/>
    <mergeCell ref="M4660:N4661"/>
    <mergeCell ref="O4660:P4661"/>
    <mergeCell ref="Q4660:R4661"/>
    <mergeCell ref="S4660:T4661"/>
    <mergeCell ref="U4660:V4661"/>
    <mergeCell ref="W4660:W4661"/>
    <mergeCell ref="X4660:AB4660"/>
    <mergeCell ref="AD4660:AI4660"/>
    <mergeCell ref="AJ4660:AL4660"/>
    <mergeCell ref="AN4660:AO4660"/>
    <mergeCell ref="AP4660:AQ4660"/>
    <mergeCell ref="AR4660:AS4661"/>
    <mergeCell ref="AT4660:AU4661"/>
    <mergeCell ref="AV4660:AW4661"/>
    <mergeCell ref="AX4660:AY4661"/>
    <mergeCell ref="AZ4660:AZ4661"/>
    <mergeCell ref="F4661:H4661"/>
    <mergeCell ref="X4661:AB4661"/>
    <mergeCell ref="AE4661:AI4661"/>
    <mergeCell ref="AJ4661:AL4661"/>
    <mergeCell ref="AN4661:AO4661"/>
    <mergeCell ref="AP4661:AQ4661"/>
    <mergeCell ref="A4654:A4655"/>
    <mergeCell ref="E4654:E4655"/>
    <mergeCell ref="F4654:H4654"/>
    <mergeCell ref="J4654:J4655"/>
    <mergeCell ref="K4654:L4655"/>
    <mergeCell ref="M4654:N4655"/>
    <mergeCell ref="O4654:P4655"/>
    <mergeCell ref="Q4654:R4655"/>
    <mergeCell ref="S4654:T4655"/>
    <mergeCell ref="U4654:V4655"/>
    <mergeCell ref="W4654:W4655"/>
    <mergeCell ref="X4654:AB4654"/>
    <mergeCell ref="AD4654:AI4654"/>
    <mergeCell ref="AJ4654:AL4654"/>
    <mergeCell ref="AN4654:AO4654"/>
    <mergeCell ref="AP4654:AQ4654"/>
    <mergeCell ref="AR4654:AS4655"/>
    <mergeCell ref="AT4654:AU4655"/>
    <mergeCell ref="AV4654:AW4655"/>
    <mergeCell ref="AX4654:AY4655"/>
    <mergeCell ref="AZ4654:AZ4655"/>
    <mergeCell ref="F4655:H4655"/>
    <mergeCell ref="X4655:AB4655"/>
    <mergeCell ref="AE4655:AI4655"/>
    <mergeCell ref="AJ4655:AL4655"/>
    <mergeCell ref="AN4655:AO4655"/>
    <mergeCell ref="AP4655:AQ4655"/>
    <mergeCell ref="A4656:A4657"/>
    <mergeCell ref="E4656:E4657"/>
    <mergeCell ref="F4656:H4656"/>
    <mergeCell ref="J4656:J4657"/>
    <mergeCell ref="K4656:L4657"/>
    <mergeCell ref="M4656:N4657"/>
    <mergeCell ref="O4656:P4657"/>
    <mergeCell ref="Q4656:R4657"/>
    <mergeCell ref="S4656:T4657"/>
    <mergeCell ref="U4656:V4657"/>
    <mergeCell ref="W4656:W4657"/>
    <mergeCell ref="X4656:AB4656"/>
    <mergeCell ref="AD4656:AI4656"/>
    <mergeCell ref="AJ4656:AL4656"/>
    <mergeCell ref="AN4656:AO4656"/>
    <mergeCell ref="AP4656:AQ4656"/>
    <mergeCell ref="AR4656:AS4657"/>
    <mergeCell ref="AT4656:AU4657"/>
    <mergeCell ref="AV4656:AW4657"/>
    <mergeCell ref="AX4656:AY4657"/>
    <mergeCell ref="AZ4656:AZ4657"/>
    <mergeCell ref="F4657:H4657"/>
    <mergeCell ref="X4657:AB4657"/>
    <mergeCell ref="AE4657:AI4657"/>
    <mergeCell ref="AJ4657:AL4657"/>
    <mergeCell ref="AN4657:AO4657"/>
    <mergeCell ref="AP4657:AQ4657"/>
    <mergeCell ref="A4650:A4651"/>
    <mergeCell ref="E4650:E4651"/>
    <mergeCell ref="F4650:H4650"/>
    <mergeCell ref="J4650:J4651"/>
    <mergeCell ref="K4650:L4651"/>
    <mergeCell ref="M4650:N4651"/>
    <mergeCell ref="O4650:P4651"/>
    <mergeCell ref="Q4650:R4651"/>
    <mergeCell ref="S4650:T4651"/>
    <mergeCell ref="U4650:V4651"/>
    <mergeCell ref="W4650:W4651"/>
    <mergeCell ref="X4650:AB4650"/>
    <mergeCell ref="AD4650:AI4650"/>
    <mergeCell ref="AJ4650:AL4650"/>
    <mergeCell ref="AN4650:AO4650"/>
    <mergeCell ref="AP4650:AQ4650"/>
    <mergeCell ref="AR4650:AS4651"/>
    <mergeCell ref="AT4650:AU4651"/>
    <mergeCell ref="AV4650:AW4651"/>
    <mergeCell ref="AX4650:AY4651"/>
    <mergeCell ref="AZ4650:AZ4651"/>
    <mergeCell ref="F4651:H4651"/>
    <mergeCell ref="X4651:AB4651"/>
    <mergeCell ref="AE4651:AI4651"/>
    <mergeCell ref="AJ4651:AL4651"/>
    <mergeCell ref="AN4651:AO4651"/>
    <mergeCell ref="AP4651:AQ4651"/>
    <mergeCell ref="A4652:A4653"/>
    <mergeCell ref="E4652:E4653"/>
    <mergeCell ref="F4652:H4652"/>
    <mergeCell ref="J4652:J4653"/>
    <mergeCell ref="K4652:L4653"/>
    <mergeCell ref="M4652:N4653"/>
    <mergeCell ref="O4652:P4653"/>
    <mergeCell ref="Q4652:R4653"/>
    <mergeCell ref="S4652:T4653"/>
    <mergeCell ref="U4652:V4653"/>
    <mergeCell ref="W4652:W4653"/>
    <mergeCell ref="X4652:AB4652"/>
    <mergeCell ref="AD4652:AI4652"/>
    <mergeCell ref="AJ4652:AL4652"/>
    <mergeCell ref="AN4652:AO4652"/>
    <mergeCell ref="AP4652:AQ4652"/>
    <mergeCell ref="AR4652:AS4653"/>
    <mergeCell ref="AT4652:AU4653"/>
    <mergeCell ref="AV4652:AW4653"/>
    <mergeCell ref="AX4652:AY4653"/>
    <mergeCell ref="AZ4652:AZ4653"/>
    <mergeCell ref="F4653:H4653"/>
    <mergeCell ref="X4653:AB4653"/>
    <mergeCell ref="AE4653:AI4653"/>
    <mergeCell ref="AJ4653:AL4653"/>
    <mergeCell ref="AN4653:AO4653"/>
    <mergeCell ref="AP4653:AQ4653"/>
    <mergeCell ref="A4644:A4645"/>
    <mergeCell ref="E4644:E4645"/>
    <mergeCell ref="F4644:H4644"/>
    <mergeCell ref="J4644:J4645"/>
    <mergeCell ref="K4644:L4645"/>
    <mergeCell ref="M4644:N4645"/>
    <mergeCell ref="O4644:P4645"/>
    <mergeCell ref="Q4644:R4645"/>
    <mergeCell ref="S4644:T4645"/>
    <mergeCell ref="U4644:V4645"/>
    <mergeCell ref="W4644:W4645"/>
    <mergeCell ref="X4644:AB4644"/>
    <mergeCell ref="AD4644:AI4644"/>
    <mergeCell ref="AJ4644:AL4644"/>
    <mergeCell ref="AN4644:AO4644"/>
    <mergeCell ref="AP4644:AQ4644"/>
    <mergeCell ref="AR4644:AS4645"/>
    <mergeCell ref="AT4644:AU4645"/>
    <mergeCell ref="AV4644:AW4645"/>
    <mergeCell ref="AX4644:AY4645"/>
    <mergeCell ref="AZ4644:AZ4645"/>
    <mergeCell ref="F4645:H4645"/>
    <mergeCell ref="X4645:AB4645"/>
    <mergeCell ref="AE4645:AI4645"/>
    <mergeCell ref="AJ4645:AL4645"/>
    <mergeCell ref="AN4645:AO4645"/>
    <mergeCell ref="AP4645:AQ4645"/>
    <mergeCell ref="A4648:A4649"/>
    <mergeCell ref="E4648:E4649"/>
    <mergeCell ref="F4648:H4648"/>
    <mergeCell ref="J4648:J4649"/>
    <mergeCell ref="K4648:L4649"/>
    <mergeCell ref="M4648:N4649"/>
    <mergeCell ref="O4648:P4649"/>
    <mergeCell ref="Q4648:R4649"/>
    <mergeCell ref="S4648:T4649"/>
    <mergeCell ref="U4648:V4649"/>
    <mergeCell ref="W4648:W4649"/>
    <mergeCell ref="X4648:AB4648"/>
    <mergeCell ref="AD4648:AI4648"/>
    <mergeCell ref="AJ4648:AL4648"/>
    <mergeCell ref="AN4648:AO4648"/>
    <mergeCell ref="AP4648:AQ4648"/>
    <mergeCell ref="AR4648:AS4649"/>
    <mergeCell ref="AT4648:AU4649"/>
    <mergeCell ref="AV4648:AW4649"/>
    <mergeCell ref="AX4648:AY4649"/>
    <mergeCell ref="AZ4648:AZ4649"/>
    <mergeCell ref="F4649:H4649"/>
    <mergeCell ref="X4649:AB4649"/>
    <mergeCell ref="AE4649:AI4649"/>
    <mergeCell ref="AJ4649:AL4649"/>
    <mergeCell ref="AN4649:AO4649"/>
    <mergeCell ref="AP4649:AQ4649"/>
    <mergeCell ref="A4646:A4647"/>
    <mergeCell ref="E4646:E4647"/>
    <mergeCell ref="F4646:H4646"/>
    <mergeCell ref="J4646:J4647"/>
    <mergeCell ref="K4646:L4647"/>
    <mergeCell ref="M4646:N4647"/>
    <mergeCell ref="O4646:P4647"/>
    <mergeCell ref="Q4646:R4647"/>
    <mergeCell ref="S4646:T4647"/>
    <mergeCell ref="U4646:V4647"/>
    <mergeCell ref="A4642:A4643"/>
    <mergeCell ref="E4642:E4643"/>
    <mergeCell ref="F4642:H4642"/>
    <mergeCell ref="J4642:J4643"/>
    <mergeCell ref="K4642:L4643"/>
    <mergeCell ref="M4642:N4643"/>
    <mergeCell ref="O4642:P4643"/>
    <mergeCell ref="Q4642:R4643"/>
    <mergeCell ref="S4642:T4643"/>
    <mergeCell ref="U4642:V4643"/>
    <mergeCell ref="W4642:W4643"/>
    <mergeCell ref="X4642:AB4642"/>
    <mergeCell ref="AD4642:AI4642"/>
    <mergeCell ref="AJ4642:AL4642"/>
    <mergeCell ref="AN4642:AO4642"/>
    <mergeCell ref="AP4642:AQ4642"/>
    <mergeCell ref="AR4642:AS4643"/>
    <mergeCell ref="AT4642:AU4643"/>
    <mergeCell ref="AV4642:AW4643"/>
    <mergeCell ref="AX4642:AY4643"/>
    <mergeCell ref="AZ4642:AZ4643"/>
    <mergeCell ref="F4643:H4643"/>
    <mergeCell ref="X4643:AB4643"/>
    <mergeCell ref="AE4643:AI4643"/>
    <mergeCell ref="AJ4643:AL4643"/>
    <mergeCell ref="AN4643:AO4643"/>
    <mergeCell ref="AP4643:AQ4643"/>
    <mergeCell ref="A4638:A4639"/>
    <mergeCell ref="E4638:E4639"/>
    <mergeCell ref="F4638:H4638"/>
    <mergeCell ref="J4638:J4639"/>
    <mergeCell ref="K4638:L4639"/>
    <mergeCell ref="M4638:N4639"/>
    <mergeCell ref="O4638:P4639"/>
    <mergeCell ref="Q4638:R4639"/>
    <mergeCell ref="S4638:T4639"/>
    <mergeCell ref="U4638:V4639"/>
    <mergeCell ref="W4638:W4639"/>
    <mergeCell ref="X4638:AB4638"/>
    <mergeCell ref="AD4638:AI4638"/>
    <mergeCell ref="AJ4638:AL4638"/>
    <mergeCell ref="AN4638:AO4638"/>
    <mergeCell ref="AP4638:AQ4638"/>
    <mergeCell ref="AR4638:AS4639"/>
    <mergeCell ref="AT4638:AU4639"/>
    <mergeCell ref="AV4638:AW4639"/>
    <mergeCell ref="AX4638:AY4639"/>
    <mergeCell ref="AZ4638:AZ4639"/>
    <mergeCell ref="F4639:H4639"/>
    <mergeCell ref="X4639:AB4639"/>
    <mergeCell ref="AE4639:AI4639"/>
    <mergeCell ref="AJ4639:AL4639"/>
    <mergeCell ref="AN4639:AO4639"/>
    <mergeCell ref="AP4639:AQ4639"/>
    <mergeCell ref="A4640:A4641"/>
    <mergeCell ref="E4640:E4641"/>
    <mergeCell ref="F4640:H4640"/>
    <mergeCell ref="J4640:J4641"/>
    <mergeCell ref="K4640:L4641"/>
    <mergeCell ref="M4640:N4641"/>
    <mergeCell ref="O4640:P4641"/>
    <mergeCell ref="Q4640:R4641"/>
    <mergeCell ref="S4640:T4641"/>
    <mergeCell ref="U4640:V4641"/>
    <mergeCell ref="A4634:A4635"/>
    <mergeCell ref="E4634:E4635"/>
    <mergeCell ref="F4634:H4634"/>
    <mergeCell ref="J4634:J4635"/>
    <mergeCell ref="K4634:L4635"/>
    <mergeCell ref="M4634:N4635"/>
    <mergeCell ref="O4634:P4635"/>
    <mergeCell ref="Q4634:R4635"/>
    <mergeCell ref="S4634:T4635"/>
    <mergeCell ref="U4634:V4635"/>
    <mergeCell ref="W4634:W4635"/>
    <mergeCell ref="X4634:AB4634"/>
    <mergeCell ref="AD4634:AI4634"/>
    <mergeCell ref="AJ4634:AL4634"/>
    <mergeCell ref="AN4634:AO4634"/>
    <mergeCell ref="AP4634:AQ4634"/>
    <mergeCell ref="AR4634:AS4635"/>
    <mergeCell ref="AT4634:AU4635"/>
    <mergeCell ref="AV4634:AW4635"/>
    <mergeCell ref="AX4634:AY4635"/>
    <mergeCell ref="AZ4634:AZ4635"/>
    <mergeCell ref="F4635:H4635"/>
    <mergeCell ref="X4635:AB4635"/>
    <mergeCell ref="AE4635:AI4635"/>
    <mergeCell ref="AJ4635:AL4635"/>
    <mergeCell ref="AN4635:AO4635"/>
    <mergeCell ref="AP4635:AQ4635"/>
    <mergeCell ref="A4636:A4637"/>
    <mergeCell ref="E4636:E4637"/>
    <mergeCell ref="F4636:H4636"/>
    <mergeCell ref="J4636:J4637"/>
    <mergeCell ref="K4636:L4637"/>
    <mergeCell ref="M4636:N4637"/>
    <mergeCell ref="O4636:P4637"/>
    <mergeCell ref="Q4636:R4637"/>
    <mergeCell ref="S4636:T4637"/>
    <mergeCell ref="U4636:V4637"/>
    <mergeCell ref="W4636:W4637"/>
    <mergeCell ref="X4636:AB4636"/>
    <mergeCell ref="AD4636:AI4636"/>
    <mergeCell ref="AJ4636:AL4636"/>
    <mergeCell ref="AN4636:AO4636"/>
    <mergeCell ref="AP4636:AQ4636"/>
    <mergeCell ref="AR4636:AS4637"/>
    <mergeCell ref="AT4636:AU4637"/>
    <mergeCell ref="AV4636:AW4637"/>
    <mergeCell ref="AX4636:AY4637"/>
    <mergeCell ref="AZ4636:AZ4637"/>
    <mergeCell ref="F4637:H4637"/>
    <mergeCell ref="X4637:AB4637"/>
    <mergeCell ref="AE4637:AI4637"/>
    <mergeCell ref="AJ4637:AL4637"/>
    <mergeCell ref="AN4637:AO4637"/>
    <mergeCell ref="AP4637:AQ4637"/>
    <mergeCell ref="A4624:A4625"/>
    <mergeCell ref="E4624:E4625"/>
    <mergeCell ref="F4624:H4624"/>
    <mergeCell ref="J4624:J4625"/>
    <mergeCell ref="K4624:L4625"/>
    <mergeCell ref="M4624:N4625"/>
    <mergeCell ref="O4624:P4625"/>
    <mergeCell ref="Q4624:R4625"/>
    <mergeCell ref="S4624:T4625"/>
    <mergeCell ref="U4624:V4625"/>
    <mergeCell ref="W4624:W4625"/>
    <mergeCell ref="X4624:AB4624"/>
    <mergeCell ref="AD4624:AI4624"/>
    <mergeCell ref="AJ4624:AL4624"/>
    <mergeCell ref="AN4624:AO4624"/>
    <mergeCell ref="AP4624:AQ4624"/>
    <mergeCell ref="AR4624:AS4625"/>
    <mergeCell ref="AT4624:AU4625"/>
    <mergeCell ref="AV4624:AW4625"/>
    <mergeCell ref="AX4624:AY4625"/>
    <mergeCell ref="AZ4624:AZ4625"/>
    <mergeCell ref="F4625:H4625"/>
    <mergeCell ref="X4625:AB4625"/>
    <mergeCell ref="AE4625:AI4625"/>
    <mergeCell ref="AJ4625:AL4625"/>
    <mergeCell ref="AN4625:AO4625"/>
    <mergeCell ref="AP4625:AQ4625"/>
    <mergeCell ref="A4632:A4633"/>
    <mergeCell ref="E4632:E4633"/>
    <mergeCell ref="F4632:H4632"/>
    <mergeCell ref="J4632:J4633"/>
    <mergeCell ref="K4632:L4633"/>
    <mergeCell ref="M4632:N4633"/>
    <mergeCell ref="O4632:P4633"/>
    <mergeCell ref="Q4632:R4633"/>
    <mergeCell ref="S4632:T4633"/>
    <mergeCell ref="U4632:V4633"/>
    <mergeCell ref="W4632:W4633"/>
    <mergeCell ref="X4632:AB4632"/>
    <mergeCell ref="AD4632:AI4632"/>
    <mergeCell ref="AJ4632:AL4632"/>
    <mergeCell ref="AN4632:AO4632"/>
    <mergeCell ref="AP4632:AQ4632"/>
    <mergeCell ref="AR4632:AS4633"/>
    <mergeCell ref="AT4632:AU4633"/>
    <mergeCell ref="AV4632:AW4633"/>
    <mergeCell ref="AX4632:AY4633"/>
    <mergeCell ref="AZ4632:AZ4633"/>
    <mergeCell ref="F4633:H4633"/>
    <mergeCell ref="X4633:AB4633"/>
    <mergeCell ref="AE4633:AI4633"/>
    <mergeCell ref="AJ4633:AL4633"/>
    <mergeCell ref="AN4633:AO4633"/>
    <mergeCell ref="AP4633:AQ4633"/>
    <mergeCell ref="A4626:A4627"/>
    <mergeCell ref="E4626:E4627"/>
    <mergeCell ref="F4626:H4626"/>
    <mergeCell ref="J4626:J4627"/>
    <mergeCell ref="K4626:L4627"/>
    <mergeCell ref="M4626:N4627"/>
    <mergeCell ref="O4626:P4627"/>
    <mergeCell ref="Q4626:R4627"/>
    <mergeCell ref="S4626:T4627"/>
    <mergeCell ref="U4626:V4627"/>
    <mergeCell ref="A4620:A4621"/>
    <mergeCell ref="E4620:E4621"/>
    <mergeCell ref="F4620:H4620"/>
    <mergeCell ref="J4620:J4621"/>
    <mergeCell ref="K4620:L4621"/>
    <mergeCell ref="M4620:N4621"/>
    <mergeCell ref="O4620:P4621"/>
    <mergeCell ref="Q4620:R4621"/>
    <mergeCell ref="S4620:T4621"/>
    <mergeCell ref="U4620:V4621"/>
    <mergeCell ref="W4620:W4621"/>
    <mergeCell ref="X4620:AB4620"/>
    <mergeCell ref="AD4620:AI4620"/>
    <mergeCell ref="AJ4620:AL4620"/>
    <mergeCell ref="AN4620:AO4620"/>
    <mergeCell ref="AP4620:AQ4620"/>
    <mergeCell ref="AR4620:AS4621"/>
    <mergeCell ref="AT4620:AU4621"/>
    <mergeCell ref="AV4620:AW4621"/>
    <mergeCell ref="AX4620:AY4621"/>
    <mergeCell ref="AZ4620:AZ4621"/>
    <mergeCell ref="F4621:H4621"/>
    <mergeCell ref="X4621:AB4621"/>
    <mergeCell ref="AE4621:AI4621"/>
    <mergeCell ref="AJ4621:AL4621"/>
    <mergeCell ref="AN4621:AO4621"/>
    <mergeCell ref="AP4621:AQ4621"/>
    <mergeCell ref="A4622:A4623"/>
    <mergeCell ref="E4622:E4623"/>
    <mergeCell ref="F4622:H4622"/>
    <mergeCell ref="J4622:J4623"/>
    <mergeCell ref="K4622:L4623"/>
    <mergeCell ref="M4622:N4623"/>
    <mergeCell ref="O4622:P4623"/>
    <mergeCell ref="Q4622:R4623"/>
    <mergeCell ref="S4622:T4623"/>
    <mergeCell ref="U4622:V4623"/>
    <mergeCell ref="W4622:W4623"/>
    <mergeCell ref="X4622:AB4622"/>
    <mergeCell ref="AD4622:AI4622"/>
    <mergeCell ref="AJ4622:AL4622"/>
    <mergeCell ref="AN4622:AO4622"/>
    <mergeCell ref="AP4622:AQ4622"/>
    <mergeCell ref="AR4622:AS4623"/>
    <mergeCell ref="AT4622:AU4623"/>
    <mergeCell ref="AV4622:AW4623"/>
    <mergeCell ref="AX4622:AY4623"/>
    <mergeCell ref="AZ4622:AZ4623"/>
    <mergeCell ref="F4623:H4623"/>
    <mergeCell ref="X4623:AB4623"/>
    <mergeCell ref="AE4623:AI4623"/>
    <mergeCell ref="AJ4623:AL4623"/>
    <mergeCell ref="AN4623:AO4623"/>
    <mergeCell ref="AP4623:AQ4623"/>
    <mergeCell ref="A4612:A4613"/>
    <mergeCell ref="E4612:E4613"/>
    <mergeCell ref="F4612:H4612"/>
    <mergeCell ref="J4612:J4613"/>
    <mergeCell ref="K4612:L4613"/>
    <mergeCell ref="M4612:N4613"/>
    <mergeCell ref="O4612:P4613"/>
    <mergeCell ref="Q4612:R4613"/>
    <mergeCell ref="S4612:T4613"/>
    <mergeCell ref="U4612:V4613"/>
    <mergeCell ref="W4612:W4613"/>
    <mergeCell ref="X4612:AB4612"/>
    <mergeCell ref="AD4612:AI4612"/>
    <mergeCell ref="AJ4612:AL4612"/>
    <mergeCell ref="AN4612:AO4612"/>
    <mergeCell ref="AP4612:AQ4612"/>
    <mergeCell ref="AR4612:AS4613"/>
    <mergeCell ref="AT4612:AU4613"/>
    <mergeCell ref="AV4612:AW4613"/>
    <mergeCell ref="AX4612:AY4613"/>
    <mergeCell ref="AZ4612:AZ4613"/>
    <mergeCell ref="F4613:H4613"/>
    <mergeCell ref="X4613:AB4613"/>
    <mergeCell ref="AE4613:AI4613"/>
    <mergeCell ref="AJ4613:AL4613"/>
    <mergeCell ref="AN4613:AO4613"/>
    <mergeCell ref="AP4613:AQ4613"/>
    <mergeCell ref="A4618:A4619"/>
    <mergeCell ref="E4618:E4619"/>
    <mergeCell ref="F4618:H4618"/>
    <mergeCell ref="J4618:J4619"/>
    <mergeCell ref="K4618:L4619"/>
    <mergeCell ref="M4618:N4619"/>
    <mergeCell ref="O4618:P4619"/>
    <mergeCell ref="Q4618:R4619"/>
    <mergeCell ref="S4618:T4619"/>
    <mergeCell ref="U4618:V4619"/>
    <mergeCell ref="W4618:W4619"/>
    <mergeCell ref="X4618:AB4618"/>
    <mergeCell ref="AD4618:AI4618"/>
    <mergeCell ref="AJ4618:AL4618"/>
    <mergeCell ref="AN4618:AO4618"/>
    <mergeCell ref="AP4618:AQ4618"/>
    <mergeCell ref="AR4618:AS4619"/>
    <mergeCell ref="AT4618:AU4619"/>
    <mergeCell ref="AV4618:AW4619"/>
    <mergeCell ref="AX4618:AY4619"/>
    <mergeCell ref="AZ4618:AZ4619"/>
    <mergeCell ref="F4619:H4619"/>
    <mergeCell ref="X4619:AB4619"/>
    <mergeCell ref="AE4619:AI4619"/>
    <mergeCell ref="AJ4619:AL4619"/>
    <mergeCell ref="AN4619:AO4619"/>
    <mergeCell ref="AP4619:AQ4619"/>
    <mergeCell ref="A4614:A4615"/>
    <mergeCell ref="E4614:E4615"/>
    <mergeCell ref="F4614:H4614"/>
    <mergeCell ref="J4614:J4615"/>
    <mergeCell ref="K4614:L4615"/>
    <mergeCell ref="M4614:N4615"/>
    <mergeCell ref="O4614:P4615"/>
    <mergeCell ref="Q4614:R4615"/>
    <mergeCell ref="S4614:T4615"/>
    <mergeCell ref="U4614:V4615"/>
    <mergeCell ref="A4606:A4607"/>
    <mergeCell ref="E4606:E4607"/>
    <mergeCell ref="F4606:H4606"/>
    <mergeCell ref="J4606:J4607"/>
    <mergeCell ref="K4606:L4607"/>
    <mergeCell ref="M4606:N4607"/>
    <mergeCell ref="O4606:P4607"/>
    <mergeCell ref="Q4606:R4607"/>
    <mergeCell ref="S4606:T4607"/>
    <mergeCell ref="U4606:V4607"/>
    <mergeCell ref="W4606:W4607"/>
    <mergeCell ref="X4606:AB4606"/>
    <mergeCell ref="AD4606:AI4606"/>
    <mergeCell ref="AJ4606:AL4606"/>
    <mergeCell ref="AN4606:AO4606"/>
    <mergeCell ref="AP4606:AQ4606"/>
    <mergeCell ref="AR4606:AS4607"/>
    <mergeCell ref="AT4606:AU4607"/>
    <mergeCell ref="AV4606:AW4607"/>
    <mergeCell ref="AX4606:AY4607"/>
    <mergeCell ref="AZ4606:AZ4607"/>
    <mergeCell ref="F4607:H4607"/>
    <mergeCell ref="X4607:AB4607"/>
    <mergeCell ref="AE4607:AI4607"/>
    <mergeCell ref="AJ4607:AL4607"/>
    <mergeCell ref="AN4607:AO4607"/>
    <mergeCell ref="AP4607:AQ4607"/>
    <mergeCell ref="A4608:A4609"/>
    <mergeCell ref="E4608:E4609"/>
    <mergeCell ref="F4608:H4608"/>
    <mergeCell ref="J4608:J4609"/>
    <mergeCell ref="K4608:L4609"/>
    <mergeCell ref="M4608:N4609"/>
    <mergeCell ref="O4608:P4609"/>
    <mergeCell ref="Q4608:R4609"/>
    <mergeCell ref="S4608:T4609"/>
    <mergeCell ref="U4608:V4609"/>
    <mergeCell ref="W4608:W4609"/>
    <mergeCell ref="X4608:AB4608"/>
    <mergeCell ref="AD4608:AI4608"/>
    <mergeCell ref="AJ4608:AL4608"/>
    <mergeCell ref="AN4608:AO4608"/>
    <mergeCell ref="AP4608:AQ4608"/>
    <mergeCell ref="AR4608:AS4609"/>
    <mergeCell ref="AT4608:AU4609"/>
    <mergeCell ref="AV4608:AW4609"/>
    <mergeCell ref="AX4608:AY4609"/>
    <mergeCell ref="AZ4608:AZ4609"/>
    <mergeCell ref="F4609:H4609"/>
    <mergeCell ref="X4609:AB4609"/>
    <mergeCell ref="AE4609:AI4609"/>
    <mergeCell ref="AJ4609:AL4609"/>
    <mergeCell ref="AN4609:AO4609"/>
    <mergeCell ref="AP4609:AQ4609"/>
    <mergeCell ref="A4602:A4603"/>
    <mergeCell ref="E4602:E4603"/>
    <mergeCell ref="F4602:H4602"/>
    <mergeCell ref="J4602:J4603"/>
    <mergeCell ref="K4602:L4603"/>
    <mergeCell ref="M4602:N4603"/>
    <mergeCell ref="O4602:P4603"/>
    <mergeCell ref="Q4602:R4603"/>
    <mergeCell ref="S4602:T4603"/>
    <mergeCell ref="U4602:V4603"/>
    <mergeCell ref="W4602:W4603"/>
    <mergeCell ref="X4602:AB4602"/>
    <mergeCell ref="AD4602:AI4602"/>
    <mergeCell ref="AJ4602:AL4602"/>
    <mergeCell ref="AN4602:AO4602"/>
    <mergeCell ref="AP4602:AQ4602"/>
    <mergeCell ref="AR4602:AS4603"/>
    <mergeCell ref="AT4602:AU4603"/>
    <mergeCell ref="AV4602:AW4603"/>
    <mergeCell ref="AX4602:AY4603"/>
    <mergeCell ref="AZ4602:AZ4603"/>
    <mergeCell ref="F4603:H4603"/>
    <mergeCell ref="X4603:AB4603"/>
    <mergeCell ref="AE4603:AI4603"/>
    <mergeCell ref="AJ4603:AL4603"/>
    <mergeCell ref="AN4603:AO4603"/>
    <mergeCell ref="AP4603:AQ4603"/>
    <mergeCell ref="A4604:A4605"/>
    <mergeCell ref="E4604:E4605"/>
    <mergeCell ref="F4604:H4604"/>
    <mergeCell ref="J4604:J4605"/>
    <mergeCell ref="K4604:L4605"/>
    <mergeCell ref="M4604:N4605"/>
    <mergeCell ref="O4604:P4605"/>
    <mergeCell ref="Q4604:R4605"/>
    <mergeCell ref="S4604:T4605"/>
    <mergeCell ref="U4604:V4605"/>
    <mergeCell ref="W4604:W4605"/>
    <mergeCell ref="X4604:AB4604"/>
    <mergeCell ref="AD4604:AI4604"/>
    <mergeCell ref="AJ4604:AL4604"/>
    <mergeCell ref="AN4604:AO4604"/>
    <mergeCell ref="AP4604:AQ4604"/>
    <mergeCell ref="AR4604:AS4605"/>
    <mergeCell ref="AT4604:AU4605"/>
    <mergeCell ref="AV4604:AW4605"/>
    <mergeCell ref="AX4604:AY4605"/>
    <mergeCell ref="AZ4604:AZ4605"/>
    <mergeCell ref="F4605:H4605"/>
    <mergeCell ref="X4605:AB4605"/>
    <mergeCell ref="AE4605:AI4605"/>
    <mergeCell ref="AJ4605:AL4605"/>
    <mergeCell ref="AN4605:AO4605"/>
    <mergeCell ref="AP4605:AQ4605"/>
    <mergeCell ref="A4598:A4599"/>
    <mergeCell ref="E4598:E4599"/>
    <mergeCell ref="F4598:H4598"/>
    <mergeCell ref="J4598:J4599"/>
    <mergeCell ref="K4598:L4599"/>
    <mergeCell ref="M4598:N4599"/>
    <mergeCell ref="O4598:P4599"/>
    <mergeCell ref="Q4598:R4599"/>
    <mergeCell ref="S4598:T4599"/>
    <mergeCell ref="U4598:V4599"/>
    <mergeCell ref="W4598:W4599"/>
    <mergeCell ref="X4598:AB4598"/>
    <mergeCell ref="AD4598:AI4598"/>
    <mergeCell ref="AJ4598:AL4598"/>
    <mergeCell ref="AN4598:AO4598"/>
    <mergeCell ref="AP4598:AQ4598"/>
    <mergeCell ref="AR4598:AS4599"/>
    <mergeCell ref="AT4598:AU4599"/>
    <mergeCell ref="AV4598:AW4599"/>
    <mergeCell ref="AX4598:AY4599"/>
    <mergeCell ref="AZ4598:AZ4599"/>
    <mergeCell ref="F4599:H4599"/>
    <mergeCell ref="X4599:AB4599"/>
    <mergeCell ref="AE4599:AI4599"/>
    <mergeCell ref="AJ4599:AL4599"/>
    <mergeCell ref="AN4599:AO4599"/>
    <mergeCell ref="AP4599:AQ4599"/>
    <mergeCell ref="A4600:A4601"/>
    <mergeCell ref="E4600:E4601"/>
    <mergeCell ref="F4600:H4600"/>
    <mergeCell ref="J4600:J4601"/>
    <mergeCell ref="K4600:L4601"/>
    <mergeCell ref="M4600:N4601"/>
    <mergeCell ref="O4600:P4601"/>
    <mergeCell ref="Q4600:R4601"/>
    <mergeCell ref="S4600:T4601"/>
    <mergeCell ref="U4600:V4601"/>
    <mergeCell ref="W4600:W4601"/>
    <mergeCell ref="X4600:AB4600"/>
    <mergeCell ref="AD4600:AI4600"/>
    <mergeCell ref="AJ4600:AL4600"/>
    <mergeCell ref="AN4600:AO4600"/>
    <mergeCell ref="AP4600:AQ4600"/>
    <mergeCell ref="AR4600:AS4601"/>
    <mergeCell ref="AT4600:AU4601"/>
    <mergeCell ref="AV4600:AW4601"/>
    <mergeCell ref="AX4600:AY4601"/>
    <mergeCell ref="AZ4600:AZ4601"/>
    <mergeCell ref="F4601:H4601"/>
    <mergeCell ref="X4601:AB4601"/>
    <mergeCell ref="AE4601:AI4601"/>
    <mergeCell ref="AJ4601:AL4601"/>
    <mergeCell ref="AN4601:AO4601"/>
    <mergeCell ref="AP4601:AQ4601"/>
    <mergeCell ref="A4594:A4595"/>
    <mergeCell ref="E4594:E4595"/>
    <mergeCell ref="F4594:H4594"/>
    <mergeCell ref="J4594:J4595"/>
    <mergeCell ref="K4594:L4595"/>
    <mergeCell ref="M4594:N4595"/>
    <mergeCell ref="O4594:P4595"/>
    <mergeCell ref="Q4594:R4595"/>
    <mergeCell ref="S4594:T4595"/>
    <mergeCell ref="U4594:V4595"/>
    <mergeCell ref="W4594:W4595"/>
    <mergeCell ref="X4594:AB4594"/>
    <mergeCell ref="AD4594:AI4594"/>
    <mergeCell ref="AJ4594:AL4594"/>
    <mergeCell ref="AN4594:AO4594"/>
    <mergeCell ref="AP4594:AQ4594"/>
    <mergeCell ref="AR4594:AS4595"/>
    <mergeCell ref="AT4594:AU4595"/>
    <mergeCell ref="AV4594:AW4595"/>
    <mergeCell ref="AX4594:AY4595"/>
    <mergeCell ref="AZ4594:AZ4595"/>
    <mergeCell ref="F4595:H4595"/>
    <mergeCell ref="X4595:AB4595"/>
    <mergeCell ref="AE4595:AI4595"/>
    <mergeCell ref="AJ4595:AL4595"/>
    <mergeCell ref="AN4595:AO4595"/>
    <mergeCell ref="AP4595:AQ4595"/>
    <mergeCell ref="A4596:A4597"/>
    <mergeCell ref="E4596:E4597"/>
    <mergeCell ref="F4596:H4596"/>
    <mergeCell ref="J4596:J4597"/>
    <mergeCell ref="K4596:L4597"/>
    <mergeCell ref="M4596:N4597"/>
    <mergeCell ref="O4596:P4597"/>
    <mergeCell ref="Q4596:R4597"/>
    <mergeCell ref="S4596:T4597"/>
    <mergeCell ref="U4596:V4597"/>
    <mergeCell ref="W4596:W4597"/>
    <mergeCell ref="X4596:AB4596"/>
    <mergeCell ref="AD4596:AI4596"/>
    <mergeCell ref="AJ4596:AL4596"/>
    <mergeCell ref="AN4596:AO4596"/>
    <mergeCell ref="AP4596:AQ4596"/>
    <mergeCell ref="AR4596:AS4597"/>
    <mergeCell ref="AT4596:AU4597"/>
    <mergeCell ref="AV4596:AW4597"/>
    <mergeCell ref="AX4596:AY4597"/>
    <mergeCell ref="AZ4596:AZ4597"/>
    <mergeCell ref="F4597:H4597"/>
    <mergeCell ref="X4597:AB4597"/>
    <mergeCell ref="AE4597:AI4597"/>
    <mergeCell ref="AJ4597:AL4597"/>
    <mergeCell ref="AN4597:AO4597"/>
    <mergeCell ref="AP4597:AQ4597"/>
    <mergeCell ref="A4590:A4591"/>
    <mergeCell ref="E4590:E4591"/>
    <mergeCell ref="F4590:H4590"/>
    <mergeCell ref="J4590:J4591"/>
    <mergeCell ref="K4590:L4591"/>
    <mergeCell ref="M4590:N4591"/>
    <mergeCell ref="O4590:P4591"/>
    <mergeCell ref="Q4590:R4591"/>
    <mergeCell ref="S4590:T4591"/>
    <mergeCell ref="U4590:V4591"/>
    <mergeCell ref="W4590:W4591"/>
    <mergeCell ref="X4590:AB4590"/>
    <mergeCell ref="AD4590:AI4590"/>
    <mergeCell ref="AJ4590:AL4590"/>
    <mergeCell ref="AN4590:AO4590"/>
    <mergeCell ref="AP4590:AQ4590"/>
    <mergeCell ref="AR4590:AS4591"/>
    <mergeCell ref="AT4590:AU4591"/>
    <mergeCell ref="AV4590:AW4591"/>
    <mergeCell ref="AX4590:AY4591"/>
    <mergeCell ref="AZ4590:AZ4591"/>
    <mergeCell ref="F4591:H4591"/>
    <mergeCell ref="X4591:AB4591"/>
    <mergeCell ref="AE4591:AI4591"/>
    <mergeCell ref="AJ4591:AL4591"/>
    <mergeCell ref="AN4591:AO4591"/>
    <mergeCell ref="AP4591:AQ4591"/>
    <mergeCell ref="A4592:A4593"/>
    <mergeCell ref="E4592:E4593"/>
    <mergeCell ref="F4592:H4592"/>
    <mergeCell ref="J4592:J4593"/>
    <mergeCell ref="K4592:L4593"/>
    <mergeCell ref="M4592:N4593"/>
    <mergeCell ref="O4592:P4593"/>
    <mergeCell ref="Q4592:R4593"/>
    <mergeCell ref="S4592:T4593"/>
    <mergeCell ref="U4592:V4593"/>
    <mergeCell ref="W4592:W4593"/>
    <mergeCell ref="X4592:AB4592"/>
    <mergeCell ref="AD4592:AI4592"/>
    <mergeCell ref="AJ4592:AL4592"/>
    <mergeCell ref="AN4592:AO4592"/>
    <mergeCell ref="AP4592:AQ4592"/>
    <mergeCell ref="AR4592:AS4593"/>
    <mergeCell ref="AT4592:AU4593"/>
    <mergeCell ref="AV4592:AW4593"/>
    <mergeCell ref="AX4592:AY4593"/>
    <mergeCell ref="AZ4592:AZ4593"/>
    <mergeCell ref="F4593:H4593"/>
    <mergeCell ref="X4593:AB4593"/>
    <mergeCell ref="AE4593:AI4593"/>
    <mergeCell ref="AJ4593:AL4593"/>
    <mergeCell ref="AN4593:AO4593"/>
    <mergeCell ref="AP4593:AQ4593"/>
    <mergeCell ref="A4586:A4587"/>
    <mergeCell ref="E4586:E4587"/>
    <mergeCell ref="F4586:H4586"/>
    <mergeCell ref="J4586:J4587"/>
    <mergeCell ref="K4586:L4587"/>
    <mergeCell ref="M4586:N4587"/>
    <mergeCell ref="O4586:P4587"/>
    <mergeCell ref="Q4586:R4587"/>
    <mergeCell ref="S4586:T4587"/>
    <mergeCell ref="U4586:V4587"/>
    <mergeCell ref="W4586:W4587"/>
    <mergeCell ref="X4586:AB4586"/>
    <mergeCell ref="AD4586:AI4586"/>
    <mergeCell ref="AJ4586:AL4586"/>
    <mergeCell ref="AN4586:AO4586"/>
    <mergeCell ref="AP4586:AQ4586"/>
    <mergeCell ref="AR4586:AS4587"/>
    <mergeCell ref="AT4586:AU4587"/>
    <mergeCell ref="AV4586:AW4587"/>
    <mergeCell ref="AX4586:AY4587"/>
    <mergeCell ref="AZ4586:AZ4587"/>
    <mergeCell ref="F4587:H4587"/>
    <mergeCell ref="X4587:AB4587"/>
    <mergeCell ref="AE4587:AI4587"/>
    <mergeCell ref="AJ4587:AL4587"/>
    <mergeCell ref="AN4587:AO4587"/>
    <mergeCell ref="AP4587:AQ4587"/>
    <mergeCell ref="A4588:A4589"/>
    <mergeCell ref="E4588:E4589"/>
    <mergeCell ref="F4588:H4588"/>
    <mergeCell ref="J4588:J4589"/>
    <mergeCell ref="K4588:L4589"/>
    <mergeCell ref="M4588:N4589"/>
    <mergeCell ref="O4588:P4589"/>
    <mergeCell ref="Q4588:R4589"/>
    <mergeCell ref="S4588:T4589"/>
    <mergeCell ref="U4588:V4589"/>
    <mergeCell ref="W4588:W4589"/>
    <mergeCell ref="X4588:AB4588"/>
    <mergeCell ref="AD4588:AI4588"/>
    <mergeCell ref="AJ4588:AL4588"/>
    <mergeCell ref="AN4588:AO4588"/>
    <mergeCell ref="AP4588:AQ4588"/>
    <mergeCell ref="AR4588:AS4589"/>
    <mergeCell ref="AT4588:AU4589"/>
    <mergeCell ref="AV4588:AW4589"/>
    <mergeCell ref="AX4588:AY4589"/>
    <mergeCell ref="AZ4588:AZ4589"/>
    <mergeCell ref="F4589:H4589"/>
    <mergeCell ref="X4589:AB4589"/>
    <mergeCell ref="AE4589:AI4589"/>
    <mergeCell ref="AJ4589:AL4589"/>
    <mergeCell ref="AN4589:AO4589"/>
    <mergeCell ref="AP4589:AQ4589"/>
    <mergeCell ref="A4582:A4583"/>
    <mergeCell ref="E4582:E4583"/>
    <mergeCell ref="F4582:H4582"/>
    <mergeCell ref="J4582:J4583"/>
    <mergeCell ref="K4582:L4583"/>
    <mergeCell ref="M4582:N4583"/>
    <mergeCell ref="O4582:P4583"/>
    <mergeCell ref="Q4582:R4583"/>
    <mergeCell ref="S4582:T4583"/>
    <mergeCell ref="U4582:V4583"/>
    <mergeCell ref="W4582:W4583"/>
    <mergeCell ref="X4582:AB4582"/>
    <mergeCell ref="AD4582:AI4582"/>
    <mergeCell ref="AJ4582:AL4582"/>
    <mergeCell ref="AN4582:AO4582"/>
    <mergeCell ref="AP4582:AQ4582"/>
    <mergeCell ref="AR4582:AS4583"/>
    <mergeCell ref="AT4582:AU4583"/>
    <mergeCell ref="AV4582:AW4583"/>
    <mergeCell ref="AX4582:AY4583"/>
    <mergeCell ref="AZ4582:AZ4583"/>
    <mergeCell ref="F4583:H4583"/>
    <mergeCell ref="X4583:AB4583"/>
    <mergeCell ref="AE4583:AI4583"/>
    <mergeCell ref="AJ4583:AL4583"/>
    <mergeCell ref="AN4583:AO4583"/>
    <mergeCell ref="AP4583:AQ4583"/>
    <mergeCell ref="A4584:A4585"/>
    <mergeCell ref="E4584:E4585"/>
    <mergeCell ref="F4584:H4584"/>
    <mergeCell ref="J4584:J4585"/>
    <mergeCell ref="K4584:L4585"/>
    <mergeCell ref="M4584:N4585"/>
    <mergeCell ref="O4584:P4585"/>
    <mergeCell ref="Q4584:R4585"/>
    <mergeCell ref="S4584:T4585"/>
    <mergeCell ref="U4584:V4585"/>
    <mergeCell ref="W4584:W4585"/>
    <mergeCell ref="X4584:AB4584"/>
    <mergeCell ref="AD4584:AI4584"/>
    <mergeCell ref="AJ4584:AL4584"/>
    <mergeCell ref="AN4584:AO4584"/>
    <mergeCell ref="AP4584:AQ4584"/>
    <mergeCell ref="AR4584:AS4585"/>
    <mergeCell ref="AT4584:AU4585"/>
    <mergeCell ref="AV4584:AW4585"/>
    <mergeCell ref="AX4584:AY4585"/>
    <mergeCell ref="AZ4584:AZ4585"/>
    <mergeCell ref="F4585:H4585"/>
    <mergeCell ref="X4585:AB4585"/>
    <mergeCell ref="AE4585:AI4585"/>
    <mergeCell ref="AJ4585:AL4585"/>
    <mergeCell ref="AN4585:AO4585"/>
    <mergeCell ref="AP4585:AQ4585"/>
    <mergeCell ref="A4578:A4579"/>
    <mergeCell ref="E4578:E4579"/>
    <mergeCell ref="F4578:H4578"/>
    <mergeCell ref="J4578:J4579"/>
    <mergeCell ref="K4578:L4579"/>
    <mergeCell ref="M4578:N4579"/>
    <mergeCell ref="O4578:P4579"/>
    <mergeCell ref="Q4578:R4579"/>
    <mergeCell ref="S4578:T4579"/>
    <mergeCell ref="U4578:V4579"/>
    <mergeCell ref="W4578:W4579"/>
    <mergeCell ref="X4578:AB4578"/>
    <mergeCell ref="AD4578:AI4578"/>
    <mergeCell ref="AJ4578:AL4578"/>
    <mergeCell ref="AN4578:AO4578"/>
    <mergeCell ref="AP4578:AQ4578"/>
    <mergeCell ref="AR4578:AS4579"/>
    <mergeCell ref="AT4578:AU4579"/>
    <mergeCell ref="AV4578:AW4579"/>
    <mergeCell ref="AX4578:AY4579"/>
    <mergeCell ref="AZ4578:AZ4579"/>
    <mergeCell ref="F4579:H4579"/>
    <mergeCell ref="X4579:AB4579"/>
    <mergeCell ref="AE4579:AI4579"/>
    <mergeCell ref="AJ4579:AL4579"/>
    <mergeCell ref="AN4579:AO4579"/>
    <mergeCell ref="AP4579:AQ4579"/>
    <mergeCell ref="A4580:A4581"/>
    <mergeCell ref="E4580:E4581"/>
    <mergeCell ref="F4580:H4580"/>
    <mergeCell ref="J4580:J4581"/>
    <mergeCell ref="K4580:L4581"/>
    <mergeCell ref="M4580:N4581"/>
    <mergeCell ref="O4580:P4581"/>
    <mergeCell ref="Q4580:R4581"/>
    <mergeCell ref="S4580:T4581"/>
    <mergeCell ref="U4580:V4581"/>
    <mergeCell ref="W4580:W4581"/>
    <mergeCell ref="X4580:AB4580"/>
    <mergeCell ref="AD4580:AI4580"/>
    <mergeCell ref="AJ4580:AL4580"/>
    <mergeCell ref="AN4580:AO4580"/>
    <mergeCell ref="AP4580:AQ4580"/>
    <mergeCell ref="AR4580:AS4581"/>
    <mergeCell ref="AT4580:AU4581"/>
    <mergeCell ref="AV4580:AW4581"/>
    <mergeCell ref="AX4580:AY4581"/>
    <mergeCell ref="AZ4580:AZ4581"/>
    <mergeCell ref="F4581:H4581"/>
    <mergeCell ref="X4581:AB4581"/>
    <mergeCell ref="AE4581:AI4581"/>
    <mergeCell ref="AJ4581:AL4581"/>
    <mergeCell ref="AN4581:AO4581"/>
    <mergeCell ref="AP4581:AQ4581"/>
    <mergeCell ref="A4574:A4575"/>
    <mergeCell ref="E4574:E4575"/>
    <mergeCell ref="F4574:H4574"/>
    <mergeCell ref="J4574:J4575"/>
    <mergeCell ref="K4574:L4575"/>
    <mergeCell ref="M4574:N4575"/>
    <mergeCell ref="O4574:P4575"/>
    <mergeCell ref="Q4574:R4575"/>
    <mergeCell ref="S4574:T4575"/>
    <mergeCell ref="U4574:V4575"/>
    <mergeCell ref="W4574:W4575"/>
    <mergeCell ref="X4574:AB4574"/>
    <mergeCell ref="AD4574:AI4574"/>
    <mergeCell ref="AJ4574:AL4574"/>
    <mergeCell ref="AN4574:AO4574"/>
    <mergeCell ref="AP4574:AQ4574"/>
    <mergeCell ref="AR4574:AS4575"/>
    <mergeCell ref="AT4574:AU4575"/>
    <mergeCell ref="AV4574:AW4575"/>
    <mergeCell ref="AX4574:AY4575"/>
    <mergeCell ref="AZ4574:AZ4575"/>
    <mergeCell ref="F4575:H4575"/>
    <mergeCell ref="X4575:AB4575"/>
    <mergeCell ref="AE4575:AI4575"/>
    <mergeCell ref="AJ4575:AL4575"/>
    <mergeCell ref="AN4575:AO4575"/>
    <mergeCell ref="AP4575:AQ4575"/>
    <mergeCell ref="A4576:A4577"/>
    <mergeCell ref="E4576:E4577"/>
    <mergeCell ref="F4576:H4576"/>
    <mergeCell ref="J4576:J4577"/>
    <mergeCell ref="K4576:L4577"/>
    <mergeCell ref="M4576:N4577"/>
    <mergeCell ref="O4576:P4577"/>
    <mergeCell ref="Q4576:R4577"/>
    <mergeCell ref="S4576:T4577"/>
    <mergeCell ref="U4576:V4577"/>
    <mergeCell ref="W4576:W4577"/>
    <mergeCell ref="X4576:AB4576"/>
    <mergeCell ref="AD4576:AI4576"/>
    <mergeCell ref="AJ4576:AL4576"/>
    <mergeCell ref="AN4576:AO4576"/>
    <mergeCell ref="AP4576:AQ4576"/>
    <mergeCell ref="AR4576:AS4577"/>
    <mergeCell ref="AT4576:AU4577"/>
    <mergeCell ref="AV4576:AW4577"/>
    <mergeCell ref="AX4576:AY4577"/>
    <mergeCell ref="AZ4576:AZ4577"/>
    <mergeCell ref="F4577:H4577"/>
    <mergeCell ref="X4577:AB4577"/>
    <mergeCell ref="AE4577:AI4577"/>
    <mergeCell ref="AJ4577:AL4577"/>
    <mergeCell ref="AN4577:AO4577"/>
    <mergeCell ref="AP4577:AQ4577"/>
    <mergeCell ref="A4570:A4571"/>
    <mergeCell ref="E4570:E4571"/>
    <mergeCell ref="F4570:H4570"/>
    <mergeCell ref="J4570:J4571"/>
    <mergeCell ref="K4570:L4571"/>
    <mergeCell ref="M4570:N4571"/>
    <mergeCell ref="O4570:P4571"/>
    <mergeCell ref="Q4570:R4571"/>
    <mergeCell ref="S4570:T4571"/>
    <mergeCell ref="U4570:V4571"/>
    <mergeCell ref="W4570:W4571"/>
    <mergeCell ref="X4570:AB4570"/>
    <mergeCell ref="AD4570:AI4570"/>
    <mergeCell ref="AJ4570:AL4570"/>
    <mergeCell ref="AN4570:AO4570"/>
    <mergeCell ref="AP4570:AQ4570"/>
    <mergeCell ref="AR4570:AS4571"/>
    <mergeCell ref="AT4570:AU4571"/>
    <mergeCell ref="AV4570:AW4571"/>
    <mergeCell ref="AX4570:AY4571"/>
    <mergeCell ref="AZ4570:AZ4571"/>
    <mergeCell ref="F4571:H4571"/>
    <mergeCell ref="X4571:AB4571"/>
    <mergeCell ref="AE4571:AI4571"/>
    <mergeCell ref="AJ4571:AL4571"/>
    <mergeCell ref="AN4571:AO4571"/>
    <mergeCell ref="AP4571:AQ4571"/>
    <mergeCell ref="A4572:A4573"/>
    <mergeCell ref="E4572:E4573"/>
    <mergeCell ref="F4572:H4572"/>
    <mergeCell ref="J4572:J4573"/>
    <mergeCell ref="K4572:L4573"/>
    <mergeCell ref="M4572:N4573"/>
    <mergeCell ref="O4572:P4573"/>
    <mergeCell ref="Q4572:R4573"/>
    <mergeCell ref="S4572:T4573"/>
    <mergeCell ref="U4572:V4573"/>
    <mergeCell ref="W4572:W4573"/>
    <mergeCell ref="X4572:AB4572"/>
    <mergeCell ref="AD4572:AI4572"/>
    <mergeCell ref="AJ4572:AL4572"/>
    <mergeCell ref="AN4572:AO4572"/>
    <mergeCell ref="AP4572:AQ4572"/>
    <mergeCell ref="AR4572:AS4573"/>
    <mergeCell ref="AT4572:AU4573"/>
    <mergeCell ref="AV4572:AW4573"/>
    <mergeCell ref="AX4572:AY4573"/>
    <mergeCell ref="AZ4572:AZ4573"/>
    <mergeCell ref="F4573:H4573"/>
    <mergeCell ref="X4573:AB4573"/>
    <mergeCell ref="AE4573:AI4573"/>
    <mergeCell ref="AJ4573:AL4573"/>
    <mergeCell ref="AN4573:AO4573"/>
    <mergeCell ref="AP4573:AQ4573"/>
    <mergeCell ref="A4566:A4567"/>
    <mergeCell ref="E4566:E4567"/>
    <mergeCell ref="F4566:H4566"/>
    <mergeCell ref="J4566:J4567"/>
    <mergeCell ref="K4566:L4567"/>
    <mergeCell ref="M4566:N4567"/>
    <mergeCell ref="O4566:P4567"/>
    <mergeCell ref="Q4566:R4567"/>
    <mergeCell ref="S4566:T4567"/>
    <mergeCell ref="U4566:V4567"/>
    <mergeCell ref="W4566:W4567"/>
    <mergeCell ref="X4566:AB4566"/>
    <mergeCell ref="AD4566:AI4566"/>
    <mergeCell ref="AJ4566:AL4566"/>
    <mergeCell ref="AN4566:AO4566"/>
    <mergeCell ref="AP4566:AQ4566"/>
    <mergeCell ref="AR4566:AS4567"/>
    <mergeCell ref="AT4566:AU4567"/>
    <mergeCell ref="AV4566:AW4567"/>
    <mergeCell ref="AX4566:AY4567"/>
    <mergeCell ref="AZ4566:AZ4567"/>
    <mergeCell ref="F4567:H4567"/>
    <mergeCell ref="X4567:AB4567"/>
    <mergeCell ref="AE4567:AI4567"/>
    <mergeCell ref="AJ4567:AL4567"/>
    <mergeCell ref="AN4567:AO4567"/>
    <mergeCell ref="AP4567:AQ4567"/>
    <mergeCell ref="A4568:A4569"/>
    <mergeCell ref="E4568:E4569"/>
    <mergeCell ref="F4568:H4568"/>
    <mergeCell ref="J4568:J4569"/>
    <mergeCell ref="K4568:L4569"/>
    <mergeCell ref="M4568:N4569"/>
    <mergeCell ref="O4568:P4569"/>
    <mergeCell ref="Q4568:R4569"/>
    <mergeCell ref="S4568:T4569"/>
    <mergeCell ref="U4568:V4569"/>
    <mergeCell ref="W4568:W4569"/>
    <mergeCell ref="X4568:AB4568"/>
    <mergeCell ref="AD4568:AI4568"/>
    <mergeCell ref="AJ4568:AL4568"/>
    <mergeCell ref="AN4568:AO4568"/>
    <mergeCell ref="AP4568:AQ4568"/>
    <mergeCell ref="AR4568:AS4569"/>
    <mergeCell ref="AT4568:AU4569"/>
    <mergeCell ref="AV4568:AW4569"/>
    <mergeCell ref="AX4568:AY4569"/>
    <mergeCell ref="AZ4568:AZ4569"/>
    <mergeCell ref="F4569:H4569"/>
    <mergeCell ref="X4569:AB4569"/>
    <mergeCell ref="AE4569:AI4569"/>
    <mergeCell ref="AJ4569:AL4569"/>
    <mergeCell ref="AN4569:AO4569"/>
    <mergeCell ref="AP4569:AQ4569"/>
    <mergeCell ref="A4562:A4563"/>
    <mergeCell ref="E4562:E4563"/>
    <mergeCell ref="F4562:H4562"/>
    <mergeCell ref="J4562:J4563"/>
    <mergeCell ref="K4562:L4563"/>
    <mergeCell ref="M4562:N4563"/>
    <mergeCell ref="O4562:P4563"/>
    <mergeCell ref="Q4562:R4563"/>
    <mergeCell ref="S4562:T4563"/>
    <mergeCell ref="U4562:V4563"/>
    <mergeCell ref="W4562:W4563"/>
    <mergeCell ref="X4562:AB4562"/>
    <mergeCell ref="AD4562:AI4562"/>
    <mergeCell ref="AJ4562:AL4562"/>
    <mergeCell ref="AN4562:AO4562"/>
    <mergeCell ref="AP4562:AQ4562"/>
    <mergeCell ref="AR4562:AS4563"/>
    <mergeCell ref="AT4562:AU4563"/>
    <mergeCell ref="AV4562:AW4563"/>
    <mergeCell ref="AX4562:AY4563"/>
    <mergeCell ref="AZ4562:AZ4563"/>
    <mergeCell ref="F4563:H4563"/>
    <mergeCell ref="X4563:AB4563"/>
    <mergeCell ref="AE4563:AI4563"/>
    <mergeCell ref="AJ4563:AL4563"/>
    <mergeCell ref="AN4563:AO4563"/>
    <mergeCell ref="AP4563:AQ4563"/>
    <mergeCell ref="A4564:A4565"/>
    <mergeCell ref="E4564:E4565"/>
    <mergeCell ref="F4564:H4564"/>
    <mergeCell ref="J4564:J4565"/>
    <mergeCell ref="K4564:L4565"/>
    <mergeCell ref="M4564:N4565"/>
    <mergeCell ref="O4564:P4565"/>
    <mergeCell ref="Q4564:R4565"/>
    <mergeCell ref="S4564:T4565"/>
    <mergeCell ref="U4564:V4565"/>
    <mergeCell ref="W4564:W4565"/>
    <mergeCell ref="X4564:AB4564"/>
    <mergeCell ref="AD4564:AI4564"/>
    <mergeCell ref="AJ4564:AL4564"/>
    <mergeCell ref="AN4564:AO4564"/>
    <mergeCell ref="AP4564:AQ4564"/>
    <mergeCell ref="AR4564:AS4565"/>
    <mergeCell ref="AT4564:AU4565"/>
    <mergeCell ref="AV4564:AW4565"/>
    <mergeCell ref="AX4564:AY4565"/>
    <mergeCell ref="AZ4564:AZ4565"/>
    <mergeCell ref="F4565:H4565"/>
    <mergeCell ref="X4565:AB4565"/>
    <mergeCell ref="AE4565:AI4565"/>
    <mergeCell ref="AJ4565:AL4565"/>
    <mergeCell ref="AN4565:AO4565"/>
    <mergeCell ref="AP4565:AQ4565"/>
    <mergeCell ref="A4558:A4559"/>
    <mergeCell ref="E4558:E4559"/>
    <mergeCell ref="F4558:H4558"/>
    <mergeCell ref="J4558:J4559"/>
    <mergeCell ref="K4558:L4559"/>
    <mergeCell ref="M4558:N4559"/>
    <mergeCell ref="O4558:P4559"/>
    <mergeCell ref="Q4558:R4559"/>
    <mergeCell ref="S4558:T4559"/>
    <mergeCell ref="U4558:V4559"/>
    <mergeCell ref="W4558:W4559"/>
    <mergeCell ref="X4558:AB4558"/>
    <mergeCell ref="AD4558:AI4558"/>
    <mergeCell ref="AJ4558:AL4558"/>
    <mergeCell ref="AN4558:AO4558"/>
    <mergeCell ref="AP4558:AQ4558"/>
    <mergeCell ref="AR4558:AS4559"/>
    <mergeCell ref="AT4558:AU4559"/>
    <mergeCell ref="AV4558:AW4559"/>
    <mergeCell ref="AX4558:AY4559"/>
    <mergeCell ref="AZ4558:AZ4559"/>
    <mergeCell ref="F4559:H4559"/>
    <mergeCell ref="X4559:AB4559"/>
    <mergeCell ref="AE4559:AI4559"/>
    <mergeCell ref="AJ4559:AL4559"/>
    <mergeCell ref="AN4559:AO4559"/>
    <mergeCell ref="AP4559:AQ4559"/>
    <mergeCell ref="A4560:A4561"/>
    <mergeCell ref="E4560:E4561"/>
    <mergeCell ref="F4560:H4560"/>
    <mergeCell ref="J4560:J4561"/>
    <mergeCell ref="K4560:L4561"/>
    <mergeCell ref="M4560:N4561"/>
    <mergeCell ref="O4560:P4561"/>
    <mergeCell ref="Q4560:R4561"/>
    <mergeCell ref="S4560:T4561"/>
    <mergeCell ref="U4560:V4561"/>
    <mergeCell ref="W4560:W4561"/>
    <mergeCell ref="X4560:AB4560"/>
    <mergeCell ref="AD4560:AI4560"/>
    <mergeCell ref="AJ4560:AL4560"/>
    <mergeCell ref="AN4560:AO4560"/>
    <mergeCell ref="AP4560:AQ4560"/>
    <mergeCell ref="AR4560:AS4561"/>
    <mergeCell ref="AT4560:AU4561"/>
    <mergeCell ref="AV4560:AW4561"/>
    <mergeCell ref="AX4560:AY4561"/>
    <mergeCell ref="AZ4560:AZ4561"/>
    <mergeCell ref="F4561:H4561"/>
    <mergeCell ref="X4561:AB4561"/>
    <mergeCell ref="AE4561:AI4561"/>
    <mergeCell ref="AJ4561:AL4561"/>
    <mergeCell ref="AN4561:AO4561"/>
    <mergeCell ref="AP4561:AQ4561"/>
    <mergeCell ref="A4554:A4555"/>
    <mergeCell ref="E4554:E4555"/>
    <mergeCell ref="F4554:H4554"/>
    <mergeCell ref="J4554:J4555"/>
    <mergeCell ref="K4554:L4555"/>
    <mergeCell ref="M4554:N4555"/>
    <mergeCell ref="O4554:P4555"/>
    <mergeCell ref="Q4554:R4555"/>
    <mergeCell ref="S4554:T4555"/>
    <mergeCell ref="U4554:V4555"/>
    <mergeCell ref="W4554:W4555"/>
    <mergeCell ref="X4554:AB4554"/>
    <mergeCell ref="AD4554:AI4554"/>
    <mergeCell ref="AJ4554:AL4554"/>
    <mergeCell ref="AN4554:AO4554"/>
    <mergeCell ref="AP4554:AQ4554"/>
    <mergeCell ref="AR4554:AS4555"/>
    <mergeCell ref="AT4554:AU4555"/>
    <mergeCell ref="AV4554:AW4555"/>
    <mergeCell ref="AX4554:AY4555"/>
    <mergeCell ref="AZ4554:AZ4555"/>
    <mergeCell ref="F4555:H4555"/>
    <mergeCell ref="X4555:AB4555"/>
    <mergeCell ref="AE4555:AI4555"/>
    <mergeCell ref="AJ4555:AL4555"/>
    <mergeCell ref="AN4555:AO4555"/>
    <mergeCell ref="AP4555:AQ4555"/>
    <mergeCell ref="A4556:A4557"/>
    <mergeCell ref="E4556:E4557"/>
    <mergeCell ref="F4556:H4556"/>
    <mergeCell ref="J4556:J4557"/>
    <mergeCell ref="K4556:L4557"/>
    <mergeCell ref="M4556:N4557"/>
    <mergeCell ref="O4556:P4557"/>
    <mergeCell ref="Q4556:R4557"/>
    <mergeCell ref="S4556:T4557"/>
    <mergeCell ref="U4556:V4557"/>
    <mergeCell ref="W4556:W4557"/>
    <mergeCell ref="X4556:AB4556"/>
    <mergeCell ref="AD4556:AI4556"/>
    <mergeCell ref="AJ4556:AL4556"/>
    <mergeCell ref="AN4556:AO4556"/>
    <mergeCell ref="AP4556:AQ4556"/>
    <mergeCell ref="AR4556:AS4557"/>
    <mergeCell ref="AT4556:AU4557"/>
    <mergeCell ref="AV4556:AW4557"/>
    <mergeCell ref="AX4556:AY4557"/>
    <mergeCell ref="AZ4556:AZ4557"/>
    <mergeCell ref="F4557:H4557"/>
    <mergeCell ref="X4557:AB4557"/>
    <mergeCell ref="AE4557:AI4557"/>
    <mergeCell ref="AJ4557:AL4557"/>
    <mergeCell ref="AN4557:AO4557"/>
    <mergeCell ref="AP4557:AQ4557"/>
    <mergeCell ref="A4550:A4551"/>
    <mergeCell ref="E4550:E4551"/>
    <mergeCell ref="F4550:H4550"/>
    <mergeCell ref="J4550:J4551"/>
    <mergeCell ref="K4550:L4551"/>
    <mergeCell ref="M4550:N4551"/>
    <mergeCell ref="O4550:P4551"/>
    <mergeCell ref="Q4550:R4551"/>
    <mergeCell ref="S4550:T4551"/>
    <mergeCell ref="U4550:V4551"/>
    <mergeCell ref="W4550:W4551"/>
    <mergeCell ref="X4550:AB4550"/>
    <mergeCell ref="AD4550:AI4550"/>
    <mergeCell ref="AJ4550:AL4550"/>
    <mergeCell ref="AN4550:AO4550"/>
    <mergeCell ref="AP4550:AQ4550"/>
    <mergeCell ref="AR4550:AS4551"/>
    <mergeCell ref="AT4550:AU4551"/>
    <mergeCell ref="AV4550:AW4551"/>
    <mergeCell ref="AX4550:AY4551"/>
    <mergeCell ref="AZ4550:AZ4551"/>
    <mergeCell ref="F4551:H4551"/>
    <mergeCell ref="X4551:AB4551"/>
    <mergeCell ref="AE4551:AI4551"/>
    <mergeCell ref="AJ4551:AL4551"/>
    <mergeCell ref="AN4551:AO4551"/>
    <mergeCell ref="AP4551:AQ4551"/>
    <mergeCell ref="A4552:A4553"/>
    <mergeCell ref="E4552:E4553"/>
    <mergeCell ref="F4552:H4552"/>
    <mergeCell ref="J4552:J4553"/>
    <mergeCell ref="K4552:L4553"/>
    <mergeCell ref="M4552:N4553"/>
    <mergeCell ref="O4552:P4553"/>
    <mergeCell ref="Q4552:R4553"/>
    <mergeCell ref="S4552:T4553"/>
    <mergeCell ref="U4552:V4553"/>
    <mergeCell ref="W4552:W4553"/>
    <mergeCell ref="X4552:AB4552"/>
    <mergeCell ref="AD4552:AI4552"/>
    <mergeCell ref="AJ4552:AL4552"/>
    <mergeCell ref="AN4552:AO4552"/>
    <mergeCell ref="AP4552:AQ4552"/>
    <mergeCell ref="AR4552:AS4553"/>
    <mergeCell ref="AT4552:AU4553"/>
    <mergeCell ref="AV4552:AW4553"/>
    <mergeCell ref="AX4552:AY4553"/>
    <mergeCell ref="AZ4552:AZ4553"/>
    <mergeCell ref="F4553:H4553"/>
    <mergeCell ref="X4553:AB4553"/>
    <mergeCell ref="AE4553:AI4553"/>
    <mergeCell ref="AJ4553:AL4553"/>
    <mergeCell ref="AN4553:AO4553"/>
    <mergeCell ref="AP4553:AQ4553"/>
    <mergeCell ref="A4546:A4547"/>
    <mergeCell ref="E4546:E4547"/>
    <mergeCell ref="F4546:H4546"/>
    <mergeCell ref="J4546:J4547"/>
    <mergeCell ref="K4546:L4547"/>
    <mergeCell ref="M4546:N4547"/>
    <mergeCell ref="O4546:P4547"/>
    <mergeCell ref="Q4546:R4547"/>
    <mergeCell ref="S4546:T4547"/>
    <mergeCell ref="U4546:V4547"/>
    <mergeCell ref="W4546:W4547"/>
    <mergeCell ref="X4546:AB4546"/>
    <mergeCell ref="AD4546:AI4546"/>
    <mergeCell ref="AJ4546:AL4546"/>
    <mergeCell ref="AN4546:AO4546"/>
    <mergeCell ref="AP4546:AQ4546"/>
    <mergeCell ref="AR4546:AS4547"/>
    <mergeCell ref="AT4546:AU4547"/>
    <mergeCell ref="AV4546:AW4547"/>
    <mergeCell ref="AX4546:AY4547"/>
    <mergeCell ref="AZ4546:AZ4547"/>
    <mergeCell ref="F4547:H4547"/>
    <mergeCell ref="X4547:AB4547"/>
    <mergeCell ref="AE4547:AI4547"/>
    <mergeCell ref="AJ4547:AL4547"/>
    <mergeCell ref="AN4547:AO4547"/>
    <mergeCell ref="AP4547:AQ4547"/>
    <mergeCell ref="A4548:A4549"/>
    <mergeCell ref="E4548:E4549"/>
    <mergeCell ref="F4548:H4548"/>
    <mergeCell ref="J4548:J4549"/>
    <mergeCell ref="K4548:L4549"/>
    <mergeCell ref="M4548:N4549"/>
    <mergeCell ref="O4548:P4549"/>
    <mergeCell ref="Q4548:R4549"/>
    <mergeCell ref="S4548:T4549"/>
    <mergeCell ref="U4548:V4549"/>
    <mergeCell ref="W4548:W4549"/>
    <mergeCell ref="X4548:AB4548"/>
    <mergeCell ref="AD4548:AI4548"/>
    <mergeCell ref="AJ4548:AL4548"/>
    <mergeCell ref="AN4548:AO4548"/>
    <mergeCell ref="AP4548:AQ4548"/>
    <mergeCell ref="AR4548:AS4549"/>
    <mergeCell ref="AT4548:AU4549"/>
    <mergeCell ref="AV4548:AW4549"/>
    <mergeCell ref="AX4548:AY4549"/>
    <mergeCell ref="AZ4548:AZ4549"/>
    <mergeCell ref="F4549:H4549"/>
    <mergeCell ref="X4549:AB4549"/>
    <mergeCell ref="AE4549:AI4549"/>
    <mergeCell ref="AJ4549:AL4549"/>
    <mergeCell ref="AN4549:AO4549"/>
    <mergeCell ref="AP4549:AQ4549"/>
    <mergeCell ref="A4542:A4543"/>
    <mergeCell ref="E4542:E4543"/>
    <mergeCell ref="F4542:H4542"/>
    <mergeCell ref="J4542:J4543"/>
    <mergeCell ref="K4542:L4543"/>
    <mergeCell ref="M4542:N4543"/>
    <mergeCell ref="O4542:P4543"/>
    <mergeCell ref="Q4542:R4543"/>
    <mergeCell ref="S4542:T4543"/>
    <mergeCell ref="U4542:V4543"/>
    <mergeCell ref="W4542:W4543"/>
    <mergeCell ref="X4542:AB4542"/>
    <mergeCell ref="AD4542:AI4542"/>
    <mergeCell ref="AJ4542:AL4542"/>
    <mergeCell ref="AN4542:AO4542"/>
    <mergeCell ref="AP4542:AQ4542"/>
    <mergeCell ref="AR4542:AS4543"/>
    <mergeCell ref="AT4542:AU4543"/>
    <mergeCell ref="AV4542:AW4543"/>
    <mergeCell ref="AX4542:AY4543"/>
    <mergeCell ref="AZ4542:AZ4543"/>
    <mergeCell ref="F4543:H4543"/>
    <mergeCell ref="X4543:AB4543"/>
    <mergeCell ref="AE4543:AI4543"/>
    <mergeCell ref="AJ4543:AL4543"/>
    <mergeCell ref="AN4543:AO4543"/>
    <mergeCell ref="AP4543:AQ4543"/>
    <mergeCell ref="A4544:A4545"/>
    <mergeCell ref="E4544:E4545"/>
    <mergeCell ref="F4544:H4544"/>
    <mergeCell ref="J4544:J4545"/>
    <mergeCell ref="K4544:L4545"/>
    <mergeCell ref="M4544:N4545"/>
    <mergeCell ref="O4544:P4545"/>
    <mergeCell ref="Q4544:R4545"/>
    <mergeCell ref="S4544:T4545"/>
    <mergeCell ref="U4544:V4545"/>
    <mergeCell ref="W4544:W4545"/>
    <mergeCell ref="X4544:AB4544"/>
    <mergeCell ref="AD4544:AI4544"/>
    <mergeCell ref="AJ4544:AL4544"/>
    <mergeCell ref="AN4544:AO4544"/>
    <mergeCell ref="AP4544:AQ4544"/>
    <mergeCell ref="AR4544:AS4545"/>
    <mergeCell ref="AT4544:AU4545"/>
    <mergeCell ref="AV4544:AW4545"/>
    <mergeCell ref="AX4544:AY4545"/>
    <mergeCell ref="AZ4544:AZ4545"/>
    <mergeCell ref="F4545:H4545"/>
    <mergeCell ref="X4545:AB4545"/>
    <mergeCell ref="AE4545:AI4545"/>
    <mergeCell ref="AJ4545:AL4545"/>
    <mergeCell ref="AN4545:AO4545"/>
    <mergeCell ref="AP4545:AQ4545"/>
    <mergeCell ref="A4538:A4539"/>
    <mergeCell ref="E4538:E4539"/>
    <mergeCell ref="F4538:H4538"/>
    <mergeCell ref="J4538:J4539"/>
    <mergeCell ref="K4538:L4539"/>
    <mergeCell ref="M4538:N4539"/>
    <mergeCell ref="O4538:P4539"/>
    <mergeCell ref="Q4538:R4539"/>
    <mergeCell ref="S4538:T4539"/>
    <mergeCell ref="U4538:V4539"/>
    <mergeCell ref="W4538:W4539"/>
    <mergeCell ref="X4538:AB4538"/>
    <mergeCell ref="AD4538:AI4538"/>
    <mergeCell ref="AJ4538:AL4538"/>
    <mergeCell ref="AN4538:AO4538"/>
    <mergeCell ref="AP4538:AQ4538"/>
    <mergeCell ref="AR4538:AS4539"/>
    <mergeCell ref="AT4538:AU4539"/>
    <mergeCell ref="AV4538:AW4539"/>
    <mergeCell ref="AX4538:AY4539"/>
    <mergeCell ref="AZ4538:AZ4539"/>
    <mergeCell ref="F4539:H4539"/>
    <mergeCell ref="X4539:AB4539"/>
    <mergeCell ref="AE4539:AI4539"/>
    <mergeCell ref="AJ4539:AL4539"/>
    <mergeCell ref="AN4539:AO4539"/>
    <mergeCell ref="AP4539:AQ4539"/>
    <mergeCell ref="A4540:A4541"/>
    <mergeCell ref="E4540:E4541"/>
    <mergeCell ref="F4540:H4540"/>
    <mergeCell ref="J4540:J4541"/>
    <mergeCell ref="K4540:L4541"/>
    <mergeCell ref="M4540:N4541"/>
    <mergeCell ref="O4540:P4541"/>
    <mergeCell ref="Q4540:R4541"/>
    <mergeCell ref="S4540:T4541"/>
    <mergeCell ref="U4540:V4541"/>
    <mergeCell ref="W4540:W4541"/>
    <mergeCell ref="X4540:AB4540"/>
    <mergeCell ref="AD4540:AI4540"/>
    <mergeCell ref="AJ4540:AL4540"/>
    <mergeCell ref="AN4540:AO4540"/>
    <mergeCell ref="AP4540:AQ4540"/>
    <mergeCell ref="AR4540:AS4541"/>
    <mergeCell ref="AT4540:AU4541"/>
    <mergeCell ref="AV4540:AW4541"/>
    <mergeCell ref="AX4540:AY4541"/>
    <mergeCell ref="AZ4540:AZ4541"/>
    <mergeCell ref="F4541:H4541"/>
    <mergeCell ref="X4541:AB4541"/>
    <mergeCell ref="AE4541:AI4541"/>
    <mergeCell ref="AJ4541:AL4541"/>
    <mergeCell ref="AN4541:AO4541"/>
    <mergeCell ref="AP4541:AQ4541"/>
    <mergeCell ref="A4534:A4535"/>
    <mergeCell ref="E4534:E4535"/>
    <mergeCell ref="F4534:H4534"/>
    <mergeCell ref="J4534:J4535"/>
    <mergeCell ref="K4534:L4535"/>
    <mergeCell ref="M4534:N4535"/>
    <mergeCell ref="O4534:P4535"/>
    <mergeCell ref="Q4534:R4535"/>
    <mergeCell ref="S4534:T4535"/>
    <mergeCell ref="U4534:V4535"/>
    <mergeCell ref="W4534:W4535"/>
    <mergeCell ref="X4534:AB4534"/>
    <mergeCell ref="AD4534:AI4534"/>
    <mergeCell ref="AJ4534:AL4534"/>
    <mergeCell ref="AN4534:AO4534"/>
    <mergeCell ref="AP4534:AQ4534"/>
    <mergeCell ref="AR4534:AS4535"/>
    <mergeCell ref="AT4534:AU4535"/>
    <mergeCell ref="AV4534:AW4535"/>
    <mergeCell ref="AX4534:AY4535"/>
    <mergeCell ref="AZ4534:AZ4535"/>
    <mergeCell ref="F4535:H4535"/>
    <mergeCell ref="X4535:AB4535"/>
    <mergeCell ref="AE4535:AI4535"/>
    <mergeCell ref="AJ4535:AL4535"/>
    <mergeCell ref="AN4535:AO4535"/>
    <mergeCell ref="AP4535:AQ4535"/>
    <mergeCell ref="A4536:A4537"/>
    <mergeCell ref="E4536:E4537"/>
    <mergeCell ref="F4536:H4536"/>
    <mergeCell ref="J4536:J4537"/>
    <mergeCell ref="K4536:L4537"/>
    <mergeCell ref="M4536:N4537"/>
    <mergeCell ref="O4536:P4537"/>
    <mergeCell ref="Q4536:R4537"/>
    <mergeCell ref="S4536:T4537"/>
    <mergeCell ref="U4536:V4537"/>
    <mergeCell ref="W4536:W4537"/>
    <mergeCell ref="X4536:AB4536"/>
    <mergeCell ref="AD4536:AI4536"/>
    <mergeCell ref="AJ4536:AL4536"/>
    <mergeCell ref="AN4536:AO4536"/>
    <mergeCell ref="AP4536:AQ4536"/>
    <mergeCell ref="AR4536:AS4537"/>
    <mergeCell ref="AT4536:AU4537"/>
    <mergeCell ref="AV4536:AW4537"/>
    <mergeCell ref="AX4536:AY4537"/>
    <mergeCell ref="AZ4536:AZ4537"/>
    <mergeCell ref="F4537:H4537"/>
    <mergeCell ref="X4537:AB4537"/>
    <mergeCell ref="AE4537:AI4537"/>
    <mergeCell ref="AJ4537:AL4537"/>
    <mergeCell ref="AN4537:AO4537"/>
    <mergeCell ref="AP4537:AQ4537"/>
    <mergeCell ref="A4526:A4527"/>
    <mergeCell ref="E4526:E4527"/>
    <mergeCell ref="F4526:H4526"/>
    <mergeCell ref="J4526:J4527"/>
    <mergeCell ref="K4526:L4527"/>
    <mergeCell ref="M4526:N4527"/>
    <mergeCell ref="O4526:P4527"/>
    <mergeCell ref="Q4526:R4527"/>
    <mergeCell ref="S4526:T4527"/>
    <mergeCell ref="U4526:V4527"/>
    <mergeCell ref="W4526:W4527"/>
    <mergeCell ref="X4526:AB4526"/>
    <mergeCell ref="AD4526:AI4526"/>
    <mergeCell ref="AJ4526:AL4526"/>
    <mergeCell ref="AN4526:AO4526"/>
    <mergeCell ref="AP4526:AQ4526"/>
    <mergeCell ref="AR4526:AS4527"/>
    <mergeCell ref="AT4526:AU4527"/>
    <mergeCell ref="AV4526:AW4527"/>
    <mergeCell ref="AX4526:AY4527"/>
    <mergeCell ref="AZ4526:AZ4527"/>
    <mergeCell ref="F4527:H4527"/>
    <mergeCell ref="X4527:AB4527"/>
    <mergeCell ref="AE4527:AI4527"/>
    <mergeCell ref="AJ4527:AL4527"/>
    <mergeCell ref="AN4527:AO4527"/>
    <mergeCell ref="AP4527:AQ4527"/>
    <mergeCell ref="A4530:A4531"/>
    <mergeCell ref="E4530:E4531"/>
    <mergeCell ref="F4530:H4530"/>
    <mergeCell ref="J4530:J4531"/>
    <mergeCell ref="K4530:L4531"/>
    <mergeCell ref="M4530:N4531"/>
    <mergeCell ref="O4530:P4531"/>
    <mergeCell ref="Q4530:R4531"/>
    <mergeCell ref="S4530:T4531"/>
    <mergeCell ref="U4530:V4531"/>
    <mergeCell ref="W4530:W4531"/>
    <mergeCell ref="X4530:AB4530"/>
    <mergeCell ref="AD4530:AI4530"/>
    <mergeCell ref="AJ4530:AL4530"/>
    <mergeCell ref="AN4530:AO4530"/>
    <mergeCell ref="AP4530:AQ4530"/>
    <mergeCell ref="AR4530:AS4531"/>
    <mergeCell ref="AT4530:AU4531"/>
    <mergeCell ref="AV4530:AW4531"/>
    <mergeCell ref="AX4530:AY4531"/>
    <mergeCell ref="AZ4530:AZ4531"/>
    <mergeCell ref="F4531:H4531"/>
    <mergeCell ref="X4531:AB4531"/>
    <mergeCell ref="AE4531:AI4531"/>
    <mergeCell ref="AJ4531:AL4531"/>
    <mergeCell ref="AN4531:AO4531"/>
    <mergeCell ref="AP4531:AQ4531"/>
    <mergeCell ref="A4528:A4529"/>
    <mergeCell ref="E4528:E4529"/>
    <mergeCell ref="F4528:H4528"/>
    <mergeCell ref="J4528:J4529"/>
    <mergeCell ref="K4528:L4529"/>
    <mergeCell ref="M4528:N4529"/>
    <mergeCell ref="O4528:P4529"/>
    <mergeCell ref="Q4528:R4529"/>
    <mergeCell ref="S4528:T4529"/>
    <mergeCell ref="U4528:V4529"/>
    <mergeCell ref="A4522:A4523"/>
    <mergeCell ref="E4522:E4523"/>
    <mergeCell ref="F4522:H4522"/>
    <mergeCell ref="J4522:J4523"/>
    <mergeCell ref="K4522:L4523"/>
    <mergeCell ref="M4522:N4523"/>
    <mergeCell ref="O4522:P4523"/>
    <mergeCell ref="Q4522:R4523"/>
    <mergeCell ref="S4522:T4523"/>
    <mergeCell ref="U4522:V4523"/>
    <mergeCell ref="W4522:W4523"/>
    <mergeCell ref="X4522:AB4522"/>
    <mergeCell ref="AD4522:AI4522"/>
    <mergeCell ref="AJ4522:AL4522"/>
    <mergeCell ref="AN4522:AO4522"/>
    <mergeCell ref="AP4522:AQ4522"/>
    <mergeCell ref="AR4522:AS4523"/>
    <mergeCell ref="AT4522:AU4523"/>
    <mergeCell ref="AV4522:AW4523"/>
    <mergeCell ref="AX4522:AY4523"/>
    <mergeCell ref="AZ4522:AZ4523"/>
    <mergeCell ref="F4523:H4523"/>
    <mergeCell ref="X4523:AB4523"/>
    <mergeCell ref="AE4523:AI4523"/>
    <mergeCell ref="AJ4523:AL4523"/>
    <mergeCell ref="AN4523:AO4523"/>
    <mergeCell ref="AP4523:AQ4523"/>
    <mergeCell ref="A4524:A4525"/>
    <mergeCell ref="E4524:E4525"/>
    <mergeCell ref="F4524:H4524"/>
    <mergeCell ref="J4524:J4525"/>
    <mergeCell ref="K4524:L4525"/>
    <mergeCell ref="M4524:N4525"/>
    <mergeCell ref="O4524:P4525"/>
    <mergeCell ref="Q4524:R4525"/>
    <mergeCell ref="S4524:T4525"/>
    <mergeCell ref="U4524:V4525"/>
    <mergeCell ref="W4524:W4525"/>
    <mergeCell ref="X4524:AB4524"/>
    <mergeCell ref="AD4524:AI4524"/>
    <mergeCell ref="AJ4524:AL4524"/>
    <mergeCell ref="AN4524:AO4524"/>
    <mergeCell ref="AP4524:AQ4524"/>
    <mergeCell ref="AR4524:AS4525"/>
    <mergeCell ref="AT4524:AU4525"/>
    <mergeCell ref="AV4524:AW4525"/>
    <mergeCell ref="AX4524:AY4525"/>
    <mergeCell ref="AZ4524:AZ4525"/>
    <mergeCell ref="F4525:H4525"/>
    <mergeCell ref="X4525:AB4525"/>
    <mergeCell ref="AE4525:AI4525"/>
    <mergeCell ref="AJ4525:AL4525"/>
    <mergeCell ref="AN4525:AO4525"/>
    <mergeCell ref="AP4525:AQ4525"/>
    <mergeCell ref="A4518:A4519"/>
    <mergeCell ref="E4518:E4519"/>
    <mergeCell ref="F4518:H4518"/>
    <mergeCell ref="J4518:J4519"/>
    <mergeCell ref="K4518:L4519"/>
    <mergeCell ref="M4518:N4519"/>
    <mergeCell ref="O4518:P4519"/>
    <mergeCell ref="Q4518:R4519"/>
    <mergeCell ref="S4518:T4519"/>
    <mergeCell ref="U4518:V4519"/>
    <mergeCell ref="W4518:W4519"/>
    <mergeCell ref="X4518:AB4518"/>
    <mergeCell ref="AD4518:AI4518"/>
    <mergeCell ref="AJ4518:AL4518"/>
    <mergeCell ref="AN4518:AO4518"/>
    <mergeCell ref="AP4518:AQ4518"/>
    <mergeCell ref="AR4518:AS4519"/>
    <mergeCell ref="AT4518:AU4519"/>
    <mergeCell ref="AV4518:AW4519"/>
    <mergeCell ref="AX4518:AY4519"/>
    <mergeCell ref="AZ4518:AZ4519"/>
    <mergeCell ref="F4519:H4519"/>
    <mergeCell ref="X4519:AB4519"/>
    <mergeCell ref="AE4519:AI4519"/>
    <mergeCell ref="AJ4519:AL4519"/>
    <mergeCell ref="AN4519:AO4519"/>
    <mergeCell ref="AP4519:AQ4519"/>
    <mergeCell ref="A4520:A4521"/>
    <mergeCell ref="E4520:E4521"/>
    <mergeCell ref="F4520:H4520"/>
    <mergeCell ref="J4520:J4521"/>
    <mergeCell ref="K4520:L4521"/>
    <mergeCell ref="M4520:N4521"/>
    <mergeCell ref="O4520:P4521"/>
    <mergeCell ref="Q4520:R4521"/>
    <mergeCell ref="S4520:T4521"/>
    <mergeCell ref="U4520:V4521"/>
    <mergeCell ref="W4520:W4521"/>
    <mergeCell ref="X4520:AB4520"/>
    <mergeCell ref="AD4520:AI4520"/>
    <mergeCell ref="AJ4520:AL4520"/>
    <mergeCell ref="AN4520:AO4520"/>
    <mergeCell ref="AP4520:AQ4520"/>
    <mergeCell ref="AR4520:AS4521"/>
    <mergeCell ref="AT4520:AU4521"/>
    <mergeCell ref="AV4520:AW4521"/>
    <mergeCell ref="AX4520:AY4521"/>
    <mergeCell ref="AZ4520:AZ4521"/>
    <mergeCell ref="F4521:H4521"/>
    <mergeCell ref="X4521:AB4521"/>
    <mergeCell ref="AE4521:AI4521"/>
    <mergeCell ref="AJ4521:AL4521"/>
    <mergeCell ref="AN4521:AO4521"/>
    <mergeCell ref="AP4521:AQ4521"/>
    <mergeCell ref="A4514:A4515"/>
    <mergeCell ref="E4514:E4515"/>
    <mergeCell ref="F4514:H4514"/>
    <mergeCell ref="J4514:J4515"/>
    <mergeCell ref="K4514:L4515"/>
    <mergeCell ref="M4514:N4515"/>
    <mergeCell ref="O4514:P4515"/>
    <mergeCell ref="Q4514:R4515"/>
    <mergeCell ref="S4514:T4515"/>
    <mergeCell ref="U4514:V4515"/>
    <mergeCell ref="W4514:W4515"/>
    <mergeCell ref="X4514:AB4514"/>
    <mergeCell ref="AD4514:AI4514"/>
    <mergeCell ref="AJ4514:AL4514"/>
    <mergeCell ref="AN4514:AO4514"/>
    <mergeCell ref="AP4514:AQ4514"/>
    <mergeCell ref="AR4514:AS4515"/>
    <mergeCell ref="AT4514:AU4515"/>
    <mergeCell ref="AV4514:AW4515"/>
    <mergeCell ref="AX4514:AY4515"/>
    <mergeCell ref="AZ4514:AZ4515"/>
    <mergeCell ref="F4515:H4515"/>
    <mergeCell ref="X4515:AB4515"/>
    <mergeCell ref="AE4515:AI4515"/>
    <mergeCell ref="AJ4515:AL4515"/>
    <mergeCell ref="AN4515:AO4515"/>
    <mergeCell ref="AP4515:AQ4515"/>
    <mergeCell ref="A4516:A4517"/>
    <mergeCell ref="E4516:E4517"/>
    <mergeCell ref="F4516:H4516"/>
    <mergeCell ref="J4516:J4517"/>
    <mergeCell ref="K4516:L4517"/>
    <mergeCell ref="M4516:N4517"/>
    <mergeCell ref="O4516:P4517"/>
    <mergeCell ref="Q4516:R4517"/>
    <mergeCell ref="S4516:T4517"/>
    <mergeCell ref="U4516:V4517"/>
    <mergeCell ref="W4516:W4517"/>
    <mergeCell ref="X4516:AB4516"/>
    <mergeCell ref="AD4516:AI4516"/>
    <mergeCell ref="AJ4516:AL4516"/>
    <mergeCell ref="AN4516:AO4516"/>
    <mergeCell ref="AP4516:AQ4516"/>
    <mergeCell ref="AR4516:AS4517"/>
    <mergeCell ref="AT4516:AU4517"/>
    <mergeCell ref="AV4516:AW4517"/>
    <mergeCell ref="AX4516:AY4517"/>
    <mergeCell ref="AZ4516:AZ4517"/>
    <mergeCell ref="F4517:H4517"/>
    <mergeCell ref="X4517:AB4517"/>
    <mergeCell ref="AE4517:AI4517"/>
    <mergeCell ref="AJ4517:AL4517"/>
    <mergeCell ref="AN4517:AO4517"/>
    <mergeCell ref="AP4517:AQ4517"/>
    <mergeCell ref="W4510:W4511"/>
    <mergeCell ref="X4510:AB4510"/>
    <mergeCell ref="AD4510:AI4510"/>
    <mergeCell ref="AJ4510:AL4510"/>
    <mergeCell ref="AN4510:AO4510"/>
    <mergeCell ref="AP4510:AQ4510"/>
    <mergeCell ref="AR4510:AS4511"/>
    <mergeCell ref="AT4510:AU4511"/>
    <mergeCell ref="AV4510:AW4511"/>
    <mergeCell ref="AX4510:AY4511"/>
    <mergeCell ref="AZ4510:AZ4511"/>
    <mergeCell ref="F4511:H4511"/>
    <mergeCell ref="X4511:AB4511"/>
    <mergeCell ref="AE4511:AI4511"/>
    <mergeCell ref="AJ4511:AL4511"/>
    <mergeCell ref="AN4511:AO4511"/>
    <mergeCell ref="AP4511:AQ4511"/>
    <mergeCell ref="A4512:A4513"/>
    <mergeCell ref="E4512:E4513"/>
    <mergeCell ref="F4512:H4512"/>
    <mergeCell ref="J4512:J4513"/>
    <mergeCell ref="K4512:L4513"/>
    <mergeCell ref="M4512:N4513"/>
    <mergeCell ref="O4512:P4513"/>
    <mergeCell ref="Q4512:R4513"/>
    <mergeCell ref="S4512:T4513"/>
    <mergeCell ref="U4512:V4513"/>
    <mergeCell ref="W4512:W4513"/>
    <mergeCell ref="X4512:AB4512"/>
    <mergeCell ref="AD4512:AI4512"/>
    <mergeCell ref="AJ4512:AL4512"/>
    <mergeCell ref="AN4512:AO4512"/>
    <mergeCell ref="AP4512:AQ4512"/>
    <mergeCell ref="AR4512:AS4513"/>
    <mergeCell ref="AT4512:AU4513"/>
    <mergeCell ref="AV4512:AW4513"/>
    <mergeCell ref="AX4512:AY4513"/>
    <mergeCell ref="AZ4512:AZ4513"/>
    <mergeCell ref="F4513:H4513"/>
    <mergeCell ref="X4513:AB4513"/>
    <mergeCell ref="AE4513:AI4513"/>
    <mergeCell ref="AJ4513:AL4513"/>
    <mergeCell ref="AN4513:AO4513"/>
    <mergeCell ref="AP4513:AQ4513"/>
    <mergeCell ref="A4510:A4511"/>
    <mergeCell ref="E4510:E4511"/>
    <mergeCell ref="F4510:H4510"/>
    <mergeCell ref="J4510:J4511"/>
    <mergeCell ref="K4510:L4511"/>
    <mergeCell ref="M4510:N4511"/>
    <mergeCell ref="O4510:P4511"/>
    <mergeCell ref="Q4510:R4511"/>
    <mergeCell ref="S4510:T4511"/>
    <mergeCell ref="U4510:V4511"/>
    <mergeCell ref="AP4500:AQ4500"/>
    <mergeCell ref="AR4500:AS4501"/>
    <mergeCell ref="AT4500:AU4501"/>
    <mergeCell ref="AV4500:AW4501"/>
    <mergeCell ref="AX4500:AY4501"/>
    <mergeCell ref="AZ4500:AZ4501"/>
    <mergeCell ref="F4501:H4501"/>
    <mergeCell ref="X4501:AB4501"/>
    <mergeCell ref="AE4501:AI4501"/>
    <mergeCell ref="AJ4501:AL4501"/>
    <mergeCell ref="AN4501:AO4501"/>
    <mergeCell ref="AP4501:AQ4501"/>
    <mergeCell ref="A4508:A4509"/>
    <mergeCell ref="E4508:E4509"/>
    <mergeCell ref="F4508:H4508"/>
    <mergeCell ref="J4508:J4509"/>
    <mergeCell ref="K4508:L4509"/>
    <mergeCell ref="M4508:N4509"/>
    <mergeCell ref="O4508:P4509"/>
    <mergeCell ref="Q4508:R4509"/>
    <mergeCell ref="S4508:T4509"/>
    <mergeCell ref="U4508:V4509"/>
    <mergeCell ref="W4508:W4509"/>
    <mergeCell ref="X4508:AB4508"/>
    <mergeCell ref="AD4508:AI4508"/>
    <mergeCell ref="AJ4508:AL4508"/>
    <mergeCell ref="AN4508:AO4508"/>
    <mergeCell ref="AP4508:AQ4508"/>
    <mergeCell ref="AR4508:AS4509"/>
    <mergeCell ref="AT4508:AU4509"/>
    <mergeCell ref="AV4508:AW4509"/>
    <mergeCell ref="AX4508:AY4509"/>
    <mergeCell ref="AZ4508:AZ4509"/>
    <mergeCell ref="F4509:H4509"/>
    <mergeCell ref="X4509:AB4509"/>
    <mergeCell ref="AE4509:AI4509"/>
    <mergeCell ref="AJ4509:AL4509"/>
    <mergeCell ref="AN4509:AO4509"/>
    <mergeCell ref="AP4509:AQ4509"/>
    <mergeCell ref="W4504:W4505"/>
    <mergeCell ref="X4504:AB4504"/>
    <mergeCell ref="AD4504:AI4504"/>
    <mergeCell ref="AJ4504:AL4504"/>
    <mergeCell ref="AN4504:AO4504"/>
    <mergeCell ref="AP4504:AQ4504"/>
    <mergeCell ref="AR4504:AS4505"/>
    <mergeCell ref="AT4504:AU4505"/>
    <mergeCell ref="AV4504:AW4505"/>
    <mergeCell ref="AX4504:AY4505"/>
    <mergeCell ref="AZ4504:AZ4505"/>
    <mergeCell ref="F4505:H4505"/>
    <mergeCell ref="X4505:AB4505"/>
    <mergeCell ref="AE4505:AI4505"/>
    <mergeCell ref="AJ4505:AL4505"/>
    <mergeCell ref="AN4505:AO4505"/>
    <mergeCell ref="AP4505:AQ4505"/>
    <mergeCell ref="S4500:T4501"/>
    <mergeCell ref="U4500:V4501"/>
    <mergeCell ref="W4500:W4501"/>
    <mergeCell ref="X4500:AB4500"/>
    <mergeCell ref="AD4500:AI4500"/>
    <mergeCell ref="AJ4500:AL4500"/>
    <mergeCell ref="AN4500:AO4500"/>
    <mergeCell ref="A4502:A4503"/>
    <mergeCell ref="S4484:T4485"/>
    <mergeCell ref="U4484:V4485"/>
    <mergeCell ref="A4506:A4507"/>
    <mergeCell ref="E4506:E4507"/>
    <mergeCell ref="F4506:H4506"/>
    <mergeCell ref="J4506:J4507"/>
    <mergeCell ref="K4506:L4507"/>
    <mergeCell ref="M4506:N4507"/>
    <mergeCell ref="O4506:P4507"/>
    <mergeCell ref="Q4506:R4507"/>
    <mergeCell ref="S4506:T4507"/>
    <mergeCell ref="U4506:V4507"/>
    <mergeCell ref="W4506:W4507"/>
    <mergeCell ref="X4506:AB4506"/>
    <mergeCell ref="AD4506:AI4506"/>
    <mergeCell ref="AJ4506:AL4506"/>
    <mergeCell ref="AN4506:AO4506"/>
    <mergeCell ref="AP4506:AQ4506"/>
    <mergeCell ref="AR4506:AS4507"/>
    <mergeCell ref="AT4506:AU4507"/>
    <mergeCell ref="AV4506:AW4507"/>
    <mergeCell ref="AX4506:AY4507"/>
    <mergeCell ref="AZ4506:AZ4507"/>
    <mergeCell ref="F4507:H4507"/>
    <mergeCell ref="X4507:AB4507"/>
    <mergeCell ref="AE4507:AI4507"/>
    <mergeCell ref="AJ4507:AL4507"/>
    <mergeCell ref="AN4507:AO4507"/>
    <mergeCell ref="AP4507:AQ4507"/>
    <mergeCell ref="A4494:A4495"/>
    <mergeCell ref="E4494:E4495"/>
    <mergeCell ref="F4494:H4494"/>
    <mergeCell ref="J4494:J4495"/>
    <mergeCell ref="K4494:L4495"/>
    <mergeCell ref="M4494:N4495"/>
    <mergeCell ref="O4494:P4495"/>
    <mergeCell ref="Q4494:R4495"/>
    <mergeCell ref="S4494:T4495"/>
    <mergeCell ref="U4494:V4495"/>
    <mergeCell ref="A4500:A4501"/>
    <mergeCell ref="E4500:E4501"/>
    <mergeCell ref="F4500:H4500"/>
    <mergeCell ref="J4500:J4501"/>
    <mergeCell ref="K4500:L4501"/>
    <mergeCell ref="M4500:N4501"/>
    <mergeCell ref="O4500:P4501"/>
    <mergeCell ref="Q4500:R4501"/>
    <mergeCell ref="AZ4498:AZ4499"/>
    <mergeCell ref="F4499:H4499"/>
    <mergeCell ref="X4499:AB4499"/>
    <mergeCell ref="AE4499:AI4499"/>
    <mergeCell ref="AJ4499:AL4499"/>
    <mergeCell ref="AN4499:AO4499"/>
    <mergeCell ref="AP4499:AQ4499"/>
    <mergeCell ref="A4496:A4497"/>
    <mergeCell ref="E4496:E4497"/>
    <mergeCell ref="F4496:H4496"/>
    <mergeCell ref="J4496:J4497"/>
    <mergeCell ref="K4496:L4497"/>
    <mergeCell ref="M4496:N4497"/>
    <mergeCell ref="O4496:P4497"/>
    <mergeCell ref="Q4496:R4497"/>
    <mergeCell ref="S4496:T4497"/>
    <mergeCell ref="U4496:V4497"/>
    <mergeCell ref="S4480:T4481"/>
    <mergeCell ref="U4480:V4481"/>
    <mergeCell ref="W4480:W4481"/>
    <mergeCell ref="X4480:AB4480"/>
    <mergeCell ref="AD4480:AI4480"/>
    <mergeCell ref="AJ4480:AL4480"/>
    <mergeCell ref="AN4480:AO4480"/>
    <mergeCell ref="AP4480:AQ4480"/>
    <mergeCell ref="AR4480:AS4481"/>
    <mergeCell ref="AT4480:AU4481"/>
    <mergeCell ref="AV4480:AW4481"/>
    <mergeCell ref="AX4480:AY4481"/>
    <mergeCell ref="AZ4480:AZ4481"/>
    <mergeCell ref="F4481:H4481"/>
    <mergeCell ref="X4481:AB4481"/>
    <mergeCell ref="AE4481:AI4481"/>
    <mergeCell ref="AJ4481:AL4481"/>
    <mergeCell ref="AN4481:AO4481"/>
    <mergeCell ref="AP4481:AQ4481"/>
    <mergeCell ref="A4488:A4489"/>
    <mergeCell ref="E4488:E4489"/>
    <mergeCell ref="F4488:H4488"/>
    <mergeCell ref="J4488:J4489"/>
    <mergeCell ref="K4488:L4489"/>
    <mergeCell ref="M4488:N4489"/>
    <mergeCell ref="O4488:P4489"/>
    <mergeCell ref="Q4488:R4489"/>
    <mergeCell ref="S4488:T4489"/>
    <mergeCell ref="U4488:V4489"/>
    <mergeCell ref="W4488:W4489"/>
    <mergeCell ref="X4488:AB4488"/>
    <mergeCell ref="AD4488:AI4488"/>
    <mergeCell ref="AJ4488:AL4488"/>
    <mergeCell ref="AN4488:AO4488"/>
    <mergeCell ref="AP4488:AQ4488"/>
    <mergeCell ref="AR4488:AS4489"/>
    <mergeCell ref="AT4488:AU4489"/>
    <mergeCell ref="AV4488:AW4489"/>
    <mergeCell ref="AX4488:AY4489"/>
    <mergeCell ref="AZ4488:AZ4489"/>
    <mergeCell ref="F4489:H4489"/>
    <mergeCell ref="X4489:AB4489"/>
    <mergeCell ref="AE4489:AI4489"/>
    <mergeCell ref="AJ4489:AL4489"/>
    <mergeCell ref="AN4489:AO4489"/>
    <mergeCell ref="AP4489:AQ4489"/>
    <mergeCell ref="A4482:A4483"/>
    <mergeCell ref="E4482:E4483"/>
    <mergeCell ref="F4482:H4482"/>
    <mergeCell ref="J4482:J4483"/>
    <mergeCell ref="K4482:L4483"/>
    <mergeCell ref="M4482:N4483"/>
    <mergeCell ref="O4482:P4483"/>
    <mergeCell ref="Q4482:R4483"/>
    <mergeCell ref="S4482:T4483"/>
    <mergeCell ref="U4482:V4483"/>
    <mergeCell ref="W4482:W4483"/>
    <mergeCell ref="X4482:AB4482"/>
    <mergeCell ref="AD4482:AI4482"/>
    <mergeCell ref="AJ4482:AL4482"/>
    <mergeCell ref="AN4482:AO4482"/>
    <mergeCell ref="AP4482:AQ4482"/>
    <mergeCell ref="AR4482:AS4483"/>
    <mergeCell ref="AT4482:AU4483"/>
    <mergeCell ref="A4476:A4477"/>
    <mergeCell ref="E4476:E4477"/>
    <mergeCell ref="F4476:H4476"/>
    <mergeCell ref="J4476:J4477"/>
    <mergeCell ref="K4476:L4477"/>
    <mergeCell ref="M4476:N4477"/>
    <mergeCell ref="O4476:P4477"/>
    <mergeCell ref="Q4476:R4477"/>
    <mergeCell ref="S4476:T4477"/>
    <mergeCell ref="U4476:V4477"/>
    <mergeCell ref="W4476:W4477"/>
    <mergeCell ref="X4476:AB4476"/>
    <mergeCell ref="AD4476:AI4476"/>
    <mergeCell ref="AJ4476:AL4476"/>
    <mergeCell ref="AN4476:AO4476"/>
    <mergeCell ref="AP4476:AQ4476"/>
    <mergeCell ref="AR4476:AS4477"/>
    <mergeCell ref="AT4476:AU4477"/>
    <mergeCell ref="AV4476:AW4477"/>
    <mergeCell ref="AX4476:AY4477"/>
    <mergeCell ref="AZ4476:AZ4477"/>
    <mergeCell ref="F4477:H4477"/>
    <mergeCell ref="X4477:AB4477"/>
    <mergeCell ref="AE4477:AI4477"/>
    <mergeCell ref="AJ4477:AL4477"/>
    <mergeCell ref="AN4477:AO4477"/>
    <mergeCell ref="AP4477:AQ4477"/>
    <mergeCell ref="AN4485:AO4485"/>
    <mergeCell ref="AP4485:AQ4485"/>
    <mergeCell ref="A4478:A4479"/>
    <mergeCell ref="E4478:E4479"/>
    <mergeCell ref="F4478:H4478"/>
    <mergeCell ref="J4478:J4479"/>
    <mergeCell ref="K4478:L4479"/>
    <mergeCell ref="M4478:N4479"/>
    <mergeCell ref="O4478:P4479"/>
    <mergeCell ref="Q4478:R4479"/>
    <mergeCell ref="S4478:T4479"/>
    <mergeCell ref="U4478:V4479"/>
    <mergeCell ref="W4478:W4479"/>
    <mergeCell ref="X4478:AB4478"/>
    <mergeCell ref="AD4478:AI4478"/>
    <mergeCell ref="AJ4478:AL4478"/>
    <mergeCell ref="AN4478:AO4478"/>
    <mergeCell ref="AP4478:AQ4478"/>
    <mergeCell ref="AR4478:AS4479"/>
    <mergeCell ref="AT4478:AU4479"/>
    <mergeCell ref="AV4478:AW4479"/>
    <mergeCell ref="AX4478:AY4479"/>
    <mergeCell ref="AZ4478:AZ4479"/>
    <mergeCell ref="F4479:H4479"/>
    <mergeCell ref="X4479:AB4479"/>
    <mergeCell ref="AE4479:AI4479"/>
    <mergeCell ref="AJ4479:AL4479"/>
    <mergeCell ref="AN4479:AO4479"/>
    <mergeCell ref="AP4479:AQ4479"/>
    <mergeCell ref="A4480:A4481"/>
    <mergeCell ref="E4480:E4481"/>
    <mergeCell ref="F4480:H4480"/>
    <mergeCell ref="J4480:J4481"/>
    <mergeCell ref="K4480:L4481"/>
    <mergeCell ref="M4480:N4481"/>
    <mergeCell ref="O4480:P4481"/>
    <mergeCell ref="Q4480:R4481"/>
    <mergeCell ref="A4470:A4471"/>
    <mergeCell ref="E4470:E4471"/>
    <mergeCell ref="F4470:H4470"/>
    <mergeCell ref="J4470:J4471"/>
    <mergeCell ref="K4470:L4471"/>
    <mergeCell ref="M4470:N4471"/>
    <mergeCell ref="O4470:P4471"/>
    <mergeCell ref="Q4470:R4471"/>
    <mergeCell ref="S4470:T4471"/>
    <mergeCell ref="U4470:V4471"/>
    <mergeCell ref="W4470:W4471"/>
    <mergeCell ref="X4470:AB4470"/>
    <mergeCell ref="AD4470:AI4470"/>
    <mergeCell ref="AJ4470:AL4470"/>
    <mergeCell ref="AN4470:AO4470"/>
    <mergeCell ref="AP4470:AQ4470"/>
    <mergeCell ref="AR4470:AS4471"/>
    <mergeCell ref="AT4470:AU4471"/>
    <mergeCell ref="AV4470:AW4471"/>
    <mergeCell ref="AX4470:AY4471"/>
    <mergeCell ref="AZ4470:AZ4471"/>
    <mergeCell ref="F4471:H4471"/>
    <mergeCell ref="X4471:AB4471"/>
    <mergeCell ref="AE4471:AI4471"/>
    <mergeCell ref="AJ4471:AL4471"/>
    <mergeCell ref="AN4471:AO4471"/>
    <mergeCell ref="AP4471:AQ4471"/>
    <mergeCell ref="A4474:A4475"/>
    <mergeCell ref="E4474:E4475"/>
    <mergeCell ref="F4474:H4474"/>
    <mergeCell ref="J4474:J4475"/>
    <mergeCell ref="K4474:L4475"/>
    <mergeCell ref="M4474:N4475"/>
    <mergeCell ref="O4474:P4475"/>
    <mergeCell ref="Q4474:R4475"/>
    <mergeCell ref="S4474:T4475"/>
    <mergeCell ref="U4474:V4475"/>
    <mergeCell ref="W4474:W4475"/>
    <mergeCell ref="X4474:AB4474"/>
    <mergeCell ref="AD4474:AI4474"/>
    <mergeCell ref="AJ4474:AL4474"/>
    <mergeCell ref="AN4474:AO4474"/>
    <mergeCell ref="AP4474:AQ4474"/>
    <mergeCell ref="AR4474:AS4475"/>
    <mergeCell ref="AT4474:AU4475"/>
    <mergeCell ref="AV4474:AW4475"/>
    <mergeCell ref="AX4474:AY4475"/>
    <mergeCell ref="AZ4474:AZ4475"/>
    <mergeCell ref="F4475:H4475"/>
    <mergeCell ref="X4475:AB4475"/>
    <mergeCell ref="AE4475:AI4475"/>
    <mergeCell ref="AJ4475:AL4475"/>
    <mergeCell ref="AN4475:AO4475"/>
    <mergeCell ref="AP4475:AQ4475"/>
    <mergeCell ref="AX4472:AY4473"/>
    <mergeCell ref="AZ4472:AZ4473"/>
    <mergeCell ref="F4473:H4473"/>
    <mergeCell ref="X4473:AB4473"/>
    <mergeCell ref="AE4473:AI4473"/>
    <mergeCell ref="AJ4473:AL4473"/>
    <mergeCell ref="AN4473:AO4473"/>
    <mergeCell ref="AP4473:AQ4473"/>
    <mergeCell ref="E4466:E4467"/>
    <mergeCell ref="F4466:H4466"/>
    <mergeCell ref="J4466:J4467"/>
    <mergeCell ref="K4466:L4467"/>
    <mergeCell ref="M4466:N4467"/>
    <mergeCell ref="O4466:P4467"/>
    <mergeCell ref="Q4466:R4467"/>
    <mergeCell ref="S4466:T4467"/>
    <mergeCell ref="U4466:V4467"/>
    <mergeCell ref="W4466:W4467"/>
    <mergeCell ref="X4466:AB4466"/>
    <mergeCell ref="AD4466:AI4466"/>
    <mergeCell ref="AJ4466:AL4466"/>
    <mergeCell ref="AN4466:AO4466"/>
    <mergeCell ref="AP4466:AQ4466"/>
    <mergeCell ref="AR4466:AS4467"/>
    <mergeCell ref="AT4466:AU4467"/>
    <mergeCell ref="AV4466:AW4467"/>
    <mergeCell ref="AX4466:AY4467"/>
    <mergeCell ref="AZ4466:AZ4467"/>
    <mergeCell ref="F4467:H4467"/>
    <mergeCell ref="X4467:AB4467"/>
    <mergeCell ref="AE4467:AI4467"/>
    <mergeCell ref="AJ4467:AL4467"/>
    <mergeCell ref="AN4467:AO4467"/>
    <mergeCell ref="AP4467:AQ4467"/>
    <mergeCell ref="A4468:A4469"/>
    <mergeCell ref="E4468:E4469"/>
    <mergeCell ref="F4468:H4468"/>
    <mergeCell ref="J4468:J4469"/>
    <mergeCell ref="K4468:L4469"/>
    <mergeCell ref="M4468:N4469"/>
    <mergeCell ref="O4468:P4469"/>
    <mergeCell ref="Q4468:R4469"/>
    <mergeCell ref="S4468:T4469"/>
    <mergeCell ref="U4468:V4469"/>
    <mergeCell ref="W4468:W4469"/>
    <mergeCell ref="X4468:AB4468"/>
    <mergeCell ref="AD4468:AI4468"/>
    <mergeCell ref="AJ4468:AL4468"/>
    <mergeCell ref="AN4468:AO4468"/>
    <mergeCell ref="AP4468:AQ4468"/>
    <mergeCell ref="AR4468:AS4469"/>
    <mergeCell ref="AT4468:AU4469"/>
    <mergeCell ref="AV4468:AW4469"/>
    <mergeCell ref="AX4468:AY4469"/>
    <mergeCell ref="AZ4468:AZ4469"/>
    <mergeCell ref="F4469:H4469"/>
    <mergeCell ref="X4469:AB4469"/>
    <mergeCell ref="AE4469:AI4469"/>
    <mergeCell ref="AJ4469:AL4469"/>
    <mergeCell ref="AN4469:AO4469"/>
    <mergeCell ref="AP4469:AQ4469"/>
    <mergeCell ref="A4462:A4463"/>
    <mergeCell ref="E4462:E4463"/>
    <mergeCell ref="F4462:H4462"/>
    <mergeCell ref="J4462:J4463"/>
    <mergeCell ref="K4462:L4463"/>
    <mergeCell ref="M4462:N4463"/>
    <mergeCell ref="O4462:P4463"/>
    <mergeCell ref="Q4462:R4463"/>
    <mergeCell ref="S4462:T4463"/>
    <mergeCell ref="U4462:V4463"/>
    <mergeCell ref="W4462:W4463"/>
    <mergeCell ref="X4462:AB4462"/>
    <mergeCell ref="AD4462:AI4462"/>
    <mergeCell ref="AJ4462:AL4462"/>
    <mergeCell ref="AN4462:AO4462"/>
    <mergeCell ref="AP4462:AQ4462"/>
    <mergeCell ref="AR4462:AS4463"/>
    <mergeCell ref="AT4462:AU4463"/>
    <mergeCell ref="AV4462:AW4463"/>
    <mergeCell ref="AX4462:AY4463"/>
    <mergeCell ref="AZ4462:AZ4463"/>
    <mergeCell ref="F4463:H4463"/>
    <mergeCell ref="X4463:AB4463"/>
    <mergeCell ref="AE4463:AI4463"/>
    <mergeCell ref="AJ4463:AL4463"/>
    <mergeCell ref="AN4463:AO4463"/>
    <mergeCell ref="AP4463:AQ4463"/>
    <mergeCell ref="W4472:W4473"/>
    <mergeCell ref="X4472:AB4472"/>
    <mergeCell ref="AD4472:AI4472"/>
    <mergeCell ref="AJ4472:AL4472"/>
    <mergeCell ref="AN4472:AO4472"/>
    <mergeCell ref="AP4472:AQ4472"/>
    <mergeCell ref="AR4472:AS4473"/>
    <mergeCell ref="AT4472:AU4473"/>
    <mergeCell ref="AV4472:AW4473"/>
    <mergeCell ref="A4464:A4465"/>
    <mergeCell ref="E4464:E4465"/>
    <mergeCell ref="F4464:H4464"/>
    <mergeCell ref="J4464:J4465"/>
    <mergeCell ref="K4464:L4465"/>
    <mergeCell ref="M4464:N4465"/>
    <mergeCell ref="O4464:P4465"/>
    <mergeCell ref="Q4464:R4465"/>
    <mergeCell ref="S4464:T4465"/>
    <mergeCell ref="U4464:V4465"/>
    <mergeCell ref="W4464:W4465"/>
    <mergeCell ref="X4464:AB4464"/>
    <mergeCell ref="AD4464:AI4464"/>
    <mergeCell ref="AJ4464:AL4464"/>
    <mergeCell ref="AN4464:AO4464"/>
    <mergeCell ref="AP4464:AQ4464"/>
    <mergeCell ref="AR4464:AS4465"/>
    <mergeCell ref="AT4464:AU4465"/>
    <mergeCell ref="AV4464:AW4465"/>
    <mergeCell ref="AX4464:AY4465"/>
    <mergeCell ref="AZ4464:AZ4465"/>
    <mergeCell ref="F4465:H4465"/>
    <mergeCell ref="X4465:AB4465"/>
    <mergeCell ref="AE4465:AI4465"/>
    <mergeCell ref="AJ4465:AL4465"/>
    <mergeCell ref="AN4465:AO4465"/>
    <mergeCell ref="AP4465:AQ4465"/>
    <mergeCell ref="A4466:A4467"/>
    <mergeCell ref="A4458:A4459"/>
    <mergeCell ref="E4458:E4459"/>
    <mergeCell ref="F4458:H4458"/>
    <mergeCell ref="J4458:J4459"/>
    <mergeCell ref="K4458:L4459"/>
    <mergeCell ref="M4458:N4459"/>
    <mergeCell ref="O4458:P4459"/>
    <mergeCell ref="Q4458:R4459"/>
    <mergeCell ref="S4458:T4459"/>
    <mergeCell ref="U4458:V4459"/>
    <mergeCell ref="W4458:W4459"/>
    <mergeCell ref="X4458:AB4458"/>
    <mergeCell ref="AD4458:AI4458"/>
    <mergeCell ref="AJ4458:AL4458"/>
    <mergeCell ref="AN4458:AO4458"/>
    <mergeCell ref="AP4458:AQ4458"/>
    <mergeCell ref="AR4458:AS4459"/>
    <mergeCell ref="AT4458:AU4459"/>
    <mergeCell ref="AV4458:AW4459"/>
    <mergeCell ref="AX4458:AY4459"/>
    <mergeCell ref="AZ4458:AZ4459"/>
    <mergeCell ref="F4459:H4459"/>
    <mergeCell ref="X4459:AB4459"/>
    <mergeCell ref="AE4459:AI4459"/>
    <mergeCell ref="AJ4459:AL4459"/>
    <mergeCell ref="AN4459:AO4459"/>
    <mergeCell ref="AP4459:AQ4459"/>
    <mergeCell ref="A4460:A4461"/>
    <mergeCell ref="E4460:E4461"/>
    <mergeCell ref="F4460:H4460"/>
    <mergeCell ref="J4460:J4461"/>
    <mergeCell ref="K4460:L4461"/>
    <mergeCell ref="M4460:N4461"/>
    <mergeCell ref="O4460:P4461"/>
    <mergeCell ref="Q4460:R4461"/>
    <mergeCell ref="S4460:T4461"/>
    <mergeCell ref="U4460:V4461"/>
    <mergeCell ref="W4460:W4461"/>
    <mergeCell ref="X4460:AB4460"/>
    <mergeCell ref="AD4460:AI4460"/>
    <mergeCell ref="AJ4460:AL4460"/>
    <mergeCell ref="AN4460:AO4460"/>
    <mergeCell ref="AP4460:AQ4460"/>
    <mergeCell ref="AR4460:AS4461"/>
    <mergeCell ref="AT4460:AU4461"/>
    <mergeCell ref="AV4460:AW4461"/>
    <mergeCell ref="AX4460:AY4461"/>
    <mergeCell ref="AZ4460:AZ4461"/>
    <mergeCell ref="F4461:H4461"/>
    <mergeCell ref="X4461:AB4461"/>
    <mergeCell ref="AE4461:AI4461"/>
    <mergeCell ref="AJ4461:AL4461"/>
    <mergeCell ref="AN4461:AO4461"/>
    <mergeCell ref="AP4461:AQ4461"/>
    <mergeCell ref="A4454:A4455"/>
    <mergeCell ref="E4454:E4455"/>
    <mergeCell ref="F4454:H4454"/>
    <mergeCell ref="J4454:J4455"/>
    <mergeCell ref="K4454:L4455"/>
    <mergeCell ref="M4454:N4455"/>
    <mergeCell ref="O4454:P4455"/>
    <mergeCell ref="Q4454:R4455"/>
    <mergeCell ref="S4454:T4455"/>
    <mergeCell ref="U4454:V4455"/>
    <mergeCell ref="W4454:W4455"/>
    <mergeCell ref="X4454:AB4454"/>
    <mergeCell ref="AD4454:AI4454"/>
    <mergeCell ref="AJ4454:AL4454"/>
    <mergeCell ref="AN4454:AO4454"/>
    <mergeCell ref="AP4454:AQ4454"/>
    <mergeCell ref="AR4454:AS4455"/>
    <mergeCell ref="AT4454:AU4455"/>
    <mergeCell ref="AV4454:AW4455"/>
    <mergeCell ref="AX4454:AY4455"/>
    <mergeCell ref="AZ4454:AZ4455"/>
    <mergeCell ref="F4455:H4455"/>
    <mergeCell ref="X4455:AB4455"/>
    <mergeCell ref="AE4455:AI4455"/>
    <mergeCell ref="AJ4455:AL4455"/>
    <mergeCell ref="AN4455:AO4455"/>
    <mergeCell ref="AP4455:AQ4455"/>
    <mergeCell ref="A4456:A4457"/>
    <mergeCell ref="E4456:E4457"/>
    <mergeCell ref="F4456:H4456"/>
    <mergeCell ref="J4456:J4457"/>
    <mergeCell ref="K4456:L4457"/>
    <mergeCell ref="M4456:N4457"/>
    <mergeCell ref="O4456:P4457"/>
    <mergeCell ref="Q4456:R4457"/>
    <mergeCell ref="S4456:T4457"/>
    <mergeCell ref="U4456:V4457"/>
    <mergeCell ref="W4456:W4457"/>
    <mergeCell ref="X4456:AB4456"/>
    <mergeCell ref="AD4456:AI4456"/>
    <mergeCell ref="AJ4456:AL4456"/>
    <mergeCell ref="AN4456:AO4456"/>
    <mergeCell ref="AP4456:AQ4456"/>
    <mergeCell ref="AR4456:AS4457"/>
    <mergeCell ref="AT4456:AU4457"/>
    <mergeCell ref="AV4456:AW4457"/>
    <mergeCell ref="AX4456:AY4457"/>
    <mergeCell ref="AZ4456:AZ4457"/>
    <mergeCell ref="F4457:H4457"/>
    <mergeCell ref="X4457:AB4457"/>
    <mergeCell ref="AE4457:AI4457"/>
    <mergeCell ref="AJ4457:AL4457"/>
    <mergeCell ref="AN4457:AO4457"/>
    <mergeCell ref="AP4457:AQ4457"/>
    <mergeCell ref="A4446:A4447"/>
    <mergeCell ref="E4446:E4447"/>
    <mergeCell ref="F4446:H4446"/>
    <mergeCell ref="J4446:J4447"/>
    <mergeCell ref="K4446:L4447"/>
    <mergeCell ref="M4446:N4447"/>
    <mergeCell ref="O4446:P4447"/>
    <mergeCell ref="Q4446:R4447"/>
    <mergeCell ref="S4446:T4447"/>
    <mergeCell ref="U4446:V4447"/>
    <mergeCell ref="A4452:A4453"/>
    <mergeCell ref="E4452:E4453"/>
    <mergeCell ref="F4452:H4452"/>
    <mergeCell ref="J4452:J4453"/>
    <mergeCell ref="K4452:L4453"/>
    <mergeCell ref="M4452:N4453"/>
    <mergeCell ref="O4452:P4453"/>
    <mergeCell ref="Q4452:R4453"/>
    <mergeCell ref="S4452:T4453"/>
    <mergeCell ref="U4452:V4453"/>
    <mergeCell ref="W4452:W4453"/>
    <mergeCell ref="X4452:AB4452"/>
    <mergeCell ref="AD4452:AI4452"/>
    <mergeCell ref="AJ4452:AL4452"/>
    <mergeCell ref="AN4452:AO4452"/>
    <mergeCell ref="AP4452:AQ4452"/>
    <mergeCell ref="AR4452:AS4453"/>
    <mergeCell ref="AT4452:AU4453"/>
    <mergeCell ref="AV4452:AW4453"/>
    <mergeCell ref="AX4452:AY4453"/>
    <mergeCell ref="AZ4452:AZ4453"/>
    <mergeCell ref="F4453:H4453"/>
    <mergeCell ref="X4453:AB4453"/>
    <mergeCell ref="AE4453:AI4453"/>
    <mergeCell ref="AJ4453:AL4453"/>
    <mergeCell ref="AN4453:AO4453"/>
    <mergeCell ref="AP4453:AQ4453"/>
    <mergeCell ref="W4446:W4447"/>
    <mergeCell ref="X4446:AB4446"/>
    <mergeCell ref="AD4446:AI4446"/>
    <mergeCell ref="AJ4446:AL4446"/>
    <mergeCell ref="AN4446:AO4446"/>
    <mergeCell ref="AP4446:AQ4446"/>
    <mergeCell ref="AR4446:AS4447"/>
    <mergeCell ref="AT4446:AU4447"/>
    <mergeCell ref="AV4446:AW4447"/>
    <mergeCell ref="AX4446:AY4447"/>
    <mergeCell ref="AZ4446:AZ4447"/>
    <mergeCell ref="F4447:H4447"/>
    <mergeCell ref="X4447:AB4447"/>
    <mergeCell ref="AE4447:AI4447"/>
    <mergeCell ref="AJ4447:AL4447"/>
    <mergeCell ref="AN4447:AO4447"/>
    <mergeCell ref="AP4447:AQ4447"/>
    <mergeCell ref="A4448:A4449"/>
    <mergeCell ref="E4448:E4449"/>
    <mergeCell ref="F4448:H4448"/>
    <mergeCell ref="J4448:J4449"/>
    <mergeCell ref="K4448:L4449"/>
    <mergeCell ref="M4448:N4449"/>
    <mergeCell ref="O4448:P4449"/>
    <mergeCell ref="Q4448:R4449"/>
    <mergeCell ref="S4448:T4449"/>
    <mergeCell ref="U4448:V4449"/>
    <mergeCell ref="A4438:A4439"/>
    <mergeCell ref="E4438:E4439"/>
    <mergeCell ref="F4438:H4438"/>
    <mergeCell ref="J4438:J4439"/>
    <mergeCell ref="K4438:L4439"/>
    <mergeCell ref="M4438:N4439"/>
    <mergeCell ref="O4438:P4439"/>
    <mergeCell ref="Q4438:R4439"/>
    <mergeCell ref="S4438:T4439"/>
    <mergeCell ref="U4438:V4439"/>
    <mergeCell ref="W4438:W4439"/>
    <mergeCell ref="X4438:AB4438"/>
    <mergeCell ref="AD4438:AI4438"/>
    <mergeCell ref="AJ4438:AL4438"/>
    <mergeCell ref="AN4438:AO4438"/>
    <mergeCell ref="AP4438:AQ4438"/>
    <mergeCell ref="AR4438:AS4439"/>
    <mergeCell ref="AT4438:AU4439"/>
    <mergeCell ref="AV4438:AW4439"/>
    <mergeCell ref="AX4438:AY4439"/>
    <mergeCell ref="AZ4438:AZ4439"/>
    <mergeCell ref="F4439:H4439"/>
    <mergeCell ref="X4439:AB4439"/>
    <mergeCell ref="AE4439:AI4439"/>
    <mergeCell ref="AJ4439:AL4439"/>
    <mergeCell ref="AN4439:AO4439"/>
    <mergeCell ref="AP4439:AQ4439"/>
    <mergeCell ref="A4440:A4441"/>
    <mergeCell ref="E4440:E4441"/>
    <mergeCell ref="F4440:H4440"/>
    <mergeCell ref="J4440:J4441"/>
    <mergeCell ref="K4440:L4441"/>
    <mergeCell ref="M4440:N4441"/>
    <mergeCell ref="O4440:P4441"/>
    <mergeCell ref="Q4440:R4441"/>
    <mergeCell ref="S4440:T4441"/>
    <mergeCell ref="U4440:V4441"/>
    <mergeCell ref="W4440:W4441"/>
    <mergeCell ref="X4440:AB4440"/>
    <mergeCell ref="AD4440:AI4440"/>
    <mergeCell ref="AJ4440:AL4440"/>
    <mergeCell ref="AN4440:AO4440"/>
    <mergeCell ref="AP4440:AQ4440"/>
    <mergeCell ref="AR4440:AS4441"/>
    <mergeCell ref="AT4440:AU4441"/>
    <mergeCell ref="AV4440:AW4441"/>
    <mergeCell ref="AX4440:AY4441"/>
    <mergeCell ref="AZ4440:AZ4441"/>
    <mergeCell ref="F4441:H4441"/>
    <mergeCell ref="X4441:AB4441"/>
    <mergeCell ref="AE4441:AI4441"/>
    <mergeCell ref="AJ4441:AL4441"/>
    <mergeCell ref="AN4441:AO4441"/>
    <mergeCell ref="AP4441:AQ4441"/>
    <mergeCell ref="A4432:A4433"/>
    <mergeCell ref="E4432:E4433"/>
    <mergeCell ref="F4432:H4432"/>
    <mergeCell ref="J4432:J4433"/>
    <mergeCell ref="K4432:L4433"/>
    <mergeCell ref="M4432:N4433"/>
    <mergeCell ref="O4432:P4433"/>
    <mergeCell ref="Q4432:R4433"/>
    <mergeCell ref="S4432:T4433"/>
    <mergeCell ref="U4432:V4433"/>
    <mergeCell ref="W4432:W4433"/>
    <mergeCell ref="X4432:AB4432"/>
    <mergeCell ref="AD4432:AI4432"/>
    <mergeCell ref="AJ4432:AL4432"/>
    <mergeCell ref="AN4432:AO4432"/>
    <mergeCell ref="AP4432:AQ4432"/>
    <mergeCell ref="AR4432:AS4433"/>
    <mergeCell ref="AT4432:AU4433"/>
    <mergeCell ref="AV4432:AW4433"/>
    <mergeCell ref="AX4432:AY4433"/>
    <mergeCell ref="A4436:A4437"/>
    <mergeCell ref="E4436:E4437"/>
    <mergeCell ref="F4436:H4436"/>
    <mergeCell ref="J4436:J4437"/>
    <mergeCell ref="K4436:L4437"/>
    <mergeCell ref="M4436:N4437"/>
    <mergeCell ref="O4436:P4437"/>
    <mergeCell ref="Q4436:R4437"/>
    <mergeCell ref="S4436:T4437"/>
    <mergeCell ref="U4436:V4437"/>
    <mergeCell ref="W4436:W4437"/>
    <mergeCell ref="X4436:AB4436"/>
    <mergeCell ref="AD4436:AI4436"/>
    <mergeCell ref="AJ4436:AL4436"/>
    <mergeCell ref="AN4436:AO4436"/>
    <mergeCell ref="AP4436:AQ4436"/>
    <mergeCell ref="AR4436:AS4437"/>
    <mergeCell ref="AT4436:AU4437"/>
    <mergeCell ref="AV4436:AW4437"/>
    <mergeCell ref="AX4436:AY4437"/>
    <mergeCell ref="AZ4436:AZ4437"/>
    <mergeCell ref="F4437:H4437"/>
    <mergeCell ref="X4437:AB4437"/>
    <mergeCell ref="AE4437:AI4437"/>
    <mergeCell ref="AJ4437:AL4437"/>
    <mergeCell ref="AN4437:AO4437"/>
    <mergeCell ref="AP4437:AQ4437"/>
    <mergeCell ref="A4424:A4425"/>
    <mergeCell ref="E4424:E4425"/>
    <mergeCell ref="F4424:H4424"/>
    <mergeCell ref="J4424:J4425"/>
    <mergeCell ref="K4424:L4425"/>
    <mergeCell ref="M4424:N4425"/>
    <mergeCell ref="O4424:P4425"/>
    <mergeCell ref="Q4424:R4425"/>
    <mergeCell ref="S4424:T4425"/>
    <mergeCell ref="U4424:V4425"/>
    <mergeCell ref="W4424:W4425"/>
    <mergeCell ref="X4424:AB4424"/>
    <mergeCell ref="AD4424:AI4424"/>
    <mergeCell ref="AJ4424:AL4424"/>
    <mergeCell ref="AN4424:AO4424"/>
    <mergeCell ref="AP4424:AQ4424"/>
    <mergeCell ref="AR4424:AS4425"/>
    <mergeCell ref="AT4424:AU4425"/>
    <mergeCell ref="AV4424:AW4425"/>
    <mergeCell ref="AX4424:AY4425"/>
    <mergeCell ref="AZ4424:AZ4425"/>
    <mergeCell ref="F4425:H4425"/>
    <mergeCell ref="X4425:AB4425"/>
    <mergeCell ref="AE4425:AI4425"/>
    <mergeCell ref="AJ4425:AL4425"/>
    <mergeCell ref="AN4425:AO4425"/>
    <mergeCell ref="AP4425:AQ4425"/>
    <mergeCell ref="A4434:A4435"/>
    <mergeCell ref="E4434:E4435"/>
    <mergeCell ref="F4434:H4434"/>
    <mergeCell ref="J4434:J4435"/>
    <mergeCell ref="K4434:L4435"/>
    <mergeCell ref="M4434:N4435"/>
    <mergeCell ref="O4434:P4435"/>
    <mergeCell ref="Q4434:R4435"/>
    <mergeCell ref="S4434:T4435"/>
    <mergeCell ref="U4434:V4435"/>
    <mergeCell ref="W4434:W4435"/>
    <mergeCell ref="X4434:AB4434"/>
    <mergeCell ref="AD4434:AI4434"/>
    <mergeCell ref="AJ4434:AL4434"/>
    <mergeCell ref="AN4434:AO4434"/>
    <mergeCell ref="AP4434:AQ4434"/>
    <mergeCell ref="AR4434:AS4435"/>
    <mergeCell ref="AT4434:AU4435"/>
    <mergeCell ref="AV4434:AW4435"/>
    <mergeCell ref="AX4434:AY4435"/>
    <mergeCell ref="AZ4434:AZ4435"/>
    <mergeCell ref="F4435:H4435"/>
    <mergeCell ref="X4435:AB4435"/>
    <mergeCell ref="AE4435:AI4435"/>
    <mergeCell ref="AJ4435:AL4435"/>
    <mergeCell ref="AN4435:AO4435"/>
    <mergeCell ref="AP4435:AQ4435"/>
    <mergeCell ref="A4428:A4429"/>
    <mergeCell ref="E4428:E4429"/>
    <mergeCell ref="F4428:H4428"/>
    <mergeCell ref="A4418:A4419"/>
    <mergeCell ref="E4418:E4419"/>
    <mergeCell ref="F4418:H4418"/>
    <mergeCell ref="J4418:J4419"/>
    <mergeCell ref="K4418:L4419"/>
    <mergeCell ref="M4418:N4419"/>
    <mergeCell ref="O4418:P4419"/>
    <mergeCell ref="Q4418:R4419"/>
    <mergeCell ref="S4418:T4419"/>
    <mergeCell ref="U4418:V4419"/>
    <mergeCell ref="W4418:W4419"/>
    <mergeCell ref="X4418:AB4418"/>
    <mergeCell ref="AD4418:AI4418"/>
    <mergeCell ref="AJ4418:AL4418"/>
    <mergeCell ref="AN4418:AO4418"/>
    <mergeCell ref="AP4418:AQ4418"/>
    <mergeCell ref="AR4418:AS4419"/>
    <mergeCell ref="AT4418:AU4419"/>
    <mergeCell ref="AV4418:AW4419"/>
    <mergeCell ref="AX4418:AY4419"/>
    <mergeCell ref="AZ4418:AZ4419"/>
    <mergeCell ref="F4419:H4419"/>
    <mergeCell ref="X4419:AB4419"/>
    <mergeCell ref="AE4419:AI4419"/>
    <mergeCell ref="AJ4419:AL4419"/>
    <mergeCell ref="AN4419:AO4419"/>
    <mergeCell ref="AP4419:AQ4419"/>
    <mergeCell ref="W4422:W4423"/>
    <mergeCell ref="X4422:AB4422"/>
    <mergeCell ref="AD4422:AI4422"/>
    <mergeCell ref="AJ4422:AL4422"/>
    <mergeCell ref="AN4422:AO4422"/>
    <mergeCell ref="AP4422:AQ4422"/>
    <mergeCell ref="AR4422:AS4423"/>
    <mergeCell ref="AT4422:AU4423"/>
    <mergeCell ref="AV4422:AW4423"/>
    <mergeCell ref="AX4422:AY4423"/>
    <mergeCell ref="AZ4422:AZ4423"/>
    <mergeCell ref="F4423:H4423"/>
    <mergeCell ref="X4423:AB4423"/>
    <mergeCell ref="AE4423:AI4423"/>
    <mergeCell ref="AJ4423:AL4423"/>
    <mergeCell ref="AN4423:AO4423"/>
    <mergeCell ref="AP4423:AQ4423"/>
    <mergeCell ref="A4420:A4421"/>
    <mergeCell ref="E4420:E4421"/>
    <mergeCell ref="F4420:H4420"/>
    <mergeCell ref="J4420:J4421"/>
    <mergeCell ref="K4420:L4421"/>
    <mergeCell ref="M4420:N4421"/>
    <mergeCell ref="O4420:P4421"/>
    <mergeCell ref="Q4420:R4421"/>
    <mergeCell ref="S4420:T4421"/>
    <mergeCell ref="U4420:V4421"/>
    <mergeCell ref="W4420:W4421"/>
    <mergeCell ref="X4420:AB4420"/>
    <mergeCell ref="AD4420:AI4420"/>
    <mergeCell ref="AJ4420:AL4420"/>
    <mergeCell ref="AN4420:AO4420"/>
    <mergeCell ref="AP4420:AQ4420"/>
    <mergeCell ref="AR4420:AS4421"/>
    <mergeCell ref="AT4420:AU4421"/>
    <mergeCell ref="AV4420:AW4421"/>
    <mergeCell ref="AX4420:AY4421"/>
    <mergeCell ref="A4416:A4417"/>
    <mergeCell ref="E4416:E4417"/>
    <mergeCell ref="F4416:H4416"/>
    <mergeCell ref="J4416:J4417"/>
    <mergeCell ref="K4416:L4417"/>
    <mergeCell ref="M4416:N4417"/>
    <mergeCell ref="O4416:P4417"/>
    <mergeCell ref="Q4416:R4417"/>
    <mergeCell ref="S4416:T4417"/>
    <mergeCell ref="U4416:V4417"/>
    <mergeCell ref="W4416:W4417"/>
    <mergeCell ref="X4416:AB4416"/>
    <mergeCell ref="AD4416:AI4416"/>
    <mergeCell ref="AJ4416:AL4416"/>
    <mergeCell ref="AN4416:AO4416"/>
    <mergeCell ref="AP4416:AQ4416"/>
    <mergeCell ref="AR4416:AS4417"/>
    <mergeCell ref="AT4416:AU4417"/>
    <mergeCell ref="AV4416:AW4417"/>
    <mergeCell ref="AX4416:AY4417"/>
    <mergeCell ref="AZ4416:AZ4417"/>
    <mergeCell ref="F4417:H4417"/>
    <mergeCell ref="X4417:AB4417"/>
    <mergeCell ref="AE4417:AI4417"/>
    <mergeCell ref="AJ4417:AL4417"/>
    <mergeCell ref="AN4417:AO4417"/>
    <mergeCell ref="AP4417:AQ4417"/>
    <mergeCell ref="AZ4412:AZ4413"/>
    <mergeCell ref="F4413:H4413"/>
    <mergeCell ref="X4413:AB4413"/>
    <mergeCell ref="AE4413:AI4413"/>
    <mergeCell ref="AJ4413:AL4413"/>
    <mergeCell ref="AN4413:AO4413"/>
    <mergeCell ref="AP4413:AQ4413"/>
    <mergeCell ref="A4404:A4405"/>
    <mergeCell ref="E4404:E4405"/>
    <mergeCell ref="F4404:H4404"/>
    <mergeCell ref="J4404:J4405"/>
    <mergeCell ref="K4404:L4405"/>
    <mergeCell ref="M4404:N4405"/>
    <mergeCell ref="O4404:P4405"/>
    <mergeCell ref="Q4404:R4405"/>
    <mergeCell ref="S4404:T4405"/>
    <mergeCell ref="U4404:V4405"/>
    <mergeCell ref="W4404:W4405"/>
    <mergeCell ref="X4404:AB4404"/>
    <mergeCell ref="AD4404:AI4404"/>
    <mergeCell ref="AJ4404:AL4404"/>
    <mergeCell ref="AN4404:AO4404"/>
    <mergeCell ref="AP4404:AQ4404"/>
    <mergeCell ref="AR4404:AS4405"/>
    <mergeCell ref="AT4404:AU4405"/>
    <mergeCell ref="AV4404:AW4405"/>
    <mergeCell ref="AX4404:AY4405"/>
    <mergeCell ref="AZ4404:AZ4405"/>
    <mergeCell ref="F4405:H4405"/>
    <mergeCell ref="X4405:AB4405"/>
    <mergeCell ref="AE4405:AI4405"/>
    <mergeCell ref="AJ4405:AL4405"/>
    <mergeCell ref="AN4405:AO4405"/>
    <mergeCell ref="AP4405:AQ4405"/>
    <mergeCell ref="A4406:A4407"/>
    <mergeCell ref="E4406:E4407"/>
    <mergeCell ref="F4406:H4406"/>
    <mergeCell ref="J4406:J4407"/>
    <mergeCell ref="K4406:L4407"/>
    <mergeCell ref="M4406:N4407"/>
    <mergeCell ref="O4406:P4407"/>
    <mergeCell ref="Q4406:R4407"/>
    <mergeCell ref="S4406:T4407"/>
    <mergeCell ref="U4406:V4407"/>
    <mergeCell ref="W4406:W4407"/>
    <mergeCell ref="X4406:AB4406"/>
    <mergeCell ref="AD4406:AI4406"/>
    <mergeCell ref="AJ4406:AL4406"/>
    <mergeCell ref="AN4406:AO4406"/>
    <mergeCell ref="AP4406:AQ4406"/>
    <mergeCell ref="AR4406:AS4407"/>
    <mergeCell ref="AT4406:AU4407"/>
    <mergeCell ref="AV4406:AW4407"/>
    <mergeCell ref="AX4406:AY4407"/>
    <mergeCell ref="AZ4406:AZ4407"/>
    <mergeCell ref="F4407:H4407"/>
    <mergeCell ref="X4407:AB4407"/>
    <mergeCell ref="AE4407:AI4407"/>
    <mergeCell ref="AJ4407:AL4407"/>
    <mergeCell ref="AN4407:AO4407"/>
    <mergeCell ref="AP4407:AQ4407"/>
    <mergeCell ref="A4400:A4401"/>
    <mergeCell ref="E4400:E4401"/>
    <mergeCell ref="F4400:H4400"/>
    <mergeCell ref="J4400:J4401"/>
    <mergeCell ref="K4400:L4401"/>
    <mergeCell ref="M4400:N4401"/>
    <mergeCell ref="O4400:P4401"/>
    <mergeCell ref="Q4400:R4401"/>
    <mergeCell ref="S4400:T4401"/>
    <mergeCell ref="U4400:V4401"/>
    <mergeCell ref="W4400:W4401"/>
    <mergeCell ref="X4400:AB4400"/>
    <mergeCell ref="AD4400:AI4400"/>
    <mergeCell ref="AJ4400:AL4400"/>
    <mergeCell ref="AN4400:AO4400"/>
    <mergeCell ref="AP4400:AQ4400"/>
    <mergeCell ref="AR4400:AS4401"/>
    <mergeCell ref="AT4400:AU4401"/>
    <mergeCell ref="AV4400:AW4401"/>
    <mergeCell ref="AX4400:AY4401"/>
    <mergeCell ref="AZ4400:AZ4401"/>
    <mergeCell ref="F4401:H4401"/>
    <mergeCell ref="X4401:AB4401"/>
    <mergeCell ref="AE4401:AI4401"/>
    <mergeCell ref="AJ4401:AL4401"/>
    <mergeCell ref="AN4401:AO4401"/>
    <mergeCell ref="AP4401:AQ4401"/>
    <mergeCell ref="A4402:A4403"/>
    <mergeCell ref="E4402:E4403"/>
    <mergeCell ref="F4402:H4402"/>
    <mergeCell ref="J4402:J4403"/>
    <mergeCell ref="K4402:L4403"/>
    <mergeCell ref="M4402:N4403"/>
    <mergeCell ref="O4402:P4403"/>
    <mergeCell ref="Q4402:R4403"/>
    <mergeCell ref="S4402:T4403"/>
    <mergeCell ref="U4402:V4403"/>
    <mergeCell ref="W4402:W4403"/>
    <mergeCell ref="X4402:AB4402"/>
    <mergeCell ref="AD4402:AI4402"/>
    <mergeCell ref="AJ4402:AL4402"/>
    <mergeCell ref="AN4402:AO4402"/>
    <mergeCell ref="AP4402:AQ4402"/>
    <mergeCell ref="AR4402:AS4403"/>
    <mergeCell ref="AT4402:AU4403"/>
    <mergeCell ref="AV4402:AW4403"/>
    <mergeCell ref="AX4402:AY4403"/>
    <mergeCell ref="AZ4402:AZ4403"/>
    <mergeCell ref="F4403:H4403"/>
    <mergeCell ref="X4403:AB4403"/>
    <mergeCell ref="AE4403:AI4403"/>
    <mergeCell ref="AJ4403:AL4403"/>
    <mergeCell ref="AN4403:AO4403"/>
    <mergeCell ref="AP4403:AQ4403"/>
    <mergeCell ref="A4396:A4397"/>
    <mergeCell ref="E4396:E4397"/>
    <mergeCell ref="F4396:H4396"/>
    <mergeCell ref="J4396:J4397"/>
    <mergeCell ref="K4396:L4397"/>
    <mergeCell ref="M4396:N4397"/>
    <mergeCell ref="O4396:P4397"/>
    <mergeCell ref="Q4396:R4397"/>
    <mergeCell ref="S4396:T4397"/>
    <mergeCell ref="U4396:V4397"/>
    <mergeCell ref="W4396:W4397"/>
    <mergeCell ref="X4396:AB4396"/>
    <mergeCell ref="AD4396:AI4396"/>
    <mergeCell ref="AJ4396:AL4396"/>
    <mergeCell ref="AN4396:AO4396"/>
    <mergeCell ref="AP4396:AQ4396"/>
    <mergeCell ref="AR4396:AS4397"/>
    <mergeCell ref="AT4396:AU4397"/>
    <mergeCell ref="AV4396:AW4397"/>
    <mergeCell ref="AX4396:AY4397"/>
    <mergeCell ref="AZ4396:AZ4397"/>
    <mergeCell ref="F4397:H4397"/>
    <mergeCell ref="X4397:AB4397"/>
    <mergeCell ref="AE4397:AI4397"/>
    <mergeCell ref="AJ4397:AL4397"/>
    <mergeCell ref="AN4397:AO4397"/>
    <mergeCell ref="AP4397:AQ4397"/>
    <mergeCell ref="A4398:A4399"/>
    <mergeCell ref="E4398:E4399"/>
    <mergeCell ref="F4398:H4398"/>
    <mergeCell ref="J4398:J4399"/>
    <mergeCell ref="K4398:L4399"/>
    <mergeCell ref="M4398:N4399"/>
    <mergeCell ref="O4398:P4399"/>
    <mergeCell ref="Q4398:R4399"/>
    <mergeCell ref="S4398:T4399"/>
    <mergeCell ref="U4398:V4399"/>
    <mergeCell ref="W4398:W4399"/>
    <mergeCell ref="X4398:AB4398"/>
    <mergeCell ref="AD4398:AI4398"/>
    <mergeCell ref="AJ4398:AL4398"/>
    <mergeCell ref="AN4398:AO4398"/>
    <mergeCell ref="AP4398:AQ4398"/>
    <mergeCell ref="AR4398:AS4399"/>
    <mergeCell ref="AT4398:AU4399"/>
    <mergeCell ref="AV4398:AW4399"/>
    <mergeCell ref="AX4398:AY4399"/>
    <mergeCell ref="AZ4398:AZ4399"/>
    <mergeCell ref="F4399:H4399"/>
    <mergeCell ref="X4399:AB4399"/>
    <mergeCell ref="AE4399:AI4399"/>
    <mergeCell ref="AJ4399:AL4399"/>
    <mergeCell ref="AN4399:AO4399"/>
    <mergeCell ref="AP4399:AQ4399"/>
    <mergeCell ref="A4328:A4329"/>
    <mergeCell ref="E4328:E4329"/>
    <mergeCell ref="F4328:H4328"/>
    <mergeCell ref="J4328:J4329"/>
    <mergeCell ref="K4328:L4329"/>
    <mergeCell ref="M4328:N4329"/>
    <mergeCell ref="O4328:P4329"/>
    <mergeCell ref="Q4328:R4329"/>
    <mergeCell ref="S4328:T4329"/>
    <mergeCell ref="U4328:V4329"/>
    <mergeCell ref="W4328:W4329"/>
    <mergeCell ref="X4328:AB4328"/>
    <mergeCell ref="AD4328:AI4328"/>
    <mergeCell ref="AJ4328:AL4328"/>
    <mergeCell ref="AN4328:AO4328"/>
    <mergeCell ref="AP4328:AQ4328"/>
    <mergeCell ref="AR4328:AS4329"/>
    <mergeCell ref="AT4328:AU4329"/>
    <mergeCell ref="AV4328:AW4329"/>
    <mergeCell ref="AX4328:AY4329"/>
    <mergeCell ref="AZ4328:AZ4329"/>
    <mergeCell ref="F4329:H4329"/>
    <mergeCell ref="X4329:AB4329"/>
    <mergeCell ref="AE4329:AI4329"/>
    <mergeCell ref="AJ4329:AL4329"/>
    <mergeCell ref="AN4329:AO4329"/>
    <mergeCell ref="AP4329:AQ4329"/>
    <mergeCell ref="A4340:A4341"/>
    <mergeCell ref="E4340:E4341"/>
    <mergeCell ref="F4340:H4340"/>
    <mergeCell ref="J4340:J4341"/>
    <mergeCell ref="K4340:L4341"/>
    <mergeCell ref="M4340:N4341"/>
    <mergeCell ref="O4340:P4341"/>
    <mergeCell ref="Q4340:R4341"/>
    <mergeCell ref="S4340:T4341"/>
    <mergeCell ref="U4340:V4341"/>
    <mergeCell ref="W4340:W4341"/>
    <mergeCell ref="X4340:AB4340"/>
    <mergeCell ref="AD4340:AI4340"/>
    <mergeCell ref="AJ4340:AL4340"/>
    <mergeCell ref="AN4340:AO4340"/>
    <mergeCell ref="AP4340:AQ4340"/>
    <mergeCell ref="AR4340:AS4341"/>
    <mergeCell ref="AT4340:AU4341"/>
    <mergeCell ref="AV4340:AW4341"/>
    <mergeCell ref="AX4340:AY4341"/>
    <mergeCell ref="AZ4340:AZ4341"/>
    <mergeCell ref="F4341:H4341"/>
    <mergeCell ref="X4341:AB4341"/>
    <mergeCell ref="AE4341:AI4341"/>
    <mergeCell ref="AJ4341:AL4341"/>
    <mergeCell ref="AN4341:AO4341"/>
    <mergeCell ref="AP4341:AQ4341"/>
    <mergeCell ref="A4330:A4331"/>
    <mergeCell ref="E4330:E4331"/>
    <mergeCell ref="F4330:H4330"/>
    <mergeCell ref="J4330:J4331"/>
    <mergeCell ref="K4330:L4331"/>
    <mergeCell ref="M4330:N4331"/>
    <mergeCell ref="O4330:P4331"/>
    <mergeCell ref="Q4330:R4331"/>
    <mergeCell ref="S4330:T4331"/>
    <mergeCell ref="U4330:V4331"/>
    <mergeCell ref="AD4208:AI4208"/>
    <mergeCell ref="AJ4208:AL4208"/>
    <mergeCell ref="AN4208:AO4208"/>
    <mergeCell ref="AP4208:AQ4208"/>
    <mergeCell ref="AR4208:AS4209"/>
    <mergeCell ref="AT4208:AU4209"/>
    <mergeCell ref="AV4208:AW4209"/>
    <mergeCell ref="AX4208:AY4209"/>
    <mergeCell ref="AZ4208:AZ4209"/>
    <mergeCell ref="F4209:H4209"/>
    <mergeCell ref="X4209:AB4209"/>
    <mergeCell ref="AE4209:AI4209"/>
    <mergeCell ref="AJ4209:AL4209"/>
    <mergeCell ref="AN4209:AO4209"/>
    <mergeCell ref="AP4209:AQ4209"/>
    <mergeCell ref="A4188:A4189"/>
    <mergeCell ref="E4188:E4189"/>
    <mergeCell ref="F4188:H4188"/>
    <mergeCell ref="J4188:J4189"/>
    <mergeCell ref="K4188:L4189"/>
    <mergeCell ref="M4188:N4189"/>
    <mergeCell ref="O4188:P4189"/>
    <mergeCell ref="Q4188:R4189"/>
    <mergeCell ref="S4188:T4189"/>
    <mergeCell ref="U4188:V4189"/>
    <mergeCell ref="W4188:W4189"/>
    <mergeCell ref="X4188:AB4188"/>
    <mergeCell ref="AD4188:AI4188"/>
    <mergeCell ref="AJ4188:AL4188"/>
    <mergeCell ref="AN4188:AO4188"/>
    <mergeCell ref="AP4188:AQ4188"/>
    <mergeCell ref="AR4188:AS4189"/>
    <mergeCell ref="AT4188:AU4189"/>
    <mergeCell ref="AV4188:AW4189"/>
    <mergeCell ref="AX4188:AY4189"/>
    <mergeCell ref="AZ4188:AZ4189"/>
    <mergeCell ref="F4189:H4189"/>
    <mergeCell ref="X4189:AB4189"/>
    <mergeCell ref="AE4189:AI4189"/>
    <mergeCell ref="AJ4189:AL4189"/>
    <mergeCell ref="AN4189:AO4189"/>
    <mergeCell ref="AP4189:AQ4189"/>
    <mergeCell ref="W4204:W4205"/>
    <mergeCell ref="X4204:AB4204"/>
    <mergeCell ref="AD4204:AI4204"/>
    <mergeCell ref="AJ4204:AL4204"/>
    <mergeCell ref="AN4204:AO4204"/>
    <mergeCell ref="AP4204:AQ4204"/>
    <mergeCell ref="AR4204:AS4205"/>
    <mergeCell ref="AT4204:AU4205"/>
    <mergeCell ref="AV4204:AW4205"/>
    <mergeCell ref="AX4204:AY4205"/>
    <mergeCell ref="AZ4204:AZ4205"/>
    <mergeCell ref="F4205:H4205"/>
    <mergeCell ref="X4205:AB4205"/>
    <mergeCell ref="AE4205:AI4205"/>
    <mergeCell ref="AJ4205:AL4205"/>
    <mergeCell ref="AN4205:AO4205"/>
    <mergeCell ref="AP4205:AQ4205"/>
    <mergeCell ref="A4206:A4207"/>
    <mergeCell ref="E4206:E4207"/>
    <mergeCell ref="F4206:H4206"/>
    <mergeCell ref="J4206:J4207"/>
    <mergeCell ref="K4206:L4207"/>
    <mergeCell ref="M4206:N4207"/>
    <mergeCell ref="O4206:P4207"/>
    <mergeCell ref="Q4206:R4207"/>
    <mergeCell ref="S4206:T4207"/>
    <mergeCell ref="U4206:V4207"/>
    <mergeCell ref="W4206:W4207"/>
    <mergeCell ref="X4206:AB4206"/>
    <mergeCell ref="AD4206:AI4206"/>
    <mergeCell ref="AJ4206:AL4206"/>
    <mergeCell ref="AN4206:AO4206"/>
    <mergeCell ref="AP4206:AQ4206"/>
    <mergeCell ref="AR4206:AS4207"/>
    <mergeCell ref="AT4206:AU4207"/>
    <mergeCell ref="AV4206:AW4207"/>
    <mergeCell ref="AX4206:AY4207"/>
    <mergeCell ref="AZ4206:AZ4207"/>
    <mergeCell ref="F4207:H4207"/>
    <mergeCell ref="X4207:AB4207"/>
    <mergeCell ref="AE4207:AI4207"/>
    <mergeCell ref="AJ4207:AL4207"/>
    <mergeCell ref="AN4207:AO4207"/>
    <mergeCell ref="AP4207:AQ4207"/>
    <mergeCell ref="AX4200:AY4201"/>
    <mergeCell ref="AZ4200:AZ4201"/>
    <mergeCell ref="F4201:H4201"/>
    <mergeCell ref="X4201:AB4201"/>
    <mergeCell ref="AE4201:AI4201"/>
    <mergeCell ref="AJ4201:AL4201"/>
    <mergeCell ref="AN4201:AO4201"/>
    <mergeCell ref="AP4201:AQ4201"/>
    <mergeCell ref="A4202:A4203"/>
    <mergeCell ref="E4202:E4203"/>
    <mergeCell ref="F4202:H4202"/>
    <mergeCell ref="J4202:J4203"/>
    <mergeCell ref="K4202:L4203"/>
    <mergeCell ref="M4202:N4203"/>
    <mergeCell ref="O4202:P4203"/>
    <mergeCell ref="Q4202:R4203"/>
    <mergeCell ref="S4202:T4203"/>
    <mergeCell ref="U4202:V4203"/>
    <mergeCell ref="W4202:W4203"/>
    <mergeCell ref="X4202:AB4202"/>
    <mergeCell ref="AD4202:AI4202"/>
    <mergeCell ref="AJ4202:AL4202"/>
    <mergeCell ref="AN4202:AO4202"/>
    <mergeCell ref="AP4202:AQ4202"/>
    <mergeCell ref="AR4202:AS4203"/>
    <mergeCell ref="AT4202:AU4203"/>
    <mergeCell ref="AV4202:AW4203"/>
    <mergeCell ref="AX4202:AY4203"/>
    <mergeCell ref="AZ4202:AZ4203"/>
    <mergeCell ref="F4203:H4203"/>
    <mergeCell ref="X4203:AB4203"/>
    <mergeCell ref="AE4203:AI4203"/>
    <mergeCell ref="AJ4203:AL4203"/>
    <mergeCell ref="AN4203:AO4203"/>
    <mergeCell ref="AP4203:AQ4203"/>
    <mergeCell ref="W4022:W4023"/>
    <mergeCell ref="X4022:AB4022"/>
    <mergeCell ref="AD4022:AI4022"/>
    <mergeCell ref="AJ4022:AL4022"/>
    <mergeCell ref="AN4022:AO4022"/>
    <mergeCell ref="AP4022:AQ4022"/>
    <mergeCell ref="AR4022:AS4023"/>
    <mergeCell ref="AT4022:AU4023"/>
    <mergeCell ref="AV4022:AW4023"/>
    <mergeCell ref="AX4022:AY4023"/>
    <mergeCell ref="AZ4022:AZ4023"/>
    <mergeCell ref="F4023:H4023"/>
    <mergeCell ref="X4023:AB4023"/>
    <mergeCell ref="AE4023:AI4023"/>
    <mergeCell ref="AJ4023:AL4023"/>
    <mergeCell ref="AN4023:AO4023"/>
    <mergeCell ref="AP4023:AQ4023"/>
    <mergeCell ref="A4024:A4025"/>
    <mergeCell ref="E4024:E4025"/>
    <mergeCell ref="F4024:H4024"/>
    <mergeCell ref="J4024:J4025"/>
    <mergeCell ref="K4024:L4025"/>
    <mergeCell ref="M4024:N4025"/>
    <mergeCell ref="O4024:P4025"/>
    <mergeCell ref="Q4024:R4025"/>
    <mergeCell ref="S4024:T4025"/>
    <mergeCell ref="U4024:V4025"/>
    <mergeCell ref="W4024:W4025"/>
    <mergeCell ref="X4024:AB4024"/>
    <mergeCell ref="AD4024:AI4024"/>
    <mergeCell ref="AJ4024:AL4024"/>
    <mergeCell ref="AN4024:AO4024"/>
    <mergeCell ref="AP4024:AQ4024"/>
    <mergeCell ref="AR4024:AS4025"/>
    <mergeCell ref="AT4024:AU4025"/>
    <mergeCell ref="AV4024:AW4025"/>
    <mergeCell ref="AX4024:AY4025"/>
    <mergeCell ref="AZ4024:AZ4025"/>
    <mergeCell ref="F4025:H4025"/>
    <mergeCell ref="X4025:AB4025"/>
    <mergeCell ref="AE4025:AI4025"/>
    <mergeCell ref="AJ4025:AL4025"/>
    <mergeCell ref="AN4025:AO4025"/>
    <mergeCell ref="AP4025:AQ4025"/>
    <mergeCell ref="A3986:A3987"/>
    <mergeCell ref="E3986:E3987"/>
    <mergeCell ref="F3986:H3986"/>
    <mergeCell ref="J3986:J3987"/>
    <mergeCell ref="K3986:L3987"/>
    <mergeCell ref="M3986:N3987"/>
    <mergeCell ref="O3986:P3987"/>
    <mergeCell ref="Q3986:R3987"/>
    <mergeCell ref="S3986:T3987"/>
    <mergeCell ref="U3986:V3987"/>
    <mergeCell ref="W3986:W3987"/>
    <mergeCell ref="X3986:AB3986"/>
    <mergeCell ref="AD3986:AI3986"/>
    <mergeCell ref="AJ3986:AL3986"/>
    <mergeCell ref="AN3986:AO3986"/>
    <mergeCell ref="AP3986:AQ3986"/>
    <mergeCell ref="AR3986:AS3987"/>
    <mergeCell ref="AT3986:AU3987"/>
    <mergeCell ref="AV3986:AW3987"/>
    <mergeCell ref="AX3986:AY3987"/>
    <mergeCell ref="AZ3986:AZ3987"/>
    <mergeCell ref="F3987:H3987"/>
    <mergeCell ref="X3987:AB3987"/>
    <mergeCell ref="AE3987:AI3987"/>
    <mergeCell ref="AJ3987:AL3987"/>
    <mergeCell ref="AN3987:AO3987"/>
    <mergeCell ref="AP3987:AQ3987"/>
    <mergeCell ref="AZ3980:AZ3981"/>
    <mergeCell ref="F3981:H3981"/>
    <mergeCell ref="X3981:AB3981"/>
    <mergeCell ref="AE3981:AI3981"/>
    <mergeCell ref="AJ3981:AL3981"/>
    <mergeCell ref="AN3981:AO3981"/>
    <mergeCell ref="AP3981:AQ3981"/>
    <mergeCell ref="A3984:A3985"/>
    <mergeCell ref="E3984:E3985"/>
    <mergeCell ref="F3984:H3984"/>
    <mergeCell ref="J3984:J3985"/>
    <mergeCell ref="K3984:L3985"/>
    <mergeCell ref="M3984:N3985"/>
    <mergeCell ref="O3984:P3985"/>
    <mergeCell ref="Q3984:R3985"/>
    <mergeCell ref="S3984:T3985"/>
    <mergeCell ref="U3984:V3985"/>
    <mergeCell ref="W3984:W3985"/>
    <mergeCell ref="X3984:AB3984"/>
    <mergeCell ref="AD3984:AI3984"/>
    <mergeCell ref="AJ3984:AL3984"/>
    <mergeCell ref="AN3984:AO3984"/>
    <mergeCell ref="AP3984:AQ3984"/>
    <mergeCell ref="AR3984:AS3985"/>
    <mergeCell ref="AT3984:AU3985"/>
    <mergeCell ref="AV3984:AW3985"/>
    <mergeCell ref="AX3984:AY3985"/>
    <mergeCell ref="AZ3984:AZ3985"/>
    <mergeCell ref="F3985:H3985"/>
    <mergeCell ref="X3985:AB3985"/>
    <mergeCell ref="AE3985:AI3985"/>
    <mergeCell ref="AJ3985:AL3985"/>
    <mergeCell ref="AN3985:AO3985"/>
    <mergeCell ref="AP3985:AQ3985"/>
    <mergeCell ref="A4246:A4247"/>
    <mergeCell ref="E4246:E4247"/>
    <mergeCell ref="F4246:H4246"/>
    <mergeCell ref="J4246:J4247"/>
    <mergeCell ref="K4246:L4247"/>
    <mergeCell ref="M4246:N4247"/>
    <mergeCell ref="O4246:P4247"/>
    <mergeCell ref="Q4246:R4247"/>
    <mergeCell ref="S4246:T4247"/>
    <mergeCell ref="U4246:V4247"/>
    <mergeCell ref="W4246:W4247"/>
    <mergeCell ref="X4246:AB4246"/>
    <mergeCell ref="AD4246:AI4246"/>
    <mergeCell ref="AJ4246:AL4246"/>
    <mergeCell ref="AN4246:AO4246"/>
    <mergeCell ref="AP4246:AQ4246"/>
    <mergeCell ref="AR4246:AS4247"/>
    <mergeCell ref="AT4246:AU4247"/>
    <mergeCell ref="AV4246:AW4247"/>
    <mergeCell ref="AX4246:AY4247"/>
    <mergeCell ref="AZ4246:AZ4247"/>
    <mergeCell ref="F4247:H4247"/>
    <mergeCell ref="X4247:AB4247"/>
    <mergeCell ref="AE4247:AI4247"/>
    <mergeCell ref="AJ4247:AL4247"/>
    <mergeCell ref="AN4247:AO4247"/>
    <mergeCell ref="AP4247:AQ4247"/>
    <mergeCell ref="A3978:A3979"/>
    <mergeCell ref="E3978:E3979"/>
    <mergeCell ref="F3978:H3978"/>
    <mergeCell ref="J3978:J3979"/>
    <mergeCell ref="K3978:L3979"/>
    <mergeCell ref="M3978:N3979"/>
    <mergeCell ref="O3978:P3979"/>
    <mergeCell ref="Q3978:R3979"/>
    <mergeCell ref="S3978:T3979"/>
    <mergeCell ref="U3978:V3979"/>
    <mergeCell ref="W3978:W3979"/>
    <mergeCell ref="X3978:AB3978"/>
    <mergeCell ref="AD3978:AI3978"/>
    <mergeCell ref="AJ3978:AL3978"/>
    <mergeCell ref="AN3978:AO3978"/>
    <mergeCell ref="AP3978:AQ3978"/>
    <mergeCell ref="AR3978:AS3979"/>
    <mergeCell ref="AT3978:AU3979"/>
    <mergeCell ref="AV3978:AW3979"/>
    <mergeCell ref="AX3978:AY3979"/>
    <mergeCell ref="AZ3978:AZ3979"/>
    <mergeCell ref="F3979:H3979"/>
    <mergeCell ref="X3979:AB3979"/>
    <mergeCell ref="AE3979:AI3979"/>
    <mergeCell ref="AJ3979:AL3979"/>
    <mergeCell ref="AN3979:AO3979"/>
    <mergeCell ref="AP3979:AQ3979"/>
    <mergeCell ref="A3980:A3981"/>
    <mergeCell ref="E3980:E3981"/>
    <mergeCell ref="F3980:H3980"/>
    <mergeCell ref="J3980:J3981"/>
    <mergeCell ref="K3980:L3981"/>
    <mergeCell ref="M3980:N3981"/>
    <mergeCell ref="O3980:P3981"/>
    <mergeCell ref="Q3980:R3981"/>
    <mergeCell ref="S3980:T3981"/>
    <mergeCell ref="U3980:V3981"/>
    <mergeCell ref="A4242:A4243"/>
    <mergeCell ref="E4242:E4243"/>
    <mergeCell ref="F4242:H4242"/>
    <mergeCell ref="J4242:J4243"/>
    <mergeCell ref="K4242:L4243"/>
    <mergeCell ref="M4242:N4243"/>
    <mergeCell ref="O4242:P4243"/>
    <mergeCell ref="Q4242:R4243"/>
    <mergeCell ref="S4242:T4243"/>
    <mergeCell ref="U4242:V4243"/>
    <mergeCell ref="W4242:W4243"/>
    <mergeCell ref="X4242:AB4242"/>
    <mergeCell ref="AD4242:AI4242"/>
    <mergeCell ref="AJ4242:AL4242"/>
    <mergeCell ref="AN4242:AO4242"/>
    <mergeCell ref="AP4242:AQ4242"/>
    <mergeCell ref="AR4242:AS4243"/>
    <mergeCell ref="AT4242:AU4243"/>
    <mergeCell ref="AV4242:AW4243"/>
    <mergeCell ref="AX4242:AY4243"/>
    <mergeCell ref="AZ4242:AZ4243"/>
    <mergeCell ref="F4243:H4243"/>
    <mergeCell ref="X4243:AB4243"/>
    <mergeCell ref="AE4243:AI4243"/>
    <mergeCell ref="AJ4243:AL4243"/>
    <mergeCell ref="AN4243:AO4243"/>
    <mergeCell ref="AP4243:AQ4243"/>
    <mergeCell ref="A4244:A4245"/>
    <mergeCell ref="E4244:E4245"/>
    <mergeCell ref="F4244:H4244"/>
    <mergeCell ref="J4244:J4245"/>
    <mergeCell ref="K4244:L4245"/>
    <mergeCell ref="M4244:N4245"/>
    <mergeCell ref="O4244:P4245"/>
    <mergeCell ref="Q4244:R4245"/>
    <mergeCell ref="S4244:T4245"/>
    <mergeCell ref="U4244:V4245"/>
    <mergeCell ref="W4244:W4245"/>
    <mergeCell ref="X4244:AB4244"/>
    <mergeCell ref="AD4244:AI4244"/>
    <mergeCell ref="AJ4244:AL4244"/>
    <mergeCell ref="AN4244:AO4244"/>
    <mergeCell ref="AP4244:AQ4244"/>
    <mergeCell ref="AR4244:AS4245"/>
    <mergeCell ref="AT4244:AU4245"/>
    <mergeCell ref="AV4244:AW4245"/>
    <mergeCell ref="AX4244:AY4245"/>
    <mergeCell ref="AZ4244:AZ4245"/>
    <mergeCell ref="F4245:H4245"/>
    <mergeCell ref="X4245:AB4245"/>
    <mergeCell ref="AE4245:AI4245"/>
    <mergeCell ref="AJ4245:AL4245"/>
    <mergeCell ref="AN4245:AO4245"/>
    <mergeCell ref="AP4245:AQ4245"/>
    <mergeCell ref="A4238:A4239"/>
    <mergeCell ref="E4238:E4239"/>
    <mergeCell ref="F4238:H4238"/>
    <mergeCell ref="J4238:J4239"/>
    <mergeCell ref="K4238:L4239"/>
    <mergeCell ref="M4238:N4239"/>
    <mergeCell ref="O4238:P4239"/>
    <mergeCell ref="Q4238:R4239"/>
    <mergeCell ref="S4238:T4239"/>
    <mergeCell ref="U4238:V4239"/>
    <mergeCell ref="W4238:W4239"/>
    <mergeCell ref="X4238:AB4238"/>
    <mergeCell ref="AD4238:AI4238"/>
    <mergeCell ref="AJ4238:AL4238"/>
    <mergeCell ref="AN4238:AO4238"/>
    <mergeCell ref="AP4238:AQ4238"/>
    <mergeCell ref="AR4238:AS4239"/>
    <mergeCell ref="AT4238:AU4239"/>
    <mergeCell ref="AV4238:AW4239"/>
    <mergeCell ref="AX4238:AY4239"/>
    <mergeCell ref="AZ4238:AZ4239"/>
    <mergeCell ref="F4239:H4239"/>
    <mergeCell ref="X4239:AB4239"/>
    <mergeCell ref="AE4239:AI4239"/>
    <mergeCell ref="AJ4239:AL4239"/>
    <mergeCell ref="AN4239:AO4239"/>
    <mergeCell ref="AP4239:AQ4239"/>
    <mergeCell ref="A4240:A4241"/>
    <mergeCell ref="E4240:E4241"/>
    <mergeCell ref="F4240:H4240"/>
    <mergeCell ref="J4240:J4241"/>
    <mergeCell ref="K4240:L4241"/>
    <mergeCell ref="M4240:N4241"/>
    <mergeCell ref="O4240:P4241"/>
    <mergeCell ref="Q4240:R4241"/>
    <mergeCell ref="S4240:T4241"/>
    <mergeCell ref="U4240:V4241"/>
    <mergeCell ref="W4240:W4241"/>
    <mergeCell ref="X4240:AB4240"/>
    <mergeCell ref="AD4240:AI4240"/>
    <mergeCell ref="AJ4240:AL4240"/>
    <mergeCell ref="AN4240:AO4240"/>
    <mergeCell ref="AP4240:AQ4240"/>
    <mergeCell ref="AR4240:AS4241"/>
    <mergeCell ref="AT4240:AU4241"/>
    <mergeCell ref="AV4240:AW4241"/>
    <mergeCell ref="AX4240:AY4241"/>
    <mergeCell ref="AZ4240:AZ4241"/>
    <mergeCell ref="F4241:H4241"/>
    <mergeCell ref="X4241:AB4241"/>
    <mergeCell ref="AE4241:AI4241"/>
    <mergeCell ref="AJ4241:AL4241"/>
    <mergeCell ref="AN4241:AO4241"/>
    <mergeCell ref="AP4241:AQ4241"/>
    <mergeCell ref="A4234:A4235"/>
    <mergeCell ref="E4234:E4235"/>
    <mergeCell ref="F4234:H4234"/>
    <mergeCell ref="J4234:J4235"/>
    <mergeCell ref="K4234:L4235"/>
    <mergeCell ref="M4234:N4235"/>
    <mergeCell ref="O4234:P4235"/>
    <mergeCell ref="Q4234:R4235"/>
    <mergeCell ref="S4234:T4235"/>
    <mergeCell ref="U4234:V4235"/>
    <mergeCell ref="W4234:W4235"/>
    <mergeCell ref="X4234:AB4234"/>
    <mergeCell ref="AD4234:AI4234"/>
    <mergeCell ref="AJ4234:AL4234"/>
    <mergeCell ref="AN4234:AO4234"/>
    <mergeCell ref="AP4234:AQ4234"/>
    <mergeCell ref="AR4234:AS4235"/>
    <mergeCell ref="AT4234:AU4235"/>
    <mergeCell ref="AV4234:AW4235"/>
    <mergeCell ref="AX4234:AY4235"/>
    <mergeCell ref="AZ4234:AZ4235"/>
    <mergeCell ref="F4235:H4235"/>
    <mergeCell ref="X4235:AB4235"/>
    <mergeCell ref="AE4235:AI4235"/>
    <mergeCell ref="AJ4235:AL4235"/>
    <mergeCell ref="AN4235:AO4235"/>
    <mergeCell ref="AP4235:AQ4235"/>
    <mergeCell ref="A4236:A4237"/>
    <mergeCell ref="E4236:E4237"/>
    <mergeCell ref="F4236:H4236"/>
    <mergeCell ref="J4236:J4237"/>
    <mergeCell ref="K4236:L4237"/>
    <mergeCell ref="M4236:N4237"/>
    <mergeCell ref="O4236:P4237"/>
    <mergeCell ref="Q4236:R4237"/>
    <mergeCell ref="S4236:T4237"/>
    <mergeCell ref="U4236:V4237"/>
    <mergeCell ref="W4236:W4237"/>
    <mergeCell ref="X4236:AB4236"/>
    <mergeCell ref="AD4236:AI4236"/>
    <mergeCell ref="AJ4236:AL4236"/>
    <mergeCell ref="AN4236:AO4236"/>
    <mergeCell ref="AP4236:AQ4236"/>
    <mergeCell ref="AR4236:AS4237"/>
    <mergeCell ref="AT4236:AU4237"/>
    <mergeCell ref="AV4236:AW4237"/>
    <mergeCell ref="AX4236:AY4237"/>
    <mergeCell ref="AZ4236:AZ4237"/>
    <mergeCell ref="F4237:H4237"/>
    <mergeCell ref="X4237:AB4237"/>
    <mergeCell ref="AE4237:AI4237"/>
    <mergeCell ref="AJ4237:AL4237"/>
    <mergeCell ref="AN4237:AO4237"/>
    <mergeCell ref="AP4237:AQ4237"/>
    <mergeCell ref="A4230:A4231"/>
    <mergeCell ref="E4230:E4231"/>
    <mergeCell ref="F4230:H4230"/>
    <mergeCell ref="J4230:J4231"/>
    <mergeCell ref="K4230:L4231"/>
    <mergeCell ref="M4230:N4231"/>
    <mergeCell ref="O4230:P4231"/>
    <mergeCell ref="Q4230:R4231"/>
    <mergeCell ref="S4230:T4231"/>
    <mergeCell ref="U4230:V4231"/>
    <mergeCell ref="W4230:W4231"/>
    <mergeCell ref="X4230:AB4230"/>
    <mergeCell ref="AD4230:AI4230"/>
    <mergeCell ref="AJ4230:AL4230"/>
    <mergeCell ref="AN4230:AO4230"/>
    <mergeCell ref="AP4230:AQ4230"/>
    <mergeCell ref="AR4230:AS4231"/>
    <mergeCell ref="AT4230:AU4231"/>
    <mergeCell ref="AV4230:AW4231"/>
    <mergeCell ref="AX4230:AY4231"/>
    <mergeCell ref="AZ4230:AZ4231"/>
    <mergeCell ref="F4231:H4231"/>
    <mergeCell ref="X4231:AB4231"/>
    <mergeCell ref="AE4231:AI4231"/>
    <mergeCell ref="AJ4231:AL4231"/>
    <mergeCell ref="AN4231:AO4231"/>
    <mergeCell ref="AP4231:AQ4231"/>
    <mergeCell ref="A4232:A4233"/>
    <mergeCell ref="E4232:E4233"/>
    <mergeCell ref="F4232:H4232"/>
    <mergeCell ref="J4232:J4233"/>
    <mergeCell ref="K4232:L4233"/>
    <mergeCell ref="M4232:N4233"/>
    <mergeCell ref="O4232:P4233"/>
    <mergeCell ref="Q4232:R4233"/>
    <mergeCell ref="S4232:T4233"/>
    <mergeCell ref="U4232:V4233"/>
    <mergeCell ref="W4232:W4233"/>
    <mergeCell ref="X4232:AB4232"/>
    <mergeCell ref="AD4232:AI4232"/>
    <mergeCell ref="AJ4232:AL4232"/>
    <mergeCell ref="AN4232:AO4232"/>
    <mergeCell ref="AP4232:AQ4232"/>
    <mergeCell ref="AR4232:AS4233"/>
    <mergeCell ref="AT4232:AU4233"/>
    <mergeCell ref="AV4232:AW4233"/>
    <mergeCell ref="AX4232:AY4233"/>
    <mergeCell ref="AZ4232:AZ4233"/>
    <mergeCell ref="F4233:H4233"/>
    <mergeCell ref="X4233:AB4233"/>
    <mergeCell ref="AE4233:AI4233"/>
    <mergeCell ref="AJ4233:AL4233"/>
    <mergeCell ref="AN4233:AO4233"/>
    <mergeCell ref="AP4233:AQ4233"/>
    <mergeCell ref="A4226:A4227"/>
    <mergeCell ref="E4226:E4227"/>
    <mergeCell ref="F4226:H4226"/>
    <mergeCell ref="J4226:J4227"/>
    <mergeCell ref="K4226:L4227"/>
    <mergeCell ref="M4226:N4227"/>
    <mergeCell ref="O4226:P4227"/>
    <mergeCell ref="Q4226:R4227"/>
    <mergeCell ref="S4226:T4227"/>
    <mergeCell ref="U4226:V4227"/>
    <mergeCell ref="W4226:W4227"/>
    <mergeCell ref="X4226:AB4226"/>
    <mergeCell ref="AD4226:AI4226"/>
    <mergeCell ref="AJ4226:AL4226"/>
    <mergeCell ref="AN4226:AO4226"/>
    <mergeCell ref="AP4226:AQ4226"/>
    <mergeCell ref="AR4226:AS4227"/>
    <mergeCell ref="AT4226:AU4227"/>
    <mergeCell ref="AV4226:AW4227"/>
    <mergeCell ref="AX4226:AY4227"/>
    <mergeCell ref="AZ4226:AZ4227"/>
    <mergeCell ref="F4227:H4227"/>
    <mergeCell ref="X4227:AB4227"/>
    <mergeCell ref="AE4227:AI4227"/>
    <mergeCell ref="AJ4227:AL4227"/>
    <mergeCell ref="AN4227:AO4227"/>
    <mergeCell ref="AP4227:AQ4227"/>
    <mergeCell ref="A4228:A4229"/>
    <mergeCell ref="E4228:E4229"/>
    <mergeCell ref="F4228:H4228"/>
    <mergeCell ref="J4228:J4229"/>
    <mergeCell ref="K4228:L4229"/>
    <mergeCell ref="M4228:N4229"/>
    <mergeCell ref="O4228:P4229"/>
    <mergeCell ref="Q4228:R4229"/>
    <mergeCell ref="S4228:T4229"/>
    <mergeCell ref="U4228:V4229"/>
    <mergeCell ref="W4228:W4229"/>
    <mergeCell ref="X4228:AB4228"/>
    <mergeCell ref="AD4228:AI4228"/>
    <mergeCell ref="AJ4228:AL4228"/>
    <mergeCell ref="AN4228:AO4228"/>
    <mergeCell ref="AP4228:AQ4228"/>
    <mergeCell ref="AR4228:AS4229"/>
    <mergeCell ref="AT4228:AU4229"/>
    <mergeCell ref="AV4228:AW4229"/>
    <mergeCell ref="AX4228:AY4229"/>
    <mergeCell ref="AZ4228:AZ4229"/>
    <mergeCell ref="F4229:H4229"/>
    <mergeCell ref="X4229:AB4229"/>
    <mergeCell ref="AE4229:AI4229"/>
    <mergeCell ref="AJ4229:AL4229"/>
    <mergeCell ref="AN4229:AO4229"/>
    <mergeCell ref="AP4229:AQ4229"/>
    <mergeCell ref="A4222:A4223"/>
    <mergeCell ref="E4222:E4223"/>
    <mergeCell ref="F4222:H4222"/>
    <mergeCell ref="J4222:J4223"/>
    <mergeCell ref="K4222:L4223"/>
    <mergeCell ref="M4222:N4223"/>
    <mergeCell ref="O4222:P4223"/>
    <mergeCell ref="Q4222:R4223"/>
    <mergeCell ref="S4222:T4223"/>
    <mergeCell ref="U4222:V4223"/>
    <mergeCell ref="W4222:W4223"/>
    <mergeCell ref="X4222:AB4222"/>
    <mergeCell ref="AD4222:AI4222"/>
    <mergeCell ref="AJ4222:AL4222"/>
    <mergeCell ref="AN4222:AO4222"/>
    <mergeCell ref="AP4222:AQ4222"/>
    <mergeCell ref="AR4222:AS4223"/>
    <mergeCell ref="AT4222:AU4223"/>
    <mergeCell ref="AV4222:AW4223"/>
    <mergeCell ref="AX4222:AY4223"/>
    <mergeCell ref="AZ4222:AZ4223"/>
    <mergeCell ref="F4223:H4223"/>
    <mergeCell ref="X4223:AB4223"/>
    <mergeCell ref="AE4223:AI4223"/>
    <mergeCell ref="AJ4223:AL4223"/>
    <mergeCell ref="AN4223:AO4223"/>
    <mergeCell ref="AP4223:AQ4223"/>
    <mergeCell ref="A4224:A4225"/>
    <mergeCell ref="E4224:E4225"/>
    <mergeCell ref="F4224:H4224"/>
    <mergeCell ref="J4224:J4225"/>
    <mergeCell ref="K4224:L4225"/>
    <mergeCell ref="M4224:N4225"/>
    <mergeCell ref="O4224:P4225"/>
    <mergeCell ref="Q4224:R4225"/>
    <mergeCell ref="S4224:T4225"/>
    <mergeCell ref="U4224:V4225"/>
    <mergeCell ref="W4224:W4225"/>
    <mergeCell ref="X4224:AB4224"/>
    <mergeCell ref="AD4224:AI4224"/>
    <mergeCell ref="AJ4224:AL4224"/>
    <mergeCell ref="AN4224:AO4224"/>
    <mergeCell ref="AP4224:AQ4224"/>
    <mergeCell ref="AR4224:AS4225"/>
    <mergeCell ref="AT4224:AU4225"/>
    <mergeCell ref="AV4224:AW4225"/>
    <mergeCell ref="AX4224:AY4225"/>
    <mergeCell ref="AZ4224:AZ4225"/>
    <mergeCell ref="F4225:H4225"/>
    <mergeCell ref="X4225:AB4225"/>
    <mergeCell ref="AE4225:AI4225"/>
    <mergeCell ref="AJ4225:AL4225"/>
    <mergeCell ref="AN4225:AO4225"/>
    <mergeCell ref="AP4225:AQ4225"/>
    <mergeCell ref="U4214:V4215"/>
    <mergeCell ref="A4218:A4219"/>
    <mergeCell ref="E4218:E4219"/>
    <mergeCell ref="F4218:H4218"/>
    <mergeCell ref="J4218:J4219"/>
    <mergeCell ref="K4218:L4219"/>
    <mergeCell ref="M4218:N4219"/>
    <mergeCell ref="O4218:P4219"/>
    <mergeCell ref="Q4218:R4219"/>
    <mergeCell ref="S4218:T4219"/>
    <mergeCell ref="U4218:V4219"/>
    <mergeCell ref="W4218:W4219"/>
    <mergeCell ref="X4218:AB4218"/>
    <mergeCell ref="AD4218:AI4218"/>
    <mergeCell ref="AJ4218:AL4218"/>
    <mergeCell ref="AN4218:AO4218"/>
    <mergeCell ref="AP4218:AQ4218"/>
    <mergeCell ref="AR4218:AS4219"/>
    <mergeCell ref="AT4218:AU4219"/>
    <mergeCell ref="AV4218:AW4219"/>
    <mergeCell ref="AX4218:AY4219"/>
    <mergeCell ref="AZ4218:AZ4219"/>
    <mergeCell ref="F4219:H4219"/>
    <mergeCell ref="X4219:AB4219"/>
    <mergeCell ref="AE4219:AI4219"/>
    <mergeCell ref="AJ4219:AL4219"/>
    <mergeCell ref="AN4219:AO4219"/>
    <mergeCell ref="AP4219:AQ4219"/>
    <mergeCell ref="A4220:A4221"/>
    <mergeCell ref="E4220:E4221"/>
    <mergeCell ref="F4220:H4220"/>
    <mergeCell ref="J4220:J4221"/>
    <mergeCell ref="K4220:L4221"/>
    <mergeCell ref="M4220:N4221"/>
    <mergeCell ref="O4220:P4221"/>
    <mergeCell ref="Q4220:R4221"/>
    <mergeCell ref="S4220:T4221"/>
    <mergeCell ref="U4220:V4221"/>
    <mergeCell ref="W4220:W4221"/>
    <mergeCell ref="X4220:AB4220"/>
    <mergeCell ref="AD4220:AI4220"/>
    <mergeCell ref="AJ4220:AL4220"/>
    <mergeCell ref="AN4220:AO4220"/>
    <mergeCell ref="AP4220:AQ4220"/>
    <mergeCell ref="AR4220:AS4221"/>
    <mergeCell ref="AT4220:AU4221"/>
    <mergeCell ref="AV4220:AW4221"/>
    <mergeCell ref="AX4220:AY4221"/>
    <mergeCell ref="AZ4220:AZ4221"/>
    <mergeCell ref="F4221:H4221"/>
    <mergeCell ref="X4221:AB4221"/>
    <mergeCell ref="AE4221:AI4221"/>
    <mergeCell ref="AJ4221:AL4221"/>
    <mergeCell ref="AN4221:AO4221"/>
    <mergeCell ref="AP4221:AQ4221"/>
    <mergeCell ref="AX4210:AY4211"/>
    <mergeCell ref="A4216:A4217"/>
    <mergeCell ref="E4216:E4217"/>
    <mergeCell ref="F4216:H4216"/>
    <mergeCell ref="J4216:J4217"/>
    <mergeCell ref="K4216:L4217"/>
    <mergeCell ref="M4216:N4217"/>
    <mergeCell ref="O4216:P4217"/>
    <mergeCell ref="Q4216:R4217"/>
    <mergeCell ref="S4216:T4217"/>
    <mergeCell ref="U4216:V4217"/>
    <mergeCell ref="W4216:W4217"/>
    <mergeCell ref="X4216:AB4216"/>
    <mergeCell ref="AD4216:AI4216"/>
    <mergeCell ref="AJ4216:AL4216"/>
    <mergeCell ref="AN4216:AO4216"/>
    <mergeCell ref="AP4216:AQ4216"/>
    <mergeCell ref="AR4216:AS4217"/>
    <mergeCell ref="AT4216:AU4217"/>
    <mergeCell ref="AV4216:AW4217"/>
    <mergeCell ref="AX4216:AY4217"/>
    <mergeCell ref="AZ4216:AZ4217"/>
    <mergeCell ref="F4217:H4217"/>
    <mergeCell ref="X4217:AB4217"/>
    <mergeCell ref="AE4217:AI4217"/>
    <mergeCell ref="AJ4217:AL4217"/>
    <mergeCell ref="AN4217:AO4217"/>
    <mergeCell ref="AP4217:AQ4217"/>
    <mergeCell ref="A4212:A4213"/>
    <mergeCell ref="E4212:E4213"/>
    <mergeCell ref="F4212:H4212"/>
    <mergeCell ref="J4212:J4213"/>
    <mergeCell ref="K4212:L4213"/>
    <mergeCell ref="M4212:N4213"/>
    <mergeCell ref="O4212:P4213"/>
    <mergeCell ref="Q4212:R4213"/>
    <mergeCell ref="S4212:T4213"/>
    <mergeCell ref="U4212:V4213"/>
    <mergeCell ref="W4212:W4213"/>
    <mergeCell ref="X4212:AB4212"/>
    <mergeCell ref="AD4212:AI4212"/>
    <mergeCell ref="AJ4212:AL4212"/>
    <mergeCell ref="AN4212:AO4212"/>
    <mergeCell ref="AP4212:AQ4212"/>
    <mergeCell ref="AR4212:AS4213"/>
    <mergeCell ref="AT4212:AU4213"/>
    <mergeCell ref="AV4212:AW4213"/>
    <mergeCell ref="AX4212:AY4213"/>
    <mergeCell ref="AZ4212:AZ4213"/>
    <mergeCell ref="F4213:H4213"/>
    <mergeCell ref="X4213:AB4213"/>
    <mergeCell ref="AE4213:AI4213"/>
    <mergeCell ref="AJ4213:AL4213"/>
    <mergeCell ref="AN4213:AO4213"/>
    <mergeCell ref="AP4213:AQ4213"/>
    <mergeCell ref="A4214:A4215"/>
    <mergeCell ref="E4214:E4215"/>
    <mergeCell ref="F4214:H4214"/>
    <mergeCell ref="J4214:J4215"/>
    <mergeCell ref="K4214:L4215"/>
    <mergeCell ref="M4214:N4215"/>
    <mergeCell ref="O4214:P4215"/>
    <mergeCell ref="Q4214:R4215"/>
    <mergeCell ref="S4214:T4215"/>
    <mergeCell ref="AX4194:AY4195"/>
    <mergeCell ref="AZ4194:AZ4195"/>
    <mergeCell ref="F4195:H4195"/>
    <mergeCell ref="X4195:AB4195"/>
    <mergeCell ref="AE4195:AI4195"/>
    <mergeCell ref="AJ4195:AL4195"/>
    <mergeCell ref="AN4195:AO4195"/>
    <mergeCell ref="AP4195:AQ4195"/>
    <mergeCell ref="A4198:A4199"/>
    <mergeCell ref="E4198:E4199"/>
    <mergeCell ref="F4198:H4198"/>
    <mergeCell ref="J4198:J4199"/>
    <mergeCell ref="K4198:L4199"/>
    <mergeCell ref="M4198:N4199"/>
    <mergeCell ref="O4198:P4199"/>
    <mergeCell ref="Q4198:R4199"/>
    <mergeCell ref="S4198:T4199"/>
    <mergeCell ref="U4198:V4199"/>
    <mergeCell ref="W4198:W4199"/>
    <mergeCell ref="X4198:AB4198"/>
    <mergeCell ref="AD4198:AI4198"/>
    <mergeCell ref="AJ4198:AL4198"/>
    <mergeCell ref="AN4198:AO4198"/>
    <mergeCell ref="AP4198:AQ4198"/>
    <mergeCell ref="AR4198:AS4199"/>
    <mergeCell ref="AT4198:AU4199"/>
    <mergeCell ref="AV4198:AW4199"/>
    <mergeCell ref="AX4198:AY4199"/>
    <mergeCell ref="W4214:W4215"/>
    <mergeCell ref="X4214:AB4214"/>
    <mergeCell ref="AD4214:AI4214"/>
    <mergeCell ref="AJ4214:AL4214"/>
    <mergeCell ref="AN4214:AO4214"/>
    <mergeCell ref="AP4214:AQ4214"/>
    <mergeCell ref="AR4214:AS4215"/>
    <mergeCell ref="AT4214:AU4215"/>
    <mergeCell ref="AV4214:AW4215"/>
    <mergeCell ref="AX4214:AY4215"/>
    <mergeCell ref="AZ4214:AZ4215"/>
    <mergeCell ref="F4215:H4215"/>
    <mergeCell ref="X4215:AB4215"/>
    <mergeCell ref="AE4215:AI4215"/>
    <mergeCell ref="AJ4215:AL4215"/>
    <mergeCell ref="AN4215:AO4215"/>
    <mergeCell ref="AP4215:AQ4215"/>
    <mergeCell ref="A4210:A4211"/>
    <mergeCell ref="E4210:E4211"/>
    <mergeCell ref="F4210:H4210"/>
    <mergeCell ref="J4210:J4211"/>
    <mergeCell ref="K4210:L4211"/>
    <mergeCell ref="M4210:N4211"/>
    <mergeCell ref="O4210:P4211"/>
    <mergeCell ref="Q4210:R4211"/>
    <mergeCell ref="S4210:T4211"/>
    <mergeCell ref="U4210:V4211"/>
    <mergeCell ref="W4210:W4211"/>
    <mergeCell ref="X4210:AB4210"/>
    <mergeCell ref="AD4210:AI4210"/>
    <mergeCell ref="AJ4210:AL4210"/>
    <mergeCell ref="AN4210:AO4210"/>
    <mergeCell ref="AP4210:AQ4210"/>
    <mergeCell ref="AR4210:AS4211"/>
    <mergeCell ref="AT4210:AU4211"/>
    <mergeCell ref="AV4210:AW4211"/>
    <mergeCell ref="AE4211:AI4211"/>
    <mergeCell ref="AJ4211:AL4211"/>
    <mergeCell ref="AN4211:AO4211"/>
    <mergeCell ref="AP4211:AQ4211"/>
    <mergeCell ref="A4204:A4205"/>
    <mergeCell ref="E4204:E4205"/>
    <mergeCell ref="F4204:H4204"/>
    <mergeCell ref="J4204:J4205"/>
    <mergeCell ref="K4204:L4205"/>
    <mergeCell ref="M4204:N4205"/>
    <mergeCell ref="O4204:P4205"/>
    <mergeCell ref="Q4204:R4205"/>
    <mergeCell ref="S4204:T4205"/>
    <mergeCell ref="U4204:V4205"/>
    <mergeCell ref="A4194:A4195"/>
    <mergeCell ref="E4194:E4195"/>
    <mergeCell ref="F4194:H4194"/>
    <mergeCell ref="J4194:J4195"/>
    <mergeCell ref="K4194:L4195"/>
    <mergeCell ref="M4194:N4195"/>
    <mergeCell ref="O4194:P4195"/>
    <mergeCell ref="Q4194:R4195"/>
    <mergeCell ref="S4194:T4195"/>
    <mergeCell ref="U4194:V4195"/>
    <mergeCell ref="W4194:W4195"/>
    <mergeCell ref="X4194:AB4194"/>
    <mergeCell ref="AD4194:AI4194"/>
    <mergeCell ref="AJ4194:AL4194"/>
    <mergeCell ref="AN4194:AO4194"/>
    <mergeCell ref="AP4194:AQ4194"/>
    <mergeCell ref="AR4194:AS4195"/>
    <mergeCell ref="AT4194:AU4195"/>
    <mergeCell ref="AV4194:AW4195"/>
    <mergeCell ref="A4200:A4201"/>
    <mergeCell ref="E4200:E4201"/>
    <mergeCell ref="F4200:H4200"/>
    <mergeCell ref="J4200:J4201"/>
    <mergeCell ref="K4200:L4201"/>
    <mergeCell ref="M4200:N4201"/>
    <mergeCell ref="O4200:P4201"/>
    <mergeCell ref="Q4200:R4201"/>
    <mergeCell ref="S4200:T4201"/>
    <mergeCell ref="U4200:V4201"/>
    <mergeCell ref="W4200:W4201"/>
    <mergeCell ref="X4200:AB4200"/>
    <mergeCell ref="AD4200:AI4200"/>
    <mergeCell ref="AJ4200:AL4200"/>
    <mergeCell ref="AN4200:AO4200"/>
    <mergeCell ref="AP4200:AQ4200"/>
    <mergeCell ref="AR4200:AS4201"/>
    <mergeCell ref="AT4200:AU4201"/>
    <mergeCell ref="AV4200:AW4201"/>
    <mergeCell ref="A4208:A4209"/>
    <mergeCell ref="E4208:E4209"/>
    <mergeCell ref="F4208:H4208"/>
    <mergeCell ref="J4208:J4209"/>
    <mergeCell ref="K4208:L4209"/>
    <mergeCell ref="M4208:N4209"/>
    <mergeCell ref="O4208:P4209"/>
    <mergeCell ref="Q4208:R4209"/>
    <mergeCell ref="S4208:T4209"/>
    <mergeCell ref="U4208:V4209"/>
    <mergeCell ref="W4208:W4209"/>
    <mergeCell ref="X4208:AB4208"/>
    <mergeCell ref="A4190:A4191"/>
    <mergeCell ref="E4190:E4191"/>
    <mergeCell ref="F4190:H4190"/>
    <mergeCell ref="J4190:J4191"/>
    <mergeCell ref="K4190:L4191"/>
    <mergeCell ref="M4190:N4191"/>
    <mergeCell ref="O4190:P4191"/>
    <mergeCell ref="Q4190:R4191"/>
    <mergeCell ref="S4190:T4191"/>
    <mergeCell ref="U4190:V4191"/>
    <mergeCell ref="W4190:W4191"/>
    <mergeCell ref="X4190:AB4190"/>
    <mergeCell ref="AD4190:AI4190"/>
    <mergeCell ref="AJ4190:AL4190"/>
    <mergeCell ref="AN4190:AO4190"/>
    <mergeCell ref="AP4190:AQ4190"/>
    <mergeCell ref="AR4190:AS4191"/>
    <mergeCell ref="AT4190:AU4191"/>
    <mergeCell ref="AV4190:AW4191"/>
    <mergeCell ref="AX4190:AY4191"/>
    <mergeCell ref="AZ4190:AZ4191"/>
    <mergeCell ref="F4191:H4191"/>
    <mergeCell ref="X4191:AB4191"/>
    <mergeCell ref="AE4191:AI4191"/>
    <mergeCell ref="AJ4191:AL4191"/>
    <mergeCell ref="AN4191:AO4191"/>
    <mergeCell ref="AP4191:AQ4191"/>
    <mergeCell ref="A4192:A4193"/>
    <mergeCell ref="E4192:E4193"/>
    <mergeCell ref="F4192:H4192"/>
    <mergeCell ref="J4192:J4193"/>
    <mergeCell ref="K4192:L4193"/>
    <mergeCell ref="M4192:N4193"/>
    <mergeCell ref="O4192:P4193"/>
    <mergeCell ref="Q4192:R4193"/>
    <mergeCell ref="S4192:T4193"/>
    <mergeCell ref="U4192:V4193"/>
    <mergeCell ref="W4192:W4193"/>
    <mergeCell ref="X4192:AB4192"/>
    <mergeCell ref="AD4192:AI4192"/>
    <mergeCell ref="AJ4192:AL4192"/>
    <mergeCell ref="AN4192:AO4192"/>
    <mergeCell ref="AP4192:AQ4192"/>
    <mergeCell ref="AR4192:AS4193"/>
    <mergeCell ref="AT4192:AU4193"/>
    <mergeCell ref="AV4192:AW4193"/>
    <mergeCell ref="AX4192:AY4193"/>
    <mergeCell ref="AZ4192:AZ4193"/>
    <mergeCell ref="F4193:H4193"/>
    <mergeCell ref="X4193:AB4193"/>
    <mergeCell ref="AE4193:AI4193"/>
    <mergeCell ref="AJ4193:AL4193"/>
    <mergeCell ref="AN4193:AO4193"/>
    <mergeCell ref="AP4193:AQ4193"/>
    <mergeCell ref="A4184:A4185"/>
    <mergeCell ref="E4184:E4185"/>
    <mergeCell ref="F4184:H4184"/>
    <mergeCell ref="J4184:J4185"/>
    <mergeCell ref="K4184:L4185"/>
    <mergeCell ref="M4184:N4185"/>
    <mergeCell ref="O4184:P4185"/>
    <mergeCell ref="Q4184:R4185"/>
    <mergeCell ref="S4184:T4185"/>
    <mergeCell ref="U4184:V4185"/>
    <mergeCell ref="W4184:W4185"/>
    <mergeCell ref="X4184:AB4184"/>
    <mergeCell ref="AD4184:AI4184"/>
    <mergeCell ref="AJ4184:AL4184"/>
    <mergeCell ref="AN4184:AO4184"/>
    <mergeCell ref="AP4184:AQ4184"/>
    <mergeCell ref="AR4184:AS4185"/>
    <mergeCell ref="AT4184:AU4185"/>
    <mergeCell ref="AV4184:AW4185"/>
    <mergeCell ref="AX4184:AY4185"/>
    <mergeCell ref="AZ4184:AZ4185"/>
    <mergeCell ref="F4185:H4185"/>
    <mergeCell ref="X4185:AB4185"/>
    <mergeCell ref="AE4185:AI4185"/>
    <mergeCell ref="AJ4185:AL4185"/>
    <mergeCell ref="AN4185:AO4185"/>
    <mergeCell ref="AP4185:AQ4185"/>
    <mergeCell ref="A4186:A4187"/>
    <mergeCell ref="E4186:E4187"/>
    <mergeCell ref="F4186:H4186"/>
    <mergeCell ref="J4186:J4187"/>
    <mergeCell ref="K4186:L4187"/>
    <mergeCell ref="M4186:N4187"/>
    <mergeCell ref="O4186:P4187"/>
    <mergeCell ref="Q4186:R4187"/>
    <mergeCell ref="S4186:T4187"/>
    <mergeCell ref="U4186:V4187"/>
    <mergeCell ref="W4186:W4187"/>
    <mergeCell ref="X4186:AB4186"/>
    <mergeCell ref="AD4186:AI4186"/>
    <mergeCell ref="AJ4186:AL4186"/>
    <mergeCell ref="AN4186:AO4186"/>
    <mergeCell ref="AP4186:AQ4186"/>
    <mergeCell ref="AR4186:AS4187"/>
    <mergeCell ref="AT4186:AU4187"/>
    <mergeCell ref="AV4186:AW4187"/>
    <mergeCell ref="AX4186:AY4187"/>
    <mergeCell ref="AZ4186:AZ4187"/>
    <mergeCell ref="F4187:H4187"/>
    <mergeCell ref="X4187:AB4187"/>
    <mergeCell ref="AE4187:AI4187"/>
    <mergeCell ref="AJ4187:AL4187"/>
    <mergeCell ref="AN4187:AO4187"/>
    <mergeCell ref="AP4187:AQ4187"/>
    <mergeCell ref="A4180:A4181"/>
    <mergeCell ref="E4180:E4181"/>
    <mergeCell ref="F4180:H4180"/>
    <mergeCell ref="J4180:J4181"/>
    <mergeCell ref="K4180:L4181"/>
    <mergeCell ref="M4180:N4181"/>
    <mergeCell ref="O4180:P4181"/>
    <mergeCell ref="Q4180:R4181"/>
    <mergeCell ref="S4180:T4181"/>
    <mergeCell ref="U4180:V4181"/>
    <mergeCell ref="W4180:W4181"/>
    <mergeCell ref="X4180:AB4180"/>
    <mergeCell ref="AD4180:AI4180"/>
    <mergeCell ref="AJ4180:AL4180"/>
    <mergeCell ref="AN4180:AO4180"/>
    <mergeCell ref="AP4180:AQ4180"/>
    <mergeCell ref="AR4180:AS4181"/>
    <mergeCell ref="AT4180:AU4181"/>
    <mergeCell ref="AV4180:AW4181"/>
    <mergeCell ref="AX4180:AY4181"/>
    <mergeCell ref="AZ4180:AZ4181"/>
    <mergeCell ref="F4181:H4181"/>
    <mergeCell ref="X4181:AB4181"/>
    <mergeCell ref="AE4181:AI4181"/>
    <mergeCell ref="AJ4181:AL4181"/>
    <mergeCell ref="AN4181:AO4181"/>
    <mergeCell ref="AP4181:AQ4181"/>
    <mergeCell ref="A4182:A4183"/>
    <mergeCell ref="E4182:E4183"/>
    <mergeCell ref="F4182:H4182"/>
    <mergeCell ref="J4182:J4183"/>
    <mergeCell ref="K4182:L4183"/>
    <mergeCell ref="M4182:N4183"/>
    <mergeCell ref="O4182:P4183"/>
    <mergeCell ref="Q4182:R4183"/>
    <mergeCell ref="S4182:T4183"/>
    <mergeCell ref="U4182:V4183"/>
    <mergeCell ref="W4182:W4183"/>
    <mergeCell ref="X4182:AB4182"/>
    <mergeCell ref="AD4182:AI4182"/>
    <mergeCell ref="AJ4182:AL4182"/>
    <mergeCell ref="AN4182:AO4182"/>
    <mergeCell ref="AP4182:AQ4182"/>
    <mergeCell ref="AR4182:AS4183"/>
    <mergeCell ref="AT4182:AU4183"/>
    <mergeCell ref="AV4182:AW4183"/>
    <mergeCell ref="AX4182:AY4183"/>
    <mergeCell ref="AZ4182:AZ4183"/>
    <mergeCell ref="F4183:H4183"/>
    <mergeCell ref="X4183:AB4183"/>
    <mergeCell ref="AE4183:AI4183"/>
    <mergeCell ref="AJ4183:AL4183"/>
    <mergeCell ref="AN4183:AO4183"/>
    <mergeCell ref="AP4183:AQ4183"/>
    <mergeCell ref="A4176:A4177"/>
    <mergeCell ref="E4176:E4177"/>
    <mergeCell ref="F4176:H4176"/>
    <mergeCell ref="J4176:J4177"/>
    <mergeCell ref="K4176:L4177"/>
    <mergeCell ref="M4176:N4177"/>
    <mergeCell ref="O4176:P4177"/>
    <mergeCell ref="Q4176:R4177"/>
    <mergeCell ref="S4176:T4177"/>
    <mergeCell ref="U4176:V4177"/>
    <mergeCell ref="W4176:W4177"/>
    <mergeCell ref="X4176:AB4176"/>
    <mergeCell ref="AD4176:AI4176"/>
    <mergeCell ref="AJ4176:AL4176"/>
    <mergeCell ref="AN4176:AO4176"/>
    <mergeCell ref="AP4176:AQ4176"/>
    <mergeCell ref="AR4176:AS4177"/>
    <mergeCell ref="AT4176:AU4177"/>
    <mergeCell ref="AV4176:AW4177"/>
    <mergeCell ref="AX4176:AY4177"/>
    <mergeCell ref="AZ4176:AZ4177"/>
    <mergeCell ref="F4177:H4177"/>
    <mergeCell ref="X4177:AB4177"/>
    <mergeCell ref="AE4177:AI4177"/>
    <mergeCell ref="AJ4177:AL4177"/>
    <mergeCell ref="AN4177:AO4177"/>
    <mergeCell ref="AP4177:AQ4177"/>
    <mergeCell ref="A4178:A4179"/>
    <mergeCell ref="E4178:E4179"/>
    <mergeCell ref="F4178:H4178"/>
    <mergeCell ref="J4178:J4179"/>
    <mergeCell ref="K4178:L4179"/>
    <mergeCell ref="M4178:N4179"/>
    <mergeCell ref="O4178:P4179"/>
    <mergeCell ref="Q4178:R4179"/>
    <mergeCell ref="S4178:T4179"/>
    <mergeCell ref="U4178:V4179"/>
    <mergeCell ref="W4178:W4179"/>
    <mergeCell ref="X4178:AB4178"/>
    <mergeCell ref="AD4178:AI4178"/>
    <mergeCell ref="AJ4178:AL4178"/>
    <mergeCell ref="AN4178:AO4178"/>
    <mergeCell ref="AP4178:AQ4178"/>
    <mergeCell ref="AR4178:AS4179"/>
    <mergeCell ref="AT4178:AU4179"/>
    <mergeCell ref="AV4178:AW4179"/>
    <mergeCell ref="AX4178:AY4179"/>
    <mergeCell ref="AZ4178:AZ4179"/>
    <mergeCell ref="F4179:H4179"/>
    <mergeCell ref="X4179:AB4179"/>
    <mergeCell ref="AE4179:AI4179"/>
    <mergeCell ref="AJ4179:AL4179"/>
    <mergeCell ref="AN4179:AO4179"/>
    <mergeCell ref="AP4179:AQ4179"/>
    <mergeCell ref="A4172:A4173"/>
    <mergeCell ref="E4172:E4173"/>
    <mergeCell ref="F4172:H4172"/>
    <mergeCell ref="J4172:J4173"/>
    <mergeCell ref="K4172:L4173"/>
    <mergeCell ref="M4172:N4173"/>
    <mergeCell ref="O4172:P4173"/>
    <mergeCell ref="Q4172:R4173"/>
    <mergeCell ref="S4172:T4173"/>
    <mergeCell ref="U4172:V4173"/>
    <mergeCell ref="W4172:W4173"/>
    <mergeCell ref="X4172:AB4172"/>
    <mergeCell ref="AD4172:AI4172"/>
    <mergeCell ref="AJ4172:AL4172"/>
    <mergeCell ref="AN4172:AO4172"/>
    <mergeCell ref="AP4172:AQ4172"/>
    <mergeCell ref="AR4172:AS4173"/>
    <mergeCell ref="AT4172:AU4173"/>
    <mergeCell ref="AV4172:AW4173"/>
    <mergeCell ref="AX4172:AY4173"/>
    <mergeCell ref="AZ4172:AZ4173"/>
    <mergeCell ref="F4173:H4173"/>
    <mergeCell ref="X4173:AB4173"/>
    <mergeCell ref="AE4173:AI4173"/>
    <mergeCell ref="AJ4173:AL4173"/>
    <mergeCell ref="AN4173:AO4173"/>
    <mergeCell ref="AP4173:AQ4173"/>
    <mergeCell ref="A4174:A4175"/>
    <mergeCell ref="E4174:E4175"/>
    <mergeCell ref="F4174:H4174"/>
    <mergeCell ref="J4174:J4175"/>
    <mergeCell ref="K4174:L4175"/>
    <mergeCell ref="M4174:N4175"/>
    <mergeCell ref="O4174:P4175"/>
    <mergeCell ref="Q4174:R4175"/>
    <mergeCell ref="S4174:T4175"/>
    <mergeCell ref="U4174:V4175"/>
    <mergeCell ref="W4174:W4175"/>
    <mergeCell ref="X4174:AB4174"/>
    <mergeCell ref="AD4174:AI4174"/>
    <mergeCell ref="AJ4174:AL4174"/>
    <mergeCell ref="AN4174:AO4174"/>
    <mergeCell ref="AP4174:AQ4174"/>
    <mergeCell ref="AR4174:AS4175"/>
    <mergeCell ref="AT4174:AU4175"/>
    <mergeCell ref="AV4174:AW4175"/>
    <mergeCell ref="AX4174:AY4175"/>
    <mergeCell ref="AZ4174:AZ4175"/>
    <mergeCell ref="F4175:H4175"/>
    <mergeCell ref="X4175:AB4175"/>
    <mergeCell ref="AE4175:AI4175"/>
    <mergeCell ref="AJ4175:AL4175"/>
    <mergeCell ref="AN4175:AO4175"/>
    <mergeCell ref="AP4175:AQ4175"/>
    <mergeCell ref="A4168:A4169"/>
    <mergeCell ref="E4168:E4169"/>
    <mergeCell ref="F4168:H4168"/>
    <mergeCell ref="J4168:J4169"/>
    <mergeCell ref="K4168:L4169"/>
    <mergeCell ref="M4168:N4169"/>
    <mergeCell ref="O4168:P4169"/>
    <mergeCell ref="Q4168:R4169"/>
    <mergeCell ref="S4168:T4169"/>
    <mergeCell ref="U4168:V4169"/>
    <mergeCell ref="W4168:W4169"/>
    <mergeCell ref="X4168:AB4168"/>
    <mergeCell ref="AD4168:AI4168"/>
    <mergeCell ref="AJ4168:AL4168"/>
    <mergeCell ref="AN4168:AO4168"/>
    <mergeCell ref="AP4168:AQ4168"/>
    <mergeCell ref="AR4168:AS4169"/>
    <mergeCell ref="AT4168:AU4169"/>
    <mergeCell ref="AV4168:AW4169"/>
    <mergeCell ref="AX4168:AY4169"/>
    <mergeCell ref="AZ4168:AZ4169"/>
    <mergeCell ref="F4169:H4169"/>
    <mergeCell ref="X4169:AB4169"/>
    <mergeCell ref="AE4169:AI4169"/>
    <mergeCell ref="AJ4169:AL4169"/>
    <mergeCell ref="AN4169:AO4169"/>
    <mergeCell ref="AP4169:AQ4169"/>
    <mergeCell ref="A4170:A4171"/>
    <mergeCell ref="E4170:E4171"/>
    <mergeCell ref="F4170:H4170"/>
    <mergeCell ref="J4170:J4171"/>
    <mergeCell ref="K4170:L4171"/>
    <mergeCell ref="M4170:N4171"/>
    <mergeCell ref="O4170:P4171"/>
    <mergeCell ref="Q4170:R4171"/>
    <mergeCell ref="S4170:T4171"/>
    <mergeCell ref="U4170:V4171"/>
    <mergeCell ref="W4170:W4171"/>
    <mergeCell ref="X4170:AB4170"/>
    <mergeCell ref="AD4170:AI4170"/>
    <mergeCell ref="AJ4170:AL4170"/>
    <mergeCell ref="AN4170:AO4170"/>
    <mergeCell ref="AP4170:AQ4170"/>
    <mergeCell ref="AR4170:AS4171"/>
    <mergeCell ref="AT4170:AU4171"/>
    <mergeCell ref="AV4170:AW4171"/>
    <mergeCell ref="AX4170:AY4171"/>
    <mergeCell ref="AZ4170:AZ4171"/>
    <mergeCell ref="F4171:H4171"/>
    <mergeCell ref="X4171:AB4171"/>
    <mergeCell ref="AE4171:AI4171"/>
    <mergeCell ref="AJ4171:AL4171"/>
    <mergeCell ref="AN4171:AO4171"/>
    <mergeCell ref="AP4171:AQ4171"/>
    <mergeCell ref="A4164:A4165"/>
    <mergeCell ref="E4164:E4165"/>
    <mergeCell ref="F4164:H4164"/>
    <mergeCell ref="J4164:J4165"/>
    <mergeCell ref="K4164:L4165"/>
    <mergeCell ref="M4164:N4165"/>
    <mergeCell ref="O4164:P4165"/>
    <mergeCell ref="Q4164:R4165"/>
    <mergeCell ref="S4164:T4165"/>
    <mergeCell ref="U4164:V4165"/>
    <mergeCell ref="W4164:W4165"/>
    <mergeCell ref="X4164:AB4164"/>
    <mergeCell ref="AD4164:AI4164"/>
    <mergeCell ref="AJ4164:AL4164"/>
    <mergeCell ref="AN4164:AO4164"/>
    <mergeCell ref="AP4164:AQ4164"/>
    <mergeCell ref="AR4164:AS4165"/>
    <mergeCell ref="AT4164:AU4165"/>
    <mergeCell ref="AV4164:AW4165"/>
    <mergeCell ref="AX4164:AY4165"/>
    <mergeCell ref="AZ4164:AZ4165"/>
    <mergeCell ref="F4165:H4165"/>
    <mergeCell ref="X4165:AB4165"/>
    <mergeCell ref="AE4165:AI4165"/>
    <mergeCell ref="AJ4165:AL4165"/>
    <mergeCell ref="AN4165:AO4165"/>
    <mergeCell ref="AP4165:AQ4165"/>
    <mergeCell ref="A4166:A4167"/>
    <mergeCell ref="E4166:E4167"/>
    <mergeCell ref="F4166:H4166"/>
    <mergeCell ref="J4166:J4167"/>
    <mergeCell ref="K4166:L4167"/>
    <mergeCell ref="M4166:N4167"/>
    <mergeCell ref="O4166:P4167"/>
    <mergeCell ref="Q4166:R4167"/>
    <mergeCell ref="S4166:T4167"/>
    <mergeCell ref="U4166:V4167"/>
    <mergeCell ref="W4166:W4167"/>
    <mergeCell ref="X4166:AB4166"/>
    <mergeCell ref="AD4166:AI4166"/>
    <mergeCell ref="AJ4166:AL4166"/>
    <mergeCell ref="AN4166:AO4166"/>
    <mergeCell ref="AP4166:AQ4166"/>
    <mergeCell ref="AR4166:AS4167"/>
    <mergeCell ref="AT4166:AU4167"/>
    <mergeCell ref="AV4166:AW4167"/>
    <mergeCell ref="AX4166:AY4167"/>
    <mergeCell ref="AZ4166:AZ4167"/>
    <mergeCell ref="F4167:H4167"/>
    <mergeCell ref="X4167:AB4167"/>
    <mergeCell ref="AE4167:AI4167"/>
    <mergeCell ref="AJ4167:AL4167"/>
    <mergeCell ref="AN4167:AO4167"/>
    <mergeCell ref="AP4167:AQ4167"/>
    <mergeCell ref="A4160:A4161"/>
    <mergeCell ref="E4160:E4161"/>
    <mergeCell ref="F4160:H4160"/>
    <mergeCell ref="J4160:J4161"/>
    <mergeCell ref="K4160:L4161"/>
    <mergeCell ref="M4160:N4161"/>
    <mergeCell ref="O4160:P4161"/>
    <mergeCell ref="Q4160:R4161"/>
    <mergeCell ref="S4160:T4161"/>
    <mergeCell ref="U4160:V4161"/>
    <mergeCell ref="W4160:W4161"/>
    <mergeCell ref="X4160:AB4160"/>
    <mergeCell ref="AD4160:AI4160"/>
    <mergeCell ref="AJ4160:AL4160"/>
    <mergeCell ref="AN4160:AO4160"/>
    <mergeCell ref="AP4160:AQ4160"/>
    <mergeCell ref="AR4160:AS4161"/>
    <mergeCell ref="AT4160:AU4161"/>
    <mergeCell ref="AV4160:AW4161"/>
    <mergeCell ref="AX4160:AY4161"/>
    <mergeCell ref="AZ4160:AZ4161"/>
    <mergeCell ref="F4161:H4161"/>
    <mergeCell ref="X4161:AB4161"/>
    <mergeCell ref="AE4161:AI4161"/>
    <mergeCell ref="AJ4161:AL4161"/>
    <mergeCell ref="AN4161:AO4161"/>
    <mergeCell ref="AP4161:AQ4161"/>
    <mergeCell ref="A4162:A4163"/>
    <mergeCell ref="E4162:E4163"/>
    <mergeCell ref="F4162:H4162"/>
    <mergeCell ref="J4162:J4163"/>
    <mergeCell ref="K4162:L4163"/>
    <mergeCell ref="M4162:N4163"/>
    <mergeCell ref="O4162:P4163"/>
    <mergeCell ref="Q4162:R4163"/>
    <mergeCell ref="S4162:T4163"/>
    <mergeCell ref="U4162:V4163"/>
    <mergeCell ref="W4162:W4163"/>
    <mergeCell ref="X4162:AB4162"/>
    <mergeCell ref="AD4162:AI4162"/>
    <mergeCell ref="AJ4162:AL4162"/>
    <mergeCell ref="AN4162:AO4162"/>
    <mergeCell ref="AP4162:AQ4162"/>
    <mergeCell ref="AR4162:AS4163"/>
    <mergeCell ref="AT4162:AU4163"/>
    <mergeCell ref="AV4162:AW4163"/>
    <mergeCell ref="AX4162:AY4163"/>
    <mergeCell ref="AZ4162:AZ4163"/>
    <mergeCell ref="F4163:H4163"/>
    <mergeCell ref="X4163:AB4163"/>
    <mergeCell ref="AE4163:AI4163"/>
    <mergeCell ref="AJ4163:AL4163"/>
    <mergeCell ref="AN4163:AO4163"/>
    <mergeCell ref="AP4163:AQ4163"/>
    <mergeCell ref="A4156:A4157"/>
    <mergeCell ref="E4156:E4157"/>
    <mergeCell ref="F4156:H4156"/>
    <mergeCell ref="J4156:J4157"/>
    <mergeCell ref="K4156:L4157"/>
    <mergeCell ref="M4156:N4157"/>
    <mergeCell ref="O4156:P4157"/>
    <mergeCell ref="Q4156:R4157"/>
    <mergeCell ref="S4156:T4157"/>
    <mergeCell ref="U4156:V4157"/>
    <mergeCell ref="W4156:W4157"/>
    <mergeCell ref="X4156:AB4156"/>
    <mergeCell ref="AD4156:AI4156"/>
    <mergeCell ref="AJ4156:AL4156"/>
    <mergeCell ref="AN4156:AO4156"/>
    <mergeCell ref="AP4156:AQ4156"/>
    <mergeCell ref="AR4156:AS4157"/>
    <mergeCell ref="AT4156:AU4157"/>
    <mergeCell ref="AV4156:AW4157"/>
    <mergeCell ref="AX4156:AY4157"/>
    <mergeCell ref="AZ4156:AZ4157"/>
    <mergeCell ref="F4157:H4157"/>
    <mergeCell ref="X4157:AB4157"/>
    <mergeCell ref="AE4157:AI4157"/>
    <mergeCell ref="AJ4157:AL4157"/>
    <mergeCell ref="AN4157:AO4157"/>
    <mergeCell ref="AP4157:AQ4157"/>
    <mergeCell ref="A4158:A4159"/>
    <mergeCell ref="E4158:E4159"/>
    <mergeCell ref="F4158:H4158"/>
    <mergeCell ref="J4158:J4159"/>
    <mergeCell ref="K4158:L4159"/>
    <mergeCell ref="M4158:N4159"/>
    <mergeCell ref="O4158:P4159"/>
    <mergeCell ref="Q4158:R4159"/>
    <mergeCell ref="S4158:T4159"/>
    <mergeCell ref="U4158:V4159"/>
    <mergeCell ref="W4158:W4159"/>
    <mergeCell ref="X4158:AB4158"/>
    <mergeCell ref="AD4158:AI4158"/>
    <mergeCell ref="AJ4158:AL4158"/>
    <mergeCell ref="AN4158:AO4158"/>
    <mergeCell ref="AP4158:AQ4158"/>
    <mergeCell ref="AR4158:AS4159"/>
    <mergeCell ref="AT4158:AU4159"/>
    <mergeCell ref="AV4158:AW4159"/>
    <mergeCell ref="AX4158:AY4159"/>
    <mergeCell ref="AZ4158:AZ4159"/>
    <mergeCell ref="F4159:H4159"/>
    <mergeCell ref="X4159:AB4159"/>
    <mergeCell ref="AE4159:AI4159"/>
    <mergeCell ref="AJ4159:AL4159"/>
    <mergeCell ref="AN4159:AO4159"/>
    <mergeCell ref="AP4159:AQ4159"/>
    <mergeCell ref="A4152:A4153"/>
    <mergeCell ref="E4152:E4153"/>
    <mergeCell ref="F4152:H4152"/>
    <mergeCell ref="J4152:J4153"/>
    <mergeCell ref="K4152:L4153"/>
    <mergeCell ref="M4152:N4153"/>
    <mergeCell ref="O4152:P4153"/>
    <mergeCell ref="Q4152:R4153"/>
    <mergeCell ref="S4152:T4153"/>
    <mergeCell ref="U4152:V4153"/>
    <mergeCell ref="W4152:W4153"/>
    <mergeCell ref="X4152:AB4152"/>
    <mergeCell ref="AD4152:AI4152"/>
    <mergeCell ref="AJ4152:AL4152"/>
    <mergeCell ref="AN4152:AO4152"/>
    <mergeCell ref="AP4152:AQ4152"/>
    <mergeCell ref="AR4152:AS4153"/>
    <mergeCell ref="AT4152:AU4153"/>
    <mergeCell ref="AV4152:AW4153"/>
    <mergeCell ref="AX4152:AY4153"/>
    <mergeCell ref="AZ4152:AZ4153"/>
    <mergeCell ref="F4153:H4153"/>
    <mergeCell ref="X4153:AB4153"/>
    <mergeCell ref="AE4153:AI4153"/>
    <mergeCell ref="AJ4153:AL4153"/>
    <mergeCell ref="AN4153:AO4153"/>
    <mergeCell ref="AP4153:AQ4153"/>
    <mergeCell ref="A4154:A4155"/>
    <mergeCell ref="E4154:E4155"/>
    <mergeCell ref="F4154:H4154"/>
    <mergeCell ref="J4154:J4155"/>
    <mergeCell ref="K4154:L4155"/>
    <mergeCell ref="M4154:N4155"/>
    <mergeCell ref="O4154:P4155"/>
    <mergeCell ref="Q4154:R4155"/>
    <mergeCell ref="S4154:T4155"/>
    <mergeCell ref="U4154:V4155"/>
    <mergeCell ref="W4154:W4155"/>
    <mergeCell ref="X4154:AB4154"/>
    <mergeCell ref="AD4154:AI4154"/>
    <mergeCell ref="AJ4154:AL4154"/>
    <mergeCell ref="AN4154:AO4154"/>
    <mergeCell ref="AP4154:AQ4154"/>
    <mergeCell ref="AR4154:AS4155"/>
    <mergeCell ref="AT4154:AU4155"/>
    <mergeCell ref="AV4154:AW4155"/>
    <mergeCell ref="AX4154:AY4155"/>
    <mergeCell ref="AZ4154:AZ4155"/>
    <mergeCell ref="F4155:H4155"/>
    <mergeCell ref="X4155:AB4155"/>
    <mergeCell ref="AE4155:AI4155"/>
    <mergeCell ref="AJ4155:AL4155"/>
    <mergeCell ref="AN4155:AO4155"/>
    <mergeCell ref="AP4155:AQ4155"/>
    <mergeCell ref="A4146:A4147"/>
    <mergeCell ref="E4146:E4147"/>
    <mergeCell ref="F4146:H4146"/>
    <mergeCell ref="J4146:J4147"/>
    <mergeCell ref="K4146:L4147"/>
    <mergeCell ref="M4146:N4147"/>
    <mergeCell ref="O4146:P4147"/>
    <mergeCell ref="Q4146:R4147"/>
    <mergeCell ref="S4146:T4147"/>
    <mergeCell ref="U4146:V4147"/>
    <mergeCell ref="W4146:W4147"/>
    <mergeCell ref="X4146:AB4146"/>
    <mergeCell ref="AD4146:AI4146"/>
    <mergeCell ref="AJ4146:AL4146"/>
    <mergeCell ref="AN4146:AO4146"/>
    <mergeCell ref="AP4146:AQ4146"/>
    <mergeCell ref="AR4146:AS4147"/>
    <mergeCell ref="AT4146:AU4147"/>
    <mergeCell ref="AV4146:AW4147"/>
    <mergeCell ref="AX4146:AY4147"/>
    <mergeCell ref="AZ4146:AZ4147"/>
    <mergeCell ref="F4147:H4147"/>
    <mergeCell ref="X4147:AB4147"/>
    <mergeCell ref="AE4147:AI4147"/>
    <mergeCell ref="AJ4147:AL4147"/>
    <mergeCell ref="AN4147:AO4147"/>
    <mergeCell ref="AP4147:AQ4147"/>
    <mergeCell ref="A4148:A4149"/>
    <mergeCell ref="E4148:E4149"/>
    <mergeCell ref="F4148:H4148"/>
    <mergeCell ref="J4148:J4149"/>
    <mergeCell ref="K4148:L4149"/>
    <mergeCell ref="M4148:N4149"/>
    <mergeCell ref="O4148:P4149"/>
    <mergeCell ref="Q4148:R4149"/>
    <mergeCell ref="S4148:T4149"/>
    <mergeCell ref="U4148:V4149"/>
    <mergeCell ref="W4148:W4149"/>
    <mergeCell ref="X4148:AB4148"/>
    <mergeCell ref="AD4148:AI4148"/>
    <mergeCell ref="AJ4148:AL4148"/>
    <mergeCell ref="AN4148:AO4148"/>
    <mergeCell ref="AP4148:AQ4148"/>
    <mergeCell ref="AR4148:AS4149"/>
    <mergeCell ref="AT4148:AU4149"/>
    <mergeCell ref="AV4148:AW4149"/>
    <mergeCell ref="AX4148:AY4149"/>
    <mergeCell ref="AZ4148:AZ4149"/>
    <mergeCell ref="F4149:H4149"/>
    <mergeCell ref="X4149:AB4149"/>
    <mergeCell ref="AE4149:AI4149"/>
    <mergeCell ref="AJ4149:AL4149"/>
    <mergeCell ref="AN4149:AO4149"/>
    <mergeCell ref="AP4149:AQ4149"/>
    <mergeCell ref="A4142:A4143"/>
    <mergeCell ref="E4142:E4143"/>
    <mergeCell ref="F4142:H4142"/>
    <mergeCell ref="J4142:J4143"/>
    <mergeCell ref="K4142:L4143"/>
    <mergeCell ref="M4142:N4143"/>
    <mergeCell ref="O4142:P4143"/>
    <mergeCell ref="Q4142:R4143"/>
    <mergeCell ref="S4142:T4143"/>
    <mergeCell ref="U4142:V4143"/>
    <mergeCell ref="W4142:W4143"/>
    <mergeCell ref="X4142:AB4142"/>
    <mergeCell ref="AD4142:AI4142"/>
    <mergeCell ref="AJ4142:AL4142"/>
    <mergeCell ref="AN4142:AO4142"/>
    <mergeCell ref="AP4142:AQ4142"/>
    <mergeCell ref="AR4142:AS4143"/>
    <mergeCell ref="AT4142:AU4143"/>
    <mergeCell ref="AV4142:AW4143"/>
    <mergeCell ref="AX4142:AY4143"/>
    <mergeCell ref="AZ4142:AZ4143"/>
    <mergeCell ref="F4143:H4143"/>
    <mergeCell ref="X4143:AB4143"/>
    <mergeCell ref="AE4143:AI4143"/>
    <mergeCell ref="AJ4143:AL4143"/>
    <mergeCell ref="AN4143:AO4143"/>
    <mergeCell ref="AP4143:AQ4143"/>
    <mergeCell ref="A4144:A4145"/>
    <mergeCell ref="E4144:E4145"/>
    <mergeCell ref="F4144:H4144"/>
    <mergeCell ref="J4144:J4145"/>
    <mergeCell ref="K4144:L4145"/>
    <mergeCell ref="M4144:N4145"/>
    <mergeCell ref="O4144:P4145"/>
    <mergeCell ref="Q4144:R4145"/>
    <mergeCell ref="S4144:T4145"/>
    <mergeCell ref="U4144:V4145"/>
    <mergeCell ref="W4144:W4145"/>
    <mergeCell ref="X4144:AB4144"/>
    <mergeCell ref="AD4144:AI4144"/>
    <mergeCell ref="AJ4144:AL4144"/>
    <mergeCell ref="AN4144:AO4144"/>
    <mergeCell ref="AP4144:AQ4144"/>
    <mergeCell ref="AR4144:AS4145"/>
    <mergeCell ref="AT4144:AU4145"/>
    <mergeCell ref="AV4144:AW4145"/>
    <mergeCell ref="AX4144:AY4145"/>
    <mergeCell ref="AZ4144:AZ4145"/>
    <mergeCell ref="F4145:H4145"/>
    <mergeCell ref="X4145:AB4145"/>
    <mergeCell ref="AE4145:AI4145"/>
    <mergeCell ref="AJ4145:AL4145"/>
    <mergeCell ref="AN4145:AO4145"/>
    <mergeCell ref="AP4145:AQ4145"/>
    <mergeCell ref="A4138:A4139"/>
    <mergeCell ref="E4138:E4139"/>
    <mergeCell ref="F4138:H4138"/>
    <mergeCell ref="J4138:J4139"/>
    <mergeCell ref="K4138:L4139"/>
    <mergeCell ref="M4138:N4139"/>
    <mergeCell ref="O4138:P4139"/>
    <mergeCell ref="Q4138:R4139"/>
    <mergeCell ref="S4138:T4139"/>
    <mergeCell ref="U4138:V4139"/>
    <mergeCell ref="W4138:W4139"/>
    <mergeCell ref="X4138:AB4138"/>
    <mergeCell ref="AD4138:AI4138"/>
    <mergeCell ref="AJ4138:AL4138"/>
    <mergeCell ref="AN4138:AO4138"/>
    <mergeCell ref="AP4138:AQ4138"/>
    <mergeCell ref="AR4138:AS4139"/>
    <mergeCell ref="AT4138:AU4139"/>
    <mergeCell ref="AV4138:AW4139"/>
    <mergeCell ref="AX4138:AY4139"/>
    <mergeCell ref="AZ4138:AZ4139"/>
    <mergeCell ref="F4139:H4139"/>
    <mergeCell ref="X4139:AB4139"/>
    <mergeCell ref="AE4139:AI4139"/>
    <mergeCell ref="AJ4139:AL4139"/>
    <mergeCell ref="AN4139:AO4139"/>
    <mergeCell ref="AP4139:AQ4139"/>
    <mergeCell ref="A4140:A4141"/>
    <mergeCell ref="E4140:E4141"/>
    <mergeCell ref="F4140:H4140"/>
    <mergeCell ref="J4140:J4141"/>
    <mergeCell ref="K4140:L4141"/>
    <mergeCell ref="M4140:N4141"/>
    <mergeCell ref="O4140:P4141"/>
    <mergeCell ref="Q4140:R4141"/>
    <mergeCell ref="S4140:T4141"/>
    <mergeCell ref="U4140:V4141"/>
    <mergeCell ref="W4140:W4141"/>
    <mergeCell ref="X4140:AB4140"/>
    <mergeCell ref="AD4140:AI4140"/>
    <mergeCell ref="AJ4140:AL4140"/>
    <mergeCell ref="AN4140:AO4140"/>
    <mergeCell ref="AP4140:AQ4140"/>
    <mergeCell ref="AR4140:AS4141"/>
    <mergeCell ref="AT4140:AU4141"/>
    <mergeCell ref="AV4140:AW4141"/>
    <mergeCell ref="AX4140:AY4141"/>
    <mergeCell ref="AZ4140:AZ4141"/>
    <mergeCell ref="F4141:H4141"/>
    <mergeCell ref="X4141:AB4141"/>
    <mergeCell ref="AE4141:AI4141"/>
    <mergeCell ref="AJ4141:AL4141"/>
    <mergeCell ref="AN4141:AO4141"/>
    <mergeCell ref="AP4141:AQ4141"/>
    <mergeCell ref="A4134:A4135"/>
    <mergeCell ref="E4134:E4135"/>
    <mergeCell ref="F4134:H4134"/>
    <mergeCell ref="J4134:J4135"/>
    <mergeCell ref="K4134:L4135"/>
    <mergeCell ref="M4134:N4135"/>
    <mergeCell ref="O4134:P4135"/>
    <mergeCell ref="Q4134:R4135"/>
    <mergeCell ref="S4134:T4135"/>
    <mergeCell ref="U4134:V4135"/>
    <mergeCell ref="W4134:W4135"/>
    <mergeCell ref="X4134:AB4134"/>
    <mergeCell ref="AD4134:AI4134"/>
    <mergeCell ref="AJ4134:AL4134"/>
    <mergeCell ref="AN4134:AO4134"/>
    <mergeCell ref="AP4134:AQ4134"/>
    <mergeCell ref="AR4134:AS4135"/>
    <mergeCell ref="AT4134:AU4135"/>
    <mergeCell ref="AV4134:AW4135"/>
    <mergeCell ref="AX4134:AY4135"/>
    <mergeCell ref="AZ4134:AZ4135"/>
    <mergeCell ref="F4135:H4135"/>
    <mergeCell ref="X4135:AB4135"/>
    <mergeCell ref="AE4135:AI4135"/>
    <mergeCell ref="AJ4135:AL4135"/>
    <mergeCell ref="AN4135:AO4135"/>
    <mergeCell ref="AP4135:AQ4135"/>
    <mergeCell ref="A4136:A4137"/>
    <mergeCell ref="E4136:E4137"/>
    <mergeCell ref="F4136:H4136"/>
    <mergeCell ref="J4136:J4137"/>
    <mergeCell ref="K4136:L4137"/>
    <mergeCell ref="M4136:N4137"/>
    <mergeCell ref="O4136:P4137"/>
    <mergeCell ref="Q4136:R4137"/>
    <mergeCell ref="S4136:T4137"/>
    <mergeCell ref="U4136:V4137"/>
    <mergeCell ref="W4136:W4137"/>
    <mergeCell ref="X4136:AB4136"/>
    <mergeCell ref="AD4136:AI4136"/>
    <mergeCell ref="AJ4136:AL4136"/>
    <mergeCell ref="AN4136:AO4136"/>
    <mergeCell ref="AP4136:AQ4136"/>
    <mergeCell ref="AR4136:AS4137"/>
    <mergeCell ref="AT4136:AU4137"/>
    <mergeCell ref="AV4136:AW4137"/>
    <mergeCell ref="AX4136:AY4137"/>
    <mergeCell ref="AZ4136:AZ4137"/>
    <mergeCell ref="F4137:H4137"/>
    <mergeCell ref="X4137:AB4137"/>
    <mergeCell ref="AE4137:AI4137"/>
    <mergeCell ref="AJ4137:AL4137"/>
    <mergeCell ref="AN4137:AO4137"/>
    <mergeCell ref="AP4137:AQ4137"/>
    <mergeCell ref="A4130:A4131"/>
    <mergeCell ref="E4130:E4131"/>
    <mergeCell ref="F4130:H4130"/>
    <mergeCell ref="J4130:J4131"/>
    <mergeCell ref="K4130:L4131"/>
    <mergeCell ref="M4130:N4131"/>
    <mergeCell ref="O4130:P4131"/>
    <mergeCell ref="Q4130:R4131"/>
    <mergeCell ref="S4130:T4131"/>
    <mergeCell ref="U4130:V4131"/>
    <mergeCell ref="W4130:W4131"/>
    <mergeCell ref="X4130:AB4130"/>
    <mergeCell ref="AD4130:AI4130"/>
    <mergeCell ref="AJ4130:AL4130"/>
    <mergeCell ref="AN4130:AO4130"/>
    <mergeCell ref="AP4130:AQ4130"/>
    <mergeCell ref="AR4130:AS4131"/>
    <mergeCell ref="AT4130:AU4131"/>
    <mergeCell ref="AV4130:AW4131"/>
    <mergeCell ref="AX4130:AY4131"/>
    <mergeCell ref="AZ4130:AZ4131"/>
    <mergeCell ref="F4131:H4131"/>
    <mergeCell ref="X4131:AB4131"/>
    <mergeCell ref="AE4131:AI4131"/>
    <mergeCell ref="AJ4131:AL4131"/>
    <mergeCell ref="AN4131:AO4131"/>
    <mergeCell ref="AP4131:AQ4131"/>
    <mergeCell ref="A4132:A4133"/>
    <mergeCell ref="E4132:E4133"/>
    <mergeCell ref="F4132:H4132"/>
    <mergeCell ref="J4132:J4133"/>
    <mergeCell ref="K4132:L4133"/>
    <mergeCell ref="M4132:N4133"/>
    <mergeCell ref="O4132:P4133"/>
    <mergeCell ref="Q4132:R4133"/>
    <mergeCell ref="S4132:T4133"/>
    <mergeCell ref="U4132:V4133"/>
    <mergeCell ref="W4132:W4133"/>
    <mergeCell ref="X4132:AB4132"/>
    <mergeCell ref="AD4132:AI4132"/>
    <mergeCell ref="AJ4132:AL4132"/>
    <mergeCell ref="AN4132:AO4132"/>
    <mergeCell ref="AP4132:AQ4132"/>
    <mergeCell ref="AR4132:AS4133"/>
    <mergeCell ref="AT4132:AU4133"/>
    <mergeCell ref="AV4132:AW4133"/>
    <mergeCell ref="AX4132:AY4133"/>
    <mergeCell ref="AZ4132:AZ4133"/>
    <mergeCell ref="F4133:H4133"/>
    <mergeCell ref="X4133:AB4133"/>
    <mergeCell ref="AE4133:AI4133"/>
    <mergeCell ref="AJ4133:AL4133"/>
    <mergeCell ref="AN4133:AO4133"/>
    <mergeCell ref="AP4133:AQ4133"/>
    <mergeCell ref="A4126:A4127"/>
    <mergeCell ref="E4126:E4127"/>
    <mergeCell ref="F4126:H4126"/>
    <mergeCell ref="J4126:J4127"/>
    <mergeCell ref="K4126:L4127"/>
    <mergeCell ref="M4126:N4127"/>
    <mergeCell ref="O4126:P4127"/>
    <mergeCell ref="Q4126:R4127"/>
    <mergeCell ref="S4126:T4127"/>
    <mergeCell ref="U4126:V4127"/>
    <mergeCell ref="W4126:W4127"/>
    <mergeCell ref="X4126:AB4126"/>
    <mergeCell ref="AD4126:AI4126"/>
    <mergeCell ref="AJ4126:AL4126"/>
    <mergeCell ref="AN4126:AO4126"/>
    <mergeCell ref="AP4126:AQ4126"/>
    <mergeCell ref="AR4126:AS4127"/>
    <mergeCell ref="AT4126:AU4127"/>
    <mergeCell ref="AV4126:AW4127"/>
    <mergeCell ref="AX4126:AY4127"/>
    <mergeCell ref="AZ4126:AZ4127"/>
    <mergeCell ref="F4127:H4127"/>
    <mergeCell ref="X4127:AB4127"/>
    <mergeCell ref="AE4127:AI4127"/>
    <mergeCell ref="AJ4127:AL4127"/>
    <mergeCell ref="AN4127:AO4127"/>
    <mergeCell ref="AP4127:AQ4127"/>
    <mergeCell ref="A4128:A4129"/>
    <mergeCell ref="E4128:E4129"/>
    <mergeCell ref="F4128:H4128"/>
    <mergeCell ref="J4128:J4129"/>
    <mergeCell ref="K4128:L4129"/>
    <mergeCell ref="M4128:N4129"/>
    <mergeCell ref="O4128:P4129"/>
    <mergeCell ref="Q4128:R4129"/>
    <mergeCell ref="S4128:T4129"/>
    <mergeCell ref="U4128:V4129"/>
    <mergeCell ref="W4128:W4129"/>
    <mergeCell ref="X4128:AB4128"/>
    <mergeCell ref="AD4128:AI4128"/>
    <mergeCell ref="AJ4128:AL4128"/>
    <mergeCell ref="AN4128:AO4128"/>
    <mergeCell ref="AP4128:AQ4128"/>
    <mergeCell ref="AR4128:AS4129"/>
    <mergeCell ref="AT4128:AU4129"/>
    <mergeCell ref="AV4128:AW4129"/>
    <mergeCell ref="AX4128:AY4129"/>
    <mergeCell ref="AZ4128:AZ4129"/>
    <mergeCell ref="F4129:H4129"/>
    <mergeCell ref="X4129:AB4129"/>
    <mergeCell ref="AE4129:AI4129"/>
    <mergeCell ref="AJ4129:AL4129"/>
    <mergeCell ref="AN4129:AO4129"/>
    <mergeCell ref="AP4129:AQ4129"/>
    <mergeCell ref="A4122:A4123"/>
    <mergeCell ref="E4122:E4123"/>
    <mergeCell ref="F4122:H4122"/>
    <mergeCell ref="J4122:J4123"/>
    <mergeCell ref="K4122:L4123"/>
    <mergeCell ref="M4122:N4123"/>
    <mergeCell ref="O4122:P4123"/>
    <mergeCell ref="Q4122:R4123"/>
    <mergeCell ref="S4122:T4123"/>
    <mergeCell ref="U4122:V4123"/>
    <mergeCell ref="W4122:W4123"/>
    <mergeCell ref="X4122:AB4122"/>
    <mergeCell ref="AD4122:AI4122"/>
    <mergeCell ref="AJ4122:AL4122"/>
    <mergeCell ref="AN4122:AO4122"/>
    <mergeCell ref="AP4122:AQ4122"/>
    <mergeCell ref="AR4122:AS4123"/>
    <mergeCell ref="AT4122:AU4123"/>
    <mergeCell ref="AV4122:AW4123"/>
    <mergeCell ref="AX4122:AY4123"/>
    <mergeCell ref="AZ4122:AZ4123"/>
    <mergeCell ref="F4123:H4123"/>
    <mergeCell ref="X4123:AB4123"/>
    <mergeCell ref="AE4123:AI4123"/>
    <mergeCell ref="AJ4123:AL4123"/>
    <mergeCell ref="AN4123:AO4123"/>
    <mergeCell ref="AP4123:AQ4123"/>
    <mergeCell ref="A4124:A4125"/>
    <mergeCell ref="E4124:E4125"/>
    <mergeCell ref="F4124:H4124"/>
    <mergeCell ref="J4124:J4125"/>
    <mergeCell ref="K4124:L4125"/>
    <mergeCell ref="M4124:N4125"/>
    <mergeCell ref="O4124:P4125"/>
    <mergeCell ref="Q4124:R4125"/>
    <mergeCell ref="S4124:T4125"/>
    <mergeCell ref="U4124:V4125"/>
    <mergeCell ref="W4124:W4125"/>
    <mergeCell ref="X4124:AB4124"/>
    <mergeCell ref="AD4124:AI4124"/>
    <mergeCell ref="AJ4124:AL4124"/>
    <mergeCell ref="AN4124:AO4124"/>
    <mergeCell ref="AP4124:AQ4124"/>
    <mergeCell ref="AR4124:AS4125"/>
    <mergeCell ref="AT4124:AU4125"/>
    <mergeCell ref="AV4124:AW4125"/>
    <mergeCell ref="AX4124:AY4125"/>
    <mergeCell ref="AZ4124:AZ4125"/>
    <mergeCell ref="F4125:H4125"/>
    <mergeCell ref="X4125:AB4125"/>
    <mergeCell ref="AE4125:AI4125"/>
    <mergeCell ref="AJ4125:AL4125"/>
    <mergeCell ref="AN4125:AO4125"/>
    <mergeCell ref="AP4125:AQ4125"/>
    <mergeCell ref="A4118:A4119"/>
    <mergeCell ref="E4118:E4119"/>
    <mergeCell ref="F4118:H4118"/>
    <mergeCell ref="J4118:J4119"/>
    <mergeCell ref="K4118:L4119"/>
    <mergeCell ref="M4118:N4119"/>
    <mergeCell ref="O4118:P4119"/>
    <mergeCell ref="Q4118:R4119"/>
    <mergeCell ref="S4118:T4119"/>
    <mergeCell ref="U4118:V4119"/>
    <mergeCell ref="W4118:W4119"/>
    <mergeCell ref="X4118:AB4118"/>
    <mergeCell ref="AD4118:AI4118"/>
    <mergeCell ref="AJ4118:AL4118"/>
    <mergeCell ref="AN4118:AO4118"/>
    <mergeCell ref="AP4118:AQ4118"/>
    <mergeCell ref="AR4118:AS4119"/>
    <mergeCell ref="AT4118:AU4119"/>
    <mergeCell ref="AV4118:AW4119"/>
    <mergeCell ref="AX4118:AY4119"/>
    <mergeCell ref="AZ4118:AZ4119"/>
    <mergeCell ref="F4119:H4119"/>
    <mergeCell ref="X4119:AB4119"/>
    <mergeCell ref="AE4119:AI4119"/>
    <mergeCell ref="AJ4119:AL4119"/>
    <mergeCell ref="AN4119:AO4119"/>
    <mergeCell ref="AP4119:AQ4119"/>
    <mergeCell ref="A4120:A4121"/>
    <mergeCell ref="E4120:E4121"/>
    <mergeCell ref="F4120:H4120"/>
    <mergeCell ref="J4120:J4121"/>
    <mergeCell ref="K4120:L4121"/>
    <mergeCell ref="M4120:N4121"/>
    <mergeCell ref="O4120:P4121"/>
    <mergeCell ref="Q4120:R4121"/>
    <mergeCell ref="S4120:T4121"/>
    <mergeCell ref="U4120:V4121"/>
    <mergeCell ref="W4120:W4121"/>
    <mergeCell ref="X4120:AB4120"/>
    <mergeCell ref="AD4120:AI4120"/>
    <mergeCell ref="AJ4120:AL4120"/>
    <mergeCell ref="AN4120:AO4120"/>
    <mergeCell ref="AP4120:AQ4120"/>
    <mergeCell ref="AR4120:AS4121"/>
    <mergeCell ref="AT4120:AU4121"/>
    <mergeCell ref="AV4120:AW4121"/>
    <mergeCell ref="AX4120:AY4121"/>
    <mergeCell ref="AZ4120:AZ4121"/>
    <mergeCell ref="F4121:H4121"/>
    <mergeCell ref="X4121:AB4121"/>
    <mergeCell ref="AE4121:AI4121"/>
    <mergeCell ref="AJ4121:AL4121"/>
    <mergeCell ref="AN4121:AO4121"/>
    <mergeCell ref="AP4121:AQ4121"/>
    <mergeCell ref="A4104:A4105"/>
    <mergeCell ref="E4104:E4105"/>
    <mergeCell ref="F4104:H4104"/>
    <mergeCell ref="J4104:J4105"/>
    <mergeCell ref="K4104:L4105"/>
    <mergeCell ref="M4104:N4105"/>
    <mergeCell ref="O4104:P4105"/>
    <mergeCell ref="Q4104:R4105"/>
    <mergeCell ref="S4104:T4105"/>
    <mergeCell ref="U4104:V4105"/>
    <mergeCell ref="W4104:W4105"/>
    <mergeCell ref="X4104:AB4104"/>
    <mergeCell ref="AD4104:AI4104"/>
    <mergeCell ref="AJ4104:AL4104"/>
    <mergeCell ref="AN4104:AO4104"/>
    <mergeCell ref="AP4104:AQ4104"/>
    <mergeCell ref="AR4104:AS4105"/>
    <mergeCell ref="AT4104:AU4105"/>
    <mergeCell ref="AV4104:AW4105"/>
    <mergeCell ref="AX4104:AY4105"/>
    <mergeCell ref="AZ4104:AZ4105"/>
    <mergeCell ref="F4105:H4105"/>
    <mergeCell ref="X4105:AB4105"/>
    <mergeCell ref="AE4105:AI4105"/>
    <mergeCell ref="AJ4105:AL4105"/>
    <mergeCell ref="AN4105:AO4105"/>
    <mergeCell ref="AP4105:AQ4105"/>
    <mergeCell ref="A4108:A4109"/>
    <mergeCell ref="E4108:E4109"/>
    <mergeCell ref="F4108:H4108"/>
    <mergeCell ref="J4108:J4109"/>
    <mergeCell ref="K4108:L4109"/>
    <mergeCell ref="M4108:N4109"/>
    <mergeCell ref="O4108:P4109"/>
    <mergeCell ref="Q4108:R4109"/>
    <mergeCell ref="S4108:T4109"/>
    <mergeCell ref="U4108:V4109"/>
    <mergeCell ref="W4108:W4109"/>
    <mergeCell ref="X4108:AB4108"/>
    <mergeCell ref="AD4108:AI4108"/>
    <mergeCell ref="AJ4108:AL4108"/>
    <mergeCell ref="AN4108:AO4108"/>
    <mergeCell ref="AP4108:AQ4108"/>
    <mergeCell ref="AR4108:AS4109"/>
    <mergeCell ref="AT4108:AU4109"/>
    <mergeCell ref="AV4108:AW4109"/>
    <mergeCell ref="AX4108:AY4109"/>
    <mergeCell ref="AZ4108:AZ4109"/>
    <mergeCell ref="F4109:H4109"/>
    <mergeCell ref="X4109:AB4109"/>
    <mergeCell ref="AE4109:AI4109"/>
    <mergeCell ref="AJ4109:AL4109"/>
    <mergeCell ref="AN4109:AO4109"/>
    <mergeCell ref="AP4109:AQ4109"/>
    <mergeCell ref="A4100:A4101"/>
    <mergeCell ref="E4100:E4101"/>
    <mergeCell ref="F4100:H4100"/>
    <mergeCell ref="J4100:J4101"/>
    <mergeCell ref="K4100:L4101"/>
    <mergeCell ref="M4100:N4101"/>
    <mergeCell ref="O4100:P4101"/>
    <mergeCell ref="Q4100:R4101"/>
    <mergeCell ref="S4100:T4101"/>
    <mergeCell ref="U4100:V4101"/>
    <mergeCell ref="W4100:W4101"/>
    <mergeCell ref="X4100:AB4100"/>
    <mergeCell ref="AD4100:AI4100"/>
    <mergeCell ref="AJ4100:AL4100"/>
    <mergeCell ref="AN4100:AO4100"/>
    <mergeCell ref="AP4100:AQ4100"/>
    <mergeCell ref="AR4100:AS4101"/>
    <mergeCell ref="AT4100:AU4101"/>
    <mergeCell ref="AV4100:AW4101"/>
    <mergeCell ref="AX4100:AY4101"/>
    <mergeCell ref="AZ4100:AZ4101"/>
    <mergeCell ref="F4101:H4101"/>
    <mergeCell ref="X4101:AB4101"/>
    <mergeCell ref="AE4101:AI4101"/>
    <mergeCell ref="AJ4101:AL4101"/>
    <mergeCell ref="AN4101:AO4101"/>
    <mergeCell ref="AP4101:AQ4101"/>
    <mergeCell ref="A4102:A4103"/>
    <mergeCell ref="E4102:E4103"/>
    <mergeCell ref="F4102:H4102"/>
    <mergeCell ref="J4102:J4103"/>
    <mergeCell ref="K4102:L4103"/>
    <mergeCell ref="M4102:N4103"/>
    <mergeCell ref="O4102:P4103"/>
    <mergeCell ref="Q4102:R4103"/>
    <mergeCell ref="S4102:T4103"/>
    <mergeCell ref="U4102:V4103"/>
    <mergeCell ref="W4102:W4103"/>
    <mergeCell ref="X4102:AB4102"/>
    <mergeCell ref="AD4102:AI4102"/>
    <mergeCell ref="AJ4102:AL4102"/>
    <mergeCell ref="AN4102:AO4102"/>
    <mergeCell ref="AP4102:AQ4102"/>
    <mergeCell ref="AR4102:AS4103"/>
    <mergeCell ref="AT4102:AU4103"/>
    <mergeCell ref="AV4102:AW4103"/>
    <mergeCell ref="AX4102:AY4103"/>
    <mergeCell ref="AZ4102:AZ4103"/>
    <mergeCell ref="F4103:H4103"/>
    <mergeCell ref="X4103:AB4103"/>
    <mergeCell ref="AE4103:AI4103"/>
    <mergeCell ref="AJ4103:AL4103"/>
    <mergeCell ref="AN4103:AO4103"/>
    <mergeCell ref="AP4103:AQ4103"/>
    <mergeCell ref="A4096:A4097"/>
    <mergeCell ref="E4096:E4097"/>
    <mergeCell ref="F4096:H4096"/>
    <mergeCell ref="J4096:J4097"/>
    <mergeCell ref="K4096:L4097"/>
    <mergeCell ref="M4096:N4097"/>
    <mergeCell ref="O4096:P4097"/>
    <mergeCell ref="Q4096:R4097"/>
    <mergeCell ref="S4096:T4097"/>
    <mergeCell ref="U4096:V4097"/>
    <mergeCell ref="W4096:W4097"/>
    <mergeCell ref="X4096:AB4096"/>
    <mergeCell ref="AD4096:AI4096"/>
    <mergeCell ref="AJ4096:AL4096"/>
    <mergeCell ref="AN4096:AO4096"/>
    <mergeCell ref="AP4096:AQ4096"/>
    <mergeCell ref="AR4096:AS4097"/>
    <mergeCell ref="AT4096:AU4097"/>
    <mergeCell ref="AV4096:AW4097"/>
    <mergeCell ref="AX4096:AY4097"/>
    <mergeCell ref="AZ4096:AZ4097"/>
    <mergeCell ref="F4097:H4097"/>
    <mergeCell ref="X4097:AB4097"/>
    <mergeCell ref="AE4097:AI4097"/>
    <mergeCell ref="AJ4097:AL4097"/>
    <mergeCell ref="AN4097:AO4097"/>
    <mergeCell ref="AP4097:AQ4097"/>
    <mergeCell ref="A4098:A4099"/>
    <mergeCell ref="E4098:E4099"/>
    <mergeCell ref="F4098:H4098"/>
    <mergeCell ref="J4098:J4099"/>
    <mergeCell ref="K4098:L4099"/>
    <mergeCell ref="M4098:N4099"/>
    <mergeCell ref="O4098:P4099"/>
    <mergeCell ref="Q4098:R4099"/>
    <mergeCell ref="S4098:T4099"/>
    <mergeCell ref="U4098:V4099"/>
    <mergeCell ref="W4098:W4099"/>
    <mergeCell ref="X4098:AB4098"/>
    <mergeCell ref="AD4098:AI4098"/>
    <mergeCell ref="AJ4098:AL4098"/>
    <mergeCell ref="AN4098:AO4098"/>
    <mergeCell ref="AP4098:AQ4098"/>
    <mergeCell ref="AR4098:AS4099"/>
    <mergeCell ref="AT4098:AU4099"/>
    <mergeCell ref="AV4098:AW4099"/>
    <mergeCell ref="AX4098:AY4099"/>
    <mergeCell ref="AZ4098:AZ4099"/>
    <mergeCell ref="F4099:H4099"/>
    <mergeCell ref="X4099:AB4099"/>
    <mergeCell ref="AE4099:AI4099"/>
    <mergeCell ref="AJ4099:AL4099"/>
    <mergeCell ref="AN4099:AO4099"/>
    <mergeCell ref="AP4099:AQ4099"/>
    <mergeCell ref="A4092:A4093"/>
    <mergeCell ref="E4092:E4093"/>
    <mergeCell ref="F4092:H4092"/>
    <mergeCell ref="J4092:J4093"/>
    <mergeCell ref="K4092:L4093"/>
    <mergeCell ref="M4092:N4093"/>
    <mergeCell ref="O4092:P4093"/>
    <mergeCell ref="Q4092:R4093"/>
    <mergeCell ref="S4092:T4093"/>
    <mergeCell ref="U4092:V4093"/>
    <mergeCell ref="W4092:W4093"/>
    <mergeCell ref="X4092:AB4092"/>
    <mergeCell ref="AD4092:AI4092"/>
    <mergeCell ref="AJ4092:AL4092"/>
    <mergeCell ref="AN4092:AO4092"/>
    <mergeCell ref="AP4092:AQ4092"/>
    <mergeCell ref="AR4092:AS4093"/>
    <mergeCell ref="AT4092:AU4093"/>
    <mergeCell ref="AV4092:AW4093"/>
    <mergeCell ref="AX4092:AY4093"/>
    <mergeCell ref="AZ4092:AZ4093"/>
    <mergeCell ref="F4093:H4093"/>
    <mergeCell ref="X4093:AB4093"/>
    <mergeCell ref="AE4093:AI4093"/>
    <mergeCell ref="AJ4093:AL4093"/>
    <mergeCell ref="AN4093:AO4093"/>
    <mergeCell ref="AP4093:AQ4093"/>
    <mergeCell ref="A4094:A4095"/>
    <mergeCell ref="E4094:E4095"/>
    <mergeCell ref="F4094:H4094"/>
    <mergeCell ref="J4094:J4095"/>
    <mergeCell ref="K4094:L4095"/>
    <mergeCell ref="M4094:N4095"/>
    <mergeCell ref="O4094:P4095"/>
    <mergeCell ref="Q4094:R4095"/>
    <mergeCell ref="S4094:T4095"/>
    <mergeCell ref="U4094:V4095"/>
    <mergeCell ref="W4094:W4095"/>
    <mergeCell ref="X4094:AB4094"/>
    <mergeCell ref="AD4094:AI4094"/>
    <mergeCell ref="AJ4094:AL4094"/>
    <mergeCell ref="AN4094:AO4094"/>
    <mergeCell ref="AP4094:AQ4094"/>
    <mergeCell ref="AR4094:AS4095"/>
    <mergeCell ref="AT4094:AU4095"/>
    <mergeCell ref="AV4094:AW4095"/>
    <mergeCell ref="AX4094:AY4095"/>
    <mergeCell ref="AZ4094:AZ4095"/>
    <mergeCell ref="F4095:H4095"/>
    <mergeCell ref="X4095:AB4095"/>
    <mergeCell ref="AE4095:AI4095"/>
    <mergeCell ref="AJ4095:AL4095"/>
    <mergeCell ref="AN4095:AO4095"/>
    <mergeCell ref="AP4095:AQ4095"/>
    <mergeCell ref="A4088:A4089"/>
    <mergeCell ref="E4088:E4089"/>
    <mergeCell ref="F4088:H4088"/>
    <mergeCell ref="J4088:J4089"/>
    <mergeCell ref="K4088:L4089"/>
    <mergeCell ref="M4088:N4089"/>
    <mergeCell ref="O4088:P4089"/>
    <mergeCell ref="Q4088:R4089"/>
    <mergeCell ref="S4088:T4089"/>
    <mergeCell ref="U4088:V4089"/>
    <mergeCell ref="W4088:W4089"/>
    <mergeCell ref="X4088:AB4088"/>
    <mergeCell ref="AD4088:AI4088"/>
    <mergeCell ref="AJ4088:AL4088"/>
    <mergeCell ref="AN4088:AO4088"/>
    <mergeCell ref="AP4088:AQ4088"/>
    <mergeCell ref="AR4088:AS4089"/>
    <mergeCell ref="AT4088:AU4089"/>
    <mergeCell ref="AV4088:AW4089"/>
    <mergeCell ref="AX4088:AY4089"/>
    <mergeCell ref="AZ4088:AZ4089"/>
    <mergeCell ref="F4089:H4089"/>
    <mergeCell ref="X4089:AB4089"/>
    <mergeCell ref="AE4089:AI4089"/>
    <mergeCell ref="AJ4089:AL4089"/>
    <mergeCell ref="AN4089:AO4089"/>
    <mergeCell ref="AP4089:AQ4089"/>
    <mergeCell ref="A4090:A4091"/>
    <mergeCell ref="E4090:E4091"/>
    <mergeCell ref="F4090:H4090"/>
    <mergeCell ref="J4090:J4091"/>
    <mergeCell ref="K4090:L4091"/>
    <mergeCell ref="M4090:N4091"/>
    <mergeCell ref="O4090:P4091"/>
    <mergeCell ref="Q4090:R4091"/>
    <mergeCell ref="S4090:T4091"/>
    <mergeCell ref="U4090:V4091"/>
    <mergeCell ref="W4090:W4091"/>
    <mergeCell ref="X4090:AB4090"/>
    <mergeCell ref="AD4090:AI4090"/>
    <mergeCell ref="AJ4090:AL4090"/>
    <mergeCell ref="AN4090:AO4090"/>
    <mergeCell ref="AP4090:AQ4090"/>
    <mergeCell ref="AR4090:AS4091"/>
    <mergeCell ref="AT4090:AU4091"/>
    <mergeCell ref="AV4090:AW4091"/>
    <mergeCell ref="AX4090:AY4091"/>
    <mergeCell ref="AZ4090:AZ4091"/>
    <mergeCell ref="F4091:H4091"/>
    <mergeCell ref="X4091:AB4091"/>
    <mergeCell ref="AE4091:AI4091"/>
    <mergeCell ref="AJ4091:AL4091"/>
    <mergeCell ref="AN4091:AO4091"/>
    <mergeCell ref="AP4091:AQ4091"/>
    <mergeCell ref="A4084:A4085"/>
    <mergeCell ref="E4084:E4085"/>
    <mergeCell ref="F4084:H4084"/>
    <mergeCell ref="J4084:J4085"/>
    <mergeCell ref="K4084:L4085"/>
    <mergeCell ref="M4084:N4085"/>
    <mergeCell ref="O4084:P4085"/>
    <mergeCell ref="Q4084:R4085"/>
    <mergeCell ref="S4084:T4085"/>
    <mergeCell ref="U4084:V4085"/>
    <mergeCell ref="W4084:W4085"/>
    <mergeCell ref="X4084:AB4084"/>
    <mergeCell ref="AD4084:AI4084"/>
    <mergeCell ref="AJ4084:AL4084"/>
    <mergeCell ref="AN4084:AO4084"/>
    <mergeCell ref="AP4084:AQ4084"/>
    <mergeCell ref="AR4084:AS4085"/>
    <mergeCell ref="AT4084:AU4085"/>
    <mergeCell ref="AV4084:AW4085"/>
    <mergeCell ref="AX4084:AY4085"/>
    <mergeCell ref="AZ4084:AZ4085"/>
    <mergeCell ref="F4085:H4085"/>
    <mergeCell ref="X4085:AB4085"/>
    <mergeCell ref="AE4085:AI4085"/>
    <mergeCell ref="AJ4085:AL4085"/>
    <mergeCell ref="AN4085:AO4085"/>
    <mergeCell ref="AP4085:AQ4085"/>
    <mergeCell ref="A4086:A4087"/>
    <mergeCell ref="E4086:E4087"/>
    <mergeCell ref="F4086:H4086"/>
    <mergeCell ref="J4086:J4087"/>
    <mergeCell ref="K4086:L4087"/>
    <mergeCell ref="M4086:N4087"/>
    <mergeCell ref="O4086:P4087"/>
    <mergeCell ref="Q4086:R4087"/>
    <mergeCell ref="S4086:T4087"/>
    <mergeCell ref="U4086:V4087"/>
    <mergeCell ref="W4086:W4087"/>
    <mergeCell ref="X4086:AB4086"/>
    <mergeCell ref="AD4086:AI4086"/>
    <mergeCell ref="AJ4086:AL4086"/>
    <mergeCell ref="AN4086:AO4086"/>
    <mergeCell ref="AP4086:AQ4086"/>
    <mergeCell ref="AR4086:AS4087"/>
    <mergeCell ref="AT4086:AU4087"/>
    <mergeCell ref="AV4086:AW4087"/>
    <mergeCell ref="AX4086:AY4087"/>
    <mergeCell ref="AZ4086:AZ4087"/>
    <mergeCell ref="F4087:H4087"/>
    <mergeCell ref="X4087:AB4087"/>
    <mergeCell ref="AE4087:AI4087"/>
    <mergeCell ref="AJ4087:AL4087"/>
    <mergeCell ref="AN4087:AO4087"/>
    <mergeCell ref="AP4087:AQ4087"/>
    <mergeCell ref="A4080:A4081"/>
    <mergeCell ref="E4080:E4081"/>
    <mergeCell ref="F4080:H4080"/>
    <mergeCell ref="J4080:J4081"/>
    <mergeCell ref="K4080:L4081"/>
    <mergeCell ref="M4080:N4081"/>
    <mergeCell ref="O4080:P4081"/>
    <mergeCell ref="Q4080:R4081"/>
    <mergeCell ref="S4080:T4081"/>
    <mergeCell ref="U4080:V4081"/>
    <mergeCell ref="W4080:W4081"/>
    <mergeCell ref="X4080:AB4080"/>
    <mergeCell ref="AD4080:AI4080"/>
    <mergeCell ref="AJ4080:AL4080"/>
    <mergeCell ref="AN4080:AO4080"/>
    <mergeCell ref="AP4080:AQ4080"/>
    <mergeCell ref="AR4080:AS4081"/>
    <mergeCell ref="AT4080:AU4081"/>
    <mergeCell ref="AV4080:AW4081"/>
    <mergeCell ref="AX4080:AY4081"/>
    <mergeCell ref="AZ4080:AZ4081"/>
    <mergeCell ref="F4081:H4081"/>
    <mergeCell ref="X4081:AB4081"/>
    <mergeCell ref="AE4081:AI4081"/>
    <mergeCell ref="AJ4081:AL4081"/>
    <mergeCell ref="AN4081:AO4081"/>
    <mergeCell ref="AP4081:AQ4081"/>
    <mergeCell ref="A4082:A4083"/>
    <mergeCell ref="E4082:E4083"/>
    <mergeCell ref="F4082:H4082"/>
    <mergeCell ref="J4082:J4083"/>
    <mergeCell ref="K4082:L4083"/>
    <mergeCell ref="M4082:N4083"/>
    <mergeCell ref="O4082:P4083"/>
    <mergeCell ref="Q4082:R4083"/>
    <mergeCell ref="S4082:T4083"/>
    <mergeCell ref="U4082:V4083"/>
    <mergeCell ref="W4082:W4083"/>
    <mergeCell ref="X4082:AB4082"/>
    <mergeCell ref="AD4082:AI4082"/>
    <mergeCell ref="AJ4082:AL4082"/>
    <mergeCell ref="AN4082:AO4082"/>
    <mergeCell ref="AP4082:AQ4082"/>
    <mergeCell ref="AR4082:AS4083"/>
    <mergeCell ref="AT4082:AU4083"/>
    <mergeCell ref="AV4082:AW4083"/>
    <mergeCell ref="AX4082:AY4083"/>
    <mergeCell ref="AZ4082:AZ4083"/>
    <mergeCell ref="F4083:H4083"/>
    <mergeCell ref="X4083:AB4083"/>
    <mergeCell ref="AE4083:AI4083"/>
    <mergeCell ref="AJ4083:AL4083"/>
    <mergeCell ref="AN4083:AO4083"/>
    <mergeCell ref="AP4083:AQ4083"/>
    <mergeCell ref="A4076:A4077"/>
    <mergeCell ref="E4076:E4077"/>
    <mergeCell ref="F4076:H4076"/>
    <mergeCell ref="J4076:J4077"/>
    <mergeCell ref="K4076:L4077"/>
    <mergeCell ref="M4076:N4077"/>
    <mergeCell ref="O4076:P4077"/>
    <mergeCell ref="Q4076:R4077"/>
    <mergeCell ref="S4076:T4077"/>
    <mergeCell ref="U4076:V4077"/>
    <mergeCell ref="W4076:W4077"/>
    <mergeCell ref="X4076:AB4076"/>
    <mergeCell ref="AD4076:AI4076"/>
    <mergeCell ref="AJ4076:AL4076"/>
    <mergeCell ref="AN4076:AO4076"/>
    <mergeCell ref="AP4076:AQ4076"/>
    <mergeCell ref="AR4076:AS4077"/>
    <mergeCell ref="AT4076:AU4077"/>
    <mergeCell ref="AV4076:AW4077"/>
    <mergeCell ref="AX4076:AY4077"/>
    <mergeCell ref="AZ4076:AZ4077"/>
    <mergeCell ref="F4077:H4077"/>
    <mergeCell ref="X4077:AB4077"/>
    <mergeCell ref="AE4077:AI4077"/>
    <mergeCell ref="AJ4077:AL4077"/>
    <mergeCell ref="AN4077:AO4077"/>
    <mergeCell ref="AP4077:AQ4077"/>
    <mergeCell ref="A4078:A4079"/>
    <mergeCell ref="E4078:E4079"/>
    <mergeCell ref="F4078:H4078"/>
    <mergeCell ref="J4078:J4079"/>
    <mergeCell ref="K4078:L4079"/>
    <mergeCell ref="M4078:N4079"/>
    <mergeCell ref="O4078:P4079"/>
    <mergeCell ref="Q4078:R4079"/>
    <mergeCell ref="S4078:T4079"/>
    <mergeCell ref="U4078:V4079"/>
    <mergeCell ref="W4078:W4079"/>
    <mergeCell ref="X4078:AB4078"/>
    <mergeCell ref="AD4078:AI4078"/>
    <mergeCell ref="AJ4078:AL4078"/>
    <mergeCell ref="AN4078:AO4078"/>
    <mergeCell ref="AP4078:AQ4078"/>
    <mergeCell ref="AR4078:AS4079"/>
    <mergeCell ref="AT4078:AU4079"/>
    <mergeCell ref="AV4078:AW4079"/>
    <mergeCell ref="AX4078:AY4079"/>
    <mergeCell ref="AZ4078:AZ4079"/>
    <mergeCell ref="F4079:H4079"/>
    <mergeCell ref="X4079:AB4079"/>
    <mergeCell ref="AE4079:AI4079"/>
    <mergeCell ref="AJ4079:AL4079"/>
    <mergeCell ref="AN4079:AO4079"/>
    <mergeCell ref="AP4079:AQ4079"/>
    <mergeCell ref="A4072:A4073"/>
    <mergeCell ref="E4072:E4073"/>
    <mergeCell ref="F4072:H4072"/>
    <mergeCell ref="J4072:J4073"/>
    <mergeCell ref="K4072:L4073"/>
    <mergeCell ref="M4072:N4073"/>
    <mergeCell ref="O4072:P4073"/>
    <mergeCell ref="Q4072:R4073"/>
    <mergeCell ref="S4072:T4073"/>
    <mergeCell ref="U4072:V4073"/>
    <mergeCell ref="W4072:W4073"/>
    <mergeCell ref="X4072:AB4072"/>
    <mergeCell ref="AD4072:AI4072"/>
    <mergeCell ref="AJ4072:AL4072"/>
    <mergeCell ref="AN4072:AO4072"/>
    <mergeCell ref="AP4072:AQ4072"/>
    <mergeCell ref="AR4072:AS4073"/>
    <mergeCell ref="AT4072:AU4073"/>
    <mergeCell ref="AV4072:AW4073"/>
    <mergeCell ref="AX4072:AY4073"/>
    <mergeCell ref="AZ4072:AZ4073"/>
    <mergeCell ref="F4073:H4073"/>
    <mergeCell ref="X4073:AB4073"/>
    <mergeCell ref="AE4073:AI4073"/>
    <mergeCell ref="AJ4073:AL4073"/>
    <mergeCell ref="AN4073:AO4073"/>
    <mergeCell ref="AP4073:AQ4073"/>
    <mergeCell ref="A4074:A4075"/>
    <mergeCell ref="E4074:E4075"/>
    <mergeCell ref="F4074:H4074"/>
    <mergeCell ref="J4074:J4075"/>
    <mergeCell ref="K4074:L4075"/>
    <mergeCell ref="M4074:N4075"/>
    <mergeCell ref="O4074:P4075"/>
    <mergeCell ref="Q4074:R4075"/>
    <mergeCell ref="S4074:T4075"/>
    <mergeCell ref="U4074:V4075"/>
    <mergeCell ref="W4074:W4075"/>
    <mergeCell ref="X4074:AB4074"/>
    <mergeCell ref="AD4074:AI4074"/>
    <mergeCell ref="AJ4074:AL4074"/>
    <mergeCell ref="AN4074:AO4074"/>
    <mergeCell ref="AP4074:AQ4074"/>
    <mergeCell ref="AR4074:AS4075"/>
    <mergeCell ref="AT4074:AU4075"/>
    <mergeCell ref="AV4074:AW4075"/>
    <mergeCell ref="AX4074:AY4075"/>
    <mergeCell ref="AZ4074:AZ4075"/>
    <mergeCell ref="F4075:H4075"/>
    <mergeCell ref="X4075:AB4075"/>
    <mergeCell ref="AE4075:AI4075"/>
    <mergeCell ref="AJ4075:AL4075"/>
    <mergeCell ref="AN4075:AO4075"/>
    <mergeCell ref="AP4075:AQ4075"/>
    <mergeCell ref="A4068:A4069"/>
    <mergeCell ref="E4068:E4069"/>
    <mergeCell ref="F4068:H4068"/>
    <mergeCell ref="J4068:J4069"/>
    <mergeCell ref="K4068:L4069"/>
    <mergeCell ref="M4068:N4069"/>
    <mergeCell ref="O4068:P4069"/>
    <mergeCell ref="Q4068:R4069"/>
    <mergeCell ref="S4068:T4069"/>
    <mergeCell ref="U4068:V4069"/>
    <mergeCell ref="W4068:W4069"/>
    <mergeCell ref="X4068:AB4068"/>
    <mergeCell ref="AD4068:AI4068"/>
    <mergeCell ref="AJ4068:AL4068"/>
    <mergeCell ref="AN4068:AO4068"/>
    <mergeCell ref="AP4068:AQ4068"/>
    <mergeCell ref="AR4068:AS4069"/>
    <mergeCell ref="AT4068:AU4069"/>
    <mergeCell ref="AV4068:AW4069"/>
    <mergeCell ref="AX4068:AY4069"/>
    <mergeCell ref="AZ4068:AZ4069"/>
    <mergeCell ref="F4069:H4069"/>
    <mergeCell ref="X4069:AB4069"/>
    <mergeCell ref="AE4069:AI4069"/>
    <mergeCell ref="AJ4069:AL4069"/>
    <mergeCell ref="AN4069:AO4069"/>
    <mergeCell ref="AP4069:AQ4069"/>
    <mergeCell ref="A4070:A4071"/>
    <mergeCell ref="E4070:E4071"/>
    <mergeCell ref="F4070:H4070"/>
    <mergeCell ref="J4070:J4071"/>
    <mergeCell ref="K4070:L4071"/>
    <mergeCell ref="M4070:N4071"/>
    <mergeCell ref="O4070:P4071"/>
    <mergeCell ref="Q4070:R4071"/>
    <mergeCell ref="S4070:T4071"/>
    <mergeCell ref="U4070:V4071"/>
    <mergeCell ref="W4070:W4071"/>
    <mergeCell ref="X4070:AB4070"/>
    <mergeCell ref="AD4070:AI4070"/>
    <mergeCell ref="AJ4070:AL4070"/>
    <mergeCell ref="AN4070:AO4070"/>
    <mergeCell ref="AP4070:AQ4070"/>
    <mergeCell ref="AR4070:AS4071"/>
    <mergeCell ref="AT4070:AU4071"/>
    <mergeCell ref="AV4070:AW4071"/>
    <mergeCell ref="AX4070:AY4071"/>
    <mergeCell ref="AZ4070:AZ4071"/>
    <mergeCell ref="F4071:H4071"/>
    <mergeCell ref="X4071:AB4071"/>
    <mergeCell ref="AE4071:AI4071"/>
    <mergeCell ref="AJ4071:AL4071"/>
    <mergeCell ref="AN4071:AO4071"/>
    <mergeCell ref="AP4071:AQ4071"/>
    <mergeCell ref="A4064:A4065"/>
    <mergeCell ref="E4064:E4065"/>
    <mergeCell ref="F4064:H4064"/>
    <mergeCell ref="J4064:J4065"/>
    <mergeCell ref="K4064:L4065"/>
    <mergeCell ref="M4064:N4065"/>
    <mergeCell ref="O4064:P4065"/>
    <mergeCell ref="Q4064:R4065"/>
    <mergeCell ref="S4064:T4065"/>
    <mergeCell ref="U4064:V4065"/>
    <mergeCell ref="W4064:W4065"/>
    <mergeCell ref="X4064:AB4064"/>
    <mergeCell ref="AD4064:AI4064"/>
    <mergeCell ref="AJ4064:AL4064"/>
    <mergeCell ref="AN4064:AO4064"/>
    <mergeCell ref="AP4064:AQ4064"/>
    <mergeCell ref="AR4064:AS4065"/>
    <mergeCell ref="AT4064:AU4065"/>
    <mergeCell ref="AV4064:AW4065"/>
    <mergeCell ref="AX4064:AY4065"/>
    <mergeCell ref="AZ4064:AZ4065"/>
    <mergeCell ref="F4065:H4065"/>
    <mergeCell ref="X4065:AB4065"/>
    <mergeCell ref="AE4065:AI4065"/>
    <mergeCell ref="AJ4065:AL4065"/>
    <mergeCell ref="AN4065:AO4065"/>
    <mergeCell ref="AP4065:AQ4065"/>
    <mergeCell ref="A4066:A4067"/>
    <mergeCell ref="E4066:E4067"/>
    <mergeCell ref="F4066:H4066"/>
    <mergeCell ref="J4066:J4067"/>
    <mergeCell ref="K4066:L4067"/>
    <mergeCell ref="M4066:N4067"/>
    <mergeCell ref="O4066:P4067"/>
    <mergeCell ref="Q4066:R4067"/>
    <mergeCell ref="S4066:T4067"/>
    <mergeCell ref="U4066:V4067"/>
    <mergeCell ref="W4066:W4067"/>
    <mergeCell ref="X4066:AB4066"/>
    <mergeCell ref="AD4066:AI4066"/>
    <mergeCell ref="AJ4066:AL4066"/>
    <mergeCell ref="AN4066:AO4066"/>
    <mergeCell ref="AP4066:AQ4066"/>
    <mergeCell ref="AR4066:AS4067"/>
    <mergeCell ref="AT4066:AU4067"/>
    <mergeCell ref="AV4066:AW4067"/>
    <mergeCell ref="AX4066:AY4067"/>
    <mergeCell ref="AZ4066:AZ4067"/>
    <mergeCell ref="F4067:H4067"/>
    <mergeCell ref="X4067:AB4067"/>
    <mergeCell ref="AE4067:AI4067"/>
    <mergeCell ref="AJ4067:AL4067"/>
    <mergeCell ref="AN4067:AO4067"/>
    <mergeCell ref="AP4067:AQ4067"/>
    <mergeCell ref="A4060:A4061"/>
    <mergeCell ref="E4060:E4061"/>
    <mergeCell ref="F4060:H4060"/>
    <mergeCell ref="J4060:J4061"/>
    <mergeCell ref="K4060:L4061"/>
    <mergeCell ref="M4060:N4061"/>
    <mergeCell ref="O4060:P4061"/>
    <mergeCell ref="Q4060:R4061"/>
    <mergeCell ref="S4060:T4061"/>
    <mergeCell ref="U4060:V4061"/>
    <mergeCell ref="W4060:W4061"/>
    <mergeCell ref="X4060:AB4060"/>
    <mergeCell ref="AD4060:AI4060"/>
    <mergeCell ref="AJ4060:AL4060"/>
    <mergeCell ref="AN4060:AO4060"/>
    <mergeCell ref="AP4060:AQ4060"/>
    <mergeCell ref="AR4060:AS4061"/>
    <mergeCell ref="AT4060:AU4061"/>
    <mergeCell ref="AV4060:AW4061"/>
    <mergeCell ref="AX4060:AY4061"/>
    <mergeCell ref="AZ4060:AZ4061"/>
    <mergeCell ref="F4061:H4061"/>
    <mergeCell ref="X4061:AB4061"/>
    <mergeCell ref="AE4061:AI4061"/>
    <mergeCell ref="AJ4061:AL4061"/>
    <mergeCell ref="AN4061:AO4061"/>
    <mergeCell ref="AP4061:AQ4061"/>
    <mergeCell ref="A4062:A4063"/>
    <mergeCell ref="E4062:E4063"/>
    <mergeCell ref="F4062:H4062"/>
    <mergeCell ref="J4062:J4063"/>
    <mergeCell ref="K4062:L4063"/>
    <mergeCell ref="M4062:N4063"/>
    <mergeCell ref="O4062:P4063"/>
    <mergeCell ref="Q4062:R4063"/>
    <mergeCell ref="S4062:T4063"/>
    <mergeCell ref="U4062:V4063"/>
    <mergeCell ref="W4062:W4063"/>
    <mergeCell ref="X4062:AB4062"/>
    <mergeCell ref="AD4062:AI4062"/>
    <mergeCell ref="AJ4062:AL4062"/>
    <mergeCell ref="AN4062:AO4062"/>
    <mergeCell ref="AP4062:AQ4062"/>
    <mergeCell ref="AR4062:AS4063"/>
    <mergeCell ref="AT4062:AU4063"/>
    <mergeCell ref="AV4062:AW4063"/>
    <mergeCell ref="AX4062:AY4063"/>
    <mergeCell ref="AZ4062:AZ4063"/>
    <mergeCell ref="F4063:H4063"/>
    <mergeCell ref="X4063:AB4063"/>
    <mergeCell ref="AE4063:AI4063"/>
    <mergeCell ref="AJ4063:AL4063"/>
    <mergeCell ref="AN4063:AO4063"/>
    <mergeCell ref="AP4063:AQ4063"/>
    <mergeCell ref="A4056:A4057"/>
    <mergeCell ref="E4056:E4057"/>
    <mergeCell ref="F4056:H4056"/>
    <mergeCell ref="J4056:J4057"/>
    <mergeCell ref="K4056:L4057"/>
    <mergeCell ref="M4056:N4057"/>
    <mergeCell ref="O4056:P4057"/>
    <mergeCell ref="Q4056:R4057"/>
    <mergeCell ref="S4056:T4057"/>
    <mergeCell ref="U4056:V4057"/>
    <mergeCell ref="W4056:W4057"/>
    <mergeCell ref="X4056:AB4056"/>
    <mergeCell ref="AD4056:AI4056"/>
    <mergeCell ref="AJ4056:AL4056"/>
    <mergeCell ref="AN4056:AO4056"/>
    <mergeCell ref="AP4056:AQ4056"/>
    <mergeCell ref="AR4056:AS4057"/>
    <mergeCell ref="AT4056:AU4057"/>
    <mergeCell ref="AV4056:AW4057"/>
    <mergeCell ref="AX4056:AY4057"/>
    <mergeCell ref="AZ4056:AZ4057"/>
    <mergeCell ref="F4057:H4057"/>
    <mergeCell ref="X4057:AB4057"/>
    <mergeCell ref="AE4057:AI4057"/>
    <mergeCell ref="AJ4057:AL4057"/>
    <mergeCell ref="AN4057:AO4057"/>
    <mergeCell ref="AP4057:AQ4057"/>
    <mergeCell ref="A4058:A4059"/>
    <mergeCell ref="E4058:E4059"/>
    <mergeCell ref="F4058:H4058"/>
    <mergeCell ref="J4058:J4059"/>
    <mergeCell ref="K4058:L4059"/>
    <mergeCell ref="M4058:N4059"/>
    <mergeCell ref="O4058:P4059"/>
    <mergeCell ref="Q4058:R4059"/>
    <mergeCell ref="S4058:T4059"/>
    <mergeCell ref="U4058:V4059"/>
    <mergeCell ref="W4058:W4059"/>
    <mergeCell ref="X4058:AB4058"/>
    <mergeCell ref="AD4058:AI4058"/>
    <mergeCell ref="AJ4058:AL4058"/>
    <mergeCell ref="AN4058:AO4058"/>
    <mergeCell ref="AP4058:AQ4058"/>
    <mergeCell ref="AR4058:AS4059"/>
    <mergeCell ref="AT4058:AU4059"/>
    <mergeCell ref="AV4058:AW4059"/>
    <mergeCell ref="AX4058:AY4059"/>
    <mergeCell ref="AZ4058:AZ4059"/>
    <mergeCell ref="F4059:H4059"/>
    <mergeCell ref="X4059:AB4059"/>
    <mergeCell ref="AE4059:AI4059"/>
    <mergeCell ref="AJ4059:AL4059"/>
    <mergeCell ref="AN4059:AO4059"/>
    <mergeCell ref="AP4059:AQ4059"/>
    <mergeCell ref="A4052:A4053"/>
    <mergeCell ref="E4052:E4053"/>
    <mergeCell ref="F4052:H4052"/>
    <mergeCell ref="J4052:J4053"/>
    <mergeCell ref="K4052:L4053"/>
    <mergeCell ref="M4052:N4053"/>
    <mergeCell ref="O4052:P4053"/>
    <mergeCell ref="Q4052:R4053"/>
    <mergeCell ref="S4052:T4053"/>
    <mergeCell ref="U4052:V4053"/>
    <mergeCell ref="W4052:W4053"/>
    <mergeCell ref="X4052:AB4052"/>
    <mergeCell ref="AD4052:AI4052"/>
    <mergeCell ref="AJ4052:AL4052"/>
    <mergeCell ref="AN4052:AO4052"/>
    <mergeCell ref="AP4052:AQ4052"/>
    <mergeCell ref="AR4052:AS4053"/>
    <mergeCell ref="AT4052:AU4053"/>
    <mergeCell ref="AV4052:AW4053"/>
    <mergeCell ref="AX4052:AY4053"/>
    <mergeCell ref="AZ4052:AZ4053"/>
    <mergeCell ref="F4053:H4053"/>
    <mergeCell ref="X4053:AB4053"/>
    <mergeCell ref="AE4053:AI4053"/>
    <mergeCell ref="AJ4053:AL4053"/>
    <mergeCell ref="AN4053:AO4053"/>
    <mergeCell ref="AP4053:AQ4053"/>
    <mergeCell ref="A4054:A4055"/>
    <mergeCell ref="E4054:E4055"/>
    <mergeCell ref="F4054:H4054"/>
    <mergeCell ref="J4054:J4055"/>
    <mergeCell ref="K4054:L4055"/>
    <mergeCell ref="M4054:N4055"/>
    <mergeCell ref="O4054:P4055"/>
    <mergeCell ref="Q4054:R4055"/>
    <mergeCell ref="S4054:T4055"/>
    <mergeCell ref="U4054:V4055"/>
    <mergeCell ref="W4054:W4055"/>
    <mergeCell ref="X4054:AB4054"/>
    <mergeCell ref="AD4054:AI4054"/>
    <mergeCell ref="AJ4054:AL4054"/>
    <mergeCell ref="AN4054:AO4054"/>
    <mergeCell ref="AP4054:AQ4054"/>
    <mergeCell ref="AR4054:AS4055"/>
    <mergeCell ref="AT4054:AU4055"/>
    <mergeCell ref="AV4054:AW4055"/>
    <mergeCell ref="AX4054:AY4055"/>
    <mergeCell ref="AZ4054:AZ4055"/>
    <mergeCell ref="F4055:H4055"/>
    <mergeCell ref="X4055:AB4055"/>
    <mergeCell ref="AE4055:AI4055"/>
    <mergeCell ref="AJ4055:AL4055"/>
    <mergeCell ref="AN4055:AO4055"/>
    <mergeCell ref="AP4055:AQ4055"/>
    <mergeCell ref="A4048:A4049"/>
    <mergeCell ref="E4048:E4049"/>
    <mergeCell ref="F4048:H4048"/>
    <mergeCell ref="J4048:J4049"/>
    <mergeCell ref="K4048:L4049"/>
    <mergeCell ref="M4048:N4049"/>
    <mergeCell ref="O4048:P4049"/>
    <mergeCell ref="Q4048:R4049"/>
    <mergeCell ref="S4048:T4049"/>
    <mergeCell ref="U4048:V4049"/>
    <mergeCell ref="W4048:W4049"/>
    <mergeCell ref="X4048:AB4048"/>
    <mergeCell ref="AD4048:AI4048"/>
    <mergeCell ref="AJ4048:AL4048"/>
    <mergeCell ref="AN4048:AO4048"/>
    <mergeCell ref="AP4048:AQ4048"/>
    <mergeCell ref="AR4048:AS4049"/>
    <mergeCell ref="AT4048:AU4049"/>
    <mergeCell ref="AV4048:AW4049"/>
    <mergeCell ref="AX4048:AY4049"/>
    <mergeCell ref="AZ4048:AZ4049"/>
    <mergeCell ref="F4049:H4049"/>
    <mergeCell ref="X4049:AB4049"/>
    <mergeCell ref="AE4049:AI4049"/>
    <mergeCell ref="AJ4049:AL4049"/>
    <mergeCell ref="AN4049:AO4049"/>
    <mergeCell ref="AP4049:AQ4049"/>
    <mergeCell ref="A4050:A4051"/>
    <mergeCell ref="E4050:E4051"/>
    <mergeCell ref="F4050:H4050"/>
    <mergeCell ref="J4050:J4051"/>
    <mergeCell ref="K4050:L4051"/>
    <mergeCell ref="M4050:N4051"/>
    <mergeCell ref="O4050:P4051"/>
    <mergeCell ref="Q4050:R4051"/>
    <mergeCell ref="S4050:T4051"/>
    <mergeCell ref="U4050:V4051"/>
    <mergeCell ref="W4050:W4051"/>
    <mergeCell ref="X4050:AB4050"/>
    <mergeCell ref="AD4050:AI4050"/>
    <mergeCell ref="AJ4050:AL4050"/>
    <mergeCell ref="AN4050:AO4050"/>
    <mergeCell ref="AP4050:AQ4050"/>
    <mergeCell ref="AR4050:AS4051"/>
    <mergeCell ref="AT4050:AU4051"/>
    <mergeCell ref="AV4050:AW4051"/>
    <mergeCell ref="AX4050:AY4051"/>
    <mergeCell ref="AZ4050:AZ4051"/>
    <mergeCell ref="F4051:H4051"/>
    <mergeCell ref="X4051:AB4051"/>
    <mergeCell ref="AE4051:AI4051"/>
    <mergeCell ref="AJ4051:AL4051"/>
    <mergeCell ref="AN4051:AO4051"/>
    <mergeCell ref="AP4051:AQ4051"/>
    <mergeCell ref="A4044:A4045"/>
    <mergeCell ref="E4044:E4045"/>
    <mergeCell ref="F4044:H4044"/>
    <mergeCell ref="J4044:J4045"/>
    <mergeCell ref="K4044:L4045"/>
    <mergeCell ref="M4044:N4045"/>
    <mergeCell ref="O4044:P4045"/>
    <mergeCell ref="Q4044:R4045"/>
    <mergeCell ref="S4044:T4045"/>
    <mergeCell ref="U4044:V4045"/>
    <mergeCell ref="W4044:W4045"/>
    <mergeCell ref="X4044:AB4044"/>
    <mergeCell ref="AD4044:AI4044"/>
    <mergeCell ref="AJ4044:AL4044"/>
    <mergeCell ref="AN4044:AO4044"/>
    <mergeCell ref="AP4044:AQ4044"/>
    <mergeCell ref="AR4044:AS4045"/>
    <mergeCell ref="AT4044:AU4045"/>
    <mergeCell ref="AV4044:AW4045"/>
    <mergeCell ref="AX4044:AY4045"/>
    <mergeCell ref="AZ4044:AZ4045"/>
    <mergeCell ref="F4045:H4045"/>
    <mergeCell ref="X4045:AB4045"/>
    <mergeCell ref="AE4045:AI4045"/>
    <mergeCell ref="AJ4045:AL4045"/>
    <mergeCell ref="AN4045:AO4045"/>
    <mergeCell ref="AP4045:AQ4045"/>
    <mergeCell ref="A4046:A4047"/>
    <mergeCell ref="E4046:E4047"/>
    <mergeCell ref="F4046:H4046"/>
    <mergeCell ref="J4046:J4047"/>
    <mergeCell ref="K4046:L4047"/>
    <mergeCell ref="M4046:N4047"/>
    <mergeCell ref="O4046:P4047"/>
    <mergeCell ref="Q4046:R4047"/>
    <mergeCell ref="S4046:T4047"/>
    <mergeCell ref="U4046:V4047"/>
    <mergeCell ref="W4046:W4047"/>
    <mergeCell ref="X4046:AB4046"/>
    <mergeCell ref="AD4046:AI4046"/>
    <mergeCell ref="AJ4046:AL4046"/>
    <mergeCell ref="AN4046:AO4046"/>
    <mergeCell ref="AP4046:AQ4046"/>
    <mergeCell ref="AR4046:AS4047"/>
    <mergeCell ref="AT4046:AU4047"/>
    <mergeCell ref="AV4046:AW4047"/>
    <mergeCell ref="AX4046:AY4047"/>
    <mergeCell ref="AZ4046:AZ4047"/>
    <mergeCell ref="F4047:H4047"/>
    <mergeCell ref="X4047:AB4047"/>
    <mergeCell ref="AE4047:AI4047"/>
    <mergeCell ref="AJ4047:AL4047"/>
    <mergeCell ref="AN4047:AO4047"/>
    <mergeCell ref="AP4047:AQ4047"/>
    <mergeCell ref="A4040:A4041"/>
    <mergeCell ref="E4040:E4041"/>
    <mergeCell ref="F4040:H4040"/>
    <mergeCell ref="J4040:J4041"/>
    <mergeCell ref="K4040:L4041"/>
    <mergeCell ref="M4040:N4041"/>
    <mergeCell ref="O4040:P4041"/>
    <mergeCell ref="Q4040:R4041"/>
    <mergeCell ref="S4040:T4041"/>
    <mergeCell ref="U4040:V4041"/>
    <mergeCell ref="W4040:W4041"/>
    <mergeCell ref="X4040:AB4040"/>
    <mergeCell ref="AD4040:AI4040"/>
    <mergeCell ref="AJ4040:AL4040"/>
    <mergeCell ref="AN4040:AO4040"/>
    <mergeCell ref="AP4040:AQ4040"/>
    <mergeCell ref="AR4040:AS4041"/>
    <mergeCell ref="AT4040:AU4041"/>
    <mergeCell ref="AV4040:AW4041"/>
    <mergeCell ref="AX4040:AY4041"/>
    <mergeCell ref="AZ4040:AZ4041"/>
    <mergeCell ref="F4041:H4041"/>
    <mergeCell ref="X4041:AB4041"/>
    <mergeCell ref="AE4041:AI4041"/>
    <mergeCell ref="AJ4041:AL4041"/>
    <mergeCell ref="AN4041:AO4041"/>
    <mergeCell ref="AP4041:AQ4041"/>
    <mergeCell ref="A4042:A4043"/>
    <mergeCell ref="E4042:E4043"/>
    <mergeCell ref="F4042:H4042"/>
    <mergeCell ref="J4042:J4043"/>
    <mergeCell ref="K4042:L4043"/>
    <mergeCell ref="M4042:N4043"/>
    <mergeCell ref="O4042:P4043"/>
    <mergeCell ref="Q4042:R4043"/>
    <mergeCell ref="S4042:T4043"/>
    <mergeCell ref="U4042:V4043"/>
    <mergeCell ref="W4042:W4043"/>
    <mergeCell ref="X4042:AB4042"/>
    <mergeCell ref="AD4042:AI4042"/>
    <mergeCell ref="AJ4042:AL4042"/>
    <mergeCell ref="AN4042:AO4042"/>
    <mergeCell ref="AP4042:AQ4042"/>
    <mergeCell ref="AR4042:AS4043"/>
    <mergeCell ref="AT4042:AU4043"/>
    <mergeCell ref="AV4042:AW4043"/>
    <mergeCell ref="AX4042:AY4043"/>
    <mergeCell ref="AZ4042:AZ4043"/>
    <mergeCell ref="F4043:H4043"/>
    <mergeCell ref="X4043:AB4043"/>
    <mergeCell ref="AE4043:AI4043"/>
    <mergeCell ref="AJ4043:AL4043"/>
    <mergeCell ref="AN4043:AO4043"/>
    <mergeCell ref="AP4043:AQ4043"/>
    <mergeCell ref="A4036:A4037"/>
    <mergeCell ref="E4036:E4037"/>
    <mergeCell ref="F4036:H4036"/>
    <mergeCell ref="J4036:J4037"/>
    <mergeCell ref="K4036:L4037"/>
    <mergeCell ref="M4036:N4037"/>
    <mergeCell ref="O4036:P4037"/>
    <mergeCell ref="Q4036:R4037"/>
    <mergeCell ref="S4036:T4037"/>
    <mergeCell ref="U4036:V4037"/>
    <mergeCell ref="W4036:W4037"/>
    <mergeCell ref="X4036:AB4036"/>
    <mergeCell ref="AD4036:AI4036"/>
    <mergeCell ref="AJ4036:AL4036"/>
    <mergeCell ref="AN4036:AO4036"/>
    <mergeCell ref="AP4036:AQ4036"/>
    <mergeCell ref="AR4036:AS4037"/>
    <mergeCell ref="AT4036:AU4037"/>
    <mergeCell ref="AV4036:AW4037"/>
    <mergeCell ref="AX4036:AY4037"/>
    <mergeCell ref="AZ4036:AZ4037"/>
    <mergeCell ref="F4037:H4037"/>
    <mergeCell ref="X4037:AB4037"/>
    <mergeCell ref="AE4037:AI4037"/>
    <mergeCell ref="AJ4037:AL4037"/>
    <mergeCell ref="AN4037:AO4037"/>
    <mergeCell ref="AP4037:AQ4037"/>
    <mergeCell ref="A4038:A4039"/>
    <mergeCell ref="E4038:E4039"/>
    <mergeCell ref="F4038:H4038"/>
    <mergeCell ref="J4038:J4039"/>
    <mergeCell ref="K4038:L4039"/>
    <mergeCell ref="M4038:N4039"/>
    <mergeCell ref="O4038:P4039"/>
    <mergeCell ref="Q4038:R4039"/>
    <mergeCell ref="S4038:T4039"/>
    <mergeCell ref="U4038:V4039"/>
    <mergeCell ref="W4038:W4039"/>
    <mergeCell ref="X4038:AB4038"/>
    <mergeCell ref="AD4038:AI4038"/>
    <mergeCell ref="AJ4038:AL4038"/>
    <mergeCell ref="AN4038:AO4038"/>
    <mergeCell ref="AP4038:AQ4038"/>
    <mergeCell ref="AR4038:AS4039"/>
    <mergeCell ref="AT4038:AU4039"/>
    <mergeCell ref="AV4038:AW4039"/>
    <mergeCell ref="AX4038:AY4039"/>
    <mergeCell ref="AZ4038:AZ4039"/>
    <mergeCell ref="F4039:H4039"/>
    <mergeCell ref="X4039:AB4039"/>
    <mergeCell ref="AE4039:AI4039"/>
    <mergeCell ref="AJ4039:AL4039"/>
    <mergeCell ref="AN4039:AO4039"/>
    <mergeCell ref="AP4039:AQ4039"/>
    <mergeCell ref="A4032:A4033"/>
    <mergeCell ref="E4032:E4033"/>
    <mergeCell ref="F4032:H4032"/>
    <mergeCell ref="J4032:J4033"/>
    <mergeCell ref="K4032:L4033"/>
    <mergeCell ref="M4032:N4033"/>
    <mergeCell ref="O4032:P4033"/>
    <mergeCell ref="Q4032:R4033"/>
    <mergeCell ref="S4032:T4033"/>
    <mergeCell ref="U4032:V4033"/>
    <mergeCell ref="W4032:W4033"/>
    <mergeCell ref="X4032:AB4032"/>
    <mergeCell ref="AD4032:AI4032"/>
    <mergeCell ref="AJ4032:AL4032"/>
    <mergeCell ref="AN4032:AO4032"/>
    <mergeCell ref="AP4032:AQ4032"/>
    <mergeCell ref="AR4032:AS4033"/>
    <mergeCell ref="AT4032:AU4033"/>
    <mergeCell ref="AV4032:AW4033"/>
    <mergeCell ref="AX4032:AY4033"/>
    <mergeCell ref="AZ4032:AZ4033"/>
    <mergeCell ref="F4033:H4033"/>
    <mergeCell ref="X4033:AB4033"/>
    <mergeCell ref="AE4033:AI4033"/>
    <mergeCell ref="AJ4033:AL4033"/>
    <mergeCell ref="AN4033:AO4033"/>
    <mergeCell ref="AP4033:AQ4033"/>
    <mergeCell ref="A4034:A4035"/>
    <mergeCell ref="E4034:E4035"/>
    <mergeCell ref="F4034:H4034"/>
    <mergeCell ref="J4034:J4035"/>
    <mergeCell ref="K4034:L4035"/>
    <mergeCell ref="M4034:N4035"/>
    <mergeCell ref="O4034:P4035"/>
    <mergeCell ref="Q4034:R4035"/>
    <mergeCell ref="S4034:T4035"/>
    <mergeCell ref="U4034:V4035"/>
    <mergeCell ref="W4034:W4035"/>
    <mergeCell ref="X4034:AB4034"/>
    <mergeCell ref="AD4034:AI4034"/>
    <mergeCell ref="AJ4034:AL4034"/>
    <mergeCell ref="AN4034:AO4034"/>
    <mergeCell ref="AP4034:AQ4034"/>
    <mergeCell ref="AR4034:AS4035"/>
    <mergeCell ref="AT4034:AU4035"/>
    <mergeCell ref="AV4034:AW4035"/>
    <mergeCell ref="AX4034:AY4035"/>
    <mergeCell ref="AZ4034:AZ4035"/>
    <mergeCell ref="F4035:H4035"/>
    <mergeCell ref="X4035:AB4035"/>
    <mergeCell ref="AE4035:AI4035"/>
    <mergeCell ref="AJ4035:AL4035"/>
    <mergeCell ref="AN4035:AO4035"/>
    <mergeCell ref="AP4035:AQ4035"/>
    <mergeCell ref="A4028:A4029"/>
    <mergeCell ref="E4028:E4029"/>
    <mergeCell ref="F4028:H4028"/>
    <mergeCell ref="J4028:J4029"/>
    <mergeCell ref="K4028:L4029"/>
    <mergeCell ref="M4028:N4029"/>
    <mergeCell ref="O4028:P4029"/>
    <mergeCell ref="Q4028:R4029"/>
    <mergeCell ref="S4028:T4029"/>
    <mergeCell ref="U4028:V4029"/>
    <mergeCell ref="W4028:W4029"/>
    <mergeCell ref="X4028:AB4028"/>
    <mergeCell ref="AD4028:AI4028"/>
    <mergeCell ref="AJ4028:AL4028"/>
    <mergeCell ref="AN4028:AO4028"/>
    <mergeCell ref="AP4028:AQ4028"/>
    <mergeCell ref="AR4028:AS4029"/>
    <mergeCell ref="AT4028:AU4029"/>
    <mergeCell ref="AV4028:AW4029"/>
    <mergeCell ref="AX4028:AY4029"/>
    <mergeCell ref="AZ4028:AZ4029"/>
    <mergeCell ref="F4029:H4029"/>
    <mergeCell ref="X4029:AB4029"/>
    <mergeCell ref="AE4029:AI4029"/>
    <mergeCell ref="AJ4029:AL4029"/>
    <mergeCell ref="AN4029:AO4029"/>
    <mergeCell ref="AP4029:AQ4029"/>
    <mergeCell ref="A4030:A4031"/>
    <mergeCell ref="E4030:E4031"/>
    <mergeCell ref="F4030:H4030"/>
    <mergeCell ref="J4030:J4031"/>
    <mergeCell ref="K4030:L4031"/>
    <mergeCell ref="M4030:N4031"/>
    <mergeCell ref="O4030:P4031"/>
    <mergeCell ref="Q4030:R4031"/>
    <mergeCell ref="S4030:T4031"/>
    <mergeCell ref="U4030:V4031"/>
    <mergeCell ref="W4030:W4031"/>
    <mergeCell ref="X4030:AB4030"/>
    <mergeCell ref="AD4030:AI4030"/>
    <mergeCell ref="AJ4030:AL4030"/>
    <mergeCell ref="AN4030:AO4030"/>
    <mergeCell ref="AP4030:AQ4030"/>
    <mergeCell ref="AR4030:AS4031"/>
    <mergeCell ref="AT4030:AU4031"/>
    <mergeCell ref="AV4030:AW4031"/>
    <mergeCell ref="AX4030:AY4031"/>
    <mergeCell ref="AZ4030:AZ4031"/>
    <mergeCell ref="F4031:H4031"/>
    <mergeCell ref="X4031:AB4031"/>
    <mergeCell ref="AE4031:AI4031"/>
    <mergeCell ref="AJ4031:AL4031"/>
    <mergeCell ref="AN4031:AO4031"/>
    <mergeCell ref="AP4031:AQ4031"/>
    <mergeCell ref="A4020:A4021"/>
    <mergeCell ref="E4020:E4021"/>
    <mergeCell ref="F4020:H4020"/>
    <mergeCell ref="J4020:J4021"/>
    <mergeCell ref="K4020:L4021"/>
    <mergeCell ref="M4020:N4021"/>
    <mergeCell ref="O4020:P4021"/>
    <mergeCell ref="Q4020:R4021"/>
    <mergeCell ref="S4020:T4021"/>
    <mergeCell ref="U4020:V4021"/>
    <mergeCell ref="W4020:W4021"/>
    <mergeCell ref="X4020:AB4020"/>
    <mergeCell ref="AD4020:AI4020"/>
    <mergeCell ref="AJ4020:AL4020"/>
    <mergeCell ref="AN4020:AO4020"/>
    <mergeCell ref="AP4020:AQ4020"/>
    <mergeCell ref="AR4020:AS4021"/>
    <mergeCell ref="AT4020:AU4021"/>
    <mergeCell ref="AV4020:AW4021"/>
    <mergeCell ref="AX4020:AY4021"/>
    <mergeCell ref="AZ4020:AZ4021"/>
    <mergeCell ref="F4021:H4021"/>
    <mergeCell ref="X4021:AB4021"/>
    <mergeCell ref="AE4021:AI4021"/>
    <mergeCell ref="AJ4021:AL4021"/>
    <mergeCell ref="AN4021:AO4021"/>
    <mergeCell ref="AP4021:AQ4021"/>
    <mergeCell ref="A4026:A4027"/>
    <mergeCell ref="E4026:E4027"/>
    <mergeCell ref="F4026:H4026"/>
    <mergeCell ref="J4026:J4027"/>
    <mergeCell ref="K4026:L4027"/>
    <mergeCell ref="M4026:N4027"/>
    <mergeCell ref="O4026:P4027"/>
    <mergeCell ref="Q4026:R4027"/>
    <mergeCell ref="S4026:T4027"/>
    <mergeCell ref="U4026:V4027"/>
    <mergeCell ref="W4026:W4027"/>
    <mergeCell ref="X4026:AB4026"/>
    <mergeCell ref="AD4026:AI4026"/>
    <mergeCell ref="AJ4026:AL4026"/>
    <mergeCell ref="AN4026:AO4026"/>
    <mergeCell ref="AP4026:AQ4026"/>
    <mergeCell ref="AR4026:AS4027"/>
    <mergeCell ref="AT4026:AU4027"/>
    <mergeCell ref="AV4026:AW4027"/>
    <mergeCell ref="AX4026:AY4027"/>
    <mergeCell ref="AZ4026:AZ4027"/>
    <mergeCell ref="F4027:H4027"/>
    <mergeCell ref="X4027:AB4027"/>
    <mergeCell ref="AE4027:AI4027"/>
    <mergeCell ref="AJ4027:AL4027"/>
    <mergeCell ref="AN4027:AO4027"/>
    <mergeCell ref="AP4027:AQ4027"/>
    <mergeCell ref="A4022:A4023"/>
    <mergeCell ref="E4022:E4023"/>
    <mergeCell ref="F4022:H4022"/>
    <mergeCell ref="J4022:J4023"/>
    <mergeCell ref="K4022:L4023"/>
    <mergeCell ref="M4022:N4023"/>
    <mergeCell ref="O4022:P4023"/>
    <mergeCell ref="Q4022:R4023"/>
    <mergeCell ref="S4022:T4023"/>
    <mergeCell ref="U4022:V4023"/>
    <mergeCell ref="A4016:A4017"/>
    <mergeCell ref="E4016:E4017"/>
    <mergeCell ref="F4016:H4016"/>
    <mergeCell ref="J4016:J4017"/>
    <mergeCell ref="K4016:L4017"/>
    <mergeCell ref="M4016:N4017"/>
    <mergeCell ref="O4016:P4017"/>
    <mergeCell ref="Q4016:R4017"/>
    <mergeCell ref="S4016:T4017"/>
    <mergeCell ref="U4016:V4017"/>
    <mergeCell ref="W4016:W4017"/>
    <mergeCell ref="X4016:AB4016"/>
    <mergeCell ref="AD4016:AI4016"/>
    <mergeCell ref="AJ4016:AL4016"/>
    <mergeCell ref="AN4016:AO4016"/>
    <mergeCell ref="AP4016:AQ4016"/>
    <mergeCell ref="AR4016:AS4017"/>
    <mergeCell ref="AT4016:AU4017"/>
    <mergeCell ref="AV4016:AW4017"/>
    <mergeCell ref="AX4016:AY4017"/>
    <mergeCell ref="AZ4016:AZ4017"/>
    <mergeCell ref="F4017:H4017"/>
    <mergeCell ref="X4017:AB4017"/>
    <mergeCell ref="AE4017:AI4017"/>
    <mergeCell ref="AJ4017:AL4017"/>
    <mergeCell ref="AN4017:AO4017"/>
    <mergeCell ref="AP4017:AQ4017"/>
    <mergeCell ref="A4018:A4019"/>
    <mergeCell ref="E4018:E4019"/>
    <mergeCell ref="F4018:H4018"/>
    <mergeCell ref="J4018:J4019"/>
    <mergeCell ref="K4018:L4019"/>
    <mergeCell ref="M4018:N4019"/>
    <mergeCell ref="O4018:P4019"/>
    <mergeCell ref="Q4018:R4019"/>
    <mergeCell ref="S4018:T4019"/>
    <mergeCell ref="U4018:V4019"/>
    <mergeCell ref="W4018:W4019"/>
    <mergeCell ref="X4018:AB4018"/>
    <mergeCell ref="AD4018:AI4018"/>
    <mergeCell ref="AJ4018:AL4018"/>
    <mergeCell ref="AN4018:AO4018"/>
    <mergeCell ref="AP4018:AQ4018"/>
    <mergeCell ref="AR4018:AS4019"/>
    <mergeCell ref="AT4018:AU4019"/>
    <mergeCell ref="AV4018:AW4019"/>
    <mergeCell ref="AX4018:AY4019"/>
    <mergeCell ref="AZ4018:AZ4019"/>
    <mergeCell ref="F4019:H4019"/>
    <mergeCell ref="X4019:AB4019"/>
    <mergeCell ref="AE4019:AI4019"/>
    <mergeCell ref="AJ4019:AL4019"/>
    <mergeCell ref="AN4019:AO4019"/>
    <mergeCell ref="AP4019:AQ4019"/>
    <mergeCell ref="A4012:A4013"/>
    <mergeCell ref="E4012:E4013"/>
    <mergeCell ref="F4012:H4012"/>
    <mergeCell ref="J4012:J4013"/>
    <mergeCell ref="K4012:L4013"/>
    <mergeCell ref="M4012:N4013"/>
    <mergeCell ref="O4012:P4013"/>
    <mergeCell ref="Q4012:R4013"/>
    <mergeCell ref="S4012:T4013"/>
    <mergeCell ref="U4012:V4013"/>
    <mergeCell ref="W4012:W4013"/>
    <mergeCell ref="X4012:AB4012"/>
    <mergeCell ref="AD4012:AI4012"/>
    <mergeCell ref="AJ4012:AL4012"/>
    <mergeCell ref="AN4012:AO4012"/>
    <mergeCell ref="AP4012:AQ4012"/>
    <mergeCell ref="AR4012:AS4013"/>
    <mergeCell ref="AT4012:AU4013"/>
    <mergeCell ref="AV4012:AW4013"/>
    <mergeCell ref="AX4012:AY4013"/>
    <mergeCell ref="AZ4012:AZ4013"/>
    <mergeCell ref="F4013:H4013"/>
    <mergeCell ref="X4013:AB4013"/>
    <mergeCell ref="AE4013:AI4013"/>
    <mergeCell ref="AJ4013:AL4013"/>
    <mergeCell ref="AN4013:AO4013"/>
    <mergeCell ref="AP4013:AQ4013"/>
    <mergeCell ref="A4014:A4015"/>
    <mergeCell ref="E4014:E4015"/>
    <mergeCell ref="F4014:H4014"/>
    <mergeCell ref="J4014:J4015"/>
    <mergeCell ref="K4014:L4015"/>
    <mergeCell ref="M4014:N4015"/>
    <mergeCell ref="O4014:P4015"/>
    <mergeCell ref="Q4014:R4015"/>
    <mergeCell ref="S4014:T4015"/>
    <mergeCell ref="U4014:V4015"/>
    <mergeCell ref="W4014:W4015"/>
    <mergeCell ref="X4014:AB4014"/>
    <mergeCell ref="AD4014:AI4014"/>
    <mergeCell ref="AJ4014:AL4014"/>
    <mergeCell ref="AN4014:AO4014"/>
    <mergeCell ref="AP4014:AQ4014"/>
    <mergeCell ref="AR4014:AS4015"/>
    <mergeCell ref="AT4014:AU4015"/>
    <mergeCell ref="AV4014:AW4015"/>
    <mergeCell ref="AX4014:AY4015"/>
    <mergeCell ref="AZ4014:AZ4015"/>
    <mergeCell ref="F4015:H4015"/>
    <mergeCell ref="X4015:AB4015"/>
    <mergeCell ref="AE4015:AI4015"/>
    <mergeCell ref="AJ4015:AL4015"/>
    <mergeCell ref="AN4015:AO4015"/>
    <mergeCell ref="AP4015:AQ4015"/>
    <mergeCell ref="A4008:A4009"/>
    <mergeCell ref="E4008:E4009"/>
    <mergeCell ref="F4008:H4008"/>
    <mergeCell ref="J4008:J4009"/>
    <mergeCell ref="K4008:L4009"/>
    <mergeCell ref="M4008:N4009"/>
    <mergeCell ref="O4008:P4009"/>
    <mergeCell ref="Q4008:R4009"/>
    <mergeCell ref="S4008:T4009"/>
    <mergeCell ref="U4008:V4009"/>
    <mergeCell ref="W4008:W4009"/>
    <mergeCell ref="X4008:AB4008"/>
    <mergeCell ref="AD4008:AI4008"/>
    <mergeCell ref="AJ4008:AL4008"/>
    <mergeCell ref="AN4008:AO4008"/>
    <mergeCell ref="AP4008:AQ4008"/>
    <mergeCell ref="AR4008:AS4009"/>
    <mergeCell ref="AT4008:AU4009"/>
    <mergeCell ref="AV4008:AW4009"/>
    <mergeCell ref="AX4008:AY4009"/>
    <mergeCell ref="AZ4008:AZ4009"/>
    <mergeCell ref="F4009:H4009"/>
    <mergeCell ref="X4009:AB4009"/>
    <mergeCell ref="AE4009:AI4009"/>
    <mergeCell ref="AJ4009:AL4009"/>
    <mergeCell ref="AN4009:AO4009"/>
    <mergeCell ref="AP4009:AQ4009"/>
    <mergeCell ref="A4010:A4011"/>
    <mergeCell ref="E4010:E4011"/>
    <mergeCell ref="F4010:H4010"/>
    <mergeCell ref="J4010:J4011"/>
    <mergeCell ref="K4010:L4011"/>
    <mergeCell ref="M4010:N4011"/>
    <mergeCell ref="O4010:P4011"/>
    <mergeCell ref="Q4010:R4011"/>
    <mergeCell ref="S4010:T4011"/>
    <mergeCell ref="U4010:V4011"/>
    <mergeCell ref="W4010:W4011"/>
    <mergeCell ref="X4010:AB4010"/>
    <mergeCell ref="AD4010:AI4010"/>
    <mergeCell ref="AJ4010:AL4010"/>
    <mergeCell ref="AN4010:AO4010"/>
    <mergeCell ref="AP4010:AQ4010"/>
    <mergeCell ref="AR4010:AS4011"/>
    <mergeCell ref="AT4010:AU4011"/>
    <mergeCell ref="AV4010:AW4011"/>
    <mergeCell ref="AX4010:AY4011"/>
    <mergeCell ref="AZ4010:AZ4011"/>
    <mergeCell ref="F4011:H4011"/>
    <mergeCell ref="X4011:AB4011"/>
    <mergeCell ref="AE4011:AI4011"/>
    <mergeCell ref="AJ4011:AL4011"/>
    <mergeCell ref="AN4011:AO4011"/>
    <mergeCell ref="AP4011:AQ4011"/>
    <mergeCell ref="A4004:A4005"/>
    <mergeCell ref="E4004:E4005"/>
    <mergeCell ref="F4004:H4004"/>
    <mergeCell ref="J4004:J4005"/>
    <mergeCell ref="K4004:L4005"/>
    <mergeCell ref="M4004:N4005"/>
    <mergeCell ref="O4004:P4005"/>
    <mergeCell ref="Q4004:R4005"/>
    <mergeCell ref="S4004:T4005"/>
    <mergeCell ref="U4004:V4005"/>
    <mergeCell ref="W4004:W4005"/>
    <mergeCell ref="X4004:AB4004"/>
    <mergeCell ref="AD4004:AI4004"/>
    <mergeCell ref="AJ4004:AL4004"/>
    <mergeCell ref="AN4004:AO4004"/>
    <mergeCell ref="AP4004:AQ4004"/>
    <mergeCell ref="AR4004:AS4005"/>
    <mergeCell ref="AT4004:AU4005"/>
    <mergeCell ref="AV4004:AW4005"/>
    <mergeCell ref="AX4004:AY4005"/>
    <mergeCell ref="AZ4004:AZ4005"/>
    <mergeCell ref="F4005:H4005"/>
    <mergeCell ref="X4005:AB4005"/>
    <mergeCell ref="AE4005:AI4005"/>
    <mergeCell ref="AJ4005:AL4005"/>
    <mergeCell ref="AN4005:AO4005"/>
    <mergeCell ref="AP4005:AQ4005"/>
    <mergeCell ref="A4006:A4007"/>
    <mergeCell ref="E4006:E4007"/>
    <mergeCell ref="F4006:H4006"/>
    <mergeCell ref="J4006:J4007"/>
    <mergeCell ref="K4006:L4007"/>
    <mergeCell ref="M4006:N4007"/>
    <mergeCell ref="O4006:P4007"/>
    <mergeCell ref="Q4006:R4007"/>
    <mergeCell ref="S4006:T4007"/>
    <mergeCell ref="U4006:V4007"/>
    <mergeCell ref="W4006:W4007"/>
    <mergeCell ref="X4006:AB4006"/>
    <mergeCell ref="AD4006:AI4006"/>
    <mergeCell ref="AJ4006:AL4006"/>
    <mergeCell ref="AN4006:AO4006"/>
    <mergeCell ref="AP4006:AQ4006"/>
    <mergeCell ref="AR4006:AS4007"/>
    <mergeCell ref="AT4006:AU4007"/>
    <mergeCell ref="AV4006:AW4007"/>
    <mergeCell ref="AX4006:AY4007"/>
    <mergeCell ref="AZ4006:AZ4007"/>
    <mergeCell ref="F4007:H4007"/>
    <mergeCell ref="X4007:AB4007"/>
    <mergeCell ref="AE4007:AI4007"/>
    <mergeCell ref="AJ4007:AL4007"/>
    <mergeCell ref="AN4007:AO4007"/>
    <mergeCell ref="AP4007:AQ4007"/>
    <mergeCell ref="A4000:A4001"/>
    <mergeCell ref="E4000:E4001"/>
    <mergeCell ref="F4000:H4000"/>
    <mergeCell ref="J4000:J4001"/>
    <mergeCell ref="K4000:L4001"/>
    <mergeCell ref="M4000:N4001"/>
    <mergeCell ref="O4000:P4001"/>
    <mergeCell ref="Q4000:R4001"/>
    <mergeCell ref="S4000:T4001"/>
    <mergeCell ref="U4000:V4001"/>
    <mergeCell ref="W4000:W4001"/>
    <mergeCell ref="X4000:AB4000"/>
    <mergeCell ref="AD4000:AI4000"/>
    <mergeCell ref="AJ4000:AL4000"/>
    <mergeCell ref="AN4000:AO4000"/>
    <mergeCell ref="AP4000:AQ4000"/>
    <mergeCell ref="AR4000:AS4001"/>
    <mergeCell ref="AT4000:AU4001"/>
    <mergeCell ref="AV4000:AW4001"/>
    <mergeCell ref="AX4000:AY4001"/>
    <mergeCell ref="AZ4000:AZ4001"/>
    <mergeCell ref="F4001:H4001"/>
    <mergeCell ref="X4001:AB4001"/>
    <mergeCell ref="AE4001:AI4001"/>
    <mergeCell ref="AJ4001:AL4001"/>
    <mergeCell ref="AN4001:AO4001"/>
    <mergeCell ref="AP4001:AQ4001"/>
    <mergeCell ref="A4002:A4003"/>
    <mergeCell ref="E4002:E4003"/>
    <mergeCell ref="F4002:H4002"/>
    <mergeCell ref="J4002:J4003"/>
    <mergeCell ref="K4002:L4003"/>
    <mergeCell ref="M4002:N4003"/>
    <mergeCell ref="O4002:P4003"/>
    <mergeCell ref="Q4002:R4003"/>
    <mergeCell ref="S4002:T4003"/>
    <mergeCell ref="U4002:V4003"/>
    <mergeCell ref="W4002:W4003"/>
    <mergeCell ref="X4002:AB4002"/>
    <mergeCell ref="AD4002:AI4002"/>
    <mergeCell ref="AJ4002:AL4002"/>
    <mergeCell ref="AN4002:AO4002"/>
    <mergeCell ref="AP4002:AQ4002"/>
    <mergeCell ref="AR4002:AS4003"/>
    <mergeCell ref="AT4002:AU4003"/>
    <mergeCell ref="AV4002:AW4003"/>
    <mergeCell ref="AX4002:AY4003"/>
    <mergeCell ref="AZ4002:AZ4003"/>
    <mergeCell ref="F4003:H4003"/>
    <mergeCell ref="X4003:AB4003"/>
    <mergeCell ref="AE4003:AI4003"/>
    <mergeCell ref="AJ4003:AL4003"/>
    <mergeCell ref="AN4003:AO4003"/>
    <mergeCell ref="AP4003:AQ4003"/>
    <mergeCell ref="A3800:A3801"/>
    <mergeCell ref="E3800:E3801"/>
    <mergeCell ref="F3800:H3800"/>
    <mergeCell ref="J3800:J3801"/>
    <mergeCell ref="K3800:L3801"/>
    <mergeCell ref="M3800:N3801"/>
    <mergeCell ref="O3800:P3801"/>
    <mergeCell ref="Q3800:R3801"/>
    <mergeCell ref="S3800:T3801"/>
    <mergeCell ref="U3800:V3801"/>
    <mergeCell ref="W3800:W3801"/>
    <mergeCell ref="X3800:AB3800"/>
    <mergeCell ref="AD3800:AI3800"/>
    <mergeCell ref="AJ3800:AL3800"/>
    <mergeCell ref="AN3800:AO3800"/>
    <mergeCell ref="AP3800:AQ3800"/>
    <mergeCell ref="AR3800:AS3801"/>
    <mergeCell ref="AT3800:AU3801"/>
    <mergeCell ref="AV3800:AW3801"/>
    <mergeCell ref="AX3800:AY3801"/>
    <mergeCell ref="AZ3800:AZ3801"/>
    <mergeCell ref="F3801:H3801"/>
    <mergeCell ref="X3801:AB3801"/>
    <mergeCell ref="AE3801:AI3801"/>
    <mergeCell ref="AJ3801:AL3801"/>
    <mergeCell ref="AN3801:AO3801"/>
    <mergeCell ref="AP3801:AQ3801"/>
    <mergeCell ref="A3802:A3803"/>
    <mergeCell ref="E3802:E3803"/>
    <mergeCell ref="F3802:H3802"/>
    <mergeCell ref="J3802:J3803"/>
    <mergeCell ref="K3802:L3803"/>
    <mergeCell ref="M3802:N3803"/>
    <mergeCell ref="O3802:P3803"/>
    <mergeCell ref="Q3802:R3803"/>
    <mergeCell ref="S3802:T3803"/>
    <mergeCell ref="U3802:V3803"/>
    <mergeCell ref="W3802:W3803"/>
    <mergeCell ref="X3802:AB3802"/>
    <mergeCell ref="AD3802:AI3802"/>
    <mergeCell ref="AJ3802:AL3802"/>
    <mergeCell ref="AN3802:AO3802"/>
    <mergeCell ref="AP3802:AQ3802"/>
    <mergeCell ref="AR3802:AS3803"/>
    <mergeCell ref="AT3802:AU3803"/>
    <mergeCell ref="AV3802:AW3803"/>
    <mergeCell ref="AX3802:AY3803"/>
    <mergeCell ref="AZ3802:AZ3803"/>
    <mergeCell ref="F3803:H3803"/>
    <mergeCell ref="X3803:AB3803"/>
    <mergeCell ref="AE3803:AI3803"/>
    <mergeCell ref="AJ3803:AL3803"/>
    <mergeCell ref="AN3803:AO3803"/>
    <mergeCell ref="AP3803:AQ3803"/>
    <mergeCell ref="W3756:W3757"/>
    <mergeCell ref="X3756:AB3756"/>
    <mergeCell ref="AD3756:AI3756"/>
    <mergeCell ref="AJ3756:AL3756"/>
    <mergeCell ref="AN3756:AO3756"/>
    <mergeCell ref="AP3756:AQ3756"/>
    <mergeCell ref="AR3756:AS3757"/>
    <mergeCell ref="AT3756:AU3757"/>
    <mergeCell ref="AV3756:AW3757"/>
    <mergeCell ref="AX3756:AY3757"/>
    <mergeCell ref="AZ3756:AZ3757"/>
    <mergeCell ref="F3757:H3757"/>
    <mergeCell ref="X3757:AB3757"/>
    <mergeCell ref="AE3757:AI3757"/>
    <mergeCell ref="AJ3757:AL3757"/>
    <mergeCell ref="AN3757:AO3757"/>
    <mergeCell ref="AP3757:AQ3757"/>
    <mergeCell ref="A3770:A3771"/>
    <mergeCell ref="E3770:E3771"/>
    <mergeCell ref="F3770:H3770"/>
    <mergeCell ref="J3770:J3771"/>
    <mergeCell ref="K3770:L3771"/>
    <mergeCell ref="M3770:N3771"/>
    <mergeCell ref="O3770:P3771"/>
    <mergeCell ref="Q3770:R3771"/>
    <mergeCell ref="S3770:T3771"/>
    <mergeCell ref="U3770:V3771"/>
    <mergeCell ref="W3770:W3771"/>
    <mergeCell ref="X3770:AB3770"/>
    <mergeCell ref="AD3770:AI3770"/>
    <mergeCell ref="AJ3770:AL3770"/>
    <mergeCell ref="AN3770:AO3770"/>
    <mergeCell ref="AP3770:AQ3770"/>
    <mergeCell ref="AR3770:AS3771"/>
    <mergeCell ref="AT3770:AU3771"/>
    <mergeCell ref="AV3770:AW3771"/>
    <mergeCell ref="AX3770:AY3771"/>
    <mergeCell ref="AZ3770:AZ3771"/>
    <mergeCell ref="F3771:H3771"/>
    <mergeCell ref="X3771:AB3771"/>
    <mergeCell ref="AE3771:AI3771"/>
    <mergeCell ref="AJ3771:AL3771"/>
    <mergeCell ref="AN3771:AO3771"/>
    <mergeCell ref="AP3771:AQ3771"/>
    <mergeCell ref="A3762:A3763"/>
    <mergeCell ref="E3762:E3763"/>
    <mergeCell ref="F3762:H3762"/>
    <mergeCell ref="J3762:J3763"/>
    <mergeCell ref="K3762:L3763"/>
    <mergeCell ref="M3762:N3763"/>
    <mergeCell ref="O3762:P3763"/>
    <mergeCell ref="Q3762:R3763"/>
    <mergeCell ref="S3762:T3763"/>
    <mergeCell ref="U3762:V3763"/>
    <mergeCell ref="W3762:W3763"/>
    <mergeCell ref="X3762:AB3762"/>
    <mergeCell ref="AD3762:AI3762"/>
    <mergeCell ref="AJ3762:AL3762"/>
    <mergeCell ref="AN3762:AO3762"/>
    <mergeCell ref="AP3762:AQ3762"/>
    <mergeCell ref="AR3762:AS3763"/>
    <mergeCell ref="AT3762:AU3763"/>
    <mergeCell ref="AV3762:AW3763"/>
    <mergeCell ref="AX3762:AY3763"/>
    <mergeCell ref="AZ3704:AZ3705"/>
    <mergeCell ref="F3705:H3705"/>
    <mergeCell ref="X3705:AB3705"/>
    <mergeCell ref="AE3705:AI3705"/>
    <mergeCell ref="AJ3705:AL3705"/>
    <mergeCell ref="AN3705:AO3705"/>
    <mergeCell ref="AP3705:AQ3705"/>
    <mergeCell ref="A3700:A3701"/>
    <mergeCell ref="E3700:E3701"/>
    <mergeCell ref="F3700:H3700"/>
    <mergeCell ref="J3700:J3701"/>
    <mergeCell ref="K3700:L3701"/>
    <mergeCell ref="M3700:N3701"/>
    <mergeCell ref="O3700:P3701"/>
    <mergeCell ref="Q3700:R3701"/>
    <mergeCell ref="S3700:T3701"/>
    <mergeCell ref="U3700:V3701"/>
    <mergeCell ref="W3700:W3701"/>
    <mergeCell ref="X3700:AB3700"/>
    <mergeCell ref="AD3700:AI3700"/>
    <mergeCell ref="AJ3700:AL3700"/>
    <mergeCell ref="AN3700:AO3700"/>
    <mergeCell ref="AP3700:AQ3700"/>
    <mergeCell ref="AR3700:AS3701"/>
    <mergeCell ref="AT3700:AU3701"/>
    <mergeCell ref="AV3700:AW3701"/>
    <mergeCell ref="AX3700:AY3701"/>
    <mergeCell ref="AZ3700:AZ3701"/>
    <mergeCell ref="F3701:H3701"/>
    <mergeCell ref="X3701:AB3701"/>
    <mergeCell ref="AE3701:AI3701"/>
    <mergeCell ref="AJ3701:AL3701"/>
    <mergeCell ref="AN3701:AO3701"/>
    <mergeCell ref="AP3701:AQ3701"/>
    <mergeCell ref="A3702:A3703"/>
    <mergeCell ref="E3702:E3703"/>
    <mergeCell ref="F3702:H3702"/>
    <mergeCell ref="J3702:J3703"/>
    <mergeCell ref="K3702:L3703"/>
    <mergeCell ref="M3702:N3703"/>
    <mergeCell ref="X3684:AB3684"/>
    <mergeCell ref="AD3684:AI3684"/>
    <mergeCell ref="AJ3684:AL3684"/>
    <mergeCell ref="AN3684:AO3684"/>
    <mergeCell ref="AP3684:AQ3684"/>
    <mergeCell ref="AR3684:AS3685"/>
    <mergeCell ref="AT3684:AU3685"/>
    <mergeCell ref="AV3684:AW3685"/>
    <mergeCell ref="AX3684:AY3685"/>
    <mergeCell ref="AZ3684:AZ3685"/>
    <mergeCell ref="F3685:H3685"/>
    <mergeCell ref="X3685:AB3685"/>
    <mergeCell ref="AE3685:AI3685"/>
    <mergeCell ref="AJ3685:AL3685"/>
    <mergeCell ref="AN3685:AO3685"/>
    <mergeCell ref="AP3685:AQ3685"/>
    <mergeCell ref="AZ3696:AZ3697"/>
    <mergeCell ref="F3697:H3697"/>
    <mergeCell ref="X3697:AB3697"/>
    <mergeCell ref="AE3697:AI3697"/>
    <mergeCell ref="AJ3697:AL3697"/>
    <mergeCell ref="AN3697:AO3697"/>
    <mergeCell ref="AP3697:AQ3697"/>
    <mergeCell ref="A3688:A3689"/>
    <mergeCell ref="E3688:E3689"/>
    <mergeCell ref="F3688:H3688"/>
    <mergeCell ref="J3688:J3689"/>
    <mergeCell ref="K3688:L3689"/>
    <mergeCell ref="M3688:N3689"/>
    <mergeCell ref="O3688:P3689"/>
    <mergeCell ref="Q3688:R3689"/>
    <mergeCell ref="S3688:T3689"/>
    <mergeCell ref="U3688:V3689"/>
    <mergeCell ref="W3688:W3689"/>
    <mergeCell ref="X3688:AB3688"/>
    <mergeCell ref="AD3688:AI3688"/>
    <mergeCell ref="A3694:A3695"/>
    <mergeCell ref="E3694:E3695"/>
    <mergeCell ref="F3694:H3694"/>
    <mergeCell ref="J3694:J3695"/>
    <mergeCell ref="K3694:L3695"/>
    <mergeCell ref="M3694:N3695"/>
    <mergeCell ref="O3694:P3695"/>
    <mergeCell ref="Q3694:R3695"/>
    <mergeCell ref="S3694:T3695"/>
    <mergeCell ref="U3694:V3695"/>
    <mergeCell ref="W3694:W3695"/>
    <mergeCell ref="X3694:AB3694"/>
    <mergeCell ref="AD3694:AI3694"/>
    <mergeCell ref="AJ3688:AL3688"/>
    <mergeCell ref="AN3688:AO3688"/>
    <mergeCell ref="AP3688:AQ3688"/>
    <mergeCell ref="AR3688:AS3689"/>
    <mergeCell ref="AT3688:AU3689"/>
    <mergeCell ref="AV3688:AW3689"/>
    <mergeCell ref="AX3688:AY3689"/>
    <mergeCell ref="AZ3688:AZ3689"/>
    <mergeCell ref="F3689:H3689"/>
    <mergeCell ref="X3689:AB3689"/>
    <mergeCell ref="AE3689:AI3689"/>
    <mergeCell ref="AJ3689:AL3689"/>
    <mergeCell ref="AN3689:AO3689"/>
    <mergeCell ref="AP3689:AQ3689"/>
    <mergeCell ref="A3690:A3691"/>
    <mergeCell ref="A3808:A3809"/>
    <mergeCell ref="E3808:E3809"/>
    <mergeCell ref="F3808:H3808"/>
    <mergeCell ref="J3808:J3809"/>
    <mergeCell ref="K3808:L3809"/>
    <mergeCell ref="M3808:N3809"/>
    <mergeCell ref="O3808:P3809"/>
    <mergeCell ref="Q3808:R3809"/>
    <mergeCell ref="S3808:T3809"/>
    <mergeCell ref="U3808:V3809"/>
    <mergeCell ref="W3808:W3809"/>
    <mergeCell ref="X3808:AB3808"/>
    <mergeCell ref="AD3808:AI3808"/>
    <mergeCell ref="AJ3808:AL3808"/>
    <mergeCell ref="AN3808:AO3808"/>
    <mergeCell ref="AP3808:AQ3808"/>
    <mergeCell ref="AR3808:AS3809"/>
    <mergeCell ref="AT3808:AU3809"/>
    <mergeCell ref="AV3808:AW3809"/>
    <mergeCell ref="AX3808:AY3809"/>
    <mergeCell ref="AZ3808:AZ3809"/>
    <mergeCell ref="F3809:H3809"/>
    <mergeCell ref="X3809:AB3809"/>
    <mergeCell ref="AE3809:AI3809"/>
    <mergeCell ref="AJ3809:AL3809"/>
    <mergeCell ref="AN3809:AO3809"/>
    <mergeCell ref="AP3809:AQ3809"/>
    <mergeCell ref="W3806:W3807"/>
    <mergeCell ref="X3806:AB3806"/>
    <mergeCell ref="AD3806:AI3806"/>
    <mergeCell ref="AJ3806:AL3806"/>
    <mergeCell ref="AN3806:AO3806"/>
    <mergeCell ref="AP3806:AQ3806"/>
    <mergeCell ref="AP3804:AQ3804"/>
    <mergeCell ref="AR3804:AS3805"/>
    <mergeCell ref="AT3804:AU3805"/>
    <mergeCell ref="AV3804:AW3805"/>
    <mergeCell ref="AX3804:AY3805"/>
    <mergeCell ref="AZ3804:AZ3805"/>
    <mergeCell ref="F3805:H3805"/>
    <mergeCell ref="X3805:AB3805"/>
    <mergeCell ref="AE3805:AI3805"/>
    <mergeCell ref="AJ3805:AL3805"/>
    <mergeCell ref="AN3805:AO3805"/>
    <mergeCell ref="AP3805:AQ3805"/>
    <mergeCell ref="A3806:A3807"/>
    <mergeCell ref="E3806:E3807"/>
    <mergeCell ref="F3806:H3806"/>
    <mergeCell ref="J3806:J3807"/>
    <mergeCell ref="K3806:L3807"/>
    <mergeCell ref="M3806:N3807"/>
    <mergeCell ref="AJ3694:AL3694"/>
    <mergeCell ref="AN3694:AO3694"/>
    <mergeCell ref="AP3694:AQ3694"/>
    <mergeCell ref="AR3694:AS3695"/>
    <mergeCell ref="A3682:A3683"/>
    <mergeCell ref="E3682:E3683"/>
    <mergeCell ref="F3682:H3682"/>
    <mergeCell ref="J3682:J3683"/>
    <mergeCell ref="K3682:L3683"/>
    <mergeCell ref="M3682:N3683"/>
    <mergeCell ref="O3682:P3683"/>
    <mergeCell ref="Q3682:R3683"/>
    <mergeCell ref="S3682:T3683"/>
    <mergeCell ref="U3682:V3683"/>
    <mergeCell ref="W3682:W3683"/>
    <mergeCell ref="X3682:AB3682"/>
    <mergeCell ref="AD3682:AI3682"/>
    <mergeCell ref="AJ3682:AL3682"/>
    <mergeCell ref="AN3682:AO3682"/>
    <mergeCell ref="AP3682:AQ3682"/>
    <mergeCell ref="AR3682:AS3683"/>
    <mergeCell ref="AT3682:AU3683"/>
    <mergeCell ref="AV3682:AW3683"/>
    <mergeCell ref="AX3682:AY3683"/>
    <mergeCell ref="AZ3682:AZ3683"/>
    <mergeCell ref="F3683:H3683"/>
    <mergeCell ref="X3683:AB3683"/>
    <mergeCell ref="AE3683:AI3683"/>
    <mergeCell ref="AJ3683:AL3683"/>
    <mergeCell ref="AN3683:AO3683"/>
    <mergeCell ref="AP3683:AQ3683"/>
    <mergeCell ref="O3702:P3703"/>
    <mergeCell ref="Q3702:R3703"/>
    <mergeCell ref="S3702:T3703"/>
    <mergeCell ref="U3702:V3703"/>
    <mergeCell ref="A3684:A3685"/>
    <mergeCell ref="E3684:E3685"/>
    <mergeCell ref="F3684:H3684"/>
    <mergeCell ref="J3684:J3685"/>
    <mergeCell ref="K3684:L3685"/>
    <mergeCell ref="M3684:N3685"/>
    <mergeCell ref="O3684:P3685"/>
    <mergeCell ref="Q3684:R3685"/>
    <mergeCell ref="S3684:T3685"/>
    <mergeCell ref="U3684:V3685"/>
    <mergeCell ref="W3684:W3685"/>
    <mergeCell ref="S3798:T3799"/>
    <mergeCell ref="U3798:V3799"/>
    <mergeCell ref="W3798:W3799"/>
    <mergeCell ref="X3798:AB3798"/>
    <mergeCell ref="AD3798:AI3798"/>
    <mergeCell ref="AJ3798:AL3798"/>
    <mergeCell ref="AN3798:AO3798"/>
    <mergeCell ref="AP3798:AQ3798"/>
    <mergeCell ref="AR3798:AS3799"/>
    <mergeCell ref="AT3798:AU3799"/>
    <mergeCell ref="AV3798:AW3799"/>
    <mergeCell ref="AX3798:AY3799"/>
    <mergeCell ref="AZ3798:AZ3799"/>
    <mergeCell ref="F3799:H3799"/>
    <mergeCell ref="X3799:AB3799"/>
    <mergeCell ref="AE3799:AI3799"/>
    <mergeCell ref="AJ3799:AL3799"/>
    <mergeCell ref="AN3799:AO3799"/>
    <mergeCell ref="AR3806:AS3807"/>
    <mergeCell ref="AT3806:AU3807"/>
    <mergeCell ref="AV3806:AW3807"/>
    <mergeCell ref="AX3806:AY3807"/>
    <mergeCell ref="A3810:A3811"/>
    <mergeCell ref="E3810:E3811"/>
    <mergeCell ref="F3810:H3810"/>
    <mergeCell ref="J3810:J3811"/>
    <mergeCell ref="K3810:L3811"/>
    <mergeCell ref="M3810:N3811"/>
    <mergeCell ref="O3810:P3811"/>
    <mergeCell ref="Q3810:R3811"/>
    <mergeCell ref="S3810:T3811"/>
    <mergeCell ref="U3810:V3811"/>
    <mergeCell ref="W3810:W3811"/>
    <mergeCell ref="X3810:AB3810"/>
    <mergeCell ref="AD3810:AI3810"/>
    <mergeCell ref="AJ3810:AL3810"/>
    <mergeCell ref="AN3810:AO3810"/>
    <mergeCell ref="AP3810:AQ3810"/>
    <mergeCell ref="AR3810:AS3811"/>
    <mergeCell ref="AT3810:AU3811"/>
    <mergeCell ref="AV3810:AW3811"/>
    <mergeCell ref="AX3810:AY3811"/>
    <mergeCell ref="AZ3810:AZ3811"/>
    <mergeCell ref="F3811:H3811"/>
    <mergeCell ref="X3811:AB3811"/>
    <mergeCell ref="AE3811:AI3811"/>
    <mergeCell ref="AJ3811:AL3811"/>
    <mergeCell ref="AN3811:AO3811"/>
    <mergeCell ref="AP3811:AQ3811"/>
    <mergeCell ref="A3804:A3805"/>
    <mergeCell ref="E3804:E3805"/>
    <mergeCell ref="F3804:H3804"/>
    <mergeCell ref="J3804:J3805"/>
    <mergeCell ref="K3804:L3805"/>
    <mergeCell ref="M3804:N3805"/>
    <mergeCell ref="O3804:P3805"/>
    <mergeCell ref="Q3804:R3805"/>
    <mergeCell ref="S3804:T3805"/>
    <mergeCell ref="U3804:V3805"/>
    <mergeCell ref="W3804:W3805"/>
    <mergeCell ref="X3804:AB3804"/>
    <mergeCell ref="AD3804:AI3804"/>
    <mergeCell ref="AJ3804:AL3804"/>
    <mergeCell ref="AN3804:AO3804"/>
    <mergeCell ref="U3794:V3795"/>
    <mergeCell ref="W3794:W3795"/>
    <mergeCell ref="X3794:AB3794"/>
    <mergeCell ref="AD3794:AI3794"/>
    <mergeCell ref="AJ3794:AL3794"/>
    <mergeCell ref="AN3794:AO3794"/>
    <mergeCell ref="AP3794:AQ3794"/>
    <mergeCell ref="AR3794:AS3795"/>
    <mergeCell ref="AT3794:AU3795"/>
    <mergeCell ref="AV3794:AW3795"/>
    <mergeCell ref="AX3794:AY3795"/>
    <mergeCell ref="AZ3794:AZ3795"/>
    <mergeCell ref="F3795:H3795"/>
    <mergeCell ref="X3795:AB3795"/>
    <mergeCell ref="AE3795:AI3795"/>
    <mergeCell ref="AJ3795:AL3795"/>
    <mergeCell ref="AN3795:AO3795"/>
    <mergeCell ref="AP3795:AQ3795"/>
    <mergeCell ref="O3806:P3807"/>
    <mergeCell ref="Q3806:R3807"/>
    <mergeCell ref="S3806:T3807"/>
    <mergeCell ref="U3806:V3807"/>
    <mergeCell ref="AZ3806:AZ3807"/>
    <mergeCell ref="F3807:H3807"/>
    <mergeCell ref="X3807:AB3807"/>
    <mergeCell ref="AE3807:AI3807"/>
    <mergeCell ref="AJ3807:AL3807"/>
    <mergeCell ref="AN3807:AO3807"/>
    <mergeCell ref="AP3807:AQ3807"/>
    <mergeCell ref="A3796:A3797"/>
    <mergeCell ref="E3796:E3797"/>
    <mergeCell ref="F3796:H3796"/>
    <mergeCell ref="J3796:J3797"/>
    <mergeCell ref="K3796:L3797"/>
    <mergeCell ref="M3796:N3797"/>
    <mergeCell ref="O3796:P3797"/>
    <mergeCell ref="Q3796:R3797"/>
    <mergeCell ref="S3796:T3797"/>
    <mergeCell ref="U3796:V3797"/>
    <mergeCell ref="W3796:W3797"/>
    <mergeCell ref="X3796:AB3796"/>
    <mergeCell ref="AD3796:AI3796"/>
    <mergeCell ref="AJ3796:AL3796"/>
    <mergeCell ref="AN3796:AO3796"/>
    <mergeCell ref="AP3796:AQ3796"/>
    <mergeCell ref="AR3796:AS3797"/>
    <mergeCell ref="AT3796:AU3797"/>
    <mergeCell ref="AV3796:AW3797"/>
    <mergeCell ref="AX3796:AY3797"/>
    <mergeCell ref="AZ3796:AZ3797"/>
    <mergeCell ref="F3797:H3797"/>
    <mergeCell ref="X3797:AB3797"/>
    <mergeCell ref="AE3797:AI3797"/>
    <mergeCell ref="AJ3797:AL3797"/>
    <mergeCell ref="AN3797:AO3797"/>
    <mergeCell ref="AP3797:AQ3797"/>
    <mergeCell ref="A3798:A3799"/>
    <mergeCell ref="E3798:E3799"/>
    <mergeCell ref="F3798:H3798"/>
    <mergeCell ref="J3798:J3799"/>
    <mergeCell ref="K3798:L3799"/>
    <mergeCell ref="M3798:N3799"/>
    <mergeCell ref="O3798:P3799"/>
    <mergeCell ref="Q3798:R3799"/>
    <mergeCell ref="A3790:A3791"/>
    <mergeCell ref="E3790:E3791"/>
    <mergeCell ref="F3790:H3790"/>
    <mergeCell ref="J3790:J3791"/>
    <mergeCell ref="K3790:L3791"/>
    <mergeCell ref="M3790:N3791"/>
    <mergeCell ref="O3790:P3791"/>
    <mergeCell ref="Q3790:R3791"/>
    <mergeCell ref="S3790:T3791"/>
    <mergeCell ref="U3790:V3791"/>
    <mergeCell ref="W3790:W3791"/>
    <mergeCell ref="X3790:AB3790"/>
    <mergeCell ref="AD3790:AI3790"/>
    <mergeCell ref="AJ3790:AL3790"/>
    <mergeCell ref="AN3790:AO3790"/>
    <mergeCell ref="AP3790:AQ3790"/>
    <mergeCell ref="AR3790:AS3791"/>
    <mergeCell ref="AT3790:AU3791"/>
    <mergeCell ref="AV3790:AW3791"/>
    <mergeCell ref="AX3790:AY3791"/>
    <mergeCell ref="AZ3790:AZ3791"/>
    <mergeCell ref="F3791:H3791"/>
    <mergeCell ref="X3791:AB3791"/>
    <mergeCell ref="AE3791:AI3791"/>
    <mergeCell ref="AJ3791:AL3791"/>
    <mergeCell ref="AN3791:AO3791"/>
    <mergeCell ref="AP3791:AQ3791"/>
    <mergeCell ref="AP3799:AQ3799"/>
    <mergeCell ref="A3792:A3793"/>
    <mergeCell ref="E3792:E3793"/>
    <mergeCell ref="F3792:H3792"/>
    <mergeCell ref="J3792:J3793"/>
    <mergeCell ref="K3792:L3793"/>
    <mergeCell ref="M3792:N3793"/>
    <mergeCell ref="O3792:P3793"/>
    <mergeCell ref="Q3792:R3793"/>
    <mergeCell ref="S3792:T3793"/>
    <mergeCell ref="U3792:V3793"/>
    <mergeCell ref="W3792:W3793"/>
    <mergeCell ref="X3792:AB3792"/>
    <mergeCell ref="AD3792:AI3792"/>
    <mergeCell ref="AJ3792:AL3792"/>
    <mergeCell ref="AN3792:AO3792"/>
    <mergeCell ref="AP3792:AQ3792"/>
    <mergeCell ref="AR3792:AS3793"/>
    <mergeCell ref="AT3792:AU3793"/>
    <mergeCell ref="AV3792:AW3793"/>
    <mergeCell ref="AX3792:AY3793"/>
    <mergeCell ref="AZ3792:AZ3793"/>
    <mergeCell ref="F3793:H3793"/>
    <mergeCell ref="X3793:AB3793"/>
    <mergeCell ref="AE3793:AI3793"/>
    <mergeCell ref="AJ3793:AL3793"/>
    <mergeCell ref="AN3793:AO3793"/>
    <mergeCell ref="AP3793:AQ3793"/>
    <mergeCell ref="A3794:A3795"/>
    <mergeCell ref="E3794:E3795"/>
    <mergeCell ref="F3794:H3794"/>
    <mergeCell ref="J3794:J3795"/>
    <mergeCell ref="K3794:L3795"/>
    <mergeCell ref="M3794:N3795"/>
    <mergeCell ref="O3794:P3795"/>
    <mergeCell ref="Q3794:R3795"/>
    <mergeCell ref="S3794:T3795"/>
    <mergeCell ref="A3786:A3787"/>
    <mergeCell ref="E3786:E3787"/>
    <mergeCell ref="F3786:H3786"/>
    <mergeCell ref="J3786:J3787"/>
    <mergeCell ref="K3786:L3787"/>
    <mergeCell ref="M3786:N3787"/>
    <mergeCell ref="O3786:P3787"/>
    <mergeCell ref="Q3786:R3787"/>
    <mergeCell ref="S3786:T3787"/>
    <mergeCell ref="U3786:V3787"/>
    <mergeCell ref="W3786:W3787"/>
    <mergeCell ref="X3786:AB3786"/>
    <mergeCell ref="AD3786:AI3786"/>
    <mergeCell ref="AJ3786:AL3786"/>
    <mergeCell ref="AN3786:AO3786"/>
    <mergeCell ref="AP3786:AQ3786"/>
    <mergeCell ref="AR3786:AS3787"/>
    <mergeCell ref="AT3786:AU3787"/>
    <mergeCell ref="AV3786:AW3787"/>
    <mergeCell ref="AX3786:AY3787"/>
    <mergeCell ref="AZ3786:AZ3787"/>
    <mergeCell ref="F3787:H3787"/>
    <mergeCell ref="X3787:AB3787"/>
    <mergeCell ref="AE3787:AI3787"/>
    <mergeCell ref="AJ3787:AL3787"/>
    <mergeCell ref="AN3787:AO3787"/>
    <mergeCell ref="AP3787:AQ3787"/>
    <mergeCell ref="A3788:A3789"/>
    <mergeCell ref="E3788:E3789"/>
    <mergeCell ref="F3788:H3788"/>
    <mergeCell ref="J3788:J3789"/>
    <mergeCell ref="K3788:L3789"/>
    <mergeCell ref="M3788:N3789"/>
    <mergeCell ref="O3788:P3789"/>
    <mergeCell ref="Q3788:R3789"/>
    <mergeCell ref="S3788:T3789"/>
    <mergeCell ref="U3788:V3789"/>
    <mergeCell ref="W3788:W3789"/>
    <mergeCell ref="X3788:AB3788"/>
    <mergeCell ref="AD3788:AI3788"/>
    <mergeCell ref="AJ3788:AL3788"/>
    <mergeCell ref="AN3788:AO3788"/>
    <mergeCell ref="AP3788:AQ3788"/>
    <mergeCell ref="AR3788:AS3789"/>
    <mergeCell ref="AT3788:AU3789"/>
    <mergeCell ref="AV3788:AW3789"/>
    <mergeCell ref="AX3788:AY3789"/>
    <mergeCell ref="AZ3788:AZ3789"/>
    <mergeCell ref="F3789:H3789"/>
    <mergeCell ref="X3789:AB3789"/>
    <mergeCell ref="AE3789:AI3789"/>
    <mergeCell ref="AJ3789:AL3789"/>
    <mergeCell ref="AN3789:AO3789"/>
    <mergeCell ref="AP3789:AQ3789"/>
    <mergeCell ref="A3782:A3783"/>
    <mergeCell ref="E3782:E3783"/>
    <mergeCell ref="F3782:H3782"/>
    <mergeCell ref="J3782:J3783"/>
    <mergeCell ref="K3782:L3783"/>
    <mergeCell ref="M3782:N3783"/>
    <mergeCell ref="O3782:P3783"/>
    <mergeCell ref="Q3782:R3783"/>
    <mergeCell ref="S3782:T3783"/>
    <mergeCell ref="U3782:V3783"/>
    <mergeCell ref="W3782:W3783"/>
    <mergeCell ref="X3782:AB3782"/>
    <mergeCell ref="AD3782:AI3782"/>
    <mergeCell ref="AJ3782:AL3782"/>
    <mergeCell ref="AN3782:AO3782"/>
    <mergeCell ref="AP3782:AQ3782"/>
    <mergeCell ref="AR3782:AS3783"/>
    <mergeCell ref="AT3782:AU3783"/>
    <mergeCell ref="AV3782:AW3783"/>
    <mergeCell ref="AX3782:AY3783"/>
    <mergeCell ref="AZ3782:AZ3783"/>
    <mergeCell ref="F3783:H3783"/>
    <mergeCell ref="X3783:AB3783"/>
    <mergeCell ref="AE3783:AI3783"/>
    <mergeCell ref="AJ3783:AL3783"/>
    <mergeCell ref="AN3783:AO3783"/>
    <mergeCell ref="AP3783:AQ3783"/>
    <mergeCell ref="A3784:A3785"/>
    <mergeCell ref="E3784:E3785"/>
    <mergeCell ref="F3784:H3784"/>
    <mergeCell ref="J3784:J3785"/>
    <mergeCell ref="K3784:L3785"/>
    <mergeCell ref="M3784:N3785"/>
    <mergeCell ref="O3784:P3785"/>
    <mergeCell ref="Q3784:R3785"/>
    <mergeCell ref="S3784:T3785"/>
    <mergeCell ref="U3784:V3785"/>
    <mergeCell ref="W3784:W3785"/>
    <mergeCell ref="X3784:AB3784"/>
    <mergeCell ref="AD3784:AI3784"/>
    <mergeCell ref="AJ3784:AL3784"/>
    <mergeCell ref="AN3784:AO3784"/>
    <mergeCell ref="AP3784:AQ3784"/>
    <mergeCell ref="AR3784:AS3785"/>
    <mergeCell ref="AT3784:AU3785"/>
    <mergeCell ref="AV3784:AW3785"/>
    <mergeCell ref="AX3784:AY3785"/>
    <mergeCell ref="AZ3784:AZ3785"/>
    <mergeCell ref="F3785:H3785"/>
    <mergeCell ref="X3785:AB3785"/>
    <mergeCell ref="AE3785:AI3785"/>
    <mergeCell ref="AJ3785:AL3785"/>
    <mergeCell ref="AN3785:AO3785"/>
    <mergeCell ref="AP3785:AQ3785"/>
    <mergeCell ref="A3778:A3779"/>
    <mergeCell ref="E3778:E3779"/>
    <mergeCell ref="F3778:H3778"/>
    <mergeCell ref="J3778:J3779"/>
    <mergeCell ref="K3778:L3779"/>
    <mergeCell ref="M3778:N3779"/>
    <mergeCell ref="O3778:P3779"/>
    <mergeCell ref="Q3778:R3779"/>
    <mergeCell ref="S3778:T3779"/>
    <mergeCell ref="U3778:V3779"/>
    <mergeCell ref="W3778:W3779"/>
    <mergeCell ref="X3778:AB3778"/>
    <mergeCell ref="AD3778:AI3778"/>
    <mergeCell ref="AJ3778:AL3778"/>
    <mergeCell ref="AN3778:AO3778"/>
    <mergeCell ref="AP3778:AQ3778"/>
    <mergeCell ref="AR3778:AS3779"/>
    <mergeCell ref="AT3778:AU3779"/>
    <mergeCell ref="AV3778:AW3779"/>
    <mergeCell ref="AX3778:AY3779"/>
    <mergeCell ref="AZ3778:AZ3779"/>
    <mergeCell ref="F3779:H3779"/>
    <mergeCell ref="X3779:AB3779"/>
    <mergeCell ref="AE3779:AI3779"/>
    <mergeCell ref="AJ3779:AL3779"/>
    <mergeCell ref="AN3779:AO3779"/>
    <mergeCell ref="AP3779:AQ3779"/>
    <mergeCell ref="A3780:A3781"/>
    <mergeCell ref="E3780:E3781"/>
    <mergeCell ref="F3780:H3780"/>
    <mergeCell ref="J3780:J3781"/>
    <mergeCell ref="K3780:L3781"/>
    <mergeCell ref="M3780:N3781"/>
    <mergeCell ref="O3780:P3781"/>
    <mergeCell ref="Q3780:R3781"/>
    <mergeCell ref="S3780:T3781"/>
    <mergeCell ref="U3780:V3781"/>
    <mergeCell ref="W3780:W3781"/>
    <mergeCell ref="X3780:AB3780"/>
    <mergeCell ref="AD3780:AI3780"/>
    <mergeCell ref="AJ3780:AL3780"/>
    <mergeCell ref="AN3780:AO3780"/>
    <mergeCell ref="AP3780:AQ3780"/>
    <mergeCell ref="AR3780:AS3781"/>
    <mergeCell ref="AT3780:AU3781"/>
    <mergeCell ref="AV3780:AW3781"/>
    <mergeCell ref="AX3780:AY3781"/>
    <mergeCell ref="AZ3780:AZ3781"/>
    <mergeCell ref="F3781:H3781"/>
    <mergeCell ref="X3781:AB3781"/>
    <mergeCell ref="AE3781:AI3781"/>
    <mergeCell ref="AJ3781:AL3781"/>
    <mergeCell ref="AN3781:AO3781"/>
    <mergeCell ref="AP3781:AQ3781"/>
    <mergeCell ref="W3774:W3775"/>
    <mergeCell ref="X3774:AB3774"/>
    <mergeCell ref="AD3774:AI3774"/>
    <mergeCell ref="AJ3774:AL3774"/>
    <mergeCell ref="AN3774:AO3774"/>
    <mergeCell ref="AP3774:AQ3774"/>
    <mergeCell ref="AR3774:AS3775"/>
    <mergeCell ref="AT3774:AU3775"/>
    <mergeCell ref="AV3774:AW3775"/>
    <mergeCell ref="AX3774:AY3775"/>
    <mergeCell ref="AZ3774:AZ3775"/>
    <mergeCell ref="F3775:H3775"/>
    <mergeCell ref="X3775:AB3775"/>
    <mergeCell ref="AE3775:AI3775"/>
    <mergeCell ref="AJ3775:AL3775"/>
    <mergeCell ref="AN3775:AO3775"/>
    <mergeCell ref="AP3775:AQ3775"/>
    <mergeCell ref="A3776:A3777"/>
    <mergeCell ref="E3776:E3777"/>
    <mergeCell ref="F3776:H3776"/>
    <mergeCell ref="J3776:J3777"/>
    <mergeCell ref="K3776:L3777"/>
    <mergeCell ref="M3776:N3777"/>
    <mergeCell ref="O3776:P3777"/>
    <mergeCell ref="Q3776:R3777"/>
    <mergeCell ref="S3776:T3777"/>
    <mergeCell ref="U3776:V3777"/>
    <mergeCell ref="W3776:W3777"/>
    <mergeCell ref="X3776:AB3776"/>
    <mergeCell ref="AD3776:AI3776"/>
    <mergeCell ref="AJ3776:AL3776"/>
    <mergeCell ref="AN3776:AO3776"/>
    <mergeCell ref="AP3776:AQ3776"/>
    <mergeCell ref="AR3776:AS3777"/>
    <mergeCell ref="AT3776:AU3777"/>
    <mergeCell ref="AV3776:AW3777"/>
    <mergeCell ref="AX3776:AY3777"/>
    <mergeCell ref="AZ3776:AZ3777"/>
    <mergeCell ref="F3777:H3777"/>
    <mergeCell ref="X3777:AB3777"/>
    <mergeCell ref="AE3777:AI3777"/>
    <mergeCell ref="AJ3777:AL3777"/>
    <mergeCell ref="AN3777:AO3777"/>
    <mergeCell ref="AP3777:AQ3777"/>
    <mergeCell ref="A3766:A3767"/>
    <mergeCell ref="E3766:E3767"/>
    <mergeCell ref="F3766:H3766"/>
    <mergeCell ref="J3766:J3767"/>
    <mergeCell ref="K3766:L3767"/>
    <mergeCell ref="M3766:N3767"/>
    <mergeCell ref="O3766:P3767"/>
    <mergeCell ref="Q3766:R3767"/>
    <mergeCell ref="S3766:T3767"/>
    <mergeCell ref="U3766:V3767"/>
    <mergeCell ref="W3766:W3767"/>
    <mergeCell ref="X3766:AB3766"/>
    <mergeCell ref="AD3766:AI3766"/>
    <mergeCell ref="AJ3766:AL3766"/>
    <mergeCell ref="AN3766:AO3766"/>
    <mergeCell ref="AP3766:AQ3766"/>
    <mergeCell ref="AR3766:AS3767"/>
    <mergeCell ref="AT3766:AU3767"/>
    <mergeCell ref="AV3766:AW3767"/>
    <mergeCell ref="AX3766:AY3767"/>
    <mergeCell ref="AZ3766:AZ3767"/>
    <mergeCell ref="F3767:H3767"/>
    <mergeCell ref="X3767:AB3767"/>
    <mergeCell ref="AE3767:AI3767"/>
    <mergeCell ref="AJ3767:AL3767"/>
    <mergeCell ref="AN3767:AO3767"/>
    <mergeCell ref="AP3767:AQ3767"/>
    <mergeCell ref="A3768:A3769"/>
    <mergeCell ref="E3768:E3769"/>
    <mergeCell ref="F3768:H3768"/>
    <mergeCell ref="J3768:J3769"/>
    <mergeCell ref="K3768:L3769"/>
    <mergeCell ref="M3768:N3769"/>
    <mergeCell ref="O3768:P3769"/>
    <mergeCell ref="Q3768:R3769"/>
    <mergeCell ref="S3768:T3769"/>
    <mergeCell ref="U3768:V3769"/>
    <mergeCell ref="W3768:W3769"/>
    <mergeCell ref="X3768:AB3768"/>
    <mergeCell ref="AD3768:AI3768"/>
    <mergeCell ref="AJ3768:AL3768"/>
    <mergeCell ref="AN3768:AO3768"/>
    <mergeCell ref="AP3768:AQ3768"/>
    <mergeCell ref="AR3768:AS3769"/>
    <mergeCell ref="AT3768:AU3769"/>
    <mergeCell ref="AV3768:AW3769"/>
    <mergeCell ref="AX3768:AY3769"/>
    <mergeCell ref="AZ3768:AZ3769"/>
    <mergeCell ref="F3769:H3769"/>
    <mergeCell ref="X3769:AB3769"/>
    <mergeCell ref="AE3769:AI3769"/>
    <mergeCell ref="AJ3769:AL3769"/>
    <mergeCell ref="AN3769:AO3769"/>
    <mergeCell ref="AP3769:AQ3769"/>
    <mergeCell ref="A3760:A3761"/>
    <mergeCell ref="E3760:E3761"/>
    <mergeCell ref="F3760:H3760"/>
    <mergeCell ref="J3760:J3761"/>
    <mergeCell ref="K3760:L3761"/>
    <mergeCell ref="M3760:N3761"/>
    <mergeCell ref="O3760:P3761"/>
    <mergeCell ref="Q3760:R3761"/>
    <mergeCell ref="S3760:T3761"/>
    <mergeCell ref="U3760:V3761"/>
    <mergeCell ref="W3760:W3761"/>
    <mergeCell ref="X3760:AB3760"/>
    <mergeCell ref="AD3760:AI3760"/>
    <mergeCell ref="AJ3760:AL3760"/>
    <mergeCell ref="AN3760:AO3760"/>
    <mergeCell ref="AP3760:AQ3760"/>
    <mergeCell ref="AR3760:AS3761"/>
    <mergeCell ref="AT3760:AU3761"/>
    <mergeCell ref="AV3760:AW3761"/>
    <mergeCell ref="AX3760:AY3761"/>
    <mergeCell ref="AZ3760:AZ3761"/>
    <mergeCell ref="F3761:H3761"/>
    <mergeCell ref="X3761:AB3761"/>
    <mergeCell ref="AE3761:AI3761"/>
    <mergeCell ref="AJ3761:AL3761"/>
    <mergeCell ref="AN3761:AO3761"/>
    <mergeCell ref="AP3761:AQ3761"/>
    <mergeCell ref="A3764:A3765"/>
    <mergeCell ref="E3764:E3765"/>
    <mergeCell ref="F3764:H3764"/>
    <mergeCell ref="J3764:J3765"/>
    <mergeCell ref="K3764:L3765"/>
    <mergeCell ref="M3764:N3765"/>
    <mergeCell ref="O3764:P3765"/>
    <mergeCell ref="Q3764:R3765"/>
    <mergeCell ref="S3764:T3765"/>
    <mergeCell ref="U3764:V3765"/>
    <mergeCell ref="W3764:W3765"/>
    <mergeCell ref="X3764:AB3764"/>
    <mergeCell ref="AD3764:AI3764"/>
    <mergeCell ref="AJ3764:AL3764"/>
    <mergeCell ref="AN3764:AO3764"/>
    <mergeCell ref="AP3764:AQ3764"/>
    <mergeCell ref="AR3764:AS3765"/>
    <mergeCell ref="AT3764:AU3765"/>
    <mergeCell ref="AV3764:AW3765"/>
    <mergeCell ref="AX3764:AY3765"/>
    <mergeCell ref="AZ3764:AZ3765"/>
    <mergeCell ref="F3765:H3765"/>
    <mergeCell ref="X3765:AB3765"/>
    <mergeCell ref="AE3765:AI3765"/>
    <mergeCell ref="AJ3765:AL3765"/>
    <mergeCell ref="AN3765:AO3765"/>
    <mergeCell ref="AP3765:AQ3765"/>
    <mergeCell ref="AZ3762:AZ3763"/>
    <mergeCell ref="F3763:H3763"/>
    <mergeCell ref="X3763:AB3763"/>
    <mergeCell ref="AE3763:AI3763"/>
    <mergeCell ref="AJ3763:AL3763"/>
    <mergeCell ref="AN3763:AO3763"/>
    <mergeCell ref="AP3763:AQ3763"/>
    <mergeCell ref="A3754:A3755"/>
    <mergeCell ref="E3754:E3755"/>
    <mergeCell ref="F3754:H3754"/>
    <mergeCell ref="J3754:J3755"/>
    <mergeCell ref="K3754:L3755"/>
    <mergeCell ref="M3754:N3755"/>
    <mergeCell ref="O3754:P3755"/>
    <mergeCell ref="Q3754:R3755"/>
    <mergeCell ref="S3754:T3755"/>
    <mergeCell ref="U3754:V3755"/>
    <mergeCell ref="W3754:W3755"/>
    <mergeCell ref="X3754:AB3754"/>
    <mergeCell ref="AD3754:AI3754"/>
    <mergeCell ref="AJ3754:AL3754"/>
    <mergeCell ref="AN3754:AO3754"/>
    <mergeCell ref="AP3754:AQ3754"/>
    <mergeCell ref="AR3754:AS3755"/>
    <mergeCell ref="AT3754:AU3755"/>
    <mergeCell ref="AV3754:AW3755"/>
    <mergeCell ref="AX3754:AY3755"/>
    <mergeCell ref="AZ3754:AZ3755"/>
    <mergeCell ref="F3755:H3755"/>
    <mergeCell ref="X3755:AB3755"/>
    <mergeCell ref="AE3755:AI3755"/>
    <mergeCell ref="AJ3755:AL3755"/>
    <mergeCell ref="AN3755:AO3755"/>
    <mergeCell ref="AP3755:AQ3755"/>
    <mergeCell ref="A3758:A3759"/>
    <mergeCell ref="E3758:E3759"/>
    <mergeCell ref="F3758:H3758"/>
    <mergeCell ref="J3758:J3759"/>
    <mergeCell ref="K3758:L3759"/>
    <mergeCell ref="M3758:N3759"/>
    <mergeCell ref="O3758:P3759"/>
    <mergeCell ref="Q3758:R3759"/>
    <mergeCell ref="S3758:T3759"/>
    <mergeCell ref="U3758:V3759"/>
    <mergeCell ref="W3758:W3759"/>
    <mergeCell ref="X3758:AB3758"/>
    <mergeCell ref="AD3758:AI3758"/>
    <mergeCell ref="AJ3758:AL3758"/>
    <mergeCell ref="AN3758:AO3758"/>
    <mergeCell ref="AP3758:AQ3758"/>
    <mergeCell ref="AR3758:AS3759"/>
    <mergeCell ref="AT3758:AU3759"/>
    <mergeCell ref="AV3758:AW3759"/>
    <mergeCell ref="AX3758:AY3759"/>
    <mergeCell ref="AZ3758:AZ3759"/>
    <mergeCell ref="F3759:H3759"/>
    <mergeCell ref="X3759:AB3759"/>
    <mergeCell ref="AE3759:AI3759"/>
    <mergeCell ref="AJ3759:AL3759"/>
    <mergeCell ref="AN3759:AO3759"/>
    <mergeCell ref="AP3759:AQ3759"/>
    <mergeCell ref="A3756:A3757"/>
    <mergeCell ref="E3756:E3757"/>
    <mergeCell ref="F3756:H3756"/>
    <mergeCell ref="J3756:J3757"/>
    <mergeCell ref="K3756:L3757"/>
    <mergeCell ref="M3756:N3757"/>
    <mergeCell ref="O3756:P3757"/>
    <mergeCell ref="Q3756:R3757"/>
    <mergeCell ref="S3756:T3757"/>
    <mergeCell ref="U3756:V3757"/>
    <mergeCell ref="A3750:A3751"/>
    <mergeCell ref="E3750:E3751"/>
    <mergeCell ref="F3750:H3750"/>
    <mergeCell ref="J3750:J3751"/>
    <mergeCell ref="K3750:L3751"/>
    <mergeCell ref="M3750:N3751"/>
    <mergeCell ref="O3750:P3751"/>
    <mergeCell ref="Q3750:R3751"/>
    <mergeCell ref="S3750:T3751"/>
    <mergeCell ref="U3750:V3751"/>
    <mergeCell ref="W3750:W3751"/>
    <mergeCell ref="X3750:AB3750"/>
    <mergeCell ref="AD3750:AI3750"/>
    <mergeCell ref="AJ3750:AL3750"/>
    <mergeCell ref="AN3750:AO3750"/>
    <mergeCell ref="AP3750:AQ3750"/>
    <mergeCell ref="AR3750:AS3751"/>
    <mergeCell ref="AT3750:AU3751"/>
    <mergeCell ref="AV3750:AW3751"/>
    <mergeCell ref="AX3750:AY3751"/>
    <mergeCell ref="AZ3750:AZ3751"/>
    <mergeCell ref="F3751:H3751"/>
    <mergeCell ref="X3751:AB3751"/>
    <mergeCell ref="AE3751:AI3751"/>
    <mergeCell ref="AJ3751:AL3751"/>
    <mergeCell ref="AN3751:AO3751"/>
    <mergeCell ref="AP3751:AQ3751"/>
    <mergeCell ref="A3752:A3753"/>
    <mergeCell ref="E3752:E3753"/>
    <mergeCell ref="F3752:H3752"/>
    <mergeCell ref="J3752:J3753"/>
    <mergeCell ref="K3752:L3753"/>
    <mergeCell ref="M3752:N3753"/>
    <mergeCell ref="O3752:P3753"/>
    <mergeCell ref="Q3752:R3753"/>
    <mergeCell ref="S3752:T3753"/>
    <mergeCell ref="U3752:V3753"/>
    <mergeCell ref="W3752:W3753"/>
    <mergeCell ref="X3752:AB3752"/>
    <mergeCell ref="AD3752:AI3752"/>
    <mergeCell ref="AJ3752:AL3752"/>
    <mergeCell ref="AN3752:AO3752"/>
    <mergeCell ref="AP3752:AQ3752"/>
    <mergeCell ref="AR3752:AS3753"/>
    <mergeCell ref="AT3752:AU3753"/>
    <mergeCell ref="AV3752:AW3753"/>
    <mergeCell ref="AX3752:AY3753"/>
    <mergeCell ref="AZ3752:AZ3753"/>
    <mergeCell ref="F3753:H3753"/>
    <mergeCell ref="X3753:AB3753"/>
    <mergeCell ref="AE3753:AI3753"/>
    <mergeCell ref="AJ3753:AL3753"/>
    <mergeCell ref="AN3753:AO3753"/>
    <mergeCell ref="AP3753:AQ3753"/>
    <mergeCell ref="A3746:A3747"/>
    <mergeCell ref="E3746:E3747"/>
    <mergeCell ref="F3746:H3746"/>
    <mergeCell ref="J3746:J3747"/>
    <mergeCell ref="K3746:L3747"/>
    <mergeCell ref="M3746:N3747"/>
    <mergeCell ref="O3746:P3747"/>
    <mergeCell ref="Q3746:R3747"/>
    <mergeCell ref="S3746:T3747"/>
    <mergeCell ref="U3746:V3747"/>
    <mergeCell ref="W3746:W3747"/>
    <mergeCell ref="X3746:AB3746"/>
    <mergeCell ref="AD3746:AI3746"/>
    <mergeCell ref="AJ3746:AL3746"/>
    <mergeCell ref="AN3746:AO3746"/>
    <mergeCell ref="AP3746:AQ3746"/>
    <mergeCell ref="AR3746:AS3747"/>
    <mergeCell ref="AT3746:AU3747"/>
    <mergeCell ref="AV3746:AW3747"/>
    <mergeCell ref="AX3746:AY3747"/>
    <mergeCell ref="AZ3746:AZ3747"/>
    <mergeCell ref="F3747:H3747"/>
    <mergeCell ref="X3747:AB3747"/>
    <mergeCell ref="AE3747:AI3747"/>
    <mergeCell ref="AJ3747:AL3747"/>
    <mergeCell ref="AN3747:AO3747"/>
    <mergeCell ref="AP3747:AQ3747"/>
    <mergeCell ref="A3748:A3749"/>
    <mergeCell ref="E3748:E3749"/>
    <mergeCell ref="F3748:H3748"/>
    <mergeCell ref="J3748:J3749"/>
    <mergeCell ref="K3748:L3749"/>
    <mergeCell ref="M3748:N3749"/>
    <mergeCell ref="O3748:P3749"/>
    <mergeCell ref="Q3748:R3749"/>
    <mergeCell ref="S3748:T3749"/>
    <mergeCell ref="U3748:V3749"/>
    <mergeCell ref="W3748:W3749"/>
    <mergeCell ref="X3748:AB3748"/>
    <mergeCell ref="AD3748:AI3748"/>
    <mergeCell ref="AJ3748:AL3748"/>
    <mergeCell ref="AN3748:AO3748"/>
    <mergeCell ref="AP3748:AQ3748"/>
    <mergeCell ref="AR3748:AS3749"/>
    <mergeCell ref="AT3748:AU3749"/>
    <mergeCell ref="AV3748:AW3749"/>
    <mergeCell ref="AX3748:AY3749"/>
    <mergeCell ref="AZ3748:AZ3749"/>
    <mergeCell ref="F3749:H3749"/>
    <mergeCell ref="X3749:AB3749"/>
    <mergeCell ref="AE3749:AI3749"/>
    <mergeCell ref="AJ3749:AL3749"/>
    <mergeCell ref="AN3749:AO3749"/>
    <mergeCell ref="AP3749:AQ3749"/>
    <mergeCell ref="A3742:A3743"/>
    <mergeCell ref="E3742:E3743"/>
    <mergeCell ref="F3742:H3742"/>
    <mergeCell ref="J3742:J3743"/>
    <mergeCell ref="K3742:L3743"/>
    <mergeCell ref="M3742:N3743"/>
    <mergeCell ref="O3742:P3743"/>
    <mergeCell ref="Q3742:R3743"/>
    <mergeCell ref="S3742:T3743"/>
    <mergeCell ref="U3742:V3743"/>
    <mergeCell ref="W3742:W3743"/>
    <mergeCell ref="X3742:AB3742"/>
    <mergeCell ref="AD3742:AI3742"/>
    <mergeCell ref="AJ3742:AL3742"/>
    <mergeCell ref="AN3742:AO3742"/>
    <mergeCell ref="AP3742:AQ3742"/>
    <mergeCell ref="AR3742:AS3743"/>
    <mergeCell ref="AT3742:AU3743"/>
    <mergeCell ref="AV3742:AW3743"/>
    <mergeCell ref="AX3742:AY3743"/>
    <mergeCell ref="AZ3742:AZ3743"/>
    <mergeCell ref="F3743:H3743"/>
    <mergeCell ref="X3743:AB3743"/>
    <mergeCell ref="AE3743:AI3743"/>
    <mergeCell ref="AJ3743:AL3743"/>
    <mergeCell ref="AN3743:AO3743"/>
    <mergeCell ref="AP3743:AQ3743"/>
    <mergeCell ref="A3744:A3745"/>
    <mergeCell ref="E3744:E3745"/>
    <mergeCell ref="F3744:H3744"/>
    <mergeCell ref="J3744:J3745"/>
    <mergeCell ref="K3744:L3745"/>
    <mergeCell ref="M3744:N3745"/>
    <mergeCell ref="O3744:P3745"/>
    <mergeCell ref="Q3744:R3745"/>
    <mergeCell ref="S3744:T3745"/>
    <mergeCell ref="U3744:V3745"/>
    <mergeCell ref="W3744:W3745"/>
    <mergeCell ref="X3744:AB3744"/>
    <mergeCell ref="AD3744:AI3744"/>
    <mergeCell ref="AJ3744:AL3744"/>
    <mergeCell ref="AN3744:AO3744"/>
    <mergeCell ref="AP3744:AQ3744"/>
    <mergeCell ref="AR3744:AS3745"/>
    <mergeCell ref="AT3744:AU3745"/>
    <mergeCell ref="AV3744:AW3745"/>
    <mergeCell ref="AX3744:AY3745"/>
    <mergeCell ref="AZ3744:AZ3745"/>
    <mergeCell ref="F3745:H3745"/>
    <mergeCell ref="X3745:AB3745"/>
    <mergeCell ref="AE3745:AI3745"/>
    <mergeCell ref="AJ3745:AL3745"/>
    <mergeCell ref="AN3745:AO3745"/>
    <mergeCell ref="AP3745:AQ3745"/>
    <mergeCell ref="A3738:A3739"/>
    <mergeCell ref="E3738:E3739"/>
    <mergeCell ref="F3738:H3738"/>
    <mergeCell ref="J3738:J3739"/>
    <mergeCell ref="K3738:L3739"/>
    <mergeCell ref="M3738:N3739"/>
    <mergeCell ref="O3738:P3739"/>
    <mergeCell ref="Q3738:R3739"/>
    <mergeCell ref="S3738:T3739"/>
    <mergeCell ref="U3738:V3739"/>
    <mergeCell ref="W3738:W3739"/>
    <mergeCell ref="X3738:AB3738"/>
    <mergeCell ref="AD3738:AI3738"/>
    <mergeCell ref="AJ3738:AL3738"/>
    <mergeCell ref="AN3738:AO3738"/>
    <mergeCell ref="AP3738:AQ3738"/>
    <mergeCell ref="AR3738:AS3739"/>
    <mergeCell ref="AT3738:AU3739"/>
    <mergeCell ref="AV3738:AW3739"/>
    <mergeCell ref="AX3738:AY3739"/>
    <mergeCell ref="AZ3738:AZ3739"/>
    <mergeCell ref="F3739:H3739"/>
    <mergeCell ref="X3739:AB3739"/>
    <mergeCell ref="AE3739:AI3739"/>
    <mergeCell ref="AJ3739:AL3739"/>
    <mergeCell ref="AN3739:AO3739"/>
    <mergeCell ref="AP3739:AQ3739"/>
    <mergeCell ref="A3740:A3741"/>
    <mergeCell ref="E3740:E3741"/>
    <mergeCell ref="F3740:H3740"/>
    <mergeCell ref="J3740:J3741"/>
    <mergeCell ref="K3740:L3741"/>
    <mergeCell ref="M3740:N3741"/>
    <mergeCell ref="O3740:P3741"/>
    <mergeCell ref="Q3740:R3741"/>
    <mergeCell ref="S3740:T3741"/>
    <mergeCell ref="U3740:V3741"/>
    <mergeCell ref="W3740:W3741"/>
    <mergeCell ref="X3740:AB3740"/>
    <mergeCell ref="AD3740:AI3740"/>
    <mergeCell ref="AJ3740:AL3740"/>
    <mergeCell ref="AN3740:AO3740"/>
    <mergeCell ref="AP3740:AQ3740"/>
    <mergeCell ref="AR3740:AS3741"/>
    <mergeCell ref="AT3740:AU3741"/>
    <mergeCell ref="AV3740:AW3741"/>
    <mergeCell ref="AX3740:AY3741"/>
    <mergeCell ref="AZ3740:AZ3741"/>
    <mergeCell ref="F3741:H3741"/>
    <mergeCell ref="X3741:AB3741"/>
    <mergeCell ref="AE3741:AI3741"/>
    <mergeCell ref="AJ3741:AL3741"/>
    <mergeCell ref="AN3741:AO3741"/>
    <mergeCell ref="AP3741:AQ3741"/>
    <mergeCell ref="A3734:A3735"/>
    <mergeCell ref="E3734:E3735"/>
    <mergeCell ref="F3734:H3734"/>
    <mergeCell ref="J3734:J3735"/>
    <mergeCell ref="K3734:L3735"/>
    <mergeCell ref="M3734:N3735"/>
    <mergeCell ref="O3734:P3735"/>
    <mergeCell ref="Q3734:R3735"/>
    <mergeCell ref="S3734:T3735"/>
    <mergeCell ref="U3734:V3735"/>
    <mergeCell ref="W3734:W3735"/>
    <mergeCell ref="X3734:AB3734"/>
    <mergeCell ref="AD3734:AI3734"/>
    <mergeCell ref="AJ3734:AL3734"/>
    <mergeCell ref="AN3734:AO3734"/>
    <mergeCell ref="AP3734:AQ3734"/>
    <mergeCell ref="AR3734:AS3735"/>
    <mergeCell ref="AT3734:AU3735"/>
    <mergeCell ref="AV3734:AW3735"/>
    <mergeCell ref="AX3734:AY3735"/>
    <mergeCell ref="AZ3734:AZ3735"/>
    <mergeCell ref="F3735:H3735"/>
    <mergeCell ref="X3735:AB3735"/>
    <mergeCell ref="AE3735:AI3735"/>
    <mergeCell ref="AJ3735:AL3735"/>
    <mergeCell ref="AN3735:AO3735"/>
    <mergeCell ref="AP3735:AQ3735"/>
    <mergeCell ref="A3736:A3737"/>
    <mergeCell ref="E3736:E3737"/>
    <mergeCell ref="F3736:H3736"/>
    <mergeCell ref="J3736:J3737"/>
    <mergeCell ref="K3736:L3737"/>
    <mergeCell ref="M3736:N3737"/>
    <mergeCell ref="O3736:P3737"/>
    <mergeCell ref="Q3736:R3737"/>
    <mergeCell ref="S3736:T3737"/>
    <mergeCell ref="U3736:V3737"/>
    <mergeCell ref="W3736:W3737"/>
    <mergeCell ref="X3736:AB3736"/>
    <mergeCell ref="AD3736:AI3736"/>
    <mergeCell ref="AJ3736:AL3736"/>
    <mergeCell ref="AN3736:AO3736"/>
    <mergeCell ref="AP3736:AQ3736"/>
    <mergeCell ref="AR3736:AS3737"/>
    <mergeCell ref="AT3736:AU3737"/>
    <mergeCell ref="AV3736:AW3737"/>
    <mergeCell ref="AX3736:AY3737"/>
    <mergeCell ref="AZ3736:AZ3737"/>
    <mergeCell ref="F3737:H3737"/>
    <mergeCell ref="X3737:AB3737"/>
    <mergeCell ref="AE3737:AI3737"/>
    <mergeCell ref="AJ3737:AL3737"/>
    <mergeCell ref="AN3737:AO3737"/>
    <mergeCell ref="AP3737:AQ3737"/>
    <mergeCell ref="A3730:A3731"/>
    <mergeCell ref="E3730:E3731"/>
    <mergeCell ref="F3730:H3730"/>
    <mergeCell ref="J3730:J3731"/>
    <mergeCell ref="K3730:L3731"/>
    <mergeCell ref="M3730:N3731"/>
    <mergeCell ref="O3730:P3731"/>
    <mergeCell ref="Q3730:R3731"/>
    <mergeCell ref="S3730:T3731"/>
    <mergeCell ref="U3730:V3731"/>
    <mergeCell ref="W3730:W3731"/>
    <mergeCell ref="X3730:AB3730"/>
    <mergeCell ref="AD3730:AI3730"/>
    <mergeCell ref="AJ3730:AL3730"/>
    <mergeCell ref="AN3730:AO3730"/>
    <mergeCell ref="AP3730:AQ3730"/>
    <mergeCell ref="AR3730:AS3731"/>
    <mergeCell ref="AT3730:AU3731"/>
    <mergeCell ref="AV3730:AW3731"/>
    <mergeCell ref="AX3730:AY3731"/>
    <mergeCell ref="AZ3730:AZ3731"/>
    <mergeCell ref="F3731:H3731"/>
    <mergeCell ref="X3731:AB3731"/>
    <mergeCell ref="AE3731:AI3731"/>
    <mergeCell ref="AJ3731:AL3731"/>
    <mergeCell ref="AN3731:AO3731"/>
    <mergeCell ref="AP3731:AQ3731"/>
    <mergeCell ref="A3732:A3733"/>
    <mergeCell ref="E3732:E3733"/>
    <mergeCell ref="F3732:H3732"/>
    <mergeCell ref="J3732:J3733"/>
    <mergeCell ref="K3732:L3733"/>
    <mergeCell ref="M3732:N3733"/>
    <mergeCell ref="O3732:P3733"/>
    <mergeCell ref="Q3732:R3733"/>
    <mergeCell ref="S3732:T3733"/>
    <mergeCell ref="U3732:V3733"/>
    <mergeCell ref="W3732:W3733"/>
    <mergeCell ref="X3732:AB3732"/>
    <mergeCell ref="AD3732:AI3732"/>
    <mergeCell ref="AJ3732:AL3732"/>
    <mergeCell ref="AN3732:AO3732"/>
    <mergeCell ref="AP3732:AQ3732"/>
    <mergeCell ref="AR3732:AS3733"/>
    <mergeCell ref="AT3732:AU3733"/>
    <mergeCell ref="AV3732:AW3733"/>
    <mergeCell ref="AX3732:AY3733"/>
    <mergeCell ref="AZ3732:AZ3733"/>
    <mergeCell ref="F3733:H3733"/>
    <mergeCell ref="X3733:AB3733"/>
    <mergeCell ref="AE3733:AI3733"/>
    <mergeCell ref="AJ3733:AL3733"/>
    <mergeCell ref="AN3733:AO3733"/>
    <mergeCell ref="AP3733:AQ3733"/>
    <mergeCell ref="A3726:A3727"/>
    <mergeCell ref="E3726:E3727"/>
    <mergeCell ref="F3726:H3726"/>
    <mergeCell ref="J3726:J3727"/>
    <mergeCell ref="K3726:L3727"/>
    <mergeCell ref="M3726:N3727"/>
    <mergeCell ref="O3726:P3727"/>
    <mergeCell ref="Q3726:R3727"/>
    <mergeCell ref="S3726:T3727"/>
    <mergeCell ref="U3726:V3727"/>
    <mergeCell ref="W3726:W3727"/>
    <mergeCell ref="X3726:AB3726"/>
    <mergeCell ref="AD3726:AI3726"/>
    <mergeCell ref="AJ3726:AL3726"/>
    <mergeCell ref="AN3726:AO3726"/>
    <mergeCell ref="AP3726:AQ3726"/>
    <mergeCell ref="AR3726:AS3727"/>
    <mergeCell ref="AT3726:AU3727"/>
    <mergeCell ref="AV3726:AW3727"/>
    <mergeCell ref="AX3726:AY3727"/>
    <mergeCell ref="AZ3726:AZ3727"/>
    <mergeCell ref="F3727:H3727"/>
    <mergeCell ref="X3727:AB3727"/>
    <mergeCell ref="AE3727:AI3727"/>
    <mergeCell ref="AJ3727:AL3727"/>
    <mergeCell ref="AN3727:AO3727"/>
    <mergeCell ref="AP3727:AQ3727"/>
    <mergeCell ref="A3728:A3729"/>
    <mergeCell ref="E3728:E3729"/>
    <mergeCell ref="F3728:H3728"/>
    <mergeCell ref="J3728:J3729"/>
    <mergeCell ref="K3728:L3729"/>
    <mergeCell ref="M3728:N3729"/>
    <mergeCell ref="O3728:P3729"/>
    <mergeCell ref="Q3728:R3729"/>
    <mergeCell ref="S3728:T3729"/>
    <mergeCell ref="U3728:V3729"/>
    <mergeCell ref="W3728:W3729"/>
    <mergeCell ref="X3728:AB3728"/>
    <mergeCell ref="AD3728:AI3728"/>
    <mergeCell ref="AJ3728:AL3728"/>
    <mergeCell ref="AN3728:AO3728"/>
    <mergeCell ref="AP3728:AQ3728"/>
    <mergeCell ref="AR3728:AS3729"/>
    <mergeCell ref="AT3728:AU3729"/>
    <mergeCell ref="AV3728:AW3729"/>
    <mergeCell ref="AX3728:AY3729"/>
    <mergeCell ref="AZ3728:AZ3729"/>
    <mergeCell ref="F3729:H3729"/>
    <mergeCell ref="X3729:AB3729"/>
    <mergeCell ref="AE3729:AI3729"/>
    <mergeCell ref="AJ3729:AL3729"/>
    <mergeCell ref="AN3729:AO3729"/>
    <mergeCell ref="AP3729:AQ3729"/>
    <mergeCell ref="A3722:A3723"/>
    <mergeCell ref="E3722:E3723"/>
    <mergeCell ref="F3722:H3722"/>
    <mergeCell ref="J3722:J3723"/>
    <mergeCell ref="K3722:L3723"/>
    <mergeCell ref="M3722:N3723"/>
    <mergeCell ref="O3722:P3723"/>
    <mergeCell ref="Q3722:R3723"/>
    <mergeCell ref="S3722:T3723"/>
    <mergeCell ref="U3722:V3723"/>
    <mergeCell ref="W3722:W3723"/>
    <mergeCell ref="X3722:AB3722"/>
    <mergeCell ref="AD3722:AI3722"/>
    <mergeCell ref="AJ3722:AL3722"/>
    <mergeCell ref="AN3722:AO3722"/>
    <mergeCell ref="AP3722:AQ3722"/>
    <mergeCell ref="AR3722:AS3723"/>
    <mergeCell ref="AT3722:AU3723"/>
    <mergeCell ref="AV3722:AW3723"/>
    <mergeCell ref="AX3722:AY3723"/>
    <mergeCell ref="AZ3722:AZ3723"/>
    <mergeCell ref="F3723:H3723"/>
    <mergeCell ref="X3723:AB3723"/>
    <mergeCell ref="AE3723:AI3723"/>
    <mergeCell ref="AJ3723:AL3723"/>
    <mergeCell ref="AN3723:AO3723"/>
    <mergeCell ref="AP3723:AQ3723"/>
    <mergeCell ref="A3724:A3725"/>
    <mergeCell ref="E3724:E3725"/>
    <mergeCell ref="F3724:H3724"/>
    <mergeCell ref="J3724:J3725"/>
    <mergeCell ref="K3724:L3725"/>
    <mergeCell ref="M3724:N3725"/>
    <mergeCell ref="O3724:P3725"/>
    <mergeCell ref="Q3724:R3725"/>
    <mergeCell ref="S3724:T3725"/>
    <mergeCell ref="U3724:V3725"/>
    <mergeCell ref="W3724:W3725"/>
    <mergeCell ref="X3724:AB3724"/>
    <mergeCell ref="AD3724:AI3724"/>
    <mergeCell ref="AJ3724:AL3724"/>
    <mergeCell ref="AN3724:AO3724"/>
    <mergeCell ref="AP3724:AQ3724"/>
    <mergeCell ref="AR3724:AS3725"/>
    <mergeCell ref="AT3724:AU3725"/>
    <mergeCell ref="AV3724:AW3725"/>
    <mergeCell ref="AX3724:AY3725"/>
    <mergeCell ref="AZ3724:AZ3725"/>
    <mergeCell ref="F3725:H3725"/>
    <mergeCell ref="X3725:AB3725"/>
    <mergeCell ref="AE3725:AI3725"/>
    <mergeCell ref="AJ3725:AL3725"/>
    <mergeCell ref="AN3725:AO3725"/>
    <mergeCell ref="AP3725:AQ3725"/>
    <mergeCell ref="A3718:A3719"/>
    <mergeCell ref="E3718:E3719"/>
    <mergeCell ref="F3718:H3718"/>
    <mergeCell ref="J3718:J3719"/>
    <mergeCell ref="K3718:L3719"/>
    <mergeCell ref="M3718:N3719"/>
    <mergeCell ref="O3718:P3719"/>
    <mergeCell ref="Q3718:R3719"/>
    <mergeCell ref="S3718:T3719"/>
    <mergeCell ref="U3718:V3719"/>
    <mergeCell ref="W3718:W3719"/>
    <mergeCell ref="X3718:AB3718"/>
    <mergeCell ref="AD3718:AI3718"/>
    <mergeCell ref="AJ3718:AL3718"/>
    <mergeCell ref="AN3718:AO3718"/>
    <mergeCell ref="AP3718:AQ3718"/>
    <mergeCell ref="AR3718:AS3719"/>
    <mergeCell ref="AT3718:AU3719"/>
    <mergeCell ref="AV3718:AW3719"/>
    <mergeCell ref="AX3718:AY3719"/>
    <mergeCell ref="AZ3718:AZ3719"/>
    <mergeCell ref="F3719:H3719"/>
    <mergeCell ref="X3719:AB3719"/>
    <mergeCell ref="AE3719:AI3719"/>
    <mergeCell ref="AJ3719:AL3719"/>
    <mergeCell ref="AN3719:AO3719"/>
    <mergeCell ref="AP3719:AQ3719"/>
    <mergeCell ref="A3720:A3721"/>
    <mergeCell ref="E3720:E3721"/>
    <mergeCell ref="F3720:H3720"/>
    <mergeCell ref="J3720:J3721"/>
    <mergeCell ref="K3720:L3721"/>
    <mergeCell ref="M3720:N3721"/>
    <mergeCell ref="O3720:P3721"/>
    <mergeCell ref="Q3720:R3721"/>
    <mergeCell ref="S3720:T3721"/>
    <mergeCell ref="U3720:V3721"/>
    <mergeCell ref="W3720:W3721"/>
    <mergeCell ref="X3720:AB3720"/>
    <mergeCell ref="AD3720:AI3720"/>
    <mergeCell ref="AJ3720:AL3720"/>
    <mergeCell ref="AN3720:AO3720"/>
    <mergeCell ref="AP3720:AQ3720"/>
    <mergeCell ref="AR3720:AS3721"/>
    <mergeCell ref="AT3720:AU3721"/>
    <mergeCell ref="AV3720:AW3721"/>
    <mergeCell ref="AX3720:AY3721"/>
    <mergeCell ref="AZ3720:AZ3721"/>
    <mergeCell ref="F3721:H3721"/>
    <mergeCell ref="X3721:AB3721"/>
    <mergeCell ref="AE3721:AI3721"/>
    <mergeCell ref="AJ3721:AL3721"/>
    <mergeCell ref="AN3721:AO3721"/>
    <mergeCell ref="AP3721:AQ3721"/>
    <mergeCell ref="A3714:A3715"/>
    <mergeCell ref="E3714:E3715"/>
    <mergeCell ref="F3714:H3714"/>
    <mergeCell ref="J3714:J3715"/>
    <mergeCell ref="K3714:L3715"/>
    <mergeCell ref="M3714:N3715"/>
    <mergeCell ref="O3714:P3715"/>
    <mergeCell ref="Q3714:R3715"/>
    <mergeCell ref="S3714:T3715"/>
    <mergeCell ref="U3714:V3715"/>
    <mergeCell ref="W3714:W3715"/>
    <mergeCell ref="X3714:AB3714"/>
    <mergeCell ref="AD3714:AI3714"/>
    <mergeCell ref="AJ3714:AL3714"/>
    <mergeCell ref="AN3714:AO3714"/>
    <mergeCell ref="AP3714:AQ3714"/>
    <mergeCell ref="AR3714:AS3715"/>
    <mergeCell ref="AT3714:AU3715"/>
    <mergeCell ref="AV3714:AW3715"/>
    <mergeCell ref="AX3714:AY3715"/>
    <mergeCell ref="AZ3714:AZ3715"/>
    <mergeCell ref="F3715:H3715"/>
    <mergeCell ref="X3715:AB3715"/>
    <mergeCell ref="AE3715:AI3715"/>
    <mergeCell ref="AJ3715:AL3715"/>
    <mergeCell ref="AN3715:AO3715"/>
    <mergeCell ref="AP3715:AQ3715"/>
    <mergeCell ref="A3716:A3717"/>
    <mergeCell ref="E3716:E3717"/>
    <mergeCell ref="F3716:H3716"/>
    <mergeCell ref="J3716:J3717"/>
    <mergeCell ref="K3716:L3717"/>
    <mergeCell ref="M3716:N3717"/>
    <mergeCell ref="O3716:P3717"/>
    <mergeCell ref="Q3716:R3717"/>
    <mergeCell ref="S3716:T3717"/>
    <mergeCell ref="U3716:V3717"/>
    <mergeCell ref="W3716:W3717"/>
    <mergeCell ref="X3716:AB3716"/>
    <mergeCell ref="AD3716:AI3716"/>
    <mergeCell ref="AJ3716:AL3716"/>
    <mergeCell ref="AN3716:AO3716"/>
    <mergeCell ref="AP3716:AQ3716"/>
    <mergeCell ref="AR3716:AS3717"/>
    <mergeCell ref="AT3716:AU3717"/>
    <mergeCell ref="AV3716:AW3717"/>
    <mergeCell ref="AX3716:AY3717"/>
    <mergeCell ref="AZ3716:AZ3717"/>
    <mergeCell ref="F3717:H3717"/>
    <mergeCell ref="X3717:AB3717"/>
    <mergeCell ref="AE3717:AI3717"/>
    <mergeCell ref="AJ3717:AL3717"/>
    <mergeCell ref="AN3717:AO3717"/>
    <mergeCell ref="AP3717:AQ3717"/>
    <mergeCell ref="A3710:A3711"/>
    <mergeCell ref="E3710:E3711"/>
    <mergeCell ref="F3710:H3710"/>
    <mergeCell ref="J3710:J3711"/>
    <mergeCell ref="K3710:L3711"/>
    <mergeCell ref="M3710:N3711"/>
    <mergeCell ref="O3710:P3711"/>
    <mergeCell ref="Q3710:R3711"/>
    <mergeCell ref="S3710:T3711"/>
    <mergeCell ref="U3710:V3711"/>
    <mergeCell ref="W3710:W3711"/>
    <mergeCell ref="X3710:AB3710"/>
    <mergeCell ref="AD3710:AI3710"/>
    <mergeCell ref="AJ3710:AL3710"/>
    <mergeCell ref="AN3710:AO3710"/>
    <mergeCell ref="AP3710:AQ3710"/>
    <mergeCell ref="AR3710:AS3711"/>
    <mergeCell ref="AT3710:AU3711"/>
    <mergeCell ref="AV3710:AW3711"/>
    <mergeCell ref="AX3710:AY3711"/>
    <mergeCell ref="AZ3710:AZ3711"/>
    <mergeCell ref="F3711:H3711"/>
    <mergeCell ref="X3711:AB3711"/>
    <mergeCell ref="AE3711:AI3711"/>
    <mergeCell ref="AJ3711:AL3711"/>
    <mergeCell ref="AN3711:AO3711"/>
    <mergeCell ref="AP3711:AQ3711"/>
    <mergeCell ref="A3712:A3713"/>
    <mergeCell ref="E3712:E3713"/>
    <mergeCell ref="F3712:H3712"/>
    <mergeCell ref="J3712:J3713"/>
    <mergeCell ref="K3712:L3713"/>
    <mergeCell ref="M3712:N3713"/>
    <mergeCell ref="O3712:P3713"/>
    <mergeCell ref="Q3712:R3713"/>
    <mergeCell ref="S3712:T3713"/>
    <mergeCell ref="U3712:V3713"/>
    <mergeCell ref="W3712:W3713"/>
    <mergeCell ref="X3712:AB3712"/>
    <mergeCell ref="AD3712:AI3712"/>
    <mergeCell ref="AJ3712:AL3712"/>
    <mergeCell ref="AN3712:AO3712"/>
    <mergeCell ref="AP3712:AQ3712"/>
    <mergeCell ref="AR3712:AS3713"/>
    <mergeCell ref="AT3712:AU3713"/>
    <mergeCell ref="AV3712:AW3713"/>
    <mergeCell ref="AX3712:AY3713"/>
    <mergeCell ref="AZ3712:AZ3713"/>
    <mergeCell ref="F3713:H3713"/>
    <mergeCell ref="X3713:AB3713"/>
    <mergeCell ref="AE3713:AI3713"/>
    <mergeCell ref="AJ3713:AL3713"/>
    <mergeCell ref="AN3713:AO3713"/>
    <mergeCell ref="AP3713:AQ3713"/>
    <mergeCell ref="W3566:W3567"/>
    <mergeCell ref="X3566:AB3566"/>
    <mergeCell ref="AD3566:AI3566"/>
    <mergeCell ref="AJ3566:AL3566"/>
    <mergeCell ref="AN3566:AO3566"/>
    <mergeCell ref="AP3566:AQ3566"/>
    <mergeCell ref="AR3566:AS3567"/>
    <mergeCell ref="AT3566:AU3567"/>
    <mergeCell ref="AV3566:AW3567"/>
    <mergeCell ref="AX3566:AY3567"/>
    <mergeCell ref="AZ3566:AZ3567"/>
    <mergeCell ref="F3567:H3567"/>
    <mergeCell ref="X3567:AB3567"/>
    <mergeCell ref="AE3567:AI3567"/>
    <mergeCell ref="AJ3567:AL3567"/>
    <mergeCell ref="AN3567:AO3567"/>
    <mergeCell ref="AP3567:AQ3567"/>
    <mergeCell ref="AT3532:AU3533"/>
    <mergeCell ref="AV3532:AW3533"/>
    <mergeCell ref="AX3532:AY3533"/>
    <mergeCell ref="AZ3532:AZ3533"/>
    <mergeCell ref="F3533:H3533"/>
    <mergeCell ref="X3533:AB3533"/>
    <mergeCell ref="AE3533:AI3533"/>
    <mergeCell ref="AJ3533:AL3533"/>
    <mergeCell ref="AN3533:AO3533"/>
    <mergeCell ref="AP3533:AQ3533"/>
    <mergeCell ref="A3540:A3541"/>
    <mergeCell ref="E3540:E3541"/>
    <mergeCell ref="F3540:H3540"/>
    <mergeCell ref="J3540:J3541"/>
    <mergeCell ref="K3540:L3541"/>
    <mergeCell ref="M3540:N3541"/>
    <mergeCell ref="O3540:P3541"/>
    <mergeCell ref="Q3540:R3541"/>
    <mergeCell ref="S3540:T3541"/>
    <mergeCell ref="U3540:V3541"/>
    <mergeCell ref="W3540:W3541"/>
    <mergeCell ref="X3540:AB3540"/>
    <mergeCell ref="AD3540:AI3540"/>
    <mergeCell ref="AJ3540:AL3540"/>
    <mergeCell ref="AN3540:AO3540"/>
    <mergeCell ref="AP3540:AQ3540"/>
    <mergeCell ref="AR3540:AS3541"/>
    <mergeCell ref="AT3540:AU3541"/>
    <mergeCell ref="AV3540:AW3541"/>
    <mergeCell ref="AX3540:AY3541"/>
    <mergeCell ref="AZ3540:AZ3541"/>
    <mergeCell ref="F3541:H3541"/>
    <mergeCell ref="X3541:AB3541"/>
    <mergeCell ref="AE3541:AI3541"/>
    <mergeCell ref="AJ3541:AL3541"/>
    <mergeCell ref="AN3541:AO3541"/>
    <mergeCell ref="AP3541:AQ3541"/>
    <mergeCell ref="A3538:A3539"/>
    <mergeCell ref="E3538:E3539"/>
    <mergeCell ref="F3538:H3538"/>
    <mergeCell ref="J3538:J3539"/>
    <mergeCell ref="K3538:L3539"/>
    <mergeCell ref="M3538:N3539"/>
    <mergeCell ref="O3538:P3539"/>
    <mergeCell ref="Q3538:R3539"/>
    <mergeCell ref="S3538:T3539"/>
    <mergeCell ref="U3538:V3539"/>
    <mergeCell ref="W3538:W3539"/>
    <mergeCell ref="X3538:AB3538"/>
    <mergeCell ref="AD3538:AI3538"/>
    <mergeCell ref="AJ3538:AL3538"/>
    <mergeCell ref="AN3538:AO3538"/>
    <mergeCell ref="AP3538:AQ3538"/>
    <mergeCell ref="AR3538:AS3539"/>
    <mergeCell ref="AT3538:AU3539"/>
    <mergeCell ref="AV3538:AW3539"/>
    <mergeCell ref="AX3538:AY3539"/>
    <mergeCell ref="AZ3538:AZ3539"/>
    <mergeCell ref="F3539:H3539"/>
    <mergeCell ref="X3539:AB3539"/>
    <mergeCell ref="AE3539:AI3539"/>
    <mergeCell ref="AJ3539:AL3539"/>
    <mergeCell ref="AN3539:AO3539"/>
    <mergeCell ref="AP3539:AQ3539"/>
    <mergeCell ref="J3534:J3535"/>
    <mergeCell ref="K3534:L3535"/>
    <mergeCell ref="M3534:N3535"/>
    <mergeCell ref="O3534:P3535"/>
    <mergeCell ref="Q3534:R3535"/>
    <mergeCell ref="S3534:T3535"/>
    <mergeCell ref="U3534:V3535"/>
    <mergeCell ref="W3534:W3535"/>
    <mergeCell ref="X3534:AB3534"/>
    <mergeCell ref="AD3534:AI3534"/>
    <mergeCell ref="AJ3534:AL3534"/>
    <mergeCell ref="AN3534:AO3534"/>
    <mergeCell ref="AP3534:AQ3534"/>
    <mergeCell ref="AR3534:AS3535"/>
    <mergeCell ref="AT3534:AU3535"/>
    <mergeCell ref="AV3534:AW3535"/>
    <mergeCell ref="AX3534:AY3535"/>
    <mergeCell ref="AZ3534:AZ3535"/>
    <mergeCell ref="F3535:H3535"/>
    <mergeCell ref="X3535:AB3535"/>
    <mergeCell ref="AE3535:AI3535"/>
    <mergeCell ref="AJ3535:AL3535"/>
    <mergeCell ref="AN3535:AO3535"/>
    <mergeCell ref="AP3535:AQ3535"/>
    <mergeCell ref="A3536:A3537"/>
    <mergeCell ref="E3536:E3537"/>
    <mergeCell ref="F3536:H3536"/>
    <mergeCell ref="J3536:J3537"/>
    <mergeCell ref="K3536:L3537"/>
    <mergeCell ref="M3536:N3537"/>
    <mergeCell ref="O3536:P3537"/>
    <mergeCell ref="Q3536:R3537"/>
    <mergeCell ref="S3536:T3537"/>
    <mergeCell ref="U3536:V3537"/>
    <mergeCell ref="W3536:W3537"/>
    <mergeCell ref="X3536:AB3536"/>
    <mergeCell ref="AD3536:AI3536"/>
    <mergeCell ref="AJ3536:AL3536"/>
    <mergeCell ref="AN3536:AO3536"/>
    <mergeCell ref="AP3536:AQ3536"/>
    <mergeCell ref="AR3536:AS3537"/>
    <mergeCell ref="AT3536:AU3537"/>
    <mergeCell ref="AV3536:AW3537"/>
    <mergeCell ref="AX3536:AY3537"/>
    <mergeCell ref="AZ3536:AZ3537"/>
    <mergeCell ref="F3537:H3537"/>
    <mergeCell ref="X3537:AB3537"/>
    <mergeCell ref="AE3537:AI3537"/>
    <mergeCell ref="AJ3537:AL3537"/>
    <mergeCell ref="AN3537:AO3537"/>
    <mergeCell ref="AP3537:AQ3537"/>
    <mergeCell ref="A3528:A3529"/>
    <mergeCell ref="E3528:E3529"/>
    <mergeCell ref="F3528:H3528"/>
    <mergeCell ref="J3528:J3529"/>
    <mergeCell ref="K3528:L3529"/>
    <mergeCell ref="M3528:N3529"/>
    <mergeCell ref="O3528:P3529"/>
    <mergeCell ref="Q3528:R3529"/>
    <mergeCell ref="S3528:T3529"/>
    <mergeCell ref="U3528:V3529"/>
    <mergeCell ref="W3528:W3529"/>
    <mergeCell ref="X3528:AB3528"/>
    <mergeCell ref="AD3528:AI3528"/>
    <mergeCell ref="AJ3528:AL3528"/>
    <mergeCell ref="AN3528:AO3528"/>
    <mergeCell ref="AP3528:AQ3528"/>
    <mergeCell ref="AR3528:AS3529"/>
    <mergeCell ref="AT3528:AU3529"/>
    <mergeCell ref="AV3528:AW3529"/>
    <mergeCell ref="AX3528:AY3529"/>
    <mergeCell ref="AZ3528:AZ3529"/>
    <mergeCell ref="F3529:H3529"/>
    <mergeCell ref="X3529:AB3529"/>
    <mergeCell ref="AE3529:AI3529"/>
    <mergeCell ref="AJ3529:AL3529"/>
    <mergeCell ref="AN3529:AO3529"/>
    <mergeCell ref="AP3529:AQ3529"/>
    <mergeCell ref="A3530:A3531"/>
    <mergeCell ref="E3530:E3531"/>
    <mergeCell ref="F3530:H3530"/>
    <mergeCell ref="J3530:J3531"/>
    <mergeCell ref="K3530:L3531"/>
    <mergeCell ref="M3530:N3531"/>
    <mergeCell ref="O3530:P3531"/>
    <mergeCell ref="Q3530:R3531"/>
    <mergeCell ref="S3530:T3531"/>
    <mergeCell ref="U3530:V3531"/>
    <mergeCell ref="A3534:A3535"/>
    <mergeCell ref="E3534:E3535"/>
    <mergeCell ref="F3534:H3534"/>
    <mergeCell ref="A3532:A3533"/>
    <mergeCell ref="E3532:E3533"/>
    <mergeCell ref="F3532:H3532"/>
    <mergeCell ref="J3532:J3533"/>
    <mergeCell ref="K3532:L3533"/>
    <mergeCell ref="M3532:N3533"/>
    <mergeCell ref="O3532:P3533"/>
    <mergeCell ref="Q3532:R3533"/>
    <mergeCell ref="S3532:T3533"/>
    <mergeCell ref="U3532:V3533"/>
    <mergeCell ref="A3524:A3525"/>
    <mergeCell ref="E3524:E3525"/>
    <mergeCell ref="F3524:H3524"/>
    <mergeCell ref="J3524:J3525"/>
    <mergeCell ref="K3524:L3525"/>
    <mergeCell ref="M3524:N3525"/>
    <mergeCell ref="O3524:P3525"/>
    <mergeCell ref="Q3524:R3525"/>
    <mergeCell ref="S3524:T3525"/>
    <mergeCell ref="U3524:V3525"/>
    <mergeCell ref="W3524:W3525"/>
    <mergeCell ref="X3524:AB3524"/>
    <mergeCell ref="AD3524:AI3524"/>
    <mergeCell ref="AJ3524:AL3524"/>
    <mergeCell ref="AN3524:AO3524"/>
    <mergeCell ref="AP3524:AQ3524"/>
    <mergeCell ref="AR3524:AS3525"/>
    <mergeCell ref="AT3524:AU3525"/>
    <mergeCell ref="AV3524:AW3525"/>
    <mergeCell ref="AX3524:AY3525"/>
    <mergeCell ref="AR3530:AS3531"/>
    <mergeCell ref="AT3530:AU3531"/>
    <mergeCell ref="AV3530:AW3531"/>
    <mergeCell ref="AX3530:AY3531"/>
    <mergeCell ref="AZ3524:AZ3525"/>
    <mergeCell ref="F3525:H3525"/>
    <mergeCell ref="X3525:AB3525"/>
    <mergeCell ref="AE3525:AI3525"/>
    <mergeCell ref="AJ3525:AL3525"/>
    <mergeCell ref="AN3525:AO3525"/>
    <mergeCell ref="AP3525:AQ3525"/>
    <mergeCell ref="A3526:A3527"/>
    <mergeCell ref="E3526:E3527"/>
    <mergeCell ref="F3526:H3526"/>
    <mergeCell ref="J3526:J3527"/>
    <mergeCell ref="K3526:L3527"/>
    <mergeCell ref="M3526:N3527"/>
    <mergeCell ref="O3526:P3527"/>
    <mergeCell ref="Q3526:R3527"/>
    <mergeCell ref="S3526:T3527"/>
    <mergeCell ref="U3526:V3527"/>
    <mergeCell ref="W3526:W3527"/>
    <mergeCell ref="X3526:AB3526"/>
    <mergeCell ref="AD3526:AI3526"/>
    <mergeCell ref="AJ3526:AL3526"/>
    <mergeCell ref="AN3526:AO3526"/>
    <mergeCell ref="AP3526:AQ3526"/>
    <mergeCell ref="AR3526:AS3527"/>
    <mergeCell ref="W3532:W3533"/>
    <mergeCell ref="X3532:AB3532"/>
    <mergeCell ref="AD3532:AI3532"/>
    <mergeCell ref="AJ3532:AL3532"/>
    <mergeCell ref="AN3532:AO3532"/>
    <mergeCell ref="AP3532:AQ3532"/>
    <mergeCell ref="AR3532:AS3533"/>
    <mergeCell ref="A3518:A3519"/>
    <mergeCell ref="E3518:E3519"/>
    <mergeCell ref="F3518:H3518"/>
    <mergeCell ref="J3518:J3519"/>
    <mergeCell ref="K3518:L3519"/>
    <mergeCell ref="M3518:N3519"/>
    <mergeCell ref="O3518:P3519"/>
    <mergeCell ref="Q3518:R3519"/>
    <mergeCell ref="S3518:T3519"/>
    <mergeCell ref="U3518:V3519"/>
    <mergeCell ref="W3518:W3519"/>
    <mergeCell ref="X3518:AB3518"/>
    <mergeCell ref="AD3518:AI3518"/>
    <mergeCell ref="AJ3518:AL3518"/>
    <mergeCell ref="AN3518:AO3518"/>
    <mergeCell ref="AP3518:AQ3518"/>
    <mergeCell ref="AR3518:AS3519"/>
    <mergeCell ref="AT3518:AU3519"/>
    <mergeCell ref="AV3518:AW3519"/>
    <mergeCell ref="AX3518:AY3519"/>
    <mergeCell ref="AZ3518:AZ3519"/>
    <mergeCell ref="F3519:H3519"/>
    <mergeCell ref="X3519:AB3519"/>
    <mergeCell ref="AE3519:AI3519"/>
    <mergeCell ref="AJ3519:AL3519"/>
    <mergeCell ref="AN3519:AO3519"/>
    <mergeCell ref="AP3519:AQ3519"/>
    <mergeCell ref="W3530:W3531"/>
    <mergeCell ref="X3530:AB3530"/>
    <mergeCell ref="AD3530:AI3530"/>
    <mergeCell ref="AJ3530:AL3530"/>
    <mergeCell ref="AN3530:AO3530"/>
    <mergeCell ref="AP3530:AQ3530"/>
    <mergeCell ref="AZ3530:AZ3531"/>
    <mergeCell ref="F3531:H3531"/>
    <mergeCell ref="X3531:AB3531"/>
    <mergeCell ref="AE3531:AI3531"/>
    <mergeCell ref="AJ3531:AL3531"/>
    <mergeCell ref="AN3531:AO3531"/>
    <mergeCell ref="AP3531:AQ3531"/>
    <mergeCell ref="W3522:W3523"/>
    <mergeCell ref="X3522:AB3522"/>
    <mergeCell ref="AD3522:AI3522"/>
    <mergeCell ref="AJ3522:AL3522"/>
    <mergeCell ref="AN3522:AO3522"/>
    <mergeCell ref="AP3522:AQ3522"/>
    <mergeCell ref="AR3522:AS3523"/>
    <mergeCell ref="AT3522:AU3523"/>
    <mergeCell ref="AV3522:AW3523"/>
    <mergeCell ref="AX3522:AY3523"/>
    <mergeCell ref="AZ3522:AZ3523"/>
    <mergeCell ref="F3523:H3523"/>
    <mergeCell ref="X3523:AB3523"/>
    <mergeCell ref="A3514:A3515"/>
    <mergeCell ref="E3514:E3515"/>
    <mergeCell ref="F3514:H3514"/>
    <mergeCell ref="J3514:J3515"/>
    <mergeCell ref="K3514:L3515"/>
    <mergeCell ref="M3514:N3515"/>
    <mergeCell ref="O3514:P3515"/>
    <mergeCell ref="Q3514:R3515"/>
    <mergeCell ref="S3514:T3515"/>
    <mergeCell ref="U3514:V3515"/>
    <mergeCell ref="W3514:W3515"/>
    <mergeCell ref="X3514:AB3514"/>
    <mergeCell ref="AD3514:AI3514"/>
    <mergeCell ref="AJ3514:AL3514"/>
    <mergeCell ref="AN3514:AO3514"/>
    <mergeCell ref="AP3514:AQ3514"/>
    <mergeCell ref="AR3514:AS3515"/>
    <mergeCell ref="AT3514:AU3515"/>
    <mergeCell ref="AV3514:AW3515"/>
    <mergeCell ref="AX3514:AY3515"/>
    <mergeCell ref="AZ3514:AZ3515"/>
    <mergeCell ref="F3515:H3515"/>
    <mergeCell ref="X3515:AB3515"/>
    <mergeCell ref="AE3515:AI3515"/>
    <mergeCell ref="AJ3515:AL3515"/>
    <mergeCell ref="AN3515:AO3515"/>
    <mergeCell ref="AP3515:AQ3515"/>
    <mergeCell ref="AT3526:AU3527"/>
    <mergeCell ref="AV3526:AW3527"/>
    <mergeCell ref="AX3526:AY3527"/>
    <mergeCell ref="AZ3526:AZ3527"/>
    <mergeCell ref="F3527:H3527"/>
    <mergeCell ref="X3527:AB3527"/>
    <mergeCell ref="AE3527:AI3527"/>
    <mergeCell ref="AJ3527:AL3527"/>
    <mergeCell ref="AN3527:AO3527"/>
    <mergeCell ref="AP3527:AQ3527"/>
    <mergeCell ref="A3516:A3517"/>
    <mergeCell ref="E3516:E3517"/>
    <mergeCell ref="F3516:H3516"/>
    <mergeCell ref="J3516:J3517"/>
    <mergeCell ref="K3516:L3517"/>
    <mergeCell ref="M3516:N3517"/>
    <mergeCell ref="O3516:P3517"/>
    <mergeCell ref="Q3516:R3517"/>
    <mergeCell ref="S3516:T3517"/>
    <mergeCell ref="U3516:V3517"/>
    <mergeCell ref="W3516:W3517"/>
    <mergeCell ref="X3516:AB3516"/>
    <mergeCell ref="AD3516:AI3516"/>
    <mergeCell ref="AJ3516:AL3516"/>
    <mergeCell ref="AN3516:AO3516"/>
    <mergeCell ref="AP3516:AQ3516"/>
    <mergeCell ref="AR3516:AS3517"/>
    <mergeCell ref="AT3516:AU3517"/>
    <mergeCell ref="AV3516:AW3517"/>
    <mergeCell ref="AX3516:AY3517"/>
    <mergeCell ref="AZ3516:AZ3517"/>
    <mergeCell ref="F3517:H3517"/>
    <mergeCell ref="X3517:AB3517"/>
    <mergeCell ref="AE3517:AI3517"/>
    <mergeCell ref="AJ3517:AL3517"/>
    <mergeCell ref="AN3517:AO3517"/>
    <mergeCell ref="AP3517:AQ3517"/>
    <mergeCell ref="A3510:A3511"/>
    <mergeCell ref="E3510:E3511"/>
    <mergeCell ref="F3510:H3510"/>
    <mergeCell ref="J3510:J3511"/>
    <mergeCell ref="K3510:L3511"/>
    <mergeCell ref="M3510:N3511"/>
    <mergeCell ref="O3510:P3511"/>
    <mergeCell ref="Q3510:R3511"/>
    <mergeCell ref="S3510:T3511"/>
    <mergeCell ref="U3510:V3511"/>
    <mergeCell ref="W3510:W3511"/>
    <mergeCell ref="X3510:AB3510"/>
    <mergeCell ref="AD3510:AI3510"/>
    <mergeCell ref="AJ3510:AL3510"/>
    <mergeCell ref="AN3510:AO3510"/>
    <mergeCell ref="AP3510:AQ3510"/>
    <mergeCell ref="AR3510:AS3511"/>
    <mergeCell ref="AT3510:AU3511"/>
    <mergeCell ref="AV3510:AW3511"/>
    <mergeCell ref="AX3510:AY3511"/>
    <mergeCell ref="AZ3510:AZ3511"/>
    <mergeCell ref="F3511:H3511"/>
    <mergeCell ref="X3511:AB3511"/>
    <mergeCell ref="AE3511:AI3511"/>
    <mergeCell ref="AJ3511:AL3511"/>
    <mergeCell ref="AN3511:AO3511"/>
    <mergeCell ref="AP3511:AQ3511"/>
    <mergeCell ref="A3512:A3513"/>
    <mergeCell ref="E3512:E3513"/>
    <mergeCell ref="F3512:H3512"/>
    <mergeCell ref="J3512:J3513"/>
    <mergeCell ref="K3512:L3513"/>
    <mergeCell ref="M3512:N3513"/>
    <mergeCell ref="O3512:P3513"/>
    <mergeCell ref="Q3512:R3513"/>
    <mergeCell ref="S3512:T3513"/>
    <mergeCell ref="U3512:V3513"/>
    <mergeCell ref="W3512:W3513"/>
    <mergeCell ref="X3512:AB3512"/>
    <mergeCell ref="AD3512:AI3512"/>
    <mergeCell ref="AJ3512:AL3512"/>
    <mergeCell ref="AN3512:AO3512"/>
    <mergeCell ref="AP3512:AQ3512"/>
    <mergeCell ref="AR3512:AS3513"/>
    <mergeCell ref="AT3512:AU3513"/>
    <mergeCell ref="AV3512:AW3513"/>
    <mergeCell ref="AX3512:AY3513"/>
    <mergeCell ref="AZ3512:AZ3513"/>
    <mergeCell ref="F3513:H3513"/>
    <mergeCell ref="X3513:AB3513"/>
    <mergeCell ref="AE3513:AI3513"/>
    <mergeCell ref="AJ3513:AL3513"/>
    <mergeCell ref="AN3513:AO3513"/>
    <mergeCell ref="AP3513:AQ3513"/>
    <mergeCell ref="A3508:A3509"/>
    <mergeCell ref="E3508:E3509"/>
    <mergeCell ref="F3508:H3508"/>
    <mergeCell ref="J3508:J3509"/>
    <mergeCell ref="K3508:L3509"/>
    <mergeCell ref="M3508:N3509"/>
    <mergeCell ref="O3508:P3509"/>
    <mergeCell ref="Q3508:R3509"/>
    <mergeCell ref="S3508:T3509"/>
    <mergeCell ref="U3508:V3509"/>
    <mergeCell ref="W3508:W3509"/>
    <mergeCell ref="X3508:AB3508"/>
    <mergeCell ref="AD3508:AI3508"/>
    <mergeCell ref="AJ3508:AL3508"/>
    <mergeCell ref="AN3508:AO3508"/>
    <mergeCell ref="AP3508:AQ3508"/>
    <mergeCell ref="AR3508:AS3509"/>
    <mergeCell ref="AT3508:AU3509"/>
    <mergeCell ref="AV3508:AW3509"/>
    <mergeCell ref="AX3508:AY3509"/>
    <mergeCell ref="AZ3508:AZ3509"/>
    <mergeCell ref="F3509:H3509"/>
    <mergeCell ref="X3509:AB3509"/>
    <mergeCell ref="AE3509:AI3509"/>
    <mergeCell ref="AJ3509:AL3509"/>
    <mergeCell ref="AN3509:AO3509"/>
    <mergeCell ref="AP3509:AQ3509"/>
    <mergeCell ref="A3506:A3507"/>
    <mergeCell ref="E3506:E3507"/>
    <mergeCell ref="F3506:H3506"/>
    <mergeCell ref="J3506:J3507"/>
    <mergeCell ref="K3506:L3507"/>
    <mergeCell ref="M3506:N3507"/>
    <mergeCell ref="O3506:P3507"/>
    <mergeCell ref="Q3506:R3507"/>
    <mergeCell ref="S3506:T3507"/>
    <mergeCell ref="U3506:V3507"/>
    <mergeCell ref="O3500:P3501"/>
    <mergeCell ref="Q3500:R3501"/>
    <mergeCell ref="S3500:T3501"/>
    <mergeCell ref="U3500:V3501"/>
    <mergeCell ref="W3500:W3501"/>
    <mergeCell ref="X3500:AB3500"/>
    <mergeCell ref="AD3500:AI3500"/>
    <mergeCell ref="AJ3500:AL3500"/>
    <mergeCell ref="AN3500:AO3500"/>
    <mergeCell ref="AP3500:AQ3500"/>
    <mergeCell ref="AR3500:AS3501"/>
    <mergeCell ref="AT3500:AU3501"/>
    <mergeCell ref="AV3500:AW3501"/>
    <mergeCell ref="AX3500:AY3501"/>
    <mergeCell ref="AZ3500:AZ3501"/>
    <mergeCell ref="F3501:H3501"/>
    <mergeCell ref="X3501:AB3501"/>
    <mergeCell ref="AE3501:AI3501"/>
    <mergeCell ref="AJ3501:AL3501"/>
    <mergeCell ref="AN3501:AO3501"/>
    <mergeCell ref="AP3501:AQ3501"/>
    <mergeCell ref="A3502:A3503"/>
    <mergeCell ref="E3502:E3503"/>
    <mergeCell ref="F3502:H3502"/>
    <mergeCell ref="J3502:J3503"/>
    <mergeCell ref="K3502:L3503"/>
    <mergeCell ref="M3502:N3503"/>
    <mergeCell ref="O3502:P3503"/>
    <mergeCell ref="Q3502:R3503"/>
    <mergeCell ref="S3502:T3503"/>
    <mergeCell ref="U3502:V3503"/>
    <mergeCell ref="W3502:W3503"/>
    <mergeCell ref="X3502:AB3502"/>
    <mergeCell ref="AD3502:AI3502"/>
    <mergeCell ref="AJ3502:AL3502"/>
    <mergeCell ref="AN3502:AO3502"/>
    <mergeCell ref="AP3502:AQ3502"/>
    <mergeCell ref="AR3502:AS3503"/>
    <mergeCell ref="AT3502:AU3503"/>
    <mergeCell ref="AV3502:AW3503"/>
    <mergeCell ref="AX3502:AY3503"/>
    <mergeCell ref="AZ3502:AZ3503"/>
    <mergeCell ref="F3503:H3503"/>
    <mergeCell ref="X3503:AB3503"/>
    <mergeCell ref="AE3503:AI3503"/>
    <mergeCell ref="AJ3503:AL3503"/>
    <mergeCell ref="AN3503:AO3503"/>
    <mergeCell ref="AP3503:AQ3503"/>
    <mergeCell ref="AJ3504:AL3504"/>
    <mergeCell ref="AN3504:AO3504"/>
    <mergeCell ref="AP3504:AQ3504"/>
    <mergeCell ref="AR3504:AS3505"/>
    <mergeCell ref="AT3504:AU3505"/>
    <mergeCell ref="AV3504:AW3505"/>
    <mergeCell ref="A3484:A3485"/>
    <mergeCell ref="E3484:E3485"/>
    <mergeCell ref="F3484:H3484"/>
    <mergeCell ref="J3484:J3485"/>
    <mergeCell ref="K3484:L3485"/>
    <mergeCell ref="M3484:N3485"/>
    <mergeCell ref="O3484:P3485"/>
    <mergeCell ref="Q3484:R3485"/>
    <mergeCell ref="S3484:T3485"/>
    <mergeCell ref="U3484:V3485"/>
    <mergeCell ref="W3484:W3485"/>
    <mergeCell ref="X3484:AB3484"/>
    <mergeCell ref="AD3484:AI3484"/>
    <mergeCell ref="AJ3484:AL3484"/>
    <mergeCell ref="AN3484:AO3484"/>
    <mergeCell ref="AP3484:AQ3484"/>
    <mergeCell ref="AR3484:AS3485"/>
    <mergeCell ref="AT3484:AU3485"/>
    <mergeCell ref="AV3484:AW3485"/>
    <mergeCell ref="AX3484:AY3485"/>
    <mergeCell ref="AZ3484:AZ3485"/>
    <mergeCell ref="F3485:H3485"/>
    <mergeCell ref="X3485:AB3485"/>
    <mergeCell ref="AE3485:AI3485"/>
    <mergeCell ref="AJ3485:AL3485"/>
    <mergeCell ref="AN3485:AO3485"/>
    <mergeCell ref="AP3485:AQ3485"/>
    <mergeCell ref="A3494:A3495"/>
    <mergeCell ref="E3494:E3495"/>
    <mergeCell ref="F3494:H3494"/>
    <mergeCell ref="J3494:J3495"/>
    <mergeCell ref="K3494:L3495"/>
    <mergeCell ref="M3494:N3495"/>
    <mergeCell ref="O3494:P3495"/>
    <mergeCell ref="Q3494:R3495"/>
    <mergeCell ref="S3494:T3495"/>
    <mergeCell ref="U3494:V3495"/>
    <mergeCell ref="W3494:W3495"/>
    <mergeCell ref="X3494:AB3494"/>
    <mergeCell ref="AD3494:AI3494"/>
    <mergeCell ref="AJ3494:AL3494"/>
    <mergeCell ref="AN3494:AO3494"/>
    <mergeCell ref="AP3494:AQ3494"/>
    <mergeCell ref="AR3494:AS3495"/>
    <mergeCell ref="AT3494:AU3495"/>
    <mergeCell ref="AV3494:AW3495"/>
    <mergeCell ref="AX3494:AY3495"/>
    <mergeCell ref="AZ3494:AZ3495"/>
    <mergeCell ref="F3495:H3495"/>
    <mergeCell ref="X3495:AB3495"/>
    <mergeCell ref="AE3495:AI3495"/>
    <mergeCell ref="AJ3495:AL3495"/>
    <mergeCell ref="AN3495:AO3495"/>
    <mergeCell ref="AP3495:AQ3495"/>
    <mergeCell ref="A3492:A3493"/>
    <mergeCell ref="E3492:E3493"/>
    <mergeCell ref="F3492:H3492"/>
    <mergeCell ref="J3492:J3493"/>
    <mergeCell ref="K3492:L3493"/>
    <mergeCell ref="M3492:N3493"/>
    <mergeCell ref="O3492:P3493"/>
    <mergeCell ref="Q3492:R3493"/>
    <mergeCell ref="S3492:T3493"/>
    <mergeCell ref="U3492:V3493"/>
    <mergeCell ref="A3480:A3481"/>
    <mergeCell ref="E3480:E3481"/>
    <mergeCell ref="F3480:H3480"/>
    <mergeCell ref="J3480:J3481"/>
    <mergeCell ref="K3480:L3481"/>
    <mergeCell ref="M3480:N3481"/>
    <mergeCell ref="O3480:P3481"/>
    <mergeCell ref="Q3480:R3481"/>
    <mergeCell ref="S3480:T3481"/>
    <mergeCell ref="U3480:V3481"/>
    <mergeCell ref="W3480:W3481"/>
    <mergeCell ref="X3480:AB3480"/>
    <mergeCell ref="AD3480:AI3480"/>
    <mergeCell ref="AJ3480:AL3480"/>
    <mergeCell ref="AN3480:AO3480"/>
    <mergeCell ref="AP3480:AQ3480"/>
    <mergeCell ref="AR3480:AS3481"/>
    <mergeCell ref="AT3480:AU3481"/>
    <mergeCell ref="AV3480:AW3481"/>
    <mergeCell ref="AX3480:AY3481"/>
    <mergeCell ref="AZ3480:AZ3481"/>
    <mergeCell ref="F3481:H3481"/>
    <mergeCell ref="X3481:AB3481"/>
    <mergeCell ref="AE3481:AI3481"/>
    <mergeCell ref="AJ3481:AL3481"/>
    <mergeCell ref="AN3481:AO3481"/>
    <mergeCell ref="AP3481:AQ3481"/>
    <mergeCell ref="A3482:A3483"/>
    <mergeCell ref="E3482:E3483"/>
    <mergeCell ref="F3482:H3482"/>
    <mergeCell ref="J3482:J3483"/>
    <mergeCell ref="K3482:L3483"/>
    <mergeCell ref="M3482:N3483"/>
    <mergeCell ref="O3482:P3483"/>
    <mergeCell ref="Q3482:R3483"/>
    <mergeCell ref="S3482:T3483"/>
    <mergeCell ref="U3482:V3483"/>
    <mergeCell ref="W3482:W3483"/>
    <mergeCell ref="X3482:AB3482"/>
    <mergeCell ref="AD3482:AI3482"/>
    <mergeCell ref="AJ3482:AL3482"/>
    <mergeCell ref="AN3482:AO3482"/>
    <mergeCell ref="AP3482:AQ3482"/>
    <mergeCell ref="AR3482:AS3483"/>
    <mergeCell ref="AT3482:AU3483"/>
    <mergeCell ref="AV3482:AW3483"/>
    <mergeCell ref="AX3482:AY3483"/>
    <mergeCell ref="AZ3482:AZ3483"/>
    <mergeCell ref="F3483:H3483"/>
    <mergeCell ref="X3483:AB3483"/>
    <mergeCell ref="AE3483:AI3483"/>
    <mergeCell ref="AJ3483:AL3483"/>
    <mergeCell ref="AN3483:AO3483"/>
    <mergeCell ref="AP3483:AQ3483"/>
    <mergeCell ref="A3476:A3477"/>
    <mergeCell ref="E3476:E3477"/>
    <mergeCell ref="F3476:H3476"/>
    <mergeCell ref="J3476:J3477"/>
    <mergeCell ref="K3476:L3477"/>
    <mergeCell ref="M3476:N3477"/>
    <mergeCell ref="O3476:P3477"/>
    <mergeCell ref="Q3476:R3477"/>
    <mergeCell ref="S3476:T3477"/>
    <mergeCell ref="U3476:V3477"/>
    <mergeCell ref="W3476:W3477"/>
    <mergeCell ref="X3476:AB3476"/>
    <mergeCell ref="AD3476:AI3476"/>
    <mergeCell ref="AJ3476:AL3476"/>
    <mergeCell ref="AN3476:AO3476"/>
    <mergeCell ref="AP3476:AQ3476"/>
    <mergeCell ref="AR3476:AS3477"/>
    <mergeCell ref="AT3476:AU3477"/>
    <mergeCell ref="AV3476:AW3477"/>
    <mergeCell ref="AX3476:AY3477"/>
    <mergeCell ref="AZ3476:AZ3477"/>
    <mergeCell ref="F3477:H3477"/>
    <mergeCell ref="X3477:AB3477"/>
    <mergeCell ref="AE3477:AI3477"/>
    <mergeCell ref="AJ3477:AL3477"/>
    <mergeCell ref="AN3477:AO3477"/>
    <mergeCell ref="AP3477:AQ3477"/>
    <mergeCell ref="A3478:A3479"/>
    <mergeCell ref="E3478:E3479"/>
    <mergeCell ref="F3478:H3478"/>
    <mergeCell ref="J3478:J3479"/>
    <mergeCell ref="K3478:L3479"/>
    <mergeCell ref="M3478:N3479"/>
    <mergeCell ref="O3478:P3479"/>
    <mergeCell ref="Q3478:R3479"/>
    <mergeCell ref="S3478:T3479"/>
    <mergeCell ref="U3478:V3479"/>
    <mergeCell ref="W3478:W3479"/>
    <mergeCell ref="X3478:AB3478"/>
    <mergeCell ref="AD3478:AI3478"/>
    <mergeCell ref="AJ3478:AL3478"/>
    <mergeCell ref="AN3478:AO3478"/>
    <mergeCell ref="AP3478:AQ3478"/>
    <mergeCell ref="AR3478:AS3479"/>
    <mergeCell ref="AT3478:AU3479"/>
    <mergeCell ref="AV3478:AW3479"/>
    <mergeCell ref="AX3478:AY3479"/>
    <mergeCell ref="AZ3478:AZ3479"/>
    <mergeCell ref="F3479:H3479"/>
    <mergeCell ref="X3479:AB3479"/>
    <mergeCell ref="AE3479:AI3479"/>
    <mergeCell ref="AJ3479:AL3479"/>
    <mergeCell ref="AN3479:AO3479"/>
    <mergeCell ref="AP3479:AQ3479"/>
    <mergeCell ref="A3472:A3473"/>
    <mergeCell ref="E3472:E3473"/>
    <mergeCell ref="F3472:H3472"/>
    <mergeCell ref="J3472:J3473"/>
    <mergeCell ref="K3472:L3473"/>
    <mergeCell ref="M3472:N3473"/>
    <mergeCell ref="O3472:P3473"/>
    <mergeCell ref="Q3472:R3473"/>
    <mergeCell ref="S3472:T3473"/>
    <mergeCell ref="U3472:V3473"/>
    <mergeCell ref="W3472:W3473"/>
    <mergeCell ref="X3472:AB3472"/>
    <mergeCell ref="AD3472:AI3472"/>
    <mergeCell ref="AJ3472:AL3472"/>
    <mergeCell ref="AN3472:AO3472"/>
    <mergeCell ref="AP3472:AQ3472"/>
    <mergeCell ref="AR3472:AS3473"/>
    <mergeCell ref="AT3472:AU3473"/>
    <mergeCell ref="AV3472:AW3473"/>
    <mergeCell ref="AX3472:AY3473"/>
    <mergeCell ref="AZ3472:AZ3473"/>
    <mergeCell ref="F3473:H3473"/>
    <mergeCell ref="X3473:AB3473"/>
    <mergeCell ref="AE3473:AI3473"/>
    <mergeCell ref="AJ3473:AL3473"/>
    <mergeCell ref="AN3473:AO3473"/>
    <mergeCell ref="AP3473:AQ3473"/>
    <mergeCell ref="A3474:A3475"/>
    <mergeCell ref="E3474:E3475"/>
    <mergeCell ref="F3474:H3474"/>
    <mergeCell ref="J3474:J3475"/>
    <mergeCell ref="K3474:L3475"/>
    <mergeCell ref="M3474:N3475"/>
    <mergeCell ref="O3474:P3475"/>
    <mergeCell ref="Q3474:R3475"/>
    <mergeCell ref="S3474:T3475"/>
    <mergeCell ref="U3474:V3475"/>
    <mergeCell ref="W3474:W3475"/>
    <mergeCell ref="X3474:AB3474"/>
    <mergeCell ref="AD3474:AI3474"/>
    <mergeCell ref="AJ3474:AL3474"/>
    <mergeCell ref="AN3474:AO3474"/>
    <mergeCell ref="AP3474:AQ3474"/>
    <mergeCell ref="AR3474:AS3475"/>
    <mergeCell ref="AT3474:AU3475"/>
    <mergeCell ref="AV3474:AW3475"/>
    <mergeCell ref="AX3474:AY3475"/>
    <mergeCell ref="AZ3474:AZ3475"/>
    <mergeCell ref="F3475:H3475"/>
    <mergeCell ref="X3475:AB3475"/>
    <mergeCell ref="AE3475:AI3475"/>
    <mergeCell ref="AJ3475:AL3475"/>
    <mergeCell ref="AN3475:AO3475"/>
    <mergeCell ref="AP3475:AQ3475"/>
    <mergeCell ref="A3468:A3469"/>
    <mergeCell ref="E3468:E3469"/>
    <mergeCell ref="F3468:H3468"/>
    <mergeCell ref="J3468:J3469"/>
    <mergeCell ref="K3468:L3469"/>
    <mergeCell ref="M3468:N3469"/>
    <mergeCell ref="O3468:P3469"/>
    <mergeCell ref="Q3468:R3469"/>
    <mergeCell ref="S3468:T3469"/>
    <mergeCell ref="U3468:V3469"/>
    <mergeCell ref="W3468:W3469"/>
    <mergeCell ref="X3468:AB3468"/>
    <mergeCell ref="AD3468:AI3468"/>
    <mergeCell ref="AJ3468:AL3468"/>
    <mergeCell ref="AN3468:AO3468"/>
    <mergeCell ref="AP3468:AQ3468"/>
    <mergeCell ref="AR3468:AS3469"/>
    <mergeCell ref="AT3468:AU3469"/>
    <mergeCell ref="AV3468:AW3469"/>
    <mergeCell ref="AX3468:AY3469"/>
    <mergeCell ref="AZ3468:AZ3469"/>
    <mergeCell ref="F3469:H3469"/>
    <mergeCell ref="X3469:AB3469"/>
    <mergeCell ref="AE3469:AI3469"/>
    <mergeCell ref="AJ3469:AL3469"/>
    <mergeCell ref="AN3469:AO3469"/>
    <mergeCell ref="AP3469:AQ3469"/>
    <mergeCell ref="A3470:A3471"/>
    <mergeCell ref="E3470:E3471"/>
    <mergeCell ref="F3470:H3470"/>
    <mergeCell ref="J3470:J3471"/>
    <mergeCell ref="K3470:L3471"/>
    <mergeCell ref="M3470:N3471"/>
    <mergeCell ref="O3470:P3471"/>
    <mergeCell ref="Q3470:R3471"/>
    <mergeCell ref="S3470:T3471"/>
    <mergeCell ref="U3470:V3471"/>
    <mergeCell ref="W3470:W3471"/>
    <mergeCell ref="X3470:AB3470"/>
    <mergeCell ref="AD3470:AI3470"/>
    <mergeCell ref="AJ3470:AL3470"/>
    <mergeCell ref="AN3470:AO3470"/>
    <mergeCell ref="AP3470:AQ3470"/>
    <mergeCell ref="AR3470:AS3471"/>
    <mergeCell ref="AT3470:AU3471"/>
    <mergeCell ref="AV3470:AW3471"/>
    <mergeCell ref="AX3470:AY3471"/>
    <mergeCell ref="AZ3470:AZ3471"/>
    <mergeCell ref="F3471:H3471"/>
    <mergeCell ref="X3471:AB3471"/>
    <mergeCell ref="AE3471:AI3471"/>
    <mergeCell ref="AJ3471:AL3471"/>
    <mergeCell ref="AN3471:AO3471"/>
    <mergeCell ref="AP3471:AQ3471"/>
    <mergeCell ref="A3466:A3467"/>
    <mergeCell ref="E3466:E3467"/>
    <mergeCell ref="F3466:H3466"/>
    <mergeCell ref="J3466:J3467"/>
    <mergeCell ref="K3466:L3467"/>
    <mergeCell ref="M3466:N3467"/>
    <mergeCell ref="O3466:P3467"/>
    <mergeCell ref="Q3466:R3467"/>
    <mergeCell ref="S3466:T3467"/>
    <mergeCell ref="U3466:V3467"/>
    <mergeCell ref="W3466:W3467"/>
    <mergeCell ref="X3466:AB3466"/>
    <mergeCell ref="AD3466:AI3466"/>
    <mergeCell ref="AJ3466:AL3466"/>
    <mergeCell ref="AN3466:AO3466"/>
    <mergeCell ref="AP3466:AQ3466"/>
    <mergeCell ref="AR3466:AS3467"/>
    <mergeCell ref="AT3466:AU3467"/>
    <mergeCell ref="AV3466:AW3467"/>
    <mergeCell ref="AX3466:AY3467"/>
    <mergeCell ref="AZ3466:AZ3467"/>
    <mergeCell ref="F3467:H3467"/>
    <mergeCell ref="X3467:AB3467"/>
    <mergeCell ref="AE3467:AI3467"/>
    <mergeCell ref="AJ3467:AL3467"/>
    <mergeCell ref="AN3467:AO3467"/>
    <mergeCell ref="AP3467:AQ3467"/>
    <mergeCell ref="A3408:A3409"/>
    <mergeCell ref="E3408:E3409"/>
    <mergeCell ref="F3408:H3408"/>
    <mergeCell ref="J3408:J3409"/>
    <mergeCell ref="K3408:L3409"/>
    <mergeCell ref="M3408:N3409"/>
    <mergeCell ref="O3408:P3409"/>
    <mergeCell ref="Q3408:R3409"/>
    <mergeCell ref="S3408:T3409"/>
    <mergeCell ref="U3408:V3409"/>
    <mergeCell ref="W3408:W3409"/>
    <mergeCell ref="X3408:AB3408"/>
    <mergeCell ref="AD3408:AI3408"/>
    <mergeCell ref="AJ3408:AL3408"/>
    <mergeCell ref="AN3408:AO3408"/>
    <mergeCell ref="AP3408:AQ3408"/>
    <mergeCell ref="AR3408:AS3409"/>
    <mergeCell ref="AT3408:AU3409"/>
    <mergeCell ref="AV3408:AW3409"/>
    <mergeCell ref="AX3408:AY3409"/>
    <mergeCell ref="AZ3408:AZ3409"/>
    <mergeCell ref="F3409:H3409"/>
    <mergeCell ref="X3409:AB3409"/>
    <mergeCell ref="AE3409:AI3409"/>
    <mergeCell ref="AJ3409:AL3409"/>
    <mergeCell ref="AN3409:AO3409"/>
    <mergeCell ref="AP3409:AQ3409"/>
    <mergeCell ref="A3410:A3411"/>
    <mergeCell ref="E3410:E3411"/>
    <mergeCell ref="F3410:H3410"/>
    <mergeCell ref="J3410:J3411"/>
    <mergeCell ref="K3410:L3411"/>
    <mergeCell ref="M3410:N3411"/>
    <mergeCell ref="O3410:P3411"/>
    <mergeCell ref="Q3410:R3411"/>
    <mergeCell ref="S3410:T3411"/>
    <mergeCell ref="U3410:V3411"/>
    <mergeCell ref="A3404:A3405"/>
    <mergeCell ref="E3404:E3405"/>
    <mergeCell ref="F3404:H3404"/>
    <mergeCell ref="J3404:J3405"/>
    <mergeCell ref="K3404:L3405"/>
    <mergeCell ref="M3404:N3405"/>
    <mergeCell ref="O3404:P3405"/>
    <mergeCell ref="Q3404:R3405"/>
    <mergeCell ref="S3404:T3405"/>
    <mergeCell ref="U3404:V3405"/>
    <mergeCell ref="W3404:W3405"/>
    <mergeCell ref="X3404:AB3404"/>
    <mergeCell ref="AD3404:AI3404"/>
    <mergeCell ref="AJ3404:AL3404"/>
    <mergeCell ref="AN3404:AO3404"/>
    <mergeCell ref="AP3404:AQ3404"/>
    <mergeCell ref="AR3404:AS3405"/>
    <mergeCell ref="AT3404:AU3405"/>
    <mergeCell ref="AV3404:AW3405"/>
    <mergeCell ref="AX3404:AY3405"/>
    <mergeCell ref="AZ3404:AZ3405"/>
    <mergeCell ref="F3405:H3405"/>
    <mergeCell ref="X3405:AB3405"/>
    <mergeCell ref="AE3405:AI3405"/>
    <mergeCell ref="AJ3405:AL3405"/>
    <mergeCell ref="AN3405:AO3405"/>
    <mergeCell ref="AP3405:AQ3405"/>
    <mergeCell ref="A3406:A3407"/>
    <mergeCell ref="E3406:E3407"/>
    <mergeCell ref="F3406:H3406"/>
    <mergeCell ref="J3406:J3407"/>
    <mergeCell ref="K3406:L3407"/>
    <mergeCell ref="M3406:N3407"/>
    <mergeCell ref="O3406:P3407"/>
    <mergeCell ref="Q3406:R3407"/>
    <mergeCell ref="S3406:T3407"/>
    <mergeCell ref="U3406:V3407"/>
    <mergeCell ref="W3406:W3407"/>
    <mergeCell ref="X3406:AB3406"/>
    <mergeCell ref="AD3406:AI3406"/>
    <mergeCell ref="AJ3406:AL3406"/>
    <mergeCell ref="AN3406:AO3406"/>
    <mergeCell ref="AP3406:AQ3406"/>
    <mergeCell ref="AR3406:AS3407"/>
    <mergeCell ref="AT3406:AU3407"/>
    <mergeCell ref="AV3406:AW3407"/>
    <mergeCell ref="AX3406:AY3407"/>
    <mergeCell ref="AZ3406:AZ3407"/>
    <mergeCell ref="F3407:H3407"/>
    <mergeCell ref="X3407:AB3407"/>
    <mergeCell ref="AE3407:AI3407"/>
    <mergeCell ref="AJ3407:AL3407"/>
    <mergeCell ref="AN3407:AO3407"/>
    <mergeCell ref="AP3407:AQ3407"/>
    <mergeCell ref="J3338:J3339"/>
    <mergeCell ref="K3338:L3339"/>
    <mergeCell ref="M3338:N3339"/>
    <mergeCell ref="O3338:P3339"/>
    <mergeCell ref="Q3338:R3339"/>
    <mergeCell ref="S3338:T3339"/>
    <mergeCell ref="U3338:V3339"/>
    <mergeCell ref="W3338:W3339"/>
    <mergeCell ref="X3338:AB3338"/>
    <mergeCell ref="AD3338:AI3338"/>
    <mergeCell ref="AJ3338:AL3338"/>
    <mergeCell ref="AN3338:AO3338"/>
    <mergeCell ref="AP3338:AQ3338"/>
    <mergeCell ref="AR3338:AS3339"/>
    <mergeCell ref="AT3338:AU3339"/>
    <mergeCell ref="AV3338:AW3339"/>
    <mergeCell ref="AX3338:AY3339"/>
    <mergeCell ref="AZ3338:AZ3339"/>
    <mergeCell ref="F3339:H3339"/>
    <mergeCell ref="X3339:AB3339"/>
    <mergeCell ref="AE3339:AI3339"/>
    <mergeCell ref="AJ3339:AL3339"/>
    <mergeCell ref="AN3339:AO3339"/>
    <mergeCell ref="AP3339:AQ3339"/>
    <mergeCell ref="AZ3336:AZ3337"/>
    <mergeCell ref="F3337:H3337"/>
    <mergeCell ref="X3337:AB3337"/>
    <mergeCell ref="AE3337:AI3337"/>
    <mergeCell ref="AJ3337:AL3337"/>
    <mergeCell ref="AN3337:AO3337"/>
    <mergeCell ref="AP3337:AQ3337"/>
    <mergeCell ref="A3352:A3353"/>
    <mergeCell ref="E3352:E3353"/>
    <mergeCell ref="F3352:H3352"/>
    <mergeCell ref="J3352:J3353"/>
    <mergeCell ref="K3352:L3353"/>
    <mergeCell ref="M3352:N3353"/>
    <mergeCell ref="O3352:P3353"/>
    <mergeCell ref="Q3352:R3353"/>
    <mergeCell ref="S3352:T3353"/>
    <mergeCell ref="U3352:V3353"/>
    <mergeCell ref="W3352:W3353"/>
    <mergeCell ref="X3352:AB3352"/>
    <mergeCell ref="AD3352:AI3352"/>
    <mergeCell ref="AJ3352:AL3352"/>
    <mergeCell ref="AN3352:AO3352"/>
    <mergeCell ref="AP3352:AQ3352"/>
    <mergeCell ref="AR3352:AS3353"/>
    <mergeCell ref="AT3352:AU3353"/>
    <mergeCell ref="AV3352:AW3353"/>
    <mergeCell ref="AX3352:AY3353"/>
    <mergeCell ref="AZ3352:AZ3353"/>
    <mergeCell ref="F3353:H3353"/>
    <mergeCell ref="X3353:AB3353"/>
    <mergeCell ref="AE3353:AI3353"/>
    <mergeCell ref="AJ3353:AL3353"/>
    <mergeCell ref="AN3353:AO3353"/>
    <mergeCell ref="AP3353:AQ3353"/>
    <mergeCell ref="A3344:A3345"/>
    <mergeCell ref="E3344:E3345"/>
    <mergeCell ref="F3344:H3344"/>
    <mergeCell ref="J3344:J3345"/>
    <mergeCell ref="K3344:L3345"/>
    <mergeCell ref="M3344:N3345"/>
    <mergeCell ref="O3344:P3345"/>
    <mergeCell ref="Q3344:R3345"/>
    <mergeCell ref="S3344:T3345"/>
    <mergeCell ref="U3344:V3345"/>
    <mergeCell ref="W3344:W3345"/>
    <mergeCell ref="X3344:AB3344"/>
    <mergeCell ref="AD3344:AI3344"/>
    <mergeCell ref="AJ3344:AL3344"/>
    <mergeCell ref="AN3344:AO3344"/>
    <mergeCell ref="AP3344:AQ3344"/>
    <mergeCell ref="AR3344:AS3345"/>
    <mergeCell ref="AT3344:AU3345"/>
    <mergeCell ref="AV3344:AW3345"/>
    <mergeCell ref="AX3344:AY3345"/>
    <mergeCell ref="AZ3344:AZ3345"/>
    <mergeCell ref="F3345:H3345"/>
    <mergeCell ref="X3345:AB3345"/>
    <mergeCell ref="AE3345:AI3345"/>
    <mergeCell ref="AJ3345:AL3345"/>
    <mergeCell ref="AN3345:AO3345"/>
    <mergeCell ref="AP3345:AQ3345"/>
    <mergeCell ref="A3338:A3339"/>
    <mergeCell ref="E3338:E3339"/>
    <mergeCell ref="F3338:H3338"/>
    <mergeCell ref="A3348:A3349"/>
    <mergeCell ref="E3348:E3349"/>
    <mergeCell ref="F3348:H3348"/>
    <mergeCell ref="J3348:J3349"/>
    <mergeCell ref="K3348:L3349"/>
    <mergeCell ref="M3348:N3349"/>
    <mergeCell ref="O3348:P3349"/>
    <mergeCell ref="Q3348:R3349"/>
    <mergeCell ref="S3348:T3349"/>
    <mergeCell ref="U3348:V3349"/>
    <mergeCell ref="W3348:W3349"/>
    <mergeCell ref="X3348:AB3348"/>
    <mergeCell ref="AD3348:AI3348"/>
    <mergeCell ref="AJ3348:AL3348"/>
    <mergeCell ref="AN3348:AO3348"/>
    <mergeCell ref="AP3348:AQ3348"/>
    <mergeCell ref="AR3348:AS3349"/>
    <mergeCell ref="AT3348:AU3349"/>
    <mergeCell ref="AV3348:AW3349"/>
    <mergeCell ref="AX3348:AY3349"/>
    <mergeCell ref="AZ3348:AZ3349"/>
    <mergeCell ref="F3349:H3349"/>
    <mergeCell ref="X3349:AB3349"/>
    <mergeCell ref="AE3349:AI3349"/>
    <mergeCell ref="AJ3349:AL3349"/>
    <mergeCell ref="AN3349:AO3349"/>
    <mergeCell ref="AP3349:AQ3349"/>
    <mergeCell ref="AZ3346:AZ3347"/>
    <mergeCell ref="F3347:H3347"/>
    <mergeCell ref="X3347:AB3347"/>
    <mergeCell ref="AE3347:AI3347"/>
    <mergeCell ref="AJ3347:AL3347"/>
    <mergeCell ref="AN3347:AO3347"/>
    <mergeCell ref="AP3347:AQ3347"/>
    <mergeCell ref="A3340:A3341"/>
    <mergeCell ref="E3340:E3341"/>
    <mergeCell ref="F3340:H3340"/>
    <mergeCell ref="J3340:J3341"/>
    <mergeCell ref="K3340:L3341"/>
    <mergeCell ref="M3340:N3341"/>
    <mergeCell ref="A3350:A3351"/>
    <mergeCell ref="E3350:E3351"/>
    <mergeCell ref="F3350:H3350"/>
    <mergeCell ref="J3350:J3351"/>
    <mergeCell ref="K3350:L3351"/>
    <mergeCell ref="M3350:N3351"/>
    <mergeCell ref="O3350:P3351"/>
    <mergeCell ref="Q3350:R3351"/>
    <mergeCell ref="S3350:T3351"/>
    <mergeCell ref="U3350:V3351"/>
    <mergeCell ref="W3350:W3351"/>
    <mergeCell ref="X3350:AB3350"/>
    <mergeCell ref="AD3350:AI3350"/>
    <mergeCell ref="AJ3350:AL3350"/>
    <mergeCell ref="AN3350:AO3350"/>
    <mergeCell ref="AP3350:AQ3350"/>
    <mergeCell ref="AR3350:AS3351"/>
    <mergeCell ref="AT3350:AU3351"/>
    <mergeCell ref="AV3350:AW3351"/>
    <mergeCell ref="AX3350:AY3351"/>
    <mergeCell ref="AZ3350:AZ3351"/>
    <mergeCell ref="F3351:H3351"/>
    <mergeCell ref="X3351:AB3351"/>
    <mergeCell ref="AE3351:AI3351"/>
    <mergeCell ref="AJ3351:AL3351"/>
    <mergeCell ref="AN3351:AO3351"/>
    <mergeCell ref="AP3351:AQ3351"/>
    <mergeCell ref="W3334:W3335"/>
    <mergeCell ref="X3334:AB3334"/>
    <mergeCell ref="AD3334:AI3334"/>
    <mergeCell ref="AJ3334:AL3334"/>
    <mergeCell ref="AN3334:AO3334"/>
    <mergeCell ref="AP3334:AQ3334"/>
    <mergeCell ref="AR3334:AS3335"/>
    <mergeCell ref="AT3334:AU3335"/>
    <mergeCell ref="AV3334:AW3335"/>
    <mergeCell ref="AX3334:AY3335"/>
    <mergeCell ref="AZ3334:AZ3335"/>
    <mergeCell ref="F3335:H3335"/>
    <mergeCell ref="X3335:AB3335"/>
    <mergeCell ref="AE3335:AI3335"/>
    <mergeCell ref="AJ3335:AL3335"/>
    <mergeCell ref="AN3335:AO3335"/>
    <mergeCell ref="AP3335:AQ3335"/>
    <mergeCell ref="A3346:A3347"/>
    <mergeCell ref="E3346:E3347"/>
    <mergeCell ref="F3346:H3346"/>
    <mergeCell ref="J3346:J3347"/>
    <mergeCell ref="K3346:L3347"/>
    <mergeCell ref="M3346:N3347"/>
    <mergeCell ref="O3346:P3347"/>
    <mergeCell ref="Q3346:R3347"/>
    <mergeCell ref="S3346:T3347"/>
    <mergeCell ref="U3346:V3347"/>
    <mergeCell ref="W3346:W3347"/>
    <mergeCell ref="X3346:AB3346"/>
    <mergeCell ref="AD3346:AI3346"/>
    <mergeCell ref="AJ3346:AL3346"/>
    <mergeCell ref="AN3346:AO3346"/>
    <mergeCell ref="AP3346:AQ3346"/>
    <mergeCell ref="AR3346:AS3347"/>
    <mergeCell ref="AT3346:AU3347"/>
    <mergeCell ref="AV3346:AW3347"/>
    <mergeCell ref="AX3346:AY3347"/>
    <mergeCell ref="A3336:A3337"/>
    <mergeCell ref="E3336:E3337"/>
    <mergeCell ref="F3336:H3336"/>
    <mergeCell ref="J3336:J3337"/>
    <mergeCell ref="K3336:L3337"/>
    <mergeCell ref="M3336:N3337"/>
    <mergeCell ref="O3336:P3337"/>
    <mergeCell ref="Q3336:R3337"/>
    <mergeCell ref="S3336:T3337"/>
    <mergeCell ref="U3336:V3337"/>
    <mergeCell ref="W3336:W3337"/>
    <mergeCell ref="X3336:AB3336"/>
    <mergeCell ref="AD3336:AI3336"/>
    <mergeCell ref="AJ3336:AL3336"/>
    <mergeCell ref="AN3336:AO3336"/>
    <mergeCell ref="AP3336:AQ3336"/>
    <mergeCell ref="AR3336:AS3337"/>
    <mergeCell ref="AT3336:AU3337"/>
    <mergeCell ref="AV3336:AW3337"/>
    <mergeCell ref="AX3336:AY3337"/>
    <mergeCell ref="W3298:W3299"/>
    <mergeCell ref="X3298:AB3298"/>
    <mergeCell ref="AD3298:AI3298"/>
    <mergeCell ref="AJ3298:AL3298"/>
    <mergeCell ref="AN3298:AO3298"/>
    <mergeCell ref="AP3298:AQ3298"/>
    <mergeCell ref="AR3298:AS3299"/>
    <mergeCell ref="AT3298:AU3299"/>
    <mergeCell ref="AV3298:AW3299"/>
    <mergeCell ref="AX3298:AY3299"/>
    <mergeCell ref="AZ3298:AZ3299"/>
    <mergeCell ref="F3299:H3299"/>
    <mergeCell ref="X3299:AB3299"/>
    <mergeCell ref="AE3299:AI3299"/>
    <mergeCell ref="AJ3299:AL3299"/>
    <mergeCell ref="AN3299:AO3299"/>
    <mergeCell ref="AP3299:AQ3299"/>
    <mergeCell ref="A3332:A3333"/>
    <mergeCell ref="E3332:E3333"/>
    <mergeCell ref="F3332:H3332"/>
    <mergeCell ref="J3332:J3333"/>
    <mergeCell ref="K3332:L3333"/>
    <mergeCell ref="M3332:N3333"/>
    <mergeCell ref="O3332:P3333"/>
    <mergeCell ref="Q3332:R3333"/>
    <mergeCell ref="S3332:T3333"/>
    <mergeCell ref="U3332:V3333"/>
    <mergeCell ref="W3332:W3333"/>
    <mergeCell ref="X3332:AB3332"/>
    <mergeCell ref="AD3332:AI3332"/>
    <mergeCell ref="AJ3332:AL3332"/>
    <mergeCell ref="AN3332:AO3332"/>
    <mergeCell ref="AP3332:AQ3332"/>
    <mergeCell ref="AR3332:AS3333"/>
    <mergeCell ref="AT3332:AU3333"/>
    <mergeCell ref="AV3332:AW3333"/>
    <mergeCell ref="AX3332:AY3333"/>
    <mergeCell ref="AZ3332:AZ3333"/>
    <mergeCell ref="F3333:H3333"/>
    <mergeCell ref="X3333:AB3333"/>
    <mergeCell ref="AE3333:AI3333"/>
    <mergeCell ref="AJ3333:AL3333"/>
    <mergeCell ref="AN3333:AO3333"/>
    <mergeCell ref="AP3333:AQ3333"/>
    <mergeCell ref="AZ3272:AZ3273"/>
    <mergeCell ref="F3273:H3273"/>
    <mergeCell ref="X3273:AB3273"/>
    <mergeCell ref="AE3273:AI3273"/>
    <mergeCell ref="AJ3273:AL3273"/>
    <mergeCell ref="AN3273:AO3273"/>
    <mergeCell ref="AP3273:AQ3273"/>
    <mergeCell ref="A3286:A3287"/>
    <mergeCell ref="E3286:E3287"/>
    <mergeCell ref="F3286:H3286"/>
    <mergeCell ref="J3286:J3287"/>
    <mergeCell ref="K3286:L3287"/>
    <mergeCell ref="M3286:N3287"/>
    <mergeCell ref="O3286:P3287"/>
    <mergeCell ref="Q3286:R3287"/>
    <mergeCell ref="S3286:T3287"/>
    <mergeCell ref="U3286:V3287"/>
    <mergeCell ref="W3286:W3287"/>
    <mergeCell ref="X3286:AB3286"/>
    <mergeCell ref="AD3286:AI3286"/>
    <mergeCell ref="AJ3286:AL3286"/>
    <mergeCell ref="AN3286:AO3286"/>
    <mergeCell ref="AP3286:AQ3286"/>
    <mergeCell ref="AR3286:AS3287"/>
    <mergeCell ref="AT3286:AU3287"/>
    <mergeCell ref="AV3286:AW3287"/>
    <mergeCell ref="AX3286:AY3287"/>
    <mergeCell ref="AZ3286:AZ3287"/>
    <mergeCell ref="F3287:H3287"/>
    <mergeCell ref="X3287:AB3287"/>
    <mergeCell ref="AE3287:AI3287"/>
    <mergeCell ref="AJ3287:AL3287"/>
    <mergeCell ref="AN3287:AO3287"/>
    <mergeCell ref="AP3287:AQ3287"/>
    <mergeCell ref="A3280:A3281"/>
    <mergeCell ref="E3280:E3281"/>
    <mergeCell ref="F3280:H3280"/>
    <mergeCell ref="J3280:J3281"/>
    <mergeCell ref="K3280:L3281"/>
    <mergeCell ref="M3280:N3281"/>
    <mergeCell ref="O3280:P3281"/>
    <mergeCell ref="Q3280:R3281"/>
    <mergeCell ref="S3280:T3281"/>
    <mergeCell ref="U3280:V3281"/>
    <mergeCell ref="W3280:W3281"/>
    <mergeCell ref="X3280:AB3280"/>
    <mergeCell ref="AD3280:AI3280"/>
    <mergeCell ref="AJ3280:AL3280"/>
    <mergeCell ref="AN3280:AO3280"/>
    <mergeCell ref="AP3280:AQ3280"/>
    <mergeCell ref="AR3280:AS3281"/>
    <mergeCell ref="AT3280:AU3281"/>
    <mergeCell ref="AV3280:AW3281"/>
    <mergeCell ref="AX3280:AY3281"/>
    <mergeCell ref="AZ3280:AZ3281"/>
    <mergeCell ref="F3281:H3281"/>
    <mergeCell ref="X3281:AB3281"/>
    <mergeCell ref="AE3281:AI3281"/>
    <mergeCell ref="AJ3281:AL3281"/>
    <mergeCell ref="AN3281:AO3281"/>
    <mergeCell ref="AP3281:AQ3281"/>
    <mergeCell ref="A3282:A3283"/>
    <mergeCell ref="E3282:E3283"/>
    <mergeCell ref="F3282:H3282"/>
    <mergeCell ref="W3212:W3213"/>
    <mergeCell ref="X3212:AB3212"/>
    <mergeCell ref="AD3212:AI3212"/>
    <mergeCell ref="AJ3212:AL3212"/>
    <mergeCell ref="AN3212:AO3212"/>
    <mergeCell ref="AP3212:AQ3212"/>
    <mergeCell ref="AR3212:AS3213"/>
    <mergeCell ref="AT3212:AU3213"/>
    <mergeCell ref="AV3212:AW3213"/>
    <mergeCell ref="AX3212:AY3213"/>
    <mergeCell ref="AZ3212:AZ3213"/>
    <mergeCell ref="F3213:H3213"/>
    <mergeCell ref="X3213:AB3213"/>
    <mergeCell ref="AE3213:AI3213"/>
    <mergeCell ref="AJ3213:AL3213"/>
    <mergeCell ref="AN3213:AO3213"/>
    <mergeCell ref="AP3213:AQ3213"/>
    <mergeCell ref="A3276:A3277"/>
    <mergeCell ref="E3276:E3277"/>
    <mergeCell ref="F3276:H3276"/>
    <mergeCell ref="J3276:J3277"/>
    <mergeCell ref="K3276:L3277"/>
    <mergeCell ref="M3276:N3277"/>
    <mergeCell ref="O3276:P3277"/>
    <mergeCell ref="Q3276:R3277"/>
    <mergeCell ref="S3276:T3277"/>
    <mergeCell ref="U3276:V3277"/>
    <mergeCell ref="W3276:W3277"/>
    <mergeCell ref="X3276:AB3276"/>
    <mergeCell ref="AD3276:AI3276"/>
    <mergeCell ref="AJ3276:AL3276"/>
    <mergeCell ref="AN3276:AO3276"/>
    <mergeCell ref="AP3276:AQ3276"/>
    <mergeCell ref="AR3276:AS3277"/>
    <mergeCell ref="AT3276:AU3277"/>
    <mergeCell ref="AV3276:AW3277"/>
    <mergeCell ref="AX3276:AY3277"/>
    <mergeCell ref="AZ3276:AZ3277"/>
    <mergeCell ref="F3277:H3277"/>
    <mergeCell ref="X3277:AB3277"/>
    <mergeCell ref="AE3277:AI3277"/>
    <mergeCell ref="AJ3277:AL3277"/>
    <mergeCell ref="AN3277:AO3277"/>
    <mergeCell ref="AP3277:AQ3277"/>
    <mergeCell ref="A3272:A3273"/>
    <mergeCell ref="E3272:E3273"/>
    <mergeCell ref="F3272:H3272"/>
    <mergeCell ref="J3272:J3273"/>
    <mergeCell ref="K3272:L3273"/>
    <mergeCell ref="M3272:N3273"/>
    <mergeCell ref="O3272:P3273"/>
    <mergeCell ref="Q3272:R3273"/>
    <mergeCell ref="S3272:T3273"/>
    <mergeCell ref="U3272:V3273"/>
    <mergeCell ref="W3272:W3273"/>
    <mergeCell ref="X3272:AB3272"/>
    <mergeCell ref="AD3272:AI3272"/>
    <mergeCell ref="AJ3272:AL3272"/>
    <mergeCell ref="AN3272:AO3272"/>
    <mergeCell ref="AP3272:AQ3272"/>
    <mergeCell ref="AR3272:AS3273"/>
    <mergeCell ref="AT3272:AU3273"/>
    <mergeCell ref="AV3272:AW3273"/>
    <mergeCell ref="AX3272:AY3273"/>
    <mergeCell ref="A3378:A3379"/>
    <mergeCell ref="E3378:E3379"/>
    <mergeCell ref="F3378:H3378"/>
    <mergeCell ref="J3378:J3379"/>
    <mergeCell ref="K3378:L3379"/>
    <mergeCell ref="M3378:N3379"/>
    <mergeCell ref="O3378:P3379"/>
    <mergeCell ref="Q3378:R3379"/>
    <mergeCell ref="S3378:T3379"/>
    <mergeCell ref="U3378:V3379"/>
    <mergeCell ref="W3378:W3379"/>
    <mergeCell ref="X3378:AB3378"/>
    <mergeCell ref="AD3378:AI3378"/>
    <mergeCell ref="AJ3378:AL3378"/>
    <mergeCell ref="AN3378:AO3378"/>
    <mergeCell ref="AP3378:AQ3378"/>
    <mergeCell ref="AR3378:AS3379"/>
    <mergeCell ref="AT3378:AU3379"/>
    <mergeCell ref="AV3378:AW3379"/>
    <mergeCell ref="AX3378:AY3379"/>
    <mergeCell ref="AZ3378:AZ3379"/>
    <mergeCell ref="F3379:H3379"/>
    <mergeCell ref="X3379:AB3379"/>
    <mergeCell ref="AE3379:AI3379"/>
    <mergeCell ref="AJ3379:AL3379"/>
    <mergeCell ref="AN3379:AO3379"/>
    <mergeCell ref="AP3379:AQ3379"/>
    <mergeCell ref="A3210:A3211"/>
    <mergeCell ref="E3210:E3211"/>
    <mergeCell ref="F3210:H3210"/>
    <mergeCell ref="J3210:J3211"/>
    <mergeCell ref="K3210:L3211"/>
    <mergeCell ref="M3210:N3211"/>
    <mergeCell ref="O3210:P3211"/>
    <mergeCell ref="Q3210:R3211"/>
    <mergeCell ref="S3210:T3211"/>
    <mergeCell ref="U3210:V3211"/>
    <mergeCell ref="W3210:W3211"/>
    <mergeCell ref="X3210:AB3210"/>
    <mergeCell ref="AD3210:AI3210"/>
    <mergeCell ref="AJ3210:AL3210"/>
    <mergeCell ref="AN3210:AO3210"/>
    <mergeCell ref="AP3210:AQ3210"/>
    <mergeCell ref="AR3210:AS3211"/>
    <mergeCell ref="AT3210:AU3211"/>
    <mergeCell ref="AV3210:AW3211"/>
    <mergeCell ref="AX3210:AY3211"/>
    <mergeCell ref="AZ3210:AZ3211"/>
    <mergeCell ref="F3211:H3211"/>
    <mergeCell ref="X3211:AB3211"/>
    <mergeCell ref="AE3211:AI3211"/>
    <mergeCell ref="AJ3211:AL3211"/>
    <mergeCell ref="AN3211:AO3211"/>
    <mergeCell ref="AP3211:AQ3211"/>
    <mergeCell ref="A3212:A3213"/>
    <mergeCell ref="E3212:E3213"/>
    <mergeCell ref="F3212:H3212"/>
    <mergeCell ref="J3212:J3213"/>
    <mergeCell ref="K3212:L3213"/>
    <mergeCell ref="M3212:N3213"/>
    <mergeCell ref="O3212:P3213"/>
    <mergeCell ref="Q3212:R3213"/>
    <mergeCell ref="S3212:T3213"/>
    <mergeCell ref="U3212:V3213"/>
    <mergeCell ref="A3374:A3375"/>
    <mergeCell ref="E3374:E3375"/>
    <mergeCell ref="F3374:H3374"/>
    <mergeCell ref="J3374:J3375"/>
    <mergeCell ref="K3374:L3375"/>
    <mergeCell ref="M3374:N3375"/>
    <mergeCell ref="O3374:P3375"/>
    <mergeCell ref="Q3374:R3375"/>
    <mergeCell ref="S3374:T3375"/>
    <mergeCell ref="U3374:V3375"/>
    <mergeCell ref="W3374:W3375"/>
    <mergeCell ref="X3374:AB3374"/>
    <mergeCell ref="AD3374:AI3374"/>
    <mergeCell ref="AJ3374:AL3374"/>
    <mergeCell ref="AN3374:AO3374"/>
    <mergeCell ref="AP3374:AQ3374"/>
    <mergeCell ref="AR3374:AS3375"/>
    <mergeCell ref="AT3374:AU3375"/>
    <mergeCell ref="AV3374:AW3375"/>
    <mergeCell ref="AX3374:AY3375"/>
    <mergeCell ref="AZ3374:AZ3375"/>
    <mergeCell ref="F3375:H3375"/>
    <mergeCell ref="X3375:AB3375"/>
    <mergeCell ref="AE3375:AI3375"/>
    <mergeCell ref="AJ3375:AL3375"/>
    <mergeCell ref="AN3375:AO3375"/>
    <mergeCell ref="AP3375:AQ3375"/>
    <mergeCell ref="A3376:A3377"/>
    <mergeCell ref="E3376:E3377"/>
    <mergeCell ref="F3376:H3376"/>
    <mergeCell ref="J3376:J3377"/>
    <mergeCell ref="K3376:L3377"/>
    <mergeCell ref="M3376:N3377"/>
    <mergeCell ref="O3376:P3377"/>
    <mergeCell ref="Q3376:R3377"/>
    <mergeCell ref="S3376:T3377"/>
    <mergeCell ref="U3376:V3377"/>
    <mergeCell ref="W3376:W3377"/>
    <mergeCell ref="X3376:AB3376"/>
    <mergeCell ref="AD3376:AI3376"/>
    <mergeCell ref="AJ3376:AL3376"/>
    <mergeCell ref="AN3376:AO3376"/>
    <mergeCell ref="AP3376:AQ3376"/>
    <mergeCell ref="AR3376:AS3377"/>
    <mergeCell ref="AT3376:AU3377"/>
    <mergeCell ref="AV3376:AW3377"/>
    <mergeCell ref="AX3376:AY3377"/>
    <mergeCell ref="AZ3376:AZ3377"/>
    <mergeCell ref="F3377:H3377"/>
    <mergeCell ref="X3377:AB3377"/>
    <mergeCell ref="AE3377:AI3377"/>
    <mergeCell ref="AJ3377:AL3377"/>
    <mergeCell ref="AN3377:AO3377"/>
    <mergeCell ref="AP3377:AQ3377"/>
    <mergeCell ref="A3370:A3371"/>
    <mergeCell ref="E3370:E3371"/>
    <mergeCell ref="F3370:H3370"/>
    <mergeCell ref="J3370:J3371"/>
    <mergeCell ref="K3370:L3371"/>
    <mergeCell ref="M3370:N3371"/>
    <mergeCell ref="O3370:P3371"/>
    <mergeCell ref="Q3370:R3371"/>
    <mergeCell ref="S3370:T3371"/>
    <mergeCell ref="U3370:V3371"/>
    <mergeCell ref="W3370:W3371"/>
    <mergeCell ref="X3370:AB3370"/>
    <mergeCell ref="AD3370:AI3370"/>
    <mergeCell ref="AJ3370:AL3370"/>
    <mergeCell ref="AN3370:AO3370"/>
    <mergeCell ref="AP3370:AQ3370"/>
    <mergeCell ref="AR3370:AS3371"/>
    <mergeCell ref="AT3370:AU3371"/>
    <mergeCell ref="AV3370:AW3371"/>
    <mergeCell ref="AX3370:AY3371"/>
    <mergeCell ref="AZ3370:AZ3371"/>
    <mergeCell ref="F3371:H3371"/>
    <mergeCell ref="X3371:AB3371"/>
    <mergeCell ref="AE3371:AI3371"/>
    <mergeCell ref="AJ3371:AL3371"/>
    <mergeCell ref="AN3371:AO3371"/>
    <mergeCell ref="AP3371:AQ3371"/>
    <mergeCell ref="A3372:A3373"/>
    <mergeCell ref="E3372:E3373"/>
    <mergeCell ref="F3372:H3372"/>
    <mergeCell ref="J3372:J3373"/>
    <mergeCell ref="K3372:L3373"/>
    <mergeCell ref="M3372:N3373"/>
    <mergeCell ref="O3372:P3373"/>
    <mergeCell ref="Q3372:R3373"/>
    <mergeCell ref="S3372:T3373"/>
    <mergeCell ref="U3372:V3373"/>
    <mergeCell ref="W3372:W3373"/>
    <mergeCell ref="X3372:AB3372"/>
    <mergeCell ref="AD3372:AI3372"/>
    <mergeCell ref="AJ3372:AL3372"/>
    <mergeCell ref="AN3372:AO3372"/>
    <mergeCell ref="AP3372:AQ3372"/>
    <mergeCell ref="AR3372:AS3373"/>
    <mergeCell ref="AT3372:AU3373"/>
    <mergeCell ref="AV3372:AW3373"/>
    <mergeCell ref="AX3372:AY3373"/>
    <mergeCell ref="AZ3372:AZ3373"/>
    <mergeCell ref="F3373:H3373"/>
    <mergeCell ref="X3373:AB3373"/>
    <mergeCell ref="AE3373:AI3373"/>
    <mergeCell ref="AJ3373:AL3373"/>
    <mergeCell ref="AN3373:AO3373"/>
    <mergeCell ref="AP3373:AQ3373"/>
    <mergeCell ref="A3366:A3367"/>
    <mergeCell ref="E3366:E3367"/>
    <mergeCell ref="F3366:H3366"/>
    <mergeCell ref="J3366:J3367"/>
    <mergeCell ref="K3366:L3367"/>
    <mergeCell ref="M3366:N3367"/>
    <mergeCell ref="O3366:P3367"/>
    <mergeCell ref="Q3366:R3367"/>
    <mergeCell ref="S3366:T3367"/>
    <mergeCell ref="U3366:V3367"/>
    <mergeCell ref="W3366:W3367"/>
    <mergeCell ref="X3366:AB3366"/>
    <mergeCell ref="AD3366:AI3366"/>
    <mergeCell ref="AJ3366:AL3366"/>
    <mergeCell ref="AN3366:AO3366"/>
    <mergeCell ref="AP3366:AQ3366"/>
    <mergeCell ref="AR3366:AS3367"/>
    <mergeCell ref="AT3366:AU3367"/>
    <mergeCell ref="AV3366:AW3367"/>
    <mergeCell ref="AX3366:AY3367"/>
    <mergeCell ref="AZ3366:AZ3367"/>
    <mergeCell ref="F3367:H3367"/>
    <mergeCell ref="X3367:AB3367"/>
    <mergeCell ref="AE3367:AI3367"/>
    <mergeCell ref="AJ3367:AL3367"/>
    <mergeCell ref="AN3367:AO3367"/>
    <mergeCell ref="AP3367:AQ3367"/>
    <mergeCell ref="A3368:A3369"/>
    <mergeCell ref="E3368:E3369"/>
    <mergeCell ref="F3368:H3368"/>
    <mergeCell ref="J3368:J3369"/>
    <mergeCell ref="K3368:L3369"/>
    <mergeCell ref="M3368:N3369"/>
    <mergeCell ref="O3368:P3369"/>
    <mergeCell ref="Q3368:R3369"/>
    <mergeCell ref="S3368:T3369"/>
    <mergeCell ref="U3368:V3369"/>
    <mergeCell ref="W3368:W3369"/>
    <mergeCell ref="X3368:AB3368"/>
    <mergeCell ref="AD3368:AI3368"/>
    <mergeCell ref="AJ3368:AL3368"/>
    <mergeCell ref="AN3368:AO3368"/>
    <mergeCell ref="AP3368:AQ3368"/>
    <mergeCell ref="AR3368:AS3369"/>
    <mergeCell ref="AT3368:AU3369"/>
    <mergeCell ref="AV3368:AW3369"/>
    <mergeCell ref="AX3368:AY3369"/>
    <mergeCell ref="AZ3368:AZ3369"/>
    <mergeCell ref="F3369:H3369"/>
    <mergeCell ref="X3369:AB3369"/>
    <mergeCell ref="AE3369:AI3369"/>
    <mergeCell ref="AJ3369:AL3369"/>
    <mergeCell ref="AN3369:AO3369"/>
    <mergeCell ref="AP3369:AQ3369"/>
    <mergeCell ref="A3362:A3363"/>
    <mergeCell ref="E3362:E3363"/>
    <mergeCell ref="F3362:H3362"/>
    <mergeCell ref="J3362:J3363"/>
    <mergeCell ref="K3362:L3363"/>
    <mergeCell ref="M3362:N3363"/>
    <mergeCell ref="O3362:P3363"/>
    <mergeCell ref="Q3362:R3363"/>
    <mergeCell ref="S3362:T3363"/>
    <mergeCell ref="U3362:V3363"/>
    <mergeCell ref="W3362:W3363"/>
    <mergeCell ref="X3362:AB3362"/>
    <mergeCell ref="AD3362:AI3362"/>
    <mergeCell ref="AJ3362:AL3362"/>
    <mergeCell ref="AN3362:AO3362"/>
    <mergeCell ref="AP3362:AQ3362"/>
    <mergeCell ref="AR3362:AS3363"/>
    <mergeCell ref="AT3362:AU3363"/>
    <mergeCell ref="AV3362:AW3363"/>
    <mergeCell ref="AX3362:AY3363"/>
    <mergeCell ref="AZ3362:AZ3363"/>
    <mergeCell ref="F3363:H3363"/>
    <mergeCell ref="X3363:AB3363"/>
    <mergeCell ref="AE3363:AI3363"/>
    <mergeCell ref="AJ3363:AL3363"/>
    <mergeCell ref="AN3363:AO3363"/>
    <mergeCell ref="AP3363:AQ3363"/>
    <mergeCell ref="A3364:A3365"/>
    <mergeCell ref="E3364:E3365"/>
    <mergeCell ref="F3364:H3364"/>
    <mergeCell ref="J3364:J3365"/>
    <mergeCell ref="K3364:L3365"/>
    <mergeCell ref="M3364:N3365"/>
    <mergeCell ref="O3364:P3365"/>
    <mergeCell ref="Q3364:R3365"/>
    <mergeCell ref="S3364:T3365"/>
    <mergeCell ref="U3364:V3365"/>
    <mergeCell ref="W3364:W3365"/>
    <mergeCell ref="X3364:AB3364"/>
    <mergeCell ref="AD3364:AI3364"/>
    <mergeCell ref="AJ3364:AL3364"/>
    <mergeCell ref="AN3364:AO3364"/>
    <mergeCell ref="AP3364:AQ3364"/>
    <mergeCell ref="AR3364:AS3365"/>
    <mergeCell ref="AT3364:AU3365"/>
    <mergeCell ref="AV3364:AW3365"/>
    <mergeCell ref="AX3364:AY3365"/>
    <mergeCell ref="AZ3364:AZ3365"/>
    <mergeCell ref="F3365:H3365"/>
    <mergeCell ref="X3365:AB3365"/>
    <mergeCell ref="AE3365:AI3365"/>
    <mergeCell ref="AJ3365:AL3365"/>
    <mergeCell ref="AN3365:AO3365"/>
    <mergeCell ref="AP3365:AQ3365"/>
    <mergeCell ref="A3358:A3359"/>
    <mergeCell ref="E3358:E3359"/>
    <mergeCell ref="F3358:H3358"/>
    <mergeCell ref="J3358:J3359"/>
    <mergeCell ref="K3358:L3359"/>
    <mergeCell ref="M3358:N3359"/>
    <mergeCell ref="O3358:P3359"/>
    <mergeCell ref="Q3358:R3359"/>
    <mergeCell ref="S3358:T3359"/>
    <mergeCell ref="U3358:V3359"/>
    <mergeCell ref="W3358:W3359"/>
    <mergeCell ref="X3358:AB3358"/>
    <mergeCell ref="AD3358:AI3358"/>
    <mergeCell ref="AJ3358:AL3358"/>
    <mergeCell ref="AN3358:AO3358"/>
    <mergeCell ref="AP3358:AQ3358"/>
    <mergeCell ref="AR3358:AS3359"/>
    <mergeCell ref="AT3358:AU3359"/>
    <mergeCell ref="AV3358:AW3359"/>
    <mergeCell ref="AX3358:AY3359"/>
    <mergeCell ref="AZ3358:AZ3359"/>
    <mergeCell ref="F3359:H3359"/>
    <mergeCell ref="X3359:AB3359"/>
    <mergeCell ref="AE3359:AI3359"/>
    <mergeCell ref="AJ3359:AL3359"/>
    <mergeCell ref="AN3359:AO3359"/>
    <mergeCell ref="AP3359:AQ3359"/>
    <mergeCell ref="A3360:A3361"/>
    <mergeCell ref="E3360:E3361"/>
    <mergeCell ref="F3360:H3360"/>
    <mergeCell ref="J3360:J3361"/>
    <mergeCell ref="K3360:L3361"/>
    <mergeCell ref="M3360:N3361"/>
    <mergeCell ref="O3360:P3361"/>
    <mergeCell ref="Q3360:R3361"/>
    <mergeCell ref="S3360:T3361"/>
    <mergeCell ref="U3360:V3361"/>
    <mergeCell ref="W3360:W3361"/>
    <mergeCell ref="X3360:AB3360"/>
    <mergeCell ref="AD3360:AI3360"/>
    <mergeCell ref="AJ3360:AL3360"/>
    <mergeCell ref="AN3360:AO3360"/>
    <mergeCell ref="AP3360:AQ3360"/>
    <mergeCell ref="AR3360:AS3361"/>
    <mergeCell ref="AT3360:AU3361"/>
    <mergeCell ref="AV3360:AW3361"/>
    <mergeCell ref="AX3360:AY3361"/>
    <mergeCell ref="AZ3360:AZ3361"/>
    <mergeCell ref="F3361:H3361"/>
    <mergeCell ref="X3361:AB3361"/>
    <mergeCell ref="AE3361:AI3361"/>
    <mergeCell ref="AJ3361:AL3361"/>
    <mergeCell ref="AN3361:AO3361"/>
    <mergeCell ref="AP3361:AQ3361"/>
    <mergeCell ref="AR3354:AS3355"/>
    <mergeCell ref="AT3354:AU3355"/>
    <mergeCell ref="AV3354:AW3355"/>
    <mergeCell ref="AX3354:AY3355"/>
    <mergeCell ref="AZ3354:AZ3355"/>
    <mergeCell ref="F3355:H3355"/>
    <mergeCell ref="X3355:AB3355"/>
    <mergeCell ref="AE3355:AI3355"/>
    <mergeCell ref="AJ3355:AL3355"/>
    <mergeCell ref="AN3355:AO3355"/>
    <mergeCell ref="AP3355:AQ3355"/>
    <mergeCell ref="A3356:A3357"/>
    <mergeCell ref="E3356:E3357"/>
    <mergeCell ref="F3356:H3356"/>
    <mergeCell ref="J3356:J3357"/>
    <mergeCell ref="K3356:L3357"/>
    <mergeCell ref="M3356:N3357"/>
    <mergeCell ref="O3356:P3357"/>
    <mergeCell ref="Q3356:R3357"/>
    <mergeCell ref="S3356:T3357"/>
    <mergeCell ref="U3356:V3357"/>
    <mergeCell ref="W3356:W3357"/>
    <mergeCell ref="X3356:AB3356"/>
    <mergeCell ref="AD3356:AI3356"/>
    <mergeCell ref="AJ3356:AL3356"/>
    <mergeCell ref="AN3356:AO3356"/>
    <mergeCell ref="AP3356:AQ3356"/>
    <mergeCell ref="AR3356:AS3357"/>
    <mergeCell ref="AT3356:AU3357"/>
    <mergeCell ref="AV3356:AW3357"/>
    <mergeCell ref="AX3356:AY3357"/>
    <mergeCell ref="AZ3356:AZ3357"/>
    <mergeCell ref="F3357:H3357"/>
    <mergeCell ref="X3357:AB3357"/>
    <mergeCell ref="AE3357:AI3357"/>
    <mergeCell ref="AJ3357:AL3357"/>
    <mergeCell ref="AN3357:AO3357"/>
    <mergeCell ref="AP3357:AQ3357"/>
    <mergeCell ref="A3330:A3331"/>
    <mergeCell ref="E3330:E3331"/>
    <mergeCell ref="F3330:H3330"/>
    <mergeCell ref="J3330:J3331"/>
    <mergeCell ref="K3330:L3331"/>
    <mergeCell ref="M3330:N3331"/>
    <mergeCell ref="O3330:P3331"/>
    <mergeCell ref="Q3330:R3331"/>
    <mergeCell ref="S3330:T3331"/>
    <mergeCell ref="U3330:V3331"/>
    <mergeCell ref="W3330:W3331"/>
    <mergeCell ref="X3330:AB3330"/>
    <mergeCell ref="AD3330:AI3330"/>
    <mergeCell ref="AJ3330:AL3330"/>
    <mergeCell ref="AN3330:AO3330"/>
    <mergeCell ref="AP3330:AQ3330"/>
    <mergeCell ref="AR3330:AS3331"/>
    <mergeCell ref="AT3330:AU3331"/>
    <mergeCell ref="AV3330:AW3331"/>
    <mergeCell ref="AX3330:AY3331"/>
    <mergeCell ref="AZ3330:AZ3331"/>
    <mergeCell ref="F3331:H3331"/>
    <mergeCell ref="X3331:AB3331"/>
    <mergeCell ref="AE3331:AI3331"/>
    <mergeCell ref="AJ3331:AL3331"/>
    <mergeCell ref="AN3331:AO3331"/>
    <mergeCell ref="AP3331:AQ3331"/>
    <mergeCell ref="A3342:A3343"/>
    <mergeCell ref="E3342:E3343"/>
    <mergeCell ref="F3342:H3342"/>
    <mergeCell ref="J3342:J3343"/>
    <mergeCell ref="K3342:L3343"/>
    <mergeCell ref="M3342:N3343"/>
    <mergeCell ref="O3342:P3343"/>
    <mergeCell ref="Q3342:R3343"/>
    <mergeCell ref="S3342:T3343"/>
    <mergeCell ref="U3342:V3343"/>
    <mergeCell ref="W3342:W3343"/>
    <mergeCell ref="X3342:AB3342"/>
    <mergeCell ref="AD3342:AI3342"/>
    <mergeCell ref="AJ3342:AL3342"/>
    <mergeCell ref="AN3342:AO3342"/>
    <mergeCell ref="AP3342:AQ3342"/>
    <mergeCell ref="AR3342:AS3343"/>
    <mergeCell ref="AT3342:AU3343"/>
    <mergeCell ref="AV3342:AW3343"/>
    <mergeCell ref="AX3342:AY3343"/>
    <mergeCell ref="AZ3342:AZ3343"/>
    <mergeCell ref="F3343:H3343"/>
    <mergeCell ref="X3343:AB3343"/>
    <mergeCell ref="AE3343:AI3343"/>
    <mergeCell ref="AJ3343:AL3343"/>
    <mergeCell ref="AN3343:AO3343"/>
    <mergeCell ref="AP3343:AQ3343"/>
    <mergeCell ref="A3334:A3335"/>
    <mergeCell ref="E3334:E3335"/>
    <mergeCell ref="F3334:H3334"/>
    <mergeCell ref="J3334:J3335"/>
    <mergeCell ref="K3334:L3335"/>
    <mergeCell ref="M3334:N3335"/>
    <mergeCell ref="O3334:P3335"/>
    <mergeCell ref="Q3334:R3335"/>
    <mergeCell ref="S3334:T3335"/>
    <mergeCell ref="U3334:V3335"/>
    <mergeCell ref="A3326:A3327"/>
    <mergeCell ref="E3326:E3327"/>
    <mergeCell ref="F3326:H3326"/>
    <mergeCell ref="J3326:J3327"/>
    <mergeCell ref="K3326:L3327"/>
    <mergeCell ref="M3326:N3327"/>
    <mergeCell ref="O3326:P3327"/>
    <mergeCell ref="Q3326:R3327"/>
    <mergeCell ref="S3326:T3327"/>
    <mergeCell ref="U3326:V3327"/>
    <mergeCell ref="W3326:W3327"/>
    <mergeCell ref="X3326:AB3326"/>
    <mergeCell ref="AD3326:AI3326"/>
    <mergeCell ref="AJ3326:AL3326"/>
    <mergeCell ref="AN3326:AO3326"/>
    <mergeCell ref="AP3326:AQ3326"/>
    <mergeCell ref="AR3326:AS3327"/>
    <mergeCell ref="AT3326:AU3327"/>
    <mergeCell ref="AV3326:AW3327"/>
    <mergeCell ref="AX3326:AY3327"/>
    <mergeCell ref="AZ3326:AZ3327"/>
    <mergeCell ref="F3327:H3327"/>
    <mergeCell ref="X3327:AB3327"/>
    <mergeCell ref="AE3327:AI3327"/>
    <mergeCell ref="AJ3327:AL3327"/>
    <mergeCell ref="AN3327:AO3327"/>
    <mergeCell ref="AP3327:AQ3327"/>
    <mergeCell ref="A3328:A3329"/>
    <mergeCell ref="E3328:E3329"/>
    <mergeCell ref="F3328:H3328"/>
    <mergeCell ref="J3328:J3329"/>
    <mergeCell ref="K3328:L3329"/>
    <mergeCell ref="M3328:N3329"/>
    <mergeCell ref="O3328:P3329"/>
    <mergeCell ref="Q3328:R3329"/>
    <mergeCell ref="S3328:T3329"/>
    <mergeCell ref="U3328:V3329"/>
    <mergeCell ref="W3328:W3329"/>
    <mergeCell ref="X3328:AB3328"/>
    <mergeCell ref="AD3328:AI3328"/>
    <mergeCell ref="AJ3328:AL3328"/>
    <mergeCell ref="AN3328:AO3328"/>
    <mergeCell ref="AP3328:AQ3328"/>
    <mergeCell ref="AR3328:AS3329"/>
    <mergeCell ref="AT3328:AU3329"/>
    <mergeCell ref="AV3328:AW3329"/>
    <mergeCell ref="AX3328:AY3329"/>
    <mergeCell ref="AZ3328:AZ3329"/>
    <mergeCell ref="F3329:H3329"/>
    <mergeCell ref="X3329:AB3329"/>
    <mergeCell ref="AE3329:AI3329"/>
    <mergeCell ref="AJ3329:AL3329"/>
    <mergeCell ref="AN3329:AO3329"/>
    <mergeCell ref="AP3329:AQ3329"/>
    <mergeCell ref="A3322:A3323"/>
    <mergeCell ref="E3322:E3323"/>
    <mergeCell ref="F3322:H3322"/>
    <mergeCell ref="J3322:J3323"/>
    <mergeCell ref="K3322:L3323"/>
    <mergeCell ref="M3322:N3323"/>
    <mergeCell ref="O3322:P3323"/>
    <mergeCell ref="Q3322:R3323"/>
    <mergeCell ref="S3322:T3323"/>
    <mergeCell ref="U3322:V3323"/>
    <mergeCell ref="W3322:W3323"/>
    <mergeCell ref="X3322:AB3322"/>
    <mergeCell ref="AD3322:AI3322"/>
    <mergeCell ref="AJ3322:AL3322"/>
    <mergeCell ref="AN3322:AO3322"/>
    <mergeCell ref="AP3322:AQ3322"/>
    <mergeCell ref="AR3322:AS3323"/>
    <mergeCell ref="AT3322:AU3323"/>
    <mergeCell ref="AV3322:AW3323"/>
    <mergeCell ref="AX3322:AY3323"/>
    <mergeCell ref="AZ3322:AZ3323"/>
    <mergeCell ref="F3323:H3323"/>
    <mergeCell ref="X3323:AB3323"/>
    <mergeCell ref="AE3323:AI3323"/>
    <mergeCell ref="AJ3323:AL3323"/>
    <mergeCell ref="AN3323:AO3323"/>
    <mergeCell ref="AP3323:AQ3323"/>
    <mergeCell ref="A3324:A3325"/>
    <mergeCell ref="E3324:E3325"/>
    <mergeCell ref="F3324:H3324"/>
    <mergeCell ref="J3324:J3325"/>
    <mergeCell ref="K3324:L3325"/>
    <mergeCell ref="M3324:N3325"/>
    <mergeCell ref="O3324:P3325"/>
    <mergeCell ref="Q3324:R3325"/>
    <mergeCell ref="S3324:T3325"/>
    <mergeCell ref="U3324:V3325"/>
    <mergeCell ref="W3324:W3325"/>
    <mergeCell ref="X3324:AB3324"/>
    <mergeCell ref="AD3324:AI3324"/>
    <mergeCell ref="AJ3324:AL3324"/>
    <mergeCell ref="AN3324:AO3324"/>
    <mergeCell ref="AP3324:AQ3324"/>
    <mergeCell ref="AR3324:AS3325"/>
    <mergeCell ref="AT3324:AU3325"/>
    <mergeCell ref="AV3324:AW3325"/>
    <mergeCell ref="AX3324:AY3325"/>
    <mergeCell ref="AZ3324:AZ3325"/>
    <mergeCell ref="F3325:H3325"/>
    <mergeCell ref="X3325:AB3325"/>
    <mergeCell ref="AE3325:AI3325"/>
    <mergeCell ref="AJ3325:AL3325"/>
    <mergeCell ref="AN3325:AO3325"/>
    <mergeCell ref="AP3325:AQ3325"/>
    <mergeCell ref="A3318:A3319"/>
    <mergeCell ref="E3318:E3319"/>
    <mergeCell ref="F3318:H3318"/>
    <mergeCell ref="J3318:J3319"/>
    <mergeCell ref="K3318:L3319"/>
    <mergeCell ref="M3318:N3319"/>
    <mergeCell ref="O3318:P3319"/>
    <mergeCell ref="Q3318:R3319"/>
    <mergeCell ref="S3318:T3319"/>
    <mergeCell ref="U3318:V3319"/>
    <mergeCell ref="W3318:W3319"/>
    <mergeCell ref="X3318:AB3318"/>
    <mergeCell ref="AD3318:AI3318"/>
    <mergeCell ref="AJ3318:AL3318"/>
    <mergeCell ref="AN3318:AO3318"/>
    <mergeCell ref="AP3318:AQ3318"/>
    <mergeCell ref="AR3318:AS3319"/>
    <mergeCell ref="AT3318:AU3319"/>
    <mergeCell ref="AV3318:AW3319"/>
    <mergeCell ref="AX3318:AY3319"/>
    <mergeCell ref="AZ3318:AZ3319"/>
    <mergeCell ref="F3319:H3319"/>
    <mergeCell ref="X3319:AB3319"/>
    <mergeCell ref="AE3319:AI3319"/>
    <mergeCell ref="AJ3319:AL3319"/>
    <mergeCell ref="AN3319:AO3319"/>
    <mergeCell ref="AP3319:AQ3319"/>
    <mergeCell ref="A3320:A3321"/>
    <mergeCell ref="E3320:E3321"/>
    <mergeCell ref="F3320:H3320"/>
    <mergeCell ref="J3320:J3321"/>
    <mergeCell ref="K3320:L3321"/>
    <mergeCell ref="M3320:N3321"/>
    <mergeCell ref="O3320:P3321"/>
    <mergeCell ref="Q3320:R3321"/>
    <mergeCell ref="S3320:T3321"/>
    <mergeCell ref="U3320:V3321"/>
    <mergeCell ref="W3320:W3321"/>
    <mergeCell ref="X3320:AB3320"/>
    <mergeCell ref="AD3320:AI3320"/>
    <mergeCell ref="AJ3320:AL3320"/>
    <mergeCell ref="AN3320:AO3320"/>
    <mergeCell ref="AP3320:AQ3320"/>
    <mergeCell ref="AR3320:AS3321"/>
    <mergeCell ref="AT3320:AU3321"/>
    <mergeCell ref="AV3320:AW3321"/>
    <mergeCell ref="AX3320:AY3321"/>
    <mergeCell ref="AZ3320:AZ3321"/>
    <mergeCell ref="F3321:H3321"/>
    <mergeCell ref="X3321:AB3321"/>
    <mergeCell ref="AE3321:AI3321"/>
    <mergeCell ref="AJ3321:AL3321"/>
    <mergeCell ref="AN3321:AO3321"/>
    <mergeCell ref="AP3321:AQ3321"/>
    <mergeCell ref="A3314:A3315"/>
    <mergeCell ref="E3314:E3315"/>
    <mergeCell ref="F3314:H3314"/>
    <mergeCell ref="J3314:J3315"/>
    <mergeCell ref="K3314:L3315"/>
    <mergeCell ref="M3314:N3315"/>
    <mergeCell ref="O3314:P3315"/>
    <mergeCell ref="Q3314:R3315"/>
    <mergeCell ref="S3314:T3315"/>
    <mergeCell ref="U3314:V3315"/>
    <mergeCell ref="W3314:W3315"/>
    <mergeCell ref="X3314:AB3314"/>
    <mergeCell ref="AD3314:AI3314"/>
    <mergeCell ref="AJ3314:AL3314"/>
    <mergeCell ref="AN3314:AO3314"/>
    <mergeCell ref="AP3314:AQ3314"/>
    <mergeCell ref="AR3314:AS3315"/>
    <mergeCell ref="AT3314:AU3315"/>
    <mergeCell ref="AV3314:AW3315"/>
    <mergeCell ref="AX3314:AY3315"/>
    <mergeCell ref="AZ3314:AZ3315"/>
    <mergeCell ref="F3315:H3315"/>
    <mergeCell ref="X3315:AB3315"/>
    <mergeCell ref="AE3315:AI3315"/>
    <mergeCell ref="AJ3315:AL3315"/>
    <mergeCell ref="AN3315:AO3315"/>
    <mergeCell ref="AP3315:AQ3315"/>
    <mergeCell ref="A3316:A3317"/>
    <mergeCell ref="E3316:E3317"/>
    <mergeCell ref="F3316:H3316"/>
    <mergeCell ref="J3316:J3317"/>
    <mergeCell ref="K3316:L3317"/>
    <mergeCell ref="M3316:N3317"/>
    <mergeCell ref="O3316:P3317"/>
    <mergeCell ref="Q3316:R3317"/>
    <mergeCell ref="S3316:T3317"/>
    <mergeCell ref="U3316:V3317"/>
    <mergeCell ref="W3316:W3317"/>
    <mergeCell ref="X3316:AB3316"/>
    <mergeCell ref="AD3316:AI3316"/>
    <mergeCell ref="AJ3316:AL3316"/>
    <mergeCell ref="AN3316:AO3316"/>
    <mergeCell ref="AP3316:AQ3316"/>
    <mergeCell ref="AR3316:AS3317"/>
    <mergeCell ref="AT3316:AU3317"/>
    <mergeCell ref="AV3316:AW3317"/>
    <mergeCell ref="AX3316:AY3317"/>
    <mergeCell ref="AZ3316:AZ3317"/>
    <mergeCell ref="F3317:H3317"/>
    <mergeCell ref="X3317:AB3317"/>
    <mergeCell ref="AE3317:AI3317"/>
    <mergeCell ref="AJ3317:AL3317"/>
    <mergeCell ref="AN3317:AO3317"/>
    <mergeCell ref="AP3317:AQ3317"/>
    <mergeCell ref="A3310:A3311"/>
    <mergeCell ref="E3310:E3311"/>
    <mergeCell ref="F3310:H3310"/>
    <mergeCell ref="J3310:J3311"/>
    <mergeCell ref="K3310:L3311"/>
    <mergeCell ref="M3310:N3311"/>
    <mergeCell ref="O3310:P3311"/>
    <mergeCell ref="Q3310:R3311"/>
    <mergeCell ref="S3310:T3311"/>
    <mergeCell ref="U3310:V3311"/>
    <mergeCell ref="W3310:W3311"/>
    <mergeCell ref="X3310:AB3310"/>
    <mergeCell ref="AD3310:AI3310"/>
    <mergeCell ref="AJ3310:AL3310"/>
    <mergeCell ref="AN3310:AO3310"/>
    <mergeCell ref="AP3310:AQ3310"/>
    <mergeCell ref="AR3310:AS3311"/>
    <mergeCell ref="AT3310:AU3311"/>
    <mergeCell ref="AV3310:AW3311"/>
    <mergeCell ref="AX3310:AY3311"/>
    <mergeCell ref="AZ3310:AZ3311"/>
    <mergeCell ref="F3311:H3311"/>
    <mergeCell ref="X3311:AB3311"/>
    <mergeCell ref="AE3311:AI3311"/>
    <mergeCell ref="AJ3311:AL3311"/>
    <mergeCell ref="AN3311:AO3311"/>
    <mergeCell ref="AP3311:AQ3311"/>
    <mergeCell ref="A3312:A3313"/>
    <mergeCell ref="E3312:E3313"/>
    <mergeCell ref="F3312:H3312"/>
    <mergeCell ref="J3312:J3313"/>
    <mergeCell ref="K3312:L3313"/>
    <mergeCell ref="M3312:N3313"/>
    <mergeCell ref="O3312:P3313"/>
    <mergeCell ref="Q3312:R3313"/>
    <mergeCell ref="S3312:T3313"/>
    <mergeCell ref="U3312:V3313"/>
    <mergeCell ref="W3312:W3313"/>
    <mergeCell ref="X3312:AB3312"/>
    <mergeCell ref="AD3312:AI3312"/>
    <mergeCell ref="AJ3312:AL3312"/>
    <mergeCell ref="AN3312:AO3312"/>
    <mergeCell ref="AP3312:AQ3312"/>
    <mergeCell ref="AR3312:AS3313"/>
    <mergeCell ref="AT3312:AU3313"/>
    <mergeCell ref="AV3312:AW3313"/>
    <mergeCell ref="AX3312:AY3313"/>
    <mergeCell ref="AZ3312:AZ3313"/>
    <mergeCell ref="F3313:H3313"/>
    <mergeCell ref="X3313:AB3313"/>
    <mergeCell ref="AE3313:AI3313"/>
    <mergeCell ref="AJ3313:AL3313"/>
    <mergeCell ref="AN3313:AO3313"/>
    <mergeCell ref="AP3313:AQ3313"/>
    <mergeCell ref="A3306:A3307"/>
    <mergeCell ref="E3306:E3307"/>
    <mergeCell ref="F3306:H3306"/>
    <mergeCell ref="J3306:J3307"/>
    <mergeCell ref="K3306:L3307"/>
    <mergeCell ref="M3306:N3307"/>
    <mergeCell ref="O3306:P3307"/>
    <mergeCell ref="Q3306:R3307"/>
    <mergeCell ref="S3306:T3307"/>
    <mergeCell ref="U3306:V3307"/>
    <mergeCell ref="W3306:W3307"/>
    <mergeCell ref="X3306:AB3306"/>
    <mergeCell ref="AD3306:AI3306"/>
    <mergeCell ref="AJ3306:AL3306"/>
    <mergeCell ref="AN3306:AO3306"/>
    <mergeCell ref="AP3306:AQ3306"/>
    <mergeCell ref="AR3306:AS3307"/>
    <mergeCell ref="AT3306:AU3307"/>
    <mergeCell ref="AV3306:AW3307"/>
    <mergeCell ref="AX3306:AY3307"/>
    <mergeCell ref="AZ3306:AZ3307"/>
    <mergeCell ref="F3307:H3307"/>
    <mergeCell ref="X3307:AB3307"/>
    <mergeCell ref="AE3307:AI3307"/>
    <mergeCell ref="AJ3307:AL3307"/>
    <mergeCell ref="AN3307:AO3307"/>
    <mergeCell ref="AP3307:AQ3307"/>
    <mergeCell ref="A3308:A3309"/>
    <mergeCell ref="E3308:E3309"/>
    <mergeCell ref="F3308:H3308"/>
    <mergeCell ref="J3308:J3309"/>
    <mergeCell ref="K3308:L3309"/>
    <mergeCell ref="M3308:N3309"/>
    <mergeCell ref="O3308:P3309"/>
    <mergeCell ref="Q3308:R3309"/>
    <mergeCell ref="S3308:T3309"/>
    <mergeCell ref="U3308:V3309"/>
    <mergeCell ref="W3308:W3309"/>
    <mergeCell ref="X3308:AB3308"/>
    <mergeCell ref="AD3308:AI3308"/>
    <mergeCell ref="AJ3308:AL3308"/>
    <mergeCell ref="AN3308:AO3308"/>
    <mergeCell ref="AP3308:AQ3308"/>
    <mergeCell ref="AR3308:AS3309"/>
    <mergeCell ref="AT3308:AU3309"/>
    <mergeCell ref="AV3308:AW3309"/>
    <mergeCell ref="AX3308:AY3309"/>
    <mergeCell ref="AZ3308:AZ3309"/>
    <mergeCell ref="F3309:H3309"/>
    <mergeCell ref="X3309:AB3309"/>
    <mergeCell ref="AE3309:AI3309"/>
    <mergeCell ref="AJ3309:AL3309"/>
    <mergeCell ref="AN3309:AO3309"/>
    <mergeCell ref="AP3309:AQ3309"/>
    <mergeCell ref="A3302:A3303"/>
    <mergeCell ref="E3302:E3303"/>
    <mergeCell ref="F3302:H3302"/>
    <mergeCell ref="J3302:J3303"/>
    <mergeCell ref="K3302:L3303"/>
    <mergeCell ref="M3302:N3303"/>
    <mergeCell ref="O3302:P3303"/>
    <mergeCell ref="Q3302:R3303"/>
    <mergeCell ref="S3302:T3303"/>
    <mergeCell ref="U3302:V3303"/>
    <mergeCell ref="W3302:W3303"/>
    <mergeCell ref="X3302:AB3302"/>
    <mergeCell ref="AD3302:AI3302"/>
    <mergeCell ref="AJ3302:AL3302"/>
    <mergeCell ref="AN3302:AO3302"/>
    <mergeCell ref="AP3302:AQ3302"/>
    <mergeCell ref="AR3302:AS3303"/>
    <mergeCell ref="AT3302:AU3303"/>
    <mergeCell ref="AV3302:AW3303"/>
    <mergeCell ref="AX3302:AY3303"/>
    <mergeCell ref="AZ3302:AZ3303"/>
    <mergeCell ref="F3303:H3303"/>
    <mergeCell ref="X3303:AB3303"/>
    <mergeCell ref="AE3303:AI3303"/>
    <mergeCell ref="AJ3303:AL3303"/>
    <mergeCell ref="AN3303:AO3303"/>
    <mergeCell ref="AP3303:AQ3303"/>
    <mergeCell ref="A3304:A3305"/>
    <mergeCell ref="E3304:E3305"/>
    <mergeCell ref="F3304:H3304"/>
    <mergeCell ref="J3304:J3305"/>
    <mergeCell ref="K3304:L3305"/>
    <mergeCell ref="M3304:N3305"/>
    <mergeCell ref="O3304:P3305"/>
    <mergeCell ref="Q3304:R3305"/>
    <mergeCell ref="S3304:T3305"/>
    <mergeCell ref="U3304:V3305"/>
    <mergeCell ref="W3304:W3305"/>
    <mergeCell ref="X3304:AB3304"/>
    <mergeCell ref="AD3304:AI3304"/>
    <mergeCell ref="AJ3304:AL3304"/>
    <mergeCell ref="AN3304:AO3304"/>
    <mergeCell ref="AP3304:AQ3304"/>
    <mergeCell ref="AR3304:AS3305"/>
    <mergeCell ref="AT3304:AU3305"/>
    <mergeCell ref="AV3304:AW3305"/>
    <mergeCell ref="AX3304:AY3305"/>
    <mergeCell ref="AZ3304:AZ3305"/>
    <mergeCell ref="F3305:H3305"/>
    <mergeCell ref="X3305:AB3305"/>
    <mergeCell ref="AE3305:AI3305"/>
    <mergeCell ref="AJ3305:AL3305"/>
    <mergeCell ref="AN3305:AO3305"/>
    <mergeCell ref="AP3305:AQ3305"/>
    <mergeCell ref="A3296:A3297"/>
    <mergeCell ref="E3296:E3297"/>
    <mergeCell ref="F3296:H3296"/>
    <mergeCell ref="J3296:J3297"/>
    <mergeCell ref="K3296:L3297"/>
    <mergeCell ref="M3296:N3297"/>
    <mergeCell ref="O3296:P3297"/>
    <mergeCell ref="Q3296:R3297"/>
    <mergeCell ref="S3296:T3297"/>
    <mergeCell ref="U3296:V3297"/>
    <mergeCell ref="W3296:W3297"/>
    <mergeCell ref="X3296:AB3296"/>
    <mergeCell ref="AD3296:AI3296"/>
    <mergeCell ref="AJ3296:AL3296"/>
    <mergeCell ref="AN3296:AO3296"/>
    <mergeCell ref="AP3296:AQ3296"/>
    <mergeCell ref="AR3296:AS3297"/>
    <mergeCell ref="AT3296:AU3297"/>
    <mergeCell ref="AV3296:AW3297"/>
    <mergeCell ref="AX3296:AY3297"/>
    <mergeCell ref="AZ3296:AZ3297"/>
    <mergeCell ref="F3297:H3297"/>
    <mergeCell ref="X3297:AB3297"/>
    <mergeCell ref="AE3297:AI3297"/>
    <mergeCell ref="AJ3297:AL3297"/>
    <mergeCell ref="AN3297:AO3297"/>
    <mergeCell ref="AP3297:AQ3297"/>
    <mergeCell ref="A3300:A3301"/>
    <mergeCell ref="E3300:E3301"/>
    <mergeCell ref="F3300:H3300"/>
    <mergeCell ref="J3300:J3301"/>
    <mergeCell ref="K3300:L3301"/>
    <mergeCell ref="M3300:N3301"/>
    <mergeCell ref="O3300:P3301"/>
    <mergeCell ref="Q3300:R3301"/>
    <mergeCell ref="S3300:T3301"/>
    <mergeCell ref="U3300:V3301"/>
    <mergeCell ref="W3300:W3301"/>
    <mergeCell ref="X3300:AB3300"/>
    <mergeCell ref="AD3300:AI3300"/>
    <mergeCell ref="AJ3300:AL3300"/>
    <mergeCell ref="AN3300:AO3300"/>
    <mergeCell ref="AP3300:AQ3300"/>
    <mergeCell ref="AR3300:AS3301"/>
    <mergeCell ref="AT3300:AU3301"/>
    <mergeCell ref="AV3300:AW3301"/>
    <mergeCell ref="AX3300:AY3301"/>
    <mergeCell ref="AZ3300:AZ3301"/>
    <mergeCell ref="F3301:H3301"/>
    <mergeCell ref="X3301:AB3301"/>
    <mergeCell ref="AE3301:AI3301"/>
    <mergeCell ref="AJ3301:AL3301"/>
    <mergeCell ref="AN3301:AO3301"/>
    <mergeCell ref="AP3301:AQ3301"/>
    <mergeCell ref="A3298:A3299"/>
    <mergeCell ref="E3298:E3299"/>
    <mergeCell ref="F3298:H3298"/>
    <mergeCell ref="J3298:J3299"/>
    <mergeCell ref="K3298:L3299"/>
    <mergeCell ref="M3298:N3299"/>
    <mergeCell ref="O3298:P3299"/>
    <mergeCell ref="Q3298:R3299"/>
    <mergeCell ref="S3298:T3299"/>
    <mergeCell ref="U3298:V3299"/>
    <mergeCell ref="A3292:A3293"/>
    <mergeCell ref="E3292:E3293"/>
    <mergeCell ref="F3292:H3292"/>
    <mergeCell ref="J3292:J3293"/>
    <mergeCell ref="K3292:L3293"/>
    <mergeCell ref="M3292:N3293"/>
    <mergeCell ref="O3292:P3293"/>
    <mergeCell ref="Q3292:R3293"/>
    <mergeCell ref="S3292:T3293"/>
    <mergeCell ref="U3292:V3293"/>
    <mergeCell ref="W3292:W3293"/>
    <mergeCell ref="X3292:AB3292"/>
    <mergeCell ref="AD3292:AI3292"/>
    <mergeCell ref="AJ3292:AL3292"/>
    <mergeCell ref="AN3292:AO3292"/>
    <mergeCell ref="AP3292:AQ3292"/>
    <mergeCell ref="AR3292:AS3293"/>
    <mergeCell ref="AT3292:AU3293"/>
    <mergeCell ref="AV3292:AW3293"/>
    <mergeCell ref="AX3292:AY3293"/>
    <mergeCell ref="AZ3292:AZ3293"/>
    <mergeCell ref="F3293:H3293"/>
    <mergeCell ref="X3293:AB3293"/>
    <mergeCell ref="AE3293:AI3293"/>
    <mergeCell ref="AJ3293:AL3293"/>
    <mergeCell ref="AN3293:AO3293"/>
    <mergeCell ref="AP3293:AQ3293"/>
    <mergeCell ref="A3294:A3295"/>
    <mergeCell ref="E3294:E3295"/>
    <mergeCell ref="F3294:H3294"/>
    <mergeCell ref="J3294:J3295"/>
    <mergeCell ref="K3294:L3295"/>
    <mergeCell ref="M3294:N3295"/>
    <mergeCell ref="O3294:P3295"/>
    <mergeCell ref="Q3294:R3295"/>
    <mergeCell ref="S3294:T3295"/>
    <mergeCell ref="U3294:V3295"/>
    <mergeCell ref="W3294:W3295"/>
    <mergeCell ref="X3294:AB3294"/>
    <mergeCell ref="AD3294:AI3294"/>
    <mergeCell ref="AJ3294:AL3294"/>
    <mergeCell ref="AN3294:AO3294"/>
    <mergeCell ref="AP3294:AQ3294"/>
    <mergeCell ref="AR3294:AS3295"/>
    <mergeCell ref="AT3294:AU3295"/>
    <mergeCell ref="AV3294:AW3295"/>
    <mergeCell ref="AX3294:AY3295"/>
    <mergeCell ref="AZ3294:AZ3295"/>
    <mergeCell ref="F3295:H3295"/>
    <mergeCell ref="X3295:AB3295"/>
    <mergeCell ref="AE3295:AI3295"/>
    <mergeCell ref="AJ3295:AL3295"/>
    <mergeCell ref="AN3295:AO3295"/>
    <mergeCell ref="AP3295:AQ3295"/>
    <mergeCell ref="A3288:A3289"/>
    <mergeCell ref="E3288:E3289"/>
    <mergeCell ref="F3288:H3288"/>
    <mergeCell ref="J3288:J3289"/>
    <mergeCell ref="K3288:L3289"/>
    <mergeCell ref="M3288:N3289"/>
    <mergeCell ref="O3288:P3289"/>
    <mergeCell ref="Q3288:R3289"/>
    <mergeCell ref="S3288:T3289"/>
    <mergeCell ref="U3288:V3289"/>
    <mergeCell ref="W3288:W3289"/>
    <mergeCell ref="X3288:AB3288"/>
    <mergeCell ref="AD3288:AI3288"/>
    <mergeCell ref="AJ3288:AL3288"/>
    <mergeCell ref="AN3288:AO3288"/>
    <mergeCell ref="AP3288:AQ3288"/>
    <mergeCell ref="AR3288:AS3289"/>
    <mergeCell ref="AT3288:AU3289"/>
    <mergeCell ref="AV3288:AW3289"/>
    <mergeCell ref="AX3288:AY3289"/>
    <mergeCell ref="AZ3288:AZ3289"/>
    <mergeCell ref="F3289:H3289"/>
    <mergeCell ref="X3289:AB3289"/>
    <mergeCell ref="AE3289:AI3289"/>
    <mergeCell ref="AJ3289:AL3289"/>
    <mergeCell ref="AN3289:AO3289"/>
    <mergeCell ref="AP3289:AQ3289"/>
    <mergeCell ref="A3290:A3291"/>
    <mergeCell ref="E3290:E3291"/>
    <mergeCell ref="F3290:H3290"/>
    <mergeCell ref="J3290:J3291"/>
    <mergeCell ref="K3290:L3291"/>
    <mergeCell ref="M3290:N3291"/>
    <mergeCell ref="O3290:P3291"/>
    <mergeCell ref="Q3290:R3291"/>
    <mergeCell ref="S3290:T3291"/>
    <mergeCell ref="U3290:V3291"/>
    <mergeCell ref="W3290:W3291"/>
    <mergeCell ref="X3290:AB3290"/>
    <mergeCell ref="AD3290:AI3290"/>
    <mergeCell ref="AJ3290:AL3290"/>
    <mergeCell ref="AN3290:AO3290"/>
    <mergeCell ref="AP3290:AQ3290"/>
    <mergeCell ref="AR3290:AS3291"/>
    <mergeCell ref="AT3290:AU3291"/>
    <mergeCell ref="AV3290:AW3291"/>
    <mergeCell ref="AX3290:AY3291"/>
    <mergeCell ref="AZ3290:AZ3291"/>
    <mergeCell ref="F3291:H3291"/>
    <mergeCell ref="X3291:AB3291"/>
    <mergeCell ref="AE3291:AI3291"/>
    <mergeCell ref="AJ3291:AL3291"/>
    <mergeCell ref="AN3291:AO3291"/>
    <mergeCell ref="AP3291:AQ3291"/>
    <mergeCell ref="J3282:J3283"/>
    <mergeCell ref="K3282:L3283"/>
    <mergeCell ref="M3282:N3283"/>
    <mergeCell ref="O3282:P3283"/>
    <mergeCell ref="Q3282:R3283"/>
    <mergeCell ref="S3282:T3283"/>
    <mergeCell ref="U3282:V3283"/>
    <mergeCell ref="W3282:W3283"/>
    <mergeCell ref="X3282:AB3282"/>
    <mergeCell ref="AD3282:AI3282"/>
    <mergeCell ref="AJ3282:AL3282"/>
    <mergeCell ref="AN3282:AO3282"/>
    <mergeCell ref="AP3282:AQ3282"/>
    <mergeCell ref="AR3282:AS3283"/>
    <mergeCell ref="AT3282:AU3283"/>
    <mergeCell ref="AV3282:AW3283"/>
    <mergeCell ref="AX3282:AY3283"/>
    <mergeCell ref="AZ3282:AZ3283"/>
    <mergeCell ref="F3283:H3283"/>
    <mergeCell ref="X3283:AB3283"/>
    <mergeCell ref="AE3283:AI3283"/>
    <mergeCell ref="AJ3283:AL3283"/>
    <mergeCell ref="AN3283:AO3283"/>
    <mergeCell ref="AP3283:AQ3283"/>
    <mergeCell ref="A3274:A3275"/>
    <mergeCell ref="E3274:E3275"/>
    <mergeCell ref="F3274:H3274"/>
    <mergeCell ref="J3274:J3275"/>
    <mergeCell ref="K3274:L3275"/>
    <mergeCell ref="M3274:N3275"/>
    <mergeCell ref="O3274:P3275"/>
    <mergeCell ref="Q3274:R3275"/>
    <mergeCell ref="S3274:T3275"/>
    <mergeCell ref="U3274:V3275"/>
    <mergeCell ref="W3274:W3275"/>
    <mergeCell ref="X3274:AB3274"/>
    <mergeCell ref="AD3274:AI3274"/>
    <mergeCell ref="AJ3274:AL3274"/>
    <mergeCell ref="AN3274:AO3274"/>
    <mergeCell ref="AP3274:AQ3274"/>
    <mergeCell ref="AR3274:AS3275"/>
    <mergeCell ref="AT3274:AU3275"/>
    <mergeCell ref="AV3274:AW3275"/>
    <mergeCell ref="AX3274:AY3275"/>
    <mergeCell ref="AZ3274:AZ3275"/>
    <mergeCell ref="F3275:H3275"/>
    <mergeCell ref="X3275:AB3275"/>
    <mergeCell ref="AE3275:AI3275"/>
    <mergeCell ref="AJ3275:AL3275"/>
    <mergeCell ref="AN3275:AO3275"/>
    <mergeCell ref="AP3275:AQ3275"/>
    <mergeCell ref="A3278:A3279"/>
    <mergeCell ref="E3278:E3279"/>
    <mergeCell ref="F3278:H3278"/>
    <mergeCell ref="J3278:J3279"/>
    <mergeCell ref="K3278:L3279"/>
    <mergeCell ref="M3278:N3279"/>
    <mergeCell ref="O3278:P3279"/>
    <mergeCell ref="Q3278:R3279"/>
    <mergeCell ref="S3278:T3279"/>
    <mergeCell ref="U3278:V3279"/>
    <mergeCell ref="W3278:W3279"/>
    <mergeCell ref="X3278:AB3278"/>
    <mergeCell ref="AD3278:AI3278"/>
    <mergeCell ref="AJ3278:AL3278"/>
    <mergeCell ref="AN3278:AO3278"/>
    <mergeCell ref="AP3278:AQ3278"/>
    <mergeCell ref="AR3278:AS3279"/>
    <mergeCell ref="AT3278:AU3279"/>
    <mergeCell ref="AV3278:AW3279"/>
    <mergeCell ref="AX3278:AY3279"/>
    <mergeCell ref="AZ3278:AZ3279"/>
    <mergeCell ref="F3279:H3279"/>
    <mergeCell ref="X3279:AB3279"/>
    <mergeCell ref="AE3279:AI3279"/>
    <mergeCell ref="AJ3279:AL3279"/>
    <mergeCell ref="AN3279:AO3279"/>
    <mergeCell ref="AP3279:AQ3279"/>
    <mergeCell ref="A3268:A3269"/>
    <mergeCell ref="E3268:E3269"/>
    <mergeCell ref="F3268:H3268"/>
    <mergeCell ref="J3268:J3269"/>
    <mergeCell ref="K3268:L3269"/>
    <mergeCell ref="M3268:N3269"/>
    <mergeCell ref="O3268:P3269"/>
    <mergeCell ref="Q3268:R3269"/>
    <mergeCell ref="S3268:T3269"/>
    <mergeCell ref="U3268:V3269"/>
    <mergeCell ref="W3268:W3269"/>
    <mergeCell ref="X3268:AB3268"/>
    <mergeCell ref="AD3268:AI3268"/>
    <mergeCell ref="AJ3268:AL3268"/>
    <mergeCell ref="AN3268:AO3268"/>
    <mergeCell ref="AP3268:AQ3268"/>
    <mergeCell ref="AR3268:AS3269"/>
    <mergeCell ref="AT3268:AU3269"/>
    <mergeCell ref="AV3268:AW3269"/>
    <mergeCell ref="AX3268:AY3269"/>
    <mergeCell ref="AZ3268:AZ3269"/>
    <mergeCell ref="F3269:H3269"/>
    <mergeCell ref="X3269:AB3269"/>
    <mergeCell ref="AE3269:AI3269"/>
    <mergeCell ref="AJ3269:AL3269"/>
    <mergeCell ref="AN3269:AO3269"/>
    <mergeCell ref="AP3269:AQ3269"/>
    <mergeCell ref="A3270:A3271"/>
    <mergeCell ref="E3270:E3271"/>
    <mergeCell ref="F3270:H3270"/>
    <mergeCell ref="J3270:J3271"/>
    <mergeCell ref="K3270:L3271"/>
    <mergeCell ref="M3270:N3271"/>
    <mergeCell ref="O3270:P3271"/>
    <mergeCell ref="Q3270:R3271"/>
    <mergeCell ref="S3270:T3271"/>
    <mergeCell ref="U3270:V3271"/>
    <mergeCell ref="W3270:W3271"/>
    <mergeCell ref="X3270:AB3270"/>
    <mergeCell ref="AD3270:AI3270"/>
    <mergeCell ref="AJ3270:AL3270"/>
    <mergeCell ref="AN3270:AO3270"/>
    <mergeCell ref="AP3270:AQ3270"/>
    <mergeCell ref="AR3270:AS3271"/>
    <mergeCell ref="AT3270:AU3271"/>
    <mergeCell ref="AV3270:AW3271"/>
    <mergeCell ref="AX3270:AY3271"/>
    <mergeCell ref="AZ3270:AZ3271"/>
    <mergeCell ref="F3271:H3271"/>
    <mergeCell ref="X3271:AB3271"/>
    <mergeCell ref="AE3271:AI3271"/>
    <mergeCell ref="AJ3271:AL3271"/>
    <mergeCell ref="AN3271:AO3271"/>
    <mergeCell ref="AP3271:AQ3271"/>
    <mergeCell ref="A3264:A3265"/>
    <mergeCell ref="E3264:E3265"/>
    <mergeCell ref="F3264:H3264"/>
    <mergeCell ref="J3264:J3265"/>
    <mergeCell ref="K3264:L3265"/>
    <mergeCell ref="M3264:N3265"/>
    <mergeCell ref="O3264:P3265"/>
    <mergeCell ref="Q3264:R3265"/>
    <mergeCell ref="S3264:T3265"/>
    <mergeCell ref="U3264:V3265"/>
    <mergeCell ref="W3264:W3265"/>
    <mergeCell ref="X3264:AB3264"/>
    <mergeCell ref="AD3264:AI3264"/>
    <mergeCell ref="AJ3264:AL3264"/>
    <mergeCell ref="AN3264:AO3264"/>
    <mergeCell ref="AP3264:AQ3264"/>
    <mergeCell ref="AR3264:AS3265"/>
    <mergeCell ref="AT3264:AU3265"/>
    <mergeCell ref="AV3264:AW3265"/>
    <mergeCell ref="AX3264:AY3265"/>
    <mergeCell ref="AZ3264:AZ3265"/>
    <mergeCell ref="F3265:H3265"/>
    <mergeCell ref="X3265:AB3265"/>
    <mergeCell ref="AE3265:AI3265"/>
    <mergeCell ref="AJ3265:AL3265"/>
    <mergeCell ref="AN3265:AO3265"/>
    <mergeCell ref="AP3265:AQ3265"/>
    <mergeCell ref="A3266:A3267"/>
    <mergeCell ref="E3266:E3267"/>
    <mergeCell ref="F3266:H3266"/>
    <mergeCell ref="J3266:J3267"/>
    <mergeCell ref="K3266:L3267"/>
    <mergeCell ref="M3266:N3267"/>
    <mergeCell ref="O3266:P3267"/>
    <mergeCell ref="Q3266:R3267"/>
    <mergeCell ref="S3266:T3267"/>
    <mergeCell ref="U3266:V3267"/>
    <mergeCell ref="W3266:W3267"/>
    <mergeCell ref="X3266:AB3266"/>
    <mergeCell ref="AD3266:AI3266"/>
    <mergeCell ref="AJ3266:AL3266"/>
    <mergeCell ref="AN3266:AO3266"/>
    <mergeCell ref="AP3266:AQ3266"/>
    <mergeCell ref="AR3266:AS3267"/>
    <mergeCell ref="AT3266:AU3267"/>
    <mergeCell ref="AV3266:AW3267"/>
    <mergeCell ref="AX3266:AY3267"/>
    <mergeCell ref="AZ3266:AZ3267"/>
    <mergeCell ref="F3267:H3267"/>
    <mergeCell ref="X3267:AB3267"/>
    <mergeCell ref="AE3267:AI3267"/>
    <mergeCell ref="AJ3267:AL3267"/>
    <mergeCell ref="AN3267:AO3267"/>
    <mergeCell ref="AP3267:AQ3267"/>
    <mergeCell ref="A3260:A3261"/>
    <mergeCell ref="E3260:E3261"/>
    <mergeCell ref="F3260:H3260"/>
    <mergeCell ref="J3260:J3261"/>
    <mergeCell ref="K3260:L3261"/>
    <mergeCell ref="M3260:N3261"/>
    <mergeCell ref="O3260:P3261"/>
    <mergeCell ref="Q3260:R3261"/>
    <mergeCell ref="S3260:T3261"/>
    <mergeCell ref="U3260:V3261"/>
    <mergeCell ref="W3260:W3261"/>
    <mergeCell ref="X3260:AB3260"/>
    <mergeCell ref="AD3260:AI3260"/>
    <mergeCell ref="AJ3260:AL3260"/>
    <mergeCell ref="AN3260:AO3260"/>
    <mergeCell ref="AP3260:AQ3260"/>
    <mergeCell ref="AR3260:AS3261"/>
    <mergeCell ref="AT3260:AU3261"/>
    <mergeCell ref="AV3260:AW3261"/>
    <mergeCell ref="AX3260:AY3261"/>
    <mergeCell ref="AZ3260:AZ3261"/>
    <mergeCell ref="F3261:H3261"/>
    <mergeCell ref="X3261:AB3261"/>
    <mergeCell ref="AE3261:AI3261"/>
    <mergeCell ref="AJ3261:AL3261"/>
    <mergeCell ref="AN3261:AO3261"/>
    <mergeCell ref="AP3261:AQ3261"/>
    <mergeCell ref="A3262:A3263"/>
    <mergeCell ref="E3262:E3263"/>
    <mergeCell ref="F3262:H3262"/>
    <mergeCell ref="J3262:J3263"/>
    <mergeCell ref="K3262:L3263"/>
    <mergeCell ref="M3262:N3263"/>
    <mergeCell ref="O3262:P3263"/>
    <mergeCell ref="Q3262:R3263"/>
    <mergeCell ref="S3262:T3263"/>
    <mergeCell ref="U3262:V3263"/>
    <mergeCell ref="W3262:W3263"/>
    <mergeCell ref="X3262:AB3262"/>
    <mergeCell ref="AD3262:AI3262"/>
    <mergeCell ref="AJ3262:AL3262"/>
    <mergeCell ref="AN3262:AO3262"/>
    <mergeCell ref="AP3262:AQ3262"/>
    <mergeCell ref="AR3262:AS3263"/>
    <mergeCell ref="AT3262:AU3263"/>
    <mergeCell ref="AV3262:AW3263"/>
    <mergeCell ref="AX3262:AY3263"/>
    <mergeCell ref="AZ3262:AZ3263"/>
    <mergeCell ref="F3263:H3263"/>
    <mergeCell ref="X3263:AB3263"/>
    <mergeCell ref="AE3263:AI3263"/>
    <mergeCell ref="AJ3263:AL3263"/>
    <mergeCell ref="AN3263:AO3263"/>
    <mergeCell ref="AP3263:AQ3263"/>
    <mergeCell ref="A3256:A3257"/>
    <mergeCell ref="E3256:E3257"/>
    <mergeCell ref="F3256:H3256"/>
    <mergeCell ref="J3256:J3257"/>
    <mergeCell ref="K3256:L3257"/>
    <mergeCell ref="M3256:N3257"/>
    <mergeCell ref="O3256:P3257"/>
    <mergeCell ref="Q3256:R3257"/>
    <mergeCell ref="S3256:T3257"/>
    <mergeCell ref="U3256:V3257"/>
    <mergeCell ref="W3256:W3257"/>
    <mergeCell ref="X3256:AB3256"/>
    <mergeCell ref="AD3256:AI3256"/>
    <mergeCell ref="AJ3256:AL3256"/>
    <mergeCell ref="AN3256:AO3256"/>
    <mergeCell ref="AP3256:AQ3256"/>
    <mergeCell ref="AR3256:AS3257"/>
    <mergeCell ref="AT3256:AU3257"/>
    <mergeCell ref="AV3256:AW3257"/>
    <mergeCell ref="AX3256:AY3257"/>
    <mergeCell ref="AZ3256:AZ3257"/>
    <mergeCell ref="F3257:H3257"/>
    <mergeCell ref="X3257:AB3257"/>
    <mergeCell ref="AE3257:AI3257"/>
    <mergeCell ref="AJ3257:AL3257"/>
    <mergeCell ref="AN3257:AO3257"/>
    <mergeCell ref="AP3257:AQ3257"/>
    <mergeCell ref="A3258:A3259"/>
    <mergeCell ref="E3258:E3259"/>
    <mergeCell ref="F3258:H3258"/>
    <mergeCell ref="J3258:J3259"/>
    <mergeCell ref="K3258:L3259"/>
    <mergeCell ref="M3258:N3259"/>
    <mergeCell ref="O3258:P3259"/>
    <mergeCell ref="Q3258:R3259"/>
    <mergeCell ref="S3258:T3259"/>
    <mergeCell ref="U3258:V3259"/>
    <mergeCell ref="W3258:W3259"/>
    <mergeCell ref="X3258:AB3258"/>
    <mergeCell ref="AD3258:AI3258"/>
    <mergeCell ref="AJ3258:AL3258"/>
    <mergeCell ref="AN3258:AO3258"/>
    <mergeCell ref="AP3258:AQ3258"/>
    <mergeCell ref="AR3258:AS3259"/>
    <mergeCell ref="AT3258:AU3259"/>
    <mergeCell ref="AV3258:AW3259"/>
    <mergeCell ref="AX3258:AY3259"/>
    <mergeCell ref="AZ3258:AZ3259"/>
    <mergeCell ref="F3259:H3259"/>
    <mergeCell ref="X3259:AB3259"/>
    <mergeCell ref="AE3259:AI3259"/>
    <mergeCell ref="AJ3259:AL3259"/>
    <mergeCell ref="AN3259:AO3259"/>
    <mergeCell ref="AP3259:AQ3259"/>
    <mergeCell ref="A3252:A3253"/>
    <mergeCell ref="E3252:E3253"/>
    <mergeCell ref="F3252:H3252"/>
    <mergeCell ref="J3252:J3253"/>
    <mergeCell ref="K3252:L3253"/>
    <mergeCell ref="M3252:N3253"/>
    <mergeCell ref="O3252:P3253"/>
    <mergeCell ref="Q3252:R3253"/>
    <mergeCell ref="S3252:T3253"/>
    <mergeCell ref="U3252:V3253"/>
    <mergeCell ref="W3252:W3253"/>
    <mergeCell ref="X3252:AB3252"/>
    <mergeCell ref="AD3252:AI3252"/>
    <mergeCell ref="AJ3252:AL3252"/>
    <mergeCell ref="AN3252:AO3252"/>
    <mergeCell ref="AP3252:AQ3252"/>
    <mergeCell ref="AR3252:AS3253"/>
    <mergeCell ref="AT3252:AU3253"/>
    <mergeCell ref="AV3252:AW3253"/>
    <mergeCell ref="AX3252:AY3253"/>
    <mergeCell ref="AZ3252:AZ3253"/>
    <mergeCell ref="F3253:H3253"/>
    <mergeCell ref="X3253:AB3253"/>
    <mergeCell ref="AE3253:AI3253"/>
    <mergeCell ref="AJ3253:AL3253"/>
    <mergeCell ref="AN3253:AO3253"/>
    <mergeCell ref="AP3253:AQ3253"/>
    <mergeCell ref="A3254:A3255"/>
    <mergeCell ref="E3254:E3255"/>
    <mergeCell ref="F3254:H3254"/>
    <mergeCell ref="J3254:J3255"/>
    <mergeCell ref="K3254:L3255"/>
    <mergeCell ref="M3254:N3255"/>
    <mergeCell ref="O3254:P3255"/>
    <mergeCell ref="Q3254:R3255"/>
    <mergeCell ref="S3254:T3255"/>
    <mergeCell ref="U3254:V3255"/>
    <mergeCell ref="W3254:W3255"/>
    <mergeCell ref="X3254:AB3254"/>
    <mergeCell ref="AD3254:AI3254"/>
    <mergeCell ref="AJ3254:AL3254"/>
    <mergeCell ref="AN3254:AO3254"/>
    <mergeCell ref="AP3254:AQ3254"/>
    <mergeCell ref="AR3254:AS3255"/>
    <mergeCell ref="AT3254:AU3255"/>
    <mergeCell ref="AV3254:AW3255"/>
    <mergeCell ref="AX3254:AY3255"/>
    <mergeCell ref="AZ3254:AZ3255"/>
    <mergeCell ref="F3255:H3255"/>
    <mergeCell ref="X3255:AB3255"/>
    <mergeCell ref="AE3255:AI3255"/>
    <mergeCell ref="AJ3255:AL3255"/>
    <mergeCell ref="AN3255:AO3255"/>
    <mergeCell ref="AP3255:AQ3255"/>
    <mergeCell ref="A3248:A3249"/>
    <mergeCell ref="E3248:E3249"/>
    <mergeCell ref="F3248:H3248"/>
    <mergeCell ref="J3248:J3249"/>
    <mergeCell ref="K3248:L3249"/>
    <mergeCell ref="M3248:N3249"/>
    <mergeCell ref="O3248:P3249"/>
    <mergeCell ref="Q3248:R3249"/>
    <mergeCell ref="S3248:T3249"/>
    <mergeCell ref="U3248:V3249"/>
    <mergeCell ref="W3248:W3249"/>
    <mergeCell ref="X3248:AB3248"/>
    <mergeCell ref="AD3248:AI3248"/>
    <mergeCell ref="AJ3248:AL3248"/>
    <mergeCell ref="AN3248:AO3248"/>
    <mergeCell ref="AP3248:AQ3248"/>
    <mergeCell ref="AR3248:AS3249"/>
    <mergeCell ref="AT3248:AU3249"/>
    <mergeCell ref="AV3248:AW3249"/>
    <mergeCell ref="AX3248:AY3249"/>
    <mergeCell ref="AZ3248:AZ3249"/>
    <mergeCell ref="F3249:H3249"/>
    <mergeCell ref="X3249:AB3249"/>
    <mergeCell ref="AE3249:AI3249"/>
    <mergeCell ref="AJ3249:AL3249"/>
    <mergeCell ref="AN3249:AO3249"/>
    <mergeCell ref="AP3249:AQ3249"/>
    <mergeCell ref="A3250:A3251"/>
    <mergeCell ref="E3250:E3251"/>
    <mergeCell ref="F3250:H3250"/>
    <mergeCell ref="J3250:J3251"/>
    <mergeCell ref="K3250:L3251"/>
    <mergeCell ref="M3250:N3251"/>
    <mergeCell ref="O3250:P3251"/>
    <mergeCell ref="Q3250:R3251"/>
    <mergeCell ref="S3250:T3251"/>
    <mergeCell ref="U3250:V3251"/>
    <mergeCell ref="W3250:W3251"/>
    <mergeCell ref="X3250:AB3250"/>
    <mergeCell ref="AD3250:AI3250"/>
    <mergeCell ref="AJ3250:AL3250"/>
    <mergeCell ref="AN3250:AO3250"/>
    <mergeCell ref="AP3250:AQ3250"/>
    <mergeCell ref="AR3250:AS3251"/>
    <mergeCell ref="AT3250:AU3251"/>
    <mergeCell ref="AV3250:AW3251"/>
    <mergeCell ref="AX3250:AY3251"/>
    <mergeCell ref="AZ3250:AZ3251"/>
    <mergeCell ref="F3251:H3251"/>
    <mergeCell ref="X3251:AB3251"/>
    <mergeCell ref="AE3251:AI3251"/>
    <mergeCell ref="AJ3251:AL3251"/>
    <mergeCell ref="AN3251:AO3251"/>
    <mergeCell ref="AP3251:AQ3251"/>
    <mergeCell ref="A3244:A3245"/>
    <mergeCell ref="E3244:E3245"/>
    <mergeCell ref="F3244:H3244"/>
    <mergeCell ref="J3244:J3245"/>
    <mergeCell ref="K3244:L3245"/>
    <mergeCell ref="M3244:N3245"/>
    <mergeCell ref="O3244:P3245"/>
    <mergeCell ref="Q3244:R3245"/>
    <mergeCell ref="S3244:T3245"/>
    <mergeCell ref="U3244:V3245"/>
    <mergeCell ref="W3244:W3245"/>
    <mergeCell ref="X3244:AB3244"/>
    <mergeCell ref="AD3244:AI3244"/>
    <mergeCell ref="AJ3244:AL3244"/>
    <mergeCell ref="AN3244:AO3244"/>
    <mergeCell ref="AP3244:AQ3244"/>
    <mergeCell ref="AR3244:AS3245"/>
    <mergeCell ref="AT3244:AU3245"/>
    <mergeCell ref="AV3244:AW3245"/>
    <mergeCell ref="AX3244:AY3245"/>
    <mergeCell ref="AZ3244:AZ3245"/>
    <mergeCell ref="F3245:H3245"/>
    <mergeCell ref="X3245:AB3245"/>
    <mergeCell ref="AE3245:AI3245"/>
    <mergeCell ref="AJ3245:AL3245"/>
    <mergeCell ref="AN3245:AO3245"/>
    <mergeCell ref="AP3245:AQ3245"/>
    <mergeCell ref="A3246:A3247"/>
    <mergeCell ref="E3246:E3247"/>
    <mergeCell ref="F3246:H3246"/>
    <mergeCell ref="J3246:J3247"/>
    <mergeCell ref="K3246:L3247"/>
    <mergeCell ref="M3246:N3247"/>
    <mergeCell ref="O3246:P3247"/>
    <mergeCell ref="Q3246:R3247"/>
    <mergeCell ref="S3246:T3247"/>
    <mergeCell ref="U3246:V3247"/>
    <mergeCell ref="W3246:W3247"/>
    <mergeCell ref="X3246:AB3246"/>
    <mergeCell ref="AD3246:AI3246"/>
    <mergeCell ref="AJ3246:AL3246"/>
    <mergeCell ref="AN3246:AO3246"/>
    <mergeCell ref="AP3246:AQ3246"/>
    <mergeCell ref="AR3246:AS3247"/>
    <mergeCell ref="AT3246:AU3247"/>
    <mergeCell ref="AV3246:AW3247"/>
    <mergeCell ref="AX3246:AY3247"/>
    <mergeCell ref="AZ3246:AZ3247"/>
    <mergeCell ref="F3247:H3247"/>
    <mergeCell ref="X3247:AB3247"/>
    <mergeCell ref="AE3247:AI3247"/>
    <mergeCell ref="AJ3247:AL3247"/>
    <mergeCell ref="AN3247:AO3247"/>
    <mergeCell ref="AP3247:AQ3247"/>
    <mergeCell ref="A3240:A3241"/>
    <mergeCell ref="E3240:E3241"/>
    <mergeCell ref="F3240:H3240"/>
    <mergeCell ref="J3240:J3241"/>
    <mergeCell ref="K3240:L3241"/>
    <mergeCell ref="M3240:N3241"/>
    <mergeCell ref="O3240:P3241"/>
    <mergeCell ref="Q3240:R3241"/>
    <mergeCell ref="S3240:T3241"/>
    <mergeCell ref="U3240:V3241"/>
    <mergeCell ref="W3240:W3241"/>
    <mergeCell ref="X3240:AB3240"/>
    <mergeCell ref="AD3240:AI3240"/>
    <mergeCell ref="AJ3240:AL3240"/>
    <mergeCell ref="AN3240:AO3240"/>
    <mergeCell ref="AP3240:AQ3240"/>
    <mergeCell ref="AR3240:AS3241"/>
    <mergeCell ref="AT3240:AU3241"/>
    <mergeCell ref="AV3240:AW3241"/>
    <mergeCell ref="AX3240:AY3241"/>
    <mergeCell ref="AZ3240:AZ3241"/>
    <mergeCell ref="F3241:H3241"/>
    <mergeCell ref="X3241:AB3241"/>
    <mergeCell ref="AE3241:AI3241"/>
    <mergeCell ref="AJ3241:AL3241"/>
    <mergeCell ref="AN3241:AO3241"/>
    <mergeCell ref="AP3241:AQ3241"/>
    <mergeCell ref="A3242:A3243"/>
    <mergeCell ref="E3242:E3243"/>
    <mergeCell ref="F3242:H3242"/>
    <mergeCell ref="J3242:J3243"/>
    <mergeCell ref="K3242:L3243"/>
    <mergeCell ref="M3242:N3243"/>
    <mergeCell ref="O3242:P3243"/>
    <mergeCell ref="Q3242:R3243"/>
    <mergeCell ref="S3242:T3243"/>
    <mergeCell ref="U3242:V3243"/>
    <mergeCell ref="W3242:W3243"/>
    <mergeCell ref="X3242:AB3242"/>
    <mergeCell ref="AD3242:AI3242"/>
    <mergeCell ref="AJ3242:AL3242"/>
    <mergeCell ref="AN3242:AO3242"/>
    <mergeCell ref="AP3242:AQ3242"/>
    <mergeCell ref="AR3242:AS3243"/>
    <mergeCell ref="AT3242:AU3243"/>
    <mergeCell ref="AV3242:AW3243"/>
    <mergeCell ref="AX3242:AY3243"/>
    <mergeCell ref="AZ3242:AZ3243"/>
    <mergeCell ref="F3243:H3243"/>
    <mergeCell ref="X3243:AB3243"/>
    <mergeCell ref="AE3243:AI3243"/>
    <mergeCell ref="AJ3243:AL3243"/>
    <mergeCell ref="AN3243:AO3243"/>
    <mergeCell ref="AP3243:AQ3243"/>
    <mergeCell ref="A3236:A3237"/>
    <mergeCell ref="E3236:E3237"/>
    <mergeCell ref="F3236:H3236"/>
    <mergeCell ref="J3236:J3237"/>
    <mergeCell ref="K3236:L3237"/>
    <mergeCell ref="M3236:N3237"/>
    <mergeCell ref="O3236:P3237"/>
    <mergeCell ref="Q3236:R3237"/>
    <mergeCell ref="S3236:T3237"/>
    <mergeCell ref="U3236:V3237"/>
    <mergeCell ref="W3236:W3237"/>
    <mergeCell ref="X3236:AB3236"/>
    <mergeCell ref="AD3236:AI3236"/>
    <mergeCell ref="AJ3236:AL3236"/>
    <mergeCell ref="AN3236:AO3236"/>
    <mergeCell ref="AP3236:AQ3236"/>
    <mergeCell ref="AR3236:AS3237"/>
    <mergeCell ref="AT3236:AU3237"/>
    <mergeCell ref="AV3236:AW3237"/>
    <mergeCell ref="AX3236:AY3237"/>
    <mergeCell ref="AZ3236:AZ3237"/>
    <mergeCell ref="F3237:H3237"/>
    <mergeCell ref="X3237:AB3237"/>
    <mergeCell ref="AE3237:AI3237"/>
    <mergeCell ref="AJ3237:AL3237"/>
    <mergeCell ref="AN3237:AO3237"/>
    <mergeCell ref="AP3237:AQ3237"/>
    <mergeCell ref="A3238:A3239"/>
    <mergeCell ref="E3238:E3239"/>
    <mergeCell ref="F3238:H3238"/>
    <mergeCell ref="J3238:J3239"/>
    <mergeCell ref="K3238:L3239"/>
    <mergeCell ref="M3238:N3239"/>
    <mergeCell ref="O3238:P3239"/>
    <mergeCell ref="Q3238:R3239"/>
    <mergeCell ref="S3238:T3239"/>
    <mergeCell ref="U3238:V3239"/>
    <mergeCell ref="W3238:W3239"/>
    <mergeCell ref="X3238:AB3238"/>
    <mergeCell ref="AD3238:AI3238"/>
    <mergeCell ref="AJ3238:AL3238"/>
    <mergeCell ref="AN3238:AO3238"/>
    <mergeCell ref="AP3238:AQ3238"/>
    <mergeCell ref="AR3238:AS3239"/>
    <mergeCell ref="AT3238:AU3239"/>
    <mergeCell ref="AV3238:AW3239"/>
    <mergeCell ref="AX3238:AY3239"/>
    <mergeCell ref="AZ3238:AZ3239"/>
    <mergeCell ref="F3239:H3239"/>
    <mergeCell ref="X3239:AB3239"/>
    <mergeCell ref="AE3239:AI3239"/>
    <mergeCell ref="AJ3239:AL3239"/>
    <mergeCell ref="AN3239:AO3239"/>
    <mergeCell ref="AP3239:AQ3239"/>
    <mergeCell ref="A3232:A3233"/>
    <mergeCell ref="E3232:E3233"/>
    <mergeCell ref="F3232:H3232"/>
    <mergeCell ref="J3232:J3233"/>
    <mergeCell ref="K3232:L3233"/>
    <mergeCell ref="M3232:N3233"/>
    <mergeCell ref="O3232:P3233"/>
    <mergeCell ref="Q3232:R3233"/>
    <mergeCell ref="S3232:T3233"/>
    <mergeCell ref="U3232:V3233"/>
    <mergeCell ref="W3232:W3233"/>
    <mergeCell ref="X3232:AB3232"/>
    <mergeCell ref="AD3232:AI3232"/>
    <mergeCell ref="AJ3232:AL3232"/>
    <mergeCell ref="AN3232:AO3232"/>
    <mergeCell ref="AP3232:AQ3232"/>
    <mergeCell ref="AR3232:AS3233"/>
    <mergeCell ref="AT3232:AU3233"/>
    <mergeCell ref="AV3232:AW3233"/>
    <mergeCell ref="AX3232:AY3233"/>
    <mergeCell ref="AZ3232:AZ3233"/>
    <mergeCell ref="F3233:H3233"/>
    <mergeCell ref="X3233:AB3233"/>
    <mergeCell ref="AE3233:AI3233"/>
    <mergeCell ref="AJ3233:AL3233"/>
    <mergeCell ref="AN3233:AO3233"/>
    <mergeCell ref="AP3233:AQ3233"/>
    <mergeCell ref="A3234:A3235"/>
    <mergeCell ref="E3234:E3235"/>
    <mergeCell ref="F3234:H3234"/>
    <mergeCell ref="J3234:J3235"/>
    <mergeCell ref="K3234:L3235"/>
    <mergeCell ref="M3234:N3235"/>
    <mergeCell ref="O3234:P3235"/>
    <mergeCell ref="Q3234:R3235"/>
    <mergeCell ref="S3234:T3235"/>
    <mergeCell ref="U3234:V3235"/>
    <mergeCell ref="W3234:W3235"/>
    <mergeCell ref="X3234:AB3234"/>
    <mergeCell ref="AD3234:AI3234"/>
    <mergeCell ref="AJ3234:AL3234"/>
    <mergeCell ref="AN3234:AO3234"/>
    <mergeCell ref="AP3234:AQ3234"/>
    <mergeCell ref="AR3234:AS3235"/>
    <mergeCell ref="AT3234:AU3235"/>
    <mergeCell ref="AV3234:AW3235"/>
    <mergeCell ref="AX3234:AY3235"/>
    <mergeCell ref="AZ3234:AZ3235"/>
    <mergeCell ref="F3235:H3235"/>
    <mergeCell ref="X3235:AB3235"/>
    <mergeCell ref="AE3235:AI3235"/>
    <mergeCell ref="AJ3235:AL3235"/>
    <mergeCell ref="AN3235:AO3235"/>
    <mergeCell ref="AP3235:AQ3235"/>
    <mergeCell ref="A3228:A3229"/>
    <mergeCell ref="E3228:E3229"/>
    <mergeCell ref="F3228:H3228"/>
    <mergeCell ref="J3228:J3229"/>
    <mergeCell ref="K3228:L3229"/>
    <mergeCell ref="M3228:N3229"/>
    <mergeCell ref="O3228:P3229"/>
    <mergeCell ref="Q3228:R3229"/>
    <mergeCell ref="S3228:T3229"/>
    <mergeCell ref="U3228:V3229"/>
    <mergeCell ref="W3228:W3229"/>
    <mergeCell ref="X3228:AB3228"/>
    <mergeCell ref="AD3228:AI3228"/>
    <mergeCell ref="AJ3228:AL3228"/>
    <mergeCell ref="AN3228:AO3228"/>
    <mergeCell ref="AP3228:AQ3228"/>
    <mergeCell ref="AR3228:AS3229"/>
    <mergeCell ref="AT3228:AU3229"/>
    <mergeCell ref="AV3228:AW3229"/>
    <mergeCell ref="AX3228:AY3229"/>
    <mergeCell ref="AZ3228:AZ3229"/>
    <mergeCell ref="F3229:H3229"/>
    <mergeCell ref="X3229:AB3229"/>
    <mergeCell ref="AE3229:AI3229"/>
    <mergeCell ref="AJ3229:AL3229"/>
    <mergeCell ref="AN3229:AO3229"/>
    <mergeCell ref="AP3229:AQ3229"/>
    <mergeCell ref="A3230:A3231"/>
    <mergeCell ref="E3230:E3231"/>
    <mergeCell ref="F3230:H3230"/>
    <mergeCell ref="J3230:J3231"/>
    <mergeCell ref="K3230:L3231"/>
    <mergeCell ref="M3230:N3231"/>
    <mergeCell ref="O3230:P3231"/>
    <mergeCell ref="Q3230:R3231"/>
    <mergeCell ref="S3230:T3231"/>
    <mergeCell ref="U3230:V3231"/>
    <mergeCell ref="W3230:W3231"/>
    <mergeCell ref="X3230:AB3230"/>
    <mergeCell ref="AD3230:AI3230"/>
    <mergeCell ref="AJ3230:AL3230"/>
    <mergeCell ref="AN3230:AO3230"/>
    <mergeCell ref="AP3230:AQ3230"/>
    <mergeCell ref="AR3230:AS3231"/>
    <mergeCell ref="AT3230:AU3231"/>
    <mergeCell ref="AV3230:AW3231"/>
    <mergeCell ref="AX3230:AY3231"/>
    <mergeCell ref="AZ3230:AZ3231"/>
    <mergeCell ref="F3231:H3231"/>
    <mergeCell ref="X3231:AB3231"/>
    <mergeCell ref="AE3231:AI3231"/>
    <mergeCell ref="AJ3231:AL3231"/>
    <mergeCell ref="AN3231:AO3231"/>
    <mergeCell ref="AP3231:AQ3231"/>
    <mergeCell ref="A3224:A3225"/>
    <mergeCell ref="E3224:E3225"/>
    <mergeCell ref="F3224:H3224"/>
    <mergeCell ref="J3224:J3225"/>
    <mergeCell ref="K3224:L3225"/>
    <mergeCell ref="M3224:N3225"/>
    <mergeCell ref="O3224:P3225"/>
    <mergeCell ref="Q3224:R3225"/>
    <mergeCell ref="S3224:T3225"/>
    <mergeCell ref="U3224:V3225"/>
    <mergeCell ref="W3224:W3225"/>
    <mergeCell ref="X3224:AB3224"/>
    <mergeCell ref="AD3224:AI3224"/>
    <mergeCell ref="AJ3224:AL3224"/>
    <mergeCell ref="AN3224:AO3224"/>
    <mergeCell ref="AP3224:AQ3224"/>
    <mergeCell ref="AR3224:AS3225"/>
    <mergeCell ref="AT3224:AU3225"/>
    <mergeCell ref="AV3224:AW3225"/>
    <mergeCell ref="AX3224:AY3225"/>
    <mergeCell ref="AZ3224:AZ3225"/>
    <mergeCell ref="F3225:H3225"/>
    <mergeCell ref="X3225:AB3225"/>
    <mergeCell ref="AE3225:AI3225"/>
    <mergeCell ref="AJ3225:AL3225"/>
    <mergeCell ref="AN3225:AO3225"/>
    <mergeCell ref="AP3225:AQ3225"/>
    <mergeCell ref="A3226:A3227"/>
    <mergeCell ref="E3226:E3227"/>
    <mergeCell ref="F3226:H3226"/>
    <mergeCell ref="J3226:J3227"/>
    <mergeCell ref="K3226:L3227"/>
    <mergeCell ref="M3226:N3227"/>
    <mergeCell ref="O3226:P3227"/>
    <mergeCell ref="Q3226:R3227"/>
    <mergeCell ref="S3226:T3227"/>
    <mergeCell ref="U3226:V3227"/>
    <mergeCell ref="W3226:W3227"/>
    <mergeCell ref="X3226:AB3226"/>
    <mergeCell ref="AD3226:AI3226"/>
    <mergeCell ref="AJ3226:AL3226"/>
    <mergeCell ref="AN3226:AO3226"/>
    <mergeCell ref="AP3226:AQ3226"/>
    <mergeCell ref="AR3226:AS3227"/>
    <mergeCell ref="AT3226:AU3227"/>
    <mergeCell ref="AV3226:AW3227"/>
    <mergeCell ref="AX3226:AY3227"/>
    <mergeCell ref="AZ3226:AZ3227"/>
    <mergeCell ref="F3227:H3227"/>
    <mergeCell ref="X3227:AB3227"/>
    <mergeCell ref="AE3227:AI3227"/>
    <mergeCell ref="AJ3227:AL3227"/>
    <mergeCell ref="AN3227:AO3227"/>
    <mergeCell ref="AP3227:AQ3227"/>
    <mergeCell ref="A3220:A3221"/>
    <mergeCell ref="E3220:E3221"/>
    <mergeCell ref="F3220:H3220"/>
    <mergeCell ref="J3220:J3221"/>
    <mergeCell ref="K3220:L3221"/>
    <mergeCell ref="M3220:N3221"/>
    <mergeCell ref="O3220:P3221"/>
    <mergeCell ref="Q3220:R3221"/>
    <mergeCell ref="S3220:T3221"/>
    <mergeCell ref="U3220:V3221"/>
    <mergeCell ref="W3220:W3221"/>
    <mergeCell ref="X3220:AB3220"/>
    <mergeCell ref="AD3220:AI3220"/>
    <mergeCell ref="AJ3220:AL3220"/>
    <mergeCell ref="AN3220:AO3220"/>
    <mergeCell ref="AP3220:AQ3220"/>
    <mergeCell ref="AR3220:AS3221"/>
    <mergeCell ref="AT3220:AU3221"/>
    <mergeCell ref="AV3220:AW3221"/>
    <mergeCell ref="AX3220:AY3221"/>
    <mergeCell ref="AZ3220:AZ3221"/>
    <mergeCell ref="F3221:H3221"/>
    <mergeCell ref="X3221:AB3221"/>
    <mergeCell ref="AE3221:AI3221"/>
    <mergeCell ref="AJ3221:AL3221"/>
    <mergeCell ref="AN3221:AO3221"/>
    <mergeCell ref="AP3221:AQ3221"/>
    <mergeCell ref="A3222:A3223"/>
    <mergeCell ref="E3222:E3223"/>
    <mergeCell ref="F3222:H3222"/>
    <mergeCell ref="J3222:J3223"/>
    <mergeCell ref="K3222:L3223"/>
    <mergeCell ref="M3222:N3223"/>
    <mergeCell ref="O3222:P3223"/>
    <mergeCell ref="Q3222:R3223"/>
    <mergeCell ref="S3222:T3223"/>
    <mergeCell ref="U3222:V3223"/>
    <mergeCell ref="W3222:W3223"/>
    <mergeCell ref="X3222:AB3222"/>
    <mergeCell ref="AD3222:AI3222"/>
    <mergeCell ref="AJ3222:AL3222"/>
    <mergeCell ref="AN3222:AO3222"/>
    <mergeCell ref="AP3222:AQ3222"/>
    <mergeCell ref="AR3222:AS3223"/>
    <mergeCell ref="AT3222:AU3223"/>
    <mergeCell ref="AV3222:AW3223"/>
    <mergeCell ref="AX3222:AY3223"/>
    <mergeCell ref="AZ3222:AZ3223"/>
    <mergeCell ref="F3223:H3223"/>
    <mergeCell ref="X3223:AB3223"/>
    <mergeCell ref="AE3223:AI3223"/>
    <mergeCell ref="AJ3223:AL3223"/>
    <mergeCell ref="AN3223:AO3223"/>
    <mergeCell ref="AP3223:AQ3223"/>
    <mergeCell ref="W3216:W3217"/>
    <mergeCell ref="X3216:AB3216"/>
    <mergeCell ref="AD3216:AI3216"/>
    <mergeCell ref="AJ3216:AL3216"/>
    <mergeCell ref="AN3216:AO3216"/>
    <mergeCell ref="AP3216:AQ3216"/>
    <mergeCell ref="AR3216:AS3217"/>
    <mergeCell ref="AT3216:AU3217"/>
    <mergeCell ref="AV3216:AW3217"/>
    <mergeCell ref="AX3216:AY3217"/>
    <mergeCell ref="AZ3216:AZ3217"/>
    <mergeCell ref="F3217:H3217"/>
    <mergeCell ref="X3217:AB3217"/>
    <mergeCell ref="AE3217:AI3217"/>
    <mergeCell ref="AJ3217:AL3217"/>
    <mergeCell ref="AN3217:AO3217"/>
    <mergeCell ref="AP3217:AQ3217"/>
    <mergeCell ref="A3218:A3219"/>
    <mergeCell ref="E3218:E3219"/>
    <mergeCell ref="F3218:H3218"/>
    <mergeCell ref="J3218:J3219"/>
    <mergeCell ref="K3218:L3219"/>
    <mergeCell ref="M3218:N3219"/>
    <mergeCell ref="O3218:P3219"/>
    <mergeCell ref="Q3218:R3219"/>
    <mergeCell ref="S3218:T3219"/>
    <mergeCell ref="U3218:V3219"/>
    <mergeCell ref="W3218:W3219"/>
    <mergeCell ref="X3218:AB3218"/>
    <mergeCell ref="AD3218:AI3218"/>
    <mergeCell ref="AJ3218:AL3218"/>
    <mergeCell ref="AN3218:AO3218"/>
    <mergeCell ref="AP3218:AQ3218"/>
    <mergeCell ref="AR3218:AS3219"/>
    <mergeCell ref="AT3218:AU3219"/>
    <mergeCell ref="AV3218:AW3219"/>
    <mergeCell ref="AX3218:AY3219"/>
    <mergeCell ref="AZ3218:AZ3219"/>
    <mergeCell ref="F3219:H3219"/>
    <mergeCell ref="X3219:AB3219"/>
    <mergeCell ref="AE3219:AI3219"/>
    <mergeCell ref="AJ3219:AL3219"/>
    <mergeCell ref="AN3219:AO3219"/>
    <mergeCell ref="AP3219:AQ3219"/>
    <mergeCell ref="A3198:A3199"/>
    <mergeCell ref="E3198:E3199"/>
    <mergeCell ref="F3198:H3198"/>
    <mergeCell ref="J3198:J3199"/>
    <mergeCell ref="K3198:L3199"/>
    <mergeCell ref="M3198:N3199"/>
    <mergeCell ref="O3198:P3199"/>
    <mergeCell ref="Q3198:R3199"/>
    <mergeCell ref="S3198:T3199"/>
    <mergeCell ref="U3198:V3199"/>
    <mergeCell ref="W3198:W3199"/>
    <mergeCell ref="X3198:AB3198"/>
    <mergeCell ref="AD3198:AI3198"/>
    <mergeCell ref="AJ3198:AL3198"/>
    <mergeCell ref="AN3198:AO3198"/>
    <mergeCell ref="AP3198:AQ3198"/>
    <mergeCell ref="AR3198:AS3199"/>
    <mergeCell ref="AT3198:AU3199"/>
    <mergeCell ref="AV3198:AW3199"/>
    <mergeCell ref="AX3198:AY3199"/>
    <mergeCell ref="AZ3198:AZ3199"/>
    <mergeCell ref="F3199:H3199"/>
    <mergeCell ref="X3199:AB3199"/>
    <mergeCell ref="AE3199:AI3199"/>
    <mergeCell ref="AJ3199:AL3199"/>
    <mergeCell ref="AN3199:AO3199"/>
    <mergeCell ref="AP3199:AQ3199"/>
    <mergeCell ref="A3200:A3201"/>
    <mergeCell ref="E3200:E3201"/>
    <mergeCell ref="F3200:H3200"/>
    <mergeCell ref="J3200:J3201"/>
    <mergeCell ref="K3200:L3201"/>
    <mergeCell ref="M3200:N3201"/>
    <mergeCell ref="O3200:P3201"/>
    <mergeCell ref="Q3200:R3201"/>
    <mergeCell ref="S3200:T3201"/>
    <mergeCell ref="U3200:V3201"/>
    <mergeCell ref="W3200:W3201"/>
    <mergeCell ref="X3200:AB3200"/>
    <mergeCell ref="AD3200:AI3200"/>
    <mergeCell ref="AJ3200:AL3200"/>
    <mergeCell ref="AN3200:AO3200"/>
    <mergeCell ref="AP3200:AQ3200"/>
    <mergeCell ref="AR3200:AS3201"/>
    <mergeCell ref="AT3200:AU3201"/>
    <mergeCell ref="AV3200:AW3201"/>
    <mergeCell ref="AX3200:AY3201"/>
    <mergeCell ref="AZ3200:AZ3201"/>
    <mergeCell ref="F3201:H3201"/>
    <mergeCell ref="X3201:AB3201"/>
    <mergeCell ref="AE3201:AI3201"/>
    <mergeCell ref="AJ3201:AL3201"/>
    <mergeCell ref="AN3201:AO3201"/>
    <mergeCell ref="AP3201:AQ3201"/>
    <mergeCell ref="A3194:A3195"/>
    <mergeCell ref="E3194:E3195"/>
    <mergeCell ref="F3194:H3194"/>
    <mergeCell ref="J3194:J3195"/>
    <mergeCell ref="K3194:L3195"/>
    <mergeCell ref="M3194:N3195"/>
    <mergeCell ref="O3194:P3195"/>
    <mergeCell ref="Q3194:R3195"/>
    <mergeCell ref="S3194:T3195"/>
    <mergeCell ref="U3194:V3195"/>
    <mergeCell ref="W3194:W3195"/>
    <mergeCell ref="X3194:AB3194"/>
    <mergeCell ref="AD3194:AI3194"/>
    <mergeCell ref="AJ3194:AL3194"/>
    <mergeCell ref="AN3194:AO3194"/>
    <mergeCell ref="AP3194:AQ3194"/>
    <mergeCell ref="AR3194:AS3195"/>
    <mergeCell ref="AT3194:AU3195"/>
    <mergeCell ref="AV3194:AW3195"/>
    <mergeCell ref="AX3194:AY3195"/>
    <mergeCell ref="AZ3194:AZ3195"/>
    <mergeCell ref="F3195:H3195"/>
    <mergeCell ref="X3195:AB3195"/>
    <mergeCell ref="AE3195:AI3195"/>
    <mergeCell ref="AJ3195:AL3195"/>
    <mergeCell ref="AN3195:AO3195"/>
    <mergeCell ref="AP3195:AQ3195"/>
    <mergeCell ref="A3196:A3197"/>
    <mergeCell ref="E3196:E3197"/>
    <mergeCell ref="F3196:H3196"/>
    <mergeCell ref="J3196:J3197"/>
    <mergeCell ref="K3196:L3197"/>
    <mergeCell ref="M3196:N3197"/>
    <mergeCell ref="O3196:P3197"/>
    <mergeCell ref="Q3196:R3197"/>
    <mergeCell ref="S3196:T3197"/>
    <mergeCell ref="U3196:V3197"/>
    <mergeCell ref="W3196:W3197"/>
    <mergeCell ref="X3196:AB3196"/>
    <mergeCell ref="AD3196:AI3196"/>
    <mergeCell ref="AJ3196:AL3196"/>
    <mergeCell ref="AN3196:AO3196"/>
    <mergeCell ref="AP3196:AQ3196"/>
    <mergeCell ref="AR3196:AS3197"/>
    <mergeCell ref="AT3196:AU3197"/>
    <mergeCell ref="AV3196:AW3197"/>
    <mergeCell ref="AX3196:AY3197"/>
    <mergeCell ref="AZ3196:AZ3197"/>
    <mergeCell ref="F3197:H3197"/>
    <mergeCell ref="X3197:AB3197"/>
    <mergeCell ref="AE3197:AI3197"/>
    <mergeCell ref="AJ3197:AL3197"/>
    <mergeCell ref="AN3197:AO3197"/>
    <mergeCell ref="AP3197:AQ3197"/>
    <mergeCell ref="A3190:A3191"/>
    <mergeCell ref="E3190:E3191"/>
    <mergeCell ref="F3190:H3190"/>
    <mergeCell ref="J3190:J3191"/>
    <mergeCell ref="K3190:L3191"/>
    <mergeCell ref="M3190:N3191"/>
    <mergeCell ref="O3190:P3191"/>
    <mergeCell ref="Q3190:R3191"/>
    <mergeCell ref="S3190:T3191"/>
    <mergeCell ref="U3190:V3191"/>
    <mergeCell ref="W3190:W3191"/>
    <mergeCell ref="X3190:AB3190"/>
    <mergeCell ref="AD3190:AI3190"/>
    <mergeCell ref="AJ3190:AL3190"/>
    <mergeCell ref="AN3190:AO3190"/>
    <mergeCell ref="AP3190:AQ3190"/>
    <mergeCell ref="AR3190:AS3191"/>
    <mergeCell ref="AT3190:AU3191"/>
    <mergeCell ref="AV3190:AW3191"/>
    <mergeCell ref="AX3190:AY3191"/>
    <mergeCell ref="AZ3190:AZ3191"/>
    <mergeCell ref="F3191:H3191"/>
    <mergeCell ref="X3191:AB3191"/>
    <mergeCell ref="AE3191:AI3191"/>
    <mergeCell ref="AJ3191:AL3191"/>
    <mergeCell ref="AN3191:AO3191"/>
    <mergeCell ref="AP3191:AQ3191"/>
    <mergeCell ref="A3192:A3193"/>
    <mergeCell ref="E3192:E3193"/>
    <mergeCell ref="F3192:H3192"/>
    <mergeCell ref="J3192:J3193"/>
    <mergeCell ref="K3192:L3193"/>
    <mergeCell ref="M3192:N3193"/>
    <mergeCell ref="O3192:P3193"/>
    <mergeCell ref="Q3192:R3193"/>
    <mergeCell ref="S3192:T3193"/>
    <mergeCell ref="U3192:V3193"/>
    <mergeCell ref="W3192:W3193"/>
    <mergeCell ref="X3192:AB3192"/>
    <mergeCell ref="AD3192:AI3192"/>
    <mergeCell ref="AJ3192:AL3192"/>
    <mergeCell ref="AN3192:AO3192"/>
    <mergeCell ref="AP3192:AQ3192"/>
    <mergeCell ref="AR3192:AS3193"/>
    <mergeCell ref="AT3192:AU3193"/>
    <mergeCell ref="AV3192:AW3193"/>
    <mergeCell ref="AX3192:AY3193"/>
    <mergeCell ref="AZ3192:AZ3193"/>
    <mergeCell ref="F3193:H3193"/>
    <mergeCell ref="X3193:AB3193"/>
    <mergeCell ref="AE3193:AI3193"/>
    <mergeCell ref="AJ3193:AL3193"/>
    <mergeCell ref="AN3193:AO3193"/>
    <mergeCell ref="AP3193:AQ3193"/>
    <mergeCell ref="A3186:A3187"/>
    <mergeCell ref="E3186:E3187"/>
    <mergeCell ref="F3186:H3186"/>
    <mergeCell ref="J3186:J3187"/>
    <mergeCell ref="K3186:L3187"/>
    <mergeCell ref="M3186:N3187"/>
    <mergeCell ref="O3186:P3187"/>
    <mergeCell ref="Q3186:R3187"/>
    <mergeCell ref="S3186:T3187"/>
    <mergeCell ref="U3186:V3187"/>
    <mergeCell ref="W3186:W3187"/>
    <mergeCell ref="X3186:AB3186"/>
    <mergeCell ref="AD3186:AI3186"/>
    <mergeCell ref="AJ3186:AL3186"/>
    <mergeCell ref="AN3186:AO3186"/>
    <mergeCell ref="AP3186:AQ3186"/>
    <mergeCell ref="AR3186:AS3187"/>
    <mergeCell ref="AT3186:AU3187"/>
    <mergeCell ref="AV3186:AW3187"/>
    <mergeCell ref="AX3186:AY3187"/>
    <mergeCell ref="AZ3186:AZ3187"/>
    <mergeCell ref="F3187:H3187"/>
    <mergeCell ref="X3187:AB3187"/>
    <mergeCell ref="AE3187:AI3187"/>
    <mergeCell ref="AJ3187:AL3187"/>
    <mergeCell ref="AN3187:AO3187"/>
    <mergeCell ref="AP3187:AQ3187"/>
    <mergeCell ref="A3188:A3189"/>
    <mergeCell ref="E3188:E3189"/>
    <mergeCell ref="F3188:H3188"/>
    <mergeCell ref="J3188:J3189"/>
    <mergeCell ref="K3188:L3189"/>
    <mergeCell ref="M3188:N3189"/>
    <mergeCell ref="O3188:P3189"/>
    <mergeCell ref="Q3188:R3189"/>
    <mergeCell ref="S3188:T3189"/>
    <mergeCell ref="U3188:V3189"/>
    <mergeCell ref="W3188:W3189"/>
    <mergeCell ref="X3188:AB3188"/>
    <mergeCell ref="AD3188:AI3188"/>
    <mergeCell ref="AJ3188:AL3188"/>
    <mergeCell ref="AN3188:AO3188"/>
    <mergeCell ref="AP3188:AQ3188"/>
    <mergeCell ref="AR3188:AS3189"/>
    <mergeCell ref="AT3188:AU3189"/>
    <mergeCell ref="AV3188:AW3189"/>
    <mergeCell ref="AX3188:AY3189"/>
    <mergeCell ref="AZ3188:AZ3189"/>
    <mergeCell ref="F3189:H3189"/>
    <mergeCell ref="X3189:AB3189"/>
    <mergeCell ref="AE3189:AI3189"/>
    <mergeCell ref="AJ3189:AL3189"/>
    <mergeCell ref="AN3189:AO3189"/>
    <mergeCell ref="AP3189:AQ3189"/>
    <mergeCell ref="A3068:A3069"/>
    <mergeCell ref="E3068:E3069"/>
    <mergeCell ref="F3068:H3068"/>
    <mergeCell ref="J3068:J3069"/>
    <mergeCell ref="K3068:L3069"/>
    <mergeCell ref="M3068:N3069"/>
    <mergeCell ref="O3068:P3069"/>
    <mergeCell ref="Q3068:R3069"/>
    <mergeCell ref="S3068:T3069"/>
    <mergeCell ref="U3068:V3069"/>
    <mergeCell ref="W3068:W3069"/>
    <mergeCell ref="X3068:AB3068"/>
    <mergeCell ref="AD3068:AI3068"/>
    <mergeCell ref="AJ3068:AL3068"/>
    <mergeCell ref="AN3068:AO3068"/>
    <mergeCell ref="AP3068:AQ3068"/>
    <mergeCell ref="AR3068:AS3069"/>
    <mergeCell ref="AT3068:AU3069"/>
    <mergeCell ref="AV3068:AW3069"/>
    <mergeCell ref="AX3068:AY3069"/>
    <mergeCell ref="AZ3068:AZ3069"/>
    <mergeCell ref="F3069:H3069"/>
    <mergeCell ref="X3069:AB3069"/>
    <mergeCell ref="AE3069:AI3069"/>
    <mergeCell ref="AJ3069:AL3069"/>
    <mergeCell ref="AN3069:AO3069"/>
    <mergeCell ref="AP3069:AQ3069"/>
    <mergeCell ref="A3064:A3065"/>
    <mergeCell ref="E3064:E3065"/>
    <mergeCell ref="F3064:H3064"/>
    <mergeCell ref="J3064:J3065"/>
    <mergeCell ref="K3064:L3065"/>
    <mergeCell ref="M3064:N3065"/>
    <mergeCell ref="O3064:P3065"/>
    <mergeCell ref="Q3064:R3065"/>
    <mergeCell ref="S3064:T3065"/>
    <mergeCell ref="U3064:V3065"/>
    <mergeCell ref="W3064:W3065"/>
    <mergeCell ref="X3064:AB3064"/>
    <mergeCell ref="AD3064:AI3064"/>
    <mergeCell ref="AJ3064:AL3064"/>
    <mergeCell ref="AN3064:AO3064"/>
    <mergeCell ref="AP3064:AQ3064"/>
    <mergeCell ref="AR3064:AS3065"/>
    <mergeCell ref="AT3064:AU3065"/>
    <mergeCell ref="AV3064:AW3065"/>
    <mergeCell ref="AX3064:AY3065"/>
    <mergeCell ref="AZ3064:AZ3065"/>
    <mergeCell ref="F3065:H3065"/>
    <mergeCell ref="X3065:AB3065"/>
    <mergeCell ref="AE3065:AI3065"/>
    <mergeCell ref="AJ3065:AL3065"/>
    <mergeCell ref="AN3065:AO3065"/>
    <mergeCell ref="AP3065:AQ3065"/>
    <mergeCell ref="A3066:A3067"/>
    <mergeCell ref="E3066:E3067"/>
    <mergeCell ref="F3066:H3066"/>
    <mergeCell ref="J3066:J3067"/>
    <mergeCell ref="K3066:L3067"/>
    <mergeCell ref="M3066:N3067"/>
    <mergeCell ref="O3066:P3067"/>
    <mergeCell ref="Q3066:R3067"/>
    <mergeCell ref="S3066:T3067"/>
    <mergeCell ref="U3066:V3067"/>
    <mergeCell ref="W3066:W3067"/>
    <mergeCell ref="X3066:AB3066"/>
    <mergeCell ref="AD3066:AI3066"/>
    <mergeCell ref="AJ3066:AL3066"/>
    <mergeCell ref="AN3066:AO3066"/>
    <mergeCell ref="AP3066:AQ3066"/>
    <mergeCell ref="AR3066:AS3067"/>
    <mergeCell ref="AT3066:AU3067"/>
    <mergeCell ref="AV3066:AW3067"/>
    <mergeCell ref="AX3066:AY3067"/>
    <mergeCell ref="AZ3066:AZ3067"/>
    <mergeCell ref="F3067:H3067"/>
    <mergeCell ref="X3067:AB3067"/>
    <mergeCell ref="AE3067:AI3067"/>
    <mergeCell ref="AJ3067:AL3067"/>
    <mergeCell ref="AN3067:AO3067"/>
    <mergeCell ref="AP3067:AQ3067"/>
    <mergeCell ref="A3060:A3061"/>
    <mergeCell ref="E3060:E3061"/>
    <mergeCell ref="F3060:H3060"/>
    <mergeCell ref="J3060:J3061"/>
    <mergeCell ref="K3060:L3061"/>
    <mergeCell ref="M3060:N3061"/>
    <mergeCell ref="O3060:P3061"/>
    <mergeCell ref="Q3060:R3061"/>
    <mergeCell ref="S3060:T3061"/>
    <mergeCell ref="U3060:V3061"/>
    <mergeCell ref="W3060:W3061"/>
    <mergeCell ref="X3060:AB3060"/>
    <mergeCell ref="AD3060:AI3060"/>
    <mergeCell ref="AJ3060:AL3060"/>
    <mergeCell ref="AN3060:AO3060"/>
    <mergeCell ref="AP3060:AQ3060"/>
    <mergeCell ref="AR3060:AS3061"/>
    <mergeCell ref="AT3060:AU3061"/>
    <mergeCell ref="AV3060:AW3061"/>
    <mergeCell ref="AX3060:AY3061"/>
    <mergeCell ref="AZ3060:AZ3061"/>
    <mergeCell ref="F3061:H3061"/>
    <mergeCell ref="X3061:AB3061"/>
    <mergeCell ref="AE3061:AI3061"/>
    <mergeCell ref="AJ3061:AL3061"/>
    <mergeCell ref="AN3061:AO3061"/>
    <mergeCell ref="AP3061:AQ3061"/>
    <mergeCell ref="A3062:A3063"/>
    <mergeCell ref="E3062:E3063"/>
    <mergeCell ref="F3062:H3062"/>
    <mergeCell ref="J3062:J3063"/>
    <mergeCell ref="K3062:L3063"/>
    <mergeCell ref="M3062:N3063"/>
    <mergeCell ref="O3062:P3063"/>
    <mergeCell ref="Q3062:R3063"/>
    <mergeCell ref="S3062:T3063"/>
    <mergeCell ref="U3062:V3063"/>
    <mergeCell ref="W3062:W3063"/>
    <mergeCell ref="X3062:AB3062"/>
    <mergeCell ref="AD3062:AI3062"/>
    <mergeCell ref="AJ3062:AL3062"/>
    <mergeCell ref="AN3062:AO3062"/>
    <mergeCell ref="AP3062:AQ3062"/>
    <mergeCell ref="AR3062:AS3063"/>
    <mergeCell ref="AT3062:AU3063"/>
    <mergeCell ref="AV3062:AW3063"/>
    <mergeCell ref="AX3062:AY3063"/>
    <mergeCell ref="AZ3062:AZ3063"/>
    <mergeCell ref="F3063:H3063"/>
    <mergeCell ref="X3063:AB3063"/>
    <mergeCell ref="AE3063:AI3063"/>
    <mergeCell ref="AJ3063:AL3063"/>
    <mergeCell ref="AN3063:AO3063"/>
    <mergeCell ref="AP3063:AQ3063"/>
    <mergeCell ref="W3038:W3039"/>
    <mergeCell ref="X3038:AB3038"/>
    <mergeCell ref="AD3038:AI3038"/>
    <mergeCell ref="AJ3038:AL3038"/>
    <mergeCell ref="AN3038:AO3038"/>
    <mergeCell ref="AP3038:AQ3038"/>
    <mergeCell ref="AR3038:AS3039"/>
    <mergeCell ref="AT3038:AU3039"/>
    <mergeCell ref="AV3038:AW3039"/>
    <mergeCell ref="AX3038:AY3039"/>
    <mergeCell ref="AZ3038:AZ3039"/>
    <mergeCell ref="F3039:H3039"/>
    <mergeCell ref="X3039:AB3039"/>
    <mergeCell ref="AE3039:AI3039"/>
    <mergeCell ref="AJ3039:AL3039"/>
    <mergeCell ref="AN3039:AO3039"/>
    <mergeCell ref="AP3039:AQ3039"/>
    <mergeCell ref="A3058:A3059"/>
    <mergeCell ref="E3058:E3059"/>
    <mergeCell ref="F3058:H3058"/>
    <mergeCell ref="J3058:J3059"/>
    <mergeCell ref="K3058:L3059"/>
    <mergeCell ref="M3058:N3059"/>
    <mergeCell ref="O3058:P3059"/>
    <mergeCell ref="Q3058:R3059"/>
    <mergeCell ref="S3058:T3059"/>
    <mergeCell ref="U3058:V3059"/>
    <mergeCell ref="W3058:W3059"/>
    <mergeCell ref="X3058:AB3058"/>
    <mergeCell ref="AD3058:AI3058"/>
    <mergeCell ref="AJ3058:AL3058"/>
    <mergeCell ref="AN3058:AO3058"/>
    <mergeCell ref="AP3058:AQ3058"/>
    <mergeCell ref="AR3058:AS3059"/>
    <mergeCell ref="AT3058:AU3059"/>
    <mergeCell ref="AV3058:AW3059"/>
    <mergeCell ref="AX3058:AY3059"/>
    <mergeCell ref="AZ3058:AZ3059"/>
    <mergeCell ref="F3059:H3059"/>
    <mergeCell ref="X3059:AB3059"/>
    <mergeCell ref="AE3059:AI3059"/>
    <mergeCell ref="AJ3059:AL3059"/>
    <mergeCell ref="AN3059:AO3059"/>
    <mergeCell ref="AP3059:AQ3059"/>
    <mergeCell ref="A3054:A3055"/>
    <mergeCell ref="E3054:E3055"/>
    <mergeCell ref="F3054:H3054"/>
    <mergeCell ref="J3054:J3055"/>
    <mergeCell ref="K3054:L3055"/>
    <mergeCell ref="M3054:N3055"/>
    <mergeCell ref="O3054:P3055"/>
    <mergeCell ref="Q3054:R3055"/>
    <mergeCell ref="S3054:T3055"/>
    <mergeCell ref="U3054:V3055"/>
    <mergeCell ref="W3054:W3055"/>
    <mergeCell ref="X3054:AB3054"/>
    <mergeCell ref="AD3054:AI3054"/>
    <mergeCell ref="W2976:W2977"/>
    <mergeCell ref="X2976:AB2976"/>
    <mergeCell ref="AD2976:AI2976"/>
    <mergeCell ref="AJ2976:AL2976"/>
    <mergeCell ref="AN2976:AO2976"/>
    <mergeCell ref="AP2976:AQ2976"/>
    <mergeCell ref="AR2976:AS2977"/>
    <mergeCell ref="AT2976:AU2977"/>
    <mergeCell ref="AV2976:AW2977"/>
    <mergeCell ref="AX2976:AY2977"/>
    <mergeCell ref="AZ2976:AZ2977"/>
    <mergeCell ref="F2977:H2977"/>
    <mergeCell ref="X2977:AB2977"/>
    <mergeCell ref="AE2977:AI2977"/>
    <mergeCell ref="AJ2977:AL2977"/>
    <mergeCell ref="AN2977:AO2977"/>
    <mergeCell ref="AP2977:AQ2977"/>
    <mergeCell ref="A2962:A2963"/>
    <mergeCell ref="E2962:E2963"/>
    <mergeCell ref="F2962:H2962"/>
    <mergeCell ref="J2962:J2963"/>
    <mergeCell ref="K2962:L2963"/>
    <mergeCell ref="M2962:N2963"/>
    <mergeCell ref="O2962:P2963"/>
    <mergeCell ref="Q2962:R2963"/>
    <mergeCell ref="S2962:T2963"/>
    <mergeCell ref="U2962:V2963"/>
    <mergeCell ref="W2962:W2963"/>
    <mergeCell ref="X2962:AB2962"/>
    <mergeCell ref="AD2962:AI2962"/>
    <mergeCell ref="AJ2962:AL2962"/>
    <mergeCell ref="AN2962:AO2962"/>
    <mergeCell ref="AP2962:AQ2962"/>
    <mergeCell ref="AR2962:AS2963"/>
    <mergeCell ref="AT2962:AU2963"/>
    <mergeCell ref="AV2962:AW2963"/>
    <mergeCell ref="AX2962:AY2963"/>
    <mergeCell ref="AZ2962:AZ2963"/>
    <mergeCell ref="F2963:H2963"/>
    <mergeCell ref="X2963:AB2963"/>
    <mergeCell ref="AE2963:AI2963"/>
    <mergeCell ref="AJ2963:AL2963"/>
    <mergeCell ref="AN2963:AO2963"/>
    <mergeCell ref="AP2963:AQ2963"/>
    <mergeCell ref="W2964:W2965"/>
    <mergeCell ref="X2964:AB2964"/>
    <mergeCell ref="AD2964:AI2964"/>
    <mergeCell ref="AJ2964:AL2964"/>
    <mergeCell ref="AN2964:AO2964"/>
    <mergeCell ref="AP2964:AQ2964"/>
    <mergeCell ref="AR2964:AS2965"/>
    <mergeCell ref="AT2964:AU2965"/>
    <mergeCell ref="AV2964:AW2965"/>
    <mergeCell ref="AX2964:AY2965"/>
    <mergeCell ref="AZ2964:AZ2965"/>
    <mergeCell ref="F2965:H2965"/>
    <mergeCell ref="X2965:AB2965"/>
    <mergeCell ref="AE2965:AI2965"/>
    <mergeCell ref="AJ2965:AL2965"/>
    <mergeCell ref="AN2965:AO2965"/>
    <mergeCell ref="AP2965:AQ2965"/>
    <mergeCell ref="A2966:A2967"/>
    <mergeCell ref="E2966:E2967"/>
    <mergeCell ref="F2966:H2966"/>
    <mergeCell ref="J2966:J2967"/>
    <mergeCell ref="K2966:L2967"/>
    <mergeCell ref="M2966:N2967"/>
    <mergeCell ref="O2966:P2967"/>
    <mergeCell ref="Q2966:R2967"/>
    <mergeCell ref="S2966:T2967"/>
    <mergeCell ref="U2966:V2967"/>
    <mergeCell ref="W2966:W2967"/>
    <mergeCell ref="X2966:AB2966"/>
    <mergeCell ref="AD2966:AI2966"/>
    <mergeCell ref="AJ2966:AL2966"/>
    <mergeCell ref="AN2966:AO2966"/>
    <mergeCell ref="AP2966:AQ2966"/>
    <mergeCell ref="AR2966:AS2967"/>
    <mergeCell ref="AT2966:AU2967"/>
    <mergeCell ref="AV2966:AW2967"/>
    <mergeCell ref="AX2966:AY2967"/>
    <mergeCell ref="AZ2966:AZ2967"/>
    <mergeCell ref="F2967:H2967"/>
    <mergeCell ref="X2967:AB2967"/>
    <mergeCell ref="AE2967:AI2967"/>
    <mergeCell ref="AJ2967:AL2967"/>
    <mergeCell ref="AN2967:AO2967"/>
    <mergeCell ref="AP2967:AQ2967"/>
    <mergeCell ref="A3098:A3099"/>
    <mergeCell ref="E3098:E3099"/>
    <mergeCell ref="F3098:H3098"/>
    <mergeCell ref="J3098:J3099"/>
    <mergeCell ref="K3098:L3099"/>
    <mergeCell ref="M3098:N3099"/>
    <mergeCell ref="O3098:P3099"/>
    <mergeCell ref="Q3098:R3099"/>
    <mergeCell ref="S3098:T3099"/>
    <mergeCell ref="U3098:V3099"/>
    <mergeCell ref="W3098:W3099"/>
    <mergeCell ref="X3098:AB3098"/>
    <mergeCell ref="AD3098:AI3098"/>
    <mergeCell ref="AJ3098:AL3098"/>
    <mergeCell ref="AN3098:AO3098"/>
    <mergeCell ref="AP3098:AQ3098"/>
    <mergeCell ref="AR3098:AS3099"/>
    <mergeCell ref="AT3098:AU3099"/>
    <mergeCell ref="AV3098:AW3099"/>
    <mergeCell ref="AX3098:AY3099"/>
    <mergeCell ref="AZ3098:AZ3099"/>
    <mergeCell ref="F3099:H3099"/>
    <mergeCell ref="X3099:AB3099"/>
    <mergeCell ref="AE3099:AI3099"/>
    <mergeCell ref="AJ3099:AL3099"/>
    <mergeCell ref="AN3099:AO3099"/>
    <mergeCell ref="AP3099:AQ3099"/>
    <mergeCell ref="W3096:W3097"/>
    <mergeCell ref="X3096:AB3096"/>
    <mergeCell ref="AD3096:AI3096"/>
    <mergeCell ref="AJ3096:AL3096"/>
    <mergeCell ref="AN3096:AO3096"/>
    <mergeCell ref="AP3096:AQ3096"/>
    <mergeCell ref="AR3096:AS3097"/>
    <mergeCell ref="AT3096:AU3097"/>
    <mergeCell ref="AV3096:AW3097"/>
    <mergeCell ref="AX3096:AY3097"/>
    <mergeCell ref="AZ3096:AZ3097"/>
    <mergeCell ref="F3097:H3097"/>
    <mergeCell ref="X3097:AB3097"/>
    <mergeCell ref="A3100:A3101"/>
    <mergeCell ref="E3100:E3101"/>
    <mergeCell ref="F3100:H3100"/>
    <mergeCell ref="J3100:J3101"/>
    <mergeCell ref="K3100:L3101"/>
    <mergeCell ref="M3100:N3101"/>
    <mergeCell ref="O3100:P3101"/>
    <mergeCell ref="Q3100:R3101"/>
    <mergeCell ref="S3100:T3101"/>
    <mergeCell ref="U3100:V3101"/>
    <mergeCell ref="W3100:W3101"/>
    <mergeCell ref="X3100:AB3100"/>
    <mergeCell ref="AD3100:AI3100"/>
    <mergeCell ref="AJ3100:AL3100"/>
    <mergeCell ref="AN3100:AO3100"/>
    <mergeCell ref="AP3100:AQ3100"/>
    <mergeCell ref="AR3100:AS3101"/>
    <mergeCell ref="AT3100:AU3101"/>
    <mergeCell ref="AV3100:AW3101"/>
    <mergeCell ref="AX3100:AY3101"/>
    <mergeCell ref="AZ3100:AZ3101"/>
    <mergeCell ref="F3101:H3101"/>
    <mergeCell ref="X3101:AB3101"/>
    <mergeCell ref="AE3101:AI3101"/>
    <mergeCell ref="AJ3101:AL3101"/>
    <mergeCell ref="AN3101:AO3101"/>
    <mergeCell ref="AP3101:AQ3101"/>
    <mergeCell ref="A3094:A3095"/>
    <mergeCell ref="E3094:E3095"/>
    <mergeCell ref="F3094:H3094"/>
    <mergeCell ref="J3094:J3095"/>
    <mergeCell ref="K3094:L3095"/>
    <mergeCell ref="M3094:N3095"/>
    <mergeCell ref="O3094:P3095"/>
    <mergeCell ref="Q3094:R3095"/>
    <mergeCell ref="S3094:T3095"/>
    <mergeCell ref="U3094:V3095"/>
    <mergeCell ref="W3094:W3095"/>
    <mergeCell ref="X3094:AB3094"/>
    <mergeCell ref="AD3094:AI3094"/>
    <mergeCell ref="AJ3094:AL3094"/>
    <mergeCell ref="AN3094:AO3094"/>
    <mergeCell ref="AP3094:AQ3094"/>
    <mergeCell ref="AR3094:AS3095"/>
    <mergeCell ref="AT3094:AU3095"/>
    <mergeCell ref="AV3094:AW3095"/>
    <mergeCell ref="AX3094:AY3095"/>
    <mergeCell ref="AZ3094:AZ3095"/>
    <mergeCell ref="F3095:H3095"/>
    <mergeCell ref="X3095:AB3095"/>
    <mergeCell ref="AE3095:AI3095"/>
    <mergeCell ref="AJ3095:AL3095"/>
    <mergeCell ref="AN3095:AO3095"/>
    <mergeCell ref="AP3095:AQ3095"/>
    <mergeCell ref="A3096:A3097"/>
    <mergeCell ref="E3096:E3097"/>
    <mergeCell ref="F3096:H3096"/>
    <mergeCell ref="J3096:J3097"/>
    <mergeCell ref="K3096:L3097"/>
    <mergeCell ref="M3096:N3097"/>
    <mergeCell ref="O3096:P3097"/>
    <mergeCell ref="Q3096:R3097"/>
    <mergeCell ref="S3096:T3097"/>
    <mergeCell ref="U3096:V3097"/>
    <mergeCell ref="AE3097:AI3097"/>
    <mergeCell ref="AJ3097:AL3097"/>
    <mergeCell ref="AN3097:AO3097"/>
    <mergeCell ref="AP3097:AQ3097"/>
    <mergeCell ref="A3090:A3091"/>
    <mergeCell ref="E3090:E3091"/>
    <mergeCell ref="F3090:H3090"/>
    <mergeCell ref="J3090:J3091"/>
    <mergeCell ref="K3090:L3091"/>
    <mergeCell ref="M3090:N3091"/>
    <mergeCell ref="O3090:P3091"/>
    <mergeCell ref="Q3090:R3091"/>
    <mergeCell ref="S3090:T3091"/>
    <mergeCell ref="U3090:V3091"/>
    <mergeCell ref="W3090:W3091"/>
    <mergeCell ref="X3090:AB3090"/>
    <mergeCell ref="AD3090:AI3090"/>
    <mergeCell ref="AJ3090:AL3090"/>
    <mergeCell ref="AN3090:AO3090"/>
    <mergeCell ref="AP3090:AQ3090"/>
    <mergeCell ref="AR3090:AS3091"/>
    <mergeCell ref="AT3090:AU3091"/>
    <mergeCell ref="AV3090:AW3091"/>
    <mergeCell ref="AX3090:AY3091"/>
    <mergeCell ref="AZ3090:AZ3091"/>
    <mergeCell ref="F3091:H3091"/>
    <mergeCell ref="X3091:AB3091"/>
    <mergeCell ref="AE3091:AI3091"/>
    <mergeCell ref="AJ3091:AL3091"/>
    <mergeCell ref="AN3091:AO3091"/>
    <mergeCell ref="AP3091:AQ3091"/>
    <mergeCell ref="A3092:A3093"/>
    <mergeCell ref="E3092:E3093"/>
    <mergeCell ref="F3092:H3092"/>
    <mergeCell ref="J3092:J3093"/>
    <mergeCell ref="K3092:L3093"/>
    <mergeCell ref="M3092:N3093"/>
    <mergeCell ref="O3092:P3093"/>
    <mergeCell ref="Q3092:R3093"/>
    <mergeCell ref="S3092:T3093"/>
    <mergeCell ref="U3092:V3093"/>
    <mergeCell ref="W3092:W3093"/>
    <mergeCell ref="X3092:AB3092"/>
    <mergeCell ref="AD3092:AI3092"/>
    <mergeCell ref="AJ3092:AL3092"/>
    <mergeCell ref="AN3092:AO3092"/>
    <mergeCell ref="AP3092:AQ3092"/>
    <mergeCell ref="AR3092:AS3093"/>
    <mergeCell ref="AT3092:AU3093"/>
    <mergeCell ref="AV3092:AW3093"/>
    <mergeCell ref="AX3092:AY3093"/>
    <mergeCell ref="AZ3092:AZ3093"/>
    <mergeCell ref="F3093:H3093"/>
    <mergeCell ref="X3093:AB3093"/>
    <mergeCell ref="AE3093:AI3093"/>
    <mergeCell ref="AJ3093:AL3093"/>
    <mergeCell ref="AN3093:AO3093"/>
    <mergeCell ref="AP3093:AQ3093"/>
    <mergeCell ref="A3086:A3087"/>
    <mergeCell ref="E3086:E3087"/>
    <mergeCell ref="F3086:H3086"/>
    <mergeCell ref="J3086:J3087"/>
    <mergeCell ref="K3086:L3087"/>
    <mergeCell ref="M3086:N3087"/>
    <mergeCell ref="O3086:P3087"/>
    <mergeCell ref="Q3086:R3087"/>
    <mergeCell ref="S3086:T3087"/>
    <mergeCell ref="U3086:V3087"/>
    <mergeCell ref="W3086:W3087"/>
    <mergeCell ref="X3086:AB3086"/>
    <mergeCell ref="AD3086:AI3086"/>
    <mergeCell ref="AJ3086:AL3086"/>
    <mergeCell ref="AN3086:AO3086"/>
    <mergeCell ref="AP3086:AQ3086"/>
    <mergeCell ref="AR3086:AS3087"/>
    <mergeCell ref="AT3086:AU3087"/>
    <mergeCell ref="AV3086:AW3087"/>
    <mergeCell ref="AX3086:AY3087"/>
    <mergeCell ref="AZ3086:AZ3087"/>
    <mergeCell ref="F3087:H3087"/>
    <mergeCell ref="X3087:AB3087"/>
    <mergeCell ref="AE3087:AI3087"/>
    <mergeCell ref="AJ3087:AL3087"/>
    <mergeCell ref="AN3087:AO3087"/>
    <mergeCell ref="AP3087:AQ3087"/>
    <mergeCell ref="A3088:A3089"/>
    <mergeCell ref="E3088:E3089"/>
    <mergeCell ref="F3088:H3088"/>
    <mergeCell ref="J3088:J3089"/>
    <mergeCell ref="K3088:L3089"/>
    <mergeCell ref="M3088:N3089"/>
    <mergeCell ref="O3088:P3089"/>
    <mergeCell ref="Q3088:R3089"/>
    <mergeCell ref="S3088:T3089"/>
    <mergeCell ref="U3088:V3089"/>
    <mergeCell ref="W3088:W3089"/>
    <mergeCell ref="X3088:AB3088"/>
    <mergeCell ref="AD3088:AI3088"/>
    <mergeCell ref="AJ3088:AL3088"/>
    <mergeCell ref="AN3088:AO3088"/>
    <mergeCell ref="AP3088:AQ3088"/>
    <mergeCell ref="AR3088:AS3089"/>
    <mergeCell ref="AT3088:AU3089"/>
    <mergeCell ref="AV3088:AW3089"/>
    <mergeCell ref="AX3088:AY3089"/>
    <mergeCell ref="AZ3088:AZ3089"/>
    <mergeCell ref="F3089:H3089"/>
    <mergeCell ref="X3089:AB3089"/>
    <mergeCell ref="AE3089:AI3089"/>
    <mergeCell ref="AJ3089:AL3089"/>
    <mergeCell ref="AN3089:AO3089"/>
    <mergeCell ref="AP3089:AQ3089"/>
    <mergeCell ref="A3082:A3083"/>
    <mergeCell ref="E3082:E3083"/>
    <mergeCell ref="F3082:H3082"/>
    <mergeCell ref="J3082:J3083"/>
    <mergeCell ref="K3082:L3083"/>
    <mergeCell ref="M3082:N3083"/>
    <mergeCell ref="O3082:P3083"/>
    <mergeCell ref="Q3082:R3083"/>
    <mergeCell ref="S3082:T3083"/>
    <mergeCell ref="U3082:V3083"/>
    <mergeCell ref="W3082:W3083"/>
    <mergeCell ref="X3082:AB3082"/>
    <mergeCell ref="AD3082:AI3082"/>
    <mergeCell ref="AJ3082:AL3082"/>
    <mergeCell ref="AN3082:AO3082"/>
    <mergeCell ref="AP3082:AQ3082"/>
    <mergeCell ref="AR3082:AS3083"/>
    <mergeCell ref="AT3082:AU3083"/>
    <mergeCell ref="AV3082:AW3083"/>
    <mergeCell ref="AX3082:AY3083"/>
    <mergeCell ref="AZ3082:AZ3083"/>
    <mergeCell ref="F3083:H3083"/>
    <mergeCell ref="X3083:AB3083"/>
    <mergeCell ref="AE3083:AI3083"/>
    <mergeCell ref="AJ3083:AL3083"/>
    <mergeCell ref="AN3083:AO3083"/>
    <mergeCell ref="AP3083:AQ3083"/>
    <mergeCell ref="A3084:A3085"/>
    <mergeCell ref="E3084:E3085"/>
    <mergeCell ref="F3084:H3084"/>
    <mergeCell ref="J3084:J3085"/>
    <mergeCell ref="K3084:L3085"/>
    <mergeCell ref="M3084:N3085"/>
    <mergeCell ref="O3084:P3085"/>
    <mergeCell ref="Q3084:R3085"/>
    <mergeCell ref="S3084:T3085"/>
    <mergeCell ref="U3084:V3085"/>
    <mergeCell ref="W3084:W3085"/>
    <mergeCell ref="X3084:AB3084"/>
    <mergeCell ref="AD3084:AI3084"/>
    <mergeCell ref="AJ3084:AL3084"/>
    <mergeCell ref="AN3084:AO3084"/>
    <mergeCell ref="AP3084:AQ3084"/>
    <mergeCell ref="AR3084:AS3085"/>
    <mergeCell ref="AT3084:AU3085"/>
    <mergeCell ref="AV3084:AW3085"/>
    <mergeCell ref="AX3084:AY3085"/>
    <mergeCell ref="AZ3084:AZ3085"/>
    <mergeCell ref="F3085:H3085"/>
    <mergeCell ref="X3085:AB3085"/>
    <mergeCell ref="AE3085:AI3085"/>
    <mergeCell ref="AJ3085:AL3085"/>
    <mergeCell ref="AN3085:AO3085"/>
    <mergeCell ref="AP3085:AQ3085"/>
    <mergeCell ref="A3078:A3079"/>
    <mergeCell ref="E3078:E3079"/>
    <mergeCell ref="F3078:H3078"/>
    <mergeCell ref="J3078:J3079"/>
    <mergeCell ref="K3078:L3079"/>
    <mergeCell ref="M3078:N3079"/>
    <mergeCell ref="O3078:P3079"/>
    <mergeCell ref="Q3078:R3079"/>
    <mergeCell ref="S3078:T3079"/>
    <mergeCell ref="U3078:V3079"/>
    <mergeCell ref="W3078:W3079"/>
    <mergeCell ref="X3078:AB3078"/>
    <mergeCell ref="AD3078:AI3078"/>
    <mergeCell ref="AJ3078:AL3078"/>
    <mergeCell ref="AN3078:AO3078"/>
    <mergeCell ref="AP3078:AQ3078"/>
    <mergeCell ref="AR3078:AS3079"/>
    <mergeCell ref="AT3078:AU3079"/>
    <mergeCell ref="AV3078:AW3079"/>
    <mergeCell ref="AX3078:AY3079"/>
    <mergeCell ref="AZ3078:AZ3079"/>
    <mergeCell ref="F3079:H3079"/>
    <mergeCell ref="X3079:AB3079"/>
    <mergeCell ref="AE3079:AI3079"/>
    <mergeCell ref="AJ3079:AL3079"/>
    <mergeCell ref="AN3079:AO3079"/>
    <mergeCell ref="AP3079:AQ3079"/>
    <mergeCell ref="A3080:A3081"/>
    <mergeCell ref="E3080:E3081"/>
    <mergeCell ref="F3080:H3080"/>
    <mergeCell ref="J3080:J3081"/>
    <mergeCell ref="K3080:L3081"/>
    <mergeCell ref="M3080:N3081"/>
    <mergeCell ref="O3080:P3081"/>
    <mergeCell ref="Q3080:R3081"/>
    <mergeCell ref="S3080:T3081"/>
    <mergeCell ref="U3080:V3081"/>
    <mergeCell ref="W3080:W3081"/>
    <mergeCell ref="X3080:AB3080"/>
    <mergeCell ref="AD3080:AI3080"/>
    <mergeCell ref="AJ3080:AL3080"/>
    <mergeCell ref="AN3080:AO3080"/>
    <mergeCell ref="AP3080:AQ3080"/>
    <mergeCell ref="AR3080:AS3081"/>
    <mergeCell ref="AT3080:AU3081"/>
    <mergeCell ref="AV3080:AW3081"/>
    <mergeCell ref="AX3080:AY3081"/>
    <mergeCell ref="AZ3080:AZ3081"/>
    <mergeCell ref="F3081:H3081"/>
    <mergeCell ref="X3081:AB3081"/>
    <mergeCell ref="AE3081:AI3081"/>
    <mergeCell ref="AJ3081:AL3081"/>
    <mergeCell ref="AN3081:AO3081"/>
    <mergeCell ref="AP3081:AQ3081"/>
    <mergeCell ref="A3074:A3075"/>
    <mergeCell ref="E3074:E3075"/>
    <mergeCell ref="F3074:H3074"/>
    <mergeCell ref="J3074:J3075"/>
    <mergeCell ref="K3074:L3075"/>
    <mergeCell ref="M3074:N3075"/>
    <mergeCell ref="O3074:P3075"/>
    <mergeCell ref="Q3074:R3075"/>
    <mergeCell ref="S3074:T3075"/>
    <mergeCell ref="U3074:V3075"/>
    <mergeCell ref="W3074:W3075"/>
    <mergeCell ref="X3074:AB3074"/>
    <mergeCell ref="AD3074:AI3074"/>
    <mergeCell ref="AJ3074:AL3074"/>
    <mergeCell ref="AN3074:AO3074"/>
    <mergeCell ref="AP3074:AQ3074"/>
    <mergeCell ref="AR3074:AS3075"/>
    <mergeCell ref="AT3074:AU3075"/>
    <mergeCell ref="AV3074:AW3075"/>
    <mergeCell ref="AX3074:AY3075"/>
    <mergeCell ref="AZ3074:AZ3075"/>
    <mergeCell ref="F3075:H3075"/>
    <mergeCell ref="X3075:AB3075"/>
    <mergeCell ref="AE3075:AI3075"/>
    <mergeCell ref="AJ3075:AL3075"/>
    <mergeCell ref="AN3075:AO3075"/>
    <mergeCell ref="AP3075:AQ3075"/>
    <mergeCell ref="A3076:A3077"/>
    <mergeCell ref="E3076:E3077"/>
    <mergeCell ref="F3076:H3076"/>
    <mergeCell ref="J3076:J3077"/>
    <mergeCell ref="K3076:L3077"/>
    <mergeCell ref="M3076:N3077"/>
    <mergeCell ref="O3076:P3077"/>
    <mergeCell ref="Q3076:R3077"/>
    <mergeCell ref="S3076:T3077"/>
    <mergeCell ref="U3076:V3077"/>
    <mergeCell ref="W3076:W3077"/>
    <mergeCell ref="X3076:AB3076"/>
    <mergeCell ref="AD3076:AI3076"/>
    <mergeCell ref="AJ3076:AL3076"/>
    <mergeCell ref="AN3076:AO3076"/>
    <mergeCell ref="AP3076:AQ3076"/>
    <mergeCell ref="AR3076:AS3077"/>
    <mergeCell ref="AT3076:AU3077"/>
    <mergeCell ref="AV3076:AW3077"/>
    <mergeCell ref="AX3076:AY3077"/>
    <mergeCell ref="AZ3076:AZ3077"/>
    <mergeCell ref="F3077:H3077"/>
    <mergeCell ref="X3077:AB3077"/>
    <mergeCell ref="AE3077:AI3077"/>
    <mergeCell ref="AJ3077:AL3077"/>
    <mergeCell ref="AN3077:AO3077"/>
    <mergeCell ref="AP3077:AQ3077"/>
    <mergeCell ref="A3070:A3071"/>
    <mergeCell ref="E3070:E3071"/>
    <mergeCell ref="F3070:H3070"/>
    <mergeCell ref="J3070:J3071"/>
    <mergeCell ref="K3070:L3071"/>
    <mergeCell ref="M3070:N3071"/>
    <mergeCell ref="O3070:P3071"/>
    <mergeCell ref="Q3070:R3071"/>
    <mergeCell ref="S3070:T3071"/>
    <mergeCell ref="U3070:V3071"/>
    <mergeCell ref="W3070:W3071"/>
    <mergeCell ref="X3070:AB3070"/>
    <mergeCell ref="AD3070:AI3070"/>
    <mergeCell ref="AJ3070:AL3070"/>
    <mergeCell ref="AN3070:AO3070"/>
    <mergeCell ref="AP3070:AQ3070"/>
    <mergeCell ref="AR3070:AS3071"/>
    <mergeCell ref="AT3070:AU3071"/>
    <mergeCell ref="AV3070:AW3071"/>
    <mergeCell ref="AX3070:AY3071"/>
    <mergeCell ref="AZ3070:AZ3071"/>
    <mergeCell ref="F3071:H3071"/>
    <mergeCell ref="X3071:AB3071"/>
    <mergeCell ref="AE3071:AI3071"/>
    <mergeCell ref="AJ3071:AL3071"/>
    <mergeCell ref="AN3071:AO3071"/>
    <mergeCell ref="AP3071:AQ3071"/>
    <mergeCell ref="A3072:A3073"/>
    <mergeCell ref="E3072:E3073"/>
    <mergeCell ref="F3072:H3072"/>
    <mergeCell ref="J3072:J3073"/>
    <mergeCell ref="K3072:L3073"/>
    <mergeCell ref="M3072:N3073"/>
    <mergeCell ref="O3072:P3073"/>
    <mergeCell ref="Q3072:R3073"/>
    <mergeCell ref="S3072:T3073"/>
    <mergeCell ref="U3072:V3073"/>
    <mergeCell ref="W3072:W3073"/>
    <mergeCell ref="X3072:AB3072"/>
    <mergeCell ref="AD3072:AI3072"/>
    <mergeCell ref="AJ3072:AL3072"/>
    <mergeCell ref="AN3072:AO3072"/>
    <mergeCell ref="AP3072:AQ3072"/>
    <mergeCell ref="AR3072:AS3073"/>
    <mergeCell ref="AT3072:AU3073"/>
    <mergeCell ref="AV3072:AW3073"/>
    <mergeCell ref="AX3072:AY3073"/>
    <mergeCell ref="AZ3072:AZ3073"/>
    <mergeCell ref="F3073:H3073"/>
    <mergeCell ref="X3073:AB3073"/>
    <mergeCell ref="AE3073:AI3073"/>
    <mergeCell ref="AJ3073:AL3073"/>
    <mergeCell ref="AN3073:AO3073"/>
    <mergeCell ref="AP3073:AQ3073"/>
    <mergeCell ref="AJ3054:AL3054"/>
    <mergeCell ref="AN3054:AO3054"/>
    <mergeCell ref="AP3054:AQ3054"/>
    <mergeCell ref="AR3054:AS3055"/>
    <mergeCell ref="AT3054:AU3055"/>
    <mergeCell ref="AV3054:AW3055"/>
    <mergeCell ref="AX3054:AY3055"/>
    <mergeCell ref="AZ3054:AZ3055"/>
    <mergeCell ref="F3055:H3055"/>
    <mergeCell ref="X3055:AB3055"/>
    <mergeCell ref="AE3055:AI3055"/>
    <mergeCell ref="AJ3055:AL3055"/>
    <mergeCell ref="AN3055:AO3055"/>
    <mergeCell ref="AP3055:AQ3055"/>
    <mergeCell ref="A3056:A3057"/>
    <mergeCell ref="E3056:E3057"/>
    <mergeCell ref="F3056:H3056"/>
    <mergeCell ref="J3056:J3057"/>
    <mergeCell ref="K3056:L3057"/>
    <mergeCell ref="M3056:N3057"/>
    <mergeCell ref="O3056:P3057"/>
    <mergeCell ref="Q3056:R3057"/>
    <mergeCell ref="S3056:T3057"/>
    <mergeCell ref="U3056:V3057"/>
    <mergeCell ref="W3056:W3057"/>
    <mergeCell ref="X3056:AB3056"/>
    <mergeCell ref="AD3056:AI3056"/>
    <mergeCell ref="AJ3056:AL3056"/>
    <mergeCell ref="AN3056:AO3056"/>
    <mergeCell ref="AP3056:AQ3056"/>
    <mergeCell ref="AR3056:AS3057"/>
    <mergeCell ref="AT3056:AU3057"/>
    <mergeCell ref="AV3056:AW3057"/>
    <mergeCell ref="AX3056:AY3057"/>
    <mergeCell ref="AZ3056:AZ3057"/>
    <mergeCell ref="F3057:H3057"/>
    <mergeCell ref="X3057:AB3057"/>
    <mergeCell ref="AE3057:AI3057"/>
    <mergeCell ref="AJ3057:AL3057"/>
    <mergeCell ref="AN3057:AO3057"/>
    <mergeCell ref="AP3057:AQ3057"/>
    <mergeCell ref="A3050:A3051"/>
    <mergeCell ref="E3050:E3051"/>
    <mergeCell ref="F3050:H3050"/>
    <mergeCell ref="J3050:J3051"/>
    <mergeCell ref="K3050:L3051"/>
    <mergeCell ref="M3050:N3051"/>
    <mergeCell ref="O3050:P3051"/>
    <mergeCell ref="Q3050:R3051"/>
    <mergeCell ref="S3050:T3051"/>
    <mergeCell ref="U3050:V3051"/>
    <mergeCell ref="W3050:W3051"/>
    <mergeCell ref="X3050:AB3050"/>
    <mergeCell ref="AD3050:AI3050"/>
    <mergeCell ref="AJ3050:AL3050"/>
    <mergeCell ref="AN3050:AO3050"/>
    <mergeCell ref="AP3050:AQ3050"/>
    <mergeCell ref="AR3050:AS3051"/>
    <mergeCell ref="AT3050:AU3051"/>
    <mergeCell ref="AV3050:AW3051"/>
    <mergeCell ref="AX3050:AY3051"/>
    <mergeCell ref="AZ3050:AZ3051"/>
    <mergeCell ref="F3051:H3051"/>
    <mergeCell ref="X3051:AB3051"/>
    <mergeCell ref="AE3051:AI3051"/>
    <mergeCell ref="AJ3051:AL3051"/>
    <mergeCell ref="AN3051:AO3051"/>
    <mergeCell ref="AP3051:AQ3051"/>
    <mergeCell ref="A3052:A3053"/>
    <mergeCell ref="E3052:E3053"/>
    <mergeCell ref="F3052:H3052"/>
    <mergeCell ref="J3052:J3053"/>
    <mergeCell ref="K3052:L3053"/>
    <mergeCell ref="M3052:N3053"/>
    <mergeCell ref="O3052:P3053"/>
    <mergeCell ref="Q3052:R3053"/>
    <mergeCell ref="S3052:T3053"/>
    <mergeCell ref="U3052:V3053"/>
    <mergeCell ref="W3052:W3053"/>
    <mergeCell ref="X3052:AB3052"/>
    <mergeCell ref="AD3052:AI3052"/>
    <mergeCell ref="AJ3052:AL3052"/>
    <mergeCell ref="AN3052:AO3052"/>
    <mergeCell ref="AP3052:AQ3052"/>
    <mergeCell ref="AR3052:AS3053"/>
    <mergeCell ref="AT3052:AU3053"/>
    <mergeCell ref="AV3052:AW3053"/>
    <mergeCell ref="AX3052:AY3053"/>
    <mergeCell ref="AZ3052:AZ3053"/>
    <mergeCell ref="F3053:H3053"/>
    <mergeCell ref="X3053:AB3053"/>
    <mergeCell ref="AE3053:AI3053"/>
    <mergeCell ref="AJ3053:AL3053"/>
    <mergeCell ref="AN3053:AO3053"/>
    <mergeCell ref="AP3053:AQ3053"/>
    <mergeCell ref="A2724:A2725"/>
    <mergeCell ref="E2724:E2725"/>
    <mergeCell ref="F2724:H2724"/>
    <mergeCell ref="J2724:J2725"/>
    <mergeCell ref="K2724:L2725"/>
    <mergeCell ref="M2724:N2725"/>
    <mergeCell ref="O2724:P2725"/>
    <mergeCell ref="Q2724:R2725"/>
    <mergeCell ref="S2724:T2725"/>
    <mergeCell ref="U2724:V2725"/>
    <mergeCell ref="W2724:W2725"/>
    <mergeCell ref="X2724:AB2724"/>
    <mergeCell ref="AD2724:AI2724"/>
    <mergeCell ref="AJ2724:AL2724"/>
    <mergeCell ref="AN2724:AO2724"/>
    <mergeCell ref="AP2724:AQ2724"/>
    <mergeCell ref="AR2724:AS2725"/>
    <mergeCell ref="AT2724:AU2725"/>
    <mergeCell ref="AV2724:AW2725"/>
    <mergeCell ref="AX2724:AY2725"/>
    <mergeCell ref="AZ2724:AZ2725"/>
    <mergeCell ref="F2725:H2725"/>
    <mergeCell ref="X2725:AB2725"/>
    <mergeCell ref="AE2725:AI2725"/>
    <mergeCell ref="AJ2725:AL2725"/>
    <mergeCell ref="AN2725:AO2725"/>
    <mergeCell ref="AP2725:AQ2725"/>
    <mergeCell ref="AZ2676:AZ2677"/>
    <mergeCell ref="F2677:H2677"/>
    <mergeCell ref="X2677:AB2677"/>
    <mergeCell ref="AE2677:AI2677"/>
    <mergeCell ref="AJ2677:AL2677"/>
    <mergeCell ref="AN2677:AO2677"/>
    <mergeCell ref="AP2677:AQ2677"/>
    <mergeCell ref="A2714:A2715"/>
    <mergeCell ref="E2714:E2715"/>
    <mergeCell ref="F2714:H2714"/>
    <mergeCell ref="J2714:J2715"/>
    <mergeCell ref="K2714:L2715"/>
    <mergeCell ref="M2714:N2715"/>
    <mergeCell ref="O2714:P2715"/>
    <mergeCell ref="Q2714:R2715"/>
    <mergeCell ref="S2714:T2715"/>
    <mergeCell ref="U2714:V2715"/>
    <mergeCell ref="W2714:W2715"/>
    <mergeCell ref="X2714:AB2714"/>
    <mergeCell ref="AD2714:AI2714"/>
    <mergeCell ref="AJ2714:AL2714"/>
    <mergeCell ref="AN2714:AO2714"/>
    <mergeCell ref="AP2714:AQ2714"/>
    <mergeCell ref="AR2714:AS2715"/>
    <mergeCell ref="AT2714:AU2715"/>
    <mergeCell ref="AV2714:AW2715"/>
    <mergeCell ref="AX2714:AY2715"/>
    <mergeCell ref="AZ2714:AZ2715"/>
    <mergeCell ref="F2715:H2715"/>
    <mergeCell ref="X2715:AB2715"/>
    <mergeCell ref="AE2715:AI2715"/>
    <mergeCell ref="AJ2715:AL2715"/>
    <mergeCell ref="AN2715:AO2715"/>
    <mergeCell ref="AP2715:AQ2715"/>
    <mergeCell ref="W2712:W2713"/>
    <mergeCell ref="X2712:AB2712"/>
    <mergeCell ref="AD2712:AI2712"/>
    <mergeCell ref="AJ2712:AL2712"/>
    <mergeCell ref="AN2712:AO2712"/>
    <mergeCell ref="AP2712:AQ2712"/>
    <mergeCell ref="AR2712:AS2713"/>
    <mergeCell ref="AT2712:AU2713"/>
    <mergeCell ref="AV2712:AW2713"/>
    <mergeCell ref="AX2712:AY2713"/>
    <mergeCell ref="AZ2712:AZ2713"/>
    <mergeCell ref="F2713:H2713"/>
    <mergeCell ref="X2713:AB2713"/>
    <mergeCell ref="AE2713:AI2713"/>
    <mergeCell ref="AJ2713:AL2713"/>
    <mergeCell ref="AN2713:AO2713"/>
    <mergeCell ref="AP2713:AQ2713"/>
    <mergeCell ref="A2706:A2707"/>
    <mergeCell ref="E2706:E2707"/>
    <mergeCell ref="F2706:H2706"/>
    <mergeCell ref="J2706:J2707"/>
    <mergeCell ref="K2706:L2707"/>
    <mergeCell ref="M2706:N2707"/>
    <mergeCell ref="O2706:P2707"/>
    <mergeCell ref="Q2706:R2707"/>
    <mergeCell ref="S2706:T2707"/>
    <mergeCell ref="U2706:V2707"/>
    <mergeCell ref="W2706:W2707"/>
    <mergeCell ref="X2706:AB2706"/>
    <mergeCell ref="AD2706:AI2706"/>
    <mergeCell ref="A2716:A2717"/>
    <mergeCell ref="E2716:E2717"/>
    <mergeCell ref="F2716:H2716"/>
    <mergeCell ref="J2716:J2717"/>
    <mergeCell ref="K2716:L2717"/>
    <mergeCell ref="M2716:N2717"/>
    <mergeCell ref="O2716:P2717"/>
    <mergeCell ref="Q2716:R2717"/>
    <mergeCell ref="S2716:T2717"/>
    <mergeCell ref="U2716:V2717"/>
    <mergeCell ref="W2716:W2717"/>
    <mergeCell ref="X2716:AB2716"/>
    <mergeCell ref="AD2716:AI2716"/>
    <mergeCell ref="AJ2716:AL2716"/>
    <mergeCell ref="AN2716:AO2716"/>
    <mergeCell ref="AP2716:AQ2716"/>
    <mergeCell ref="AR2716:AS2717"/>
    <mergeCell ref="AT2716:AU2717"/>
    <mergeCell ref="AV2716:AW2717"/>
    <mergeCell ref="AX2716:AY2717"/>
    <mergeCell ref="AZ2716:AZ2717"/>
    <mergeCell ref="F2717:H2717"/>
    <mergeCell ref="X2717:AB2717"/>
    <mergeCell ref="AE2717:AI2717"/>
    <mergeCell ref="AJ2717:AL2717"/>
    <mergeCell ref="AN2717:AO2717"/>
    <mergeCell ref="AP2717:AQ2717"/>
    <mergeCell ref="A2710:A2711"/>
    <mergeCell ref="E2710:E2711"/>
    <mergeCell ref="F2710:H2710"/>
    <mergeCell ref="J2710:J2711"/>
    <mergeCell ref="K2710:L2711"/>
    <mergeCell ref="M2710:N2711"/>
    <mergeCell ref="O2710:P2711"/>
    <mergeCell ref="Q2710:R2711"/>
    <mergeCell ref="S2710:T2711"/>
    <mergeCell ref="U2710:V2711"/>
    <mergeCell ref="W2710:W2711"/>
    <mergeCell ref="X2710:AB2710"/>
    <mergeCell ref="AD2710:AI2710"/>
    <mergeCell ref="AJ2710:AL2710"/>
    <mergeCell ref="AN2710:AO2710"/>
    <mergeCell ref="AP2710:AQ2710"/>
    <mergeCell ref="AR2710:AS2711"/>
    <mergeCell ref="AT2710:AU2711"/>
    <mergeCell ref="AV2710:AW2711"/>
    <mergeCell ref="AX2710:AY2711"/>
    <mergeCell ref="AZ2710:AZ2711"/>
    <mergeCell ref="F2711:H2711"/>
    <mergeCell ref="X2711:AB2711"/>
    <mergeCell ref="AE2711:AI2711"/>
    <mergeCell ref="AJ2711:AL2711"/>
    <mergeCell ref="AN2711:AO2711"/>
    <mergeCell ref="AP2711:AQ2711"/>
    <mergeCell ref="A2712:A2713"/>
    <mergeCell ref="E2712:E2713"/>
    <mergeCell ref="F2712:H2712"/>
    <mergeCell ref="J2712:J2713"/>
    <mergeCell ref="K2712:L2713"/>
    <mergeCell ref="M2712:N2713"/>
    <mergeCell ref="O2712:P2713"/>
    <mergeCell ref="Q2712:R2713"/>
    <mergeCell ref="S2712:T2713"/>
    <mergeCell ref="U2712:V2713"/>
    <mergeCell ref="AJ2706:AL2706"/>
    <mergeCell ref="AN2706:AO2706"/>
    <mergeCell ref="AP2706:AQ2706"/>
    <mergeCell ref="AR2706:AS2707"/>
    <mergeCell ref="AT2706:AU2707"/>
    <mergeCell ref="AV2706:AW2707"/>
    <mergeCell ref="AX2706:AY2707"/>
    <mergeCell ref="AZ2706:AZ2707"/>
    <mergeCell ref="F2707:H2707"/>
    <mergeCell ref="X2707:AB2707"/>
    <mergeCell ref="AE2707:AI2707"/>
    <mergeCell ref="AJ2707:AL2707"/>
    <mergeCell ref="AN2707:AO2707"/>
    <mergeCell ref="AP2707:AQ2707"/>
    <mergeCell ref="A2708:A2709"/>
    <mergeCell ref="E2708:E2709"/>
    <mergeCell ref="F2708:H2708"/>
    <mergeCell ref="J2708:J2709"/>
    <mergeCell ref="K2708:L2709"/>
    <mergeCell ref="M2708:N2709"/>
    <mergeCell ref="O2708:P2709"/>
    <mergeCell ref="Q2708:R2709"/>
    <mergeCell ref="S2708:T2709"/>
    <mergeCell ref="U2708:V2709"/>
    <mergeCell ref="W2708:W2709"/>
    <mergeCell ref="X2708:AB2708"/>
    <mergeCell ref="AD2708:AI2708"/>
    <mergeCell ref="AJ2708:AL2708"/>
    <mergeCell ref="AN2708:AO2708"/>
    <mergeCell ref="AP2708:AQ2708"/>
    <mergeCell ref="AR2708:AS2709"/>
    <mergeCell ref="AT2708:AU2709"/>
    <mergeCell ref="AV2708:AW2709"/>
    <mergeCell ref="AX2708:AY2709"/>
    <mergeCell ref="AZ2708:AZ2709"/>
    <mergeCell ref="F2709:H2709"/>
    <mergeCell ref="X2709:AB2709"/>
    <mergeCell ref="AE2709:AI2709"/>
    <mergeCell ref="AJ2709:AL2709"/>
    <mergeCell ref="AN2709:AO2709"/>
    <mergeCell ref="AP2709:AQ2709"/>
    <mergeCell ref="A2702:A2703"/>
    <mergeCell ref="E2702:E2703"/>
    <mergeCell ref="F2702:H2702"/>
    <mergeCell ref="J2702:J2703"/>
    <mergeCell ref="K2702:L2703"/>
    <mergeCell ref="M2702:N2703"/>
    <mergeCell ref="O2702:P2703"/>
    <mergeCell ref="Q2702:R2703"/>
    <mergeCell ref="S2702:T2703"/>
    <mergeCell ref="U2702:V2703"/>
    <mergeCell ref="W2702:W2703"/>
    <mergeCell ref="X2702:AB2702"/>
    <mergeCell ref="AD2702:AI2702"/>
    <mergeCell ref="AJ2702:AL2702"/>
    <mergeCell ref="AN2702:AO2702"/>
    <mergeCell ref="AP2702:AQ2702"/>
    <mergeCell ref="AR2702:AS2703"/>
    <mergeCell ref="AT2702:AU2703"/>
    <mergeCell ref="AV2702:AW2703"/>
    <mergeCell ref="AX2702:AY2703"/>
    <mergeCell ref="AZ2702:AZ2703"/>
    <mergeCell ref="F2703:H2703"/>
    <mergeCell ref="X2703:AB2703"/>
    <mergeCell ref="AE2703:AI2703"/>
    <mergeCell ref="AJ2703:AL2703"/>
    <mergeCell ref="AN2703:AO2703"/>
    <mergeCell ref="AP2703:AQ2703"/>
    <mergeCell ref="A2704:A2705"/>
    <mergeCell ref="E2704:E2705"/>
    <mergeCell ref="F2704:H2704"/>
    <mergeCell ref="J2704:J2705"/>
    <mergeCell ref="K2704:L2705"/>
    <mergeCell ref="M2704:N2705"/>
    <mergeCell ref="O2704:P2705"/>
    <mergeCell ref="Q2704:R2705"/>
    <mergeCell ref="S2704:T2705"/>
    <mergeCell ref="U2704:V2705"/>
    <mergeCell ref="W2704:W2705"/>
    <mergeCell ref="X2704:AB2704"/>
    <mergeCell ref="AD2704:AI2704"/>
    <mergeCell ref="AJ2704:AL2704"/>
    <mergeCell ref="AN2704:AO2704"/>
    <mergeCell ref="AP2704:AQ2704"/>
    <mergeCell ref="AR2704:AS2705"/>
    <mergeCell ref="AT2704:AU2705"/>
    <mergeCell ref="AV2704:AW2705"/>
    <mergeCell ref="AX2704:AY2705"/>
    <mergeCell ref="AZ2704:AZ2705"/>
    <mergeCell ref="F2705:H2705"/>
    <mergeCell ref="X2705:AB2705"/>
    <mergeCell ref="AE2705:AI2705"/>
    <mergeCell ref="AJ2705:AL2705"/>
    <mergeCell ref="AN2705:AO2705"/>
    <mergeCell ref="AP2705:AQ2705"/>
    <mergeCell ref="A2698:A2699"/>
    <mergeCell ref="E2698:E2699"/>
    <mergeCell ref="F2698:H2698"/>
    <mergeCell ref="J2698:J2699"/>
    <mergeCell ref="K2698:L2699"/>
    <mergeCell ref="M2698:N2699"/>
    <mergeCell ref="O2698:P2699"/>
    <mergeCell ref="Q2698:R2699"/>
    <mergeCell ref="S2698:T2699"/>
    <mergeCell ref="U2698:V2699"/>
    <mergeCell ref="W2698:W2699"/>
    <mergeCell ref="X2698:AB2698"/>
    <mergeCell ref="AD2698:AI2698"/>
    <mergeCell ref="AJ2698:AL2698"/>
    <mergeCell ref="AN2698:AO2698"/>
    <mergeCell ref="AP2698:AQ2698"/>
    <mergeCell ref="AR2698:AS2699"/>
    <mergeCell ref="AT2698:AU2699"/>
    <mergeCell ref="AV2698:AW2699"/>
    <mergeCell ref="AX2698:AY2699"/>
    <mergeCell ref="AZ2698:AZ2699"/>
    <mergeCell ref="F2699:H2699"/>
    <mergeCell ref="X2699:AB2699"/>
    <mergeCell ref="AE2699:AI2699"/>
    <mergeCell ref="AJ2699:AL2699"/>
    <mergeCell ref="AN2699:AO2699"/>
    <mergeCell ref="AP2699:AQ2699"/>
    <mergeCell ref="A2700:A2701"/>
    <mergeCell ref="E2700:E2701"/>
    <mergeCell ref="F2700:H2700"/>
    <mergeCell ref="J2700:J2701"/>
    <mergeCell ref="K2700:L2701"/>
    <mergeCell ref="M2700:N2701"/>
    <mergeCell ref="O2700:P2701"/>
    <mergeCell ref="Q2700:R2701"/>
    <mergeCell ref="S2700:T2701"/>
    <mergeCell ref="U2700:V2701"/>
    <mergeCell ref="W2700:W2701"/>
    <mergeCell ref="X2700:AB2700"/>
    <mergeCell ref="AD2700:AI2700"/>
    <mergeCell ref="AJ2700:AL2700"/>
    <mergeCell ref="AN2700:AO2700"/>
    <mergeCell ref="AP2700:AQ2700"/>
    <mergeCell ref="AR2700:AS2701"/>
    <mergeCell ref="AT2700:AU2701"/>
    <mergeCell ref="AV2700:AW2701"/>
    <mergeCell ref="AX2700:AY2701"/>
    <mergeCell ref="AZ2700:AZ2701"/>
    <mergeCell ref="F2701:H2701"/>
    <mergeCell ref="X2701:AB2701"/>
    <mergeCell ref="AE2701:AI2701"/>
    <mergeCell ref="AJ2701:AL2701"/>
    <mergeCell ref="AN2701:AO2701"/>
    <mergeCell ref="AP2701:AQ2701"/>
    <mergeCell ref="A2694:A2695"/>
    <mergeCell ref="E2694:E2695"/>
    <mergeCell ref="F2694:H2694"/>
    <mergeCell ref="J2694:J2695"/>
    <mergeCell ref="K2694:L2695"/>
    <mergeCell ref="M2694:N2695"/>
    <mergeCell ref="O2694:P2695"/>
    <mergeCell ref="Q2694:R2695"/>
    <mergeCell ref="S2694:T2695"/>
    <mergeCell ref="U2694:V2695"/>
    <mergeCell ref="W2694:W2695"/>
    <mergeCell ref="X2694:AB2694"/>
    <mergeCell ref="AD2694:AI2694"/>
    <mergeCell ref="AJ2694:AL2694"/>
    <mergeCell ref="AN2694:AO2694"/>
    <mergeCell ref="AP2694:AQ2694"/>
    <mergeCell ref="AR2694:AS2695"/>
    <mergeCell ref="AT2694:AU2695"/>
    <mergeCell ref="AV2694:AW2695"/>
    <mergeCell ref="AX2694:AY2695"/>
    <mergeCell ref="AZ2694:AZ2695"/>
    <mergeCell ref="F2695:H2695"/>
    <mergeCell ref="X2695:AB2695"/>
    <mergeCell ref="AE2695:AI2695"/>
    <mergeCell ref="AJ2695:AL2695"/>
    <mergeCell ref="AN2695:AO2695"/>
    <mergeCell ref="AP2695:AQ2695"/>
    <mergeCell ref="A2696:A2697"/>
    <mergeCell ref="E2696:E2697"/>
    <mergeCell ref="F2696:H2696"/>
    <mergeCell ref="J2696:J2697"/>
    <mergeCell ref="K2696:L2697"/>
    <mergeCell ref="M2696:N2697"/>
    <mergeCell ref="O2696:P2697"/>
    <mergeCell ref="Q2696:R2697"/>
    <mergeCell ref="S2696:T2697"/>
    <mergeCell ref="U2696:V2697"/>
    <mergeCell ref="W2696:W2697"/>
    <mergeCell ref="X2696:AB2696"/>
    <mergeCell ref="AD2696:AI2696"/>
    <mergeCell ref="AJ2696:AL2696"/>
    <mergeCell ref="AN2696:AO2696"/>
    <mergeCell ref="AP2696:AQ2696"/>
    <mergeCell ref="AR2696:AS2697"/>
    <mergeCell ref="AT2696:AU2697"/>
    <mergeCell ref="AV2696:AW2697"/>
    <mergeCell ref="AX2696:AY2697"/>
    <mergeCell ref="AZ2696:AZ2697"/>
    <mergeCell ref="F2697:H2697"/>
    <mergeCell ref="X2697:AB2697"/>
    <mergeCell ref="AE2697:AI2697"/>
    <mergeCell ref="AJ2697:AL2697"/>
    <mergeCell ref="AN2697:AO2697"/>
    <mergeCell ref="AP2697:AQ2697"/>
    <mergeCell ref="A2690:A2691"/>
    <mergeCell ref="E2690:E2691"/>
    <mergeCell ref="F2690:H2690"/>
    <mergeCell ref="J2690:J2691"/>
    <mergeCell ref="K2690:L2691"/>
    <mergeCell ref="M2690:N2691"/>
    <mergeCell ref="O2690:P2691"/>
    <mergeCell ref="Q2690:R2691"/>
    <mergeCell ref="S2690:T2691"/>
    <mergeCell ref="U2690:V2691"/>
    <mergeCell ref="W2690:W2691"/>
    <mergeCell ref="X2690:AB2690"/>
    <mergeCell ref="AD2690:AI2690"/>
    <mergeCell ref="AJ2690:AL2690"/>
    <mergeCell ref="AN2690:AO2690"/>
    <mergeCell ref="AP2690:AQ2690"/>
    <mergeCell ref="AR2690:AS2691"/>
    <mergeCell ref="AT2690:AU2691"/>
    <mergeCell ref="AV2690:AW2691"/>
    <mergeCell ref="AX2690:AY2691"/>
    <mergeCell ref="AZ2690:AZ2691"/>
    <mergeCell ref="F2691:H2691"/>
    <mergeCell ref="X2691:AB2691"/>
    <mergeCell ref="AE2691:AI2691"/>
    <mergeCell ref="AJ2691:AL2691"/>
    <mergeCell ref="AN2691:AO2691"/>
    <mergeCell ref="AP2691:AQ2691"/>
    <mergeCell ref="A2692:A2693"/>
    <mergeCell ref="E2692:E2693"/>
    <mergeCell ref="F2692:H2692"/>
    <mergeCell ref="J2692:J2693"/>
    <mergeCell ref="K2692:L2693"/>
    <mergeCell ref="M2692:N2693"/>
    <mergeCell ref="O2692:P2693"/>
    <mergeCell ref="Q2692:R2693"/>
    <mergeCell ref="S2692:T2693"/>
    <mergeCell ref="U2692:V2693"/>
    <mergeCell ref="W2692:W2693"/>
    <mergeCell ref="X2692:AB2692"/>
    <mergeCell ref="AD2692:AI2692"/>
    <mergeCell ref="AJ2692:AL2692"/>
    <mergeCell ref="AN2692:AO2692"/>
    <mergeCell ref="AP2692:AQ2692"/>
    <mergeCell ref="AR2692:AS2693"/>
    <mergeCell ref="AT2692:AU2693"/>
    <mergeCell ref="AV2692:AW2693"/>
    <mergeCell ref="AX2692:AY2693"/>
    <mergeCell ref="AZ2692:AZ2693"/>
    <mergeCell ref="F2693:H2693"/>
    <mergeCell ref="X2693:AB2693"/>
    <mergeCell ref="AE2693:AI2693"/>
    <mergeCell ref="AJ2693:AL2693"/>
    <mergeCell ref="AN2693:AO2693"/>
    <mergeCell ref="AP2693:AQ2693"/>
    <mergeCell ref="A2634:A2635"/>
    <mergeCell ref="E2634:E2635"/>
    <mergeCell ref="F2634:H2634"/>
    <mergeCell ref="J2634:J2635"/>
    <mergeCell ref="K2634:L2635"/>
    <mergeCell ref="M2634:N2635"/>
    <mergeCell ref="O2634:P2635"/>
    <mergeCell ref="Q2634:R2635"/>
    <mergeCell ref="S2634:T2635"/>
    <mergeCell ref="U2634:V2635"/>
    <mergeCell ref="W2634:W2635"/>
    <mergeCell ref="X2634:AB2634"/>
    <mergeCell ref="AD2634:AI2634"/>
    <mergeCell ref="AJ2634:AL2634"/>
    <mergeCell ref="AN2634:AO2634"/>
    <mergeCell ref="AP2634:AQ2634"/>
    <mergeCell ref="AR2634:AS2635"/>
    <mergeCell ref="AT2634:AU2635"/>
    <mergeCell ref="AV2634:AW2635"/>
    <mergeCell ref="AX2634:AY2635"/>
    <mergeCell ref="AZ2634:AZ2635"/>
    <mergeCell ref="F2635:H2635"/>
    <mergeCell ref="X2635:AB2635"/>
    <mergeCell ref="AE2635:AI2635"/>
    <mergeCell ref="AJ2635:AL2635"/>
    <mergeCell ref="AN2635:AO2635"/>
    <mergeCell ref="AP2635:AQ2635"/>
    <mergeCell ref="A2688:A2689"/>
    <mergeCell ref="E2688:E2689"/>
    <mergeCell ref="F2688:H2688"/>
    <mergeCell ref="J2688:J2689"/>
    <mergeCell ref="K2688:L2689"/>
    <mergeCell ref="M2688:N2689"/>
    <mergeCell ref="O2688:P2689"/>
    <mergeCell ref="Q2688:R2689"/>
    <mergeCell ref="S2688:T2689"/>
    <mergeCell ref="U2688:V2689"/>
    <mergeCell ref="W2688:W2689"/>
    <mergeCell ref="X2688:AB2688"/>
    <mergeCell ref="AD2688:AI2688"/>
    <mergeCell ref="AJ2688:AL2688"/>
    <mergeCell ref="AN2688:AO2688"/>
    <mergeCell ref="AP2688:AQ2688"/>
    <mergeCell ref="AR2688:AS2689"/>
    <mergeCell ref="AT2688:AU2689"/>
    <mergeCell ref="AV2688:AW2689"/>
    <mergeCell ref="AX2688:AY2689"/>
    <mergeCell ref="AZ2688:AZ2689"/>
    <mergeCell ref="F2689:H2689"/>
    <mergeCell ref="X2689:AB2689"/>
    <mergeCell ref="AE2689:AI2689"/>
    <mergeCell ref="AJ2689:AL2689"/>
    <mergeCell ref="AN2689:AO2689"/>
    <mergeCell ref="AP2689:AQ2689"/>
    <mergeCell ref="A2676:A2677"/>
    <mergeCell ref="E2676:E2677"/>
    <mergeCell ref="F2676:H2676"/>
    <mergeCell ref="J2676:J2677"/>
    <mergeCell ref="K2676:L2677"/>
    <mergeCell ref="M2676:N2677"/>
    <mergeCell ref="O2676:P2677"/>
    <mergeCell ref="Q2676:R2677"/>
    <mergeCell ref="S2676:T2677"/>
    <mergeCell ref="U2676:V2677"/>
    <mergeCell ref="W2520:W2521"/>
    <mergeCell ref="X2520:AB2520"/>
    <mergeCell ref="AD2520:AI2520"/>
    <mergeCell ref="AJ2520:AL2520"/>
    <mergeCell ref="AN2520:AO2520"/>
    <mergeCell ref="AP2520:AQ2520"/>
    <mergeCell ref="AR2520:AS2521"/>
    <mergeCell ref="AT2520:AU2521"/>
    <mergeCell ref="AV2520:AW2521"/>
    <mergeCell ref="AX2520:AY2521"/>
    <mergeCell ref="AZ2520:AZ2521"/>
    <mergeCell ref="F2521:H2521"/>
    <mergeCell ref="X2521:AB2521"/>
    <mergeCell ref="AE2521:AI2521"/>
    <mergeCell ref="AJ2521:AL2521"/>
    <mergeCell ref="AN2521:AO2521"/>
    <mergeCell ref="AP2521:AQ2521"/>
    <mergeCell ref="A2526:A2527"/>
    <mergeCell ref="E2526:E2527"/>
    <mergeCell ref="F2526:H2526"/>
    <mergeCell ref="J2526:J2527"/>
    <mergeCell ref="K2526:L2527"/>
    <mergeCell ref="M2526:N2527"/>
    <mergeCell ref="O2526:P2527"/>
    <mergeCell ref="Q2526:R2527"/>
    <mergeCell ref="S2526:T2527"/>
    <mergeCell ref="U2526:V2527"/>
    <mergeCell ref="W2526:W2527"/>
    <mergeCell ref="X2526:AB2526"/>
    <mergeCell ref="AD2526:AI2526"/>
    <mergeCell ref="AJ2526:AL2526"/>
    <mergeCell ref="AN2526:AO2526"/>
    <mergeCell ref="AP2526:AQ2526"/>
    <mergeCell ref="AR2526:AS2527"/>
    <mergeCell ref="AT2526:AU2527"/>
    <mergeCell ref="AV2526:AW2527"/>
    <mergeCell ref="AX2526:AY2527"/>
    <mergeCell ref="AZ2526:AZ2527"/>
    <mergeCell ref="F2527:H2527"/>
    <mergeCell ref="X2527:AB2527"/>
    <mergeCell ref="AE2527:AI2527"/>
    <mergeCell ref="AJ2527:AL2527"/>
    <mergeCell ref="AN2527:AO2527"/>
    <mergeCell ref="AP2527:AQ2527"/>
    <mergeCell ref="A2524:A2525"/>
    <mergeCell ref="E2524:E2525"/>
    <mergeCell ref="F2524:H2524"/>
    <mergeCell ref="J2524:J2525"/>
    <mergeCell ref="K2524:L2525"/>
    <mergeCell ref="M2524:N2525"/>
    <mergeCell ref="O2524:P2525"/>
    <mergeCell ref="Q2524:R2525"/>
    <mergeCell ref="S2524:T2525"/>
    <mergeCell ref="U2524:V2525"/>
    <mergeCell ref="W2524:W2525"/>
    <mergeCell ref="X2524:AB2524"/>
    <mergeCell ref="AD2524:AI2524"/>
    <mergeCell ref="AJ2524:AL2524"/>
    <mergeCell ref="AN2524:AO2524"/>
    <mergeCell ref="AP2524:AQ2524"/>
    <mergeCell ref="AR2524:AS2525"/>
    <mergeCell ref="AT2524:AU2525"/>
    <mergeCell ref="AV2524:AW2525"/>
    <mergeCell ref="AX2524:AY2525"/>
    <mergeCell ref="A2538:A2539"/>
    <mergeCell ref="E2538:E2539"/>
    <mergeCell ref="F2538:H2538"/>
    <mergeCell ref="J2538:J2539"/>
    <mergeCell ref="K2538:L2539"/>
    <mergeCell ref="M2538:N2539"/>
    <mergeCell ref="O2538:P2539"/>
    <mergeCell ref="Q2538:R2539"/>
    <mergeCell ref="S2538:T2539"/>
    <mergeCell ref="U2538:V2539"/>
    <mergeCell ref="W2538:W2539"/>
    <mergeCell ref="X2538:AB2538"/>
    <mergeCell ref="AD2538:AI2538"/>
    <mergeCell ref="AJ2538:AL2538"/>
    <mergeCell ref="AN2538:AO2538"/>
    <mergeCell ref="AP2538:AQ2538"/>
    <mergeCell ref="AR2538:AS2539"/>
    <mergeCell ref="AT2538:AU2539"/>
    <mergeCell ref="AV2538:AW2539"/>
    <mergeCell ref="AX2538:AY2539"/>
    <mergeCell ref="AZ2538:AZ2539"/>
    <mergeCell ref="F2539:H2539"/>
    <mergeCell ref="X2539:AB2539"/>
    <mergeCell ref="AE2539:AI2539"/>
    <mergeCell ref="AJ2539:AL2539"/>
    <mergeCell ref="AN2539:AO2539"/>
    <mergeCell ref="AP2539:AQ2539"/>
    <mergeCell ref="A2540:A2541"/>
    <mergeCell ref="E2540:E2541"/>
    <mergeCell ref="F2540:H2540"/>
    <mergeCell ref="J2540:J2541"/>
    <mergeCell ref="K2540:L2541"/>
    <mergeCell ref="M2540:N2541"/>
    <mergeCell ref="O2540:P2541"/>
    <mergeCell ref="Q2540:R2541"/>
    <mergeCell ref="S2540:T2541"/>
    <mergeCell ref="U2540:V2541"/>
    <mergeCell ref="W2540:W2541"/>
    <mergeCell ref="X2540:AB2540"/>
    <mergeCell ref="AD2540:AI2540"/>
    <mergeCell ref="AJ2540:AL2540"/>
    <mergeCell ref="AN2540:AO2540"/>
    <mergeCell ref="AP2540:AQ2540"/>
    <mergeCell ref="AR2540:AS2541"/>
    <mergeCell ref="AT2540:AU2541"/>
    <mergeCell ref="AV2540:AW2541"/>
    <mergeCell ref="AX2540:AY2541"/>
    <mergeCell ref="AZ2540:AZ2541"/>
    <mergeCell ref="F2541:H2541"/>
    <mergeCell ref="X2541:AB2541"/>
    <mergeCell ref="AE2541:AI2541"/>
    <mergeCell ref="AJ2541:AL2541"/>
    <mergeCell ref="AN2541:AO2541"/>
    <mergeCell ref="AP2541:AQ2541"/>
    <mergeCell ref="A2534:A2535"/>
    <mergeCell ref="E2534:E2535"/>
    <mergeCell ref="F2534:H2534"/>
    <mergeCell ref="J2534:J2535"/>
    <mergeCell ref="K2534:L2535"/>
    <mergeCell ref="M2534:N2535"/>
    <mergeCell ref="O2534:P2535"/>
    <mergeCell ref="Q2534:R2535"/>
    <mergeCell ref="S2534:T2535"/>
    <mergeCell ref="U2534:V2535"/>
    <mergeCell ref="W2534:W2535"/>
    <mergeCell ref="X2534:AB2534"/>
    <mergeCell ref="AD2534:AI2534"/>
    <mergeCell ref="AJ2534:AL2534"/>
    <mergeCell ref="AN2534:AO2534"/>
    <mergeCell ref="AP2534:AQ2534"/>
    <mergeCell ref="AR2534:AS2535"/>
    <mergeCell ref="AT2534:AU2535"/>
    <mergeCell ref="AV2534:AW2535"/>
    <mergeCell ref="AX2534:AY2535"/>
    <mergeCell ref="AZ2534:AZ2535"/>
    <mergeCell ref="F2535:H2535"/>
    <mergeCell ref="X2535:AB2535"/>
    <mergeCell ref="AE2535:AI2535"/>
    <mergeCell ref="AJ2535:AL2535"/>
    <mergeCell ref="AN2535:AO2535"/>
    <mergeCell ref="AP2535:AQ2535"/>
    <mergeCell ref="A2536:A2537"/>
    <mergeCell ref="E2536:E2537"/>
    <mergeCell ref="F2536:H2536"/>
    <mergeCell ref="J2536:J2537"/>
    <mergeCell ref="K2536:L2537"/>
    <mergeCell ref="M2536:N2537"/>
    <mergeCell ref="O2536:P2537"/>
    <mergeCell ref="Q2536:R2537"/>
    <mergeCell ref="S2536:T2537"/>
    <mergeCell ref="U2536:V2537"/>
    <mergeCell ref="W2536:W2537"/>
    <mergeCell ref="X2536:AB2536"/>
    <mergeCell ref="AD2536:AI2536"/>
    <mergeCell ref="AJ2536:AL2536"/>
    <mergeCell ref="AN2536:AO2536"/>
    <mergeCell ref="AP2536:AQ2536"/>
    <mergeCell ref="AR2536:AS2537"/>
    <mergeCell ref="AT2536:AU2537"/>
    <mergeCell ref="AV2536:AW2537"/>
    <mergeCell ref="AX2536:AY2537"/>
    <mergeCell ref="AZ2536:AZ2537"/>
    <mergeCell ref="F2537:H2537"/>
    <mergeCell ref="X2537:AB2537"/>
    <mergeCell ref="AE2537:AI2537"/>
    <mergeCell ref="AJ2537:AL2537"/>
    <mergeCell ref="AN2537:AO2537"/>
    <mergeCell ref="AP2537:AQ2537"/>
    <mergeCell ref="A2530:A2531"/>
    <mergeCell ref="E2530:E2531"/>
    <mergeCell ref="F2530:H2530"/>
    <mergeCell ref="J2530:J2531"/>
    <mergeCell ref="K2530:L2531"/>
    <mergeCell ref="M2530:N2531"/>
    <mergeCell ref="O2530:P2531"/>
    <mergeCell ref="Q2530:R2531"/>
    <mergeCell ref="S2530:T2531"/>
    <mergeCell ref="U2530:V2531"/>
    <mergeCell ref="W2530:W2531"/>
    <mergeCell ref="X2530:AB2530"/>
    <mergeCell ref="AD2530:AI2530"/>
    <mergeCell ref="AJ2530:AL2530"/>
    <mergeCell ref="AN2530:AO2530"/>
    <mergeCell ref="AP2530:AQ2530"/>
    <mergeCell ref="AR2530:AS2531"/>
    <mergeCell ref="AT2530:AU2531"/>
    <mergeCell ref="AV2530:AW2531"/>
    <mergeCell ref="AX2530:AY2531"/>
    <mergeCell ref="AZ2530:AZ2531"/>
    <mergeCell ref="F2531:H2531"/>
    <mergeCell ref="X2531:AB2531"/>
    <mergeCell ref="AE2531:AI2531"/>
    <mergeCell ref="AJ2531:AL2531"/>
    <mergeCell ref="AN2531:AO2531"/>
    <mergeCell ref="AP2531:AQ2531"/>
    <mergeCell ref="A2532:A2533"/>
    <mergeCell ref="E2532:E2533"/>
    <mergeCell ref="F2532:H2532"/>
    <mergeCell ref="J2532:J2533"/>
    <mergeCell ref="K2532:L2533"/>
    <mergeCell ref="M2532:N2533"/>
    <mergeCell ref="O2532:P2533"/>
    <mergeCell ref="Q2532:R2533"/>
    <mergeCell ref="S2532:T2533"/>
    <mergeCell ref="U2532:V2533"/>
    <mergeCell ref="W2532:W2533"/>
    <mergeCell ref="X2532:AB2532"/>
    <mergeCell ref="AD2532:AI2532"/>
    <mergeCell ref="AJ2532:AL2532"/>
    <mergeCell ref="AN2532:AO2532"/>
    <mergeCell ref="AP2532:AQ2532"/>
    <mergeCell ref="AR2532:AS2533"/>
    <mergeCell ref="AT2532:AU2533"/>
    <mergeCell ref="AV2532:AW2533"/>
    <mergeCell ref="AX2532:AY2533"/>
    <mergeCell ref="AZ2532:AZ2533"/>
    <mergeCell ref="F2533:H2533"/>
    <mergeCell ref="X2533:AB2533"/>
    <mergeCell ref="AE2533:AI2533"/>
    <mergeCell ref="AJ2533:AL2533"/>
    <mergeCell ref="AN2533:AO2533"/>
    <mergeCell ref="AP2533:AQ2533"/>
    <mergeCell ref="AZ2524:AZ2525"/>
    <mergeCell ref="F2525:H2525"/>
    <mergeCell ref="X2525:AB2525"/>
    <mergeCell ref="AE2525:AI2525"/>
    <mergeCell ref="AJ2525:AL2525"/>
    <mergeCell ref="AN2525:AO2525"/>
    <mergeCell ref="AP2525:AQ2525"/>
    <mergeCell ref="A2528:A2529"/>
    <mergeCell ref="E2528:E2529"/>
    <mergeCell ref="F2528:H2528"/>
    <mergeCell ref="J2528:J2529"/>
    <mergeCell ref="K2528:L2529"/>
    <mergeCell ref="M2528:N2529"/>
    <mergeCell ref="O2528:P2529"/>
    <mergeCell ref="Q2528:R2529"/>
    <mergeCell ref="S2528:T2529"/>
    <mergeCell ref="U2528:V2529"/>
    <mergeCell ref="W2528:W2529"/>
    <mergeCell ref="X2528:AB2528"/>
    <mergeCell ref="AD2528:AI2528"/>
    <mergeCell ref="AJ2528:AL2528"/>
    <mergeCell ref="AN2528:AO2528"/>
    <mergeCell ref="AP2528:AQ2528"/>
    <mergeCell ref="AR2528:AS2529"/>
    <mergeCell ref="AT2528:AU2529"/>
    <mergeCell ref="AV2528:AW2529"/>
    <mergeCell ref="AX2528:AY2529"/>
    <mergeCell ref="AZ2528:AZ2529"/>
    <mergeCell ref="F2529:H2529"/>
    <mergeCell ref="X2529:AB2529"/>
    <mergeCell ref="AE2529:AI2529"/>
    <mergeCell ref="AJ2529:AL2529"/>
    <mergeCell ref="AN2529:AO2529"/>
    <mergeCell ref="AP2529:AQ2529"/>
    <mergeCell ref="A2518:A2519"/>
    <mergeCell ref="E2518:E2519"/>
    <mergeCell ref="F2518:H2518"/>
    <mergeCell ref="J2518:J2519"/>
    <mergeCell ref="K2518:L2519"/>
    <mergeCell ref="M2518:N2519"/>
    <mergeCell ref="O2518:P2519"/>
    <mergeCell ref="Q2518:R2519"/>
    <mergeCell ref="S2518:T2519"/>
    <mergeCell ref="U2518:V2519"/>
    <mergeCell ref="W2518:W2519"/>
    <mergeCell ref="X2518:AB2518"/>
    <mergeCell ref="AD2518:AI2518"/>
    <mergeCell ref="AJ2518:AL2518"/>
    <mergeCell ref="AN2518:AO2518"/>
    <mergeCell ref="AP2518:AQ2518"/>
    <mergeCell ref="AR2518:AS2519"/>
    <mergeCell ref="AT2518:AU2519"/>
    <mergeCell ref="AV2518:AW2519"/>
    <mergeCell ref="AX2518:AY2519"/>
    <mergeCell ref="AZ2518:AZ2519"/>
    <mergeCell ref="F2519:H2519"/>
    <mergeCell ref="X2519:AB2519"/>
    <mergeCell ref="AE2519:AI2519"/>
    <mergeCell ref="AJ2519:AL2519"/>
    <mergeCell ref="AN2519:AO2519"/>
    <mergeCell ref="AP2519:AQ2519"/>
    <mergeCell ref="A2522:A2523"/>
    <mergeCell ref="E2522:E2523"/>
    <mergeCell ref="F2522:H2522"/>
    <mergeCell ref="J2522:J2523"/>
    <mergeCell ref="K2522:L2523"/>
    <mergeCell ref="M2522:N2523"/>
    <mergeCell ref="O2522:P2523"/>
    <mergeCell ref="Q2522:R2523"/>
    <mergeCell ref="S2522:T2523"/>
    <mergeCell ref="U2522:V2523"/>
    <mergeCell ref="W2522:W2523"/>
    <mergeCell ref="X2522:AB2522"/>
    <mergeCell ref="AD2522:AI2522"/>
    <mergeCell ref="AJ2522:AL2522"/>
    <mergeCell ref="AN2522:AO2522"/>
    <mergeCell ref="AP2522:AQ2522"/>
    <mergeCell ref="AR2522:AS2523"/>
    <mergeCell ref="AT2522:AU2523"/>
    <mergeCell ref="AV2522:AW2523"/>
    <mergeCell ref="AX2522:AY2523"/>
    <mergeCell ref="AZ2522:AZ2523"/>
    <mergeCell ref="F2523:H2523"/>
    <mergeCell ref="X2523:AB2523"/>
    <mergeCell ref="AE2523:AI2523"/>
    <mergeCell ref="AJ2523:AL2523"/>
    <mergeCell ref="AN2523:AO2523"/>
    <mergeCell ref="AP2523:AQ2523"/>
    <mergeCell ref="A2520:A2521"/>
    <mergeCell ref="E2520:E2521"/>
    <mergeCell ref="F2520:H2520"/>
    <mergeCell ref="J2520:J2521"/>
    <mergeCell ref="K2520:L2521"/>
    <mergeCell ref="M2520:N2521"/>
    <mergeCell ref="O2520:P2521"/>
    <mergeCell ref="Q2520:R2521"/>
    <mergeCell ref="S2520:T2521"/>
    <mergeCell ref="U2520:V2521"/>
    <mergeCell ref="A2514:A2515"/>
    <mergeCell ref="E2514:E2515"/>
    <mergeCell ref="F2514:H2514"/>
    <mergeCell ref="J2514:J2515"/>
    <mergeCell ref="K2514:L2515"/>
    <mergeCell ref="M2514:N2515"/>
    <mergeCell ref="O2514:P2515"/>
    <mergeCell ref="Q2514:R2515"/>
    <mergeCell ref="S2514:T2515"/>
    <mergeCell ref="U2514:V2515"/>
    <mergeCell ref="W2514:W2515"/>
    <mergeCell ref="X2514:AB2514"/>
    <mergeCell ref="AD2514:AI2514"/>
    <mergeCell ref="AJ2514:AL2514"/>
    <mergeCell ref="AN2514:AO2514"/>
    <mergeCell ref="AP2514:AQ2514"/>
    <mergeCell ref="AR2514:AS2515"/>
    <mergeCell ref="AT2514:AU2515"/>
    <mergeCell ref="AV2514:AW2515"/>
    <mergeCell ref="AX2514:AY2515"/>
    <mergeCell ref="AZ2514:AZ2515"/>
    <mergeCell ref="F2515:H2515"/>
    <mergeCell ref="X2515:AB2515"/>
    <mergeCell ref="AE2515:AI2515"/>
    <mergeCell ref="AJ2515:AL2515"/>
    <mergeCell ref="AN2515:AO2515"/>
    <mergeCell ref="AP2515:AQ2515"/>
    <mergeCell ref="A2516:A2517"/>
    <mergeCell ref="E2516:E2517"/>
    <mergeCell ref="F2516:H2516"/>
    <mergeCell ref="J2516:J2517"/>
    <mergeCell ref="K2516:L2517"/>
    <mergeCell ref="M2516:N2517"/>
    <mergeCell ref="O2516:P2517"/>
    <mergeCell ref="Q2516:R2517"/>
    <mergeCell ref="S2516:T2517"/>
    <mergeCell ref="U2516:V2517"/>
    <mergeCell ref="W2516:W2517"/>
    <mergeCell ref="X2516:AB2516"/>
    <mergeCell ref="AD2516:AI2516"/>
    <mergeCell ref="AJ2516:AL2516"/>
    <mergeCell ref="AN2516:AO2516"/>
    <mergeCell ref="AP2516:AQ2516"/>
    <mergeCell ref="AR2516:AS2517"/>
    <mergeCell ref="AT2516:AU2517"/>
    <mergeCell ref="AV2516:AW2517"/>
    <mergeCell ref="AX2516:AY2517"/>
    <mergeCell ref="AZ2516:AZ2517"/>
    <mergeCell ref="F2517:H2517"/>
    <mergeCell ref="X2517:AB2517"/>
    <mergeCell ref="AE2517:AI2517"/>
    <mergeCell ref="AJ2517:AL2517"/>
    <mergeCell ref="AN2517:AO2517"/>
    <mergeCell ref="AP2517:AQ2517"/>
    <mergeCell ref="A2510:A2511"/>
    <mergeCell ref="E2510:E2511"/>
    <mergeCell ref="F2510:H2510"/>
    <mergeCell ref="J2510:J2511"/>
    <mergeCell ref="K2510:L2511"/>
    <mergeCell ref="M2510:N2511"/>
    <mergeCell ref="O2510:P2511"/>
    <mergeCell ref="Q2510:R2511"/>
    <mergeCell ref="S2510:T2511"/>
    <mergeCell ref="U2510:V2511"/>
    <mergeCell ref="W2510:W2511"/>
    <mergeCell ref="X2510:AB2510"/>
    <mergeCell ref="AD2510:AI2510"/>
    <mergeCell ref="AJ2510:AL2510"/>
    <mergeCell ref="AN2510:AO2510"/>
    <mergeCell ref="AP2510:AQ2510"/>
    <mergeCell ref="AR2510:AS2511"/>
    <mergeCell ref="AT2510:AU2511"/>
    <mergeCell ref="AV2510:AW2511"/>
    <mergeCell ref="AX2510:AY2511"/>
    <mergeCell ref="AZ2510:AZ2511"/>
    <mergeCell ref="F2511:H2511"/>
    <mergeCell ref="X2511:AB2511"/>
    <mergeCell ref="AE2511:AI2511"/>
    <mergeCell ref="AJ2511:AL2511"/>
    <mergeCell ref="AN2511:AO2511"/>
    <mergeCell ref="AP2511:AQ2511"/>
    <mergeCell ref="A2512:A2513"/>
    <mergeCell ref="E2512:E2513"/>
    <mergeCell ref="F2512:H2512"/>
    <mergeCell ref="J2512:J2513"/>
    <mergeCell ref="K2512:L2513"/>
    <mergeCell ref="M2512:N2513"/>
    <mergeCell ref="O2512:P2513"/>
    <mergeCell ref="Q2512:R2513"/>
    <mergeCell ref="S2512:T2513"/>
    <mergeCell ref="U2512:V2513"/>
    <mergeCell ref="W2512:W2513"/>
    <mergeCell ref="X2512:AB2512"/>
    <mergeCell ref="AD2512:AI2512"/>
    <mergeCell ref="AJ2512:AL2512"/>
    <mergeCell ref="AN2512:AO2512"/>
    <mergeCell ref="AP2512:AQ2512"/>
    <mergeCell ref="AR2512:AS2513"/>
    <mergeCell ref="AT2512:AU2513"/>
    <mergeCell ref="AV2512:AW2513"/>
    <mergeCell ref="AX2512:AY2513"/>
    <mergeCell ref="AZ2512:AZ2513"/>
    <mergeCell ref="F2513:H2513"/>
    <mergeCell ref="X2513:AB2513"/>
    <mergeCell ref="AE2513:AI2513"/>
    <mergeCell ref="AJ2513:AL2513"/>
    <mergeCell ref="AN2513:AO2513"/>
    <mergeCell ref="AP2513:AQ2513"/>
    <mergeCell ref="A2506:A2507"/>
    <mergeCell ref="E2506:E2507"/>
    <mergeCell ref="F2506:H2506"/>
    <mergeCell ref="J2506:J2507"/>
    <mergeCell ref="K2506:L2507"/>
    <mergeCell ref="M2506:N2507"/>
    <mergeCell ref="O2506:P2507"/>
    <mergeCell ref="Q2506:R2507"/>
    <mergeCell ref="S2506:T2507"/>
    <mergeCell ref="U2506:V2507"/>
    <mergeCell ref="W2506:W2507"/>
    <mergeCell ref="X2506:AB2506"/>
    <mergeCell ref="AD2506:AI2506"/>
    <mergeCell ref="AJ2506:AL2506"/>
    <mergeCell ref="AN2506:AO2506"/>
    <mergeCell ref="AP2506:AQ2506"/>
    <mergeCell ref="AR2506:AS2507"/>
    <mergeCell ref="AT2506:AU2507"/>
    <mergeCell ref="AV2506:AW2507"/>
    <mergeCell ref="AX2506:AY2507"/>
    <mergeCell ref="AZ2506:AZ2507"/>
    <mergeCell ref="F2507:H2507"/>
    <mergeCell ref="X2507:AB2507"/>
    <mergeCell ref="AE2507:AI2507"/>
    <mergeCell ref="AJ2507:AL2507"/>
    <mergeCell ref="AN2507:AO2507"/>
    <mergeCell ref="AP2507:AQ2507"/>
    <mergeCell ref="A2508:A2509"/>
    <mergeCell ref="E2508:E2509"/>
    <mergeCell ref="F2508:H2508"/>
    <mergeCell ref="J2508:J2509"/>
    <mergeCell ref="K2508:L2509"/>
    <mergeCell ref="M2508:N2509"/>
    <mergeCell ref="O2508:P2509"/>
    <mergeCell ref="Q2508:R2509"/>
    <mergeCell ref="S2508:T2509"/>
    <mergeCell ref="U2508:V2509"/>
    <mergeCell ref="W2508:W2509"/>
    <mergeCell ref="X2508:AB2508"/>
    <mergeCell ref="AD2508:AI2508"/>
    <mergeCell ref="AJ2508:AL2508"/>
    <mergeCell ref="AN2508:AO2508"/>
    <mergeCell ref="AP2508:AQ2508"/>
    <mergeCell ref="AR2508:AS2509"/>
    <mergeCell ref="AT2508:AU2509"/>
    <mergeCell ref="AV2508:AW2509"/>
    <mergeCell ref="AX2508:AY2509"/>
    <mergeCell ref="AZ2508:AZ2509"/>
    <mergeCell ref="F2509:H2509"/>
    <mergeCell ref="X2509:AB2509"/>
    <mergeCell ref="AE2509:AI2509"/>
    <mergeCell ref="AJ2509:AL2509"/>
    <mergeCell ref="AN2509:AO2509"/>
    <mergeCell ref="AP2509:AQ2509"/>
    <mergeCell ref="A2502:A2503"/>
    <mergeCell ref="E2502:E2503"/>
    <mergeCell ref="F2502:H2502"/>
    <mergeCell ref="J2502:J2503"/>
    <mergeCell ref="K2502:L2503"/>
    <mergeCell ref="M2502:N2503"/>
    <mergeCell ref="O2502:P2503"/>
    <mergeCell ref="Q2502:R2503"/>
    <mergeCell ref="S2502:T2503"/>
    <mergeCell ref="U2502:V2503"/>
    <mergeCell ref="W2502:W2503"/>
    <mergeCell ref="X2502:AB2502"/>
    <mergeCell ref="AD2502:AI2502"/>
    <mergeCell ref="AJ2502:AL2502"/>
    <mergeCell ref="AN2502:AO2502"/>
    <mergeCell ref="AP2502:AQ2502"/>
    <mergeCell ref="AR2502:AS2503"/>
    <mergeCell ref="AT2502:AU2503"/>
    <mergeCell ref="AV2502:AW2503"/>
    <mergeCell ref="AX2502:AY2503"/>
    <mergeCell ref="AZ2502:AZ2503"/>
    <mergeCell ref="F2503:H2503"/>
    <mergeCell ref="X2503:AB2503"/>
    <mergeCell ref="AE2503:AI2503"/>
    <mergeCell ref="AJ2503:AL2503"/>
    <mergeCell ref="AN2503:AO2503"/>
    <mergeCell ref="AP2503:AQ2503"/>
    <mergeCell ref="A2504:A2505"/>
    <mergeCell ref="E2504:E2505"/>
    <mergeCell ref="F2504:H2504"/>
    <mergeCell ref="J2504:J2505"/>
    <mergeCell ref="K2504:L2505"/>
    <mergeCell ref="M2504:N2505"/>
    <mergeCell ref="O2504:P2505"/>
    <mergeCell ref="Q2504:R2505"/>
    <mergeCell ref="S2504:T2505"/>
    <mergeCell ref="U2504:V2505"/>
    <mergeCell ref="W2504:W2505"/>
    <mergeCell ref="X2504:AB2504"/>
    <mergeCell ref="AD2504:AI2504"/>
    <mergeCell ref="AJ2504:AL2504"/>
    <mergeCell ref="AN2504:AO2504"/>
    <mergeCell ref="AP2504:AQ2504"/>
    <mergeCell ref="AR2504:AS2505"/>
    <mergeCell ref="AT2504:AU2505"/>
    <mergeCell ref="AV2504:AW2505"/>
    <mergeCell ref="AX2504:AY2505"/>
    <mergeCell ref="AZ2504:AZ2505"/>
    <mergeCell ref="F2505:H2505"/>
    <mergeCell ref="X2505:AB2505"/>
    <mergeCell ref="AE2505:AI2505"/>
    <mergeCell ref="AJ2505:AL2505"/>
    <mergeCell ref="AN2505:AO2505"/>
    <mergeCell ref="AP2505:AQ2505"/>
    <mergeCell ref="A2498:A2499"/>
    <mergeCell ref="E2498:E2499"/>
    <mergeCell ref="F2498:H2498"/>
    <mergeCell ref="J2498:J2499"/>
    <mergeCell ref="K2498:L2499"/>
    <mergeCell ref="M2498:N2499"/>
    <mergeCell ref="O2498:P2499"/>
    <mergeCell ref="Q2498:R2499"/>
    <mergeCell ref="S2498:T2499"/>
    <mergeCell ref="U2498:V2499"/>
    <mergeCell ref="W2498:W2499"/>
    <mergeCell ref="X2498:AB2498"/>
    <mergeCell ref="AD2498:AI2498"/>
    <mergeCell ref="AJ2498:AL2498"/>
    <mergeCell ref="AN2498:AO2498"/>
    <mergeCell ref="AP2498:AQ2498"/>
    <mergeCell ref="AR2498:AS2499"/>
    <mergeCell ref="AT2498:AU2499"/>
    <mergeCell ref="AV2498:AW2499"/>
    <mergeCell ref="AX2498:AY2499"/>
    <mergeCell ref="AZ2498:AZ2499"/>
    <mergeCell ref="F2499:H2499"/>
    <mergeCell ref="X2499:AB2499"/>
    <mergeCell ref="AE2499:AI2499"/>
    <mergeCell ref="AJ2499:AL2499"/>
    <mergeCell ref="AN2499:AO2499"/>
    <mergeCell ref="AP2499:AQ2499"/>
    <mergeCell ref="A2500:A2501"/>
    <mergeCell ref="E2500:E2501"/>
    <mergeCell ref="F2500:H2500"/>
    <mergeCell ref="J2500:J2501"/>
    <mergeCell ref="K2500:L2501"/>
    <mergeCell ref="M2500:N2501"/>
    <mergeCell ref="O2500:P2501"/>
    <mergeCell ref="Q2500:R2501"/>
    <mergeCell ref="S2500:T2501"/>
    <mergeCell ref="U2500:V2501"/>
    <mergeCell ref="W2500:W2501"/>
    <mergeCell ref="X2500:AB2500"/>
    <mergeCell ref="AD2500:AI2500"/>
    <mergeCell ref="AJ2500:AL2500"/>
    <mergeCell ref="AN2500:AO2500"/>
    <mergeCell ref="AP2500:AQ2500"/>
    <mergeCell ref="AR2500:AS2501"/>
    <mergeCell ref="AT2500:AU2501"/>
    <mergeCell ref="AV2500:AW2501"/>
    <mergeCell ref="AX2500:AY2501"/>
    <mergeCell ref="AZ2500:AZ2501"/>
    <mergeCell ref="F2501:H2501"/>
    <mergeCell ref="X2501:AB2501"/>
    <mergeCell ref="AE2501:AI2501"/>
    <mergeCell ref="AJ2501:AL2501"/>
    <mergeCell ref="AN2501:AO2501"/>
    <mergeCell ref="AP2501:AQ2501"/>
    <mergeCell ref="A2494:A2495"/>
    <mergeCell ref="E2494:E2495"/>
    <mergeCell ref="F2494:H2494"/>
    <mergeCell ref="J2494:J2495"/>
    <mergeCell ref="K2494:L2495"/>
    <mergeCell ref="M2494:N2495"/>
    <mergeCell ref="O2494:P2495"/>
    <mergeCell ref="Q2494:R2495"/>
    <mergeCell ref="S2494:T2495"/>
    <mergeCell ref="U2494:V2495"/>
    <mergeCell ref="W2494:W2495"/>
    <mergeCell ref="X2494:AB2494"/>
    <mergeCell ref="AD2494:AI2494"/>
    <mergeCell ref="AJ2494:AL2494"/>
    <mergeCell ref="AN2494:AO2494"/>
    <mergeCell ref="AP2494:AQ2494"/>
    <mergeCell ref="AR2494:AS2495"/>
    <mergeCell ref="AT2494:AU2495"/>
    <mergeCell ref="AV2494:AW2495"/>
    <mergeCell ref="AX2494:AY2495"/>
    <mergeCell ref="AZ2494:AZ2495"/>
    <mergeCell ref="F2495:H2495"/>
    <mergeCell ref="X2495:AB2495"/>
    <mergeCell ref="AE2495:AI2495"/>
    <mergeCell ref="AJ2495:AL2495"/>
    <mergeCell ref="AN2495:AO2495"/>
    <mergeCell ref="AP2495:AQ2495"/>
    <mergeCell ref="A2496:A2497"/>
    <mergeCell ref="E2496:E2497"/>
    <mergeCell ref="F2496:H2496"/>
    <mergeCell ref="J2496:J2497"/>
    <mergeCell ref="K2496:L2497"/>
    <mergeCell ref="M2496:N2497"/>
    <mergeCell ref="O2496:P2497"/>
    <mergeCell ref="Q2496:R2497"/>
    <mergeCell ref="S2496:T2497"/>
    <mergeCell ref="U2496:V2497"/>
    <mergeCell ref="W2496:W2497"/>
    <mergeCell ref="X2496:AB2496"/>
    <mergeCell ref="AD2496:AI2496"/>
    <mergeCell ref="AJ2496:AL2496"/>
    <mergeCell ref="AN2496:AO2496"/>
    <mergeCell ref="AP2496:AQ2496"/>
    <mergeCell ref="AR2496:AS2497"/>
    <mergeCell ref="AT2496:AU2497"/>
    <mergeCell ref="AV2496:AW2497"/>
    <mergeCell ref="AX2496:AY2497"/>
    <mergeCell ref="AZ2496:AZ2497"/>
    <mergeCell ref="F2497:H2497"/>
    <mergeCell ref="X2497:AB2497"/>
    <mergeCell ref="AE2497:AI2497"/>
    <mergeCell ref="AJ2497:AL2497"/>
    <mergeCell ref="AN2497:AO2497"/>
    <mergeCell ref="AP2497:AQ2497"/>
    <mergeCell ref="A2486:A2487"/>
    <mergeCell ref="E2486:E2487"/>
    <mergeCell ref="F2486:H2486"/>
    <mergeCell ref="J2486:J2487"/>
    <mergeCell ref="K2486:L2487"/>
    <mergeCell ref="M2486:N2487"/>
    <mergeCell ref="O2486:P2487"/>
    <mergeCell ref="Q2486:R2487"/>
    <mergeCell ref="S2486:T2487"/>
    <mergeCell ref="U2486:V2487"/>
    <mergeCell ref="W2486:W2487"/>
    <mergeCell ref="X2486:AB2486"/>
    <mergeCell ref="AD2486:AI2486"/>
    <mergeCell ref="AJ2486:AL2486"/>
    <mergeCell ref="AN2486:AO2486"/>
    <mergeCell ref="AP2486:AQ2486"/>
    <mergeCell ref="AR2486:AS2487"/>
    <mergeCell ref="AT2486:AU2487"/>
    <mergeCell ref="AV2486:AW2487"/>
    <mergeCell ref="AX2486:AY2487"/>
    <mergeCell ref="AZ2486:AZ2487"/>
    <mergeCell ref="F2487:H2487"/>
    <mergeCell ref="X2487:AB2487"/>
    <mergeCell ref="AE2487:AI2487"/>
    <mergeCell ref="AJ2487:AL2487"/>
    <mergeCell ref="AN2487:AO2487"/>
    <mergeCell ref="AP2487:AQ2487"/>
    <mergeCell ref="A2492:A2493"/>
    <mergeCell ref="E2492:E2493"/>
    <mergeCell ref="F2492:H2492"/>
    <mergeCell ref="J2492:J2493"/>
    <mergeCell ref="K2492:L2493"/>
    <mergeCell ref="M2492:N2493"/>
    <mergeCell ref="O2492:P2493"/>
    <mergeCell ref="Q2492:R2493"/>
    <mergeCell ref="S2492:T2493"/>
    <mergeCell ref="U2492:V2493"/>
    <mergeCell ref="W2492:W2493"/>
    <mergeCell ref="X2492:AB2492"/>
    <mergeCell ref="AD2492:AI2492"/>
    <mergeCell ref="AJ2492:AL2492"/>
    <mergeCell ref="AN2492:AO2492"/>
    <mergeCell ref="AP2492:AQ2492"/>
    <mergeCell ref="AR2492:AS2493"/>
    <mergeCell ref="AT2492:AU2493"/>
    <mergeCell ref="AV2492:AW2493"/>
    <mergeCell ref="AX2492:AY2493"/>
    <mergeCell ref="AZ2492:AZ2493"/>
    <mergeCell ref="F2493:H2493"/>
    <mergeCell ref="X2493:AB2493"/>
    <mergeCell ref="AE2493:AI2493"/>
    <mergeCell ref="AJ2493:AL2493"/>
    <mergeCell ref="AN2493:AO2493"/>
    <mergeCell ref="AP2493:AQ2493"/>
    <mergeCell ref="A2488:A2489"/>
    <mergeCell ref="E2488:E2489"/>
    <mergeCell ref="F2488:H2488"/>
    <mergeCell ref="J2488:J2489"/>
    <mergeCell ref="K2488:L2489"/>
    <mergeCell ref="M2488:N2489"/>
    <mergeCell ref="O2488:P2489"/>
    <mergeCell ref="Q2488:R2489"/>
    <mergeCell ref="S2488:T2489"/>
    <mergeCell ref="U2488:V2489"/>
    <mergeCell ref="A2482:A2483"/>
    <mergeCell ref="E2482:E2483"/>
    <mergeCell ref="F2482:H2482"/>
    <mergeCell ref="J2482:J2483"/>
    <mergeCell ref="K2482:L2483"/>
    <mergeCell ref="M2482:N2483"/>
    <mergeCell ref="O2482:P2483"/>
    <mergeCell ref="Q2482:R2483"/>
    <mergeCell ref="S2482:T2483"/>
    <mergeCell ref="U2482:V2483"/>
    <mergeCell ref="W2482:W2483"/>
    <mergeCell ref="X2482:AB2482"/>
    <mergeCell ref="AD2482:AI2482"/>
    <mergeCell ref="AJ2482:AL2482"/>
    <mergeCell ref="AN2482:AO2482"/>
    <mergeCell ref="AP2482:AQ2482"/>
    <mergeCell ref="AR2482:AS2483"/>
    <mergeCell ref="AT2482:AU2483"/>
    <mergeCell ref="AV2482:AW2483"/>
    <mergeCell ref="AX2482:AY2483"/>
    <mergeCell ref="AZ2482:AZ2483"/>
    <mergeCell ref="F2483:H2483"/>
    <mergeCell ref="X2483:AB2483"/>
    <mergeCell ref="AE2483:AI2483"/>
    <mergeCell ref="AJ2483:AL2483"/>
    <mergeCell ref="AN2483:AO2483"/>
    <mergeCell ref="AP2483:AQ2483"/>
    <mergeCell ref="A2484:A2485"/>
    <mergeCell ref="E2484:E2485"/>
    <mergeCell ref="F2484:H2484"/>
    <mergeCell ref="J2484:J2485"/>
    <mergeCell ref="K2484:L2485"/>
    <mergeCell ref="M2484:N2485"/>
    <mergeCell ref="O2484:P2485"/>
    <mergeCell ref="Q2484:R2485"/>
    <mergeCell ref="S2484:T2485"/>
    <mergeCell ref="U2484:V2485"/>
    <mergeCell ref="W2484:W2485"/>
    <mergeCell ref="X2484:AB2484"/>
    <mergeCell ref="AD2484:AI2484"/>
    <mergeCell ref="AJ2484:AL2484"/>
    <mergeCell ref="AN2484:AO2484"/>
    <mergeCell ref="AP2484:AQ2484"/>
    <mergeCell ref="AR2484:AS2485"/>
    <mergeCell ref="AT2484:AU2485"/>
    <mergeCell ref="AV2484:AW2485"/>
    <mergeCell ref="AX2484:AY2485"/>
    <mergeCell ref="AZ2484:AZ2485"/>
    <mergeCell ref="F2485:H2485"/>
    <mergeCell ref="X2485:AB2485"/>
    <mergeCell ref="AE2485:AI2485"/>
    <mergeCell ref="AJ2485:AL2485"/>
    <mergeCell ref="AN2485:AO2485"/>
    <mergeCell ref="AP2485:AQ2485"/>
    <mergeCell ref="A2478:A2479"/>
    <mergeCell ref="E2478:E2479"/>
    <mergeCell ref="F2478:H2478"/>
    <mergeCell ref="J2478:J2479"/>
    <mergeCell ref="K2478:L2479"/>
    <mergeCell ref="M2478:N2479"/>
    <mergeCell ref="O2478:P2479"/>
    <mergeCell ref="Q2478:R2479"/>
    <mergeCell ref="S2478:T2479"/>
    <mergeCell ref="U2478:V2479"/>
    <mergeCell ref="W2478:W2479"/>
    <mergeCell ref="X2478:AB2478"/>
    <mergeCell ref="AD2478:AI2478"/>
    <mergeCell ref="AJ2478:AL2478"/>
    <mergeCell ref="AN2478:AO2478"/>
    <mergeCell ref="AP2478:AQ2478"/>
    <mergeCell ref="AR2478:AS2479"/>
    <mergeCell ref="AT2478:AU2479"/>
    <mergeCell ref="AV2478:AW2479"/>
    <mergeCell ref="AX2478:AY2479"/>
    <mergeCell ref="AZ2478:AZ2479"/>
    <mergeCell ref="F2479:H2479"/>
    <mergeCell ref="X2479:AB2479"/>
    <mergeCell ref="AE2479:AI2479"/>
    <mergeCell ref="AJ2479:AL2479"/>
    <mergeCell ref="AN2479:AO2479"/>
    <mergeCell ref="AP2479:AQ2479"/>
    <mergeCell ref="A2480:A2481"/>
    <mergeCell ref="E2480:E2481"/>
    <mergeCell ref="F2480:H2480"/>
    <mergeCell ref="J2480:J2481"/>
    <mergeCell ref="K2480:L2481"/>
    <mergeCell ref="M2480:N2481"/>
    <mergeCell ref="O2480:P2481"/>
    <mergeCell ref="Q2480:R2481"/>
    <mergeCell ref="S2480:T2481"/>
    <mergeCell ref="U2480:V2481"/>
    <mergeCell ref="W2480:W2481"/>
    <mergeCell ref="X2480:AB2480"/>
    <mergeCell ref="AD2480:AI2480"/>
    <mergeCell ref="AJ2480:AL2480"/>
    <mergeCell ref="AN2480:AO2480"/>
    <mergeCell ref="AP2480:AQ2480"/>
    <mergeCell ref="AR2480:AS2481"/>
    <mergeCell ref="AT2480:AU2481"/>
    <mergeCell ref="AV2480:AW2481"/>
    <mergeCell ref="AX2480:AY2481"/>
    <mergeCell ref="AZ2480:AZ2481"/>
    <mergeCell ref="F2481:H2481"/>
    <mergeCell ref="X2481:AB2481"/>
    <mergeCell ref="AE2481:AI2481"/>
    <mergeCell ref="AJ2481:AL2481"/>
    <mergeCell ref="AN2481:AO2481"/>
    <mergeCell ref="AP2481:AQ2481"/>
    <mergeCell ref="A2474:A2475"/>
    <mergeCell ref="E2474:E2475"/>
    <mergeCell ref="F2474:H2474"/>
    <mergeCell ref="J2474:J2475"/>
    <mergeCell ref="K2474:L2475"/>
    <mergeCell ref="M2474:N2475"/>
    <mergeCell ref="O2474:P2475"/>
    <mergeCell ref="Q2474:R2475"/>
    <mergeCell ref="S2474:T2475"/>
    <mergeCell ref="U2474:V2475"/>
    <mergeCell ref="W2474:W2475"/>
    <mergeCell ref="X2474:AB2474"/>
    <mergeCell ref="AD2474:AI2474"/>
    <mergeCell ref="AJ2474:AL2474"/>
    <mergeCell ref="AN2474:AO2474"/>
    <mergeCell ref="AP2474:AQ2474"/>
    <mergeCell ref="AR2474:AS2475"/>
    <mergeCell ref="AT2474:AU2475"/>
    <mergeCell ref="AV2474:AW2475"/>
    <mergeCell ref="AX2474:AY2475"/>
    <mergeCell ref="AZ2474:AZ2475"/>
    <mergeCell ref="F2475:H2475"/>
    <mergeCell ref="X2475:AB2475"/>
    <mergeCell ref="AE2475:AI2475"/>
    <mergeCell ref="AJ2475:AL2475"/>
    <mergeCell ref="AN2475:AO2475"/>
    <mergeCell ref="AP2475:AQ2475"/>
    <mergeCell ref="A2476:A2477"/>
    <mergeCell ref="E2476:E2477"/>
    <mergeCell ref="F2476:H2476"/>
    <mergeCell ref="J2476:J2477"/>
    <mergeCell ref="K2476:L2477"/>
    <mergeCell ref="M2476:N2477"/>
    <mergeCell ref="O2476:P2477"/>
    <mergeCell ref="Q2476:R2477"/>
    <mergeCell ref="S2476:T2477"/>
    <mergeCell ref="U2476:V2477"/>
    <mergeCell ref="W2476:W2477"/>
    <mergeCell ref="X2476:AB2476"/>
    <mergeCell ref="AD2476:AI2476"/>
    <mergeCell ref="AJ2476:AL2476"/>
    <mergeCell ref="AN2476:AO2476"/>
    <mergeCell ref="AP2476:AQ2476"/>
    <mergeCell ref="AR2476:AS2477"/>
    <mergeCell ref="AT2476:AU2477"/>
    <mergeCell ref="AV2476:AW2477"/>
    <mergeCell ref="AX2476:AY2477"/>
    <mergeCell ref="AZ2476:AZ2477"/>
    <mergeCell ref="F2477:H2477"/>
    <mergeCell ref="X2477:AB2477"/>
    <mergeCell ref="AE2477:AI2477"/>
    <mergeCell ref="AJ2477:AL2477"/>
    <mergeCell ref="AN2477:AO2477"/>
    <mergeCell ref="AP2477:AQ2477"/>
    <mergeCell ref="A2470:A2471"/>
    <mergeCell ref="E2470:E2471"/>
    <mergeCell ref="F2470:H2470"/>
    <mergeCell ref="J2470:J2471"/>
    <mergeCell ref="K2470:L2471"/>
    <mergeCell ref="M2470:N2471"/>
    <mergeCell ref="O2470:P2471"/>
    <mergeCell ref="Q2470:R2471"/>
    <mergeCell ref="S2470:T2471"/>
    <mergeCell ref="U2470:V2471"/>
    <mergeCell ref="W2470:W2471"/>
    <mergeCell ref="X2470:AB2470"/>
    <mergeCell ref="AD2470:AI2470"/>
    <mergeCell ref="AJ2470:AL2470"/>
    <mergeCell ref="AN2470:AO2470"/>
    <mergeCell ref="AP2470:AQ2470"/>
    <mergeCell ref="AR2470:AS2471"/>
    <mergeCell ref="AT2470:AU2471"/>
    <mergeCell ref="AV2470:AW2471"/>
    <mergeCell ref="AX2470:AY2471"/>
    <mergeCell ref="AZ2470:AZ2471"/>
    <mergeCell ref="F2471:H2471"/>
    <mergeCell ref="X2471:AB2471"/>
    <mergeCell ref="AE2471:AI2471"/>
    <mergeCell ref="AJ2471:AL2471"/>
    <mergeCell ref="AN2471:AO2471"/>
    <mergeCell ref="AP2471:AQ2471"/>
    <mergeCell ref="A2472:A2473"/>
    <mergeCell ref="E2472:E2473"/>
    <mergeCell ref="F2472:H2472"/>
    <mergeCell ref="J2472:J2473"/>
    <mergeCell ref="K2472:L2473"/>
    <mergeCell ref="M2472:N2473"/>
    <mergeCell ref="O2472:P2473"/>
    <mergeCell ref="Q2472:R2473"/>
    <mergeCell ref="S2472:T2473"/>
    <mergeCell ref="U2472:V2473"/>
    <mergeCell ref="W2472:W2473"/>
    <mergeCell ref="X2472:AB2472"/>
    <mergeCell ref="AD2472:AI2472"/>
    <mergeCell ref="AJ2472:AL2472"/>
    <mergeCell ref="AN2472:AO2472"/>
    <mergeCell ref="AP2472:AQ2472"/>
    <mergeCell ref="AR2472:AS2473"/>
    <mergeCell ref="AT2472:AU2473"/>
    <mergeCell ref="AV2472:AW2473"/>
    <mergeCell ref="AX2472:AY2473"/>
    <mergeCell ref="AZ2472:AZ2473"/>
    <mergeCell ref="F2473:H2473"/>
    <mergeCell ref="X2473:AB2473"/>
    <mergeCell ref="AE2473:AI2473"/>
    <mergeCell ref="AJ2473:AL2473"/>
    <mergeCell ref="AN2473:AO2473"/>
    <mergeCell ref="AP2473:AQ2473"/>
    <mergeCell ref="A2466:A2467"/>
    <mergeCell ref="E2466:E2467"/>
    <mergeCell ref="F2466:H2466"/>
    <mergeCell ref="J2466:J2467"/>
    <mergeCell ref="K2466:L2467"/>
    <mergeCell ref="M2466:N2467"/>
    <mergeCell ref="O2466:P2467"/>
    <mergeCell ref="Q2466:R2467"/>
    <mergeCell ref="S2466:T2467"/>
    <mergeCell ref="U2466:V2467"/>
    <mergeCell ref="W2466:W2467"/>
    <mergeCell ref="X2466:AB2466"/>
    <mergeCell ref="AD2466:AI2466"/>
    <mergeCell ref="AJ2466:AL2466"/>
    <mergeCell ref="AN2466:AO2466"/>
    <mergeCell ref="AP2466:AQ2466"/>
    <mergeCell ref="AR2466:AS2467"/>
    <mergeCell ref="AT2466:AU2467"/>
    <mergeCell ref="AV2466:AW2467"/>
    <mergeCell ref="AX2466:AY2467"/>
    <mergeCell ref="AZ2466:AZ2467"/>
    <mergeCell ref="F2467:H2467"/>
    <mergeCell ref="X2467:AB2467"/>
    <mergeCell ref="AE2467:AI2467"/>
    <mergeCell ref="AJ2467:AL2467"/>
    <mergeCell ref="AN2467:AO2467"/>
    <mergeCell ref="AP2467:AQ2467"/>
    <mergeCell ref="A2468:A2469"/>
    <mergeCell ref="E2468:E2469"/>
    <mergeCell ref="F2468:H2468"/>
    <mergeCell ref="J2468:J2469"/>
    <mergeCell ref="K2468:L2469"/>
    <mergeCell ref="M2468:N2469"/>
    <mergeCell ref="O2468:P2469"/>
    <mergeCell ref="Q2468:R2469"/>
    <mergeCell ref="S2468:T2469"/>
    <mergeCell ref="U2468:V2469"/>
    <mergeCell ref="W2468:W2469"/>
    <mergeCell ref="X2468:AB2468"/>
    <mergeCell ref="AD2468:AI2468"/>
    <mergeCell ref="AJ2468:AL2468"/>
    <mergeCell ref="AN2468:AO2468"/>
    <mergeCell ref="AP2468:AQ2468"/>
    <mergeCell ref="AR2468:AS2469"/>
    <mergeCell ref="AT2468:AU2469"/>
    <mergeCell ref="AV2468:AW2469"/>
    <mergeCell ref="AX2468:AY2469"/>
    <mergeCell ref="AZ2468:AZ2469"/>
    <mergeCell ref="F2469:H2469"/>
    <mergeCell ref="X2469:AB2469"/>
    <mergeCell ref="AE2469:AI2469"/>
    <mergeCell ref="AJ2469:AL2469"/>
    <mergeCell ref="AN2469:AO2469"/>
    <mergeCell ref="AP2469:AQ2469"/>
    <mergeCell ref="A2462:A2463"/>
    <mergeCell ref="E2462:E2463"/>
    <mergeCell ref="F2462:H2462"/>
    <mergeCell ref="J2462:J2463"/>
    <mergeCell ref="K2462:L2463"/>
    <mergeCell ref="M2462:N2463"/>
    <mergeCell ref="O2462:P2463"/>
    <mergeCell ref="Q2462:R2463"/>
    <mergeCell ref="S2462:T2463"/>
    <mergeCell ref="U2462:V2463"/>
    <mergeCell ref="W2462:W2463"/>
    <mergeCell ref="X2462:AB2462"/>
    <mergeCell ref="AD2462:AI2462"/>
    <mergeCell ref="AJ2462:AL2462"/>
    <mergeCell ref="AN2462:AO2462"/>
    <mergeCell ref="AP2462:AQ2462"/>
    <mergeCell ref="AR2462:AS2463"/>
    <mergeCell ref="AT2462:AU2463"/>
    <mergeCell ref="AV2462:AW2463"/>
    <mergeCell ref="AX2462:AY2463"/>
    <mergeCell ref="AZ2462:AZ2463"/>
    <mergeCell ref="F2463:H2463"/>
    <mergeCell ref="X2463:AB2463"/>
    <mergeCell ref="AE2463:AI2463"/>
    <mergeCell ref="AJ2463:AL2463"/>
    <mergeCell ref="AN2463:AO2463"/>
    <mergeCell ref="AP2463:AQ2463"/>
    <mergeCell ref="A2464:A2465"/>
    <mergeCell ref="E2464:E2465"/>
    <mergeCell ref="F2464:H2464"/>
    <mergeCell ref="J2464:J2465"/>
    <mergeCell ref="K2464:L2465"/>
    <mergeCell ref="M2464:N2465"/>
    <mergeCell ref="O2464:P2465"/>
    <mergeCell ref="Q2464:R2465"/>
    <mergeCell ref="S2464:T2465"/>
    <mergeCell ref="U2464:V2465"/>
    <mergeCell ref="W2464:W2465"/>
    <mergeCell ref="X2464:AB2464"/>
    <mergeCell ref="AD2464:AI2464"/>
    <mergeCell ref="AJ2464:AL2464"/>
    <mergeCell ref="AN2464:AO2464"/>
    <mergeCell ref="AP2464:AQ2464"/>
    <mergeCell ref="AR2464:AS2465"/>
    <mergeCell ref="AT2464:AU2465"/>
    <mergeCell ref="AV2464:AW2465"/>
    <mergeCell ref="AX2464:AY2465"/>
    <mergeCell ref="AZ2464:AZ2465"/>
    <mergeCell ref="F2465:H2465"/>
    <mergeCell ref="X2465:AB2465"/>
    <mergeCell ref="AE2465:AI2465"/>
    <mergeCell ref="AJ2465:AL2465"/>
    <mergeCell ref="AN2465:AO2465"/>
    <mergeCell ref="AP2465:AQ2465"/>
    <mergeCell ref="A2458:A2459"/>
    <mergeCell ref="E2458:E2459"/>
    <mergeCell ref="F2458:H2458"/>
    <mergeCell ref="J2458:J2459"/>
    <mergeCell ref="K2458:L2459"/>
    <mergeCell ref="M2458:N2459"/>
    <mergeCell ref="O2458:P2459"/>
    <mergeCell ref="Q2458:R2459"/>
    <mergeCell ref="S2458:T2459"/>
    <mergeCell ref="U2458:V2459"/>
    <mergeCell ref="W2458:W2459"/>
    <mergeCell ref="X2458:AB2458"/>
    <mergeCell ref="AD2458:AI2458"/>
    <mergeCell ref="AJ2458:AL2458"/>
    <mergeCell ref="AN2458:AO2458"/>
    <mergeCell ref="AP2458:AQ2458"/>
    <mergeCell ref="AR2458:AS2459"/>
    <mergeCell ref="AT2458:AU2459"/>
    <mergeCell ref="AV2458:AW2459"/>
    <mergeCell ref="AX2458:AY2459"/>
    <mergeCell ref="AZ2458:AZ2459"/>
    <mergeCell ref="F2459:H2459"/>
    <mergeCell ref="X2459:AB2459"/>
    <mergeCell ref="AE2459:AI2459"/>
    <mergeCell ref="AJ2459:AL2459"/>
    <mergeCell ref="AN2459:AO2459"/>
    <mergeCell ref="AP2459:AQ2459"/>
    <mergeCell ref="A2460:A2461"/>
    <mergeCell ref="E2460:E2461"/>
    <mergeCell ref="F2460:H2460"/>
    <mergeCell ref="J2460:J2461"/>
    <mergeCell ref="K2460:L2461"/>
    <mergeCell ref="M2460:N2461"/>
    <mergeCell ref="O2460:P2461"/>
    <mergeCell ref="Q2460:R2461"/>
    <mergeCell ref="S2460:T2461"/>
    <mergeCell ref="U2460:V2461"/>
    <mergeCell ref="W2460:W2461"/>
    <mergeCell ref="X2460:AB2460"/>
    <mergeCell ref="AD2460:AI2460"/>
    <mergeCell ref="AJ2460:AL2460"/>
    <mergeCell ref="AN2460:AO2460"/>
    <mergeCell ref="AP2460:AQ2460"/>
    <mergeCell ref="AR2460:AS2461"/>
    <mergeCell ref="AT2460:AU2461"/>
    <mergeCell ref="AV2460:AW2461"/>
    <mergeCell ref="AX2460:AY2461"/>
    <mergeCell ref="AZ2460:AZ2461"/>
    <mergeCell ref="F2461:H2461"/>
    <mergeCell ref="X2461:AB2461"/>
    <mergeCell ref="AE2461:AI2461"/>
    <mergeCell ref="AJ2461:AL2461"/>
    <mergeCell ref="AN2461:AO2461"/>
    <mergeCell ref="AP2461:AQ2461"/>
    <mergeCell ref="A2454:A2455"/>
    <mergeCell ref="E2454:E2455"/>
    <mergeCell ref="F2454:H2454"/>
    <mergeCell ref="J2454:J2455"/>
    <mergeCell ref="K2454:L2455"/>
    <mergeCell ref="M2454:N2455"/>
    <mergeCell ref="O2454:P2455"/>
    <mergeCell ref="Q2454:R2455"/>
    <mergeCell ref="S2454:T2455"/>
    <mergeCell ref="U2454:V2455"/>
    <mergeCell ref="W2454:W2455"/>
    <mergeCell ref="X2454:AB2454"/>
    <mergeCell ref="AD2454:AI2454"/>
    <mergeCell ref="AJ2454:AL2454"/>
    <mergeCell ref="AN2454:AO2454"/>
    <mergeCell ref="AP2454:AQ2454"/>
    <mergeCell ref="AR2454:AS2455"/>
    <mergeCell ref="AT2454:AU2455"/>
    <mergeCell ref="AV2454:AW2455"/>
    <mergeCell ref="AX2454:AY2455"/>
    <mergeCell ref="AZ2454:AZ2455"/>
    <mergeCell ref="F2455:H2455"/>
    <mergeCell ref="X2455:AB2455"/>
    <mergeCell ref="AE2455:AI2455"/>
    <mergeCell ref="AJ2455:AL2455"/>
    <mergeCell ref="AN2455:AO2455"/>
    <mergeCell ref="AP2455:AQ2455"/>
    <mergeCell ref="A2456:A2457"/>
    <mergeCell ref="E2456:E2457"/>
    <mergeCell ref="F2456:H2456"/>
    <mergeCell ref="J2456:J2457"/>
    <mergeCell ref="K2456:L2457"/>
    <mergeCell ref="M2456:N2457"/>
    <mergeCell ref="O2456:P2457"/>
    <mergeCell ref="Q2456:R2457"/>
    <mergeCell ref="S2456:T2457"/>
    <mergeCell ref="U2456:V2457"/>
    <mergeCell ref="W2456:W2457"/>
    <mergeCell ref="X2456:AB2456"/>
    <mergeCell ref="AD2456:AI2456"/>
    <mergeCell ref="AJ2456:AL2456"/>
    <mergeCell ref="AN2456:AO2456"/>
    <mergeCell ref="AP2456:AQ2456"/>
    <mergeCell ref="AR2456:AS2457"/>
    <mergeCell ref="AT2456:AU2457"/>
    <mergeCell ref="AV2456:AW2457"/>
    <mergeCell ref="AX2456:AY2457"/>
    <mergeCell ref="AZ2456:AZ2457"/>
    <mergeCell ref="F2457:H2457"/>
    <mergeCell ref="X2457:AB2457"/>
    <mergeCell ref="AE2457:AI2457"/>
    <mergeCell ref="AJ2457:AL2457"/>
    <mergeCell ref="AN2457:AO2457"/>
    <mergeCell ref="AP2457:AQ2457"/>
    <mergeCell ref="A2450:A2451"/>
    <mergeCell ref="E2450:E2451"/>
    <mergeCell ref="F2450:H2450"/>
    <mergeCell ref="J2450:J2451"/>
    <mergeCell ref="K2450:L2451"/>
    <mergeCell ref="M2450:N2451"/>
    <mergeCell ref="O2450:P2451"/>
    <mergeCell ref="Q2450:R2451"/>
    <mergeCell ref="S2450:T2451"/>
    <mergeCell ref="U2450:V2451"/>
    <mergeCell ref="W2450:W2451"/>
    <mergeCell ref="X2450:AB2450"/>
    <mergeCell ref="AD2450:AI2450"/>
    <mergeCell ref="AJ2450:AL2450"/>
    <mergeCell ref="AN2450:AO2450"/>
    <mergeCell ref="AP2450:AQ2450"/>
    <mergeCell ref="AR2450:AS2451"/>
    <mergeCell ref="AT2450:AU2451"/>
    <mergeCell ref="AV2450:AW2451"/>
    <mergeCell ref="AX2450:AY2451"/>
    <mergeCell ref="AZ2450:AZ2451"/>
    <mergeCell ref="F2451:H2451"/>
    <mergeCell ref="X2451:AB2451"/>
    <mergeCell ref="AE2451:AI2451"/>
    <mergeCell ref="AJ2451:AL2451"/>
    <mergeCell ref="AN2451:AO2451"/>
    <mergeCell ref="AP2451:AQ2451"/>
    <mergeCell ref="A2452:A2453"/>
    <mergeCell ref="E2452:E2453"/>
    <mergeCell ref="F2452:H2452"/>
    <mergeCell ref="J2452:J2453"/>
    <mergeCell ref="K2452:L2453"/>
    <mergeCell ref="M2452:N2453"/>
    <mergeCell ref="O2452:P2453"/>
    <mergeCell ref="Q2452:R2453"/>
    <mergeCell ref="S2452:T2453"/>
    <mergeCell ref="U2452:V2453"/>
    <mergeCell ref="W2452:W2453"/>
    <mergeCell ref="X2452:AB2452"/>
    <mergeCell ref="AD2452:AI2452"/>
    <mergeCell ref="AJ2452:AL2452"/>
    <mergeCell ref="AN2452:AO2452"/>
    <mergeCell ref="AP2452:AQ2452"/>
    <mergeCell ref="AR2452:AS2453"/>
    <mergeCell ref="AT2452:AU2453"/>
    <mergeCell ref="AV2452:AW2453"/>
    <mergeCell ref="AX2452:AY2453"/>
    <mergeCell ref="AZ2452:AZ2453"/>
    <mergeCell ref="F2453:H2453"/>
    <mergeCell ref="X2453:AB2453"/>
    <mergeCell ref="AE2453:AI2453"/>
    <mergeCell ref="AJ2453:AL2453"/>
    <mergeCell ref="AN2453:AO2453"/>
    <mergeCell ref="AP2453:AQ2453"/>
    <mergeCell ref="A2446:A2447"/>
    <mergeCell ref="E2446:E2447"/>
    <mergeCell ref="F2446:H2446"/>
    <mergeCell ref="J2446:J2447"/>
    <mergeCell ref="K2446:L2447"/>
    <mergeCell ref="M2446:N2447"/>
    <mergeCell ref="O2446:P2447"/>
    <mergeCell ref="Q2446:R2447"/>
    <mergeCell ref="S2446:T2447"/>
    <mergeCell ref="U2446:V2447"/>
    <mergeCell ref="W2446:W2447"/>
    <mergeCell ref="X2446:AB2446"/>
    <mergeCell ref="AD2446:AI2446"/>
    <mergeCell ref="AJ2446:AL2446"/>
    <mergeCell ref="AN2446:AO2446"/>
    <mergeCell ref="AP2446:AQ2446"/>
    <mergeCell ref="AR2446:AS2447"/>
    <mergeCell ref="AT2446:AU2447"/>
    <mergeCell ref="AV2446:AW2447"/>
    <mergeCell ref="AX2446:AY2447"/>
    <mergeCell ref="AZ2446:AZ2447"/>
    <mergeCell ref="F2447:H2447"/>
    <mergeCell ref="X2447:AB2447"/>
    <mergeCell ref="AE2447:AI2447"/>
    <mergeCell ref="AJ2447:AL2447"/>
    <mergeCell ref="AN2447:AO2447"/>
    <mergeCell ref="AP2447:AQ2447"/>
    <mergeCell ref="A2448:A2449"/>
    <mergeCell ref="E2448:E2449"/>
    <mergeCell ref="F2448:H2448"/>
    <mergeCell ref="J2448:J2449"/>
    <mergeCell ref="K2448:L2449"/>
    <mergeCell ref="M2448:N2449"/>
    <mergeCell ref="O2448:P2449"/>
    <mergeCell ref="Q2448:R2449"/>
    <mergeCell ref="S2448:T2449"/>
    <mergeCell ref="U2448:V2449"/>
    <mergeCell ref="W2448:W2449"/>
    <mergeCell ref="X2448:AB2448"/>
    <mergeCell ref="AD2448:AI2448"/>
    <mergeCell ref="AJ2448:AL2448"/>
    <mergeCell ref="AN2448:AO2448"/>
    <mergeCell ref="AP2448:AQ2448"/>
    <mergeCell ref="AR2448:AS2449"/>
    <mergeCell ref="AT2448:AU2449"/>
    <mergeCell ref="AV2448:AW2449"/>
    <mergeCell ref="AX2448:AY2449"/>
    <mergeCell ref="AZ2448:AZ2449"/>
    <mergeCell ref="F2449:H2449"/>
    <mergeCell ref="X2449:AB2449"/>
    <mergeCell ref="AE2449:AI2449"/>
    <mergeCell ref="AJ2449:AL2449"/>
    <mergeCell ref="AN2449:AO2449"/>
    <mergeCell ref="AP2449:AQ2449"/>
    <mergeCell ref="W2408:W2409"/>
    <mergeCell ref="X2408:AB2408"/>
    <mergeCell ref="AD2408:AI2408"/>
    <mergeCell ref="AJ2408:AL2408"/>
    <mergeCell ref="AN2408:AO2408"/>
    <mergeCell ref="AP2408:AQ2408"/>
    <mergeCell ref="AR2408:AS2409"/>
    <mergeCell ref="AT2408:AU2409"/>
    <mergeCell ref="AV2408:AW2409"/>
    <mergeCell ref="AX2408:AY2409"/>
    <mergeCell ref="AZ2408:AZ2409"/>
    <mergeCell ref="F2409:H2409"/>
    <mergeCell ref="X2409:AB2409"/>
    <mergeCell ref="AE2409:AI2409"/>
    <mergeCell ref="AJ2409:AL2409"/>
    <mergeCell ref="AN2409:AO2409"/>
    <mergeCell ref="AP2409:AQ2409"/>
    <mergeCell ref="A2444:A2445"/>
    <mergeCell ref="E2444:E2445"/>
    <mergeCell ref="F2444:H2444"/>
    <mergeCell ref="J2444:J2445"/>
    <mergeCell ref="K2444:L2445"/>
    <mergeCell ref="M2444:N2445"/>
    <mergeCell ref="O2444:P2445"/>
    <mergeCell ref="Q2444:R2445"/>
    <mergeCell ref="S2444:T2445"/>
    <mergeCell ref="U2444:V2445"/>
    <mergeCell ref="W2444:W2445"/>
    <mergeCell ref="X2444:AB2444"/>
    <mergeCell ref="AD2444:AI2444"/>
    <mergeCell ref="AJ2444:AL2444"/>
    <mergeCell ref="AN2444:AO2444"/>
    <mergeCell ref="AP2444:AQ2444"/>
    <mergeCell ref="AR2444:AS2445"/>
    <mergeCell ref="AT2444:AU2445"/>
    <mergeCell ref="AV2444:AW2445"/>
    <mergeCell ref="AX2444:AY2445"/>
    <mergeCell ref="AZ2444:AZ2445"/>
    <mergeCell ref="F2445:H2445"/>
    <mergeCell ref="X2445:AB2445"/>
    <mergeCell ref="AE2445:AI2445"/>
    <mergeCell ref="AJ2445:AL2445"/>
    <mergeCell ref="AN2445:AO2445"/>
    <mergeCell ref="AP2445:AQ2445"/>
    <mergeCell ref="A2412:A2413"/>
    <mergeCell ref="E2412:E2413"/>
    <mergeCell ref="F2412:H2412"/>
    <mergeCell ref="J2412:J2413"/>
    <mergeCell ref="K2412:L2413"/>
    <mergeCell ref="M2412:N2413"/>
    <mergeCell ref="O2412:P2413"/>
    <mergeCell ref="Q2412:R2413"/>
    <mergeCell ref="S2412:T2413"/>
    <mergeCell ref="U2412:V2413"/>
    <mergeCell ref="W2412:W2413"/>
    <mergeCell ref="X2412:AB2412"/>
    <mergeCell ref="AD2412:AI2412"/>
    <mergeCell ref="AJ2412:AL2412"/>
    <mergeCell ref="AN2412:AO2412"/>
    <mergeCell ref="AP2412:AQ2412"/>
    <mergeCell ref="AR2412:AS2413"/>
    <mergeCell ref="AT2412:AU2413"/>
    <mergeCell ref="AV2412:AW2413"/>
    <mergeCell ref="AX2412:AY2413"/>
    <mergeCell ref="A2330:A2331"/>
    <mergeCell ref="E2330:E2331"/>
    <mergeCell ref="F2330:H2330"/>
    <mergeCell ref="J2330:J2331"/>
    <mergeCell ref="K2330:L2331"/>
    <mergeCell ref="M2330:N2331"/>
    <mergeCell ref="O2330:P2331"/>
    <mergeCell ref="Q2330:R2331"/>
    <mergeCell ref="S2330:T2331"/>
    <mergeCell ref="U2330:V2331"/>
    <mergeCell ref="W2330:W2331"/>
    <mergeCell ref="X2330:AB2330"/>
    <mergeCell ref="AD2330:AI2330"/>
    <mergeCell ref="AJ2330:AL2330"/>
    <mergeCell ref="AN2330:AO2330"/>
    <mergeCell ref="AP2330:AQ2330"/>
    <mergeCell ref="AR2330:AS2331"/>
    <mergeCell ref="AT2330:AU2331"/>
    <mergeCell ref="AV2330:AW2331"/>
    <mergeCell ref="AX2330:AY2331"/>
    <mergeCell ref="AZ2330:AZ2331"/>
    <mergeCell ref="F2331:H2331"/>
    <mergeCell ref="X2331:AB2331"/>
    <mergeCell ref="AE2331:AI2331"/>
    <mergeCell ref="AJ2331:AL2331"/>
    <mergeCell ref="AN2331:AO2331"/>
    <mergeCell ref="AP2331:AQ2331"/>
    <mergeCell ref="A2332:A2333"/>
    <mergeCell ref="E2332:E2333"/>
    <mergeCell ref="F2332:H2332"/>
    <mergeCell ref="J2332:J2333"/>
    <mergeCell ref="K2332:L2333"/>
    <mergeCell ref="M2332:N2333"/>
    <mergeCell ref="O2332:P2333"/>
    <mergeCell ref="Q2332:R2333"/>
    <mergeCell ref="S2332:T2333"/>
    <mergeCell ref="U2332:V2333"/>
    <mergeCell ref="W2332:W2333"/>
    <mergeCell ref="X2332:AB2332"/>
    <mergeCell ref="AD2332:AI2332"/>
    <mergeCell ref="AJ2332:AL2332"/>
    <mergeCell ref="AN2332:AO2332"/>
    <mergeCell ref="AP2332:AQ2332"/>
    <mergeCell ref="AR2332:AS2333"/>
    <mergeCell ref="AT2332:AU2333"/>
    <mergeCell ref="AV2332:AW2333"/>
    <mergeCell ref="AX2332:AY2333"/>
    <mergeCell ref="AZ2332:AZ2333"/>
    <mergeCell ref="F2333:H2333"/>
    <mergeCell ref="X2333:AB2333"/>
    <mergeCell ref="AE2333:AI2333"/>
    <mergeCell ref="AJ2333:AL2333"/>
    <mergeCell ref="AN2333:AO2333"/>
    <mergeCell ref="AP2333:AQ2333"/>
    <mergeCell ref="W2324:W2325"/>
    <mergeCell ref="X2324:AB2324"/>
    <mergeCell ref="AD2324:AI2324"/>
    <mergeCell ref="AJ2324:AL2324"/>
    <mergeCell ref="AN2324:AO2324"/>
    <mergeCell ref="AP2324:AQ2324"/>
    <mergeCell ref="AR2324:AS2325"/>
    <mergeCell ref="AT2324:AU2325"/>
    <mergeCell ref="AV2324:AW2325"/>
    <mergeCell ref="AX2324:AY2325"/>
    <mergeCell ref="AZ2324:AZ2325"/>
    <mergeCell ref="F2325:H2325"/>
    <mergeCell ref="X2325:AB2325"/>
    <mergeCell ref="AE2325:AI2325"/>
    <mergeCell ref="AJ2325:AL2325"/>
    <mergeCell ref="AN2325:AO2325"/>
    <mergeCell ref="AP2325:AQ2325"/>
    <mergeCell ref="A2326:A2327"/>
    <mergeCell ref="E2326:E2327"/>
    <mergeCell ref="F2326:H2326"/>
    <mergeCell ref="J2326:J2327"/>
    <mergeCell ref="K2326:L2327"/>
    <mergeCell ref="M2326:N2327"/>
    <mergeCell ref="O2326:P2327"/>
    <mergeCell ref="Q2326:R2327"/>
    <mergeCell ref="S2326:T2327"/>
    <mergeCell ref="U2326:V2327"/>
    <mergeCell ref="W2326:W2327"/>
    <mergeCell ref="X2326:AB2326"/>
    <mergeCell ref="AD2326:AI2326"/>
    <mergeCell ref="AJ2326:AL2326"/>
    <mergeCell ref="AN2326:AO2326"/>
    <mergeCell ref="AP2326:AQ2326"/>
    <mergeCell ref="AR2326:AS2327"/>
    <mergeCell ref="AT2326:AU2327"/>
    <mergeCell ref="AV2326:AW2327"/>
    <mergeCell ref="AX2326:AY2327"/>
    <mergeCell ref="AZ2326:AZ2327"/>
    <mergeCell ref="F2327:H2327"/>
    <mergeCell ref="X2327:AB2327"/>
    <mergeCell ref="AE2327:AI2327"/>
    <mergeCell ref="AJ2327:AL2327"/>
    <mergeCell ref="AN2327:AO2327"/>
    <mergeCell ref="AP2327:AQ2327"/>
    <mergeCell ref="A2322:A2323"/>
    <mergeCell ref="E2322:E2323"/>
    <mergeCell ref="F2322:H2322"/>
    <mergeCell ref="J2322:J2323"/>
    <mergeCell ref="K2322:L2323"/>
    <mergeCell ref="M2322:N2323"/>
    <mergeCell ref="O2322:P2323"/>
    <mergeCell ref="Q2322:R2323"/>
    <mergeCell ref="S2322:T2323"/>
    <mergeCell ref="U2322:V2323"/>
    <mergeCell ref="W2322:W2323"/>
    <mergeCell ref="X2322:AB2322"/>
    <mergeCell ref="AD2322:AI2322"/>
    <mergeCell ref="AJ2322:AL2322"/>
    <mergeCell ref="AN2322:AO2322"/>
    <mergeCell ref="AP2322:AQ2322"/>
    <mergeCell ref="AR2322:AS2323"/>
    <mergeCell ref="AT2322:AU2323"/>
    <mergeCell ref="AV2322:AW2323"/>
    <mergeCell ref="AX2322:AY2323"/>
    <mergeCell ref="AZ2322:AZ2323"/>
    <mergeCell ref="F2323:H2323"/>
    <mergeCell ref="X2323:AB2323"/>
    <mergeCell ref="AE2323:AI2323"/>
    <mergeCell ref="AJ2323:AL2323"/>
    <mergeCell ref="AN2323:AO2323"/>
    <mergeCell ref="AP2323:AQ2323"/>
    <mergeCell ref="A2328:A2329"/>
    <mergeCell ref="E2328:E2329"/>
    <mergeCell ref="F2328:H2328"/>
    <mergeCell ref="J2328:J2329"/>
    <mergeCell ref="K2328:L2329"/>
    <mergeCell ref="M2328:N2329"/>
    <mergeCell ref="O2328:P2329"/>
    <mergeCell ref="Q2328:R2329"/>
    <mergeCell ref="S2328:T2329"/>
    <mergeCell ref="U2328:V2329"/>
    <mergeCell ref="W2328:W2329"/>
    <mergeCell ref="X2328:AB2328"/>
    <mergeCell ref="AD2328:AI2328"/>
    <mergeCell ref="AJ2328:AL2328"/>
    <mergeCell ref="AN2328:AO2328"/>
    <mergeCell ref="AP2328:AQ2328"/>
    <mergeCell ref="AR2328:AS2329"/>
    <mergeCell ref="AT2328:AU2329"/>
    <mergeCell ref="AV2328:AW2329"/>
    <mergeCell ref="AX2328:AY2329"/>
    <mergeCell ref="AZ2328:AZ2329"/>
    <mergeCell ref="F2329:H2329"/>
    <mergeCell ref="X2329:AB2329"/>
    <mergeCell ref="AE2329:AI2329"/>
    <mergeCell ref="AJ2329:AL2329"/>
    <mergeCell ref="AN2329:AO2329"/>
    <mergeCell ref="AP2329:AQ2329"/>
    <mergeCell ref="A2324:A2325"/>
    <mergeCell ref="E2324:E2325"/>
    <mergeCell ref="F2324:H2324"/>
    <mergeCell ref="J2324:J2325"/>
    <mergeCell ref="K2324:L2325"/>
    <mergeCell ref="M2324:N2325"/>
    <mergeCell ref="O2324:P2325"/>
    <mergeCell ref="Q2324:R2325"/>
    <mergeCell ref="S2324:T2325"/>
    <mergeCell ref="U2324:V2325"/>
    <mergeCell ref="A2318:A2319"/>
    <mergeCell ref="E2318:E2319"/>
    <mergeCell ref="F2318:H2318"/>
    <mergeCell ref="J2318:J2319"/>
    <mergeCell ref="K2318:L2319"/>
    <mergeCell ref="M2318:N2319"/>
    <mergeCell ref="O2318:P2319"/>
    <mergeCell ref="Q2318:R2319"/>
    <mergeCell ref="S2318:T2319"/>
    <mergeCell ref="U2318:V2319"/>
    <mergeCell ref="W2318:W2319"/>
    <mergeCell ref="X2318:AB2318"/>
    <mergeCell ref="AD2318:AI2318"/>
    <mergeCell ref="AJ2318:AL2318"/>
    <mergeCell ref="AN2318:AO2318"/>
    <mergeCell ref="AP2318:AQ2318"/>
    <mergeCell ref="AR2318:AS2319"/>
    <mergeCell ref="AT2318:AU2319"/>
    <mergeCell ref="AV2318:AW2319"/>
    <mergeCell ref="AX2318:AY2319"/>
    <mergeCell ref="AZ2318:AZ2319"/>
    <mergeCell ref="F2319:H2319"/>
    <mergeCell ref="X2319:AB2319"/>
    <mergeCell ref="AE2319:AI2319"/>
    <mergeCell ref="AJ2319:AL2319"/>
    <mergeCell ref="AN2319:AO2319"/>
    <mergeCell ref="AP2319:AQ2319"/>
    <mergeCell ref="A2320:A2321"/>
    <mergeCell ref="E2320:E2321"/>
    <mergeCell ref="F2320:H2320"/>
    <mergeCell ref="J2320:J2321"/>
    <mergeCell ref="K2320:L2321"/>
    <mergeCell ref="M2320:N2321"/>
    <mergeCell ref="O2320:P2321"/>
    <mergeCell ref="Q2320:R2321"/>
    <mergeCell ref="S2320:T2321"/>
    <mergeCell ref="U2320:V2321"/>
    <mergeCell ref="W2320:W2321"/>
    <mergeCell ref="X2320:AB2320"/>
    <mergeCell ref="AD2320:AI2320"/>
    <mergeCell ref="AJ2320:AL2320"/>
    <mergeCell ref="AN2320:AO2320"/>
    <mergeCell ref="AP2320:AQ2320"/>
    <mergeCell ref="AR2320:AS2321"/>
    <mergeCell ref="AT2320:AU2321"/>
    <mergeCell ref="AV2320:AW2321"/>
    <mergeCell ref="AX2320:AY2321"/>
    <mergeCell ref="AZ2320:AZ2321"/>
    <mergeCell ref="F2321:H2321"/>
    <mergeCell ref="X2321:AB2321"/>
    <mergeCell ref="AE2321:AI2321"/>
    <mergeCell ref="AJ2321:AL2321"/>
    <mergeCell ref="AN2321:AO2321"/>
    <mergeCell ref="AP2321:AQ2321"/>
    <mergeCell ref="A2314:A2315"/>
    <mergeCell ref="E2314:E2315"/>
    <mergeCell ref="F2314:H2314"/>
    <mergeCell ref="J2314:J2315"/>
    <mergeCell ref="K2314:L2315"/>
    <mergeCell ref="M2314:N2315"/>
    <mergeCell ref="O2314:P2315"/>
    <mergeCell ref="Q2314:R2315"/>
    <mergeCell ref="S2314:T2315"/>
    <mergeCell ref="U2314:V2315"/>
    <mergeCell ref="W2314:W2315"/>
    <mergeCell ref="X2314:AB2314"/>
    <mergeCell ref="AD2314:AI2314"/>
    <mergeCell ref="AJ2314:AL2314"/>
    <mergeCell ref="AN2314:AO2314"/>
    <mergeCell ref="AP2314:AQ2314"/>
    <mergeCell ref="AR2314:AS2315"/>
    <mergeCell ref="AT2314:AU2315"/>
    <mergeCell ref="AV2314:AW2315"/>
    <mergeCell ref="AX2314:AY2315"/>
    <mergeCell ref="AZ2314:AZ2315"/>
    <mergeCell ref="F2315:H2315"/>
    <mergeCell ref="X2315:AB2315"/>
    <mergeCell ref="AE2315:AI2315"/>
    <mergeCell ref="AJ2315:AL2315"/>
    <mergeCell ref="AN2315:AO2315"/>
    <mergeCell ref="AP2315:AQ2315"/>
    <mergeCell ref="A2316:A2317"/>
    <mergeCell ref="E2316:E2317"/>
    <mergeCell ref="F2316:H2316"/>
    <mergeCell ref="J2316:J2317"/>
    <mergeCell ref="K2316:L2317"/>
    <mergeCell ref="M2316:N2317"/>
    <mergeCell ref="O2316:P2317"/>
    <mergeCell ref="Q2316:R2317"/>
    <mergeCell ref="S2316:T2317"/>
    <mergeCell ref="U2316:V2317"/>
    <mergeCell ref="W2316:W2317"/>
    <mergeCell ref="X2316:AB2316"/>
    <mergeCell ref="AD2316:AI2316"/>
    <mergeCell ref="AJ2316:AL2316"/>
    <mergeCell ref="AN2316:AO2316"/>
    <mergeCell ref="AP2316:AQ2316"/>
    <mergeCell ref="AR2316:AS2317"/>
    <mergeCell ref="AT2316:AU2317"/>
    <mergeCell ref="AV2316:AW2317"/>
    <mergeCell ref="AX2316:AY2317"/>
    <mergeCell ref="AZ2316:AZ2317"/>
    <mergeCell ref="F2317:H2317"/>
    <mergeCell ref="X2317:AB2317"/>
    <mergeCell ref="AE2317:AI2317"/>
    <mergeCell ref="AJ2317:AL2317"/>
    <mergeCell ref="AN2317:AO2317"/>
    <mergeCell ref="AP2317:AQ2317"/>
    <mergeCell ref="A2310:A2311"/>
    <mergeCell ref="E2310:E2311"/>
    <mergeCell ref="F2310:H2310"/>
    <mergeCell ref="J2310:J2311"/>
    <mergeCell ref="K2310:L2311"/>
    <mergeCell ref="M2310:N2311"/>
    <mergeCell ref="O2310:P2311"/>
    <mergeCell ref="Q2310:R2311"/>
    <mergeCell ref="S2310:T2311"/>
    <mergeCell ref="U2310:V2311"/>
    <mergeCell ref="W2310:W2311"/>
    <mergeCell ref="X2310:AB2310"/>
    <mergeCell ref="AD2310:AI2310"/>
    <mergeCell ref="AJ2310:AL2310"/>
    <mergeCell ref="AN2310:AO2310"/>
    <mergeCell ref="AP2310:AQ2310"/>
    <mergeCell ref="AR2310:AS2311"/>
    <mergeCell ref="AT2310:AU2311"/>
    <mergeCell ref="AV2310:AW2311"/>
    <mergeCell ref="AX2310:AY2311"/>
    <mergeCell ref="AZ2310:AZ2311"/>
    <mergeCell ref="F2311:H2311"/>
    <mergeCell ref="X2311:AB2311"/>
    <mergeCell ref="AE2311:AI2311"/>
    <mergeCell ref="AJ2311:AL2311"/>
    <mergeCell ref="AN2311:AO2311"/>
    <mergeCell ref="AP2311:AQ2311"/>
    <mergeCell ref="A2312:A2313"/>
    <mergeCell ref="E2312:E2313"/>
    <mergeCell ref="F2312:H2312"/>
    <mergeCell ref="J2312:J2313"/>
    <mergeCell ref="K2312:L2313"/>
    <mergeCell ref="M2312:N2313"/>
    <mergeCell ref="O2312:P2313"/>
    <mergeCell ref="Q2312:R2313"/>
    <mergeCell ref="S2312:T2313"/>
    <mergeCell ref="U2312:V2313"/>
    <mergeCell ref="W2312:W2313"/>
    <mergeCell ref="X2312:AB2312"/>
    <mergeCell ref="AD2312:AI2312"/>
    <mergeCell ref="AJ2312:AL2312"/>
    <mergeCell ref="AN2312:AO2312"/>
    <mergeCell ref="AP2312:AQ2312"/>
    <mergeCell ref="AR2312:AS2313"/>
    <mergeCell ref="AT2312:AU2313"/>
    <mergeCell ref="AV2312:AW2313"/>
    <mergeCell ref="AX2312:AY2313"/>
    <mergeCell ref="AZ2312:AZ2313"/>
    <mergeCell ref="F2313:H2313"/>
    <mergeCell ref="X2313:AB2313"/>
    <mergeCell ref="AE2313:AI2313"/>
    <mergeCell ref="AJ2313:AL2313"/>
    <mergeCell ref="AN2313:AO2313"/>
    <mergeCell ref="AP2313:AQ2313"/>
    <mergeCell ref="A2306:A2307"/>
    <mergeCell ref="E2306:E2307"/>
    <mergeCell ref="F2306:H2306"/>
    <mergeCell ref="J2306:J2307"/>
    <mergeCell ref="K2306:L2307"/>
    <mergeCell ref="M2306:N2307"/>
    <mergeCell ref="O2306:P2307"/>
    <mergeCell ref="Q2306:R2307"/>
    <mergeCell ref="S2306:T2307"/>
    <mergeCell ref="U2306:V2307"/>
    <mergeCell ref="W2306:W2307"/>
    <mergeCell ref="X2306:AB2306"/>
    <mergeCell ref="AD2306:AI2306"/>
    <mergeCell ref="AJ2306:AL2306"/>
    <mergeCell ref="AN2306:AO2306"/>
    <mergeCell ref="AP2306:AQ2306"/>
    <mergeCell ref="AR2306:AS2307"/>
    <mergeCell ref="AT2306:AU2307"/>
    <mergeCell ref="AV2306:AW2307"/>
    <mergeCell ref="AX2306:AY2307"/>
    <mergeCell ref="AZ2306:AZ2307"/>
    <mergeCell ref="F2307:H2307"/>
    <mergeCell ref="X2307:AB2307"/>
    <mergeCell ref="AE2307:AI2307"/>
    <mergeCell ref="AJ2307:AL2307"/>
    <mergeCell ref="AN2307:AO2307"/>
    <mergeCell ref="AP2307:AQ2307"/>
    <mergeCell ref="A2308:A2309"/>
    <mergeCell ref="E2308:E2309"/>
    <mergeCell ref="F2308:H2308"/>
    <mergeCell ref="J2308:J2309"/>
    <mergeCell ref="K2308:L2309"/>
    <mergeCell ref="M2308:N2309"/>
    <mergeCell ref="O2308:P2309"/>
    <mergeCell ref="Q2308:R2309"/>
    <mergeCell ref="S2308:T2309"/>
    <mergeCell ref="U2308:V2309"/>
    <mergeCell ref="W2308:W2309"/>
    <mergeCell ref="X2308:AB2308"/>
    <mergeCell ref="AD2308:AI2308"/>
    <mergeCell ref="AJ2308:AL2308"/>
    <mergeCell ref="AN2308:AO2308"/>
    <mergeCell ref="AP2308:AQ2308"/>
    <mergeCell ref="AR2308:AS2309"/>
    <mergeCell ref="AT2308:AU2309"/>
    <mergeCell ref="AV2308:AW2309"/>
    <mergeCell ref="AX2308:AY2309"/>
    <mergeCell ref="AZ2308:AZ2309"/>
    <mergeCell ref="F2309:H2309"/>
    <mergeCell ref="X2309:AB2309"/>
    <mergeCell ref="AE2309:AI2309"/>
    <mergeCell ref="AJ2309:AL2309"/>
    <mergeCell ref="AN2309:AO2309"/>
    <mergeCell ref="AP2309:AQ2309"/>
    <mergeCell ref="W2302:W2303"/>
    <mergeCell ref="X2302:AB2302"/>
    <mergeCell ref="AD2302:AI2302"/>
    <mergeCell ref="AJ2302:AL2302"/>
    <mergeCell ref="AN2302:AO2302"/>
    <mergeCell ref="AP2302:AQ2302"/>
    <mergeCell ref="AR2302:AS2303"/>
    <mergeCell ref="AT2302:AU2303"/>
    <mergeCell ref="AV2302:AW2303"/>
    <mergeCell ref="AX2302:AY2303"/>
    <mergeCell ref="AZ2302:AZ2303"/>
    <mergeCell ref="F2303:H2303"/>
    <mergeCell ref="X2303:AB2303"/>
    <mergeCell ref="AE2303:AI2303"/>
    <mergeCell ref="AJ2303:AL2303"/>
    <mergeCell ref="AN2303:AO2303"/>
    <mergeCell ref="AP2303:AQ2303"/>
    <mergeCell ref="A2304:A2305"/>
    <mergeCell ref="E2304:E2305"/>
    <mergeCell ref="F2304:H2304"/>
    <mergeCell ref="J2304:J2305"/>
    <mergeCell ref="K2304:L2305"/>
    <mergeCell ref="M2304:N2305"/>
    <mergeCell ref="O2304:P2305"/>
    <mergeCell ref="Q2304:R2305"/>
    <mergeCell ref="S2304:T2305"/>
    <mergeCell ref="U2304:V2305"/>
    <mergeCell ref="W2304:W2305"/>
    <mergeCell ref="X2304:AB2304"/>
    <mergeCell ref="AD2304:AI2304"/>
    <mergeCell ref="AJ2304:AL2304"/>
    <mergeCell ref="AN2304:AO2304"/>
    <mergeCell ref="AP2304:AQ2304"/>
    <mergeCell ref="AR2304:AS2305"/>
    <mergeCell ref="AT2304:AU2305"/>
    <mergeCell ref="AV2304:AW2305"/>
    <mergeCell ref="AX2304:AY2305"/>
    <mergeCell ref="AZ2304:AZ2305"/>
    <mergeCell ref="F2305:H2305"/>
    <mergeCell ref="X2305:AB2305"/>
    <mergeCell ref="AE2305:AI2305"/>
    <mergeCell ref="AJ2305:AL2305"/>
    <mergeCell ref="AN2305:AO2305"/>
    <mergeCell ref="AP2305:AQ2305"/>
    <mergeCell ref="A2370:A2371"/>
    <mergeCell ref="E2370:E2371"/>
    <mergeCell ref="F2370:H2370"/>
    <mergeCell ref="J2370:J2371"/>
    <mergeCell ref="K2370:L2371"/>
    <mergeCell ref="M2370:N2371"/>
    <mergeCell ref="O2370:P2371"/>
    <mergeCell ref="Q2370:R2371"/>
    <mergeCell ref="S2370:T2371"/>
    <mergeCell ref="U2370:V2371"/>
    <mergeCell ref="W2370:W2371"/>
    <mergeCell ref="X2370:AB2370"/>
    <mergeCell ref="AD2370:AI2370"/>
    <mergeCell ref="AJ2370:AL2370"/>
    <mergeCell ref="AN2370:AO2370"/>
    <mergeCell ref="AP2370:AQ2370"/>
    <mergeCell ref="AR2370:AS2371"/>
    <mergeCell ref="AT2370:AU2371"/>
    <mergeCell ref="AV2370:AW2371"/>
    <mergeCell ref="AX2370:AY2371"/>
    <mergeCell ref="AZ2370:AZ2371"/>
    <mergeCell ref="F2371:H2371"/>
    <mergeCell ref="X2371:AB2371"/>
    <mergeCell ref="AE2371:AI2371"/>
    <mergeCell ref="AJ2371:AL2371"/>
    <mergeCell ref="AN2371:AO2371"/>
    <mergeCell ref="AP2371:AQ2371"/>
    <mergeCell ref="A2366:A2367"/>
    <mergeCell ref="E2366:E2367"/>
    <mergeCell ref="F2366:H2366"/>
    <mergeCell ref="J2366:J2367"/>
    <mergeCell ref="K2366:L2367"/>
    <mergeCell ref="M2366:N2367"/>
    <mergeCell ref="O2366:P2367"/>
    <mergeCell ref="Q2366:R2367"/>
    <mergeCell ref="S2366:T2367"/>
    <mergeCell ref="U2366:V2367"/>
    <mergeCell ref="W2366:W2367"/>
    <mergeCell ref="X2366:AB2366"/>
    <mergeCell ref="AD2366:AI2366"/>
    <mergeCell ref="AJ2366:AL2366"/>
    <mergeCell ref="AN2366:AO2366"/>
    <mergeCell ref="AP2366:AQ2366"/>
    <mergeCell ref="AR2366:AS2367"/>
    <mergeCell ref="AT2366:AU2367"/>
    <mergeCell ref="AV2366:AW2367"/>
    <mergeCell ref="AX2366:AY2367"/>
    <mergeCell ref="AZ2366:AZ2367"/>
    <mergeCell ref="F2367:H2367"/>
    <mergeCell ref="X2367:AB2367"/>
    <mergeCell ref="AE2367:AI2367"/>
    <mergeCell ref="AJ2367:AL2367"/>
    <mergeCell ref="AN2367:AO2367"/>
    <mergeCell ref="AP2367:AQ2367"/>
    <mergeCell ref="A2368:A2369"/>
    <mergeCell ref="E2368:E2369"/>
    <mergeCell ref="F2368:H2368"/>
    <mergeCell ref="J2368:J2369"/>
    <mergeCell ref="K2368:L2369"/>
    <mergeCell ref="M2368:N2369"/>
    <mergeCell ref="O2368:P2369"/>
    <mergeCell ref="Q2368:R2369"/>
    <mergeCell ref="S2368:T2369"/>
    <mergeCell ref="U2368:V2369"/>
    <mergeCell ref="W2368:W2369"/>
    <mergeCell ref="X2368:AB2368"/>
    <mergeCell ref="AD2368:AI2368"/>
    <mergeCell ref="AJ2368:AL2368"/>
    <mergeCell ref="AN2368:AO2368"/>
    <mergeCell ref="AP2368:AQ2368"/>
    <mergeCell ref="AR2368:AS2369"/>
    <mergeCell ref="AT2368:AU2369"/>
    <mergeCell ref="AV2368:AW2369"/>
    <mergeCell ref="AX2368:AY2369"/>
    <mergeCell ref="AZ2368:AZ2369"/>
    <mergeCell ref="F2369:H2369"/>
    <mergeCell ref="X2369:AB2369"/>
    <mergeCell ref="AE2369:AI2369"/>
    <mergeCell ref="AJ2369:AL2369"/>
    <mergeCell ref="AN2369:AO2369"/>
    <mergeCell ref="AP2369:AQ2369"/>
    <mergeCell ref="A2362:A2363"/>
    <mergeCell ref="E2362:E2363"/>
    <mergeCell ref="F2362:H2362"/>
    <mergeCell ref="J2362:J2363"/>
    <mergeCell ref="K2362:L2363"/>
    <mergeCell ref="M2362:N2363"/>
    <mergeCell ref="O2362:P2363"/>
    <mergeCell ref="Q2362:R2363"/>
    <mergeCell ref="S2362:T2363"/>
    <mergeCell ref="U2362:V2363"/>
    <mergeCell ref="W2362:W2363"/>
    <mergeCell ref="X2362:AB2362"/>
    <mergeCell ref="AD2362:AI2362"/>
    <mergeCell ref="AJ2362:AL2362"/>
    <mergeCell ref="AN2362:AO2362"/>
    <mergeCell ref="AP2362:AQ2362"/>
    <mergeCell ref="AR2362:AS2363"/>
    <mergeCell ref="AT2362:AU2363"/>
    <mergeCell ref="AV2362:AW2363"/>
    <mergeCell ref="AX2362:AY2363"/>
    <mergeCell ref="AZ2362:AZ2363"/>
    <mergeCell ref="F2363:H2363"/>
    <mergeCell ref="X2363:AB2363"/>
    <mergeCell ref="AE2363:AI2363"/>
    <mergeCell ref="AJ2363:AL2363"/>
    <mergeCell ref="AN2363:AO2363"/>
    <mergeCell ref="AP2363:AQ2363"/>
    <mergeCell ref="A2364:A2365"/>
    <mergeCell ref="E2364:E2365"/>
    <mergeCell ref="F2364:H2364"/>
    <mergeCell ref="J2364:J2365"/>
    <mergeCell ref="K2364:L2365"/>
    <mergeCell ref="M2364:N2365"/>
    <mergeCell ref="O2364:P2365"/>
    <mergeCell ref="Q2364:R2365"/>
    <mergeCell ref="S2364:T2365"/>
    <mergeCell ref="U2364:V2365"/>
    <mergeCell ref="W2364:W2365"/>
    <mergeCell ref="X2364:AB2364"/>
    <mergeCell ref="AD2364:AI2364"/>
    <mergeCell ref="AJ2364:AL2364"/>
    <mergeCell ref="AN2364:AO2364"/>
    <mergeCell ref="AP2364:AQ2364"/>
    <mergeCell ref="AR2364:AS2365"/>
    <mergeCell ref="AT2364:AU2365"/>
    <mergeCell ref="AV2364:AW2365"/>
    <mergeCell ref="AX2364:AY2365"/>
    <mergeCell ref="AZ2364:AZ2365"/>
    <mergeCell ref="F2365:H2365"/>
    <mergeCell ref="X2365:AB2365"/>
    <mergeCell ref="AE2365:AI2365"/>
    <mergeCell ref="AJ2365:AL2365"/>
    <mergeCell ref="AN2365:AO2365"/>
    <mergeCell ref="AP2365:AQ2365"/>
    <mergeCell ref="A2358:A2359"/>
    <mergeCell ref="E2358:E2359"/>
    <mergeCell ref="F2358:H2358"/>
    <mergeCell ref="J2358:J2359"/>
    <mergeCell ref="K2358:L2359"/>
    <mergeCell ref="M2358:N2359"/>
    <mergeCell ref="O2358:P2359"/>
    <mergeCell ref="Q2358:R2359"/>
    <mergeCell ref="S2358:T2359"/>
    <mergeCell ref="U2358:V2359"/>
    <mergeCell ref="W2358:W2359"/>
    <mergeCell ref="X2358:AB2358"/>
    <mergeCell ref="AD2358:AI2358"/>
    <mergeCell ref="AJ2358:AL2358"/>
    <mergeCell ref="AN2358:AO2358"/>
    <mergeCell ref="AP2358:AQ2358"/>
    <mergeCell ref="AR2358:AS2359"/>
    <mergeCell ref="AT2358:AU2359"/>
    <mergeCell ref="AV2358:AW2359"/>
    <mergeCell ref="AX2358:AY2359"/>
    <mergeCell ref="AZ2358:AZ2359"/>
    <mergeCell ref="F2359:H2359"/>
    <mergeCell ref="X2359:AB2359"/>
    <mergeCell ref="AE2359:AI2359"/>
    <mergeCell ref="AJ2359:AL2359"/>
    <mergeCell ref="AN2359:AO2359"/>
    <mergeCell ref="AP2359:AQ2359"/>
    <mergeCell ref="A2360:A2361"/>
    <mergeCell ref="E2360:E2361"/>
    <mergeCell ref="F2360:H2360"/>
    <mergeCell ref="J2360:J2361"/>
    <mergeCell ref="K2360:L2361"/>
    <mergeCell ref="M2360:N2361"/>
    <mergeCell ref="O2360:P2361"/>
    <mergeCell ref="Q2360:R2361"/>
    <mergeCell ref="S2360:T2361"/>
    <mergeCell ref="U2360:V2361"/>
    <mergeCell ref="W2360:W2361"/>
    <mergeCell ref="X2360:AB2360"/>
    <mergeCell ref="AD2360:AI2360"/>
    <mergeCell ref="AJ2360:AL2360"/>
    <mergeCell ref="AN2360:AO2360"/>
    <mergeCell ref="AP2360:AQ2360"/>
    <mergeCell ref="AR2360:AS2361"/>
    <mergeCell ref="AT2360:AU2361"/>
    <mergeCell ref="AV2360:AW2361"/>
    <mergeCell ref="AX2360:AY2361"/>
    <mergeCell ref="AZ2360:AZ2361"/>
    <mergeCell ref="F2361:H2361"/>
    <mergeCell ref="X2361:AB2361"/>
    <mergeCell ref="AE2361:AI2361"/>
    <mergeCell ref="AJ2361:AL2361"/>
    <mergeCell ref="AN2361:AO2361"/>
    <mergeCell ref="AP2361:AQ2361"/>
    <mergeCell ref="A2352:A2353"/>
    <mergeCell ref="E2352:E2353"/>
    <mergeCell ref="F2352:H2352"/>
    <mergeCell ref="J2352:J2353"/>
    <mergeCell ref="K2352:L2353"/>
    <mergeCell ref="M2352:N2353"/>
    <mergeCell ref="O2352:P2353"/>
    <mergeCell ref="Q2352:R2353"/>
    <mergeCell ref="S2352:T2353"/>
    <mergeCell ref="U2352:V2353"/>
    <mergeCell ref="W2352:W2353"/>
    <mergeCell ref="X2352:AB2352"/>
    <mergeCell ref="AD2352:AI2352"/>
    <mergeCell ref="AJ2352:AL2352"/>
    <mergeCell ref="AN2352:AO2352"/>
    <mergeCell ref="AP2352:AQ2352"/>
    <mergeCell ref="AR2352:AS2353"/>
    <mergeCell ref="AT2352:AU2353"/>
    <mergeCell ref="AV2352:AW2353"/>
    <mergeCell ref="AX2352:AY2353"/>
    <mergeCell ref="AZ2352:AZ2353"/>
    <mergeCell ref="F2353:H2353"/>
    <mergeCell ref="X2353:AB2353"/>
    <mergeCell ref="AE2353:AI2353"/>
    <mergeCell ref="AJ2353:AL2353"/>
    <mergeCell ref="AN2353:AO2353"/>
    <mergeCell ref="AP2353:AQ2353"/>
    <mergeCell ref="A2354:A2355"/>
    <mergeCell ref="E2354:E2355"/>
    <mergeCell ref="F2354:H2354"/>
    <mergeCell ref="J2354:J2355"/>
    <mergeCell ref="K2354:L2355"/>
    <mergeCell ref="M2354:N2355"/>
    <mergeCell ref="O2354:P2355"/>
    <mergeCell ref="Q2354:R2355"/>
    <mergeCell ref="S2354:T2355"/>
    <mergeCell ref="U2354:V2355"/>
    <mergeCell ref="W2354:W2355"/>
    <mergeCell ref="X2354:AB2354"/>
    <mergeCell ref="AD2354:AI2354"/>
    <mergeCell ref="AJ2354:AL2354"/>
    <mergeCell ref="AN2354:AO2354"/>
    <mergeCell ref="AP2354:AQ2354"/>
    <mergeCell ref="AR2354:AS2355"/>
    <mergeCell ref="AT2354:AU2355"/>
    <mergeCell ref="AV2354:AW2355"/>
    <mergeCell ref="AX2354:AY2355"/>
    <mergeCell ref="AZ2354:AZ2355"/>
    <mergeCell ref="F2355:H2355"/>
    <mergeCell ref="X2355:AB2355"/>
    <mergeCell ref="AE2355:AI2355"/>
    <mergeCell ref="AJ2355:AL2355"/>
    <mergeCell ref="AN2355:AO2355"/>
    <mergeCell ref="AP2355:AQ2355"/>
    <mergeCell ref="A2348:A2349"/>
    <mergeCell ref="E2348:E2349"/>
    <mergeCell ref="F2348:H2348"/>
    <mergeCell ref="J2348:J2349"/>
    <mergeCell ref="K2348:L2349"/>
    <mergeCell ref="M2348:N2349"/>
    <mergeCell ref="O2348:P2349"/>
    <mergeCell ref="Q2348:R2349"/>
    <mergeCell ref="S2348:T2349"/>
    <mergeCell ref="U2348:V2349"/>
    <mergeCell ref="W2348:W2349"/>
    <mergeCell ref="X2348:AB2348"/>
    <mergeCell ref="AD2348:AI2348"/>
    <mergeCell ref="AJ2348:AL2348"/>
    <mergeCell ref="AN2348:AO2348"/>
    <mergeCell ref="AP2348:AQ2348"/>
    <mergeCell ref="AR2348:AS2349"/>
    <mergeCell ref="AT2348:AU2349"/>
    <mergeCell ref="AV2348:AW2349"/>
    <mergeCell ref="AX2348:AY2349"/>
    <mergeCell ref="AZ2348:AZ2349"/>
    <mergeCell ref="F2349:H2349"/>
    <mergeCell ref="X2349:AB2349"/>
    <mergeCell ref="AE2349:AI2349"/>
    <mergeCell ref="AJ2349:AL2349"/>
    <mergeCell ref="AN2349:AO2349"/>
    <mergeCell ref="AP2349:AQ2349"/>
    <mergeCell ref="A2350:A2351"/>
    <mergeCell ref="E2350:E2351"/>
    <mergeCell ref="F2350:H2350"/>
    <mergeCell ref="J2350:J2351"/>
    <mergeCell ref="K2350:L2351"/>
    <mergeCell ref="M2350:N2351"/>
    <mergeCell ref="O2350:P2351"/>
    <mergeCell ref="Q2350:R2351"/>
    <mergeCell ref="S2350:T2351"/>
    <mergeCell ref="U2350:V2351"/>
    <mergeCell ref="W2350:W2351"/>
    <mergeCell ref="X2350:AB2350"/>
    <mergeCell ref="AD2350:AI2350"/>
    <mergeCell ref="AJ2350:AL2350"/>
    <mergeCell ref="AN2350:AO2350"/>
    <mergeCell ref="AP2350:AQ2350"/>
    <mergeCell ref="AR2350:AS2351"/>
    <mergeCell ref="AT2350:AU2351"/>
    <mergeCell ref="AV2350:AW2351"/>
    <mergeCell ref="AX2350:AY2351"/>
    <mergeCell ref="AZ2350:AZ2351"/>
    <mergeCell ref="F2351:H2351"/>
    <mergeCell ref="X2351:AB2351"/>
    <mergeCell ref="AE2351:AI2351"/>
    <mergeCell ref="AJ2351:AL2351"/>
    <mergeCell ref="AN2351:AO2351"/>
    <mergeCell ref="AP2351:AQ2351"/>
    <mergeCell ref="A2344:A2345"/>
    <mergeCell ref="E2344:E2345"/>
    <mergeCell ref="F2344:H2344"/>
    <mergeCell ref="J2344:J2345"/>
    <mergeCell ref="K2344:L2345"/>
    <mergeCell ref="M2344:N2345"/>
    <mergeCell ref="O2344:P2345"/>
    <mergeCell ref="Q2344:R2345"/>
    <mergeCell ref="S2344:T2345"/>
    <mergeCell ref="U2344:V2345"/>
    <mergeCell ref="W2344:W2345"/>
    <mergeCell ref="X2344:AB2344"/>
    <mergeCell ref="AD2344:AI2344"/>
    <mergeCell ref="AJ2344:AL2344"/>
    <mergeCell ref="AN2344:AO2344"/>
    <mergeCell ref="AP2344:AQ2344"/>
    <mergeCell ref="AR2344:AS2345"/>
    <mergeCell ref="AT2344:AU2345"/>
    <mergeCell ref="AV2344:AW2345"/>
    <mergeCell ref="AX2344:AY2345"/>
    <mergeCell ref="AZ2344:AZ2345"/>
    <mergeCell ref="F2345:H2345"/>
    <mergeCell ref="X2345:AB2345"/>
    <mergeCell ref="AE2345:AI2345"/>
    <mergeCell ref="AJ2345:AL2345"/>
    <mergeCell ref="AN2345:AO2345"/>
    <mergeCell ref="AP2345:AQ2345"/>
    <mergeCell ref="A2346:A2347"/>
    <mergeCell ref="E2346:E2347"/>
    <mergeCell ref="F2346:H2346"/>
    <mergeCell ref="J2346:J2347"/>
    <mergeCell ref="K2346:L2347"/>
    <mergeCell ref="M2346:N2347"/>
    <mergeCell ref="O2346:P2347"/>
    <mergeCell ref="Q2346:R2347"/>
    <mergeCell ref="S2346:T2347"/>
    <mergeCell ref="U2346:V2347"/>
    <mergeCell ref="W2346:W2347"/>
    <mergeCell ref="X2346:AB2346"/>
    <mergeCell ref="AD2346:AI2346"/>
    <mergeCell ref="AJ2346:AL2346"/>
    <mergeCell ref="AN2346:AO2346"/>
    <mergeCell ref="AP2346:AQ2346"/>
    <mergeCell ref="AR2346:AS2347"/>
    <mergeCell ref="AT2346:AU2347"/>
    <mergeCell ref="AV2346:AW2347"/>
    <mergeCell ref="AX2346:AY2347"/>
    <mergeCell ref="AZ2346:AZ2347"/>
    <mergeCell ref="F2347:H2347"/>
    <mergeCell ref="X2347:AB2347"/>
    <mergeCell ref="AE2347:AI2347"/>
    <mergeCell ref="AJ2347:AL2347"/>
    <mergeCell ref="AN2347:AO2347"/>
    <mergeCell ref="AP2347:AQ2347"/>
    <mergeCell ref="A2340:A2341"/>
    <mergeCell ref="E2340:E2341"/>
    <mergeCell ref="F2340:H2340"/>
    <mergeCell ref="J2340:J2341"/>
    <mergeCell ref="K2340:L2341"/>
    <mergeCell ref="M2340:N2341"/>
    <mergeCell ref="O2340:P2341"/>
    <mergeCell ref="Q2340:R2341"/>
    <mergeCell ref="S2340:T2341"/>
    <mergeCell ref="U2340:V2341"/>
    <mergeCell ref="W2340:W2341"/>
    <mergeCell ref="X2340:AB2340"/>
    <mergeCell ref="AD2340:AI2340"/>
    <mergeCell ref="AJ2340:AL2340"/>
    <mergeCell ref="AN2340:AO2340"/>
    <mergeCell ref="AP2340:AQ2340"/>
    <mergeCell ref="AR2340:AS2341"/>
    <mergeCell ref="AT2340:AU2341"/>
    <mergeCell ref="AV2340:AW2341"/>
    <mergeCell ref="AX2340:AY2341"/>
    <mergeCell ref="AZ2340:AZ2341"/>
    <mergeCell ref="F2341:H2341"/>
    <mergeCell ref="X2341:AB2341"/>
    <mergeCell ref="AE2341:AI2341"/>
    <mergeCell ref="AJ2341:AL2341"/>
    <mergeCell ref="AN2341:AO2341"/>
    <mergeCell ref="AP2341:AQ2341"/>
    <mergeCell ref="A2342:A2343"/>
    <mergeCell ref="E2342:E2343"/>
    <mergeCell ref="F2342:H2342"/>
    <mergeCell ref="J2342:J2343"/>
    <mergeCell ref="K2342:L2343"/>
    <mergeCell ref="M2342:N2343"/>
    <mergeCell ref="O2342:P2343"/>
    <mergeCell ref="Q2342:R2343"/>
    <mergeCell ref="S2342:T2343"/>
    <mergeCell ref="U2342:V2343"/>
    <mergeCell ref="W2342:W2343"/>
    <mergeCell ref="X2342:AB2342"/>
    <mergeCell ref="AD2342:AI2342"/>
    <mergeCell ref="AJ2342:AL2342"/>
    <mergeCell ref="AN2342:AO2342"/>
    <mergeCell ref="AP2342:AQ2342"/>
    <mergeCell ref="AR2342:AS2343"/>
    <mergeCell ref="AT2342:AU2343"/>
    <mergeCell ref="AV2342:AW2343"/>
    <mergeCell ref="AX2342:AY2343"/>
    <mergeCell ref="AZ2342:AZ2343"/>
    <mergeCell ref="F2343:H2343"/>
    <mergeCell ref="X2343:AB2343"/>
    <mergeCell ref="AE2343:AI2343"/>
    <mergeCell ref="AJ2343:AL2343"/>
    <mergeCell ref="AN2343:AO2343"/>
    <mergeCell ref="AP2343:AQ2343"/>
    <mergeCell ref="A2336:A2337"/>
    <mergeCell ref="E2336:E2337"/>
    <mergeCell ref="F2336:H2336"/>
    <mergeCell ref="J2336:J2337"/>
    <mergeCell ref="K2336:L2337"/>
    <mergeCell ref="M2336:N2337"/>
    <mergeCell ref="O2336:P2337"/>
    <mergeCell ref="Q2336:R2337"/>
    <mergeCell ref="S2336:T2337"/>
    <mergeCell ref="U2336:V2337"/>
    <mergeCell ref="W2336:W2337"/>
    <mergeCell ref="X2336:AB2336"/>
    <mergeCell ref="AD2336:AI2336"/>
    <mergeCell ref="AJ2336:AL2336"/>
    <mergeCell ref="AN2336:AO2336"/>
    <mergeCell ref="AP2336:AQ2336"/>
    <mergeCell ref="AR2336:AS2337"/>
    <mergeCell ref="AT2336:AU2337"/>
    <mergeCell ref="AV2336:AW2337"/>
    <mergeCell ref="AX2336:AY2337"/>
    <mergeCell ref="AZ2336:AZ2337"/>
    <mergeCell ref="F2337:H2337"/>
    <mergeCell ref="X2337:AB2337"/>
    <mergeCell ref="AE2337:AI2337"/>
    <mergeCell ref="AJ2337:AL2337"/>
    <mergeCell ref="AN2337:AO2337"/>
    <mergeCell ref="AP2337:AQ2337"/>
    <mergeCell ref="A2338:A2339"/>
    <mergeCell ref="E2338:E2339"/>
    <mergeCell ref="F2338:H2338"/>
    <mergeCell ref="J2338:J2339"/>
    <mergeCell ref="K2338:L2339"/>
    <mergeCell ref="M2338:N2339"/>
    <mergeCell ref="O2338:P2339"/>
    <mergeCell ref="Q2338:R2339"/>
    <mergeCell ref="S2338:T2339"/>
    <mergeCell ref="U2338:V2339"/>
    <mergeCell ref="W2338:W2339"/>
    <mergeCell ref="X2338:AB2338"/>
    <mergeCell ref="AD2338:AI2338"/>
    <mergeCell ref="AJ2338:AL2338"/>
    <mergeCell ref="AN2338:AO2338"/>
    <mergeCell ref="AP2338:AQ2338"/>
    <mergeCell ref="AR2338:AS2339"/>
    <mergeCell ref="AT2338:AU2339"/>
    <mergeCell ref="AV2338:AW2339"/>
    <mergeCell ref="AX2338:AY2339"/>
    <mergeCell ref="AZ2338:AZ2339"/>
    <mergeCell ref="F2339:H2339"/>
    <mergeCell ref="X2339:AB2339"/>
    <mergeCell ref="AE2339:AI2339"/>
    <mergeCell ref="AJ2339:AL2339"/>
    <mergeCell ref="AN2339:AO2339"/>
    <mergeCell ref="AP2339:AQ2339"/>
    <mergeCell ref="A2298:A2299"/>
    <mergeCell ref="E2298:E2299"/>
    <mergeCell ref="F2298:H2298"/>
    <mergeCell ref="J2298:J2299"/>
    <mergeCell ref="K2298:L2299"/>
    <mergeCell ref="M2298:N2299"/>
    <mergeCell ref="O2298:P2299"/>
    <mergeCell ref="Q2298:R2299"/>
    <mergeCell ref="S2298:T2299"/>
    <mergeCell ref="U2298:V2299"/>
    <mergeCell ref="W2298:W2299"/>
    <mergeCell ref="X2298:AB2298"/>
    <mergeCell ref="AD2298:AI2298"/>
    <mergeCell ref="AJ2298:AL2298"/>
    <mergeCell ref="AN2298:AO2298"/>
    <mergeCell ref="AP2298:AQ2298"/>
    <mergeCell ref="AR2298:AS2299"/>
    <mergeCell ref="AT2298:AU2299"/>
    <mergeCell ref="AV2298:AW2299"/>
    <mergeCell ref="AX2298:AY2299"/>
    <mergeCell ref="AZ2298:AZ2299"/>
    <mergeCell ref="F2299:H2299"/>
    <mergeCell ref="X2299:AB2299"/>
    <mergeCell ref="AE2299:AI2299"/>
    <mergeCell ref="AJ2299:AL2299"/>
    <mergeCell ref="AN2299:AO2299"/>
    <mergeCell ref="AP2299:AQ2299"/>
    <mergeCell ref="A2334:A2335"/>
    <mergeCell ref="E2334:E2335"/>
    <mergeCell ref="F2334:H2334"/>
    <mergeCell ref="J2334:J2335"/>
    <mergeCell ref="K2334:L2335"/>
    <mergeCell ref="M2334:N2335"/>
    <mergeCell ref="O2334:P2335"/>
    <mergeCell ref="Q2334:R2335"/>
    <mergeCell ref="S2334:T2335"/>
    <mergeCell ref="U2334:V2335"/>
    <mergeCell ref="W2334:W2335"/>
    <mergeCell ref="X2334:AB2334"/>
    <mergeCell ref="AD2334:AI2334"/>
    <mergeCell ref="AJ2334:AL2334"/>
    <mergeCell ref="AN2334:AO2334"/>
    <mergeCell ref="AP2334:AQ2334"/>
    <mergeCell ref="AR2334:AS2335"/>
    <mergeCell ref="AT2334:AU2335"/>
    <mergeCell ref="AV2334:AW2335"/>
    <mergeCell ref="AX2334:AY2335"/>
    <mergeCell ref="AZ2334:AZ2335"/>
    <mergeCell ref="F2335:H2335"/>
    <mergeCell ref="X2335:AB2335"/>
    <mergeCell ref="AE2335:AI2335"/>
    <mergeCell ref="AJ2335:AL2335"/>
    <mergeCell ref="AN2335:AO2335"/>
    <mergeCell ref="AP2335:AQ2335"/>
    <mergeCell ref="A2302:A2303"/>
    <mergeCell ref="E2302:E2303"/>
    <mergeCell ref="F2302:H2302"/>
    <mergeCell ref="J2302:J2303"/>
    <mergeCell ref="K2302:L2303"/>
    <mergeCell ref="M2302:N2303"/>
    <mergeCell ref="O2302:P2303"/>
    <mergeCell ref="Q2302:R2303"/>
    <mergeCell ref="S2302:T2303"/>
    <mergeCell ref="U2302:V2303"/>
    <mergeCell ref="A2294:A2295"/>
    <mergeCell ref="E2294:E2295"/>
    <mergeCell ref="F2294:H2294"/>
    <mergeCell ref="J2294:J2295"/>
    <mergeCell ref="K2294:L2295"/>
    <mergeCell ref="M2294:N2295"/>
    <mergeCell ref="O2294:P2295"/>
    <mergeCell ref="Q2294:R2295"/>
    <mergeCell ref="S2294:T2295"/>
    <mergeCell ref="U2294:V2295"/>
    <mergeCell ref="W2294:W2295"/>
    <mergeCell ref="X2294:AB2294"/>
    <mergeCell ref="AD2294:AI2294"/>
    <mergeCell ref="AJ2294:AL2294"/>
    <mergeCell ref="AN2294:AO2294"/>
    <mergeCell ref="AP2294:AQ2294"/>
    <mergeCell ref="AR2294:AS2295"/>
    <mergeCell ref="AT2294:AU2295"/>
    <mergeCell ref="AV2294:AW2295"/>
    <mergeCell ref="AX2294:AY2295"/>
    <mergeCell ref="AZ2294:AZ2295"/>
    <mergeCell ref="F2295:H2295"/>
    <mergeCell ref="X2295:AB2295"/>
    <mergeCell ref="AE2295:AI2295"/>
    <mergeCell ref="AJ2295:AL2295"/>
    <mergeCell ref="AN2295:AO2295"/>
    <mergeCell ref="AP2295:AQ2295"/>
    <mergeCell ref="A2296:A2297"/>
    <mergeCell ref="E2296:E2297"/>
    <mergeCell ref="F2296:H2296"/>
    <mergeCell ref="J2296:J2297"/>
    <mergeCell ref="K2296:L2297"/>
    <mergeCell ref="M2296:N2297"/>
    <mergeCell ref="O2296:P2297"/>
    <mergeCell ref="Q2296:R2297"/>
    <mergeCell ref="S2296:T2297"/>
    <mergeCell ref="U2296:V2297"/>
    <mergeCell ref="W2296:W2297"/>
    <mergeCell ref="X2296:AB2296"/>
    <mergeCell ref="AD2296:AI2296"/>
    <mergeCell ref="AJ2296:AL2296"/>
    <mergeCell ref="AN2296:AO2296"/>
    <mergeCell ref="AP2296:AQ2296"/>
    <mergeCell ref="AR2296:AS2297"/>
    <mergeCell ref="AT2296:AU2297"/>
    <mergeCell ref="AV2296:AW2297"/>
    <mergeCell ref="AX2296:AY2297"/>
    <mergeCell ref="AZ2296:AZ2297"/>
    <mergeCell ref="F2297:H2297"/>
    <mergeCell ref="X2297:AB2297"/>
    <mergeCell ref="AE2297:AI2297"/>
    <mergeCell ref="AJ2297:AL2297"/>
    <mergeCell ref="AN2297:AO2297"/>
    <mergeCell ref="AP2297:AQ2297"/>
    <mergeCell ref="A2290:A2291"/>
    <mergeCell ref="E2290:E2291"/>
    <mergeCell ref="F2290:H2290"/>
    <mergeCell ref="J2290:J2291"/>
    <mergeCell ref="K2290:L2291"/>
    <mergeCell ref="M2290:N2291"/>
    <mergeCell ref="O2290:P2291"/>
    <mergeCell ref="Q2290:R2291"/>
    <mergeCell ref="S2290:T2291"/>
    <mergeCell ref="U2290:V2291"/>
    <mergeCell ref="W2290:W2291"/>
    <mergeCell ref="X2290:AB2290"/>
    <mergeCell ref="AD2290:AI2290"/>
    <mergeCell ref="AJ2290:AL2290"/>
    <mergeCell ref="AN2290:AO2290"/>
    <mergeCell ref="AP2290:AQ2290"/>
    <mergeCell ref="AR2290:AS2291"/>
    <mergeCell ref="AT2290:AU2291"/>
    <mergeCell ref="AV2290:AW2291"/>
    <mergeCell ref="AX2290:AY2291"/>
    <mergeCell ref="AZ2290:AZ2291"/>
    <mergeCell ref="F2291:H2291"/>
    <mergeCell ref="X2291:AB2291"/>
    <mergeCell ref="AE2291:AI2291"/>
    <mergeCell ref="AJ2291:AL2291"/>
    <mergeCell ref="AN2291:AO2291"/>
    <mergeCell ref="AP2291:AQ2291"/>
    <mergeCell ref="A2292:A2293"/>
    <mergeCell ref="E2292:E2293"/>
    <mergeCell ref="F2292:H2292"/>
    <mergeCell ref="J2292:J2293"/>
    <mergeCell ref="K2292:L2293"/>
    <mergeCell ref="M2292:N2293"/>
    <mergeCell ref="O2292:P2293"/>
    <mergeCell ref="Q2292:R2293"/>
    <mergeCell ref="S2292:T2293"/>
    <mergeCell ref="U2292:V2293"/>
    <mergeCell ref="W2292:W2293"/>
    <mergeCell ref="X2292:AB2292"/>
    <mergeCell ref="AD2292:AI2292"/>
    <mergeCell ref="AJ2292:AL2292"/>
    <mergeCell ref="AN2292:AO2292"/>
    <mergeCell ref="AP2292:AQ2292"/>
    <mergeCell ref="AR2292:AS2293"/>
    <mergeCell ref="AT2292:AU2293"/>
    <mergeCell ref="AV2292:AW2293"/>
    <mergeCell ref="AX2292:AY2293"/>
    <mergeCell ref="AZ2292:AZ2293"/>
    <mergeCell ref="F2293:H2293"/>
    <mergeCell ref="X2293:AB2293"/>
    <mergeCell ref="AE2293:AI2293"/>
    <mergeCell ref="AJ2293:AL2293"/>
    <mergeCell ref="AN2293:AO2293"/>
    <mergeCell ref="AP2293:AQ2293"/>
    <mergeCell ref="A2286:A2287"/>
    <mergeCell ref="E2286:E2287"/>
    <mergeCell ref="F2286:H2286"/>
    <mergeCell ref="J2286:J2287"/>
    <mergeCell ref="K2286:L2287"/>
    <mergeCell ref="M2286:N2287"/>
    <mergeCell ref="O2286:P2287"/>
    <mergeCell ref="Q2286:R2287"/>
    <mergeCell ref="S2286:T2287"/>
    <mergeCell ref="U2286:V2287"/>
    <mergeCell ref="W2286:W2287"/>
    <mergeCell ref="X2286:AB2286"/>
    <mergeCell ref="AD2286:AI2286"/>
    <mergeCell ref="AJ2286:AL2286"/>
    <mergeCell ref="AN2286:AO2286"/>
    <mergeCell ref="AP2286:AQ2286"/>
    <mergeCell ref="AR2286:AS2287"/>
    <mergeCell ref="AT2286:AU2287"/>
    <mergeCell ref="AV2286:AW2287"/>
    <mergeCell ref="AX2286:AY2287"/>
    <mergeCell ref="AZ2286:AZ2287"/>
    <mergeCell ref="F2287:H2287"/>
    <mergeCell ref="X2287:AB2287"/>
    <mergeCell ref="AE2287:AI2287"/>
    <mergeCell ref="AJ2287:AL2287"/>
    <mergeCell ref="AN2287:AO2287"/>
    <mergeCell ref="AP2287:AQ2287"/>
    <mergeCell ref="A2288:A2289"/>
    <mergeCell ref="E2288:E2289"/>
    <mergeCell ref="F2288:H2288"/>
    <mergeCell ref="J2288:J2289"/>
    <mergeCell ref="K2288:L2289"/>
    <mergeCell ref="M2288:N2289"/>
    <mergeCell ref="O2288:P2289"/>
    <mergeCell ref="Q2288:R2289"/>
    <mergeCell ref="S2288:T2289"/>
    <mergeCell ref="U2288:V2289"/>
    <mergeCell ref="W2288:W2289"/>
    <mergeCell ref="X2288:AB2288"/>
    <mergeCell ref="AD2288:AI2288"/>
    <mergeCell ref="AJ2288:AL2288"/>
    <mergeCell ref="AN2288:AO2288"/>
    <mergeCell ref="AP2288:AQ2288"/>
    <mergeCell ref="AR2288:AS2289"/>
    <mergeCell ref="AT2288:AU2289"/>
    <mergeCell ref="AV2288:AW2289"/>
    <mergeCell ref="AX2288:AY2289"/>
    <mergeCell ref="AZ2288:AZ2289"/>
    <mergeCell ref="F2289:H2289"/>
    <mergeCell ref="X2289:AB2289"/>
    <mergeCell ref="AE2289:AI2289"/>
    <mergeCell ref="AJ2289:AL2289"/>
    <mergeCell ref="AN2289:AO2289"/>
    <mergeCell ref="AP2289:AQ2289"/>
    <mergeCell ref="A2282:A2283"/>
    <mergeCell ref="E2282:E2283"/>
    <mergeCell ref="F2282:H2282"/>
    <mergeCell ref="J2282:J2283"/>
    <mergeCell ref="K2282:L2283"/>
    <mergeCell ref="M2282:N2283"/>
    <mergeCell ref="O2282:P2283"/>
    <mergeCell ref="Q2282:R2283"/>
    <mergeCell ref="S2282:T2283"/>
    <mergeCell ref="U2282:V2283"/>
    <mergeCell ref="W2282:W2283"/>
    <mergeCell ref="X2282:AB2282"/>
    <mergeCell ref="AD2282:AI2282"/>
    <mergeCell ref="AJ2282:AL2282"/>
    <mergeCell ref="AN2282:AO2282"/>
    <mergeCell ref="AP2282:AQ2282"/>
    <mergeCell ref="AR2282:AS2283"/>
    <mergeCell ref="AT2282:AU2283"/>
    <mergeCell ref="AV2282:AW2283"/>
    <mergeCell ref="AX2282:AY2283"/>
    <mergeCell ref="AZ2282:AZ2283"/>
    <mergeCell ref="F2283:H2283"/>
    <mergeCell ref="X2283:AB2283"/>
    <mergeCell ref="AE2283:AI2283"/>
    <mergeCell ref="AJ2283:AL2283"/>
    <mergeCell ref="AN2283:AO2283"/>
    <mergeCell ref="AP2283:AQ2283"/>
    <mergeCell ref="A2284:A2285"/>
    <mergeCell ref="E2284:E2285"/>
    <mergeCell ref="F2284:H2284"/>
    <mergeCell ref="J2284:J2285"/>
    <mergeCell ref="K2284:L2285"/>
    <mergeCell ref="M2284:N2285"/>
    <mergeCell ref="O2284:P2285"/>
    <mergeCell ref="Q2284:R2285"/>
    <mergeCell ref="S2284:T2285"/>
    <mergeCell ref="U2284:V2285"/>
    <mergeCell ref="W2284:W2285"/>
    <mergeCell ref="X2284:AB2284"/>
    <mergeCell ref="AD2284:AI2284"/>
    <mergeCell ref="AJ2284:AL2284"/>
    <mergeCell ref="AN2284:AO2284"/>
    <mergeCell ref="AP2284:AQ2284"/>
    <mergeCell ref="AR2284:AS2285"/>
    <mergeCell ref="AT2284:AU2285"/>
    <mergeCell ref="AV2284:AW2285"/>
    <mergeCell ref="AX2284:AY2285"/>
    <mergeCell ref="AZ2284:AZ2285"/>
    <mergeCell ref="F2285:H2285"/>
    <mergeCell ref="X2285:AB2285"/>
    <mergeCell ref="AE2285:AI2285"/>
    <mergeCell ref="AJ2285:AL2285"/>
    <mergeCell ref="AN2285:AO2285"/>
    <mergeCell ref="AP2285:AQ2285"/>
    <mergeCell ref="A2278:A2279"/>
    <mergeCell ref="E2278:E2279"/>
    <mergeCell ref="F2278:H2278"/>
    <mergeCell ref="J2278:J2279"/>
    <mergeCell ref="K2278:L2279"/>
    <mergeCell ref="M2278:N2279"/>
    <mergeCell ref="O2278:P2279"/>
    <mergeCell ref="Q2278:R2279"/>
    <mergeCell ref="S2278:T2279"/>
    <mergeCell ref="U2278:V2279"/>
    <mergeCell ref="W2278:W2279"/>
    <mergeCell ref="X2278:AB2278"/>
    <mergeCell ref="AD2278:AI2278"/>
    <mergeCell ref="AJ2278:AL2278"/>
    <mergeCell ref="AN2278:AO2278"/>
    <mergeCell ref="AP2278:AQ2278"/>
    <mergeCell ref="AR2278:AS2279"/>
    <mergeCell ref="AT2278:AU2279"/>
    <mergeCell ref="AV2278:AW2279"/>
    <mergeCell ref="AX2278:AY2279"/>
    <mergeCell ref="AZ2278:AZ2279"/>
    <mergeCell ref="F2279:H2279"/>
    <mergeCell ref="X2279:AB2279"/>
    <mergeCell ref="AE2279:AI2279"/>
    <mergeCell ref="AJ2279:AL2279"/>
    <mergeCell ref="AN2279:AO2279"/>
    <mergeCell ref="AP2279:AQ2279"/>
    <mergeCell ref="A2280:A2281"/>
    <mergeCell ref="E2280:E2281"/>
    <mergeCell ref="F2280:H2280"/>
    <mergeCell ref="J2280:J2281"/>
    <mergeCell ref="K2280:L2281"/>
    <mergeCell ref="M2280:N2281"/>
    <mergeCell ref="O2280:P2281"/>
    <mergeCell ref="Q2280:R2281"/>
    <mergeCell ref="S2280:T2281"/>
    <mergeCell ref="U2280:V2281"/>
    <mergeCell ref="W2280:W2281"/>
    <mergeCell ref="X2280:AB2280"/>
    <mergeCell ref="AD2280:AI2280"/>
    <mergeCell ref="AJ2280:AL2280"/>
    <mergeCell ref="AN2280:AO2280"/>
    <mergeCell ref="AP2280:AQ2280"/>
    <mergeCell ref="AR2280:AS2281"/>
    <mergeCell ref="AT2280:AU2281"/>
    <mergeCell ref="AV2280:AW2281"/>
    <mergeCell ref="AX2280:AY2281"/>
    <mergeCell ref="AZ2280:AZ2281"/>
    <mergeCell ref="F2281:H2281"/>
    <mergeCell ref="X2281:AB2281"/>
    <mergeCell ref="AE2281:AI2281"/>
    <mergeCell ref="AJ2281:AL2281"/>
    <mergeCell ref="AN2281:AO2281"/>
    <mergeCell ref="AP2281:AQ2281"/>
    <mergeCell ref="A2274:A2275"/>
    <mergeCell ref="E2274:E2275"/>
    <mergeCell ref="F2274:H2274"/>
    <mergeCell ref="J2274:J2275"/>
    <mergeCell ref="K2274:L2275"/>
    <mergeCell ref="M2274:N2275"/>
    <mergeCell ref="O2274:P2275"/>
    <mergeCell ref="Q2274:R2275"/>
    <mergeCell ref="S2274:T2275"/>
    <mergeCell ref="U2274:V2275"/>
    <mergeCell ref="W2274:W2275"/>
    <mergeCell ref="X2274:AB2274"/>
    <mergeCell ref="AD2274:AI2274"/>
    <mergeCell ref="AJ2274:AL2274"/>
    <mergeCell ref="AN2274:AO2274"/>
    <mergeCell ref="AP2274:AQ2274"/>
    <mergeCell ref="AR2274:AS2275"/>
    <mergeCell ref="AT2274:AU2275"/>
    <mergeCell ref="AV2274:AW2275"/>
    <mergeCell ref="AX2274:AY2275"/>
    <mergeCell ref="AZ2274:AZ2275"/>
    <mergeCell ref="F2275:H2275"/>
    <mergeCell ref="X2275:AB2275"/>
    <mergeCell ref="AE2275:AI2275"/>
    <mergeCell ref="AJ2275:AL2275"/>
    <mergeCell ref="AN2275:AO2275"/>
    <mergeCell ref="AP2275:AQ2275"/>
    <mergeCell ref="A2276:A2277"/>
    <mergeCell ref="E2276:E2277"/>
    <mergeCell ref="F2276:H2276"/>
    <mergeCell ref="J2276:J2277"/>
    <mergeCell ref="K2276:L2277"/>
    <mergeCell ref="M2276:N2277"/>
    <mergeCell ref="O2276:P2277"/>
    <mergeCell ref="Q2276:R2277"/>
    <mergeCell ref="S2276:T2277"/>
    <mergeCell ref="U2276:V2277"/>
    <mergeCell ref="W2276:W2277"/>
    <mergeCell ref="X2276:AB2276"/>
    <mergeCell ref="AD2276:AI2276"/>
    <mergeCell ref="AJ2276:AL2276"/>
    <mergeCell ref="AN2276:AO2276"/>
    <mergeCell ref="AP2276:AQ2276"/>
    <mergeCell ref="AR2276:AS2277"/>
    <mergeCell ref="AT2276:AU2277"/>
    <mergeCell ref="AV2276:AW2277"/>
    <mergeCell ref="AX2276:AY2277"/>
    <mergeCell ref="AZ2276:AZ2277"/>
    <mergeCell ref="F2277:H2277"/>
    <mergeCell ref="X2277:AB2277"/>
    <mergeCell ref="AE2277:AI2277"/>
    <mergeCell ref="AJ2277:AL2277"/>
    <mergeCell ref="AN2277:AO2277"/>
    <mergeCell ref="AP2277:AQ2277"/>
    <mergeCell ref="A2272:A2273"/>
    <mergeCell ref="E2272:E2273"/>
    <mergeCell ref="F2272:H2272"/>
    <mergeCell ref="J2272:J2273"/>
    <mergeCell ref="K2272:L2273"/>
    <mergeCell ref="M2272:N2273"/>
    <mergeCell ref="O2272:P2273"/>
    <mergeCell ref="Q2272:R2273"/>
    <mergeCell ref="S2272:T2273"/>
    <mergeCell ref="U2272:V2273"/>
    <mergeCell ref="W2272:W2273"/>
    <mergeCell ref="X2272:AB2272"/>
    <mergeCell ref="AD2272:AI2272"/>
    <mergeCell ref="AJ2272:AL2272"/>
    <mergeCell ref="AN2272:AO2272"/>
    <mergeCell ref="AP2272:AQ2272"/>
    <mergeCell ref="AR2272:AS2273"/>
    <mergeCell ref="AT2272:AU2273"/>
    <mergeCell ref="AV2272:AW2273"/>
    <mergeCell ref="AX2272:AY2273"/>
    <mergeCell ref="AZ2272:AZ2273"/>
    <mergeCell ref="F2273:H2273"/>
    <mergeCell ref="X2273:AB2273"/>
    <mergeCell ref="AE2273:AI2273"/>
    <mergeCell ref="AJ2273:AL2273"/>
    <mergeCell ref="AN2273:AO2273"/>
    <mergeCell ref="AP2273:AQ2273"/>
    <mergeCell ref="A2264:A2265"/>
    <mergeCell ref="E2264:E2265"/>
    <mergeCell ref="F2264:H2264"/>
    <mergeCell ref="J2264:J2265"/>
    <mergeCell ref="K2264:L2265"/>
    <mergeCell ref="M2264:N2265"/>
    <mergeCell ref="O2264:P2265"/>
    <mergeCell ref="Q2264:R2265"/>
    <mergeCell ref="S2264:T2265"/>
    <mergeCell ref="U2264:V2265"/>
    <mergeCell ref="W2264:W2265"/>
    <mergeCell ref="X2264:AB2264"/>
    <mergeCell ref="AD2264:AI2264"/>
    <mergeCell ref="AJ2264:AL2264"/>
    <mergeCell ref="AN2264:AO2264"/>
    <mergeCell ref="AP2264:AQ2264"/>
    <mergeCell ref="AR2264:AS2265"/>
    <mergeCell ref="AT2264:AU2265"/>
    <mergeCell ref="AV2264:AW2265"/>
    <mergeCell ref="AX2264:AY2265"/>
    <mergeCell ref="AZ2264:AZ2265"/>
    <mergeCell ref="F2265:H2265"/>
    <mergeCell ref="X2265:AB2265"/>
    <mergeCell ref="AE2265:AI2265"/>
    <mergeCell ref="AJ2265:AL2265"/>
    <mergeCell ref="AN2265:AO2265"/>
    <mergeCell ref="AP2265:AQ2265"/>
    <mergeCell ref="A2266:A2267"/>
    <mergeCell ref="E2266:E2267"/>
    <mergeCell ref="F2266:H2266"/>
    <mergeCell ref="J2266:J2267"/>
    <mergeCell ref="K2266:L2267"/>
    <mergeCell ref="M2266:N2267"/>
    <mergeCell ref="O2266:P2267"/>
    <mergeCell ref="Q2266:R2267"/>
    <mergeCell ref="S2266:T2267"/>
    <mergeCell ref="U2266:V2267"/>
    <mergeCell ref="A2260:A2261"/>
    <mergeCell ref="E2260:E2261"/>
    <mergeCell ref="F2260:H2260"/>
    <mergeCell ref="J2260:J2261"/>
    <mergeCell ref="K2260:L2261"/>
    <mergeCell ref="M2260:N2261"/>
    <mergeCell ref="O2260:P2261"/>
    <mergeCell ref="Q2260:R2261"/>
    <mergeCell ref="S2260:T2261"/>
    <mergeCell ref="U2260:V2261"/>
    <mergeCell ref="W2260:W2261"/>
    <mergeCell ref="X2260:AB2260"/>
    <mergeCell ref="AD2260:AI2260"/>
    <mergeCell ref="AJ2260:AL2260"/>
    <mergeCell ref="AN2260:AO2260"/>
    <mergeCell ref="AP2260:AQ2260"/>
    <mergeCell ref="AR2260:AS2261"/>
    <mergeCell ref="AT2260:AU2261"/>
    <mergeCell ref="AV2260:AW2261"/>
    <mergeCell ref="AX2260:AY2261"/>
    <mergeCell ref="AZ2260:AZ2261"/>
    <mergeCell ref="F2261:H2261"/>
    <mergeCell ref="X2261:AB2261"/>
    <mergeCell ref="AE2261:AI2261"/>
    <mergeCell ref="AJ2261:AL2261"/>
    <mergeCell ref="AN2261:AO2261"/>
    <mergeCell ref="AP2261:AQ2261"/>
    <mergeCell ref="A2262:A2263"/>
    <mergeCell ref="E2262:E2263"/>
    <mergeCell ref="F2262:H2262"/>
    <mergeCell ref="J2262:J2263"/>
    <mergeCell ref="K2262:L2263"/>
    <mergeCell ref="M2262:N2263"/>
    <mergeCell ref="O2262:P2263"/>
    <mergeCell ref="Q2262:R2263"/>
    <mergeCell ref="S2262:T2263"/>
    <mergeCell ref="U2262:V2263"/>
    <mergeCell ref="W2262:W2263"/>
    <mergeCell ref="X2262:AB2262"/>
    <mergeCell ref="AD2262:AI2262"/>
    <mergeCell ref="AJ2262:AL2262"/>
    <mergeCell ref="AN2262:AO2262"/>
    <mergeCell ref="AP2262:AQ2262"/>
    <mergeCell ref="AR2262:AS2263"/>
    <mergeCell ref="AT2262:AU2263"/>
    <mergeCell ref="AV2262:AW2263"/>
    <mergeCell ref="AX2262:AY2263"/>
    <mergeCell ref="AZ2262:AZ2263"/>
    <mergeCell ref="F2263:H2263"/>
    <mergeCell ref="X2263:AB2263"/>
    <mergeCell ref="AE2263:AI2263"/>
    <mergeCell ref="AJ2263:AL2263"/>
    <mergeCell ref="AN2263:AO2263"/>
    <mergeCell ref="AP2263:AQ2263"/>
    <mergeCell ref="A2252:A2253"/>
    <mergeCell ref="E2252:E2253"/>
    <mergeCell ref="F2252:H2252"/>
    <mergeCell ref="J2252:J2253"/>
    <mergeCell ref="K2252:L2253"/>
    <mergeCell ref="M2252:N2253"/>
    <mergeCell ref="O2252:P2253"/>
    <mergeCell ref="Q2252:R2253"/>
    <mergeCell ref="S2252:T2253"/>
    <mergeCell ref="U2252:V2253"/>
    <mergeCell ref="W2252:W2253"/>
    <mergeCell ref="X2252:AB2252"/>
    <mergeCell ref="AD2252:AI2252"/>
    <mergeCell ref="AJ2252:AL2252"/>
    <mergeCell ref="AN2252:AO2252"/>
    <mergeCell ref="AP2252:AQ2252"/>
    <mergeCell ref="AR2252:AS2253"/>
    <mergeCell ref="AT2252:AU2253"/>
    <mergeCell ref="AV2252:AW2253"/>
    <mergeCell ref="AX2252:AY2253"/>
    <mergeCell ref="AZ2252:AZ2253"/>
    <mergeCell ref="F2253:H2253"/>
    <mergeCell ref="X2253:AB2253"/>
    <mergeCell ref="AE2253:AI2253"/>
    <mergeCell ref="AJ2253:AL2253"/>
    <mergeCell ref="AN2253:AO2253"/>
    <mergeCell ref="AP2253:AQ2253"/>
    <mergeCell ref="A2258:A2259"/>
    <mergeCell ref="E2258:E2259"/>
    <mergeCell ref="F2258:H2258"/>
    <mergeCell ref="J2258:J2259"/>
    <mergeCell ref="K2258:L2259"/>
    <mergeCell ref="M2258:N2259"/>
    <mergeCell ref="O2258:P2259"/>
    <mergeCell ref="Q2258:R2259"/>
    <mergeCell ref="S2258:T2259"/>
    <mergeCell ref="U2258:V2259"/>
    <mergeCell ref="W2258:W2259"/>
    <mergeCell ref="X2258:AB2258"/>
    <mergeCell ref="AD2258:AI2258"/>
    <mergeCell ref="AJ2258:AL2258"/>
    <mergeCell ref="AN2258:AO2258"/>
    <mergeCell ref="AP2258:AQ2258"/>
    <mergeCell ref="AR2258:AS2259"/>
    <mergeCell ref="AT2258:AU2259"/>
    <mergeCell ref="AV2258:AW2259"/>
    <mergeCell ref="AX2258:AY2259"/>
    <mergeCell ref="AZ2258:AZ2259"/>
    <mergeCell ref="F2259:H2259"/>
    <mergeCell ref="X2259:AB2259"/>
    <mergeCell ref="AE2259:AI2259"/>
    <mergeCell ref="AJ2259:AL2259"/>
    <mergeCell ref="AN2259:AO2259"/>
    <mergeCell ref="AP2259:AQ2259"/>
    <mergeCell ref="W2256:W2257"/>
    <mergeCell ref="X2256:AB2256"/>
    <mergeCell ref="AD2256:AI2256"/>
    <mergeCell ref="AJ2256:AL2256"/>
    <mergeCell ref="AN2256:AO2256"/>
    <mergeCell ref="AP2256:AQ2256"/>
    <mergeCell ref="AR2256:AS2257"/>
    <mergeCell ref="AT2256:AU2257"/>
    <mergeCell ref="AV2256:AW2257"/>
    <mergeCell ref="AX2256:AY2257"/>
    <mergeCell ref="A2250:A2251"/>
    <mergeCell ref="E2250:E2251"/>
    <mergeCell ref="F2250:H2250"/>
    <mergeCell ref="J2250:J2251"/>
    <mergeCell ref="K2250:L2251"/>
    <mergeCell ref="M2250:N2251"/>
    <mergeCell ref="O2250:P2251"/>
    <mergeCell ref="Q2250:R2251"/>
    <mergeCell ref="S2250:T2251"/>
    <mergeCell ref="U2250:V2251"/>
    <mergeCell ref="W2250:W2251"/>
    <mergeCell ref="X2250:AB2250"/>
    <mergeCell ref="AD2250:AI2250"/>
    <mergeCell ref="AJ2250:AL2250"/>
    <mergeCell ref="AN2250:AO2250"/>
    <mergeCell ref="AP2250:AQ2250"/>
    <mergeCell ref="AR2250:AS2251"/>
    <mergeCell ref="AT2250:AU2251"/>
    <mergeCell ref="AV2250:AW2251"/>
    <mergeCell ref="AX2250:AY2251"/>
    <mergeCell ref="AZ2250:AZ2251"/>
    <mergeCell ref="F2251:H2251"/>
    <mergeCell ref="X2251:AB2251"/>
    <mergeCell ref="AE2251:AI2251"/>
    <mergeCell ref="AJ2251:AL2251"/>
    <mergeCell ref="AN2251:AO2251"/>
    <mergeCell ref="AP2251:AQ2251"/>
    <mergeCell ref="F1970:H1970"/>
    <mergeCell ref="J1970:J1971"/>
    <mergeCell ref="K1970:L1971"/>
    <mergeCell ref="M1970:N1971"/>
    <mergeCell ref="O1970:P1971"/>
    <mergeCell ref="Q1970:R1971"/>
    <mergeCell ref="S1970:T1971"/>
    <mergeCell ref="U1970:V1971"/>
    <mergeCell ref="W1970:W1971"/>
    <mergeCell ref="X1970:AB1970"/>
    <mergeCell ref="AD1970:AI1970"/>
    <mergeCell ref="AJ1970:AL1970"/>
    <mergeCell ref="AN1970:AO1970"/>
    <mergeCell ref="AP1970:AQ1970"/>
    <mergeCell ref="AR1970:AS1971"/>
    <mergeCell ref="AT1970:AU1971"/>
    <mergeCell ref="AV1970:AW1971"/>
    <mergeCell ref="AX1970:AY1971"/>
    <mergeCell ref="AZ1970:AZ1971"/>
    <mergeCell ref="F1971:H1971"/>
    <mergeCell ref="X1971:AB1971"/>
    <mergeCell ref="AE1971:AI1971"/>
    <mergeCell ref="AJ1971:AL1971"/>
    <mergeCell ref="AN1971:AO1971"/>
    <mergeCell ref="AP1971:AQ1971"/>
    <mergeCell ref="AE1973:AI1973"/>
    <mergeCell ref="AJ1973:AL1973"/>
    <mergeCell ref="AN1973:AO1973"/>
    <mergeCell ref="AP1973:AQ1973"/>
    <mergeCell ref="A1974:A1975"/>
    <mergeCell ref="E1974:E1975"/>
    <mergeCell ref="F1974:H1974"/>
    <mergeCell ref="J1974:J1975"/>
    <mergeCell ref="K1974:L1975"/>
    <mergeCell ref="M1974:N1975"/>
    <mergeCell ref="O1974:P1975"/>
    <mergeCell ref="Q1974:R1975"/>
    <mergeCell ref="A1968:A1969"/>
    <mergeCell ref="E1968:E1969"/>
    <mergeCell ref="F1968:H1968"/>
    <mergeCell ref="J1968:J1969"/>
    <mergeCell ref="K1968:L1969"/>
    <mergeCell ref="M1968:N1969"/>
    <mergeCell ref="O1968:P1969"/>
    <mergeCell ref="Q1968:R1969"/>
    <mergeCell ref="S1968:T1969"/>
    <mergeCell ref="U1968:V1969"/>
    <mergeCell ref="W1968:W1969"/>
    <mergeCell ref="X1968:AB1968"/>
    <mergeCell ref="AD1968:AI1968"/>
    <mergeCell ref="AJ1968:AL1968"/>
    <mergeCell ref="AN1968:AO1968"/>
    <mergeCell ref="AP1968:AQ1968"/>
    <mergeCell ref="AR1968:AS1969"/>
    <mergeCell ref="AT1968:AU1969"/>
    <mergeCell ref="AV1968:AW1969"/>
    <mergeCell ref="AX1968:AY1969"/>
    <mergeCell ref="AZ1968:AZ1969"/>
    <mergeCell ref="F1969:H1969"/>
    <mergeCell ref="X1969:AB1969"/>
    <mergeCell ref="AE1969:AI1969"/>
    <mergeCell ref="AJ1969:AL1969"/>
    <mergeCell ref="AN1969:AO1969"/>
    <mergeCell ref="AP1969:AQ1969"/>
    <mergeCell ref="J1972:J1973"/>
    <mergeCell ref="K1972:L1973"/>
    <mergeCell ref="M1972:N1973"/>
    <mergeCell ref="O1972:P1973"/>
    <mergeCell ref="Q1972:R1973"/>
    <mergeCell ref="S1972:T1973"/>
    <mergeCell ref="U1972:V1973"/>
    <mergeCell ref="W1972:W1973"/>
    <mergeCell ref="AV1972:AW1973"/>
    <mergeCell ref="AX1972:AY1973"/>
    <mergeCell ref="AZ1972:AZ1973"/>
    <mergeCell ref="F1973:H1973"/>
    <mergeCell ref="X1973:AB1973"/>
    <mergeCell ref="A1970:A1971"/>
    <mergeCell ref="E1970:E1971"/>
    <mergeCell ref="A1958:A1959"/>
    <mergeCell ref="E1958:E1959"/>
    <mergeCell ref="F1958:H1958"/>
    <mergeCell ref="J1958:J1959"/>
    <mergeCell ref="K1958:L1959"/>
    <mergeCell ref="M1958:N1959"/>
    <mergeCell ref="O1958:P1959"/>
    <mergeCell ref="Q1958:R1959"/>
    <mergeCell ref="S1958:T1959"/>
    <mergeCell ref="U1958:V1959"/>
    <mergeCell ref="W1958:W1959"/>
    <mergeCell ref="X1958:AB1958"/>
    <mergeCell ref="AD1958:AI1958"/>
    <mergeCell ref="AJ1958:AL1958"/>
    <mergeCell ref="AN1958:AO1958"/>
    <mergeCell ref="AP1958:AQ1958"/>
    <mergeCell ref="AR1958:AS1959"/>
    <mergeCell ref="AT1958:AU1959"/>
    <mergeCell ref="AV1958:AW1959"/>
    <mergeCell ref="AX1958:AY1959"/>
    <mergeCell ref="AZ1958:AZ1959"/>
    <mergeCell ref="F1959:H1959"/>
    <mergeCell ref="X1959:AB1959"/>
    <mergeCell ref="AE1959:AI1959"/>
    <mergeCell ref="AJ1959:AL1959"/>
    <mergeCell ref="AN1959:AO1959"/>
    <mergeCell ref="AP1959:AQ1959"/>
    <mergeCell ref="A1962:A1963"/>
    <mergeCell ref="E1962:E1963"/>
    <mergeCell ref="F1962:H1962"/>
    <mergeCell ref="J1962:J1963"/>
    <mergeCell ref="K1962:L1963"/>
    <mergeCell ref="M1962:N1963"/>
    <mergeCell ref="O1962:P1963"/>
    <mergeCell ref="Q1962:R1963"/>
    <mergeCell ref="S1962:T1963"/>
    <mergeCell ref="U1962:V1963"/>
    <mergeCell ref="W1962:W1963"/>
    <mergeCell ref="X1962:AB1962"/>
    <mergeCell ref="AD1962:AI1962"/>
    <mergeCell ref="AJ1962:AL1962"/>
    <mergeCell ref="AN1962:AO1962"/>
    <mergeCell ref="AP1962:AQ1962"/>
    <mergeCell ref="AR1962:AS1963"/>
    <mergeCell ref="AT1962:AU1963"/>
    <mergeCell ref="AV1962:AW1963"/>
    <mergeCell ref="AX1962:AY1963"/>
    <mergeCell ref="AZ1962:AZ1963"/>
    <mergeCell ref="F1963:H1963"/>
    <mergeCell ref="X1963:AB1963"/>
    <mergeCell ref="AE1963:AI1963"/>
    <mergeCell ref="AJ1963:AL1963"/>
    <mergeCell ref="AN1963:AO1963"/>
    <mergeCell ref="AP1963:AQ1963"/>
    <mergeCell ref="A1960:A1961"/>
    <mergeCell ref="E1960:E1961"/>
    <mergeCell ref="F1960:H1960"/>
    <mergeCell ref="J1960:J1961"/>
    <mergeCell ref="K1960:L1961"/>
    <mergeCell ref="M1960:N1961"/>
    <mergeCell ref="O1960:P1961"/>
    <mergeCell ref="Q1960:R1961"/>
    <mergeCell ref="S1960:T1961"/>
    <mergeCell ref="U1960:V1961"/>
    <mergeCell ref="A1954:A1955"/>
    <mergeCell ref="E1954:E1955"/>
    <mergeCell ref="F1954:H1954"/>
    <mergeCell ref="J1954:J1955"/>
    <mergeCell ref="K1954:L1955"/>
    <mergeCell ref="M1954:N1955"/>
    <mergeCell ref="O1954:P1955"/>
    <mergeCell ref="Q1954:R1955"/>
    <mergeCell ref="S1954:T1955"/>
    <mergeCell ref="U1954:V1955"/>
    <mergeCell ref="W1954:W1955"/>
    <mergeCell ref="X1954:AB1954"/>
    <mergeCell ref="AD1954:AI1954"/>
    <mergeCell ref="AJ1954:AL1954"/>
    <mergeCell ref="AN1954:AO1954"/>
    <mergeCell ref="AP1954:AQ1954"/>
    <mergeCell ref="AR1954:AS1955"/>
    <mergeCell ref="AT1954:AU1955"/>
    <mergeCell ref="AV1954:AW1955"/>
    <mergeCell ref="AX1954:AY1955"/>
    <mergeCell ref="AZ1954:AZ1955"/>
    <mergeCell ref="F1955:H1955"/>
    <mergeCell ref="X1955:AB1955"/>
    <mergeCell ref="AE1955:AI1955"/>
    <mergeCell ref="AJ1955:AL1955"/>
    <mergeCell ref="AN1955:AO1955"/>
    <mergeCell ref="AP1955:AQ1955"/>
    <mergeCell ref="A1956:A1957"/>
    <mergeCell ref="E1956:E1957"/>
    <mergeCell ref="F1956:H1956"/>
    <mergeCell ref="J1956:J1957"/>
    <mergeCell ref="K1956:L1957"/>
    <mergeCell ref="M1956:N1957"/>
    <mergeCell ref="O1956:P1957"/>
    <mergeCell ref="Q1956:R1957"/>
    <mergeCell ref="S1956:T1957"/>
    <mergeCell ref="U1956:V1957"/>
    <mergeCell ref="W1956:W1957"/>
    <mergeCell ref="X1956:AB1956"/>
    <mergeCell ref="AD1956:AI1956"/>
    <mergeCell ref="AJ1956:AL1956"/>
    <mergeCell ref="AN1956:AO1956"/>
    <mergeCell ref="AP1956:AQ1956"/>
    <mergeCell ref="AR1956:AS1957"/>
    <mergeCell ref="AT1956:AU1957"/>
    <mergeCell ref="AV1956:AW1957"/>
    <mergeCell ref="AX1956:AY1957"/>
    <mergeCell ref="AZ1956:AZ1957"/>
    <mergeCell ref="F1957:H1957"/>
    <mergeCell ref="X1957:AB1957"/>
    <mergeCell ref="AE1957:AI1957"/>
    <mergeCell ref="AJ1957:AL1957"/>
    <mergeCell ref="AN1957:AO1957"/>
    <mergeCell ref="AP1957:AQ1957"/>
    <mergeCell ref="A1950:A1951"/>
    <mergeCell ref="E1950:E1951"/>
    <mergeCell ref="F1950:H1950"/>
    <mergeCell ref="J1950:J1951"/>
    <mergeCell ref="K1950:L1951"/>
    <mergeCell ref="M1950:N1951"/>
    <mergeCell ref="O1950:P1951"/>
    <mergeCell ref="Q1950:R1951"/>
    <mergeCell ref="S1950:T1951"/>
    <mergeCell ref="U1950:V1951"/>
    <mergeCell ref="W1950:W1951"/>
    <mergeCell ref="X1950:AB1950"/>
    <mergeCell ref="AD1950:AI1950"/>
    <mergeCell ref="AJ1950:AL1950"/>
    <mergeCell ref="AN1950:AO1950"/>
    <mergeCell ref="AP1950:AQ1950"/>
    <mergeCell ref="AR1950:AS1951"/>
    <mergeCell ref="AT1950:AU1951"/>
    <mergeCell ref="AV1950:AW1951"/>
    <mergeCell ref="AX1950:AY1951"/>
    <mergeCell ref="AZ1950:AZ1951"/>
    <mergeCell ref="F1951:H1951"/>
    <mergeCell ref="X1951:AB1951"/>
    <mergeCell ref="AE1951:AI1951"/>
    <mergeCell ref="AJ1951:AL1951"/>
    <mergeCell ref="AN1951:AO1951"/>
    <mergeCell ref="AP1951:AQ1951"/>
    <mergeCell ref="A1952:A1953"/>
    <mergeCell ref="E1952:E1953"/>
    <mergeCell ref="F1952:H1952"/>
    <mergeCell ref="J1952:J1953"/>
    <mergeCell ref="K1952:L1953"/>
    <mergeCell ref="M1952:N1953"/>
    <mergeCell ref="O1952:P1953"/>
    <mergeCell ref="Q1952:R1953"/>
    <mergeCell ref="S1952:T1953"/>
    <mergeCell ref="U1952:V1953"/>
    <mergeCell ref="W1952:W1953"/>
    <mergeCell ref="X1952:AB1952"/>
    <mergeCell ref="AD1952:AI1952"/>
    <mergeCell ref="AJ1952:AL1952"/>
    <mergeCell ref="AN1952:AO1952"/>
    <mergeCell ref="AP1952:AQ1952"/>
    <mergeCell ref="AR1952:AS1953"/>
    <mergeCell ref="AT1952:AU1953"/>
    <mergeCell ref="AV1952:AW1953"/>
    <mergeCell ref="AX1952:AY1953"/>
    <mergeCell ref="AZ1952:AZ1953"/>
    <mergeCell ref="F1953:H1953"/>
    <mergeCell ref="X1953:AB1953"/>
    <mergeCell ref="AE1953:AI1953"/>
    <mergeCell ref="AJ1953:AL1953"/>
    <mergeCell ref="AN1953:AO1953"/>
    <mergeCell ref="AP1953:AQ1953"/>
    <mergeCell ref="A1946:A1947"/>
    <mergeCell ref="E1946:E1947"/>
    <mergeCell ref="F1946:H1946"/>
    <mergeCell ref="J1946:J1947"/>
    <mergeCell ref="K1946:L1947"/>
    <mergeCell ref="M1946:N1947"/>
    <mergeCell ref="O1946:P1947"/>
    <mergeCell ref="Q1946:R1947"/>
    <mergeCell ref="S1946:T1947"/>
    <mergeCell ref="U1946:V1947"/>
    <mergeCell ref="W1946:W1947"/>
    <mergeCell ref="X1946:AB1946"/>
    <mergeCell ref="AD1946:AI1946"/>
    <mergeCell ref="AJ1946:AL1946"/>
    <mergeCell ref="AN1946:AO1946"/>
    <mergeCell ref="AP1946:AQ1946"/>
    <mergeCell ref="AR1946:AS1947"/>
    <mergeCell ref="AT1946:AU1947"/>
    <mergeCell ref="AV1946:AW1947"/>
    <mergeCell ref="AX1946:AY1947"/>
    <mergeCell ref="AZ1946:AZ1947"/>
    <mergeCell ref="F1947:H1947"/>
    <mergeCell ref="X1947:AB1947"/>
    <mergeCell ref="AE1947:AI1947"/>
    <mergeCell ref="AJ1947:AL1947"/>
    <mergeCell ref="AN1947:AO1947"/>
    <mergeCell ref="AP1947:AQ1947"/>
    <mergeCell ref="A1948:A1949"/>
    <mergeCell ref="E1948:E1949"/>
    <mergeCell ref="F1948:H1948"/>
    <mergeCell ref="J1948:J1949"/>
    <mergeCell ref="K1948:L1949"/>
    <mergeCell ref="M1948:N1949"/>
    <mergeCell ref="O1948:P1949"/>
    <mergeCell ref="Q1948:R1949"/>
    <mergeCell ref="S1948:T1949"/>
    <mergeCell ref="U1948:V1949"/>
    <mergeCell ref="W1948:W1949"/>
    <mergeCell ref="X1948:AB1948"/>
    <mergeCell ref="AD1948:AI1948"/>
    <mergeCell ref="AJ1948:AL1948"/>
    <mergeCell ref="AN1948:AO1948"/>
    <mergeCell ref="AP1948:AQ1948"/>
    <mergeCell ref="AR1948:AS1949"/>
    <mergeCell ref="AT1948:AU1949"/>
    <mergeCell ref="AV1948:AW1949"/>
    <mergeCell ref="AX1948:AY1949"/>
    <mergeCell ref="AZ1948:AZ1949"/>
    <mergeCell ref="F1949:H1949"/>
    <mergeCell ref="X1949:AB1949"/>
    <mergeCell ref="AE1949:AI1949"/>
    <mergeCell ref="AJ1949:AL1949"/>
    <mergeCell ref="AN1949:AO1949"/>
    <mergeCell ref="AP1949:AQ1949"/>
    <mergeCell ref="A1942:A1943"/>
    <mergeCell ref="E1942:E1943"/>
    <mergeCell ref="F1942:H1942"/>
    <mergeCell ref="J1942:J1943"/>
    <mergeCell ref="K1942:L1943"/>
    <mergeCell ref="M1942:N1943"/>
    <mergeCell ref="O1942:P1943"/>
    <mergeCell ref="Q1942:R1943"/>
    <mergeCell ref="S1942:T1943"/>
    <mergeCell ref="U1942:V1943"/>
    <mergeCell ref="W1942:W1943"/>
    <mergeCell ref="X1942:AB1942"/>
    <mergeCell ref="AD1942:AI1942"/>
    <mergeCell ref="AJ1942:AL1942"/>
    <mergeCell ref="AN1942:AO1942"/>
    <mergeCell ref="AP1942:AQ1942"/>
    <mergeCell ref="AR1942:AS1943"/>
    <mergeCell ref="AT1942:AU1943"/>
    <mergeCell ref="AV1942:AW1943"/>
    <mergeCell ref="AX1942:AY1943"/>
    <mergeCell ref="AZ1942:AZ1943"/>
    <mergeCell ref="F1943:H1943"/>
    <mergeCell ref="X1943:AB1943"/>
    <mergeCell ref="AE1943:AI1943"/>
    <mergeCell ref="AJ1943:AL1943"/>
    <mergeCell ref="AN1943:AO1943"/>
    <mergeCell ref="AP1943:AQ1943"/>
    <mergeCell ref="A1944:A1945"/>
    <mergeCell ref="E1944:E1945"/>
    <mergeCell ref="F1944:H1944"/>
    <mergeCell ref="J1944:J1945"/>
    <mergeCell ref="K1944:L1945"/>
    <mergeCell ref="M1944:N1945"/>
    <mergeCell ref="O1944:P1945"/>
    <mergeCell ref="Q1944:R1945"/>
    <mergeCell ref="S1944:T1945"/>
    <mergeCell ref="U1944:V1945"/>
    <mergeCell ref="W1944:W1945"/>
    <mergeCell ref="X1944:AB1944"/>
    <mergeCell ref="AD1944:AI1944"/>
    <mergeCell ref="AJ1944:AL1944"/>
    <mergeCell ref="AN1944:AO1944"/>
    <mergeCell ref="AP1944:AQ1944"/>
    <mergeCell ref="AR1944:AS1945"/>
    <mergeCell ref="AT1944:AU1945"/>
    <mergeCell ref="AV1944:AW1945"/>
    <mergeCell ref="AX1944:AY1945"/>
    <mergeCell ref="AZ1944:AZ1945"/>
    <mergeCell ref="F1945:H1945"/>
    <mergeCell ref="X1945:AB1945"/>
    <mergeCell ref="AE1945:AI1945"/>
    <mergeCell ref="AJ1945:AL1945"/>
    <mergeCell ref="AN1945:AO1945"/>
    <mergeCell ref="AP1945:AQ1945"/>
    <mergeCell ref="A1938:A1939"/>
    <mergeCell ref="E1938:E1939"/>
    <mergeCell ref="F1938:H1938"/>
    <mergeCell ref="J1938:J1939"/>
    <mergeCell ref="K1938:L1939"/>
    <mergeCell ref="M1938:N1939"/>
    <mergeCell ref="O1938:P1939"/>
    <mergeCell ref="Q1938:R1939"/>
    <mergeCell ref="S1938:T1939"/>
    <mergeCell ref="U1938:V1939"/>
    <mergeCell ref="W1938:W1939"/>
    <mergeCell ref="X1938:AB1938"/>
    <mergeCell ref="AD1938:AI1938"/>
    <mergeCell ref="AJ1938:AL1938"/>
    <mergeCell ref="AN1938:AO1938"/>
    <mergeCell ref="AP1938:AQ1938"/>
    <mergeCell ref="AR1938:AS1939"/>
    <mergeCell ref="AT1938:AU1939"/>
    <mergeCell ref="AV1938:AW1939"/>
    <mergeCell ref="AX1938:AY1939"/>
    <mergeCell ref="AZ1938:AZ1939"/>
    <mergeCell ref="F1939:H1939"/>
    <mergeCell ref="X1939:AB1939"/>
    <mergeCell ref="AE1939:AI1939"/>
    <mergeCell ref="AJ1939:AL1939"/>
    <mergeCell ref="AN1939:AO1939"/>
    <mergeCell ref="AP1939:AQ1939"/>
    <mergeCell ref="A1940:A1941"/>
    <mergeCell ref="E1940:E1941"/>
    <mergeCell ref="F1940:H1940"/>
    <mergeCell ref="J1940:J1941"/>
    <mergeCell ref="K1940:L1941"/>
    <mergeCell ref="M1940:N1941"/>
    <mergeCell ref="O1940:P1941"/>
    <mergeCell ref="Q1940:R1941"/>
    <mergeCell ref="S1940:T1941"/>
    <mergeCell ref="U1940:V1941"/>
    <mergeCell ref="W1940:W1941"/>
    <mergeCell ref="X1940:AB1940"/>
    <mergeCell ref="AD1940:AI1940"/>
    <mergeCell ref="AJ1940:AL1940"/>
    <mergeCell ref="AN1940:AO1940"/>
    <mergeCell ref="AP1940:AQ1940"/>
    <mergeCell ref="AR1940:AS1941"/>
    <mergeCell ref="AT1940:AU1941"/>
    <mergeCell ref="AV1940:AW1941"/>
    <mergeCell ref="AX1940:AY1941"/>
    <mergeCell ref="AZ1940:AZ1941"/>
    <mergeCell ref="F1941:H1941"/>
    <mergeCell ref="X1941:AB1941"/>
    <mergeCell ref="AE1941:AI1941"/>
    <mergeCell ref="AJ1941:AL1941"/>
    <mergeCell ref="AN1941:AO1941"/>
    <mergeCell ref="AP1941:AQ1941"/>
    <mergeCell ref="A1934:A1935"/>
    <mergeCell ref="E1934:E1935"/>
    <mergeCell ref="F1934:H1934"/>
    <mergeCell ref="J1934:J1935"/>
    <mergeCell ref="K1934:L1935"/>
    <mergeCell ref="M1934:N1935"/>
    <mergeCell ref="O1934:P1935"/>
    <mergeCell ref="Q1934:R1935"/>
    <mergeCell ref="S1934:T1935"/>
    <mergeCell ref="U1934:V1935"/>
    <mergeCell ref="W1934:W1935"/>
    <mergeCell ref="X1934:AB1934"/>
    <mergeCell ref="AD1934:AI1934"/>
    <mergeCell ref="AJ1934:AL1934"/>
    <mergeCell ref="AN1934:AO1934"/>
    <mergeCell ref="AP1934:AQ1934"/>
    <mergeCell ref="AR1934:AS1935"/>
    <mergeCell ref="AT1934:AU1935"/>
    <mergeCell ref="AV1934:AW1935"/>
    <mergeCell ref="AX1934:AY1935"/>
    <mergeCell ref="AZ1934:AZ1935"/>
    <mergeCell ref="F1935:H1935"/>
    <mergeCell ref="X1935:AB1935"/>
    <mergeCell ref="AE1935:AI1935"/>
    <mergeCell ref="AJ1935:AL1935"/>
    <mergeCell ref="AN1935:AO1935"/>
    <mergeCell ref="AP1935:AQ1935"/>
    <mergeCell ref="A1936:A1937"/>
    <mergeCell ref="E1936:E1937"/>
    <mergeCell ref="F1936:H1936"/>
    <mergeCell ref="J1936:J1937"/>
    <mergeCell ref="K1936:L1937"/>
    <mergeCell ref="M1936:N1937"/>
    <mergeCell ref="O1936:P1937"/>
    <mergeCell ref="Q1936:R1937"/>
    <mergeCell ref="S1936:T1937"/>
    <mergeCell ref="U1936:V1937"/>
    <mergeCell ref="W1936:W1937"/>
    <mergeCell ref="X1936:AB1936"/>
    <mergeCell ref="AD1936:AI1936"/>
    <mergeCell ref="AJ1936:AL1936"/>
    <mergeCell ref="AN1936:AO1936"/>
    <mergeCell ref="AP1936:AQ1936"/>
    <mergeCell ref="AR1936:AS1937"/>
    <mergeCell ref="AT1936:AU1937"/>
    <mergeCell ref="AV1936:AW1937"/>
    <mergeCell ref="AX1936:AY1937"/>
    <mergeCell ref="AZ1936:AZ1937"/>
    <mergeCell ref="F1937:H1937"/>
    <mergeCell ref="X1937:AB1937"/>
    <mergeCell ref="AE1937:AI1937"/>
    <mergeCell ref="AJ1937:AL1937"/>
    <mergeCell ref="AN1937:AO1937"/>
    <mergeCell ref="AP1937:AQ1937"/>
    <mergeCell ref="A1930:A1931"/>
    <mergeCell ref="E1930:E1931"/>
    <mergeCell ref="F1930:H1930"/>
    <mergeCell ref="J1930:J1931"/>
    <mergeCell ref="K1930:L1931"/>
    <mergeCell ref="M1930:N1931"/>
    <mergeCell ref="O1930:P1931"/>
    <mergeCell ref="Q1930:R1931"/>
    <mergeCell ref="S1930:T1931"/>
    <mergeCell ref="U1930:V1931"/>
    <mergeCell ref="W1930:W1931"/>
    <mergeCell ref="X1930:AB1930"/>
    <mergeCell ref="AD1930:AI1930"/>
    <mergeCell ref="AJ1930:AL1930"/>
    <mergeCell ref="AN1930:AO1930"/>
    <mergeCell ref="AP1930:AQ1930"/>
    <mergeCell ref="AR1930:AS1931"/>
    <mergeCell ref="AT1930:AU1931"/>
    <mergeCell ref="AV1930:AW1931"/>
    <mergeCell ref="AX1930:AY1931"/>
    <mergeCell ref="AZ1930:AZ1931"/>
    <mergeCell ref="F1931:H1931"/>
    <mergeCell ref="X1931:AB1931"/>
    <mergeCell ref="AE1931:AI1931"/>
    <mergeCell ref="AJ1931:AL1931"/>
    <mergeCell ref="AN1931:AO1931"/>
    <mergeCell ref="AP1931:AQ1931"/>
    <mergeCell ref="A1932:A1933"/>
    <mergeCell ref="E1932:E1933"/>
    <mergeCell ref="F1932:H1932"/>
    <mergeCell ref="J1932:J1933"/>
    <mergeCell ref="K1932:L1933"/>
    <mergeCell ref="M1932:N1933"/>
    <mergeCell ref="O1932:P1933"/>
    <mergeCell ref="Q1932:R1933"/>
    <mergeCell ref="S1932:T1933"/>
    <mergeCell ref="U1932:V1933"/>
    <mergeCell ref="W1932:W1933"/>
    <mergeCell ref="X1932:AB1932"/>
    <mergeCell ref="AD1932:AI1932"/>
    <mergeCell ref="AJ1932:AL1932"/>
    <mergeCell ref="AN1932:AO1932"/>
    <mergeCell ref="AP1932:AQ1932"/>
    <mergeCell ref="AR1932:AS1933"/>
    <mergeCell ref="AT1932:AU1933"/>
    <mergeCell ref="AV1932:AW1933"/>
    <mergeCell ref="AX1932:AY1933"/>
    <mergeCell ref="AZ1932:AZ1933"/>
    <mergeCell ref="F1933:H1933"/>
    <mergeCell ref="X1933:AB1933"/>
    <mergeCell ref="AE1933:AI1933"/>
    <mergeCell ref="AJ1933:AL1933"/>
    <mergeCell ref="AN1933:AO1933"/>
    <mergeCell ref="AP1933:AQ1933"/>
    <mergeCell ref="A1926:A1927"/>
    <mergeCell ref="E1926:E1927"/>
    <mergeCell ref="F1926:H1926"/>
    <mergeCell ref="J1926:J1927"/>
    <mergeCell ref="K1926:L1927"/>
    <mergeCell ref="M1926:N1927"/>
    <mergeCell ref="O1926:P1927"/>
    <mergeCell ref="Q1926:R1927"/>
    <mergeCell ref="S1926:T1927"/>
    <mergeCell ref="U1926:V1927"/>
    <mergeCell ref="W1926:W1927"/>
    <mergeCell ref="X1926:AB1926"/>
    <mergeCell ref="AD1926:AI1926"/>
    <mergeCell ref="AJ1926:AL1926"/>
    <mergeCell ref="AN1926:AO1926"/>
    <mergeCell ref="AP1926:AQ1926"/>
    <mergeCell ref="AR1926:AS1927"/>
    <mergeCell ref="AT1926:AU1927"/>
    <mergeCell ref="AV1926:AW1927"/>
    <mergeCell ref="AX1926:AY1927"/>
    <mergeCell ref="AZ1926:AZ1927"/>
    <mergeCell ref="F1927:H1927"/>
    <mergeCell ref="X1927:AB1927"/>
    <mergeCell ref="AE1927:AI1927"/>
    <mergeCell ref="AJ1927:AL1927"/>
    <mergeCell ref="AN1927:AO1927"/>
    <mergeCell ref="AP1927:AQ1927"/>
    <mergeCell ref="A1928:A1929"/>
    <mergeCell ref="E1928:E1929"/>
    <mergeCell ref="F1928:H1928"/>
    <mergeCell ref="J1928:J1929"/>
    <mergeCell ref="K1928:L1929"/>
    <mergeCell ref="M1928:N1929"/>
    <mergeCell ref="O1928:P1929"/>
    <mergeCell ref="Q1928:R1929"/>
    <mergeCell ref="S1928:T1929"/>
    <mergeCell ref="U1928:V1929"/>
    <mergeCell ref="W1928:W1929"/>
    <mergeCell ref="X1928:AB1928"/>
    <mergeCell ref="AD1928:AI1928"/>
    <mergeCell ref="AJ1928:AL1928"/>
    <mergeCell ref="AN1928:AO1928"/>
    <mergeCell ref="AP1928:AQ1928"/>
    <mergeCell ref="AR1928:AS1929"/>
    <mergeCell ref="AT1928:AU1929"/>
    <mergeCell ref="AV1928:AW1929"/>
    <mergeCell ref="AX1928:AY1929"/>
    <mergeCell ref="AZ1928:AZ1929"/>
    <mergeCell ref="F1929:H1929"/>
    <mergeCell ref="X1929:AB1929"/>
    <mergeCell ref="AE1929:AI1929"/>
    <mergeCell ref="AJ1929:AL1929"/>
    <mergeCell ref="AN1929:AO1929"/>
    <mergeCell ref="AP1929:AQ1929"/>
    <mergeCell ref="A1922:A1923"/>
    <mergeCell ref="E1922:E1923"/>
    <mergeCell ref="F1922:H1922"/>
    <mergeCell ref="J1922:J1923"/>
    <mergeCell ref="K1922:L1923"/>
    <mergeCell ref="M1922:N1923"/>
    <mergeCell ref="O1922:P1923"/>
    <mergeCell ref="Q1922:R1923"/>
    <mergeCell ref="S1922:T1923"/>
    <mergeCell ref="U1922:V1923"/>
    <mergeCell ref="W1922:W1923"/>
    <mergeCell ref="X1922:AB1922"/>
    <mergeCell ref="AD1922:AI1922"/>
    <mergeCell ref="AJ1922:AL1922"/>
    <mergeCell ref="AN1922:AO1922"/>
    <mergeCell ref="AP1922:AQ1922"/>
    <mergeCell ref="AR1922:AS1923"/>
    <mergeCell ref="AT1922:AU1923"/>
    <mergeCell ref="AV1922:AW1923"/>
    <mergeCell ref="AX1922:AY1923"/>
    <mergeCell ref="AZ1922:AZ1923"/>
    <mergeCell ref="F1923:H1923"/>
    <mergeCell ref="X1923:AB1923"/>
    <mergeCell ref="AE1923:AI1923"/>
    <mergeCell ref="AJ1923:AL1923"/>
    <mergeCell ref="AN1923:AO1923"/>
    <mergeCell ref="AP1923:AQ1923"/>
    <mergeCell ref="A1924:A1925"/>
    <mergeCell ref="E1924:E1925"/>
    <mergeCell ref="F1924:H1924"/>
    <mergeCell ref="J1924:J1925"/>
    <mergeCell ref="K1924:L1925"/>
    <mergeCell ref="M1924:N1925"/>
    <mergeCell ref="O1924:P1925"/>
    <mergeCell ref="Q1924:R1925"/>
    <mergeCell ref="S1924:T1925"/>
    <mergeCell ref="U1924:V1925"/>
    <mergeCell ref="W1924:W1925"/>
    <mergeCell ref="X1924:AB1924"/>
    <mergeCell ref="AD1924:AI1924"/>
    <mergeCell ref="AJ1924:AL1924"/>
    <mergeCell ref="AN1924:AO1924"/>
    <mergeCell ref="AP1924:AQ1924"/>
    <mergeCell ref="AR1924:AS1925"/>
    <mergeCell ref="AT1924:AU1925"/>
    <mergeCell ref="AV1924:AW1925"/>
    <mergeCell ref="AX1924:AY1925"/>
    <mergeCell ref="AZ1924:AZ1925"/>
    <mergeCell ref="F1925:H1925"/>
    <mergeCell ref="X1925:AB1925"/>
    <mergeCell ref="AE1925:AI1925"/>
    <mergeCell ref="AJ1925:AL1925"/>
    <mergeCell ref="AN1925:AO1925"/>
    <mergeCell ref="AP1925:AQ1925"/>
    <mergeCell ref="A1918:A1919"/>
    <mergeCell ref="E1918:E1919"/>
    <mergeCell ref="F1918:H1918"/>
    <mergeCell ref="J1918:J1919"/>
    <mergeCell ref="K1918:L1919"/>
    <mergeCell ref="M1918:N1919"/>
    <mergeCell ref="O1918:P1919"/>
    <mergeCell ref="Q1918:R1919"/>
    <mergeCell ref="S1918:T1919"/>
    <mergeCell ref="U1918:V1919"/>
    <mergeCell ref="W1918:W1919"/>
    <mergeCell ref="X1918:AB1918"/>
    <mergeCell ref="AD1918:AI1918"/>
    <mergeCell ref="AJ1918:AL1918"/>
    <mergeCell ref="AN1918:AO1918"/>
    <mergeCell ref="AP1918:AQ1918"/>
    <mergeCell ref="AR1918:AS1919"/>
    <mergeCell ref="AT1918:AU1919"/>
    <mergeCell ref="AV1918:AW1919"/>
    <mergeCell ref="AX1918:AY1919"/>
    <mergeCell ref="AZ1918:AZ1919"/>
    <mergeCell ref="F1919:H1919"/>
    <mergeCell ref="X1919:AB1919"/>
    <mergeCell ref="AE1919:AI1919"/>
    <mergeCell ref="AJ1919:AL1919"/>
    <mergeCell ref="AN1919:AO1919"/>
    <mergeCell ref="AP1919:AQ1919"/>
    <mergeCell ref="A1920:A1921"/>
    <mergeCell ref="E1920:E1921"/>
    <mergeCell ref="F1920:H1920"/>
    <mergeCell ref="J1920:J1921"/>
    <mergeCell ref="K1920:L1921"/>
    <mergeCell ref="M1920:N1921"/>
    <mergeCell ref="O1920:P1921"/>
    <mergeCell ref="Q1920:R1921"/>
    <mergeCell ref="S1920:T1921"/>
    <mergeCell ref="U1920:V1921"/>
    <mergeCell ref="W1920:W1921"/>
    <mergeCell ref="X1920:AB1920"/>
    <mergeCell ref="AD1920:AI1920"/>
    <mergeCell ref="AJ1920:AL1920"/>
    <mergeCell ref="AN1920:AO1920"/>
    <mergeCell ref="AP1920:AQ1920"/>
    <mergeCell ref="AR1920:AS1921"/>
    <mergeCell ref="AT1920:AU1921"/>
    <mergeCell ref="AV1920:AW1921"/>
    <mergeCell ref="AX1920:AY1921"/>
    <mergeCell ref="AZ1920:AZ1921"/>
    <mergeCell ref="F1921:H1921"/>
    <mergeCell ref="X1921:AB1921"/>
    <mergeCell ref="AE1921:AI1921"/>
    <mergeCell ref="AJ1921:AL1921"/>
    <mergeCell ref="AN1921:AO1921"/>
    <mergeCell ref="AP1921:AQ1921"/>
    <mergeCell ref="A1914:A1915"/>
    <mergeCell ref="E1914:E1915"/>
    <mergeCell ref="F1914:H1914"/>
    <mergeCell ref="J1914:J1915"/>
    <mergeCell ref="K1914:L1915"/>
    <mergeCell ref="M1914:N1915"/>
    <mergeCell ref="O1914:P1915"/>
    <mergeCell ref="Q1914:R1915"/>
    <mergeCell ref="S1914:T1915"/>
    <mergeCell ref="U1914:V1915"/>
    <mergeCell ref="W1914:W1915"/>
    <mergeCell ref="X1914:AB1914"/>
    <mergeCell ref="AD1914:AI1914"/>
    <mergeCell ref="AJ1914:AL1914"/>
    <mergeCell ref="AN1914:AO1914"/>
    <mergeCell ref="AP1914:AQ1914"/>
    <mergeCell ref="AR1914:AS1915"/>
    <mergeCell ref="AT1914:AU1915"/>
    <mergeCell ref="AV1914:AW1915"/>
    <mergeCell ref="AX1914:AY1915"/>
    <mergeCell ref="AZ1914:AZ1915"/>
    <mergeCell ref="F1915:H1915"/>
    <mergeCell ref="X1915:AB1915"/>
    <mergeCell ref="AE1915:AI1915"/>
    <mergeCell ref="AJ1915:AL1915"/>
    <mergeCell ref="AN1915:AO1915"/>
    <mergeCell ref="AP1915:AQ1915"/>
    <mergeCell ref="A1916:A1917"/>
    <mergeCell ref="E1916:E1917"/>
    <mergeCell ref="F1916:H1916"/>
    <mergeCell ref="J1916:J1917"/>
    <mergeCell ref="K1916:L1917"/>
    <mergeCell ref="M1916:N1917"/>
    <mergeCell ref="O1916:P1917"/>
    <mergeCell ref="Q1916:R1917"/>
    <mergeCell ref="S1916:T1917"/>
    <mergeCell ref="U1916:V1917"/>
    <mergeCell ref="W1916:W1917"/>
    <mergeCell ref="X1916:AB1916"/>
    <mergeCell ref="AD1916:AI1916"/>
    <mergeCell ref="AJ1916:AL1916"/>
    <mergeCell ref="AN1916:AO1916"/>
    <mergeCell ref="AP1916:AQ1916"/>
    <mergeCell ref="AR1916:AS1917"/>
    <mergeCell ref="AT1916:AU1917"/>
    <mergeCell ref="AV1916:AW1917"/>
    <mergeCell ref="AX1916:AY1917"/>
    <mergeCell ref="AZ1916:AZ1917"/>
    <mergeCell ref="F1917:H1917"/>
    <mergeCell ref="X1917:AB1917"/>
    <mergeCell ref="AE1917:AI1917"/>
    <mergeCell ref="AJ1917:AL1917"/>
    <mergeCell ref="AN1917:AO1917"/>
    <mergeCell ref="AP1917:AQ1917"/>
    <mergeCell ref="A1910:A1911"/>
    <mergeCell ref="E1910:E1911"/>
    <mergeCell ref="F1910:H1910"/>
    <mergeCell ref="J1910:J1911"/>
    <mergeCell ref="K1910:L1911"/>
    <mergeCell ref="M1910:N1911"/>
    <mergeCell ref="O1910:P1911"/>
    <mergeCell ref="Q1910:R1911"/>
    <mergeCell ref="S1910:T1911"/>
    <mergeCell ref="U1910:V1911"/>
    <mergeCell ref="W1910:W1911"/>
    <mergeCell ref="X1910:AB1910"/>
    <mergeCell ref="AD1910:AI1910"/>
    <mergeCell ref="AJ1910:AL1910"/>
    <mergeCell ref="AN1910:AO1910"/>
    <mergeCell ref="AP1910:AQ1910"/>
    <mergeCell ref="AR1910:AS1911"/>
    <mergeCell ref="AT1910:AU1911"/>
    <mergeCell ref="AV1910:AW1911"/>
    <mergeCell ref="AX1910:AY1911"/>
    <mergeCell ref="AZ1910:AZ1911"/>
    <mergeCell ref="F1911:H1911"/>
    <mergeCell ref="X1911:AB1911"/>
    <mergeCell ref="AE1911:AI1911"/>
    <mergeCell ref="AJ1911:AL1911"/>
    <mergeCell ref="AN1911:AO1911"/>
    <mergeCell ref="AP1911:AQ1911"/>
    <mergeCell ref="A1912:A1913"/>
    <mergeCell ref="E1912:E1913"/>
    <mergeCell ref="F1912:H1912"/>
    <mergeCell ref="J1912:J1913"/>
    <mergeCell ref="K1912:L1913"/>
    <mergeCell ref="M1912:N1913"/>
    <mergeCell ref="O1912:P1913"/>
    <mergeCell ref="Q1912:R1913"/>
    <mergeCell ref="S1912:T1913"/>
    <mergeCell ref="U1912:V1913"/>
    <mergeCell ref="W1912:W1913"/>
    <mergeCell ref="X1912:AB1912"/>
    <mergeCell ref="AD1912:AI1912"/>
    <mergeCell ref="AJ1912:AL1912"/>
    <mergeCell ref="AN1912:AO1912"/>
    <mergeCell ref="AP1912:AQ1912"/>
    <mergeCell ref="AR1912:AS1913"/>
    <mergeCell ref="AT1912:AU1913"/>
    <mergeCell ref="AV1912:AW1913"/>
    <mergeCell ref="AX1912:AY1913"/>
    <mergeCell ref="AZ1912:AZ1913"/>
    <mergeCell ref="F1913:H1913"/>
    <mergeCell ref="X1913:AB1913"/>
    <mergeCell ref="AE1913:AI1913"/>
    <mergeCell ref="AJ1913:AL1913"/>
    <mergeCell ref="AN1913:AO1913"/>
    <mergeCell ref="AP1913:AQ1913"/>
    <mergeCell ref="A1906:A1907"/>
    <mergeCell ref="E1906:E1907"/>
    <mergeCell ref="F1906:H1906"/>
    <mergeCell ref="J1906:J1907"/>
    <mergeCell ref="K1906:L1907"/>
    <mergeCell ref="M1906:N1907"/>
    <mergeCell ref="O1906:P1907"/>
    <mergeCell ref="Q1906:R1907"/>
    <mergeCell ref="S1906:T1907"/>
    <mergeCell ref="U1906:V1907"/>
    <mergeCell ref="W1906:W1907"/>
    <mergeCell ref="X1906:AB1906"/>
    <mergeCell ref="AD1906:AI1906"/>
    <mergeCell ref="AJ1906:AL1906"/>
    <mergeCell ref="AN1906:AO1906"/>
    <mergeCell ref="AP1906:AQ1906"/>
    <mergeCell ref="AR1906:AS1907"/>
    <mergeCell ref="AT1906:AU1907"/>
    <mergeCell ref="AV1906:AW1907"/>
    <mergeCell ref="AX1906:AY1907"/>
    <mergeCell ref="AZ1906:AZ1907"/>
    <mergeCell ref="F1907:H1907"/>
    <mergeCell ref="X1907:AB1907"/>
    <mergeCell ref="AE1907:AI1907"/>
    <mergeCell ref="AJ1907:AL1907"/>
    <mergeCell ref="AN1907:AO1907"/>
    <mergeCell ref="AP1907:AQ1907"/>
    <mergeCell ref="A1908:A1909"/>
    <mergeCell ref="E1908:E1909"/>
    <mergeCell ref="F1908:H1908"/>
    <mergeCell ref="J1908:J1909"/>
    <mergeCell ref="K1908:L1909"/>
    <mergeCell ref="M1908:N1909"/>
    <mergeCell ref="O1908:P1909"/>
    <mergeCell ref="Q1908:R1909"/>
    <mergeCell ref="S1908:T1909"/>
    <mergeCell ref="U1908:V1909"/>
    <mergeCell ref="W1908:W1909"/>
    <mergeCell ref="X1908:AB1908"/>
    <mergeCell ref="AD1908:AI1908"/>
    <mergeCell ref="AJ1908:AL1908"/>
    <mergeCell ref="AN1908:AO1908"/>
    <mergeCell ref="AP1908:AQ1908"/>
    <mergeCell ref="AR1908:AS1909"/>
    <mergeCell ref="AT1908:AU1909"/>
    <mergeCell ref="AV1908:AW1909"/>
    <mergeCell ref="AX1908:AY1909"/>
    <mergeCell ref="AZ1908:AZ1909"/>
    <mergeCell ref="F1909:H1909"/>
    <mergeCell ref="X1909:AB1909"/>
    <mergeCell ref="AE1909:AI1909"/>
    <mergeCell ref="AJ1909:AL1909"/>
    <mergeCell ref="AN1909:AO1909"/>
    <mergeCell ref="AP1909:AQ1909"/>
    <mergeCell ref="AZ1902:AZ1903"/>
    <mergeCell ref="F1903:H1903"/>
    <mergeCell ref="X1903:AB1903"/>
    <mergeCell ref="AE1903:AI1903"/>
    <mergeCell ref="AJ1903:AL1903"/>
    <mergeCell ref="AN1903:AO1903"/>
    <mergeCell ref="AP1903:AQ1903"/>
    <mergeCell ref="A1904:A1905"/>
    <mergeCell ref="E1904:E1905"/>
    <mergeCell ref="F1904:H1904"/>
    <mergeCell ref="J1904:J1905"/>
    <mergeCell ref="K1904:L1905"/>
    <mergeCell ref="M1904:N1905"/>
    <mergeCell ref="O1904:P1905"/>
    <mergeCell ref="Q1904:R1905"/>
    <mergeCell ref="S1904:T1905"/>
    <mergeCell ref="U1904:V1905"/>
    <mergeCell ref="W1904:W1905"/>
    <mergeCell ref="X1904:AB1904"/>
    <mergeCell ref="AD1904:AI1904"/>
    <mergeCell ref="AJ1904:AL1904"/>
    <mergeCell ref="AN1904:AO1904"/>
    <mergeCell ref="AP1904:AQ1904"/>
    <mergeCell ref="AR1904:AS1905"/>
    <mergeCell ref="AT1904:AU1905"/>
    <mergeCell ref="AV1904:AW1905"/>
    <mergeCell ref="AX1904:AY1905"/>
    <mergeCell ref="AZ1904:AZ1905"/>
    <mergeCell ref="F1905:H1905"/>
    <mergeCell ref="X1905:AB1905"/>
    <mergeCell ref="AE1905:AI1905"/>
    <mergeCell ref="AJ1905:AL1905"/>
    <mergeCell ref="AN1905:AO1905"/>
    <mergeCell ref="AP1905:AQ1905"/>
    <mergeCell ref="AR2:AS3"/>
    <mergeCell ref="AT2:AU3"/>
    <mergeCell ref="AV2:AW3"/>
    <mergeCell ref="AX2:AY3"/>
    <mergeCell ref="AZ2:AZ3"/>
    <mergeCell ref="F3:H3"/>
    <mergeCell ref="X3:AB3"/>
    <mergeCell ref="AE3:AI3"/>
    <mergeCell ref="AJ3:AL3"/>
    <mergeCell ref="AN3:AO3"/>
    <mergeCell ref="AP3:AQ3"/>
    <mergeCell ref="A4:A5"/>
    <mergeCell ref="E4:E5"/>
    <mergeCell ref="F4:H4"/>
    <mergeCell ref="J4:J5"/>
    <mergeCell ref="U4:V5"/>
    <mergeCell ref="X4:AB4"/>
    <mergeCell ref="AD4:AI4"/>
    <mergeCell ref="AJ4:AL4"/>
    <mergeCell ref="AN4:AO4"/>
    <mergeCell ref="AP4:AQ4"/>
    <mergeCell ref="AR4:AS5"/>
    <mergeCell ref="AT4:AU5"/>
    <mergeCell ref="AV4:AW5"/>
    <mergeCell ref="AX4:AY5"/>
    <mergeCell ref="AZ4:AZ5"/>
    <mergeCell ref="W2:W3"/>
    <mergeCell ref="W4:W5"/>
    <mergeCell ref="W6:W7"/>
    <mergeCell ref="K1:L1"/>
    <mergeCell ref="M1:N1"/>
    <mergeCell ref="O1:P1"/>
    <mergeCell ref="Q1:R1"/>
    <mergeCell ref="S1:T1"/>
    <mergeCell ref="U1:V1"/>
    <mergeCell ref="X1:AB1"/>
    <mergeCell ref="AC1:AI1"/>
    <mergeCell ref="AJ1:AL1"/>
    <mergeCell ref="AN1:AO1"/>
    <mergeCell ref="AP1:AQ1"/>
    <mergeCell ref="AR1:AS1"/>
    <mergeCell ref="AT1:AU1"/>
    <mergeCell ref="AV1:AW1"/>
    <mergeCell ref="AX1:AY1"/>
    <mergeCell ref="E1:H1"/>
    <mergeCell ref="A2:A3"/>
    <mergeCell ref="E2:E3"/>
    <mergeCell ref="F2:H2"/>
    <mergeCell ref="J2:J3"/>
    <mergeCell ref="U2:V3"/>
    <mergeCell ref="X2:AB2"/>
    <mergeCell ref="AD2:AI2"/>
    <mergeCell ref="AJ2:AL2"/>
    <mergeCell ref="AN2:AO2"/>
    <mergeCell ref="AP2:AQ2"/>
    <mergeCell ref="F5:H5"/>
    <mergeCell ref="X5:AB5"/>
    <mergeCell ref="AE5:AI5"/>
    <mergeCell ref="AJ5:AL5"/>
    <mergeCell ref="AN5:AO5"/>
    <mergeCell ref="AP5:AQ5"/>
    <mergeCell ref="F9:H9"/>
    <mergeCell ref="X9:AB9"/>
    <mergeCell ref="AE9:AI9"/>
    <mergeCell ref="AJ9:AL9"/>
    <mergeCell ref="AN9:AO9"/>
    <mergeCell ref="AP9:AQ9"/>
    <mergeCell ref="A10:A11"/>
    <mergeCell ref="E10:E11"/>
    <mergeCell ref="F10:H10"/>
    <mergeCell ref="J10:J11"/>
    <mergeCell ref="U10:V11"/>
    <mergeCell ref="X10:AB10"/>
    <mergeCell ref="AD10:AI10"/>
    <mergeCell ref="AJ10:AL10"/>
    <mergeCell ref="AN10:AO10"/>
    <mergeCell ref="AP10:AQ10"/>
    <mergeCell ref="AR6:AS7"/>
    <mergeCell ref="AT6:AU7"/>
    <mergeCell ref="AV6:AW7"/>
    <mergeCell ref="AX6:AY7"/>
    <mergeCell ref="AZ6:AZ7"/>
    <mergeCell ref="F7:H7"/>
    <mergeCell ref="X7:AB7"/>
    <mergeCell ref="AE7:AI7"/>
    <mergeCell ref="AJ7:AL7"/>
    <mergeCell ref="AN7:AO7"/>
    <mergeCell ref="AP7:AQ7"/>
    <mergeCell ref="A8:A9"/>
    <mergeCell ref="E8:E9"/>
    <mergeCell ref="F8:H8"/>
    <mergeCell ref="J8:J9"/>
    <mergeCell ref="U8:V9"/>
    <mergeCell ref="X8:AB8"/>
    <mergeCell ref="AD8:AI8"/>
    <mergeCell ref="AJ8:AL8"/>
    <mergeCell ref="AN8:AO8"/>
    <mergeCell ref="AP8:AQ8"/>
    <mergeCell ref="AR8:AS9"/>
    <mergeCell ref="AT8:AU9"/>
    <mergeCell ref="AV8:AW9"/>
    <mergeCell ref="AX8:AY9"/>
    <mergeCell ref="AZ8:AZ9"/>
    <mergeCell ref="A6:A7"/>
    <mergeCell ref="E6:E7"/>
    <mergeCell ref="F6:H6"/>
    <mergeCell ref="J6:J7"/>
    <mergeCell ref="U6:V7"/>
    <mergeCell ref="W8:W9"/>
    <mergeCell ref="X6:AB6"/>
    <mergeCell ref="AD6:AI6"/>
    <mergeCell ref="AJ6:AL6"/>
    <mergeCell ref="AN6:AO6"/>
    <mergeCell ref="AP6:AQ6"/>
    <mergeCell ref="S9:T9"/>
    <mergeCell ref="F13:H13"/>
    <mergeCell ref="X13:AB13"/>
    <mergeCell ref="AE13:AI13"/>
    <mergeCell ref="AJ13:AL13"/>
    <mergeCell ref="AN13:AO13"/>
    <mergeCell ref="AP13:AQ13"/>
    <mergeCell ref="A14:A15"/>
    <mergeCell ref="E14:E15"/>
    <mergeCell ref="F14:H14"/>
    <mergeCell ref="J14:J15"/>
    <mergeCell ref="U14:V15"/>
    <mergeCell ref="X14:AB14"/>
    <mergeCell ref="AD14:AI14"/>
    <mergeCell ref="AJ14:AL14"/>
    <mergeCell ref="AN14:AO14"/>
    <mergeCell ref="AP14:AQ14"/>
    <mergeCell ref="AR10:AS11"/>
    <mergeCell ref="AT10:AU11"/>
    <mergeCell ref="AV10:AW11"/>
    <mergeCell ref="AX10:AY11"/>
    <mergeCell ref="AZ10:AZ11"/>
    <mergeCell ref="F11:H11"/>
    <mergeCell ref="X11:AB11"/>
    <mergeCell ref="AE11:AI11"/>
    <mergeCell ref="AJ11:AL11"/>
    <mergeCell ref="AN11:AO11"/>
    <mergeCell ref="AP11:AQ11"/>
    <mergeCell ref="A12:A13"/>
    <mergeCell ref="E12:E13"/>
    <mergeCell ref="F12:H12"/>
    <mergeCell ref="J12:J13"/>
    <mergeCell ref="U12:V13"/>
    <mergeCell ref="X12:AB12"/>
    <mergeCell ref="AD12:AI12"/>
    <mergeCell ref="AJ12:AL12"/>
    <mergeCell ref="AN12:AO12"/>
    <mergeCell ref="AP12:AQ12"/>
    <mergeCell ref="AR12:AS13"/>
    <mergeCell ref="AT12:AU13"/>
    <mergeCell ref="AV12:AW13"/>
    <mergeCell ref="AX12:AY13"/>
    <mergeCell ref="AZ12:AZ13"/>
    <mergeCell ref="W10:W11"/>
    <mergeCell ref="W12:W13"/>
    <mergeCell ref="K10:L10"/>
    <mergeCell ref="M10:N10"/>
    <mergeCell ref="O10:P10"/>
    <mergeCell ref="Q10:R10"/>
    <mergeCell ref="S10:T10"/>
    <mergeCell ref="K11:L11"/>
    <mergeCell ref="M11:N11"/>
    <mergeCell ref="O11:P11"/>
    <mergeCell ref="Q11:R11"/>
    <mergeCell ref="S11:T11"/>
    <mergeCell ref="K12:L12"/>
    <mergeCell ref="M12:N12"/>
    <mergeCell ref="O12:P12"/>
    <mergeCell ref="Q12:R12"/>
    <mergeCell ref="S12:T12"/>
    <mergeCell ref="K13:M13"/>
    <mergeCell ref="N13:P13"/>
    <mergeCell ref="Q13:T13"/>
    <mergeCell ref="F17:H17"/>
    <mergeCell ref="X17:AB17"/>
    <mergeCell ref="AE17:AI17"/>
    <mergeCell ref="AJ17:AL17"/>
    <mergeCell ref="AN17:AO17"/>
    <mergeCell ref="AP17:AQ17"/>
    <mergeCell ref="A18:A19"/>
    <mergeCell ref="E18:E19"/>
    <mergeCell ref="F18:H18"/>
    <mergeCell ref="J18:J19"/>
    <mergeCell ref="U18:V19"/>
    <mergeCell ref="X18:AB18"/>
    <mergeCell ref="AD18:AI18"/>
    <mergeCell ref="AJ18:AL18"/>
    <mergeCell ref="AN18:AO18"/>
    <mergeCell ref="AP18:AQ18"/>
    <mergeCell ref="AR14:AS15"/>
    <mergeCell ref="AT14:AU15"/>
    <mergeCell ref="AV14:AW15"/>
    <mergeCell ref="AX14:AY15"/>
    <mergeCell ref="AZ14:AZ15"/>
    <mergeCell ref="F15:H15"/>
    <mergeCell ref="X15:AB15"/>
    <mergeCell ref="AE15:AI15"/>
    <mergeCell ref="AJ15:AL15"/>
    <mergeCell ref="AN15:AO15"/>
    <mergeCell ref="AP15:AQ15"/>
    <mergeCell ref="A16:A17"/>
    <mergeCell ref="E16:E17"/>
    <mergeCell ref="F16:H16"/>
    <mergeCell ref="J16:J17"/>
    <mergeCell ref="U16:V17"/>
    <mergeCell ref="X16:AB16"/>
    <mergeCell ref="AD16:AI16"/>
    <mergeCell ref="AJ16:AL16"/>
    <mergeCell ref="AN16:AO16"/>
    <mergeCell ref="AP16:AQ16"/>
    <mergeCell ref="AR16:AS17"/>
    <mergeCell ref="AT16:AU17"/>
    <mergeCell ref="AV16:AW17"/>
    <mergeCell ref="AX16:AY17"/>
    <mergeCell ref="AZ16:AZ17"/>
    <mergeCell ref="W14:W15"/>
    <mergeCell ref="W16:W17"/>
    <mergeCell ref="K17:L17"/>
    <mergeCell ref="M17:N17"/>
    <mergeCell ref="O17:P17"/>
    <mergeCell ref="Q17:R17"/>
    <mergeCell ref="S17:T17"/>
    <mergeCell ref="K14:L14"/>
    <mergeCell ref="M14:N14"/>
    <mergeCell ref="O14:P14"/>
    <mergeCell ref="Q14:R14"/>
    <mergeCell ref="S14:T14"/>
    <mergeCell ref="K15:L15"/>
    <mergeCell ref="M15:N15"/>
    <mergeCell ref="O15:P15"/>
    <mergeCell ref="Q15:R15"/>
    <mergeCell ref="S15:T15"/>
    <mergeCell ref="K16:L16"/>
    <mergeCell ref="M16:N16"/>
    <mergeCell ref="O16:P16"/>
    <mergeCell ref="Q16:R16"/>
    <mergeCell ref="S16:T16"/>
    <mergeCell ref="F21:H21"/>
    <mergeCell ref="X21:AB21"/>
    <mergeCell ref="AE21:AI21"/>
    <mergeCell ref="AJ21:AL21"/>
    <mergeCell ref="AN21:AO21"/>
    <mergeCell ref="AP21:AQ21"/>
    <mergeCell ref="A22:A23"/>
    <mergeCell ref="E22:E23"/>
    <mergeCell ref="F22:H22"/>
    <mergeCell ref="J22:J23"/>
    <mergeCell ref="U22:V23"/>
    <mergeCell ref="X22:AB22"/>
    <mergeCell ref="AD22:AI22"/>
    <mergeCell ref="AJ22:AL22"/>
    <mergeCell ref="AN22:AO22"/>
    <mergeCell ref="AP22:AQ22"/>
    <mergeCell ref="AR18:AS19"/>
    <mergeCell ref="AT18:AU19"/>
    <mergeCell ref="AV18:AW19"/>
    <mergeCell ref="AX18:AY19"/>
    <mergeCell ref="AZ18:AZ19"/>
    <mergeCell ref="F19:H19"/>
    <mergeCell ref="X19:AB19"/>
    <mergeCell ref="AE19:AI19"/>
    <mergeCell ref="AJ19:AL19"/>
    <mergeCell ref="AN19:AO19"/>
    <mergeCell ref="AP19:AQ19"/>
    <mergeCell ref="A20:A21"/>
    <mergeCell ref="E20:E21"/>
    <mergeCell ref="F20:H20"/>
    <mergeCell ref="J20:J21"/>
    <mergeCell ref="U20:V21"/>
    <mergeCell ref="X20:AB20"/>
    <mergeCell ref="AD20:AI20"/>
    <mergeCell ref="AJ20:AL20"/>
    <mergeCell ref="AN20:AO20"/>
    <mergeCell ref="AP20:AQ20"/>
    <mergeCell ref="AR20:AS21"/>
    <mergeCell ref="AT20:AU21"/>
    <mergeCell ref="AV20:AW21"/>
    <mergeCell ref="AX20:AY21"/>
    <mergeCell ref="AZ20:AZ21"/>
    <mergeCell ref="W18:W19"/>
    <mergeCell ref="W20:W21"/>
    <mergeCell ref="K18:L18"/>
    <mergeCell ref="M18:N18"/>
    <mergeCell ref="O18:P18"/>
    <mergeCell ref="Q18:R18"/>
    <mergeCell ref="S18:T18"/>
    <mergeCell ref="O19:P19"/>
    <mergeCell ref="Q19:R19"/>
    <mergeCell ref="S19:T19"/>
    <mergeCell ref="K20:L20"/>
    <mergeCell ref="M20:N20"/>
    <mergeCell ref="O20:P20"/>
    <mergeCell ref="Q20:R20"/>
    <mergeCell ref="S20:T20"/>
    <mergeCell ref="K21:L21"/>
    <mergeCell ref="M21:N21"/>
    <mergeCell ref="O21:P21"/>
    <mergeCell ref="Q21:R21"/>
    <mergeCell ref="S21:T21"/>
    <mergeCell ref="F25:H25"/>
    <mergeCell ref="X25:AB25"/>
    <mergeCell ref="AE25:AI25"/>
    <mergeCell ref="AJ25:AL25"/>
    <mergeCell ref="AN25:AO25"/>
    <mergeCell ref="AP25:AQ25"/>
    <mergeCell ref="A26:A27"/>
    <mergeCell ref="E26:E27"/>
    <mergeCell ref="F26:H26"/>
    <mergeCell ref="J26:J27"/>
    <mergeCell ref="U26:V27"/>
    <mergeCell ref="X26:AB26"/>
    <mergeCell ref="AD26:AI26"/>
    <mergeCell ref="AJ26:AL26"/>
    <mergeCell ref="AN26:AO26"/>
    <mergeCell ref="AP26:AQ26"/>
    <mergeCell ref="AR22:AS23"/>
    <mergeCell ref="AT22:AU23"/>
    <mergeCell ref="AV22:AW23"/>
    <mergeCell ref="AX22:AY23"/>
    <mergeCell ref="AZ22:AZ23"/>
    <mergeCell ref="F23:H23"/>
    <mergeCell ref="X23:AB23"/>
    <mergeCell ref="AE23:AI23"/>
    <mergeCell ref="AJ23:AL23"/>
    <mergeCell ref="AN23:AO23"/>
    <mergeCell ref="AP23:AQ23"/>
    <mergeCell ref="A24:A25"/>
    <mergeCell ref="E24:E25"/>
    <mergeCell ref="F24:H24"/>
    <mergeCell ref="J24:J25"/>
    <mergeCell ref="U24:V25"/>
    <mergeCell ref="X24:AB24"/>
    <mergeCell ref="AD24:AI24"/>
    <mergeCell ref="AJ24:AL24"/>
    <mergeCell ref="AN24:AO24"/>
    <mergeCell ref="AP24:AQ24"/>
    <mergeCell ref="AR24:AS25"/>
    <mergeCell ref="AT24:AU25"/>
    <mergeCell ref="AV24:AW25"/>
    <mergeCell ref="AX24:AY25"/>
    <mergeCell ref="AZ24:AZ25"/>
    <mergeCell ref="W22:W23"/>
    <mergeCell ref="W24:W25"/>
    <mergeCell ref="K22:L22"/>
    <mergeCell ref="M22:N22"/>
    <mergeCell ref="O22:P22"/>
    <mergeCell ref="Q22:R22"/>
    <mergeCell ref="S22:T22"/>
    <mergeCell ref="K23:L23"/>
    <mergeCell ref="M23:N23"/>
    <mergeCell ref="O23:P23"/>
    <mergeCell ref="Q23:R23"/>
    <mergeCell ref="S23:T23"/>
    <mergeCell ref="K24:L24"/>
    <mergeCell ref="M24:N24"/>
    <mergeCell ref="O24:P24"/>
    <mergeCell ref="Q24:R24"/>
    <mergeCell ref="S24:T24"/>
    <mergeCell ref="K25:L25"/>
    <mergeCell ref="M25:N25"/>
    <mergeCell ref="O25:P25"/>
    <mergeCell ref="Q25:R25"/>
    <mergeCell ref="S25:T25"/>
    <mergeCell ref="F29:H29"/>
    <mergeCell ref="X29:AB29"/>
    <mergeCell ref="AE29:AI29"/>
    <mergeCell ref="AJ29:AL29"/>
    <mergeCell ref="AN29:AO29"/>
    <mergeCell ref="AP29:AQ29"/>
    <mergeCell ref="A30:A31"/>
    <mergeCell ref="E30:E31"/>
    <mergeCell ref="F30:H30"/>
    <mergeCell ref="J30:J31"/>
    <mergeCell ref="U30:V31"/>
    <mergeCell ref="X30:AB30"/>
    <mergeCell ref="AD30:AI30"/>
    <mergeCell ref="AJ30:AL30"/>
    <mergeCell ref="AN30:AO30"/>
    <mergeCell ref="AP30:AQ30"/>
    <mergeCell ref="AR26:AS27"/>
    <mergeCell ref="AT26:AU27"/>
    <mergeCell ref="AV26:AW27"/>
    <mergeCell ref="AX26:AY27"/>
    <mergeCell ref="AZ26:AZ27"/>
    <mergeCell ref="F27:H27"/>
    <mergeCell ref="X27:AB27"/>
    <mergeCell ref="AE27:AI27"/>
    <mergeCell ref="AJ27:AL27"/>
    <mergeCell ref="AN27:AO27"/>
    <mergeCell ref="AP27:AQ27"/>
    <mergeCell ref="A28:A29"/>
    <mergeCell ref="E28:E29"/>
    <mergeCell ref="F28:H28"/>
    <mergeCell ref="J28:J29"/>
    <mergeCell ref="U28:V29"/>
    <mergeCell ref="X28:AB28"/>
    <mergeCell ref="AD28:AI28"/>
    <mergeCell ref="AJ28:AL28"/>
    <mergeCell ref="AN28:AO28"/>
    <mergeCell ref="AP28:AQ28"/>
    <mergeCell ref="AR28:AS29"/>
    <mergeCell ref="AT28:AU29"/>
    <mergeCell ref="AV28:AW29"/>
    <mergeCell ref="AX28:AY29"/>
    <mergeCell ref="AZ28:AZ29"/>
    <mergeCell ref="W26:W27"/>
    <mergeCell ref="W28:W29"/>
    <mergeCell ref="K27:L27"/>
    <mergeCell ref="M27:N27"/>
    <mergeCell ref="O27:P27"/>
    <mergeCell ref="Q27:R27"/>
    <mergeCell ref="S27:T27"/>
    <mergeCell ref="K28:L28"/>
    <mergeCell ref="M28:N28"/>
    <mergeCell ref="O28:P28"/>
    <mergeCell ref="Q28:R28"/>
    <mergeCell ref="S28:T28"/>
    <mergeCell ref="K26:L26"/>
    <mergeCell ref="M26:N26"/>
    <mergeCell ref="O26:P26"/>
    <mergeCell ref="Q26:R26"/>
    <mergeCell ref="S26:T26"/>
    <mergeCell ref="K29:L29"/>
    <mergeCell ref="M29:N29"/>
    <mergeCell ref="O29:P29"/>
    <mergeCell ref="Q29:R29"/>
    <mergeCell ref="S29:T29"/>
    <mergeCell ref="F33:H33"/>
    <mergeCell ref="X33:AB33"/>
    <mergeCell ref="AE33:AI33"/>
    <mergeCell ref="AJ33:AL33"/>
    <mergeCell ref="AN33:AO33"/>
    <mergeCell ref="AP33:AQ33"/>
    <mergeCell ref="A34:A35"/>
    <mergeCell ref="E34:E35"/>
    <mergeCell ref="F34:H34"/>
    <mergeCell ref="J34:J35"/>
    <mergeCell ref="U34:V35"/>
    <mergeCell ref="X34:AB34"/>
    <mergeCell ref="AD34:AI34"/>
    <mergeCell ref="AJ34:AL34"/>
    <mergeCell ref="AN34:AO34"/>
    <mergeCell ref="AP34:AQ34"/>
    <mergeCell ref="AR30:AS31"/>
    <mergeCell ref="AT30:AU31"/>
    <mergeCell ref="AV30:AW31"/>
    <mergeCell ref="AX30:AY31"/>
    <mergeCell ref="AZ30:AZ31"/>
    <mergeCell ref="F31:H31"/>
    <mergeCell ref="X31:AB31"/>
    <mergeCell ref="AE31:AI31"/>
    <mergeCell ref="AJ31:AL31"/>
    <mergeCell ref="AN31:AO31"/>
    <mergeCell ref="AP31:AQ31"/>
    <mergeCell ref="A32:A33"/>
    <mergeCell ref="E32:E33"/>
    <mergeCell ref="F32:H32"/>
    <mergeCell ref="J32:J33"/>
    <mergeCell ref="U32:V33"/>
    <mergeCell ref="X32:AB32"/>
    <mergeCell ref="AD32:AI32"/>
    <mergeCell ref="AJ32:AL32"/>
    <mergeCell ref="AN32:AO32"/>
    <mergeCell ref="AP32:AQ32"/>
    <mergeCell ref="AR32:AS33"/>
    <mergeCell ref="AT32:AU33"/>
    <mergeCell ref="AV32:AW33"/>
    <mergeCell ref="AX32:AY33"/>
    <mergeCell ref="AZ32:AZ33"/>
    <mergeCell ref="W30:W31"/>
    <mergeCell ref="W32:W33"/>
    <mergeCell ref="K30:L30"/>
    <mergeCell ref="M30:N30"/>
    <mergeCell ref="O30:P30"/>
    <mergeCell ref="Q30:R30"/>
    <mergeCell ref="S30:T30"/>
    <mergeCell ref="K31:N31"/>
    <mergeCell ref="O31:P31"/>
    <mergeCell ref="Q31:R31"/>
    <mergeCell ref="S31:T31"/>
    <mergeCell ref="K32:L32"/>
    <mergeCell ref="M32:N32"/>
    <mergeCell ref="O32:P32"/>
    <mergeCell ref="Q32:R32"/>
    <mergeCell ref="S32:T32"/>
    <mergeCell ref="K33:L33"/>
    <mergeCell ref="M33:N33"/>
    <mergeCell ref="O33:P33"/>
    <mergeCell ref="Q33:R33"/>
    <mergeCell ref="S33:T33"/>
    <mergeCell ref="F37:H37"/>
    <mergeCell ref="X37:AB37"/>
    <mergeCell ref="AE37:AI37"/>
    <mergeCell ref="AJ37:AL37"/>
    <mergeCell ref="AN37:AO37"/>
    <mergeCell ref="AP37:AQ37"/>
    <mergeCell ref="A38:A39"/>
    <mergeCell ref="E38:E39"/>
    <mergeCell ref="F38:H38"/>
    <mergeCell ref="J38:J39"/>
    <mergeCell ref="K38:L39"/>
    <mergeCell ref="M38:N39"/>
    <mergeCell ref="O38:P39"/>
    <mergeCell ref="Q38:R39"/>
    <mergeCell ref="S38:T39"/>
    <mergeCell ref="U38:V39"/>
    <mergeCell ref="X38:AB38"/>
    <mergeCell ref="AD38:AI38"/>
    <mergeCell ref="AJ38:AL38"/>
    <mergeCell ref="AN38:AO38"/>
    <mergeCell ref="AP38:AQ38"/>
    <mergeCell ref="AR34:AS35"/>
    <mergeCell ref="AT34:AU35"/>
    <mergeCell ref="AV34:AW35"/>
    <mergeCell ref="AX34:AY35"/>
    <mergeCell ref="AZ34:AZ35"/>
    <mergeCell ref="F35:H35"/>
    <mergeCell ref="X35:AB35"/>
    <mergeCell ref="AE35:AI35"/>
    <mergeCell ref="AJ35:AL35"/>
    <mergeCell ref="AN35:AO35"/>
    <mergeCell ref="AP35:AQ35"/>
    <mergeCell ref="A36:A37"/>
    <mergeCell ref="E36:E37"/>
    <mergeCell ref="F36:H36"/>
    <mergeCell ref="J36:J37"/>
    <mergeCell ref="K36:L37"/>
    <mergeCell ref="M36:N37"/>
    <mergeCell ref="O36:P37"/>
    <mergeCell ref="Q36:R37"/>
    <mergeCell ref="S36:T37"/>
    <mergeCell ref="U36:V37"/>
    <mergeCell ref="X36:AB36"/>
    <mergeCell ref="AD36:AI36"/>
    <mergeCell ref="AJ36:AL36"/>
    <mergeCell ref="AN36:AO36"/>
    <mergeCell ref="AP36:AQ36"/>
    <mergeCell ref="AR36:AS37"/>
    <mergeCell ref="AT36:AU37"/>
    <mergeCell ref="AV36:AW37"/>
    <mergeCell ref="AX36:AY37"/>
    <mergeCell ref="AZ36:AZ37"/>
    <mergeCell ref="W34:W35"/>
    <mergeCell ref="W36:W37"/>
    <mergeCell ref="K34:L34"/>
    <mergeCell ref="M34:N34"/>
    <mergeCell ref="O34:P34"/>
    <mergeCell ref="Q34:R34"/>
    <mergeCell ref="S34:T34"/>
    <mergeCell ref="K35:L35"/>
    <mergeCell ref="M35:N35"/>
    <mergeCell ref="O35:P35"/>
    <mergeCell ref="Q35:R35"/>
    <mergeCell ref="S35:T35"/>
    <mergeCell ref="F41:H41"/>
    <mergeCell ref="X41:AB41"/>
    <mergeCell ref="AE41:AI41"/>
    <mergeCell ref="AJ41:AL41"/>
    <mergeCell ref="AN41:AO41"/>
    <mergeCell ref="AP41:AQ41"/>
    <mergeCell ref="A42:A43"/>
    <mergeCell ref="E42:E43"/>
    <mergeCell ref="F42:H42"/>
    <mergeCell ref="J42:J43"/>
    <mergeCell ref="K42:L43"/>
    <mergeCell ref="M42:N43"/>
    <mergeCell ref="O42:P43"/>
    <mergeCell ref="Q42:R43"/>
    <mergeCell ref="S42:T43"/>
    <mergeCell ref="U42:V43"/>
    <mergeCell ref="X42:AB42"/>
    <mergeCell ref="AD42:AI42"/>
    <mergeCell ref="AJ42:AL42"/>
    <mergeCell ref="AN42:AO42"/>
    <mergeCell ref="AP42:AQ42"/>
    <mergeCell ref="AR38:AS39"/>
    <mergeCell ref="AT38:AU39"/>
    <mergeCell ref="AV38:AW39"/>
    <mergeCell ref="AX38:AY39"/>
    <mergeCell ref="AZ38:AZ39"/>
    <mergeCell ref="F39:H39"/>
    <mergeCell ref="X39:AB39"/>
    <mergeCell ref="AE39:AI39"/>
    <mergeCell ref="AJ39:AL39"/>
    <mergeCell ref="AN39:AO39"/>
    <mergeCell ref="AP39:AQ39"/>
    <mergeCell ref="A40:A41"/>
    <mergeCell ref="E40:E41"/>
    <mergeCell ref="F40:H40"/>
    <mergeCell ref="J40:J41"/>
    <mergeCell ref="K40:L41"/>
    <mergeCell ref="M40:N41"/>
    <mergeCell ref="O40:P41"/>
    <mergeCell ref="Q40:R41"/>
    <mergeCell ref="S40:T41"/>
    <mergeCell ref="U40:V41"/>
    <mergeCell ref="X40:AB40"/>
    <mergeCell ref="AD40:AI40"/>
    <mergeCell ref="AJ40:AL40"/>
    <mergeCell ref="AN40:AO40"/>
    <mergeCell ref="AP40:AQ40"/>
    <mergeCell ref="AR40:AS41"/>
    <mergeCell ref="AT40:AU41"/>
    <mergeCell ref="AV40:AW41"/>
    <mergeCell ref="AX40:AY41"/>
    <mergeCell ref="AZ40:AZ41"/>
    <mergeCell ref="W38:W39"/>
    <mergeCell ref="W40:W41"/>
    <mergeCell ref="F45:H45"/>
    <mergeCell ref="X45:AB45"/>
    <mergeCell ref="AE45:AI45"/>
    <mergeCell ref="AJ45:AL45"/>
    <mergeCell ref="AN45:AO45"/>
    <mergeCell ref="AP45:AQ45"/>
    <mergeCell ref="A46:A47"/>
    <mergeCell ref="E46:E47"/>
    <mergeCell ref="F46:H46"/>
    <mergeCell ref="J46:J47"/>
    <mergeCell ref="K46:L47"/>
    <mergeCell ref="M46:N47"/>
    <mergeCell ref="O46:P47"/>
    <mergeCell ref="Q46:R47"/>
    <mergeCell ref="S46:T47"/>
    <mergeCell ref="U46:V47"/>
    <mergeCell ref="X46:AB46"/>
    <mergeCell ref="AD46:AI46"/>
    <mergeCell ref="AJ46:AL46"/>
    <mergeCell ref="AN46:AO46"/>
    <mergeCell ref="AP46:AQ46"/>
    <mergeCell ref="AR42:AS43"/>
    <mergeCell ref="AT42:AU43"/>
    <mergeCell ref="AV42:AW43"/>
    <mergeCell ref="AX42:AY43"/>
    <mergeCell ref="AZ42:AZ43"/>
    <mergeCell ref="F43:H43"/>
    <mergeCell ref="X43:AB43"/>
    <mergeCell ref="AE43:AI43"/>
    <mergeCell ref="AJ43:AL43"/>
    <mergeCell ref="AN43:AO43"/>
    <mergeCell ref="AP43:AQ43"/>
    <mergeCell ref="A44:A45"/>
    <mergeCell ref="E44:E45"/>
    <mergeCell ref="F44:H44"/>
    <mergeCell ref="J44:J45"/>
    <mergeCell ref="K44:L45"/>
    <mergeCell ref="M44:N45"/>
    <mergeCell ref="O44:P45"/>
    <mergeCell ref="Q44:R45"/>
    <mergeCell ref="S44:T45"/>
    <mergeCell ref="U44:V45"/>
    <mergeCell ref="X44:AB44"/>
    <mergeCell ref="AD44:AI44"/>
    <mergeCell ref="AJ44:AL44"/>
    <mergeCell ref="AN44:AO44"/>
    <mergeCell ref="AP44:AQ44"/>
    <mergeCell ref="AR44:AS45"/>
    <mergeCell ref="AT44:AU45"/>
    <mergeCell ref="AV44:AW45"/>
    <mergeCell ref="AX44:AY45"/>
    <mergeCell ref="AZ44:AZ45"/>
    <mergeCell ref="W42:W43"/>
    <mergeCell ref="W44:W45"/>
    <mergeCell ref="F49:H49"/>
    <mergeCell ref="X49:AB49"/>
    <mergeCell ref="AE49:AI49"/>
    <mergeCell ref="AJ49:AL49"/>
    <mergeCell ref="AN49:AO49"/>
    <mergeCell ref="AP49:AQ49"/>
    <mergeCell ref="A50:A51"/>
    <mergeCell ref="E50:E51"/>
    <mergeCell ref="F50:H50"/>
    <mergeCell ref="J50:J51"/>
    <mergeCell ref="K50:L51"/>
    <mergeCell ref="M50:N51"/>
    <mergeCell ref="O50:P51"/>
    <mergeCell ref="Q50:R51"/>
    <mergeCell ref="S50:T51"/>
    <mergeCell ref="U50:V51"/>
    <mergeCell ref="X50:AB50"/>
    <mergeCell ref="AD50:AI50"/>
    <mergeCell ref="AJ50:AL50"/>
    <mergeCell ref="AN50:AO50"/>
    <mergeCell ref="AP50:AQ50"/>
    <mergeCell ref="AR46:AS47"/>
    <mergeCell ref="AT46:AU47"/>
    <mergeCell ref="AV46:AW47"/>
    <mergeCell ref="AX46:AY47"/>
    <mergeCell ref="AZ46:AZ47"/>
    <mergeCell ref="F47:H47"/>
    <mergeCell ref="X47:AB47"/>
    <mergeCell ref="AE47:AI47"/>
    <mergeCell ref="AJ47:AL47"/>
    <mergeCell ref="AN47:AO47"/>
    <mergeCell ref="AP47:AQ47"/>
    <mergeCell ref="A48:A49"/>
    <mergeCell ref="E48:E49"/>
    <mergeCell ref="F48:H48"/>
    <mergeCell ref="J48:J49"/>
    <mergeCell ref="K48:L49"/>
    <mergeCell ref="M48:N49"/>
    <mergeCell ref="O48:P49"/>
    <mergeCell ref="Q48:R49"/>
    <mergeCell ref="S48:T49"/>
    <mergeCell ref="U48:V49"/>
    <mergeCell ref="X48:AB48"/>
    <mergeCell ref="AD48:AI48"/>
    <mergeCell ref="AJ48:AL48"/>
    <mergeCell ref="AN48:AO48"/>
    <mergeCell ref="AP48:AQ48"/>
    <mergeCell ref="AR48:AS49"/>
    <mergeCell ref="AT48:AU49"/>
    <mergeCell ref="AV48:AW49"/>
    <mergeCell ref="AX48:AY49"/>
    <mergeCell ref="AZ48:AZ49"/>
    <mergeCell ref="W46:W47"/>
    <mergeCell ref="W48:W49"/>
    <mergeCell ref="F53:H53"/>
    <mergeCell ref="X53:AB53"/>
    <mergeCell ref="AE53:AI53"/>
    <mergeCell ref="AJ53:AL53"/>
    <mergeCell ref="AN53:AO53"/>
    <mergeCell ref="AP53:AQ53"/>
    <mergeCell ref="A54:A55"/>
    <mergeCell ref="E54:E55"/>
    <mergeCell ref="F54:H54"/>
    <mergeCell ref="J54:J55"/>
    <mergeCell ref="K54:L55"/>
    <mergeCell ref="M54:N55"/>
    <mergeCell ref="O54:P55"/>
    <mergeCell ref="Q54:R55"/>
    <mergeCell ref="S54:T55"/>
    <mergeCell ref="U54:V55"/>
    <mergeCell ref="X54:AB54"/>
    <mergeCell ref="AD54:AI54"/>
    <mergeCell ref="AJ54:AL54"/>
    <mergeCell ref="AN54:AO54"/>
    <mergeCell ref="AP54:AQ54"/>
    <mergeCell ref="AR50:AS51"/>
    <mergeCell ref="AT50:AU51"/>
    <mergeCell ref="AV50:AW51"/>
    <mergeCell ref="AX50:AY51"/>
    <mergeCell ref="AZ50:AZ51"/>
    <mergeCell ref="F51:H51"/>
    <mergeCell ref="X51:AB51"/>
    <mergeCell ref="AE51:AI51"/>
    <mergeCell ref="AJ51:AL51"/>
    <mergeCell ref="AN51:AO51"/>
    <mergeCell ref="AP51:AQ51"/>
    <mergeCell ref="A52:A53"/>
    <mergeCell ref="E52:E53"/>
    <mergeCell ref="F52:H52"/>
    <mergeCell ref="J52:J53"/>
    <mergeCell ref="K52:L53"/>
    <mergeCell ref="M52:N53"/>
    <mergeCell ref="O52:P53"/>
    <mergeCell ref="Q52:R53"/>
    <mergeCell ref="S52:T53"/>
    <mergeCell ref="U52:V53"/>
    <mergeCell ref="X52:AB52"/>
    <mergeCell ref="AD52:AI52"/>
    <mergeCell ref="AJ52:AL52"/>
    <mergeCell ref="AN52:AO52"/>
    <mergeCell ref="AP52:AQ52"/>
    <mergeCell ref="AR52:AS53"/>
    <mergeCell ref="AT52:AU53"/>
    <mergeCell ref="AV52:AW53"/>
    <mergeCell ref="AX52:AY53"/>
    <mergeCell ref="AZ52:AZ53"/>
    <mergeCell ref="W50:W51"/>
    <mergeCell ref="W52:W53"/>
    <mergeCell ref="F57:H57"/>
    <mergeCell ref="X57:AB57"/>
    <mergeCell ref="AE57:AI57"/>
    <mergeCell ref="AJ57:AL57"/>
    <mergeCell ref="AN57:AO57"/>
    <mergeCell ref="AP57:AQ57"/>
    <mergeCell ref="A58:A59"/>
    <mergeCell ref="E58:E59"/>
    <mergeCell ref="F58:H58"/>
    <mergeCell ref="J58:J59"/>
    <mergeCell ref="K58:L59"/>
    <mergeCell ref="M58:N59"/>
    <mergeCell ref="O58:P59"/>
    <mergeCell ref="Q58:R59"/>
    <mergeCell ref="S58:T59"/>
    <mergeCell ref="U58:V59"/>
    <mergeCell ref="X58:AB58"/>
    <mergeCell ref="AD58:AI58"/>
    <mergeCell ref="AJ58:AL58"/>
    <mergeCell ref="AN58:AO58"/>
    <mergeCell ref="AP58:AQ58"/>
    <mergeCell ref="AR54:AS55"/>
    <mergeCell ref="AT54:AU55"/>
    <mergeCell ref="AV54:AW55"/>
    <mergeCell ref="AX54:AY55"/>
    <mergeCell ref="AZ54:AZ55"/>
    <mergeCell ref="F55:H55"/>
    <mergeCell ref="X55:AB55"/>
    <mergeCell ref="AE55:AI55"/>
    <mergeCell ref="AJ55:AL55"/>
    <mergeCell ref="AN55:AO55"/>
    <mergeCell ref="AP55:AQ55"/>
    <mergeCell ref="A56:A57"/>
    <mergeCell ref="E56:E57"/>
    <mergeCell ref="F56:H56"/>
    <mergeCell ref="J56:J57"/>
    <mergeCell ref="K56:L57"/>
    <mergeCell ref="M56:N57"/>
    <mergeCell ref="O56:P57"/>
    <mergeCell ref="Q56:R57"/>
    <mergeCell ref="S56:T57"/>
    <mergeCell ref="U56:V57"/>
    <mergeCell ref="X56:AB56"/>
    <mergeCell ref="AD56:AI56"/>
    <mergeCell ref="AJ56:AL56"/>
    <mergeCell ref="AN56:AO56"/>
    <mergeCell ref="AP56:AQ56"/>
    <mergeCell ref="AR56:AS57"/>
    <mergeCell ref="AT56:AU57"/>
    <mergeCell ref="AV56:AW57"/>
    <mergeCell ref="AX56:AY57"/>
    <mergeCell ref="AZ56:AZ57"/>
    <mergeCell ref="W54:W55"/>
    <mergeCell ref="W56:W57"/>
    <mergeCell ref="F61:H61"/>
    <mergeCell ref="X61:AB61"/>
    <mergeCell ref="AE61:AI61"/>
    <mergeCell ref="AJ61:AL61"/>
    <mergeCell ref="AN61:AO61"/>
    <mergeCell ref="AP61:AQ61"/>
    <mergeCell ref="A62:A63"/>
    <mergeCell ref="E62:E63"/>
    <mergeCell ref="F62:H62"/>
    <mergeCell ref="J62:J63"/>
    <mergeCell ref="K62:L63"/>
    <mergeCell ref="M62:N63"/>
    <mergeCell ref="O62:P63"/>
    <mergeCell ref="Q62:R63"/>
    <mergeCell ref="S62:T63"/>
    <mergeCell ref="U62:V63"/>
    <mergeCell ref="X62:AB62"/>
    <mergeCell ref="AD62:AI62"/>
    <mergeCell ref="AJ62:AL62"/>
    <mergeCell ref="AN62:AO62"/>
    <mergeCell ref="AP62:AQ62"/>
    <mergeCell ref="AR58:AS59"/>
    <mergeCell ref="AT58:AU59"/>
    <mergeCell ref="AV58:AW59"/>
    <mergeCell ref="AX58:AY59"/>
    <mergeCell ref="AZ58:AZ59"/>
    <mergeCell ref="F59:H59"/>
    <mergeCell ref="X59:AB59"/>
    <mergeCell ref="AE59:AI59"/>
    <mergeCell ref="AJ59:AL59"/>
    <mergeCell ref="AN59:AO59"/>
    <mergeCell ref="AP59:AQ59"/>
    <mergeCell ref="A60:A61"/>
    <mergeCell ref="E60:E61"/>
    <mergeCell ref="F60:H60"/>
    <mergeCell ref="J60:J61"/>
    <mergeCell ref="K60:L61"/>
    <mergeCell ref="M60:N61"/>
    <mergeCell ref="O60:P61"/>
    <mergeCell ref="Q60:R61"/>
    <mergeCell ref="S60:T61"/>
    <mergeCell ref="U60:V61"/>
    <mergeCell ref="X60:AB60"/>
    <mergeCell ref="AD60:AI60"/>
    <mergeCell ref="AJ60:AL60"/>
    <mergeCell ref="AN60:AO60"/>
    <mergeCell ref="AP60:AQ60"/>
    <mergeCell ref="AR60:AS61"/>
    <mergeCell ref="AT60:AU61"/>
    <mergeCell ref="AV60:AW61"/>
    <mergeCell ref="AX60:AY61"/>
    <mergeCell ref="AZ60:AZ61"/>
    <mergeCell ref="W58:W59"/>
    <mergeCell ref="W60:W61"/>
    <mergeCell ref="F65:H65"/>
    <mergeCell ref="X65:AB65"/>
    <mergeCell ref="AE65:AI65"/>
    <mergeCell ref="AJ65:AL65"/>
    <mergeCell ref="AN65:AO65"/>
    <mergeCell ref="AP65:AQ65"/>
    <mergeCell ref="A66:A67"/>
    <mergeCell ref="E66:E67"/>
    <mergeCell ref="F66:H66"/>
    <mergeCell ref="J66:J67"/>
    <mergeCell ref="K66:L67"/>
    <mergeCell ref="M66:N67"/>
    <mergeCell ref="O66:P67"/>
    <mergeCell ref="Q66:R67"/>
    <mergeCell ref="S66:T67"/>
    <mergeCell ref="U66:V67"/>
    <mergeCell ref="X66:AB66"/>
    <mergeCell ref="AD66:AI66"/>
    <mergeCell ref="AJ66:AL66"/>
    <mergeCell ref="AN66:AO66"/>
    <mergeCell ref="AP66:AQ66"/>
    <mergeCell ref="AR62:AS63"/>
    <mergeCell ref="AT62:AU63"/>
    <mergeCell ref="AV62:AW63"/>
    <mergeCell ref="AX62:AY63"/>
    <mergeCell ref="AZ62:AZ63"/>
    <mergeCell ref="F63:H63"/>
    <mergeCell ref="X63:AB63"/>
    <mergeCell ref="AE63:AI63"/>
    <mergeCell ref="AJ63:AL63"/>
    <mergeCell ref="AN63:AO63"/>
    <mergeCell ref="AP63:AQ63"/>
    <mergeCell ref="A64:A65"/>
    <mergeCell ref="E64:E65"/>
    <mergeCell ref="F64:H64"/>
    <mergeCell ref="J64:J65"/>
    <mergeCell ref="K64:L65"/>
    <mergeCell ref="M64:N65"/>
    <mergeCell ref="O64:P65"/>
    <mergeCell ref="Q64:R65"/>
    <mergeCell ref="S64:T65"/>
    <mergeCell ref="U64:V65"/>
    <mergeCell ref="X64:AB64"/>
    <mergeCell ref="AD64:AI64"/>
    <mergeCell ref="AJ64:AL64"/>
    <mergeCell ref="AN64:AO64"/>
    <mergeCell ref="AP64:AQ64"/>
    <mergeCell ref="AR64:AS65"/>
    <mergeCell ref="AT64:AU65"/>
    <mergeCell ref="AV64:AW65"/>
    <mergeCell ref="AX64:AY65"/>
    <mergeCell ref="AZ64:AZ65"/>
    <mergeCell ref="W62:W63"/>
    <mergeCell ref="W64:W65"/>
    <mergeCell ref="F69:H69"/>
    <mergeCell ref="X69:AB69"/>
    <mergeCell ref="AE69:AI69"/>
    <mergeCell ref="AJ69:AL69"/>
    <mergeCell ref="AN69:AO69"/>
    <mergeCell ref="AP69:AQ69"/>
    <mergeCell ref="A70:A71"/>
    <mergeCell ref="E70:E71"/>
    <mergeCell ref="F70:H70"/>
    <mergeCell ref="J70:J71"/>
    <mergeCell ref="K70:L71"/>
    <mergeCell ref="M70:N71"/>
    <mergeCell ref="O70:P71"/>
    <mergeCell ref="Q70:R71"/>
    <mergeCell ref="S70:T71"/>
    <mergeCell ref="U70:V71"/>
    <mergeCell ref="X70:AB70"/>
    <mergeCell ref="AD70:AI70"/>
    <mergeCell ref="AJ70:AL70"/>
    <mergeCell ref="AN70:AO70"/>
    <mergeCell ref="AP70:AQ70"/>
    <mergeCell ref="AR66:AS67"/>
    <mergeCell ref="AT66:AU67"/>
    <mergeCell ref="AV66:AW67"/>
    <mergeCell ref="AX66:AY67"/>
    <mergeCell ref="AZ66:AZ67"/>
    <mergeCell ref="F67:H67"/>
    <mergeCell ref="X67:AB67"/>
    <mergeCell ref="AE67:AI67"/>
    <mergeCell ref="AJ67:AL67"/>
    <mergeCell ref="AN67:AO67"/>
    <mergeCell ref="AP67:AQ67"/>
    <mergeCell ref="A68:A69"/>
    <mergeCell ref="E68:E69"/>
    <mergeCell ref="F68:H68"/>
    <mergeCell ref="J68:J69"/>
    <mergeCell ref="K68:L69"/>
    <mergeCell ref="M68:N69"/>
    <mergeCell ref="O68:P69"/>
    <mergeCell ref="Q68:R69"/>
    <mergeCell ref="S68:T69"/>
    <mergeCell ref="U68:V69"/>
    <mergeCell ref="X68:AB68"/>
    <mergeCell ref="AD68:AI68"/>
    <mergeCell ref="AJ68:AL68"/>
    <mergeCell ref="AN68:AO68"/>
    <mergeCell ref="AP68:AQ68"/>
    <mergeCell ref="AR68:AS69"/>
    <mergeCell ref="AT68:AU69"/>
    <mergeCell ref="AV68:AW69"/>
    <mergeCell ref="AX68:AY69"/>
    <mergeCell ref="AZ68:AZ69"/>
    <mergeCell ref="W66:W67"/>
    <mergeCell ref="W68:W69"/>
    <mergeCell ref="F73:H73"/>
    <mergeCell ref="X73:AB73"/>
    <mergeCell ref="AE73:AI73"/>
    <mergeCell ref="AJ73:AL73"/>
    <mergeCell ref="AN73:AO73"/>
    <mergeCell ref="AP73:AQ73"/>
    <mergeCell ref="A74:A75"/>
    <mergeCell ref="E74:E75"/>
    <mergeCell ref="F74:H74"/>
    <mergeCell ref="J74:J75"/>
    <mergeCell ref="K74:L75"/>
    <mergeCell ref="M74:N75"/>
    <mergeCell ref="O74:P75"/>
    <mergeCell ref="Q74:R75"/>
    <mergeCell ref="S74:T75"/>
    <mergeCell ref="U74:V75"/>
    <mergeCell ref="X74:AB74"/>
    <mergeCell ref="AD74:AI74"/>
    <mergeCell ref="AJ74:AL74"/>
    <mergeCell ref="AN74:AO74"/>
    <mergeCell ref="AP74:AQ74"/>
    <mergeCell ref="AR70:AS71"/>
    <mergeCell ref="AT70:AU71"/>
    <mergeCell ref="AV70:AW71"/>
    <mergeCell ref="AX70:AY71"/>
    <mergeCell ref="AZ70:AZ71"/>
    <mergeCell ref="F71:H71"/>
    <mergeCell ref="X71:AB71"/>
    <mergeCell ref="AE71:AI71"/>
    <mergeCell ref="AJ71:AL71"/>
    <mergeCell ref="AN71:AO71"/>
    <mergeCell ref="AP71:AQ71"/>
    <mergeCell ref="A72:A73"/>
    <mergeCell ref="E72:E73"/>
    <mergeCell ref="F72:H72"/>
    <mergeCell ref="J72:J73"/>
    <mergeCell ref="K72:L73"/>
    <mergeCell ref="M72:N73"/>
    <mergeCell ref="O72:P73"/>
    <mergeCell ref="Q72:R73"/>
    <mergeCell ref="S72:T73"/>
    <mergeCell ref="U72:V73"/>
    <mergeCell ref="X72:AB72"/>
    <mergeCell ref="AD72:AI72"/>
    <mergeCell ref="AJ72:AL72"/>
    <mergeCell ref="AN72:AO72"/>
    <mergeCell ref="AP72:AQ72"/>
    <mergeCell ref="AR72:AS73"/>
    <mergeCell ref="AT72:AU73"/>
    <mergeCell ref="AV72:AW73"/>
    <mergeCell ref="AX72:AY73"/>
    <mergeCell ref="AZ72:AZ73"/>
    <mergeCell ref="W70:W71"/>
    <mergeCell ref="W72:W73"/>
    <mergeCell ref="F77:H77"/>
    <mergeCell ref="X77:AB77"/>
    <mergeCell ref="AE77:AI77"/>
    <mergeCell ref="AJ77:AL77"/>
    <mergeCell ref="AN77:AO77"/>
    <mergeCell ref="AP77:AQ77"/>
    <mergeCell ref="A78:A79"/>
    <mergeCell ref="E78:E79"/>
    <mergeCell ref="F78:H78"/>
    <mergeCell ref="J78:J79"/>
    <mergeCell ref="K78:L79"/>
    <mergeCell ref="M78:N79"/>
    <mergeCell ref="O78:P79"/>
    <mergeCell ref="Q78:R79"/>
    <mergeCell ref="S78:T79"/>
    <mergeCell ref="U78:V79"/>
    <mergeCell ref="X78:AB78"/>
    <mergeCell ref="AD78:AI78"/>
    <mergeCell ref="AJ78:AL78"/>
    <mergeCell ref="AN78:AO78"/>
    <mergeCell ref="AP78:AQ78"/>
    <mergeCell ref="AR74:AS75"/>
    <mergeCell ref="AT74:AU75"/>
    <mergeCell ref="AV74:AW75"/>
    <mergeCell ref="AX74:AY75"/>
    <mergeCell ref="AZ74:AZ75"/>
    <mergeCell ref="F75:H75"/>
    <mergeCell ref="X75:AB75"/>
    <mergeCell ref="AE75:AI75"/>
    <mergeCell ref="AJ75:AL75"/>
    <mergeCell ref="AN75:AO75"/>
    <mergeCell ref="AP75:AQ75"/>
    <mergeCell ref="A76:A77"/>
    <mergeCell ref="E76:E77"/>
    <mergeCell ref="F76:H76"/>
    <mergeCell ref="J76:J77"/>
    <mergeCell ref="K76:L77"/>
    <mergeCell ref="M76:N77"/>
    <mergeCell ref="O76:P77"/>
    <mergeCell ref="Q76:R77"/>
    <mergeCell ref="S76:T77"/>
    <mergeCell ref="U76:V77"/>
    <mergeCell ref="X76:AB76"/>
    <mergeCell ref="AD76:AI76"/>
    <mergeCell ref="AJ76:AL76"/>
    <mergeCell ref="AN76:AO76"/>
    <mergeCell ref="AP76:AQ76"/>
    <mergeCell ref="AR76:AS77"/>
    <mergeCell ref="AT76:AU77"/>
    <mergeCell ref="AV76:AW77"/>
    <mergeCell ref="AX76:AY77"/>
    <mergeCell ref="AZ76:AZ77"/>
    <mergeCell ref="W74:W75"/>
    <mergeCell ref="W76:W77"/>
    <mergeCell ref="F81:H81"/>
    <mergeCell ref="X81:AB81"/>
    <mergeCell ref="AE81:AI81"/>
    <mergeCell ref="AJ81:AL81"/>
    <mergeCell ref="AN81:AO81"/>
    <mergeCell ref="AP81:AQ81"/>
    <mergeCell ref="A82:A83"/>
    <mergeCell ref="E82:E83"/>
    <mergeCell ref="F82:H82"/>
    <mergeCell ref="J82:J83"/>
    <mergeCell ref="K82:L83"/>
    <mergeCell ref="M82:N83"/>
    <mergeCell ref="O82:P83"/>
    <mergeCell ref="Q82:R83"/>
    <mergeCell ref="S82:T83"/>
    <mergeCell ref="U82:V83"/>
    <mergeCell ref="X82:AB82"/>
    <mergeCell ref="AD82:AI82"/>
    <mergeCell ref="AJ82:AL82"/>
    <mergeCell ref="AN82:AO82"/>
    <mergeCell ref="AP82:AQ82"/>
    <mergeCell ref="AR78:AS79"/>
    <mergeCell ref="AT78:AU79"/>
    <mergeCell ref="AV78:AW79"/>
    <mergeCell ref="AX78:AY79"/>
    <mergeCell ref="AZ78:AZ79"/>
    <mergeCell ref="F79:H79"/>
    <mergeCell ref="X79:AB79"/>
    <mergeCell ref="AE79:AI79"/>
    <mergeCell ref="AJ79:AL79"/>
    <mergeCell ref="AN79:AO79"/>
    <mergeCell ref="AP79:AQ79"/>
    <mergeCell ref="A80:A81"/>
    <mergeCell ref="E80:E81"/>
    <mergeCell ref="F80:H80"/>
    <mergeCell ref="J80:J81"/>
    <mergeCell ref="K80:L81"/>
    <mergeCell ref="M80:N81"/>
    <mergeCell ref="O80:P81"/>
    <mergeCell ref="Q80:R81"/>
    <mergeCell ref="S80:T81"/>
    <mergeCell ref="U80:V81"/>
    <mergeCell ref="X80:AB80"/>
    <mergeCell ref="AD80:AI80"/>
    <mergeCell ref="AJ80:AL80"/>
    <mergeCell ref="AN80:AO80"/>
    <mergeCell ref="AP80:AQ80"/>
    <mergeCell ref="AR80:AS81"/>
    <mergeCell ref="AT80:AU81"/>
    <mergeCell ref="AV80:AW81"/>
    <mergeCell ref="AX80:AY81"/>
    <mergeCell ref="AZ80:AZ81"/>
    <mergeCell ref="W78:W79"/>
    <mergeCell ref="W80:W81"/>
    <mergeCell ref="F85:H85"/>
    <mergeCell ref="X85:AB85"/>
    <mergeCell ref="AE85:AI85"/>
    <mergeCell ref="AJ85:AL85"/>
    <mergeCell ref="AN85:AO85"/>
    <mergeCell ref="AP85:AQ85"/>
    <mergeCell ref="A86:A87"/>
    <mergeCell ref="E86:E87"/>
    <mergeCell ref="F86:H86"/>
    <mergeCell ref="J86:J87"/>
    <mergeCell ref="K86:L87"/>
    <mergeCell ref="M86:N87"/>
    <mergeCell ref="O86:P87"/>
    <mergeCell ref="Q86:R87"/>
    <mergeCell ref="S86:T87"/>
    <mergeCell ref="U86:V87"/>
    <mergeCell ref="X86:AB86"/>
    <mergeCell ref="AD86:AI86"/>
    <mergeCell ref="AJ86:AL86"/>
    <mergeCell ref="AN86:AO86"/>
    <mergeCell ref="AP86:AQ86"/>
    <mergeCell ref="AR82:AS83"/>
    <mergeCell ref="AT82:AU83"/>
    <mergeCell ref="AV82:AW83"/>
    <mergeCell ref="AX82:AY83"/>
    <mergeCell ref="AZ82:AZ83"/>
    <mergeCell ref="F83:H83"/>
    <mergeCell ref="X83:AB83"/>
    <mergeCell ref="AE83:AI83"/>
    <mergeCell ref="AJ83:AL83"/>
    <mergeCell ref="AN83:AO83"/>
    <mergeCell ref="AP83:AQ83"/>
    <mergeCell ref="A84:A85"/>
    <mergeCell ref="E84:E85"/>
    <mergeCell ref="F84:H84"/>
    <mergeCell ref="J84:J85"/>
    <mergeCell ref="K84:L85"/>
    <mergeCell ref="M84:N85"/>
    <mergeCell ref="O84:P85"/>
    <mergeCell ref="Q84:R85"/>
    <mergeCell ref="S84:T85"/>
    <mergeCell ref="U84:V85"/>
    <mergeCell ref="X84:AB84"/>
    <mergeCell ref="AD84:AI84"/>
    <mergeCell ref="AJ84:AL84"/>
    <mergeCell ref="AN84:AO84"/>
    <mergeCell ref="AP84:AQ84"/>
    <mergeCell ref="AR84:AS85"/>
    <mergeCell ref="AT84:AU85"/>
    <mergeCell ref="AV84:AW85"/>
    <mergeCell ref="AX84:AY85"/>
    <mergeCell ref="AZ84:AZ85"/>
    <mergeCell ref="W82:W83"/>
    <mergeCell ref="W84:W85"/>
    <mergeCell ref="F89:H89"/>
    <mergeCell ref="X89:AB89"/>
    <mergeCell ref="AE89:AI89"/>
    <mergeCell ref="AJ89:AL89"/>
    <mergeCell ref="AN89:AO89"/>
    <mergeCell ref="AP89:AQ89"/>
    <mergeCell ref="A90:A91"/>
    <mergeCell ref="E90:E91"/>
    <mergeCell ref="F90:H90"/>
    <mergeCell ref="J90:J91"/>
    <mergeCell ref="K90:L91"/>
    <mergeCell ref="M90:N91"/>
    <mergeCell ref="O90:P91"/>
    <mergeCell ref="Q90:R91"/>
    <mergeCell ref="S90:T91"/>
    <mergeCell ref="U90:V91"/>
    <mergeCell ref="X90:AB90"/>
    <mergeCell ref="AD90:AI90"/>
    <mergeCell ref="AJ90:AL90"/>
    <mergeCell ref="AN90:AO90"/>
    <mergeCell ref="AP90:AQ90"/>
    <mergeCell ref="AR86:AS87"/>
    <mergeCell ref="AT86:AU87"/>
    <mergeCell ref="AV86:AW87"/>
    <mergeCell ref="AX86:AY87"/>
    <mergeCell ref="AZ86:AZ87"/>
    <mergeCell ref="F87:H87"/>
    <mergeCell ref="X87:AB87"/>
    <mergeCell ref="AE87:AI87"/>
    <mergeCell ref="AJ87:AL87"/>
    <mergeCell ref="AN87:AO87"/>
    <mergeCell ref="AP87:AQ87"/>
    <mergeCell ref="A88:A89"/>
    <mergeCell ref="E88:E89"/>
    <mergeCell ref="F88:H88"/>
    <mergeCell ref="J88:J89"/>
    <mergeCell ref="K88:L89"/>
    <mergeCell ref="M88:N89"/>
    <mergeCell ref="O88:P89"/>
    <mergeCell ref="Q88:R89"/>
    <mergeCell ref="S88:T89"/>
    <mergeCell ref="U88:V89"/>
    <mergeCell ref="X88:AB88"/>
    <mergeCell ref="AD88:AI88"/>
    <mergeCell ref="AJ88:AL88"/>
    <mergeCell ref="AN88:AO88"/>
    <mergeCell ref="AP88:AQ88"/>
    <mergeCell ref="AR88:AS89"/>
    <mergeCell ref="AT88:AU89"/>
    <mergeCell ref="AV88:AW89"/>
    <mergeCell ref="AX88:AY89"/>
    <mergeCell ref="AZ88:AZ89"/>
    <mergeCell ref="W86:W87"/>
    <mergeCell ref="W88:W89"/>
    <mergeCell ref="F93:H93"/>
    <mergeCell ref="X93:AB93"/>
    <mergeCell ref="AE93:AI93"/>
    <mergeCell ref="AJ93:AL93"/>
    <mergeCell ref="AN93:AO93"/>
    <mergeCell ref="AP93:AQ93"/>
    <mergeCell ref="A94:A95"/>
    <mergeCell ref="E94:E95"/>
    <mergeCell ref="F94:H94"/>
    <mergeCell ref="J94:J95"/>
    <mergeCell ref="K94:L95"/>
    <mergeCell ref="M94:N95"/>
    <mergeCell ref="O94:P95"/>
    <mergeCell ref="Q94:R95"/>
    <mergeCell ref="S94:T95"/>
    <mergeCell ref="U94:V95"/>
    <mergeCell ref="X94:AB94"/>
    <mergeCell ref="AD94:AI94"/>
    <mergeCell ref="AJ94:AL94"/>
    <mergeCell ref="AN94:AO94"/>
    <mergeCell ref="AP94:AQ94"/>
    <mergeCell ref="AR90:AS91"/>
    <mergeCell ref="AT90:AU91"/>
    <mergeCell ref="AV90:AW91"/>
    <mergeCell ref="AX90:AY91"/>
    <mergeCell ref="AZ90:AZ91"/>
    <mergeCell ref="F91:H91"/>
    <mergeCell ref="X91:AB91"/>
    <mergeCell ref="AE91:AI91"/>
    <mergeCell ref="AJ91:AL91"/>
    <mergeCell ref="AN91:AO91"/>
    <mergeCell ref="AP91:AQ91"/>
    <mergeCell ref="A92:A93"/>
    <mergeCell ref="E92:E93"/>
    <mergeCell ref="F92:H92"/>
    <mergeCell ref="J92:J93"/>
    <mergeCell ref="K92:L93"/>
    <mergeCell ref="M92:N93"/>
    <mergeCell ref="O92:P93"/>
    <mergeCell ref="Q92:R93"/>
    <mergeCell ref="S92:T93"/>
    <mergeCell ref="U92:V93"/>
    <mergeCell ref="X92:AB92"/>
    <mergeCell ref="AD92:AI92"/>
    <mergeCell ref="AJ92:AL92"/>
    <mergeCell ref="AN92:AO92"/>
    <mergeCell ref="AP92:AQ92"/>
    <mergeCell ref="AR92:AS93"/>
    <mergeCell ref="AT92:AU93"/>
    <mergeCell ref="AV92:AW93"/>
    <mergeCell ref="AX92:AY93"/>
    <mergeCell ref="AZ92:AZ93"/>
    <mergeCell ref="W90:W91"/>
    <mergeCell ref="W92:W93"/>
    <mergeCell ref="F97:H97"/>
    <mergeCell ref="X97:AB97"/>
    <mergeCell ref="AE97:AI97"/>
    <mergeCell ref="AJ97:AL97"/>
    <mergeCell ref="AN97:AO97"/>
    <mergeCell ref="AP97:AQ97"/>
    <mergeCell ref="A98:A99"/>
    <mergeCell ref="E98:E99"/>
    <mergeCell ref="F98:H98"/>
    <mergeCell ref="J98:J99"/>
    <mergeCell ref="K98:L99"/>
    <mergeCell ref="M98:N99"/>
    <mergeCell ref="O98:P99"/>
    <mergeCell ref="Q98:R99"/>
    <mergeCell ref="S98:T99"/>
    <mergeCell ref="U98:V99"/>
    <mergeCell ref="X98:AB98"/>
    <mergeCell ref="AD98:AI98"/>
    <mergeCell ref="AJ98:AL98"/>
    <mergeCell ref="AN98:AO98"/>
    <mergeCell ref="AP98:AQ98"/>
    <mergeCell ref="AR94:AS95"/>
    <mergeCell ref="AT94:AU95"/>
    <mergeCell ref="AV94:AW95"/>
    <mergeCell ref="AX94:AY95"/>
    <mergeCell ref="AZ94:AZ95"/>
    <mergeCell ref="F95:H95"/>
    <mergeCell ref="X95:AB95"/>
    <mergeCell ref="AE95:AI95"/>
    <mergeCell ref="AJ95:AL95"/>
    <mergeCell ref="AN95:AO95"/>
    <mergeCell ref="AP95:AQ95"/>
    <mergeCell ref="A96:A97"/>
    <mergeCell ref="E96:E97"/>
    <mergeCell ref="F96:H96"/>
    <mergeCell ref="J96:J97"/>
    <mergeCell ref="K96:L97"/>
    <mergeCell ref="M96:N97"/>
    <mergeCell ref="O96:P97"/>
    <mergeCell ref="Q96:R97"/>
    <mergeCell ref="S96:T97"/>
    <mergeCell ref="U96:V97"/>
    <mergeCell ref="X96:AB96"/>
    <mergeCell ref="AD96:AI96"/>
    <mergeCell ref="AJ96:AL96"/>
    <mergeCell ref="AN96:AO96"/>
    <mergeCell ref="AP96:AQ96"/>
    <mergeCell ref="AR96:AS97"/>
    <mergeCell ref="AT96:AU97"/>
    <mergeCell ref="AV96:AW97"/>
    <mergeCell ref="AX96:AY97"/>
    <mergeCell ref="AZ96:AZ97"/>
    <mergeCell ref="W94:W95"/>
    <mergeCell ref="W96:W97"/>
    <mergeCell ref="F101:H101"/>
    <mergeCell ref="X101:AB101"/>
    <mergeCell ref="AE101:AI101"/>
    <mergeCell ref="AJ101:AL101"/>
    <mergeCell ref="AN101:AO101"/>
    <mergeCell ref="AP101:AQ101"/>
    <mergeCell ref="A102:A103"/>
    <mergeCell ref="E102:E103"/>
    <mergeCell ref="F102:H102"/>
    <mergeCell ref="J102:J103"/>
    <mergeCell ref="K102:L103"/>
    <mergeCell ref="M102:N103"/>
    <mergeCell ref="O102:P103"/>
    <mergeCell ref="Q102:R103"/>
    <mergeCell ref="S102:T103"/>
    <mergeCell ref="U102:V103"/>
    <mergeCell ref="X102:AB102"/>
    <mergeCell ref="AD102:AI102"/>
    <mergeCell ref="AJ102:AL102"/>
    <mergeCell ref="AN102:AO102"/>
    <mergeCell ref="AP102:AQ102"/>
    <mergeCell ref="AR98:AS99"/>
    <mergeCell ref="AT98:AU99"/>
    <mergeCell ref="AV98:AW99"/>
    <mergeCell ref="AX98:AY99"/>
    <mergeCell ref="AZ98:AZ99"/>
    <mergeCell ref="F99:H99"/>
    <mergeCell ref="X99:AB99"/>
    <mergeCell ref="AE99:AI99"/>
    <mergeCell ref="AJ99:AL99"/>
    <mergeCell ref="AN99:AO99"/>
    <mergeCell ref="AP99:AQ99"/>
    <mergeCell ref="A100:A101"/>
    <mergeCell ref="E100:E101"/>
    <mergeCell ref="F100:H100"/>
    <mergeCell ref="J100:J101"/>
    <mergeCell ref="K100:L101"/>
    <mergeCell ref="M100:N101"/>
    <mergeCell ref="O100:P101"/>
    <mergeCell ref="Q100:R101"/>
    <mergeCell ref="S100:T101"/>
    <mergeCell ref="U100:V101"/>
    <mergeCell ref="X100:AB100"/>
    <mergeCell ref="AD100:AI100"/>
    <mergeCell ref="AJ100:AL100"/>
    <mergeCell ref="AN100:AO100"/>
    <mergeCell ref="AP100:AQ100"/>
    <mergeCell ref="AR100:AS101"/>
    <mergeCell ref="AT100:AU101"/>
    <mergeCell ref="AV100:AW101"/>
    <mergeCell ref="AX100:AY101"/>
    <mergeCell ref="AZ100:AZ101"/>
    <mergeCell ref="W98:W99"/>
    <mergeCell ref="W100:W101"/>
    <mergeCell ref="F105:H105"/>
    <mergeCell ref="X105:AB105"/>
    <mergeCell ref="AE105:AI105"/>
    <mergeCell ref="AJ105:AL105"/>
    <mergeCell ref="AN105:AO105"/>
    <mergeCell ref="AP105:AQ105"/>
    <mergeCell ref="A106:A107"/>
    <mergeCell ref="E106:E107"/>
    <mergeCell ref="F106:H106"/>
    <mergeCell ref="J106:J107"/>
    <mergeCell ref="K106:L107"/>
    <mergeCell ref="M106:N107"/>
    <mergeCell ref="O106:P107"/>
    <mergeCell ref="Q106:R107"/>
    <mergeCell ref="S106:T107"/>
    <mergeCell ref="U106:V107"/>
    <mergeCell ref="X106:AB106"/>
    <mergeCell ref="AD106:AI106"/>
    <mergeCell ref="AJ106:AL106"/>
    <mergeCell ref="AN106:AO106"/>
    <mergeCell ref="AP106:AQ106"/>
    <mergeCell ref="AR102:AS103"/>
    <mergeCell ref="AT102:AU103"/>
    <mergeCell ref="AV102:AW103"/>
    <mergeCell ref="AX102:AY103"/>
    <mergeCell ref="AZ102:AZ103"/>
    <mergeCell ref="F103:H103"/>
    <mergeCell ref="X103:AB103"/>
    <mergeCell ref="AE103:AI103"/>
    <mergeCell ref="AJ103:AL103"/>
    <mergeCell ref="AN103:AO103"/>
    <mergeCell ref="AP103:AQ103"/>
    <mergeCell ref="A104:A105"/>
    <mergeCell ref="E104:E105"/>
    <mergeCell ref="F104:H104"/>
    <mergeCell ref="J104:J105"/>
    <mergeCell ref="K104:L105"/>
    <mergeCell ref="M104:N105"/>
    <mergeCell ref="O104:P105"/>
    <mergeCell ref="Q104:R105"/>
    <mergeCell ref="S104:T105"/>
    <mergeCell ref="U104:V105"/>
    <mergeCell ref="X104:AB104"/>
    <mergeCell ref="AD104:AI104"/>
    <mergeCell ref="AJ104:AL104"/>
    <mergeCell ref="AN104:AO104"/>
    <mergeCell ref="AP104:AQ104"/>
    <mergeCell ref="AR104:AS105"/>
    <mergeCell ref="AT104:AU105"/>
    <mergeCell ref="AV104:AW105"/>
    <mergeCell ref="AX104:AY105"/>
    <mergeCell ref="AZ104:AZ105"/>
    <mergeCell ref="W102:W103"/>
    <mergeCell ref="W104:W105"/>
    <mergeCell ref="F109:H109"/>
    <mergeCell ref="X109:AB109"/>
    <mergeCell ref="AE109:AI109"/>
    <mergeCell ref="AJ109:AL109"/>
    <mergeCell ref="AN109:AO109"/>
    <mergeCell ref="AP109:AQ109"/>
    <mergeCell ref="A110:A111"/>
    <mergeCell ref="E110:E111"/>
    <mergeCell ref="F110:H110"/>
    <mergeCell ref="J110:J111"/>
    <mergeCell ref="K110:L111"/>
    <mergeCell ref="M110:N111"/>
    <mergeCell ref="O110:P111"/>
    <mergeCell ref="Q110:R111"/>
    <mergeCell ref="S110:T111"/>
    <mergeCell ref="U110:V111"/>
    <mergeCell ref="X110:AB110"/>
    <mergeCell ref="AD110:AI110"/>
    <mergeCell ref="AJ110:AL110"/>
    <mergeCell ref="AN110:AO110"/>
    <mergeCell ref="AP110:AQ110"/>
    <mergeCell ref="AR106:AS107"/>
    <mergeCell ref="AT106:AU107"/>
    <mergeCell ref="AV106:AW107"/>
    <mergeCell ref="AX106:AY107"/>
    <mergeCell ref="AZ106:AZ107"/>
    <mergeCell ref="F107:H107"/>
    <mergeCell ref="X107:AB107"/>
    <mergeCell ref="AE107:AI107"/>
    <mergeCell ref="AJ107:AL107"/>
    <mergeCell ref="AN107:AO107"/>
    <mergeCell ref="AP107:AQ107"/>
    <mergeCell ref="A108:A109"/>
    <mergeCell ref="E108:E109"/>
    <mergeCell ref="F108:H108"/>
    <mergeCell ref="J108:J109"/>
    <mergeCell ref="K108:L109"/>
    <mergeCell ref="M108:N109"/>
    <mergeCell ref="O108:P109"/>
    <mergeCell ref="Q108:R109"/>
    <mergeCell ref="S108:T109"/>
    <mergeCell ref="U108:V109"/>
    <mergeCell ref="X108:AB108"/>
    <mergeCell ref="AD108:AI108"/>
    <mergeCell ref="AJ108:AL108"/>
    <mergeCell ref="AN108:AO108"/>
    <mergeCell ref="AP108:AQ108"/>
    <mergeCell ref="AR108:AS109"/>
    <mergeCell ref="AT108:AU109"/>
    <mergeCell ref="AV108:AW109"/>
    <mergeCell ref="AX108:AY109"/>
    <mergeCell ref="AZ108:AZ109"/>
    <mergeCell ref="W106:W107"/>
    <mergeCell ref="W108:W109"/>
    <mergeCell ref="F113:H113"/>
    <mergeCell ref="X113:AB113"/>
    <mergeCell ref="AE113:AI113"/>
    <mergeCell ref="AJ113:AL113"/>
    <mergeCell ref="AN113:AO113"/>
    <mergeCell ref="AP113:AQ113"/>
    <mergeCell ref="A114:A115"/>
    <mergeCell ref="E114:E115"/>
    <mergeCell ref="F114:H114"/>
    <mergeCell ref="J114:J115"/>
    <mergeCell ref="K114:L115"/>
    <mergeCell ref="M114:N115"/>
    <mergeCell ref="O114:P115"/>
    <mergeCell ref="Q114:R115"/>
    <mergeCell ref="S114:T115"/>
    <mergeCell ref="U114:V115"/>
    <mergeCell ref="X114:AB114"/>
    <mergeCell ref="AD114:AI114"/>
    <mergeCell ref="AJ114:AL114"/>
    <mergeCell ref="AN114:AO114"/>
    <mergeCell ref="AP114:AQ114"/>
    <mergeCell ref="AR110:AS111"/>
    <mergeCell ref="AT110:AU111"/>
    <mergeCell ref="AV110:AW111"/>
    <mergeCell ref="AX110:AY111"/>
    <mergeCell ref="AZ110:AZ111"/>
    <mergeCell ref="F111:H111"/>
    <mergeCell ref="X111:AB111"/>
    <mergeCell ref="AE111:AI111"/>
    <mergeCell ref="AJ111:AL111"/>
    <mergeCell ref="AN111:AO111"/>
    <mergeCell ref="AP111:AQ111"/>
    <mergeCell ref="A112:A113"/>
    <mergeCell ref="E112:E113"/>
    <mergeCell ref="F112:H112"/>
    <mergeCell ref="J112:J113"/>
    <mergeCell ref="K112:L113"/>
    <mergeCell ref="M112:N113"/>
    <mergeCell ref="O112:P113"/>
    <mergeCell ref="Q112:R113"/>
    <mergeCell ref="S112:T113"/>
    <mergeCell ref="U112:V113"/>
    <mergeCell ref="X112:AB112"/>
    <mergeCell ref="AD112:AI112"/>
    <mergeCell ref="AJ112:AL112"/>
    <mergeCell ref="AN112:AO112"/>
    <mergeCell ref="AP112:AQ112"/>
    <mergeCell ref="AR112:AS113"/>
    <mergeCell ref="AT112:AU113"/>
    <mergeCell ref="AV112:AW113"/>
    <mergeCell ref="AX112:AY113"/>
    <mergeCell ref="AZ112:AZ113"/>
    <mergeCell ref="W110:W111"/>
    <mergeCell ref="W112:W113"/>
    <mergeCell ref="F117:H117"/>
    <mergeCell ref="X117:AB117"/>
    <mergeCell ref="AE117:AI117"/>
    <mergeCell ref="AJ117:AL117"/>
    <mergeCell ref="AN117:AO117"/>
    <mergeCell ref="AP117:AQ117"/>
    <mergeCell ref="A118:A119"/>
    <mergeCell ref="E118:E119"/>
    <mergeCell ref="F118:H118"/>
    <mergeCell ref="J118:J119"/>
    <mergeCell ref="K118:L119"/>
    <mergeCell ref="M118:N119"/>
    <mergeCell ref="O118:P119"/>
    <mergeCell ref="Q118:R119"/>
    <mergeCell ref="S118:T119"/>
    <mergeCell ref="U118:V119"/>
    <mergeCell ref="X118:AB118"/>
    <mergeCell ref="AD118:AI118"/>
    <mergeCell ref="AJ118:AL118"/>
    <mergeCell ref="AN118:AO118"/>
    <mergeCell ref="AP118:AQ118"/>
    <mergeCell ref="AR114:AS115"/>
    <mergeCell ref="AT114:AU115"/>
    <mergeCell ref="AV114:AW115"/>
    <mergeCell ref="AX114:AY115"/>
    <mergeCell ref="AZ114:AZ115"/>
    <mergeCell ref="F115:H115"/>
    <mergeCell ref="X115:AB115"/>
    <mergeCell ref="AE115:AI115"/>
    <mergeCell ref="AJ115:AL115"/>
    <mergeCell ref="AN115:AO115"/>
    <mergeCell ref="AP115:AQ115"/>
    <mergeCell ref="A116:A117"/>
    <mergeCell ref="E116:E117"/>
    <mergeCell ref="F116:H116"/>
    <mergeCell ref="J116:J117"/>
    <mergeCell ref="K116:L117"/>
    <mergeCell ref="M116:N117"/>
    <mergeCell ref="O116:P117"/>
    <mergeCell ref="Q116:R117"/>
    <mergeCell ref="S116:T117"/>
    <mergeCell ref="U116:V117"/>
    <mergeCell ref="X116:AB116"/>
    <mergeCell ref="AD116:AI116"/>
    <mergeCell ref="AJ116:AL116"/>
    <mergeCell ref="AN116:AO116"/>
    <mergeCell ref="AP116:AQ116"/>
    <mergeCell ref="AR116:AS117"/>
    <mergeCell ref="AT116:AU117"/>
    <mergeCell ref="AV116:AW117"/>
    <mergeCell ref="AX116:AY117"/>
    <mergeCell ref="AZ116:AZ117"/>
    <mergeCell ref="W114:W115"/>
    <mergeCell ref="W116:W117"/>
    <mergeCell ref="F121:H121"/>
    <mergeCell ref="X121:AB121"/>
    <mergeCell ref="AE121:AI121"/>
    <mergeCell ref="AJ121:AL121"/>
    <mergeCell ref="AN121:AO121"/>
    <mergeCell ref="AP121:AQ121"/>
    <mergeCell ref="A122:A123"/>
    <mergeCell ref="E122:E123"/>
    <mergeCell ref="F122:H122"/>
    <mergeCell ref="J122:J123"/>
    <mergeCell ref="K122:L123"/>
    <mergeCell ref="M122:N123"/>
    <mergeCell ref="O122:P123"/>
    <mergeCell ref="Q122:R123"/>
    <mergeCell ref="S122:T123"/>
    <mergeCell ref="U122:V123"/>
    <mergeCell ref="X122:AB122"/>
    <mergeCell ref="AD122:AI122"/>
    <mergeCell ref="AJ122:AL122"/>
    <mergeCell ref="AN122:AO122"/>
    <mergeCell ref="AP122:AQ122"/>
    <mergeCell ref="AR118:AS119"/>
    <mergeCell ref="AT118:AU119"/>
    <mergeCell ref="AV118:AW119"/>
    <mergeCell ref="AX118:AY119"/>
    <mergeCell ref="AZ118:AZ119"/>
    <mergeCell ref="F119:H119"/>
    <mergeCell ref="X119:AB119"/>
    <mergeCell ref="AE119:AI119"/>
    <mergeCell ref="AJ119:AL119"/>
    <mergeCell ref="AN119:AO119"/>
    <mergeCell ref="AP119:AQ119"/>
    <mergeCell ref="A120:A121"/>
    <mergeCell ref="E120:E121"/>
    <mergeCell ref="F120:H120"/>
    <mergeCell ref="J120:J121"/>
    <mergeCell ref="K120:L121"/>
    <mergeCell ref="M120:N121"/>
    <mergeCell ref="O120:P121"/>
    <mergeCell ref="Q120:R121"/>
    <mergeCell ref="S120:T121"/>
    <mergeCell ref="U120:V121"/>
    <mergeCell ref="X120:AB120"/>
    <mergeCell ref="AD120:AI120"/>
    <mergeCell ref="AJ120:AL120"/>
    <mergeCell ref="AN120:AO120"/>
    <mergeCell ref="AP120:AQ120"/>
    <mergeCell ref="AR120:AS121"/>
    <mergeCell ref="AT120:AU121"/>
    <mergeCell ref="AV120:AW121"/>
    <mergeCell ref="AX120:AY121"/>
    <mergeCell ref="AZ120:AZ121"/>
    <mergeCell ref="W118:W119"/>
    <mergeCell ref="W120:W121"/>
    <mergeCell ref="F125:H125"/>
    <mergeCell ref="X125:AB125"/>
    <mergeCell ref="AE125:AI125"/>
    <mergeCell ref="AJ125:AL125"/>
    <mergeCell ref="AN125:AO125"/>
    <mergeCell ref="AP125:AQ125"/>
    <mergeCell ref="A126:A127"/>
    <mergeCell ref="E126:E127"/>
    <mergeCell ref="F126:H126"/>
    <mergeCell ref="J126:J127"/>
    <mergeCell ref="K126:L127"/>
    <mergeCell ref="M126:N127"/>
    <mergeCell ref="O126:P127"/>
    <mergeCell ref="Q126:R127"/>
    <mergeCell ref="S126:T127"/>
    <mergeCell ref="U126:V127"/>
    <mergeCell ref="X126:AB126"/>
    <mergeCell ref="AD126:AI126"/>
    <mergeCell ref="AJ126:AL126"/>
    <mergeCell ref="AN126:AO126"/>
    <mergeCell ref="AP126:AQ126"/>
    <mergeCell ref="AR122:AS123"/>
    <mergeCell ref="AT122:AU123"/>
    <mergeCell ref="AV122:AW123"/>
    <mergeCell ref="AX122:AY123"/>
    <mergeCell ref="AZ122:AZ123"/>
    <mergeCell ref="F123:H123"/>
    <mergeCell ref="X123:AB123"/>
    <mergeCell ref="AE123:AI123"/>
    <mergeCell ref="AJ123:AL123"/>
    <mergeCell ref="AN123:AO123"/>
    <mergeCell ref="AP123:AQ123"/>
    <mergeCell ref="A124:A125"/>
    <mergeCell ref="E124:E125"/>
    <mergeCell ref="F124:H124"/>
    <mergeCell ref="J124:J125"/>
    <mergeCell ref="K124:L125"/>
    <mergeCell ref="M124:N125"/>
    <mergeCell ref="O124:P125"/>
    <mergeCell ref="Q124:R125"/>
    <mergeCell ref="S124:T125"/>
    <mergeCell ref="U124:V125"/>
    <mergeCell ref="X124:AB124"/>
    <mergeCell ref="AD124:AI124"/>
    <mergeCell ref="AJ124:AL124"/>
    <mergeCell ref="AN124:AO124"/>
    <mergeCell ref="AP124:AQ124"/>
    <mergeCell ref="AR124:AS125"/>
    <mergeCell ref="AT124:AU125"/>
    <mergeCell ref="AV124:AW125"/>
    <mergeCell ref="AX124:AY125"/>
    <mergeCell ref="AZ124:AZ125"/>
    <mergeCell ref="W122:W123"/>
    <mergeCell ref="W124:W125"/>
    <mergeCell ref="F129:H129"/>
    <mergeCell ref="X129:AB129"/>
    <mergeCell ref="AE129:AI129"/>
    <mergeCell ref="AJ129:AL129"/>
    <mergeCell ref="AN129:AO129"/>
    <mergeCell ref="AP129:AQ129"/>
    <mergeCell ref="A130:A131"/>
    <mergeCell ref="E130:E131"/>
    <mergeCell ref="F130:H130"/>
    <mergeCell ref="J130:J131"/>
    <mergeCell ref="K130:L131"/>
    <mergeCell ref="M130:N131"/>
    <mergeCell ref="O130:P131"/>
    <mergeCell ref="Q130:R131"/>
    <mergeCell ref="S130:T131"/>
    <mergeCell ref="U130:V131"/>
    <mergeCell ref="X130:AB130"/>
    <mergeCell ref="AD130:AI130"/>
    <mergeCell ref="AJ130:AL130"/>
    <mergeCell ref="AN130:AO130"/>
    <mergeCell ref="AP130:AQ130"/>
    <mergeCell ref="AR126:AS127"/>
    <mergeCell ref="AT126:AU127"/>
    <mergeCell ref="AV126:AW127"/>
    <mergeCell ref="AX126:AY127"/>
    <mergeCell ref="AZ126:AZ127"/>
    <mergeCell ref="F127:H127"/>
    <mergeCell ref="X127:AB127"/>
    <mergeCell ref="AE127:AI127"/>
    <mergeCell ref="AJ127:AL127"/>
    <mergeCell ref="AN127:AO127"/>
    <mergeCell ref="AP127:AQ127"/>
    <mergeCell ref="A128:A129"/>
    <mergeCell ref="E128:E129"/>
    <mergeCell ref="F128:H128"/>
    <mergeCell ref="J128:J129"/>
    <mergeCell ref="K128:L129"/>
    <mergeCell ref="M128:N129"/>
    <mergeCell ref="O128:P129"/>
    <mergeCell ref="Q128:R129"/>
    <mergeCell ref="S128:T129"/>
    <mergeCell ref="U128:V129"/>
    <mergeCell ref="X128:AB128"/>
    <mergeCell ref="AD128:AI128"/>
    <mergeCell ref="AJ128:AL128"/>
    <mergeCell ref="AN128:AO128"/>
    <mergeCell ref="AP128:AQ128"/>
    <mergeCell ref="AR128:AS129"/>
    <mergeCell ref="AT128:AU129"/>
    <mergeCell ref="AV128:AW129"/>
    <mergeCell ref="AX128:AY129"/>
    <mergeCell ref="AZ128:AZ129"/>
    <mergeCell ref="W126:W127"/>
    <mergeCell ref="W128:W129"/>
    <mergeCell ref="AR130:AS131"/>
    <mergeCell ref="AT130:AU131"/>
    <mergeCell ref="AV130:AW131"/>
    <mergeCell ref="AX130:AY131"/>
    <mergeCell ref="AZ130:AZ131"/>
    <mergeCell ref="F131:H131"/>
    <mergeCell ref="X131:AB131"/>
    <mergeCell ref="AE131:AI131"/>
    <mergeCell ref="AJ131:AL131"/>
    <mergeCell ref="AN131:AO131"/>
    <mergeCell ref="AP131:AQ131"/>
    <mergeCell ref="A132:A133"/>
    <mergeCell ref="E132:E133"/>
    <mergeCell ref="F132:H132"/>
    <mergeCell ref="J132:J133"/>
    <mergeCell ref="K132:L133"/>
    <mergeCell ref="M132:N133"/>
    <mergeCell ref="O132:P133"/>
    <mergeCell ref="Q132:R133"/>
    <mergeCell ref="S132:T133"/>
    <mergeCell ref="U132:V133"/>
    <mergeCell ref="X132:AB132"/>
    <mergeCell ref="AD132:AI132"/>
    <mergeCell ref="AJ132:AL132"/>
    <mergeCell ref="AN132:AO132"/>
    <mergeCell ref="AP132:AQ132"/>
    <mergeCell ref="AR132:AS133"/>
    <mergeCell ref="AT132:AU133"/>
    <mergeCell ref="AV132:AW133"/>
    <mergeCell ref="AX132:AY133"/>
    <mergeCell ref="AZ132:AZ133"/>
    <mergeCell ref="W130:W131"/>
    <mergeCell ref="W132:W133"/>
    <mergeCell ref="AR134:AS135"/>
    <mergeCell ref="AT134:AU135"/>
    <mergeCell ref="AV134:AW135"/>
    <mergeCell ref="AX134:AY135"/>
    <mergeCell ref="AZ134:AZ135"/>
    <mergeCell ref="F135:H135"/>
    <mergeCell ref="X135:AB135"/>
    <mergeCell ref="AE135:AI135"/>
    <mergeCell ref="AJ135:AL135"/>
    <mergeCell ref="AN135:AO135"/>
    <mergeCell ref="AP135:AQ135"/>
    <mergeCell ref="AT136:AU137"/>
    <mergeCell ref="AV136:AW137"/>
    <mergeCell ref="AX136:AY137"/>
    <mergeCell ref="AZ136:AZ137"/>
    <mergeCell ref="W134:W135"/>
    <mergeCell ref="W136:W137"/>
    <mergeCell ref="F133:H133"/>
    <mergeCell ref="X133:AB133"/>
    <mergeCell ref="AE133:AI133"/>
    <mergeCell ref="AJ133:AL133"/>
    <mergeCell ref="AN133:AO133"/>
    <mergeCell ref="AP133:AQ133"/>
    <mergeCell ref="A134:A135"/>
    <mergeCell ref="E134:E135"/>
    <mergeCell ref="F134:H134"/>
    <mergeCell ref="J134:J135"/>
    <mergeCell ref="K134:L135"/>
    <mergeCell ref="M134:N135"/>
    <mergeCell ref="O134:P135"/>
    <mergeCell ref="Q134:R135"/>
    <mergeCell ref="S134:T135"/>
    <mergeCell ref="U134:V135"/>
    <mergeCell ref="X134:AB134"/>
    <mergeCell ref="AD134:AI134"/>
    <mergeCell ref="AJ134:AL134"/>
    <mergeCell ref="AN134:AO134"/>
    <mergeCell ref="AP134:AQ134"/>
    <mergeCell ref="AZ138:AZ139"/>
    <mergeCell ref="AT140:AU141"/>
    <mergeCell ref="AV140:AW141"/>
    <mergeCell ref="AX140:AY141"/>
    <mergeCell ref="AZ140:AZ141"/>
    <mergeCell ref="AT142:AU143"/>
    <mergeCell ref="AV142:AW143"/>
    <mergeCell ref="A142:A143"/>
    <mergeCell ref="E142:E143"/>
    <mergeCell ref="F142:H142"/>
    <mergeCell ref="J142:J143"/>
    <mergeCell ref="K142:L143"/>
    <mergeCell ref="M142:N143"/>
    <mergeCell ref="O142:P143"/>
    <mergeCell ref="Q142:R143"/>
    <mergeCell ref="W138:W139"/>
    <mergeCell ref="A136:A137"/>
    <mergeCell ref="E136:E137"/>
    <mergeCell ref="F136:H136"/>
    <mergeCell ref="J136:J137"/>
    <mergeCell ref="K136:L137"/>
    <mergeCell ref="M136:N137"/>
    <mergeCell ref="O136:P137"/>
    <mergeCell ref="Q136:R137"/>
    <mergeCell ref="S136:T137"/>
    <mergeCell ref="U136:V137"/>
    <mergeCell ref="X136:AB136"/>
    <mergeCell ref="AD136:AI136"/>
    <mergeCell ref="AJ136:AL136"/>
    <mergeCell ref="AN136:AO136"/>
    <mergeCell ref="AP136:AQ136"/>
    <mergeCell ref="AR136:AS137"/>
    <mergeCell ref="F137:H137"/>
    <mergeCell ref="X137:AB137"/>
    <mergeCell ref="AE137:AI137"/>
    <mergeCell ref="AJ137:AL137"/>
    <mergeCell ref="AN137:AO137"/>
    <mergeCell ref="AP137:AQ137"/>
    <mergeCell ref="AJ145:AL145"/>
    <mergeCell ref="AX142:AY143"/>
    <mergeCell ref="A148:A149"/>
    <mergeCell ref="E148:E149"/>
    <mergeCell ref="X146:AB146"/>
    <mergeCell ref="AD146:AI146"/>
    <mergeCell ref="AJ146:AL146"/>
    <mergeCell ref="AN146:AO146"/>
    <mergeCell ref="AP146:AQ146"/>
    <mergeCell ref="AR146:AS147"/>
    <mergeCell ref="AT146:AU147"/>
    <mergeCell ref="AV146:AW147"/>
    <mergeCell ref="AX146:AY147"/>
    <mergeCell ref="AZ146:AZ147"/>
    <mergeCell ref="F147:H147"/>
    <mergeCell ref="X147:AB147"/>
    <mergeCell ref="AE147:AI147"/>
    <mergeCell ref="AJ147:AL147"/>
    <mergeCell ref="AN147:AO147"/>
    <mergeCell ref="AP147:AQ147"/>
    <mergeCell ref="U146:V147"/>
    <mergeCell ref="AN145:AO145"/>
    <mergeCell ref="AP145:AQ145"/>
    <mergeCell ref="A146:A147"/>
    <mergeCell ref="E146:E147"/>
    <mergeCell ref="F146:H146"/>
    <mergeCell ref="J146:J147"/>
    <mergeCell ref="K146:L147"/>
    <mergeCell ref="M146:N147"/>
    <mergeCell ref="O146:P147"/>
    <mergeCell ref="Q146:R147"/>
    <mergeCell ref="S146:T147"/>
    <mergeCell ref="A138:A139"/>
    <mergeCell ref="E138:E139"/>
    <mergeCell ref="F138:H138"/>
    <mergeCell ref="J138:J139"/>
    <mergeCell ref="K138:L139"/>
    <mergeCell ref="M138:N139"/>
    <mergeCell ref="O138:P139"/>
    <mergeCell ref="Q138:R139"/>
    <mergeCell ref="S138:T139"/>
    <mergeCell ref="U138:V139"/>
    <mergeCell ref="X138:AB138"/>
    <mergeCell ref="AD138:AI138"/>
    <mergeCell ref="AJ138:AL138"/>
    <mergeCell ref="AN138:AO138"/>
    <mergeCell ref="AP138:AQ138"/>
    <mergeCell ref="AR138:AS139"/>
    <mergeCell ref="F139:H139"/>
    <mergeCell ref="X139:AB139"/>
    <mergeCell ref="AE139:AI139"/>
    <mergeCell ref="AJ139:AL139"/>
    <mergeCell ref="AN139:AO139"/>
    <mergeCell ref="AP139:AQ139"/>
    <mergeCell ref="AZ142:AZ143"/>
    <mergeCell ref="F143:H143"/>
    <mergeCell ref="X143:AB143"/>
    <mergeCell ref="AE143:AI143"/>
    <mergeCell ref="AJ143:AL143"/>
    <mergeCell ref="AN143:AO143"/>
    <mergeCell ref="AP143:AQ143"/>
    <mergeCell ref="AT138:AU139"/>
    <mergeCell ref="AV138:AW139"/>
    <mergeCell ref="AX138:AY139"/>
    <mergeCell ref="S142:T143"/>
    <mergeCell ref="U142:V143"/>
    <mergeCell ref="X142:AB142"/>
    <mergeCell ref="AD142:AI142"/>
    <mergeCell ref="AJ142:AL142"/>
    <mergeCell ref="AN142:AO142"/>
    <mergeCell ref="AP142:AQ142"/>
    <mergeCell ref="AR142:AS143"/>
    <mergeCell ref="A140:A141"/>
    <mergeCell ref="E140:E141"/>
    <mergeCell ref="F140:H140"/>
    <mergeCell ref="J140:J141"/>
    <mergeCell ref="K140:L141"/>
    <mergeCell ref="M140:N141"/>
    <mergeCell ref="O140:P141"/>
    <mergeCell ref="Q140:R141"/>
    <mergeCell ref="S140:T141"/>
    <mergeCell ref="U140:V141"/>
    <mergeCell ref="X140:AB140"/>
    <mergeCell ref="AD140:AI140"/>
    <mergeCell ref="AJ140:AL140"/>
    <mergeCell ref="AN140:AO140"/>
    <mergeCell ref="AP140:AQ140"/>
    <mergeCell ref="AR140:AS141"/>
    <mergeCell ref="F141:H141"/>
    <mergeCell ref="X141:AB141"/>
    <mergeCell ref="AE141:AI141"/>
    <mergeCell ref="AJ141:AL141"/>
    <mergeCell ref="AN141:AO141"/>
    <mergeCell ref="AP141:AQ141"/>
    <mergeCell ref="AZ148:AZ149"/>
    <mergeCell ref="F149:H149"/>
    <mergeCell ref="X149:AB149"/>
    <mergeCell ref="AE149:AI149"/>
    <mergeCell ref="AJ149:AL149"/>
    <mergeCell ref="AN149:AO149"/>
    <mergeCell ref="AP149:AQ149"/>
    <mergeCell ref="A144:A145"/>
    <mergeCell ref="E144:E145"/>
    <mergeCell ref="F144:H144"/>
    <mergeCell ref="J144:J145"/>
    <mergeCell ref="K144:L145"/>
    <mergeCell ref="M144:N145"/>
    <mergeCell ref="W140:W141"/>
    <mergeCell ref="W142:W143"/>
    <mergeCell ref="W144:W145"/>
    <mergeCell ref="W146:W147"/>
    <mergeCell ref="O144:P145"/>
    <mergeCell ref="Q144:R145"/>
    <mergeCell ref="S144:T145"/>
    <mergeCell ref="U144:V145"/>
    <mergeCell ref="X144:AB144"/>
    <mergeCell ref="AD144:AI144"/>
    <mergeCell ref="AJ144:AL144"/>
    <mergeCell ref="AN144:AO144"/>
    <mergeCell ref="AP144:AQ144"/>
    <mergeCell ref="AR144:AS145"/>
    <mergeCell ref="AT144:AU145"/>
    <mergeCell ref="AV144:AW145"/>
    <mergeCell ref="AX144:AY145"/>
    <mergeCell ref="AZ144:AZ145"/>
    <mergeCell ref="F145:H145"/>
    <mergeCell ref="X145:AB145"/>
    <mergeCell ref="AE145:AI145"/>
    <mergeCell ref="AN152:AO152"/>
    <mergeCell ref="AP152:AQ152"/>
    <mergeCell ref="AR152:AS153"/>
    <mergeCell ref="AT152:AU153"/>
    <mergeCell ref="AV152:AW153"/>
    <mergeCell ref="AX152:AY153"/>
    <mergeCell ref="AZ152:AZ153"/>
    <mergeCell ref="F153:H153"/>
    <mergeCell ref="A150:A151"/>
    <mergeCell ref="E150:E151"/>
    <mergeCell ref="F150:H150"/>
    <mergeCell ref="J150:J151"/>
    <mergeCell ref="K150:L151"/>
    <mergeCell ref="M150:N151"/>
    <mergeCell ref="O150:P151"/>
    <mergeCell ref="Q150:R151"/>
    <mergeCell ref="S150:T151"/>
    <mergeCell ref="U150:V151"/>
    <mergeCell ref="X150:AB150"/>
    <mergeCell ref="AD150:AI150"/>
    <mergeCell ref="AJ150:AL150"/>
    <mergeCell ref="AN150:AO150"/>
    <mergeCell ref="AP150:AQ150"/>
    <mergeCell ref="AR150:AS151"/>
    <mergeCell ref="F148:H148"/>
    <mergeCell ref="J148:J149"/>
    <mergeCell ref="K148:L149"/>
    <mergeCell ref="M148:N149"/>
    <mergeCell ref="O148:P149"/>
    <mergeCell ref="Q148:R149"/>
    <mergeCell ref="S148:T149"/>
    <mergeCell ref="U148:V149"/>
    <mergeCell ref="X148:AB148"/>
    <mergeCell ref="AD148:AI148"/>
    <mergeCell ref="AJ148:AL148"/>
    <mergeCell ref="AN148:AO148"/>
    <mergeCell ref="AP148:AQ148"/>
    <mergeCell ref="AR148:AS149"/>
    <mergeCell ref="AT148:AU149"/>
    <mergeCell ref="AV148:AW149"/>
    <mergeCell ref="AX148:AY149"/>
    <mergeCell ref="W148:W149"/>
    <mergeCell ref="W150:W151"/>
    <mergeCell ref="W152:W153"/>
    <mergeCell ref="AT150:AU151"/>
    <mergeCell ref="AV150:AW151"/>
    <mergeCell ref="AX150:AY151"/>
    <mergeCell ref="AZ150:AZ151"/>
    <mergeCell ref="F151:H151"/>
    <mergeCell ref="X151:AB151"/>
    <mergeCell ref="AE151:AI151"/>
    <mergeCell ref="AJ151:AL151"/>
    <mergeCell ref="AN151:AO151"/>
    <mergeCell ref="AP151:AQ151"/>
    <mergeCell ref="AR154:AS155"/>
    <mergeCell ref="AT154:AU155"/>
    <mergeCell ref="AV154:AW155"/>
    <mergeCell ref="AX154:AY155"/>
    <mergeCell ref="AZ154:AZ155"/>
    <mergeCell ref="F155:H155"/>
    <mergeCell ref="X155:AB155"/>
    <mergeCell ref="AE155:AI155"/>
    <mergeCell ref="AJ155:AL155"/>
    <mergeCell ref="AN155:AO155"/>
    <mergeCell ref="AP155:AQ155"/>
    <mergeCell ref="A156:A157"/>
    <mergeCell ref="E156:E157"/>
    <mergeCell ref="F156:H156"/>
    <mergeCell ref="J156:J157"/>
    <mergeCell ref="K156:L157"/>
    <mergeCell ref="M156:N157"/>
    <mergeCell ref="O156:P157"/>
    <mergeCell ref="Q156:R157"/>
    <mergeCell ref="S156:T157"/>
    <mergeCell ref="U156:V157"/>
    <mergeCell ref="X156:AB156"/>
    <mergeCell ref="AD156:AI156"/>
    <mergeCell ref="AJ156:AL156"/>
    <mergeCell ref="AN156:AO156"/>
    <mergeCell ref="AP156:AQ156"/>
    <mergeCell ref="AR156:AS157"/>
    <mergeCell ref="AT156:AU157"/>
    <mergeCell ref="AV156:AW157"/>
    <mergeCell ref="AX156:AY157"/>
    <mergeCell ref="AZ156:AZ157"/>
    <mergeCell ref="X153:AB153"/>
    <mergeCell ref="AE153:AI153"/>
    <mergeCell ref="AJ153:AL153"/>
    <mergeCell ref="AN153:AO153"/>
    <mergeCell ref="AP153:AQ153"/>
    <mergeCell ref="A154:A155"/>
    <mergeCell ref="E154:E155"/>
    <mergeCell ref="F154:H154"/>
    <mergeCell ref="J154:J155"/>
    <mergeCell ref="K154:L155"/>
    <mergeCell ref="M154:N155"/>
    <mergeCell ref="O154:P155"/>
    <mergeCell ref="Q154:R155"/>
    <mergeCell ref="S154:T155"/>
    <mergeCell ref="U154:V155"/>
    <mergeCell ref="X154:AB154"/>
    <mergeCell ref="AD154:AI154"/>
    <mergeCell ref="AJ154:AL154"/>
    <mergeCell ref="AN154:AO154"/>
    <mergeCell ref="AP154:AQ154"/>
    <mergeCell ref="A152:A153"/>
    <mergeCell ref="E152:E153"/>
    <mergeCell ref="F152:H152"/>
    <mergeCell ref="J152:J153"/>
    <mergeCell ref="K152:L153"/>
    <mergeCell ref="M152:N153"/>
    <mergeCell ref="O152:P153"/>
    <mergeCell ref="Q152:R153"/>
    <mergeCell ref="S152:T153"/>
    <mergeCell ref="U152:V153"/>
    <mergeCell ref="X152:AB152"/>
    <mergeCell ref="AD152:AI152"/>
    <mergeCell ref="AJ152:AL152"/>
    <mergeCell ref="AR158:AS159"/>
    <mergeCell ref="AT158:AU159"/>
    <mergeCell ref="AV158:AW159"/>
    <mergeCell ref="AX158:AY159"/>
    <mergeCell ref="AZ158:AZ159"/>
    <mergeCell ref="F159:H159"/>
    <mergeCell ref="X159:AB159"/>
    <mergeCell ref="AE159:AI159"/>
    <mergeCell ref="AJ159:AL159"/>
    <mergeCell ref="AN159:AO159"/>
    <mergeCell ref="AP159:AQ159"/>
    <mergeCell ref="A160:A161"/>
    <mergeCell ref="E160:E161"/>
    <mergeCell ref="F160:H160"/>
    <mergeCell ref="J160:J161"/>
    <mergeCell ref="K160:L161"/>
    <mergeCell ref="M160:N161"/>
    <mergeCell ref="O160:P161"/>
    <mergeCell ref="Q160:R161"/>
    <mergeCell ref="S160:T161"/>
    <mergeCell ref="U160:V161"/>
    <mergeCell ref="X160:AB160"/>
    <mergeCell ref="AD160:AI160"/>
    <mergeCell ref="AJ160:AL160"/>
    <mergeCell ref="AN160:AO160"/>
    <mergeCell ref="AP160:AQ160"/>
    <mergeCell ref="AR160:AS161"/>
    <mergeCell ref="AT160:AU161"/>
    <mergeCell ref="AV160:AW161"/>
    <mergeCell ref="AX160:AY161"/>
    <mergeCell ref="AZ160:AZ161"/>
    <mergeCell ref="F157:H157"/>
    <mergeCell ref="X157:AB157"/>
    <mergeCell ref="AE157:AI157"/>
    <mergeCell ref="AJ157:AL157"/>
    <mergeCell ref="AN157:AO157"/>
    <mergeCell ref="AP157:AQ157"/>
    <mergeCell ref="A158:A159"/>
    <mergeCell ref="E158:E159"/>
    <mergeCell ref="F158:H158"/>
    <mergeCell ref="J158:J159"/>
    <mergeCell ref="K158:L159"/>
    <mergeCell ref="M158:N159"/>
    <mergeCell ref="O158:P159"/>
    <mergeCell ref="Q158:R159"/>
    <mergeCell ref="S158:T159"/>
    <mergeCell ref="U158:V159"/>
    <mergeCell ref="X158:AB158"/>
    <mergeCell ref="AD158:AI158"/>
    <mergeCell ref="AJ158:AL158"/>
    <mergeCell ref="AN158:AO158"/>
    <mergeCell ref="AP158:AQ158"/>
    <mergeCell ref="AR162:AS163"/>
    <mergeCell ref="AT162:AU163"/>
    <mergeCell ref="AV162:AW163"/>
    <mergeCell ref="AX162:AY163"/>
    <mergeCell ref="AZ162:AZ163"/>
    <mergeCell ref="F163:H163"/>
    <mergeCell ref="X163:AB163"/>
    <mergeCell ref="AE163:AI163"/>
    <mergeCell ref="AJ163:AL163"/>
    <mergeCell ref="AN163:AO163"/>
    <mergeCell ref="AP163:AQ163"/>
    <mergeCell ref="A164:A165"/>
    <mergeCell ref="E164:E165"/>
    <mergeCell ref="F164:H164"/>
    <mergeCell ref="J164:J165"/>
    <mergeCell ref="K164:L165"/>
    <mergeCell ref="M164:N165"/>
    <mergeCell ref="O164:P165"/>
    <mergeCell ref="Q164:R165"/>
    <mergeCell ref="S164:T165"/>
    <mergeCell ref="U164:V165"/>
    <mergeCell ref="X164:AB164"/>
    <mergeCell ref="AD164:AI164"/>
    <mergeCell ref="AJ164:AL164"/>
    <mergeCell ref="AN164:AO164"/>
    <mergeCell ref="AP164:AQ164"/>
    <mergeCell ref="AR164:AS165"/>
    <mergeCell ref="AT164:AU165"/>
    <mergeCell ref="AV164:AW165"/>
    <mergeCell ref="AX164:AY165"/>
    <mergeCell ref="AZ164:AZ165"/>
    <mergeCell ref="F161:H161"/>
    <mergeCell ref="X161:AB161"/>
    <mergeCell ref="AE161:AI161"/>
    <mergeCell ref="AJ161:AL161"/>
    <mergeCell ref="AN161:AO161"/>
    <mergeCell ref="AP161:AQ161"/>
    <mergeCell ref="A162:A163"/>
    <mergeCell ref="E162:E163"/>
    <mergeCell ref="F162:H162"/>
    <mergeCell ref="J162:J163"/>
    <mergeCell ref="K162:L163"/>
    <mergeCell ref="M162:N163"/>
    <mergeCell ref="O162:P163"/>
    <mergeCell ref="Q162:R163"/>
    <mergeCell ref="S162:T163"/>
    <mergeCell ref="U162:V163"/>
    <mergeCell ref="X162:AB162"/>
    <mergeCell ref="AD162:AI162"/>
    <mergeCell ref="AJ162:AL162"/>
    <mergeCell ref="AN162:AO162"/>
    <mergeCell ref="AP162:AQ162"/>
    <mergeCell ref="AR166:AS167"/>
    <mergeCell ref="AT166:AU167"/>
    <mergeCell ref="AV166:AW167"/>
    <mergeCell ref="AX166:AY167"/>
    <mergeCell ref="AZ166:AZ167"/>
    <mergeCell ref="F167:H167"/>
    <mergeCell ref="X167:AB167"/>
    <mergeCell ref="AE167:AI167"/>
    <mergeCell ref="AJ167:AL167"/>
    <mergeCell ref="AN167:AO167"/>
    <mergeCell ref="AP167:AQ167"/>
    <mergeCell ref="A168:A169"/>
    <mergeCell ref="E168:E169"/>
    <mergeCell ref="F168:H168"/>
    <mergeCell ref="J168:J169"/>
    <mergeCell ref="K168:L169"/>
    <mergeCell ref="M168:N169"/>
    <mergeCell ref="O168:P169"/>
    <mergeCell ref="Q168:R169"/>
    <mergeCell ref="S168:T169"/>
    <mergeCell ref="U168:V169"/>
    <mergeCell ref="X168:AB168"/>
    <mergeCell ref="AD168:AI168"/>
    <mergeCell ref="AJ168:AL168"/>
    <mergeCell ref="AN168:AO168"/>
    <mergeCell ref="AP168:AQ168"/>
    <mergeCell ref="AR168:AS169"/>
    <mergeCell ref="AT168:AU169"/>
    <mergeCell ref="AV168:AW169"/>
    <mergeCell ref="AX168:AY169"/>
    <mergeCell ref="AZ168:AZ169"/>
    <mergeCell ref="F165:H165"/>
    <mergeCell ref="X165:AB165"/>
    <mergeCell ref="AE165:AI165"/>
    <mergeCell ref="AJ165:AL165"/>
    <mergeCell ref="AN165:AO165"/>
    <mergeCell ref="AP165:AQ165"/>
    <mergeCell ref="A166:A167"/>
    <mergeCell ref="E166:E167"/>
    <mergeCell ref="F166:H166"/>
    <mergeCell ref="J166:J167"/>
    <mergeCell ref="K166:L167"/>
    <mergeCell ref="M166:N167"/>
    <mergeCell ref="O166:P167"/>
    <mergeCell ref="Q166:R167"/>
    <mergeCell ref="S166:T167"/>
    <mergeCell ref="U166:V167"/>
    <mergeCell ref="X166:AB166"/>
    <mergeCell ref="AD166:AI166"/>
    <mergeCell ref="AJ166:AL166"/>
    <mergeCell ref="AN166:AO166"/>
    <mergeCell ref="AP166:AQ166"/>
    <mergeCell ref="AR170:AS171"/>
    <mergeCell ref="AT170:AU171"/>
    <mergeCell ref="AV170:AW171"/>
    <mergeCell ref="AX170:AY171"/>
    <mergeCell ref="AZ170:AZ171"/>
    <mergeCell ref="F171:H171"/>
    <mergeCell ref="X171:AB171"/>
    <mergeCell ref="AE171:AI171"/>
    <mergeCell ref="AJ171:AL171"/>
    <mergeCell ref="AN171:AO171"/>
    <mergeCell ref="AP171:AQ171"/>
    <mergeCell ref="A172:A173"/>
    <mergeCell ref="E172:E173"/>
    <mergeCell ref="F172:H172"/>
    <mergeCell ref="J172:J173"/>
    <mergeCell ref="K172:L173"/>
    <mergeCell ref="M172:N173"/>
    <mergeCell ref="O172:P173"/>
    <mergeCell ref="Q172:R173"/>
    <mergeCell ref="S172:T173"/>
    <mergeCell ref="U172:V173"/>
    <mergeCell ref="X172:AB172"/>
    <mergeCell ref="AD172:AI172"/>
    <mergeCell ref="AJ172:AL172"/>
    <mergeCell ref="AN172:AO172"/>
    <mergeCell ref="AP172:AQ172"/>
    <mergeCell ref="AR172:AS173"/>
    <mergeCell ref="AT172:AU173"/>
    <mergeCell ref="AV172:AW173"/>
    <mergeCell ref="AX172:AY173"/>
    <mergeCell ref="AZ172:AZ173"/>
    <mergeCell ref="F169:H169"/>
    <mergeCell ref="X169:AB169"/>
    <mergeCell ref="AE169:AI169"/>
    <mergeCell ref="AJ169:AL169"/>
    <mergeCell ref="AN169:AO169"/>
    <mergeCell ref="AP169:AQ169"/>
    <mergeCell ref="A170:A171"/>
    <mergeCell ref="E170:E171"/>
    <mergeCell ref="F170:H170"/>
    <mergeCell ref="J170:J171"/>
    <mergeCell ref="K170:L171"/>
    <mergeCell ref="M170:N171"/>
    <mergeCell ref="O170:P171"/>
    <mergeCell ref="Q170:R171"/>
    <mergeCell ref="S170:T171"/>
    <mergeCell ref="U170:V171"/>
    <mergeCell ref="X170:AB170"/>
    <mergeCell ref="AD170:AI170"/>
    <mergeCell ref="AJ170:AL170"/>
    <mergeCell ref="AN170:AO170"/>
    <mergeCell ref="AP170:AQ170"/>
    <mergeCell ref="AR174:AS175"/>
    <mergeCell ref="AT174:AU175"/>
    <mergeCell ref="AV174:AW175"/>
    <mergeCell ref="AX174:AY175"/>
    <mergeCell ref="AZ174:AZ175"/>
    <mergeCell ref="F175:H175"/>
    <mergeCell ref="X175:AB175"/>
    <mergeCell ref="AE175:AI175"/>
    <mergeCell ref="AJ175:AL175"/>
    <mergeCell ref="AN175:AO175"/>
    <mergeCell ref="AP175:AQ175"/>
    <mergeCell ref="A176:A177"/>
    <mergeCell ref="E176:E177"/>
    <mergeCell ref="F176:H176"/>
    <mergeCell ref="J176:J177"/>
    <mergeCell ref="K176:L177"/>
    <mergeCell ref="M176:N177"/>
    <mergeCell ref="O176:P177"/>
    <mergeCell ref="Q176:R177"/>
    <mergeCell ref="S176:T177"/>
    <mergeCell ref="U176:V177"/>
    <mergeCell ref="X176:AB176"/>
    <mergeCell ref="AD176:AI176"/>
    <mergeCell ref="AJ176:AL176"/>
    <mergeCell ref="AN176:AO176"/>
    <mergeCell ref="AP176:AQ176"/>
    <mergeCell ref="AR176:AS177"/>
    <mergeCell ref="AT176:AU177"/>
    <mergeCell ref="AV176:AW177"/>
    <mergeCell ref="AX176:AY177"/>
    <mergeCell ref="AZ176:AZ177"/>
    <mergeCell ref="F173:H173"/>
    <mergeCell ref="X173:AB173"/>
    <mergeCell ref="AE173:AI173"/>
    <mergeCell ref="AJ173:AL173"/>
    <mergeCell ref="AN173:AO173"/>
    <mergeCell ref="AP173:AQ173"/>
    <mergeCell ref="A174:A175"/>
    <mergeCell ref="E174:E175"/>
    <mergeCell ref="F174:H174"/>
    <mergeCell ref="J174:J175"/>
    <mergeCell ref="K174:L175"/>
    <mergeCell ref="M174:N175"/>
    <mergeCell ref="O174:P175"/>
    <mergeCell ref="Q174:R175"/>
    <mergeCell ref="S174:T175"/>
    <mergeCell ref="U174:V175"/>
    <mergeCell ref="X174:AB174"/>
    <mergeCell ref="AD174:AI174"/>
    <mergeCell ref="AJ174:AL174"/>
    <mergeCell ref="AN174:AO174"/>
    <mergeCell ref="AP174:AQ174"/>
    <mergeCell ref="AR178:AS179"/>
    <mergeCell ref="AT178:AU179"/>
    <mergeCell ref="AV178:AW179"/>
    <mergeCell ref="AX178:AY179"/>
    <mergeCell ref="AZ178:AZ179"/>
    <mergeCell ref="F179:H179"/>
    <mergeCell ref="X179:AB179"/>
    <mergeCell ref="AE179:AI179"/>
    <mergeCell ref="AJ179:AL179"/>
    <mergeCell ref="AN179:AO179"/>
    <mergeCell ref="AP179:AQ179"/>
    <mergeCell ref="A180:A181"/>
    <mergeCell ref="E180:E181"/>
    <mergeCell ref="F180:H180"/>
    <mergeCell ref="J180:J181"/>
    <mergeCell ref="K180:L181"/>
    <mergeCell ref="M180:N181"/>
    <mergeCell ref="O180:P181"/>
    <mergeCell ref="Q180:R181"/>
    <mergeCell ref="S180:T181"/>
    <mergeCell ref="U180:V181"/>
    <mergeCell ref="X180:AB180"/>
    <mergeCell ref="AD180:AI180"/>
    <mergeCell ref="AJ180:AL180"/>
    <mergeCell ref="AN180:AO180"/>
    <mergeCell ref="AP180:AQ180"/>
    <mergeCell ref="AR180:AS181"/>
    <mergeCell ref="AT180:AU181"/>
    <mergeCell ref="AV180:AW181"/>
    <mergeCell ref="AX180:AY181"/>
    <mergeCell ref="AZ180:AZ181"/>
    <mergeCell ref="F177:H177"/>
    <mergeCell ref="X177:AB177"/>
    <mergeCell ref="AE177:AI177"/>
    <mergeCell ref="AJ177:AL177"/>
    <mergeCell ref="AN177:AO177"/>
    <mergeCell ref="AP177:AQ177"/>
    <mergeCell ref="A178:A179"/>
    <mergeCell ref="E178:E179"/>
    <mergeCell ref="F178:H178"/>
    <mergeCell ref="J178:J179"/>
    <mergeCell ref="K178:L179"/>
    <mergeCell ref="M178:N179"/>
    <mergeCell ref="O178:P179"/>
    <mergeCell ref="Q178:R179"/>
    <mergeCell ref="S178:T179"/>
    <mergeCell ref="U178:V179"/>
    <mergeCell ref="X178:AB178"/>
    <mergeCell ref="AD178:AI178"/>
    <mergeCell ref="AJ178:AL178"/>
    <mergeCell ref="AN178:AO178"/>
    <mergeCell ref="AP178:AQ178"/>
    <mergeCell ref="AR182:AS183"/>
    <mergeCell ref="AT182:AU183"/>
    <mergeCell ref="AV182:AW183"/>
    <mergeCell ref="AX182:AY183"/>
    <mergeCell ref="AZ182:AZ183"/>
    <mergeCell ref="F183:H183"/>
    <mergeCell ref="X183:AB183"/>
    <mergeCell ref="AE183:AI183"/>
    <mergeCell ref="AJ183:AL183"/>
    <mergeCell ref="AN183:AO183"/>
    <mergeCell ref="AP183:AQ183"/>
    <mergeCell ref="A184:A185"/>
    <mergeCell ref="E184:E185"/>
    <mergeCell ref="F184:H184"/>
    <mergeCell ref="J184:J185"/>
    <mergeCell ref="K184:L185"/>
    <mergeCell ref="M184:N185"/>
    <mergeCell ref="O184:P185"/>
    <mergeCell ref="Q184:R185"/>
    <mergeCell ref="S184:T185"/>
    <mergeCell ref="U184:V185"/>
    <mergeCell ref="X184:AB184"/>
    <mergeCell ref="AD184:AI184"/>
    <mergeCell ref="AJ184:AL184"/>
    <mergeCell ref="AN184:AO184"/>
    <mergeCell ref="AP184:AQ184"/>
    <mergeCell ref="AR184:AS185"/>
    <mergeCell ref="AT184:AU185"/>
    <mergeCell ref="AV184:AW185"/>
    <mergeCell ref="AX184:AY185"/>
    <mergeCell ref="AZ184:AZ185"/>
    <mergeCell ref="F181:H181"/>
    <mergeCell ref="X181:AB181"/>
    <mergeCell ref="AE181:AI181"/>
    <mergeCell ref="AJ181:AL181"/>
    <mergeCell ref="AN181:AO181"/>
    <mergeCell ref="AP181:AQ181"/>
    <mergeCell ref="A182:A183"/>
    <mergeCell ref="E182:E183"/>
    <mergeCell ref="F182:H182"/>
    <mergeCell ref="J182:J183"/>
    <mergeCell ref="K182:L183"/>
    <mergeCell ref="M182:N183"/>
    <mergeCell ref="O182:P183"/>
    <mergeCell ref="Q182:R183"/>
    <mergeCell ref="S182:T183"/>
    <mergeCell ref="U182:V183"/>
    <mergeCell ref="X182:AB182"/>
    <mergeCell ref="AD182:AI182"/>
    <mergeCell ref="AJ182:AL182"/>
    <mergeCell ref="AN182:AO182"/>
    <mergeCell ref="AP182:AQ182"/>
    <mergeCell ref="AR186:AS187"/>
    <mergeCell ref="AT186:AU187"/>
    <mergeCell ref="AV186:AW187"/>
    <mergeCell ref="AX186:AY187"/>
    <mergeCell ref="AZ186:AZ187"/>
    <mergeCell ref="F187:H187"/>
    <mergeCell ref="X187:AB187"/>
    <mergeCell ref="AE187:AI187"/>
    <mergeCell ref="AJ187:AL187"/>
    <mergeCell ref="AN187:AO187"/>
    <mergeCell ref="AP187:AQ187"/>
    <mergeCell ref="A188:A189"/>
    <mergeCell ref="E188:E189"/>
    <mergeCell ref="F188:H188"/>
    <mergeCell ref="J188:J189"/>
    <mergeCell ref="K188:L189"/>
    <mergeCell ref="M188:N189"/>
    <mergeCell ref="O188:P189"/>
    <mergeCell ref="Q188:R189"/>
    <mergeCell ref="S188:T189"/>
    <mergeCell ref="U188:V189"/>
    <mergeCell ref="X188:AB188"/>
    <mergeCell ref="AD188:AI188"/>
    <mergeCell ref="AJ188:AL188"/>
    <mergeCell ref="AN188:AO188"/>
    <mergeCell ref="AP188:AQ188"/>
    <mergeCell ref="AR188:AS189"/>
    <mergeCell ref="AT188:AU189"/>
    <mergeCell ref="AV188:AW189"/>
    <mergeCell ref="AX188:AY189"/>
    <mergeCell ref="AZ188:AZ189"/>
    <mergeCell ref="F185:H185"/>
    <mergeCell ref="X185:AB185"/>
    <mergeCell ref="AE185:AI185"/>
    <mergeCell ref="AJ185:AL185"/>
    <mergeCell ref="AN185:AO185"/>
    <mergeCell ref="AP185:AQ185"/>
    <mergeCell ref="A186:A187"/>
    <mergeCell ref="E186:E187"/>
    <mergeCell ref="F186:H186"/>
    <mergeCell ref="J186:J187"/>
    <mergeCell ref="K186:L187"/>
    <mergeCell ref="M186:N187"/>
    <mergeCell ref="O186:P187"/>
    <mergeCell ref="Q186:R187"/>
    <mergeCell ref="S186:T187"/>
    <mergeCell ref="U186:V187"/>
    <mergeCell ref="X186:AB186"/>
    <mergeCell ref="AD186:AI186"/>
    <mergeCell ref="AJ186:AL186"/>
    <mergeCell ref="AN186:AO186"/>
    <mergeCell ref="AP186:AQ186"/>
    <mergeCell ref="AR190:AS191"/>
    <mergeCell ref="AT190:AU191"/>
    <mergeCell ref="AV190:AW191"/>
    <mergeCell ref="AX190:AY191"/>
    <mergeCell ref="AZ190:AZ191"/>
    <mergeCell ref="F191:H191"/>
    <mergeCell ref="X191:AB191"/>
    <mergeCell ref="AE191:AI191"/>
    <mergeCell ref="AJ191:AL191"/>
    <mergeCell ref="AN191:AO191"/>
    <mergeCell ref="AP191:AQ191"/>
    <mergeCell ref="A192:A193"/>
    <mergeCell ref="E192:E193"/>
    <mergeCell ref="F192:H192"/>
    <mergeCell ref="J192:J193"/>
    <mergeCell ref="K192:L193"/>
    <mergeCell ref="M192:N193"/>
    <mergeCell ref="O192:P193"/>
    <mergeCell ref="Q192:R193"/>
    <mergeCell ref="S192:T193"/>
    <mergeCell ref="U192:V193"/>
    <mergeCell ref="X192:AB192"/>
    <mergeCell ref="AD192:AI192"/>
    <mergeCell ref="AJ192:AL192"/>
    <mergeCell ref="AN192:AO192"/>
    <mergeCell ref="AP192:AQ192"/>
    <mergeCell ref="AR192:AS193"/>
    <mergeCell ref="AT192:AU193"/>
    <mergeCell ref="AV192:AW193"/>
    <mergeCell ref="AX192:AY193"/>
    <mergeCell ref="AZ192:AZ193"/>
    <mergeCell ref="F189:H189"/>
    <mergeCell ref="X189:AB189"/>
    <mergeCell ref="AE189:AI189"/>
    <mergeCell ref="AJ189:AL189"/>
    <mergeCell ref="AN189:AO189"/>
    <mergeCell ref="AP189:AQ189"/>
    <mergeCell ref="A190:A191"/>
    <mergeCell ref="E190:E191"/>
    <mergeCell ref="F190:H190"/>
    <mergeCell ref="J190:J191"/>
    <mergeCell ref="K190:L191"/>
    <mergeCell ref="M190:N191"/>
    <mergeCell ref="O190:P191"/>
    <mergeCell ref="Q190:R191"/>
    <mergeCell ref="S190:T191"/>
    <mergeCell ref="U190:V191"/>
    <mergeCell ref="X190:AB190"/>
    <mergeCell ref="AD190:AI190"/>
    <mergeCell ref="AJ190:AL190"/>
    <mergeCell ref="AN190:AO190"/>
    <mergeCell ref="AP190:AQ190"/>
    <mergeCell ref="AR194:AS195"/>
    <mergeCell ref="AT194:AU195"/>
    <mergeCell ref="AV194:AW195"/>
    <mergeCell ref="AX194:AY195"/>
    <mergeCell ref="AZ194:AZ195"/>
    <mergeCell ref="F195:H195"/>
    <mergeCell ref="X195:AB195"/>
    <mergeCell ref="AE195:AI195"/>
    <mergeCell ref="AJ195:AL195"/>
    <mergeCell ref="AN195:AO195"/>
    <mergeCell ref="AP195:AQ195"/>
    <mergeCell ref="A196:A197"/>
    <mergeCell ref="E196:E197"/>
    <mergeCell ref="F196:H196"/>
    <mergeCell ref="J196:J197"/>
    <mergeCell ref="K196:L197"/>
    <mergeCell ref="M196:N197"/>
    <mergeCell ref="O196:P197"/>
    <mergeCell ref="Q196:R197"/>
    <mergeCell ref="S196:T197"/>
    <mergeCell ref="U196:V197"/>
    <mergeCell ref="X196:AB196"/>
    <mergeCell ref="AD196:AI196"/>
    <mergeCell ref="AJ196:AL196"/>
    <mergeCell ref="AN196:AO196"/>
    <mergeCell ref="AP196:AQ196"/>
    <mergeCell ref="AR196:AS197"/>
    <mergeCell ref="AT196:AU197"/>
    <mergeCell ref="AV196:AW197"/>
    <mergeCell ref="AX196:AY197"/>
    <mergeCell ref="AZ196:AZ197"/>
    <mergeCell ref="F193:H193"/>
    <mergeCell ref="X193:AB193"/>
    <mergeCell ref="AE193:AI193"/>
    <mergeCell ref="AJ193:AL193"/>
    <mergeCell ref="AN193:AO193"/>
    <mergeCell ref="AP193:AQ193"/>
    <mergeCell ref="A194:A195"/>
    <mergeCell ref="E194:E195"/>
    <mergeCell ref="F194:H194"/>
    <mergeCell ref="J194:J195"/>
    <mergeCell ref="K194:L195"/>
    <mergeCell ref="M194:N195"/>
    <mergeCell ref="O194:P195"/>
    <mergeCell ref="Q194:R195"/>
    <mergeCell ref="S194:T195"/>
    <mergeCell ref="U194:V195"/>
    <mergeCell ref="X194:AB194"/>
    <mergeCell ref="AD194:AI194"/>
    <mergeCell ref="AJ194:AL194"/>
    <mergeCell ref="AN194:AO194"/>
    <mergeCell ref="AP194:AQ194"/>
    <mergeCell ref="AR198:AS199"/>
    <mergeCell ref="AT198:AU199"/>
    <mergeCell ref="AV198:AW199"/>
    <mergeCell ref="AX198:AY199"/>
    <mergeCell ref="AZ198:AZ199"/>
    <mergeCell ref="F199:H199"/>
    <mergeCell ref="X199:AB199"/>
    <mergeCell ref="AE199:AI199"/>
    <mergeCell ref="AJ199:AL199"/>
    <mergeCell ref="AN199:AO199"/>
    <mergeCell ref="AP199:AQ199"/>
    <mergeCell ref="A200:A201"/>
    <mergeCell ref="E200:E201"/>
    <mergeCell ref="F200:H200"/>
    <mergeCell ref="J200:J201"/>
    <mergeCell ref="K200:L201"/>
    <mergeCell ref="M200:N201"/>
    <mergeCell ref="O200:P201"/>
    <mergeCell ref="Q200:R201"/>
    <mergeCell ref="S200:T201"/>
    <mergeCell ref="U200:V201"/>
    <mergeCell ref="X200:AB200"/>
    <mergeCell ref="AD200:AI200"/>
    <mergeCell ref="AJ200:AL200"/>
    <mergeCell ref="AN200:AO200"/>
    <mergeCell ref="AP200:AQ200"/>
    <mergeCell ref="AR200:AS201"/>
    <mergeCell ref="AT200:AU201"/>
    <mergeCell ref="AV200:AW201"/>
    <mergeCell ref="AX200:AY201"/>
    <mergeCell ref="AZ200:AZ201"/>
    <mergeCell ref="F197:H197"/>
    <mergeCell ref="X197:AB197"/>
    <mergeCell ref="AE197:AI197"/>
    <mergeCell ref="AJ197:AL197"/>
    <mergeCell ref="AN197:AO197"/>
    <mergeCell ref="AP197:AQ197"/>
    <mergeCell ref="A198:A199"/>
    <mergeCell ref="E198:E199"/>
    <mergeCell ref="F198:H198"/>
    <mergeCell ref="J198:J199"/>
    <mergeCell ref="K198:L199"/>
    <mergeCell ref="M198:N199"/>
    <mergeCell ref="O198:P199"/>
    <mergeCell ref="Q198:R199"/>
    <mergeCell ref="S198:T199"/>
    <mergeCell ref="U198:V199"/>
    <mergeCell ref="X198:AB198"/>
    <mergeCell ref="AD198:AI198"/>
    <mergeCell ref="AJ198:AL198"/>
    <mergeCell ref="AN198:AO198"/>
    <mergeCell ref="AP198:AQ198"/>
    <mergeCell ref="AR202:AS203"/>
    <mergeCell ref="AT202:AU203"/>
    <mergeCell ref="AV202:AW203"/>
    <mergeCell ref="AX202:AY203"/>
    <mergeCell ref="AZ202:AZ203"/>
    <mergeCell ref="F203:H203"/>
    <mergeCell ref="X203:AB203"/>
    <mergeCell ref="AE203:AI203"/>
    <mergeCell ref="AJ203:AL203"/>
    <mergeCell ref="AN203:AO203"/>
    <mergeCell ref="AP203:AQ203"/>
    <mergeCell ref="A204:A205"/>
    <mergeCell ref="E204:E205"/>
    <mergeCell ref="F204:H204"/>
    <mergeCell ref="J204:J205"/>
    <mergeCell ref="K204:L205"/>
    <mergeCell ref="M204:N205"/>
    <mergeCell ref="O204:P205"/>
    <mergeCell ref="Q204:R205"/>
    <mergeCell ref="S204:T205"/>
    <mergeCell ref="U204:V205"/>
    <mergeCell ref="X204:AB204"/>
    <mergeCell ref="AD204:AI204"/>
    <mergeCell ref="AJ204:AL204"/>
    <mergeCell ref="AN204:AO204"/>
    <mergeCell ref="AP204:AQ204"/>
    <mergeCell ref="AR204:AS205"/>
    <mergeCell ref="AT204:AU205"/>
    <mergeCell ref="AV204:AW205"/>
    <mergeCell ref="AX204:AY205"/>
    <mergeCell ref="AZ204:AZ205"/>
    <mergeCell ref="F201:H201"/>
    <mergeCell ref="X201:AB201"/>
    <mergeCell ref="AE201:AI201"/>
    <mergeCell ref="AJ201:AL201"/>
    <mergeCell ref="AN201:AO201"/>
    <mergeCell ref="AP201:AQ201"/>
    <mergeCell ref="A202:A203"/>
    <mergeCell ref="E202:E203"/>
    <mergeCell ref="F202:H202"/>
    <mergeCell ref="J202:J203"/>
    <mergeCell ref="K202:L203"/>
    <mergeCell ref="M202:N203"/>
    <mergeCell ref="O202:P203"/>
    <mergeCell ref="Q202:R203"/>
    <mergeCell ref="S202:T203"/>
    <mergeCell ref="U202:V203"/>
    <mergeCell ref="X202:AB202"/>
    <mergeCell ref="AD202:AI202"/>
    <mergeCell ref="AJ202:AL202"/>
    <mergeCell ref="AN202:AO202"/>
    <mergeCell ref="AP202:AQ202"/>
    <mergeCell ref="AR206:AS207"/>
    <mergeCell ref="AT206:AU207"/>
    <mergeCell ref="AV206:AW207"/>
    <mergeCell ref="AX206:AY207"/>
    <mergeCell ref="AZ206:AZ207"/>
    <mergeCell ref="F207:H207"/>
    <mergeCell ref="X207:AB207"/>
    <mergeCell ref="AE207:AI207"/>
    <mergeCell ref="AJ207:AL207"/>
    <mergeCell ref="AN207:AO207"/>
    <mergeCell ref="AP207:AQ207"/>
    <mergeCell ref="A208:A209"/>
    <mergeCell ref="E208:E209"/>
    <mergeCell ref="F208:H208"/>
    <mergeCell ref="J208:J209"/>
    <mergeCell ref="K208:L209"/>
    <mergeCell ref="M208:N209"/>
    <mergeCell ref="O208:P209"/>
    <mergeCell ref="Q208:R209"/>
    <mergeCell ref="S208:T209"/>
    <mergeCell ref="U208:V209"/>
    <mergeCell ref="X208:AB208"/>
    <mergeCell ref="AD208:AI208"/>
    <mergeCell ref="AJ208:AL208"/>
    <mergeCell ref="AN208:AO208"/>
    <mergeCell ref="AP208:AQ208"/>
    <mergeCell ref="AR208:AS209"/>
    <mergeCell ref="AT208:AU209"/>
    <mergeCell ref="AV208:AW209"/>
    <mergeCell ref="AX208:AY209"/>
    <mergeCell ref="AZ208:AZ209"/>
    <mergeCell ref="F205:H205"/>
    <mergeCell ref="X205:AB205"/>
    <mergeCell ref="AE205:AI205"/>
    <mergeCell ref="AJ205:AL205"/>
    <mergeCell ref="AN205:AO205"/>
    <mergeCell ref="AP205:AQ205"/>
    <mergeCell ref="A206:A207"/>
    <mergeCell ref="E206:E207"/>
    <mergeCell ref="F206:H206"/>
    <mergeCell ref="J206:J207"/>
    <mergeCell ref="K206:L207"/>
    <mergeCell ref="M206:N207"/>
    <mergeCell ref="O206:P207"/>
    <mergeCell ref="Q206:R207"/>
    <mergeCell ref="S206:T207"/>
    <mergeCell ref="U206:V207"/>
    <mergeCell ref="X206:AB206"/>
    <mergeCell ref="AD206:AI206"/>
    <mergeCell ref="AJ206:AL206"/>
    <mergeCell ref="AN206:AO206"/>
    <mergeCell ref="AP206:AQ206"/>
    <mergeCell ref="W204:W205"/>
    <mergeCell ref="W206:W207"/>
    <mergeCell ref="AR210:AS211"/>
    <mergeCell ref="AT210:AU211"/>
    <mergeCell ref="AV210:AW211"/>
    <mergeCell ref="AX210:AY211"/>
    <mergeCell ref="AZ210:AZ211"/>
    <mergeCell ref="F211:H211"/>
    <mergeCell ref="X211:AB211"/>
    <mergeCell ref="AE211:AI211"/>
    <mergeCell ref="AJ211:AL211"/>
    <mergeCell ref="AN211:AO211"/>
    <mergeCell ref="AP211:AQ211"/>
    <mergeCell ref="A212:A213"/>
    <mergeCell ref="E212:E213"/>
    <mergeCell ref="F212:H212"/>
    <mergeCell ref="J212:J213"/>
    <mergeCell ref="K212:L213"/>
    <mergeCell ref="M212:N213"/>
    <mergeCell ref="O212:P213"/>
    <mergeCell ref="Q212:R213"/>
    <mergeCell ref="S212:T213"/>
    <mergeCell ref="U212:V213"/>
    <mergeCell ref="X212:AB212"/>
    <mergeCell ref="AD212:AI212"/>
    <mergeCell ref="AJ212:AL212"/>
    <mergeCell ref="AN212:AO212"/>
    <mergeCell ref="AP212:AQ212"/>
    <mergeCell ref="AR212:AS213"/>
    <mergeCell ref="AT212:AU213"/>
    <mergeCell ref="AV212:AW213"/>
    <mergeCell ref="AX212:AY213"/>
    <mergeCell ref="AZ212:AZ213"/>
    <mergeCell ref="F209:H209"/>
    <mergeCell ref="X209:AB209"/>
    <mergeCell ref="AE209:AI209"/>
    <mergeCell ref="AJ209:AL209"/>
    <mergeCell ref="AN209:AO209"/>
    <mergeCell ref="AP209:AQ209"/>
    <mergeCell ref="A210:A211"/>
    <mergeCell ref="E210:E211"/>
    <mergeCell ref="F210:H210"/>
    <mergeCell ref="J210:J211"/>
    <mergeCell ref="K210:L211"/>
    <mergeCell ref="M210:N211"/>
    <mergeCell ref="O210:P211"/>
    <mergeCell ref="Q210:R211"/>
    <mergeCell ref="S210:T211"/>
    <mergeCell ref="U210:V211"/>
    <mergeCell ref="X210:AB210"/>
    <mergeCell ref="AD210:AI210"/>
    <mergeCell ref="AJ210:AL210"/>
    <mergeCell ref="AN210:AO210"/>
    <mergeCell ref="AP210:AQ210"/>
    <mergeCell ref="W208:W209"/>
    <mergeCell ref="W210:W211"/>
    <mergeCell ref="AR214:AS215"/>
    <mergeCell ref="AT214:AU215"/>
    <mergeCell ref="AV214:AW215"/>
    <mergeCell ref="AX214:AY215"/>
    <mergeCell ref="AZ214:AZ215"/>
    <mergeCell ref="F215:H215"/>
    <mergeCell ref="X215:AB215"/>
    <mergeCell ref="AE215:AI215"/>
    <mergeCell ref="AJ215:AL215"/>
    <mergeCell ref="AN215:AO215"/>
    <mergeCell ref="AP215:AQ215"/>
    <mergeCell ref="A216:A217"/>
    <mergeCell ref="E216:E217"/>
    <mergeCell ref="F216:H216"/>
    <mergeCell ref="J216:J217"/>
    <mergeCell ref="K216:L217"/>
    <mergeCell ref="M216:N217"/>
    <mergeCell ref="O216:P217"/>
    <mergeCell ref="Q216:R217"/>
    <mergeCell ref="S216:T217"/>
    <mergeCell ref="U216:V217"/>
    <mergeCell ref="X216:AB216"/>
    <mergeCell ref="AD216:AI216"/>
    <mergeCell ref="AJ216:AL216"/>
    <mergeCell ref="AN216:AO216"/>
    <mergeCell ref="AP216:AQ216"/>
    <mergeCell ref="AR216:AS217"/>
    <mergeCell ref="AT216:AU217"/>
    <mergeCell ref="AV216:AW217"/>
    <mergeCell ref="AX216:AY217"/>
    <mergeCell ref="AZ216:AZ217"/>
    <mergeCell ref="F213:H213"/>
    <mergeCell ref="X213:AB213"/>
    <mergeCell ref="AE213:AI213"/>
    <mergeCell ref="AJ213:AL213"/>
    <mergeCell ref="AN213:AO213"/>
    <mergeCell ref="AP213:AQ213"/>
    <mergeCell ref="A214:A215"/>
    <mergeCell ref="E214:E215"/>
    <mergeCell ref="F214:H214"/>
    <mergeCell ref="J214:J215"/>
    <mergeCell ref="K214:L215"/>
    <mergeCell ref="M214:N215"/>
    <mergeCell ref="O214:P215"/>
    <mergeCell ref="Q214:R215"/>
    <mergeCell ref="S214:T215"/>
    <mergeCell ref="U214:V215"/>
    <mergeCell ref="X214:AB214"/>
    <mergeCell ref="AD214:AI214"/>
    <mergeCell ref="AJ214:AL214"/>
    <mergeCell ref="AN214:AO214"/>
    <mergeCell ref="AP214:AQ214"/>
    <mergeCell ref="W212:W213"/>
    <mergeCell ref="W214:W215"/>
    <mergeCell ref="AR218:AS219"/>
    <mergeCell ref="AT218:AU219"/>
    <mergeCell ref="AV218:AW219"/>
    <mergeCell ref="AX218:AY219"/>
    <mergeCell ref="AZ218:AZ219"/>
    <mergeCell ref="F219:H219"/>
    <mergeCell ref="X219:AB219"/>
    <mergeCell ref="AE219:AI219"/>
    <mergeCell ref="AJ219:AL219"/>
    <mergeCell ref="AN219:AO219"/>
    <mergeCell ref="AP219:AQ219"/>
    <mergeCell ref="F217:H217"/>
    <mergeCell ref="X217:AB217"/>
    <mergeCell ref="AE217:AI217"/>
    <mergeCell ref="AJ217:AL217"/>
    <mergeCell ref="AN217:AO217"/>
    <mergeCell ref="AP217:AQ217"/>
    <mergeCell ref="A218:A219"/>
    <mergeCell ref="E218:E219"/>
    <mergeCell ref="F218:H218"/>
    <mergeCell ref="J218:J219"/>
    <mergeCell ref="K218:L219"/>
    <mergeCell ref="M218:N219"/>
    <mergeCell ref="O218:P219"/>
    <mergeCell ref="Q218:R219"/>
    <mergeCell ref="S218:T219"/>
    <mergeCell ref="U218:V219"/>
    <mergeCell ref="X218:AB218"/>
    <mergeCell ref="AD218:AI218"/>
    <mergeCell ref="AJ218:AL218"/>
    <mergeCell ref="AN218:AO218"/>
    <mergeCell ref="AP218:AQ218"/>
    <mergeCell ref="W216:W217"/>
    <mergeCell ref="W218:W219"/>
    <mergeCell ref="AR220:AS221"/>
    <mergeCell ref="AT220:AU221"/>
    <mergeCell ref="AV220:AW221"/>
    <mergeCell ref="AX220:AY221"/>
    <mergeCell ref="AZ220:AZ221"/>
    <mergeCell ref="F221:H221"/>
    <mergeCell ref="X221:AB221"/>
    <mergeCell ref="AE221:AI221"/>
    <mergeCell ref="AJ221:AL221"/>
    <mergeCell ref="AN221:AO221"/>
    <mergeCell ref="AP221:AQ221"/>
    <mergeCell ref="A222:A223"/>
    <mergeCell ref="E222:E223"/>
    <mergeCell ref="F222:H222"/>
    <mergeCell ref="J222:J223"/>
    <mergeCell ref="K222:L223"/>
    <mergeCell ref="M222:N223"/>
    <mergeCell ref="O222:P223"/>
    <mergeCell ref="Q222:R223"/>
    <mergeCell ref="S222:T223"/>
    <mergeCell ref="U222:V223"/>
    <mergeCell ref="X222:AB222"/>
    <mergeCell ref="AD222:AI222"/>
    <mergeCell ref="AJ222:AL222"/>
    <mergeCell ref="AN222:AO222"/>
    <mergeCell ref="AP222:AQ222"/>
    <mergeCell ref="AR222:AS223"/>
    <mergeCell ref="AT222:AU223"/>
    <mergeCell ref="AV222:AW223"/>
    <mergeCell ref="AX222:AY223"/>
    <mergeCell ref="AZ222:AZ223"/>
    <mergeCell ref="A220:A221"/>
    <mergeCell ref="E220:E221"/>
    <mergeCell ref="F220:H220"/>
    <mergeCell ref="J220:J221"/>
    <mergeCell ref="K220:L221"/>
    <mergeCell ref="M220:N221"/>
    <mergeCell ref="O220:P221"/>
    <mergeCell ref="Q220:R221"/>
    <mergeCell ref="S220:T221"/>
    <mergeCell ref="U220:V221"/>
    <mergeCell ref="X220:AB220"/>
    <mergeCell ref="AD220:AI220"/>
    <mergeCell ref="AJ220:AL220"/>
    <mergeCell ref="AN220:AO220"/>
    <mergeCell ref="AP220:AQ220"/>
    <mergeCell ref="W220:W221"/>
    <mergeCell ref="AR224:AS225"/>
    <mergeCell ref="AT224:AU225"/>
    <mergeCell ref="AV224:AW225"/>
    <mergeCell ref="AX224:AY225"/>
    <mergeCell ref="AZ224:AZ225"/>
    <mergeCell ref="F225:H225"/>
    <mergeCell ref="X225:AB225"/>
    <mergeCell ref="AE225:AI225"/>
    <mergeCell ref="AJ225:AL225"/>
    <mergeCell ref="AN225:AO225"/>
    <mergeCell ref="AP225:AQ225"/>
    <mergeCell ref="A226:A227"/>
    <mergeCell ref="E226:E227"/>
    <mergeCell ref="F226:H226"/>
    <mergeCell ref="J226:J227"/>
    <mergeCell ref="K226:L227"/>
    <mergeCell ref="M226:N227"/>
    <mergeCell ref="O226:P227"/>
    <mergeCell ref="Q226:R227"/>
    <mergeCell ref="S226:T227"/>
    <mergeCell ref="U226:V227"/>
    <mergeCell ref="X226:AB226"/>
    <mergeCell ref="AD226:AI226"/>
    <mergeCell ref="AJ226:AL226"/>
    <mergeCell ref="AN226:AO226"/>
    <mergeCell ref="AP226:AQ226"/>
    <mergeCell ref="AR226:AS227"/>
    <mergeCell ref="AT226:AU227"/>
    <mergeCell ref="AV226:AW227"/>
    <mergeCell ref="AX226:AY227"/>
    <mergeCell ref="AZ226:AZ227"/>
    <mergeCell ref="F223:H223"/>
    <mergeCell ref="X223:AB223"/>
    <mergeCell ref="AE223:AI223"/>
    <mergeCell ref="AJ223:AL223"/>
    <mergeCell ref="AN223:AO223"/>
    <mergeCell ref="AP223:AQ223"/>
    <mergeCell ref="A224:A225"/>
    <mergeCell ref="E224:E225"/>
    <mergeCell ref="F224:H224"/>
    <mergeCell ref="J224:J225"/>
    <mergeCell ref="K224:L225"/>
    <mergeCell ref="M224:N225"/>
    <mergeCell ref="O224:P225"/>
    <mergeCell ref="Q224:R225"/>
    <mergeCell ref="S224:T225"/>
    <mergeCell ref="U224:V225"/>
    <mergeCell ref="X224:AB224"/>
    <mergeCell ref="AD224:AI224"/>
    <mergeCell ref="AJ224:AL224"/>
    <mergeCell ref="AN224:AO224"/>
    <mergeCell ref="AP224:AQ224"/>
    <mergeCell ref="W222:W223"/>
    <mergeCell ref="W224:W225"/>
    <mergeCell ref="AR228:AS229"/>
    <mergeCell ref="AT228:AU229"/>
    <mergeCell ref="AV228:AW229"/>
    <mergeCell ref="AX228:AY229"/>
    <mergeCell ref="AZ228:AZ229"/>
    <mergeCell ref="F229:H229"/>
    <mergeCell ref="X229:AB229"/>
    <mergeCell ref="AE229:AI229"/>
    <mergeCell ref="AJ229:AL229"/>
    <mergeCell ref="AN229:AO229"/>
    <mergeCell ref="AP229:AQ229"/>
    <mergeCell ref="A230:A231"/>
    <mergeCell ref="E230:E231"/>
    <mergeCell ref="F230:H230"/>
    <mergeCell ref="J230:J231"/>
    <mergeCell ref="K230:L231"/>
    <mergeCell ref="M230:N231"/>
    <mergeCell ref="O230:P231"/>
    <mergeCell ref="Q230:R231"/>
    <mergeCell ref="S230:T231"/>
    <mergeCell ref="U230:V231"/>
    <mergeCell ref="X230:AB230"/>
    <mergeCell ref="AD230:AI230"/>
    <mergeCell ref="AJ230:AL230"/>
    <mergeCell ref="AN230:AO230"/>
    <mergeCell ref="AP230:AQ230"/>
    <mergeCell ref="AR230:AS231"/>
    <mergeCell ref="AT230:AU231"/>
    <mergeCell ref="AV230:AW231"/>
    <mergeCell ref="AX230:AY231"/>
    <mergeCell ref="AZ230:AZ231"/>
    <mergeCell ref="F227:H227"/>
    <mergeCell ref="X227:AB227"/>
    <mergeCell ref="AE227:AI227"/>
    <mergeCell ref="AJ227:AL227"/>
    <mergeCell ref="AN227:AO227"/>
    <mergeCell ref="AP227:AQ227"/>
    <mergeCell ref="A228:A229"/>
    <mergeCell ref="E228:E229"/>
    <mergeCell ref="F228:H228"/>
    <mergeCell ref="J228:J229"/>
    <mergeCell ref="K228:L229"/>
    <mergeCell ref="M228:N229"/>
    <mergeCell ref="O228:P229"/>
    <mergeCell ref="Q228:R229"/>
    <mergeCell ref="S228:T229"/>
    <mergeCell ref="U228:V229"/>
    <mergeCell ref="X228:AB228"/>
    <mergeCell ref="AD228:AI228"/>
    <mergeCell ref="AJ228:AL228"/>
    <mergeCell ref="AN228:AO228"/>
    <mergeCell ref="AP228:AQ228"/>
    <mergeCell ref="W226:W227"/>
    <mergeCell ref="W228:W229"/>
    <mergeCell ref="AR232:AS233"/>
    <mergeCell ref="AT232:AU233"/>
    <mergeCell ref="AV232:AW233"/>
    <mergeCell ref="AX232:AY233"/>
    <mergeCell ref="AZ232:AZ233"/>
    <mergeCell ref="F233:H233"/>
    <mergeCell ref="X233:AB233"/>
    <mergeCell ref="AE233:AI233"/>
    <mergeCell ref="AJ233:AL233"/>
    <mergeCell ref="AN233:AO233"/>
    <mergeCell ref="AP233:AQ233"/>
    <mergeCell ref="A234:A235"/>
    <mergeCell ref="E234:E235"/>
    <mergeCell ref="F234:H234"/>
    <mergeCell ref="J234:J235"/>
    <mergeCell ref="K234:L235"/>
    <mergeCell ref="M234:N235"/>
    <mergeCell ref="O234:P235"/>
    <mergeCell ref="Q234:R235"/>
    <mergeCell ref="S234:T235"/>
    <mergeCell ref="U234:V235"/>
    <mergeCell ref="X234:AB234"/>
    <mergeCell ref="AD234:AI234"/>
    <mergeCell ref="AJ234:AL234"/>
    <mergeCell ref="AN234:AO234"/>
    <mergeCell ref="AP234:AQ234"/>
    <mergeCell ref="AR234:AS235"/>
    <mergeCell ref="AT234:AU235"/>
    <mergeCell ref="AV234:AW235"/>
    <mergeCell ref="AX234:AY235"/>
    <mergeCell ref="AZ234:AZ235"/>
    <mergeCell ref="F231:H231"/>
    <mergeCell ref="X231:AB231"/>
    <mergeCell ref="AE231:AI231"/>
    <mergeCell ref="AJ231:AL231"/>
    <mergeCell ref="AN231:AO231"/>
    <mergeCell ref="AP231:AQ231"/>
    <mergeCell ref="A232:A233"/>
    <mergeCell ref="E232:E233"/>
    <mergeCell ref="F232:H232"/>
    <mergeCell ref="J232:J233"/>
    <mergeCell ref="K232:L233"/>
    <mergeCell ref="M232:N233"/>
    <mergeCell ref="O232:P233"/>
    <mergeCell ref="Q232:R233"/>
    <mergeCell ref="S232:T233"/>
    <mergeCell ref="U232:V233"/>
    <mergeCell ref="X232:AB232"/>
    <mergeCell ref="AD232:AI232"/>
    <mergeCell ref="AJ232:AL232"/>
    <mergeCell ref="AN232:AO232"/>
    <mergeCell ref="AP232:AQ232"/>
    <mergeCell ref="W230:W231"/>
    <mergeCell ref="W232:W233"/>
    <mergeCell ref="AR236:AS237"/>
    <mergeCell ref="AT236:AU237"/>
    <mergeCell ref="AV236:AW237"/>
    <mergeCell ref="AX236:AY237"/>
    <mergeCell ref="AZ236:AZ237"/>
    <mergeCell ref="F237:H237"/>
    <mergeCell ref="X237:AB237"/>
    <mergeCell ref="AE237:AI237"/>
    <mergeCell ref="AJ237:AL237"/>
    <mergeCell ref="AN237:AO237"/>
    <mergeCell ref="AP237:AQ237"/>
    <mergeCell ref="A238:A239"/>
    <mergeCell ref="E238:E239"/>
    <mergeCell ref="F238:H238"/>
    <mergeCell ref="J238:J239"/>
    <mergeCell ref="K238:L239"/>
    <mergeCell ref="M238:N239"/>
    <mergeCell ref="O238:P239"/>
    <mergeCell ref="Q238:R239"/>
    <mergeCell ref="S238:T239"/>
    <mergeCell ref="U238:V239"/>
    <mergeCell ref="X238:AB238"/>
    <mergeCell ref="AD238:AI238"/>
    <mergeCell ref="AJ238:AL238"/>
    <mergeCell ref="AN238:AO238"/>
    <mergeCell ref="AP238:AQ238"/>
    <mergeCell ref="AR238:AS239"/>
    <mergeCell ref="AT238:AU239"/>
    <mergeCell ref="AV238:AW239"/>
    <mergeCell ref="AX238:AY239"/>
    <mergeCell ref="AZ238:AZ239"/>
    <mergeCell ref="F235:H235"/>
    <mergeCell ref="X235:AB235"/>
    <mergeCell ref="AE235:AI235"/>
    <mergeCell ref="AJ235:AL235"/>
    <mergeCell ref="AN235:AO235"/>
    <mergeCell ref="AP235:AQ235"/>
    <mergeCell ref="A236:A237"/>
    <mergeCell ref="E236:E237"/>
    <mergeCell ref="F236:H236"/>
    <mergeCell ref="J236:J237"/>
    <mergeCell ref="K236:L237"/>
    <mergeCell ref="M236:N237"/>
    <mergeCell ref="O236:P237"/>
    <mergeCell ref="Q236:R237"/>
    <mergeCell ref="S236:T237"/>
    <mergeCell ref="U236:V237"/>
    <mergeCell ref="X236:AB236"/>
    <mergeCell ref="AD236:AI236"/>
    <mergeCell ref="AJ236:AL236"/>
    <mergeCell ref="AN236:AO236"/>
    <mergeCell ref="AP236:AQ236"/>
    <mergeCell ref="W234:W235"/>
    <mergeCell ref="W236:W237"/>
    <mergeCell ref="AR240:AS241"/>
    <mergeCell ref="AT240:AU241"/>
    <mergeCell ref="AV240:AW241"/>
    <mergeCell ref="AX240:AY241"/>
    <mergeCell ref="AZ240:AZ241"/>
    <mergeCell ref="F241:H241"/>
    <mergeCell ref="X241:AB241"/>
    <mergeCell ref="AE241:AI241"/>
    <mergeCell ref="AJ241:AL241"/>
    <mergeCell ref="AN241:AO241"/>
    <mergeCell ref="AP241:AQ241"/>
    <mergeCell ref="A242:A243"/>
    <mergeCell ref="E242:E243"/>
    <mergeCell ref="F242:H242"/>
    <mergeCell ref="J242:J243"/>
    <mergeCell ref="K242:L243"/>
    <mergeCell ref="M242:N243"/>
    <mergeCell ref="O242:P243"/>
    <mergeCell ref="Q242:R243"/>
    <mergeCell ref="S242:T243"/>
    <mergeCell ref="U242:V243"/>
    <mergeCell ref="X242:AB242"/>
    <mergeCell ref="AD242:AI242"/>
    <mergeCell ref="AJ242:AL242"/>
    <mergeCell ref="AN242:AO242"/>
    <mergeCell ref="AP242:AQ242"/>
    <mergeCell ref="AR242:AS243"/>
    <mergeCell ref="AT242:AU243"/>
    <mergeCell ref="AV242:AW243"/>
    <mergeCell ref="AX242:AY243"/>
    <mergeCell ref="AZ242:AZ243"/>
    <mergeCell ref="F239:H239"/>
    <mergeCell ref="X239:AB239"/>
    <mergeCell ref="AE239:AI239"/>
    <mergeCell ref="AJ239:AL239"/>
    <mergeCell ref="AN239:AO239"/>
    <mergeCell ref="AP239:AQ239"/>
    <mergeCell ref="A240:A241"/>
    <mergeCell ref="E240:E241"/>
    <mergeCell ref="F240:H240"/>
    <mergeCell ref="J240:J241"/>
    <mergeCell ref="K240:L241"/>
    <mergeCell ref="M240:N241"/>
    <mergeCell ref="O240:P241"/>
    <mergeCell ref="Q240:R241"/>
    <mergeCell ref="S240:T241"/>
    <mergeCell ref="U240:V241"/>
    <mergeCell ref="X240:AB240"/>
    <mergeCell ref="AD240:AI240"/>
    <mergeCell ref="AJ240:AL240"/>
    <mergeCell ref="AN240:AO240"/>
    <mergeCell ref="AP240:AQ240"/>
    <mergeCell ref="W238:W239"/>
    <mergeCell ref="W240:W241"/>
    <mergeCell ref="AR244:AS245"/>
    <mergeCell ref="AT244:AU245"/>
    <mergeCell ref="AV244:AW245"/>
    <mergeCell ref="AX244:AY245"/>
    <mergeCell ref="AZ244:AZ245"/>
    <mergeCell ref="F245:H245"/>
    <mergeCell ref="X245:AB245"/>
    <mergeCell ref="AE245:AI245"/>
    <mergeCell ref="AJ245:AL245"/>
    <mergeCell ref="AN245:AO245"/>
    <mergeCell ref="AP245:AQ245"/>
    <mergeCell ref="A246:A247"/>
    <mergeCell ref="E246:E247"/>
    <mergeCell ref="F246:H246"/>
    <mergeCell ref="J246:J247"/>
    <mergeCell ref="K246:L247"/>
    <mergeCell ref="M246:N247"/>
    <mergeCell ref="O246:P247"/>
    <mergeCell ref="Q246:R247"/>
    <mergeCell ref="S246:T247"/>
    <mergeCell ref="U246:V247"/>
    <mergeCell ref="X246:AB246"/>
    <mergeCell ref="AD246:AI246"/>
    <mergeCell ref="AJ246:AL246"/>
    <mergeCell ref="AN246:AO246"/>
    <mergeCell ref="AP246:AQ246"/>
    <mergeCell ref="AR246:AS247"/>
    <mergeCell ref="AT246:AU247"/>
    <mergeCell ref="AV246:AW247"/>
    <mergeCell ref="AX246:AY247"/>
    <mergeCell ref="AZ246:AZ247"/>
    <mergeCell ref="F243:H243"/>
    <mergeCell ref="X243:AB243"/>
    <mergeCell ref="AE243:AI243"/>
    <mergeCell ref="AJ243:AL243"/>
    <mergeCell ref="AN243:AO243"/>
    <mergeCell ref="AP243:AQ243"/>
    <mergeCell ref="A244:A245"/>
    <mergeCell ref="E244:E245"/>
    <mergeCell ref="F244:H244"/>
    <mergeCell ref="J244:J245"/>
    <mergeCell ref="K244:L245"/>
    <mergeCell ref="M244:N245"/>
    <mergeCell ref="O244:P245"/>
    <mergeCell ref="Q244:R245"/>
    <mergeCell ref="S244:T245"/>
    <mergeCell ref="U244:V245"/>
    <mergeCell ref="X244:AB244"/>
    <mergeCell ref="AD244:AI244"/>
    <mergeCell ref="AJ244:AL244"/>
    <mergeCell ref="AN244:AO244"/>
    <mergeCell ref="AP244:AQ244"/>
    <mergeCell ref="W242:W243"/>
    <mergeCell ref="W244:W245"/>
    <mergeCell ref="AR248:AS249"/>
    <mergeCell ref="AT248:AU249"/>
    <mergeCell ref="AV248:AW249"/>
    <mergeCell ref="AX248:AY249"/>
    <mergeCell ref="AZ248:AZ249"/>
    <mergeCell ref="F249:H249"/>
    <mergeCell ref="X249:AB249"/>
    <mergeCell ref="AE249:AI249"/>
    <mergeCell ref="AJ249:AL249"/>
    <mergeCell ref="AN249:AO249"/>
    <mergeCell ref="AP249:AQ249"/>
    <mergeCell ref="A250:A251"/>
    <mergeCell ref="E250:E251"/>
    <mergeCell ref="F250:H250"/>
    <mergeCell ref="J250:J251"/>
    <mergeCell ref="K250:L251"/>
    <mergeCell ref="M250:N251"/>
    <mergeCell ref="O250:P251"/>
    <mergeCell ref="Q250:R251"/>
    <mergeCell ref="S250:T251"/>
    <mergeCell ref="U250:V251"/>
    <mergeCell ref="X250:AB250"/>
    <mergeCell ref="AD250:AI250"/>
    <mergeCell ref="AJ250:AL250"/>
    <mergeCell ref="AN250:AO250"/>
    <mergeCell ref="AP250:AQ250"/>
    <mergeCell ref="AR250:AS251"/>
    <mergeCell ref="AT250:AU251"/>
    <mergeCell ref="AV250:AW251"/>
    <mergeCell ref="AX250:AY251"/>
    <mergeCell ref="AZ250:AZ251"/>
    <mergeCell ref="F247:H247"/>
    <mergeCell ref="X247:AB247"/>
    <mergeCell ref="AE247:AI247"/>
    <mergeCell ref="AJ247:AL247"/>
    <mergeCell ref="AN247:AO247"/>
    <mergeCell ref="AP247:AQ247"/>
    <mergeCell ref="A248:A249"/>
    <mergeCell ref="E248:E249"/>
    <mergeCell ref="F248:H248"/>
    <mergeCell ref="J248:J249"/>
    <mergeCell ref="K248:L249"/>
    <mergeCell ref="M248:N249"/>
    <mergeCell ref="O248:P249"/>
    <mergeCell ref="Q248:R249"/>
    <mergeCell ref="S248:T249"/>
    <mergeCell ref="U248:V249"/>
    <mergeCell ref="X248:AB248"/>
    <mergeCell ref="AD248:AI248"/>
    <mergeCell ref="AJ248:AL248"/>
    <mergeCell ref="AN248:AO248"/>
    <mergeCell ref="AP248:AQ248"/>
    <mergeCell ref="W246:W247"/>
    <mergeCell ref="W248:W249"/>
    <mergeCell ref="AR252:AS253"/>
    <mergeCell ref="AT252:AU253"/>
    <mergeCell ref="AV252:AW253"/>
    <mergeCell ref="AX252:AY253"/>
    <mergeCell ref="AZ252:AZ253"/>
    <mergeCell ref="F253:H253"/>
    <mergeCell ref="X253:AB253"/>
    <mergeCell ref="AE253:AI253"/>
    <mergeCell ref="AJ253:AL253"/>
    <mergeCell ref="AN253:AO253"/>
    <mergeCell ref="AP253:AQ253"/>
    <mergeCell ref="A254:A255"/>
    <mergeCell ref="E254:E255"/>
    <mergeCell ref="F254:H254"/>
    <mergeCell ref="J254:J255"/>
    <mergeCell ref="K254:L255"/>
    <mergeCell ref="M254:N255"/>
    <mergeCell ref="O254:P255"/>
    <mergeCell ref="Q254:R255"/>
    <mergeCell ref="S254:T255"/>
    <mergeCell ref="U254:V255"/>
    <mergeCell ref="X254:AB254"/>
    <mergeCell ref="AD254:AI254"/>
    <mergeCell ref="AJ254:AL254"/>
    <mergeCell ref="AN254:AO254"/>
    <mergeCell ref="AP254:AQ254"/>
    <mergeCell ref="AR254:AS255"/>
    <mergeCell ref="AT254:AU255"/>
    <mergeCell ref="AV254:AW255"/>
    <mergeCell ref="AX254:AY255"/>
    <mergeCell ref="AZ254:AZ255"/>
    <mergeCell ref="F251:H251"/>
    <mergeCell ref="X251:AB251"/>
    <mergeCell ref="AE251:AI251"/>
    <mergeCell ref="AJ251:AL251"/>
    <mergeCell ref="AN251:AO251"/>
    <mergeCell ref="AP251:AQ251"/>
    <mergeCell ref="A252:A253"/>
    <mergeCell ref="E252:E253"/>
    <mergeCell ref="F252:H252"/>
    <mergeCell ref="J252:J253"/>
    <mergeCell ref="K252:L253"/>
    <mergeCell ref="M252:N253"/>
    <mergeCell ref="O252:P253"/>
    <mergeCell ref="Q252:R253"/>
    <mergeCell ref="S252:T253"/>
    <mergeCell ref="U252:V253"/>
    <mergeCell ref="X252:AB252"/>
    <mergeCell ref="AD252:AI252"/>
    <mergeCell ref="AJ252:AL252"/>
    <mergeCell ref="AN252:AO252"/>
    <mergeCell ref="AP252:AQ252"/>
    <mergeCell ref="W250:W251"/>
    <mergeCell ref="W252:W253"/>
    <mergeCell ref="AR256:AS257"/>
    <mergeCell ref="AT256:AU257"/>
    <mergeCell ref="AV256:AW257"/>
    <mergeCell ref="AX256:AY257"/>
    <mergeCell ref="AZ256:AZ257"/>
    <mergeCell ref="F257:H257"/>
    <mergeCell ref="X257:AB257"/>
    <mergeCell ref="AE257:AI257"/>
    <mergeCell ref="AJ257:AL257"/>
    <mergeCell ref="AN257:AO257"/>
    <mergeCell ref="AP257:AQ257"/>
    <mergeCell ref="A258:A259"/>
    <mergeCell ref="E258:E259"/>
    <mergeCell ref="F258:H258"/>
    <mergeCell ref="J258:J259"/>
    <mergeCell ref="K258:L259"/>
    <mergeCell ref="M258:N259"/>
    <mergeCell ref="O258:P259"/>
    <mergeCell ref="Q258:R259"/>
    <mergeCell ref="S258:T259"/>
    <mergeCell ref="U258:V259"/>
    <mergeCell ref="X258:AB258"/>
    <mergeCell ref="AD258:AI258"/>
    <mergeCell ref="AJ258:AL258"/>
    <mergeCell ref="AN258:AO258"/>
    <mergeCell ref="AP258:AQ258"/>
    <mergeCell ref="AR258:AS259"/>
    <mergeCell ref="AT258:AU259"/>
    <mergeCell ref="AV258:AW259"/>
    <mergeCell ref="AX258:AY259"/>
    <mergeCell ref="AZ258:AZ259"/>
    <mergeCell ref="F255:H255"/>
    <mergeCell ref="X255:AB255"/>
    <mergeCell ref="AE255:AI255"/>
    <mergeCell ref="AJ255:AL255"/>
    <mergeCell ref="AN255:AO255"/>
    <mergeCell ref="AP255:AQ255"/>
    <mergeCell ref="A256:A257"/>
    <mergeCell ref="E256:E257"/>
    <mergeCell ref="F256:H256"/>
    <mergeCell ref="J256:J257"/>
    <mergeCell ref="K256:L257"/>
    <mergeCell ref="M256:N257"/>
    <mergeCell ref="O256:P257"/>
    <mergeCell ref="Q256:R257"/>
    <mergeCell ref="S256:T257"/>
    <mergeCell ref="U256:V257"/>
    <mergeCell ref="X256:AB256"/>
    <mergeCell ref="AD256:AI256"/>
    <mergeCell ref="AJ256:AL256"/>
    <mergeCell ref="AN256:AO256"/>
    <mergeCell ref="AP256:AQ256"/>
    <mergeCell ref="W254:W255"/>
    <mergeCell ref="W256:W257"/>
    <mergeCell ref="AR260:AS261"/>
    <mergeCell ref="AT260:AU261"/>
    <mergeCell ref="AV260:AW261"/>
    <mergeCell ref="AX260:AY261"/>
    <mergeCell ref="AZ260:AZ261"/>
    <mergeCell ref="F261:H261"/>
    <mergeCell ref="X261:AB261"/>
    <mergeCell ref="AE261:AI261"/>
    <mergeCell ref="AJ261:AL261"/>
    <mergeCell ref="AN261:AO261"/>
    <mergeCell ref="AP261:AQ261"/>
    <mergeCell ref="A262:A263"/>
    <mergeCell ref="E262:E263"/>
    <mergeCell ref="F262:H262"/>
    <mergeCell ref="J262:J263"/>
    <mergeCell ref="K262:L263"/>
    <mergeCell ref="M262:N263"/>
    <mergeCell ref="O262:P263"/>
    <mergeCell ref="Q262:R263"/>
    <mergeCell ref="S262:T263"/>
    <mergeCell ref="U262:V263"/>
    <mergeCell ref="X262:AB262"/>
    <mergeCell ref="AD262:AI262"/>
    <mergeCell ref="AJ262:AL262"/>
    <mergeCell ref="AN262:AO262"/>
    <mergeCell ref="AP262:AQ262"/>
    <mergeCell ref="AR262:AS263"/>
    <mergeCell ref="AT262:AU263"/>
    <mergeCell ref="AV262:AW263"/>
    <mergeCell ref="AX262:AY263"/>
    <mergeCell ref="AZ262:AZ263"/>
    <mergeCell ref="F259:H259"/>
    <mergeCell ref="X259:AB259"/>
    <mergeCell ref="AE259:AI259"/>
    <mergeCell ref="AJ259:AL259"/>
    <mergeCell ref="AN259:AO259"/>
    <mergeCell ref="AP259:AQ259"/>
    <mergeCell ref="A260:A261"/>
    <mergeCell ref="E260:E261"/>
    <mergeCell ref="F260:H260"/>
    <mergeCell ref="J260:J261"/>
    <mergeCell ref="K260:L261"/>
    <mergeCell ref="M260:N261"/>
    <mergeCell ref="O260:P261"/>
    <mergeCell ref="Q260:R261"/>
    <mergeCell ref="S260:T261"/>
    <mergeCell ref="U260:V261"/>
    <mergeCell ref="X260:AB260"/>
    <mergeCell ref="AD260:AI260"/>
    <mergeCell ref="AJ260:AL260"/>
    <mergeCell ref="AN260:AO260"/>
    <mergeCell ref="AP260:AQ260"/>
    <mergeCell ref="W258:W259"/>
    <mergeCell ref="W260:W261"/>
    <mergeCell ref="AR264:AS265"/>
    <mergeCell ref="AT264:AU265"/>
    <mergeCell ref="AV264:AW265"/>
    <mergeCell ref="AX264:AY265"/>
    <mergeCell ref="AZ264:AZ265"/>
    <mergeCell ref="F265:H265"/>
    <mergeCell ref="X265:AB265"/>
    <mergeCell ref="AE265:AI265"/>
    <mergeCell ref="AJ265:AL265"/>
    <mergeCell ref="AN265:AO265"/>
    <mergeCell ref="AP265:AQ265"/>
    <mergeCell ref="A266:A267"/>
    <mergeCell ref="E266:E267"/>
    <mergeCell ref="F266:H266"/>
    <mergeCell ref="J266:J267"/>
    <mergeCell ref="K266:L267"/>
    <mergeCell ref="M266:N267"/>
    <mergeCell ref="O266:P267"/>
    <mergeCell ref="Q266:R267"/>
    <mergeCell ref="S266:T267"/>
    <mergeCell ref="U266:V267"/>
    <mergeCell ref="X266:AB266"/>
    <mergeCell ref="AD266:AI266"/>
    <mergeCell ref="AJ266:AL266"/>
    <mergeCell ref="AN266:AO266"/>
    <mergeCell ref="AP266:AQ266"/>
    <mergeCell ref="AR266:AS267"/>
    <mergeCell ref="AT266:AU267"/>
    <mergeCell ref="AV266:AW267"/>
    <mergeCell ref="AX266:AY267"/>
    <mergeCell ref="AZ266:AZ267"/>
    <mergeCell ref="F263:H263"/>
    <mergeCell ref="X263:AB263"/>
    <mergeCell ref="AE263:AI263"/>
    <mergeCell ref="AJ263:AL263"/>
    <mergeCell ref="AN263:AO263"/>
    <mergeCell ref="AP263:AQ263"/>
    <mergeCell ref="A264:A265"/>
    <mergeCell ref="E264:E265"/>
    <mergeCell ref="F264:H264"/>
    <mergeCell ref="J264:J265"/>
    <mergeCell ref="K264:L265"/>
    <mergeCell ref="M264:N265"/>
    <mergeCell ref="O264:P265"/>
    <mergeCell ref="Q264:R265"/>
    <mergeCell ref="S264:T265"/>
    <mergeCell ref="U264:V265"/>
    <mergeCell ref="X264:AB264"/>
    <mergeCell ref="AD264:AI264"/>
    <mergeCell ref="AJ264:AL264"/>
    <mergeCell ref="AN264:AO264"/>
    <mergeCell ref="AP264:AQ264"/>
    <mergeCell ref="W262:W263"/>
    <mergeCell ref="W264:W265"/>
    <mergeCell ref="AR268:AS269"/>
    <mergeCell ref="AT268:AU269"/>
    <mergeCell ref="AV268:AW269"/>
    <mergeCell ref="AX268:AY269"/>
    <mergeCell ref="AZ268:AZ269"/>
    <mergeCell ref="F269:H269"/>
    <mergeCell ref="X269:AB269"/>
    <mergeCell ref="AE269:AI269"/>
    <mergeCell ref="AJ269:AL269"/>
    <mergeCell ref="AN269:AO269"/>
    <mergeCell ref="AP269:AQ269"/>
    <mergeCell ref="A270:A271"/>
    <mergeCell ref="E270:E271"/>
    <mergeCell ref="F270:H270"/>
    <mergeCell ref="J270:J271"/>
    <mergeCell ref="K270:L271"/>
    <mergeCell ref="M270:N271"/>
    <mergeCell ref="O270:P271"/>
    <mergeCell ref="Q270:R271"/>
    <mergeCell ref="S270:T271"/>
    <mergeCell ref="U270:V271"/>
    <mergeCell ref="X270:AB270"/>
    <mergeCell ref="AD270:AI270"/>
    <mergeCell ref="AJ270:AL270"/>
    <mergeCell ref="AN270:AO270"/>
    <mergeCell ref="AP270:AQ270"/>
    <mergeCell ref="AR270:AS271"/>
    <mergeCell ref="AT270:AU271"/>
    <mergeCell ref="AV270:AW271"/>
    <mergeCell ref="AX270:AY271"/>
    <mergeCell ref="AZ270:AZ271"/>
    <mergeCell ref="F267:H267"/>
    <mergeCell ref="X267:AB267"/>
    <mergeCell ref="AE267:AI267"/>
    <mergeCell ref="AJ267:AL267"/>
    <mergeCell ref="AN267:AO267"/>
    <mergeCell ref="AP267:AQ267"/>
    <mergeCell ref="A268:A269"/>
    <mergeCell ref="E268:E269"/>
    <mergeCell ref="F268:H268"/>
    <mergeCell ref="J268:J269"/>
    <mergeCell ref="K268:L269"/>
    <mergeCell ref="M268:N269"/>
    <mergeCell ref="O268:P269"/>
    <mergeCell ref="Q268:R269"/>
    <mergeCell ref="S268:T269"/>
    <mergeCell ref="U268:V269"/>
    <mergeCell ref="X268:AB268"/>
    <mergeCell ref="AD268:AI268"/>
    <mergeCell ref="AJ268:AL268"/>
    <mergeCell ref="AN268:AO268"/>
    <mergeCell ref="AP268:AQ268"/>
    <mergeCell ref="W266:W267"/>
    <mergeCell ref="W268:W269"/>
    <mergeCell ref="AR272:AS273"/>
    <mergeCell ref="AT272:AU273"/>
    <mergeCell ref="AV272:AW273"/>
    <mergeCell ref="AX272:AY273"/>
    <mergeCell ref="AZ272:AZ273"/>
    <mergeCell ref="F273:H273"/>
    <mergeCell ref="X273:AB273"/>
    <mergeCell ref="AE273:AI273"/>
    <mergeCell ref="AJ273:AL273"/>
    <mergeCell ref="AN273:AO273"/>
    <mergeCell ref="AP273:AQ273"/>
    <mergeCell ref="A274:A275"/>
    <mergeCell ref="E274:E275"/>
    <mergeCell ref="F274:H274"/>
    <mergeCell ref="J274:J275"/>
    <mergeCell ref="K274:L275"/>
    <mergeCell ref="M274:N275"/>
    <mergeCell ref="O274:P275"/>
    <mergeCell ref="Q274:R275"/>
    <mergeCell ref="S274:T275"/>
    <mergeCell ref="U274:V275"/>
    <mergeCell ref="X274:AB274"/>
    <mergeCell ref="AD274:AI274"/>
    <mergeCell ref="AJ274:AL274"/>
    <mergeCell ref="AN274:AO274"/>
    <mergeCell ref="AP274:AQ274"/>
    <mergeCell ref="AR274:AS275"/>
    <mergeCell ref="AT274:AU275"/>
    <mergeCell ref="AV274:AW275"/>
    <mergeCell ref="AX274:AY275"/>
    <mergeCell ref="AZ274:AZ275"/>
    <mergeCell ref="F271:H271"/>
    <mergeCell ref="X271:AB271"/>
    <mergeCell ref="AE271:AI271"/>
    <mergeCell ref="AJ271:AL271"/>
    <mergeCell ref="AN271:AO271"/>
    <mergeCell ref="AP271:AQ271"/>
    <mergeCell ref="A272:A273"/>
    <mergeCell ref="E272:E273"/>
    <mergeCell ref="F272:H272"/>
    <mergeCell ref="J272:J273"/>
    <mergeCell ref="K272:L273"/>
    <mergeCell ref="M272:N273"/>
    <mergeCell ref="O272:P273"/>
    <mergeCell ref="Q272:R273"/>
    <mergeCell ref="S272:T273"/>
    <mergeCell ref="U272:V273"/>
    <mergeCell ref="X272:AB272"/>
    <mergeCell ref="AD272:AI272"/>
    <mergeCell ref="AJ272:AL272"/>
    <mergeCell ref="AN272:AO272"/>
    <mergeCell ref="AP272:AQ272"/>
    <mergeCell ref="W270:W271"/>
    <mergeCell ref="W272:W273"/>
    <mergeCell ref="AR276:AS277"/>
    <mergeCell ref="AT276:AU277"/>
    <mergeCell ref="AV276:AW277"/>
    <mergeCell ref="AX276:AY277"/>
    <mergeCell ref="AZ276:AZ277"/>
    <mergeCell ref="F277:H277"/>
    <mergeCell ref="X277:AB277"/>
    <mergeCell ref="AE277:AI277"/>
    <mergeCell ref="AJ277:AL277"/>
    <mergeCell ref="AN277:AO277"/>
    <mergeCell ref="AP277:AQ277"/>
    <mergeCell ref="A278:A279"/>
    <mergeCell ref="E278:E279"/>
    <mergeCell ref="F278:H278"/>
    <mergeCell ref="J278:J279"/>
    <mergeCell ref="K278:L279"/>
    <mergeCell ref="M278:N279"/>
    <mergeCell ref="O278:P279"/>
    <mergeCell ref="Q278:R279"/>
    <mergeCell ref="S278:T279"/>
    <mergeCell ref="U278:V279"/>
    <mergeCell ref="X278:AB278"/>
    <mergeCell ref="AD278:AI278"/>
    <mergeCell ref="AJ278:AL278"/>
    <mergeCell ref="AN278:AO278"/>
    <mergeCell ref="AP278:AQ278"/>
    <mergeCell ref="AR278:AS279"/>
    <mergeCell ref="AT278:AU279"/>
    <mergeCell ref="AV278:AW279"/>
    <mergeCell ref="AX278:AY279"/>
    <mergeCell ref="AZ278:AZ279"/>
    <mergeCell ref="F275:H275"/>
    <mergeCell ref="X275:AB275"/>
    <mergeCell ref="AE275:AI275"/>
    <mergeCell ref="AJ275:AL275"/>
    <mergeCell ref="AN275:AO275"/>
    <mergeCell ref="AP275:AQ275"/>
    <mergeCell ref="A276:A277"/>
    <mergeCell ref="E276:E277"/>
    <mergeCell ref="F276:H276"/>
    <mergeCell ref="J276:J277"/>
    <mergeCell ref="K276:L277"/>
    <mergeCell ref="M276:N277"/>
    <mergeCell ref="O276:P277"/>
    <mergeCell ref="Q276:R277"/>
    <mergeCell ref="S276:T277"/>
    <mergeCell ref="U276:V277"/>
    <mergeCell ref="X276:AB276"/>
    <mergeCell ref="AD276:AI276"/>
    <mergeCell ref="AJ276:AL276"/>
    <mergeCell ref="AN276:AO276"/>
    <mergeCell ref="AP276:AQ276"/>
    <mergeCell ref="W274:W275"/>
    <mergeCell ref="W276:W277"/>
    <mergeCell ref="AR280:AS281"/>
    <mergeCell ref="AT280:AU281"/>
    <mergeCell ref="AV280:AW281"/>
    <mergeCell ref="AX280:AY281"/>
    <mergeCell ref="AZ280:AZ281"/>
    <mergeCell ref="F281:H281"/>
    <mergeCell ref="X281:AB281"/>
    <mergeCell ref="AE281:AI281"/>
    <mergeCell ref="AJ281:AL281"/>
    <mergeCell ref="AN281:AO281"/>
    <mergeCell ref="AP281:AQ281"/>
    <mergeCell ref="A282:A283"/>
    <mergeCell ref="E282:E283"/>
    <mergeCell ref="F282:H282"/>
    <mergeCell ref="J282:J283"/>
    <mergeCell ref="K282:L283"/>
    <mergeCell ref="M282:N283"/>
    <mergeCell ref="O282:P283"/>
    <mergeCell ref="Q282:R283"/>
    <mergeCell ref="S282:T283"/>
    <mergeCell ref="U282:V283"/>
    <mergeCell ref="X282:AB282"/>
    <mergeCell ref="AD282:AI282"/>
    <mergeCell ref="AJ282:AL282"/>
    <mergeCell ref="AN282:AO282"/>
    <mergeCell ref="AP282:AQ282"/>
    <mergeCell ref="AR282:AS283"/>
    <mergeCell ref="AT282:AU283"/>
    <mergeCell ref="AV282:AW283"/>
    <mergeCell ref="AX282:AY283"/>
    <mergeCell ref="AZ282:AZ283"/>
    <mergeCell ref="F279:H279"/>
    <mergeCell ref="X279:AB279"/>
    <mergeCell ref="AE279:AI279"/>
    <mergeCell ref="AJ279:AL279"/>
    <mergeCell ref="AN279:AO279"/>
    <mergeCell ref="AP279:AQ279"/>
    <mergeCell ref="A280:A281"/>
    <mergeCell ref="E280:E281"/>
    <mergeCell ref="F280:H280"/>
    <mergeCell ref="J280:J281"/>
    <mergeCell ref="K280:L281"/>
    <mergeCell ref="M280:N281"/>
    <mergeCell ref="O280:P281"/>
    <mergeCell ref="Q280:R281"/>
    <mergeCell ref="S280:T281"/>
    <mergeCell ref="U280:V281"/>
    <mergeCell ref="X280:AB280"/>
    <mergeCell ref="AD280:AI280"/>
    <mergeCell ref="AJ280:AL280"/>
    <mergeCell ref="AN280:AO280"/>
    <mergeCell ref="AP280:AQ280"/>
    <mergeCell ref="W278:W279"/>
    <mergeCell ref="W280:W281"/>
    <mergeCell ref="AR284:AS285"/>
    <mergeCell ref="AT284:AU285"/>
    <mergeCell ref="AV284:AW285"/>
    <mergeCell ref="AX284:AY285"/>
    <mergeCell ref="AZ284:AZ285"/>
    <mergeCell ref="F285:H285"/>
    <mergeCell ref="X285:AB285"/>
    <mergeCell ref="AE285:AI285"/>
    <mergeCell ref="AJ285:AL285"/>
    <mergeCell ref="AN285:AO285"/>
    <mergeCell ref="AP285:AQ285"/>
    <mergeCell ref="F283:H283"/>
    <mergeCell ref="X283:AB283"/>
    <mergeCell ref="AE283:AI283"/>
    <mergeCell ref="AJ283:AL283"/>
    <mergeCell ref="AN283:AO283"/>
    <mergeCell ref="AP283:AQ283"/>
    <mergeCell ref="A284:A285"/>
    <mergeCell ref="E284:E285"/>
    <mergeCell ref="F284:H284"/>
    <mergeCell ref="J284:J285"/>
    <mergeCell ref="K284:L285"/>
    <mergeCell ref="M284:N285"/>
    <mergeCell ref="O284:P285"/>
    <mergeCell ref="Q284:R285"/>
    <mergeCell ref="S284:T285"/>
    <mergeCell ref="U284:V285"/>
    <mergeCell ref="X284:AB284"/>
    <mergeCell ref="AD284:AI284"/>
    <mergeCell ref="AJ284:AL284"/>
    <mergeCell ref="AN284:AO284"/>
    <mergeCell ref="AP284:AQ284"/>
    <mergeCell ref="W282:W283"/>
    <mergeCell ref="W284:W285"/>
    <mergeCell ref="AR286:AS287"/>
    <mergeCell ref="AT286:AU287"/>
    <mergeCell ref="AV286:AW287"/>
    <mergeCell ref="AX286:AY287"/>
    <mergeCell ref="AZ286:AZ287"/>
    <mergeCell ref="F287:H287"/>
    <mergeCell ref="X287:AB287"/>
    <mergeCell ref="AE287:AI287"/>
    <mergeCell ref="AJ287:AL287"/>
    <mergeCell ref="AN287:AO287"/>
    <mergeCell ref="AP287:AQ287"/>
    <mergeCell ref="A288:A289"/>
    <mergeCell ref="E288:E289"/>
    <mergeCell ref="F288:H288"/>
    <mergeCell ref="J288:J289"/>
    <mergeCell ref="K288:L289"/>
    <mergeCell ref="M288:N289"/>
    <mergeCell ref="O288:P289"/>
    <mergeCell ref="Q288:R289"/>
    <mergeCell ref="S288:T289"/>
    <mergeCell ref="U288:V289"/>
    <mergeCell ref="X288:AB288"/>
    <mergeCell ref="AD288:AI288"/>
    <mergeCell ref="AJ288:AL288"/>
    <mergeCell ref="AN288:AO288"/>
    <mergeCell ref="AP288:AQ288"/>
    <mergeCell ref="AR288:AS289"/>
    <mergeCell ref="AT288:AU289"/>
    <mergeCell ref="AV288:AW289"/>
    <mergeCell ref="AX288:AY289"/>
    <mergeCell ref="AZ288:AZ289"/>
    <mergeCell ref="A286:A287"/>
    <mergeCell ref="E286:E287"/>
    <mergeCell ref="F286:H286"/>
    <mergeCell ref="J286:J287"/>
    <mergeCell ref="K286:L287"/>
    <mergeCell ref="M286:N287"/>
    <mergeCell ref="O286:P287"/>
    <mergeCell ref="Q286:R287"/>
    <mergeCell ref="S286:T287"/>
    <mergeCell ref="U286:V287"/>
    <mergeCell ref="X286:AB286"/>
    <mergeCell ref="AD286:AI286"/>
    <mergeCell ref="AJ286:AL286"/>
    <mergeCell ref="AN286:AO286"/>
    <mergeCell ref="AP286:AQ286"/>
    <mergeCell ref="W286:W287"/>
    <mergeCell ref="AR290:AS291"/>
    <mergeCell ref="AT290:AU291"/>
    <mergeCell ref="AV290:AW291"/>
    <mergeCell ref="AX290:AY291"/>
    <mergeCell ref="AZ290:AZ291"/>
    <mergeCell ref="F291:H291"/>
    <mergeCell ref="X291:AB291"/>
    <mergeCell ref="AE291:AI291"/>
    <mergeCell ref="AJ291:AL291"/>
    <mergeCell ref="AN291:AO291"/>
    <mergeCell ref="AP291:AQ291"/>
    <mergeCell ref="A292:A293"/>
    <mergeCell ref="E292:E293"/>
    <mergeCell ref="F292:H292"/>
    <mergeCell ref="J292:J293"/>
    <mergeCell ref="K292:L293"/>
    <mergeCell ref="M292:N293"/>
    <mergeCell ref="O292:P293"/>
    <mergeCell ref="Q292:R293"/>
    <mergeCell ref="S292:T293"/>
    <mergeCell ref="U292:V293"/>
    <mergeCell ref="X292:AB292"/>
    <mergeCell ref="AD292:AI292"/>
    <mergeCell ref="AJ292:AL292"/>
    <mergeCell ref="AN292:AO292"/>
    <mergeCell ref="AP292:AQ292"/>
    <mergeCell ref="AR292:AS293"/>
    <mergeCell ref="AT292:AU293"/>
    <mergeCell ref="AV292:AW293"/>
    <mergeCell ref="AX292:AY293"/>
    <mergeCell ref="AZ292:AZ293"/>
    <mergeCell ref="F289:H289"/>
    <mergeCell ref="X289:AB289"/>
    <mergeCell ref="AE289:AI289"/>
    <mergeCell ref="AJ289:AL289"/>
    <mergeCell ref="AN289:AO289"/>
    <mergeCell ref="AP289:AQ289"/>
    <mergeCell ref="A290:A291"/>
    <mergeCell ref="E290:E291"/>
    <mergeCell ref="F290:H290"/>
    <mergeCell ref="J290:J291"/>
    <mergeCell ref="K290:L291"/>
    <mergeCell ref="M290:N291"/>
    <mergeCell ref="O290:P291"/>
    <mergeCell ref="Q290:R291"/>
    <mergeCell ref="S290:T291"/>
    <mergeCell ref="U290:V291"/>
    <mergeCell ref="X290:AB290"/>
    <mergeCell ref="AD290:AI290"/>
    <mergeCell ref="AJ290:AL290"/>
    <mergeCell ref="AN290:AO290"/>
    <mergeCell ref="AP290:AQ290"/>
    <mergeCell ref="W288:W289"/>
    <mergeCell ref="W290:W291"/>
    <mergeCell ref="AR294:AS295"/>
    <mergeCell ref="AT294:AU295"/>
    <mergeCell ref="AV294:AW295"/>
    <mergeCell ref="AX294:AY295"/>
    <mergeCell ref="AZ294:AZ295"/>
    <mergeCell ref="F295:H295"/>
    <mergeCell ref="X295:AB295"/>
    <mergeCell ref="AE295:AI295"/>
    <mergeCell ref="AJ295:AL295"/>
    <mergeCell ref="AN295:AO295"/>
    <mergeCell ref="AP295:AQ295"/>
    <mergeCell ref="A296:A297"/>
    <mergeCell ref="E296:E297"/>
    <mergeCell ref="F296:H296"/>
    <mergeCell ref="J296:J297"/>
    <mergeCell ref="K296:L297"/>
    <mergeCell ref="M296:N297"/>
    <mergeCell ref="O296:P297"/>
    <mergeCell ref="Q296:R297"/>
    <mergeCell ref="S296:T297"/>
    <mergeCell ref="U296:V297"/>
    <mergeCell ref="X296:AB296"/>
    <mergeCell ref="AD296:AI296"/>
    <mergeCell ref="AJ296:AL296"/>
    <mergeCell ref="AN296:AO296"/>
    <mergeCell ref="AP296:AQ296"/>
    <mergeCell ref="AR296:AS297"/>
    <mergeCell ref="AT296:AU297"/>
    <mergeCell ref="AV296:AW297"/>
    <mergeCell ref="AX296:AY297"/>
    <mergeCell ref="AZ296:AZ297"/>
    <mergeCell ref="F293:H293"/>
    <mergeCell ref="X293:AB293"/>
    <mergeCell ref="AE293:AI293"/>
    <mergeCell ref="AJ293:AL293"/>
    <mergeCell ref="AN293:AO293"/>
    <mergeCell ref="AP293:AQ293"/>
    <mergeCell ref="A294:A295"/>
    <mergeCell ref="E294:E295"/>
    <mergeCell ref="F294:H294"/>
    <mergeCell ref="J294:J295"/>
    <mergeCell ref="K294:L295"/>
    <mergeCell ref="M294:N295"/>
    <mergeCell ref="O294:P295"/>
    <mergeCell ref="Q294:R295"/>
    <mergeCell ref="S294:T295"/>
    <mergeCell ref="U294:V295"/>
    <mergeCell ref="X294:AB294"/>
    <mergeCell ref="AD294:AI294"/>
    <mergeCell ref="AJ294:AL294"/>
    <mergeCell ref="AN294:AO294"/>
    <mergeCell ref="AP294:AQ294"/>
    <mergeCell ref="W292:W293"/>
    <mergeCell ref="W294:W295"/>
    <mergeCell ref="AR298:AS299"/>
    <mergeCell ref="AT298:AU299"/>
    <mergeCell ref="AV298:AW299"/>
    <mergeCell ref="AX298:AY299"/>
    <mergeCell ref="AZ298:AZ299"/>
    <mergeCell ref="F299:H299"/>
    <mergeCell ref="X299:AB299"/>
    <mergeCell ref="AE299:AI299"/>
    <mergeCell ref="AJ299:AL299"/>
    <mergeCell ref="AN299:AO299"/>
    <mergeCell ref="AP299:AQ299"/>
    <mergeCell ref="A300:A301"/>
    <mergeCell ref="E300:E301"/>
    <mergeCell ref="F300:H300"/>
    <mergeCell ref="J300:J301"/>
    <mergeCell ref="K300:L301"/>
    <mergeCell ref="M300:N301"/>
    <mergeCell ref="O300:P301"/>
    <mergeCell ref="Q300:R301"/>
    <mergeCell ref="S300:T301"/>
    <mergeCell ref="U300:V301"/>
    <mergeCell ref="X300:AB300"/>
    <mergeCell ref="AD300:AI300"/>
    <mergeCell ref="AJ300:AL300"/>
    <mergeCell ref="AN300:AO300"/>
    <mergeCell ref="AP300:AQ300"/>
    <mergeCell ref="AR300:AS301"/>
    <mergeCell ref="AT300:AU301"/>
    <mergeCell ref="AV300:AW301"/>
    <mergeCell ref="AX300:AY301"/>
    <mergeCell ref="AZ300:AZ301"/>
    <mergeCell ref="F297:H297"/>
    <mergeCell ref="X297:AB297"/>
    <mergeCell ref="AE297:AI297"/>
    <mergeCell ref="AJ297:AL297"/>
    <mergeCell ref="AN297:AO297"/>
    <mergeCell ref="AP297:AQ297"/>
    <mergeCell ref="A298:A299"/>
    <mergeCell ref="E298:E299"/>
    <mergeCell ref="F298:H298"/>
    <mergeCell ref="J298:J299"/>
    <mergeCell ref="K298:L299"/>
    <mergeCell ref="M298:N299"/>
    <mergeCell ref="O298:P299"/>
    <mergeCell ref="Q298:R299"/>
    <mergeCell ref="S298:T299"/>
    <mergeCell ref="U298:V299"/>
    <mergeCell ref="X298:AB298"/>
    <mergeCell ref="AD298:AI298"/>
    <mergeCell ref="AJ298:AL298"/>
    <mergeCell ref="AN298:AO298"/>
    <mergeCell ref="AP298:AQ298"/>
    <mergeCell ref="W296:W297"/>
    <mergeCell ref="W298:W299"/>
    <mergeCell ref="AR302:AS303"/>
    <mergeCell ref="AT302:AU303"/>
    <mergeCell ref="AV302:AW303"/>
    <mergeCell ref="AX302:AY303"/>
    <mergeCell ref="AZ302:AZ303"/>
    <mergeCell ref="F303:H303"/>
    <mergeCell ref="X303:AB303"/>
    <mergeCell ref="AE303:AI303"/>
    <mergeCell ref="AJ303:AL303"/>
    <mergeCell ref="AN303:AO303"/>
    <mergeCell ref="AP303:AQ303"/>
    <mergeCell ref="A304:A305"/>
    <mergeCell ref="E304:E305"/>
    <mergeCell ref="F304:H304"/>
    <mergeCell ref="J304:J305"/>
    <mergeCell ref="K304:L305"/>
    <mergeCell ref="M304:N305"/>
    <mergeCell ref="O304:P305"/>
    <mergeCell ref="Q304:R305"/>
    <mergeCell ref="S304:T305"/>
    <mergeCell ref="U304:V305"/>
    <mergeCell ref="X304:AB304"/>
    <mergeCell ref="AD304:AI304"/>
    <mergeCell ref="AJ304:AL304"/>
    <mergeCell ref="AN304:AO304"/>
    <mergeCell ref="AP304:AQ304"/>
    <mergeCell ref="AR304:AS305"/>
    <mergeCell ref="AT304:AU305"/>
    <mergeCell ref="AV304:AW305"/>
    <mergeCell ref="AX304:AY305"/>
    <mergeCell ref="AZ304:AZ305"/>
    <mergeCell ref="F301:H301"/>
    <mergeCell ref="X301:AB301"/>
    <mergeCell ref="AE301:AI301"/>
    <mergeCell ref="AJ301:AL301"/>
    <mergeCell ref="AN301:AO301"/>
    <mergeCell ref="AP301:AQ301"/>
    <mergeCell ref="A302:A303"/>
    <mergeCell ref="E302:E303"/>
    <mergeCell ref="F302:H302"/>
    <mergeCell ref="J302:J303"/>
    <mergeCell ref="K302:L303"/>
    <mergeCell ref="M302:N303"/>
    <mergeCell ref="O302:P303"/>
    <mergeCell ref="Q302:R303"/>
    <mergeCell ref="S302:T303"/>
    <mergeCell ref="U302:V303"/>
    <mergeCell ref="X302:AB302"/>
    <mergeCell ref="AD302:AI302"/>
    <mergeCell ref="AJ302:AL302"/>
    <mergeCell ref="AN302:AO302"/>
    <mergeCell ref="AP302:AQ302"/>
    <mergeCell ref="W300:W301"/>
    <mergeCell ref="W302:W303"/>
    <mergeCell ref="AR306:AS307"/>
    <mergeCell ref="AT306:AU307"/>
    <mergeCell ref="AV306:AW307"/>
    <mergeCell ref="AX306:AY307"/>
    <mergeCell ref="AZ306:AZ307"/>
    <mergeCell ref="F307:H307"/>
    <mergeCell ref="X307:AB307"/>
    <mergeCell ref="AE307:AI307"/>
    <mergeCell ref="AJ307:AL307"/>
    <mergeCell ref="AN307:AO307"/>
    <mergeCell ref="AP307:AQ307"/>
    <mergeCell ref="A308:A309"/>
    <mergeCell ref="E308:E309"/>
    <mergeCell ref="F308:H308"/>
    <mergeCell ref="J308:J309"/>
    <mergeCell ref="K308:L309"/>
    <mergeCell ref="M308:N309"/>
    <mergeCell ref="O308:P309"/>
    <mergeCell ref="Q308:R309"/>
    <mergeCell ref="S308:T309"/>
    <mergeCell ref="U308:V309"/>
    <mergeCell ref="X308:AB308"/>
    <mergeCell ref="AD308:AI308"/>
    <mergeCell ref="AJ308:AL308"/>
    <mergeCell ref="AN308:AO308"/>
    <mergeCell ref="AP308:AQ308"/>
    <mergeCell ref="AR308:AS309"/>
    <mergeCell ref="AT308:AU309"/>
    <mergeCell ref="AV308:AW309"/>
    <mergeCell ref="AX308:AY309"/>
    <mergeCell ref="AZ308:AZ309"/>
    <mergeCell ref="F305:H305"/>
    <mergeCell ref="X305:AB305"/>
    <mergeCell ref="AE305:AI305"/>
    <mergeCell ref="AJ305:AL305"/>
    <mergeCell ref="AN305:AO305"/>
    <mergeCell ref="AP305:AQ305"/>
    <mergeCell ref="A306:A307"/>
    <mergeCell ref="E306:E307"/>
    <mergeCell ref="F306:H306"/>
    <mergeCell ref="J306:J307"/>
    <mergeCell ref="K306:L307"/>
    <mergeCell ref="M306:N307"/>
    <mergeCell ref="O306:P307"/>
    <mergeCell ref="Q306:R307"/>
    <mergeCell ref="S306:T307"/>
    <mergeCell ref="U306:V307"/>
    <mergeCell ref="X306:AB306"/>
    <mergeCell ref="AD306:AI306"/>
    <mergeCell ref="AJ306:AL306"/>
    <mergeCell ref="AN306:AO306"/>
    <mergeCell ref="AP306:AQ306"/>
    <mergeCell ref="W304:W305"/>
    <mergeCell ref="W306:W307"/>
    <mergeCell ref="AR310:AS311"/>
    <mergeCell ref="AT310:AU311"/>
    <mergeCell ref="AV310:AW311"/>
    <mergeCell ref="AX310:AY311"/>
    <mergeCell ref="AZ310:AZ311"/>
    <mergeCell ref="F311:H311"/>
    <mergeCell ref="X311:AB311"/>
    <mergeCell ref="AE311:AI311"/>
    <mergeCell ref="AJ311:AL311"/>
    <mergeCell ref="AN311:AO311"/>
    <mergeCell ref="AP311:AQ311"/>
    <mergeCell ref="A312:A313"/>
    <mergeCell ref="E312:E313"/>
    <mergeCell ref="F312:H312"/>
    <mergeCell ref="J312:J313"/>
    <mergeCell ref="K312:L313"/>
    <mergeCell ref="M312:N313"/>
    <mergeCell ref="O312:P313"/>
    <mergeCell ref="Q312:R313"/>
    <mergeCell ref="S312:T313"/>
    <mergeCell ref="U312:V313"/>
    <mergeCell ref="X312:AB312"/>
    <mergeCell ref="AD312:AI312"/>
    <mergeCell ref="AJ312:AL312"/>
    <mergeCell ref="AN312:AO312"/>
    <mergeCell ref="AP312:AQ312"/>
    <mergeCell ref="AR312:AS313"/>
    <mergeCell ref="AT312:AU313"/>
    <mergeCell ref="AV312:AW313"/>
    <mergeCell ref="AX312:AY313"/>
    <mergeCell ref="AZ312:AZ313"/>
    <mergeCell ref="F309:H309"/>
    <mergeCell ref="X309:AB309"/>
    <mergeCell ref="AE309:AI309"/>
    <mergeCell ref="AJ309:AL309"/>
    <mergeCell ref="AN309:AO309"/>
    <mergeCell ref="AP309:AQ309"/>
    <mergeCell ref="A310:A311"/>
    <mergeCell ref="E310:E311"/>
    <mergeCell ref="F310:H310"/>
    <mergeCell ref="J310:J311"/>
    <mergeCell ref="K310:L311"/>
    <mergeCell ref="M310:N311"/>
    <mergeCell ref="O310:P311"/>
    <mergeCell ref="Q310:R311"/>
    <mergeCell ref="S310:T311"/>
    <mergeCell ref="U310:V311"/>
    <mergeCell ref="X310:AB310"/>
    <mergeCell ref="AD310:AI310"/>
    <mergeCell ref="AJ310:AL310"/>
    <mergeCell ref="AN310:AO310"/>
    <mergeCell ref="AP310:AQ310"/>
    <mergeCell ref="W308:W309"/>
    <mergeCell ref="W310:W311"/>
    <mergeCell ref="AR314:AS315"/>
    <mergeCell ref="AT314:AU315"/>
    <mergeCell ref="AV314:AW315"/>
    <mergeCell ref="AX314:AY315"/>
    <mergeCell ref="AZ314:AZ315"/>
    <mergeCell ref="F315:H315"/>
    <mergeCell ref="X315:AB315"/>
    <mergeCell ref="AE315:AI315"/>
    <mergeCell ref="AJ315:AL315"/>
    <mergeCell ref="AN315:AO315"/>
    <mergeCell ref="AP315:AQ315"/>
    <mergeCell ref="A316:A317"/>
    <mergeCell ref="E316:E317"/>
    <mergeCell ref="F316:H316"/>
    <mergeCell ref="J316:J317"/>
    <mergeCell ref="K316:L317"/>
    <mergeCell ref="M316:N317"/>
    <mergeCell ref="O316:P317"/>
    <mergeCell ref="Q316:R317"/>
    <mergeCell ref="S316:T317"/>
    <mergeCell ref="U316:V317"/>
    <mergeCell ref="X316:AB316"/>
    <mergeCell ref="AD316:AI316"/>
    <mergeCell ref="AJ316:AL316"/>
    <mergeCell ref="AN316:AO316"/>
    <mergeCell ref="AP316:AQ316"/>
    <mergeCell ref="AR316:AS317"/>
    <mergeCell ref="AT316:AU317"/>
    <mergeCell ref="AV316:AW317"/>
    <mergeCell ref="AX316:AY317"/>
    <mergeCell ref="AZ316:AZ317"/>
    <mergeCell ref="F313:H313"/>
    <mergeCell ref="X313:AB313"/>
    <mergeCell ref="AE313:AI313"/>
    <mergeCell ref="AJ313:AL313"/>
    <mergeCell ref="AN313:AO313"/>
    <mergeCell ref="AP313:AQ313"/>
    <mergeCell ref="A314:A315"/>
    <mergeCell ref="E314:E315"/>
    <mergeCell ref="F314:H314"/>
    <mergeCell ref="J314:J315"/>
    <mergeCell ref="K314:L315"/>
    <mergeCell ref="M314:N315"/>
    <mergeCell ref="O314:P315"/>
    <mergeCell ref="Q314:R315"/>
    <mergeCell ref="S314:T315"/>
    <mergeCell ref="U314:V315"/>
    <mergeCell ref="X314:AB314"/>
    <mergeCell ref="AD314:AI314"/>
    <mergeCell ref="AJ314:AL314"/>
    <mergeCell ref="AN314:AO314"/>
    <mergeCell ref="AP314:AQ314"/>
    <mergeCell ref="W312:W313"/>
    <mergeCell ref="W314:W315"/>
    <mergeCell ref="AR318:AS319"/>
    <mergeCell ref="AT318:AU319"/>
    <mergeCell ref="AV318:AW319"/>
    <mergeCell ref="AX318:AY319"/>
    <mergeCell ref="AZ318:AZ319"/>
    <mergeCell ref="F319:H319"/>
    <mergeCell ref="X319:AB319"/>
    <mergeCell ref="AE319:AI319"/>
    <mergeCell ref="AJ319:AL319"/>
    <mergeCell ref="AN319:AO319"/>
    <mergeCell ref="AP319:AQ319"/>
    <mergeCell ref="A320:A321"/>
    <mergeCell ref="E320:E321"/>
    <mergeCell ref="F320:H320"/>
    <mergeCell ref="J320:J321"/>
    <mergeCell ref="K320:L321"/>
    <mergeCell ref="M320:N321"/>
    <mergeCell ref="O320:P321"/>
    <mergeCell ref="Q320:R321"/>
    <mergeCell ref="S320:T321"/>
    <mergeCell ref="U320:V321"/>
    <mergeCell ref="X320:AB320"/>
    <mergeCell ref="AD320:AI320"/>
    <mergeCell ref="AJ320:AL320"/>
    <mergeCell ref="AN320:AO320"/>
    <mergeCell ref="AP320:AQ320"/>
    <mergeCell ref="AR320:AS321"/>
    <mergeCell ref="AT320:AU321"/>
    <mergeCell ref="AV320:AW321"/>
    <mergeCell ref="AX320:AY321"/>
    <mergeCell ref="AZ320:AZ321"/>
    <mergeCell ref="F317:H317"/>
    <mergeCell ref="X317:AB317"/>
    <mergeCell ref="AE317:AI317"/>
    <mergeCell ref="AJ317:AL317"/>
    <mergeCell ref="AN317:AO317"/>
    <mergeCell ref="AP317:AQ317"/>
    <mergeCell ref="A318:A319"/>
    <mergeCell ref="E318:E319"/>
    <mergeCell ref="F318:H318"/>
    <mergeCell ref="J318:J319"/>
    <mergeCell ref="K318:L319"/>
    <mergeCell ref="M318:N319"/>
    <mergeCell ref="O318:P319"/>
    <mergeCell ref="Q318:R319"/>
    <mergeCell ref="S318:T319"/>
    <mergeCell ref="U318:V319"/>
    <mergeCell ref="X318:AB318"/>
    <mergeCell ref="AD318:AI318"/>
    <mergeCell ref="AJ318:AL318"/>
    <mergeCell ref="AN318:AO318"/>
    <mergeCell ref="AP318:AQ318"/>
    <mergeCell ref="W316:W317"/>
    <mergeCell ref="W318:W319"/>
    <mergeCell ref="AR322:AS323"/>
    <mergeCell ref="AT322:AU323"/>
    <mergeCell ref="AV322:AW323"/>
    <mergeCell ref="AX322:AY323"/>
    <mergeCell ref="AZ322:AZ323"/>
    <mergeCell ref="F323:H323"/>
    <mergeCell ref="X323:AB323"/>
    <mergeCell ref="AE323:AI323"/>
    <mergeCell ref="AJ323:AL323"/>
    <mergeCell ref="AN323:AO323"/>
    <mergeCell ref="AP323:AQ323"/>
    <mergeCell ref="A324:A325"/>
    <mergeCell ref="E324:E325"/>
    <mergeCell ref="F324:H324"/>
    <mergeCell ref="J324:J325"/>
    <mergeCell ref="K324:L325"/>
    <mergeCell ref="M324:N325"/>
    <mergeCell ref="O324:P325"/>
    <mergeCell ref="Q324:R325"/>
    <mergeCell ref="S324:T325"/>
    <mergeCell ref="U324:V325"/>
    <mergeCell ref="X324:AB324"/>
    <mergeCell ref="AD324:AI324"/>
    <mergeCell ref="AJ324:AL324"/>
    <mergeCell ref="AN324:AO324"/>
    <mergeCell ref="AP324:AQ324"/>
    <mergeCell ref="AR324:AS325"/>
    <mergeCell ref="AT324:AU325"/>
    <mergeCell ref="AV324:AW325"/>
    <mergeCell ref="AX324:AY325"/>
    <mergeCell ref="AZ324:AZ325"/>
    <mergeCell ref="F321:H321"/>
    <mergeCell ref="X321:AB321"/>
    <mergeCell ref="AE321:AI321"/>
    <mergeCell ref="AJ321:AL321"/>
    <mergeCell ref="AN321:AO321"/>
    <mergeCell ref="AP321:AQ321"/>
    <mergeCell ref="A322:A323"/>
    <mergeCell ref="E322:E323"/>
    <mergeCell ref="F322:H322"/>
    <mergeCell ref="J322:J323"/>
    <mergeCell ref="K322:L323"/>
    <mergeCell ref="M322:N323"/>
    <mergeCell ref="O322:P323"/>
    <mergeCell ref="Q322:R323"/>
    <mergeCell ref="S322:T323"/>
    <mergeCell ref="U322:V323"/>
    <mergeCell ref="X322:AB322"/>
    <mergeCell ref="AD322:AI322"/>
    <mergeCell ref="AJ322:AL322"/>
    <mergeCell ref="AN322:AO322"/>
    <mergeCell ref="AP322:AQ322"/>
    <mergeCell ref="W320:W321"/>
    <mergeCell ref="W322:W323"/>
    <mergeCell ref="AR326:AS327"/>
    <mergeCell ref="AT326:AU327"/>
    <mergeCell ref="AV326:AW327"/>
    <mergeCell ref="AX326:AY327"/>
    <mergeCell ref="AZ326:AZ327"/>
    <mergeCell ref="F327:H327"/>
    <mergeCell ref="X327:AB327"/>
    <mergeCell ref="AE327:AI327"/>
    <mergeCell ref="AJ327:AL327"/>
    <mergeCell ref="AN327:AO327"/>
    <mergeCell ref="AP327:AQ327"/>
    <mergeCell ref="A328:A329"/>
    <mergeCell ref="E328:E329"/>
    <mergeCell ref="F328:H328"/>
    <mergeCell ref="J328:J329"/>
    <mergeCell ref="K328:L329"/>
    <mergeCell ref="M328:N329"/>
    <mergeCell ref="O328:P329"/>
    <mergeCell ref="Q328:R329"/>
    <mergeCell ref="S328:T329"/>
    <mergeCell ref="U328:V329"/>
    <mergeCell ref="X328:AB328"/>
    <mergeCell ref="AD328:AI328"/>
    <mergeCell ref="AJ328:AL328"/>
    <mergeCell ref="AN328:AO328"/>
    <mergeCell ref="AP328:AQ328"/>
    <mergeCell ref="AR328:AS329"/>
    <mergeCell ref="AT328:AU329"/>
    <mergeCell ref="AV328:AW329"/>
    <mergeCell ref="AX328:AY329"/>
    <mergeCell ref="AZ328:AZ329"/>
    <mergeCell ref="F325:H325"/>
    <mergeCell ref="X325:AB325"/>
    <mergeCell ref="AE325:AI325"/>
    <mergeCell ref="AJ325:AL325"/>
    <mergeCell ref="AN325:AO325"/>
    <mergeCell ref="AP325:AQ325"/>
    <mergeCell ref="A326:A327"/>
    <mergeCell ref="E326:E327"/>
    <mergeCell ref="F326:H326"/>
    <mergeCell ref="J326:J327"/>
    <mergeCell ref="K326:L327"/>
    <mergeCell ref="M326:N327"/>
    <mergeCell ref="O326:P327"/>
    <mergeCell ref="Q326:R327"/>
    <mergeCell ref="S326:T327"/>
    <mergeCell ref="U326:V327"/>
    <mergeCell ref="X326:AB326"/>
    <mergeCell ref="AD326:AI326"/>
    <mergeCell ref="AJ326:AL326"/>
    <mergeCell ref="AN326:AO326"/>
    <mergeCell ref="AP326:AQ326"/>
    <mergeCell ref="W324:W325"/>
    <mergeCell ref="W326:W327"/>
    <mergeCell ref="AR330:AS331"/>
    <mergeCell ref="AT330:AU331"/>
    <mergeCell ref="AV330:AW331"/>
    <mergeCell ref="AX330:AY331"/>
    <mergeCell ref="AZ330:AZ331"/>
    <mergeCell ref="F331:H331"/>
    <mergeCell ref="X331:AB331"/>
    <mergeCell ref="AE331:AI331"/>
    <mergeCell ref="AJ331:AL331"/>
    <mergeCell ref="AN331:AO331"/>
    <mergeCell ref="AP331:AQ331"/>
    <mergeCell ref="A332:A333"/>
    <mergeCell ref="E332:E333"/>
    <mergeCell ref="F332:H332"/>
    <mergeCell ref="J332:J333"/>
    <mergeCell ref="K332:L333"/>
    <mergeCell ref="M332:N333"/>
    <mergeCell ref="O332:P333"/>
    <mergeCell ref="Q332:R333"/>
    <mergeCell ref="S332:T333"/>
    <mergeCell ref="U332:V333"/>
    <mergeCell ref="X332:AB332"/>
    <mergeCell ref="AD332:AI332"/>
    <mergeCell ref="AJ332:AL332"/>
    <mergeCell ref="AN332:AO332"/>
    <mergeCell ref="AP332:AQ332"/>
    <mergeCell ref="AR332:AS333"/>
    <mergeCell ref="AT332:AU333"/>
    <mergeCell ref="AV332:AW333"/>
    <mergeCell ref="AX332:AY333"/>
    <mergeCell ref="AZ332:AZ333"/>
    <mergeCell ref="F329:H329"/>
    <mergeCell ref="X329:AB329"/>
    <mergeCell ref="AE329:AI329"/>
    <mergeCell ref="AJ329:AL329"/>
    <mergeCell ref="AN329:AO329"/>
    <mergeCell ref="AP329:AQ329"/>
    <mergeCell ref="A330:A331"/>
    <mergeCell ref="E330:E331"/>
    <mergeCell ref="F330:H330"/>
    <mergeCell ref="J330:J331"/>
    <mergeCell ref="K330:L331"/>
    <mergeCell ref="M330:N331"/>
    <mergeCell ref="O330:P331"/>
    <mergeCell ref="Q330:R331"/>
    <mergeCell ref="S330:T331"/>
    <mergeCell ref="U330:V331"/>
    <mergeCell ref="X330:AB330"/>
    <mergeCell ref="AD330:AI330"/>
    <mergeCell ref="AJ330:AL330"/>
    <mergeCell ref="AN330:AO330"/>
    <mergeCell ref="AP330:AQ330"/>
    <mergeCell ref="W328:W329"/>
    <mergeCell ref="W330:W331"/>
    <mergeCell ref="AR334:AS335"/>
    <mergeCell ref="AT334:AU335"/>
    <mergeCell ref="AV334:AW335"/>
    <mergeCell ref="AX334:AY335"/>
    <mergeCell ref="AZ334:AZ335"/>
    <mergeCell ref="F335:H335"/>
    <mergeCell ref="X335:AB335"/>
    <mergeCell ref="AE335:AI335"/>
    <mergeCell ref="AJ335:AL335"/>
    <mergeCell ref="AN335:AO335"/>
    <mergeCell ref="AP335:AQ335"/>
    <mergeCell ref="A336:A337"/>
    <mergeCell ref="E336:E337"/>
    <mergeCell ref="F336:H336"/>
    <mergeCell ref="J336:J337"/>
    <mergeCell ref="K336:L337"/>
    <mergeCell ref="M336:N337"/>
    <mergeCell ref="O336:P337"/>
    <mergeCell ref="Q336:R337"/>
    <mergeCell ref="S336:T337"/>
    <mergeCell ref="U336:V337"/>
    <mergeCell ref="X336:AB336"/>
    <mergeCell ref="AD336:AI336"/>
    <mergeCell ref="AJ336:AL336"/>
    <mergeCell ref="AN336:AO336"/>
    <mergeCell ref="AP336:AQ336"/>
    <mergeCell ref="AR336:AS337"/>
    <mergeCell ref="AT336:AU337"/>
    <mergeCell ref="AV336:AW337"/>
    <mergeCell ref="AX336:AY337"/>
    <mergeCell ref="AZ336:AZ337"/>
    <mergeCell ref="F333:H333"/>
    <mergeCell ref="X333:AB333"/>
    <mergeCell ref="AE333:AI333"/>
    <mergeCell ref="AJ333:AL333"/>
    <mergeCell ref="AN333:AO333"/>
    <mergeCell ref="AP333:AQ333"/>
    <mergeCell ref="A334:A335"/>
    <mergeCell ref="E334:E335"/>
    <mergeCell ref="F334:H334"/>
    <mergeCell ref="J334:J335"/>
    <mergeCell ref="K334:L335"/>
    <mergeCell ref="M334:N335"/>
    <mergeCell ref="O334:P335"/>
    <mergeCell ref="Q334:R335"/>
    <mergeCell ref="S334:T335"/>
    <mergeCell ref="U334:V335"/>
    <mergeCell ref="X334:AB334"/>
    <mergeCell ref="AD334:AI334"/>
    <mergeCell ref="AJ334:AL334"/>
    <mergeCell ref="AN334:AO334"/>
    <mergeCell ref="AP334:AQ334"/>
    <mergeCell ref="W332:W333"/>
    <mergeCell ref="W334:W335"/>
    <mergeCell ref="AR338:AS339"/>
    <mergeCell ref="AT338:AU339"/>
    <mergeCell ref="AV338:AW339"/>
    <mergeCell ref="AX338:AY339"/>
    <mergeCell ref="AZ338:AZ339"/>
    <mergeCell ref="F339:H339"/>
    <mergeCell ref="X339:AB339"/>
    <mergeCell ref="AE339:AI339"/>
    <mergeCell ref="AJ339:AL339"/>
    <mergeCell ref="AN339:AO339"/>
    <mergeCell ref="AP339:AQ339"/>
    <mergeCell ref="A340:A341"/>
    <mergeCell ref="E340:E341"/>
    <mergeCell ref="F340:H340"/>
    <mergeCell ref="J340:J341"/>
    <mergeCell ref="K340:L341"/>
    <mergeCell ref="M340:N341"/>
    <mergeCell ref="O340:P341"/>
    <mergeCell ref="Q340:R341"/>
    <mergeCell ref="S340:T341"/>
    <mergeCell ref="U340:V341"/>
    <mergeCell ref="X340:AB340"/>
    <mergeCell ref="AD340:AI340"/>
    <mergeCell ref="AJ340:AL340"/>
    <mergeCell ref="AN340:AO340"/>
    <mergeCell ref="AP340:AQ340"/>
    <mergeCell ref="AR340:AS341"/>
    <mergeCell ref="AT340:AU341"/>
    <mergeCell ref="AV340:AW341"/>
    <mergeCell ref="AX340:AY341"/>
    <mergeCell ref="AZ340:AZ341"/>
    <mergeCell ref="F337:H337"/>
    <mergeCell ref="X337:AB337"/>
    <mergeCell ref="AE337:AI337"/>
    <mergeCell ref="AJ337:AL337"/>
    <mergeCell ref="AN337:AO337"/>
    <mergeCell ref="AP337:AQ337"/>
    <mergeCell ref="A338:A339"/>
    <mergeCell ref="E338:E339"/>
    <mergeCell ref="F338:H338"/>
    <mergeCell ref="J338:J339"/>
    <mergeCell ref="K338:L339"/>
    <mergeCell ref="M338:N339"/>
    <mergeCell ref="O338:P339"/>
    <mergeCell ref="Q338:R339"/>
    <mergeCell ref="S338:T339"/>
    <mergeCell ref="U338:V339"/>
    <mergeCell ref="X338:AB338"/>
    <mergeCell ref="AD338:AI338"/>
    <mergeCell ref="AJ338:AL338"/>
    <mergeCell ref="AN338:AO338"/>
    <mergeCell ref="AP338:AQ338"/>
    <mergeCell ref="W336:W337"/>
    <mergeCell ref="W338:W339"/>
    <mergeCell ref="AR342:AS343"/>
    <mergeCell ref="AT342:AU343"/>
    <mergeCell ref="AV342:AW343"/>
    <mergeCell ref="AX342:AY343"/>
    <mergeCell ref="AZ342:AZ343"/>
    <mergeCell ref="F343:H343"/>
    <mergeCell ref="X343:AB343"/>
    <mergeCell ref="AE343:AI343"/>
    <mergeCell ref="AJ343:AL343"/>
    <mergeCell ref="AN343:AO343"/>
    <mergeCell ref="AP343:AQ343"/>
    <mergeCell ref="A344:A345"/>
    <mergeCell ref="E344:E345"/>
    <mergeCell ref="F344:H344"/>
    <mergeCell ref="J344:J345"/>
    <mergeCell ref="K344:L345"/>
    <mergeCell ref="M344:N345"/>
    <mergeCell ref="O344:P345"/>
    <mergeCell ref="Q344:R345"/>
    <mergeCell ref="S344:T345"/>
    <mergeCell ref="U344:V345"/>
    <mergeCell ref="X344:AB344"/>
    <mergeCell ref="AD344:AI344"/>
    <mergeCell ref="AJ344:AL344"/>
    <mergeCell ref="AN344:AO344"/>
    <mergeCell ref="AP344:AQ344"/>
    <mergeCell ref="AR344:AS345"/>
    <mergeCell ref="AT344:AU345"/>
    <mergeCell ref="AV344:AW345"/>
    <mergeCell ref="AX344:AY345"/>
    <mergeCell ref="AZ344:AZ345"/>
    <mergeCell ref="F341:H341"/>
    <mergeCell ref="X341:AB341"/>
    <mergeCell ref="AE341:AI341"/>
    <mergeCell ref="AJ341:AL341"/>
    <mergeCell ref="AN341:AO341"/>
    <mergeCell ref="AP341:AQ341"/>
    <mergeCell ref="A342:A343"/>
    <mergeCell ref="E342:E343"/>
    <mergeCell ref="F342:H342"/>
    <mergeCell ref="J342:J343"/>
    <mergeCell ref="K342:L343"/>
    <mergeCell ref="M342:N343"/>
    <mergeCell ref="O342:P343"/>
    <mergeCell ref="Q342:R343"/>
    <mergeCell ref="S342:T343"/>
    <mergeCell ref="U342:V343"/>
    <mergeCell ref="X342:AB342"/>
    <mergeCell ref="AD342:AI342"/>
    <mergeCell ref="AJ342:AL342"/>
    <mergeCell ref="AN342:AO342"/>
    <mergeCell ref="AP342:AQ342"/>
    <mergeCell ref="W340:W341"/>
    <mergeCell ref="W342:W343"/>
    <mergeCell ref="AR346:AS347"/>
    <mergeCell ref="AT346:AU347"/>
    <mergeCell ref="AV346:AW347"/>
    <mergeCell ref="AX346:AY347"/>
    <mergeCell ref="AZ346:AZ347"/>
    <mergeCell ref="F347:H347"/>
    <mergeCell ref="X347:AB347"/>
    <mergeCell ref="AE347:AI347"/>
    <mergeCell ref="AJ347:AL347"/>
    <mergeCell ref="AN347:AO347"/>
    <mergeCell ref="AP347:AQ347"/>
    <mergeCell ref="A348:A349"/>
    <mergeCell ref="E348:E349"/>
    <mergeCell ref="F348:H348"/>
    <mergeCell ref="J348:J349"/>
    <mergeCell ref="K348:L349"/>
    <mergeCell ref="M348:N349"/>
    <mergeCell ref="O348:P349"/>
    <mergeCell ref="Q348:R349"/>
    <mergeCell ref="S348:T349"/>
    <mergeCell ref="U348:V349"/>
    <mergeCell ref="X348:AB348"/>
    <mergeCell ref="AD348:AI348"/>
    <mergeCell ref="AJ348:AL348"/>
    <mergeCell ref="AN348:AO348"/>
    <mergeCell ref="AP348:AQ348"/>
    <mergeCell ref="AR348:AS349"/>
    <mergeCell ref="AT348:AU349"/>
    <mergeCell ref="AV348:AW349"/>
    <mergeCell ref="AX348:AY349"/>
    <mergeCell ref="AZ348:AZ349"/>
    <mergeCell ref="F345:H345"/>
    <mergeCell ref="X345:AB345"/>
    <mergeCell ref="AE345:AI345"/>
    <mergeCell ref="AJ345:AL345"/>
    <mergeCell ref="AN345:AO345"/>
    <mergeCell ref="AP345:AQ345"/>
    <mergeCell ref="A346:A347"/>
    <mergeCell ref="E346:E347"/>
    <mergeCell ref="F346:H346"/>
    <mergeCell ref="J346:J347"/>
    <mergeCell ref="K346:L347"/>
    <mergeCell ref="M346:N347"/>
    <mergeCell ref="O346:P347"/>
    <mergeCell ref="Q346:R347"/>
    <mergeCell ref="S346:T347"/>
    <mergeCell ref="U346:V347"/>
    <mergeCell ref="X346:AB346"/>
    <mergeCell ref="AD346:AI346"/>
    <mergeCell ref="AJ346:AL346"/>
    <mergeCell ref="AN346:AO346"/>
    <mergeCell ref="AP346:AQ346"/>
    <mergeCell ref="W344:W345"/>
    <mergeCell ref="W346:W347"/>
    <mergeCell ref="AR350:AS351"/>
    <mergeCell ref="AT350:AU351"/>
    <mergeCell ref="AV350:AW351"/>
    <mergeCell ref="AX350:AY351"/>
    <mergeCell ref="AZ350:AZ351"/>
    <mergeCell ref="F351:H351"/>
    <mergeCell ref="X351:AB351"/>
    <mergeCell ref="AE351:AI351"/>
    <mergeCell ref="AJ351:AL351"/>
    <mergeCell ref="AN351:AO351"/>
    <mergeCell ref="AP351:AQ351"/>
    <mergeCell ref="A352:A353"/>
    <mergeCell ref="E352:E353"/>
    <mergeCell ref="F352:H352"/>
    <mergeCell ref="J352:J353"/>
    <mergeCell ref="K352:L353"/>
    <mergeCell ref="M352:N353"/>
    <mergeCell ref="O352:P353"/>
    <mergeCell ref="Q352:R353"/>
    <mergeCell ref="S352:T353"/>
    <mergeCell ref="U352:V353"/>
    <mergeCell ref="X352:AB352"/>
    <mergeCell ref="AD352:AI352"/>
    <mergeCell ref="AJ352:AL352"/>
    <mergeCell ref="AN352:AO352"/>
    <mergeCell ref="AP352:AQ352"/>
    <mergeCell ref="AR352:AS353"/>
    <mergeCell ref="AT352:AU353"/>
    <mergeCell ref="AV352:AW353"/>
    <mergeCell ref="AX352:AY353"/>
    <mergeCell ref="AZ352:AZ353"/>
    <mergeCell ref="F349:H349"/>
    <mergeCell ref="X349:AB349"/>
    <mergeCell ref="AE349:AI349"/>
    <mergeCell ref="AJ349:AL349"/>
    <mergeCell ref="AN349:AO349"/>
    <mergeCell ref="AP349:AQ349"/>
    <mergeCell ref="A350:A351"/>
    <mergeCell ref="E350:E351"/>
    <mergeCell ref="F350:H350"/>
    <mergeCell ref="J350:J351"/>
    <mergeCell ref="K350:L351"/>
    <mergeCell ref="M350:N351"/>
    <mergeCell ref="O350:P351"/>
    <mergeCell ref="Q350:R351"/>
    <mergeCell ref="S350:T351"/>
    <mergeCell ref="U350:V351"/>
    <mergeCell ref="X350:AB350"/>
    <mergeCell ref="AD350:AI350"/>
    <mergeCell ref="AJ350:AL350"/>
    <mergeCell ref="AN350:AO350"/>
    <mergeCell ref="AP350:AQ350"/>
    <mergeCell ref="W348:W349"/>
    <mergeCell ref="W350:W351"/>
    <mergeCell ref="AR354:AS355"/>
    <mergeCell ref="AT354:AU355"/>
    <mergeCell ref="AV354:AW355"/>
    <mergeCell ref="AX354:AY355"/>
    <mergeCell ref="AZ354:AZ355"/>
    <mergeCell ref="F355:H355"/>
    <mergeCell ref="X355:AB355"/>
    <mergeCell ref="AE355:AI355"/>
    <mergeCell ref="AJ355:AL355"/>
    <mergeCell ref="AN355:AO355"/>
    <mergeCell ref="AP355:AQ355"/>
    <mergeCell ref="A356:A357"/>
    <mergeCell ref="E356:E357"/>
    <mergeCell ref="F356:H356"/>
    <mergeCell ref="J356:J357"/>
    <mergeCell ref="K356:L357"/>
    <mergeCell ref="M356:N357"/>
    <mergeCell ref="O356:P357"/>
    <mergeCell ref="Q356:R357"/>
    <mergeCell ref="S356:T357"/>
    <mergeCell ref="U356:V357"/>
    <mergeCell ref="X356:AB356"/>
    <mergeCell ref="AD356:AI356"/>
    <mergeCell ref="AJ356:AL356"/>
    <mergeCell ref="AN356:AO356"/>
    <mergeCell ref="AP356:AQ356"/>
    <mergeCell ref="AR356:AS357"/>
    <mergeCell ref="AT356:AU357"/>
    <mergeCell ref="AV356:AW357"/>
    <mergeCell ref="AX356:AY357"/>
    <mergeCell ref="AZ356:AZ357"/>
    <mergeCell ref="F353:H353"/>
    <mergeCell ref="X353:AB353"/>
    <mergeCell ref="AE353:AI353"/>
    <mergeCell ref="AJ353:AL353"/>
    <mergeCell ref="AN353:AO353"/>
    <mergeCell ref="AP353:AQ353"/>
    <mergeCell ref="A354:A355"/>
    <mergeCell ref="E354:E355"/>
    <mergeCell ref="F354:H354"/>
    <mergeCell ref="J354:J355"/>
    <mergeCell ref="K354:L355"/>
    <mergeCell ref="M354:N355"/>
    <mergeCell ref="O354:P355"/>
    <mergeCell ref="Q354:R355"/>
    <mergeCell ref="S354:T355"/>
    <mergeCell ref="U354:V355"/>
    <mergeCell ref="X354:AB354"/>
    <mergeCell ref="AD354:AI354"/>
    <mergeCell ref="AJ354:AL354"/>
    <mergeCell ref="AN354:AO354"/>
    <mergeCell ref="AP354:AQ354"/>
    <mergeCell ref="W352:W353"/>
    <mergeCell ref="W354:W355"/>
    <mergeCell ref="AR358:AS359"/>
    <mergeCell ref="AT358:AU359"/>
    <mergeCell ref="AV358:AW359"/>
    <mergeCell ref="AX358:AY359"/>
    <mergeCell ref="AZ358:AZ359"/>
    <mergeCell ref="F359:H359"/>
    <mergeCell ref="X359:AB359"/>
    <mergeCell ref="AE359:AI359"/>
    <mergeCell ref="AJ359:AL359"/>
    <mergeCell ref="AN359:AO359"/>
    <mergeCell ref="AP359:AQ359"/>
    <mergeCell ref="A360:A361"/>
    <mergeCell ref="E360:E361"/>
    <mergeCell ref="F360:H360"/>
    <mergeCell ref="J360:J361"/>
    <mergeCell ref="K360:L361"/>
    <mergeCell ref="M360:N361"/>
    <mergeCell ref="O360:P361"/>
    <mergeCell ref="Q360:R361"/>
    <mergeCell ref="S360:T361"/>
    <mergeCell ref="U360:V361"/>
    <mergeCell ref="X360:AB360"/>
    <mergeCell ref="AD360:AI360"/>
    <mergeCell ref="AJ360:AL360"/>
    <mergeCell ref="AN360:AO360"/>
    <mergeCell ref="AP360:AQ360"/>
    <mergeCell ref="AR360:AS361"/>
    <mergeCell ref="AT360:AU361"/>
    <mergeCell ref="AV360:AW361"/>
    <mergeCell ref="AX360:AY361"/>
    <mergeCell ref="AZ360:AZ361"/>
    <mergeCell ref="F357:H357"/>
    <mergeCell ref="X357:AB357"/>
    <mergeCell ref="AE357:AI357"/>
    <mergeCell ref="AJ357:AL357"/>
    <mergeCell ref="AN357:AO357"/>
    <mergeCell ref="AP357:AQ357"/>
    <mergeCell ref="A358:A359"/>
    <mergeCell ref="E358:E359"/>
    <mergeCell ref="F358:H358"/>
    <mergeCell ref="J358:J359"/>
    <mergeCell ref="K358:L359"/>
    <mergeCell ref="M358:N359"/>
    <mergeCell ref="O358:P359"/>
    <mergeCell ref="Q358:R359"/>
    <mergeCell ref="S358:T359"/>
    <mergeCell ref="U358:V359"/>
    <mergeCell ref="X358:AB358"/>
    <mergeCell ref="AD358:AI358"/>
    <mergeCell ref="AJ358:AL358"/>
    <mergeCell ref="AN358:AO358"/>
    <mergeCell ref="AP358:AQ358"/>
    <mergeCell ref="W356:W357"/>
    <mergeCell ref="W358:W359"/>
    <mergeCell ref="AR362:AS363"/>
    <mergeCell ref="AT362:AU363"/>
    <mergeCell ref="AV362:AW363"/>
    <mergeCell ref="AX362:AY363"/>
    <mergeCell ref="AZ362:AZ363"/>
    <mergeCell ref="F363:H363"/>
    <mergeCell ref="X363:AB363"/>
    <mergeCell ref="AE363:AI363"/>
    <mergeCell ref="AJ363:AL363"/>
    <mergeCell ref="AN363:AO363"/>
    <mergeCell ref="AP363:AQ363"/>
    <mergeCell ref="A364:A365"/>
    <mergeCell ref="E364:E365"/>
    <mergeCell ref="F364:H364"/>
    <mergeCell ref="J364:J365"/>
    <mergeCell ref="K364:L365"/>
    <mergeCell ref="M364:N365"/>
    <mergeCell ref="O364:P365"/>
    <mergeCell ref="Q364:R365"/>
    <mergeCell ref="S364:T365"/>
    <mergeCell ref="U364:V365"/>
    <mergeCell ref="X364:AB364"/>
    <mergeCell ref="AD364:AI364"/>
    <mergeCell ref="AJ364:AL364"/>
    <mergeCell ref="AN364:AO364"/>
    <mergeCell ref="AP364:AQ364"/>
    <mergeCell ref="AR364:AS365"/>
    <mergeCell ref="AT364:AU365"/>
    <mergeCell ref="AV364:AW365"/>
    <mergeCell ref="AX364:AY365"/>
    <mergeCell ref="AZ364:AZ365"/>
    <mergeCell ref="F361:H361"/>
    <mergeCell ref="X361:AB361"/>
    <mergeCell ref="AE361:AI361"/>
    <mergeCell ref="AJ361:AL361"/>
    <mergeCell ref="AN361:AO361"/>
    <mergeCell ref="AP361:AQ361"/>
    <mergeCell ref="A362:A363"/>
    <mergeCell ref="E362:E363"/>
    <mergeCell ref="F362:H362"/>
    <mergeCell ref="J362:J363"/>
    <mergeCell ref="K362:L363"/>
    <mergeCell ref="M362:N363"/>
    <mergeCell ref="O362:P363"/>
    <mergeCell ref="Q362:R363"/>
    <mergeCell ref="S362:T363"/>
    <mergeCell ref="U362:V363"/>
    <mergeCell ref="X362:AB362"/>
    <mergeCell ref="AD362:AI362"/>
    <mergeCell ref="AJ362:AL362"/>
    <mergeCell ref="AN362:AO362"/>
    <mergeCell ref="AP362:AQ362"/>
    <mergeCell ref="W360:W361"/>
    <mergeCell ref="W362:W363"/>
    <mergeCell ref="AR366:AS367"/>
    <mergeCell ref="AT366:AU367"/>
    <mergeCell ref="AV366:AW367"/>
    <mergeCell ref="AX366:AY367"/>
    <mergeCell ref="AZ366:AZ367"/>
    <mergeCell ref="F367:H367"/>
    <mergeCell ref="X367:AB367"/>
    <mergeCell ref="AE367:AI367"/>
    <mergeCell ref="AJ367:AL367"/>
    <mergeCell ref="AN367:AO367"/>
    <mergeCell ref="AP367:AQ367"/>
    <mergeCell ref="A368:A369"/>
    <mergeCell ref="E368:E369"/>
    <mergeCell ref="F368:H368"/>
    <mergeCell ref="J368:J369"/>
    <mergeCell ref="K368:L369"/>
    <mergeCell ref="M368:N369"/>
    <mergeCell ref="O368:P369"/>
    <mergeCell ref="Q368:R369"/>
    <mergeCell ref="S368:T369"/>
    <mergeCell ref="U368:V369"/>
    <mergeCell ref="X368:AB368"/>
    <mergeCell ref="AD368:AI368"/>
    <mergeCell ref="AJ368:AL368"/>
    <mergeCell ref="AN368:AO368"/>
    <mergeCell ref="AP368:AQ368"/>
    <mergeCell ref="AR368:AS369"/>
    <mergeCell ref="AT368:AU369"/>
    <mergeCell ref="AV368:AW369"/>
    <mergeCell ref="AX368:AY369"/>
    <mergeCell ref="AZ368:AZ369"/>
    <mergeCell ref="F365:H365"/>
    <mergeCell ref="X365:AB365"/>
    <mergeCell ref="AE365:AI365"/>
    <mergeCell ref="AJ365:AL365"/>
    <mergeCell ref="AN365:AO365"/>
    <mergeCell ref="AP365:AQ365"/>
    <mergeCell ref="A366:A367"/>
    <mergeCell ref="E366:E367"/>
    <mergeCell ref="F366:H366"/>
    <mergeCell ref="J366:J367"/>
    <mergeCell ref="K366:L367"/>
    <mergeCell ref="M366:N367"/>
    <mergeCell ref="O366:P367"/>
    <mergeCell ref="Q366:R367"/>
    <mergeCell ref="S366:T367"/>
    <mergeCell ref="U366:V367"/>
    <mergeCell ref="X366:AB366"/>
    <mergeCell ref="AD366:AI366"/>
    <mergeCell ref="AJ366:AL366"/>
    <mergeCell ref="AN366:AO366"/>
    <mergeCell ref="AP366:AQ366"/>
    <mergeCell ref="W364:W365"/>
    <mergeCell ref="W366:W367"/>
    <mergeCell ref="AR370:AS371"/>
    <mergeCell ref="AT370:AU371"/>
    <mergeCell ref="AV370:AW371"/>
    <mergeCell ref="AX370:AY371"/>
    <mergeCell ref="AZ370:AZ371"/>
    <mergeCell ref="F371:H371"/>
    <mergeCell ref="X371:AB371"/>
    <mergeCell ref="AE371:AI371"/>
    <mergeCell ref="AJ371:AL371"/>
    <mergeCell ref="AN371:AO371"/>
    <mergeCell ref="AP371:AQ371"/>
    <mergeCell ref="A372:A373"/>
    <mergeCell ref="E372:E373"/>
    <mergeCell ref="F372:H372"/>
    <mergeCell ref="J372:J373"/>
    <mergeCell ref="K372:L373"/>
    <mergeCell ref="M372:N373"/>
    <mergeCell ref="O372:P373"/>
    <mergeCell ref="Q372:R373"/>
    <mergeCell ref="S372:T373"/>
    <mergeCell ref="U372:V373"/>
    <mergeCell ref="X372:AB372"/>
    <mergeCell ref="AD372:AI372"/>
    <mergeCell ref="AJ372:AL372"/>
    <mergeCell ref="AN372:AO372"/>
    <mergeCell ref="AP372:AQ372"/>
    <mergeCell ref="AR372:AS373"/>
    <mergeCell ref="AT372:AU373"/>
    <mergeCell ref="AV372:AW373"/>
    <mergeCell ref="AX372:AY373"/>
    <mergeCell ref="AZ372:AZ373"/>
    <mergeCell ref="F369:H369"/>
    <mergeCell ref="X369:AB369"/>
    <mergeCell ref="AE369:AI369"/>
    <mergeCell ref="AJ369:AL369"/>
    <mergeCell ref="AN369:AO369"/>
    <mergeCell ref="AP369:AQ369"/>
    <mergeCell ref="A370:A371"/>
    <mergeCell ref="E370:E371"/>
    <mergeCell ref="F370:H370"/>
    <mergeCell ref="J370:J371"/>
    <mergeCell ref="K370:L371"/>
    <mergeCell ref="M370:N371"/>
    <mergeCell ref="O370:P371"/>
    <mergeCell ref="Q370:R371"/>
    <mergeCell ref="S370:T371"/>
    <mergeCell ref="U370:V371"/>
    <mergeCell ref="X370:AB370"/>
    <mergeCell ref="AD370:AI370"/>
    <mergeCell ref="AJ370:AL370"/>
    <mergeCell ref="AN370:AO370"/>
    <mergeCell ref="AP370:AQ370"/>
    <mergeCell ref="W368:W369"/>
    <mergeCell ref="W370:W371"/>
    <mergeCell ref="AR374:AS375"/>
    <mergeCell ref="AT374:AU375"/>
    <mergeCell ref="AV374:AW375"/>
    <mergeCell ref="AX374:AY375"/>
    <mergeCell ref="AZ374:AZ375"/>
    <mergeCell ref="F375:H375"/>
    <mergeCell ref="X375:AB375"/>
    <mergeCell ref="AE375:AI375"/>
    <mergeCell ref="AJ375:AL375"/>
    <mergeCell ref="AN375:AO375"/>
    <mergeCell ref="AP375:AQ375"/>
    <mergeCell ref="A376:A377"/>
    <mergeCell ref="E376:E377"/>
    <mergeCell ref="F376:H376"/>
    <mergeCell ref="J376:J377"/>
    <mergeCell ref="K376:L377"/>
    <mergeCell ref="M376:N377"/>
    <mergeCell ref="O376:P377"/>
    <mergeCell ref="Q376:R377"/>
    <mergeCell ref="S376:T377"/>
    <mergeCell ref="U376:V377"/>
    <mergeCell ref="X376:AB376"/>
    <mergeCell ref="AD376:AI376"/>
    <mergeCell ref="AJ376:AL376"/>
    <mergeCell ref="AN376:AO376"/>
    <mergeCell ref="AP376:AQ376"/>
    <mergeCell ref="AR376:AS377"/>
    <mergeCell ref="AT376:AU377"/>
    <mergeCell ref="AV376:AW377"/>
    <mergeCell ref="AX376:AY377"/>
    <mergeCell ref="AZ376:AZ377"/>
    <mergeCell ref="F373:H373"/>
    <mergeCell ref="X373:AB373"/>
    <mergeCell ref="AE373:AI373"/>
    <mergeCell ref="AJ373:AL373"/>
    <mergeCell ref="AN373:AO373"/>
    <mergeCell ref="AP373:AQ373"/>
    <mergeCell ref="A374:A375"/>
    <mergeCell ref="E374:E375"/>
    <mergeCell ref="F374:H374"/>
    <mergeCell ref="J374:J375"/>
    <mergeCell ref="K374:L375"/>
    <mergeCell ref="M374:N375"/>
    <mergeCell ref="O374:P375"/>
    <mergeCell ref="Q374:R375"/>
    <mergeCell ref="S374:T375"/>
    <mergeCell ref="U374:V375"/>
    <mergeCell ref="X374:AB374"/>
    <mergeCell ref="AD374:AI374"/>
    <mergeCell ref="AJ374:AL374"/>
    <mergeCell ref="AN374:AO374"/>
    <mergeCell ref="AP374:AQ374"/>
    <mergeCell ref="W372:W373"/>
    <mergeCell ref="W374:W375"/>
    <mergeCell ref="AR378:AS379"/>
    <mergeCell ref="AT378:AU379"/>
    <mergeCell ref="AV378:AW379"/>
    <mergeCell ref="AX378:AY379"/>
    <mergeCell ref="AZ378:AZ379"/>
    <mergeCell ref="F379:H379"/>
    <mergeCell ref="X379:AB379"/>
    <mergeCell ref="AE379:AI379"/>
    <mergeCell ref="AJ379:AL379"/>
    <mergeCell ref="AN379:AO379"/>
    <mergeCell ref="AP379:AQ379"/>
    <mergeCell ref="A380:A381"/>
    <mergeCell ref="E380:E381"/>
    <mergeCell ref="F380:H380"/>
    <mergeCell ref="J380:J381"/>
    <mergeCell ref="K380:L381"/>
    <mergeCell ref="M380:N381"/>
    <mergeCell ref="O380:P381"/>
    <mergeCell ref="Q380:R381"/>
    <mergeCell ref="S380:T381"/>
    <mergeCell ref="U380:V381"/>
    <mergeCell ref="X380:AB380"/>
    <mergeCell ref="AD380:AI380"/>
    <mergeCell ref="AJ380:AL380"/>
    <mergeCell ref="AN380:AO380"/>
    <mergeCell ref="AP380:AQ380"/>
    <mergeCell ref="AR380:AS381"/>
    <mergeCell ref="AT380:AU381"/>
    <mergeCell ref="AV380:AW381"/>
    <mergeCell ref="AX380:AY381"/>
    <mergeCell ref="AZ380:AZ381"/>
    <mergeCell ref="F377:H377"/>
    <mergeCell ref="X377:AB377"/>
    <mergeCell ref="AE377:AI377"/>
    <mergeCell ref="AJ377:AL377"/>
    <mergeCell ref="AN377:AO377"/>
    <mergeCell ref="AP377:AQ377"/>
    <mergeCell ref="A378:A379"/>
    <mergeCell ref="E378:E379"/>
    <mergeCell ref="F378:H378"/>
    <mergeCell ref="J378:J379"/>
    <mergeCell ref="K378:L379"/>
    <mergeCell ref="M378:N379"/>
    <mergeCell ref="O378:P379"/>
    <mergeCell ref="Q378:R379"/>
    <mergeCell ref="S378:T379"/>
    <mergeCell ref="U378:V379"/>
    <mergeCell ref="X378:AB378"/>
    <mergeCell ref="AD378:AI378"/>
    <mergeCell ref="AJ378:AL378"/>
    <mergeCell ref="AN378:AO378"/>
    <mergeCell ref="AP378:AQ378"/>
    <mergeCell ref="W376:W377"/>
    <mergeCell ref="W378:W379"/>
    <mergeCell ref="AR382:AS383"/>
    <mergeCell ref="AT382:AU383"/>
    <mergeCell ref="AV382:AW383"/>
    <mergeCell ref="AX382:AY383"/>
    <mergeCell ref="AZ382:AZ383"/>
    <mergeCell ref="F383:H383"/>
    <mergeCell ref="X383:AB383"/>
    <mergeCell ref="AE383:AI383"/>
    <mergeCell ref="AJ383:AL383"/>
    <mergeCell ref="AN383:AO383"/>
    <mergeCell ref="AP383:AQ383"/>
    <mergeCell ref="A384:A385"/>
    <mergeCell ref="E384:E385"/>
    <mergeCell ref="F384:H384"/>
    <mergeCell ref="J384:J385"/>
    <mergeCell ref="K384:L385"/>
    <mergeCell ref="M384:N385"/>
    <mergeCell ref="O384:P385"/>
    <mergeCell ref="Q384:R385"/>
    <mergeCell ref="S384:T385"/>
    <mergeCell ref="U384:V385"/>
    <mergeCell ref="X384:AB384"/>
    <mergeCell ref="AD384:AI384"/>
    <mergeCell ref="AJ384:AL384"/>
    <mergeCell ref="AN384:AO384"/>
    <mergeCell ref="AP384:AQ384"/>
    <mergeCell ref="AR384:AS385"/>
    <mergeCell ref="AT384:AU385"/>
    <mergeCell ref="AV384:AW385"/>
    <mergeCell ref="AX384:AY385"/>
    <mergeCell ref="AZ384:AZ385"/>
    <mergeCell ref="F381:H381"/>
    <mergeCell ref="X381:AB381"/>
    <mergeCell ref="AE381:AI381"/>
    <mergeCell ref="AJ381:AL381"/>
    <mergeCell ref="AN381:AO381"/>
    <mergeCell ref="AP381:AQ381"/>
    <mergeCell ref="A382:A383"/>
    <mergeCell ref="E382:E383"/>
    <mergeCell ref="F382:H382"/>
    <mergeCell ref="J382:J383"/>
    <mergeCell ref="K382:L383"/>
    <mergeCell ref="M382:N383"/>
    <mergeCell ref="O382:P383"/>
    <mergeCell ref="Q382:R383"/>
    <mergeCell ref="S382:T383"/>
    <mergeCell ref="U382:V383"/>
    <mergeCell ref="X382:AB382"/>
    <mergeCell ref="AD382:AI382"/>
    <mergeCell ref="AJ382:AL382"/>
    <mergeCell ref="AN382:AO382"/>
    <mergeCell ref="AP382:AQ382"/>
    <mergeCell ref="W380:W381"/>
    <mergeCell ref="W382:W383"/>
    <mergeCell ref="AR386:AS387"/>
    <mergeCell ref="AT386:AU387"/>
    <mergeCell ref="AV386:AW387"/>
    <mergeCell ref="AX386:AY387"/>
    <mergeCell ref="AZ386:AZ387"/>
    <mergeCell ref="F387:H387"/>
    <mergeCell ref="X387:AB387"/>
    <mergeCell ref="AE387:AI387"/>
    <mergeCell ref="AJ387:AL387"/>
    <mergeCell ref="AN387:AO387"/>
    <mergeCell ref="AP387:AQ387"/>
    <mergeCell ref="A388:A389"/>
    <mergeCell ref="E388:E389"/>
    <mergeCell ref="F388:H388"/>
    <mergeCell ref="J388:J389"/>
    <mergeCell ref="K388:L389"/>
    <mergeCell ref="M388:N389"/>
    <mergeCell ref="O388:P389"/>
    <mergeCell ref="Q388:R389"/>
    <mergeCell ref="S388:T389"/>
    <mergeCell ref="U388:V389"/>
    <mergeCell ref="X388:AB388"/>
    <mergeCell ref="AD388:AI388"/>
    <mergeCell ref="AJ388:AL388"/>
    <mergeCell ref="AN388:AO388"/>
    <mergeCell ref="AP388:AQ388"/>
    <mergeCell ref="AR388:AS389"/>
    <mergeCell ref="AT388:AU389"/>
    <mergeCell ref="AV388:AW389"/>
    <mergeCell ref="AX388:AY389"/>
    <mergeCell ref="AZ388:AZ389"/>
    <mergeCell ref="F385:H385"/>
    <mergeCell ref="X385:AB385"/>
    <mergeCell ref="AE385:AI385"/>
    <mergeCell ref="AJ385:AL385"/>
    <mergeCell ref="AN385:AO385"/>
    <mergeCell ref="AP385:AQ385"/>
    <mergeCell ref="A386:A387"/>
    <mergeCell ref="E386:E387"/>
    <mergeCell ref="F386:H386"/>
    <mergeCell ref="J386:J387"/>
    <mergeCell ref="K386:L387"/>
    <mergeCell ref="M386:N387"/>
    <mergeCell ref="O386:P387"/>
    <mergeCell ref="Q386:R387"/>
    <mergeCell ref="S386:T387"/>
    <mergeCell ref="U386:V387"/>
    <mergeCell ref="X386:AB386"/>
    <mergeCell ref="AD386:AI386"/>
    <mergeCell ref="AJ386:AL386"/>
    <mergeCell ref="AN386:AO386"/>
    <mergeCell ref="AP386:AQ386"/>
    <mergeCell ref="W384:W385"/>
    <mergeCell ref="W386:W387"/>
    <mergeCell ref="AR390:AS391"/>
    <mergeCell ref="AT390:AU391"/>
    <mergeCell ref="AV390:AW391"/>
    <mergeCell ref="AX390:AY391"/>
    <mergeCell ref="AZ390:AZ391"/>
    <mergeCell ref="F391:H391"/>
    <mergeCell ref="X391:AB391"/>
    <mergeCell ref="AE391:AI391"/>
    <mergeCell ref="AJ391:AL391"/>
    <mergeCell ref="AN391:AO391"/>
    <mergeCell ref="AP391:AQ391"/>
    <mergeCell ref="A392:A393"/>
    <mergeCell ref="E392:E393"/>
    <mergeCell ref="F392:H392"/>
    <mergeCell ref="J392:J393"/>
    <mergeCell ref="K392:L393"/>
    <mergeCell ref="M392:N393"/>
    <mergeCell ref="O392:P393"/>
    <mergeCell ref="Q392:R393"/>
    <mergeCell ref="S392:T393"/>
    <mergeCell ref="U392:V393"/>
    <mergeCell ref="X392:AB392"/>
    <mergeCell ref="AD392:AI392"/>
    <mergeCell ref="AJ392:AL392"/>
    <mergeCell ref="AN392:AO392"/>
    <mergeCell ref="AP392:AQ392"/>
    <mergeCell ref="AR392:AS393"/>
    <mergeCell ref="AT392:AU393"/>
    <mergeCell ref="AV392:AW393"/>
    <mergeCell ref="AX392:AY393"/>
    <mergeCell ref="AZ392:AZ393"/>
    <mergeCell ref="F389:H389"/>
    <mergeCell ref="X389:AB389"/>
    <mergeCell ref="AE389:AI389"/>
    <mergeCell ref="AJ389:AL389"/>
    <mergeCell ref="AN389:AO389"/>
    <mergeCell ref="AP389:AQ389"/>
    <mergeCell ref="A390:A391"/>
    <mergeCell ref="E390:E391"/>
    <mergeCell ref="F390:H390"/>
    <mergeCell ref="J390:J391"/>
    <mergeCell ref="K390:L391"/>
    <mergeCell ref="M390:N391"/>
    <mergeCell ref="O390:P391"/>
    <mergeCell ref="Q390:R391"/>
    <mergeCell ref="S390:T391"/>
    <mergeCell ref="U390:V391"/>
    <mergeCell ref="X390:AB390"/>
    <mergeCell ref="AD390:AI390"/>
    <mergeCell ref="AJ390:AL390"/>
    <mergeCell ref="AN390:AO390"/>
    <mergeCell ref="AP390:AQ390"/>
    <mergeCell ref="W388:W389"/>
    <mergeCell ref="W390:W391"/>
    <mergeCell ref="AR394:AS395"/>
    <mergeCell ref="AT394:AU395"/>
    <mergeCell ref="AV394:AW395"/>
    <mergeCell ref="AX394:AY395"/>
    <mergeCell ref="AZ394:AZ395"/>
    <mergeCell ref="F395:H395"/>
    <mergeCell ref="X395:AB395"/>
    <mergeCell ref="AE395:AI395"/>
    <mergeCell ref="AJ395:AL395"/>
    <mergeCell ref="AN395:AO395"/>
    <mergeCell ref="AP395:AQ395"/>
    <mergeCell ref="A396:A397"/>
    <mergeCell ref="E396:E397"/>
    <mergeCell ref="F396:H396"/>
    <mergeCell ref="J396:J397"/>
    <mergeCell ref="K396:L397"/>
    <mergeCell ref="M396:N397"/>
    <mergeCell ref="O396:P397"/>
    <mergeCell ref="Q396:R397"/>
    <mergeCell ref="S396:T397"/>
    <mergeCell ref="U396:V397"/>
    <mergeCell ref="X396:AB396"/>
    <mergeCell ref="AD396:AI396"/>
    <mergeCell ref="AJ396:AL396"/>
    <mergeCell ref="AN396:AO396"/>
    <mergeCell ref="AP396:AQ396"/>
    <mergeCell ref="AR396:AS397"/>
    <mergeCell ref="AT396:AU397"/>
    <mergeCell ref="AV396:AW397"/>
    <mergeCell ref="AX396:AY397"/>
    <mergeCell ref="AZ396:AZ397"/>
    <mergeCell ref="F393:H393"/>
    <mergeCell ref="X393:AB393"/>
    <mergeCell ref="AE393:AI393"/>
    <mergeCell ref="AJ393:AL393"/>
    <mergeCell ref="AN393:AO393"/>
    <mergeCell ref="AP393:AQ393"/>
    <mergeCell ref="A394:A395"/>
    <mergeCell ref="E394:E395"/>
    <mergeCell ref="F394:H394"/>
    <mergeCell ref="J394:J395"/>
    <mergeCell ref="K394:L395"/>
    <mergeCell ref="M394:N395"/>
    <mergeCell ref="O394:P395"/>
    <mergeCell ref="Q394:R395"/>
    <mergeCell ref="S394:T395"/>
    <mergeCell ref="U394:V395"/>
    <mergeCell ref="X394:AB394"/>
    <mergeCell ref="AD394:AI394"/>
    <mergeCell ref="AJ394:AL394"/>
    <mergeCell ref="AN394:AO394"/>
    <mergeCell ref="AP394:AQ394"/>
    <mergeCell ref="W392:W393"/>
    <mergeCell ref="W394:W395"/>
    <mergeCell ref="AR398:AS399"/>
    <mergeCell ref="AT398:AU399"/>
    <mergeCell ref="AV398:AW399"/>
    <mergeCell ref="AX398:AY399"/>
    <mergeCell ref="AZ398:AZ399"/>
    <mergeCell ref="F399:H399"/>
    <mergeCell ref="X399:AB399"/>
    <mergeCell ref="AE399:AI399"/>
    <mergeCell ref="AJ399:AL399"/>
    <mergeCell ref="AN399:AO399"/>
    <mergeCell ref="AP399:AQ399"/>
    <mergeCell ref="A400:A401"/>
    <mergeCell ref="E400:E401"/>
    <mergeCell ref="F400:H400"/>
    <mergeCell ref="J400:J401"/>
    <mergeCell ref="K400:L401"/>
    <mergeCell ref="M400:N401"/>
    <mergeCell ref="O400:P401"/>
    <mergeCell ref="Q400:R401"/>
    <mergeCell ref="S400:T401"/>
    <mergeCell ref="U400:V401"/>
    <mergeCell ref="X400:AB400"/>
    <mergeCell ref="AD400:AI400"/>
    <mergeCell ref="AJ400:AL400"/>
    <mergeCell ref="AN400:AO400"/>
    <mergeCell ref="AP400:AQ400"/>
    <mergeCell ref="AR400:AS401"/>
    <mergeCell ref="AT400:AU401"/>
    <mergeCell ref="AV400:AW401"/>
    <mergeCell ref="AX400:AY401"/>
    <mergeCell ref="AZ400:AZ401"/>
    <mergeCell ref="F397:H397"/>
    <mergeCell ref="X397:AB397"/>
    <mergeCell ref="AE397:AI397"/>
    <mergeCell ref="AJ397:AL397"/>
    <mergeCell ref="AN397:AO397"/>
    <mergeCell ref="AP397:AQ397"/>
    <mergeCell ref="A398:A399"/>
    <mergeCell ref="E398:E399"/>
    <mergeCell ref="F398:H398"/>
    <mergeCell ref="J398:J399"/>
    <mergeCell ref="K398:L399"/>
    <mergeCell ref="M398:N399"/>
    <mergeCell ref="O398:P399"/>
    <mergeCell ref="Q398:R399"/>
    <mergeCell ref="S398:T399"/>
    <mergeCell ref="U398:V399"/>
    <mergeCell ref="X398:AB398"/>
    <mergeCell ref="AD398:AI398"/>
    <mergeCell ref="AJ398:AL398"/>
    <mergeCell ref="AN398:AO398"/>
    <mergeCell ref="AP398:AQ398"/>
    <mergeCell ref="W396:W397"/>
    <mergeCell ref="W398:W399"/>
    <mergeCell ref="AR402:AS403"/>
    <mergeCell ref="AT402:AU403"/>
    <mergeCell ref="AV402:AW403"/>
    <mergeCell ref="AX402:AY403"/>
    <mergeCell ref="AZ402:AZ403"/>
    <mergeCell ref="F403:H403"/>
    <mergeCell ref="X403:AB403"/>
    <mergeCell ref="AE403:AI403"/>
    <mergeCell ref="AJ403:AL403"/>
    <mergeCell ref="AN403:AO403"/>
    <mergeCell ref="AP403:AQ403"/>
    <mergeCell ref="A404:A405"/>
    <mergeCell ref="E404:E405"/>
    <mergeCell ref="F404:H404"/>
    <mergeCell ref="J404:J405"/>
    <mergeCell ref="K404:L405"/>
    <mergeCell ref="M404:N405"/>
    <mergeCell ref="O404:P405"/>
    <mergeCell ref="Q404:R405"/>
    <mergeCell ref="S404:T405"/>
    <mergeCell ref="U404:V405"/>
    <mergeCell ref="X404:AB404"/>
    <mergeCell ref="AD404:AI404"/>
    <mergeCell ref="AJ404:AL404"/>
    <mergeCell ref="AN404:AO404"/>
    <mergeCell ref="AP404:AQ404"/>
    <mergeCell ref="AR404:AS405"/>
    <mergeCell ref="AT404:AU405"/>
    <mergeCell ref="AV404:AW405"/>
    <mergeCell ref="AX404:AY405"/>
    <mergeCell ref="AZ404:AZ405"/>
    <mergeCell ref="F401:H401"/>
    <mergeCell ref="X401:AB401"/>
    <mergeCell ref="AE401:AI401"/>
    <mergeCell ref="AJ401:AL401"/>
    <mergeCell ref="AN401:AO401"/>
    <mergeCell ref="AP401:AQ401"/>
    <mergeCell ref="A402:A403"/>
    <mergeCell ref="E402:E403"/>
    <mergeCell ref="F402:H402"/>
    <mergeCell ref="J402:J403"/>
    <mergeCell ref="K402:L403"/>
    <mergeCell ref="M402:N403"/>
    <mergeCell ref="O402:P403"/>
    <mergeCell ref="Q402:R403"/>
    <mergeCell ref="S402:T403"/>
    <mergeCell ref="U402:V403"/>
    <mergeCell ref="X402:AB402"/>
    <mergeCell ref="AD402:AI402"/>
    <mergeCell ref="AJ402:AL402"/>
    <mergeCell ref="AN402:AO402"/>
    <mergeCell ref="AP402:AQ402"/>
    <mergeCell ref="W400:W401"/>
    <mergeCell ref="W402:W403"/>
    <mergeCell ref="AR406:AS407"/>
    <mergeCell ref="AT406:AU407"/>
    <mergeCell ref="AV406:AW407"/>
    <mergeCell ref="AX406:AY407"/>
    <mergeCell ref="AZ406:AZ407"/>
    <mergeCell ref="F407:H407"/>
    <mergeCell ref="X407:AB407"/>
    <mergeCell ref="AE407:AI407"/>
    <mergeCell ref="AJ407:AL407"/>
    <mergeCell ref="AN407:AO407"/>
    <mergeCell ref="AP407:AQ407"/>
    <mergeCell ref="A408:A409"/>
    <mergeCell ref="E408:E409"/>
    <mergeCell ref="F408:H408"/>
    <mergeCell ref="J408:J409"/>
    <mergeCell ref="K408:L409"/>
    <mergeCell ref="M408:N409"/>
    <mergeCell ref="O408:P409"/>
    <mergeCell ref="Q408:R409"/>
    <mergeCell ref="S408:T409"/>
    <mergeCell ref="U408:V409"/>
    <mergeCell ref="X408:AB408"/>
    <mergeCell ref="AD408:AI408"/>
    <mergeCell ref="AJ408:AL408"/>
    <mergeCell ref="AN408:AO408"/>
    <mergeCell ref="AP408:AQ408"/>
    <mergeCell ref="AR408:AS409"/>
    <mergeCell ref="AT408:AU409"/>
    <mergeCell ref="AV408:AW409"/>
    <mergeCell ref="AX408:AY409"/>
    <mergeCell ref="AZ408:AZ409"/>
    <mergeCell ref="F405:H405"/>
    <mergeCell ref="X405:AB405"/>
    <mergeCell ref="AE405:AI405"/>
    <mergeCell ref="AJ405:AL405"/>
    <mergeCell ref="AN405:AO405"/>
    <mergeCell ref="AP405:AQ405"/>
    <mergeCell ref="A406:A407"/>
    <mergeCell ref="E406:E407"/>
    <mergeCell ref="F406:H406"/>
    <mergeCell ref="J406:J407"/>
    <mergeCell ref="K406:L407"/>
    <mergeCell ref="M406:N407"/>
    <mergeCell ref="O406:P407"/>
    <mergeCell ref="Q406:R407"/>
    <mergeCell ref="S406:T407"/>
    <mergeCell ref="U406:V407"/>
    <mergeCell ref="X406:AB406"/>
    <mergeCell ref="AD406:AI406"/>
    <mergeCell ref="AJ406:AL406"/>
    <mergeCell ref="AN406:AO406"/>
    <mergeCell ref="AP406:AQ406"/>
    <mergeCell ref="W404:W405"/>
    <mergeCell ref="W406:W407"/>
    <mergeCell ref="AR410:AS411"/>
    <mergeCell ref="AT410:AU411"/>
    <mergeCell ref="AV410:AW411"/>
    <mergeCell ref="AX410:AY411"/>
    <mergeCell ref="AZ410:AZ411"/>
    <mergeCell ref="F411:H411"/>
    <mergeCell ref="X411:AB411"/>
    <mergeCell ref="AE411:AI411"/>
    <mergeCell ref="AJ411:AL411"/>
    <mergeCell ref="AN411:AO411"/>
    <mergeCell ref="AP411:AQ411"/>
    <mergeCell ref="A412:A413"/>
    <mergeCell ref="E412:E413"/>
    <mergeCell ref="F412:H412"/>
    <mergeCell ref="J412:J413"/>
    <mergeCell ref="K412:L413"/>
    <mergeCell ref="M412:N413"/>
    <mergeCell ref="O412:P413"/>
    <mergeCell ref="Q412:R413"/>
    <mergeCell ref="S412:T413"/>
    <mergeCell ref="U412:V413"/>
    <mergeCell ref="X412:AB412"/>
    <mergeCell ref="AD412:AI412"/>
    <mergeCell ref="AJ412:AL412"/>
    <mergeCell ref="AN412:AO412"/>
    <mergeCell ref="AP412:AQ412"/>
    <mergeCell ref="AR412:AS413"/>
    <mergeCell ref="AT412:AU413"/>
    <mergeCell ref="AV412:AW413"/>
    <mergeCell ref="AX412:AY413"/>
    <mergeCell ref="AZ412:AZ413"/>
    <mergeCell ref="F409:H409"/>
    <mergeCell ref="X409:AB409"/>
    <mergeCell ref="AE409:AI409"/>
    <mergeCell ref="AJ409:AL409"/>
    <mergeCell ref="AN409:AO409"/>
    <mergeCell ref="AP409:AQ409"/>
    <mergeCell ref="A410:A411"/>
    <mergeCell ref="E410:E411"/>
    <mergeCell ref="F410:H410"/>
    <mergeCell ref="J410:J411"/>
    <mergeCell ref="K410:L411"/>
    <mergeCell ref="M410:N411"/>
    <mergeCell ref="O410:P411"/>
    <mergeCell ref="Q410:R411"/>
    <mergeCell ref="S410:T411"/>
    <mergeCell ref="U410:V411"/>
    <mergeCell ref="X410:AB410"/>
    <mergeCell ref="AD410:AI410"/>
    <mergeCell ref="AJ410:AL410"/>
    <mergeCell ref="AN410:AO410"/>
    <mergeCell ref="AP410:AQ410"/>
    <mergeCell ref="W408:W409"/>
    <mergeCell ref="W410:W411"/>
    <mergeCell ref="AR414:AS415"/>
    <mergeCell ref="AT414:AU415"/>
    <mergeCell ref="AV414:AW415"/>
    <mergeCell ref="AX414:AY415"/>
    <mergeCell ref="AZ414:AZ415"/>
    <mergeCell ref="F415:H415"/>
    <mergeCell ref="X415:AB415"/>
    <mergeCell ref="AE415:AI415"/>
    <mergeCell ref="AJ415:AL415"/>
    <mergeCell ref="AN415:AO415"/>
    <mergeCell ref="AP415:AQ415"/>
    <mergeCell ref="A416:A417"/>
    <mergeCell ref="E416:E417"/>
    <mergeCell ref="F416:H416"/>
    <mergeCell ref="J416:J417"/>
    <mergeCell ref="K416:L417"/>
    <mergeCell ref="M416:N417"/>
    <mergeCell ref="O416:P417"/>
    <mergeCell ref="Q416:R417"/>
    <mergeCell ref="S416:T417"/>
    <mergeCell ref="U416:V417"/>
    <mergeCell ref="X416:AB416"/>
    <mergeCell ref="AD416:AI416"/>
    <mergeCell ref="AJ416:AL416"/>
    <mergeCell ref="AN416:AO416"/>
    <mergeCell ref="AP416:AQ416"/>
    <mergeCell ref="AR416:AS417"/>
    <mergeCell ref="AT416:AU417"/>
    <mergeCell ref="AV416:AW417"/>
    <mergeCell ref="AX416:AY417"/>
    <mergeCell ref="AZ416:AZ417"/>
    <mergeCell ref="F413:H413"/>
    <mergeCell ref="X413:AB413"/>
    <mergeCell ref="AE413:AI413"/>
    <mergeCell ref="AJ413:AL413"/>
    <mergeCell ref="AN413:AO413"/>
    <mergeCell ref="AP413:AQ413"/>
    <mergeCell ref="A414:A415"/>
    <mergeCell ref="E414:E415"/>
    <mergeCell ref="F414:H414"/>
    <mergeCell ref="J414:J415"/>
    <mergeCell ref="K414:L415"/>
    <mergeCell ref="M414:N415"/>
    <mergeCell ref="O414:P415"/>
    <mergeCell ref="Q414:R415"/>
    <mergeCell ref="S414:T415"/>
    <mergeCell ref="U414:V415"/>
    <mergeCell ref="X414:AB414"/>
    <mergeCell ref="AD414:AI414"/>
    <mergeCell ref="AJ414:AL414"/>
    <mergeCell ref="AN414:AO414"/>
    <mergeCell ref="AP414:AQ414"/>
    <mergeCell ref="W412:W413"/>
    <mergeCell ref="W414:W415"/>
    <mergeCell ref="AR418:AS419"/>
    <mergeCell ref="AT418:AU419"/>
    <mergeCell ref="AV418:AW419"/>
    <mergeCell ref="AX418:AY419"/>
    <mergeCell ref="AZ418:AZ419"/>
    <mergeCell ref="F419:H419"/>
    <mergeCell ref="X419:AB419"/>
    <mergeCell ref="AE419:AI419"/>
    <mergeCell ref="AJ419:AL419"/>
    <mergeCell ref="AN419:AO419"/>
    <mergeCell ref="AP419:AQ419"/>
    <mergeCell ref="A420:A421"/>
    <mergeCell ref="E420:E421"/>
    <mergeCell ref="F420:H420"/>
    <mergeCell ref="J420:J421"/>
    <mergeCell ref="K420:L421"/>
    <mergeCell ref="M420:N421"/>
    <mergeCell ref="O420:P421"/>
    <mergeCell ref="Q420:R421"/>
    <mergeCell ref="S420:T421"/>
    <mergeCell ref="U420:V421"/>
    <mergeCell ref="X420:AB420"/>
    <mergeCell ref="AD420:AI420"/>
    <mergeCell ref="AJ420:AL420"/>
    <mergeCell ref="AN420:AO420"/>
    <mergeCell ref="AP420:AQ420"/>
    <mergeCell ref="AR420:AS421"/>
    <mergeCell ref="AT420:AU421"/>
    <mergeCell ref="AV420:AW421"/>
    <mergeCell ref="AX420:AY421"/>
    <mergeCell ref="AZ420:AZ421"/>
    <mergeCell ref="F417:H417"/>
    <mergeCell ref="X417:AB417"/>
    <mergeCell ref="AE417:AI417"/>
    <mergeCell ref="AJ417:AL417"/>
    <mergeCell ref="AN417:AO417"/>
    <mergeCell ref="AP417:AQ417"/>
    <mergeCell ref="A418:A419"/>
    <mergeCell ref="E418:E419"/>
    <mergeCell ref="F418:H418"/>
    <mergeCell ref="J418:J419"/>
    <mergeCell ref="K418:L419"/>
    <mergeCell ref="M418:N419"/>
    <mergeCell ref="O418:P419"/>
    <mergeCell ref="Q418:R419"/>
    <mergeCell ref="S418:T419"/>
    <mergeCell ref="U418:V419"/>
    <mergeCell ref="X418:AB418"/>
    <mergeCell ref="AD418:AI418"/>
    <mergeCell ref="AJ418:AL418"/>
    <mergeCell ref="AN418:AO418"/>
    <mergeCell ref="AP418:AQ418"/>
    <mergeCell ref="W416:W417"/>
    <mergeCell ref="W418:W419"/>
    <mergeCell ref="AR422:AS423"/>
    <mergeCell ref="AT422:AU423"/>
    <mergeCell ref="AV422:AW423"/>
    <mergeCell ref="AX422:AY423"/>
    <mergeCell ref="AZ422:AZ423"/>
    <mergeCell ref="F423:H423"/>
    <mergeCell ref="X423:AB423"/>
    <mergeCell ref="AE423:AI423"/>
    <mergeCell ref="AJ423:AL423"/>
    <mergeCell ref="AN423:AO423"/>
    <mergeCell ref="AP423:AQ423"/>
    <mergeCell ref="A424:A425"/>
    <mergeCell ref="E424:E425"/>
    <mergeCell ref="F424:H424"/>
    <mergeCell ref="J424:J425"/>
    <mergeCell ref="K424:L425"/>
    <mergeCell ref="M424:N425"/>
    <mergeCell ref="O424:P425"/>
    <mergeCell ref="Q424:R425"/>
    <mergeCell ref="S424:T425"/>
    <mergeCell ref="U424:V425"/>
    <mergeCell ref="X424:AB424"/>
    <mergeCell ref="AD424:AI424"/>
    <mergeCell ref="AJ424:AL424"/>
    <mergeCell ref="AN424:AO424"/>
    <mergeCell ref="AP424:AQ424"/>
    <mergeCell ref="AR424:AS425"/>
    <mergeCell ref="AT424:AU425"/>
    <mergeCell ref="AV424:AW425"/>
    <mergeCell ref="AX424:AY425"/>
    <mergeCell ref="AZ424:AZ425"/>
    <mergeCell ref="F421:H421"/>
    <mergeCell ref="X421:AB421"/>
    <mergeCell ref="AE421:AI421"/>
    <mergeCell ref="AJ421:AL421"/>
    <mergeCell ref="AN421:AO421"/>
    <mergeCell ref="AP421:AQ421"/>
    <mergeCell ref="A422:A423"/>
    <mergeCell ref="E422:E423"/>
    <mergeCell ref="F422:H422"/>
    <mergeCell ref="J422:J423"/>
    <mergeCell ref="K422:L423"/>
    <mergeCell ref="M422:N423"/>
    <mergeCell ref="O422:P423"/>
    <mergeCell ref="Q422:R423"/>
    <mergeCell ref="S422:T423"/>
    <mergeCell ref="U422:V423"/>
    <mergeCell ref="X422:AB422"/>
    <mergeCell ref="AD422:AI422"/>
    <mergeCell ref="AJ422:AL422"/>
    <mergeCell ref="AN422:AO422"/>
    <mergeCell ref="AP422:AQ422"/>
    <mergeCell ref="W420:W421"/>
    <mergeCell ref="W422:W423"/>
    <mergeCell ref="AR426:AS427"/>
    <mergeCell ref="AT426:AU427"/>
    <mergeCell ref="AV426:AW427"/>
    <mergeCell ref="AX426:AY427"/>
    <mergeCell ref="AZ426:AZ427"/>
    <mergeCell ref="F427:H427"/>
    <mergeCell ref="X427:AB427"/>
    <mergeCell ref="AE427:AI427"/>
    <mergeCell ref="AJ427:AL427"/>
    <mergeCell ref="AN427:AO427"/>
    <mergeCell ref="AP427:AQ427"/>
    <mergeCell ref="A428:A429"/>
    <mergeCell ref="E428:E429"/>
    <mergeCell ref="F428:H428"/>
    <mergeCell ref="J428:J429"/>
    <mergeCell ref="K428:L429"/>
    <mergeCell ref="M428:N429"/>
    <mergeCell ref="O428:P429"/>
    <mergeCell ref="Q428:R429"/>
    <mergeCell ref="S428:T429"/>
    <mergeCell ref="U428:V429"/>
    <mergeCell ref="X428:AB428"/>
    <mergeCell ref="AD428:AI428"/>
    <mergeCell ref="AJ428:AL428"/>
    <mergeCell ref="AN428:AO428"/>
    <mergeCell ref="AP428:AQ428"/>
    <mergeCell ref="AR428:AS429"/>
    <mergeCell ref="AT428:AU429"/>
    <mergeCell ref="AV428:AW429"/>
    <mergeCell ref="AX428:AY429"/>
    <mergeCell ref="AZ428:AZ429"/>
    <mergeCell ref="F425:H425"/>
    <mergeCell ref="X425:AB425"/>
    <mergeCell ref="AE425:AI425"/>
    <mergeCell ref="AJ425:AL425"/>
    <mergeCell ref="AN425:AO425"/>
    <mergeCell ref="AP425:AQ425"/>
    <mergeCell ref="A426:A427"/>
    <mergeCell ref="E426:E427"/>
    <mergeCell ref="F426:H426"/>
    <mergeCell ref="J426:J427"/>
    <mergeCell ref="K426:L427"/>
    <mergeCell ref="M426:N427"/>
    <mergeCell ref="O426:P427"/>
    <mergeCell ref="Q426:R427"/>
    <mergeCell ref="S426:T427"/>
    <mergeCell ref="U426:V427"/>
    <mergeCell ref="X426:AB426"/>
    <mergeCell ref="AD426:AI426"/>
    <mergeCell ref="AJ426:AL426"/>
    <mergeCell ref="AN426:AO426"/>
    <mergeCell ref="AP426:AQ426"/>
    <mergeCell ref="W424:W425"/>
    <mergeCell ref="W426:W427"/>
    <mergeCell ref="AR430:AS431"/>
    <mergeCell ref="AT430:AU431"/>
    <mergeCell ref="AV430:AW431"/>
    <mergeCell ref="AX430:AY431"/>
    <mergeCell ref="AZ430:AZ431"/>
    <mergeCell ref="F431:H431"/>
    <mergeCell ref="X431:AB431"/>
    <mergeCell ref="AE431:AI431"/>
    <mergeCell ref="AJ431:AL431"/>
    <mergeCell ref="AN431:AO431"/>
    <mergeCell ref="AP431:AQ431"/>
    <mergeCell ref="A432:A433"/>
    <mergeCell ref="E432:E433"/>
    <mergeCell ref="F432:H432"/>
    <mergeCell ref="J432:J433"/>
    <mergeCell ref="K432:L433"/>
    <mergeCell ref="M432:N433"/>
    <mergeCell ref="O432:P433"/>
    <mergeCell ref="Q432:R433"/>
    <mergeCell ref="S432:T433"/>
    <mergeCell ref="U432:V433"/>
    <mergeCell ref="X432:AB432"/>
    <mergeCell ref="AD432:AI432"/>
    <mergeCell ref="AJ432:AL432"/>
    <mergeCell ref="AN432:AO432"/>
    <mergeCell ref="AP432:AQ432"/>
    <mergeCell ref="AR432:AS433"/>
    <mergeCell ref="AT432:AU433"/>
    <mergeCell ref="AV432:AW433"/>
    <mergeCell ref="AX432:AY433"/>
    <mergeCell ref="AZ432:AZ433"/>
    <mergeCell ref="F429:H429"/>
    <mergeCell ref="X429:AB429"/>
    <mergeCell ref="AE429:AI429"/>
    <mergeCell ref="AJ429:AL429"/>
    <mergeCell ref="AN429:AO429"/>
    <mergeCell ref="AP429:AQ429"/>
    <mergeCell ref="A430:A431"/>
    <mergeCell ref="E430:E431"/>
    <mergeCell ref="F430:H430"/>
    <mergeCell ref="J430:J431"/>
    <mergeCell ref="K430:L431"/>
    <mergeCell ref="M430:N431"/>
    <mergeCell ref="O430:P431"/>
    <mergeCell ref="Q430:R431"/>
    <mergeCell ref="S430:T431"/>
    <mergeCell ref="U430:V431"/>
    <mergeCell ref="X430:AB430"/>
    <mergeCell ref="AD430:AI430"/>
    <mergeCell ref="AJ430:AL430"/>
    <mergeCell ref="AN430:AO430"/>
    <mergeCell ref="AP430:AQ430"/>
    <mergeCell ref="W428:W429"/>
    <mergeCell ref="W430:W431"/>
    <mergeCell ref="AR434:AS435"/>
    <mergeCell ref="AT434:AU435"/>
    <mergeCell ref="AV434:AW435"/>
    <mergeCell ref="AX434:AY435"/>
    <mergeCell ref="AZ434:AZ435"/>
    <mergeCell ref="F435:H435"/>
    <mergeCell ref="X435:AB435"/>
    <mergeCell ref="AE435:AI435"/>
    <mergeCell ref="AJ435:AL435"/>
    <mergeCell ref="AN435:AO435"/>
    <mergeCell ref="AP435:AQ435"/>
    <mergeCell ref="A436:A437"/>
    <mergeCell ref="E436:E437"/>
    <mergeCell ref="F436:H436"/>
    <mergeCell ref="J436:J437"/>
    <mergeCell ref="K436:L437"/>
    <mergeCell ref="M436:N437"/>
    <mergeCell ref="O436:P437"/>
    <mergeCell ref="Q436:R437"/>
    <mergeCell ref="S436:T437"/>
    <mergeCell ref="U436:V437"/>
    <mergeCell ref="X436:AB436"/>
    <mergeCell ref="AD436:AI436"/>
    <mergeCell ref="AJ436:AL436"/>
    <mergeCell ref="AN436:AO436"/>
    <mergeCell ref="AP436:AQ436"/>
    <mergeCell ref="AR436:AS437"/>
    <mergeCell ref="AT436:AU437"/>
    <mergeCell ref="AV436:AW437"/>
    <mergeCell ref="AX436:AY437"/>
    <mergeCell ref="AZ436:AZ437"/>
    <mergeCell ref="F433:H433"/>
    <mergeCell ref="X433:AB433"/>
    <mergeCell ref="AE433:AI433"/>
    <mergeCell ref="AJ433:AL433"/>
    <mergeCell ref="AN433:AO433"/>
    <mergeCell ref="AP433:AQ433"/>
    <mergeCell ref="A434:A435"/>
    <mergeCell ref="E434:E435"/>
    <mergeCell ref="F434:H434"/>
    <mergeCell ref="J434:J435"/>
    <mergeCell ref="K434:L435"/>
    <mergeCell ref="M434:N435"/>
    <mergeCell ref="O434:P435"/>
    <mergeCell ref="Q434:R435"/>
    <mergeCell ref="S434:T435"/>
    <mergeCell ref="U434:V435"/>
    <mergeCell ref="X434:AB434"/>
    <mergeCell ref="AD434:AI434"/>
    <mergeCell ref="AJ434:AL434"/>
    <mergeCell ref="AN434:AO434"/>
    <mergeCell ref="AP434:AQ434"/>
    <mergeCell ref="W432:W433"/>
    <mergeCell ref="W434:W435"/>
    <mergeCell ref="AR438:AS439"/>
    <mergeCell ref="AT438:AU439"/>
    <mergeCell ref="AV438:AW439"/>
    <mergeCell ref="AX438:AY439"/>
    <mergeCell ref="AZ438:AZ439"/>
    <mergeCell ref="F439:H439"/>
    <mergeCell ref="X439:AB439"/>
    <mergeCell ref="AE439:AI439"/>
    <mergeCell ref="AJ439:AL439"/>
    <mergeCell ref="AN439:AO439"/>
    <mergeCell ref="AP439:AQ439"/>
    <mergeCell ref="A440:A441"/>
    <mergeCell ref="E440:E441"/>
    <mergeCell ref="F440:H440"/>
    <mergeCell ref="J440:J441"/>
    <mergeCell ref="K440:L441"/>
    <mergeCell ref="M440:N441"/>
    <mergeCell ref="O440:P441"/>
    <mergeCell ref="Q440:R441"/>
    <mergeCell ref="S440:T441"/>
    <mergeCell ref="U440:V441"/>
    <mergeCell ref="X440:AB440"/>
    <mergeCell ref="AD440:AI440"/>
    <mergeCell ref="AJ440:AL440"/>
    <mergeCell ref="AN440:AO440"/>
    <mergeCell ref="AP440:AQ440"/>
    <mergeCell ref="AR440:AS441"/>
    <mergeCell ref="AT440:AU441"/>
    <mergeCell ref="AV440:AW441"/>
    <mergeCell ref="AX440:AY441"/>
    <mergeCell ref="AZ440:AZ441"/>
    <mergeCell ref="F437:H437"/>
    <mergeCell ref="X437:AB437"/>
    <mergeCell ref="AE437:AI437"/>
    <mergeCell ref="AJ437:AL437"/>
    <mergeCell ref="AN437:AO437"/>
    <mergeCell ref="AP437:AQ437"/>
    <mergeCell ref="A438:A439"/>
    <mergeCell ref="E438:E439"/>
    <mergeCell ref="F438:H438"/>
    <mergeCell ref="J438:J439"/>
    <mergeCell ref="K438:L439"/>
    <mergeCell ref="M438:N439"/>
    <mergeCell ref="O438:P439"/>
    <mergeCell ref="Q438:R439"/>
    <mergeCell ref="S438:T439"/>
    <mergeCell ref="U438:V439"/>
    <mergeCell ref="X438:AB438"/>
    <mergeCell ref="AD438:AI438"/>
    <mergeCell ref="AJ438:AL438"/>
    <mergeCell ref="AN438:AO438"/>
    <mergeCell ref="AP438:AQ438"/>
    <mergeCell ref="W436:W437"/>
    <mergeCell ref="W438:W439"/>
    <mergeCell ref="AR442:AS443"/>
    <mergeCell ref="AT442:AU443"/>
    <mergeCell ref="AV442:AW443"/>
    <mergeCell ref="AX442:AY443"/>
    <mergeCell ref="AZ442:AZ443"/>
    <mergeCell ref="F443:H443"/>
    <mergeCell ref="X443:AB443"/>
    <mergeCell ref="AE443:AI443"/>
    <mergeCell ref="AJ443:AL443"/>
    <mergeCell ref="AN443:AO443"/>
    <mergeCell ref="AP443:AQ443"/>
    <mergeCell ref="A444:A445"/>
    <mergeCell ref="E444:E445"/>
    <mergeCell ref="F444:H444"/>
    <mergeCell ref="J444:J445"/>
    <mergeCell ref="K444:L445"/>
    <mergeCell ref="M444:N445"/>
    <mergeCell ref="O444:P445"/>
    <mergeCell ref="Q444:R445"/>
    <mergeCell ref="S444:T445"/>
    <mergeCell ref="U444:V445"/>
    <mergeCell ref="X444:AB444"/>
    <mergeCell ref="AD444:AI444"/>
    <mergeCell ref="AJ444:AL444"/>
    <mergeCell ref="AN444:AO444"/>
    <mergeCell ref="AP444:AQ444"/>
    <mergeCell ref="AR444:AS445"/>
    <mergeCell ref="AT444:AU445"/>
    <mergeCell ref="AV444:AW445"/>
    <mergeCell ref="AX444:AY445"/>
    <mergeCell ref="AZ444:AZ445"/>
    <mergeCell ref="F441:H441"/>
    <mergeCell ref="X441:AB441"/>
    <mergeCell ref="AE441:AI441"/>
    <mergeCell ref="AJ441:AL441"/>
    <mergeCell ref="AN441:AO441"/>
    <mergeCell ref="AP441:AQ441"/>
    <mergeCell ref="A442:A443"/>
    <mergeCell ref="E442:E443"/>
    <mergeCell ref="F442:H442"/>
    <mergeCell ref="J442:J443"/>
    <mergeCell ref="K442:L443"/>
    <mergeCell ref="M442:N443"/>
    <mergeCell ref="O442:P443"/>
    <mergeCell ref="Q442:R443"/>
    <mergeCell ref="S442:T443"/>
    <mergeCell ref="U442:V443"/>
    <mergeCell ref="X442:AB442"/>
    <mergeCell ref="AD442:AI442"/>
    <mergeCell ref="AJ442:AL442"/>
    <mergeCell ref="AN442:AO442"/>
    <mergeCell ref="AP442:AQ442"/>
    <mergeCell ref="W440:W441"/>
    <mergeCell ref="W442:W443"/>
    <mergeCell ref="AR446:AS447"/>
    <mergeCell ref="AT446:AU447"/>
    <mergeCell ref="AV446:AW447"/>
    <mergeCell ref="AX446:AY447"/>
    <mergeCell ref="AZ446:AZ447"/>
    <mergeCell ref="F447:H447"/>
    <mergeCell ref="X447:AB447"/>
    <mergeCell ref="AE447:AI447"/>
    <mergeCell ref="AJ447:AL447"/>
    <mergeCell ref="AN447:AO447"/>
    <mergeCell ref="AP447:AQ447"/>
    <mergeCell ref="A448:A449"/>
    <mergeCell ref="E448:E449"/>
    <mergeCell ref="F448:H448"/>
    <mergeCell ref="J448:J449"/>
    <mergeCell ref="K448:L449"/>
    <mergeCell ref="M448:N449"/>
    <mergeCell ref="O448:P449"/>
    <mergeCell ref="Q448:R449"/>
    <mergeCell ref="S448:T449"/>
    <mergeCell ref="U448:V449"/>
    <mergeCell ref="X448:AB448"/>
    <mergeCell ref="AD448:AI448"/>
    <mergeCell ref="AJ448:AL448"/>
    <mergeCell ref="AN448:AO448"/>
    <mergeCell ref="AP448:AQ448"/>
    <mergeCell ref="AR448:AS449"/>
    <mergeCell ref="AT448:AU449"/>
    <mergeCell ref="AV448:AW449"/>
    <mergeCell ref="AX448:AY449"/>
    <mergeCell ref="AZ448:AZ449"/>
    <mergeCell ref="F445:H445"/>
    <mergeCell ref="X445:AB445"/>
    <mergeCell ref="AE445:AI445"/>
    <mergeCell ref="AJ445:AL445"/>
    <mergeCell ref="AN445:AO445"/>
    <mergeCell ref="AP445:AQ445"/>
    <mergeCell ref="A446:A447"/>
    <mergeCell ref="E446:E447"/>
    <mergeCell ref="F446:H446"/>
    <mergeCell ref="J446:J447"/>
    <mergeCell ref="K446:L447"/>
    <mergeCell ref="M446:N447"/>
    <mergeCell ref="O446:P447"/>
    <mergeCell ref="Q446:R447"/>
    <mergeCell ref="S446:T447"/>
    <mergeCell ref="U446:V447"/>
    <mergeCell ref="X446:AB446"/>
    <mergeCell ref="AD446:AI446"/>
    <mergeCell ref="AJ446:AL446"/>
    <mergeCell ref="AN446:AO446"/>
    <mergeCell ref="AP446:AQ446"/>
    <mergeCell ref="W444:W445"/>
    <mergeCell ref="W446:W447"/>
    <mergeCell ref="AR450:AS451"/>
    <mergeCell ref="AT450:AU451"/>
    <mergeCell ref="AV450:AW451"/>
    <mergeCell ref="AX450:AY451"/>
    <mergeCell ref="AZ450:AZ451"/>
    <mergeCell ref="F451:H451"/>
    <mergeCell ref="X451:AB451"/>
    <mergeCell ref="AE451:AI451"/>
    <mergeCell ref="AJ451:AL451"/>
    <mergeCell ref="AN451:AO451"/>
    <mergeCell ref="AP451:AQ451"/>
    <mergeCell ref="A452:A453"/>
    <mergeCell ref="E452:E453"/>
    <mergeCell ref="F452:H452"/>
    <mergeCell ref="J452:J453"/>
    <mergeCell ref="K452:L453"/>
    <mergeCell ref="M452:N453"/>
    <mergeCell ref="O452:P453"/>
    <mergeCell ref="Q452:R453"/>
    <mergeCell ref="S452:T453"/>
    <mergeCell ref="U452:V453"/>
    <mergeCell ref="X452:AB452"/>
    <mergeCell ref="AD452:AI452"/>
    <mergeCell ref="AJ452:AL452"/>
    <mergeCell ref="AN452:AO452"/>
    <mergeCell ref="AP452:AQ452"/>
    <mergeCell ref="AR452:AS453"/>
    <mergeCell ref="AT452:AU453"/>
    <mergeCell ref="AV452:AW453"/>
    <mergeCell ref="AX452:AY453"/>
    <mergeCell ref="AZ452:AZ453"/>
    <mergeCell ref="F449:H449"/>
    <mergeCell ref="X449:AB449"/>
    <mergeCell ref="AE449:AI449"/>
    <mergeCell ref="AJ449:AL449"/>
    <mergeCell ref="AN449:AO449"/>
    <mergeCell ref="AP449:AQ449"/>
    <mergeCell ref="A450:A451"/>
    <mergeCell ref="E450:E451"/>
    <mergeCell ref="F450:H450"/>
    <mergeCell ref="J450:J451"/>
    <mergeCell ref="K450:L451"/>
    <mergeCell ref="M450:N451"/>
    <mergeCell ref="O450:P451"/>
    <mergeCell ref="Q450:R451"/>
    <mergeCell ref="S450:T451"/>
    <mergeCell ref="U450:V451"/>
    <mergeCell ref="X450:AB450"/>
    <mergeCell ref="AD450:AI450"/>
    <mergeCell ref="AJ450:AL450"/>
    <mergeCell ref="AN450:AO450"/>
    <mergeCell ref="AP450:AQ450"/>
    <mergeCell ref="W448:W449"/>
    <mergeCell ref="W450:W451"/>
    <mergeCell ref="AR454:AS455"/>
    <mergeCell ref="AT454:AU455"/>
    <mergeCell ref="AV454:AW455"/>
    <mergeCell ref="AX454:AY455"/>
    <mergeCell ref="AZ454:AZ455"/>
    <mergeCell ref="F455:H455"/>
    <mergeCell ref="X455:AB455"/>
    <mergeCell ref="AE455:AI455"/>
    <mergeCell ref="AJ455:AL455"/>
    <mergeCell ref="AN455:AO455"/>
    <mergeCell ref="AP455:AQ455"/>
    <mergeCell ref="A456:A457"/>
    <mergeCell ref="E456:E457"/>
    <mergeCell ref="F456:H456"/>
    <mergeCell ref="J456:J457"/>
    <mergeCell ref="K456:L457"/>
    <mergeCell ref="M456:N457"/>
    <mergeCell ref="O456:P457"/>
    <mergeCell ref="Q456:R457"/>
    <mergeCell ref="S456:T457"/>
    <mergeCell ref="U456:V457"/>
    <mergeCell ref="X456:AB456"/>
    <mergeCell ref="AD456:AI456"/>
    <mergeCell ref="AJ456:AL456"/>
    <mergeCell ref="AN456:AO456"/>
    <mergeCell ref="AP456:AQ456"/>
    <mergeCell ref="AR456:AS457"/>
    <mergeCell ref="AT456:AU457"/>
    <mergeCell ref="AV456:AW457"/>
    <mergeCell ref="AX456:AY457"/>
    <mergeCell ref="AZ456:AZ457"/>
    <mergeCell ref="F453:H453"/>
    <mergeCell ref="X453:AB453"/>
    <mergeCell ref="AE453:AI453"/>
    <mergeCell ref="AJ453:AL453"/>
    <mergeCell ref="AN453:AO453"/>
    <mergeCell ref="AP453:AQ453"/>
    <mergeCell ref="A454:A455"/>
    <mergeCell ref="E454:E455"/>
    <mergeCell ref="F454:H454"/>
    <mergeCell ref="J454:J455"/>
    <mergeCell ref="K454:L455"/>
    <mergeCell ref="M454:N455"/>
    <mergeCell ref="O454:P455"/>
    <mergeCell ref="Q454:R455"/>
    <mergeCell ref="S454:T455"/>
    <mergeCell ref="U454:V455"/>
    <mergeCell ref="X454:AB454"/>
    <mergeCell ref="AD454:AI454"/>
    <mergeCell ref="AJ454:AL454"/>
    <mergeCell ref="AN454:AO454"/>
    <mergeCell ref="AP454:AQ454"/>
    <mergeCell ref="W452:W453"/>
    <mergeCell ref="W454:W455"/>
    <mergeCell ref="AR458:AS459"/>
    <mergeCell ref="AT458:AU459"/>
    <mergeCell ref="AV458:AW459"/>
    <mergeCell ref="AX458:AY459"/>
    <mergeCell ref="AZ458:AZ459"/>
    <mergeCell ref="F459:H459"/>
    <mergeCell ref="X459:AB459"/>
    <mergeCell ref="AE459:AI459"/>
    <mergeCell ref="AJ459:AL459"/>
    <mergeCell ref="AN459:AO459"/>
    <mergeCell ref="AP459:AQ459"/>
    <mergeCell ref="A460:A461"/>
    <mergeCell ref="E460:E461"/>
    <mergeCell ref="F460:H460"/>
    <mergeCell ref="J460:J461"/>
    <mergeCell ref="K460:L461"/>
    <mergeCell ref="M460:N461"/>
    <mergeCell ref="O460:P461"/>
    <mergeCell ref="Q460:R461"/>
    <mergeCell ref="S460:T461"/>
    <mergeCell ref="U460:V461"/>
    <mergeCell ref="X460:AB460"/>
    <mergeCell ref="AD460:AI460"/>
    <mergeCell ref="AJ460:AL460"/>
    <mergeCell ref="AN460:AO460"/>
    <mergeCell ref="AP460:AQ460"/>
    <mergeCell ref="AR460:AS461"/>
    <mergeCell ref="AT460:AU461"/>
    <mergeCell ref="AV460:AW461"/>
    <mergeCell ref="AX460:AY461"/>
    <mergeCell ref="AZ460:AZ461"/>
    <mergeCell ref="F457:H457"/>
    <mergeCell ref="X457:AB457"/>
    <mergeCell ref="AE457:AI457"/>
    <mergeCell ref="AJ457:AL457"/>
    <mergeCell ref="AN457:AO457"/>
    <mergeCell ref="AP457:AQ457"/>
    <mergeCell ref="A458:A459"/>
    <mergeCell ref="E458:E459"/>
    <mergeCell ref="F458:H458"/>
    <mergeCell ref="J458:J459"/>
    <mergeCell ref="K458:L459"/>
    <mergeCell ref="M458:N459"/>
    <mergeCell ref="O458:P459"/>
    <mergeCell ref="Q458:R459"/>
    <mergeCell ref="S458:T459"/>
    <mergeCell ref="U458:V459"/>
    <mergeCell ref="X458:AB458"/>
    <mergeCell ref="AD458:AI458"/>
    <mergeCell ref="AJ458:AL458"/>
    <mergeCell ref="AN458:AO458"/>
    <mergeCell ref="AP458:AQ458"/>
    <mergeCell ref="W456:W457"/>
    <mergeCell ref="W458:W459"/>
    <mergeCell ref="AR462:AS463"/>
    <mergeCell ref="AT462:AU463"/>
    <mergeCell ref="AV462:AW463"/>
    <mergeCell ref="AX462:AY463"/>
    <mergeCell ref="AZ462:AZ463"/>
    <mergeCell ref="F463:H463"/>
    <mergeCell ref="X463:AB463"/>
    <mergeCell ref="AE463:AI463"/>
    <mergeCell ref="AJ463:AL463"/>
    <mergeCell ref="AN463:AO463"/>
    <mergeCell ref="AP463:AQ463"/>
    <mergeCell ref="A464:A465"/>
    <mergeCell ref="E464:E465"/>
    <mergeCell ref="F464:H464"/>
    <mergeCell ref="J464:J465"/>
    <mergeCell ref="K464:L465"/>
    <mergeCell ref="M464:N465"/>
    <mergeCell ref="O464:P465"/>
    <mergeCell ref="Q464:R465"/>
    <mergeCell ref="S464:T465"/>
    <mergeCell ref="U464:V465"/>
    <mergeCell ref="X464:AB464"/>
    <mergeCell ref="AD464:AI464"/>
    <mergeCell ref="AJ464:AL464"/>
    <mergeCell ref="AN464:AO464"/>
    <mergeCell ref="AP464:AQ464"/>
    <mergeCell ref="AR464:AS465"/>
    <mergeCell ref="AT464:AU465"/>
    <mergeCell ref="AV464:AW465"/>
    <mergeCell ref="AX464:AY465"/>
    <mergeCell ref="AZ464:AZ465"/>
    <mergeCell ref="F461:H461"/>
    <mergeCell ref="X461:AB461"/>
    <mergeCell ref="AE461:AI461"/>
    <mergeCell ref="AJ461:AL461"/>
    <mergeCell ref="AN461:AO461"/>
    <mergeCell ref="AP461:AQ461"/>
    <mergeCell ref="A462:A463"/>
    <mergeCell ref="E462:E463"/>
    <mergeCell ref="F462:H462"/>
    <mergeCell ref="J462:J463"/>
    <mergeCell ref="K462:L463"/>
    <mergeCell ref="M462:N463"/>
    <mergeCell ref="O462:P463"/>
    <mergeCell ref="Q462:R463"/>
    <mergeCell ref="S462:T463"/>
    <mergeCell ref="U462:V463"/>
    <mergeCell ref="X462:AB462"/>
    <mergeCell ref="AD462:AI462"/>
    <mergeCell ref="AJ462:AL462"/>
    <mergeCell ref="AN462:AO462"/>
    <mergeCell ref="AP462:AQ462"/>
    <mergeCell ref="W460:W461"/>
    <mergeCell ref="W462:W463"/>
    <mergeCell ref="AR466:AS467"/>
    <mergeCell ref="AT466:AU467"/>
    <mergeCell ref="AV466:AW467"/>
    <mergeCell ref="AX466:AY467"/>
    <mergeCell ref="AZ466:AZ467"/>
    <mergeCell ref="F467:H467"/>
    <mergeCell ref="X467:AB467"/>
    <mergeCell ref="AE467:AI467"/>
    <mergeCell ref="AJ467:AL467"/>
    <mergeCell ref="AN467:AO467"/>
    <mergeCell ref="AP467:AQ467"/>
    <mergeCell ref="A468:A469"/>
    <mergeCell ref="E468:E469"/>
    <mergeCell ref="F468:H468"/>
    <mergeCell ref="J468:J469"/>
    <mergeCell ref="K468:L469"/>
    <mergeCell ref="M468:N469"/>
    <mergeCell ref="O468:P469"/>
    <mergeCell ref="Q468:R469"/>
    <mergeCell ref="S468:T469"/>
    <mergeCell ref="U468:V469"/>
    <mergeCell ref="X468:AB468"/>
    <mergeCell ref="AD468:AI468"/>
    <mergeCell ref="AJ468:AL468"/>
    <mergeCell ref="AN468:AO468"/>
    <mergeCell ref="AP468:AQ468"/>
    <mergeCell ref="AR468:AS469"/>
    <mergeCell ref="AT468:AU469"/>
    <mergeCell ref="AV468:AW469"/>
    <mergeCell ref="AX468:AY469"/>
    <mergeCell ref="AZ468:AZ469"/>
    <mergeCell ref="F465:H465"/>
    <mergeCell ref="X465:AB465"/>
    <mergeCell ref="AE465:AI465"/>
    <mergeCell ref="AJ465:AL465"/>
    <mergeCell ref="AN465:AO465"/>
    <mergeCell ref="AP465:AQ465"/>
    <mergeCell ref="A466:A467"/>
    <mergeCell ref="E466:E467"/>
    <mergeCell ref="F466:H466"/>
    <mergeCell ref="J466:J467"/>
    <mergeCell ref="K466:L467"/>
    <mergeCell ref="M466:N467"/>
    <mergeCell ref="O466:P467"/>
    <mergeCell ref="Q466:R467"/>
    <mergeCell ref="S466:T467"/>
    <mergeCell ref="U466:V467"/>
    <mergeCell ref="X466:AB466"/>
    <mergeCell ref="AD466:AI466"/>
    <mergeCell ref="AJ466:AL466"/>
    <mergeCell ref="AN466:AO466"/>
    <mergeCell ref="AP466:AQ466"/>
    <mergeCell ref="W464:W465"/>
    <mergeCell ref="W466:W467"/>
    <mergeCell ref="AR470:AS471"/>
    <mergeCell ref="AT470:AU471"/>
    <mergeCell ref="AV470:AW471"/>
    <mergeCell ref="AX470:AY471"/>
    <mergeCell ref="AZ470:AZ471"/>
    <mergeCell ref="F471:H471"/>
    <mergeCell ref="X471:AB471"/>
    <mergeCell ref="AE471:AI471"/>
    <mergeCell ref="AJ471:AL471"/>
    <mergeCell ref="AN471:AO471"/>
    <mergeCell ref="AP471:AQ471"/>
    <mergeCell ref="A472:A473"/>
    <mergeCell ref="E472:E473"/>
    <mergeCell ref="F472:H472"/>
    <mergeCell ref="J472:J473"/>
    <mergeCell ref="K472:L473"/>
    <mergeCell ref="M472:N473"/>
    <mergeCell ref="O472:P473"/>
    <mergeCell ref="Q472:R473"/>
    <mergeCell ref="S472:T473"/>
    <mergeCell ref="U472:V473"/>
    <mergeCell ref="X472:AB472"/>
    <mergeCell ref="AD472:AI472"/>
    <mergeCell ref="AJ472:AL472"/>
    <mergeCell ref="AN472:AO472"/>
    <mergeCell ref="AP472:AQ472"/>
    <mergeCell ref="AR472:AS473"/>
    <mergeCell ref="AT472:AU473"/>
    <mergeCell ref="AV472:AW473"/>
    <mergeCell ref="AX472:AY473"/>
    <mergeCell ref="AZ472:AZ473"/>
    <mergeCell ref="F469:H469"/>
    <mergeCell ref="X469:AB469"/>
    <mergeCell ref="AE469:AI469"/>
    <mergeCell ref="AJ469:AL469"/>
    <mergeCell ref="AN469:AO469"/>
    <mergeCell ref="AP469:AQ469"/>
    <mergeCell ref="A470:A471"/>
    <mergeCell ref="E470:E471"/>
    <mergeCell ref="F470:H470"/>
    <mergeCell ref="J470:J471"/>
    <mergeCell ref="K470:L471"/>
    <mergeCell ref="M470:N471"/>
    <mergeCell ref="O470:P471"/>
    <mergeCell ref="Q470:R471"/>
    <mergeCell ref="S470:T471"/>
    <mergeCell ref="U470:V471"/>
    <mergeCell ref="X470:AB470"/>
    <mergeCell ref="AD470:AI470"/>
    <mergeCell ref="AJ470:AL470"/>
    <mergeCell ref="AN470:AO470"/>
    <mergeCell ref="AP470:AQ470"/>
    <mergeCell ref="W468:W469"/>
    <mergeCell ref="W470:W471"/>
    <mergeCell ref="AR474:AS475"/>
    <mergeCell ref="AT474:AU475"/>
    <mergeCell ref="AV474:AW475"/>
    <mergeCell ref="AX474:AY475"/>
    <mergeCell ref="AZ474:AZ475"/>
    <mergeCell ref="F475:H475"/>
    <mergeCell ref="X475:AB475"/>
    <mergeCell ref="AE475:AI475"/>
    <mergeCell ref="AJ475:AL475"/>
    <mergeCell ref="AN475:AO475"/>
    <mergeCell ref="AP475:AQ475"/>
    <mergeCell ref="A476:A477"/>
    <mergeCell ref="E476:E477"/>
    <mergeCell ref="F476:H476"/>
    <mergeCell ref="J476:J477"/>
    <mergeCell ref="K476:L477"/>
    <mergeCell ref="M476:N477"/>
    <mergeCell ref="O476:P477"/>
    <mergeCell ref="Q476:R477"/>
    <mergeCell ref="S476:T477"/>
    <mergeCell ref="U476:V477"/>
    <mergeCell ref="X476:AB476"/>
    <mergeCell ref="AD476:AI476"/>
    <mergeCell ref="AJ476:AL476"/>
    <mergeCell ref="AN476:AO476"/>
    <mergeCell ref="AP476:AQ476"/>
    <mergeCell ref="AR476:AS477"/>
    <mergeCell ref="AT476:AU477"/>
    <mergeCell ref="AV476:AW477"/>
    <mergeCell ref="AX476:AY477"/>
    <mergeCell ref="AZ476:AZ477"/>
    <mergeCell ref="F473:H473"/>
    <mergeCell ref="X473:AB473"/>
    <mergeCell ref="AE473:AI473"/>
    <mergeCell ref="AJ473:AL473"/>
    <mergeCell ref="AN473:AO473"/>
    <mergeCell ref="AP473:AQ473"/>
    <mergeCell ref="A474:A475"/>
    <mergeCell ref="E474:E475"/>
    <mergeCell ref="F474:H474"/>
    <mergeCell ref="J474:J475"/>
    <mergeCell ref="K474:L475"/>
    <mergeCell ref="M474:N475"/>
    <mergeCell ref="O474:P475"/>
    <mergeCell ref="Q474:R475"/>
    <mergeCell ref="S474:T475"/>
    <mergeCell ref="U474:V475"/>
    <mergeCell ref="X474:AB474"/>
    <mergeCell ref="AD474:AI474"/>
    <mergeCell ref="AJ474:AL474"/>
    <mergeCell ref="AN474:AO474"/>
    <mergeCell ref="AP474:AQ474"/>
    <mergeCell ref="W472:W473"/>
    <mergeCell ref="W474:W475"/>
    <mergeCell ref="AR478:AS479"/>
    <mergeCell ref="AT478:AU479"/>
    <mergeCell ref="AV478:AW479"/>
    <mergeCell ref="AX478:AY479"/>
    <mergeCell ref="AZ478:AZ479"/>
    <mergeCell ref="F479:H479"/>
    <mergeCell ref="X479:AB479"/>
    <mergeCell ref="AE479:AI479"/>
    <mergeCell ref="AJ479:AL479"/>
    <mergeCell ref="AN479:AO479"/>
    <mergeCell ref="AP479:AQ479"/>
    <mergeCell ref="A480:A481"/>
    <mergeCell ref="E480:E481"/>
    <mergeCell ref="F480:H480"/>
    <mergeCell ref="J480:J481"/>
    <mergeCell ref="K480:L481"/>
    <mergeCell ref="M480:N481"/>
    <mergeCell ref="O480:P481"/>
    <mergeCell ref="Q480:R481"/>
    <mergeCell ref="S480:T481"/>
    <mergeCell ref="U480:V481"/>
    <mergeCell ref="X480:AB480"/>
    <mergeCell ref="AD480:AI480"/>
    <mergeCell ref="AJ480:AL480"/>
    <mergeCell ref="AN480:AO480"/>
    <mergeCell ref="AP480:AQ480"/>
    <mergeCell ref="AR480:AS481"/>
    <mergeCell ref="AT480:AU481"/>
    <mergeCell ref="AV480:AW481"/>
    <mergeCell ref="AX480:AY481"/>
    <mergeCell ref="AZ480:AZ481"/>
    <mergeCell ref="F477:H477"/>
    <mergeCell ref="X477:AB477"/>
    <mergeCell ref="AE477:AI477"/>
    <mergeCell ref="AJ477:AL477"/>
    <mergeCell ref="AN477:AO477"/>
    <mergeCell ref="AP477:AQ477"/>
    <mergeCell ref="A478:A479"/>
    <mergeCell ref="E478:E479"/>
    <mergeCell ref="F478:H478"/>
    <mergeCell ref="J478:J479"/>
    <mergeCell ref="K478:L479"/>
    <mergeCell ref="M478:N479"/>
    <mergeCell ref="O478:P479"/>
    <mergeCell ref="Q478:R479"/>
    <mergeCell ref="S478:T479"/>
    <mergeCell ref="U478:V479"/>
    <mergeCell ref="X478:AB478"/>
    <mergeCell ref="AD478:AI478"/>
    <mergeCell ref="AJ478:AL478"/>
    <mergeCell ref="AN478:AO478"/>
    <mergeCell ref="AP478:AQ478"/>
    <mergeCell ref="W476:W477"/>
    <mergeCell ref="W478:W479"/>
    <mergeCell ref="AR482:AS483"/>
    <mergeCell ref="AT482:AU483"/>
    <mergeCell ref="AV482:AW483"/>
    <mergeCell ref="AX482:AY483"/>
    <mergeCell ref="AZ482:AZ483"/>
    <mergeCell ref="F483:H483"/>
    <mergeCell ref="X483:AB483"/>
    <mergeCell ref="AE483:AI483"/>
    <mergeCell ref="AJ483:AL483"/>
    <mergeCell ref="AN483:AO483"/>
    <mergeCell ref="AP483:AQ483"/>
    <mergeCell ref="A484:A485"/>
    <mergeCell ref="E484:E485"/>
    <mergeCell ref="F484:H484"/>
    <mergeCell ref="J484:J485"/>
    <mergeCell ref="K484:L485"/>
    <mergeCell ref="M484:N485"/>
    <mergeCell ref="O484:P485"/>
    <mergeCell ref="Q484:R485"/>
    <mergeCell ref="S484:T485"/>
    <mergeCell ref="U484:V485"/>
    <mergeCell ref="X484:AB484"/>
    <mergeCell ref="AD484:AI484"/>
    <mergeCell ref="AJ484:AL484"/>
    <mergeCell ref="AN484:AO484"/>
    <mergeCell ref="AP484:AQ484"/>
    <mergeCell ref="AR484:AS485"/>
    <mergeCell ref="AT484:AU485"/>
    <mergeCell ref="AV484:AW485"/>
    <mergeCell ref="AX484:AY485"/>
    <mergeCell ref="AZ484:AZ485"/>
    <mergeCell ref="F481:H481"/>
    <mergeCell ref="X481:AB481"/>
    <mergeCell ref="AE481:AI481"/>
    <mergeCell ref="AJ481:AL481"/>
    <mergeCell ref="AN481:AO481"/>
    <mergeCell ref="AP481:AQ481"/>
    <mergeCell ref="A482:A483"/>
    <mergeCell ref="E482:E483"/>
    <mergeCell ref="F482:H482"/>
    <mergeCell ref="J482:J483"/>
    <mergeCell ref="K482:L483"/>
    <mergeCell ref="M482:N483"/>
    <mergeCell ref="O482:P483"/>
    <mergeCell ref="Q482:R483"/>
    <mergeCell ref="S482:T483"/>
    <mergeCell ref="U482:V483"/>
    <mergeCell ref="X482:AB482"/>
    <mergeCell ref="AD482:AI482"/>
    <mergeCell ref="AJ482:AL482"/>
    <mergeCell ref="AN482:AO482"/>
    <mergeCell ref="AP482:AQ482"/>
    <mergeCell ref="W480:W481"/>
    <mergeCell ref="W482:W483"/>
    <mergeCell ref="AR486:AS487"/>
    <mergeCell ref="AT486:AU487"/>
    <mergeCell ref="AV486:AW487"/>
    <mergeCell ref="AX486:AY487"/>
    <mergeCell ref="AZ486:AZ487"/>
    <mergeCell ref="F487:H487"/>
    <mergeCell ref="X487:AB487"/>
    <mergeCell ref="AE487:AI487"/>
    <mergeCell ref="AJ487:AL487"/>
    <mergeCell ref="AN487:AO487"/>
    <mergeCell ref="AP487:AQ487"/>
    <mergeCell ref="A488:A489"/>
    <mergeCell ref="E488:E489"/>
    <mergeCell ref="F488:H488"/>
    <mergeCell ref="J488:J489"/>
    <mergeCell ref="K488:L489"/>
    <mergeCell ref="M488:N489"/>
    <mergeCell ref="O488:P489"/>
    <mergeCell ref="Q488:R489"/>
    <mergeCell ref="S488:T489"/>
    <mergeCell ref="U488:V489"/>
    <mergeCell ref="X488:AB488"/>
    <mergeCell ref="AD488:AI488"/>
    <mergeCell ref="AJ488:AL488"/>
    <mergeCell ref="AN488:AO488"/>
    <mergeCell ref="AP488:AQ488"/>
    <mergeCell ref="AR488:AS489"/>
    <mergeCell ref="AT488:AU489"/>
    <mergeCell ref="AV488:AW489"/>
    <mergeCell ref="AX488:AY489"/>
    <mergeCell ref="AZ488:AZ489"/>
    <mergeCell ref="F485:H485"/>
    <mergeCell ref="X485:AB485"/>
    <mergeCell ref="AE485:AI485"/>
    <mergeCell ref="AJ485:AL485"/>
    <mergeCell ref="AN485:AO485"/>
    <mergeCell ref="AP485:AQ485"/>
    <mergeCell ref="A486:A487"/>
    <mergeCell ref="E486:E487"/>
    <mergeCell ref="F486:H486"/>
    <mergeCell ref="J486:J487"/>
    <mergeCell ref="K486:L487"/>
    <mergeCell ref="M486:N487"/>
    <mergeCell ref="O486:P487"/>
    <mergeCell ref="Q486:R487"/>
    <mergeCell ref="S486:T487"/>
    <mergeCell ref="U486:V487"/>
    <mergeCell ref="X486:AB486"/>
    <mergeCell ref="AD486:AI486"/>
    <mergeCell ref="AJ486:AL486"/>
    <mergeCell ref="AN486:AO486"/>
    <mergeCell ref="AP486:AQ486"/>
    <mergeCell ref="W484:W485"/>
    <mergeCell ref="W486:W487"/>
    <mergeCell ref="AR490:AS491"/>
    <mergeCell ref="AT490:AU491"/>
    <mergeCell ref="AV490:AW491"/>
    <mergeCell ref="AX490:AY491"/>
    <mergeCell ref="AZ490:AZ491"/>
    <mergeCell ref="F491:H491"/>
    <mergeCell ref="X491:AB491"/>
    <mergeCell ref="AE491:AI491"/>
    <mergeCell ref="AJ491:AL491"/>
    <mergeCell ref="AN491:AO491"/>
    <mergeCell ref="AP491:AQ491"/>
    <mergeCell ref="A492:A493"/>
    <mergeCell ref="E492:E493"/>
    <mergeCell ref="F492:H492"/>
    <mergeCell ref="J492:J493"/>
    <mergeCell ref="K492:L493"/>
    <mergeCell ref="M492:N493"/>
    <mergeCell ref="O492:P493"/>
    <mergeCell ref="Q492:R493"/>
    <mergeCell ref="S492:T493"/>
    <mergeCell ref="U492:V493"/>
    <mergeCell ref="X492:AB492"/>
    <mergeCell ref="AD492:AI492"/>
    <mergeCell ref="AJ492:AL492"/>
    <mergeCell ref="AN492:AO492"/>
    <mergeCell ref="AP492:AQ492"/>
    <mergeCell ref="AR492:AS493"/>
    <mergeCell ref="AT492:AU493"/>
    <mergeCell ref="AV492:AW493"/>
    <mergeCell ref="AX492:AY493"/>
    <mergeCell ref="AZ492:AZ493"/>
    <mergeCell ref="F489:H489"/>
    <mergeCell ref="X489:AB489"/>
    <mergeCell ref="AE489:AI489"/>
    <mergeCell ref="AJ489:AL489"/>
    <mergeCell ref="AN489:AO489"/>
    <mergeCell ref="AP489:AQ489"/>
    <mergeCell ref="A490:A491"/>
    <mergeCell ref="E490:E491"/>
    <mergeCell ref="F490:H490"/>
    <mergeCell ref="J490:J491"/>
    <mergeCell ref="K490:L491"/>
    <mergeCell ref="M490:N491"/>
    <mergeCell ref="O490:P491"/>
    <mergeCell ref="Q490:R491"/>
    <mergeCell ref="S490:T491"/>
    <mergeCell ref="U490:V491"/>
    <mergeCell ref="X490:AB490"/>
    <mergeCell ref="AD490:AI490"/>
    <mergeCell ref="AJ490:AL490"/>
    <mergeCell ref="AN490:AO490"/>
    <mergeCell ref="AP490:AQ490"/>
    <mergeCell ref="W488:W489"/>
    <mergeCell ref="W490:W491"/>
    <mergeCell ref="AR494:AS495"/>
    <mergeCell ref="AT494:AU495"/>
    <mergeCell ref="AV494:AW495"/>
    <mergeCell ref="AX494:AY495"/>
    <mergeCell ref="AZ494:AZ495"/>
    <mergeCell ref="F495:H495"/>
    <mergeCell ref="X495:AB495"/>
    <mergeCell ref="AE495:AI495"/>
    <mergeCell ref="AJ495:AL495"/>
    <mergeCell ref="AN495:AO495"/>
    <mergeCell ref="AP495:AQ495"/>
    <mergeCell ref="A496:A497"/>
    <mergeCell ref="E496:E497"/>
    <mergeCell ref="F496:H496"/>
    <mergeCell ref="J496:J497"/>
    <mergeCell ref="K496:L497"/>
    <mergeCell ref="M496:N497"/>
    <mergeCell ref="O496:P497"/>
    <mergeCell ref="Q496:R497"/>
    <mergeCell ref="S496:T497"/>
    <mergeCell ref="U496:V497"/>
    <mergeCell ref="X496:AB496"/>
    <mergeCell ref="AD496:AI496"/>
    <mergeCell ref="AJ496:AL496"/>
    <mergeCell ref="AN496:AO496"/>
    <mergeCell ref="AP496:AQ496"/>
    <mergeCell ref="AR496:AS497"/>
    <mergeCell ref="AT496:AU497"/>
    <mergeCell ref="AV496:AW497"/>
    <mergeCell ref="AX496:AY497"/>
    <mergeCell ref="AZ496:AZ497"/>
    <mergeCell ref="F493:H493"/>
    <mergeCell ref="X493:AB493"/>
    <mergeCell ref="AE493:AI493"/>
    <mergeCell ref="AJ493:AL493"/>
    <mergeCell ref="AN493:AO493"/>
    <mergeCell ref="AP493:AQ493"/>
    <mergeCell ref="A494:A495"/>
    <mergeCell ref="E494:E495"/>
    <mergeCell ref="F494:H494"/>
    <mergeCell ref="J494:J495"/>
    <mergeCell ref="K494:L495"/>
    <mergeCell ref="M494:N495"/>
    <mergeCell ref="O494:P495"/>
    <mergeCell ref="Q494:R495"/>
    <mergeCell ref="S494:T495"/>
    <mergeCell ref="U494:V495"/>
    <mergeCell ref="X494:AB494"/>
    <mergeCell ref="AD494:AI494"/>
    <mergeCell ref="AJ494:AL494"/>
    <mergeCell ref="AN494:AO494"/>
    <mergeCell ref="AP494:AQ494"/>
    <mergeCell ref="W492:W493"/>
    <mergeCell ref="W494:W495"/>
    <mergeCell ref="AR498:AS499"/>
    <mergeCell ref="AT498:AU499"/>
    <mergeCell ref="AV498:AW499"/>
    <mergeCell ref="AX498:AY499"/>
    <mergeCell ref="AZ498:AZ499"/>
    <mergeCell ref="F499:H499"/>
    <mergeCell ref="X499:AB499"/>
    <mergeCell ref="AE499:AI499"/>
    <mergeCell ref="AJ499:AL499"/>
    <mergeCell ref="AN499:AO499"/>
    <mergeCell ref="AP499:AQ499"/>
    <mergeCell ref="A500:A501"/>
    <mergeCell ref="E500:E501"/>
    <mergeCell ref="F500:H500"/>
    <mergeCell ref="J500:J501"/>
    <mergeCell ref="K500:L501"/>
    <mergeCell ref="M500:N501"/>
    <mergeCell ref="O500:P501"/>
    <mergeCell ref="Q500:R501"/>
    <mergeCell ref="S500:T501"/>
    <mergeCell ref="U500:V501"/>
    <mergeCell ref="X500:AB500"/>
    <mergeCell ref="AD500:AI500"/>
    <mergeCell ref="AJ500:AL500"/>
    <mergeCell ref="AN500:AO500"/>
    <mergeCell ref="AP500:AQ500"/>
    <mergeCell ref="AR500:AS501"/>
    <mergeCell ref="AT500:AU501"/>
    <mergeCell ref="AV500:AW501"/>
    <mergeCell ref="AX500:AY501"/>
    <mergeCell ref="AZ500:AZ501"/>
    <mergeCell ref="F497:H497"/>
    <mergeCell ref="X497:AB497"/>
    <mergeCell ref="AE497:AI497"/>
    <mergeCell ref="AJ497:AL497"/>
    <mergeCell ref="AN497:AO497"/>
    <mergeCell ref="AP497:AQ497"/>
    <mergeCell ref="A498:A499"/>
    <mergeCell ref="E498:E499"/>
    <mergeCell ref="F498:H498"/>
    <mergeCell ref="J498:J499"/>
    <mergeCell ref="K498:L499"/>
    <mergeCell ref="M498:N499"/>
    <mergeCell ref="O498:P499"/>
    <mergeCell ref="Q498:R499"/>
    <mergeCell ref="S498:T499"/>
    <mergeCell ref="U498:V499"/>
    <mergeCell ref="X498:AB498"/>
    <mergeCell ref="AD498:AI498"/>
    <mergeCell ref="AJ498:AL498"/>
    <mergeCell ref="AN498:AO498"/>
    <mergeCell ref="AP498:AQ498"/>
    <mergeCell ref="W496:W497"/>
    <mergeCell ref="W498:W499"/>
    <mergeCell ref="AR502:AS503"/>
    <mergeCell ref="AT502:AU503"/>
    <mergeCell ref="AV502:AW503"/>
    <mergeCell ref="AX502:AY503"/>
    <mergeCell ref="AZ502:AZ503"/>
    <mergeCell ref="F503:H503"/>
    <mergeCell ref="X503:AB503"/>
    <mergeCell ref="AE503:AI503"/>
    <mergeCell ref="AJ503:AL503"/>
    <mergeCell ref="AN503:AO503"/>
    <mergeCell ref="AP503:AQ503"/>
    <mergeCell ref="A504:A505"/>
    <mergeCell ref="E504:E505"/>
    <mergeCell ref="F504:H504"/>
    <mergeCell ref="J504:J505"/>
    <mergeCell ref="K504:L505"/>
    <mergeCell ref="M504:N505"/>
    <mergeCell ref="O504:P505"/>
    <mergeCell ref="Q504:R505"/>
    <mergeCell ref="S504:T505"/>
    <mergeCell ref="U504:V505"/>
    <mergeCell ref="X504:AB504"/>
    <mergeCell ref="AD504:AI504"/>
    <mergeCell ref="AJ504:AL504"/>
    <mergeCell ref="AN504:AO504"/>
    <mergeCell ref="AP504:AQ504"/>
    <mergeCell ref="AR504:AS505"/>
    <mergeCell ref="AT504:AU505"/>
    <mergeCell ref="AV504:AW505"/>
    <mergeCell ref="AX504:AY505"/>
    <mergeCell ref="AZ504:AZ505"/>
    <mergeCell ref="F501:H501"/>
    <mergeCell ref="X501:AB501"/>
    <mergeCell ref="AE501:AI501"/>
    <mergeCell ref="AJ501:AL501"/>
    <mergeCell ref="AN501:AO501"/>
    <mergeCell ref="AP501:AQ501"/>
    <mergeCell ref="A502:A503"/>
    <mergeCell ref="E502:E503"/>
    <mergeCell ref="F502:H502"/>
    <mergeCell ref="J502:J503"/>
    <mergeCell ref="K502:L503"/>
    <mergeCell ref="M502:N503"/>
    <mergeCell ref="O502:P503"/>
    <mergeCell ref="Q502:R503"/>
    <mergeCell ref="S502:T503"/>
    <mergeCell ref="U502:V503"/>
    <mergeCell ref="X502:AB502"/>
    <mergeCell ref="AD502:AI502"/>
    <mergeCell ref="AJ502:AL502"/>
    <mergeCell ref="AN502:AO502"/>
    <mergeCell ref="AP502:AQ502"/>
    <mergeCell ref="W500:W501"/>
    <mergeCell ref="W502:W503"/>
    <mergeCell ref="AR506:AS507"/>
    <mergeCell ref="AT506:AU507"/>
    <mergeCell ref="AV506:AW507"/>
    <mergeCell ref="AX506:AY507"/>
    <mergeCell ref="AZ506:AZ507"/>
    <mergeCell ref="F507:H507"/>
    <mergeCell ref="X507:AB507"/>
    <mergeCell ref="AE507:AI507"/>
    <mergeCell ref="AJ507:AL507"/>
    <mergeCell ref="AN507:AO507"/>
    <mergeCell ref="AP507:AQ507"/>
    <mergeCell ref="A508:A509"/>
    <mergeCell ref="E508:E509"/>
    <mergeCell ref="F508:H508"/>
    <mergeCell ref="J508:J509"/>
    <mergeCell ref="K508:L509"/>
    <mergeCell ref="M508:N509"/>
    <mergeCell ref="O508:P509"/>
    <mergeCell ref="Q508:R509"/>
    <mergeCell ref="S508:T509"/>
    <mergeCell ref="U508:V509"/>
    <mergeCell ref="X508:AB508"/>
    <mergeCell ref="AD508:AI508"/>
    <mergeCell ref="AJ508:AL508"/>
    <mergeCell ref="AN508:AO508"/>
    <mergeCell ref="AP508:AQ508"/>
    <mergeCell ref="AR508:AS509"/>
    <mergeCell ref="AT508:AU509"/>
    <mergeCell ref="AV508:AW509"/>
    <mergeCell ref="AX508:AY509"/>
    <mergeCell ref="AZ508:AZ509"/>
    <mergeCell ref="F505:H505"/>
    <mergeCell ref="X505:AB505"/>
    <mergeCell ref="AE505:AI505"/>
    <mergeCell ref="AJ505:AL505"/>
    <mergeCell ref="AN505:AO505"/>
    <mergeCell ref="AP505:AQ505"/>
    <mergeCell ref="A506:A507"/>
    <mergeCell ref="E506:E507"/>
    <mergeCell ref="F506:H506"/>
    <mergeCell ref="J506:J507"/>
    <mergeCell ref="K506:L507"/>
    <mergeCell ref="M506:N507"/>
    <mergeCell ref="O506:P507"/>
    <mergeCell ref="Q506:R507"/>
    <mergeCell ref="S506:T507"/>
    <mergeCell ref="U506:V507"/>
    <mergeCell ref="X506:AB506"/>
    <mergeCell ref="AD506:AI506"/>
    <mergeCell ref="AJ506:AL506"/>
    <mergeCell ref="AN506:AO506"/>
    <mergeCell ref="AP506:AQ506"/>
    <mergeCell ref="W504:W505"/>
    <mergeCell ref="W506:W507"/>
    <mergeCell ref="AR510:AS511"/>
    <mergeCell ref="AT510:AU511"/>
    <mergeCell ref="AV510:AW511"/>
    <mergeCell ref="AX510:AY511"/>
    <mergeCell ref="AZ510:AZ511"/>
    <mergeCell ref="F511:H511"/>
    <mergeCell ref="X511:AB511"/>
    <mergeCell ref="AE511:AI511"/>
    <mergeCell ref="AJ511:AL511"/>
    <mergeCell ref="AN511:AO511"/>
    <mergeCell ref="AP511:AQ511"/>
    <mergeCell ref="A512:A513"/>
    <mergeCell ref="E512:E513"/>
    <mergeCell ref="F512:H512"/>
    <mergeCell ref="J512:J513"/>
    <mergeCell ref="K512:L513"/>
    <mergeCell ref="M512:N513"/>
    <mergeCell ref="O512:P513"/>
    <mergeCell ref="Q512:R513"/>
    <mergeCell ref="S512:T513"/>
    <mergeCell ref="U512:V513"/>
    <mergeCell ref="X512:AB512"/>
    <mergeCell ref="AD512:AI512"/>
    <mergeCell ref="AJ512:AL512"/>
    <mergeCell ref="AN512:AO512"/>
    <mergeCell ref="AP512:AQ512"/>
    <mergeCell ref="AR512:AS513"/>
    <mergeCell ref="AT512:AU513"/>
    <mergeCell ref="AV512:AW513"/>
    <mergeCell ref="AX512:AY513"/>
    <mergeCell ref="AZ512:AZ513"/>
    <mergeCell ref="F509:H509"/>
    <mergeCell ref="X509:AB509"/>
    <mergeCell ref="AE509:AI509"/>
    <mergeCell ref="AJ509:AL509"/>
    <mergeCell ref="AN509:AO509"/>
    <mergeCell ref="AP509:AQ509"/>
    <mergeCell ref="A510:A511"/>
    <mergeCell ref="E510:E511"/>
    <mergeCell ref="F510:H510"/>
    <mergeCell ref="J510:J511"/>
    <mergeCell ref="K510:L511"/>
    <mergeCell ref="M510:N511"/>
    <mergeCell ref="O510:P511"/>
    <mergeCell ref="Q510:R511"/>
    <mergeCell ref="S510:T511"/>
    <mergeCell ref="U510:V511"/>
    <mergeCell ref="X510:AB510"/>
    <mergeCell ref="AD510:AI510"/>
    <mergeCell ref="AJ510:AL510"/>
    <mergeCell ref="AN510:AO510"/>
    <mergeCell ref="AP510:AQ510"/>
    <mergeCell ref="W508:W509"/>
    <mergeCell ref="W510:W511"/>
    <mergeCell ref="AR514:AS515"/>
    <mergeCell ref="AT514:AU515"/>
    <mergeCell ref="AV514:AW515"/>
    <mergeCell ref="AX514:AY515"/>
    <mergeCell ref="AZ514:AZ515"/>
    <mergeCell ref="F515:H515"/>
    <mergeCell ref="X515:AB515"/>
    <mergeCell ref="AE515:AI515"/>
    <mergeCell ref="AJ515:AL515"/>
    <mergeCell ref="AN515:AO515"/>
    <mergeCell ref="AP515:AQ515"/>
    <mergeCell ref="A516:A517"/>
    <mergeCell ref="E516:E517"/>
    <mergeCell ref="F516:H516"/>
    <mergeCell ref="J516:J517"/>
    <mergeCell ref="K516:L517"/>
    <mergeCell ref="M516:N517"/>
    <mergeCell ref="O516:P517"/>
    <mergeCell ref="Q516:R517"/>
    <mergeCell ref="S516:T517"/>
    <mergeCell ref="U516:V517"/>
    <mergeCell ref="X516:AB516"/>
    <mergeCell ref="AD516:AI516"/>
    <mergeCell ref="AJ516:AL516"/>
    <mergeCell ref="AN516:AO516"/>
    <mergeCell ref="AP516:AQ516"/>
    <mergeCell ref="AR516:AS517"/>
    <mergeCell ref="AT516:AU517"/>
    <mergeCell ref="AV516:AW517"/>
    <mergeCell ref="AX516:AY517"/>
    <mergeCell ref="AZ516:AZ517"/>
    <mergeCell ref="F513:H513"/>
    <mergeCell ref="X513:AB513"/>
    <mergeCell ref="AE513:AI513"/>
    <mergeCell ref="AJ513:AL513"/>
    <mergeCell ref="AN513:AO513"/>
    <mergeCell ref="AP513:AQ513"/>
    <mergeCell ref="A514:A515"/>
    <mergeCell ref="E514:E515"/>
    <mergeCell ref="F514:H514"/>
    <mergeCell ref="J514:J515"/>
    <mergeCell ref="K514:L515"/>
    <mergeCell ref="M514:N515"/>
    <mergeCell ref="O514:P515"/>
    <mergeCell ref="Q514:R515"/>
    <mergeCell ref="S514:T515"/>
    <mergeCell ref="U514:V515"/>
    <mergeCell ref="X514:AB514"/>
    <mergeCell ref="AD514:AI514"/>
    <mergeCell ref="AJ514:AL514"/>
    <mergeCell ref="AN514:AO514"/>
    <mergeCell ref="AP514:AQ514"/>
    <mergeCell ref="W512:W513"/>
    <mergeCell ref="W514:W515"/>
    <mergeCell ref="AR518:AS519"/>
    <mergeCell ref="AT518:AU519"/>
    <mergeCell ref="AV518:AW519"/>
    <mergeCell ref="AX518:AY519"/>
    <mergeCell ref="AZ518:AZ519"/>
    <mergeCell ref="F519:H519"/>
    <mergeCell ref="X519:AB519"/>
    <mergeCell ref="AE519:AI519"/>
    <mergeCell ref="AJ519:AL519"/>
    <mergeCell ref="AN519:AO519"/>
    <mergeCell ref="AP519:AQ519"/>
    <mergeCell ref="A520:A521"/>
    <mergeCell ref="E520:E521"/>
    <mergeCell ref="F520:H520"/>
    <mergeCell ref="J520:J521"/>
    <mergeCell ref="K520:L521"/>
    <mergeCell ref="M520:N521"/>
    <mergeCell ref="O520:P521"/>
    <mergeCell ref="Q520:R521"/>
    <mergeCell ref="S520:T521"/>
    <mergeCell ref="U520:V521"/>
    <mergeCell ref="X520:AB520"/>
    <mergeCell ref="AD520:AI520"/>
    <mergeCell ref="AJ520:AL520"/>
    <mergeCell ref="AN520:AO520"/>
    <mergeCell ref="AP520:AQ520"/>
    <mergeCell ref="AR520:AS521"/>
    <mergeCell ref="AT520:AU521"/>
    <mergeCell ref="AV520:AW521"/>
    <mergeCell ref="AX520:AY521"/>
    <mergeCell ref="AZ520:AZ521"/>
    <mergeCell ref="F517:H517"/>
    <mergeCell ref="X517:AB517"/>
    <mergeCell ref="AE517:AI517"/>
    <mergeCell ref="AJ517:AL517"/>
    <mergeCell ref="AN517:AO517"/>
    <mergeCell ref="AP517:AQ517"/>
    <mergeCell ref="A518:A519"/>
    <mergeCell ref="E518:E519"/>
    <mergeCell ref="F518:H518"/>
    <mergeCell ref="J518:J519"/>
    <mergeCell ref="K518:L519"/>
    <mergeCell ref="M518:N519"/>
    <mergeCell ref="O518:P519"/>
    <mergeCell ref="Q518:R519"/>
    <mergeCell ref="S518:T519"/>
    <mergeCell ref="U518:V519"/>
    <mergeCell ref="X518:AB518"/>
    <mergeCell ref="AD518:AI518"/>
    <mergeCell ref="AJ518:AL518"/>
    <mergeCell ref="AN518:AO518"/>
    <mergeCell ref="AP518:AQ518"/>
    <mergeCell ref="W516:W517"/>
    <mergeCell ref="W518:W519"/>
    <mergeCell ref="AR522:AS523"/>
    <mergeCell ref="AT522:AU523"/>
    <mergeCell ref="AV522:AW523"/>
    <mergeCell ref="AX522:AY523"/>
    <mergeCell ref="AZ522:AZ523"/>
    <mergeCell ref="F523:H523"/>
    <mergeCell ref="X523:AB523"/>
    <mergeCell ref="AE523:AI523"/>
    <mergeCell ref="AJ523:AL523"/>
    <mergeCell ref="AN523:AO523"/>
    <mergeCell ref="AP523:AQ523"/>
    <mergeCell ref="A524:A525"/>
    <mergeCell ref="E524:E525"/>
    <mergeCell ref="F524:H524"/>
    <mergeCell ref="J524:J525"/>
    <mergeCell ref="K524:L525"/>
    <mergeCell ref="M524:N525"/>
    <mergeCell ref="O524:P525"/>
    <mergeCell ref="Q524:R525"/>
    <mergeCell ref="S524:T525"/>
    <mergeCell ref="U524:V525"/>
    <mergeCell ref="X524:AB524"/>
    <mergeCell ref="AD524:AI524"/>
    <mergeCell ref="AJ524:AL524"/>
    <mergeCell ref="AN524:AO524"/>
    <mergeCell ref="AP524:AQ524"/>
    <mergeCell ref="AR524:AS525"/>
    <mergeCell ref="AT524:AU525"/>
    <mergeCell ref="AV524:AW525"/>
    <mergeCell ref="AX524:AY525"/>
    <mergeCell ref="AZ524:AZ525"/>
    <mergeCell ref="F521:H521"/>
    <mergeCell ref="X521:AB521"/>
    <mergeCell ref="AE521:AI521"/>
    <mergeCell ref="AJ521:AL521"/>
    <mergeCell ref="AN521:AO521"/>
    <mergeCell ref="AP521:AQ521"/>
    <mergeCell ref="A522:A523"/>
    <mergeCell ref="E522:E523"/>
    <mergeCell ref="F522:H522"/>
    <mergeCell ref="J522:J523"/>
    <mergeCell ref="K522:L523"/>
    <mergeCell ref="M522:N523"/>
    <mergeCell ref="O522:P523"/>
    <mergeCell ref="Q522:R523"/>
    <mergeCell ref="S522:T523"/>
    <mergeCell ref="U522:V523"/>
    <mergeCell ref="X522:AB522"/>
    <mergeCell ref="AD522:AI522"/>
    <mergeCell ref="AJ522:AL522"/>
    <mergeCell ref="AN522:AO522"/>
    <mergeCell ref="AP522:AQ522"/>
    <mergeCell ref="W520:W521"/>
    <mergeCell ref="W522:W523"/>
    <mergeCell ref="AR526:AS527"/>
    <mergeCell ref="AT526:AU527"/>
    <mergeCell ref="AV526:AW527"/>
    <mergeCell ref="AX526:AY527"/>
    <mergeCell ref="AZ526:AZ527"/>
    <mergeCell ref="F527:H527"/>
    <mergeCell ref="X527:AB527"/>
    <mergeCell ref="AE527:AI527"/>
    <mergeCell ref="AJ527:AL527"/>
    <mergeCell ref="AN527:AO527"/>
    <mergeCell ref="AP527:AQ527"/>
    <mergeCell ref="A528:A529"/>
    <mergeCell ref="E528:E529"/>
    <mergeCell ref="F528:H528"/>
    <mergeCell ref="J528:J529"/>
    <mergeCell ref="K528:L529"/>
    <mergeCell ref="M528:N529"/>
    <mergeCell ref="O528:P529"/>
    <mergeCell ref="Q528:R529"/>
    <mergeCell ref="S528:T529"/>
    <mergeCell ref="U528:V529"/>
    <mergeCell ref="X528:AB528"/>
    <mergeCell ref="AD528:AI528"/>
    <mergeCell ref="AJ528:AL528"/>
    <mergeCell ref="AN528:AO528"/>
    <mergeCell ref="AP528:AQ528"/>
    <mergeCell ref="AR528:AS529"/>
    <mergeCell ref="AT528:AU529"/>
    <mergeCell ref="AV528:AW529"/>
    <mergeCell ref="AX528:AY529"/>
    <mergeCell ref="AZ528:AZ529"/>
    <mergeCell ref="F525:H525"/>
    <mergeCell ref="X525:AB525"/>
    <mergeCell ref="AE525:AI525"/>
    <mergeCell ref="AJ525:AL525"/>
    <mergeCell ref="AN525:AO525"/>
    <mergeCell ref="AP525:AQ525"/>
    <mergeCell ref="A526:A527"/>
    <mergeCell ref="E526:E527"/>
    <mergeCell ref="F526:H526"/>
    <mergeCell ref="J526:J527"/>
    <mergeCell ref="K526:L527"/>
    <mergeCell ref="M526:N527"/>
    <mergeCell ref="O526:P527"/>
    <mergeCell ref="Q526:R527"/>
    <mergeCell ref="S526:T527"/>
    <mergeCell ref="U526:V527"/>
    <mergeCell ref="X526:AB526"/>
    <mergeCell ref="AD526:AI526"/>
    <mergeCell ref="AJ526:AL526"/>
    <mergeCell ref="AN526:AO526"/>
    <mergeCell ref="AP526:AQ526"/>
    <mergeCell ref="W524:W525"/>
    <mergeCell ref="W526:W527"/>
    <mergeCell ref="AR530:AS531"/>
    <mergeCell ref="AT530:AU531"/>
    <mergeCell ref="AV530:AW531"/>
    <mergeCell ref="AX530:AY531"/>
    <mergeCell ref="AZ530:AZ531"/>
    <mergeCell ref="F531:H531"/>
    <mergeCell ref="X531:AB531"/>
    <mergeCell ref="AE531:AI531"/>
    <mergeCell ref="AJ531:AL531"/>
    <mergeCell ref="AN531:AO531"/>
    <mergeCell ref="AP531:AQ531"/>
    <mergeCell ref="A532:A533"/>
    <mergeCell ref="E532:E533"/>
    <mergeCell ref="F532:H532"/>
    <mergeCell ref="J532:J533"/>
    <mergeCell ref="K532:L533"/>
    <mergeCell ref="M532:N533"/>
    <mergeCell ref="O532:P533"/>
    <mergeCell ref="Q532:R533"/>
    <mergeCell ref="S532:T533"/>
    <mergeCell ref="U532:V533"/>
    <mergeCell ref="X532:AB532"/>
    <mergeCell ref="AD532:AI532"/>
    <mergeCell ref="AJ532:AL532"/>
    <mergeCell ref="AN532:AO532"/>
    <mergeCell ref="AP532:AQ532"/>
    <mergeCell ref="AR532:AS533"/>
    <mergeCell ref="AT532:AU533"/>
    <mergeCell ref="AV532:AW533"/>
    <mergeCell ref="AX532:AY533"/>
    <mergeCell ref="AZ532:AZ533"/>
    <mergeCell ref="F529:H529"/>
    <mergeCell ref="X529:AB529"/>
    <mergeCell ref="AE529:AI529"/>
    <mergeCell ref="AJ529:AL529"/>
    <mergeCell ref="AN529:AO529"/>
    <mergeCell ref="AP529:AQ529"/>
    <mergeCell ref="A530:A531"/>
    <mergeCell ref="E530:E531"/>
    <mergeCell ref="F530:H530"/>
    <mergeCell ref="J530:J531"/>
    <mergeCell ref="K530:L531"/>
    <mergeCell ref="M530:N531"/>
    <mergeCell ref="O530:P531"/>
    <mergeCell ref="Q530:R531"/>
    <mergeCell ref="S530:T531"/>
    <mergeCell ref="U530:V531"/>
    <mergeCell ref="X530:AB530"/>
    <mergeCell ref="AD530:AI530"/>
    <mergeCell ref="AJ530:AL530"/>
    <mergeCell ref="AN530:AO530"/>
    <mergeCell ref="AP530:AQ530"/>
    <mergeCell ref="W528:W529"/>
    <mergeCell ref="W530:W531"/>
    <mergeCell ref="AR534:AS535"/>
    <mergeCell ref="AT534:AU535"/>
    <mergeCell ref="AV534:AW535"/>
    <mergeCell ref="AX534:AY535"/>
    <mergeCell ref="AZ534:AZ535"/>
    <mergeCell ref="F535:H535"/>
    <mergeCell ref="X535:AB535"/>
    <mergeCell ref="AE535:AI535"/>
    <mergeCell ref="AJ535:AL535"/>
    <mergeCell ref="AN535:AO535"/>
    <mergeCell ref="AP535:AQ535"/>
    <mergeCell ref="A536:A537"/>
    <mergeCell ref="E536:E537"/>
    <mergeCell ref="F536:H536"/>
    <mergeCell ref="J536:J537"/>
    <mergeCell ref="K536:L537"/>
    <mergeCell ref="M536:N537"/>
    <mergeCell ref="O536:P537"/>
    <mergeCell ref="Q536:R537"/>
    <mergeCell ref="S536:T537"/>
    <mergeCell ref="U536:V537"/>
    <mergeCell ref="X536:AB536"/>
    <mergeCell ref="AD536:AI536"/>
    <mergeCell ref="AJ536:AL536"/>
    <mergeCell ref="AN536:AO536"/>
    <mergeCell ref="AP536:AQ536"/>
    <mergeCell ref="AR536:AS537"/>
    <mergeCell ref="AT536:AU537"/>
    <mergeCell ref="AV536:AW537"/>
    <mergeCell ref="AX536:AY537"/>
    <mergeCell ref="AZ536:AZ537"/>
    <mergeCell ref="F533:H533"/>
    <mergeCell ref="X533:AB533"/>
    <mergeCell ref="AE533:AI533"/>
    <mergeCell ref="AJ533:AL533"/>
    <mergeCell ref="AN533:AO533"/>
    <mergeCell ref="AP533:AQ533"/>
    <mergeCell ref="A534:A535"/>
    <mergeCell ref="E534:E535"/>
    <mergeCell ref="F534:H534"/>
    <mergeCell ref="J534:J535"/>
    <mergeCell ref="K534:L535"/>
    <mergeCell ref="M534:N535"/>
    <mergeCell ref="O534:P535"/>
    <mergeCell ref="Q534:R535"/>
    <mergeCell ref="S534:T535"/>
    <mergeCell ref="U534:V535"/>
    <mergeCell ref="X534:AB534"/>
    <mergeCell ref="AD534:AI534"/>
    <mergeCell ref="AJ534:AL534"/>
    <mergeCell ref="AN534:AO534"/>
    <mergeCell ref="AP534:AQ534"/>
    <mergeCell ref="W532:W533"/>
    <mergeCell ref="W534:W535"/>
    <mergeCell ref="AR538:AS539"/>
    <mergeCell ref="AT538:AU539"/>
    <mergeCell ref="AV538:AW539"/>
    <mergeCell ref="AX538:AY539"/>
    <mergeCell ref="AZ538:AZ539"/>
    <mergeCell ref="F539:H539"/>
    <mergeCell ref="X539:AB539"/>
    <mergeCell ref="AE539:AI539"/>
    <mergeCell ref="AJ539:AL539"/>
    <mergeCell ref="AN539:AO539"/>
    <mergeCell ref="AP539:AQ539"/>
    <mergeCell ref="A540:A541"/>
    <mergeCell ref="E540:E541"/>
    <mergeCell ref="F540:H540"/>
    <mergeCell ref="J540:J541"/>
    <mergeCell ref="K540:L541"/>
    <mergeCell ref="M540:N541"/>
    <mergeCell ref="O540:P541"/>
    <mergeCell ref="Q540:R541"/>
    <mergeCell ref="S540:T541"/>
    <mergeCell ref="U540:V541"/>
    <mergeCell ref="X540:AB540"/>
    <mergeCell ref="AD540:AI540"/>
    <mergeCell ref="AJ540:AL540"/>
    <mergeCell ref="AN540:AO540"/>
    <mergeCell ref="AP540:AQ540"/>
    <mergeCell ref="AR540:AS541"/>
    <mergeCell ref="AT540:AU541"/>
    <mergeCell ref="AV540:AW541"/>
    <mergeCell ref="AX540:AY541"/>
    <mergeCell ref="AZ540:AZ541"/>
    <mergeCell ref="F537:H537"/>
    <mergeCell ref="X537:AB537"/>
    <mergeCell ref="AE537:AI537"/>
    <mergeCell ref="AJ537:AL537"/>
    <mergeCell ref="AN537:AO537"/>
    <mergeCell ref="AP537:AQ537"/>
    <mergeCell ref="A538:A539"/>
    <mergeCell ref="E538:E539"/>
    <mergeCell ref="F538:H538"/>
    <mergeCell ref="J538:J539"/>
    <mergeCell ref="K538:L539"/>
    <mergeCell ref="M538:N539"/>
    <mergeCell ref="O538:P539"/>
    <mergeCell ref="Q538:R539"/>
    <mergeCell ref="S538:T539"/>
    <mergeCell ref="U538:V539"/>
    <mergeCell ref="X538:AB538"/>
    <mergeCell ref="AD538:AI538"/>
    <mergeCell ref="AJ538:AL538"/>
    <mergeCell ref="AN538:AO538"/>
    <mergeCell ref="AP538:AQ538"/>
    <mergeCell ref="W536:W537"/>
    <mergeCell ref="W538:W539"/>
    <mergeCell ref="AR542:AS543"/>
    <mergeCell ref="AT542:AU543"/>
    <mergeCell ref="AV542:AW543"/>
    <mergeCell ref="AX542:AY543"/>
    <mergeCell ref="AZ542:AZ543"/>
    <mergeCell ref="F543:H543"/>
    <mergeCell ref="X543:AB543"/>
    <mergeCell ref="AE543:AI543"/>
    <mergeCell ref="AJ543:AL543"/>
    <mergeCell ref="AN543:AO543"/>
    <mergeCell ref="AP543:AQ543"/>
    <mergeCell ref="A544:A545"/>
    <mergeCell ref="E544:E545"/>
    <mergeCell ref="F544:H544"/>
    <mergeCell ref="J544:J545"/>
    <mergeCell ref="K544:L545"/>
    <mergeCell ref="M544:N545"/>
    <mergeCell ref="O544:P545"/>
    <mergeCell ref="Q544:R545"/>
    <mergeCell ref="S544:T545"/>
    <mergeCell ref="U544:V545"/>
    <mergeCell ref="X544:AB544"/>
    <mergeCell ref="AD544:AI544"/>
    <mergeCell ref="AJ544:AL544"/>
    <mergeCell ref="AN544:AO544"/>
    <mergeCell ref="AP544:AQ544"/>
    <mergeCell ref="AR544:AS545"/>
    <mergeCell ref="AT544:AU545"/>
    <mergeCell ref="AV544:AW545"/>
    <mergeCell ref="AX544:AY545"/>
    <mergeCell ref="AZ544:AZ545"/>
    <mergeCell ref="F541:H541"/>
    <mergeCell ref="X541:AB541"/>
    <mergeCell ref="AE541:AI541"/>
    <mergeCell ref="AJ541:AL541"/>
    <mergeCell ref="AN541:AO541"/>
    <mergeCell ref="AP541:AQ541"/>
    <mergeCell ref="A542:A543"/>
    <mergeCell ref="E542:E543"/>
    <mergeCell ref="F542:H542"/>
    <mergeCell ref="J542:J543"/>
    <mergeCell ref="K542:L543"/>
    <mergeCell ref="M542:N543"/>
    <mergeCell ref="O542:P543"/>
    <mergeCell ref="Q542:R543"/>
    <mergeCell ref="S542:T543"/>
    <mergeCell ref="U542:V543"/>
    <mergeCell ref="X542:AB542"/>
    <mergeCell ref="AD542:AI542"/>
    <mergeCell ref="AJ542:AL542"/>
    <mergeCell ref="AN542:AO542"/>
    <mergeCell ref="AP542:AQ542"/>
    <mergeCell ref="W540:W541"/>
    <mergeCell ref="W542:W543"/>
    <mergeCell ref="AR546:AS547"/>
    <mergeCell ref="AT546:AU547"/>
    <mergeCell ref="AV546:AW547"/>
    <mergeCell ref="AX546:AY547"/>
    <mergeCell ref="AZ546:AZ547"/>
    <mergeCell ref="F547:H547"/>
    <mergeCell ref="X547:AB547"/>
    <mergeCell ref="AE547:AI547"/>
    <mergeCell ref="AJ547:AL547"/>
    <mergeCell ref="AN547:AO547"/>
    <mergeCell ref="AP547:AQ547"/>
    <mergeCell ref="A548:A549"/>
    <mergeCell ref="E548:E549"/>
    <mergeCell ref="F548:H548"/>
    <mergeCell ref="J548:J549"/>
    <mergeCell ref="K548:L549"/>
    <mergeCell ref="M548:N549"/>
    <mergeCell ref="O548:P549"/>
    <mergeCell ref="Q548:R549"/>
    <mergeCell ref="S548:T549"/>
    <mergeCell ref="U548:V549"/>
    <mergeCell ref="X548:AB548"/>
    <mergeCell ref="AD548:AI548"/>
    <mergeCell ref="AJ548:AL548"/>
    <mergeCell ref="AN548:AO548"/>
    <mergeCell ref="AP548:AQ548"/>
    <mergeCell ref="AR548:AS549"/>
    <mergeCell ref="AT548:AU549"/>
    <mergeCell ref="AV548:AW549"/>
    <mergeCell ref="AX548:AY549"/>
    <mergeCell ref="AZ548:AZ549"/>
    <mergeCell ref="F545:H545"/>
    <mergeCell ref="X545:AB545"/>
    <mergeCell ref="AE545:AI545"/>
    <mergeCell ref="AJ545:AL545"/>
    <mergeCell ref="AN545:AO545"/>
    <mergeCell ref="AP545:AQ545"/>
    <mergeCell ref="A546:A547"/>
    <mergeCell ref="E546:E547"/>
    <mergeCell ref="F546:H546"/>
    <mergeCell ref="J546:J547"/>
    <mergeCell ref="K546:L547"/>
    <mergeCell ref="M546:N547"/>
    <mergeCell ref="O546:P547"/>
    <mergeCell ref="Q546:R547"/>
    <mergeCell ref="S546:T547"/>
    <mergeCell ref="U546:V547"/>
    <mergeCell ref="X546:AB546"/>
    <mergeCell ref="AD546:AI546"/>
    <mergeCell ref="AJ546:AL546"/>
    <mergeCell ref="AN546:AO546"/>
    <mergeCell ref="AP546:AQ546"/>
    <mergeCell ref="W544:W545"/>
    <mergeCell ref="W546:W547"/>
    <mergeCell ref="AR550:AS551"/>
    <mergeCell ref="AT550:AU551"/>
    <mergeCell ref="AV550:AW551"/>
    <mergeCell ref="AX550:AY551"/>
    <mergeCell ref="AZ550:AZ551"/>
    <mergeCell ref="F551:H551"/>
    <mergeCell ref="X551:AB551"/>
    <mergeCell ref="AE551:AI551"/>
    <mergeCell ref="AJ551:AL551"/>
    <mergeCell ref="AN551:AO551"/>
    <mergeCell ref="AP551:AQ551"/>
    <mergeCell ref="A552:A553"/>
    <mergeCell ref="E552:E553"/>
    <mergeCell ref="F552:H552"/>
    <mergeCell ref="J552:J553"/>
    <mergeCell ref="K552:L553"/>
    <mergeCell ref="M552:N553"/>
    <mergeCell ref="O552:P553"/>
    <mergeCell ref="Q552:R553"/>
    <mergeCell ref="S552:T553"/>
    <mergeCell ref="U552:V553"/>
    <mergeCell ref="X552:AB552"/>
    <mergeCell ref="AD552:AI552"/>
    <mergeCell ref="AJ552:AL552"/>
    <mergeCell ref="AN552:AO552"/>
    <mergeCell ref="AP552:AQ552"/>
    <mergeCell ref="AR552:AS553"/>
    <mergeCell ref="AT552:AU553"/>
    <mergeCell ref="AV552:AW553"/>
    <mergeCell ref="AX552:AY553"/>
    <mergeCell ref="AZ552:AZ553"/>
    <mergeCell ref="F549:H549"/>
    <mergeCell ref="X549:AB549"/>
    <mergeCell ref="AE549:AI549"/>
    <mergeCell ref="AJ549:AL549"/>
    <mergeCell ref="AN549:AO549"/>
    <mergeCell ref="AP549:AQ549"/>
    <mergeCell ref="A550:A551"/>
    <mergeCell ref="E550:E551"/>
    <mergeCell ref="F550:H550"/>
    <mergeCell ref="J550:J551"/>
    <mergeCell ref="K550:L551"/>
    <mergeCell ref="M550:N551"/>
    <mergeCell ref="O550:P551"/>
    <mergeCell ref="Q550:R551"/>
    <mergeCell ref="S550:T551"/>
    <mergeCell ref="U550:V551"/>
    <mergeCell ref="X550:AB550"/>
    <mergeCell ref="AD550:AI550"/>
    <mergeCell ref="AJ550:AL550"/>
    <mergeCell ref="AN550:AO550"/>
    <mergeCell ref="AP550:AQ550"/>
    <mergeCell ref="W548:W549"/>
    <mergeCell ref="W550:W551"/>
    <mergeCell ref="AR554:AS555"/>
    <mergeCell ref="AT554:AU555"/>
    <mergeCell ref="AV554:AW555"/>
    <mergeCell ref="AX554:AY555"/>
    <mergeCell ref="AZ554:AZ555"/>
    <mergeCell ref="F555:H555"/>
    <mergeCell ref="X555:AB555"/>
    <mergeCell ref="AE555:AI555"/>
    <mergeCell ref="AJ555:AL555"/>
    <mergeCell ref="AN555:AO555"/>
    <mergeCell ref="AP555:AQ555"/>
    <mergeCell ref="A556:A557"/>
    <mergeCell ref="E556:E557"/>
    <mergeCell ref="F556:H556"/>
    <mergeCell ref="J556:J557"/>
    <mergeCell ref="K556:L557"/>
    <mergeCell ref="M556:N557"/>
    <mergeCell ref="O556:P557"/>
    <mergeCell ref="Q556:R557"/>
    <mergeCell ref="S556:T557"/>
    <mergeCell ref="U556:V557"/>
    <mergeCell ref="X556:AB556"/>
    <mergeCell ref="AD556:AI556"/>
    <mergeCell ref="AJ556:AL556"/>
    <mergeCell ref="AN556:AO556"/>
    <mergeCell ref="AP556:AQ556"/>
    <mergeCell ref="AR556:AS557"/>
    <mergeCell ref="AT556:AU557"/>
    <mergeCell ref="AV556:AW557"/>
    <mergeCell ref="AX556:AY557"/>
    <mergeCell ref="AZ556:AZ557"/>
    <mergeCell ref="F553:H553"/>
    <mergeCell ref="X553:AB553"/>
    <mergeCell ref="AE553:AI553"/>
    <mergeCell ref="AJ553:AL553"/>
    <mergeCell ref="AN553:AO553"/>
    <mergeCell ref="AP553:AQ553"/>
    <mergeCell ref="A554:A555"/>
    <mergeCell ref="E554:E555"/>
    <mergeCell ref="F554:H554"/>
    <mergeCell ref="J554:J555"/>
    <mergeCell ref="K554:L555"/>
    <mergeCell ref="M554:N555"/>
    <mergeCell ref="O554:P555"/>
    <mergeCell ref="Q554:R555"/>
    <mergeCell ref="S554:T555"/>
    <mergeCell ref="U554:V555"/>
    <mergeCell ref="X554:AB554"/>
    <mergeCell ref="AD554:AI554"/>
    <mergeCell ref="AJ554:AL554"/>
    <mergeCell ref="AN554:AO554"/>
    <mergeCell ref="AP554:AQ554"/>
    <mergeCell ref="W552:W553"/>
    <mergeCell ref="W554:W555"/>
    <mergeCell ref="AR558:AS559"/>
    <mergeCell ref="AT558:AU559"/>
    <mergeCell ref="AV558:AW559"/>
    <mergeCell ref="AX558:AY559"/>
    <mergeCell ref="AZ558:AZ559"/>
    <mergeCell ref="F559:H559"/>
    <mergeCell ref="X559:AB559"/>
    <mergeCell ref="AE559:AI559"/>
    <mergeCell ref="AJ559:AL559"/>
    <mergeCell ref="AN559:AO559"/>
    <mergeCell ref="AP559:AQ559"/>
    <mergeCell ref="A560:A561"/>
    <mergeCell ref="E560:E561"/>
    <mergeCell ref="F560:H560"/>
    <mergeCell ref="J560:J561"/>
    <mergeCell ref="K560:L561"/>
    <mergeCell ref="M560:N561"/>
    <mergeCell ref="O560:P561"/>
    <mergeCell ref="Q560:R561"/>
    <mergeCell ref="S560:T561"/>
    <mergeCell ref="U560:V561"/>
    <mergeCell ref="X560:AB560"/>
    <mergeCell ref="AD560:AI560"/>
    <mergeCell ref="AJ560:AL560"/>
    <mergeCell ref="AN560:AO560"/>
    <mergeCell ref="AP560:AQ560"/>
    <mergeCell ref="AR560:AS561"/>
    <mergeCell ref="AT560:AU561"/>
    <mergeCell ref="AV560:AW561"/>
    <mergeCell ref="AX560:AY561"/>
    <mergeCell ref="AZ560:AZ561"/>
    <mergeCell ref="F557:H557"/>
    <mergeCell ref="X557:AB557"/>
    <mergeCell ref="AE557:AI557"/>
    <mergeCell ref="AJ557:AL557"/>
    <mergeCell ref="AN557:AO557"/>
    <mergeCell ref="AP557:AQ557"/>
    <mergeCell ref="A558:A559"/>
    <mergeCell ref="E558:E559"/>
    <mergeCell ref="F558:H558"/>
    <mergeCell ref="J558:J559"/>
    <mergeCell ref="K558:L559"/>
    <mergeCell ref="M558:N559"/>
    <mergeCell ref="O558:P559"/>
    <mergeCell ref="Q558:R559"/>
    <mergeCell ref="S558:T559"/>
    <mergeCell ref="U558:V559"/>
    <mergeCell ref="X558:AB558"/>
    <mergeCell ref="AD558:AI558"/>
    <mergeCell ref="AJ558:AL558"/>
    <mergeCell ref="AN558:AO558"/>
    <mergeCell ref="AP558:AQ558"/>
    <mergeCell ref="W556:W557"/>
    <mergeCell ref="W558:W559"/>
    <mergeCell ref="AR562:AS563"/>
    <mergeCell ref="AT562:AU563"/>
    <mergeCell ref="AV562:AW563"/>
    <mergeCell ref="AX562:AY563"/>
    <mergeCell ref="AZ562:AZ563"/>
    <mergeCell ref="F563:H563"/>
    <mergeCell ref="X563:AB563"/>
    <mergeCell ref="AE563:AI563"/>
    <mergeCell ref="AJ563:AL563"/>
    <mergeCell ref="AN563:AO563"/>
    <mergeCell ref="AP563:AQ563"/>
    <mergeCell ref="A564:A565"/>
    <mergeCell ref="E564:E565"/>
    <mergeCell ref="F564:H564"/>
    <mergeCell ref="J564:J565"/>
    <mergeCell ref="K564:L565"/>
    <mergeCell ref="M564:N565"/>
    <mergeCell ref="O564:P565"/>
    <mergeCell ref="Q564:R565"/>
    <mergeCell ref="S564:T565"/>
    <mergeCell ref="U564:V565"/>
    <mergeCell ref="X564:AB564"/>
    <mergeCell ref="AD564:AI564"/>
    <mergeCell ref="AJ564:AL564"/>
    <mergeCell ref="AN564:AO564"/>
    <mergeCell ref="AP564:AQ564"/>
    <mergeCell ref="AR564:AS565"/>
    <mergeCell ref="AT564:AU565"/>
    <mergeCell ref="AV564:AW565"/>
    <mergeCell ref="AX564:AY565"/>
    <mergeCell ref="AZ564:AZ565"/>
    <mergeCell ref="F561:H561"/>
    <mergeCell ref="X561:AB561"/>
    <mergeCell ref="AE561:AI561"/>
    <mergeCell ref="AJ561:AL561"/>
    <mergeCell ref="AN561:AO561"/>
    <mergeCell ref="AP561:AQ561"/>
    <mergeCell ref="A562:A563"/>
    <mergeCell ref="E562:E563"/>
    <mergeCell ref="F562:H562"/>
    <mergeCell ref="J562:J563"/>
    <mergeCell ref="K562:L563"/>
    <mergeCell ref="M562:N563"/>
    <mergeCell ref="O562:P563"/>
    <mergeCell ref="Q562:R563"/>
    <mergeCell ref="S562:T563"/>
    <mergeCell ref="U562:V563"/>
    <mergeCell ref="X562:AB562"/>
    <mergeCell ref="AD562:AI562"/>
    <mergeCell ref="AJ562:AL562"/>
    <mergeCell ref="AN562:AO562"/>
    <mergeCell ref="AP562:AQ562"/>
    <mergeCell ref="W560:W561"/>
    <mergeCell ref="W562:W563"/>
    <mergeCell ref="AR566:AS567"/>
    <mergeCell ref="AT566:AU567"/>
    <mergeCell ref="AV566:AW567"/>
    <mergeCell ref="AX566:AY567"/>
    <mergeCell ref="AZ566:AZ567"/>
    <mergeCell ref="F567:H567"/>
    <mergeCell ref="X567:AB567"/>
    <mergeCell ref="AE567:AI567"/>
    <mergeCell ref="AJ567:AL567"/>
    <mergeCell ref="AN567:AO567"/>
    <mergeCell ref="AP567:AQ567"/>
    <mergeCell ref="A568:A569"/>
    <mergeCell ref="E568:E569"/>
    <mergeCell ref="F568:H568"/>
    <mergeCell ref="J568:J569"/>
    <mergeCell ref="K568:L569"/>
    <mergeCell ref="M568:N569"/>
    <mergeCell ref="O568:P569"/>
    <mergeCell ref="Q568:R569"/>
    <mergeCell ref="S568:T569"/>
    <mergeCell ref="U568:V569"/>
    <mergeCell ref="X568:AB568"/>
    <mergeCell ref="AD568:AI568"/>
    <mergeCell ref="AJ568:AL568"/>
    <mergeCell ref="AN568:AO568"/>
    <mergeCell ref="AP568:AQ568"/>
    <mergeCell ref="AR568:AS569"/>
    <mergeCell ref="AT568:AU569"/>
    <mergeCell ref="AV568:AW569"/>
    <mergeCell ref="AX568:AY569"/>
    <mergeCell ref="AZ568:AZ569"/>
    <mergeCell ref="F565:H565"/>
    <mergeCell ref="X565:AB565"/>
    <mergeCell ref="AE565:AI565"/>
    <mergeCell ref="AJ565:AL565"/>
    <mergeCell ref="AN565:AO565"/>
    <mergeCell ref="AP565:AQ565"/>
    <mergeCell ref="A566:A567"/>
    <mergeCell ref="E566:E567"/>
    <mergeCell ref="F566:H566"/>
    <mergeCell ref="J566:J567"/>
    <mergeCell ref="K566:L567"/>
    <mergeCell ref="M566:N567"/>
    <mergeCell ref="O566:P567"/>
    <mergeCell ref="Q566:R567"/>
    <mergeCell ref="S566:T567"/>
    <mergeCell ref="U566:V567"/>
    <mergeCell ref="X566:AB566"/>
    <mergeCell ref="AD566:AI566"/>
    <mergeCell ref="AJ566:AL566"/>
    <mergeCell ref="AN566:AO566"/>
    <mergeCell ref="AP566:AQ566"/>
    <mergeCell ref="W564:W565"/>
    <mergeCell ref="W566:W567"/>
    <mergeCell ref="AR570:AS571"/>
    <mergeCell ref="AT570:AU571"/>
    <mergeCell ref="AV570:AW571"/>
    <mergeCell ref="AX570:AY571"/>
    <mergeCell ref="AZ570:AZ571"/>
    <mergeCell ref="F571:H571"/>
    <mergeCell ref="X571:AB571"/>
    <mergeCell ref="AE571:AI571"/>
    <mergeCell ref="AJ571:AL571"/>
    <mergeCell ref="AN571:AO571"/>
    <mergeCell ref="AP571:AQ571"/>
    <mergeCell ref="A572:A573"/>
    <mergeCell ref="E572:E573"/>
    <mergeCell ref="F572:H572"/>
    <mergeCell ref="J572:J573"/>
    <mergeCell ref="K572:L573"/>
    <mergeCell ref="M572:N573"/>
    <mergeCell ref="O572:P573"/>
    <mergeCell ref="Q572:R573"/>
    <mergeCell ref="S572:T573"/>
    <mergeCell ref="U572:V573"/>
    <mergeCell ref="X572:AB572"/>
    <mergeCell ref="AD572:AI572"/>
    <mergeCell ref="AJ572:AL572"/>
    <mergeCell ref="AN572:AO572"/>
    <mergeCell ref="AP572:AQ572"/>
    <mergeCell ref="AR572:AS573"/>
    <mergeCell ref="AT572:AU573"/>
    <mergeCell ref="AV572:AW573"/>
    <mergeCell ref="AX572:AY573"/>
    <mergeCell ref="AZ572:AZ573"/>
    <mergeCell ref="F569:H569"/>
    <mergeCell ref="X569:AB569"/>
    <mergeCell ref="AE569:AI569"/>
    <mergeCell ref="AJ569:AL569"/>
    <mergeCell ref="AN569:AO569"/>
    <mergeCell ref="AP569:AQ569"/>
    <mergeCell ref="A570:A571"/>
    <mergeCell ref="E570:E571"/>
    <mergeCell ref="F570:H570"/>
    <mergeCell ref="J570:J571"/>
    <mergeCell ref="K570:L571"/>
    <mergeCell ref="M570:N571"/>
    <mergeCell ref="O570:P571"/>
    <mergeCell ref="Q570:R571"/>
    <mergeCell ref="S570:T571"/>
    <mergeCell ref="U570:V571"/>
    <mergeCell ref="X570:AB570"/>
    <mergeCell ref="AD570:AI570"/>
    <mergeCell ref="AJ570:AL570"/>
    <mergeCell ref="AN570:AO570"/>
    <mergeCell ref="AP570:AQ570"/>
    <mergeCell ref="W568:W569"/>
    <mergeCell ref="W570:W571"/>
    <mergeCell ref="AR574:AS575"/>
    <mergeCell ref="AT574:AU575"/>
    <mergeCell ref="AV574:AW575"/>
    <mergeCell ref="AX574:AY575"/>
    <mergeCell ref="AZ574:AZ575"/>
    <mergeCell ref="F575:H575"/>
    <mergeCell ref="X575:AB575"/>
    <mergeCell ref="AE575:AI575"/>
    <mergeCell ref="AJ575:AL575"/>
    <mergeCell ref="AN575:AO575"/>
    <mergeCell ref="AP575:AQ575"/>
    <mergeCell ref="A576:A577"/>
    <mergeCell ref="E576:E577"/>
    <mergeCell ref="F576:H576"/>
    <mergeCell ref="J576:J577"/>
    <mergeCell ref="K576:L577"/>
    <mergeCell ref="M576:N577"/>
    <mergeCell ref="O576:P577"/>
    <mergeCell ref="Q576:R577"/>
    <mergeCell ref="S576:T577"/>
    <mergeCell ref="U576:V577"/>
    <mergeCell ref="X576:AB576"/>
    <mergeCell ref="AD576:AI576"/>
    <mergeCell ref="AJ576:AL576"/>
    <mergeCell ref="AN576:AO576"/>
    <mergeCell ref="AP576:AQ576"/>
    <mergeCell ref="AR576:AS577"/>
    <mergeCell ref="AT576:AU577"/>
    <mergeCell ref="AV576:AW577"/>
    <mergeCell ref="AX576:AY577"/>
    <mergeCell ref="AZ576:AZ577"/>
    <mergeCell ref="F573:H573"/>
    <mergeCell ref="X573:AB573"/>
    <mergeCell ref="AE573:AI573"/>
    <mergeCell ref="AJ573:AL573"/>
    <mergeCell ref="AN573:AO573"/>
    <mergeCell ref="AP573:AQ573"/>
    <mergeCell ref="A574:A575"/>
    <mergeCell ref="E574:E575"/>
    <mergeCell ref="F574:H574"/>
    <mergeCell ref="J574:J575"/>
    <mergeCell ref="K574:L575"/>
    <mergeCell ref="M574:N575"/>
    <mergeCell ref="O574:P575"/>
    <mergeCell ref="Q574:R575"/>
    <mergeCell ref="S574:T575"/>
    <mergeCell ref="U574:V575"/>
    <mergeCell ref="X574:AB574"/>
    <mergeCell ref="AD574:AI574"/>
    <mergeCell ref="AJ574:AL574"/>
    <mergeCell ref="AN574:AO574"/>
    <mergeCell ref="AP574:AQ574"/>
    <mergeCell ref="W572:W573"/>
    <mergeCell ref="W574:W575"/>
    <mergeCell ref="AR578:AS579"/>
    <mergeCell ref="AT578:AU579"/>
    <mergeCell ref="AV578:AW579"/>
    <mergeCell ref="AX578:AY579"/>
    <mergeCell ref="AZ578:AZ579"/>
    <mergeCell ref="F579:H579"/>
    <mergeCell ref="X579:AB579"/>
    <mergeCell ref="AE579:AI579"/>
    <mergeCell ref="AJ579:AL579"/>
    <mergeCell ref="AN579:AO579"/>
    <mergeCell ref="AP579:AQ579"/>
    <mergeCell ref="A580:A581"/>
    <mergeCell ref="E580:E581"/>
    <mergeCell ref="F580:H580"/>
    <mergeCell ref="J580:J581"/>
    <mergeCell ref="K580:L581"/>
    <mergeCell ref="M580:N581"/>
    <mergeCell ref="O580:P581"/>
    <mergeCell ref="Q580:R581"/>
    <mergeCell ref="S580:T581"/>
    <mergeCell ref="U580:V581"/>
    <mergeCell ref="X580:AB580"/>
    <mergeCell ref="AD580:AI580"/>
    <mergeCell ref="AJ580:AL580"/>
    <mergeCell ref="AN580:AO580"/>
    <mergeCell ref="AP580:AQ580"/>
    <mergeCell ref="AR580:AS581"/>
    <mergeCell ref="AT580:AU581"/>
    <mergeCell ref="AV580:AW581"/>
    <mergeCell ref="AX580:AY581"/>
    <mergeCell ref="AZ580:AZ581"/>
    <mergeCell ref="F577:H577"/>
    <mergeCell ref="X577:AB577"/>
    <mergeCell ref="AE577:AI577"/>
    <mergeCell ref="AJ577:AL577"/>
    <mergeCell ref="AN577:AO577"/>
    <mergeCell ref="AP577:AQ577"/>
    <mergeCell ref="A578:A579"/>
    <mergeCell ref="E578:E579"/>
    <mergeCell ref="F578:H578"/>
    <mergeCell ref="J578:J579"/>
    <mergeCell ref="K578:L579"/>
    <mergeCell ref="M578:N579"/>
    <mergeCell ref="O578:P579"/>
    <mergeCell ref="Q578:R579"/>
    <mergeCell ref="S578:T579"/>
    <mergeCell ref="U578:V579"/>
    <mergeCell ref="X578:AB578"/>
    <mergeCell ref="AD578:AI578"/>
    <mergeCell ref="AJ578:AL578"/>
    <mergeCell ref="AN578:AO578"/>
    <mergeCell ref="AP578:AQ578"/>
    <mergeCell ref="W576:W577"/>
    <mergeCell ref="W578:W579"/>
    <mergeCell ref="AR582:AS583"/>
    <mergeCell ref="AT582:AU583"/>
    <mergeCell ref="AV582:AW583"/>
    <mergeCell ref="AX582:AY583"/>
    <mergeCell ref="AZ582:AZ583"/>
    <mergeCell ref="F583:H583"/>
    <mergeCell ref="X583:AB583"/>
    <mergeCell ref="AE583:AI583"/>
    <mergeCell ref="AJ583:AL583"/>
    <mergeCell ref="AN583:AO583"/>
    <mergeCell ref="AP583:AQ583"/>
    <mergeCell ref="A584:A585"/>
    <mergeCell ref="E584:E585"/>
    <mergeCell ref="F584:H584"/>
    <mergeCell ref="J584:J585"/>
    <mergeCell ref="K584:L585"/>
    <mergeCell ref="M584:N585"/>
    <mergeCell ref="O584:P585"/>
    <mergeCell ref="Q584:R585"/>
    <mergeCell ref="S584:T585"/>
    <mergeCell ref="U584:V585"/>
    <mergeCell ref="X584:AB584"/>
    <mergeCell ref="AD584:AI584"/>
    <mergeCell ref="AJ584:AL584"/>
    <mergeCell ref="AN584:AO584"/>
    <mergeCell ref="AP584:AQ584"/>
    <mergeCell ref="AR584:AS585"/>
    <mergeCell ref="AT584:AU585"/>
    <mergeCell ref="AV584:AW585"/>
    <mergeCell ref="AX584:AY585"/>
    <mergeCell ref="AZ584:AZ585"/>
    <mergeCell ref="F581:H581"/>
    <mergeCell ref="X581:AB581"/>
    <mergeCell ref="AE581:AI581"/>
    <mergeCell ref="AJ581:AL581"/>
    <mergeCell ref="AN581:AO581"/>
    <mergeCell ref="AP581:AQ581"/>
    <mergeCell ref="A582:A583"/>
    <mergeCell ref="E582:E583"/>
    <mergeCell ref="F582:H582"/>
    <mergeCell ref="J582:J583"/>
    <mergeCell ref="K582:L583"/>
    <mergeCell ref="M582:N583"/>
    <mergeCell ref="O582:P583"/>
    <mergeCell ref="Q582:R583"/>
    <mergeCell ref="S582:T583"/>
    <mergeCell ref="U582:V583"/>
    <mergeCell ref="X582:AB582"/>
    <mergeCell ref="AD582:AI582"/>
    <mergeCell ref="AJ582:AL582"/>
    <mergeCell ref="AN582:AO582"/>
    <mergeCell ref="AP582:AQ582"/>
    <mergeCell ref="W580:W581"/>
    <mergeCell ref="W582:W583"/>
    <mergeCell ref="AR586:AS587"/>
    <mergeCell ref="AT586:AU587"/>
    <mergeCell ref="AV586:AW587"/>
    <mergeCell ref="AX586:AY587"/>
    <mergeCell ref="AZ586:AZ587"/>
    <mergeCell ref="F587:H587"/>
    <mergeCell ref="X587:AB587"/>
    <mergeCell ref="AE587:AI587"/>
    <mergeCell ref="AJ587:AL587"/>
    <mergeCell ref="AN587:AO587"/>
    <mergeCell ref="AP587:AQ587"/>
    <mergeCell ref="A588:A589"/>
    <mergeCell ref="E588:E589"/>
    <mergeCell ref="F588:H588"/>
    <mergeCell ref="J588:J589"/>
    <mergeCell ref="K588:L589"/>
    <mergeCell ref="M588:N589"/>
    <mergeCell ref="O588:P589"/>
    <mergeCell ref="Q588:R589"/>
    <mergeCell ref="S588:T589"/>
    <mergeCell ref="U588:V589"/>
    <mergeCell ref="X588:AB588"/>
    <mergeCell ref="AD588:AI588"/>
    <mergeCell ref="AJ588:AL588"/>
    <mergeCell ref="AN588:AO588"/>
    <mergeCell ref="AP588:AQ588"/>
    <mergeCell ref="AR588:AS589"/>
    <mergeCell ref="AT588:AU589"/>
    <mergeCell ref="AV588:AW589"/>
    <mergeCell ref="AX588:AY589"/>
    <mergeCell ref="AZ588:AZ589"/>
    <mergeCell ref="F585:H585"/>
    <mergeCell ref="X585:AB585"/>
    <mergeCell ref="AE585:AI585"/>
    <mergeCell ref="AJ585:AL585"/>
    <mergeCell ref="AN585:AO585"/>
    <mergeCell ref="AP585:AQ585"/>
    <mergeCell ref="A586:A587"/>
    <mergeCell ref="E586:E587"/>
    <mergeCell ref="F586:H586"/>
    <mergeCell ref="J586:J587"/>
    <mergeCell ref="K586:L587"/>
    <mergeCell ref="M586:N587"/>
    <mergeCell ref="O586:P587"/>
    <mergeCell ref="Q586:R587"/>
    <mergeCell ref="S586:T587"/>
    <mergeCell ref="U586:V587"/>
    <mergeCell ref="X586:AB586"/>
    <mergeCell ref="AD586:AI586"/>
    <mergeCell ref="AJ586:AL586"/>
    <mergeCell ref="AN586:AO586"/>
    <mergeCell ref="AP586:AQ586"/>
    <mergeCell ref="W584:W585"/>
    <mergeCell ref="W586:W587"/>
    <mergeCell ref="AR590:AS591"/>
    <mergeCell ref="AT590:AU591"/>
    <mergeCell ref="AV590:AW591"/>
    <mergeCell ref="AX590:AY591"/>
    <mergeCell ref="AZ590:AZ591"/>
    <mergeCell ref="F591:H591"/>
    <mergeCell ref="X591:AB591"/>
    <mergeCell ref="AE591:AI591"/>
    <mergeCell ref="AJ591:AL591"/>
    <mergeCell ref="AN591:AO591"/>
    <mergeCell ref="AP591:AQ591"/>
    <mergeCell ref="A592:A593"/>
    <mergeCell ref="E592:E593"/>
    <mergeCell ref="F592:H592"/>
    <mergeCell ref="J592:J593"/>
    <mergeCell ref="K592:L593"/>
    <mergeCell ref="M592:N593"/>
    <mergeCell ref="O592:P593"/>
    <mergeCell ref="Q592:R593"/>
    <mergeCell ref="S592:T593"/>
    <mergeCell ref="U592:V593"/>
    <mergeCell ref="X592:AB592"/>
    <mergeCell ref="AD592:AI592"/>
    <mergeCell ref="AJ592:AL592"/>
    <mergeCell ref="AN592:AO592"/>
    <mergeCell ref="AP592:AQ592"/>
    <mergeCell ref="AR592:AS593"/>
    <mergeCell ref="AT592:AU593"/>
    <mergeCell ref="AV592:AW593"/>
    <mergeCell ref="AX592:AY593"/>
    <mergeCell ref="AZ592:AZ593"/>
    <mergeCell ref="F589:H589"/>
    <mergeCell ref="X589:AB589"/>
    <mergeCell ref="AE589:AI589"/>
    <mergeCell ref="AJ589:AL589"/>
    <mergeCell ref="AN589:AO589"/>
    <mergeCell ref="AP589:AQ589"/>
    <mergeCell ref="A590:A591"/>
    <mergeCell ref="E590:E591"/>
    <mergeCell ref="F590:H590"/>
    <mergeCell ref="J590:J591"/>
    <mergeCell ref="K590:L591"/>
    <mergeCell ref="M590:N591"/>
    <mergeCell ref="O590:P591"/>
    <mergeCell ref="Q590:R591"/>
    <mergeCell ref="S590:T591"/>
    <mergeCell ref="U590:V591"/>
    <mergeCell ref="X590:AB590"/>
    <mergeCell ref="AD590:AI590"/>
    <mergeCell ref="AJ590:AL590"/>
    <mergeCell ref="AN590:AO590"/>
    <mergeCell ref="AP590:AQ590"/>
    <mergeCell ref="W588:W589"/>
    <mergeCell ref="W590:W591"/>
    <mergeCell ref="AR594:AS595"/>
    <mergeCell ref="AT594:AU595"/>
    <mergeCell ref="AV594:AW595"/>
    <mergeCell ref="AX594:AY595"/>
    <mergeCell ref="AZ594:AZ595"/>
    <mergeCell ref="F595:H595"/>
    <mergeCell ref="X595:AB595"/>
    <mergeCell ref="AE595:AI595"/>
    <mergeCell ref="AJ595:AL595"/>
    <mergeCell ref="AN595:AO595"/>
    <mergeCell ref="AP595:AQ595"/>
    <mergeCell ref="A596:A597"/>
    <mergeCell ref="E596:E597"/>
    <mergeCell ref="F596:H596"/>
    <mergeCell ref="J596:J597"/>
    <mergeCell ref="K596:L597"/>
    <mergeCell ref="M596:N597"/>
    <mergeCell ref="O596:P597"/>
    <mergeCell ref="Q596:R597"/>
    <mergeCell ref="S596:T597"/>
    <mergeCell ref="U596:V597"/>
    <mergeCell ref="X596:AB596"/>
    <mergeCell ref="AD596:AI596"/>
    <mergeCell ref="AJ596:AL596"/>
    <mergeCell ref="AN596:AO596"/>
    <mergeCell ref="AP596:AQ596"/>
    <mergeCell ref="AR596:AS597"/>
    <mergeCell ref="AT596:AU597"/>
    <mergeCell ref="AV596:AW597"/>
    <mergeCell ref="AX596:AY597"/>
    <mergeCell ref="AZ596:AZ597"/>
    <mergeCell ref="F593:H593"/>
    <mergeCell ref="X593:AB593"/>
    <mergeCell ref="AE593:AI593"/>
    <mergeCell ref="AJ593:AL593"/>
    <mergeCell ref="AN593:AO593"/>
    <mergeCell ref="AP593:AQ593"/>
    <mergeCell ref="A594:A595"/>
    <mergeCell ref="E594:E595"/>
    <mergeCell ref="F594:H594"/>
    <mergeCell ref="J594:J595"/>
    <mergeCell ref="K594:L595"/>
    <mergeCell ref="M594:N595"/>
    <mergeCell ref="O594:P595"/>
    <mergeCell ref="Q594:R595"/>
    <mergeCell ref="S594:T595"/>
    <mergeCell ref="U594:V595"/>
    <mergeCell ref="X594:AB594"/>
    <mergeCell ref="AD594:AI594"/>
    <mergeCell ref="AJ594:AL594"/>
    <mergeCell ref="AN594:AO594"/>
    <mergeCell ref="AP594:AQ594"/>
    <mergeCell ref="W592:W593"/>
    <mergeCell ref="W594:W595"/>
    <mergeCell ref="AR598:AS599"/>
    <mergeCell ref="AT598:AU599"/>
    <mergeCell ref="AV598:AW599"/>
    <mergeCell ref="AX598:AY599"/>
    <mergeCell ref="AZ598:AZ599"/>
    <mergeCell ref="F599:H599"/>
    <mergeCell ref="X599:AB599"/>
    <mergeCell ref="AE599:AI599"/>
    <mergeCell ref="AJ599:AL599"/>
    <mergeCell ref="AN599:AO599"/>
    <mergeCell ref="AP599:AQ599"/>
    <mergeCell ref="A600:A601"/>
    <mergeCell ref="E600:E601"/>
    <mergeCell ref="F600:H600"/>
    <mergeCell ref="J600:J601"/>
    <mergeCell ref="K600:L601"/>
    <mergeCell ref="M600:N601"/>
    <mergeCell ref="O600:P601"/>
    <mergeCell ref="Q600:R601"/>
    <mergeCell ref="S600:T601"/>
    <mergeCell ref="U600:V601"/>
    <mergeCell ref="X600:AB600"/>
    <mergeCell ref="AD600:AI600"/>
    <mergeCell ref="AJ600:AL600"/>
    <mergeCell ref="AN600:AO600"/>
    <mergeCell ref="AP600:AQ600"/>
    <mergeCell ref="AR600:AS601"/>
    <mergeCell ref="AT600:AU601"/>
    <mergeCell ref="AV600:AW601"/>
    <mergeCell ref="AX600:AY601"/>
    <mergeCell ref="AZ600:AZ601"/>
    <mergeCell ref="F597:H597"/>
    <mergeCell ref="X597:AB597"/>
    <mergeCell ref="AE597:AI597"/>
    <mergeCell ref="AJ597:AL597"/>
    <mergeCell ref="AN597:AO597"/>
    <mergeCell ref="AP597:AQ597"/>
    <mergeCell ref="A598:A599"/>
    <mergeCell ref="E598:E599"/>
    <mergeCell ref="F598:H598"/>
    <mergeCell ref="J598:J599"/>
    <mergeCell ref="K598:L599"/>
    <mergeCell ref="M598:N599"/>
    <mergeCell ref="O598:P599"/>
    <mergeCell ref="Q598:R599"/>
    <mergeCell ref="S598:T599"/>
    <mergeCell ref="U598:V599"/>
    <mergeCell ref="X598:AB598"/>
    <mergeCell ref="AD598:AI598"/>
    <mergeCell ref="AJ598:AL598"/>
    <mergeCell ref="AN598:AO598"/>
    <mergeCell ref="AP598:AQ598"/>
    <mergeCell ref="W596:W597"/>
    <mergeCell ref="W598:W599"/>
    <mergeCell ref="AR602:AS603"/>
    <mergeCell ref="AT602:AU603"/>
    <mergeCell ref="AV602:AW603"/>
    <mergeCell ref="AX602:AY603"/>
    <mergeCell ref="AZ602:AZ603"/>
    <mergeCell ref="F603:H603"/>
    <mergeCell ref="X603:AB603"/>
    <mergeCell ref="AE603:AI603"/>
    <mergeCell ref="AJ603:AL603"/>
    <mergeCell ref="AN603:AO603"/>
    <mergeCell ref="AP603:AQ603"/>
    <mergeCell ref="A604:A605"/>
    <mergeCell ref="E604:E605"/>
    <mergeCell ref="F604:H604"/>
    <mergeCell ref="J604:J605"/>
    <mergeCell ref="K604:L605"/>
    <mergeCell ref="M604:N605"/>
    <mergeCell ref="O604:P605"/>
    <mergeCell ref="Q604:R605"/>
    <mergeCell ref="S604:T605"/>
    <mergeCell ref="U604:V605"/>
    <mergeCell ref="X604:AB604"/>
    <mergeCell ref="AD604:AI604"/>
    <mergeCell ref="AJ604:AL604"/>
    <mergeCell ref="AN604:AO604"/>
    <mergeCell ref="AP604:AQ604"/>
    <mergeCell ref="AR604:AS605"/>
    <mergeCell ref="AT604:AU605"/>
    <mergeCell ref="AV604:AW605"/>
    <mergeCell ref="AX604:AY605"/>
    <mergeCell ref="AZ604:AZ605"/>
    <mergeCell ref="F601:H601"/>
    <mergeCell ref="X601:AB601"/>
    <mergeCell ref="AE601:AI601"/>
    <mergeCell ref="AJ601:AL601"/>
    <mergeCell ref="AN601:AO601"/>
    <mergeCell ref="AP601:AQ601"/>
    <mergeCell ref="A602:A603"/>
    <mergeCell ref="E602:E603"/>
    <mergeCell ref="F602:H602"/>
    <mergeCell ref="J602:J603"/>
    <mergeCell ref="K602:L603"/>
    <mergeCell ref="M602:N603"/>
    <mergeCell ref="O602:P603"/>
    <mergeCell ref="Q602:R603"/>
    <mergeCell ref="S602:T603"/>
    <mergeCell ref="U602:V603"/>
    <mergeCell ref="X602:AB602"/>
    <mergeCell ref="AD602:AI602"/>
    <mergeCell ref="AJ602:AL602"/>
    <mergeCell ref="AN602:AO602"/>
    <mergeCell ref="AP602:AQ602"/>
    <mergeCell ref="W600:W601"/>
    <mergeCell ref="W602:W603"/>
    <mergeCell ref="AR606:AS607"/>
    <mergeCell ref="AT606:AU607"/>
    <mergeCell ref="AV606:AW607"/>
    <mergeCell ref="AX606:AY607"/>
    <mergeCell ref="AZ606:AZ607"/>
    <mergeCell ref="F607:H607"/>
    <mergeCell ref="X607:AB607"/>
    <mergeCell ref="AE607:AI607"/>
    <mergeCell ref="AJ607:AL607"/>
    <mergeCell ref="AN607:AO607"/>
    <mergeCell ref="AP607:AQ607"/>
    <mergeCell ref="A608:A609"/>
    <mergeCell ref="E608:E609"/>
    <mergeCell ref="F608:H608"/>
    <mergeCell ref="J608:J609"/>
    <mergeCell ref="K608:L609"/>
    <mergeCell ref="M608:N609"/>
    <mergeCell ref="O608:P609"/>
    <mergeCell ref="Q608:R609"/>
    <mergeCell ref="S608:T609"/>
    <mergeCell ref="U608:V609"/>
    <mergeCell ref="X608:AB608"/>
    <mergeCell ref="AD608:AI608"/>
    <mergeCell ref="AJ608:AL608"/>
    <mergeCell ref="AN608:AO608"/>
    <mergeCell ref="AP608:AQ608"/>
    <mergeCell ref="AR608:AS609"/>
    <mergeCell ref="AT608:AU609"/>
    <mergeCell ref="AV608:AW609"/>
    <mergeCell ref="AX608:AY609"/>
    <mergeCell ref="AZ608:AZ609"/>
    <mergeCell ref="F605:H605"/>
    <mergeCell ref="X605:AB605"/>
    <mergeCell ref="AE605:AI605"/>
    <mergeCell ref="AJ605:AL605"/>
    <mergeCell ref="AN605:AO605"/>
    <mergeCell ref="AP605:AQ605"/>
    <mergeCell ref="A606:A607"/>
    <mergeCell ref="E606:E607"/>
    <mergeCell ref="F606:H606"/>
    <mergeCell ref="J606:J607"/>
    <mergeCell ref="K606:L607"/>
    <mergeCell ref="M606:N607"/>
    <mergeCell ref="O606:P607"/>
    <mergeCell ref="Q606:R607"/>
    <mergeCell ref="S606:T607"/>
    <mergeCell ref="U606:V607"/>
    <mergeCell ref="X606:AB606"/>
    <mergeCell ref="AD606:AI606"/>
    <mergeCell ref="AJ606:AL606"/>
    <mergeCell ref="AN606:AO606"/>
    <mergeCell ref="AP606:AQ606"/>
    <mergeCell ref="W604:W605"/>
    <mergeCell ref="W606:W607"/>
    <mergeCell ref="AR610:AS611"/>
    <mergeCell ref="AT610:AU611"/>
    <mergeCell ref="AV610:AW611"/>
    <mergeCell ref="AX610:AY611"/>
    <mergeCell ref="AZ610:AZ611"/>
    <mergeCell ref="F611:H611"/>
    <mergeCell ref="X611:AB611"/>
    <mergeCell ref="AE611:AI611"/>
    <mergeCell ref="AJ611:AL611"/>
    <mergeCell ref="AN611:AO611"/>
    <mergeCell ref="AP611:AQ611"/>
    <mergeCell ref="A612:A613"/>
    <mergeCell ref="E612:E613"/>
    <mergeCell ref="F612:H612"/>
    <mergeCell ref="J612:J613"/>
    <mergeCell ref="K612:L613"/>
    <mergeCell ref="M612:N613"/>
    <mergeCell ref="O612:P613"/>
    <mergeCell ref="Q612:R613"/>
    <mergeCell ref="S612:T613"/>
    <mergeCell ref="U612:V613"/>
    <mergeCell ref="X612:AB612"/>
    <mergeCell ref="AD612:AI612"/>
    <mergeCell ref="AJ612:AL612"/>
    <mergeCell ref="AN612:AO612"/>
    <mergeCell ref="AP612:AQ612"/>
    <mergeCell ref="AR612:AS613"/>
    <mergeCell ref="AT612:AU613"/>
    <mergeCell ref="AV612:AW613"/>
    <mergeCell ref="AX612:AY613"/>
    <mergeCell ref="AZ612:AZ613"/>
    <mergeCell ref="F609:H609"/>
    <mergeCell ref="X609:AB609"/>
    <mergeCell ref="AE609:AI609"/>
    <mergeCell ref="AJ609:AL609"/>
    <mergeCell ref="AN609:AO609"/>
    <mergeCell ref="AP609:AQ609"/>
    <mergeCell ref="A610:A611"/>
    <mergeCell ref="E610:E611"/>
    <mergeCell ref="F610:H610"/>
    <mergeCell ref="J610:J611"/>
    <mergeCell ref="K610:L611"/>
    <mergeCell ref="M610:N611"/>
    <mergeCell ref="O610:P611"/>
    <mergeCell ref="Q610:R611"/>
    <mergeCell ref="S610:T611"/>
    <mergeCell ref="U610:V611"/>
    <mergeCell ref="X610:AB610"/>
    <mergeCell ref="AD610:AI610"/>
    <mergeCell ref="AJ610:AL610"/>
    <mergeCell ref="AN610:AO610"/>
    <mergeCell ref="AP610:AQ610"/>
    <mergeCell ref="W608:W609"/>
    <mergeCell ref="W610:W611"/>
    <mergeCell ref="AR614:AS615"/>
    <mergeCell ref="AT614:AU615"/>
    <mergeCell ref="AV614:AW615"/>
    <mergeCell ref="AX614:AY615"/>
    <mergeCell ref="AZ614:AZ615"/>
    <mergeCell ref="F615:H615"/>
    <mergeCell ref="X615:AB615"/>
    <mergeCell ref="AE615:AI615"/>
    <mergeCell ref="AJ615:AL615"/>
    <mergeCell ref="AN615:AO615"/>
    <mergeCell ref="AP615:AQ615"/>
    <mergeCell ref="A616:A617"/>
    <mergeCell ref="E616:E617"/>
    <mergeCell ref="F616:H616"/>
    <mergeCell ref="J616:J617"/>
    <mergeCell ref="K616:L617"/>
    <mergeCell ref="M616:N617"/>
    <mergeCell ref="O616:P617"/>
    <mergeCell ref="Q616:R617"/>
    <mergeCell ref="S616:T617"/>
    <mergeCell ref="U616:V617"/>
    <mergeCell ref="X616:AB616"/>
    <mergeCell ref="AD616:AI616"/>
    <mergeCell ref="AJ616:AL616"/>
    <mergeCell ref="AN616:AO616"/>
    <mergeCell ref="AP616:AQ616"/>
    <mergeCell ref="AR616:AS617"/>
    <mergeCell ref="AT616:AU617"/>
    <mergeCell ref="AV616:AW617"/>
    <mergeCell ref="AX616:AY617"/>
    <mergeCell ref="AZ616:AZ617"/>
    <mergeCell ref="F613:H613"/>
    <mergeCell ref="X613:AB613"/>
    <mergeCell ref="AE613:AI613"/>
    <mergeCell ref="AJ613:AL613"/>
    <mergeCell ref="AN613:AO613"/>
    <mergeCell ref="AP613:AQ613"/>
    <mergeCell ref="A614:A615"/>
    <mergeCell ref="E614:E615"/>
    <mergeCell ref="F614:H614"/>
    <mergeCell ref="J614:J615"/>
    <mergeCell ref="K614:L615"/>
    <mergeCell ref="M614:N615"/>
    <mergeCell ref="O614:P615"/>
    <mergeCell ref="Q614:R615"/>
    <mergeCell ref="S614:T615"/>
    <mergeCell ref="U614:V615"/>
    <mergeCell ref="X614:AB614"/>
    <mergeCell ref="AD614:AI614"/>
    <mergeCell ref="AJ614:AL614"/>
    <mergeCell ref="AN614:AO614"/>
    <mergeCell ref="AP614:AQ614"/>
    <mergeCell ref="W612:W613"/>
    <mergeCell ref="W614:W615"/>
    <mergeCell ref="AR618:AS619"/>
    <mergeCell ref="AT618:AU619"/>
    <mergeCell ref="AV618:AW619"/>
    <mergeCell ref="AX618:AY619"/>
    <mergeCell ref="AZ618:AZ619"/>
    <mergeCell ref="F619:H619"/>
    <mergeCell ref="X619:AB619"/>
    <mergeCell ref="AE619:AI619"/>
    <mergeCell ref="AJ619:AL619"/>
    <mergeCell ref="AN619:AO619"/>
    <mergeCell ref="AP619:AQ619"/>
    <mergeCell ref="A620:A621"/>
    <mergeCell ref="E620:E621"/>
    <mergeCell ref="F620:H620"/>
    <mergeCell ref="J620:J621"/>
    <mergeCell ref="K620:L621"/>
    <mergeCell ref="M620:N621"/>
    <mergeCell ref="O620:P621"/>
    <mergeCell ref="Q620:R621"/>
    <mergeCell ref="S620:T621"/>
    <mergeCell ref="U620:V621"/>
    <mergeCell ref="X620:AB620"/>
    <mergeCell ref="AD620:AI620"/>
    <mergeCell ref="AJ620:AL620"/>
    <mergeCell ref="AN620:AO620"/>
    <mergeCell ref="AP620:AQ620"/>
    <mergeCell ref="AR620:AS621"/>
    <mergeCell ref="AT620:AU621"/>
    <mergeCell ref="AV620:AW621"/>
    <mergeCell ref="AX620:AY621"/>
    <mergeCell ref="AZ620:AZ621"/>
    <mergeCell ref="F617:H617"/>
    <mergeCell ref="X617:AB617"/>
    <mergeCell ref="AE617:AI617"/>
    <mergeCell ref="AJ617:AL617"/>
    <mergeCell ref="AN617:AO617"/>
    <mergeCell ref="AP617:AQ617"/>
    <mergeCell ref="A618:A619"/>
    <mergeCell ref="E618:E619"/>
    <mergeCell ref="F618:H618"/>
    <mergeCell ref="J618:J619"/>
    <mergeCell ref="K618:L619"/>
    <mergeCell ref="M618:N619"/>
    <mergeCell ref="O618:P619"/>
    <mergeCell ref="Q618:R619"/>
    <mergeCell ref="S618:T619"/>
    <mergeCell ref="U618:V619"/>
    <mergeCell ref="X618:AB618"/>
    <mergeCell ref="AD618:AI618"/>
    <mergeCell ref="AJ618:AL618"/>
    <mergeCell ref="AN618:AO618"/>
    <mergeCell ref="AP618:AQ618"/>
    <mergeCell ref="W616:W617"/>
    <mergeCell ref="W618:W619"/>
    <mergeCell ref="AR622:AS623"/>
    <mergeCell ref="AT622:AU623"/>
    <mergeCell ref="AV622:AW623"/>
    <mergeCell ref="AX622:AY623"/>
    <mergeCell ref="AZ622:AZ623"/>
    <mergeCell ref="F623:H623"/>
    <mergeCell ref="X623:AB623"/>
    <mergeCell ref="AE623:AI623"/>
    <mergeCell ref="AJ623:AL623"/>
    <mergeCell ref="AN623:AO623"/>
    <mergeCell ref="AP623:AQ623"/>
    <mergeCell ref="A624:A625"/>
    <mergeCell ref="E624:E625"/>
    <mergeCell ref="F624:H624"/>
    <mergeCell ref="J624:J625"/>
    <mergeCell ref="K624:L625"/>
    <mergeCell ref="M624:N625"/>
    <mergeCell ref="O624:P625"/>
    <mergeCell ref="Q624:R625"/>
    <mergeCell ref="S624:T625"/>
    <mergeCell ref="U624:V625"/>
    <mergeCell ref="X624:AB624"/>
    <mergeCell ref="AD624:AI624"/>
    <mergeCell ref="AJ624:AL624"/>
    <mergeCell ref="AN624:AO624"/>
    <mergeCell ref="AP624:AQ624"/>
    <mergeCell ref="AR624:AS625"/>
    <mergeCell ref="AT624:AU625"/>
    <mergeCell ref="AV624:AW625"/>
    <mergeCell ref="AX624:AY625"/>
    <mergeCell ref="AZ624:AZ625"/>
    <mergeCell ref="F621:H621"/>
    <mergeCell ref="X621:AB621"/>
    <mergeCell ref="AE621:AI621"/>
    <mergeCell ref="AJ621:AL621"/>
    <mergeCell ref="AN621:AO621"/>
    <mergeCell ref="AP621:AQ621"/>
    <mergeCell ref="A622:A623"/>
    <mergeCell ref="E622:E623"/>
    <mergeCell ref="F622:H622"/>
    <mergeCell ref="J622:J623"/>
    <mergeCell ref="K622:L623"/>
    <mergeCell ref="M622:N623"/>
    <mergeCell ref="O622:P623"/>
    <mergeCell ref="Q622:R623"/>
    <mergeCell ref="S622:T623"/>
    <mergeCell ref="U622:V623"/>
    <mergeCell ref="X622:AB622"/>
    <mergeCell ref="AD622:AI622"/>
    <mergeCell ref="AJ622:AL622"/>
    <mergeCell ref="AN622:AO622"/>
    <mergeCell ref="AP622:AQ622"/>
    <mergeCell ref="W620:W621"/>
    <mergeCell ref="W622:W623"/>
    <mergeCell ref="AR626:AS627"/>
    <mergeCell ref="AT626:AU627"/>
    <mergeCell ref="AV626:AW627"/>
    <mergeCell ref="AX626:AY627"/>
    <mergeCell ref="AZ626:AZ627"/>
    <mergeCell ref="F627:H627"/>
    <mergeCell ref="X627:AB627"/>
    <mergeCell ref="AE627:AI627"/>
    <mergeCell ref="AJ627:AL627"/>
    <mergeCell ref="AN627:AO627"/>
    <mergeCell ref="AP627:AQ627"/>
    <mergeCell ref="A628:A629"/>
    <mergeCell ref="E628:E629"/>
    <mergeCell ref="F628:H628"/>
    <mergeCell ref="J628:J629"/>
    <mergeCell ref="K628:L629"/>
    <mergeCell ref="M628:N629"/>
    <mergeCell ref="O628:P629"/>
    <mergeCell ref="Q628:R629"/>
    <mergeCell ref="S628:T629"/>
    <mergeCell ref="U628:V629"/>
    <mergeCell ref="X628:AB628"/>
    <mergeCell ref="AD628:AI628"/>
    <mergeCell ref="AJ628:AL628"/>
    <mergeCell ref="AN628:AO628"/>
    <mergeCell ref="AP628:AQ628"/>
    <mergeCell ref="AR628:AS629"/>
    <mergeCell ref="AT628:AU629"/>
    <mergeCell ref="AV628:AW629"/>
    <mergeCell ref="AX628:AY629"/>
    <mergeCell ref="AZ628:AZ629"/>
    <mergeCell ref="F625:H625"/>
    <mergeCell ref="X625:AB625"/>
    <mergeCell ref="AE625:AI625"/>
    <mergeCell ref="AJ625:AL625"/>
    <mergeCell ref="AN625:AO625"/>
    <mergeCell ref="AP625:AQ625"/>
    <mergeCell ref="A626:A627"/>
    <mergeCell ref="E626:E627"/>
    <mergeCell ref="F626:H626"/>
    <mergeCell ref="J626:J627"/>
    <mergeCell ref="K626:L627"/>
    <mergeCell ref="M626:N627"/>
    <mergeCell ref="O626:P627"/>
    <mergeCell ref="Q626:R627"/>
    <mergeCell ref="S626:T627"/>
    <mergeCell ref="U626:V627"/>
    <mergeCell ref="X626:AB626"/>
    <mergeCell ref="AD626:AI626"/>
    <mergeCell ref="AJ626:AL626"/>
    <mergeCell ref="AN626:AO626"/>
    <mergeCell ref="AP626:AQ626"/>
    <mergeCell ref="W624:W625"/>
    <mergeCell ref="W626:W627"/>
    <mergeCell ref="AR630:AS631"/>
    <mergeCell ref="AT630:AU631"/>
    <mergeCell ref="AV630:AW631"/>
    <mergeCell ref="AX630:AY631"/>
    <mergeCell ref="AZ630:AZ631"/>
    <mergeCell ref="F631:H631"/>
    <mergeCell ref="X631:AB631"/>
    <mergeCell ref="AE631:AI631"/>
    <mergeCell ref="AJ631:AL631"/>
    <mergeCell ref="AN631:AO631"/>
    <mergeCell ref="AP631:AQ631"/>
    <mergeCell ref="A632:A633"/>
    <mergeCell ref="E632:E633"/>
    <mergeCell ref="F632:H632"/>
    <mergeCell ref="J632:J633"/>
    <mergeCell ref="K632:L633"/>
    <mergeCell ref="M632:N633"/>
    <mergeCell ref="O632:P633"/>
    <mergeCell ref="Q632:R633"/>
    <mergeCell ref="S632:T633"/>
    <mergeCell ref="U632:V633"/>
    <mergeCell ref="X632:AB632"/>
    <mergeCell ref="AD632:AI632"/>
    <mergeCell ref="AJ632:AL632"/>
    <mergeCell ref="AN632:AO632"/>
    <mergeCell ref="AP632:AQ632"/>
    <mergeCell ref="AR632:AS633"/>
    <mergeCell ref="AT632:AU633"/>
    <mergeCell ref="AV632:AW633"/>
    <mergeCell ref="AX632:AY633"/>
    <mergeCell ref="AZ632:AZ633"/>
    <mergeCell ref="F629:H629"/>
    <mergeCell ref="X629:AB629"/>
    <mergeCell ref="AE629:AI629"/>
    <mergeCell ref="AJ629:AL629"/>
    <mergeCell ref="AN629:AO629"/>
    <mergeCell ref="AP629:AQ629"/>
    <mergeCell ref="A630:A631"/>
    <mergeCell ref="E630:E631"/>
    <mergeCell ref="F630:H630"/>
    <mergeCell ref="J630:J631"/>
    <mergeCell ref="K630:L631"/>
    <mergeCell ref="M630:N631"/>
    <mergeCell ref="O630:P631"/>
    <mergeCell ref="Q630:R631"/>
    <mergeCell ref="S630:T631"/>
    <mergeCell ref="U630:V631"/>
    <mergeCell ref="X630:AB630"/>
    <mergeCell ref="AD630:AI630"/>
    <mergeCell ref="AJ630:AL630"/>
    <mergeCell ref="AN630:AO630"/>
    <mergeCell ref="AP630:AQ630"/>
    <mergeCell ref="W628:W629"/>
    <mergeCell ref="W630:W631"/>
    <mergeCell ref="AR634:AS635"/>
    <mergeCell ref="AT634:AU635"/>
    <mergeCell ref="AV634:AW635"/>
    <mergeCell ref="AX634:AY635"/>
    <mergeCell ref="AZ634:AZ635"/>
    <mergeCell ref="F635:H635"/>
    <mergeCell ref="X635:AB635"/>
    <mergeCell ref="AE635:AI635"/>
    <mergeCell ref="AJ635:AL635"/>
    <mergeCell ref="AN635:AO635"/>
    <mergeCell ref="AP635:AQ635"/>
    <mergeCell ref="A636:A637"/>
    <mergeCell ref="E636:E637"/>
    <mergeCell ref="F636:H636"/>
    <mergeCell ref="J636:J637"/>
    <mergeCell ref="K636:L637"/>
    <mergeCell ref="M636:N637"/>
    <mergeCell ref="O636:P637"/>
    <mergeCell ref="Q636:R637"/>
    <mergeCell ref="S636:T637"/>
    <mergeCell ref="U636:V637"/>
    <mergeCell ref="X636:AB636"/>
    <mergeCell ref="AD636:AI636"/>
    <mergeCell ref="AJ636:AL636"/>
    <mergeCell ref="AN636:AO636"/>
    <mergeCell ref="AP636:AQ636"/>
    <mergeCell ref="AR636:AS637"/>
    <mergeCell ref="AT636:AU637"/>
    <mergeCell ref="AV636:AW637"/>
    <mergeCell ref="AX636:AY637"/>
    <mergeCell ref="AZ636:AZ637"/>
    <mergeCell ref="F633:H633"/>
    <mergeCell ref="X633:AB633"/>
    <mergeCell ref="AE633:AI633"/>
    <mergeCell ref="AJ633:AL633"/>
    <mergeCell ref="AN633:AO633"/>
    <mergeCell ref="AP633:AQ633"/>
    <mergeCell ref="A634:A635"/>
    <mergeCell ref="E634:E635"/>
    <mergeCell ref="F634:H634"/>
    <mergeCell ref="J634:J635"/>
    <mergeCell ref="K634:L635"/>
    <mergeCell ref="M634:N635"/>
    <mergeCell ref="O634:P635"/>
    <mergeCell ref="Q634:R635"/>
    <mergeCell ref="S634:T635"/>
    <mergeCell ref="U634:V635"/>
    <mergeCell ref="X634:AB634"/>
    <mergeCell ref="AD634:AI634"/>
    <mergeCell ref="AJ634:AL634"/>
    <mergeCell ref="AN634:AO634"/>
    <mergeCell ref="AP634:AQ634"/>
    <mergeCell ref="W632:W633"/>
    <mergeCell ref="W634:W635"/>
    <mergeCell ref="AR638:AS639"/>
    <mergeCell ref="AT638:AU639"/>
    <mergeCell ref="AV638:AW639"/>
    <mergeCell ref="AX638:AY639"/>
    <mergeCell ref="AZ638:AZ639"/>
    <mergeCell ref="F639:H639"/>
    <mergeCell ref="X639:AB639"/>
    <mergeCell ref="AE639:AI639"/>
    <mergeCell ref="AJ639:AL639"/>
    <mergeCell ref="AN639:AO639"/>
    <mergeCell ref="AP639:AQ639"/>
    <mergeCell ref="A640:A641"/>
    <mergeCell ref="E640:E641"/>
    <mergeCell ref="F640:H640"/>
    <mergeCell ref="J640:J641"/>
    <mergeCell ref="K640:L641"/>
    <mergeCell ref="M640:N641"/>
    <mergeCell ref="O640:P641"/>
    <mergeCell ref="Q640:R641"/>
    <mergeCell ref="S640:T641"/>
    <mergeCell ref="U640:V641"/>
    <mergeCell ref="X640:AB640"/>
    <mergeCell ref="AD640:AI640"/>
    <mergeCell ref="AJ640:AL640"/>
    <mergeCell ref="AN640:AO640"/>
    <mergeCell ref="AP640:AQ640"/>
    <mergeCell ref="AR640:AS641"/>
    <mergeCell ref="AT640:AU641"/>
    <mergeCell ref="AV640:AW641"/>
    <mergeCell ref="AX640:AY641"/>
    <mergeCell ref="AZ640:AZ641"/>
    <mergeCell ref="F637:H637"/>
    <mergeCell ref="X637:AB637"/>
    <mergeCell ref="AE637:AI637"/>
    <mergeCell ref="AJ637:AL637"/>
    <mergeCell ref="AN637:AO637"/>
    <mergeCell ref="AP637:AQ637"/>
    <mergeCell ref="A638:A639"/>
    <mergeCell ref="E638:E639"/>
    <mergeCell ref="F638:H638"/>
    <mergeCell ref="J638:J639"/>
    <mergeCell ref="K638:L639"/>
    <mergeCell ref="M638:N639"/>
    <mergeCell ref="O638:P639"/>
    <mergeCell ref="Q638:R639"/>
    <mergeCell ref="S638:T639"/>
    <mergeCell ref="U638:V639"/>
    <mergeCell ref="X638:AB638"/>
    <mergeCell ref="AD638:AI638"/>
    <mergeCell ref="AJ638:AL638"/>
    <mergeCell ref="AN638:AO638"/>
    <mergeCell ref="AP638:AQ638"/>
    <mergeCell ref="W636:W637"/>
    <mergeCell ref="W638:W639"/>
    <mergeCell ref="AR642:AS643"/>
    <mergeCell ref="AT642:AU643"/>
    <mergeCell ref="AV642:AW643"/>
    <mergeCell ref="AX642:AY643"/>
    <mergeCell ref="AZ642:AZ643"/>
    <mergeCell ref="F643:H643"/>
    <mergeCell ref="X643:AB643"/>
    <mergeCell ref="AE643:AI643"/>
    <mergeCell ref="AJ643:AL643"/>
    <mergeCell ref="AN643:AO643"/>
    <mergeCell ref="AP643:AQ643"/>
    <mergeCell ref="A644:A645"/>
    <mergeCell ref="E644:E645"/>
    <mergeCell ref="F644:H644"/>
    <mergeCell ref="J644:J645"/>
    <mergeCell ref="K644:L645"/>
    <mergeCell ref="M644:N645"/>
    <mergeCell ref="O644:P645"/>
    <mergeCell ref="Q644:R645"/>
    <mergeCell ref="S644:T645"/>
    <mergeCell ref="U644:V645"/>
    <mergeCell ref="X644:AB644"/>
    <mergeCell ref="AD644:AI644"/>
    <mergeCell ref="AJ644:AL644"/>
    <mergeCell ref="AN644:AO644"/>
    <mergeCell ref="AP644:AQ644"/>
    <mergeCell ref="AR644:AS645"/>
    <mergeCell ref="AT644:AU645"/>
    <mergeCell ref="AV644:AW645"/>
    <mergeCell ref="AX644:AY645"/>
    <mergeCell ref="AZ644:AZ645"/>
    <mergeCell ref="F641:H641"/>
    <mergeCell ref="X641:AB641"/>
    <mergeCell ref="AE641:AI641"/>
    <mergeCell ref="AJ641:AL641"/>
    <mergeCell ref="AN641:AO641"/>
    <mergeCell ref="AP641:AQ641"/>
    <mergeCell ref="A642:A643"/>
    <mergeCell ref="E642:E643"/>
    <mergeCell ref="F642:H642"/>
    <mergeCell ref="J642:J643"/>
    <mergeCell ref="K642:L643"/>
    <mergeCell ref="M642:N643"/>
    <mergeCell ref="O642:P643"/>
    <mergeCell ref="Q642:R643"/>
    <mergeCell ref="S642:T643"/>
    <mergeCell ref="U642:V643"/>
    <mergeCell ref="X642:AB642"/>
    <mergeCell ref="AD642:AI642"/>
    <mergeCell ref="AJ642:AL642"/>
    <mergeCell ref="AN642:AO642"/>
    <mergeCell ref="AP642:AQ642"/>
    <mergeCell ref="W640:W641"/>
    <mergeCell ref="W642:W643"/>
    <mergeCell ref="AR646:AS647"/>
    <mergeCell ref="AT646:AU647"/>
    <mergeCell ref="AV646:AW647"/>
    <mergeCell ref="AX646:AY647"/>
    <mergeCell ref="AZ646:AZ647"/>
    <mergeCell ref="F647:H647"/>
    <mergeCell ref="X647:AB647"/>
    <mergeCell ref="AE647:AI647"/>
    <mergeCell ref="AJ647:AL647"/>
    <mergeCell ref="AN647:AO647"/>
    <mergeCell ref="AP647:AQ647"/>
    <mergeCell ref="A648:A649"/>
    <mergeCell ref="E648:E649"/>
    <mergeCell ref="F648:H648"/>
    <mergeCell ref="J648:J649"/>
    <mergeCell ref="K648:L649"/>
    <mergeCell ref="M648:N649"/>
    <mergeCell ref="O648:P649"/>
    <mergeCell ref="Q648:R649"/>
    <mergeCell ref="S648:T649"/>
    <mergeCell ref="U648:V649"/>
    <mergeCell ref="X648:AB648"/>
    <mergeCell ref="AD648:AI648"/>
    <mergeCell ref="AJ648:AL648"/>
    <mergeCell ref="AN648:AO648"/>
    <mergeCell ref="AP648:AQ648"/>
    <mergeCell ref="AR648:AS649"/>
    <mergeCell ref="AT648:AU649"/>
    <mergeCell ref="AV648:AW649"/>
    <mergeCell ref="AX648:AY649"/>
    <mergeCell ref="AZ648:AZ649"/>
    <mergeCell ref="F645:H645"/>
    <mergeCell ref="X645:AB645"/>
    <mergeCell ref="AE645:AI645"/>
    <mergeCell ref="AJ645:AL645"/>
    <mergeCell ref="AN645:AO645"/>
    <mergeCell ref="AP645:AQ645"/>
    <mergeCell ref="A646:A647"/>
    <mergeCell ref="E646:E647"/>
    <mergeCell ref="F646:H646"/>
    <mergeCell ref="J646:J647"/>
    <mergeCell ref="K646:L647"/>
    <mergeCell ref="M646:N647"/>
    <mergeCell ref="O646:P647"/>
    <mergeCell ref="Q646:R647"/>
    <mergeCell ref="S646:T647"/>
    <mergeCell ref="U646:V647"/>
    <mergeCell ref="X646:AB646"/>
    <mergeCell ref="AD646:AI646"/>
    <mergeCell ref="AJ646:AL646"/>
    <mergeCell ref="AN646:AO646"/>
    <mergeCell ref="AP646:AQ646"/>
    <mergeCell ref="W644:W645"/>
    <mergeCell ref="W646:W647"/>
    <mergeCell ref="AR650:AS651"/>
    <mergeCell ref="AT650:AU651"/>
    <mergeCell ref="AV650:AW651"/>
    <mergeCell ref="AX650:AY651"/>
    <mergeCell ref="AZ650:AZ651"/>
    <mergeCell ref="F651:H651"/>
    <mergeCell ref="X651:AB651"/>
    <mergeCell ref="AE651:AI651"/>
    <mergeCell ref="AJ651:AL651"/>
    <mergeCell ref="AN651:AO651"/>
    <mergeCell ref="AP651:AQ651"/>
    <mergeCell ref="A652:A653"/>
    <mergeCell ref="E652:E653"/>
    <mergeCell ref="F652:H652"/>
    <mergeCell ref="J652:J653"/>
    <mergeCell ref="K652:L653"/>
    <mergeCell ref="M652:N653"/>
    <mergeCell ref="O652:P653"/>
    <mergeCell ref="Q652:R653"/>
    <mergeCell ref="S652:T653"/>
    <mergeCell ref="U652:V653"/>
    <mergeCell ref="X652:AB652"/>
    <mergeCell ref="AD652:AI652"/>
    <mergeCell ref="AJ652:AL652"/>
    <mergeCell ref="AN652:AO652"/>
    <mergeCell ref="AP652:AQ652"/>
    <mergeCell ref="AR652:AS653"/>
    <mergeCell ref="AT652:AU653"/>
    <mergeCell ref="AV652:AW653"/>
    <mergeCell ref="AX652:AY653"/>
    <mergeCell ref="AZ652:AZ653"/>
    <mergeCell ref="F649:H649"/>
    <mergeCell ref="X649:AB649"/>
    <mergeCell ref="AE649:AI649"/>
    <mergeCell ref="AJ649:AL649"/>
    <mergeCell ref="AN649:AO649"/>
    <mergeCell ref="AP649:AQ649"/>
    <mergeCell ref="A650:A651"/>
    <mergeCell ref="E650:E651"/>
    <mergeCell ref="F650:H650"/>
    <mergeCell ref="J650:J651"/>
    <mergeCell ref="K650:L651"/>
    <mergeCell ref="M650:N651"/>
    <mergeCell ref="O650:P651"/>
    <mergeCell ref="Q650:R651"/>
    <mergeCell ref="S650:T651"/>
    <mergeCell ref="U650:V651"/>
    <mergeCell ref="X650:AB650"/>
    <mergeCell ref="AD650:AI650"/>
    <mergeCell ref="AJ650:AL650"/>
    <mergeCell ref="AN650:AO650"/>
    <mergeCell ref="AP650:AQ650"/>
    <mergeCell ref="W648:W649"/>
    <mergeCell ref="W650:W651"/>
    <mergeCell ref="AR654:AS655"/>
    <mergeCell ref="AT654:AU655"/>
    <mergeCell ref="AV654:AW655"/>
    <mergeCell ref="AX654:AY655"/>
    <mergeCell ref="AZ654:AZ655"/>
    <mergeCell ref="F655:H655"/>
    <mergeCell ref="X655:AB655"/>
    <mergeCell ref="AE655:AI655"/>
    <mergeCell ref="AJ655:AL655"/>
    <mergeCell ref="AN655:AO655"/>
    <mergeCell ref="AP655:AQ655"/>
    <mergeCell ref="A656:A657"/>
    <mergeCell ref="E656:E657"/>
    <mergeCell ref="F656:H656"/>
    <mergeCell ref="J656:J657"/>
    <mergeCell ref="K656:L657"/>
    <mergeCell ref="M656:N657"/>
    <mergeCell ref="O656:P657"/>
    <mergeCell ref="Q656:R657"/>
    <mergeCell ref="S656:T657"/>
    <mergeCell ref="U656:V657"/>
    <mergeCell ref="X656:AB656"/>
    <mergeCell ref="AD656:AI656"/>
    <mergeCell ref="AJ656:AL656"/>
    <mergeCell ref="AN656:AO656"/>
    <mergeCell ref="AP656:AQ656"/>
    <mergeCell ref="AR656:AS657"/>
    <mergeCell ref="AT656:AU657"/>
    <mergeCell ref="AV656:AW657"/>
    <mergeCell ref="AX656:AY657"/>
    <mergeCell ref="AZ656:AZ657"/>
    <mergeCell ref="F653:H653"/>
    <mergeCell ref="X653:AB653"/>
    <mergeCell ref="AE653:AI653"/>
    <mergeCell ref="AJ653:AL653"/>
    <mergeCell ref="AN653:AO653"/>
    <mergeCell ref="AP653:AQ653"/>
    <mergeCell ref="A654:A655"/>
    <mergeCell ref="E654:E655"/>
    <mergeCell ref="F654:H654"/>
    <mergeCell ref="J654:J655"/>
    <mergeCell ref="K654:L655"/>
    <mergeCell ref="M654:N655"/>
    <mergeCell ref="O654:P655"/>
    <mergeCell ref="Q654:R655"/>
    <mergeCell ref="S654:T655"/>
    <mergeCell ref="U654:V655"/>
    <mergeCell ref="X654:AB654"/>
    <mergeCell ref="AD654:AI654"/>
    <mergeCell ref="AJ654:AL654"/>
    <mergeCell ref="AN654:AO654"/>
    <mergeCell ref="AP654:AQ654"/>
    <mergeCell ref="W652:W653"/>
    <mergeCell ref="W654:W655"/>
    <mergeCell ref="AR658:AS659"/>
    <mergeCell ref="AT658:AU659"/>
    <mergeCell ref="AV658:AW659"/>
    <mergeCell ref="AX658:AY659"/>
    <mergeCell ref="AZ658:AZ659"/>
    <mergeCell ref="F659:H659"/>
    <mergeCell ref="X659:AB659"/>
    <mergeCell ref="AE659:AI659"/>
    <mergeCell ref="AJ659:AL659"/>
    <mergeCell ref="AN659:AO659"/>
    <mergeCell ref="AP659:AQ659"/>
    <mergeCell ref="A660:A661"/>
    <mergeCell ref="E660:E661"/>
    <mergeCell ref="F660:H660"/>
    <mergeCell ref="J660:J661"/>
    <mergeCell ref="K660:L661"/>
    <mergeCell ref="M660:N661"/>
    <mergeCell ref="O660:P661"/>
    <mergeCell ref="Q660:R661"/>
    <mergeCell ref="S660:T661"/>
    <mergeCell ref="U660:V661"/>
    <mergeCell ref="X660:AB660"/>
    <mergeCell ref="AD660:AI660"/>
    <mergeCell ref="AJ660:AL660"/>
    <mergeCell ref="AN660:AO660"/>
    <mergeCell ref="AP660:AQ660"/>
    <mergeCell ref="AR660:AS661"/>
    <mergeCell ref="AT660:AU661"/>
    <mergeCell ref="AV660:AW661"/>
    <mergeCell ref="AX660:AY661"/>
    <mergeCell ref="AZ660:AZ661"/>
    <mergeCell ref="F657:H657"/>
    <mergeCell ref="X657:AB657"/>
    <mergeCell ref="AE657:AI657"/>
    <mergeCell ref="AJ657:AL657"/>
    <mergeCell ref="AN657:AO657"/>
    <mergeCell ref="AP657:AQ657"/>
    <mergeCell ref="A658:A659"/>
    <mergeCell ref="E658:E659"/>
    <mergeCell ref="F658:H658"/>
    <mergeCell ref="J658:J659"/>
    <mergeCell ref="K658:L659"/>
    <mergeCell ref="M658:N659"/>
    <mergeCell ref="O658:P659"/>
    <mergeCell ref="Q658:R659"/>
    <mergeCell ref="S658:T659"/>
    <mergeCell ref="U658:V659"/>
    <mergeCell ref="X658:AB658"/>
    <mergeCell ref="AD658:AI658"/>
    <mergeCell ref="AJ658:AL658"/>
    <mergeCell ref="AN658:AO658"/>
    <mergeCell ref="AP658:AQ658"/>
    <mergeCell ref="W656:W657"/>
    <mergeCell ref="W658:W659"/>
    <mergeCell ref="AR662:AS663"/>
    <mergeCell ref="AT662:AU663"/>
    <mergeCell ref="AV662:AW663"/>
    <mergeCell ref="AX662:AY663"/>
    <mergeCell ref="AZ662:AZ663"/>
    <mergeCell ref="F663:H663"/>
    <mergeCell ref="X663:AB663"/>
    <mergeCell ref="AE663:AI663"/>
    <mergeCell ref="AJ663:AL663"/>
    <mergeCell ref="AN663:AO663"/>
    <mergeCell ref="AP663:AQ663"/>
    <mergeCell ref="A664:A665"/>
    <mergeCell ref="E664:E665"/>
    <mergeCell ref="F664:H664"/>
    <mergeCell ref="J664:J665"/>
    <mergeCell ref="K664:L665"/>
    <mergeCell ref="M664:N665"/>
    <mergeCell ref="O664:P665"/>
    <mergeCell ref="Q664:R665"/>
    <mergeCell ref="S664:T665"/>
    <mergeCell ref="U664:V665"/>
    <mergeCell ref="X664:AB664"/>
    <mergeCell ref="AD664:AI664"/>
    <mergeCell ref="AJ664:AL664"/>
    <mergeCell ref="AN664:AO664"/>
    <mergeCell ref="AP664:AQ664"/>
    <mergeCell ref="AR664:AS665"/>
    <mergeCell ref="AT664:AU665"/>
    <mergeCell ref="AV664:AW665"/>
    <mergeCell ref="AX664:AY665"/>
    <mergeCell ref="AZ664:AZ665"/>
    <mergeCell ref="F661:H661"/>
    <mergeCell ref="X661:AB661"/>
    <mergeCell ref="AE661:AI661"/>
    <mergeCell ref="AJ661:AL661"/>
    <mergeCell ref="AN661:AO661"/>
    <mergeCell ref="AP661:AQ661"/>
    <mergeCell ref="A662:A663"/>
    <mergeCell ref="E662:E663"/>
    <mergeCell ref="F662:H662"/>
    <mergeCell ref="J662:J663"/>
    <mergeCell ref="K662:L663"/>
    <mergeCell ref="M662:N663"/>
    <mergeCell ref="O662:P663"/>
    <mergeCell ref="Q662:R663"/>
    <mergeCell ref="S662:T663"/>
    <mergeCell ref="U662:V663"/>
    <mergeCell ref="X662:AB662"/>
    <mergeCell ref="AD662:AI662"/>
    <mergeCell ref="AJ662:AL662"/>
    <mergeCell ref="AN662:AO662"/>
    <mergeCell ref="AP662:AQ662"/>
    <mergeCell ref="W660:W661"/>
    <mergeCell ref="W662:W663"/>
    <mergeCell ref="AR666:AS667"/>
    <mergeCell ref="AT666:AU667"/>
    <mergeCell ref="AV666:AW667"/>
    <mergeCell ref="AX666:AY667"/>
    <mergeCell ref="AZ666:AZ667"/>
    <mergeCell ref="F667:H667"/>
    <mergeCell ref="X667:AB667"/>
    <mergeCell ref="AE667:AI667"/>
    <mergeCell ref="AJ667:AL667"/>
    <mergeCell ref="AN667:AO667"/>
    <mergeCell ref="AP667:AQ667"/>
    <mergeCell ref="A668:A669"/>
    <mergeCell ref="E668:E669"/>
    <mergeCell ref="F668:H668"/>
    <mergeCell ref="J668:J669"/>
    <mergeCell ref="K668:L669"/>
    <mergeCell ref="M668:N669"/>
    <mergeCell ref="O668:P669"/>
    <mergeCell ref="Q668:R669"/>
    <mergeCell ref="S668:T669"/>
    <mergeCell ref="U668:V669"/>
    <mergeCell ref="X668:AB668"/>
    <mergeCell ref="AD668:AI668"/>
    <mergeCell ref="AJ668:AL668"/>
    <mergeCell ref="AN668:AO668"/>
    <mergeCell ref="AP668:AQ668"/>
    <mergeCell ref="AR668:AS669"/>
    <mergeCell ref="AT668:AU669"/>
    <mergeCell ref="AV668:AW669"/>
    <mergeCell ref="AX668:AY669"/>
    <mergeCell ref="AZ668:AZ669"/>
    <mergeCell ref="F665:H665"/>
    <mergeCell ref="X665:AB665"/>
    <mergeCell ref="AE665:AI665"/>
    <mergeCell ref="AJ665:AL665"/>
    <mergeCell ref="AN665:AO665"/>
    <mergeCell ref="AP665:AQ665"/>
    <mergeCell ref="A666:A667"/>
    <mergeCell ref="E666:E667"/>
    <mergeCell ref="F666:H666"/>
    <mergeCell ref="J666:J667"/>
    <mergeCell ref="K666:L667"/>
    <mergeCell ref="M666:N667"/>
    <mergeCell ref="O666:P667"/>
    <mergeCell ref="Q666:R667"/>
    <mergeCell ref="S666:T667"/>
    <mergeCell ref="U666:V667"/>
    <mergeCell ref="X666:AB666"/>
    <mergeCell ref="AD666:AI666"/>
    <mergeCell ref="AJ666:AL666"/>
    <mergeCell ref="AN666:AO666"/>
    <mergeCell ref="AP666:AQ666"/>
    <mergeCell ref="W664:W665"/>
    <mergeCell ref="W666:W667"/>
    <mergeCell ref="AR670:AS671"/>
    <mergeCell ref="AT670:AU671"/>
    <mergeCell ref="AV670:AW671"/>
    <mergeCell ref="AX670:AY671"/>
    <mergeCell ref="AZ670:AZ671"/>
    <mergeCell ref="F671:H671"/>
    <mergeCell ref="X671:AB671"/>
    <mergeCell ref="AE671:AI671"/>
    <mergeCell ref="AJ671:AL671"/>
    <mergeCell ref="AN671:AO671"/>
    <mergeCell ref="AP671:AQ671"/>
    <mergeCell ref="A672:A673"/>
    <mergeCell ref="E672:E673"/>
    <mergeCell ref="F672:H672"/>
    <mergeCell ref="J672:J673"/>
    <mergeCell ref="K672:L673"/>
    <mergeCell ref="M672:N673"/>
    <mergeCell ref="O672:P673"/>
    <mergeCell ref="Q672:R673"/>
    <mergeCell ref="S672:T673"/>
    <mergeCell ref="U672:V673"/>
    <mergeCell ref="X672:AB672"/>
    <mergeCell ref="AD672:AI672"/>
    <mergeCell ref="AJ672:AL672"/>
    <mergeCell ref="AN672:AO672"/>
    <mergeCell ref="AP672:AQ672"/>
    <mergeCell ref="AR672:AS673"/>
    <mergeCell ref="AT672:AU673"/>
    <mergeCell ref="AV672:AW673"/>
    <mergeCell ref="AX672:AY673"/>
    <mergeCell ref="AZ672:AZ673"/>
    <mergeCell ref="F669:H669"/>
    <mergeCell ref="X669:AB669"/>
    <mergeCell ref="AE669:AI669"/>
    <mergeCell ref="AJ669:AL669"/>
    <mergeCell ref="AN669:AO669"/>
    <mergeCell ref="AP669:AQ669"/>
    <mergeCell ref="A670:A671"/>
    <mergeCell ref="E670:E671"/>
    <mergeCell ref="F670:H670"/>
    <mergeCell ref="J670:J671"/>
    <mergeCell ref="K670:L671"/>
    <mergeCell ref="M670:N671"/>
    <mergeCell ref="O670:P671"/>
    <mergeCell ref="Q670:R671"/>
    <mergeCell ref="S670:T671"/>
    <mergeCell ref="U670:V671"/>
    <mergeCell ref="X670:AB670"/>
    <mergeCell ref="AD670:AI670"/>
    <mergeCell ref="AJ670:AL670"/>
    <mergeCell ref="AN670:AO670"/>
    <mergeCell ref="AP670:AQ670"/>
    <mergeCell ref="W668:W669"/>
    <mergeCell ref="W670:W671"/>
    <mergeCell ref="AR674:AS675"/>
    <mergeCell ref="AT674:AU675"/>
    <mergeCell ref="AV674:AW675"/>
    <mergeCell ref="AX674:AY675"/>
    <mergeCell ref="AZ674:AZ675"/>
    <mergeCell ref="F675:H675"/>
    <mergeCell ref="X675:AB675"/>
    <mergeCell ref="AE675:AI675"/>
    <mergeCell ref="AJ675:AL675"/>
    <mergeCell ref="AN675:AO675"/>
    <mergeCell ref="AP675:AQ675"/>
    <mergeCell ref="A676:A677"/>
    <mergeCell ref="E676:E677"/>
    <mergeCell ref="F676:H676"/>
    <mergeCell ref="J676:J677"/>
    <mergeCell ref="K676:L677"/>
    <mergeCell ref="M676:N677"/>
    <mergeCell ref="O676:P677"/>
    <mergeCell ref="Q676:R677"/>
    <mergeCell ref="S676:T677"/>
    <mergeCell ref="U676:V677"/>
    <mergeCell ref="X676:AB676"/>
    <mergeCell ref="AD676:AI676"/>
    <mergeCell ref="AJ676:AL676"/>
    <mergeCell ref="AN676:AO676"/>
    <mergeCell ref="AP676:AQ676"/>
    <mergeCell ref="AR676:AS677"/>
    <mergeCell ref="AT676:AU677"/>
    <mergeCell ref="AV676:AW677"/>
    <mergeCell ref="AX676:AY677"/>
    <mergeCell ref="AZ676:AZ677"/>
    <mergeCell ref="F673:H673"/>
    <mergeCell ref="X673:AB673"/>
    <mergeCell ref="AE673:AI673"/>
    <mergeCell ref="AJ673:AL673"/>
    <mergeCell ref="AN673:AO673"/>
    <mergeCell ref="AP673:AQ673"/>
    <mergeCell ref="A674:A675"/>
    <mergeCell ref="E674:E675"/>
    <mergeCell ref="F674:H674"/>
    <mergeCell ref="J674:J675"/>
    <mergeCell ref="K674:L675"/>
    <mergeCell ref="M674:N675"/>
    <mergeCell ref="O674:P675"/>
    <mergeCell ref="Q674:R675"/>
    <mergeCell ref="S674:T675"/>
    <mergeCell ref="U674:V675"/>
    <mergeCell ref="X674:AB674"/>
    <mergeCell ref="AD674:AI674"/>
    <mergeCell ref="AJ674:AL674"/>
    <mergeCell ref="AN674:AO674"/>
    <mergeCell ref="AP674:AQ674"/>
    <mergeCell ref="W672:W673"/>
    <mergeCell ref="W674:W675"/>
    <mergeCell ref="AR678:AS679"/>
    <mergeCell ref="AT678:AU679"/>
    <mergeCell ref="AV678:AW679"/>
    <mergeCell ref="AX678:AY679"/>
    <mergeCell ref="AZ678:AZ679"/>
    <mergeCell ref="F679:H679"/>
    <mergeCell ref="X679:AB679"/>
    <mergeCell ref="AE679:AI679"/>
    <mergeCell ref="AJ679:AL679"/>
    <mergeCell ref="AN679:AO679"/>
    <mergeCell ref="AP679:AQ679"/>
    <mergeCell ref="A680:A681"/>
    <mergeCell ref="E680:E681"/>
    <mergeCell ref="F680:H680"/>
    <mergeCell ref="J680:J681"/>
    <mergeCell ref="K680:L681"/>
    <mergeCell ref="M680:N681"/>
    <mergeCell ref="O680:P681"/>
    <mergeCell ref="Q680:R681"/>
    <mergeCell ref="S680:T681"/>
    <mergeCell ref="U680:V681"/>
    <mergeCell ref="X680:AB680"/>
    <mergeCell ref="AD680:AI680"/>
    <mergeCell ref="AJ680:AL680"/>
    <mergeCell ref="AN680:AO680"/>
    <mergeCell ref="AP680:AQ680"/>
    <mergeCell ref="AR680:AS681"/>
    <mergeCell ref="AT680:AU681"/>
    <mergeCell ref="AV680:AW681"/>
    <mergeCell ref="AX680:AY681"/>
    <mergeCell ref="AZ680:AZ681"/>
    <mergeCell ref="F677:H677"/>
    <mergeCell ref="X677:AB677"/>
    <mergeCell ref="AE677:AI677"/>
    <mergeCell ref="AJ677:AL677"/>
    <mergeCell ref="AN677:AO677"/>
    <mergeCell ref="AP677:AQ677"/>
    <mergeCell ref="A678:A679"/>
    <mergeCell ref="E678:E679"/>
    <mergeCell ref="F678:H678"/>
    <mergeCell ref="J678:J679"/>
    <mergeCell ref="K678:L679"/>
    <mergeCell ref="M678:N679"/>
    <mergeCell ref="O678:P679"/>
    <mergeCell ref="Q678:R679"/>
    <mergeCell ref="S678:T679"/>
    <mergeCell ref="U678:V679"/>
    <mergeCell ref="X678:AB678"/>
    <mergeCell ref="AD678:AI678"/>
    <mergeCell ref="AJ678:AL678"/>
    <mergeCell ref="AN678:AO678"/>
    <mergeCell ref="AP678:AQ678"/>
    <mergeCell ref="W676:W677"/>
    <mergeCell ref="W678:W679"/>
    <mergeCell ref="AR682:AS683"/>
    <mergeCell ref="AT682:AU683"/>
    <mergeCell ref="AV682:AW683"/>
    <mergeCell ref="AX682:AY683"/>
    <mergeCell ref="AZ682:AZ683"/>
    <mergeCell ref="F683:H683"/>
    <mergeCell ref="X683:AB683"/>
    <mergeCell ref="AE683:AI683"/>
    <mergeCell ref="AJ683:AL683"/>
    <mergeCell ref="AN683:AO683"/>
    <mergeCell ref="AP683:AQ683"/>
    <mergeCell ref="A684:A685"/>
    <mergeCell ref="E684:E685"/>
    <mergeCell ref="F684:H684"/>
    <mergeCell ref="J684:J685"/>
    <mergeCell ref="K684:L685"/>
    <mergeCell ref="M684:N685"/>
    <mergeCell ref="O684:P685"/>
    <mergeCell ref="Q684:R685"/>
    <mergeCell ref="S684:T685"/>
    <mergeCell ref="U684:V685"/>
    <mergeCell ref="X684:AB684"/>
    <mergeCell ref="AD684:AI684"/>
    <mergeCell ref="AJ684:AL684"/>
    <mergeCell ref="AN684:AO684"/>
    <mergeCell ref="AP684:AQ684"/>
    <mergeCell ref="AR684:AS685"/>
    <mergeCell ref="AT684:AU685"/>
    <mergeCell ref="AV684:AW685"/>
    <mergeCell ref="AX684:AY685"/>
    <mergeCell ref="AZ684:AZ685"/>
    <mergeCell ref="F681:H681"/>
    <mergeCell ref="X681:AB681"/>
    <mergeCell ref="AE681:AI681"/>
    <mergeCell ref="AJ681:AL681"/>
    <mergeCell ref="AN681:AO681"/>
    <mergeCell ref="AP681:AQ681"/>
    <mergeCell ref="A682:A683"/>
    <mergeCell ref="E682:E683"/>
    <mergeCell ref="F682:H682"/>
    <mergeCell ref="J682:J683"/>
    <mergeCell ref="K682:L683"/>
    <mergeCell ref="M682:N683"/>
    <mergeCell ref="O682:P683"/>
    <mergeCell ref="Q682:R683"/>
    <mergeCell ref="S682:T683"/>
    <mergeCell ref="U682:V683"/>
    <mergeCell ref="X682:AB682"/>
    <mergeCell ref="AD682:AI682"/>
    <mergeCell ref="AJ682:AL682"/>
    <mergeCell ref="AN682:AO682"/>
    <mergeCell ref="AP682:AQ682"/>
    <mergeCell ref="W680:W681"/>
    <mergeCell ref="W682:W683"/>
    <mergeCell ref="AR686:AS687"/>
    <mergeCell ref="AT686:AU687"/>
    <mergeCell ref="AV686:AW687"/>
    <mergeCell ref="AX686:AY687"/>
    <mergeCell ref="AZ686:AZ687"/>
    <mergeCell ref="F687:H687"/>
    <mergeCell ref="X687:AB687"/>
    <mergeCell ref="AE687:AI687"/>
    <mergeCell ref="AJ687:AL687"/>
    <mergeCell ref="AN687:AO687"/>
    <mergeCell ref="AP687:AQ687"/>
    <mergeCell ref="A688:A689"/>
    <mergeCell ref="E688:E689"/>
    <mergeCell ref="F688:H688"/>
    <mergeCell ref="J688:J689"/>
    <mergeCell ref="K688:L689"/>
    <mergeCell ref="M688:N689"/>
    <mergeCell ref="O688:P689"/>
    <mergeCell ref="Q688:R689"/>
    <mergeCell ref="S688:T689"/>
    <mergeCell ref="U688:V689"/>
    <mergeCell ref="X688:AB688"/>
    <mergeCell ref="AD688:AI688"/>
    <mergeCell ref="AJ688:AL688"/>
    <mergeCell ref="AN688:AO688"/>
    <mergeCell ref="AP688:AQ688"/>
    <mergeCell ref="AR688:AS689"/>
    <mergeCell ref="AT688:AU689"/>
    <mergeCell ref="AV688:AW689"/>
    <mergeCell ref="AX688:AY689"/>
    <mergeCell ref="AZ688:AZ689"/>
    <mergeCell ref="F685:H685"/>
    <mergeCell ref="X685:AB685"/>
    <mergeCell ref="AE685:AI685"/>
    <mergeCell ref="AJ685:AL685"/>
    <mergeCell ref="AN685:AO685"/>
    <mergeCell ref="AP685:AQ685"/>
    <mergeCell ref="A686:A687"/>
    <mergeCell ref="E686:E687"/>
    <mergeCell ref="F686:H686"/>
    <mergeCell ref="J686:J687"/>
    <mergeCell ref="K686:L687"/>
    <mergeCell ref="M686:N687"/>
    <mergeCell ref="O686:P687"/>
    <mergeCell ref="Q686:R687"/>
    <mergeCell ref="S686:T687"/>
    <mergeCell ref="U686:V687"/>
    <mergeCell ref="X686:AB686"/>
    <mergeCell ref="AD686:AI686"/>
    <mergeCell ref="AJ686:AL686"/>
    <mergeCell ref="AN686:AO686"/>
    <mergeCell ref="AP686:AQ686"/>
    <mergeCell ref="W684:W685"/>
    <mergeCell ref="W686:W687"/>
    <mergeCell ref="AR690:AS691"/>
    <mergeCell ref="AT690:AU691"/>
    <mergeCell ref="AV690:AW691"/>
    <mergeCell ref="AX690:AY691"/>
    <mergeCell ref="AZ690:AZ691"/>
    <mergeCell ref="F691:H691"/>
    <mergeCell ref="X691:AB691"/>
    <mergeCell ref="AE691:AI691"/>
    <mergeCell ref="AJ691:AL691"/>
    <mergeCell ref="AN691:AO691"/>
    <mergeCell ref="AP691:AQ691"/>
    <mergeCell ref="A692:A693"/>
    <mergeCell ref="E692:E693"/>
    <mergeCell ref="F692:H692"/>
    <mergeCell ref="J692:J693"/>
    <mergeCell ref="K692:L693"/>
    <mergeCell ref="M692:N693"/>
    <mergeCell ref="O692:P693"/>
    <mergeCell ref="Q692:R693"/>
    <mergeCell ref="S692:T693"/>
    <mergeCell ref="U692:V693"/>
    <mergeCell ref="X692:AB692"/>
    <mergeCell ref="AD692:AI692"/>
    <mergeCell ref="AJ692:AL692"/>
    <mergeCell ref="AN692:AO692"/>
    <mergeCell ref="AP692:AQ692"/>
    <mergeCell ref="AR692:AS693"/>
    <mergeCell ref="AT692:AU693"/>
    <mergeCell ref="AV692:AW693"/>
    <mergeCell ref="AX692:AY693"/>
    <mergeCell ref="AZ692:AZ693"/>
    <mergeCell ref="F689:H689"/>
    <mergeCell ref="X689:AB689"/>
    <mergeCell ref="AE689:AI689"/>
    <mergeCell ref="AJ689:AL689"/>
    <mergeCell ref="AN689:AO689"/>
    <mergeCell ref="AP689:AQ689"/>
    <mergeCell ref="A690:A691"/>
    <mergeCell ref="E690:E691"/>
    <mergeCell ref="F690:H690"/>
    <mergeCell ref="J690:J691"/>
    <mergeCell ref="K690:L691"/>
    <mergeCell ref="M690:N691"/>
    <mergeCell ref="O690:P691"/>
    <mergeCell ref="Q690:R691"/>
    <mergeCell ref="S690:T691"/>
    <mergeCell ref="U690:V691"/>
    <mergeCell ref="X690:AB690"/>
    <mergeCell ref="AD690:AI690"/>
    <mergeCell ref="AJ690:AL690"/>
    <mergeCell ref="AN690:AO690"/>
    <mergeCell ref="AP690:AQ690"/>
    <mergeCell ref="W688:W689"/>
    <mergeCell ref="W690:W691"/>
    <mergeCell ref="AR694:AS695"/>
    <mergeCell ref="AT694:AU695"/>
    <mergeCell ref="AV694:AW695"/>
    <mergeCell ref="AX694:AY695"/>
    <mergeCell ref="AZ694:AZ695"/>
    <mergeCell ref="F695:H695"/>
    <mergeCell ref="X695:AB695"/>
    <mergeCell ref="AE695:AI695"/>
    <mergeCell ref="AJ695:AL695"/>
    <mergeCell ref="AN695:AO695"/>
    <mergeCell ref="AP695:AQ695"/>
    <mergeCell ref="A696:A697"/>
    <mergeCell ref="E696:E697"/>
    <mergeCell ref="F696:H696"/>
    <mergeCell ref="J696:J697"/>
    <mergeCell ref="K696:L697"/>
    <mergeCell ref="M696:N697"/>
    <mergeCell ref="O696:P697"/>
    <mergeCell ref="Q696:R697"/>
    <mergeCell ref="S696:T697"/>
    <mergeCell ref="U696:V697"/>
    <mergeCell ref="X696:AB696"/>
    <mergeCell ref="AD696:AI696"/>
    <mergeCell ref="AJ696:AL696"/>
    <mergeCell ref="AN696:AO696"/>
    <mergeCell ref="AP696:AQ696"/>
    <mergeCell ref="AR696:AS697"/>
    <mergeCell ref="AT696:AU697"/>
    <mergeCell ref="AV696:AW697"/>
    <mergeCell ref="AX696:AY697"/>
    <mergeCell ref="AZ696:AZ697"/>
    <mergeCell ref="F693:H693"/>
    <mergeCell ref="X693:AB693"/>
    <mergeCell ref="AE693:AI693"/>
    <mergeCell ref="AJ693:AL693"/>
    <mergeCell ref="AN693:AO693"/>
    <mergeCell ref="AP693:AQ693"/>
    <mergeCell ref="A694:A695"/>
    <mergeCell ref="E694:E695"/>
    <mergeCell ref="F694:H694"/>
    <mergeCell ref="J694:J695"/>
    <mergeCell ref="K694:L695"/>
    <mergeCell ref="M694:N695"/>
    <mergeCell ref="O694:P695"/>
    <mergeCell ref="Q694:R695"/>
    <mergeCell ref="S694:T695"/>
    <mergeCell ref="U694:V695"/>
    <mergeCell ref="X694:AB694"/>
    <mergeCell ref="AD694:AI694"/>
    <mergeCell ref="AJ694:AL694"/>
    <mergeCell ref="AN694:AO694"/>
    <mergeCell ref="AP694:AQ694"/>
    <mergeCell ref="W692:W693"/>
    <mergeCell ref="W694:W695"/>
    <mergeCell ref="AR698:AS699"/>
    <mergeCell ref="AT698:AU699"/>
    <mergeCell ref="AV698:AW699"/>
    <mergeCell ref="AX698:AY699"/>
    <mergeCell ref="AZ698:AZ699"/>
    <mergeCell ref="F699:H699"/>
    <mergeCell ref="X699:AB699"/>
    <mergeCell ref="AE699:AI699"/>
    <mergeCell ref="AJ699:AL699"/>
    <mergeCell ref="AN699:AO699"/>
    <mergeCell ref="AP699:AQ699"/>
    <mergeCell ref="A700:A701"/>
    <mergeCell ref="E700:E701"/>
    <mergeCell ref="F700:H700"/>
    <mergeCell ref="J700:J701"/>
    <mergeCell ref="K700:L701"/>
    <mergeCell ref="M700:N701"/>
    <mergeCell ref="O700:P701"/>
    <mergeCell ref="Q700:R701"/>
    <mergeCell ref="S700:T701"/>
    <mergeCell ref="U700:V701"/>
    <mergeCell ref="X700:AB700"/>
    <mergeCell ref="AD700:AI700"/>
    <mergeCell ref="AJ700:AL700"/>
    <mergeCell ref="AN700:AO700"/>
    <mergeCell ref="AP700:AQ700"/>
    <mergeCell ref="AR700:AS701"/>
    <mergeCell ref="AT700:AU701"/>
    <mergeCell ref="AV700:AW701"/>
    <mergeCell ref="AX700:AY701"/>
    <mergeCell ref="AZ700:AZ701"/>
    <mergeCell ref="F697:H697"/>
    <mergeCell ref="X697:AB697"/>
    <mergeCell ref="AE697:AI697"/>
    <mergeCell ref="AJ697:AL697"/>
    <mergeCell ref="AN697:AO697"/>
    <mergeCell ref="AP697:AQ697"/>
    <mergeCell ref="A698:A699"/>
    <mergeCell ref="E698:E699"/>
    <mergeCell ref="F698:H698"/>
    <mergeCell ref="J698:J699"/>
    <mergeCell ref="K698:L699"/>
    <mergeCell ref="M698:N699"/>
    <mergeCell ref="O698:P699"/>
    <mergeCell ref="Q698:R699"/>
    <mergeCell ref="S698:T699"/>
    <mergeCell ref="U698:V699"/>
    <mergeCell ref="X698:AB698"/>
    <mergeCell ref="AD698:AI698"/>
    <mergeCell ref="AJ698:AL698"/>
    <mergeCell ref="AN698:AO698"/>
    <mergeCell ref="AP698:AQ698"/>
    <mergeCell ref="W696:W697"/>
    <mergeCell ref="W698:W699"/>
    <mergeCell ref="AR702:AS703"/>
    <mergeCell ref="AT702:AU703"/>
    <mergeCell ref="AV702:AW703"/>
    <mergeCell ref="AX702:AY703"/>
    <mergeCell ref="AZ702:AZ703"/>
    <mergeCell ref="F703:H703"/>
    <mergeCell ref="X703:AB703"/>
    <mergeCell ref="AE703:AI703"/>
    <mergeCell ref="AJ703:AL703"/>
    <mergeCell ref="AN703:AO703"/>
    <mergeCell ref="AP703:AQ703"/>
    <mergeCell ref="A704:A705"/>
    <mergeCell ref="E704:E705"/>
    <mergeCell ref="F704:H704"/>
    <mergeCell ref="J704:J705"/>
    <mergeCell ref="K704:L705"/>
    <mergeCell ref="M704:N705"/>
    <mergeCell ref="O704:P705"/>
    <mergeCell ref="Q704:R705"/>
    <mergeCell ref="S704:T705"/>
    <mergeCell ref="U704:V705"/>
    <mergeCell ref="X704:AB704"/>
    <mergeCell ref="AD704:AI704"/>
    <mergeCell ref="AJ704:AL704"/>
    <mergeCell ref="AN704:AO704"/>
    <mergeCell ref="AP704:AQ704"/>
    <mergeCell ref="AR704:AS705"/>
    <mergeCell ref="AT704:AU705"/>
    <mergeCell ref="AV704:AW705"/>
    <mergeCell ref="AX704:AY705"/>
    <mergeCell ref="AZ704:AZ705"/>
    <mergeCell ref="F701:H701"/>
    <mergeCell ref="X701:AB701"/>
    <mergeCell ref="AE701:AI701"/>
    <mergeCell ref="AJ701:AL701"/>
    <mergeCell ref="AN701:AO701"/>
    <mergeCell ref="AP701:AQ701"/>
    <mergeCell ref="A702:A703"/>
    <mergeCell ref="E702:E703"/>
    <mergeCell ref="F702:H702"/>
    <mergeCell ref="J702:J703"/>
    <mergeCell ref="K702:L703"/>
    <mergeCell ref="M702:N703"/>
    <mergeCell ref="O702:P703"/>
    <mergeCell ref="Q702:R703"/>
    <mergeCell ref="S702:T703"/>
    <mergeCell ref="U702:V703"/>
    <mergeCell ref="X702:AB702"/>
    <mergeCell ref="AD702:AI702"/>
    <mergeCell ref="AJ702:AL702"/>
    <mergeCell ref="AN702:AO702"/>
    <mergeCell ref="AP702:AQ702"/>
    <mergeCell ref="W700:W701"/>
    <mergeCell ref="W702:W703"/>
    <mergeCell ref="AR706:AS707"/>
    <mergeCell ref="AT706:AU707"/>
    <mergeCell ref="AV706:AW707"/>
    <mergeCell ref="AX706:AY707"/>
    <mergeCell ref="AZ706:AZ707"/>
    <mergeCell ref="F707:H707"/>
    <mergeCell ref="X707:AB707"/>
    <mergeCell ref="AE707:AI707"/>
    <mergeCell ref="AJ707:AL707"/>
    <mergeCell ref="AN707:AO707"/>
    <mergeCell ref="AP707:AQ707"/>
    <mergeCell ref="A708:A709"/>
    <mergeCell ref="E708:E709"/>
    <mergeCell ref="F708:H708"/>
    <mergeCell ref="J708:J709"/>
    <mergeCell ref="K708:L709"/>
    <mergeCell ref="M708:N709"/>
    <mergeCell ref="O708:P709"/>
    <mergeCell ref="Q708:R709"/>
    <mergeCell ref="S708:T709"/>
    <mergeCell ref="U708:V709"/>
    <mergeCell ref="X708:AB708"/>
    <mergeCell ref="AD708:AI708"/>
    <mergeCell ref="AJ708:AL708"/>
    <mergeCell ref="AN708:AO708"/>
    <mergeCell ref="AP708:AQ708"/>
    <mergeCell ref="AR708:AS709"/>
    <mergeCell ref="AT708:AU709"/>
    <mergeCell ref="AV708:AW709"/>
    <mergeCell ref="AX708:AY709"/>
    <mergeCell ref="AZ708:AZ709"/>
    <mergeCell ref="F705:H705"/>
    <mergeCell ref="X705:AB705"/>
    <mergeCell ref="AE705:AI705"/>
    <mergeCell ref="AJ705:AL705"/>
    <mergeCell ref="AN705:AO705"/>
    <mergeCell ref="AP705:AQ705"/>
    <mergeCell ref="A706:A707"/>
    <mergeCell ref="E706:E707"/>
    <mergeCell ref="F706:H706"/>
    <mergeCell ref="J706:J707"/>
    <mergeCell ref="K706:L707"/>
    <mergeCell ref="M706:N707"/>
    <mergeCell ref="O706:P707"/>
    <mergeCell ref="Q706:R707"/>
    <mergeCell ref="S706:T707"/>
    <mergeCell ref="U706:V707"/>
    <mergeCell ref="X706:AB706"/>
    <mergeCell ref="AD706:AI706"/>
    <mergeCell ref="AJ706:AL706"/>
    <mergeCell ref="AN706:AO706"/>
    <mergeCell ref="AP706:AQ706"/>
    <mergeCell ref="W704:W705"/>
    <mergeCell ref="W706:W707"/>
    <mergeCell ref="AR710:AS711"/>
    <mergeCell ref="AT710:AU711"/>
    <mergeCell ref="AV710:AW711"/>
    <mergeCell ref="AX710:AY711"/>
    <mergeCell ref="AZ710:AZ711"/>
    <mergeCell ref="F711:H711"/>
    <mergeCell ref="X711:AB711"/>
    <mergeCell ref="AE711:AI711"/>
    <mergeCell ref="AJ711:AL711"/>
    <mergeCell ref="AN711:AO711"/>
    <mergeCell ref="AP711:AQ711"/>
    <mergeCell ref="A712:A713"/>
    <mergeCell ref="E712:E713"/>
    <mergeCell ref="F712:H712"/>
    <mergeCell ref="J712:J713"/>
    <mergeCell ref="K712:L713"/>
    <mergeCell ref="M712:N713"/>
    <mergeCell ref="O712:P713"/>
    <mergeCell ref="Q712:R713"/>
    <mergeCell ref="S712:T713"/>
    <mergeCell ref="U712:V713"/>
    <mergeCell ref="X712:AB712"/>
    <mergeCell ref="AD712:AI712"/>
    <mergeCell ref="AJ712:AL712"/>
    <mergeCell ref="AN712:AO712"/>
    <mergeCell ref="AP712:AQ712"/>
    <mergeCell ref="AR712:AS713"/>
    <mergeCell ref="AT712:AU713"/>
    <mergeCell ref="AV712:AW713"/>
    <mergeCell ref="AX712:AY713"/>
    <mergeCell ref="AZ712:AZ713"/>
    <mergeCell ref="F709:H709"/>
    <mergeCell ref="X709:AB709"/>
    <mergeCell ref="AE709:AI709"/>
    <mergeCell ref="AJ709:AL709"/>
    <mergeCell ref="AN709:AO709"/>
    <mergeCell ref="AP709:AQ709"/>
    <mergeCell ref="A710:A711"/>
    <mergeCell ref="E710:E711"/>
    <mergeCell ref="F710:H710"/>
    <mergeCell ref="J710:J711"/>
    <mergeCell ref="K710:L711"/>
    <mergeCell ref="M710:N711"/>
    <mergeCell ref="O710:P711"/>
    <mergeCell ref="Q710:R711"/>
    <mergeCell ref="S710:T711"/>
    <mergeCell ref="U710:V711"/>
    <mergeCell ref="X710:AB710"/>
    <mergeCell ref="AD710:AI710"/>
    <mergeCell ref="AJ710:AL710"/>
    <mergeCell ref="AN710:AO710"/>
    <mergeCell ref="AP710:AQ710"/>
    <mergeCell ref="W708:W709"/>
    <mergeCell ref="W710:W711"/>
    <mergeCell ref="AR714:AS715"/>
    <mergeCell ref="AT714:AU715"/>
    <mergeCell ref="AV714:AW715"/>
    <mergeCell ref="AX714:AY715"/>
    <mergeCell ref="AZ714:AZ715"/>
    <mergeCell ref="F715:H715"/>
    <mergeCell ref="X715:AB715"/>
    <mergeCell ref="AE715:AI715"/>
    <mergeCell ref="AJ715:AL715"/>
    <mergeCell ref="AN715:AO715"/>
    <mergeCell ref="AP715:AQ715"/>
    <mergeCell ref="A716:A717"/>
    <mergeCell ref="E716:E717"/>
    <mergeCell ref="F716:H716"/>
    <mergeCell ref="J716:J717"/>
    <mergeCell ref="K716:L717"/>
    <mergeCell ref="M716:N717"/>
    <mergeCell ref="O716:P717"/>
    <mergeCell ref="Q716:R717"/>
    <mergeCell ref="S716:T717"/>
    <mergeCell ref="U716:V717"/>
    <mergeCell ref="X716:AB716"/>
    <mergeCell ref="AD716:AI716"/>
    <mergeCell ref="AJ716:AL716"/>
    <mergeCell ref="AN716:AO716"/>
    <mergeCell ref="AP716:AQ716"/>
    <mergeCell ref="AR716:AS717"/>
    <mergeCell ref="AT716:AU717"/>
    <mergeCell ref="AV716:AW717"/>
    <mergeCell ref="AX716:AY717"/>
    <mergeCell ref="AZ716:AZ717"/>
    <mergeCell ref="F713:H713"/>
    <mergeCell ref="X713:AB713"/>
    <mergeCell ref="AE713:AI713"/>
    <mergeCell ref="AJ713:AL713"/>
    <mergeCell ref="AN713:AO713"/>
    <mergeCell ref="AP713:AQ713"/>
    <mergeCell ref="A714:A715"/>
    <mergeCell ref="E714:E715"/>
    <mergeCell ref="F714:H714"/>
    <mergeCell ref="J714:J715"/>
    <mergeCell ref="K714:L715"/>
    <mergeCell ref="M714:N715"/>
    <mergeCell ref="O714:P715"/>
    <mergeCell ref="Q714:R715"/>
    <mergeCell ref="S714:T715"/>
    <mergeCell ref="U714:V715"/>
    <mergeCell ref="X714:AB714"/>
    <mergeCell ref="AD714:AI714"/>
    <mergeCell ref="AJ714:AL714"/>
    <mergeCell ref="AN714:AO714"/>
    <mergeCell ref="AP714:AQ714"/>
    <mergeCell ref="W712:W713"/>
    <mergeCell ref="W714:W715"/>
    <mergeCell ref="AR718:AS719"/>
    <mergeCell ref="AT718:AU719"/>
    <mergeCell ref="AV718:AW719"/>
    <mergeCell ref="AX718:AY719"/>
    <mergeCell ref="AZ718:AZ719"/>
    <mergeCell ref="F719:H719"/>
    <mergeCell ref="X719:AB719"/>
    <mergeCell ref="AE719:AI719"/>
    <mergeCell ref="AJ719:AL719"/>
    <mergeCell ref="AN719:AO719"/>
    <mergeCell ref="AP719:AQ719"/>
    <mergeCell ref="A720:A721"/>
    <mergeCell ref="E720:E721"/>
    <mergeCell ref="F720:H720"/>
    <mergeCell ref="J720:J721"/>
    <mergeCell ref="K720:L721"/>
    <mergeCell ref="M720:N721"/>
    <mergeCell ref="O720:P721"/>
    <mergeCell ref="Q720:R721"/>
    <mergeCell ref="S720:T721"/>
    <mergeCell ref="U720:V721"/>
    <mergeCell ref="X720:AB720"/>
    <mergeCell ref="AD720:AI720"/>
    <mergeCell ref="AJ720:AL720"/>
    <mergeCell ref="AN720:AO720"/>
    <mergeCell ref="AP720:AQ720"/>
    <mergeCell ref="AR720:AS721"/>
    <mergeCell ref="AT720:AU721"/>
    <mergeCell ref="AV720:AW721"/>
    <mergeCell ref="AX720:AY721"/>
    <mergeCell ref="AZ720:AZ721"/>
    <mergeCell ref="F717:H717"/>
    <mergeCell ref="X717:AB717"/>
    <mergeCell ref="AE717:AI717"/>
    <mergeCell ref="AJ717:AL717"/>
    <mergeCell ref="AN717:AO717"/>
    <mergeCell ref="AP717:AQ717"/>
    <mergeCell ref="A718:A719"/>
    <mergeCell ref="E718:E719"/>
    <mergeCell ref="F718:H718"/>
    <mergeCell ref="J718:J719"/>
    <mergeCell ref="K718:L719"/>
    <mergeCell ref="M718:N719"/>
    <mergeCell ref="O718:P719"/>
    <mergeCell ref="Q718:R719"/>
    <mergeCell ref="S718:T719"/>
    <mergeCell ref="U718:V719"/>
    <mergeCell ref="X718:AB718"/>
    <mergeCell ref="AD718:AI718"/>
    <mergeCell ref="AJ718:AL718"/>
    <mergeCell ref="AN718:AO718"/>
    <mergeCell ref="AP718:AQ718"/>
    <mergeCell ref="W716:W717"/>
    <mergeCell ref="W718:W719"/>
    <mergeCell ref="AR722:AS723"/>
    <mergeCell ref="AT722:AU723"/>
    <mergeCell ref="AV722:AW723"/>
    <mergeCell ref="AX722:AY723"/>
    <mergeCell ref="AZ722:AZ723"/>
    <mergeCell ref="F723:H723"/>
    <mergeCell ref="X723:AB723"/>
    <mergeCell ref="AE723:AI723"/>
    <mergeCell ref="AJ723:AL723"/>
    <mergeCell ref="AN723:AO723"/>
    <mergeCell ref="AP723:AQ723"/>
    <mergeCell ref="A724:A725"/>
    <mergeCell ref="E724:E725"/>
    <mergeCell ref="F724:H724"/>
    <mergeCell ref="J724:J725"/>
    <mergeCell ref="K724:L725"/>
    <mergeCell ref="M724:N725"/>
    <mergeCell ref="O724:P725"/>
    <mergeCell ref="Q724:R725"/>
    <mergeCell ref="S724:T725"/>
    <mergeCell ref="U724:V725"/>
    <mergeCell ref="X724:AB724"/>
    <mergeCell ref="AD724:AI724"/>
    <mergeCell ref="AJ724:AL724"/>
    <mergeCell ref="AN724:AO724"/>
    <mergeCell ref="AP724:AQ724"/>
    <mergeCell ref="AR724:AS725"/>
    <mergeCell ref="AT724:AU725"/>
    <mergeCell ref="AV724:AW725"/>
    <mergeCell ref="AX724:AY725"/>
    <mergeCell ref="AZ724:AZ725"/>
    <mergeCell ref="F721:H721"/>
    <mergeCell ref="X721:AB721"/>
    <mergeCell ref="AE721:AI721"/>
    <mergeCell ref="AJ721:AL721"/>
    <mergeCell ref="AN721:AO721"/>
    <mergeCell ref="AP721:AQ721"/>
    <mergeCell ref="A722:A723"/>
    <mergeCell ref="E722:E723"/>
    <mergeCell ref="F722:H722"/>
    <mergeCell ref="J722:J723"/>
    <mergeCell ref="K722:L723"/>
    <mergeCell ref="M722:N723"/>
    <mergeCell ref="O722:P723"/>
    <mergeCell ref="Q722:R723"/>
    <mergeCell ref="S722:T723"/>
    <mergeCell ref="U722:V723"/>
    <mergeCell ref="X722:AB722"/>
    <mergeCell ref="AD722:AI722"/>
    <mergeCell ref="AJ722:AL722"/>
    <mergeCell ref="AN722:AO722"/>
    <mergeCell ref="AP722:AQ722"/>
    <mergeCell ref="W720:W721"/>
    <mergeCell ref="W722:W723"/>
    <mergeCell ref="AR726:AS727"/>
    <mergeCell ref="AT726:AU727"/>
    <mergeCell ref="AV726:AW727"/>
    <mergeCell ref="AX726:AY727"/>
    <mergeCell ref="AZ726:AZ727"/>
    <mergeCell ref="F727:H727"/>
    <mergeCell ref="X727:AB727"/>
    <mergeCell ref="AE727:AI727"/>
    <mergeCell ref="AJ727:AL727"/>
    <mergeCell ref="AN727:AO727"/>
    <mergeCell ref="AP727:AQ727"/>
    <mergeCell ref="A728:A729"/>
    <mergeCell ref="E728:E729"/>
    <mergeCell ref="F728:H728"/>
    <mergeCell ref="J728:J729"/>
    <mergeCell ref="K728:L729"/>
    <mergeCell ref="M728:N729"/>
    <mergeCell ref="O728:P729"/>
    <mergeCell ref="Q728:R729"/>
    <mergeCell ref="S728:T729"/>
    <mergeCell ref="U728:V729"/>
    <mergeCell ref="X728:AB728"/>
    <mergeCell ref="AD728:AI728"/>
    <mergeCell ref="AJ728:AL728"/>
    <mergeCell ref="AN728:AO728"/>
    <mergeCell ref="AP728:AQ728"/>
    <mergeCell ref="AR728:AS729"/>
    <mergeCell ref="AT728:AU729"/>
    <mergeCell ref="AV728:AW729"/>
    <mergeCell ref="AX728:AY729"/>
    <mergeCell ref="AZ728:AZ729"/>
    <mergeCell ref="F725:H725"/>
    <mergeCell ref="X725:AB725"/>
    <mergeCell ref="AE725:AI725"/>
    <mergeCell ref="AJ725:AL725"/>
    <mergeCell ref="AN725:AO725"/>
    <mergeCell ref="AP725:AQ725"/>
    <mergeCell ref="A726:A727"/>
    <mergeCell ref="E726:E727"/>
    <mergeCell ref="F726:H726"/>
    <mergeCell ref="J726:J727"/>
    <mergeCell ref="K726:L727"/>
    <mergeCell ref="M726:N727"/>
    <mergeCell ref="O726:P727"/>
    <mergeCell ref="Q726:R727"/>
    <mergeCell ref="S726:T727"/>
    <mergeCell ref="U726:V727"/>
    <mergeCell ref="X726:AB726"/>
    <mergeCell ref="AD726:AI726"/>
    <mergeCell ref="AJ726:AL726"/>
    <mergeCell ref="AN726:AO726"/>
    <mergeCell ref="AP726:AQ726"/>
    <mergeCell ref="W724:W725"/>
    <mergeCell ref="W726:W727"/>
    <mergeCell ref="AR730:AS731"/>
    <mergeCell ref="AT730:AU731"/>
    <mergeCell ref="AV730:AW731"/>
    <mergeCell ref="AX730:AY731"/>
    <mergeCell ref="AZ730:AZ731"/>
    <mergeCell ref="F731:H731"/>
    <mergeCell ref="X731:AB731"/>
    <mergeCell ref="AE731:AI731"/>
    <mergeCell ref="AJ731:AL731"/>
    <mergeCell ref="AN731:AO731"/>
    <mergeCell ref="AP731:AQ731"/>
    <mergeCell ref="A732:A733"/>
    <mergeCell ref="E732:E733"/>
    <mergeCell ref="F732:H732"/>
    <mergeCell ref="J732:J733"/>
    <mergeCell ref="K732:L733"/>
    <mergeCell ref="M732:N733"/>
    <mergeCell ref="O732:P733"/>
    <mergeCell ref="Q732:R733"/>
    <mergeCell ref="S732:T733"/>
    <mergeCell ref="U732:V733"/>
    <mergeCell ref="X732:AB732"/>
    <mergeCell ref="AD732:AI732"/>
    <mergeCell ref="AJ732:AL732"/>
    <mergeCell ref="AN732:AO732"/>
    <mergeCell ref="AP732:AQ732"/>
    <mergeCell ref="AR732:AS733"/>
    <mergeCell ref="AT732:AU733"/>
    <mergeCell ref="AV732:AW733"/>
    <mergeCell ref="AX732:AY733"/>
    <mergeCell ref="AZ732:AZ733"/>
    <mergeCell ref="F729:H729"/>
    <mergeCell ref="X729:AB729"/>
    <mergeCell ref="AE729:AI729"/>
    <mergeCell ref="AJ729:AL729"/>
    <mergeCell ref="AN729:AO729"/>
    <mergeCell ref="AP729:AQ729"/>
    <mergeCell ref="A730:A731"/>
    <mergeCell ref="E730:E731"/>
    <mergeCell ref="F730:H730"/>
    <mergeCell ref="J730:J731"/>
    <mergeCell ref="K730:L731"/>
    <mergeCell ref="M730:N731"/>
    <mergeCell ref="O730:P731"/>
    <mergeCell ref="Q730:R731"/>
    <mergeCell ref="S730:T731"/>
    <mergeCell ref="U730:V731"/>
    <mergeCell ref="X730:AB730"/>
    <mergeCell ref="AD730:AI730"/>
    <mergeCell ref="AJ730:AL730"/>
    <mergeCell ref="AN730:AO730"/>
    <mergeCell ref="AP730:AQ730"/>
    <mergeCell ref="W728:W729"/>
    <mergeCell ref="W730:W731"/>
    <mergeCell ref="AR734:AS735"/>
    <mergeCell ref="AT734:AU735"/>
    <mergeCell ref="AV734:AW735"/>
    <mergeCell ref="AX734:AY735"/>
    <mergeCell ref="AZ734:AZ735"/>
    <mergeCell ref="F735:H735"/>
    <mergeCell ref="X735:AB735"/>
    <mergeCell ref="AE735:AI735"/>
    <mergeCell ref="AJ735:AL735"/>
    <mergeCell ref="AN735:AO735"/>
    <mergeCell ref="AP735:AQ735"/>
    <mergeCell ref="A736:A737"/>
    <mergeCell ref="E736:E737"/>
    <mergeCell ref="F736:H736"/>
    <mergeCell ref="J736:J737"/>
    <mergeCell ref="K736:L737"/>
    <mergeCell ref="M736:N737"/>
    <mergeCell ref="O736:P737"/>
    <mergeCell ref="Q736:R737"/>
    <mergeCell ref="S736:T737"/>
    <mergeCell ref="U736:V737"/>
    <mergeCell ref="X736:AB736"/>
    <mergeCell ref="AD736:AI736"/>
    <mergeCell ref="AJ736:AL736"/>
    <mergeCell ref="AN736:AO736"/>
    <mergeCell ref="AP736:AQ736"/>
    <mergeCell ref="AR736:AS737"/>
    <mergeCell ref="AT736:AU737"/>
    <mergeCell ref="AV736:AW737"/>
    <mergeCell ref="AX736:AY737"/>
    <mergeCell ref="AZ736:AZ737"/>
    <mergeCell ref="F733:H733"/>
    <mergeCell ref="X733:AB733"/>
    <mergeCell ref="AE733:AI733"/>
    <mergeCell ref="AJ733:AL733"/>
    <mergeCell ref="AN733:AO733"/>
    <mergeCell ref="AP733:AQ733"/>
    <mergeCell ref="A734:A735"/>
    <mergeCell ref="E734:E735"/>
    <mergeCell ref="F734:H734"/>
    <mergeCell ref="J734:J735"/>
    <mergeCell ref="K734:L735"/>
    <mergeCell ref="M734:N735"/>
    <mergeCell ref="O734:P735"/>
    <mergeCell ref="Q734:R735"/>
    <mergeCell ref="S734:T735"/>
    <mergeCell ref="U734:V735"/>
    <mergeCell ref="X734:AB734"/>
    <mergeCell ref="AD734:AI734"/>
    <mergeCell ref="AJ734:AL734"/>
    <mergeCell ref="AN734:AO734"/>
    <mergeCell ref="AP734:AQ734"/>
    <mergeCell ref="W732:W733"/>
    <mergeCell ref="W734:W735"/>
    <mergeCell ref="AR738:AS739"/>
    <mergeCell ref="AT738:AU739"/>
    <mergeCell ref="AV738:AW739"/>
    <mergeCell ref="AX738:AY739"/>
    <mergeCell ref="AZ738:AZ739"/>
    <mergeCell ref="F739:H739"/>
    <mergeCell ref="X739:AB739"/>
    <mergeCell ref="AE739:AI739"/>
    <mergeCell ref="AJ739:AL739"/>
    <mergeCell ref="AN739:AO739"/>
    <mergeCell ref="AP739:AQ739"/>
    <mergeCell ref="A740:A741"/>
    <mergeCell ref="E740:E741"/>
    <mergeCell ref="F740:H740"/>
    <mergeCell ref="J740:J741"/>
    <mergeCell ref="K740:L741"/>
    <mergeCell ref="M740:N741"/>
    <mergeCell ref="O740:P741"/>
    <mergeCell ref="Q740:R741"/>
    <mergeCell ref="S740:T741"/>
    <mergeCell ref="U740:V741"/>
    <mergeCell ref="X740:AB740"/>
    <mergeCell ref="AD740:AI740"/>
    <mergeCell ref="AJ740:AL740"/>
    <mergeCell ref="AN740:AO740"/>
    <mergeCell ref="AP740:AQ740"/>
    <mergeCell ref="AR740:AS741"/>
    <mergeCell ref="AT740:AU741"/>
    <mergeCell ref="AV740:AW741"/>
    <mergeCell ref="AX740:AY741"/>
    <mergeCell ref="AZ740:AZ741"/>
    <mergeCell ref="F737:H737"/>
    <mergeCell ref="X737:AB737"/>
    <mergeCell ref="AE737:AI737"/>
    <mergeCell ref="AJ737:AL737"/>
    <mergeCell ref="AN737:AO737"/>
    <mergeCell ref="AP737:AQ737"/>
    <mergeCell ref="A738:A739"/>
    <mergeCell ref="E738:E739"/>
    <mergeCell ref="F738:H738"/>
    <mergeCell ref="J738:J739"/>
    <mergeCell ref="K738:L739"/>
    <mergeCell ref="M738:N739"/>
    <mergeCell ref="O738:P739"/>
    <mergeCell ref="Q738:R739"/>
    <mergeCell ref="S738:T739"/>
    <mergeCell ref="U738:V739"/>
    <mergeCell ref="X738:AB738"/>
    <mergeCell ref="AD738:AI738"/>
    <mergeCell ref="AJ738:AL738"/>
    <mergeCell ref="AN738:AO738"/>
    <mergeCell ref="AP738:AQ738"/>
    <mergeCell ref="W736:W737"/>
    <mergeCell ref="W738:W739"/>
    <mergeCell ref="AR742:AS743"/>
    <mergeCell ref="AT742:AU743"/>
    <mergeCell ref="AV742:AW743"/>
    <mergeCell ref="AX742:AY743"/>
    <mergeCell ref="AZ742:AZ743"/>
    <mergeCell ref="F743:H743"/>
    <mergeCell ref="X743:AB743"/>
    <mergeCell ref="AE743:AI743"/>
    <mergeCell ref="AJ743:AL743"/>
    <mergeCell ref="AN743:AO743"/>
    <mergeCell ref="AP743:AQ743"/>
    <mergeCell ref="A744:A745"/>
    <mergeCell ref="E744:E745"/>
    <mergeCell ref="F744:H744"/>
    <mergeCell ref="J744:J745"/>
    <mergeCell ref="K744:L745"/>
    <mergeCell ref="M744:N745"/>
    <mergeCell ref="O744:P745"/>
    <mergeCell ref="Q744:R745"/>
    <mergeCell ref="S744:T745"/>
    <mergeCell ref="U744:V745"/>
    <mergeCell ref="X744:AB744"/>
    <mergeCell ref="AD744:AI744"/>
    <mergeCell ref="AJ744:AL744"/>
    <mergeCell ref="AN744:AO744"/>
    <mergeCell ref="AP744:AQ744"/>
    <mergeCell ref="AR744:AS745"/>
    <mergeCell ref="AT744:AU745"/>
    <mergeCell ref="AV744:AW745"/>
    <mergeCell ref="AX744:AY745"/>
    <mergeCell ref="AZ744:AZ745"/>
    <mergeCell ref="F741:H741"/>
    <mergeCell ref="X741:AB741"/>
    <mergeCell ref="AE741:AI741"/>
    <mergeCell ref="AJ741:AL741"/>
    <mergeCell ref="AN741:AO741"/>
    <mergeCell ref="AP741:AQ741"/>
    <mergeCell ref="A742:A743"/>
    <mergeCell ref="E742:E743"/>
    <mergeCell ref="F742:H742"/>
    <mergeCell ref="J742:J743"/>
    <mergeCell ref="K742:L743"/>
    <mergeCell ref="M742:N743"/>
    <mergeCell ref="O742:P743"/>
    <mergeCell ref="Q742:R743"/>
    <mergeCell ref="S742:T743"/>
    <mergeCell ref="U742:V743"/>
    <mergeCell ref="X742:AB742"/>
    <mergeCell ref="AD742:AI742"/>
    <mergeCell ref="AJ742:AL742"/>
    <mergeCell ref="AN742:AO742"/>
    <mergeCell ref="AP742:AQ742"/>
    <mergeCell ref="W740:W741"/>
    <mergeCell ref="W742:W743"/>
    <mergeCell ref="AR746:AS747"/>
    <mergeCell ref="AT746:AU747"/>
    <mergeCell ref="AV746:AW747"/>
    <mergeCell ref="AX746:AY747"/>
    <mergeCell ref="AZ746:AZ747"/>
    <mergeCell ref="F747:H747"/>
    <mergeCell ref="X747:AB747"/>
    <mergeCell ref="AE747:AI747"/>
    <mergeCell ref="AJ747:AL747"/>
    <mergeCell ref="AN747:AO747"/>
    <mergeCell ref="AP747:AQ747"/>
    <mergeCell ref="A748:A749"/>
    <mergeCell ref="E748:E749"/>
    <mergeCell ref="F748:H748"/>
    <mergeCell ref="J748:J749"/>
    <mergeCell ref="K748:L749"/>
    <mergeCell ref="M748:N749"/>
    <mergeCell ref="O748:P749"/>
    <mergeCell ref="Q748:R749"/>
    <mergeCell ref="S748:T749"/>
    <mergeCell ref="U748:V749"/>
    <mergeCell ref="X748:AB748"/>
    <mergeCell ref="AD748:AI748"/>
    <mergeCell ref="AJ748:AL748"/>
    <mergeCell ref="AN748:AO748"/>
    <mergeCell ref="AP748:AQ748"/>
    <mergeCell ref="AR748:AS749"/>
    <mergeCell ref="AT748:AU749"/>
    <mergeCell ref="AV748:AW749"/>
    <mergeCell ref="AX748:AY749"/>
    <mergeCell ref="AZ748:AZ749"/>
    <mergeCell ref="F745:H745"/>
    <mergeCell ref="X745:AB745"/>
    <mergeCell ref="AE745:AI745"/>
    <mergeCell ref="AJ745:AL745"/>
    <mergeCell ref="AN745:AO745"/>
    <mergeCell ref="AP745:AQ745"/>
    <mergeCell ref="A746:A747"/>
    <mergeCell ref="E746:E747"/>
    <mergeCell ref="F746:H746"/>
    <mergeCell ref="J746:J747"/>
    <mergeCell ref="K746:L747"/>
    <mergeCell ref="M746:N747"/>
    <mergeCell ref="O746:P747"/>
    <mergeCell ref="Q746:R747"/>
    <mergeCell ref="S746:T747"/>
    <mergeCell ref="U746:V747"/>
    <mergeCell ref="X746:AB746"/>
    <mergeCell ref="AD746:AI746"/>
    <mergeCell ref="AJ746:AL746"/>
    <mergeCell ref="AN746:AO746"/>
    <mergeCell ref="AP746:AQ746"/>
    <mergeCell ref="W744:W745"/>
    <mergeCell ref="W746:W747"/>
    <mergeCell ref="AR750:AS751"/>
    <mergeCell ref="AT750:AU751"/>
    <mergeCell ref="AV750:AW751"/>
    <mergeCell ref="AX750:AY751"/>
    <mergeCell ref="AZ750:AZ751"/>
    <mergeCell ref="F751:H751"/>
    <mergeCell ref="X751:AB751"/>
    <mergeCell ref="AE751:AI751"/>
    <mergeCell ref="AJ751:AL751"/>
    <mergeCell ref="AN751:AO751"/>
    <mergeCell ref="AP751:AQ751"/>
    <mergeCell ref="A752:A753"/>
    <mergeCell ref="E752:E753"/>
    <mergeCell ref="F752:H752"/>
    <mergeCell ref="J752:J753"/>
    <mergeCell ref="K752:L753"/>
    <mergeCell ref="M752:N753"/>
    <mergeCell ref="O752:P753"/>
    <mergeCell ref="Q752:R753"/>
    <mergeCell ref="S752:T753"/>
    <mergeCell ref="U752:V753"/>
    <mergeCell ref="X752:AB752"/>
    <mergeCell ref="AD752:AI752"/>
    <mergeCell ref="AJ752:AL752"/>
    <mergeCell ref="AN752:AO752"/>
    <mergeCell ref="AP752:AQ752"/>
    <mergeCell ref="AR752:AS753"/>
    <mergeCell ref="AT752:AU753"/>
    <mergeCell ref="AV752:AW753"/>
    <mergeCell ref="AX752:AY753"/>
    <mergeCell ref="AZ752:AZ753"/>
    <mergeCell ref="F749:H749"/>
    <mergeCell ref="X749:AB749"/>
    <mergeCell ref="AE749:AI749"/>
    <mergeCell ref="AJ749:AL749"/>
    <mergeCell ref="AN749:AO749"/>
    <mergeCell ref="AP749:AQ749"/>
    <mergeCell ref="A750:A751"/>
    <mergeCell ref="E750:E751"/>
    <mergeCell ref="F750:H750"/>
    <mergeCell ref="J750:J751"/>
    <mergeCell ref="K750:L751"/>
    <mergeCell ref="M750:N751"/>
    <mergeCell ref="O750:P751"/>
    <mergeCell ref="Q750:R751"/>
    <mergeCell ref="S750:T751"/>
    <mergeCell ref="U750:V751"/>
    <mergeCell ref="X750:AB750"/>
    <mergeCell ref="AD750:AI750"/>
    <mergeCell ref="AJ750:AL750"/>
    <mergeCell ref="AN750:AO750"/>
    <mergeCell ref="AP750:AQ750"/>
    <mergeCell ref="W748:W749"/>
    <mergeCell ref="W750:W751"/>
    <mergeCell ref="AR754:AS755"/>
    <mergeCell ref="AT754:AU755"/>
    <mergeCell ref="AV754:AW755"/>
    <mergeCell ref="AX754:AY755"/>
    <mergeCell ref="AZ754:AZ755"/>
    <mergeCell ref="F755:H755"/>
    <mergeCell ref="X755:AB755"/>
    <mergeCell ref="AE755:AI755"/>
    <mergeCell ref="AJ755:AL755"/>
    <mergeCell ref="AN755:AO755"/>
    <mergeCell ref="AP755:AQ755"/>
    <mergeCell ref="A756:A757"/>
    <mergeCell ref="E756:E757"/>
    <mergeCell ref="F756:H756"/>
    <mergeCell ref="J756:J757"/>
    <mergeCell ref="K756:L757"/>
    <mergeCell ref="M756:N757"/>
    <mergeCell ref="O756:P757"/>
    <mergeCell ref="Q756:R757"/>
    <mergeCell ref="S756:T757"/>
    <mergeCell ref="U756:V757"/>
    <mergeCell ref="X756:AB756"/>
    <mergeCell ref="AD756:AI756"/>
    <mergeCell ref="AJ756:AL756"/>
    <mergeCell ref="AN756:AO756"/>
    <mergeCell ref="AP756:AQ756"/>
    <mergeCell ref="AR756:AS757"/>
    <mergeCell ref="AT756:AU757"/>
    <mergeCell ref="AV756:AW757"/>
    <mergeCell ref="AX756:AY757"/>
    <mergeCell ref="AZ756:AZ757"/>
    <mergeCell ref="F753:H753"/>
    <mergeCell ref="X753:AB753"/>
    <mergeCell ref="AE753:AI753"/>
    <mergeCell ref="AJ753:AL753"/>
    <mergeCell ref="AN753:AO753"/>
    <mergeCell ref="AP753:AQ753"/>
    <mergeCell ref="A754:A755"/>
    <mergeCell ref="E754:E755"/>
    <mergeCell ref="F754:H754"/>
    <mergeCell ref="J754:J755"/>
    <mergeCell ref="K754:L755"/>
    <mergeCell ref="M754:N755"/>
    <mergeCell ref="O754:P755"/>
    <mergeCell ref="Q754:R755"/>
    <mergeCell ref="S754:T755"/>
    <mergeCell ref="U754:V755"/>
    <mergeCell ref="X754:AB754"/>
    <mergeCell ref="AD754:AI754"/>
    <mergeCell ref="AJ754:AL754"/>
    <mergeCell ref="AN754:AO754"/>
    <mergeCell ref="AP754:AQ754"/>
    <mergeCell ref="W752:W753"/>
    <mergeCell ref="W754:W755"/>
    <mergeCell ref="AR758:AS759"/>
    <mergeCell ref="AT758:AU759"/>
    <mergeCell ref="AV758:AW759"/>
    <mergeCell ref="AX758:AY759"/>
    <mergeCell ref="AZ758:AZ759"/>
    <mergeCell ref="F759:H759"/>
    <mergeCell ref="X759:AB759"/>
    <mergeCell ref="AE759:AI759"/>
    <mergeCell ref="AJ759:AL759"/>
    <mergeCell ref="AN759:AO759"/>
    <mergeCell ref="AP759:AQ759"/>
    <mergeCell ref="A760:A761"/>
    <mergeCell ref="E760:E761"/>
    <mergeCell ref="F760:H760"/>
    <mergeCell ref="J760:J761"/>
    <mergeCell ref="K760:L761"/>
    <mergeCell ref="M760:N761"/>
    <mergeCell ref="O760:P761"/>
    <mergeCell ref="Q760:R761"/>
    <mergeCell ref="S760:T761"/>
    <mergeCell ref="U760:V761"/>
    <mergeCell ref="X760:AB760"/>
    <mergeCell ref="AD760:AI760"/>
    <mergeCell ref="AJ760:AL760"/>
    <mergeCell ref="AN760:AO760"/>
    <mergeCell ref="AP760:AQ760"/>
    <mergeCell ref="AR760:AS761"/>
    <mergeCell ref="AT760:AU761"/>
    <mergeCell ref="AV760:AW761"/>
    <mergeCell ref="AX760:AY761"/>
    <mergeCell ref="AZ760:AZ761"/>
    <mergeCell ref="F757:H757"/>
    <mergeCell ref="X757:AB757"/>
    <mergeCell ref="AE757:AI757"/>
    <mergeCell ref="AJ757:AL757"/>
    <mergeCell ref="AN757:AO757"/>
    <mergeCell ref="AP757:AQ757"/>
    <mergeCell ref="A758:A759"/>
    <mergeCell ref="E758:E759"/>
    <mergeCell ref="F758:H758"/>
    <mergeCell ref="J758:J759"/>
    <mergeCell ref="K758:L759"/>
    <mergeCell ref="M758:N759"/>
    <mergeCell ref="O758:P759"/>
    <mergeCell ref="Q758:R759"/>
    <mergeCell ref="S758:T759"/>
    <mergeCell ref="U758:V759"/>
    <mergeCell ref="X758:AB758"/>
    <mergeCell ref="AD758:AI758"/>
    <mergeCell ref="AJ758:AL758"/>
    <mergeCell ref="AN758:AO758"/>
    <mergeCell ref="AP758:AQ758"/>
    <mergeCell ref="W756:W757"/>
    <mergeCell ref="W758:W759"/>
    <mergeCell ref="AR762:AS763"/>
    <mergeCell ref="AT762:AU763"/>
    <mergeCell ref="AV762:AW763"/>
    <mergeCell ref="AX762:AY763"/>
    <mergeCell ref="AZ762:AZ763"/>
    <mergeCell ref="F763:H763"/>
    <mergeCell ref="X763:AB763"/>
    <mergeCell ref="AE763:AI763"/>
    <mergeCell ref="AJ763:AL763"/>
    <mergeCell ref="AN763:AO763"/>
    <mergeCell ref="AP763:AQ763"/>
    <mergeCell ref="A764:A765"/>
    <mergeCell ref="E764:E765"/>
    <mergeCell ref="F764:H764"/>
    <mergeCell ref="J764:J765"/>
    <mergeCell ref="K764:L765"/>
    <mergeCell ref="M764:N765"/>
    <mergeCell ref="O764:P765"/>
    <mergeCell ref="Q764:R765"/>
    <mergeCell ref="S764:T765"/>
    <mergeCell ref="U764:V765"/>
    <mergeCell ref="X764:AB764"/>
    <mergeCell ref="AD764:AI764"/>
    <mergeCell ref="AJ764:AL764"/>
    <mergeCell ref="AN764:AO764"/>
    <mergeCell ref="AP764:AQ764"/>
    <mergeCell ref="AR764:AS765"/>
    <mergeCell ref="AT764:AU765"/>
    <mergeCell ref="AV764:AW765"/>
    <mergeCell ref="AX764:AY765"/>
    <mergeCell ref="AZ764:AZ765"/>
    <mergeCell ref="F761:H761"/>
    <mergeCell ref="X761:AB761"/>
    <mergeCell ref="AE761:AI761"/>
    <mergeCell ref="AJ761:AL761"/>
    <mergeCell ref="AN761:AO761"/>
    <mergeCell ref="AP761:AQ761"/>
    <mergeCell ref="A762:A763"/>
    <mergeCell ref="E762:E763"/>
    <mergeCell ref="F762:H762"/>
    <mergeCell ref="J762:J763"/>
    <mergeCell ref="K762:L763"/>
    <mergeCell ref="M762:N763"/>
    <mergeCell ref="O762:P763"/>
    <mergeCell ref="Q762:R763"/>
    <mergeCell ref="S762:T763"/>
    <mergeCell ref="U762:V763"/>
    <mergeCell ref="X762:AB762"/>
    <mergeCell ref="AD762:AI762"/>
    <mergeCell ref="AJ762:AL762"/>
    <mergeCell ref="AN762:AO762"/>
    <mergeCell ref="AP762:AQ762"/>
    <mergeCell ref="W760:W761"/>
    <mergeCell ref="W762:W763"/>
    <mergeCell ref="AR766:AS767"/>
    <mergeCell ref="AT766:AU767"/>
    <mergeCell ref="AV766:AW767"/>
    <mergeCell ref="AX766:AY767"/>
    <mergeCell ref="AZ766:AZ767"/>
    <mergeCell ref="F767:H767"/>
    <mergeCell ref="X767:AB767"/>
    <mergeCell ref="AE767:AI767"/>
    <mergeCell ref="AJ767:AL767"/>
    <mergeCell ref="AN767:AO767"/>
    <mergeCell ref="AP767:AQ767"/>
    <mergeCell ref="A768:A769"/>
    <mergeCell ref="E768:E769"/>
    <mergeCell ref="F768:H768"/>
    <mergeCell ref="J768:J769"/>
    <mergeCell ref="K768:L769"/>
    <mergeCell ref="M768:N769"/>
    <mergeCell ref="O768:P769"/>
    <mergeCell ref="Q768:R769"/>
    <mergeCell ref="S768:T769"/>
    <mergeCell ref="U768:V769"/>
    <mergeCell ref="X768:AB768"/>
    <mergeCell ref="AD768:AI768"/>
    <mergeCell ref="AJ768:AL768"/>
    <mergeCell ref="AN768:AO768"/>
    <mergeCell ref="AP768:AQ768"/>
    <mergeCell ref="AR768:AS769"/>
    <mergeCell ref="AT768:AU769"/>
    <mergeCell ref="AV768:AW769"/>
    <mergeCell ref="AX768:AY769"/>
    <mergeCell ref="AZ768:AZ769"/>
    <mergeCell ref="F765:H765"/>
    <mergeCell ref="X765:AB765"/>
    <mergeCell ref="AE765:AI765"/>
    <mergeCell ref="AJ765:AL765"/>
    <mergeCell ref="AN765:AO765"/>
    <mergeCell ref="AP765:AQ765"/>
    <mergeCell ref="A766:A767"/>
    <mergeCell ref="E766:E767"/>
    <mergeCell ref="F766:H766"/>
    <mergeCell ref="J766:J767"/>
    <mergeCell ref="K766:L767"/>
    <mergeCell ref="M766:N767"/>
    <mergeCell ref="O766:P767"/>
    <mergeCell ref="Q766:R767"/>
    <mergeCell ref="S766:T767"/>
    <mergeCell ref="U766:V767"/>
    <mergeCell ref="X766:AB766"/>
    <mergeCell ref="AD766:AI766"/>
    <mergeCell ref="AJ766:AL766"/>
    <mergeCell ref="AN766:AO766"/>
    <mergeCell ref="AP766:AQ766"/>
    <mergeCell ref="W764:W765"/>
    <mergeCell ref="W766:W767"/>
    <mergeCell ref="AR770:AS771"/>
    <mergeCell ref="AT770:AU771"/>
    <mergeCell ref="AV770:AW771"/>
    <mergeCell ref="AX770:AY771"/>
    <mergeCell ref="AZ770:AZ771"/>
    <mergeCell ref="F771:H771"/>
    <mergeCell ref="X771:AB771"/>
    <mergeCell ref="AE771:AI771"/>
    <mergeCell ref="AJ771:AL771"/>
    <mergeCell ref="AN771:AO771"/>
    <mergeCell ref="AP771:AQ771"/>
    <mergeCell ref="A772:A773"/>
    <mergeCell ref="E772:E773"/>
    <mergeCell ref="F772:H772"/>
    <mergeCell ref="J772:J773"/>
    <mergeCell ref="K772:L773"/>
    <mergeCell ref="M772:N773"/>
    <mergeCell ref="O772:P773"/>
    <mergeCell ref="Q772:R773"/>
    <mergeCell ref="S772:T773"/>
    <mergeCell ref="U772:V773"/>
    <mergeCell ref="X772:AB772"/>
    <mergeCell ref="AD772:AI772"/>
    <mergeCell ref="AJ772:AL772"/>
    <mergeCell ref="AN772:AO772"/>
    <mergeCell ref="AP772:AQ772"/>
    <mergeCell ref="AR772:AS773"/>
    <mergeCell ref="AT772:AU773"/>
    <mergeCell ref="AV772:AW773"/>
    <mergeCell ref="AX772:AY773"/>
    <mergeCell ref="AZ772:AZ773"/>
    <mergeCell ref="F769:H769"/>
    <mergeCell ref="X769:AB769"/>
    <mergeCell ref="AE769:AI769"/>
    <mergeCell ref="AJ769:AL769"/>
    <mergeCell ref="AN769:AO769"/>
    <mergeCell ref="AP769:AQ769"/>
    <mergeCell ref="A770:A771"/>
    <mergeCell ref="E770:E771"/>
    <mergeCell ref="F770:H770"/>
    <mergeCell ref="J770:J771"/>
    <mergeCell ref="K770:L771"/>
    <mergeCell ref="M770:N771"/>
    <mergeCell ref="O770:P771"/>
    <mergeCell ref="Q770:R771"/>
    <mergeCell ref="S770:T771"/>
    <mergeCell ref="U770:V771"/>
    <mergeCell ref="X770:AB770"/>
    <mergeCell ref="AD770:AI770"/>
    <mergeCell ref="AJ770:AL770"/>
    <mergeCell ref="AN770:AO770"/>
    <mergeCell ref="AP770:AQ770"/>
    <mergeCell ref="W768:W769"/>
    <mergeCell ref="W770:W771"/>
    <mergeCell ref="AR774:AS775"/>
    <mergeCell ref="AT774:AU775"/>
    <mergeCell ref="AV774:AW775"/>
    <mergeCell ref="AX774:AY775"/>
    <mergeCell ref="AZ774:AZ775"/>
    <mergeCell ref="F775:H775"/>
    <mergeCell ref="X775:AB775"/>
    <mergeCell ref="AE775:AI775"/>
    <mergeCell ref="AJ775:AL775"/>
    <mergeCell ref="AN775:AO775"/>
    <mergeCell ref="AP775:AQ775"/>
    <mergeCell ref="A776:A777"/>
    <mergeCell ref="E776:E777"/>
    <mergeCell ref="F776:H776"/>
    <mergeCell ref="J776:J777"/>
    <mergeCell ref="K776:L777"/>
    <mergeCell ref="M776:N777"/>
    <mergeCell ref="O776:P777"/>
    <mergeCell ref="Q776:R777"/>
    <mergeCell ref="S776:T777"/>
    <mergeCell ref="U776:V777"/>
    <mergeCell ref="X776:AB776"/>
    <mergeCell ref="AD776:AI776"/>
    <mergeCell ref="AJ776:AL776"/>
    <mergeCell ref="AN776:AO776"/>
    <mergeCell ref="AP776:AQ776"/>
    <mergeCell ref="AR776:AS777"/>
    <mergeCell ref="AT776:AU777"/>
    <mergeCell ref="AV776:AW777"/>
    <mergeCell ref="AX776:AY777"/>
    <mergeCell ref="AZ776:AZ777"/>
    <mergeCell ref="F773:H773"/>
    <mergeCell ref="X773:AB773"/>
    <mergeCell ref="AE773:AI773"/>
    <mergeCell ref="AJ773:AL773"/>
    <mergeCell ref="AN773:AO773"/>
    <mergeCell ref="AP773:AQ773"/>
    <mergeCell ref="A774:A775"/>
    <mergeCell ref="E774:E775"/>
    <mergeCell ref="F774:H774"/>
    <mergeCell ref="J774:J775"/>
    <mergeCell ref="K774:L775"/>
    <mergeCell ref="M774:N775"/>
    <mergeCell ref="O774:P775"/>
    <mergeCell ref="Q774:R775"/>
    <mergeCell ref="S774:T775"/>
    <mergeCell ref="U774:V775"/>
    <mergeCell ref="X774:AB774"/>
    <mergeCell ref="AD774:AI774"/>
    <mergeCell ref="AJ774:AL774"/>
    <mergeCell ref="AN774:AO774"/>
    <mergeCell ref="AP774:AQ774"/>
    <mergeCell ref="W772:W773"/>
    <mergeCell ref="W774:W775"/>
    <mergeCell ref="AR778:AS779"/>
    <mergeCell ref="AT778:AU779"/>
    <mergeCell ref="AV778:AW779"/>
    <mergeCell ref="AX778:AY779"/>
    <mergeCell ref="AZ778:AZ779"/>
    <mergeCell ref="F779:H779"/>
    <mergeCell ref="X779:AB779"/>
    <mergeCell ref="AE779:AI779"/>
    <mergeCell ref="AJ779:AL779"/>
    <mergeCell ref="AN779:AO779"/>
    <mergeCell ref="AP779:AQ779"/>
    <mergeCell ref="A780:A781"/>
    <mergeCell ref="E780:E781"/>
    <mergeCell ref="F780:H780"/>
    <mergeCell ref="J780:J781"/>
    <mergeCell ref="K780:L781"/>
    <mergeCell ref="M780:N781"/>
    <mergeCell ref="O780:P781"/>
    <mergeCell ref="Q780:R781"/>
    <mergeCell ref="S780:T781"/>
    <mergeCell ref="U780:V781"/>
    <mergeCell ref="X780:AB780"/>
    <mergeCell ref="AD780:AI780"/>
    <mergeCell ref="AJ780:AL780"/>
    <mergeCell ref="AN780:AO780"/>
    <mergeCell ref="AP780:AQ780"/>
    <mergeCell ref="AR780:AS781"/>
    <mergeCell ref="AT780:AU781"/>
    <mergeCell ref="AV780:AW781"/>
    <mergeCell ref="AX780:AY781"/>
    <mergeCell ref="AZ780:AZ781"/>
    <mergeCell ref="F777:H777"/>
    <mergeCell ref="X777:AB777"/>
    <mergeCell ref="AE777:AI777"/>
    <mergeCell ref="AJ777:AL777"/>
    <mergeCell ref="AN777:AO777"/>
    <mergeCell ref="AP777:AQ777"/>
    <mergeCell ref="A778:A779"/>
    <mergeCell ref="E778:E779"/>
    <mergeCell ref="F778:H778"/>
    <mergeCell ref="J778:J779"/>
    <mergeCell ref="K778:L779"/>
    <mergeCell ref="M778:N779"/>
    <mergeCell ref="O778:P779"/>
    <mergeCell ref="Q778:R779"/>
    <mergeCell ref="S778:T779"/>
    <mergeCell ref="U778:V779"/>
    <mergeCell ref="X778:AB778"/>
    <mergeCell ref="AD778:AI778"/>
    <mergeCell ref="AJ778:AL778"/>
    <mergeCell ref="AN778:AO778"/>
    <mergeCell ref="AP778:AQ778"/>
    <mergeCell ref="W776:W777"/>
    <mergeCell ref="W778:W779"/>
    <mergeCell ref="AR782:AS783"/>
    <mergeCell ref="AT782:AU783"/>
    <mergeCell ref="AV782:AW783"/>
    <mergeCell ref="AX782:AY783"/>
    <mergeCell ref="AZ782:AZ783"/>
    <mergeCell ref="F783:H783"/>
    <mergeCell ref="X783:AB783"/>
    <mergeCell ref="AE783:AI783"/>
    <mergeCell ref="AJ783:AL783"/>
    <mergeCell ref="AN783:AO783"/>
    <mergeCell ref="AP783:AQ783"/>
    <mergeCell ref="A784:A785"/>
    <mergeCell ref="E784:E785"/>
    <mergeCell ref="F784:H784"/>
    <mergeCell ref="J784:J785"/>
    <mergeCell ref="K784:L785"/>
    <mergeCell ref="M784:N785"/>
    <mergeCell ref="O784:P785"/>
    <mergeCell ref="Q784:R785"/>
    <mergeCell ref="S784:T785"/>
    <mergeCell ref="U784:V785"/>
    <mergeCell ref="X784:AB784"/>
    <mergeCell ref="AD784:AI784"/>
    <mergeCell ref="AJ784:AL784"/>
    <mergeCell ref="AN784:AO784"/>
    <mergeCell ref="AP784:AQ784"/>
    <mergeCell ref="AR784:AS785"/>
    <mergeCell ref="AT784:AU785"/>
    <mergeCell ref="AV784:AW785"/>
    <mergeCell ref="AX784:AY785"/>
    <mergeCell ref="AZ784:AZ785"/>
    <mergeCell ref="F781:H781"/>
    <mergeCell ref="X781:AB781"/>
    <mergeCell ref="AE781:AI781"/>
    <mergeCell ref="AJ781:AL781"/>
    <mergeCell ref="AN781:AO781"/>
    <mergeCell ref="AP781:AQ781"/>
    <mergeCell ref="A782:A783"/>
    <mergeCell ref="E782:E783"/>
    <mergeCell ref="F782:H782"/>
    <mergeCell ref="J782:J783"/>
    <mergeCell ref="K782:L783"/>
    <mergeCell ref="M782:N783"/>
    <mergeCell ref="O782:P783"/>
    <mergeCell ref="Q782:R783"/>
    <mergeCell ref="S782:T783"/>
    <mergeCell ref="U782:V783"/>
    <mergeCell ref="X782:AB782"/>
    <mergeCell ref="AD782:AI782"/>
    <mergeCell ref="AJ782:AL782"/>
    <mergeCell ref="AN782:AO782"/>
    <mergeCell ref="AP782:AQ782"/>
    <mergeCell ref="W780:W781"/>
    <mergeCell ref="W782:W783"/>
    <mergeCell ref="AR786:AS787"/>
    <mergeCell ref="AT786:AU787"/>
    <mergeCell ref="AV786:AW787"/>
    <mergeCell ref="AX786:AY787"/>
    <mergeCell ref="AZ786:AZ787"/>
    <mergeCell ref="F787:H787"/>
    <mergeCell ref="X787:AB787"/>
    <mergeCell ref="AE787:AI787"/>
    <mergeCell ref="AJ787:AL787"/>
    <mergeCell ref="AN787:AO787"/>
    <mergeCell ref="AP787:AQ787"/>
    <mergeCell ref="A788:A789"/>
    <mergeCell ref="E788:E789"/>
    <mergeCell ref="F788:H788"/>
    <mergeCell ref="J788:J789"/>
    <mergeCell ref="K788:L789"/>
    <mergeCell ref="M788:N789"/>
    <mergeCell ref="O788:P789"/>
    <mergeCell ref="Q788:R789"/>
    <mergeCell ref="S788:T789"/>
    <mergeCell ref="U788:V789"/>
    <mergeCell ref="X788:AB788"/>
    <mergeCell ref="AD788:AI788"/>
    <mergeCell ref="AJ788:AL788"/>
    <mergeCell ref="AN788:AO788"/>
    <mergeCell ref="AP788:AQ788"/>
    <mergeCell ref="AR788:AS789"/>
    <mergeCell ref="AT788:AU789"/>
    <mergeCell ref="AV788:AW789"/>
    <mergeCell ref="AX788:AY789"/>
    <mergeCell ref="AZ788:AZ789"/>
    <mergeCell ref="F785:H785"/>
    <mergeCell ref="X785:AB785"/>
    <mergeCell ref="AE785:AI785"/>
    <mergeCell ref="AJ785:AL785"/>
    <mergeCell ref="AN785:AO785"/>
    <mergeCell ref="AP785:AQ785"/>
    <mergeCell ref="A786:A787"/>
    <mergeCell ref="E786:E787"/>
    <mergeCell ref="F786:H786"/>
    <mergeCell ref="J786:J787"/>
    <mergeCell ref="K786:L787"/>
    <mergeCell ref="M786:N787"/>
    <mergeCell ref="O786:P787"/>
    <mergeCell ref="Q786:R787"/>
    <mergeCell ref="S786:T787"/>
    <mergeCell ref="U786:V787"/>
    <mergeCell ref="X786:AB786"/>
    <mergeCell ref="AD786:AI786"/>
    <mergeCell ref="AJ786:AL786"/>
    <mergeCell ref="AN786:AO786"/>
    <mergeCell ref="AP786:AQ786"/>
    <mergeCell ref="W784:W785"/>
    <mergeCell ref="W786:W787"/>
    <mergeCell ref="AR790:AS791"/>
    <mergeCell ref="AT790:AU791"/>
    <mergeCell ref="AV790:AW791"/>
    <mergeCell ref="AX790:AY791"/>
    <mergeCell ref="AZ790:AZ791"/>
    <mergeCell ref="F791:H791"/>
    <mergeCell ref="X791:AB791"/>
    <mergeCell ref="AE791:AI791"/>
    <mergeCell ref="AJ791:AL791"/>
    <mergeCell ref="AN791:AO791"/>
    <mergeCell ref="AP791:AQ791"/>
    <mergeCell ref="A792:A793"/>
    <mergeCell ref="E792:E793"/>
    <mergeCell ref="F792:H792"/>
    <mergeCell ref="J792:J793"/>
    <mergeCell ref="K792:L793"/>
    <mergeCell ref="M792:N793"/>
    <mergeCell ref="O792:P793"/>
    <mergeCell ref="Q792:R793"/>
    <mergeCell ref="S792:T793"/>
    <mergeCell ref="U792:V793"/>
    <mergeCell ref="X792:AB792"/>
    <mergeCell ref="AD792:AI792"/>
    <mergeCell ref="AJ792:AL792"/>
    <mergeCell ref="AN792:AO792"/>
    <mergeCell ref="AP792:AQ792"/>
    <mergeCell ref="AR792:AS793"/>
    <mergeCell ref="AT792:AU793"/>
    <mergeCell ref="AV792:AW793"/>
    <mergeCell ref="AX792:AY793"/>
    <mergeCell ref="AZ792:AZ793"/>
    <mergeCell ref="F789:H789"/>
    <mergeCell ref="X789:AB789"/>
    <mergeCell ref="AE789:AI789"/>
    <mergeCell ref="AJ789:AL789"/>
    <mergeCell ref="AN789:AO789"/>
    <mergeCell ref="AP789:AQ789"/>
    <mergeCell ref="A790:A791"/>
    <mergeCell ref="E790:E791"/>
    <mergeCell ref="F790:H790"/>
    <mergeCell ref="J790:J791"/>
    <mergeCell ref="K790:L791"/>
    <mergeCell ref="M790:N791"/>
    <mergeCell ref="O790:P791"/>
    <mergeCell ref="Q790:R791"/>
    <mergeCell ref="S790:T791"/>
    <mergeCell ref="U790:V791"/>
    <mergeCell ref="X790:AB790"/>
    <mergeCell ref="AD790:AI790"/>
    <mergeCell ref="AJ790:AL790"/>
    <mergeCell ref="AN790:AO790"/>
    <mergeCell ref="AP790:AQ790"/>
    <mergeCell ref="W788:W789"/>
    <mergeCell ref="W790:W791"/>
    <mergeCell ref="AR794:AS795"/>
    <mergeCell ref="AT794:AU795"/>
    <mergeCell ref="AV794:AW795"/>
    <mergeCell ref="AX794:AY795"/>
    <mergeCell ref="AZ794:AZ795"/>
    <mergeCell ref="F795:H795"/>
    <mergeCell ref="X795:AB795"/>
    <mergeCell ref="AE795:AI795"/>
    <mergeCell ref="AJ795:AL795"/>
    <mergeCell ref="AN795:AO795"/>
    <mergeCell ref="AP795:AQ795"/>
    <mergeCell ref="A796:A797"/>
    <mergeCell ref="E796:E797"/>
    <mergeCell ref="F796:H796"/>
    <mergeCell ref="J796:J797"/>
    <mergeCell ref="K796:L797"/>
    <mergeCell ref="M796:N797"/>
    <mergeCell ref="O796:P797"/>
    <mergeCell ref="Q796:R797"/>
    <mergeCell ref="S796:T797"/>
    <mergeCell ref="U796:V797"/>
    <mergeCell ref="X796:AB796"/>
    <mergeCell ref="AD796:AI796"/>
    <mergeCell ref="AJ796:AL796"/>
    <mergeCell ref="AN796:AO796"/>
    <mergeCell ref="AP796:AQ796"/>
    <mergeCell ref="AR796:AS797"/>
    <mergeCell ref="AT796:AU797"/>
    <mergeCell ref="AV796:AW797"/>
    <mergeCell ref="AX796:AY797"/>
    <mergeCell ref="AZ796:AZ797"/>
    <mergeCell ref="F793:H793"/>
    <mergeCell ref="X793:AB793"/>
    <mergeCell ref="AE793:AI793"/>
    <mergeCell ref="AJ793:AL793"/>
    <mergeCell ref="AN793:AO793"/>
    <mergeCell ref="AP793:AQ793"/>
    <mergeCell ref="A794:A795"/>
    <mergeCell ref="E794:E795"/>
    <mergeCell ref="F794:H794"/>
    <mergeCell ref="J794:J795"/>
    <mergeCell ref="K794:L795"/>
    <mergeCell ref="M794:N795"/>
    <mergeCell ref="O794:P795"/>
    <mergeCell ref="Q794:R795"/>
    <mergeCell ref="S794:T795"/>
    <mergeCell ref="U794:V795"/>
    <mergeCell ref="X794:AB794"/>
    <mergeCell ref="AD794:AI794"/>
    <mergeCell ref="AJ794:AL794"/>
    <mergeCell ref="AN794:AO794"/>
    <mergeCell ref="AP794:AQ794"/>
    <mergeCell ref="W792:W793"/>
    <mergeCell ref="W794:W795"/>
    <mergeCell ref="AR798:AS799"/>
    <mergeCell ref="AT798:AU799"/>
    <mergeCell ref="AV798:AW799"/>
    <mergeCell ref="AX798:AY799"/>
    <mergeCell ref="AZ798:AZ799"/>
    <mergeCell ref="F799:H799"/>
    <mergeCell ref="X799:AB799"/>
    <mergeCell ref="AE799:AI799"/>
    <mergeCell ref="AJ799:AL799"/>
    <mergeCell ref="AN799:AO799"/>
    <mergeCell ref="AP799:AQ799"/>
    <mergeCell ref="A800:A801"/>
    <mergeCell ref="E800:E801"/>
    <mergeCell ref="F800:H800"/>
    <mergeCell ref="J800:J801"/>
    <mergeCell ref="K800:L801"/>
    <mergeCell ref="M800:N801"/>
    <mergeCell ref="O800:P801"/>
    <mergeCell ref="Q800:R801"/>
    <mergeCell ref="S800:T801"/>
    <mergeCell ref="U800:V801"/>
    <mergeCell ref="X800:AB800"/>
    <mergeCell ref="AD800:AI800"/>
    <mergeCell ref="AJ800:AL800"/>
    <mergeCell ref="AN800:AO800"/>
    <mergeCell ref="AP800:AQ800"/>
    <mergeCell ref="AR800:AS801"/>
    <mergeCell ref="AT800:AU801"/>
    <mergeCell ref="AV800:AW801"/>
    <mergeCell ref="AX800:AY801"/>
    <mergeCell ref="AZ800:AZ801"/>
    <mergeCell ref="F797:H797"/>
    <mergeCell ref="X797:AB797"/>
    <mergeCell ref="AE797:AI797"/>
    <mergeCell ref="AJ797:AL797"/>
    <mergeCell ref="AN797:AO797"/>
    <mergeCell ref="AP797:AQ797"/>
    <mergeCell ref="A798:A799"/>
    <mergeCell ref="E798:E799"/>
    <mergeCell ref="F798:H798"/>
    <mergeCell ref="J798:J799"/>
    <mergeCell ref="K798:L799"/>
    <mergeCell ref="M798:N799"/>
    <mergeCell ref="O798:P799"/>
    <mergeCell ref="Q798:R799"/>
    <mergeCell ref="S798:T799"/>
    <mergeCell ref="U798:V799"/>
    <mergeCell ref="X798:AB798"/>
    <mergeCell ref="AD798:AI798"/>
    <mergeCell ref="AJ798:AL798"/>
    <mergeCell ref="AN798:AO798"/>
    <mergeCell ref="AP798:AQ798"/>
    <mergeCell ref="W796:W797"/>
    <mergeCell ref="W798:W799"/>
    <mergeCell ref="AR802:AS803"/>
    <mergeCell ref="AT802:AU803"/>
    <mergeCell ref="AV802:AW803"/>
    <mergeCell ref="AX802:AY803"/>
    <mergeCell ref="AZ802:AZ803"/>
    <mergeCell ref="F803:H803"/>
    <mergeCell ref="X803:AB803"/>
    <mergeCell ref="AE803:AI803"/>
    <mergeCell ref="AJ803:AL803"/>
    <mergeCell ref="AN803:AO803"/>
    <mergeCell ref="AP803:AQ803"/>
    <mergeCell ref="A804:A805"/>
    <mergeCell ref="E804:E805"/>
    <mergeCell ref="F804:H804"/>
    <mergeCell ref="J804:J805"/>
    <mergeCell ref="K804:L805"/>
    <mergeCell ref="M804:N805"/>
    <mergeCell ref="O804:P805"/>
    <mergeCell ref="Q804:R805"/>
    <mergeCell ref="S804:T805"/>
    <mergeCell ref="U804:V805"/>
    <mergeCell ref="X804:AB804"/>
    <mergeCell ref="AD804:AI804"/>
    <mergeCell ref="AJ804:AL804"/>
    <mergeCell ref="AN804:AO804"/>
    <mergeCell ref="AP804:AQ804"/>
    <mergeCell ref="AR804:AS805"/>
    <mergeCell ref="AT804:AU805"/>
    <mergeCell ref="AV804:AW805"/>
    <mergeCell ref="AX804:AY805"/>
    <mergeCell ref="AZ804:AZ805"/>
    <mergeCell ref="F801:H801"/>
    <mergeCell ref="X801:AB801"/>
    <mergeCell ref="AE801:AI801"/>
    <mergeCell ref="AJ801:AL801"/>
    <mergeCell ref="AN801:AO801"/>
    <mergeCell ref="AP801:AQ801"/>
    <mergeCell ref="A802:A803"/>
    <mergeCell ref="E802:E803"/>
    <mergeCell ref="F802:H802"/>
    <mergeCell ref="J802:J803"/>
    <mergeCell ref="K802:L803"/>
    <mergeCell ref="M802:N803"/>
    <mergeCell ref="O802:P803"/>
    <mergeCell ref="Q802:R803"/>
    <mergeCell ref="S802:T803"/>
    <mergeCell ref="U802:V803"/>
    <mergeCell ref="X802:AB802"/>
    <mergeCell ref="AD802:AI802"/>
    <mergeCell ref="AJ802:AL802"/>
    <mergeCell ref="AN802:AO802"/>
    <mergeCell ref="AP802:AQ802"/>
    <mergeCell ref="W800:W801"/>
    <mergeCell ref="W802:W803"/>
    <mergeCell ref="AR806:AS807"/>
    <mergeCell ref="AT806:AU807"/>
    <mergeCell ref="AV806:AW807"/>
    <mergeCell ref="AX806:AY807"/>
    <mergeCell ref="AZ806:AZ807"/>
    <mergeCell ref="F807:H807"/>
    <mergeCell ref="X807:AB807"/>
    <mergeCell ref="AJ807:AL807"/>
    <mergeCell ref="AN807:AO807"/>
    <mergeCell ref="AP807:AQ807"/>
    <mergeCell ref="A808:A809"/>
    <mergeCell ref="E808:E809"/>
    <mergeCell ref="F808:H808"/>
    <mergeCell ref="J808:J809"/>
    <mergeCell ref="K808:L809"/>
    <mergeCell ref="M808:N809"/>
    <mergeCell ref="O808:P809"/>
    <mergeCell ref="Q808:R809"/>
    <mergeCell ref="S808:T809"/>
    <mergeCell ref="U808:V809"/>
    <mergeCell ref="X808:AB808"/>
    <mergeCell ref="AJ808:AL808"/>
    <mergeCell ref="AN808:AO808"/>
    <mergeCell ref="AP808:AQ808"/>
    <mergeCell ref="AR808:AS809"/>
    <mergeCell ref="AT808:AU809"/>
    <mergeCell ref="AV808:AW809"/>
    <mergeCell ref="AX808:AY809"/>
    <mergeCell ref="AZ808:AZ809"/>
    <mergeCell ref="F805:H805"/>
    <mergeCell ref="X805:AB805"/>
    <mergeCell ref="AE805:AI805"/>
    <mergeCell ref="AJ805:AL805"/>
    <mergeCell ref="AN805:AO805"/>
    <mergeCell ref="AP805:AQ805"/>
    <mergeCell ref="A806:A807"/>
    <mergeCell ref="E806:E807"/>
    <mergeCell ref="F806:H806"/>
    <mergeCell ref="J806:J807"/>
    <mergeCell ref="K806:L807"/>
    <mergeCell ref="M806:N807"/>
    <mergeCell ref="O806:P807"/>
    <mergeCell ref="Q806:R807"/>
    <mergeCell ref="S806:T807"/>
    <mergeCell ref="U806:V807"/>
    <mergeCell ref="X806:AB806"/>
    <mergeCell ref="AJ806:AL806"/>
    <mergeCell ref="AN806:AO806"/>
    <mergeCell ref="AP806:AQ806"/>
    <mergeCell ref="W804:W805"/>
    <mergeCell ref="W806:W807"/>
    <mergeCell ref="AE806:AI807"/>
    <mergeCell ref="AR810:AS811"/>
    <mergeCell ref="AT810:AU811"/>
    <mergeCell ref="AV810:AW811"/>
    <mergeCell ref="AX810:AY811"/>
    <mergeCell ref="AZ810:AZ811"/>
    <mergeCell ref="F811:H811"/>
    <mergeCell ref="X811:AB811"/>
    <mergeCell ref="AJ811:AL811"/>
    <mergeCell ref="AN811:AO811"/>
    <mergeCell ref="AP811:AQ811"/>
    <mergeCell ref="A812:A813"/>
    <mergeCell ref="E812:E813"/>
    <mergeCell ref="F812:H812"/>
    <mergeCell ref="J812:J813"/>
    <mergeCell ref="K812:L813"/>
    <mergeCell ref="M812:N813"/>
    <mergeCell ref="O812:P813"/>
    <mergeCell ref="Q812:R813"/>
    <mergeCell ref="S812:T813"/>
    <mergeCell ref="U812:V813"/>
    <mergeCell ref="X812:AB812"/>
    <mergeCell ref="AJ812:AL812"/>
    <mergeCell ref="AN812:AO812"/>
    <mergeCell ref="AP812:AQ812"/>
    <mergeCell ref="AR812:AS813"/>
    <mergeCell ref="AT812:AU813"/>
    <mergeCell ref="AV812:AW813"/>
    <mergeCell ref="AX812:AY813"/>
    <mergeCell ref="AZ812:AZ813"/>
    <mergeCell ref="F809:H809"/>
    <mergeCell ref="X809:AB809"/>
    <mergeCell ref="AJ809:AL809"/>
    <mergeCell ref="AN809:AO809"/>
    <mergeCell ref="AP809:AQ809"/>
    <mergeCell ref="A810:A811"/>
    <mergeCell ref="E810:E811"/>
    <mergeCell ref="F810:H810"/>
    <mergeCell ref="J810:J811"/>
    <mergeCell ref="K810:L811"/>
    <mergeCell ref="M810:N811"/>
    <mergeCell ref="O810:P811"/>
    <mergeCell ref="Q810:R811"/>
    <mergeCell ref="S810:T811"/>
    <mergeCell ref="U810:V811"/>
    <mergeCell ref="X810:AB810"/>
    <mergeCell ref="AJ810:AL810"/>
    <mergeCell ref="AN810:AO810"/>
    <mergeCell ref="AP810:AQ810"/>
    <mergeCell ref="W808:W809"/>
    <mergeCell ref="W810:W811"/>
    <mergeCell ref="AE808:AI809"/>
    <mergeCell ref="AE810:AI811"/>
    <mergeCell ref="AR814:AS815"/>
    <mergeCell ref="AT814:AU815"/>
    <mergeCell ref="AV814:AW815"/>
    <mergeCell ref="AX814:AY815"/>
    <mergeCell ref="AZ814:AZ815"/>
    <mergeCell ref="F815:H815"/>
    <mergeCell ref="X815:AB815"/>
    <mergeCell ref="AJ815:AL815"/>
    <mergeCell ref="AN815:AO815"/>
    <mergeCell ref="AP815:AQ815"/>
    <mergeCell ref="A816:A817"/>
    <mergeCell ref="E816:E817"/>
    <mergeCell ref="F816:H816"/>
    <mergeCell ref="J816:J817"/>
    <mergeCell ref="K816:L817"/>
    <mergeCell ref="M816:N817"/>
    <mergeCell ref="O816:P817"/>
    <mergeCell ref="Q816:R817"/>
    <mergeCell ref="S816:T817"/>
    <mergeCell ref="U816:V817"/>
    <mergeCell ref="X816:AB816"/>
    <mergeCell ref="AJ816:AL816"/>
    <mergeCell ref="AN816:AO816"/>
    <mergeCell ref="AP816:AQ816"/>
    <mergeCell ref="AR816:AS817"/>
    <mergeCell ref="AT816:AU817"/>
    <mergeCell ref="AV816:AW817"/>
    <mergeCell ref="AX816:AY817"/>
    <mergeCell ref="AZ816:AZ817"/>
    <mergeCell ref="F813:H813"/>
    <mergeCell ref="X813:AB813"/>
    <mergeCell ref="AJ813:AL813"/>
    <mergeCell ref="AN813:AO813"/>
    <mergeCell ref="AP813:AQ813"/>
    <mergeCell ref="A814:A815"/>
    <mergeCell ref="E814:E815"/>
    <mergeCell ref="F814:H814"/>
    <mergeCell ref="J814:J815"/>
    <mergeCell ref="K814:L815"/>
    <mergeCell ref="M814:N815"/>
    <mergeCell ref="O814:P815"/>
    <mergeCell ref="Q814:R815"/>
    <mergeCell ref="S814:T815"/>
    <mergeCell ref="U814:V815"/>
    <mergeCell ref="X814:AB814"/>
    <mergeCell ref="AJ814:AL814"/>
    <mergeCell ref="AN814:AO814"/>
    <mergeCell ref="AP814:AQ814"/>
    <mergeCell ref="W812:W813"/>
    <mergeCell ref="W814:W815"/>
    <mergeCell ref="AE812:AI813"/>
    <mergeCell ref="AE814:AI815"/>
    <mergeCell ref="AR818:AS819"/>
    <mergeCell ref="AT818:AU819"/>
    <mergeCell ref="AV818:AW819"/>
    <mergeCell ref="AX818:AY819"/>
    <mergeCell ref="AZ818:AZ819"/>
    <mergeCell ref="F819:H819"/>
    <mergeCell ref="X819:AB819"/>
    <mergeCell ref="AJ819:AL819"/>
    <mergeCell ref="AN819:AO819"/>
    <mergeCell ref="AP819:AQ819"/>
    <mergeCell ref="A820:A821"/>
    <mergeCell ref="E820:E821"/>
    <mergeCell ref="F820:H820"/>
    <mergeCell ref="J820:J821"/>
    <mergeCell ref="K820:L821"/>
    <mergeCell ref="M820:N821"/>
    <mergeCell ref="O820:P821"/>
    <mergeCell ref="Q820:R821"/>
    <mergeCell ref="S820:T821"/>
    <mergeCell ref="U820:V821"/>
    <mergeCell ref="X820:AB820"/>
    <mergeCell ref="AJ820:AL820"/>
    <mergeCell ref="AN820:AO820"/>
    <mergeCell ref="AP820:AQ820"/>
    <mergeCell ref="AR820:AS821"/>
    <mergeCell ref="AT820:AU821"/>
    <mergeCell ref="AV820:AW821"/>
    <mergeCell ref="AX820:AY821"/>
    <mergeCell ref="AZ820:AZ821"/>
    <mergeCell ref="F817:H817"/>
    <mergeCell ref="X817:AB817"/>
    <mergeCell ref="AJ817:AL817"/>
    <mergeCell ref="AN817:AO817"/>
    <mergeCell ref="AP817:AQ817"/>
    <mergeCell ref="A818:A819"/>
    <mergeCell ref="E818:E819"/>
    <mergeCell ref="F818:H818"/>
    <mergeCell ref="J818:J819"/>
    <mergeCell ref="K818:L819"/>
    <mergeCell ref="M818:N819"/>
    <mergeCell ref="O818:P819"/>
    <mergeCell ref="Q818:R819"/>
    <mergeCell ref="S818:T819"/>
    <mergeCell ref="U818:V819"/>
    <mergeCell ref="X818:AB818"/>
    <mergeCell ref="AJ818:AL818"/>
    <mergeCell ref="AN818:AO818"/>
    <mergeCell ref="AP818:AQ818"/>
    <mergeCell ref="W816:W817"/>
    <mergeCell ref="W818:W819"/>
    <mergeCell ref="AE816:AI817"/>
    <mergeCell ref="AE818:AI819"/>
    <mergeCell ref="AR822:AS823"/>
    <mergeCell ref="AT822:AU823"/>
    <mergeCell ref="AV822:AW823"/>
    <mergeCell ref="AX822:AY823"/>
    <mergeCell ref="AZ822:AZ823"/>
    <mergeCell ref="F823:H823"/>
    <mergeCell ref="X823:AB823"/>
    <mergeCell ref="AJ823:AL823"/>
    <mergeCell ref="AN823:AO823"/>
    <mergeCell ref="AP823:AQ823"/>
    <mergeCell ref="A824:A825"/>
    <mergeCell ref="E824:E825"/>
    <mergeCell ref="F824:H824"/>
    <mergeCell ref="J824:J825"/>
    <mergeCell ref="K824:L825"/>
    <mergeCell ref="M824:N825"/>
    <mergeCell ref="O824:P825"/>
    <mergeCell ref="Q824:R825"/>
    <mergeCell ref="S824:T825"/>
    <mergeCell ref="U824:V825"/>
    <mergeCell ref="X824:AB824"/>
    <mergeCell ref="AJ824:AL824"/>
    <mergeCell ref="AN824:AO824"/>
    <mergeCell ref="AP824:AQ824"/>
    <mergeCell ref="AR824:AS825"/>
    <mergeCell ref="AT824:AU825"/>
    <mergeCell ref="AV824:AW825"/>
    <mergeCell ref="AX824:AY825"/>
    <mergeCell ref="AZ824:AZ825"/>
    <mergeCell ref="F821:H821"/>
    <mergeCell ref="X821:AB821"/>
    <mergeCell ref="AJ821:AL821"/>
    <mergeCell ref="AN821:AO821"/>
    <mergeCell ref="AP821:AQ821"/>
    <mergeCell ref="A822:A823"/>
    <mergeCell ref="E822:E823"/>
    <mergeCell ref="F822:H822"/>
    <mergeCell ref="J822:J823"/>
    <mergeCell ref="K822:L823"/>
    <mergeCell ref="M822:N823"/>
    <mergeCell ref="O822:P823"/>
    <mergeCell ref="Q822:R823"/>
    <mergeCell ref="S822:T823"/>
    <mergeCell ref="U822:V823"/>
    <mergeCell ref="X822:AB822"/>
    <mergeCell ref="AJ822:AL822"/>
    <mergeCell ref="AN822:AO822"/>
    <mergeCell ref="AP822:AQ822"/>
    <mergeCell ref="W820:W821"/>
    <mergeCell ref="W822:W823"/>
    <mergeCell ref="AE820:AI821"/>
    <mergeCell ref="AE822:AI823"/>
    <mergeCell ref="AR826:AS827"/>
    <mergeCell ref="AT826:AU827"/>
    <mergeCell ref="AV826:AW827"/>
    <mergeCell ref="AX826:AY827"/>
    <mergeCell ref="AZ826:AZ827"/>
    <mergeCell ref="F827:H827"/>
    <mergeCell ref="X827:AB827"/>
    <mergeCell ref="AJ827:AL827"/>
    <mergeCell ref="AN827:AO827"/>
    <mergeCell ref="AP827:AQ827"/>
    <mergeCell ref="A828:A829"/>
    <mergeCell ref="E828:E829"/>
    <mergeCell ref="F828:H828"/>
    <mergeCell ref="J828:J829"/>
    <mergeCell ref="K828:L829"/>
    <mergeCell ref="M828:N829"/>
    <mergeCell ref="O828:P829"/>
    <mergeCell ref="Q828:R829"/>
    <mergeCell ref="S828:T829"/>
    <mergeCell ref="U828:V829"/>
    <mergeCell ref="X828:AB828"/>
    <mergeCell ref="AJ828:AL828"/>
    <mergeCell ref="AN828:AO828"/>
    <mergeCell ref="AP828:AQ828"/>
    <mergeCell ref="AR828:AS829"/>
    <mergeCell ref="AT828:AU829"/>
    <mergeCell ref="AV828:AW829"/>
    <mergeCell ref="AX828:AY829"/>
    <mergeCell ref="AZ828:AZ829"/>
    <mergeCell ref="F825:H825"/>
    <mergeCell ref="X825:AB825"/>
    <mergeCell ref="AJ825:AL825"/>
    <mergeCell ref="AN825:AO825"/>
    <mergeCell ref="AP825:AQ825"/>
    <mergeCell ref="A826:A827"/>
    <mergeCell ref="E826:E827"/>
    <mergeCell ref="F826:H826"/>
    <mergeCell ref="J826:J827"/>
    <mergeCell ref="K826:L827"/>
    <mergeCell ref="M826:N827"/>
    <mergeCell ref="O826:P827"/>
    <mergeCell ref="Q826:R827"/>
    <mergeCell ref="S826:T827"/>
    <mergeCell ref="U826:V827"/>
    <mergeCell ref="X826:AB826"/>
    <mergeCell ref="AJ826:AL826"/>
    <mergeCell ref="AN826:AO826"/>
    <mergeCell ref="AP826:AQ826"/>
    <mergeCell ref="W824:W825"/>
    <mergeCell ref="W826:W827"/>
    <mergeCell ref="AE824:AI825"/>
    <mergeCell ref="AE826:AI827"/>
    <mergeCell ref="AR830:AS831"/>
    <mergeCell ref="AT830:AU831"/>
    <mergeCell ref="AV830:AW831"/>
    <mergeCell ref="AX830:AY831"/>
    <mergeCell ref="AZ830:AZ831"/>
    <mergeCell ref="F831:H831"/>
    <mergeCell ref="X831:AB831"/>
    <mergeCell ref="AJ831:AL831"/>
    <mergeCell ref="AN831:AO831"/>
    <mergeCell ref="AP831:AQ831"/>
    <mergeCell ref="A832:A833"/>
    <mergeCell ref="E832:E833"/>
    <mergeCell ref="F832:H832"/>
    <mergeCell ref="J832:J833"/>
    <mergeCell ref="K832:L833"/>
    <mergeCell ref="M832:N833"/>
    <mergeCell ref="O832:P833"/>
    <mergeCell ref="Q832:R833"/>
    <mergeCell ref="S832:T833"/>
    <mergeCell ref="U832:V833"/>
    <mergeCell ref="X832:AB832"/>
    <mergeCell ref="AJ832:AL832"/>
    <mergeCell ref="AN832:AO832"/>
    <mergeCell ref="AP832:AQ832"/>
    <mergeCell ref="AR832:AS833"/>
    <mergeCell ref="AT832:AU833"/>
    <mergeCell ref="AV832:AW833"/>
    <mergeCell ref="AX832:AY833"/>
    <mergeCell ref="AZ832:AZ833"/>
    <mergeCell ref="F829:H829"/>
    <mergeCell ref="X829:AB829"/>
    <mergeCell ref="AJ829:AL829"/>
    <mergeCell ref="AN829:AO829"/>
    <mergeCell ref="AP829:AQ829"/>
    <mergeCell ref="A830:A831"/>
    <mergeCell ref="E830:E831"/>
    <mergeCell ref="F830:H830"/>
    <mergeCell ref="J830:J831"/>
    <mergeCell ref="K830:L831"/>
    <mergeCell ref="M830:N831"/>
    <mergeCell ref="O830:P831"/>
    <mergeCell ref="Q830:R831"/>
    <mergeCell ref="S830:T831"/>
    <mergeCell ref="U830:V831"/>
    <mergeCell ref="X830:AB830"/>
    <mergeCell ref="AJ830:AL830"/>
    <mergeCell ref="AN830:AO830"/>
    <mergeCell ref="AP830:AQ830"/>
    <mergeCell ref="W828:W829"/>
    <mergeCell ref="W830:W831"/>
    <mergeCell ref="AE828:AI829"/>
    <mergeCell ref="AE830:AI831"/>
    <mergeCell ref="AR834:AS835"/>
    <mergeCell ref="AT834:AU835"/>
    <mergeCell ref="AV834:AW835"/>
    <mergeCell ref="AX834:AY835"/>
    <mergeCell ref="AZ834:AZ835"/>
    <mergeCell ref="F835:H835"/>
    <mergeCell ref="X835:AB835"/>
    <mergeCell ref="AJ835:AL835"/>
    <mergeCell ref="AN835:AO835"/>
    <mergeCell ref="AP835:AQ835"/>
    <mergeCell ref="A836:A837"/>
    <mergeCell ref="E836:E837"/>
    <mergeCell ref="F836:H836"/>
    <mergeCell ref="J836:J837"/>
    <mergeCell ref="K836:L837"/>
    <mergeCell ref="M836:N837"/>
    <mergeCell ref="O836:P837"/>
    <mergeCell ref="Q836:R837"/>
    <mergeCell ref="S836:T837"/>
    <mergeCell ref="U836:V837"/>
    <mergeCell ref="X836:AB836"/>
    <mergeCell ref="AJ836:AL836"/>
    <mergeCell ref="AN836:AO836"/>
    <mergeCell ref="AP836:AQ836"/>
    <mergeCell ref="AR836:AS837"/>
    <mergeCell ref="AT836:AU837"/>
    <mergeCell ref="AV836:AW837"/>
    <mergeCell ref="AX836:AY837"/>
    <mergeCell ref="AZ836:AZ837"/>
    <mergeCell ref="F833:H833"/>
    <mergeCell ref="X833:AB833"/>
    <mergeCell ref="AJ833:AL833"/>
    <mergeCell ref="AN833:AO833"/>
    <mergeCell ref="AP833:AQ833"/>
    <mergeCell ref="A834:A835"/>
    <mergeCell ref="E834:E835"/>
    <mergeCell ref="F834:H834"/>
    <mergeCell ref="J834:J835"/>
    <mergeCell ref="K834:L835"/>
    <mergeCell ref="M834:N835"/>
    <mergeCell ref="O834:P835"/>
    <mergeCell ref="Q834:R835"/>
    <mergeCell ref="S834:T835"/>
    <mergeCell ref="U834:V835"/>
    <mergeCell ref="X834:AB834"/>
    <mergeCell ref="AJ834:AL834"/>
    <mergeCell ref="AN834:AO834"/>
    <mergeCell ref="AP834:AQ834"/>
    <mergeCell ref="W832:W833"/>
    <mergeCell ref="W834:W835"/>
    <mergeCell ref="AE832:AI833"/>
    <mergeCell ref="AE834:AI835"/>
    <mergeCell ref="AR838:AS839"/>
    <mergeCell ref="AT838:AU839"/>
    <mergeCell ref="AV838:AW839"/>
    <mergeCell ref="AX838:AY839"/>
    <mergeCell ref="AZ838:AZ839"/>
    <mergeCell ref="F839:H839"/>
    <mergeCell ref="X839:AB839"/>
    <mergeCell ref="AJ839:AL839"/>
    <mergeCell ref="AN839:AO839"/>
    <mergeCell ref="AP839:AQ839"/>
    <mergeCell ref="A840:A841"/>
    <mergeCell ref="E840:E841"/>
    <mergeCell ref="F840:H840"/>
    <mergeCell ref="J840:J841"/>
    <mergeCell ref="K840:L841"/>
    <mergeCell ref="M840:N841"/>
    <mergeCell ref="O840:P841"/>
    <mergeCell ref="Q840:R841"/>
    <mergeCell ref="S840:T841"/>
    <mergeCell ref="U840:V841"/>
    <mergeCell ref="X840:AB840"/>
    <mergeCell ref="AJ840:AL840"/>
    <mergeCell ref="AN840:AO840"/>
    <mergeCell ref="AP840:AQ840"/>
    <mergeCell ref="AR840:AS841"/>
    <mergeCell ref="AT840:AU841"/>
    <mergeCell ref="AV840:AW841"/>
    <mergeCell ref="AX840:AY841"/>
    <mergeCell ref="AZ840:AZ841"/>
    <mergeCell ref="F837:H837"/>
    <mergeCell ref="X837:AB837"/>
    <mergeCell ref="AJ837:AL837"/>
    <mergeCell ref="AN837:AO837"/>
    <mergeCell ref="AP837:AQ837"/>
    <mergeCell ref="A838:A839"/>
    <mergeCell ref="E838:E839"/>
    <mergeCell ref="F838:H838"/>
    <mergeCell ref="J838:J839"/>
    <mergeCell ref="K838:L839"/>
    <mergeCell ref="M838:N839"/>
    <mergeCell ref="O838:P839"/>
    <mergeCell ref="Q838:R839"/>
    <mergeCell ref="S838:T839"/>
    <mergeCell ref="U838:V839"/>
    <mergeCell ref="X838:AB838"/>
    <mergeCell ref="AJ838:AL838"/>
    <mergeCell ref="AN838:AO838"/>
    <mergeCell ref="AP838:AQ838"/>
    <mergeCell ref="W836:W837"/>
    <mergeCell ref="W838:W839"/>
    <mergeCell ref="AE836:AI837"/>
    <mergeCell ref="AE838:AI839"/>
    <mergeCell ref="AR842:AS843"/>
    <mergeCell ref="AT842:AU843"/>
    <mergeCell ref="AV842:AW843"/>
    <mergeCell ref="AX842:AY843"/>
    <mergeCell ref="AZ842:AZ843"/>
    <mergeCell ref="F843:H843"/>
    <mergeCell ref="X843:AB843"/>
    <mergeCell ref="AJ843:AL843"/>
    <mergeCell ref="AN843:AO843"/>
    <mergeCell ref="AP843:AQ843"/>
    <mergeCell ref="A844:A845"/>
    <mergeCell ref="E844:E845"/>
    <mergeCell ref="F844:H844"/>
    <mergeCell ref="J844:J845"/>
    <mergeCell ref="K844:L845"/>
    <mergeCell ref="M844:N845"/>
    <mergeCell ref="O844:P845"/>
    <mergeCell ref="Q844:R845"/>
    <mergeCell ref="S844:T845"/>
    <mergeCell ref="U844:V845"/>
    <mergeCell ref="X844:AB844"/>
    <mergeCell ref="AJ844:AL844"/>
    <mergeCell ref="AN844:AO844"/>
    <mergeCell ref="AP844:AQ844"/>
    <mergeCell ref="AR844:AS845"/>
    <mergeCell ref="AT844:AU845"/>
    <mergeCell ref="AV844:AW845"/>
    <mergeCell ref="AX844:AY845"/>
    <mergeCell ref="AZ844:AZ845"/>
    <mergeCell ref="F841:H841"/>
    <mergeCell ref="X841:AB841"/>
    <mergeCell ref="AJ841:AL841"/>
    <mergeCell ref="AN841:AO841"/>
    <mergeCell ref="AP841:AQ841"/>
    <mergeCell ref="A842:A843"/>
    <mergeCell ref="E842:E843"/>
    <mergeCell ref="F842:H842"/>
    <mergeCell ref="J842:J843"/>
    <mergeCell ref="K842:L843"/>
    <mergeCell ref="M842:N843"/>
    <mergeCell ref="O842:P843"/>
    <mergeCell ref="Q842:R843"/>
    <mergeCell ref="S842:T843"/>
    <mergeCell ref="U842:V843"/>
    <mergeCell ref="X842:AB842"/>
    <mergeCell ref="AJ842:AL842"/>
    <mergeCell ref="AN842:AO842"/>
    <mergeCell ref="AP842:AQ842"/>
    <mergeCell ref="W840:W841"/>
    <mergeCell ref="W842:W843"/>
    <mergeCell ref="AE840:AI841"/>
    <mergeCell ref="AE842:AI843"/>
    <mergeCell ref="AR846:AS847"/>
    <mergeCell ref="AT846:AU847"/>
    <mergeCell ref="AV846:AW847"/>
    <mergeCell ref="AX846:AY847"/>
    <mergeCell ref="AZ846:AZ847"/>
    <mergeCell ref="F847:H847"/>
    <mergeCell ref="X847:AB847"/>
    <mergeCell ref="AJ847:AL847"/>
    <mergeCell ref="AN847:AO847"/>
    <mergeCell ref="AP847:AQ847"/>
    <mergeCell ref="A848:A849"/>
    <mergeCell ref="E848:E849"/>
    <mergeCell ref="F848:H848"/>
    <mergeCell ref="J848:J849"/>
    <mergeCell ref="K848:L849"/>
    <mergeCell ref="M848:N849"/>
    <mergeCell ref="O848:P849"/>
    <mergeCell ref="Q848:R849"/>
    <mergeCell ref="S848:T849"/>
    <mergeCell ref="U848:V849"/>
    <mergeCell ref="X848:AB848"/>
    <mergeCell ref="AJ848:AL848"/>
    <mergeCell ref="AN848:AO848"/>
    <mergeCell ref="AP848:AQ848"/>
    <mergeCell ref="AR848:AS849"/>
    <mergeCell ref="AT848:AU849"/>
    <mergeCell ref="AV848:AW849"/>
    <mergeCell ref="AX848:AY849"/>
    <mergeCell ref="AZ848:AZ849"/>
    <mergeCell ref="F845:H845"/>
    <mergeCell ref="X845:AB845"/>
    <mergeCell ref="AJ845:AL845"/>
    <mergeCell ref="AN845:AO845"/>
    <mergeCell ref="AP845:AQ845"/>
    <mergeCell ref="A846:A847"/>
    <mergeCell ref="E846:E847"/>
    <mergeCell ref="F846:H846"/>
    <mergeCell ref="J846:J847"/>
    <mergeCell ref="K846:L847"/>
    <mergeCell ref="M846:N847"/>
    <mergeCell ref="O846:P847"/>
    <mergeCell ref="Q846:R847"/>
    <mergeCell ref="S846:T847"/>
    <mergeCell ref="U846:V847"/>
    <mergeCell ref="X846:AB846"/>
    <mergeCell ref="AJ846:AL846"/>
    <mergeCell ref="AN846:AO846"/>
    <mergeCell ref="AP846:AQ846"/>
    <mergeCell ref="W844:W845"/>
    <mergeCell ref="W846:W847"/>
    <mergeCell ref="AE844:AI845"/>
    <mergeCell ref="AE846:AI847"/>
    <mergeCell ref="AR850:AS851"/>
    <mergeCell ref="AT850:AU851"/>
    <mergeCell ref="AV850:AW851"/>
    <mergeCell ref="AX850:AY851"/>
    <mergeCell ref="AZ850:AZ851"/>
    <mergeCell ref="F851:H851"/>
    <mergeCell ref="X851:AB851"/>
    <mergeCell ref="AJ851:AL851"/>
    <mergeCell ref="AN851:AO851"/>
    <mergeCell ref="AP851:AQ851"/>
    <mergeCell ref="A852:A853"/>
    <mergeCell ref="E852:E853"/>
    <mergeCell ref="F852:H852"/>
    <mergeCell ref="J852:J853"/>
    <mergeCell ref="K852:L853"/>
    <mergeCell ref="M852:N853"/>
    <mergeCell ref="O852:P853"/>
    <mergeCell ref="Q852:R853"/>
    <mergeCell ref="S852:T853"/>
    <mergeCell ref="U852:V853"/>
    <mergeCell ref="X852:AB852"/>
    <mergeCell ref="AJ852:AL852"/>
    <mergeCell ref="AN852:AO852"/>
    <mergeCell ref="AP852:AQ852"/>
    <mergeCell ref="AR852:AS853"/>
    <mergeCell ref="AT852:AU853"/>
    <mergeCell ref="AV852:AW853"/>
    <mergeCell ref="AX852:AY853"/>
    <mergeCell ref="AZ852:AZ853"/>
    <mergeCell ref="F849:H849"/>
    <mergeCell ref="X849:AB849"/>
    <mergeCell ref="AJ849:AL849"/>
    <mergeCell ref="AN849:AO849"/>
    <mergeCell ref="AP849:AQ849"/>
    <mergeCell ref="A850:A851"/>
    <mergeCell ref="E850:E851"/>
    <mergeCell ref="F850:H850"/>
    <mergeCell ref="J850:J851"/>
    <mergeCell ref="K850:L851"/>
    <mergeCell ref="M850:N851"/>
    <mergeCell ref="O850:P851"/>
    <mergeCell ref="Q850:R851"/>
    <mergeCell ref="S850:T851"/>
    <mergeCell ref="U850:V851"/>
    <mergeCell ref="X850:AB850"/>
    <mergeCell ref="AJ850:AL850"/>
    <mergeCell ref="AN850:AO850"/>
    <mergeCell ref="AP850:AQ850"/>
    <mergeCell ref="W848:W849"/>
    <mergeCell ref="W850:W851"/>
    <mergeCell ref="AE848:AI849"/>
    <mergeCell ref="AE850:AI851"/>
    <mergeCell ref="AR854:AS855"/>
    <mergeCell ref="AT854:AU855"/>
    <mergeCell ref="AV854:AW855"/>
    <mergeCell ref="AX854:AY855"/>
    <mergeCell ref="AZ854:AZ855"/>
    <mergeCell ref="F855:H855"/>
    <mergeCell ref="X855:AB855"/>
    <mergeCell ref="AJ855:AL855"/>
    <mergeCell ref="AN855:AO855"/>
    <mergeCell ref="AP855:AQ855"/>
    <mergeCell ref="A856:A857"/>
    <mergeCell ref="E856:E857"/>
    <mergeCell ref="F856:H856"/>
    <mergeCell ref="J856:J857"/>
    <mergeCell ref="K856:L857"/>
    <mergeCell ref="M856:N857"/>
    <mergeCell ref="O856:P857"/>
    <mergeCell ref="Q856:R857"/>
    <mergeCell ref="S856:T857"/>
    <mergeCell ref="U856:V857"/>
    <mergeCell ref="X856:AB856"/>
    <mergeCell ref="AJ856:AL856"/>
    <mergeCell ref="AN856:AO856"/>
    <mergeCell ref="AP856:AQ856"/>
    <mergeCell ref="AR856:AS857"/>
    <mergeCell ref="AT856:AU857"/>
    <mergeCell ref="AV856:AW857"/>
    <mergeCell ref="AX856:AY857"/>
    <mergeCell ref="AZ856:AZ857"/>
    <mergeCell ref="F853:H853"/>
    <mergeCell ref="X853:AB853"/>
    <mergeCell ref="AJ853:AL853"/>
    <mergeCell ref="AN853:AO853"/>
    <mergeCell ref="AP853:AQ853"/>
    <mergeCell ref="A854:A855"/>
    <mergeCell ref="E854:E855"/>
    <mergeCell ref="F854:H854"/>
    <mergeCell ref="J854:J855"/>
    <mergeCell ref="K854:L855"/>
    <mergeCell ref="M854:N855"/>
    <mergeCell ref="O854:P855"/>
    <mergeCell ref="Q854:R855"/>
    <mergeCell ref="S854:T855"/>
    <mergeCell ref="U854:V855"/>
    <mergeCell ref="X854:AB854"/>
    <mergeCell ref="AJ854:AL854"/>
    <mergeCell ref="AN854:AO854"/>
    <mergeCell ref="AP854:AQ854"/>
    <mergeCell ref="W852:W853"/>
    <mergeCell ref="W854:W855"/>
    <mergeCell ref="AE852:AI853"/>
    <mergeCell ref="AE854:AI855"/>
    <mergeCell ref="AR858:AS859"/>
    <mergeCell ref="AT858:AU859"/>
    <mergeCell ref="AV858:AW859"/>
    <mergeCell ref="AX858:AY859"/>
    <mergeCell ref="AZ858:AZ859"/>
    <mergeCell ref="F859:H859"/>
    <mergeCell ref="X859:AB859"/>
    <mergeCell ref="AJ859:AL859"/>
    <mergeCell ref="AN859:AO859"/>
    <mergeCell ref="AP859:AQ859"/>
    <mergeCell ref="A860:A861"/>
    <mergeCell ref="E860:E861"/>
    <mergeCell ref="F860:H860"/>
    <mergeCell ref="J860:J861"/>
    <mergeCell ref="K860:L861"/>
    <mergeCell ref="M860:N861"/>
    <mergeCell ref="O860:P861"/>
    <mergeCell ref="Q860:R861"/>
    <mergeCell ref="S860:T861"/>
    <mergeCell ref="U860:V861"/>
    <mergeCell ref="X860:AB860"/>
    <mergeCell ref="AJ860:AL860"/>
    <mergeCell ref="AN860:AO860"/>
    <mergeCell ref="AP860:AQ860"/>
    <mergeCell ref="AR860:AS861"/>
    <mergeCell ref="AT860:AU861"/>
    <mergeCell ref="AV860:AW861"/>
    <mergeCell ref="AX860:AY861"/>
    <mergeCell ref="AZ860:AZ861"/>
    <mergeCell ref="F857:H857"/>
    <mergeCell ref="X857:AB857"/>
    <mergeCell ref="AJ857:AL857"/>
    <mergeCell ref="AN857:AO857"/>
    <mergeCell ref="AP857:AQ857"/>
    <mergeCell ref="A858:A859"/>
    <mergeCell ref="E858:E859"/>
    <mergeCell ref="F858:H858"/>
    <mergeCell ref="J858:J859"/>
    <mergeCell ref="K858:L859"/>
    <mergeCell ref="M858:N859"/>
    <mergeCell ref="O858:P859"/>
    <mergeCell ref="Q858:R859"/>
    <mergeCell ref="S858:T859"/>
    <mergeCell ref="U858:V859"/>
    <mergeCell ref="X858:AB858"/>
    <mergeCell ref="AJ858:AL858"/>
    <mergeCell ref="AN858:AO858"/>
    <mergeCell ref="AP858:AQ858"/>
    <mergeCell ref="W856:W857"/>
    <mergeCell ref="W858:W859"/>
    <mergeCell ref="AE856:AI857"/>
    <mergeCell ref="AE858:AI859"/>
    <mergeCell ref="AR862:AS863"/>
    <mergeCell ref="AT862:AU863"/>
    <mergeCell ref="AV862:AW863"/>
    <mergeCell ref="AX862:AY863"/>
    <mergeCell ref="AZ862:AZ863"/>
    <mergeCell ref="F863:H863"/>
    <mergeCell ref="X863:AB863"/>
    <mergeCell ref="AJ863:AL863"/>
    <mergeCell ref="AN863:AO863"/>
    <mergeCell ref="AP863:AQ863"/>
    <mergeCell ref="A864:A865"/>
    <mergeCell ref="E864:E865"/>
    <mergeCell ref="F864:H864"/>
    <mergeCell ref="J864:J865"/>
    <mergeCell ref="K864:L865"/>
    <mergeCell ref="M864:N865"/>
    <mergeCell ref="O864:P865"/>
    <mergeCell ref="Q864:R865"/>
    <mergeCell ref="S864:T865"/>
    <mergeCell ref="U864:V865"/>
    <mergeCell ref="X864:AB864"/>
    <mergeCell ref="AJ864:AL864"/>
    <mergeCell ref="AN864:AO864"/>
    <mergeCell ref="AP864:AQ864"/>
    <mergeCell ref="AR864:AS865"/>
    <mergeCell ref="AT864:AU865"/>
    <mergeCell ref="AV864:AW865"/>
    <mergeCell ref="AX864:AY865"/>
    <mergeCell ref="AZ864:AZ865"/>
    <mergeCell ref="F861:H861"/>
    <mergeCell ref="X861:AB861"/>
    <mergeCell ref="AJ861:AL861"/>
    <mergeCell ref="AN861:AO861"/>
    <mergeCell ref="AP861:AQ861"/>
    <mergeCell ref="A862:A863"/>
    <mergeCell ref="E862:E863"/>
    <mergeCell ref="F862:H862"/>
    <mergeCell ref="J862:J863"/>
    <mergeCell ref="K862:L863"/>
    <mergeCell ref="M862:N863"/>
    <mergeCell ref="O862:P863"/>
    <mergeCell ref="Q862:R863"/>
    <mergeCell ref="S862:T863"/>
    <mergeCell ref="U862:V863"/>
    <mergeCell ref="X862:AB862"/>
    <mergeCell ref="AJ862:AL862"/>
    <mergeCell ref="AN862:AO862"/>
    <mergeCell ref="AP862:AQ862"/>
    <mergeCell ref="W860:W861"/>
    <mergeCell ref="W862:W863"/>
    <mergeCell ref="AE860:AI861"/>
    <mergeCell ref="AE862:AI863"/>
    <mergeCell ref="AR866:AS867"/>
    <mergeCell ref="AT866:AU867"/>
    <mergeCell ref="AV866:AW867"/>
    <mergeCell ref="AX866:AY867"/>
    <mergeCell ref="AZ866:AZ867"/>
    <mergeCell ref="F867:H867"/>
    <mergeCell ref="X867:AB867"/>
    <mergeCell ref="AJ867:AL867"/>
    <mergeCell ref="AN867:AO867"/>
    <mergeCell ref="AP867:AQ867"/>
    <mergeCell ref="A868:A869"/>
    <mergeCell ref="E868:E869"/>
    <mergeCell ref="F868:H868"/>
    <mergeCell ref="J868:J869"/>
    <mergeCell ref="K868:L869"/>
    <mergeCell ref="M868:N869"/>
    <mergeCell ref="O868:P869"/>
    <mergeCell ref="Q868:R869"/>
    <mergeCell ref="S868:T869"/>
    <mergeCell ref="U868:V869"/>
    <mergeCell ref="X868:AB868"/>
    <mergeCell ref="AJ868:AL868"/>
    <mergeCell ref="AN868:AO868"/>
    <mergeCell ref="AP868:AQ868"/>
    <mergeCell ref="AR868:AS869"/>
    <mergeCell ref="AT868:AU869"/>
    <mergeCell ref="AV868:AW869"/>
    <mergeCell ref="AX868:AY869"/>
    <mergeCell ref="AZ868:AZ869"/>
    <mergeCell ref="F865:H865"/>
    <mergeCell ref="X865:AB865"/>
    <mergeCell ref="AJ865:AL865"/>
    <mergeCell ref="AN865:AO865"/>
    <mergeCell ref="AP865:AQ865"/>
    <mergeCell ref="A866:A867"/>
    <mergeCell ref="E866:E867"/>
    <mergeCell ref="F866:H866"/>
    <mergeCell ref="J866:J867"/>
    <mergeCell ref="K866:L867"/>
    <mergeCell ref="M866:N867"/>
    <mergeCell ref="O866:P867"/>
    <mergeCell ref="Q866:R867"/>
    <mergeCell ref="S866:T867"/>
    <mergeCell ref="U866:V867"/>
    <mergeCell ref="X866:AB866"/>
    <mergeCell ref="AJ866:AL866"/>
    <mergeCell ref="AN866:AO866"/>
    <mergeCell ref="AP866:AQ866"/>
    <mergeCell ref="W864:W865"/>
    <mergeCell ref="W866:W867"/>
    <mergeCell ref="AE864:AI865"/>
    <mergeCell ref="AE866:AI867"/>
    <mergeCell ref="AR870:AS871"/>
    <mergeCell ref="AT870:AU871"/>
    <mergeCell ref="AV870:AW871"/>
    <mergeCell ref="AX870:AY871"/>
    <mergeCell ref="AZ870:AZ871"/>
    <mergeCell ref="F871:H871"/>
    <mergeCell ref="X871:AB871"/>
    <mergeCell ref="AJ871:AL871"/>
    <mergeCell ref="AN871:AO871"/>
    <mergeCell ref="AP871:AQ871"/>
    <mergeCell ref="A872:A873"/>
    <mergeCell ref="E872:E873"/>
    <mergeCell ref="F872:H872"/>
    <mergeCell ref="J872:J873"/>
    <mergeCell ref="K872:L873"/>
    <mergeCell ref="M872:N873"/>
    <mergeCell ref="O872:P873"/>
    <mergeCell ref="Q872:R873"/>
    <mergeCell ref="S872:T873"/>
    <mergeCell ref="U872:V873"/>
    <mergeCell ref="X872:AB872"/>
    <mergeCell ref="AJ872:AL872"/>
    <mergeCell ref="AN872:AO872"/>
    <mergeCell ref="AP872:AQ872"/>
    <mergeCell ref="AR872:AS873"/>
    <mergeCell ref="AT872:AU873"/>
    <mergeCell ref="AV872:AW873"/>
    <mergeCell ref="AX872:AY873"/>
    <mergeCell ref="AZ872:AZ873"/>
    <mergeCell ref="F869:H869"/>
    <mergeCell ref="X869:AB869"/>
    <mergeCell ref="AJ869:AL869"/>
    <mergeCell ref="AN869:AO869"/>
    <mergeCell ref="AP869:AQ869"/>
    <mergeCell ref="A870:A871"/>
    <mergeCell ref="E870:E871"/>
    <mergeCell ref="F870:H870"/>
    <mergeCell ref="J870:J871"/>
    <mergeCell ref="K870:L871"/>
    <mergeCell ref="M870:N871"/>
    <mergeCell ref="O870:P871"/>
    <mergeCell ref="Q870:R871"/>
    <mergeCell ref="S870:T871"/>
    <mergeCell ref="U870:V871"/>
    <mergeCell ref="X870:AB870"/>
    <mergeCell ref="AJ870:AL870"/>
    <mergeCell ref="AN870:AO870"/>
    <mergeCell ref="AP870:AQ870"/>
    <mergeCell ref="W868:W869"/>
    <mergeCell ref="W870:W871"/>
    <mergeCell ref="AE868:AI869"/>
    <mergeCell ref="AE870:AI871"/>
    <mergeCell ref="AR874:AS875"/>
    <mergeCell ref="AT874:AU875"/>
    <mergeCell ref="AV874:AW875"/>
    <mergeCell ref="AX874:AY875"/>
    <mergeCell ref="AZ874:AZ875"/>
    <mergeCell ref="F875:H875"/>
    <mergeCell ref="X875:AB875"/>
    <mergeCell ref="AJ875:AL875"/>
    <mergeCell ref="AN875:AO875"/>
    <mergeCell ref="AP875:AQ875"/>
    <mergeCell ref="A876:A877"/>
    <mergeCell ref="E876:E877"/>
    <mergeCell ref="F876:H876"/>
    <mergeCell ref="J876:J877"/>
    <mergeCell ref="K876:L877"/>
    <mergeCell ref="M876:N877"/>
    <mergeCell ref="O876:P877"/>
    <mergeCell ref="Q876:R877"/>
    <mergeCell ref="S876:T877"/>
    <mergeCell ref="U876:V877"/>
    <mergeCell ref="X876:AB876"/>
    <mergeCell ref="AJ876:AL876"/>
    <mergeCell ref="AN876:AO876"/>
    <mergeCell ref="AP876:AQ876"/>
    <mergeCell ref="AR876:AS877"/>
    <mergeCell ref="AT876:AU877"/>
    <mergeCell ref="AV876:AW877"/>
    <mergeCell ref="AX876:AY877"/>
    <mergeCell ref="AZ876:AZ877"/>
    <mergeCell ref="F873:H873"/>
    <mergeCell ref="X873:AB873"/>
    <mergeCell ref="AJ873:AL873"/>
    <mergeCell ref="AN873:AO873"/>
    <mergeCell ref="AP873:AQ873"/>
    <mergeCell ref="A874:A875"/>
    <mergeCell ref="E874:E875"/>
    <mergeCell ref="F874:H874"/>
    <mergeCell ref="J874:J875"/>
    <mergeCell ref="K874:L875"/>
    <mergeCell ref="M874:N875"/>
    <mergeCell ref="O874:P875"/>
    <mergeCell ref="Q874:R875"/>
    <mergeCell ref="S874:T875"/>
    <mergeCell ref="U874:V875"/>
    <mergeCell ref="X874:AB874"/>
    <mergeCell ref="AJ874:AL874"/>
    <mergeCell ref="AN874:AO874"/>
    <mergeCell ref="AP874:AQ874"/>
    <mergeCell ref="W872:W873"/>
    <mergeCell ref="W874:W875"/>
    <mergeCell ref="AE872:AI873"/>
    <mergeCell ref="AE874:AI875"/>
    <mergeCell ref="AR878:AS879"/>
    <mergeCell ref="AT878:AU879"/>
    <mergeCell ref="AV878:AW879"/>
    <mergeCell ref="AX878:AY879"/>
    <mergeCell ref="AZ878:AZ879"/>
    <mergeCell ref="F879:H879"/>
    <mergeCell ref="X879:AB879"/>
    <mergeCell ref="AJ879:AL879"/>
    <mergeCell ref="AN879:AO879"/>
    <mergeCell ref="AP879:AQ879"/>
    <mergeCell ref="A880:A881"/>
    <mergeCell ref="E880:E881"/>
    <mergeCell ref="F880:H880"/>
    <mergeCell ref="J880:J881"/>
    <mergeCell ref="K880:L881"/>
    <mergeCell ref="M880:N881"/>
    <mergeCell ref="O880:P881"/>
    <mergeCell ref="Q880:R881"/>
    <mergeCell ref="S880:T881"/>
    <mergeCell ref="U880:V881"/>
    <mergeCell ref="X880:AB880"/>
    <mergeCell ref="AJ880:AL880"/>
    <mergeCell ref="AN880:AO880"/>
    <mergeCell ref="AP880:AQ880"/>
    <mergeCell ref="AR880:AS881"/>
    <mergeCell ref="AT880:AU881"/>
    <mergeCell ref="AV880:AW881"/>
    <mergeCell ref="AX880:AY881"/>
    <mergeCell ref="AZ880:AZ881"/>
    <mergeCell ref="F877:H877"/>
    <mergeCell ref="X877:AB877"/>
    <mergeCell ref="AJ877:AL877"/>
    <mergeCell ref="AN877:AO877"/>
    <mergeCell ref="AP877:AQ877"/>
    <mergeCell ref="A878:A879"/>
    <mergeCell ref="E878:E879"/>
    <mergeCell ref="F878:H878"/>
    <mergeCell ref="J878:J879"/>
    <mergeCell ref="K878:L879"/>
    <mergeCell ref="M878:N879"/>
    <mergeCell ref="O878:P879"/>
    <mergeCell ref="Q878:R879"/>
    <mergeCell ref="S878:T879"/>
    <mergeCell ref="U878:V879"/>
    <mergeCell ref="X878:AB878"/>
    <mergeCell ref="AJ878:AL878"/>
    <mergeCell ref="AN878:AO878"/>
    <mergeCell ref="AP878:AQ878"/>
    <mergeCell ref="W876:W877"/>
    <mergeCell ref="W878:W879"/>
    <mergeCell ref="AE876:AI877"/>
    <mergeCell ref="AE878:AI879"/>
    <mergeCell ref="AR882:AS883"/>
    <mergeCell ref="AT882:AU883"/>
    <mergeCell ref="AV882:AW883"/>
    <mergeCell ref="AX882:AY883"/>
    <mergeCell ref="AZ882:AZ883"/>
    <mergeCell ref="F883:H883"/>
    <mergeCell ref="X883:AB883"/>
    <mergeCell ref="AJ883:AL883"/>
    <mergeCell ref="AN883:AO883"/>
    <mergeCell ref="AP883:AQ883"/>
    <mergeCell ref="A884:A885"/>
    <mergeCell ref="E884:E885"/>
    <mergeCell ref="F884:H884"/>
    <mergeCell ref="J884:J885"/>
    <mergeCell ref="K884:L885"/>
    <mergeCell ref="M884:N885"/>
    <mergeCell ref="O884:P885"/>
    <mergeCell ref="Q884:R885"/>
    <mergeCell ref="S884:T885"/>
    <mergeCell ref="U884:V885"/>
    <mergeCell ref="X884:AB884"/>
    <mergeCell ref="AJ884:AL884"/>
    <mergeCell ref="AN884:AO884"/>
    <mergeCell ref="AP884:AQ884"/>
    <mergeCell ref="AR884:AS885"/>
    <mergeCell ref="AT884:AU885"/>
    <mergeCell ref="AV884:AW885"/>
    <mergeCell ref="AX884:AY885"/>
    <mergeCell ref="AZ884:AZ885"/>
    <mergeCell ref="F881:H881"/>
    <mergeCell ref="X881:AB881"/>
    <mergeCell ref="AJ881:AL881"/>
    <mergeCell ref="AN881:AO881"/>
    <mergeCell ref="AP881:AQ881"/>
    <mergeCell ref="A882:A883"/>
    <mergeCell ref="E882:E883"/>
    <mergeCell ref="F882:H882"/>
    <mergeCell ref="J882:J883"/>
    <mergeCell ref="K882:L883"/>
    <mergeCell ref="M882:N883"/>
    <mergeCell ref="O882:P883"/>
    <mergeCell ref="Q882:R883"/>
    <mergeCell ref="S882:T883"/>
    <mergeCell ref="U882:V883"/>
    <mergeCell ref="X882:AB882"/>
    <mergeCell ref="AJ882:AL882"/>
    <mergeCell ref="AN882:AO882"/>
    <mergeCell ref="AP882:AQ882"/>
    <mergeCell ref="W880:W881"/>
    <mergeCell ref="W882:W883"/>
    <mergeCell ref="AE880:AI881"/>
    <mergeCell ref="AE882:AI883"/>
    <mergeCell ref="AR886:AS887"/>
    <mergeCell ref="AT886:AU887"/>
    <mergeCell ref="AV886:AW887"/>
    <mergeCell ref="AX886:AY887"/>
    <mergeCell ref="AZ886:AZ887"/>
    <mergeCell ref="F887:H887"/>
    <mergeCell ref="X887:AB887"/>
    <mergeCell ref="AE887:AI887"/>
    <mergeCell ref="AJ887:AL887"/>
    <mergeCell ref="AN887:AO887"/>
    <mergeCell ref="AP887:AQ887"/>
    <mergeCell ref="A888:A889"/>
    <mergeCell ref="E888:E889"/>
    <mergeCell ref="F888:H888"/>
    <mergeCell ref="J888:J889"/>
    <mergeCell ref="K888:L889"/>
    <mergeCell ref="M888:N889"/>
    <mergeCell ref="O888:P889"/>
    <mergeCell ref="Q888:R889"/>
    <mergeCell ref="S888:T889"/>
    <mergeCell ref="U888:V889"/>
    <mergeCell ref="X888:AB888"/>
    <mergeCell ref="AD888:AI888"/>
    <mergeCell ref="AJ888:AL888"/>
    <mergeCell ref="AN888:AO888"/>
    <mergeCell ref="AP888:AQ888"/>
    <mergeCell ref="AR888:AS889"/>
    <mergeCell ref="AT888:AU889"/>
    <mergeCell ref="AV888:AW889"/>
    <mergeCell ref="AX888:AY889"/>
    <mergeCell ref="AZ888:AZ889"/>
    <mergeCell ref="F885:H885"/>
    <mergeCell ref="X885:AB885"/>
    <mergeCell ref="AE885:AI885"/>
    <mergeCell ref="AJ885:AL885"/>
    <mergeCell ref="AN885:AO885"/>
    <mergeCell ref="AP885:AQ885"/>
    <mergeCell ref="A886:A887"/>
    <mergeCell ref="E886:E887"/>
    <mergeCell ref="F886:H886"/>
    <mergeCell ref="J886:J887"/>
    <mergeCell ref="K886:L887"/>
    <mergeCell ref="M886:N887"/>
    <mergeCell ref="O886:P887"/>
    <mergeCell ref="Q886:R887"/>
    <mergeCell ref="S886:T887"/>
    <mergeCell ref="U886:V887"/>
    <mergeCell ref="X886:AB886"/>
    <mergeCell ref="AD886:AI886"/>
    <mergeCell ref="AJ886:AL886"/>
    <mergeCell ref="AN886:AO886"/>
    <mergeCell ref="AP886:AQ886"/>
    <mergeCell ref="W884:W885"/>
    <mergeCell ref="W886:W887"/>
    <mergeCell ref="AE884:AI884"/>
    <mergeCell ref="AR890:AS891"/>
    <mergeCell ref="AT890:AU891"/>
    <mergeCell ref="AV890:AW891"/>
    <mergeCell ref="AX890:AY891"/>
    <mergeCell ref="AZ890:AZ891"/>
    <mergeCell ref="F891:H891"/>
    <mergeCell ref="X891:AB891"/>
    <mergeCell ref="AE891:AI891"/>
    <mergeCell ref="AJ891:AL891"/>
    <mergeCell ref="AN891:AO891"/>
    <mergeCell ref="AP891:AQ891"/>
    <mergeCell ref="A892:A893"/>
    <mergeCell ref="E892:E893"/>
    <mergeCell ref="F892:H892"/>
    <mergeCell ref="J892:J893"/>
    <mergeCell ref="K892:L893"/>
    <mergeCell ref="M892:N893"/>
    <mergeCell ref="O892:P893"/>
    <mergeCell ref="Q892:R893"/>
    <mergeCell ref="S892:T893"/>
    <mergeCell ref="U892:V893"/>
    <mergeCell ref="X892:AB892"/>
    <mergeCell ref="AD892:AI892"/>
    <mergeCell ref="AJ892:AL892"/>
    <mergeCell ref="AN892:AO892"/>
    <mergeCell ref="AP892:AQ892"/>
    <mergeCell ref="AR892:AS893"/>
    <mergeCell ref="AT892:AU893"/>
    <mergeCell ref="AV892:AW893"/>
    <mergeCell ref="AX892:AY893"/>
    <mergeCell ref="AZ892:AZ893"/>
    <mergeCell ref="F889:H889"/>
    <mergeCell ref="X889:AB889"/>
    <mergeCell ref="AE889:AI889"/>
    <mergeCell ref="AJ889:AL889"/>
    <mergeCell ref="AN889:AO889"/>
    <mergeCell ref="AP889:AQ889"/>
    <mergeCell ref="A890:A891"/>
    <mergeCell ref="E890:E891"/>
    <mergeCell ref="F890:H890"/>
    <mergeCell ref="J890:J891"/>
    <mergeCell ref="K890:L891"/>
    <mergeCell ref="M890:N891"/>
    <mergeCell ref="O890:P891"/>
    <mergeCell ref="Q890:R891"/>
    <mergeCell ref="S890:T891"/>
    <mergeCell ref="U890:V891"/>
    <mergeCell ref="X890:AB890"/>
    <mergeCell ref="AD890:AI890"/>
    <mergeCell ref="AJ890:AL890"/>
    <mergeCell ref="AN890:AO890"/>
    <mergeCell ref="AP890:AQ890"/>
    <mergeCell ref="W888:W889"/>
    <mergeCell ref="W890:W891"/>
    <mergeCell ref="AR894:AS895"/>
    <mergeCell ref="AT894:AU895"/>
    <mergeCell ref="AV894:AW895"/>
    <mergeCell ref="AX894:AY895"/>
    <mergeCell ref="AZ894:AZ895"/>
    <mergeCell ref="F895:H895"/>
    <mergeCell ref="X895:AB895"/>
    <mergeCell ref="AE895:AI895"/>
    <mergeCell ref="AJ895:AL895"/>
    <mergeCell ref="AN895:AO895"/>
    <mergeCell ref="AP895:AQ895"/>
    <mergeCell ref="A896:A897"/>
    <mergeCell ref="E896:E897"/>
    <mergeCell ref="F896:H896"/>
    <mergeCell ref="J896:J897"/>
    <mergeCell ref="K896:L897"/>
    <mergeCell ref="M896:N897"/>
    <mergeCell ref="O896:P897"/>
    <mergeCell ref="Q896:R897"/>
    <mergeCell ref="S896:T897"/>
    <mergeCell ref="U896:V897"/>
    <mergeCell ref="X896:AB896"/>
    <mergeCell ref="AD896:AI896"/>
    <mergeCell ref="AJ896:AL896"/>
    <mergeCell ref="AN896:AO896"/>
    <mergeCell ref="AP896:AQ896"/>
    <mergeCell ref="AR896:AS897"/>
    <mergeCell ref="AT896:AU897"/>
    <mergeCell ref="AV896:AW897"/>
    <mergeCell ref="AX896:AY897"/>
    <mergeCell ref="AZ896:AZ897"/>
    <mergeCell ref="F893:H893"/>
    <mergeCell ref="X893:AB893"/>
    <mergeCell ref="AE893:AI893"/>
    <mergeCell ref="AJ893:AL893"/>
    <mergeCell ref="AN893:AO893"/>
    <mergeCell ref="AP893:AQ893"/>
    <mergeCell ref="A894:A895"/>
    <mergeCell ref="E894:E895"/>
    <mergeCell ref="F894:H894"/>
    <mergeCell ref="J894:J895"/>
    <mergeCell ref="K894:L895"/>
    <mergeCell ref="M894:N895"/>
    <mergeCell ref="O894:P895"/>
    <mergeCell ref="Q894:R895"/>
    <mergeCell ref="S894:T895"/>
    <mergeCell ref="U894:V895"/>
    <mergeCell ref="X894:AB894"/>
    <mergeCell ref="AD894:AI894"/>
    <mergeCell ref="AJ894:AL894"/>
    <mergeCell ref="AN894:AO894"/>
    <mergeCell ref="AP894:AQ894"/>
    <mergeCell ref="W892:W893"/>
    <mergeCell ref="W894:W895"/>
    <mergeCell ref="AR898:AS899"/>
    <mergeCell ref="AT898:AU899"/>
    <mergeCell ref="AV898:AW899"/>
    <mergeCell ref="AX898:AY899"/>
    <mergeCell ref="AZ898:AZ899"/>
    <mergeCell ref="F899:H899"/>
    <mergeCell ref="X899:AB899"/>
    <mergeCell ref="AE899:AI899"/>
    <mergeCell ref="AJ899:AL899"/>
    <mergeCell ref="AN899:AO899"/>
    <mergeCell ref="AP899:AQ899"/>
    <mergeCell ref="A900:A901"/>
    <mergeCell ref="E900:E901"/>
    <mergeCell ref="F900:H900"/>
    <mergeCell ref="J900:J901"/>
    <mergeCell ref="K900:L901"/>
    <mergeCell ref="M900:N901"/>
    <mergeCell ref="O900:P901"/>
    <mergeCell ref="Q900:R901"/>
    <mergeCell ref="S900:T901"/>
    <mergeCell ref="U900:V901"/>
    <mergeCell ref="X900:AB900"/>
    <mergeCell ref="AD900:AI900"/>
    <mergeCell ref="AJ900:AL900"/>
    <mergeCell ref="AN900:AO900"/>
    <mergeCell ref="AP900:AQ900"/>
    <mergeCell ref="AR900:AS901"/>
    <mergeCell ref="AT900:AU901"/>
    <mergeCell ref="AV900:AW901"/>
    <mergeCell ref="AX900:AY901"/>
    <mergeCell ref="AZ900:AZ901"/>
    <mergeCell ref="F897:H897"/>
    <mergeCell ref="X897:AB897"/>
    <mergeCell ref="AE897:AI897"/>
    <mergeCell ref="AJ897:AL897"/>
    <mergeCell ref="AN897:AO897"/>
    <mergeCell ref="AP897:AQ897"/>
    <mergeCell ref="A898:A899"/>
    <mergeCell ref="E898:E899"/>
    <mergeCell ref="F898:H898"/>
    <mergeCell ref="J898:J899"/>
    <mergeCell ref="K898:L899"/>
    <mergeCell ref="M898:N899"/>
    <mergeCell ref="O898:P899"/>
    <mergeCell ref="Q898:R899"/>
    <mergeCell ref="S898:T899"/>
    <mergeCell ref="U898:V899"/>
    <mergeCell ref="X898:AB898"/>
    <mergeCell ref="AD898:AI898"/>
    <mergeCell ref="AJ898:AL898"/>
    <mergeCell ref="AN898:AO898"/>
    <mergeCell ref="AP898:AQ898"/>
    <mergeCell ref="W896:W897"/>
    <mergeCell ref="W898:W899"/>
    <mergeCell ref="AR902:AS903"/>
    <mergeCell ref="AT902:AU903"/>
    <mergeCell ref="AV902:AW903"/>
    <mergeCell ref="AX902:AY903"/>
    <mergeCell ref="AZ902:AZ903"/>
    <mergeCell ref="F903:H903"/>
    <mergeCell ref="X903:AB903"/>
    <mergeCell ref="AE903:AI903"/>
    <mergeCell ref="AJ903:AL903"/>
    <mergeCell ref="AN903:AO903"/>
    <mergeCell ref="AP903:AQ903"/>
    <mergeCell ref="A904:A905"/>
    <mergeCell ref="E904:E905"/>
    <mergeCell ref="F904:H904"/>
    <mergeCell ref="J904:J905"/>
    <mergeCell ref="K904:L905"/>
    <mergeCell ref="M904:N905"/>
    <mergeCell ref="O904:P905"/>
    <mergeCell ref="Q904:R905"/>
    <mergeCell ref="S904:T905"/>
    <mergeCell ref="U904:V905"/>
    <mergeCell ref="X904:AB904"/>
    <mergeCell ref="AD904:AI904"/>
    <mergeCell ref="AJ904:AL904"/>
    <mergeCell ref="AN904:AO904"/>
    <mergeCell ref="AP904:AQ904"/>
    <mergeCell ref="AR904:AS905"/>
    <mergeCell ref="AT904:AU905"/>
    <mergeCell ref="AV904:AW905"/>
    <mergeCell ref="AX904:AY905"/>
    <mergeCell ref="AZ904:AZ905"/>
    <mergeCell ref="F901:H901"/>
    <mergeCell ref="X901:AB901"/>
    <mergeCell ref="AE901:AI901"/>
    <mergeCell ref="AJ901:AL901"/>
    <mergeCell ref="AN901:AO901"/>
    <mergeCell ref="AP901:AQ901"/>
    <mergeCell ref="A902:A903"/>
    <mergeCell ref="E902:E903"/>
    <mergeCell ref="F902:H902"/>
    <mergeCell ref="J902:J903"/>
    <mergeCell ref="K902:L903"/>
    <mergeCell ref="M902:N903"/>
    <mergeCell ref="O902:P903"/>
    <mergeCell ref="Q902:R903"/>
    <mergeCell ref="S902:T903"/>
    <mergeCell ref="U902:V903"/>
    <mergeCell ref="X902:AB902"/>
    <mergeCell ref="AD902:AI902"/>
    <mergeCell ref="AJ902:AL902"/>
    <mergeCell ref="AN902:AO902"/>
    <mergeCell ref="AP902:AQ902"/>
    <mergeCell ref="W900:W901"/>
    <mergeCell ref="W902:W903"/>
    <mergeCell ref="AR906:AS907"/>
    <mergeCell ref="AT906:AU907"/>
    <mergeCell ref="AV906:AW907"/>
    <mergeCell ref="AX906:AY907"/>
    <mergeCell ref="AZ906:AZ907"/>
    <mergeCell ref="F907:H907"/>
    <mergeCell ref="X907:AB907"/>
    <mergeCell ref="AE907:AI907"/>
    <mergeCell ref="AJ907:AL907"/>
    <mergeCell ref="AN907:AO907"/>
    <mergeCell ref="AP907:AQ907"/>
    <mergeCell ref="A908:A909"/>
    <mergeCell ref="E908:E909"/>
    <mergeCell ref="F908:H908"/>
    <mergeCell ref="J908:J909"/>
    <mergeCell ref="K908:L909"/>
    <mergeCell ref="M908:N909"/>
    <mergeCell ref="O908:P909"/>
    <mergeCell ref="Q908:R909"/>
    <mergeCell ref="S908:T909"/>
    <mergeCell ref="U908:V909"/>
    <mergeCell ref="X908:AB908"/>
    <mergeCell ref="AD908:AI908"/>
    <mergeCell ref="AJ908:AL908"/>
    <mergeCell ref="AN908:AO908"/>
    <mergeCell ref="AP908:AQ908"/>
    <mergeCell ref="AR908:AS909"/>
    <mergeCell ref="AT908:AU909"/>
    <mergeCell ref="AV908:AW909"/>
    <mergeCell ref="AX908:AY909"/>
    <mergeCell ref="AZ908:AZ909"/>
    <mergeCell ref="F905:H905"/>
    <mergeCell ref="X905:AB905"/>
    <mergeCell ref="AE905:AI905"/>
    <mergeCell ref="AJ905:AL905"/>
    <mergeCell ref="AN905:AO905"/>
    <mergeCell ref="AP905:AQ905"/>
    <mergeCell ref="A906:A907"/>
    <mergeCell ref="E906:E907"/>
    <mergeCell ref="F906:H906"/>
    <mergeCell ref="J906:J907"/>
    <mergeCell ref="K906:L907"/>
    <mergeCell ref="M906:N907"/>
    <mergeCell ref="O906:P907"/>
    <mergeCell ref="Q906:R907"/>
    <mergeCell ref="S906:T907"/>
    <mergeCell ref="U906:V907"/>
    <mergeCell ref="X906:AB906"/>
    <mergeCell ref="AD906:AI906"/>
    <mergeCell ref="AJ906:AL906"/>
    <mergeCell ref="AN906:AO906"/>
    <mergeCell ref="AP906:AQ906"/>
    <mergeCell ref="W904:W905"/>
    <mergeCell ref="W906:W907"/>
    <mergeCell ref="AR910:AS911"/>
    <mergeCell ref="AT910:AU911"/>
    <mergeCell ref="AV910:AW911"/>
    <mergeCell ref="AX910:AY911"/>
    <mergeCell ref="AZ910:AZ911"/>
    <mergeCell ref="F911:H911"/>
    <mergeCell ref="X911:AB911"/>
    <mergeCell ref="AE911:AI911"/>
    <mergeCell ref="AJ911:AL911"/>
    <mergeCell ref="AN911:AO911"/>
    <mergeCell ref="AP911:AQ911"/>
    <mergeCell ref="A912:A913"/>
    <mergeCell ref="E912:E913"/>
    <mergeCell ref="F912:H912"/>
    <mergeCell ref="J912:J913"/>
    <mergeCell ref="K912:L913"/>
    <mergeCell ref="M912:N913"/>
    <mergeCell ref="O912:P913"/>
    <mergeCell ref="Q912:R913"/>
    <mergeCell ref="S912:T913"/>
    <mergeCell ref="U912:V913"/>
    <mergeCell ref="X912:AB912"/>
    <mergeCell ref="AD912:AI912"/>
    <mergeCell ref="AJ912:AL912"/>
    <mergeCell ref="AN912:AO912"/>
    <mergeCell ref="AP912:AQ912"/>
    <mergeCell ref="AR912:AS913"/>
    <mergeCell ref="AT912:AU913"/>
    <mergeCell ref="AV912:AW913"/>
    <mergeCell ref="AX912:AY913"/>
    <mergeCell ref="AZ912:AZ913"/>
    <mergeCell ref="F909:H909"/>
    <mergeCell ref="X909:AB909"/>
    <mergeCell ref="AE909:AI909"/>
    <mergeCell ref="AJ909:AL909"/>
    <mergeCell ref="AN909:AO909"/>
    <mergeCell ref="AP909:AQ909"/>
    <mergeCell ref="A910:A911"/>
    <mergeCell ref="E910:E911"/>
    <mergeCell ref="F910:H910"/>
    <mergeCell ref="J910:J911"/>
    <mergeCell ref="K910:L911"/>
    <mergeCell ref="M910:N911"/>
    <mergeCell ref="O910:P911"/>
    <mergeCell ref="Q910:R911"/>
    <mergeCell ref="S910:T911"/>
    <mergeCell ref="U910:V911"/>
    <mergeCell ref="X910:AB910"/>
    <mergeCell ref="AD910:AI910"/>
    <mergeCell ref="AJ910:AL910"/>
    <mergeCell ref="AN910:AO910"/>
    <mergeCell ref="AP910:AQ910"/>
    <mergeCell ref="W908:W909"/>
    <mergeCell ref="W910:W911"/>
    <mergeCell ref="AR914:AS915"/>
    <mergeCell ref="AT914:AU915"/>
    <mergeCell ref="AV914:AW915"/>
    <mergeCell ref="AX914:AY915"/>
    <mergeCell ref="AZ914:AZ915"/>
    <mergeCell ref="F915:H915"/>
    <mergeCell ref="X915:AB915"/>
    <mergeCell ref="AE915:AI915"/>
    <mergeCell ref="AJ915:AL915"/>
    <mergeCell ref="AN915:AO915"/>
    <mergeCell ref="AP915:AQ915"/>
    <mergeCell ref="A916:A917"/>
    <mergeCell ref="E916:E917"/>
    <mergeCell ref="F916:H916"/>
    <mergeCell ref="J916:J917"/>
    <mergeCell ref="K916:L917"/>
    <mergeCell ref="M916:N917"/>
    <mergeCell ref="O916:P917"/>
    <mergeCell ref="Q916:R917"/>
    <mergeCell ref="S916:T917"/>
    <mergeCell ref="U916:V917"/>
    <mergeCell ref="X916:AB916"/>
    <mergeCell ref="AD916:AI916"/>
    <mergeCell ref="AJ916:AL916"/>
    <mergeCell ref="AN916:AO916"/>
    <mergeCell ref="AP916:AQ916"/>
    <mergeCell ref="AR916:AS917"/>
    <mergeCell ref="AT916:AU917"/>
    <mergeCell ref="AV916:AW917"/>
    <mergeCell ref="AX916:AY917"/>
    <mergeCell ref="AZ916:AZ917"/>
    <mergeCell ref="F913:H913"/>
    <mergeCell ref="X913:AB913"/>
    <mergeCell ref="AE913:AI913"/>
    <mergeCell ref="AJ913:AL913"/>
    <mergeCell ref="AN913:AO913"/>
    <mergeCell ref="AP913:AQ913"/>
    <mergeCell ref="A914:A915"/>
    <mergeCell ref="E914:E915"/>
    <mergeCell ref="F914:H914"/>
    <mergeCell ref="J914:J915"/>
    <mergeCell ref="K914:L915"/>
    <mergeCell ref="M914:N915"/>
    <mergeCell ref="O914:P915"/>
    <mergeCell ref="Q914:R915"/>
    <mergeCell ref="S914:T915"/>
    <mergeCell ref="U914:V915"/>
    <mergeCell ref="X914:AB914"/>
    <mergeCell ref="AD914:AI914"/>
    <mergeCell ref="AJ914:AL914"/>
    <mergeCell ref="AN914:AO914"/>
    <mergeCell ref="AP914:AQ914"/>
    <mergeCell ref="W912:W913"/>
    <mergeCell ref="W914:W915"/>
    <mergeCell ref="AR918:AS919"/>
    <mergeCell ref="AT918:AU919"/>
    <mergeCell ref="AV918:AW919"/>
    <mergeCell ref="AX918:AY919"/>
    <mergeCell ref="AZ918:AZ919"/>
    <mergeCell ref="F919:H919"/>
    <mergeCell ref="X919:AB919"/>
    <mergeCell ref="AE919:AI919"/>
    <mergeCell ref="AJ919:AL919"/>
    <mergeCell ref="AN919:AO919"/>
    <mergeCell ref="AP919:AQ919"/>
    <mergeCell ref="A920:A921"/>
    <mergeCell ref="E920:E921"/>
    <mergeCell ref="F920:H920"/>
    <mergeCell ref="J920:J921"/>
    <mergeCell ref="K920:L921"/>
    <mergeCell ref="M920:N921"/>
    <mergeCell ref="O920:P921"/>
    <mergeCell ref="Q920:R921"/>
    <mergeCell ref="S920:T921"/>
    <mergeCell ref="U920:V921"/>
    <mergeCell ref="X920:AB920"/>
    <mergeCell ref="AD920:AI920"/>
    <mergeCell ref="AJ920:AL920"/>
    <mergeCell ref="AN920:AO920"/>
    <mergeCell ref="AP920:AQ920"/>
    <mergeCell ref="AR920:AS921"/>
    <mergeCell ref="AT920:AU921"/>
    <mergeCell ref="AV920:AW921"/>
    <mergeCell ref="AX920:AY921"/>
    <mergeCell ref="AZ920:AZ921"/>
    <mergeCell ref="F917:H917"/>
    <mergeCell ref="X917:AB917"/>
    <mergeCell ref="AE917:AI917"/>
    <mergeCell ref="AJ917:AL917"/>
    <mergeCell ref="AN917:AO917"/>
    <mergeCell ref="AP917:AQ917"/>
    <mergeCell ref="A918:A919"/>
    <mergeCell ref="E918:E919"/>
    <mergeCell ref="F918:H918"/>
    <mergeCell ref="J918:J919"/>
    <mergeCell ref="K918:L919"/>
    <mergeCell ref="M918:N919"/>
    <mergeCell ref="O918:P919"/>
    <mergeCell ref="Q918:R919"/>
    <mergeCell ref="S918:T919"/>
    <mergeCell ref="U918:V919"/>
    <mergeCell ref="X918:AB918"/>
    <mergeCell ref="AD918:AI918"/>
    <mergeCell ref="AJ918:AL918"/>
    <mergeCell ref="AN918:AO918"/>
    <mergeCell ref="AP918:AQ918"/>
    <mergeCell ref="W916:W917"/>
    <mergeCell ref="W918:W919"/>
    <mergeCell ref="AR922:AS923"/>
    <mergeCell ref="AT922:AU923"/>
    <mergeCell ref="AV922:AW923"/>
    <mergeCell ref="AX922:AY923"/>
    <mergeCell ref="AZ922:AZ923"/>
    <mergeCell ref="F923:H923"/>
    <mergeCell ref="X923:AB923"/>
    <mergeCell ref="AE923:AI923"/>
    <mergeCell ref="AJ923:AL923"/>
    <mergeCell ref="AN923:AO923"/>
    <mergeCell ref="AP923:AQ923"/>
    <mergeCell ref="A924:A925"/>
    <mergeCell ref="E924:E925"/>
    <mergeCell ref="F924:H924"/>
    <mergeCell ref="J924:J925"/>
    <mergeCell ref="K924:L925"/>
    <mergeCell ref="M924:N925"/>
    <mergeCell ref="O924:P925"/>
    <mergeCell ref="Q924:R925"/>
    <mergeCell ref="S924:T925"/>
    <mergeCell ref="U924:V925"/>
    <mergeCell ref="X924:AB924"/>
    <mergeCell ref="AD924:AI924"/>
    <mergeCell ref="AJ924:AL924"/>
    <mergeCell ref="AN924:AO924"/>
    <mergeCell ref="AP924:AQ924"/>
    <mergeCell ref="AR924:AS925"/>
    <mergeCell ref="AT924:AU925"/>
    <mergeCell ref="AV924:AW925"/>
    <mergeCell ref="AX924:AY925"/>
    <mergeCell ref="AZ924:AZ925"/>
    <mergeCell ref="F921:H921"/>
    <mergeCell ref="X921:AB921"/>
    <mergeCell ref="AE921:AI921"/>
    <mergeCell ref="AJ921:AL921"/>
    <mergeCell ref="AN921:AO921"/>
    <mergeCell ref="AP921:AQ921"/>
    <mergeCell ref="A922:A923"/>
    <mergeCell ref="E922:E923"/>
    <mergeCell ref="F922:H922"/>
    <mergeCell ref="J922:J923"/>
    <mergeCell ref="K922:L923"/>
    <mergeCell ref="M922:N923"/>
    <mergeCell ref="O922:P923"/>
    <mergeCell ref="Q922:R923"/>
    <mergeCell ref="S922:T923"/>
    <mergeCell ref="U922:V923"/>
    <mergeCell ref="X922:AB922"/>
    <mergeCell ref="AD922:AI922"/>
    <mergeCell ref="AJ922:AL922"/>
    <mergeCell ref="AN922:AO922"/>
    <mergeCell ref="AP922:AQ922"/>
    <mergeCell ref="W920:W921"/>
    <mergeCell ref="W922:W923"/>
    <mergeCell ref="AR926:AS927"/>
    <mergeCell ref="AT926:AU927"/>
    <mergeCell ref="AV926:AW927"/>
    <mergeCell ref="AX926:AY927"/>
    <mergeCell ref="AZ926:AZ927"/>
    <mergeCell ref="F927:H927"/>
    <mergeCell ref="X927:AB927"/>
    <mergeCell ref="AE927:AI927"/>
    <mergeCell ref="AJ927:AL927"/>
    <mergeCell ref="AN927:AO927"/>
    <mergeCell ref="AP927:AQ927"/>
    <mergeCell ref="A928:A929"/>
    <mergeCell ref="E928:E929"/>
    <mergeCell ref="F928:H928"/>
    <mergeCell ref="J928:J929"/>
    <mergeCell ref="K928:L929"/>
    <mergeCell ref="M928:N929"/>
    <mergeCell ref="O928:P929"/>
    <mergeCell ref="Q928:R929"/>
    <mergeCell ref="S928:T929"/>
    <mergeCell ref="U928:V929"/>
    <mergeCell ref="X928:AB928"/>
    <mergeCell ref="AD928:AI928"/>
    <mergeCell ref="AJ928:AL928"/>
    <mergeCell ref="AN928:AO928"/>
    <mergeCell ref="AP928:AQ928"/>
    <mergeCell ref="AR928:AS929"/>
    <mergeCell ref="AT928:AU929"/>
    <mergeCell ref="AV928:AW929"/>
    <mergeCell ref="AX928:AY929"/>
    <mergeCell ref="AZ928:AZ929"/>
    <mergeCell ref="F925:H925"/>
    <mergeCell ref="X925:AB925"/>
    <mergeCell ref="AE925:AI925"/>
    <mergeCell ref="AJ925:AL925"/>
    <mergeCell ref="AN925:AO925"/>
    <mergeCell ref="AP925:AQ925"/>
    <mergeCell ref="A926:A927"/>
    <mergeCell ref="E926:E927"/>
    <mergeCell ref="F926:H926"/>
    <mergeCell ref="J926:J927"/>
    <mergeCell ref="K926:L927"/>
    <mergeCell ref="M926:N927"/>
    <mergeCell ref="O926:P927"/>
    <mergeCell ref="Q926:R927"/>
    <mergeCell ref="S926:T927"/>
    <mergeCell ref="U926:V927"/>
    <mergeCell ref="X926:AB926"/>
    <mergeCell ref="AD926:AI926"/>
    <mergeCell ref="AJ926:AL926"/>
    <mergeCell ref="AN926:AO926"/>
    <mergeCell ref="AP926:AQ926"/>
    <mergeCell ref="W924:W925"/>
    <mergeCell ref="W926:W927"/>
    <mergeCell ref="AR930:AS931"/>
    <mergeCell ref="AT930:AU931"/>
    <mergeCell ref="AV930:AW931"/>
    <mergeCell ref="AX930:AY931"/>
    <mergeCell ref="AZ930:AZ931"/>
    <mergeCell ref="F931:H931"/>
    <mergeCell ref="X931:AB931"/>
    <mergeCell ref="AE931:AI931"/>
    <mergeCell ref="AJ931:AL931"/>
    <mergeCell ref="AN931:AO931"/>
    <mergeCell ref="AP931:AQ931"/>
    <mergeCell ref="A932:A933"/>
    <mergeCell ref="E932:E933"/>
    <mergeCell ref="F932:H932"/>
    <mergeCell ref="J932:J933"/>
    <mergeCell ref="K932:L933"/>
    <mergeCell ref="M932:N933"/>
    <mergeCell ref="O932:P933"/>
    <mergeCell ref="Q932:R933"/>
    <mergeCell ref="S932:T933"/>
    <mergeCell ref="U932:V933"/>
    <mergeCell ref="X932:AB932"/>
    <mergeCell ref="AD932:AI932"/>
    <mergeCell ref="AJ932:AL932"/>
    <mergeCell ref="AN932:AO932"/>
    <mergeCell ref="AP932:AQ932"/>
    <mergeCell ref="AR932:AS933"/>
    <mergeCell ref="AT932:AU933"/>
    <mergeCell ref="AV932:AW933"/>
    <mergeCell ref="AX932:AY933"/>
    <mergeCell ref="AZ932:AZ933"/>
    <mergeCell ref="F929:H929"/>
    <mergeCell ref="X929:AB929"/>
    <mergeCell ref="AE929:AI929"/>
    <mergeCell ref="AJ929:AL929"/>
    <mergeCell ref="AN929:AO929"/>
    <mergeCell ref="AP929:AQ929"/>
    <mergeCell ref="A930:A931"/>
    <mergeCell ref="E930:E931"/>
    <mergeCell ref="F930:H930"/>
    <mergeCell ref="J930:J931"/>
    <mergeCell ref="K930:L931"/>
    <mergeCell ref="M930:N931"/>
    <mergeCell ref="O930:P931"/>
    <mergeCell ref="Q930:R931"/>
    <mergeCell ref="S930:T931"/>
    <mergeCell ref="U930:V931"/>
    <mergeCell ref="X930:AB930"/>
    <mergeCell ref="AD930:AI930"/>
    <mergeCell ref="AJ930:AL930"/>
    <mergeCell ref="AN930:AO930"/>
    <mergeCell ref="AP930:AQ930"/>
    <mergeCell ref="W928:W929"/>
    <mergeCell ref="W930:W931"/>
    <mergeCell ref="AR934:AS935"/>
    <mergeCell ref="AT934:AU935"/>
    <mergeCell ref="AV934:AW935"/>
    <mergeCell ref="AX934:AY935"/>
    <mergeCell ref="AZ934:AZ935"/>
    <mergeCell ref="F935:H935"/>
    <mergeCell ref="X935:AB935"/>
    <mergeCell ref="AE935:AI935"/>
    <mergeCell ref="AJ935:AL935"/>
    <mergeCell ref="AN935:AO935"/>
    <mergeCell ref="AP935:AQ935"/>
    <mergeCell ref="A936:A937"/>
    <mergeCell ref="E936:E937"/>
    <mergeCell ref="F936:H936"/>
    <mergeCell ref="J936:J937"/>
    <mergeCell ref="K936:L937"/>
    <mergeCell ref="M936:N937"/>
    <mergeCell ref="O936:P937"/>
    <mergeCell ref="Q936:R937"/>
    <mergeCell ref="S936:T937"/>
    <mergeCell ref="U936:V937"/>
    <mergeCell ref="X936:AB936"/>
    <mergeCell ref="AD936:AI936"/>
    <mergeCell ref="AJ936:AL936"/>
    <mergeCell ref="AN936:AO936"/>
    <mergeCell ref="AP936:AQ936"/>
    <mergeCell ref="AR936:AS937"/>
    <mergeCell ref="AT936:AU937"/>
    <mergeCell ref="AV936:AW937"/>
    <mergeCell ref="AX936:AY937"/>
    <mergeCell ref="AZ936:AZ937"/>
    <mergeCell ref="F933:H933"/>
    <mergeCell ref="X933:AB933"/>
    <mergeCell ref="AE933:AI933"/>
    <mergeCell ref="AJ933:AL933"/>
    <mergeCell ref="AN933:AO933"/>
    <mergeCell ref="AP933:AQ933"/>
    <mergeCell ref="A934:A935"/>
    <mergeCell ref="E934:E935"/>
    <mergeCell ref="F934:H934"/>
    <mergeCell ref="J934:J935"/>
    <mergeCell ref="K934:L935"/>
    <mergeCell ref="M934:N935"/>
    <mergeCell ref="O934:P935"/>
    <mergeCell ref="Q934:R935"/>
    <mergeCell ref="S934:T935"/>
    <mergeCell ref="U934:V935"/>
    <mergeCell ref="X934:AB934"/>
    <mergeCell ref="AD934:AI934"/>
    <mergeCell ref="AJ934:AL934"/>
    <mergeCell ref="AN934:AO934"/>
    <mergeCell ref="AP934:AQ934"/>
    <mergeCell ref="W932:W933"/>
    <mergeCell ref="W934:W935"/>
    <mergeCell ref="AR938:AS939"/>
    <mergeCell ref="AT938:AU939"/>
    <mergeCell ref="AV938:AW939"/>
    <mergeCell ref="AX938:AY939"/>
    <mergeCell ref="AZ938:AZ939"/>
    <mergeCell ref="F939:H939"/>
    <mergeCell ref="X939:AB939"/>
    <mergeCell ref="AE939:AI939"/>
    <mergeCell ref="AJ939:AL939"/>
    <mergeCell ref="AN939:AO939"/>
    <mergeCell ref="AP939:AQ939"/>
    <mergeCell ref="A940:A941"/>
    <mergeCell ref="E940:E941"/>
    <mergeCell ref="F940:H940"/>
    <mergeCell ref="J940:J941"/>
    <mergeCell ref="K940:L941"/>
    <mergeCell ref="M940:N941"/>
    <mergeCell ref="O940:P941"/>
    <mergeCell ref="Q940:R941"/>
    <mergeCell ref="S940:T941"/>
    <mergeCell ref="U940:V941"/>
    <mergeCell ref="X940:AB940"/>
    <mergeCell ref="AD940:AI940"/>
    <mergeCell ref="AJ940:AL940"/>
    <mergeCell ref="AN940:AO940"/>
    <mergeCell ref="AP940:AQ940"/>
    <mergeCell ref="AR940:AS941"/>
    <mergeCell ref="AT940:AU941"/>
    <mergeCell ref="AV940:AW941"/>
    <mergeCell ref="AX940:AY941"/>
    <mergeCell ref="AZ940:AZ941"/>
    <mergeCell ref="F937:H937"/>
    <mergeCell ref="X937:AB937"/>
    <mergeCell ref="AE937:AI937"/>
    <mergeCell ref="AJ937:AL937"/>
    <mergeCell ref="AN937:AO937"/>
    <mergeCell ref="AP937:AQ937"/>
    <mergeCell ref="A938:A939"/>
    <mergeCell ref="E938:E939"/>
    <mergeCell ref="F938:H938"/>
    <mergeCell ref="J938:J939"/>
    <mergeCell ref="K938:L939"/>
    <mergeCell ref="M938:N939"/>
    <mergeCell ref="O938:P939"/>
    <mergeCell ref="Q938:R939"/>
    <mergeCell ref="S938:T939"/>
    <mergeCell ref="U938:V939"/>
    <mergeCell ref="X938:AB938"/>
    <mergeCell ref="AD938:AI938"/>
    <mergeCell ref="AJ938:AL938"/>
    <mergeCell ref="AN938:AO938"/>
    <mergeCell ref="AP938:AQ938"/>
    <mergeCell ref="W936:W937"/>
    <mergeCell ref="W938:W939"/>
    <mergeCell ref="AR942:AS943"/>
    <mergeCell ref="AT942:AU943"/>
    <mergeCell ref="AV942:AW943"/>
    <mergeCell ref="AX942:AY943"/>
    <mergeCell ref="AZ942:AZ943"/>
    <mergeCell ref="F943:H943"/>
    <mergeCell ref="X943:AB943"/>
    <mergeCell ref="AE943:AI943"/>
    <mergeCell ref="AJ943:AL943"/>
    <mergeCell ref="AN943:AO943"/>
    <mergeCell ref="AP943:AQ943"/>
    <mergeCell ref="A944:A945"/>
    <mergeCell ref="E944:E945"/>
    <mergeCell ref="F944:H944"/>
    <mergeCell ref="J944:J945"/>
    <mergeCell ref="K944:L945"/>
    <mergeCell ref="M944:N945"/>
    <mergeCell ref="O944:P945"/>
    <mergeCell ref="Q944:R945"/>
    <mergeCell ref="S944:T945"/>
    <mergeCell ref="U944:V945"/>
    <mergeCell ref="X944:AB944"/>
    <mergeCell ref="AD944:AI944"/>
    <mergeCell ref="AJ944:AL944"/>
    <mergeCell ref="AN944:AO944"/>
    <mergeCell ref="AP944:AQ944"/>
    <mergeCell ref="AR944:AS945"/>
    <mergeCell ref="AT944:AU945"/>
    <mergeCell ref="AV944:AW945"/>
    <mergeCell ref="AX944:AY945"/>
    <mergeCell ref="AZ944:AZ945"/>
    <mergeCell ref="F941:H941"/>
    <mergeCell ref="X941:AB941"/>
    <mergeCell ref="AE941:AI941"/>
    <mergeCell ref="AJ941:AL941"/>
    <mergeCell ref="AN941:AO941"/>
    <mergeCell ref="AP941:AQ941"/>
    <mergeCell ref="A942:A943"/>
    <mergeCell ref="E942:E943"/>
    <mergeCell ref="F942:H942"/>
    <mergeCell ref="J942:J943"/>
    <mergeCell ref="K942:L943"/>
    <mergeCell ref="M942:N943"/>
    <mergeCell ref="O942:P943"/>
    <mergeCell ref="Q942:R943"/>
    <mergeCell ref="S942:T943"/>
    <mergeCell ref="U942:V943"/>
    <mergeCell ref="X942:AB942"/>
    <mergeCell ref="AD942:AI942"/>
    <mergeCell ref="AJ942:AL942"/>
    <mergeCell ref="AN942:AO942"/>
    <mergeCell ref="AP942:AQ942"/>
    <mergeCell ref="W940:W941"/>
    <mergeCell ref="W942:W943"/>
    <mergeCell ref="AR946:AS947"/>
    <mergeCell ref="AT946:AU947"/>
    <mergeCell ref="AV946:AW947"/>
    <mergeCell ref="AX946:AY947"/>
    <mergeCell ref="AZ946:AZ947"/>
    <mergeCell ref="F947:H947"/>
    <mergeCell ref="X947:AB947"/>
    <mergeCell ref="AE947:AI947"/>
    <mergeCell ref="AJ947:AL947"/>
    <mergeCell ref="AN947:AO947"/>
    <mergeCell ref="AP947:AQ947"/>
    <mergeCell ref="A948:A949"/>
    <mergeCell ref="E948:E949"/>
    <mergeCell ref="F948:H948"/>
    <mergeCell ref="J948:J949"/>
    <mergeCell ref="K948:L949"/>
    <mergeCell ref="M948:N949"/>
    <mergeCell ref="O948:P949"/>
    <mergeCell ref="Q948:R949"/>
    <mergeCell ref="S948:T949"/>
    <mergeCell ref="U948:V949"/>
    <mergeCell ref="X948:AB948"/>
    <mergeCell ref="AD948:AI948"/>
    <mergeCell ref="AJ948:AL948"/>
    <mergeCell ref="AN948:AO948"/>
    <mergeCell ref="AP948:AQ948"/>
    <mergeCell ref="AR948:AS949"/>
    <mergeCell ref="AT948:AU949"/>
    <mergeCell ref="AV948:AW949"/>
    <mergeCell ref="AX948:AY949"/>
    <mergeCell ref="AZ948:AZ949"/>
    <mergeCell ref="F945:H945"/>
    <mergeCell ref="X945:AB945"/>
    <mergeCell ref="AE945:AI945"/>
    <mergeCell ref="AJ945:AL945"/>
    <mergeCell ref="AN945:AO945"/>
    <mergeCell ref="AP945:AQ945"/>
    <mergeCell ref="A946:A947"/>
    <mergeCell ref="E946:E947"/>
    <mergeCell ref="F946:H946"/>
    <mergeCell ref="J946:J947"/>
    <mergeCell ref="K946:L947"/>
    <mergeCell ref="M946:N947"/>
    <mergeCell ref="O946:P947"/>
    <mergeCell ref="Q946:R947"/>
    <mergeCell ref="S946:T947"/>
    <mergeCell ref="U946:V947"/>
    <mergeCell ref="X946:AB946"/>
    <mergeCell ref="AD946:AI946"/>
    <mergeCell ref="AJ946:AL946"/>
    <mergeCell ref="AN946:AO946"/>
    <mergeCell ref="AP946:AQ946"/>
    <mergeCell ref="W944:W945"/>
    <mergeCell ref="W946:W947"/>
    <mergeCell ref="AR950:AS951"/>
    <mergeCell ref="AT950:AU951"/>
    <mergeCell ref="AV950:AW951"/>
    <mergeCell ref="AX950:AY951"/>
    <mergeCell ref="AZ950:AZ951"/>
    <mergeCell ref="F951:H951"/>
    <mergeCell ref="X951:AB951"/>
    <mergeCell ref="AE951:AI951"/>
    <mergeCell ref="AJ951:AL951"/>
    <mergeCell ref="AN951:AO951"/>
    <mergeCell ref="AP951:AQ951"/>
    <mergeCell ref="A952:A953"/>
    <mergeCell ref="E952:E953"/>
    <mergeCell ref="F952:H952"/>
    <mergeCell ref="J952:J953"/>
    <mergeCell ref="K952:L953"/>
    <mergeCell ref="M952:N953"/>
    <mergeCell ref="O952:P953"/>
    <mergeCell ref="Q952:R953"/>
    <mergeCell ref="S952:T953"/>
    <mergeCell ref="U952:V953"/>
    <mergeCell ref="X952:AB952"/>
    <mergeCell ref="AD952:AI952"/>
    <mergeCell ref="AJ952:AL952"/>
    <mergeCell ref="AN952:AO952"/>
    <mergeCell ref="AP952:AQ952"/>
    <mergeCell ref="AR952:AS953"/>
    <mergeCell ref="AT952:AU953"/>
    <mergeCell ref="AV952:AW953"/>
    <mergeCell ref="AX952:AY953"/>
    <mergeCell ref="AZ952:AZ953"/>
    <mergeCell ref="F949:H949"/>
    <mergeCell ref="X949:AB949"/>
    <mergeCell ref="AE949:AI949"/>
    <mergeCell ref="AJ949:AL949"/>
    <mergeCell ref="AN949:AO949"/>
    <mergeCell ref="AP949:AQ949"/>
    <mergeCell ref="A950:A951"/>
    <mergeCell ref="E950:E951"/>
    <mergeCell ref="F950:H950"/>
    <mergeCell ref="J950:J951"/>
    <mergeCell ref="K950:L951"/>
    <mergeCell ref="M950:N951"/>
    <mergeCell ref="O950:P951"/>
    <mergeCell ref="Q950:R951"/>
    <mergeCell ref="S950:T951"/>
    <mergeCell ref="U950:V951"/>
    <mergeCell ref="X950:AB950"/>
    <mergeCell ref="AD950:AI950"/>
    <mergeCell ref="AJ950:AL950"/>
    <mergeCell ref="AN950:AO950"/>
    <mergeCell ref="AP950:AQ950"/>
    <mergeCell ref="W948:W949"/>
    <mergeCell ref="W950:W951"/>
    <mergeCell ref="AR954:AS955"/>
    <mergeCell ref="AT954:AU955"/>
    <mergeCell ref="AV954:AW955"/>
    <mergeCell ref="AX954:AY955"/>
    <mergeCell ref="AZ954:AZ955"/>
    <mergeCell ref="F955:H955"/>
    <mergeCell ref="X955:AB955"/>
    <mergeCell ref="AE955:AI955"/>
    <mergeCell ref="AJ955:AL955"/>
    <mergeCell ref="AN955:AO955"/>
    <mergeCell ref="AP955:AQ955"/>
    <mergeCell ref="A956:A957"/>
    <mergeCell ref="E956:E957"/>
    <mergeCell ref="F956:H956"/>
    <mergeCell ref="J956:J957"/>
    <mergeCell ref="K956:L957"/>
    <mergeCell ref="M956:N957"/>
    <mergeCell ref="O956:P957"/>
    <mergeCell ref="Q956:R957"/>
    <mergeCell ref="S956:T957"/>
    <mergeCell ref="U956:V957"/>
    <mergeCell ref="X956:AB956"/>
    <mergeCell ref="AD956:AI956"/>
    <mergeCell ref="AJ956:AL956"/>
    <mergeCell ref="AN956:AO956"/>
    <mergeCell ref="AP956:AQ956"/>
    <mergeCell ref="AR956:AS957"/>
    <mergeCell ref="AT956:AU957"/>
    <mergeCell ref="AV956:AW957"/>
    <mergeCell ref="AX956:AY957"/>
    <mergeCell ref="AZ956:AZ957"/>
    <mergeCell ref="F953:H953"/>
    <mergeCell ref="X953:AB953"/>
    <mergeCell ref="AE953:AI953"/>
    <mergeCell ref="AJ953:AL953"/>
    <mergeCell ref="AN953:AO953"/>
    <mergeCell ref="AP953:AQ953"/>
    <mergeCell ref="A954:A955"/>
    <mergeCell ref="E954:E955"/>
    <mergeCell ref="F954:H954"/>
    <mergeCell ref="J954:J955"/>
    <mergeCell ref="K954:L955"/>
    <mergeCell ref="M954:N955"/>
    <mergeCell ref="O954:P955"/>
    <mergeCell ref="Q954:R955"/>
    <mergeCell ref="S954:T955"/>
    <mergeCell ref="U954:V955"/>
    <mergeCell ref="X954:AB954"/>
    <mergeCell ref="AD954:AI954"/>
    <mergeCell ref="AJ954:AL954"/>
    <mergeCell ref="AN954:AO954"/>
    <mergeCell ref="AP954:AQ954"/>
    <mergeCell ref="W952:W953"/>
    <mergeCell ref="W954:W955"/>
    <mergeCell ref="AR958:AS959"/>
    <mergeCell ref="AT958:AU959"/>
    <mergeCell ref="AV958:AW959"/>
    <mergeCell ref="AX958:AY959"/>
    <mergeCell ref="AZ958:AZ959"/>
    <mergeCell ref="F959:H959"/>
    <mergeCell ref="X959:AB959"/>
    <mergeCell ref="AE959:AI959"/>
    <mergeCell ref="AJ959:AL959"/>
    <mergeCell ref="AN959:AO959"/>
    <mergeCell ref="AP959:AQ959"/>
    <mergeCell ref="A960:A961"/>
    <mergeCell ref="E960:E961"/>
    <mergeCell ref="F960:H960"/>
    <mergeCell ref="J960:J961"/>
    <mergeCell ref="K960:L961"/>
    <mergeCell ref="M960:N961"/>
    <mergeCell ref="O960:P961"/>
    <mergeCell ref="Q960:R961"/>
    <mergeCell ref="S960:T961"/>
    <mergeCell ref="U960:V961"/>
    <mergeCell ref="X960:AB960"/>
    <mergeCell ref="AD960:AI960"/>
    <mergeCell ref="AJ960:AL960"/>
    <mergeCell ref="AN960:AO960"/>
    <mergeCell ref="AP960:AQ960"/>
    <mergeCell ref="AR960:AS961"/>
    <mergeCell ref="AT960:AU961"/>
    <mergeCell ref="AV960:AW961"/>
    <mergeCell ref="AX960:AY961"/>
    <mergeCell ref="AZ960:AZ961"/>
    <mergeCell ref="F957:H957"/>
    <mergeCell ref="X957:AB957"/>
    <mergeCell ref="AE957:AI957"/>
    <mergeCell ref="AJ957:AL957"/>
    <mergeCell ref="AN957:AO957"/>
    <mergeCell ref="AP957:AQ957"/>
    <mergeCell ref="A958:A959"/>
    <mergeCell ref="E958:E959"/>
    <mergeCell ref="F958:H958"/>
    <mergeCell ref="J958:J959"/>
    <mergeCell ref="K958:L959"/>
    <mergeCell ref="M958:N959"/>
    <mergeCell ref="O958:P959"/>
    <mergeCell ref="Q958:R959"/>
    <mergeCell ref="S958:T959"/>
    <mergeCell ref="U958:V959"/>
    <mergeCell ref="X958:AB958"/>
    <mergeCell ref="AD958:AI958"/>
    <mergeCell ref="AJ958:AL958"/>
    <mergeCell ref="AN958:AO958"/>
    <mergeCell ref="AP958:AQ958"/>
    <mergeCell ref="W956:W957"/>
    <mergeCell ref="W958:W959"/>
    <mergeCell ref="AR962:AS963"/>
    <mergeCell ref="AT962:AU963"/>
    <mergeCell ref="AV962:AW963"/>
    <mergeCell ref="AX962:AY963"/>
    <mergeCell ref="AZ962:AZ963"/>
    <mergeCell ref="F963:H963"/>
    <mergeCell ref="X963:AB963"/>
    <mergeCell ref="AE963:AI963"/>
    <mergeCell ref="AJ963:AL963"/>
    <mergeCell ref="AN963:AO963"/>
    <mergeCell ref="AP963:AQ963"/>
    <mergeCell ref="A964:A965"/>
    <mergeCell ref="E964:E965"/>
    <mergeCell ref="F964:H964"/>
    <mergeCell ref="J964:J965"/>
    <mergeCell ref="K964:L965"/>
    <mergeCell ref="M964:N965"/>
    <mergeCell ref="O964:P965"/>
    <mergeCell ref="Q964:R965"/>
    <mergeCell ref="S964:T965"/>
    <mergeCell ref="U964:V965"/>
    <mergeCell ref="X964:AB964"/>
    <mergeCell ref="AD964:AI964"/>
    <mergeCell ref="AJ964:AL964"/>
    <mergeCell ref="AN964:AO964"/>
    <mergeCell ref="AP964:AQ964"/>
    <mergeCell ref="AR964:AS965"/>
    <mergeCell ref="AT964:AU965"/>
    <mergeCell ref="AV964:AW965"/>
    <mergeCell ref="AX964:AY965"/>
    <mergeCell ref="AZ964:AZ965"/>
    <mergeCell ref="F961:H961"/>
    <mergeCell ref="X961:AB961"/>
    <mergeCell ref="AE961:AI961"/>
    <mergeCell ref="AJ961:AL961"/>
    <mergeCell ref="AN961:AO961"/>
    <mergeCell ref="AP961:AQ961"/>
    <mergeCell ref="A962:A963"/>
    <mergeCell ref="E962:E963"/>
    <mergeCell ref="F962:H962"/>
    <mergeCell ref="J962:J963"/>
    <mergeCell ref="K962:L963"/>
    <mergeCell ref="M962:N963"/>
    <mergeCell ref="O962:P963"/>
    <mergeCell ref="Q962:R963"/>
    <mergeCell ref="S962:T963"/>
    <mergeCell ref="U962:V963"/>
    <mergeCell ref="X962:AB962"/>
    <mergeCell ref="AD962:AI962"/>
    <mergeCell ref="AJ962:AL962"/>
    <mergeCell ref="AN962:AO962"/>
    <mergeCell ref="AP962:AQ962"/>
    <mergeCell ref="W960:W961"/>
    <mergeCell ref="W962:W963"/>
    <mergeCell ref="AR966:AS967"/>
    <mergeCell ref="AT966:AU967"/>
    <mergeCell ref="AV966:AW967"/>
    <mergeCell ref="AX966:AY967"/>
    <mergeCell ref="AZ966:AZ967"/>
    <mergeCell ref="F967:H967"/>
    <mergeCell ref="X967:AB967"/>
    <mergeCell ref="AE967:AI967"/>
    <mergeCell ref="AJ967:AL967"/>
    <mergeCell ref="AN967:AO967"/>
    <mergeCell ref="AP967:AQ967"/>
    <mergeCell ref="A968:A969"/>
    <mergeCell ref="E968:E969"/>
    <mergeCell ref="F968:H968"/>
    <mergeCell ref="J968:J969"/>
    <mergeCell ref="K968:L969"/>
    <mergeCell ref="M968:N969"/>
    <mergeCell ref="O968:P969"/>
    <mergeCell ref="Q968:R969"/>
    <mergeCell ref="S968:T969"/>
    <mergeCell ref="U968:V969"/>
    <mergeCell ref="X968:AB968"/>
    <mergeCell ref="AD968:AI968"/>
    <mergeCell ref="AJ968:AL968"/>
    <mergeCell ref="AN968:AO968"/>
    <mergeCell ref="AP968:AQ968"/>
    <mergeCell ref="AR968:AS969"/>
    <mergeCell ref="AT968:AU969"/>
    <mergeCell ref="AV968:AW969"/>
    <mergeCell ref="AX968:AY969"/>
    <mergeCell ref="AZ968:AZ969"/>
    <mergeCell ref="F965:H965"/>
    <mergeCell ref="X965:AB965"/>
    <mergeCell ref="AE965:AI965"/>
    <mergeCell ref="AJ965:AL965"/>
    <mergeCell ref="AN965:AO965"/>
    <mergeCell ref="AP965:AQ965"/>
    <mergeCell ref="A966:A967"/>
    <mergeCell ref="E966:E967"/>
    <mergeCell ref="F966:H966"/>
    <mergeCell ref="J966:J967"/>
    <mergeCell ref="K966:L967"/>
    <mergeCell ref="M966:N967"/>
    <mergeCell ref="O966:P967"/>
    <mergeCell ref="Q966:R967"/>
    <mergeCell ref="S966:T967"/>
    <mergeCell ref="U966:V967"/>
    <mergeCell ref="X966:AB966"/>
    <mergeCell ref="AD966:AI966"/>
    <mergeCell ref="AJ966:AL966"/>
    <mergeCell ref="AN966:AO966"/>
    <mergeCell ref="AP966:AQ966"/>
    <mergeCell ref="W964:W965"/>
    <mergeCell ref="W966:W967"/>
    <mergeCell ref="AR970:AS971"/>
    <mergeCell ref="AT970:AU971"/>
    <mergeCell ref="AV970:AW971"/>
    <mergeCell ref="AX970:AY971"/>
    <mergeCell ref="AZ970:AZ971"/>
    <mergeCell ref="F971:H971"/>
    <mergeCell ref="X971:AB971"/>
    <mergeCell ref="AE971:AI971"/>
    <mergeCell ref="AJ971:AL971"/>
    <mergeCell ref="AN971:AO971"/>
    <mergeCell ref="AP971:AQ971"/>
    <mergeCell ref="A972:A973"/>
    <mergeCell ref="E972:E973"/>
    <mergeCell ref="F972:H972"/>
    <mergeCell ref="J972:J973"/>
    <mergeCell ref="K972:L973"/>
    <mergeCell ref="M972:N973"/>
    <mergeCell ref="O972:P973"/>
    <mergeCell ref="Q972:R973"/>
    <mergeCell ref="S972:T973"/>
    <mergeCell ref="U972:V973"/>
    <mergeCell ref="X972:AB972"/>
    <mergeCell ref="AD972:AI972"/>
    <mergeCell ref="AJ972:AL972"/>
    <mergeCell ref="AN972:AO972"/>
    <mergeCell ref="AP972:AQ972"/>
    <mergeCell ref="AR972:AS973"/>
    <mergeCell ref="AT972:AU973"/>
    <mergeCell ref="AV972:AW973"/>
    <mergeCell ref="AX972:AY973"/>
    <mergeCell ref="AZ972:AZ973"/>
    <mergeCell ref="F969:H969"/>
    <mergeCell ref="X969:AB969"/>
    <mergeCell ref="AE969:AI969"/>
    <mergeCell ref="AJ969:AL969"/>
    <mergeCell ref="AN969:AO969"/>
    <mergeCell ref="AP969:AQ969"/>
    <mergeCell ref="A970:A971"/>
    <mergeCell ref="E970:E971"/>
    <mergeCell ref="F970:H970"/>
    <mergeCell ref="J970:J971"/>
    <mergeCell ref="K970:L971"/>
    <mergeCell ref="M970:N971"/>
    <mergeCell ref="O970:P971"/>
    <mergeCell ref="Q970:R971"/>
    <mergeCell ref="S970:T971"/>
    <mergeCell ref="U970:V971"/>
    <mergeCell ref="X970:AB970"/>
    <mergeCell ref="AD970:AI970"/>
    <mergeCell ref="AJ970:AL970"/>
    <mergeCell ref="AN970:AO970"/>
    <mergeCell ref="AP970:AQ970"/>
    <mergeCell ref="W968:W969"/>
    <mergeCell ref="W970:W971"/>
    <mergeCell ref="AR974:AS975"/>
    <mergeCell ref="AT974:AU975"/>
    <mergeCell ref="AV974:AW975"/>
    <mergeCell ref="AX974:AY975"/>
    <mergeCell ref="AZ974:AZ975"/>
    <mergeCell ref="F975:H975"/>
    <mergeCell ref="X975:AB975"/>
    <mergeCell ref="AE975:AI975"/>
    <mergeCell ref="AJ975:AL975"/>
    <mergeCell ref="AN975:AO975"/>
    <mergeCell ref="AP975:AQ975"/>
    <mergeCell ref="A976:A977"/>
    <mergeCell ref="E976:E977"/>
    <mergeCell ref="F976:H976"/>
    <mergeCell ref="J976:J977"/>
    <mergeCell ref="K976:L977"/>
    <mergeCell ref="M976:N977"/>
    <mergeCell ref="O976:P977"/>
    <mergeCell ref="Q976:R977"/>
    <mergeCell ref="S976:T977"/>
    <mergeCell ref="U976:V977"/>
    <mergeCell ref="X976:AB976"/>
    <mergeCell ref="AD976:AI976"/>
    <mergeCell ref="AJ976:AL976"/>
    <mergeCell ref="AN976:AO976"/>
    <mergeCell ref="AP976:AQ976"/>
    <mergeCell ref="AR976:AS977"/>
    <mergeCell ref="AT976:AU977"/>
    <mergeCell ref="AV976:AW977"/>
    <mergeCell ref="AX976:AY977"/>
    <mergeCell ref="AZ976:AZ977"/>
    <mergeCell ref="F973:H973"/>
    <mergeCell ref="X973:AB973"/>
    <mergeCell ref="AE973:AI973"/>
    <mergeCell ref="AJ973:AL973"/>
    <mergeCell ref="AN973:AO973"/>
    <mergeCell ref="AP973:AQ973"/>
    <mergeCell ref="A974:A975"/>
    <mergeCell ref="E974:E975"/>
    <mergeCell ref="F974:H974"/>
    <mergeCell ref="J974:J975"/>
    <mergeCell ref="K974:L975"/>
    <mergeCell ref="M974:N975"/>
    <mergeCell ref="O974:P975"/>
    <mergeCell ref="Q974:R975"/>
    <mergeCell ref="S974:T975"/>
    <mergeCell ref="U974:V975"/>
    <mergeCell ref="X974:AB974"/>
    <mergeCell ref="AD974:AI974"/>
    <mergeCell ref="AJ974:AL974"/>
    <mergeCell ref="AN974:AO974"/>
    <mergeCell ref="AP974:AQ974"/>
    <mergeCell ref="W972:W973"/>
    <mergeCell ref="W974:W975"/>
    <mergeCell ref="AR978:AS979"/>
    <mergeCell ref="AT978:AU979"/>
    <mergeCell ref="AV978:AW979"/>
    <mergeCell ref="AX978:AY979"/>
    <mergeCell ref="AZ978:AZ979"/>
    <mergeCell ref="F979:H979"/>
    <mergeCell ref="X979:AB979"/>
    <mergeCell ref="AE979:AI979"/>
    <mergeCell ref="AJ979:AL979"/>
    <mergeCell ref="AN979:AO979"/>
    <mergeCell ref="AP979:AQ979"/>
    <mergeCell ref="A980:A981"/>
    <mergeCell ref="E980:E981"/>
    <mergeCell ref="F980:H980"/>
    <mergeCell ref="J980:J981"/>
    <mergeCell ref="K980:L981"/>
    <mergeCell ref="M980:N981"/>
    <mergeCell ref="O980:P981"/>
    <mergeCell ref="Q980:R981"/>
    <mergeCell ref="S980:T981"/>
    <mergeCell ref="U980:V981"/>
    <mergeCell ref="X980:AB980"/>
    <mergeCell ref="AD980:AI980"/>
    <mergeCell ref="AJ980:AL980"/>
    <mergeCell ref="AN980:AO980"/>
    <mergeCell ref="AP980:AQ980"/>
    <mergeCell ref="AR980:AS981"/>
    <mergeCell ref="AT980:AU981"/>
    <mergeCell ref="AV980:AW981"/>
    <mergeCell ref="AX980:AY981"/>
    <mergeCell ref="AZ980:AZ981"/>
    <mergeCell ref="F977:H977"/>
    <mergeCell ref="X977:AB977"/>
    <mergeCell ref="AE977:AI977"/>
    <mergeCell ref="AJ977:AL977"/>
    <mergeCell ref="AN977:AO977"/>
    <mergeCell ref="AP977:AQ977"/>
    <mergeCell ref="A978:A979"/>
    <mergeCell ref="E978:E979"/>
    <mergeCell ref="F978:H978"/>
    <mergeCell ref="J978:J979"/>
    <mergeCell ref="K978:L979"/>
    <mergeCell ref="M978:N979"/>
    <mergeCell ref="O978:P979"/>
    <mergeCell ref="Q978:R979"/>
    <mergeCell ref="S978:T979"/>
    <mergeCell ref="U978:V979"/>
    <mergeCell ref="X978:AB978"/>
    <mergeCell ref="AD978:AI978"/>
    <mergeCell ref="AJ978:AL978"/>
    <mergeCell ref="AN978:AO978"/>
    <mergeCell ref="AP978:AQ978"/>
    <mergeCell ref="W976:W977"/>
    <mergeCell ref="W978:W979"/>
    <mergeCell ref="AR982:AS983"/>
    <mergeCell ref="AT982:AU983"/>
    <mergeCell ref="AV982:AW983"/>
    <mergeCell ref="AX982:AY983"/>
    <mergeCell ref="AZ982:AZ983"/>
    <mergeCell ref="F983:H983"/>
    <mergeCell ref="X983:AB983"/>
    <mergeCell ref="AE983:AI983"/>
    <mergeCell ref="AJ983:AL983"/>
    <mergeCell ref="AN983:AO983"/>
    <mergeCell ref="AP983:AQ983"/>
    <mergeCell ref="A984:A985"/>
    <mergeCell ref="E984:E985"/>
    <mergeCell ref="F984:H984"/>
    <mergeCell ref="J984:J985"/>
    <mergeCell ref="K984:L985"/>
    <mergeCell ref="M984:N985"/>
    <mergeCell ref="O984:P985"/>
    <mergeCell ref="Q984:R985"/>
    <mergeCell ref="S984:T985"/>
    <mergeCell ref="U984:V985"/>
    <mergeCell ref="X984:AB984"/>
    <mergeCell ref="AD984:AI984"/>
    <mergeCell ref="AJ984:AL984"/>
    <mergeCell ref="AN984:AO984"/>
    <mergeCell ref="AP984:AQ984"/>
    <mergeCell ref="AR984:AS985"/>
    <mergeCell ref="AT984:AU985"/>
    <mergeCell ref="AV984:AW985"/>
    <mergeCell ref="AX984:AY985"/>
    <mergeCell ref="AZ984:AZ985"/>
    <mergeCell ref="F981:H981"/>
    <mergeCell ref="X981:AB981"/>
    <mergeCell ref="AE981:AI981"/>
    <mergeCell ref="AJ981:AL981"/>
    <mergeCell ref="AN981:AO981"/>
    <mergeCell ref="AP981:AQ981"/>
    <mergeCell ref="A982:A983"/>
    <mergeCell ref="E982:E983"/>
    <mergeCell ref="F982:H982"/>
    <mergeCell ref="J982:J983"/>
    <mergeCell ref="K982:L983"/>
    <mergeCell ref="M982:N983"/>
    <mergeCell ref="O982:P983"/>
    <mergeCell ref="Q982:R983"/>
    <mergeCell ref="S982:T983"/>
    <mergeCell ref="U982:V983"/>
    <mergeCell ref="X982:AB982"/>
    <mergeCell ref="AD982:AI982"/>
    <mergeCell ref="AJ982:AL982"/>
    <mergeCell ref="AN982:AO982"/>
    <mergeCell ref="AP982:AQ982"/>
    <mergeCell ref="W980:W981"/>
    <mergeCell ref="W982:W983"/>
    <mergeCell ref="AR986:AS987"/>
    <mergeCell ref="AT986:AU987"/>
    <mergeCell ref="AV986:AW987"/>
    <mergeCell ref="AX986:AY987"/>
    <mergeCell ref="AZ986:AZ987"/>
    <mergeCell ref="F987:H987"/>
    <mergeCell ref="X987:AB987"/>
    <mergeCell ref="AE987:AI987"/>
    <mergeCell ref="AJ987:AL987"/>
    <mergeCell ref="AN987:AO987"/>
    <mergeCell ref="AP987:AQ987"/>
    <mergeCell ref="A988:A989"/>
    <mergeCell ref="E988:E989"/>
    <mergeCell ref="F988:H988"/>
    <mergeCell ref="J988:J989"/>
    <mergeCell ref="K988:L989"/>
    <mergeCell ref="M988:N989"/>
    <mergeCell ref="O988:P989"/>
    <mergeCell ref="Q988:R989"/>
    <mergeCell ref="S988:T989"/>
    <mergeCell ref="U988:V989"/>
    <mergeCell ref="X988:AB988"/>
    <mergeCell ref="AD988:AI988"/>
    <mergeCell ref="AJ988:AL988"/>
    <mergeCell ref="AN988:AO988"/>
    <mergeCell ref="AP988:AQ988"/>
    <mergeCell ref="AR988:AS989"/>
    <mergeCell ref="AT988:AU989"/>
    <mergeCell ref="AV988:AW989"/>
    <mergeCell ref="AX988:AY989"/>
    <mergeCell ref="AZ988:AZ989"/>
    <mergeCell ref="F985:H985"/>
    <mergeCell ref="X985:AB985"/>
    <mergeCell ref="AE985:AI985"/>
    <mergeCell ref="AJ985:AL985"/>
    <mergeCell ref="AN985:AO985"/>
    <mergeCell ref="AP985:AQ985"/>
    <mergeCell ref="A986:A987"/>
    <mergeCell ref="E986:E987"/>
    <mergeCell ref="F986:H986"/>
    <mergeCell ref="J986:J987"/>
    <mergeCell ref="K986:L987"/>
    <mergeCell ref="M986:N987"/>
    <mergeCell ref="O986:P987"/>
    <mergeCell ref="Q986:R987"/>
    <mergeCell ref="S986:T987"/>
    <mergeCell ref="U986:V987"/>
    <mergeCell ref="X986:AB986"/>
    <mergeCell ref="AD986:AI986"/>
    <mergeCell ref="AJ986:AL986"/>
    <mergeCell ref="AN986:AO986"/>
    <mergeCell ref="AP986:AQ986"/>
    <mergeCell ref="W984:W985"/>
    <mergeCell ref="W986:W987"/>
    <mergeCell ref="AR990:AS991"/>
    <mergeCell ref="AT990:AU991"/>
    <mergeCell ref="AV990:AW991"/>
    <mergeCell ref="AX990:AY991"/>
    <mergeCell ref="AZ990:AZ991"/>
    <mergeCell ref="F991:H991"/>
    <mergeCell ref="X991:AB991"/>
    <mergeCell ref="AE991:AI991"/>
    <mergeCell ref="AJ991:AL991"/>
    <mergeCell ref="AN991:AO991"/>
    <mergeCell ref="AP991:AQ991"/>
    <mergeCell ref="A992:A993"/>
    <mergeCell ref="E992:E993"/>
    <mergeCell ref="F992:H992"/>
    <mergeCell ref="J992:J993"/>
    <mergeCell ref="K992:L993"/>
    <mergeCell ref="M992:N993"/>
    <mergeCell ref="O992:P993"/>
    <mergeCell ref="Q992:R993"/>
    <mergeCell ref="S992:T993"/>
    <mergeCell ref="U992:V993"/>
    <mergeCell ref="X992:AB992"/>
    <mergeCell ref="AD992:AI992"/>
    <mergeCell ref="AJ992:AL992"/>
    <mergeCell ref="AN992:AO992"/>
    <mergeCell ref="AP992:AQ992"/>
    <mergeCell ref="AR992:AS993"/>
    <mergeCell ref="AT992:AU993"/>
    <mergeCell ref="AV992:AW993"/>
    <mergeCell ref="AX992:AY993"/>
    <mergeCell ref="AZ992:AZ993"/>
    <mergeCell ref="F989:H989"/>
    <mergeCell ref="X989:AB989"/>
    <mergeCell ref="AE989:AI989"/>
    <mergeCell ref="AJ989:AL989"/>
    <mergeCell ref="AN989:AO989"/>
    <mergeCell ref="AP989:AQ989"/>
    <mergeCell ref="A990:A991"/>
    <mergeCell ref="E990:E991"/>
    <mergeCell ref="F990:H990"/>
    <mergeCell ref="J990:J991"/>
    <mergeCell ref="K990:L991"/>
    <mergeCell ref="M990:N991"/>
    <mergeCell ref="O990:P991"/>
    <mergeCell ref="Q990:R991"/>
    <mergeCell ref="S990:T991"/>
    <mergeCell ref="U990:V991"/>
    <mergeCell ref="X990:AB990"/>
    <mergeCell ref="AD990:AI990"/>
    <mergeCell ref="AJ990:AL990"/>
    <mergeCell ref="AN990:AO990"/>
    <mergeCell ref="AP990:AQ990"/>
    <mergeCell ref="W988:W989"/>
    <mergeCell ref="W990:W991"/>
    <mergeCell ref="AR994:AS995"/>
    <mergeCell ref="AT994:AU995"/>
    <mergeCell ref="AV994:AW995"/>
    <mergeCell ref="AX994:AY995"/>
    <mergeCell ref="AZ994:AZ995"/>
    <mergeCell ref="F995:H995"/>
    <mergeCell ref="X995:AB995"/>
    <mergeCell ref="AE995:AI995"/>
    <mergeCell ref="AJ995:AL995"/>
    <mergeCell ref="AN995:AO995"/>
    <mergeCell ref="AP995:AQ995"/>
    <mergeCell ref="A996:A997"/>
    <mergeCell ref="E996:E997"/>
    <mergeCell ref="F996:H996"/>
    <mergeCell ref="J996:J997"/>
    <mergeCell ref="K996:L997"/>
    <mergeCell ref="M996:N997"/>
    <mergeCell ref="O996:P997"/>
    <mergeCell ref="Q996:R997"/>
    <mergeCell ref="S996:T997"/>
    <mergeCell ref="U996:V997"/>
    <mergeCell ref="X996:AB996"/>
    <mergeCell ref="AD996:AI996"/>
    <mergeCell ref="AJ996:AL996"/>
    <mergeCell ref="AN996:AO996"/>
    <mergeCell ref="AP996:AQ996"/>
    <mergeCell ref="AR996:AS997"/>
    <mergeCell ref="AT996:AU997"/>
    <mergeCell ref="AV996:AW997"/>
    <mergeCell ref="AX996:AY997"/>
    <mergeCell ref="AZ996:AZ997"/>
    <mergeCell ref="F993:H993"/>
    <mergeCell ref="X993:AB993"/>
    <mergeCell ref="AE993:AI993"/>
    <mergeCell ref="AJ993:AL993"/>
    <mergeCell ref="AN993:AO993"/>
    <mergeCell ref="AP993:AQ993"/>
    <mergeCell ref="A994:A995"/>
    <mergeCell ref="E994:E995"/>
    <mergeCell ref="F994:H994"/>
    <mergeCell ref="J994:J995"/>
    <mergeCell ref="K994:L995"/>
    <mergeCell ref="M994:N995"/>
    <mergeCell ref="O994:P995"/>
    <mergeCell ref="Q994:R995"/>
    <mergeCell ref="S994:T995"/>
    <mergeCell ref="U994:V995"/>
    <mergeCell ref="X994:AB994"/>
    <mergeCell ref="AD994:AI994"/>
    <mergeCell ref="AJ994:AL994"/>
    <mergeCell ref="AN994:AO994"/>
    <mergeCell ref="AP994:AQ994"/>
    <mergeCell ref="W992:W993"/>
    <mergeCell ref="W994:W995"/>
    <mergeCell ref="AR998:AS999"/>
    <mergeCell ref="AT998:AU999"/>
    <mergeCell ref="AV998:AW999"/>
    <mergeCell ref="AX998:AY999"/>
    <mergeCell ref="AZ998:AZ999"/>
    <mergeCell ref="F999:H999"/>
    <mergeCell ref="X999:AB999"/>
    <mergeCell ref="AE999:AI999"/>
    <mergeCell ref="AJ999:AL999"/>
    <mergeCell ref="AN999:AO999"/>
    <mergeCell ref="AP999:AQ999"/>
    <mergeCell ref="A1000:A1001"/>
    <mergeCell ref="E1000:E1001"/>
    <mergeCell ref="F1000:H1000"/>
    <mergeCell ref="J1000:J1001"/>
    <mergeCell ref="K1000:L1001"/>
    <mergeCell ref="M1000:N1001"/>
    <mergeCell ref="O1000:P1001"/>
    <mergeCell ref="Q1000:R1001"/>
    <mergeCell ref="S1000:T1001"/>
    <mergeCell ref="U1000:V1001"/>
    <mergeCell ref="X1000:AB1000"/>
    <mergeCell ref="AD1000:AI1000"/>
    <mergeCell ref="AJ1000:AL1000"/>
    <mergeCell ref="AN1000:AO1000"/>
    <mergeCell ref="AP1000:AQ1000"/>
    <mergeCell ref="AR1000:AS1001"/>
    <mergeCell ref="AT1000:AU1001"/>
    <mergeCell ref="AV1000:AW1001"/>
    <mergeCell ref="AX1000:AY1001"/>
    <mergeCell ref="AZ1000:AZ1001"/>
    <mergeCell ref="F997:H997"/>
    <mergeCell ref="X997:AB997"/>
    <mergeCell ref="AE997:AI997"/>
    <mergeCell ref="AJ997:AL997"/>
    <mergeCell ref="AN997:AO997"/>
    <mergeCell ref="AP997:AQ997"/>
    <mergeCell ref="A998:A999"/>
    <mergeCell ref="E998:E999"/>
    <mergeCell ref="F998:H998"/>
    <mergeCell ref="J998:J999"/>
    <mergeCell ref="K998:L999"/>
    <mergeCell ref="M998:N999"/>
    <mergeCell ref="O998:P999"/>
    <mergeCell ref="Q998:R999"/>
    <mergeCell ref="S998:T999"/>
    <mergeCell ref="U998:V999"/>
    <mergeCell ref="X998:AB998"/>
    <mergeCell ref="AD998:AI998"/>
    <mergeCell ref="AJ998:AL998"/>
    <mergeCell ref="AN998:AO998"/>
    <mergeCell ref="AP998:AQ998"/>
    <mergeCell ref="W996:W997"/>
    <mergeCell ref="W998:W999"/>
    <mergeCell ref="AR1002:AS1003"/>
    <mergeCell ref="AT1002:AU1003"/>
    <mergeCell ref="AV1002:AW1003"/>
    <mergeCell ref="AX1002:AY1003"/>
    <mergeCell ref="AZ1002:AZ1003"/>
    <mergeCell ref="F1003:H1003"/>
    <mergeCell ref="X1003:AB1003"/>
    <mergeCell ref="AE1003:AI1003"/>
    <mergeCell ref="AJ1003:AL1003"/>
    <mergeCell ref="AN1003:AO1003"/>
    <mergeCell ref="AP1003:AQ1003"/>
    <mergeCell ref="A1004:A1005"/>
    <mergeCell ref="E1004:E1005"/>
    <mergeCell ref="F1004:H1004"/>
    <mergeCell ref="J1004:J1005"/>
    <mergeCell ref="K1004:L1005"/>
    <mergeCell ref="M1004:N1005"/>
    <mergeCell ref="O1004:P1005"/>
    <mergeCell ref="Q1004:R1005"/>
    <mergeCell ref="S1004:T1005"/>
    <mergeCell ref="U1004:V1005"/>
    <mergeCell ref="X1004:AB1004"/>
    <mergeCell ref="AD1004:AI1004"/>
    <mergeCell ref="AJ1004:AL1004"/>
    <mergeCell ref="AN1004:AO1004"/>
    <mergeCell ref="AP1004:AQ1004"/>
    <mergeCell ref="AR1004:AS1005"/>
    <mergeCell ref="AT1004:AU1005"/>
    <mergeCell ref="AV1004:AW1005"/>
    <mergeCell ref="AX1004:AY1005"/>
    <mergeCell ref="AZ1004:AZ1005"/>
    <mergeCell ref="F1001:H1001"/>
    <mergeCell ref="X1001:AB1001"/>
    <mergeCell ref="AE1001:AI1001"/>
    <mergeCell ref="AJ1001:AL1001"/>
    <mergeCell ref="AN1001:AO1001"/>
    <mergeCell ref="AP1001:AQ1001"/>
    <mergeCell ref="A1002:A1003"/>
    <mergeCell ref="E1002:E1003"/>
    <mergeCell ref="F1002:H1002"/>
    <mergeCell ref="J1002:J1003"/>
    <mergeCell ref="K1002:L1003"/>
    <mergeCell ref="M1002:N1003"/>
    <mergeCell ref="O1002:P1003"/>
    <mergeCell ref="Q1002:R1003"/>
    <mergeCell ref="S1002:T1003"/>
    <mergeCell ref="U1002:V1003"/>
    <mergeCell ref="X1002:AB1002"/>
    <mergeCell ref="AD1002:AI1002"/>
    <mergeCell ref="AJ1002:AL1002"/>
    <mergeCell ref="AN1002:AO1002"/>
    <mergeCell ref="AP1002:AQ1002"/>
    <mergeCell ref="W1000:W1001"/>
    <mergeCell ref="W1002:W1003"/>
    <mergeCell ref="AR1006:AS1007"/>
    <mergeCell ref="AT1006:AU1007"/>
    <mergeCell ref="AV1006:AW1007"/>
    <mergeCell ref="AX1006:AY1007"/>
    <mergeCell ref="AZ1006:AZ1007"/>
    <mergeCell ref="F1007:H1007"/>
    <mergeCell ref="X1007:AB1007"/>
    <mergeCell ref="AE1007:AI1007"/>
    <mergeCell ref="AJ1007:AL1007"/>
    <mergeCell ref="AN1007:AO1007"/>
    <mergeCell ref="AP1007:AQ1007"/>
    <mergeCell ref="A1008:A1009"/>
    <mergeCell ref="E1008:E1009"/>
    <mergeCell ref="F1008:H1008"/>
    <mergeCell ref="J1008:J1009"/>
    <mergeCell ref="K1008:L1009"/>
    <mergeCell ref="M1008:N1009"/>
    <mergeCell ref="O1008:P1009"/>
    <mergeCell ref="Q1008:R1009"/>
    <mergeCell ref="S1008:T1009"/>
    <mergeCell ref="U1008:V1009"/>
    <mergeCell ref="X1008:AB1008"/>
    <mergeCell ref="AD1008:AI1008"/>
    <mergeCell ref="AJ1008:AL1008"/>
    <mergeCell ref="AN1008:AO1008"/>
    <mergeCell ref="AP1008:AQ1008"/>
    <mergeCell ref="AR1008:AS1009"/>
    <mergeCell ref="AT1008:AU1009"/>
    <mergeCell ref="AV1008:AW1009"/>
    <mergeCell ref="AX1008:AY1009"/>
    <mergeCell ref="AZ1008:AZ1009"/>
    <mergeCell ref="F1005:H1005"/>
    <mergeCell ref="X1005:AB1005"/>
    <mergeCell ref="AE1005:AI1005"/>
    <mergeCell ref="AJ1005:AL1005"/>
    <mergeCell ref="AN1005:AO1005"/>
    <mergeCell ref="AP1005:AQ1005"/>
    <mergeCell ref="A1006:A1007"/>
    <mergeCell ref="E1006:E1007"/>
    <mergeCell ref="F1006:H1006"/>
    <mergeCell ref="J1006:J1007"/>
    <mergeCell ref="K1006:L1007"/>
    <mergeCell ref="M1006:N1007"/>
    <mergeCell ref="O1006:P1007"/>
    <mergeCell ref="Q1006:R1007"/>
    <mergeCell ref="S1006:T1007"/>
    <mergeCell ref="U1006:V1007"/>
    <mergeCell ref="X1006:AB1006"/>
    <mergeCell ref="AD1006:AI1006"/>
    <mergeCell ref="AJ1006:AL1006"/>
    <mergeCell ref="AN1006:AO1006"/>
    <mergeCell ref="AP1006:AQ1006"/>
    <mergeCell ref="W1004:W1005"/>
    <mergeCell ref="W1006:W1007"/>
    <mergeCell ref="AR1010:AS1011"/>
    <mergeCell ref="AT1010:AU1011"/>
    <mergeCell ref="AV1010:AW1011"/>
    <mergeCell ref="AX1010:AY1011"/>
    <mergeCell ref="AZ1010:AZ1011"/>
    <mergeCell ref="F1011:H1011"/>
    <mergeCell ref="X1011:AB1011"/>
    <mergeCell ref="AE1011:AI1011"/>
    <mergeCell ref="AJ1011:AL1011"/>
    <mergeCell ref="AN1011:AO1011"/>
    <mergeCell ref="AP1011:AQ1011"/>
    <mergeCell ref="A1012:A1013"/>
    <mergeCell ref="E1012:E1013"/>
    <mergeCell ref="F1012:H1012"/>
    <mergeCell ref="J1012:J1013"/>
    <mergeCell ref="K1012:L1013"/>
    <mergeCell ref="M1012:N1013"/>
    <mergeCell ref="O1012:P1013"/>
    <mergeCell ref="Q1012:R1013"/>
    <mergeCell ref="S1012:T1013"/>
    <mergeCell ref="U1012:V1013"/>
    <mergeCell ref="X1012:AB1012"/>
    <mergeCell ref="AD1012:AI1012"/>
    <mergeCell ref="AJ1012:AL1012"/>
    <mergeCell ref="AN1012:AO1012"/>
    <mergeCell ref="AP1012:AQ1012"/>
    <mergeCell ref="AR1012:AS1013"/>
    <mergeCell ref="AT1012:AU1013"/>
    <mergeCell ref="AV1012:AW1013"/>
    <mergeCell ref="AX1012:AY1013"/>
    <mergeCell ref="AZ1012:AZ1013"/>
    <mergeCell ref="F1009:H1009"/>
    <mergeCell ref="X1009:AB1009"/>
    <mergeCell ref="AE1009:AI1009"/>
    <mergeCell ref="AJ1009:AL1009"/>
    <mergeCell ref="AN1009:AO1009"/>
    <mergeCell ref="AP1009:AQ1009"/>
    <mergeCell ref="A1010:A1011"/>
    <mergeCell ref="E1010:E1011"/>
    <mergeCell ref="F1010:H1010"/>
    <mergeCell ref="J1010:J1011"/>
    <mergeCell ref="K1010:L1011"/>
    <mergeCell ref="M1010:N1011"/>
    <mergeCell ref="O1010:P1011"/>
    <mergeCell ref="Q1010:R1011"/>
    <mergeCell ref="S1010:T1011"/>
    <mergeCell ref="U1010:V1011"/>
    <mergeCell ref="X1010:AB1010"/>
    <mergeCell ref="AD1010:AI1010"/>
    <mergeCell ref="AJ1010:AL1010"/>
    <mergeCell ref="AN1010:AO1010"/>
    <mergeCell ref="AP1010:AQ1010"/>
    <mergeCell ref="W1008:W1009"/>
    <mergeCell ref="W1010:W1011"/>
    <mergeCell ref="AR1014:AS1015"/>
    <mergeCell ref="AT1014:AU1015"/>
    <mergeCell ref="AV1014:AW1015"/>
    <mergeCell ref="AX1014:AY1015"/>
    <mergeCell ref="AZ1014:AZ1015"/>
    <mergeCell ref="F1015:H1015"/>
    <mergeCell ref="X1015:AB1015"/>
    <mergeCell ref="AE1015:AI1015"/>
    <mergeCell ref="AJ1015:AL1015"/>
    <mergeCell ref="AN1015:AO1015"/>
    <mergeCell ref="AP1015:AQ1015"/>
    <mergeCell ref="A1016:A1017"/>
    <mergeCell ref="E1016:E1017"/>
    <mergeCell ref="F1016:H1016"/>
    <mergeCell ref="J1016:J1017"/>
    <mergeCell ref="K1016:L1017"/>
    <mergeCell ref="M1016:N1017"/>
    <mergeCell ref="O1016:P1017"/>
    <mergeCell ref="Q1016:R1017"/>
    <mergeCell ref="S1016:T1017"/>
    <mergeCell ref="U1016:V1017"/>
    <mergeCell ref="X1016:AB1016"/>
    <mergeCell ref="AD1016:AI1016"/>
    <mergeCell ref="AJ1016:AL1016"/>
    <mergeCell ref="AN1016:AO1016"/>
    <mergeCell ref="AP1016:AQ1016"/>
    <mergeCell ref="AR1016:AS1017"/>
    <mergeCell ref="AT1016:AU1017"/>
    <mergeCell ref="AV1016:AW1017"/>
    <mergeCell ref="AX1016:AY1017"/>
    <mergeCell ref="AZ1016:AZ1017"/>
    <mergeCell ref="F1013:H1013"/>
    <mergeCell ref="X1013:AB1013"/>
    <mergeCell ref="AE1013:AI1013"/>
    <mergeCell ref="AJ1013:AL1013"/>
    <mergeCell ref="AN1013:AO1013"/>
    <mergeCell ref="AP1013:AQ1013"/>
    <mergeCell ref="A1014:A1015"/>
    <mergeCell ref="E1014:E1015"/>
    <mergeCell ref="F1014:H1014"/>
    <mergeCell ref="J1014:J1015"/>
    <mergeCell ref="K1014:L1015"/>
    <mergeCell ref="M1014:N1015"/>
    <mergeCell ref="O1014:P1015"/>
    <mergeCell ref="Q1014:R1015"/>
    <mergeCell ref="S1014:T1015"/>
    <mergeCell ref="U1014:V1015"/>
    <mergeCell ref="X1014:AB1014"/>
    <mergeCell ref="AD1014:AI1014"/>
    <mergeCell ref="AJ1014:AL1014"/>
    <mergeCell ref="AN1014:AO1014"/>
    <mergeCell ref="AP1014:AQ1014"/>
    <mergeCell ref="W1012:W1013"/>
    <mergeCell ref="W1014:W1015"/>
    <mergeCell ref="AR1018:AS1019"/>
    <mergeCell ref="AT1018:AU1019"/>
    <mergeCell ref="AV1018:AW1019"/>
    <mergeCell ref="AX1018:AY1019"/>
    <mergeCell ref="AZ1018:AZ1019"/>
    <mergeCell ref="F1019:H1019"/>
    <mergeCell ref="X1019:AB1019"/>
    <mergeCell ref="AE1019:AI1019"/>
    <mergeCell ref="AJ1019:AL1019"/>
    <mergeCell ref="AN1019:AO1019"/>
    <mergeCell ref="AP1019:AQ1019"/>
    <mergeCell ref="A1020:A1021"/>
    <mergeCell ref="E1020:E1021"/>
    <mergeCell ref="F1020:H1020"/>
    <mergeCell ref="J1020:J1021"/>
    <mergeCell ref="K1020:L1021"/>
    <mergeCell ref="M1020:N1021"/>
    <mergeCell ref="O1020:P1021"/>
    <mergeCell ref="Q1020:R1021"/>
    <mergeCell ref="S1020:T1021"/>
    <mergeCell ref="U1020:V1021"/>
    <mergeCell ref="X1020:AB1020"/>
    <mergeCell ref="AD1020:AI1020"/>
    <mergeCell ref="AJ1020:AL1020"/>
    <mergeCell ref="AN1020:AO1020"/>
    <mergeCell ref="AP1020:AQ1020"/>
    <mergeCell ref="AR1020:AS1021"/>
    <mergeCell ref="AT1020:AU1021"/>
    <mergeCell ref="AV1020:AW1021"/>
    <mergeCell ref="AX1020:AY1021"/>
    <mergeCell ref="AZ1020:AZ1021"/>
    <mergeCell ref="F1017:H1017"/>
    <mergeCell ref="X1017:AB1017"/>
    <mergeCell ref="AE1017:AI1017"/>
    <mergeCell ref="AJ1017:AL1017"/>
    <mergeCell ref="AN1017:AO1017"/>
    <mergeCell ref="AP1017:AQ1017"/>
    <mergeCell ref="A1018:A1019"/>
    <mergeCell ref="E1018:E1019"/>
    <mergeCell ref="F1018:H1018"/>
    <mergeCell ref="J1018:J1019"/>
    <mergeCell ref="K1018:L1019"/>
    <mergeCell ref="M1018:N1019"/>
    <mergeCell ref="O1018:P1019"/>
    <mergeCell ref="Q1018:R1019"/>
    <mergeCell ref="S1018:T1019"/>
    <mergeCell ref="U1018:V1019"/>
    <mergeCell ref="X1018:AB1018"/>
    <mergeCell ref="AD1018:AI1018"/>
    <mergeCell ref="AJ1018:AL1018"/>
    <mergeCell ref="AN1018:AO1018"/>
    <mergeCell ref="AP1018:AQ1018"/>
    <mergeCell ref="W1016:W1017"/>
    <mergeCell ref="W1018:W1019"/>
    <mergeCell ref="AR1022:AS1023"/>
    <mergeCell ref="AT1022:AU1023"/>
    <mergeCell ref="AV1022:AW1023"/>
    <mergeCell ref="AX1022:AY1023"/>
    <mergeCell ref="AZ1022:AZ1023"/>
    <mergeCell ref="F1023:H1023"/>
    <mergeCell ref="X1023:AB1023"/>
    <mergeCell ref="AE1023:AI1023"/>
    <mergeCell ref="AJ1023:AL1023"/>
    <mergeCell ref="AN1023:AO1023"/>
    <mergeCell ref="AP1023:AQ1023"/>
    <mergeCell ref="A1024:A1025"/>
    <mergeCell ref="E1024:E1025"/>
    <mergeCell ref="F1024:H1024"/>
    <mergeCell ref="J1024:J1025"/>
    <mergeCell ref="K1024:L1025"/>
    <mergeCell ref="M1024:N1025"/>
    <mergeCell ref="O1024:P1025"/>
    <mergeCell ref="Q1024:R1025"/>
    <mergeCell ref="S1024:T1025"/>
    <mergeCell ref="U1024:V1025"/>
    <mergeCell ref="X1024:AB1024"/>
    <mergeCell ref="AD1024:AI1024"/>
    <mergeCell ref="AJ1024:AL1024"/>
    <mergeCell ref="AN1024:AO1024"/>
    <mergeCell ref="AP1024:AQ1024"/>
    <mergeCell ref="AR1024:AS1025"/>
    <mergeCell ref="AT1024:AU1025"/>
    <mergeCell ref="AV1024:AW1025"/>
    <mergeCell ref="AX1024:AY1025"/>
    <mergeCell ref="AZ1024:AZ1025"/>
    <mergeCell ref="F1021:H1021"/>
    <mergeCell ref="X1021:AB1021"/>
    <mergeCell ref="AE1021:AI1021"/>
    <mergeCell ref="AJ1021:AL1021"/>
    <mergeCell ref="AN1021:AO1021"/>
    <mergeCell ref="AP1021:AQ1021"/>
    <mergeCell ref="A1022:A1023"/>
    <mergeCell ref="E1022:E1023"/>
    <mergeCell ref="F1022:H1022"/>
    <mergeCell ref="J1022:J1023"/>
    <mergeCell ref="K1022:L1023"/>
    <mergeCell ref="M1022:N1023"/>
    <mergeCell ref="O1022:P1023"/>
    <mergeCell ref="Q1022:R1023"/>
    <mergeCell ref="S1022:T1023"/>
    <mergeCell ref="U1022:V1023"/>
    <mergeCell ref="X1022:AB1022"/>
    <mergeCell ref="AD1022:AI1022"/>
    <mergeCell ref="AJ1022:AL1022"/>
    <mergeCell ref="AN1022:AO1022"/>
    <mergeCell ref="AP1022:AQ1022"/>
    <mergeCell ref="W1020:W1021"/>
    <mergeCell ref="W1022:W1023"/>
    <mergeCell ref="AR1026:AS1027"/>
    <mergeCell ref="AT1026:AU1027"/>
    <mergeCell ref="AV1026:AW1027"/>
    <mergeCell ref="AX1026:AY1027"/>
    <mergeCell ref="AZ1026:AZ1027"/>
    <mergeCell ref="F1027:H1027"/>
    <mergeCell ref="X1027:AB1027"/>
    <mergeCell ref="AE1027:AI1027"/>
    <mergeCell ref="AJ1027:AL1027"/>
    <mergeCell ref="AN1027:AO1027"/>
    <mergeCell ref="AP1027:AQ1027"/>
    <mergeCell ref="A1028:A1029"/>
    <mergeCell ref="E1028:E1029"/>
    <mergeCell ref="F1028:H1028"/>
    <mergeCell ref="J1028:J1029"/>
    <mergeCell ref="K1028:L1029"/>
    <mergeCell ref="M1028:N1029"/>
    <mergeCell ref="O1028:P1029"/>
    <mergeCell ref="Q1028:R1029"/>
    <mergeCell ref="S1028:T1029"/>
    <mergeCell ref="U1028:V1029"/>
    <mergeCell ref="X1028:AB1028"/>
    <mergeCell ref="AD1028:AI1028"/>
    <mergeCell ref="AJ1028:AL1028"/>
    <mergeCell ref="AN1028:AO1028"/>
    <mergeCell ref="AP1028:AQ1028"/>
    <mergeCell ref="AR1028:AS1029"/>
    <mergeCell ref="AT1028:AU1029"/>
    <mergeCell ref="AV1028:AW1029"/>
    <mergeCell ref="AX1028:AY1029"/>
    <mergeCell ref="AZ1028:AZ1029"/>
    <mergeCell ref="F1025:H1025"/>
    <mergeCell ref="X1025:AB1025"/>
    <mergeCell ref="AE1025:AI1025"/>
    <mergeCell ref="AJ1025:AL1025"/>
    <mergeCell ref="AN1025:AO1025"/>
    <mergeCell ref="AP1025:AQ1025"/>
    <mergeCell ref="A1026:A1027"/>
    <mergeCell ref="E1026:E1027"/>
    <mergeCell ref="F1026:H1026"/>
    <mergeCell ref="J1026:J1027"/>
    <mergeCell ref="K1026:L1027"/>
    <mergeCell ref="M1026:N1027"/>
    <mergeCell ref="O1026:P1027"/>
    <mergeCell ref="Q1026:R1027"/>
    <mergeCell ref="S1026:T1027"/>
    <mergeCell ref="U1026:V1027"/>
    <mergeCell ref="X1026:AB1026"/>
    <mergeCell ref="AD1026:AI1026"/>
    <mergeCell ref="AJ1026:AL1026"/>
    <mergeCell ref="AN1026:AO1026"/>
    <mergeCell ref="AP1026:AQ1026"/>
    <mergeCell ref="W1024:W1025"/>
    <mergeCell ref="W1026:W1027"/>
    <mergeCell ref="AR1030:AS1031"/>
    <mergeCell ref="AT1030:AU1031"/>
    <mergeCell ref="AV1030:AW1031"/>
    <mergeCell ref="AX1030:AY1031"/>
    <mergeCell ref="AZ1030:AZ1031"/>
    <mergeCell ref="F1031:H1031"/>
    <mergeCell ref="X1031:AB1031"/>
    <mergeCell ref="AE1031:AI1031"/>
    <mergeCell ref="AJ1031:AL1031"/>
    <mergeCell ref="AN1031:AO1031"/>
    <mergeCell ref="AP1031:AQ1031"/>
    <mergeCell ref="A1032:A1033"/>
    <mergeCell ref="E1032:E1033"/>
    <mergeCell ref="F1032:H1032"/>
    <mergeCell ref="J1032:J1033"/>
    <mergeCell ref="K1032:L1033"/>
    <mergeCell ref="M1032:N1033"/>
    <mergeCell ref="O1032:P1033"/>
    <mergeCell ref="Q1032:R1033"/>
    <mergeCell ref="S1032:T1033"/>
    <mergeCell ref="U1032:V1033"/>
    <mergeCell ref="X1032:AB1032"/>
    <mergeCell ref="AD1032:AI1032"/>
    <mergeCell ref="AJ1032:AL1032"/>
    <mergeCell ref="AN1032:AO1032"/>
    <mergeCell ref="AP1032:AQ1032"/>
    <mergeCell ref="AR1032:AS1033"/>
    <mergeCell ref="AT1032:AU1033"/>
    <mergeCell ref="AV1032:AW1033"/>
    <mergeCell ref="AX1032:AY1033"/>
    <mergeCell ref="AZ1032:AZ1033"/>
    <mergeCell ref="F1029:H1029"/>
    <mergeCell ref="X1029:AB1029"/>
    <mergeCell ref="AE1029:AI1029"/>
    <mergeCell ref="AJ1029:AL1029"/>
    <mergeCell ref="AN1029:AO1029"/>
    <mergeCell ref="AP1029:AQ1029"/>
    <mergeCell ref="A1030:A1031"/>
    <mergeCell ref="E1030:E1031"/>
    <mergeCell ref="F1030:H1030"/>
    <mergeCell ref="J1030:J1031"/>
    <mergeCell ref="K1030:L1031"/>
    <mergeCell ref="M1030:N1031"/>
    <mergeCell ref="O1030:P1031"/>
    <mergeCell ref="Q1030:R1031"/>
    <mergeCell ref="S1030:T1031"/>
    <mergeCell ref="U1030:V1031"/>
    <mergeCell ref="X1030:AB1030"/>
    <mergeCell ref="AD1030:AI1030"/>
    <mergeCell ref="AJ1030:AL1030"/>
    <mergeCell ref="AN1030:AO1030"/>
    <mergeCell ref="AP1030:AQ1030"/>
    <mergeCell ref="W1028:W1029"/>
    <mergeCell ref="W1030:W1031"/>
    <mergeCell ref="AR1034:AS1035"/>
    <mergeCell ref="AT1034:AU1035"/>
    <mergeCell ref="AV1034:AW1035"/>
    <mergeCell ref="AX1034:AY1035"/>
    <mergeCell ref="AZ1034:AZ1035"/>
    <mergeCell ref="F1035:H1035"/>
    <mergeCell ref="X1035:AB1035"/>
    <mergeCell ref="AE1035:AI1035"/>
    <mergeCell ref="AJ1035:AL1035"/>
    <mergeCell ref="AN1035:AO1035"/>
    <mergeCell ref="AP1035:AQ1035"/>
    <mergeCell ref="A1036:A1037"/>
    <mergeCell ref="E1036:E1037"/>
    <mergeCell ref="F1036:H1036"/>
    <mergeCell ref="J1036:J1037"/>
    <mergeCell ref="K1036:L1037"/>
    <mergeCell ref="M1036:N1037"/>
    <mergeCell ref="O1036:P1037"/>
    <mergeCell ref="Q1036:R1037"/>
    <mergeCell ref="S1036:T1037"/>
    <mergeCell ref="U1036:V1037"/>
    <mergeCell ref="X1036:AB1036"/>
    <mergeCell ref="AD1036:AI1036"/>
    <mergeCell ref="AJ1036:AL1036"/>
    <mergeCell ref="AN1036:AO1036"/>
    <mergeCell ref="AP1036:AQ1036"/>
    <mergeCell ref="AR1036:AS1037"/>
    <mergeCell ref="AT1036:AU1037"/>
    <mergeCell ref="AV1036:AW1037"/>
    <mergeCell ref="AX1036:AY1037"/>
    <mergeCell ref="AZ1036:AZ1037"/>
    <mergeCell ref="F1033:H1033"/>
    <mergeCell ref="X1033:AB1033"/>
    <mergeCell ref="AE1033:AI1033"/>
    <mergeCell ref="AJ1033:AL1033"/>
    <mergeCell ref="AN1033:AO1033"/>
    <mergeCell ref="AP1033:AQ1033"/>
    <mergeCell ref="A1034:A1035"/>
    <mergeCell ref="E1034:E1035"/>
    <mergeCell ref="F1034:H1034"/>
    <mergeCell ref="J1034:J1035"/>
    <mergeCell ref="K1034:L1035"/>
    <mergeCell ref="M1034:N1035"/>
    <mergeCell ref="O1034:P1035"/>
    <mergeCell ref="Q1034:R1035"/>
    <mergeCell ref="S1034:T1035"/>
    <mergeCell ref="U1034:V1035"/>
    <mergeCell ref="X1034:AB1034"/>
    <mergeCell ref="AD1034:AI1034"/>
    <mergeCell ref="AJ1034:AL1034"/>
    <mergeCell ref="AN1034:AO1034"/>
    <mergeCell ref="AP1034:AQ1034"/>
    <mergeCell ref="W1032:W1033"/>
    <mergeCell ref="W1034:W1035"/>
    <mergeCell ref="AR1038:AS1039"/>
    <mergeCell ref="AT1038:AU1039"/>
    <mergeCell ref="AV1038:AW1039"/>
    <mergeCell ref="AX1038:AY1039"/>
    <mergeCell ref="AZ1038:AZ1039"/>
    <mergeCell ref="F1039:H1039"/>
    <mergeCell ref="X1039:AB1039"/>
    <mergeCell ref="AE1039:AI1039"/>
    <mergeCell ref="AJ1039:AL1039"/>
    <mergeCell ref="AN1039:AO1039"/>
    <mergeCell ref="AP1039:AQ1039"/>
    <mergeCell ref="A1040:A1041"/>
    <mergeCell ref="E1040:E1041"/>
    <mergeCell ref="F1040:H1040"/>
    <mergeCell ref="J1040:J1041"/>
    <mergeCell ref="K1040:L1041"/>
    <mergeCell ref="M1040:N1041"/>
    <mergeCell ref="O1040:P1041"/>
    <mergeCell ref="Q1040:R1041"/>
    <mergeCell ref="S1040:T1041"/>
    <mergeCell ref="U1040:V1041"/>
    <mergeCell ref="X1040:AB1040"/>
    <mergeCell ref="AD1040:AI1040"/>
    <mergeCell ref="AJ1040:AL1040"/>
    <mergeCell ref="AN1040:AO1040"/>
    <mergeCell ref="AP1040:AQ1040"/>
    <mergeCell ref="AR1040:AS1041"/>
    <mergeCell ref="AT1040:AU1041"/>
    <mergeCell ref="AV1040:AW1041"/>
    <mergeCell ref="AX1040:AY1041"/>
    <mergeCell ref="AZ1040:AZ1041"/>
    <mergeCell ref="F1037:H1037"/>
    <mergeCell ref="X1037:AB1037"/>
    <mergeCell ref="AE1037:AI1037"/>
    <mergeCell ref="AJ1037:AL1037"/>
    <mergeCell ref="AN1037:AO1037"/>
    <mergeCell ref="AP1037:AQ1037"/>
    <mergeCell ref="A1038:A1039"/>
    <mergeCell ref="E1038:E1039"/>
    <mergeCell ref="F1038:H1038"/>
    <mergeCell ref="J1038:J1039"/>
    <mergeCell ref="K1038:L1039"/>
    <mergeCell ref="M1038:N1039"/>
    <mergeCell ref="O1038:P1039"/>
    <mergeCell ref="Q1038:R1039"/>
    <mergeCell ref="S1038:T1039"/>
    <mergeCell ref="U1038:V1039"/>
    <mergeCell ref="X1038:AB1038"/>
    <mergeCell ref="AD1038:AI1038"/>
    <mergeCell ref="AJ1038:AL1038"/>
    <mergeCell ref="AN1038:AO1038"/>
    <mergeCell ref="AP1038:AQ1038"/>
    <mergeCell ref="W1036:W1037"/>
    <mergeCell ref="W1038:W1039"/>
    <mergeCell ref="AR1042:AS1043"/>
    <mergeCell ref="AT1042:AU1043"/>
    <mergeCell ref="AV1042:AW1043"/>
    <mergeCell ref="AX1042:AY1043"/>
    <mergeCell ref="AZ1042:AZ1043"/>
    <mergeCell ref="F1043:H1043"/>
    <mergeCell ref="X1043:AB1043"/>
    <mergeCell ref="AE1043:AI1043"/>
    <mergeCell ref="AJ1043:AL1043"/>
    <mergeCell ref="AN1043:AO1043"/>
    <mergeCell ref="AP1043:AQ1043"/>
    <mergeCell ref="A1044:A1045"/>
    <mergeCell ref="E1044:E1045"/>
    <mergeCell ref="F1044:H1044"/>
    <mergeCell ref="J1044:J1045"/>
    <mergeCell ref="K1044:L1045"/>
    <mergeCell ref="M1044:N1045"/>
    <mergeCell ref="O1044:P1045"/>
    <mergeCell ref="Q1044:R1045"/>
    <mergeCell ref="S1044:T1045"/>
    <mergeCell ref="U1044:V1045"/>
    <mergeCell ref="X1044:AB1044"/>
    <mergeCell ref="AD1044:AI1044"/>
    <mergeCell ref="AJ1044:AL1044"/>
    <mergeCell ref="AN1044:AO1044"/>
    <mergeCell ref="AP1044:AQ1044"/>
    <mergeCell ref="AR1044:AS1045"/>
    <mergeCell ref="AT1044:AU1045"/>
    <mergeCell ref="AV1044:AW1045"/>
    <mergeCell ref="AX1044:AY1045"/>
    <mergeCell ref="AZ1044:AZ1045"/>
    <mergeCell ref="F1041:H1041"/>
    <mergeCell ref="X1041:AB1041"/>
    <mergeCell ref="AE1041:AI1041"/>
    <mergeCell ref="AJ1041:AL1041"/>
    <mergeCell ref="AN1041:AO1041"/>
    <mergeCell ref="AP1041:AQ1041"/>
    <mergeCell ref="A1042:A1043"/>
    <mergeCell ref="E1042:E1043"/>
    <mergeCell ref="F1042:H1042"/>
    <mergeCell ref="J1042:J1043"/>
    <mergeCell ref="K1042:L1043"/>
    <mergeCell ref="M1042:N1043"/>
    <mergeCell ref="O1042:P1043"/>
    <mergeCell ref="Q1042:R1043"/>
    <mergeCell ref="S1042:T1043"/>
    <mergeCell ref="U1042:V1043"/>
    <mergeCell ref="X1042:AB1042"/>
    <mergeCell ref="AD1042:AI1042"/>
    <mergeCell ref="AJ1042:AL1042"/>
    <mergeCell ref="AN1042:AO1042"/>
    <mergeCell ref="AP1042:AQ1042"/>
    <mergeCell ref="W1040:W1041"/>
    <mergeCell ref="W1042:W1043"/>
    <mergeCell ref="AR1046:AS1047"/>
    <mergeCell ref="AT1046:AU1047"/>
    <mergeCell ref="AV1046:AW1047"/>
    <mergeCell ref="AX1046:AY1047"/>
    <mergeCell ref="AZ1046:AZ1047"/>
    <mergeCell ref="F1047:H1047"/>
    <mergeCell ref="X1047:AB1047"/>
    <mergeCell ref="AE1047:AI1047"/>
    <mergeCell ref="AJ1047:AL1047"/>
    <mergeCell ref="AN1047:AO1047"/>
    <mergeCell ref="AP1047:AQ1047"/>
    <mergeCell ref="A1048:A1049"/>
    <mergeCell ref="E1048:E1049"/>
    <mergeCell ref="F1048:H1048"/>
    <mergeCell ref="J1048:J1049"/>
    <mergeCell ref="K1048:L1049"/>
    <mergeCell ref="M1048:N1049"/>
    <mergeCell ref="O1048:P1049"/>
    <mergeCell ref="Q1048:R1049"/>
    <mergeCell ref="S1048:T1049"/>
    <mergeCell ref="U1048:V1049"/>
    <mergeCell ref="X1048:AB1048"/>
    <mergeCell ref="AD1048:AI1048"/>
    <mergeCell ref="AJ1048:AL1048"/>
    <mergeCell ref="AN1048:AO1048"/>
    <mergeCell ref="AP1048:AQ1048"/>
    <mergeCell ref="AR1048:AS1049"/>
    <mergeCell ref="AT1048:AU1049"/>
    <mergeCell ref="AV1048:AW1049"/>
    <mergeCell ref="AX1048:AY1049"/>
    <mergeCell ref="AZ1048:AZ1049"/>
    <mergeCell ref="F1045:H1045"/>
    <mergeCell ref="X1045:AB1045"/>
    <mergeCell ref="AE1045:AI1045"/>
    <mergeCell ref="AJ1045:AL1045"/>
    <mergeCell ref="AN1045:AO1045"/>
    <mergeCell ref="AP1045:AQ1045"/>
    <mergeCell ref="A1046:A1047"/>
    <mergeCell ref="E1046:E1047"/>
    <mergeCell ref="F1046:H1046"/>
    <mergeCell ref="J1046:J1047"/>
    <mergeCell ref="K1046:L1047"/>
    <mergeCell ref="M1046:N1047"/>
    <mergeCell ref="O1046:P1047"/>
    <mergeCell ref="Q1046:R1047"/>
    <mergeCell ref="S1046:T1047"/>
    <mergeCell ref="U1046:V1047"/>
    <mergeCell ref="X1046:AB1046"/>
    <mergeCell ref="AD1046:AI1046"/>
    <mergeCell ref="AJ1046:AL1046"/>
    <mergeCell ref="AN1046:AO1046"/>
    <mergeCell ref="AP1046:AQ1046"/>
    <mergeCell ref="W1044:W1045"/>
    <mergeCell ref="W1046:W1047"/>
    <mergeCell ref="AR1050:AS1051"/>
    <mergeCell ref="AT1050:AU1051"/>
    <mergeCell ref="AV1050:AW1051"/>
    <mergeCell ref="AX1050:AY1051"/>
    <mergeCell ref="AZ1050:AZ1051"/>
    <mergeCell ref="F1051:H1051"/>
    <mergeCell ref="X1051:AB1051"/>
    <mergeCell ref="AE1051:AI1051"/>
    <mergeCell ref="AJ1051:AL1051"/>
    <mergeCell ref="AN1051:AO1051"/>
    <mergeCell ref="AP1051:AQ1051"/>
    <mergeCell ref="A1052:A1053"/>
    <mergeCell ref="E1052:E1053"/>
    <mergeCell ref="F1052:H1052"/>
    <mergeCell ref="J1052:J1053"/>
    <mergeCell ref="K1052:L1053"/>
    <mergeCell ref="M1052:N1053"/>
    <mergeCell ref="O1052:P1053"/>
    <mergeCell ref="Q1052:R1053"/>
    <mergeCell ref="S1052:T1053"/>
    <mergeCell ref="U1052:V1053"/>
    <mergeCell ref="X1052:AB1052"/>
    <mergeCell ref="AD1052:AI1052"/>
    <mergeCell ref="AJ1052:AL1052"/>
    <mergeCell ref="AN1052:AO1052"/>
    <mergeCell ref="AP1052:AQ1052"/>
    <mergeCell ref="AR1052:AS1053"/>
    <mergeCell ref="AT1052:AU1053"/>
    <mergeCell ref="AV1052:AW1053"/>
    <mergeCell ref="AX1052:AY1053"/>
    <mergeCell ref="AZ1052:AZ1053"/>
    <mergeCell ref="F1049:H1049"/>
    <mergeCell ref="X1049:AB1049"/>
    <mergeCell ref="AE1049:AI1049"/>
    <mergeCell ref="AJ1049:AL1049"/>
    <mergeCell ref="AN1049:AO1049"/>
    <mergeCell ref="AP1049:AQ1049"/>
    <mergeCell ref="A1050:A1051"/>
    <mergeCell ref="E1050:E1051"/>
    <mergeCell ref="F1050:H1050"/>
    <mergeCell ref="J1050:J1051"/>
    <mergeCell ref="K1050:L1051"/>
    <mergeCell ref="M1050:N1051"/>
    <mergeCell ref="O1050:P1051"/>
    <mergeCell ref="Q1050:R1051"/>
    <mergeCell ref="S1050:T1051"/>
    <mergeCell ref="U1050:V1051"/>
    <mergeCell ref="X1050:AB1050"/>
    <mergeCell ref="AD1050:AI1050"/>
    <mergeCell ref="AJ1050:AL1050"/>
    <mergeCell ref="AN1050:AO1050"/>
    <mergeCell ref="AP1050:AQ1050"/>
    <mergeCell ref="W1048:W1049"/>
    <mergeCell ref="W1050:W1051"/>
    <mergeCell ref="AR1054:AS1055"/>
    <mergeCell ref="AT1054:AU1055"/>
    <mergeCell ref="AV1054:AW1055"/>
    <mergeCell ref="AX1054:AY1055"/>
    <mergeCell ref="AZ1054:AZ1055"/>
    <mergeCell ref="F1055:H1055"/>
    <mergeCell ref="X1055:AB1055"/>
    <mergeCell ref="AE1055:AI1055"/>
    <mergeCell ref="AJ1055:AL1055"/>
    <mergeCell ref="AN1055:AO1055"/>
    <mergeCell ref="AP1055:AQ1055"/>
    <mergeCell ref="A1056:A1057"/>
    <mergeCell ref="E1056:E1057"/>
    <mergeCell ref="F1056:H1056"/>
    <mergeCell ref="J1056:J1057"/>
    <mergeCell ref="K1056:L1057"/>
    <mergeCell ref="M1056:N1057"/>
    <mergeCell ref="O1056:P1057"/>
    <mergeCell ref="Q1056:R1057"/>
    <mergeCell ref="S1056:T1057"/>
    <mergeCell ref="U1056:V1057"/>
    <mergeCell ref="X1056:AB1056"/>
    <mergeCell ref="AD1056:AI1056"/>
    <mergeCell ref="AJ1056:AL1056"/>
    <mergeCell ref="AN1056:AO1056"/>
    <mergeCell ref="AP1056:AQ1056"/>
    <mergeCell ref="AR1056:AS1057"/>
    <mergeCell ref="AT1056:AU1057"/>
    <mergeCell ref="AV1056:AW1057"/>
    <mergeCell ref="AX1056:AY1057"/>
    <mergeCell ref="AZ1056:AZ1057"/>
    <mergeCell ref="F1053:H1053"/>
    <mergeCell ref="X1053:AB1053"/>
    <mergeCell ref="AE1053:AI1053"/>
    <mergeCell ref="AJ1053:AL1053"/>
    <mergeCell ref="AN1053:AO1053"/>
    <mergeCell ref="AP1053:AQ1053"/>
    <mergeCell ref="A1054:A1055"/>
    <mergeCell ref="E1054:E1055"/>
    <mergeCell ref="F1054:H1054"/>
    <mergeCell ref="J1054:J1055"/>
    <mergeCell ref="K1054:L1055"/>
    <mergeCell ref="M1054:N1055"/>
    <mergeCell ref="O1054:P1055"/>
    <mergeCell ref="Q1054:R1055"/>
    <mergeCell ref="S1054:T1055"/>
    <mergeCell ref="U1054:V1055"/>
    <mergeCell ref="X1054:AB1054"/>
    <mergeCell ref="AD1054:AI1054"/>
    <mergeCell ref="AJ1054:AL1054"/>
    <mergeCell ref="AN1054:AO1054"/>
    <mergeCell ref="AP1054:AQ1054"/>
    <mergeCell ref="W1052:W1053"/>
    <mergeCell ref="W1054:W1055"/>
    <mergeCell ref="AR1058:AS1059"/>
    <mergeCell ref="AT1058:AU1059"/>
    <mergeCell ref="AV1058:AW1059"/>
    <mergeCell ref="AX1058:AY1059"/>
    <mergeCell ref="AZ1058:AZ1059"/>
    <mergeCell ref="F1059:H1059"/>
    <mergeCell ref="X1059:AB1059"/>
    <mergeCell ref="AE1059:AI1059"/>
    <mergeCell ref="AJ1059:AL1059"/>
    <mergeCell ref="AN1059:AO1059"/>
    <mergeCell ref="AP1059:AQ1059"/>
    <mergeCell ref="A1060:A1061"/>
    <mergeCell ref="E1060:E1061"/>
    <mergeCell ref="F1060:H1060"/>
    <mergeCell ref="J1060:J1061"/>
    <mergeCell ref="K1060:L1061"/>
    <mergeCell ref="M1060:N1061"/>
    <mergeCell ref="O1060:P1061"/>
    <mergeCell ref="Q1060:R1061"/>
    <mergeCell ref="S1060:T1061"/>
    <mergeCell ref="U1060:V1061"/>
    <mergeCell ref="X1060:AB1060"/>
    <mergeCell ref="AD1060:AI1060"/>
    <mergeCell ref="AJ1060:AL1060"/>
    <mergeCell ref="AN1060:AO1060"/>
    <mergeCell ref="AP1060:AQ1060"/>
    <mergeCell ref="AR1060:AS1061"/>
    <mergeCell ref="AT1060:AU1061"/>
    <mergeCell ref="AV1060:AW1061"/>
    <mergeCell ref="AX1060:AY1061"/>
    <mergeCell ref="AZ1060:AZ1061"/>
    <mergeCell ref="F1057:H1057"/>
    <mergeCell ref="X1057:AB1057"/>
    <mergeCell ref="AE1057:AI1057"/>
    <mergeCell ref="AJ1057:AL1057"/>
    <mergeCell ref="AN1057:AO1057"/>
    <mergeCell ref="AP1057:AQ1057"/>
    <mergeCell ref="A1058:A1059"/>
    <mergeCell ref="E1058:E1059"/>
    <mergeCell ref="F1058:H1058"/>
    <mergeCell ref="J1058:J1059"/>
    <mergeCell ref="K1058:L1059"/>
    <mergeCell ref="M1058:N1059"/>
    <mergeCell ref="O1058:P1059"/>
    <mergeCell ref="Q1058:R1059"/>
    <mergeCell ref="S1058:T1059"/>
    <mergeCell ref="U1058:V1059"/>
    <mergeCell ref="X1058:AB1058"/>
    <mergeCell ref="AD1058:AI1058"/>
    <mergeCell ref="AJ1058:AL1058"/>
    <mergeCell ref="AN1058:AO1058"/>
    <mergeCell ref="AP1058:AQ1058"/>
    <mergeCell ref="W1056:W1057"/>
    <mergeCell ref="W1058:W1059"/>
    <mergeCell ref="AR1062:AS1063"/>
    <mergeCell ref="AT1062:AU1063"/>
    <mergeCell ref="AV1062:AW1063"/>
    <mergeCell ref="AX1062:AY1063"/>
    <mergeCell ref="AZ1062:AZ1063"/>
    <mergeCell ref="F1063:H1063"/>
    <mergeCell ref="X1063:AB1063"/>
    <mergeCell ref="AE1063:AI1063"/>
    <mergeCell ref="AJ1063:AL1063"/>
    <mergeCell ref="AN1063:AO1063"/>
    <mergeCell ref="AP1063:AQ1063"/>
    <mergeCell ref="A1064:A1065"/>
    <mergeCell ref="E1064:E1065"/>
    <mergeCell ref="F1064:H1064"/>
    <mergeCell ref="J1064:J1065"/>
    <mergeCell ref="K1064:L1065"/>
    <mergeCell ref="M1064:N1065"/>
    <mergeCell ref="O1064:P1065"/>
    <mergeCell ref="Q1064:R1065"/>
    <mergeCell ref="S1064:T1065"/>
    <mergeCell ref="U1064:V1065"/>
    <mergeCell ref="X1064:AB1064"/>
    <mergeCell ref="AD1064:AI1064"/>
    <mergeCell ref="AJ1064:AL1064"/>
    <mergeCell ref="AN1064:AO1064"/>
    <mergeCell ref="AP1064:AQ1064"/>
    <mergeCell ref="AR1064:AS1065"/>
    <mergeCell ref="AT1064:AU1065"/>
    <mergeCell ref="AV1064:AW1065"/>
    <mergeCell ref="AX1064:AY1065"/>
    <mergeCell ref="AZ1064:AZ1065"/>
    <mergeCell ref="F1061:H1061"/>
    <mergeCell ref="X1061:AB1061"/>
    <mergeCell ref="AE1061:AI1061"/>
    <mergeCell ref="AJ1061:AL1061"/>
    <mergeCell ref="AN1061:AO1061"/>
    <mergeCell ref="AP1061:AQ1061"/>
    <mergeCell ref="A1062:A1063"/>
    <mergeCell ref="E1062:E1063"/>
    <mergeCell ref="F1062:H1062"/>
    <mergeCell ref="J1062:J1063"/>
    <mergeCell ref="K1062:L1063"/>
    <mergeCell ref="M1062:N1063"/>
    <mergeCell ref="O1062:P1063"/>
    <mergeCell ref="Q1062:R1063"/>
    <mergeCell ref="S1062:T1063"/>
    <mergeCell ref="U1062:V1063"/>
    <mergeCell ref="X1062:AB1062"/>
    <mergeCell ref="AD1062:AI1062"/>
    <mergeCell ref="AJ1062:AL1062"/>
    <mergeCell ref="AN1062:AO1062"/>
    <mergeCell ref="AP1062:AQ1062"/>
    <mergeCell ref="W1060:W1061"/>
    <mergeCell ref="W1062:W1063"/>
    <mergeCell ref="AR1066:AS1067"/>
    <mergeCell ref="AT1066:AU1067"/>
    <mergeCell ref="AV1066:AW1067"/>
    <mergeCell ref="AX1066:AY1067"/>
    <mergeCell ref="AZ1066:AZ1067"/>
    <mergeCell ref="F1067:H1067"/>
    <mergeCell ref="X1067:AB1067"/>
    <mergeCell ref="AE1067:AI1067"/>
    <mergeCell ref="AJ1067:AL1067"/>
    <mergeCell ref="AN1067:AO1067"/>
    <mergeCell ref="AP1067:AQ1067"/>
    <mergeCell ref="A1068:A1069"/>
    <mergeCell ref="E1068:E1069"/>
    <mergeCell ref="F1068:H1068"/>
    <mergeCell ref="J1068:J1069"/>
    <mergeCell ref="K1068:L1069"/>
    <mergeCell ref="M1068:N1069"/>
    <mergeCell ref="O1068:P1069"/>
    <mergeCell ref="Q1068:R1069"/>
    <mergeCell ref="S1068:T1069"/>
    <mergeCell ref="U1068:V1069"/>
    <mergeCell ref="X1068:AB1068"/>
    <mergeCell ref="AD1068:AI1068"/>
    <mergeCell ref="AJ1068:AL1068"/>
    <mergeCell ref="AN1068:AO1068"/>
    <mergeCell ref="AP1068:AQ1068"/>
    <mergeCell ref="AR1068:AS1069"/>
    <mergeCell ref="AT1068:AU1069"/>
    <mergeCell ref="AV1068:AW1069"/>
    <mergeCell ref="AX1068:AY1069"/>
    <mergeCell ref="AZ1068:AZ1069"/>
    <mergeCell ref="F1065:H1065"/>
    <mergeCell ref="X1065:AB1065"/>
    <mergeCell ref="AE1065:AI1065"/>
    <mergeCell ref="AJ1065:AL1065"/>
    <mergeCell ref="AN1065:AO1065"/>
    <mergeCell ref="AP1065:AQ1065"/>
    <mergeCell ref="A1066:A1067"/>
    <mergeCell ref="E1066:E1067"/>
    <mergeCell ref="F1066:H1066"/>
    <mergeCell ref="J1066:J1067"/>
    <mergeCell ref="K1066:L1067"/>
    <mergeCell ref="M1066:N1067"/>
    <mergeCell ref="O1066:P1067"/>
    <mergeCell ref="Q1066:R1067"/>
    <mergeCell ref="S1066:T1067"/>
    <mergeCell ref="U1066:V1067"/>
    <mergeCell ref="X1066:AB1066"/>
    <mergeCell ref="AD1066:AI1066"/>
    <mergeCell ref="AJ1066:AL1066"/>
    <mergeCell ref="AN1066:AO1066"/>
    <mergeCell ref="AP1066:AQ1066"/>
    <mergeCell ref="W1064:W1065"/>
    <mergeCell ref="W1066:W1067"/>
    <mergeCell ref="AR1070:AS1071"/>
    <mergeCell ref="AT1070:AU1071"/>
    <mergeCell ref="AV1070:AW1071"/>
    <mergeCell ref="AX1070:AY1071"/>
    <mergeCell ref="AZ1070:AZ1071"/>
    <mergeCell ref="F1071:H1071"/>
    <mergeCell ref="X1071:AB1071"/>
    <mergeCell ref="AE1071:AI1071"/>
    <mergeCell ref="AJ1071:AL1071"/>
    <mergeCell ref="AN1071:AO1071"/>
    <mergeCell ref="AP1071:AQ1071"/>
    <mergeCell ref="A1072:A1073"/>
    <mergeCell ref="E1072:E1073"/>
    <mergeCell ref="F1072:H1072"/>
    <mergeCell ref="J1072:J1073"/>
    <mergeCell ref="K1072:L1073"/>
    <mergeCell ref="M1072:N1073"/>
    <mergeCell ref="O1072:P1073"/>
    <mergeCell ref="Q1072:R1073"/>
    <mergeCell ref="S1072:T1073"/>
    <mergeCell ref="U1072:V1073"/>
    <mergeCell ref="X1072:AB1072"/>
    <mergeCell ref="AD1072:AI1072"/>
    <mergeCell ref="AJ1072:AL1072"/>
    <mergeCell ref="AN1072:AO1072"/>
    <mergeCell ref="AP1072:AQ1072"/>
    <mergeCell ref="AR1072:AS1073"/>
    <mergeCell ref="AT1072:AU1073"/>
    <mergeCell ref="AV1072:AW1073"/>
    <mergeCell ref="AX1072:AY1073"/>
    <mergeCell ref="AZ1072:AZ1073"/>
    <mergeCell ref="F1069:H1069"/>
    <mergeCell ref="X1069:AB1069"/>
    <mergeCell ref="AE1069:AI1069"/>
    <mergeCell ref="AJ1069:AL1069"/>
    <mergeCell ref="AN1069:AO1069"/>
    <mergeCell ref="AP1069:AQ1069"/>
    <mergeCell ref="A1070:A1071"/>
    <mergeCell ref="E1070:E1071"/>
    <mergeCell ref="F1070:H1070"/>
    <mergeCell ref="J1070:J1071"/>
    <mergeCell ref="K1070:L1071"/>
    <mergeCell ref="M1070:N1071"/>
    <mergeCell ref="O1070:P1071"/>
    <mergeCell ref="Q1070:R1071"/>
    <mergeCell ref="S1070:T1071"/>
    <mergeCell ref="U1070:V1071"/>
    <mergeCell ref="X1070:AB1070"/>
    <mergeCell ref="AD1070:AI1070"/>
    <mergeCell ref="AJ1070:AL1070"/>
    <mergeCell ref="AN1070:AO1070"/>
    <mergeCell ref="AP1070:AQ1070"/>
    <mergeCell ref="W1068:W1069"/>
    <mergeCell ref="W1070:W1071"/>
    <mergeCell ref="AR1074:AS1075"/>
    <mergeCell ref="AT1074:AU1075"/>
    <mergeCell ref="AV1074:AW1075"/>
    <mergeCell ref="AX1074:AY1075"/>
    <mergeCell ref="AZ1074:AZ1075"/>
    <mergeCell ref="F1075:H1075"/>
    <mergeCell ref="X1075:AB1075"/>
    <mergeCell ref="AE1075:AI1075"/>
    <mergeCell ref="AJ1075:AL1075"/>
    <mergeCell ref="AN1075:AO1075"/>
    <mergeCell ref="AP1075:AQ1075"/>
    <mergeCell ref="A1076:A1077"/>
    <mergeCell ref="E1076:E1077"/>
    <mergeCell ref="F1076:H1076"/>
    <mergeCell ref="J1076:J1077"/>
    <mergeCell ref="K1076:L1077"/>
    <mergeCell ref="M1076:N1077"/>
    <mergeCell ref="O1076:P1077"/>
    <mergeCell ref="Q1076:R1077"/>
    <mergeCell ref="S1076:T1077"/>
    <mergeCell ref="U1076:V1077"/>
    <mergeCell ref="X1076:AB1076"/>
    <mergeCell ref="AD1076:AI1076"/>
    <mergeCell ref="AJ1076:AL1076"/>
    <mergeCell ref="AN1076:AO1076"/>
    <mergeCell ref="AP1076:AQ1076"/>
    <mergeCell ref="AR1076:AS1077"/>
    <mergeCell ref="AT1076:AU1077"/>
    <mergeCell ref="AV1076:AW1077"/>
    <mergeCell ref="AX1076:AY1077"/>
    <mergeCell ref="AZ1076:AZ1077"/>
    <mergeCell ref="F1073:H1073"/>
    <mergeCell ref="X1073:AB1073"/>
    <mergeCell ref="AE1073:AI1073"/>
    <mergeCell ref="AJ1073:AL1073"/>
    <mergeCell ref="AN1073:AO1073"/>
    <mergeCell ref="AP1073:AQ1073"/>
    <mergeCell ref="A1074:A1075"/>
    <mergeCell ref="E1074:E1075"/>
    <mergeCell ref="F1074:H1074"/>
    <mergeCell ref="J1074:J1075"/>
    <mergeCell ref="K1074:L1075"/>
    <mergeCell ref="M1074:N1075"/>
    <mergeCell ref="O1074:P1075"/>
    <mergeCell ref="Q1074:R1075"/>
    <mergeCell ref="S1074:T1075"/>
    <mergeCell ref="U1074:V1075"/>
    <mergeCell ref="X1074:AB1074"/>
    <mergeCell ref="AD1074:AI1074"/>
    <mergeCell ref="AJ1074:AL1074"/>
    <mergeCell ref="AN1074:AO1074"/>
    <mergeCell ref="AP1074:AQ1074"/>
    <mergeCell ref="W1072:W1073"/>
    <mergeCell ref="W1074:W1075"/>
    <mergeCell ref="AR1078:AS1079"/>
    <mergeCell ref="AT1078:AU1079"/>
    <mergeCell ref="AV1078:AW1079"/>
    <mergeCell ref="AX1078:AY1079"/>
    <mergeCell ref="AZ1078:AZ1079"/>
    <mergeCell ref="F1079:H1079"/>
    <mergeCell ref="X1079:AB1079"/>
    <mergeCell ref="AE1079:AI1079"/>
    <mergeCell ref="AJ1079:AL1079"/>
    <mergeCell ref="AN1079:AO1079"/>
    <mergeCell ref="AP1079:AQ1079"/>
    <mergeCell ref="A1080:A1081"/>
    <mergeCell ref="E1080:E1081"/>
    <mergeCell ref="F1080:H1080"/>
    <mergeCell ref="J1080:J1081"/>
    <mergeCell ref="K1080:L1081"/>
    <mergeCell ref="M1080:N1081"/>
    <mergeCell ref="O1080:P1081"/>
    <mergeCell ref="Q1080:R1081"/>
    <mergeCell ref="S1080:T1081"/>
    <mergeCell ref="U1080:V1081"/>
    <mergeCell ref="X1080:AB1080"/>
    <mergeCell ref="AD1080:AI1080"/>
    <mergeCell ref="AJ1080:AL1080"/>
    <mergeCell ref="AN1080:AO1080"/>
    <mergeCell ref="AP1080:AQ1080"/>
    <mergeCell ref="AR1080:AS1081"/>
    <mergeCell ref="AT1080:AU1081"/>
    <mergeCell ref="AV1080:AW1081"/>
    <mergeCell ref="AX1080:AY1081"/>
    <mergeCell ref="AZ1080:AZ1081"/>
    <mergeCell ref="F1077:H1077"/>
    <mergeCell ref="X1077:AB1077"/>
    <mergeCell ref="AE1077:AI1077"/>
    <mergeCell ref="AJ1077:AL1077"/>
    <mergeCell ref="AN1077:AO1077"/>
    <mergeCell ref="AP1077:AQ1077"/>
    <mergeCell ref="A1078:A1079"/>
    <mergeCell ref="E1078:E1079"/>
    <mergeCell ref="F1078:H1078"/>
    <mergeCell ref="J1078:J1079"/>
    <mergeCell ref="K1078:L1079"/>
    <mergeCell ref="M1078:N1079"/>
    <mergeCell ref="O1078:P1079"/>
    <mergeCell ref="Q1078:R1079"/>
    <mergeCell ref="S1078:T1079"/>
    <mergeCell ref="U1078:V1079"/>
    <mergeCell ref="X1078:AB1078"/>
    <mergeCell ref="AD1078:AI1078"/>
    <mergeCell ref="AJ1078:AL1078"/>
    <mergeCell ref="AN1078:AO1078"/>
    <mergeCell ref="AP1078:AQ1078"/>
    <mergeCell ref="W1076:W1077"/>
    <mergeCell ref="W1078:W1079"/>
    <mergeCell ref="AR1082:AS1083"/>
    <mergeCell ref="AT1082:AU1083"/>
    <mergeCell ref="AV1082:AW1083"/>
    <mergeCell ref="AX1082:AY1083"/>
    <mergeCell ref="AZ1082:AZ1083"/>
    <mergeCell ref="F1083:H1083"/>
    <mergeCell ref="X1083:AB1083"/>
    <mergeCell ref="AE1083:AI1083"/>
    <mergeCell ref="AJ1083:AL1083"/>
    <mergeCell ref="AN1083:AO1083"/>
    <mergeCell ref="AP1083:AQ1083"/>
    <mergeCell ref="A1084:A1085"/>
    <mergeCell ref="E1084:E1085"/>
    <mergeCell ref="F1084:H1084"/>
    <mergeCell ref="J1084:J1085"/>
    <mergeCell ref="K1084:L1085"/>
    <mergeCell ref="M1084:N1085"/>
    <mergeCell ref="O1084:P1085"/>
    <mergeCell ref="Q1084:R1085"/>
    <mergeCell ref="S1084:T1085"/>
    <mergeCell ref="U1084:V1085"/>
    <mergeCell ref="X1084:AB1084"/>
    <mergeCell ref="AD1084:AI1084"/>
    <mergeCell ref="AJ1084:AL1084"/>
    <mergeCell ref="AN1084:AO1084"/>
    <mergeCell ref="AP1084:AQ1084"/>
    <mergeCell ref="AR1084:AS1085"/>
    <mergeCell ref="AT1084:AU1085"/>
    <mergeCell ref="AV1084:AW1085"/>
    <mergeCell ref="AX1084:AY1085"/>
    <mergeCell ref="AZ1084:AZ1085"/>
    <mergeCell ref="F1081:H1081"/>
    <mergeCell ref="X1081:AB1081"/>
    <mergeCell ref="AE1081:AI1081"/>
    <mergeCell ref="AJ1081:AL1081"/>
    <mergeCell ref="AN1081:AO1081"/>
    <mergeCell ref="AP1081:AQ1081"/>
    <mergeCell ref="A1082:A1083"/>
    <mergeCell ref="E1082:E1083"/>
    <mergeCell ref="F1082:H1082"/>
    <mergeCell ref="J1082:J1083"/>
    <mergeCell ref="K1082:L1083"/>
    <mergeCell ref="M1082:N1083"/>
    <mergeCell ref="O1082:P1083"/>
    <mergeCell ref="Q1082:R1083"/>
    <mergeCell ref="S1082:T1083"/>
    <mergeCell ref="U1082:V1083"/>
    <mergeCell ref="X1082:AB1082"/>
    <mergeCell ref="AD1082:AI1082"/>
    <mergeCell ref="AJ1082:AL1082"/>
    <mergeCell ref="AN1082:AO1082"/>
    <mergeCell ref="AP1082:AQ1082"/>
    <mergeCell ref="W1080:W1081"/>
    <mergeCell ref="W1082:W1083"/>
    <mergeCell ref="AR1086:AS1087"/>
    <mergeCell ref="AT1086:AU1087"/>
    <mergeCell ref="AV1086:AW1087"/>
    <mergeCell ref="AX1086:AY1087"/>
    <mergeCell ref="AZ1086:AZ1087"/>
    <mergeCell ref="F1087:H1087"/>
    <mergeCell ref="X1087:AB1087"/>
    <mergeCell ref="AE1087:AI1087"/>
    <mergeCell ref="AJ1087:AL1087"/>
    <mergeCell ref="AN1087:AO1087"/>
    <mergeCell ref="AP1087:AQ1087"/>
    <mergeCell ref="A1088:A1089"/>
    <mergeCell ref="E1088:E1089"/>
    <mergeCell ref="F1088:H1088"/>
    <mergeCell ref="J1088:J1089"/>
    <mergeCell ref="K1088:L1089"/>
    <mergeCell ref="M1088:N1089"/>
    <mergeCell ref="O1088:P1089"/>
    <mergeCell ref="Q1088:R1089"/>
    <mergeCell ref="S1088:T1089"/>
    <mergeCell ref="U1088:V1089"/>
    <mergeCell ref="X1088:AB1088"/>
    <mergeCell ref="AD1088:AI1088"/>
    <mergeCell ref="AJ1088:AL1088"/>
    <mergeCell ref="AN1088:AO1088"/>
    <mergeCell ref="AP1088:AQ1088"/>
    <mergeCell ref="AR1088:AS1089"/>
    <mergeCell ref="AT1088:AU1089"/>
    <mergeCell ref="AV1088:AW1089"/>
    <mergeCell ref="AX1088:AY1089"/>
    <mergeCell ref="AZ1088:AZ1089"/>
    <mergeCell ref="F1085:H1085"/>
    <mergeCell ref="X1085:AB1085"/>
    <mergeCell ref="AE1085:AI1085"/>
    <mergeCell ref="AJ1085:AL1085"/>
    <mergeCell ref="AN1085:AO1085"/>
    <mergeCell ref="AP1085:AQ1085"/>
    <mergeCell ref="A1086:A1087"/>
    <mergeCell ref="E1086:E1087"/>
    <mergeCell ref="F1086:H1086"/>
    <mergeCell ref="J1086:J1087"/>
    <mergeCell ref="K1086:L1087"/>
    <mergeCell ref="M1086:N1087"/>
    <mergeCell ref="O1086:P1087"/>
    <mergeCell ref="Q1086:R1087"/>
    <mergeCell ref="S1086:T1087"/>
    <mergeCell ref="U1086:V1087"/>
    <mergeCell ref="X1086:AB1086"/>
    <mergeCell ref="AD1086:AI1086"/>
    <mergeCell ref="AJ1086:AL1086"/>
    <mergeCell ref="AN1086:AO1086"/>
    <mergeCell ref="AP1086:AQ1086"/>
    <mergeCell ref="W1084:W1085"/>
    <mergeCell ref="W1086:W1087"/>
    <mergeCell ref="AR1090:AS1091"/>
    <mergeCell ref="AT1090:AU1091"/>
    <mergeCell ref="AV1090:AW1091"/>
    <mergeCell ref="AX1090:AY1091"/>
    <mergeCell ref="AZ1090:AZ1091"/>
    <mergeCell ref="F1091:H1091"/>
    <mergeCell ref="X1091:AB1091"/>
    <mergeCell ref="AE1091:AI1091"/>
    <mergeCell ref="AJ1091:AL1091"/>
    <mergeCell ref="AN1091:AO1091"/>
    <mergeCell ref="AP1091:AQ1091"/>
    <mergeCell ref="A1092:A1093"/>
    <mergeCell ref="E1092:E1093"/>
    <mergeCell ref="F1092:H1092"/>
    <mergeCell ref="J1092:J1093"/>
    <mergeCell ref="K1092:L1093"/>
    <mergeCell ref="M1092:N1093"/>
    <mergeCell ref="O1092:P1093"/>
    <mergeCell ref="Q1092:R1093"/>
    <mergeCell ref="S1092:T1093"/>
    <mergeCell ref="U1092:V1093"/>
    <mergeCell ref="X1092:AB1092"/>
    <mergeCell ref="AD1092:AI1092"/>
    <mergeCell ref="AJ1092:AL1092"/>
    <mergeCell ref="AN1092:AO1092"/>
    <mergeCell ref="AP1092:AQ1092"/>
    <mergeCell ref="AR1092:AS1093"/>
    <mergeCell ref="AT1092:AU1093"/>
    <mergeCell ref="AV1092:AW1093"/>
    <mergeCell ref="AX1092:AY1093"/>
    <mergeCell ref="AZ1092:AZ1093"/>
    <mergeCell ref="F1089:H1089"/>
    <mergeCell ref="X1089:AB1089"/>
    <mergeCell ref="AE1089:AI1089"/>
    <mergeCell ref="AJ1089:AL1089"/>
    <mergeCell ref="AN1089:AO1089"/>
    <mergeCell ref="AP1089:AQ1089"/>
    <mergeCell ref="A1090:A1091"/>
    <mergeCell ref="E1090:E1091"/>
    <mergeCell ref="F1090:H1090"/>
    <mergeCell ref="J1090:J1091"/>
    <mergeCell ref="K1090:L1091"/>
    <mergeCell ref="M1090:N1091"/>
    <mergeCell ref="O1090:P1091"/>
    <mergeCell ref="Q1090:R1091"/>
    <mergeCell ref="S1090:T1091"/>
    <mergeCell ref="U1090:V1091"/>
    <mergeCell ref="X1090:AB1090"/>
    <mergeCell ref="AD1090:AI1090"/>
    <mergeCell ref="AJ1090:AL1090"/>
    <mergeCell ref="AN1090:AO1090"/>
    <mergeCell ref="AP1090:AQ1090"/>
    <mergeCell ref="W1088:W1089"/>
    <mergeCell ref="W1090:W1091"/>
    <mergeCell ref="AR1094:AS1095"/>
    <mergeCell ref="AT1094:AU1095"/>
    <mergeCell ref="AV1094:AW1095"/>
    <mergeCell ref="AX1094:AY1095"/>
    <mergeCell ref="AZ1094:AZ1095"/>
    <mergeCell ref="F1095:H1095"/>
    <mergeCell ref="X1095:AB1095"/>
    <mergeCell ref="AE1095:AI1095"/>
    <mergeCell ref="AJ1095:AL1095"/>
    <mergeCell ref="AN1095:AO1095"/>
    <mergeCell ref="AP1095:AQ1095"/>
    <mergeCell ref="A1096:A1097"/>
    <mergeCell ref="E1096:E1097"/>
    <mergeCell ref="F1096:H1096"/>
    <mergeCell ref="J1096:J1097"/>
    <mergeCell ref="K1096:L1097"/>
    <mergeCell ref="M1096:N1097"/>
    <mergeCell ref="O1096:P1097"/>
    <mergeCell ref="Q1096:R1097"/>
    <mergeCell ref="S1096:T1097"/>
    <mergeCell ref="U1096:V1097"/>
    <mergeCell ref="X1096:AB1096"/>
    <mergeCell ref="AD1096:AI1096"/>
    <mergeCell ref="AJ1096:AL1096"/>
    <mergeCell ref="AN1096:AO1096"/>
    <mergeCell ref="AP1096:AQ1096"/>
    <mergeCell ref="AR1096:AS1097"/>
    <mergeCell ref="AT1096:AU1097"/>
    <mergeCell ref="AV1096:AW1097"/>
    <mergeCell ref="AX1096:AY1097"/>
    <mergeCell ref="AZ1096:AZ1097"/>
    <mergeCell ref="F1093:H1093"/>
    <mergeCell ref="X1093:AB1093"/>
    <mergeCell ref="AE1093:AI1093"/>
    <mergeCell ref="AJ1093:AL1093"/>
    <mergeCell ref="AN1093:AO1093"/>
    <mergeCell ref="AP1093:AQ1093"/>
    <mergeCell ref="A1094:A1095"/>
    <mergeCell ref="E1094:E1095"/>
    <mergeCell ref="F1094:H1094"/>
    <mergeCell ref="J1094:J1095"/>
    <mergeCell ref="K1094:L1095"/>
    <mergeCell ref="M1094:N1095"/>
    <mergeCell ref="O1094:P1095"/>
    <mergeCell ref="Q1094:R1095"/>
    <mergeCell ref="S1094:T1095"/>
    <mergeCell ref="U1094:V1095"/>
    <mergeCell ref="X1094:AB1094"/>
    <mergeCell ref="AD1094:AI1094"/>
    <mergeCell ref="AJ1094:AL1094"/>
    <mergeCell ref="AN1094:AO1094"/>
    <mergeCell ref="AP1094:AQ1094"/>
    <mergeCell ref="W1092:W1093"/>
    <mergeCell ref="W1094:W1095"/>
    <mergeCell ref="AR1098:AS1099"/>
    <mergeCell ref="AT1098:AU1099"/>
    <mergeCell ref="AV1098:AW1099"/>
    <mergeCell ref="AX1098:AY1099"/>
    <mergeCell ref="AZ1098:AZ1099"/>
    <mergeCell ref="F1099:H1099"/>
    <mergeCell ref="X1099:AB1099"/>
    <mergeCell ref="AE1099:AI1099"/>
    <mergeCell ref="AJ1099:AL1099"/>
    <mergeCell ref="AN1099:AO1099"/>
    <mergeCell ref="AP1099:AQ1099"/>
    <mergeCell ref="A1100:A1101"/>
    <mergeCell ref="E1100:E1101"/>
    <mergeCell ref="F1100:H1100"/>
    <mergeCell ref="J1100:J1101"/>
    <mergeCell ref="K1100:L1101"/>
    <mergeCell ref="M1100:N1101"/>
    <mergeCell ref="O1100:P1101"/>
    <mergeCell ref="Q1100:R1101"/>
    <mergeCell ref="S1100:T1101"/>
    <mergeCell ref="U1100:V1101"/>
    <mergeCell ref="X1100:AB1100"/>
    <mergeCell ref="AD1100:AI1100"/>
    <mergeCell ref="AJ1100:AL1100"/>
    <mergeCell ref="AN1100:AO1100"/>
    <mergeCell ref="AP1100:AQ1100"/>
    <mergeCell ref="AR1100:AS1101"/>
    <mergeCell ref="AT1100:AU1101"/>
    <mergeCell ref="AV1100:AW1101"/>
    <mergeCell ref="AX1100:AY1101"/>
    <mergeCell ref="AZ1100:AZ1101"/>
    <mergeCell ref="F1097:H1097"/>
    <mergeCell ref="X1097:AB1097"/>
    <mergeCell ref="AE1097:AI1097"/>
    <mergeCell ref="AJ1097:AL1097"/>
    <mergeCell ref="AN1097:AO1097"/>
    <mergeCell ref="AP1097:AQ1097"/>
    <mergeCell ref="A1098:A1099"/>
    <mergeCell ref="E1098:E1099"/>
    <mergeCell ref="F1098:H1098"/>
    <mergeCell ref="J1098:J1099"/>
    <mergeCell ref="K1098:L1099"/>
    <mergeCell ref="M1098:N1099"/>
    <mergeCell ref="O1098:P1099"/>
    <mergeCell ref="Q1098:R1099"/>
    <mergeCell ref="S1098:T1099"/>
    <mergeCell ref="U1098:V1099"/>
    <mergeCell ref="X1098:AB1098"/>
    <mergeCell ref="AD1098:AI1098"/>
    <mergeCell ref="AJ1098:AL1098"/>
    <mergeCell ref="AN1098:AO1098"/>
    <mergeCell ref="AP1098:AQ1098"/>
    <mergeCell ref="W1096:W1097"/>
    <mergeCell ref="W1098:W1099"/>
    <mergeCell ref="AR1102:AS1103"/>
    <mergeCell ref="AT1102:AU1103"/>
    <mergeCell ref="AV1102:AW1103"/>
    <mergeCell ref="AX1102:AY1103"/>
    <mergeCell ref="AZ1102:AZ1103"/>
    <mergeCell ref="F1103:H1103"/>
    <mergeCell ref="X1103:AB1103"/>
    <mergeCell ref="AE1103:AI1103"/>
    <mergeCell ref="AJ1103:AL1103"/>
    <mergeCell ref="AN1103:AO1103"/>
    <mergeCell ref="AP1103:AQ1103"/>
    <mergeCell ref="A1104:A1105"/>
    <mergeCell ref="E1104:E1105"/>
    <mergeCell ref="F1104:H1104"/>
    <mergeCell ref="J1104:J1105"/>
    <mergeCell ref="K1104:L1105"/>
    <mergeCell ref="M1104:N1105"/>
    <mergeCell ref="O1104:P1105"/>
    <mergeCell ref="Q1104:R1105"/>
    <mergeCell ref="S1104:T1105"/>
    <mergeCell ref="U1104:V1105"/>
    <mergeCell ref="X1104:AB1104"/>
    <mergeCell ref="AD1104:AI1104"/>
    <mergeCell ref="AJ1104:AL1104"/>
    <mergeCell ref="AN1104:AO1104"/>
    <mergeCell ref="AP1104:AQ1104"/>
    <mergeCell ref="AR1104:AS1105"/>
    <mergeCell ref="AT1104:AU1105"/>
    <mergeCell ref="AV1104:AW1105"/>
    <mergeCell ref="AX1104:AY1105"/>
    <mergeCell ref="AZ1104:AZ1105"/>
    <mergeCell ref="F1101:H1101"/>
    <mergeCell ref="X1101:AB1101"/>
    <mergeCell ref="AE1101:AI1101"/>
    <mergeCell ref="AJ1101:AL1101"/>
    <mergeCell ref="AN1101:AO1101"/>
    <mergeCell ref="AP1101:AQ1101"/>
    <mergeCell ref="A1102:A1103"/>
    <mergeCell ref="E1102:E1103"/>
    <mergeCell ref="F1102:H1102"/>
    <mergeCell ref="J1102:J1103"/>
    <mergeCell ref="K1102:L1103"/>
    <mergeCell ref="M1102:N1103"/>
    <mergeCell ref="O1102:P1103"/>
    <mergeCell ref="Q1102:R1103"/>
    <mergeCell ref="S1102:T1103"/>
    <mergeCell ref="U1102:V1103"/>
    <mergeCell ref="X1102:AB1102"/>
    <mergeCell ref="AD1102:AI1102"/>
    <mergeCell ref="AJ1102:AL1102"/>
    <mergeCell ref="AN1102:AO1102"/>
    <mergeCell ref="AP1102:AQ1102"/>
    <mergeCell ref="W1100:W1101"/>
    <mergeCell ref="W1102:W1103"/>
    <mergeCell ref="AR1106:AS1107"/>
    <mergeCell ref="AT1106:AU1107"/>
    <mergeCell ref="AV1106:AW1107"/>
    <mergeCell ref="AX1106:AY1107"/>
    <mergeCell ref="AZ1106:AZ1107"/>
    <mergeCell ref="F1107:H1107"/>
    <mergeCell ref="X1107:AB1107"/>
    <mergeCell ref="AE1107:AI1107"/>
    <mergeCell ref="AJ1107:AL1107"/>
    <mergeCell ref="AN1107:AO1107"/>
    <mergeCell ref="AP1107:AQ1107"/>
    <mergeCell ref="A1108:A1109"/>
    <mergeCell ref="E1108:E1109"/>
    <mergeCell ref="F1108:H1108"/>
    <mergeCell ref="J1108:J1109"/>
    <mergeCell ref="K1108:L1109"/>
    <mergeCell ref="M1108:N1109"/>
    <mergeCell ref="O1108:P1109"/>
    <mergeCell ref="Q1108:R1109"/>
    <mergeCell ref="S1108:T1109"/>
    <mergeCell ref="U1108:V1109"/>
    <mergeCell ref="X1108:AB1108"/>
    <mergeCell ref="AD1108:AI1108"/>
    <mergeCell ref="AJ1108:AL1108"/>
    <mergeCell ref="AN1108:AO1108"/>
    <mergeCell ref="AP1108:AQ1108"/>
    <mergeCell ref="AR1108:AS1109"/>
    <mergeCell ref="AT1108:AU1109"/>
    <mergeCell ref="AV1108:AW1109"/>
    <mergeCell ref="AX1108:AY1109"/>
    <mergeCell ref="AZ1108:AZ1109"/>
    <mergeCell ref="F1105:H1105"/>
    <mergeCell ref="X1105:AB1105"/>
    <mergeCell ref="AE1105:AI1105"/>
    <mergeCell ref="AJ1105:AL1105"/>
    <mergeCell ref="AN1105:AO1105"/>
    <mergeCell ref="AP1105:AQ1105"/>
    <mergeCell ref="A1106:A1107"/>
    <mergeCell ref="E1106:E1107"/>
    <mergeCell ref="F1106:H1106"/>
    <mergeCell ref="J1106:J1107"/>
    <mergeCell ref="K1106:L1107"/>
    <mergeCell ref="M1106:N1107"/>
    <mergeCell ref="O1106:P1107"/>
    <mergeCell ref="Q1106:R1107"/>
    <mergeCell ref="S1106:T1107"/>
    <mergeCell ref="U1106:V1107"/>
    <mergeCell ref="X1106:AB1106"/>
    <mergeCell ref="AD1106:AI1106"/>
    <mergeCell ref="AJ1106:AL1106"/>
    <mergeCell ref="AN1106:AO1106"/>
    <mergeCell ref="AP1106:AQ1106"/>
    <mergeCell ref="W1104:W1105"/>
    <mergeCell ref="W1106:W1107"/>
    <mergeCell ref="AR1110:AS1111"/>
    <mergeCell ref="AT1110:AU1111"/>
    <mergeCell ref="AV1110:AW1111"/>
    <mergeCell ref="AX1110:AY1111"/>
    <mergeCell ref="AZ1110:AZ1111"/>
    <mergeCell ref="F1111:H1111"/>
    <mergeCell ref="X1111:AB1111"/>
    <mergeCell ref="AE1111:AI1111"/>
    <mergeCell ref="AJ1111:AL1111"/>
    <mergeCell ref="AN1111:AO1111"/>
    <mergeCell ref="AP1111:AQ1111"/>
    <mergeCell ref="A1112:A1113"/>
    <mergeCell ref="E1112:E1113"/>
    <mergeCell ref="F1112:H1112"/>
    <mergeCell ref="J1112:J1113"/>
    <mergeCell ref="K1112:L1113"/>
    <mergeCell ref="M1112:N1113"/>
    <mergeCell ref="O1112:P1113"/>
    <mergeCell ref="Q1112:R1113"/>
    <mergeCell ref="S1112:T1113"/>
    <mergeCell ref="U1112:V1113"/>
    <mergeCell ref="X1112:AB1112"/>
    <mergeCell ref="AD1112:AI1112"/>
    <mergeCell ref="AJ1112:AL1112"/>
    <mergeCell ref="AN1112:AO1112"/>
    <mergeCell ref="AP1112:AQ1112"/>
    <mergeCell ref="AR1112:AS1113"/>
    <mergeCell ref="AT1112:AU1113"/>
    <mergeCell ref="AV1112:AW1113"/>
    <mergeCell ref="AX1112:AY1113"/>
    <mergeCell ref="AZ1112:AZ1113"/>
    <mergeCell ref="F1109:H1109"/>
    <mergeCell ref="X1109:AB1109"/>
    <mergeCell ref="AE1109:AI1109"/>
    <mergeCell ref="AJ1109:AL1109"/>
    <mergeCell ref="AN1109:AO1109"/>
    <mergeCell ref="AP1109:AQ1109"/>
    <mergeCell ref="A1110:A1111"/>
    <mergeCell ref="E1110:E1111"/>
    <mergeCell ref="F1110:H1110"/>
    <mergeCell ref="J1110:J1111"/>
    <mergeCell ref="K1110:L1111"/>
    <mergeCell ref="M1110:N1111"/>
    <mergeCell ref="O1110:P1111"/>
    <mergeCell ref="Q1110:R1111"/>
    <mergeCell ref="S1110:T1111"/>
    <mergeCell ref="U1110:V1111"/>
    <mergeCell ref="X1110:AB1110"/>
    <mergeCell ref="AD1110:AI1110"/>
    <mergeCell ref="AJ1110:AL1110"/>
    <mergeCell ref="AN1110:AO1110"/>
    <mergeCell ref="AP1110:AQ1110"/>
    <mergeCell ref="W1108:W1109"/>
    <mergeCell ref="W1110:W1111"/>
    <mergeCell ref="AR1114:AS1115"/>
    <mergeCell ref="AT1114:AU1115"/>
    <mergeCell ref="AV1114:AW1115"/>
    <mergeCell ref="AX1114:AY1115"/>
    <mergeCell ref="AZ1114:AZ1115"/>
    <mergeCell ref="F1115:H1115"/>
    <mergeCell ref="X1115:AB1115"/>
    <mergeCell ref="AE1115:AI1115"/>
    <mergeCell ref="AJ1115:AL1115"/>
    <mergeCell ref="AN1115:AO1115"/>
    <mergeCell ref="AP1115:AQ1115"/>
    <mergeCell ref="A1116:A1117"/>
    <mergeCell ref="E1116:E1117"/>
    <mergeCell ref="F1116:H1116"/>
    <mergeCell ref="J1116:J1117"/>
    <mergeCell ref="K1116:L1117"/>
    <mergeCell ref="M1116:N1117"/>
    <mergeCell ref="O1116:P1117"/>
    <mergeCell ref="Q1116:R1117"/>
    <mergeCell ref="S1116:T1117"/>
    <mergeCell ref="U1116:V1117"/>
    <mergeCell ref="X1116:AB1116"/>
    <mergeCell ref="AD1116:AI1116"/>
    <mergeCell ref="AJ1116:AL1116"/>
    <mergeCell ref="AN1116:AO1116"/>
    <mergeCell ref="AP1116:AQ1116"/>
    <mergeCell ref="AR1116:AS1117"/>
    <mergeCell ref="AT1116:AU1117"/>
    <mergeCell ref="AV1116:AW1117"/>
    <mergeCell ref="AX1116:AY1117"/>
    <mergeCell ref="AZ1116:AZ1117"/>
    <mergeCell ref="F1113:H1113"/>
    <mergeCell ref="X1113:AB1113"/>
    <mergeCell ref="AE1113:AI1113"/>
    <mergeCell ref="AJ1113:AL1113"/>
    <mergeCell ref="AN1113:AO1113"/>
    <mergeCell ref="AP1113:AQ1113"/>
    <mergeCell ref="A1114:A1115"/>
    <mergeCell ref="E1114:E1115"/>
    <mergeCell ref="F1114:H1114"/>
    <mergeCell ref="J1114:J1115"/>
    <mergeCell ref="K1114:L1115"/>
    <mergeCell ref="M1114:N1115"/>
    <mergeCell ref="O1114:P1115"/>
    <mergeCell ref="Q1114:R1115"/>
    <mergeCell ref="S1114:T1115"/>
    <mergeCell ref="U1114:V1115"/>
    <mergeCell ref="X1114:AB1114"/>
    <mergeCell ref="AD1114:AI1114"/>
    <mergeCell ref="AJ1114:AL1114"/>
    <mergeCell ref="AN1114:AO1114"/>
    <mergeCell ref="AP1114:AQ1114"/>
    <mergeCell ref="W1112:W1113"/>
    <mergeCell ref="W1114:W1115"/>
    <mergeCell ref="AR1118:AS1119"/>
    <mergeCell ref="AT1118:AU1119"/>
    <mergeCell ref="AV1118:AW1119"/>
    <mergeCell ref="AX1118:AY1119"/>
    <mergeCell ref="AZ1118:AZ1119"/>
    <mergeCell ref="F1119:H1119"/>
    <mergeCell ref="X1119:AB1119"/>
    <mergeCell ref="AE1119:AI1119"/>
    <mergeCell ref="AJ1119:AL1119"/>
    <mergeCell ref="AN1119:AO1119"/>
    <mergeCell ref="AP1119:AQ1119"/>
    <mergeCell ref="A1120:A1121"/>
    <mergeCell ref="E1120:E1121"/>
    <mergeCell ref="F1120:H1120"/>
    <mergeCell ref="J1120:J1121"/>
    <mergeCell ref="K1120:L1121"/>
    <mergeCell ref="M1120:N1121"/>
    <mergeCell ref="O1120:P1121"/>
    <mergeCell ref="Q1120:R1121"/>
    <mergeCell ref="S1120:T1121"/>
    <mergeCell ref="U1120:V1121"/>
    <mergeCell ref="X1120:AB1120"/>
    <mergeCell ref="AD1120:AI1120"/>
    <mergeCell ref="AJ1120:AL1120"/>
    <mergeCell ref="AN1120:AO1120"/>
    <mergeCell ref="AP1120:AQ1120"/>
    <mergeCell ref="AR1120:AS1121"/>
    <mergeCell ref="AT1120:AU1121"/>
    <mergeCell ref="AV1120:AW1121"/>
    <mergeCell ref="AX1120:AY1121"/>
    <mergeCell ref="AZ1120:AZ1121"/>
    <mergeCell ref="F1117:H1117"/>
    <mergeCell ref="X1117:AB1117"/>
    <mergeCell ref="AE1117:AI1117"/>
    <mergeCell ref="AJ1117:AL1117"/>
    <mergeCell ref="AN1117:AO1117"/>
    <mergeCell ref="AP1117:AQ1117"/>
    <mergeCell ref="A1118:A1119"/>
    <mergeCell ref="E1118:E1119"/>
    <mergeCell ref="F1118:H1118"/>
    <mergeCell ref="J1118:J1119"/>
    <mergeCell ref="K1118:L1119"/>
    <mergeCell ref="M1118:N1119"/>
    <mergeCell ref="O1118:P1119"/>
    <mergeCell ref="Q1118:R1119"/>
    <mergeCell ref="S1118:T1119"/>
    <mergeCell ref="U1118:V1119"/>
    <mergeCell ref="X1118:AB1118"/>
    <mergeCell ref="AD1118:AI1118"/>
    <mergeCell ref="AJ1118:AL1118"/>
    <mergeCell ref="AN1118:AO1118"/>
    <mergeCell ref="AP1118:AQ1118"/>
    <mergeCell ref="W1116:W1117"/>
    <mergeCell ref="W1118:W1119"/>
    <mergeCell ref="AR1122:AS1123"/>
    <mergeCell ref="AT1122:AU1123"/>
    <mergeCell ref="AV1122:AW1123"/>
    <mergeCell ref="AX1122:AY1123"/>
    <mergeCell ref="AZ1122:AZ1123"/>
    <mergeCell ref="F1123:H1123"/>
    <mergeCell ref="X1123:AB1123"/>
    <mergeCell ref="AE1123:AI1123"/>
    <mergeCell ref="AJ1123:AL1123"/>
    <mergeCell ref="AN1123:AO1123"/>
    <mergeCell ref="AP1123:AQ1123"/>
    <mergeCell ref="A1124:A1125"/>
    <mergeCell ref="E1124:E1125"/>
    <mergeCell ref="F1124:H1124"/>
    <mergeCell ref="J1124:J1125"/>
    <mergeCell ref="K1124:L1125"/>
    <mergeCell ref="M1124:N1125"/>
    <mergeCell ref="O1124:P1125"/>
    <mergeCell ref="Q1124:R1125"/>
    <mergeCell ref="S1124:T1125"/>
    <mergeCell ref="U1124:V1125"/>
    <mergeCell ref="X1124:AB1124"/>
    <mergeCell ref="AD1124:AI1124"/>
    <mergeCell ref="AJ1124:AL1124"/>
    <mergeCell ref="AN1124:AO1124"/>
    <mergeCell ref="AP1124:AQ1124"/>
    <mergeCell ref="AR1124:AS1125"/>
    <mergeCell ref="AT1124:AU1125"/>
    <mergeCell ref="AV1124:AW1125"/>
    <mergeCell ref="AX1124:AY1125"/>
    <mergeCell ref="AZ1124:AZ1125"/>
    <mergeCell ref="F1121:H1121"/>
    <mergeCell ref="X1121:AB1121"/>
    <mergeCell ref="AE1121:AI1121"/>
    <mergeCell ref="AJ1121:AL1121"/>
    <mergeCell ref="AN1121:AO1121"/>
    <mergeCell ref="AP1121:AQ1121"/>
    <mergeCell ref="A1122:A1123"/>
    <mergeCell ref="E1122:E1123"/>
    <mergeCell ref="F1122:H1122"/>
    <mergeCell ref="J1122:J1123"/>
    <mergeCell ref="K1122:L1123"/>
    <mergeCell ref="M1122:N1123"/>
    <mergeCell ref="O1122:P1123"/>
    <mergeCell ref="Q1122:R1123"/>
    <mergeCell ref="S1122:T1123"/>
    <mergeCell ref="U1122:V1123"/>
    <mergeCell ref="X1122:AB1122"/>
    <mergeCell ref="AD1122:AI1122"/>
    <mergeCell ref="AJ1122:AL1122"/>
    <mergeCell ref="AN1122:AO1122"/>
    <mergeCell ref="AP1122:AQ1122"/>
    <mergeCell ref="W1120:W1121"/>
    <mergeCell ref="W1122:W1123"/>
    <mergeCell ref="AR1126:AS1127"/>
    <mergeCell ref="AT1126:AU1127"/>
    <mergeCell ref="AV1126:AW1127"/>
    <mergeCell ref="AX1126:AY1127"/>
    <mergeCell ref="AZ1126:AZ1127"/>
    <mergeCell ref="F1127:H1127"/>
    <mergeCell ref="X1127:AB1127"/>
    <mergeCell ref="AE1127:AI1127"/>
    <mergeCell ref="AJ1127:AL1127"/>
    <mergeCell ref="AN1127:AO1127"/>
    <mergeCell ref="AP1127:AQ1127"/>
    <mergeCell ref="A1128:A1129"/>
    <mergeCell ref="E1128:E1129"/>
    <mergeCell ref="F1128:H1128"/>
    <mergeCell ref="J1128:J1129"/>
    <mergeCell ref="K1128:L1129"/>
    <mergeCell ref="M1128:N1129"/>
    <mergeCell ref="O1128:P1129"/>
    <mergeCell ref="Q1128:R1129"/>
    <mergeCell ref="S1128:T1129"/>
    <mergeCell ref="U1128:V1129"/>
    <mergeCell ref="X1128:AB1128"/>
    <mergeCell ref="AD1128:AI1128"/>
    <mergeCell ref="AJ1128:AL1128"/>
    <mergeCell ref="AN1128:AO1128"/>
    <mergeCell ref="AP1128:AQ1128"/>
    <mergeCell ref="AR1128:AS1129"/>
    <mergeCell ref="AT1128:AU1129"/>
    <mergeCell ref="AV1128:AW1129"/>
    <mergeCell ref="AX1128:AY1129"/>
    <mergeCell ref="AZ1128:AZ1129"/>
    <mergeCell ref="F1125:H1125"/>
    <mergeCell ref="X1125:AB1125"/>
    <mergeCell ref="AE1125:AI1125"/>
    <mergeCell ref="AJ1125:AL1125"/>
    <mergeCell ref="AN1125:AO1125"/>
    <mergeCell ref="AP1125:AQ1125"/>
    <mergeCell ref="A1126:A1127"/>
    <mergeCell ref="E1126:E1127"/>
    <mergeCell ref="F1126:H1126"/>
    <mergeCell ref="J1126:J1127"/>
    <mergeCell ref="K1126:L1127"/>
    <mergeCell ref="M1126:N1127"/>
    <mergeCell ref="O1126:P1127"/>
    <mergeCell ref="Q1126:R1127"/>
    <mergeCell ref="S1126:T1127"/>
    <mergeCell ref="U1126:V1127"/>
    <mergeCell ref="X1126:AB1126"/>
    <mergeCell ref="AD1126:AI1126"/>
    <mergeCell ref="AJ1126:AL1126"/>
    <mergeCell ref="AN1126:AO1126"/>
    <mergeCell ref="AP1126:AQ1126"/>
    <mergeCell ref="W1124:W1125"/>
    <mergeCell ref="W1126:W1127"/>
    <mergeCell ref="AR1130:AS1131"/>
    <mergeCell ref="AT1130:AU1131"/>
    <mergeCell ref="AV1130:AW1131"/>
    <mergeCell ref="AX1130:AY1131"/>
    <mergeCell ref="AZ1130:AZ1131"/>
    <mergeCell ref="F1131:H1131"/>
    <mergeCell ref="X1131:AB1131"/>
    <mergeCell ref="AE1131:AI1131"/>
    <mergeCell ref="AJ1131:AL1131"/>
    <mergeCell ref="AN1131:AO1131"/>
    <mergeCell ref="AP1131:AQ1131"/>
    <mergeCell ref="A1132:A1133"/>
    <mergeCell ref="E1132:E1133"/>
    <mergeCell ref="F1132:H1132"/>
    <mergeCell ref="J1132:J1133"/>
    <mergeCell ref="K1132:L1133"/>
    <mergeCell ref="M1132:N1133"/>
    <mergeCell ref="O1132:P1133"/>
    <mergeCell ref="Q1132:R1133"/>
    <mergeCell ref="S1132:T1133"/>
    <mergeCell ref="U1132:V1133"/>
    <mergeCell ref="X1132:AB1132"/>
    <mergeCell ref="AD1132:AI1132"/>
    <mergeCell ref="AJ1132:AL1132"/>
    <mergeCell ref="AN1132:AO1132"/>
    <mergeCell ref="AP1132:AQ1132"/>
    <mergeCell ref="AR1132:AS1133"/>
    <mergeCell ref="AT1132:AU1133"/>
    <mergeCell ref="AV1132:AW1133"/>
    <mergeCell ref="AX1132:AY1133"/>
    <mergeCell ref="AZ1132:AZ1133"/>
    <mergeCell ref="F1129:H1129"/>
    <mergeCell ref="X1129:AB1129"/>
    <mergeCell ref="AE1129:AI1129"/>
    <mergeCell ref="AJ1129:AL1129"/>
    <mergeCell ref="AN1129:AO1129"/>
    <mergeCell ref="AP1129:AQ1129"/>
    <mergeCell ref="A1130:A1131"/>
    <mergeCell ref="E1130:E1131"/>
    <mergeCell ref="F1130:H1130"/>
    <mergeCell ref="J1130:J1131"/>
    <mergeCell ref="K1130:L1131"/>
    <mergeCell ref="M1130:N1131"/>
    <mergeCell ref="O1130:P1131"/>
    <mergeCell ref="Q1130:R1131"/>
    <mergeCell ref="S1130:T1131"/>
    <mergeCell ref="U1130:V1131"/>
    <mergeCell ref="X1130:AB1130"/>
    <mergeCell ref="AD1130:AI1130"/>
    <mergeCell ref="AJ1130:AL1130"/>
    <mergeCell ref="AN1130:AO1130"/>
    <mergeCell ref="AP1130:AQ1130"/>
    <mergeCell ref="W1128:W1129"/>
    <mergeCell ref="W1130:W1131"/>
    <mergeCell ref="AR1134:AS1135"/>
    <mergeCell ref="AT1134:AU1135"/>
    <mergeCell ref="AV1134:AW1135"/>
    <mergeCell ref="AX1134:AY1135"/>
    <mergeCell ref="AZ1134:AZ1135"/>
    <mergeCell ref="F1135:H1135"/>
    <mergeCell ref="X1135:AB1135"/>
    <mergeCell ref="AE1135:AI1135"/>
    <mergeCell ref="AJ1135:AL1135"/>
    <mergeCell ref="AN1135:AO1135"/>
    <mergeCell ref="AP1135:AQ1135"/>
    <mergeCell ref="A1136:A1137"/>
    <mergeCell ref="E1136:E1137"/>
    <mergeCell ref="F1136:H1136"/>
    <mergeCell ref="J1136:J1137"/>
    <mergeCell ref="K1136:L1137"/>
    <mergeCell ref="M1136:N1137"/>
    <mergeCell ref="O1136:P1137"/>
    <mergeCell ref="Q1136:R1137"/>
    <mergeCell ref="S1136:T1137"/>
    <mergeCell ref="U1136:V1137"/>
    <mergeCell ref="X1136:AB1136"/>
    <mergeCell ref="AD1136:AI1136"/>
    <mergeCell ref="AJ1136:AL1136"/>
    <mergeCell ref="AN1136:AO1136"/>
    <mergeCell ref="AP1136:AQ1136"/>
    <mergeCell ref="AR1136:AS1137"/>
    <mergeCell ref="AT1136:AU1137"/>
    <mergeCell ref="AV1136:AW1137"/>
    <mergeCell ref="AX1136:AY1137"/>
    <mergeCell ref="AZ1136:AZ1137"/>
    <mergeCell ref="F1133:H1133"/>
    <mergeCell ref="X1133:AB1133"/>
    <mergeCell ref="AE1133:AI1133"/>
    <mergeCell ref="AJ1133:AL1133"/>
    <mergeCell ref="AN1133:AO1133"/>
    <mergeCell ref="AP1133:AQ1133"/>
    <mergeCell ref="A1134:A1135"/>
    <mergeCell ref="E1134:E1135"/>
    <mergeCell ref="F1134:H1134"/>
    <mergeCell ref="J1134:J1135"/>
    <mergeCell ref="K1134:L1135"/>
    <mergeCell ref="M1134:N1135"/>
    <mergeCell ref="O1134:P1135"/>
    <mergeCell ref="Q1134:R1135"/>
    <mergeCell ref="S1134:T1135"/>
    <mergeCell ref="U1134:V1135"/>
    <mergeCell ref="X1134:AB1134"/>
    <mergeCell ref="AD1134:AI1134"/>
    <mergeCell ref="AJ1134:AL1134"/>
    <mergeCell ref="AN1134:AO1134"/>
    <mergeCell ref="AP1134:AQ1134"/>
    <mergeCell ref="W1132:W1133"/>
    <mergeCell ref="W1134:W1135"/>
    <mergeCell ref="AR1138:AS1139"/>
    <mergeCell ref="AT1138:AU1139"/>
    <mergeCell ref="AV1138:AW1139"/>
    <mergeCell ref="AX1138:AY1139"/>
    <mergeCell ref="AZ1138:AZ1139"/>
    <mergeCell ref="F1139:H1139"/>
    <mergeCell ref="X1139:AB1139"/>
    <mergeCell ref="AE1139:AI1139"/>
    <mergeCell ref="AJ1139:AL1139"/>
    <mergeCell ref="AN1139:AO1139"/>
    <mergeCell ref="AP1139:AQ1139"/>
    <mergeCell ref="A1140:A1141"/>
    <mergeCell ref="E1140:E1141"/>
    <mergeCell ref="F1140:H1140"/>
    <mergeCell ref="J1140:J1141"/>
    <mergeCell ref="K1140:L1141"/>
    <mergeCell ref="M1140:N1141"/>
    <mergeCell ref="O1140:P1141"/>
    <mergeCell ref="Q1140:R1141"/>
    <mergeCell ref="S1140:T1141"/>
    <mergeCell ref="U1140:V1141"/>
    <mergeCell ref="X1140:AB1140"/>
    <mergeCell ref="AD1140:AI1140"/>
    <mergeCell ref="AJ1140:AL1140"/>
    <mergeCell ref="AN1140:AO1140"/>
    <mergeCell ref="AP1140:AQ1140"/>
    <mergeCell ref="AR1140:AS1141"/>
    <mergeCell ref="AT1140:AU1141"/>
    <mergeCell ref="AV1140:AW1141"/>
    <mergeCell ref="AX1140:AY1141"/>
    <mergeCell ref="AZ1140:AZ1141"/>
    <mergeCell ref="F1137:H1137"/>
    <mergeCell ref="X1137:AB1137"/>
    <mergeCell ref="AE1137:AI1137"/>
    <mergeCell ref="AJ1137:AL1137"/>
    <mergeCell ref="AN1137:AO1137"/>
    <mergeCell ref="AP1137:AQ1137"/>
    <mergeCell ref="A1138:A1139"/>
    <mergeCell ref="E1138:E1139"/>
    <mergeCell ref="F1138:H1138"/>
    <mergeCell ref="J1138:J1139"/>
    <mergeCell ref="K1138:L1139"/>
    <mergeCell ref="M1138:N1139"/>
    <mergeCell ref="O1138:P1139"/>
    <mergeCell ref="Q1138:R1139"/>
    <mergeCell ref="S1138:T1139"/>
    <mergeCell ref="U1138:V1139"/>
    <mergeCell ref="X1138:AB1138"/>
    <mergeCell ref="AD1138:AI1138"/>
    <mergeCell ref="AJ1138:AL1138"/>
    <mergeCell ref="AN1138:AO1138"/>
    <mergeCell ref="AP1138:AQ1138"/>
    <mergeCell ref="W1136:W1137"/>
    <mergeCell ref="W1138:W1139"/>
    <mergeCell ref="AR1142:AS1143"/>
    <mergeCell ref="AT1142:AU1143"/>
    <mergeCell ref="AV1142:AW1143"/>
    <mergeCell ref="AX1142:AY1143"/>
    <mergeCell ref="AZ1142:AZ1143"/>
    <mergeCell ref="F1143:H1143"/>
    <mergeCell ref="X1143:AB1143"/>
    <mergeCell ref="AE1143:AI1143"/>
    <mergeCell ref="AJ1143:AL1143"/>
    <mergeCell ref="AN1143:AO1143"/>
    <mergeCell ref="AP1143:AQ1143"/>
    <mergeCell ref="A1144:A1145"/>
    <mergeCell ref="E1144:E1145"/>
    <mergeCell ref="F1144:H1144"/>
    <mergeCell ref="J1144:J1145"/>
    <mergeCell ref="K1144:L1145"/>
    <mergeCell ref="M1144:N1145"/>
    <mergeCell ref="O1144:P1145"/>
    <mergeCell ref="Q1144:R1145"/>
    <mergeCell ref="S1144:T1145"/>
    <mergeCell ref="U1144:V1145"/>
    <mergeCell ref="X1144:AB1144"/>
    <mergeCell ref="AD1144:AI1144"/>
    <mergeCell ref="AJ1144:AL1144"/>
    <mergeCell ref="AN1144:AO1144"/>
    <mergeCell ref="AP1144:AQ1144"/>
    <mergeCell ref="AR1144:AS1145"/>
    <mergeCell ref="AT1144:AU1145"/>
    <mergeCell ref="AV1144:AW1145"/>
    <mergeCell ref="AX1144:AY1145"/>
    <mergeCell ref="AZ1144:AZ1145"/>
    <mergeCell ref="F1141:H1141"/>
    <mergeCell ref="X1141:AB1141"/>
    <mergeCell ref="AE1141:AI1141"/>
    <mergeCell ref="AJ1141:AL1141"/>
    <mergeCell ref="AN1141:AO1141"/>
    <mergeCell ref="AP1141:AQ1141"/>
    <mergeCell ref="A1142:A1143"/>
    <mergeCell ref="E1142:E1143"/>
    <mergeCell ref="F1142:H1142"/>
    <mergeCell ref="J1142:J1143"/>
    <mergeCell ref="K1142:L1143"/>
    <mergeCell ref="M1142:N1143"/>
    <mergeCell ref="O1142:P1143"/>
    <mergeCell ref="Q1142:R1143"/>
    <mergeCell ref="S1142:T1143"/>
    <mergeCell ref="U1142:V1143"/>
    <mergeCell ref="X1142:AB1142"/>
    <mergeCell ref="AD1142:AI1142"/>
    <mergeCell ref="AJ1142:AL1142"/>
    <mergeCell ref="AN1142:AO1142"/>
    <mergeCell ref="AP1142:AQ1142"/>
    <mergeCell ref="W1140:W1141"/>
    <mergeCell ref="W1142:W1143"/>
    <mergeCell ref="AR1146:AS1147"/>
    <mergeCell ref="AT1146:AU1147"/>
    <mergeCell ref="AV1146:AW1147"/>
    <mergeCell ref="AX1146:AY1147"/>
    <mergeCell ref="AZ1146:AZ1147"/>
    <mergeCell ref="F1147:H1147"/>
    <mergeCell ref="X1147:AB1147"/>
    <mergeCell ref="AE1147:AI1147"/>
    <mergeCell ref="AJ1147:AL1147"/>
    <mergeCell ref="AN1147:AO1147"/>
    <mergeCell ref="AP1147:AQ1147"/>
    <mergeCell ref="A1148:A1149"/>
    <mergeCell ref="E1148:E1149"/>
    <mergeCell ref="F1148:H1148"/>
    <mergeCell ref="J1148:J1149"/>
    <mergeCell ref="K1148:L1149"/>
    <mergeCell ref="M1148:N1149"/>
    <mergeCell ref="O1148:P1149"/>
    <mergeCell ref="Q1148:R1149"/>
    <mergeCell ref="S1148:T1149"/>
    <mergeCell ref="U1148:V1149"/>
    <mergeCell ref="X1148:AB1148"/>
    <mergeCell ref="AD1148:AI1148"/>
    <mergeCell ref="AJ1148:AL1148"/>
    <mergeCell ref="AN1148:AO1148"/>
    <mergeCell ref="AP1148:AQ1148"/>
    <mergeCell ref="AR1148:AS1149"/>
    <mergeCell ref="AT1148:AU1149"/>
    <mergeCell ref="AV1148:AW1149"/>
    <mergeCell ref="AX1148:AY1149"/>
    <mergeCell ref="AZ1148:AZ1149"/>
    <mergeCell ref="F1145:H1145"/>
    <mergeCell ref="X1145:AB1145"/>
    <mergeCell ref="AE1145:AI1145"/>
    <mergeCell ref="AJ1145:AL1145"/>
    <mergeCell ref="AN1145:AO1145"/>
    <mergeCell ref="AP1145:AQ1145"/>
    <mergeCell ref="A1146:A1147"/>
    <mergeCell ref="E1146:E1147"/>
    <mergeCell ref="F1146:H1146"/>
    <mergeCell ref="J1146:J1147"/>
    <mergeCell ref="K1146:L1147"/>
    <mergeCell ref="M1146:N1147"/>
    <mergeCell ref="O1146:P1147"/>
    <mergeCell ref="Q1146:R1147"/>
    <mergeCell ref="S1146:T1147"/>
    <mergeCell ref="U1146:V1147"/>
    <mergeCell ref="X1146:AB1146"/>
    <mergeCell ref="AD1146:AI1146"/>
    <mergeCell ref="AJ1146:AL1146"/>
    <mergeCell ref="AN1146:AO1146"/>
    <mergeCell ref="AP1146:AQ1146"/>
    <mergeCell ref="W1144:W1145"/>
    <mergeCell ref="W1146:W1147"/>
    <mergeCell ref="AR1150:AS1151"/>
    <mergeCell ref="AT1150:AU1151"/>
    <mergeCell ref="AV1150:AW1151"/>
    <mergeCell ref="AX1150:AY1151"/>
    <mergeCell ref="AZ1150:AZ1151"/>
    <mergeCell ref="F1151:H1151"/>
    <mergeCell ref="X1151:AB1151"/>
    <mergeCell ref="AE1151:AI1151"/>
    <mergeCell ref="AJ1151:AL1151"/>
    <mergeCell ref="AN1151:AO1151"/>
    <mergeCell ref="AP1151:AQ1151"/>
    <mergeCell ref="A1152:A1153"/>
    <mergeCell ref="E1152:E1153"/>
    <mergeCell ref="F1152:H1152"/>
    <mergeCell ref="J1152:J1153"/>
    <mergeCell ref="K1152:L1153"/>
    <mergeCell ref="M1152:N1153"/>
    <mergeCell ref="O1152:P1153"/>
    <mergeCell ref="Q1152:R1153"/>
    <mergeCell ref="S1152:T1153"/>
    <mergeCell ref="U1152:V1153"/>
    <mergeCell ref="X1152:AB1152"/>
    <mergeCell ref="AD1152:AI1152"/>
    <mergeCell ref="AJ1152:AL1152"/>
    <mergeCell ref="AN1152:AO1152"/>
    <mergeCell ref="AP1152:AQ1152"/>
    <mergeCell ref="AR1152:AS1153"/>
    <mergeCell ref="AT1152:AU1153"/>
    <mergeCell ref="AV1152:AW1153"/>
    <mergeCell ref="AX1152:AY1153"/>
    <mergeCell ref="AZ1152:AZ1153"/>
    <mergeCell ref="F1149:H1149"/>
    <mergeCell ref="X1149:AB1149"/>
    <mergeCell ref="AE1149:AI1149"/>
    <mergeCell ref="AJ1149:AL1149"/>
    <mergeCell ref="AN1149:AO1149"/>
    <mergeCell ref="AP1149:AQ1149"/>
    <mergeCell ref="A1150:A1151"/>
    <mergeCell ref="E1150:E1151"/>
    <mergeCell ref="F1150:H1150"/>
    <mergeCell ref="J1150:J1151"/>
    <mergeCell ref="K1150:L1151"/>
    <mergeCell ref="M1150:N1151"/>
    <mergeCell ref="O1150:P1151"/>
    <mergeCell ref="Q1150:R1151"/>
    <mergeCell ref="S1150:T1151"/>
    <mergeCell ref="U1150:V1151"/>
    <mergeCell ref="X1150:AB1150"/>
    <mergeCell ref="AD1150:AI1150"/>
    <mergeCell ref="AJ1150:AL1150"/>
    <mergeCell ref="AN1150:AO1150"/>
    <mergeCell ref="AP1150:AQ1150"/>
    <mergeCell ref="W1148:W1149"/>
    <mergeCell ref="W1150:W1151"/>
    <mergeCell ref="AR1154:AS1155"/>
    <mergeCell ref="AT1154:AU1155"/>
    <mergeCell ref="AV1154:AW1155"/>
    <mergeCell ref="AX1154:AY1155"/>
    <mergeCell ref="AZ1154:AZ1155"/>
    <mergeCell ref="F1155:H1155"/>
    <mergeCell ref="X1155:AB1155"/>
    <mergeCell ref="AE1155:AI1155"/>
    <mergeCell ref="AJ1155:AL1155"/>
    <mergeCell ref="AN1155:AO1155"/>
    <mergeCell ref="AP1155:AQ1155"/>
    <mergeCell ref="A1156:A1157"/>
    <mergeCell ref="E1156:E1157"/>
    <mergeCell ref="F1156:H1156"/>
    <mergeCell ref="J1156:J1157"/>
    <mergeCell ref="K1156:L1157"/>
    <mergeCell ref="M1156:N1157"/>
    <mergeCell ref="O1156:P1157"/>
    <mergeCell ref="Q1156:R1157"/>
    <mergeCell ref="S1156:T1157"/>
    <mergeCell ref="U1156:V1157"/>
    <mergeCell ref="X1156:AB1156"/>
    <mergeCell ref="AD1156:AI1156"/>
    <mergeCell ref="AJ1156:AL1156"/>
    <mergeCell ref="AN1156:AO1156"/>
    <mergeCell ref="AP1156:AQ1156"/>
    <mergeCell ref="AR1156:AS1157"/>
    <mergeCell ref="AT1156:AU1157"/>
    <mergeCell ref="AV1156:AW1157"/>
    <mergeCell ref="AX1156:AY1157"/>
    <mergeCell ref="AZ1156:AZ1157"/>
    <mergeCell ref="F1153:H1153"/>
    <mergeCell ref="X1153:AB1153"/>
    <mergeCell ref="AE1153:AI1153"/>
    <mergeCell ref="AJ1153:AL1153"/>
    <mergeCell ref="AN1153:AO1153"/>
    <mergeCell ref="AP1153:AQ1153"/>
    <mergeCell ref="A1154:A1155"/>
    <mergeCell ref="E1154:E1155"/>
    <mergeCell ref="F1154:H1154"/>
    <mergeCell ref="J1154:J1155"/>
    <mergeCell ref="K1154:L1155"/>
    <mergeCell ref="M1154:N1155"/>
    <mergeCell ref="O1154:P1155"/>
    <mergeCell ref="Q1154:R1155"/>
    <mergeCell ref="S1154:T1155"/>
    <mergeCell ref="U1154:V1155"/>
    <mergeCell ref="X1154:AB1154"/>
    <mergeCell ref="AD1154:AI1154"/>
    <mergeCell ref="AJ1154:AL1154"/>
    <mergeCell ref="AN1154:AO1154"/>
    <mergeCell ref="AP1154:AQ1154"/>
    <mergeCell ref="W1152:W1153"/>
    <mergeCell ref="W1154:W1155"/>
    <mergeCell ref="AR1158:AS1159"/>
    <mergeCell ref="AT1158:AU1159"/>
    <mergeCell ref="AV1158:AW1159"/>
    <mergeCell ref="AX1158:AY1159"/>
    <mergeCell ref="AZ1158:AZ1159"/>
    <mergeCell ref="F1159:H1159"/>
    <mergeCell ref="X1159:AB1159"/>
    <mergeCell ref="AE1159:AI1159"/>
    <mergeCell ref="AJ1159:AL1159"/>
    <mergeCell ref="AN1159:AO1159"/>
    <mergeCell ref="AP1159:AQ1159"/>
    <mergeCell ref="A1160:A1161"/>
    <mergeCell ref="E1160:E1161"/>
    <mergeCell ref="F1160:H1160"/>
    <mergeCell ref="J1160:J1161"/>
    <mergeCell ref="K1160:L1161"/>
    <mergeCell ref="M1160:N1161"/>
    <mergeCell ref="O1160:P1161"/>
    <mergeCell ref="Q1160:R1161"/>
    <mergeCell ref="S1160:T1161"/>
    <mergeCell ref="U1160:V1161"/>
    <mergeCell ref="X1160:AB1160"/>
    <mergeCell ref="AD1160:AI1160"/>
    <mergeCell ref="AJ1160:AL1160"/>
    <mergeCell ref="AN1160:AO1160"/>
    <mergeCell ref="AP1160:AQ1160"/>
    <mergeCell ref="AR1160:AS1161"/>
    <mergeCell ref="AT1160:AU1161"/>
    <mergeCell ref="AV1160:AW1161"/>
    <mergeCell ref="AX1160:AY1161"/>
    <mergeCell ref="AZ1160:AZ1161"/>
    <mergeCell ref="F1157:H1157"/>
    <mergeCell ref="X1157:AB1157"/>
    <mergeCell ref="AE1157:AI1157"/>
    <mergeCell ref="AJ1157:AL1157"/>
    <mergeCell ref="AN1157:AO1157"/>
    <mergeCell ref="AP1157:AQ1157"/>
    <mergeCell ref="A1158:A1159"/>
    <mergeCell ref="E1158:E1159"/>
    <mergeCell ref="F1158:H1158"/>
    <mergeCell ref="J1158:J1159"/>
    <mergeCell ref="K1158:L1159"/>
    <mergeCell ref="M1158:N1159"/>
    <mergeCell ref="O1158:P1159"/>
    <mergeCell ref="Q1158:R1159"/>
    <mergeCell ref="S1158:T1159"/>
    <mergeCell ref="U1158:V1159"/>
    <mergeCell ref="X1158:AB1158"/>
    <mergeCell ref="AD1158:AI1158"/>
    <mergeCell ref="AJ1158:AL1158"/>
    <mergeCell ref="AN1158:AO1158"/>
    <mergeCell ref="AP1158:AQ1158"/>
    <mergeCell ref="W1156:W1157"/>
    <mergeCell ref="W1158:W1159"/>
    <mergeCell ref="AR1162:AS1163"/>
    <mergeCell ref="AT1162:AU1163"/>
    <mergeCell ref="AV1162:AW1163"/>
    <mergeCell ref="AX1162:AY1163"/>
    <mergeCell ref="AZ1162:AZ1163"/>
    <mergeCell ref="F1163:H1163"/>
    <mergeCell ref="X1163:AB1163"/>
    <mergeCell ref="AE1163:AI1163"/>
    <mergeCell ref="AJ1163:AL1163"/>
    <mergeCell ref="AN1163:AO1163"/>
    <mergeCell ref="AP1163:AQ1163"/>
    <mergeCell ref="A1164:A1165"/>
    <mergeCell ref="E1164:E1165"/>
    <mergeCell ref="F1164:H1164"/>
    <mergeCell ref="J1164:J1165"/>
    <mergeCell ref="K1164:L1165"/>
    <mergeCell ref="M1164:N1165"/>
    <mergeCell ref="O1164:P1165"/>
    <mergeCell ref="Q1164:R1165"/>
    <mergeCell ref="S1164:T1165"/>
    <mergeCell ref="U1164:V1165"/>
    <mergeCell ref="X1164:AB1164"/>
    <mergeCell ref="AD1164:AI1164"/>
    <mergeCell ref="AJ1164:AL1164"/>
    <mergeCell ref="AN1164:AO1164"/>
    <mergeCell ref="AP1164:AQ1164"/>
    <mergeCell ref="AR1164:AS1165"/>
    <mergeCell ref="AT1164:AU1165"/>
    <mergeCell ref="AV1164:AW1165"/>
    <mergeCell ref="AX1164:AY1165"/>
    <mergeCell ref="AZ1164:AZ1165"/>
    <mergeCell ref="F1161:H1161"/>
    <mergeCell ref="X1161:AB1161"/>
    <mergeCell ref="AE1161:AI1161"/>
    <mergeCell ref="AJ1161:AL1161"/>
    <mergeCell ref="AN1161:AO1161"/>
    <mergeCell ref="AP1161:AQ1161"/>
    <mergeCell ref="A1162:A1163"/>
    <mergeCell ref="E1162:E1163"/>
    <mergeCell ref="F1162:H1162"/>
    <mergeCell ref="J1162:J1163"/>
    <mergeCell ref="K1162:L1163"/>
    <mergeCell ref="M1162:N1163"/>
    <mergeCell ref="O1162:P1163"/>
    <mergeCell ref="Q1162:R1163"/>
    <mergeCell ref="S1162:T1163"/>
    <mergeCell ref="U1162:V1163"/>
    <mergeCell ref="X1162:AB1162"/>
    <mergeCell ref="AD1162:AI1162"/>
    <mergeCell ref="AJ1162:AL1162"/>
    <mergeCell ref="AN1162:AO1162"/>
    <mergeCell ref="AP1162:AQ1162"/>
    <mergeCell ref="W1160:W1161"/>
    <mergeCell ref="W1162:W1163"/>
    <mergeCell ref="AR1166:AS1167"/>
    <mergeCell ref="AT1166:AU1167"/>
    <mergeCell ref="AV1166:AW1167"/>
    <mergeCell ref="AX1166:AY1167"/>
    <mergeCell ref="AZ1166:AZ1167"/>
    <mergeCell ref="F1167:H1167"/>
    <mergeCell ref="X1167:AB1167"/>
    <mergeCell ref="AE1167:AI1167"/>
    <mergeCell ref="AJ1167:AL1167"/>
    <mergeCell ref="AN1167:AO1167"/>
    <mergeCell ref="AP1167:AQ1167"/>
    <mergeCell ref="A1168:A1169"/>
    <mergeCell ref="E1168:E1169"/>
    <mergeCell ref="F1168:H1168"/>
    <mergeCell ref="J1168:J1169"/>
    <mergeCell ref="K1168:L1169"/>
    <mergeCell ref="M1168:N1169"/>
    <mergeCell ref="O1168:P1169"/>
    <mergeCell ref="Q1168:R1169"/>
    <mergeCell ref="S1168:T1169"/>
    <mergeCell ref="U1168:V1169"/>
    <mergeCell ref="X1168:AB1168"/>
    <mergeCell ref="AD1168:AI1168"/>
    <mergeCell ref="AJ1168:AL1168"/>
    <mergeCell ref="AN1168:AO1168"/>
    <mergeCell ref="AP1168:AQ1168"/>
    <mergeCell ref="AR1168:AS1169"/>
    <mergeCell ref="AT1168:AU1169"/>
    <mergeCell ref="AV1168:AW1169"/>
    <mergeCell ref="AX1168:AY1169"/>
    <mergeCell ref="AZ1168:AZ1169"/>
    <mergeCell ref="F1165:H1165"/>
    <mergeCell ref="X1165:AB1165"/>
    <mergeCell ref="AE1165:AI1165"/>
    <mergeCell ref="AJ1165:AL1165"/>
    <mergeCell ref="AN1165:AO1165"/>
    <mergeCell ref="AP1165:AQ1165"/>
    <mergeCell ref="A1166:A1167"/>
    <mergeCell ref="E1166:E1167"/>
    <mergeCell ref="F1166:H1166"/>
    <mergeCell ref="J1166:J1167"/>
    <mergeCell ref="K1166:L1167"/>
    <mergeCell ref="M1166:N1167"/>
    <mergeCell ref="O1166:P1167"/>
    <mergeCell ref="Q1166:R1167"/>
    <mergeCell ref="S1166:T1167"/>
    <mergeCell ref="U1166:V1167"/>
    <mergeCell ref="X1166:AB1166"/>
    <mergeCell ref="AD1166:AI1166"/>
    <mergeCell ref="AJ1166:AL1166"/>
    <mergeCell ref="AN1166:AO1166"/>
    <mergeCell ref="AP1166:AQ1166"/>
    <mergeCell ref="W1164:W1165"/>
    <mergeCell ref="W1166:W1167"/>
    <mergeCell ref="AR1170:AS1171"/>
    <mergeCell ref="AT1170:AU1171"/>
    <mergeCell ref="AV1170:AW1171"/>
    <mergeCell ref="AX1170:AY1171"/>
    <mergeCell ref="AZ1170:AZ1171"/>
    <mergeCell ref="F1171:H1171"/>
    <mergeCell ref="X1171:AB1171"/>
    <mergeCell ref="AE1171:AI1171"/>
    <mergeCell ref="AJ1171:AL1171"/>
    <mergeCell ref="AN1171:AO1171"/>
    <mergeCell ref="AP1171:AQ1171"/>
    <mergeCell ref="A1172:A1173"/>
    <mergeCell ref="E1172:E1173"/>
    <mergeCell ref="F1172:H1172"/>
    <mergeCell ref="J1172:J1173"/>
    <mergeCell ref="K1172:L1173"/>
    <mergeCell ref="M1172:N1173"/>
    <mergeCell ref="O1172:P1173"/>
    <mergeCell ref="Q1172:R1173"/>
    <mergeCell ref="S1172:T1173"/>
    <mergeCell ref="U1172:V1173"/>
    <mergeCell ref="X1172:AB1172"/>
    <mergeCell ref="AD1172:AI1172"/>
    <mergeCell ref="AJ1172:AL1172"/>
    <mergeCell ref="AN1172:AO1172"/>
    <mergeCell ref="AP1172:AQ1172"/>
    <mergeCell ref="AR1172:AS1173"/>
    <mergeCell ref="AT1172:AU1173"/>
    <mergeCell ref="AV1172:AW1173"/>
    <mergeCell ref="AX1172:AY1173"/>
    <mergeCell ref="AZ1172:AZ1173"/>
    <mergeCell ref="F1169:H1169"/>
    <mergeCell ref="X1169:AB1169"/>
    <mergeCell ref="AE1169:AI1169"/>
    <mergeCell ref="AJ1169:AL1169"/>
    <mergeCell ref="AN1169:AO1169"/>
    <mergeCell ref="AP1169:AQ1169"/>
    <mergeCell ref="A1170:A1171"/>
    <mergeCell ref="E1170:E1171"/>
    <mergeCell ref="F1170:H1170"/>
    <mergeCell ref="J1170:J1171"/>
    <mergeCell ref="K1170:L1171"/>
    <mergeCell ref="M1170:N1171"/>
    <mergeCell ref="O1170:P1171"/>
    <mergeCell ref="Q1170:R1171"/>
    <mergeCell ref="S1170:T1171"/>
    <mergeCell ref="U1170:V1171"/>
    <mergeCell ref="X1170:AB1170"/>
    <mergeCell ref="AD1170:AI1170"/>
    <mergeCell ref="AJ1170:AL1170"/>
    <mergeCell ref="AN1170:AO1170"/>
    <mergeCell ref="AP1170:AQ1170"/>
    <mergeCell ref="W1168:W1169"/>
    <mergeCell ref="W1170:W1171"/>
    <mergeCell ref="AR1174:AS1175"/>
    <mergeCell ref="AT1174:AU1175"/>
    <mergeCell ref="AV1174:AW1175"/>
    <mergeCell ref="AX1174:AY1175"/>
    <mergeCell ref="AZ1174:AZ1175"/>
    <mergeCell ref="F1175:H1175"/>
    <mergeCell ref="X1175:AB1175"/>
    <mergeCell ref="AE1175:AI1175"/>
    <mergeCell ref="AJ1175:AL1175"/>
    <mergeCell ref="AN1175:AO1175"/>
    <mergeCell ref="AP1175:AQ1175"/>
    <mergeCell ref="F1173:H1173"/>
    <mergeCell ref="X1173:AB1173"/>
    <mergeCell ref="AE1173:AI1173"/>
    <mergeCell ref="AJ1173:AL1173"/>
    <mergeCell ref="AN1173:AO1173"/>
    <mergeCell ref="AP1173:AQ1173"/>
    <mergeCell ref="A1174:A1175"/>
    <mergeCell ref="E1174:E1175"/>
    <mergeCell ref="F1174:H1174"/>
    <mergeCell ref="J1174:J1175"/>
    <mergeCell ref="K1174:L1175"/>
    <mergeCell ref="M1174:N1175"/>
    <mergeCell ref="O1174:P1175"/>
    <mergeCell ref="Q1174:R1175"/>
    <mergeCell ref="S1174:T1175"/>
    <mergeCell ref="U1174:V1175"/>
    <mergeCell ref="X1174:AB1174"/>
    <mergeCell ref="AD1174:AI1174"/>
    <mergeCell ref="AJ1174:AL1174"/>
    <mergeCell ref="AN1174:AO1174"/>
    <mergeCell ref="AP1174:AQ1174"/>
    <mergeCell ref="W1172:W1173"/>
    <mergeCell ref="W1174:W1175"/>
    <mergeCell ref="W154:W155"/>
    <mergeCell ref="W156:W157"/>
    <mergeCell ref="W158:W159"/>
    <mergeCell ref="W160:W161"/>
    <mergeCell ref="W162:W163"/>
    <mergeCell ref="W164:W165"/>
    <mergeCell ref="W166:W167"/>
    <mergeCell ref="W168:W169"/>
    <mergeCell ref="W170:W171"/>
    <mergeCell ref="W172:W173"/>
    <mergeCell ref="W174:W175"/>
    <mergeCell ref="W176:W177"/>
    <mergeCell ref="W178:W179"/>
    <mergeCell ref="W180:W181"/>
    <mergeCell ref="W182:W183"/>
    <mergeCell ref="W184:W185"/>
    <mergeCell ref="W186:W187"/>
    <mergeCell ref="W188:W189"/>
    <mergeCell ref="W190:W191"/>
    <mergeCell ref="W192:W193"/>
    <mergeCell ref="W194:W195"/>
    <mergeCell ref="W196:W197"/>
    <mergeCell ref="W198:W199"/>
    <mergeCell ref="W200:W201"/>
    <mergeCell ref="W202:W203"/>
    <mergeCell ref="K2:L2"/>
    <mergeCell ref="M2:N2"/>
    <mergeCell ref="O2:P2"/>
    <mergeCell ref="Q2:R2"/>
    <mergeCell ref="S2:T2"/>
    <mergeCell ref="K3:L3"/>
    <mergeCell ref="M3:N3"/>
    <mergeCell ref="O3:P3"/>
    <mergeCell ref="Q3:R3"/>
    <mergeCell ref="S3:T3"/>
    <mergeCell ref="K4:L4"/>
    <mergeCell ref="M4:N4"/>
    <mergeCell ref="O4:P4"/>
    <mergeCell ref="Q4:R4"/>
    <mergeCell ref="S4:T4"/>
    <mergeCell ref="K5:L5"/>
    <mergeCell ref="M5:N5"/>
    <mergeCell ref="O5:P5"/>
    <mergeCell ref="Q5:R5"/>
    <mergeCell ref="S5:T5"/>
    <mergeCell ref="K6:L6"/>
    <mergeCell ref="M6:N6"/>
    <mergeCell ref="O6:P6"/>
    <mergeCell ref="Q6:R6"/>
    <mergeCell ref="S6:T6"/>
    <mergeCell ref="K7:L7"/>
    <mergeCell ref="M7:N7"/>
    <mergeCell ref="O7:P7"/>
    <mergeCell ref="Q7:R7"/>
    <mergeCell ref="S7:T7"/>
    <mergeCell ref="K8:L8"/>
    <mergeCell ref="M8:N8"/>
    <mergeCell ref="O8:P8"/>
    <mergeCell ref="Q8:R8"/>
    <mergeCell ref="S8:T8"/>
    <mergeCell ref="K9:L9"/>
    <mergeCell ref="M9:N9"/>
    <mergeCell ref="O9:P9"/>
    <mergeCell ref="Q9:R9"/>
    <mergeCell ref="A1176:A1177"/>
    <mergeCell ref="E1176:E1177"/>
    <mergeCell ref="F1176:H1176"/>
    <mergeCell ref="J1176:J1177"/>
    <mergeCell ref="K1176:L1177"/>
    <mergeCell ref="M1176:N1177"/>
    <mergeCell ref="O1176:P1177"/>
    <mergeCell ref="Q1176:R1177"/>
    <mergeCell ref="S1176:T1177"/>
    <mergeCell ref="U1176:V1177"/>
    <mergeCell ref="W1176:W1177"/>
    <mergeCell ref="X1176:AB1176"/>
    <mergeCell ref="AD1176:AI1176"/>
    <mergeCell ref="AJ1176:AL1176"/>
    <mergeCell ref="AN1176:AO1176"/>
    <mergeCell ref="AP1176:AQ1176"/>
    <mergeCell ref="AR1176:AS1177"/>
    <mergeCell ref="AT1176:AU1177"/>
    <mergeCell ref="AV1176:AW1177"/>
    <mergeCell ref="AX1176:AY1177"/>
    <mergeCell ref="AZ1176:AZ1177"/>
    <mergeCell ref="F1177:H1177"/>
    <mergeCell ref="X1177:AB1177"/>
    <mergeCell ref="AE1177:AI1177"/>
    <mergeCell ref="AJ1177:AL1177"/>
    <mergeCell ref="AN1177:AO1177"/>
    <mergeCell ref="AP1177:AQ1177"/>
    <mergeCell ref="A1178:A1179"/>
    <mergeCell ref="E1178:E1179"/>
    <mergeCell ref="F1178:H1178"/>
    <mergeCell ref="J1178:J1179"/>
    <mergeCell ref="K1178:L1179"/>
    <mergeCell ref="M1178:N1179"/>
    <mergeCell ref="O1178:P1179"/>
    <mergeCell ref="Q1178:R1179"/>
    <mergeCell ref="S1178:T1179"/>
    <mergeCell ref="U1178:V1179"/>
    <mergeCell ref="W1178:W1179"/>
    <mergeCell ref="X1178:AB1178"/>
    <mergeCell ref="AD1178:AI1178"/>
    <mergeCell ref="AJ1178:AL1178"/>
    <mergeCell ref="AN1178:AO1178"/>
    <mergeCell ref="AP1178:AQ1178"/>
    <mergeCell ref="AR1178:AS1179"/>
    <mergeCell ref="AT1178:AU1179"/>
    <mergeCell ref="AV1178:AW1179"/>
    <mergeCell ref="AX1178:AY1179"/>
    <mergeCell ref="AZ1178:AZ1179"/>
    <mergeCell ref="F1179:H1179"/>
    <mergeCell ref="X1179:AB1179"/>
    <mergeCell ref="AE1179:AI1179"/>
    <mergeCell ref="AJ1179:AL1179"/>
    <mergeCell ref="AN1179:AO1179"/>
    <mergeCell ref="AP1179:AQ1179"/>
    <mergeCell ref="A1180:A1181"/>
    <mergeCell ref="E1180:E1181"/>
    <mergeCell ref="F1180:H1180"/>
    <mergeCell ref="J1180:J1181"/>
    <mergeCell ref="K1180:L1181"/>
    <mergeCell ref="M1180:N1181"/>
    <mergeCell ref="O1180:P1181"/>
    <mergeCell ref="Q1180:R1181"/>
    <mergeCell ref="S1180:T1181"/>
    <mergeCell ref="U1180:V1181"/>
    <mergeCell ref="W1180:W1181"/>
    <mergeCell ref="X1180:AB1180"/>
    <mergeCell ref="AD1180:AI1180"/>
    <mergeCell ref="AJ1180:AL1180"/>
    <mergeCell ref="AN1180:AO1180"/>
    <mergeCell ref="AP1180:AQ1180"/>
    <mergeCell ref="AR1180:AS1181"/>
    <mergeCell ref="AT1180:AU1181"/>
    <mergeCell ref="AV1180:AW1181"/>
    <mergeCell ref="AX1180:AY1181"/>
    <mergeCell ref="AZ1180:AZ1181"/>
    <mergeCell ref="F1181:H1181"/>
    <mergeCell ref="X1181:AB1181"/>
    <mergeCell ref="AE1181:AI1181"/>
    <mergeCell ref="AJ1181:AL1181"/>
    <mergeCell ref="AN1181:AO1181"/>
    <mergeCell ref="AP1181:AQ1181"/>
    <mergeCell ref="A1182:A1183"/>
    <mergeCell ref="E1182:E1183"/>
    <mergeCell ref="F1182:H1182"/>
    <mergeCell ref="J1182:J1183"/>
    <mergeCell ref="K1182:L1183"/>
    <mergeCell ref="M1182:N1183"/>
    <mergeCell ref="O1182:P1183"/>
    <mergeCell ref="Q1182:R1183"/>
    <mergeCell ref="S1182:T1183"/>
    <mergeCell ref="U1182:V1183"/>
    <mergeCell ref="W1182:W1183"/>
    <mergeCell ref="X1182:AB1182"/>
    <mergeCell ref="AD1182:AI1182"/>
    <mergeCell ref="AJ1182:AL1182"/>
    <mergeCell ref="AN1182:AO1182"/>
    <mergeCell ref="AP1182:AQ1182"/>
    <mergeCell ref="AR1182:AS1183"/>
    <mergeCell ref="AT1182:AU1183"/>
    <mergeCell ref="AV1182:AW1183"/>
    <mergeCell ref="AX1182:AY1183"/>
    <mergeCell ref="AZ1182:AZ1183"/>
    <mergeCell ref="F1183:H1183"/>
    <mergeCell ref="X1183:AB1183"/>
    <mergeCell ref="AE1183:AI1183"/>
    <mergeCell ref="AJ1183:AL1183"/>
    <mergeCell ref="AN1183:AO1183"/>
    <mergeCell ref="AP1183:AQ1183"/>
    <mergeCell ref="A1184:A1185"/>
    <mergeCell ref="E1184:E1185"/>
    <mergeCell ref="F1184:H1184"/>
    <mergeCell ref="J1184:J1185"/>
    <mergeCell ref="K1184:L1185"/>
    <mergeCell ref="M1184:N1185"/>
    <mergeCell ref="O1184:P1185"/>
    <mergeCell ref="Q1184:R1185"/>
    <mergeCell ref="S1184:T1185"/>
    <mergeCell ref="U1184:V1185"/>
    <mergeCell ref="W1184:W1185"/>
    <mergeCell ref="X1184:AB1184"/>
    <mergeCell ref="AD1184:AI1184"/>
    <mergeCell ref="AJ1184:AL1184"/>
    <mergeCell ref="AN1184:AO1184"/>
    <mergeCell ref="AP1184:AQ1184"/>
    <mergeCell ref="AR1184:AS1185"/>
    <mergeCell ref="AT1184:AU1185"/>
    <mergeCell ref="AV1184:AW1185"/>
    <mergeCell ref="AX1184:AY1185"/>
    <mergeCell ref="AZ1184:AZ1185"/>
    <mergeCell ref="F1185:H1185"/>
    <mergeCell ref="X1185:AB1185"/>
    <mergeCell ref="AE1185:AI1185"/>
    <mergeCell ref="AJ1185:AL1185"/>
    <mergeCell ref="AN1185:AO1185"/>
    <mergeCell ref="AP1185:AQ1185"/>
    <mergeCell ref="A1186:A1187"/>
    <mergeCell ref="E1186:E1187"/>
    <mergeCell ref="F1186:H1186"/>
    <mergeCell ref="J1186:J1187"/>
    <mergeCell ref="K1186:L1187"/>
    <mergeCell ref="M1186:N1187"/>
    <mergeCell ref="O1186:P1187"/>
    <mergeCell ref="Q1186:R1187"/>
    <mergeCell ref="S1186:T1187"/>
    <mergeCell ref="U1186:V1187"/>
    <mergeCell ref="W1186:W1187"/>
    <mergeCell ref="X1186:AB1186"/>
    <mergeCell ref="AD1186:AI1186"/>
    <mergeCell ref="AJ1186:AL1186"/>
    <mergeCell ref="AN1186:AO1186"/>
    <mergeCell ref="AP1186:AQ1186"/>
    <mergeCell ref="AR1186:AS1187"/>
    <mergeCell ref="AT1186:AU1187"/>
    <mergeCell ref="AV1186:AW1187"/>
    <mergeCell ref="AX1186:AY1187"/>
    <mergeCell ref="AZ1186:AZ1187"/>
    <mergeCell ref="F1187:H1187"/>
    <mergeCell ref="X1187:AB1187"/>
    <mergeCell ref="AE1187:AI1187"/>
    <mergeCell ref="AJ1187:AL1187"/>
    <mergeCell ref="AN1187:AO1187"/>
    <mergeCell ref="AP1187:AQ1187"/>
    <mergeCell ref="A1188:A1189"/>
    <mergeCell ref="E1188:E1189"/>
    <mergeCell ref="F1188:H1188"/>
    <mergeCell ref="J1188:J1189"/>
    <mergeCell ref="K1188:L1189"/>
    <mergeCell ref="M1188:N1189"/>
    <mergeCell ref="O1188:P1189"/>
    <mergeCell ref="Q1188:R1189"/>
    <mergeCell ref="S1188:T1189"/>
    <mergeCell ref="U1188:V1189"/>
    <mergeCell ref="W1188:W1189"/>
    <mergeCell ref="X1188:AB1188"/>
    <mergeCell ref="AD1188:AI1188"/>
    <mergeCell ref="AJ1188:AL1188"/>
    <mergeCell ref="AN1188:AO1188"/>
    <mergeCell ref="AP1188:AQ1188"/>
    <mergeCell ref="AR1188:AS1189"/>
    <mergeCell ref="AT1188:AU1189"/>
    <mergeCell ref="AV1188:AW1189"/>
    <mergeCell ref="AX1188:AY1189"/>
    <mergeCell ref="AZ1188:AZ1189"/>
    <mergeCell ref="F1189:H1189"/>
    <mergeCell ref="X1189:AB1189"/>
    <mergeCell ref="AE1189:AI1189"/>
    <mergeCell ref="AJ1189:AL1189"/>
    <mergeCell ref="AN1189:AO1189"/>
    <mergeCell ref="AP1189:AQ1189"/>
    <mergeCell ref="A1190:A1191"/>
    <mergeCell ref="E1190:E1191"/>
    <mergeCell ref="F1190:H1190"/>
    <mergeCell ref="J1190:J1191"/>
    <mergeCell ref="K1190:L1191"/>
    <mergeCell ref="M1190:N1191"/>
    <mergeCell ref="O1190:P1191"/>
    <mergeCell ref="Q1190:R1191"/>
    <mergeCell ref="S1190:T1191"/>
    <mergeCell ref="U1190:V1191"/>
    <mergeCell ref="W1190:W1191"/>
    <mergeCell ref="X1190:AB1190"/>
    <mergeCell ref="AD1190:AI1190"/>
    <mergeCell ref="AJ1190:AL1190"/>
    <mergeCell ref="AN1190:AO1190"/>
    <mergeCell ref="AP1190:AQ1190"/>
    <mergeCell ref="AR1190:AS1191"/>
    <mergeCell ref="AT1190:AU1191"/>
    <mergeCell ref="AV1190:AW1191"/>
    <mergeCell ref="AX1190:AY1191"/>
    <mergeCell ref="AZ1190:AZ1191"/>
    <mergeCell ref="F1191:H1191"/>
    <mergeCell ref="X1191:AB1191"/>
    <mergeCell ref="AE1191:AI1191"/>
    <mergeCell ref="AJ1191:AL1191"/>
    <mergeCell ref="AN1191:AO1191"/>
    <mergeCell ref="AP1191:AQ1191"/>
    <mergeCell ref="A1192:A1193"/>
    <mergeCell ref="E1192:E1193"/>
    <mergeCell ref="F1192:H1192"/>
    <mergeCell ref="J1192:J1193"/>
    <mergeCell ref="K1192:L1193"/>
    <mergeCell ref="M1192:N1193"/>
    <mergeCell ref="O1192:P1193"/>
    <mergeCell ref="Q1192:R1193"/>
    <mergeCell ref="S1192:T1193"/>
    <mergeCell ref="U1192:V1193"/>
    <mergeCell ref="W1192:W1193"/>
    <mergeCell ref="X1192:AB1192"/>
    <mergeCell ref="AD1192:AI1192"/>
    <mergeCell ref="AJ1192:AL1192"/>
    <mergeCell ref="AN1192:AO1192"/>
    <mergeCell ref="AP1192:AQ1192"/>
    <mergeCell ref="AR1192:AS1193"/>
    <mergeCell ref="AT1192:AU1193"/>
    <mergeCell ref="AV1192:AW1193"/>
    <mergeCell ref="AX1192:AY1193"/>
    <mergeCell ref="AZ1192:AZ1193"/>
    <mergeCell ref="F1193:H1193"/>
    <mergeCell ref="X1193:AB1193"/>
    <mergeCell ref="AE1193:AI1193"/>
    <mergeCell ref="AJ1193:AL1193"/>
    <mergeCell ref="AN1193:AO1193"/>
    <mergeCell ref="AP1193:AQ1193"/>
    <mergeCell ref="A1194:A1195"/>
    <mergeCell ref="E1194:E1195"/>
    <mergeCell ref="F1194:H1194"/>
    <mergeCell ref="J1194:J1195"/>
    <mergeCell ref="K1194:L1195"/>
    <mergeCell ref="M1194:N1195"/>
    <mergeCell ref="O1194:P1195"/>
    <mergeCell ref="Q1194:R1195"/>
    <mergeCell ref="S1194:T1195"/>
    <mergeCell ref="U1194:V1195"/>
    <mergeCell ref="W1194:W1195"/>
    <mergeCell ref="X1194:AB1194"/>
    <mergeCell ref="AD1194:AI1194"/>
    <mergeCell ref="AJ1194:AL1194"/>
    <mergeCell ref="AN1194:AO1194"/>
    <mergeCell ref="AP1194:AQ1194"/>
    <mergeCell ref="AR1194:AS1195"/>
    <mergeCell ref="AT1194:AU1195"/>
    <mergeCell ref="AV1194:AW1195"/>
    <mergeCell ref="AX1194:AY1195"/>
    <mergeCell ref="AZ1194:AZ1195"/>
    <mergeCell ref="F1195:H1195"/>
    <mergeCell ref="X1195:AB1195"/>
    <mergeCell ref="AE1195:AI1195"/>
    <mergeCell ref="AJ1195:AL1195"/>
    <mergeCell ref="AN1195:AO1195"/>
    <mergeCell ref="AP1195:AQ1195"/>
    <mergeCell ref="A1196:A1197"/>
    <mergeCell ref="E1196:E1197"/>
    <mergeCell ref="F1196:H1196"/>
    <mergeCell ref="J1196:J1197"/>
    <mergeCell ref="K1196:L1197"/>
    <mergeCell ref="M1196:N1197"/>
    <mergeCell ref="O1196:P1197"/>
    <mergeCell ref="Q1196:R1197"/>
    <mergeCell ref="S1196:T1197"/>
    <mergeCell ref="U1196:V1197"/>
    <mergeCell ref="W1196:W1197"/>
    <mergeCell ref="X1196:AB1196"/>
    <mergeCell ref="AD1196:AI1196"/>
    <mergeCell ref="AJ1196:AL1196"/>
    <mergeCell ref="AN1196:AO1196"/>
    <mergeCell ref="AP1196:AQ1196"/>
    <mergeCell ref="AR1196:AS1197"/>
    <mergeCell ref="AT1196:AU1197"/>
    <mergeCell ref="AV1196:AW1197"/>
    <mergeCell ref="AX1196:AY1197"/>
    <mergeCell ref="AZ1196:AZ1197"/>
    <mergeCell ref="F1197:H1197"/>
    <mergeCell ref="X1197:AB1197"/>
    <mergeCell ref="AE1197:AI1197"/>
    <mergeCell ref="AJ1197:AL1197"/>
    <mergeCell ref="AN1197:AO1197"/>
    <mergeCell ref="AP1197:AQ1197"/>
    <mergeCell ref="A1198:A1199"/>
    <mergeCell ref="E1198:E1199"/>
    <mergeCell ref="F1198:H1198"/>
    <mergeCell ref="J1198:J1199"/>
    <mergeCell ref="K1198:L1199"/>
    <mergeCell ref="M1198:N1199"/>
    <mergeCell ref="O1198:P1199"/>
    <mergeCell ref="Q1198:R1199"/>
    <mergeCell ref="S1198:T1199"/>
    <mergeCell ref="U1198:V1199"/>
    <mergeCell ref="W1198:W1199"/>
    <mergeCell ref="X1198:AB1198"/>
    <mergeCell ref="AD1198:AI1198"/>
    <mergeCell ref="AJ1198:AL1198"/>
    <mergeCell ref="AN1198:AO1198"/>
    <mergeCell ref="AP1198:AQ1198"/>
    <mergeCell ref="AR1198:AS1199"/>
    <mergeCell ref="AT1198:AU1199"/>
    <mergeCell ref="AV1198:AW1199"/>
    <mergeCell ref="AX1198:AY1199"/>
    <mergeCell ref="AZ1198:AZ1199"/>
    <mergeCell ref="F1199:H1199"/>
    <mergeCell ref="X1199:AB1199"/>
    <mergeCell ref="AE1199:AI1199"/>
    <mergeCell ref="AJ1199:AL1199"/>
    <mergeCell ref="AN1199:AO1199"/>
    <mergeCell ref="AP1199:AQ1199"/>
    <mergeCell ref="A1200:A1201"/>
    <mergeCell ref="E1200:E1201"/>
    <mergeCell ref="F1200:H1200"/>
    <mergeCell ref="J1200:J1201"/>
    <mergeCell ref="K1200:L1201"/>
    <mergeCell ref="M1200:N1201"/>
    <mergeCell ref="O1200:P1201"/>
    <mergeCell ref="Q1200:R1201"/>
    <mergeCell ref="S1200:T1201"/>
    <mergeCell ref="U1200:V1201"/>
    <mergeCell ref="W1200:W1201"/>
    <mergeCell ref="X1200:AB1200"/>
    <mergeCell ref="AD1200:AI1200"/>
    <mergeCell ref="AJ1200:AL1200"/>
    <mergeCell ref="AN1200:AO1200"/>
    <mergeCell ref="AP1200:AQ1200"/>
    <mergeCell ref="AR1200:AS1201"/>
    <mergeCell ref="AT1200:AU1201"/>
    <mergeCell ref="AV1200:AW1201"/>
    <mergeCell ref="AX1200:AY1201"/>
    <mergeCell ref="AZ1200:AZ1201"/>
    <mergeCell ref="F1201:H1201"/>
    <mergeCell ref="X1201:AB1201"/>
    <mergeCell ref="AE1201:AI1201"/>
    <mergeCell ref="AJ1201:AL1201"/>
    <mergeCell ref="AN1201:AO1201"/>
    <mergeCell ref="AP1201:AQ1201"/>
    <mergeCell ref="A1202:A1203"/>
    <mergeCell ref="E1202:E1203"/>
    <mergeCell ref="F1202:H1202"/>
    <mergeCell ref="J1202:J1203"/>
    <mergeCell ref="K1202:L1203"/>
    <mergeCell ref="M1202:N1203"/>
    <mergeCell ref="O1202:P1203"/>
    <mergeCell ref="Q1202:R1203"/>
    <mergeCell ref="S1202:T1203"/>
    <mergeCell ref="U1202:V1203"/>
    <mergeCell ref="W1202:W1203"/>
    <mergeCell ref="X1202:AB1202"/>
    <mergeCell ref="AD1202:AI1202"/>
    <mergeCell ref="AJ1202:AL1202"/>
    <mergeCell ref="AN1202:AO1202"/>
    <mergeCell ref="AP1202:AQ1202"/>
    <mergeCell ref="AR1202:AS1203"/>
    <mergeCell ref="AT1202:AU1203"/>
    <mergeCell ref="AV1202:AW1203"/>
    <mergeCell ref="AX1202:AY1203"/>
    <mergeCell ref="AZ1202:AZ1203"/>
    <mergeCell ref="F1203:H1203"/>
    <mergeCell ref="X1203:AB1203"/>
    <mergeCell ref="AE1203:AI1203"/>
    <mergeCell ref="AJ1203:AL1203"/>
    <mergeCell ref="AN1203:AO1203"/>
    <mergeCell ref="AP1203:AQ1203"/>
    <mergeCell ref="A1204:A1205"/>
    <mergeCell ref="E1204:E1205"/>
    <mergeCell ref="F1204:H1204"/>
    <mergeCell ref="J1204:J1205"/>
    <mergeCell ref="K1204:L1205"/>
    <mergeCell ref="M1204:N1205"/>
    <mergeCell ref="O1204:P1205"/>
    <mergeCell ref="Q1204:R1205"/>
    <mergeCell ref="S1204:T1205"/>
    <mergeCell ref="U1204:V1205"/>
    <mergeCell ref="W1204:W1205"/>
    <mergeCell ref="X1204:AB1204"/>
    <mergeCell ref="AD1204:AI1204"/>
    <mergeCell ref="AJ1204:AL1204"/>
    <mergeCell ref="AN1204:AO1204"/>
    <mergeCell ref="AP1204:AQ1204"/>
    <mergeCell ref="AR1204:AS1205"/>
    <mergeCell ref="AT1204:AU1205"/>
    <mergeCell ref="AV1204:AW1205"/>
    <mergeCell ref="AX1204:AY1205"/>
    <mergeCell ref="AZ1204:AZ1205"/>
    <mergeCell ref="F1205:H1205"/>
    <mergeCell ref="X1205:AB1205"/>
    <mergeCell ref="AE1205:AI1205"/>
    <mergeCell ref="AJ1205:AL1205"/>
    <mergeCell ref="AN1205:AO1205"/>
    <mergeCell ref="AP1205:AQ1205"/>
    <mergeCell ref="A1206:A1207"/>
    <mergeCell ref="E1206:E1207"/>
    <mergeCell ref="F1206:H1206"/>
    <mergeCell ref="J1206:J1207"/>
    <mergeCell ref="K1206:L1207"/>
    <mergeCell ref="M1206:N1207"/>
    <mergeCell ref="O1206:P1207"/>
    <mergeCell ref="Q1206:R1207"/>
    <mergeCell ref="S1206:T1207"/>
    <mergeCell ref="U1206:V1207"/>
    <mergeCell ref="W1206:W1207"/>
    <mergeCell ref="X1206:AB1206"/>
    <mergeCell ref="AD1206:AI1206"/>
    <mergeCell ref="AJ1206:AL1206"/>
    <mergeCell ref="AN1206:AO1206"/>
    <mergeCell ref="AP1206:AQ1206"/>
    <mergeCell ref="AR1206:AS1207"/>
    <mergeCell ref="AT1206:AU1207"/>
    <mergeCell ref="AV1206:AW1207"/>
    <mergeCell ref="AX1206:AY1207"/>
    <mergeCell ref="AZ1206:AZ1207"/>
    <mergeCell ref="F1207:H1207"/>
    <mergeCell ref="X1207:AB1207"/>
    <mergeCell ref="AE1207:AI1207"/>
    <mergeCell ref="AJ1207:AL1207"/>
    <mergeCell ref="AN1207:AO1207"/>
    <mergeCell ref="AP1207:AQ1207"/>
    <mergeCell ref="A1208:A1209"/>
    <mergeCell ref="E1208:E1209"/>
    <mergeCell ref="F1208:H1208"/>
    <mergeCell ref="J1208:J1209"/>
    <mergeCell ref="K1208:L1209"/>
    <mergeCell ref="M1208:N1209"/>
    <mergeCell ref="O1208:P1209"/>
    <mergeCell ref="Q1208:R1209"/>
    <mergeCell ref="S1208:T1209"/>
    <mergeCell ref="U1208:V1209"/>
    <mergeCell ref="W1208:W1209"/>
    <mergeCell ref="X1208:AB1208"/>
    <mergeCell ref="AD1208:AI1208"/>
    <mergeCell ref="AJ1208:AL1208"/>
    <mergeCell ref="AN1208:AO1208"/>
    <mergeCell ref="AP1208:AQ1208"/>
    <mergeCell ref="AR1208:AS1209"/>
    <mergeCell ref="AT1208:AU1209"/>
    <mergeCell ref="AV1208:AW1209"/>
    <mergeCell ref="AX1208:AY1209"/>
    <mergeCell ref="AZ1208:AZ1209"/>
    <mergeCell ref="F1209:H1209"/>
    <mergeCell ref="X1209:AB1209"/>
    <mergeCell ref="AE1209:AI1209"/>
    <mergeCell ref="AJ1209:AL1209"/>
    <mergeCell ref="AN1209:AO1209"/>
    <mergeCell ref="AP1209:AQ1209"/>
    <mergeCell ref="A1210:A1211"/>
    <mergeCell ref="E1210:E1211"/>
    <mergeCell ref="F1210:H1210"/>
    <mergeCell ref="J1210:J1211"/>
    <mergeCell ref="K1210:L1211"/>
    <mergeCell ref="M1210:N1211"/>
    <mergeCell ref="O1210:P1211"/>
    <mergeCell ref="Q1210:R1211"/>
    <mergeCell ref="S1210:T1211"/>
    <mergeCell ref="U1210:V1211"/>
    <mergeCell ref="W1210:W1211"/>
    <mergeCell ref="X1210:AB1210"/>
    <mergeCell ref="AD1210:AI1210"/>
    <mergeCell ref="AJ1210:AL1210"/>
    <mergeCell ref="AN1210:AO1210"/>
    <mergeCell ref="AP1210:AQ1210"/>
    <mergeCell ref="AR1210:AS1211"/>
    <mergeCell ref="AT1210:AU1211"/>
    <mergeCell ref="AV1210:AW1211"/>
    <mergeCell ref="AX1210:AY1211"/>
    <mergeCell ref="AZ1210:AZ1211"/>
    <mergeCell ref="F1211:H1211"/>
    <mergeCell ref="X1211:AB1211"/>
    <mergeCell ref="AE1211:AI1211"/>
    <mergeCell ref="AJ1211:AL1211"/>
    <mergeCell ref="AN1211:AO1211"/>
    <mergeCell ref="AP1211:AQ1211"/>
    <mergeCell ref="A1212:A1213"/>
    <mergeCell ref="E1212:E1213"/>
    <mergeCell ref="F1212:H1212"/>
    <mergeCell ref="J1212:J1213"/>
    <mergeCell ref="K1212:L1213"/>
    <mergeCell ref="M1212:N1213"/>
    <mergeCell ref="O1212:P1213"/>
    <mergeCell ref="Q1212:R1213"/>
    <mergeCell ref="S1212:T1213"/>
    <mergeCell ref="U1212:V1213"/>
    <mergeCell ref="W1212:W1213"/>
    <mergeCell ref="X1212:AB1212"/>
    <mergeCell ref="AD1212:AI1212"/>
    <mergeCell ref="AJ1212:AL1212"/>
    <mergeCell ref="AN1212:AO1212"/>
    <mergeCell ref="AP1212:AQ1212"/>
    <mergeCell ref="AR1212:AS1213"/>
    <mergeCell ref="AT1212:AU1213"/>
    <mergeCell ref="AV1212:AW1213"/>
    <mergeCell ref="AX1212:AY1213"/>
    <mergeCell ref="AZ1212:AZ1213"/>
    <mergeCell ref="F1213:H1213"/>
    <mergeCell ref="X1213:AB1213"/>
    <mergeCell ref="AE1213:AI1213"/>
    <mergeCell ref="AJ1213:AL1213"/>
    <mergeCell ref="AN1213:AO1213"/>
    <mergeCell ref="AP1213:AQ1213"/>
    <mergeCell ref="A1214:A1215"/>
    <mergeCell ref="E1214:E1215"/>
    <mergeCell ref="F1214:H1214"/>
    <mergeCell ref="J1214:J1215"/>
    <mergeCell ref="K1214:L1215"/>
    <mergeCell ref="M1214:N1215"/>
    <mergeCell ref="O1214:P1215"/>
    <mergeCell ref="Q1214:R1215"/>
    <mergeCell ref="S1214:T1215"/>
    <mergeCell ref="U1214:V1215"/>
    <mergeCell ref="W1214:W1215"/>
    <mergeCell ref="X1214:AB1214"/>
    <mergeCell ref="AD1214:AI1214"/>
    <mergeCell ref="AJ1214:AL1214"/>
    <mergeCell ref="AN1214:AO1214"/>
    <mergeCell ref="AP1214:AQ1214"/>
    <mergeCell ref="AR1214:AS1215"/>
    <mergeCell ref="AT1214:AU1215"/>
    <mergeCell ref="AV1214:AW1215"/>
    <mergeCell ref="AX1214:AY1215"/>
    <mergeCell ref="AZ1214:AZ1215"/>
    <mergeCell ref="F1215:H1215"/>
    <mergeCell ref="X1215:AB1215"/>
    <mergeCell ref="AE1215:AI1215"/>
    <mergeCell ref="AJ1215:AL1215"/>
    <mergeCell ref="AN1215:AO1215"/>
    <mergeCell ref="AP1215:AQ1215"/>
    <mergeCell ref="A1216:A1217"/>
    <mergeCell ref="E1216:E1217"/>
    <mergeCell ref="F1216:H1216"/>
    <mergeCell ref="J1216:J1217"/>
    <mergeCell ref="K1216:L1217"/>
    <mergeCell ref="M1216:N1217"/>
    <mergeCell ref="O1216:P1217"/>
    <mergeCell ref="Q1216:R1217"/>
    <mergeCell ref="S1216:T1217"/>
    <mergeCell ref="U1216:V1217"/>
    <mergeCell ref="W1216:W1217"/>
    <mergeCell ref="X1216:AB1216"/>
    <mergeCell ref="AD1216:AI1216"/>
    <mergeCell ref="AJ1216:AL1216"/>
    <mergeCell ref="AN1216:AO1216"/>
    <mergeCell ref="AP1216:AQ1216"/>
    <mergeCell ref="AR1216:AS1217"/>
    <mergeCell ref="AT1216:AU1217"/>
    <mergeCell ref="AV1216:AW1217"/>
    <mergeCell ref="AX1216:AY1217"/>
    <mergeCell ref="AZ1216:AZ1217"/>
    <mergeCell ref="F1217:H1217"/>
    <mergeCell ref="X1217:AB1217"/>
    <mergeCell ref="AE1217:AI1217"/>
    <mergeCell ref="AJ1217:AL1217"/>
    <mergeCell ref="AN1217:AO1217"/>
    <mergeCell ref="AP1217:AQ1217"/>
    <mergeCell ref="A1218:A1219"/>
    <mergeCell ref="E1218:E1219"/>
    <mergeCell ref="F1218:H1218"/>
    <mergeCell ref="J1218:J1219"/>
    <mergeCell ref="K1218:L1219"/>
    <mergeCell ref="M1218:N1219"/>
    <mergeCell ref="O1218:P1219"/>
    <mergeCell ref="Q1218:R1219"/>
    <mergeCell ref="S1218:T1219"/>
    <mergeCell ref="U1218:V1219"/>
    <mergeCell ref="W1218:W1219"/>
    <mergeCell ref="X1218:AB1218"/>
    <mergeCell ref="AD1218:AI1218"/>
    <mergeCell ref="AJ1218:AL1218"/>
    <mergeCell ref="AN1218:AO1218"/>
    <mergeCell ref="AP1218:AQ1218"/>
    <mergeCell ref="AR1218:AS1219"/>
    <mergeCell ref="AT1218:AU1219"/>
    <mergeCell ref="AV1218:AW1219"/>
    <mergeCell ref="AX1218:AY1219"/>
    <mergeCell ref="AZ1218:AZ1219"/>
    <mergeCell ref="F1219:H1219"/>
    <mergeCell ref="X1219:AB1219"/>
    <mergeCell ref="AE1219:AI1219"/>
    <mergeCell ref="AJ1219:AL1219"/>
    <mergeCell ref="AN1219:AO1219"/>
    <mergeCell ref="AP1219:AQ1219"/>
    <mergeCell ref="A1220:A1221"/>
    <mergeCell ref="E1220:E1221"/>
    <mergeCell ref="F1220:H1220"/>
    <mergeCell ref="J1220:J1221"/>
    <mergeCell ref="K1220:L1221"/>
    <mergeCell ref="M1220:N1221"/>
    <mergeCell ref="O1220:P1221"/>
    <mergeCell ref="Q1220:R1221"/>
    <mergeCell ref="S1220:T1221"/>
    <mergeCell ref="U1220:V1221"/>
    <mergeCell ref="W1220:W1221"/>
    <mergeCell ref="X1220:AB1220"/>
    <mergeCell ref="AD1220:AI1220"/>
    <mergeCell ref="AJ1220:AL1220"/>
    <mergeCell ref="AN1220:AO1220"/>
    <mergeCell ref="AP1220:AQ1220"/>
    <mergeCell ref="AR1220:AS1221"/>
    <mergeCell ref="AT1220:AU1221"/>
    <mergeCell ref="AV1220:AW1221"/>
    <mergeCell ref="AX1220:AY1221"/>
    <mergeCell ref="AZ1220:AZ1221"/>
    <mergeCell ref="F1221:H1221"/>
    <mergeCell ref="X1221:AB1221"/>
    <mergeCell ref="AE1221:AI1221"/>
    <mergeCell ref="AJ1221:AL1221"/>
    <mergeCell ref="AN1221:AO1221"/>
    <mergeCell ref="AP1221:AQ1221"/>
    <mergeCell ref="A1222:A1223"/>
    <mergeCell ref="E1222:E1223"/>
    <mergeCell ref="F1222:H1222"/>
    <mergeCell ref="J1222:J1223"/>
    <mergeCell ref="K1222:L1223"/>
    <mergeCell ref="M1222:N1223"/>
    <mergeCell ref="O1222:P1223"/>
    <mergeCell ref="Q1222:R1223"/>
    <mergeCell ref="S1222:T1223"/>
    <mergeCell ref="U1222:V1223"/>
    <mergeCell ref="W1222:W1223"/>
    <mergeCell ref="X1222:AB1222"/>
    <mergeCell ref="AD1222:AI1222"/>
    <mergeCell ref="AJ1222:AL1222"/>
    <mergeCell ref="AN1222:AO1222"/>
    <mergeCell ref="AP1222:AQ1222"/>
    <mergeCell ref="AR1222:AS1223"/>
    <mergeCell ref="AT1222:AU1223"/>
    <mergeCell ref="AV1222:AW1223"/>
    <mergeCell ref="AX1222:AY1223"/>
    <mergeCell ref="AZ1222:AZ1223"/>
    <mergeCell ref="F1223:H1223"/>
    <mergeCell ref="X1223:AB1223"/>
    <mergeCell ref="AE1223:AI1223"/>
    <mergeCell ref="AJ1223:AL1223"/>
    <mergeCell ref="AN1223:AO1223"/>
    <mergeCell ref="AP1223:AQ1223"/>
    <mergeCell ref="A1224:A1225"/>
    <mergeCell ref="E1224:E1225"/>
    <mergeCell ref="F1224:H1224"/>
    <mergeCell ref="J1224:J1225"/>
    <mergeCell ref="K1224:L1225"/>
    <mergeCell ref="M1224:N1225"/>
    <mergeCell ref="O1224:P1225"/>
    <mergeCell ref="Q1224:R1225"/>
    <mergeCell ref="S1224:T1225"/>
    <mergeCell ref="U1224:V1225"/>
    <mergeCell ref="W1224:W1225"/>
    <mergeCell ref="X1224:AB1224"/>
    <mergeCell ref="AD1224:AI1224"/>
    <mergeCell ref="AJ1224:AL1224"/>
    <mergeCell ref="AN1224:AO1224"/>
    <mergeCell ref="AP1224:AQ1224"/>
    <mergeCell ref="AR1224:AS1225"/>
    <mergeCell ref="AT1224:AU1225"/>
    <mergeCell ref="AV1224:AW1225"/>
    <mergeCell ref="AX1224:AY1225"/>
    <mergeCell ref="AZ1224:AZ1225"/>
    <mergeCell ref="F1225:H1225"/>
    <mergeCell ref="X1225:AB1225"/>
    <mergeCell ref="AE1225:AI1225"/>
    <mergeCell ref="AJ1225:AL1225"/>
    <mergeCell ref="AN1225:AO1225"/>
    <mergeCell ref="AP1225:AQ1225"/>
    <mergeCell ref="A1226:A1227"/>
    <mergeCell ref="E1226:E1227"/>
    <mergeCell ref="F1226:H1226"/>
    <mergeCell ref="J1226:J1227"/>
    <mergeCell ref="K1226:L1227"/>
    <mergeCell ref="M1226:N1227"/>
    <mergeCell ref="O1226:P1227"/>
    <mergeCell ref="Q1226:R1227"/>
    <mergeCell ref="S1226:T1227"/>
    <mergeCell ref="U1226:V1227"/>
    <mergeCell ref="W1226:W1227"/>
    <mergeCell ref="X1226:AB1226"/>
    <mergeCell ref="AD1226:AI1226"/>
    <mergeCell ref="AJ1226:AL1226"/>
    <mergeCell ref="AN1226:AO1226"/>
    <mergeCell ref="AP1226:AQ1226"/>
    <mergeCell ref="AR1226:AS1227"/>
    <mergeCell ref="AT1226:AU1227"/>
    <mergeCell ref="AV1226:AW1227"/>
    <mergeCell ref="AX1226:AY1227"/>
    <mergeCell ref="AZ1226:AZ1227"/>
    <mergeCell ref="F1227:H1227"/>
    <mergeCell ref="X1227:AB1227"/>
    <mergeCell ref="AE1227:AI1227"/>
    <mergeCell ref="AJ1227:AL1227"/>
    <mergeCell ref="AN1227:AO1227"/>
    <mergeCell ref="AP1227:AQ1227"/>
    <mergeCell ref="A1228:A1229"/>
    <mergeCell ref="E1228:E1229"/>
    <mergeCell ref="F1228:H1228"/>
    <mergeCell ref="J1228:J1229"/>
    <mergeCell ref="K1228:L1229"/>
    <mergeCell ref="M1228:N1229"/>
    <mergeCell ref="O1228:P1229"/>
    <mergeCell ref="Q1228:R1229"/>
    <mergeCell ref="S1228:T1229"/>
    <mergeCell ref="U1228:V1229"/>
    <mergeCell ref="W1228:W1229"/>
    <mergeCell ref="X1228:AB1228"/>
    <mergeCell ref="AD1228:AI1228"/>
    <mergeCell ref="AJ1228:AL1228"/>
    <mergeCell ref="AN1228:AO1228"/>
    <mergeCell ref="AP1228:AQ1228"/>
    <mergeCell ref="AR1228:AS1229"/>
    <mergeCell ref="AT1228:AU1229"/>
    <mergeCell ref="AV1228:AW1229"/>
    <mergeCell ref="AX1228:AY1229"/>
    <mergeCell ref="AZ1228:AZ1229"/>
    <mergeCell ref="F1229:H1229"/>
    <mergeCell ref="X1229:AB1229"/>
    <mergeCell ref="AE1229:AI1229"/>
    <mergeCell ref="AJ1229:AL1229"/>
    <mergeCell ref="AN1229:AO1229"/>
    <mergeCell ref="AP1229:AQ1229"/>
    <mergeCell ref="A1230:A1231"/>
    <mergeCell ref="E1230:E1231"/>
    <mergeCell ref="F1230:H1230"/>
    <mergeCell ref="J1230:J1231"/>
    <mergeCell ref="K1230:L1231"/>
    <mergeCell ref="M1230:N1231"/>
    <mergeCell ref="O1230:P1231"/>
    <mergeCell ref="Q1230:R1231"/>
    <mergeCell ref="S1230:T1231"/>
    <mergeCell ref="U1230:V1231"/>
    <mergeCell ref="W1230:W1231"/>
    <mergeCell ref="X1230:AB1230"/>
    <mergeCell ref="AD1230:AI1230"/>
    <mergeCell ref="AJ1230:AL1230"/>
    <mergeCell ref="AN1230:AO1230"/>
    <mergeCell ref="AP1230:AQ1230"/>
    <mergeCell ref="AR1230:AS1231"/>
    <mergeCell ref="AT1230:AU1231"/>
    <mergeCell ref="AV1230:AW1231"/>
    <mergeCell ref="AX1230:AY1231"/>
    <mergeCell ref="AZ1230:AZ1231"/>
    <mergeCell ref="F1231:H1231"/>
    <mergeCell ref="X1231:AB1231"/>
    <mergeCell ref="AE1231:AI1231"/>
    <mergeCell ref="AJ1231:AL1231"/>
    <mergeCell ref="AN1231:AO1231"/>
    <mergeCell ref="AP1231:AQ1231"/>
    <mergeCell ref="A1232:A1233"/>
    <mergeCell ref="E1232:E1233"/>
    <mergeCell ref="F1232:H1232"/>
    <mergeCell ref="J1232:J1233"/>
    <mergeCell ref="K1232:L1233"/>
    <mergeCell ref="M1232:N1233"/>
    <mergeCell ref="O1232:P1233"/>
    <mergeCell ref="Q1232:R1233"/>
    <mergeCell ref="S1232:T1233"/>
    <mergeCell ref="U1232:V1233"/>
    <mergeCell ref="W1232:W1233"/>
    <mergeCell ref="X1232:AB1232"/>
    <mergeCell ref="AD1232:AI1232"/>
    <mergeCell ref="AJ1232:AL1232"/>
    <mergeCell ref="AN1232:AO1232"/>
    <mergeCell ref="AP1232:AQ1232"/>
    <mergeCell ref="AR1232:AS1233"/>
    <mergeCell ref="AT1232:AU1233"/>
    <mergeCell ref="AV1232:AW1233"/>
    <mergeCell ref="AX1232:AY1233"/>
    <mergeCell ref="AZ1232:AZ1233"/>
    <mergeCell ref="F1233:H1233"/>
    <mergeCell ref="X1233:AB1233"/>
    <mergeCell ref="AE1233:AI1233"/>
    <mergeCell ref="AJ1233:AL1233"/>
    <mergeCell ref="AN1233:AO1233"/>
    <mergeCell ref="AP1233:AQ1233"/>
    <mergeCell ref="A1234:A1235"/>
    <mergeCell ref="E1234:E1235"/>
    <mergeCell ref="F1234:H1234"/>
    <mergeCell ref="J1234:J1235"/>
    <mergeCell ref="K1234:L1235"/>
    <mergeCell ref="M1234:N1235"/>
    <mergeCell ref="O1234:P1235"/>
    <mergeCell ref="Q1234:R1235"/>
    <mergeCell ref="S1234:T1235"/>
    <mergeCell ref="U1234:V1235"/>
    <mergeCell ref="W1234:W1235"/>
    <mergeCell ref="X1234:AB1234"/>
    <mergeCell ref="AD1234:AI1234"/>
    <mergeCell ref="AJ1234:AL1234"/>
    <mergeCell ref="AN1234:AO1234"/>
    <mergeCell ref="AP1234:AQ1234"/>
    <mergeCell ref="AR1234:AS1235"/>
    <mergeCell ref="AT1234:AU1235"/>
    <mergeCell ref="AV1234:AW1235"/>
    <mergeCell ref="AX1234:AY1235"/>
    <mergeCell ref="AZ1234:AZ1235"/>
    <mergeCell ref="F1235:H1235"/>
    <mergeCell ref="X1235:AB1235"/>
    <mergeCell ref="AE1235:AI1235"/>
    <mergeCell ref="AJ1235:AL1235"/>
    <mergeCell ref="AN1235:AO1235"/>
    <mergeCell ref="AP1235:AQ1235"/>
    <mergeCell ref="A1236:A1237"/>
    <mergeCell ref="E1236:E1237"/>
    <mergeCell ref="F1236:H1236"/>
    <mergeCell ref="J1236:J1237"/>
    <mergeCell ref="K1236:L1237"/>
    <mergeCell ref="M1236:N1237"/>
    <mergeCell ref="O1236:P1237"/>
    <mergeCell ref="Q1236:R1237"/>
    <mergeCell ref="S1236:T1237"/>
    <mergeCell ref="U1236:V1237"/>
    <mergeCell ref="W1236:W1237"/>
    <mergeCell ref="X1236:AB1236"/>
    <mergeCell ref="AD1236:AI1236"/>
    <mergeCell ref="AJ1236:AL1236"/>
    <mergeCell ref="AN1236:AO1236"/>
    <mergeCell ref="AP1236:AQ1236"/>
    <mergeCell ref="AR1236:AS1237"/>
    <mergeCell ref="AT1236:AU1237"/>
    <mergeCell ref="AV1236:AW1237"/>
    <mergeCell ref="AX1236:AY1237"/>
    <mergeCell ref="AZ1236:AZ1237"/>
    <mergeCell ref="F1237:H1237"/>
    <mergeCell ref="X1237:AB1237"/>
    <mergeCell ref="AE1237:AI1237"/>
    <mergeCell ref="AJ1237:AL1237"/>
    <mergeCell ref="AN1237:AO1237"/>
    <mergeCell ref="AP1237:AQ1237"/>
    <mergeCell ref="A1238:A1239"/>
    <mergeCell ref="E1238:E1239"/>
    <mergeCell ref="F1238:H1238"/>
    <mergeCell ref="J1238:J1239"/>
    <mergeCell ref="K1238:L1239"/>
    <mergeCell ref="M1238:N1239"/>
    <mergeCell ref="O1238:P1239"/>
    <mergeCell ref="Q1238:R1239"/>
    <mergeCell ref="S1238:T1239"/>
    <mergeCell ref="U1238:V1239"/>
    <mergeCell ref="W1238:W1239"/>
    <mergeCell ref="X1238:AB1238"/>
    <mergeCell ref="AD1238:AI1238"/>
    <mergeCell ref="AJ1238:AL1238"/>
    <mergeCell ref="AN1238:AO1238"/>
    <mergeCell ref="AP1238:AQ1238"/>
    <mergeCell ref="AR1238:AS1239"/>
    <mergeCell ref="AT1238:AU1239"/>
    <mergeCell ref="AV1238:AW1239"/>
    <mergeCell ref="AX1238:AY1239"/>
    <mergeCell ref="AZ1238:AZ1239"/>
    <mergeCell ref="F1239:H1239"/>
    <mergeCell ref="X1239:AB1239"/>
    <mergeCell ref="AE1239:AI1239"/>
    <mergeCell ref="AJ1239:AL1239"/>
    <mergeCell ref="AN1239:AO1239"/>
    <mergeCell ref="AP1239:AQ1239"/>
    <mergeCell ref="A1240:A1241"/>
    <mergeCell ref="E1240:E1241"/>
    <mergeCell ref="F1240:H1240"/>
    <mergeCell ref="J1240:J1241"/>
    <mergeCell ref="K1240:L1241"/>
    <mergeCell ref="M1240:N1241"/>
    <mergeCell ref="O1240:P1241"/>
    <mergeCell ref="Q1240:R1241"/>
    <mergeCell ref="S1240:T1241"/>
    <mergeCell ref="U1240:V1241"/>
    <mergeCell ref="W1240:W1241"/>
    <mergeCell ref="X1240:AB1240"/>
    <mergeCell ref="AD1240:AI1240"/>
    <mergeCell ref="AJ1240:AL1240"/>
    <mergeCell ref="AN1240:AO1240"/>
    <mergeCell ref="AP1240:AQ1240"/>
    <mergeCell ref="AR1240:AS1241"/>
    <mergeCell ref="AT1240:AU1241"/>
    <mergeCell ref="AV1240:AW1241"/>
    <mergeCell ref="AX1240:AY1241"/>
    <mergeCell ref="AZ1240:AZ1241"/>
    <mergeCell ref="F1241:H1241"/>
    <mergeCell ref="X1241:AB1241"/>
    <mergeCell ref="AE1241:AI1241"/>
    <mergeCell ref="AJ1241:AL1241"/>
    <mergeCell ref="AN1241:AO1241"/>
    <mergeCell ref="AP1241:AQ1241"/>
    <mergeCell ref="A1242:A1243"/>
    <mergeCell ref="E1242:E1243"/>
    <mergeCell ref="F1242:H1242"/>
    <mergeCell ref="J1242:J1243"/>
    <mergeCell ref="K1242:L1243"/>
    <mergeCell ref="M1242:N1243"/>
    <mergeCell ref="O1242:P1243"/>
    <mergeCell ref="Q1242:R1243"/>
    <mergeCell ref="S1242:T1243"/>
    <mergeCell ref="U1242:V1243"/>
    <mergeCell ref="W1242:W1243"/>
    <mergeCell ref="X1242:AB1242"/>
    <mergeCell ref="AD1242:AI1242"/>
    <mergeCell ref="AJ1242:AL1242"/>
    <mergeCell ref="AN1242:AO1242"/>
    <mergeCell ref="AP1242:AQ1242"/>
    <mergeCell ref="AR1242:AS1243"/>
    <mergeCell ref="AT1242:AU1243"/>
    <mergeCell ref="AV1242:AW1243"/>
    <mergeCell ref="AX1242:AY1243"/>
    <mergeCell ref="AZ1242:AZ1243"/>
    <mergeCell ref="F1243:H1243"/>
    <mergeCell ref="X1243:AB1243"/>
    <mergeCell ref="AE1243:AI1243"/>
    <mergeCell ref="AJ1243:AL1243"/>
    <mergeCell ref="AN1243:AO1243"/>
    <mergeCell ref="AP1243:AQ1243"/>
    <mergeCell ref="A1244:A1245"/>
    <mergeCell ref="E1244:E1245"/>
    <mergeCell ref="F1244:H1244"/>
    <mergeCell ref="J1244:J1245"/>
    <mergeCell ref="K1244:L1245"/>
    <mergeCell ref="M1244:N1245"/>
    <mergeCell ref="O1244:P1245"/>
    <mergeCell ref="Q1244:R1245"/>
    <mergeCell ref="S1244:T1245"/>
    <mergeCell ref="U1244:V1245"/>
    <mergeCell ref="W1244:W1245"/>
    <mergeCell ref="X1244:AB1244"/>
    <mergeCell ref="AD1244:AI1244"/>
    <mergeCell ref="AJ1244:AL1244"/>
    <mergeCell ref="AN1244:AO1244"/>
    <mergeCell ref="AP1244:AQ1244"/>
    <mergeCell ref="AR1244:AS1245"/>
    <mergeCell ref="AT1244:AU1245"/>
    <mergeCell ref="AV1244:AW1245"/>
    <mergeCell ref="AX1244:AY1245"/>
    <mergeCell ref="AZ1244:AZ1245"/>
    <mergeCell ref="F1245:H1245"/>
    <mergeCell ref="X1245:AB1245"/>
    <mergeCell ref="AE1245:AI1245"/>
    <mergeCell ref="AJ1245:AL1245"/>
    <mergeCell ref="AN1245:AO1245"/>
    <mergeCell ref="AP1245:AQ1245"/>
    <mergeCell ref="A1246:A1247"/>
    <mergeCell ref="E1246:E1247"/>
    <mergeCell ref="F1246:H1246"/>
    <mergeCell ref="J1246:J1247"/>
    <mergeCell ref="K1246:L1247"/>
    <mergeCell ref="M1246:N1247"/>
    <mergeCell ref="O1246:P1247"/>
    <mergeCell ref="Q1246:R1247"/>
    <mergeCell ref="S1246:T1247"/>
    <mergeCell ref="U1246:V1247"/>
    <mergeCell ref="W1246:W1247"/>
    <mergeCell ref="X1246:AB1246"/>
    <mergeCell ref="AD1246:AI1246"/>
    <mergeCell ref="AJ1246:AL1246"/>
    <mergeCell ref="AN1246:AO1246"/>
    <mergeCell ref="AP1246:AQ1246"/>
    <mergeCell ref="AR1246:AS1247"/>
    <mergeCell ref="AT1246:AU1247"/>
    <mergeCell ref="AV1246:AW1247"/>
    <mergeCell ref="AX1246:AY1247"/>
    <mergeCell ref="AZ1246:AZ1247"/>
    <mergeCell ref="F1247:H1247"/>
    <mergeCell ref="X1247:AB1247"/>
    <mergeCell ref="AE1247:AI1247"/>
    <mergeCell ref="AJ1247:AL1247"/>
    <mergeCell ref="AN1247:AO1247"/>
    <mergeCell ref="AP1247:AQ1247"/>
    <mergeCell ref="A1248:A1249"/>
    <mergeCell ref="E1248:E1249"/>
    <mergeCell ref="F1248:H1248"/>
    <mergeCell ref="J1248:J1249"/>
    <mergeCell ref="K1248:L1249"/>
    <mergeCell ref="M1248:N1249"/>
    <mergeCell ref="O1248:P1249"/>
    <mergeCell ref="Q1248:R1249"/>
    <mergeCell ref="S1248:T1249"/>
    <mergeCell ref="U1248:V1249"/>
    <mergeCell ref="W1248:W1249"/>
    <mergeCell ref="X1248:AB1248"/>
    <mergeCell ref="AD1248:AI1248"/>
    <mergeCell ref="AJ1248:AL1248"/>
    <mergeCell ref="AN1248:AO1248"/>
    <mergeCell ref="AP1248:AQ1248"/>
    <mergeCell ref="AR1248:AS1249"/>
    <mergeCell ref="AT1248:AU1249"/>
    <mergeCell ref="AV1248:AW1249"/>
    <mergeCell ref="AX1248:AY1249"/>
    <mergeCell ref="AZ1248:AZ1249"/>
    <mergeCell ref="F1249:H1249"/>
    <mergeCell ref="X1249:AB1249"/>
    <mergeCell ref="AE1249:AI1249"/>
    <mergeCell ref="AJ1249:AL1249"/>
    <mergeCell ref="AN1249:AO1249"/>
    <mergeCell ref="AP1249:AQ1249"/>
    <mergeCell ref="A1250:A1251"/>
    <mergeCell ref="E1250:E1251"/>
    <mergeCell ref="F1250:H1250"/>
    <mergeCell ref="J1250:J1251"/>
    <mergeCell ref="K1250:L1251"/>
    <mergeCell ref="M1250:N1251"/>
    <mergeCell ref="O1250:P1251"/>
    <mergeCell ref="Q1250:R1251"/>
    <mergeCell ref="S1250:T1251"/>
    <mergeCell ref="U1250:V1251"/>
    <mergeCell ref="W1250:W1251"/>
    <mergeCell ref="X1250:AB1250"/>
    <mergeCell ref="AD1250:AI1250"/>
    <mergeCell ref="AJ1250:AL1250"/>
    <mergeCell ref="AN1250:AO1250"/>
    <mergeCell ref="AP1250:AQ1250"/>
    <mergeCell ref="AR1250:AS1251"/>
    <mergeCell ref="AT1250:AU1251"/>
    <mergeCell ref="AV1250:AW1251"/>
    <mergeCell ref="AX1250:AY1251"/>
    <mergeCell ref="AZ1250:AZ1251"/>
    <mergeCell ref="F1251:H1251"/>
    <mergeCell ref="X1251:AB1251"/>
    <mergeCell ref="AE1251:AI1251"/>
    <mergeCell ref="AJ1251:AL1251"/>
    <mergeCell ref="AN1251:AO1251"/>
    <mergeCell ref="AP1251:AQ1251"/>
    <mergeCell ref="A1252:A1253"/>
    <mergeCell ref="E1252:E1253"/>
    <mergeCell ref="F1252:H1252"/>
    <mergeCell ref="J1252:J1253"/>
    <mergeCell ref="K1252:L1253"/>
    <mergeCell ref="M1252:N1253"/>
    <mergeCell ref="O1252:P1253"/>
    <mergeCell ref="Q1252:R1253"/>
    <mergeCell ref="S1252:T1253"/>
    <mergeCell ref="U1252:V1253"/>
    <mergeCell ref="W1252:W1253"/>
    <mergeCell ref="X1252:AB1252"/>
    <mergeCell ref="AD1252:AI1252"/>
    <mergeCell ref="AJ1252:AL1252"/>
    <mergeCell ref="AN1252:AO1252"/>
    <mergeCell ref="AP1252:AQ1252"/>
    <mergeCell ref="AR1252:AS1253"/>
    <mergeCell ref="AT1252:AU1253"/>
    <mergeCell ref="AV1252:AW1253"/>
    <mergeCell ref="AX1252:AY1253"/>
    <mergeCell ref="AZ1252:AZ1253"/>
    <mergeCell ref="F1253:H1253"/>
    <mergeCell ref="X1253:AB1253"/>
    <mergeCell ref="AE1253:AI1253"/>
    <mergeCell ref="AJ1253:AL1253"/>
    <mergeCell ref="AN1253:AO1253"/>
    <mergeCell ref="AP1253:AQ1253"/>
    <mergeCell ref="A1254:A1255"/>
    <mergeCell ref="E1254:E1255"/>
    <mergeCell ref="F1254:H1254"/>
    <mergeCell ref="J1254:J1255"/>
    <mergeCell ref="K1254:L1255"/>
    <mergeCell ref="M1254:N1255"/>
    <mergeCell ref="O1254:P1255"/>
    <mergeCell ref="Q1254:R1255"/>
    <mergeCell ref="S1254:T1255"/>
    <mergeCell ref="U1254:V1255"/>
    <mergeCell ref="W1254:W1255"/>
    <mergeCell ref="X1254:AB1254"/>
    <mergeCell ref="AD1254:AI1254"/>
    <mergeCell ref="AJ1254:AL1254"/>
    <mergeCell ref="AN1254:AO1254"/>
    <mergeCell ref="AP1254:AQ1254"/>
    <mergeCell ref="AR1254:AS1255"/>
    <mergeCell ref="AT1254:AU1255"/>
    <mergeCell ref="AV1254:AW1255"/>
    <mergeCell ref="AX1254:AY1255"/>
    <mergeCell ref="AZ1254:AZ1255"/>
    <mergeCell ref="F1255:H1255"/>
    <mergeCell ref="X1255:AB1255"/>
    <mergeCell ref="AE1255:AI1255"/>
    <mergeCell ref="AJ1255:AL1255"/>
    <mergeCell ref="AN1255:AO1255"/>
    <mergeCell ref="AP1255:AQ1255"/>
    <mergeCell ref="A1256:A1257"/>
    <mergeCell ref="E1256:E1257"/>
    <mergeCell ref="F1256:H1256"/>
    <mergeCell ref="J1256:J1257"/>
    <mergeCell ref="K1256:L1257"/>
    <mergeCell ref="M1256:N1257"/>
    <mergeCell ref="O1256:P1257"/>
    <mergeCell ref="Q1256:R1257"/>
    <mergeCell ref="S1256:T1257"/>
    <mergeCell ref="U1256:V1257"/>
    <mergeCell ref="W1256:W1257"/>
    <mergeCell ref="X1256:AB1256"/>
    <mergeCell ref="AD1256:AI1256"/>
    <mergeCell ref="AJ1256:AL1256"/>
    <mergeCell ref="AN1256:AO1256"/>
    <mergeCell ref="AP1256:AQ1256"/>
    <mergeCell ref="AR1256:AS1257"/>
    <mergeCell ref="AT1256:AU1257"/>
    <mergeCell ref="AV1256:AW1257"/>
    <mergeCell ref="AX1256:AY1257"/>
    <mergeCell ref="AZ1256:AZ1257"/>
    <mergeCell ref="F1257:H1257"/>
    <mergeCell ref="X1257:AB1257"/>
    <mergeCell ref="AE1257:AI1257"/>
    <mergeCell ref="AJ1257:AL1257"/>
    <mergeCell ref="AN1257:AO1257"/>
    <mergeCell ref="AP1257:AQ1257"/>
    <mergeCell ref="A1258:A1259"/>
    <mergeCell ref="E1258:E1259"/>
    <mergeCell ref="F1258:H1258"/>
    <mergeCell ref="J1258:J1259"/>
    <mergeCell ref="K1258:L1259"/>
    <mergeCell ref="M1258:N1259"/>
    <mergeCell ref="O1258:P1259"/>
    <mergeCell ref="Q1258:R1259"/>
    <mergeCell ref="S1258:T1259"/>
    <mergeCell ref="U1258:V1259"/>
    <mergeCell ref="W1258:W1259"/>
    <mergeCell ref="X1258:AB1258"/>
    <mergeCell ref="AD1258:AI1258"/>
    <mergeCell ref="AJ1258:AL1258"/>
    <mergeCell ref="AN1258:AO1258"/>
    <mergeCell ref="AP1258:AQ1258"/>
    <mergeCell ref="AR1258:AS1259"/>
    <mergeCell ref="AT1258:AU1259"/>
    <mergeCell ref="AV1258:AW1259"/>
    <mergeCell ref="AX1258:AY1259"/>
    <mergeCell ref="AZ1258:AZ1259"/>
    <mergeCell ref="F1259:H1259"/>
    <mergeCell ref="X1259:AB1259"/>
    <mergeCell ref="AE1259:AI1259"/>
    <mergeCell ref="AJ1259:AL1259"/>
    <mergeCell ref="AN1259:AO1259"/>
    <mergeCell ref="AP1259:AQ1259"/>
    <mergeCell ref="A1260:A1261"/>
    <mergeCell ref="E1260:E1261"/>
    <mergeCell ref="F1260:H1260"/>
    <mergeCell ref="J1260:J1261"/>
    <mergeCell ref="K1260:L1261"/>
    <mergeCell ref="M1260:N1261"/>
    <mergeCell ref="O1260:P1261"/>
    <mergeCell ref="Q1260:R1261"/>
    <mergeCell ref="S1260:T1261"/>
    <mergeCell ref="U1260:V1261"/>
    <mergeCell ref="W1260:W1261"/>
    <mergeCell ref="X1260:AB1260"/>
    <mergeCell ref="AD1260:AI1260"/>
    <mergeCell ref="AJ1260:AL1260"/>
    <mergeCell ref="AN1260:AO1260"/>
    <mergeCell ref="AP1260:AQ1260"/>
    <mergeCell ref="AR1260:AS1261"/>
    <mergeCell ref="AT1260:AU1261"/>
    <mergeCell ref="AV1260:AW1261"/>
    <mergeCell ref="AX1260:AY1261"/>
    <mergeCell ref="AZ1260:AZ1261"/>
    <mergeCell ref="F1261:H1261"/>
    <mergeCell ref="X1261:AB1261"/>
    <mergeCell ref="AE1261:AI1261"/>
    <mergeCell ref="AJ1261:AL1261"/>
    <mergeCell ref="AN1261:AO1261"/>
    <mergeCell ref="AP1261:AQ1261"/>
    <mergeCell ref="A1262:A1263"/>
    <mergeCell ref="E1262:E1263"/>
    <mergeCell ref="F1262:H1262"/>
    <mergeCell ref="J1262:J1263"/>
    <mergeCell ref="K1262:L1263"/>
    <mergeCell ref="M1262:N1263"/>
    <mergeCell ref="O1262:P1263"/>
    <mergeCell ref="Q1262:R1263"/>
    <mergeCell ref="S1262:T1263"/>
    <mergeCell ref="U1262:V1263"/>
    <mergeCell ref="W1262:W1263"/>
    <mergeCell ref="X1262:AB1262"/>
    <mergeCell ref="AD1262:AI1262"/>
    <mergeCell ref="AJ1262:AL1262"/>
    <mergeCell ref="AN1262:AO1262"/>
    <mergeCell ref="AP1262:AQ1262"/>
    <mergeCell ref="AR1262:AS1263"/>
    <mergeCell ref="AT1262:AU1263"/>
    <mergeCell ref="AV1262:AW1263"/>
    <mergeCell ref="AX1262:AY1263"/>
    <mergeCell ref="AZ1262:AZ1263"/>
    <mergeCell ref="F1263:H1263"/>
    <mergeCell ref="X1263:AB1263"/>
    <mergeCell ref="AE1263:AI1263"/>
    <mergeCell ref="AJ1263:AL1263"/>
    <mergeCell ref="AN1263:AO1263"/>
    <mergeCell ref="AP1263:AQ1263"/>
    <mergeCell ref="A1264:A1265"/>
    <mergeCell ref="E1264:E1265"/>
    <mergeCell ref="F1264:H1264"/>
    <mergeCell ref="J1264:J1265"/>
    <mergeCell ref="K1264:L1265"/>
    <mergeCell ref="M1264:N1265"/>
    <mergeCell ref="O1264:P1265"/>
    <mergeCell ref="Q1264:R1265"/>
    <mergeCell ref="S1264:T1265"/>
    <mergeCell ref="U1264:V1265"/>
    <mergeCell ref="W1264:W1265"/>
    <mergeCell ref="X1264:AB1264"/>
    <mergeCell ref="AD1264:AI1264"/>
    <mergeCell ref="AJ1264:AL1264"/>
    <mergeCell ref="AN1264:AO1264"/>
    <mergeCell ref="AP1264:AQ1264"/>
    <mergeCell ref="AR1264:AS1265"/>
    <mergeCell ref="AT1264:AU1265"/>
    <mergeCell ref="AV1264:AW1265"/>
    <mergeCell ref="AX1264:AY1265"/>
    <mergeCell ref="AZ1264:AZ1265"/>
    <mergeCell ref="F1265:H1265"/>
    <mergeCell ref="X1265:AB1265"/>
    <mergeCell ref="AE1265:AI1265"/>
    <mergeCell ref="AJ1265:AL1265"/>
    <mergeCell ref="AN1265:AO1265"/>
    <mergeCell ref="AP1265:AQ1265"/>
    <mergeCell ref="A1266:A1267"/>
    <mergeCell ref="E1266:E1267"/>
    <mergeCell ref="F1266:H1266"/>
    <mergeCell ref="J1266:J1267"/>
    <mergeCell ref="K1266:L1267"/>
    <mergeCell ref="M1266:N1267"/>
    <mergeCell ref="O1266:P1267"/>
    <mergeCell ref="Q1266:R1267"/>
    <mergeCell ref="S1266:T1267"/>
    <mergeCell ref="U1266:V1267"/>
    <mergeCell ref="W1266:W1267"/>
    <mergeCell ref="X1266:AB1266"/>
    <mergeCell ref="AD1266:AI1266"/>
    <mergeCell ref="AJ1266:AL1266"/>
    <mergeCell ref="AN1266:AO1266"/>
    <mergeCell ref="AP1266:AQ1266"/>
    <mergeCell ref="AR1266:AS1267"/>
    <mergeCell ref="AT1266:AU1267"/>
    <mergeCell ref="AV1266:AW1267"/>
    <mergeCell ref="AX1266:AY1267"/>
    <mergeCell ref="AZ1266:AZ1267"/>
    <mergeCell ref="F1267:H1267"/>
    <mergeCell ref="X1267:AB1267"/>
    <mergeCell ref="AE1267:AI1267"/>
    <mergeCell ref="AJ1267:AL1267"/>
    <mergeCell ref="AN1267:AO1267"/>
    <mergeCell ref="AP1267:AQ1267"/>
    <mergeCell ref="A1268:A1269"/>
    <mergeCell ref="E1268:E1269"/>
    <mergeCell ref="F1268:H1268"/>
    <mergeCell ref="J1268:J1269"/>
    <mergeCell ref="K1268:L1269"/>
    <mergeCell ref="M1268:N1269"/>
    <mergeCell ref="O1268:P1269"/>
    <mergeCell ref="Q1268:R1269"/>
    <mergeCell ref="S1268:T1269"/>
    <mergeCell ref="U1268:V1269"/>
    <mergeCell ref="W1268:W1269"/>
    <mergeCell ref="X1268:AB1268"/>
    <mergeCell ref="AD1268:AI1268"/>
    <mergeCell ref="AJ1268:AL1268"/>
    <mergeCell ref="AN1268:AO1268"/>
    <mergeCell ref="AP1268:AQ1268"/>
    <mergeCell ref="AR1268:AS1269"/>
    <mergeCell ref="AT1268:AU1269"/>
    <mergeCell ref="AV1268:AW1269"/>
    <mergeCell ref="AX1268:AY1269"/>
    <mergeCell ref="AZ1268:AZ1269"/>
    <mergeCell ref="F1269:H1269"/>
    <mergeCell ref="X1269:AB1269"/>
    <mergeCell ref="AE1269:AI1269"/>
    <mergeCell ref="AJ1269:AL1269"/>
    <mergeCell ref="AN1269:AO1269"/>
    <mergeCell ref="AP1269:AQ1269"/>
    <mergeCell ref="A1270:A1271"/>
    <mergeCell ref="E1270:E1271"/>
    <mergeCell ref="F1270:H1270"/>
    <mergeCell ref="J1270:J1271"/>
    <mergeCell ref="K1270:L1271"/>
    <mergeCell ref="M1270:N1271"/>
    <mergeCell ref="O1270:P1271"/>
    <mergeCell ref="Q1270:R1271"/>
    <mergeCell ref="S1270:T1271"/>
    <mergeCell ref="U1270:V1271"/>
    <mergeCell ref="W1270:W1271"/>
    <mergeCell ref="X1270:AB1270"/>
    <mergeCell ref="AD1270:AI1270"/>
    <mergeCell ref="AJ1270:AL1270"/>
    <mergeCell ref="AN1270:AO1270"/>
    <mergeCell ref="AP1270:AQ1270"/>
    <mergeCell ref="AR1270:AS1271"/>
    <mergeCell ref="AT1270:AU1271"/>
    <mergeCell ref="AV1270:AW1271"/>
    <mergeCell ref="AX1270:AY1271"/>
    <mergeCell ref="AZ1270:AZ1271"/>
    <mergeCell ref="F1271:H1271"/>
    <mergeCell ref="X1271:AB1271"/>
    <mergeCell ref="AE1271:AI1271"/>
    <mergeCell ref="AJ1271:AL1271"/>
    <mergeCell ref="AN1271:AO1271"/>
    <mergeCell ref="AP1271:AQ1271"/>
    <mergeCell ref="A1272:A1273"/>
    <mergeCell ref="E1272:E1273"/>
    <mergeCell ref="F1272:H1272"/>
    <mergeCell ref="J1272:J1273"/>
    <mergeCell ref="K1272:L1273"/>
    <mergeCell ref="M1272:N1273"/>
    <mergeCell ref="O1272:P1273"/>
    <mergeCell ref="Q1272:R1273"/>
    <mergeCell ref="S1272:T1273"/>
    <mergeCell ref="U1272:V1273"/>
    <mergeCell ref="W1272:W1273"/>
    <mergeCell ref="X1272:AB1272"/>
    <mergeCell ref="AD1272:AI1272"/>
    <mergeCell ref="AJ1272:AL1272"/>
    <mergeCell ref="AN1272:AO1272"/>
    <mergeCell ref="AP1272:AQ1272"/>
    <mergeCell ref="AR1272:AS1273"/>
    <mergeCell ref="AT1272:AU1273"/>
    <mergeCell ref="AV1272:AW1273"/>
    <mergeCell ref="AX1272:AY1273"/>
    <mergeCell ref="AZ1272:AZ1273"/>
    <mergeCell ref="F1273:H1273"/>
    <mergeCell ref="X1273:AB1273"/>
    <mergeCell ref="AE1273:AI1273"/>
    <mergeCell ref="AJ1273:AL1273"/>
    <mergeCell ref="AN1273:AO1273"/>
    <mergeCell ref="AP1273:AQ1273"/>
    <mergeCell ref="A1274:A1275"/>
    <mergeCell ref="E1274:E1275"/>
    <mergeCell ref="F1274:H1274"/>
    <mergeCell ref="J1274:J1275"/>
    <mergeCell ref="K1274:L1275"/>
    <mergeCell ref="M1274:N1275"/>
    <mergeCell ref="O1274:P1275"/>
    <mergeCell ref="Q1274:R1275"/>
    <mergeCell ref="S1274:T1275"/>
    <mergeCell ref="U1274:V1275"/>
    <mergeCell ref="W1274:W1275"/>
    <mergeCell ref="X1274:AB1274"/>
    <mergeCell ref="AD1274:AI1274"/>
    <mergeCell ref="AJ1274:AL1274"/>
    <mergeCell ref="AN1274:AO1274"/>
    <mergeCell ref="AP1274:AQ1274"/>
    <mergeCell ref="AR1274:AS1275"/>
    <mergeCell ref="AT1274:AU1275"/>
    <mergeCell ref="AV1274:AW1275"/>
    <mergeCell ref="AX1274:AY1275"/>
    <mergeCell ref="AZ1274:AZ1275"/>
    <mergeCell ref="F1275:H1275"/>
    <mergeCell ref="X1275:AB1275"/>
    <mergeCell ref="AE1275:AI1275"/>
    <mergeCell ref="AJ1275:AL1275"/>
    <mergeCell ref="AN1275:AO1275"/>
    <mergeCell ref="AP1275:AQ1275"/>
    <mergeCell ref="A1276:A1277"/>
    <mergeCell ref="E1276:E1277"/>
    <mergeCell ref="F1276:H1276"/>
    <mergeCell ref="J1276:J1277"/>
    <mergeCell ref="K1276:L1277"/>
    <mergeCell ref="M1276:N1277"/>
    <mergeCell ref="O1276:P1277"/>
    <mergeCell ref="Q1276:R1277"/>
    <mergeCell ref="S1276:T1277"/>
    <mergeCell ref="U1276:V1277"/>
    <mergeCell ref="W1276:W1277"/>
    <mergeCell ref="X1276:AB1276"/>
    <mergeCell ref="AD1276:AI1276"/>
    <mergeCell ref="AJ1276:AL1276"/>
    <mergeCell ref="AN1276:AO1276"/>
    <mergeCell ref="AP1276:AQ1276"/>
    <mergeCell ref="AR1276:AS1277"/>
    <mergeCell ref="AT1276:AU1277"/>
    <mergeCell ref="AV1276:AW1277"/>
    <mergeCell ref="AX1276:AY1277"/>
    <mergeCell ref="AZ1276:AZ1277"/>
    <mergeCell ref="F1277:H1277"/>
    <mergeCell ref="X1277:AB1277"/>
    <mergeCell ref="AE1277:AI1277"/>
    <mergeCell ref="AJ1277:AL1277"/>
    <mergeCell ref="AN1277:AO1277"/>
    <mergeCell ref="AP1277:AQ1277"/>
    <mergeCell ref="A1278:A1279"/>
    <mergeCell ref="E1278:E1279"/>
    <mergeCell ref="F1278:H1278"/>
    <mergeCell ref="J1278:J1279"/>
    <mergeCell ref="K1278:L1279"/>
    <mergeCell ref="M1278:N1279"/>
    <mergeCell ref="O1278:P1279"/>
    <mergeCell ref="Q1278:R1279"/>
    <mergeCell ref="S1278:T1279"/>
    <mergeCell ref="U1278:V1279"/>
    <mergeCell ref="W1278:W1279"/>
    <mergeCell ref="X1278:AB1278"/>
    <mergeCell ref="AD1278:AI1278"/>
    <mergeCell ref="AJ1278:AL1278"/>
    <mergeCell ref="AN1278:AO1278"/>
    <mergeCell ref="AP1278:AQ1278"/>
    <mergeCell ref="AR1278:AS1279"/>
    <mergeCell ref="AT1278:AU1279"/>
    <mergeCell ref="AV1278:AW1279"/>
    <mergeCell ref="AX1278:AY1279"/>
    <mergeCell ref="AZ1278:AZ1279"/>
    <mergeCell ref="F1279:H1279"/>
    <mergeCell ref="X1279:AB1279"/>
    <mergeCell ref="AE1279:AI1279"/>
    <mergeCell ref="AJ1279:AL1279"/>
    <mergeCell ref="AN1279:AO1279"/>
    <mergeCell ref="AP1279:AQ1279"/>
    <mergeCell ref="A1280:A1281"/>
    <mergeCell ref="E1280:E1281"/>
    <mergeCell ref="F1280:H1280"/>
    <mergeCell ref="J1280:J1281"/>
    <mergeCell ref="K1280:L1281"/>
    <mergeCell ref="M1280:N1281"/>
    <mergeCell ref="O1280:P1281"/>
    <mergeCell ref="Q1280:R1281"/>
    <mergeCell ref="S1280:T1281"/>
    <mergeCell ref="U1280:V1281"/>
    <mergeCell ref="W1280:W1281"/>
    <mergeCell ref="X1280:AB1280"/>
    <mergeCell ref="AD1280:AI1280"/>
    <mergeCell ref="AJ1280:AL1280"/>
    <mergeCell ref="AN1280:AO1280"/>
    <mergeCell ref="AP1280:AQ1280"/>
    <mergeCell ref="AR1280:AS1281"/>
    <mergeCell ref="AT1280:AU1281"/>
    <mergeCell ref="AV1280:AW1281"/>
    <mergeCell ref="AX1280:AY1281"/>
    <mergeCell ref="AZ1280:AZ1281"/>
    <mergeCell ref="F1281:H1281"/>
    <mergeCell ref="X1281:AB1281"/>
    <mergeCell ref="AE1281:AI1281"/>
    <mergeCell ref="AJ1281:AL1281"/>
    <mergeCell ref="AN1281:AO1281"/>
    <mergeCell ref="AP1281:AQ1281"/>
    <mergeCell ref="A1282:A1283"/>
    <mergeCell ref="E1282:E1283"/>
    <mergeCell ref="F1282:H1282"/>
    <mergeCell ref="J1282:J1283"/>
    <mergeCell ref="K1282:L1283"/>
    <mergeCell ref="M1282:N1283"/>
    <mergeCell ref="O1282:P1283"/>
    <mergeCell ref="Q1282:R1283"/>
    <mergeCell ref="S1282:T1283"/>
    <mergeCell ref="U1282:V1283"/>
    <mergeCell ref="W1282:W1283"/>
    <mergeCell ref="X1282:AB1282"/>
    <mergeCell ref="AD1282:AI1282"/>
    <mergeCell ref="AJ1282:AL1282"/>
    <mergeCell ref="AN1282:AO1282"/>
    <mergeCell ref="AP1282:AQ1282"/>
    <mergeCell ref="AR1282:AS1283"/>
    <mergeCell ref="AT1282:AU1283"/>
    <mergeCell ref="AV1282:AW1283"/>
    <mergeCell ref="AX1282:AY1283"/>
    <mergeCell ref="AZ1282:AZ1283"/>
    <mergeCell ref="F1283:H1283"/>
    <mergeCell ref="X1283:AB1283"/>
    <mergeCell ref="AE1283:AI1283"/>
    <mergeCell ref="AJ1283:AL1283"/>
    <mergeCell ref="AN1283:AO1283"/>
    <mergeCell ref="AP1283:AQ1283"/>
    <mergeCell ref="A1284:A1285"/>
    <mergeCell ref="E1284:E1285"/>
    <mergeCell ref="F1284:H1284"/>
    <mergeCell ref="J1284:J1285"/>
    <mergeCell ref="K1284:L1285"/>
    <mergeCell ref="M1284:N1285"/>
    <mergeCell ref="O1284:P1285"/>
    <mergeCell ref="Q1284:R1285"/>
    <mergeCell ref="S1284:T1285"/>
    <mergeCell ref="U1284:V1285"/>
    <mergeCell ref="W1284:W1285"/>
    <mergeCell ref="X1284:AB1284"/>
    <mergeCell ref="AD1284:AI1284"/>
    <mergeCell ref="AJ1284:AL1284"/>
    <mergeCell ref="AN1284:AO1284"/>
    <mergeCell ref="AP1284:AQ1284"/>
    <mergeCell ref="AR1284:AS1285"/>
    <mergeCell ref="AT1284:AU1285"/>
    <mergeCell ref="AV1284:AW1285"/>
    <mergeCell ref="AX1284:AY1285"/>
    <mergeCell ref="AZ1284:AZ1285"/>
    <mergeCell ref="F1285:H1285"/>
    <mergeCell ref="X1285:AB1285"/>
    <mergeCell ref="AE1285:AI1285"/>
    <mergeCell ref="AJ1285:AL1285"/>
    <mergeCell ref="AN1285:AO1285"/>
    <mergeCell ref="AP1285:AQ1285"/>
    <mergeCell ref="A1286:A1287"/>
    <mergeCell ref="E1286:E1287"/>
    <mergeCell ref="F1286:H1286"/>
    <mergeCell ref="J1286:J1287"/>
    <mergeCell ref="K1286:L1287"/>
    <mergeCell ref="M1286:N1287"/>
    <mergeCell ref="O1286:P1287"/>
    <mergeCell ref="Q1286:R1287"/>
    <mergeCell ref="S1286:T1287"/>
    <mergeCell ref="U1286:V1287"/>
    <mergeCell ref="W1286:W1287"/>
    <mergeCell ref="X1286:AB1286"/>
    <mergeCell ref="AD1286:AI1286"/>
    <mergeCell ref="AJ1286:AL1286"/>
    <mergeCell ref="AN1286:AO1286"/>
    <mergeCell ref="AP1286:AQ1286"/>
    <mergeCell ref="AR1286:AS1287"/>
    <mergeCell ref="AT1286:AU1287"/>
    <mergeCell ref="AV1286:AW1287"/>
    <mergeCell ref="AX1286:AY1287"/>
    <mergeCell ref="AZ1286:AZ1287"/>
    <mergeCell ref="F1287:H1287"/>
    <mergeCell ref="X1287:AB1287"/>
    <mergeCell ref="AE1287:AI1287"/>
    <mergeCell ref="AJ1287:AL1287"/>
    <mergeCell ref="AN1287:AO1287"/>
    <mergeCell ref="AP1287:AQ1287"/>
    <mergeCell ref="A1288:A1289"/>
    <mergeCell ref="E1288:E1289"/>
    <mergeCell ref="F1288:H1288"/>
    <mergeCell ref="J1288:J1289"/>
    <mergeCell ref="K1288:L1289"/>
    <mergeCell ref="M1288:N1289"/>
    <mergeCell ref="O1288:P1289"/>
    <mergeCell ref="Q1288:R1289"/>
    <mergeCell ref="S1288:T1289"/>
    <mergeCell ref="U1288:V1289"/>
    <mergeCell ref="W1288:W1289"/>
    <mergeCell ref="X1288:AB1288"/>
    <mergeCell ref="AD1288:AI1288"/>
    <mergeCell ref="AJ1288:AL1288"/>
    <mergeCell ref="AN1288:AO1288"/>
    <mergeCell ref="AP1288:AQ1288"/>
    <mergeCell ref="AR1288:AS1289"/>
    <mergeCell ref="AT1288:AU1289"/>
    <mergeCell ref="AV1288:AW1289"/>
    <mergeCell ref="AX1288:AY1289"/>
    <mergeCell ref="AZ1288:AZ1289"/>
    <mergeCell ref="F1289:H1289"/>
    <mergeCell ref="X1289:AB1289"/>
    <mergeCell ref="AE1289:AI1289"/>
    <mergeCell ref="AJ1289:AL1289"/>
    <mergeCell ref="AN1289:AO1289"/>
    <mergeCell ref="AP1289:AQ1289"/>
    <mergeCell ref="A1290:A1291"/>
    <mergeCell ref="E1290:E1291"/>
    <mergeCell ref="F1290:H1290"/>
    <mergeCell ref="J1290:J1291"/>
    <mergeCell ref="K1290:L1291"/>
    <mergeCell ref="M1290:N1291"/>
    <mergeCell ref="O1290:P1291"/>
    <mergeCell ref="Q1290:R1291"/>
    <mergeCell ref="S1290:T1291"/>
    <mergeCell ref="U1290:V1291"/>
    <mergeCell ref="W1290:W1291"/>
    <mergeCell ref="X1290:AB1290"/>
    <mergeCell ref="AD1290:AI1290"/>
    <mergeCell ref="AJ1290:AL1290"/>
    <mergeCell ref="AN1290:AO1290"/>
    <mergeCell ref="AP1290:AQ1290"/>
    <mergeCell ref="AR1290:AS1291"/>
    <mergeCell ref="AT1290:AU1291"/>
    <mergeCell ref="AV1290:AW1291"/>
    <mergeCell ref="AX1290:AY1291"/>
    <mergeCell ref="AZ1290:AZ1291"/>
    <mergeCell ref="F1291:H1291"/>
    <mergeCell ref="X1291:AB1291"/>
    <mergeCell ref="AE1291:AI1291"/>
    <mergeCell ref="AJ1291:AL1291"/>
    <mergeCell ref="AN1291:AO1291"/>
    <mergeCell ref="AP1291:AQ1291"/>
    <mergeCell ref="A1292:A1293"/>
    <mergeCell ref="E1292:E1293"/>
    <mergeCell ref="F1292:H1292"/>
    <mergeCell ref="J1292:J1293"/>
    <mergeCell ref="K1292:L1293"/>
    <mergeCell ref="M1292:N1293"/>
    <mergeCell ref="O1292:P1293"/>
    <mergeCell ref="Q1292:R1293"/>
    <mergeCell ref="S1292:T1293"/>
    <mergeCell ref="U1292:V1293"/>
    <mergeCell ref="W1292:W1293"/>
    <mergeCell ref="X1292:AB1292"/>
    <mergeCell ref="AD1292:AI1292"/>
    <mergeCell ref="AJ1292:AL1292"/>
    <mergeCell ref="AN1292:AO1292"/>
    <mergeCell ref="AP1292:AQ1292"/>
    <mergeCell ref="AR1292:AS1293"/>
    <mergeCell ref="AT1292:AU1293"/>
    <mergeCell ref="AV1292:AW1293"/>
    <mergeCell ref="AX1292:AY1293"/>
    <mergeCell ref="AZ1292:AZ1293"/>
    <mergeCell ref="F1293:H1293"/>
    <mergeCell ref="X1293:AB1293"/>
    <mergeCell ref="AE1293:AI1293"/>
    <mergeCell ref="AJ1293:AL1293"/>
    <mergeCell ref="AN1293:AO1293"/>
    <mergeCell ref="AP1293:AQ1293"/>
    <mergeCell ref="A1294:A1295"/>
    <mergeCell ref="E1294:E1295"/>
    <mergeCell ref="F1294:H1294"/>
    <mergeCell ref="J1294:J1295"/>
    <mergeCell ref="K1294:L1295"/>
    <mergeCell ref="M1294:N1295"/>
    <mergeCell ref="O1294:P1295"/>
    <mergeCell ref="Q1294:R1295"/>
    <mergeCell ref="S1294:T1295"/>
    <mergeCell ref="U1294:V1295"/>
    <mergeCell ref="W1294:W1295"/>
    <mergeCell ref="X1294:AB1294"/>
    <mergeCell ref="AD1294:AI1294"/>
    <mergeCell ref="AJ1294:AL1294"/>
    <mergeCell ref="AN1294:AO1294"/>
    <mergeCell ref="AP1294:AQ1294"/>
    <mergeCell ref="AR1294:AS1295"/>
    <mergeCell ref="AT1294:AU1295"/>
    <mergeCell ref="AV1294:AW1295"/>
    <mergeCell ref="AX1294:AY1295"/>
    <mergeCell ref="AZ1294:AZ1295"/>
    <mergeCell ref="F1295:H1295"/>
    <mergeCell ref="X1295:AB1295"/>
    <mergeCell ref="AE1295:AI1295"/>
    <mergeCell ref="AJ1295:AL1295"/>
    <mergeCell ref="AN1295:AO1295"/>
    <mergeCell ref="AP1295:AQ1295"/>
    <mergeCell ref="A1296:A1297"/>
    <mergeCell ref="E1296:E1297"/>
    <mergeCell ref="F1296:H1296"/>
    <mergeCell ref="J1296:J1297"/>
    <mergeCell ref="K1296:L1297"/>
    <mergeCell ref="M1296:N1297"/>
    <mergeCell ref="O1296:P1297"/>
    <mergeCell ref="Q1296:R1297"/>
    <mergeCell ref="S1296:T1297"/>
    <mergeCell ref="U1296:V1297"/>
    <mergeCell ref="W1296:W1297"/>
    <mergeCell ref="X1296:AB1296"/>
    <mergeCell ref="AD1296:AI1296"/>
    <mergeCell ref="AJ1296:AL1296"/>
    <mergeCell ref="AN1296:AO1296"/>
    <mergeCell ref="AP1296:AQ1296"/>
    <mergeCell ref="AR1296:AS1297"/>
    <mergeCell ref="AT1296:AU1297"/>
    <mergeCell ref="AV1296:AW1297"/>
    <mergeCell ref="AX1296:AY1297"/>
    <mergeCell ref="AZ1296:AZ1297"/>
    <mergeCell ref="F1297:H1297"/>
    <mergeCell ref="X1297:AB1297"/>
    <mergeCell ref="AE1297:AI1297"/>
    <mergeCell ref="AJ1297:AL1297"/>
    <mergeCell ref="AN1297:AO1297"/>
    <mergeCell ref="AP1297:AQ1297"/>
    <mergeCell ref="A1298:A1299"/>
    <mergeCell ref="E1298:E1299"/>
    <mergeCell ref="F1298:H1298"/>
    <mergeCell ref="J1298:J1299"/>
    <mergeCell ref="K1298:L1299"/>
    <mergeCell ref="M1298:N1299"/>
    <mergeCell ref="O1298:P1299"/>
    <mergeCell ref="Q1298:R1299"/>
    <mergeCell ref="S1298:T1299"/>
    <mergeCell ref="U1298:V1299"/>
    <mergeCell ref="W1298:W1299"/>
    <mergeCell ref="X1298:AB1298"/>
    <mergeCell ref="AD1298:AI1298"/>
    <mergeCell ref="AJ1298:AL1298"/>
    <mergeCell ref="AN1298:AO1298"/>
    <mergeCell ref="AP1298:AQ1298"/>
    <mergeCell ref="AR1298:AS1299"/>
    <mergeCell ref="AT1298:AU1299"/>
    <mergeCell ref="AV1298:AW1299"/>
    <mergeCell ref="AX1298:AY1299"/>
    <mergeCell ref="AZ1298:AZ1299"/>
    <mergeCell ref="F1299:H1299"/>
    <mergeCell ref="X1299:AB1299"/>
    <mergeCell ref="AE1299:AI1299"/>
    <mergeCell ref="AJ1299:AL1299"/>
    <mergeCell ref="AN1299:AO1299"/>
    <mergeCell ref="AP1299:AQ1299"/>
    <mergeCell ref="A1300:A1301"/>
    <mergeCell ref="E1300:E1301"/>
    <mergeCell ref="F1300:H1300"/>
    <mergeCell ref="J1300:J1301"/>
    <mergeCell ref="K1300:L1301"/>
    <mergeCell ref="M1300:N1301"/>
    <mergeCell ref="O1300:P1301"/>
    <mergeCell ref="Q1300:R1301"/>
    <mergeCell ref="S1300:T1301"/>
    <mergeCell ref="U1300:V1301"/>
    <mergeCell ref="W1300:W1301"/>
    <mergeCell ref="X1300:AB1300"/>
    <mergeCell ref="AD1300:AI1300"/>
    <mergeCell ref="AJ1300:AL1300"/>
    <mergeCell ref="AN1300:AO1300"/>
    <mergeCell ref="AP1300:AQ1300"/>
    <mergeCell ref="AR1300:AS1301"/>
    <mergeCell ref="AT1300:AU1301"/>
    <mergeCell ref="AV1300:AW1301"/>
    <mergeCell ref="AX1300:AY1301"/>
    <mergeCell ref="AZ1300:AZ1301"/>
    <mergeCell ref="F1301:H1301"/>
    <mergeCell ref="X1301:AB1301"/>
    <mergeCell ref="AE1301:AI1301"/>
    <mergeCell ref="AJ1301:AL1301"/>
    <mergeCell ref="AN1301:AO1301"/>
    <mergeCell ref="AP1301:AQ1301"/>
    <mergeCell ref="A1302:A1303"/>
    <mergeCell ref="E1302:E1303"/>
    <mergeCell ref="F1302:H1302"/>
    <mergeCell ref="J1302:J1303"/>
    <mergeCell ref="K1302:L1303"/>
    <mergeCell ref="M1302:N1303"/>
    <mergeCell ref="O1302:P1303"/>
    <mergeCell ref="Q1302:R1303"/>
    <mergeCell ref="S1302:T1303"/>
    <mergeCell ref="U1302:V1303"/>
    <mergeCell ref="W1302:W1303"/>
    <mergeCell ref="X1302:AB1302"/>
    <mergeCell ref="AD1302:AI1302"/>
    <mergeCell ref="AJ1302:AL1302"/>
    <mergeCell ref="AN1302:AO1302"/>
    <mergeCell ref="AP1302:AQ1302"/>
    <mergeCell ref="AR1302:AS1303"/>
    <mergeCell ref="AT1302:AU1303"/>
    <mergeCell ref="AV1302:AW1303"/>
    <mergeCell ref="AX1302:AY1303"/>
    <mergeCell ref="AZ1302:AZ1303"/>
    <mergeCell ref="F1303:H1303"/>
    <mergeCell ref="X1303:AB1303"/>
    <mergeCell ref="AE1303:AI1303"/>
    <mergeCell ref="AJ1303:AL1303"/>
    <mergeCell ref="AN1303:AO1303"/>
    <mergeCell ref="AP1303:AQ1303"/>
    <mergeCell ref="A1304:A1305"/>
    <mergeCell ref="E1304:E1305"/>
    <mergeCell ref="F1304:H1304"/>
    <mergeCell ref="J1304:J1305"/>
    <mergeCell ref="K1304:L1305"/>
    <mergeCell ref="M1304:N1305"/>
    <mergeCell ref="O1304:P1305"/>
    <mergeCell ref="Q1304:R1305"/>
    <mergeCell ref="S1304:T1305"/>
    <mergeCell ref="U1304:V1305"/>
    <mergeCell ref="W1304:W1305"/>
    <mergeCell ref="X1304:AB1304"/>
    <mergeCell ref="AD1304:AI1304"/>
    <mergeCell ref="AJ1304:AL1304"/>
    <mergeCell ref="AN1304:AO1304"/>
    <mergeCell ref="AP1304:AQ1304"/>
    <mergeCell ref="AR1304:AS1305"/>
    <mergeCell ref="AT1304:AU1305"/>
    <mergeCell ref="AV1304:AW1305"/>
    <mergeCell ref="AX1304:AY1305"/>
    <mergeCell ref="AZ1304:AZ1305"/>
    <mergeCell ref="F1305:H1305"/>
    <mergeCell ref="X1305:AB1305"/>
    <mergeCell ref="AE1305:AI1305"/>
    <mergeCell ref="AJ1305:AL1305"/>
    <mergeCell ref="AN1305:AO1305"/>
    <mergeCell ref="AP1305:AQ1305"/>
    <mergeCell ref="A1306:A1307"/>
    <mergeCell ref="E1306:E1307"/>
    <mergeCell ref="F1306:H1306"/>
    <mergeCell ref="J1306:J1307"/>
    <mergeCell ref="K1306:L1307"/>
    <mergeCell ref="M1306:N1307"/>
    <mergeCell ref="O1306:P1307"/>
    <mergeCell ref="Q1306:R1307"/>
    <mergeCell ref="S1306:T1307"/>
    <mergeCell ref="U1306:V1307"/>
    <mergeCell ref="W1306:W1307"/>
    <mergeCell ref="X1306:AB1306"/>
    <mergeCell ref="AD1306:AI1306"/>
    <mergeCell ref="AJ1306:AL1306"/>
    <mergeCell ref="AN1306:AO1306"/>
    <mergeCell ref="AP1306:AQ1306"/>
    <mergeCell ref="AR1306:AS1307"/>
    <mergeCell ref="AT1306:AU1307"/>
    <mergeCell ref="AV1306:AW1307"/>
    <mergeCell ref="AX1306:AY1307"/>
    <mergeCell ref="AZ1306:AZ1307"/>
    <mergeCell ref="F1307:H1307"/>
    <mergeCell ref="X1307:AB1307"/>
    <mergeCell ref="AE1307:AI1307"/>
    <mergeCell ref="AJ1307:AL1307"/>
    <mergeCell ref="AN1307:AO1307"/>
    <mergeCell ref="AP1307:AQ1307"/>
    <mergeCell ref="A1308:A1309"/>
    <mergeCell ref="E1308:E1309"/>
    <mergeCell ref="F1308:H1308"/>
    <mergeCell ref="J1308:J1309"/>
    <mergeCell ref="K1308:L1309"/>
    <mergeCell ref="M1308:N1309"/>
    <mergeCell ref="O1308:P1309"/>
    <mergeCell ref="Q1308:R1309"/>
    <mergeCell ref="S1308:T1309"/>
    <mergeCell ref="U1308:V1309"/>
    <mergeCell ref="W1308:W1309"/>
    <mergeCell ref="X1308:AB1308"/>
    <mergeCell ref="AD1308:AI1308"/>
    <mergeCell ref="AJ1308:AL1308"/>
    <mergeCell ref="AN1308:AO1308"/>
    <mergeCell ref="AP1308:AQ1308"/>
    <mergeCell ref="AR1308:AS1309"/>
    <mergeCell ref="AT1308:AU1309"/>
    <mergeCell ref="AV1308:AW1309"/>
    <mergeCell ref="AX1308:AY1309"/>
    <mergeCell ref="AZ1308:AZ1309"/>
    <mergeCell ref="F1309:H1309"/>
    <mergeCell ref="X1309:AB1309"/>
    <mergeCell ref="AE1309:AI1309"/>
    <mergeCell ref="AJ1309:AL1309"/>
    <mergeCell ref="AN1309:AO1309"/>
    <mergeCell ref="AP1309:AQ1309"/>
    <mergeCell ref="A1310:A1311"/>
    <mergeCell ref="E1310:E1311"/>
    <mergeCell ref="F1310:H1310"/>
    <mergeCell ref="J1310:J1311"/>
    <mergeCell ref="K1310:L1311"/>
    <mergeCell ref="M1310:N1311"/>
    <mergeCell ref="O1310:P1311"/>
    <mergeCell ref="Q1310:R1311"/>
    <mergeCell ref="S1310:T1311"/>
    <mergeCell ref="U1310:V1311"/>
    <mergeCell ref="W1310:W1311"/>
    <mergeCell ref="X1310:AB1310"/>
    <mergeCell ref="AD1310:AI1310"/>
    <mergeCell ref="AJ1310:AL1310"/>
    <mergeCell ref="AN1310:AO1310"/>
    <mergeCell ref="AP1310:AQ1310"/>
    <mergeCell ref="AR1310:AS1311"/>
    <mergeCell ref="AT1310:AU1311"/>
    <mergeCell ref="AV1310:AW1311"/>
    <mergeCell ref="AX1310:AY1311"/>
    <mergeCell ref="AZ1310:AZ1311"/>
    <mergeCell ref="F1311:H1311"/>
    <mergeCell ref="X1311:AB1311"/>
    <mergeCell ref="AE1311:AI1311"/>
    <mergeCell ref="AJ1311:AL1311"/>
    <mergeCell ref="AN1311:AO1311"/>
    <mergeCell ref="AP1311:AQ1311"/>
    <mergeCell ref="A1312:A1313"/>
    <mergeCell ref="E1312:E1313"/>
    <mergeCell ref="F1312:H1312"/>
    <mergeCell ref="J1312:J1313"/>
    <mergeCell ref="K1312:L1313"/>
    <mergeCell ref="M1312:N1313"/>
    <mergeCell ref="O1312:P1313"/>
    <mergeCell ref="Q1312:R1313"/>
    <mergeCell ref="S1312:T1313"/>
    <mergeCell ref="U1312:V1313"/>
    <mergeCell ref="W1312:W1313"/>
    <mergeCell ref="X1312:AB1312"/>
    <mergeCell ref="AD1312:AI1312"/>
    <mergeCell ref="AJ1312:AL1312"/>
    <mergeCell ref="AN1312:AO1312"/>
    <mergeCell ref="AP1312:AQ1312"/>
    <mergeCell ref="AR1312:AS1313"/>
    <mergeCell ref="AT1312:AU1313"/>
    <mergeCell ref="AV1312:AW1313"/>
    <mergeCell ref="AX1312:AY1313"/>
    <mergeCell ref="AZ1312:AZ1313"/>
    <mergeCell ref="F1313:H1313"/>
    <mergeCell ref="X1313:AB1313"/>
    <mergeCell ref="AE1313:AI1313"/>
    <mergeCell ref="AJ1313:AL1313"/>
    <mergeCell ref="AN1313:AO1313"/>
    <mergeCell ref="AP1313:AQ1313"/>
    <mergeCell ref="A1314:A1315"/>
    <mergeCell ref="E1314:E1315"/>
    <mergeCell ref="F1314:H1314"/>
    <mergeCell ref="J1314:J1315"/>
    <mergeCell ref="K1314:L1315"/>
    <mergeCell ref="M1314:N1315"/>
    <mergeCell ref="O1314:P1315"/>
    <mergeCell ref="Q1314:R1315"/>
    <mergeCell ref="S1314:T1315"/>
    <mergeCell ref="U1314:V1315"/>
    <mergeCell ref="W1314:W1315"/>
    <mergeCell ref="X1314:AB1314"/>
    <mergeCell ref="AD1314:AI1314"/>
    <mergeCell ref="AJ1314:AL1314"/>
    <mergeCell ref="AN1314:AO1314"/>
    <mergeCell ref="AP1314:AQ1314"/>
    <mergeCell ref="AR1314:AS1315"/>
    <mergeCell ref="AT1314:AU1315"/>
    <mergeCell ref="AV1314:AW1315"/>
    <mergeCell ref="AX1314:AY1315"/>
    <mergeCell ref="AZ1314:AZ1315"/>
    <mergeCell ref="F1315:H1315"/>
    <mergeCell ref="X1315:AB1315"/>
    <mergeCell ref="AE1315:AI1315"/>
    <mergeCell ref="AJ1315:AL1315"/>
    <mergeCell ref="AN1315:AO1315"/>
    <mergeCell ref="AP1315:AQ1315"/>
    <mergeCell ref="A1316:A1317"/>
    <mergeCell ref="E1316:E1317"/>
    <mergeCell ref="F1316:H1316"/>
    <mergeCell ref="J1316:J1317"/>
    <mergeCell ref="K1316:L1317"/>
    <mergeCell ref="M1316:N1317"/>
    <mergeCell ref="O1316:P1317"/>
    <mergeCell ref="Q1316:R1317"/>
    <mergeCell ref="S1316:T1317"/>
    <mergeCell ref="U1316:V1317"/>
    <mergeCell ref="W1316:W1317"/>
    <mergeCell ref="X1316:AB1316"/>
    <mergeCell ref="AD1316:AI1316"/>
    <mergeCell ref="AJ1316:AL1316"/>
    <mergeCell ref="AN1316:AO1316"/>
    <mergeCell ref="AP1316:AQ1316"/>
    <mergeCell ref="AR1316:AS1317"/>
    <mergeCell ref="AT1316:AU1317"/>
    <mergeCell ref="AV1316:AW1317"/>
    <mergeCell ref="AX1316:AY1317"/>
    <mergeCell ref="AZ1316:AZ1317"/>
    <mergeCell ref="F1317:H1317"/>
    <mergeCell ref="X1317:AB1317"/>
    <mergeCell ref="AE1317:AI1317"/>
    <mergeCell ref="AJ1317:AL1317"/>
    <mergeCell ref="AN1317:AO1317"/>
    <mergeCell ref="AP1317:AQ1317"/>
    <mergeCell ref="A1318:A1319"/>
    <mergeCell ref="E1318:E1319"/>
    <mergeCell ref="F1318:H1318"/>
    <mergeCell ref="J1318:J1319"/>
    <mergeCell ref="K1318:L1319"/>
    <mergeCell ref="M1318:N1319"/>
    <mergeCell ref="O1318:P1319"/>
    <mergeCell ref="Q1318:R1319"/>
    <mergeCell ref="S1318:T1319"/>
    <mergeCell ref="U1318:V1319"/>
    <mergeCell ref="W1318:W1319"/>
    <mergeCell ref="X1318:AB1318"/>
    <mergeCell ref="AD1318:AI1318"/>
    <mergeCell ref="AJ1318:AL1318"/>
    <mergeCell ref="AN1318:AO1318"/>
    <mergeCell ref="AP1318:AQ1318"/>
    <mergeCell ref="AR1318:AS1319"/>
    <mergeCell ref="AT1318:AU1319"/>
    <mergeCell ref="AV1318:AW1319"/>
    <mergeCell ref="AX1318:AY1319"/>
    <mergeCell ref="AZ1318:AZ1319"/>
    <mergeCell ref="F1319:H1319"/>
    <mergeCell ref="X1319:AB1319"/>
    <mergeCell ref="AE1319:AI1319"/>
    <mergeCell ref="AJ1319:AL1319"/>
    <mergeCell ref="AN1319:AO1319"/>
    <mergeCell ref="AP1319:AQ1319"/>
    <mergeCell ref="A1320:A1321"/>
    <mergeCell ref="E1320:E1321"/>
    <mergeCell ref="F1320:H1320"/>
    <mergeCell ref="J1320:J1321"/>
    <mergeCell ref="K1320:L1321"/>
    <mergeCell ref="M1320:N1321"/>
    <mergeCell ref="O1320:P1321"/>
    <mergeCell ref="Q1320:R1321"/>
    <mergeCell ref="S1320:T1321"/>
    <mergeCell ref="U1320:V1321"/>
    <mergeCell ref="W1320:W1321"/>
    <mergeCell ref="X1320:AB1320"/>
    <mergeCell ref="AD1320:AI1320"/>
    <mergeCell ref="AJ1320:AL1320"/>
    <mergeCell ref="AN1320:AO1320"/>
    <mergeCell ref="AP1320:AQ1320"/>
    <mergeCell ref="AR1320:AS1321"/>
    <mergeCell ref="AT1320:AU1321"/>
    <mergeCell ref="AV1320:AW1321"/>
    <mergeCell ref="AX1320:AY1321"/>
    <mergeCell ref="AZ1320:AZ1321"/>
    <mergeCell ref="F1321:H1321"/>
    <mergeCell ref="X1321:AB1321"/>
    <mergeCell ref="AE1321:AI1321"/>
    <mergeCell ref="AJ1321:AL1321"/>
    <mergeCell ref="AN1321:AO1321"/>
    <mergeCell ref="AP1321:AQ1321"/>
    <mergeCell ref="A1322:A1323"/>
    <mergeCell ref="E1322:E1323"/>
    <mergeCell ref="F1322:H1322"/>
    <mergeCell ref="J1322:J1323"/>
    <mergeCell ref="K1322:L1323"/>
    <mergeCell ref="M1322:N1323"/>
    <mergeCell ref="O1322:P1323"/>
    <mergeCell ref="Q1322:R1323"/>
    <mergeCell ref="S1322:T1323"/>
    <mergeCell ref="U1322:V1323"/>
    <mergeCell ref="W1322:W1323"/>
    <mergeCell ref="X1322:AB1322"/>
    <mergeCell ref="AD1322:AI1322"/>
    <mergeCell ref="AJ1322:AL1322"/>
    <mergeCell ref="AN1322:AO1322"/>
    <mergeCell ref="AP1322:AQ1322"/>
    <mergeCell ref="AR1322:AS1323"/>
    <mergeCell ref="AT1322:AU1323"/>
    <mergeCell ref="AV1322:AW1323"/>
    <mergeCell ref="AX1322:AY1323"/>
    <mergeCell ref="AZ1322:AZ1323"/>
    <mergeCell ref="F1323:H1323"/>
    <mergeCell ref="X1323:AB1323"/>
    <mergeCell ref="AE1323:AI1323"/>
    <mergeCell ref="AJ1323:AL1323"/>
    <mergeCell ref="AN1323:AO1323"/>
    <mergeCell ref="AP1323:AQ1323"/>
    <mergeCell ref="A1324:A1325"/>
    <mergeCell ref="E1324:E1325"/>
    <mergeCell ref="F1324:H1324"/>
    <mergeCell ref="J1324:J1325"/>
    <mergeCell ref="K1324:L1325"/>
    <mergeCell ref="M1324:N1325"/>
    <mergeCell ref="O1324:P1325"/>
    <mergeCell ref="Q1324:R1325"/>
    <mergeCell ref="S1324:T1325"/>
    <mergeCell ref="U1324:V1325"/>
    <mergeCell ref="W1324:W1325"/>
    <mergeCell ref="X1324:AB1324"/>
    <mergeCell ref="AD1324:AI1324"/>
    <mergeCell ref="AJ1324:AL1324"/>
    <mergeCell ref="AN1324:AO1324"/>
    <mergeCell ref="AP1324:AQ1324"/>
    <mergeCell ref="AR1324:AS1325"/>
    <mergeCell ref="AT1324:AU1325"/>
    <mergeCell ref="AV1324:AW1325"/>
    <mergeCell ref="AX1324:AY1325"/>
    <mergeCell ref="AZ1324:AZ1325"/>
    <mergeCell ref="F1325:H1325"/>
    <mergeCell ref="X1325:AB1325"/>
    <mergeCell ref="AE1325:AI1325"/>
    <mergeCell ref="AJ1325:AL1325"/>
    <mergeCell ref="AN1325:AO1325"/>
    <mergeCell ref="AP1325:AQ1325"/>
    <mergeCell ref="A1326:A1327"/>
    <mergeCell ref="E1326:E1327"/>
    <mergeCell ref="F1326:H1326"/>
    <mergeCell ref="J1326:J1327"/>
    <mergeCell ref="K1326:L1327"/>
    <mergeCell ref="M1326:N1327"/>
    <mergeCell ref="O1326:P1327"/>
    <mergeCell ref="Q1326:R1327"/>
    <mergeCell ref="S1326:T1327"/>
    <mergeCell ref="U1326:V1327"/>
    <mergeCell ref="W1326:W1327"/>
    <mergeCell ref="X1326:AB1326"/>
    <mergeCell ref="AD1326:AI1326"/>
    <mergeCell ref="AJ1326:AL1326"/>
    <mergeCell ref="AN1326:AO1326"/>
    <mergeCell ref="AP1326:AQ1326"/>
    <mergeCell ref="AR1326:AS1327"/>
    <mergeCell ref="AT1326:AU1327"/>
    <mergeCell ref="AV1326:AW1327"/>
    <mergeCell ref="AX1326:AY1327"/>
    <mergeCell ref="AZ1326:AZ1327"/>
    <mergeCell ref="F1327:H1327"/>
    <mergeCell ref="X1327:AB1327"/>
    <mergeCell ref="AE1327:AI1327"/>
    <mergeCell ref="AJ1327:AL1327"/>
    <mergeCell ref="AN1327:AO1327"/>
    <mergeCell ref="AP1327:AQ1327"/>
    <mergeCell ref="A1328:A1329"/>
    <mergeCell ref="E1328:E1329"/>
    <mergeCell ref="F1328:H1328"/>
    <mergeCell ref="J1328:J1329"/>
    <mergeCell ref="K1328:L1329"/>
    <mergeCell ref="M1328:N1329"/>
    <mergeCell ref="O1328:P1329"/>
    <mergeCell ref="Q1328:R1329"/>
    <mergeCell ref="S1328:T1329"/>
    <mergeCell ref="U1328:V1329"/>
    <mergeCell ref="W1328:W1329"/>
    <mergeCell ref="X1328:AB1328"/>
    <mergeCell ref="AD1328:AI1328"/>
    <mergeCell ref="AJ1328:AL1328"/>
    <mergeCell ref="AN1328:AO1328"/>
    <mergeCell ref="AP1328:AQ1328"/>
    <mergeCell ref="AR1328:AS1329"/>
    <mergeCell ref="AT1328:AU1329"/>
    <mergeCell ref="AV1328:AW1329"/>
    <mergeCell ref="AX1328:AY1329"/>
    <mergeCell ref="AZ1328:AZ1329"/>
    <mergeCell ref="F1329:H1329"/>
    <mergeCell ref="X1329:AB1329"/>
    <mergeCell ref="AE1329:AI1329"/>
    <mergeCell ref="AJ1329:AL1329"/>
    <mergeCell ref="AN1329:AO1329"/>
    <mergeCell ref="AP1329:AQ1329"/>
    <mergeCell ref="A1330:A1331"/>
    <mergeCell ref="E1330:E1331"/>
    <mergeCell ref="F1330:H1330"/>
    <mergeCell ref="J1330:J1331"/>
    <mergeCell ref="K1330:L1331"/>
    <mergeCell ref="M1330:N1331"/>
    <mergeCell ref="O1330:P1331"/>
    <mergeCell ref="Q1330:R1331"/>
    <mergeCell ref="S1330:T1331"/>
    <mergeCell ref="U1330:V1331"/>
    <mergeCell ref="W1330:W1331"/>
    <mergeCell ref="X1330:AB1330"/>
    <mergeCell ref="AD1330:AI1330"/>
    <mergeCell ref="AJ1330:AL1330"/>
    <mergeCell ref="AN1330:AO1330"/>
    <mergeCell ref="AP1330:AQ1330"/>
    <mergeCell ref="AR1330:AS1331"/>
    <mergeCell ref="AT1330:AU1331"/>
    <mergeCell ref="AV1330:AW1331"/>
    <mergeCell ref="AX1330:AY1331"/>
    <mergeCell ref="AZ1330:AZ1331"/>
    <mergeCell ref="F1331:H1331"/>
    <mergeCell ref="X1331:AB1331"/>
    <mergeCell ref="AE1331:AI1331"/>
    <mergeCell ref="AJ1331:AL1331"/>
    <mergeCell ref="AN1331:AO1331"/>
    <mergeCell ref="AP1331:AQ1331"/>
    <mergeCell ref="A1332:A1333"/>
    <mergeCell ref="E1332:E1333"/>
    <mergeCell ref="F1332:H1332"/>
    <mergeCell ref="J1332:J1333"/>
    <mergeCell ref="K1332:L1333"/>
    <mergeCell ref="M1332:N1333"/>
    <mergeCell ref="O1332:P1333"/>
    <mergeCell ref="Q1332:R1333"/>
    <mergeCell ref="S1332:T1333"/>
    <mergeCell ref="U1332:V1333"/>
    <mergeCell ref="W1332:W1333"/>
    <mergeCell ref="X1332:AB1332"/>
    <mergeCell ref="AD1332:AI1332"/>
    <mergeCell ref="AJ1332:AL1332"/>
    <mergeCell ref="AN1332:AO1332"/>
    <mergeCell ref="AP1332:AQ1332"/>
    <mergeCell ref="AR1332:AS1333"/>
    <mergeCell ref="AT1332:AU1333"/>
    <mergeCell ref="AV1332:AW1333"/>
    <mergeCell ref="AX1332:AY1333"/>
    <mergeCell ref="AZ1332:AZ1333"/>
    <mergeCell ref="F1333:H1333"/>
    <mergeCell ref="X1333:AB1333"/>
    <mergeCell ref="AE1333:AI1333"/>
    <mergeCell ref="AJ1333:AL1333"/>
    <mergeCell ref="AN1333:AO1333"/>
    <mergeCell ref="AP1333:AQ1333"/>
    <mergeCell ref="A1334:A1335"/>
    <mergeCell ref="E1334:E1335"/>
    <mergeCell ref="F1334:H1334"/>
    <mergeCell ref="J1334:J1335"/>
    <mergeCell ref="K1334:L1335"/>
    <mergeCell ref="M1334:N1335"/>
    <mergeCell ref="O1334:P1335"/>
    <mergeCell ref="Q1334:R1335"/>
    <mergeCell ref="S1334:T1335"/>
    <mergeCell ref="U1334:V1335"/>
    <mergeCell ref="W1334:W1335"/>
    <mergeCell ref="X1334:AB1334"/>
    <mergeCell ref="AD1334:AI1334"/>
    <mergeCell ref="AJ1334:AL1334"/>
    <mergeCell ref="AN1334:AO1334"/>
    <mergeCell ref="AP1334:AQ1334"/>
    <mergeCell ref="AR1334:AS1335"/>
    <mergeCell ref="AT1334:AU1335"/>
    <mergeCell ref="AV1334:AW1335"/>
    <mergeCell ref="AX1334:AY1335"/>
    <mergeCell ref="AZ1334:AZ1335"/>
    <mergeCell ref="F1335:H1335"/>
    <mergeCell ref="X1335:AB1335"/>
    <mergeCell ref="AE1335:AI1335"/>
    <mergeCell ref="AJ1335:AL1335"/>
    <mergeCell ref="AN1335:AO1335"/>
    <mergeCell ref="AP1335:AQ1335"/>
    <mergeCell ref="A1336:A1337"/>
    <mergeCell ref="E1336:E1337"/>
    <mergeCell ref="F1336:H1336"/>
    <mergeCell ref="J1336:J1337"/>
    <mergeCell ref="K1336:L1337"/>
    <mergeCell ref="M1336:N1337"/>
    <mergeCell ref="O1336:P1337"/>
    <mergeCell ref="Q1336:R1337"/>
    <mergeCell ref="S1336:T1337"/>
    <mergeCell ref="U1336:V1337"/>
    <mergeCell ref="W1336:W1337"/>
    <mergeCell ref="X1336:AB1336"/>
    <mergeCell ref="AD1336:AI1336"/>
    <mergeCell ref="AJ1336:AL1336"/>
    <mergeCell ref="AN1336:AO1336"/>
    <mergeCell ref="AP1336:AQ1336"/>
    <mergeCell ref="AR1336:AS1337"/>
    <mergeCell ref="AT1336:AU1337"/>
    <mergeCell ref="AV1336:AW1337"/>
    <mergeCell ref="AX1336:AY1337"/>
    <mergeCell ref="AZ1336:AZ1337"/>
    <mergeCell ref="F1337:H1337"/>
    <mergeCell ref="X1337:AB1337"/>
    <mergeCell ref="AE1337:AI1337"/>
    <mergeCell ref="AJ1337:AL1337"/>
    <mergeCell ref="AN1337:AO1337"/>
    <mergeCell ref="AP1337:AQ1337"/>
    <mergeCell ref="A1338:A1339"/>
    <mergeCell ref="E1338:E1339"/>
    <mergeCell ref="F1338:H1338"/>
    <mergeCell ref="J1338:J1339"/>
    <mergeCell ref="K1338:L1339"/>
    <mergeCell ref="M1338:N1339"/>
    <mergeCell ref="O1338:P1339"/>
    <mergeCell ref="Q1338:R1339"/>
    <mergeCell ref="S1338:T1339"/>
    <mergeCell ref="U1338:V1339"/>
    <mergeCell ref="W1338:W1339"/>
    <mergeCell ref="X1338:AB1338"/>
    <mergeCell ref="AD1338:AI1338"/>
    <mergeCell ref="AJ1338:AL1338"/>
    <mergeCell ref="AN1338:AO1338"/>
    <mergeCell ref="AP1338:AQ1338"/>
    <mergeCell ref="AR1338:AS1339"/>
    <mergeCell ref="AT1338:AU1339"/>
    <mergeCell ref="AV1338:AW1339"/>
    <mergeCell ref="AX1338:AY1339"/>
    <mergeCell ref="AZ1338:AZ1339"/>
    <mergeCell ref="F1339:H1339"/>
    <mergeCell ref="X1339:AB1339"/>
    <mergeCell ref="AE1339:AI1339"/>
    <mergeCell ref="AJ1339:AL1339"/>
    <mergeCell ref="AN1339:AO1339"/>
    <mergeCell ref="AP1339:AQ1339"/>
    <mergeCell ref="A1340:A1341"/>
    <mergeCell ref="E1340:E1341"/>
    <mergeCell ref="F1340:H1340"/>
    <mergeCell ref="J1340:J1341"/>
    <mergeCell ref="K1340:L1341"/>
    <mergeCell ref="M1340:N1341"/>
    <mergeCell ref="O1340:P1341"/>
    <mergeCell ref="Q1340:R1341"/>
    <mergeCell ref="S1340:T1341"/>
    <mergeCell ref="U1340:V1341"/>
    <mergeCell ref="W1340:W1341"/>
    <mergeCell ref="X1340:AB1340"/>
    <mergeCell ref="AD1340:AI1340"/>
    <mergeCell ref="AJ1340:AL1340"/>
    <mergeCell ref="AN1340:AO1340"/>
    <mergeCell ref="AP1340:AQ1340"/>
    <mergeCell ref="AR1340:AS1341"/>
    <mergeCell ref="AT1340:AU1341"/>
    <mergeCell ref="AV1340:AW1341"/>
    <mergeCell ref="AX1340:AY1341"/>
    <mergeCell ref="AZ1340:AZ1341"/>
    <mergeCell ref="F1341:H1341"/>
    <mergeCell ref="X1341:AB1341"/>
    <mergeCell ref="AE1341:AI1341"/>
    <mergeCell ref="AJ1341:AL1341"/>
    <mergeCell ref="AN1341:AO1341"/>
    <mergeCell ref="AP1341:AQ1341"/>
    <mergeCell ref="A1342:A1343"/>
    <mergeCell ref="E1342:E1343"/>
    <mergeCell ref="F1342:H1342"/>
    <mergeCell ref="J1342:J1343"/>
    <mergeCell ref="K1342:L1343"/>
    <mergeCell ref="M1342:N1343"/>
    <mergeCell ref="O1342:P1343"/>
    <mergeCell ref="Q1342:R1343"/>
    <mergeCell ref="S1342:T1343"/>
    <mergeCell ref="U1342:V1343"/>
    <mergeCell ref="W1342:W1343"/>
    <mergeCell ref="X1342:AB1342"/>
    <mergeCell ref="AD1342:AI1342"/>
    <mergeCell ref="AJ1342:AL1342"/>
    <mergeCell ref="AN1342:AO1342"/>
    <mergeCell ref="AP1342:AQ1342"/>
    <mergeCell ref="AR1342:AS1343"/>
    <mergeCell ref="AT1342:AU1343"/>
    <mergeCell ref="AV1342:AW1343"/>
    <mergeCell ref="AX1342:AY1343"/>
    <mergeCell ref="AZ1342:AZ1343"/>
    <mergeCell ref="F1343:H1343"/>
    <mergeCell ref="X1343:AB1343"/>
    <mergeCell ref="AE1343:AI1343"/>
    <mergeCell ref="AJ1343:AL1343"/>
    <mergeCell ref="AN1343:AO1343"/>
    <mergeCell ref="AP1343:AQ1343"/>
    <mergeCell ref="A1344:A1345"/>
    <mergeCell ref="E1344:E1345"/>
    <mergeCell ref="F1344:H1344"/>
    <mergeCell ref="J1344:J1345"/>
    <mergeCell ref="K1344:L1345"/>
    <mergeCell ref="M1344:N1345"/>
    <mergeCell ref="O1344:P1345"/>
    <mergeCell ref="Q1344:R1345"/>
    <mergeCell ref="S1344:T1345"/>
    <mergeCell ref="U1344:V1345"/>
    <mergeCell ref="W1344:W1345"/>
    <mergeCell ref="X1344:AB1344"/>
    <mergeCell ref="AD1344:AI1344"/>
    <mergeCell ref="AJ1344:AL1344"/>
    <mergeCell ref="AN1344:AO1344"/>
    <mergeCell ref="AP1344:AQ1344"/>
    <mergeCell ref="AR1344:AS1345"/>
    <mergeCell ref="AT1344:AU1345"/>
    <mergeCell ref="AV1344:AW1345"/>
    <mergeCell ref="AX1344:AY1345"/>
    <mergeCell ref="AZ1344:AZ1345"/>
    <mergeCell ref="F1345:H1345"/>
    <mergeCell ref="X1345:AB1345"/>
    <mergeCell ref="AE1345:AI1345"/>
    <mergeCell ref="AJ1345:AL1345"/>
    <mergeCell ref="AN1345:AO1345"/>
    <mergeCell ref="AP1345:AQ1345"/>
    <mergeCell ref="A1346:A1347"/>
    <mergeCell ref="E1346:E1347"/>
    <mergeCell ref="F1346:H1346"/>
    <mergeCell ref="J1346:J1347"/>
    <mergeCell ref="K1346:L1347"/>
    <mergeCell ref="M1346:N1347"/>
    <mergeCell ref="O1346:P1347"/>
    <mergeCell ref="Q1346:R1347"/>
    <mergeCell ref="S1346:T1347"/>
    <mergeCell ref="U1346:V1347"/>
    <mergeCell ref="W1346:W1347"/>
    <mergeCell ref="X1346:AB1346"/>
    <mergeCell ref="AD1346:AI1346"/>
    <mergeCell ref="AJ1346:AL1346"/>
    <mergeCell ref="AN1346:AO1346"/>
    <mergeCell ref="AP1346:AQ1346"/>
    <mergeCell ref="AR1346:AS1347"/>
    <mergeCell ref="AT1346:AU1347"/>
    <mergeCell ref="AV1346:AW1347"/>
    <mergeCell ref="AX1346:AY1347"/>
    <mergeCell ref="AZ1346:AZ1347"/>
    <mergeCell ref="F1347:H1347"/>
    <mergeCell ref="X1347:AB1347"/>
    <mergeCell ref="AE1347:AI1347"/>
    <mergeCell ref="AJ1347:AL1347"/>
    <mergeCell ref="AN1347:AO1347"/>
    <mergeCell ref="AP1347:AQ1347"/>
    <mergeCell ref="A1348:A1349"/>
    <mergeCell ref="E1348:E1349"/>
    <mergeCell ref="F1348:H1348"/>
    <mergeCell ref="J1348:J1349"/>
    <mergeCell ref="K1348:L1349"/>
    <mergeCell ref="M1348:N1349"/>
    <mergeCell ref="O1348:P1349"/>
    <mergeCell ref="Q1348:R1349"/>
    <mergeCell ref="S1348:T1349"/>
    <mergeCell ref="U1348:V1349"/>
    <mergeCell ref="W1348:W1349"/>
    <mergeCell ref="X1348:AB1348"/>
    <mergeCell ref="AD1348:AI1348"/>
    <mergeCell ref="AJ1348:AL1348"/>
    <mergeCell ref="AN1348:AO1348"/>
    <mergeCell ref="AP1348:AQ1348"/>
    <mergeCell ref="AR1348:AS1349"/>
    <mergeCell ref="AT1348:AU1349"/>
    <mergeCell ref="AV1348:AW1349"/>
    <mergeCell ref="AX1348:AY1349"/>
    <mergeCell ref="AZ1348:AZ1349"/>
    <mergeCell ref="F1349:H1349"/>
    <mergeCell ref="X1349:AB1349"/>
    <mergeCell ref="AE1349:AI1349"/>
    <mergeCell ref="AJ1349:AL1349"/>
    <mergeCell ref="AN1349:AO1349"/>
    <mergeCell ref="AP1349:AQ1349"/>
    <mergeCell ref="A1350:A1351"/>
    <mergeCell ref="E1350:E1351"/>
    <mergeCell ref="F1350:H1350"/>
    <mergeCell ref="J1350:J1351"/>
    <mergeCell ref="K1350:L1351"/>
    <mergeCell ref="M1350:N1351"/>
    <mergeCell ref="O1350:P1351"/>
    <mergeCell ref="Q1350:R1351"/>
    <mergeCell ref="S1350:T1351"/>
    <mergeCell ref="U1350:V1351"/>
    <mergeCell ref="W1350:W1351"/>
    <mergeCell ref="X1350:AB1350"/>
    <mergeCell ref="AD1350:AI1350"/>
    <mergeCell ref="AJ1350:AL1350"/>
    <mergeCell ref="AN1350:AO1350"/>
    <mergeCell ref="AP1350:AQ1350"/>
    <mergeCell ref="AR1350:AS1351"/>
    <mergeCell ref="AT1350:AU1351"/>
    <mergeCell ref="AV1350:AW1351"/>
    <mergeCell ref="AX1350:AY1351"/>
    <mergeCell ref="AZ1350:AZ1351"/>
    <mergeCell ref="F1351:H1351"/>
    <mergeCell ref="X1351:AB1351"/>
    <mergeCell ref="AE1351:AI1351"/>
    <mergeCell ref="AJ1351:AL1351"/>
    <mergeCell ref="AN1351:AO1351"/>
    <mergeCell ref="AP1351:AQ1351"/>
    <mergeCell ref="A1352:A1353"/>
    <mergeCell ref="E1352:E1353"/>
    <mergeCell ref="F1352:H1352"/>
    <mergeCell ref="J1352:J1353"/>
    <mergeCell ref="K1352:L1353"/>
    <mergeCell ref="M1352:N1353"/>
    <mergeCell ref="O1352:P1353"/>
    <mergeCell ref="Q1352:R1353"/>
    <mergeCell ref="S1352:T1353"/>
    <mergeCell ref="U1352:V1353"/>
    <mergeCell ref="W1352:W1353"/>
    <mergeCell ref="X1352:AB1352"/>
    <mergeCell ref="AD1352:AI1352"/>
    <mergeCell ref="AJ1352:AL1352"/>
    <mergeCell ref="AN1352:AO1352"/>
    <mergeCell ref="AP1352:AQ1352"/>
    <mergeCell ref="AR1352:AS1353"/>
    <mergeCell ref="AT1352:AU1353"/>
    <mergeCell ref="AV1352:AW1353"/>
    <mergeCell ref="AX1352:AY1353"/>
    <mergeCell ref="AZ1352:AZ1353"/>
    <mergeCell ref="F1353:H1353"/>
    <mergeCell ref="X1353:AB1353"/>
    <mergeCell ref="AE1353:AI1353"/>
    <mergeCell ref="AJ1353:AL1353"/>
    <mergeCell ref="AN1353:AO1353"/>
    <mergeCell ref="AP1353:AQ1353"/>
    <mergeCell ref="A1354:A1355"/>
    <mergeCell ref="E1354:E1355"/>
    <mergeCell ref="F1354:H1354"/>
    <mergeCell ref="J1354:J1355"/>
    <mergeCell ref="K1354:L1355"/>
    <mergeCell ref="M1354:N1355"/>
    <mergeCell ref="O1354:P1355"/>
    <mergeCell ref="Q1354:R1355"/>
    <mergeCell ref="S1354:T1355"/>
    <mergeCell ref="U1354:V1355"/>
    <mergeCell ref="W1354:W1355"/>
    <mergeCell ref="X1354:AB1354"/>
    <mergeCell ref="AD1354:AI1354"/>
    <mergeCell ref="AJ1354:AL1354"/>
    <mergeCell ref="AN1354:AO1354"/>
    <mergeCell ref="AP1354:AQ1354"/>
    <mergeCell ref="AR1354:AS1355"/>
    <mergeCell ref="AT1354:AU1355"/>
    <mergeCell ref="AV1354:AW1355"/>
    <mergeCell ref="AX1354:AY1355"/>
    <mergeCell ref="AZ1354:AZ1355"/>
    <mergeCell ref="F1355:H1355"/>
    <mergeCell ref="X1355:AB1355"/>
    <mergeCell ref="AE1355:AI1355"/>
    <mergeCell ref="AJ1355:AL1355"/>
    <mergeCell ref="AN1355:AO1355"/>
    <mergeCell ref="AP1355:AQ1355"/>
    <mergeCell ref="A1356:A1357"/>
    <mergeCell ref="E1356:E1357"/>
    <mergeCell ref="F1356:H1356"/>
    <mergeCell ref="J1356:J1357"/>
    <mergeCell ref="K1356:L1357"/>
    <mergeCell ref="M1356:N1357"/>
    <mergeCell ref="O1356:P1357"/>
    <mergeCell ref="Q1356:R1357"/>
    <mergeCell ref="S1356:T1357"/>
    <mergeCell ref="U1356:V1357"/>
    <mergeCell ref="W1356:W1357"/>
    <mergeCell ref="X1356:AB1356"/>
    <mergeCell ref="AD1356:AI1356"/>
    <mergeCell ref="AJ1356:AL1356"/>
    <mergeCell ref="AN1356:AO1356"/>
    <mergeCell ref="AP1356:AQ1356"/>
    <mergeCell ref="AR1356:AS1357"/>
    <mergeCell ref="AT1356:AU1357"/>
    <mergeCell ref="AV1356:AW1357"/>
    <mergeCell ref="AX1356:AY1357"/>
    <mergeCell ref="AZ1356:AZ1357"/>
    <mergeCell ref="F1357:H1357"/>
    <mergeCell ref="X1357:AB1357"/>
    <mergeCell ref="AE1357:AI1357"/>
    <mergeCell ref="AJ1357:AL1357"/>
    <mergeCell ref="AN1357:AO1357"/>
    <mergeCell ref="AP1357:AQ1357"/>
    <mergeCell ref="A1358:A1359"/>
    <mergeCell ref="E1358:E1359"/>
    <mergeCell ref="F1358:H1358"/>
    <mergeCell ref="J1358:J1359"/>
    <mergeCell ref="K1358:L1359"/>
    <mergeCell ref="M1358:N1359"/>
    <mergeCell ref="O1358:P1359"/>
    <mergeCell ref="Q1358:R1359"/>
    <mergeCell ref="S1358:T1359"/>
    <mergeCell ref="U1358:V1359"/>
    <mergeCell ref="W1358:W1359"/>
    <mergeCell ref="X1358:AB1358"/>
    <mergeCell ref="AD1358:AI1358"/>
    <mergeCell ref="AJ1358:AL1358"/>
    <mergeCell ref="AN1358:AO1358"/>
    <mergeCell ref="AP1358:AQ1358"/>
    <mergeCell ref="AR1358:AS1359"/>
    <mergeCell ref="AT1358:AU1359"/>
    <mergeCell ref="AV1358:AW1359"/>
    <mergeCell ref="AX1358:AY1359"/>
    <mergeCell ref="AZ1358:AZ1359"/>
    <mergeCell ref="F1359:H1359"/>
    <mergeCell ref="X1359:AB1359"/>
    <mergeCell ref="AE1359:AI1359"/>
    <mergeCell ref="AJ1359:AL1359"/>
    <mergeCell ref="AN1359:AO1359"/>
    <mergeCell ref="AP1359:AQ1359"/>
    <mergeCell ref="A1360:A1361"/>
    <mergeCell ref="E1360:E1361"/>
    <mergeCell ref="F1360:H1360"/>
    <mergeCell ref="J1360:J1361"/>
    <mergeCell ref="K1360:L1361"/>
    <mergeCell ref="M1360:N1361"/>
    <mergeCell ref="O1360:P1361"/>
    <mergeCell ref="Q1360:R1361"/>
    <mergeCell ref="S1360:T1361"/>
    <mergeCell ref="U1360:V1361"/>
    <mergeCell ref="W1360:W1361"/>
    <mergeCell ref="X1360:AB1360"/>
    <mergeCell ref="AD1360:AI1360"/>
    <mergeCell ref="AJ1360:AL1360"/>
    <mergeCell ref="AN1360:AO1360"/>
    <mergeCell ref="AP1360:AQ1360"/>
    <mergeCell ref="AR1360:AS1361"/>
    <mergeCell ref="AT1360:AU1361"/>
    <mergeCell ref="AV1360:AW1361"/>
    <mergeCell ref="AX1360:AY1361"/>
    <mergeCell ref="AZ1360:AZ1361"/>
    <mergeCell ref="F1361:H1361"/>
    <mergeCell ref="X1361:AB1361"/>
    <mergeCell ref="AE1361:AI1361"/>
    <mergeCell ref="AJ1361:AL1361"/>
    <mergeCell ref="AN1361:AO1361"/>
    <mergeCell ref="AP1361:AQ1361"/>
    <mergeCell ref="A1362:A1363"/>
    <mergeCell ref="E1362:E1363"/>
    <mergeCell ref="F1362:H1362"/>
    <mergeCell ref="J1362:J1363"/>
    <mergeCell ref="K1362:L1363"/>
    <mergeCell ref="M1362:N1363"/>
    <mergeCell ref="O1362:P1363"/>
    <mergeCell ref="Q1362:R1363"/>
    <mergeCell ref="S1362:T1363"/>
    <mergeCell ref="U1362:V1363"/>
    <mergeCell ref="W1362:W1363"/>
    <mergeCell ref="X1362:AB1362"/>
    <mergeCell ref="AD1362:AI1362"/>
    <mergeCell ref="AJ1362:AL1362"/>
    <mergeCell ref="AN1362:AO1362"/>
    <mergeCell ref="AP1362:AQ1362"/>
    <mergeCell ref="AR1362:AS1363"/>
    <mergeCell ref="AT1362:AU1363"/>
    <mergeCell ref="AV1362:AW1363"/>
    <mergeCell ref="AX1362:AY1363"/>
    <mergeCell ref="AZ1362:AZ1363"/>
    <mergeCell ref="F1363:H1363"/>
    <mergeCell ref="X1363:AB1363"/>
    <mergeCell ref="AE1363:AI1363"/>
    <mergeCell ref="AJ1363:AL1363"/>
    <mergeCell ref="AN1363:AO1363"/>
    <mergeCell ref="AP1363:AQ1363"/>
    <mergeCell ref="A1364:A1365"/>
    <mergeCell ref="E1364:E1365"/>
    <mergeCell ref="F1364:H1364"/>
    <mergeCell ref="J1364:J1365"/>
    <mergeCell ref="K1364:L1365"/>
    <mergeCell ref="M1364:N1365"/>
    <mergeCell ref="O1364:P1365"/>
    <mergeCell ref="Q1364:R1365"/>
    <mergeCell ref="S1364:T1365"/>
    <mergeCell ref="U1364:V1365"/>
    <mergeCell ref="W1364:W1365"/>
    <mergeCell ref="X1364:AB1364"/>
    <mergeCell ref="AD1364:AI1364"/>
    <mergeCell ref="AJ1364:AL1364"/>
    <mergeCell ref="AN1364:AO1364"/>
    <mergeCell ref="AP1364:AQ1364"/>
    <mergeCell ref="AR1364:AS1365"/>
    <mergeCell ref="AT1364:AU1365"/>
    <mergeCell ref="AV1364:AW1365"/>
    <mergeCell ref="AX1364:AY1365"/>
    <mergeCell ref="AZ1364:AZ1365"/>
    <mergeCell ref="F1365:H1365"/>
    <mergeCell ref="X1365:AB1365"/>
    <mergeCell ref="AE1365:AI1365"/>
    <mergeCell ref="AJ1365:AL1365"/>
    <mergeCell ref="AN1365:AO1365"/>
    <mergeCell ref="AP1365:AQ1365"/>
    <mergeCell ref="A1366:A1367"/>
    <mergeCell ref="E1366:E1367"/>
    <mergeCell ref="F1366:H1366"/>
    <mergeCell ref="J1366:J1367"/>
    <mergeCell ref="K1366:L1367"/>
    <mergeCell ref="M1366:N1367"/>
    <mergeCell ref="O1366:P1367"/>
    <mergeCell ref="Q1366:R1367"/>
    <mergeCell ref="S1366:T1367"/>
    <mergeCell ref="U1366:V1367"/>
    <mergeCell ref="W1366:W1367"/>
    <mergeCell ref="X1366:AB1366"/>
    <mergeCell ref="AD1366:AI1366"/>
    <mergeCell ref="AJ1366:AL1366"/>
    <mergeCell ref="AN1366:AO1366"/>
    <mergeCell ref="AP1366:AQ1366"/>
    <mergeCell ref="AR1366:AS1367"/>
    <mergeCell ref="AT1366:AU1367"/>
    <mergeCell ref="AV1366:AW1367"/>
    <mergeCell ref="AX1366:AY1367"/>
    <mergeCell ref="AZ1366:AZ1367"/>
    <mergeCell ref="F1367:H1367"/>
    <mergeCell ref="X1367:AB1367"/>
    <mergeCell ref="AE1367:AI1367"/>
    <mergeCell ref="AJ1367:AL1367"/>
    <mergeCell ref="AN1367:AO1367"/>
    <mergeCell ref="AP1367:AQ1367"/>
    <mergeCell ref="A1368:A1369"/>
    <mergeCell ref="E1368:E1369"/>
    <mergeCell ref="F1368:H1368"/>
    <mergeCell ref="J1368:J1369"/>
    <mergeCell ref="K1368:L1369"/>
    <mergeCell ref="M1368:N1369"/>
    <mergeCell ref="O1368:P1369"/>
    <mergeCell ref="Q1368:R1369"/>
    <mergeCell ref="S1368:T1369"/>
    <mergeCell ref="U1368:V1369"/>
    <mergeCell ref="W1368:W1369"/>
    <mergeCell ref="X1368:AB1368"/>
    <mergeCell ref="AD1368:AI1368"/>
    <mergeCell ref="AJ1368:AL1368"/>
    <mergeCell ref="AN1368:AO1368"/>
    <mergeCell ref="AP1368:AQ1368"/>
    <mergeCell ref="AR1368:AS1369"/>
    <mergeCell ref="AT1368:AU1369"/>
    <mergeCell ref="AV1368:AW1369"/>
    <mergeCell ref="AX1368:AY1369"/>
    <mergeCell ref="AZ1368:AZ1369"/>
    <mergeCell ref="F1369:H1369"/>
    <mergeCell ref="X1369:AB1369"/>
    <mergeCell ref="AE1369:AI1369"/>
    <mergeCell ref="AJ1369:AL1369"/>
    <mergeCell ref="AN1369:AO1369"/>
    <mergeCell ref="AP1369:AQ1369"/>
    <mergeCell ref="A1370:A1371"/>
    <mergeCell ref="E1370:E1371"/>
    <mergeCell ref="F1370:H1370"/>
    <mergeCell ref="J1370:J1371"/>
    <mergeCell ref="K1370:L1371"/>
    <mergeCell ref="M1370:N1371"/>
    <mergeCell ref="O1370:P1371"/>
    <mergeCell ref="Q1370:R1371"/>
    <mergeCell ref="S1370:T1371"/>
    <mergeCell ref="U1370:V1371"/>
    <mergeCell ref="W1370:W1371"/>
    <mergeCell ref="X1370:AB1370"/>
    <mergeCell ref="AD1370:AI1370"/>
    <mergeCell ref="AJ1370:AL1370"/>
    <mergeCell ref="AN1370:AO1370"/>
    <mergeCell ref="AP1370:AQ1370"/>
    <mergeCell ref="AR1370:AS1371"/>
    <mergeCell ref="AT1370:AU1371"/>
    <mergeCell ref="AV1370:AW1371"/>
    <mergeCell ref="AX1370:AY1371"/>
    <mergeCell ref="AZ1370:AZ1371"/>
    <mergeCell ref="F1371:H1371"/>
    <mergeCell ref="X1371:AB1371"/>
    <mergeCell ref="AE1371:AI1371"/>
    <mergeCell ref="AJ1371:AL1371"/>
    <mergeCell ref="AN1371:AO1371"/>
    <mergeCell ref="AP1371:AQ1371"/>
    <mergeCell ref="A1372:A1373"/>
    <mergeCell ref="E1372:E1373"/>
    <mergeCell ref="F1372:H1372"/>
    <mergeCell ref="J1372:J1373"/>
    <mergeCell ref="K1372:L1373"/>
    <mergeCell ref="M1372:N1373"/>
    <mergeCell ref="O1372:P1373"/>
    <mergeCell ref="Q1372:R1373"/>
    <mergeCell ref="S1372:T1373"/>
    <mergeCell ref="U1372:V1373"/>
    <mergeCell ref="W1372:W1373"/>
    <mergeCell ref="X1372:AB1372"/>
    <mergeCell ref="AD1372:AI1372"/>
    <mergeCell ref="AJ1372:AL1372"/>
    <mergeCell ref="AN1372:AO1372"/>
    <mergeCell ref="AP1372:AQ1372"/>
    <mergeCell ref="AR1372:AS1373"/>
    <mergeCell ref="AT1372:AU1373"/>
    <mergeCell ref="AV1372:AW1373"/>
    <mergeCell ref="AX1372:AY1373"/>
    <mergeCell ref="AZ1372:AZ1373"/>
    <mergeCell ref="F1373:H1373"/>
    <mergeCell ref="X1373:AB1373"/>
    <mergeCell ref="AE1373:AI1373"/>
    <mergeCell ref="AJ1373:AL1373"/>
    <mergeCell ref="AN1373:AO1373"/>
    <mergeCell ref="AP1373:AQ1373"/>
    <mergeCell ref="A1374:A1375"/>
    <mergeCell ref="E1374:E1375"/>
    <mergeCell ref="F1374:H1374"/>
    <mergeCell ref="J1374:J1375"/>
    <mergeCell ref="K1374:L1375"/>
    <mergeCell ref="M1374:N1375"/>
    <mergeCell ref="O1374:P1375"/>
    <mergeCell ref="Q1374:R1375"/>
    <mergeCell ref="S1374:T1375"/>
    <mergeCell ref="U1374:V1375"/>
    <mergeCell ref="W1374:W1375"/>
    <mergeCell ref="X1374:AB1374"/>
    <mergeCell ref="AD1374:AI1374"/>
    <mergeCell ref="AJ1374:AL1374"/>
    <mergeCell ref="AN1374:AO1374"/>
    <mergeCell ref="AP1374:AQ1374"/>
    <mergeCell ref="AR1374:AS1375"/>
    <mergeCell ref="AT1374:AU1375"/>
    <mergeCell ref="AV1374:AW1375"/>
    <mergeCell ref="AX1374:AY1375"/>
    <mergeCell ref="AZ1374:AZ1375"/>
    <mergeCell ref="F1375:H1375"/>
    <mergeCell ref="X1375:AB1375"/>
    <mergeCell ref="AE1375:AI1375"/>
    <mergeCell ref="AJ1375:AL1375"/>
    <mergeCell ref="AN1375:AO1375"/>
    <mergeCell ref="AP1375:AQ1375"/>
    <mergeCell ref="A1376:A1377"/>
    <mergeCell ref="E1376:E1377"/>
    <mergeCell ref="F1376:H1376"/>
    <mergeCell ref="J1376:J1377"/>
    <mergeCell ref="K1376:L1377"/>
    <mergeCell ref="M1376:N1377"/>
    <mergeCell ref="O1376:P1377"/>
    <mergeCell ref="Q1376:R1377"/>
    <mergeCell ref="S1376:T1377"/>
    <mergeCell ref="U1376:V1377"/>
    <mergeCell ref="W1376:W1377"/>
    <mergeCell ref="X1376:AB1376"/>
    <mergeCell ref="AD1376:AI1376"/>
    <mergeCell ref="AJ1376:AL1376"/>
    <mergeCell ref="AN1376:AO1376"/>
    <mergeCell ref="AP1376:AQ1376"/>
    <mergeCell ref="AR1376:AS1377"/>
    <mergeCell ref="AT1376:AU1377"/>
    <mergeCell ref="AV1376:AW1377"/>
    <mergeCell ref="AX1376:AY1377"/>
    <mergeCell ref="AZ1376:AZ1377"/>
    <mergeCell ref="F1377:H1377"/>
    <mergeCell ref="X1377:AB1377"/>
    <mergeCell ref="AE1377:AI1377"/>
    <mergeCell ref="AJ1377:AL1377"/>
    <mergeCell ref="AN1377:AO1377"/>
    <mergeCell ref="AP1377:AQ1377"/>
    <mergeCell ref="A1378:A1379"/>
    <mergeCell ref="E1378:E1379"/>
    <mergeCell ref="F1378:H1378"/>
    <mergeCell ref="J1378:J1379"/>
    <mergeCell ref="K1378:L1379"/>
    <mergeCell ref="M1378:N1379"/>
    <mergeCell ref="O1378:P1379"/>
    <mergeCell ref="Q1378:R1379"/>
    <mergeCell ref="S1378:T1379"/>
    <mergeCell ref="U1378:V1379"/>
    <mergeCell ref="W1378:W1379"/>
    <mergeCell ref="X1378:AB1378"/>
    <mergeCell ref="AD1378:AI1378"/>
    <mergeCell ref="AJ1378:AL1378"/>
    <mergeCell ref="AN1378:AO1378"/>
    <mergeCell ref="AP1378:AQ1378"/>
    <mergeCell ref="AR1378:AS1379"/>
    <mergeCell ref="AT1378:AU1379"/>
    <mergeCell ref="AV1378:AW1379"/>
    <mergeCell ref="AX1378:AY1379"/>
    <mergeCell ref="AZ1378:AZ1379"/>
    <mergeCell ref="F1379:H1379"/>
    <mergeCell ref="X1379:AB1379"/>
    <mergeCell ref="AE1379:AI1379"/>
    <mergeCell ref="AJ1379:AL1379"/>
    <mergeCell ref="AN1379:AO1379"/>
    <mergeCell ref="AP1379:AQ1379"/>
    <mergeCell ref="A1380:A1381"/>
    <mergeCell ref="E1380:E1381"/>
    <mergeCell ref="F1380:H1380"/>
    <mergeCell ref="J1380:J1381"/>
    <mergeCell ref="K1380:L1381"/>
    <mergeCell ref="M1380:N1381"/>
    <mergeCell ref="O1380:P1381"/>
    <mergeCell ref="Q1380:R1381"/>
    <mergeCell ref="S1380:T1381"/>
    <mergeCell ref="U1380:V1381"/>
    <mergeCell ref="W1380:W1381"/>
    <mergeCell ref="X1380:AB1380"/>
    <mergeCell ref="AD1380:AI1380"/>
    <mergeCell ref="AJ1380:AL1380"/>
    <mergeCell ref="AN1380:AO1380"/>
    <mergeCell ref="AP1380:AQ1380"/>
    <mergeCell ref="AR1380:AS1381"/>
    <mergeCell ref="AT1380:AU1381"/>
    <mergeCell ref="AV1380:AW1381"/>
    <mergeCell ref="AX1380:AY1381"/>
    <mergeCell ref="AZ1380:AZ1381"/>
    <mergeCell ref="F1381:H1381"/>
    <mergeCell ref="X1381:AB1381"/>
    <mergeCell ref="AE1381:AI1381"/>
    <mergeCell ref="AJ1381:AL1381"/>
    <mergeCell ref="AN1381:AO1381"/>
    <mergeCell ref="AP1381:AQ1381"/>
    <mergeCell ref="A1382:A1383"/>
    <mergeCell ref="E1382:E1383"/>
    <mergeCell ref="F1382:H1382"/>
    <mergeCell ref="J1382:J1383"/>
    <mergeCell ref="K1382:L1383"/>
    <mergeCell ref="M1382:N1383"/>
    <mergeCell ref="O1382:P1383"/>
    <mergeCell ref="Q1382:R1383"/>
    <mergeCell ref="S1382:T1383"/>
    <mergeCell ref="U1382:V1383"/>
    <mergeCell ref="W1382:W1383"/>
    <mergeCell ref="X1382:AB1382"/>
    <mergeCell ref="AD1382:AI1382"/>
    <mergeCell ref="AJ1382:AL1382"/>
    <mergeCell ref="AN1382:AO1382"/>
    <mergeCell ref="AP1382:AQ1382"/>
    <mergeCell ref="AR1382:AS1383"/>
    <mergeCell ref="AT1382:AU1383"/>
    <mergeCell ref="AV1382:AW1383"/>
    <mergeCell ref="AX1382:AY1383"/>
    <mergeCell ref="AZ1382:AZ1383"/>
    <mergeCell ref="F1383:H1383"/>
    <mergeCell ref="X1383:AB1383"/>
    <mergeCell ref="AE1383:AI1383"/>
    <mergeCell ref="AJ1383:AL1383"/>
    <mergeCell ref="AN1383:AO1383"/>
    <mergeCell ref="AP1383:AQ1383"/>
    <mergeCell ref="A1384:A1385"/>
    <mergeCell ref="E1384:E1385"/>
    <mergeCell ref="F1384:H1384"/>
    <mergeCell ref="J1384:J1385"/>
    <mergeCell ref="K1384:L1385"/>
    <mergeCell ref="M1384:N1385"/>
    <mergeCell ref="O1384:P1385"/>
    <mergeCell ref="Q1384:R1385"/>
    <mergeCell ref="S1384:T1385"/>
    <mergeCell ref="U1384:V1385"/>
    <mergeCell ref="W1384:W1385"/>
    <mergeCell ref="X1384:AB1384"/>
    <mergeCell ref="AD1384:AI1384"/>
    <mergeCell ref="AJ1384:AL1384"/>
    <mergeCell ref="AN1384:AO1384"/>
    <mergeCell ref="AP1384:AQ1384"/>
    <mergeCell ref="AR1384:AS1385"/>
    <mergeCell ref="AT1384:AU1385"/>
    <mergeCell ref="AV1384:AW1385"/>
    <mergeCell ref="AX1384:AY1385"/>
    <mergeCell ref="AZ1384:AZ1385"/>
    <mergeCell ref="F1385:H1385"/>
    <mergeCell ref="X1385:AB1385"/>
    <mergeCell ref="AE1385:AI1385"/>
    <mergeCell ref="AJ1385:AL1385"/>
    <mergeCell ref="AN1385:AO1385"/>
    <mergeCell ref="AP1385:AQ1385"/>
    <mergeCell ref="A1386:A1387"/>
    <mergeCell ref="E1386:E1387"/>
    <mergeCell ref="F1386:H1386"/>
    <mergeCell ref="J1386:J1387"/>
    <mergeCell ref="K1386:L1387"/>
    <mergeCell ref="M1386:N1387"/>
    <mergeCell ref="O1386:P1387"/>
    <mergeCell ref="Q1386:R1387"/>
    <mergeCell ref="S1386:T1387"/>
    <mergeCell ref="U1386:V1387"/>
    <mergeCell ref="W1386:W1387"/>
    <mergeCell ref="X1386:AB1386"/>
    <mergeCell ref="AD1386:AI1386"/>
    <mergeCell ref="AJ1386:AL1386"/>
    <mergeCell ref="AN1386:AO1386"/>
    <mergeCell ref="AP1386:AQ1386"/>
    <mergeCell ref="AR1386:AS1387"/>
    <mergeCell ref="AT1386:AU1387"/>
    <mergeCell ref="AV1386:AW1387"/>
    <mergeCell ref="AX1386:AY1387"/>
    <mergeCell ref="AZ1386:AZ1387"/>
    <mergeCell ref="F1387:H1387"/>
    <mergeCell ref="X1387:AB1387"/>
    <mergeCell ref="AE1387:AI1387"/>
    <mergeCell ref="AJ1387:AL1387"/>
    <mergeCell ref="AN1387:AO1387"/>
    <mergeCell ref="AP1387:AQ1387"/>
    <mergeCell ref="A1388:A1389"/>
    <mergeCell ref="E1388:E1389"/>
    <mergeCell ref="F1388:H1388"/>
    <mergeCell ref="J1388:J1389"/>
    <mergeCell ref="K1388:L1389"/>
    <mergeCell ref="M1388:N1389"/>
    <mergeCell ref="O1388:P1389"/>
    <mergeCell ref="Q1388:R1389"/>
    <mergeCell ref="S1388:T1389"/>
    <mergeCell ref="U1388:V1389"/>
    <mergeCell ref="W1388:W1389"/>
    <mergeCell ref="X1388:AB1388"/>
    <mergeCell ref="AD1388:AI1388"/>
    <mergeCell ref="AJ1388:AL1388"/>
    <mergeCell ref="AN1388:AO1388"/>
    <mergeCell ref="AP1388:AQ1388"/>
    <mergeCell ref="AR1388:AS1389"/>
    <mergeCell ref="AT1388:AU1389"/>
    <mergeCell ref="AV1388:AW1389"/>
    <mergeCell ref="AX1388:AY1389"/>
    <mergeCell ref="AZ1388:AZ1389"/>
    <mergeCell ref="F1389:H1389"/>
    <mergeCell ref="X1389:AB1389"/>
    <mergeCell ref="AE1389:AI1389"/>
    <mergeCell ref="AJ1389:AL1389"/>
    <mergeCell ref="AN1389:AO1389"/>
    <mergeCell ref="AP1389:AQ1389"/>
    <mergeCell ref="A1390:A1391"/>
    <mergeCell ref="E1390:E1391"/>
    <mergeCell ref="F1390:H1390"/>
    <mergeCell ref="J1390:J1391"/>
    <mergeCell ref="K1390:L1391"/>
    <mergeCell ref="M1390:N1391"/>
    <mergeCell ref="O1390:P1391"/>
    <mergeCell ref="Q1390:R1391"/>
    <mergeCell ref="S1390:T1391"/>
    <mergeCell ref="U1390:V1391"/>
    <mergeCell ref="W1390:W1391"/>
    <mergeCell ref="X1390:AB1390"/>
    <mergeCell ref="AD1390:AI1390"/>
    <mergeCell ref="AJ1390:AL1390"/>
    <mergeCell ref="AN1390:AO1390"/>
    <mergeCell ref="AP1390:AQ1390"/>
    <mergeCell ref="AR1390:AS1391"/>
    <mergeCell ref="AT1390:AU1391"/>
    <mergeCell ref="AV1390:AW1391"/>
    <mergeCell ref="AX1390:AY1391"/>
    <mergeCell ref="AZ1390:AZ1391"/>
    <mergeCell ref="F1391:H1391"/>
    <mergeCell ref="X1391:AB1391"/>
    <mergeCell ref="AE1391:AI1391"/>
    <mergeCell ref="AJ1391:AL1391"/>
    <mergeCell ref="AN1391:AO1391"/>
    <mergeCell ref="AP1391:AQ1391"/>
    <mergeCell ref="A1392:A1393"/>
    <mergeCell ref="E1392:E1393"/>
    <mergeCell ref="F1392:H1392"/>
    <mergeCell ref="J1392:J1393"/>
    <mergeCell ref="K1392:L1393"/>
    <mergeCell ref="M1392:N1393"/>
    <mergeCell ref="O1392:P1393"/>
    <mergeCell ref="Q1392:R1393"/>
    <mergeCell ref="S1392:T1393"/>
    <mergeCell ref="U1392:V1393"/>
    <mergeCell ref="W1392:W1393"/>
    <mergeCell ref="X1392:AB1392"/>
    <mergeCell ref="AD1392:AI1392"/>
    <mergeCell ref="AJ1392:AL1392"/>
    <mergeCell ref="AN1392:AO1392"/>
    <mergeCell ref="AP1392:AQ1392"/>
    <mergeCell ref="AR1392:AS1393"/>
    <mergeCell ref="AT1392:AU1393"/>
    <mergeCell ref="AV1392:AW1393"/>
    <mergeCell ref="AX1392:AY1393"/>
    <mergeCell ref="AZ1392:AZ1393"/>
    <mergeCell ref="F1393:H1393"/>
    <mergeCell ref="X1393:AB1393"/>
    <mergeCell ref="AE1393:AI1393"/>
    <mergeCell ref="AJ1393:AL1393"/>
    <mergeCell ref="AN1393:AO1393"/>
    <mergeCell ref="AP1393:AQ1393"/>
    <mergeCell ref="A1394:A1395"/>
    <mergeCell ref="E1394:E1395"/>
    <mergeCell ref="F1394:H1394"/>
    <mergeCell ref="J1394:J1395"/>
    <mergeCell ref="K1394:L1395"/>
    <mergeCell ref="M1394:N1395"/>
    <mergeCell ref="O1394:P1395"/>
    <mergeCell ref="Q1394:R1395"/>
    <mergeCell ref="S1394:T1395"/>
    <mergeCell ref="U1394:V1395"/>
    <mergeCell ref="W1394:W1395"/>
    <mergeCell ref="X1394:AB1394"/>
    <mergeCell ref="AD1394:AI1394"/>
    <mergeCell ref="AJ1394:AL1394"/>
    <mergeCell ref="AN1394:AO1394"/>
    <mergeCell ref="AP1394:AQ1394"/>
    <mergeCell ref="AR1394:AS1395"/>
    <mergeCell ref="AT1394:AU1395"/>
    <mergeCell ref="AV1394:AW1395"/>
    <mergeCell ref="AX1394:AY1395"/>
    <mergeCell ref="AZ1394:AZ1395"/>
    <mergeCell ref="F1395:H1395"/>
    <mergeCell ref="X1395:AB1395"/>
    <mergeCell ref="AE1395:AI1395"/>
    <mergeCell ref="AJ1395:AL1395"/>
    <mergeCell ref="AN1395:AO1395"/>
    <mergeCell ref="AP1395:AQ1395"/>
    <mergeCell ref="A1396:A1397"/>
    <mergeCell ref="E1396:E1397"/>
    <mergeCell ref="F1396:H1396"/>
    <mergeCell ref="J1396:J1397"/>
    <mergeCell ref="K1396:L1397"/>
    <mergeCell ref="M1396:N1397"/>
    <mergeCell ref="O1396:P1397"/>
    <mergeCell ref="Q1396:R1397"/>
    <mergeCell ref="S1396:T1397"/>
    <mergeCell ref="U1396:V1397"/>
    <mergeCell ref="W1396:W1397"/>
    <mergeCell ref="X1396:AB1396"/>
    <mergeCell ref="AD1396:AI1396"/>
    <mergeCell ref="AJ1396:AL1396"/>
    <mergeCell ref="AN1396:AO1396"/>
    <mergeCell ref="AP1396:AQ1396"/>
    <mergeCell ref="AR1396:AS1397"/>
    <mergeCell ref="AT1396:AU1397"/>
    <mergeCell ref="AV1396:AW1397"/>
    <mergeCell ref="AX1396:AY1397"/>
    <mergeCell ref="AZ1396:AZ1397"/>
    <mergeCell ref="F1397:H1397"/>
    <mergeCell ref="X1397:AB1397"/>
    <mergeCell ref="AE1397:AI1397"/>
    <mergeCell ref="AJ1397:AL1397"/>
    <mergeCell ref="AN1397:AO1397"/>
    <mergeCell ref="AP1397:AQ1397"/>
    <mergeCell ref="A1398:A1399"/>
    <mergeCell ref="E1398:E1399"/>
    <mergeCell ref="F1398:H1398"/>
    <mergeCell ref="J1398:J1399"/>
    <mergeCell ref="K1398:L1399"/>
    <mergeCell ref="M1398:N1399"/>
    <mergeCell ref="O1398:P1399"/>
    <mergeCell ref="Q1398:R1399"/>
    <mergeCell ref="S1398:T1399"/>
    <mergeCell ref="U1398:V1399"/>
    <mergeCell ref="W1398:W1399"/>
    <mergeCell ref="X1398:AB1398"/>
    <mergeCell ref="AD1398:AI1398"/>
    <mergeCell ref="AJ1398:AL1398"/>
    <mergeCell ref="AN1398:AO1398"/>
    <mergeCell ref="AP1398:AQ1398"/>
    <mergeCell ref="AR1398:AS1399"/>
    <mergeCell ref="AT1398:AU1399"/>
    <mergeCell ref="AV1398:AW1399"/>
    <mergeCell ref="AX1398:AY1399"/>
    <mergeCell ref="AZ1398:AZ1399"/>
    <mergeCell ref="F1399:H1399"/>
    <mergeCell ref="X1399:AB1399"/>
    <mergeCell ref="AE1399:AI1399"/>
    <mergeCell ref="AJ1399:AL1399"/>
    <mergeCell ref="AN1399:AO1399"/>
    <mergeCell ref="AP1399:AQ1399"/>
    <mergeCell ref="A1400:A1401"/>
    <mergeCell ref="E1400:E1401"/>
    <mergeCell ref="F1400:H1400"/>
    <mergeCell ref="J1400:J1401"/>
    <mergeCell ref="K1400:L1401"/>
    <mergeCell ref="M1400:N1401"/>
    <mergeCell ref="O1400:P1401"/>
    <mergeCell ref="Q1400:R1401"/>
    <mergeCell ref="S1400:T1401"/>
    <mergeCell ref="U1400:V1401"/>
    <mergeCell ref="W1400:W1401"/>
    <mergeCell ref="X1400:AB1400"/>
    <mergeCell ref="AD1400:AI1400"/>
    <mergeCell ref="AJ1400:AL1400"/>
    <mergeCell ref="AN1400:AO1400"/>
    <mergeCell ref="AP1400:AQ1400"/>
    <mergeCell ref="AR1400:AS1401"/>
    <mergeCell ref="AT1400:AU1401"/>
    <mergeCell ref="AV1400:AW1401"/>
    <mergeCell ref="AX1400:AY1401"/>
    <mergeCell ref="AZ1400:AZ1401"/>
    <mergeCell ref="F1401:H1401"/>
    <mergeCell ref="X1401:AB1401"/>
    <mergeCell ref="AE1401:AI1401"/>
    <mergeCell ref="AJ1401:AL1401"/>
    <mergeCell ref="AN1401:AO1401"/>
    <mergeCell ref="AP1401:AQ1401"/>
    <mergeCell ref="A1402:A1403"/>
    <mergeCell ref="E1402:E1403"/>
    <mergeCell ref="F1402:H1402"/>
    <mergeCell ref="J1402:J1403"/>
    <mergeCell ref="K1402:L1403"/>
    <mergeCell ref="M1402:N1403"/>
    <mergeCell ref="O1402:P1403"/>
    <mergeCell ref="Q1402:R1403"/>
    <mergeCell ref="S1402:T1403"/>
    <mergeCell ref="U1402:V1403"/>
    <mergeCell ref="W1402:W1403"/>
    <mergeCell ref="X1402:AB1402"/>
    <mergeCell ref="AD1402:AI1402"/>
    <mergeCell ref="AJ1402:AL1402"/>
    <mergeCell ref="AN1402:AO1402"/>
    <mergeCell ref="AP1402:AQ1402"/>
    <mergeCell ref="AR1402:AS1403"/>
    <mergeCell ref="AT1402:AU1403"/>
    <mergeCell ref="AV1402:AW1403"/>
    <mergeCell ref="AX1402:AY1403"/>
    <mergeCell ref="AZ1402:AZ1403"/>
    <mergeCell ref="F1403:H1403"/>
    <mergeCell ref="X1403:AB1403"/>
    <mergeCell ref="AE1403:AI1403"/>
    <mergeCell ref="AJ1403:AL1403"/>
    <mergeCell ref="AN1403:AO1403"/>
    <mergeCell ref="AP1403:AQ1403"/>
    <mergeCell ref="A1404:A1405"/>
    <mergeCell ref="E1404:E1405"/>
    <mergeCell ref="F1404:H1404"/>
    <mergeCell ref="J1404:J1405"/>
    <mergeCell ref="K1404:L1405"/>
    <mergeCell ref="M1404:N1405"/>
    <mergeCell ref="O1404:P1405"/>
    <mergeCell ref="Q1404:R1405"/>
    <mergeCell ref="S1404:T1405"/>
    <mergeCell ref="U1404:V1405"/>
    <mergeCell ref="W1404:W1405"/>
    <mergeCell ref="X1404:AB1404"/>
    <mergeCell ref="AD1404:AI1404"/>
    <mergeCell ref="AJ1404:AL1404"/>
    <mergeCell ref="AN1404:AO1404"/>
    <mergeCell ref="AP1404:AQ1404"/>
    <mergeCell ref="AR1404:AS1405"/>
    <mergeCell ref="AT1404:AU1405"/>
    <mergeCell ref="AV1404:AW1405"/>
    <mergeCell ref="AX1404:AY1405"/>
    <mergeCell ref="AZ1404:AZ1405"/>
    <mergeCell ref="F1405:H1405"/>
    <mergeCell ref="X1405:AB1405"/>
    <mergeCell ref="AE1405:AI1405"/>
    <mergeCell ref="AJ1405:AL1405"/>
    <mergeCell ref="AN1405:AO1405"/>
    <mergeCell ref="AP1405:AQ1405"/>
    <mergeCell ref="A1406:A1407"/>
    <mergeCell ref="E1406:E1407"/>
    <mergeCell ref="F1406:H1406"/>
    <mergeCell ref="J1406:J1407"/>
    <mergeCell ref="K1406:L1407"/>
    <mergeCell ref="M1406:N1407"/>
    <mergeCell ref="O1406:P1407"/>
    <mergeCell ref="Q1406:R1407"/>
    <mergeCell ref="S1406:T1407"/>
    <mergeCell ref="U1406:V1407"/>
    <mergeCell ref="W1406:W1407"/>
    <mergeCell ref="X1406:AB1406"/>
    <mergeCell ref="AD1406:AI1406"/>
    <mergeCell ref="AJ1406:AL1406"/>
    <mergeCell ref="AN1406:AO1406"/>
    <mergeCell ref="AP1406:AQ1406"/>
    <mergeCell ref="AR1406:AS1407"/>
    <mergeCell ref="AT1406:AU1407"/>
    <mergeCell ref="AV1406:AW1407"/>
    <mergeCell ref="AX1406:AY1407"/>
    <mergeCell ref="AZ1406:AZ1407"/>
    <mergeCell ref="F1407:H1407"/>
    <mergeCell ref="X1407:AB1407"/>
    <mergeCell ref="AE1407:AI1407"/>
    <mergeCell ref="AJ1407:AL1407"/>
    <mergeCell ref="AN1407:AO1407"/>
    <mergeCell ref="AP1407:AQ1407"/>
    <mergeCell ref="A1408:A1409"/>
    <mergeCell ref="E1408:E1409"/>
    <mergeCell ref="F1408:H1408"/>
    <mergeCell ref="J1408:J1409"/>
    <mergeCell ref="K1408:L1409"/>
    <mergeCell ref="M1408:N1409"/>
    <mergeCell ref="O1408:P1409"/>
    <mergeCell ref="Q1408:R1409"/>
    <mergeCell ref="S1408:T1409"/>
    <mergeCell ref="U1408:V1409"/>
    <mergeCell ref="W1408:W1409"/>
    <mergeCell ref="X1408:AB1408"/>
    <mergeCell ref="AD1408:AI1408"/>
    <mergeCell ref="AJ1408:AL1408"/>
    <mergeCell ref="AN1408:AO1408"/>
    <mergeCell ref="AP1408:AQ1408"/>
    <mergeCell ref="AR1408:AS1409"/>
    <mergeCell ref="AT1408:AU1409"/>
    <mergeCell ref="AV1408:AW1409"/>
    <mergeCell ref="AX1408:AY1409"/>
    <mergeCell ref="AZ1408:AZ1409"/>
    <mergeCell ref="F1409:H1409"/>
    <mergeCell ref="X1409:AB1409"/>
    <mergeCell ref="AE1409:AI1409"/>
    <mergeCell ref="AJ1409:AL1409"/>
    <mergeCell ref="AN1409:AO1409"/>
    <mergeCell ref="AP1409:AQ1409"/>
    <mergeCell ref="A1410:A1411"/>
    <mergeCell ref="E1410:E1411"/>
    <mergeCell ref="F1410:H1410"/>
    <mergeCell ref="J1410:J1411"/>
    <mergeCell ref="K1410:L1411"/>
    <mergeCell ref="M1410:N1411"/>
    <mergeCell ref="O1410:P1411"/>
    <mergeCell ref="Q1410:R1411"/>
    <mergeCell ref="S1410:T1411"/>
    <mergeCell ref="U1410:V1411"/>
    <mergeCell ref="W1410:W1411"/>
    <mergeCell ref="X1410:AB1410"/>
    <mergeCell ref="AD1410:AI1410"/>
    <mergeCell ref="AJ1410:AL1410"/>
    <mergeCell ref="AN1410:AO1410"/>
    <mergeCell ref="AP1410:AQ1410"/>
    <mergeCell ref="AR1410:AS1411"/>
    <mergeCell ref="AT1410:AU1411"/>
    <mergeCell ref="AV1410:AW1411"/>
    <mergeCell ref="AX1410:AY1411"/>
    <mergeCell ref="AZ1410:AZ1411"/>
    <mergeCell ref="F1411:H1411"/>
    <mergeCell ref="X1411:AB1411"/>
    <mergeCell ref="AE1411:AI1411"/>
    <mergeCell ref="AJ1411:AL1411"/>
    <mergeCell ref="AN1411:AO1411"/>
    <mergeCell ref="AP1411:AQ1411"/>
    <mergeCell ref="A1412:A1413"/>
    <mergeCell ref="E1412:E1413"/>
    <mergeCell ref="F1412:H1412"/>
    <mergeCell ref="J1412:J1413"/>
    <mergeCell ref="K1412:L1413"/>
    <mergeCell ref="M1412:N1413"/>
    <mergeCell ref="O1412:P1413"/>
    <mergeCell ref="Q1412:R1413"/>
    <mergeCell ref="S1412:T1413"/>
    <mergeCell ref="U1412:V1413"/>
    <mergeCell ref="W1412:W1413"/>
    <mergeCell ref="X1412:AB1412"/>
    <mergeCell ref="AD1412:AI1412"/>
    <mergeCell ref="AJ1412:AL1412"/>
    <mergeCell ref="AN1412:AO1412"/>
    <mergeCell ref="AP1412:AQ1412"/>
    <mergeCell ref="AR1412:AS1413"/>
    <mergeCell ref="AT1412:AU1413"/>
    <mergeCell ref="AV1412:AW1413"/>
    <mergeCell ref="AX1412:AY1413"/>
    <mergeCell ref="AZ1412:AZ1413"/>
    <mergeCell ref="F1413:H1413"/>
    <mergeCell ref="X1413:AB1413"/>
    <mergeCell ref="AE1413:AI1413"/>
    <mergeCell ref="AJ1413:AL1413"/>
    <mergeCell ref="AN1413:AO1413"/>
    <mergeCell ref="AP1413:AQ1413"/>
    <mergeCell ref="A1414:A1415"/>
    <mergeCell ref="E1414:E1415"/>
    <mergeCell ref="F1414:H1414"/>
    <mergeCell ref="J1414:J1415"/>
    <mergeCell ref="K1414:L1415"/>
    <mergeCell ref="M1414:N1415"/>
    <mergeCell ref="O1414:P1415"/>
    <mergeCell ref="Q1414:R1415"/>
    <mergeCell ref="S1414:T1415"/>
    <mergeCell ref="U1414:V1415"/>
    <mergeCell ref="W1414:W1415"/>
    <mergeCell ref="X1414:AB1414"/>
    <mergeCell ref="AD1414:AI1414"/>
    <mergeCell ref="AJ1414:AL1414"/>
    <mergeCell ref="AN1414:AO1414"/>
    <mergeCell ref="AP1414:AQ1414"/>
    <mergeCell ref="AR1414:AS1415"/>
    <mergeCell ref="AT1414:AU1415"/>
    <mergeCell ref="AV1414:AW1415"/>
    <mergeCell ref="AX1414:AY1415"/>
    <mergeCell ref="AZ1414:AZ1415"/>
    <mergeCell ref="F1415:H1415"/>
    <mergeCell ref="X1415:AB1415"/>
    <mergeCell ref="AE1415:AI1415"/>
    <mergeCell ref="AJ1415:AL1415"/>
    <mergeCell ref="AN1415:AO1415"/>
    <mergeCell ref="AP1415:AQ1415"/>
    <mergeCell ref="A1416:A1417"/>
    <mergeCell ref="E1416:E1417"/>
    <mergeCell ref="F1416:H1416"/>
    <mergeCell ref="J1416:J1417"/>
    <mergeCell ref="K1416:L1417"/>
    <mergeCell ref="M1416:N1417"/>
    <mergeCell ref="O1416:P1417"/>
    <mergeCell ref="Q1416:R1417"/>
    <mergeCell ref="S1416:T1417"/>
    <mergeCell ref="U1416:V1417"/>
    <mergeCell ref="W1416:W1417"/>
    <mergeCell ref="X1416:AB1416"/>
    <mergeCell ref="AD1416:AI1416"/>
    <mergeCell ref="AJ1416:AL1416"/>
    <mergeCell ref="AN1416:AO1416"/>
    <mergeCell ref="AP1416:AQ1416"/>
    <mergeCell ref="AR1416:AS1417"/>
    <mergeCell ref="AT1416:AU1417"/>
    <mergeCell ref="AV1416:AW1417"/>
    <mergeCell ref="AX1416:AY1417"/>
    <mergeCell ref="AZ1416:AZ1417"/>
    <mergeCell ref="F1417:H1417"/>
    <mergeCell ref="X1417:AB1417"/>
    <mergeCell ref="AE1417:AI1417"/>
    <mergeCell ref="AJ1417:AL1417"/>
    <mergeCell ref="AN1417:AO1417"/>
    <mergeCell ref="AP1417:AQ1417"/>
    <mergeCell ref="A1418:A1419"/>
    <mergeCell ref="E1418:E1419"/>
    <mergeCell ref="F1418:H1418"/>
    <mergeCell ref="J1418:J1419"/>
    <mergeCell ref="K1418:L1419"/>
    <mergeCell ref="M1418:N1419"/>
    <mergeCell ref="O1418:P1419"/>
    <mergeCell ref="Q1418:R1419"/>
    <mergeCell ref="S1418:T1419"/>
    <mergeCell ref="U1418:V1419"/>
    <mergeCell ref="W1418:W1419"/>
    <mergeCell ref="X1418:AB1418"/>
    <mergeCell ref="AD1418:AI1418"/>
    <mergeCell ref="AJ1418:AL1418"/>
    <mergeCell ref="AN1418:AO1418"/>
    <mergeCell ref="AP1418:AQ1418"/>
    <mergeCell ref="AR1418:AS1419"/>
    <mergeCell ref="AT1418:AU1419"/>
    <mergeCell ref="AV1418:AW1419"/>
    <mergeCell ref="AX1418:AY1419"/>
    <mergeCell ref="AZ1418:AZ1419"/>
    <mergeCell ref="F1419:H1419"/>
    <mergeCell ref="X1419:AB1419"/>
    <mergeCell ref="AE1419:AI1419"/>
    <mergeCell ref="AJ1419:AL1419"/>
    <mergeCell ref="AN1419:AO1419"/>
    <mergeCell ref="AP1419:AQ1419"/>
    <mergeCell ref="A1420:A1421"/>
    <mergeCell ref="E1420:E1421"/>
    <mergeCell ref="F1420:H1420"/>
    <mergeCell ref="J1420:J1421"/>
    <mergeCell ref="K1420:L1421"/>
    <mergeCell ref="M1420:N1421"/>
    <mergeCell ref="O1420:P1421"/>
    <mergeCell ref="Q1420:R1421"/>
    <mergeCell ref="S1420:T1421"/>
    <mergeCell ref="U1420:V1421"/>
    <mergeCell ref="W1420:W1421"/>
    <mergeCell ref="X1420:AB1420"/>
    <mergeCell ref="AD1420:AI1420"/>
    <mergeCell ref="AJ1420:AL1420"/>
    <mergeCell ref="AN1420:AO1420"/>
    <mergeCell ref="AP1420:AQ1420"/>
    <mergeCell ref="AR1420:AS1421"/>
    <mergeCell ref="AT1420:AU1421"/>
    <mergeCell ref="AV1420:AW1421"/>
    <mergeCell ref="AX1420:AY1421"/>
    <mergeCell ref="AZ1420:AZ1421"/>
    <mergeCell ref="F1421:H1421"/>
    <mergeCell ref="X1421:AB1421"/>
    <mergeCell ref="AE1421:AI1421"/>
    <mergeCell ref="AJ1421:AL1421"/>
    <mergeCell ref="AN1421:AO1421"/>
    <mergeCell ref="AP1421:AQ1421"/>
    <mergeCell ref="A1422:A1423"/>
    <mergeCell ref="E1422:E1423"/>
    <mergeCell ref="F1422:H1422"/>
    <mergeCell ref="J1422:J1423"/>
    <mergeCell ref="K1422:L1423"/>
    <mergeCell ref="M1422:N1423"/>
    <mergeCell ref="O1422:P1423"/>
    <mergeCell ref="Q1422:R1423"/>
    <mergeCell ref="S1422:T1423"/>
    <mergeCell ref="U1422:V1423"/>
    <mergeCell ref="W1422:W1423"/>
    <mergeCell ref="X1422:AB1422"/>
    <mergeCell ref="AD1422:AI1422"/>
    <mergeCell ref="AJ1422:AL1422"/>
    <mergeCell ref="AN1422:AO1422"/>
    <mergeCell ref="AP1422:AQ1422"/>
    <mergeCell ref="AR1422:AS1423"/>
    <mergeCell ref="AT1422:AU1423"/>
    <mergeCell ref="AV1422:AW1423"/>
    <mergeCell ref="AX1422:AY1423"/>
    <mergeCell ref="AZ1422:AZ1423"/>
    <mergeCell ref="F1423:H1423"/>
    <mergeCell ref="X1423:AB1423"/>
    <mergeCell ref="AE1423:AI1423"/>
    <mergeCell ref="AJ1423:AL1423"/>
    <mergeCell ref="AN1423:AO1423"/>
    <mergeCell ref="AP1423:AQ1423"/>
    <mergeCell ref="A1424:A1425"/>
    <mergeCell ref="E1424:E1425"/>
    <mergeCell ref="F1424:H1424"/>
    <mergeCell ref="J1424:J1425"/>
    <mergeCell ref="K1424:L1425"/>
    <mergeCell ref="M1424:N1425"/>
    <mergeCell ref="O1424:P1425"/>
    <mergeCell ref="Q1424:R1425"/>
    <mergeCell ref="S1424:T1425"/>
    <mergeCell ref="U1424:V1425"/>
    <mergeCell ref="W1424:W1425"/>
    <mergeCell ref="X1424:AB1424"/>
    <mergeCell ref="AD1424:AI1424"/>
    <mergeCell ref="AJ1424:AL1424"/>
    <mergeCell ref="AN1424:AO1424"/>
    <mergeCell ref="AP1424:AQ1424"/>
    <mergeCell ref="AR1424:AS1425"/>
    <mergeCell ref="AT1424:AU1425"/>
    <mergeCell ref="AV1424:AW1425"/>
    <mergeCell ref="AX1424:AY1425"/>
    <mergeCell ref="AZ1424:AZ1425"/>
    <mergeCell ref="F1425:H1425"/>
    <mergeCell ref="X1425:AB1425"/>
    <mergeCell ref="AE1425:AI1425"/>
    <mergeCell ref="AJ1425:AL1425"/>
    <mergeCell ref="AN1425:AO1425"/>
    <mergeCell ref="AP1425:AQ1425"/>
    <mergeCell ref="A1426:A1427"/>
    <mergeCell ref="E1426:E1427"/>
    <mergeCell ref="F1426:H1426"/>
    <mergeCell ref="J1426:J1427"/>
    <mergeCell ref="K1426:L1427"/>
    <mergeCell ref="M1426:N1427"/>
    <mergeCell ref="O1426:P1427"/>
    <mergeCell ref="Q1426:R1427"/>
    <mergeCell ref="S1426:T1427"/>
    <mergeCell ref="U1426:V1427"/>
    <mergeCell ref="W1426:W1427"/>
    <mergeCell ref="X1426:AB1426"/>
    <mergeCell ref="AD1426:AI1426"/>
    <mergeCell ref="AJ1426:AL1426"/>
    <mergeCell ref="AN1426:AO1426"/>
    <mergeCell ref="AP1426:AQ1426"/>
    <mergeCell ref="AR1426:AS1427"/>
    <mergeCell ref="AT1426:AU1427"/>
    <mergeCell ref="AV1426:AW1427"/>
    <mergeCell ref="AX1426:AY1427"/>
    <mergeCell ref="AZ1426:AZ1427"/>
    <mergeCell ref="F1427:H1427"/>
    <mergeCell ref="X1427:AB1427"/>
    <mergeCell ref="AE1427:AI1427"/>
    <mergeCell ref="AJ1427:AL1427"/>
    <mergeCell ref="AN1427:AO1427"/>
    <mergeCell ref="AP1427:AQ1427"/>
    <mergeCell ref="A1428:A1429"/>
    <mergeCell ref="E1428:E1429"/>
    <mergeCell ref="F1428:H1428"/>
    <mergeCell ref="J1428:J1429"/>
    <mergeCell ref="K1428:L1429"/>
    <mergeCell ref="M1428:N1429"/>
    <mergeCell ref="O1428:P1429"/>
    <mergeCell ref="Q1428:R1429"/>
    <mergeCell ref="S1428:T1429"/>
    <mergeCell ref="U1428:V1429"/>
    <mergeCell ref="W1428:W1429"/>
    <mergeCell ref="X1428:AB1428"/>
    <mergeCell ref="AD1428:AI1428"/>
    <mergeCell ref="AJ1428:AL1428"/>
    <mergeCell ref="AN1428:AO1428"/>
    <mergeCell ref="AP1428:AQ1428"/>
    <mergeCell ref="AR1428:AS1429"/>
    <mergeCell ref="AT1428:AU1429"/>
    <mergeCell ref="AV1428:AW1429"/>
    <mergeCell ref="AX1428:AY1429"/>
    <mergeCell ref="AZ1428:AZ1429"/>
    <mergeCell ref="F1429:H1429"/>
    <mergeCell ref="X1429:AB1429"/>
    <mergeCell ref="AE1429:AI1429"/>
    <mergeCell ref="AJ1429:AL1429"/>
    <mergeCell ref="AN1429:AO1429"/>
    <mergeCell ref="AP1429:AQ1429"/>
    <mergeCell ref="A1430:A1431"/>
    <mergeCell ref="E1430:E1431"/>
    <mergeCell ref="F1430:H1430"/>
    <mergeCell ref="J1430:J1431"/>
    <mergeCell ref="K1430:L1431"/>
    <mergeCell ref="M1430:N1431"/>
    <mergeCell ref="O1430:P1431"/>
    <mergeCell ref="Q1430:R1431"/>
    <mergeCell ref="S1430:T1431"/>
    <mergeCell ref="U1430:V1431"/>
    <mergeCell ref="W1430:W1431"/>
    <mergeCell ref="X1430:AB1430"/>
    <mergeCell ref="AD1430:AI1430"/>
    <mergeCell ref="AJ1430:AL1430"/>
    <mergeCell ref="AN1430:AO1430"/>
    <mergeCell ref="AP1430:AQ1430"/>
    <mergeCell ref="AR1430:AS1431"/>
    <mergeCell ref="AT1430:AU1431"/>
    <mergeCell ref="AV1430:AW1431"/>
    <mergeCell ref="AX1430:AY1431"/>
    <mergeCell ref="AZ1430:AZ1431"/>
    <mergeCell ref="F1431:H1431"/>
    <mergeCell ref="X1431:AB1431"/>
    <mergeCell ref="AE1431:AI1431"/>
    <mergeCell ref="AJ1431:AL1431"/>
    <mergeCell ref="AN1431:AO1431"/>
    <mergeCell ref="AP1431:AQ1431"/>
    <mergeCell ref="A1432:A1433"/>
    <mergeCell ref="E1432:E1433"/>
    <mergeCell ref="F1432:H1432"/>
    <mergeCell ref="J1432:J1433"/>
    <mergeCell ref="K1432:L1433"/>
    <mergeCell ref="M1432:N1433"/>
    <mergeCell ref="O1432:P1433"/>
    <mergeCell ref="Q1432:R1433"/>
    <mergeCell ref="S1432:T1433"/>
    <mergeCell ref="U1432:V1433"/>
    <mergeCell ref="W1432:W1433"/>
    <mergeCell ref="X1432:AB1432"/>
    <mergeCell ref="AD1432:AI1432"/>
    <mergeCell ref="AJ1432:AL1432"/>
    <mergeCell ref="AN1432:AO1432"/>
    <mergeCell ref="AP1432:AQ1432"/>
    <mergeCell ref="AR1432:AS1433"/>
    <mergeCell ref="AT1432:AU1433"/>
    <mergeCell ref="AV1432:AW1433"/>
    <mergeCell ref="AX1432:AY1433"/>
    <mergeCell ref="AZ1432:AZ1433"/>
    <mergeCell ref="F1433:H1433"/>
    <mergeCell ref="X1433:AB1433"/>
    <mergeCell ref="AE1433:AI1433"/>
    <mergeCell ref="AJ1433:AL1433"/>
    <mergeCell ref="AN1433:AO1433"/>
    <mergeCell ref="AP1433:AQ1433"/>
    <mergeCell ref="A1434:A1435"/>
    <mergeCell ref="E1434:E1435"/>
    <mergeCell ref="F1434:H1434"/>
    <mergeCell ref="J1434:J1435"/>
    <mergeCell ref="K1434:L1435"/>
    <mergeCell ref="M1434:N1435"/>
    <mergeCell ref="O1434:P1435"/>
    <mergeCell ref="Q1434:R1435"/>
    <mergeCell ref="S1434:T1435"/>
    <mergeCell ref="U1434:V1435"/>
    <mergeCell ref="W1434:W1435"/>
    <mergeCell ref="X1434:AB1434"/>
    <mergeCell ref="AD1434:AI1434"/>
    <mergeCell ref="AJ1434:AL1434"/>
    <mergeCell ref="AN1434:AO1434"/>
    <mergeCell ref="AP1434:AQ1434"/>
    <mergeCell ref="AR1434:AS1435"/>
    <mergeCell ref="AT1434:AU1435"/>
    <mergeCell ref="AV1434:AW1435"/>
    <mergeCell ref="AX1434:AY1435"/>
    <mergeCell ref="AZ1434:AZ1435"/>
    <mergeCell ref="F1435:H1435"/>
    <mergeCell ref="X1435:AB1435"/>
    <mergeCell ref="AE1435:AI1435"/>
    <mergeCell ref="AJ1435:AL1435"/>
    <mergeCell ref="AN1435:AO1435"/>
    <mergeCell ref="AP1435:AQ1435"/>
    <mergeCell ref="A1436:A1437"/>
    <mergeCell ref="E1436:E1437"/>
    <mergeCell ref="F1436:H1436"/>
    <mergeCell ref="J1436:J1437"/>
    <mergeCell ref="K1436:L1437"/>
    <mergeCell ref="M1436:N1437"/>
    <mergeCell ref="O1436:P1437"/>
    <mergeCell ref="Q1436:R1437"/>
    <mergeCell ref="S1436:T1437"/>
    <mergeCell ref="U1436:V1437"/>
    <mergeCell ref="W1436:W1437"/>
    <mergeCell ref="X1436:AB1436"/>
    <mergeCell ref="AD1436:AI1436"/>
    <mergeCell ref="AJ1436:AL1436"/>
    <mergeCell ref="AN1436:AO1436"/>
    <mergeCell ref="AP1436:AQ1436"/>
    <mergeCell ref="AR1436:AS1437"/>
    <mergeCell ref="AT1436:AU1437"/>
    <mergeCell ref="AV1436:AW1437"/>
    <mergeCell ref="AX1436:AY1437"/>
    <mergeCell ref="AZ1436:AZ1437"/>
    <mergeCell ref="F1437:H1437"/>
    <mergeCell ref="X1437:AB1437"/>
    <mergeCell ref="AE1437:AI1437"/>
    <mergeCell ref="AJ1437:AL1437"/>
    <mergeCell ref="AN1437:AO1437"/>
    <mergeCell ref="AP1437:AQ1437"/>
    <mergeCell ref="A1438:A1439"/>
    <mergeCell ref="E1438:E1439"/>
    <mergeCell ref="F1438:H1438"/>
    <mergeCell ref="J1438:J1439"/>
    <mergeCell ref="K1438:L1439"/>
    <mergeCell ref="M1438:N1439"/>
    <mergeCell ref="O1438:P1439"/>
    <mergeCell ref="Q1438:R1439"/>
    <mergeCell ref="S1438:T1439"/>
    <mergeCell ref="U1438:V1439"/>
    <mergeCell ref="W1438:W1439"/>
    <mergeCell ref="X1438:AB1438"/>
    <mergeCell ref="AD1438:AI1438"/>
    <mergeCell ref="AJ1438:AL1438"/>
    <mergeCell ref="AN1438:AO1438"/>
    <mergeCell ref="AP1438:AQ1438"/>
    <mergeCell ref="AR1438:AS1439"/>
    <mergeCell ref="AT1438:AU1439"/>
    <mergeCell ref="AV1438:AW1439"/>
    <mergeCell ref="AX1438:AY1439"/>
    <mergeCell ref="AZ1438:AZ1439"/>
    <mergeCell ref="F1439:H1439"/>
    <mergeCell ref="X1439:AB1439"/>
    <mergeCell ref="AE1439:AI1439"/>
    <mergeCell ref="AJ1439:AL1439"/>
    <mergeCell ref="AN1439:AO1439"/>
    <mergeCell ref="AP1439:AQ1439"/>
    <mergeCell ref="A1440:A1441"/>
    <mergeCell ref="E1440:E1441"/>
    <mergeCell ref="F1440:H1440"/>
    <mergeCell ref="J1440:J1441"/>
    <mergeCell ref="K1440:L1441"/>
    <mergeCell ref="M1440:N1441"/>
    <mergeCell ref="O1440:P1441"/>
    <mergeCell ref="Q1440:R1441"/>
    <mergeCell ref="S1440:T1441"/>
    <mergeCell ref="U1440:V1441"/>
    <mergeCell ref="W1440:W1441"/>
    <mergeCell ref="X1440:AB1440"/>
    <mergeCell ref="AD1440:AI1440"/>
    <mergeCell ref="AJ1440:AL1440"/>
    <mergeCell ref="AN1440:AO1440"/>
    <mergeCell ref="AP1440:AQ1440"/>
    <mergeCell ref="AR1440:AS1441"/>
    <mergeCell ref="AT1440:AU1441"/>
    <mergeCell ref="AV1440:AW1441"/>
    <mergeCell ref="AX1440:AY1441"/>
    <mergeCell ref="AZ1440:AZ1441"/>
    <mergeCell ref="F1441:H1441"/>
    <mergeCell ref="X1441:AB1441"/>
    <mergeCell ref="AE1441:AI1441"/>
    <mergeCell ref="AJ1441:AL1441"/>
    <mergeCell ref="AN1441:AO1441"/>
    <mergeCell ref="AP1441:AQ1441"/>
    <mergeCell ref="A1442:A1443"/>
    <mergeCell ref="E1442:E1443"/>
    <mergeCell ref="F1442:H1442"/>
    <mergeCell ref="J1442:J1443"/>
    <mergeCell ref="K1442:L1443"/>
    <mergeCell ref="M1442:N1443"/>
    <mergeCell ref="O1442:P1443"/>
    <mergeCell ref="Q1442:R1443"/>
    <mergeCell ref="S1442:T1443"/>
    <mergeCell ref="U1442:V1443"/>
    <mergeCell ref="W1442:W1443"/>
    <mergeCell ref="X1442:AB1442"/>
    <mergeCell ref="AD1442:AI1442"/>
    <mergeCell ref="AJ1442:AL1442"/>
    <mergeCell ref="AN1442:AO1442"/>
    <mergeCell ref="AP1442:AQ1442"/>
    <mergeCell ref="AR1442:AS1443"/>
    <mergeCell ref="AT1442:AU1443"/>
    <mergeCell ref="AV1442:AW1443"/>
    <mergeCell ref="AX1442:AY1443"/>
    <mergeCell ref="AZ1442:AZ1443"/>
    <mergeCell ref="F1443:H1443"/>
    <mergeCell ref="X1443:AB1443"/>
    <mergeCell ref="AE1443:AI1443"/>
    <mergeCell ref="AJ1443:AL1443"/>
    <mergeCell ref="AN1443:AO1443"/>
    <mergeCell ref="AP1443:AQ1443"/>
    <mergeCell ref="A1444:A1445"/>
    <mergeCell ref="E1444:E1445"/>
    <mergeCell ref="F1444:H1444"/>
    <mergeCell ref="J1444:J1445"/>
    <mergeCell ref="K1444:L1445"/>
    <mergeCell ref="M1444:N1445"/>
    <mergeCell ref="O1444:P1445"/>
    <mergeCell ref="Q1444:R1445"/>
    <mergeCell ref="S1444:T1445"/>
    <mergeCell ref="U1444:V1445"/>
    <mergeCell ref="W1444:W1445"/>
    <mergeCell ref="X1444:AB1444"/>
    <mergeCell ref="AD1444:AI1444"/>
    <mergeCell ref="AJ1444:AL1444"/>
    <mergeCell ref="AN1444:AO1444"/>
    <mergeCell ref="AP1444:AQ1444"/>
    <mergeCell ref="AR1444:AS1445"/>
    <mergeCell ref="AT1444:AU1445"/>
    <mergeCell ref="AV1444:AW1445"/>
    <mergeCell ref="AX1444:AY1445"/>
    <mergeCell ref="AZ1444:AZ1445"/>
    <mergeCell ref="F1445:H1445"/>
    <mergeCell ref="X1445:AB1445"/>
    <mergeCell ref="AE1445:AI1445"/>
    <mergeCell ref="AJ1445:AL1445"/>
    <mergeCell ref="AN1445:AO1445"/>
    <mergeCell ref="AP1445:AQ1445"/>
    <mergeCell ref="A1446:A1447"/>
    <mergeCell ref="E1446:E1447"/>
    <mergeCell ref="F1446:H1446"/>
    <mergeCell ref="J1446:J1447"/>
    <mergeCell ref="K1446:L1447"/>
    <mergeCell ref="M1446:N1447"/>
    <mergeCell ref="O1446:P1447"/>
    <mergeCell ref="Q1446:R1447"/>
    <mergeCell ref="S1446:T1447"/>
    <mergeCell ref="U1446:V1447"/>
    <mergeCell ref="W1446:W1447"/>
    <mergeCell ref="X1446:AB1446"/>
    <mergeCell ref="AD1446:AI1446"/>
    <mergeCell ref="AJ1446:AL1446"/>
    <mergeCell ref="AN1446:AO1446"/>
    <mergeCell ref="AP1446:AQ1446"/>
    <mergeCell ref="AR1446:AS1447"/>
    <mergeCell ref="AT1446:AU1447"/>
    <mergeCell ref="AV1446:AW1447"/>
    <mergeCell ref="AX1446:AY1447"/>
    <mergeCell ref="AZ1446:AZ1447"/>
    <mergeCell ref="F1447:H1447"/>
    <mergeCell ref="X1447:AB1447"/>
    <mergeCell ref="AE1447:AI1447"/>
    <mergeCell ref="AJ1447:AL1447"/>
    <mergeCell ref="AN1447:AO1447"/>
    <mergeCell ref="AP1447:AQ1447"/>
    <mergeCell ref="A1448:A1449"/>
    <mergeCell ref="E1448:E1449"/>
    <mergeCell ref="F1448:H1448"/>
    <mergeCell ref="J1448:J1449"/>
    <mergeCell ref="K1448:L1449"/>
    <mergeCell ref="M1448:N1449"/>
    <mergeCell ref="O1448:P1449"/>
    <mergeCell ref="Q1448:R1449"/>
    <mergeCell ref="S1448:T1449"/>
    <mergeCell ref="U1448:V1449"/>
    <mergeCell ref="W1448:W1449"/>
    <mergeCell ref="X1448:AB1448"/>
    <mergeCell ref="AD1448:AI1448"/>
    <mergeCell ref="AJ1448:AL1448"/>
    <mergeCell ref="AN1448:AO1448"/>
    <mergeCell ref="AP1448:AQ1448"/>
    <mergeCell ref="AR1448:AS1449"/>
    <mergeCell ref="AT1448:AU1449"/>
    <mergeCell ref="AV1448:AW1449"/>
    <mergeCell ref="AX1448:AY1449"/>
    <mergeCell ref="AZ1448:AZ1449"/>
    <mergeCell ref="F1449:H1449"/>
    <mergeCell ref="X1449:AB1449"/>
    <mergeCell ref="AE1449:AI1449"/>
    <mergeCell ref="AJ1449:AL1449"/>
    <mergeCell ref="AN1449:AO1449"/>
    <mergeCell ref="AP1449:AQ1449"/>
    <mergeCell ref="A1450:A1451"/>
    <mergeCell ref="E1450:E1451"/>
    <mergeCell ref="F1450:H1450"/>
    <mergeCell ref="J1450:J1451"/>
    <mergeCell ref="K1450:L1451"/>
    <mergeCell ref="M1450:N1451"/>
    <mergeCell ref="O1450:P1451"/>
    <mergeCell ref="Q1450:R1451"/>
    <mergeCell ref="S1450:T1451"/>
    <mergeCell ref="U1450:V1451"/>
    <mergeCell ref="W1450:W1451"/>
    <mergeCell ref="X1450:AB1450"/>
    <mergeCell ref="AD1450:AI1450"/>
    <mergeCell ref="AJ1450:AL1450"/>
    <mergeCell ref="AN1450:AO1450"/>
    <mergeCell ref="AP1450:AQ1450"/>
    <mergeCell ref="AR1450:AS1451"/>
    <mergeCell ref="AT1450:AU1451"/>
    <mergeCell ref="AV1450:AW1451"/>
    <mergeCell ref="AX1450:AY1451"/>
    <mergeCell ref="AZ1450:AZ1451"/>
    <mergeCell ref="F1451:H1451"/>
    <mergeCell ref="X1451:AB1451"/>
    <mergeCell ref="AE1451:AI1451"/>
    <mergeCell ref="AJ1451:AL1451"/>
    <mergeCell ref="AN1451:AO1451"/>
    <mergeCell ref="AP1451:AQ1451"/>
    <mergeCell ref="A1452:A1453"/>
    <mergeCell ref="E1452:E1453"/>
    <mergeCell ref="F1452:H1452"/>
    <mergeCell ref="J1452:J1453"/>
    <mergeCell ref="K1452:L1453"/>
    <mergeCell ref="M1452:N1453"/>
    <mergeCell ref="O1452:P1453"/>
    <mergeCell ref="Q1452:R1453"/>
    <mergeCell ref="S1452:T1453"/>
    <mergeCell ref="U1452:V1453"/>
    <mergeCell ref="W1452:W1453"/>
    <mergeCell ref="X1452:AB1452"/>
    <mergeCell ref="AD1452:AI1452"/>
    <mergeCell ref="AJ1452:AL1452"/>
    <mergeCell ref="AN1452:AO1452"/>
    <mergeCell ref="AP1452:AQ1452"/>
    <mergeCell ref="AR1452:AS1453"/>
    <mergeCell ref="AT1452:AU1453"/>
    <mergeCell ref="AV1452:AW1453"/>
    <mergeCell ref="AX1452:AY1453"/>
    <mergeCell ref="AZ1452:AZ1453"/>
    <mergeCell ref="F1453:H1453"/>
    <mergeCell ref="X1453:AB1453"/>
    <mergeCell ref="AE1453:AI1453"/>
    <mergeCell ref="AJ1453:AL1453"/>
    <mergeCell ref="AN1453:AO1453"/>
    <mergeCell ref="AP1453:AQ1453"/>
    <mergeCell ref="A1454:A1455"/>
    <mergeCell ref="E1454:E1455"/>
    <mergeCell ref="F1454:H1454"/>
    <mergeCell ref="J1454:J1455"/>
    <mergeCell ref="K1454:L1455"/>
    <mergeCell ref="M1454:N1455"/>
    <mergeCell ref="O1454:P1455"/>
    <mergeCell ref="Q1454:R1455"/>
    <mergeCell ref="S1454:T1455"/>
    <mergeCell ref="U1454:V1455"/>
    <mergeCell ref="W1454:W1455"/>
    <mergeCell ref="X1454:AB1454"/>
    <mergeCell ref="AD1454:AI1454"/>
    <mergeCell ref="AJ1454:AL1454"/>
    <mergeCell ref="AN1454:AO1454"/>
    <mergeCell ref="AP1454:AQ1454"/>
    <mergeCell ref="AR1454:AS1455"/>
    <mergeCell ref="AT1454:AU1455"/>
    <mergeCell ref="AV1454:AW1455"/>
    <mergeCell ref="AX1454:AY1455"/>
    <mergeCell ref="AZ1454:AZ1455"/>
    <mergeCell ref="F1455:H1455"/>
    <mergeCell ref="X1455:AB1455"/>
    <mergeCell ref="AE1455:AI1455"/>
    <mergeCell ref="AJ1455:AL1455"/>
    <mergeCell ref="AN1455:AO1455"/>
    <mergeCell ref="AP1455:AQ1455"/>
    <mergeCell ref="A1456:A1457"/>
    <mergeCell ref="E1456:E1457"/>
    <mergeCell ref="F1456:H1456"/>
    <mergeCell ref="J1456:J1457"/>
    <mergeCell ref="K1456:L1457"/>
    <mergeCell ref="M1456:N1457"/>
    <mergeCell ref="O1456:P1457"/>
    <mergeCell ref="Q1456:R1457"/>
    <mergeCell ref="S1456:T1457"/>
    <mergeCell ref="U1456:V1457"/>
    <mergeCell ref="W1456:W1457"/>
    <mergeCell ref="X1456:AB1456"/>
    <mergeCell ref="AD1456:AI1456"/>
    <mergeCell ref="AJ1456:AL1456"/>
    <mergeCell ref="AN1456:AO1456"/>
    <mergeCell ref="AP1456:AQ1456"/>
    <mergeCell ref="AR1456:AS1457"/>
    <mergeCell ref="AT1456:AU1457"/>
    <mergeCell ref="AV1456:AW1457"/>
    <mergeCell ref="AX1456:AY1457"/>
    <mergeCell ref="AZ1456:AZ1457"/>
    <mergeCell ref="F1457:H1457"/>
    <mergeCell ref="X1457:AB1457"/>
    <mergeCell ref="AE1457:AI1457"/>
    <mergeCell ref="AJ1457:AL1457"/>
    <mergeCell ref="AN1457:AO1457"/>
    <mergeCell ref="AP1457:AQ1457"/>
    <mergeCell ref="A1458:A1459"/>
    <mergeCell ref="E1458:E1459"/>
    <mergeCell ref="F1458:H1458"/>
    <mergeCell ref="J1458:J1459"/>
    <mergeCell ref="K1458:L1459"/>
    <mergeCell ref="M1458:N1459"/>
    <mergeCell ref="O1458:P1459"/>
    <mergeCell ref="Q1458:R1459"/>
    <mergeCell ref="S1458:T1459"/>
    <mergeCell ref="U1458:V1459"/>
    <mergeCell ref="W1458:W1459"/>
    <mergeCell ref="X1458:AB1458"/>
    <mergeCell ref="AD1458:AI1458"/>
    <mergeCell ref="AJ1458:AL1458"/>
    <mergeCell ref="AN1458:AO1458"/>
    <mergeCell ref="AP1458:AQ1458"/>
    <mergeCell ref="AR1458:AS1459"/>
    <mergeCell ref="AT1458:AU1459"/>
    <mergeCell ref="AV1458:AW1459"/>
    <mergeCell ref="AX1458:AY1459"/>
    <mergeCell ref="AZ1458:AZ1459"/>
    <mergeCell ref="F1459:H1459"/>
    <mergeCell ref="X1459:AB1459"/>
    <mergeCell ref="AE1459:AI1459"/>
    <mergeCell ref="AJ1459:AL1459"/>
    <mergeCell ref="AN1459:AO1459"/>
    <mergeCell ref="AP1459:AQ1459"/>
    <mergeCell ref="A1460:A1461"/>
    <mergeCell ref="E1460:E1461"/>
    <mergeCell ref="F1460:H1460"/>
    <mergeCell ref="J1460:J1461"/>
    <mergeCell ref="K1460:L1461"/>
    <mergeCell ref="M1460:N1461"/>
    <mergeCell ref="O1460:P1461"/>
    <mergeCell ref="Q1460:R1461"/>
    <mergeCell ref="S1460:T1461"/>
    <mergeCell ref="U1460:V1461"/>
    <mergeCell ref="W1460:W1461"/>
    <mergeCell ref="X1460:AB1460"/>
    <mergeCell ref="AD1460:AI1460"/>
    <mergeCell ref="AJ1460:AL1460"/>
    <mergeCell ref="AN1460:AO1460"/>
    <mergeCell ref="AP1460:AQ1460"/>
    <mergeCell ref="AR1460:AS1461"/>
    <mergeCell ref="AT1460:AU1461"/>
    <mergeCell ref="AV1460:AW1461"/>
    <mergeCell ref="AX1460:AY1461"/>
    <mergeCell ref="AZ1460:AZ1461"/>
    <mergeCell ref="F1461:H1461"/>
    <mergeCell ref="X1461:AB1461"/>
    <mergeCell ref="AE1461:AI1461"/>
    <mergeCell ref="AJ1461:AL1461"/>
    <mergeCell ref="AN1461:AO1461"/>
    <mergeCell ref="AP1461:AQ1461"/>
    <mergeCell ref="A1462:A1463"/>
    <mergeCell ref="E1462:E1463"/>
    <mergeCell ref="F1462:H1462"/>
    <mergeCell ref="J1462:J1463"/>
    <mergeCell ref="K1462:L1463"/>
    <mergeCell ref="M1462:N1463"/>
    <mergeCell ref="O1462:P1463"/>
    <mergeCell ref="Q1462:R1463"/>
    <mergeCell ref="S1462:T1463"/>
    <mergeCell ref="U1462:V1463"/>
    <mergeCell ref="W1462:W1463"/>
    <mergeCell ref="X1462:AB1462"/>
    <mergeCell ref="AD1462:AI1462"/>
    <mergeCell ref="AJ1462:AL1462"/>
    <mergeCell ref="AN1462:AO1462"/>
    <mergeCell ref="AP1462:AQ1462"/>
    <mergeCell ref="AR1462:AS1463"/>
    <mergeCell ref="AT1462:AU1463"/>
    <mergeCell ref="AV1462:AW1463"/>
    <mergeCell ref="AX1462:AY1463"/>
    <mergeCell ref="AZ1462:AZ1463"/>
    <mergeCell ref="F1463:H1463"/>
    <mergeCell ref="X1463:AB1463"/>
    <mergeCell ref="AE1463:AI1463"/>
    <mergeCell ref="AJ1463:AL1463"/>
    <mergeCell ref="AN1463:AO1463"/>
    <mergeCell ref="AP1463:AQ1463"/>
    <mergeCell ref="A1464:A1465"/>
    <mergeCell ref="E1464:E1465"/>
    <mergeCell ref="F1464:H1464"/>
    <mergeCell ref="J1464:J1465"/>
    <mergeCell ref="K1464:L1465"/>
    <mergeCell ref="M1464:N1465"/>
    <mergeCell ref="O1464:P1465"/>
    <mergeCell ref="Q1464:R1465"/>
    <mergeCell ref="S1464:T1465"/>
    <mergeCell ref="U1464:V1465"/>
    <mergeCell ref="W1464:W1465"/>
    <mergeCell ref="X1464:AB1464"/>
    <mergeCell ref="AD1464:AI1464"/>
    <mergeCell ref="AJ1464:AL1464"/>
    <mergeCell ref="AN1464:AO1464"/>
    <mergeCell ref="AP1464:AQ1464"/>
    <mergeCell ref="AR1464:AS1465"/>
    <mergeCell ref="AT1464:AU1465"/>
    <mergeCell ref="AV1464:AW1465"/>
    <mergeCell ref="AX1464:AY1465"/>
    <mergeCell ref="AZ1464:AZ1465"/>
    <mergeCell ref="F1465:H1465"/>
    <mergeCell ref="X1465:AB1465"/>
    <mergeCell ref="AE1465:AI1465"/>
    <mergeCell ref="AJ1465:AL1465"/>
    <mergeCell ref="AN1465:AO1465"/>
    <mergeCell ref="AP1465:AQ1465"/>
    <mergeCell ref="A1466:A1467"/>
    <mergeCell ref="E1466:E1467"/>
    <mergeCell ref="F1466:H1466"/>
    <mergeCell ref="J1466:J1467"/>
    <mergeCell ref="K1466:L1467"/>
    <mergeCell ref="M1466:N1467"/>
    <mergeCell ref="O1466:P1467"/>
    <mergeCell ref="Q1466:R1467"/>
    <mergeCell ref="S1466:T1467"/>
    <mergeCell ref="U1466:V1467"/>
    <mergeCell ref="W1466:W1467"/>
    <mergeCell ref="X1466:AB1466"/>
    <mergeCell ref="AD1466:AI1466"/>
    <mergeCell ref="AJ1466:AL1466"/>
    <mergeCell ref="AN1466:AO1466"/>
    <mergeCell ref="AP1466:AQ1466"/>
    <mergeCell ref="AR1466:AS1467"/>
    <mergeCell ref="AT1466:AU1467"/>
    <mergeCell ref="AV1466:AW1467"/>
    <mergeCell ref="AX1466:AY1467"/>
    <mergeCell ref="AZ1466:AZ1467"/>
    <mergeCell ref="F1467:H1467"/>
    <mergeCell ref="X1467:AB1467"/>
    <mergeCell ref="AE1467:AI1467"/>
    <mergeCell ref="AJ1467:AL1467"/>
    <mergeCell ref="AN1467:AO1467"/>
    <mergeCell ref="AP1467:AQ1467"/>
    <mergeCell ref="A1468:A1469"/>
    <mergeCell ref="E1468:E1469"/>
    <mergeCell ref="F1468:H1468"/>
    <mergeCell ref="J1468:J1469"/>
    <mergeCell ref="K1468:L1469"/>
    <mergeCell ref="M1468:N1469"/>
    <mergeCell ref="O1468:P1469"/>
    <mergeCell ref="Q1468:R1469"/>
    <mergeCell ref="S1468:T1469"/>
    <mergeCell ref="U1468:V1469"/>
    <mergeCell ref="W1468:W1469"/>
    <mergeCell ref="X1468:AB1468"/>
    <mergeCell ref="AD1468:AI1468"/>
    <mergeCell ref="AJ1468:AL1468"/>
    <mergeCell ref="AN1468:AO1468"/>
    <mergeCell ref="AP1468:AQ1468"/>
    <mergeCell ref="AR1468:AS1469"/>
    <mergeCell ref="AT1468:AU1469"/>
    <mergeCell ref="AV1468:AW1469"/>
    <mergeCell ref="AX1468:AY1469"/>
    <mergeCell ref="AZ1468:AZ1469"/>
    <mergeCell ref="F1469:H1469"/>
    <mergeCell ref="X1469:AB1469"/>
    <mergeCell ref="AE1469:AI1469"/>
    <mergeCell ref="AJ1469:AL1469"/>
    <mergeCell ref="AN1469:AO1469"/>
    <mergeCell ref="AP1469:AQ1469"/>
    <mergeCell ref="A1470:A1471"/>
    <mergeCell ref="E1470:E1471"/>
    <mergeCell ref="F1470:H1470"/>
    <mergeCell ref="J1470:J1471"/>
    <mergeCell ref="K1470:L1471"/>
    <mergeCell ref="M1470:N1471"/>
    <mergeCell ref="O1470:P1471"/>
    <mergeCell ref="Q1470:R1471"/>
    <mergeCell ref="S1470:T1471"/>
    <mergeCell ref="U1470:V1471"/>
    <mergeCell ref="W1470:W1471"/>
    <mergeCell ref="X1470:AB1470"/>
    <mergeCell ref="AD1470:AI1470"/>
    <mergeCell ref="AJ1470:AL1470"/>
    <mergeCell ref="AN1470:AO1470"/>
    <mergeCell ref="AP1470:AQ1470"/>
    <mergeCell ref="AR1470:AS1471"/>
    <mergeCell ref="AT1470:AU1471"/>
    <mergeCell ref="AV1470:AW1471"/>
    <mergeCell ref="AX1470:AY1471"/>
    <mergeCell ref="AZ1470:AZ1471"/>
    <mergeCell ref="F1471:H1471"/>
    <mergeCell ref="X1471:AB1471"/>
    <mergeCell ref="AE1471:AI1471"/>
    <mergeCell ref="AJ1471:AL1471"/>
    <mergeCell ref="AN1471:AO1471"/>
    <mergeCell ref="AP1471:AQ1471"/>
    <mergeCell ref="A1472:A1473"/>
    <mergeCell ref="E1472:E1473"/>
    <mergeCell ref="F1472:H1472"/>
    <mergeCell ref="J1472:J1473"/>
    <mergeCell ref="K1472:L1473"/>
    <mergeCell ref="M1472:N1473"/>
    <mergeCell ref="O1472:P1473"/>
    <mergeCell ref="Q1472:R1473"/>
    <mergeCell ref="S1472:T1473"/>
    <mergeCell ref="U1472:V1473"/>
    <mergeCell ref="W1472:W1473"/>
    <mergeCell ref="X1472:AB1472"/>
    <mergeCell ref="AD1472:AI1472"/>
    <mergeCell ref="AJ1472:AL1472"/>
    <mergeCell ref="AN1472:AO1472"/>
    <mergeCell ref="AP1472:AQ1472"/>
    <mergeCell ref="AR1472:AS1473"/>
    <mergeCell ref="AT1472:AU1473"/>
    <mergeCell ref="AV1472:AW1473"/>
    <mergeCell ref="AX1472:AY1473"/>
    <mergeCell ref="AZ1472:AZ1473"/>
    <mergeCell ref="F1473:H1473"/>
    <mergeCell ref="X1473:AB1473"/>
    <mergeCell ref="AE1473:AI1473"/>
    <mergeCell ref="AJ1473:AL1473"/>
    <mergeCell ref="AN1473:AO1473"/>
    <mergeCell ref="AP1473:AQ1473"/>
    <mergeCell ref="A1474:A1475"/>
    <mergeCell ref="E1474:E1475"/>
    <mergeCell ref="F1474:H1474"/>
    <mergeCell ref="J1474:J1475"/>
    <mergeCell ref="K1474:L1475"/>
    <mergeCell ref="M1474:N1475"/>
    <mergeCell ref="O1474:P1475"/>
    <mergeCell ref="Q1474:R1475"/>
    <mergeCell ref="S1474:T1475"/>
    <mergeCell ref="U1474:V1475"/>
    <mergeCell ref="W1474:W1475"/>
    <mergeCell ref="X1474:AB1474"/>
    <mergeCell ref="AD1474:AI1474"/>
    <mergeCell ref="AJ1474:AL1474"/>
    <mergeCell ref="AN1474:AO1474"/>
    <mergeCell ref="AP1474:AQ1474"/>
    <mergeCell ref="AR1474:AS1475"/>
    <mergeCell ref="AT1474:AU1475"/>
    <mergeCell ref="AV1474:AW1475"/>
    <mergeCell ref="AX1474:AY1475"/>
    <mergeCell ref="AZ1474:AZ1475"/>
    <mergeCell ref="F1475:H1475"/>
    <mergeCell ref="X1475:AB1475"/>
    <mergeCell ref="AE1475:AI1475"/>
    <mergeCell ref="AJ1475:AL1475"/>
    <mergeCell ref="AN1475:AO1475"/>
    <mergeCell ref="AP1475:AQ1475"/>
    <mergeCell ref="A1476:A1477"/>
    <mergeCell ref="E1476:E1477"/>
    <mergeCell ref="F1476:H1476"/>
    <mergeCell ref="J1476:J1477"/>
    <mergeCell ref="K1476:L1477"/>
    <mergeCell ref="M1476:N1477"/>
    <mergeCell ref="O1476:P1477"/>
    <mergeCell ref="Q1476:R1477"/>
    <mergeCell ref="S1476:T1477"/>
    <mergeCell ref="U1476:V1477"/>
    <mergeCell ref="W1476:W1477"/>
    <mergeCell ref="X1476:AB1476"/>
    <mergeCell ref="AD1476:AI1476"/>
    <mergeCell ref="AJ1476:AL1476"/>
    <mergeCell ref="AN1476:AO1476"/>
    <mergeCell ref="AP1476:AQ1476"/>
    <mergeCell ref="AR1476:AS1477"/>
    <mergeCell ref="AT1476:AU1477"/>
    <mergeCell ref="AV1476:AW1477"/>
    <mergeCell ref="AX1476:AY1477"/>
    <mergeCell ref="AZ1476:AZ1477"/>
    <mergeCell ref="F1477:H1477"/>
    <mergeCell ref="X1477:AB1477"/>
    <mergeCell ref="AE1477:AI1477"/>
    <mergeCell ref="AJ1477:AL1477"/>
    <mergeCell ref="AN1477:AO1477"/>
    <mergeCell ref="AP1477:AQ1477"/>
    <mergeCell ref="A1478:A1479"/>
    <mergeCell ref="E1478:E1479"/>
    <mergeCell ref="F1478:H1478"/>
    <mergeCell ref="J1478:J1479"/>
    <mergeCell ref="K1478:L1479"/>
    <mergeCell ref="M1478:N1479"/>
    <mergeCell ref="O1478:P1479"/>
    <mergeCell ref="Q1478:R1479"/>
    <mergeCell ref="S1478:T1479"/>
    <mergeCell ref="U1478:V1479"/>
    <mergeCell ref="W1478:W1479"/>
    <mergeCell ref="X1478:AB1478"/>
    <mergeCell ref="AD1478:AI1478"/>
    <mergeCell ref="AJ1478:AL1478"/>
    <mergeCell ref="AN1478:AO1478"/>
    <mergeCell ref="AP1478:AQ1478"/>
    <mergeCell ref="AR1478:AS1479"/>
    <mergeCell ref="AT1478:AU1479"/>
    <mergeCell ref="AV1478:AW1479"/>
    <mergeCell ref="AX1478:AY1479"/>
    <mergeCell ref="AZ1478:AZ1479"/>
    <mergeCell ref="F1479:H1479"/>
    <mergeCell ref="X1479:AB1479"/>
    <mergeCell ref="AE1479:AI1479"/>
    <mergeCell ref="AJ1479:AL1479"/>
    <mergeCell ref="AN1479:AO1479"/>
    <mergeCell ref="AP1479:AQ1479"/>
    <mergeCell ref="A1480:A1481"/>
    <mergeCell ref="E1480:E1481"/>
    <mergeCell ref="F1480:H1480"/>
    <mergeCell ref="J1480:J1481"/>
    <mergeCell ref="K1480:L1481"/>
    <mergeCell ref="M1480:N1481"/>
    <mergeCell ref="O1480:P1481"/>
    <mergeCell ref="Q1480:R1481"/>
    <mergeCell ref="S1480:T1481"/>
    <mergeCell ref="U1480:V1481"/>
    <mergeCell ref="W1480:W1481"/>
    <mergeCell ref="X1480:AB1480"/>
    <mergeCell ref="AD1480:AI1480"/>
    <mergeCell ref="AJ1480:AL1480"/>
    <mergeCell ref="AN1480:AO1480"/>
    <mergeCell ref="AP1480:AQ1480"/>
    <mergeCell ref="AR1480:AS1481"/>
    <mergeCell ref="AT1480:AU1481"/>
    <mergeCell ref="AV1480:AW1481"/>
    <mergeCell ref="AX1480:AY1481"/>
    <mergeCell ref="AZ1480:AZ1481"/>
    <mergeCell ref="F1481:H1481"/>
    <mergeCell ref="X1481:AB1481"/>
    <mergeCell ref="AE1481:AI1481"/>
    <mergeCell ref="AJ1481:AL1481"/>
    <mergeCell ref="AN1481:AO1481"/>
    <mergeCell ref="AP1481:AQ1481"/>
    <mergeCell ref="A1482:A1483"/>
    <mergeCell ref="E1482:E1483"/>
    <mergeCell ref="F1482:H1482"/>
    <mergeCell ref="J1482:J1483"/>
    <mergeCell ref="K1482:L1483"/>
    <mergeCell ref="M1482:N1483"/>
    <mergeCell ref="O1482:P1483"/>
    <mergeCell ref="Q1482:R1483"/>
    <mergeCell ref="S1482:T1483"/>
    <mergeCell ref="U1482:V1483"/>
    <mergeCell ref="W1482:W1483"/>
    <mergeCell ref="X1482:AB1482"/>
    <mergeCell ref="AD1482:AI1482"/>
    <mergeCell ref="AJ1482:AL1482"/>
    <mergeCell ref="AN1482:AO1482"/>
    <mergeCell ref="AP1482:AQ1482"/>
    <mergeCell ref="AR1482:AS1483"/>
    <mergeCell ref="AT1482:AU1483"/>
    <mergeCell ref="AV1482:AW1483"/>
    <mergeCell ref="AX1482:AY1483"/>
    <mergeCell ref="AZ1482:AZ1483"/>
    <mergeCell ref="F1483:H1483"/>
    <mergeCell ref="X1483:AB1483"/>
    <mergeCell ref="AE1483:AI1483"/>
    <mergeCell ref="AJ1483:AL1483"/>
    <mergeCell ref="AN1483:AO1483"/>
    <mergeCell ref="AP1483:AQ1483"/>
    <mergeCell ref="A1484:A1485"/>
    <mergeCell ref="E1484:E1485"/>
    <mergeCell ref="F1484:H1484"/>
    <mergeCell ref="J1484:J1485"/>
    <mergeCell ref="K1484:L1485"/>
    <mergeCell ref="M1484:N1485"/>
    <mergeCell ref="O1484:P1485"/>
    <mergeCell ref="Q1484:R1485"/>
    <mergeCell ref="S1484:T1485"/>
    <mergeCell ref="U1484:V1485"/>
    <mergeCell ref="W1484:W1485"/>
    <mergeCell ref="X1484:AB1484"/>
    <mergeCell ref="AD1484:AI1484"/>
    <mergeCell ref="AJ1484:AL1484"/>
    <mergeCell ref="AN1484:AO1484"/>
    <mergeCell ref="AP1484:AQ1484"/>
    <mergeCell ref="AR1484:AS1485"/>
    <mergeCell ref="AT1484:AU1485"/>
    <mergeCell ref="AV1484:AW1485"/>
    <mergeCell ref="AX1484:AY1485"/>
    <mergeCell ref="AZ1484:AZ1485"/>
    <mergeCell ref="F1485:H1485"/>
    <mergeCell ref="X1485:AB1485"/>
    <mergeCell ref="AE1485:AI1485"/>
    <mergeCell ref="AJ1485:AL1485"/>
    <mergeCell ref="AN1485:AO1485"/>
    <mergeCell ref="AP1485:AQ1485"/>
    <mergeCell ref="A1486:A1487"/>
    <mergeCell ref="E1486:E1487"/>
    <mergeCell ref="F1486:H1486"/>
    <mergeCell ref="J1486:J1487"/>
    <mergeCell ref="K1486:L1487"/>
    <mergeCell ref="M1486:N1487"/>
    <mergeCell ref="O1486:P1487"/>
    <mergeCell ref="Q1486:R1487"/>
    <mergeCell ref="S1486:T1487"/>
    <mergeCell ref="U1486:V1487"/>
    <mergeCell ref="W1486:W1487"/>
    <mergeCell ref="X1486:AB1486"/>
    <mergeCell ref="AD1486:AI1486"/>
    <mergeCell ref="AJ1486:AL1486"/>
    <mergeCell ref="AN1486:AO1486"/>
    <mergeCell ref="AP1486:AQ1486"/>
    <mergeCell ref="AR1486:AS1487"/>
    <mergeCell ref="AT1486:AU1487"/>
    <mergeCell ref="AV1486:AW1487"/>
    <mergeCell ref="AX1486:AY1487"/>
    <mergeCell ref="AZ1486:AZ1487"/>
    <mergeCell ref="F1487:H1487"/>
    <mergeCell ref="X1487:AB1487"/>
    <mergeCell ref="AE1487:AI1487"/>
    <mergeCell ref="AJ1487:AL1487"/>
    <mergeCell ref="AN1487:AO1487"/>
    <mergeCell ref="AP1487:AQ1487"/>
    <mergeCell ref="A1488:A1489"/>
    <mergeCell ref="E1488:E1489"/>
    <mergeCell ref="F1488:H1488"/>
    <mergeCell ref="J1488:J1489"/>
    <mergeCell ref="K1488:L1489"/>
    <mergeCell ref="M1488:N1489"/>
    <mergeCell ref="O1488:P1489"/>
    <mergeCell ref="Q1488:R1489"/>
    <mergeCell ref="S1488:T1489"/>
    <mergeCell ref="U1488:V1489"/>
    <mergeCell ref="W1488:W1489"/>
    <mergeCell ref="X1488:AB1488"/>
    <mergeCell ref="AD1488:AI1488"/>
    <mergeCell ref="AJ1488:AL1488"/>
    <mergeCell ref="AN1488:AO1488"/>
    <mergeCell ref="AP1488:AQ1488"/>
    <mergeCell ref="AR1488:AS1489"/>
    <mergeCell ref="AT1488:AU1489"/>
    <mergeCell ref="AV1488:AW1489"/>
    <mergeCell ref="AX1488:AY1489"/>
    <mergeCell ref="AZ1488:AZ1489"/>
    <mergeCell ref="F1489:H1489"/>
    <mergeCell ref="X1489:AB1489"/>
    <mergeCell ref="AE1489:AI1489"/>
    <mergeCell ref="AJ1489:AL1489"/>
    <mergeCell ref="AN1489:AO1489"/>
    <mergeCell ref="AP1489:AQ1489"/>
    <mergeCell ref="A1490:A1491"/>
    <mergeCell ref="E1490:E1491"/>
    <mergeCell ref="F1490:H1490"/>
    <mergeCell ref="J1490:J1491"/>
    <mergeCell ref="K1490:L1491"/>
    <mergeCell ref="M1490:N1491"/>
    <mergeCell ref="O1490:P1491"/>
    <mergeCell ref="Q1490:R1491"/>
    <mergeCell ref="S1490:T1491"/>
    <mergeCell ref="U1490:V1491"/>
    <mergeCell ref="W1490:W1491"/>
    <mergeCell ref="X1490:AB1490"/>
    <mergeCell ref="AD1490:AI1490"/>
    <mergeCell ref="AJ1490:AL1490"/>
    <mergeCell ref="AN1490:AO1490"/>
    <mergeCell ref="AP1490:AQ1490"/>
    <mergeCell ref="AR1490:AS1491"/>
    <mergeCell ref="AT1490:AU1491"/>
    <mergeCell ref="AV1490:AW1491"/>
    <mergeCell ref="AX1490:AY1491"/>
    <mergeCell ref="AZ1490:AZ1491"/>
    <mergeCell ref="F1491:H1491"/>
    <mergeCell ref="X1491:AB1491"/>
    <mergeCell ref="AE1491:AI1491"/>
    <mergeCell ref="AJ1491:AL1491"/>
    <mergeCell ref="AN1491:AO1491"/>
    <mergeCell ref="AP1491:AQ1491"/>
    <mergeCell ref="A1492:A1493"/>
    <mergeCell ref="E1492:E1493"/>
    <mergeCell ref="F1492:H1492"/>
    <mergeCell ref="J1492:J1493"/>
    <mergeCell ref="K1492:L1493"/>
    <mergeCell ref="M1492:N1493"/>
    <mergeCell ref="O1492:P1493"/>
    <mergeCell ref="Q1492:R1493"/>
    <mergeCell ref="S1492:T1493"/>
    <mergeCell ref="U1492:V1493"/>
    <mergeCell ref="W1492:W1493"/>
    <mergeCell ref="X1492:AB1492"/>
    <mergeCell ref="AD1492:AI1492"/>
    <mergeCell ref="AJ1492:AL1492"/>
    <mergeCell ref="AN1492:AO1492"/>
    <mergeCell ref="AP1492:AQ1492"/>
    <mergeCell ref="AR1492:AS1493"/>
    <mergeCell ref="AT1492:AU1493"/>
    <mergeCell ref="AV1492:AW1493"/>
    <mergeCell ref="AX1492:AY1493"/>
    <mergeCell ref="AZ1492:AZ1493"/>
    <mergeCell ref="F1493:H1493"/>
    <mergeCell ref="X1493:AB1493"/>
    <mergeCell ref="AE1493:AI1493"/>
    <mergeCell ref="AJ1493:AL1493"/>
    <mergeCell ref="AN1493:AO1493"/>
    <mergeCell ref="AP1493:AQ1493"/>
    <mergeCell ref="A1494:A1495"/>
    <mergeCell ref="E1494:E1495"/>
    <mergeCell ref="F1494:H1494"/>
    <mergeCell ref="J1494:J1495"/>
    <mergeCell ref="K1494:L1495"/>
    <mergeCell ref="M1494:N1495"/>
    <mergeCell ref="O1494:P1495"/>
    <mergeCell ref="Q1494:R1495"/>
    <mergeCell ref="S1494:T1495"/>
    <mergeCell ref="U1494:V1495"/>
    <mergeCell ref="W1494:W1495"/>
    <mergeCell ref="X1494:AB1494"/>
    <mergeCell ref="AD1494:AI1494"/>
    <mergeCell ref="AJ1494:AL1494"/>
    <mergeCell ref="AN1494:AO1494"/>
    <mergeCell ref="AP1494:AQ1494"/>
    <mergeCell ref="AR1494:AS1495"/>
    <mergeCell ref="AT1494:AU1495"/>
    <mergeCell ref="AV1494:AW1495"/>
    <mergeCell ref="AX1494:AY1495"/>
    <mergeCell ref="AZ1494:AZ1495"/>
    <mergeCell ref="F1495:H1495"/>
    <mergeCell ref="X1495:AB1495"/>
    <mergeCell ref="AE1495:AI1495"/>
    <mergeCell ref="AJ1495:AL1495"/>
    <mergeCell ref="AN1495:AO1495"/>
    <mergeCell ref="AP1495:AQ1495"/>
    <mergeCell ref="A1496:A1497"/>
    <mergeCell ref="E1496:E1497"/>
    <mergeCell ref="F1496:H1496"/>
    <mergeCell ref="J1496:J1497"/>
    <mergeCell ref="K1496:L1497"/>
    <mergeCell ref="M1496:N1497"/>
    <mergeCell ref="O1496:P1497"/>
    <mergeCell ref="Q1496:R1497"/>
    <mergeCell ref="S1496:T1497"/>
    <mergeCell ref="U1496:V1497"/>
    <mergeCell ref="W1496:W1497"/>
    <mergeCell ref="X1496:AB1496"/>
    <mergeCell ref="AD1496:AI1496"/>
    <mergeCell ref="AJ1496:AL1496"/>
    <mergeCell ref="AN1496:AO1496"/>
    <mergeCell ref="AP1496:AQ1496"/>
    <mergeCell ref="AR1496:AS1497"/>
    <mergeCell ref="AT1496:AU1497"/>
    <mergeCell ref="AV1496:AW1497"/>
    <mergeCell ref="AX1496:AY1497"/>
    <mergeCell ref="AZ1496:AZ1497"/>
    <mergeCell ref="F1497:H1497"/>
    <mergeCell ref="X1497:AB1497"/>
    <mergeCell ref="AE1497:AI1497"/>
    <mergeCell ref="AJ1497:AL1497"/>
    <mergeCell ref="AN1497:AO1497"/>
    <mergeCell ref="AP1497:AQ1497"/>
    <mergeCell ref="A1498:A1499"/>
    <mergeCell ref="E1498:E1499"/>
    <mergeCell ref="F1498:H1498"/>
    <mergeCell ref="J1498:J1499"/>
    <mergeCell ref="K1498:L1499"/>
    <mergeCell ref="M1498:N1499"/>
    <mergeCell ref="O1498:P1499"/>
    <mergeCell ref="Q1498:R1499"/>
    <mergeCell ref="S1498:T1499"/>
    <mergeCell ref="U1498:V1499"/>
    <mergeCell ref="W1498:W1499"/>
    <mergeCell ref="X1498:AB1498"/>
    <mergeCell ref="AD1498:AI1498"/>
    <mergeCell ref="AJ1498:AL1498"/>
    <mergeCell ref="AN1498:AO1498"/>
    <mergeCell ref="AP1498:AQ1498"/>
    <mergeCell ref="AR1498:AS1499"/>
    <mergeCell ref="AT1498:AU1499"/>
    <mergeCell ref="AV1498:AW1499"/>
    <mergeCell ref="AX1498:AY1499"/>
    <mergeCell ref="AZ1498:AZ1499"/>
    <mergeCell ref="F1499:H1499"/>
    <mergeCell ref="X1499:AB1499"/>
    <mergeCell ref="AE1499:AI1499"/>
    <mergeCell ref="AJ1499:AL1499"/>
    <mergeCell ref="AN1499:AO1499"/>
    <mergeCell ref="AP1499:AQ1499"/>
    <mergeCell ref="A1500:A1501"/>
    <mergeCell ref="E1500:E1501"/>
    <mergeCell ref="F1500:H1500"/>
    <mergeCell ref="J1500:J1501"/>
    <mergeCell ref="K1500:L1501"/>
    <mergeCell ref="M1500:N1501"/>
    <mergeCell ref="O1500:P1501"/>
    <mergeCell ref="Q1500:R1501"/>
    <mergeCell ref="S1500:T1501"/>
    <mergeCell ref="U1500:V1501"/>
    <mergeCell ref="W1500:W1501"/>
    <mergeCell ref="X1500:AB1500"/>
    <mergeCell ref="AD1500:AI1500"/>
    <mergeCell ref="AJ1500:AL1500"/>
    <mergeCell ref="AN1500:AO1500"/>
    <mergeCell ref="AP1500:AQ1500"/>
    <mergeCell ref="AR1500:AS1501"/>
    <mergeCell ref="AT1500:AU1501"/>
    <mergeCell ref="AV1500:AW1501"/>
    <mergeCell ref="AX1500:AY1501"/>
    <mergeCell ref="AZ1500:AZ1501"/>
    <mergeCell ref="F1501:H1501"/>
    <mergeCell ref="X1501:AB1501"/>
    <mergeCell ref="AE1501:AI1501"/>
    <mergeCell ref="AJ1501:AL1501"/>
    <mergeCell ref="AN1501:AO1501"/>
    <mergeCell ref="AP1501:AQ1501"/>
    <mergeCell ref="A1502:A1503"/>
    <mergeCell ref="E1502:E1503"/>
    <mergeCell ref="F1502:H1502"/>
    <mergeCell ref="J1502:J1503"/>
    <mergeCell ref="K1502:L1503"/>
    <mergeCell ref="M1502:N1503"/>
    <mergeCell ref="O1502:P1503"/>
    <mergeCell ref="Q1502:R1503"/>
    <mergeCell ref="S1502:T1503"/>
    <mergeCell ref="U1502:V1503"/>
    <mergeCell ref="W1502:W1503"/>
    <mergeCell ref="X1502:AB1502"/>
    <mergeCell ref="AD1502:AI1502"/>
    <mergeCell ref="AJ1502:AL1502"/>
    <mergeCell ref="AN1502:AO1502"/>
    <mergeCell ref="AP1502:AQ1502"/>
    <mergeCell ref="AR1502:AS1503"/>
    <mergeCell ref="AT1502:AU1503"/>
    <mergeCell ref="AV1502:AW1503"/>
    <mergeCell ref="AX1502:AY1503"/>
    <mergeCell ref="AZ1502:AZ1503"/>
    <mergeCell ref="F1503:H1503"/>
    <mergeCell ref="X1503:AB1503"/>
    <mergeCell ref="AE1503:AI1503"/>
    <mergeCell ref="AJ1503:AL1503"/>
    <mergeCell ref="AN1503:AO1503"/>
    <mergeCell ref="AP1503:AQ1503"/>
    <mergeCell ref="A1504:A1505"/>
    <mergeCell ref="E1504:E1505"/>
    <mergeCell ref="F1504:H1504"/>
    <mergeCell ref="J1504:J1505"/>
    <mergeCell ref="K1504:L1505"/>
    <mergeCell ref="M1504:N1505"/>
    <mergeCell ref="O1504:P1505"/>
    <mergeCell ref="Q1504:R1505"/>
    <mergeCell ref="S1504:T1505"/>
    <mergeCell ref="U1504:V1505"/>
    <mergeCell ref="W1504:W1505"/>
    <mergeCell ref="X1504:AB1504"/>
    <mergeCell ref="AD1504:AI1504"/>
    <mergeCell ref="AJ1504:AL1504"/>
    <mergeCell ref="AN1504:AO1504"/>
    <mergeCell ref="AP1504:AQ1504"/>
    <mergeCell ref="AR1504:AS1505"/>
    <mergeCell ref="AT1504:AU1505"/>
    <mergeCell ref="AV1504:AW1505"/>
    <mergeCell ref="AX1504:AY1505"/>
    <mergeCell ref="AZ1504:AZ1505"/>
    <mergeCell ref="F1505:H1505"/>
    <mergeCell ref="X1505:AB1505"/>
    <mergeCell ref="AE1505:AI1505"/>
    <mergeCell ref="AJ1505:AL1505"/>
    <mergeCell ref="AN1505:AO1505"/>
    <mergeCell ref="AP1505:AQ1505"/>
    <mergeCell ref="A1506:A1507"/>
    <mergeCell ref="E1506:E1507"/>
    <mergeCell ref="F1506:H1506"/>
    <mergeCell ref="J1506:J1507"/>
    <mergeCell ref="K1506:L1507"/>
    <mergeCell ref="M1506:N1507"/>
    <mergeCell ref="O1506:P1507"/>
    <mergeCell ref="Q1506:R1507"/>
    <mergeCell ref="S1506:T1507"/>
    <mergeCell ref="U1506:V1507"/>
    <mergeCell ref="W1506:W1507"/>
    <mergeCell ref="X1506:AB1506"/>
    <mergeCell ref="AD1506:AI1506"/>
    <mergeCell ref="AJ1506:AL1506"/>
    <mergeCell ref="AN1506:AO1506"/>
    <mergeCell ref="AP1506:AQ1506"/>
    <mergeCell ref="AR1506:AS1507"/>
    <mergeCell ref="AT1506:AU1507"/>
    <mergeCell ref="AV1506:AW1507"/>
    <mergeCell ref="AX1506:AY1507"/>
    <mergeCell ref="AZ1506:AZ1507"/>
    <mergeCell ref="F1507:H1507"/>
    <mergeCell ref="X1507:AB1507"/>
    <mergeCell ref="AE1507:AI1507"/>
    <mergeCell ref="AJ1507:AL1507"/>
    <mergeCell ref="AN1507:AO1507"/>
    <mergeCell ref="AP1507:AQ1507"/>
    <mergeCell ref="A1508:A1509"/>
    <mergeCell ref="E1508:E1509"/>
    <mergeCell ref="F1508:H1508"/>
    <mergeCell ref="J1508:J1509"/>
    <mergeCell ref="K1508:L1509"/>
    <mergeCell ref="M1508:N1509"/>
    <mergeCell ref="O1508:P1509"/>
    <mergeCell ref="Q1508:R1509"/>
    <mergeCell ref="S1508:T1509"/>
    <mergeCell ref="U1508:V1509"/>
    <mergeCell ref="W1508:W1509"/>
    <mergeCell ref="X1508:AB1508"/>
    <mergeCell ref="AD1508:AI1508"/>
    <mergeCell ref="AJ1508:AL1508"/>
    <mergeCell ref="AN1508:AO1508"/>
    <mergeCell ref="AP1508:AQ1508"/>
    <mergeCell ref="AR1508:AS1509"/>
    <mergeCell ref="AT1508:AU1509"/>
    <mergeCell ref="AV1508:AW1509"/>
    <mergeCell ref="AX1508:AY1509"/>
    <mergeCell ref="AZ1508:AZ1509"/>
    <mergeCell ref="F1509:H1509"/>
    <mergeCell ref="X1509:AB1509"/>
    <mergeCell ref="AE1509:AI1509"/>
    <mergeCell ref="AJ1509:AL1509"/>
    <mergeCell ref="AN1509:AO1509"/>
    <mergeCell ref="AP1509:AQ1509"/>
    <mergeCell ref="A1510:A1511"/>
    <mergeCell ref="E1510:E1511"/>
    <mergeCell ref="F1510:H1510"/>
    <mergeCell ref="J1510:J1511"/>
    <mergeCell ref="K1510:L1511"/>
    <mergeCell ref="M1510:N1511"/>
    <mergeCell ref="O1510:P1511"/>
    <mergeCell ref="Q1510:R1511"/>
    <mergeCell ref="S1510:T1511"/>
    <mergeCell ref="U1510:V1511"/>
    <mergeCell ref="W1510:W1511"/>
    <mergeCell ref="X1510:AB1510"/>
    <mergeCell ref="AD1510:AI1510"/>
    <mergeCell ref="AJ1510:AL1510"/>
    <mergeCell ref="AN1510:AO1510"/>
    <mergeCell ref="AP1510:AQ1510"/>
    <mergeCell ref="AR1510:AS1511"/>
    <mergeCell ref="AT1510:AU1511"/>
    <mergeCell ref="AV1510:AW1511"/>
    <mergeCell ref="AX1510:AY1511"/>
    <mergeCell ref="AZ1510:AZ1511"/>
    <mergeCell ref="F1511:H1511"/>
    <mergeCell ref="X1511:AB1511"/>
    <mergeCell ref="AE1511:AI1511"/>
    <mergeCell ref="AJ1511:AL1511"/>
    <mergeCell ref="AN1511:AO1511"/>
    <mergeCell ref="AP1511:AQ1511"/>
    <mergeCell ref="A1512:A1513"/>
    <mergeCell ref="E1512:E1513"/>
    <mergeCell ref="F1512:H1512"/>
    <mergeCell ref="J1512:J1513"/>
    <mergeCell ref="K1512:L1513"/>
    <mergeCell ref="M1512:N1513"/>
    <mergeCell ref="O1512:P1513"/>
    <mergeCell ref="Q1512:R1513"/>
    <mergeCell ref="S1512:T1513"/>
    <mergeCell ref="U1512:V1513"/>
    <mergeCell ref="W1512:W1513"/>
    <mergeCell ref="X1512:AB1512"/>
    <mergeCell ref="AD1512:AI1512"/>
    <mergeCell ref="AJ1512:AL1512"/>
    <mergeCell ref="AN1512:AO1512"/>
    <mergeCell ref="AP1512:AQ1512"/>
    <mergeCell ref="AR1512:AS1513"/>
    <mergeCell ref="AT1512:AU1513"/>
    <mergeCell ref="AV1512:AW1513"/>
    <mergeCell ref="AX1512:AY1513"/>
    <mergeCell ref="AZ1512:AZ1513"/>
    <mergeCell ref="F1513:H1513"/>
    <mergeCell ref="X1513:AB1513"/>
    <mergeCell ref="AE1513:AI1513"/>
    <mergeCell ref="AJ1513:AL1513"/>
    <mergeCell ref="AN1513:AO1513"/>
    <mergeCell ref="AP1513:AQ1513"/>
    <mergeCell ref="A1514:A1515"/>
    <mergeCell ref="E1514:E1515"/>
    <mergeCell ref="F1514:H1514"/>
    <mergeCell ref="J1514:J1515"/>
    <mergeCell ref="K1514:L1515"/>
    <mergeCell ref="M1514:N1515"/>
    <mergeCell ref="O1514:P1515"/>
    <mergeCell ref="Q1514:R1515"/>
    <mergeCell ref="S1514:T1515"/>
    <mergeCell ref="U1514:V1515"/>
    <mergeCell ref="W1514:W1515"/>
    <mergeCell ref="X1514:AB1514"/>
    <mergeCell ref="AD1514:AI1514"/>
    <mergeCell ref="AJ1514:AL1514"/>
    <mergeCell ref="AN1514:AO1514"/>
    <mergeCell ref="AP1514:AQ1514"/>
    <mergeCell ref="AR1514:AS1515"/>
    <mergeCell ref="AT1514:AU1515"/>
    <mergeCell ref="AV1514:AW1515"/>
    <mergeCell ref="AX1514:AY1515"/>
    <mergeCell ref="AZ1514:AZ1515"/>
    <mergeCell ref="F1515:H1515"/>
    <mergeCell ref="X1515:AB1515"/>
    <mergeCell ref="AE1515:AI1515"/>
    <mergeCell ref="AJ1515:AL1515"/>
    <mergeCell ref="AN1515:AO1515"/>
    <mergeCell ref="AP1515:AQ1515"/>
    <mergeCell ref="A1516:A1517"/>
    <mergeCell ref="E1516:E1517"/>
    <mergeCell ref="F1516:H1516"/>
    <mergeCell ref="J1516:J1517"/>
    <mergeCell ref="K1516:L1517"/>
    <mergeCell ref="M1516:N1517"/>
    <mergeCell ref="O1516:P1517"/>
    <mergeCell ref="Q1516:R1517"/>
    <mergeCell ref="S1516:T1517"/>
    <mergeCell ref="U1516:V1517"/>
    <mergeCell ref="W1516:W1517"/>
    <mergeCell ref="X1516:AB1516"/>
    <mergeCell ref="AD1516:AI1516"/>
    <mergeCell ref="AJ1516:AL1516"/>
    <mergeCell ref="AN1516:AO1516"/>
    <mergeCell ref="AP1516:AQ1516"/>
    <mergeCell ref="AR1516:AS1517"/>
    <mergeCell ref="AT1516:AU1517"/>
    <mergeCell ref="AV1516:AW1517"/>
    <mergeCell ref="AX1516:AY1517"/>
    <mergeCell ref="AZ1516:AZ1517"/>
    <mergeCell ref="F1517:H1517"/>
    <mergeCell ref="X1517:AB1517"/>
    <mergeCell ref="AE1517:AI1517"/>
    <mergeCell ref="AJ1517:AL1517"/>
    <mergeCell ref="AN1517:AO1517"/>
    <mergeCell ref="AP1517:AQ1517"/>
    <mergeCell ref="A1518:A1519"/>
    <mergeCell ref="E1518:E1519"/>
    <mergeCell ref="F1518:H1518"/>
    <mergeCell ref="J1518:J1519"/>
    <mergeCell ref="K1518:L1519"/>
    <mergeCell ref="M1518:N1519"/>
    <mergeCell ref="O1518:P1519"/>
    <mergeCell ref="Q1518:R1519"/>
    <mergeCell ref="S1518:T1519"/>
    <mergeCell ref="U1518:V1519"/>
    <mergeCell ref="W1518:W1519"/>
    <mergeCell ref="X1518:AB1518"/>
    <mergeCell ref="AD1518:AI1518"/>
    <mergeCell ref="AJ1518:AL1518"/>
    <mergeCell ref="AN1518:AO1518"/>
    <mergeCell ref="AP1518:AQ1518"/>
    <mergeCell ref="AR1518:AS1519"/>
    <mergeCell ref="AT1518:AU1519"/>
    <mergeCell ref="AV1518:AW1519"/>
    <mergeCell ref="AX1518:AY1519"/>
    <mergeCell ref="AZ1518:AZ1519"/>
    <mergeCell ref="F1519:H1519"/>
    <mergeCell ref="X1519:AB1519"/>
    <mergeCell ref="AE1519:AI1519"/>
    <mergeCell ref="AJ1519:AL1519"/>
    <mergeCell ref="AN1519:AO1519"/>
    <mergeCell ref="AP1519:AQ1519"/>
    <mergeCell ref="A1520:A1521"/>
    <mergeCell ref="E1520:E1521"/>
    <mergeCell ref="F1520:H1520"/>
    <mergeCell ref="J1520:J1521"/>
    <mergeCell ref="K1520:L1521"/>
    <mergeCell ref="M1520:N1521"/>
    <mergeCell ref="O1520:P1521"/>
    <mergeCell ref="Q1520:R1521"/>
    <mergeCell ref="S1520:T1521"/>
    <mergeCell ref="U1520:V1521"/>
    <mergeCell ref="W1520:W1521"/>
    <mergeCell ref="X1520:AB1520"/>
    <mergeCell ref="AD1520:AI1520"/>
    <mergeCell ref="AJ1520:AL1520"/>
    <mergeCell ref="AN1520:AO1520"/>
    <mergeCell ref="AP1520:AQ1520"/>
    <mergeCell ref="AR1520:AS1521"/>
    <mergeCell ref="AT1520:AU1521"/>
    <mergeCell ref="AV1520:AW1521"/>
    <mergeCell ref="AX1520:AY1521"/>
    <mergeCell ref="AZ1520:AZ1521"/>
    <mergeCell ref="F1521:H1521"/>
    <mergeCell ref="X1521:AB1521"/>
    <mergeCell ref="AE1521:AI1521"/>
    <mergeCell ref="AJ1521:AL1521"/>
    <mergeCell ref="AN1521:AO1521"/>
    <mergeCell ref="AP1521:AQ1521"/>
    <mergeCell ref="A1522:A1523"/>
    <mergeCell ref="E1522:E1523"/>
    <mergeCell ref="F1522:H1522"/>
    <mergeCell ref="J1522:J1523"/>
    <mergeCell ref="K1522:L1523"/>
    <mergeCell ref="M1522:N1523"/>
    <mergeCell ref="O1522:P1523"/>
    <mergeCell ref="Q1522:R1523"/>
    <mergeCell ref="S1522:T1523"/>
    <mergeCell ref="U1522:V1523"/>
    <mergeCell ref="W1522:W1523"/>
    <mergeCell ref="X1522:AB1522"/>
    <mergeCell ref="AD1522:AI1522"/>
    <mergeCell ref="AJ1522:AL1522"/>
    <mergeCell ref="AN1522:AO1522"/>
    <mergeCell ref="AP1522:AQ1522"/>
    <mergeCell ref="AR1522:AS1523"/>
    <mergeCell ref="AT1522:AU1523"/>
    <mergeCell ref="AV1522:AW1523"/>
    <mergeCell ref="AX1522:AY1523"/>
    <mergeCell ref="AZ1522:AZ1523"/>
    <mergeCell ref="F1523:H1523"/>
    <mergeCell ref="X1523:AB1523"/>
    <mergeCell ref="AE1523:AI1523"/>
    <mergeCell ref="AJ1523:AL1523"/>
    <mergeCell ref="AN1523:AO1523"/>
    <mergeCell ref="AP1523:AQ1523"/>
    <mergeCell ref="A1524:A1525"/>
    <mergeCell ref="E1524:E1525"/>
    <mergeCell ref="F1524:H1524"/>
    <mergeCell ref="J1524:J1525"/>
    <mergeCell ref="K1524:L1525"/>
    <mergeCell ref="M1524:N1525"/>
    <mergeCell ref="O1524:P1525"/>
    <mergeCell ref="Q1524:R1525"/>
    <mergeCell ref="S1524:T1525"/>
    <mergeCell ref="U1524:V1525"/>
    <mergeCell ref="W1524:W1525"/>
    <mergeCell ref="X1524:AB1524"/>
    <mergeCell ref="AD1524:AI1524"/>
    <mergeCell ref="AJ1524:AL1524"/>
    <mergeCell ref="AN1524:AO1524"/>
    <mergeCell ref="AP1524:AQ1524"/>
    <mergeCell ref="AR1524:AS1525"/>
    <mergeCell ref="AT1524:AU1525"/>
    <mergeCell ref="AV1524:AW1525"/>
    <mergeCell ref="AX1524:AY1525"/>
    <mergeCell ref="AZ1524:AZ1525"/>
    <mergeCell ref="F1525:H1525"/>
    <mergeCell ref="X1525:AB1525"/>
    <mergeCell ref="AE1525:AI1525"/>
    <mergeCell ref="AJ1525:AL1525"/>
    <mergeCell ref="AN1525:AO1525"/>
    <mergeCell ref="AP1525:AQ1525"/>
    <mergeCell ref="A1526:A1527"/>
    <mergeCell ref="E1526:E1527"/>
    <mergeCell ref="F1526:H1526"/>
    <mergeCell ref="J1526:J1527"/>
    <mergeCell ref="K1526:L1527"/>
    <mergeCell ref="M1526:N1527"/>
    <mergeCell ref="O1526:P1527"/>
    <mergeCell ref="Q1526:R1527"/>
    <mergeCell ref="S1526:T1527"/>
    <mergeCell ref="U1526:V1527"/>
    <mergeCell ref="W1526:W1527"/>
    <mergeCell ref="X1526:AB1526"/>
    <mergeCell ref="AD1526:AI1526"/>
    <mergeCell ref="AJ1526:AL1526"/>
    <mergeCell ref="AN1526:AO1526"/>
    <mergeCell ref="AP1526:AQ1526"/>
    <mergeCell ref="AR1526:AS1527"/>
    <mergeCell ref="AT1526:AU1527"/>
    <mergeCell ref="AV1526:AW1527"/>
    <mergeCell ref="AX1526:AY1527"/>
    <mergeCell ref="AZ1526:AZ1527"/>
    <mergeCell ref="F1527:H1527"/>
    <mergeCell ref="X1527:AB1527"/>
    <mergeCell ref="AE1527:AI1527"/>
    <mergeCell ref="AJ1527:AL1527"/>
    <mergeCell ref="AN1527:AO1527"/>
    <mergeCell ref="AP1527:AQ1527"/>
    <mergeCell ref="A1528:A1529"/>
    <mergeCell ref="E1528:E1529"/>
    <mergeCell ref="F1528:H1528"/>
    <mergeCell ref="J1528:J1529"/>
    <mergeCell ref="K1528:L1529"/>
    <mergeCell ref="M1528:N1529"/>
    <mergeCell ref="O1528:P1529"/>
    <mergeCell ref="Q1528:R1529"/>
    <mergeCell ref="S1528:T1529"/>
    <mergeCell ref="U1528:V1529"/>
    <mergeCell ref="W1528:W1529"/>
    <mergeCell ref="X1528:AB1528"/>
    <mergeCell ref="AD1528:AI1528"/>
    <mergeCell ref="AJ1528:AL1528"/>
    <mergeCell ref="AN1528:AO1528"/>
    <mergeCell ref="AP1528:AQ1528"/>
    <mergeCell ref="AR1528:AS1529"/>
    <mergeCell ref="AT1528:AU1529"/>
    <mergeCell ref="AV1528:AW1529"/>
    <mergeCell ref="AX1528:AY1529"/>
    <mergeCell ref="AZ1528:AZ1529"/>
    <mergeCell ref="F1529:H1529"/>
    <mergeCell ref="X1529:AB1529"/>
    <mergeCell ref="AE1529:AI1529"/>
    <mergeCell ref="AJ1529:AL1529"/>
    <mergeCell ref="AN1529:AO1529"/>
    <mergeCell ref="AP1529:AQ1529"/>
    <mergeCell ref="A1530:A1531"/>
    <mergeCell ref="E1530:E1531"/>
    <mergeCell ref="F1530:H1530"/>
    <mergeCell ref="J1530:J1531"/>
    <mergeCell ref="K1530:L1531"/>
    <mergeCell ref="M1530:N1531"/>
    <mergeCell ref="O1530:P1531"/>
    <mergeCell ref="Q1530:R1531"/>
    <mergeCell ref="S1530:T1531"/>
    <mergeCell ref="U1530:V1531"/>
    <mergeCell ref="W1530:W1531"/>
    <mergeCell ref="X1530:AB1530"/>
    <mergeCell ref="AD1530:AI1530"/>
    <mergeCell ref="AJ1530:AL1530"/>
    <mergeCell ref="AN1530:AO1530"/>
    <mergeCell ref="AP1530:AQ1530"/>
    <mergeCell ref="AR1530:AS1531"/>
    <mergeCell ref="AT1530:AU1531"/>
    <mergeCell ref="AV1530:AW1531"/>
    <mergeCell ref="AX1530:AY1531"/>
    <mergeCell ref="AZ1530:AZ1531"/>
    <mergeCell ref="F1531:H1531"/>
    <mergeCell ref="X1531:AB1531"/>
    <mergeCell ref="AE1531:AI1531"/>
    <mergeCell ref="AJ1531:AL1531"/>
    <mergeCell ref="AN1531:AO1531"/>
    <mergeCell ref="AP1531:AQ1531"/>
    <mergeCell ref="A1532:A1533"/>
    <mergeCell ref="E1532:E1533"/>
    <mergeCell ref="F1532:H1532"/>
    <mergeCell ref="J1532:J1533"/>
    <mergeCell ref="K1532:L1533"/>
    <mergeCell ref="M1532:N1533"/>
    <mergeCell ref="O1532:P1533"/>
    <mergeCell ref="Q1532:R1533"/>
    <mergeCell ref="S1532:T1533"/>
    <mergeCell ref="U1532:V1533"/>
    <mergeCell ref="W1532:W1533"/>
    <mergeCell ref="X1532:AB1532"/>
    <mergeCell ref="AD1532:AI1532"/>
    <mergeCell ref="AJ1532:AL1532"/>
    <mergeCell ref="AN1532:AO1532"/>
    <mergeCell ref="AP1532:AQ1532"/>
    <mergeCell ref="AR1532:AS1533"/>
    <mergeCell ref="AT1532:AU1533"/>
    <mergeCell ref="AV1532:AW1533"/>
    <mergeCell ref="AX1532:AY1533"/>
    <mergeCell ref="AZ1532:AZ1533"/>
    <mergeCell ref="F1533:H1533"/>
    <mergeCell ref="X1533:AB1533"/>
    <mergeCell ref="AE1533:AI1533"/>
    <mergeCell ref="AJ1533:AL1533"/>
    <mergeCell ref="AN1533:AO1533"/>
    <mergeCell ref="AP1533:AQ1533"/>
    <mergeCell ref="A1534:A1535"/>
    <mergeCell ref="E1534:E1535"/>
    <mergeCell ref="F1534:H1534"/>
    <mergeCell ref="J1534:J1535"/>
    <mergeCell ref="K1534:L1535"/>
    <mergeCell ref="M1534:N1535"/>
    <mergeCell ref="O1534:P1535"/>
    <mergeCell ref="Q1534:R1535"/>
    <mergeCell ref="S1534:T1535"/>
    <mergeCell ref="U1534:V1535"/>
    <mergeCell ref="W1534:W1535"/>
    <mergeCell ref="X1534:AB1534"/>
    <mergeCell ref="AD1534:AI1534"/>
    <mergeCell ref="AJ1534:AL1534"/>
    <mergeCell ref="AN1534:AO1534"/>
    <mergeCell ref="AP1534:AQ1534"/>
    <mergeCell ref="AR1534:AS1535"/>
    <mergeCell ref="AT1534:AU1535"/>
    <mergeCell ref="AV1534:AW1535"/>
    <mergeCell ref="AX1534:AY1535"/>
    <mergeCell ref="AZ1534:AZ1535"/>
    <mergeCell ref="F1535:H1535"/>
    <mergeCell ref="X1535:AB1535"/>
    <mergeCell ref="AE1535:AI1535"/>
    <mergeCell ref="AJ1535:AL1535"/>
    <mergeCell ref="AN1535:AO1535"/>
    <mergeCell ref="AP1535:AQ1535"/>
    <mergeCell ref="A1536:A1537"/>
    <mergeCell ref="E1536:E1537"/>
    <mergeCell ref="F1536:H1536"/>
    <mergeCell ref="J1536:J1537"/>
    <mergeCell ref="K1536:L1537"/>
    <mergeCell ref="M1536:N1537"/>
    <mergeCell ref="O1536:P1537"/>
    <mergeCell ref="Q1536:R1537"/>
    <mergeCell ref="S1536:T1537"/>
    <mergeCell ref="U1536:V1537"/>
    <mergeCell ref="W1536:W1537"/>
    <mergeCell ref="X1536:AB1536"/>
    <mergeCell ref="AD1536:AI1536"/>
    <mergeCell ref="AJ1536:AL1536"/>
    <mergeCell ref="AN1536:AO1536"/>
    <mergeCell ref="AP1536:AQ1536"/>
    <mergeCell ref="AR1536:AS1537"/>
    <mergeCell ref="AT1536:AU1537"/>
    <mergeCell ref="AV1536:AW1537"/>
    <mergeCell ref="AX1536:AY1537"/>
    <mergeCell ref="AZ1536:AZ1537"/>
    <mergeCell ref="F1537:H1537"/>
    <mergeCell ref="X1537:AB1537"/>
    <mergeCell ref="AE1537:AI1537"/>
    <mergeCell ref="AJ1537:AL1537"/>
    <mergeCell ref="AN1537:AO1537"/>
    <mergeCell ref="AP1537:AQ1537"/>
    <mergeCell ref="A1538:A1539"/>
    <mergeCell ref="E1538:E1539"/>
    <mergeCell ref="F1538:H1538"/>
    <mergeCell ref="J1538:J1539"/>
    <mergeCell ref="K1538:L1539"/>
    <mergeCell ref="M1538:N1539"/>
    <mergeCell ref="O1538:P1539"/>
    <mergeCell ref="Q1538:R1539"/>
    <mergeCell ref="S1538:T1539"/>
    <mergeCell ref="U1538:V1539"/>
    <mergeCell ref="W1538:W1539"/>
    <mergeCell ref="X1538:AB1538"/>
    <mergeCell ref="AD1538:AI1538"/>
    <mergeCell ref="AJ1538:AL1538"/>
    <mergeCell ref="AN1538:AO1538"/>
    <mergeCell ref="AP1538:AQ1538"/>
    <mergeCell ref="AR1538:AS1539"/>
    <mergeCell ref="AT1538:AU1539"/>
    <mergeCell ref="AV1538:AW1539"/>
    <mergeCell ref="AX1538:AY1539"/>
    <mergeCell ref="AZ1538:AZ1539"/>
    <mergeCell ref="F1539:H1539"/>
    <mergeCell ref="X1539:AB1539"/>
    <mergeCell ref="AE1539:AI1539"/>
    <mergeCell ref="AJ1539:AL1539"/>
    <mergeCell ref="AN1539:AO1539"/>
    <mergeCell ref="AP1539:AQ1539"/>
    <mergeCell ref="A1540:A1541"/>
    <mergeCell ref="E1540:E1541"/>
    <mergeCell ref="F1540:H1540"/>
    <mergeCell ref="J1540:J1541"/>
    <mergeCell ref="K1540:L1541"/>
    <mergeCell ref="M1540:N1541"/>
    <mergeCell ref="O1540:P1541"/>
    <mergeCell ref="Q1540:R1541"/>
    <mergeCell ref="S1540:T1541"/>
    <mergeCell ref="U1540:V1541"/>
    <mergeCell ref="W1540:W1541"/>
    <mergeCell ref="X1540:AB1540"/>
    <mergeCell ref="AD1540:AI1540"/>
    <mergeCell ref="AJ1540:AL1540"/>
    <mergeCell ref="AN1540:AO1540"/>
    <mergeCell ref="AP1540:AQ1540"/>
    <mergeCell ref="AR1540:AS1541"/>
    <mergeCell ref="AT1540:AU1541"/>
    <mergeCell ref="AV1540:AW1541"/>
    <mergeCell ref="AX1540:AY1541"/>
    <mergeCell ref="AZ1540:AZ1541"/>
    <mergeCell ref="F1541:H1541"/>
    <mergeCell ref="X1541:AB1541"/>
    <mergeCell ref="AE1541:AI1541"/>
    <mergeCell ref="AJ1541:AL1541"/>
    <mergeCell ref="AN1541:AO1541"/>
    <mergeCell ref="AP1541:AQ1541"/>
    <mergeCell ref="A1542:A1543"/>
    <mergeCell ref="E1542:E1543"/>
    <mergeCell ref="F1542:H1542"/>
    <mergeCell ref="J1542:J1543"/>
    <mergeCell ref="K1542:L1543"/>
    <mergeCell ref="M1542:N1543"/>
    <mergeCell ref="O1542:P1543"/>
    <mergeCell ref="Q1542:R1543"/>
    <mergeCell ref="S1542:T1543"/>
    <mergeCell ref="U1542:V1543"/>
    <mergeCell ref="W1542:W1543"/>
    <mergeCell ref="X1542:AB1542"/>
    <mergeCell ref="AD1542:AI1542"/>
    <mergeCell ref="AJ1542:AL1542"/>
    <mergeCell ref="AN1542:AO1542"/>
    <mergeCell ref="AP1542:AQ1542"/>
    <mergeCell ref="AR1542:AS1543"/>
    <mergeCell ref="AT1542:AU1543"/>
    <mergeCell ref="AV1542:AW1543"/>
    <mergeCell ref="AX1542:AY1543"/>
    <mergeCell ref="AZ1542:AZ1543"/>
    <mergeCell ref="F1543:H1543"/>
    <mergeCell ref="X1543:AB1543"/>
    <mergeCell ref="AE1543:AI1543"/>
    <mergeCell ref="AJ1543:AL1543"/>
    <mergeCell ref="AN1543:AO1543"/>
    <mergeCell ref="AP1543:AQ1543"/>
    <mergeCell ref="A1544:A1545"/>
    <mergeCell ref="E1544:E1545"/>
    <mergeCell ref="F1544:H1544"/>
    <mergeCell ref="J1544:J1545"/>
    <mergeCell ref="K1544:L1545"/>
    <mergeCell ref="M1544:N1545"/>
    <mergeCell ref="O1544:P1545"/>
    <mergeCell ref="Q1544:R1545"/>
    <mergeCell ref="S1544:T1545"/>
    <mergeCell ref="U1544:V1545"/>
    <mergeCell ref="W1544:W1545"/>
    <mergeCell ref="X1544:AB1544"/>
    <mergeCell ref="AD1544:AI1544"/>
    <mergeCell ref="AJ1544:AL1544"/>
    <mergeCell ref="AN1544:AO1544"/>
    <mergeCell ref="AP1544:AQ1544"/>
    <mergeCell ref="AR1544:AS1545"/>
    <mergeCell ref="AT1544:AU1545"/>
    <mergeCell ref="AV1544:AW1545"/>
    <mergeCell ref="AX1544:AY1545"/>
    <mergeCell ref="AZ1544:AZ1545"/>
    <mergeCell ref="F1545:H1545"/>
    <mergeCell ref="X1545:AB1545"/>
    <mergeCell ref="AE1545:AI1545"/>
    <mergeCell ref="AJ1545:AL1545"/>
    <mergeCell ref="AN1545:AO1545"/>
    <mergeCell ref="AP1545:AQ1545"/>
    <mergeCell ref="A1546:A1547"/>
    <mergeCell ref="E1546:E1547"/>
    <mergeCell ref="F1546:H1546"/>
    <mergeCell ref="J1546:J1547"/>
    <mergeCell ref="K1546:L1547"/>
    <mergeCell ref="M1546:N1547"/>
    <mergeCell ref="O1546:P1547"/>
    <mergeCell ref="Q1546:R1547"/>
    <mergeCell ref="S1546:T1547"/>
    <mergeCell ref="U1546:V1547"/>
    <mergeCell ref="W1546:W1547"/>
    <mergeCell ref="X1546:AB1546"/>
    <mergeCell ref="AD1546:AI1546"/>
    <mergeCell ref="AJ1546:AL1546"/>
    <mergeCell ref="AN1546:AO1546"/>
    <mergeCell ref="AP1546:AQ1546"/>
    <mergeCell ref="AR1546:AS1547"/>
    <mergeCell ref="AT1546:AU1547"/>
    <mergeCell ref="AV1546:AW1547"/>
    <mergeCell ref="AX1546:AY1547"/>
    <mergeCell ref="AZ1546:AZ1547"/>
    <mergeCell ref="F1547:H1547"/>
    <mergeCell ref="X1547:AB1547"/>
    <mergeCell ref="AE1547:AI1547"/>
    <mergeCell ref="AJ1547:AL1547"/>
    <mergeCell ref="AN1547:AO1547"/>
    <mergeCell ref="AP1547:AQ1547"/>
    <mergeCell ref="A1548:A1549"/>
    <mergeCell ref="E1548:E1549"/>
    <mergeCell ref="F1548:H1548"/>
    <mergeCell ref="J1548:J1549"/>
    <mergeCell ref="K1548:L1549"/>
    <mergeCell ref="M1548:N1549"/>
    <mergeCell ref="O1548:P1549"/>
    <mergeCell ref="Q1548:R1549"/>
    <mergeCell ref="S1548:T1549"/>
    <mergeCell ref="U1548:V1549"/>
    <mergeCell ref="W1548:W1549"/>
    <mergeCell ref="X1548:AB1548"/>
    <mergeCell ref="AD1548:AI1548"/>
    <mergeCell ref="AJ1548:AL1548"/>
    <mergeCell ref="AN1548:AO1548"/>
    <mergeCell ref="AP1548:AQ1548"/>
    <mergeCell ref="AR1548:AS1549"/>
    <mergeCell ref="AT1548:AU1549"/>
    <mergeCell ref="AV1548:AW1549"/>
    <mergeCell ref="AX1548:AY1549"/>
    <mergeCell ref="AZ1548:AZ1549"/>
    <mergeCell ref="F1549:H1549"/>
    <mergeCell ref="X1549:AB1549"/>
    <mergeCell ref="AE1549:AI1549"/>
    <mergeCell ref="AJ1549:AL1549"/>
    <mergeCell ref="AN1549:AO1549"/>
    <mergeCell ref="AP1549:AQ1549"/>
    <mergeCell ref="A1550:A1551"/>
    <mergeCell ref="E1550:E1551"/>
    <mergeCell ref="F1550:H1550"/>
    <mergeCell ref="J1550:J1551"/>
    <mergeCell ref="K1550:L1551"/>
    <mergeCell ref="M1550:N1551"/>
    <mergeCell ref="O1550:P1551"/>
    <mergeCell ref="Q1550:R1551"/>
    <mergeCell ref="S1550:T1551"/>
    <mergeCell ref="U1550:V1551"/>
    <mergeCell ref="W1550:W1551"/>
    <mergeCell ref="X1550:AB1550"/>
    <mergeCell ref="AD1550:AI1550"/>
    <mergeCell ref="AJ1550:AL1550"/>
    <mergeCell ref="AN1550:AO1550"/>
    <mergeCell ref="AP1550:AQ1550"/>
    <mergeCell ref="AR1550:AS1551"/>
    <mergeCell ref="AT1550:AU1551"/>
    <mergeCell ref="AV1550:AW1551"/>
    <mergeCell ref="AX1550:AY1551"/>
    <mergeCell ref="AZ1550:AZ1551"/>
    <mergeCell ref="F1551:H1551"/>
    <mergeCell ref="X1551:AB1551"/>
    <mergeCell ref="AE1551:AI1551"/>
    <mergeCell ref="AJ1551:AL1551"/>
    <mergeCell ref="AN1551:AO1551"/>
    <mergeCell ref="AP1551:AQ1551"/>
    <mergeCell ref="A1552:A1553"/>
    <mergeCell ref="E1552:E1553"/>
    <mergeCell ref="F1552:H1552"/>
    <mergeCell ref="J1552:J1553"/>
    <mergeCell ref="K1552:L1553"/>
    <mergeCell ref="M1552:N1553"/>
    <mergeCell ref="O1552:P1553"/>
    <mergeCell ref="Q1552:R1553"/>
    <mergeCell ref="S1552:T1553"/>
    <mergeCell ref="U1552:V1553"/>
    <mergeCell ref="W1552:W1553"/>
    <mergeCell ref="X1552:AB1552"/>
    <mergeCell ref="AD1552:AI1552"/>
    <mergeCell ref="AJ1552:AL1552"/>
    <mergeCell ref="AN1552:AO1552"/>
    <mergeCell ref="AP1552:AQ1552"/>
    <mergeCell ref="AR1552:AS1553"/>
    <mergeCell ref="AT1552:AU1553"/>
    <mergeCell ref="AV1552:AW1553"/>
    <mergeCell ref="AX1552:AY1553"/>
    <mergeCell ref="AZ1552:AZ1553"/>
    <mergeCell ref="F1553:H1553"/>
    <mergeCell ref="X1553:AB1553"/>
    <mergeCell ref="AE1553:AI1553"/>
    <mergeCell ref="AJ1553:AL1553"/>
    <mergeCell ref="AN1553:AO1553"/>
    <mergeCell ref="AP1553:AQ1553"/>
    <mergeCell ref="A1554:A1555"/>
    <mergeCell ref="E1554:E1555"/>
    <mergeCell ref="F1554:H1554"/>
    <mergeCell ref="J1554:J1555"/>
    <mergeCell ref="K1554:L1555"/>
    <mergeCell ref="M1554:N1555"/>
    <mergeCell ref="O1554:P1555"/>
    <mergeCell ref="Q1554:R1555"/>
    <mergeCell ref="S1554:T1555"/>
    <mergeCell ref="U1554:V1555"/>
    <mergeCell ref="W1554:W1555"/>
    <mergeCell ref="X1554:AB1554"/>
    <mergeCell ref="AD1554:AI1554"/>
    <mergeCell ref="AJ1554:AL1554"/>
    <mergeCell ref="AN1554:AO1554"/>
    <mergeCell ref="AP1554:AQ1554"/>
    <mergeCell ref="AR1554:AS1555"/>
    <mergeCell ref="AT1554:AU1555"/>
    <mergeCell ref="AV1554:AW1555"/>
    <mergeCell ref="AX1554:AY1555"/>
    <mergeCell ref="AZ1554:AZ1555"/>
    <mergeCell ref="F1555:H1555"/>
    <mergeCell ref="X1555:AB1555"/>
    <mergeCell ref="AE1555:AI1555"/>
    <mergeCell ref="AJ1555:AL1555"/>
    <mergeCell ref="AN1555:AO1555"/>
    <mergeCell ref="AP1555:AQ1555"/>
    <mergeCell ref="A1556:A1557"/>
    <mergeCell ref="E1556:E1557"/>
    <mergeCell ref="F1556:H1556"/>
    <mergeCell ref="J1556:J1557"/>
    <mergeCell ref="K1556:L1557"/>
    <mergeCell ref="M1556:N1557"/>
    <mergeCell ref="O1556:P1557"/>
    <mergeCell ref="Q1556:R1557"/>
    <mergeCell ref="S1556:T1557"/>
    <mergeCell ref="U1556:V1557"/>
    <mergeCell ref="W1556:W1557"/>
    <mergeCell ref="X1556:AB1556"/>
    <mergeCell ref="AD1556:AI1556"/>
    <mergeCell ref="AJ1556:AL1556"/>
    <mergeCell ref="AN1556:AO1556"/>
    <mergeCell ref="AP1556:AQ1556"/>
    <mergeCell ref="AR1556:AS1557"/>
    <mergeCell ref="AT1556:AU1557"/>
    <mergeCell ref="AV1556:AW1557"/>
    <mergeCell ref="AX1556:AY1557"/>
    <mergeCell ref="AZ1556:AZ1557"/>
    <mergeCell ref="F1557:H1557"/>
    <mergeCell ref="X1557:AB1557"/>
    <mergeCell ref="AE1557:AI1557"/>
    <mergeCell ref="AJ1557:AL1557"/>
    <mergeCell ref="AN1557:AO1557"/>
    <mergeCell ref="AP1557:AQ1557"/>
    <mergeCell ref="A1558:A1559"/>
    <mergeCell ref="E1558:E1559"/>
    <mergeCell ref="F1558:H1558"/>
    <mergeCell ref="J1558:J1559"/>
    <mergeCell ref="K1558:L1559"/>
    <mergeCell ref="M1558:N1559"/>
    <mergeCell ref="O1558:P1559"/>
    <mergeCell ref="Q1558:R1559"/>
    <mergeCell ref="S1558:T1559"/>
    <mergeCell ref="U1558:V1559"/>
    <mergeCell ref="W1558:W1559"/>
    <mergeCell ref="X1558:AB1558"/>
    <mergeCell ref="AD1558:AI1558"/>
    <mergeCell ref="AJ1558:AL1558"/>
    <mergeCell ref="AN1558:AO1558"/>
    <mergeCell ref="AP1558:AQ1558"/>
    <mergeCell ref="AR1558:AS1559"/>
    <mergeCell ref="AT1558:AU1559"/>
    <mergeCell ref="AV1558:AW1559"/>
    <mergeCell ref="AX1558:AY1559"/>
    <mergeCell ref="AZ1558:AZ1559"/>
    <mergeCell ref="F1559:H1559"/>
    <mergeCell ref="X1559:AB1559"/>
    <mergeCell ref="AE1559:AI1559"/>
    <mergeCell ref="AJ1559:AL1559"/>
    <mergeCell ref="AN1559:AO1559"/>
    <mergeCell ref="AP1559:AQ1559"/>
    <mergeCell ref="A1560:A1561"/>
    <mergeCell ref="E1560:E1561"/>
    <mergeCell ref="F1560:H1560"/>
    <mergeCell ref="J1560:J1561"/>
    <mergeCell ref="K1560:L1561"/>
    <mergeCell ref="M1560:N1561"/>
    <mergeCell ref="O1560:P1561"/>
    <mergeCell ref="Q1560:R1561"/>
    <mergeCell ref="S1560:T1561"/>
    <mergeCell ref="U1560:V1561"/>
    <mergeCell ref="W1560:W1561"/>
    <mergeCell ref="X1560:AB1560"/>
    <mergeCell ref="AD1560:AI1560"/>
    <mergeCell ref="AJ1560:AL1560"/>
    <mergeCell ref="AN1560:AO1560"/>
    <mergeCell ref="AP1560:AQ1560"/>
    <mergeCell ref="AR1560:AS1561"/>
    <mergeCell ref="AT1560:AU1561"/>
    <mergeCell ref="AV1560:AW1561"/>
    <mergeCell ref="AX1560:AY1561"/>
    <mergeCell ref="AZ1560:AZ1561"/>
    <mergeCell ref="F1561:H1561"/>
    <mergeCell ref="X1561:AB1561"/>
    <mergeCell ref="AE1561:AI1561"/>
    <mergeCell ref="AJ1561:AL1561"/>
    <mergeCell ref="AN1561:AO1561"/>
    <mergeCell ref="AP1561:AQ1561"/>
    <mergeCell ref="A1562:A1563"/>
    <mergeCell ref="E1562:E1563"/>
    <mergeCell ref="F1562:H1562"/>
    <mergeCell ref="J1562:J1563"/>
    <mergeCell ref="K1562:L1563"/>
    <mergeCell ref="M1562:N1563"/>
    <mergeCell ref="O1562:P1563"/>
    <mergeCell ref="Q1562:R1563"/>
    <mergeCell ref="S1562:T1563"/>
    <mergeCell ref="U1562:V1563"/>
    <mergeCell ref="W1562:W1563"/>
    <mergeCell ref="X1562:AB1562"/>
    <mergeCell ref="AD1562:AI1562"/>
    <mergeCell ref="AJ1562:AL1562"/>
    <mergeCell ref="AN1562:AO1562"/>
    <mergeCell ref="AP1562:AQ1562"/>
    <mergeCell ref="AR1562:AS1563"/>
    <mergeCell ref="AT1562:AU1563"/>
    <mergeCell ref="AV1562:AW1563"/>
    <mergeCell ref="AX1562:AY1563"/>
    <mergeCell ref="AZ1562:AZ1563"/>
    <mergeCell ref="F1563:H1563"/>
    <mergeCell ref="X1563:AB1563"/>
    <mergeCell ref="AE1563:AI1563"/>
    <mergeCell ref="AJ1563:AL1563"/>
    <mergeCell ref="AN1563:AO1563"/>
    <mergeCell ref="AP1563:AQ1563"/>
    <mergeCell ref="A1564:A1565"/>
    <mergeCell ref="E1564:E1565"/>
    <mergeCell ref="F1564:H1564"/>
    <mergeCell ref="J1564:J1565"/>
    <mergeCell ref="K1564:L1565"/>
    <mergeCell ref="M1564:N1565"/>
    <mergeCell ref="O1564:P1565"/>
    <mergeCell ref="Q1564:R1565"/>
    <mergeCell ref="S1564:T1565"/>
    <mergeCell ref="U1564:V1565"/>
    <mergeCell ref="W1564:W1565"/>
    <mergeCell ref="X1564:AB1564"/>
    <mergeCell ref="AD1564:AI1564"/>
    <mergeCell ref="AJ1564:AL1564"/>
    <mergeCell ref="AN1564:AO1564"/>
    <mergeCell ref="AP1564:AQ1564"/>
    <mergeCell ref="AR1564:AS1565"/>
    <mergeCell ref="AT1564:AU1565"/>
    <mergeCell ref="AV1564:AW1565"/>
    <mergeCell ref="AX1564:AY1565"/>
    <mergeCell ref="AZ1564:AZ1565"/>
    <mergeCell ref="F1565:H1565"/>
    <mergeCell ref="X1565:AB1565"/>
    <mergeCell ref="AE1565:AI1565"/>
    <mergeCell ref="AJ1565:AL1565"/>
    <mergeCell ref="AN1565:AO1565"/>
    <mergeCell ref="AP1565:AQ1565"/>
    <mergeCell ref="A1566:A1567"/>
    <mergeCell ref="E1566:E1567"/>
    <mergeCell ref="F1566:H1566"/>
    <mergeCell ref="J1566:J1567"/>
    <mergeCell ref="K1566:L1567"/>
    <mergeCell ref="M1566:N1567"/>
    <mergeCell ref="O1566:P1567"/>
    <mergeCell ref="Q1566:R1567"/>
    <mergeCell ref="S1566:T1567"/>
    <mergeCell ref="U1566:V1567"/>
    <mergeCell ref="W1566:W1567"/>
    <mergeCell ref="X1566:AB1566"/>
    <mergeCell ref="AD1566:AI1566"/>
    <mergeCell ref="AJ1566:AL1566"/>
    <mergeCell ref="AN1566:AO1566"/>
    <mergeCell ref="AP1566:AQ1566"/>
    <mergeCell ref="AR1566:AS1567"/>
    <mergeCell ref="AT1566:AU1567"/>
    <mergeCell ref="AV1566:AW1567"/>
    <mergeCell ref="AX1566:AY1567"/>
    <mergeCell ref="AZ1566:AZ1567"/>
    <mergeCell ref="F1567:H1567"/>
    <mergeCell ref="X1567:AB1567"/>
    <mergeCell ref="AE1567:AI1567"/>
    <mergeCell ref="AJ1567:AL1567"/>
    <mergeCell ref="AN1567:AO1567"/>
    <mergeCell ref="AP1567:AQ1567"/>
    <mergeCell ref="A1568:A1569"/>
    <mergeCell ref="E1568:E1569"/>
    <mergeCell ref="F1568:H1568"/>
    <mergeCell ref="J1568:J1569"/>
    <mergeCell ref="K1568:L1569"/>
    <mergeCell ref="M1568:N1569"/>
    <mergeCell ref="O1568:P1569"/>
    <mergeCell ref="Q1568:R1569"/>
    <mergeCell ref="S1568:T1569"/>
    <mergeCell ref="U1568:V1569"/>
    <mergeCell ref="W1568:W1569"/>
    <mergeCell ref="X1568:AB1568"/>
    <mergeCell ref="AD1568:AI1568"/>
    <mergeCell ref="AJ1568:AL1568"/>
    <mergeCell ref="AN1568:AO1568"/>
    <mergeCell ref="AP1568:AQ1568"/>
    <mergeCell ref="AR1568:AS1569"/>
    <mergeCell ref="AT1568:AU1569"/>
    <mergeCell ref="AV1568:AW1569"/>
    <mergeCell ref="AX1568:AY1569"/>
    <mergeCell ref="AZ1568:AZ1569"/>
    <mergeCell ref="F1569:H1569"/>
    <mergeCell ref="X1569:AB1569"/>
    <mergeCell ref="AE1569:AI1569"/>
    <mergeCell ref="AJ1569:AL1569"/>
    <mergeCell ref="AN1569:AO1569"/>
    <mergeCell ref="AP1569:AQ1569"/>
    <mergeCell ref="A1570:A1571"/>
    <mergeCell ref="E1570:E1571"/>
    <mergeCell ref="F1570:H1570"/>
    <mergeCell ref="J1570:J1571"/>
    <mergeCell ref="K1570:L1571"/>
    <mergeCell ref="M1570:N1571"/>
    <mergeCell ref="O1570:P1571"/>
    <mergeCell ref="Q1570:R1571"/>
    <mergeCell ref="S1570:T1571"/>
    <mergeCell ref="U1570:V1571"/>
    <mergeCell ref="W1570:W1571"/>
    <mergeCell ref="X1570:AB1570"/>
    <mergeCell ref="AD1570:AI1570"/>
    <mergeCell ref="AJ1570:AL1570"/>
    <mergeCell ref="AN1570:AO1570"/>
    <mergeCell ref="AP1570:AQ1570"/>
    <mergeCell ref="AR1570:AS1571"/>
    <mergeCell ref="AT1570:AU1571"/>
    <mergeCell ref="AV1570:AW1571"/>
    <mergeCell ref="AX1570:AY1571"/>
    <mergeCell ref="AZ1570:AZ1571"/>
    <mergeCell ref="F1571:H1571"/>
    <mergeCell ref="X1571:AB1571"/>
    <mergeCell ref="AE1571:AI1571"/>
    <mergeCell ref="AJ1571:AL1571"/>
    <mergeCell ref="AN1571:AO1571"/>
    <mergeCell ref="AP1571:AQ1571"/>
    <mergeCell ref="A1572:A1573"/>
    <mergeCell ref="E1572:E1573"/>
    <mergeCell ref="F1572:H1572"/>
    <mergeCell ref="J1572:J1573"/>
    <mergeCell ref="K1572:L1573"/>
    <mergeCell ref="M1572:N1573"/>
    <mergeCell ref="O1572:P1573"/>
    <mergeCell ref="Q1572:R1573"/>
    <mergeCell ref="S1572:T1573"/>
    <mergeCell ref="U1572:V1573"/>
    <mergeCell ref="W1572:W1573"/>
    <mergeCell ref="X1572:AB1572"/>
    <mergeCell ref="AD1572:AI1572"/>
    <mergeCell ref="AJ1572:AL1572"/>
    <mergeCell ref="AN1572:AO1572"/>
    <mergeCell ref="AP1572:AQ1572"/>
    <mergeCell ref="AR1572:AS1573"/>
    <mergeCell ref="AT1572:AU1573"/>
    <mergeCell ref="AV1572:AW1573"/>
    <mergeCell ref="AX1572:AY1573"/>
    <mergeCell ref="AZ1572:AZ1573"/>
    <mergeCell ref="F1573:H1573"/>
    <mergeCell ref="X1573:AB1573"/>
    <mergeCell ref="AE1573:AI1573"/>
    <mergeCell ref="AJ1573:AL1573"/>
    <mergeCell ref="AN1573:AO1573"/>
    <mergeCell ref="AP1573:AQ1573"/>
    <mergeCell ref="A1574:A1575"/>
    <mergeCell ref="E1574:E1575"/>
    <mergeCell ref="F1574:H1574"/>
    <mergeCell ref="J1574:J1575"/>
    <mergeCell ref="K1574:L1575"/>
    <mergeCell ref="M1574:N1575"/>
    <mergeCell ref="O1574:P1575"/>
    <mergeCell ref="Q1574:R1575"/>
    <mergeCell ref="S1574:T1575"/>
    <mergeCell ref="U1574:V1575"/>
    <mergeCell ref="W1574:W1575"/>
    <mergeCell ref="X1574:AB1574"/>
    <mergeCell ref="AD1574:AI1574"/>
    <mergeCell ref="AJ1574:AL1574"/>
    <mergeCell ref="AN1574:AO1574"/>
    <mergeCell ref="AP1574:AQ1574"/>
    <mergeCell ref="AR1574:AS1575"/>
    <mergeCell ref="AT1574:AU1575"/>
    <mergeCell ref="AV1574:AW1575"/>
    <mergeCell ref="AX1574:AY1575"/>
    <mergeCell ref="AZ1574:AZ1575"/>
    <mergeCell ref="F1575:H1575"/>
    <mergeCell ref="X1575:AB1575"/>
    <mergeCell ref="AE1575:AI1575"/>
    <mergeCell ref="AJ1575:AL1575"/>
    <mergeCell ref="AN1575:AO1575"/>
    <mergeCell ref="AP1575:AQ1575"/>
    <mergeCell ref="A1576:A1577"/>
    <mergeCell ref="E1576:E1577"/>
    <mergeCell ref="F1576:H1576"/>
    <mergeCell ref="J1576:J1577"/>
    <mergeCell ref="K1576:L1577"/>
    <mergeCell ref="M1576:N1577"/>
    <mergeCell ref="O1576:P1577"/>
    <mergeCell ref="Q1576:R1577"/>
    <mergeCell ref="S1576:T1577"/>
    <mergeCell ref="U1576:V1577"/>
    <mergeCell ref="W1576:W1577"/>
    <mergeCell ref="X1576:AB1576"/>
    <mergeCell ref="AD1576:AI1576"/>
    <mergeCell ref="AJ1576:AL1576"/>
    <mergeCell ref="AN1576:AO1576"/>
    <mergeCell ref="AP1576:AQ1576"/>
    <mergeCell ref="AR1576:AS1577"/>
    <mergeCell ref="AT1576:AU1577"/>
    <mergeCell ref="AV1576:AW1577"/>
    <mergeCell ref="AX1576:AY1577"/>
    <mergeCell ref="AZ1576:AZ1577"/>
    <mergeCell ref="F1577:H1577"/>
    <mergeCell ref="X1577:AB1577"/>
    <mergeCell ref="AE1577:AI1577"/>
    <mergeCell ref="AJ1577:AL1577"/>
    <mergeCell ref="AN1577:AO1577"/>
    <mergeCell ref="AP1577:AQ1577"/>
    <mergeCell ref="A1578:A1579"/>
    <mergeCell ref="E1578:E1579"/>
    <mergeCell ref="F1578:H1578"/>
    <mergeCell ref="J1578:J1579"/>
    <mergeCell ref="K1578:L1579"/>
    <mergeCell ref="M1578:N1579"/>
    <mergeCell ref="O1578:P1579"/>
    <mergeCell ref="Q1578:R1579"/>
    <mergeCell ref="S1578:T1579"/>
    <mergeCell ref="U1578:V1579"/>
    <mergeCell ref="W1578:W1579"/>
    <mergeCell ref="X1578:AB1578"/>
    <mergeCell ref="AD1578:AI1578"/>
    <mergeCell ref="AJ1578:AL1578"/>
    <mergeCell ref="AN1578:AO1578"/>
    <mergeCell ref="AP1578:AQ1578"/>
    <mergeCell ref="AR1578:AS1579"/>
    <mergeCell ref="AT1578:AU1579"/>
    <mergeCell ref="AV1578:AW1579"/>
    <mergeCell ref="AX1578:AY1579"/>
    <mergeCell ref="AZ1578:AZ1579"/>
    <mergeCell ref="F1579:H1579"/>
    <mergeCell ref="X1579:AB1579"/>
    <mergeCell ref="AE1579:AI1579"/>
    <mergeCell ref="AJ1579:AL1579"/>
    <mergeCell ref="AN1579:AO1579"/>
    <mergeCell ref="AP1579:AQ1579"/>
    <mergeCell ref="A1580:A1581"/>
    <mergeCell ref="E1580:E1581"/>
    <mergeCell ref="F1580:H1580"/>
    <mergeCell ref="J1580:J1581"/>
    <mergeCell ref="K1580:L1581"/>
    <mergeCell ref="M1580:N1581"/>
    <mergeCell ref="O1580:P1581"/>
    <mergeCell ref="Q1580:R1581"/>
    <mergeCell ref="S1580:T1581"/>
    <mergeCell ref="U1580:V1581"/>
    <mergeCell ref="W1580:W1581"/>
    <mergeCell ref="X1580:AB1580"/>
    <mergeCell ref="AD1580:AI1580"/>
    <mergeCell ref="AJ1580:AL1580"/>
    <mergeCell ref="AN1580:AO1580"/>
    <mergeCell ref="AP1580:AQ1580"/>
    <mergeCell ref="AR1580:AS1581"/>
    <mergeCell ref="AT1580:AU1581"/>
    <mergeCell ref="AV1580:AW1581"/>
    <mergeCell ref="AX1580:AY1581"/>
    <mergeCell ref="AZ1580:AZ1581"/>
    <mergeCell ref="F1581:H1581"/>
    <mergeCell ref="X1581:AB1581"/>
    <mergeCell ref="AE1581:AI1581"/>
    <mergeCell ref="AJ1581:AL1581"/>
    <mergeCell ref="AN1581:AO1581"/>
    <mergeCell ref="AP1581:AQ1581"/>
    <mergeCell ref="A1582:A1583"/>
    <mergeCell ref="E1582:E1583"/>
    <mergeCell ref="F1582:H1582"/>
    <mergeCell ref="J1582:J1583"/>
    <mergeCell ref="K1582:L1583"/>
    <mergeCell ref="M1582:N1583"/>
    <mergeCell ref="O1582:P1583"/>
    <mergeCell ref="Q1582:R1583"/>
    <mergeCell ref="S1582:T1583"/>
    <mergeCell ref="U1582:V1583"/>
    <mergeCell ref="W1582:W1583"/>
    <mergeCell ref="X1582:AB1582"/>
    <mergeCell ref="AD1582:AI1582"/>
    <mergeCell ref="AJ1582:AL1582"/>
    <mergeCell ref="AN1582:AO1582"/>
    <mergeCell ref="AP1582:AQ1582"/>
    <mergeCell ref="AR1582:AS1583"/>
    <mergeCell ref="AT1582:AU1583"/>
    <mergeCell ref="AV1582:AW1583"/>
    <mergeCell ref="AX1582:AY1583"/>
    <mergeCell ref="AZ1582:AZ1583"/>
    <mergeCell ref="F1583:H1583"/>
    <mergeCell ref="X1583:AB1583"/>
    <mergeCell ref="AE1583:AI1583"/>
    <mergeCell ref="AJ1583:AL1583"/>
    <mergeCell ref="AN1583:AO1583"/>
    <mergeCell ref="AP1583:AQ1583"/>
    <mergeCell ref="A1584:A1585"/>
    <mergeCell ref="E1584:E1585"/>
    <mergeCell ref="F1584:H1584"/>
    <mergeCell ref="J1584:J1585"/>
    <mergeCell ref="K1584:L1585"/>
    <mergeCell ref="M1584:N1585"/>
    <mergeCell ref="O1584:P1585"/>
    <mergeCell ref="Q1584:R1585"/>
    <mergeCell ref="S1584:T1585"/>
    <mergeCell ref="U1584:V1585"/>
    <mergeCell ref="W1584:W1585"/>
    <mergeCell ref="X1584:AB1584"/>
    <mergeCell ref="AD1584:AI1584"/>
    <mergeCell ref="AJ1584:AL1584"/>
    <mergeCell ref="AN1584:AO1584"/>
    <mergeCell ref="AP1584:AQ1584"/>
    <mergeCell ref="AR1584:AS1585"/>
    <mergeCell ref="AT1584:AU1585"/>
    <mergeCell ref="AV1584:AW1585"/>
    <mergeCell ref="AX1584:AY1585"/>
    <mergeCell ref="AZ1584:AZ1585"/>
    <mergeCell ref="F1585:H1585"/>
    <mergeCell ref="X1585:AB1585"/>
    <mergeCell ref="AE1585:AI1585"/>
    <mergeCell ref="AJ1585:AL1585"/>
    <mergeCell ref="AN1585:AO1585"/>
    <mergeCell ref="AP1585:AQ1585"/>
    <mergeCell ref="A1586:A1587"/>
    <mergeCell ref="E1586:E1587"/>
    <mergeCell ref="F1586:H1586"/>
    <mergeCell ref="J1586:J1587"/>
    <mergeCell ref="K1586:L1587"/>
    <mergeCell ref="M1586:N1587"/>
    <mergeCell ref="O1586:P1587"/>
    <mergeCell ref="Q1586:R1587"/>
    <mergeCell ref="S1586:T1587"/>
    <mergeCell ref="U1586:V1587"/>
    <mergeCell ref="W1586:W1587"/>
    <mergeCell ref="X1586:AB1586"/>
    <mergeCell ref="AD1586:AI1586"/>
    <mergeCell ref="AJ1586:AL1586"/>
    <mergeCell ref="AN1586:AO1586"/>
    <mergeCell ref="AP1586:AQ1586"/>
    <mergeCell ref="AR1586:AS1587"/>
    <mergeCell ref="AT1586:AU1587"/>
    <mergeCell ref="AV1586:AW1587"/>
    <mergeCell ref="AX1586:AY1587"/>
    <mergeCell ref="AZ1586:AZ1587"/>
    <mergeCell ref="F1587:H1587"/>
    <mergeCell ref="X1587:AB1587"/>
    <mergeCell ref="AE1587:AI1587"/>
    <mergeCell ref="AJ1587:AL1587"/>
    <mergeCell ref="AN1587:AO1587"/>
    <mergeCell ref="AP1587:AQ1587"/>
    <mergeCell ref="A1588:A1589"/>
    <mergeCell ref="E1588:E1589"/>
    <mergeCell ref="F1588:H1588"/>
    <mergeCell ref="J1588:J1589"/>
    <mergeCell ref="K1588:L1589"/>
    <mergeCell ref="M1588:N1589"/>
    <mergeCell ref="O1588:P1589"/>
    <mergeCell ref="Q1588:R1589"/>
    <mergeCell ref="S1588:T1589"/>
    <mergeCell ref="U1588:V1589"/>
    <mergeCell ref="W1588:W1589"/>
    <mergeCell ref="X1588:AB1588"/>
    <mergeCell ref="AD1588:AI1588"/>
    <mergeCell ref="AJ1588:AL1588"/>
    <mergeCell ref="AN1588:AO1588"/>
    <mergeCell ref="AP1588:AQ1588"/>
    <mergeCell ref="AR1588:AS1589"/>
    <mergeCell ref="AT1588:AU1589"/>
    <mergeCell ref="AV1588:AW1589"/>
    <mergeCell ref="AX1588:AY1589"/>
    <mergeCell ref="AZ1588:AZ1589"/>
    <mergeCell ref="F1589:H1589"/>
    <mergeCell ref="X1589:AB1589"/>
    <mergeCell ref="AE1589:AI1589"/>
    <mergeCell ref="AJ1589:AL1589"/>
    <mergeCell ref="AN1589:AO1589"/>
    <mergeCell ref="AP1589:AQ1589"/>
    <mergeCell ref="A1590:A1591"/>
    <mergeCell ref="E1590:E1591"/>
    <mergeCell ref="F1590:H1590"/>
    <mergeCell ref="J1590:J1591"/>
    <mergeCell ref="K1590:L1591"/>
    <mergeCell ref="M1590:N1591"/>
    <mergeCell ref="O1590:P1591"/>
    <mergeCell ref="Q1590:R1591"/>
    <mergeCell ref="S1590:T1591"/>
    <mergeCell ref="U1590:V1591"/>
    <mergeCell ref="W1590:W1591"/>
    <mergeCell ref="X1590:AB1590"/>
    <mergeCell ref="AD1590:AI1590"/>
    <mergeCell ref="AJ1590:AL1590"/>
    <mergeCell ref="AN1590:AO1590"/>
    <mergeCell ref="AP1590:AQ1590"/>
    <mergeCell ref="AR1590:AS1591"/>
    <mergeCell ref="AT1590:AU1591"/>
    <mergeCell ref="AV1590:AW1591"/>
    <mergeCell ref="AX1590:AY1591"/>
    <mergeCell ref="AZ1590:AZ1591"/>
    <mergeCell ref="F1591:H1591"/>
    <mergeCell ref="X1591:AB1591"/>
    <mergeCell ref="AE1591:AI1591"/>
    <mergeCell ref="AJ1591:AL1591"/>
    <mergeCell ref="AN1591:AO1591"/>
    <mergeCell ref="AP1591:AQ1591"/>
    <mergeCell ref="A1592:A1593"/>
    <mergeCell ref="E1592:E1593"/>
    <mergeCell ref="F1592:H1592"/>
    <mergeCell ref="J1592:J1593"/>
    <mergeCell ref="K1592:L1593"/>
    <mergeCell ref="M1592:N1593"/>
    <mergeCell ref="O1592:P1593"/>
    <mergeCell ref="Q1592:R1593"/>
    <mergeCell ref="S1592:T1593"/>
    <mergeCell ref="U1592:V1593"/>
    <mergeCell ref="W1592:W1593"/>
    <mergeCell ref="X1592:AB1592"/>
    <mergeCell ref="AD1592:AI1592"/>
    <mergeCell ref="AJ1592:AL1592"/>
    <mergeCell ref="AN1592:AO1592"/>
    <mergeCell ref="AP1592:AQ1592"/>
    <mergeCell ref="AR1592:AS1593"/>
    <mergeCell ref="AT1592:AU1593"/>
    <mergeCell ref="AV1592:AW1593"/>
    <mergeCell ref="AX1592:AY1593"/>
    <mergeCell ref="AZ1592:AZ1593"/>
    <mergeCell ref="F1593:H1593"/>
    <mergeCell ref="X1593:AB1593"/>
    <mergeCell ref="AE1593:AI1593"/>
    <mergeCell ref="AJ1593:AL1593"/>
    <mergeCell ref="AN1593:AO1593"/>
    <mergeCell ref="AP1593:AQ1593"/>
    <mergeCell ref="A1594:A1595"/>
    <mergeCell ref="E1594:E1595"/>
    <mergeCell ref="F1594:H1594"/>
    <mergeCell ref="J1594:J1595"/>
    <mergeCell ref="K1594:L1595"/>
    <mergeCell ref="M1594:N1595"/>
    <mergeCell ref="O1594:P1595"/>
    <mergeCell ref="Q1594:R1595"/>
    <mergeCell ref="S1594:T1595"/>
    <mergeCell ref="U1594:V1595"/>
    <mergeCell ref="W1594:W1595"/>
    <mergeCell ref="X1594:AB1594"/>
    <mergeCell ref="AD1594:AI1594"/>
    <mergeCell ref="AJ1594:AL1594"/>
    <mergeCell ref="AN1594:AO1594"/>
    <mergeCell ref="AP1594:AQ1594"/>
    <mergeCell ref="AR1594:AS1595"/>
    <mergeCell ref="AT1594:AU1595"/>
    <mergeCell ref="AV1594:AW1595"/>
    <mergeCell ref="AX1594:AY1595"/>
    <mergeCell ref="AZ1594:AZ1595"/>
    <mergeCell ref="F1595:H1595"/>
    <mergeCell ref="X1595:AB1595"/>
    <mergeCell ref="AE1595:AI1595"/>
    <mergeCell ref="AJ1595:AL1595"/>
    <mergeCell ref="AN1595:AO1595"/>
    <mergeCell ref="AP1595:AQ1595"/>
    <mergeCell ref="A1596:A1597"/>
    <mergeCell ref="E1596:E1597"/>
    <mergeCell ref="F1596:H1596"/>
    <mergeCell ref="J1596:J1597"/>
    <mergeCell ref="K1596:L1597"/>
    <mergeCell ref="M1596:N1597"/>
    <mergeCell ref="O1596:P1597"/>
    <mergeCell ref="Q1596:R1597"/>
    <mergeCell ref="S1596:T1597"/>
    <mergeCell ref="U1596:V1597"/>
    <mergeCell ref="W1596:W1597"/>
    <mergeCell ref="X1596:AB1596"/>
    <mergeCell ref="AD1596:AI1596"/>
    <mergeCell ref="AJ1596:AL1596"/>
    <mergeCell ref="AN1596:AO1596"/>
    <mergeCell ref="AP1596:AQ1596"/>
    <mergeCell ref="AR1596:AS1597"/>
    <mergeCell ref="AT1596:AU1597"/>
    <mergeCell ref="AV1596:AW1597"/>
    <mergeCell ref="AX1596:AY1597"/>
    <mergeCell ref="AZ1596:AZ1597"/>
    <mergeCell ref="F1597:H1597"/>
    <mergeCell ref="X1597:AB1597"/>
    <mergeCell ref="AE1597:AI1597"/>
    <mergeCell ref="AJ1597:AL1597"/>
    <mergeCell ref="AN1597:AO1597"/>
    <mergeCell ref="AP1597:AQ1597"/>
    <mergeCell ref="A1598:A1599"/>
    <mergeCell ref="E1598:E1599"/>
    <mergeCell ref="F1598:H1598"/>
    <mergeCell ref="J1598:J1599"/>
    <mergeCell ref="K1598:L1599"/>
    <mergeCell ref="M1598:N1599"/>
    <mergeCell ref="O1598:P1599"/>
    <mergeCell ref="Q1598:R1599"/>
    <mergeCell ref="S1598:T1599"/>
    <mergeCell ref="U1598:V1599"/>
    <mergeCell ref="W1598:W1599"/>
    <mergeCell ref="X1598:AB1598"/>
    <mergeCell ref="AD1598:AI1598"/>
    <mergeCell ref="AJ1598:AL1598"/>
    <mergeCell ref="AN1598:AO1598"/>
    <mergeCell ref="AP1598:AQ1598"/>
    <mergeCell ref="AR1598:AS1599"/>
    <mergeCell ref="AT1598:AU1599"/>
    <mergeCell ref="AV1598:AW1599"/>
    <mergeCell ref="AX1598:AY1599"/>
    <mergeCell ref="AZ1598:AZ1599"/>
    <mergeCell ref="F1599:H1599"/>
    <mergeCell ref="X1599:AB1599"/>
    <mergeCell ref="AE1599:AI1599"/>
    <mergeCell ref="AJ1599:AL1599"/>
    <mergeCell ref="AN1599:AO1599"/>
    <mergeCell ref="AP1599:AQ1599"/>
    <mergeCell ref="A1600:A1601"/>
    <mergeCell ref="E1600:E1601"/>
    <mergeCell ref="F1600:H1600"/>
    <mergeCell ref="J1600:J1601"/>
    <mergeCell ref="K1600:L1601"/>
    <mergeCell ref="M1600:N1601"/>
    <mergeCell ref="O1600:P1601"/>
    <mergeCell ref="Q1600:R1601"/>
    <mergeCell ref="S1600:T1601"/>
    <mergeCell ref="U1600:V1601"/>
    <mergeCell ref="W1600:W1601"/>
    <mergeCell ref="X1600:AB1600"/>
    <mergeCell ref="AD1600:AI1600"/>
    <mergeCell ref="AJ1600:AL1600"/>
    <mergeCell ref="AN1600:AO1600"/>
    <mergeCell ref="AP1600:AQ1600"/>
    <mergeCell ref="AR1600:AS1601"/>
    <mergeCell ref="AT1600:AU1601"/>
    <mergeCell ref="AV1600:AW1601"/>
    <mergeCell ref="AX1600:AY1601"/>
    <mergeCell ref="AZ1600:AZ1601"/>
    <mergeCell ref="F1601:H1601"/>
    <mergeCell ref="X1601:AB1601"/>
    <mergeCell ref="AE1601:AI1601"/>
    <mergeCell ref="AJ1601:AL1601"/>
    <mergeCell ref="AN1601:AO1601"/>
    <mergeCell ref="AP1601:AQ1601"/>
    <mergeCell ref="A1602:A1603"/>
    <mergeCell ref="E1602:E1603"/>
    <mergeCell ref="F1602:H1602"/>
    <mergeCell ref="J1602:J1603"/>
    <mergeCell ref="K1602:L1603"/>
    <mergeCell ref="M1602:N1603"/>
    <mergeCell ref="O1602:P1603"/>
    <mergeCell ref="Q1602:R1603"/>
    <mergeCell ref="S1602:T1603"/>
    <mergeCell ref="U1602:V1603"/>
    <mergeCell ref="W1602:W1603"/>
    <mergeCell ref="X1602:AB1602"/>
    <mergeCell ref="AD1602:AI1602"/>
    <mergeCell ref="AJ1602:AL1602"/>
    <mergeCell ref="AN1602:AO1602"/>
    <mergeCell ref="AP1602:AQ1602"/>
    <mergeCell ref="AR1602:AS1603"/>
    <mergeCell ref="AT1602:AU1603"/>
    <mergeCell ref="AV1602:AW1603"/>
    <mergeCell ref="AX1602:AY1603"/>
    <mergeCell ref="AZ1602:AZ1603"/>
    <mergeCell ref="F1603:H1603"/>
    <mergeCell ref="X1603:AB1603"/>
    <mergeCell ref="AE1603:AI1603"/>
    <mergeCell ref="AJ1603:AL1603"/>
    <mergeCell ref="AN1603:AO1603"/>
    <mergeCell ref="AP1603:AQ1603"/>
    <mergeCell ref="A1604:A1605"/>
    <mergeCell ref="E1604:E1605"/>
    <mergeCell ref="F1604:H1604"/>
    <mergeCell ref="J1604:J1605"/>
    <mergeCell ref="K1604:L1605"/>
    <mergeCell ref="M1604:N1605"/>
    <mergeCell ref="O1604:P1605"/>
    <mergeCell ref="Q1604:R1605"/>
    <mergeCell ref="S1604:T1605"/>
    <mergeCell ref="U1604:V1605"/>
    <mergeCell ref="W1604:W1605"/>
    <mergeCell ref="X1604:AB1604"/>
    <mergeCell ref="AD1604:AI1604"/>
    <mergeCell ref="AJ1604:AL1604"/>
    <mergeCell ref="AN1604:AO1604"/>
    <mergeCell ref="AP1604:AQ1604"/>
    <mergeCell ref="AR1604:AS1605"/>
    <mergeCell ref="AT1604:AU1605"/>
    <mergeCell ref="AV1604:AW1605"/>
    <mergeCell ref="AX1604:AY1605"/>
    <mergeCell ref="AZ1604:AZ1605"/>
    <mergeCell ref="F1605:H1605"/>
    <mergeCell ref="X1605:AB1605"/>
    <mergeCell ref="AE1605:AI1605"/>
    <mergeCell ref="AJ1605:AL1605"/>
    <mergeCell ref="AN1605:AO1605"/>
    <mergeCell ref="AP1605:AQ1605"/>
    <mergeCell ref="A1606:A1607"/>
    <mergeCell ref="E1606:E1607"/>
    <mergeCell ref="F1606:H1606"/>
    <mergeCell ref="J1606:J1607"/>
    <mergeCell ref="K1606:L1607"/>
    <mergeCell ref="M1606:N1607"/>
    <mergeCell ref="O1606:P1607"/>
    <mergeCell ref="Q1606:R1607"/>
    <mergeCell ref="S1606:T1607"/>
    <mergeCell ref="U1606:V1607"/>
    <mergeCell ref="W1606:W1607"/>
    <mergeCell ref="X1606:AB1606"/>
    <mergeCell ref="AD1606:AI1606"/>
    <mergeCell ref="AJ1606:AL1606"/>
    <mergeCell ref="AN1606:AO1606"/>
    <mergeCell ref="AP1606:AQ1606"/>
    <mergeCell ref="AR1606:AS1607"/>
    <mergeCell ref="AT1606:AU1607"/>
    <mergeCell ref="AV1606:AW1607"/>
    <mergeCell ref="AX1606:AY1607"/>
    <mergeCell ref="AZ1606:AZ1607"/>
    <mergeCell ref="F1607:H1607"/>
    <mergeCell ref="X1607:AB1607"/>
    <mergeCell ref="AE1607:AI1607"/>
    <mergeCell ref="AJ1607:AL1607"/>
    <mergeCell ref="AN1607:AO1607"/>
    <mergeCell ref="AP1607:AQ1607"/>
    <mergeCell ref="A1608:A1609"/>
    <mergeCell ref="E1608:E1609"/>
    <mergeCell ref="F1608:H1608"/>
    <mergeCell ref="J1608:J1609"/>
    <mergeCell ref="K1608:L1609"/>
    <mergeCell ref="M1608:N1609"/>
    <mergeCell ref="O1608:P1609"/>
    <mergeCell ref="Q1608:R1609"/>
    <mergeCell ref="S1608:T1609"/>
    <mergeCell ref="U1608:V1609"/>
    <mergeCell ref="W1608:W1609"/>
    <mergeCell ref="X1608:AB1608"/>
    <mergeCell ref="AD1608:AI1608"/>
    <mergeCell ref="AJ1608:AL1608"/>
    <mergeCell ref="AN1608:AO1608"/>
    <mergeCell ref="AP1608:AQ1608"/>
    <mergeCell ref="AR1608:AS1609"/>
    <mergeCell ref="AT1608:AU1609"/>
    <mergeCell ref="AV1608:AW1609"/>
    <mergeCell ref="AX1608:AY1609"/>
    <mergeCell ref="AZ1608:AZ1609"/>
    <mergeCell ref="F1609:H1609"/>
    <mergeCell ref="X1609:AB1609"/>
    <mergeCell ref="AE1609:AI1609"/>
    <mergeCell ref="AJ1609:AL1609"/>
    <mergeCell ref="AN1609:AO1609"/>
    <mergeCell ref="AP1609:AQ1609"/>
    <mergeCell ref="A1610:A1611"/>
    <mergeCell ref="E1610:E1611"/>
    <mergeCell ref="F1610:H1610"/>
    <mergeCell ref="J1610:J1611"/>
    <mergeCell ref="K1610:L1611"/>
    <mergeCell ref="M1610:N1611"/>
    <mergeCell ref="O1610:P1611"/>
    <mergeCell ref="Q1610:R1611"/>
    <mergeCell ref="S1610:T1611"/>
    <mergeCell ref="U1610:V1611"/>
    <mergeCell ref="W1610:W1611"/>
    <mergeCell ref="X1610:AB1610"/>
    <mergeCell ref="AD1610:AI1610"/>
    <mergeCell ref="AJ1610:AL1610"/>
    <mergeCell ref="AN1610:AO1610"/>
    <mergeCell ref="AP1610:AQ1610"/>
    <mergeCell ref="AR1610:AS1611"/>
    <mergeCell ref="AT1610:AU1611"/>
    <mergeCell ref="AV1610:AW1611"/>
    <mergeCell ref="AX1610:AY1611"/>
    <mergeCell ref="AZ1610:AZ1611"/>
    <mergeCell ref="F1611:H1611"/>
    <mergeCell ref="X1611:AB1611"/>
    <mergeCell ref="AE1611:AI1611"/>
    <mergeCell ref="AJ1611:AL1611"/>
    <mergeCell ref="AN1611:AO1611"/>
    <mergeCell ref="AP1611:AQ1611"/>
    <mergeCell ref="A1612:A1613"/>
    <mergeCell ref="E1612:E1613"/>
    <mergeCell ref="F1612:H1612"/>
    <mergeCell ref="J1612:J1613"/>
    <mergeCell ref="K1612:L1613"/>
    <mergeCell ref="M1612:N1613"/>
    <mergeCell ref="O1612:P1613"/>
    <mergeCell ref="Q1612:R1613"/>
    <mergeCell ref="S1612:T1613"/>
    <mergeCell ref="U1612:V1613"/>
    <mergeCell ref="W1612:W1613"/>
    <mergeCell ref="X1612:AB1612"/>
    <mergeCell ref="AD1612:AI1612"/>
    <mergeCell ref="AJ1612:AL1612"/>
    <mergeCell ref="AN1612:AO1612"/>
    <mergeCell ref="AP1612:AQ1612"/>
    <mergeCell ref="AR1612:AS1613"/>
    <mergeCell ref="AT1612:AU1613"/>
    <mergeCell ref="AV1612:AW1613"/>
    <mergeCell ref="AX1612:AY1613"/>
    <mergeCell ref="AZ1612:AZ1613"/>
    <mergeCell ref="F1613:H1613"/>
    <mergeCell ref="X1613:AB1613"/>
    <mergeCell ref="AE1613:AI1613"/>
    <mergeCell ref="AJ1613:AL1613"/>
    <mergeCell ref="AN1613:AO1613"/>
    <mergeCell ref="AP1613:AQ1613"/>
    <mergeCell ref="A1614:A1615"/>
    <mergeCell ref="E1614:E1615"/>
    <mergeCell ref="F1614:H1614"/>
    <mergeCell ref="J1614:J1615"/>
    <mergeCell ref="K1614:L1615"/>
    <mergeCell ref="M1614:N1615"/>
    <mergeCell ref="O1614:P1615"/>
    <mergeCell ref="Q1614:R1615"/>
    <mergeCell ref="S1614:T1615"/>
    <mergeCell ref="U1614:V1615"/>
    <mergeCell ref="W1614:W1615"/>
    <mergeCell ref="X1614:AB1614"/>
    <mergeCell ref="AD1614:AI1614"/>
    <mergeCell ref="AJ1614:AL1614"/>
    <mergeCell ref="AN1614:AO1614"/>
    <mergeCell ref="AP1614:AQ1614"/>
    <mergeCell ref="AR1614:AS1615"/>
    <mergeCell ref="AT1614:AU1615"/>
    <mergeCell ref="AV1614:AW1615"/>
    <mergeCell ref="AX1614:AY1615"/>
    <mergeCell ref="AZ1614:AZ1615"/>
    <mergeCell ref="F1615:H1615"/>
    <mergeCell ref="X1615:AB1615"/>
    <mergeCell ref="AE1615:AI1615"/>
    <mergeCell ref="AJ1615:AL1615"/>
    <mergeCell ref="AN1615:AO1615"/>
    <mergeCell ref="AP1615:AQ1615"/>
    <mergeCell ref="A1616:A1617"/>
    <mergeCell ref="E1616:E1617"/>
    <mergeCell ref="F1616:H1616"/>
    <mergeCell ref="J1616:J1617"/>
    <mergeCell ref="K1616:L1617"/>
    <mergeCell ref="M1616:N1617"/>
    <mergeCell ref="O1616:P1617"/>
    <mergeCell ref="Q1616:R1617"/>
    <mergeCell ref="S1616:T1617"/>
    <mergeCell ref="U1616:V1617"/>
    <mergeCell ref="W1616:W1617"/>
    <mergeCell ref="X1616:AB1616"/>
    <mergeCell ref="AD1616:AI1616"/>
    <mergeCell ref="AJ1616:AL1616"/>
    <mergeCell ref="AN1616:AO1616"/>
    <mergeCell ref="AP1616:AQ1616"/>
    <mergeCell ref="AR1616:AS1617"/>
    <mergeCell ref="AT1616:AU1617"/>
    <mergeCell ref="AV1616:AW1617"/>
    <mergeCell ref="AX1616:AY1617"/>
    <mergeCell ref="AZ1616:AZ1617"/>
    <mergeCell ref="F1617:H1617"/>
    <mergeCell ref="X1617:AB1617"/>
    <mergeCell ref="AE1617:AI1617"/>
    <mergeCell ref="AJ1617:AL1617"/>
    <mergeCell ref="AN1617:AO1617"/>
    <mergeCell ref="AP1617:AQ1617"/>
    <mergeCell ref="A1618:A1619"/>
    <mergeCell ref="E1618:E1619"/>
    <mergeCell ref="F1618:H1618"/>
    <mergeCell ref="J1618:J1619"/>
    <mergeCell ref="K1618:L1619"/>
    <mergeCell ref="M1618:N1619"/>
    <mergeCell ref="O1618:P1619"/>
    <mergeCell ref="Q1618:R1619"/>
    <mergeCell ref="S1618:T1619"/>
    <mergeCell ref="U1618:V1619"/>
    <mergeCell ref="W1618:W1619"/>
    <mergeCell ref="X1618:AB1618"/>
    <mergeCell ref="AD1618:AI1618"/>
    <mergeCell ref="AJ1618:AL1618"/>
    <mergeCell ref="AN1618:AO1618"/>
    <mergeCell ref="AP1618:AQ1618"/>
    <mergeCell ref="AR1618:AS1619"/>
    <mergeCell ref="AT1618:AU1619"/>
    <mergeCell ref="AV1618:AW1619"/>
    <mergeCell ref="AX1618:AY1619"/>
    <mergeCell ref="AZ1618:AZ1619"/>
    <mergeCell ref="F1619:H1619"/>
    <mergeCell ref="X1619:AB1619"/>
    <mergeCell ref="AE1619:AI1619"/>
    <mergeCell ref="AJ1619:AL1619"/>
    <mergeCell ref="AN1619:AO1619"/>
    <mergeCell ref="AP1619:AQ1619"/>
    <mergeCell ref="A1620:A1621"/>
    <mergeCell ref="E1620:E1621"/>
    <mergeCell ref="F1620:H1620"/>
    <mergeCell ref="J1620:J1621"/>
    <mergeCell ref="K1620:L1621"/>
    <mergeCell ref="M1620:N1621"/>
    <mergeCell ref="O1620:P1621"/>
    <mergeCell ref="Q1620:R1621"/>
    <mergeCell ref="S1620:T1621"/>
    <mergeCell ref="U1620:V1621"/>
    <mergeCell ref="W1620:W1621"/>
    <mergeCell ref="X1620:AB1620"/>
    <mergeCell ref="AD1620:AI1620"/>
    <mergeCell ref="AJ1620:AL1620"/>
    <mergeCell ref="AN1620:AO1620"/>
    <mergeCell ref="AP1620:AQ1620"/>
    <mergeCell ref="AR1620:AS1621"/>
    <mergeCell ref="AT1620:AU1621"/>
    <mergeCell ref="AV1620:AW1621"/>
    <mergeCell ref="AX1620:AY1621"/>
    <mergeCell ref="AZ1620:AZ1621"/>
    <mergeCell ref="F1621:H1621"/>
    <mergeCell ref="X1621:AB1621"/>
    <mergeCell ref="AE1621:AI1621"/>
    <mergeCell ref="AJ1621:AL1621"/>
    <mergeCell ref="AN1621:AO1621"/>
    <mergeCell ref="AP1621:AQ1621"/>
    <mergeCell ref="A1622:A1623"/>
    <mergeCell ref="E1622:E1623"/>
    <mergeCell ref="F1622:H1622"/>
    <mergeCell ref="J1622:J1623"/>
    <mergeCell ref="K1622:L1623"/>
    <mergeCell ref="M1622:N1623"/>
    <mergeCell ref="O1622:P1623"/>
    <mergeCell ref="Q1622:R1623"/>
    <mergeCell ref="S1622:T1623"/>
    <mergeCell ref="U1622:V1623"/>
    <mergeCell ref="W1622:W1623"/>
    <mergeCell ref="X1622:AB1622"/>
    <mergeCell ref="AD1622:AI1622"/>
    <mergeCell ref="AJ1622:AL1622"/>
    <mergeCell ref="AN1622:AO1622"/>
    <mergeCell ref="AP1622:AQ1622"/>
    <mergeCell ref="AR1622:AS1623"/>
    <mergeCell ref="AT1622:AU1623"/>
    <mergeCell ref="AV1622:AW1623"/>
    <mergeCell ref="AX1622:AY1623"/>
    <mergeCell ref="AZ1622:AZ1623"/>
    <mergeCell ref="F1623:H1623"/>
    <mergeCell ref="X1623:AB1623"/>
    <mergeCell ref="AE1623:AI1623"/>
    <mergeCell ref="AJ1623:AL1623"/>
    <mergeCell ref="AN1623:AO1623"/>
    <mergeCell ref="AP1623:AQ1623"/>
    <mergeCell ref="A1624:A1625"/>
    <mergeCell ref="E1624:E1625"/>
    <mergeCell ref="F1624:H1624"/>
    <mergeCell ref="J1624:J1625"/>
    <mergeCell ref="K1624:L1625"/>
    <mergeCell ref="M1624:N1625"/>
    <mergeCell ref="O1624:P1625"/>
    <mergeCell ref="Q1624:R1625"/>
    <mergeCell ref="S1624:T1625"/>
    <mergeCell ref="U1624:V1625"/>
    <mergeCell ref="W1624:W1625"/>
    <mergeCell ref="X1624:AB1624"/>
    <mergeCell ref="AD1624:AI1624"/>
    <mergeCell ref="AJ1624:AL1624"/>
    <mergeCell ref="AN1624:AO1624"/>
    <mergeCell ref="AP1624:AQ1624"/>
    <mergeCell ref="AR1624:AS1625"/>
    <mergeCell ref="AT1624:AU1625"/>
    <mergeCell ref="AV1624:AW1625"/>
    <mergeCell ref="AX1624:AY1625"/>
    <mergeCell ref="AZ1624:AZ1625"/>
    <mergeCell ref="F1625:H1625"/>
    <mergeCell ref="X1625:AB1625"/>
    <mergeCell ref="AE1625:AI1625"/>
    <mergeCell ref="AJ1625:AL1625"/>
    <mergeCell ref="AN1625:AO1625"/>
    <mergeCell ref="AP1625:AQ1625"/>
    <mergeCell ref="A1626:A1627"/>
    <mergeCell ref="E1626:E1627"/>
    <mergeCell ref="F1626:H1626"/>
    <mergeCell ref="J1626:J1627"/>
    <mergeCell ref="K1626:L1627"/>
    <mergeCell ref="M1626:N1627"/>
    <mergeCell ref="O1626:P1627"/>
    <mergeCell ref="Q1626:R1627"/>
    <mergeCell ref="S1626:T1627"/>
    <mergeCell ref="U1626:V1627"/>
    <mergeCell ref="W1626:W1627"/>
    <mergeCell ref="X1626:AB1626"/>
    <mergeCell ref="AD1626:AI1626"/>
    <mergeCell ref="AJ1626:AL1626"/>
    <mergeCell ref="AN1626:AO1626"/>
    <mergeCell ref="AP1626:AQ1626"/>
    <mergeCell ref="AR1626:AS1627"/>
    <mergeCell ref="AT1626:AU1627"/>
    <mergeCell ref="AV1626:AW1627"/>
    <mergeCell ref="AX1626:AY1627"/>
    <mergeCell ref="AZ1626:AZ1627"/>
    <mergeCell ref="F1627:H1627"/>
    <mergeCell ref="X1627:AB1627"/>
    <mergeCell ref="AE1627:AI1627"/>
    <mergeCell ref="AJ1627:AL1627"/>
    <mergeCell ref="AN1627:AO1627"/>
    <mergeCell ref="AP1627:AQ1627"/>
    <mergeCell ref="A1628:A1629"/>
    <mergeCell ref="E1628:E1629"/>
    <mergeCell ref="F1628:H1628"/>
    <mergeCell ref="J1628:J1629"/>
    <mergeCell ref="K1628:L1629"/>
    <mergeCell ref="M1628:N1629"/>
    <mergeCell ref="O1628:P1629"/>
    <mergeCell ref="Q1628:R1629"/>
    <mergeCell ref="S1628:T1629"/>
    <mergeCell ref="U1628:V1629"/>
    <mergeCell ref="W1628:W1629"/>
    <mergeCell ref="X1628:AB1628"/>
    <mergeCell ref="AD1628:AI1628"/>
    <mergeCell ref="AJ1628:AL1628"/>
    <mergeCell ref="AN1628:AO1628"/>
    <mergeCell ref="AP1628:AQ1628"/>
    <mergeCell ref="AR1628:AS1629"/>
    <mergeCell ref="AT1628:AU1629"/>
    <mergeCell ref="AV1628:AW1629"/>
    <mergeCell ref="AX1628:AY1629"/>
    <mergeCell ref="AZ1628:AZ1629"/>
    <mergeCell ref="F1629:H1629"/>
    <mergeCell ref="X1629:AB1629"/>
    <mergeCell ref="AE1629:AI1629"/>
    <mergeCell ref="AJ1629:AL1629"/>
    <mergeCell ref="AN1629:AO1629"/>
    <mergeCell ref="AP1629:AQ1629"/>
    <mergeCell ref="A1630:A1631"/>
    <mergeCell ref="E1630:E1631"/>
    <mergeCell ref="F1630:H1630"/>
    <mergeCell ref="J1630:J1631"/>
    <mergeCell ref="K1630:L1631"/>
    <mergeCell ref="M1630:N1631"/>
    <mergeCell ref="O1630:P1631"/>
    <mergeCell ref="Q1630:R1631"/>
    <mergeCell ref="S1630:T1631"/>
    <mergeCell ref="U1630:V1631"/>
    <mergeCell ref="W1630:W1631"/>
    <mergeCell ref="X1630:AB1630"/>
    <mergeCell ref="AD1630:AI1630"/>
    <mergeCell ref="AJ1630:AL1630"/>
    <mergeCell ref="AN1630:AO1630"/>
    <mergeCell ref="AP1630:AQ1630"/>
    <mergeCell ref="AR1630:AS1631"/>
    <mergeCell ref="AT1630:AU1631"/>
    <mergeCell ref="AV1630:AW1631"/>
    <mergeCell ref="AX1630:AY1631"/>
    <mergeCell ref="AZ1630:AZ1631"/>
    <mergeCell ref="F1631:H1631"/>
    <mergeCell ref="X1631:AB1631"/>
    <mergeCell ref="AE1631:AI1631"/>
    <mergeCell ref="AJ1631:AL1631"/>
    <mergeCell ref="AN1631:AO1631"/>
    <mergeCell ref="AP1631:AQ1631"/>
    <mergeCell ref="A1632:A1633"/>
    <mergeCell ref="E1632:E1633"/>
    <mergeCell ref="F1632:H1632"/>
    <mergeCell ref="J1632:J1633"/>
    <mergeCell ref="K1632:L1633"/>
    <mergeCell ref="M1632:N1633"/>
    <mergeCell ref="O1632:P1633"/>
    <mergeCell ref="Q1632:R1633"/>
    <mergeCell ref="S1632:T1633"/>
    <mergeCell ref="U1632:V1633"/>
    <mergeCell ref="W1632:W1633"/>
    <mergeCell ref="X1632:AB1632"/>
    <mergeCell ref="AD1632:AI1632"/>
    <mergeCell ref="AJ1632:AL1632"/>
    <mergeCell ref="AN1632:AO1632"/>
    <mergeCell ref="AP1632:AQ1632"/>
    <mergeCell ref="AR1632:AS1633"/>
    <mergeCell ref="AT1632:AU1633"/>
    <mergeCell ref="AV1632:AW1633"/>
    <mergeCell ref="AX1632:AY1633"/>
    <mergeCell ref="AZ1632:AZ1633"/>
    <mergeCell ref="F1633:H1633"/>
    <mergeCell ref="X1633:AB1633"/>
    <mergeCell ref="AE1633:AI1633"/>
    <mergeCell ref="AJ1633:AL1633"/>
    <mergeCell ref="AN1633:AO1633"/>
    <mergeCell ref="AP1633:AQ1633"/>
    <mergeCell ref="A1634:A1635"/>
    <mergeCell ref="E1634:E1635"/>
    <mergeCell ref="F1634:H1634"/>
    <mergeCell ref="J1634:J1635"/>
    <mergeCell ref="K1634:L1635"/>
    <mergeCell ref="M1634:N1635"/>
    <mergeCell ref="O1634:P1635"/>
    <mergeCell ref="Q1634:R1635"/>
    <mergeCell ref="S1634:T1635"/>
    <mergeCell ref="U1634:V1635"/>
    <mergeCell ref="W1634:W1635"/>
    <mergeCell ref="X1634:AB1634"/>
    <mergeCell ref="AD1634:AI1634"/>
    <mergeCell ref="AJ1634:AL1634"/>
    <mergeCell ref="AN1634:AO1634"/>
    <mergeCell ref="AP1634:AQ1634"/>
    <mergeCell ref="AR1634:AS1635"/>
    <mergeCell ref="AT1634:AU1635"/>
    <mergeCell ref="AV1634:AW1635"/>
    <mergeCell ref="AX1634:AY1635"/>
    <mergeCell ref="AZ1634:AZ1635"/>
    <mergeCell ref="F1635:H1635"/>
    <mergeCell ref="X1635:AB1635"/>
    <mergeCell ref="AE1635:AI1635"/>
    <mergeCell ref="AJ1635:AL1635"/>
    <mergeCell ref="AN1635:AO1635"/>
    <mergeCell ref="AP1635:AQ1635"/>
    <mergeCell ref="A1636:A1637"/>
    <mergeCell ref="E1636:E1637"/>
    <mergeCell ref="F1636:H1636"/>
    <mergeCell ref="J1636:J1637"/>
    <mergeCell ref="K1636:L1637"/>
    <mergeCell ref="M1636:N1637"/>
    <mergeCell ref="O1636:P1637"/>
    <mergeCell ref="Q1636:R1637"/>
    <mergeCell ref="S1636:T1637"/>
    <mergeCell ref="U1636:V1637"/>
    <mergeCell ref="W1636:W1637"/>
    <mergeCell ref="X1636:AB1636"/>
    <mergeCell ref="AD1636:AI1636"/>
    <mergeCell ref="AJ1636:AL1636"/>
    <mergeCell ref="AN1636:AO1636"/>
    <mergeCell ref="AP1636:AQ1636"/>
    <mergeCell ref="AR1636:AS1637"/>
    <mergeCell ref="AT1636:AU1637"/>
    <mergeCell ref="AV1636:AW1637"/>
    <mergeCell ref="AX1636:AY1637"/>
    <mergeCell ref="AZ1636:AZ1637"/>
    <mergeCell ref="F1637:H1637"/>
    <mergeCell ref="X1637:AB1637"/>
    <mergeCell ref="AE1637:AI1637"/>
    <mergeCell ref="AJ1637:AL1637"/>
    <mergeCell ref="AN1637:AO1637"/>
    <mergeCell ref="AP1637:AQ1637"/>
    <mergeCell ref="A1638:A1639"/>
    <mergeCell ref="E1638:E1639"/>
    <mergeCell ref="F1638:H1638"/>
    <mergeCell ref="J1638:J1639"/>
    <mergeCell ref="K1638:L1639"/>
    <mergeCell ref="M1638:N1639"/>
    <mergeCell ref="O1638:P1639"/>
    <mergeCell ref="Q1638:R1639"/>
    <mergeCell ref="S1638:T1639"/>
    <mergeCell ref="U1638:V1639"/>
    <mergeCell ref="W1638:W1639"/>
    <mergeCell ref="X1638:AB1638"/>
    <mergeCell ref="AD1638:AI1638"/>
    <mergeCell ref="AJ1638:AL1638"/>
    <mergeCell ref="AN1638:AO1638"/>
    <mergeCell ref="AP1638:AQ1638"/>
    <mergeCell ref="AR1638:AS1639"/>
    <mergeCell ref="AT1638:AU1639"/>
    <mergeCell ref="AV1638:AW1639"/>
    <mergeCell ref="AX1638:AY1639"/>
    <mergeCell ref="AZ1638:AZ1639"/>
    <mergeCell ref="F1639:H1639"/>
    <mergeCell ref="X1639:AB1639"/>
    <mergeCell ref="AE1639:AI1639"/>
    <mergeCell ref="AJ1639:AL1639"/>
    <mergeCell ref="AN1639:AO1639"/>
    <mergeCell ref="AP1639:AQ1639"/>
    <mergeCell ref="A1640:A1641"/>
    <mergeCell ref="E1640:E1641"/>
    <mergeCell ref="F1640:H1640"/>
    <mergeCell ref="J1640:J1641"/>
    <mergeCell ref="K1640:L1641"/>
    <mergeCell ref="M1640:N1641"/>
    <mergeCell ref="O1640:P1641"/>
    <mergeCell ref="Q1640:R1641"/>
    <mergeCell ref="S1640:T1641"/>
    <mergeCell ref="U1640:V1641"/>
    <mergeCell ref="W1640:W1641"/>
    <mergeCell ref="X1640:AB1640"/>
    <mergeCell ref="AD1640:AI1640"/>
    <mergeCell ref="AJ1640:AL1640"/>
    <mergeCell ref="AN1640:AO1640"/>
    <mergeCell ref="AP1640:AQ1640"/>
    <mergeCell ref="AR1640:AS1641"/>
    <mergeCell ref="AT1640:AU1641"/>
    <mergeCell ref="AV1640:AW1641"/>
    <mergeCell ref="AX1640:AY1641"/>
    <mergeCell ref="AZ1640:AZ1641"/>
    <mergeCell ref="F1641:H1641"/>
    <mergeCell ref="X1641:AB1641"/>
    <mergeCell ref="AE1641:AI1641"/>
    <mergeCell ref="AJ1641:AL1641"/>
    <mergeCell ref="AN1641:AO1641"/>
    <mergeCell ref="AP1641:AQ1641"/>
    <mergeCell ref="A1642:A1643"/>
    <mergeCell ref="E1642:E1643"/>
    <mergeCell ref="F1642:H1642"/>
    <mergeCell ref="J1642:J1643"/>
    <mergeCell ref="K1642:L1643"/>
    <mergeCell ref="M1642:N1643"/>
    <mergeCell ref="O1642:P1643"/>
    <mergeCell ref="Q1642:R1643"/>
    <mergeCell ref="S1642:T1643"/>
    <mergeCell ref="U1642:V1643"/>
    <mergeCell ref="W1642:W1643"/>
    <mergeCell ref="X1642:AB1642"/>
    <mergeCell ref="AD1642:AI1642"/>
    <mergeCell ref="AJ1642:AL1642"/>
    <mergeCell ref="AN1642:AO1642"/>
    <mergeCell ref="AP1642:AQ1642"/>
    <mergeCell ref="AR1642:AS1643"/>
    <mergeCell ref="AT1642:AU1643"/>
    <mergeCell ref="AV1642:AW1643"/>
    <mergeCell ref="AX1642:AY1643"/>
    <mergeCell ref="AZ1642:AZ1643"/>
    <mergeCell ref="F1643:H1643"/>
    <mergeCell ref="X1643:AB1643"/>
    <mergeCell ref="AE1643:AI1643"/>
    <mergeCell ref="AJ1643:AL1643"/>
    <mergeCell ref="AN1643:AO1643"/>
    <mergeCell ref="AP1643:AQ1643"/>
    <mergeCell ref="A1644:A1645"/>
    <mergeCell ref="E1644:E1645"/>
    <mergeCell ref="F1644:H1644"/>
    <mergeCell ref="J1644:J1645"/>
    <mergeCell ref="K1644:L1645"/>
    <mergeCell ref="M1644:N1645"/>
    <mergeCell ref="O1644:P1645"/>
    <mergeCell ref="Q1644:R1645"/>
    <mergeCell ref="S1644:T1645"/>
    <mergeCell ref="U1644:V1645"/>
    <mergeCell ref="W1644:W1645"/>
    <mergeCell ref="X1644:AB1644"/>
    <mergeCell ref="AD1644:AI1644"/>
    <mergeCell ref="AJ1644:AL1644"/>
    <mergeCell ref="AN1644:AO1644"/>
    <mergeCell ref="AP1644:AQ1644"/>
    <mergeCell ref="AR1644:AS1645"/>
    <mergeCell ref="AT1644:AU1645"/>
    <mergeCell ref="AV1644:AW1645"/>
    <mergeCell ref="AX1644:AY1645"/>
    <mergeCell ref="AZ1644:AZ1645"/>
    <mergeCell ref="F1645:H1645"/>
    <mergeCell ref="X1645:AB1645"/>
    <mergeCell ref="AE1645:AI1645"/>
    <mergeCell ref="AJ1645:AL1645"/>
    <mergeCell ref="AN1645:AO1645"/>
    <mergeCell ref="AP1645:AQ1645"/>
    <mergeCell ref="A1646:A1647"/>
    <mergeCell ref="E1646:E1647"/>
    <mergeCell ref="F1646:H1646"/>
    <mergeCell ref="J1646:J1647"/>
    <mergeCell ref="K1646:L1647"/>
    <mergeCell ref="M1646:N1647"/>
    <mergeCell ref="O1646:P1647"/>
    <mergeCell ref="Q1646:R1647"/>
    <mergeCell ref="S1646:T1647"/>
    <mergeCell ref="U1646:V1647"/>
    <mergeCell ref="W1646:W1647"/>
    <mergeCell ref="X1646:AB1646"/>
    <mergeCell ref="AD1646:AI1646"/>
    <mergeCell ref="AJ1646:AL1646"/>
    <mergeCell ref="AN1646:AO1646"/>
    <mergeCell ref="AP1646:AQ1646"/>
    <mergeCell ref="AR1646:AS1647"/>
    <mergeCell ref="AT1646:AU1647"/>
    <mergeCell ref="AV1646:AW1647"/>
    <mergeCell ref="AX1646:AY1647"/>
    <mergeCell ref="AZ1646:AZ1647"/>
    <mergeCell ref="F1647:H1647"/>
    <mergeCell ref="X1647:AB1647"/>
    <mergeCell ref="AE1647:AI1647"/>
    <mergeCell ref="AJ1647:AL1647"/>
    <mergeCell ref="AN1647:AO1647"/>
    <mergeCell ref="AP1647:AQ1647"/>
    <mergeCell ref="A1648:A1649"/>
    <mergeCell ref="E1648:E1649"/>
    <mergeCell ref="F1648:H1648"/>
    <mergeCell ref="J1648:J1649"/>
    <mergeCell ref="K1648:L1649"/>
    <mergeCell ref="M1648:N1649"/>
    <mergeCell ref="O1648:P1649"/>
    <mergeCell ref="Q1648:R1649"/>
    <mergeCell ref="S1648:T1649"/>
    <mergeCell ref="U1648:V1649"/>
    <mergeCell ref="W1648:W1649"/>
    <mergeCell ref="X1648:AB1648"/>
    <mergeCell ref="AD1648:AI1648"/>
    <mergeCell ref="AJ1648:AL1648"/>
    <mergeCell ref="AN1648:AO1648"/>
    <mergeCell ref="AP1648:AQ1648"/>
    <mergeCell ref="AR1648:AS1649"/>
    <mergeCell ref="AT1648:AU1649"/>
    <mergeCell ref="AV1648:AW1649"/>
    <mergeCell ref="AX1648:AY1649"/>
    <mergeCell ref="AZ1648:AZ1649"/>
    <mergeCell ref="F1649:H1649"/>
    <mergeCell ref="X1649:AB1649"/>
    <mergeCell ref="AE1649:AI1649"/>
    <mergeCell ref="AJ1649:AL1649"/>
    <mergeCell ref="AN1649:AO1649"/>
    <mergeCell ref="AP1649:AQ1649"/>
    <mergeCell ref="A1650:A1651"/>
    <mergeCell ref="E1650:E1651"/>
    <mergeCell ref="F1650:H1650"/>
    <mergeCell ref="J1650:J1651"/>
    <mergeCell ref="K1650:L1651"/>
    <mergeCell ref="M1650:N1651"/>
    <mergeCell ref="O1650:P1651"/>
    <mergeCell ref="Q1650:R1651"/>
    <mergeCell ref="S1650:T1651"/>
    <mergeCell ref="U1650:V1651"/>
    <mergeCell ref="W1650:W1651"/>
    <mergeCell ref="X1650:AB1650"/>
    <mergeCell ref="AD1650:AI1650"/>
    <mergeCell ref="AJ1650:AL1650"/>
    <mergeCell ref="AN1650:AO1650"/>
    <mergeCell ref="AP1650:AQ1650"/>
    <mergeCell ref="AR1650:AS1651"/>
    <mergeCell ref="AT1650:AU1651"/>
    <mergeCell ref="AV1650:AW1651"/>
    <mergeCell ref="AX1650:AY1651"/>
    <mergeCell ref="AZ1650:AZ1651"/>
    <mergeCell ref="F1651:H1651"/>
    <mergeCell ref="X1651:AB1651"/>
    <mergeCell ref="AE1651:AI1651"/>
    <mergeCell ref="AJ1651:AL1651"/>
    <mergeCell ref="AN1651:AO1651"/>
    <mergeCell ref="AP1651:AQ1651"/>
    <mergeCell ref="A1652:A1653"/>
    <mergeCell ref="E1652:E1653"/>
    <mergeCell ref="F1652:H1652"/>
    <mergeCell ref="J1652:J1653"/>
    <mergeCell ref="K1652:L1653"/>
    <mergeCell ref="M1652:N1653"/>
    <mergeCell ref="O1652:P1653"/>
    <mergeCell ref="Q1652:R1653"/>
    <mergeCell ref="S1652:T1653"/>
    <mergeCell ref="U1652:V1653"/>
    <mergeCell ref="W1652:W1653"/>
    <mergeCell ref="X1652:AB1652"/>
    <mergeCell ref="AD1652:AI1652"/>
    <mergeCell ref="AJ1652:AL1652"/>
    <mergeCell ref="AN1652:AO1652"/>
    <mergeCell ref="AP1652:AQ1652"/>
    <mergeCell ref="AR1652:AS1653"/>
    <mergeCell ref="AT1652:AU1653"/>
    <mergeCell ref="AV1652:AW1653"/>
    <mergeCell ref="AX1652:AY1653"/>
    <mergeCell ref="AZ1652:AZ1653"/>
    <mergeCell ref="F1653:H1653"/>
    <mergeCell ref="X1653:AB1653"/>
    <mergeCell ref="AE1653:AI1653"/>
    <mergeCell ref="AJ1653:AL1653"/>
    <mergeCell ref="AN1653:AO1653"/>
    <mergeCell ref="AP1653:AQ1653"/>
    <mergeCell ref="A1654:A1655"/>
    <mergeCell ref="E1654:E1655"/>
    <mergeCell ref="F1654:H1654"/>
    <mergeCell ref="J1654:J1655"/>
    <mergeCell ref="K1654:L1655"/>
    <mergeCell ref="M1654:N1655"/>
    <mergeCell ref="O1654:P1655"/>
    <mergeCell ref="Q1654:R1655"/>
    <mergeCell ref="S1654:T1655"/>
    <mergeCell ref="U1654:V1655"/>
    <mergeCell ref="W1654:W1655"/>
    <mergeCell ref="X1654:AB1654"/>
    <mergeCell ref="AD1654:AI1654"/>
    <mergeCell ref="AJ1654:AL1654"/>
    <mergeCell ref="AN1654:AO1654"/>
    <mergeCell ref="AP1654:AQ1654"/>
    <mergeCell ref="AR1654:AS1655"/>
    <mergeCell ref="AT1654:AU1655"/>
    <mergeCell ref="AV1654:AW1655"/>
    <mergeCell ref="AX1654:AY1655"/>
    <mergeCell ref="AZ1654:AZ1655"/>
    <mergeCell ref="F1655:H1655"/>
    <mergeCell ref="X1655:AB1655"/>
    <mergeCell ref="AE1655:AI1655"/>
    <mergeCell ref="AJ1655:AL1655"/>
    <mergeCell ref="AN1655:AO1655"/>
    <mergeCell ref="AP1655:AQ1655"/>
    <mergeCell ref="A1656:A1657"/>
    <mergeCell ref="E1656:E1657"/>
    <mergeCell ref="F1656:H1656"/>
    <mergeCell ref="J1656:J1657"/>
    <mergeCell ref="K1656:L1657"/>
    <mergeCell ref="M1656:N1657"/>
    <mergeCell ref="O1656:P1657"/>
    <mergeCell ref="Q1656:R1657"/>
    <mergeCell ref="S1656:T1657"/>
    <mergeCell ref="U1656:V1657"/>
    <mergeCell ref="W1656:W1657"/>
    <mergeCell ref="X1656:AB1656"/>
    <mergeCell ref="AD1656:AI1656"/>
    <mergeCell ref="AJ1656:AL1656"/>
    <mergeCell ref="AN1656:AO1656"/>
    <mergeCell ref="AP1656:AQ1656"/>
    <mergeCell ref="AR1656:AS1657"/>
    <mergeCell ref="AT1656:AU1657"/>
    <mergeCell ref="AV1656:AW1657"/>
    <mergeCell ref="AX1656:AY1657"/>
    <mergeCell ref="AZ1656:AZ1657"/>
    <mergeCell ref="F1657:H1657"/>
    <mergeCell ref="X1657:AB1657"/>
    <mergeCell ref="AE1657:AI1657"/>
    <mergeCell ref="AJ1657:AL1657"/>
    <mergeCell ref="AN1657:AO1657"/>
    <mergeCell ref="AP1657:AQ1657"/>
    <mergeCell ref="A1658:A1659"/>
    <mergeCell ref="E1658:E1659"/>
    <mergeCell ref="F1658:H1658"/>
    <mergeCell ref="J1658:J1659"/>
    <mergeCell ref="K1658:L1659"/>
    <mergeCell ref="M1658:N1659"/>
    <mergeCell ref="O1658:P1659"/>
    <mergeCell ref="Q1658:R1659"/>
    <mergeCell ref="S1658:T1659"/>
    <mergeCell ref="U1658:V1659"/>
    <mergeCell ref="W1658:W1659"/>
    <mergeCell ref="X1658:AB1658"/>
    <mergeCell ref="AD1658:AI1658"/>
    <mergeCell ref="AJ1658:AL1658"/>
    <mergeCell ref="AN1658:AO1658"/>
    <mergeCell ref="AP1658:AQ1658"/>
    <mergeCell ref="AR1658:AS1659"/>
    <mergeCell ref="AT1658:AU1659"/>
    <mergeCell ref="AV1658:AW1659"/>
    <mergeCell ref="AX1658:AY1659"/>
    <mergeCell ref="AZ1658:AZ1659"/>
    <mergeCell ref="F1659:H1659"/>
    <mergeCell ref="X1659:AB1659"/>
    <mergeCell ref="AE1659:AI1659"/>
    <mergeCell ref="AJ1659:AL1659"/>
    <mergeCell ref="AN1659:AO1659"/>
    <mergeCell ref="AP1659:AQ1659"/>
    <mergeCell ref="A1660:A1661"/>
    <mergeCell ref="E1660:E1661"/>
    <mergeCell ref="F1660:H1660"/>
    <mergeCell ref="J1660:J1661"/>
    <mergeCell ref="K1660:L1661"/>
    <mergeCell ref="M1660:N1661"/>
    <mergeCell ref="O1660:P1661"/>
    <mergeCell ref="Q1660:R1661"/>
    <mergeCell ref="S1660:T1661"/>
    <mergeCell ref="U1660:V1661"/>
    <mergeCell ref="W1660:W1661"/>
    <mergeCell ref="X1660:AB1660"/>
    <mergeCell ref="AD1660:AI1660"/>
    <mergeCell ref="AJ1660:AL1660"/>
    <mergeCell ref="AN1660:AO1660"/>
    <mergeCell ref="AP1660:AQ1660"/>
    <mergeCell ref="AR1660:AS1661"/>
    <mergeCell ref="AT1660:AU1661"/>
    <mergeCell ref="AV1660:AW1661"/>
    <mergeCell ref="AX1660:AY1661"/>
    <mergeCell ref="AZ1660:AZ1661"/>
    <mergeCell ref="F1661:H1661"/>
    <mergeCell ref="X1661:AB1661"/>
    <mergeCell ref="AE1661:AI1661"/>
    <mergeCell ref="AJ1661:AL1661"/>
    <mergeCell ref="AN1661:AO1661"/>
    <mergeCell ref="AP1661:AQ1661"/>
    <mergeCell ref="A1662:A1663"/>
    <mergeCell ref="E1662:E1663"/>
    <mergeCell ref="F1662:H1662"/>
    <mergeCell ref="J1662:J1663"/>
    <mergeCell ref="K1662:L1663"/>
    <mergeCell ref="M1662:N1663"/>
    <mergeCell ref="O1662:P1663"/>
    <mergeCell ref="Q1662:R1663"/>
    <mergeCell ref="S1662:T1663"/>
    <mergeCell ref="U1662:V1663"/>
    <mergeCell ref="W1662:W1663"/>
    <mergeCell ref="X1662:AB1662"/>
    <mergeCell ref="AD1662:AI1662"/>
    <mergeCell ref="AJ1662:AL1662"/>
    <mergeCell ref="AN1662:AO1662"/>
    <mergeCell ref="AP1662:AQ1662"/>
    <mergeCell ref="AR1662:AS1663"/>
    <mergeCell ref="AT1662:AU1663"/>
    <mergeCell ref="AV1662:AW1663"/>
    <mergeCell ref="AX1662:AY1663"/>
    <mergeCell ref="AZ1662:AZ1663"/>
    <mergeCell ref="F1663:H1663"/>
    <mergeCell ref="X1663:AB1663"/>
    <mergeCell ref="AE1663:AI1663"/>
    <mergeCell ref="AJ1663:AL1663"/>
    <mergeCell ref="AN1663:AO1663"/>
    <mergeCell ref="AP1663:AQ1663"/>
    <mergeCell ref="A1664:A1665"/>
    <mergeCell ref="E1664:E1665"/>
    <mergeCell ref="F1664:H1664"/>
    <mergeCell ref="J1664:J1665"/>
    <mergeCell ref="K1664:L1665"/>
    <mergeCell ref="M1664:N1665"/>
    <mergeCell ref="O1664:P1665"/>
    <mergeCell ref="Q1664:R1665"/>
    <mergeCell ref="S1664:T1665"/>
    <mergeCell ref="U1664:V1665"/>
    <mergeCell ref="W1664:W1665"/>
    <mergeCell ref="X1664:AB1664"/>
    <mergeCell ref="AD1664:AI1664"/>
    <mergeCell ref="AJ1664:AL1664"/>
    <mergeCell ref="AN1664:AO1664"/>
    <mergeCell ref="AP1664:AQ1664"/>
    <mergeCell ref="AR1664:AS1665"/>
    <mergeCell ref="AT1664:AU1665"/>
    <mergeCell ref="AV1664:AW1665"/>
    <mergeCell ref="AX1664:AY1665"/>
    <mergeCell ref="AZ1664:AZ1665"/>
    <mergeCell ref="F1665:H1665"/>
    <mergeCell ref="X1665:AB1665"/>
    <mergeCell ref="AE1665:AI1665"/>
    <mergeCell ref="AJ1665:AL1665"/>
    <mergeCell ref="AN1665:AO1665"/>
    <mergeCell ref="AP1665:AQ1665"/>
    <mergeCell ref="A1666:A1667"/>
    <mergeCell ref="E1666:E1667"/>
    <mergeCell ref="F1666:H1666"/>
    <mergeCell ref="J1666:J1667"/>
    <mergeCell ref="K1666:L1667"/>
    <mergeCell ref="M1666:N1667"/>
    <mergeCell ref="O1666:P1667"/>
    <mergeCell ref="Q1666:R1667"/>
    <mergeCell ref="S1666:T1667"/>
    <mergeCell ref="U1666:V1667"/>
    <mergeCell ref="W1666:W1667"/>
    <mergeCell ref="X1666:AB1666"/>
    <mergeCell ref="AD1666:AI1666"/>
    <mergeCell ref="AJ1666:AL1666"/>
    <mergeCell ref="AN1666:AO1666"/>
    <mergeCell ref="AP1666:AQ1666"/>
    <mergeCell ref="AR1666:AS1667"/>
    <mergeCell ref="AT1666:AU1667"/>
    <mergeCell ref="AV1666:AW1667"/>
    <mergeCell ref="AX1666:AY1667"/>
    <mergeCell ref="AZ1666:AZ1667"/>
    <mergeCell ref="F1667:H1667"/>
    <mergeCell ref="X1667:AB1667"/>
    <mergeCell ref="AE1667:AI1667"/>
    <mergeCell ref="AJ1667:AL1667"/>
    <mergeCell ref="AN1667:AO1667"/>
    <mergeCell ref="AP1667:AQ1667"/>
    <mergeCell ref="A1668:A1669"/>
    <mergeCell ref="E1668:E1669"/>
    <mergeCell ref="F1668:H1668"/>
    <mergeCell ref="J1668:J1669"/>
    <mergeCell ref="K1668:L1669"/>
    <mergeCell ref="M1668:N1669"/>
    <mergeCell ref="O1668:P1669"/>
    <mergeCell ref="Q1668:R1669"/>
    <mergeCell ref="S1668:T1669"/>
    <mergeCell ref="U1668:V1669"/>
    <mergeCell ref="W1668:W1669"/>
    <mergeCell ref="X1668:AB1668"/>
    <mergeCell ref="AD1668:AI1668"/>
    <mergeCell ref="AJ1668:AL1668"/>
    <mergeCell ref="AN1668:AO1668"/>
    <mergeCell ref="AP1668:AQ1668"/>
    <mergeCell ref="AR1668:AS1669"/>
    <mergeCell ref="AT1668:AU1669"/>
    <mergeCell ref="AV1668:AW1669"/>
    <mergeCell ref="AX1668:AY1669"/>
    <mergeCell ref="AZ1668:AZ1669"/>
    <mergeCell ref="F1669:H1669"/>
    <mergeCell ref="X1669:AB1669"/>
    <mergeCell ref="AE1669:AI1669"/>
    <mergeCell ref="AJ1669:AL1669"/>
    <mergeCell ref="AN1669:AO1669"/>
    <mergeCell ref="AP1669:AQ1669"/>
    <mergeCell ref="A1670:A1671"/>
    <mergeCell ref="E1670:E1671"/>
    <mergeCell ref="F1670:H1670"/>
    <mergeCell ref="J1670:J1671"/>
    <mergeCell ref="K1670:L1671"/>
    <mergeCell ref="M1670:N1671"/>
    <mergeCell ref="O1670:P1671"/>
    <mergeCell ref="Q1670:R1671"/>
    <mergeCell ref="S1670:T1671"/>
    <mergeCell ref="U1670:V1671"/>
    <mergeCell ref="W1670:W1671"/>
    <mergeCell ref="X1670:AB1670"/>
    <mergeCell ref="AD1670:AI1670"/>
    <mergeCell ref="AJ1670:AL1670"/>
    <mergeCell ref="AN1670:AO1670"/>
    <mergeCell ref="AP1670:AQ1670"/>
    <mergeCell ref="AR1670:AS1671"/>
    <mergeCell ref="AT1670:AU1671"/>
    <mergeCell ref="AV1670:AW1671"/>
    <mergeCell ref="AX1670:AY1671"/>
    <mergeCell ref="AZ1670:AZ1671"/>
    <mergeCell ref="F1671:H1671"/>
    <mergeCell ref="X1671:AB1671"/>
    <mergeCell ref="AE1671:AI1671"/>
    <mergeCell ref="AJ1671:AL1671"/>
    <mergeCell ref="AN1671:AO1671"/>
    <mergeCell ref="AP1671:AQ1671"/>
    <mergeCell ref="A1672:A1673"/>
    <mergeCell ref="E1672:E1673"/>
    <mergeCell ref="F1672:H1672"/>
    <mergeCell ref="J1672:J1673"/>
    <mergeCell ref="K1672:L1673"/>
    <mergeCell ref="M1672:N1673"/>
    <mergeCell ref="O1672:P1673"/>
    <mergeCell ref="Q1672:R1673"/>
    <mergeCell ref="S1672:T1673"/>
    <mergeCell ref="U1672:V1673"/>
    <mergeCell ref="W1672:W1673"/>
    <mergeCell ref="X1672:AB1672"/>
    <mergeCell ref="AD1672:AI1672"/>
    <mergeCell ref="AJ1672:AL1672"/>
    <mergeCell ref="AN1672:AO1672"/>
    <mergeCell ref="AP1672:AQ1672"/>
    <mergeCell ref="AR1672:AS1673"/>
    <mergeCell ref="AT1672:AU1673"/>
    <mergeCell ref="AV1672:AW1673"/>
    <mergeCell ref="AX1672:AY1673"/>
    <mergeCell ref="AZ1672:AZ1673"/>
    <mergeCell ref="F1673:H1673"/>
    <mergeCell ref="X1673:AB1673"/>
    <mergeCell ref="AE1673:AI1673"/>
    <mergeCell ref="AJ1673:AL1673"/>
    <mergeCell ref="AN1673:AO1673"/>
    <mergeCell ref="AP1673:AQ1673"/>
    <mergeCell ref="A1674:A1675"/>
    <mergeCell ref="E1674:E1675"/>
    <mergeCell ref="F1674:H1674"/>
    <mergeCell ref="J1674:J1675"/>
    <mergeCell ref="K1674:L1675"/>
    <mergeCell ref="M1674:N1675"/>
    <mergeCell ref="O1674:P1675"/>
    <mergeCell ref="Q1674:R1675"/>
    <mergeCell ref="S1674:T1675"/>
    <mergeCell ref="U1674:V1675"/>
    <mergeCell ref="W1674:W1675"/>
    <mergeCell ref="X1674:AB1674"/>
    <mergeCell ref="AD1674:AI1674"/>
    <mergeCell ref="AJ1674:AL1674"/>
    <mergeCell ref="AN1674:AO1674"/>
    <mergeCell ref="AP1674:AQ1674"/>
    <mergeCell ref="AR1674:AS1675"/>
    <mergeCell ref="AT1674:AU1675"/>
    <mergeCell ref="AV1674:AW1675"/>
    <mergeCell ref="AX1674:AY1675"/>
    <mergeCell ref="AZ1674:AZ1675"/>
    <mergeCell ref="F1675:H1675"/>
    <mergeCell ref="X1675:AB1675"/>
    <mergeCell ref="AE1675:AI1675"/>
    <mergeCell ref="AJ1675:AL1675"/>
    <mergeCell ref="AN1675:AO1675"/>
    <mergeCell ref="AP1675:AQ1675"/>
    <mergeCell ref="A1676:A1677"/>
    <mergeCell ref="E1676:E1677"/>
    <mergeCell ref="F1676:H1676"/>
    <mergeCell ref="J1676:J1677"/>
    <mergeCell ref="K1676:L1677"/>
    <mergeCell ref="M1676:N1677"/>
    <mergeCell ref="O1676:P1677"/>
    <mergeCell ref="Q1676:R1677"/>
    <mergeCell ref="S1676:T1677"/>
    <mergeCell ref="U1676:V1677"/>
    <mergeCell ref="W1676:W1677"/>
    <mergeCell ref="X1676:AB1676"/>
    <mergeCell ref="AD1676:AI1676"/>
    <mergeCell ref="AJ1676:AL1676"/>
    <mergeCell ref="AN1676:AO1676"/>
    <mergeCell ref="AP1676:AQ1676"/>
    <mergeCell ref="AR1676:AS1677"/>
    <mergeCell ref="AT1676:AU1677"/>
    <mergeCell ref="AV1676:AW1677"/>
    <mergeCell ref="AX1676:AY1677"/>
    <mergeCell ref="AZ1676:AZ1677"/>
    <mergeCell ref="F1677:H1677"/>
    <mergeCell ref="X1677:AB1677"/>
    <mergeCell ref="AE1677:AI1677"/>
    <mergeCell ref="AJ1677:AL1677"/>
    <mergeCell ref="AN1677:AO1677"/>
    <mergeCell ref="AP1677:AQ1677"/>
    <mergeCell ref="A1678:A1679"/>
    <mergeCell ref="E1678:E1679"/>
    <mergeCell ref="F1678:H1678"/>
    <mergeCell ref="J1678:J1679"/>
    <mergeCell ref="K1678:L1679"/>
    <mergeCell ref="M1678:N1679"/>
    <mergeCell ref="O1678:P1679"/>
    <mergeCell ref="Q1678:R1679"/>
    <mergeCell ref="S1678:T1679"/>
    <mergeCell ref="U1678:V1679"/>
    <mergeCell ref="W1678:W1679"/>
    <mergeCell ref="X1678:AB1678"/>
    <mergeCell ref="AD1678:AI1678"/>
    <mergeCell ref="AJ1678:AL1678"/>
    <mergeCell ref="AN1678:AO1678"/>
    <mergeCell ref="AP1678:AQ1678"/>
    <mergeCell ref="AR1678:AS1679"/>
    <mergeCell ref="AT1678:AU1679"/>
    <mergeCell ref="AV1678:AW1679"/>
    <mergeCell ref="AX1678:AY1679"/>
    <mergeCell ref="AZ1678:AZ1679"/>
    <mergeCell ref="F1679:H1679"/>
    <mergeCell ref="X1679:AB1679"/>
    <mergeCell ref="AE1679:AI1679"/>
    <mergeCell ref="AJ1679:AL1679"/>
    <mergeCell ref="AN1679:AO1679"/>
    <mergeCell ref="AP1679:AQ1679"/>
    <mergeCell ref="A1680:A1681"/>
    <mergeCell ref="E1680:E1681"/>
    <mergeCell ref="F1680:H1680"/>
    <mergeCell ref="J1680:J1681"/>
    <mergeCell ref="K1680:L1681"/>
    <mergeCell ref="M1680:N1681"/>
    <mergeCell ref="O1680:P1681"/>
    <mergeCell ref="Q1680:R1681"/>
    <mergeCell ref="S1680:T1681"/>
    <mergeCell ref="U1680:V1681"/>
    <mergeCell ref="W1680:W1681"/>
    <mergeCell ref="X1680:AB1680"/>
    <mergeCell ref="AD1680:AI1680"/>
    <mergeCell ref="AJ1680:AL1680"/>
    <mergeCell ref="AN1680:AO1680"/>
    <mergeCell ref="AP1680:AQ1680"/>
    <mergeCell ref="AR1680:AS1681"/>
    <mergeCell ref="AT1680:AU1681"/>
    <mergeCell ref="AV1680:AW1681"/>
    <mergeCell ref="AX1680:AY1681"/>
    <mergeCell ref="AZ1680:AZ1681"/>
    <mergeCell ref="F1681:H1681"/>
    <mergeCell ref="X1681:AB1681"/>
    <mergeCell ref="AE1681:AI1681"/>
    <mergeCell ref="AJ1681:AL1681"/>
    <mergeCell ref="AN1681:AO1681"/>
    <mergeCell ref="AP1681:AQ1681"/>
    <mergeCell ref="A1682:A1683"/>
    <mergeCell ref="E1682:E1683"/>
    <mergeCell ref="F1682:H1682"/>
    <mergeCell ref="J1682:J1683"/>
    <mergeCell ref="K1682:L1683"/>
    <mergeCell ref="M1682:N1683"/>
    <mergeCell ref="O1682:P1683"/>
    <mergeCell ref="Q1682:R1683"/>
    <mergeCell ref="S1682:T1683"/>
    <mergeCell ref="U1682:V1683"/>
    <mergeCell ref="W1682:W1683"/>
    <mergeCell ref="X1682:AB1682"/>
    <mergeCell ref="AD1682:AI1682"/>
    <mergeCell ref="AJ1682:AL1682"/>
    <mergeCell ref="AN1682:AO1682"/>
    <mergeCell ref="AP1682:AQ1682"/>
    <mergeCell ref="AR1682:AS1683"/>
    <mergeCell ref="AT1682:AU1683"/>
    <mergeCell ref="AV1682:AW1683"/>
    <mergeCell ref="AX1682:AY1683"/>
    <mergeCell ref="AZ1682:AZ1683"/>
    <mergeCell ref="F1683:H1683"/>
    <mergeCell ref="X1683:AB1683"/>
    <mergeCell ref="AE1683:AI1683"/>
    <mergeCell ref="AJ1683:AL1683"/>
    <mergeCell ref="AN1683:AO1683"/>
    <mergeCell ref="AP1683:AQ1683"/>
    <mergeCell ref="A1684:A1685"/>
    <mergeCell ref="E1684:E1685"/>
    <mergeCell ref="F1684:H1684"/>
    <mergeCell ref="J1684:J1685"/>
    <mergeCell ref="K1684:L1685"/>
    <mergeCell ref="M1684:N1685"/>
    <mergeCell ref="O1684:P1685"/>
    <mergeCell ref="Q1684:R1685"/>
    <mergeCell ref="S1684:T1685"/>
    <mergeCell ref="U1684:V1685"/>
    <mergeCell ref="W1684:W1685"/>
    <mergeCell ref="X1684:AB1684"/>
    <mergeCell ref="AD1684:AI1684"/>
    <mergeCell ref="AJ1684:AL1684"/>
    <mergeCell ref="AN1684:AO1684"/>
    <mergeCell ref="AP1684:AQ1684"/>
    <mergeCell ref="AR1684:AS1685"/>
    <mergeCell ref="AT1684:AU1685"/>
    <mergeCell ref="AV1684:AW1685"/>
    <mergeCell ref="AX1684:AY1685"/>
    <mergeCell ref="AZ1684:AZ1685"/>
    <mergeCell ref="F1685:H1685"/>
    <mergeCell ref="X1685:AB1685"/>
    <mergeCell ref="AE1685:AI1685"/>
    <mergeCell ref="AJ1685:AL1685"/>
    <mergeCell ref="AN1685:AO1685"/>
    <mergeCell ref="AP1685:AQ1685"/>
    <mergeCell ref="A1686:A1687"/>
    <mergeCell ref="E1686:E1687"/>
    <mergeCell ref="F1686:H1686"/>
    <mergeCell ref="J1686:J1687"/>
    <mergeCell ref="K1686:L1687"/>
    <mergeCell ref="M1686:N1687"/>
    <mergeCell ref="O1686:P1687"/>
    <mergeCell ref="Q1686:R1687"/>
    <mergeCell ref="S1686:T1687"/>
    <mergeCell ref="U1686:V1687"/>
    <mergeCell ref="W1686:W1687"/>
    <mergeCell ref="X1686:AB1686"/>
    <mergeCell ref="AD1686:AI1686"/>
    <mergeCell ref="AJ1686:AL1686"/>
    <mergeCell ref="AN1686:AO1686"/>
    <mergeCell ref="AP1686:AQ1686"/>
    <mergeCell ref="AR1686:AS1687"/>
    <mergeCell ref="AT1686:AU1687"/>
    <mergeCell ref="AV1686:AW1687"/>
    <mergeCell ref="AX1686:AY1687"/>
    <mergeCell ref="AZ1686:AZ1687"/>
    <mergeCell ref="F1687:H1687"/>
    <mergeCell ref="X1687:AB1687"/>
    <mergeCell ref="AE1687:AI1687"/>
    <mergeCell ref="AJ1687:AL1687"/>
    <mergeCell ref="AN1687:AO1687"/>
    <mergeCell ref="AP1687:AQ1687"/>
    <mergeCell ref="A1688:A1689"/>
    <mergeCell ref="E1688:E1689"/>
    <mergeCell ref="F1688:H1688"/>
    <mergeCell ref="J1688:J1689"/>
    <mergeCell ref="K1688:L1689"/>
    <mergeCell ref="M1688:N1689"/>
    <mergeCell ref="O1688:P1689"/>
    <mergeCell ref="Q1688:R1689"/>
    <mergeCell ref="S1688:T1689"/>
    <mergeCell ref="U1688:V1689"/>
    <mergeCell ref="W1688:W1689"/>
    <mergeCell ref="X1688:AB1688"/>
    <mergeCell ref="AD1688:AI1688"/>
    <mergeCell ref="AJ1688:AL1688"/>
    <mergeCell ref="AN1688:AO1688"/>
    <mergeCell ref="AP1688:AQ1688"/>
    <mergeCell ref="AR1688:AS1689"/>
    <mergeCell ref="AT1688:AU1689"/>
    <mergeCell ref="AV1688:AW1689"/>
    <mergeCell ref="AX1688:AY1689"/>
    <mergeCell ref="AZ1688:AZ1689"/>
    <mergeCell ref="F1689:H1689"/>
    <mergeCell ref="X1689:AB1689"/>
    <mergeCell ref="AE1689:AI1689"/>
    <mergeCell ref="AJ1689:AL1689"/>
    <mergeCell ref="AN1689:AO1689"/>
    <mergeCell ref="AP1689:AQ1689"/>
    <mergeCell ref="A1690:A1691"/>
    <mergeCell ref="E1690:E1691"/>
    <mergeCell ref="F1690:H1690"/>
    <mergeCell ref="J1690:J1691"/>
    <mergeCell ref="K1690:L1691"/>
    <mergeCell ref="M1690:N1691"/>
    <mergeCell ref="O1690:P1691"/>
    <mergeCell ref="Q1690:R1691"/>
    <mergeCell ref="S1690:T1691"/>
    <mergeCell ref="U1690:V1691"/>
    <mergeCell ref="W1690:W1691"/>
    <mergeCell ref="X1690:AB1690"/>
    <mergeCell ref="AD1690:AI1690"/>
    <mergeCell ref="AJ1690:AL1690"/>
    <mergeCell ref="AN1690:AO1690"/>
    <mergeCell ref="AP1690:AQ1690"/>
    <mergeCell ref="AR1690:AS1691"/>
    <mergeCell ref="AT1690:AU1691"/>
    <mergeCell ref="AV1690:AW1691"/>
    <mergeCell ref="AX1690:AY1691"/>
    <mergeCell ref="AZ1690:AZ1691"/>
    <mergeCell ref="F1691:H1691"/>
    <mergeCell ref="X1691:AB1691"/>
    <mergeCell ref="AE1691:AI1691"/>
    <mergeCell ref="AJ1691:AL1691"/>
    <mergeCell ref="AN1691:AO1691"/>
    <mergeCell ref="AP1691:AQ1691"/>
    <mergeCell ref="A1692:A1693"/>
    <mergeCell ref="E1692:E1693"/>
    <mergeCell ref="F1692:H1692"/>
    <mergeCell ref="J1692:J1693"/>
    <mergeCell ref="K1692:L1693"/>
    <mergeCell ref="M1692:N1693"/>
    <mergeCell ref="O1692:P1693"/>
    <mergeCell ref="Q1692:R1693"/>
    <mergeCell ref="S1692:T1693"/>
    <mergeCell ref="U1692:V1693"/>
    <mergeCell ref="W1692:W1693"/>
    <mergeCell ref="X1692:AB1692"/>
    <mergeCell ref="AD1692:AI1692"/>
    <mergeCell ref="AJ1692:AL1692"/>
    <mergeCell ref="AN1692:AO1692"/>
    <mergeCell ref="AP1692:AQ1692"/>
    <mergeCell ref="AR1692:AS1693"/>
    <mergeCell ref="AT1692:AU1693"/>
    <mergeCell ref="AV1692:AW1693"/>
    <mergeCell ref="AX1692:AY1693"/>
    <mergeCell ref="AZ1692:AZ1693"/>
    <mergeCell ref="F1693:H1693"/>
    <mergeCell ref="X1693:AB1693"/>
    <mergeCell ref="AE1693:AI1693"/>
    <mergeCell ref="AJ1693:AL1693"/>
    <mergeCell ref="AN1693:AO1693"/>
    <mergeCell ref="AP1693:AQ1693"/>
    <mergeCell ref="A1694:A1695"/>
    <mergeCell ref="E1694:E1695"/>
    <mergeCell ref="F1694:H1694"/>
    <mergeCell ref="J1694:J1695"/>
    <mergeCell ref="K1694:L1695"/>
    <mergeCell ref="M1694:N1695"/>
    <mergeCell ref="O1694:P1695"/>
    <mergeCell ref="Q1694:R1695"/>
    <mergeCell ref="S1694:T1695"/>
    <mergeCell ref="U1694:V1695"/>
    <mergeCell ref="W1694:W1695"/>
    <mergeCell ref="X1694:AB1694"/>
    <mergeCell ref="AD1694:AI1694"/>
    <mergeCell ref="AJ1694:AL1694"/>
    <mergeCell ref="AN1694:AO1694"/>
    <mergeCell ref="AP1694:AQ1694"/>
    <mergeCell ref="AR1694:AS1695"/>
    <mergeCell ref="AT1694:AU1695"/>
    <mergeCell ref="AV1694:AW1695"/>
    <mergeCell ref="AX1694:AY1695"/>
    <mergeCell ref="AZ1694:AZ1695"/>
    <mergeCell ref="F1695:H1695"/>
    <mergeCell ref="X1695:AB1695"/>
    <mergeCell ref="AE1695:AI1695"/>
    <mergeCell ref="AJ1695:AL1695"/>
    <mergeCell ref="AN1695:AO1695"/>
    <mergeCell ref="AP1695:AQ1695"/>
    <mergeCell ref="A1696:A1697"/>
    <mergeCell ref="E1696:E1697"/>
    <mergeCell ref="F1696:H1696"/>
    <mergeCell ref="J1696:J1697"/>
    <mergeCell ref="K1696:L1697"/>
    <mergeCell ref="M1696:N1697"/>
    <mergeCell ref="O1696:P1697"/>
    <mergeCell ref="Q1696:R1697"/>
    <mergeCell ref="S1696:T1697"/>
    <mergeCell ref="U1696:V1697"/>
    <mergeCell ref="W1696:W1697"/>
    <mergeCell ref="X1696:AB1696"/>
    <mergeCell ref="AD1696:AI1696"/>
    <mergeCell ref="AJ1696:AL1696"/>
    <mergeCell ref="AN1696:AO1696"/>
    <mergeCell ref="AP1696:AQ1696"/>
    <mergeCell ref="AR1696:AS1697"/>
    <mergeCell ref="AT1696:AU1697"/>
    <mergeCell ref="AV1696:AW1697"/>
    <mergeCell ref="AX1696:AY1697"/>
    <mergeCell ref="AZ1696:AZ1697"/>
    <mergeCell ref="F1697:H1697"/>
    <mergeCell ref="X1697:AB1697"/>
    <mergeCell ref="AE1697:AI1697"/>
    <mergeCell ref="AJ1697:AL1697"/>
    <mergeCell ref="AN1697:AO1697"/>
    <mergeCell ref="AP1697:AQ1697"/>
    <mergeCell ref="A1698:A1699"/>
    <mergeCell ref="E1698:E1699"/>
    <mergeCell ref="F1698:H1698"/>
    <mergeCell ref="J1698:J1699"/>
    <mergeCell ref="K1698:L1699"/>
    <mergeCell ref="M1698:N1699"/>
    <mergeCell ref="O1698:P1699"/>
    <mergeCell ref="Q1698:R1699"/>
    <mergeCell ref="S1698:T1699"/>
    <mergeCell ref="U1698:V1699"/>
    <mergeCell ref="W1698:W1699"/>
    <mergeCell ref="X1698:AB1698"/>
    <mergeCell ref="AD1698:AI1698"/>
    <mergeCell ref="AJ1698:AL1698"/>
    <mergeCell ref="AN1698:AO1698"/>
    <mergeCell ref="AP1698:AQ1698"/>
    <mergeCell ref="AR1698:AS1699"/>
    <mergeCell ref="AT1698:AU1699"/>
    <mergeCell ref="AV1698:AW1699"/>
    <mergeCell ref="AX1698:AY1699"/>
    <mergeCell ref="AZ1698:AZ1699"/>
    <mergeCell ref="F1699:H1699"/>
    <mergeCell ref="X1699:AB1699"/>
    <mergeCell ref="AE1699:AI1699"/>
    <mergeCell ref="AJ1699:AL1699"/>
    <mergeCell ref="AN1699:AO1699"/>
    <mergeCell ref="AP1699:AQ1699"/>
    <mergeCell ref="A1700:A1701"/>
    <mergeCell ref="E1700:E1701"/>
    <mergeCell ref="F1700:H1700"/>
    <mergeCell ref="J1700:J1701"/>
    <mergeCell ref="K1700:L1701"/>
    <mergeCell ref="M1700:N1701"/>
    <mergeCell ref="O1700:P1701"/>
    <mergeCell ref="Q1700:R1701"/>
    <mergeCell ref="S1700:T1701"/>
    <mergeCell ref="U1700:V1701"/>
    <mergeCell ref="W1700:W1701"/>
    <mergeCell ref="X1700:AB1700"/>
    <mergeCell ref="AD1700:AI1700"/>
    <mergeCell ref="AJ1700:AL1700"/>
    <mergeCell ref="AN1700:AO1700"/>
    <mergeCell ref="AP1700:AQ1700"/>
    <mergeCell ref="AR1700:AS1701"/>
    <mergeCell ref="AT1700:AU1701"/>
    <mergeCell ref="AV1700:AW1701"/>
    <mergeCell ref="AX1700:AY1701"/>
    <mergeCell ref="AZ1700:AZ1701"/>
    <mergeCell ref="F1701:H1701"/>
    <mergeCell ref="X1701:AB1701"/>
    <mergeCell ref="AE1701:AI1701"/>
    <mergeCell ref="AJ1701:AL1701"/>
    <mergeCell ref="AN1701:AO1701"/>
    <mergeCell ref="AP1701:AQ1701"/>
    <mergeCell ref="A1702:A1703"/>
    <mergeCell ref="E1702:E1703"/>
    <mergeCell ref="F1702:H1702"/>
    <mergeCell ref="J1702:J1703"/>
    <mergeCell ref="K1702:L1703"/>
    <mergeCell ref="M1702:N1703"/>
    <mergeCell ref="O1702:P1703"/>
    <mergeCell ref="Q1702:R1703"/>
    <mergeCell ref="S1702:T1703"/>
    <mergeCell ref="U1702:V1703"/>
    <mergeCell ref="W1702:W1703"/>
    <mergeCell ref="X1702:AB1702"/>
    <mergeCell ref="AD1702:AI1702"/>
    <mergeCell ref="AJ1702:AL1702"/>
    <mergeCell ref="AN1702:AO1702"/>
    <mergeCell ref="AP1702:AQ1702"/>
    <mergeCell ref="AR1702:AS1703"/>
    <mergeCell ref="AT1702:AU1703"/>
    <mergeCell ref="AV1702:AW1703"/>
    <mergeCell ref="AX1702:AY1703"/>
    <mergeCell ref="AZ1702:AZ1703"/>
    <mergeCell ref="F1703:H1703"/>
    <mergeCell ref="X1703:AB1703"/>
    <mergeCell ref="AE1703:AI1703"/>
    <mergeCell ref="AJ1703:AL1703"/>
    <mergeCell ref="AN1703:AO1703"/>
    <mergeCell ref="AP1703:AQ1703"/>
    <mergeCell ref="A1704:A1705"/>
    <mergeCell ref="E1704:E1705"/>
    <mergeCell ref="F1704:H1704"/>
    <mergeCell ref="J1704:J1705"/>
    <mergeCell ref="K1704:L1705"/>
    <mergeCell ref="M1704:N1705"/>
    <mergeCell ref="O1704:P1705"/>
    <mergeCell ref="Q1704:R1705"/>
    <mergeCell ref="S1704:T1705"/>
    <mergeCell ref="U1704:V1705"/>
    <mergeCell ref="W1704:W1705"/>
    <mergeCell ref="X1704:AB1704"/>
    <mergeCell ref="AD1704:AI1704"/>
    <mergeCell ref="AJ1704:AL1704"/>
    <mergeCell ref="AN1704:AO1704"/>
    <mergeCell ref="AP1704:AQ1704"/>
    <mergeCell ref="AR1704:AS1705"/>
    <mergeCell ref="AT1704:AU1705"/>
    <mergeCell ref="AV1704:AW1705"/>
    <mergeCell ref="AX1704:AY1705"/>
    <mergeCell ref="AZ1704:AZ1705"/>
    <mergeCell ref="F1705:H1705"/>
    <mergeCell ref="X1705:AB1705"/>
    <mergeCell ref="AE1705:AI1705"/>
    <mergeCell ref="AJ1705:AL1705"/>
    <mergeCell ref="AN1705:AO1705"/>
    <mergeCell ref="AP1705:AQ1705"/>
    <mergeCell ref="A1706:A1707"/>
    <mergeCell ref="E1706:E1707"/>
    <mergeCell ref="F1706:H1706"/>
    <mergeCell ref="J1706:J1707"/>
    <mergeCell ref="K1706:L1707"/>
    <mergeCell ref="M1706:N1707"/>
    <mergeCell ref="O1706:P1707"/>
    <mergeCell ref="Q1706:R1707"/>
    <mergeCell ref="S1706:T1707"/>
    <mergeCell ref="U1706:V1707"/>
    <mergeCell ref="W1706:W1707"/>
    <mergeCell ref="X1706:AB1706"/>
    <mergeCell ref="AD1706:AI1706"/>
    <mergeCell ref="AJ1706:AL1706"/>
    <mergeCell ref="AN1706:AO1706"/>
    <mergeCell ref="AP1706:AQ1706"/>
    <mergeCell ref="AR1706:AS1707"/>
    <mergeCell ref="AT1706:AU1707"/>
    <mergeCell ref="AV1706:AW1707"/>
    <mergeCell ref="AX1706:AY1707"/>
    <mergeCell ref="AZ1706:AZ1707"/>
    <mergeCell ref="F1707:H1707"/>
    <mergeCell ref="X1707:AB1707"/>
    <mergeCell ref="AE1707:AI1707"/>
    <mergeCell ref="AJ1707:AL1707"/>
    <mergeCell ref="AN1707:AO1707"/>
    <mergeCell ref="AP1707:AQ1707"/>
    <mergeCell ref="A1708:A1709"/>
    <mergeCell ref="E1708:E1709"/>
    <mergeCell ref="F1708:H1708"/>
    <mergeCell ref="J1708:J1709"/>
    <mergeCell ref="K1708:L1709"/>
    <mergeCell ref="M1708:N1709"/>
    <mergeCell ref="O1708:P1709"/>
    <mergeCell ref="Q1708:R1709"/>
    <mergeCell ref="S1708:T1709"/>
    <mergeCell ref="U1708:V1709"/>
    <mergeCell ref="W1708:W1709"/>
    <mergeCell ref="X1708:AB1708"/>
    <mergeCell ref="AD1708:AI1708"/>
    <mergeCell ref="AJ1708:AL1708"/>
    <mergeCell ref="AN1708:AO1708"/>
    <mergeCell ref="AP1708:AQ1708"/>
    <mergeCell ref="AR1708:AS1709"/>
    <mergeCell ref="AT1708:AU1709"/>
    <mergeCell ref="AV1708:AW1709"/>
    <mergeCell ref="AX1708:AY1709"/>
    <mergeCell ref="AZ1708:AZ1709"/>
    <mergeCell ref="F1709:H1709"/>
    <mergeCell ref="X1709:AB1709"/>
    <mergeCell ref="AE1709:AI1709"/>
    <mergeCell ref="AJ1709:AL1709"/>
    <mergeCell ref="AN1709:AO1709"/>
    <mergeCell ref="AP1709:AQ1709"/>
    <mergeCell ref="A1710:A1711"/>
    <mergeCell ref="E1710:E1711"/>
    <mergeCell ref="F1710:H1710"/>
    <mergeCell ref="J1710:J1711"/>
    <mergeCell ref="K1710:L1711"/>
    <mergeCell ref="M1710:N1711"/>
    <mergeCell ref="O1710:P1711"/>
    <mergeCell ref="Q1710:R1711"/>
    <mergeCell ref="S1710:T1711"/>
    <mergeCell ref="U1710:V1711"/>
    <mergeCell ref="W1710:W1711"/>
    <mergeCell ref="X1710:AB1710"/>
    <mergeCell ref="AD1710:AI1710"/>
    <mergeCell ref="AJ1710:AL1710"/>
    <mergeCell ref="AN1710:AO1710"/>
    <mergeCell ref="AP1710:AQ1710"/>
    <mergeCell ref="AR1710:AS1711"/>
    <mergeCell ref="AT1710:AU1711"/>
    <mergeCell ref="AV1710:AW1711"/>
    <mergeCell ref="AX1710:AY1711"/>
    <mergeCell ref="AZ1710:AZ1711"/>
    <mergeCell ref="F1711:H1711"/>
    <mergeCell ref="X1711:AB1711"/>
    <mergeCell ref="AE1711:AI1711"/>
    <mergeCell ref="AJ1711:AL1711"/>
    <mergeCell ref="AN1711:AO1711"/>
    <mergeCell ref="AP1711:AQ1711"/>
    <mergeCell ref="A1712:A1713"/>
    <mergeCell ref="E1712:E1713"/>
    <mergeCell ref="F1712:H1712"/>
    <mergeCell ref="J1712:J1713"/>
    <mergeCell ref="K1712:L1713"/>
    <mergeCell ref="M1712:N1713"/>
    <mergeCell ref="O1712:P1713"/>
    <mergeCell ref="Q1712:R1713"/>
    <mergeCell ref="S1712:T1713"/>
    <mergeCell ref="U1712:V1713"/>
    <mergeCell ref="W1712:W1713"/>
    <mergeCell ref="X1712:AB1712"/>
    <mergeCell ref="AD1712:AI1712"/>
    <mergeCell ref="AJ1712:AL1712"/>
    <mergeCell ref="AN1712:AO1712"/>
    <mergeCell ref="AP1712:AQ1712"/>
    <mergeCell ref="AR1712:AS1713"/>
    <mergeCell ref="AT1712:AU1713"/>
    <mergeCell ref="AV1712:AW1713"/>
    <mergeCell ref="AX1712:AY1713"/>
    <mergeCell ref="AZ1712:AZ1713"/>
    <mergeCell ref="F1713:H1713"/>
    <mergeCell ref="X1713:AB1713"/>
    <mergeCell ref="AE1713:AI1713"/>
    <mergeCell ref="AJ1713:AL1713"/>
    <mergeCell ref="AN1713:AO1713"/>
    <mergeCell ref="AP1713:AQ1713"/>
    <mergeCell ref="A1714:A1715"/>
    <mergeCell ref="E1714:E1715"/>
    <mergeCell ref="F1714:H1714"/>
    <mergeCell ref="J1714:J1715"/>
    <mergeCell ref="K1714:L1715"/>
    <mergeCell ref="M1714:N1715"/>
    <mergeCell ref="O1714:P1715"/>
    <mergeCell ref="Q1714:R1715"/>
    <mergeCell ref="S1714:T1715"/>
    <mergeCell ref="U1714:V1715"/>
    <mergeCell ref="W1714:W1715"/>
    <mergeCell ref="X1714:AB1714"/>
    <mergeCell ref="AD1714:AI1714"/>
    <mergeCell ref="AJ1714:AL1714"/>
    <mergeCell ref="AN1714:AO1714"/>
    <mergeCell ref="AP1714:AQ1714"/>
    <mergeCell ref="AR1714:AS1715"/>
    <mergeCell ref="AT1714:AU1715"/>
    <mergeCell ref="AV1714:AW1715"/>
    <mergeCell ref="AX1714:AY1715"/>
    <mergeCell ref="AZ1714:AZ1715"/>
    <mergeCell ref="F1715:H1715"/>
    <mergeCell ref="X1715:AB1715"/>
    <mergeCell ref="AE1715:AI1715"/>
    <mergeCell ref="AJ1715:AL1715"/>
    <mergeCell ref="AN1715:AO1715"/>
    <mergeCell ref="AP1715:AQ1715"/>
    <mergeCell ref="A1716:A1717"/>
    <mergeCell ref="E1716:E1717"/>
    <mergeCell ref="F1716:H1716"/>
    <mergeCell ref="J1716:J1717"/>
    <mergeCell ref="K1716:L1717"/>
    <mergeCell ref="M1716:N1717"/>
    <mergeCell ref="O1716:P1717"/>
    <mergeCell ref="Q1716:R1717"/>
    <mergeCell ref="S1716:T1717"/>
    <mergeCell ref="U1716:V1717"/>
    <mergeCell ref="W1716:W1717"/>
    <mergeCell ref="X1716:AB1716"/>
    <mergeCell ref="AD1716:AI1716"/>
    <mergeCell ref="AJ1716:AL1716"/>
    <mergeCell ref="AN1716:AO1716"/>
    <mergeCell ref="AP1716:AQ1716"/>
    <mergeCell ref="AR1716:AS1717"/>
    <mergeCell ref="AT1716:AU1717"/>
    <mergeCell ref="AV1716:AW1717"/>
    <mergeCell ref="AX1716:AY1717"/>
    <mergeCell ref="AZ1716:AZ1717"/>
    <mergeCell ref="F1717:H1717"/>
    <mergeCell ref="X1717:AB1717"/>
    <mergeCell ref="AE1717:AI1717"/>
    <mergeCell ref="AJ1717:AL1717"/>
    <mergeCell ref="AN1717:AO1717"/>
    <mergeCell ref="AP1717:AQ1717"/>
    <mergeCell ref="A1718:A1719"/>
    <mergeCell ref="E1718:E1719"/>
    <mergeCell ref="F1718:H1718"/>
    <mergeCell ref="J1718:J1719"/>
    <mergeCell ref="K1718:L1719"/>
    <mergeCell ref="M1718:N1719"/>
    <mergeCell ref="O1718:P1719"/>
    <mergeCell ref="Q1718:R1719"/>
    <mergeCell ref="S1718:T1719"/>
    <mergeCell ref="U1718:V1719"/>
    <mergeCell ref="W1718:W1719"/>
    <mergeCell ref="X1718:AB1718"/>
    <mergeCell ref="AD1718:AI1718"/>
    <mergeCell ref="AJ1718:AL1718"/>
    <mergeCell ref="AN1718:AO1718"/>
    <mergeCell ref="AP1718:AQ1718"/>
    <mergeCell ref="AR1718:AS1719"/>
    <mergeCell ref="AT1718:AU1719"/>
    <mergeCell ref="AV1718:AW1719"/>
    <mergeCell ref="AX1718:AY1719"/>
    <mergeCell ref="AZ1718:AZ1719"/>
    <mergeCell ref="F1719:H1719"/>
    <mergeCell ref="X1719:AB1719"/>
    <mergeCell ref="AE1719:AI1719"/>
    <mergeCell ref="AJ1719:AL1719"/>
    <mergeCell ref="AN1719:AO1719"/>
    <mergeCell ref="AP1719:AQ1719"/>
    <mergeCell ref="A1720:A1721"/>
    <mergeCell ref="E1720:E1721"/>
    <mergeCell ref="F1720:H1720"/>
    <mergeCell ref="J1720:J1721"/>
    <mergeCell ref="K1720:L1721"/>
    <mergeCell ref="M1720:N1721"/>
    <mergeCell ref="O1720:P1721"/>
    <mergeCell ref="Q1720:R1721"/>
    <mergeCell ref="S1720:T1721"/>
    <mergeCell ref="U1720:V1721"/>
    <mergeCell ref="W1720:W1721"/>
    <mergeCell ref="X1720:AB1720"/>
    <mergeCell ref="AD1720:AI1720"/>
    <mergeCell ref="AJ1720:AL1720"/>
    <mergeCell ref="AN1720:AO1720"/>
    <mergeCell ref="AP1720:AQ1720"/>
    <mergeCell ref="AR1720:AS1721"/>
    <mergeCell ref="AT1720:AU1721"/>
    <mergeCell ref="AV1720:AW1721"/>
    <mergeCell ref="AX1720:AY1721"/>
    <mergeCell ref="AZ1720:AZ1721"/>
    <mergeCell ref="F1721:H1721"/>
    <mergeCell ref="X1721:AB1721"/>
    <mergeCell ref="AE1721:AI1721"/>
    <mergeCell ref="AJ1721:AL1721"/>
    <mergeCell ref="AN1721:AO1721"/>
    <mergeCell ref="AP1721:AQ1721"/>
    <mergeCell ref="A1722:A1723"/>
    <mergeCell ref="E1722:E1723"/>
    <mergeCell ref="F1722:H1722"/>
    <mergeCell ref="J1722:J1723"/>
    <mergeCell ref="K1722:L1723"/>
    <mergeCell ref="M1722:N1723"/>
    <mergeCell ref="O1722:P1723"/>
    <mergeCell ref="Q1722:R1723"/>
    <mergeCell ref="S1722:T1723"/>
    <mergeCell ref="U1722:V1723"/>
    <mergeCell ref="W1722:W1723"/>
    <mergeCell ref="X1722:AB1722"/>
    <mergeCell ref="AD1722:AI1722"/>
    <mergeCell ref="AJ1722:AL1722"/>
    <mergeCell ref="AN1722:AO1722"/>
    <mergeCell ref="AP1722:AQ1722"/>
    <mergeCell ref="AR1722:AS1723"/>
    <mergeCell ref="AT1722:AU1723"/>
    <mergeCell ref="AV1722:AW1723"/>
    <mergeCell ref="AX1722:AY1723"/>
    <mergeCell ref="AZ1722:AZ1723"/>
    <mergeCell ref="F1723:H1723"/>
    <mergeCell ref="X1723:AB1723"/>
    <mergeCell ref="AE1723:AI1723"/>
    <mergeCell ref="AJ1723:AL1723"/>
    <mergeCell ref="AN1723:AO1723"/>
    <mergeCell ref="AP1723:AQ1723"/>
    <mergeCell ref="A1724:A1725"/>
    <mergeCell ref="E1724:E1725"/>
    <mergeCell ref="F1724:H1724"/>
    <mergeCell ref="J1724:J1725"/>
    <mergeCell ref="K1724:L1725"/>
    <mergeCell ref="M1724:N1725"/>
    <mergeCell ref="O1724:P1725"/>
    <mergeCell ref="Q1724:R1725"/>
    <mergeCell ref="S1724:T1725"/>
    <mergeCell ref="U1724:V1725"/>
    <mergeCell ref="W1724:W1725"/>
    <mergeCell ref="X1724:AB1724"/>
    <mergeCell ref="AD1724:AI1724"/>
    <mergeCell ref="AJ1724:AL1724"/>
    <mergeCell ref="AN1724:AO1724"/>
    <mergeCell ref="AP1724:AQ1724"/>
    <mergeCell ref="AR1724:AS1725"/>
    <mergeCell ref="AT1724:AU1725"/>
    <mergeCell ref="AV1724:AW1725"/>
    <mergeCell ref="AX1724:AY1725"/>
    <mergeCell ref="AZ1724:AZ1725"/>
    <mergeCell ref="F1725:H1725"/>
    <mergeCell ref="X1725:AB1725"/>
    <mergeCell ref="AE1725:AI1725"/>
    <mergeCell ref="AJ1725:AL1725"/>
    <mergeCell ref="AN1725:AO1725"/>
    <mergeCell ref="AP1725:AQ1725"/>
    <mergeCell ref="A1726:A1727"/>
    <mergeCell ref="E1726:E1727"/>
    <mergeCell ref="F1726:H1726"/>
    <mergeCell ref="J1726:J1727"/>
    <mergeCell ref="K1726:L1727"/>
    <mergeCell ref="M1726:N1727"/>
    <mergeCell ref="O1726:P1727"/>
    <mergeCell ref="Q1726:R1727"/>
    <mergeCell ref="S1726:T1727"/>
    <mergeCell ref="U1726:V1727"/>
    <mergeCell ref="W1726:W1727"/>
    <mergeCell ref="X1726:AB1726"/>
    <mergeCell ref="AD1726:AI1726"/>
    <mergeCell ref="AJ1726:AL1726"/>
    <mergeCell ref="AN1726:AO1726"/>
    <mergeCell ref="AP1726:AQ1726"/>
    <mergeCell ref="AR1726:AS1727"/>
    <mergeCell ref="AT1726:AU1727"/>
    <mergeCell ref="AV1726:AW1727"/>
    <mergeCell ref="AX1726:AY1727"/>
    <mergeCell ref="AZ1726:AZ1727"/>
    <mergeCell ref="F1727:H1727"/>
    <mergeCell ref="X1727:AB1727"/>
    <mergeCell ref="AE1727:AI1727"/>
    <mergeCell ref="AJ1727:AL1727"/>
    <mergeCell ref="AN1727:AO1727"/>
    <mergeCell ref="AP1727:AQ1727"/>
    <mergeCell ref="A1728:A1729"/>
    <mergeCell ref="E1728:E1729"/>
    <mergeCell ref="F1728:H1728"/>
    <mergeCell ref="J1728:J1729"/>
    <mergeCell ref="K1728:L1729"/>
    <mergeCell ref="M1728:N1729"/>
    <mergeCell ref="O1728:P1729"/>
    <mergeCell ref="Q1728:R1729"/>
    <mergeCell ref="S1728:T1729"/>
    <mergeCell ref="U1728:V1729"/>
    <mergeCell ref="W1728:W1729"/>
    <mergeCell ref="X1728:AB1728"/>
    <mergeCell ref="AD1728:AI1728"/>
    <mergeCell ref="AJ1728:AL1728"/>
    <mergeCell ref="AN1728:AO1728"/>
    <mergeCell ref="AP1728:AQ1728"/>
    <mergeCell ref="AR1728:AS1729"/>
    <mergeCell ref="AT1728:AU1729"/>
    <mergeCell ref="AV1728:AW1729"/>
    <mergeCell ref="AX1728:AY1729"/>
    <mergeCell ref="AZ1728:AZ1729"/>
    <mergeCell ref="F1729:H1729"/>
    <mergeCell ref="X1729:AB1729"/>
    <mergeCell ref="AE1729:AI1729"/>
    <mergeCell ref="AJ1729:AL1729"/>
    <mergeCell ref="AN1729:AO1729"/>
    <mergeCell ref="AP1729:AQ1729"/>
    <mergeCell ref="A1730:A1731"/>
    <mergeCell ref="E1730:E1731"/>
    <mergeCell ref="F1730:H1730"/>
    <mergeCell ref="J1730:J1731"/>
    <mergeCell ref="K1730:L1731"/>
    <mergeCell ref="M1730:N1731"/>
    <mergeCell ref="O1730:P1731"/>
    <mergeCell ref="Q1730:R1731"/>
    <mergeCell ref="S1730:T1731"/>
    <mergeCell ref="U1730:V1731"/>
    <mergeCell ref="W1730:W1731"/>
    <mergeCell ref="X1730:AB1730"/>
    <mergeCell ref="AD1730:AI1730"/>
    <mergeCell ref="AJ1730:AL1730"/>
    <mergeCell ref="AN1730:AO1730"/>
    <mergeCell ref="AP1730:AQ1730"/>
    <mergeCell ref="AR1730:AS1731"/>
    <mergeCell ref="AT1730:AU1731"/>
    <mergeCell ref="AV1730:AW1731"/>
    <mergeCell ref="AX1730:AY1731"/>
    <mergeCell ref="AZ1730:AZ1731"/>
    <mergeCell ref="F1731:H1731"/>
    <mergeCell ref="X1731:AB1731"/>
    <mergeCell ref="AE1731:AI1731"/>
    <mergeCell ref="AJ1731:AL1731"/>
    <mergeCell ref="AN1731:AO1731"/>
    <mergeCell ref="AP1731:AQ1731"/>
    <mergeCell ref="A1732:A1733"/>
    <mergeCell ref="E1732:E1733"/>
    <mergeCell ref="F1732:H1732"/>
    <mergeCell ref="J1732:J1733"/>
    <mergeCell ref="K1732:L1733"/>
    <mergeCell ref="M1732:N1733"/>
    <mergeCell ref="O1732:P1733"/>
    <mergeCell ref="Q1732:R1733"/>
    <mergeCell ref="S1732:T1733"/>
    <mergeCell ref="U1732:V1733"/>
    <mergeCell ref="W1732:W1733"/>
    <mergeCell ref="X1732:AB1732"/>
    <mergeCell ref="AD1732:AI1732"/>
    <mergeCell ref="AJ1732:AL1732"/>
    <mergeCell ref="AN1732:AO1732"/>
    <mergeCell ref="AP1732:AQ1732"/>
    <mergeCell ref="AR1732:AS1733"/>
    <mergeCell ref="AT1732:AU1733"/>
    <mergeCell ref="AV1732:AW1733"/>
    <mergeCell ref="AX1732:AY1733"/>
    <mergeCell ref="AZ1732:AZ1733"/>
    <mergeCell ref="F1733:H1733"/>
    <mergeCell ref="X1733:AB1733"/>
    <mergeCell ref="AE1733:AI1733"/>
    <mergeCell ref="AJ1733:AL1733"/>
    <mergeCell ref="AN1733:AO1733"/>
    <mergeCell ref="AP1733:AQ1733"/>
    <mergeCell ref="A1734:A1735"/>
    <mergeCell ref="E1734:E1735"/>
    <mergeCell ref="F1734:H1734"/>
    <mergeCell ref="J1734:J1735"/>
    <mergeCell ref="K1734:L1735"/>
    <mergeCell ref="M1734:N1735"/>
    <mergeCell ref="O1734:P1735"/>
    <mergeCell ref="Q1734:R1735"/>
    <mergeCell ref="S1734:T1735"/>
    <mergeCell ref="U1734:V1735"/>
    <mergeCell ref="W1734:W1735"/>
    <mergeCell ref="X1734:AB1734"/>
    <mergeCell ref="AD1734:AI1734"/>
    <mergeCell ref="AJ1734:AL1734"/>
    <mergeCell ref="AN1734:AO1734"/>
    <mergeCell ref="AP1734:AQ1734"/>
    <mergeCell ref="AR1734:AS1735"/>
    <mergeCell ref="AT1734:AU1735"/>
    <mergeCell ref="AV1734:AW1735"/>
    <mergeCell ref="AX1734:AY1735"/>
    <mergeCell ref="AZ1734:AZ1735"/>
    <mergeCell ref="F1735:H1735"/>
    <mergeCell ref="X1735:AB1735"/>
    <mergeCell ref="AE1735:AI1735"/>
    <mergeCell ref="AJ1735:AL1735"/>
    <mergeCell ref="AN1735:AO1735"/>
    <mergeCell ref="AP1735:AQ1735"/>
    <mergeCell ref="A1736:A1737"/>
    <mergeCell ref="E1736:E1737"/>
    <mergeCell ref="F1736:H1736"/>
    <mergeCell ref="J1736:J1737"/>
    <mergeCell ref="K1736:L1737"/>
    <mergeCell ref="M1736:N1737"/>
    <mergeCell ref="O1736:P1737"/>
    <mergeCell ref="Q1736:R1737"/>
    <mergeCell ref="S1736:T1737"/>
    <mergeCell ref="U1736:V1737"/>
    <mergeCell ref="W1736:W1737"/>
    <mergeCell ref="X1736:AB1736"/>
    <mergeCell ref="AD1736:AI1736"/>
    <mergeCell ref="AJ1736:AL1736"/>
    <mergeCell ref="AN1736:AO1736"/>
    <mergeCell ref="AP1736:AQ1736"/>
    <mergeCell ref="AR1736:AS1737"/>
    <mergeCell ref="AT1736:AU1737"/>
    <mergeCell ref="AV1736:AW1737"/>
    <mergeCell ref="AX1736:AY1737"/>
    <mergeCell ref="AZ1736:AZ1737"/>
    <mergeCell ref="F1737:H1737"/>
    <mergeCell ref="X1737:AB1737"/>
    <mergeCell ref="AE1737:AI1737"/>
    <mergeCell ref="AJ1737:AL1737"/>
    <mergeCell ref="AN1737:AO1737"/>
    <mergeCell ref="AP1737:AQ1737"/>
    <mergeCell ref="A1738:A1739"/>
    <mergeCell ref="E1738:E1739"/>
    <mergeCell ref="F1738:H1738"/>
    <mergeCell ref="J1738:J1739"/>
    <mergeCell ref="K1738:L1739"/>
    <mergeCell ref="M1738:N1739"/>
    <mergeCell ref="O1738:P1739"/>
    <mergeCell ref="Q1738:R1739"/>
    <mergeCell ref="S1738:T1739"/>
    <mergeCell ref="U1738:V1739"/>
    <mergeCell ref="W1738:W1739"/>
    <mergeCell ref="X1738:AB1738"/>
    <mergeCell ref="AD1738:AI1738"/>
    <mergeCell ref="AJ1738:AL1738"/>
    <mergeCell ref="AN1738:AO1738"/>
    <mergeCell ref="AP1738:AQ1738"/>
    <mergeCell ref="AR1738:AS1739"/>
    <mergeCell ref="AT1738:AU1739"/>
    <mergeCell ref="AV1738:AW1739"/>
    <mergeCell ref="AX1738:AY1739"/>
    <mergeCell ref="AZ1738:AZ1739"/>
    <mergeCell ref="F1739:H1739"/>
    <mergeCell ref="X1739:AB1739"/>
    <mergeCell ref="AE1739:AI1739"/>
    <mergeCell ref="AJ1739:AL1739"/>
    <mergeCell ref="AN1739:AO1739"/>
    <mergeCell ref="AP1739:AQ1739"/>
    <mergeCell ref="A1740:A1741"/>
    <mergeCell ref="E1740:E1741"/>
    <mergeCell ref="F1740:H1740"/>
    <mergeCell ref="J1740:J1741"/>
    <mergeCell ref="K1740:L1741"/>
    <mergeCell ref="M1740:N1741"/>
    <mergeCell ref="O1740:P1741"/>
    <mergeCell ref="Q1740:R1741"/>
    <mergeCell ref="S1740:T1741"/>
    <mergeCell ref="U1740:V1741"/>
    <mergeCell ref="W1740:W1741"/>
    <mergeCell ref="X1740:AB1740"/>
    <mergeCell ref="AD1740:AI1740"/>
    <mergeCell ref="AJ1740:AL1740"/>
    <mergeCell ref="AN1740:AO1740"/>
    <mergeCell ref="AP1740:AQ1740"/>
    <mergeCell ref="AR1740:AS1741"/>
    <mergeCell ref="AT1740:AU1741"/>
    <mergeCell ref="AV1740:AW1741"/>
    <mergeCell ref="AX1740:AY1741"/>
    <mergeCell ref="AZ1740:AZ1741"/>
    <mergeCell ref="F1741:H1741"/>
    <mergeCell ref="X1741:AB1741"/>
    <mergeCell ref="AE1741:AI1741"/>
    <mergeCell ref="AJ1741:AL1741"/>
    <mergeCell ref="AN1741:AO1741"/>
    <mergeCell ref="AP1741:AQ1741"/>
    <mergeCell ref="A1742:A1743"/>
    <mergeCell ref="E1742:E1743"/>
    <mergeCell ref="F1742:H1742"/>
    <mergeCell ref="J1742:J1743"/>
    <mergeCell ref="K1742:L1743"/>
    <mergeCell ref="M1742:N1743"/>
    <mergeCell ref="O1742:P1743"/>
    <mergeCell ref="Q1742:R1743"/>
    <mergeCell ref="S1742:T1743"/>
    <mergeCell ref="U1742:V1743"/>
    <mergeCell ref="W1742:W1743"/>
    <mergeCell ref="X1742:AB1742"/>
    <mergeCell ref="AD1742:AI1742"/>
    <mergeCell ref="AJ1742:AL1742"/>
    <mergeCell ref="AN1742:AO1742"/>
    <mergeCell ref="AP1742:AQ1742"/>
    <mergeCell ref="AR1742:AS1743"/>
    <mergeCell ref="AT1742:AU1743"/>
    <mergeCell ref="AV1742:AW1743"/>
    <mergeCell ref="AX1742:AY1743"/>
    <mergeCell ref="AZ1742:AZ1743"/>
    <mergeCell ref="F1743:H1743"/>
    <mergeCell ref="X1743:AB1743"/>
    <mergeCell ref="AE1743:AI1743"/>
    <mergeCell ref="AJ1743:AL1743"/>
    <mergeCell ref="AN1743:AO1743"/>
    <mergeCell ref="AP1743:AQ1743"/>
    <mergeCell ref="A1744:A1745"/>
    <mergeCell ref="E1744:E1745"/>
    <mergeCell ref="F1744:H1744"/>
    <mergeCell ref="J1744:J1745"/>
    <mergeCell ref="K1744:L1745"/>
    <mergeCell ref="M1744:N1745"/>
    <mergeCell ref="O1744:P1745"/>
    <mergeCell ref="Q1744:R1745"/>
    <mergeCell ref="S1744:T1745"/>
    <mergeCell ref="U1744:V1745"/>
    <mergeCell ref="W1744:W1745"/>
    <mergeCell ref="X1744:AB1744"/>
    <mergeCell ref="AD1744:AI1744"/>
    <mergeCell ref="AJ1744:AL1744"/>
    <mergeCell ref="AN1744:AO1744"/>
    <mergeCell ref="AP1744:AQ1744"/>
    <mergeCell ref="AR1744:AS1745"/>
    <mergeCell ref="AT1744:AU1745"/>
    <mergeCell ref="AV1744:AW1745"/>
    <mergeCell ref="AX1744:AY1745"/>
    <mergeCell ref="AZ1744:AZ1745"/>
    <mergeCell ref="F1745:H1745"/>
    <mergeCell ref="X1745:AB1745"/>
    <mergeCell ref="AE1745:AI1745"/>
    <mergeCell ref="AJ1745:AL1745"/>
    <mergeCell ref="AN1745:AO1745"/>
    <mergeCell ref="AP1745:AQ1745"/>
    <mergeCell ref="A1746:A1747"/>
    <mergeCell ref="E1746:E1747"/>
    <mergeCell ref="F1746:H1746"/>
    <mergeCell ref="J1746:J1747"/>
    <mergeCell ref="K1746:L1747"/>
    <mergeCell ref="M1746:N1747"/>
    <mergeCell ref="O1746:P1747"/>
    <mergeCell ref="Q1746:R1747"/>
    <mergeCell ref="S1746:T1747"/>
    <mergeCell ref="U1746:V1747"/>
    <mergeCell ref="W1746:W1747"/>
    <mergeCell ref="X1746:AB1746"/>
    <mergeCell ref="AD1746:AI1746"/>
    <mergeCell ref="AJ1746:AL1746"/>
    <mergeCell ref="AN1746:AO1746"/>
    <mergeCell ref="AP1746:AQ1746"/>
    <mergeCell ref="AR1746:AS1747"/>
    <mergeCell ref="AT1746:AU1747"/>
    <mergeCell ref="AV1746:AW1747"/>
    <mergeCell ref="AX1746:AY1747"/>
    <mergeCell ref="AZ1746:AZ1747"/>
    <mergeCell ref="F1747:H1747"/>
    <mergeCell ref="X1747:AB1747"/>
    <mergeCell ref="AE1747:AI1747"/>
    <mergeCell ref="AJ1747:AL1747"/>
    <mergeCell ref="AN1747:AO1747"/>
    <mergeCell ref="AP1747:AQ1747"/>
    <mergeCell ref="A1748:A1749"/>
    <mergeCell ref="E1748:E1749"/>
    <mergeCell ref="F1748:H1748"/>
    <mergeCell ref="J1748:J1749"/>
    <mergeCell ref="K1748:L1749"/>
    <mergeCell ref="M1748:N1749"/>
    <mergeCell ref="O1748:P1749"/>
    <mergeCell ref="Q1748:R1749"/>
    <mergeCell ref="S1748:T1749"/>
    <mergeCell ref="U1748:V1749"/>
    <mergeCell ref="W1748:W1749"/>
    <mergeCell ref="X1748:AB1748"/>
    <mergeCell ref="AD1748:AI1748"/>
    <mergeCell ref="AJ1748:AL1748"/>
    <mergeCell ref="AN1748:AO1748"/>
    <mergeCell ref="AP1748:AQ1748"/>
    <mergeCell ref="AR1748:AS1749"/>
    <mergeCell ref="AT1748:AU1749"/>
    <mergeCell ref="AV1748:AW1749"/>
    <mergeCell ref="AX1748:AY1749"/>
    <mergeCell ref="AZ1748:AZ1749"/>
    <mergeCell ref="F1749:H1749"/>
    <mergeCell ref="X1749:AB1749"/>
    <mergeCell ref="AE1749:AI1749"/>
    <mergeCell ref="AJ1749:AL1749"/>
    <mergeCell ref="AN1749:AO1749"/>
    <mergeCell ref="AP1749:AQ1749"/>
    <mergeCell ref="A1750:A1751"/>
    <mergeCell ref="E1750:E1751"/>
    <mergeCell ref="F1750:H1750"/>
    <mergeCell ref="J1750:J1751"/>
    <mergeCell ref="K1750:L1751"/>
    <mergeCell ref="M1750:N1751"/>
    <mergeCell ref="O1750:P1751"/>
    <mergeCell ref="Q1750:R1751"/>
    <mergeCell ref="S1750:T1751"/>
    <mergeCell ref="U1750:V1751"/>
    <mergeCell ref="W1750:W1751"/>
    <mergeCell ref="X1750:AB1750"/>
    <mergeCell ref="AD1750:AI1750"/>
    <mergeCell ref="AJ1750:AL1750"/>
    <mergeCell ref="AN1750:AO1750"/>
    <mergeCell ref="AP1750:AQ1750"/>
    <mergeCell ref="AR1750:AS1751"/>
    <mergeCell ref="AT1750:AU1751"/>
    <mergeCell ref="AV1750:AW1751"/>
    <mergeCell ref="AX1750:AY1751"/>
    <mergeCell ref="AZ1750:AZ1751"/>
    <mergeCell ref="F1751:H1751"/>
    <mergeCell ref="X1751:AB1751"/>
    <mergeCell ref="AE1751:AI1751"/>
    <mergeCell ref="AJ1751:AL1751"/>
    <mergeCell ref="AN1751:AO1751"/>
    <mergeCell ref="AP1751:AQ1751"/>
    <mergeCell ref="A1752:A1753"/>
    <mergeCell ref="E1752:E1753"/>
    <mergeCell ref="F1752:H1752"/>
    <mergeCell ref="J1752:J1753"/>
    <mergeCell ref="K1752:L1753"/>
    <mergeCell ref="M1752:N1753"/>
    <mergeCell ref="O1752:P1753"/>
    <mergeCell ref="Q1752:R1753"/>
    <mergeCell ref="S1752:T1753"/>
    <mergeCell ref="U1752:V1753"/>
    <mergeCell ref="W1752:W1753"/>
    <mergeCell ref="X1752:AB1752"/>
    <mergeCell ref="AD1752:AI1752"/>
    <mergeCell ref="AJ1752:AL1752"/>
    <mergeCell ref="AN1752:AO1752"/>
    <mergeCell ref="AP1752:AQ1752"/>
    <mergeCell ref="AR1752:AS1753"/>
    <mergeCell ref="AT1752:AU1753"/>
    <mergeCell ref="AV1752:AW1753"/>
    <mergeCell ref="AX1752:AY1753"/>
    <mergeCell ref="AZ1752:AZ1753"/>
    <mergeCell ref="F1753:H1753"/>
    <mergeCell ref="X1753:AB1753"/>
    <mergeCell ref="AE1753:AI1753"/>
    <mergeCell ref="AJ1753:AL1753"/>
    <mergeCell ref="AN1753:AO1753"/>
    <mergeCell ref="AP1753:AQ1753"/>
    <mergeCell ref="A1754:A1755"/>
    <mergeCell ref="E1754:E1755"/>
    <mergeCell ref="F1754:H1754"/>
    <mergeCell ref="J1754:J1755"/>
    <mergeCell ref="K1754:L1755"/>
    <mergeCell ref="M1754:N1755"/>
    <mergeCell ref="O1754:P1755"/>
    <mergeCell ref="Q1754:R1755"/>
    <mergeCell ref="S1754:T1755"/>
    <mergeCell ref="U1754:V1755"/>
    <mergeCell ref="W1754:W1755"/>
    <mergeCell ref="X1754:AB1754"/>
    <mergeCell ref="AD1754:AI1754"/>
    <mergeCell ref="AJ1754:AL1754"/>
    <mergeCell ref="AN1754:AO1754"/>
    <mergeCell ref="AP1754:AQ1754"/>
    <mergeCell ref="AR1754:AS1755"/>
    <mergeCell ref="AT1754:AU1755"/>
    <mergeCell ref="AV1754:AW1755"/>
    <mergeCell ref="AX1754:AY1755"/>
    <mergeCell ref="AZ1754:AZ1755"/>
    <mergeCell ref="F1755:H1755"/>
    <mergeCell ref="X1755:AB1755"/>
    <mergeCell ref="AE1755:AI1755"/>
    <mergeCell ref="AJ1755:AL1755"/>
    <mergeCell ref="AN1755:AO1755"/>
    <mergeCell ref="AP1755:AQ1755"/>
    <mergeCell ref="A1756:A1757"/>
    <mergeCell ref="E1756:E1757"/>
    <mergeCell ref="F1756:H1756"/>
    <mergeCell ref="J1756:J1757"/>
    <mergeCell ref="K1756:L1757"/>
    <mergeCell ref="M1756:N1757"/>
    <mergeCell ref="O1756:P1757"/>
    <mergeCell ref="Q1756:R1757"/>
    <mergeCell ref="S1756:T1757"/>
    <mergeCell ref="U1756:V1757"/>
    <mergeCell ref="W1756:W1757"/>
    <mergeCell ref="X1756:AB1756"/>
    <mergeCell ref="AD1756:AI1756"/>
    <mergeCell ref="AJ1756:AL1756"/>
    <mergeCell ref="AN1756:AO1756"/>
    <mergeCell ref="AP1756:AQ1756"/>
    <mergeCell ref="AR1756:AS1757"/>
    <mergeCell ref="AT1756:AU1757"/>
    <mergeCell ref="AV1756:AW1757"/>
    <mergeCell ref="AX1756:AY1757"/>
    <mergeCell ref="AZ1756:AZ1757"/>
    <mergeCell ref="F1757:H1757"/>
    <mergeCell ref="X1757:AB1757"/>
    <mergeCell ref="AE1757:AI1757"/>
    <mergeCell ref="AJ1757:AL1757"/>
    <mergeCell ref="AN1757:AO1757"/>
    <mergeCell ref="AP1757:AQ1757"/>
    <mergeCell ref="A1758:A1759"/>
    <mergeCell ref="E1758:E1759"/>
    <mergeCell ref="F1758:H1758"/>
    <mergeCell ref="J1758:J1759"/>
    <mergeCell ref="K1758:L1759"/>
    <mergeCell ref="M1758:N1759"/>
    <mergeCell ref="O1758:P1759"/>
    <mergeCell ref="Q1758:R1759"/>
    <mergeCell ref="S1758:T1759"/>
    <mergeCell ref="U1758:V1759"/>
    <mergeCell ref="W1758:W1759"/>
    <mergeCell ref="X1758:AB1758"/>
    <mergeCell ref="AD1758:AI1758"/>
    <mergeCell ref="AJ1758:AL1758"/>
    <mergeCell ref="AN1758:AO1758"/>
    <mergeCell ref="AP1758:AQ1758"/>
    <mergeCell ref="AR1758:AS1759"/>
    <mergeCell ref="AT1758:AU1759"/>
    <mergeCell ref="AV1758:AW1759"/>
    <mergeCell ref="AX1758:AY1759"/>
    <mergeCell ref="AZ1758:AZ1759"/>
    <mergeCell ref="F1759:H1759"/>
    <mergeCell ref="X1759:AB1759"/>
    <mergeCell ref="AE1759:AI1759"/>
    <mergeCell ref="AJ1759:AL1759"/>
    <mergeCell ref="AN1759:AO1759"/>
    <mergeCell ref="AP1759:AQ1759"/>
    <mergeCell ref="A1760:A1761"/>
    <mergeCell ref="E1760:E1761"/>
    <mergeCell ref="F1760:H1760"/>
    <mergeCell ref="J1760:J1761"/>
    <mergeCell ref="K1760:L1761"/>
    <mergeCell ref="M1760:N1761"/>
    <mergeCell ref="O1760:P1761"/>
    <mergeCell ref="Q1760:R1761"/>
    <mergeCell ref="S1760:T1761"/>
    <mergeCell ref="U1760:V1761"/>
    <mergeCell ref="W1760:W1761"/>
    <mergeCell ref="X1760:AB1760"/>
    <mergeCell ref="AD1760:AI1760"/>
    <mergeCell ref="AJ1760:AL1760"/>
    <mergeCell ref="AN1760:AO1760"/>
    <mergeCell ref="AP1760:AQ1760"/>
    <mergeCell ref="AR1760:AS1761"/>
    <mergeCell ref="AT1760:AU1761"/>
    <mergeCell ref="AV1760:AW1761"/>
    <mergeCell ref="AX1760:AY1761"/>
    <mergeCell ref="AZ1760:AZ1761"/>
    <mergeCell ref="F1761:H1761"/>
    <mergeCell ref="X1761:AB1761"/>
    <mergeCell ref="AE1761:AI1761"/>
    <mergeCell ref="AJ1761:AL1761"/>
    <mergeCell ref="AN1761:AO1761"/>
    <mergeCell ref="AP1761:AQ1761"/>
    <mergeCell ref="A1762:A1763"/>
    <mergeCell ref="E1762:E1763"/>
    <mergeCell ref="F1762:H1762"/>
    <mergeCell ref="J1762:J1763"/>
    <mergeCell ref="K1762:L1763"/>
    <mergeCell ref="M1762:N1763"/>
    <mergeCell ref="O1762:P1763"/>
    <mergeCell ref="Q1762:R1763"/>
    <mergeCell ref="S1762:T1763"/>
    <mergeCell ref="U1762:V1763"/>
    <mergeCell ref="W1762:W1763"/>
    <mergeCell ref="X1762:AB1762"/>
    <mergeCell ref="AD1762:AI1762"/>
    <mergeCell ref="AJ1762:AL1762"/>
    <mergeCell ref="AN1762:AO1762"/>
    <mergeCell ref="AP1762:AQ1762"/>
    <mergeCell ref="AR1762:AS1763"/>
    <mergeCell ref="AT1762:AU1763"/>
    <mergeCell ref="AV1762:AW1763"/>
    <mergeCell ref="AX1762:AY1763"/>
    <mergeCell ref="AZ1762:AZ1763"/>
    <mergeCell ref="F1763:H1763"/>
    <mergeCell ref="X1763:AB1763"/>
    <mergeCell ref="AE1763:AI1763"/>
    <mergeCell ref="AJ1763:AL1763"/>
    <mergeCell ref="AN1763:AO1763"/>
    <mergeCell ref="AP1763:AQ1763"/>
    <mergeCell ref="A1764:A1765"/>
    <mergeCell ref="E1764:E1765"/>
    <mergeCell ref="F1764:H1764"/>
    <mergeCell ref="J1764:J1765"/>
    <mergeCell ref="K1764:L1765"/>
    <mergeCell ref="M1764:N1765"/>
    <mergeCell ref="O1764:P1765"/>
    <mergeCell ref="Q1764:R1765"/>
    <mergeCell ref="S1764:T1765"/>
    <mergeCell ref="U1764:V1765"/>
    <mergeCell ref="W1764:W1765"/>
    <mergeCell ref="X1764:AB1764"/>
    <mergeCell ref="AD1764:AI1764"/>
    <mergeCell ref="AJ1764:AL1764"/>
    <mergeCell ref="AN1764:AO1764"/>
    <mergeCell ref="AP1764:AQ1764"/>
    <mergeCell ref="AR1764:AS1765"/>
    <mergeCell ref="AT1764:AU1765"/>
    <mergeCell ref="AV1764:AW1765"/>
    <mergeCell ref="AX1764:AY1765"/>
    <mergeCell ref="AZ1764:AZ1765"/>
    <mergeCell ref="F1765:H1765"/>
    <mergeCell ref="X1765:AB1765"/>
    <mergeCell ref="AE1765:AI1765"/>
    <mergeCell ref="AJ1765:AL1765"/>
    <mergeCell ref="AN1765:AO1765"/>
    <mergeCell ref="AP1765:AQ1765"/>
    <mergeCell ref="A1766:A1767"/>
    <mergeCell ref="E1766:E1767"/>
    <mergeCell ref="F1766:H1766"/>
    <mergeCell ref="J1766:J1767"/>
    <mergeCell ref="K1766:L1767"/>
    <mergeCell ref="M1766:N1767"/>
    <mergeCell ref="O1766:P1767"/>
    <mergeCell ref="Q1766:R1767"/>
    <mergeCell ref="S1766:T1767"/>
    <mergeCell ref="U1766:V1767"/>
    <mergeCell ref="W1766:W1767"/>
    <mergeCell ref="X1766:AB1766"/>
    <mergeCell ref="AD1766:AI1766"/>
    <mergeCell ref="AJ1766:AL1766"/>
    <mergeCell ref="AN1766:AO1766"/>
    <mergeCell ref="AP1766:AQ1766"/>
    <mergeCell ref="AR1766:AS1767"/>
    <mergeCell ref="AT1766:AU1767"/>
    <mergeCell ref="AV1766:AW1767"/>
    <mergeCell ref="AX1766:AY1767"/>
    <mergeCell ref="AZ1766:AZ1767"/>
    <mergeCell ref="F1767:H1767"/>
    <mergeCell ref="X1767:AB1767"/>
    <mergeCell ref="AE1767:AI1767"/>
    <mergeCell ref="AJ1767:AL1767"/>
    <mergeCell ref="AN1767:AO1767"/>
    <mergeCell ref="AP1767:AQ1767"/>
    <mergeCell ref="A1768:A1769"/>
    <mergeCell ref="E1768:E1769"/>
    <mergeCell ref="F1768:H1768"/>
    <mergeCell ref="J1768:J1769"/>
    <mergeCell ref="K1768:L1769"/>
    <mergeCell ref="M1768:N1769"/>
    <mergeCell ref="O1768:P1769"/>
    <mergeCell ref="Q1768:R1769"/>
    <mergeCell ref="S1768:T1769"/>
    <mergeCell ref="U1768:V1769"/>
    <mergeCell ref="W1768:W1769"/>
    <mergeCell ref="X1768:AB1768"/>
    <mergeCell ref="AD1768:AI1768"/>
    <mergeCell ref="AJ1768:AL1768"/>
    <mergeCell ref="AN1768:AO1768"/>
    <mergeCell ref="AP1768:AQ1768"/>
    <mergeCell ref="AR1768:AS1769"/>
    <mergeCell ref="AT1768:AU1769"/>
    <mergeCell ref="AV1768:AW1769"/>
    <mergeCell ref="AX1768:AY1769"/>
    <mergeCell ref="AZ1768:AZ1769"/>
    <mergeCell ref="F1769:H1769"/>
    <mergeCell ref="X1769:AB1769"/>
    <mergeCell ref="AE1769:AI1769"/>
    <mergeCell ref="AJ1769:AL1769"/>
    <mergeCell ref="AN1769:AO1769"/>
    <mergeCell ref="AP1769:AQ1769"/>
    <mergeCell ref="A1770:A1771"/>
    <mergeCell ref="E1770:E1771"/>
    <mergeCell ref="F1770:H1770"/>
    <mergeCell ref="J1770:J1771"/>
    <mergeCell ref="K1770:L1771"/>
    <mergeCell ref="M1770:N1771"/>
    <mergeCell ref="O1770:P1771"/>
    <mergeCell ref="Q1770:R1771"/>
    <mergeCell ref="S1770:T1771"/>
    <mergeCell ref="U1770:V1771"/>
    <mergeCell ref="W1770:W1771"/>
    <mergeCell ref="X1770:AB1770"/>
    <mergeCell ref="AD1770:AI1770"/>
    <mergeCell ref="AJ1770:AL1770"/>
    <mergeCell ref="AN1770:AO1770"/>
    <mergeCell ref="AP1770:AQ1770"/>
    <mergeCell ref="AR1770:AS1771"/>
    <mergeCell ref="AT1770:AU1771"/>
    <mergeCell ref="AV1770:AW1771"/>
    <mergeCell ref="AX1770:AY1771"/>
    <mergeCell ref="AZ1770:AZ1771"/>
    <mergeCell ref="F1771:H1771"/>
    <mergeCell ref="X1771:AB1771"/>
    <mergeCell ref="AE1771:AI1771"/>
    <mergeCell ref="AJ1771:AL1771"/>
    <mergeCell ref="AN1771:AO1771"/>
    <mergeCell ref="AP1771:AQ1771"/>
    <mergeCell ref="A1772:A1773"/>
    <mergeCell ref="E1772:E1773"/>
    <mergeCell ref="F1772:H1772"/>
    <mergeCell ref="J1772:J1773"/>
    <mergeCell ref="K1772:L1773"/>
    <mergeCell ref="M1772:N1773"/>
    <mergeCell ref="O1772:P1773"/>
    <mergeCell ref="Q1772:R1773"/>
    <mergeCell ref="S1772:T1773"/>
    <mergeCell ref="U1772:V1773"/>
    <mergeCell ref="W1772:W1773"/>
    <mergeCell ref="X1772:AB1772"/>
    <mergeCell ref="AD1772:AI1772"/>
    <mergeCell ref="AJ1772:AL1772"/>
    <mergeCell ref="AN1772:AO1772"/>
    <mergeCell ref="AP1772:AQ1772"/>
    <mergeCell ref="AR1772:AS1773"/>
    <mergeCell ref="AT1772:AU1773"/>
    <mergeCell ref="AV1772:AW1773"/>
    <mergeCell ref="AX1772:AY1773"/>
    <mergeCell ref="AZ1772:AZ1773"/>
    <mergeCell ref="F1773:H1773"/>
    <mergeCell ref="X1773:AB1773"/>
    <mergeCell ref="AE1773:AI1773"/>
    <mergeCell ref="AJ1773:AL1773"/>
    <mergeCell ref="AN1773:AO1773"/>
    <mergeCell ref="AP1773:AQ1773"/>
    <mergeCell ref="A1774:A1775"/>
    <mergeCell ref="E1774:E1775"/>
    <mergeCell ref="F1774:H1774"/>
    <mergeCell ref="J1774:J1775"/>
    <mergeCell ref="K1774:L1775"/>
    <mergeCell ref="M1774:N1775"/>
    <mergeCell ref="O1774:P1775"/>
    <mergeCell ref="Q1774:R1775"/>
    <mergeCell ref="S1774:T1775"/>
    <mergeCell ref="U1774:V1775"/>
    <mergeCell ref="W1774:W1775"/>
    <mergeCell ref="X1774:AB1774"/>
    <mergeCell ref="AD1774:AI1774"/>
    <mergeCell ref="AJ1774:AL1774"/>
    <mergeCell ref="AN1774:AO1774"/>
    <mergeCell ref="AP1774:AQ1774"/>
    <mergeCell ref="AR1774:AS1775"/>
    <mergeCell ref="AT1774:AU1775"/>
    <mergeCell ref="AV1774:AW1775"/>
    <mergeCell ref="AX1774:AY1775"/>
    <mergeCell ref="AZ1774:AZ1775"/>
    <mergeCell ref="F1775:H1775"/>
    <mergeCell ref="X1775:AB1775"/>
    <mergeCell ref="AE1775:AI1775"/>
    <mergeCell ref="AJ1775:AL1775"/>
    <mergeCell ref="AN1775:AO1775"/>
    <mergeCell ref="AP1775:AQ1775"/>
    <mergeCell ref="A1776:A1777"/>
    <mergeCell ref="E1776:E1777"/>
    <mergeCell ref="F1776:H1776"/>
    <mergeCell ref="J1776:J1777"/>
    <mergeCell ref="K1776:L1777"/>
    <mergeCell ref="M1776:N1777"/>
    <mergeCell ref="O1776:P1777"/>
    <mergeCell ref="Q1776:R1777"/>
    <mergeCell ref="S1776:T1777"/>
    <mergeCell ref="U1776:V1777"/>
    <mergeCell ref="W1776:W1777"/>
    <mergeCell ref="X1776:AB1776"/>
    <mergeCell ref="AD1776:AI1776"/>
    <mergeCell ref="AJ1776:AL1776"/>
    <mergeCell ref="AN1776:AO1776"/>
    <mergeCell ref="AP1776:AQ1776"/>
    <mergeCell ref="AR1776:AS1777"/>
    <mergeCell ref="AT1776:AU1777"/>
    <mergeCell ref="AV1776:AW1777"/>
    <mergeCell ref="AX1776:AY1777"/>
    <mergeCell ref="AZ1776:AZ1777"/>
    <mergeCell ref="F1777:H1777"/>
    <mergeCell ref="X1777:AB1777"/>
    <mergeCell ref="AE1777:AI1777"/>
    <mergeCell ref="AJ1777:AL1777"/>
    <mergeCell ref="AN1777:AO1777"/>
    <mergeCell ref="AP1777:AQ1777"/>
    <mergeCell ref="A1778:A1779"/>
    <mergeCell ref="E1778:E1779"/>
    <mergeCell ref="F1778:H1778"/>
    <mergeCell ref="J1778:J1779"/>
    <mergeCell ref="K1778:L1779"/>
    <mergeCell ref="M1778:N1779"/>
    <mergeCell ref="O1778:P1779"/>
    <mergeCell ref="Q1778:R1779"/>
    <mergeCell ref="S1778:T1779"/>
    <mergeCell ref="U1778:V1779"/>
    <mergeCell ref="W1778:W1779"/>
    <mergeCell ref="X1778:AB1778"/>
    <mergeCell ref="AD1778:AI1778"/>
    <mergeCell ref="AJ1778:AL1778"/>
    <mergeCell ref="AN1778:AO1778"/>
    <mergeCell ref="AP1778:AQ1778"/>
    <mergeCell ref="AR1778:AS1779"/>
    <mergeCell ref="AT1778:AU1779"/>
    <mergeCell ref="AV1778:AW1779"/>
    <mergeCell ref="AX1778:AY1779"/>
    <mergeCell ref="AZ1778:AZ1779"/>
    <mergeCell ref="F1779:H1779"/>
    <mergeCell ref="X1779:AB1779"/>
    <mergeCell ref="AE1779:AI1779"/>
    <mergeCell ref="AJ1779:AL1779"/>
    <mergeCell ref="AN1779:AO1779"/>
    <mergeCell ref="AP1779:AQ1779"/>
    <mergeCell ref="A1780:A1781"/>
    <mergeCell ref="E1780:E1781"/>
    <mergeCell ref="F1780:H1780"/>
    <mergeCell ref="J1780:J1781"/>
    <mergeCell ref="K1780:L1781"/>
    <mergeCell ref="M1780:N1781"/>
    <mergeCell ref="O1780:P1781"/>
    <mergeCell ref="Q1780:R1781"/>
    <mergeCell ref="S1780:T1781"/>
    <mergeCell ref="U1780:V1781"/>
    <mergeCell ref="W1780:W1781"/>
    <mergeCell ref="X1780:AB1780"/>
    <mergeCell ref="AD1780:AI1780"/>
    <mergeCell ref="AJ1780:AL1780"/>
    <mergeCell ref="AN1780:AO1780"/>
    <mergeCell ref="AP1780:AQ1780"/>
    <mergeCell ref="AR1780:AS1781"/>
    <mergeCell ref="AT1780:AU1781"/>
    <mergeCell ref="AV1780:AW1781"/>
    <mergeCell ref="AX1780:AY1781"/>
    <mergeCell ref="AZ1780:AZ1781"/>
    <mergeCell ref="F1781:H1781"/>
    <mergeCell ref="X1781:AB1781"/>
    <mergeCell ref="AE1781:AI1781"/>
    <mergeCell ref="AJ1781:AL1781"/>
    <mergeCell ref="AN1781:AO1781"/>
    <mergeCell ref="AP1781:AQ1781"/>
    <mergeCell ref="A1782:A1783"/>
    <mergeCell ref="E1782:E1783"/>
    <mergeCell ref="F1782:H1782"/>
    <mergeCell ref="J1782:J1783"/>
    <mergeCell ref="K1782:L1783"/>
    <mergeCell ref="M1782:N1783"/>
    <mergeCell ref="O1782:P1783"/>
    <mergeCell ref="Q1782:R1783"/>
    <mergeCell ref="S1782:T1783"/>
    <mergeCell ref="U1782:V1783"/>
    <mergeCell ref="W1782:W1783"/>
    <mergeCell ref="X1782:AB1782"/>
    <mergeCell ref="AD1782:AI1782"/>
    <mergeCell ref="AJ1782:AL1782"/>
    <mergeCell ref="AN1782:AO1782"/>
    <mergeCell ref="AP1782:AQ1782"/>
    <mergeCell ref="AR1782:AS1783"/>
    <mergeCell ref="AT1782:AU1783"/>
    <mergeCell ref="AV1782:AW1783"/>
    <mergeCell ref="AX1782:AY1783"/>
    <mergeCell ref="AZ1782:AZ1783"/>
    <mergeCell ref="F1783:H1783"/>
    <mergeCell ref="X1783:AB1783"/>
    <mergeCell ref="AE1783:AI1783"/>
    <mergeCell ref="AJ1783:AL1783"/>
    <mergeCell ref="AN1783:AO1783"/>
    <mergeCell ref="AP1783:AQ1783"/>
    <mergeCell ref="A1784:A1785"/>
    <mergeCell ref="E1784:E1785"/>
    <mergeCell ref="F1784:H1784"/>
    <mergeCell ref="J1784:J1785"/>
    <mergeCell ref="K1784:L1785"/>
    <mergeCell ref="M1784:N1785"/>
    <mergeCell ref="O1784:P1785"/>
    <mergeCell ref="Q1784:R1785"/>
    <mergeCell ref="S1784:T1785"/>
    <mergeCell ref="U1784:V1785"/>
    <mergeCell ref="W1784:W1785"/>
    <mergeCell ref="X1784:AB1784"/>
    <mergeCell ref="AD1784:AI1784"/>
    <mergeCell ref="AJ1784:AL1784"/>
    <mergeCell ref="AN1784:AO1784"/>
    <mergeCell ref="AP1784:AQ1784"/>
    <mergeCell ref="AR1784:AS1785"/>
    <mergeCell ref="AT1784:AU1785"/>
    <mergeCell ref="AV1784:AW1785"/>
    <mergeCell ref="AX1784:AY1785"/>
    <mergeCell ref="AZ1784:AZ1785"/>
    <mergeCell ref="F1785:H1785"/>
    <mergeCell ref="X1785:AB1785"/>
    <mergeCell ref="AE1785:AI1785"/>
    <mergeCell ref="AJ1785:AL1785"/>
    <mergeCell ref="AN1785:AO1785"/>
    <mergeCell ref="AP1785:AQ1785"/>
    <mergeCell ref="A1786:A1787"/>
    <mergeCell ref="E1786:E1787"/>
    <mergeCell ref="F1786:H1786"/>
    <mergeCell ref="J1786:J1787"/>
    <mergeCell ref="K1786:L1787"/>
    <mergeCell ref="M1786:N1787"/>
    <mergeCell ref="O1786:P1787"/>
    <mergeCell ref="Q1786:R1787"/>
    <mergeCell ref="S1786:T1787"/>
    <mergeCell ref="U1786:V1787"/>
    <mergeCell ref="W1786:W1787"/>
    <mergeCell ref="X1786:AB1786"/>
    <mergeCell ref="AD1786:AI1786"/>
    <mergeCell ref="AJ1786:AL1786"/>
    <mergeCell ref="AN1786:AO1786"/>
    <mergeCell ref="AP1786:AQ1786"/>
    <mergeCell ref="AR1786:AS1787"/>
    <mergeCell ref="AT1786:AU1787"/>
    <mergeCell ref="AV1786:AW1787"/>
    <mergeCell ref="AX1786:AY1787"/>
    <mergeCell ref="AZ1786:AZ1787"/>
    <mergeCell ref="F1787:H1787"/>
    <mergeCell ref="X1787:AB1787"/>
    <mergeCell ref="AE1787:AI1787"/>
    <mergeCell ref="AJ1787:AL1787"/>
    <mergeCell ref="AN1787:AO1787"/>
    <mergeCell ref="AP1787:AQ1787"/>
    <mergeCell ref="A1788:A1789"/>
    <mergeCell ref="E1788:E1789"/>
    <mergeCell ref="F1788:H1788"/>
    <mergeCell ref="J1788:J1789"/>
    <mergeCell ref="K1788:L1789"/>
    <mergeCell ref="M1788:N1789"/>
    <mergeCell ref="O1788:P1789"/>
    <mergeCell ref="Q1788:R1789"/>
    <mergeCell ref="S1788:T1789"/>
    <mergeCell ref="U1788:V1789"/>
    <mergeCell ref="W1788:W1789"/>
    <mergeCell ref="X1788:AB1788"/>
    <mergeCell ref="AD1788:AI1788"/>
    <mergeCell ref="AJ1788:AL1788"/>
    <mergeCell ref="AN1788:AO1788"/>
    <mergeCell ref="AP1788:AQ1788"/>
    <mergeCell ref="AR1788:AS1789"/>
    <mergeCell ref="AT1788:AU1789"/>
    <mergeCell ref="AV1788:AW1789"/>
    <mergeCell ref="AX1788:AY1789"/>
    <mergeCell ref="AZ1788:AZ1789"/>
    <mergeCell ref="F1789:H1789"/>
    <mergeCell ref="X1789:AB1789"/>
    <mergeCell ref="AE1789:AI1789"/>
    <mergeCell ref="AJ1789:AL1789"/>
    <mergeCell ref="AN1789:AO1789"/>
    <mergeCell ref="AP1789:AQ1789"/>
    <mergeCell ref="A1790:A1791"/>
    <mergeCell ref="E1790:E1791"/>
    <mergeCell ref="F1790:H1790"/>
    <mergeCell ref="J1790:J1791"/>
    <mergeCell ref="K1790:L1791"/>
    <mergeCell ref="M1790:N1791"/>
    <mergeCell ref="O1790:P1791"/>
    <mergeCell ref="Q1790:R1791"/>
    <mergeCell ref="S1790:T1791"/>
    <mergeCell ref="U1790:V1791"/>
    <mergeCell ref="W1790:W1791"/>
    <mergeCell ref="X1790:AB1790"/>
    <mergeCell ref="AD1790:AI1790"/>
    <mergeCell ref="AJ1790:AL1790"/>
    <mergeCell ref="AN1790:AO1790"/>
    <mergeCell ref="AP1790:AQ1790"/>
    <mergeCell ref="AR1790:AS1791"/>
    <mergeCell ref="AT1790:AU1791"/>
    <mergeCell ref="AV1790:AW1791"/>
    <mergeCell ref="AX1790:AY1791"/>
    <mergeCell ref="AZ1790:AZ1791"/>
    <mergeCell ref="F1791:H1791"/>
    <mergeCell ref="X1791:AB1791"/>
    <mergeCell ref="AE1791:AI1791"/>
    <mergeCell ref="AJ1791:AL1791"/>
    <mergeCell ref="AN1791:AO1791"/>
    <mergeCell ref="AP1791:AQ1791"/>
    <mergeCell ref="A1792:A1793"/>
    <mergeCell ref="E1792:E1793"/>
    <mergeCell ref="F1792:H1792"/>
    <mergeCell ref="J1792:J1793"/>
    <mergeCell ref="K1792:L1793"/>
    <mergeCell ref="M1792:N1793"/>
    <mergeCell ref="O1792:P1793"/>
    <mergeCell ref="Q1792:R1793"/>
    <mergeCell ref="S1792:T1793"/>
    <mergeCell ref="U1792:V1793"/>
    <mergeCell ref="W1792:W1793"/>
    <mergeCell ref="X1792:AB1792"/>
    <mergeCell ref="AD1792:AI1792"/>
    <mergeCell ref="AJ1792:AL1792"/>
    <mergeCell ref="AN1792:AO1792"/>
    <mergeCell ref="AP1792:AQ1792"/>
    <mergeCell ref="AR1792:AS1793"/>
    <mergeCell ref="AT1792:AU1793"/>
    <mergeCell ref="AV1792:AW1793"/>
    <mergeCell ref="AX1792:AY1793"/>
    <mergeCell ref="AZ1792:AZ1793"/>
    <mergeCell ref="F1793:H1793"/>
    <mergeCell ref="X1793:AB1793"/>
    <mergeCell ref="AE1793:AI1793"/>
    <mergeCell ref="AJ1793:AL1793"/>
    <mergeCell ref="AN1793:AO1793"/>
    <mergeCell ref="AP1793:AQ1793"/>
    <mergeCell ref="A1794:A1795"/>
    <mergeCell ref="E1794:E1795"/>
    <mergeCell ref="F1794:H1794"/>
    <mergeCell ref="J1794:J1795"/>
    <mergeCell ref="K1794:L1795"/>
    <mergeCell ref="M1794:N1795"/>
    <mergeCell ref="O1794:P1795"/>
    <mergeCell ref="Q1794:R1795"/>
    <mergeCell ref="S1794:T1795"/>
    <mergeCell ref="U1794:V1795"/>
    <mergeCell ref="W1794:W1795"/>
    <mergeCell ref="X1794:AB1794"/>
    <mergeCell ref="AD1794:AI1794"/>
    <mergeCell ref="AJ1794:AL1794"/>
    <mergeCell ref="AN1794:AO1794"/>
    <mergeCell ref="AP1794:AQ1794"/>
    <mergeCell ref="AR1794:AS1795"/>
    <mergeCell ref="AT1794:AU1795"/>
    <mergeCell ref="AV1794:AW1795"/>
    <mergeCell ref="AX1794:AY1795"/>
    <mergeCell ref="AZ1794:AZ1795"/>
    <mergeCell ref="F1795:H1795"/>
    <mergeCell ref="X1795:AB1795"/>
    <mergeCell ref="AE1795:AI1795"/>
    <mergeCell ref="AJ1795:AL1795"/>
    <mergeCell ref="AN1795:AO1795"/>
    <mergeCell ref="AP1795:AQ1795"/>
    <mergeCell ref="A1796:A1797"/>
    <mergeCell ref="E1796:E1797"/>
    <mergeCell ref="F1796:H1796"/>
    <mergeCell ref="J1796:J1797"/>
    <mergeCell ref="K1796:L1797"/>
    <mergeCell ref="M1796:N1797"/>
    <mergeCell ref="O1796:P1797"/>
    <mergeCell ref="Q1796:R1797"/>
    <mergeCell ref="S1796:T1797"/>
    <mergeCell ref="U1796:V1797"/>
    <mergeCell ref="W1796:W1797"/>
    <mergeCell ref="X1796:AB1796"/>
    <mergeCell ref="AD1796:AI1796"/>
    <mergeCell ref="AJ1796:AL1796"/>
    <mergeCell ref="AN1796:AO1796"/>
    <mergeCell ref="AP1796:AQ1796"/>
    <mergeCell ref="AR1796:AS1797"/>
    <mergeCell ref="AT1796:AU1797"/>
    <mergeCell ref="AV1796:AW1797"/>
    <mergeCell ref="AX1796:AY1797"/>
    <mergeCell ref="AZ1796:AZ1797"/>
    <mergeCell ref="F1797:H1797"/>
    <mergeCell ref="X1797:AB1797"/>
    <mergeCell ref="AE1797:AI1797"/>
    <mergeCell ref="AJ1797:AL1797"/>
    <mergeCell ref="AN1797:AO1797"/>
    <mergeCell ref="AP1797:AQ1797"/>
    <mergeCell ref="A1798:A1799"/>
    <mergeCell ref="E1798:E1799"/>
    <mergeCell ref="F1798:H1798"/>
    <mergeCell ref="J1798:J1799"/>
    <mergeCell ref="K1798:L1799"/>
    <mergeCell ref="M1798:N1799"/>
    <mergeCell ref="O1798:P1799"/>
    <mergeCell ref="Q1798:R1799"/>
    <mergeCell ref="S1798:T1799"/>
    <mergeCell ref="U1798:V1799"/>
    <mergeCell ref="W1798:W1799"/>
    <mergeCell ref="X1798:AB1798"/>
    <mergeCell ref="AD1798:AI1798"/>
    <mergeCell ref="AJ1798:AL1798"/>
    <mergeCell ref="AN1798:AO1798"/>
    <mergeCell ref="AP1798:AQ1798"/>
    <mergeCell ref="AR1798:AS1799"/>
    <mergeCell ref="AT1798:AU1799"/>
    <mergeCell ref="AV1798:AW1799"/>
    <mergeCell ref="AX1798:AY1799"/>
    <mergeCell ref="AZ1798:AZ1799"/>
    <mergeCell ref="F1799:H1799"/>
    <mergeCell ref="X1799:AB1799"/>
    <mergeCell ref="AE1799:AI1799"/>
    <mergeCell ref="AJ1799:AL1799"/>
    <mergeCell ref="AN1799:AO1799"/>
    <mergeCell ref="AP1799:AQ1799"/>
    <mergeCell ref="A1800:A1801"/>
    <mergeCell ref="E1800:E1801"/>
    <mergeCell ref="F1800:H1800"/>
    <mergeCell ref="J1800:J1801"/>
    <mergeCell ref="K1800:L1801"/>
    <mergeCell ref="M1800:N1801"/>
    <mergeCell ref="O1800:P1801"/>
    <mergeCell ref="Q1800:R1801"/>
    <mergeCell ref="S1800:T1801"/>
    <mergeCell ref="U1800:V1801"/>
    <mergeCell ref="W1800:W1801"/>
    <mergeCell ref="X1800:AB1800"/>
    <mergeCell ref="AD1800:AI1800"/>
    <mergeCell ref="AJ1800:AL1800"/>
    <mergeCell ref="AN1800:AO1800"/>
    <mergeCell ref="AP1800:AQ1800"/>
    <mergeCell ref="AR1800:AS1801"/>
    <mergeCell ref="AT1800:AU1801"/>
    <mergeCell ref="AV1800:AW1801"/>
    <mergeCell ref="AX1800:AY1801"/>
    <mergeCell ref="AZ1800:AZ1801"/>
    <mergeCell ref="F1801:H1801"/>
    <mergeCell ref="X1801:AB1801"/>
    <mergeCell ref="AE1801:AI1801"/>
    <mergeCell ref="AJ1801:AL1801"/>
    <mergeCell ref="AN1801:AO1801"/>
    <mergeCell ref="AP1801:AQ1801"/>
    <mergeCell ref="A1802:A1803"/>
    <mergeCell ref="E1802:E1803"/>
    <mergeCell ref="F1802:H1802"/>
    <mergeCell ref="J1802:J1803"/>
    <mergeCell ref="K1802:L1803"/>
    <mergeCell ref="M1802:N1803"/>
    <mergeCell ref="O1802:P1803"/>
    <mergeCell ref="Q1802:R1803"/>
    <mergeCell ref="S1802:T1803"/>
    <mergeCell ref="U1802:V1803"/>
    <mergeCell ref="W1802:W1803"/>
    <mergeCell ref="X1802:AB1802"/>
    <mergeCell ref="AD1802:AI1802"/>
    <mergeCell ref="AJ1802:AL1802"/>
    <mergeCell ref="AN1802:AO1802"/>
    <mergeCell ref="AP1802:AQ1802"/>
    <mergeCell ref="AR1802:AS1803"/>
    <mergeCell ref="AT1802:AU1803"/>
    <mergeCell ref="AV1802:AW1803"/>
    <mergeCell ref="AX1802:AY1803"/>
    <mergeCell ref="AZ1802:AZ1803"/>
    <mergeCell ref="F1803:H1803"/>
    <mergeCell ref="X1803:AB1803"/>
    <mergeCell ref="AE1803:AI1803"/>
    <mergeCell ref="AJ1803:AL1803"/>
    <mergeCell ref="AN1803:AO1803"/>
    <mergeCell ref="AP1803:AQ1803"/>
    <mergeCell ref="A1804:A1805"/>
    <mergeCell ref="E1804:E1805"/>
    <mergeCell ref="F1804:H1804"/>
    <mergeCell ref="J1804:J1805"/>
    <mergeCell ref="K1804:L1805"/>
    <mergeCell ref="M1804:N1805"/>
    <mergeCell ref="O1804:P1805"/>
    <mergeCell ref="Q1804:R1805"/>
    <mergeCell ref="S1804:T1805"/>
    <mergeCell ref="U1804:V1805"/>
    <mergeCell ref="W1804:W1805"/>
    <mergeCell ref="X1804:AB1804"/>
    <mergeCell ref="AD1804:AI1804"/>
    <mergeCell ref="AJ1804:AL1804"/>
    <mergeCell ref="AN1804:AO1804"/>
    <mergeCell ref="AP1804:AQ1804"/>
    <mergeCell ref="AR1804:AS1805"/>
    <mergeCell ref="AT1804:AU1805"/>
    <mergeCell ref="AV1804:AW1805"/>
    <mergeCell ref="AX1804:AY1805"/>
    <mergeCell ref="AZ1804:AZ1805"/>
    <mergeCell ref="F1805:H1805"/>
    <mergeCell ref="X1805:AB1805"/>
    <mergeCell ref="AE1805:AI1805"/>
    <mergeCell ref="AJ1805:AL1805"/>
    <mergeCell ref="AN1805:AO1805"/>
    <mergeCell ref="AP1805:AQ1805"/>
    <mergeCell ref="A1806:A1807"/>
    <mergeCell ref="E1806:E1807"/>
    <mergeCell ref="F1806:H1806"/>
    <mergeCell ref="J1806:J1807"/>
    <mergeCell ref="K1806:L1807"/>
    <mergeCell ref="M1806:N1807"/>
    <mergeCell ref="O1806:P1807"/>
    <mergeCell ref="Q1806:R1807"/>
    <mergeCell ref="S1806:T1807"/>
    <mergeCell ref="U1806:V1807"/>
    <mergeCell ref="W1806:W1807"/>
    <mergeCell ref="X1806:AB1806"/>
    <mergeCell ref="AD1806:AI1806"/>
    <mergeCell ref="AJ1806:AL1806"/>
    <mergeCell ref="AN1806:AO1806"/>
    <mergeCell ref="AP1806:AQ1806"/>
    <mergeCell ref="AR1806:AS1807"/>
    <mergeCell ref="AT1806:AU1807"/>
    <mergeCell ref="AV1806:AW1807"/>
    <mergeCell ref="AX1806:AY1807"/>
    <mergeCell ref="AZ1806:AZ1807"/>
    <mergeCell ref="F1807:H1807"/>
    <mergeCell ref="X1807:AB1807"/>
    <mergeCell ref="AE1807:AI1807"/>
    <mergeCell ref="AJ1807:AL1807"/>
    <mergeCell ref="AN1807:AO1807"/>
    <mergeCell ref="AP1807:AQ1807"/>
    <mergeCell ref="A1808:A1809"/>
    <mergeCell ref="E1808:E1809"/>
    <mergeCell ref="F1808:H1808"/>
    <mergeCell ref="J1808:J1809"/>
    <mergeCell ref="K1808:L1809"/>
    <mergeCell ref="M1808:N1809"/>
    <mergeCell ref="O1808:P1809"/>
    <mergeCell ref="Q1808:R1809"/>
    <mergeCell ref="S1808:T1809"/>
    <mergeCell ref="U1808:V1809"/>
    <mergeCell ref="W1808:W1809"/>
    <mergeCell ref="X1808:AB1808"/>
    <mergeCell ref="AD1808:AI1808"/>
    <mergeCell ref="AJ1808:AL1808"/>
    <mergeCell ref="AN1808:AO1808"/>
    <mergeCell ref="AP1808:AQ1808"/>
    <mergeCell ref="AR1808:AS1809"/>
    <mergeCell ref="AT1808:AU1809"/>
    <mergeCell ref="AV1808:AW1809"/>
    <mergeCell ref="AX1808:AY1809"/>
    <mergeCell ref="AZ1808:AZ1809"/>
    <mergeCell ref="F1809:H1809"/>
    <mergeCell ref="X1809:AB1809"/>
    <mergeCell ref="AE1809:AI1809"/>
    <mergeCell ref="AJ1809:AL1809"/>
    <mergeCell ref="AN1809:AO1809"/>
    <mergeCell ref="AP1809:AQ1809"/>
    <mergeCell ref="A1810:A1811"/>
    <mergeCell ref="E1810:E1811"/>
    <mergeCell ref="F1810:H1810"/>
    <mergeCell ref="J1810:J1811"/>
    <mergeCell ref="K1810:L1811"/>
    <mergeCell ref="M1810:N1811"/>
    <mergeCell ref="O1810:P1811"/>
    <mergeCell ref="Q1810:R1811"/>
    <mergeCell ref="S1810:T1811"/>
    <mergeCell ref="U1810:V1811"/>
    <mergeCell ref="W1810:W1811"/>
    <mergeCell ref="X1810:AB1810"/>
    <mergeCell ref="AD1810:AI1810"/>
    <mergeCell ref="AJ1810:AL1810"/>
    <mergeCell ref="AN1810:AO1810"/>
    <mergeCell ref="AP1810:AQ1810"/>
    <mergeCell ref="AR1810:AS1811"/>
    <mergeCell ref="AT1810:AU1811"/>
    <mergeCell ref="AV1810:AW1811"/>
    <mergeCell ref="AX1810:AY1811"/>
    <mergeCell ref="AZ1810:AZ1811"/>
    <mergeCell ref="F1811:H1811"/>
    <mergeCell ref="X1811:AB1811"/>
    <mergeCell ref="AE1811:AI1811"/>
    <mergeCell ref="AJ1811:AL1811"/>
    <mergeCell ref="AN1811:AO1811"/>
    <mergeCell ref="AP1811:AQ1811"/>
    <mergeCell ref="A1812:A1813"/>
    <mergeCell ref="E1812:E1813"/>
    <mergeCell ref="F1812:H1812"/>
    <mergeCell ref="J1812:J1813"/>
    <mergeCell ref="K1812:L1813"/>
    <mergeCell ref="M1812:N1813"/>
    <mergeCell ref="O1812:P1813"/>
    <mergeCell ref="Q1812:R1813"/>
    <mergeCell ref="S1812:T1813"/>
    <mergeCell ref="U1812:V1813"/>
    <mergeCell ref="W1812:W1813"/>
    <mergeCell ref="X1812:AB1812"/>
    <mergeCell ref="AD1812:AI1812"/>
    <mergeCell ref="AJ1812:AL1812"/>
    <mergeCell ref="AN1812:AO1812"/>
    <mergeCell ref="AP1812:AQ1812"/>
    <mergeCell ref="AR1812:AS1813"/>
    <mergeCell ref="AT1812:AU1813"/>
    <mergeCell ref="AV1812:AW1813"/>
    <mergeCell ref="AX1812:AY1813"/>
    <mergeCell ref="AZ1812:AZ1813"/>
    <mergeCell ref="F1813:H1813"/>
    <mergeCell ref="X1813:AB1813"/>
    <mergeCell ref="AE1813:AI1813"/>
    <mergeCell ref="AJ1813:AL1813"/>
    <mergeCell ref="AN1813:AO1813"/>
    <mergeCell ref="AP1813:AQ1813"/>
    <mergeCell ref="A1814:A1815"/>
    <mergeCell ref="E1814:E1815"/>
    <mergeCell ref="F1814:H1814"/>
    <mergeCell ref="J1814:J1815"/>
    <mergeCell ref="K1814:L1815"/>
    <mergeCell ref="M1814:N1815"/>
    <mergeCell ref="O1814:P1815"/>
    <mergeCell ref="Q1814:R1815"/>
    <mergeCell ref="S1814:T1815"/>
    <mergeCell ref="U1814:V1815"/>
    <mergeCell ref="W1814:W1815"/>
    <mergeCell ref="X1814:AB1814"/>
    <mergeCell ref="AD1814:AI1814"/>
    <mergeCell ref="AJ1814:AL1814"/>
    <mergeCell ref="AN1814:AO1814"/>
    <mergeCell ref="AP1814:AQ1814"/>
    <mergeCell ref="AR1814:AS1815"/>
    <mergeCell ref="AT1814:AU1815"/>
    <mergeCell ref="AV1814:AW1815"/>
    <mergeCell ref="AX1814:AY1815"/>
    <mergeCell ref="AZ1814:AZ1815"/>
    <mergeCell ref="F1815:H1815"/>
    <mergeCell ref="X1815:AB1815"/>
    <mergeCell ref="AE1815:AI1815"/>
    <mergeCell ref="AJ1815:AL1815"/>
    <mergeCell ref="AN1815:AO1815"/>
    <mergeCell ref="AP1815:AQ1815"/>
    <mergeCell ref="A1816:A1817"/>
    <mergeCell ref="E1816:E1817"/>
    <mergeCell ref="F1816:H1816"/>
    <mergeCell ref="J1816:J1817"/>
    <mergeCell ref="K1816:L1817"/>
    <mergeCell ref="M1816:N1817"/>
    <mergeCell ref="O1816:P1817"/>
    <mergeCell ref="Q1816:R1817"/>
    <mergeCell ref="S1816:T1817"/>
    <mergeCell ref="U1816:V1817"/>
    <mergeCell ref="W1816:W1817"/>
    <mergeCell ref="X1816:AB1816"/>
    <mergeCell ref="AD1816:AI1816"/>
    <mergeCell ref="AJ1816:AL1816"/>
    <mergeCell ref="AN1816:AO1816"/>
    <mergeCell ref="AP1816:AQ1816"/>
    <mergeCell ref="AR1816:AS1817"/>
    <mergeCell ref="AT1816:AU1817"/>
    <mergeCell ref="AV1816:AW1817"/>
    <mergeCell ref="AX1816:AY1817"/>
    <mergeCell ref="AZ1816:AZ1817"/>
    <mergeCell ref="F1817:H1817"/>
    <mergeCell ref="X1817:AB1817"/>
    <mergeCell ref="AE1817:AI1817"/>
    <mergeCell ref="AJ1817:AL1817"/>
    <mergeCell ref="AN1817:AO1817"/>
    <mergeCell ref="AP1817:AQ1817"/>
    <mergeCell ref="A1818:A1819"/>
    <mergeCell ref="E1818:E1819"/>
    <mergeCell ref="F1818:H1818"/>
    <mergeCell ref="J1818:J1819"/>
    <mergeCell ref="K1818:L1819"/>
    <mergeCell ref="M1818:N1819"/>
    <mergeCell ref="O1818:P1819"/>
    <mergeCell ref="Q1818:R1819"/>
    <mergeCell ref="S1818:T1819"/>
    <mergeCell ref="U1818:V1819"/>
    <mergeCell ref="W1818:W1819"/>
    <mergeCell ref="X1818:AB1818"/>
    <mergeCell ref="AD1818:AI1818"/>
    <mergeCell ref="AJ1818:AL1818"/>
    <mergeCell ref="AN1818:AO1818"/>
    <mergeCell ref="AP1818:AQ1818"/>
    <mergeCell ref="AR1818:AS1819"/>
    <mergeCell ref="AT1818:AU1819"/>
    <mergeCell ref="AV1818:AW1819"/>
    <mergeCell ref="AX1818:AY1819"/>
    <mergeCell ref="AZ1818:AZ1819"/>
    <mergeCell ref="F1819:H1819"/>
    <mergeCell ref="X1819:AB1819"/>
    <mergeCell ref="AE1819:AI1819"/>
    <mergeCell ref="AJ1819:AL1819"/>
    <mergeCell ref="AN1819:AO1819"/>
    <mergeCell ref="AP1819:AQ1819"/>
    <mergeCell ref="A1820:A1821"/>
    <mergeCell ref="E1820:E1821"/>
    <mergeCell ref="F1820:H1820"/>
    <mergeCell ref="J1820:J1821"/>
    <mergeCell ref="K1820:L1821"/>
    <mergeCell ref="M1820:N1821"/>
    <mergeCell ref="O1820:P1821"/>
    <mergeCell ref="Q1820:R1821"/>
    <mergeCell ref="S1820:T1821"/>
    <mergeCell ref="U1820:V1821"/>
    <mergeCell ref="W1820:W1821"/>
    <mergeCell ref="X1820:AB1820"/>
    <mergeCell ref="AD1820:AI1820"/>
    <mergeCell ref="AJ1820:AL1820"/>
    <mergeCell ref="AN1820:AO1820"/>
    <mergeCell ref="AP1820:AQ1820"/>
    <mergeCell ref="AR1820:AS1821"/>
    <mergeCell ref="AT1820:AU1821"/>
    <mergeCell ref="AV1820:AW1821"/>
    <mergeCell ref="AX1820:AY1821"/>
    <mergeCell ref="AZ1820:AZ1821"/>
    <mergeCell ref="F1821:H1821"/>
    <mergeCell ref="X1821:AB1821"/>
    <mergeCell ref="AE1821:AI1821"/>
    <mergeCell ref="AJ1821:AL1821"/>
    <mergeCell ref="AN1821:AO1821"/>
    <mergeCell ref="AP1821:AQ1821"/>
    <mergeCell ref="A1822:A1823"/>
    <mergeCell ref="E1822:E1823"/>
    <mergeCell ref="F1822:H1822"/>
    <mergeCell ref="J1822:J1823"/>
    <mergeCell ref="K1822:L1823"/>
    <mergeCell ref="M1822:N1823"/>
    <mergeCell ref="O1822:P1823"/>
    <mergeCell ref="Q1822:R1823"/>
    <mergeCell ref="S1822:T1823"/>
    <mergeCell ref="U1822:V1823"/>
    <mergeCell ref="W1822:W1823"/>
    <mergeCell ref="X1822:AB1822"/>
    <mergeCell ref="AD1822:AI1822"/>
    <mergeCell ref="AJ1822:AL1822"/>
    <mergeCell ref="AN1822:AO1822"/>
    <mergeCell ref="AP1822:AQ1822"/>
    <mergeCell ref="AR1822:AS1823"/>
    <mergeCell ref="AT1822:AU1823"/>
    <mergeCell ref="AV1822:AW1823"/>
    <mergeCell ref="AX1822:AY1823"/>
    <mergeCell ref="AZ1822:AZ1823"/>
    <mergeCell ref="F1823:H1823"/>
    <mergeCell ref="X1823:AB1823"/>
    <mergeCell ref="AE1823:AI1823"/>
    <mergeCell ref="AJ1823:AL1823"/>
    <mergeCell ref="AN1823:AO1823"/>
    <mergeCell ref="AP1823:AQ1823"/>
    <mergeCell ref="A1824:A1825"/>
    <mergeCell ref="E1824:E1825"/>
    <mergeCell ref="F1824:H1824"/>
    <mergeCell ref="J1824:J1825"/>
    <mergeCell ref="K1824:L1825"/>
    <mergeCell ref="M1824:N1825"/>
    <mergeCell ref="O1824:P1825"/>
    <mergeCell ref="Q1824:R1825"/>
    <mergeCell ref="S1824:T1825"/>
    <mergeCell ref="U1824:V1825"/>
    <mergeCell ref="W1824:W1825"/>
    <mergeCell ref="X1824:AB1824"/>
    <mergeCell ref="AD1824:AI1824"/>
    <mergeCell ref="AJ1824:AL1824"/>
    <mergeCell ref="AN1824:AO1824"/>
    <mergeCell ref="AP1824:AQ1824"/>
    <mergeCell ref="AR1824:AS1825"/>
    <mergeCell ref="AT1824:AU1825"/>
    <mergeCell ref="AV1824:AW1825"/>
    <mergeCell ref="AX1824:AY1825"/>
    <mergeCell ref="AZ1824:AZ1825"/>
    <mergeCell ref="F1825:H1825"/>
    <mergeCell ref="X1825:AB1825"/>
    <mergeCell ref="AE1825:AI1825"/>
    <mergeCell ref="AJ1825:AL1825"/>
    <mergeCell ref="AN1825:AO1825"/>
    <mergeCell ref="AP1825:AQ1825"/>
    <mergeCell ref="A1826:A1827"/>
    <mergeCell ref="E1826:E1827"/>
    <mergeCell ref="F1826:H1826"/>
    <mergeCell ref="J1826:J1827"/>
    <mergeCell ref="K1826:L1827"/>
    <mergeCell ref="M1826:N1827"/>
    <mergeCell ref="O1826:P1827"/>
    <mergeCell ref="Q1826:R1827"/>
    <mergeCell ref="S1826:T1827"/>
    <mergeCell ref="U1826:V1827"/>
    <mergeCell ref="W1826:W1827"/>
    <mergeCell ref="X1826:AB1826"/>
    <mergeCell ref="AD1826:AI1826"/>
    <mergeCell ref="AJ1826:AL1826"/>
    <mergeCell ref="AN1826:AO1826"/>
    <mergeCell ref="AP1826:AQ1826"/>
    <mergeCell ref="AR1826:AS1827"/>
    <mergeCell ref="AT1826:AU1827"/>
    <mergeCell ref="AV1826:AW1827"/>
    <mergeCell ref="AX1826:AY1827"/>
    <mergeCell ref="AZ1826:AZ1827"/>
    <mergeCell ref="F1827:H1827"/>
    <mergeCell ref="X1827:AB1827"/>
    <mergeCell ref="AE1827:AI1827"/>
    <mergeCell ref="AJ1827:AL1827"/>
    <mergeCell ref="AN1827:AO1827"/>
    <mergeCell ref="AP1827:AQ1827"/>
    <mergeCell ref="A1828:A1829"/>
    <mergeCell ref="E1828:E1829"/>
    <mergeCell ref="F1828:H1828"/>
    <mergeCell ref="J1828:J1829"/>
    <mergeCell ref="K1828:L1829"/>
    <mergeCell ref="M1828:N1829"/>
    <mergeCell ref="O1828:P1829"/>
    <mergeCell ref="Q1828:R1829"/>
    <mergeCell ref="S1828:T1829"/>
    <mergeCell ref="U1828:V1829"/>
    <mergeCell ref="W1828:W1829"/>
    <mergeCell ref="X1828:AB1828"/>
    <mergeCell ref="AD1828:AI1828"/>
    <mergeCell ref="AJ1828:AL1828"/>
    <mergeCell ref="AN1828:AO1828"/>
    <mergeCell ref="AP1828:AQ1828"/>
    <mergeCell ref="AR1828:AS1829"/>
    <mergeCell ref="AT1828:AU1829"/>
    <mergeCell ref="AV1828:AW1829"/>
    <mergeCell ref="AX1828:AY1829"/>
    <mergeCell ref="AZ1828:AZ1829"/>
    <mergeCell ref="F1829:H1829"/>
    <mergeCell ref="X1829:AB1829"/>
    <mergeCell ref="AE1829:AI1829"/>
    <mergeCell ref="AJ1829:AL1829"/>
    <mergeCell ref="AN1829:AO1829"/>
    <mergeCell ref="AP1829:AQ1829"/>
    <mergeCell ref="A1830:A1831"/>
    <mergeCell ref="E1830:E1831"/>
    <mergeCell ref="F1830:H1830"/>
    <mergeCell ref="J1830:J1831"/>
    <mergeCell ref="K1830:L1831"/>
    <mergeCell ref="M1830:N1831"/>
    <mergeCell ref="O1830:P1831"/>
    <mergeCell ref="Q1830:R1831"/>
    <mergeCell ref="S1830:T1831"/>
    <mergeCell ref="U1830:V1831"/>
    <mergeCell ref="W1830:W1831"/>
    <mergeCell ref="X1830:AB1830"/>
    <mergeCell ref="AD1830:AI1830"/>
    <mergeCell ref="AJ1830:AL1830"/>
    <mergeCell ref="AN1830:AO1830"/>
    <mergeCell ref="AP1830:AQ1830"/>
    <mergeCell ref="AR1830:AS1831"/>
    <mergeCell ref="AT1830:AU1831"/>
    <mergeCell ref="AV1830:AW1831"/>
    <mergeCell ref="AX1830:AY1831"/>
    <mergeCell ref="AZ1830:AZ1831"/>
    <mergeCell ref="F1831:H1831"/>
    <mergeCell ref="X1831:AB1831"/>
    <mergeCell ref="AE1831:AI1831"/>
    <mergeCell ref="AJ1831:AL1831"/>
    <mergeCell ref="AN1831:AO1831"/>
    <mergeCell ref="AP1831:AQ1831"/>
    <mergeCell ref="A1832:A1833"/>
    <mergeCell ref="E1832:E1833"/>
    <mergeCell ref="F1832:H1832"/>
    <mergeCell ref="J1832:J1833"/>
    <mergeCell ref="K1832:L1833"/>
    <mergeCell ref="M1832:N1833"/>
    <mergeCell ref="O1832:P1833"/>
    <mergeCell ref="Q1832:R1833"/>
    <mergeCell ref="S1832:T1833"/>
    <mergeCell ref="U1832:V1833"/>
    <mergeCell ref="W1832:W1833"/>
    <mergeCell ref="X1832:AB1832"/>
    <mergeCell ref="AD1832:AI1832"/>
    <mergeCell ref="AJ1832:AL1832"/>
    <mergeCell ref="AN1832:AO1832"/>
    <mergeCell ref="AP1832:AQ1832"/>
    <mergeCell ref="AR1832:AS1833"/>
    <mergeCell ref="AT1832:AU1833"/>
    <mergeCell ref="AV1832:AW1833"/>
    <mergeCell ref="AX1832:AY1833"/>
    <mergeCell ref="AZ1832:AZ1833"/>
    <mergeCell ref="F1833:H1833"/>
    <mergeCell ref="X1833:AB1833"/>
    <mergeCell ref="AE1833:AI1833"/>
    <mergeCell ref="AJ1833:AL1833"/>
    <mergeCell ref="AN1833:AO1833"/>
    <mergeCell ref="AP1833:AQ1833"/>
    <mergeCell ref="A1834:A1835"/>
    <mergeCell ref="E1834:E1835"/>
    <mergeCell ref="F1834:H1834"/>
    <mergeCell ref="J1834:J1835"/>
    <mergeCell ref="K1834:L1835"/>
    <mergeCell ref="M1834:N1835"/>
    <mergeCell ref="O1834:P1835"/>
    <mergeCell ref="Q1834:R1835"/>
    <mergeCell ref="S1834:T1835"/>
    <mergeCell ref="U1834:V1835"/>
    <mergeCell ref="W1834:W1835"/>
    <mergeCell ref="X1834:AB1834"/>
    <mergeCell ref="AD1834:AI1834"/>
    <mergeCell ref="AJ1834:AL1834"/>
    <mergeCell ref="AN1834:AO1834"/>
    <mergeCell ref="AP1834:AQ1834"/>
    <mergeCell ref="AR1834:AS1835"/>
    <mergeCell ref="AT1834:AU1835"/>
    <mergeCell ref="AV1834:AW1835"/>
    <mergeCell ref="AX1834:AY1835"/>
    <mergeCell ref="AZ1834:AZ1835"/>
    <mergeCell ref="F1835:H1835"/>
    <mergeCell ref="X1835:AB1835"/>
    <mergeCell ref="AE1835:AI1835"/>
    <mergeCell ref="AJ1835:AL1835"/>
    <mergeCell ref="AN1835:AO1835"/>
    <mergeCell ref="AP1835:AQ1835"/>
    <mergeCell ref="A1836:A1837"/>
    <mergeCell ref="E1836:E1837"/>
    <mergeCell ref="F1836:H1836"/>
    <mergeCell ref="J1836:J1837"/>
    <mergeCell ref="K1836:L1837"/>
    <mergeCell ref="M1836:N1837"/>
    <mergeCell ref="O1836:P1837"/>
    <mergeCell ref="Q1836:R1837"/>
    <mergeCell ref="S1836:T1837"/>
    <mergeCell ref="U1836:V1837"/>
    <mergeCell ref="W1836:W1837"/>
    <mergeCell ref="X1836:AB1836"/>
    <mergeCell ref="AD1836:AI1836"/>
    <mergeCell ref="AJ1836:AL1836"/>
    <mergeCell ref="AN1836:AO1836"/>
    <mergeCell ref="AP1836:AQ1836"/>
    <mergeCell ref="AR1836:AS1837"/>
    <mergeCell ref="AT1836:AU1837"/>
    <mergeCell ref="AV1836:AW1837"/>
    <mergeCell ref="AX1836:AY1837"/>
    <mergeCell ref="AZ1836:AZ1837"/>
    <mergeCell ref="F1837:H1837"/>
    <mergeCell ref="X1837:AB1837"/>
    <mergeCell ref="AE1837:AI1837"/>
    <mergeCell ref="AJ1837:AL1837"/>
    <mergeCell ref="AN1837:AO1837"/>
    <mergeCell ref="AP1837:AQ1837"/>
    <mergeCell ref="A1838:A1839"/>
    <mergeCell ref="E1838:E1839"/>
    <mergeCell ref="F1838:H1838"/>
    <mergeCell ref="J1838:J1839"/>
    <mergeCell ref="K1838:L1839"/>
    <mergeCell ref="M1838:N1839"/>
    <mergeCell ref="O1838:P1839"/>
    <mergeCell ref="Q1838:R1839"/>
    <mergeCell ref="S1838:T1839"/>
    <mergeCell ref="U1838:V1839"/>
    <mergeCell ref="W1838:W1839"/>
    <mergeCell ref="X1838:AB1838"/>
    <mergeCell ref="AD1838:AI1838"/>
    <mergeCell ref="AJ1838:AL1838"/>
    <mergeCell ref="AN1838:AO1838"/>
    <mergeCell ref="AP1838:AQ1838"/>
    <mergeCell ref="AR1838:AS1839"/>
    <mergeCell ref="AT1838:AU1839"/>
    <mergeCell ref="AV1838:AW1839"/>
    <mergeCell ref="AX1838:AY1839"/>
    <mergeCell ref="AZ1838:AZ1839"/>
    <mergeCell ref="F1839:H1839"/>
    <mergeCell ref="X1839:AB1839"/>
    <mergeCell ref="AE1839:AI1839"/>
    <mergeCell ref="AJ1839:AL1839"/>
    <mergeCell ref="AN1839:AO1839"/>
    <mergeCell ref="AP1839:AQ1839"/>
    <mergeCell ref="A1840:A1841"/>
    <mergeCell ref="E1840:E1841"/>
    <mergeCell ref="F1840:H1840"/>
    <mergeCell ref="J1840:J1841"/>
    <mergeCell ref="K1840:L1841"/>
    <mergeCell ref="M1840:N1841"/>
    <mergeCell ref="O1840:P1841"/>
    <mergeCell ref="Q1840:R1841"/>
    <mergeCell ref="S1840:T1841"/>
    <mergeCell ref="U1840:V1841"/>
    <mergeCell ref="W1840:W1841"/>
    <mergeCell ref="X1840:AB1840"/>
    <mergeCell ref="AD1840:AI1840"/>
    <mergeCell ref="AJ1840:AL1840"/>
    <mergeCell ref="AN1840:AO1840"/>
    <mergeCell ref="AP1840:AQ1840"/>
    <mergeCell ref="AR1840:AS1841"/>
    <mergeCell ref="AT1840:AU1841"/>
    <mergeCell ref="AV1840:AW1841"/>
    <mergeCell ref="AX1840:AY1841"/>
    <mergeCell ref="AZ1840:AZ1841"/>
    <mergeCell ref="F1841:H1841"/>
    <mergeCell ref="X1841:AB1841"/>
    <mergeCell ref="AE1841:AI1841"/>
    <mergeCell ref="AJ1841:AL1841"/>
    <mergeCell ref="AN1841:AO1841"/>
    <mergeCell ref="AP1841:AQ1841"/>
    <mergeCell ref="A1842:A1843"/>
    <mergeCell ref="E1842:E1843"/>
    <mergeCell ref="F1842:H1842"/>
    <mergeCell ref="J1842:J1843"/>
    <mergeCell ref="K1842:L1843"/>
    <mergeCell ref="M1842:N1843"/>
    <mergeCell ref="O1842:P1843"/>
    <mergeCell ref="Q1842:R1843"/>
    <mergeCell ref="S1842:T1843"/>
    <mergeCell ref="U1842:V1843"/>
    <mergeCell ref="W1842:W1843"/>
    <mergeCell ref="X1842:AB1842"/>
    <mergeCell ref="AD1842:AI1842"/>
    <mergeCell ref="AJ1842:AL1842"/>
    <mergeCell ref="AN1842:AO1842"/>
    <mergeCell ref="AP1842:AQ1842"/>
    <mergeCell ref="AR1842:AS1843"/>
    <mergeCell ref="AT1842:AU1843"/>
    <mergeCell ref="AV1842:AW1843"/>
    <mergeCell ref="AX1842:AY1843"/>
    <mergeCell ref="AZ1842:AZ1843"/>
    <mergeCell ref="F1843:H1843"/>
    <mergeCell ref="X1843:AB1843"/>
    <mergeCell ref="AE1843:AI1843"/>
    <mergeCell ref="AJ1843:AL1843"/>
    <mergeCell ref="AN1843:AO1843"/>
    <mergeCell ref="AP1843:AQ1843"/>
    <mergeCell ref="A1844:A1845"/>
    <mergeCell ref="E1844:E1845"/>
    <mergeCell ref="F1844:H1844"/>
    <mergeCell ref="J1844:J1845"/>
    <mergeCell ref="K1844:L1845"/>
    <mergeCell ref="M1844:N1845"/>
    <mergeCell ref="O1844:P1845"/>
    <mergeCell ref="Q1844:R1845"/>
    <mergeCell ref="S1844:T1845"/>
    <mergeCell ref="U1844:V1845"/>
    <mergeCell ref="W1844:W1845"/>
    <mergeCell ref="X1844:AB1844"/>
    <mergeCell ref="AD1844:AI1844"/>
    <mergeCell ref="AJ1844:AL1844"/>
    <mergeCell ref="AN1844:AO1844"/>
    <mergeCell ref="AP1844:AQ1844"/>
    <mergeCell ref="AR1844:AS1845"/>
    <mergeCell ref="AT1844:AU1845"/>
    <mergeCell ref="AV1844:AW1845"/>
    <mergeCell ref="AX1844:AY1845"/>
    <mergeCell ref="AZ1844:AZ1845"/>
    <mergeCell ref="F1845:H1845"/>
    <mergeCell ref="X1845:AB1845"/>
    <mergeCell ref="AE1845:AI1845"/>
    <mergeCell ref="AJ1845:AL1845"/>
    <mergeCell ref="AN1845:AO1845"/>
    <mergeCell ref="AP1845:AQ1845"/>
    <mergeCell ref="A1846:A1847"/>
    <mergeCell ref="E1846:E1847"/>
    <mergeCell ref="F1846:H1846"/>
    <mergeCell ref="J1846:J1847"/>
    <mergeCell ref="K1846:L1847"/>
    <mergeCell ref="M1846:N1847"/>
    <mergeCell ref="O1846:P1847"/>
    <mergeCell ref="Q1846:R1847"/>
    <mergeCell ref="S1846:T1847"/>
    <mergeCell ref="U1846:V1847"/>
    <mergeCell ref="W1846:W1847"/>
    <mergeCell ref="X1846:AB1846"/>
    <mergeCell ref="AD1846:AI1846"/>
    <mergeCell ref="AJ1846:AL1846"/>
    <mergeCell ref="AN1846:AO1846"/>
    <mergeCell ref="AP1846:AQ1846"/>
    <mergeCell ref="AR1846:AS1847"/>
    <mergeCell ref="AT1846:AU1847"/>
    <mergeCell ref="AV1846:AW1847"/>
    <mergeCell ref="AX1846:AY1847"/>
    <mergeCell ref="AZ1846:AZ1847"/>
    <mergeCell ref="F1847:H1847"/>
    <mergeCell ref="X1847:AB1847"/>
    <mergeCell ref="AE1847:AI1847"/>
    <mergeCell ref="AJ1847:AL1847"/>
    <mergeCell ref="AN1847:AO1847"/>
    <mergeCell ref="AP1847:AQ1847"/>
    <mergeCell ref="A1848:A1849"/>
    <mergeCell ref="E1848:E1849"/>
    <mergeCell ref="F1848:H1848"/>
    <mergeCell ref="J1848:J1849"/>
    <mergeCell ref="K1848:L1849"/>
    <mergeCell ref="M1848:N1849"/>
    <mergeCell ref="O1848:P1849"/>
    <mergeCell ref="Q1848:R1849"/>
    <mergeCell ref="S1848:T1849"/>
    <mergeCell ref="U1848:V1849"/>
    <mergeCell ref="W1848:W1849"/>
    <mergeCell ref="X1848:AB1848"/>
    <mergeCell ref="AD1848:AI1848"/>
    <mergeCell ref="AJ1848:AL1848"/>
    <mergeCell ref="AN1848:AO1848"/>
    <mergeCell ref="AP1848:AQ1848"/>
    <mergeCell ref="AR1848:AS1849"/>
    <mergeCell ref="AT1848:AU1849"/>
    <mergeCell ref="AV1848:AW1849"/>
    <mergeCell ref="AX1848:AY1849"/>
    <mergeCell ref="AZ1848:AZ1849"/>
    <mergeCell ref="F1849:H1849"/>
    <mergeCell ref="X1849:AB1849"/>
    <mergeCell ref="AE1849:AI1849"/>
    <mergeCell ref="AJ1849:AL1849"/>
    <mergeCell ref="AN1849:AO1849"/>
    <mergeCell ref="AP1849:AQ1849"/>
    <mergeCell ref="A1850:A1851"/>
    <mergeCell ref="E1850:E1851"/>
    <mergeCell ref="F1850:H1850"/>
    <mergeCell ref="J1850:J1851"/>
    <mergeCell ref="K1850:L1851"/>
    <mergeCell ref="M1850:N1851"/>
    <mergeCell ref="O1850:P1851"/>
    <mergeCell ref="Q1850:R1851"/>
    <mergeCell ref="S1850:T1851"/>
    <mergeCell ref="U1850:V1851"/>
    <mergeCell ref="W1850:W1851"/>
    <mergeCell ref="X1850:AB1850"/>
    <mergeCell ref="AD1850:AI1850"/>
    <mergeCell ref="AJ1850:AL1850"/>
    <mergeCell ref="AN1850:AO1850"/>
    <mergeCell ref="AP1850:AQ1850"/>
    <mergeCell ref="AR1850:AS1851"/>
    <mergeCell ref="AT1850:AU1851"/>
    <mergeCell ref="AV1850:AW1851"/>
    <mergeCell ref="AX1850:AY1851"/>
    <mergeCell ref="AZ1850:AZ1851"/>
    <mergeCell ref="F1851:H1851"/>
    <mergeCell ref="X1851:AB1851"/>
    <mergeCell ref="AE1851:AI1851"/>
    <mergeCell ref="AJ1851:AL1851"/>
    <mergeCell ref="AN1851:AO1851"/>
    <mergeCell ref="AP1851:AQ1851"/>
    <mergeCell ref="A1852:A1853"/>
    <mergeCell ref="E1852:E1853"/>
    <mergeCell ref="F1852:H1852"/>
    <mergeCell ref="J1852:J1853"/>
    <mergeCell ref="K1852:L1853"/>
    <mergeCell ref="M1852:N1853"/>
    <mergeCell ref="O1852:P1853"/>
    <mergeCell ref="Q1852:R1853"/>
    <mergeCell ref="S1852:T1853"/>
    <mergeCell ref="U1852:V1853"/>
    <mergeCell ref="W1852:W1853"/>
    <mergeCell ref="X1852:AB1852"/>
    <mergeCell ref="AD1852:AI1852"/>
    <mergeCell ref="AJ1852:AL1852"/>
    <mergeCell ref="AN1852:AO1852"/>
    <mergeCell ref="AP1852:AQ1852"/>
    <mergeCell ref="AR1852:AS1853"/>
    <mergeCell ref="AT1852:AU1853"/>
    <mergeCell ref="AV1852:AW1853"/>
    <mergeCell ref="AX1852:AY1853"/>
    <mergeCell ref="AZ1852:AZ1853"/>
    <mergeCell ref="F1853:H1853"/>
    <mergeCell ref="X1853:AB1853"/>
    <mergeCell ref="AE1853:AI1853"/>
    <mergeCell ref="AJ1853:AL1853"/>
    <mergeCell ref="AN1853:AO1853"/>
    <mergeCell ref="AP1853:AQ1853"/>
    <mergeCell ref="A1854:A1855"/>
    <mergeCell ref="E1854:E1855"/>
    <mergeCell ref="F1854:H1854"/>
    <mergeCell ref="J1854:J1855"/>
    <mergeCell ref="K1854:L1855"/>
    <mergeCell ref="M1854:N1855"/>
    <mergeCell ref="O1854:P1855"/>
    <mergeCell ref="Q1854:R1855"/>
    <mergeCell ref="S1854:T1855"/>
    <mergeCell ref="U1854:V1855"/>
    <mergeCell ref="W1854:W1855"/>
    <mergeCell ref="X1854:AB1854"/>
    <mergeCell ref="AD1854:AI1854"/>
    <mergeCell ref="AJ1854:AL1854"/>
    <mergeCell ref="AN1854:AO1854"/>
    <mergeCell ref="AP1854:AQ1854"/>
    <mergeCell ref="AR1854:AS1855"/>
    <mergeCell ref="AT1854:AU1855"/>
    <mergeCell ref="AV1854:AW1855"/>
    <mergeCell ref="AX1854:AY1855"/>
    <mergeCell ref="AZ1854:AZ1855"/>
    <mergeCell ref="F1855:H1855"/>
    <mergeCell ref="X1855:AB1855"/>
    <mergeCell ref="AE1855:AI1855"/>
    <mergeCell ref="AJ1855:AL1855"/>
    <mergeCell ref="AN1855:AO1855"/>
    <mergeCell ref="AP1855:AQ1855"/>
    <mergeCell ref="A1856:A1857"/>
    <mergeCell ref="E1856:E1857"/>
    <mergeCell ref="F1856:H1856"/>
    <mergeCell ref="J1856:J1857"/>
    <mergeCell ref="K1856:L1857"/>
    <mergeCell ref="M1856:N1857"/>
    <mergeCell ref="O1856:P1857"/>
    <mergeCell ref="Q1856:R1857"/>
    <mergeCell ref="S1856:T1857"/>
    <mergeCell ref="U1856:V1857"/>
    <mergeCell ref="W1856:W1857"/>
    <mergeCell ref="X1856:AB1856"/>
    <mergeCell ref="AD1856:AI1856"/>
    <mergeCell ref="AJ1856:AL1856"/>
    <mergeCell ref="AN1856:AO1856"/>
    <mergeCell ref="AP1856:AQ1856"/>
    <mergeCell ref="AR1856:AS1857"/>
    <mergeCell ref="AT1856:AU1857"/>
    <mergeCell ref="AV1856:AW1857"/>
    <mergeCell ref="AX1856:AY1857"/>
    <mergeCell ref="AZ1856:AZ1857"/>
    <mergeCell ref="F1857:H1857"/>
    <mergeCell ref="X1857:AB1857"/>
    <mergeCell ref="AE1857:AI1857"/>
    <mergeCell ref="AJ1857:AL1857"/>
    <mergeCell ref="AN1857:AO1857"/>
    <mergeCell ref="AP1857:AQ1857"/>
    <mergeCell ref="A1858:A1859"/>
    <mergeCell ref="E1858:E1859"/>
    <mergeCell ref="F1858:H1858"/>
    <mergeCell ref="J1858:J1859"/>
    <mergeCell ref="K1858:L1859"/>
    <mergeCell ref="M1858:N1859"/>
    <mergeCell ref="O1858:P1859"/>
    <mergeCell ref="Q1858:R1859"/>
    <mergeCell ref="S1858:T1859"/>
    <mergeCell ref="U1858:V1859"/>
    <mergeCell ref="W1858:W1859"/>
    <mergeCell ref="X1858:AB1858"/>
    <mergeCell ref="AD1858:AI1858"/>
    <mergeCell ref="AJ1858:AL1858"/>
    <mergeCell ref="AN1858:AO1858"/>
    <mergeCell ref="AP1858:AQ1858"/>
    <mergeCell ref="AR1858:AS1859"/>
    <mergeCell ref="AT1858:AU1859"/>
    <mergeCell ref="AV1858:AW1859"/>
    <mergeCell ref="AX1858:AY1859"/>
    <mergeCell ref="AZ1858:AZ1859"/>
    <mergeCell ref="F1859:H1859"/>
    <mergeCell ref="X1859:AB1859"/>
    <mergeCell ref="AE1859:AI1859"/>
    <mergeCell ref="AJ1859:AL1859"/>
    <mergeCell ref="AN1859:AO1859"/>
    <mergeCell ref="AP1859:AQ1859"/>
    <mergeCell ref="A1860:A1861"/>
    <mergeCell ref="E1860:E1861"/>
    <mergeCell ref="F1860:H1860"/>
    <mergeCell ref="J1860:J1861"/>
    <mergeCell ref="K1860:L1861"/>
    <mergeCell ref="M1860:N1861"/>
    <mergeCell ref="O1860:P1861"/>
    <mergeCell ref="Q1860:R1861"/>
    <mergeCell ref="S1860:T1861"/>
    <mergeCell ref="U1860:V1861"/>
    <mergeCell ref="W1860:W1861"/>
    <mergeCell ref="X1860:AB1860"/>
    <mergeCell ref="AD1860:AI1860"/>
    <mergeCell ref="AJ1860:AL1860"/>
    <mergeCell ref="AN1860:AO1860"/>
    <mergeCell ref="AP1860:AQ1860"/>
    <mergeCell ref="AR1860:AS1861"/>
    <mergeCell ref="AT1860:AU1861"/>
    <mergeCell ref="AV1860:AW1861"/>
    <mergeCell ref="AX1860:AY1861"/>
    <mergeCell ref="AZ1860:AZ1861"/>
    <mergeCell ref="F1861:H1861"/>
    <mergeCell ref="X1861:AB1861"/>
    <mergeCell ref="AE1861:AI1861"/>
    <mergeCell ref="AJ1861:AL1861"/>
    <mergeCell ref="AN1861:AO1861"/>
    <mergeCell ref="AP1861:AQ1861"/>
    <mergeCell ref="A1862:A1863"/>
    <mergeCell ref="E1862:E1863"/>
    <mergeCell ref="F1862:H1862"/>
    <mergeCell ref="J1862:J1863"/>
    <mergeCell ref="K1862:L1863"/>
    <mergeCell ref="M1862:N1863"/>
    <mergeCell ref="O1862:P1863"/>
    <mergeCell ref="Q1862:R1863"/>
    <mergeCell ref="S1862:T1863"/>
    <mergeCell ref="U1862:V1863"/>
    <mergeCell ref="W1862:W1863"/>
    <mergeCell ref="X1862:AB1862"/>
    <mergeCell ref="AD1862:AI1862"/>
    <mergeCell ref="AJ1862:AL1862"/>
    <mergeCell ref="AN1862:AO1862"/>
    <mergeCell ref="AP1862:AQ1862"/>
    <mergeCell ref="AR1862:AS1863"/>
    <mergeCell ref="AT1862:AU1863"/>
    <mergeCell ref="AV1862:AW1863"/>
    <mergeCell ref="AX1862:AY1863"/>
    <mergeCell ref="AZ1862:AZ1863"/>
    <mergeCell ref="F1863:H1863"/>
    <mergeCell ref="X1863:AB1863"/>
    <mergeCell ref="AE1863:AI1863"/>
    <mergeCell ref="AJ1863:AL1863"/>
    <mergeCell ref="AN1863:AO1863"/>
    <mergeCell ref="AP1863:AQ1863"/>
    <mergeCell ref="A1864:A1865"/>
    <mergeCell ref="E1864:E1865"/>
    <mergeCell ref="F1864:H1864"/>
    <mergeCell ref="J1864:J1865"/>
    <mergeCell ref="K1864:L1865"/>
    <mergeCell ref="M1864:N1865"/>
    <mergeCell ref="O1864:P1865"/>
    <mergeCell ref="Q1864:R1865"/>
    <mergeCell ref="S1864:T1865"/>
    <mergeCell ref="U1864:V1865"/>
    <mergeCell ref="W1864:W1865"/>
    <mergeCell ref="X1864:AB1864"/>
    <mergeCell ref="AD1864:AI1864"/>
    <mergeCell ref="AJ1864:AL1864"/>
    <mergeCell ref="AN1864:AO1864"/>
    <mergeCell ref="AP1864:AQ1864"/>
    <mergeCell ref="AR1864:AS1865"/>
    <mergeCell ref="AT1864:AU1865"/>
    <mergeCell ref="AV1864:AW1865"/>
    <mergeCell ref="AX1864:AY1865"/>
    <mergeCell ref="AZ1864:AZ1865"/>
    <mergeCell ref="F1865:H1865"/>
    <mergeCell ref="X1865:AB1865"/>
    <mergeCell ref="AE1865:AI1865"/>
    <mergeCell ref="AJ1865:AL1865"/>
    <mergeCell ref="AN1865:AO1865"/>
    <mergeCell ref="AP1865:AQ1865"/>
    <mergeCell ref="A1866:A1867"/>
    <mergeCell ref="E1866:E1867"/>
    <mergeCell ref="F1866:H1866"/>
    <mergeCell ref="J1866:J1867"/>
    <mergeCell ref="K1866:L1867"/>
    <mergeCell ref="M1866:N1867"/>
    <mergeCell ref="O1866:P1867"/>
    <mergeCell ref="Q1866:R1867"/>
    <mergeCell ref="S1866:T1867"/>
    <mergeCell ref="U1866:V1867"/>
    <mergeCell ref="W1866:W1867"/>
    <mergeCell ref="X1866:AB1866"/>
    <mergeCell ref="AD1866:AI1866"/>
    <mergeCell ref="AJ1866:AL1866"/>
    <mergeCell ref="AN1866:AO1866"/>
    <mergeCell ref="AP1866:AQ1866"/>
    <mergeCell ref="AR1866:AS1867"/>
    <mergeCell ref="AT1866:AU1867"/>
    <mergeCell ref="AV1866:AW1867"/>
    <mergeCell ref="AX1866:AY1867"/>
    <mergeCell ref="AZ1866:AZ1867"/>
    <mergeCell ref="F1867:H1867"/>
    <mergeCell ref="X1867:AB1867"/>
    <mergeCell ref="AE1867:AI1867"/>
    <mergeCell ref="AJ1867:AL1867"/>
    <mergeCell ref="AN1867:AO1867"/>
    <mergeCell ref="AP1867:AQ1867"/>
    <mergeCell ref="A1868:A1869"/>
    <mergeCell ref="E1868:E1869"/>
    <mergeCell ref="F1868:H1868"/>
    <mergeCell ref="J1868:J1869"/>
    <mergeCell ref="K1868:L1869"/>
    <mergeCell ref="M1868:N1869"/>
    <mergeCell ref="O1868:P1869"/>
    <mergeCell ref="Q1868:R1869"/>
    <mergeCell ref="S1868:T1869"/>
    <mergeCell ref="U1868:V1869"/>
    <mergeCell ref="W1868:W1869"/>
    <mergeCell ref="X1868:AB1868"/>
    <mergeCell ref="AD1868:AI1868"/>
    <mergeCell ref="AJ1868:AL1868"/>
    <mergeCell ref="AN1868:AO1868"/>
    <mergeCell ref="AP1868:AQ1868"/>
    <mergeCell ref="AR1868:AS1869"/>
    <mergeCell ref="AT1868:AU1869"/>
    <mergeCell ref="AV1868:AW1869"/>
    <mergeCell ref="AX1868:AY1869"/>
    <mergeCell ref="AZ1868:AZ1869"/>
    <mergeCell ref="F1869:H1869"/>
    <mergeCell ref="X1869:AB1869"/>
    <mergeCell ref="AE1869:AI1869"/>
    <mergeCell ref="AJ1869:AL1869"/>
    <mergeCell ref="AN1869:AO1869"/>
    <mergeCell ref="AP1869:AQ1869"/>
    <mergeCell ref="A1870:A1871"/>
    <mergeCell ref="E1870:E1871"/>
    <mergeCell ref="F1870:H1870"/>
    <mergeCell ref="J1870:J1871"/>
    <mergeCell ref="K1870:L1871"/>
    <mergeCell ref="M1870:N1871"/>
    <mergeCell ref="O1870:P1871"/>
    <mergeCell ref="Q1870:R1871"/>
    <mergeCell ref="S1870:T1871"/>
    <mergeCell ref="U1870:V1871"/>
    <mergeCell ref="W1870:W1871"/>
    <mergeCell ref="X1870:AB1870"/>
    <mergeCell ref="AD1870:AI1870"/>
    <mergeCell ref="AJ1870:AL1870"/>
    <mergeCell ref="AN1870:AO1870"/>
    <mergeCell ref="AP1870:AQ1870"/>
    <mergeCell ref="AR1870:AS1871"/>
    <mergeCell ref="AT1870:AU1871"/>
    <mergeCell ref="AV1870:AW1871"/>
    <mergeCell ref="AX1870:AY1871"/>
    <mergeCell ref="AZ1870:AZ1871"/>
    <mergeCell ref="F1871:H1871"/>
    <mergeCell ref="X1871:AB1871"/>
    <mergeCell ref="AE1871:AI1871"/>
    <mergeCell ref="AJ1871:AL1871"/>
    <mergeCell ref="AN1871:AO1871"/>
    <mergeCell ref="AP1871:AQ1871"/>
    <mergeCell ref="A1872:A1873"/>
    <mergeCell ref="E1872:E1873"/>
    <mergeCell ref="F1872:H1872"/>
    <mergeCell ref="J1872:J1873"/>
    <mergeCell ref="K1872:L1873"/>
    <mergeCell ref="M1872:N1873"/>
    <mergeCell ref="O1872:P1873"/>
    <mergeCell ref="Q1872:R1873"/>
    <mergeCell ref="S1872:T1873"/>
    <mergeCell ref="U1872:V1873"/>
    <mergeCell ref="W1872:W1873"/>
    <mergeCell ref="X1872:AB1872"/>
    <mergeCell ref="AD1872:AI1872"/>
    <mergeCell ref="AJ1872:AL1872"/>
    <mergeCell ref="AN1872:AO1872"/>
    <mergeCell ref="AP1872:AQ1872"/>
    <mergeCell ref="AR1872:AS1873"/>
    <mergeCell ref="AT1872:AU1873"/>
    <mergeCell ref="AV1872:AW1873"/>
    <mergeCell ref="AX1872:AY1873"/>
    <mergeCell ref="AZ1872:AZ1873"/>
    <mergeCell ref="F1873:H1873"/>
    <mergeCell ref="X1873:AB1873"/>
    <mergeCell ref="AE1873:AI1873"/>
    <mergeCell ref="AJ1873:AL1873"/>
    <mergeCell ref="AN1873:AO1873"/>
    <mergeCell ref="AP1873:AQ1873"/>
    <mergeCell ref="A1874:A1875"/>
    <mergeCell ref="E1874:E1875"/>
    <mergeCell ref="F1874:H1874"/>
    <mergeCell ref="J1874:J1875"/>
    <mergeCell ref="K1874:L1875"/>
    <mergeCell ref="M1874:N1875"/>
    <mergeCell ref="O1874:P1875"/>
    <mergeCell ref="Q1874:R1875"/>
    <mergeCell ref="S1874:T1875"/>
    <mergeCell ref="U1874:V1875"/>
    <mergeCell ref="W1874:W1875"/>
    <mergeCell ref="X1874:AB1874"/>
    <mergeCell ref="AD1874:AI1874"/>
    <mergeCell ref="AJ1874:AL1874"/>
    <mergeCell ref="AN1874:AO1874"/>
    <mergeCell ref="AP1874:AQ1874"/>
    <mergeCell ref="AR1874:AS1875"/>
    <mergeCell ref="AT1874:AU1875"/>
    <mergeCell ref="AV1874:AW1875"/>
    <mergeCell ref="AX1874:AY1875"/>
    <mergeCell ref="AZ1874:AZ1875"/>
    <mergeCell ref="F1875:H1875"/>
    <mergeCell ref="X1875:AB1875"/>
    <mergeCell ref="AE1875:AI1875"/>
    <mergeCell ref="AJ1875:AL1875"/>
    <mergeCell ref="AN1875:AO1875"/>
    <mergeCell ref="AP1875:AQ1875"/>
    <mergeCell ref="A1876:A1877"/>
    <mergeCell ref="E1876:E1877"/>
    <mergeCell ref="F1876:H1876"/>
    <mergeCell ref="J1876:J1877"/>
    <mergeCell ref="K1876:L1877"/>
    <mergeCell ref="M1876:N1877"/>
    <mergeCell ref="O1876:P1877"/>
    <mergeCell ref="Q1876:R1877"/>
    <mergeCell ref="S1876:T1877"/>
    <mergeCell ref="U1876:V1877"/>
    <mergeCell ref="W1876:W1877"/>
    <mergeCell ref="X1876:AB1876"/>
    <mergeCell ref="AD1876:AI1876"/>
    <mergeCell ref="AJ1876:AL1876"/>
    <mergeCell ref="AN1876:AO1876"/>
    <mergeCell ref="AP1876:AQ1876"/>
    <mergeCell ref="AR1876:AS1877"/>
    <mergeCell ref="AT1876:AU1877"/>
    <mergeCell ref="AV1876:AW1877"/>
    <mergeCell ref="AX1876:AY1877"/>
    <mergeCell ref="AZ1876:AZ1877"/>
    <mergeCell ref="F1877:H1877"/>
    <mergeCell ref="X1877:AB1877"/>
    <mergeCell ref="AE1877:AI1877"/>
    <mergeCell ref="AJ1877:AL1877"/>
    <mergeCell ref="AN1877:AO1877"/>
    <mergeCell ref="AP1877:AQ1877"/>
    <mergeCell ref="A1878:A1879"/>
    <mergeCell ref="E1878:E1879"/>
    <mergeCell ref="F1878:H1878"/>
    <mergeCell ref="J1878:J1879"/>
    <mergeCell ref="K1878:L1879"/>
    <mergeCell ref="M1878:N1879"/>
    <mergeCell ref="O1878:P1879"/>
    <mergeCell ref="Q1878:R1879"/>
    <mergeCell ref="S1878:T1879"/>
    <mergeCell ref="U1878:V1879"/>
    <mergeCell ref="W1878:W1879"/>
    <mergeCell ref="X1878:AB1878"/>
    <mergeCell ref="AD1878:AI1878"/>
    <mergeCell ref="AJ1878:AL1878"/>
    <mergeCell ref="AN1878:AO1878"/>
    <mergeCell ref="AP1878:AQ1878"/>
    <mergeCell ref="AR1878:AS1879"/>
    <mergeCell ref="AT1878:AU1879"/>
    <mergeCell ref="AV1878:AW1879"/>
    <mergeCell ref="AX1878:AY1879"/>
    <mergeCell ref="AZ1878:AZ1879"/>
    <mergeCell ref="F1879:H1879"/>
    <mergeCell ref="X1879:AB1879"/>
    <mergeCell ref="AE1879:AI1879"/>
    <mergeCell ref="AJ1879:AL1879"/>
    <mergeCell ref="AN1879:AO1879"/>
    <mergeCell ref="AP1879:AQ1879"/>
    <mergeCell ref="A1880:A1881"/>
    <mergeCell ref="E1880:E1881"/>
    <mergeCell ref="F1880:H1880"/>
    <mergeCell ref="J1880:J1881"/>
    <mergeCell ref="K1880:L1881"/>
    <mergeCell ref="M1880:N1881"/>
    <mergeCell ref="O1880:P1881"/>
    <mergeCell ref="Q1880:R1881"/>
    <mergeCell ref="S1880:T1881"/>
    <mergeCell ref="U1880:V1881"/>
    <mergeCell ref="W1880:W1881"/>
    <mergeCell ref="X1880:AB1880"/>
    <mergeCell ref="AD1880:AI1880"/>
    <mergeCell ref="AJ1880:AL1880"/>
    <mergeCell ref="AN1880:AO1880"/>
    <mergeCell ref="AP1880:AQ1880"/>
    <mergeCell ref="AR1880:AS1881"/>
    <mergeCell ref="AT1880:AU1881"/>
    <mergeCell ref="AV1880:AW1881"/>
    <mergeCell ref="AX1880:AY1881"/>
    <mergeCell ref="AZ1880:AZ1881"/>
    <mergeCell ref="F1881:H1881"/>
    <mergeCell ref="X1881:AB1881"/>
    <mergeCell ref="AE1881:AI1881"/>
    <mergeCell ref="AJ1881:AL1881"/>
    <mergeCell ref="AN1881:AO1881"/>
    <mergeCell ref="AP1881:AQ1881"/>
    <mergeCell ref="A1882:A1883"/>
    <mergeCell ref="E1882:E1883"/>
    <mergeCell ref="F1882:H1882"/>
    <mergeCell ref="J1882:J1883"/>
    <mergeCell ref="K1882:L1883"/>
    <mergeCell ref="M1882:N1883"/>
    <mergeCell ref="O1882:P1883"/>
    <mergeCell ref="Q1882:R1883"/>
    <mergeCell ref="S1882:T1883"/>
    <mergeCell ref="U1882:V1883"/>
    <mergeCell ref="W1882:W1883"/>
    <mergeCell ref="X1882:AB1882"/>
    <mergeCell ref="AD1882:AI1882"/>
    <mergeCell ref="AJ1882:AL1882"/>
    <mergeCell ref="AN1882:AO1882"/>
    <mergeCell ref="AP1882:AQ1882"/>
    <mergeCell ref="AR1882:AS1883"/>
    <mergeCell ref="AT1882:AU1883"/>
    <mergeCell ref="AV1882:AW1883"/>
    <mergeCell ref="AX1882:AY1883"/>
    <mergeCell ref="AZ1882:AZ1883"/>
    <mergeCell ref="F1883:H1883"/>
    <mergeCell ref="X1883:AB1883"/>
    <mergeCell ref="AE1883:AI1883"/>
    <mergeCell ref="AJ1883:AL1883"/>
    <mergeCell ref="AN1883:AO1883"/>
    <mergeCell ref="AP1883:AQ1883"/>
    <mergeCell ref="A1884:A1885"/>
    <mergeCell ref="E1884:E1885"/>
    <mergeCell ref="F1884:H1884"/>
    <mergeCell ref="J1884:J1885"/>
    <mergeCell ref="K1884:L1885"/>
    <mergeCell ref="M1884:N1885"/>
    <mergeCell ref="O1884:P1885"/>
    <mergeCell ref="Q1884:R1885"/>
    <mergeCell ref="S1884:T1885"/>
    <mergeCell ref="U1884:V1885"/>
    <mergeCell ref="W1884:W1885"/>
    <mergeCell ref="X1884:AB1884"/>
    <mergeCell ref="AD1884:AI1884"/>
    <mergeCell ref="AJ1884:AL1884"/>
    <mergeCell ref="AN1884:AO1884"/>
    <mergeCell ref="AP1884:AQ1884"/>
    <mergeCell ref="AR1884:AS1885"/>
    <mergeCell ref="AT1884:AU1885"/>
    <mergeCell ref="AV1884:AW1885"/>
    <mergeCell ref="AX1884:AY1885"/>
    <mergeCell ref="AZ1884:AZ1885"/>
    <mergeCell ref="F1885:H1885"/>
    <mergeCell ref="X1885:AB1885"/>
    <mergeCell ref="AE1885:AI1885"/>
    <mergeCell ref="AJ1885:AL1885"/>
    <mergeCell ref="AN1885:AO1885"/>
    <mergeCell ref="AP1885:AQ1885"/>
    <mergeCell ref="A1886:A1887"/>
    <mergeCell ref="E1886:E1887"/>
    <mergeCell ref="F1886:H1886"/>
    <mergeCell ref="J1886:J1887"/>
    <mergeCell ref="K1886:L1887"/>
    <mergeCell ref="M1886:N1887"/>
    <mergeCell ref="O1886:P1887"/>
    <mergeCell ref="Q1886:R1887"/>
    <mergeCell ref="S1886:T1887"/>
    <mergeCell ref="U1886:V1887"/>
    <mergeCell ref="W1886:W1887"/>
    <mergeCell ref="X1886:AB1886"/>
    <mergeCell ref="AD1886:AI1886"/>
    <mergeCell ref="AJ1886:AL1886"/>
    <mergeCell ref="AN1886:AO1886"/>
    <mergeCell ref="AP1886:AQ1886"/>
    <mergeCell ref="AR1886:AS1887"/>
    <mergeCell ref="AT1886:AU1887"/>
    <mergeCell ref="AV1886:AW1887"/>
    <mergeCell ref="AX1886:AY1887"/>
    <mergeCell ref="AZ1886:AZ1887"/>
    <mergeCell ref="F1887:H1887"/>
    <mergeCell ref="X1887:AB1887"/>
    <mergeCell ref="AE1887:AI1887"/>
    <mergeCell ref="AJ1887:AL1887"/>
    <mergeCell ref="AN1887:AO1887"/>
    <mergeCell ref="AP1887:AQ1887"/>
    <mergeCell ref="A1888:A1889"/>
    <mergeCell ref="E1888:E1889"/>
    <mergeCell ref="F1888:H1888"/>
    <mergeCell ref="J1888:J1889"/>
    <mergeCell ref="K1888:L1889"/>
    <mergeCell ref="M1888:N1889"/>
    <mergeCell ref="O1888:P1889"/>
    <mergeCell ref="Q1888:R1889"/>
    <mergeCell ref="S1888:T1889"/>
    <mergeCell ref="U1888:V1889"/>
    <mergeCell ref="W1888:W1889"/>
    <mergeCell ref="X1888:AB1888"/>
    <mergeCell ref="AD1888:AI1888"/>
    <mergeCell ref="AJ1888:AL1888"/>
    <mergeCell ref="AN1888:AO1888"/>
    <mergeCell ref="AP1888:AQ1888"/>
    <mergeCell ref="AR1888:AS1889"/>
    <mergeCell ref="AT1888:AU1889"/>
    <mergeCell ref="AV1888:AW1889"/>
    <mergeCell ref="AX1888:AY1889"/>
    <mergeCell ref="AZ1888:AZ1889"/>
    <mergeCell ref="F1889:H1889"/>
    <mergeCell ref="X1889:AB1889"/>
    <mergeCell ref="AE1889:AI1889"/>
    <mergeCell ref="AJ1889:AL1889"/>
    <mergeCell ref="AN1889:AO1889"/>
    <mergeCell ref="AP1889:AQ1889"/>
    <mergeCell ref="A1890:A1891"/>
    <mergeCell ref="E1890:E1891"/>
    <mergeCell ref="F1890:H1890"/>
    <mergeCell ref="J1890:J1891"/>
    <mergeCell ref="K1890:L1891"/>
    <mergeCell ref="M1890:N1891"/>
    <mergeCell ref="O1890:P1891"/>
    <mergeCell ref="Q1890:R1891"/>
    <mergeCell ref="S1890:T1891"/>
    <mergeCell ref="U1890:V1891"/>
    <mergeCell ref="W1890:W1891"/>
    <mergeCell ref="X1890:AB1890"/>
    <mergeCell ref="AD1890:AI1890"/>
    <mergeCell ref="AJ1890:AL1890"/>
    <mergeCell ref="AN1890:AO1890"/>
    <mergeCell ref="AP1890:AQ1890"/>
    <mergeCell ref="AR1890:AS1891"/>
    <mergeCell ref="AT1890:AU1891"/>
    <mergeCell ref="AV1890:AW1891"/>
    <mergeCell ref="AX1890:AY1891"/>
    <mergeCell ref="AZ1890:AZ1891"/>
    <mergeCell ref="F1891:H1891"/>
    <mergeCell ref="X1891:AB1891"/>
    <mergeCell ref="AE1891:AI1891"/>
    <mergeCell ref="AJ1891:AL1891"/>
    <mergeCell ref="AN1891:AO1891"/>
    <mergeCell ref="AP1891:AQ1891"/>
    <mergeCell ref="A1892:A1893"/>
    <mergeCell ref="E1892:E1893"/>
    <mergeCell ref="F1892:H1892"/>
    <mergeCell ref="J1892:J1893"/>
    <mergeCell ref="K1892:L1893"/>
    <mergeCell ref="M1892:N1893"/>
    <mergeCell ref="O1892:P1893"/>
    <mergeCell ref="Q1892:R1893"/>
    <mergeCell ref="S1892:T1893"/>
    <mergeCell ref="U1892:V1893"/>
    <mergeCell ref="W1892:W1893"/>
    <mergeCell ref="X1892:AB1892"/>
    <mergeCell ref="AD1892:AI1892"/>
    <mergeCell ref="AJ1892:AL1892"/>
    <mergeCell ref="AN1892:AO1892"/>
    <mergeCell ref="AP1892:AQ1892"/>
    <mergeCell ref="AR1892:AS1893"/>
    <mergeCell ref="AT1892:AU1893"/>
    <mergeCell ref="AV1892:AW1893"/>
    <mergeCell ref="AX1892:AY1893"/>
    <mergeCell ref="AZ1892:AZ1893"/>
    <mergeCell ref="F1893:H1893"/>
    <mergeCell ref="X1893:AB1893"/>
    <mergeCell ref="AE1893:AI1893"/>
    <mergeCell ref="AJ1893:AL1893"/>
    <mergeCell ref="AN1893:AO1893"/>
    <mergeCell ref="AP1893:AQ1893"/>
    <mergeCell ref="A1894:A1895"/>
    <mergeCell ref="E1894:E1895"/>
    <mergeCell ref="F1894:H1894"/>
    <mergeCell ref="J1894:J1895"/>
    <mergeCell ref="K1894:L1895"/>
    <mergeCell ref="M1894:N1895"/>
    <mergeCell ref="O1894:P1895"/>
    <mergeCell ref="Q1894:R1895"/>
    <mergeCell ref="S1894:T1895"/>
    <mergeCell ref="U1894:V1895"/>
    <mergeCell ref="W1894:W1895"/>
    <mergeCell ref="X1894:AB1894"/>
    <mergeCell ref="AD1894:AI1894"/>
    <mergeCell ref="AJ1894:AL1894"/>
    <mergeCell ref="AN1894:AO1894"/>
    <mergeCell ref="AP1894:AQ1894"/>
    <mergeCell ref="AR1894:AS1895"/>
    <mergeCell ref="AT1894:AU1895"/>
    <mergeCell ref="AV1894:AW1895"/>
    <mergeCell ref="AX1894:AY1895"/>
    <mergeCell ref="AZ1894:AZ1895"/>
    <mergeCell ref="F1895:H1895"/>
    <mergeCell ref="X1895:AB1895"/>
    <mergeCell ref="AE1895:AI1895"/>
    <mergeCell ref="AJ1895:AL1895"/>
    <mergeCell ref="AN1895:AO1895"/>
    <mergeCell ref="AP1895:AQ1895"/>
    <mergeCell ref="A1896:A1897"/>
    <mergeCell ref="E1896:E1897"/>
    <mergeCell ref="F1896:H1896"/>
    <mergeCell ref="J1896:J1897"/>
    <mergeCell ref="K1896:L1897"/>
    <mergeCell ref="M1896:N1897"/>
    <mergeCell ref="O1896:P1897"/>
    <mergeCell ref="Q1896:R1897"/>
    <mergeCell ref="S1896:T1897"/>
    <mergeCell ref="U1896:V1897"/>
    <mergeCell ref="W1896:W1897"/>
    <mergeCell ref="X1896:AB1896"/>
    <mergeCell ref="AD1896:AI1896"/>
    <mergeCell ref="AJ1896:AL1896"/>
    <mergeCell ref="AN1896:AO1896"/>
    <mergeCell ref="AP1896:AQ1896"/>
    <mergeCell ref="AR1896:AS1897"/>
    <mergeCell ref="AT1896:AU1897"/>
    <mergeCell ref="AV1896:AW1897"/>
    <mergeCell ref="AX1896:AY1897"/>
    <mergeCell ref="AZ1896:AZ1897"/>
    <mergeCell ref="F1897:H1897"/>
    <mergeCell ref="X1897:AB1897"/>
    <mergeCell ref="AE1897:AI1897"/>
    <mergeCell ref="AJ1897:AL1897"/>
    <mergeCell ref="AN1897:AO1897"/>
    <mergeCell ref="AP1897:AQ1897"/>
    <mergeCell ref="A1898:A1899"/>
    <mergeCell ref="E1898:E1899"/>
    <mergeCell ref="F1898:H1898"/>
    <mergeCell ref="J1898:J1899"/>
    <mergeCell ref="K1898:L1899"/>
    <mergeCell ref="M1898:N1899"/>
    <mergeCell ref="O1898:P1899"/>
    <mergeCell ref="Q1898:R1899"/>
    <mergeCell ref="S1898:T1899"/>
    <mergeCell ref="U1898:V1899"/>
    <mergeCell ref="W1898:W1899"/>
    <mergeCell ref="X1898:AB1898"/>
    <mergeCell ref="AD1898:AI1898"/>
    <mergeCell ref="AJ1898:AL1898"/>
    <mergeCell ref="AN1898:AO1898"/>
    <mergeCell ref="AP1898:AQ1898"/>
    <mergeCell ref="AR1898:AS1899"/>
    <mergeCell ref="AT1898:AU1899"/>
    <mergeCell ref="AV1898:AW1899"/>
    <mergeCell ref="AX1898:AY1899"/>
    <mergeCell ref="AZ1898:AZ1899"/>
    <mergeCell ref="F1899:H1899"/>
    <mergeCell ref="X1899:AB1899"/>
    <mergeCell ref="AE1899:AI1899"/>
    <mergeCell ref="AJ1899:AL1899"/>
    <mergeCell ref="AN1899:AO1899"/>
    <mergeCell ref="AP1899:AQ1899"/>
    <mergeCell ref="A1900:A1901"/>
    <mergeCell ref="E1900:E1901"/>
    <mergeCell ref="F1900:H1900"/>
    <mergeCell ref="J1900:J1901"/>
    <mergeCell ref="K1900:L1901"/>
    <mergeCell ref="M1900:N1901"/>
    <mergeCell ref="O1900:P1901"/>
    <mergeCell ref="Q1900:R1901"/>
    <mergeCell ref="S1900:T1901"/>
    <mergeCell ref="U1900:V1901"/>
    <mergeCell ref="W1900:W1901"/>
    <mergeCell ref="X1900:AB1900"/>
    <mergeCell ref="AD1900:AI1900"/>
    <mergeCell ref="AJ1900:AL1900"/>
    <mergeCell ref="AN1900:AO1900"/>
    <mergeCell ref="AP1900:AQ1900"/>
    <mergeCell ref="AR1900:AS1901"/>
    <mergeCell ref="AT1900:AU1901"/>
    <mergeCell ref="AV1900:AW1901"/>
    <mergeCell ref="AX1900:AY1901"/>
    <mergeCell ref="AZ1900:AZ1901"/>
    <mergeCell ref="F1901:H1901"/>
    <mergeCell ref="X1901:AB1901"/>
    <mergeCell ref="AE1901:AI1901"/>
    <mergeCell ref="AJ1901:AL1901"/>
    <mergeCell ref="AN1901:AO1901"/>
    <mergeCell ref="AP1901:AQ1901"/>
    <mergeCell ref="W1960:W1961"/>
    <mergeCell ref="X1960:AB1960"/>
    <mergeCell ref="AD1960:AI1960"/>
    <mergeCell ref="AJ1960:AL1960"/>
    <mergeCell ref="AN1960:AO1960"/>
    <mergeCell ref="AP1960:AQ1960"/>
    <mergeCell ref="AR1960:AS1961"/>
    <mergeCell ref="AT1960:AU1961"/>
    <mergeCell ref="AV1960:AW1961"/>
    <mergeCell ref="AX1960:AY1961"/>
    <mergeCell ref="AZ1960:AZ1961"/>
    <mergeCell ref="F1961:H1961"/>
    <mergeCell ref="X1961:AB1961"/>
    <mergeCell ref="AE1961:AI1961"/>
    <mergeCell ref="AJ1961:AL1961"/>
    <mergeCell ref="AN1961:AO1961"/>
    <mergeCell ref="AP1961:AQ1961"/>
    <mergeCell ref="A1902:A1903"/>
    <mergeCell ref="E1902:E1903"/>
    <mergeCell ref="F1902:H1902"/>
    <mergeCell ref="J1902:J1903"/>
    <mergeCell ref="K1902:L1903"/>
    <mergeCell ref="M1902:N1903"/>
    <mergeCell ref="O1902:P1903"/>
    <mergeCell ref="Q1902:R1903"/>
    <mergeCell ref="S1902:T1903"/>
    <mergeCell ref="U1902:V1903"/>
    <mergeCell ref="W1902:W1903"/>
    <mergeCell ref="X1902:AB1902"/>
    <mergeCell ref="AD1902:AI1902"/>
    <mergeCell ref="AJ1902:AL1902"/>
    <mergeCell ref="AN1902:AO1902"/>
    <mergeCell ref="AP1902:AQ1902"/>
    <mergeCell ref="AR1902:AS1903"/>
    <mergeCell ref="AT1902:AU1903"/>
    <mergeCell ref="AV1902:AW1903"/>
    <mergeCell ref="AX1902:AY1903"/>
    <mergeCell ref="A1964:A1965"/>
    <mergeCell ref="E1964:E1965"/>
    <mergeCell ref="F1964:H1964"/>
    <mergeCell ref="J1964:J1965"/>
    <mergeCell ref="K1964:L1965"/>
    <mergeCell ref="M1964:N1965"/>
    <mergeCell ref="O1964:P1965"/>
    <mergeCell ref="Q1964:R1965"/>
    <mergeCell ref="S1964:T1965"/>
    <mergeCell ref="U1964:V1965"/>
    <mergeCell ref="W1964:W1965"/>
    <mergeCell ref="X1964:AB1964"/>
    <mergeCell ref="AD1964:AI1964"/>
    <mergeCell ref="AJ1964:AL1964"/>
    <mergeCell ref="AN1964:AO1964"/>
    <mergeCell ref="AP1964:AQ1964"/>
    <mergeCell ref="AR1964:AS1965"/>
    <mergeCell ref="AT1964:AU1965"/>
    <mergeCell ref="AV1964:AW1965"/>
    <mergeCell ref="AX1964:AY1965"/>
    <mergeCell ref="AZ1964:AZ1965"/>
    <mergeCell ref="F1965:H1965"/>
    <mergeCell ref="X1965:AB1965"/>
    <mergeCell ref="AE1965:AI1965"/>
    <mergeCell ref="AJ1965:AL1965"/>
    <mergeCell ref="AN1965:AO1965"/>
    <mergeCell ref="AP1965:AQ1965"/>
    <mergeCell ref="A1966:A1967"/>
    <mergeCell ref="E1966:E1967"/>
    <mergeCell ref="F1966:H1966"/>
    <mergeCell ref="J1966:J1967"/>
    <mergeCell ref="K1966:L1967"/>
    <mergeCell ref="M1966:N1967"/>
    <mergeCell ref="O1966:P1967"/>
    <mergeCell ref="Q1966:R1967"/>
    <mergeCell ref="S1966:T1967"/>
    <mergeCell ref="U1966:V1967"/>
    <mergeCell ref="W1966:W1967"/>
    <mergeCell ref="X1966:AB1966"/>
    <mergeCell ref="AD1966:AI1966"/>
    <mergeCell ref="AJ1966:AL1966"/>
    <mergeCell ref="AN1966:AO1966"/>
    <mergeCell ref="AP1966:AQ1966"/>
    <mergeCell ref="AR1966:AS1967"/>
    <mergeCell ref="AT1966:AU1967"/>
    <mergeCell ref="AV1966:AW1967"/>
    <mergeCell ref="AX1966:AY1967"/>
    <mergeCell ref="AZ1966:AZ1967"/>
    <mergeCell ref="F1967:H1967"/>
    <mergeCell ref="X1967:AB1967"/>
    <mergeCell ref="AE1967:AI1967"/>
    <mergeCell ref="AJ1967:AL1967"/>
    <mergeCell ref="AN1967:AO1967"/>
    <mergeCell ref="AP1967:AQ1967"/>
    <mergeCell ref="S1974:T1975"/>
    <mergeCell ref="U1974:V1975"/>
    <mergeCell ref="W1974:W1975"/>
    <mergeCell ref="X1974:AB1974"/>
    <mergeCell ref="AD1974:AI1974"/>
    <mergeCell ref="AJ1974:AL1974"/>
    <mergeCell ref="AN1974:AO1974"/>
    <mergeCell ref="AP1974:AQ1974"/>
    <mergeCell ref="AR1974:AS1975"/>
    <mergeCell ref="AT1974:AU1975"/>
    <mergeCell ref="AV1974:AW1975"/>
    <mergeCell ref="AX1974:AY1975"/>
    <mergeCell ref="AZ1974:AZ1975"/>
    <mergeCell ref="F1975:H1975"/>
    <mergeCell ref="X1975:AB1975"/>
    <mergeCell ref="AE1975:AI1975"/>
    <mergeCell ref="AJ1975:AL1975"/>
    <mergeCell ref="AN1975:AO1975"/>
    <mergeCell ref="AP1975:AQ1975"/>
    <mergeCell ref="A1972:A1973"/>
    <mergeCell ref="E1972:E1973"/>
    <mergeCell ref="F1972:H1972"/>
    <mergeCell ref="A1976:A1977"/>
    <mergeCell ref="E1976:E1977"/>
    <mergeCell ref="F1976:H1976"/>
    <mergeCell ref="J1976:J1977"/>
    <mergeCell ref="K1976:L1977"/>
    <mergeCell ref="M1976:N1977"/>
    <mergeCell ref="O1976:P1977"/>
    <mergeCell ref="Q1976:R1977"/>
    <mergeCell ref="S1976:T1977"/>
    <mergeCell ref="U1976:V1977"/>
    <mergeCell ref="W1976:W1977"/>
    <mergeCell ref="X1976:AB1976"/>
    <mergeCell ref="AD1976:AI1976"/>
    <mergeCell ref="AJ1976:AL1976"/>
    <mergeCell ref="AN1976:AO1976"/>
    <mergeCell ref="AP1976:AQ1976"/>
    <mergeCell ref="AR1976:AS1977"/>
    <mergeCell ref="AT1976:AU1977"/>
    <mergeCell ref="AV1976:AW1977"/>
    <mergeCell ref="AX1976:AY1977"/>
    <mergeCell ref="AZ1976:AZ1977"/>
    <mergeCell ref="F1977:H1977"/>
    <mergeCell ref="X1977:AB1977"/>
    <mergeCell ref="AE1977:AI1977"/>
    <mergeCell ref="AJ1977:AL1977"/>
    <mergeCell ref="AN1977:AO1977"/>
    <mergeCell ref="AP1977:AQ1977"/>
    <mergeCell ref="X1972:AB1972"/>
    <mergeCell ref="AD1972:AI1972"/>
    <mergeCell ref="AJ1972:AL1972"/>
    <mergeCell ref="AN1972:AO1972"/>
    <mergeCell ref="AP1972:AQ1972"/>
    <mergeCell ref="AR1972:AS1973"/>
    <mergeCell ref="AT1972:AU1973"/>
    <mergeCell ref="A1978:A1979"/>
    <mergeCell ref="E1978:E1979"/>
    <mergeCell ref="F1978:H1978"/>
    <mergeCell ref="J1978:J1979"/>
    <mergeCell ref="K1978:L1979"/>
    <mergeCell ref="M1978:N1979"/>
    <mergeCell ref="O1978:P1979"/>
    <mergeCell ref="Q1978:R1979"/>
    <mergeCell ref="S1978:T1979"/>
    <mergeCell ref="U1978:V1979"/>
    <mergeCell ref="W1978:W1979"/>
    <mergeCell ref="X1978:AB1978"/>
    <mergeCell ref="AD1978:AI1978"/>
    <mergeCell ref="AJ1978:AL1978"/>
    <mergeCell ref="AN1978:AO1978"/>
    <mergeCell ref="AP1978:AQ1978"/>
    <mergeCell ref="AR1978:AS1979"/>
    <mergeCell ref="AT1978:AU1979"/>
    <mergeCell ref="AV1978:AW1979"/>
    <mergeCell ref="AX1978:AY1979"/>
    <mergeCell ref="AZ1978:AZ1979"/>
    <mergeCell ref="F1979:H1979"/>
    <mergeCell ref="X1979:AB1979"/>
    <mergeCell ref="AE1979:AI1979"/>
    <mergeCell ref="AJ1979:AL1979"/>
    <mergeCell ref="AN1979:AO1979"/>
    <mergeCell ref="AP1979:AQ1979"/>
    <mergeCell ref="A1980:A1981"/>
    <mergeCell ref="E1980:E1981"/>
    <mergeCell ref="F1980:H1980"/>
    <mergeCell ref="J1980:J1981"/>
    <mergeCell ref="K1980:L1981"/>
    <mergeCell ref="M1980:N1981"/>
    <mergeCell ref="O1980:P1981"/>
    <mergeCell ref="Q1980:R1981"/>
    <mergeCell ref="S1980:T1981"/>
    <mergeCell ref="U1980:V1981"/>
    <mergeCell ref="W1980:W1981"/>
    <mergeCell ref="X1980:AB1980"/>
    <mergeCell ref="AD1980:AI1980"/>
    <mergeCell ref="AJ1980:AL1980"/>
    <mergeCell ref="AN1980:AO1980"/>
    <mergeCell ref="AP1980:AQ1980"/>
    <mergeCell ref="AR1980:AS1981"/>
    <mergeCell ref="AT1980:AU1981"/>
    <mergeCell ref="AV1980:AW1981"/>
    <mergeCell ref="AX1980:AY1981"/>
    <mergeCell ref="AZ1980:AZ1981"/>
    <mergeCell ref="F1981:H1981"/>
    <mergeCell ref="X1981:AB1981"/>
    <mergeCell ref="AE1981:AI1981"/>
    <mergeCell ref="AJ1981:AL1981"/>
    <mergeCell ref="AN1981:AO1981"/>
    <mergeCell ref="AP1981:AQ1981"/>
    <mergeCell ref="A1982:A1983"/>
    <mergeCell ref="E1982:E1983"/>
    <mergeCell ref="F1982:H1982"/>
    <mergeCell ref="J1982:J1983"/>
    <mergeCell ref="K1982:L1983"/>
    <mergeCell ref="M1982:N1983"/>
    <mergeCell ref="O1982:P1983"/>
    <mergeCell ref="Q1982:R1983"/>
    <mergeCell ref="S1982:T1983"/>
    <mergeCell ref="U1982:V1983"/>
    <mergeCell ref="W1982:W1983"/>
    <mergeCell ref="X1982:AB1982"/>
    <mergeCell ref="AD1982:AI1982"/>
    <mergeCell ref="AJ1982:AL1982"/>
    <mergeCell ref="AN1982:AO1982"/>
    <mergeCell ref="AP1982:AQ1982"/>
    <mergeCell ref="AR1982:AS1983"/>
    <mergeCell ref="AT1982:AU1983"/>
    <mergeCell ref="AV1982:AW1983"/>
    <mergeCell ref="AX1982:AY1983"/>
    <mergeCell ref="AZ1982:AZ1983"/>
    <mergeCell ref="F1983:H1983"/>
    <mergeCell ref="X1983:AB1983"/>
    <mergeCell ref="AE1983:AI1983"/>
    <mergeCell ref="AJ1983:AL1983"/>
    <mergeCell ref="AN1983:AO1983"/>
    <mergeCell ref="AP1983:AQ1983"/>
    <mergeCell ref="A1984:A1985"/>
    <mergeCell ref="E1984:E1985"/>
    <mergeCell ref="F1984:H1984"/>
    <mergeCell ref="J1984:J1985"/>
    <mergeCell ref="K1984:L1985"/>
    <mergeCell ref="M1984:N1985"/>
    <mergeCell ref="O1984:P1985"/>
    <mergeCell ref="Q1984:R1985"/>
    <mergeCell ref="S1984:T1985"/>
    <mergeCell ref="U1984:V1985"/>
    <mergeCell ref="W1984:W1985"/>
    <mergeCell ref="X1984:AB1984"/>
    <mergeCell ref="AD1984:AI1984"/>
    <mergeCell ref="AJ1984:AL1984"/>
    <mergeCell ref="AN1984:AO1984"/>
    <mergeCell ref="AP1984:AQ1984"/>
    <mergeCell ref="AR1984:AS1985"/>
    <mergeCell ref="AT1984:AU1985"/>
    <mergeCell ref="AV1984:AW1985"/>
    <mergeCell ref="AX1984:AY1985"/>
    <mergeCell ref="AZ1984:AZ1985"/>
    <mergeCell ref="F1985:H1985"/>
    <mergeCell ref="X1985:AB1985"/>
    <mergeCell ref="AE1985:AI1985"/>
    <mergeCell ref="AJ1985:AL1985"/>
    <mergeCell ref="AN1985:AO1985"/>
    <mergeCell ref="AP1985:AQ1985"/>
    <mergeCell ref="A1986:A1987"/>
    <mergeCell ref="E1986:E1987"/>
    <mergeCell ref="F1986:H1986"/>
    <mergeCell ref="J1986:J1987"/>
    <mergeCell ref="K1986:L1987"/>
    <mergeCell ref="M1986:N1987"/>
    <mergeCell ref="O1986:P1987"/>
    <mergeCell ref="Q1986:R1987"/>
    <mergeCell ref="S1986:T1987"/>
    <mergeCell ref="U1986:V1987"/>
    <mergeCell ref="W1986:W1987"/>
    <mergeCell ref="X1986:AB1986"/>
    <mergeCell ref="AD1986:AI1986"/>
    <mergeCell ref="AJ1986:AL1986"/>
    <mergeCell ref="AN1986:AO1986"/>
    <mergeCell ref="AP1986:AQ1986"/>
    <mergeCell ref="AR1986:AS1987"/>
    <mergeCell ref="AT1986:AU1987"/>
    <mergeCell ref="AV1986:AW1987"/>
    <mergeCell ref="AX1986:AY1987"/>
    <mergeCell ref="AZ1986:AZ1987"/>
    <mergeCell ref="F1987:H1987"/>
    <mergeCell ref="X1987:AB1987"/>
    <mergeCell ref="AE1987:AI1987"/>
    <mergeCell ref="AJ1987:AL1987"/>
    <mergeCell ref="AN1987:AO1987"/>
    <mergeCell ref="AP1987:AQ1987"/>
    <mergeCell ref="A1988:A1989"/>
    <mergeCell ref="E1988:E1989"/>
    <mergeCell ref="F1988:H1988"/>
    <mergeCell ref="J1988:J1989"/>
    <mergeCell ref="K1988:L1989"/>
    <mergeCell ref="M1988:N1989"/>
    <mergeCell ref="O1988:P1989"/>
    <mergeCell ref="Q1988:R1989"/>
    <mergeCell ref="S1988:T1989"/>
    <mergeCell ref="U1988:V1989"/>
    <mergeCell ref="W1988:W1989"/>
    <mergeCell ref="X1988:AB1988"/>
    <mergeCell ref="AD1988:AI1988"/>
    <mergeCell ref="AJ1988:AL1988"/>
    <mergeCell ref="AN1988:AO1988"/>
    <mergeCell ref="AP1988:AQ1988"/>
    <mergeCell ref="AR1988:AS1989"/>
    <mergeCell ref="AT1988:AU1989"/>
    <mergeCell ref="AV1988:AW1989"/>
    <mergeCell ref="AX1988:AY1989"/>
    <mergeCell ref="AZ1988:AZ1989"/>
    <mergeCell ref="F1989:H1989"/>
    <mergeCell ref="X1989:AB1989"/>
    <mergeCell ref="AE1989:AI1989"/>
    <mergeCell ref="AJ1989:AL1989"/>
    <mergeCell ref="AN1989:AO1989"/>
    <mergeCell ref="AP1989:AQ1989"/>
    <mergeCell ref="A1990:A1991"/>
    <mergeCell ref="E1990:E1991"/>
    <mergeCell ref="F1990:H1990"/>
    <mergeCell ref="J1990:J1991"/>
    <mergeCell ref="K1990:L1991"/>
    <mergeCell ref="M1990:N1991"/>
    <mergeCell ref="O1990:P1991"/>
    <mergeCell ref="Q1990:R1991"/>
    <mergeCell ref="S1990:T1991"/>
    <mergeCell ref="U1990:V1991"/>
    <mergeCell ref="W1990:W1991"/>
    <mergeCell ref="X1990:AB1990"/>
    <mergeCell ref="AD1990:AI1990"/>
    <mergeCell ref="AJ1990:AL1990"/>
    <mergeCell ref="AN1990:AO1990"/>
    <mergeCell ref="AP1990:AQ1990"/>
    <mergeCell ref="AR1990:AS1991"/>
    <mergeCell ref="AT1990:AU1991"/>
    <mergeCell ref="AV1990:AW1991"/>
    <mergeCell ref="AX1990:AY1991"/>
    <mergeCell ref="AZ1990:AZ1991"/>
    <mergeCell ref="F1991:H1991"/>
    <mergeCell ref="X1991:AB1991"/>
    <mergeCell ref="AE1991:AI1991"/>
    <mergeCell ref="AJ1991:AL1991"/>
    <mergeCell ref="AN1991:AO1991"/>
    <mergeCell ref="AP1991:AQ1991"/>
    <mergeCell ref="A1992:A1993"/>
    <mergeCell ref="E1992:E1993"/>
    <mergeCell ref="F1992:H1992"/>
    <mergeCell ref="J1992:J1993"/>
    <mergeCell ref="K1992:L1993"/>
    <mergeCell ref="M1992:N1993"/>
    <mergeCell ref="O1992:P1993"/>
    <mergeCell ref="Q1992:R1993"/>
    <mergeCell ref="S1992:T1993"/>
    <mergeCell ref="U1992:V1993"/>
    <mergeCell ref="W1992:W1993"/>
    <mergeCell ref="X1992:AB1992"/>
    <mergeCell ref="AD1992:AI1992"/>
    <mergeCell ref="AJ1992:AL1992"/>
    <mergeCell ref="AN1992:AO1992"/>
    <mergeCell ref="AP1992:AQ1992"/>
    <mergeCell ref="AR1992:AS1993"/>
    <mergeCell ref="AT1992:AU1993"/>
    <mergeCell ref="AV1992:AW1993"/>
    <mergeCell ref="AX1992:AY1993"/>
    <mergeCell ref="AZ1992:AZ1993"/>
    <mergeCell ref="F1993:H1993"/>
    <mergeCell ref="X1993:AB1993"/>
    <mergeCell ref="AE1993:AI1993"/>
    <mergeCell ref="AJ1993:AL1993"/>
    <mergeCell ref="AN1993:AO1993"/>
    <mergeCell ref="AP1993:AQ1993"/>
    <mergeCell ref="A1994:A1995"/>
    <mergeCell ref="E1994:E1995"/>
    <mergeCell ref="F1994:H1994"/>
    <mergeCell ref="J1994:J1995"/>
    <mergeCell ref="K1994:L1995"/>
    <mergeCell ref="M1994:N1995"/>
    <mergeCell ref="O1994:P1995"/>
    <mergeCell ref="Q1994:R1995"/>
    <mergeCell ref="S1994:T1995"/>
    <mergeCell ref="U1994:V1995"/>
    <mergeCell ref="W1994:W1995"/>
    <mergeCell ref="X1994:AB1994"/>
    <mergeCell ref="AD1994:AI1994"/>
    <mergeCell ref="AJ1994:AL1994"/>
    <mergeCell ref="AN1994:AO1994"/>
    <mergeCell ref="AP1994:AQ1994"/>
    <mergeCell ref="AR1994:AS1995"/>
    <mergeCell ref="AT1994:AU1995"/>
    <mergeCell ref="AV1994:AW1995"/>
    <mergeCell ref="AX1994:AY1995"/>
    <mergeCell ref="AZ1994:AZ1995"/>
    <mergeCell ref="F1995:H1995"/>
    <mergeCell ref="X1995:AB1995"/>
    <mergeCell ref="AE1995:AI1995"/>
    <mergeCell ref="AJ1995:AL1995"/>
    <mergeCell ref="AN1995:AO1995"/>
    <mergeCell ref="AP1995:AQ1995"/>
    <mergeCell ref="A1996:A1997"/>
    <mergeCell ref="E1996:E1997"/>
    <mergeCell ref="F1996:H1996"/>
    <mergeCell ref="J1996:J1997"/>
    <mergeCell ref="K1996:L1997"/>
    <mergeCell ref="M1996:N1997"/>
    <mergeCell ref="O1996:P1997"/>
    <mergeCell ref="Q1996:R1997"/>
    <mergeCell ref="S1996:T1997"/>
    <mergeCell ref="U1996:V1997"/>
    <mergeCell ref="W1996:W1997"/>
    <mergeCell ref="X1996:AB1996"/>
    <mergeCell ref="AD1996:AI1996"/>
    <mergeCell ref="AJ1996:AL1996"/>
    <mergeCell ref="AN1996:AO1996"/>
    <mergeCell ref="AP1996:AQ1996"/>
    <mergeCell ref="AR1996:AS1997"/>
    <mergeCell ref="AT1996:AU1997"/>
    <mergeCell ref="AV1996:AW1997"/>
    <mergeCell ref="AX1996:AY1997"/>
    <mergeCell ref="AZ1996:AZ1997"/>
    <mergeCell ref="F1997:H1997"/>
    <mergeCell ref="X1997:AB1997"/>
    <mergeCell ref="AE1997:AI1997"/>
    <mergeCell ref="AJ1997:AL1997"/>
    <mergeCell ref="AN1997:AO1997"/>
    <mergeCell ref="AP1997:AQ1997"/>
    <mergeCell ref="A1998:A1999"/>
    <mergeCell ref="E1998:E1999"/>
    <mergeCell ref="F1998:H1998"/>
    <mergeCell ref="J1998:J1999"/>
    <mergeCell ref="K1998:L1999"/>
    <mergeCell ref="M1998:N1999"/>
    <mergeCell ref="O1998:P1999"/>
    <mergeCell ref="Q1998:R1999"/>
    <mergeCell ref="S1998:T1999"/>
    <mergeCell ref="U1998:V1999"/>
    <mergeCell ref="W1998:W1999"/>
    <mergeCell ref="X1998:AB1998"/>
    <mergeCell ref="AD1998:AI1998"/>
    <mergeCell ref="AJ1998:AL1998"/>
    <mergeCell ref="AN1998:AO1998"/>
    <mergeCell ref="AP1998:AQ1998"/>
    <mergeCell ref="AR1998:AS1999"/>
    <mergeCell ref="AT1998:AU1999"/>
    <mergeCell ref="AV1998:AW1999"/>
    <mergeCell ref="AX1998:AY1999"/>
    <mergeCell ref="AZ1998:AZ1999"/>
    <mergeCell ref="F1999:H1999"/>
    <mergeCell ref="X1999:AB1999"/>
    <mergeCell ref="AE1999:AI1999"/>
    <mergeCell ref="AJ1999:AL1999"/>
    <mergeCell ref="AN1999:AO1999"/>
    <mergeCell ref="AP1999:AQ1999"/>
    <mergeCell ref="A2000:A2001"/>
    <mergeCell ref="E2000:E2001"/>
    <mergeCell ref="F2000:H2000"/>
    <mergeCell ref="J2000:J2001"/>
    <mergeCell ref="K2000:L2001"/>
    <mergeCell ref="M2000:N2001"/>
    <mergeCell ref="O2000:P2001"/>
    <mergeCell ref="Q2000:R2001"/>
    <mergeCell ref="S2000:T2001"/>
    <mergeCell ref="U2000:V2001"/>
    <mergeCell ref="W2000:W2001"/>
    <mergeCell ref="X2000:AB2000"/>
    <mergeCell ref="AD2000:AI2000"/>
    <mergeCell ref="AJ2000:AL2000"/>
    <mergeCell ref="AN2000:AO2000"/>
    <mergeCell ref="AP2000:AQ2000"/>
    <mergeCell ref="AR2000:AS2001"/>
    <mergeCell ref="AT2000:AU2001"/>
    <mergeCell ref="AV2000:AW2001"/>
    <mergeCell ref="AX2000:AY2001"/>
    <mergeCell ref="AZ2000:AZ2001"/>
    <mergeCell ref="F2001:H2001"/>
    <mergeCell ref="X2001:AB2001"/>
    <mergeCell ref="AE2001:AI2001"/>
    <mergeCell ref="AJ2001:AL2001"/>
    <mergeCell ref="AN2001:AO2001"/>
    <mergeCell ref="AP2001:AQ2001"/>
    <mergeCell ref="A2002:A2003"/>
    <mergeCell ref="E2002:E2003"/>
    <mergeCell ref="F2002:H2002"/>
    <mergeCell ref="J2002:J2003"/>
    <mergeCell ref="K2002:L2003"/>
    <mergeCell ref="M2002:N2003"/>
    <mergeCell ref="O2002:P2003"/>
    <mergeCell ref="Q2002:R2003"/>
    <mergeCell ref="S2002:T2003"/>
    <mergeCell ref="U2002:V2003"/>
    <mergeCell ref="W2002:W2003"/>
    <mergeCell ref="X2002:AB2002"/>
    <mergeCell ref="AD2002:AI2002"/>
    <mergeCell ref="AJ2002:AL2002"/>
    <mergeCell ref="AN2002:AO2002"/>
    <mergeCell ref="AP2002:AQ2002"/>
    <mergeCell ref="AR2002:AS2003"/>
    <mergeCell ref="AT2002:AU2003"/>
    <mergeCell ref="AV2002:AW2003"/>
    <mergeCell ref="AX2002:AY2003"/>
    <mergeCell ref="AZ2002:AZ2003"/>
    <mergeCell ref="F2003:H2003"/>
    <mergeCell ref="X2003:AB2003"/>
    <mergeCell ref="AE2003:AI2003"/>
    <mergeCell ref="AJ2003:AL2003"/>
    <mergeCell ref="AN2003:AO2003"/>
    <mergeCell ref="AP2003:AQ2003"/>
    <mergeCell ref="A2004:A2005"/>
    <mergeCell ref="E2004:E2005"/>
    <mergeCell ref="F2004:H2004"/>
    <mergeCell ref="J2004:J2005"/>
    <mergeCell ref="K2004:L2005"/>
    <mergeCell ref="M2004:N2005"/>
    <mergeCell ref="O2004:P2005"/>
    <mergeCell ref="Q2004:R2005"/>
    <mergeCell ref="S2004:T2005"/>
    <mergeCell ref="U2004:V2005"/>
    <mergeCell ref="W2004:W2005"/>
    <mergeCell ref="X2004:AB2004"/>
    <mergeCell ref="AD2004:AI2004"/>
    <mergeCell ref="AJ2004:AL2004"/>
    <mergeCell ref="AN2004:AO2004"/>
    <mergeCell ref="AP2004:AQ2004"/>
    <mergeCell ref="AR2004:AS2005"/>
    <mergeCell ref="AT2004:AU2005"/>
    <mergeCell ref="AV2004:AW2005"/>
    <mergeCell ref="AX2004:AY2005"/>
    <mergeCell ref="AZ2004:AZ2005"/>
    <mergeCell ref="F2005:H2005"/>
    <mergeCell ref="X2005:AB2005"/>
    <mergeCell ref="AE2005:AI2005"/>
    <mergeCell ref="AJ2005:AL2005"/>
    <mergeCell ref="AN2005:AO2005"/>
    <mergeCell ref="AP2005:AQ2005"/>
    <mergeCell ref="A2006:A2007"/>
    <mergeCell ref="E2006:E2007"/>
    <mergeCell ref="F2006:H2006"/>
    <mergeCell ref="J2006:J2007"/>
    <mergeCell ref="K2006:L2007"/>
    <mergeCell ref="M2006:N2007"/>
    <mergeCell ref="O2006:P2007"/>
    <mergeCell ref="Q2006:R2007"/>
    <mergeCell ref="S2006:T2007"/>
    <mergeCell ref="U2006:V2007"/>
    <mergeCell ref="W2006:W2007"/>
    <mergeCell ref="X2006:AB2006"/>
    <mergeCell ref="AD2006:AI2006"/>
    <mergeCell ref="AJ2006:AL2006"/>
    <mergeCell ref="AN2006:AO2006"/>
    <mergeCell ref="AP2006:AQ2006"/>
    <mergeCell ref="AR2006:AS2007"/>
    <mergeCell ref="AT2006:AU2007"/>
    <mergeCell ref="AV2006:AW2007"/>
    <mergeCell ref="AX2006:AY2007"/>
    <mergeCell ref="AZ2006:AZ2007"/>
    <mergeCell ref="F2007:H2007"/>
    <mergeCell ref="X2007:AB2007"/>
    <mergeCell ref="AE2007:AI2007"/>
    <mergeCell ref="AJ2007:AL2007"/>
    <mergeCell ref="AN2007:AO2007"/>
    <mergeCell ref="AP2007:AQ2007"/>
    <mergeCell ref="A2008:A2009"/>
    <mergeCell ref="E2008:E2009"/>
    <mergeCell ref="F2008:H2008"/>
    <mergeCell ref="J2008:J2009"/>
    <mergeCell ref="K2008:L2009"/>
    <mergeCell ref="M2008:N2009"/>
    <mergeCell ref="O2008:P2009"/>
    <mergeCell ref="Q2008:R2009"/>
    <mergeCell ref="S2008:T2009"/>
    <mergeCell ref="U2008:V2009"/>
    <mergeCell ref="W2008:W2009"/>
    <mergeCell ref="X2008:AB2008"/>
    <mergeCell ref="AD2008:AI2008"/>
    <mergeCell ref="AJ2008:AL2008"/>
    <mergeCell ref="AN2008:AO2008"/>
    <mergeCell ref="AP2008:AQ2008"/>
    <mergeCell ref="AR2008:AS2009"/>
    <mergeCell ref="AT2008:AU2009"/>
    <mergeCell ref="AV2008:AW2009"/>
    <mergeCell ref="AX2008:AY2009"/>
    <mergeCell ref="AZ2008:AZ2009"/>
    <mergeCell ref="F2009:H2009"/>
    <mergeCell ref="X2009:AB2009"/>
    <mergeCell ref="AE2009:AI2009"/>
    <mergeCell ref="AJ2009:AL2009"/>
    <mergeCell ref="AN2009:AO2009"/>
    <mergeCell ref="AP2009:AQ2009"/>
    <mergeCell ref="A2010:A2011"/>
    <mergeCell ref="E2010:E2011"/>
    <mergeCell ref="F2010:H2010"/>
    <mergeCell ref="J2010:J2011"/>
    <mergeCell ref="K2010:L2011"/>
    <mergeCell ref="M2010:N2011"/>
    <mergeCell ref="O2010:P2011"/>
    <mergeCell ref="Q2010:R2011"/>
    <mergeCell ref="S2010:T2011"/>
    <mergeCell ref="U2010:V2011"/>
    <mergeCell ref="W2010:W2011"/>
    <mergeCell ref="X2010:AB2010"/>
    <mergeCell ref="AD2010:AI2010"/>
    <mergeCell ref="AJ2010:AL2010"/>
    <mergeCell ref="AN2010:AO2010"/>
    <mergeCell ref="AP2010:AQ2010"/>
    <mergeCell ref="AR2010:AS2011"/>
    <mergeCell ref="AT2010:AU2011"/>
    <mergeCell ref="AV2010:AW2011"/>
    <mergeCell ref="AX2010:AY2011"/>
    <mergeCell ref="AZ2010:AZ2011"/>
    <mergeCell ref="F2011:H2011"/>
    <mergeCell ref="X2011:AB2011"/>
    <mergeCell ref="AE2011:AI2011"/>
    <mergeCell ref="AJ2011:AL2011"/>
    <mergeCell ref="AN2011:AO2011"/>
    <mergeCell ref="AP2011:AQ2011"/>
    <mergeCell ref="A2012:A2013"/>
    <mergeCell ref="E2012:E2013"/>
    <mergeCell ref="F2012:H2012"/>
    <mergeCell ref="J2012:J2013"/>
    <mergeCell ref="K2012:L2013"/>
    <mergeCell ref="M2012:N2013"/>
    <mergeCell ref="O2012:P2013"/>
    <mergeCell ref="Q2012:R2013"/>
    <mergeCell ref="S2012:T2013"/>
    <mergeCell ref="U2012:V2013"/>
    <mergeCell ref="W2012:W2013"/>
    <mergeCell ref="X2012:AB2012"/>
    <mergeCell ref="AD2012:AI2012"/>
    <mergeCell ref="AJ2012:AL2012"/>
    <mergeCell ref="AN2012:AO2012"/>
    <mergeCell ref="AP2012:AQ2012"/>
    <mergeCell ref="AR2012:AS2013"/>
    <mergeCell ref="AT2012:AU2013"/>
    <mergeCell ref="AV2012:AW2013"/>
    <mergeCell ref="AX2012:AY2013"/>
    <mergeCell ref="AZ2012:AZ2013"/>
    <mergeCell ref="F2013:H2013"/>
    <mergeCell ref="X2013:AB2013"/>
    <mergeCell ref="AE2013:AI2013"/>
    <mergeCell ref="AJ2013:AL2013"/>
    <mergeCell ref="AN2013:AO2013"/>
    <mergeCell ref="AP2013:AQ2013"/>
    <mergeCell ref="A2014:A2015"/>
    <mergeCell ref="E2014:E2015"/>
    <mergeCell ref="F2014:H2014"/>
    <mergeCell ref="J2014:J2015"/>
    <mergeCell ref="K2014:L2015"/>
    <mergeCell ref="M2014:N2015"/>
    <mergeCell ref="O2014:P2015"/>
    <mergeCell ref="Q2014:R2015"/>
    <mergeCell ref="S2014:T2015"/>
    <mergeCell ref="U2014:V2015"/>
    <mergeCell ref="W2014:W2015"/>
    <mergeCell ref="X2014:AB2014"/>
    <mergeCell ref="AD2014:AI2014"/>
    <mergeCell ref="AJ2014:AL2014"/>
    <mergeCell ref="AN2014:AO2014"/>
    <mergeCell ref="AP2014:AQ2014"/>
    <mergeCell ref="AR2014:AS2015"/>
    <mergeCell ref="AT2014:AU2015"/>
    <mergeCell ref="AV2014:AW2015"/>
    <mergeCell ref="AX2014:AY2015"/>
    <mergeCell ref="AZ2014:AZ2015"/>
    <mergeCell ref="F2015:H2015"/>
    <mergeCell ref="X2015:AB2015"/>
    <mergeCell ref="AE2015:AI2015"/>
    <mergeCell ref="AJ2015:AL2015"/>
    <mergeCell ref="AN2015:AO2015"/>
    <mergeCell ref="AP2015:AQ2015"/>
    <mergeCell ref="A2016:A2017"/>
    <mergeCell ref="E2016:E2017"/>
    <mergeCell ref="F2016:H2016"/>
    <mergeCell ref="J2016:J2017"/>
    <mergeCell ref="K2016:L2017"/>
    <mergeCell ref="M2016:N2017"/>
    <mergeCell ref="O2016:P2017"/>
    <mergeCell ref="Q2016:R2017"/>
    <mergeCell ref="S2016:T2017"/>
    <mergeCell ref="U2016:V2017"/>
    <mergeCell ref="W2016:W2017"/>
    <mergeCell ref="X2016:AB2016"/>
    <mergeCell ref="AD2016:AI2016"/>
    <mergeCell ref="AJ2016:AL2016"/>
    <mergeCell ref="AN2016:AO2016"/>
    <mergeCell ref="AP2016:AQ2016"/>
    <mergeCell ref="AR2016:AS2017"/>
    <mergeCell ref="AT2016:AU2017"/>
    <mergeCell ref="AV2016:AW2017"/>
    <mergeCell ref="AX2016:AY2017"/>
    <mergeCell ref="AZ2016:AZ2017"/>
    <mergeCell ref="F2017:H2017"/>
    <mergeCell ref="X2017:AB2017"/>
    <mergeCell ref="AE2017:AI2017"/>
    <mergeCell ref="AJ2017:AL2017"/>
    <mergeCell ref="AN2017:AO2017"/>
    <mergeCell ref="AP2017:AQ2017"/>
    <mergeCell ref="A2018:A2019"/>
    <mergeCell ref="E2018:E2019"/>
    <mergeCell ref="F2018:H2018"/>
    <mergeCell ref="J2018:J2019"/>
    <mergeCell ref="K2018:L2019"/>
    <mergeCell ref="M2018:N2019"/>
    <mergeCell ref="O2018:P2019"/>
    <mergeCell ref="Q2018:R2019"/>
    <mergeCell ref="S2018:T2019"/>
    <mergeCell ref="U2018:V2019"/>
    <mergeCell ref="W2018:W2019"/>
    <mergeCell ref="X2018:AB2018"/>
    <mergeCell ref="AD2018:AI2018"/>
    <mergeCell ref="AJ2018:AL2018"/>
    <mergeCell ref="AN2018:AO2018"/>
    <mergeCell ref="AP2018:AQ2018"/>
    <mergeCell ref="AR2018:AS2019"/>
    <mergeCell ref="AT2018:AU2019"/>
    <mergeCell ref="AV2018:AW2019"/>
    <mergeCell ref="AX2018:AY2019"/>
    <mergeCell ref="AZ2018:AZ2019"/>
    <mergeCell ref="F2019:H2019"/>
    <mergeCell ref="X2019:AB2019"/>
    <mergeCell ref="AE2019:AI2019"/>
    <mergeCell ref="AJ2019:AL2019"/>
    <mergeCell ref="AN2019:AO2019"/>
    <mergeCell ref="AP2019:AQ2019"/>
    <mergeCell ref="A2020:A2021"/>
    <mergeCell ref="E2020:E2021"/>
    <mergeCell ref="F2020:H2020"/>
    <mergeCell ref="J2020:J2021"/>
    <mergeCell ref="K2020:L2021"/>
    <mergeCell ref="M2020:N2021"/>
    <mergeCell ref="O2020:P2021"/>
    <mergeCell ref="Q2020:R2021"/>
    <mergeCell ref="S2020:T2021"/>
    <mergeCell ref="U2020:V2021"/>
    <mergeCell ref="W2020:W2021"/>
    <mergeCell ref="X2020:AB2020"/>
    <mergeCell ref="AD2020:AI2020"/>
    <mergeCell ref="AJ2020:AL2020"/>
    <mergeCell ref="AN2020:AO2020"/>
    <mergeCell ref="AP2020:AQ2020"/>
    <mergeCell ref="AR2020:AS2021"/>
    <mergeCell ref="AT2020:AU2021"/>
    <mergeCell ref="AV2020:AW2021"/>
    <mergeCell ref="AX2020:AY2021"/>
    <mergeCell ref="AZ2020:AZ2021"/>
    <mergeCell ref="F2021:H2021"/>
    <mergeCell ref="X2021:AB2021"/>
    <mergeCell ref="AE2021:AI2021"/>
    <mergeCell ref="AJ2021:AL2021"/>
    <mergeCell ref="AN2021:AO2021"/>
    <mergeCell ref="AP2021:AQ2021"/>
    <mergeCell ref="A2022:A2023"/>
    <mergeCell ref="E2022:E2023"/>
    <mergeCell ref="F2022:H2022"/>
    <mergeCell ref="J2022:J2023"/>
    <mergeCell ref="K2022:L2023"/>
    <mergeCell ref="M2022:N2023"/>
    <mergeCell ref="O2022:P2023"/>
    <mergeCell ref="Q2022:R2023"/>
    <mergeCell ref="S2022:T2023"/>
    <mergeCell ref="U2022:V2023"/>
    <mergeCell ref="W2022:W2023"/>
    <mergeCell ref="X2022:AB2022"/>
    <mergeCell ref="AD2022:AI2022"/>
    <mergeCell ref="AJ2022:AL2022"/>
    <mergeCell ref="AN2022:AO2022"/>
    <mergeCell ref="AP2022:AQ2022"/>
    <mergeCell ref="AR2022:AS2023"/>
    <mergeCell ref="AT2022:AU2023"/>
    <mergeCell ref="AV2022:AW2023"/>
    <mergeCell ref="AX2022:AY2023"/>
    <mergeCell ref="AZ2022:AZ2023"/>
    <mergeCell ref="F2023:H2023"/>
    <mergeCell ref="X2023:AB2023"/>
    <mergeCell ref="AE2023:AI2023"/>
    <mergeCell ref="AJ2023:AL2023"/>
    <mergeCell ref="AN2023:AO2023"/>
    <mergeCell ref="AP2023:AQ2023"/>
    <mergeCell ref="A2024:A2025"/>
    <mergeCell ref="E2024:E2025"/>
    <mergeCell ref="F2024:H2024"/>
    <mergeCell ref="J2024:J2025"/>
    <mergeCell ref="K2024:L2025"/>
    <mergeCell ref="M2024:N2025"/>
    <mergeCell ref="O2024:P2025"/>
    <mergeCell ref="Q2024:R2025"/>
    <mergeCell ref="S2024:T2025"/>
    <mergeCell ref="U2024:V2025"/>
    <mergeCell ref="W2024:W2025"/>
    <mergeCell ref="X2024:AB2024"/>
    <mergeCell ref="AD2024:AI2024"/>
    <mergeCell ref="AJ2024:AL2024"/>
    <mergeCell ref="AN2024:AO2024"/>
    <mergeCell ref="AP2024:AQ2024"/>
    <mergeCell ref="AR2024:AS2025"/>
    <mergeCell ref="AT2024:AU2025"/>
    <mergeCell ref="AV2024:AW2025"/>
    <mergeCell ref="AX2024:AY2025"/>
    <mergeCell ref="AZ2024:AZ2025"/>
    <mergeCell ref="F2025:H2025"/>
    <mergeCell ref="X2025:AB2025"/>
    <mergeCell ref="AE2025:AI2025"/>
    <mergeCell ref="AJ2025:AL2025"/>
    <mergeCell ref="AN2025:AO2025"/>
    <mergeCell ref="AP2025:AQ2025"/>
    <mergeCell ref="A2026:A2027"/>
    <mergeCell ref="E2026:E2027"/>
    <mergeCell ref="F2026:H2026"/>
    <mergeCell ref="J2026:J2027"/>
    <mergeCell ref="K2026:L2027"/>
    <mergeCell ref="M2026:N2027"/>
    <mergeCell ref="O2026:P2027"/>
    <mergeCell ref="Q2026:R2027"/>
    <mergeCell ref="S2026:T2027"/>
    <mergeCell ref="U2026:V2027"/>
    <mergeCell ref="W2026:W2027"/>
    <mergeCell ref="X2026:AB2026"/>
    <mergeCell ref="AD2026:AI2026"/>
    <mergeCell ref="AJ2026:AL2026"/>
    <mergeCell ref="AN2026:AO2026"/>
    <mergeCell ref="AP2026:AQ2026"/>
    <mergeCell ref="AR2026:AS2027"/>
    <mergeCell ref="AT2026:AU2027"/>
    <mergeCell ref="AV2026:AW2027"/>
    <mergeCell ref="AX2026:AY2027"/>
    <mergeCell ref="AZ2026:AZ2027"/>
    <mergeCell ref="F2027:H2027"/>
    <mergeCell ref="X2027:AB2027"/>
    <mergeCell ref="AE2027:AI2027"/>
    <mergeCell ref="AJ2027:AL2027"/>
    <mergeCell ref="AN2027:AO2027"/>
    <mergeCell ref="AP2027:AQ2027"/>
    <mergeCell ref="A2028:A2029"/>
    <mergeCell ref="E2028:E2029"/>
    <mergeCell ref="F2028:H2028"/>
    <mergeCell ref="J2028:J2029"/>
    <mergeCell ref="K2028:L2029"/>
    <mergeCell ref="M2028:N2029"/>
    <mergeCell ref="O2028:P2029"/>
    <mergeCell ref="Q2028:R2029"/>
    <mergeCell ref="S2028:T2029"/>
    <mergeCell ref="U2028:V2029"/>
    <mergeCell ref="W2028:W2029"/>
    <mergeCell ref="X2028:AB2028"/>
    <mergeCell ref="AD2028:AI2028"/>
    <mergeCell ref="AJ2028:AL2028"/>
    <mergeCell ref="AN2028:AO2028"/>
    <mergeCell ref="AP2028:AQ2028"/>
    <mergeCell ref="AR2028:AS2029"/>
    <mergeCell ref="AT2028:AU2029"/>
    <mergeCell ref="AV2028:AW2029"/>
    <mergeCell ref="AX2028:AY2029"/>
    <mergeCell ref="AZ2028:AZ2029"/>
    <mergeCell ref="F2029:H2029"/>
    <mergeCell ref="X2029:AB2029"/>
    <mergeCell ref="AE2029:AI2029"/>
    <mergeCell ref="AJ2029:AL2029"/>
    <mergeCell ref="AN2029:AO2029"/>
    <mergeCell ref="AP2029:AQ2029"/>
    <mergeCell ref="A2030:A2031"/>
    <mergeCell ref="E2030:E2031"/>
    <mergeCell ref="F2030:H2030"/>
    <mergeCell ref="J2030:J2031"/>
    <mergeCell ref="K2030:L2031"/>
    <mergeCell ref="M2030:N2031"/>
    <mergeCell ref="O2030:P2031"/>
    <mergeCell ref="Q2030:R2031"/>
    <mergeCell ref="S2030:T2031"/>
    <mergeCell ref="U2030:V2031"/>
    <mergeCell ref="W2030:W2031"/>
    <mergeCell ref="X2030:AB2030"/>
    <mergeCell ref="AD2030:AI2030"/>
    <mergeCell ref="AJ2030:AL2030"/>
    <mergeCell ref="AN2030:AO2030"/>
    <mergeCell ref="AP2030:AQ2030"/>
    <mergeCell ref="AR2030:AS2031"/>
    <mergeCell ref="AT2030:AU2031"/>
    <mergeCell ref="AV2030:AW2031"/>
    <mergeCell ref="AX2030:AY2031"/>
    <mergeCell ref="AZ2030:AZ2031"/>
    <mergeCell ref="F2031:H2031"/>
    <mergeCell ref="X2031:AB2031"/>
    <mergeCell ref="AE2031:AI2031"/>
    <mergeCell ref="AJ2031:AL2031"/>
    <mergeCell ref="AN2031:AO2031"/>
    <mergeCell ref="AP2031:AQ2031"/>
    <mergeCell ref="A2032:A2033"/>
    <mergeCell ref="E2032:E2033"/>
    <mergeCell ref="F2032:H2032"/>
    <mergeCell ref="J2032:J2033"/>
    <mergeCell ref="K2032:L2033"/>
    <mergeCell ref="M2032:N2033"/>
    <mergeCell ref="O2032:P2033"/>
    <mergeCell ref="Q2032:R2033"/>
    <mergeCell ref="S2032:T2033"/>
    <mergeCell ref="U2032:V2033"/>
    <mergeCell ref="W2032:W2033"/>
    <mergeCell ref="X2032:AB2032"/>
    <mergeCell ref="AD2032:AI2032"/>
    <mergeCell ref="AJ2032:AL2032"/>
    <mergeCell ref="AN2032:AO2032"/>
    <mergeCell ref="AP2032:AQ2032"/>
    <mergeCell ref="AR2032:AS2033"/>
    <mergeCell ref="AT2032:AU2033"/>
    <mergeCell ref="AV2032:AW2033"/>
    <mergeCell ref="AX2032:AY2033"/>
    <mergeCell ref="AZ2032:AZ2033"/>
    <mergeCell ref="F2033:H2033"/>
    <mergeCell ref="X2033:AB2033"/>
    <mergeCell ref="AE2033:AI2033"/>
    <mergeCell ref="AJ2033:AL2033"/>
    <mergeCell ref="AN2033:AO2033"/>
    <mergeCell ref="AP2033:AQ2033"/>
    <mergeCell ref="A2034:A2035"/>
    <mergeCell ref="E2034:E2035"/>
    <mergeCell ref="F2034:H2034"/>
    <mergeCell ref="J2034:J2035"/>
    <mergeCell ref="K2034:L2035"/>
    <mergeCell ref="M2034:N2035"/>
    <mergeCell ref="O2034:P2035"/>
    <mergeCell ref="Q2034:R2035"/>
    <mergeCell ref="S2034:T2035"/>
    <mergeCell ref="U2034:V2035"/>
    <mergeCell ref="W2034:W2035"/>
    <mergeCell ref="X2034:AB2034"/>
    <mergeCell ref="AD2034:AI2034"/>
    <mergeCell ref="AJ2034:AL2034"/>
    <mergeCell ref="AN2034:AO2034"/>
    <mergeCell ref="AP2034:AQ2034"/>
    <mergeCell ref="AR2034:AS2035"/>
    <mergeCell ref="AT2034:AU2035"/>
    <mergeCell ref="AV2034:AW2035"/>
    <mergeCell ref="AX2034:AY2035"/>
    <mergeCell ref="AZ2034:AZ2035"/>
    <mergeCell ref="F2035:H2035"/>
    <mergeCell ref="X2035:AB2035"/>
    <mergeCell ref="AE2035:AI2035"/>
    <mergeCell ref="AJ2035:AL2035"/>
    <mergeCell ref="AN2035:AO2035"/>
    <mergeCell ref="AP2035:AQ2035"/>
    <mergeCell ref="A2036:A2037"/>
    <mergeCell ref="E2036:E2037"/>
    <mergeCell ref="F2036:H2036"/>
    <mergeCell ref="J2036:J2037"/>
    <mergeCell ref="K2036:L2037"/>
    <mergeCell ref="M2036:N2037"/>
    <mergeCell ref="O2036:P2037"/>
    <mergeCell ref="Q2036:R2037"/>
    <mergeCell ref="S2036:T2037"/>
    <mergeCell ref="U2036:V2037"/>
    <mergeCell ref="W2036:W2037"/>
    <mergeCell ref="X2036:AB2036"/>
    <mergeCell ref="AD2036:AI2036"/>
    <mergeCell ref="AJ2036:AL2036"/>
    <mergeCell ref="AN2036:AO2036"/>
    <mergeCell ref="AP2036:AQ2036"/>
    <mergeCell ref="AR2036:AS2037"/>
    <mergeCell ref="AT2036:AU2037"/>
    <mergeCell ref="AV2036:AW2037"/>
    <mergeCell ref="AX2036:AY2037"/>
    <mergeCell ref="AZ2036:AZ2037"/>
    <mergeCell ref="F2037:H2037"/>
    <mergeCell ref="X2037:AB2037"/>
    <mergeCell ref="AE2037:AI2037"/>
    <mergeCell ref="AJ2037:AL2037"/>
    <mergeCell ref="AN2037:AO2037"/>
    <mergeCell ref="AP2037:AQ2037"/>
    <mergeCell ref="A2038:A2039"/>
    <mergeCell ref="E2038:E2039"/>
    <mergeCell ref="F2038:H2038"/>
    <mergeCell ref="J2038:J2039"/>
    <mergeCell ref="K2038:L2039"/>
    <mergeCell ref="M2038:N2039"/>
    <mergeCell ref="O2038:P2039"/>
    <mergeCell ref="Q2038:R2039"/>
    <mergeCell ref="S2038:T2039"/>
    <mergeCell ref="U2038:V2039"/>
    <mergeCell ref="W2038:W2039"/>
    <mergeCell ref="X2038:AB2038"/>
    <mergeCell ref="AD2038:AI2038"/>
    <mergeCell ref="AJ2038:AL2038"/>
    <mergeCell ref="AN2038:AO2038"/>
    <mergeCell ref="AP2038:AQ2038"/>
    <mergeCell ref="AR2038:AS2039"/>
    <mergeCell ref="AT2038:AU2039"/>
    <mergeCell ref="AV2038:AW2039"/>
    <mergeCell ref="AX2038:AY2039"/>
    <mergeCell ref="AZ2038:AZ2039"/>
    <mergeCell ref="F2039:H2039"/>
    <mergeCell ref="X2039:AB2039"/>
    <mergeCell ref="AE2039:AI2039"/>
    <mergeCell ref="AJ2039:AL2039"/>
    <mergeCell ref="AN2039:AO2039"/>
    <mergeCell ref="AP2039:AQ2039"/>
    <mergeCell ref="A2040:A2041"/>
    <mergeCell ref="E2040:E2041"/>
    <mergeCell ref="F2040:H2040"/>
    <mergeCell ref="J2040:J2041"/>
    <mergeCell ref="K2040:L2041"/>
    <mergeCell ref="M2040:N2041"/>
    <mergeCell ref="O2040:P2041"/>
    <mergeCell ref="Q2040:R2041"/>
    <mergeCell ref="S2040:T2041"/>
    <mergeCell ref="U2040:V2041"/>
    <mergeCell ref="W2040:W2041"/>
    <mergeCell ref="X2040:AB2040"/>
    <mergeCell ref="AD2040:AI2040"/>
    <mergeCell ref="AJ2040:AL2040"/>
    <mergeCell ref="AN2040:AO2040"/>
    <mergeCell ref="AP2040:AQ2040"/>
    <mergeCell ref="AR2040:AS2041"/>
    <mergeCell ref="AT2040:AU2041"/>
    <mergeCell ref="AV2040:AW2041"/>
    <mergeCell ref="AX2040:AY2041"/>
    <mergeCell ref="AZ2040:AZ2041"/>
    <mergeCell ref="F2041:H2041"/>
    <mergeCell ref="X2041:AB2041"/>
    <mergeCell ref="AE2041:AI2041"/>
    <mergeCell ref="AJ2041:AL2041"/>
    <mergeCell ref="AN2041:AO2041"/>
    <mergeCell ref="AP2041:AQ2041"/>
    <mergeCell ref="A2042:A2043"/>
    <mergeCell ref="E2042:E2043"/>
    <mergeCell ref="F2042:H2042"/>
    <mergeCell ref="J2042:J2043"/>
    <mergeCell ref="K2042:L2043"/>
    <mergeCell ref="M2042:N2043"/>
    <mergeCell ref="O2042:P2043"/>
    <mergeCell ref="Q2042:R2043"/>
    <mergeCell ref="S2042:T2043"/>
    <mergeCell ref="U2042:V2043"/>
    <mergeCell ref="W2042:W2043"/>
    <mergeCell ref="X2042:AB2042"/>
    <mergeCell ref="AD2042:AI2042"/>
    <mergeCell ref="AJ2042:AL2042"/>
    <mergeCell ref="AN2042:AO2042"/>
    <mergeCell ref="AP2042:AQ2042"/>
    <mergeCell ref="AR2042:AS2043"/>
    <mergeCell ref="AT2042:AU2043"/>
    <mergeCell ref="AV2042:AW2043"/>
    <mergeCell ref="AX2042:AY2043"/>
    <mergeCell ref="AZ2042:AZ2043"/>
    <mergeCell ref="F2043:H2043"/>
    <mergeCell ref="X2043:AB2043"/>
    <mergeCell ref="AE2043:AI2043"/>
    <mergeCell ref="AJ2043:AL2043"/>
    <mergeCell ref="AN2043:AO2043"/>
    <mergeCell ref="AP2043:AQ2043"/>
    <mergeCell ref="A2044:A2045"/>
    <mergeCell ref="E2044:E2045"/>
    <mergeCell ref="F2044:H2044"/>
    <mergeCell ref="J2044:J2045"/>
    <mergeCell ref="K2044:L2045"/>
    <mergeCell ref="M2044:N2045"/>
    <mergeCell ref="O2044:P2045"/>
    <mergeCell ref="Q2044:R2045"/>
    <mergeCell ref="S2044:T2045"/>
    <mergeCell ref="U2044:V2045"/>
    <mergeCell ref="W2044:W2045"/>
    <mergeCell ref="X2044:AB2044"/>
    <mergeCell ref="AD2044:AI2044"/>
    <mergeCell ref="AJ2044:AL2044"/>
    <mergeCell ref="AN2044:AO2044"/>
    <mergeCell ref="AP2044:AQ2044"/>
    <mergeCell ref="AR2044:AS2045"/>
    <mergeCell ref="AT2044:AU2045"/>
    <mergeCell ref="AV2044:AW2045"/>
    <mergeCell ref="AX2044:AY2045"/>
    <mergeCell ref="AZ2044:AZ2045"/>
    <mergeCell ref="F2045:H2045"/>
    <mergeCell ref="X2045:AB2045"/>
    <mergeCell ref="AE2045:AI2045"/>
    <mergeCell ref="AJ2045:AL2045"/>
    <mergeCell ref="AN2045:AO2045"/>
    <mergeCell ref="AP2045:AQ2045"/>
    <mergeCell ref="A2046:A2047"/>
    <mergeCell ref="E2046:E2047"/>
    <mergeCell ref="F2046:H2046"/>
    <mergeCell ref="J2046:J2047"/>
    <mergeCell ref="K2046:L2047"/>
    <mergeCell ref="M2046:N2047"/>
    <mergeCell ref="O2046:P2047"/>
    <mergeCell ref="Q2046:R2047"/>
    <mergeCell ref="S2046:T2047"/>
    <mergeCell ref="U2046:V2047"/>
    <mergeCell ref="W2046:W2047"/>
    <mergeCell ref="X2046:AB2046"/>
    <mergeCell ref="AD2046:AI2046"/>
    <mergeCell ref="AJ2046:AL2046"/>
    <mergeCell ref="AN2046:AO2046"/>
    <mergeCell ref="AP2046:AQ2046"/>
    <mergeCell ref="AR2046:AS2047"/>
    <mergeCell ref="AT2046:AU2047"/>
    <mergeCell ref="AV2046:AW2047"/>
    <mergeCell ref="AX2046:AY2047"/>
    <mergeCell ref="AZ2046:AZ2047"/>
    <mergeCell ref="F2047:H2047"/>
    <mergeCell ref="X2047:AB2047"/>
    <mergeCell ref="AE2047:AI2047"/>
    <mergeCell ref="AJ2047:AL2047"/>
    <mergeCell ref="AN2047:AO2047"/>
    <mergeCell ref="AP2047:AQ2047"/>
    <mergeCell ref="A2048:A2049"/>
    <mergeCell ref="E2048:E2049"/>
    <mergeCell ref="F2048:H2048"/>
    <mergeCell ref="J2048:J2049"/>
    <mergeCell ref="K2048:L2049"/>
    <mergeCell ref="M2048:N2049"/>
    <mergeCell ref="O2048:P2049"/>
    <mergeCell ref="Q2048:R2049"/>
    <mergeCell ref="S2048:T2049"/>
    <mergeCell ref="U2048:V2049"/>
    <mergeCell ref="W2048:W2049"/>
    <mergeCell ref="X2048:AB2048"/>
    <mergeCell ref="AD2048:AI2048"/>
    <mergeCell ref="AJ2048:AL2048"/>
    <mergeCell ref="AN2048:AO2048"/>
    <mergeCell ref="AP2048:AQ2048"/>
    <mergeCell ref="AR2048:AS2049"/>
    <mergeCell ref="AT2048:AU2049"/>
    <mergeCell ref="AV2048:AW2049"/>
    <mergeCell ref="AX2048:AY2049"/>
    <mergeCell ref="AZ2048:AZ2049"/>
    <mergeCell ref="F2049:H2049"/>
    <mergeCell ref="X2049:AB2049"/>
    <mergeCell ref="AE2049:AI2049"/>
    <mergeCell ref="AJ2049:AL2049"/>
    <mergeCell ref="AN2049:AO2049"/>
    <mergeCell ref="AP2049:AQ2049"/>
    <mergeCell ref="A2050:A2051"/>
    <mergeCell ref="E2050:E2051"/>
    <mergeCell ref="F2050:H2050"/>
    <mergeCell ref="J2050:J2051"/>
    <mergeCell ref="K2050:L2051"/>
    <mergeCell ref="M2050:N2051"/>
    <mergeCell ref="O2050:P2051"/>
    <mergeCell ref="Q2050:R2051"/>
    <mergeCell ref="S2050:T2051"/>
    <mergeCell ref="U2050:V2051"/>
    <mergeCell ref="W2050:W2051"/>
    <mergeCell ref="X2050:AB2050"/>
    <mergeCell ref="AD2050:AI2050"/>
    <mergeCell ref="AJ2050:AL2050"/>
    <mergeCell ref="AN2050:AO2050"/>
    <mergeCell ref="AP2050:AQ2050"/>
    <mergeCell ref="AR2050:AS2051"/>
    <mergeCell ref="AT2050:AU2051"/>
    <mergeCell ref="AV2050:AW2051"/>
    <mergeCell ref="AX2050:AY2051"/>
    <mergeCell ref="AZ2050:AZ2051"/>
    <mergeCell ref="F2051:H2051"/>
    <mergeCell ref="X2051:AB2051"/>
    <mergeCell ref="AE2051:AI2051"/>
    <mergeCell ref="AJ2051:AL2051"/>
    <mergeCell ref="AN2051:AO2051"/>
    <mergeCell ref="AP2051:AQ2051"/>
    <mergeCell ref="A2052:A2053"/>
    <mergeCell ref="E2052:E2053"/>
    <mergeCell ref="F2052:H2052"/>
    <mergeCell ref="J2052:J2053"/>
    <mergeCell ref="K2052:L2053"/>
    <mergeCell ref="M2052:N2053"/>
    <mergeCell ref="O2052:P2053"/>
    <mergeCell ref="Q2052:R2053"/>
    <mergeCell ref="S2052:T2053"/>
    <mergeCell ref="U2052:V2053"/>
    <mergeCell ref="W2052:W2053"/>
    <mergeCell ref="X2052:AB2052"/>
    <mergeCell ref="AD2052:AI2052"/>
    <mergeCell ref="AJ2052:AL2052"/>
    <mergeCell ref="AN2052:AO2052"/>
    <mergeCell ref="AP2052:AQ2052"/>
    <mergeCell ref="AR2052:AS2053"/>
    <mergeCell ref="AT2052:AU2053"/>
    <mergeCell ref="AV2052:AW2053"/>
    <mergeCell ref="AX2052:AY2053"/>
    <mergeCell ref="AZ2052:AZ2053"/>
    <mergeCell ref="F2053:H2053"/>
    <mergeCell ref="X2053:AB2053"/>
    <mergeCell ref="AE2053:AI2053"/>
    <mergeCell ref="AJ2053:AL2053"/>
    <mergeCell ref="AN2053:AO2053"/>
    <mergeCell ref="AP2053:AQ2053"/>
    <mergeCell ref="A2054:A2055"/>
    <mergeCell ref="E2054:E2055"/>
    <mergeCell ref="F2054:H2054"/>
    <mergeCell ref="J2054:J2055"/>
    <mergeCell ref="K2054:L2055"/>
    <mergeCell ref="M2054:N2055"/>
    <mergeCell ref="O2054:P2055"/>
    <mergeCell ref="Q2054:R2055"/>
    <mergeCell ref="S2054:T2055"/>
    <mergeCell ref="U2054:V2055"/>
    <mergeCell ref="W2054:W2055"/>
    <mergeCell ref="X2054:AB2054"/>
    <mergeCell ref="AD2054:AI2054"/>
    <mergeCell ref="AJ2054:AL2054"/>
    <mergeCell ref="AN2054:AO2054"/>
    <mergeCell ref="AP2054:AQ2054"/>
    <mergeCell ref="AR2054:AS2055"/>
    <mergeCell ref="AT2054:AU2055"/>
    <mergeCell ref="AV2054:AW2055"/>
    <mergeCell ref="AX2054:AY2055"/>
    <mergeCell ref="AZ2054:AZ2055"/>
    <mergeCell ref="F2055:H2055"/>
    <mergeCell ref="X2055:AB2055"/>
    <mergeCell ref="AE2055:AI2055"/>
    <mergeCell ref="AJ2055:AL2055"/>
    <mergeCell ref="AN2055:AO2055"/>
    <mergeCell ref="AP2055:AQ2055"/>
    <mergeCell ref="A2056:A2057"/>
    <mergeCell ref="E2056:E2057"/>
    <mergeCell ref="F2056:H2056"/>
    <mergeCell ref="J2056:J2057"/>
    <mergeCell ref="K2056:L2057"/>
    <mergeCell ref="M2056:N2057"/>
    <mergeCell ref="O2056:P2057"/>
    <mergeCell ref="Q2056:R2057"/>
    <mergeCell ref="S2056:T2057"/>
    <mergeCell ref="U2056:V2057"/>
    <mergeCell ref="W2056:W2057"/>
    <mergeCell ref="X2056:AB2056"/>
    <mergeCell ref="AD2056:AI2056"/>
    <mergeCell ref="AJ2056:AL2056"/>
    <mergeCell ref="AN2056:AO2056"/>
    <mergeCell ref="AP2056:AQ2056"/>
    <mergeCell ref="AR2056:AS2057"/>
    <mergeCell ref="AT2056:AU2057"/>
    <mergeCell ref="AV2056:AW2057"/>
    <mergeCell ref="AX2056:AY2057"/>
    <mergeCell ref="AZ2056:AZ2057"/>
    <mergeCell ref="F2057:H2057"/>
    <mergeCell ref="X2057:AB2057"/>
    <mergeCell ref="AE2057:AI2057"/>
    <mergeCell ref="AJ2057:AL2057"/>
    <mergeCell ref="AN2057:AO2057"/>
    <mergeCell ref="AP2057:AQ2057"/>
    <mergeCell ref="A2058:A2059"/>
    <mergeCell ref="E2058:E2059"/>
    <mergeCell ref="F2058:H2058"/>
    <mergeCell ref="J2058:J2059"/>
    <mergeCell ref="K2058:L2059"/>
    <mergeCell ref="M2058:N2059"/>
    <mergeCell ref="O2058:P2059"/>
    <mergeCell ref="Q2058:R2059"/>
    <mergeCell ref="S2058:T2059"/>
    <mergeCell ref="U2058:V2059"/>
    <mergeCell ref="W2058:W2059"/>
    <mergeCell ref="X2058:AB2058"/>
    <mergeCell ref="AD2058:AI2058"/>
    <mergeCell ref="AJ2058:AL2058"/>
    <mergeCell ref="AN2058:AO2058"/>
    <mergeCell ref="AP2058:AQ2058"/>
    <mergeCell ref="AR2058:AS2059"/>
    <mergeCell ref="AT2058:AU2059"/>
    <mergeCell ref="AV2058:AW2059"/>
    <mergeCell ref="AX2058:AY2059"/>
    <mergeCell ref="AZ2058:AZ2059"/>
    <mergeCell ref="F2059:H2059"/>
    <mergeCell ref="X2059:AB2059"/>
    <mergeCell ref="AE2059:AI2059"/>
    <mergeCell ref="AJ2059:AL2059"/>
    <mergeCell ref="AN2059:AO2059"/>
    <mergeCell ref="AP2059:AQ2059"/>
    <mergeCell ref="A2060:A2061"/>
    <mergeCell ref="E2060:E2061"/>
    <mergeCell ref="F2060:H2060"/>
    <mergeCell ref="J2060:J2061"/>
    <mergeCell ref="K2060:L2061"/>
    <mergeCell ref="M2060:N2061"/>
    <mergeCell ref="O2060:P2061"/>
    <mergeCell ref="Q2060:R2061"/>
    <mergeCell ref="S2060:T2061"/>
    <mergeCell ref="U2060:V2061"/>
    <mergeCell ref="W2060:W2061"/>
    <mergeCell ref="X2060:AB2060"/>
    <mergeCell ref="AD2060:AI2060"/>
    <mergeCell ref="AJ2060:AL2060"/>
    <mergeCell ref="AN2060:AO2060"/>
    <mergeCell ref="AP2060:AQ2060"/>
    <mergeCell ref="AR2060:AS2061"/>
    <mergeCell ref="AT2060:AU2061"/>
    <mergeCell ref="AV2060:AW2061"/>
    <mergeCell ref="AX2060:AY2061"/>
    <mergeCell ref="AZ2060:AZ2061"/>
    <mergeCell ref="F2061:H2061"/>
    <mergeCell ref="X2061:AB2061"/>
    <mergeCell ref="AE2061:AI2061"/>
    <mergeCell ref="AJ2061:AL2061"/>
    <mergeCell ref="AN2061:AO2061"/>
    <mergeCell ref="AP2061:AQ2061"/>
    <mergeCell ref="A2062:A2063"/>
    <mergeCell ref="E2062:E2063"/>
    <mergeCell ref="F2062:H2062"/>
    <mergeCell ref="J2062:J2063"/>
    <mergeCell ref="K2062:L2063"/>
    <mergeCell ref="M2062:N2063"/>
    <mergeCell ref="O2062:P2063"/>
    <mergeCell ref="Q2062:R2063"/>
    <mergeCell ref="S2062:T2063"/>
    <mergeCell ref="U2062:V2063"/>
    <mergeCell ref="W2062:W2063"/>
    <mergeCell ref="X2062:AB2062"/>
    <mergeCell ref="AD2062:AI2062"/>
    <mergeCell ref="AJ2062:AL2062"/>
    <mergeCell ref="AN2062:AO2062"/>
    <mergeCell ref="AP2062:AQ2062"/>
    <mergeCell ref="AR2062:AS2063"/>
    <mergeCell ref="AT2062:AU2063"/>
    <mergeCell ref="AV2062:AW2063"/>
    <mergeCell ref="AX2062:AY2063"/>
    <mergeCell ref="AZ2062:AZ2063"/>
    <mergeCell ref="F2063:H2063"/>
    <mergeCell ref="X2063:AB2063"/>
    <mergeCell ref="AE2063:AI2063"/>
    <mergeCell ref="AJ2063:AL2063"/>
    <mergeCell ref="AN2063:AO2063"/>
    <mergeCell ref="AP2063:AQ2063"/>
    <mergeCell ref="A2064:A2065"/>
    <mergeCell ref="E2064:E2065"/>
    <mergeCell ref="F2064:H2064"/>
    <mergeCell ref="J2064:J2065"/>
    <mergeCell ref="K2064:L2065"/>
    <mergeCell ref="M2064:N2065"/>
    <mergeCell ref="O2064:P2065"/>
    <mergeCell ref="Q2064:R2065"/>
    <mergeCell ref="S2064:T2065"/>
    <mergeCell ref="U2064:V2065"/>
    <mergeCell ref="W2064:W2065"/>
    <mergeCell ref="X2064:AB2064"/>
    <mergeCell ref="AD2064:AI2064"/>
    <mergeCell ref="AJ2064:AL2064"/>
    <mergeCell ref="AN2064:AO2064"/>
    <mergeCell ref="AP2064:AQ2064"/>
    <mergeCell ref="AR2064:AS2065"/>
    <mergeCell ref="AT2064:AU2065"/>
    <mergeCell ref="AV2064:AW2065"/>
    <mergeCell ref="AX2064:AY2065"/>
    <mergeCell ref="AZ2064:AZ2065"/>
    <mergeCell ref="F2065:H2065"/>
    <mergeCell ref="X2065:AB2065"/>
    <mergeCell ref="AE2065:AI2065"/>
    <mergeCell ref="AJ2065:AL2065"/>
    <mergeCell ref="AN2065:AO2065"/>
    <mergeCell ref="AP2065:AQ2065"/>
    <mergeCell ref="A2066:A2067"/>
    <mergeCell ref="E2066:E2067"/>
    <mergeCell ref="F2066:H2066"/>
    <mergeCell ref="J2066:J2067"/>
    <mergeCell ref="K2066:L2067"/>
    <mergeCell ref="M2066:N2067"/>
    <mergeCell ref="O2066:P2067"/>
    <mergeCell ref="Q2066:R2067"/>
    <mergeCell ref="S2066:T2067"/>
    <mergeCell ref="U2066:V2067"/>
    <mergeCell ref="W2066:W2067"/>
    <mergeCell ref="X2066:AB2066"/>
    <mergeCell ref="AD2066:AI2066"/>
    <mergeCell ref="AJ2066:AL2066"/>
    <mergeCell ref="AN2066:AO2066"/>
    <mergeCell ref="AP2066:AQ2066"/>
    <mergeCell ref="AR2066:AS2067"/>
    <mergeCell ref="AT2066:AU2067"/>
    <mergeCell ref="AV2066:AW2067"/>
    <mergeCell ref="AX2066:AY2067"/>
    <mergeCell ref="AZ2066:AZ2067"/>
    <mergeCell ref="F2067:H2067"/>
    <mergeCell ref="X2067:AB2067"/>
    <mergeCell ref="AE2067:AI2067"/>
    <mergeCell ref="AJ2067:AL2067"/>
    <mergeCell ref="AN2067:AO2067"/>
    <mergeCell ref="AP2067:AQ2067"/>
    <mergeCell ref="A2068:A2069"/>
    <mergeCell ref="E2068:E2069"/>
    <mergeCell ref="F2068:H2068"/>
    <mergeCell ref="J2068:J2069"/>
    <mergeCell ref="K2068:L2069"/>
    <mergeCell ref="M2068:N2069"/>
    <mergeCell ref="O2068:P2069"/>
    <mergeCell ref="Q2068:R2069"/>
    <mergeCell ref="S2068:T2069"/>
    <mergeCell ref="U2068:V2069"/>
    <mergeCell ref="W2068:W2069"/>
    <mergeCell ref="X2068:AB2068"/>
    <mergeCell ref="AD2068:AI2068"/>
    <mergeCell ref="AJ2068:AL2068"/>
    <mergeCell ref="AN2068:AO2068"/>
    <mergeCell ref="AP2068:AQ2068"/>
    <mergeCell ref="AR2068:AS2069"/>
    <mergeCell ref="AT2068:AU2069"/>
    <mergeCell ref="AV2068:AW2069"/>
    <mergeCell ref="AX2068:AY2069"/>
    <mergeCell ref="AZ2068:AZ2069"/>
    <mergeCell ref="F2069:H2069"/>
    <mergeCell ref="X2069:AB2069"/>
    <mergeCell ref="AE2069:AI2069"/>
    <mergeCell ref="AJ2069:AL2069"/>
    <mergeCell ref="AN2069:AO2069"/>
    <mergeCell ref="AP2069:AQ2069"/>
    <mergeCell ref="A2070:A2071"/>
    <mergeCell ref="E2070:E2071"/>
    <mergeCell ref="F2070:H2070"/>
    <mergeCell ref="J2070:J2071"/>
    <mergeCell ref="K2070:L2071"/>
    <mergeCell ref="M2070:N2071"/>
    <mergeCell ref="O2070:P2071"/>
    <mergeCell ref="Q2070:R2071"/>
    <mergeCell ref="S2070:T2071"/>
    <mergeCell ref="U2070:V2071"/>
    <mergeCell ref="W2070:W2071"/>
    <mergeCell ref="X2070:AB2070"/>
    <mergeCell ref="AD2070:AI2070"/>
    <mergeCell ref="AJ2070:AL2070"/>
    <mergeCell ref="AN2070:AO2070"/>
    <mergeCell ref="AP2070:AQ2070"/>
    <mergeCell ref="AR2070:AS2071"/>
    <mergeCell ref="AT2070:AU2071"/>
    <mergeCell ref="AV2070:AW2071"/>
    <mergeCell ref="AX2070:AY2071"/>
    <mergeCell ref="AZ2070:AZ2071"/>
    <mergeCell ref="F2071:H2071"/>
    <mergeCell ref="X2071:AB2071"/>
    <mergeCell ref="AE2071:AI2071"/>
    <mergeCell ref="AJ2071:AL2071"/>
    <mergeCell ref="AN2071:AO2071"/>
    <mergeCell ref="AP2071:AQ2071"/>
    <mergeCell ref="A2072:A2073"/>
    <mergeCell ref="E2072:E2073"/>
    <mergeCell ref="F2072:H2072"/>
    <mergeCell ref="J2072:J2073"/>
    <mergeCell ref="K2072:L2073"/>
    <mergeCell ref="M2072:N2073"/>
    <mergeCell ref="O2072:P2073"/>
    <mergeCell ref="Q2072:R2073"/>
    <mergeCell ref="S2072:T2073"/>
    <mergeCell ref="U2072:V2073"/>
    <mergeCell ref="W2072:W2073"/>
    <mergeCell ref="X2072:AB2072"/>
    <mergeCell ref="AD2072:AI2072"/>
    <mergeCell ref="AJ2072:AL2072"/>
    <mergeCell ref="AN2072:AO2072"/>
    <mergeCell ref="AP2072:AQ2072"/>
    <mergeCell ref="AR2072:AS2073"/>
    <mergeCell ref="AT2072:AU2073"/>
    <mergeCell ref="AV2072:AW2073"/>
    <mergeCell ref="AX2072:AY2073"/>
    <mergeCell ref="AZ2072:AZ2073"/>
    <mergeCell ref="F2073:H2073"/>
    <mergeCell ref="X2073:AB2073"/>
    <mergeCell ref="AE2073:AI2073"/>
    <mergeCell ref="AJ2073:AL2073"/>
    <mergeCell ref="AN2073:AO2073"/>
    <mergeCell ref="AP2073:AQ2073"/>
    <mergeCell ref="A2074:A2075"/>
    <mergeCell ref="E2074:E2075"/>
    <mergeCell ref="F2074:H2074"/>
    <mergeCell ref="J2074:J2075"/>
    <mergeCell ref="K2074:L2075"/>
    <mergeCell ref="M2074:N2075"/>
    <mergeCell ref="O2074:P2075"/>
    <mergeCell ref="Q2074:R2075"/>
    <mergeCell ref="S2074:T2075"/>
    <mergeCell ref="U2074:V2075"/>
    <mergeCell ref="W2074:W2075"/>
    <mergeCell ref="X2074:AB2074"/>
    <mergeCell ref="AD2074:AI2074"/>
    <mergeCell ref="AJ2074:AL2074"/>
    <mergeCell ref="AN2074:AO2074"/>
    <mergeCell ref="AP2074:AQ2074"/>
    <mergeCell ref="AR2074:AS2075"/>
    <mergeCell ref="AT2074:AU2075"/>
    <mergeCell ref="AV2074:AW2075"/>
    <mergeCell ref="AX2074:AY2075"/>
    <mergeCell ref="AZ2074:AZ2075"/>
    <mergeCell ref="F2075:H2075"/>
    <mergeCell ref="X2075:AB2075"/>
    <mergeCell ref="AE2075:AI2075"/>
    <mergeCell ref="AJ2075:AL2075"/>
    <mergeCell ref="AN2075:AO2075"/>
    <mergeCell ref="AP2075:AQ2075"/>
    <mergeCell ref="A2076:A2077"/>
    <mergeCell ref="E2076:E2077"/>
    <mergeCell ref="F2076:H2076"/>
    <mergeCell ref="J2076:J2077"/>
    <mergeCell ref="K2076:L2077"/>
    <mergeCell ref="M2076:N2077"/>
    <mergeCell ref="O2076:P2077"/>
    <mergeCell ref="Q2076:R2077"/>
    <mergeCell ref="S2076:T2077"/>
    <mergeCell ref="U2076:V2077"/>
    <mergeCell ref="W2076:W2077"/>
    <mergeCell ref="X2076:AB2076"/>
    <mergeCell ref="AD2076:AI2076"/>
    <mergeCell ref="AJ2076:AL2076"/>
    <mergeCell ref="AN2076:AO2076"/>
    <mergeCell ref="AP2076:AQ2076"/>
    <mergeCell ref="AR2076:AS2077"/>
    <mergeCell ref="AT2076:AU2077"/>
    <mergeCell ref="AV2076:AW2077"/>
    <mergeCell ref="AX2076:AY2077"/>
    <mergeCell ref="AZ2076:AZ2077"/>
    <mergeCell ref="F2077:H2077"/>
    <mergeCell ref="X2077:AB2077"/>
    <mergeCell ref="AE2077:AI2077"/>
    <mergeCell ref="AJ2077:AL2077"/>
    <mergeCell ref="AN2077:AO2077"/>
    <mergeCell ref="AP2077:AQ2077"/>
    <mergeCell ref="A2078:A2079"/>
    <mergeCell ref="E2078:E2079"/>
    <mergeCell ref="F2078:H2078"/>
    <mergeCell ref="J2078:J2079"/>
    <mergeCell ref="K2078:L2079"/>
    <mergeCell ref="M2078:N2079"/>
    <mergeCell ref="O2078:P2079"/>
    <mergeCell ref="Q2078:R2079"/>
    <mergeCell ref="S2078:T2079"/>
    <mergeCell ref="U2078:V2079"/>
    <mergeCell ref="W2078:W2079"/>
    <mergeCell ref="X2078:AB2078"/>
    <mergeCell ref="AD2078:AI2078"/>
    <mergeCell ref="AJ2078:AL2078"/>
    <mergeCell ref="AN2078:AO2078"/>
    <mergeCell ref="AP2078:AQ2078"/>
    <mergeCell ref="AR2078:AS2079"/>
    <mergeCell ref="AT2078:AU2079"/>
    <mergeCell ref="AV2078:AW2079"/>
    <mergeCell ref="AX2078:AY2079"/>
    <mergeCell ref="AZ2078:AZ2079"/>
    <mergeCell ref="F2079:H2079"/>
    <mergeCell ref="X2079:AB2079"/>
    <mergeCell ref="AE2079:AI2079"/>
    <mergeCell ref="AJ2079:AL2079"/>
    <mergeCell ref="AN2079:AO2079"/>
    <mergeCell ref="AP2079:AQ2079"/>
    <mergeCell ref="A2080:A2081"/>
    <mergeCell ref="E2080:E2081"/>
    <mergeCell ref="F2080:H2080"/>
    <mergeCell ref="J2080:J2081"/>
    <mergeCell ref="K2080:L2081"/>
    <mergeCell ref="M2080:N2081"/>
    <mergeCell ref="O2080:P2081"/>
    <mergeCell ref="Q2080:R2081"/>
    <mergeCell ref="S2080:T2081"/>
    <mergeCell ref="U2080:V2081"/>
    <mergeCell ref="W2080:W2081"/>
    <mergeCell ref="X2080:AB2080"/>
    <mergeCell ref="AD2080:AI2080"/>
    <mergeCell ref="AJ2080:AL2080"/>
    <mergeCell ref="AN2080:AO2080"/>
    <mergeCell ref="AP2080:AQ2080"/>
    <mergeCell ref="AR2080:AS2081"/>
    <mergeCell ref="AT2080:AU2081"/>
    <mergeCell ref="AV2080:AW2081"/>
    <mergeCell ref="AX2080:AY2081"/>
    <mergeCell ref="AZ2080:AZ2081"/>
    <mergeCell ref="F2081:H2081"/>
    <mergeCell ref="X2081:AB2081"/>
    <mergeCell ref="AE2081:AI2081"/>
    <mergeCell ref="AJ2081:AL2081"/>
    <mergeCell ref="AN2081:AO2081"/>
    <mergeCell ref="AP2081:AQ2081"/>
    <mergeCell ref="A2084:A2085"/>
    <mergeCell ref="E2084:E2085"/>
    <mergeCell ref="F2084:H2084"/>
    <mergeCell ref="J2084:J2085"/>
    <mergeCell ref="K2084:L2085"/>
    <mergeCell ref="M2084:N2085"/>
    <mergeCell ref="O2084:P2085"/>
    <mergeCell ref="Q2084:R2085"/>
    <mergeCell ref="S2084:T2085"/>
    <mergeCell ref="U2084:V2085"/>
    <mergeCell ref="W2084:W2085"/>
    <mergeCell ref="X2084:AB2084"/>
    <mergeCell ref="AD2084:AI2084"/>
    <mergeCell ref="AJ2084:AL2084"/>
    <mergeCell ref="AN2084:AO2084"/>
    <mergeCell ref="AP2084:AQ2084"/>
    <mergeCell ref="AR2084:AS2085"/>
    <mergeCell ref="AT2084:AU2085"/>
    <mergeCell ref="AV2084:AW2085"/>
    <mergeCell ref="AX2084:AY2085"/>
    <mergeCell ref="AZ2084:AZ2085"/>
    <mergeCell ref="F2085:H2085"/>
    <mergeCell ref="X2085:AB2085"/>
    <mergeCell ref="AE2085:AI2085"/>
    <mergeCell ref="AJ2085:AL2085"/>
    <mergeCell ref="AN2085:AO2085"/>
    <mergeCell ref="AP2085:AQ2085"/>
    <mergeCell ref="A2086:A2087"/>
    <mergeCell ref="E2086:E2087"/>
    <mergeCell ref="F2086:H2086"/>
    <mergeCell ref="J2086:J2087"/>
    <mergeCell ref="K2086:L2087"/>
    <mergeCell ref="M2086:N2087"/>
    <mergeCell ref="O2086:P2087"/>
    <mergeCell ref="Q2086:R2087"/>
    <mergeCell ref="S2086:T2087"/>
    <mergeCell ref="U2086:V2087"/>
    <mergeCell ref="W2086:W2087"/>
    <mergeCell ref="X2086:AB2086"/>
    <mergeCell ref="AD2086:AI2086"/>
    <mergeCell ref="AJ2086:AL2086"/>
    <mergeCell ref="AN2086:AO2086"/>
    <mergeCell ref="AP2086:AQ2086"/>
    <mergeCell ref="AR2086:AS2087"/>
    <mergeCell ref="AT2086:AU2087"/>
    <mergeCell ref="AV2086:AW2087"/>
    <mergeCell ref="AX2086:AY2087"/>
    <mergeCell ref="AZ2086:AZ2087"/>
    <mergeCell ref="F2087:H2087"/>
    <mergeCell ref="X2087:AB2087"/>
    <mergeCell ref="AE2087:AI2087"/>
    <mergeCell ref="AJ2087:AL2087"/>
    <mergeCell ref="AN2087:AO2087"/>
    <mergeCell ref="AP2087:AQ2087"/>
    <mergeCell ref="A2090:A2091"/>
    <mergeCell ref="E2090:E2091"/>
    <mergeCell ref="F2090:H2090"/>
    <mergeCell ref="J2090:J2091"/>
    <mergeCell ref="K2090:L2091"/>
    <mergeCell ref="M2090:N2091"/>
    <mergeCell ref="O2090:P2091"/>
    <mergeCell ref="Q2090:R2091"/>
    <mergeCell ref="S2090:T2091"/>
    <mergeCell ref="U2090:V2091"/>
    <mergeCell ref="W2090:W2091"/>
    <mergeCell ref="X2090:AB2090"/>
    <mergeCell ref="AD2090:AI2090"/>
    <mergeCell ref="AJ2090:AL2090"/>
    <mergeCell ref="AN2090:AO2090"/>
    <mergeCell ref="AP2090:AQ2090"/>
    <mergeCell ref="AR2090:AS2091"/>
    <mergeCell ref="AT2090:AU2091"/>
    <mergeCell ref="AV2090:AW2091"/>
    <mergeCell ref="AX2090:AY2091"/>
    <mergeCell ref="AZ2090:AZ2091"/>
    <mergeCell ref="F2091:H2091"/>
    <mergeCell ref="X2091:AB2091"/>
    <mergeCell ref="AE2091:AI2091"/>
    <mergeCell ref="AJ2091:AL2091"/>
    <mergeCell ref="AN2091:AO2091"/>
    <mergeCell ref="AP2091:AQ2091"/>
    <mergeCell ref="A2088:A2089"/>
    <mergeCell ref="E2088:E2089"/>
    <mergeCell ref="F2088:H2088"/>
    <mergeCell ref="J2088:J2089"/>
    <mergeCell ref="K2088:L2089"/>
    <mergeCell ref="M2088:N2089"/>
    <mergeCell ref="O2088:P2089"/>
    <mergeCell ref="Q2088:R2089"/>
    <mergeCell ref="S2088:T2089"/>
    <mergeCell ref="U2088:V2089"/>
    <mergeCell ref="W2088:W2089"/>
    <mergeCell ref="X2088:AB2088"/>
    <mergeCell ref="AD2088:AI2088"/>
    <mergeCell ref="AJ2088:AL2088"/>
    <mergeCell ref="AN2088:AO2088"/>
    <mergeCell ref="AP2088:AQ2088"/>
    <mergeCell ref="AR2088:AS2089"/>
    <mergeCell ref="AT2088:AU2089"/>
    <mergeCell ref="AV2088:AW2089"/>
    <mergeCell ref="AX2088:AY2089"/>
    <mergeCell ref="AZ2088:AZ2089"/>
    <mergeCell ref="F2089:H2089"/>
    <mergeCell ref="X2089:AB2089"/>
    <mergeCell ref="AE2089:AI2089"/>
    <mergeCell ref="AJ2089:AL2089"/>
    <mergeCell ref="AN2089:AO2089"/>
    <mergeCell ref="AP2089:AQ2089"/>
    <mergeCell ref="A2092:A2093"/>
    <mergeCell ref="E2092:E2093"/>
    <mergeCell ref="F2092:H2092"/>
    <mergeCell ref="J2092:J2093"/>
    <mergeCell ref="K2092:L2093"/>
    <mergeCell ref="M2092:N2093"/>
    <mergeCell ref="O2092:P2093"/>
    <mergeCell ref="Q2092:R2093"/>
    <mergeCell ref="S2092:T2093"/>
    <mergeCell ref="U2092:V2093"/>
    <mergeCell ref="W2092:W2093"/>
    <mergeCell ref="X2092:AB2092"/>
    <mergeCell ref="AD2092:AI2092"/>
    <mergeCell ref="AJ2092:AL2092"/>
    <mergeCell ref="AN2092:AO2092"/>
    <mergeCell ref="AP2092:AQ2092"/>
    <mergeCell ref="AR2092:AS2093"/>
    <mergeCell ref="AT2092:AU2093"/>
    <mergeCell ref="AV2092:AW2093"/>
    <mergeCell ref="AX2092:AY2093"/>
    <mergeCell ref="AZ2092:AZ2093"/>
    <mergeCell ref="F2093:H2093"/>
    <mergeCell ref="X2093:AB2093"/>
    <mergeCell ref="AE2093:AI2093"/>
    <mergeCell ref="AJ2093:AL2093"/>
    <mergeCell ref="AN2093:AO2093"/>
    <mergeCell ref="AP2093:AQ2093"/>
    <mergeCell ref="A2094:A2095"/>
    <mergeCell ref="E2094:E2095"/>
    <mergeCell ref="F2094:H2094"/>
    <mergeCell ref="J2094:J2095"/>
    <mergeCell ref="K2094:L2095"/>
    <mergeCell ref="M2094:N2095"/>
    <mergeCell ref="O2094:P2095"/>
    <mergeCell ref="Q2094:R2095"/>
    <mergeCell ref="S2094:T2095"/>
    <mergeCell ref="U2094:V2095"/>
    <mergeCell ref="W2094:W2095"/>
    <mergeCell ref="X2094:AB2094"/>
    <mergeCell ref="AD2094:AI2094"/>
    <mergeCell ref="AJ2094:AL2094"/>
    <mergeCell ref="AN2094:AO2094"/>
    <mergeCell ref="AP2094:AQ2094"/>
    <mergeCell ref="AR2094:AS2095"/>
    <mergeCell ref="AT2094:AU2095"/>
    <mergeCell ref="AV2094:AW2095"/>
    <mergeCell ref="AX2094:AY2095"/>
    <mergeCell ref="AZ2094:AZ2095"/>
    <mergeCell ref="F2095:H2095"/>
    <mergeCell ref="X2095:AB2095"/>
    <mergeCell ref="AE2095:AI2095"/>
    <mergeCell ref="AJ2095:AL2095"/>
    <mergeCell ref="AN2095:AO2095"/>
    <mergeCell ref="AP2095:AQ2095"/>
    <mergeCell ref="A2096:A2097"/>
    <mergeCell ref="E2096:E2097"/>
    <mergeCell ref="F2096:H2096"/>
    <mergeCell ref="J2096:J2097"/>
    <mergeCell ref="K2096:L2097"/>
    <mergeCell ref="M2096:N2097"/>
    <mergeCell ref="O2096:P2097"/>
    <mergeCell ref="Q2096:R2097"/>
    <mergeCell ref="S2096:T2097"/>
    <mergeCell ref="U2096:V2097"/>
    <mergeCell ref="W2096:W2097"/>
    <mergeCell ref="X2096:AB2096"/>
    <mergeCell ref="AD2096:AI2096"/>
    <mergeCell ref="AJ2096:AL2096"/>
    <mergeCell ref="AN2096:AO2096"/>
    <mergeCell ref="AP2096:AQ2096"/>
    <mergeCell ref="AR2096:AS2097"/>
    <mergeCell ref="AT2096:AU2097"/>
    <mergeCell ref="AV2096:AW2097"/>
    <mergeCell ref="AX2096:AY2097"/>
    <mergeCell ref="AZ2096:AZ2097"/>
    <mergeCell ref="F2097:H2097"/>
    <mergeCell ref="X2097:AB2097"/>
    <mergeCell ref="AE2097:AI2097"/>
    <mergeCell ref="AJ2097:AL2097"/>
    <mergeCell ref="AN2097:AO2097"/>
    <mergeCell ref="AP2097:AQ2097"/>
    <mergeCell ref="A2098:A2099"/>
    <mergeCell ref="E2098:E2099"/>
    <mergeCell ref="F2098:H2098"/>
    <mergeCell ref="J2098:J2099"/>
    <mergeCell ref="K2098:L2099"/>
    <mergeCell ref="M2098:N2099"/>
    <mergeCell ref="O2098:P2099"/>
    <mergeCell ref="Q2098:R2099"/>
    <mergeCell ref="S2098:T2099"/>
    <mergeCell ref="U2098:V2099"/>
    <mergeCell ref="W2098:W2099"/>
    <mergeCell ref="X2098:AB2098"/>
    <mergeCell ref="AD2098:AI2098"/>
    <mergeCell ref="AJ2098:AL2098"/>
    <mergeCell ref="AN2098:AO2098"/>
    <mergeCell ref="AP2098:AQ2098"/>
    <mergeCell ref="AR2098:AS2099"/>
    <mergeCell ref="AT2098:AU2099"/>
    <mergeCell ref="AV2098:AW2099"/>
    <mergeCell ref="AX2098:AY2099"/>
    <mergeCell ref="AZ2098:AZ2099"/>
    <mergeCell ref="F2099:H2099"/>
    <mergeCell ref="X2099:AB2099"/>
    <mergeCell ref="AE2099:AI2099"/>
    <mergeCell ref="AJ2099:AL2099"/>
    <mergeCell ref="AN2099:AO2099"/>
    <mergeCell ref="AP2099:AQ2099"/>
    <mergeCell ref="A2100:A2101"/>
    <mergeCell ref="E2100:E2101"/>
    <mergeCell ref="F2100:H2100"/>
    <mergeCell ref="J2100:J2101"/>
    <mergeCell ref="K2100:L2101"/>
    <mergeCell ref="M2100:N2101"/>
    <mergeCell ref="O2100:P2101"/>
    <mergeCell ref="Q2100:R2101"/>
    <mergeCell ref="S2100:T2101"/>
    <mergeCell ref="U2100:V2101"/>
    <mergeCell ref="W2100:W2101"/>
    <mergeCell ref="X2100:AB2100"/>
    <mergeCell ref="AD2100:AI2100"/>
    <mergeCell ref="AJ2100:AL2100"/>
    <mergeCell ref="AN2100:AO2100"/>
    <mergeCell ref="AP2100:AQ2100"/>
    <mergeCell ref="AR2100:AS2101"/>
    <mergeCell ref="AT2100:AU2101"/>
    <mergeCell ref="AV2100:AW2101"/>
    <mergeCell ref="AX2100:AY2101"/>
    <mergeCell ref="AZ2100:AZ2101"/>
    <mergeCell ref="F2101:H2101"/>
    <mergeCell ref="X2101:AB2101"/>
    <mergeCell ref="AE2101:AI2101"/>
    <mergeCell ref="AJ2101:AL2101"/>
    <mergeCell ref="AN2101:AO2101"/>
    <mergeCell ref="AP2101:AQ2101"/>
    <mergeCell ref="A2102:A2103"/>
    <mergeCell ref="E2102:E2103"/>
    <mergeCell ref="F2102:H2102"/>
    <mergeCell ref="J2102:J2103"/>
    <mergeCell ref="K2102:L2103"/>
    <mergeCell ref="M2102:N2103"/>
    <mergeCell ref="O2102:P2103"/>
    <mergeCell ref="Q2102:R2103"/>
    <mergeCell ref="S2102:T2103"/>
    <mergeCell ref="U2102:V2103"/>
    <mergeCell ref="W2102:W2103"/>
    <mergeCell ref="X2102:AB2102"/>
    <mergeCell ref="AD2102:AI2102"/>
    <mergeCell ref="AJ2102:AL2102"/>
    <mergeCell ref="AN2102:AO2102"/>
    <mergeCell ref="AP2102:AQ2102"/>
    <mergeCell ref="AR2102:AS2103"/>
    <mergeCell ref="AT2102:AU2103"/>
    <mergeCell ref="AV2102:AW2103"/>
    <mergeCell ref="AX2102:AY2103"/>
    <mergeCell ref="AZ2102:AZ2103"/>
    <mergeCell ref="F2103:H2103"/>
    <mergeCell ref="X2103:AB2103"/>
    <mergeCell ref="AE2103:AI2103"/>
    <mergeCell ref="AJ2103:AL2103"/>
    <mergeCell ref="AN2103:AO2103"/>
    <mergeCell ref="AP2103:AQ2103"/>
    <mergeCell ref="A2104:A2105"/>
    <mergeCell ref="E2104:E2105"/>
    <mergeCell ref="F2104:H2104"/>
    <mergeCell ref="J2104:J2105"/>
    <mergeCell ref="K2104:L2105"/>
    <mergeCell ref="M2104:N2105"/>
    <mergeCell ref="O2104:P2105"/>
    <mergeCell ref="Q2104:R2105"/>
    <mergeCell ref="S2104:T2105"/>
    <mergeCell ref="U2104:V2105"/>
    <mergeCell ref="W2104:W2105"/>
    <mergeCell ref="X2104:AB2104"/>
    <mergeCell ref="AD2104:AI2104"/>
    <mergeCell ref="AJ2104:AL2104"/>
    <mergeCell ref="AN2104:AO2104"/>
    <mergeCell ref="AP2104:AQ2104"/>
    <mergeCell ref="AR2104:AS2105"/>
    <mergeCell ref="AT2104:AU2105"/>
    <mergeCell ref="AV2104:AW2105"/>
    <mergeCell ref="AX2104:AY2105"/>
    <mergeCell ref="AZ2104:AZ2105"/>
    <mergeCell ref="F2105:H2105"/>
    <mergeCell ref="X2105:AB2105"/>
    <mergeCell ref="AE2105:AI2105"/>
    <mergeCell ref="AJ2105:AL2105"/>
    <mergeCell ref="AN2105:AO2105"/>
    <mergeCell ref="AP2105:AQ2105"/>
    <mergeCell ref="A2106:A2107"/>
    <mergeCell ref="E2106:E2107"/>
    <mergeCell ref="F2106:H2106"/>
    <mergeCell ref="J2106:J2107"/>
    <mergeCell ref="K2106:L2107"/>
    <mergeCell ref="M2106:N2107"/>
    <mergeCell ref="O2106:P2107"/>
    <mergeCell ref="Q2106:R2107"/>
    <mergeCell ref="S2106:T2107"/>
    <mergeCell ref="U2106:V2107"/>
    <mergeCell ref="W2106:W2107"/>
    <mergeCell ref="X2106:AB2106"/>
    <mergeCell ref="AD2106:AI2106"/>
    <mergeCell ref="AJ2106:AL2106"/>
    <mergeCell ref="AN2106:AO2106"/>
    <mergeCell ref="AP2106:AQ2106"/>
    <mergeCell ref="AR2106:AS2107"/>
    <mergeCell ref="AT2106:AU2107"/>
    <mergeCell ref="AV2106:AW2107"/>
    <mergeCell ref="AX2106:AY2107"/>
    <mergeCell ref="AZ2106:AZ2107"/>
    <mergeCell ref="F2107:H2107"/>
    <mergeCell ref="X2107:AB2107"/>
    <mergeCell ref="AE2107:AI2107"/>
    <mergeCell ref="AJ2107:AL2107"/>
    <mergeCell ref="AN2107:AO2107"/>
    <mergeCell ref="AP2107:AQ2107"/>
    <mergeCell ref="A2108:A2109"/>
    <mergeCell ref="E2108:E2109"/>
    <mergeCell ref="F2108:H2108"/>
    <mergeCell ref="J2108:J2109"/>
    <mergeCell ref="K2108:L2109"/>
    <mergeCell ref="M2108:N2109"/>
    <mergeCell ref="O2108:P2109"/>
    <mergeCell ref="Q2108:R2109"/>
    <mergeCell ref="S2108:T2109"/>
    <mergeCell ref="U2108:V2109"/>
    <mergeCell ref="W2108:W2109"/>
    <mergeCell ref="X2108:AB2108"/>
    <mergeCell ref="AD2108:AI2108"/>
    <mergeCell ref="AJ2108:AL2108"/>
    <mergeCell ref="AN2108:AO2108"/>
    <mergeCell ref="AP2108:AQ2108"/>
    <mergeCell ref="AR2108:AS2109"/>
    <mergeCell ref="AT2108:AU2109"/>
    <mergeCell ref="AV2108:AW2109"/>
    <mergeCell ref="AX2108:AY2109"/>
    <mergeCell ref="AZ2108:AZ2109"/>
    <mergeCell ref="F2109:H2109"/>
    <mergeCell ref="X2109:AB2109"/>
    <mergeCell ref="AE2109:AI2109"/>
    <mergeCell ref="AJ2109:AL2109"/>
    <mergeCell ref="AN2109:AO2109"/>
    <mergeCell ref="AP2109:AQ2109"/>
    <mergeCell ref="A2110:A2111"/>
    <mergeCell ref="E2110:E2111"/>
    <mergeCell ref="F2110:H2110"/>
    <mergeCell ref="J2110:J2111"/>
    <mergeCell ref="K2110:L2111"/>
    <mergeCell ref="M2110:N2111"/>
    <mergeCell ref="O2110:P2111"/>
    <mergeCell ref="Q2110:R2111"/>
    <mergeCell ref="S2110:T2111"/>
    <mergeCell ref="U2110:V2111"/>
    <mergeCell ref="W2110:W2111"/>
    <mergeCell ref="X2110:AB2110"/>
    <mergeCell ref="AD2110:AI2110"/>
    <mergeCell ref="AJ2110:AL2110"/>
    <mergeCell ref="AN2110:AO2110"/>
    <mergeCell ref="AP2110:AQ2110"/>
    <mergeCell ref="AR2110:AS2111"/>
    <mergeCell ref="AT2110:AU2111"/>
    <mergeCell ref="AV2110:AW2111"/>
    <mergeCell ref="AX2110:AY2111"/>
    <mergeCell ref="AZ2110:AZ2111"/>
    <mergeCell ref="F2111:H2111"/>
    <mergeCell ref="X2111:AB2111"/>
    <mergeCell ref="AE2111:AI2111"/>
    <mergeCell ref="AJ2111:AL2111"/>
    <mergeCell ref="AN2111:AO2111"/>
    <mergeCell ref="AP2111:AQ2111"/>
    <mergeCell ref="A2112:A2113"/>
    <mergeCell ref="E2112:E2113"/>
    <mergeCell ref="F2112:H2112"/>
    <mergeCell ref="J2112:J2113"/>
    <mergeCell ref="K2112:L2113"/>
    <mergeCell ref="M2112:N2113"/>
    <mergeCell ref="O2112:P2113"/>
    <mergeCell ref="Q2112:R2113"/>
    <mergeCell ref="S2112:T2113"/>
    <mergeCell ref="U2112:V2113"/>
    <mergeCell ref="W2112:W2113"/>
    <mergeCell ref="X2112:AB2112"/>
    <mergeCell ref="AD2112:AI2112"/>
    <mergeCell ref="AJ2112:AL2112"/>
    <mergeCell ref="AN2112:AO2112"/>
    <mergeCell ref="AP2112:AQ2112"/>
    <mergeCell ref="AR2112:AS2113"/>
    <mergeCell ref="AT2112:AU2113"/>
    <mergeCell ref="AV2112:AW2113"/>
    <mergeCell ref="AX2112:AY2113"/>
    <mergeCell ref="AZ2112:AZ2113"/>
    <mergeCell ref="F2113:H2113"/>
    <mergeCell ref="X2113:AB2113"/>
    <mergeCell ref="AE2113:AI2113"/>
    <mergeCell ref="AJ2113:AL2113"/>
    <mergeCell ref="AN2113:AO2113"/>
    <mergeCell ref="AP2113:AQ2113"/>
    <mergeCell ref="A2114:A2115"/>
    <mergeCell ref="E2114:E2115"/>
    <mergeCell ref="F2114:H2114"/>
    <mergeCell ref="J2114:J2115"/>
    <mergeCell ref="K2114:L2115"/>
    <mergeCell ref="M2114:N2115"/>
    <mergeCell ref="O2114:P2115"/>
    <mergeCell ref="Q2114:R2115"/>
    <mergeCell ref="S2114:T2115"/>
    <mergeCell ref="U2114:V2115"/>
    <mergeCell ref="W2114:W2115"/>
    <mergeCell ref="X2114:AB2114"/>
    <mergeCell ref="AD2114:AI2114"/>
    <mergeCell ref="AJ2114:AL2114"/>
    <mergeCell ref="AN2114:AO2114"/>
    <mergeCell ref="AP2114:AQ2114"/>
    <mergeCell ref="AR2114:AS2115"/>
    <mergeCell ref="AT2114:AU2115"/>
    <mergeCell ref="AV2114:AW2115"/>
    <mergeCell ref="AX2114:AY2115"/>
    <mergeCell ref="AZ2114:AZ2115"/>
    <mergeCell ref="F2115:H2115"/>
    <mergeCell ref="X2115:AB2115"/>
    <mergeCell ref="AE2115:AI2115"/>
    <mergeCell ref="AJ2115:AL2115"/>
    <mergeCell ref="AN2115:AO2115"/>
    <mergeCell ref="AP2115:AQ2115"/>
    <mergeCell ref="A2116:A2117"/>
    <mergeCell ref="E2116:E2117"/>
    <mergeCell ref="F2116:H2116"/>
    <mergeCell ref="J2116:J2117"/>
    <mergeCell ref="K2116:L2117"/>
    <mergeCell ref="M2116:N2117"/>
    <mergeCell ref="O2116:P2117"/>
    <mergeCell ref="Q2116:R2117"/>
    <mergeCell ref="S2116:T2117"/>
    <mergeCell ref="U2116:V2117"/>
    <mergeCell ref="W2116:W2117"/>
    <mergeCell ref="X2116:AB2116"/>
    <mergeCell ref="AD2116:AI2116"/>
    <mergeCell ref="AJ2116:AL2116"/>
    <mergeCell ref="AN2116:AO2116"/>
    <mergeCell ref="AP2116:AQ2116"/>
    <mergeCell ref="AR2116:AS2117"/>
    <mergeCell ref="AT2116:AU2117"/>
    <mergeCell ref="AV2116:AW2117"/>
    <mergeCell ref="AX2116:AY2117"/>
    <mergeCell ref="AZ2116:AZ2117"/>
    <mergeCell ref="F2117:H2117"/>
    <mergeCell ref="X2117:AB2117"/>
    <mergeCell ref="AE2117:AI2117"/>
    <mergeCell ref="AJ2117:AL2117"/>
    <mergeCell ref="AN2117:AO2117"/>
    <mergeCell ref="AP2117:AQ2117"/>
    <mergeCell ref="A2118:A2119"/>
    <mergeCell ref="E2118:E2119"/>
    <mergeCell ref="F2118:H2118"/>
    <mergeCell ref="J2118:J2119"/>
    <mergeCell ref="K2118:L2119"/>
    <mergeCell ref="M2118:N2119"/>
    <mergeCell ref="O2118:P2119"/>
    <mergeCell ref="Q2118:R2119"/>
    <mergeCell ref="S2118:T2119"/>
    <mergeCell ref="U2118:V2119"/>
    <mergeCell ref="W2118:W2119"/>
    <mergeCell ref="X2118:AB2118"/>
    <mergeCell ref="AD2118:AI2118"/>
    <mergeCell ref="AJ2118:AL2118"/>
    <mergeCell ref="AN2118:AO2118"/>
    <mergeCell ref="AP2118:AQ2118"/>
    <mergeCell ref="AR2118:AS2119"/>
    <mergeCell ref="AT2118:AU2119"/>
    <mergeCell ref="AV2118:AW2119"/>
    <mergeCell ref="AX2118:AY2119"/>
    <mergeCell ref="AZ2118:AZ2119"/>
    <mergeCell ref="F2119:H2119"/>
    <mergeCell ref="X2119:AB2119"/>
    <mergeCell ref="AE2119:AI2119"/>
    <mergeCell ref="AJ2119:AL2119"/>
    <mergeCell ref="AN2119:AO2119"/>
    <mergeCell ref="AP2119:AQ2119"/>
    <mergeCell ref="A2120:A2121"/>
    <mergeCell ref="E2120:E2121"/>
    <mergeCell ref="F2120:H2120"/>
    <mergeCell ref="J2120:J2121"/>
    <mergeCell ref="K2120:L2121"/>
    <mergeCell ref="M2120:N2121"/>
    <mergeCell ref="O2120:P2121"/>
    <mergeCell ref="Q2120:R2121"/>
    <mergeCell ref="S2120:T2121"/>
    <mergeCell ref="U2120:V2121"/>
    <mergeCell ref="W2120:W2121"/>
    <mergeCell ref="X2120:AB2120"/>
    <mergeCell ref="AD2120:AI2120"/>
    <mergeCell ref="AJ2120:AL2120"/>
    <mergeCell ref="AN2120:AO2120"/>
    <mergeCell ref="AP2120:AQ2120"/>
    <mergeCell ref="AR2120:AS2121"/>
    <mergeCell ref="AT2120:AU2121"/>
    <mergeCell ref="AV2120:AW2121"/>
    <mergeCell ref="AX2120:AY2121"/>
    <mergeCell ref="AZ2120:AZ2121"/>
    <mergeCell ref="F2121:H2121"/>
    <mergeCell ref="X2121:AB2121"/>
    <mergeCell ref="AE2121:AI2121"/>
    <mergeCell ref="AJ2121:AL2121"/>
    <mergeCell ref="AN2121:AO2121"/>
    <mergeCell ref="AP2121:AQ2121"/>
    <mergeCell ref="A2122:A2123"/>
    <mergeCell ref="E2122:E2123"/>
    <mergeCell ref="F2122:H2122"/>
    <mergeCell ref="J2122:J2123"/>
    <mergeCell ref="K2122:L2123"/>
    <mergeCell ref="M2122:N2123"/>
    <mergeCell ref="O2122:P2123"/>
    <mergeCell ref="Q2122:R2123"/>
    <mergeCell ref="S2122:T2123"/>
    <mergeCell ref="U2122:V2123"/>
    <mergeCell ref="W2122:W2123"/>
    <mergeCell ref="X2122:AB2122"/>
    <mergeCell ref="AD2122:AI2122"/>
    <mergeCell ref="AJ2122:AL2122"/>
    <mergeCell ref="AN2122:AO2122"/>
    <mergeCell ref="AP2122:AQ2122"/>
    <mergeCell ref="AR2122:AS2123"/>
    <mergeCell ref="AT2122:AU2123"/>
    <mergeCell ref="AV2122:AW2123"/>
    <mergeCell ref="AX2122:AY2123"/>
    <mergeCell ref="AZ2122:AZ2123"/>
    <mergeCell ref="F2123:H2123"/>
    <mergeCell ref="X2123:AB2123"/>
    <mergeCell ref="AE2123:AI2123"/>
    <mergeCell ref="AJ2123:AL2123"/>
    <mergeCell ref="AN2123:AO2123"/>
    <mergeCell ref="AP2123:AQ2123"/>
    <mergeCell ref="A2124:A2125"/>
    <mergeCell ref="E2124:E2125"/>
    <mergeCell ref="F2124:H2124"/>
    <mergeCell ref="J2124:J2125"/>
    <mergeCell ref="K2124:L2125"/>
    <mergeCell ref="M2124:N2125"/>
    <mergeCell ref="O2124:P2125"/>
    <mergeCell ref="Q2124:R2125"/>
    <mergeCell ref="S2124:T2125"/>
    <mergeCell ref="U2124:V2125"/>
    <mergeCell ref="W2124:W2125"/>
    <mergeCell ref="X2124:AB2124"/>
    <mergeCell ref="AD2124:AI2124"/>
    <mergeCell ref="AJ2124:AL2124"/>
    <mergeCell ref="AN2124:AO2124"/>
    <mergeCell ref="AP2124:AQ2124"/>
    <mergeCell ref="AR2124:AS2125"/>
    <mergeCell ref="AT2124:AU2125"/>
    <mergeCell ref="AV2124:AW2125"/>
    <mergeCell ref="AX2124:AY2125"/>
    <mergeCell ref="AZ2124:AZ2125"/>
    <mergeCell ref="F2125:H2125"/>
    <mergeCell ref="X2125:AB2125"/>
    <mergeCell ref="AE2125:AI2125"/>
    <mergeCell ref="AJ2125:AL2125"/>
    <mergeCell ref="AN2125:AO2125"/>
    <mergeCell ref="AP2125:AQ2125"/>
    <mergeCell ref="A2126:A2127"/>
    <mergeCell ref="E2126:E2127"/>
    <mergeCell ref="F2126:H2126"/>
    <mergeCell ref="J2126:J2127"/>
    <mergeCell ref="K2126:L2127"/>
    <mergeCell ref="M2126:N2127"/>
    <mergeCell ref="O2126:P2127"/>
    <mergeCell ref="Q2126:R2127"/>
    <mergeCell ref="S2126:T2127"/>
    <mergeCell ref="U2126:V2127"/>
    <mergeCell ref="W2126:W2127"/>
    <mergeCell ref="X2126:AB2126"/>
    <mergeCell ref="AD2126:AI2126"/>
    <mergeCell ref="AJ2126:AL2126"/>
    <mergeCell ref="AN2126:AO2126"/>
    <mergeCell ref="AP2126:AQ2126"/>
    <mergeCell ref="AR2126:AS2127"/>
    <mergeCell ref="AT2126:AU2127"/>
    <mergeCell ref="AV2126:AW2127"/>
    <mergeCell ref="AX2126:AY2127"/>
    <mergeCell ref="AZ2126:AZ2127"/>
    <mergeCell ref="F2127:H2127"/>
    <mergeCell ref="X2127:AB2127"/>
    <mergeCell ref="AE2127:AI2127"/>
    <mergeCell ref="AJ2127:AL2127"/>
    <mergeCell ref="AN2127:AO2127"/>
    <mergeCell ref="AP2127:AQ2127"/>
    <mergeCell ref="A2128:A2129"/>
    <mergeCell ref="E2128:E2129"/>
    <mergeCell ref="F2128:H2128"/>
    <mergeCell ref="J2128:J2129"/>
    <mergeCell ref="K2128:L2129"/>
    <mergeCell ref="M2128:N2129"/>
    <mergeCell ref="O2128:P2129"/>
    <mergeCell ref="Q2128:R2129"/>
    <mergeCell ref="S2128:T2129"/>
    <mergeCell ref="U2128:V2129"/>
    <mergeCell ref="W2128:W2129"/>
    <mergeCell ref="X2128:AB2128"/>
    <mergeCell ref="AD2128:AI2128"/>
    <mergeCell ref="AJ2128:AL2128"/>
    <mergeCell ref="AN2128:AO2128"/>
    <mergeCell ref="AP2128:AQ2128"/>
    <mergeCell ref="AR2128:AS2129"/>
    <mergeCell ref="AT2128:AU2129"/>
    <mergeCell ref="AV2128:AW2129"/>
    <mergeCell ref="AX2128:AY2129"/>
    <mergeCell ref="AZ2128:AZ2129"/>
    <mergeCell ref="F2129:H2129"/>
    <mergeCell ref="X2129:AB2129"/>
    <mergeCell ref="AE2129:AI2129"/>
    <mergeCell ref="AJ2129:AL2129"/>
    <mergeCell ref="AN2129:AO2129"/>
    <mergeCell ref="AP2129:AQ2129"/>
    <mergeCell ref="A2130:A2131"/>
    <mergeCell ref="E2130:E2131"/>
    <mergeCell ref="F2130:H2130"/>
    <mergeCell ref="J2130:J2131"/>
    <mergeCell ref="K2130:L2131"/>
    <mergeCell ref="M2130:N2131"/>
    <mergeCell ref="O2130:P2131"/>
    <mergeCell ref="Q2130:R2131"/>
    <mergeCell ref="S2130:T2131"/>
    <mergeCell ref="U2130:V2131"/>
    <mergeCell ref="W2130:W2131"/>
    <mergeCell ref="X2130:AB2130"/>
    <mergeCell ref="AD2130:AI2130"/>
    <mergeCell ref="AJ2130:AL2130"/>
    <mergeCell ref="AN2130:AO2130"/>
    <mergeCell ref="AP2130:AQ2130"/>
    <mergeCell ref="AR2130:AS2131"/>
    <mergeCell ref="AT2130:AU2131"/>
    <mergeCell ref="AV2130:AW2131"/>
    <mergeCell ref="AX2130:AY2131"/>
    <mergeCell ref="AZ2130:AZ2131"/>
    <mergeCell ref="F2131:H2131"/>
    <mergeCell ref="X2131:AB2131"/>
    <mergeCell ref="AE2131:AI2131"/>
    <mergeCell ref="AJ2131:AL2131"/>
    <mergeCell ref="AN2131:AO2131"/>
    <mergeCell ref="AP2131:AQ2131"/>
    <mergeCell ref="A2132:A2133"/>
    <mergeCell ref="E2132:E2133"/>
    <mergeCell ref="F2132:H2132"/>
    <mergeCell ref="J2132:J2133"/>
    <mergeCell ref="K2132:L2133"/>
    <mergeCell ref="M2132:N2133"/>
    <mergeCell ref="O2132:P2133"/>
    <mergeCell ref="Q2132:R2133"/>
    <mergeCell ref="S2132:T2133"/>
    <mergeCell ref="U2132:V2133"/>
    <mergeCell ref="W2132:W2133"/>
    <mergeCell ref="X2132:AB2132"/>
    <mergeCell ref="AD2132:AI2132"/>
    <mergeCell ref="AJ2132:AL2132"/>
    <mergeCell ref="AN2132:AO2132"/>
    <mergeCell ref="AP2132:AQ2132"/>
    <mergeCell ref="AR2132:AS2133"/>
    <mergeCell ref="AT2132:AU2133"/>
    <mergeCell ref="AV2132:AW2133"/>
    <mergeCell ref="AX2132:AY2133"/>
    <mergeCell ref="AZ2132:AZ2133"/>
    <mergeCell ref="F2133:H2133"/>
    <mergeCell ref="X2133:AB2133"/>
    <mergeCell ref="AE2133:AI2133"/>
    <mergeCell ref="AJ2133:AL2133"/>
    <mergeCell ref="AN2133:AO2133"/>
    <mergeCell ref="AP2133:AQ2133"/>
    <mergeCell ref="A2134:A2135"/>
    <mergeCell ref="E2134:E2135"/>
    <mergeCell ref="F2134:H2134"/>
    <mergeCell ref="J2134:J2135"/>
    <mergeCell ref="K2134:L2135"/>
    <mergeCell ref="M2134:N2135"/>
    <mergeCell ref="O2134:P2135"/>
    <mergeCell ref="Q2134:R2135"/>
    <mergeCell ref="S2134:T2135"/>
    <mergeCell ref="U2134:V2135"/>
    <mergeCell ref="W2134:W2135"/>
    <mergeCell ref="X2134:AB2134"/>
    <mergeCell ref="AD2134:AI2134"/>
    <mergeCell ref="AJ2134:AL2134"/>
    <mergeCell ref="AN2134:AO2134"/>
    <mergeCell ref="AP2134:AQ2134"/>
    <mergeCell ref="AR2134:AS2135"/>
    <mergeCell ref="AT2134:AU2135"/>
    <mergeCell ref="AV2134:AW2135"/>
    <mergeCell ref="AX2134:AY2135"/>
    <mergeCell ref="AZ2134:AZ2135"/>
    <mergeCell ref="F2135:H2135"/>
    <mergeCell ref="X2135:AB2135"/>
    <mergeCell ref="AE2135:AI2135"/>
    <mergeCell ref="AJ2135:AL2135"/>
    <mergeCell ref="AN2135:AO2135"/>
    <mergeCell ref="AP2135:AQ2135"/>
    <mergeCell ref="A2136:A2137"/>
    <mergeCell ref="E2136:E2137"/>
    <mergeCell ref="F2136:H2136"/>
    <mergeCell ref="J2136:J2137"/>
    <mergeCell ref="K2136:L2137"/>
    <mergeCell ref="M2136:N2137"/>
    <mergeCell ref="O2136:P2137"/>
    <mergeCell ref="Q2136:R2137"/>
    <mergeCell ref="S2136:T2137"/>
    <mergeCell ref="U2136:V2137"/>
    <mergeCell ref="W2136:W2137"/>
    <mergeCell ref="X2136:AB2136"/>
    <mergeCell ref="AD2136:AI2136"/>
    <mergeCell ref="AJ2136:AL2136"/>
    <mergeCell ref="AN2136:AO2136"/>
    <mergeCell ref="AP2136:AQ2136"/>
    <mergeCell ref="AR2136:AS2137"/>
    <mergeCell ref="AT2136:AU2137"/>
    <mergeCell ref="AV2136:AW2137"/>
    <mergeCell ref="AX2136:AY2137"/>
    <mergeCell ref="AZ2136:AZ2137"/>
    <mergeCell ref="F2137:H2137"/>
    <mergeCell ref="X2137:AB2137"/>
    <mergeCell ref="AE2137:AI2137"/>
    <mergeCell ref="AJ2137:AL2137"/>
    <mergeCell ref="AN2137:AO2137"/>
    <mergeCell ref="AP2137:AQ2137"/>
    <mergeCell ref="A2138:A2139"/>
    <mergeCell ref="E2138:E2139"/>
    <mergeCell ref="F2138:H2138"/>
    <mergeCell ref="J2138:J2139"/>
    <mergeCell ref="K2138:L2139"/>
    <mergeCell ref="M2138:N2139"/>
    <mergeCell ref="O2138:P2139"/>
    <mergeCell ref="Q2138:R2139"/>
    <mergeCell ref="S2138:T2139"/>
    <mergeCell ref="U2138:V2139"/>
    <mergeCell ref="W2138:W2139"/>
    <mergeCell ref="X2138:AB2138"/>
    <mergeCell ref="AD2138:AI2138"/>
    <mergeCell ref="AJ2138:AL2138"/>
    <mergeCell ref="AN2138:AO2138"/>
    <mergeCell ref="AP2138:AQ2138"/>
    <mergeCell ref="AR2138:AS2139"/>
    <mergeCell ref="AT2138:AU2139"/>
    <mergeCell ref="AV2138:AW2139"/>
    <mergeCell ref="AX2138:AY2139"/>
    <mergeCell ref="AZ2138:AZ2139"/>
    <mergeCell ref="F2139:H2139"/>
    <mergeCell ref="X2139:AB2139"/>
    <mergeCell ref="AE2139:AI2139"/>
    <mergeCell ref="AJ2139:AL2139"/>
    <mergeCell ref="AN2139:AO2139"/>
    <mergeCell ref="AP2139:AQ2139"/>
    <mergeCell ref="A2140:A2141"/>
    <mergeCell ref="E2140:E2141"/>
    <mergeCell ref="F2140:H2140"/>
    <mergeCell ref="J2140:J2141"/>
    <mergeCell ref="K2140:L2141"/>
    <mergeCell ref="M2140:N2141"/>
    <mergeCell ref="O2140:P2141"/>
    <mergeCell ref="Q2140:R2141"/>
    <mergeCell ref="S2140:T2141"/>
    <mergeCell ref="U2140:V2141"/>
    <mergeCell ref="W2140:W2141"/>
    <mergeCell ref="X2140:AB2140"/>
    <mergeCell ref="AD2140:AI2140"/>
    <mergeCell ref="AJ2140:AL2140"/>
    <mergeCell ref="AN2140:AO2140"/>
    <mergeCell ref="AP2140:AQ2140"/>
    <mergeCell ref="AR2140:AS2141"/>
    <mergeCell ref="AT2140:AU2141"/>
    <mergeCell ref="AV2140:AW2141"/>
    <mergeCell ref="AX2140:AY2141"/>
    <mergeCell ref="AZ2140:AZ2141"/>
    <mergeCell ref="F2141:H2141"/>
    <mergeCell ref="X2141:AB2141"/>
    <mergeCell ref="AE2141:AI2141"/>
    <mergeCell ref="AJ2141:AL2141"/>
    <mergeCell ref="AN2141:AO2141"/>
    <mergeCell ref="AP2141:AQ2141"/>
    <mergeCell ref="A2142:A2143"/>
    <mergeCell ref="E2142:E2143"/>
    <mergeCell ref="F2142:H2142"/>
    <mergeCell ref="J2142:J2143"/>
    <mergeCell ref="K2142:L2143"/>
    <mergeCell ref="M2142:N2143"/>
    <mergeCell ref="O2142:P2143"/>
    <mergeCell ref="Q2142:R2143"/>
    <mergeCell ref="S2142:T2143"/>
    <mergeCell ref="U2142:V2143"/>
    <mergeCell ref="W2142:W2143"/>
    <mergeCell ref="X2142:AB2142"/>
    <mergeCell ref="AD2142:AI2142"/>
    <mergeCell ref="AJ2142:AL2142"/>
    <mergeCell ref="AN2142:AO2142"/>
    <mergeCell ref="AP2142:AQ2142"/>
    <mergeCell ref="AR2142:AS2143"/>
    <mergeCell ref="AT2142:AU2143"/>
    <mergeCell ref="AV2142:AW2143"/>
    <mergeCell ref="AX2142:AY2143"/>
    <mergeCell ref="AZ2142:AZ2143"/>
    <mergeCell ref="F2143:H2143"/>
    <mergeCell ref="X2143:AB2143"/>
    <mergeCell ref="AE2143:AI2143"/>
    <mergeCell ref="AJ2143:AL2143"/>
    <mergeCell ref="AN2143:AO2143"/>
    <mergeCell ref="AP2143:AQ2143"/>
    <mergeCell ref="W2144:W2145"/>
    <mergeCell ref="X2144:AB2144"/>
    <mergeCell ref="AD2144:AI2144"/>
    <mergeCell ref="AJ2144:AL2144"/>
    <mergeCell ref="AN2144:AO2144"/>
    <mergeCell ref="AP2144:AQ2144"/>
    <mergeCell ref="AR2144:AS2145"/>
    <mergeCell ref="AT2144:AU2145"/>
    <mergeCell ref="AV2144:AW2145"/>
    <mergeCell ref="AX2144:AY2145"/>
    <mergeCell ref="AZ2144:AZ2145"/>
    <mergeCell ref="F2145:H2145"/>
    <mergeCell ref="X2145:AB2145"/>
    <mergeCell ref="AE2145:AI2145"/>
    <mergeCell ref="AJ2145:AL2145"/>
    <mergeCell ref="AN2145:AO2145"/>
    <mergeCell ref="AP2145:AQ2145"/>
    <mergeCell ref="A2146:A2147"/>
    <mergeCell ref="E2146:E2147"/>
    <mergeCell ref="F2146:H2146"/>
    <mergeCell ref="J2146:J2147"/>
    <mergeCell ref="K2146:L2147"/>
    <mergeCell ref="M2146:N2147"/>
    <mergeCell ref="O2146:P2147"/>
    <mergeCell ref="Q2146:R2147"/>
    <mergeCell ref="S2146:T2147"/>
    <mergeCell ref="U2146:V2147"/>
    <mergeCell ref="W2146:W2147"/>
    <mergeCell ref="X2146:AB2146"/>
    <mergeCell ref="AD2146:AI2146"/>
    <mergeCell ref="AJ2146:AL2146"/>
    <mergeCell ref="AN2146:AO2146"/>
    <mergeCell ref="AP2146:AQ2146"/>
    <mergeCell ref="AR2146:AS2147"/>
    <mergeCell ref="AT2146:AU2147"/>
    <mergeCell ref="AV2146:AW2147"/>
    <mergeCell ref="AX2146:AY2147"/>
    <mergeCell ref="AZ2146:AZ2147"/>
    <mergeCell ref="F2147:H2147"/>
    <mergeCell ref="X2147:AB2147"/>
    <mergeCell ref="AE2147:AI2147"/>
    <mergeCell ref="AJ2147:AL2147"/>
    <mergeCell ref="AN2147:AO2147"/>
    <mergeCell ref="AP2147:AQ2147"/>
    <mergeCell ref="A2148:A2149"/>
    <mergeCell ref="E2148:E2149"/>
    <mergeCell ref="F2148:H2148"/>
    <mergeCell ref="J2148:J2149"/>
    <mergeCell ref="K2148:L2149"/>
    <mergeCell ref="M2148:N2149"/>
    <mergeCell ref="O2148:P2149"/>
    <mergeCell ref="Q2148:R2149"/>
    <mergeCell ref="S2148:T2149"/>
    <mergeCell ref="U2148:V2149"/>
    <mergeCell ref="W2148:W2149"/>
    <mergeCell ref="X2148:AB2148"/>
    <mergeCell ref="AD2148:AI2148"/>
    <mergeCell ref="AJ2148:AL2148"/>
    <mergeCell ref="AN2148:AO2148"/>
    <mergeCell ref="AP2148:AQ2148"/>
    <mergeCell ref="AR2148:AS2149"/>
    <mergeCell ref="AT2148:AU2149"/>
    <mergeCell ref="AV2148:AW2149"/>
    <mergeCell ref="AX2148:AY2149"/>
    <mergeCell ref="AZ2148:AZ2149"/>
    <mergeCell ref="F2149:H2149"/>
    <mergeCell ref="X2149:AB2149"/>
    <mergeCell ref="AE2149:AI2149"/>
    <mergeCell ref="AJ2149:AL2149"/>
    <mergeCell ref="AN2149:AO2149"/>
    <mergeCell ref="AP2149:AQ2149"/>
    <mergeCell ref="A2082:A2083"/>
    <mergeCell ref="E2082:E2083"/>
    <mergeCell ref="F2082:H2082"/>
    <mergeCell ref="J2082:J2083"/>
    <mergeCell ref="K2082:L2083"/>
    <mergeCell ref="M2082:N2083"/>
    <mergeCell ref="O2082:P2083"/>
    <mergeCell ref="Q2082:R2083"/>
    <mergeCell ref="S2082:T2083"/>
    <mergeCell ref="U2082:V2083"/>
    <mergeCell ref="W2082:W2083"/>
    <mergeCell ref="X2082:AB2082"/>
    <mergeCell ref="AD2082:AI2082"/>
    <mergeCell ref="AJ2082:AL2082"/>
    <mergeCell ref="AN2082:AO2082"/>
    <mergeCell ref="AP2082:AQ2082"/>
    <mergeCell ref="AR2082:AS2083"/>
    <mergeCell ref="AT2082:AU2083"/>
    <mergeCell ref="AV2082:AW2083"/>
    <mergeCell ref="AX2082:AY2083"/>
    <mergeCell ref="AZ2082:AZ2083"/>
    <mergeCell ref="F2083:H2083"/>
    <mergeCell ref="X2083:AB2083"/>
    <mergeCell ref="AE2083:AI2083"/>
    <mergeCell ref="AJ2083:AL2083"/>
    <mergeCell ref="AN2083:AO2083"/>
    <mergeCell ref="AP2083:AQ2083"/>
    <mergeCell ref="A2144:A2145"/>
    <mergeCell ref="E2144:E2145"/>
    <mergeCell ref="F2144:H2144"/>
    <mergeCell ref="J2144:J2145"/>
    <mergeCell ref="K2144:L2145"/>
    <mergeCell ref="M2144:N2145"/>
    <mergeCell ref="O2144:P2145"/>
    <mergeCell ref="Q2144:R2145"/>
    <mergeCell ref="S2144:T2145"/>
    <mergeCell ref="U2144:V2145"/>
    <mergeCell ref="A2150:A2151"/>
    <mergeCell ref="E2150:E2151"/>
    <mergeCell ref="F2150:H2150"/>
    <mergeCell ref="J2150:J2151"/>
    <mergeCell ref="K2150:L2151"/>
    <mergeCell ref="M2150:N2151"/>
    <mergeCell ref="O2150:P2151"/>
    <mergeCell ref="Q2150:R2151"/>
    <mergeCell ref="S2150:T2151"/>
    <mergeCell ref="U2150:V2151"/>
    <mergeCell ref="W2150:W2151"/>
    <mergeCell ref="X2150:AB2150"/>
    <mergeCell ref="AD2150:AI2150"/>
    <mergeCell ref="AJ2150:AL2150"/>
    <mergeCell ref="AN2150:AO2150"/>
    <mergeCell ref="AP2150:AQ2150"/>
    <mergeCell ref="AR2150:AS2151"/>
    <mergeCell ref="AT2150:AU2151"/>
    <mergeCell ref="AV2150:AW2151"/>
    <mergeCell ref="AX2150:AY2151"/>
    <mergeCell ref="AZ2150:AZ2151"/>
    <mergeCell ref="F2151:H2151"/>
    <mergeCell ref="X2151:AB2151"/>
    <mergeCell ref="AE2151:AI2151"/>
    <mergeCell ref="AJ2151:AL2151"/>
    <mergeCell ref="AN2151:AO2151"/>
    <mergeCell ref="AP2151:AQ2151"/>
    <mergeCell ref="A2152:A2153"/>
    <mergeCell ref="E2152:E2153"/>
    <mergeCell ref="F2152:H2152"/>
    <mergeCell ref="J2152:J2153"/>
    <mergeCell ref="K2152:L2153"/>
    <mergeCell ref="M2152:N2153"/>
    <mergeCell ref="O2152:P2153"/>
    <mergeCell ref="Q2152:R2153"/>
    <mergeCell ref="S2152:T2153"/>
    <mergeCell ref="U2152:V2153"/>
    <mergeCell ref="W2152:W2153"/>
    <mergeCell ref="X2152:AB2152"/>
    <mergeCell ref="AD2152:AI2152"/>
    <mergeCell ref="AJ2152:AL2152"/>
    <mergeCell ref="AN2152:AO2152"/>
    <mergeCell ref="AP2152:AQ2152"/>
    <mergeCell ref="AR2152:AS2153"/>
    <mergeCell ref="AT2152:AU2153"/>
    <mergeCell ref="AV2152:AW2153"/>
    <mergeCell ref="AX2152:AY2153"/>
    <mergeCell ref="AZ2152:AZ2153"/>
    <mergeCell ref="F2153:H2153"/>
    <mergeCell ref="X2153:AB2153"/>
    <mergeCell ref="AE2153:AI2153"/>
    <mergeCell ref="AJ2153:AL2153"/>
    <mergeCell ref="AN2153:AO2153"/>
    <mergeCell ref="AP2153:AQ2153"/>
    <mergeCell ref="A2154:A2155"/>
    <mergeCell ref="E2154:E2155"/>
    <mergeCell ref="F2154:H2154"/>
    <mergeCell ref="J2154:J2155"/>
    <mergeCell ref="K2154:L2155"/>
    <mergeCell ref="M2154:N2155"/>
    <mergeCell ref="O2154:P2155"/>
    <mergeCell ref="Q2154:R2155"/>
    <mergeCell ref="S2154:T2155"/>
    <mergeCell ref="U2154:V2155"/>
    <mergeCell ref="W2154:W2155"/>
    <mergeCell ref="X2154:AB2154"/>
    <mergeCell ref="AD2154:AI2154"/>
    <mergeCell ref="AJ2154:AL2154"/>
    <mergeCell ref="AN2154:AO2154"/>
    <mergeCell ref="AP2154:AQ2154"/>
    <mergeCell ref="AR2154:AS2155"/>
    <mergeCell ref="AT2154:AU2155"/>
    <mergeCell ref="AV2154:AW2155"/>
    <mergeCell ref="AX2154:AY2155"/>
    <mergeCell ref="AZ2154:AZ2155"/>
    <mergeCell ref="F2155:H2155"/>
    <mergeCell ref="X2155:AB2155"/>
    <mergeCell ref="AE2155:AI2155"/>
    <mergeCell ref="AJ2155:AL2155"/>
    <mergeCell ref="AN2155:AO2155"/>
    <mergeCell ref="AP2155:AQ2155"/>
    <mergeCell ref="A2156:A2157"/>
    <mergeCell ref="E2156:E2157"/>
    <mergeCell ref="F2156:H2156"/>
    <mergeCell ref="J2156:J2157"/>
    <mergeCell ref="K2156:L2157"/>
    <mergeCell ref="M2156:N2157"/>
    <mergeCell ref="O2156:P2157"/>
    <mergeCell ref="Q2156:R2157"/>
    <mergeCell ref="S2156:T2157"/>
    <mergeCell ref="U2156:V2157"/>
    <mergeCell ref="W2156:W2157"/>
    <mergeCell ref="X2156:AB2156"/>
    <mergeCell ref="AD2156:AI2156"/>
    <mergeCell ref="AJ2156:AL2156"/>
    <mergeCell ref="AN2156:AO2156"/>
    <mergeCell ref="AP2156:AQ2156"/>
    <mergeCell ref="AR2156:AS2157"/>
    <mergeCell ref="AT2156:AU2157"/>
    <mergeCell ref="AV2156:AW2157"/>
    <mergeCell ref="AX2156:AY2157"/>
    <mergeCell ref="AZ2156:AZ2157"/>
    <mergeCell ref="F2157:H2157"/>
    <mergeCell ref="X2157:AB2157"/>
    <mergeCell ref="AE2157:AI2157"/>
    <mergeCell ref="AJ2157:AL2157"/>
    <mergeCell ref="AN2157:AO2157"/>
    <mergeCell ref="AP2157:AQ2157"/>
    <mergeCell ref="A2158:A2159"/>
    <mergeCell ref="E2158:E2159"/>
    <mergeCell ref="F2158:H2158"/>
    <mergeCell ref="J2158:J2159"/>
    <mergeCell ref="K2158:L2159"/>
    <mergeCell ref="M2158:N2159"/>
    <mergeCell ref="O2158:P2159"/>
    <mergeCell ref="Q2158:R2159"/>
    <mergeCell ref="S2158:T2159"/>
    <mergeCell ref="U2158:V2159"/>
    <mergeCell ref="W2158:W2159"/>
    <mergeCell ref="X2158:AB2158"/>
    <mergeCell ref="AD2158:AI2158"/>
    <mergeCell ref="AJ2158:AL2158"/>
    <mergeCell ref="AN2158:AO2158"/>
    <mergeCell ref="AP2158:AQ2158"/>
    <mergeCell ref="AR2158:AS2159"/>
    <mergeCell ref="AT2158:AU2159"/>
    <mergeCell ref="AV2158:AW2159"/>
    <mergeCell ref="AX2158:AY2159"/>
    <mergeCell ref="AZ2158:AZ2159"/>
    <mergeCell ref="F2159:H2159"/>
    <mergeCell ref="X2159:AB2159"/>
    <mergeCell ref="AE2159:AI2159"/>
    <mergeCell ref="AJ2159:AL2159"/>
    <mergeCell ref="AN2159:AO2159"/>
    <mergeCell ref="AP2159:AQ2159"/>
    <mergeCell ref="A2160:A2161"/>
    <mergeCell ref="E2160:E2161"/>
    <mergeCell ref="F2160:H2160"/>
    <mergeCell ref="J2160:J2161"/>
    <mergeCell ref="K2160:L2161"/>
    <mergeCell ref="M2160:N2161"/>
    <mergeCell ref="O2160:P2161"/>
    <mergeCell ref="Q2160:R2161"/>
    <mergeCell ref="S2160:T2161"/>
    <mergeCell ref="U2160:V2161"/>
    <mergeCell ref="W2160:W2161"/>
    <mergeCell ref="X2160:AB2160"/>
    <mergeCell ref="AD2160:AI2160"/>
    <mergeCell ref="AJ2160:AL2160"/>
    <mergeCell ref="AN2160:AO2160"/>
    <mergeCell ref="AP2160:AQ2160"/>
    <mergeCell ref="AR2160:AS2161"/>
    <mergeCell ref="AT2160:AU2161"/>
    <mergeCell ref="AV2160:AW2161"/>
    <mergeCell ref="AX2160:AY2161"/>
    <mergeCell ref="AZ2160:AZ2161"/>
    <mergeCell ref="F2161:H2161"/>
    <mergeCell ref="X2161:AB2161"/>
    <mergeCell ref="AE2161:AI2161"/>
    <mergeCell ref="AJ2161:AL2161"/>
    <mergeCell ref="AN2161:AO2161"/>
    <mergeCell ref="AP2161:AQ2161"/>
    <mergeCell ref="A2162:A2163"/>
    <mergeCell ref="E2162:E2163"/>
    <mergeCell ref="F2162:H2162"/>
    <mergeCell ref="J2162:J2163"/>
    <mergeCell ref="K2162:L2163"/>
    <mergeCell ref="M2162:N2163"/>
    <mergeCell ref="O2162:P2163"/>
    <mergeCell ref="Q2162:R2163"/>
    <mergeCell ref="S2162:T2163"/>
    <mergeCell ref="U2162:V2163"/>
    <mergeCell ref="W2162:W2163"/>
    <mergeCell ref="X2162:AB2162"/>
    <mergeCell ref="AD2162:AI2162"/>
    <mergeCell ref="AJ2162:AL2162"/>
    <mergeCell ref="AN2162:AO2162"/>
    <mergeCell ref="AP2162:AQ2162"/>
    <mergeCell ref="AR2162:AS2163"/>
    <mergeCell ref="AT2162:AU2163"/>
    <mergeCell ref="AV2162:AW2163"/>
    <mergeCell ref="AX2162:AY2163"/>
    <mergeCell ref="AZ2162:AZ2163"/>
    <mergeCell ref="F2163:H2163"/>
    <mergeCell ref="X2163:AB2163"/>
    <mergeCell ref="AE2163:AI2163"/>
    <mergeCell ref="AJ2163:AL2163"/>
    <mergeCell ref="AN2163:AO2163"/>
    <mergeCell ref="AP2163:AQ2163"/>
    <mergeCell ref="A2164:A2165"/>
    <mergeCell ref="E2164:E2165"/>
    <mergeCell ref="F2164:H2164"/>
    <mergeCell ref="J2164:J2165"/>
    <mergeCell ref="K2164:L2165"/>
    <mergeCell ref="M2164:N2165"/>
    <mergeCell ref="O2164:P2165"/>
    <mergeCell ref="Q2164:R2165"/>
    <mergeCell ref="S2164:T2165"/>
    <mergeCell ref="U2164:V2165"/>
    <mergeCell ref="W2164:W2165"/>
    <mergeCell ref="X2164:AB2164"/>
    <mergeCell ref="AD2164:AI2164"/>
    <mergeCell ref="AJ2164:AL2164"/>
    <mergeCell ref="AN2164:AO2164"/>
    <mergeCell ref="AP2164:AQ2164"/>
    <mergeCell ref="AR2164:AS2165"/>
    <mergeCell ref="AT2164:AU2165"/>
    <mergeCell ref="AV2164:AW2165"/>
    <mergeCell ref="AX2164:AY2165"/>
    <mergeCell ref="AZ2164:AZ2165"/>
    <mergeCell ref="F2165:H2165"/>
    <mergeCell ref="X2165:AB2165"/>
    <mergeCell ref="AE2165:AI2165"/>
    <mergeCell ref="AJ2165:AL2165"/>
    <mergeCell ref="AN2165:AO2165"/>
    <mergeCell ref="AP2165:AQ2165"/>
    <mergeCell ref="A2166:A2167"/>
    <mergeCell ref="E2166:E2167"/>
    <mergeCell ref="F2166:H2166"/>
    <mergeCell ref="J2166:J2167"/>
    <mergeCell ref="K2166:L2167"/>
    <mergeCell ref="M2166:N2167"/>
    <mergeCell ref="O2166:P2167"/>
    <mergeCell ref="Q2166:R2167"/>
    <mergeCell ref="S2166:T2167"/>
    <mergeCell ref="U2166:V2167"/>
    <mergeCell ref="W2166:W2167"/>
    <mergeCell ref="X2166:AB2166"/>
    <mergeCell ref="AD2166:AI2166"/>
    <mergeCell ref="AJ2166:AL2166"/>
    <mergeCell ref="AN2166:AO2166"/>
    <mergeCell ref="AP2166:AQ2166"/>
    <mergeCell ref="AR2166:AS2167"/>
    <mergeCell ref="AT2166:AU2167"/>
    <mergeCell ref="AV2166:AW2167"/>
    <mergeCell ref="AX2166:AY2167"/>
    <mergeCell ref="AZ2166:AZ2167"/>
    <mergeCell ref="F2167:H2167"/>
    <mergeCell ref="X2167:AB2167"/>
    <mergeCell ref="AE2167:AI2167"/>
    <mergeCell ref="AJ2167:AL2167"/>
    <mergeCell ref="AN2167:AO2167"/>
    <mergeCell ref="AP2167:AQ2167"/>
    <mergeCell ref="A2168:A2169"/>
    <mergeCell ref="E2168:E2169"/>
    <mergeCell ref="F2168:H2168"/>
    <mergeCell ref="J2168:J2169"/>
    <mergeCell ref="K2168:L2169"/>
    <mergeCell ref="M2168:N2169"/>
    <mergeCell ref="O2168:P2169"/>
    <mergeCell ref="Q2168:R2169"/>
    <mergeCell ref="S2168:T2169"/>
    <mergeCell ref="U2168:V2169"/>
    <mergeCell ref="W2168:W2169"/>
    <mergeCell ref="X2168:AB2168"/>
    <mergeCell ref="AD2168:AI2168"/>
    <mergeCell ref="AJ2168:AL2168"/>
    <mergeCell ref="AN2168:AO2168"/>
    <mergeCell ref="AP2168:AQ2168"/>
    <mergeCell ref="AR2168:AS2169"/>
    <mergeCell ref="AT2168:AU2169"/>
    <mergeCell ref="AV2168:AW2169"/>
    <mergeCell ref="AX2168:AY2169"/>
    <mergeCell ref="AZ2168:AZ2169"/>
    <mergeCell ref="F2169:H2169"/>
    <mergeCell ref="X2169:AB2169"/>
    <mergeCell ref="AE2169:AI2169"/>
    <mergeCell ref="AJ2169:AL2169"/>
    <mergeCell ref="AN2169:AO2169"/>
    <mergeCell ref="AP2169:AQ2169"/>
    <mergeCell ref="A2174:A2175"/>
    <mergeCell ref="E2174:E2175"/>
    <mergeCell ref="F2174:H2174"/>
    <mergeCell ref="J2174:J2175"/>
    <mergeCell ref="K2174:L2175"/>
    <mergeCell ref="M2174:N2175"/>
    <mergeCell ref="O2174:P2175"/>
    <mergeCell ref="Q2174:R2175"/>
    <mergeCell ref="S2174:T2175"/>
    <mergeCell ref="U2174:V2175"/>
    <mergeCell ref="W2174:W2175"/>
    <mergeCell ref="X2174:AB2174"/>
    <mergeCell ref="AD2174:AI2174"/>
    <mergeCell ref="AJ2174:AL2174"/>
    <mergeCell ref="AN2174:AO2174"/>
    <mergeCell ref="AP2174:AQ2174"/>
    <mergeCell ref="AR2174:AS2175"/>
    <mergeCell ref="AT2174:AU2175"/>
    <mergeCell ref="AV2174:AW2175"/>
    <mergeCell ref="AX2174:AY2175"/>
    <mergeCell ref="AZ2174:AZ2175"/>
    <mergeCell ref="F2175:H2175"/>
    <mergeCell ref="X2175:AB2175"/>
    <mergeCell ref="AE2175:AI2175"/>
    <mergeCell ref="AJ2175:AL2175"/>
    <mergeCell ref="AN2175:AO2175"/>
    <mergeCell ref="AP2175:AQ2175"/>
    <mergeCell ref="A2176:A2177"/>
    <mergeCell ref="E2176:E2177"/>
    <mergeCell ref="F2176:H2176"/>
    <mergeCell ref="J2176:J2177"/>
    <mergeCell ref="K2176:L2177"/>
    <mergeCell ref="M2176:N2177"/>
    <mergeCell ref="O2176:P2177"/>
    <mergeCell ref="Q2176:R2177"/>
    <mergeCell ref="S2176:T2177"/>
    <mergeCell ref="U2176:V2177"/>
    <mergeCell ref="W2176:W2177"/>
    <mergeCell ref="X2176:AB2176"/>
    <mergeCell ref="AD2176:AI2176"/>
    <mergeCell ref="AJ2176:AL2176"/>
    <mergeCell ref="AN2176:AO2176"/>
    <mergeCell ref="AP2176:AQ2176"/>
    <mergeCell ref="AR2176:AS2177"/>
    <mergeCell ref="AT2176:AU2177"/>
    <mergeCell ref="AV2176:AW2177"/>
    <mergeCell ref="AX2176:AY2177"/>
    <mergeCell ref="AZ2176:AZ2177"/>
    <mergeCell ref="F2177:H2177"/>
    <mergeCell ref="X2177:AB2177"/>
    <mergeCell ref="AE2177:AI2177"/>
    <mergeCell ref="AJ2177:AL2177"/>
    <mergeCell ref="AN2177:AO2177"/>
    <mergeCell ref="AP2177:AQ2177"/>
    <mergeCell ref="A2178:A2179"/>
    <mergeCell ref="E2178:E2179"/>
    <mergeCell ref="F2178:H2178"/>
    <mergeCell ref="J2178:J2179"/>
    <mergeCell ref="K2178:L2179"/>
    <mergeCell ref="M2178:N2179"/>
    <mergeCell ref="O2178:P2179"/>
    <mergeCell ref="Q2178:R2179"/>
    <mergeCell ref="S2178:T2179"/>
    <mergeCell ref="U2178:V2179"/>
    <mergeCell ref="W2178:W2179"/>
    <mergeCell ref="X2178:AB2178"/>
    <mergeCell ref="AD2178:AI2178"/>
    <mergeCell ref="AJ2178:AL2178"/>
    <mergeCell ref="AN2178:AO2178"/>
    <mergeCell ref="AP2178:AQ2178"/>
    <mergeCell ref="AR2178:AS2179"/>
    <mergeCell ref="AT2178:AU2179"/>
    <mergeCell ref="AV2178:AW2179"/>
    <mergeCell ref="AX2178:AY2179"/>
    <mergeCell ref="AZ2178:AZ2179"/>
    <mergeCell ref="F2179:H2179"/>
    <mergeCell ref="X2179:AB2179"/>
    <mergeCell ref="AE2179:AI2179"/>
    <mergeCell ref="AJ2179:AL2179"/>
    <mergeCell ref="AN2179:AO2179"/>
    <mergeCell ref="AP2179:AQ2179"/>
    <mergeCell ref="A2180:A2181"/>
    <mergeCell ref="E2180:E2181"/>
    <mergeCell ref="F2180:H2180"/>
    <mergeCell ref="J2180:J2181"/>
    <mergeCell ref="K2180:L2181"/>
    <mergeCell ref="M2180:N2181"/>
    <mergeCell ref="O2180:P2181"/>
    <mergeCell ref="Q2180:R2181"/>
    <mergeCell ref="S2180:T2181"/>
    <mergeCell ref="U2180:V2181"/>
    <mergeCell ref="W2180:W2181"/>
    <mergeCell ref="X2180:AB2180"/>
    <mergeCell ref="AD2180:AI2180"/>
    <mergeCell ref="AJ2180:AL2180"/>
    <mergeCell ref="AN2180:AO2180"/>
    <mergeCell ref="AP2180:AQ2180"/>
    <mergeCell ref="AR2180:AS2181"/>
    <mergeCell ref="AT2180:AU2181"/>
    <mergeCell ref="AV2180:AW2181"/>
    <mergeCell ref="AX2180:AY2181"/>
    <mergeCell ref="AZ2180:AZ2181"/>
    <mergeCell ref="F2181:H2181"/>
    <mergeCell ref="X2181:AB2181"/>
    <mergeCell ref="AE2181:AI2181"/>
    <mergeCell ref="AJ2181:AL2181"/>
    <mergeCell ref="AN2181:AO2181"/>
    <mergeCell ref="AP2181:AQ2181"/>
    <mergeCell ref="A2182:A2183"/>
    <mergeCell ref="E2182:E2183"/>
    <mergeCell ref="F2182:H2182"/>
    <mergeCell ref="J2182:J2183"/>
    <mergeCell ref="K2182:L2183"/>
    <mergeCell ref="M2182:N2183"/>
    <mergeCell ref="O2182:P2183"/>
    <mergeCell ref="Q2182:R2183"/>
    <mergeCell ref="S2182:T2183"/>
    <mergeCell ref="U2182:V2183"/>
    <mergeCell ref="W2182:W2183"/>
    <mergeCell ref="X2182:AB2182"/>
    <mergeCell ref="AD2182:AI2182"/>
    <mergeCell ref="AJ2182:AL2182"/>
    <mergeCell ref="AN2182:AO2182"/>
    <mergeCell ref="AP2182:AQ2182"/>
    <mergeCell ref="AR2182:AS2183"/>
    <mergeCell ref="AT2182:AU2183"/>
    <mergeCell ref="AV2182:AW2183"/>
    <mergeCell ref="AX2182:AY2183"/>
    <mergeCell ref="AZ2182:AZ2183"/>
    <mergeCell ref="F2183:H2183"/>
    <mergeCell ref="X2183:AB2183"/>
    <mergeCell ref="AE2183:AI2183"/>
    <mergeCell ref="AJ2183:AL2183"/>
    <mergeCell ref="AN2183:AO2183"/>
    <mergeCell ref="AP2183:AQ2183"/>
    <mergeCell ref="A2184:A2185"/>
    <mergeCell ref="E2184:E2185"/>
    <mergeCell ref="F2184:H2184"/>
    <mergeCell ref="J2184:J2185"/>
    <mergeCell ref="K2184:L2185"/>
    <mergeCell ref="M2184:N2185"/>
    <mergeCell ref="O2184:P2185"/>
    <mergeCell ref="Q2184:R2185"/>
    <mergeCell ref="S2184:T2185"/>
    <mergeCell ref="U2184:V2185"/>
    <mergeCell ref="W2184:W2185"/>
    <mergeCell ref="X2184:AB2184"/>
    <mergeCell ref="AD2184:AI2184"/>
    <mergeCell ref="AJ2184:AL2184"/>
    <mergeCell ref="AN2184:AO2184"/>
    <mergeCell ref="AP2184:AQ2184"/>
    <mergeCell ref="AR2184:AS2185"/>
    <mergeCell ref="AT2184:AU2185"/>
    <mergeCell ref="AV2184:AW2185"/>
    <mergeCell ref="AX2184:AY2185"/>
    <mergeCell ref="AZ2184:AZ2185"/>
    <mergeCell ref="F2185:H2185"/>
    <mergeCell ref="X2185:AB2185"/>
    <mergeCell ref="AE2185:AI2185"/>
    <mergeCell ref="AJ2185:AL2185"/>
    <mergeCell ref="AN2185:AO2185"/>
    <mergeCell ref="AP2185:AQ2185"/>
    <mergeCell ref="A2192:A2193"/>
    <mergeCell ref="E2192:E2193"/>
    <mergeCell ref="F2192:H2192"/>
    <mergeCell ref="J2192:J2193"/>
    <mergeCell ref="K2192:L2193"/>
    <mergeCell ref="M2192:N2193"/>
    <mergeCell ref="O2192:P2193"/>
    <mergeCell ref="Q2192:R2193"/>
    <mergeCell ref="S2192:T2193"/>
    <mergeCell ref="U2192:V2193"/>
    <mergeCell ref="W2192:W2193"/>
    <mergeCell ref="X2192:AB2192"/>
    <mergeCell ref="AD2192:AI2192"/>
    <mergeCell ref="AJ2192:AL2192"/>
    <mergeCell ref="AN2192:AO2192"/>
    <mergeCell ref="AP2192:AQ2192"/>
    <mergeCell ref="AR2192:AS2193"/>
    <mergeCell ref="AT2192:AU2193"/>
    <mergeCell ref="AV2192:AW2193"/>
    <mergeCell ref="AX2192:AY2193"/>
    <mergeCell ref="AZ2192:AZ2193"/>
    <mergeCell ref="F2193:H2193"/>
    <mergeCell ref="X2193:AB2193"/>
    <mergeCell ref="AE2193:AI2193"/>
    <mergeCell ref="AJ2193:AL2193"/>
    <mergeCell ref="AN2193:AO2193"/>
    <mergeCell ref="AP2193:AQ2193"/>
    <mergeCell ref="A2194:A2195"/>
    <mergeCell ref="E2194:E2195"/>
    <mergeCell ref="F2194:H2194"/>
    <mergeCell ref="J2194:J2195"/>
    <mergeCell ref="K2194:L2195"/>
    <mergeCell ref="M2194:N2195"/>
    <mergeCell ref="O2194:P2195"/>
    <mergeCell ref="Q2194:R2195"/>
    <mergeCell ref="S2194:T2195"/>
    <mergeCell ref="U2194:V2195"/>
    <mergeCell ref="W2194:W2195"/>
    <mergeCell ref="X2194:AB2194"/>
    <mergeCell ref="AD2194:AI2194"/>
    <mergeCell ref="AJ2194:AL2194"/>
    <mergeCell ref="AN2194:AO2194"/>
    <mergeCell ref="AP2194:AQ2194"/>
    <mergeCell ref="AR2194:AS2195"/>
    <mergeCell ref="AT2194:AU2195"/>
    <mergeCell ref="AV2194:AW2195"/>
    <mergeCell ref="AX2194:AY2195"/>
    <mergeCell ref="AZ2194:AZ2195"/>
    <mergeCell ref="F2195:H2195"/>
    <mergeCell ref="X2195:AB2195"/>
    <mergeCell ref="AE2195:AI2195"/>
    <mergeCell ref="AJ2195:AL2195"/>
    <mergeCell ref="AN2195:AO2195"/>
    <mergeCell ref="AP2195:AQ2195"/>
    <mergeCell ref="A2216:A2217"/>
    <mergeCell ref="E2216:E2217"/>
    <mergeCell ref="F2216:H2216"/>
    <mergeCell ref="J2216:J2217"/>
    <mergeCell ref="K2216:L2217"/>
    <mergeCell ref="M2216:N2217"/>
    <mergeCell ref="O2216:P2217"/>
    <mergeCell ref="Q2216:R2217"/>
    <mergeCell ref="S2216:T2217"/>
    <mergeCell ref="U2216:V2217"/>
    <mergeCell ref="W2216:W2217"/>
    <mergeCell ref="X2216:AB2216"/>
    <mergeCell ref="AD2216:AI2216"/>
    <mergeCell ref="AJ2216:AL2216"/>
    <mergeCell ref="AN2216:AO2216"/>
    <mergeCell ref="AP2216:AQ2216"/>
    <mergeCell ref="AR2216:AS2217"/>
    <mergeCell ref="AT2216:AU2217"/>
    <mergeCell ref="AV2216:AW2217"/>
    <mergeCell ref="AX2216:AY2217"/>
    <mergeCell ref="AZ2216:AZ2217"/>
    <mergeCell ref="F2217:H2217"/>
    <mergeCell ref="X2217:AB2217"/>
    <mergeCell ref="AE2217:AI2217"/>
    <mergeCell ref="AJ2217:AL2217"/>
    <mergeCell ref="AN2217:AO2217"/>
    <mergeCell ref="AP2217:AQ2217"/>
    <mergeCell ref="A2218:A2219"/>
    <mergeCell ref="E2218:E2219"/>
    <mergeCell ref="F2218:H2218"/>
    <mergeCell ref="J2218:J2219"/>
    <mergeCell ref="K2218:L2219"/>
    <mergeCell ref="M2218:N2219"/>
    <mergeCell ref="O2218:P2219"/>
    <mergeCell ref="Q2218:R2219"/>
    <mergeCell ref="S2218:T2219"/>
    <mergeCell ref="U2218:V2219"/>
    <mergeCell ref="W2218:W2219"/>
    <mergeCell ref="X2218:AB2218"/>
    <mergeCell ref="AD2218:AI2218"/>
    <mergeCell ref="AJ2218:AL2218"/>
    <mergeCell ref="AN2218:AO2218"/>
    <mergeCell ref="AP2218:AQ2218"/>
    <mergeCell ref="AR2218:AS2219"/>
    <mergeCell ref="AT2218:AU2219"/>
    <mergeCell ref="AV2218:AW2219"/>
    <mergeCell ref="AX2218:AY2219"/>
    <mergeCell ref="AZ2218:AZ2219"/>
    <mergeCell ref="F2219:H2219"/>
    <mergeCell ref="X2219:AB2219"/>
    <mergeCell ref="AE2219:AI2219"/>
    <mergeCell ref="AJ2219:AL2219"/>
    <mergeCell ref="AN2219:AO2219"/>
    <mergeCell ref="AP2219:AQ2219"/>
    <mergeCell ref="A2220:A2221"/>
    <mergeCell ref="E2220:E2221"/>
    <mergeCell ref="F2220:H2220"/>
    <mergeCell ref="J2220:J2221"/>
    <mergeCell ref="K2220:L2221"/>
    <mergeCell ref="M2220:N2221"/>
    <mergeCell ref="O2220:P2221"/>
    <mergeCell ref="Q2220:R2221"/>
    <mergeCell ref="S2220:T2221"/>
    <mergeCell ref="U2220:V2221"/>
    <mergeCell ref="W2220:W2221"/>
    <mergeCell ref="X2220:AB2220"/>
    <mergeCell ref="AD2220:AI2220"/>
    <mergeCell ref="AJ2220:AL2220"/>
    <mergeCell ref="AN2220:AO2220"/>
    <mergeCell ref="AP2220:AQ2220"/>
    <mergeCell ref="AR2220:AS2221"/>
    <mergeCell ref="AT2220:AU2221"/>
    <mergeCell ref="AV2220:AW2221"/>
    <mergeCell ref="AX2220:AY2221"/>
    <mergeCell ref="AZ2220:AZ2221"/>
    <mergeCell ref="F2221:H2221"/>
    <mergeCell ref="X2221:AB2221"/>
    <mergeCell ref="AE2221:AI2221"/>
    <mergeCell ref="AJ2221:AL2221"/>
    <mergeCell ref="AN2221:AO2221"/>
    <mergeCell ref="AP2221:AQ2221"/>
    <mergeCell ref="A2222:A2223"/>
    <mergeCell ref="E2222:E2223"/>
    <mergeCell ref="F2222:H2222"/>
    <mergeCell ref="J2222:J2223"/>
    <mergeCell ref="K2222:L2223"/>
    <mergeCell ref="M2222:N2223"/>
    <mergeCell ref="O2222:P2223"/>
    <mergeCell ref="Q2222:R2223"/>
    <mergeCell ref="S2222:T2223"/>
    <mergeCell ref="U2222:V2223"/>
    <mergeCell ref="W2222:W2223"/>
    <mergeCell ref="X2222:AB2222"/>
    <mergeCell ref="AD2222:AI2222"/>
    <mergeCell ref="AJ2222:AL2222"/>
    <mergeCell ref="AN2222:AO2222"/>
    <mergeCell ref="AP2222:AQ2222"/>
    <mergeCell ref="AR2222:AS2223"/>
    <mergeCell ref="AT2222:AU2223"/>
    <mergeCell ref="AV2222:AW2223"/>
    <mergeCell ref="AX2222:AY2223"/>
    <mergeCell ref="AZ2222:AZ2223"/>
    <mergeCell ref="F2223:H2223"/>
    <mergeCell ref="X2223:AB2223"/>
    <mergeCell ref="AE2223:AI2223"/>
    <mergeCell ref="AJ2223:AL2223"/>
    <mergeCell ref="AN2223:AO2223"/>
    <mergeCell ref="AP2223:AQ2223"/>
    <mergeCell ref="A2224:A2225"/>
    <mergeCell ref="E2224:E2225"/>
    <mergeCell ref="F2224:H2224"/>
    <mergeCell ref="J2224:J2225"/>
    <mergeCell ref="K2224:L2225"/>
    <mergeCell ref="M2224:N2225"/>
    <mergeCell ref="O2224:P2225"/>
    <mergeCell ref="Q2224:R2225"/>
    <mergeCell ref="S2224:T2225"/>
    <mergeCell ref="U2224:V2225"/>
    <mergeCell ref="W2224:W2225"/>
    <mergeCell ref="X2224:AB2224"/>
    <mergeCell ref="AD2224:AI2224"/>
    <mergeCell ref="AJ2224:AL2224"/>
    <mergeCell ref="AN2224:AO2224"/>
    <mergeCell ref="AP2224:AQ2224"/>
    <mergeCell ref="AR2224:AS2225"/>
    <mergeCell ref="AT2224:AU2225"/>
    <mergeCell ref="AV2224:AW2225"/>
    <mergeCell ref="AX2224:AY2225"/>
    <mergeCell ref="AZ2224:AZ2225"/>
    <mergeCell ref="F2225:H2225"/>
    <mergeCell ref="X2225:AB2225"/>
    <mergeCell ref="AE2225:AI2225"/>
    <mergeCell ref="AJ2225:AL2225"/>
    <mergeCell ref="AN2225:AO2225"/>
    <mergeCell ref="AP2225:AQ2225"/>
    <mergeCell ref="A2226:A2227"/>
    <mergeCell ref="E2226:E2227"/>
    <mergeCell ref="F2226:H2226"/>
    <mergeCell ref="J2226:J2227"/>
    <mergeCell ref="K2226:L2227"/>
    <mergeCell ref="M2226:N2227"/>
    <mergeCell ref="O2226:P2227"/>
    <mergeCell ref="Q2226:R2227"/>
    <mergeCell ref="S2226:T2227"/>
    <mergeCell ref="U2226:V2227"/>
    <mergeCell ref="W2226:W2227"/>
    <mergeCell ref="X2226:AB2226"/>
    <mergeCell ref="AD2226:AI2226"/>
    <mergeCell ref="AJ2226:AL2226"/>
    <mergeCell ref="AN2226:AO2226"/>
    <mergeCell ref="AP2226:AQ2226"/>
    <mergeCell ref="AR2226:AS2227"/>
    <mergeCell ref="AT2226:AU2227"/>
    <mergeCell ref="AV2226:AW2227"/>
    <mergeCell ref="AX2226:AY2227"/>
    <mergeCell ref="AZ2226:AZ2227"/>
    <mergeCell ref="F2227:H2227"/>
    <mergeCell ref="X2227:AB2227"/>
    <mergeCell ref="AE2227:AI2227"/>
    <mergeCell ref="AJ2227:AL2227"/>
    <mergeCell ref="AN2227:AO2227"/>
    <mergeCell ref="AP2227:AQ2227"/>
    <mergeCell ref="A2228:A2229"/>
    <mergeCell ref="E2228:E2229"/>
    <mergeCell ref="F2228:H2228"/>
    <mergeCell ref="J2228:J2229"/>
    <mergeCell ref="K2228:L2229"/>
    <mergeCell ref="M2228:N2229"/>
    <mergeCell ref="O2228:P2229"/>
    <mergeCell ref="Q2228:R2229"/>
    <mergeCell ref="S2228:T2229"/>
    <mergeCell ref="U2228:V2229"/>
    <mergeCell ref="W2228:W2229"/>
    <mergeCell ref="X2228:AB2228"/>
    <mergeCell ref="AD2228:AI2228"/>
    <mergeCell ref="AJ2228:AL2228"/>
    <mergeCell ref="AN2228:AO2228"/>
    <mergeCell ref="AP2228:AQ2228"/>
    <mergeCell ref="AR2228:AS2229"/>
    <mergeCell ref="AT2228:AU2229"/>
    <mergeCell ref="AV2228:AW2229"/>
    <mergeCell ref="AX2228:AY2229"/>
    <mergeCell ref="AZ2228:AZ2229"/>
    <mergeCell ref="F2229:H2229"/>
    <mergeCell ref="X2229:AB2229"/>
    <mergeCell ref="AE2229:AI2229"/>
    <mergeCell ref="AJ2229:AL2229"/>
    <mergeCell ref="AN2229:AO2229"/>
    <mergeCell ref="AP2229:AQ2229"/>
    <mergeCell ref="A2230:A2231"/>
    <mergeCell ref="E2230:E2231"/>
    <mergeCell ref="F2230:H2230"/>
    <mergeCell ref="J2230:J2231"/>
    <mergeCell ref="K2230:L2231"/>
    <mergeCell ref="M2230:N2231"/>
    <mergeCell ref="O2230:P2231"/>
    <mergeCell ref="Q2230:R2231"/>
    <mergeCell ref="S2230:T2231"/>
    <mergeCell ref="U2230:V2231"/>
    <mergeCell ref="W2230:W2231"/>
    <mergeCell ref="X2230:AB2230"/>
    <mergeCell ref="AD2230:AI2230"/>
    <mergeCell ref="AJ2230:AL2230"/>
    <mergeCell ref="AN2230:AO2230"/>
    <mergeCell ref="AP2230:AQ2230"/>
    <mergeCell ref="AR2230:AS2231"/>
    <mergeCell ref="AT2230:AU2231"/>
    <mergeCell ref="AV2230:AW2231"/>
    <mergeCell ref="AX2230:AY2231"/>
    <mergeCell ref="AZ2230:AZ2231"/>
    <mergeCell ref="F2231:H2231"/>
    <mergeCell ref="X2231:AB2231"/>
    <mergeCell ref="AE2231:AI2231"/>
    <mergeCell ref="AJ2231:AL2231"/>
    <mergeCell ref="AN2231:AO2231"/>
    <mergeCell ref="AP2231:AQ2231"/>
    <mergeCell ref="A2232:A2233"/>
    <mergeCell ref="E2232:E2233"/>
    <mergeCell ref="F2232:H2232"/>
    <mergeCell ref="J2232:J2233"/>
    <mergeCell ref="K2232:L2233"/>
    <mergeCell ref="M2232:N2233"/>
    <mergeCell ref="O2232:P2233"/>
    <mergeCell ref="Q2232:R2233"/>
    <mergeCell ref="S2232:T2233"/>
    <mergeCell ref="U2232:V2233"/>
    <mergeCell ref="W2232:W2233"/>
    <mergeCell ref="X2232:AB2232"/>
    <mergeCell ref="AD2232:AI2232"/>
    <mergeCell ref="AJ2232:AL2232"/>
    <mergeCell ref="AN2232:AO2232"/>
    <mergeCell ref="AP2232:AQ2232"/>
    <mergeCell ref="AR2232:AS2233"/>
    <mergeCell ref="AT2232:AU2233"/>
    <mergeCell ref="AV2232:AW2233"/>
    <mergeCell ref="AX2232:AY2233"/>
    <mergeCell ref="AZ2232:AZ2233"/>
    <mergeCell ref="F2233:H2233"/>
    <mergeCell ref="X2233:AB2233"/>
    <mergeCell ref="AE2233:AI2233"/>
    <mergeCell ref="AJ2233:AL2233"/>
    <mergeCell ref="AN2233:AO2233"/>
    <mergeCell ref="AP2233:AQ2233"/>
    <mergeCell ref="A2234:A2235"/>
    <mergeCell ref="E2234:E2235"/>
    <mergeCell ref="F2234:H2234"/>
    <mergeCell ref="J2234:J2235"/>
    <mergeCell ref="K2234:L2235"/>
    <mergeCell ref="M2234:N2235"/>
    <mergeCell ref="O2234:P2235"/>
    <mergeCell ref="Q2234:R2235"/>
    <mergeCell ref="S2234:T2235"/>
    <mergeCell ref="U2234:V2235"/>
    <mergeCell ref="W2234:W2235"/>
    <mergeCell ref="X2234:AB2234"/>
    <mergeCell ref="AD2234:AI2234"/>
    <mergeCell ref="AJ2234:AL2234"/>
    <mergeCell ref="AN2234:AO2234"/>
    <mergeCell ref="AP2234:AQ2234"/>
    <mergeCell ref="AR2234:AS2235"/>
    <mergeCell ref="AT2234:AU2235"/>
    <mergeCell ref="AV2234:AW2235"/>
    <mergeCell ref="AX2234:AY2235"/>
    <mergeCell ref="AZ2234:AZ2235"/>
    <mergeCell ref="F2235:H2235"/>
    <mergeCell ref="X2235:AB2235"/>
    <mergeCell ref="AE2235:AI2235"/>
    <mergeCell ref="AJ2235:AL2235"/>
    <mergeCell ref="AN2235:AO2235"/>
    <mergeCell ref="AP2235:AQ2235"/>
    <mergeCell ref="AZ2242:AZ2243"/>
    <mergeCell ref="F2243:H2243"/>
    <mergeCell ref="X2243:AB2243"/>
    <mergeCell ref="AE2243:AI2243"/>
    <mergeCell ref="AJ2243:AL2243"/>
    <mergeCell ref="AN2243:AO2243"/>
    <mergeCell ref="AP2243:AQ2243"/>
    <mergeCell ref="A2236:A2237"/>
    <mergeCell ref="E2236:E2237"/>
    <mergeCell ref="F2236:H2236"/>
    <mergeCell ref="J2236:J2237"/>
    <mergeCell ref="K2236:L2237"/>
    <mergeCell ref="M2236:N2237"/>
    <mergeCell ref="O2236:P2237"/>
    <mergeCell ref="Q2236:R2237"/>
    <mergeCell ref="S2236:T2237"/>
    <mergeCell ref="U2236:V2237"/>
    <mergeCell ref="W2236:W2237"/>
    <mergeCell ref="X2236:AB2236"/>
    <mergeCell ref="AD2236:AI2236"/>
    <mergeCell ref="AJ2236:AL2236"/>
    <mergeCell ref="AN2236:AO2236"/>
    <mergeCell ref="AP2236:AQ2236"/>
    <mergeCell ref="AR2236:AS2237"/>
    <mergeCell ref="AT2236:AU2237"/>
    <mergeCell ref="AV2236:AW2237"/>
    <mergeCell ref="AX2236:AY2237"/>
    <mergeCell ref="AZ2236:AZ2237"/>
    <mergeCell ref="F2237:H2237"/>
    <mergeCell ref="X2237:AB2237"/>
    <mergeCell ref="AE2237:AI2237"/>
    <mergeCell ref="AJ2237:AL2237"/>
    <mergeCell ref="AN2237:AO2237"/>
    <mergeCell ref="AP2237:AQ2237"/>
    <mergeCell ref="A2238:A2239"/>
    <mergeCell ref="E2238:E2239"/>
    <mergeCell ref="F2238:H2238"/>
    <mergeCell ref="J2238:J2239"/>
    <mergeCell ref="K2238:L2239"/>
    <mergeCell ref="M2238:N2239"/>
    <mergeCell ref="O2238:P2239"/>
    <mergeCell ref="Q2238:R2239"/>
    <mergeCell ref="S2238:T2239"/>
    <mergeCell ref="U2238:V2239"/>
    <mergeCell ref="W2238:W2239"/>
    <mergeCell ref="X2238:AB2238"/>
    <mergeCell ref="AD2238:AI2238"/>
    <mergeCell ref="AJ2238:AL2238"/>
    <mergeCell ref="AN2238:AO2238"/>
    <mergeCell ref="AP2238:AQ2238"/>
    <mergeCell ref="AR2238:AS2239"/>
    <mergeCell ref="AT2238:AU2239"/>
    <mergeCell ref="AV2238:AW2239"/>
    <mergeCell ref="AX2238:AY2239"/>
    <mergeCell ref="AZ2238:AZ2239"/>
    <mergeCell ref="F2239:H2239"/>
    <mergeCell ref="X2239:AB2239"/>
    <mergeCell ref="AE2239:AI2239"/>
    <mergeCell ref="AJ2239:AL2239"/>
    <mergeCell ref="AN2239:AO2239"/>
    <mergeCell ref="AP2239:AQ2239"/>
    <mergeCell ref="W2246:W2247"/>
    <mergeCell ref="X2246:AB2246"/>
    <mergeCell ref="AD2246:AI2246"/>
    <mergeCell ref="AJ2246:AL2246"/>
    <mergeCell ref="AN2246:AO2246"/>
    <mergeCell ref="AP2246:AQ2246"/>
    <mergeCell ref="AR2246:AS2247"/>
    <mergeCell ref="AT2246:AU2247"/>
    <mergeCell ref="AV2246:AW2247"/>
    <mergeCell ref="AX2246:AY2247"/>
    <mergeCell ref="AZ2246:AZ2247"/>
    <mergeCell ref="F2247:H2247"/>
    <mergeCell ref="X2247:AB2247"/>
    <mergeCell ref="AE2247:AI2247"/>
    <mergeCell ref="AJ2247:AL2247"/>
    <mergeCell ref="AN2247:AO2247"/>
    <mergeCell ref="AP2247:AQ2247"/>
    <mergeCell ref="A2240:A2241"/>
    <mergeCell ref="E2240:E2241"/>
    <mergeCell ref="F2240:H2240"/>
    <mergeCell ref="J2240:J2241"/>
    <mergeCell ref="K2240:L2241"/>
    <mergeCell ref="M2240:N2241"/>
    <mergeCell ref="O2240:P2241"/>
    <mergeCell ref="Q2240:R2241"/>
    <mergeCell ref="S2240:T2241"/>
    <mergeCell ref="U2240:V2241"/>
    <mergeCell ref="W2240:W2241"/>
    <mergeCell ref="X2240:AB2240"/>
    <mergeCell ref="AD2240:AI2240"/>
    <mergeCell ref="AJ2240:AL2240"/>
    <mergeCell ref="AN2240:AO2240"/>
    <mergeCell ref="AP2240:AQ2240"/>
    <mergeCell ref="AR2240:AS2241"/>
    <mergeCell ref="AT2240:AU2241"/>
    <mergeCell ref="AV2240:AW2241"/>
    <mergeCell ref="AX2240:AY2241"/>
    <mergeCell ref="AZ2240:AZ2241"/>
    <mergeCell ref="F2241:H2241"/>
    <mergeCell ref="X2241:AB2241"/>
    <mergeCell ref="AE2241:AI2241"/>
    <mergeCell ref="AJ2241:AL2241"/>
    <mergeCell ref="AN2241:AO2241"/>
    <mergeCell ref="AP2241:AQ2241"/>
    <mergeCell ref="A2242:A2243"/>
    <mergeCell ref="E2242:E2243"/>
    <mergeCell ref="F2242:H2242"/>
    <mergeCell ref="J2242:J2243"/>
    <mergeCell ref="K2242:L2243"/>
    <mergeCell ref="M2242:N2243"/>
    <mergeCell ref="O2242:P2243"/>
    <mergeCell ref="Q2242:R2243"/>
    <mergeCell ref="S2242:T2243"/>
    <mergeCell ref="U2242:V2243"/>
    <mergeCell ref="W2242:W2243"/>
    <mergeCell ref="X2242:AB2242"/>
    <mergeCell ref="AD2242:AI2242"/>
    <mergeCell ref="AJ2242:AL2242"/>
    <mergeCell ref="AN2242:AO2242"/>
    <mergeCell ref="AP2242:AQ2242"/>
    <mergeCell ref="AR2242:AS2243"/>
    <mergeCell ref="AT2242:AU2243"/>
    <mergeCell ref="AV2242:AW2243"/>
    <mergeCell ref="AX2242:AY2243"/>
    <mergeCell ref="A2248:A2249"/>
    <mergeCell ref="E2248:E2249"/>
    <mergeCell ref="F2248:H2248"/>
    <mergeCell ref="J2248:J2249"/>
    <mergeCell ref="K2248:L2249"/>
    <mergeCell ref="M2248:N2249"/>
    <mergeCell ref="O2248:P2249"/>
    <mergeCell ref="Q2248:R2249"/>
    <mergeCell ref="S2248:T2249"/>
    <mergeCell ref="U2248:V2249"/>
    <mergeCell ref="W2248:W2249"/>
    <mergeCell ref="X2248:AB2248"/>
    <mergeCell ref="AD2248:AI2248"/>
    <mergeCell ref="AJ2248:AL2248"/>
    <mergeCell ref="AN2248:AO2248"/>
    <mergeCell ref="AP2248:AQ2248"/>
    <mergeCell ref="AR2248:AS2249"/>
    <mergeCell ref="AT2248:AU2249"/>
    <mergeCell ref="AV2248:AW2249"/>
    <mergeCell ref="AX2248:AY2249"/>
    <mergeCell ref="AZ2248:AZ2249"/>
    <mergeCell ref="F2249:H2249"/>
    <mergeCell ref="X2249:AB2249"/>
    <mergeCell ref="AE2249:AI2249"/>
    <mergeCell ref="AJ2249:AL2249"/>
    <mergeCell ref="AN2249:AO2249"/>
    <mergeCell ref="AP2249:AQ2249"/>
    <mergeCell ref="A2244:A2245"/>
    <mergeCell ref="E2244:E2245"/>
    <mergeCell ref="F2244:H2244"/>
    <mergeCell ref="J2244:J2245"/>
    <mergeCell ref="K2244:L2245"/>
    <mergeCell ref="M2244:N2245"/>
    <mergeCell ref="O2244:P2245"/>
    <mergeCell ref="Q2244:R2245"/>
    <mergeCell ref="S2244:T2245"/>
    <mergeCell ref="U2244:V2245"/>
    <mergeCell ref="W2244:W2245"/>
    <mergeCell ref="X2244:AB2244"/>
    <mergeCell ref="AD2244:AI2244"/>
    <mergeCell ref="AJ2244:AL2244"/>
    <mergeCell ref="AN2244:AO2244"/>
    <mergeCell ref="AP2244:AQ2244"/>
    <mergeCell ref="AR2244:AS2245"/>
    <mergeCell ref="AT2244:AU2245"/>
    <mergeCell ref="AV2244:AW2245"/>
    <mergeCell ref="AX2244:AY2245"/>
    <mergeCell ref="AZ2244:AZ2245"/>
    <mergeCell ref="F2245:H2245"/>
    <mergeCell ref="X2245:AB2245"/>
    <mergeCell ref="AE2245:AI2245"/>
    <mergeCell ref="AJ2245:AL2245"/>
    <mergeCell ref="AN2245:AO2245"/>
    <mergeCell ref="AP2245:AQ2245"/>
    <mergeCell ref="A2246:A2247"/>
    <mergeCell ref="E2246:E2247"/>
    <mergeCell ref="F2246:H2246"/>
    <mergeCell ref="J2246:J2247"/>
    <mergeCell ref="K2246:L2247"/>
    <mergeCell ref="M2246:N2247"/>
    <mergeCell ref="O2246:P2247"/>
    <mergeCell ref="Q2246:R2247"/>
    <mergeCell ref="S2246:T2247"/>
    <mergeCell ref="U2246:V2247"/>
    <mergeCell ref="O2198:P2199"/>
    <mergeCell ref="Q2198:R2199"/>
    <mergeCell ref="S2198:T2199"/>
    <mergeCell ref="U2198:V2199"/>
    <mergeCell ref="W2198:W2199"/>
    <mergeCell ref="X2198:AB2198"/>
    <mergeCell ref="AD2198:AI2198"/>
    <mergeCell ref="AJ2198:AL2198"/>
    <mergeCell ref="AN2198:AO2198"/>
    <mergeCell ref="AP2198:AQ2198"/>
    <mergeCell ref="AR2198:AS2199"/>
    <mergeCell ref="AT2198:AU2199"/>
    <mergeCell ref="AV2198:AW2199"/>
    <mergeCell ref="AX2198:AY2199"/>
    <mergeCell ref="AZ2198:AZ2199"/>
    <mergeCell ref="F2199:H2199"/>
    <mergeCell ref="X2199:AB2199"/>
    <mergeCell ref="AE2199:AI2199"/>
    <mergeCell ref="AJ2199:AL2199"/>
    <mergeCell ref="AN2199:AO2199"/>
    <mergeCell ref="AP2199:AQ2199"/>
    <mergeCell ref="A2200:A2201"/>
    <mergeCell ref="E2200:E2201"/>
    <mergeCell ref="F2200:H2200"/>
    <mergeCell ref="J2200:J2201"/>
    <mergeCell ref="K2200:L2201"/>
    <mergeCell ref="M2200:N2201"/>
    <mergeCell ref="O2200:P2201"/>
    <mergeCell ref="Q2200:R2201"/>
    <mergeCell ref="S2200:T2201"/>
    <mergeCell ref="U2200:V2201"/>
    <mergeCell ref="W2200:W2201"/>
    <mergeCell ref="X2200:AB2200"/>
    <mergeCell ref="AD2200:AI2200"/>
    <mergeCell ref="AJ2200:AL2200"/>
    <mergeCell ref="AN2200:AO2200"/>
    <mergeCell ref="AP2200:AQ2200"/>
    <mergeCell ref="AR2200:AS2201"/>
    <mergeCell ref="AT2200:AU2201"/>
    <mergeCell ref="AV2200:AW2201"/>
    <mergeCell ref="AX2200:AY2201"/>
    <mergeCell ref="AZ2200:AZ2201"/>
    <mergeCell ref="F2201:H2201"/>
    <mergeCell ref="X2201:AB2201"/>
    <mergeCell ref="AE2201:AI2201"/>
    <mergeCell ref="AJ2201:AL2201"/>
    <mergeCell ref="AN2201:AO2201"/>
    <mergeCell ref="AP2201:AQ2201"/>
    <mergeCell ref="AE2207:AI2207"/>
    <mergeCell ref="AJ2207:AL2207"/>
    <mergeCell ref="AN2207:AO2207"/>
    <mergeCell ref="AP2207:AQ2207"/>
    <mergeCell ref="A2186:A2187"/>
    <mergeCell ref="E2186:E2187"/>
    <mergeCell ref="F2186:H2186"/>
    <mergeCell ref="J2186:J2187"/>
    <mergeCell ref="K2186:L2187"/>
    <mergeCell ref="M2186:N2187"/>
    <mergeCell ref="O2186:P2187"/>
    <mergeCell ref="Q2186:R2187"/>
    <mergeCell ref="S2186:T2187"/>
    <mergeCell ref="U2186:V2187"/>
    <mergeCell ref="W2186:W2187"/>
    <mergeCell ref="X2186:AB2186"/>
    <mergeCell ref="AD2186:AI2186"/>
    <mergeCell ref="AJ2186:AL2186"/>
    <mergeCell ref="AN2186:AO2186"/>
    <mergeCell ref="AP2186:AQ2186"/>
    <mergeCell ref="AR2186:AS2187"/>
    <mergeCell ref="AT2186:AU2187"/>
    <mergeCell ref="AV2186:AW2187"/>
    <mergeCell ref="AX2186:AY2187"/>
    <mergeCell ref="AZ2186:AZ2187"/>
    <mergeCell ref="F2187:H2187"/>
    <mergeCell ref="X2187:AB2187"/>
    <mergeCell ref="AE2187:AI2187"/>
    <mergeCell ref="AJ2187:AL2187"/>
    <mergeCell ref="AN2187:AO2187"/>
    <mergeCell ref="AP2187:AQ2187"/>
    <mergeCell ref="A2188:A2189"/>
    <mergeCell ref="E2188:E2189"/>
    <mergeCell ref="F2188:H2188"/>
    <mergeCell ref="J2188:J2189"/>
    <mergeCell ref="K2188:L2189"/>
    <mergeCell ref="M2188:N2189"/>
    <mergeCell ref="O2188:P2189"/>
    <mergeCell ref="Q2188:R2189"/>
    <mergeCell ref="S2188:T2189"/>
    <mergeCell ref="U2188:V2189"/>
    <mergeCell ref="W2188:W2189"/>
    <mergeCell ref="X2188:AB2188"/>
    <mergeCell ref="AD2188:AI2188"/>
    <mergeCell ref="AJ2188:AL2188"/>
    <mergeCell ref="AN2188:AO2188"/>
    <mergeCell ref="AP2188:AQ2188"/>
    <mergeCell ref="AR2188:AS2189"/>
    <mergeCell ref="AT2188:AU2189"/>
    <mergeCell ref="AV2188:AW2189"/>
    <mergeCell ref="AX2188:AY2189"/>
    <mergeCell ref="AZ2188:AZ2189"/>
    <mergeCell ref="F2189:H2189"/>
    <mergeCell ref="X2189:AB2189"/>
    <mergeCell ref="AE2189:AI2189"/>
    <mergeCell ref="AJ2189:AL2189"/>
    <mergeCell ref="AN2189:AO2189"/>
    <mergeCell ref="AP2189:AQ2189"/>
    <mergeCell ref="A2198:A2199"/>
    <mergeCell ref="E2198:E2199"/>
    <mergeCell ref="F2198:H2198"/>
    <mergeCell ref="J2198:J2199"/>
    <mergeCell ref="K2198:L2199"/>
    <mergeCell ref="M2198:N2199"/>
    <mergeCell ref="A2210:A2211"/>
    <mergeCell ref="E2210:E2211"/>
    <mergeCell ref="F2210:H2210"/>
    <mergeCell ref="J2210:J2211"/>
    <mergeCell ref="K2210:L2211"/>
    <mergeCell ref="M2210:N2211"/>
    <mergeCell ref="O2210:P2211"/>
    <mergeCell ref="Q2210:R2211"/>
    <mergeCell ref="S2210:T2211"/>
    <mergeCell ref="U2210:V2211"/>
    <mergeCell ref="W2210:W2211"/>
    <mergeCell ref="X2210:AB2210"/>
    <mergeCell ref="AD2210:AI2210"/>
    <mergeCell ref="AJ2210:AL2210"/>
    <mergeCell ref="AN2210:AO2210"/>
    <mergeCell ref="AP2210:AQ2210"/>
    <mergeCell ref="AR2210:AS2211"/>
    <mergeCell ref="AT2210:AU2211"/>
    <mergeCell ref="AV2210:AW2211"/>
    <mergeCell ref="AX2210:AY2211"/>
    <mergeCell ref="AZ2210:AZ2211"/>
    <mergeCell ref="F2211:H2211"/>
    <mergeCell ref="X2211:AB2211"/>
    <mergeCell ref="AE2211:AI2211"/>
    <mergeCell ref="AJ2211:AL2211"/>
    <mergeCell ref="AN2211:AO2211"/>
    <mergeCell ref="AP2211:AQ2211"/>
    <mergeCell ref="A2204:A2205"/>
    <mergeCell ref="E2204:E2205"/>
    <mergeCell ref="F2204:H2204"/>
    <mergeCell ref="J2204:J2205"/>
    <mergeCell ref="K2204:L2205"/>
    <mergeCell ref="M2204:N2205"/>
    <mergeCell ref="O2204:P2205"/>
    <mergeCell ref="Q2204:R2205"/>
    <mergeCell ref="S2204:T2205"/>
    <mergeCell ref="U2204:V2205"/>
    <mergeCell ref="W2204:W2205"/>
    <mergeCell ref="X2204:AB2204"/>
    <mergeCell ref="AD2204:AI2204"/>
    <mergeCell ref="AJ2204:AL2204"/>
    <mergeCell ref="AN2204:AO2204"/>
    <mergeCell ref="AP2204:AQ2204"/>
    <mergeCell ref="AR2204:AS2205"/>
    <mergeCell ref="AT2204:AU2205"/>
    <mergeCell ref="AV2204:AW2205"/>
    <mergeCell ref="AX2204:AY2205"/>
    <mergeCell ref="AZ2204:AZ2205"/>
    <mergeCell ref="F2205:H2205"/>
    <mergeCell ref="X2205:AB2205"/>
    <mergeCell ref="AE2205:AI2205"/>
    <mergeCell ref="AJ2205:AL2205"/>
    <mergeCell ref="AN2205:AO2205"/>
    <mergeCell ref="AP2205:AQ2205"/>
    <mergeCell ref="A2206:A2207"/>
    <mergeCell ref="E2206:E2207"/>
    <mergeCell ref="F2206:H2206"/>
    <mergeCell ref="J2206:J2207"/>
    <mergeCell ref="K2206:L2207"/>
    <mergeCell ref="M2206:N2207"/>
    <mergeCell ref="O2206:P2207"/>
    <mergeCell ref="Q2206:R2207"/>
    <mergeCell ref="S2206:T2207"/>
    <mergeCell ref="U2206:V2207"/>
    <mergeCell ref="J2196:J2197"/>
    <mergeCell ref="K2196:L2197"/>
    <mergeCell ref="M2196:N2197"/>
    <mergeCell ref="O2196:P2197"/>
    <mergeCell ref="Q2196:R2197"/>
    <mergeCell ref="S2196:T2197"/>
    <mergeCell ref="U2196:V2197"/>
    <mergeCell ref="W2196:W2197"/>
    <mergeCell ref="X2196:AB2196"/>
    <mergeCell ref="AD2196:AI2196"/>
    <mergeCell ref="AJ2196:AL2196"/>
    <mergeCell ref="AN2196:AO2196"/>
    <mergeCell ref="AP2196:AQ2196"/>
    <mergeCell ref="AR2196:AS2197"/>
    <mergeCell ref="AT2196:AU2197"/>
    <mergeCell ref="AV2196:AW2197"/>
    <mergeCell ref="AX2196:AY2197"/>
    <mergeCell ref="AZ2196:AZ2197"/>
    <mergeCell ref="F2197:H2197"/>
    <mergeCell ref="X2197:AB2197"/>
    <mergeCell ref="AE2197:AI2197"/>
    <mergeCell ref="AJ2197:AL2197"/>
    <mergeCell ref="AN2197:AO2197"/>
    <mergeCell ref="AP2197:AQ2197"/>
    <mergeCell ref="A2208:A2209"/>
    <mergeCell ref="E2208:E2209"/>
    <mergeCell ref="F2208:H2208"/>
    <mergeCell ref="J2208:J2209"/>
    <mergeCell ref="K2208:L2209"/>
    <mergeCell ref="M2208:N2209"/>
    <mergeCell ref="O2208:P2209"/>
    <mergeCell ref="Q2208:R2209"/>
    <mergeCell ref="S2208:T2209"/>
    <mergeCell ref="U2208:V2209"/>
    <mergeCell ref="W2208:W2209"/>
    <mergeCell ref="X2208:AB2208"/>
    <mergeCell ref="AD2208:AI2208"/>
    <mergeCell ref="AJ2208:AL2208"/>
    <mergeCell ref="AN2208:AO2208"/>
    <mergeCell ref="AP2208:AQ2208"/>
    <mergeCell ref="AR2208:AS2209"/>
    <mergeCell ref="AT2208:AU2209"/>
    <mergeCell ref="AV2208:AW2209"/>
    <mergeCell ref="AX2208:AY2209"/>
    <mergeCell ref="AZ2208:AZ2209"/>
    <mergeCell ref="F2209:H2209"/>
    <mergeCell ref="X2209:AB2209"/>
    <mergeCell ref="AE2209:AI2209"/>
    <mergeCell ref="AJ2209:AL2209"/>
    <mergeCell ref="AN2209:AO2209"/>
    <mergeCell ref="AP2209:AQ2209"/>
    <mergeCell ref="W2206:W2207"/>
    <mergeCell ref="X2206:AB2206"/>
    <mergeCell ref="AD2206:AI2206"/>
    <mergeCell ref="AJ2206:AL2206"/>
    <mergeCell ref="AN2206:AO2206"/>
    <mergeCell ref="AP2206:AQ2206"/>
    <mergeCell ref="AR2206:AS2207"/>
    <mergeCell ref="AT2206:AU2207"/>
    <mergeCell ref="AV2206:AW2207"/>
    <mergeCell ref="AX2206:AY2207"/>
    <mergeCell ref="AZ2206:AZ2207"/>
    <mergeCell ref="F2207:H2207"/>
    <mergeCell ref="X2207:AB2207"/>
    <mergeCell ref="A2170:A2171"/>
    <mergeCell ref="E2170:E2171"/>
    <mergeCell ref="F2170:H2170"/>
    <mergeCell ref="J2170:J2171"/>
    <mergeCell ref="K2170:L2171"/>
    <mergeCell ref="M2170:N2171"/>
    <mergeCell ref="O2170:P2171"/>
    <mergeCell ref="Q2170:R2171"/>
    <mergeCell ref="S2170:T2171"/>
    <mergeCell ref="U2170:V2171"/>
    <mergeCell ref="W2170:W2171"/>
    <mergeCell ref="X2170:AB2170"/>
    <mergeCell ref="AD2170:AI2170"/>
    <mergeCell ref="AJ2170:AL2170"/>
    <mergeCell ref="AN2170:AO2170"/>
    <mergeCell ref="AP2170:AQ2170"/>
    <mergeCell ref="AR2170:AS2171"/>
    <mergeCell ref="AT2170:AU2171"/>
    <mergeCell ref="AV2170:AW2171"/>
    <mergeCell ref="AX2170:AY2171"/>
    <mergeCell ref="AZ2170:AZ2171"/>
    <mergeCell ref="F2171:H2171"/>
    <mergeCell ref="X2171:AB2171"/>
    <mergeCell ref="AE2171:AI2171"/>
    <mergeCell ref="AJ2171:AL2171"/>
    <mergeCell ref="AN2171:AO2171"/>
    <mergeCell ref="AP2171:AQ2171"/>
    <mergeCell ref="A2172:A2173"/>
    <mergeCell ref="E2172:E2173"/>
    <mergeCell ref="F2172:H2172"/>
    <mergeCell ref="J2172:J2173"/>
    <mergeCell ref="K2172:L2173"/>
    <mergeCell ref="M2172:N2173"/>
    <mergeCell ref="O2172:P2173"/>
    <mergeCell ref="Q2172:R2173"/>
    <mergeCell ref="S2172:T2173"/>
    <mergeCell ref="U2172:V2173"/>
    <mergeCell ref="AZ2212:AZ2213"/>
    <mergeCell ref="F2213:H2213"/>
    <mergeCell ref="X2213:AB2213"/>
    <mergeCell ref="AE2213:AI2213"/>
    <mergeCell ref="AJ2213:AL2213"/>
    <mergeCell ref="AN2213:AO2213"/>
    <mergeCell ref="AP2213:AQ2213"/>
    <mergeCell ref="A2190:A2191"/>
    <mergeCell ref="E2190:E2191"/>
    <mergeCell ref="F2190:H2190"/>
    <mergeCell ref="J2190:J2191"/>
    <mergeCell ref="K2190:L2191"/>
    <mergeCell ref="M2190:N2191"/>
    <mergeCell ref="O2190:P2191"/>
    <mergeCell ref="Q2190:R2191"/>
    <mergeCell ref="S2190:T2191"/>
    <mergeCell ref="U2190:V2191"/>
    <mergeCell ref="W2190:W2191"/>
    <mergeCell ref="X2190:AB2190"/>
    <mergeCell ref="AD2190:AI2190"/>
    <mergeCell ref="AJ2190:AL2190"/>
    <mergeCell ref="AN2190:AO2190"/>
    <mergeCell ref="AP2190:AQ2190"/>
    <mergeCell ref="AR2190:AS2191"/>
    <mergeCell ref="AT2190:AU2191"/>
    <mergeCell ref="AV2190:AW2191"/>
    <mergeCell ref="AX2190:AY2191"/>
    <mergeCell ref="AZ2190:AZ2191"/>
    <mergeCell ref="F2191:H2191"/>
    <mergeCell ref="X2191:AB2191"/>
    <mergeCell ref="AE2191:AI2191"/>
    <mergeCell ref="AJ2191:AL2191"/>
    <mergeCell ref="AN2191:AO2191"/>
    <mergeCell ref="AP2191:AQ2191"/>
    <mergeCell ref="A2202:A2203"/>
    <mergeCell ref="E2202:E2203"/>
    <mergeCell ref="F2202:H2202"/>
    <mergeCell ref="J2202:J2203"/>
    <mergeCell ref="K2202:L2203"/>
    <mergeCell ref="M2202:N2203"/>
    <mergeCell ref="O2202:P2203"/>
    <mergeCell ref="Q2202:R2203"/>
    <mergeCell ref="S2202:T2203"/>
    <mergeCell ref="U2202:V2203"/>
    <mergeCell ref="W2202:W2203"/>
    <mergeCell ref="X2202:AB2202"/>
    <mergeCell ref="AD2202:AI2202"/>
    <mergeCell ref="AJ2202:AL2202"/>
    <mergeCell ref="AN2202:AO2202"/>
    <mergeCell ref="AP2202:AQ2202"/>
    <mergeCell ref="AR2202:AS2203"/>
    <mergeCell ref="AT2202:AU2203"/>
    <mergeCell ref="AV2202:AW2203"/>
    <mergeCell ref="AX2202:AY2203"/>
    <mergeCell ref="AZ2202:AZ2203"/>
    <mergeCell ref="F2203:H2203"/>
    <mergeCell ref="X2203:AB2203"/>
    <mergeCell ref="AE2203:AI2203"/>
    <mergeCell ref="AJ2203:AL2203"/>
    <mergeCell ref="AN2203:AO2203"/>
    <mergeCell ref="AP2203:AQ2203"/>
    <mergeCell ref="A2196:A2197"/>
    <mergeCell ref="E2196:E2197"/>
    <mergeCell ref="F2196:H2196"/>
    <mergeCell ref="A2214:A2215"/>
    <mergeCell ref="E2214:E2215"/>
    <mergeCell ref="F2214:H2214"/>
    <mergeCell ref="J2214:J2215"/>
    <mergeCell ref="K2214:L2215"/>
    <mergeCell ref="M2214:N2215"/>
    <mergeCell ref="O2214:P2215"/>
    <mergeCell ref="Q2214:R2215"/>
    <mergeCell ref="S2214:T2215"/>
    <mergeCell ref="U2214:V2215"/>
    <mergeCell ref="W2214:W2215"/>
    <mergeCell ref="X2214:AB2214"/>
    <mergeCell ref="AD2214:AI2214"/>
    <mergeCell ref="AJ2214:AL2214"/>
    <mergeCell ref="AN2214:AO2214"/>
    <mergeCell ref="AP2214:AQ2214"/>
    <mergeCell ref="AR2214:AS2215"/>
    <mergeCell ref="AT2214:AU2215"/>
    <mergeCell ref="AV2214:AW2215"/>
    <mergeCell ref="AX2214:AY2215"/>
    <mergeCell ref="AZ2214:AZ2215"/>
    <mergeCell ref="F2215:H2215"/>
    <mergeCell ref="X2215:AB2215"/>
    <mergeCell ref="AE2215:AI2215"/>
    <mergeCell ref="AJ2215:AL2215"/>
    <mergeCell ref="AN2215:AO2215"/>
    <mergeCell ref="AP2215:AQ2215"/>
    <mergeCell ref="W2172:W2173"/>
    <mergeCell ref="X2172:AB2172"/>
    <mergeCell ref="AD2172:AI2172"/>
    <mergeCell ref="AJ2172:AL2172"/>
    <mergeCell ref="AN2172:AO2172"/>
    <mergeCell ref="AP2172:AQ2172"/>
    <mergeCell ref="AR2172:AS2173"/>
    <mergeCell ref="AT2172:AU2173"/>
    <mergeCell ref="AV2172:AW2173"/>
    <mergeCell ref="AX2172:AY2173"/>
    <mergeCell ref="AZ2172:AZ2173"/>
    <mergeCell ref="F2173:H2173"/>
    <mergeCell ref="X2173:AB2173"/>
    <mergeCell ref="AE2173:AI2173"/>
    <mergeCell ref="AJ2173:AL2173"/>
    <mergeCell ref="AN2173:AO2173"/>
    <mergeCell ref="AP2173:AQ2173"/>
    <mergeCell ref="A2212:A2213"/>
    <mergeCell ref="E2212:E2213"/>
    <mergeCell ref="F2212:H2212"/>
    <mergeCell ref="J2212:J2213"/>
    <mergeCell ref="K2212:L2213"/>
    <mergeCell ref="M2212:N2213"/>
    <mergeCell ref="O2212:P2213"/>
    <mergeCell ref="Q2212:R2213"/>
    <mergeCell ref="S2212:T2213"/>
    <mergeCell ref="U2212:V2213"/>
    <mergeCell ref="W2212:W2213"/>
    <mergeCell ref="X2212:AB2212"/>
    <mergeCell ref="AD2212:AI2212"/>
    <mergeCell ref="AJ2212:AL2212"/>
    <mergeCell ref="AN2212:AO2212"/>
    <mergeCell ref="AP2212:AQ2212"/>
    <mergeCell ref="AR2212:AS2213"/>
    <mergeCell ref="AT2212:AU2213"/>
    <mergeCell ref="AV2212:AW2213"/>
    <mergeCell ref="AX2212:AY2213"/>
    <mergeCell ref="W2266:W2267"/>
    <mergeCell ref="X2266:AB2266"/>
    <mergeCell ref="AD2266:AI2266"/>
    <mergeCell ref="AJ2266:AL2266"/>
    <mergeCell ref="AN2266:AO2266"/>
    <mergeCell ref="AP2266:AQ2266"/>
    <mergeCell ref="AR2266:AS2267"/>
    <mergeCell ref="AT2266:AU2267"/>
    <mergeCell ref="AV2266:AW2267"/>
    <mergeCell ref="AX2266:AY2267"/>
    <mergeCell ref="AZ2266:AZ2267"/>
    <mergeCell ref="F2267:H2267"/>
    <mergeCell ref="X2267:AB2267"/>
    <mergeCell ref="AE2267:AI2267"/>
    <mergeCell ref="AJ2267:AL2267"/>
    <mergeCell ref="AN2267:AO2267"/>
    <mergeCell ref="AP2267:AQ2267"/>
    <mergeCell ref="A2268:A2269"/>
    <mergeCell ref="E2268:E2269"/>
    <mergeCell ref="F2268:H2268"/>
    <mergeCell ref="J2268:J2269"/>
    <mergeCell ref="K2268:L2269"/>
    <mergeCell ref="M2268:N2269"/>
    <mergeCell ref="O2268:P2269"/>
    <mergeCell ref="Q2268:R2269"/>
    <mergeCell ref="S2268:T2269"/>
    <mergeCell ref="U2268:V2269"/>
    <mergeCell ref="W2268:W2269"/>
    <mergeCell ref="X2268:AB2268"/>
    <mergeCell ref="AD2268:AI2268"/>
    <mergeCell ref="AJ2268:AL2268"/>
    <mergeCell ref="AN2268:AO2268"/>
    <mergeCell ref="AP2268:AQ2268"/>
    <mergeCell ref="AR2268:AS2269"/>
    <mergeCell ref="AT2268:AU2269"/>
    <mergeCell ref="AV2268:AW2269"/>
    <mergeCell ref="AX2268:AY2269"/>
    <mergeCell ref="AZ2268:AZ2269"/>
    <mergeCell ref="F2269:H2269"/>
    <mergeCell ref="X2269:AB2269"/>
    <mergeCell ref="AE2269:AI2269"/>
    <mergeCell ref="AJ2269:AL2269"/>
    <mergeCell ref="AN2269:AO2269"/>
    <mergeCell ref="AP2269:AQ2269"/>
    <mergeCell ref="A2270:A2271"/>
    <mergeCell ref="E2270:E2271"/>
    <mergeCell ref="F2270:H2270"/>
    <mergeCell ref="J2270:J2271"/>
    <mergeCell ref="K2270:L2271"/>
    <mergeCell ref="M2270:N2271"/>
    <mergeCell ref="O2270:P2271"/>
    <mergeCell ref="Q2270:R2271"/>
    <mergeCell ref="S2270:T2271"/>
    <mergeCell ref="U2270:V2271"/>
    <mergeCell ref="W2270:W2271"/>
    <mergeCell ref="X2270:AB2270"/>
    <mergeCell ref="AD2270:AI2270"/>
    <mergeCell ref="AJ2270:AL2270"/>
    <mergeCell ref="AN2270:AO2270"/>
    <mergeCell ref="AP2270:AQ2270"/>
    <mergeCell ref="AR2270:AS2271"/>
    <mergeCell ref="AT2270:AU2271"/>
    <mergeCell ref="AV2270:AW2271"/>
    <mergeCell ref="AX2270:AY2271"/>
    <mergeCell ref="AZ2270:AZ2271"/>
    <mergeCell ref="F2271:H2271"/>
    <mergeCell ref="X2271:AB2271"/>
    <mergeCell ref="AE2271:AI2271"/>
    <mergeCell ref="AJ2271:AL2271"/>
    <mergeCell ref="AN2271:AO2271"/>
    <mergeCell ref="AP2271:AQ2271"/>
    <mergeCell ref="A2254:A2255"/>
    <mergeCell ref="E2254:E2255"/>
    <mergeCell ref="F2254:H2254"/>
    <mergeCell ref="J2254:J2255"/>
    <mergeCell ref="K2254:L2255"/>
    <mergeCell ref="M2254:N2255"/>
    <mergeCell ref="O2254:P2255"/>
    <mergeCell ref="Q2254:R2255"/>
    <mergeCell ref="S2254:T2255"/>
    <mergeCell ref="U2254:V2255"/>
    <mergeCell ref="W2254:W2255"/>
    <mergeCell ref="X2254:AB2254"/>
    <mergeCell ref="AD2254:AI2254"/>
    <mergeCell ref="AJ2254:AL2254"/>
    <mergeCell ref="AN2254:AO2254"/>
    <mergeCell ref="AP2254:AQ2254"/>
    <mergeCell ref="AR2254:AS2255"/>
    <mergeCell ref="AT2254:AU2255"/>
    <mergeCell ref="AV2254:AW2255"/>
    <mergeCell ref="AX2254:AY2255"/>
    <mergeCell ref="AZ2254:AZ2255"/>
    <mergeCell ref="F2255:H2255"/>
    <mergeCell ref="X2255:AB2255"/>
    <mergeCell ref="AE2255:AI2255"/>
    <mergeCell ref="AJ2255:AL2255"/>
    <mergeCell ref="AN2255:AO2255"/>
    <mergeCell ref="AP2255:AQ2255"/>
    <mergeCell ref="A2256:A2257"/>
    <mergeCell ref="E2256:E2257"/>
    <mergeCell ref="F2256:H2256"/>
    <mergeCell ref="J2256:J2257"/>
    <mergeCell ref="K2256:L2257"/>
    <mergeCell ref="M2256:N2257"/>
    <mergeCell ref="O2256:P2257"/>
    <mergeCell ref="Q2256:R2257"/>
    <mergeCell ref="S2256:T2257"/>
    <mergeCell ref="U2256:V2257"/>
    <mergeCell ref="AZ2256:AZ2257"/>
    <mergeCell ref="F2257:H2257"/>
    <mergeCell ref="X2257:AB2257"/>
    <mergeCell ref="AE2257:AI2257"/>
    <mergeCell ref="AJ2257:AL2257"/>
    <mergeCell ref="AN2257:AO2257"/>
    <mergeCell ref="AP2257:AQ2257"/>
    <mergeCell ref="A2372:A2373"/>
    <mergeCell ref="E2372:E2373"/>
    <mergeCell ref="F2372:H2372"/>
    <mergeCell ref="J2372:J2373"/>
    <mergeCell ref="K2372:L2373"/>
    <mergeCell ref="M2372:N2373"/>
    <mergeCell ref="O2372:P2373"/>
    <mergeCell ref="Q2372:R2373"/>
    <mergeCell ref="S2372:T2373"/>
    <mergeCell ref="U2372:V2373"/>
    <mergeCell ref="W2372:W2373"/>
    <mergeCell ref="X2372:AB2372"/>
    <mergeCell ref="AD2372:AI2372"/>
    <mergeCell ref="AJ2372:AL2372"/>
    <mergeCell ref="AN2372:AO2372"/>
    <mergeCell ref="AP2372:AQ2372"/>
    <mergeCell ref="AR2372:AS2373"/>
    <mergeCell ref="AT2372:AU2373"/>
    <mergeCell ref="AV2372:AW2373"/>
    <mergeCell ref="AX2372:AY2373"/>
    <mergeCell ref="AZ2372:AZ2373"/>
    <mergeCell ref="F2373:H2373"/>
    <mergeCell ref="X2373:AB2373"/>
    <mergeCell ref="AE2373:AI2373"/>
    <mergeCell ref="AJ2373:AL2373"/>
    <mergeCell ref="AN2373:AO2373"/>
    <mergeCell ref="AP2373:AQ2373"/>
    <mergeCell ref="A2300:A2301"/>
    <mergeCell ref="E2300:E2301"/>
    <mergeCell ref="F2300:H2300"/>
    <mergeCell ref="J2300:J2301"/>
    <mergeCell ref="K2300:L2301"/>
    <mergeCell ref="M2300:N2301"/>
    <mergeCell ref="O2300:P2301"/>
    <mergeCell ref="Q2300:R2301"/>
    <mergeCell ref="S2300:T2301"/>
    <mergeCell ref="U2300:V2301"/>
    <mergeCell ref="W2300:W2301"/>
    <mergeCell ref="X2300:AB2300"/>
    <mergeCell ref="AD2300:AI2300"/>
    <mergeCell ref="AJ2300:AL2300"/>
    <mergeCell ref="AN2300:AO2300"/>
    <mergeCell ref="AP2300:AQ2300"/>
    <mergeCell ref="AR2300:AS2301"/>
    <mergeCell ref="AT2300:AU2301"/>
    <mergeCell ref="AV2300:AW2301"/>
    <mergeCell ref="AX2300:AY2301"/>
    <mergeCell ref="AZ2300:AZ2301"/>
    <mergeCell ref="F2301:H2301"/>
    <mergeCell ref="X2301:AB2301"/>
    <mergeCell ref="AE2301:AI2301"/>
    <mergeCell ref="AJ2301:AL2301"/>
    <mergeCell ref="AN2301:AO2301"/>
    <mergeCell ref="AP2301:AQ2301"/>
    <mergeCell ref="A2356:A2357"/>
    <mergeCell ref="E2356:E2357"/>
    <mergeCell ref="F2356:H2356"/>
    <mergeCell ref="A2374:A2375"/>
    <mergeCell ref="E2374:E2375"/>
    <mergeCell ref="F2374:H2374"/>
    <mergeCell ref="J2374:J2375"/>
    <mergeCell ref="K2374:L2375"/>
    <mergeCell ref="M2374:N2375"/>
    <mergeCell ref="O2374:P2375"/>
    <mergeCell ref="Q2374:R2375"/>
    <mergeCell ref="S2374:T2375"/>
    <mergeCell ref="U2374:V2375"/>
    <mergeCell ref="W2374:W2375"/>
    <mergeCell ref="X2374:AB2374"/>
    <mergeCell ref="AD2374:AI2374"/>
    <mergeCell ref="AJ2374:AL2374"/>
    <mergeCell ref="AN2374:AO2374"/>
    <mergeCell ref="AP2374:AQ2374"/>
    <mergeCell ref="AR2374:AS2375"/>
    <mergeCell ref="AT2374:AU2375"/>
    <mergeCell ref="AV2374:AW2375"/>
    <mergeCell ref="AX2374:AY2375"/>
    <mergeCell ref="AZ2374:AZ2375"/>
    <mergeCell ref="F2375:H2375"/>
    <mergeCell ref="X2375:AB2375"/>
    <mergeCell ref="AE2375:AI2375"/>
    <mergeCell ref="AJ2375:AL2375"/>
    <mergeCell ref="AN2375:AO2375"/>
    <mergeCell ref="AP2375:AQ2375"/>
    <mergeCell ref="A2376:A2377"/>
    <mergeCell ref="E2376:E2377"/>
    <mergeCell ref="F2376:H2376"/>
    <mergeCell ref="J2376:J2377"/>
    <mergeCell ref="K2376:L2377"/>
    <mergeCell ref="M2376:N2377"/>
    <mergeCell ref="O2376:P2377"/>
    <mergeCell ref="Q2376:R2377"/>
    <mergeCell ref="S2376:T2377"/>
    <mergeCell ref="U2376:V2377"/>
    <mergeCell ref="W2376:W2377"/>
    <mergeCell ref="X2376:AB2376"/>
    <mergeCell ref="AD2376:AI2376"/>
    <mergeCell ref="AJ2376:AL2376"/>
    <mergeCell ref="AN2376:AO2376"/>
    <mergeCell ref="AP2376:AQ2376"/>
    <mergeCell ref="AR2376:AS2377"/>
    <mergeCell ref="AT2376:AU2377"/>
    <mergeCell ref="AV2376:AW2377"/>
    <mergeCell ref="AX2376:AY2377"/>
    <mergeCell ref="AZ2376:AZ2377"/>
    <mergeCell ref="F2377:H2377"/>
    <mergeCell ref="X2377:AB2377"/>
    <mergeCell ref="AE2377:AI2377"/>
    <mergeCell ref="AJ2377:AL2377"/>
    <mergeCell ref="AN2377:AO2377"/>
    <mergeCell ref="AP2377:AQ2377"/>
    <mergeCell ref="A2378:A2379"/>
    <mergeCell ref="E2378:E2379"/>
    <mergeCell ref="F2378:H2378"/>
    <mergeCell ref="J2378:J2379"/>
    <mergeCell ref="K2378:L2379"/>
    <mergeCell ref="M2378:N2379"/>
    <mergeCell ref="O2378:P2379"/>
    <mergeCell ref="Q2378:R2379"/>
    <mergeCell ref="S2378:T2379"/>
    <mergeCell ref="U2378:V2379"/>
    <mergeCell ref="W2378:W2379"/>
    <mergeCell ref="X2378:AB2378"/>
    <mergeCell ref="AD2378:AI2378"/>
    <mergeCell ref="AJ2378:AL2378"/>
    <mergeCell ref="AN2378:AO2378"/>
    <mergeCell ref="AP2378:AQ2378"/>
    <mergeCell ref="AR2378:AS2379"/>
    <mergeCell ref="AT2378:AU2379"/>
    <mergeCell ref="AV2378:AW2379"/>
    <mergeCell ref="AX2378:AY2379"/>
    <mergeCell ref="AZ2378:AZ2379"/>
    <mergeCell ref="F2379:H2379"/>
    <mergeCell ref="X2379:AB2379"/>
    <mergeCell ref="AE2379:AI2379"/>
    <mergeCell ref="AJ2379:AL2379"/>
    <mergeCell ref="AN2379:AO2379"/>
    <mergeCell ref="AP2379:AQ2379"/>
    <mergeCell ref="A2380:A2381"/>
    <mergeCell ref="E2380:E2381"/>
    <mergeCell ref="F2380:H2380"/>
    <mergeCell ref="J2380:J2381"/>
    <mergeCell ref="K2380:L2381"/>
    <mergeCell ref="M2380:N2381"/>
    <mergeCell ref="O2380:P2381"/>
    <mergeCell ref="Q2380:R2381"/>
    <mergeCell ref="S2380:T2381"/>
    <mergeCell ref="U2380:V2381"/>
    <mergeCell ref="W2380:W2381"/>
    <mergeCell ref="X2380:AB2380"/>
    <mergeCell ref="AD2380:AI2380"/>
    <mergeCell ref="AJ2380:AL2380"/>
    <mergeCell ref="AN2380:AO2380"/>
    <mergeCell ref="AP2380:AQ2380"/>
    <mergeCell ref="AR2380:AS2381"/>
    <mergeCell ref="AT2380:AU2381"/>
    <mergeCell ref="AV2380:AW2381"/>
    <mergeCell ref="AX2380:AY2381"/>
    <mergeCell ref="AZ2380:AZ2381"/>
    <mergeCell ref="F2381:H2381"/>
    <mergeCell ref="X2381:AB2381"/>
    <mergeCell ref="AE2381:AI2381"/>
    <mergeCell ref="AJ2381:AL2381"/>
    <mergeCell ref="AN2381:AO2381"/>
    <mergeCell ref="AP2381:AQ2381"/>
    <mergeCell ref="A2382:A2383"/>
    <mergeCell ref="E2382:E2383"/>
    <mergeCell ref="F2382:H2382"/>
    <mergeCell ref="J2382:J2383"/>
    <mergeCell ref="K2382:L2383"/>
    <mergeCell ref="M2382:N2383"/>
    <mergeCell ref="O2382:P2383"/>
    <mergeCell ref="Q2382:R2383"/>
    <mergeCell ref="S2382:T2383"/>
    <mergeCell ref="U2382:V2383"/>
    <mergeCell ref="W2382:W2383"/>
    <mergeCell ref="X2382:AB2382"/>
    <mergeCell ref="AD2382:AI2382"/>
    <mergeCell ref="AJ2382:AL2382"/>
    <mergeCell ref="AN2382:AO2382"/>
    <mergeCell ref="AP2382:AQ2382"/>
    <mergeCell ref="AR2382:AS2383"/>
    <mergeCell ref="AT2382:AU2383"/>
    <mergeCell ref="AV2382:AW2383"/>
    <mergeCell ref="AX2382:AY2383"/>
    <mergeCell ref="AZ2382:AZ2383"/>
    <mergeCell ref="F2383:H2383"/>
    <mergeCell ref="X2383:AB2383"/>
    <mergeCell ref="AE2383:AI2383"/>
    <mergeCell ref="AJ2383:AL2383"/>
    <mergeCell ref="AN2383:AO2383"/>
    <mergeCell ref="AP2383:AQ2383"/>
    <mergeCell ref="A2386:A2387"/>
    <mergeCell ref="E2386:E2387"/>
    <mergeCell ref="F2386:H2386"/>
    <mergeCell ref="J2386:J2387"/>
    <mergeCell ref="K2386:L2387"/>
    <mergeCell ref="M2386:N2387"/>
    <mergeCell ref="O2386:P2387"/>
    <mergeCell ref="Q2386:R2387"/>
    <mergeCell ref="S2386:T2387"/>
    <mergeCell ref="U2386:V2387"/>
    <mergeCell ref="W2386:W2387"/>
    <mergeCell ref="X2386:AB2386"/>
    <mergeCell ref="AD2386:AI2386"/>
    <mergeCell ref="AJ2386:AL2386"/>
    <mergeCell ref="AN2386:AO2386"/>
    <mergeCell ref="AP2386:AQ2386"/>
    <mergeCell ref="AR2386:AS2387"/>
    <mergeCell ref="AT2386:AU2387"/>
    <mergeCell ref="AV2386:AW2387"/>
    <mergeCell ref="AX2386:AY2387"/>
    <mergeCell ref="AZ2386:AZ2387"/>
    <mergeCell ref="F2387:H2387"/>
    <mergeCell ref="X2387:AB2387"/>
    <mergeCell ref="AE2387:AI2387"/>
    <mergeCell ref="AJ2387:AL2387"/>
    <mergeCell ref="AN2387:AO2387"/>
    <mergeCell ref="AP2387:AQ2387"/>
    <mergeCell ref="AJ2384:AL2384"/>
    <mergeCell ref="AN2384:AO2384"/>
    <mergeCell ref="AP2384:AQ2384"/>
    <mergeCell ref="AR2384:AS2385"/>
    <mergeCell ref="AT2384:AU2385"/>
    <mergeCell ref="AV2384:AW2385"/>
    <mergeCell ref="AX2384:AY2385"/>
    <mergeCell ref="AZ2384:AZ2385"/>
    <mergeCell ref="F2385:H2385"/>
    <mergeCell ref="X2385:AB2385"/>
    <mergeCell ref="A2388:A2389"/>
    <mergeCell ref="E2388:E2389"/>
    <mergeCell ref="F2388:H2388"/>
    <mergeCell ref="J2388:J2389"/>
    <mergeCell ref="K2388:L2389"/>
    <mergeCell ref="M2388:N2389"/>
    <mergeCell ref="O2388:P2389"/>
    <mergeCell ref="Q2388:R2389"/>
    <mergeCell ref="S2388:T2389"/>
    <mergeCell ref="U2388:V2389"/>
    <mergeCell ref="W2388:W2389"/>
    <mergeCell ref="X2388:AB2388"/>
    <mergeCell ref="AD2388:AI2388"/>
    <mergeCell ref="AJ2388:AL2388"/>
    <mergeCell ref="AN2388:AO2388"/>
    <mergeCell ref="AP2388:AQ2388"/>
    <mergeCell ref="AR2388:AS2389"/>
    <mergeCell ref="AT2388:AU2389"/>
    <mergeCell ref="AV2388:AW2389"/>
    <mergeCell ref="AX2388:AY2389"/>
    <mergeCell ref="AZ2388:AZ2389"/>
    <mergeCell ref="F2389:H2389"/>
    <mergeCell ref="X2389:AB2389"/>
    <mergeCell ref="AE2389:AI2389"/>
    <mergeCell ref="AJ2389:AL2389"/>
    <mergeCell ref="AN2389:AO2389"/>
    <mergeCell ref="AP2389:AQ2389"/>
    <mergeCell ref="A2390:A2391"/>
    <mergeCell ref="E2390:E2391"/>
    <mergeCell ref="F2390:H2390"/>
    <mergeCell ref="J2390:J2391"/>
    <mergeCell ref="K2390:L2391"/>
    <mergeCell ref="M2390:N2391"/>
    <mergeCell ref="O2390:P2391"/>
    <mergeCell ref="Q2390:R2391"/>
    <mergeCell ref="S2390:T2391"/>
    <mergeCell ref="U2390:V2391"/>
    <mergeCell ref="W2390:W2391"/>
    <mergeCell ref="X2390:AB2390"/>
    <mergeCell ref="AD2390:AI2390"/>
    <mergeCell ref="AJ2390:AL2390"/>
    <mergeCell ref="AN2390:AO2390"/>
    <mergeCell ref="AP2390:AQ2390"/>
    <mergeCell ref="AR2390:AS2391"/>
    <mergeCell ref="AT2390:AU2391"/>
    <mergeCell ref="AV2390:AW2391"/>
    <mergeCell ref="AX2390:AY2391"/>
    <mergeCell ref="AZ2390:AZ2391"/>
    <mergeCell ref="F2391:H2391"/>
    <mergeCell ref="X2391:AB2391"/>
    <mergeCell ref="AE2391:AI2391"/>
    <mergeCell ref="AJ2391:AL2391"/>
    <mergeCell ref="AN2391:AO2391"/>
    <mergeCell ref="AP2391:AQ2391"/>
    <mergeCell ref="A2392:A2393"/>
    <mergeCell ref="E2392:E2393"/>
    <mergeCell ref="F2392:H2392"/>
    <mergeCell ref="J2392:J2393"/>
    <mergeCell ref="K2392:L2393"/>
    <mergeCell ref="M2392:N2393"/>
    <mergeCell ref="O2392:P2393"/>
    <mergeCell ref="Q2392:R2393"/>
    <mergeCell ref="S2392:T2393"/>
    <mergeCell ref="U2392:V2393"/>
    <mergeCell ref="W2392:W2393"/>
    <mergeCell ref="X2392:AB2392"/>
    <mergeCell ref="AD2392:AI2392"/>
    <mergeCell ref="AJ2392:AL2392"/>
    <mergeCell ref="AN2392:AO2392"/>
    <mergeCell ref="AP2392:AQ2392"/>
    <mergeCell ref="AR2392:AS2393"/>
    <mergeCell ref="AT2392:AU2393"/>
    <mergeCell ref="AV2392:AW2393"/>
    <mergeCell ref="AX2392:AY2393"/>
    <mergeCell ref="AZ2392:AZ2393"/>
    <mergeCell ref="F2393:H2393"/>
    <mergeCell ref="X2393:AB2393"/>
    <mergeCell ref="AE2393:AI2393"/>
    <mergeCell ref="AJ2393:AL2393"/>
    <mergeCell ref="AN2393:AO2393"/>
    <mergeCell ref="AP2393:AQ2393"/>
    <mergeCell ref="W2394:W2395"/>
    <mergeCell ref="X2394:AB2394"/>
    <mergeCell ref="AD2394:AI2394"/>
    <mergeCell ref="AJ2394:AL2394"/>
    <mergeCell ref="AN2394:AO2394"/>
    <mergeCell ref="AP2394:AQ2394"/>
    <mergeCell ref="AR2394:AS2395"/>
    <mergeCell ref="AT2394:AU2395"/>
    <mergeCell ref="AV2394:AW2395"/>
    <mergeCell ref="AX2394:AY2395"/>
    <mergeCell ref="AZ2394:AZ2395"/>
    <mergeCell ref="F2395:H2395"/>
    <mergeCell ref="X2395:AB2395"/>
    <mergeCell ref="AE2395:AI2395"/>
    <mergeCell ref="AJ2395:AL2395"/>
    <mergeCell ref="AN2395:AO2395"/>
    <mergeCell ref="AP2395:AQ2395"/>
    <mergeCell ref="A2394:A2395"/>
    <mergeCell ref="E2394:E2395"/>
    <mergeCell ref="F2394:H2394"/>
    <mergeCell ref="J2394:J2395"/>
    <mergeCell ref="K2394:L2395"/>
    <mergeCell ref="M2394:N2395"/>
    <mergeCell ref="O2394:P2395"/>
    <mergeCell ref="Q2394:R2395"/>
    <mergeCell ref="S2394:T2395"/>
    <mergeCell ref="U2394:V2395"/>
    <mergeCell ref="A2396:A2397"/>
    <mergeCell ref="E2396:E2397"/>
    <mergeCell ref="F2396:H2396"/>
    <mergeCell ref="J2396:J2397"/>
    <mergeCell ref="K2396:L2397"/>
    <mergeCell ref="M2396:N2397"/>
    <mergeCell ref="O2396:P2397"/>
    <mergeCell ref="Q2396:R2397"/>
    <mergeCell ref="S2396:T2397"/>
    <mergeCell ref="U2396:V2397"/>
    <mergeCell ref="W2396:W2397"/>
    <mergeCell ref="X2396:AB2396"/>
    <mergeCell ref="AD2396:AI2396"/>
    <mergeCell ref="AJ2396:AL2396"/>
    <mergeCell ref="AN2396:AO2396"/>
    <mergeCell ref="AP2396:AQ2396"/>
    <mergeCell ref="AR2396:AS2397"/>
    <mergeCell ref="AT2396:AU2397"/>
    <mergeCell ref="AV2396:AW2397"/>
    <mergeCell ref="AX2396:AY2397"/>
    <mergeCell ref="AZ2396:AZ2397"/>
    <mergeCell ref="F2397:H2397"/>
    <mergeCell ref="X2397:AB2397"/>
    <mergeCell ref="AE2397:AI2397"/>
    <mergeCell ref="AJ2397:AL2397"/>
    <mergeCell ref="AN2397:AO2397"/>
    <mergeCell ref="AP2397:AQ2397"/>
    <mergeCell ref="A2398:A2399"/>
    <mergeCell ref="E2398:E2399"/>
    <mergeCell ref="F2398:H2398"/>
    <mergeCell ref="J2398:J2399"/>
    <mergeCell ref="K2398:L2399"/>
    <mergeCell ref="M2398:N2399"/>
    <mergeCell ref="O2398:P2399"/>
    <mergeCell ref="Q2398:R2399"/>
    <mergeCell ref="S2398:T2399"/>
    <mergeCell ref="U2398:V2399"/>
    <mergeCell ref="W2398:W2399"/>
    <mergeCell ref="X2398:AB2398"/>
    <mergeCell ref="AD2398:AI2398"/>
    <mergeCell ref="AJ2398:AL2398"/>
    <mergeCell ref="AN2398:AO2398"/>
    <mergeCell ref="AP2398:AQ2398"/>
    <mergeCell ref="AR2398:AS2399"/>
    <mergeCell ref="AT2398:AU2399"/>
    <mergeCell ref="AV2398:AW2399"/>
    <mergeCell ref="AX2398:AY2399"/>
    <mergeCell ref="AZ2398:AZ2399"/>
    <mergeCell ref="F2399:H2399"/>
    <mergeCell ref="X2399:AB2399"/>
    <mergeCell ref="AE2399:AI2399"/>
    <mergeCell ref="AJ2399:AL2399"/>
    <mergeCell ref="AN2399:AO2399"/>
    <mergeCell ref="AP2399:AQ2399"/>
    <mergeCell ref="J2356:J2357"/>
    <mergeCell ref="K2356:L2357"/>
    <mergeCell ref="M2356:N2357"/>
    <mergeCell ref="O2356:P2357"/>
    <mergeCell ref="Q2356:R2357"/>
    <mergeCell ref="S2356:T2357"/>
    <mergeCell ref="U2356:V2357"/>
    <mergeCell ref="W2356:W2357"/>
    <mergeCell ref="X2356:AB2356"/>
    <mergeCell ref="AD2356:AI2356"/>
    <mergeCell ref="AJ2356:AL2356"/>
    <mergeCell ref="AN2356:AO2356"/>
    <mergeCell ref="AP2356:AQ2356"/>
    <mergeCell ref="AR2356:AS2357"/>
    <mergeCell ref="AT2356:AU2357"/>
    <mergeCell ref="AV2356:AW2357"/>
    <mergeCell ref="AX2356:AY2357"/>
    <mergeCell ref="AZ2356:AZ2357"/>
    <mergeCell ref="F2357:H2357"/>
    <mergeCell ref="X2357:AB2357"/>
    <mergeCell ref="AE2357:AI2357"/>
    <mergeCell ref="AJ2357:AL2357"/>
    <mergeCell ref="AN2357:AO2357"/>
    <mergeCell ref="AP2357:AQ2357"/>
    <mergeCell ref="A2400:A2401"/>
    <mergeCell ref="E2400:E2401"/>
    <mergeCell ref="F2400:H2400"/>
    <mergeCell ref="J2400:J2401"/>
    <mergeCell ref="K2400:L2401"/>
    <mergeCell ref="M2400:N2401"/>
    <mergeCell ref="O2400:P2401"/>
    <mergeCell ref="Q2400:R2401"/>
    <mergeCell ref="S2400:T2401"/>
    <mergeCell ref="U2400:V2401"/>
    <mergeCell ref="W2400:W2401"/>
    <mergeCell ref="X2400:AB2400"/>
    <mergeCell ref="AD2400:AI2400"/>
    <mergeCell ref="AJ2400:AL2400"/>
    <mergeCell ref="AN2400:AO2400"/>
    <mergeCell ref="AP2400:AQ2400"/>
    <mergeCell ref="AR2400:AS2401"/>
    <mergeCell ref="AT2400:AU2401"/>
    <mergeCell ref="AV2400:AW2401"/>
    <mergeCell ref="AX2400:AY2401"/>
    <mergeCell ref="AZ2400:AZ2401"/>
    <mergeCell ref="F2401:H2401"/>
    <mergeCell ref="X2401:AB2401"/>
    <mergeCell ref="AE2401:AI2401"/>
    <mergeCell ref="AJ2401:AL2401"/>
    <mergeCell ref="AN2401:AO2401"/>
    <mergeCell ref="AP2401:AQ2401"/>
    <mergeCell ref="A2384:A2385"/>
    <mergeCell ref="E2384:E2385"/>
    <mergeCell ref="F2384:H2384"/>
    <mergeCell ref="J2384:J2385"/>
    <mergeCell ref="K2384:L2385"/>
    <mergeCell ref="M2384:N2385"/>
    <mergeCell ref="O2384:P2385"/>
    <mergeCell ref="Q2384:R2385"/>
    <mergeCell ref="S2384:T2385"/>
    <mergeCell ref="U2384:V2385"/>
    <mergeCell ref="W2384:W2385"/>
    <mergeCell ref="X2384:AB2384"/>
    <mergeCell ref="AD2384:AI2384"/>
    <mergeCell ref="A2402:A2403"/>
    <mergeCell ref="E2402:E2403"/>
    <mergeCell ref="F2402:H2402"/>
    <mergeCell ref="J2402:J2403"/>
    <mergeCell ref="K2402:L2403"/>
    <mergeCell ref="M2402:N2403"/>
    <mergeCell ref="O2402:P2403"/>
    <mergeCell ref="Q2402:R2403"/>
    <mergeCell ref="S2402:T2403"/>
    <mergeCell ref="U2402:V2403"/>
    <mergeCell ref="W2402:W2403"/>
    <mergeCell ref="X2402:AB2402"/>
    <mergeCell ref="AD2402:AI2402"/>
    <mergeCell ref="AJ2402:AL2402"/>
    <mergeCell ref="AN2402:AO2402"/>
    <mergeCell ref="AP2402:AQ2402"/>
    <mergeCell ref="AR2402:AS2403"/>
    <mergeCell ref="AT2402:AU2403"/>
    <mergeCell ref="AV2402:AW2403"/>
    <mergeCell ref="AX2402:AY2403"/>
    <mergeCell ref="AZ2402:AZ2403"/>
    <mergeCell ref="F2403:H2403"/>
    <mergeCell ref="X2403:AB2403"/>
    <mergeCell ref="AE2403:AI2403"/>
    <mergeCell ref="AJ2403:AL2403"/>
    <mergeCell ref="AN2403:AO2403"/>
    <mergeCell ref="AP2403:AQ2403"/>
    <mergeCell ref="A2404:A2405"/>
    <mergeCell ref="E2404:E2405"/>
    <mergeCell ref="F2404:H2404"/>
    <mergeCell ref="J2404:J2405"/>
    <mergeCell ref="K2404:L2405"/>
    <mergeCell ref="M2404:N2405"/>
    <mergeCell ref="O2404:P2405"/>
    <mergeCell ref="Q2404:R2405"/>
    <mergeCell ref="S2404:T2405"/>
    <mergeCell ref="U2404:V2405"/>
    <mergeCell ref="W2404:W2405"/>
    <mergeCell ref="X2404:AB2404"/>
    <mergeCell ref="AD2404:AI2404"/>
    <mergeCell ref="AJ2404:AL2404"/>
    <mergeCell ref="AN2404:AO2404"/>
    <mergeCell ref="AP2404:AQ2404"/>
    <mergeCell ref="AR2404:AS2405"/>
    <mergeCell ref="AT2404:AU2405"/>
    <mergeCell ref="AV2404:AW2405"/>
    <mergeCell ref="AX2404:AY2405"/>
    <mergeCell ref="AZ2404:AZ2405"/>
    <mergeCell ref="F2405:H2405"/>
    <mergeCell ref="X2405:AB2405"/>
    <mergeCell ref="AE2405:AI2405"/>
    <mergeCell ref="AJ2405:AL2405"/>
    <mergeCell ref="AN2405:AO2405"/>
    <mergeCell ref="AP2405:AQ2405"/>
    <mergeCell ref="A2406:A2407"/>
    <mergeCell ref="E2406:E2407"/>
    <mergeCell ref="F2406:H2406"/>
    <mergeCell ref="J2406:J2407"/>
    <mergeCell ref="K2406:L2407"/>
    <mergeCell ref="M2406:N2407"/>
    <mergeCell ref="O2406:P2407"/>
    <mergeCell ref="Q2406:R2407"/>
    <mergeCell ref="S2406:T2407"/>
    <mergeCell ref="U2406:V2407"/>
    <mergeCell ref="W2406:W2407"/>
    <mergeCell ref="X2406:AB2406"/>
    <mergeCell ref="AD2406:AI2406"/>
    <mergeCell ref="AJ2406:AL2406"/>
    <mergeCell ref="AN2406:AO2406"/>
    <mergeCell ref="AP2406:AQ2406"/>
    <mergeCell ref="AR2406:AS2407"/>
    <mergeCell ref="AT2406:AU2407"/>
    <mergeCell ref="AV2406:AW2407"/>
    <mergeCell ref="AX2406:AY2407"/>
    <mergeCell ref="AZ2406:AZ2407"/>
    <mergeCell ref="F2407:H2407"/>
    <mergeCell ref="X2407:AB2407"/>
    <mergeCell ref="AE2407:AI2407"/>
    <mergeCell ref="AJ2407:AL2407"/>
    <mergeCell ref="AN2407:AO2407"/>
    <mergeCell ref="AP2407:AQ2407"/>
    <mergeCell ref="A2410:A2411"/>
    <mergeCell ref="E2410:E2411"/>
    <mergeCell ref="F2410:H2410"/>
    <mergeCell ref="J2410:J2411"/>
    <mergeCell ref="K2410:L2411"/>
    <mergeCell ref="M2410:N2411"/>
    <mergeCell ref="O2410:P2411"/>
    <mergeCell ref="Q2410:R2411"/>
    <mergeCell ref="S2410:T2411"/>
    <mergeCell ref="U2410:V2411"/>
    <mergeCell ref="W2410:W2411"/>
    <mergeCell ref="X2410:AB2410"/>
    <mergeCell ref="AD2410:AI2410"/>
    <mergeCell ref="AJ2410:AL2410"/>
    <mergeCell ref="AN2410:AO2410"/>
    <mergeCell ref="AP2410:AQ2410"/>
    <mergeCell ref="AR2410:AS2411"/>
    <mergeCell ref="AT2410:AU2411"/>
    <mergeCell ref="AV2410:AW2411"/>
    <mergeCell ref="AX2410:AY2411"/>
    <mergeCell ref="AZ2410:AZ2411"/>
    <mergeCell ref="F2411:H2411"/>
    <mergeCell ref="X2411:AB2411"/>
    <mergeCell ref="AE2411:AI2411"/>
    <mergeCell ref="AJ2411:AL2411"/>
    <mergeCell ref="AN2411:AO2411"/>
    <mergeCell ref="AP2411:AQ2411"/>
    <mergeCell ref="A2408:A2409"/>
    <mergeCell ref="E2408:E2409"/>
    <mergeCell ref="F2408:H2408"/>
    <mergeCell ref="J2408:J2409"/>
    <mergeCell ref="K2408:L2409"/>
    <mergeCell ref="M2408:N2409"/>
    <mergeCell ref="O2408:P2409"/>
    <mergeCell ref="Q2408:R2409"/>
    <mergeCell ref="S2408:T2409"/>
    <mergeCell ref="U2408:V2409"/>
    <mergeCell ref="AZ2412:AZ2413"/>
    <mergeCell ref="F2413:H2413"/>
    <mergeCell ref="X2413:AB2413"/>
    <mergeCell ref="AE2413:AI2413"/>
    <mergeCell ref="AJ2413:AL2413"/>
    <mergeCell ref="AN2413:AO2413"/>
    <mergeCell ref="AP2413:AQ2413"/>
    <mergeCell ref="A2414:A2415"/>
    <mergeCell ref="E2414:E2415"/>
    <mergeCell ref="F2414:H2414"/>
    <mergeCell ref="J2414:J2415"/>
    <mergeCell ref="K2414:L2415"/>
    <mergeCell ref="M2414:N2415"/>
    <mergeCell ref="O2414:P2415"/>
    <mergeCell ref="Q2414:R2415"/>
    <mergeCell ref="S2414:T2415"/>
    <mergeCell ref="U2414:V2415"/>
    <mergeCell ref="W2414:W2415"/>
    <mergeCell ref="X2414:AB2414"/>
    <mergeCell ref="AD2414:AI2414"/>
    <mergeCell ref="AJ2414:AL2414"/>
    <mergeCell ref="AN2414:AO2414"/>
    <mergeCell ref="AP2414:AQ2414"/>
    <mergeCell ref="AR2414:AS2415"/>
    <mergeCell ref="AT2414:AU2415"/>
    <mergeCell ref="AV2414:AW2415"/>
    <mergeCell ref="AX2414:AY2415"/>
    <mergeCell ref="AZ2414:AZ2415"/>
    <mergeCell ref="F2415:H2415"/>
    <mergeCell ref="X2415:AB2415"/>
    <mergeCell ref="AE2415:AI2415"/>
    <mergeCell ref="AJ2415:AL2415"/>
    <mergeCell ref="AN2415:AO2415"/>
    <mergeCell ref="AP2415:AQ2415"/>
    <mergeCell ref="A2416:A2417"/>
    <mergeCell ref="E2416:E2417"/>
    <mergeCell ref="F2416:H2416"/>
    <mergeCell ref="J2416:J2417"/>
    <mergeCell ref="K2416:L2417"/>
    <mergeCell ref="M2416:N2417"/>
    <mergeCell ref="O2416:P2417"/>
    <mergeCell ref="Q2416:R2417"/>
    <mergeCell ref="S2416:T2417"/>
    <mergeCell ref="U2416:V2417"/>
    <mergeCell ref="W2416:W2417"/>
    <mergeCell ref="X2416:AB2416"/>
    <mergeCell ref="AD2416:AI2416"/>
    <mergeCell ref="AJ2416:AL2416"/>
    <mergeCell ref="AN2416:AO2416"/>
    <mergeCell ref="AP2416:AQ2416"/>
    <mergeCell ref="AR2416:AS2417"/>
    <mergeCell ref="AT2416:AU2417"/>
    <mergeCell ref="AV2416:AW2417"/>
    <mergeCell ref="AX2416:AY2417"/>
    <mergeCell ref="AZ2416:AZ2417"/>
    <mergeCell ref="F2417:H2417"/>
    <mergeCell ref="X2417:AB2417"/>
    <mergeCell ref="AE2417:AI2417"/>
    <mergeCell ref="AJ2417:AL2417"/>
    <mergeCell ref="AN2417:AO2417"/>
    <mergeCell ref="AP2417:AQ2417"/>
    <mergeCell ref="A2418:A2419"/>
    <mergeCell ref="E2418:E2419"/>
    <mergeCell ref="F2418:H2418"/>
    <mergeCell ref="J2418:J2419"/>
    <mergeCell ref="K2418:L2419"/>
    <mergeCell ref="M2418:N2419"/>
    <mergeCell ref="O2418:P2419"/>
    <mergeCell ref="Q2418:R2419"/>
    <mergeCell ref="S2418:T2419"/>
    <mergeCell ref="U2418:V2419"/>
    <mergeCell ref="W2418:W2419"/>
    <mergeCell ref="X2418:AB2418"/>
    <mergeCell ref="AD2418:AI2418"/>
    <mergeCell ref="AJ2418:AL2418"/>
    <mergeCell ref="AN2418:AO2418"/>
    <mergeCell ref="AP2418:AQ2418"/>
    <mergeCell ref="AR2418:AS2419"/>
    <mergeCell ref="AT2418:AU2419"/>
    <mergeCell ref="AV2418:AW2419"/>
    <mergeCell ref="AX2418:AY2419"/>
    <mergeCell ref="AZ2418:AZ2419"/>
    <mergeCell ref="F2419:H2419"/>
    <mergeCell ref="X2419:AB2419"/>
    <mergeCell ref="AE2419:AI2419"/>
    <mergeCell ref="AJ2419:AL2419"/>
    <mergeCell ref="AN2419:AO2419"/>
    <mergeCell ref="AP2419:AQ2419"/>
    <mergeCell ref="A2420:A2421"/>
    <mergeCell ref="E2420:E2421"/>
    <mergeCell ref="F2420:H2420"/>
    <mergeCell ref="J2420:J2421"/>
    <mergeCell ref="K2420:L2421"/>
    <mergeCell ref="M2420:N2421"/>
    <mergeCell ref="O2420:P2421"/>
    <mergeCell ref="Q2420:R2421"/>
    <mergeCell ref="S2420:T2421"/>
    <mergeCell ref="U2420:V2421"/>
    <mergeCell ref="W2420:W2421"/>
    <mergeCell ref="X2420:AB2420"/>
    <mergeCell ref="AD2420:AI2420"/>
    <mergeCell ref="AJ2420:AL2420"/>
    <mergeCell ref="AN2420:AO2420"/>
    <mergeCell ref="AP2420:AQ2420"/>
    <mergeCell ref="AR2420:AS2421"/>
    <mergeCell ref="AT2420:AU2421"/>
    <mergeCell ref="AV2420:AW2421"/>
    <mergeCell ref="AX2420:AY2421"/>
    <mergeCell ref="AZ2420:AZ2421"/>
    <mergeCell ref="F2421:H2421"/>
    <mergeCell ref="X2421:AB2421"/>
    <mergeCell ref="AE2421:AI2421"/>
    <mergeCell ref="AJ2421:AL2421"/>
    <mergeCell ref="AN2421:AO2421"/>
    <mergeCell ref="AP2421:AQ2421"/>
    <mergeCell ref="A2422:A2423"/>
    <mergeCell ref="E2422:E2423"/>
    <mergeCell ref="F2422:H2422"/>
    <mergeCell ref="J2422:J2423"/>
    <mergeCell ref="K2422:L2423"/>
    <mergeCell ref="M2422:N2423"/>
    <mergeCell ref="O2422:P2423"/>
    <mergeCell ref="Q2422:R2423"/>
    <mergeCell ref="S2422:T2423"/>
    <mergeCell ref="U2422:V2423"/>
    <mergeCell ref="W2422:W2423"/>
    <mergeCell ref="X2422:AB2422"/>
    <mergeCell ref="AD2422:AI2422"/>
    <mergeCell ref="AJ2422:AL2422"/>
    <mergeCell ref="AN2422:AO2422"/>
    <mergeCell ref="AP2422:AQ2422"/>
    <mergeCell ref="AR2422:AS2423"/>
    <mergeCell ref="AT2422:AU2423"/>
    <mergeCell ref="AV2422:AW2423"/>
    <mergeCell ref="AX2422:AY2423"/>
    <mergeCell ref="AZ2422:AZ2423"/>
    <mergeCell ref="F2423:H2423"/>
    <mergeCell ref="X2423:AB2423"/>
    <mergeCell ref="AE2423:AI2423"/>
    <mergeCell ref="AJ2423:AL2423"/>
    <mergeCell ref="AN2423:AO2423"/>
    <mergeCell ref="AP2423:AQ2423"/>
    <mergeCell ref="A2424:A2425"/>
    <mergeCell ref="E2424:E2425"/>
    <mergeCell ref="F2424:H2424"/>
    <mergeCell ref="J2424:J2425"/>
    <mergeCell ref="K2424:L2425"/>
    <mergeCell ref="M2424:N2425"/>
    <mergeCell ref="O2424:P2425"/>
    <mergeCell ref="Q2424:R2425"/>
    <mergeCell ref="S2424:T2425"/>
    <mergeCell ref="U2424:V2425"/>
    <mergeCell ref="W2424:W2425"/>
    <mergeCell ref="X2424:AB2424"/>
    <mergeCell ref="AD2424:AI2424"/>
    <mergeCell ref="AJ2424:AL2424"/>
    <mergeCell ref="AN2424:AO2424"/>
    <mergeCell ref="AP2424:AQ2424"/>
    <mergeCell ref="AR2424:AS2425"/>
    <mergeCell ref="AT2424:AU2425"/>
    <mergeCell ref="AV2424:AW2425"/>
    <mergeCell ref="AX2424:AY2425"/>
    <mergeCell ref="AZ2424:AZ2425"/>
    <mergeCell ref="F2425:H2425"/>
    <mergeCell ref="X2425:AB2425"/>
    <mergeCell ref="AE2425:AI2425"/>
    <mergeCell ref="AJ2425:AL2425"/>
    <mergeCell ref="AN2425:AO2425"/>
    <mergeCell ref="AP2425:AQ2425"/>
    <mergeCell ref="A2426:A2427"/>
    <mergeCell ref="E2426:E2427"/>
    <mergeCell ref="F2426:H2426"/>
    <mergeCell ref="J2426:J2427"/>
    <mergeCell ref="K2426:L2427"/>
    <mergeCell ref="M2426:N2427"/>
    <mergeCell ref="O2426:P2427"/>
    <mergeCell ref="Q2426:R2427"/>
    <mergeCell ref="S2426:T2427"/>
    <mergeCell ref="U2426:V2427"/>
    <mergeCell ref="W2426:W2427"/>
    <mergeCell ref="X2426:AB2426"/>
    <mergeCell ref="AD2426:AI2426"/>
    <mergeCell ref="AJ2426:AL2426"/>
    <mergeCell ref="AN2426:AO2426"/>
    <mergeCell ref="AP2426:AQ2426"/>
    <mergeCell ref="AR2426:AS2427"/>
    <mergeCell ref="AT2426:AU2427"/>
    <mergeCell ref="AV2426:AW2427"/>
    <mergeCell ref="AX2426:AY2427"/>
    <mergeCell ref="AZ2426:AZ2427"/>
    <mergeCell ref="F2427:H2427"/>
    <mergeCell ref="X2427:AB2427"/>
    <mergeCell ref="AE2427:AI2427"/>
    <mergeCell ref="AJ2427:AL2427"/>
    <mergeCell ref="AN2427:AO2427"/>
    <mergeCell ref="AP2427:AQ2427"/>
    <mergeCell ref="A2428:A2429"/>
    <mergeCell ref="E2428:E2429"/>
    <mergeCell ref="F2428:H2428"/>
    <mergeCell ref="J2428:J2429"/>
    <mergeCell ref="K2428:L2429"/>
    <mergeCell ref="M2428:N2429"/>
    <mergeCell ref="O2428:P2429"/>
    <mergeCell ref="Q2428:R2429"/>
    <mergeCell ref="S2428:T2429"/>
    <mergeCell ref="U2428:V2429"/>
    <mergeCell ref="W2428:W2429"/>
    <mergeCell ref="X2428:AB2428"/>
    <mergeCell ref="AD2428:AI2428"/>
    <mergeCell ref="AJ2428:AL2428"/>
    <mergeCell ref="AN2428:AO2428"/>
    <mergeCell ref="AP2428:AQ2428"/>
    <mergeCell ref="AR2428:AS2429"/>
    <mergeCell ref="AT2428:AU2429"/>
    <mergeCell ref="AV2428:AW2429"/>
    <mergeCell ref="AX2428:AY2429"/>
    <mergeCell ref="AZ2428:AZ2429"/>
    <mergeCell ref="F2429:H2429"/>
    <mergeCell ref="X2429:AB2429"/>
    <mergeCell ref="AE2429:AI2429"/>
    <mergeCell ref="AJ2429:AL2429"/>
    <mergeCell ref="AN2429:AO2429"/>
    <mergeCell ref="AP2429:AQ2429"/>
    <mergeCell ref="A2430:A2431"/>
    <mergeCell ref="E2430:E2431"/>
    <mergeCell ref="F2430:H2430"/>
    <mergeCell ref="J2430:J2431"/>
    <mergeCell ref="K2430:L2431"/>
    <mergeCell ref="M2430:N2431"/>
    <mergeCell ref="O2430:P2431"/>
    <mergeCell ref="Q2430:R2431"/>
    <mergeCell ref="S2430:T2431"/>
    <mergeCell ref="U2430:V2431"/>
    <mergeCell ref="W2430:W2431"/>
    <mergeCell ref="X2430:AB2430"/>
    <mergeCell ref="AD2430:AI2430"/>
    <mergeCell ref="AJ2430:AL2430"/>
    <mergeCell ref="AN2430:AO2430"/>
    <mergeCell ref="AP2430:AQ2430"/>
    <mergeCell ref="AR2430:AS2431"/>
    <mergeCell ref="AT2430:AU2431"/>
    <mergeCell ref="AV2430:AW2431"/>
    <mergeCell ref="AX2430:AY2431"/>
    <mergeCell ref="AZ2430:AZ2431"/>
    <mergeCell ref="F2431:H2431"/>
    <mergeCell ref="X2431:AB2431"/>
    <mergeCell ref="AE2431:AI2431"/>
    <mergeCell ref="AJ2431:AL2431"/>
    <mergeCell ref="AN2431:AO2431"/>
    <mergeCell ref="AP2431:AQ2431"/>
    <mergeCell ref="AR2432:AS2433"/>
    <mergeCell ref="AT2432:AU2433"/>
    <mergeCell ref="AV2432:AW2433"/>
    <mergeCell ref="AX2432:AY2433"/>
    <mergeCell ref="AZ2432:AZ2433"/>
    <mergeCell ref="F2433:H2433"/>
    <mergeCell ref="X2433:AB2433"/>
    <mergeCell ref="AE2433:AI2433"/>
    <mergeCell ref="AJ2433:AL2433"/>
    <mergeCell ref="AN2433:AO2433"/>
    <mergeCell ref="AP2433:AQ2433"/>
    <mergeCell ref="A2434:A2435"/>
    <mergeCell ref="E2434:E2435"/>
    <mergeCell ref="F2434:H2434"/>
    <mergeCell ref="J2434:J2435"/>
    <mergeCell ref="K2434:L2435"/>
    <mergeCell ref="M2434:N2435"/>
    <mergeCell ref="O2434:P2435"/>
    <mergeCell ref="Q2434:R2435"/>
    <mergeCell ref="S2434:T2435"/>
    <mergeCell ref="U2434:V2435"/>
    <mergeCell ref="W2434:W2435"/>
    <mergeCell ref="X2434:AB2434"/>
    <mergeCell ref="AD2434:AI2434"/>
    <mergeCell ref="AJ2434:AL2434"/>
    <mergeCell ref="AN2434:AO2434"/>
    <mergeCell ref="AP2434:AQ2434"/>
    <mergeCell ref="AR2434:AS2435"/>
    <mergeCell ref="AT2434:AU2435"/>
    <mergeCell ref="AV2434:AW2435"/>
    <mergeCell ref="AX2434:AY2435"/>
    <mergeCell ref="AZ2434:AZ2435"/>
    <mergeCell ref="F2435:H2435"/>
    <mergeCell ref="X2435:AB2435"/>
    <mergeCell ref="AE2435:AI2435"/>
    <mergeCell ref="AJ2435:AL2435"/>
    <mergeCell ref="AN2435:AO2435"/>
    <mergeCell ref="AP2435:AQ2435"/>
    <mergeCell ref="A2442:A2443"/>
    <mergeCell ref="E2442:E2443"/>
    <mergeCell ref="F2442:H2442"/>
    <mergeCell ref="J2442:J2443"/>
    <mergeCell ref="K2442:L2443"/>
    <mergeCell ref="M2442:N2443"/>
    <mergeCell ref="O2442:P2443"/>
    <mergeCell ref="Q2442:R2443"/>
    <mergeCell ref="S2442:T2443"/>
    <mergeCell ref="U2442:V2443"/>
    <mergeCell ref="W2442:W2443"/>
    <mergeCell ref="X2442:AB2442"/>
    <mergeCell ref="AD2442:AI2442"/>
    <mergeCell ref="AJ2442:AL2442"/>
    <mergeCell ref="AN2442:AO2442"/>
    <mergeCell ref="AP2442:AQ2442"/>
    <mergeCell ref="AR2442:AS2443"/>
    <mergeCell ref="AT2442:AU2443"/>
    <mergeCell ref="AV2442:AW2443"/>
    <mergeCell ref="AX2442:AY2443"/>
    <mergeCell ref="AZ2442:AZ2443"/>
    <mergeCell ref="F2443:H2443"/>
    <mergeCell ref="X2443:AB2443"/>
    <mergeCell ref="AE2443:AI2443"/>
    <mergeCell ref="AJ2443:AL2443"/>
    <mergeCell ref="AN2443:AO2443"/>
    <mergeCell ref="AP2443:AQ2443"/>
    <mergeCell ref="A2436:A2437"/>
    <mergeCell ref="E2436:E2437"/>
    <mergeCell ref="F2436:H2436"/>
    <mergeCell ref="J2436:J2437"/>
    <mergeCell ref="K2436:L2437"/>
    <mergeCell ref="M2436:N2437"/>
    <mergeCell ref="O2436:P2437"/>
    <mergeCell ref="Q2436:R2437"/>
    <mergeCell ref="S2436:T2437"/>
    <mergeCell ref="U2436:V2437"/>
    <mergeCell ref="W2436:W2437"/>
    <mergeCell ref="X2436:AB2436"/>
    <mergeCell ref="AD2436:AI2436"/>
    <mergeCell ref="AJ2436:AL2436"/>
    <mergeCell ref="AN2436:AO2436"/>
    <mergeCell ref="AP2436:AQ2436"/>
    <mergeCell ref="AR2436:AS2437"/>
    <mergeCell ref="AT2436:AU2437"/>
    <mergeCell ref="AV2436:AW2437"/>
    <mergeCell ref="AX2436:AY2437"/>
    <mergeCell ref="AZ2436:AZ2437"/>
    <mergeCell ref="F2437:H2437"/>
    <mergeCell ref="X2437:AB2437"/>
    <mergeCell ref="AE2437:AI2437"/>
    <mergeCell ref="AJ2437:AL2437"/>
    <mergeCell ref="AN2437:AO2437"/>
    <mergeCell ref="AP2437:AQ2437"/>
    <mergeCell ref="A2438:A2439"/>
    <mergeCell ref="E2438:E2439"/>
    <mergeCell ref="F2438:H2438"/>
    <mergeCell ref="J2438:J2439"/>
    <mergeCell ref="K2438:L2439"/>
    <mergeCell ref="M2438:N2439"/>
    <mergeCell ref="O2438:P2439"/>
    <mergeCell ref="Q2438:R2439"/>
    <mergeCell ref="S2438:T2439"/>
    <mergeCell ref="U2438:V2439"/>
    <mergeCell ref="AE2385:AI2385"/>
    <mergeCell ref="AJ2385:AL2385"/>
    <mergeCell ref="AN2385:AO2385"/>
    <mergeCell ref="AP2385:AQ2385"/>
    <mergeCell ref="A2440:A2441"/>
    <mergeCell ref="E2440:E2441"/>
    <mergeCell ref="F2440:H2440"/>
    <mergeCell ref="J2440:J2441"/>
    <mergeCell ref="K2440:L2441"/>
    <mergeCell ref="M2440:N2441"/>
    <mergeCell ref="O2440:P2441"/>
    <mergeCell ref="Q2440:R2441"/>
    <mergeCell ref="S2440:T2441"/>
    <mergeCell ref="U2440:V2441"/>
    <mergeCell ref="W2440:W2441"/>
    <mergeCell ref="X2440:AB2440"/>
    <mergeCell ref="AD2440:AI2440"/>
    <mergeCell ref="AJ2440:AL2440"/>
    <mergeCell ref="AN2440:AO2440"/>
    <mergeCell ref="AP2440:AQ2440"/>
    <mergeCell ref="AR2440:AS2441"/>
    <mergeCell ref="AT2440:AU2441"/>
    <mergeCell ref="AV2440:AW2441"/>
    <mergeCell ref="AX2440:AY2441"/>
    <mergeCell ref="AZ2440:AZ2441"/>
    <mergeCell ref="F2441:H2441"/>
    <mergeCell ref="X2441:AB2441"/>
    <mergeCell ref="AE2441:AI2441"/>
    <mergeCell ref="AJ2441:AL2441"/>
    <mergeCell ref="AN2441:AO2441"/>
    <mergeCell ref="AP2441:AQ2441"/>
    <mergeCell ref="W2438:W2439"/>
    <mergeCell ref="X2438:AB2438"/>
    <mergeCell ref="AD2438:AI2438"/>
    <mergeCell ref="AJ2438:AL2438"/>
    <mergeCell ref="AN2438:AO2438"/>
    <mergeCell ref="AP2438:AQ2438"/>
    <mergeCell ref="AR2438:AS2439"/>
    <mergeCell ref="AT2438:AU2439"/>
    <mergeCell ref="AV2438:AW2439"/>
    <mergeCell ref="AX2438:AY2439"/>
    <mergeCell ref="AZ2438:AZ2439"/>
    <mergeCell ref="F2439:H2439"/>
    <mergeCell ref="X2439:AB2439"/>
    <mergeCell ref="AE2439:AI2439"/>
    <mergeCell ref="AJ2439:AL2439"/>
    <mergeCell ref="AN2439:AO2439"/>
    <mergeCell ref="AP2439:AQ2439"/>
    <mergeCell ref="A2432:A2433"/>
    <mergeCell ref="E2432:E2433"/>
    <mergeCell ref="F2432:H2432"/>
    <mergeCell ref="J2432:J2433"/>
    <mergeCell ref="K2432:L2433"/>
    <mergeCell ref="M2432:N2433"/>
    <mergeCell ref="O2432:P2433"/>
    <mergeCell ref="Q2432:R2433"/>
    <mergeCell ref="S2432:T2433"/>
    <mergeCell ref="U2432:V2433"/>
    <mergeCell ref="W2432:W2433"/>
    <mergeCell ref="X2432:AB2432"/>
    <mergeCell ref="AD2432:AI2432"/>
    <mergeCell ref="AJ2432:AL2432"/>
    <mergeCell ref="AN2432:AO2432"/>
    <mergeCell ref="AP2432:AQ2432"/>
    <mergeCell ref="W2488:W2489"/>
    <mergeCell ref="X2488:AB2488"/>
    <mergeCell ref="AD2488:AI2488"/>
    <mergeCell ref="AJ2488:AL2488"/>
    <mergeCell ref="AN2488:AO2488"/>
    <mergeCell ref="AP2488:AQ2488"/>
    <mergeCell ref="AR2488:AS2489"/>
    <mergeCell ref="AT2488:AU2489"/>
    <mergeCell ref="AV2488:AW2489"/>
    <mergeCell ref="AX2488:AY2489"/>
    <mergeCell ref="AZ2488:AZ2489"/>
    <mergeCell ref="F2489:H2489"/>
    <mergeCell ref="X2489:AB2489"/>
    <mergeCell ref="AE2489:AI2489"/>
    <mergeCell ref="AJ2489:AL2489"/>
    <mergeCell ref="AN2489:AO2489"/>
    <mergeCell ref="AP2489:AQ2489"/>
    <mergeCell ref="A2490:A2491"/>
    <mergeCell ref="E2490:E2491"/>
    <mergeCell ref="F2490:H2490"/>
    <mergeCell ref="J2490:J2491"/>
    <mergeCell ref="K2490:L2491"/>
    <mergeCell ref="M2490:N2491"/>
    <mergeCell ref="O2490:P2491"/>
    <mergeCell ref="Q2490:R2491"/>
    <mergeCell ref="S2490:T2491"/>
    <mergeCell ref="U2490:V2491"/>
    <mergeCell ref="W2490:W2491"/>
    <mergeCell ref="X2490:AB2490"/>
    <mergeCell ref="AD2490:AI2490"/>
    <mergeCell ref="AJ2490:AL2490"/>
    <mergeCell ref="AN2490:AO2490"/>
    <mergeCell ref="AP2490:AQ2490"/>
    <mergeCell ref="AR2490:AS2491"/>
    <mergeCell ref="AT2490:AU2491"/>
    <mergeCell ref="AV2490:AW2491"/>
    <mergeCell ref="AX2490:AY2491"/>
    <mergeCell ref="AZ2490:AZ2491"/>
    <mergeCell ref="F2491:H2491"/>
    <mergeCell ref="X2491:AB2491"/>
    <mergeCell ref="AE2491:AI2491"/>
    <mergeCell ref="AJ2491:AL2491"/>
    <mergeCell ref="AN2491:AO2491"/>
    <mergeCell ref="AP2491:AQ2491"/>
    <mergeCell ref="A2542:A2543"/>
    <mergeCell ref="E2542:E2543"/>
    <mergeCell ref="F2542:H2542"/>
    <mergeCell ref="J2542:J2543"/>
    <mergeCell ref="K2542:L2543"/>
    <mergeCell ref="M2542:N2543"/>
    <mergeCell ref="O2542:P2543"/>
    <mergeCell ref="Q2542:R2543"/>
    <mergeCell ref="S2542:T2543"/>
    <mergeCell ref="U2542:V2543"/>
    <mergeCell ref="W2542:W2543"/>
    <mergeCell ref="X2542:AB2542"/>
    <mergeCell ref="AD2542:AI2542"/>
    <mergeCell ref="AJ2542:AL2542"/>
    <mergeCell ref="AN2542:AO2542"/>
    <mergeCell ref="AP2542:AQ2542"/>
    <mergeCell ref="AR2542:AS2543"/>
    <mergeCell ref="AT2542:AU2543"/>
    <mergeCell ref="AV2542:AW2543"/>
    <mergeCell ref="AX2542:AY2543"/>
    <mergeCell ref="AZ2542:AZ2543"/>
    <mergeCell ref="F2543:H2543"/>
    <mergeCell ref="X2543:AB2543"/>
    <mergeCell ref="AE2543:AI2543"/>
    <mergeCell ref="AJ2543:AL2543"/>
    <mergeCell ref="AN2543:AO2543"/>
    <mergeCell ref="AP2543:AQ2543"/>
    <mergeCell ref="A2544:A2545"/>
    <mergeCell ref="E2544:E2545"/>
    <mergeCell ref="F2544:H2544"/>
    <mergeCell ref="J2544:J2545"/>
    <mergeCell ref="K2544:L2545"/>
    <mergeCell ref="M2544:N2545"/>
    <mergeCell ref="O2544:P2545"/>
    <mergeCell ref="Q2544:R2545"/>
    <mergeCell ref="S2544:T2545"/>
    <mergeCell ref="U2544:V2545"/>
    <mergeCell ref="W2544:W2545"/>
    <mergeCell ref="X2544:AB2544"/>
    <mergeCell ref="AD2544:AI2544"/>
    <mergeCell ref="AJ2544:AL2544"/>
    <mergeCell ref="AN2544:AO2544"/>
    <mergeCell ref="AP2544:AQ2544"/>
    <mergeCell ref="AR2544:AS2545"/>
    <mergeCell ref="AT2544:AU2545"/>
    <mergeCell ref="AV2544:AW2545"/>
    <mergeCell ref="AX2544:AY2545"/>
    <mergeCell ref="AZ2544:AZ2545"/>
    <mergeCell ref="F2545:H2545"/>
    <mergeCell ref="X2545:AB2545"/>
    <mergeCell ref="AE2545:AI2545"/>
    <mergeCell ref="AJ2545:AL2545"/>
    <mergeCell ref="AN2545:AO2545"/>
    <mergeCell ref="AP2545:AQ2545"/>
    <mergeCell ref="A2546:A2547"/>
    <mergeCell ref="E2546:E2547"/>
    <mergeCell ref="F2546:H2546"/>
    <mergeCell ref="J2546:J2547"/>
    <mergeCell ref="K2546:L2547"/>
    <mergeCell ref="M2546:N2547"/>
    <mergeCell ref="O2546:P2547"/>
    <mergeCell ref="Q2546:R2547"/>
    <mergeCell ref="S2546:T2547"/>
    <mergeCell ref="U2546:V2547"/>
    <mergeCell ref="W2546:W2547"/>
    <mergeCell ref="X2546:AB2546"/>
    <mergeCell ref="AD2546:AI2546"/>
    <mergeCell ref="AJ2546:AL2546"/>
    <mergeCell ref="AN2546:AO2546"/>
    <mergeCell ref="AP2546:AQ2546"/>
    <mergeCell ref="AR2546:AS2547"/>
    <mergeCell ref="AT2546:AU2547"/>
    <mergeCell ref="AV2546:AW2547"/>
    <mergeCell ref="AX2546:AY2547"/>
    <mergeCell ref="AZ2546:AZ2547"/>
    <mergeCell ref="F2547:H2547"/>
    <mergeCell ref="X2547:AB2547"/>
    <mergeCell ref="AE2547:AI2547"/>
    <mergeCell ref="AJ2547:AL2547"/>
    <mergeCell ref="AN2547:AO2547"/>
    <mergeCell ref="AP2547:AQ2547"/>
    <mergeCell ref="A2548:A2549"/>
    <mergeCell ref="E2548:E2549"/>
    <mergeCell ref="F2548:H2548"/>
    <mergeCell ref="J2548:J2549"/>
    <mergeCell ref="K2548:L2549"/>
    <mergeCell ref="M2548:N2549"/>
    <mergeCell ref="O2548:P2549"/>
    <mergeCell ref="Q2548:R2549"/>
    <mergeCell ref="S2548:T2549"/>
    <mergeCell ref="U2548:V2549"/>
    <mergeCell ref="W2548:W2549"/>
    <mergeCell ref="X2548:AB2548"/>
    <mergeCell ref="AD2548:AI2548"/>
    <mergeCell ref="AJ2548:AL2548"/>
    <mergeCell ref="AN2548:AO2548"/>
    <mergeCell ref="AP2548:AQ2548"/>
    <mergeCell ref="AR2548:AS2549"/>
    <mergeCell ref="AT2548:AU2549"/>
    <mergeCell ref="AV2548:AW2549"/>
    <mergeCell ref="AX2548:AY2549"/>
    <mergeCell ref="AZ2548:AZ2549"/>
    <mergeCell ref="F2549:H2549"/>
    <mergeCell ref="X2549:AB2549"/>
    <mergeCell ref="AE2549:AI2549"/>
    <mergeCell ref="AJ2549:AL2549"/>
    <mergeCell ref="AN2549:AO2549"/>
    <mergeCell ref="AP2549:AQ2549"/>
    <mergeCell ref="A2550:A2551"/>
    <mergeCell ref="E2550:E2551"/>
    <mergeCell ref="F2550:H2550"/>
    <mergeCell ref="J2550:J2551"/>
    <mergeCell ref="K2550:L2551"/>
    <mergeCell ref="M2550:N2551"/>
    <mergeCell ref="O2550:P2551"/>
    <mergeCell ref="Q2550:R2551"/>
    <mergeCell ref="S2550:T2551"/>
    <mergeCell ref="U2550:V2551"/>
    <mergeCell ref="W2550:W2551"/>
    <mergeCell ref="X2550:AB2550"/>
    <mergeCell ref="AD2550:AI2550"/>
    <mergeCell ref="AJ2550:AL2550"/>
    <mergeCell ref="AN2550:AO2550"/>
    <mergeCell ref="AP2550:AQ2550"/>
    <mergeCell ref="AR2550:AS2551"/>
    <mergeCell ref="AT2550:AU2551"/>
    <mergeCell ref="AV2550:AW2551"/>
    <mergeCell ref="AX2550:AY2551"/>
    <mergeCell ref="AZ2550:AZ2551"/>
    <mergeCell ref="F2551:H2551"/>
    <mergeCell ref="X2551:AB2551"/>
    <mergeCell ref="AE2551:AI2551"/>
    <mergeCell ref="AJ2551:AL2551"/>
    <mergeCell ref="AN2551:AO2551"/>
    <mergeCell ref="AP2551:AQ2551"/>
    <mergeCell ref="A2552:A2553"/>
    <mergeCell ref="E2552:E2553"/>
    <mergeCell ref="F2552:H2552"/>
    <mergeCell ref="J2552:J2553"/>
    <mergeCell ref="K2552:L2553"/>
    <mergeCell ref="M2552:N2553"/>
    <mergeCell ref="O2552:P2553"/>
    <mergeCell ref="Q2552:R2553"/>
    <mergeCell ref="S2552:T2553"/>
    <mergeCell ref="U2552:V2553"/>
    <mergeCell ref="W2552:W2553"/>
    <mergeCell ref="X2552:AB2552"/>
    <mergeCell ref="AD2552:AI2552"/>
    <mergeCell ref="AJ2552:AL2552"/>
    <mergeCell ref="AN2552:AO2552"/>
    <mergeCell ref="AP2552:AQ2552"/>
    <mergeCell ref="AR2552:AS2553"/>
    <mergeCell ref="AT2552:AU2553"/>
    <mergeCell ref="AV2552:AW2553"/>
    <mergeCell ref="AX2552:AY2553"/>
    <mergeCell ref="AZ2552:AZ2553"/>
    <mergeCell ref="F2553:H2553"/>
    <mergeCell ref="X2553:AB2553"/>
    <mergeCell ref="AE2553:AI2553"/>
    <mergeCell ref="AJ2553:AL2553"/>
    <mergeCell ref="AN2553:AO2553"/>
    <mergeCell ref="AP2553:AQ2553"/>
    <mergeCell ref="A2554:A2555"/>
    <mergeCell ref="E2554:E2555"/>
    <mergeCell ref="F2554:H2554"/>
    <mergeCell ref="J2554:J2555"/>
    <mergeCell ref="K2554:L2555"/>
    <mergeCell ref="M2554:N2555"/>
    <mergeCell ref="O2554:P2555"/>
    <mergeCell ref="Q2554:R2555"/>
    <mergeCell ref="S2554:T2555"/>
    <mergeCell ref="U2554:V2555"/>
    <mergeCell ref="W2554:W2555"/>
    <mergeCell ref="X2554:AB2554"/>
    <mergeCell ref="AD2554:AI2554"/>
    <mergeCell ref="AJ2554:AL2554"/>
    <mergeCell ref="AN2554:AO2554"/>
    <mergeCell ref="AP2554:AQ2554"/>
    <mergeCell ref="AR2554:AS2555"/>
    <mergeCell ref="AT2554:AU2555"/>
    <mergeCell ref="AV2554:AW2555"/>
    <mergeCell ref="AX2554:AY2555"/>
    <mergeCell ref="AZ2554:AZ2555"/>
    <mergeCell ref="F2555:H2555"/>
    <mergeCell ref="X2555:AB2555"/>
    <mergeCell ref="AE2555:AI2555"/>
    <mergeCell ref="AJ2555:AL2555"/>
    <mergeCell ref="AN2555:AO2555"/>
    <mergeCell ref="AP2555:AQ2555"/>
    <mergeCell ref="A2556:A2557"/>
    <mergeCell ref="E2556:E2557"/>
    <mergeCell ref="F2556:H2556"/>
    <mergeCell ref="J2556:J2557"/>
    <mergeCell ref="K2556:L2557"/>
    <mergeCell ref="M2556:N2557"/>
    <mergeCell ref="O2556:P2557"/>
    <mergeCell ref="Q2556:R2557"/>
    <mergeCell ref="S2556:T2557"/>
    <mergeCell ref="U2556:V2557"/>
    <mergeCell ref="W2556:W2557"/>
    <mergeCell ref="X2556:AB2556"/>
    <mergeCell ref="AD2556:AI2556"/>
    <mergeCell ref="AJ2556:AL2556"/>
    <mergeCell ref="AN2556:AO2556"/>
    <mergeCell ref="AP2556:AQ2556"/>
    <mergeCell ref="AR2556:AS2557"/>
    <mergeCell ref="AT2556:AU2557"/>
    <mergeCell ref="AV2556:AW2557"/>
    <mergeCell ref="AX2556:AY2557"/>
    <mergeCell ref="AZ2556:AZ2557"/>
    <mergeCell ref="F2557:H2557"/>
    <mergeCell ref="X2557:AB2557"/>
    <mergeCell ref="AE2557:AI2557"/>
    <mergeCell ref="AJ2557:AL2557"/>
    <mergeCell ref="AN2557:AO2557"/>
    <mergeCell ref="AP2557:AQ2557"/>
    <mergeCell ref="A2558:A2559"/>
    <mergeCell ref="E2558:E2559"/>
    <mergeCell ref="F2558:H2558"/>
    <mergeCell ref="J2558:J2559"/>
    <mergeCell ref="K2558:L2559"/>
    <mergeCell ref="M2558:N2559"/>
    <mergeCell ref="O2558:P2559"/>
    <mergeCell ref="Q2558:R2559"/>
    <mergeCell ref="S2558:T2559"/>
    <mergeCell ref="U2558:V2559"/>
    <mergeCell ref="W2558:W2559"/>
    <mergeCell ref="X2558:AB2558"/>
    <mergeCell ref="AD2558:AI2558"/>
    <mergeCell ref="AJ2558:AL2558"/>
    <mergeCell ref="AN2558:AO2558"/>
    <mergeCell ref="AP2558:AQ2558"/>
    <mergeCell ref="AR2558:AS2559"/>
    <mergeCell ref="AT2558:AU2559"/>
    <mergeCell ref="AV2558:AW2559"/>
    <mergeCell ref="AX2558:AY2559"/>
    <mergeCell ref="AZ2558:AZ2559"/>
    <mergeCell ref="F2559:H2559"/>
    <mergeCell ref="X2559:AB2559"/>
    <mergeCell ref="AE2559:AI2559"/>
    <mergeCell ref="AJ2559:AL2559"/>
    <mergeCell ref="AN2559:AO2559"/>
    <mergeCell ref="AP2559:AQ2559"/>
    <mergeCell ref="A2560:A2561"/>
    <mergeCell ref="E2560:E2561"/>
    <mergeCell ref="F2560:H2560"/>
    <mergeCell ref="J2560:J2561"/>
    <mergeCell ref="K2560:L2561"/>
    <mergeCell ref="M2560:N2561"/>
    <mergeCell ref="O2560:P2561"/>
    <mergeCell ref="Q2560:R2561"/>
    <mergeCell ref="S2560:T2561"/>
    <mergeCell ref="U2560:V2561"/>
    <mergeCell ref="W2560:W2561"/>
    <mergeCell ref="X2560:AB2560"/>
    <mergeCell ref="AD2560:AI2560"/>
    <mergeCell ref="AJ2560:AL2560"/>
    <mergeCell ref="AN2560:AO2560"/>
    <mergeCell ref="AP2560:AQ2560"/>
    <mergeCell ref="AR2560:AS2561"/>
    <mergeCell ref="AT2560:AU2561"/>
    <mergeCell ref="AV2560:AW2561"/>
    <mergeCell ref="AX2560:AY2561"/>
    <mergeCell ref="AZ2560:AZ2561"/>
    <mergeCell ref="F2561:H2561"/>
    <mergeCell ref="X2561:AB2561"/>
    <mergeCell ref="AE2561:AI2561"/>
    <mergeCell ref="AJ2561:AL2561"/>
    <mergeCell ref="AN2561:AO2561"/>
    <mergeCell ref="AP2561:AQ2561"/>
    <mergeCell ref="A2562:A2563"/>
    <mergeCell ref="E2562:E2563"/>
    <mergeCell ref="F2562:H2562"/>
    <mergeCell ref="J2562:J2563"/>
    <mergeCell ref="K2562:L2563"/>
    <mergeCell ref="M2562:N2563"/>
    <mergeCell ref="O2562:P2563"/>
    <mergeCell ref="Q2562:R2563"/>
    <mergeCell ref="S2562:T2563"/>
    <mergeCell ref="U2562:V2563"/>
    <mergeCell ref="W2562:W2563"/>
    <mergeCell ref="X2562:AB2562"/>
    <mergeCell ref="AD2562:AI2562"/>
    <mergeCell ref="AJ2562:AL2562"/>
    <mergeCell ref="AN2562:AO2562"/>
    <mergeCell ref="AP2562:AQ2562"/>
    <mergeCell ref="AR2562:AS2563"/>
    <mergeCell ref="AT2562:AU2563"/>
    <mergeCell ref="AV2562:AW2563"/>
    <mergeCell ref="AX2562:AY2563"/>
    <mergeCell ref="AZ2562:AZ2563"/>
    <mergeCell ref="F2563:H2563"/>
    <mergeCell ref="X2563:AB2563"/>
    <mergeCell ref="AE2563:AI2563"/>
    <mergeCell ref="AJ2563:AL2563"/>
    <mergeCell ref="AN2563:AO2563"/>
    <mergeCell ref="AP2563:AQ2563"/>
    <mergeCell ref="A2564:A2565"/>
    <mergeCell ref="E2564:E2565"/>
    <mergeCell ref="F2564:H2564"/>
    <mergeCell ref="J2564:J2565"/>
    <mergeCell ref="K2564:L2565"/>
    <mergeCell ref="M2564:N2565"/>
    <mergeCell ref="O2564:P2565"/>
    <mergeCell ref="Q2564:R2565"/>
    <mergeCell ref="S2564:T2565"/>
    <mergeCell ref="U2564:V2565"/>
    <mergeCell ref="W2564:W2565"/>
    <mergeCell ref="X2564:AB2564"/>
    <mergeCell ref="AD2564:AI2564"/>
    <mergeCell ref="AJ2564:AL2564"/>
    <mergeCell ref="AN2564:AO2564"/>
    <mergeCell ref="AP2564:AQ2564"/>
    <mergeCell ref="AR2564:AS2565"/>
    <mergeCell ref="AT2564:AU2565"/>
    <mergeCell ref="AV2564:AW2565"/>
    <mergeCell ref="AX2564:AY2565"/>
    <mergeCell ref="AZ2564:AZ2565"/>
    <mergeCell ref="F2565:H2565"/>
    <mergeCell ref="X2565:AB2565"/>
    <mergeCell ref="AE2565:AI2565"/>
    <mergeCell ref="AJ2565:AL2565"/>
    <mergeCell ref="AN2565:AO2565"/>
    <mergeCell ref="AP2565:AQ2565"/>
    <mergeCell ref="A2568:A2569"/>
    <mergeCell ref="E2568:E2569"/>
    <mergeCell ref="F2568:H2568"/>
    <mergeCell ref="J2568:J2569"/>
    <mergeCell ref="K2568:L2569"/>
    <mergeCell ref="M2568:N2569"/>
    <mergeCell ref="O2568:P2569"/>
    <mergeCell ref="Q2568:R2569"/>
    <mergeCell ref="S2568:T2569"/>
    <mergeCell ref="U2568:V2569"/>
    <mergeCell ref="W2568:W2569"/>
    <mergeCell ref="X2568:AB2568"/>
    <mergeCell ref="AD2568:AI2568"/>
    <mergeCell ref="AJ2568:AL2568"/>
    <mergeCell ref="AN2568:AO2568"/>
    <mergeCell ref="AP2568:AQ2568"/>
    <mergeCell ref="AR2568:AS2569"/>
    <mergeCell ref="AT2568:AU2569"/>
    <mergeCell ref="AV2568:AW2569"/>
    <mergeCell ref="AX2568:AY2569"/>
    <mergeCell ref="AZ2568:AZ2569"/>
    <mergeCell ref="F2569:H2569"/>
    <mergeCell ref="X2569:AB2569"/>
    <mergeCell ref="AE2569:AI2569"/>
    <mergeCell ref="AJ2569:AL2569"/>
    <mergeCell ref="AN2569:AO2569"/>
    <mergeCell ref="AP2569:AQ2569"/>
    <mergeCell ref="A2570:A2571"/>
    <mergeCell ref="E2570:E2571"/>
    <mergeCell ref="F2570:H2570"/>
    <mergeCell ref="J2570:J2571"/>
    <mergeCell ref="K2570:L2571"/>
    <mergeCell ref="M2570:N2571"/>
    <mergeCell ref="O2570:P2571"/>
    <mergeCell ref="Q2570:R2571"/>
    <mergeCell ref="S2570:T2571"/>
    <mergeCell ref="U2570:V2571"/>
    <mergeCell ref="W2570:W2571"/>
    <mergeCell ref="X2570:AB2570"/>
    <mergeCell ref="AD2570:AI2570"/>
    <mergeCell ref="AJ2570:AL2570"/>
    <mergeCell ref="AN2570:AO2570"/>
    <mergeCell ref="AP2570:AQ2570"/>
    <mergeCell ref="AR2570:AS2571"/>
    <mergeCell ref="AT2570:AU2571"/>
    <mergeCell ref="AV2570:AW2571"/>
    <mergeCell ref="AX2570:AY2571"/>
    <mergeCell ref="AZ2570:AZ2571"/>
    <mergeCell ref="F2571:H2571"/>
    <mergeCell ref="X2571:AB2571"/>
    <mergeCell ref="AE2571:AI2571"/>
    <mergeCell ref="AJ2571:AL2571"/>
    <mergeCell ref="AN2571:AO2571"/>
    <mergeCell ref="AP2571:AQ2571"/>
    <mergeCell ref="A2572:A2573"/>
    <mergeCell ref="E2572:E2573"/>
    <mergeCell ref="F2572:H2572"/>
    <mergeCell ref="J2572:J2573"/>
    <mergeCell ref="K2572:L2573"/>
    <mergeCell ref="M2572:N2573"/>
    <mergeCell ref="O2572:P2573"/>
    <mergeCell ref="Q2572:R2573"/>
    <mergeCell ref="S2572:T2573"/>
    <mergeCell ref="U2572:V2573"/>
    <mergeCell ref="W2572:W2573"/>
    <mergeCell ref="X2572:AB2572"/>
    <mergeCell ref="AD2572:AI2572"/>
    <mergeCell ref="AJ2572:AL2572"/>
    <mergeCell ref="AN2572:AO2572"/>
    <mergeCell ref="AP2572:AQ2572"/>
    <mergeCell ref="AR2572:AS2573"/>
    <mergeCell ref="AT2572:AU2573"/>
    <mergeCell ref="AV2572:AW2573"/>
    <mergeCell ref="AX2572:AY2573"/>
    <mergeCell ref="AZ2572:AZ2573"/>
    <mergeCell ref="F2573:H2573"/>
    <mergeCell ref="X2573:AB2573"/>
    <mergeCell ref="AE2573:AI2573"/>
    <mergeCell ref="AJ2573:AL2573"/>
    <mergeCell ref="AN2573:AO2573"/>
    <mergeCell ref="AP2573:AQ2573"/>
    <mergeCell ref="A2574:A2575"/>
    <mergeCell ref="E2574:E2575"/>
    <mergeCell ref="F2574:H2574"/>
    <mergeCell ref="J2574:J2575"/>
    <mergeCell ref="K2574:L2575"/>
    <mergeCell ref="M2574:N2575"/>
    <mergeCell ref="O2574:P2575"/>
    <mergeCell ref="Q2574:R2575"/>
    <mergeCell ref="S2574:T2575"/>
    <mergeCell ref="U2574:V2575"/>
    <mergeCell ref="W2574:W2575"/>
    <mergeCell ref="X2574:AB2574"/>
    <mergeCell ref="AD2574:AI2574"/>
    <mergeCell ref="AJ2574:AL2574"/>
    <mergeCell ref="AN2574:AO2574"/>
    <mergeCell ref="AP2574:AQ2574"/>
    <mergeCell ref="AR2574:AS2575"/>
    <mergeCell ref="AT2574:AU2575"/>
    <mergeCell ref="AV2574:AW2575"/>
    <mergeCell ref="AX2574:AY2575"/>
    <mergeCell ref="AZ2574:AZ2575"/>
    <mergeCell ref="F2575:H2575"/>
    <mergeCell ref="X2575:AB2575"/>
    <mergeCell ref="AE2575:AI2575"/>
    <mergeCell ref="AJ2575:AL2575"/>
    <mergeCell ref="AN2575:AO2575"/>
    <mergeCell ref="AP2575:AQ2575"/>
    <mergeCell ref="A2576:A2577"/>
    <mergeCell ref="E2576:E2577"/>
    <mergeCell ref="F2576:H2576"/>
    <mergeCell ref="J2576:J2577"/>
    <mergeCell ref="K2576:L2577"/>
    <mergeCell ref="M2576:N2577"/>
    <mergeCell ref="O2576:P2577"/>
    <mergeCell ref="Q2576:R2577"/>
    <mergeCell ref="S2576:T2577"/>
    <mergeCell ref="U2576:V2577"/>
    <mergeCell ref="W2576:W2577"/>
    <mergeCell ref="X2576:AB2576"/>
    <mergeCell ref="AD2576:AI2576"/>
    <mergeCell ref="AJ2576:AL2576"/>
    <mergeCell ref="AN2576:AO2576"/>
    <mergeCell ref="AP2576:AQ2576"/>
    <mergeCell ref="AR2576:AS2577"/>
    <mergeCell ref="AT2576:AU2577"/>
    <mergeCell ref="AV2576:AW2577"/>
    <mergeCell ref="AX2576:AY2577"/>
    <mergeCell ref="AZ2576:AZ2577"/>
    <mergeCell ref="F2577:H2577"/>
    <mergeCell ref="X2577:AB2577"/>
    <mergeCell ref="AE2577:AI2577"/>
    <mergeCell ref="AJ2577:AL2577"/>
    <mergeCell ref="AN2577:AO2577"/>
    <mergeCell ref="AP2577:AQ2577"/>
    <mergeCell ref="A2578:A2579"/>
    <mergeCell ref="E2578:E2579"/>
    <mergeCell ref="F2578:H2578"/>
    <mergeCell ref="J2578:J2579"/>
    <mergeCell ref="K2578:L2579"/>
    <mergeCell ref="M2578:N2579"/>
    <mergeCell ref="O2578:P2579"/>
    <mergeCell ref="Q2578:R2579"/>
    <mergeCell ref="S2578:T2579"/>
    <mergeCell ref="U2578:V2579"/>
    <mergeCell ref="W2578:W2579"/>
    <mergeCell ref="X2578:AB2578"/>
    <mergeCell ref="AD2578:AI2578"/>
    <mergeCell ref="AJ2578:AL2578"/>
    <mergeCell ref="AN2578:AO2578"/>
    <mergeCell ref="AP2578:AQ2578"/>
    <mergeCell ref="AR2578:AS2579"/>
    <mergeCell ref="AT2578:AU2579"/>
    <mergeCell ref="AV2578:AW2579"/>
    <mergeCell ref="AX2578:AY2579"/>
    <mergeCell ref="AZ2578:AZ2579"/>
    <mergeCell ref="F2579:H2579"/>
    <mergeCell ref="X2579:AB2579"/>
    <mergeCell ref="AE2579:AI2579"/>
    <mergeCell ref="AJ2579:AL2579"/>
    <mergeCell ref="AN2579:AO2579"/>
    <mergeCell ref="AP2579:AQ2579"/>
    <mergeCell ref="A2580:A2581"/>
    <mergeCell ref="E2580:E2581"/>
    <mergeCell ref="F2580:H2580"/>
    <mergeCell ref="J2580:J2581"/>
    <mergeCell ref="K2580:L2581"/>
    <mergeCell ref="M2580:N2581"/>
    <mergeCell ref="O2580:P2581"/>
    <mergeCell ref="Q2580:R2581"/>
    <mergeCell ref="S2580:T2581"/>
    <mergeCell ref="U2580:V2581"/>
    <mergeCell ref="W2580:W2581"/>
    <mergeCell ref="X2580:AB2580"/>
    <mergeCell ref="AD2580:AI2580"/>
    <mergeCell ref="AJ2580:AL2580"/>
    <mergeCell ref="AN2580:AO2580"/>
    <mergeCell ref="AP2580:AQ2580"/>
    <mergeCell ref="AR2580:AS2581"/>
    <mergeCell ref="AT2580:AU2581"/>
    <mergeCell ref="AV2580:AW2581"/>
    <mergeCell ref="AX2580:AY2581"/>
    <mergeCell ref="AZ2580:AZ2581"/>
    <mergeCell ref="F2581:H2581"/>
    <mergeCell ref="X2581:AB2581"/>
    <mergeCell ref="AE2581:AI2581"/>
    <mergeCell ref="AJ2581:AL2581"/>
    <mergeCell ref="AN2581:AO2581"/>
    <mergeCell ref="AP2581:AQ2581"/>
    <mergeCell ref="A2582:A2583"/>
    <mergeCell ref="E2582:E2583"/>
    <mergeCell ref="F2582:H2582"/>
    <mergeCell ref="J2582:J2583"/>
    <mergeCell ref="K2582:L2583"/>
    <mergeCell ref="M2582:N2583"/>
    <mergeCell ref="O2582:P2583"/>
    <mergeCell ref="Q2582:R2583"/>
    <mergeCell ref="S2582:T2583"/>
    <mergeCell ref="U2582:V2583"/>
    <mergeCell ref="W2582:W2583"/>
    <mergeCell ref="X2582:AB2582"/>
    <mergeCell ref="AD2582:AI2582"/>
    <mergeCell ref="AJ2582:AL2582"/>
    <mergeCell ref="AN2582:AO2582"/>
    <mergeCell ref="AP2582:AQ2582"/>
    <mergeCell ref="AR2582:AS2583"/>
    <mergeCell ref="AT2582:AU2583"/>
    <mergeCell ref="AV2582:AW2583"/>
    <mergeCell ref="AX2582:AY2583"/>
    <mergeCell ref="AZ2582:AZ2583"/>
    <mergeCell ref="F2583:H2583"/>
    <mergeCell ref="X2583:AB2583"/>
    <mergeCell ref="AE2583:AI2583"/>
    <mergeCell ref="AJ2583:AL2583"/>
    <mergeCell ref="AN2583:AO2583"/>
    <mergeCell ref="AP2583:AQ2583"/>
    <mergeCell ref="A2584:A2585"/>
    <mergeCell ref="E2584:E2585"/>
    <mergeCell ref="F2584:H2584"/>
    <mergeCell ref="J2584:J2585"/>
    <mergeCell ref="K2584:L2585"/>
    <mergeCell ref="M2584:N2585"/>
    <mergeCell ref="O2584:P2585"/>
    <mergeCell ref="Q2584:R2585"/>
    <mergeCell ref="S2584:T2585"/>
    <mergeCell ref="U2584:V2585"/>
    <mergeCell ref="W2584:W2585"/>
    <mergeCell ref="X2584:AB2584"/>
    <mergeCell ref="AD2584:AI2584"/>
    <mergeCell ref="AJ2584:AL2584"/>
    <mergeCell ref="AN2584:AO2584"/>
    <mergeCell ref="AP2584:AQ2584"/>
    <mergeCell ref="AR2584:AS2585"/>
    <mergeCell ref="AT2584:AU2585"/>
    <mergeCell ref="AV2584:AW2585"/>
    <mergeCell ref="AX2584:AY2585"/>
    <mergeCell ref="AZ2584:AZ2585"/>
    <mergeCell ref="F2585:H2585"/>
    <mergeCell ref="X2585:AB2585"/>
    <mergeCell ref="AE2585:AI2585"/>
    <mergeCell ref="AJ2585:AL2585"/>
    <mergeCell ref="AN2585:AO2585"/>
    <mergeCell ref="AP2585:AQ2585"/>
    <mergeCell ref="A2586:A2587"/>
    <mergeCell ref="E2586:E2587"/>
    <mergeCell ref="F2586:H2586"/>
    <mergeCell ref="J2586:J2587"/>
    <mergeCell ref="K2586:L2587"/>
    <mergeCell ref="M2586:N2587"/>
    <mergeCell ref="O2586:P2587"/>
    <mergeCell ref="Q2586:R2587"/>
    <mergeCell ref="S2586:T2587"/>
    <mergeCell ref="U2586:V2587"/>
    <mergeCell ref="W2586:W2587"/>
    <mergeCell ref="X2586:AB2586"/>
    <mergeCell ref="AD2586:AI2586"/>
    <mergeCell ref="AJ2586:AL2586"/>
    <mergeCell ref="AN2586:AO2586"/>
    <mergeCell ref="AP2586:AQ2586"/>
    <mergeCell ref="AR2586:AS2587"/>
    <mergeCell ref="AT2586:AU2587"/>
    <mergeCell ref="AV2586:AW2587"/>
    <mergeCell ref="AX2586:AY2587"/>
    <mergeCell ref="AZ2586:AZ2587"/>
    <mergeCell ref="F2587:H2587"/>
    <mergeCell ref="X2587:AB2587"/>
    <mergeCell ref="AE2587:AI2587"/>
    <mergeCell ref="AJ2587:AL2587"/>
    <mergeCell ref="AN2587:AO2587"/>
    <mergeCell ref="AP2587:AQ2587"/>
    <mergeCell ref="A2588:A2589"/>
    <mergeCell ref="E2588:E2589"/>
    <mergeCell ref="F2588:H2588"/>
    <mergeCell ref="J2588:J2589"/>
    <mergeCell ref="K2588:L2589"/>
    <mergeCell ref="M2588:N2589"/>
    <mergeCell ref="O2588:P2589"/>
    <mergeCell ref="Q2588:R2589"/>
    <mergeCell ref="S2588:T2589"/>
    <mergeCell ref="U2588:V2589"/>
    <mergeCell ref="W2588:W2589"/>
    <mergeCell ref="X2588:AB2588"/>
    <mergeCell ref="AD2588:AI2588"/>
    <mergeCell ref="AJ2588:AL2588"/>
    <mergeCell ref="AN2588:AO2588"/>
    <mergeCell ref="AP2588:AQ2588"/>
    <mergeCell ref="AR2588:AS2589"/>
    <mergeCell ref="AT2588:AU2589"/>
    <mergeCell ref="AV2588:AW2589"/>
    <mergeCell ref="AX2588:AY2589"/>
    <mergeCell ref="AZ2588:AZ2589"/>
    <mergeCell ref="F2589:H2589"/>
    <mergeCell ref="X2589:AB2589"/>
    <mergeCell ref="AE2589:AI2589"/>
    <mergeCell ref="AJ2589:AL2589"/>
    <mergeCell ref="AN2589:AO2589"/>
    <mergeCell ref="AP2589:AQ2589"/>
    <mergeCell ref="A2590:A2591"/>
    <mergeCell ref="E2590:E2591"/>
    <mergeCell ref="F2590:H2590"/>
    <mergeCell ref="J2590:J2591"/>
    <mergeCell ref="K2590:L2591"/>
    <mergeCell ref="M2590:N2591"/>
    <mergeCell ref="O2590:P2591"/>
    <mergeCell ref="Q2590:R2591"/>
    <mergeCell ref="S2590:T2591"/>
    <mergeCell ref="U2590:V2591"/>
    <mergeCell ref="W2590:W2591"/>
    <mergeCell ref="X2590:AB2590"/>
    <mergeCell ref="AD2590:AI2590"/>
    <mergeCell ref="AJ2590:AL2590"/>
    <mergeCell ref="AN2590:AO2590"/>
    <mergeCell ref="AP2590:AQ2590"/>
    <mergeCell ref="AR2590:AS2591"/>
    <mergeCell ref="AT2590:AU2591"/>
    <mergeCell ref="AV2590:AW2591"/>
    <mergeCell ref="AX2590:AY2591"/>
    <mergeCell ref="AZ2590:AZ2591"/>
    <mergeCell ref="F2591:H2591"/>
    <mergeCell ref="X2591:AB2591"/>
    <mergeCell ref="AE2591:AI2591"/>
    <mergeCell ref="AJ2591:AL2591"/>
    <mergeCell ref="AN2591:AO2591"/>
    <mergeCell ref="AP2591:AQ2591"/>
    <mergeCell ref="A2592:A2593"/>
    <mergeCell ref="E2592:E2593"/>
    <mergeCell ref="F2592:H2592"/>
    <mergeCell ref="J2592:J2593"/>
    <mergeCell ref="K2592:L2593"/>
    <mergeCell ref="M2592:N2593"/>
    <mergeCell ref="O2592:P2593"/>
    <mergeCell ref="Q2592:R2593"/>
    <mergeCell ref="S2592:T2593"/>
    <mergeCell ref="U2592:V2593"/>
    <mergeCell ref="W2592:W2593"/>
    <mergeCell ref="X2592:AB2592"/>
    <mergeCell ref="AD2592:AI2592"/>
    <mergeCell ref="AJ2592:AL2592"/>
    <mergeCell ref="AN2592:AO2592"/>
    <mergeCell ref="AP2592:AQ2592"/>
    <mergeCell ref="AR2592:AS2593"/>
    <mergeCell ref="AT2592:AU2593"/>
    <mergeCell ref="AV2592:AW2593"/>
    <mergeCell ref="AX2592:AY2593"/>
    <mergeCell ref="AZ2592:AZ2593"/>
    <mergeCell ref="F2593:H2593"/>
    <mergeCell ref="X2593:AB2593"/>
    <mergeCell ref="AE2593:AI2593"/>
    <mergeCell ref="AJ2593:AL2593"/>
    <mergeCell ref="AN2593:AO2593"/>
    <mergeCell ref="AP2593:AQ2593"/>
    <mergeCell ref="A2594:A2595"/>
    <mergeCell ref="E2594:E2595"/>
    <mergeCell ref="F2594:H2594"/>
    <mergeCell ref="J2594:J2595"/>
    <mergeCell ref="K2594:L2595"/>
    <mergeCell ref="M2594:N2595"/>
    <mergeCell ref="O2594:P2595"/>
    <mergeCell ref="Q2594:R2595"/>
    <mergeCell ref="S2594:T2595"/>
    <mergeCell ref="U2594:V2595"/>
    <mergeCell ref="W2594:W2595"/>
    <mergeCell ref="X2594:AB2594"/>
    <mergeCell ref="AD2594:AI2594"/>
    <mergeCell ref="AJ2594:AL2594"/>
    <mergeCell ref="AN2594:AO2594"/>
    <mergeCell ref="AP2594:AQ2594"/>
    <mergeCell ref="AR2594:AS2595"/>
    <mergeCell ref="AT2594:AU2595"/>
    <mergeCell ref="AV2594:AW2595"/>
    <mergeCell ref="AX2594:AY2595"/>
    <mergeCell ref="AZ2594:AZ2595"/>
    <mergeCell ref="F2595:H2595"/>
    <mergeCell ref="X2595:AB2595"/>
    <mergeCell ref="AE2595:AI2595"/>
    <mergeCell ref="AJ2595:AL2595"/>
    <mergeCell ref="AN2595:AO2595"/>
    <mergeCell ref="AP2595:AQ2595"/>
    <mergeCell ref="A2596:A2597"/>
    <mergeCell ref="E2596:E2597"/>
    <mergeCell ref="F2596:H2596"/>
    <mergeCell ref="J2596:J2597"/>
    <mergeCell ref="K2596:L2597"/>
    <mergeCell ref="M2596:N2597"/>
    <mergeCell ref="O2596:P2597"/>
    <mergeCell ref="Q2596:R2597"/>
    <mergeCell ref="S2596:T2597"/>
    <mergeCell ref="U2596:V2597"/>
    <mergeCell ref="W2596:W2597"/>
    <mergeCell ref="X2596:AB2596"/>
    <mergeCell ref="AD2596:AI2596"/>
    <mergeCell ref="AJ2596:AL2596"/>
    <mergeCell ref="AN2596:AO2596"/>
    <mergeCell ref="AP2596:AQ2596"/>
    <mergeCell ref="AR2596:AS2597"/>
    <mergeCell ref="AT2596:AU2597"/>
    <mergeCell ref="AV2596:AW2597"/>
    <mergeCell ref="AX2596:AY2597"/>
    <mergeCell ref="AZ2596:AZ2597"/>
    <mergeCell ref="F2597:H2597"/>
    <mergeCell ref="X2597:AB2597"/>
    <mergeCell ref="AE2597:AI2597"/>
    <mergeCell ref="AJ2597:AL2597"/>
    <mergeCell ref="AN2597:AO2597"/>
    <mergeCell ref="AP2597:AQ2597"/>
    <mergeCell ref="A2598:A2599"/>
    <mergeCell ref="E2598:E2599"/>
    <mergeCell ref="F2598:H2598"/>
    <mergeCell ref="J2598:J2599"/>
    <mergeCell ref="K2598:L2599"/>
    <mergeCell ref="M2598:N2599"/>
    <mergeCell ref="O2598:P2599"/>
    <mergeCell ref="Q2598:R2599"/>
    <mergeCell ref="S2598:T2599"/>
    <mergeCell ref="U2598:V2599"/>
    <mergeCell ref="W2598:W2599"/>
    <mergeCell ref="X2598:AB2598"/>
    <mergeCell ref="AD2598:AI2598"/>
    <mergeCell ref="AJ2598:AL2598"/>
    <mergeCell ref="AN2598:AO2598"/>
    <mergeCell ref="AP2598:AQ2598"/>
    <mergeCell ref="AR2598:AS2599"/>
    <mergeCell ref="AT2598:AU2599"/>
    <mergeCell ref="AV2598:AW2599"/>
    <mergeCell ref="AX2598:AY2599"/>
    <mergeCell ref="AZ2598:AZ2599"/>
    <mergeCell ref="F2599:H2599"/>
    <mergeCell ref="X2599:AB2599"/>
    <mergeCell ref="AE2599:AI2599"/>
    <mergeCell ref="AJ2599:AL2599"/>
    <mergeCell ref="AN2599:AO2599"/>
    <mergeCell ref="AP2599:AQ2599"/>
    <mergeCell ref="A2600:A2601"/>
    <mergeCell ref="E2600:E2601"/>
    <mergeCell ref="F2600:H2600"/>
    <mergeCell ref="J2600:J2601"/>
    <mergeCell ref="K2600:L2601"/>
    <mergeCell ref="M2600:N2601"/>
    <mergeCell ref="O2600:P2601"/>
    <mergeCell ref="Q2600:R2601"/>
    <mergeCell ref="S2600:T2601"/>
    <mergeCell ref="U2600:V2601"/>
    <mergeCell ref="W2600:W2601"/>
    <mergeCell ref="X2600:AB2600"/>
    <mergeCell ref="AD2600:AI2600"/>
    <mergeCell ref="AJ2600:AL2600"/>
    <mergeCell ref="AN2600:AO2600"/>
    <mergeCell ref="AP2600:AQ2600"/>
    <mergeCell ref="AR2600:AS2601"/>
    <mergeCell ref="AT2600:AU2601"/>
    <mergeCell ref="AV2600:AW2601"/>
    <mergeCell ref="AX2600:AY2601"/>
    <mergeCell ref="AZ2600:AZ2601"/>
    <mergeCell ref="F2601:H2601"/>
    <mergeCell ref="X2601:AB2601"/>
    <mergeCell ref="AE2601:AI2601"/>
    <mergeCell ref="AJ2601:AL2601"/>
    <mergeCell ref="AN2601:AO2601"/>
    <mergeCell ref="AP2601:AQ2601"/>
    <mergeCell ref="A2602:A2603"/>
    <mergeCell ref="E2602:E2603"/>
    <mergeCell ref="F2602:H2602"/>
    <mergeCell ref="J2602:J2603"/>
    <mergeCell ref="K2602:L2603"/>
    <mergeCell ref="M2602:N2603"/>
    <mergeCell ref="O2602:P2603"/>
    <mergeCell ref="Q2602:R2603"/>
    <mergeCell ref="S2602:T2603"/>
    <mergeCell ref="U2602:V2603"/>
    <mergeCell ref="W2602:W2603"/>
    <mergeCell ref="X2602:AB2602"/>
    <mergeCell ref="AD2602:AI2602"/>
    <mergeCell ref="AJ2602:AL2602"/>
    <mergeCell ref="AN2602:AO2602"/>
    <mergeCell ref="AP2602:AQ2602"/>
    <mergeCell ref="AR2602:AS2603"/>
    <mergeCell ref="AT2602:AU2603"/>
    <mergeCell ref="AV2602:AW2603"/>
    <mergeCell ref="AX2602:AY2603"/>
    <mergeCell ref="AZ2602:AZ2603"/>
    <mergeCell ref="F2603:H2603"/>
    <mergeCell ref="X2603:AB2603"/>
    <mergeCell ref="AE2603:AI2603"/>
    <mergeCell ref="AJ2603:AL2603"/>
    <mergeCell ref="AN2603:AO2603"/>
    <mergeCell ref="AP2603:AQ2603"/>
    <mergeCell ref="A2604:A2605"/>
    <mergeCell ref="E2604:E2605"/>
    <mergeCell ref="F2604:H2604"/>
    <mergeCell ref="J2604:J2605"/>
    <mergeCell ref="K2604:L2605"/>
    <mergeCell ref="M2604:N2605"/>
    <mergeCell ref="O2604:P2605"/>
    <mergeCell ref="Q2604:R2605"/>
    <mergeCell ref="S2604:T2605"/>
    <mergeCell ref="U2604:V2605"/>
    <mergeCell ref="W2604:W2605"/>
    <mergeCell ref="X2604:AB2604"/>
    <mergeCell ref="AD2604:AI2604"/>
    <mergeCell ref="AJ2604:AL2604"/>
    <mergeCell ref="AN2604:AO2604"/>
    <mergeCell ref="AP2604:AQ2604"/>
    <mergeCell ref="AR2604:AS2605"/>
    <mergeCell ref="AT2604:AU2605"/>
    <mergeCell ref="AV2604:AW2605"/>
    <mergeCell ref="AX2604:AY2605"/>
    <mergeCell ref="AZ2604:AZ2605"/>
    <mergeCell ref="F2605:H2605"/>
    <mergeCell ref="X2605:AB2605"/>
    <mergeCell ref="AE2605:AI2605"/>
    <mergeCell ref="AJ2605:AL2605"/>
    <mergeCell ref="AN2605:AO2605"/>
    <mergeCell ref="AP2605:AQ2605"/>
    <mergeCell ref="A2606:A2607"/>
    <mergeCell ref="E2606:E2607"/>
    <mergeCell ref="F2606:H2606"/>
    <mergeCell ref="J2606:J2607"/>
    <mergeCell ref="K2606:L2607"/>
    <mergeCell ref="M2606:N2607"/>
    <mergeCell ref="O2606:P2607"/>
    <mergeCell ref="Q2606:R2607"/>
    <mergeCell ref="S2606:T2607"/>
    <mergeCell ref="U2606:V2607"/>
    <mergeCell ref="W2606:W2607"/>
    <mergeCell ref="X2606:AB2606"/>
    <mergeCell ref="AD2606:AI2606"/>
    <mergeCell ref="AJ2606:AL2606"/>
    <mergeCell ref="AN2606:AO2606"/>
    <mergeCell ref="AP2606:AQ2606"/>
    <mergeCell ref="AR2606:AS2607"/>
    <mergeCell ref="AT2606:AU2607"/>
    <mergeCell ref="AV2606:AW2607"/>
    <mergeCell ref="AX2606:AY2607"/>
    <mergeCell ref="AZ2606:AZ2607"/>
    <mergeCell ref="F2607:H2607"/>
    <mergeCell ref="X2607:AB2607"/>
    <mergeCell ref="AE2607:AI2607"/>
    <mergeCell ref="AJ2607:AL2607"/>
    <mergeCell ref="AN2607:AO2607"/>
    <mergeCell ref="AP2607:AQ2607"/>
    <mergeCell ref="A2608:A2609"/>
    <mergeCell ref="E2608:E2609"/>
    <mergeCell ref="F2608:H2608"/>
    <mergeCell ref="J2608:J2609"/>
    <mergeCell ref="K2608:L2609"/>
    <mergeCell ref="M2608:N2609"/>
    <mergeCell ref="O2608:P2609"/>
    <mergeCell ref="Q2608:R2609"/>
    <mergeCell ref="S2608:T2609"/>
    <mergeCell ref="U2608:V2609"/>
    <mergeCell ref="W2608:W2609"/>
    <mergeCell ref="X2608:AB2608"/>
    <mergeCell ref="AD2608:AI2608"/>
    <mergeCell ref="AJ2608:AL2608"/>
    <mergeCell ref="AN2608:AO2608"/>
    <mergeCell ref="AP2608:AQ2608"/>
    <mergeCell ref="AR2608:AS2609"/>
    <mergeCell ref="AT2608:AU2609"/>
    <mergeCell ref="AV2608:AW2609"/>
    <mergeCell ref="AX2608:AY2609"/>
    <mergeCell ref="AZ2608:AZ2609"/>
    <mergeCell ref="F2609:H2609"/>
    <mergeCell ref="X2609:AB2609"/>
    <mergeCell ref="AE2609:AI2609"/>
    <mergeCell ref="AJ2609:AL2609"/>
    <mergeCell ref="AN2609:AO2609"/>
    <mergeCell ref="AP2609:AQ2609"/>
    <mergeCell ref="A2610:A2611"/>
    <mergeCell ref="E2610:E2611"/>
    <mergeCell ref="F2610:H2610"/>
    <mergeCell ref="J2610:J2611"/>
    <mergeCell ref="K2610:L2611"/>
    <mergeCell ref="M2610:N2611"/>
    <mergeCell ref="O2610:P2611"/>
    <mergeCell ref="Q2610:R2611"/>
    <mergeCell ref="S2610:T2611"/>
    <mergeCell ref="U2610:V2611"/>
    <mergeCell ref="W2610:W2611"/>
    <mergeCell ref="X2610:AB2610"/>
    <mergeCell ref="AD2610:AI2610"/>
    <mergeCell ref="AJ2610:AL2610"/>
    <mergeCell ref="AN2610:AO2610"/>
    <mergeCell ref="AP2610:AQ2610"/>
    <mergeCell ref="AR2610:AS2611"/>
    <mergeCell ref="AT2610:AU2611"/>
    <mergeCell ref="AV2610:AW2611"/>
    <mergeCell ref="AX2610:AY2611"/>
    <mergeCell ref="AZ2610:AZ2611"/>
    <mergeCell ref="F2611:H2611"/>
    <mergeCell ref="X2611:AB2611"/>
    <mergeCell ref="AE2611:AI2611"/>
    <mergeCell ref="AJ2611:AL2611"/>
    <mergeCell ref="AN2611:AO2611"/>
    <mergeCell ref="AP2611:AQ2611"/>
    <mergeCell ref="A2612:A2613"/>
    <mergeCell ref="E2612:E2613"/>
    <mergeCell ref="F2612:H2612"/>
    <mergeCell ref="J2612:J2613"/>
    <mergeCell ref="K2612:L2613"/>
    <mergeCell ref="M2612:N2613"/>
    <mergeCell ref="O2612:P2613"/>
    <mergeCell ref="Q2612:R2613"/>
    <mergeCell ref="S2612:T2613"/>
    <mergeCell ref="U2612:V2613"/>
    <mergeCell ref="W2612:W2613"/>
    <mergeCell ref="X2612:AB2612"/>
    <mergeCell ref="AD2612:AI2612"/>
    <mergeCell ref="AJ2612:AL2612"/>
    <mergeCell ref="AN2612:AO2612"/>
    <mergeCell ref="AP2612:AQ2612"/>
    <mergeCell ref="AR2612:AS2613"/>
    <mergeCell ref="AT2612:AU2613"/>
    <mergeCell ref="AV2612:AW2613"/>
    <mergeCell ref="AX2612:AY2613"/>
    <mergeCell ref="AZ2612:AZ2613"/>
    <mergeCell ref="F2613:H2613"/>
    <mergeCell ref="X2613:AB2613"/>
    <mergeCell ref="AE2613:AI2613"/>
    <mergeCell ref="AJ2613:AL2613"/>
    <mergeCell ref="AN2613:AO2613"/>
    <mergeCell ref="AP2613:AQ2613"/>
    <mergeCell ref="A2614:A2615"/>
    <mergeCell ref="E2614:E2615"/>
    <mergeCell ref="F2614:H2614"/>
    <mergeCell ref="J2614:J2615"/>
    <mergeCell ref="K2614:L2615"/>
    <mergeCell ref="M2614:N2615"/>
    <mergeCell ref="O2614:P2615"/>
    <mergeCell ref="Q2614:R2615"/>
    <mergeCell ref="S2614:T2615"/>
    <mergeCell ref="U2614:V2615"/>
    <mergeCell ref="W2614:W2615"/>
    <mergeCell ref="X2614:AB2614"/>
    <mergeCell ref="AD2614:AI2614"/>
    <mergeCell ref="AJ2614:AL2614"/>
    <mergeCell ref="AN2614:AO2614"/>
    <mergeCell ref="AP2614:AQ2614"/>
    <mergeCell ref="AR2614:AS2615"/>
    <mergeCell ref="AT2614:AU2615"/>
    <mergeCell ref="AV2614:AW2615"/>
    <mergeCell ref="AX2614:AY2615"/>
    <mergeCell ref="AZ2614:AZ2615"/>
    <mergeCell ref="F2615:H2615"/>
    <mergeCell ref="X2615:AB2615"/>
    <mergeCell ref="AE2615:AI2615"/>
    <mergeCell ref="AJ2615:AL2615"/>
    <mergeCell ref="AN2615:AO2615"/>
    <mergeCell ref="AP2615:AQ2615"/>
    <mergeCell ref="A2616:A2617"/>
    <mergeCell ref="E2616:E2617"/>
    <mergeCell ref="F2616:H2616"/>
    <mergeCell ref="J2616:J2617"/>
    <mergeCell ref="K2616:L2617"/>
    <mergeCell ref="M2616:N2617"/>
    <mergeCell ref="O2616:P2617"/>
    <mergeCell ref="Q2616:R2617"/>
    <mergeCell ref="S2616:T2617"/>
    <mergeCell ref="U2616:V2617"/>
    <mergeCell ref="W2616:W2617"/>
    <mergeCell ref="X2616:AB2616"/>
    <mergeCell ref="AD2616:AI2616"/>
    <mergeCell ref="AJ2616:AL2616"/>
    <mergeCell ref="AN2616:AO2616"/>
    <mergeCell ref="AP2616:AQ2616"/>
    <mergeCell ref="AR2616:AS2617"/>
    <mergeCell ref="AT2616:AU2617"/>
    <mergeCell ref="AV2616:AW2617"/>
    <mergeCell ref="AX2616:AY2617"/>
    <mergeCell ref="AZ2616:AZ2617"/>
    <mergeCell ref="F2617:H2617"/>
    <mergeCell ref="X2617:AB2617"/>
    <mergeCell ref="AE2617:AI2617"/>
    <mergeCell ref="AJ2617:AL2617"/>
    <mergeCell ref="AN2617:AO2617"/>
    <mergeCell ref="AP2617:AQ2617"/>
    <mergeCell ref="A2618:A2619"/>
    <mergeCell ref="E2618:E2619"/>
    <mergeCell ref="F2618:H2618"/>
    <mergeCell ref="J2618:J2619"/>
    <mergeCell ref="K2618:L2619"/>
    <mergeCell ref="M2618:N2619"/>
    <mergeCell ref="O2618:P2619"/>
    <mergeCell ref="Q2618:R2619"/>
    <mergeCell ref="S2618:T2619"/>
    <mergeCell ref="U2618:V2619"/>
    <mergeCell ref="W2618:W2619"/>
    <mergeCell ref="X2618:AB2618"/>
    <mergeCell ref="AD2618:AI2618"/>
    <mergeCell ref="AJ2618:AL2618"/>
    <mergeCell ref="AN2618:AO2618"/>
    <mergeCell ref="AP2618:AQ2618"/>
    <mergeCell ref="AR2618:AS2619"/>
    <mergeCell ref="AT2618:AU2619"/>
    <mergeCell ref="AV2618:AW2619"/>
    <mergeCell ref="AX2618:AY2619"/>
    <mergeCell ref="AZ2618:AZ2619"/>
    <mergeCell ref="F2619:H2619"/>
    <mergeCell ref="X2619:AB2619"/>
    <mergeCell ref="AE2619:AI2619"/>
    <mergeCell ref="AJ2619:AL2619"/>
    <mergeCell ref="AN2619:AO2619"/>
    <mergeCell ref="AP2619:AQ2619"/>
    <mergeCell ref="W2620:W2621"/>
    <mergeCell ref="X2620:AB2620"/>
    <mergeCell ref="AD2620:AI2620"/>
    <mergeCell ref="AJ2620:AL2620"/>
    <mergeCell ref="AN2620:AO2620"/>
    <mergeCell ref="AP2620:AQ2620"/>
    <mergeCell ref="AR2620:AS2621"/>
    <mergeCell ref="AT2620:AU2621"/>
    <mergeCell ref="AV2620:AW2621"/>
    <mergeCell ref="AX2620:AY2621"/>
    <mergeCell ref="AZ2620:AZ2621"/>
    <mergeCell ref="F2621:H2621"/>
    <mergeCell ref="X2621:AB2621"/>
    <mergeCell ref="AE2621:AI2621"/>
    <mergeCell ref="AJ2621:AL2621"/>
    <mergeCell ref="AN2621:AO2621"/>
    <mergeCell ref="AP2621:AQ2621"/>
    <mergeCell ref="A2622:A2623"/>
    <mergeCell ref="E2622:E2623"/>
    <mergeCell ref="F2622:H2622"/>
    <mergeCell ref="J2622:J2623"/>
    <mergeCell ref="K2622:L2623"/>
    <mergeCell ref="M2622:N2623"/>
    <mergeCell ref="O2622:P2623"/>
    <mergeCell ref="Q2622:R2623"/>
    <mergeCell ref="S2622:T2623"/>
    <mergeCell ref="U2622:V2623"/>
    <mergeCell ref="W2622:W2623"/>
    <mergeCell ref="X2622:AB2622"/>
    <mergeCell ref="AD2622:AI2622"/>
    <mergeCell ref="AJ2622:AL2622"/>
    <mergeCell ref="AN2622:AO2622"/>
    <mergeCell ref="AP2622:AQ2622"/>
    <mergeCell ref="AR2622:AS2623"/>
    <mergeCell ref="AT2622:AU2623"/>
    <mergeCell ref="AV2622:AW2623"/>
    <mergeCell ref="AX2622:AY2623"/>
    <mergeCell ref="AZ2622:AZ2623"/>
    <mergeCell ref="F2623:H2623"/>
    <mergeCell ref="X2623:AB2623"/>
    <mergeCell ref="AE2623:AI2623"/>
    <mergeCell ref="AJ2623:AL2623"/>
    <mergeCell ref="AN2623:AO2623"/>
    <mergeCell ref="AP2623:AQ2623"/>
    <mergeCell ref="A2624:A2625"/>
    <mergeCell ref="E2624:E2625"/>
    <mergeCell ref="F2624:H2624"/>
    <mergeCell ref="J2624:J2625"/>
    <mergeCell ref="K2624:L2625"/>
    <mergeCell ref="M2624:N2625"/>
    <mergeCell ref="O2624:P2625"/>
    <mergeCell ref="Q2624:R2625"/>
    <mergeCell ref="S2624:T2625"/>
    <mergeCell ref="U2624:V2625"/>
    <mergeCell ref="W2624:W2625"/>
    <mergeCell ref="X2624:AB2624"/>
    <mergeCell ref="AD2624:AI2624"/>
    <mergeCell ref="AJ2624:AL2624"/>
    <mergeCell ref="AN2624:AO2624"/>
    <mergeCell ref="AP2624:AQ2624"/>
    <mergeCell ref="AR2624:AS2625"/>
    <mergeCell ref="AT2624:AU2625"/>
    <mergeCell ref="AV2624:AW2625"/>
    <mergeCell ref="AX2624:AY2625"/>
    <mergeCell ref="AZ2624:AZ2625"/>
    <mergeCell ref="F2625:H2625"/>
    <mergeCell ref="X2625:AB2625"/>
    <mergeCell ref="AE2625:AI2625"/>
    <mergeCell ref="AJ2625:AL2625"/>
    <mergeCell ref="AN2625:AO2625"/>
    <mergeCell ref="AP2625:AQ2625"/>
    <mergeCell ref="A2566:A2567"/>
    <mergeCell ref="E2566:E2567"/>
    <mergeCell ref="F2566:H2566"/>
    <mergeCell ref="J2566:J2567"/>
    <mergeCell ref="K2566:L2567"/>
    <mergeCell ref="M2566:N2567"/>
    <mergeCell ref="O2566:P2567"/>
    <mergeCell ref="Q2566:R2567"/>
    <mergeCell ref="S2566:T2567"/>
    <mergeCell ref="U2566:V2567"/>
    <mergeCell ref="W2566:W2567"/>
    <mergeCell ref="X2566:AB2566"/>
    <mergeCell ref="AD2566:AI2566"/>
    <mergeCell ref="AJ2566:AL2566"/>
    <mergeCell ref="AN2566:AO2566"/>
    <mergeCell ref="AP2566:AQ2566"/>
    <mergeCell ref="AR2566:AS2567"/>
    <mergeCell ref="AT2566:AU2567"/>
    <mergeCell ref="AV2566:AW2567"/>
    <mergeCell ref="AX2566:AY2567"/>
    <mergeCell ref="AZ2566:AZ2567"/>
    <mergeCell ref="F2567:H2567"/>
    <mergeCell ref="X2567:AB2567"/>
    <mergeCell ref="AE2567:AI2567"/>
    <mergeCell ref="AJ2567:AL2567"/>
    <mergeCell ref="AN2567:AO2567"/>
    <mergeCell ref="AP2567:AQ2567"/>
    <mergeCell ref="A2620:A2621"/>
    <mergeCell ref="E2620:E2621"/>
    <mergeCell ref="F2620:H2620"/>
    <mergeCell ref="J2620:J2621"/>
    <mergeCell ref="K2620:L2621"/>
    <mergeCell ref="M2620:N2621"/>
    <mergeCell ref="O2620:P2621"/>
    <mergeCell ref="Q2620:R2621"/>
    <mergeCell ref="S2620:T2621"/>
    <mergeCell ref="U2620:V2621"/>
    <mergeCell ref="A2626:A2627"/>
    <mergeCell ref="E2626:E2627"/>
    <mergeCell ref="F2626:H2626"/>
    <mergeCell ref="J2626:J2627"/>
    <mergeCell ref="K2626:L2627"/>
    <mergeCell ref="M2626:N2627"/>
    <mergeCell ref="O2626:P2627"/>
    <mergeCell ref="Q2626:R2627"/>
    <mergeCell ref="S2626:T2627"/>
    <mergeCell ref="U2626:V2627"/>
    <mergeCell ref="W2626:W2627"/>
    <mergeCell ref="X2626:AB2626"/>
    <mergeCell ref="AD2626:AI2626"/>
    <mergeCell ref="AJ2626:AL2626"/>
    <mergeCell ref="AN2626:AO2626"/>
    <mergeCell ref="AP2626:AQ2626"/>
    <mergeCell ref="AR2626:AS2627"/>
    <mergeCell ref="AT2626:AU2627"/>
    <mergeCell ref="AV2626:AW2627"/>
    <mergeCell ref="AX2626:AY2627"/>
    <mergeCell ref="AZ2626:AZ2627"/>
    <mergeCell ref="F2627:H2627"/>
    <mergeCell ref="X2627:AB2627"/>
    <mergeCell ref="AE2627:AI2627"/>
    <mergeCell ref="AJ2627:AL2627"/>
    <mergeCell ref="AN2627:AO2627"/>
    <mergeCell ref="AP2627:AQ2627"/>
    <mergeCell ref="A2636:A2637"/>
    <mergeCell ref="E2636:E2637"/>
    <mergeCell ref="F2636:H2636"/>
    <mergeCell ref="J2636:J2637"/>
    <mergeCell ref="K2636:L2637"/>
    <mergeCell ref="M2636:N2637"/>
    <mergeCell ref="O2636:P2637"/>
    <mergeCell ref="Q2636:R2637"/>
    <mergeCell ref="S2636:T2637"/>
    <mergeCell ref="U2636:V2637"/>
    <mergeCell ref="W2636:W2637"/>
    <mergeCell ref="X2636:AB2636"/>
    <mergeCell ref="AD2636:AI2636"/>
    <mergeCell ref="AJ2636:AL2636"/>
    <mergeCell ref="AN2636:AO2636"/>
    <mergeCell ref="AP2636:AQ2636"/>
    <mergeCell ref="AR2636:AS2637"/>
    <mergeCell ref="AT2636:AU2637"/>
    <mergeCell ref="AV2636:AW2637"/>
    <mergeCell ref="AX2636:AY2637"/>
    <mergeCell ref="AZ2636:AZ2637"/>
    <mergeCell ref="F2637:H2637"/>
    <mergeCell ref="X2637:AB2637"/>
    <mergeCell ref="AE2637:AI2637"/>
    <mergeCell ref="AJ2637:AL2637"/>
    <mergeCell ref="AN2637:AO2637"/>
    <mergeCell ref="AP2637:AQ2637"/>
    <mergeCell ref="A2628:A2629"/>
    <mergeCell ref="E2628:E2629"/>
    <mergeCell ref="F2628:H2628"/>
    <mergeCell ref="J2628:J2629"/>
    <mergeCell ref="K2628:L2629"/>
    <mergeCell ref="M2628:N2629"/>
    <mergeCell ref="O2628:P2629"/>
    <mergeCell ref="Q2628:R2629"/>
    <mergeCell ref="S2628:T2629"/>
    <mergeCell ref="U2628:V2629"/>
    <mergeCell ref="AJ2638:AL2638"/>
    <mergeCell ref="AN2638:AO2638"/>
    <mergeCell ref="AP2638:AQ2638"/>
    <mergeCell ref="AR2638:AS2639"/>
    <mergeCell ref="AT2638:AU2639"/>
    <mergeCell ref="AV2638:AW2639"/>
    <mergeCell ref="AX2638:AY2639"/>
    <mergeCell ref="AZ2638:AZ2639"/>
    <mergeCell ref="F2639:H2639"/>
    <mergeCell ref="X2639:AB2639"/>
    <mergeCell ref="AE2639:AI2639"/>
    <mergeCell ref="AJ2639:AL2639"/>
    <mergeCell ref="AN2639:AO2639"/>
    <mergeCell ref="AP2639:AQ2639"/>
    <mergeCell ref="A2644:A2645"/>
    <mergeCell ref="E2644:E2645"/>
    <mergeCell ref="F2644:H2644"/>
    <mergeCell ref="J2644:J2645"/>
    <mergeCell ref="K2644:L2645"/>
    <mergeCell ref="M2644:N2645"/>
    <mergeCell ref="O2644:P2645"/>
    <mergeCell ref="Q2644:R2645"/>
    <mergeCell ref="S2644:T2645"/>
    <mergeCell ref="U2644:V2645"/>
    <mergeCell ref="W2644:W2645"/>
    <mergeCell ref="X2644:AB2644"/>
    <mergeCell ref="AD2644:AI2644"/>
    <mergeCell ref="AJ2644:AL2644"/>
    <mergeCell ref="AN2644:AO2644"/>
    <mergeCell ref="AP2644:AQ2644"/>
    <mergeCell ref="AR2644:AS2645"/>
    <mergeCell ref="AT2644:AU2645"/>
    <mergeCell ref="AV2644:AW2645"/>
    <mergeCell ref="AX2644:AY2645"/>
    <mergeCell ref="AZ2644:AZ2645"/>
    <mergeCell ref="F2645:H2645"/>
    <mergeCell ref="X2645:AB2645"/>
    <mergeCell ref="AE2645:AI2645"/>
    <mergeCell ref="AJ2645:AL2645"/>
    <mergeCell ref="AN2645:AO2645"/>
    <mergeCell ref="AP2645:AQ2645"/>
    <mergeCell ref="A2640:A2641"/>
    <mergeCell ref="E2640:E2641"/>
    <mergeCell ref="F2640:H2640"/>
    <mergeCell ref="J2640:J2641"/>
    <mergeCell ref="K2640:L2641"/>
    <mergeCell ref="M2640:N2641"/>
    <mergeCell ref="O2640:P2641"/>
    <mergeCell ref="Q2640:R2641"/>
    <mergeCell ref="S2640:T2641"/>
    <mergeCell ref="U2640:V2641"/>
    <mergeCell ref="A2646:A2647"/>
    <mergeCell ref="E2646:E2647"/>
    <mergeCell ref="F2646:H2646"/>
    <mergeCell ref="J2646:J2647"/>
    <mergeCell ref="K2646:L2647"/>
    <mergeCell ref="M2646:N2647"/>
    <mergeCell ref="O2646:P2647"/>
    <mergeCell ref="Q2646:R2647"/>
    <mergeCell ref="S2646:T2647"/>
    <mergeCell ref="U2646:V2647"/>
    <mergeCell ref="W2646:W2647"/>
    <mergeCell ref="X2646:AB2646"/>
    <mergeCell ref="AD2646:AI2646"/>
    <mergeCell ref="AJ2646:AL2646"/>
    <mergeCell ref="AN2646:AO2646"/>
    <mergeCell ref="AP2646:AQ2646"/>
    <mergeCell ref="AR2646:AS2647"/>
    <mergeCell ref="AT2646:AU2647"/>
    <mergeCell ref="AV2646:AW2647"/>
    <mergeCell ref="AX2646:AY2647"/>
    <mergeCell ref="AZ2646:AZ2647"/>
    <mergeCell ref="F2647:H2647"/>
    <mergeCell ref="X2647:AB2647"/>
    <mergeCell ref="AE2647:AI2647"/>
    <mergeCell ref="AJ2647:AL2647"/>
    <mergeCell ref="AN2647:AO2647"/>
    <mergeCell ref="AP2647:AQ2647"/>
    <mergeCell ref="A2648:A2649"/>
    <mergeCell ref="E2648:E2649"/>
    <mergeCell ref="F2648:H2648"/>
    <mergeCell ref="J2648:J2649"/>
    <mergeCell ref="K2648:L2649"/>
    <mergeCell ref="M2648:N2649"/>
    <mergeCell ref="O2648:P2649"/>
    <mergeCell ref="Q2648:R2649"/>
    <mergeCell ref="S2648:T2649"/>
    <mergeCell ref="U2648:V2649"/>
    <mergeCell ref="W2648:W2649"/>
    <mergeCell ref="X2648:AB2648"/>
    <mergeCell ref="AD2648:AI2648"/>
    <mergeCell ref="AJ2648:AL2648"/>
    <mergeCell ref="AN2648:AO2648"/>
    <mergeCell ref="AP2648:AQ2648"/>
    <mergeCell ref="AR2648:AS2649"/>
    <mergeCell ref="AT2648:AU2649"/>
    <mergeCell ref="AV2648:AW2649"/>
    <mergeCell ref="AX2648:AY2649"/>
    <mergeCell ref="AZ2648:AZ2649"/>
    <mergeCell ref="F2649:H2649"/>
    <mergeCell ref="X2649:AB2649"/>
    <mergeCell ref="AE2649:AI2649"/>
    <mergeCell ref="AJ2649:AL2649"/>
    <mergeCell ref="AN2649:AO2649"/>
    <mergeCell ref="AP2649:AQ2649"/>
    <mergeCell ref="A2650:A2651"/>
    <mergeCell ref="E2650:E2651"/>
    <mergeCell ref="F2650:H2650"/>
    <mergeCell ref="J2650:J2651"/>
    <mergeCell ref="K2650:L2651"/>
    <mergeCell ref="M2650:N2651"/>
    <mergeCell ref="O2650:P2651"/>
    <mergeCell ref="Q2650:R2651"/>
    <mergeCell ref="S2650:T2651"/>
    <mergeCell ref="U2650:V2651"/>
    <mergeCell ref="W2650:W2651"/>
    <mergeCell ref="X2650:AB2650"/>
    <mergeCell ref="AD2650:AI2650"/>
    <mergeCell ref="AJ2650:AL2650"/>
    <mergeCell ref="AN2650:AO2650"/>
    <mergeCell ref="AP2650:AQ2650"/>
    <mergeCell ref="AR2650:AS2651"/>
    <mergeCell ref="AT2650:AU2651"/>
    <mergeCell ref="AV2650:AW2651"/>
    <mergeCell ref="AX2650:AY2651"/>
    <mergeCell ref="AZ2650:AZ2651"/>
    <mergeCell ref="F2651:H2651"/>
    <mergeCell ref="X2651:AB2651"/>
    <mergeCell ref="AE2651:AI2651"/>
    <mergeCell ref="AJ2651:AL2651"/>
    <mergeCell ref="AN2651:AO2651"/>
    <mergeCell ref="AP2651:AQ2651"/>
    <mergeCell ref="A2652:A2653"/>
    <mergeCell ref="E2652:E2653"/>
    <mergeCell ref="F2652:H2652"/>
    <mergeCell ref="J2652:J2653"/>
    <mergeCell ref="K2652:L2653"/>
    <mergeCell ref="M2652:N2653"/>
    <mergeCell ref="O2652:P2653"/>
    <mergeCell ref="Q2652:R2653"/>
    <mergeCell ref="S2652:T2653"/>
    <mergeCell ref="U2652:V2653"/>
    <mergeCell ref="W2652:W2653"/>
    <mergeCell ref="X2652:AB2652"/>
    <mergeCell ref="AD2652:AI2652"/>
    <mergeCell ref="AJ2652:AL2652"/>
    <mergeCell ref="AN2652:AO2652"/>
    <mergeCell ref="AP2652:AQ2652"/>
    <mergeCell ref="AR2652:AS2653"/>
    <mergeCell ref="AT2652:AU2653"/>
    <mergeCell ref="AV2652:AW2653"/>
    <mergeCell ref="AX2652:AY2653"/>
    <mergeCell ref="AZ2652:AZ2653"/>
    <mergeCell ref="F2653:H2653"/>
    <mergeCell ref="X2653:AB2653"/>
    <mergeCell ref="AE2653:AI2653"/>
    <mergeCell ref="AJ2653:AL2653"/>
    <mergeCell ref="AN2653:AO2653"/>
    <mergeCell ref="AP2653:AQ2653"/>
    <mergeCell ref="A2654:A2655"/>
    <mergeCell ref="E2654:E2655"/>
    <mergeCell ref="F2654:H2654"/>
    <mergeCell ref="J2654:J2655"/>
    <mergeCell ref="K2654:L2655"/>
    <mergeCell ref="M2654:N2655"/>
    <mergeCell ref="O2654:P2655"/>
    <mergeCell ref="Q2654:R2655"/>
    <mergeCell ref="S2654:T2655"/>
    <mergeCell ref="U2654:V2655"/>
    <mergeCell ref="W2654:W2655"/>
    <mergeCell ref="X2654:AB2654"/>
    <mergeCell ref="AD2654:AI2654"/>
    <mergeCell ref="AJ2654:AL2654"/>
    <mergeCell ref="AN2654:AO2654"/>
    <mergeCell ref="AP2654:AQ2654"/>
    <mergeCell ref="AR2654:AS2655"/>
    <mergeCell ref="AT2654:AU2655"/>
    <mergeCell ref="AV2654:AW2655"/>
    <mergeCell ref="AX2654:AY2655"/>
    <mergeCell ref="AZ2654:AZ2655"/>
    <mergeCell ref="F2655:H2655"/>
    <mergeCell ref="X2655:AB2655"/>
    <mergeCell ref="AE2655:AI2655"/>
    <mergeCell ref="AJ2655:AL2655"/>
    <mergeCell ref="AN2655:AO2655"/>
    <mergeCell ref="AP2655:AQ2655"/>
    <mergeCell ref="A2656:A2657"/>
    <mergeCell ref="E2656:E2657"/>
    <mergeCell ref="F2656:H2656"/>
    <mergeCell ref="J2656:J2657"/>
    <mergeCell ref="K2656:L2657"/>
    <mergeCell ref="M2656:N2657"/>
    <mergeCell ref="O2656:P2657"/>
    <mergeCell ref="Q2656:R2657"/>
    <mergeCell ref="S2656:T2657"/>
    <mergeCell ref="U2656:V2657"/>
    <mergeCell ref="W2656:W2657"/>
    <mergeCell ref="X2656:AB2656"/>
    <mergeCell ref="AD2656:AI2656"/>
    <mergeCell ref="AJ2656:AL2656"/>
    <mergeCell ref="AN2656:AO2656"/>
    <mergeCell ref="AP2656:AQ2656"/>
    <mergeCell ref="AR2656:AS2657"/>
    <mergeCell ref="AT2656:AU2657"/>
    <mergeCell ref="AV2656:AW2657"/>
    <mergeCell ref="AX2656:AY2657"/>
    <mergeCell ref="AZ2656:AZ2657"/>
    <mergeCell ref="F2657:H2657"/>
    <mergeCell ref="X2657:AB2657"/>
    <mergeCell ref="AE2657:AI2657"/>
    <mergeCell ref="AJ2657:AL2657"/>
    <mergeCell ref="AN2657:AO2657"/>
    <mergeCell ref="AP2657:AQ2657"/>
    <mergeCell ref="A2658:A2659"/>
    <mergeCell ref="E2658:E2659"/>
    <mergeCell ref="F2658:H2658"/>
    <mergeCell ref="J2658:J2659"/>
    <mergeCell ref="K2658:L2659"/>
    <mergeCell ref="M2658:N2659"/>
    <mergeCell ref="O2658:P2659"/>
    <mergeCell ref="Q2658:R2659"/>
    <mergeCell ref="S2658:T2659"/>
    <mergeCell ref="U2658:V2659"/>
    <mergeCell ref="W2658:W2659"/>
    <mergeCell ref="X2658:AB2658"/>
    <mergeCell ref="AD2658:AI2658"/>
    <mergeCell ref="AJ2658:AL2658"/>
    <mergeCell ref="AN2658:AO2658"/>
    <mergeCell ref="AP2658:AQ2658"/>
    <mergeCell ref="AR2658:AS2659"/>
    <mergeCell ref="AT2658:AU2659"/>
    <mergeCell ref="AV2658:AW2659"/>
    <mergeCell ref="AX2658:AY2659"/>
    <mergeCell ref="AZ2658:AZ2659"/>
    <mergeCell ref="F2659:H2659"/>
    <mergeCell ref="X2659:AB2659"/>
    <mergeCell ref="AE2659:AI2659"/>
    <mergeCell ref="AJ2659:AL2659"/>
    <mergeCell ref="AN2659:AO2659"/>
    <mergeCell ref="AP2659:AQ2659"/>
    <mergeCell ref="A2660:A2661"/>
    <mergeCell ref="E2660:E2661"/>
    <mergeCell ref="F2660:H2660"/>
    <mergeCell ref="J2660:J2661"/>
    <mergeCell ref="K2660:L2661"/>
    <mergeCell ref="M2660:N2661"/>
    <mergeCell ref="O2660:P2661"/>
    <mergeCell ref="Q2660:R2661"/>
    <mergeCell ref="S2660:T2661"/>
    <mergeCell ref="U2660:V2661"/>
    <mergeCell ref="W2660:W2661"/>
    <mergeCell ref="X2660:AB2660"/>
    <mergeCell ref="AD2660:AI2660"/>
    <mergeCell ref="AJ2660:AL2660"/>
    <mergeCell ref="AN2660:AO2660"/>
    <mergeCell ref="AP2660:AQ2660"/>
    <mergeCell ref="AR2660:AS2661"/>
    <mergeCell ref="AT2660:AU2661"/>
    <mergeCell ref="AV2660:AW2661"/>
    <mergeCell ref="AX2660:AY2661"/>
    <mergeCell ref="AZ2660:AZ2661"/>
    <mergeCell ref="F2661:H2661"/>
    <mergeCell ref="X2661:AB2661"/>
    <mergeCell ref="AE2661:AI2661"/>
    <mergeCell ref="AJ2661:AL2661"/>
    <mergeCell ref="AN2661:AO2661"/>
    <mergeCell ref="AP2661:AQ2661"/>
    <mergeCell ref="A2662:A2663"/>
    <mergeCell ref="E2662:E2663"/>
    <mergeCell ref="F2662:H2662"/>
    <mergeCell ref="J2662:J2663"/>
    <mergeCell ref="K2662:L2663"/>
    <mergeCell ref="M2662:N2663"/>
    <mergeCell ref="O2662:P2663"/>
    <mergeCell ref="Q2662:R2663"/>
    <mergeCell ref="S2662:T2663"/>
    <mergeCell ref="U2662:V2663"/>
    <mergeCell ref="W2662:W2663"/>
    <mergeCell ref="X2662:AB2662"/>
    <mergeCell ref="AD2662:AI2662"/>
    <mergeCell ref="AJ2662:AL2662"/>
    <mergeCell ref="AN2662:AO2662"/>
    <mergeCell ref="AP2662:AQ2662"/>
    <mergeCell ref="AR2662:AS2663"/>
    <mergeCell ref="AT2662:AU2663"/>
    <mergeCell ref="AV2662:AW2663"/>
    <mergeCell ref="AX2662:AY2663"/>
    <mergeCell ref="AZ2662:AZ2663"/>
    <mergeCell ref="F2663:H2663"/>
    <mergeCell ref="X2663:AB2663"/>
    <mergeCell ref="AE2663:AI2663"/>
    <mergeCell ref="AJ2663:AL2663"/>
    <mergeCell ref="AN2663:AO2663"/>
    <mergeCell ref="AP2663:AQ2663"/>
    <mergeCell ref="A2664:A2665"/>
    <mergeCell ref="E2664:E2665"/>
    <mergeCell ref="F2664:H2664"/>
    <mergeCell ref="J2664:J2665"/>
    <mergeCell ref="K2664:L2665"/>
    <mergeCell ref="M2664:N2665"/>
    <mergeCell ref="O2664:P2665"/>
    <mergeCell ref="Q2664:R2665"/>
    <mergeCell ref="S2664:T2665"/>
    <mergeCell ref="U2664:V2665"/>
    <mergeCell ref="W2664:W2665"/>
    <mergeCell ref="X2664:AB2664"/>
    <mergeCell ref="AD2664:AI2664"/>
    <mergeCell ref="AJ2664:AL2664"/>
    <mergeCell ref="AN2664:AO2664"/>
    <mergeCell ref="AP2664:AQ2664"/>
    <mergeCell ref="AR2664:AS2665"/>
    <mergeCell ref="AT2664:AU2665"/>
    <mergeCell ref="AV2664:AW2665"/>
    <mergeCell ref="AX2664:AY2665"/>
    <mergeCell ref="AZ2664:AZ2665"/>
    <mergeCell ref="F2665:H2665"/>
    <mergeCell ref="X2665:AB2665"/>
    <mergeCell ref="AE2665:AI2665"/>
    <mergeCell ref="AJ2665:AL2665"/>
    <mergeCell ref="AN2665:AO2665"/>
    <mergeCell ref="AP2665:AQ2665"/>
    <mergeCell ref="A2666:A2667"/>
    <mergeCell ref="E2666:E2667"/>
    <mergeCell ref="F2666:H2666"/>
    <mergeCell ref="J2666:J2667"/>
    <mergeCell ref="K2666:L2667"/>
    <mergeCell ref="M2666:N2667"/>
    <mergeCell ref="O2666:P2667"/>
    <mergeCell ref="Q2666:R2667"/>
    <mergeCell ref="S2666:T2667"/>
    <mergeCell ref="U2666:V2667"/>
    <mergeCell ref="W2666:W2667"/>
    <mergeCell ref="X2666:AB2666"/>
    <mergeCell ref="AD2666:AI2666"/>
    <mergeCell ref="AJ2666:AL2666"/>
    <mergeCell ref="AN2666:AO2666"/>
    <mergeCell ref="AP2666:AQ2666"/>
    <mergeCell ref="AR2666:AS2667"/>
    <mergeCell ref="AT2666:AU2667"/>
    <mergeCell ref="AV2666:AW2667"/>
    <mergeCell ref="AX2666:AY2667"/>
    <mergeCell ref="AZ2666:AZ2667"/>
    <mergeCell ref="F2667:H2667"/>
    <mergeCell ref="X2667:AB2667"/>
    <mergeCell ref="AE2667:AI2667"/>
    <mergeCell ref="AJ2667:AL2667"/>
    <mergeCell ref="AN2667:AO2667"/>
    <mergeCell ref="AP2667:AQ2667"/>
    <mergeCell ref="A2668:A2669"/>
    <mergeCell ref="E2668:E2669"/>
    <mergeCell ref="F2668:H2668"/>
    <mergeCell ref="J2668:J2669"/>
    <mergeCell ref="K2668:L2669"/>
    <mergeCell ref="M2668:N2669"/>
    <mergeCell ref="O2668:P2669"/>
    <mergeCell ref="Q2668:R2669"/>
    <mergeCell ref="S2668:T2669"/>
    <mergeCell ref="U2668:V2669"/>
    <mergeCell ref="W2668:W2669"/>
    <mergeCell ref="X2668:AB2668"/>
    <mergeCell ref="AD2668:AI2668"/>
    <mergeCell ref="AJ2668:AL2668"/>
    <mergeCell ref="AN2668:AO2668"/>
    <mergeCell ref="AP2668:AQ2668"/>
    <mergeCell ref="AR2668:AS2669"/>
    <mergeCell ref="AT2668:AU2669"/>
    <mergeCell ref="AV2668:AW2669"/>
    <mergeCell ref="AX2668:AY2669"/>
    <mergeCell ref="AZ2668:AZ2669"/>
    <mergeCell ref="F2669:H2669"/>
    <mergeCell ref="X2669:AB2669"/>
    <mergeCell ref="AE2669:AI2669"/>
    <mergeCell ref="AJ2669:AL2669"/>
    <mergeCell ref="AN2669:AO2669"/>
    <mergeCell ref="AP2669:AQ2669"/>
    <mergeCell ref="A2670:A2671"/>
    <mergeCell ref="E2670:E2671"/>
    <mergeCell ref="F2670:H2670"/>
    <mergeCell ref="J2670:J2671"/>
    <mergeCell ref="K2670:L2671"/>
    <mergeCell ref="M2670:N2671"/>
    <mergeCell ref="O2670:P2671"/>
    <mergeCell ref="Q2670:R2671"/>
    <mergeCell ref="S2670:T2671"/>
    <mergeCell ref="U2670:V2671"/>
    <mergeCell ref="W2670:W2671"/>
    <mergeCell ref="X2670:AB2670"/>
    <mergeCell ref="AD2670:AI2670"/>
    <mergeCell ref="AJ2670:AL2670"/>
    <mergeCell ref="AN2670:AO2670"/>
    <mergeCell ref="AP2670:AQ2670"/>
    <mergeCell ref="AR2670:AS2671"/>
    <mergeCell ref="AT2670:AU2671"/>
    <mergeCell ref="AV2670:AW2671"/>
    <mergeCell ref="AX2670:AY2671"/>
    <mergeCell ref="AZ2670:AZ2671"/>
    <mergeCell ref="F2671:H2671"/>
    <mergeCell ref="X2671:AB2671"/>
    <mergeCell ref="AE2671:AI2671"/>
    <mergeCell ref="AJ2671:AL2671"/>
    <mergeCell ref="AN2671:AO2671"/>
    <mergeCell ref="AP2671:AQ2671"/>
    <mergeCell ref="A2672:A2673"/>
    <mergeCell ref="E2672:E2673"/>
    <mergeCell ref="F2672:H2672"/>
    <mergeCell ref="J2672:J2673"/>
    <mergeCell ref="K2672:L2673"/>
    <mergeCell ref="M2672:N2673"/>
    <mergeCell ref="O2672:P2673"/>
    <mergeCell ref="Q2672:R2673"/>
    <mergeCell ref="S2672:T2673"/>
    <mergeCell ref="U2672:V2673"/>
    <mergeCell ref="W2672:W2673"/>
    <mergeCell ref="X2672:AB2672"/>
    <mergeCell ref="AD2672:AI2672"/>
    <mergeCell ref="AJ2672:AL2672"/>
    <mergeCell ref="AN2672:AO2672"/>
    <mergeCell ref="AP2672:AQ2672"/>
    <mergeCell ref="AR2672:AS2673"/>
    <mergeCell ref="AT2672:AU2673"/>
    <mergeCell ref="AV2672:AW2673"/>
    <mergeCell ref="AX2672:AY2673"/>
    <mergeCell ref="AZ2672:AZ2673"/>
    <mergeCell ref="F2673:H2673"/>
    <mergeCell ref="X2673:AB2673"/>
    <mergeCell ref="AE2673:AI2673"/>
    <mergeCell ref="AJ2673:AL2673"/>
    <mergeCell ref="AN2673:AO2673"/>
    <mergeCell ref="AP2673:AQ2673"/>
    <mergeCell ref="A2674:A2675"/>
    <mergeCell ref="E2674:E2675"/>
    <mergeCell ref="F2674:H2674"/>
    <mergeCell ref="J2674:J2675"/>
    <mergeCell ref="K2674:L2675"/>
    <mergeCell ref="M2674:N2675"/>
    <mergeCell ref="O2674:P2675"/>
    <mergeCell ref="Q2674:R2675"/>
    <mergeCell ref="S2674:T2675"/>
    <mergeCell ref="U2674:V2675"/>
    <mergeCell ref="W2674:W2675"/>
    <mergeCell ref="X2674:AB2674"/>
    <mergeCell ref="AD2674:AI2674"/>
    <mergeCell ref="AJ2674:AL2674"/>
    <mergeCell ref="AN2674:AO2674"/>
    <mergeCell ref="AP2674:AQ2674"/>
    <mergeCell ref="AR2674:AS2675"/>
    <mergeCell ref="AT2674:AU2675"/>
    <mergeCell ref="AV2674:AW2675"/>
    <mergeCell ref="AX2674:AY2675"/>
    <mergeCell ref="AZ2674:AZ2675"/>
    <mergeCell ref="F2675:H2675"/>
    <mergeCell ref="X2675:AB2675"/>
    <mergeCell ref="AE2675:AI2675"/>
    <mergeCell ref="AJ2675:AL2675"/>
    <mergeCell ref="AN2675:AO2675"/>
    <mergeCell ref="AP2675:AQ2675"/>
    <mergeCell ref="A2678:A2679"/>
    <mergeCell ref="E2678:E2679"/>
    <mergeCell ref="F2678:H2678"/>
    <mergeCell ref="J2678:J2679"/>
    <mergeCell ref="K2678:L2679"/>
    <mergeCell ref="M2678:N2679"/>
    <mergeCell ref="O2678:P2679"/>
    <mergeCell ref="Q2678:R2679"/>
    <mergeCell ref="S2678:T2679"/>
    <mergeCell ref="U2678:V2679"/>
    <mergeCell ref="W2678:W2679"/>
    <mergeCell ref="X2678:AB2678"/>
    <mergeCell ref="AD2678:AI2678"/>
    <mergeCell ref="AJ2678:AL2678"/>
    <mergeCell ref="AN2678:AO2678"/>
    <mergeCell ref="AP2678:AQ2678"/>
    <mergeCell ref="AR2678:AS2679"/>
    <mergeCell ref="AT2678:AU2679"/>
    <mergeCell ref="AV2678:AW2679"/>
    <mergeCell ref="AX2678:AY2679"/>
    <mergeCell ref="AZ2678:AZ2679"/>
    <mergeCell ref="F2679:H2679"/>
    <mergeCell ref="X2679:AB2679"/>
    <mergeCell ref="AE2679:AI2679"/>
    <mergeCell ref="AJ2679:AL2679"/>
    <mergeCell ref="AN2679:AO2679"/>
    <mergeCell ref="AP2679:AQ2679"/>
    <mergeCell ref="W2676:W2677"/>
    <mergeCell ref="X2676:AB2676"/>
    <mergeCell ref="AD2676:AI2676"/>
    <mergeCell ref="AJ2676:AL2676"/>
    <mergeCell ref="AN2676:AO2676"/>
    <mergeCell ref="AP2676:AQ2676"/>
    <mergeCell ref="AR2676:AS2677"/>
    <mergeCell ref="AT2676:AU2677"/>
    <mergeCell ref="AV2676:AW2677"/>
    <mergeCell ref="AX2676:AY2677"/>
    <mergeCell ref="A2680:A2681"/>
    <mergeCell ref="E2680:E2681"/>
    <mergeCell ref="F2680:H2680"/>
    <mergeCell ref="J2680:J2681"/>
    <mergeCell ref="K2680:L2681"/>
    <mergeCell ref="M2680:N2681"/>
    <mergeCell ref="O2680:P2681"/>
    <mergeCell ref="Q2680:R2681"/>
    <mergeCell ref="S2680:T2681"/>
    <mergeCell ref="U2680:V2681"/>
    <mergeCell ref="W2680:W2681"/>
    <mergeCell ref="X2680:AB2680"/>
    <mergeCell ref="AD2680:AI2680"/>
    <mergeCell ref="AJ2680:AL2680"/>
    <mergeCell ref="AN2680:AO2680"/>
    <mergeCell ref="AP2680:AQ2680"/>
    <mergeCell ref="AR2680:AS2681"/>
    <mergeCell ref="AT2680:AU2681"/>
    <mergeCell ref="AV2680:AW2681"/>
    <mergeCell ref="AX2680:AY2681"/>
    <mergeCell ref="AZ2680:AZ2681"/>
    <mergeCell ref="F2681:H2681"/>
    <mergeCell ref="X2681:AB2681"/>
    <mergeCell ref="AE2681:AI2681"/>
    <mergeCell ref="AJ2681:AL2681"/>
    <mergeCell ref="AN2681:AO2681"/>
    <mergeCell ref="AP2681:AQ2681"/>
    <mergeCell ref="A2682:A2683"/>
    <mergeCell ref="E2682:E2683"/>
    <mergeCell ref="F2682:H2682"/>
    <mergeCell ref="J2682:J2683"/>
    <mergeCell ref="K2682:L2683"/>
    <mergeCell ref="M2682:N2683"/>
    <mergeCell ref="O2682:P2683"/>
    <mergeCell ref="Q2682:R2683"/>
    <mergeCell ref="S2682:T2683"/>
    <mergeCell ref="U2682:V2683"/>
    <mergeCell ref="W2682:W2683"/>
    <mergeCell ref="X2682:AB2682"/>
    <mergeCell ref="AD2682:AI2682"/>
    <mergeCell ref="AJ2682:AL2682"/>
    <mergeCell ref="AN2682:AO2682"/>
    <mergeCell ref="AP2682:AQ2682"/>
    <mergeCell ref="AR2682:AS2683"/>
    <mergeCell ref="AT2682:AU2683"/>
    <mergeCell ref="AV2682:AW2683"/>
    <mergeCell ref="AX2682:AY2683"/>
    <mergeCell ref="AZ2682:AZ2683"/>
    <mergeCell ref="F2683:H2683"/>
    <mergeCell ref="X2683:AB2683"/>
    <mergeCell ref="AE2683:AI2683"/>
    <mergeCell ref="AJ2683:AL2683"/>
    <mergeCell ref="AN2683:AO2683"/>
    <mergeCell ref="AP2683:AQ2683"/>
    <mergeCell ref="A2684:A2685"/>
    <mergeCell ref="E2684:E2685"/>
    <mergeCell ref="F2684:H2684"/>
    <mergeCell ref="J2684:J2685"/>
    <mergeCell ref="K2684:L2685"/>
    <mergeCell ref="M2684:N2685"/>
    <mergeCell ref="O2684:P2685"/>
    <mergeCell ref="Q2684:R2685"/>
    <mergeCell ref="S2684:T2685"/>
    <mergeCell ref="U2684:V2685"/>
    <mergeCell ref="W2684:W2685"/>
    <mergeCell ref="X2684:AB2684"/>
    <mergeCell ref="AD2684:AI2684"/>
    <mergeCell ref="AJ2684:AL2684"/>
    <mergeCell ref="AN2684:AO2684"/>
    <mergeCell ref="AP2684:AQ2684"/>
    <mergeCell ref="AR2684:AS2685"/>
    <mergeCell ref="AT2684:AU2685"/>
    <mergeCell ref="AV2684:AW2685"/>
    <mergeCell ref="AX2684:AY2685"/>
    <mergeCell ref="AZ2684:AZ2685"/>
    <mergeCell ref="F2685:H2685"/>
    <mergeCell ref="X2685:AB2685"/>
    <mergeCell ref="AE2685:AI2685"/>
    <mergeCell ref="AJ2685:AL2685"/>
    <mergeCell ref="AN2685:AO2685"/>
    <mergeCell ref="AP2685:AQ2685"/>
    <mergeCell ref="A2686:A2687"/>
    <mergeCell ref="E2686:E2687"/>
    <mergeCell ref="F2686:H2686"/>
    <mergeCell ref="J2686:J2687"/>
    <mergeCell ref="K2686:L2687"/>
    <mergeCell ref="M2686:N2687"/>
    <mergeCell ref="O2686:P2687"/>
    <mergeCell ref="Q2686:R2687"/>
    <mergeCell ref="S2686:T2687"/>
    <mergeCell ref="U2686:V2687"/>
    <mergeCell ref="W2686:W2687"/>
    <mergeCell ref="X2686:AB2686"/>
    <mergeCell ref="AD2686:AI2686"/>
    <mergeCell ref="AJ2686:AL2686"/>
    <mergeCell ref="AN2686:AO2686"/>
    <mergeCell ref="AP2686:AQ2686"/>
    <mergeCell ref="AR2686:AS2687"/>
    <mergeCell ref="AT2686:AU2687"/>
    <mergeCell ref="AV2686:AW2687"/>
    <mergeCell ref="AX2686:AY2687"/>
    <mergeCell ref="AZ2686:AZ2687"/>
    <mergeCell ref="F2687:H2687"/>
    <mergeCell ref="X2687:AB2687"/>
    <mergeCell ref="AE2687:AI2687"/>
    <mergeCell ref="AJ2687:AL2687"/>
    <mergeCell ref="AN2687:AO2687"/>
    <mergeCell ref="AP2687:AQ2687"/>
    <mergeCell ref="AZ2630:AZ2631"/>
    <mergeCell ref="F2631:H2631"/>
    <mergeCell ref="X2631:AB2631"/>
    <mergeCell ref="AE2631:AI2631"/>
    <mergeCell ref="AJ2631:AL2631"/>
    <mergeCell ref="AN2631:AO2631"/>
    <mergeCell ref="AP2631:AQ2631"/>
    <mergeCell ref="W2640:W2641"/>
    <mergeCell ref="X2640:AB2640"/>
    <mergeCell ref="AD2640:AI2640"/>
    <mergeCell ref="AJ2640:AL2640"/>
    <mergeCell ref="AN2640:AO2640"/>
    <mergeCell ref="AP2640:AQ2640"/>
    <mergeCell ref="AR2640:AS2641"/>
    <mergeCell ref="AT2640:AU2641"/>
    <mergeCell ref="AV2640:AW2641"/>
    <mergeCell ref="AX2640:AY2641"/>
    <mergeCell ref="AZ2640:AZ2641"/>
    <mergeCell ref="F2641:H2641"/>
    <mergeCell ref="X2641:AB2641"/>
    <mergeCell ref="AE2641:AI2641"/>
    <mergeCell ref="AJ2641:AL2641"/>
    <mergeCell ref="AN2641:AO2641"/>
    <mergeCell ref="AP2641:AQ2641"/>
    <mergeCell ref="A2642:A2643"/>
    <mergeCell ref="E2642:E2643"/>
    <mergeCell ref="F2642:H2642"/>
    <mergeCell ref="J2642:J2643"/>
    <mergeCell ref="K2642:L2643"/>
    <mergeCell ref="M2642:N2643"/>
    <mergeCell ref="O2642:P2643"/>
    <mergeCell ref="Q2642:R2643"/>
    <mergeCell ref="S2642:T2643"/>
    <mergeCell ref="U2642:V2643"/>
    <mergeCell ref="W2642:W2643"/>
    <mergeCell ref="X2642:AB2642"/>
    <mergeCell ref="AD2642:AI2642"/>
    <mergeCell ref="AJ2642:AL2642"/>
    <mergeCell ref="AN2642:AO2642"/>
    <mergeCell ref="AP2642:AQ2642"/>
    <mergeCell ref="AR2642:AS2643"/>
    <mergeCell ref="AT2642:AU2643"/>
    <mergeCell ref="AV2642:AW2643"/>
    <mergeCell ref="AX2642:AY2643"/>
    <mergeCell ref="AZ2642:AZ2643"/>
    <mergeCell ref="F2643:H2643"/>
    <mergeCell ref="X2643:AB2643"/>
    <mergeCell ref="AE2643:AI2643"/>
    <mergeCell ref="AJ2643:AL2643"/>
    <mergeCell ref="AN2643:AO2643"/>
    <mergeCell ref="AP2643:AQ2643"/>
    <mergeCell ref="A2638:A2639"/>
    <mergeCell ref="E2638:E2639"/>
    <mergeCell ref="F2638:H2638"/>
    <mergeCell ref="J2638:J2639"/>
    <mergeCell ref="K2638:L2639"/>
    <mergeCell ref="M2638:N2639"/>
    <mergeCell ref="O2638:P2639"/>
    <mergeCell ref="Q2638:R2639"/>
    <mergeCell ref="S2638:T2639"/>
    <mergeCell ref="U2638:V2639"/>
    <mergeCell ref="W2638:W2639"/>
    <mergeCell ref="X2638:AB2638"/>
    <mergeCell ref="AD2638:AI2638"/>
    <mergeCell ref="A2632:A2633"/>
    <mergeCell ref="E2632:E2633"/>
    <mergeCell ref="F2632:H2632"/>
    <mergeCell ref="J2632:J2633"/>
    <mergeCell ref="K2632:L2633"/>
    <mergeCell ref="M2632:N2633"/>
    <mergeCell ref="O2632:P2633"/>
    <mergeCell ref="Q2632:R2633"/>
    <mergeCell ref="S2632:T2633"/>
    <mergeCell ref="U2632:V2633"/>
    <mergeCell ref="W2632:W2633"/>
    <mergeCell ref="X2632:AB2632"/>
    <mergeCell ref="AD2632:AI2632"/>
    <mergeCell ref="AJ2632:AL2632"/>
    <mergeCell ref="AN2632:AO2632"/>
    <mergeCell ref="AP2632:AQ2632"/>
    <mergeCell ref="AR2632:AS2633"/>
    <mergeCell ref="AT2632:AU2633"/>
    <mergeCell ref="AV2632:AW2633"/>
    <mergeCell ref="AX2632:AY2633"/>
    <mergeCell ref="AZ2632:AZ2633"/>
    <mergeCell ref="F2633:H2633"/>
    <mergeCell ref="X2633:AB2633"/>
    <mergeCell ref="AE2633:AI2633"/>
    <mergeCell ref="AJ2633:AL2633"/>
    <mergeCell ref="AN2633:AO2633"/>
    <mergeCell ref="AP2633:AQ2633"/>
    <mergeCell ref="W2628:W2629"/>
    <mergeCell ref="X2628:AB2628"/>
    <mergeCell ref="AD2628:AI2628"/>
    <mergeCell ref="AJ2628:AL2628"/>
    <mergeCell ref="AN2628:AO2628"/>
    <mergeCell ref="AP2628:AQ2628"/>
    <mergeCell ref="AR2628:AS2629"/>
    <mergeCell ref="AT2628:AU2629"/>
    <mergeCell ref="AV2628:AW2629"/>
    <mergeCell ref="AX2628:AY2629"/>
    <mergeCell ref="AZ2628:AZ2629"/>
    <mergeCell ref="F2629:H2629"/>
    <mergeCell ref="X2629:AB2629"/>
    <mergeCell ref="AE2629:AI2629"/>
    <mergeCell ref="AJ2629:AL2629"/>
    <mergeCell ref="AN2629:AO2629"/>
    <mergeCell ref="AP2629:AQ2629"/>
    <mergeCell ref="A2630:A2631"/>
    <mergeCell ref="E2630:E2631"/>
    <mergeCell ref="F2630:H2630"/>
    <mergeCell ref="J2630:J2631"/>
    <mergeCell ref="K2630:L2631"/>
    <mergeCell ref="M2630:N2631"/>
    <mergeCell ref="O2630:P2631"/>
    <mergeCell ref="Q2630:R2631"/>
    <mergeCell ref="S2630:T2631"/>
    <mergeCell ref="U2630:V2631"/>
    <mergeCell ref="W2630:W2631"/>
    <mergeCell ref="X2630:AB2630"/>
    <mergeCell ref="AD2630:AI2630"/>
    <mergeCell ref="AJ2630:AL2630"/>
    <mergeCell ref="AN2630:AO2630"/>
    <mergeCell ref="AP2630:AQ2630"/>
    <mergeCell ref="AR2630:AS2631"/>
    <mergeCell ref="AT2630:AU2631"/>
    <mergeCell ref="AV2630:AW2631"/>
    <mergeCell ref="AX2630:AY2631"/>
    <mergeCell ref="A2720:A2721"/>
    <mergeCell ref="E2720:E2721"/>
    <mergeCell ref="F2720:H2720"/>
    <mergeCell ref="J2720:J2721"/>
    <mergeCell ref="K2720:L2721"/>
    <mergeCell ref="M2720:N2721"/>
    <mergeCell ref="O2720:P2721"/>
    <mergeCell ref="Q2720:R2721"/>
    <mergeCell ref="S2720:T2721"/>
    <mergeCell ref="U2720:V2721"/>
    <mergeCell ref="W2720:W2721"/>
    <mergeCell ref="X2720:AB2720"/>
    <mergeCell ref="AD2720:AI2720"/>
    <mergeCell ref="AJ2720:AL2720"/>
    <mergeCell ref="AN2720:AO2720"/>
    <mergeCell ref="AP2720:AQ2720"/>
    <mergeCell ref="AR2720:AS2721"/>
    <mergeCell ref="AT2720:AU2721"/>
    <mergeCell ref="AV2720:AW2721"/>
    <mergeCell ref="AX2720:AY2721"/>
    <mergeCell ref="AZ2720:AZ2721"/>
    <mergeCell ref="F2721:H2721"/>
    <mergeCell ref="X2721:AB2721"/>
    <mergeCell ref="AE2721:AI2721"/>
    <mergeCell ref="AJ2721:AL2721"/>
    <mergeCell ref="AN2721:AO2721"/>
    <mergeCell ref="AP2721:AQ2721"/>
    <mergeCell ref="A2722:A2723"/>
    <mergeCell ref="E2722:E2723"/>
    <mergeCell ref="F2722:H2722"/>
    <mergeCell ref="J2722:J2723"/>
    <mergeCell ref="K2722:L2723"/>
    <mergeCell ref="M2722:N2723"/>
    <mergeCell ref="O2722:P2723"/>
    <mergeCell ref="Q2722:R2723"/>
    <mergeCell ref="S2722:T2723"/>
    <mergeCell ref="U2722:V2723"/>
    <mergeCell ref="W2722:W2723"/>
    <mergeCell ref="X2722:AB2722"/>
    <mergeCell ref="AD2722:AI2722"/>
    <mergeCell ref="AJ2722:AL2722"/>
    <mergeCell ref="AN2722:AO2722"/>
    <mergeCell ref="AP2722:AQ2722"/>
    <mergeCell ref="AR2722:AS2723"/>
    <mergeCell ref="AT2722:AU2723"/>
    <mergeCell ref="AV2722:AW2723"/>
    <mergeCell ref="AX2722:AY2723"/>
    <mergeCell ref="AZ2722:AZ2723"/>
    <mergeCell ref="F2723:H2723"/>
    <mergeCell ref="X2723:AB2723"/>
    <mergeCell ref="AE2723:AI2723"/>
    <mergeCell ref="AJ2723:AL2723"/>
    <mergeCell ref="AN2723:AO2723"/>
    <mergeCell ref="AP2723:AQ2723"/>
    <mergeCell ref="A2726:A2727"/>
    <mergeCell ref="E2726:E2727"/>
    <mergeCell ref="F2726:H2726"/>
    <mergeCell ref="J2726:J2727"/>
    <mergeCell ref="K2726:L2727"/>
    <mergeCell ref="M2726:N2727"/>
    <mergeCell ref="O2726:P2727"/>
    <mergeCell ref="Q2726:R2727"/>
    <mergeCell ref="S2726:T2727"/>
    <mergeCell ref="U2726:V2727"/>
    <mergeCell ref="W2726:W2727"/>
    <mergeCell ref="X2726:AB2726"/>
    <mergeCell ref="AD2726:AI2726"/>
    <mergeCell ref="AJ2726:AL2726"/>
    <mergeCell ref="AN2726:AO2726"/>
    <mergeCell ref="AP2726:AQ2726"/>
    <mergeCell ref="AR2726:AS2727"/>
    <mergeCell ref="AT2726:AU2727"/>
    <mergeCell ref="AV2726:AW2727"/>
    <mergeCell ref="AX2726:AY2727"/>
    <mergeCell ref="AZ2726:AZ2727"/>
    <mergeCell ref="F2727:H2727"/>
    <mergeCell ref="X2727:AB2727"/>
    <mergeCell ref="AE2727:AI2727"/>
    <mergeCell ref="AJ2727:AL2727"/>
    <mergeCell ref="AN2727:AO2727"/>
    <mergeCell ref="AP2727:AQ2727"/>
    <mergeCell ref="A2728:A2729"/>
    <mergeCell ref="E2728:E2729"/>
    <mergeCell ref="F2728:H2728"/>
    <mergeCell ref="J2728:J2729"/>
    <mergeCell ref="K2728:L2729"/>
    <mergeCell ref="M2728:N2729"/>
    <mergeCell ref="O2728:P2729"/>
    <mergeCell ref="Q2728:R2729"/>
    <mergeCell ref="S2728:T2729"/>
    <mergeCell ref="U2728:V2729"/>
    <mergeCell ref="W2728:W2729"/>
    <mergeCell ref="X2728:AB2728"/>
    <mergeCell ref="AD2728:AI2728"/>
    <mergeCell ref="AJ2728:AL2728"/>
    <mergeCell ref="AN2728:AO2728"/>
    <mergeCell ref="AP2728:AQ2728"/>
    <mergeCell ref="AR2728:AS2729"/>
    <mergeCell ref="AT2728:AU2729"/>
    <mergeCell ref="AV2728:AW2729"/>
    <mergeCell ref="AX2728:AY2729"/>
    <mergeCell ref="AZ2728:AZ2729"/>
    <mergeCell ref="F2729:H2729"/>
    <mergeCell ref="X2729:AB2729"/>
    <mergeCell ref="AE2729:AI2729"/>
    <mergeCell ref="AJ2729:AL2729"/>
    <mergeCell ref="AN2729:AO2729"/>
    <mergeCell ref="AP2729:AQ2729"/>
    <mergeCell ref="A2730:A2731"/>
    <mergeCell ref="E2730:E2731"/>
    <mergeCell ref="F2730:H2730"/>
    <mergeCell ref="J2730:J2731"/>
    <mergeCell ref="K2730:L2731"/>
    <mergeCell ref="M2730:N2731"/>
    <mergeCell ref="O2730:P2731"/>
    <mergeCell ref="Q2730:R2731"/>
    <mergeCell ref="S2730:T2731"/>
    <mergeCell ref="U2730:V2731"/>
    <mergeCell ref="W2730:W2731"/>
    <mergeCell ref="X2730:AB2730"/>
    <mergeCell ref="AD2730:AI2730"/>
    <mergeCell ref="AJ2730:AL2730"/>
    <mergeCell ref="AN2730:AO2730"/>
    <mergeCell ref="AP2730:AQ2730"/>
    <mergeCell ref="AR2730:AS2731"/>
    <mergeCell ref="AT2730:AU2731"/>
    <mergeCell ref="AV2730:AW2731"/>
    <mergeCell ref="AX2730:AY2731"/>
    <mergeCell ref="AZ2730:AZ2731"/>
    <mergeCell ref="F2731:H2731"/>
    <mergeCell ref="X2731:AB2731"/>
    <mergeCell ref="AE2731:AI2731"/>
    <mergeCell ref="AJ2731:AL2731"/>
    <mergeCell ref="AN2731:AO2731"/>
    <mergeCell ref="AP2731:AQ2731"/>
    <mergeCell ref="A2732:A2733"/>
    <mergeCell ref="E2732:E2733"/>
    <mergeCell ref="F2732:H2732"/>
    <mergeCell ref="J2732:J2733"/>
    <mergeCell ref="K2732:L2733"/>
    <mergeCell ref="M2732:N2733"/>
    <mergeCell ref="O2732:P2733"/>
    <mergeCell ref="Q2732:R2733"/>
    <mergeCell ref="S2732:T2733"/>
    <mergeCell ref="U2732:V2733"/>
    <mergeCell ref="W2732:W2733"/>
    <mergeCell ref="X2732:AB2732"/>
    <mergeCell ref="AD2732:AI2732"/>
    <mergeCell ref="AJ2732:AL2732"/>
    <mergeCell ref="AN2732:AO2732"/>
    <mergeCell ref="AP2732:AQ2732"/>
    <mergeCell ref="AR2732:AS2733"/>
    <mergeCell ref="AT2732:AU2733"/>
    <mergeCell ref="AV2732:AW2733"/>
    <mergeCell ref="AX2732:AY2733"/>
    <mergeCell ref="AZ2732:AZ2733"/>
    <mergeCell ref="F2733:H2733"/>
    <mergeCell ref="X2733:AB2733"/>
    <mergeCell ref="AE2733:AI2733"/>
    <mergeCell ref="AJ2733:AL2733"/>
    <mergeCell ref="AN2733:AO2733"/>
    <mergeCell ref="AP2733:AQ2733"/>
    <mergeCell ref="A2734:A2735"/>
    <mergeCell ref="E2734:E2735"/>
    <mergeCell ref="F2734:H2734"/>
    <mergeCell ref="J2734:J2735"/>
    <mergeCell ref="K2734:L2735"/>
    <mergeCell ref="M2734:N2735"/>
    <mergeCell ref="O2734:P2735"/>
    <mergeCell ref="Q2734:R2735"/>
    <mergeCell ref="S2734:T2735"/>
    <mergeCell ref="U2734:V2735"/>
    <mergeCell ref="W2734:W2735"/>
    <mergeCell ref="X2734:AB2734"/>
    <mergeCell ref="AD2734:AI2734"/>
    <mergeCell ref="AJ2734:AL2734"/>
    <mergeCell ref="AN2734:AO2734"/>
    <mergeCell ref="AP2734:AQ2734"/>
    <mergeCell ref="AR2734:AS2735"/>
    <mergeCell ref="AT2734:AU2735"/>
    <mergeCell ref="AV2734:AW2735"/>
    <mergeCell ref="AX2734:AY2735"/>
    <mergeCell ref="AZ2734:AZ2735"/>
    <mergeCell ref="F2735:H2735"/>
    <mergeCell ref="X2735:AB2735"/>
    <mergeCell ref="AE2735:AI2735"/>
    <mergeCell ref="AJ2735:AL2735"/>
    <mergeCell ref="AN2735:AO2735"/>
    <mergeCell ref="AP2735:AQ2735"/>
    <mergeCell ref="A2736:A2737"/>
    <mergeCell ref="E2736:E2737"/>
    <mergeCell ref="F2736:H2736"/>
    <mergeCell ref="J2736:J2737"/>
    <mergeCell ref="K2736:L2737"/>
    <mergeCell ref="M2736:N2737"/>
    <mergeCell ref="O2736:P2737"/>
    <mergeCell ref="Q2736:R2737"/>
    <mergeCell ref="S2736:T2737"/>
    <mergeCell ref="U2736:V2737"/>
    <mergeCell ref="W2736:W2737"/>
    <mergeCell ref="X2736:AB2736"/>
    <mergeCell ref="AD2736:AI2736"/>
    <mergeCell ref="AJ2736:AL2736"/>
    <mergeCell ref="AN2736:AO2736"/>
    <mergeCell ref="AP2736:AQ2736"/>
    <mergeCell ref="AR2736:AS2737"/>
    <mergeCell ref="AT2736:AU2737"/>
    <mergeCell ref="AV2736:AW2737"/>
    <mergeCell ref="AX2736:AY2737"/>
    <mergeCell ref="AZ2736:AZ2737"/>
    <mergeCell ref="F2737:H2737"/>
    <mergeCell ref="X2737:AB2737"/>
    <mergeCell ref="AE2737:AI2737"/>
    <mergeCell ref="AJ2737:AL2737"/>
    <mergeCell ref="AN2737:AO2737"/>
    <mergeCell ref="AP2737:AQ2737"/>
    <mergeCell ref="A2738:A2739"/>
    <mergeCell ref="E2738:E2739"/>
    <mergeCell ref="F2738:H2738"/>
    <mergeCell ref="J2738:J2739"/>
    <mergeCell ref="K2738:L2739"/>
    <mergeCell ref="M2738:N2739"/>
    <mergeCell ref="O2738:P2739"/>
    <mergeCell ref="Q2738:R2739"/>
    <mergeCell ref="S2738:T2739"/>
    <mergeCell ref="U2738:V2739"/>
    <mergeCell ref="W2738:W2739"/>
    <mergeCell ref="X2738:AB2738"/>
    <mergeCell ref="AD2738:AI2738"/>
    <mergeCell ref="AJ2738:AL2738"/>
    <mergeCell ref="AN2738:AO2738"/>
    <mergeCell ref="AP2738:AQ2738"/>
    <mergeCell ref="AR2738:AS2739"/>
    <mergeCell ref="AT2738:AU2739"/>
    <mergeCell ref="AV2738:AW2739"/>
    <mergeCell ref="AX2738:AY2739"/>
    <mergeCell ref="AZ2738:AZ2739"/>
    <mergeCell ref="F2739:H2739"/>
    <mergeCell ref="X2739:AB2739"/>
    <mergeCell ref="AE2739:AI2739"/>
    <mergeCell ref="AJ2739:AL2739"/>
    <mergeCell ref="AN2739:AO2739"/>
    <mergeCell ref="AP2739:AQ2739"/>
    <mergeCell ref="A2740:A2741"/>
    <mergeCell ref="E2740:E2741"/>
    <mergeCell ref="F2740:H2740"/>
    <mergeCell ref="J2740:J2741"/>
    <mergeCell ref="K2740:L2741"/>
    <mergeCell ref="M2740:N2741"/>
    <mergeCell ref="O2740:P2741"/>
    <mergeCell ref="Q2740:R2741"/>
    <mergeCell ref="S2740:T2741"/>
    <mergeCell ref="U2740:V2741"/>
    <mergeCell ref="W2740:W2741"/>
    <mergeCell ref="X2740:AB2740"/>
    <mergeCell ref="AD2740:AI2740"/>
    <mergeCell ref="AJ2740:AL2740"/>
    <mergeCell ref="AN2740:AO2740"/>
    <mergeCell ref="AP2740:AQ2740"/>
    <mergeCell ref="AR2740:AS2741"/>
    <mergeCell ref="AT2740:AU2741"/>
    <mergeCell ref="AV2740:AW2741"/>
    <mergeCell ref="AX2740:AY2741"/>
    <mergeCell ref="AZ2740:AZ2741"/>
    <mergeCell ref="F2741:H2741"/>
    <mergeCell ref="X2741:AB2741"/>
    <mergeCell ref="AE2741:AI2741"/>
    <mergeCell ref="AJ2741:AL2741"/>
    <mergeCell ref="AN2741:AO2741"/>
    <mergeCell ref="AP2741:AQ2741"/>
    <mergeCell ref="A2742:A2743"/>
    <mergeCell ref="E2742:E2743"/>
    <mergeCell ref="F2742:H2742"/>
    <mergeCell ref="J2742:J2743"/>
    <mergeCell ref="K2742:L2743"/>
    <mergeCell ref="M2742:N2743"/>
    <mergeCell ref="O2742:P2743"/>
    <mergeCell ref="Q2742:R2743"/>
    <mergeCell ref="S2742:T2743"/>
    <mergeCell ref="U2742:V2743"/>
    <mergeCell ref="W2742:W2743"/>
    <mergeCell ref="X2742:AB2742"/>
    <mergeCell ref="AD2742:AI2742"/>
    <mergeCell ref="AJ2742:AL2742"/>
    <mergeCell ref="AN2742:AO2742"/>
    <mergeCell ref="AP2742:AQ2742"/>
    <mergeCell ref="AR2742:AS2743"/>
    <mergeCell ref="AT2742:AU2743"/>
    <mergeCell ref="AV2742:AW2743"/>
    <mergeCell ref="AX2742:AY2743"/>
    <mergeCell ref="AZ2742:AZ2743"/>
    <mergeCell ref="F2743:H2743"/>
    <mergeCell ref="X2743:AB2743"/>
    <mergeCell ref="AE2743:AI2743"/>
    <mergeCell ref="AJ2743:AL2743"/>
    <mergeCell ref="AN2743:AO2743"/>
    <mergeCell ref="AP2743:AQ2743"/>
    <mergeCell ref="A2744:A2745"/>
    <mergeCell ref="E2744:E2745"/>
    <mergeCell ref="F2744:H2744"/>
    <mergeCell ref="J2744:J2745"/>
    <mergeCell ref="K2744:L2745"/>
    <mergeCell ref="M2744:N2745"/>
    <mergeCell ref="O2744:P2745"/>
    <mergeCell ref="Q2744:R2745"/>
    <mergeCell ref="S2744:T2745"/>
    <mergeCell ref="U2744:V2745"/>
    <mergeCell ref="W2744:W2745"/>
    <mergeCell ref="X2744:AB2744"/>
    <mergeCell ref="AD2744:AI2744"/>
    <mergeCell ref="AJ2744:AL2744"/>
    <mergeCell ref="AN2744:AO2744"/>
    <mergeCell ref="AP2744:AQ2744"/>
    <mergeCell ref="AR2744:AS2745"/>
    <mergeCell ref="AT2744:AU2745"/>
    <mergeCell ref="AV2744:AW2745"/>
    <mergeCell ref="AX2744:AY2745"/>
    <mergeCell ref="AZ2744:AZ2745"/>
    <mergeCell ref="F2745:H2745"/>
    <mergeCell ref="X2745:AB2745"/>
    <mergeCell ref="AE2745:AI2745"/>
    <mergeCell ref="AJ2745:AL2745"/>
    <mergeCell ref="AN2745:AO2745"/>
    <mergeCell ref="AP2745:AQ2745"/>
    <mergeCell ref="A2746:A2747"/>
    <mergeCell ref="E2746:E2747"/>
    <mergeCell ref="F2746:H2746"/>
    <mergeCell ref="J2746:J2747"/>
    <mergeCell ref="K2746:L2747"/>
    <mergeCell ref="M2746:N2747"/>
    <mergeCell ref="O2746:P2747"/>
    <mergeCell ref="Q2746:R2747"/>
    <mergeCell ref="S2746:T2747"/>
    <mergeCell ref="U2746:V2747"/>
    <mergeCell ref="W2746:W2747"/>
    <mergeCell ref="X2746:AB2746"/>
    <mergeCell ref="AD2746:AI2746"/>
    <mergeCell ref="AJ2746:AL2746"/>
    <mergeCell ref="AN2746:AO2746"/>
    <mergeCell ref="AP2746:AQ2746"/>
    <mergeCell ref="AR2746:AS2747"/>
    <mergeCell ref="AT2746:AU2747"/>
    <mergeCell ref="AV2746:AW2747"/>
    <mergeCell ref="AX2746:AY2747"/>
    <mergeCell ref="AZ2746:AZ2747"/>
    <mergeCell ref="F2747:H2747"/>
    <mergeCell ref="X2747:AB2747"/>
    <mergeCell ref="AE2747:AI2747"/>
    <mergeCell ref="AJ2747:AL2747"/>
    <mergeCell ref="AN2747:AO2747"/>
    <mergeCell ref="AP2747:AQ2747"/>
    <mergeCell ref="A2748:A2749"/>
    <mergeCell ref="E2748:E2749"/>
    <mergeCell ref="F2748:H2748"/>
    <mergeCell ref="J2748:J2749"/>
    <mergeCell ref="K2748:L2749"/>
    <mergeCell ref="M2748:N2749"/>
    <mergeCell ref="O2748:P2749"/>
    <mergeCell ref="Q2748:R2749"/>
    <mergeCell ref="S2748:T2749"/>
    <mergeCell ref="U2748:V2749"/>
    <mergeCell ref="W2748:W2749"/>
    <mergeCell ref="X2748:AB2748"/>
    <mergeCell ref="AD2748:AI2748"/>
    <mergeCell ref="AJ2748:AL2748"/>
    <mergeCell ref="AN2748:AO2748"/>
    <mergeCell ref="AP2748:AQ2748"/>
    <mergeCell ref="AR2748:AS2749"/>
    <mergeCell ref="AT2748:AU2749"/>
    <mergeCell ref="AV2748:AW2749"/>
    <mergeCell ref="AX2748:AY2749"/>
    <mergeCell ref="AZ2748:AZ2749"/>
    <mergeCell ref="F2749:H2749"/>
    <mergeCell ref="X2749:AB2749"/>
    <mergeCell ref="AE2749:AI2749"/>
    <mergeCell ref="AJ2749:AL2749"/>
    <mergeCell ref="AN2749:AO2749"/>
    <mergeCell ref="AP2749:AQ2749"/>
    <mergeCell ref="A2750:A2751"/>
    <mergeCell ref="E2750:E2751"/>
    <mergeCell ref="F2750:H2750"/>
    <mergeCell ref="J2750:J2751"/>
    <mergeCell ref="K2750:L2751"/>
    <mergeCell ref="M2750:N2751"/>
    <mergeCell ref="O2750:P2751"/>
    <mergeCell ref="Q2750:R2751"/>
    <mergeCell ref="S2750:T2751"/>
    <mergeCell ref="U2750:V2751"/>
    <mergeCell ref="W2750:W2751"/>
    <mergeCell ref="X2750:AB2750"/>
    <mergeCell ref="AD2750:AI2750"/>
    <mergeCell ref="AJ2750:AL2750"/>
    <mergeCell ref="AN2750:AO2750"/>
    <mergeCell ref="AP2750:AQ2750"/>
    <mergeCell ref="AR2750:AS2751"/>
    <mergeCell ref="AT2750:AU2751"/>
    <mergeCell ref="AV2750:AW2751"/>
    <mergeCell ref="AX2750:AY2751"/>
    <mergeCell ref="AZ2750:AZ2751"/>
    <mergeCell ref="F2751:H2751"/>
    <mergeCell ref="X2751:AB2751"/>
    <mergeCell ref="AE2751:AI2751"/>
    <mergeCell ref="AJ2751:AL2751"/>
    <mergeCell ref="AN2751:AO2751"/>
    <mergeCell ref="AP2751:AQ2751"/>
    <mergeCell ref="A2752:A2753"/>
    <mergeCell ref="E2752:E2753"/>
    <mergeCell ref="F2752:H2752"/>
    <mergeCell ref="J2752:J2753"/>
    <mergeCell ref="K2752:L2753"/>
    <mergeCell ref="M2752:N2753"/>
    <mergeCell ref="O2752:P2753"/>
    <mergeCell ref="Q2752:R2753"/>
    <mergeCell ref="S2752:T2753"/>
    <mergeCell ref="U2752:V2753"/>
    <mergeCell ref="W2752:W2753"/>
    <mergeCell ref="X2752:AB2752"/>
    <mergeCell ref="AD2752:AI2752"/>
    <mergeCell ref="AJ2752:AL2752"/>
    <mergeCell ref="AN2752:AO2752"/>
    <mergeCell ref="AP2752:AQ2752"/>
    <mergeCell ref="AR2752:AS2753"/>
    <mergeCell ref="AT2752:AU2753"/>
    <mergeCell ref="AV2752:AW2753"/>
    <mergeCell ref="AX2752:AY2753"/>
    <mergeCell ref="AZ2752:AZ2753"/>
    <mergeCell ref="F2753:H2753"/>
    <mergeCell ref="X2753:AB2753"/>
    <mergeCell ref="AE2753:AI2753"/>
    <mergeCell ref="AJ2753:AL2753"/>
    <mergeCell ref="AN2753:AO2753"/>
    <mergeCell ref="AP2753:AQ2753"/>
    <mergeCell ref="A2754:A2755"/>
    <mergeCell ref="E2754:E2755"/>
    <mergeCell ref="F2754:H2754"/>
    <mergeCell ref="J2754:J2755"/>
    <mergeCell ref="K2754:L2755"/>
    <mergeCell ref="M2754:N2755"/>
    <mergeCell ref="O2754:P2755"/>
    <mergeCell ref="Q2754:R2755"/>
    <mergeCell ref="S2754:T2755"/>
    <mergeCell ref="U2754:V2755"/>
    <mergeCell ref="W2754:W2755"/>
    <mergeCell ref="X2754:AB2754"/>
    <mergeCell ref="AD2754:AI2754"/>
    <mergeCell ref="AJ2754:AL2754"/>
    <mergeCell ref="AN2754:AO2754"/>
    <mergeCell ref="AP2754:AQ2754"/>
    <mergeCell ref="AR2754:AS2755"/>
    <mergeCell ref="AT2754:AU2755"/>
    <mergeCell ref="AV2754:AW2755"/>
    <mergeCell ref="AX2754:AY2755"/>
    <mergeCell ref="AZ2754:AZ2755"/>
    <mergeCell ref="F2755:H2755"/>
    <mergeCell ref="X2755:AB2755"/>
    <mergeCell ref="AE2755:AI2755"/>
    <mergeCell ref="AJ2755:AL2755"/>
    <mergeCell ref="AN2755:AO2755"/>
    <mergeCell ref="AP2755:AQ2755"/>
    <mergeCell ref="A2756:A2757"/>
    <mergeCell ref="E2756:E2757"/>
    <mergeCell ref="F2756:H2756"/>
    <mergeCell ref="J2756:J2757"/>
    <mergeCell ref="K2756:L2757"/>
    <mergeCell ref="M2756:N2757"/>
    <mergeCell ref="O2756:P2757"/>
    <mergeCell ref="Q2756:R2757"/>
    <mergeCell ref="S2756:T2757"/>
    <mergeCell ref="U2756:V2757"/>
    <mergeCell ref="W2756:W2757"/>
    <mergeCell ref="X2756:AB2756"/>
    <mergeCell ref="AD2756:AI2756"/>
    <mergeCell ref="AJ2756:AL2756"/>
    <mergeCell ref="AN2756:AO2756"/>
    <mergeCell ref="AP2756:AQ2756"/>
    <mergeCell ref="AR2756:AS2757"/>
    <mergeCell ref="AT2756:AU2757"/>
    <mergeCell ref="AV2756:AW2757"/>
    <mergeCell ref="AX2756:AY2757"/>
    <mergeCell ref="AZ2756:AZ2757"/>
    <mergeCell ref="F2757:H2757"/>
    <mergeCell ref="X2757:AB2757"/>
    <mergeCell ref="AE2757:AI2757"/>
    <mergeCell ref="AJ2757:AL2757"/>
    <mergeCell ref="AN2757:AO2757"/>
    <mergeCell ref="AP2757:AQ2757"/>
    <mergeCell ref="A2758:A2759"/>
    <mergeCell ref="E2758:E2759"/>
    <mergeCell ref="F2758:H2758"/>
    <mergeCell ref="J2758:J2759"/>
    <mergeCell ref="K2758:L2759"/>
    <mergeCell ref="M2758:N2759"/>
    <mergeCell ref="O2758:P2759"/>
    <mergeCell ref="Q2758:R2759"/>
    <mergeCell ref="S2758:T2759"/>
    <mergeCell ref="U2758:V2759"/>
    <mergeCell ref="W2758:W2759"/>
    <mergeCell ref="X2758:AB2758"/>
    <mergeCell ref="AD2758:AI2758"/>
    <mergeCell ref="AJ2758:AL2758"/>
    <mergeCell ref="AN2758:AO2758"/>
    <mergeCell ref="AP2758:AQ2758"/>
    <mergeCell ref="AR2758:AS2759"/>
    <mergeCell ref="AT2758:AU2759"/>
    <mergeCell ref="AV2758:AW2759"/>
    <mergeCell ref="AX2758:AY2759"/>
    <mergeCell ref="AZ2758:AZ2759"/>
    <mergeCell ref="F2759:H2759"/>
    <mergeCell ref="X2759:AB2759"/>
    <mergeCell ref="AE2759:AI2759"/>
    <mergeCell ref="AJ2759:AL2759"/>
    <mergeCell ref="AN2759:AO2759"/>
    <mergeCell ref="AP2759:AQ2759"/>
    <mergeCell ref="A2760:A2761"/>
    <mergeCell ref="E2760:E2761"/>
    <mergeCell ref="F2760:H2760"/>
    <mergeCell ref="J2760:J2761"/>
    <mergeCell ref="K2760:L2761"/>
    <mergeCell ref="M2760:N2761"/>
    <mergeCell ref="O2760:P2761"/>
    <mergeCell ref="Q2760:R2761"/>
    <mergeCell ref="S2760:T2761"/>
    <mergeCell ref="U2760:V2761"/>
    <mergeCell ref="W2760:W2761"/>
    <mergeCell ref="X2760:AB2760"/>
    <mergeCell ref="AD2760:AI2760"/>
    <mergeCell ref="AJ2760:AL2760"/>
    <mergeCell ref="AN2760:AO2760"/>
    <mergeCell ref="AP2760:AQ2760"/>
    <mergeCell ref="AR2760:AS2761"/>
    <mergeCell ref="AT2760:AU2761"/>
    <mergeCell ref="AV2760:AW2761"/>
    <mergeCell ref="AX2760:AY2761"/>
    <mergeCell ref="AZ2760:AZ2761"/>
    <mergeCell ref="F2761:H2761"/>
    <mergeCell ref="X2761:AB2761"/>
    <mergeCell ref="AE2761:AI2761"/>
    <mergeCell ref="AJ2761:AL2761"/>
    <mergeCell ref="AN2761:AO2761"/>
    <mergeCell ref="AP2761:AQ2761"/>
    <mergeCell ref="A2762:A2763"/>
    <mergeCell ref="E2762:E2763"/>
    <mergeCell ref="F2762:H2762"/>
    <mergeCell ref="J2762:J2763"/>
    <mergeCell ref="K2762:L2763"/>
    <mergeCell ref="M2762:N2763"/>
    <mergeCell ref="O2762:P2763"/>
    <mergeCell ref="Q2762:R2763"/>
    <mergeCell ref="S2762:T2763"/>
    <mergeCell ref="U2762:V2763"/>
    <mergeCell ref="W2762:W2763"/>
    <mergeCell ref="X2762:AB2762"/>
    <mergeCell ref="AD2762:AI2762"/>
    <mergeCell ref="AJ2762:AL2762"/>
    <mergeCell ref="AN2762:AO2762"/>
    <mergeCell ref="AP2762:AQ2762"/>
    <mergeCell ref="AR2762:AS2763"/>
    <mergeCell ref="AT2762:AU2763"/>
    <mergeCell ref="AV2762:AW2763"/>
    <mergeCell ref="AX2762:AY2763"/>
    <mergeCell ref="AZ2762:AZ2763"/>
    <mergeCell ref="F2763:H2763"/>
    <mergeCell ref="X2763:AB2763"/>
    <mergeCell ref="AE2763:AI2763"/>
    <mergeCell ref="AJ2763:AL2763"/>
    <mergeCell ref="AN2763:AO2763"/>
    <mergeCell ref="AP2763:AQ2763"/>
    <mergeCell ref="A2764:A2765"/>
    <mergeCell ref="E2764:E2765"/>
    <mergeCell ref="F2764:H2764"/>
    <mergeCell ref="J2764:J2765"/>
    <mergeCell ref="K2764:L2765"/>
    <mergeCell ref="M2764:N2765"/>
    <mergeCell ref="O2764:P2765"/>
    <mergeCell ref="Q2764:R2765"/>
    <mergeCell ref="S2764:T2765"/>
    <mergeCell ref="U2764:V2765"/>
    <mergeCell ref="W2764:W2765"/>
    <mergeCell ref="X2764:AB2764"/>
    <mergeCell ref="AD2764:AI2764"/>
    <mergeCell ref="AJ2764:AL2764"/>
    <mergeCell ref="AN2764:AO2764"/>
    <mergeCell ref="AP2764:AQ2764"/>
    <mergeCell ref="AR2764:AS2765"/>
    <mergeCell ref="AT2764:AU2765"/>
    <mergeCell ref="AV2764:AW2765"/>
    <mergeCell ref="AX2764:AY2765"/>
    <mergeCell ref="AZ2764:AZ2765"/>
    <mergeCell ref="F2765:H2765"/>
    <mergeCell ref="X2765:AB2765"/>
    <mergeCell ref="AE2765:AI2765"/>
    <mergeCell ref="AJ2765:AL2765"/>
    <mergeCell ref="AN2765:AO2765"/>
    <mergeCell ref="AP2765:AQ2765"/>
    <mergeCell ref="A2766:A2767"/>
    <mergeCell ref="E2766:E2767"/>
    <mergeCell ref="F2766:H2766"/>
    <mergeCell ref="J2766:J2767"/>
    <mergeCell ref="K2766:L2767"/>
    <mergeCell ref="M2766:N2767"/>
    <mergeCell ref="O2766:P2767"/>
    <mergeCell ref="Q2766:R2767"/>
    <mergeCell ref="S2766:T2767"/>
    <mergeCell ref="U2766:V2767"/>
    <mergeCell ref="W2766:W2767"/>
    <mergeCell ref="X2766:AB2766"/>
    <mergeCell ref="AD2766:AI2766"/>
    <mergeCell ref="AJ2766:AL2766"/>
    <mergeCell ref="AN2766:AO2766"/>
    <mergeCell ref="AP2766:AQ2766"/>
    <mergeCell ref="AR2766:AS2767"/>
    <mergeCell ref="AT2766:AU2767"/>
    <mergeCell ref="AV2766:AW2767"/>
    <mergeCell ref="AX2766:AY2767"/>
    <mergeCell ref="AZ2766:AZ2767"/>
    <mergeCell ref="F2767:H2767"/>
    <mergeCell ref="X2767:AB2767"/>
    <mergeCell ref="AE2767:AI2767"/>
    <mergeCell ref="AJ2767:AL2767"/>
    <mergeCell ref="AN2767:AO2767"/>
    <mergeCell ref="AP2767:AQ2767"/>
    <mergeCell ref="A2768:A2769"/>
    <mergeCell ref="E2768:E2769"/>
    <mergeCell ref="F2768:H2768"/>
    <mergeCell ref="J2768:J2769"/>
    <mergeCell ref="K2768:L2769"/>
    <mergeCell ref="M2768:N2769"/>
    <mergeCell ref="O2768:P2769"/>
    <mergeCell ref="Q2768:R2769"/>
    <mergeCell ref="S2768:T2769"/>
    <mergeCell ref="U2768:V2769"/>
    <mergeCell ref="W2768:W2769"/>
    <mergeCell ref="X2768:AB2768"/>
    <mergeCell ref="AD2768:AI2768"/>
    <mergeCell ref="AJ2768:AL2768"/>
    <mergeCell ref="AN2768:AO2768"/>
    <mergeCell ref="AP2768:AQ2768"/>
    <mergeCell ref="AR2768:AS2769"/>
    <mergeCell ref="AT2768:AU2769"/>
    <mergeCell ref="AV2768:AW2769"/>
    <mergeCell ref="AX2768:AY2769"/>
    <mergeCell ref="AZ2768:AZ2769"/>
    <mergeCell ref="F2769:H2769"/>
    <mergeCell ref="X2769:AB2769"/>
    <mergeCell ref="AE2769:AI2769"/>
    <mergeCell ref="AJ2769:AL2769"/>
    <mergeCell ref="AN2769:AO2769"/>
    <mergeCell ref="AP2769:AQ2769"/>
    <mergeCell ref="A2770:A2771"/>
    <mergeCell ref="E2770:E2771"/>
    <mergeCell ref="F2770:H2770"/>
    <mergeCell ref="J2770:J2771"/>
    <mergeCell ref="K2770:L2771"/>
    <mergeCell ref="M2770:N2771"/>
    <mergeCell ref="O2770:P2771"/>
    <mergeCell ref="Q2770:R2771"/>
    <mergeCell ref="S2770:T2771"/>
    <mergeCell ref="U2770:V2771"/>
    <mergeCell ref="W2770:W2771"/>
    <mergeCell ref="X2770:AB2770"/>
    <mergeCell ref="AD2770:AI2770"/>
    <mergeCell ref="AJ2770:AL2770"/>
    <mergeCell ref="AN2770:AO2770"/>
    <mergeCell ref="AP2770:AQ2770"/>
    <mergeCell ref="AR2770:AS2771"/>
    <mergeCell ref="AT2770:AU2771"/>
    <mergeCell ref="AV2770:AW2771"/>
    <mergeCell ref="AX2770:AY2771"/>
    <mergeCell ref="AZ2770:AZ2771"/>
    <mergeCell ref="F2771:H2771"/>
    <mergeCell ref="X2771:AB2771"/>
    <mergeCell ref="AE2771:AI2771"/>
    <mergeCell ref="AJ2771:AL2771"/>
    <mergeCell ref="AN2771:AO2771"/>
    <mergeCell ref="AP2771:AQ2771"/>
    <mergeCell ref="A2772:A2773"/>
    <mergeCell ref="E2772:E2773"/>
    <mergeCell ref="F2772:H2772"/>
    <mergeCell ref="J2772:J2773"/>
    <mergeCell ref="K2772:L2773"/>
    <mergeCell ref="M2772:N2773"/>
    <mergeCell ref="O2772:P2773"/>
    <mergeCell ref="Q2772:R2773"/>
    <mergeCell ref="S2772:T2773"/>
    <mergeCell ref="U2772:V2773"/>
    <mergeCell ref="W2772:W2773"/>
    <mergeCell ref="X2772:AB2772"/>
    <mergeCell ref="AD2772:AI2772"/>
    <mergeCell ref="AJ2772:AL2772"/>
    <mergeCell ref="AN2772:AO2772"/>
    <mergeCell ref="AP2772:AQ2772"/>
    <mergeCell ref="AR2772:AS2773"/>
    <mergeCell ref="AT2772:AU2773"/>
    <mergeCell ref="AV2772:AW2773"/>
    <mergeCell ref="AX2772:AY2773"/>
    <mergeCell ref="AZ2772:AZ2773"/>
    <mergeCell ref="F2773:H2773"/>
    <mergeCell ref="X2773:AB2773"/>
    <mergeCell ref="AE2773:AI2773"/>
    <mergeCell ref="AJ2773:AL2773"/>
    <mergeCell ref="AN2773:AO2773"/>
    <mergeCell ref="AP2773:AQ2773"/>
    <mergeCell ref="A2774:A2775"/>
    <mergeCell ref="E2774:E2775"/>
    <mergeCell ref="F2774:H2774"/>
    <mergeCell ref="J2774:J2775"/>
    <mergeCell ref="K2774:L2775"/>
    <mergeCell ref="M2774:N2775"/>
    <mergeCell ref="O2774:P2775"/>
    <mergeCell ref="Q2774:R2775"/>
    <mergeCell ref="S2774:T2775"/>
    <mergeCell ref="U2774:V2775"/>
    <mergeCell ref="W2774:W2775"/>
    <mergeCell ref="X2774:AB2774"/>
    <mergeCell ref="AD2774:AI2774"/>
    <mergeCell ref="AJ2774:AL2774"/>
    <mergeCell ref="AN2774:AO2774"/>
    <mergeCell ref="AP2774:AQ2774"/>
    <mergeCell ref="AR2774:AS2775"/>
    <mergeCell ref="AT2774:AU2775"/>
    <mergeCell ref="AV2774:AW2775"/>
    <mergeCell ref="AX2774:AY2775"/>
    <mergeCell ref="AZ2774:AZ2775"/>
    <mergeCell ref="F2775:H2775"/>
    <mergeCell ref="X2775:AB2775"/>
    <mergeCell ref="AE2775:AI2775"/>
    <mergeCell ref="AJ2775:AL2775"/>
    <mergeCell ref="AN2775:AO2775"/>
    <mergeCell ref="AP2775:AQ2775"/>
    <mergeCell ref="A2776:A2777"/>
    <mergeCell ref="E2776:E2777"/>
    <mergeCell ref="F2776:H2776"/>
    <mergeCell ref="J2776:J2777"/>
    <mergeCell ref="K2776:L2777"/>
    <mergeCell ref="M2776:N2777"/>
    <mergeCell ref="O2776:P2777"/>
    <mergeCell ref="Q2776:R2777"/>
    <mergeCell ref="S2776:T2777"/>
    <mergeCell ref="U2776:V2777"/>
    <mergeCell ref="W2776:W2777"/>
    <mergeCell ref="X2776:AB2776"/>
    <mergeCell ref="AD2776:AI2776"/>
    <mergeCell ref="AJ2776:AL2776"/>
    <mergeCell ref="AN2776:AO2776"/>
    <mergeCell ref="AP2776:AQ2776"/>
    <mergeCell ref="AR2776:AS2777"/>
    <mergeCell ref="AT2776:AU2777"/>
    <mergeCell ref="AV2776:AW2777"/>
    <mergeCell ref="AX2776:AY2777"/>
    <mergeCell ref="AZ2776:AZ2777"/>
    <mergeCell ref="F2777:H2777"/>
    <mergeCell ref="X2777:AB2777"/>
    <mergeCell ref="AE2777:AI2777"/>
    <mergeCell ref="AJ2777:AL2777"/>
    <mergeCell ref="AN2777:AO2777"/>
    <mergeCell ref="AP2777:AQ2777"/>
    <mergeCell ref="A2778:A2779"/>
    <mergeCell ref="E2778:E2779"/>
    <mergeCell ref="F2778:H2778"/>
    <mergeCell ref="J2778:J2779"/>
    <mergeCell ref="K2778:L2779"/>
    <mergeCell ref="M2778:N2779"/>
    <mergeCell ref="O2778:P2779"/>
    <mergeCell ref="Q2778:R2779"/>
    <mergeCell ref="S2778:T2779"/>
    <mergeCell ref="U2778:V2779"/>
    <mergeCell ref="W2778:W2779"/>
    <mergeCell ref="X2778:AB2778"/>
    <mergeCell ref="AD2778:AI2778"/>
    <mergeCell ref="AJ2778:AL2778"/>
    <mergeCell ref="AN2778:AO2778"/>
    <mergeCell ref="AP2778:AQ2778"/>
    <mergeCell ref="AR2778:AS2779"/>
    <mergeCell ref="AT2778:AU2779"/>
    <mergeCell ref="AV2778:AW2779"/>
    <mergeCell ref="AX2778:AY2779"/>
    <mergeCell ref="AZ2778:AZ2779"/>
    <mergeCell ref="F2779:H2779"/>
    <mergeCell ref="X2779:AB2779"/>
    <mergeCell ref="AE2779:AI2779"/>
    <mergeCell ref="AJ2779:AL2779"/>
    <mergeCell ref="AN2779:AO2779"/>
    <mergeCell ref="AP2779:AQ2779"/>
    <mergeCell ref="A2780:A2781"/>
    <mergeCell ref="E2780:E2781"/>
    <mergeCell ref="F2780:H2780"/>
    <mergeCell ref="J2780:J2781"/>
    <mergeCell ref="K2780:L2781"/>
    <mergeCell ref="M2780:N2781"/>
    <mergeCell ref="O2780:P2781"/>
    <mergeCell ref="Q2780:R2781"/>
    <mergeCell ref="S2780:T2781"/>
    <mergeCell ref="U2780:V2781"/>
    <mergeCell ref="W2780:W2781"/>
    <mergeCell ref="X2780:AB2780"/>
    <mergeCell ref="AD2780:AI2780"/>
    <mergeCell ref="AJ2780:AL2780"/>
    <mergeCell ref="AN2780:AO2780"/>
    <mergeCell ref="AP2780:AQ2780"/>
    <mergeCell ref="AR2780:AS2781"/>
    <mergeCell ref="AT2780:AU2781"/>
    <mergeCell ref="AV2780:AW2781"/>
    <mergeCell ref="AX2780:AY2781"/>
    <mergeCell ref="AZ2780:AZ2781"/>
    <mergeCell ref="F2781:H2781"/>
    <mergeCell ref="X2781:AB2781"/>
    <mergeCell ref="AE2781:AI2781"/>
    <mergeCell ref="AJ2781:AL2781"/>
    <mergeCell ref="AN2781:AO2781"/>
    <mergeCell ref="AP2781:AQ2781"/>
    <mergeCell ref="A2782:A2783"/>
    <mergeCell ref="E2782:E2783"/>
    <mergeCell ref="F2782:H2782"/>
    <mergeCell ref="J2782:J2783"/>
    <mergeCell ref="K2782:L2783"/>
    <mergeCell ref="M2782:N2783"/>
    <mergeCell ref="O2782:P2783"/>
    <mergeCell ref="Q2782:R2783"/>
    <mergeCell ref="S2782:T2783"/>
    <mergeCell ref="U2782:V2783"/>
    <mergeCell ref="W2782:W2783"/>
    <mergeCell ref="X2782:AB2782"/>
    <mergeCell ref="AD2782:AI2782"/>
    <mergeCell ref="AJ2782:AL2782"/>
    <mergeCell ref="AN2782:AO2782"/>
    <mergeCell ref="AP2782:AQ2782"/>
    <mergeCell ref="AR2782:AS2783"/>
    <mergeCell ref="AT2782:AU2783"/>
    <mergeCell ref="AV2782:AW2783"/>
    <mergeCell ref="AX2782:AY2783"/>
    <mergeCell ref="AZ2782:AZ2783"/>
    <mergeCell ref="F2783:H2783"/>
    <mergeCell ref="X2783:AB2783"/>
    <mergeCell ref="AE2783:AI2783"/>
    <mergeCell ref="AJ2783:AL2783"/>
    <mergeCell ref="AN2783:AO2783"/>
    <mergeCell ref="AP2783:AQ2783"/>
    <mergeCell ref="A2784:A2785"/>
    <mergeCell ref="E2784:E2785"/>
    <mergeCell ref="F2784:H2784"/>
    <mergeCell ref="J2784:J2785"/>
    <mergeCell ref="K2784:L2785"/>
    <mergeCell ref="M2784:N2785"/>
    <mergeCell ref="O2784:P2785"/>
    <mergeCell ref="Q2784:R2785"/>
    <mergeCell ref="S2784:T2785"/>
    <mergeCell ref="U2784:V2785"/>
    <mergeCell ref="W2784:W2785"/>
    <mergeCell ref="X2784:AB2784"/>
    <mergeCell ref="AD2784:AI2784"/>
    <mergeCell ref="AJ2784:AL2784"/>
    <mergeCell ref="AN2784:AO2784"/>
    <mergeCell ref="AP2784:AQ2784"/>
    <mergeCell ref="AR2784:AS2785"/>
    <mergeCell ref="AT2784:AU2785"/>
    <mergeCell ref="AV2784:AW2785"/>
    <mergeCell ref="AX2784:AY2785"/>
    <mergeCell ref="AZ2784:AZ2785"/>
    <mergeCell ref="F2785:H2785"/>
    <mergeCell ref="X2785:AB2785"/>
    <mergeCell ref="AE2785:AI2785"/>
    <mergeCell ref="AJ2785:AL2785"/>
    <mergeCell ref="AN2785:AO2785"/>
    <mergeCell ref="AP2785:AQ2785"/>
    <mergeCell ref="A2786:A2787"/>
    <mergeCell ref="E2786:E2787"/>
    <mergeCell ref="F2786:H2786"/>
    <mergeCell ref="J2786:J2787"/>
    <mergeCell ref="K2786:L2787"/>
    <mergeCell ref="M2786:N2787"/>
    <mergeCell ref="O2786:P2787"/>
    <mergeCell ref="Q2786:R2787"/>
    <mergeCell ref="S2786:T2787"/>
    <mergeCell ref="U2786:V2787"/>
    <mergeCell ref="W2786:W2787"/>
    <mergeCell ref="X2786:AB2786"/>
    <mergeCell ref="AD2786:AI2786"/>
    <mergeCell ref="AJ2786:AL2786"/>
    <mergeCell ref="AN2786:AO2786"/>
    <mergeCell ref="AP2786:AQ2786"/>
    <mergeCell ref="AR2786:AS2787"/>
    <mergeCell ref="AT2786:AU2787"/>
    <mergeCell ref="AV2786:AW2787"/>
    <mergeCell ref="AX2786:AY2787"/>
    <mergeCell ref="AZ2786:AZ2787"/>
    <mergeCell ref="F2787:H2787"/>
    <mergeCell ref="X2787:AB2787"/>
    <mergeCell ref="AE2787:AI2787"/>
    <mergeCell ref="AJ2787:AL2787"/>
    <mergeCell ref="AN2787:AO2787"/>
    <mergeCell ref="AP2787:AQ2787"/>
    <mergeCell ref="A2788:A2789"/>
    <mergeCell ref="E2788:E2789"/>
    <mergeCell ref="F2788:H2788"/>
    <mergeCell ref="J2788:J2789"/>
    <mergeCell ref="K2788:L2789"/>
    <mergeCell ref="M2788:N2789"/>
    <mergeCell ref="O2788:P2789"/>
    <mergeCell ref="Q2788:R2789"/>
    <mergeCell ref="S2788:T2789"/>
    <mergeCell ref="U2788:V2789"/>
    <mergeCell ref="W2788:W2789"/>
    <mergeCell ref="X2788:AB2788"/>
    <mergeCell ref="AD2788:AI2788"/>
    <mergeCell ref="AJ2788:AL2788"/>
    <mergeCell ref="AN2788:AO2788"/>
    <mergeCell ref="AP2788:AQ2788"/>
    <mergeCell ref="AR2788:AS2789"/>
    <mergeCell ref="AT2788:AU2789"/>
    <mergeCell ref="AV2788:AW2789"/>
    <mergeCell ref="AX2788:AY2789"/>
    <mergeCell ref="AZ2788:AZ2789"/>
    <mergeCell ref="F2789:H2789"/>
    <mergeCell ref="X2789:AB2789"/>
    <mergeCell ref="AE2789:AI2789"/>
    <mergeCell ref="AJ2789:AL2789"/>
    <mergeCell ref="AN2789:AO2789"/>
    <mergeCell ref="AP2789:AQ2789"/>
    <mergeCell ref="A2790:A2791"/>
    <mergeCell ref="E2790:E2791"/>
    <mergeCell ref="F2790:H2790"/>
    <mergeCell ref="J2790:J2791"/>
    <mergeCell ref="K2790:L2791"/>
    <mergeCell ref="M2790:N2791"/>
    <mergeCell ref="O2790:P2791"/>
    <mergeCell ref="Q2790:R2791"/>
    <mergeCell ref="S2790:T2791"/>
    <mergeCell ref="U2790:V2791"/>
    <mergeCell ref="W2790:W2791"/>
    <mergeCell ref="X2790:AB2790"/>
    <mergeCell ref="AD2790:AI2790"/>
    <mergeCell ref="AJ2790:AL2790"/>
    <mergeCell ref="AN2790:AO2790"/>
    <mergeCell ref="AP2790:AQ2790"/>
    <mergeCell ref="AR2790:AS2791"/>
    <mergeCell ref="AT2790:AU2791"/>
    <mergeCell ref="AV2790:AW2791"/>
    <mergeCell ref="AX2790:AY2791"/>
    <mergeCell ref="AZ2790:AZ2791"/>
    <mergeCell ref="F2791:H2791"/>
    <mergeCell ref="X2791:AB2791"/>
    <mergeCell ref="AE2791:AI2791"/>
    <mergeCell ref="AJ2791:AL2791"/>
    <mergeCell ref="AN2791:AO2791"/>
    <mergeCell ref="AP2791:AQ2791"/>
    <mergeCell ref="E2792:E2793"/>
    <mergeCell ref="F2792:H2792"/>
    <mergeCell ref="J2792:J2793"/>
    <mergeCell ref="K2792:L2793"/>
    <mergeCell ref="M2792:N2793"/>
    <mergeCell ref="O2792:P2793"/>
    <mergeCell ref="Q2792:R2793"/>
    <mergeCell ref="U2792:V2793"/>
    <mergeCell ref="W2792:W2793"/>
    <mergeCell ref="X2792:AB2792"/>
    <mergeCell ref="AD2792:AI2792"/>
    <mergeCell ref="AJ2792:AL2792"/>
    <mergeCell ref="AN2792:AO2792"/>
    <mergeCell ref="AP2792:AQ2792"/>
    <mergeCell ref="AR2792:AS2793"/>
    <mergeCell ref="AT2792:AU2793"/>
    <mergeCell ref="AV2792:AW2793"/>
    <mergeCell ref="AX2792:AY2793"/>
    <mergeCell ref="AZ2792:AZ2793"/>
    <mergeCell ref="F2793:H2793"/>
    <mergeCell ref="X2793:AB2793"/>
    <mergeCell ref="AE2793:AI2793"/>
    <mergeCell ref="AJ2793:AL2793"/>
    <mergeCell ref="AN2793:AO2793"/>
    <mergeCell ref="AP2793:AQ2793"/>
    <mergeCell ref="A2794:A2795"/>
    <mergeCell ref="E2794:E2795"/>
    <mergeCell ref="F2794:H2794"/>
    <mergeCell ref="J2794:J2795"/>
    <mergeCell ref="K2794:L2795"/>
    <mergeCell ref="M2794:N2795"/>
    <mergeCell ref="O2794:P2795"/>
    <mergeCell ref="Q2794:R2795"/>
    <mergeCell ref="S2794:T2795"/>
    <mergeCell ref="U2794:V2795"/>
    <mergeCell ref="W2794:W2795"/>
    <mergeCell ref="X2794:AB2794"/>
    <mergeCell ref="AD2794:AI2794"/>
    <mergeCell ref="AJ2794:AL2794"/>
    <mergeCell ref="AN2794:AO2794"/>
    <mergeCell ref="AP2794:AQ2794"/>
    <mergeCell ref="AR2794:AS2795"/>
    <mergeCell ref="AT2794:AU2795"/>
    <mergeCell ref="AV2794:AW2795"/>
    <mergeCell ref="AX2794:AY2795"/>
    <mergeCell ref="AZ2794:AZ2795"/>
    <mergeCell ref="F2795:H2795"/>
    <mergeCell ref="X2795:AB2795"/>
    <mergeCell ref="AE2795:AI2795"/>
    <mergeCell ref="AJ2795:AL2795"/>
    <mergeCell ref="AN2795:AO2795"/>
    <mergeCell ref="AP2795:AQ2795"/>
    <mergeCell ref="A2796:A2797"/>
    <mergeCell ref="E2796:E2797"/>
    <mergeCell ref="F2796:H2796"/>
    <mergeCell ref="J2796:J2797"/>
    <mergeCell ref="K2796:L2797"/>
    <mergeCell ref="M2796:N2797"/>
    <mergeCell ref="O2796:P2797"/>
    <mergeCell ref="Q2796:R2797"/>
    <mergeCell ref="S2796:T2797"/>
    <mergeCell ref="U2796:V2797"/>
    <mergeCell ref="W2796:W2797"/>
    <mergeCell ref="X2796:AB2796"/>
    <mergeCell ref="AD2796:AI2796"/>
    <mergeCell ref="AJ2796:AL2796"/>
    <mergeCell ref="AN2796:AO2796"/>
    <mergeCell ref="AP2796:AQ2796"/>
    <mergeCell ref="AR2796:AS2797"/>
    <mergeCell ref="AT2796:AU2797"/>
    <mergeCell ref="AV2796:AW2797"/>
    <mergeCell ref="AX2796:AY2797"/>
    <mergeCell ref="AZ2796:AZ2797"/>
    <mergeCell ref="F2797:H2797"/>
    <mergeCell ref="X2797:AB2797"/>
    <mergeCell ref="AE2797:AI2797"/>
    <mergeCell ref="AJ2797:AL2797"/>
    <mergeCell ref="AN2797:AO2797"/>
    <mergeCell ref="AP2797:AQ2797"/>
    <mergeCell ref="A2798:A2799"/>
    <mergeCell ref="E2798:E2799"/>
    <mergeCell ref="F2798:H2798"/>
    <mergeCell ref="J2798:J2799"/>
    <mergeCell ref="K2798:L2799"/>
    <mergeCell ref="M2798:N2799"/>
    <mergeCell ref="O2798:P2799"/>
    <mergeCell ref="Q2798:R2799"/>
    <mergeCell ref="S2798:T2799"/>
    <mergeCell ref="U2798:V2799"/>
    <mergeCell ref="W2798:W2799"/>
    <mergeCell ref="X2798:AB2798"/>
    <mergeCell ref="AD2798:AI2798"/>
    <mergeCell ref="AJ2798:AL2798"/>
    <mergeCell ref="AN2798:AO2798"/>
    <mergeCell ref="AP2798:AQ2798"/>
    <mergeCell ref="AR2798:AS2799"/>
    <mergeCell ref="AT2798:AU2799"/>
    <mergeCell ref="AV2798:AW2799"/>
    <mergeCell ref="AX2798:AY2799"/>
    <mergeCell ref="AZ2798:AZ2799"/>
    <mergeCell ref="F2799:H2799"/>
    <mergeCell ref="X2799:AB2799"/>
    <mergeCell ref="AE2799:AI2799"/>
    <mergeCell ref="AJ2799:AL2799"/>
    <mergeCell ref="AN2799:AO2799"/>
    <mergeCell ref="AP2799:AQ2799"/>
    <mergeCell ref="A2800:A2801"/>
    <mergeCell ref="E2800:E2801"/>
    <mergeCell ref="F2800:H2800"/>
    <mergeCell ref="J2800:J2801"/>
    <mergeCell ref="K2800:L2801"/>
    <mergeCell ref="M2800:N2801"/>
    <mergeCell ref="O2800:P2801"/>
    <mergeCell ref="Q2800:R2801"/>
    <mergeCell ref="S2800:T2801"/>
    <mergeCell ref="U2800:V2801"/>
    <mergeCell ref="W2800:W2801"/>
    <mergeCell ref="X2800:AB2800"/>
    <mergeCell ref="AD2800:AI2800"/>
    <mergeCell ref="AJ2800:AL2800"/>
    <mergeCell ref="AN2800:AO2800"/>
    <mergeCell ref="AP2800:AQ2800"/>
    <mergeCell ref="AR2800:AS2801"/>
    <mergeCell ref="AT2800:AU2801"/>
    <mergeCell ref="AV2800:AW2801"/>
    <mergeCell ref="AX2800:AY2801"/>
    <mergeCell ref="AZ2800:AZ2801"/>
    <mergeCell ref="F2801:H2801"/>
    <mergeCell ref="X2801:AB2801"/>
    <mergeCell ref="AE2801:AI2801"/>
    <mergeCell ref="AJ2801:AL2801"/>
    <mergeCell ref="AN2801:AO2801"/>
    <mergeCell ref="AP2801:AQ2801"/>
    <mergeCell ref="A2802:A2803"/>
    <mergeCell ref="E2802:E2803"/>
    <mergeCell ref="F2802:H2802"/>
    <mergeCell ref="J2802:J2803"/>
    <mergeCell ref="K2802:L2803"/>
    <mergeCell ref="M2802:N2803"/>
    <mergeCell ref="O2802:P2803"/>
    <mergeCell ref="Q2802:R2803"/>
    <mergeCell ref="S2802:T2803"/>
    <mergeCell ref="U2802:V2803"/>
    <mergeCell ref="W2802:W2803"/>
    <mergeCell ref="X2802:AB2802"/>
    <mergeCell ref="AD2802:AI2802"/>
    <mergeCell ref="AJ2802:AL2802"/>
    <mergeCell ref="AN2802:AO2802"/>
    <mergeCell ref="AP2802:AQ2802"/>
    <mergeCell ref="AR2802:AS2803"/>
    <mergeCell ref="AT2802:AU2803"/>
    <mergeCell ref="AV2802:AW2803"/>
    <mergeCell ref="AX2802:AY2803"/>
    <mergeCell ref="AZ2802:AZ2803"/>
    <mergeCell ref="F2803:H2803"/>
    <mergeCell ref="X2803:AB2803"/>
    <mergeCell ref="AE2803:AI2803"/>
    <mergeCell ref="AJ2803:AL2803"/>
    <mergeCell ref="AN2803:AO2803"/>
    <mergeCell ref="AP2803:AQ2803"/>
    <mergeCell ref="A2804:A2805"/>
    <mergeCell ref="E2804:E2805"/>
    <mergeCell ref="F2804:H2804"/>
    <mergeCell ref="J2804:J2805"/>
    <mergeCell ref="K2804:L2805"/>
    <mergeCell ref="M2804:N2805"/>
    <mergeCell ref="O2804:P2805"/>
    <mergeCell ref="Q2804:R2805"/>
    <mergeCell ref="S2804:T2805"/>
    <mergeCell ref="U2804:V2805"/>
    <mergeCell ref="W2804:W2805"/>
    <mergeCell ref="X2804:AB2804"/>
    <mergeCell ref="AD2804:AI2804"/>
    <mergeCell ref="AJ2804:AL2804"/>
    <mergeCell ref="AN2804:AO2804"/>
    <mergeCell ref="AP2804:AQ2804"/>
    <mergeCell ref="AR2804:AS2805"/>
    <mergeCell ref="AT2804:AU2805"/>
    <mergeCell ref="AV2804:AW2805"/>
    <mergeCell ref="AX2804:AY2805"/>
    <mergeCell ref="AZ2804:AZ2805"/>
    <mergeCell ref="F2805:H2805"/>
    <mergeCell ref="X2805:AB2805"/>
    <mergeCell ref="AE2805:AI2805"/>
    <mergeCell ref="AJ2805:AL2805"/>
    <mergeCell ref="AN2805:AO2805"/>
    <mergeCell ref="AP2805:AQ2805"/>
    <mergeCell ref="A2806:A2807"/>
    <mergeCell ref="E2806:E2807"/>
    <mergeCell ref="F2806:H2806"/>
    <mergeCell ref="J2806:J2807"/>
    <mergeCell ref="K2806:L2807"/>
    <mergeCell ref="M2806:N2807"/>
    <mergeCell ref="O2806:P2807"/>
    <mergeCell ref="Q2806:R2807"/>
    <mergeCell ref="S2806:T2807"/>
    <mergeCell ref="U2806:V2807"/>
    <mergeCell ref="W2806:W2807"/>
    <mergeCell ref="X2806:AB2806"/>
    <mergeCell ref="AD2806:AI2806"/>
    <mergeCell ref="AJ2806:AL2806"/>
    <mergeCell ref="AN2806:AO2806"/>
    <mergeCell ref="AP2806:AQ2806"/>
    <mergeCell ref="AR2806:AS2807"/>
    <mergeCell ref="AT2806:AU2807"/>
    <mergeCell ref="AV2806:AW2807"/>
    <mergeCell ref="AX2806:AY2807"/>
    <mergeCell ref="AZ2806:AZ2807"/>
    <mergeCell ref="F2807:H2807"/>
    <mergeCell ref="X2807:AB2807"/>
    <mergeCell ref="AE2807:AI2807"/>
    <mergeCell ref="AJ2807:AL2807"/>
    <mergeCell ref="AN2807:AO2807"/>
    <mergeCell ref="AP2807:AQ2807"/>
    <mergeCell ref="A2808:A2809"/>
    <mergeCell ref="E2808:E2809"/>
    <mergeCell ref="F2808:H2808"/>
    <mergeCell ref="J2808:J2809"/>
    <mergeCell ref="K2808:L2809"/>
    <mergeCell ref="M2808:N2809"/>
    <mergeCell ref="O2808:P2809"/>
    <mergeCell ref="Q2808:R2809"/>
    <mergeCell ref="S2808:T2809"/>
    <mergeCell ref="U2808:V2809"/>
    <mergeCell ref="W2808:W2809"/>
    <mergeCell ref="X2808:AB2808"/>
    <mergeCell ref="AD2808:AI2808"/>
    <mergeCell ref="AJ2808:AL2808"/>
    <mergeCell ref="AN2808:AO2808"/>
    <mergeCell ref="AP2808:AQ2808"/>
    <mergeCell ref="AR2808:AS2809"/>
    <mergeCell ref="AT2808:AU2809"/>
    <mergeCell ref="AV2808:AW2809"/>
    <mergeCell ref="AX2808:AY2809"/>
    <mergeCell ref="AZ2808:AZ2809"/>
    <mergeCell ref="F2809:H2809"/>
    <mergeCell ref="X2809:AB2809"/>
    <mergeCell ref="AE2809:AI2809"/>
    <mergeCell ref="AJ2809:AL2809"/>
    <mergeCell ref="AN2809:AO2809"/>
    <mergeCell ref="AP2809:AQ2809"/>
    <mergeCell ref="A2810:A2811"/>
    <mergeCell ref="E2810:E2811"/>
    <mergeCell ref="F2810:H2810"/>
    <mergeCell ref="J2810:J2811"/>
    <mergeCell ref="K2810:L2811"/>
    <mergeCell ref="M2810:N2811"/>
    <mergeCell ref="O2810:P2811"/>
    <mergeCell ref="Q2810:R2811"/>
    <mergeCell ref="S2810:T2811"/>
    <mergeCell ref="U2810:V2811"/>
    <mergeCell ref="W2810:W2811"/>
    <mergeCell ref="X2810:AB2810"/>
    <mergeCell ref="AD2810:AI2810"/>
    <mergeCell ref="AJ2810:AL2810"/>
    <mergeCell ref="AN2810:AO2810"/>
    <mergeCell ref="AP2810:AQ2810"/>
    <mergeCell ref="AR2810:AS2811"/>
    <mergeCell ref="AT2810:AU2811"/>
    <mergeCell ref="AV2810:AW2811"/>
    <mergeCell ref="AX2810:AY2811"/>
    <mergeCell ref="AZ2810:AZ2811"/>
    <mergeCell ref="F2811:H2811"/>
    <mergeCell ref="X2811:AB2811"/>
    <mergeCell ref="AE2811:AI2811"/>
    <mergeCell ref="AJ2811:AL2811"/>
    <mergeCell ref="AN2811:AO2811"/>
    <mergeCell ref="AP2811:AQ2811"/>
    <mergeCell ref="A2812:A2813"/>
    <mergeCell ref="E2812:E2813"/>
    <mergeCell ref="F2812:H2812"/>
    <mergeCell ref="J2812:J2813"/>
    <mergeCell ref="K2812:L2813"/>
    <mergeCell ref="M2812:N2813"/>
    <mergeCell ref="O2812:P2813"/>
    <mergeCell ref="Q2812:R2813"/>
    <mergeCell ref="S2812:T2813"/>
    <mergeCell ref="U2812:V2813"/>
    <mergeCell ref="W2812:W2813"/>
    <mergeCell ref="X2812:AB2812"/>
    <mergeCell ref="AD2812:AI2812"/>
    <mergeCell ref="AJ2812:AL2812"/>
    <mergeCell ref="AN2812:AO2812"/>
    <mergeCell ref="AP2812:AQ2812"/>
    <mergeCell ref="AR2812:AS2813"/>
    <mergeCell ref="AT2812:AU2813"/>
    <mergeCell ref="AV2812:AW2813"/>
    <mergeCell ref="AX2812:AY2813"/>
    <mergeCell ref="AZ2812:AZ2813"/>
    <mergeCell ref="F2813:H2813"/>
    <mergeCell ref="X2813:AB2813"/>
    <mergeCell ref="AE2813:AI2813"/>
    <mergeCell ref="AJ2813:AL2813"/>
    <mergeCell ref="AN2813:AO2813"/>
    <mergeCell ref="AP2813:AQ2813"/>
    <mergeCell ref="A2814:A2815"/>
    <mergeCell ref="E2814:E2815"/>
    <mergeCell ref="F2814:H2814"/>
    <mergeCell ref="J2814:J2815"/>
    <mergeCell ref="K2814:L2815"/>
    <mergeCell ref="M2814:N2815"/>
    <mergeCell ref="O2814:P2815"/>
    <mergeCell ref="Q2814:R2815"/>
    <mergeCell ref="S2814:T2815"/>
    <mergeCell ref="U2814:V2815"/>
    <mergeCell ref="W2814:W2815"/>
    <mergeCell ref="X2814:AB2814"/>
    <mergeCell ref="AD2814:AI2814"/>
    <mergeCell ref="AJ2814:AL2814"/>
    <mergeCell ref="AN2814:AO2814"/>
    <mergeCell ref="AP2814:AQ2814"/>
    <mergeCell ref="AR2814:AS2815"/>
    <mergeCell ref="AT2814:AU2815"/>
    <mergeCell ref="AV2814:AW2815"/>
    <mergeCell ref="AX2814:AY2815"/>
    <mergeCell ref="AZ2814:AZ2815"/>
    <mergeCell ref="F2815:H2815"/>
    <mergeCell ref="X2815:AB2815"/>
    <mergeCell ref="AE2815:AI2815"/>
    <mergeCell ref="AJ2815:AL2815"/>
    <mergeCell ref="AN2815:AO2815"/>
    <mergeCell ref="AP2815:AQ2815"/>
    <mergeCell ref="A2816:A2817"/>
    <mergeCell ref="E2816:E2817"/>
    <mergeCell ref="F2816:H2816"/>
    <mergeCell ref="J2816:J2817"/>
    <mergeCell ref="K2816:L2817"/>
    <mergeCell ref="M2816:N2817"/>
    <mergeCell ref="O2816:P2817"/>
    <mergeCell ref="Q2816:R2817"/>
    <mergeCell ref="S2816:T2817"/>
    <mergeCell ref="U2816:V2817"/>
    <mergeCell ref="W2816:W2817"/>
    <mergeCell ref="X2816:AB2816"/>
    <mergeCell ref="AD2816:AI2816"/>
    <mergeCell ref="AJ2816:AL2816"/>
    <mergeCell ref="AN2816:AO2816"/>
    <mergeCell ref="AP2816:AQ2816"/>
    <mergeCell ref="AR2816:AS2817"/>
    <mergeCell ref="AT2816:AU2817"/>
    <mergeCell ref="AV2816:AW2817"/>
    <mergeCell ref="AX2816:AY2817"/>
    <mergeCell ref="AZ2816:AZ2817"/>
    <mergeCell ref="F2817:H2817"/>
    <mergeCell ref="X2817:AB2817"/>
    <mergeCell ref="AE2817:AI2817"/>
    <mergeCell ref="AJ2817:AL2817"/>
    <mergeCell ref="AN2817:AO2817"/>
    <mergeCell ref="AP2817:AQ2817"/>
    <mergeCell ref="A2818:A2819"/>
    <mergeCell ref="E2818:E2819"/>
    <mergeCell ref="F2818:H2818"/>
    <mergeCell ref="J2818:J2819"/>
    <mergeCell ref="K2818:L2819"/>
    <mergeCell ref="M2818:N2819"/>
    <mergeCell ref="O2818:P2819"/>
    <mergeCell ref="Q2818:R2819"/>
    <mergeCell ref="S2818:T2819"/>
    <mergeCell ref="U2818:V2819"/>
    <mergeCell ref="W2818:W2819"/>
    <mergeCell ref="X2818:AB2818"/>
    <mergeCell ref="AD2818:AI2818"/>
    <mergeCell ref="AJ2818:AL2818"/>
    <mergeCell ref="AN2818:AO2818"/>
    <mergeCell ref="AP2818:AQ2818"/>
    <mergeCell ref="AR2818:AS2819"/>
    <mergeCell ref="AT2818:AU2819"/>
    <mergeCell ref="AV2818:AW2819"/>
    <mergeCell ref="AX2818:AY2819"/>
    <mergeCell ref="AZ2818:AZ2819"/>
    <mergeCell ref="F2819:H2819"/>
    <mergeCell ref="X2819:AB2819"/>
    <mergeCell ref="AE2819:AI2819"/>
    <mergeCell ref="AJ2819:AL2819"/>
    <mergeCell ref="AN2819:AO2819"/>
    <mergeCell ref="AP2819:AQ2819"/>
    <mergeCell ref="AZ2840:AZ2841"/>
    <mergeCell ref="F2841:H2841"/>
    <mergeCell ref="X2841:AB2841"/>
    <mergeCell ref="AE2841:AI2841"/>
    <mergeCell ref="AJ2841:AL2841"/>
    <mergeCell ref="AN2841:AO2841"/>
    <mergeCell ref="AP2841:AQ2841"/>
    <mergeCell ref="A2820:A2821"/>
    <mergeCell ref="E2820:E2821"/>
    <mergeCell ref="F2820:H2820"/>
    <mergeCell ref="J2820:J2821"/>
    <mergeCell ref="K2820:L2821"/>
    <mergeCell ref="M2820:N2821"/>
    <mergeCell ref="O2820:P2821"/>
    <mergeCell ref="Q2820:R2821"/>
    <mergeCell ref="S2820:T2821"/>
    <mergeCell ref="U2820:V2821"/>
    <mergeCell ref="W2820:W2821"/>
    <mergeCell ref="X2820:AB2820"/>
    <mergeCell ref="AD2820:AI2820"/>
    <mergeCell ref="AJ2820:AL2820"/>
    <mergeCell ref="AN2820:AO2820"/>
    <mergeCell ref="AP2820:AQ2820"/>
    <mergeCell ref="AR2820:AS2821"/>
    <mergeCell ref="AT2820:AU2821"/>
    <mergeCell ref="AV2820:AW2821"/>
    <mergeCell ref="AX2820:AY2821"/>
    <mergeCell ref="AZ2820:AZ2821"/>
    <mergeCell ref="F2821:H2821"/>
    <mergeCell ref="X2821:AB2821"/>
    <mergeCell ref="AE2821:AI2821"/>
    <mergeCell ref="AJ2821:AL2821"/>
    <mergeCell ref="AN2821:AO2821"/>
    <mergeCell ref="AP2821:AQ2821"/>
    <mergeCell ref="A2822:A2823"/>
    <mergeCell ref="E2822:E2823"/>
    <mergeCell ref="F2822:H2822"/>
    <mergeCell ref="AV2822:AW2823"/>
    <mergeCell ref="AX2822:AY2823"/>
    <mergeCell ref="AZ2822:AZ2823"/>
    <mergeCell ref="F2823:H2823"/>
    <mergeCell ref="X2823:AB2823"/>
    <mergeCell ref="AE2823:AI2823"/>
    <mergeCell ref="AJ2823:AL2823"/>
    <mergeCell ref="AN2823:AO2823"/>
    <mergeCell ref="AP2823:AQ2823"/>
    <mergeCell ref="A2844:A2845"/>
    <mergeCell ref="E2844:E2845"/>
    <mergeCell ref="F2844:H2844"/>
    <mergeCell ref="J2844:J2845"/>
    <mergeCell ref="K2844:L2845"/>
    <mergeCell ref="M2844:N2845"/>
    <mergeCell ref="O2844:P2845"/>
    <mergeCell ref="Q2844:R2845"/>
    <mergeCell ref="S2844:T2845"/>
    <mergeCell ref="U2844:V2845"/>
    <mergeCell ref="W2844:W2845"/>
    <mergeCell ref="X2844:AB2844"/>
    <mergeCell ref="AD2844:AI2844"/>
    <mergeCell ref="AJ2844:AL2844"/>
    <mergeCell ref="AN2844:AO2844"/>
    <mergeCell ref="AP2844:AQ2844"/>
    <mergeCell ref="AR2844:AS2845"/>
    <mergeCell ref="AT2844:AU2845"/>
    <mergeCell ref="AV2844:AW2845"/>
    <mergeCell ref="AX2844:AY2845"/>
    <mergeCell ref="AZ2844:AZ2845"/>
    <mergeCell ref="F2845:H2845"/>
    <mergeCell ref="X2845:AB2845"/>
    <mergeCell ref="AE2845:AI2845"/>
    <mergeCell ref="AJ2845:AL2845"/>
    <mergeCell ref="AN2845:AO2845"/>
    <mergeCell ref="AP2845:AQ2845"/>
    <mergeCell ref="A2838:A2839"/>
    <mergeCell ref="E2838:E2839"/>
    <mergeCell ref="F2838:H2838"/>
    <mergeCell ref="J2838:J2839"/>
    <mergeCell ref="K2838:L2839"/>
    <mergeCell ref="M2838:N2839"/>
    <mergeCell ref="O2838:P2839"/>
    <mergeCell ref="Q2838:R2839"/>
    <mergeCell ref="S2838:T2839"/>
    <mergeCell ref="U2838:V2839"/>
    <mergeCell ref="W2838:W2839"/>
    <mergeCell ref="X2838:AB2838"/>
    <mergeCell ref="AD2838:AI2838"/>
    <mergeCell ref="AJ2838:AL2838"/>
    <mergeCell ref="AN2838:AO2838"/>
    <mergeCell ref="AP2838:AQ2838"/>
    <mergeCell ref="AR2838:AS2839"/>
    <mergeCell ref="AT2838:AU2839"/>
    <mergeCell ref="AV2838:AW2839"/>
    <mergeCell ref="AX2838:AY2839"/>
    <mergeCell ref="AZ2838:AZ2839"/>
    <mergeCell ref="F2839:H2839"/>
    <mergeCell ref="X2839:AB2839"/>
    <mergeCell ref="AE2839:AI2839"/>
    <mergeCell ref="AJ2839:AL2839"/>
    <mergeCell ref="AN2839:AO2839"/>
    <mergeCell ref="AP2839:AQ2839"/>
    <mergeCell ref="A2840:A2841"/>
    <mergeCell ref="E2840:E2841"/>
    <mergeCell ref="F2840:H2840"/>
    <mergeCell ref="J2840:J2841"/>
    <mergeCell ref="K2840:L2841"/>
    <mergeCell ref="M2840:N2841"/>
    <mergeCell ref="O2840:P2841"/>
    <mergeCell ref="Q2840:R2841"/>
    <mergeCell ref="S2840:T2841"/>
    <mergeCell ref="U2840:V2841"/>
    <mergeCell ref="A2718:A2719"/>
    <mergeCell ref="E2718:E2719"/>
    <mergeCell ref="F2718:H2718"/>
    <mergeCell ref="J2718:J2719"/>
    <mergeCell ref="K2718:L2719"/>
    <mergeCell ref="M2718:N2719"/>
    <mergeCell ref="O2718:P2719"/>
    <mergeCell ref="Q2718:R2719"/>
    <mergeCell ref="S2718:T2719"/>
    <mergeCell ref="U2718:V2719"/>
    <mergeCell ref="W2718:W2719"/>
    <mergeCell ref="X2718:AB2718"/>
    <mergeCell ref="AD2718:AI2718"/>
    <mergeCell ref="AJ2718:AL2718"/>
    <mergeCell ref="AN2718:AO2718"/>
    <mergeCell ref="AP2718:AQ2718"/>
    <mergeCell ref="AR2718:AS2719"/>
    <mergeCell ref="AT2718:AU2719"/>
    <mergeCell ref="AV2718:AW2719"/>
    <mergeCell ref="AX2718:AY2719"/>
    <mergeCell ref="AJ2824:AL2824"/>
    <mergeCell ref="AN2824:AO2824"/>
    <mergeCell ref="AP2824:AQ2824"/>
    <mergeCell ref="AR2824:AS2825"/>
    <mergeCell ref="AT2824:AU2825"/>
    <mergeCell ref="AV2824:AW2825"/>
    <mergeCell ref="AX2824:AY2825"/>
    <mergeCell ref="A2836:A2837"/>
    <mergeCell ref="E2836:E2837"/>
    <mergeCell ref="F2836:H2836"/>
    <mergeCell ref="J2836:J2837"/>
    <mergeCell ref="K2836:L2837"/>
    <mergeCell ref="M2836:N2837"/>
    <mergeCell ref="O2836:P2837"/>
    <mergeCell ref="Q2836:R2837"/>
    <mergeCell ref="S2836:T2837"/>
    <mergeCell ref="U2836:V2837"/>
    <mergeCell ref="W2836:W2837"/>
    <mergeCell ref="X2836:AB2836"/>
    <mergeCell ref="AD2836:AI2836"/>
    <mergeCell ref="AJ2836:AL2836"/>
    <mergeCell ref="AN2836:AO2836"/>
    <mergeCell ref="AP2836:AQ2836"/>
    <mergeCell ref="AR2836:AS2837"/>
    <mergeCell ref="AT2836:AU2837"/>
    <mergeCell ref="AV2836:AW2837"/>
    <mergeCell ref="AX2836:AY2837"/>
    <mergeCell ref="AN2822:AO2822"/>
    <mergeCell ref="AP2822:AQ2822"/>
    <mergeCell ref="AR2822:AS2823"/>
    <mergeCell ref="AT2822:AU2823"/>
    <mergeCell ref="A2828:A2829"/>
    <mergeCell ref="E2828:E2829"/>
    <mergeCell ref="F2828:H2828"/>
    <mergeCell ref="J2828:J2829"/>
    <mergeCell ref="AZ2718:AZ2719"/>
    <mergeCell ref="F2719:H2719"/>
    <mergeCell ref="X2719:AB2719"/>
    <mergeCell ref="AE2719:AI2719"/>
    <mergeCell ref="AJ2719:AL2719"/>
    <mergeCell ref="AN2719:AO2719"/>
    <mergeCell ref="AP2719:AQ2719"/>
    <mergeCell ref="A2792:A2793"/>
    <mergeCell ref="S2792:T2793"/>
    <mergeCell ref="J2822:J2823"/>
    <mergeCell ref="K2822:L2823"/>
    <mergeCell ref="M2822:N2823"/>
    <mergeCell ref="O2822:P2823"/>
    <mergeCell ref="Q2822:R2823"/>
    <mergeCell ref="S2822:T2823"/>
    <mergeCell ref="U2822:V2823"/>
    <mergeCell ref="W2822:W2823"/>
    <mergeCell ref="X2822:AB2822"/>
    <mergeCell ref="AD2822:AI2822"/>
    <mergeCell ref="AJ2822:AL2822"/>
    <mergeCell ref="A2842:A2843"/>
    <mergeCell ref="E2842:E2843"/>
    <mergeCell ref="F2842:H2842"/>
    <mergeCell ref="J2842:J2843"/>
    <mergeCell ref="K2842:L2843"/>
    <mergeCell ref="M2842:N2843"/>
    <mergeCell ref="O2842:P2843"/>
    <mergeCell ref="Q2842:R2843"/>
    <mergeCell ref="S2842:T2843"/>
    <mergeCell ref="U2842:V2843"/>
    <mergeCell ref="W2842:W2843"/>
    <mergeCell ref="X2842:AB2842"/>
    <mergeCell ref="AD2842:AI2842"/>
    <mergeCell ref="AJ2842:AL2842"/>
    <mergeCell ref="AN2842:AO2842"/>
    <mergeCell ref="AP2842:AQ2842"/>
    <mergeCell ref="AR2842:AS2843"/>
    <mergeCell ref="AT2842:AU2843"/>
    <mergeCell ref="AV2842:AW2843"/>
    <mergeCell ref="AX2842:AY2843"/>
    <mergeCell ref="AZ2842:AZ2843"/>
    <mergeCell ref="F2843:H2843"/>
    <mergeCell ref="X2843:AB2843"/>
    <mergeCell ref="AE2843:AI2843"/>
    <mergeCell ref="AJ2843:AL2843"/>
    <mergeCell ref="AN2843:AO2843"/>
    <mergeCell ref="AP2843:AQ2843"/>
    <mergeCell ref="W2840:W2841"/>
    <mergeCell ref="X2840:AB2840"/>
    <mergeCell ref="AD2840:AI2840"/>
    <mergeCell ref="AJ2840:AL2840"/>
    <mergeCell ref="AN2840:AO2840"/>
    <mergeCell ref="AP2840:AQ2840"/>
    <mergeCell ref="AR2840:AS2841"/>
    <mergeCell ref="AT2840:AU2841"/>
    <mergeCell ref="AV2840:AW2841"/>
    <mergeCell ref="AX2840:AY2841"/>
    <mergeCell ref="O2824:P2825"/>
    <mergeCell ref="Q2824:R2825"/>
    <mergeCell ref="S2824:T2825"/>
    <mergeCell ref="U2824:V2825"/>
    <mergeCell ref="W2824:W2825"/>
    <mergeCell ref="X2824:AB2824"/>
    <mergeCell ref="AD2824:AI2824"/>
    <mergeCell ref="A2846:A2847"/>
    <mergeCell ref="E2846:E2847"/>
    <mergeCell ref="F2846:H2846"/>
    <mergeCell ref="J2846:J2847"/>
    <mergeCell ref="K2846:L2847"/>
    <mergeCell ref="M2846:N2847"/>
    <mergeCell ref="O2846:P2847"/>
    <mergeCell ref="Q2846:R2847"/>
    <mergeCell ref="S2846:T2847"/>
    <mergeCell ref="U2846:V2847"/>
    <mergeCell ref="W2846:W2847"/>
    <mergeCell ref="X2846:AB2846"/>
    <mergeCell ref="AD2846:AI2846"/>
    <mergeCell ref="AJ2846:AL2846"/>
    <mergeCell ref="AN2846:AO2846"/>
    <mergeCell ref="AP2846:AQ2846"/>
    <mergeCell ref="AR2846:AS2847"/>
    <mergeCell ref="AT2846:AU2847"/>
    <mergeCell ref="AV2846:AW2847"/>
    <mergeCell ref="AX2846:AY2847"/>
    <mergeCell ref="AZ2846:AZ2847"/>
    <mergeCell ref="F2847:H2847"/>
    <mergeCell ref="X2847:AB2847"/>
    <mergeCell ref="AE2847:AI2847"/>
    <mergeCell ref="AJ2847:AL2847"/>
    <mergeCell ref="AN2847:AO2847"/>
    <mergeCell ref="AP2847:AQ2847"/>
    <mergeCell ref="A2848:A2849"/>
    <mergeCell ref="E2848:E2849"/>
    <mergeCell ref="F2848:H2848"/>
    <mergeCell ref="J2848:J2849"/>
    <mergeCell ref="K2848:L2849"/>
    <mergeCell ref="M2848:N2849"/>
    <mergeCell ref="O2848:P2849"/>
    <mergeCell ref="Q2848:R2849"/>
    <mergeCell ref="S2848:T2849"/>
    <mergeCell ref="U2848:V2849"/>
    <mergeCell ref="W2848:W2849"/>
    <mergeCell ref="X2848:AB2848"/>
    <mergeCell ref="AD2848:AI2848"/>
    <mergeCell ref="AJ2848:AL2848"/>
    <mergeCell ref="AN2848:AO2848"/>
    <mergeCell ref="AP2848:AQ2848"/>
    <mergeCell ref="AR2848:AS2849"/>
    <mergeCell ref="AT2848:AU2849"/>
    <mergeCell ref="AV2848:AW2849"/>
    <mergeCell ref="AX2848:AY2849"/>
    <mergeCell ref="AZ2848:AZ2849"/>
    <mergeCell ref="F2849:H2849"/>
    <mergeCell ref="X2849:AB2849"/>
    <mergeCell ref="AE2849:AI2849"/>
    <mergeCell ref="AJ2849:AL2849"/>
    <mergeCell ref="AN2849:AO2849"/>
    <mergeCell ref="AP2849:AQ2849"/>
    <mergeCell ref="A2850:A2851"/>
    <mergeCell ref="E2850:E2851"/>
    <mergeCell ref="F2850:H2850"/>
    <mergeCell ref="J2850:J2851"/>
    <mergeCell ref="K2850:L2851"/>
    <mergeCell ref="M2850:N2851"/>
    <mergeCell ref="O2850:P2851"/>
    <mergeCell ref="Q2850:R2851"/>
    <mergeCell ref="S2850:T2851"/>
    <mergeCell ref="U2850:V2851"/>
    <mergeCell ref="W2850:W2851"/>
    <mergeCell ref="X2850:AB2850"/>
    <mergeCell ref="AD2850:AI2850"/>
    <mergeCell ref="AJ2850:AL2850"/>
    <mergeCell ref="AN2850:AO2850"/>
    <mergeCell ref="AP2850:AQ2850"/>
    <mergeCell ref="AR2850:AS2851"/>
    <mergeCell ref="AT2850:AU2851"/>
    <mergeCell ref="AV2850:AW2851"/>
    <mergeCell ref="AX2850:AY2851"/>
    <mergeCell ref="AZ2850:AZ2851"/>
    <mergeCell ref="F2851:H2851"/>
    <mergeCell ref="X2851:AB2851"/>
    <mergeCell ref="AE2851:AI2851"/>
    <mergeCell ref="AJ2851:AL2851"/>
    <mergeCell ref="AN2851:AO2851"/>
    <mergeCell ref="AP2851:AQ2851"/>
    <mergeCell ref="A2852:A2853"/>
    <mergeCell ref="E2852:E2853"/>
    <mergeCell ref="F2852:H2852"/>
    <mergeCell ref="J2852:J2853"/>
    <mergeCell ref="K2852:L2853"/>
    <mergeCell ref="M2852:N2853"/>
    <mergeCell ref="O2852:P2853"/>
    <mergeCell ref="Q2852:R2853"/>
    <mergeCell ref="S2852:T2853"/>
    <mergeCell ref="U2852:V2853"/>
    <mergeCell ref="W2852:W2853"/>
    <mergeCell ref="X2852:AB2852"/>
    <mergeCell ref="AD2852:AI2852"/>
    <mergeCell ref="AJ2852:AL2852"/>
    <mergeCell ref="AN2852:AO2852"/>
    <mergeCell ref="AP2852:AQ2852"/>
    <mergeCell ref="AR2852:AS2853"/>
    <mergeCell ref="AT2852:AU2853"/>
    <mergeCell ref="AV2852:AW2853"/>
    <mergeCell ref="AX2852:AY2853"/>
    <mergeCell ref="AZ2852:AZ2853"/>
    <mergeCell ref="F2853:H2853"/>
    <mergeCell ref="X2853:AB2853"/>
    <mergeCell ref="AE2853:AI2853"/>
    <mergeCell ref="AJ2853:AL2853"/>
    <mergeCell ref="AN2853:AO2853"/>
    <mergeCell ref="AP2853:AQ2853"/>
    <mergeCell ref="A2854:A2855"/>
    <mergeCell ref="E2854:E2855"/>
    <mergeCell ref="F2854:H2854"/>
    <mergeCell ref="J2854:J2855"/>
    <mergeCell ref="K2854:L2855"/>
    <mergeCell ref="M2854:N2855"/>
    <mergeCell ref="O2854:P2855"/>
    <mergeCell ref="Q2854:R2855"/>
    <mergeCell ref="S2854:T2855"/>
    <mergeCell ref="U2854:V2855"/>
    <mergeCell ref="W2854:W2855"/>
    <mergeCell ref="X2854:AB2854"/>
    <mergeCell ref="AD2854:AI2854"/>
    <mergeCell ref="AJ2854:AL2854"/>
    <mergeCell ref="AN2854:AO2854"/>
    <mergeCell ref="AP2854:AQ2854"/>
    <mergeCell ref="AR2854:AS2855"/>
    <mergeCell ref="AT2854:AU2855"/>
    <mergeCell ref="AV2854:AW2855"/>
    <mergeCell ref="AX2854:AY2855"/>
    <mergeCell ref="AZ2854:AZ2855"/>
    <mergeCell ref="F2855:H2855"/>
    <mergeCell ref="X2855:AB2855"/>
    <mergeCell ref="AE2855:AI2855"/>
    <mergeCell ref="AJ2855:AL2855"/>
    <mergeCell ref="AN2855:AO2855"/>
    <mergeCell ref="AP2855:AQ2855"/>
    <mergeCell ref="A2856:A2857"/>
    <mergeCell ref="E2856:E2857"/>
    <mergeCell ref="F2856:H2856"/>
    <mergeCell ref="J2856:J2857"/>
    <mergeCell ref="K2856:L2857"/>
    <mergeCell ref="M2856:N2857"/>
    <mergeCell ref="O2856:P2857"/>
    <mergeCell ref="Q2856:R2857"/>
    <mergeCell ref="S2856:T2857"/>
    <mergeCell ref="U2856:V2857"/>
    <mergeCell ref="W2856:W2857"/>
    <mergeCell ref="X2856:AB2856"/>
    <mergeCell ref="AD2856:AI2856"/>
    <mergeCell ref="AJ2856:AL2856"/>
    <mergeCell ref="AN2856:AO2856"/>
    <mergeCell ref="AP2856:AQ2856"/>
    <mergeCell ref="AR2856:AS2857"/>
    <mergeCell ref="AT2856:AU2857"/>
    <mergeCell ref="AV2856:AW2857"/>
    <mergeCell ref="AX2856:AY2857"/>
    <mergeCell ref="AZ2856:AZ2857"/>
    <mergeCell ref="F2857:H2857"/>
    <mergeCell ref="X2857:AB2857"/>
    <mergeCell ref="AE2857:AI2857"/>
    <mergeCell ref="AJ2857:AL2857"/>
    <mergeCell ref="AN2857:AO2857"/>
    <mergeCell ref="AP2857:AQ2857"/>
    <mergeCell ref="A2858:A2859"/>
    <mergeCell ref="E2858:E2859"/>
    <mergeCell ref="F2858:H2858"/>
    <mergeCell ref="J2858:J2859"/>
    <mergeCell ref="K2858:L2859"/>
    <mergeCell ref="M2858:N2859"/>
    <mergeCell ref="O2858:P2859"/>
    <mergeCell ref="Q2858:R2859"/>
    <mergeCell ref="S2858:T2859"/>
    <mergeCell ref="U2858:V2859"/>
    <mergeCell ref="W2858:W2859"/>
    <mergeCell ref="X2858:AB2858"/>
    <mergeCell ref="AD2858:AI2858"/>
    <mergeCell ref="AJ2858:AL2858"/>
    <mergeCell ref="AN2858:AO2858"/>
    <mergeCell ref="AP2858:AQ2858"/>
    <mergeCell ref="AR2858:AS2859"/>
    <mergeCell ref="AT2858:AU2859"/>
    <mergeCell ref="AV2858:AW2859"/>
    <mergeCell ref="AX2858:AY2859"/>
    <mergeCell ref="AZ2858:AZ2859"/>
    <mergeCell ref="F2859:H2859"/>
    <mergeCell ref="X2859:AB2859"/>
    <mergeCell ref="AE2859:AI2859"/>
    <mergeCell ref="AJ2859:AL2859"/>
    <mergeCell ref="AN2859:AO2859"/>
    <mergeCell ref="AP2859:AQ2859"/>
    <mergeCell ref="A2860:A2861"/>
    <mergeCell ref="E2860:E2861"/>
    <mergeCell ref="F2860:H2860"/>
    <mergeCell ref="J2860:J2861"/>
    <mergeCell ref="K2860:L2861"/>
    <mergeCell ref="M2860:N2861"/>
    <mergeCell ref="O2860:P2861"/>
    <mergeCell ref="Q2860:R2861"/>
    <mergeCell ref="S2860:T2861"/>
    <mergeCell ref="U2860:V2861"/>
    <mergeCell ref="W2860:W2861"/>
    <mergeCell ref="X2860:AB2860"/>
    <mergeCell ref="AD2860:AI2860"/>
    <mergeCell ref="AJ2860:AL2860"/>
    <mergeCell ref="AN2860:AO2860"/>
    <mergeCell ref="AP2860:AQ2860"/>
    <mergeCell ref="AR2860:AS2861"/>
    <mergeCell ref="AT2860:AU2861"/>
    <mergeCell ref="AV2860:AW2861"/>
    <mergeCell ref="AX2860:AY2861"/>
    <mergeCell ref="AZ2860:AZ2861"/>
    <mergeCell ref="F2861:H2861"/>
    <mergeCell ref="X2861:AB2861"/>
    <mergeCell ref="AE2861:AI2861"/>
    <mergeCell ref="AJ2861:AL2861"/>
    <mergeCell ref="AN2861:AO2861"/>
    <mergeCell ref="AP2861:AQ2861"/>
    <mergeCell ref="A2862:A2863"/>
    <mergeCell ref="E2862:E2863"/>
    <mergeCell ref="F2862:H2862"/>
    <mergeCell ref="J2862:J2863"/>
    <mergeCell ref="K2862:L2863"/>
    <mergeCell ref="M2862:N2863"/>
    <mergeCell ref="O2862:P2863"/>
    <mergeCell ref="Q2862:R2863"/>
    <mergeCell ref="S2862:T2863"/>
    <mergeCell ref="U2862:V2863"/>
    <mergeCell ref="W2862:W2863"/>
    <mergeCell ref="X2862:AB2862"/>
    <mergeCell ref="AD2862:AI2862"/>
    <mergeCell ref="AJ2862:AL2862"/>
    <mergeCell ref="AN2862:AO2862"/>
    <mergeCell ref="AP2862:AQ2862"/>
    <mergeCell ref="AR2862:AS2863"/>
    <mergeCell ref="AT2862:AU2863"/>
    <mergeCell ref="AV2862:AW2863"/>
    <mergeCell ref="AX2862:AY2863"/>
    <mergeCell ref="AZ2862:AZ2863"/>
    <mergeCell ref="F2863:H2863"/>
    <mergeCell ref="X2863:AB2863"/>
    <mergeCell ref="AE2863:AI2863"/>
    <mergeCell ref="AJ2863:AL2863"/>
    <mergeCell ref="AN2863:AO2863"/>
    <mergeCell ref="AP2863:AQ2863"/>
    <mergeCell ref="A2864:A2865"/>
    <mergeCell ref="E2864:E2865"/>
    <mergeCell ref="F2864:H2864"/>
    <mergeCell ref="J2864:J2865"/>
    <mergeCell ref="K2864:L2865"/>
    <mergeCell ref="M2864:N2865"/>
    <mergeCell ref="O2864:P2865"/>
    <mergeCell ref="Q2864:R2865"/>
    <mergeCell ref="S2864:T2865"/>
    <mergeCell ref="U2864:V2865"/>
    <mergeCell ref="W2864:W2865"/>
    <mergeCell ref="X2864:AB2864"/>
    <mergeCell ref="AD2864:AI2864"/>
    <mergeCell ref="AJ2864:AL2864"/>
    <mergeCell ref="AN2864:AO2864"/>
    <mergeCell ref="AP2864:AQ2864"/>
    <mergeCell ref="AR2864:AS2865"/>
    <mergeCell ref="AT2864:AU2865"/>
    <mergeCell ref="AV2864:AW2865"/>
    <mergeCell ref="AX2864:AY2865"/>
    <mergeCell ref="AZ2864:AZ2865"/>
    <mergeCell ref="F2865:H2865"/>
    <mergeCell ref="X2865:AB2865"/>
    <mergeCell ref="AE2865:AI2865"/>
    <mergeCell ref="AJ2865:AL2865"/>
    <mergeCell ref="AN2865:AO2865"/>
    <mergeCell ref="AP2865:AQ2865"/>
    <mergeCell ref="A2866:A2867"/>
    <mergeCell ref="E2866:E2867"/>
    <mergeCell ref="F2866:H2866"/>
    <mergeCell ref="J2866:J2867"/>
    <mergeCell ref="K2866:L2867"/>
    <mergeCell ref="M2866:N2867"/>
    <mergeCell ref="O2866:P2867"/>
    <mergeCell ref="Q2866:R2867"/>
    <mergeCell ref="S2866:T2867"/>
    <mergeCell ref="U2866:V2867"/>
    <mergeCell ref="W2866:W2867"/>
    <mergeCell ref="X2866:AB2866"/>
    <mergeCell ref="AD2866:AI2866"/>
    <mergeCell ref="AJ2866:AL2866"/>
    <mergeCell ref="AN2866:AO2866"/>
    <mergeCell ref="AP2866:AQ2866"/>
    <mergeCell ref="AR2866:AS2867"/>
    <mergeCell ref="AT2866:AU2867"/>
    <mergeCell ref="AV2866:AW2867"/>
    <mergeCell ref="AX2866:AY2867"/>
    <mergeCell ref="AZ2866:AZ2867"/>
    <mergeCell ref="F2867:H2867"/>
    <mergeCell ref="X2867:AB2867"/>
    <mergeCell ref="AE2867:AI2867"/>
    <mergeCell ref="AJ2867:AL2867"/>
    <mergeCell ref="AN2867:AO2867"/>
    <mergeCell ref="AP2867:AQ2867"/>
    <mergeCell ref="A2868:A2869"/>
    <mergeCell ref="E2868:E2869"/>
    <mergeCell ref="F2868:H2868"/>
    <mergeCell ref="J2868:J2869"/>
    <mergeCell ref="K2868:L2869"/>
    <mergeCell ref="M2868:N2869"/>
    <mergeCell ref="O2868:P2869"/>
    <mergeCell ref="Q2868:R2869"/>
    <mergeCell ref="S2868:T2869"/>
    <mergeCell ref="U2868:V2869"/>
    <mergeCell ref="W2868:W2869"/>
    <mergeCell ref="X2868:AB2868"/>
    <mergeCell ref="AD2868:AI2868"/>
    <mergeCell ref="AJ2868:AL2868"/>
    <mergeCell ref="AN2868:AO2868"/>
    <mergeCell ref="AP2868:AQ2868"/>
    <mergeCell ref="AR2868:AS2869"/>
    <mergeCell ref="AT2868:AU2869"/>
    <mergeCell ref="AV2868:AW2869"/>
    <mergeCell ref="AX2868:AY2869"/>
    <mergeCell ref="AZ2868:AZ2869"/>
    <mergeCell ref="F2869:H2869"/>
    <mergeCell ref="X2869:AB2869"/>
    <mergeCell ref="AE2869:AI2869"/>
    <mergeCell ref="AJ2869:AL2869"/>
    <mergeCell ref="AN2869:AO2869"/>
    <mergeCell ref="AP2869:AQ2869"/>
    <mergeCell ref="A2870:A2871"/>
    <mergeCell ref="E2870:E2871"/>
    <mergeCell ref="F2870:H2870"/>
    <mergeCell ref="J2870:J2871"/>
    <mergeCell ref="K2870:L2871"/>
    <mergeCell ref="M2870:N2871"/>
    <mergeCell ref="O2870:P2871"/>
    <mergeCell ref="Q2870:R2871"/>
    <mergeCell ref="S2870:T2871"/>
    <mergeCell ref="U2870:V2871"/>
    <mergeCell ref="W2870:W2871"/>
    <mergeCell ref="X2870:AB2870"/>
    <mergeCell ref="AD2870:AI2870"/>
    <mergeCell ref="AJ2870:AL2870"/>
    <mergeCell ref="AN2870:AO2870"/>
    <mergeCell ref="AP2870:AQ2870"/>
    <mergeCell ref="AR2870:AS2871"/>
    <mergeCell ref="AT2870:AU2871"/>
    <mergeCell ref="AV2870:AW2871"/>
    <mergeCell ref="AX2870:AY2871"/>
    <mergeCell ref="AZ2870:AZ2871"/>
    <mergeCell ref="F2871:H2871"/>
    <mergeCell ref="X2871:AB2871"/>
    <mergeCell ref="AE2871:AI2871"/>
    <mergeCell ref="AJ2871:AL2871"/>
    <mergeCell ref="AN2871:AO2871"/>
    <mergeCell ref="AP2871:AQ2871"/>
    <mergeCell ref="A2874:A2875"/>
    <mergeCell ref="E2874:E2875"/>
    <mergeCell ref="F2874:H2874"/>
    <mergeCell ref="J2874:J2875"/>
    <mergeCell ref="K2874:L2875"/>
    <mergeCell ref="M2874:N2875"/>
    <mergeCell ref="O2874:P2875"/>
    <mergeCell ref="Q2874:R2875"/>
    <mergeCell ref="S2874:T2875"/>
    <mergeCell ref="U2874:V2875"/>
    <mergeCell ref="W2874:W2875"/>
    <mergeCell ref="X2874:AB2874"/>
    <mergeCell ref="AD2874:AI2874"/>
    <mergeCell ref="AJ2874:AL2874"/>
    <mergeCell ref="AN2874:AO2874"/>
    <mergeCell ref="AP2874:AQ2874"/>
    <mergeCell ref="AR2874:AS2875"/>
    <mergeCell ref="AT2874:AU2875"/>
    <mergeCell ref="AV2874:AW2875"/>
    <mergeCell ref="AX2874:AY2875"/>
    <mergeCell ref="AZ2874:AZ2875"/>
    <mergeCell ref="F2875:H2875"/>
    <mergeCell ref="X2875:AB2875"/>
    <mergeCell ref="AE2875:AI2875"/>
    <mergeCell ref="AJ2875:AL2875"/>
    <mergeCell ref="AN2875:AO2875"/>
    <mergeCell ref="AP2875:AQ2875"/>
    <mergeCell ref="A2872:A2873"/>
    <mergeCell ref="E2872:E2873"/>
    <mergeCell ref="F2872:H2872"/>
    <mergeCell ref="J2872:J2873"/>
    <mergeCell ref="K2872:L2873"/>
    <mergeCell ref="M2872:N2873"/>
    <mergeCell ref="O2872:P2873"/>
    <mergeCell ref="Q2872:R2873"/>
    <mergeCell ref="S2872:T2873"/>
    <mergeCell ref="U2872:V2873"/>
    <mergeCell ref="A2876:A2877"/>
    <mergeCell ref="E2876:E2877"/>
    <mergeCell ref="F2876:H2876"/>
    <mergeCell ref="J2876:J2877"/>
    <mergeCell ref="K2876:L2877"/>
    <mergeCell ref="M2876:N2877"/>
    <mergeCell ref="O2876:P2877"/>
    <mergeCell ref="Q2876:R2877"/>
    <mergeCell ref="S2876:T2877"/>
    <mergeCell ref="U2876:V2877"/>
    <mergeCell ref="W2876:W2877"/>
    <mergeCell ref="X2876:AB2876"/>
    <mergeCell ref="AD2876:AI2876"/>
    <mergeCell ref="AJ2876:AL2876"/>
    <mergeCell ref="AN2876:AO2876"/>
    <mergeCell ref="AP2876:AQ2876"/>
    <mergeCell ref="AR2876:AS2877"/>
    <mergeCell ref="AT2876:AU2877"/>
    <mergeCell ref="AV2876:AW2877"/>
    <mergeCell ref="AX2876:AY2877"/>
    <mergeCell ref="AZ2876:AZ2877"/>
    <mergeCell ref="F2877:H2877"/>
    <mergeCell ref="X2877:AB2877"/>
    <mergeCell ref="AE2877:AI2877"/>
    <mergeCell ref="AJ2877:AL2877"/>
    <mergeCell ref="AN2877:AO2877"/>
    <mergeCell ref="AP2877:AQ2877"/>
    <mergeCell ref="A2878:A2879"/>
    <mergeCell ref="E2878:E2879"/>
    <mergeCell ref="F2878:H2878"/>
    <mergeCell ref="J2878:J2879"/>
    <mergeCell ref="K2878:L2879"/>
    <mergeCell ref="M2878:N2879"/>
    <mergeCell ref="O2878:P2879"/>
    <mergeCell ref="Q2878:R2879"/>
    <mergeCell ref="S2878:T2879"/>
    <mergeCell ref="U2878:V2879"/>
    <mergeCell ref="W2878:W2879"/>
    <mergeCell ref="X2878:AB2878"/>
    <mergeCell ref="AD2878:AI2878"/>
    <mergeCell ref="AJ2878:AL2878"/>
    <mergeCell ref="AN2878:AO2878"/>
    <mergeCell ref="AP2878:AQ2878"/>
    <mergeCell ref="AR2878:AS2879"/>
    <mergeCell ref="AT2878:AU2879"/>
    <mergeCell ref="AV2878:AW2879"/>
    <mergeCell ref="AX2878:AY2879"/>
    <mergeCell ref="AZ2878:AZ2879"/>
    <mergeCell ref="F2879:H2879"/>
    <mergeCell ref="X2879:AB2879"/>
    <mergeCell ref="AE2879:AI2879"/>
    <mergeCell ref="AJ2879:AL2879"/>
    <mergeCell ref="AN2879:AO2879"/>
    <mergeCell ref="AP2879:AQ2879"/>
    <mergeCell ref="A2880:A2881"/>
    <mergeCell ref="E2880:E2881"/>
    <mergeCell ref="F2880:H2880"/>
    <mergeCell ref="J2880:J2881"/>
    <mergeCell ref="K2880:L2881"/>
    <mergeCell ref="M2880:N2881"/>
    <mergeCell ref="O2880:P2881"/>
    <mergeCell ref="Q2880:R2881"/>
    <mergeCell ref="S2880:T2881"/>
    <mergeCell ref="U2880:V2881"/>
    <mergeCell ref="W2880:W2881"/>
    <mergeCell ref="X2880:AB2880"/>
    <mergeCell ref="AD2880:AI2880"/>
    <mergeCell ref="AJ2880:AL2880"/>
    <mergeCell ref="AN2880:AO2880"/>
    <mergeCell ref="AP2880:AQ2880"/>
    <mergeCell ref="AR2880:AS2881"/>
    <mergeCell ref="AT2880:AU2881"/>
    <mergeCell ref="AV2880:AW2881"/>
    <mergeCell ref="AX2880:AY2881"/>
    <mergeCell ref="AZ2880:AZ2881"/>
    <mergeCell ref="F2881:H2881"/>
    <mergeCell ref="X2881:AB2881"/>
    <mergeCell ref="AE2881:AI2881"/>
    <mergeCell ref="AJ2881:AL2881"/>
    <mergeCell ref="AN2881:AO2881"/>
    <mergeCell ref="AP2881:AQ2881"/>
    <mergeCell ref="A2882:A2883"/>
    <mergeCell ref="E2882:E2883"/>
    <mergeCell ref="F2882:H2882"/>
    <mergeCell ref="J2882:J2883"/>
    <mergeCell ref="K2882:L2883"/>
    <mergeCell ref="M2882:N2883"/>
    <mergeCell ref="O2882:P2883"/>
    <mergeCell ref="Q2882:R2883"/>
    <mergeCell ref="S2882:T2883"/>
    <mergeCell ref="U2882:V2883"/>
    <mergeCell ref="W2882:W2883"/>
    <mergeCell ref="X2882:AB2882"/>
    <mergeCell ref="AD2882:AI2882"/>
    <mergeCell ref="AJ2882:AL2882"/>
    <mergeCell ref="AN2882:AO2882"/>
    <mergeCell ref="AP2882:AQ2882"/>
    <mergeCell ref="AR2882:AS2883"/>
    <mergeCell ref="AT2882:AU2883"/>
    <mergeCell ref="AV2882:AW2883"/>
    <mergeCell ref="AX2882:AY2883"/>
    <mergeCell ref="AZ2882:AZ2883"/>
    <mergeCell ref="F2883:H2883"/>
    <mergeCell ref="X2883:AB2883"/>
    <mergeCell ref="AE2883:AI2883"/>
    <mergeCell ref="AJ2883:AL2883"/>
    <mergeCell ref="AN2883:AO2883"/>
    <mergeCell ref="AP2883:AQ2883"/>
    <mergeCell ref="A2884:A2885"/>
    <mergeCell ref="E2884:E2885"/>
    <mergeCell ref="F2884:H2884"/>
    <mergeCell ref="J2884:J2885"/>
    <mergeCell ref="K2884:L2885"/>
    <mergeCell ref="M2884:N2885"/>
    <mergeCell ref="O2884:P2885"/>
    <mergeCell ref="Q2884:R2885"/>
    <mergeCell ref="S2884:T2885"/>
    <mergeCell ref="U2884:V2885"/>
    <mergeCell ref="W2884:W2885"/>
    <mergeCell ref="X2884:AB2884"/>
    <mergeCell ref="AD2884:AI2884"/>
    <mergeCell ref="AJ2884:AL2884"/>
    <mergeCell ref="AN2884:AO2884"/>
    <mergeCell ref="AP2884:AQ2884"/>
    <mergeCell ref="AR2884:AS2885"/>
    <mergeCell ref="AT2884:AU2885"/>
    <mergeCell ref="AV2884:AW2885"/>
    <mergeCell ref="AX2884:AY2885"/>
    <mergeCell ref="AZ2884:AZ2885"/>
    <mergeCell ref="F2885:H2885"/>
    <mergeCell ref="X2885:AB2885"/>
    <mergeCell ref="AE2885:AI2885"/>
    <mergeCell ref="AJ2885:AL2885"/>
    <mergeCell ref="AN2885:AO2885"/>
    <mergeCell ref="AP2885:AQ2885"/>
    <mergeCell ref="A2886:A2887"/>
    <mergeCell ref="E2886:E2887"/>
    <mergeCell ref="F2886:H2886"/>
    <mergeCell ref="J2886:J2887"/>
    <mergeCell ref="K2886:L2887"/>
    <mergeCell ref="M2886:N2887"/>
    <mergeCell ref="O2886:P2887"/>
    <mergeCell ref="Q2886:R2887"/>
    <mergeCell ref="S2886:T2887"/>
    <mergeCell ref="U2886:V2887"/>
    <mergeCell ref="W2886:W2887"/>
    <mergeCell ref="X2886:AB2886"/>
    <mergeCell ref="AD2886:AI2886"/>
    <mergeCell ref="AJ2886:AL2886"/>
    <mergeCell ref="AN2886:AO2886"/>
    <mergeCell ref="AP2886:AQ2886"/>
    <mergeCell ref="AR2886:AS2887"/>
    <mergeCell ref="AT2886:AU2887"/>
    <mergeCell ref="AV2886:AW2887"/>
    <mergeCell ref="AX2886:AY2887"/>
    <mergeCell ref="AZ2886:AZ2887"/>
    <mergeCell ref="F2887:H2887"/>
    <mergeCell ref="X2887:AB2887"/>
    <mergeCell ref="AE2887:AI2887"/>
    <mergeCell ref="AJ2887:AL2887"/>
    <mergeCell ref="AN2887:AO2887"/>
    <mergeCell ref="AP2887:AQ2887"/>
    <mergeCell ref="A2888:A2889"/>
    <mergeCell ref="E2888:E2889"/>
    <mergeCell ref="F2888:H2888"/>
    <mergeCell ref="J2888:J2889"/>
    <mergeCell ref="K2888:L2889"/>
    <mergeCell ref="M2888:N2889"/>
    <mergeCell ref="O2888:P2889"/>
    <mergeCell ref="Q2888:R2889"/>
    <mergeCell ref="S2888:T2889"/>
    <mergeCell ref="U2888:V2889"/>
    <mergeCell ref="W2888:W2889"/>
    <mergeCell ref="X2888:AB2888"/>
    <mergeCell ref="AD2888:AI2888"/>
    <mergeCell ref="AJ2888:AL2888"/>
    <mergeCell ref="AN2888:AO2888"/>
    <mergeCell ref="AP2888:AQ2888"/>
    <mergeCell ref="AR2888:AS2889"/>
    <mergeCell ref="AT2888:AU2889"/>
    <mergeCell ref="AV2888:AW2889"/>
    <mergeCell ref="AX2888:AY2889"/>
    <mergeCell ref="AZ2888:AZ2889"/>
    <mergeCell ref="F2889:H2889"/>
    <mergeCell ref="X2889:AB2889"/>
    <mergeCell ref="AE2889:AI2889"/>
    <mergeCell ref="AJ2889:AL2889"/>
    <mergeCell ref="AN2889:AO2889"/>
    <mergeCell ref="AP2889:AQ2889"/>
    <mergeCell ref="A2890:A2891"/>
    <mergeCell ref="E2890:E2891"/>
    <mergeCell ref="F2890:H2890"/>
    <mergeCell ref="J2890:J2891"/>
    <mergeCell ref="K2890:L2891"/>
    <mergeCell ref="M2890:N2891"/>
    <mergeCell ref="O2890:P2891"/>
    <mergeCell ref="Q2890:R2891"/>
    <mergeCell ref="S2890:T2891"/>
    <mergeCell ref="U2890:V2891"/>
    <mergeCell ref="W2890:W2891"/>
    <mergeCell ref="X2890:AB2890"/>
    <mergeCell ref="AD2890:AI2890"/>
    <mergeCell ref="AJ2890:AL2890"/>
    <mergeCell ref="AN2890:AO2890"/>
    <mergeCell ref="AP2890:AQ2890"/>
    <mergeCell ref="AR2890:AS2891"/>
    <mergeCell ref="AT2890:AU2891"/>
    <mergeCell ref="AV2890:AW2891"/>
    <mergeCell ref="AX2890:AY2891"/>
    <mergeCell ref="AZ2890:AZ2891"/>
    <mergeCell ref="F2891:H2891"/>
    <mergeCell ref="X2891:AB2891"/>
    <mergeCell ref="AE2891:AI2891"/>
    <mergeCell ref="AJ2891:AL2891"/>
    <mergeCell ref="AN2891:AO2891"/>
    <mergeCell ref="AP2891:AQ2891"/>
    <mergeCell ref="A2892:A2893"/>
    <mergeCell ref="E2892:E2893"/>
    <mergeCell ref="F2892:H2892"/>
    <mergeCell ref="J2892:J2893"/>
    <mergeCell ref="K2892:L2893"/>
    <mergeCell ref="M2892:N2893"/>
    <mergeCell ref="O2892:P2893"/>
    <mergeCell ref="Q2892:R2893"/>
    <mergeCell ref="S2892:T2893"/>
    <mergeCell ref="U2892:V2893"/>
    <mergeCell ref="W2892:W2893"/>
    <mergeCell ref="X2892:AB2892"/>
    <mergeCell ref="AD2892:AI2892"/>
    <mergeCell ref="AJ2892:AL2892"/>
    <mergeCell ref="AN2892:AO2892"/>
    <mergeCell ref="AP2892:AQ2892"/>
    <mergeCell ref="AR2892:AS2893"/>
    <mergeCell ref="AT2892:AU2893"/>
    <mergeCell ref="AV2892:AW2893"/>
    <mergeCell ref="AX2892:AY2893"/>
    <mergeCell ref="AZ2892:AZ2893"/>
    <mergeCell ref="F2893:H2893"/>
    <mergeCell ref="X2893:AB2893"/>
    <mergeCell ref="AE2893:AI2893"/>
    <mergeCell ref="AJ2893:AL2893"/>
    <mergeCell ref="AN2893:AO2893"/>
    <mergeCell ref="AP2893:AQ2893"/>
    <mergeCell ref="A2894:A2895"/>
    <mergeCell ref="E2894:E2895"/>
    <mergeCell ref="F2894:H2894"/>
    <mergeCell ref="J2894:J2895"/>
    <mergeCell ref="K2894:L2895"/>
    <mergeCell ref="M2894:N2895"/>
    <mergeCell ref="O2894:P2895"/>
    <mergeCell ref="Q2894:R2895"/>
    <mergeCell ref="S2894:T2895"/>
    <mergeCell ref="U2894:V2895"/>
    <mergeCell ref="W2894:W2895"/>
    <mergeCell ref="X2894:AB2894"/>
    <mergeCell ref="AD2894:AI2894"/>
    <mergeCell ref="AJ2894:AL2894"/>
    <mergeCell ref="AN2894:AO2894"/>
    <mergeCell ref="AP2894:AQ2894"/>
    <mergeCell ref="AR2894:AS2895"/>
    <mergeCell ref="AT2894:AU2895"/>
    <mergeCell ref="AV2894:AW2895"/>
    <mergeCell ref="AX2894:AY2895"/>
    <mergeCell ref="AZ2894:AZ2895"/>
    <mergeCell ref="F2895:H2895"/>
    <mergeCell ref="X2895:AB2895"/>
    <mergeCell ref="AE2895:AI2895"/>
    <mergeCell ref="AJ2895:AL2895"/>
    <mergeCell ref="AN2895:AO2895"/>
    <mergeCell ref="AP2895:AQ2895"/>
    <mergeCell ref="AJ2896:AL2896"/>
    <mergeCell ref="AN2896:AO2896"/>
    <mergeCell ref="AP2896:AQ2896"/>
    <mergeCell ref="AR2896:AS2897"/>
    <mergeCell ref="AT2896:AU2897"/>
    <mergeCell ref="AV2896:AW2897"/>
    <mergeCell ref="AX2896:AY2897"/>
    <mergeCell ref="AZ2896:AZ2897"/>
    <mergeCell ref="F2897:H2897"/>
    <mergeCell ref="X2897:AB2897"/>
    <mergeCell ref="AE2897:AI2897"/>
    <mergeCell ref="AJ2897:AL2897"/>
    <mergeCell ref="AN2897:AO2897"/>
    <mergeCell ref="AP2897:AQ2897"/>
    <mergeCell ref="A2898:A2899"/>
    <mergeCell ref="E2898:E2899"/>
    <mergeCell ref="F2898:H2898"/>
    <mergeCell ref="J2898:J2899"/>
    <mergeCell ref="K2898:L2899"/>
    <mergeCell ref="M2898:N2899"/>
    <mergeCell ref="O2898:P2899"/>
    <mergeCell ref="Q2898:R2899"/>
    <mergeCell ref="S2898:T2899"/>
    <mergeCell ref="U2898:V2899"/>
    <mergeCell ref="W2898:W2899"/>
    <mergeCell ref="X2898:AB2898"/>
    <mergeCell ref="AD2898:AI2898"/>
    <mergeCell ref="AJ2898:AL2898"/>
    <mergeCell ref="AN2898:AO2898"/>
    <mergeCell ref="AP2898:AQ2898"/>
    <mergeCell ref="AR2898:AS2899"/>
    <mergeCell ref="AT2898:AU2899"/>
    <mergeCell ref="AV2898:AW2899"/>
    <mergeCell ref="AX2898:AY2899"/>
    <mergeCell ref="AZ2898:AZ2899"/>
    <mergeCell ref="F2899:H2899"/>
    <mergeCell ref="X2899:AB2899"/>
    <mergeCell ref="AE2899:AI2899"/>
    <mergeCell ref="AJ2899:AL2899"/>
    <mergeCell ref="AN2899:AO2899"/>
    <mergeCell ref="AP2899:AQ2899"/>
    <mergeCell ref="W2904:W2905"/>
    <mergeCell ref="X2904:AB2904"/>
    <mergeCell ref="AD2904:AI2904"/>
    <mergeCell ref="AJ2904:AL2904"/>
    <mergeCell ref="AN2904:AO2904"/>
    <mergeCell ref="AP2904:AQ2904"/>
    <mergeCell ref="AR2904:AS2905"/>
    <mergeCell ref="AT2904:AU2905"/>
    <mergeCell ref="AV2904:AW2905"/>
    <mergeCell ref="AX2904:AY2905"/>
    <mergeCell ref="AZ2904:AZ2905"/>
    <mergeCell ref="F2905:H2905"/>
    <mergeCell ref="X2905:AB2905"/>
    <mergeCell ref="AE2905:AI2905"/>
    <mergeCell ref="AJ2905:AL2905"/>
    <mergeCell ref="AN2905:AO2905"/>
    <mergeCell ref="AP2905:AQ2905"/>
    <mergeCell ref="A2910:A2911"/>
    <mergeCell ref="E2910:E2911"/>
    <mergeCell ref="F2910:H2910"/>
    <mergeCell ref="J2910:J2911"/>
    <mergeCell ref="K2910:L2911"/>
    <mergeCell ref="M2910:N2911"/>
    <mergeCell ref="O2910:P2911"/>
    <mergeCell ref="Q2910:R2911"/>
    <mergeCell ref="S2910:T2911"/>
    <mergeCell ref="U2910:V2911"/>
    <mergeCell ref="W2910:W2911"/>
    <mergeCell ref="X2910:AB2910"/>
    <mergeCell ref="AD2910:AI2910"/>
    <mergeCell ref="AJ2910:AL2910"/>
    <mergeCell ref="AN2910:AO2910"/>
    <mergeCell ref="AP2910:AQ2910"/>
    <mergeCell ref="AR2910:AS2911"/>
    <mergeCell ref="AT2910:AU2911"/>
    <mergeCell ref="AV2910:AW2911"/>
    <mergeCell ref="AX2910:AY2911"/>
    <mergeCell ref="AZ2910:AZ2911"/>
    <mergeCell ref="F2911:H2911"/>
    <mergeCell ref="X2911:AB2911"/>
    <mergeCell ref="AE2911:AI2911"/>
    <mergeCell ref="AJ2911:AL2911"/>
    <mergeCell ref="AN2911:AO2911"/>
    <mergeCell ref="AP2911:AQ2911"/>
    <mergeCell ref="A2908:A2909"/>
    <mergeCell ref="E2908:E2909"/>
    <mergeCell ref="F2908:H2908"/>
    <mergeCell ref="J2908:J2909"/>
    <mergeCell ref="K2908:L2909"/>
    <mergeCell ref="M2908:N2909"/>
    <mergeCell ref="O2908:P2909"/>
    <mergeCell ref="Q2908:R2909"/>
    <mergeCell ref="S2908:T2909"/>
    <mergeCell ref="U2908:V2909"/>
    <mergeCell ref="W2908:W2909"/>
    <mergeCell ref="X2908:AB2908"/>
    <mergeCell ref="AD2908:AI2908"/>
    <mergeCell ref="AJ2908:AL2908"/>
    <mergeCell ref="AN2908:AO2908"/>
    <mergeCell ref="AP2908:AQ2908"/>
    <mergeCell ref="AR2908:AS2909"/>
    <mergeCell ref="AT2908:AU2909"/>
    <mergeCell ref="AV2908:AW2909"/>
    <mergeCell ref="AX2908:AY2909"/>
    <mergeCell ref="A2918:A2919"/>
    <mergeCell ref="E2918:E2919"/>
    <mergeCell ref="F2918:H2918"/>
    <mergeCell ref="J2918:J2919"/>
    <mergeCell ref="K2918:L2919"/>
    <mergeCell ref="M2918:N2919"/>
    <mergeCell ref="O2918:P2919"/>
    <mergeCell ref="Q2918:R2919"/>
    <mergeCell ref="S2918:T2919"/>
    <mergeCell ref="U2918:V2919"/>
    <mergeCell ref="W2918:W2919"/>
    <mergeCell ref="X2918:AB2918"/>
    <mergeCell ref="AD2918:AI2918"/>
    <mergeCell ref="AJ2918:AL2918"/>
    <mergeCell ref="AN2918:AO2918"/>
    <mergeCell ref="AP2918:AQ2918"/>
    <mergeCell ref="AR2918:AS2919"/>
    <mergeCell ref="AT2918:AU2919"/>
    <mergeCell ref="AV2918:AW2919"/>
    <mergeCell ref="AX2918:AY2919"/>
    <mergeCell ref="AZ2918:AZ2919"/>
    <mergeCell ref="F2919:H2919"/>
    <mergeCell ref="X2919:AB2919"/>
    <mergeCell ref="AE2919:AI2919"/>
    <mergeCell ref="AJ2919:AL2919"/>
    <mergeCell ref="AN2919:AO2919"/>
    <mergeCell ref="AP2919:AQ2919"/>
    <mergeCell ref="A2912:A2913"/>
    <mergeCell ref="E2912:E2913"/>
    <mergeCell ref="F2912:H2912"/>
    <mergeCell ref="J2912:J2913"/>
    <mergeCell ref="K2912:L2913"/>
    <mergeCell ref="M2912:N2913"/>
    <mergeCell ref="O2912:P2913"/>
    <mergeCell ref="Q2912:R2913"/>
    <mergeCell ref="S2912:T2913"/>
    <mergeCell ref="U2912:V2913"/>
    <mergeCell ref="W2912:W2913"/>
    <mergeCell ref="X2912:AB2912"/>
    <mergeCell ref="AD2912:AI2912"/>
    <mergeCell ref="AJ2912:AL2912"/>
    <mergeCell ref="AN2912:AO2912"/>
    <mergeCell ref="AP2912:AQ2912"/>
    <mergeCell ref="AR2912:AS2913"/>
    <mergeCell ref="AT2912:AU2913"/>
    <mergeCell ref="AV2912:AW2913"/>
    <mergeCell ref="AX2912:AY2913"/>
    <mergeCell ref="AZ2912:AZ2913"/>
    <mergeCell ref="F2913:H2913"/>
    <mergeCell ref="X2913:AB2913"/>
    <mergeCell ref="AE2913:AI2913"/>
    <mergeCell ref="AJ2913:AL2913"/>
    <mergeCell ref="AN2913:AO2913"/>
    <mergeCell ref="AP2913:AQ2913"/>
    <mergeCell ref="A2914:A2915"/>
    <mergeCell ref="E2914:E2915"/>
    <mergeCell ref="F2914:H2914"/>
    <mergeCell ref="J2914:J2915"/>
    <mergeCell ref="K2914:L2915"/>
    <mergeCell ref="M2914:N2915"/>
    <mergeCell ref="O2914:P2915"/>
    <mergeCell ref="Q2914:R2915"/>
    <mergeCell ref="S2914:T2915"/>
    <mergeCell ref="U2914:V2915"/>
    <mergeCell ref="A2922:A2923"/>
    <mergeCell ref="E2922:E2923"/>
    <mergeCell ref="F2922:H2922"/>
    <mergeCell ref="J2922:J2923"/>
    <mergeCell ref="K2922:L2923"/>
    <mergeCell ref="M2922:N2923"/>
    <mergeCell ref="O2922:P2923"/>
    <mergeCell ref="Q2922:R2923"/>
    <mergeCell ref="S2922:T2923"/>
    <mergeCell ref="U2922:V2923"/>
    <mergeCell ref="W2922:W2923"/>
    <mergeCell ref="X2922:AB2922"/>
    <mergeCell ref="AD2922:AI2922"/>
    <mergeCell ref="AJ2922:AL2922"/>
    <mergeCell ref="AN2922:AO2922"/>
    <mergeCell ref="AP2922:AQ2922"/>
    <mergeCell ref="AR2922:AS2923"/>
    <mergeCell ref="AT2922:AU2923"/>
    <mergeCell ref="AV2922:AW2923"/>
    <mergeCell ref="AX2922:AY2923"/>
    <mergeCell ref="AZ2922:AZ2923"/>
    <mergeCell ref="F2923:H2923"/>
    <mergeCell ref="X2923:AB2923"/>
    <mergeCell ref="AE2923:AI2923"/>
    <mergeCell ref="AJ2923:AL2923"/>
    <mergeCell ref="AN2923:AO2923"/>
    <mergeCell ref="AP2923:AQ2923"/>
    <mergeCell ref="A2924:A2925"/>
    <mergeCell ref="E2924:E2925"/>
    <mergeCell ref="F2924:H2924"/>
    <mergeCell ref="J2924:J2925"/>
    <mergeCell ref="K2924:L2925"/>
    <mergeCell ref="M2924:N2925"/>
    <mergeCell ref="O2924:P2925"/>
    <mergeCell ref="Q2924:R2925"/>
    <mergeCell ref="S2924:T2925"/>
    <mergeCell ref="U2924:V2925"/>
    <mergeCell ref="W2924:W2925"/>
    <mergeCell ref="X2924:AB2924"/>
    <mergeCell ref="AD2924:AI2924"/>
    <mergeCell ref="AJ2924:AL2924"/>
    <mergeCell ref="AN2924:AO2924"/>
    <mergeCell ref="AP2924:AQ2924"/>
    <mergeCell ref="AR2924:AS2925"/>
    <mergeCell ref="AT2924:AU2925"/>
    <mergeCell ref="AV2924:AW2925"/>
    <mergeCell ref="AX2924:AY2925"/>
    <mergeCell ref="AZ2924:AZ2925"/>
    <mergeCell ref="F2925:H2925"/>
    <mergeCell ref="X2925:AB2925"/>
    <mergeCell ref="AE2925:AI2925"/>
    <mergeCell ref="AJ2925:AL2925"/>
    <mergeCell ref="AN2925:AO2925"/>
    <mergeCell ref="AP2925:AQ2925"/>
    <mergeCell ref="A2926:A2927"/>
    <mergeCell ref="E2926:E2927"/>
    <mergeCell ref="F2926:H2926"/>
    <mergeCell ref="J2926:J2927"/>
    <mergeCell ref="K2926:L2927"/>
    <mergeCell ref="M2926:N2927"/>
    <mergeCell ref="O2926:P2927"/>
    <mergeCell ref="Q2926:R2927"/>
    <mergeCell ref="S2926:T2927"/>
    <mergeCell ref="U2926:V2927"/>
    <mergeCell ref="W2926:W2927"/>
    <mergeCell ref="X2926:AB2926"/>
    <mergeCell ref="AD2926:AI2926"/>
    <mergeCell ref="AJ2926:AL2926"/>
    <mergeCell ref="AN2926:AO2926"/>
    <mergeCell ref="AP2926:AQ2926"/>
    <mergeCell ref="AR2926:AS2927"/>
    <mergeCell ref="AT2926:AU2927"/>
    <mergeCell ref="AV2926:AW2927"/>
    <mergeCell ref="AX2926:AY2927"/>
    <mergeCell ref="AZ2926:AZ2927"/>
    <mergeCell ref="F2927:H2927"/>
    <mergeCell ref="X2927:AB2927"/>
    <mergeCell ref="AE2927:AI2927"/>
    <mergeCell ref="AJ2927:AL2927"/>
    <mergeCell ref="AN2927:AO2927"/>
    <mergeCell ref="AP2927:AQ2927"/>
    <mergeCell ref="A2928:A2929"/>
    <mergeCell ref="E2928:E2929"/>
    <mergeCell ref="F2928:H2928"/>
    <mergeCell ref="J2928:J2929"/>
    <mergeCell ref="K2928:L2929"/>
    <mergeCell ref="M2928:N2929"/>
    <mergeCell ref="O2928:P2929"/>
    <mergeCell ref="Q2928:R2929"/>
    <mergeCell ref="S2928:T2929"/>
    <mergeCell ref="U2928:V2929"/>
    <mergeCell ref="W2928:W2929"/>
    <mergeCell ref="X2928:AB2928"/>
    <mergeCell ref="AD2928:AI2928"/>
    <mergeCell ref="AJ2928:AL2928"/>
    <mergeCell ref="AN2928:AO2928"/>
    <mergeCell ref="AP2928:AQ2928"/>
    <mergeCell ref="AR2928:AS2929"/>
    <mergeCell ref="AT2928:AU2929"/>
    <mergeCell ref="AV2928:AW2929"/>
    <mergeCell ref="AX2928:AY2929"/>
    <mergeCell ref="AZ2928:AZ2929"/>
    <mergeCell ref="F2929:H2929"/>
    <mergeCell ref="X2929:AB2929"/>
    <mergeCell ref="AE2929:AI2929"/>
    <mergeCell ref="AJ2929:AL2929"/>
    <mergeCell ref="AN2929:AO2929"/>
    <mergeCell ref="AP2929:AQ2929"/>
    <mergeCell ref="A2930:A2931"/>
    <mergeCell ref="E2930:E2931"/>
    <mergeCell ref="F2930:H2930"/>
    <mergeCell ref="J2930:J2931"/>
    <mergeCell ref="K2930:L2931"/>
    <mergeCell ref="M2930:N2931"/>
    <mergeCell ref="O2930:P2931"/>
    <mergeCell ref="Q2930:R2931"/>
    <mergeCell ref="S2930:T2931"/>
    <mergeCell ref="U2930:V2931"/>
    <mergeCell ref="W2930:W2931"/>
    <mergeCell ref="X2930:AB2930"/>
    <mergeCell ref="AD2930:AI2930"/>
    <mergeCell ref="AJ2930:AL2930"/>
    <mergeCell ref="AN2930:AO2930"/>
    <mergeCell ref="AP2930:AQ2930"/>
    <mergeCell ref="AR2930:AS2931"/>
    <mergeCell ref="AT2930:AU2931"/>
    <mergeCell ref="AV2930:AW2931"/>
    <mergeCell ref="AX2930:AY2931"/>
    <mergeCell ref="AZ2930:AZ2931"/>
    <mergeCell ref="F2931:H2931"/>
    <mergeCell ref="X2931:AB2931"/>
    <mergeCell ref="AE2931:AI2931"/>
    <mergeCell ref="AJ2931:AL2931"/>
    <mergeCell ref="AN2931:AO2931"/>
    <mergeCell ref="AP2931:AQ2931"/>
    <mergeCell ref="A2932:A2933"/>
    <mergeCell ref="E2932:E2933"/>
    <mergeCell ref="F2932:H2932"/>
    <mergeCell ref="J2932:J2933"/>
    <mergeCell ref="K2932:L2933"/>
    <mergeCell ref="M2932:N2933"/>
    <mergeCell ref="O2932:P2933"/>
    <mergeCell ref="Q2932:R2933"/>
    <mergeCell ref="S2932:T2933"/>
    <mergeCell ref="U2932:V2933"/>
    <mergeCell ref="W2932:W2933"/>
    <mergeCell ref="X2932:AB2932"/>
    <mergeCell ref="AD2932:AI2932"/>
    <mergeCell ref="AJ2932:AL2932"/>
    <mergeCell ref="AN2932:AO2932"/>
    <mergeCell ref="AP2932:AQ2932"/>
    <mergeCell ref="AR2932:AS2933"/>
    <mergeCell ref="AT2932:AU2933"/>
    <mergeCell ref="AV2932:AW2933"/>
    <mergeCell ref="AX2932:AY2933"/>
    <mergeCell ref="AZ2932:AZ2933"/>
    <mergeCell ref="F2933:H2933"/>
    <mergeCell ref="X2933:AB2933"/>
    <mergeCell ref="AE2933:AI2933"/>
    <mergeCell ref="AJ2933:AL2933"/>
    <mergeCell ref="AN2933:AO2933"/>
    <mergeCell ref="AP2933:AQ2933"/>
    <mergeCell ref="A2934:A2935"/>
    <mergeCell ref="E2934:E2935"/>
    <mergeCell ref="F2934:H2934"/>
    <mergeCell ref="J2934:J2935"/>
    <mergeCell ref="K2934:L2935"/>
    <mergeCell ref="M2934:N2935"/>
    <mergeCell ref="O2934:P2935"/>
    <mergeCell ref="Q2934:R2935"/>
    <mergeCell ref="S2934:T2935"/>
    <mergeCell ref="U2934:V2935"/>
    <mergeCell ref="W2934:W2935"/>
    <mergeCell ref="X2934:AB2934"/>
    <mergeCell ref="AD2934:AI2934"/>
    <mergeCell ref="AJ2934:AL2934"/>
    <mergeCell ref="AN2934:AO2934"/>
    <mergeCell ref="AP2934:AQ2934"/>
    <mergeCell ref="AR2934:AS2935"/>
    <mergeCell ref="AT2934:AU2935"/>
    <mergeCell ref="AV2934:AW2935"/>
    <mergeCell ref="AX2934:AY2935"/>
    <mergeCell ref="AZ2934:AZ2935"/>
    <mergeCell ref="F2935:H2935"/>
    <mergeCell ref="X2935:AB2935"/>
    <mergeCell ref="AE2935:AI2935"/>
    <mergeCell ref="AJ2935:AL2935"/>
    <mergeCell ref="AN2935:AO2935"/>
    <mergeCell ref="AP2935:AQ2935"/>
    <mergeCell ref="A2936:A2937"/>
    <mergeCell ref="E2936:E2937"/>
    <mergeCell ref="F2936:H2936"/>
    <mergeCell ref="J2936:J2937"/>
    <mergeCell ref="K2936:L2937"/>
    <mergeCell ref="M2936:N2937"/>
    <mergeCell ref="O2936:P2937"/>
    <mergeCell ref="Q2936:R2937"/>
    <mergeCell ref="S2936:T2937"/>
    <mergeCell ref="U2936:V2937"/>
    <mergeCell ref="W2936:W2937"/>
    <mergeCell ref="X2936:AB2936"/>
    <mergeCell ref="AD2936:AI2936"/>
    <mergeCell ref="AJ2936:AL2936"/>
    <mergeCell ref="AN2936:AO2936"/>
    <mergeCell ref="AP2936:AQ2936"/>
    <mergeCell ref="AR2936:AS2937"/>
    <mergeCell ref="AT2936:AU2937"/>
    <mergeCell ref="AV2936:AW2937"/>
    <mergeCell ref="AX2936:AY2937"/>
    <mergeCell ref="AZ2936:AZ2937"/>
    <mergeCell ref="F2937:H2937"/>
    <mergeCell ref="X2937:AB2937"/>
    <mergeCell ref="AE2937:AI2937"/>
    <mergeCell ref="AJ2937:AL2937"/>
    <mergeCell ref="AN2937:AO2937"/>
    <mergeCell ref="AP2937:AQ2937"/>
    <mergeCell ref="W2938:W2939"/>
    <mergeCell ref="X2938:AB2938"/>
    <mergeCell ref="AD2938:AI2938"/>
    <mergeCell ref="AJ2938:AL2938"/>
    <mergeCell ref="AN2938:AO2938"/>
    <mergeCell ref="AP2938:AQ2938"/>
    <mergeCell ref="AR2938:AS2939"/>
    <mergeCell ref="AT2938:AU2939"/>
    <mergeCell ref="AV2938:AW2939"/>
    <mergeCell ref="AX2938:AY2939"/>
    <mergeCell ref="AZ2938:AZ2939"/>
    <mergeCell ref="F2939:H2939"/>
    <mergeCell ref="X2939:AB2939"/>
    <mergeCell ref="AE2939:AI2939"/>
    <mergeCell ref="AJ2939:AL2939"/>
    <mergeCell ref="AN2939:AO2939"/>
    <mergeCell ref="AP2939:AQ2939"/>
    <mergeCell ref="A2940:A2941"/>
    <mergeCell ref="E2940:E2941"/>
    <mergeCell ref="F2940:H2940"/>
    <mergeCell ref="J2940:J2941"/>
    <mergeCell ref="K2940:L2941"/>
    <mergeCell ref="M2940:N2941"/>
    <mergeCell ref="O2940:P2941"/>
    <mergeCell ref="Q2940:R2941"/>
    <mergeCell ref="S2940:T2941"/>
    <mergeCell ref="U2940:V2941"/>
    <mergeCell ref="W2940:W2941"/>
    <mergeCell ref="X2940:AB2940"/>
    <mergeCell ref="AD2940:AI2940"/>
    <mergeCell ref="AJ2940:AL2940"/>
    <mergeCell ref="AN2940:AO2940"/>
    <mergeCell ref="AP2940:AQ2940"/>
    <mergeCell ref="AR2940:AS2941"/>
    <mergeCell ref="AT2940:AU2941"/>
    <mergeCell ref="AV2940:AW2941"/>
    <mergeCell ref="AX2940:AY2941"/>
    <mergeCell ref="AZ2940:AZ2941"/>
    <mergeCell ref="F2941:H2941"/>
    <mergeCell ref="X2941:AB2941"/>
    <mergeCell ref="AE2941:AI2941"/>
    <mergeCell ref="AJ2941:AL2941"/>
    <mergeCell ref="AN2941:AO2941"/>
    <mergeCell ref="AP2941:AQ2941"/>
    <mergeCell ref="A2946:A2947"/>
    <mergeCell ref="E2946:E2947"/>
    <mergeCell ref="F2946:H2946"/>
    <mergeCell ref="J2946:J2947"/>
    <mergeCell ref="K2946:L2947"/>
    <mergeCell ref="M2946:N2947"/>
    <mergeCell ref="O2946:P2947"/>
    <mergeCell ref="Q2946:R2947"/>
    <mergeCell ref="S2946:T2947"/>
    <mergeCell ref="U2946:V2947"/>
    <mergeCell ref="W2946:W2947"/>
    <mergeCell ref="X2946:AB2946"/>
    <mergeCell ref="AD2946:AI2946"/>
    <mergeCell ref="AJ2946:AL2946"/>
    <mergeCell ref="AN2946:AO2946"/>
    <mergeCell ref="AP2946:AQ2946"/>
    <mergeCell ref="AR2946:AS2947"/>
    <mergeCell ref="AT2946:AU2947"/>
    <mergeCell ref="AV2946:AW2947"/>
    <mergeCell ref="AX2946:AY2947"/>
    <mergeCell ref="AZ2946:AZ2947"/>
    <mergeCell ref="F2947:H2947"/>
    <mergeCell ref="X2947:AB2947"/>
    <mergeCell ref="AE2947:AI2947"/>
    <mergeCell ref="AJ2947:AL2947"/>
    <mergeCell ref="AN2947:AO2947"/>
    <mergeCell ref="AP2947:AQ2947"/>
    <mergeCell ref="A2944:A2945"/>
    <mergeCell ref="E2944:E2945"/>
    <mergeCell ref="F2944:H2944"/>
    <mergeCell ref="J2944:J2945"/>
    <mergeCell ref="K2944:L2945"/>
    <mergeCell ref="M2944:N2945"/>
    <mergeCell ref="O2944:P2945"/>
    <mergeCell ref="Q2944:R2945"/>
    <mergeCell ref="S2944:T2945"/>
    <mergeCell ref="U2944:V2945"/>
    <mergeCell ref="W2944:W2945"/>
    <mergeCell ref="X2944:AB2944"/>
    <mergeCell ref="AD2944:AI2944"/>
    <mergeCell ref="AJ2944:AL2944"/>
    <mergeCell ref="AN2944:AO2944"/>
    <mergeCell ref="AP2944:AQ2944"/>
    <mergeCell ref="AR2944:AS2945"/>
    <mergeCell ref="AT2944:AU2945"/>
    <mergeCell ref="AV2944:AW2945"/>
    <mergeCell ref="AX2944:AY2945"/>
    <mergeCell ref="AZ2944:AZ2945"/>
    <mergeCell ref="F2945:H2945"/>
    <mergeCell ref="X2945:AB2945"/>
    <mergeCell ref="AE2945:AI2945"/>
    <mergeCell ref="AJ2945:AL2945"/>
    <mergeCell ref="AN2945:AO2945"/>
    <mergeCell ref="AP2945:AQ2945"/>
    <mergeCell ref="A2948:A2949"/>
    <mergeCell ref="E2948:E2949"/>
    <mergeCell ref="F2948:H2948"/>
    <mergeCell ref="J2948:J2949"/>
    <mergeCell ref="K2948:L2949"/>
    <mergeCell ref="M2948:N2949"/>
    <mergeCell ref="O2948:P2949"/>
    <mergeCell ref="Q2948:R2949"/>
    <mergeCell ref="S2948:T2949"/>
    <mergeCell ref="U2948:V2949"/>
    <mergeCell ref="W2948:W2949"/>
    <mergeCell ref="X2948:AB2948"/>
    <mergeCell ref="AD2948:AI2948"/>
    <mergeCell ref="AJ2948:AL2948"/>
    <mergeCell ref="AN2948:AO2948"/>
    <mergeCell ref="AP2948:AQ2948"/>
    <mergeCell ref="AR2948:AS2949"/>
    <mergeCell ref="AT2948:AU2949"/>
    <mergeCell ref="AV2948:AW2949"/>
    <mergeCell ref="AX2948:AY2949"/>
    <mergeCell ref="AZ2948:AZ2949"/>
    <mergeCell ref="F2949:H2949"/>
    <mergeCell ref="X2949:AB2949"/>
    <mergeCell ref="AE2949:AI2949"/>
    <mergeCell ref="AJ2949:AL2949"/>
    <mergeCell ref="AN2949:AO2949"/>
    <mergeCell ref="AP2949:AQ2949"/>
    <mergeCell ref="A2950:A2951"/>
    <mergeCell ref="E2950:E2951"/>
    <mergeCell ref="F2950:H2950"/>
    <mergeCell ref="J2950:J2951"/>
    <mergeCell ref="K2950:L2951"/>
    <mergeCell ref="M2950:N2951"/>
    <mergeCell ref="O2950:P2951"/>
    <mergeCell ref="Q2950:R2951"/>
    <mergeCell ref="S2950:T2951"/>
    <mergeCell ref="U2950:V2951"/>
    <mergeCell ref="W2950:W2951"/>
    <mergeCell ref="X2950:AB2950"/>
    <mergeCell ref="AD2950:AI2950"/>
    <mergeCell ref="AJ2950:AL2950"/>
    <mergeCell ref="AN2950:AO2950"/>
    <mergeCell ref="AP2950:AQ2950"/>
    <mergeCell ref="AR2950:AS2951"/>
    <mergeCell ref="AT2950:AU2951"/>
    <mergeCell ref="AV2950:AW2951"/>
    <mergeCell ref="AX2950:AY2951"/>
    <mergeCell ref="AZ2950:AZ2951"/>
    <mergeCell ref="F2951:H2951"/>
    <mergeCell ref="X2951:AB2951"/>
    <mergeCell ref="AE2951:AI2951"/>
    <mergeCell ref="AJ2951:AL2951"/>
    <mergeCell ref="AN2951:AO2951"/>
    <mergeCell ref="AP2951:AQ2951"/>
    <mergeCell ref="A2952:A2953"/>
    <mergeCell ref="E2952:E2953"/>
    <mergeCell ref="F2952:H2952"/>
    <mergeCell ref="J2952:J2953"/>
    <mergeCell ref="K2952:L2953"/>
    <mergeCell ref="M2952:N2953"/>
    <mergeCell ref="O2952:P2953"/>
    <mergeCell ref="Q2952:R2953"/>
    <mergeCell ref="S2952:T2953"/>
    <mergeCell ref="U2952:V2953"/>
    <mergeCell ref="W2952:W2953"/>
    <mergeCell ref="X2952:AB2952"/>
    <mergeCell ref="AD2952:AI2952"/>
    <mergeCell ref="AJ2952:AL2952"/>
    <mergeCell ref="AN2952:AO2952"/>
    <mergeCell ref="AP2952:AQ2952"/>
    <mergeCell ref="AR2952:AS2953"/>
    <mergeCell ref="AT2952:AU2953"/>
    <mergeCell ref="AV2952:AW2953"/>
    <mergeCell ref="AX2952:AY2953"/>
    <mergeCell ref="AZ2952:AZ2953"/>
    <mergeCell ref="F2953:H2953"/>
    <mergeCell ref="X2953:AB2953"/>
    <mergeCell ref="AE2953:AI2953"/>
    <mergeCell ref="AJ2953:AL2953"/>
    <mergeCell ref="AN2953:AO2953"/>
    <mergeCell ref="AP2953:AQ2953"/>
    <mergeCell ref="A2954:A2955"/>
    <mergeCell ref="E2954:E2955"/>
    <mergeCell ref="F2954:H2954"/>
    <mergeCell ref="J2954:J2955"/>
    <mergeCell ref="K2954:L2955"/>
    <mergeCell ref="M2954:N2955"/>
    <mergeCell ref="O2954:P2955"/>
    <mergeCell ref="Q2954:R2955"/>
    <mergeCell ref="S2954:T2955"/>
    <mergeCell ref="U2954:V2955"/>
    <mergeCell ref="W2954:W2955"/>
    <mergeCell ref="X2954:AB2954"/>
    <mergeCell ref="AD2954:AI2954"/>
    <mergeCell ref="AJ2954:AL2954"/>
    <mergeCell ref="AN2954:AO2954"/>
    <mergeCell ref="AP2954:AQ2954"/>
    <mergeCell ref="AR2954:AS2955"/>
    <mergeCell ref="AT2954:AU2955"/>
    <mergeCell ref="AV2954:AW2955"/>
    <mergeCell ref="AX2954:AY2955"/>
    <mergeCell ref="AZ2954:AZ2955"/>
    <mergeCell ref="F2955:H2955"/>
    <mergeCell ref="X2955:AB2955"/>
    <mergeCell ref="AE2955:AI2955"/>
    <mergeCell ref="AJ2955:AL2955"/>
    <mergeCell ref="AN2955:AO2955"/>
    <mergeCell ref="AP2955:AQ2955"/>
    <mergeCell ref="A2956:A2957"/>
    <mergeCell ref="E2956:E2957"/>
    <mergeCell ref="F2956:H2956"/>
    <mergeCell ref="J2956:J2957"/>
    <mergeCell ref="K2956:L2957"/>
    <mergeCell ref="M2956:N2957"/>
    <mergeCell ref="O2956:P2957"/>
    <mergeCell ref="Q2956:R2957"/>
    <mergeCell ref="S2956:T2957"/>
    <mergeCell ref="U2956:V2957"/>
    <mergeCell ref="W2956:W2957"/>
    <mergeCell ref="X2956:AB2956"/>
    <mergeCell ref="AD2956:AI2956"/>
    <mergeCell ref="AJ2956:AL2956"/>
    <mergeCell ref="AN2956:AO2956"/>
    <mergeCell ref="AP2956:AQ2956"/>
    <mergeCell ref="AR2956:AS2957"/>
    <mergeCell ref="AT2956:AU2957"/>
    <mergeCell ref="AV2956:AW2957"/>
    <mergeCell ref="AX2956:AY2957"/>
    <mergeCell ref="AZ2956:AZ2957"/>
    <mergeCell ref="F2957:H2957"/>
    <mergeCell ref="X2957:AB2957"/>
    <mergeCell ref="AE2957:AI2957"/>
    <mergeCell ref="AJ2957:AL2957"/>
    <mergeCell ref="AN2957:AO2957"/>
    <mergeCell ref="AP2957:AQ2957"/>
    <mergeCell ref="A2958:A2959"/>
    <mergeCell ref="E2958:E2959"/>
    <mergeCell ref="F2958:H2958"/>
    <mergeCell ref="J2958:J2959"/>
    <mergeCell ref="K2958:L2959"/>
    <mergeCell ref="M2958:N2959"/>
    <mergeCell ref="O2958:P2959"/>
    <mergeCell ref="Q2958:R2959"/>
    <mergeCell ref="S2958:T2959"/>
    <mergeCell ref="U2958:V2959"/>
    <mergeCell ref="W2958:W2959"/>
    <mergeCell ref="X2958:AB2958"/>
    <mergeCell ref="AD2958:AI2958"/>
    <mergeCell ref="AJ2958:AL2958"/>
    <mergeCell ref="AN2958:AO2958"/>
    <mergeCell ref="AP2958:AQ2958"/>
    <mergeCell ref="AR2958:AS2959"/>
    <mergeCell ref="AT2958:AU2959"/>
    <mergeCell ref="AV2958:AW2959"/>
    <mergeCell ref="AX2958:AY2959"/>
    <mergeCell ref="AZ2958:AZ2959"/>
    <mergeCell ref="F2959:H2959"/>
    <mergeCell ref="X2959:AB2959"/>
    <mergeCell ref="AE2959:AI2959"/>
    <mergeCell ref="AJ2959:AL2959"/>
    <mergeCell ref="AN2959:AO2959"/>
    <mergeCell ref="AP2959:AQ2959"/>
    <mergeCell ref="A2960:A2961"/>
    <mergeCell ref="E2960:E2961"/>
    <mergeCell ref="F2960:H2960"/>
    <mergeCell ref="J2960:J2961"/>
    <mergeCell ref="K2960:L2961"/>
    <mergeCell ref="M2960:N2961"/>
    <mergeCell ref="O2960:P2961"/>
    <mergeCell ref="Q2960:R2961"/>
    <mergeCell ref="S2960:T2961"/>
    <mergeCell ref="U2960:V2961"/>
    <mergeCell ref="W2960:W2961"/>
    <mergeCell ref="X2960:AB2960"/>
    <mergeCell ref="AD2960:AI2960"/>
    <mergeCell ref="AJ2960:AL2960"/>
    <mergeCell ref="AN2960:AO2960"/>
    <mergeCell ref="AP2960:AQ2960"/>
    <mergeCell ref="AR2960:AS2961"/>
    <mergeCell ref="AT2960:AU2961"/>
    <mergeCell ref="AV2960:AW2961"/>
    <mergeCell ref="AX2960:AY2961"/>
    <mergeCell ref="AZ2960:AZ2961"/>
    <mergeCell ref="F2961:H2961"/>
    <mergeCell ref="X2961:AB2961"/>
    <mergeCell ref="AE2961:AI2961"/>
    <mergeCell ref="AJ2961:AL2961"/>
    <mergeCell ref="AN2961:AO2961"/>
    <mergeCell ref="AP2961:AQ2961"/>
    <mergeCell ref="A2968:A2969"/>
    <mergeCell ref="E2968:E2969"/>
    <mergeCell ref="F2968:H2968"/>
    <mergeCell ref="J2968:J2969"/>
    <mergeCell ref="K2968:L2969"/>
    <mergeCell ref="M2968:N2969"/>
    <mergeCell ref="O2968:P2969"/>
    <mergeCell ref="Q2968:R2969"/>
    <mergeCell ref="S2968:T2969"/>
    <mergeCell ref="U2968:V2969"/>
    <mergeCell ref="W2968:W2969"/>
    <mergeCell ref="X2968:AB2968"/>
    <mergeCell ref="AD2968:AI2968"/>
    <mergeCell ref="AJ2968:AL2968"/>
    <mergeCell ref="AN2968:AO2968"/>
    <mergeCell ref="AP2968:AQ2968"/>
    <mergeCell ref="AR2968:AS2969"/>
    <mergeCell ref="AT2968:AU2969"/>
    <mergeCell ref="AV2968:AW2969"/>
    <mergeCell ref="AX2968:AY2969"/>
    <mergeCell ref="AZ2968:AZ2969"/>
    <mergeCell ref="F2969:H2969"/>
    <mergeCell ref="X2969:AB2969"/>
    <mergeCell ref="AE2969:AI2969"/>
    <mergeCell ref="AJ2969:AL2969"/>
    <mergeCell ref="AN2969:AO2969"/>
    <mergeCell ref="AP2969:AQ2969"/>
    <mergeCell ref="A2964:A2965"/>
    <mergeCell ref="E2964:E2965"/>
    <mergeCell ref="F2964:H2964"/>
    <mergeCell ref="J2964:J2965"/>
    <mergeCell ref="K2964:L2965"/>
    <mergeCell ref="M2964:N2965"/>
    <mergeCell ref="O2964:P2965"/>
    <mergeCell ref="Q2964:R2965"/>
    <mergeCell ref="S2964:T2965"/>
    <mergeCell ref="U2964:V2965"/>
    <mergeCell ref="A2970:A2971"/>
    <mergeCell ref="E2970:E2971"/>
    <mergeCell ref="F2970:H2970"/>
    <mergeCell ref="J2970:J2971"/>
    <mergeCell ref="K2970:L2971"/>
    <mergeCell ref="M2970:N2971"/>
    <mergeCell ref="O2970:P2971"/>
    <mergeCell ref="Q2970:R2971"/>
    <mergeCell ref="S2970:T2971"/>
    <mergeCell ref="U2970:V2971"/>
    <mergeCell ref="W2970:W2971"/>
    <mergeCell ref="X2970:AB2970"/>
    <mergeCell ref="AD2970:AI2970"/>
    <mergeCell ref="AJ2970:AL2970"/>
    <mergeCell ref="AN2970:AO2970"/>
    <mergeCell ref="AP2970:AQ2970"/>
    <mergeCell ref="AR2970:AS2971"/>
    <mergeCell ref="AT2970:AU2971"/>
    <mergeCell ref="AV2970:AW2971"/>
    <mergeCell ref="AX2970:AY2971"/>
    <mergeCell ref="AZ2970:AZ2971"/>
    <mergeCell ref="F2971:H2971"/>
    <mergeCell ref="X2971:AB2971"/>
    <mergeCell ref="AE2971:AI2971"/>
    <mergeCell ref="AJ2971:AL2971"/>
    <mergeCell ref="AN2971:AO2971"/>
    <mergeCell ref="AP2971:AQ2971"/>
    <mergeCell ref="A2972:A2973"/>
    <mergeCell ref="E2972:E2973"/>
    <mergeCell ref="F2972:H2972"/>
    <mergeCell ref="J2972:J2973"/>
    <mergeCell ref="K2972:L2973"/>
    <mergeCell ref="M2972:N2973"/>
    <mergeCell ref="O2972:P2973"/>
    <mergeCell ref="Q2972:R2973"/>
    <mergeCell ref="S2972:T2973"/>
    <mergeCell ref="U2972:V2973"/>
    <mergeCell ref="W2972:W2973"/>
    <mergeCell ref="X2972:AB2972"/>
    <mergeCell ref="AD2972:AI2972"/>
    <mergeCell ref="AJ2972:AL2972"/>
    <mergeCell ref="AN2972:AO2972"/>
    <mergeCell ref="AP2972:AQ2972"/>
    <mergeCell ref="AR2972:AS2973"/>
    <mergeCell ref="AT2972:AU2973"/>
    <mergeCell ref="AV2972:AW2973"/>
    <mergeCell ref="AX2972:AY2973"/>
    <mergeCell ref="AZ2972:AZ2973"/>
    <mergeCell ref="F2973:H2973"/>
    <mergeCell ref="X2973:AB2973"/>
    <mergeCell ref="AE2973:AI2973"/>
    <mergeCell ref="AJ2973:AL2973"/>
    <mergeCell ref="AN2973:AO2973"/>
    <mergeCell ref="AP2973:AQ2973"/>
    <mergeCell ref="A2974:A2975"/>
    <mergeCell ref="E2974:E2975"/>
    <mergeCell ref="F2974:H2974"/>
    <mergeCell ref="J2974:J2975"/>
    <mergeCell ref="K2974:L2975"/>
    <mergeCell ref="M2974:N2975"/>
    <mergeCell ref="O2974:P2975"/>
    <mergeCell ref="Q2974:R2975"/>
    <mergeCell ref="S2974:T2975"/>
    <mergeCell ref="U2974:V2975"/>
    <mergeCell ref="W2974:W2975"/>
    <mergeCell ref="X2974:AB2974"/>
    <mergeCell ref="AD2974:AI2974"/>
    <mergeCell ref="AJ2974:AL2974"/>
    <mergeCell ref="AN2974:AO2974"/>
    <mergeCell ref="AP2974:AQ2974"/>
    <mergeCell ref="AR2974:AS2975"/>
    <mergeCell ref="AT2974:AU2975"/>
    <mergeCell ref="AV2974:AW2975"/>
    <mergeCell ref="AX2974:AY2975"/>
    <mergeCell ref="AZ2974:AZ2975"/>
    <mergeCell ref="F2975:H2975"/>
    <mergeCell ref="X2975:AB2975"/>
    <mergeCell ref="AE2975:AI2975"/>
    <mergeCell ref="AJ2975:AL2975"/>
    <mergeCell ref="AN2975:AO2975"/>
    <mergeCell ref="AP2975:AQ2975"/>
    <mergeCell ref="A2978:A2979"/>
    <mergeCell ref="E2978:E2979"/>
    <mergeCell ref="F2978:H2978"/>
    <mergeCell ref="J2978:J2979"/>
    <mergeCell ref="K2978:L2979"/>
    <mergeCell ref="M2978:N2979"/>
    <mergeCell ref="O2978:P2979"/>
    <mergeCell ref="Q2978:R2979"/>
    <mergeCell ref="S2978:T2979"/>
    <mergeCell ref="U2978:V2979"/>
    <mergeCell ref="W2978:W2979"/>
    <mergeCell ref="X2978:AB2978"/>
    <mergeCell ref="AD2978:AI2978"/>
    <mergeCell ref="AJ2978:AL2978"/>
    <mergeCell ref="AN2978:AO2978"/>
    <mergeCell ref="AP2978:AQ2978"/>
    <mergeCell ref="AR2978:AS2979"/>
    <mergeCell ref="AT2978:AU2979"/>
    <mergeCell ref="AV2978:AW2979"/>
    <mergeCell ref="AX2978:AY2979"/>
    <mergeCell ref="AZ2978:AZ2979"/>
    <mergeCell ref="F2979:H2979"/>
    <mergeCell ref="X2979:AB2979"/>
    <mergeCell ref="AE2979:AI2979"/>
    <mergeCell ref="AJ2979:AL2979"/>
    <mergeCell ref="AN2979:AO2979"/>
    <mergeCell ref="AP2979:AQ2979"/>
    <mergeCell ref="A2976:A2977"/>
    <mergeCell ref="E2976:E2977"/>
    <mergeCell ref="F2976:H2976"/>
    <mergeCell ref="J2976:J2977"/>
    <mergeCell ref="K2976:L2977"/>
    <mergeCell ref="M2976:N2977"/>
    <mergeCell ref="O2976:P2977"/>
    <mergeCell ref="Q2976:R2977"/>
    <mergeCell ref="S2976:T2977"/>
    <mergeCell ref="U2976:V2977"/>
    <mergeCell ref="A3026:A3027"/>
    <mergeCell ref="E3026:E3027"/>
    <mergeCell ref="F3026:H3026"/>
    <mergeCell ref="J3026:J3027"/>
    <mergeCell ref="K3026:L3027"/>
    <mergeCell ref="M3026:N3027"/>
    <mergeCell ref="O3026:P3027"/>
    <mergeCell ref="Q3026:R3027"/>
    <mergeCell ref="S3026:T3027"/>
    <mergeCell ref="U3026:V3027"/>
    <mergeCell ref="W3026:W3027"/>
    <mergeCell ref="X3026:AB3026"/>
    <mergeCell ref="AD3026:AI3026"/>
    <mergeCell ref="AJ3026:AL3026"/>
    <mergeCell ref="AN3026:AO3026"/>
    <mergeCell ref="AP3026:AQ3026"/>
    <mergeCell ref="AR3026:AS3027"/>
    <mergeCell ref="AT3026:AU3027"/>
    <mergeCell ref="AV3026:AW3027"/>
    <mergeCell ref="AX3026:AY3027"/>
    <mergeCell ref="AZ3026:AZ3027"/>
    <mergeCell ref="F3027:H3027"/>
    <mergeCell ref="X3027:AB3027"/>
    <mergeCell ref="AE3027:AI3027"/>
    <mergeCell ref="AJ3027:AL3027"/>
    <mergeCell ref="AN3027:AO3027"/>
    <mergeCell ref="AP3027:AQ3027"/>
    <mergeCell ref="A3028:A3029"/>
    <mergeCell ref="E3028:E3029"/>
    <mergeCell ref="F3028:H3028"/>
    <mergeCell ref="J3028:J3029"/>
    <mergeCell ref="K3028:L3029"/>
    <mergeCell ref="M3028:N3029"/>
    <mergeCell ref="O3028:P3029"/>
    <mergeCell ref="Q3028:R3029"/>
    <mergeCell ref="S3028:T3029"/>
    <mergeCell ref="U3028:V3029"/>
    <mergeCell ref="W3028:W3029"/>
    <mergeCell ref="X3028:AB3028"/>
    <mergeCell ref="AD3028:AI3028"/>
    <mergeCell ref="AJ3028:AL3028"/>
    <mergeCell ref="AN3028:AO3028"/>
    <mergeCell ref="AP3028:AQ3028"/>
    <mergeCell ref="AR3028:AS3029"/>
    <mergeCell ref="AT3028:AU3029"/>
    <mergeCell ref="AV3028:AW3029"/>
    <mergeCell ref="AX3028:AY3029"/>
    <mergeCell ref="AZ3028:AZ3029"/>
    <mergeCell ref="F3029:H3029"/>
    <mergeCell ref="X3029:AB3029"/>
    <mergeCell ref="AE3029:AI3029"/>
    <mergeCell ref="AJ3029:AL3029"/>
    <mergeCell ref="AN3029:AO3029"/>
    <mergeCell ref="AP3029:AQ3029"/>
    <mergeCell ref="W3030:W3031"/>
    <mergeCell ref="X3030:AB3030"/>
    <mergeCell ref="AD3030:AI3030"/>
    <mergeCell ref="AJ3030:AL3030"/>
    <mergeCell ref="AN3030:AO3030"/>
    <mergeCell ref="AP3030:AQ3030"/>
    <mergeCell ref="AR3030:AS3031"/>
    <mergeCell ref="AT3030:AU3031"/>
    <mergeCell ref="AV3030:AW3031"/>
    <mergeCell ref="AX3030:AY3031"/>
    <mergeCell ref="AZ3030:AZ3031"/>
    <mergeCell ref="F3031:H3031"/>
    <mergeCell ref="X3031:AB3031"/>
    <mergeCell ref="AE3031:AI3031"/>
    <mergeCell ref="AJ3031:AL3031"/>
    <mergeCell ref="AN3031:AO3031"/>
    <mergeCell ref="AP3031:AQ3031"/>
    <mergeCell ref="A3040:A3041"/>
    <mergeCell ref="E3040:E3041"/>
    <mergeCell ref="F3040:H3040"/>
    <mergeCell ref="J3040:J3041"/>
    <mergeCell ref="K3040:L3041"/>
    <mergeCell ref="M3040:N3041"/>
    <mergeCell ref="O3040:P3041"/>
    <mergeCell ref="Q3040:R3041"/>
    <mergeCell ref="S3040:T3041"/>
    <mergeCell ref="U3040:V3041"/>
    <mergeCell ref="W3040:W3041"/>
    <mergeCell ref="X3040:AB3040"/>
    <mergeCell ref="AD3040:AI3040"/>
    <mergeCell ref="AJ3040:AL3040"/>
    <mergeCell ref="AN3040:AO3040"/>
    <mergeCell ref="AP3040:AQ3040"/>
    <mergeCell ref="AR3040:AS3041"/>
    <mergeCell ref="AT3040:AU3041"/>
    <mergeCell ref="AV3040:AW3041"/>
    <mergeCell ref="AX3040:AY3041"/>
    <mergeCell ref="AZ3040:AZ3041"/>
    <mergeCell ref="F3041:H3041"/>
    <mergeCell ref="X3041:AB3041"/>
    <mergeCell ref="AE3041:AI3041"/>
    <mergeCell ref="AJ3041:AL3041"/>
    <mergeCell ref="AN3041:AO3041"/>
    <mergeCell ref="AP3041:AQ3041"/>
    <mergeCell ref="A3034:A3035"/>
    <mergeCell ref="E3034:E3035"/>
    <mergeCell ref="F3034:H3034"/>
    <mergeCell ref="J3034:J3035"/>
    <mergeCell ref="K3034:L3035"/>
    <mergeCell ref="M3034:N3035"/>
    <mergeCell ref="O3034:P3035"/>
    <mergeCell ref="Q3034:R3035"/>
    <mergeCell ref="S3034:T3035"/>
    <mergeCell ref="U3034:V3035"/>
    <mergeCell ref="A3038:A3039"/>
    <mergeCell ref="E3038:E3039"/>
    <mergeCell ref="F3038:H3038"/>
    <mergeCell ref="J3038:J3039"/>
    <mergeCell ref="K3038:L3039"/>
    <mergeCell ref="M3038:N3039"/>
    <mergeCell ref="O3038:P3039"/>
    <mergeCell ref="Q3038:R3039"/>
    <mergeCell ref="S3038:T3039"/>
    <mergeCell ref="U3038:V3039"/>
    <mergeCell ref="A3042:A3043"/>
    <mergeCell ref="E3042:E3043"/>
    <mergeCell ref="F3042:H3042"/>
    <mergeCell ref="J3042:J3043"/>
    <mergeCell ref="K3042:L3043"/>
    <mergeCell ref="M3042:N3043"/>
    <mergeCell ref="O3042:P3043"/>
    <mergeCell ref="Q3042:R3043"/>
    <mergeCell ref="S3042:T3043"/>
    <mergeCell ref="U3042:V3043"/>
    <mergeCell ref="W3042:W3043"/>
    <mergeCell ref="X3042:AB3042"/>
    <mergeCell ref="AD3042:AI3042"/>
    <mergeCell ref="AJ3042:AL3042"/>
    <mergeCell ref="AN3042:AO3042"/>
    <mergeCell ref="AP3042:AQ3042"/>
    <mergeCell ref="AR3042:AS3043"/>
    <mergeCell ref="AT3042:AU3043"/>
    <mergeCell ref="AV3042:AW3043"/>
    <mergeCell ref="AX3042:AY3043"/>
    <mergeCell ref="AZ3042:AZ3043"/>
    <mergeCell ref="F3043:H3043"/>
    <mergeCell ref="X3043:AB3043"/>
    <mergeCell ref="AE3043:AI3043"/>
    <mergeCell ref="AJ3043:AL3043"/>
    <mergeCell ref="AN3043:AO3043"/>
    <mergeCell ref="AP3043:AQ3043"/>
    <mergeCell ref="A3044:A3045"/>
    <mergeCell ref="E3044:E3045"/>
    <mergeCell ref="F3044:H3044"/>
    <mergeCell ref="J3044:J3045"/>
    <mergeCell ref="K3044:L3045"/>
    <mergeCell ref="M3044:N3045"/>
    <mergeCell ref="O3044:P3045"/>
    <mergeCell ref="Q3044:R3045"/>
    <mergeCell ref="S3044:T3045"/>
    <mergeCell ref="U3044:V3045"/>
    <mergeCell ref="W3044:W3045"/>
    <mergeCell ref="X3044:AB3044"/>
    <mergeCell ref="AD3044:AI3044"/>
    <mergeCell ref="AJ3044:AL3044"/>
    <mergeCell ref="AN3044:AO3044"/>
    <mergeCell ref="AP3044:AQ3044"/>
    <mergeCell ref="AR3044:AS3045"/>
    <mergeCell ref="AT3044:AU3045"/>
    <mergeCell ref="AV3044:AW3045"/>
    <mergeCell ref="AX3044:AY3045"/>
    <mergeCell ref="AZ3044:AZ3045"/>
    <mergeCell ref="F3045:H3045"/>
    <mergeCell ref="X3045:AB3045"/>
    <mergeCell ref="AE3045:AI3045"/>
    <mergeCell ref="AJ3045:AL3045"/>
    <mergeCell ref="AN3045:AO3045"/>
    <mergeCell ref="AP3045:AQ3045"/>
    <mergeCell ref="A3046:A3047"/>
    <mergeCell ref="E3046:E3047"/>
    <mergeCell ref="F3046:H3046"/>
    <mergeCell ref="J3046:J3047"/>
    <mergeCell ref="K3046:L3047"/>
    <mergeCell ref="M3046:N3047"/>
    <mergeCell ref="O3046:P3047"/>
    <mergeCell ref="Q3046:R3047"/>
    <mergeCell ref="S3046:T3047"/>
    <mergeCell ref="U3046:V3047"/>
    <mergeCell ref="W3046:W3047"/>
    <mergeCell ref="X3046:AB3046"/>
    <mergeCell ref="AD3046:AI3046"/>
    <mergeCell ref="AJ3046:AL3046"/>
    <mergeCell ref="AN3046:AO3046"/>
    <mergeCell ref="AP3046:AQ3046"/>
    <mergeCell ref="AR3046:AS3047"/>
    <mergeCell ref="AT3046:AU3047"/>
    <mergeCell ref="AV3046:AW3047"/>
    <mergeCell ref="AX3046:AY3047"/>
    <mergeCell ref="AZ3046:AZ3047"/>
    <mergeCell ref="F3047:H3047"/>
    <mergeCell ref="X3047:AB3047"/>
    <mergeCell ref="AE3047:AI3047"/>
    <mergeCell ref="AJ3047:AL3047"/>
    <mergeCell ref="AN3047:AO3047"/>
    <mergeCell ref="AP3047:AQ3047"/>
    <mergeCell ref="A3048:A3049"/>
    <mergeCell ref="E3048:E3049"/>
    <mergeCell ref="F3048:H3048"/>
    <mergeCell ref="J3048:J3049"/>
    <mergeCell ref="K3048:L3049"/>
    <mergeCell ref="M3048:N3049"/>
    <mergeCell ref="O3048:P3049"/>
    <mergeCell ref="Q3048:R3049"/>
    <mergeCell ref="S3048:T3049"/>
    <mergeCell ref="U3048:V3049"/>
    <mergeCell ref="W3048:W3049"/>
    <mergeCell ref="X3048:AB3048"/>
    <mergeCell ref="AD3048:AI3048"/>
    <mergeCell ref="AJ3048:AL3048"/>
    <mergeCell ref="AN3048:AO3048"/>
    <mergeCell ref="AP3048:AQ3048"/>
    <mergeCell ref="AR3048:AS3049"/>
    <mergeCell ref="AT3048:AU3049"/>
    <mergeCell ref="AV3048:AW3049"/>
    <mergeCell ref="AX3048:AY3049"/>
    <mergeCell ref="AZ3048:AZ3049"/>
    <mergeCell ref="F3049:H3049"/>
    <mergeCell ref="X3049:AB3049"/>
    <mergeCell ref="AE3049:AI3049"/>
    <mergeCell ref="AJ3049:AL3049"/>
    <mergeCell ref="AN3049:AO3049"/>
    <mergeCell ref="AP3049:AQ3049"/>
    <mergeCell ref="AZ2824:AZ2825"/>
    <mergeCell ref="F2825:H2825"/>
    <mergeCell ref="X2825:AB2825"/>
    <mergeCell ref="AE2825:AI2825"/>
    <mergeCell ref="AJ2825:AL2825"/>
    <mergeCell ref="AN2825:AO2825"/>
    <mergeCell ref="AP2825:AQ2825"/>
    <mergeCell ref="A2826:A2827"/>
    <mergeCell ref="E2826:E2827"/>
    <mergeCell ref="F2826:H2826"/>
    <mergeCell ref="J2826:J2827"/>
    <mergeCell ref="K2826:L2827"/>
    <mergeCell ref="M2826:N2827"/>
    <mergeCell ref="O2826:P2827"/>
    <mergeCell ref="Q2826:R2827"/>
    <mergeCell ref="S2826:T2827"/>
    <mergeCell ref="U2826:V2827"/>
    <mergeCell ref="W2826:W2827"/>
    <mergeCell ref="X2826:AB2826"/>
    <mergeCell ref="AD2826:AI2826"/>
    <mergeCell ref="AJ2826:AL2826"/>
    <mergeCell ref="AN2826:AO2826"/>
    <mergeCell ref="AP2826:AQ2826"/>
    <mergeCell ref="AR2826:AS2827"/>
    <mergeCell ref="AT2826:AU2827"/>
    <mergeCell ref="AV2826:AW2827"/>
    <mergeCell ref="AX2826:AY2827"/>
    <mergeCell ref="AZ2826:AZ2827"/>
    <mergeCell ref="F2827:H2827"/>
    <mergeCell ref="X2827:AB2827"/>
    <mergeCell ref="AE2827:AI2827"/>
    <mergeCell ref="AJ2827:AL2827"/>
    <mergeCell ref="AN2827:AO2827"/>
    <mergeCell ref="AP2827:AQ2827"/>
    <mergeCell ref="A2824:A2825"/>
    <mergeCell ref="E2824:E2825"/>
    <mergeCell ref="F2824:H2824"/>
    <mergeCell ref="J2824:J2825"/>
    <mergeCell ref="K2824:L2825"/>
    <mergeCell ref="M2824:N2825"/>
    <mergeCell ref="K2828:L2829"/>
    <mergeCell ref="M2828:N2829"/>
    <mergeCell ref="O2828:P2829"/>
    <mergeCell ref="Q2828:R2829"/>
    <mergeCell ref="S2828:T2829"/>
    <mergeCell ref="U2828:V2829"/>
    <mergeCell ref="W2828:W2829"/>
    <mergeCell ref="X2828:AB2828"/>
    <mergeCell ref="AD2828:AI2828"/>
    <mergeCell ref="AJ2828:AL2828"/>
    <mergeCell ref="AN2828:AO2828"/>
    <mergeCell ref="AP2828:AQ2828"/>
    <mergeCell ref="AR2828:AS2829"/>
    <mergeCell ref="AT2828:AU2829"/>
    <mergeCell ref="AV2828:AW2829"/>
    <mergeCell ref="AX2828:AY2829"/>
    <mergeCell ref="AZ2828:AZ2829"/>
    <mergeCell ref="F2829:H2829"/>
    <mergeCell ref="X2829:AB2829"/>
    <mergeCell ref="AE2829:AI2829"/>
    <mergeCell ref="AJ2829:AL2829"/>
    <mergeCell ref="AN2829:AO2829"/>
    <mergeCell ref="AP2829:AQ2829"/>
    <mergeCell ref="A2830:A2831"/>
    <mergeCell ref="E2830:E2831"/>
    <mergeCell ref="F2830:H2830"/>
    <mergeCell ref="J2830:J2831"/>
    <mergeCell ref="K2830:L2831"/>
    <mergeCell ref="M2830:N2831"/>
    <mergeCell ref="O2830:P2831"/>
    <mergeCell ref="Q2830:R2831"/>
    <mergeCell ref="S2830:T2831"/>
    <mergeCell ref="U2830:V2831"/>
    <mergeCell ref="W2830:W2831"/>
    <mergeCell ref="X2830:AB2830"/>
    <mergeCell ref="AD2830:AI2830"/>
    <mergeCell ref="AJ2830:AL2830"/>
    <mergeCell ref="AN2830:AO2830"/>
    <mergeCell ref="AP2830:AQ2830"/>
    <mergeCell ref="AR2830:AS2831"/>
    <mergeCell ref="AT2830:AU2831"/>
    <mergeCell ref="AV2830:AW2831"/>
    <mergeCell ref="AX2830:AY2831"/>
    <mergeCell ref="AZ2830:AZ2831"/>
    <mergeCell ref="F2831:H2831"/>
    <mergeCell ref="X2831:AB2831"/>
    <mergeCell ref="AE2831:AI2831"/>
    <mergeCell ref="AJ2831:AL2831"/>
    <mergeCell ref="AN2831:AO2831"/>
    <mergeCell ref="AP2831:AQ2831"/>
    <mergeCell ref="A2832:A2833"/>
    <mergeCell ref="E2832:E2833"/>
    <mergeCell ref="F2832:H2832"/>
    <mergeCell ref="J2832:J2833"/>
    <mergeCell ref="K2832:L2833"/>
    <mergeCell ref="M2832:N2833"/>
    <mergeCell ref="O2832:P2833"/>
    <mergeCell ref="Q2832:R2833"/>
    <mergeCell ref="S2832:T2833"/>
    <mergeCell ref="U2832:V2833"/>
    <mergeCell ref="W2832:W2833"/>
    <mergeCell ref="X2832:AB2832"/>
    <mergeCell ref="AD2832:AI2832"/>
    <mergeCell ref="AJ2832:AL2832"/>
    <mergeCell ref="AN2832:AO2832"/>
    <mergeCell ref="AP2832:AQ2832"/>
    <mergeCell ref="AR2832:AS2833"/>
    <mergeCell ref="AT2832:AU2833"/>
    <mergeCell ref="AV2832:AW2833"/>
    <mergeCell ref="AX2832:AY2833"/>
    <mergeCell ref="AZ2832:AZ2833"/>
    <mergeCell ref="F2833:H2833"/>
    <mergeCell ref="X2833:AB2833"/>
    <mergeCell ref="AE2833:AI2833"/>
    <mergeCell ref="AJ2833:AL2833"/>
    <mergeCell ref="AN2833:AO2833"/>
    <mergeCell ref="AP2833:AQ2833"/>
    <mergeCell ref="A2834:A2835"/>
    <mergeCell ref="E2834:E2835"/>
    <mergeCell ref="F2834:H2834"/>
    <mergeCell ref="J2834:J2835"/>
    <mergeCell ref="K2834:L2835"/>
    <mergeCell ref="M2834:N2835"/>
    <mergeCell ref="O2834:P2835"/>
    <mergeCell ref="Q2834:R2835"/>
    <mergeCell ref="S2834:T2835"/>
    <mergeCell ref="U2834:V2835"/>
    <mergeCell ref="W2834:W2835"/>
    <mergeCell ref="X2834:AB2834"/>
    <mergeCell ref="AD2834:AI2834"/>
    <mergeCell ref="AJ2834:AL2834"/>
    <mergeCell ref="AN2834:AO2834"/>
    <mergeCell ref="AP2834:AQ2834"/>
    <mergeCell ref="AR2834:AS2835"/>
    <mergeCell ref="AT2834:AU2835"/>
    <mergeCell ref="AV2834:AW2835"/>
    <mergeCell ref="AX2834:AY2835"/>
    <mergeCell ref="AZ2834:AZ2835"/>
    <mergeCell ref="F2835:H2835"/>
    <mergeCell ref="X2835:AB2835"/>
    <mergeCell ref="AE2835:AI2835"/>
    <mergeCell ref="AJ2835:AL2835"/>
    <mergeCell ref="AN2835:AO2835"/>
    <mergeCell ref="AP2835:AQ2835"/>
    <mergeCell ref="AZ2836:AZ2837"/>
    <mergeCell ref="F2837:H2837"/>
    <mergeCell ref="X2837:AB2837"/>
    <mergeCell ref="AE2837:AI2837"/>
    <mergeCell ref="AJ2837:AL2837"/>
    <mergeCell ref="AN2837:AO2837"/>
    <mergeCell ref="AP2837:AQ2837"/>
    <mergeCell ref="A2900:A2901"/>
    <mergeCell ref="E2900:E2901"/>
    <mergeCell ref="F2900:H2900"/>
    <mergeCell ref="J2900:J2901"/>
    <mergeCell ref="K2900:L2901"/>
    <mergeCell ref="M2900:N2901"/>
    <mergeCell ref="O2900:P2901"/>
    <mergeCell ref="Q2900:R2901"/>
    <mergeCell ref="S2900:T2901"/>
    <mergeCell ref="U2900:V2901"/>
    <mergeCell ref="W2900:W2901"/>
    <mergeCell ref="X2900:AB2900"/>
    <mergeCell ref="AD2900:AI2900"/>
    <mergeCell ref="AJ2900:AL2900"/>
    <mergeCell ref="AN2900:AO2900"/>
    <mergeCell ref="AP2900:AQ2900"/>
    <mergeCell ref="AR2900:AS2901"/>
    <mergeCell ref="AT2900:AU2901"/>
    <mergeCell ref="AV2900:AW2901"/>
    <mergeCell ref="AX2900:AY2901"/>
    <mergeCell ref="AZ2900:AZ2901"/>
    <mergeCell ref="F2901:H2901"/>
    <mergeCell ref="X2901:AB2901"/>
    <mergeCell ref="AE2901:AI2901"/>
    <mergeCell ref="AJ2901:AL2901"/>
    <mergeCell ref="AN2901:AO2901"/>
    <mergeCell ref="AP2901:AQ2901"/>
    <mergeCell ref="W2872:W2873"/>
    <mergeCell ref="X2872:AB2872"/>
    <mergeCell ref="AD2872:AI2872"/>
    <mergeCell ref="AJ2872:AL2872"/>
    <mergeCell ref="AN2872:AO2872"/>
    <mergeCell ref="AP2872:AQ2872"/>
    <mergeCell ref="AR2872:AS2873"/>
    <mergeCell ref="AT2872:AU2873"/>
    <mergeCell ref="AV2872:AW2873"/>
    <mergeCell ref="AX2872:AY2873"/>
    <mergeCell ref="AZ2872:AZ2873"/>
    <mergeCell ref="F2873:H2873"/>
    <mergeCell ref="X2873:AB2873"/>
    <mergeCell ref="AE2873:AI2873"/>
    <mergeCell ref="AJ2873:AL2873"/>
    <mergeCell ref="AN2873:AO2873"/>
    <mergeCell ref="AP2873:AQ2873"/>
    <mergeCell ref="A2896:A2897"/>
    <mergeCell ref="E2896:E2897"/>
    <mergeCell ref="F2896:H2896"/>
    <mergeCell ref="J2896:J2897"/>
    <mergeCell ref="K2896:L2897"/>
    <mergeCell ref="M2896:N2897"/>
    <mergeCell ref="O2896:P2897"/>
    <mergeCell ref="Q2896:R2897"/>
    <mergeCell ref="S2896:T2897"/>
    <mergeCell ref="U2896:V2897"/>
    <mergeCell ref="W2896:W2897"/>
    <mergeCell ref="X2896:AB2896"/>
    <mergeCell ref="AD2896:AI2896"/>
    <mergeCell ref="A2902:A2903"/>
    <mergeCell ref="E2902:E2903"/>
    <mergeCell ref="F2902:H2902"/>
    <mergeCell ref="J2902:J2903"/>
    <mergeCell ref="K2902:L2903"/>
    <mergeCell ref="M2902:N2903"/>
    <mergeCell ref="O2902:P2903"/>
    <mergeCell ref="Q2902:R2903"/>
    <mergeCell ref="S2902:T2903"/>
    <mergeCell ref="U2902:V2903"/>
    <mergeCell ref="W2902:W2903"/>
    <mergeCell ref="X2902:AB2902"/>
    <mergeCell ref="AD2902:AI2902"/>
    <mergeCell ref="AJ2902:AL2902"/>
    <mergeCell ref="AN2902:AO2902"/>
    <mergeCell ref="AP2902:AQ2902"/>
    <mergeCell ref="AR2902:AS2903"/>
    <mergeCell ref="AT2902:AU2903"/>
    <mergeCell ref="AV2902:AW2903"/>
    <mergeCell ref="AX2902:AY2903"/>
    <mergeCell ref="AZ2902:AZ2903"/>
    <mergeCell ref="F2903:H2903"/>
    <mergeCell ref="X2903:AB2903"/>
    <mergeCell ref="AE2903:AI2903"/>
    <mergeCell ref="AJ2903:AL2903"/>
    <mergeCell ref="AN2903:AO2903"/>
    <mergeCell ref="AP2903:AQ2903"/>
    <mergeCell ref="A2906:A2907"/>
    <mergeCell ref="E2906:E2907"/>
    <mergeCell ref="F2906:H2906"/>
    <mergeCell ref="J2906:J2907"/>
    <mergeCell ref="K2906:L2907"/>
    <mergeCell ref="M2906:N2907"/>
    <mergeCell ref="O2906:P2907"/>
    <mergeCell ref="Q2906:R2907"/>
    <mergeCell ref="S2906:T2907"/>
    <mergeCell ref="U2906:V2907"/>
    <mergeCell ref="W2906:W2907"/>
    <mergeCell ref="X2906:AB2906"/>
    <mergeCell ref="AD2906:AI2906"/>
    <mergeCell ref="AJ2906:AL2906"/>
    <mergeCell ref="AN2906:AO2906"/>
    <mergeCell ref="AP2906:AQ2906"/>
    <mergeCell ref="AR2906:AS2907"/>
    <mergeCell ref="AT2906:AU2907"/>
    <mergeCell ref="AV2906:AW2907"/>
    <mergeCell ref="AX2906:AY2907"/>
    <mergeCell ref="AZ2906:AZ2907"/>
    <mergeCell ref="F2907:H2907"/>
    <mergeCell ref="X2907:AB2907"/>
    <mergeCell ref="AE2907:AI2907"/>
    <mergeCell ref="AJ2907:AL2907"/>
    <mergeCell ref="AN2907:AO2907"/>
    <mergeCell ref="AP2907:AQ2907"/>
    <mergeCell ref="A2904:A2905"/>
    <mergeCell ref="E2904:E2905"/>
    <mergeCell ref="F2904:H2904"/>
    <mergeCell ref="J2904:J2905"/>
    <mergeCell ref="K2904:L2905"/>
    <mergeCell ref="M2904:N2905"/>
    <mergeCell ref="O2904:P2905"/>
    <mergeCell ref="Q2904:R2905"/>
    <mergeCell ref="S2904:T2905"/>
    <mergeCell ref="U2904:V2905"/>
    <mergeCell ref="AZ2908:AZ2909"/>
    <mergeCell ref="F2909:H2909"/>
    <mergeCell ref="X2909:AB2909"/>
    <mergeCell ref="AE2909:AI2909"/>
    <mergeCell ref="AJ2909:AL2909"/>
    <mergeCell ref="AN2909:AO2909"/>
    <mergeCell ref="AP2909:AQ2909"/>
    <mergeCell ref="A2916:A2917"/>
    <mergeCell ref="E2916:E2917"/>
    <mergeCell ref="F2916:H2916"/>
    <mergeCell ref="J2916:J2917"/>
    <mergeCell ref="K2916:L2917"/>
    <mergeCell ref="M2916:N2917"/>
    <mergeCell ref="O2916:P2917"/>
    <mergeCell ref="Q2916:R2917"/>
    <mergeCell ref="S2916:T2917"/>
    <mergeCell ref="U2916:V2917"/>
    <mergeCell ref="W2916:W2917"/>
    <mergeCell ref="X2916:AB2916"/>
    <mergeCell ref="AD2916:AI2916"/>
    <mergeCell ref="AJ2916:AL2916"/>
    <mergeCell ref="AN2916:AO2916"/>
    <mergeCell ref="AP2916:AQ2916"/>
    <mergeCell ref="AR2916:AS2917"/>
    <mergeCell ref="AT2916:AU2917"/>
    <mergeCell ref="AV2916:AW2917"/>
    <mergeCell ref="AX2916:AY2917"/>
    <mergeCell ref="AZ2916:AZ2917"/>
    <mergeCell ref="F2917:H2917"/>
    <mergeCell ref="X2917:AB2917"/>
    <mergeCell ref="AE2917:AI2917"/>
    <mergeCell ref="AJ2917:AL2917"/>
    <mergeCell ref="AN2917:AO2917"/>
    <mergeCell ref="AP2917:AQ2917"/>
    <mergeCell ref="W2914:W2915"/>
    <mergeCell ref="X2914:AB2914"/>
    <mergeCell ref="AD2914:AI2914"/>
    <mergeCell ref="AJ2914:AL2914"/>
    <mergeCell ref="AN2914:AO2914"/>
    <mergeCell ref="AP2914:AQ2914"/>
    <mergeCell ref="AR2914:AS2915"/>
    <mergeCell ref="AT2914:AU2915"/>
    <mergeCell ref="AV2914:AW2915"/>
    <mergeCell ref="AX2914:AY2915"/>
    <mergeCell ref="AZ2914:AZ2915"/>
    <mergeCell ref="F2915:H2915"/>
    <mergeCell ref="X2915:AB2915"/>
    <mergeCell ref="AE2915:AI2915"/>
    <mergeCell ref="AJ2915:AL2915"/>
    <mergeCell ref="AN2915:AO2915"/>
    <mergeCell ref="AP2915:AQ2915"/>
    <mergeCell ref="A2920:A2921"/>
    <mergeCell ref="E2920:E2921"/>
    <mergeCell ref="F2920:H2920"/>
    <mergeCell ref="J2920:J2921"/>
    <mergeCell ref="K2920:L2921"/>
    <mergeCell ref="M2920:N2921"/>
    <mergeCell ref="O2920:P2921"/>
    <mergeCell ref="Q2920:R2921"/>
    <mergeCell ref="S2920:T2921"/>
    <mergeCell ref="U2920:V2921"/>
    <mergeCell ref="W2920:W2921"/>
    <mergeCell ref="X2920:AB2920"/>
    <mergeCell ref="AD2920:AI2920"/>
    <mergeCell ref="AJ2920:AL2920"/>
    <mergeCell ref="AN2920:AO2920"/>
    <mergeCell ref="AP2920:AQ2920"/>
    <mergeCell ref="AR2920:AS2921"/>
    <mergeCell ref="AT2920:AU2921"/>
    <mergeCell ref="AV2920:AW2921"/>
    <mergeCell ref="AX2920:AY2921"/>
    <mergeCell ref="AZ2920:AZ2921"/>
    <mergeCell ref="F2921:H2921"/>
    <mergeCell ref="X2921:AB2921"/>
    <mergeCell ref="AE2921:AI2921"/>
    <mergeCell ref="AJ2921:AL2921"/>
    <mergeCell ref="AN2921:AO2921"/>
    <mergeCell ref="AP2921:AQ2921"/>
    <mergeCell ref="A2942:A2943"/>
    <mergeCell ref="E2942:E2943"/>
    <mergeCell ref="F2942:H2942"/>
    <mergeCell ref="J2942:J2943"/>
    <mergeCell ref="K2942:L2943"/>
    <mergeCell ref="M2942:N2943"/>
    <mergeCell ref="O2942:P2943"/>
    <mergeCell ref="Q2942:R2943"/>
    <mergeCell ref="S2942:T2943"/>
    <mergeCell ref="U2942:V2943"/>
    <mergeCell ref="W2942:W2943"/>
    <mergeCell ref="X2942:AB2942"/>
    <mergeCell ref="AD2942:AI2942"/>
    <mergeCell ref="AJ2942:AL2942"/>
    <mergeCell ref="AN2942:AO2942"/>
    <mergeCell ref="AP2942:AQ2942"/>
    <mergeCell ref="AR2942:AS2943"/>
    <mergeCell ref="AT2942:AU2943"/>
    <mergeCell ref="AV2942:AW2943"/>
    <mergeCell ref="AX2942:AY2943"/>
    <mergeCell ref="AZ2942:AZ2943"/>
    <mergeCell ref="F2943:H2943"/>
    <mergeCell ref="X2943:AB2943"/>
    <mergeCell ref="AE2943:AI2943"/>
    <mergeCell ref="AJ2943:AL2943"/>
    <mergeCell ref="AN2943:AO2943"/>
    <mergeCell ref="AP2943:AQ2943"/>
    <mergeCell ref="A2938:A2939"/>
    <mergeCell ref="E2938:E2939"/>
    <mergeCell ref="F2938:H2938"/>
    <mergeCell ref="J2938:J2939"/>
    <mergeCell ref="K2938:L2939"/>
    <mergeCell ref="M2938:N2939"/>
    <mergeCell ref="O2938:P2939"/>
    <mergeCell ref="Q2938:R2939"/>
    <mergeCell ref="S2938:T2939"/>
    <mergeCell ref="U2938:V2939"/>
    <mergeCell ref="A2980:A2981"/>
    <mergeCell ref="E2980:E2981"/>
    <mergeCell ref="F2980:H2980"/>
    <mergeCell ref="J2980:J2981"/>
    <mergeCell ref="K2980:L2981"/>
    <mergeCell ref="M2980:N2981"/>
    <mergeCell ref="O2980:P2981"/>
    <mergeCell ref="Q2980:R2981"/>
    <mergeCell ref="S2980:T2981"/>
    <mergeCell ref="U2980:V2981"/>
    <mergeCell ref="W2980:W2981"/>
    <mergeCell ref="X2980:AB2980"/>
    <mergeCell ref="AD2980:AI2980"/>
    <mergeCell ref="AJ2980:AL2980"/>
    <mergeCell ref="AN2980:AO2980"/>
    <mergeCell ref="AP2980:AQ2980"/>
    <mergeCell ref="AR2980:AS2981"/>
    <mergeCell ref="AT2980:AU2981"/>
    <mergeCell ref="AV2980:AW2981"/>
    <mergeCell ref="AX2980:AY2981"/>
    <mergeCell ref="AZ2980:AZ2981"/>
    <mergeCell ref="F2981:H2981"/>
    <mergeCell ref="X2981:AB2981"/>
    <mergeCell ref="AE2981:AI2981"/>
    <mergeCell ref="AJ2981:AL2981"/>
    <mergeCell ref="AN2981:AO2981"/>
    <mergeCell ref="AP2981:AQ2981"/>
    <mergeCell ref="A2982:A2983"/>
    <mergeCell ref="E2982:E2983"/>
    <mergeCell ref="F2982:H2982"/>
    <mergeCell ref="J2982:J2983"/>
    <mergeCell ref="K2982:L2983"/>
    <mergeCell ref="M2982:N2983"/>
    <mergeCell ref="O2982:P2983"/>
    <mergeCell ref="Q2982:R2983"/>
    <mergeCell ref="S2982:T2983"/>
    <mergeCell ref="U2982:V2983"/>
    <mergeCell ref="W2982:W2983"/>
    <mergeCell ref="X2982:AB2982"/>
    <mergeCell ref="AD2982:AI2982"/>
    <mergeCell ref="AJ2982:AL2982"/>
    <mergeCell ref="AN2982:AO2982"/>
    <mergeCell ref="AP2982:AQ2982"/>
    <mergeCell ref="AR2982:AS2983"/>
    <mergeCell ref="AT2982:AU2983"/>
    <mergeCell ref="AV2982:AW2983"/>
    <mergeCell ref="AX2982:AY2983"/>
    <mergeCell ref="AZ2982:AZ2983"/>
    <mergeCell ref="F2983:H2983"/>
    <mergeCell ref="X2983:AB2983"/>
    <mergeCell ref="AE2983:AI2983"/>
    <mergeCell ref="AJ2983:AL2983"/>
    <mergeCell ref="AN2983:AO2983"/>
    <mergeCell ref="AP2983:AQ2983"/>
    <mergeCell ref="A2984:A2985"/>
    <mergeCell ref="E2984:E2985"/>
    <mergeCell ref="F2984:H2984"/>
    <mergeCell ref="J2984:J2985"/>
    <mergeCell ref="K2984:L2985"/>
    <mergeCell ref="M2984:N2985"/>
    <mergeCell ref="O2984:P2985"/>
    <mergeCell ref="Q2984:R2985"/>
    <mergeCell ref="S2984:T2985"/>
    <mergeCell ref="U2984:V2985"/>
    <mergeCell ref="W2984:W2985"/>
    <mergeCell ref="X2984:AB2984"/>
    <mergeCell ref="AD2984:AI2984"/>
    <mergeCell ref="AJ2984:AL2984"/>
    <mergeCell ref="AN2984:AO2984"/>
    <mergeCell ref="AP2984:AQ2984"/>
    <mergeCell ref="AR2984:AS2985"/>
    <mergeCell ref="AT2984:AU2985"/>
    <mergeCell ref="AV2984:AW2985"/>
    <mergeCell ref="AX2984:AY2985"/>
    <mergeCell ref="AZ2984:AZ2985"/>
    <mergeCell ref="F2985:H2985"/>
    <mergeCell ref="X2985:AB2985"/>
    <mergeCell ref="AE2985:AI2985"/>
    <mergeCell ref="AJ2985:AL2985"/>
    <mergeCell ref="AN2985:AO2985"/>
    <mergeCell ref="AP2985:AQ2985"/>
    <mergeCell ref="A2986:A2987"/>
    <mergeCell ref="E2986:E2987"/>
    <mergeCell ref="F2986:H2986"/>
    <mergeCell ref="J2986:J2987"/>
    <mergeCell ref="K2986:L2987"/>
    <mergeCell ref="M2986:N2987"/>
    <mergeCell ref="O2986:P2987"/>
    <mergeCell ref="Q2986:R2987"/>
    <mergeCell ref="S2986:T2987"/>
    <mergeCell ref="U2986:V2987"/>
    <mergeCell ref="W2986:W2987"/>
    <mergeCell ref="X2986:AB2986"/>
    <mergeCell ref="AD2986:AI2986"/>
    <mergeCell ref="AJ2986:AL2986"/>
    <mergeCell ref="AN2986:AO2986"/>
    <mergeCell ref="AP2986:AQ2986"/>
    <mergeCell ref="AR2986:AS2987"/>
    <mergeCell ref="AT2986:AU2987"/>
    <mergeCell ref="AV2986:AW2987"/>
    <mergeCell ref="AX2986:AY2987"/>
    <mergeCell ref="AZ2986:AZ2987"/>
    <mergeCell ref="F2987:H2987"/>
    <mergeCell ref="X2987:AB2987"/>
    <mergeCell ref="AE2987:AI2987"/>
    <mergeCell ref="AJ2987:AL2987"/>
    <mergeCell ref="AN2987:AO2987"/>
    <mergeCell ref="AP2987:AQ2987"/>
    <mergeCell ref="A2988:A2989"/>
    <mergeCell ref="E2988:E2989"/>
    <mergeCell ref="F2988:H2988"/>
    <mergeCell ref="J2988:J2989"/>
    <mergeCell ref="K2988:L2989"/>
    <mergeCell ref="M2988:N2989"/>
    <mergeCell ref="O2988:P2989"/>
    <mergeCell ref="Q2988:R2989"/>
    <mergeCell ref="S2988:T2989"/>
    <mergeCell ref="U2988:V2989"/>
    <mergeCell ref="W2988:W2989"/>
    <mergeCell ref="X2988:AB2988"/>
    <mergeCell ref="AD2988:AI2988"/>
    <mergeCell ref="AJ2988:AL2988"/>
    <mergeCell ref="AN2988:AO2988"/>
    <mergeCell ref="AP2988:AQ2988"/>
    <mergeCell ref="AR2988:AS2989"/>
    <mergeCell ref="AT2988:AU2989"/>
    <mergeCell ref="AV2988:AW2989"/>
    <mergeCell ref="AX2988:AY2989"/>
    <mergeCell ref="AZ2988:AZ2989"/>
    <mergeCell ref="F2989:H2989"/>
    <mergeCell ref="X2989:AB2989"/>
    <mergeCell ref="AE2989:AI2989"/>
    <mergeCell ref="AJ2989:AL2989"/>
    <mergeCell ref="AN2989:AO2989"/>
    <mergeCell ref="AP2989:AQ2989"/>
    <mergeCell ref="A2990:A2991"/>
    <mergeCell ref="E2990:E2991"/>
    <mergeCell ref="F2990:H2990"/>
    <mergeCell ref="J2990:J2991"/>
    <mergeCell ref="K2990:L2991"/>
    <mergeCell ref="M2990:N2991"/>
    <mergeCell ref="O2990:P2991"/>
    <mergeCell ref="Q2990:R2991"/>
    <mergeCell ref="S2990:T2991"/>
    <mergeCell ref="U2990:V2991"/>
    <mergeCell ref="W2990:W2991"/>
    <mergeCell ref="X2990:AB2990"/>
    <mergeCell ref="AD2990:AI2990"/>
    <mergeCell ref="AJ2990:AL2990"/>
    <mergeCell ref="AN2990:AO2990"/>
    <mergeCell ref="AP2990:AQ2990"/>
    <mergeCell ref="AR2990:AS2991"/>
    <mergeCell ref="AT2990:AU2991"/>
    <mergeCell ref="AV2990:AW2991"/>
    <mergeCell ref="AX2990:AY2991"/>
    <mergeCell ref="AZ2990:AZ2991"/>
    <mergeCell ref="F2991:H2991"/>
    <mergeCell ref="X2991:AB2991"/>
    <mergeCell ref="AE2991:AI2991"/>
    <mergeCell ref="AJ2991:AL2991"/>
    <mergeCell ref="AN2991:AO2991"/>
    <mergeCell ref="AP2991:AQ2991"/>
    <mergeCell ref="A2992:A2993"/>
    <mergeCell ref="E2992:E2993"/>
    <mergeCell ref="F2992:H2992"/>
    <mergeCell ref="J2992:J2993"/>
    <mergeCell ref="K2992:L2993"/>
    <mergeCell ref="M2992:N2993"/>
    <mergeCell ref="O2992:P2993"/>
    <mergeCell ref="Q2992:R2993"/>
    <mergeCell ref="S2992:T2993"/>
    <mergeCell ref="U2992:V2993"/>
    <mergeCell ref="W2992:W2993"/>
    <mergeCell ref="X2992:AB2992"/>
    <mergeCell ref="AD2992:AI2992"/>
    <mergeCell ref="AJ2992:AL2992"/>
    <mergeCell ref="AN2992:AO2992"/>
    <mergeCell ref="AP2992:AQ2992"/>
    <mergeCell ref="AR2992:AS2993"/>
    <mergeCell ref="AT2992:AU2993"/>
    <mergeCell ref="AV2992:AW2993"/>
    <mergeCell ref="AX2992:AY2993"/>
    <mergeCell ref="AZ2992:AZ2993"/>
    <mergeCell ref="F2993:H2993"/>
    <mergeCell ref="X2993:AB2993"/>
    <mergeCell ref="AE2993:AI2993"/>
    <mergeCell ref="AJ2993:AL2993"/>
    <mergeCell ref="AN2993:AO2993"/>
    <mergeCell ref="AP2993:AQ2993"/>
    <mergeCell ref="A2994:A2995"/>
    <mergeCell ref="E2994:E2995"/>
    <mergeCell ref="F2994:H2994"/>
    <mergeCell ref="J2994:J2995"/>
    <mergeCell ref="K2994:L2995"/>
    <mergeCell ref="M2994:N2995"/>
    <mergeCell ref="O2994:P2995"/>
    <mergeCell ref="Q2994:R2995"/>
    <mergeCell ref="S2994:T2995"/>
    <mergeCell ref="U2994:V2995"/>
    <mergeCell ref="W2994:W2995"/>
    <mergeCell ref="X2994:AB2994"/>
    <mergeCell ref="AD2994:AI2994"/>
    <mergeCell ref="AJ2994:AL2994"/>
    <mergeCell ref="AN2994:AO2994"/>
    <mergeCell ref="AP2994:AQ2994"/>
    <mergeCell ref="AR2994:AS2995"/>
    <mergeCell ref="AT2994:AU2995"/>
    <mergeCell ref="AV2994:AW2995"/>
    <mergeCell ref="AX2994:AY2995"/>
    <mergeCell ref="AZ2994:AZ2995"/>
    <mergeCell ref="F2995:H2995"/>
    <mergeCell ref="X2995:AB2995"/>
    <mergeCell ref="AE2995:AI2995"/>
    <mergeCell ref="AJ2995:AL2995"/>
    <mergeCell ref="AN2995:AO2995"/>
    <mergeCell ref="AP2995:AQ2995"/>
    <mergeCell ref="A2996:A2997"/>
    <mergeCell ref="E2996:E2997"/>
    <mergeCell ref="F2996:H2996"/>
    <mergeCell ref="J2996:J2997"/>
    <mergeCell ref="K2996:L2997"/>
    <mergeCell ref="M2996:N2997"/>
    <mergeCell ref="O2996:P2997"/>
    <mergeCell ref="Q2996:R2997"/>
    <mergeCell ref="S2996:T2997"/>
    <mergeCell ref="U2996:V2997"/>
    <mergeCell ref="W2996:W2997"/>
    <mergeCell ref="X2996:AB2996"/>
    <mergeCell ref="AD2996:AI2996"/>
    <mergeCell ref="AJ2996:AL2996"/>
    <mergeCell ref="AN2996:AO2996"/>
    <mergeCell ref="AP2996:AQ2996"/>
    <mergeCell ref="AR2996:AS2997"/>
    <mergeCell ref="AT2996:AU2997"/>
    <mergeCell ref="AV2996:AW2997"/>
    <mergeCell ref="AX2996:AY2997"/>
    <mergeCell ref="AZ2996:AZ2997"/>
    <mergeCell ref="F2997:H2997"/>
    <mergeCell ref="X2997:AB2997"/>
    <mergeCell ref="AE2997:AI2997"/>
    <mergeCell ref="AJ2997:AL2997"/>
    <mergeCell ref="AN2997:AO2997"/>
    <mergeCell ref="AP2997:AQ2997"/>
    <mergeCell ref="A2998:A2999"/>
    <mergeCell ref="E2998:E2999"/>
    <mergeCell ref="F2998:H2998"/>
    <mergeCell ref="J2998:J2999"/>
    <mergeCell ref="K2998:L2999"/>
    <mergeCell ref="M2998:N2999"/>
    <mergeCell ref="O2998:P2999"/>
    <mergeCell ref="Q2998:R2999"/>
    <mergeCell ref="S2998:T2999"/>
    <mergeCell ref="U2998:V2999"/>
    <mergeCell ref="W2998:W2999"/>
    <mergeCell ref="X2998:AB2998"/>
    <mergeCell ref="AD2998:AI2998"/>
    <mergeCell ref="AJ2998:AL2998"/>
    <mergeCell ref="AN2998:AO2998"/>
    <mergeCell ref="AP2998:AQ2998"/>
    <mergeCell ref="AR2998:AS2999"/>
    <mergeCell ref="AT2998:AU2999"/>
    <mergeCell ref="AV2998:AW2999"/>
    <mergeCell ref="AX2998:AY2999"/>
    <mergeCell ref="AZ2998:AZ2999"/>
    <mergeCell ref="F2999:H2999"/>
    <mergeCell ref="X2999:AB2999"/>
    <mergeCell ref="AE2999:AI2999"/>
    <mergeCell ref="AJ2999:AL2999"/>
    <mergeCell ref="AN2999:AO2999"/>
    <mergeCell ref="AP2999:AQ2999"/>
    <mergeCell ref="A3000:A3001"/>
    <mergeCell ref="E3000:E3001"/>
    <mergeCell ref="F3000:H3000"/>
    <mergeCell ref="J3000:J3001"/>
    <mergeCell ref="K3000:L3001"/>
    <mergeCell ref="M3000:N3001"/>
    <mergeCell ref="O3000:P3001"/>
    <mergeCell ref="Q3000:R3001"/>
    <mergeCell ref="S3000:T3001"/>
    <mergeCell ref="U3000:V3001"/>
    <mergeCell ref="W3000:W3001"/>
    <mergeCell ref="X3000:AB3000"/>
    <mergeCell ref="AD3000:AI3000"/>
    <mergeCell ref="AJ3000:AL3000"/>
    <mergeCell ref="AN3000:AO3000"/>
    <mergeCell ref="AP3000:AQ3000"/>
    <mergeCell ref="AR3000:AS3001"/>
    <mergeCell ref="AT3000:AU3001"/>
    <mergeCell ref="AV3000:AW3001"/>
    <mergeCell ref="AX3000:AY3001"/>
    <mergeCell ref="AZ3000:AZ3001"/>
    <mergeCell ref="F3001:H3001"/>
    <mergeCell ref="X3001:AB3001"/>
    <mergeCell ref="AE3001:AI3001"/>
    <mergeCell ref="AJ3001:AL3001"/>
    <mergeCell ref="AN3001:AO3001"/>
    <mergeCell ref="AP3001:AQ3001"/>
    <mergeCell ref="A3002:A3003"/>
    <mergeCell ref="E3002:E3003"/>
    <mergeCell ref="F3002:H3002"/>
    <mergeCell ref="J3002:J3003"/>
    <mergeCell ref="K3002:L3003"/>
    <mergeCell ref="M3002:N3003"/>
    <mergeCell ref="O3002:P3003"/>
    <mergeCell ref="Q3002:R3003"/>
    <mergeCell ref="S3002:T3003"/>
    <mergeCell ref="U3002:V3003"/>
    <mergeCell ref="W3002:W3003"/>
    <mergeCell ref="X3002:AB3002"/>
    <mergeCell ref="AD3002:AI3002"/>
    <mergeCell ref="AJ3002:AL3002"/>
    <mergeCell ref="AN3002:AO3002"/>
    <mergeCell ref="AP3002:AQ3002"/>
    <mergeCell ref="AR3002:AS3003"/>
    <mergeCell ref="AT3002:AU3003"/>
    <mergeCell ref="AV3002:AW3003"/>
    <mergeCell ref="AX3002:AY3003"/>
    <mergeCell ref="AZ3002:AZ3003"/>
    <mergeCell ref="F3003:H3003"/>
    <mergeCell ref="X3003:AB3003"/>
    <mergeCell ref="AE3003:AI3003"/>
    <mergeCell ref="AJ3003:AL3003"/>
    <mergeCell ref="AN3003:AO3003"/>
    <mergeCell ref="AP3003:AQ3003"/>
    <mergeCell ref="A3004:A3005"/>
    <mergeCell ref="E3004:E3005"/>
    <mergeCell ref="F3004:H3004"/>
    <mergeCell ref="J3004:J3005"/>
    <mergeCell ref="K3004:L3005"/>
    <mergeCell ref="M3004:N3005"/>
    <mergeCell ref="O3004:P3005"/>
    <mergeCell ref="Q3004:R3005"/>
    <mergeCell ref="S3004:T3005"/>
    <mergeCell ref="U3004:V3005"/>
    <mergeCell ref="W3004:W3005"/>
    <mergeCell ref="X3004:AB3004"/>
    <mergeCell ref="AD3004:AI3004"/>
    <mergeCell ref="AJ3004:AL3004"/>
    <mergeCell ref="AN3004:AO3004"/>
    <mergeCell ref="AP3004:AQ3004"/>
    <mergeCell ref="AR3004:AS3005"/>
    <mergeCell ref="AT3004:AU3005"/>
    <mergeCell ref="AV3004:AW3005"/>
    <mergeCell ref="AX3004:AY3005"/>
    <mergeCell ref="AZ3004:AZ3005"/>
    <mergeCell ref="F3005:H3005"/>
    <mergeCell ref="X3005:AB3005"/>
    <mergeCell ref="AE3005:AI3005"/>
    <mergeCell ref="AJ3005:AL3005"/>
    <mergeCell ref="AN3005:AO3005"/>
    <mergeCell ref="AP3005:AQ3005"/>
    <mergeCell ref="A3006:A3007"/>
    <mergeCell ref="E3006:E3007"/>
    <mergeCell ref="F3006:H3006"/>
    <mergeCell ref="J3006:J3007"/>
    <mergeCell ref="K3006:L3007"/>
    <mergeCell ref="M3006:N3007"/>
    <mergeCell ref="O3006:P3007"/>
    <mergeCell ref="Q3006:R3007"/>
    <mergeCell ref="S3006:T3007"/>
    <mergeCell ref="U3006:V3007"/>
    <mergeCell ref="W3006:W3007"/>
    <mergeCell ref="X3006:AB3006"/>
    <mergeCell ref="AD3006:AI3006"/>
    <mergeCell ref="AJ3006:AL3006"/>
    <mergeCell ref="AN3006:AO3006"/>
    <mergeCell ref="AP3006:AQ3006"/>
    <mergeCell ref="AR3006:AS3007"/>
    <mergeCell ref="AT3006:AU3007"/>
    <mergeCell ref="AV3006:AW3007"/>
    <mergeCell ref="AX3006:AY3007"/>
    <mergeCell ref="AZ3006:AZ3007"/>
    <mergeCell ref="F3007:H3007"/>
    <mergeCell ref="X3007:AB3007"/>
    <mergeCell ref="AE3007:AI3007"/>
    <mergeCell ref="AJ3007:AL3007"/>
    <mergeCell ref="AN3007:AO3007"/>
    <mergeCell ref="AP3007:AQ3007"/>
    <mergeCell ref="A3008:A3009"/>
    <mergeCell ref="E3008:E3009"/>
    <mergeCell ref="F3008:H3008"/>
    <mergeCell ref="J3008:J3009"/>
    <mergeCell ref="K3008:L3009"/>
    <mergeCell ref="M3008:N3009"/>
    <mergeCell ref="O3008:P3009"/>
    <mergeCell ref="Q3008:R3009"/>
    <mergeCell ref="S3008:T3009"/>
    <mergeCell ref="U3008:V3009"/>
    <mergeCell ref="W3008:W3009"/>
    <mergeCell ref="X3008:AB3008"/>
    <mergeCell ref="AD3008:AI3008"/>
    <mergeCell ref="AJ3008:AL3008"/>
    <mergeCell ref="AN3008:AO3008"/>
    <mergeCell ref="AP3008:AQ3008"/>
    <mergeCell ref="AR3008:AS3009"/>
    <mergeCell ref="AT3008:AU3009"/>
    <mergeCell ref="AV3008:AW3009"/>
    <mergeCell ref="AX3008:AY3009"/>
    <mergeCell ref="AZ3008:AZ3009"/>
    <mergeCell ref="F3009:H3009"/>
    <mergeCell ref="X3009:AB3009"/>
    <mergeCell ref="AE3009:AI3009"/>
    <mergeCell ref="AJ3009:AL3009"/>
    <mergeCell ref="AN3009:AO3009"/>
    <mergeCell ref="AP3009:AQ3009"/>
    <mergeCell ref="A3010:A3011"/>
    <mergeCell ref="E3010:E3011"/>
    <mergeCell ref="F3010:H3010"/>
    <mergeCell ref="J3010:J3011"/>
    <mergeCell ref="K3010:L3011"/>
    <mergeCell ref="M3010:N3011"/>
    <mergeCell ref="O3010:P3011"/>
    <mergeCell ref="Q3010:R3011"/>
    <mergeCell ref="S3010:T3011"/>
    <mergeCell ref="U3010:V3011"/>
    <mergeCell ref="W3010:W3011"/>
    <mergeCell ref="X3010:AB3010"/>
    <mergeCell ref="AD3010:AI3010"/>
    <mergeCell ref="AJ3010:AL3010"/>
    <mergeCell ref="AN3010:AO3010"/>
    <mergeCell ref="AP3010:AQ3010"/>
    <mergeCell ref="AR3010:AS3011"/>
    <mergeCell ref="AT3010:AU3011"/>
    <mergeCell ref="AV3010:AW3011"/>
    <mergeCell ref="AX3010:AY3011"/>
    <mergeCell ref="AZ3010:AZ3011"/>
    <mergeCell ref="F3011:H3011"/>
    <mergeCell ref="X3011:AB3011"/>
    <mergeCell ref="AE3011:AI3011"/>
    <mergeCell ref="AJ3011:AL3011"/>
    <mergeCell ref="AN3011:AO3011"/>
    <mergeCell ref="AP3011:AQ3011"/>
    <mergeCell ref="A3012:A3013"/>
    <mergeCell ref="E3012:E3013"/>
    <mergeCell ref="F3012:H3012"/>
    <mergeCell ref="J3012:J3013"/>
    <mergeCell ref="K3012:L3013"/>
    <mergeCell ref="M3012:N3013"/>
    <mergeCell ref="O3012:P3013"/>
    <mergeCell ref="Q3012:R3013"/>
    <mergeCell ref="S3012:T3013"/>
    <mergeCell ref="U3012:V3013"/>
    <mergeCell ref="W3012:W3013"/>
    <mergeCell ref="X3012:AB3012"/>
    <mergeCell ref="AD3012:AI3012"/>
    <mergeCell ref="AJ3012:AL3012"/>
    <mergeCell ref="AN3012:AO3012"/>
    <mergeCell ref="AP3012:AQ3012"/>
    <mergeCell ref="AR3012:AS3013"/>
    <mergeCell ref="AT3012:AU3013"/>
    <mergeCell ref="AV3012:AW3013"/>
    <mergeCell ref="AX3012:AY3013"/>
    <mergeCell ref="AZ3012:AZ3013"/>
    <mergeCell ref="F3013:H3013"/>
    <mergeCell ref="X3013:AB3013"/>
    <mergeCell ref="AE3013:AI3013"/>
    <mergeCell ref="AJ3013:AL3013"/>
    <mergeCell ref="AN3013:AO3013"/>
    <mergeCell ref="AP3013:AQ3013"/>
    <mergeCell ref="A3014:A3015"/>
    <mergeCell ref="E3014:E3015"/>
    <mergeCell ref="F3014:H3014"/>
    <mergeCell ref="J3014:J3015"/>
    <mergeCell ref="K3014:L3015"/>
    <mergeCell ref="M3014:N3015"/>
    <mergeCell ref="O3014:P3015"/>
    <mergeCell ref="Q3014:R3015"/>
    <mergeCell ref="S3014:T3015"/>
    <mergeCell ref="U3014:V3015"/>
    <mergeCell ref="W3014:W3015"/>
    <mergeCell ref="X3014:AB3014"/>
    <mergeCell ref="AD3014:AI3014"/>
    <mergeCell ref="AJ3014:AL3014"/>
    <mergeCell ref="AN3014:AO3014"/>
    <mergeCell ref="AP3014:AQ3014"/>
    <mergeCell ref="AR3014:AS3015"/>
    <mergeCell ref="AT3014:AU3015"/>
    <mergeCell ref="AV3014:AW3015"/>
    <mergeCell ref="AX3014:AY3015"/>
    <mergeCell ref="AZ3014:AZ3015"/>
    <mergeCell ref="F3015:H3015"/>
    <mergeCell ref="X3015:AB3015"/>
    <mergeCell ref="AE3015:AI3015"/>
    <mergeCell ref="AJ3015:AL3015"/>
    <mergeCell ref="AN3015:AO3015"/>
    <mergeCell ref="AP3015:AQ3015"/>
    <mergeCell ref="A3016:A3017"/>
    <mergeCell ref="E3016:E3017"/>
    <mergeCell ref="F3016:H3016"/>
    <mergeCell ref="J3016:J3017"/>
    <mergeCell ref="K3016:L3017"/>
    <mergeCell ref="M3016:N3017"/>
    <mergeCell ref="O3016:P3017"/>
    <mergeCell ref="Q3016:R3017"/>
    <mergeCell ref="S3016:T3017"/>
    <mergeCell ref="U3016:V3017"/>
    <mergeCell ref="W3016:W3017"/>
    <mergeCell ref="X3016:AB3016"/>
    <mergeCell ref="AD3016:AI3016"/>
    <mergeCell ref="AJ3016:AL3016"/>
    <mergeCell ref="AN3016:AO3016"/>
    <mergeCell ref="AP3016:AQ3016"/>
    <mergeCell ref="AR3016:AS3017"/>
    <mergeCell ref="AT3016:AU3017"/>
    <mergeCell ref="AV3016:AW3017"/>
    <mergeCell ref="AX3016:AY3017"/>
    <mergeCell ref="AZ3016:AZ3017"/>
    <mergeCell ref="F3017:H3017"/>
    <mergeCell ref="X3017:AB3017"/>
    <mergeCell ref="AE3017:AI3017"/>
    <mergeCell ref="AJ3017:AL3017"/>
    <mergeCell ref="AN3017:AO3017"/>
    <mergeCell ref="AP3017:AQ3017"/>
    <mergeCell ref="A3018:A3019"/>
    <mergeCell ref="E3018:E3019"/>
    <mergeCell ref="F3018:H3018"/>
    <mergeCell ref="J3018:J3019"/>
    <mergeCell ref="K3018:L3019"/>
    <mergeCell ref="M3018:N3019"/>
    <mergeCell ref="O3018:P3019"/>
    <mergeCell ref="Q3018:R3019"/>
    <mergeCell ref="S3018:T3019"/>
    <mergeCell ref="U3018:V3019"/>
    <mergeCell ref="W3018:W3019"/>
    <mergeCell ref="X3018:AB3018"/>
    <mergeCell ref="AD3018:AI3018"/>
    <mergeCell ref="AJ3018:AL3018"/>
    <mergeCell ref="AN3018:AO3018"/>
    <mergeCell ref="AP3018:AQ3018"/>
    <mergeCell ref="AR3018:AS3019"/>
    <mergeCell ref="AT3018:AU3019"/>
    <mergeCell ref="AV3018:AW3019"/>
    <mergeCell ref="AX3018:AY3019"/>
    <mergeCell ref="AZ3018:AZ3019"/>
    <mergeCell ref="F3019:H3019"/>
    <mergeCell ref="X3019:AB3019"/>
    <mergeCell ref="AE3019:AI3019"/>
    <mergeCell ref="AJ3019:AL3019"/>
    <mergeCell ref="AN3019:AO3019"/>
    <mergeCell ref="AP3019:AQ3019"/>
    <mergeCell ref="A3020:A3021"/>
    <mergeCell ref="E3020:E3021"/>
    <mergeCell ref="F3020:H3020"/>
    <mergeCell ref="J3020:J3021"/>
    <mergeCell ref="K3020:L3021"/>
    <mergeCell ref="M3020:N3021"/>
    <mergeCell ref="O3020:P3021"/>
    <mergeCell ref="Q3020:R3021"/>
    <mergeCell ref="S3020:T3021"/>
    <mergeCell ref="U3020:V3021"/>
    <mergeCell ref="W3020:W3021"/>
    <mergeCell ref="X3020:AB3020"/>
    <mergeCell ref="AD3020:AI3020"/>
    <mergeCell ref="AJ3020:AL3020"/>
    <mergeCell ref="AN3020:AO3020"/>
    <mergeCell ref="AP3020:AQ3020"/>
    <mergeCell ref="AR3020:AS3021"/>
    <mergeCell ref="AT3020:AU3021"/>
    <mergeCell ref="AV3020:AW3021"/>
    <mergeCell ref="AX3020:AY3021"/>
    <mergeCell ref="AZ3020:AZ3021"/>
    <mergeCell ref="F3021:H3021"/>
    <mergeCell ref="X3021:AB3021"/>
    <mergeCell ref="AE3021:AI3021"/>
    <mergeCell ref="AJ3021:AL3021"/>
    <mergeCell ref="AN3021:AO3021"/>
    <mergeCell ref="AP3021:AQ3021"/>
    <mergeCell ref="A3022:A3023"/>
    <mergeCell ref="E3022:E3023"/>
    <mergeCell ref="F3022:H3022"/>
    <mergeCell ref="J3022:J3023"/>
    <mergeCell ref="K3022:L3023"/>
    <mergeCell ref="M3022:N3023"/>
    <mergeCell ref="O3022:P3023"/>
    <mergeCell ref="Q3022:R3023"/>
    <mergeCell ref="S3022:T3023"/>
    <mergeCell ref="U3022:V3023"/>
    <mergeCell ref="W3022:W3023"/>
    <mergeCell ref="X3022:AB3022"/>
    <mergeCell ref="AD3022:AI3022"/>
    <mergeCell ref="AJ3022:AL3022"/>
    <mergeCell ref="AN3022:AO3022"/>
    <mergeCell ref="AP3022:AQ3022"/>
    <mergeCell ref="AR3022:AS3023"/>
    <mergeCell ref="AT3022:AU3023"/>
    <mergeCell ref="AV3022:AW3023"/>
    <mergeCell ref="AX3022:AY3023"/>
    <mergeCell ref="AZ3022:AZ3023"/>
    <mergeCell ref="F3023:H3023"/>
    <mergeCell ref="X3023:AB3023"/>
    <mergeCell ref="AE3023:AI3023"/>
    <mergeCell ref="AJ3023:AL3023"/>
    <mergeCell ref="AN3023:AO3023"/>
    <mergeCell ref="AP3023:AQ3023"/>
    <mergeCell ref="A3024:A3025"/>
    <mergeCell ref="E3024:E3025"/>
    <mergeCell ref="F3024:H3024"/>
    <mergeCell ref="J3024:J3025"/>
    <mergeCell ref="K3024:L3025"/>
    <mergeCell ref="M3024:N3025"/>
    <mergeCell ref="O3024:P3025"/>
    <mergeCell ref="Q3024:R3025"/>
    <mergeCell ref="S3024:T3025"/>
    <mergeCell ref="U3024:V3025"/>
    <mergeCell ref="W3024:W3025"/>
    <mergeCell ref="X3024:AB3024"/>
    <mergeCell ref="AD3024:AI3024"/>
    <mergeCell ref="AJ3024:AL3024"/>
    <mergeCell ref="AN3024:AO3024"/>
    <mergeCell ref="AP3024:AQ3024"/>
    <mergeCell ref="AR3024:AS3025"/>
    <mergeCell ref="AT3024:AU3025"/>
    <mergeCell ref="AV3024:AW3025"/>
    <mergeCell ref="AX3024:AY3025"/>
    <mergeCell ref="AZ3024:AZ3025"/>
    <mergeCell ref="F3025:H3025"/>
    <mergeCell ref="X3025:AB3025"/>
    <mergeCell ref="AE3025:AI3025"/>
    <mergeCell ref="AJ3025:AL3025"/>
    <mergeCell ref="AN3025:AO3025"/>
    <mergeCell ref="AP3025:AQ3025"/>
    <mergeCell ref="A3032:A3033"/>
    <mergeCell ref="E3032:E3033"/>
    <mergeCell ref="F3032:H3032"/>
    <mergeCell ref="J3032:J3033"/>
    <mergeCell ref="K3032:L3033"/>
    <mergeCell ref="M3032:N3033"/>
    <mergeCell ref="O3032:P3033"/>
    <mergeCell ref="Q3032:R3033"/>
    <mergeCell ref="S3032:T3033"/>
    <mergeCell ref="U3032:V3033"/>
    <mergeCell ref="W3032:W3033"/>
    <mergeCell ref="X3032:AB3032"/>
    <mergeCell ref="AD3032:AI3032"/>
    <mergeCell ref="AJ3032:AL3032"/>
    <mergeCell ref="AN3032:AO3032"/>
    <mergeCell ref="AP3032:AQ3032"/>
    <mergeCell ref="AR3032:AS3033"/>
    <mergeCell ref="AT3032:AU3033"/>
    <mergeCell ref="AV3032:AW3033"/>
    <mergeCell ref="AX3032:AY3033"/>
    <mergeCell ref="AZ3032:AZ3033"/>
    <mergeCell ref="F3033:H3033"/>
    <mergeCell ref="X3033:AB3033"/>
    <mergeCell ref="AE3033:AI3033"/>
    <mergeCell ref="AJ3033:AL3033"/>
    <mergeCell ref="AN3033:AO3033"/>
    <mergeCell ref="AP3033:AQ3033"/>
    <mergeCell ref="A3030:A3031"/>
    <mergeCell ref="E3030:E3031"/>
    <mergeCell ref="F3030:H3030"/>
    <mergeCell ref="J3030:J3031"/>
    <mergeCell ref="K3030:L3031"/>
    <mergeCell ref="M3030:N3031"/>
    <mergeCell ref="O3030:P3031"/>
    <mergeCell ref="Q3030:R3031"/>
    <mergeCell ref="S3030:T3031"/>
    <mergeCell ref="U3030:V3031"/>
    <mergeCell ref="W3034:W3035"/>
    <mergeCell ref="X3034:AB3034"/>
    <mergeCell ref="AD3034:AI3034"/>
    <mergeCell ref="AJ3034:AL3034"/>
    <mergeCell ref="AN3034:AO3034"/>
    <mergeCell ref="AP3034:AQ3034"/>
    <mergeCell ref="AR3034:AS3035"/>
    <mergeCell ref="AT3034:AU3035"/>
    <mergeCell ref="AV3034:AW3035"/>
    <mergeCell ref="AX3034:AY3035"/>
    <mergeCell ref="AZ3034:AZ3035"/>
    <mergeCell ref="F3035:H3035"/>
    <mergeCell ref="X3035:AB3035"/>
    <mergeCell ref="AE3035:AI3035"/>
    <mergeCell ref="AJ3035:AL3035"/>
    <mergeCell ref="AN3035:AO3035"/>
    <mergeCell ref="AP3035:AQ3035"/>
    <mergeCell ref="A3036:A3037"/>
    <mergeCell ref="E3036:E3037"/>
    <mergeCell ref="F3036:H3036"/>
    <mergeCell ref="J3036:J3037"/>
    <mergeCell ref="K3036:L3037"/>
    <mergeCell ref="M3036:N3037"/>
    <mergeCell ref="O3036:P3037"/>
    <mergeCell ref="Q3036:R3037"/>
    <mergeCell ref="S3036:T3037"/>
    <mergeCell ref="U3036:V3037"/>
    <mergeCell ref="W3036:W3037"/>
    <mergeCell ref="X3036:AB3036"/>
    <mergeCell ref="AD3036:AI3036"/>
    <mergeCell ref="AJ3036:AL3036"/>
    <mergeCell ref="AN3036:AO3036"/>
    <mergeCell ref="AP3036:AQ3036"/>
    <mergeCell ref="AR3036:AS3037"/>
    <mergeCell ref="AT3036:AU3037"/>
    <mergeCell ref="AV3036:AW3037"/>
    <mergeCell ref="AX3036:AY3037"/>
    <mergeCell ref="AZ3036:AZ3037"/>
    <mergeCell ref="F3037:H3037"/>
    <mergeCell ref="X3037:AB3037"/>
    <mergeCell ref="AE3037:AI3037"/>
    <mergeCell ref="AJ3037:AL3037"/>
    <mergeCell ref="AN3037:AO3037"/>
    <mergeCell ref="AP3037:AQ3037"/>
    <mergeCell ref="A3102:A3103"/>
    <mergeCell ref="E3102:E3103"/>
    <mergeCell ref="F3102:H3102"/>
    <mergeCell ref="J3102:J3103"/>
    <mergeCell ref="K3102:L3103"/>
    <mergeCell ref="M3102:N3103"/>
    <mergeCell ref="O3102:P3103"/>
    <mergeCell ref="Q3102:R3103"/>
    <mergeCell ref="S3102:T3103"/>
    <mergeCell ref="U3102:V3103"/>
    <mergeCell ref="W3102:W3103"/>
    <mergeCell ref="X3102:AB3102"/>
    <mergeCell ref="AD3102:AI3102"/>
    <mergeCell ref="AJ3102:AL3102"/>
    <mergeCell ref="AN3102:AO3102"/>
    <mergeCell ref="AP3102:AQ3102"/>
    <mergeCell ref="AR3102:AS3103"/>
    <mergeCell ref="AT3102:AU3103"/>
    <mergeCell ref="AV3102:AW3103"/>
    <mergeCell ref="AX3102:AY3103"/>
    <mergeCell ref="AZ3102:AZ3103"/>
    <mergeCell ref="F3103:H3103"/>
    <mergeCell ref="X3103:AB3103"/>
    <mergeCell ref="AE3103:AI3103"/>
    <mergeCell ref="AJ3103:AL3103"/>
    <mergeCell ref="AN3103:AO3103"/>
    <mergeCell ref="AP3103:AQ3103"/>
    <mergeCell ref="A3104:A3105"/>
    <mergeCell ref="E3104:E3105"/>
    <mergeCell ref="F3104:H3104"/>
    <mergeCell ref="J3104:J3105"/>
    <mergeCell ref="K3104:L3105"/>
    <mergeCell ref="M3104:N3105"/>
    <mergeCell ref="O3104:P3105"/>
    <mergeCell ref="Q3104:R3105"/>
    <mergeCell ref="S3104:T3105"/>
    <mergeCell ref="U3104:V3105"/>
    <mergeCell ref="W3104:W3105"/>
    <mergeCell ref="X3104:AB3104"/>
    <mergeCell ref="AD3104:AI3104"/>
    <mergeCell ref="AJ3104:AL3104"/>
    <mergeCell ref="AN3104:AO3104"/>
    <mergeCell ref="AP3104:AQ3104"/>
    <mergeCell ref="AR3104:AS3105"/>
    <mergeCell ref="AT3104:AU3105"/>
    <mergeCell ref="AV3104:AW3105"/>
    <mergeCell ref="AX3104:AY3105"/>
    <mergeCell ref="AZ3104:AZ3105"/>
    <mergeCell ref="F3105:H3105"/>
    <mergeCell ref="X3105:AB3105"/>
    <mergeCell ref="AE3105:AI3105"/>
    <mergeCell ref="AJ3105:AL3105"/>
    <mergeCell ref="AN3105:AO3105"/>
    <mergeCell ref="AP3105:AQ3105"/>
    <mergeCell ref="A3106:A3107"/>
    <mergeCell ref="E3106:E3107"/>
    <mergeCell ref="F3106:H3106"/>
    <mergeCell ref="J3106:J3107"/>
    <mergeCell ref="K3106:L3107"/>
    <mergeCell ref="M3106:N3107"/>
    <mergeCell ref="O3106:P3107"/>
    <mergeCell ref="Q3106:R3107"/>
    <mergeCell ref="S3106:T3107"/>
    <mergeCell ref="U3106:V3107"/>
    <mergeCell ref="W3106:W3107"/>
    <mergeCell ref="X3106:AB3106"/>
    <mergeCell ref="AD3106:AI3106"/>
    <mergeCell ref="AJ3106:AL3106"/>
    <mergeCell ref="AN3106:AO3106"/>
    <mergeCell ref="AP3106:AQ3106"/>
    <mergeCell ref="AR3106:AS3107"/>
    <mergeCell ref="AT3106:AU3107"/>
    <mergeCell ref="AV3106:AW3107"/>
    <mergeCell ref="AX3106:AY3107"/>
    <mergeCell ref="AZ3106:AZ3107"/>
    <mergeCell ref="F3107:H3107"/>
    <mergeCell ref="X3107:AB3107"/>
    <mergeCell ref="AE3107:AI3107"/>
    <mergeCell ref="AJ3107:AL3107"/>
    <mergeCell ref="AN3107:AO3107"/>
    <mergeCell ref="AP3107:AQ3107"/>
    <mergeCell ref="A3108:A3109"/>
    <mergeCell ref="E3108:E3109"/>
    <mergeCell ref="F3108:H3108"/>
    <mergeCell ref="J3108:J3109"/>
    <mergeCell ref="K3108:L3109"/>
    <mergeCell ref="M3108:N3109"/>
    <mergeCell ref="O3108:P3109"/>
    <mergeCell ref="Q3108:R3109"/>
    <mergeCell ref="S3108:T3109"/>
    <mergeCell ref="U3108:V3109"/>
    <mergeCell ref="W3108:W3109"/>
    <mergeCell ref="X3108:AB3108"/>
    <mergeCell ref="AD3108:AI3108"/>
    <mergeCell ref="AJ3108:AL3108"/>
    <mergeCell ref="AN3108:AO3108"/>
    <mergeCell ref="AP3108:AQ3108"/>
    <mergeCell ref="AR3108:AS3109"/>
    <mergeCell ref="AT3108:AU3109"/>
    <mergeCell ref="AV3108:AW3109"/>
    <mergeCell ref="AX3108:AY3109"/>
    <mergeCell ref="AZ3108:AZ3109"/>
    <mergeCell ref="F3109:H3109"/>
    <mergeCell ref="X3109:AB3109"/>
    <mergeCell ref="AE3109:AI3109"/>
    <mergeCell ref="AJ3109:AL3109"/>
    <mergeCell ref="AN3109:AO3109"/>
    <mergeCell ref="AP3109:AQ3109"/>
    <mergeCell ref="A3110:A3111"/>
    <mergeCell ref="E3110:E3111"/>
    <mergeCell ref="F3110:H3110"/>
    <mergeCell ref="J3110:J3111"/>
    <mergeCell ref="K3110:L3111"/>
    <mergeCell ref="M3110:N3111"/>
    <mergeCell ref="O3110:P3111"/>
    <mergeCell ref="Q3110:R3111"/>
    <mergeCell ref="S3110:T3111"/>
    <mergeCell ref="U3110:V3111"/>
    <mergeCell ref="W3110:W3111"/>
    <mergeCell ref="X3110:AB3110"/>
    <mergeCell ref="AD3110:AI3110"/>
    <mergeCell ref="AJ3110:AL3110"/>
    <mergeCell ref="AN3110:AO3110"/>
    <mergeCell ref="AP3110:AQ3110"/>
    <mergeCell ref="AR3110:AS3111"/>
    <mergeCell ref="AT3110:AU3111"/>
    <mergeCell ref="AV3110:AW3111"/>
    <mergeCell ref="AX3110:AY3111"/>
    <mergeCell ref="AZ3110:AZ3111"/>
    <mergeCell ref="F3111:H3111"/>
    <mergeCell ref="X3111:AB3111"/>
    <mergeCell ref="AE3111:AI3111"/>
    <mergeCell ref="AJ3111:AL3111"/>
    <mergeCell ref="AN3111:AO3111"/>
    <mergeCell ref="AP3111:AQ3111"/>
    <mergeCell ref="A3112:A3113"/>
    <mergeCell ref="E3112:E3113"/>
    <mergeCell ref="F3112:H3112"/>
    <mergeCell ref="J3112:J3113"/>
    <mergeCell ref="K3112:L3113"/>
    <mergeCell ref="M3112:N3113"/>
    <mergeCell ref="O3112:P3113"/>
    <mergeCell ref="Q3112:R3113"/>
    <mergeCell ref="S3112:T3113"/>
    <mergeCell ref="U3112:V3113"/>
    <mergeCell ref="W3112:W3113"/>
    <mergeCell ref="X3112:AB3112"/>
    <mergeCell ref="AD3112:AI3112"/>
    <mergeCell ref="AJ3112:AL3112"/>
    <mergeCell ref="AN3112:AO3112"/>
    <mergeCell ref="AP3112:AQ3112"/>
    <mergeCell ref="AR3112:AS3113"/>
    <mergeCell ref="AT3112:AU3113"/>
    <mergeCell ref="AV3112:AW3113"/>
    <mergeCell ref="AX3112:AY3113"/>
    <mergeCell ref="AZ3112:AZ3113"/>
    <mergeCell ref="F3113:H3113"/>
    <mergeCell ref="X3113:AB3113"/>
    <mergeCell ref="AE3113:AI3113"/>
    <mergeCell ref="AJ3113:AL3113"/>
    <mergeCell ref="AN3113:AO3113"/>
    <mergeCell ref="AP3113:AQ3113"/>
    <mergeCell ref="A3114:A3115"/>
    <mergeCell ref="E3114:E3115"/>
    <mergeCell ref="F3114:H3114"/>
    <mergeCell ref="J3114:J3115"/>
    <mergeCell ref="K3114:L3115"/>
    <mergeCell ref="M3114:N3115"/>
    <mergeCell ref="O3114:P3115"/>
    <mergeCell ref="Q3114:R3115"/>
    <mergeCell ref="S3114:T3115"/>
    <mergeCell ref="U3114:V3115"/>
    <mergeCell ref="W3114:W3115"/>
    <mergeCell ref="X3114:AB3114"/>
    <mergeCell ref="AD3114:AI3114"/>
    <mergeCell ref="AJ3114:AL3114"/>
    <mergeCell ref="AN3114:AO3114"/>
    <mergeCell ref="AP3114:AQ3114"/>
    <mergeCell ref="AR3114:AS3115"/>
    <mergeCell ref="AT3114:AU3115"/>
    <mergeCell ref="AV3114:AW3115"/>
    <mergeCell ref="AX3114:AY3115"/>
    <mergeCell ref="AZ3114:AZ3115"/>
    <mergeCell ref="F3115:H3115"/>
    <mergeCell ref="X3115:AB3115"/>
    <mergeCell ref="AE3115:AI3115"/>
    <mergeCell ref="AJ3115:AL3115"/>
    <mergeCell ref="AN3115:AO3115"/>
    <mergeCell ref="AP3115:AQ3115"/>
    <mergeCell ref="A3116:A3117"/>
    <mergeCell ref="E3116:E3117"/>
    <mergeCell ref="F3116:H3116"/>
    <mergeCell ref="J3116:J3117"/>
    <mergeCell ref="K3116:L3117"/>
    <mergeCell ref="M3116:N3117"/>
    <mergeCell ref="O3116:P3117"/>
    <mergeCell ref="Q3116:R3117"/>
    <mergeCell ref="S3116:T3117"/>
    <mergeCell ref="U3116:V3117"/>
    <mergeCell ref="W3116:W3117"/>
    <mergeCell ref="X3116:AB3116"/>
    <mergeCell ref="AD3116:AI3116"/>
    <mergeCell ref="AJ3116:AL3116"/>
    <mergeCell ref="AN3116:AO3116"/>
    <mergeCell ref="AP3116:AQ3116"/>
    <mergeCell ref="AR3116:AS3117"/>
    <mergeCell ref="AT3116:AU3117"/>
    <mergeCell ref="AV3116:AW3117"/>
    <mergeCell ref="AX3116:AY3117"/>
    <mergeCell ref="AZ3116:AZ3117"/>
    <mergeCell ref="F3117:H3117"/>
    <mergeCell ref="X3117:AB3117"/>
    <mergeCell ref="AE3117:AI3117"/>
    <mergeCell ref="AJ3117:AL3117"/>
    <mergeCell ref="AN3117:AO3117"/>
    <mergeCell ref="AP3117:AQ3117"/>
    <mergeCell ref="A3118:A3119"/>
    <mergeCell ref="E3118:E3119"/>
    <mergeCell ref="F3118:H3118"/>
    <mergeCell ref="J3118:J3119"/>
    <mergeCell ref="K3118:L3119"/>
    <mergeCell ref="M3118:N3119"/>
    <mergeCell ref="O3118:P3119"/>
    <mergeCell ref="Q3118:R3119"/>
    <mergeCell ref="S3118:T3119"/>
    <mergeCell ref="U3118:V3119"/>
    <mergeCell ref="W3118:W3119"/>
    <mergeCell ref="X3118:AB3118"/>
    <mergeCell ref="AD3118:AI3118"/>
    <mergeCell ref="AJ3118:AL3118"/>
    <mergeCell ref="AN3118:AO3118"/>
    <mergeCell ref="AP3118:AQ3118"/>
    <mergeCell ref="AR3118:AS3119"/>
    <mergeCell ref="AT3118:AU3119"/>
    <mergeCell ref="AV3118:AW3119"/>
    <mergeCell ref="AX3118:AY3119"/>
    <mergeCell ref="AZ3118:AZ3119"/>
    <mergeCell ref="F3119:H3119"/>
    <mergeCell ref="X3119:AB3119"/>
    <mergeCell ref="AE3119:AI3119"/>
    <mergeCell ref="AJ3119:AL3119"/>
    <mergeCell ref="AN3119:AO3119"/>
    <mergeCell ref="AP3119:AQ3119"/>
    <mergeCell ref="A3120:A3121"/>
    <mergeCell ref="E3120:E3121"/>
    <mergeCell ref="F3120:H3120"/>
    <mergeCell ref="J3120:J3121"/>
    <mergeCell ref="K3120:L3121"/>
    <mergeCell ref="M3120:N3121"/>
    <mergeCell ref="O3120:P3121"/>
    <mergeCell ref="Q3120:R3121"/>
    <mergeCell ref="S3120:T3121"/>
    <mergeCell ref="U3120:V3121"/>
    <mergeCell ref="W3120:W3121"/>
    <mergeCell ref="X3120:AB3120"/>
    <mergeCell ref="AD3120:AI3120"/>
    <mergeCell ref="AJ3120:AL3120"/>
    <mergeCell ref="AN3120:AO3120"/>
    <mergeCell ref="AP3120:AQ3120"/>
    <mergeCell ref="AR3120:AS3121"/>
    <mergeCell ref="AT3120:AU3121"/>
    <mergeCell ref="AV3120:AW3121"/>
    <mergeCell ref="AX3120:AY3121"/>
    <mergeCell ref="AZ3120:AZ3121"/>
    <mergeCell ref="F3121:H3121"/>
    <mergeCell ref="X3121:AB3121"/>
    <mergeCell ref="AE3121:AI3121"/>
    <mergeCell ref="AJ3121:AL3121"/>
    <mergeCell ref="AN3121:AO3121"/>
    <mergeCell ref="AP3121:AQ3121"/>
    <mergeCell ref="AZ3128:AZ3129"/>
    <mergeCell ref="F3129:H3129"/>
    <mergeCell ref="X3129:AB3129"/>
    <mergeCell ref="AE3129:AI3129"/>
    <mergeCell ref="AJ3129:AL3129"/>
    <mergeCell ref="AN3129:AO3129"/>
    <mergeCell ref="AP3129:AQ3129"/>
    <mergeCell ref="A3122:A3123"/>
    <mergeCell ref="E3122:E3123"/>
    <mergeCell ref="F3122:H3122"/>
    <mergeCell ref="J3122:J3123"/>
    <mergeCell ref="K3122:L3123"/>
    <mergeCell ref="M3122:N3123"/>
    <mergeCell ref="O3122:P3123"/>
    <mergeCell ref="Q3122:R3123"/>
    <mergeCell ref="S3122:T3123"/>
    <mergeCell ref="U3122:V3123"/>
    <mergeCell ref="W3122:W3123"/>
    <mergeCell ref="X3122:AB3122"/>
    <mergeCell ref="AD3122:AI3122"/>
    <mergeCell ref="AJ3122:AL3122"/>
    <mergeCell ref="AN3122:AO3122"/>
    <mergeCell ref="AP3122:AQ3122"/>
    <mergeCell ref="AR3122:AS3123"/>
    <mergeCell ref="AT3122:AU3123"/>
    <mergeCell ref="AV3122:AW3123"/>
    <mergeCell ref="AX3122:AY3123"/>
    <mergeCell ref="AZ3122:AZ3123"/>
    <mergeCell ref="F3123:H3123"/>
    <mergeCell ref="X3123:AB3123"/>
    <mergeCell ref="AE3123:AI3123"/>
    <mergeCell ref="AJ3123:AL3123"/>
    <mergeCell ref="AN3123:AO3123"/>
    <mergeCell ref="AP3123:AQ3123"/>
    <mergeCell ref="A3124:A3125"/>
    <mergeCell ref="E3124:E3125"/>
    <mergeCell ref="F3124:H3124"/>
    <mergeCell ref="J3124:J3125"/>
    <mergeCell ref="K3124:L3125"/>
    <mergeCell ref="M3124:N3125"/>
    <mergeCell ref="O3124:P3125"/>
    <mergeCell ref="Q3124:R3125"/>
    <mergeCell ref="S3124:T3125"/>
    <mergeCell ref="U3124:V3125"/>
    <mergeCell ref="W3124:W3125"/>
    <mergeCell ref="X3124:AB3124"/>
    <mergeCell ref="AD3124:AI3124"/>
    <mergeCell ref="AJ3124:AL3124"/>
    <mergeCell ref="AN3124:AO3124"/>
    <mergeCell ref="AP3124:AQ3124"/>
    <mergeCell ref="AR3124:AS3125"/>
    <mergeCell ref="AT3124:AU3125"/>
    <mergeCell ref="AV3124:AW3125"/>
    <mergeCell ref="AX3124:AY3125"/>
    <mergeCell ref="AZ3124:AZ3125"/>
    <mergeCell ref="F3125:H3125"/>
    <mergeCell ref="X3125:AB3125"/>
    <mergeCell ref="AE3125:AI3125"/>
    <mergeCell ref="AJ3125:AL3125"/>
    <mergeCell ref="AN3125:AO3125"/>
    <mergeCell ref="AP3125:AQ3125"/>
    <mergeCell ref="W3132:W3133"/>
    <mergeCell ref="X3132:AB3132"/>
    <mergeCell ref="AD3132:AI3132"/>
    <mergeCell ref="AJ3132:AL3132"/>
    <mergeCell ref="AN3132:AO3132"/>
    <mergeCell ref="AP3132:AQ3132"/>
    <mergeCell ref="AR3132:AS3133"/>
    <mergeCell ref="AT3132:AU3133"/>
    <mergeCell ref="AV3132:AW3133"/>
    <mergeCell ref="AX3132:AY3133"/>
    <mergeCell ref="AZ3132:AZ3133"/>
    <mergeCell ref="F3133:H3133"/>
    <mergeCell ref="X3133:AB3133"/>
    <mergeCell ref="AE3133:AI3133"/>
    <mergeCell ref="AJ3133:AL3133"/>
    <mergeCell ref="AN3133:AO3133"/>
    <mergeCell ref="AP3133:AQ3133"/>
    <mergeCell ref="A3126:A3127"/>
    <mergeCell ref="E3126:E3127"/>
    <mergeCell ref="F3126:H3126"/>
    <mergeCell ref="J3126:J3127"/>
    <mergeCell ref="K3126:L3127"/>
    <mergeCell ref="M3126:N3127"/>
    <mergeCell ref="O3126:P3127"/>
    <mergeCell ref="Q3126:R3127"/>
    <mergeCell ref="S3126:T3127"/>
    <mergeCell ref="U3126:V3127"/>
    <mergeCell ref="W3126:W3127"/>
    <mergeCell ref="X3126:AB3126"/>
    <mergeCell ref="AD3126:AI3126"/>
    <mergeCell ref="AJ3126:AL3126"/>
    <mergeCell ref="AN3126:AO3126"/>
    <mergeCell ref="AP3126:AQ3126"/>
    <mergeCell ref="AR3126:AS3127"/>
    <mergeCell ref="AT3126:AU3127"/>
    <mergeCell ref="AV3126:AW3127"/>
    <mergeCell ref="AX3126:AY3127"/>
    <mergeCell ref="AZ3126:AZ3127"/>
    <mergeCell ref="F3127:H3127"/>
    <mergeCell ref="X3127:AB3127"/>
    <mergeCell ref="AE3127:AI3127"/>
    <mergeCell ref="AJ3127:AL3127"/>
    <mergeCell ref="AN3127:AO3127"/>
    <mergeCell ref="AP3127:AQ3127"/>
    <mergeCell ref="A3128:A3129"/>
    <mergeCell ref="E3128:E3129"/>
    <mergeCell ref="F3128:H3128"/>
    <mergeCell ref="J3128:J3129"/>
    <mergeCell ref="K3128:L3129"/>
    <mergeCell ref="M3128:N3129"/>
    <mergeCell ref="O3128:P3129"/>
    <mergeCell ref="Q3128:R3129"/>
    <mergeCell ref="S3128:T3129"/>
    <mergeCell ref="U3128:V3129"/>
    <mergeCell ref="W3128:W3129"/>
    <mergeCell ref="X3128:AB3128"/>
    <mergeCell ref="AD3128:AI3128"/>
    <mergeCell ref="AJ3128:AL3128"/>
    <mergeCell ref="AN3128:AO3128"/>
    <mergeCell ref="AP3128:AQ3128"/>
    <mergeCell ref="AR3128:AS3129"/>
    <mergeCell ref="AT3128:AU3129"/>
    <mergeCell ref="AV3128:AW3129"/>
    <mergeCell ref="AX3128:AY3129"/>
    <mergeCell ref="A3134:A3135"/>
    <mergeCell ref="E3134:E3135"/>
    <mergeCell ref="F3134:H3134"/>
    <mergeCell ref="J3134:J3135"/>
    <mergeCell ref="K3134:L3135"/>
    <mergeCell ref="M3134:N3135"/>
    <mergeCell ref="O3134:P3135"/>
    <mergeCell ref="Q3134:R3135"/>
    <mergeCell ref="S3134:T3135"/>
    <mergeCell ref="U3134:V3135"/>
    <mergeCell ref="W3134:W3135"/>
    <mergeCell ref="X3134:AB3134"/>
    <mergeCell ref="AD3134:AI3134"/>
    <mergeCell ref="AJ3134:AL3134"/>
    <mergeCell ref="AN3134:AO3134"/>
    <mergeCell ref="AP3134:AQ3134"/>
    <mergeCell ref="AR3134:AS3135"/>
    <mergeCell ref="AT3134:AU3135"/>
    <mergeCell ref="AV3134:AW3135"/>
    <mergeCell ref="AX3134:AY3135"/>
    <mergeCell ref="AZ3134:AZ3135"/>
    <mergeCell ref="F3135:H3135"/>
    <mergeCell ref="X3135:AB3135"/>
    <mergeCell ref="AE3135:AI3135"/>
    <mergeCell ref="AJ3135:AL3135"/>
    <mergeCell ref="AN3135:AO3135"/>
    <mergeCell ref="AP3135:AQ3135"/>
    <mergeCell ref="A3130:A3131"/>
    <mergeCell ref="E3130:E3131"/>
    <mergeCell ref="F3130:H3130"/>
    <mergeCell ref="J3130:J3131"/>
    <mergeCell ref="K3130:L3131"/>
    <mergeCell ref="M3130:N3131"/>
    <mergeCell ref="O3130:P3131"/>
    <mergeCell ref="Q3130:R3131"/>
    <mergeCell ref="S3130:T3131"/>
    <mergeCell ref="U3130:V3131"/>
    <mergeCell ref="W3130:W3131"/>
    <mergeCell ref="X3130:AB3130"/>
    <mergeCell ref="AD3130:AI3130"/>
    <mergeCell ref="AJ3130:AL3130"/>
    <mergeCell ref="AN3130:AO3130"/>
    <mergeCell ref="AP3130:AQ3130"/>
    <mergeCell ref="AR3130:AS3131"/>
    <mergeCell ref="AT3130:AU3131"/>
    <mergeCell ref="AV3130:AW3131"/>
    <mergeCell ref="AX3130:AY3131"/>
    <mergeCell ref="AZ3130:AZ3131"/>
    <mergeCell ref="F3131:H3131"/>
    <mergeCell ref="X3131:AB3131"/>
    <mergeCell ref="AE3131:AI3131"/>
    <mergeCell ref="AJ3131:AL3131"/>
    <mergeCell ref="AN3131:AO3131"/>
    <mergeCell ref="AP3131:AQ3131"/>
    <mergeCell ref="A3132:A3133"/>
    <mergeCell ref="E3132:E3133"/>
    <mergeCell ref="F3132:H3132"/>
    <mergeCell ref="J3132:J3133"/>
    <mergeCell ref="K3132:L3133"/>
    <mergeCell ref="M3132:N3133"/>
    <mergeCell ref="O3132:P3133"/>
    <mergeCell ref="Q3132:R3133"/>
    <mergeCell ref="S3132:T3133"/>
    <mergeCell ref="U3132:V3133"/>
    <mergeCell ref="A3136:A3137"/>
    <mergeCell ref="E3136:E3137"/>
    <mergeCell ref="F3136:H3136"/>
    <mergeCell ref="J3136:J3137"/>
    <mergeCell ref="K3136:L3137"/>
    <mergeCell ref="M3136:N3137"/>
    <mergeCell ref="O3136:P3137"/>
    <mergeCell ref="Q3136:R3137"/>
    <mergeCell ref="S3136:T3137"/>
    <mergeCell ref="U3136:V3137"/>
    <mergeCell ref="W3136:W3137"/>
    <mergeCell ref="X3136:AB3136"/>
    <mergeCell ref="AD3136:AI3136"/>
    <mergeCell ref="AJ3136:AL3136"/>
    <mergeCell ref="AN3136:AO3136"/>
    <mergeCell ref="AP3136:AQ3136"/>
    <mergeCell ref="AR3136:AS3137"/>
    <mergeCell ref="AT3136:AU3137"/>
    <mergeCell ref="AV3136:AW3137"/>
    <mergeCell ref="AX3136:AY3137"/>
    <mergeCell ref="AZ3136:AZ3137"/>
    <mergeCell ref="F3137:H3137"/>
    <mergeCell ref="X3137:AB3137"/>
    <mergeCell ref="AE3137:AI3137"/>
    <mergeCell ref="AJ3137:AL3137"/>
    <mergeCell ref="AN3137:AO3137"/>
    <mergeCell ref="AP3137:AQ3137"/>
    <mergeCell ref="A3138:A3139"/>
    <mergeCell ref="E3138:E3139"/>
    <mergeCell ref="F3138:H3138"/>
    <mergeCell ref="J3138:J3139"/>
    <mergeCell ref="K3138:L3139"/>
    <mergeCell ref="M3138:N3139"/>
    <mergeCell ref="O3138:P3139"/>
    <mergeCell ref="Q3138:R3139"/>
    <mergeCell ref="S3138:T3139"/>
    <mergeCell ref="U3138:V3139"/>
    <mergeCell ref="W3138:W3139"/>
    <mergeCell ref="X3138:AB3138"/>
    <mergeCell ref="AD3138:AI3138"/>
    <mergeCell ref="AJ3138:AL3138"/>
    <mergeCell ref="AN3138:AO3138"/>
    <mergeCell ref="AP3138:AQ3138"/>
    <mergeCell ref="AR3138:AS3139"/>
    <mergeCell ref="AT3138:AU3139"/>
    <mergeCell ref="AV3138:AW3139"/>
    <mergeCell ref="AX3138:AY3139"/>
    <mergeCell ref="AZ3138:AZ3139"/>
    <mergeCell ref="F3139:H3139"/>
    <mergeCell ref="X3139:AB3139"/>
    <mergeCell ref="AE3139:AI3139"/>
    <mergeCell ref="AJ3139:AL3139"/>
    <mergeCell ref="AN3139:AO3139"/>
    <mergeCell ref="AP3139:AQ3139"/>
    <mergeCell ref="A3140:A3141"/>
    <mergeCell ref="E3140:E3141"/>
    <mergeCell ref="F3140:H3140"/>
    <mergeCell ref="J3140:J3141"/>
    <mergeCell ref="K3140:L3141"/>
    <mergeCell ref="M3140:N3141"/>
    <mergeCell ref="O3140:P3141"/>
    <mergeCell ref="Q3140:R3141"/>
    <mergeCell ref="S3140:T3141"/>
    <mergeCell ref="U3140:V3141"/>
    <mergeCell ref="W3140:W3141"/>
    <mergeCell ref="X3140:AB3140"/>
    <mergeCell ref="AD3140:AI3140"/>
    <mergeCell ref="AJ3140:AL3140"/>
    <mergeCell ref="AN3140:AO3140"/>
    <mergeCell ref="AP3140:AQ3140"/>
    <mergeCell ref="AR3140:AS3141"/>
    <mergeCell ref="AT3140:AU3141"/>
    <mergeCell ref="AV3140:AW3141"/>
    <mergeCell ref="AX3140:AY3141"/>
    <mergeCell ref="AZ3140:AZ3141"/>
    <mergeCell ref="F3141:H3141"/>
    <mergeCell ref="X3141:AB3141"/>
    <mergeCell ref="AE3141:AI3141"/>
    <mergeCell ref="AJ3141:AL3141"/>
    <mergeCell ref="AN3141:AO3141"/>
    <mergeCell ref="AP3141:AQ3141"/>
    <mergeCell ref="A3142:A3143"/>
    <mergeCell ref="E3142:E3143"/>
    <mergeCell ref="F3142:H3142"/>
    <mergeCell ref="J3142:J3143"/>
    <mergeCell ref="K3142:L3143"/>
    <mergeCell ref="M3142:N3143"/>
    <mergeCell ref="O3142:P3143"/>
    <mergeCell ref="Q3142:R3143"/>
    <mergeCell ref="S3142:T3143"/>
    <mergeCell ref="U3142:V3143"/>
    <mergeCell ref="W3142:W3143"/>
    <mergeCell ref="X3142:AB3142"/>
    <mergeCell ref="AD3142:AI3142"/>
    <mergeCell ref="AJ3142:AL3142"/>
    <mergeCell ref="AN3142:AO3142"/>
    <mergeCell ref="AP3142:AQ3142"/>
    <mergeCell ref="AR3142:AS3143"/>
    <mergeCell ref="AT3142:AU3143"/>
    <mergeCell ref="AV3142:AW3143"/>
    <mergeCell ref="AX3142:AY3143"/>
    <mergeCell ref="AZ3142:AZ3143"/>
    <mergeCell ref="F3143:H3143"/>
    <mergeCell ref="X3143:AB3143"/>
    <mergeCell ref="AE3143:AI3143"/>
    <mergeCell ref="AJ3143:AL3143"/>
    <mergeCell ref="AN3143:AO3143"/>
    <mergeCell ref="AP3143:AQ3143"/>
    <mergeCell ref="A3144:A3145"/>
    <mergeCell ref="E3144:E3145"/>
    <mergeCell ref="F3144:H3144"/>
    <mergeCell ref="J3144:J3145"/>
    <mergeCell ref="K3144:L3145"/>
    <mergeCell ref="M3144:N3145"/>
    <mergeCell ref="O3144:P3145"/>
    <mergeCell ref="Q3144:R3145"/>
    <mergeCell ref="S3144:T3145"/>
    <mergeCell ref="U3144:V3145"/>
    <mergeCell ref="W3144:W3145"/>
    <mergeCell ref="X3144:AB3144"/>
    <mergeCell ref="AD3144:AI3144"/>
    <mergeCell ref="AJ3144:AL3144"/>
    <mergeCell ref="AN3144:AO3144"/>
    <mergeCell ref="AP3144:AQ3144"/>
    <mergeCell ref="AR3144:AS3145"/>
    <mergeCell ref="AT3144:AU3145"/>
    <mergeCell ref="AV3144:AW3145"/>
    <mergeCell ref="AX3144:AY3145"/>
    <mergeCell ref="AZ3144:AZ3145"/>
    <mergeCell ref="F3145:H3145"/>
    <mergeCell ref="X3145:AB3145"/>
    <mergeCell ref="AE3145:AI3145"/>
    <mergeCell ref="AJ3145:AL3145"/>
    <mergeCell ref="AN3145:AO3145"/>
    <mergeCell ref="AP3145:AQ3145"/>
    <mergeCell ref="A3146:A3147"/>
    <mergeCell ref="E3146:E3147"/>
    <mergeCell ref="F3146:H3146"/>
    <mergeCell ref="J3146:J3147"/>
    <mergeCell ref="K3146:L3147"/>
    <mergeCell ref="M3146:N3147"/>
    <mergeCell ref="O3146:P3147"/>
    <mergeCell ref="Q3146:R3147"/>
    <mergeCell ref="S3146:T3147"/>
    <mergeCell ref="U3146:V3147"/>
    <mergeCell ref="W3146:W3147"/>
    <mergeCell ref="X3146:AB3146"/>
    <mergeCell ref="AD3146:AI3146"/>
    <mergeCell ref="AJ3146:AL3146"/>
    <mergeCell ref="AN3146:AO3146"/>
    <mergeCell ref="AP3146:AQ3146"/>
    <mergeCell ref="AR3146:AS3147"/>
    <mergeCell ref="AT3146:AU3147"/>
    <mergeCell ref="AV3146:AW3147"/>
    <mergeCell ref="AX3146:AY3147"/>
    <mergeCell ref="AZ3146:AZ3147"/>
    <mergeCell ref="F3147:H3147"/>
    <mergeCell ref="X3147:AB3147"/>
    <mergeCell ref="AE3147:AI3147"/>
    <mergeCell ref="AJ3147:AL3147"/>
    <mergeCell ref="AN3147:AO3147"/>
    <mergeCell ref="AP3147:AQ3147"/>
    <mergeCell ref="A3148:A3149"/>
    <mergeCell ref="E3148:E3149"/>
    <mergeCell ref="F3148:H3148"/>
    <mergeCell ref="J3148:J3149"/>
    <mergeCell ref="K3148:L3149"/>
    <mergeCell ref="M3148:N3149"/>
    <mergeCell ref="O3148:P3149"/>
    <mergeCell ref="Q3148:R3149"/>
    <mergeCell ref="S3148:T3149"/>
    <mergeCell ref="U3148:V3149"/>
    <mergeCell ref="W3148:W3149"/>
    <mergeCell ref="X3148:AB3148"/>
    <mergeCell ref="AD3148:AI3148"/>
    <mergeCell ref="AJ3148:AL3148"/>
    <mergeCell ref="AN3148:AO3148"/>
    <mergeCell ref="AP3148:AQ3148"/>
    <mergeCell ref="AR3148:AS3149"/>
    <mergeCell ref="AT3148:AU3149"/>
    <mergeCell ref="AV3148:AW3149"/>
    <mergeCell ref="AX3148:AY3149"/>
    <mergeCell ref="AZ3148:AZ3149"/>
    <mergeCell ref="F3149:H3149"/>
    <mergeCell ref="X3149:AB3149"/>
    <mergeCell ref="AE3149:AI3149"/>
    <mergeCell ref="AJ3149:AL3149"/>
    <mergeCell ref="AN3149:AO3149"/>
    <mergeCell ref="AP3149:AQ3149"/>
    <mergeCell ref="A3152:A3153"/>
    <mergeCell ref="E3152:E3153"/>
    <mergeCell ref="F3152:H3152"/>
    <mergeCell ref="J3152:J3153"/>
    <mergeCell ref="K3152:L3153"/>
    <mergeCell ref="M3152:N3153"/>
    <mergeCell ref="O3152:P3153"/>
    <mergeCell ref="Q3152:R3153"/>
    <mergeCell ref="S3152:T3153"/>
    <mergeCell ref="U3152:V3153"/>
    <mergeCell ref="W3152:W3153"/>
    <mergeCell ref="X3152:AB3152"/>
    <mergeCell ref="AD3152:AI3152"/>
    <mergeCell ref="AJ3152:AL3152"/>
    <mergeCell ref="AN3152:AO3152"/>
    <mergeCell ref="AP3152:AQ3152"/>
    <mergeCell ref="AR3152:AS3153"/>
    <mergeCell ref="AT3152:AU3153"/>
    <mergeCell ref="AV3152:AW3153"/>
    <mergeCell ref="AX3152:AY3153"/>
    <mergeCell ref="AZ3152:AZ3153"/>
    <mergeCell ref="F3153:H3153"/>
    <mergeCell ref="X3153:AB3153"/>
    <mergeCell ref="AE3153:AI3153"/>
    <mergeCell ref="AJ3153:AL3153"/>
    <mergeCell ref="AN3153:AO3153"/>
    <mergeCell ref="AP3153:AQ3153"/>
    <mergeCell ref="A3150:A3151"/>
    <mergeCell ref="E3150:E3151"/>
    <mergeCell ref="F3150:H3150"/>
    <mergeCell ref="J3150:J3151"/>
    <mergeCell ref="K3150:L3151"/>
    <mergeCell ref="M3150:N3151"/>
    <mergeCell ref="O3150:P3151"/>
    <mergeCell ref="Q3150:R3151"/>
    <mergeCell ref="S3150:T3151"/>
    <mergeCell ref="U3150:V3151"/>
    <mergeCell ref="A3154:A3155"/>
    <mergeCell ref="E3154:E3155"/>
    <mergeCell ref="F3154:H3154"/>
    <mergeCell ref="J3154:J3155"/>
    <mergeCell ref="K3154:L3155"/>
    <mergeCell ref="M3154:N3155"/>
    <mergeCell ref="O3154:P3155"/>
    <mergeCell ref="Q3154:R3155"/>
    <mergeCell ref="S3154:T3155"/>
    <mergeCell ref="U3154:V3155"/>
    <mergeCell ref="W3154:W3155"/>
    <mergeCell ref="X3154:AB3154"/>
    <mergeCell ref="AD3154:AI3154"/>
    <mergeCell ref="AJ3154:AL3154"/>
    <mergeCell ref="AN3154:AO3154"/>
    <mergeCell ref="AP3154:AQ3154"/>
    <mergeCell ref="AR3154:AS3155"/>
    <mergeCell ref="AT3154:AU3155"/>
    <mergeCell ref="AV3154:AW3155"/>
    <mergeCell ref="AX3154:AY3155"/>
    <mergeCell ref="AZ3154:AZ3155"/>
    <mergeCell ref="F3155:H3155"/>
    <mergeCell ref="X3155:AB3155"/>
    <mergeCell ref="AE3155:AI3155"/>
    <mergeCell ref="AJ3155:AL3155"/>
    <mergeCell ref="AN3155:AO3155"/>
    <mergeCell ref="AP3155:AQ3155"/>
    <mergeCell ref="A3158:A3159"/>
    <mergeCell ref="E3158:E3159"/>
    <mergeCell ref="F3158:H3158"/>
    <mergeCell ref="J3158:J3159"/>
    <mergeCell ref="K3158:L3159"/>
    <mergeCell ref="M3158:N3159"/>
    <mergeCell ref="O3158:P3159"/>
    <mergeCell ref="Q3158:R3159"/>
    <mergeCell ref="S3158:T3159"/>
    <mergeCell ref="U3158:V3159"/>
    <mergeCell ref="W3158:W3159"/>
    <mergeCell ref="X3158:AB3158"/>
    <mergeCell ref="AD3158:AI3158"/>
    <mergeCell ref="AJ3158:AL3158"/>
    <mergeCell ref="AN3158:AO3158"/>
    <mergeCell ref="AP3158:AQ3158"/>
    <mergeCell ref="AR3158:AS3159"/>
    <mergeCell ref="AT3158:AU3159"/>
    <mergeCell ref="AV3158:AW3159"/>
    <mergeCell ref="AX3158:AY3159"/>
    <mergeCell ref="AZ3158:AZ3159"/>
    <mergeCell ref="F3159:H3159"/>
    <mergeCell ref="X3159:AB3159"/>
    <mergeCell ref="AE3159:AI3159"/>
    <mergeCell ref="AJ3159:AL3159"/>
    <mergeCell ref="AN3159:AO3159"/>
    <mergeCell ref="AP3159:AQ3159"/>
    <mergeCell ref="W3160:W3161"/>
    <mergeCell ref="X3160:AB3160"/>
    <mergeCell ref="AD3160:AI3160"/>
    <mergeCell ref="AJ3160:AL3160"/>
    <mergeCell ref="AN3160:AO3160"/>
    <mergeCell ref="AP3160:AQ3160"/>
    <mergeCell ref="AR3160:AS3161"/>
    <mergeCell ref="AT3160:AU3161"/>
    <mergeCell ref="AV3160:AW3161"/>
    <mergeCell ref="AX3160:AY3161"/>
    <mergeCell ref="AZ3160:AZ3161"/>
    <mergeCell ref="F3161:H3161"/>
    <mergeCell ref="X3161:AB3161"/>
    <mergeCell ref="AE3161:AI3161"/>
    <mergeCell ref="AJ3161:AL3161"/>
    <mergeCell ref="AN3161:AO3161"/>
    <mergeCell ref="AP3161:AQ3161"/>
    <mergeCell ref="A3170:A3171"/>
    <mergeCell ref="E3170:E3171"/>
    <mergeCell ref="F3170:H3170"/>
    <mergeCell ref="J3170:J3171"/>
    <mergeCell ref="K3170:L3171"/>
    <mergeCell ref="M3170:N3171"/>
    <mergeCell ref="O3170:P3171"/>
    <mergeCell ref="Q3170:R3171"/>
    <mergeCell ref="S3170:T3171"/>
    <mergeCell ref="U3170:V3171"/>
    <mergeCell ref="W3170:W3171"/>
    <mergeCell ref="X3170:AB3170"/>
    <mergeCell ref="AD3170:AI3170"/>
    <mergeCell ref="AJ3170:AL3170"/>
    <mergeCell ref="AN3170:AO3170"/>
    <mergeCell ref="AP3170:AQ3170"/>
    <mergeCell ref="AR3170:AS3171"/>
    <mergeCell ref="AT3170:AU3171"/>
    <mergeCell ref="AV3170:AW3171"/>
    <mergeCell ref="AX3170:AY3171"/>
    <mergeCell ref="AZ3170:AZ3171"/>
    <mergeCell ref="F3171:H3171"/>
    <mergeCell ref="X3171:AB3171"/>
    <mergeCell ref="AE3171:AI3171"/>
    <mergeCell ref="AJ3171:AL3171"/>
    <mergeCell ref="AN3171:AO3171"/>
    <mergeCell ref="AP3171:AQ3171"/>
    <mergeCell ref="W3166:W3167"/>
    <mergeCell ref="X3166:AB3166"/>
    <mergeCell ref="AD3166:AI3166"/>
    <mergeCell ref="AJ3166:AL3166"/>
    <mergeCell ref="AN3166:AO3166"/>
    <mergeCell ref="AP3166:AQ3166"/>
    <mergeCell ref="AR3166:AS3167"/>
    <mergeCell ref="AT3166:AU3167"/>
    <mergeCell ref="AV3166:AW3167"/>
    <mergeCell ref="AX3166:AY3167"/>
    <mergeCell ref="AZ3166:AZ3167"/>
    <mergeCell ref="F3167:H3167"/>
    <mergeCell ref="X3167:AB3167"/>
    <mergeCell ref="AE3167:AI3167"/>
    <mergeCell ref="AJ3167:AL3167"/>
    <mergeCell ref="AN3167:AO3167"/>
    <mergeCell ref="AP3167:AQ3167"/>
    <mergeCell ref="A3162:A3163"/>
    <mergeCell ref="E3162:E3163"/>
    <mergeCell ref="F3162:H3162"/>
    <mergeCell ref="A3172:A3173"/>
    <mergeCell ref="E3172:E3173"/>
    <mergeCell ref="F3172:H3172"/>
    <mergeCell ref="J3172:J3173"/>
    <mergeCell ref="K3172:L3173"/>
    <mergeCell ref="M3172:N3173"/>
    <mergeCell ref="O3172:P3173"/>
    <mergeCell ref="Q3172:R3173"/>
    <mergeCell ref="S3172:T3173"/>
    <mergeCell ref="U3172:V3173"/>
    <mergeCell ref="W3172:W3173"/>
    <mergeCell ref="X3172:AB3172"/>
    <mergeCell ref="AD3172:AI3172"/>
    <mergeCell ref="AJ3172:AL3172"/>
    <mergeCell ref="AN3172:AO3172"/>
    <mergeCell ref="AP3172:AQ3172"/>
    <mergeCell ref="AR3172:AS3173"/>
    <mergeCell ref="AT3172:AU3173"/>
    <mergeCell ref="AV3172:AW3173"/>
    <mergeCell ref="AX3172:AY3173"/>
    <mergeCell ref="AZ3172:AZ3173"/>
    <mergeCell ref="F3173:H3173"/>
    <mergeCell ref="X3173:AB3173"/>
    <mergeCell ref="AE3173:AI3173"/>
    <mergeCell ref="AJ3173:AL3173"/>
    <mergeCell ref="AN3173:AO3173"/>
    <mergeCell ref="AP3173:AQ3173"/>
    <mergeCell ref="A3174:A3175"/>
    <mergeCell ref="E3174:E3175"/>
    <mergeCell ref="F3174:H3174"/>
    <mergeCell ref="J3174:J3175"/>
    <mergeCell ref="K3174:L3175"/>
    <mergeCell ref="M3174:N3175"/>
    <mergeCell ref="O3174:P3175"/>
    <mergeCell ref="Q3174:R3175"/>
    <mergeCell ref="S3174:T3175"/>
    <mergeCell ref="U3174:V3175"/>
    <mergeCell ref="W3174:W3175"/>
    <mergeCell ref="X3174:AB3174"/>
    <mergeCell ref="AD3174:AI3174"/>
    <mergeCell ref="AJ3174:AL3174"/>
    <mergeCell ref="AN3174:AO3174"/>
    <mergeCell ref="AP3174:AQ3174"/>
    <mergeCell ref="AR3174:AS3175"/>
    <mergeCell ref="AT3174:AU3175"/>
    <mergeCell ref="AV3174:AW3175"/>
    <mergeCell ref="AX3174:AY3175"/>
    <mergeCell ref="AZ3174:AZ3175"/>
    <mergeCell ref="F3175:H3175"/>
    <mergeCell ref="X3175:AB3175"/>
    <mergeCell ref="AE3175:AI3175"/>
    <mergeCell ref="AJ3175:AL3175"/>
    <mergeCell ref="AN3175:AO3175"/>
    <mergeCell ref="AP3175:AQ3175"/>
    <mergeCell ref="O3176:P3177"/>
    <mergeCell ref="Q3176:R3177"/>
    <mergeCell ref="S3176:T3177"/>
    <mergeCell ref="U3176:V3177"/>
    <mergeCell ref="W3176:W3177"/>
    <mergeCell ref="X3176:AB3176"/>
    <mergeCell ref="AD3176:AI3176"/>
    <mergeCell ref="AJ3176:AL3176"/>
    <mergeCell ref="AN3176:AO3176"/>
    <mergeCell ref="AP3176:AQ3176"/>
    <mergeCell ref="AR3176:AS3177"/>
    <mergeCell ref="AT3176:AU3177"/>
    <mergeCell ref="AV3176:AW3177"/>
    <mergeCell ref="AX3176:AY3177"/>
    <mergeCell ref="AZ3176:AZ3177"/>
    <mergeCell ref="F3177:H3177"/>
    <mergeCell ref="X3177:AB3177"/>
    <mergeCell ref="AE3177:AI3177"/>
    <mergeCell ref="AJ3177:AL3177"/>
    <mergeCell ref="AN3177:AO3177"/>
    <mergeCell ref="AP3177:AQ3177"/>
    <mergeCell ref="A3178:A3179"/>
    <mergeCell ref="E3178:E3179"/>
    <mergeCell ref="F3178:H3178"/>
    <mergeCell ref="J3178:J3179"/>
    <mergeCell ref="K3178:L3179"/>
    <mergeCell ref="M3178:N3179"/>
    <mergeCell ref="O3178:P3179"/>
    <mergeCell ref="Q3178:R3179"/>
    <mergeCell ref="S3178:T3179"/>
    <mergeCell ref="U3178:V3179"/>
    <mergeCell ref="W3178:W3179"/>
    <mergeCell ref="X3178:AB3178"/>
    <mergeCell ref="AD3178:AI3178"/>
    <mergeCell ref="AJ3178:AL3178"/>
    <mergeCell ref="AN3178:AO3178"/>
    <mergeCell ref="AP3178:AQ3178"/>
    <mergeCell ref="AR3178:AS3179"/>
    <mergeCell ref="AT3178:AU3179"/>
    <mergeCell ref="AV3178:AW3179"/>
    <mergeCell ref="AX3178:AY3179"/>
    <mergeCell ref="AZ3178:AZ3179"/>
    <mergeCell ref="F3179:H3179"/>
    <mergeCell ref="X3179:AB3179"/>
    <mergeCell ref="AE3179:AI3179"/>
    <mergeCell ref="AJ3179:AL3179"/>
    <mergeCell ref="AN3179:AO3179"/>
    <mergeCell ref="AP3179:AQ3179"/>
    <mergeCell ref="AJ3164:AL3164"/>
    <mergeCell ref="AN3164:AO3164"/>
    <mergeCell ref="AP3164:AQ3164"/>
    <mergeCell ref="AR3164:AS3165"/>
    <mergeCell ref="AT3164:AU3165"/>
    <mergeCell ref="AV3164:AW3165"/>
    <mergeCell ref="AX3164:AY3165"/>
    <mergeCell ref="AZ3164:AZ3165"/>
    <mergeCell ref="F3165:H3165"/>
    <mergeCell ref="X3165:AB3165"/>
    <mergeCell ref="AE3165:AI3165"/>
    <mergeCell ref="AJ3165:AL3165"/>
    <mergeCell ref="AN3165:AO3165"/>
    <mergeCell ref="AP3165:AQ3165"/>
    <mergeCell ref="W3180:W3181"/>
    <mergeCell ref="X3180:AB3180"/>
    <mergeCell ref="AD3180:AI3180"/>
    <mergeCell ref="AJ3180:AL3180"/>
    <mergeCell ref="AN3180:AO3180"/>
    <mergeCell ref="AP3180:AQ3180"/>
    <mergeCell ref="AR3180:AS3181"/>
    <mergeCell ref="AT3180:AU3181"/>
    <mergeCell ref="AV3180:AW3181"/>
    <mergeCell ref="AX3180:AY3181"/>
    <mergeCell ref="AZ3180:AZ3181"/>
    <mergeCell ref="F3181:H3181"/>
    <mergeCell ref="X3181:AB3181"/>
    <mergeCell ref="AE3181:AI3181"/>
    <mergeCell ref="AJ3181:AL3181"/>
    <mergeCell ref="AN3181:AO3181"/>
    <mergeCell ref="AP3181:AQ3181"/>
    <mergeCell ref="A3182:A3183"/>
    <mergeCell ref="E3182:E3183"/>
    <mergeCell ref="F3182:H3182"/>
    <mergeCell ref="J3182:J3183"/>
    <mergeCell ref="K3182:L3183"/>
    <mergeCell ref="M3182:N3183"/>
    <mergeCell ref="O3182:P3183"/>
    <mergeCell ref="Q3182:R3183"/>
    <mergeCell ref="S3182:T3183"/>
    <mergeCell ref="U3182:V3183"/>
    <mergeCell ref="W3182:W3183"/>
    <mergeCell ref="X3182:AB3182"/>
    <mergeCell ref="AD3182:AI3182"/>
    <mergeCell ref="AJ3182:AL3182"/>
    <mergeCell ref="AN3182:AO3182"/>
    <mergeCell ref="AP3182:AQ3182"/>
    <mergeCell ref="AR3182:AS3183"/>
    <mergeCell ref="AT3182:AU3183"/>
    <mergeCell ref="AV3182:AW3183"/>
    <mergeCell ref="AX3182:AY3183"/>
    <mergeCell ref="AZ3182:AZ3183"/>
    <mergeCell ref="F3183:H3183"/>
    <mergeCell ref="X3183:AB3183"/>
    <mergeCell ref="AE3183:AI3183"/>
    <mergeCell ref="AJ3183:AL3183"/>
    <mergeCell ref="AN3183:AO3183"/>
    <mergeCell ref="AP3183:AQ3183"/>
    <mergeCell ref="A3176:A3177"/>
    <mergeCell ref="E3176:E3177"/>
    <mergeCell ref="F3176:H3176"/>
    <mergeCell ref="J3176:J3177"/>
    <mergeCell ref="K3176:L3177"/>
    <mergeCell ref="M3176:N3177"/>
    <mergeCell ref="W3150:W3151"/>
    <mergeCell ref="X3150:AB3150"/>
    <mergeCell ref="AD3150:AI3150"/>
    <mergeCell ref="AJ3150:AL3150"/>
    <mergeCell ref="AN3150:AO3150"/>
    <mergeCell ref="AP3150:AQ3150"/>
    <mergeCell ref="AR3150:AS3151"/>
    <mergeCell ref="AT3150:AU3151"/>
    <mergeCell ref="AV3150:AW3151"/>
    <mergeCell ref="AX3150:AY3151"/>
    <mergeCell ref="AZ3150:AZ3151"/>
    <mergeCell ref="F3151:H3151"/>
    <mergeCell ref="X3151:AB3151"/>
    <mergeCell ref="AE3151:AI3151"/>
    <mergeCell ref="AJ3151:AL3151"/>
    <mergeCell ref="AN3151:AO3151"/>
    <mergeCell ref="AP3151:AQ3151"/>
    <mergeCell ref="A3164:A3165"/>
    <mergeCell ref="E3164:E3165"/>
    <mergeCell ref="F3164:H3164"/>
    <mergeCell ref="J3164:J3165"/>
    <mergeCell ref="K3164:L3165"/>
    <mergeCell ref="M3164:N3165"/>
    <mergeCell ref="O3164:P3165"/>
    <mergeCell ref="Q3164:R3165"/>
    <mergeCell ref="S3164:T3165"/>
    <mergeCell ref="U3164:V3165"/>
    <mergeCell ref="A3156:A3157"/>
    <mergeCell ref="E3156:E3157"/>
    <mergeCell ref="F3156:H3156"/>
    <mergeCell ref="J3156:J3157"/>
    <mergeCell ref="K3156:L3157"/>
    <mergeCell ref="M3156:N3157"/>
    <mergeCell ref="O3156:P3157"/>
    <mergeCell ref="Q3156:R3157"/>
    <mergeCell ref="S3156:T3157"/>
    <mergeCell ref="U3156:V3157"/>
    <mergeCell ref="W3156:W3157"/>
    <mergeCell ref="X3156:AB3156"/>
    <mergeCell ref="AD3156:AI3156"/>
    <mergeCell ref="AJ3156:AL3156"/>
    <mergeCell ref="AN3156:AO3156"/>
    <mergeCell ref="AP3156:AQ3156"/>
    <mergeCell ref="AR3156:AS3157"/>
    <mergeCell ref="AT3156:AU3157"/>
    <mergeCell ref="AV3156:AW3157"/>
    <mergeCell ref="AX3156:AY3157"/>
    <mergeCell ref="AZ3156:AZ3157"/>
    <mergeCell ref="F3157:H3157"/>
    <mergeCell ref="X3157:AB3157"/>
    <mergeCell ref="AE3157:AI3157"/>
    <mergeCell ref="AJ3157:AL3157"/>
    <mergeCell ref="AN3157:AO3157"/>
    <mergeCell ref="AP3157:AQ3157"/>
    <mergeCell ref="J3162:J3163"/>
    <mergeCell ref="K3162:L3163"/>
    <mergeCell ref="M3162:N3163"/>
    <mergeCell ref="O3162:P3163"/>
    <mergeCell ref="Q3162:R3163"/>
    <mergeCell ref="S3162:T3163"/>
    <mergeCell ref="U3162:V3163"/>
    <mergeCell ref="W3162:W3163"/>
    <mergeCell ref="X3162:AB3162"/>
    <mergeCell ref="AD3162:AI3162"/>
    <mergeCell ref="A3160:A3161"/>
    <mergeCell ref="E3160:E3161"/>
    <mergeCell ref="F3160:H3160"/>
    <mergeCell ref="J3160:J3161"/>
    <mergeCell ref="K3160:L3161"/>
    <mergeCell ref="M3160:N3161"/>
    <mergeCell ref="O3160:P3161"/>
    <mergeCell ref="Q3160:R3161"/>
    <mergeCell ref="S3160:T3161"/>
    <mergeCell ref="U3160:V3161"/>
    <mergeCell ref="A3168:A3169"/>
    <mergeCell ref="E3168:E3169"/>
    <mergeCell ref="F3168:H3168"/>
    <mergeCell ref="J3168:J3169"/>
    <mergeCell ref="K3168:L3169"/>
    <mergeCell ref="M3168:N3169"/>
    <mergeCell ref="O3168:P3169"/>
    <mergeCell ref="Q3168:R3169"/>
    <mergeCell ref="S3168:T3169"/>
    <mergeCell ref="U3168:V3169"/>
    <mergeCell ref="W3168:W3169"/>
    <mergeCell ref="X3168:AB3168"/>
    <mergeCell ref="AD3168:AI3168"/>
    <mergeCell ref="AJ3168:AL3168"/>
    <mergeCell ref="AN3168:AO3168"/>
    <mergeCell ref="AP3168:AQ3168"/>
    <mergeCell ref="AR3168:AS3169"/>
    <mergeCell ref="AT3168:AU3169"/>
    <mergeCell ref="AV3168:AW3169"/>
    <mergeCell ref="AX3168:AY3169"/>
    <mergeCell ref="AZ3168:AZ3169"/>
    <mergeCell ref="F3169:H3169"/>
    <mergeCell ref="X3169:AB3169"/>
    <mergeCell ref="AE3169:AI3169"/>
    <mergeCell ref="AJ3169:AL3169"/>
    <mergeCell ref="AN3169:AO3169"/>
    <mergeCell ref="AP3169:AQ3169"/>
    <mergeCell ref="A3166:A3167"/>
    <mergeCell ref="E3166:E3167"/>
    <mergeCell ref="F3166:H3166"/>
    <mergeCell ref="J3166:J3167"/>
    <mergeCell ref="K3166:L3167"/>
    <mergeCell ref="M3166:N3167"/>
    <mergeCell ref="O3166:P3167"/>
    <mergeCell ref="Q3166:R3167"/>
    <mergeCell ref="S3166:T3167"/>
    <mergeCell ref="U3166:V3167"/>
    <mergeCell ref="AJ3162:AL3162"/>
    <mergeCell ref="AN3162:AO3162"/>
    <mergeCell ref="AP3162:AQ3162"/>
    <mergeCell ref="AR3162:AS3163"/>
    <mergeCell ref="AT3162:AU3163"/>
    <mergeCell ref="AV3162:AW3163"/>
    <mergeCell ref="AX3162:AY3163"/>
    <mergeCell ref="AZ3162:AZ3163"/>
    <mergeCell ref="F3163:H3163"/>
    <mergeCell ref="X3163:AB3163"/>
    <mergeCell ref="AE3163:AI3163"/>
    <mergeCell ref="AJ3163:AL3163"/>
    <mergeCell ref="AN3163:AO3163"/>
    <mergeCell ref="AP3163:AQ3163"/>
    <mergeCell ref="W3164:W3165"/>
    <mergeCell ref="X3164:AB3164"/>
    <mergeCell ref="AD3164:AI3164"/>
    <mergeCell ref="A3184:A3185"/>
    <mergeCell ref="E3184:E3185"/>
    <mergeCell ref="F3184:H3184"/>
    <mergeCell ref="J3184:J3185"/>
    <mergeCell ref="K3184:L3185"/>
    <mergeCell ref="M3184:N3185"/>
    <mergeCell ref="O3184:P3185"/>
    <mergeCell ref="Q3184:R3185"/>
    <mergeCell ref="S3184:T3185"/>
    <mergeCell ref="U3184:V3185"/>
    <mergeCell ref="W3184:W3185"/>
    <mergeCell ref="X3184:AB3184"/>
    <mergeCell ref="AD3184:AI3184"/>
    <mergeCell ref="AJ3184:AL3184"/>
    <mergeCell ref="AN3184:AO3184"/>
    <mergeCell ref="AP3184:AQ3184"/>
    <mergeCell ref="AR3184:AS3185"/>
    <mergeCell ref="AT3184:AU3185"/>
    <mergeCell ref="AV3184:AW3185"/>
    <mergeCell ref="AX3184:AY3185"/>
    <mergeCell ref="AZ3184:AZ3185"/>
    <mergeCell ref="F3185:H3185"/>
    <mergeCell ref="X3185:AB3185"/>
    <mergeCell ref="AE3185:AI3185"/>
    <mergeCell ref="AJ3185:AL3185"/>
    <mergeCell ref="AN3185:AO3185"/>
    <mergeCell ref="AP3185:AQ3185"/>
    <mergeCell ref="A3180:A3181"/>
    <mergeCell ref="E3180:E3181"/>
    <mergeCell ref="F3180:H3180"/>
    <mergeCell ref="J3180:J3181"/>
    <mergeCell ref="K3180:L3181"/>
    <mergeCell ref="M3180:N3181"/>
    <mergeCell ref="O3180:P3181"/>
    <mergeCell ref="Q3180:R3181"/>
    <mergeCell ref="S3180:T3181"/>
    <mergeCell ref="U3180:V3181"/>
    <mergeCell ref="A3202:A3203"/>
    <mergeCell ref="E3202:E3203"/>
    <mergeCell ref="F3202:H3202"/>
    <mergeCell ref="J3202:J3203"/>
    <mergeCell ref="K3202:L3203"/>
    <mergeCell ref="M3202:N3203"/>
    <mergeCell ref="O3202:P3203"/>
    <mergeCell ref="Q3202:R3203"/>
    <mergeCell ref="S3202:T3203"/>
    <mergeCell ref="U3202:V3203"/>
    <mergeCell ref="W3202:W3203"/>
    <mergeCell ref="X3202:AB3202"/>
    <mergeCell ref="AD3202:AI3202"/>
    <mergeCell ref="AJ3202:AL3202"/>
    <mergeCell ref="AN3202:AO3202"/>
    <mergeCell ref="AP3202:AQ3202"/>
    <mergeCell ref="AR3202:AS3203"/>
    <mergeCell ref="AT3202:AU3203"/>
    <mergeCell ref="AV3202:AW3203"/>
    <mergeCell ref="AX3202:AY3203"/>
    <mergeCell ref="AZ3202:AZ3203"/>
    <mergeCell ref="F3203:H3203"/>
    <mergeCell ref="X3203:AB3203"/>
    <mergeCell ref="AE3203:AI3203"/>
    <mergeCell ref="AJ3203:AL3203"/>
    <mergeCell ref="AN3203:AO3203"/>
    <mergeCell ref="AP3203:AQ3203"/>
    <mergeCell ref="A3204:A3205"/>
    <mergeCell ref="E3204:E3205"/>
    <mergeCell ref="F3204:H3204"/>
    <mergeCell ref="J3204:J3205"/>
    <mergeCell ref="K3204:L3205"/>
    <mergeCell ref="M3204:N3205"/>
    <mergeCell ref="O3204:P3205"/>
    <mergeCell ref="Q3204:R3205"/>
    <mergeCell ref="S3204:T3205"/>
    <mergeCell ref="U3204:V3205"/>
    <mergeCell ref="W3204:W3205"/>
    <mergeCell ref="X3204:AB3204"/>
    <mergeCell ref="AD3204:AI3204"/>
    <mergeCell ref="AJ3204:AL3204"/>
    <mergeCell ref="AN3204:AO3204"/>
    <mergeCell ref="AP3204:AQ3204"/>
    <mergeCell ref="AR3204:AS3205"/>
    <mergeCell ref="AT3204:AU3205"/>
    <mergeCell ref="AV3204:AW3205"/>
    <mergeCell ref="AX3204:AY3205"/>
    <mergeCell ref="AZ3204:AZ3205"/>
    <mergeCell ref="F3205:H3205"/>
    <mergeCell ref="X3205:AB3205"/>
    <mergeCell ref="AE3205:AI3205"/>
    <mergeCell ref="AJ3205:AL3205"/>
    <mergeCell ref="AN3205:AO3205"/>
    <mergeCell ref="AP3205:AQ3205"/>
    <mergeCell ref="A3206:A3207"/>
    <mergeCell ref="E3206:E3207"/>
    <mergeCell ref="F3206:H3206"/>
    <mergeCell ref="J3206:J3207"/>
    <mergeCell ref="K3206:L3207"/>
    <mergeCell ref="M3206:N3207"/>
    <mergeCell ref="O3206:P3207"/>
    <mergeCell ref="Q3206:R3207"/>
    <mergeCell ref="S3206:T3207"/>
    <mergeCell ref="U3206:V3207"/>
    <mergeCell ref="W3206:W3207"/>
    <mergeCell ref="X3206:AB3206"/>
    <mergeCell ref="AD3206:AI3206"/>
    <mergeCell ref="AJ3206:AL3206"/>
    <mergeCell ref="AN3206:AO3206"/>
    <mergeCell ref="AP3206:AQ3206"/>
    <mergeCell ref="AR3206:AS3207"/>
    <mergeCell ref="AT3206:AU3207"/>
    <mergeCell ref="AV3206:AW3207"/>
    <mergeCell ref="AX3206:AY3207"/>
    <mergeCell ref="AZ3206:AZ3207"/>
    <mergeCell ref="F3207:H3207"/>
    <mergeCell ref="X3207:AB3207"/>
    <mergeCell ref="AE3207:AI3207"/>
    <mergeCell ref="AJ3207:AL3207"/>
    <mergeCell ref="AN3207:AO3207"/>
    <mergeCell ref="AP3207:AQ3207"/>
    <mergeCell ref="A3208:A3209"/>
    <mergeCell ref="E3208:E3209"/>
    <mergeCell ref="F3208:H3208"/>
    <mergeCell ref="J3208:J3209"/>
    <mergeCell ref="K3208:L3209"/>
    <mergeCell ref="M3208:N3209"/>
    <mergeCell ref="O3208:P3209"/>
    <mergeCell ref="Q3208:R3209"/>
    <mergeCell ref="S3208:T3209"/>
    <mergeCell ref="U3208:V3209"/>
    <mergeCell ref="W3208:W3209"/>
    <mergeCell ref="X3208:AB3208"/>
    <mergeCell ref="AD3208:AI3208"/>
    <mergeCell ref="AJ3208:AL3208"/>
    <mergeCell ref="AN3208:AO3208"/>
    <mergeCell ref="AP3208:AQ3208"/>
    <mergeCell ref="AR3208:AS3209"/>
    <mergeCell ref="AT3208:AU3209"/>
    <mergeCell ref="AV3208:AW3209"/>
    <mergeCell ref="AX3208:AY3209"/>
    <mergeCell ref="AZ3208:AZ3209"/>
    <mergeCell ref="F3209:H3209"/>
    <mergeCell ref="X3209:AB3209"/>
    <mergeCell ref="AE3209:AI3209"/>
    <mergeCell ref="AJ3209:AL3209"/>
    <mergeCell ref="AN3209:AO3209"/>
    <mergeCell ref="AP3209:AQ3209"/>
    <mergeCell ref="A3284:A3285"/>
    <mergeCell ref="E3284:E3285"/>
    <mergeCell ref="F3284:H3284"/>
    <mergeCell ref="J3284:J3285"/>
    <mergeCell ref="K3284:L3285"/>
    <mergeCell ref="M3284:N3285"/>
    <mergeCell ref="O3284:P3285"/>
    <mergeCell ref="Q3284:R3285"/>
    <mergeCell ref="S3284:T3285"/>
    <mergeCell ref="U3284:V3285"/>
    <mergeCell ref="W3284:W3285"/>
    <mergeCell ref="X3284:AB3284"/>
    <mergeCell ref="AD3284:AI3284"/>
    <mergeCell ref="AJ3284:AL3284"/>
    <mergeCell ref="AN3284:AO3284"/>
    <mergeCell ref="AP3284:AQ3284"/>
    <mergeCell ref="AR3284:AS3285"/>
    <mergeCell ref="AT3284:AU3285"/>
    <mergeCell ref="AV3284:AW3285"/>
    <mergeCell ref="AX3284:AY3285"/>
    <mergeCell ref="AZ3284:AZ3285"/>
    <mergeCell ref="F3285:H3285"/>
    <mergeCell ref="X3285:AB3285"/>
    <mergeCell ref="AE3285:AI3285"/>
    <mergeCell ref="AJ3285:AL3285"/>
    <mergeCell ref="AN3285:AO3285"/>
    <mergeCell ref="AP3285:AQ3285"/>
    <mergeCell ref="A3214:A3215"/>
    <mergeCell ref="E3214:E3215"/>
    <mergeCell ref="F3214:H3214"/>
    <mergeCell ref="J3214:J3215"/>
    <mergeCell ref="K3214:L3215"/>
    <mergeCell ref="M3214:N3215"/>
    <mergeCell ref="O3214:P3215"/>
    <mergeCell ref="Q3214:R3215"/>
    <mergeCell ref="S3214:T3215"/>
    <mergeCell ref="U3214:V3215"/>
    <mergeCell ref="W3214:W3215"/>
    <mergeCell ref="X3214:AB3214"/>
    <mergeCell ref="AD3214:AI3214"/>
    <mergeCell ref="AJ3214:AL3214"/>
    <mergeCell ref="AN3214:AO3214"/>
    <mergeCell ref="AP3214:AQ3214"/>
    <mergeCell ref="AR3214:AS3215"/>
    <mergeCell ref="AT3214:AU3215"/>
    <mergeCell ref="AV3214:AW3215"/>
    <mergeCell ref="AX3214:AY3215"/>
    <mergeCell ref="AZ3214:AZ3215"/>
    <mergeCell ref="F3215:H3215"/>
    <mergeCell ref="X3215:AB3215"/>
    <mergeCell ref="AE3215:AI3215"/>
    <mergeCell ref="AJ3215:AL3215"/>
    <mergeCell ref="AN3215:AO3215"/>
    <mergeCell ref="AP3215:AQ3215"/>
    <mergeCell ref="A3216:A3217"/>
    <mergeCell ref="E3216:E3217"/>
    <mergeCell ref="F3216:H3216"/>
    <mergeCell ref="J3216:J3217"/>
    <mergeCell ref="K3216:L3217"/>
    <mergeCell ref="M3216:N3217"/>
    <mergeCell ref="O3216:P3217"/>
    <mergeCell ref="Q3216:R3217"/>
    <mergeCell ref="S3216:T3217"/>
    <mergeCell ref="U3216:V3217"/>
    <mergeCell ref="O3340:P3341"/>
    <mergeCell ref="Q3340:R3341"/>
    <mergeCell ref="S3340:T3341"/>
    <mergeCell ref="U3340:V3341"/>
    <mergeCell ref="W3340:W3341"/>
    <mergeCell ref="X3340:AB3340"/>
    <mergeCell ref="AD3340:AI3340"/>
    <mergeCell ref="AJ3340:AL3340"/>
    <mergeCell ref="AN3340:AO3340"/>
    <mergeCell ref="AP3340:AQ3340"/>
    <mergeCell ref="AR3340:AS3341"/>
    <mergeCell ref="AT3340:AU3341"/>
    <mergeCell ref="AV3340:AW3341"/>
    <mergeCell ref="AX3340:AY3341"/>
    <mergeCell ref="AZ3340:AZ3341"/>
    <mergeCell ref="F3341:H3341"/>
    <mergeCell ref="X3341:AB3341"/>
    <mergeCell ref="AE3341:AI3341"/>
    <mergeCell ref="AJ3341:AL3341"/>
    <mergeCell ref="AN3341:AO3341"/>
    <mergeCell ref="AP3341:AQ3341"/>
    <mergeCell ref="A3380:A3381"/>
    <mergeCell ref="E3380:E3381"/>
    <mergeCell ref="F3380:H3380"/>
    <mergeCell ref="J3380:J3381"/>
    <mergeCell ref="K3380:L3381"/>
    <mergeCell ref="M3380:N3381"/>
    <mergeCell ref="O3380:P3381"/>
    <mergeCell ref="Q3380:R3381"/>
    <mergeCell ref="S3380:T3381"/>
    <mergeCell ref="U3380:V3381"/>
    <mergeCell ref="W3380:W3381"/>
    <mergeCell ref="X3380:AB3380"/>
    <mergeCell ref="AD3380:AI3380"/>
    <mergeCell ref="AJ3380:AL3380"/>
    <mergeCell ref="AN3380:AO3380"/>
    <mergeCell ref="AP3380:AQ3380"/>
    <mergeCell ref="AR3380:AS3381"/>
    <mergeCell ref="AT3380:AU3381"/>
    <mergeCell ref="AV3380:AW3381"/>
    <mergeCell ref="AX3380:AY3381"/>
    <mergeCell ref="AZ3380:AZ3381"/>
    <mergeCell ref="F3381:H3381"/>
    <mergeCell ref="X3381:AB3381"/>
    <mergeCell ref="AE3381:AI3381"/>
    <mergeCell ref="AJ3381:AL3381"/>
    <mergeCell ref="AN3381:AO3381"/>
    <mergeCell ref="AP3381:AQ3381"/>
    <mergeCell ref="A3354:A3355"/>
    <mergeCell ref="E3354:E3355"/>
    <mergeCell ref="F3354:H3354"/>
    <mergeCell ref="J3354:J3355"/>
    <mergeCell ref="K3354:L3355"/>
    <mergeCell ref="M3354:N3355"/>
    <mergeCell ref="O3354:P3355"/>
    <mergeCell ref="Q3354:R3355"/>
    <mergeCell ref="S3354:T3355"/>
    <mergeCell ref="U3354:V3355"/>
    <mergeCell ref="W3354:W3355"/>
    <mergeCell ref="X3354:AB3354"/>
    <mergeCell ref="AD3354:AI3354"/>
    <mergeCell ref="AJ3354:AL3354"/>
    <mergeCell ref="AN3354:AO3354"/>
    <mergeCell ref="AP3354:AQ3354"/>
    <mergeCell ref="A3382:A3383"/>
    <mergeCell ref="E3382:E3383"/>
    <mergeCell ref="F3382:H3382"/>
    <mergeCell ref="J3382:J3383"/>
    <mergeCell ref="K3382:L3383"/>
    <mergeCell ref="M3382:N3383"/>
    <mergeCell ref="O3382:P3383"/>
    <mergeCell ref="Q3382:R3383"/>
    <mergeCell ref="S3382:T3383"/>
    <mergeCell ref="U3382:V3383"/>
    <mergeCell ref="W3382:W3383"/>
    <mergeCell ref="X3382:AB3382"/>
    <mergeCell ref="AD3382:AI3382"/>
    <mergeCell ref="AJ3382:AL3382"/>
    <mergeCell ref="AN3382:AO3382"/>
    <mergeCell ref="AP3382:AQ3382"/>
    <mergeCell ref="AR3382:AS3383"/>
    <mergeCell ref="AT3382:AU3383"/>
    <mergeCell ref="AV3382:AW3383"/>
    <mergeCell ref="AX3382:AY3383"/>
    <mergeCell ref="AZ3382:AZ3383"/>
    <mergeCell ref="F3383:H3383"/>
    <mergeCell ref="X3383:AB3383"/>
    <mergeCell ref="AE3383:AI3383"/>
    <mergeCell ref="AJ3383:AL3383"/>
    <mergeCell ref="AN3383:AO3383"/>
    <mergeCell ref="AP3383:AQ3383"/>
    <mergeCell ref="A3384:A3385"/>
    <mergeCell ref="E3384:E3385"/>
    <mergeCell ref="F3384:H3384"/>
    <mergeCell ref="J3384:J3385"/>
    <mergeCell ref="K3384:L3385"/>
    <mergeCell ref="M3384:N3385"/>
    <mergeCell ref="O3384:P3385"/>
    <mergeCell ref="Q3384:R3385"/>
    <mergeCell ref="S3384:T3385"/>
    <mergeCell ref="U3384:V3385"/>
    <mergeCell ref="W3384:W3385"/>
    <mergeCell ref="X3384:AB3384"/>
    <mergeCell ref="AD3384:AI3384"/>
    <mergeCell ref="AJ3384:AL3384"/>
    <mergeCell ref="AN3384:AO3384"/>
    <mergeCell ref="AP3384:AQ3384"/>
    <mergeCell ref="AR3384:AS3385"/>
    <mergeCell ref="AT3384:AU3385"/>
    <mergeCell ref="AV3384:AW3385"/>
    <mergeCell ref="AX3384:AY3385"/>
    <mergeCell ref="AZ3384:AZ3385"/>
    <mergeCell ref="F3385:H3385"/>
    <mergeCell ref="X3385:AB3385"/>
    <mergeCell ref="AE3385:AI3385"/>
    <mergeCell ref="AJ3385:AL3385"/>
    <mergeCell ref="AN3385:AO3385"/>
    <mergeCell ref="AP3385:AQ3385"/>
    <mergeCell ref="A3386:A3387"/>
    <mergeCell ref="E3386:E3387"/>
    <mergeCell ref="F3386:H3386"/>
    <mergeCell ref="J3386:J3387"/>
    <mergeCell ref="K3386:L3387"/>
    <mergeCell ref="M3386:N3387"/>
    <mergeCell ref="O3386:P3387"/>
    <mergeCell ref="Q3386:R3387"/>
    <mergeCell ref="S3386:T3387"/>
    <mergeCell ref="U3386:V3387"/>
    <mergeCell ref="W3386:W3387"/>
    <mergeCell ref="X3386:AB3386"/>
    <mergeCell ref="AD3386:AI3386"/>
    <mergeCell ref="AJ3386:AL3386"/>
    <mergeCell ref="AN3386:AO3386"/>
    <mergeCell ref="AP3386:AQ3386"/>
    <mergeCell ref="AR3386:AS3387"/>
    <mergeCell ref="AT3386:AU3387"/>
    <mergeCell ref="AV3386:AW3387"/>
    <mergeCell ref="AX3386:AY3387"/>
    <mergeCell ref="AZ3386:AZ3387"/>
    <mergeCell ref="F3387:H3387"/>
    <mergeCell ref="X3387:AB3387"/>
    <mergeCell ref="AE3387:AI3387"/>
    <mergeCell ref="AJ3387:AL3387"/>
    <mergeCell ref="AN3387:AO3387"/>
    <mergeCell ref="AP3387:AQ3387"/>
    <mergeCell ref="A3388:A3389"/>
    <mergeCell ref="E3388:E3389"/>
    <mergeCell ref="F3388:H3388"/>
    <mergeCell ref="J3388:J3389"/>
    <mergeCell ref="K3388:L3389"/>
    <mergeCell ref="M3388:N3389"/>
    <mergeCell ref="O3388:P3389"/>
    <mergeCell ref="Q3388:R3389"/>
    <mergeCell ref="S3388:T3389"/>
    <mergeCell ref="U3388:V3389"/>
    <mergeCell ref="W3388:W3389"/>
    <mergeCell ref="X3388:AB3388"/>
    <mergeCell ref="AD3388:AI3388"/>
    <mergeCell ref="AJ3388:AL3388"/>
    <mergeCell ref="AN3388:AO3388"/>
    <mergeCell ref="AP3388:AQ3388"/>
    <mergeCell ref="AR3388:AS3389"/>
    <mergeCell ref="AT3388:AU3389"/>
    <mergeCell ref="AV3388:AW3389"/>
    <mergeCell ref="AX3388:AY3389"/>
    <mergeCell ref="AZ3388:AZ3389"/>
    <mergeCell ref="F3389:H3389"/>
    <mergeCell ref="X3389:AB3389"/>
    <mergeCell ref="AE3389:AI3389"/>
    <mergeCell ref="AJ3389:AL3389"/>
    <mergeCell ref="AN3389:AO3389"/>
    <mergeCell ref="AP3389:AQ3389"/>
    <mergeCell ref="A3390:A3391"/>
    <mergeCell ref="E3390:E3391"/>
    <mergeCell ref="F3390:H3390"/>
    <mergeCell ref="J3390:J3391"/>
    <mergeCell ref="K3390:L3391"/>
    <mergeCell ref="M3390:N3391"/>
    <mergeCell ref="O3390:P3391"/>
    <mergeCell ref="Q3390:R3391"/>
    <mergeCell ref="S3390:T3391"/>
    <mergeCell ref="U3390:V3391"/>
    <mergeCell ref="W3390:W3391"/>
    <mergeCell ref="X3390:AB3390"/>
    <mergeCell ref="AD3390:AI3390"/>
    <mergeCell ref="AJ3390:AL3390"/>
    <mergeCell ref="AN3390:AO3390"/>
    <mergeCell ref="AP3390:AQ3390"/>
    <mergeCell ref="AR3390:AS3391"/>
    <mergeCell ref="AT3390:AU3391"/>
    <mergeCell ref="AV3390:AW3391"/>
    <mergeCell ref="AX3390:AY3391"/>
    <mergeCell ref="AZ3390:AZ3391"/>
    <mergeCell ref="F3391:H3391"/>
    <mergeCell ref="X3391:AB3391"/>
    <mergeCell ref="AE3391:AI3391"/>
    <mergeCell ref="AJ3391:AL3391"/>
    <mergeCell ref="AN3391:AO3391"/>
    <mergeCell ref="AP3391:AQ3391"/>
    <mergeCell ref="A3392:A3393"/>
    <mergeCell ref="E3392:E3393"/>
    <mergeCell ref="F3392:H3392"/>
    <mergeCell ref="J3392:J3393"/>
    <mergeCell ref="K3392:L3393"/>
    <mergeCell ref="M3392:N3393"/>
    <mergeCell ref="O3392:P3393"/>
    <mergeCell ref="Q3392:R3393"/>
    <mergeCell ref="S3392:T3393"/>
    <mergeCell ref="U3392:V3393"/>
    <mergeCell ref="W3392:W3393"/>
    <mergeCell ref="X3392:AB3392"/>
    <mergeCell ref="AD3392:AI3392"/>
    <mergeCell ref="AJ3392:AL3392"/>
    <mergeCell ref="AN3392:AO3392"/>
    <mergeCell ref="AP3392:AQ3392"/>
    <mergeCell ref="AR3392:AS3393"/>
    <mergeCell ref="AT3392:AU3393"/>
    <mergeCell ref="AV3392:AW3393"/>
    <mergeCell ref="AX3392:AY3393"/>
    <mergeCell ref="AZ3392:AZ3393"/>
    <mergeCell ref="F3393:H3393"/>
    <mergeCell ref="X3393:AB3393"/>
    <mergeCell ref="AE3393:AI3393"/>
    <mergeCell ref="AJ3393:AL3393"/>
    <mergeCell ref="AN3393:AO3393"/>
    <mergeCell ref="AP3393:AQ3393"/>
    <mergeCell ref="A3400:A3401"/>
    <mergeCell ref="E3400:E3401"/>
    <mergeCell ref="F3400:H3400"/>
    <mergeCell ref="J3400:J3401"/>
    <mergeCell ref="K3400:L3401"/>
    <mergeCell ref="M3400:N3401"/>
    <mergeCell ref="O3400:P3401"/>
    <mergeCell ref="Q3400:R3401"/>
    <mergeCell ref="S3400:T3401"/>
    <mergeCell ref="U3400:V3401"/>
    <mergeCell ref="W3400:W3401"/>
    <mergeCell ref="X3400:AB3400"/>
    <mergeCell ref="AD3400:AI3400"/>
    <mergeCell ref="AJ3400:AL3400"/>
    <mergeCell ref="AN3400:AO3400"/>
    <mergeCell ref="AP3400:AQ3400"/>
    <mergeCell ref="AR3400:AS3401"/>
    <mergeCell ref="AT3400:AU3401"/>
    <mergeCell ref="AV3400:AW3401"/>
    <mergeCell ref="AX3400:AY3401"/>
    <mergeCell ref="AZ3400:AZ3401"/>
    <mergeCell ref="F3401:H3401"/>
    <mergeCell ref="X3401:AB3401"/>
    <mergeCell ref="AE3401:AI3401"/>
    <mergeCell ref="AJ3401:AL3401"/>
    <mergeCell ref="AN3401:AO3401"/>
    <mergeCell ref="AP3401:AQ3401"/>
    <mergeCell ref="A3402:A3403"/>
    <mergeCell ref="E3402:E3403"/>
    <mergeCell ref="F3402:H3402"/>
    <mergeCell ref="J3402:J3403"/>
    <mergeCell ref="K3402:L3403"/>
    <mergeCell ref="M3402:N3403"/>
    <mergeCell ref="O3402:P3403"/>
    <mergeCell ref="Q3402:R3403"/>
    <mergeCell ref="S3402:T3403"/>
    <mergeCell ref="U3402:V3403"/>
    <mergeCell ref="W3402:W3403"/>
    <mergeCell ref="X3402:AB3402"/>
    <mergeCell ref="AD3402:AI3402"/>
    <mergeCell ref="AJ3402:AL3402"/>
    <mergeCell ref="AN3402:AO3402"/>
    <mergeCell ref="AP3402:AQ3402"/>
    <mergeCell ref="AR3402:AS3403"/>
    <mergeCell ref="AT3402:AU3403"/>
    <mergeCell ref="AV3402:AW3403"/>
    <mergeCell ref="AX3402:AY3403"/>
    <mergeCell ref="AZ3402:AZ3403"/>
    <mergeCell ref="F3403:H3403"/>
    <mergeCell ref="X3403:AB3403"/>
    <mergeCell ref="AE3403:AI3403"/>
    <mergeCell ref="AJ3403:AL3403"/>
    <mergeCell ref="AN3403:AO3403"/>
    <mergeCell ref="AP3403:AQ3403"/>
    <mergeCell ref="W3410:W3411"/>
    <mergeCell ref="X3410:AB3410"/>
    <mergeCell ref="AD3410:AI3410"/>
    <mergeCell ref="AJ3410:AL3410"/>
    <mergeCell ref="AN3410:AO3410"/>
    <mergeCell ref="AP3410:AQ3410"/>
    <mergeCell ref="AR3410:AS3411"/>
    <mergeCell ref="AT3410:AU3411"/>
    <mergeCell ref="AV3410:AW3411"/>
    <mergeCell ref="AX3410:AY3411"/>
    <mergeCell ref="AZ3410:AZ3411"/>
    <mergeCell ref="F3411:H3411"/>
    <mergeCell ref="X3411:AB3411"/>
    <mergeCell ref="AE3411:AI3411"/>
    <mergeCell ref="AJ3411:AL3411"/>
    <mergeCell ref="AN3411:AO3411"/>
    <mergeCell ref="AP3411:AQ3411"/>
    <mergeCell ref="A3412:A3413"/>
    <mergeCell ref="E3412:E3413"/>
    <mergeCell ref="F3412:H3412"/>
    <mergeCell ref="J3412:J3413"/>
    <mergeCell ref="K3412:L3413"/>
    <mergeCell ref="M3412:N3413"/>
    <mergeCell ref="O3412:P3413"/>
    <mergeCell ref="Q3412:R3413"/>
    <mergeCell ref="S3412:T3413"/>
    <mergeCell ref="U3412:V3413"/>
    <mergeCell ref="W3412:W3413"/>
    <mergeCell ref="X3412:AB3412"/>
    <mergeCell ref="AD3412:AI3412"/>
    <mergeCell ref="AJ3412:AL3412"/>
    <mergeCell ref="AN3412:AO3412"/>
    <mergeCell ref="AP3412:AQ3412"/>
    <mergeCell ref="AR3412:AS3413"/>
    <mergeCell ref="AT3412:AU3413"/>
    <mergeCell ref="AV3412:AW3413"/>
    <mergeCell ref="AX3412:AY3413"/>
    <mergeCell ref="AZ3412:AZ3413"/>
    <mergeCell ref="F3413:H3413"/>
    <mergeCell ref="X3413:AB3413"/>
    <mergeCell ref="AE3413:AI3413"/>
    <mergeCell ref="AJ3413:AL3413"/>
    <mergeCell ref="AN3413:AO3413"/>
    <mergeCell ref="AP3413:AQ3413"/>
    <mergeCell ref="A3414:A3415"/>
    <mergeCell ref="E3414:E3415"/>
    <mergeCell ref="F3414:H3414"/>
    <mergeCell ref="J3414:J3415"/>
    <mergeCell ref="K3414:L3415"/>
    <mergeCell ref="M3414:N3415"/>
    <mergeCell ref="O3414:P3415"/>
    <mergeCell ref="Q3414:R3415"/>
    <mergeCell ref="S3414:T3415"/>
    <mergeCell ref="U3414:V3415"/>
    <mergeCell ref="W3414:W3415"/>
    <mergeCell ref="X3414:AB3414"/>
    <mergeCell ref="AD3414:AI3414"/>
    <mergeCell ref="AJ3414:AL3414"/>
    <mergeCell ref="AN3414:AO3414"/>
    <mergeCell ref="AP3414:AQ3414"/>
    <mergeCell ref="AR3414:AS3415"/>
    <mergeCell ref="AT3414:AU3415"/>
    <mergeCell ref="AV3414:AW3415"/>
    <mergeCell ref="AX3414:AY3415"/>
    <mergeCell ref="AZ3414:AZ3415"/>
    <mergeCell ref="F3415:H3415"/>
    <mergeCell ref="X3415:AB3415"/>
    <mergeCell ref="AE3415:AI3415"/>
    <mergeCell ref="AJ3415:AL3415"/>
    <mergeCell ref="AN3415:AO3415"/>
    <mergeCell ref="AP3415:AQ3415"/>
    <mergeCell ref="A3416:A3417"/>
    <mergeCell ref="E3416:E3417"/>
    <mergeCell ref="F3416:H3416"/>
    <mergeCell ref="J3416:J3417"/>
    <mergeCell ref="K3416:L3417"/>
    <mergeCell ref="M3416:N3417"/>
    <mergeCell ref="O3416:P3417"/>
    <mergeCell ref="Q3416:R3417"/>
    <mergeCell ref="S3416:T3417"/>
    <mergeCell ref="U3416:V3417"/>
    <mergeCell ref="W3416:W3417"/>
    <mergeCell ref="X3416:AB3416"/>
    <mergeCell ref="AD3416:AI3416"/>
    <mergeCell ref="AJ3416:AL3416"/>
    <mergeCell ref="AN3416:AO3416"/>
    <mergeCell ref="AP3416:AQ3416"/>
    <mergeCell ref="AR3416:AS3417"/>
    <mergeCell ref="AT3416:AU3417"/>
    <mergeCell ref="AV3416:AW3417"/>
    <mergeCell ref="AX3416:AY3417"/>
    <mergeCell ref="AZ3416:AZ3417"/>
    <mergeCell ref="F3417:H3417"/>
    <mergeCell ref="X3417:AB3417"/>
    <mergeCell ref="AE3417:AI3417"/>
    <mergeCell ref="AJ3417:AL3417"/>
    <mergeCell ref="AN3417:AO3417"/>
    <mergeCell ref="AP3417:AQ3417"/>
    <mergeCell ref="A3418:A3419"/>
    <mergeCell ref="E3418:E3419"/>
    <mergeCell ref="F3418:H3418"/>
    <mergeCell ref="J3418:J3419"/>
    <mergeCell ref="K3418:L3419"/>
    <mergeCell ref="M3418:N3419"/>
    <mergeCell ref="O3418:P3419"/>
    <mergeCell ref="Q3418:R3419"/>
    <mergeCell ref="S3418:T3419"/>
    <mergeCell ref="U3418:V3419"/>
    <mergeCell ref="W3418:W3419"/>
    <mergeCell ref="X3418:AB3418"/>
    <mergeCell ref="AD3418:AI3418"/>
    <mergeCell ref="AJ3418:AL3418"/>
    <mergeCell ref="AN3418:AO3418"/>
    <mergeCell ref="AP3418:AQ3418"/>
    <mergeCell ref="AR3418:AS3419"/>
    <mergeCell ref="AT3418:AU3419"/>
    <mergeCell ref="AV3418:AW3419"/>
    <mergeCell ref="AX3418:AY3419"/>
    <mergeCell ref="AZ3418:AZ3419"/>
    <mergeCell ref="F3419:H3419"/>
    <mergeCell ref="X3419:AB3419"/>
    <mergeCell ref="AE3419:AI3419"/>
    <mergeCell ref="AJ3419:AL3419"/>
    <mergeCell ref="AN3419:AO3419"/>
    <mergeCell ref="AP3419:AQ3419"/>
    <mergeCell ref="A3420:A3421"/>
    <mergeCell ref="E3420:E3421"/>
    <mergeCell ref="F3420:H3420"/>
    <mergeCell ref="J3420:J3421"/>
    <mergeCell ref="K3420:L3421"/>
    <mergeCell ref="M3420:N3421"/>
    <mergeCell ref="O3420:P3421"/>
    <mergeCell ref="Q3420:R3421"/>
    <mergeCell ref="S3420:T3421"/>
    <mergeCell ref="U3420:V3421"/>
    <mergeCell ref="W3420:W3421"/>
    <mergeCell ref="X3420:AB3420"/>
    <mergeCell ref="AD3420:AI3420"/>
    <mergeCell ref="AJ3420:AL3420"/>
    <mergeCell ref="AN3420:AO3420"/>
    <mergeCell ref="AP3420:AQ3420"/>
    <mergeCell ref="AR3420:AS3421"/>
    <mergeCell ref="AT3420:AU3421"/>
    <mergeCell ref="AV3420:AW3421"/>
    <mergeCell ref="AX3420:AY3421"/>
    <mergeCell ref="AZ3420:AZ3421"/>
    <mergeCell ref="F3421:H3421"/>
    <mergeCell ref="X3421:AB3421"/>
    <mergeCell ref="AE3421:AI3421"/>
    <mergeCell ref="AJ3421:AL3421"/>
    <mergeCell ref="AN3421:AO3421"/>
    <mergeCell ref="AP3421:AQ3421"/>
    <mergeCell ref="A3422:A3423"/>
    <mergeCell ref="E3422:E3423"/>
    <mergeCell ref="F3422:H3422"/>
    <mergeCell ref="J3422:J3423"/>
    <mergeCell ref="K3422:L3423"/>
    <mergeCell ref="M3422:N3423"/>
    <mergeCell ref="O3422:P3423"/>
    <mergeCell ref="Q3422:R3423"/>
    <mergeCell ref="S3422:T3423"/>
    <mergeCell ref="U3422:V3423"/>
    <mergeCell ref="W3422:W3423"/>
    <mergeCell ref="X3422:AB3422"/>
    <mergeCell ref="AD3422:AI3422"/>
    <mergeCell ref="AJ3422:AL3422"/>
    <mergeCell ref="AN3422:AO3422"/>
    <mergeCell ref="AP3422:AQ3422"/>
    <mergeCell ref="AR3422:AS3423"/>
    <mergeCell ref="AT3422:AU3423"/>
    <mergeCell ref="AV3422:AW3423"/>
    <mergeCell ref="AX3422:AY3423"/>
    <mergeCell ref="AZ3422:AZ3423"/>
    <mergeCell ref="F3423:H3423"/>
    <mergeCell ref="X3423:AB3423"/>
    <mergeCell ref="AE3423:AI3423"/>
    <mergeCell ref="AJ3423:AL3423"/>
    <mergeCell ref="AN3423:AO3423"/>
    <mergeCell ref="AP3423:AQ3423"/>
    <mergeCell ref="A3424:A3425"/>
    <mergeCell ref="E3424:E3425"/>
    <mergeCell ref="F3424:H3424"/>
    <mergeCell ref="J3424:J3425"/>
    <mergeCell ref="K3424:L3425"/>
    <mergeCell ref="M3424:N3425"/>
    <mergeCell ref="O3424:P3425"/>
    <mergeCell ref="Q3424:R3425"/>
    <mergeCell ref="S3424:T3425"/>
    <mergeCell ref="U3424:V3425"/>
    <mergeCell ref="W3424:W3425"/>
    <mergeCell ref="X3424:AB3424"/>
    <mergeCell ref="AD3424:AI3424"/>
    <mergeCell ref="AJ3424:AL3424"/>
    <mergeCell ref="AN3424:AO3424"/>
    <mergeCell ref="AP3424:AQ3424"/>
    <mergeCell ref="AR3424:AS3425"/>
    <mergeCell ref="AT3424:AU3425"/>
    <mergeCell ref="AV3424:AW3425"/>
    <mergeCell ref="AX3424:AY3425"/>
    <mergeCell ref="AZ3424:AZ3425"/>
    <mergeCell ref="F3425:H3425"/>
    <mergeCell ref="X3425:AB3425"/>
    <mergeCell ref="AE3425:AI3425"/>
    <mergeCell ref="AJ3425:AL3425"/>
    <mergeCell ref="AN3425:AO3425"/>
    <mergeCell ref="AP3425:AQ3425"/>
    <mergeCell ref="A3426:A3427"/>
    <mergeCell ref="E3426:E3427"/>
    <mergeCell ref="F3426:H3426"/>
    <mergeCell ref="J3426:J3427"/>
    <mergeCell ref="K3426:L3427"/>
    <mergeCell ref="M3426:N3427"/>
    <mergeCell ref="O3426:P3427"/>
    <mergeCell ref="Q3426:R3427"/>
    <mergeCell ref="S3426:T3427"/>
    <mergeCell ref="U3426:V3427"/>
    <mergeCell ref="W3426:W3427"/>
    <mergeCell ref="X3426:AB3426"/>
    <mergeCell ref="AD3426:AI3426"/>
    <mergeCell ref="AJ3426:AL3426"/>
    <mergeCell ref="AN3426:AO3426"/>
    <mergeCell ref="AP3426:AQ3426"/>
    <mergeCell ref="AR3426:AS3427"/>
    <mergeCell ref="AT3426:AU3427"/>
    <mergeCell ref="AV3426:AW3427"/>
    <mergeCell ref="AX3426:AY3427"/>
    <mergeCell ref="AZ3426:AZ3427"/>
    <mergeCell ref="F3427:H3427"/>
    <mergeCell ref="X3427:AB3427"/>
    <mergeCell ref="AE3427:AI3427"/>
    <mergeCell ref="AJ3427:AL3427"/>
    <mergeCell ref="AN3427:AO3427"/>
    <mergeCell ref="AP3427:AQ3427"/>
    <mergeCell ref="A3428:A3429"/>
    <mergeCell ref="E3428:E3429"/>
    <mergeCell ref="F3428:H3428"/>
    <mergeCell ref="J3428:J3429"/>
    <mergeCell ref="K3428:L3429"/>
    <mergeCell ref="M3428:N3429"/>
    <mergeCell ref="O3428:P3429"/>
    <mergeCell ref="Q3428:R3429"/>
    <mergeCell ref="S3428:T3429"/>
    <mergeCell ref="U3428:V3429"/>
    <mergeCell ref="W3428:W3429"/>
    <mergeCell ref="X3428:AB3428"/>
    <mergeCell ref="AD3428:AI3428"/>
    <mergeCell ref="AJ3428:AL3428"/>
    <mergeCell ref="AN3428:AO3428"/>
    <mergeCell ref="AP3428:AQ3428"/>
    <mergeCell ref="AR3428:AS3429"/>
    <mergeCell ref="AT3428:AU3429"/>
    <mergeCell ref="AV3428:AW3429"/>
    <mergeCell ref="AX3428:AY3429"/>
    <mergeCell ref="AZ3428:AZ3429"/>
    <mergeCell ref="F3429:H3429"/>
    <mergeCell ref="X3429:AB3429"/>
    <mergeCell ref="AE3429:AI3429"/>
    <mergeCell ref="AJ3429:AL3429"/>
    <mergeCell ref="AN3429:AO3429"/>
    <mergeCell ref="AP3429:AQ3429"/>
    <mergeCell ref="AZ3430:AZ3431"/>
    <mergeCell ref="F3431:H3431"/>
    <mergeCell ref="X3431:AB3431"/>
    <mergeCell ref="AE3431:AI3431"/>
    <mergeCell ref="AJ3431:AL3431"/>
    <mergeCell ref="AN3431:AO3431"/>
    <mergeCell ref="AP3431:AQ3431"/>
    <mergeCell ref="A3436:A3437"/>
    <mergeCell ref="E3436:E3437"/>
    <mergeCell ref="F3436:H3436"/>
    <mergeCell ref="J3436:J3437"/>
    <mergeCell ref="K3436:L3437"/>
    <mergeCell ref="M3436:N3437"/>
    <mergeCell ref="O3436:P3437"/>
    <mergeCell ref="Q3436:R3437"/>
    <mergeCell ref="S3436:T3437"/>
    <mergeCell ref="U3436:V3437"/>
    <mergeCell ref="W3436:W3437"/>
    <mergeCell ref="X3436:AB3436"/>
    <mergeCell ref="AD3436:AI3436"/>
    <mergeCell ref="AJ3436:AL3436"/>
    <mergeCell ref="AN3436:AO3436"/>
    <mergeCell ref="AP3436:AQ3436"/>
    <mergeCell ref="AR3436:AS3437"/>
    <mergeCell ref="AT3436:AU3437"/>
    <mergeCell ref="AV3436:AW3437"/>
    <mergeCell ref="AX3436:AY3437"/>
    <mergeCell ref="AZ3436:AZ3437"/>
    <mergeCell ref="F3437:H3437"/>
    <mergeCell ref="X3437:AB3437"/>
    <mergeCell ref="AE3437:AI3437"/>
    <mergeCell ref="AJ3437:AL3437"/>
    <mergeCell ref="AN3437:AO3437"/>
    <mergeCell ref="AP3437:AQ3437"/>
    <mergeCell ref="AT3432:AU3433"/>
    <mergeCell ref="AV3432:AW3433"/>
    <mergeCell ref="AX3432:AY3433"/>
    <mergeCell ref="AZ3432:AZ3433"/>
    <mergeCell ref="F3433:H3433"/>
    <mergeCell ref="X3433:AB3433"/>
    <mergeCell ref="AE3433:AI3433"/>
    <mergeCell ref="AJ3433:AL3433"/>
    <mergeCell ref="AN3433:AO3433"/>
    <mergeCell ref="AP3433:AQ3433"/>
    <mergeCell ref="A3434:A3435"/>
    <mergeCell ref="E3434:E3435"/>
    <mergeCell ref="F3434:H3434"/>
    <mergeCell ref="J3434:J3435"/>
    <mergeCell ref="K3434:L3435"/>
    <mergeCell ref="M3434:N3435"/>
    <mergeCell ref="O3434:P3435"/>
    <mergeCell ref="Q3434:R3435"/>
    <mergeCell ref="S3434:T3435"/>
    <mergeCell ref="U3434:V3435"/>
    <mergeCell ref="W3434:W3435"/>
    <mergeCell ref="X3434:AB3434"/>
    <mergeCell ref="AD3434:AI3434"/>
    <mergeCell ref="AJ3434:AL3434"/>
    <mergeCell ref="AN3434:AO3434"/>
    <mergeCell ref="AP3434:AQ3434"/>
    <mergeCell ref="AR3434:AS3435"/>
    <mergeCell ref="AT3434:AU3435"/>
    <mergeCell ref="AV3434:AW3435"/>
    <mergeCell ref="AX3434:AY3435"/>
    <mergeCell ref="A3438:A3439"/>
    <mergeCell ref="E3438:E3439"/>
    <mergeCell ref="F3438:H3438"/>
    <mergeCell ref="J3438:J3439"/>
    <mergeCell ref="K3438:L3439"/>
    <mergeCell ref="M3438:N3439"/>
    <mergeCell ref="O3438:P3439"/>
    <mergeCell ref="Q3438:R3439"/>
    <mergeCell ref="S3438:T3439"/>
    <mergeCell ref="U3438:V3439"/>
    <mergeCell ref="W3438:W3439"/>
    <mergeCell ref="X3438:AB3438"/>
    <mergeCell ref="AD3438:AI3438"/>
    <mergeCell ref="AJ3438:AL3438"/>
    <mergeCell ref="AN3438:AO3438"/>
    <mergeCell ref="AP3438:AQ3438"/>
    <mergeCell ref="AR3438:AS3439"/>
    <mergeCell ref="AT3438:AU3439"/>
    <mergeCell ref="AV3438:AW3439"/>
    <mergeCell ref="AX3438:AY3439"/>
    <mergeCell ref="AZ3438:AZ3439"/>
    <mergeCell ref="F3439:H3439"/>
    <mergeCell ref="X3439:AB3439"/>
    <mergeCell ref="AE3439:AI3439"/>
    <mergeCell ref="AJ3439:AL3439"/>
    <mergeCell ref="AN3439:AO3439"/>
    <mergeCell ref="AP3439:AQ3439"/>
    <mergeCell ref="A3440:A3441"/>
    <mergeCell ref="E3440:E3441"/>
    <mergeCell ref="F3440:H3440"/>
    <mergeCell ref="J3440:J3441"/>
    <mergeCell ref="K3440:L3441"/>
    <mergeCell ref="M3440:N3441"/>
    <mergeCell ref="O3440:P3441"/>
    <mergeCell ref="Q3440:R3441"/>
    <mergeCell ref="S3440:T3441"/>
    <mergeCell ref="U3440:V3441"/>
    <mergeCell ref="W3440:W3441"/>
    <mergeCell ref="X3440:AB3440"/>
    <mergeCell ref="AD3440:AI3440"/>
    <mergeCell ref="AJ3440:AL3440"/>
    <mergeCell ref="AN3440:AO3440"/>
    <mergeCell ref="AP3440:AQ3440"/>
    <mergeCell ref="AR3440:AS3441"/>
    <mergeCell ref="AT3440:AU3441"/>
    <mergeCell ref="AV3440:AW3441"/>
    <mergeCell ref="AX3440:AY3441"/>
    <mergeCell ref="AZ3440:AZ3441"/>
    <mergeCell ref="F3441:H3441"/>
    <mergeCell ref="X3441:AB3441"/>
    <mergeCell ref="AE3441:AI3441"/>
    <mergeCell ref="AJ3441:AL3441"/>
    <mergeCell ref="AN3441:AO3441"/>
    <mergeCell ref="AP3441:AQ3441"/>
    <mergeCell ref="A3442:A3443"/>
    <mergeCell ref="E3442:E3443"/>
    <mergeCell ref="F3442:H3442"/>
    <mergeCell ref="J3442:J3443"/>
    <mergeCell ref="K3442:L3443"/>
    <mergeCell ref="M3442:N3443"/>
    <mergeCell ref="O3442:P3443"/>
    <mergeCell ref="Q3442:R3443"/>
    <mergeCell ref="S3442:T3443"/>
    <mergeCell ref="U3442:V3443"/>
    <mergeCell ref="W3442:W3443"/>
    <mergeCell ref="X3442:AB3442"/>
    <mergeCell ref="AD3442:AI3442"/>
    <mergeCell ref="AJ3442:AL3442"/>
    <mergeCell ref="AN3442:AO3442"/>
    <mergeCell ref="AP3442:AQ3442"/>
    <mergeCell ref="AR3442:AS3443"/>
    <mergeCell ref="AT3442:AU3443"/>
    <mergeCell ref="AV3442:AW3443"/>
    <mergeCell ref="AX3442:AY3443"/>
    <mergeCell ref="AZ3442:AZ3443"/>
    <mergeCell ref="F3443:H3443"/>
    <mergeCell ref="X3443:AB3443"/>
    <mergeCell ref="AE3443:AI3443"/>
    <mergeCell ref="AJ3443:AL3443"/>
    <mergeCell ref="AN3443:AO3443"/>
    <mergeCell ref="AP3443:AQ3443"/>
    <mergeCell ref="A3444:A3445"/>
    <mergeCell ref="E3444:E3445"/>
    <mergeCell ref="F3444:H3444"/>
    <mergeCell ref="J3444:J3445"/>
    <mergeCell ref="K3444:L3445"/>
    <mergeCell ref="M3444:N3445"/>
    <mergeCell ref="O3444:P3445"/>
    <mergeCell ref="Q3444:R3445"/>
    <mergeCell ref="S3444:T3445"/>
    <mergeCell ref="U3444:V3445"/>
    <mergeCell ref="W3444:W3445"/>
    <mergeCell ref="X3444:AB3444"/>
    <mergeCell ref="AD3444:AI3444"/>
    <mergeCell ref="AJ3444:AL3444"/>
    <mergeCell ref="AN3444:AO3444"/>
    <mergeCell ref="AP3444:AQ3444"/>
    <mergeCell ref="AR3444:AS3445"/>
    <mergeCell ref="AT3444:AU3445"/>
    <mergeCell ref="AV3444:AW3445"/>
    <mergeCell ref="AX3444:AY3445"/>
    <mergeCell ref="AZ3444:AZ3445"/>
    <mergeCell ref="F3445:H3445"/>
    <mergeCell ref="X3445:AB3445"/>
    <mergeCell ref="AE3445:AI3445"/>
    <mergeCell ref="AJ3445:AL3445"/>
    <mergeCell ref="AN3445:AO3445"/>
    <mergeCell ref="AP3445:AQ3445"/>
    <mergeCell ref="A3446:A3447"/>
    <mergeCell ref="E3446:E3447"/>
    <mergeCell ref="F3446:H3446"/>
    <mergeCell ref="J3446:J3447"/>
    <mergeCell ref="K3446:L3447"/>
    <mergeCell ref="M3446:N3447"/>
    <mergeCell ref="O3446:P3447"/>
    <mergeCell ref="Q3446:R3447"/>
    <mergeCell ref="S3446:T3447"/>
    <mergeCell ref="U3446:V3447"/>
    <mergeCell ref="W3446:W3447"/>
    <mergeCell ref="X3446:AB3446"/>
    <mergeCell ref="AD3446:AI3446"/>
    <mergeCell ref="AJ3446:AL3446"/>
    <mergeCell ref="AN3446:AO3446"/>
    <mergeCell ref="AP3446:AQ3446"/>
    <mergeCell ref="AR3446:AS3447"/>
    <mergeCell ref="AT3446:AU3447"/>
    <mergeCell ref="AV3446:AW3447"/>
    <mergeCell ref="AX3446:AY3447"/>
    <mergeCell ref="AZ3446:AZ3447"/>
    <mergeCell ref="F3447:H3447"/>
    <mergeCell ref="X3447:AB3447"/>
    <mergeCell ref="AE3447:AI3447"/>
    <mergeCell ref="AJ3447:AL3447"/>
    <mergeCell ref="AN3447:AO3447"/>
    <mergeCell ref="AP3447:AQ3447"/>
    <mergeCell ref="A3448:A3449"/>
    <mergeCell ref="E3448:E3449"/>
    <mergeCell ref="F3448:H3448"/>
    <mergeCell ref="J3448:J3449"/>
    <mergeCell ref="K3448:L3449"/>
    <mergeCell ref="M3448:N3449"/>
    <mergeCell ref="O3448:P3449"/>
    <mergeCell ref="Q3448:R3449"/>
    <mergeCell ref="S3448:T3449"/>
    <mergeCell ref="U3448:V3449"/>
    <mergeCell ref="W3448:W3449"/>
    <mergeCell ref="X3448:AB3448"/>
    <mergeCell ref="AD3448:AI3448"/>
    <mergeCell ref="AJ3448:AL3448"/>
    <mergeCell ref="AN3448:AO3448"/>
    <mergeCell ref="AP3448:AQ3448"/>
    <mergeCell ref="AR3448:AS3449"/>
    <mergeCell ref="AT3448:AU3449"/>
    <mergeCell ref="AV3448:AW3449"/>
    <mergeCell ref="AX3448:AY3449"/>
    <mergeCell ref="AZ3448:AZ3449"/>
    <mergeCell ref="F3449:H3449"/>
    <mergeCell ref="X3449:AB3449"/>
    <mergeCell ref="AE3449:AI3449"/>
    <mergeCell ref="AJ3449:AL3449"/>
    <mergeCell ref="AN3449:AO3449"/>
    <mergeCell ref="AP3449:AQ3449"/>
    <mergeCell ref="A3450:A3451"/>
    <mergeCell ref="E3450:E3451"/>
    <mergeCell ref="F3450:H3450"/>
    <mergeCell ref="J3450:J3451"/>
    <mergeCell ref="K3450:L3451"/>
    <mergeCell ref="M3450:N3451"/>
    <mergeCell ref="O3450:P3451"/>
    <mergeCell ref="Q3450:R3451"/>
    <mergeCell ref="S3450:T3451"/>
    <mergeCell ref="U3450:V3451"/>
    <mergeCell ref="W3450:W3451"/>
    <mergeCell ref="X3450:AB3450"/>
    <mergeCell ref="AD3450:AI3450"/>
    <mergeCell ref="AJ3450:AL3450"/>
    <mergeCell ref="AN3450:AO3450"/>
    <mergeCell ref="AP3450:AQ3450"/>
    <mergeCell ref="AR3450:AS3451"/>
    <mergeCell ref="AT3450:AU3451"/>
    <mergeCell ref="AV3450:AW3451"/>
    <mergeCell ref="AX3450:AY3451"/>
    <mergeCell ref="AZ3450:AZ3451"/>
    <mergeCell ref="F3451:H3451"/>
    <mergeCell ref="X3451:AB3451"/>
    <mergeCell ref="AE3451:AI3451"/>
    <mergeCell ref="AJ3451:AL3451"/>
    <mergeCell ref="AN3451:AO3451"/>
    <mergeCell ref="AP3451:AQ3451"/>
    <mergeCell ref="A3452:A3453"/>
    <mergeCell ref="E3452:E3453"/>
    <mergeCell ref="F3452:H3452"/>
    <mergeCell ref="J3452:J3453"/>
    <mergeCell ref="K3452:L3453"/>
    <mergeCell ref="M3452:N3453"/>
    <mergeCell ref="O3452:P3453"/>
    <mergeCell ref="Q3452:R3453"/>
    <mergeCell ref="S3452:T3453"/>
    <mergeCell ref="U3452:V3453"/>
    <mergeCell ref="W3452:W3453"/>
    <mergeCell ref="X3452:AB3452"/>
    <mergeCell ref="AD3452:AI3452"/>
    <mergeCell ref="AJ3452:AL3452"/>
    <mergeCell ref="AN3452:AO3452"/>
    <mergeCell ref="AP3452:AQ3452"/>
    <mergeCell ref="AR3452:AS3453"/>
    <mergeCell ref="AT3452:AU3453"/>
    <mergeCell ref="AV3452:AW3453"/>
    <mergeCell ref="AX3452:AY3453"/>
    <mergeCell ref="AZ3452:AZ3453"/>
    <mergeCell ref="F3453:H3453"/>
    <mergeCell ref="X3453:AB3453"/>
    <mergeCell ref="AE3453:AI3453"/>
    <mergeCell ref="AJ3453:AL3453"/>
    <mergeCell ref="AN3453:AO3453"/>
    <mergeCell ref="AP3453:AQ3453"/>
    <mergeCell ref="AZ3454:AZ3455"/>
    <mergeCell ref="F3455:H3455"/>
    <mergeCell ref="X3455:AB3455"/>
    <mergeCell ref="AE3455:AI3455"/>
    <mergeCell ref="AJ3455:AL3455"/>
    <mergeCell ref="AN3455:AO3455"/>
    <mergeCell ref="AP3455:AQ3455"/>
    <mergeCell ref="A3456:A3457"/>
    <mergeCell ref="E3456:E3457"/>
    <mergeCell ref="F3456:H3456"/>
    <mergeCell ref="J3456:J3457"/>
    <mergeCell ref="K3456:L3457"/>
    <mergeCell ref="M3456:N3457"/>
    <mergeCell ref="O3456:P3457"/>
    <mergeCell ref="Q3456:R3457"/>
    <mergeCell ref="S3456:T3457"/>
    <mergeCell ref="U3456:V3457"/>
    <mergeCell ref="W3456:W3457"/>
    <mergeCell ref="X3456:AB3456"/>
    <mergeCell ref="AD3456:AI3456"/>
    <mergeCell ref="AJ3456:AL3456"/>
    <mergeCell ref="AN3456:AO3456"/>
    <mergeCell ref="AP3456:AQ3456"/>
    <mergeCell ref="AR3456:AS3457"/>
    <mergeCell ref="AT3456:AU3457"/>
    <mergeCell ref="AV3456:AW3457"/>
    <mergeCell ref="AX3456:AY3457"/>
    <mergeCell ref="AZ3456:AZ3457"/>
    <mergeCell ref="F3457:H3457"/>
    <mergeCell ref="X3457:AB3457"/>
    <mergeCell ref="AE3457:AI3457"/>
    <mergeCell ref="AJ3457:AL3457"/>
    <mergeCell ref="AN3457:AO3457"/>
    <mergeCell ref="AP3457:AQ3457"/>
    <mergeCell ref="A3454:A3455"/>
    <mergeCell ref="E3454:E3455"/>
    <mergeCell ref="F3454:H3454"/>
    <mergeCell ref="J3454:J3455"/>
    <mergeCell ref="K3454:L3455"/>
    <mergeCell ref="M3454:N3455"/>
    <mergeCell ref="O3454:P3455"/>
    <mergeCell ref="Q3454:R3455"/>
    <mergeCell ref="S3454:T3455"/>
    <mergeCell ref="U3454:V3455"/>
    <mergeCell ref="W3454:W3455"/>
    <mergeCell ref="X3454:AB3454"/>
    <mergeCell ref="AD3454:AI3454"/>
    <mergeCell ref="AJ3454:AL3454"/>
    <mergeCell ref="AN3454:AO3454"/>
    <mergeCell ref="AP3454:AQ3454"/>
    <mergeCell ref="AR3454:AS3455"/>
    <mergeCell ref="AT3454:AU3455"/>
    <mergeCell ref="AV3454:AW3455"/>
    <mergeCell ref="AX3454:AY3455"/>
    <mergeCell ref="A3464:A3465"/>
    <mergeCell ref="E3464:E3465"/>
    <mergeCell ref="F3464:H3464"/>
    <mergeCell ref="J3464:J3465"/>
    <mergeCell ref="K3464:L3465"/>
    <mergeCell ref="M3464:N3465"/>
    <mergeCell ref="O3464:P3465"/>
    <mergeCell ref="Q3464:R3465"/>
    <mergeCell ref="S3464:T3465"/>
    <mergeCell ref="U3464:V3465"/>
    <mergeCell ref="W3464:W3465"/>
    <mergeCell ref="X3464:AB3464"/>
    <mergeCell ref="AD3464:AI3464"/>
    <mergeCell ref="AJ3464:AL3464"/>
    <mergeCell ref="AN3464:AO3464"/>
    <mergeCell ref="AP3464:AQ3464"/>
    <mergeCell ref="AR3464:AS3465"/>
    <mergeCell ref="AT3464:AU3465"/>
    <mergeCell ref="AV3464:AW3465"/>
    <mergeCell ref="AX3464:AY3465"/>
    <mergeCell ref="AZ3464:AZ3465"/>
    <mergeCell ref="F3465:H3465"/>
    <mergeCell ref="X3465:AB3465"/>
    <mergeCell ref="AE3465:AI3465"/>
    <mergeCell ref="AJ3465:AL3465"/>
    <mergeCell ref="AN3465:AO3465"/>
    <mergeCell ref="AP3465:AQ3465"/>
    <mergeCell ref="A3458:A3459"/>
    <mergeCell ref="E3458:E3459"/>
    <mergeCell ref="F3458:H3458"/>
    <mergeCell ref="J3458:J3459"/>
    <mergeCell ref="K3458:L3459"/>
    <mergeCell ref="M3458:N3459"/>
    <mergeCell ref="O3458:P3459"/>
    <mergeCell ref="Q3458:R3459"/>
    <mergeCell ref="S3458:T3459"/>
    <mergeCell ref="U3458:V3459"/>
    <mergeCell ref="W3458:W3459"/>
    <mergeCell ref="X3458:AB3458"/>
    <mergeCell ref="AD3458:AI3458"/>
    <mergeCell ref="AJ3458:AL3458"/>
    <mergeCell ref="AN3458:AO3458"/>
    <mergeCell ref="AP3458:AQ3458"/>
    <mergeCell ref="AR3458:AS3459"/>
    <mergeCell ref="AT3458:AU3459"/>
    <mergeCell ref="AV3458:AW3459"/>
    <mergeCell ref="AX3458:AY3459"/>
    <mergeCell ref="AZ3458:AZ3459"/>
    <mergeCell ref="F3459:H3459"/>
    <mergeCell ref="X3459:AB3459"/>
    <mergeCell ref="AE3459:AI3459"/>
    <mergeCell ref="AJ3459:AL3459"/>
    <mergeCell ref="AN3459:AO3459"/>
    <mergeCell ref="AP3459:AQ3459"/>
    <mergeCell ref="A3460:A3461"/>
    <mergeCell ref="E3460:E3461"/>
    <mergeCell ref="F3460:H3460"/>
    <mergeCell ref="J3460:J3461"/>
    <mergeCell ref="K3460:L3461"/>
    <mergeCell ref="M3460:N3461"/>
    <mergeCell ref="O3460:P3461"/>
    <mergeCell ref="Q3460:R3461"/>
    <mergeCell ref="S3460:T3461"/>
    <mergeCell ref="U3460:V3461"/>
    <mergeCell ref="A3398:A3399"/>
    <mergeCell ref="E3398:E3399"/>
    <mergeCell ref="F3398:H3398"/>
    <mergeCell ref="J3398:J3399"/>
    <mergeCell ref="K3398:L3399"/>
    <mergeCell ref="M3398:N3399"/>
    <mergeCell ref="O3398:P3399"/>
    <mergeCell ref="Q3398:R3399"/>
    <mergeCell ref="S3398:T3399"/>
    <mergeCell ref="U3398:V3399"/>
    <mergeCell ref="W3398:W3399"/>
    <mergeCell ref="X3398:AB3398"/>
    <mergeCell ref="AD3398:AI3398"/>
    <mergeCell ref="AJ3398:AL3398"/>
    <mergeCell ref="AN3398:AO3398"/>
    <mergeCell ref="AP3398:AQ3398"/>
    <mergeCell ref="AR3398:AS3399"/>
    <mergeCell ref="AT3398:AU3399"/>
    <mergeCell ref="AV3398:AW3399"/>
    <mergeCell ref="AX3398:AY3399"/>
    <mergeCell ref="AZ3398:AZ3399"/>
    <mergeCell ref="F3399:H3399"/>
    <mergeCell ref="X3399:AB3399"/>
    <mergeCell ref="AE3399:AI3399"/>
    <mergeCell ref="AJ3399:AL3399"/>
    <mergeCell ref="AN3399:AO3399"/>
    <mergeCell ref="AP3399:AQ3399"/>
    <mergeCell ref="A3432:A3433"/>
    <mergeCell ref="E3432:E3433"/>
    <mergeCell ref="F3432:H3432"/>
    <mergeCell ref="J3432:J3433"/>
    <mergeCell ref="K3432:L3433"/>
    <mergeCell ref="M3432:N3433"/>
    <mergeCell ref="O3432:P3433"/>
    <mergeCell ref="Q3432:R3433"/>
    <mergeCell ref="S3432:T3433"/>
    <mergeCell ref="U3432:V3433"/>
    <mergeCell ref="W3432:W3433"/>
    <mergeCell ref="X3432:AB3432"/>
    <mergeCell ref="AD3432:AI3432"/>
    <mergeCell ref="AJ3432:AL3432"/>
    <mergeCell ref="AN3432:AO3432"/>
    <mergeCell ref="AP3432:AQ3432"/>
    <mergeCell ref="AR3432:AS3433"/>
    <mergeCell ref="A3430:A3431"/>
    <mergeCell ref="E3430:E3431"/>
    <mergeCell ref="F3430:H3430"/>
    <mergeCell ref="J3430:J3431"/>
    <mergeCell ref="K3430:L3431"/>
    <mergeCell ref="M3430:N3431"/>
    <mergeCell ref="O3430:P3431"/>
    <mergeCell ref="Q3430:R3431"/>
    <mergeCell ref="S3430:T3431"/>
    <mergeCell ref="U3430:V3431"/>
    <mergeCell ref="W3430:W3431"/>
    <mergeCell ref="X3430:AB3430"/>
    <mergeCell ref="AD3430:AI3430"/>
    <mergeCell ref="AJ3430:AL3430"/>
    <mergeCell ref="AN3430:AO3430"/>
    <mergeCell ref="AP3430:AQ3430"/>
    <mergeCell ref="AR3430:AS3431"/>
    <mergeCell ref="AT3430:AU3431"/>
    <mergeCell ref="AV3430:AW3431"/>
    <mergeCell ref="AX3430:AY3431"/>
    <mergeCell ref="A3462:A3463"/>
    <mergeCell ref="E3462:E3463"/>
    <mergeCell ref="F3462:H3462"/>
    <mergeCell ref="J3462:J3463"/>
    <mergeCell ref="K3462:L3463"/>
    <mergeCell ref="M3462:N3463"/>
    <mergeCell ref="O3462:P3463"/>
    <mergeCell ref="Q3462:R3463"/>
    <mergeCell ref="S3462:T3463"/>
    <mergeCell ref="U3462:V3463"/>
    <mergeCell ref="W3462:W3463"/>
    <mergeCell ref="X3462:AB3462"/>
    <mergeCell ref="AD3462:AI3462"/>
    <mergeCell ref="AJ3462:AL3462"/>
    <mergeCell ref="AN3462:AO3462"/>
    <mergeCell ref="AP3462:AQ3462"/>
    <mergeCell ref="AR3462:AS3463"/>
    <mergeCell ref="AT3462:AU3463"/>
    <mergeCell ref="AV3462:AW3463"/>
    <mergeCell ref="AX3462:AY3463"/>
    <mergeCell ref="AZ3462:AZ3463"/>
    <mergeCell ref="F3463:H3463"/>
    <mergeCell ref="X3463:AB3463"/>
    <mergeCell ref="AE3463:AI3463"/>
    <mergeCell ref="AJ3463:AL3463"/>
    <mergeCell ref="AN3463:AO3463"/>
    <mergeCell ref="AP3463:AQ3463"/>
    <mergeCell ref="W3460:W3461"/>
    <mergeCell ref="X3460:AB3460"/>
    <mergeCell ref="AD3460:AI3460"/>
    <mergeCell ref="AJ3460:AL3460"/>
    <mergeCell ref="AN3460:AO3460"/>
    <mergeCell ref="AP3460:AQ3460"/>
    <mergeCell ref="AR3460:AS3461"/>
    <mergeCell ref="AT3460:AU3461"/>
    <mergeCell ref="AV3460:AW3461"/>
    <mergeCell ref="AX3460:AY3461"/>
    <mergeCell ref="AZ3460:AZ3461"/>
    <mergeCell ref="F3461:H3461"/>
    <mergeCell ref="X3461:AB3461"/>
    <mergeCell ref="AE3461:AI3461"/>
    <mergeCell ref="AJ3461:AL3461"/>
    <mergeCell ref="AN3461:AO3461"/>
    <mergeCell ref="AP3461:AQ3461"/>
    <mergeCell ref="A3394:A3395"/>
    <mergeCell ref="E3394:E3395"/>
    <mergeCell ref="F3394:H3394"/>
    <mergeCell ref="J3394:J3395"/>
    <mergeCell ref="K3394:L3395"/>
    <mergeCell ref="M3394:N3395"/>
    <mergeCell ref="O3394:P3395"/>
    <mergeCell ref="Q3394:R3395"/>
    <mergeCell ref="S3394:T3395"/>
    <mergeCell ref="U3394:V3395"/>
    <mergeCell ref="W3394:W3395"/>
    <mergeCell ref="X3394:AB3394"/>
    <mergeCell ref="AD3394:AI3394"/>
    <mergeCell ref="AJ3394:AL3394"/>
    <mergeCell ref="AN3394:AO3394"/>
    <mergeCell ref="AP3394:AQ3394"/>
    <mergeCell ref="AR3394:AS3395"/>
    <mergeCell ref="AT3394:AU3395"/>
    <mergeCell ref="AV3394:AW3395"/>
    <mergeCell ref="AX3394:AY3395"/>
    <mergeCell ref="AZ3394:AZ3395"/>
    <mergeCell ref="F3395:H3395"/>
    <mergeCell ref="X3395:AB3395"/>
    <mergeCell ref="AE3395:AI3395"/>
    <mergeCell ref="AJ3395:AL3395"/>
    <mergeCell ref="AN3395:AO3395"/>
    <mergeCell ref="AP3395:AQ3395"/>
    <mergeCell ref="A3396:A3397"/>
    <mergeCell ref="E3396:E3397"/>
    <mergeCell ref="F3396:H3396"/>
    <mergeCell ref="J3396:J3397"/>
    <mergeCell ref="K3396:L3397"/>
    <mergeCell ref="M3396:N3397"/>
    <mergeCell ref="O3396:P3397"/>
    <mergeCell ref="Q3396:R3397"/>
    <mergeCell ref="S3396:T3397"/>
    <mergeCell ref="U3396:V3397"/>
    <mergeCell ref="W3396:W3397"/>
    <mergeCell ref="X3396:AB3396"/>
    <mergeCell ref="AD3396:AI3396"/>
    <mergeCell ref="AJ3396:AL3396"/>
    <mergeCell ref="AN3396:AO3396"/>
    <mergeCell ref="AP3396:AQ3396"/>
    <mergeCell ref="AR3396:AS3397"/>
    <mergeCell ref="AT3396:AU3397"/>
    <mergeCell ref="AV3396:AW3397"/>
    <mergeCell ref="AX3396:AY3397"/>
    <mergeCell ref="AZ3396:AZ3397"/>
    <mergeCell ref="F3397:H3397"/>
    <mergeCell ref="X3397:AB3397"/>
    <mergeCell ref="AE3397:AI3397"/>
    <mergeCell ref="AJ3397:AL3397"/>
    <mergeCell ref="AN3397:AO3397"/>
    <mergeCell ref="AP3397:AQ3397"/>
    <mergeCell ref="AZ3434:AZ3435"/>
    <mergeCell ref="F3435:H3435"/>
    <mergeCell ref="X3435:AB3435"/>
    <mergeCell ref="AE3435:AI3435"/>
    <mergeCell ref="AJ3435:AL3435"/>
    <mergeCell ref="AN3435:AO3435"/>
    <mergeCell ref="AP3435:AQ3435"/>
    <mergeCell ref="AZ3492:AZ3493"/>
    <mergeCell ref="F3493:H3493"/>
    <mergeCell ref="X3493:AB3493"/>
    <mergeCell ref="AE3493:AI3493"/>
    <mergeCell ref="AJ3493:AL3493"/>
    <mergeCell ref="AN3493:AO3493"/>
    <mergeCell ref="AP3493:AQ3493"/>
    <mergeCell ref="A3486:A3487"/>
    <mergeCell ref="E3486:E3487"/>
    <mergeCell ref="F3486:H3486"/>
    <mergeCell ref="J3486:J3487"/>
    <mergeCell ref="K3486:L3487"/>
    <mergeCell ref="M3486:N3487"/>
    <mergeCell ref="O3486:P3487"/>
    <mergeCell ref="Q3486:R3487"/>
    <mergeCell ref="S3486:T3487"/>
    <mergeCell ref="U3486:V3487"/>
    <mergeCell ref="W3486:W3487"/>
    <mergeCell ref="X3486:AB3486"/>
    <mergeCell ref="AD3486:AI3486"/>
    <mergeCell ref="AJ3486:AL3486"/>
    <mergeCell ref="AN3486:AO3486"/>
    <mergeCell ref="AP3486:AQ3486"/>
    <mergeCell ref="AR3486:AS3487"/>
    <mergeCell ref="AT3486:AU3487"/>
    <mergeCell ref="AV3486:AW3487"/>
    <mergeCell ref="AX3486:AY3487"/>
    <mergeCell ref="AZ3486:AZ3487"/>
    <mergeCell ref="F3487:H3487"/>
    <mergeCell ref="X3487:AB3487"/>
    <mergeCell ref="AE3487:AI3487"/>
    <mergeCell ref="AJ3487:AL3487"/>
    <mergeCell ref="AN3487:AO3487"/>
    <mergeCell ref="AP3487:AQ3487"/>
    <mergeCell ref="A3490:A3491"/>
    <mergeCell ref="E3490:E3491"/>
    <mergeCell ref="F3490:H3490"/>
    <mergeCell ref="J3490:J3491"/>
    <mergeCell ref="K3490:L3491"/>
    <mergeCell ref="M3490:N3491"/>
    <mergeCell ref="O3490:P3491"/>
    <mergeCell ref="Q3490:R3491"/>
    <mergeCell ref="S3490:T3491"/>
    <mergeCell ref="U3490:V3491"/>
    <mergeCell ref="W3490:W3491"/>
    <mergeCell ref="X3490:AB3490"/>
    <mergeCell ref="AD3490:AI3490"/>
    <mergeCell ref="AJ3490:AL3490"/>
    <mergeCell ref="AN3490:AO3490"/>
    <mergeCell ref="AP3490:AQ3490"/>
    <mergeCell ref="AR3490:AS3491"/>
    <mergeCell ref="AT3490:AU3491"/>
    <mergeCell ref="AV3490:AW3491"/>
    <mergeCell ref="AX3490:AY3491"/>
    <mergeCell ref="AZ3490:AZ3491"/>
    <mergeCell ref="F3491:H3491"/>
    <mergeCell ref="X3491:AB3491"/>
    <mergeCell ref="AX3504:AY3505"/>
    <mergeCell ref="AZ3504:AZ3505"/>
    <mergeCell ref="F3505:H3505"/>
    <mergeCell ref="X3505:AB3505"/>
    <mergeCell ref="AE3505:AI3505"/>
    <mergeCell ref="AJ3505:AL3505"/>
    <mergeCell ref="AN3505:AO3505"/>
    <mergeCell ref="AP3505:AQ3505"/>
    <mergeCell ref="W3496:W3497"/>
    <mergeCell ref="X3496:AB3496"/>
    <mergeCell ref="AD3496:AI3496"/>
    <mergeCell ref="AJ3496:AL3496"/>
    <mergeCell ref="AN3496:AO3496"/>
    <mergeCell ref="AP3496:AQ3496"/>
    <mergeCell ref="AR3496:AS3497"/>
    <mergeCell ref="AT3496:AU3497"/>
    <mergeCell ref="AV3496:AW3497"/>
    <mergeCell ref="AX3496:AY3497"/>
    <mergeCell ref="A3498:A3499"/>
    <mergeCell ref="E3498:E3499"/>
    <mergeCell ref="F3498:H3498"/>
    <mergeCell ref="J3498:J3499"/>
    <mergeCell ref="K3498:L3499"/>
    <mergeCell ref="M3498:N3499"/>
    <mergeCell ref="O3498:P3499"/>
    <mergeCell ref="Q3498:R3499"/>
    <mergeCell ref="S3498:T3499"/>
    <mergeCell ref="U3498:V3499"/>
    <mergeCell ref="W3498:W3499"/>
    <mergeCell ref="X3498:AB3498"/>
    <mergeCell ref="AD3498:AI3498"/>
    <mergeCell ref="AJ3498:AL3498"/>
    <mergeCell ref="AN3498:AO3498"/>
    <mergeCell ref="AP3498:AQ3498"/>
    <mergeCell ref="AR3498:AS3499"/>
    <mergeCell ref="AT3498:AU3499"/>
    <mergeCell ref="AV3498:AW3499"/>
    <mergeCell ref="AX3498:AY3499"/>
    <mergeCell ref="AZ3498:AZ3499"/>
    <mergeCell ref="F3499:H3499"/>
    <mergeCell ref="X3499:AB3499"/>
    <mergeCell ref="AE3499:AI3499"/>
    <mergeCell ref="AJ3499:AL3499"/>
    <mergeCell ref="AN3499:AO3499"/>
    <mergeCell ref="AP3499:AQ3499"/>
    <mergeCell ref="AZ3496:AZ3497"/>
    <mergeCell ref="F3497:H3497"/>
    <mergeCell ref="X3497:AB3497"/>
    <mergeCell ref="AE3497:AI3497"/>
    <mergeCell ref="AJ3497:AL3497"/>
    <mergeCell ref="AN3497:AO3497"/>
    <mergeCell ref="AP3497:AQ3497"/>
    <mergeCell ref="A3500:A3501"/>
    <mergeCell ref="E3500:E3501"/>
    <mergeCell ref="F3500:H3500"/>
    <mergeCell ref="J3500:J3501"/>
    <mergeCell ref="K3500:L3501"/>
    <mergeCell ref="M3500:N3501"/>
    <mergeCell ref="AE3507:AI3507"/>
    <mergeCell ref="AJ3507:AL3507"/>
    <mergeCell ref="AN3507:AO3507"/>
    <mergeCell ref="AP3507:AQ3507"/>
    <mergeCell ref="A3488:A3489"/>
    <mergeCell ref="E3488:E3489"/>
    <mergeCell ref="F3488:H3488"/>
    <mergeCell ref="J3488:J3489"/>
    <mergeCell ref="K3488:L3489"/>
    <mergeCell ref="M3488:N3489"/>
    <mergeCell ref="O3488:P3489"/>
    <mergeCell ref="Q3488:R3489"/>
    <mergeCell ref="S3488:T3489"/>
    <mergeCell ref="U3488:V3489"/>
    <mergeCell ref="W3488:W3489"/>
    <mergeCell ref="X3488:AB3488"/>
    <mergeCell ref="AD3488:AI3488"/>
    <mergeCell ref="AJ3488:AL3488"/>
    <mergeCell ref="AN3488:AO3488"/>
    <mergeCell ref="AP3488:AQ3488"/>
    <mergeCell ref="AR3488:AS3489"/>
    <mergeCell ref="AT3488:AU3489"/>
    <mergeCell ref="AV3488:AW3489"/>
    <mergeCell ref="AX3488:AY3489"/>
    <mergeCell ref="AZ3488:AZ3489"/>
    <mergeCell ref="F3489:H3489"/>
    <mergeCell ref="X3489:AB3489"/>
    <mergeCell ref="AE3489:AI3489"/>
    <mergeCell ref="AJ3489:AL3489"/>
    <mergeCell ref="AN3489:AO3489"/>
    <mergeCell ref="AP3489:AQ3489"/>
    <mergeCell ref="A3496:A3497"/>
    <mergeCell ref="E3496:E3497"/>
    <mergeCell ref="F3496:H3496"/>
    <mergeCell ref="J3496:J3497"/>
    <mergeCell ref="K3496:L3497"/>
    <mergeCell ref="M3496:N3497"/>
    <mergeCell ref="O3496:P3497"/>
    <mergeCell ref="Q3496:R3497"/>
    <mergeCell ref="S3496:T3497"/>
    <mergeCell ref="U3496:V3497"/>
    <mergeCell ref="W3492:W3493"/>
    <mergeCell ref="X3492:AB3492"/>
    <mergeCell ref="AD3492:AI3492"/>
    <mergeCell ref="AJ3492:AL3492"/>
    <mergeCell ref="AN3492:AO3492"/>
    <mergeCell ref="AP3492:AQ3492"/>
    <mergeCell ref="AR3492:AS3493"/>
    <mergeCell ref="AT3492:AU3493"/>
    <mergeCell ref="AV3492:AW3493"/>
    <mergeCell ref="AX3492:AY3493"/>
    <mergeCell ref="A3504:A3505"/>
    <mergeCell ref="E3504:E3505"/>
    <mergeCell ref="F3504:H3504"/>
    <mergeCell ref="J3504:J3505"/>
    <mergeCell ref="K3504:L3505"/>
    <mergeCell ref="M3504:N3505"/>
    <mergeCell ref="O3504:P3505"/>
    <mergeCell ref="Q3504:R3505"/>
    <mergeCell ref="S3504:T3505"/>
    <mergeCell ref="U3504:V3505"/>
    <mergeCell ref="W3504:W3505"/>
    <mergeCell ref="X3504:AB3504"/>
    <mergeCell ref="AD3504:AI3504"/>
    <mergeCell ref="AE3491:AI3491"/>
    <mergeCell ref="AJ3491:AL3491"/>
    <mergeCell ref="AN3491:AO3491"/>
    <mergeCell ref="AP3491:AQ3491"/>
    <mergeCell ref="A3542:A3543"/>
    <mergeCell ref="E3542:E3543"/>
    <mergeCell ref="F3542:H3542"/>
    <mergeCell ref="J3542:J3543"/>
    <mergeCell ref="K3542:L3543"/>
    <mergeCell ref="M3542:N3543"/>
    <mergeCell ref="O3542:P3543"/>
    <mergeCell ref="Q3542:R3543"/>
    <mergeCell ref="S3542:T3543"/>
    <mergeCell ref="U3542:V3543"/>
    <mergeCell ref="W3542:W3543"/>
    <mergeCell ref="X3542:AB3542"/>
    <mergeCell ref="AD3542:AI3542"/>
    <mergeCell ref="AJ3542:AL3542"/>
    <mergeCell ref="AN3542:AO3542"/>
    <mergeCell ref="AP3542:AQ3542"/>
    <mergeCell ref="AR3542:AS3543"/>
    <mergeCell ref="AT3542:AU3543"/>
    <mergeCell ref="AV3542:AW3543"/>
    <mergeCell ref="AX3542:AY3543"/>
    <mergeCell ref="AZ3542:AZ3543"/>
    <mergeCell ref="F3543:H3543"/>
    <mergeCell ref="X3543:AB3543"/>
    <mergeCell ref="AE3543:AI3543"/>
    <mergeCell ref="AJ3543:AL3543"/>
    <mergeCell ref="AN3543:AO3543"/>
    <mergeCell ref="AP3543:AQ3543"/>
    <mergeCell ref="W3506:W3507"/>
    <mergeCell ref="X3506:AB3506"/>
    <mergeCell ref="AD3506:AI3506"/>
    <mergeCell ref="AJ3506:AL3506"/>
    <mergeCell ref="AN3506:AO3506"/>
    <mergeCell ref="AP3506:AQ3506"/>
    <mergeCell ref="AR3506:AS3507"/>
    <mergeCell ref="AT3506:AU3507"/>
    <mergeCell ref="AV3506:AW3507"/>
    <mergeCell ref="AX3506:AY3507"/>
    <mergeCell ref="AZ3506:AZ3507"/>
    <mergeCell ref="F3507:H3507"/>
    <mergeCell ref="X3507:AB3507"/>
    <mergeCell ref="AE3523:AI3523"/>
    <mergeCell ref="AJ3523:AL3523"/>
    <mergeCell ref="AN3523:AO3523"/>
    <mergeCell ref="AP3523:AQ3523"/>
    <mergeCell ref="A3520:A3521"/>
    <mergeCell ref="E3520:E3521"/>
    <mergeCell ref="F3520:H3520"/>
    <mergeCell ref="J3520:J3521"/>
    <mergeCell ref="K3520:L3521"/>
    <mergeCell ref="M3520:N3521"/>
    <mergeCell ref="O3520:P3521"/>
    <mergeCell ref="Q3520:R3521"/>
    <mergeCell ref="S3520:T3521"/>
    <mergeCell ref="U3520:V3521"/>
    <mergeCell ref="W3520:W3521"/>
    <mergeCell ref="X3520:AB3520"/>
    <mergeCell ref="AD3520:AI3520"/>
    <mergeCell ref="AJ3520:AL3520"/>
    <mergeCell ref="AN3520:AO3520"/>
    <mergeCell ref="AP3520:AQ3520"/>
    <mergeCell ref="A3544:A3545"/>
    <mergeCell ref="E3544:E3545"/>
    <mergeCell ref="F3544:H3544"/>
    <mergeCell ref="J3544:J3545"/>
    <mergeCell ref="K3544:L3545"/>
    <mergeCell ref="M3544:N3545"/>
    <mergeCell ref="O3544:P3545"/>
    <mergeCell ref="Q3544:R3545"/>
    <mergeCell ref="S3544:T3545"/>
    <mergeCell ref="U3544:V3545"/>
    <mergeCell ref="W3544:W3545"/>
    <mergeCell ref="X3544:AB3544"/>
    <mergeCell ref="AD3544:AI3544"/>
    <mergeCell ref="AJ3544:AL3544"/>
    <mergeCell ref="AN3544:AO3544"/>
    <mergeCell ref="AP3544:AQ3544"/>
    <mergeCell ref="AR3544:AS3545"/>
    <mergeCell ref="AT3544:AU3545"/>
    <mergeCell ref="AV3544:AW3545"/>
    <mergeCell ref="AX3544:AY3545"/>
    <mergeCell ref="AZ3544:AZ3545"/>
    <mergeCell ref="F3545:H3545"/>
    <mergeCell ref="X3545:AB3545"/>
    <mergeCell ref="AE3545:AI3545"/>
    <mergeCell ref="AJ3545:AL3545"/>
    <mergeCell ref="AN3545:AO3545"/>
    <mergeCell ref="AP3545:AQ3545"/>
    <mergeCell ref="A3546:A3547"/>
    <mergeCell ref="E3546:E3547"/>
    <mergeCell ref="F3546:H3546"/>
    <mergeCell ref="J3546:J3547"/>
    <mergeCell ref="K3546:L3547"/>
    <mergeCell ref="M3546:N3547"/>
    <mergeCell ref="O3546:P3547"/>
    <mergeCell ref="Q3546:R3547"/>
    <mergeCell ref="S3546:T3547"/>
    <mergeCell ref="U3546:V3547"/>
    <mergeCell ref="W3546:W3547"/>
    <mergeCell ref="X3546:AB3546"/>
    <mergeCell ref="AD3546:AI3546"/>
    <mergeCell ref="AJ3546:AL3546"/>
    <mergeCell ref="AN3546:AO3546"/>
    <mergeCell ref="AP3546:AQ3546"/>
    <mergeCell ref="AR3546:AS3547"/>
    <mergeCell ref="AT3546:AU3547"/>
    <mergeCell ref="AV3546:AW3547"/>
    <mergeCell ref="AX3546:AY3547"/>
    <mergeCell ref="AZ3546:AZ3547"/>
    <mergeCell ref="F3547:H3547"/>
    <mergeCell ref="X3547:AB3547"/>
    <mergeCell ref="AE3547:AI3547"/>
    <mergeCell ref="AJ3547:AL3547"/>
    <mergeCell ref="AN3547:AO3547"/>
    <mergeCell ref="AP3547:AQ3547"/>
    <mergeCell ref="A3548:A3549"/>
    <mergeCell ref="E3548:E3549"/>
    <mergeCell ref="F3548:H3548"/>
    <mergeCell ref="J3548:J3549"/>
    <mergeCell ref="K3548:L3549"/>
    <mergeCell ref="M3548:N3549"/>
    <mergeCell ref="O3548:P3549"/>
    <mergeCell ref="Q3548:R3549"/>
    <mergeCell ref="S3548:T3549"/>
    <mergeCell ref="U3548:V3549"/>
    <mergeCell ref="W3548:W3549"/>
    <mergeCell ref="X3548:AB3548"/>
    <mergeCell ref="AD3548:AI3548"/>
    <mergeCell ref="AJ3548:AL3548"/>
    <mergeCell ref="AN3548:AO3548"/>
    <mergeCell ref="AP3548:AQ3548"/>
    <mergeCell ref="AR3548:AS3549"/>
    <mergeCell ref="AT3548:AU3549"/>
    <mergeCell ref="AV3548:AW3549"/>
    <mergeCell ref="AX3548:AY3549"/>
    <mergeCell ref="AZ3548:AZ3549"/>
    <mergeCell ref="F3549:H3549"/>
    <mergeCell ref="X3549:AB3549"/>
    <mergeCell ref="AE3549:AI3549"/>
    <mergeCell ref="AJ3549:AL3549"/>
    <mergeCell ref="AN3549:AO3549"/>
    <mergeCell ref="AP3549:AQ3549"/>
    <mergeCell ref="A3550:A3551"/>
    <mergeCell ref="E3550:E3551"/>
    <mergeCell ref="F3550:H3550"/>
    <mergeCell ref="J3550:J3551"/>
    <mergeCell ref="K3550:L3551"/>
    <mergeCell ref="M3550:N3551"/>
    <mergeCell ref="O3550:P3551"/>
    <mergeCell ref="Q3550:R3551"/>
    <mergeCell ref="S3550:T3551"/>
    <mergeCell ref="U3550:V3551"/>
    <mergeCell ref="W3550:W3551"/>
    <mergeCell ref="X3550:AB3550"/>
    <mergeCell ref="AD3550:AI3550"/>
    <mergeCell ref="AJ3550:AL3550"/>
    <mergeCell ref="AN3550:AO3550"/>
    <mergeCell ref="AP3550:AQ3550"/>
    <mergeCell ref="AR3550:AS3551"/>
    <mergeCell ref="AT3550:AU3551"/>
    <mergeCell ref="AV3550:AW3551"/>
    <mergeCell ref="AX3550:AY3551"/>
    <mergeCell ref="AZ3550:AZ3551"/>
    <mergeCell ref="F3551:H3551"/>
    <mergeCell ref="X3551:AB3551"/>
    <mergeCell ref="AE3551:AI3551"/>
    <mergeCell ref="AJ3551:AL3551"/>
    <mergeCell ref="AN3551:AO3551"/>
    <mergeCell ref="AP3551:AQ3551"/>
    <mergeCell ref="A3552:A3553"/>
    <mergeCell ref="E3552:E3553"/>
    <mergeCell ref="F3552:H3552"/>
    <mergeCell ref="J3552:J3553"/>
    <mergeCell ref="K3552:L3553"/>
    <mergeCell ref="M3552:N3553"/>
    <mergeCell ref="O3552:P3553"/>
    <mergeCell ref="Q3552:R3553"/>
    <mergeCell ref="S3552:T3553"/>
    <mergeCell ref="U3552:V3553"/>
    <mergeCell ref="W3552:W3553"/>
    <mergeCell ref="X3552:AB3552"/>
    <mergeCell ref="AD3552:AI3552"/>
    <mergeCell ref="AJ3552:AL3552"/>
    <mergeCell ref="AN3552:AO3552"/>
    <mergeCell ref="AP3552:AQ3552"/>
    <mergeCell ref="AR3552:AS3553"/>
    <mergeCell ref="AT3552:AU3553"/>
    <mergeCell ref="AV3552:AW3553"/>
    <mergeCell ref="AX3552:AY3553"/>
    <mergeCell ref="AZ3552:AZ3553"/>
    <mergeCell ref="F3553:H3553"/>
    <mergeCell ref="X3553:AB3553"/>
    <mergeCell ref="AE3553:AI3553"/>
    <mergeCell ref="AJ3553:AL3553"/>
    <mergeCell ref="AN3553:AO3553"/>
    <mergeCell ref="AP3553:AQ3553"/>
    <mergeCell ref="A3554:A3555"/>
    <mergeCell ref="E3554:E3555"/>
    <mergeCell ref="F3554:H3554"/>
    <mergeCell ref="J3554:J3555"/>
    <mergeCell ref="K3554:L3555"/>
    <mergeCell ref="M3554:N3555"/>
    <mergeCell ref="O3554:P3555"/>
    <mergeCell ref="Q3554:R3555"/>
    <mergeCell ref="S3554:T3555"/>
    <mergeCell ref="U3554:V3555"/>
    <mergeCell ref="W3554:W3555"/>
    <mergeCell ref="X3554:AB3554"/>
    <mergeCell ref="AD3554:AI3554"/>
    <mergeCell ref="AJ3554:AL3554"/>
    <mergeCell ref="AN3554:AO3554"/>
    <mergeCell ref="AP3554:AQ3554"/>
    <mergeCell ref="AR3554:AS3555"/>
    <mergeCell ref="AT3554:AU3555"/>
    <mergeCell ref="AV3554:AW3555"/>
    <mergeCell ref="AX3554:AY3555"/>
    <mergeCell ref="AZ3554:AZ3555"/>
    <mergeCell ref="F3555:H3555"/>
    <mergeCell ref="X3555:AB3555"/>
    <mergeCell ref="AE3555:AI3555"/>
    <mergeCell ref="AJ3555:AL3555"/>
    <mergeCell ref="AN3555:AO3555"/>
    <mergeCell ref="AP3555:AQ3555"/>
    <mergeCell ref="A3556:A3557"/>
    <mergeCell ref="E3556:E3557"/>
    <mergeCell ref="F3556:H3556"/>
    <mergeCell ref="J3556:J3557"/>
    <mergeCell ref="K3556:L3557"/>
    <mergeCell ref="M3556:N3557"/>
    <mergeCell ref="O3556:P3557"/>
    <mergeCell ref="Q3556:R3557"/>
    <mergeCell ref="S3556:T3557"/>
    <mergeCell ref="U3556:V3557"/>
    <mergeCell ref="W3556:W3557"/>
    <mergeCell ref="X3556:AB3556"/>
    <mergeCell ref="AD3556:AI3556"/>
    <mergeCell ref="AJ3556:AL3556"/>
    <mergeCell ref="AN3556:AO3556"/>
    <mergeCell ref="AP3556:AQ3556"/>
    <mergeCell ref="AR3556:AS3557"/>
    <mergeCell ref="AT3556:AU3557"/>
    <mergeCell ref="AV3556:AW3557"/>
    <mergeCell ref="AX3556:AY3557"/>
    <mergeCell ref="AZ3556:AZ3557"/>
    <mergeCell ref="F3557:H3557"/>
    <mergeCell ref="X3557:AB3557"/>
    <mergeCell ref="AE3557:AI3557"/>
    <mergeCell ref="AJ3557:AL3557"/>
    <mergeCell ref="AN3557:AO3557"/>
    <mergeCell ref="AP3557:AQ3557"/>
    <mergeCell ref="A3558:A3559"/>
    <mergeCell ref="E3558:E3559"/>
    <mergeCell ref="F3558:H3558"/>
    <mergeCell ref="J3558:J3559"/>
    <mergeCell ref="K3558:L3559"/>
    <mergeCell ref="M3558:N3559"/>
    <mergeCell ref="O3558:P3559"/>
    <mergeCell ref="Q3558:R3559"/>
    <mergeCell ref="S3558:T3559"/>
    <mergeCell ref="U3558:V3559"/>
    <mergeCell ref="W3558:W3559"/>
    <mergeCell ref="X3558:AB3558"/>
    <mergeCell ref="AD3558:AI3558"/>
    <mergeCell ref="AJ3558:AL3558"/>
    <mergeCell ref="AN3558:AO3558"/>
    <mergeCell ref="AP3558:AQ3558"/>
    <mergeCell ref="AR3558:AS3559"/>
    <mergeCell ref="AT3558:AU3559"/>
    <mergeCell ref="AV3558:AW3559"/>
    <mergeCell ref="AX3558:AY3559"/>
    <mergeCell ref="AZ3558:AZ3559"/>
    <mergeCell ref="F3559:H3559"/>
    <mergeCell ref="X3559:AB3559"/>
    <mergeCell ref="AE3559:AI3559"/>
    <mergeCell ref="AJ3559:AL3559"/>
    <mergeCell ref="AN3559:AO3559"/>
    <mergeCell ref="AP3559:AQ3559"/>
    <mergeCell ref="A3560:A3561"/>
    <mergeCell ref="E3560:E3561"/>
    <mergeCell ref="F3560:H3560"/>
    <mergeCell ref="J3560:J3561"/>
    <mergeCell ref="K3560:L3561"/>
    <mergeCell ref="M3560:N3561"/>
    <mergeCell ref="O3560:P3561"/>
    <mergeCell ref="Q3560:R3561"/>
    <mergeCell ref="S3560:T3561"/>
    <mergeCell ref="U3560:V3561"/>
    <mergeCell ref="W3560:W3561"/>
    <mergeCell ref="X3560:AB3560"/>
    <mergeCell ref="AD3560:AI3560"/>
    <mergeCell ref="AJ3560:AL3560"/>
    <mergeCell ref="AN3560:AO3560"/>
    <mergeCell ref="AP3560:AQ3560"/>
    <mergeCell ref="AR3560:AS3561"/>
    <mergeCell ref="AT3560:AU3561"/>
    <mergeCell ref="AV3560:AW3561"/>
    <mergeCell ref="AX3560:AY3561"/>
    <mergeCell ref="AZ3560:AZ3561"/>
    <mergeCell ref="F3561:H3561"/>
    <mergeCell ref="X3561:AB3561"/>
    <mergeCell ref="AE3561:AI3561"/>
    <mergeCell ref="AJ3561:AL3561"/>
    <mergeCell ref="AN3561:AO3561"/>
    <mergeCell ref="AP3561:AQ3561"/>
    <mergeCell ref="A3562:A3563"/>
    <mergeCell ref="E3562:E3563"/>
    <mergeCell ref="F3562:H3562"/>
    <mergeCell ref="J3562:J3563"/>
    <mergeCell ref="K3562:L3563"/>
    <mergeCell ref="M3562:N3563"/>
    <mergeCell ref="O3562:P3563"/>
    <mergeCell ref="Q3562:R3563"/>
    <mergeCell ref="S3562:T3563"/>
    <mergeCell ref="U3562:V3563"/>
    <mergeCell ref="W3562:W3563"/>
    <mergeCell ref="X3562:AB3562"/>
    <mergeCell ref="AD3562:AI3562"/>
    <mergeCell ref="AJ3562:AL3562"/>
    <mergeCell ref="AN3562:AO3562"/>
    <mergeCell ref="AP3562:AQ3562"/>
    <mergeCell ref="AR3562:AS3563"/>
    <mergeCell ref="AT3562:AU3563"/>
    <mergeCell ref="AV3562:AW3563"/>
    <mergeCell ref="AX3562:AY3563"/>
    <mergeCell ref="AZ3562:AZ3563"/>
    <mergeCell ref="F3563:H3563"/>
    <mergeCell ref="X3563:AB3563"/>
    <mergeCell ref="AE3563:AI3563"/>
    <mergeCell ref="AJ3563:AL3563"/>
    <mergeCell ref="AN3563:AO3563"/>
    <mergeCell ref="AP3563:AQ3563"/>
    <mergeCell ref="A3564:A3565"/>
    <mergeCell ref="E3564:E3565"/>
    <mergeCell ref="F3564:H3564"/>
    <mergeCell ref="J3564:J3565"/>
    <mergeCell ref="K3564:L3565"/>
    <mergeCell ref="M3564:N3565"/>
    <mergeCell ref="O3564:P3565"/>
    <mergeCell ref="Q3564:R3565"/>
    <mergeCell ref="S3564:T3565"/>
    <mergeCell ref="U3564:V3565"/>
    <mergeCell ref="W3564:W3565"/>
    <mergeCell ref="X3564:AB3564"/>
    <mergeCell ref="AD3564:AI3564"/>
    <mergeCell ref="AJ3564:AL3564"/>
    <mergeCell ref="AN3564:AO3564"/>
    <mergeCell ref="AP3564:AQ3564"/>
    <mergeCell ref="AR3564:AS3565"/>
    <mergeCell ref="AT3564:AU3565"/>
    <mergeCell ref="AV3564:AW3565"/>
    <mergeCell ref="AX3564:AY3565"/>
    <mergeCell ref="AZ3564:AZ3565"/>
    <mergeCell ref="F3565:H3565"/>
    <mergeCell ref="X3565:AB3565"/>
    <mergeCell ref="AE3565:AI3565"/>
    <mergeCell ref="AJ3565:AL3565"/>
    <mergeCell ref="AN3565:AO3565"/>
    <mergeCell ref="AP3565:AQ3565"/>
    <mergeCell ref="A3568:A3569"/>
    <mergeCell ref="E3568:E3569"/>
    <mergeCell ref="F3568:H3568"/>
    <mergeCell ref="J3568:J3569"/>
    <mergeCell ref="K3568:L3569"/>
    <mergeCell ref="M3568:N3569"/>
    <mergeCell ref="O3568:P3569"/>
    <mergeCell ref="Q3568:R3569"/>
    <mergeCell ref="S3568:T3569"/>
    <mergeCell ref="U3568:V3569"/>
    <mergeCell ref="W3568:W3569"/>
    <mergeCell ref="X3568:AB3568"/>
    <mergeCell ref="AD3568:AI3568"/>
    <mergeCell ref="AJ3568:AL3568"/>
    <mergeCell ref="AN3568:AO3568"/>
    <mergeCell ref="AP3568:AQ3568"/>
    <mergeCell ref="AR3568:AS3569"/>
    <mergeCell ref="AT3568:AU3569"/>
    <mergeCell ref="AV3568:AW3569"/>
    <mergeCell ref="AX3568:AY3569"/>
    <mergeCell ref="AZ3568:AZ3569"/>
    <mergeCell ref="F3569:H3569"/>
    <mergeCell ref="X3569:AB3569"/>
    <mergeCell ref="AE3569:AI3569"/>
    <mergeCell ref="AJ3569:AL3569"/>
    <mergeCell ref="AN3569:AO3569"/>
    <mergeCell ref="AP3569:AQ3569"/>
    <mergeCell ref="A3566:A3567"/>
    <mergeCell ref="E3566:E3567"/>
    <mergeCell ref="F3566:H3566"/>
    <mergeCell ref="J3566:J3567"/>
    <mergeCell ref="K3566:L3567"/>
    <mergeCell ref="M3566:N3567"/>
    <mergeCell ref="O3566:P3567"/>
    <mergeCell ref="Q3566:R3567"/>
    <mergeCell ref="S3566:T3567"/>
    <mergeCell ref="U3566:V3567"/>
    <mergeCell ref="Q3570:R3571"/>
    <mergeCell ref="S3570:T3571"/>
    <mergeCell ref="U3570:V3571"/>
    <mergeCell ref="W3570:W3571"/>
    <mergeCell ref="X3570:AB3570"/>
    <mergeCell ref="AD3570:AI3570"/>
    <mergeCell ref="AJ3570:AL3570"/>
    <mergeCell ref="AN3570:AO3570"/>
    <mergeCell ref="AP3570:AQ3570"/>
    <mergeCell ref="AR3570:AS3571"/>
    <mergeCell ref="AT3570:AU3571"/>
    <mergeCell ref="AV3570:AW3571"/>
    <mergeCell ref="AX3570:AY3571"/>
    <mergeCell ref="AZ3570:AZ3571"/>
    <mergeCell ref="F3571:H3571"/>
    <mergeCell ref="X3571:AB3571"/>
    <mergeCell ref="AE3571:AI3571"/>
    <mergeCell ref="AJ3571:AL3571"/>
    <mergeCell ref="AN3571:AO3571"/>
    <mergeCell ref="AP3571:AQ3571"/>
    <mergeCell ref="A3572:A3573"/>
    <mergeCell ref="E3572:E3573"/>
    <mergeCell ref="F3572:H3572"/>
    <mergeCell ref="J3572:J3573"/>
    <mergeCell ref="K3572:L3573"/>
    <mergeCell ref="M3572:N3573"/>
    <mergeCell ref="O3572:P3573"/>
    <mergeCell ref="Q3572:R3573"/>
    <mergeCell ref="S3572:T3573"/>
    <mergeCell ref="U3572:V3573"/>
    <mergeCell ref="W3572:W3573"/>
    <mergeCell ref="X3572:AB3572"/>
    <mergeCell ref="AD3572:AI3572"/>
    <mergeCell ref="AJ3572:AL3572"/>
    <mergeCell ref="AN3572:AO3572"/>
    <mergeCell ref="AP3572:AQ3572"/>
    <mergeCell ref="AR3572:AS3573"/>
    <mergeCell ref="AT3572:AU3573"/>
    <mergeCell ref="AV3572:AW3573"/>
    <mergeCell ref="AX3572:AY3573"/>
    <mergeCell ref="AZ3572:AZ3573"/>
    <mergeCell ref="F3573:H3573"/>
    <mergeCell ref="X3573:AB3573"/>
    <mergeCell ref="AE3573:AI3573"/>
    <mergeCell ref="AJ3573:AL3573"/>
    <mergeCell ref="AN3573:AO3573"/>
    <mergeCell ref="AP3573:AQ3573"/>
    <mergeCell ref="AZ3574:AZ3575"/>
    <mergeCell ref="F3575:H3575"/>
    <mergeCell ref="X3575:AB3575"/>
    <mergeCell ref="AE3575:AI3575"/>
    <mergeCell ref="AJ3575:AL3575"/>
    <mergeCell ref="AN3575:AO3575"/>
    <mergeCell ref="AP3575:AQ3575"/>
    <mergeCell ref="A3576:A3577"/>
    <mergeCell ref="E3576:E3577"/>
    <mergeCell ref="F3576:H3576"/>
    <mergeCell ref="J3576:J3577"/>
    <mergeCell ref="K3576:L3577"/>
    <mergeCell ref="M3576:N3577"/>
    <mergeCell ref="O3576:P3577"/>
    <mergeCell ref="Q3576:R3577"/>
    <mergeCell ref="S3576:T3577"/>
    <mergeCell ref="U3576:V3577"/>
    <mergeCell ref="W3576:W3577"/>
    <mergeCell ref="X3576:AB3576"/>
    <mergeCell ref="AD3576:AI3576"/>
    <mergeCell ref="AJ3576:AL3576"/>
    <mergeCell ref="AN3576:AO3576"/>
    <mergeCell ref="AP3576:AQ3576"/>
    <mergeCell ref="AR3576:AS3577"/>
    <mergeCell ref="AT3576:AU3577"/>
    <mergeCell ref="AV3576:AW3577"/>
    <mergeCell ref="AX3576:AY3577"/>
    <mergeCell ref="AZ3576:AZ3577"/>
    <mergeCell ref="F3577:H3577"/>
    <mergeCell ref="X3577:AB3577"/>
    <mergeCell ref="AE3577:AI3577"/>
    <mergeCell ref="AJ3577:AL3577"/>
    <mergeCell ref="AN3577:AO3577"/>
    <mergeCell ref="AP3577:AQ3577"/>
    <mergeCell ref="AZ3592:AZ3593"/>
    <mergeCell ref="F3593:H3593"/>
    <mergeCell ref="X3593:AB3593"/>
    <mergeCell ref="AE3593:AI3593"/>
    <mergeCell ref="AJ3593:AL3593"/>
    <mergeCell ref="AN3593:AO3593"/>
    <mergeCell ref="AP3593:AQ3593"/>
    <mergeCell ref="W3590:W3591"/>
    <mergeCell ref="X3590:AB3590"/>
    <mergeCell ref="AD3590:AI3590"/>
    <mergeCell ref="AJ3590:AL3590"/>
    <mergeCell ref="AN3590:AO3590"/>
    <mergeCell ref="AP3590:AQ3590"/>
    <mergeCell ref="A3590:A3591"/>
    <mergeCell ref="E3590:E3591"/>
    <mergeCell ref="F3590:H3590"/>
    <mergeCell ref="J3590:J3591"/>
    <mergeCell ref="K3590:L3591"/>
    <mergeCell ref="M3590:N3591"/>
    <mergeCell ref="O3590:P3591"/>
    <mergeCell ref="Q3590:R3591"/>
    <mergeCell ref="S3590:T3591"/>
    <mergeCell ref="U3590:V3591"/>
    <mergeCell ref="AT3578:AU3579"/>
    <mergeCell ref="AV3578:AW3579"/>
    <mergeCell ref="AX3578:AY3579"/>
    <mergeCell ref="AZ3578:AZ3579"/>
    <mergeCell ref="F3579:H3579"/>
    <mergeCell ref="X3579:AB3579"/>
    <mergeCell ref="AE3579:AI3579"/>
    <mergeCell ref="AJ3579:AL3579"/>
    <mergeCell ref="AN3579:AO3579"/>
    <mergeCell ref="AP3579:AQ3579"/>
    <mergeCell ref="A3580:A3581"/>
    <mergeCell ref="E3580:E3581"/>
    <mergeCell ref="F3580:H3580"/>
    <mergeCell ref="J3580:J3581"/>
    <mergeCell ref="K3580:L3581"/>
    <mergeCell ref="M3580:N3581"/>
    <mergeCell ref="O3580:P3581"/>
    <mergeCell ref="Q3580:R3581"/>
    <mergeCell ref="S3580:T3581"/>
    <mergeCell ref="U3580:V3581"/>
    <mergeCell ref="W3580:W3581"/>
    <mergeCell ref="X3580:AB3580"/>
    <mergeCell ref="AD3580:AI3580"/>
    <mergeCell ref="AJ3580:AL3580"/>
    <mergeCell ref="AN3580:AO3580"/>
    <mergeCell ref="AP3580:AQ3580"/>
    <mergeCell ref="AR3580:AS3581"/>
    <mergeCell ref="AT3580:AU3581"/>
    <mergeCell ref="AV3580:AW3581"/>
    <mergeCell ref="AX3580:AY3581"/>
    <mergeCell ref="AZ3580:AZ3581"/>
    <mergeCell ref="F3581:H3581"/>
    <mergeCell ref="X3581:AB3581"/>
    <mergeCell ref="AE3581:AI3581"/>
    <mergeCell ref="AJ3581:AL3581"/>
    <mergeCell ref="AN3581:AO3581"/>
    <mergeCell ref="AP3581:AQ3581"/>
    <mergeCell ref="AT3586:AU3587"/>
    <mergeCell ref="AV3586:AW3587"/>
    <mergeCell ref="AZ3594:AZ3595"/>
    <mergeCell ref="F3595:H3595"/>
    <mergeCell ref="X3595:AB3595"/>
    <mergeCell ref="AE3595:AI3595"/>
    <mergeCell ref="AJ3595:AL3595"/>
    <mergeCell ref="AN3595:AO3595"/>
    <mergeCell ref="AP3595:AQ3595"/>
    <mergeCell ref="A3582:A3583"/>
    <mergeCell ref="E3582:E3583"/>
    <mergeCell ref="F3582:H3582"/>
    <mergeCell ref="J3582:J3583"/>
    <mergeCell ref="K3582:L3583"/>
    <mergeCell ref="M3582:N3583"/>
    <mergeCell ref="O3582:P3583"/>
    <mergeCell ref="Q3582:R3583"/>
    <mergeCell ref="S3582:T3583"/>
    <mergeCell ref="U3582:V3583"/>
    <mergeCell ref="W3582:W3583"/>
    <mergeCell ref="X3582:AB3582"/>
    <mergeCell ref="AD3582:AI3582"/>
    <mergeCell ref="AJ3582:AL3582"/>
    <mergeCell ref="AN3582:AO3582"/>
    <mergeCell ref="AP3582:AQ3582"/>
    <mergeCell ref="AR3582:AS3583"/>
    <mergeCell ref="AT3582:AU3583"/>
    <mergeCell ref="AV3582:AW3583"/>
    <mergeCell ref="F3583:H3583"/>
    <mergeCell ref="X3583:AB3583"/>
    <mergeCell ref="AE3583:AI3583"/>
    <mergeCell ref="AJ3583:AL3583"/>
    <mergeCell ref="AN3583:AO3583"/>
    <mergeCell ref="AP3583:AQ3583"/>
    <mergeCell ref="AR3584:AS3585"/>
    <mergeCell ref="AT3584:AU3585"/>
    <mergeCell ref="AV3584:AW3585"/>
    <mergeCell ref="F3585:H3585"/>
    <mergeCell ref="X3585:AB3585"/>
    <mergeCell ref="AE3585:AI3585"/>
    <mergeCell ref="A3586:A3587"/>
    <mergeCell ref="E3586:E3587"/>
    <mergeCell ref="F3586:H3586"/>
    <mergeCell ref="J3586:J3587"/>
    <mergeCell ref="K3586:L3587"/>
    <mergeCell ref="M3586:N3587"/>
    <mergeCell ref="A3588:A3589"/>
    <mergeCell ref="E3588:E3589"/>
    <mergeCell ref="F3588:H3588"/>
    <mergeCell ref="J3588:J3589"/>
    <mergeCell ref="K3588:L3589"/>
    <mergeCell ref="M3588:N3589"/>
    <mergeCell ref="O3588:P3589"/>
    <mergeCell ref="Q3588:R3589"/>
    <mergeCell ref="S3588:T3589"/>
    <mergeCell ref="U3588:V3589"/>
    <mergeCell ref="A3592:A3593"/>
    <mergeCell ref="E3592:E3593"/>
    <mergeCell ref="F3592:H3592"/>
    <mergeCell ref="J3592:J3593"/>
    <mergeCell ref="K3592:L3593"/>
    <mergeCell ref="M3592:N3593"/>
    <mergeCell ref="O3592:P3593"/>
    <mergeCell ref="Q3592:R3593"/>
    <mergeCell ref="S3592:T3593"/>
    <mergeCell ref="AX3592:AY3593"/>
    <mergeCell ref="Q3596:R3597"/>
    <mergeCell ref="S3596:T3597"/>
    <mergeCell ref="U3596:V3597"/>
    <mergeCell ref="W3596:W3597"/>
    <mergeCell ref="X3596:AB3596"/>
    <mergeCell ref="AD3596:AI3596"/>
    <mergeCell ref="AJ3596:AL3596"/>
    <mergeCell ref="AN3596:AO3596"/>
    <mergeCell ref="AP3596:AQ3596"/>
    <mergeCell ref="AR3596:AS3597"/>
    <mergeCell ref="AT3596:AU3597"/>
    <mergeCell ref="AV3596:AW3597"/>
    <mergeCell ref="AX3596:AY3597"/>
    <mergeCell ref="AR3520:AS3521"/>
    <mergeCell ref="AT3520:AU3521"/>
    <mergeCell ref="AV3520:AW3521"/>
    <mergeCell ref="AX3520:AY3521"/>
    <mergeCell ref="A3594:A3595"/>
    <mergeCell ref="E3594:E3595"/>
    <mergeCell ref="F3594:H3594"/>
    <mergeCell ref="J3594:J3595"/>
    <mergeCell ref="K3594:L3595"/>
    <mergeCell ref="M3594:N3595"/>
    <mergeCell ref="O3594:P3595"/>
    <mergeCell ref="Q3594:R3595"/>
    <mergeCell ref="S3594:T3595"/>
    <mergeCell ref="U3594:V3595"/>
    <mergeCell ref="W3594:W3595"/>
    <mergeCell ref="X3594:AB3594"/>
    <mergeCell ref="AD3594:AI3594"/>
    <mergeCell ref="AJ3594:AL3594"/>
    <mergeCell ref="AN3594:AO3594"/>
    <mergeCell ref="AP3594:AQ3594"/>
    <mergeCell ref="AR3594:AS3595"/>
    <mergeCell ref="AT3594:AU3595"/>
    <mergeCell ref="AV3594:AW3595"/>
    <mergeCell ref="AX3594:AY3595"/>
    <mergeCell ref="A3574:A3575"/>
    <mergeCell ref="E3574:E3575"/>
    <mergeCell ref="F3574:H3574"/>
    <mergeCell ref="J3574:J3575"/>
    <mergeCell ref="K3574:L3575"/>
    <mergeCell ref="M3574:N3575"/>
    <mergeCell ref="O3574:P3575"/>
    <mergeCell ref="Q3574:R3575"/>
    <mergeCell ref="S3574:T3575"/>
    <mergeCell ref="U3574:V3575"/>
    <mergeCell ref="W3574:W3575"/>
    <mergeCell ref="X3574:AB3574"/>
    <mergeCell ref="AD3574:AI3574"/>
    <mergeCell ref="AJ3574:AL3574"/>
    <mergeCell ref="AN3574:AO3574"/>
    <mergeCell ref="AP3574:AQ3574"/>
    <mergeCell ref="AR3574:AS3575"/>
    <mergeCell ref="AT3574:AU3575"/>
    <mergeCell ref="AV3574:AW3575"/>
    <mergeCell ref="AX3574:AY3575"/>
    <mergeCell ref="A3570:A3571"/>
    <mergeCell ref="E3570:E3571"/>
    <mergeCell ref="F3570:H3570"/>
    <mergeCell ref="J3570:J3571"/>
    <mergeCell ref="K3570:L3571"/>
    <mergeCell ref="M3570:N3571"/>
    <mergeCell ref="O3570:P3571"/>
    <mergeCell ref="AZ3520:AZ3521"/>
    <mergeCell ref="F3521:H3521"/>
    <mergeCell ref="X3521:AB3521"/>
    <mergeCell ref="AE3521:AI3521"/>
    <mergeCell ref="AJ3521:AL3521"/>
    <mergeCell ref="AN3521:AO3521"/>
    <mergeCell ref="AP3521:AQ3521"/>
    <mergeCell ref="W3588:W3589"/>
    <mergeCell ref="X3588:AB3588"/>
    <mergeCell ref="AD3588:AI3588"/>
    <mergeCell ref="AJ3588:AL3588"/>
    <mergeCell ref="AN3588:AO3588"/>
    <mergeCell ref="AP3588:AQ3588"/>
    <mergeCell ref="AR3588:AS3589"/>
    <mergeCell ref="AT3588:AU3589"/>
    <mergeCell ref="AV3588:AW3589"/>
    <mergeCell ref="AX3588:AY3589"/>
    <mergeCell ref="AZ3588:AZ3589"/>
    <mergeCell ref="F3589:H3589"/>
    <mergeCell ref="X3589:AB3589"/>
    <mergeCell ref="AE3589:AI3589"/>
    <mergeCell ref="AJ3589:AL3589"/>
    <mergeCell ref="AN3589:AO3589"/>
    <mergeCell ref="AP3589:AQ3589"/>
    <mergeCell ref="AX3582:AY3583"/>
    <mergeCell ref="AZ3582:AZ3583"/>
    <mergeCell ref="AX3584:AY3585"/>
    <mergeCell ref="AZ3584:AZ3585"/>
    <mergeCell ref="AJ3585:AL3585"/>
    <mergeCell ref="AN3585:AO3585"/>
    <mergeCell ref="AP3585:AQ3585"/>
    <mergeCell ref="U3592:V3593"/>
    <mergeCell ref="W3592:W3593"/>
    <mergeCell ref="X3592:AB3592"/>
    <mergeCell ref="AD3592:AI3592"/>
    <mergeCell ref="AJ3592:AL3592"/>
    <mergeCell ref="AN3592:AO3592"/>
    <mergeCell ref="AP3592:AQ3592"/>
    <mergeCell ref="AR3592:AS3593"/>
    <mergeCell ref="AT3592:AU3593"/>
    <mergeCell ref="AV3592:AW3593"/>
    <mergeCell ref="AX3586:AY3587"/>
    <mergeCell ref="AZ3586:AZ3587"/>
    <mergeCell ref="AJ3578:AL3578"/>
    <mergeCell ref="AN3578:AO3578"/>
    <mergeCell ref="AP3578:AQ3578"/>
    <mergeCell ref="AR3578:AS3579"/>
    <mergeCell ref="O3586:P3587"/>
    <mergeCell ref="Q3586:R3587"/>
    <mergeCell ref="S3586:T3587"/>
    <mergeCell ref="U3586:V3587"/>
    <mergeCell ref="F3587:H3587"/>
    <mergeCell ref="X3587:AB3587"/>
    <mergeCell ref="AE3587:AI3587"/>
    <mergeCell ref="AJ3587:AL3587"/>
    <mergeCell ref="AN3587:AO3587"/>
    <mergeCell ref="AP3587:AQ3587"/>
    <mergeCell ref="W3586:W3587"/>
    <mergeCell ref="X3586:AB3586"/>
    <mergeCell ref="AD3586:AI3586"/>
    <mergeCell ref="AJ3586:AL3586"/>
    <mergeCell ref="AN3586:AO3586"/>
    <mergeCell ref="AP3586:AQ3586"/>
    <mergeCell ref="AR3586:AS3587"/>
    <mergeCell ref="AZ3596:AZ3597"/>
    <mergeCell ref="F3597:H3597"/>
    <mergeCell ref="X3597:AB3597"/>
    <mergeCell ref="AE3597:AI3597"/>
    <mergeCell ref="AJ3597:AL3597"/>
    <mergeCell ref="AN3597:AO3597"/>
    <mergeCell ref="AP3597:AQ3597"/>
    <mergeCell ref="A3522:A3523"/>
    <mergeCell ref="E3522:E3523"/>
    <mergeCell ref="F3522:H3522"/>
    <mergeCell ref="J3522:J3523"/>
    <mergeCell ref="K3522:L3523"/>
    <mergeCell ref="M3522:N3523"/>
    <mergeCell ref="O3522:P3523"/>
    <mergeCell ref="Q3522:R3523"/>
    <mergeCell ref="S3522:T3523"/>
    <mergeCell ref="U3522:V3523"/>
    <mergeCell ref="AR3590:AS3591"/>
    <mergeCell ref="AT3590:AU3591"/>
    <mergeCell ref="AV3590:AW3591"/>
    <mergeCell ref="AX3590:AY3591"/>
    <mergeCell ref="AZ3590:AZ3591"/>
    <mergeCell ref="F3591:H3591"/>
    <mergeCell ref="X3591:AB3591"/>
    <mergeCell ref="AE3591:AI3591"/>
    <mergeCell ref="AJ3591:AL3591"/>
    <mergeCell ref="AN3591:AO3591"/>
    <mergeCell ref="AP3591:AQ3591"/>
    <mergeCell ref="A3584:A3585"/>
    <mergeCell ref="E3584:E3585"/>
    <mergeCell ref="F3584:H3584"/>
    <mergeCell ref="J3584:J3585"/>
    <mergeCell ref="K3584:L3585"/>
    <mergeCell ref="M3584:N3585"/>
    <mergeCell ref="O3584:P3585"/>
    <mergeCell ref="Q3584:R3585"/>
    <mergeCell ref="S3584:T3585"/>
    <mergeCell ref="U3584:V3585"/>
    <mergeCell ref="W3584:W3585"/>
    <mergeCell ref="X3584:AB3584"/>
    <mergeCell ref="AD3584:AI3584"/>
    <mergeCell ref="AJ3584:AL3584"/>
    <mergeCell ref="AN3584:AO3584"/>
    <mergeCell ref="AP3584:AQ3584"/>
    <mergeCell ref="A3578:A3579"/>
    <mergeCell ref="E3578:E3579"/>
    <mergeCell ref="F3578:H3578"/>
    <mergeCell ref="J3578:J3579"/>
    <mergeCell ref="K3578:L3579"/>
    <mergeCell ref="M3578:N3579"/>
    <mergeCell ref="O3578:P3579"/>
    <mergeCell ref="Q3578:R3579"/>
    <mergeCell ref="S3578:T3579"/>
    <mergeCell ref="U3578:V3579"/>
    <mergeCell ref="W3578:W3579"/>
    <mergeCell ref="X3578:AB3578"/>
    <mergeCell ref="AD3578:AI3578"/>
    <mergeCell ref="A3596:A3597"/>
    <mergeCell ref="E3596:E3597"/>
    <mergeCell ref="F3596:H3596"/>
    <mergeCell ref="J3596:J3597"/>
    <mergeCell ref="K3596:L3597"/>
    <mergeCell ref="M3596:N3597"/>
    <mergeCell ref="O3596:P3597"/>
    <mergeCell ref="A3598:A3599"/>
    <mergeCell ref="E3598:E3599"/>
    <mergeCell ref="F3598:H3598"/>
    <mergeCell ref="J3598:J3599"/>
    <mergeCell ref="K3598:L3599"/>
    <mergeCell ref="M3598:N3599"/>
    <mergeCell ref="O3598:P3599"/>
    <mergeCell ref="Q3598:R3599"/>
    <mergeCell ref="S3598:T3599"/>
    <mergeCell ref="U3598:V3599"/>
    <mergeCell ref="W3598:W3599"/>
    <mergeCell ref="X3598:AB3598"/>
    <mergeCell ref="AD3598:AI3598"/>
    <mergeCell ref="AJ3598:AL3598"/>
    <mergeCell ref="AN3598:AO3598"/>
    <mergeCell ref="AP3598:AQ3598"/>
    <mergeCell ref="AR3598:AS3599"/>
    <mergeCell ref="AT3598:AU3599"/>
    <mergeCell ref="AV3598:AW3599"/>
    <mergeCell ref="AX3598:AY3599"/>
    <mergeCell ref="AZ3598:AZ3599"/>
    <mergeCell ref="F3599:H3599"/>
    <mergeCell ref="X3599:AB3599"/>
    <mergeCell ref="AE3599:AI3599"/>
    <mergeCell ref="AJ3599:AL3599"/>
    <mergeCell ref="AN3599:AO3599"/>
    <mergeCell ref="AP3599:AQ3599"/>
    <mergeCell ref="A3600:A3601"/>
    <mergeCell ref="E3600:E3601"/>
    <mergeCell ref="F3600:H3600"/>
    <mergeCell ref="J3600:J3601"/>
    <mergeCell ref="K3600:L3601"/>
    <mergeCell ref="M3600:N3601"/>
    <mergeCell ref="O3600:P3601"/>
    <mergeCell ref="Q3600:R3601"/>
    <mergeCell ref="S3600:T3601"/>
    <mergeCell ref="U3600:V3601"/>
    <mergeCell ref="W3600:W3601"/>
    <mergeCell ref="X3600:AB3600"/>
    <mergeCell ref="AD3600:AI3600"/>
    <mergeCell ref="AJ3600:AL3600"/>
    <mergeCell ref="AN3600:AO3600"/>
    <mergeCell ref="AP3600:AQ3600"/>
    <mergeCell ref="AR3600:AS3601"/>
    <mergeCell ref="AT3600:AU3601"/>
    <mergeCell ref="AV3600:AW3601"/>
    <mergeCell ref="AX3600:AY3601"/>
    <mergeCell ref="AZ3600:AZ3601"/>
    <mergeCell ref="F3601:H3601"/>
    <mergeCell ref="X3601:AB3601"/>
    <mergeCell ref="AE3601:AI3601"/>
    <mergeCell ref="AJ3601:AL3601"/>
    <mergeCell ref="AN3601:AO3601"/>
    <mergeCell ref="AP3601:AQ3601"/>
    <mergeCell ref="A3602:A3603"/>
    <mergeCell ref="E3602:E3603"/>
    <mergeCell ref="F3602:H3602"/>
    <mergeCell ref="J3602:J3603"/>
    <mergeCell ref="K3602:L3603"/>
    <mergeCell ref="M3602:N3603"/>
    <mergeCell ref="O3602:P3603"/>
    <mergeCell ref="Q3602:R3603"/>
    <mergeCell ref="S3602:T3603"/>
    <mergeCell ref="U3602:V3603"/>
    <mergeCell ref="W3602:W3603"/>
    <mergeCell ref="X3602:AB3602"/>
    <mergeCell ref="AD3602:AI3602"/>
    <mergeCell ref="AJ3602:AL3602"/>
    <mergeCell ref="AN3602:AO3602"/>
    <mergeCell ref="AP3602:AQ3602"/>
    <mergeCell ref="AR3602:AS3603"/>
    <mergeCell ref="AT3602:AU3603"/>
    <mergeCell ref="AV3602:AW3603"/>
    <mergeCell ref="AX3602:AY3603"/>
    <mergeCell ref="AZ3602:AZ3603"/>
    <mergeCell ref="F3603:H3603"/>
    <mergeCell ref="X3603:AB3603"/>
    <mergeCell ref="AE3603:AI3603"/>
    <mergeCell ref="AJ3603:AL3603"/>
    <mergeCell ref="AN3603:AO3603"/>
    <mergeCell ref="AP3603:AQ3603"/>
    <mergeCell ref="A3604:A3605"/>
    <mergeCell ref="E3604:E3605"/>
    <mergeCell ref="F3604:H3604"/>
    <mergeCell ref="J3604:J3605"/>
    <mergeCell ref="K3604:L3605"/>
    <mergeCell ref="M3604:N3605"/>
    <mergeCell ref="O3604:P3605"/>
    <mergeCell ref="Q3604:R3605"/>
    <mergeCell ref="S3604:T3605"/>
    <mergeCell ref="U3604:V3605"/>
    <mergeCell ref="W3604:W3605"/>
    <mergeCell ref="X3604:AB3604"/>
    <mergeCell ref="AD3604:AI3604"/>
    <mergeCell ref="AJ3604:AL3604"/>
    <mergeCell ref="AN3604:AO3604"/>
    <mergeCell ref="AP3604:AQ3604"/>
    <mergeCell ref="AR3604:AS3605"/>
    <mergeCell ref="AT3604:AU3605"/>
    <mergeCell ref="AV3604:AW3605"/>
    <mergeCell ref="AX3604:AY3605"/>
    <mergeCell ref="AZ3604:AZ3605"/>
    <mergeCell ref="F3605:H3605"/>
    <mergeCell ref="X3605:AB3605"/>
    <mergeCell ref="AE3605:AI3605"/>
    <mergeCell ref="AJ3605:AL3605"/>
    <mergeCell ref="AN3605:AO3605"/>
    <mergeCell ref="AP3605:AQ3605"/>
    <mergeCell ref="A3606:A3607"/>
    <mergeCell ref="E3606:E3607"/>
    <mergeCell ref="F3606:H3606"/>
    <mergeCell ref="J3606:J3607"/>
    <mergeCell ref="K3606:L3607"/>
    <mergeCell ref="M3606:N3607"/>
    <mergeCell ref="O3606:P3607"/>
    <mergeCell ref="Q3606:R3607"/>
    <mergeCell ref="S3606:T3607"/>
    <mergeCell ref="U3606:V3607"/>
    <mergeCell ref="W3606:W3607"/>
    <mergeCell ref="X3606:AB3606"/>
    <mergeCell ref="AD3606:AI3606"/>
    <mergeCell ref="AJ3606:AL3606"/>
    <mergeCell ref="AN3606:AO3606"/>
    <mergeCell ref="AP3606:AQ3606"/>
    <mergeCell ref="AR3606:AS3607"/>
    <mergeCell ref="AT3606:AU3607"/>
    <mergeCell ref="AV3606:AW3607"/>
    <mergeCell ref="AX3606:AY3607"/>
    <mergeCell ref="AZ3606:AZ3607"/>
    <mergeCell ref="F3607:H3607"/>
    <mergeCell ref="X3607:AB3607"/>
    <mergeCell ref="AE3607:AI3607"/>
    <mergeCell ref="AJ3607:AL3607"/>
    <mergeCell ref="AN3607:AO3607"/>
    <mergeCell ref="AP3607:AQ3607"/>
    <mergeCell ref="A3608:A3609"/>
    <mergeCell ref="E3608:E3609"/>
    <mergeCell ref="F3608:H3608"/>
    <mergeCell ref="J3608:J3609"/>
    <mergeCell ref="K3608:L3609"/>
    <mergeCell ref="M3608:N3609"/>
    <mergeCell ref="O3608:P3609"/>
    <mergeCell ref="Q3608:R3609"/>
    <mergeCell ref="S3608:T3609"/>
    <mergeCell ref="U3608:V3609"/>
    <mergeCell ref="W3608:W3609"/>
    <mergeCell ref="X3608:AB3608"/>
    <mergeCell ref="AD3608:AI3608"/>
    <mergeCell ref="AJ3608:AL3608"/>
    <mergeCell ref="AN3608:AO3608"/>
    <mergeCell ref="AP3608:AQ3608"/>
    <mergeCell ref="AR3608:AS3609"/>
    <mergeCell ref="AT3608:AU3609"/>
    <mergeCell ref="AV3608:AW3609"/>
    <mergeCell ref="AX3608:AY3609"/>
    <mergeCell ref="AZ3608:AZ3609"/>
    <mergeCell ref="F3609:H3609"/>
    <mergeCell ref="X3609:AB3609"/>
    <mergeCell ref="AE3609:AI3609"/>
    <mergeCell ref="AJ3609:AL3609"/>
    <mergeCell ref="AN3609:AO3609"/>
    <mergeCell ref="AP3609:AQ3609"/>
    <mergeCell ref="A3610:A3611"/>
    <mergeCell ref="E3610:E3611"/>
    <mergeCell ref="F3610:H3610"/>
    <mergeCell ref="J3610:J3611"/>
    <mergeCell ref="K3610:L3611"/>
    <mergeCell ref="M3610:N3611"/>
    <mergeCell ref="O3610:P3611"/>
    <mergeCell ref="Q3610:R3611"/>
    <mergeCell ref="S3610:T3611"/>
    <mergeCell ref="U3610:V3611"/>
    <mergeCell ref="W3610:W3611"/>
    <mergeCell ref="X3610:AB3610"/>
    <mergeCell ref="AD3610:AI3610"/>
    <mergeCell ref="AJ3610:AL3610"/>
    <mergeCell ref="AN3610:AO3610"/>
    <mergeCell ref="AP3610:AQ3610"/>
    <mergeCell ref="AR3610:AS3611"/>
    <mergeCell ref="AT3610:AU3611"/>
    <mergeCell ref="AV3610:AW3611"/>
    <mergeCell ref="AX3610:AY3611"/>
    <mergeCell ref="AZ3610:AZ3611"/>
    <mergeCell ref="F3611:H3611"/>
    <mergeCell ref="X3611:AB3611"/>
    <mergeCell ref="AE3611:AI3611"/>
    <mergeCell ref="AJ3611:AL3611"/>
    <mergeCell ref="AN3611:AO3611"/>
    <mergeCell ref="AP3611:AQ3611"/>
    <mergeCell ref="A3612:A3613"/>
    <mergeCell ref="E3612:E3613"/>
    <mergeCell ref="F3612:H3612"/>
    <mergeCell ref="J3612:J3613"/>
    <mergeCell ref="K3612:L3613"/>
    <mergeCell ref="M3612:N3613"/>
    <mergeCell ref="O3612:P3613"/>
    <mergeCell ref="Q3612:R3613"/>
    <mergeCell ref="S3612:T3613"/>
    <mergeCell ref="U3612:V3613"/>
    <mergeCell ref="W3612:W3613"/>
    <mergeCell ref="X3612:AB3612"/>
    <mergeCell ref="AD3612:AI3612"/>
    <mergeCell ref="AJ3612:AL3612"/>
    <mergeCell ref="AN3612:AO3612"/>
    <mergeCell ref="AP3612:AQ3612"/>
    <mergeCell ref="AR3612:AS3613"/>
    <mergeCell ref="AT3612:AU3613"/>
    <mergeCell ref="AV3612:AW3613"/>
    <mergeCell ref="AX3612:AY3613"/>
    <mergeCell ref="AZ3612:AZ3613"/>
    <mergeCell ref="F3613:H3613"/>
    <mergeCell ref="X3613:AB3613"/>
    <mergeCell ref="AE3613:AI3613"/>
    <mergeCell ref="AJ3613:AL3613"/>
    <mergeCell ref="AN3613:AO3613"/>
    <mergeCell ref="AP3613:AQ3613"/>
    <mergeCell ref="A3614:A3615"/>
    <mergeCell ref="E3614:E3615"/>
    <mergeCell ref="F3614:H3614"/>
    <mergeCell ref="J3614:J3615"/>
    <mergeCell ref="K3614:L3615"/>
    <mergeCell ref="M3614:N3615"/>
    <mergeCell ref="O3614:P3615"/>
    <mergeCell ref="Q3614:R3615"/>
    <mergeCell ref="S3614:T3615"/>
    <mergeCell ref="U3614:V3615"/>
    <mergeCell ref="W3614:W3615"/>
    <mergeCell ref="X3614:AB3614"/>
    <mergeCell ref="AD3614:AI3614"/>
    <mergeCell ref="AJ3614:AL3614"/>
    <mergeCell ref="AN3614:AO3614"/>
    <mergeCell ref="AP3614:AQ3614"/>
    <mergeCell ref="AR3614:AS3615"/>
    <mergeCell ref="AT3614:AU3615"/>
    <mergeCell ref="AV3614:AW3615"/>
    <mergeCell ref="AX3614:AY3615"/>
    <mergeCell ref="AZ3614:AZ3615"/>
    <mergeCell ref="F3615:H3615"/>
    <mergeCell ref="X3615:AB3615"/>
    <mergeCell ref="AE3615:AI3615"/>
    <mergeCell ref="AJ3615:AL3615"/>
    <mergeCell ref="AN3615:AO3615"/>
    <mergeCell ref="AP3615:AQ3615"/>
    <mergeCell ref="A3616:A3617"/>
    <mergeCell ref="E3616:E3617"/>
    <mergeCell ref="F3616:H3616"/>
    <mergeCell ref="J3616:J3617"/>
    <mergeCell ref="K3616:L3617"/>
    <mergeCell ref="M3616:N3617"/>
    <mergeCell ref="O3616:P3617"/>
    <mergeCell ref="Q3616:R3617"/>
    <mergeCell ref="S3616:T3617"/>
    <mergeCell ref="U3616:V3617"/>
    <mergeCell ref="W3616:W3617"/>
    <mergeCell ref="X3616:AB3616"/>
    <mergeCell ref="AD3616:AI3616"/>
    <mergeCell ref="AJ3616:AL3616"/>
    <mergeCell ref="AN3616:AO3616"/>
    <mergeCell ref="AP3616:AQ3616"/>
    <mergeCell ref="AR3616:AS3617"/>
    <mergeCell ref="AT3616:AU3617"/>
    <mergeCell ref="AV3616:AW3617"/>
    <mergeCell ref="AX3616:AY3617"/>
    <mergeCell ref="AZ3616:AZ3617"/>
    <mergeCell ref="F3617:H3617"/>
    <mergeCell ref="X3617:AB3617"/>
    <mergeCell ref="AE3617:AI3617"/>
    <mergeCell ref="AJ3617:AL3617"/>
    <mergeCell ref="AN3617:AO3617"/>
    <mergeCell ref="AP3617:AQ3617"/>
    <mergeCell ref="A3618:A3619"/>
    <mergeCell ref="E3618:E3619"/>
    <mergeCell ref="F3618:H3618"/>
    <mergeCell ref="J3618:J3619"/>
    <mergeCell ref="K3618:L3619"/>
    <mergeCell ref="M3618:N3619"/>
    <mergeCell ref="O3618:P3619"/>
    <mergeCell ref="Q3618:R3619"/>
    <mergeCell ref="S3618:T3619"/>
    <mergeCell ref="U3618:V3619"/>
    <mergeCell ref="W3618:W3619"/>
    <mergeCell ref="X3618:AB3618"/>
    <mergeCell ref="AD3618:AI3618"/>
    <mergeCell ref="AJ3618:AL3618"/>
    <mergeCell ref="AN3618:AO3618"/>
    <mergeCell ref="AP3618:AQ3618"/>
    <mergeCell ref="AR3618:AS3619"/>
    <mergeCell ref="AT3618:AU3619"/>
    <mergeCell ref="AV3618:AW3619"/>
    <mergeCell ref="AX3618:AY3619"/>
    <mergeCell ref="AZ3618:AZ3619"/>
    <mergeCell ref="F3619:H3619"/>
    <mergeCell ref="X3619:AB3619"/>
    <mergeCell ref="AE3619:AI3619"/>
    <mergeCell ref="AJ3619:AL3619"/>
    <mergeCell ref="AN3619:AO3619"/>
    <mergeCell ref="AP3619:AQ3619"/>
    <mergeCell ref="A3620:A3621"/>
    <mergeCell ref="E3620:E3621"/>
    <mergeCell ref="F3620:H3620"/>
    <mergeCell ref="J3620:J3621"/>
    <mergeCell ref="K3620:L3621"/>
    <mergeCell ref="M3620:N3621"/>
    <mergeCell ref="O3620:P3621"/>
    <mergeCell ref="Q3620:R3621"/>
    <mergeCell ref="S3620:T3621"/>
    <mergeCell ref="U3620:V3621"/>
    <mergeCell ref="W3620:W3621"/>
    <mergeCell ref="X3620:AB3620"/>
    <mergeCell ref="AD3620:AI3620"/>
    <mergeCell ref="AJ3620:AL3620"/>
    <mergeCell ref="AN3620:AO3620"/>
    <mergeCell ref="AP3620:AQ3620"/>
    <mergeCell ref="AR3620:AS3621"/>
    <mergeCell ref="AT3620:AU3621"/>
    <mergeCell ref="AV3620:AW3621"/>
    <mergeCell ref="AX3620:AY3621"/>
    <mergeCell ref="AZ3620:AZ3621"/>
    <mergeCell ref="F3621:H3621"/>
    <mergeCell ref="X3621:AB3621"/>
    <mergeCell ref="AE3621:AI3621"/>
    <mergeCell ref="AJ3621:AL3621"/>
    <mergeCell ref="AN3621:AO3621"/>
    <mergeCell ref="AP3621:AQ3621"/>
    <mergeCell ref="A3622:A3623"/>
    <mergeCell ref="E3622:E3623"/>
    <mergeCell ref="F3622:H3622"/>
    <mergeCell ref="J3622:J3623"/>
    <mergeCell ref="K3622:L3623"/>
    <mergeCell ref="M3622:N3623"/>
    <mergeCell ref="O3622:P3623"/>
    <mergeCell ref="Q3622:R3623"/>
    <mergeCell ref="S3622:T3623"/>
    <mergeCell ref="U3622:V3623"/>
    <mergeCell ref="W3622:W3623"/>
    <mergeCell ref="X3622:AB3622"/>
    <mergeCell ref="AD3622:AI3622"/>
    <mergeCell ref="AJ3622:AL3622"/>
    <mergeCell ref="AN3622:AO3622"/>
    <mergeCell ref="AP3622:AQ3622"/>
    <mergeCell ref="AR3622:AS3623"/>
    <mergeCell ref="AT3622:AU3623"/>
    <mergeCell ref="AV3622:AW3623"/>
    <mergeCell ref="AX3622:AY3623"/>
    <mergeCell ref="AZ3622:AZ3623"/>
    <mergeCell ref="F3623:H3623"/>
    <mergeCell ref="X3623:AB3623"/>
    <mergeCell ref="AE3623:AI3623"/>
    <mergeCell ref="AJ3623:AL3623"/>
    <mergeCell ref="AN3623:AO3623"/>
    <mergeCell ref="AP3623:AQ3623"/>
    <mergeCell ref="A3624:A3625"/>
    <mergeCell ref="E3624:E3625"/>
    <mergeCell ref="F3624:H3624"/>
    <mergeCell ref="J3624:J3625"/>
    <mergeCell ref="K3624:L3625"/>
    <mergeCell ref="M3624:N3625"/>
    <mergeCell ref="O3624:P3625"/>
    <mergeCell ref="Q3624:R3625"/>
    <mergeCell ref="S3624:T3625"/>
    <mergeCell ref="U3624:V3625"/>
    <mergeCell ref="W3624:W3625"/>
    <mergeCell ref="X3624:AB3624"/>
    <mergeCell ref="AD3624:AI3624"/>
    <mergeCell ref="AJ3624:AL3624"/>
    <mergeCell ref="AN3624:AO3624"/>
    <mergeCell ref="AP3624:AQ3624"/>
    <mergeCell ref="AR3624:AS3625"/>
    <mergeCell ref="AT3624:AU3625"/>
    <mergeCell ref="AV3624:AW3625"/>
    <mergeCell ref="AX3624:AY3625"/>
    <mergeCell ref="AZ3624:AZ3625"/>
    <mergeCell ref="F3625:H3625"/>
    <mergeCell ref="X3625:AB3625"/>
    <mergeCell ref="AE3625:AI3625"/>
    <mergeCell ref="AJ3625:AL3625"/>
    <mergeCell ref="AN3625:AO3625"/>
    <mergeCell ref="AP3625:AQ3625"/>
    <mergeCell ref="A3626:A3627"/>
    <mergeCell ref="E3626:E3627"/>
    <mergeCell ref="F3626:H3626"/>
    <mergeCell ref="J3626:J3627"/>
    <mergeCell ref="K3626:L3627"/>
    <mergeCell ref="M3626:N3627"/>
    <mergeCell ref="O3626:P3627"/>
    <mergeCell ref="Q3626:R3627"/>
    <mergeCell ref="S3626:T3627"/>
    <mergeCell ref="U3626:V3627"/>
    <mergeCell ref="W3626:W3627"/>
    <mergeCell ref="X3626:AB3626"/>
    <mergeCell ref="AD3626:AI3626"/>
    <mergeCell ref="AJ3626:AL3626"/>
    <mergeCell ref="AN3626:AO3626"/>
    <mergeCell ref="AP3626:AQ3626"/>
    <mergeCell ref="AR3626:AS3627"/>
    <mergeCell ref="AT3626:AU3627"/>
    <mergeCell ref="AV3626:AW3627"/>
    <mergeCell ref="AX3626:AY3627"/>
    <mergeCell ref="AZ3626:AZ3627"/>
    <mergeCell ref="F3627:H3627"/>
    <mergeCell ref="X3627:AB3627"/>
    <mergeCell ref="AE3627:AI3627"/>
    <mergeCell ref="AJ3627:AL3627"/>
    <mergeCell ref="AN3627:AO3627"/>
    <mergeCell ref="AP3627:AQ3627"/>
    <mergeCell ref="A3628:A3629"/>
    <mergeCell ref="E3628:E3629"/>
    <mergeCell ref="F3628:H3628"/>
    <mergeCell ref="J3628:J3629"/>
    <mergeCell ref="K3628:L3629"/>
    <mergeCell ref="M3628:N3629"/>
    <mergeCell ref="O3628:P3629"/>
    <mergeCell ref="Q3628:R3629"/>
    <mergeCell ref="S3628:T3629"/>
    <mergeCell ref="U3628:V3629"/>
    <mergeCell ref="W3628:W3629"/>
    <mergeCell ref="X3628:AB3628"/>
    <mergeCell ref="AD3628:AI3628"/>
    <mergeCell ref="AJ3628:AL3628"/>
    <mergeCell ref="AN3628:AO3628"/>
    <mergeCell ref="AP3628:AQ3628"/>
    <mergeCell ref="AR3628:AS3629"/>
    <mergeCell ref="AT3628:AU3629"/>
    <mergeCell ref="AV3628:AW3629"/>
    <mergeCell ref="AX3628:AY3629"/>
    <mergeCell ref="AZ3628:AZ3629"/>
    <mergeCell ref="F3629:H3629"/>
    <mergeCell ref="X3629:AB3629"/>
    <mergeCell ref="AE3629:AI3629"/>
    <mergeCell ref="AJ3629:AL3629"/>
    <mergeCell ref="AN3629:AO3629"/>
    <mergeCell ref="AP3629:AQ3629"/>
    <mergeCell ref="A3630:A3631"/>
    <mergeCell ref="E3630:E3631"/>
    <mergeCell ref="F3630:H3630"/>
    <mergeCell ref="J3630:J3631"/>
    <mergeCell ref="K3630:L3631"/>
    <mergeCell ref="M3630:N3631"/>
    <mergeCell ref="O3630:P3631"/>
    <mergeCell ref="Q3630:R3631"/>
    <mergeCell ref="S3630:T3631"/>
    <mergeCell ref="U3630:V3631"/>
    <mergeCell ref="W3630:W3631"/>
    <mergeCell ref="X3630:AB3630"/>
    <mergeCell ref="AD3630:AI3630"/>
    <mergeCell ref="AJ3630:AL3630"/>
    <mergeCell ref="AN3630:AO3630"/>
    <mergeCell ref="AP3630:AQ3630"/>
    <mergeCell ref="AR3630:AS3631"/>
    <mergeCell ref="AT3630:AU3631"/>
    <mergeCell ref="AV3630:AW3631"/>
    <mergeCell ref="AX3630:AY3631"/>
    <mergeCell ref="AZ3630:AZ3631"/>
    <mergeCell ref="F3631:H3631"/>
    <mergeCell ref="X3631:AB3631"/>
    <mergeCell ref="AE3631:AI3631"/>
    <mergeCell ref="AJ3631:AL3631"/>
    <mergeCell ref="AN3631:AO3631"/>
    <mergeCell ref="AP3631:AQ3631"/>
    <mergeCell ref="A3632:A3633"/>
    <mergeCell ref="E3632:E3633"/>
    <mergeCell ref="F3632:H3632"/>
    <mergeCell ref="J3632:J3633"/>
    <mergeCell ref="K3632:L3633"/>
    <mergeCell ref="M3632:N3633"/>
    <mergeCell ref="O3632:P3633"/>
    <mergeCell ref="Q3632:R3633"/>
    <mergeCell ref="S3632:T3633"/>
    <mergeCell ref="U3632:V3633"/>
    <mergeCell ref="W3632:W3633"/>
    <mergeCell ref="X3632:AB3632"/>
    <mergeCell ref="AD3632:AI3632"/>
    <mergeCell ref="AJ3632:AL3632"/>
    <mergeCell ref="AN3632:AO3632"/>
    <mergeCell ref="AP3632:AQ3632"/>
    <mergeCell ref="AR3632:AS3633"/>
    <mergeCell ref="AT3632:AU3633"/>
    <mergeCell ref="AV3632:AW3633"/>
    <mergeCell ref="AX3632:AY3633"/>
    <mergeCell ref="AZ3632:AZ3633"/>
    <mergeCell ref="F3633:H3633"/>
    <mergeCell ref="X3633:AB3633"/>
    <mergeCell ref="AE3633:AI3633"/>
    <mergeCell ref="AJ3633:AL3633"/>
    <mergeCell ref="AN3633:AO3633"/>
    <mergeCell ref="AP3633:AQ3633"/>
    <mergeCell ref="A3634:A3635"/>
    <mergeCell ref="E3634:E3635"/>
    <mergeCell ref="F3634:H3634"/>
    <mergeCell ref="J3634:J3635"/>
    <mergeCell ref="K3634:L3635"/>
    <mergeCell ref="M3634:N3635"/>
    <mergeCell ref="O3634:P3635"/>
    <mergeCell ref="Q3634:R3635"/>
    <mergeCell ref="S3634:T3635"/>
    <mergeCell ref="U3634:V3635"/>
    <mergeCell ref="W3634:W3635"/>
    <mergeCell ref="X3634:AB3634"/>
    <mergeCell ref="AD3634:AI3634"/>
    <mergeCell ref="AJ3634:AL3634"/>
    <mergeCell ref="AN3634:AO3634"/>
    <mergeCell ref="AP3634:AQ3634"/>
    <mergeCell ref="AR3634:AS3635"/>
    <mergeCell ref="AT3634:AU3635"/>
    <mergeCell ref="AV3634:AW3635"/>
    <mergeCell ref="AX3634:AY3635"/>
    <mergeCell ref="AZ3634:AZ3635"/>
    <mergeCell ref="F3635:H3635"/>
    <mergeCell ref="X3635:AB3635"/>
    <mergeCell ref="AE3635:AI3635"/>
    <mergeCell ref="AJ3635:AL3635"/>
    <mergeCell ref="AN3635:AO3635"/>
    <mergeCell ref="AP3635:AQ3635"/>
    <mergeCell ref="A3636:A3637"/>
    <mergeCell ref="E3636:E3637"/>
    <mergeCell ref="F3636:H3636"/>
    <mergeCell ref="J3636:J3637"/>
    <mergeCell ref="K3636:L3637"/>
    <mergeCell ref="M3636:N3637"/>
    <mergeCell ref="O3636:P3637"/>
    <mergeCell ref="Q3636:R3637"/>
    <mergeCell ref="S3636:T3637"/>
    <mergeCell ref="U3636:V3637"/>
    <mergeCell ref="W3636:W3637"/>
    <mergeCell ref="X3636:AB3636"/>
    <mergeCell ref="AD3636:AI3636"/>
    <mergeCell ref="AJ3636:AL3636"/>
    <mergeCell ref="AN3636:AO3636"/>
    <mergeCell ref="AP3636:AQ3636"/>
    <mergeCell ref="AR3636:AS3637"/>
    <mergeCell ref="AT3636:AU3637"/>
    <mergeCell ref="AV3636:AW3637"/>
    <mergeCell ref="AX3636:AY3637"/>
    <mergeCell ref="AZ3636:AZ3637"/>
    <mergeCell ref="F3637:H3637"/>
    <mergeCell ref="X3637:AB3637"/>
    <mergeCell ref="AE3637:AI3637"/>
    <mergeCell ref="AJ3637:AL3637"/>
    <mergeCell ref="AN3637:AO3637"/>
    <mergeCell ref="AP3637:AQ3637"/>
    <mergeCell ref="A3638:A3639"/>
    <mergeCell ref="E3638:E3639"/>
    <mergeCell ref="F3638:H3638"/>
    <mergeCell ref="J3638:J3639"/>
    <mergeCell ref="K3638:L3639"/>
    <mergeCell ref="M3638:N3639"/>
    <mergeCell ref="O3638:P3639"/>
    <mergeCell ref="Q3638:R3639"/>
    <mergeCell ref="S3638:T3639"/>
    <mergeCell ref="U3638:V3639"/>
    <mergeCell ref="W3638:W3639"/>
    <mergeCell ref="X3638:AB3638"/>
    <mergeCell ref="AD3638:AI3638"/>
    <mergeCell ref="AJ3638:AL3638"/>
    <mergeCell ref="AN3638:AO3638"/>
    <mergeCell ref="AP3638:AQ3638"/>
    <mergeCell ref="AR3638:AS3639"/>
    <mergeCell ref="AT3638:AU3639"/>
    <mergeCell ref="AV3638:AW3639"/>
    <mergeCell ref="AX3638:AY3639"/>
    <mergeCell ref="AZ3638:AZ3639"/>
    <mergeCell ref="F3639:H3639"/>
    <mergeCell ref="X3639:AB3639"/>
    <mergeCell ref="AE3639:AI3639"/>
    <mergeCell ref="AJ3639:AL3639"/>
    <mergeCell ref="AN3639:AO3639"/>
    <mergeCell ref="AP3639:AQ3639"/>
    <mergeCell ref="A3640:A3641"/>
    <mergeCell ref="E3640:E3641"/>
    <mergeCell ref="F3640:H3640"/>
    <mergeCell ref="J3640:J3641"/>
    <mergeCell ref="K3640:L3641"/>
    <mergeCell ref="M3640:N3641"/>
    <mergeCell ref="O3640:P3641"/>
    <mergeCell ref="Q3640:R3641"/>
    <mergeCell ref="S3640:T3641"/>
    <mergeCell ref="U3640:V3641"/>
    <mergeCell ref="W3640:W3641"/>
    <mergeCell ref="X3640:AB3640"/>
    <mergeCell ref="AD3640:AI3640"/>
    <mergeCell ref="AJ3640:AL3640"/>
    <mergeCell ref="AN3640:AO3640"/>
    <mergeCell ref="AP3640:AQ3640"/>
    <mergeCell ref="AR3640:AS3641"/>
    <mergeCell ref="AT3640:AU3641"/>
    <mergeCell ref="AV3640:AW3641"/>
    <mergeCell ref="AX3640:AY3641"/>
    <mergeCell ref="AZ3640:AZ3641"/>
    <mergeCell ref="F3641:H3641"/>
    <mergeCell ref="X3641:AB3641"/>
    <mergeCell ref="AE3641:AI3641"/>
    <mergeCell ref="AJ3641:AL3641"/>
    <mergeCell ref="AN3641:AO3641"/>
    <mergeCell ref="AP3641:AQ3641"/>
    <mergeCell ref="A3642:A3643"/>
    <mergeCell ref="E3642:E3643"/>
    <mergeCell ref="F3642:H3642"/>
    <mergeCell ref="J3642:J3643"/>
    <mergeCell ref="K3642:L3643"/>
    <mergeCell ref="M3642:N3643"/>
    <mergeCell ref="O3642:P3643"/>
    <mergeCell ref="Q3642:R3643"/>
    <mergeCell ref="S3642:T3643"/>
    <mergeCell ref="U3642:V3643"/>
    <mergeCell ref="W3642:W3643"/>
    <mergeCell ref="X3642:AB3642"/>
    <mergeCell ref="AD3642:AI3642"/>
    <mergeCell ref="AJ3642:AL3642"/>
    <mergeCell ref="AN3642:AO3642"/>
    <mergeCell ref="AP3642:AQ3642"/>
    <mergeCell ref="AR3642:AS3643"/>
    <mergeCell ref="AT3642:AU3643"/>
    <mergeCell ref="AV3642:AW3643"/>
    <mergeCell ref="AX3642:AY3643"/>
    <mergeCell ref="AZ3642:AZ3643"/>
    <mergeCell ref="F3643:H3643"/>
    <mergeCell ref="X3643:AB3643"/>
    <mergeCell ref="AE3643:AI3643"/>
    <mergeCell ref="AJ3643:AL3643"/>
    <mergeCell ref="AN3643:AO3643"/>
    <mergeCell ref="AP3643:AQ3643"/>
    <mergeCell ref="A3644:A3645"/>
    <mergeCell ref="E3644:E3645"/>
    <mergeCell ref="F3644:H3644"/>
    <mergeCell ref="J3644:J3645"/>
    <mergeCell ref="K3644:L3645"/>
    <mergeCell ref="M3644:N3645"/>
    <mergeCell ref="O3644:P3645"/>
    <mergeCell ref="Q3644:R3645"/>
    <mergeCell ref="S3644:T3645"/>
    <mergeCell ref="U3644:V3645"/>
    <mergeCell ref="W3644:W3645"/>
    <mergeCell ref="X3644:AB3644"/>
    <mergeCell ref="AD3644:AI3644"/>
    <mergeCell ref="AJ3644:AL3644"/>
    <mergeCell ref="AN3644:AO3644"/>
    <mergeCell ref="AP3644:AQ3644"/>
    <mergeCell ref="AR3644:AS3645"/>
    <mergeCell ref="AT3644:AU3645"/>
    <mergeCell ref="AV3644:AW3645"/>
    <mergeCell ref="AX3644:AY3645"/>
    <mergeCell ref="AZ3644:AZ3645"/>
    <mergeCell ref="F3645:H3645"/>
    <mergeCell ref="X3645:AB3645"/>
    <mergeCell ref="AE3645:AI3645"/>
    <mergeCell ref="AJ3645:AL3645"/>
    <mergeCell ref="AN3645:AO3645"/>
    <mergeCell ref="AP3645:AQ3645"/>
    <mergeCell ref="A3646:A3647"/>
    <mergeCell ref="E3646:E3647"/>
    <mergeCell ref="F3646:H3646"/>
    <mergeCell ref="J3646:J3647"/>
    <mergeCell ref="K3646:L3647"/>
    <mergeCell ref="M3646:N3647"/>
    <mergeCell ref="O3646:P3647"/>
    <mergeCell ref="Q3646:R3647"/>
    <mergeCell ref="S3646:T3647"/>
    <mergeCell ref="U3646:V3647"/>
    <mergeCell ref="W3646:W3647"/>
    <mergeCell ref="X3646:AB3646"/>
    <mergeCell ref="AD3646:AI3646"/>
    <mergeCell ref="AJ3646:AL3646"/>
    <mergeCell ref="AN3646:AO3646"/>
    <mergeCell ref="AP3646:AQ3646"/>
    <mergeCell ref="AR3646:AS3647"/>
    <mergeCell ref="AT3646:AU3647"/>
    <mergeCell ref="AV3646:AW3647"/>
    <mergeCell ref="AX3646:AY3647"/>
    <mergeCell ref="AZ3646:AZ3647"/>
    <mergeCell ref="F3647:H3647"/>
    <mergeCell ref="X3647:AB3647"/>
    <mergeCell ref="AE3647:AI3647"/>
    <mergeCell ref="AJ3647:AL3647"/>
    <mergeCell ref="AN3647:AO3647"/>
    <mergeCell ref="AP3647:AQ3647"/>
    <mergeCell ref="A3648:A3649"/>
    <mergeCell ref="E3648:E3649"/>
    <mergeCell ref="F3648:H3648"/>
    <mergeCell ref="J3648:J3649"/>
    <mergeCell ref="K3648:L3649"/>
    <mergeCell ref="M3648:N3649"/>
    <mergeCell ref="O3648:P3649"/>
    <mergeCell ref="Q3648:R3649"/>
    <mergeCell ref="S3648:T3649"/>
    <mergeCell ref="U3648:V3649"/>
    <mergeCell ref="W3648:W3649"/>
    <mergeCell ref="X3648:AB3648"/>
    <mergeCell ref="AD3648:AI3648"/>
    <mergeCell ref="AJ3648:AL3648"/>
    <mergeCell ref="AN3648:AO3648"/>
    <mergeCell ref="AP3648:AQ3648"/>
    <mergeCell ref="AR3648:AS3649"/>
    <mergeCell ref="AT3648:AU3649"/>
    <mergeCell ref="AV3648:AW3649"/>
    <mergeCell ref="AX3648:AY3649"/>
    <mergeCell ref="AZ3648:AZ3649"/>
    <mergeCell ref="F3649:H3649"/>
    <mergeCell ref="X3649:AB3649"/>
    <mergeCell ref="AE3649:AI3649"/>
    <mergeCell ref="AJ3649:AL3649"/>
    <mergeCell ref="AN3649:AO3649"/>
    <mergeCell ref="AP3649:AQ3649"/>
    <mergeCell ref="A3650:A3651"/>
    <mergeCell ref="E3650:E3651"/>
    <mergeCell ref="F3650:H3650"/>
    <mergeCell ref="J3650:J3651"/>
    <mergeCell ref="K3650:L3651"/>
    <mergeCell ref="M3650:N3651"/>
    <mergeCell ref="O3650:P3651"/>
    <mergeCell ref="Q3650:R3651"/>
    <mergeCell ref="S3650:T3651"/>
    <mergeCell ref="U3650:V3651"/>
    <mergeCell ref="W3650:W3651"/>
    <mergeCell ref="X3650:AB3650"/>
    <mergeCell ref="AD3650:AI3650"/>
    <mergeCell ref="AJ3650:AL3650"/>
    <mergeCell ref="AN3650:AO3650"/>
    <mergeCell ref="AP3650:AQ3650"/>
    <mergeCell ref="AR3650:AS3651"/>
    <mergeCell ref="AT3650:AU3651"/>
    <mergeCell ref="AV3650:AW3651"/>
    <mergeCell ref="AX3650:AY3651"/>
    <mergeCell ref="AZ3650:AZ3651"/>
    <mergeCell ref="F3651:H3651"/>
    <mergeCell ref="X3651:AB3651"/>
    <mergeCell ref="AE3651:AI3651"/>
    <mergeCell ref="AJ3651:AL3651"/>
    <mergeCell ref="AN3651:AO3651"/>
    <mergeCell ref="AP3651:AQ3651"/>
    <mergeCell ref="A3652:A3653"/>
    <mergeCell ref="E3652:E3653"/>
    <mergeCell ref="F3652:H3652"/>
    <mergeCell ref="J3652:J3653"/>
    <mergeCell ref="K3652:L3653"/>
    <mergeCell ref="M3652:N3653"/>
    <mergeCell ref="O3652:P3653"/>
    <mergeCell ref="Q3652:R3653"/>
    <mergeCell ref="S3652:T3653"/>
    <mergeCell ref="U3652:V3653"/>
    <mergeCell ref="W3652:W3653"/>
    <mergeCell ref="X3652:AB3652"/>
    <mergeCell ref="AD3652:AI3652"/>
    <mergeCell ref="AJ3652:AL3652"/>
    <mergeCell ref="AN3652:AO3652"/>
    <mergeCell ref="AP3652:AQ3652"/>
    <mergeCell ref="AR3652:AS3653"/>
    <mergeCell ref="AT3652:AU3653"/>
    <mergeCell ref="AV3652:AW3653"/>
    <mergeCell ref="AX3652:AY3653"/>
    <mergeCell ref="AZ3652:AZ3653"/>
    <mergeCell ref="F3653:H3653"/>
    <mergeCell ref="X3653:AB3653"/>
    <mergeCell ref="AE3653:AI3653"/>
    <mergeCell ref="AJ3653:AL3653"/>
    <mergeCell ref="AN3653:AO3653"/>
    <mergeCell ref="AP3653:AQ3653"/>
    <mergeCell ref="A3654:A3655"/>
    <mergeCell ref="E3654:E3655"/>
    <mergeCell ref="F3654:H3654"/>
    <mergeCell ref="J3654:J3655"/>
    <mergeCell ref="K3654:L3655"/>
    <mergeCell ref="M3654:N3655"/>
    <mergeCell ref="O3654:P3655"/>
    <mergeCell ref="Q3654:R3655"/>
    <mergeCell ref="S3654:T3655"/>
    <mergeCell ref="U3654:V3655"/>
    <mergeCell ref="W3654:W3655"/>
    <mergeCell ref="X3654:AB3654"/>
    <mergeCell ref="AD3654:AI3654"/>
    <mergeCell ref="AJ3654:AL3654"/>
    <mergeCell ref="AN3654:AO3654"/>
    <mergeCell ref="AP3654:AQ3654"/>
    <mergeCell ref="AR3654:AS3655"/>
    <mergeCell ref="AT3654:AU3655"/>
    <mergeCell ref="AV3654:AW3655"/>
    <mergeCell ref="AX3654:AY3655"/>
    <mergeCell ref="AZ3654:AZ3655"/>
    <mergeCell ref="F3655:H3655"/>
    <mergeCell ref="X3655:AB3655"/>
    <mergeCell ref="AE3655:AI3655"/>
    <mergeCell ref="AJ3655:AL3655"/>
    <mergeCell ref="AN3655:AO3655"/>
    <mergeCell ref="AP3655:AQ3655"/>
    <mergeCell ref="A3656:A3657"/>
    <mergeCell ref="E3656:E3657"/>
    <mergeCell ref="F3656:H3656"/>
    <mergeCell ref="J3656:J3657"/>
    <mergeCell ref="K3656:L3657"/>
    <mergeCell ref="M3656:N3657"/>
    <mergeCell ref="O3656:P3657"/>
    <mergeCell ref="Q3656:R3657"/>
    <mergeCell ref="S3656:T3657"/>
    <mergeCell ref="U3656:V3657"/>
    <mergeCell ref="W3656:W3657"/>
    <mergeCell ref="X3656:AB3656"/>
    <mergeCell ref="AD3656:AI3656"/>
    <mergeCell ref="AJ3656:AL3656"/>
    <mergeCell ref="AN3656:AO3656"/>
    <mergeCell ref="AP3656:AQ3656"/>
    <mergeCell ref="AR3656:AS3657"/>
    <mergeCell ref="AT3656:AU3657"/>
    <mergeCell ref="AV3656:AW3657"/>
    <mergeCell ref="AX3656:AY3657"/>
    <mergeCell ref="AZ3656:AZ3657"/>
    <mergeCell ref="F3657:H3657"/>
    <mergeCell ref="X3657:AB3657"/>
    <mergeCell ref="AE3657:AI3657"/>
    <mergeCell ref="AJ3657:AL3657"/>
    <mergeCell ref="AN3657:AO3657"/>
    <mergeCell ref="AP3657:AQ3657"/>
    <mergeCell ref="A3658:A3659"/>
    <mergeCell ref="E3658:E3659"/>
    <mergeCell ref="F3658:H3658"/>
    <mergeCell ref="J3658:J3659"/>
    <mergeCell ref="K3658:L3659"/>
    <mergeCell ref="M3658:N3659"/>
    <mergeCell ref="O3658:P3659"/>
    <mergeCell ref="Q3658:R3659"/>
    <mergeCell ref="S3658:T3659"/>
    <mergeCell ref="U3658:V3659"/>
    <mergeCell ref="W3658:W3659"/>
    <mergeCell ref="X3658:AB3658"/>
    <mergeCell ref="AD3658:AI3658"/>
    <mergeCell ref="AJ3658:AL3658"/>
    <mergeCell ref="AN3658:AO3658"/>
    <mergeCell ref="AP3658:AQ3658"/>
    <mergeCell ref="AR3658:AS3659"/>
    <mergeCell ref="AT3658:AU3659"/>
    <mergeCell ref="AV3658:AW3659"/>
    <mergeCell ref="AX3658:AY3659"/>
    <mergeCell ref="AZ3658:AZ3659"/>
    <mergeCell ref="F3659:H3659"/>
    <mergeCell ref="X3659:AB3659"/>
    <mergeCell ref="AE3659:AI3659"/>
    <mergeCell ref="AJ3659:AL3659"/>
    <mergeCell ref="AN3659:AO3659"/>
    <mergeCell ref="AP3659:AQ3659"/>
    <mergeCell ref="A3660:A3661"/>
    <mergeCell ref="E3660:E3661"/>
    <mergeCell ref="F3660:H3660"/>
    <mergeCell ref="J3660:J3661"/>
    <mergeCell ref="K3660:L3661"/>
    <mergeCell ref="M3660:N3661"/>
    <mergeCell ref="O3660:P3661"/>
    <mergeCell ref="Q3660:R3661"/>
    <mergeCell ref="S3660:T3661"/>
    <mergeCell ref="U3660:V3661"/>
    <mergeCell ref="W3660:W3661"/>
    <mergeCell ref="X3660:AB3660"/>
    <mergeCell ref="AD3660:AI3660"/>
    <mergeCell ref="AJ3660:AL3660"/>
    <mergeCell ref="AN3660:AO3660"/>
    <mergeCell ref="AP3660:AQ3660"/>
    <mergeCell ref="AR3660:AS3661"/>
    <mergeCell ref="AT3660:AU3661"/>
    <mergeCell ref="AV3660:AW3661"/>
    <mergeCell ref="AX3660:AY3661"/>
    <mergeCell ref="AZ3660:AZ3661"/>
    <mergeCell ref="F3661:H3661"/>
    <mergeCell ref="X3661:AB3661"/>
    <mergeCell ref="AE3661:AI3661"/>
    <mergeCell ref="AJ3661:AL3661"/>
    <mergeCell ref="AN3661:AO3661"/>
    <mergeCell ref="AP3661:AQ3661"/>
    <mergeCell ref="A3662:A3663"/>
    <mergeCell ref="E3662:E3663"/>
    <mergeCell ref="F3662:H3662"/>
    <mergeCell ref="J3662:J3663"/>
    <mergeCell ref="K3662:L3663"/>
    <mergeCell ref="M3662:N3663"/>
    <mergeCell ref="O3662:P3663"/>
    <mergeCell ref="Q3662:R3663"/>
    <mergeCell ref="S3662:T3663"/>
    <mergeCell ref="U3662:V3663"/>
    <mergeCell ref="W3662:W3663"/>
    <mergeCell ref="X3662:AB3662"/>
    <mergeCell ref="AD3662:AI3662"/>
    <mergeCell ref="AJ3662:AL3662"/>
    <mergeCell ref="AN3662:AO3662"/>
    <mergeCell ref="AP3662:AQ3662"/>
    <mergeCell ref="AR3662:AS3663"/>
    <mergeCell ref="AT3662:AU3663"/>
    <mergeCell ref="AV3662:AW3663"/>
    <mergeCell ref="AX3662:AY3663"/>
    <mergeCell ref="AZ3662:AZ3663"/>
    <mergeCell ref="F3663:H3663"/>
    <mergeCell ref="X3663:AB3663"/>
    <mergeCell ref="AE3663:AI3663"/>
    <mergeCell ref="AJ3663:AL3663"/>
    <mergeCell ref="AN3663:AO3663"/>
    <mergeCell ref="AP3663:AQ3663"/>
    <mergeCell ref="A3664:A3665"/>
    <mergeCell ref="E3664:E3665"/>
    <mergeCell ref="F3664:H3664"/>
    <mergeCell ref="J3664:J3665"/>
    <mergeCell ref="K3664:L3665"/>
    <mergeCell ref="M3664:N3665"/>
    <mergeCell ref="O3664:P3665"/>
    <mergeCell ref="Q3664:R3665"/>
    <mergeCell ref="S3664:T3665"/>
    <mergeCell ref="U3664:V3665"/>
    <mergeCell ref="W3664:W3665"/>
    <mergeCell ref="X3664:AB3664"/>
    <mergeCell ref="AD3664:AI3664"/>
    <mergeCell ref="AJ3664:AL3664"/>
    <mergeCell ref="AN3664:AO3664"/>
    <mergeCell ref="AP3664:AQ3664"/>
    <mergeCell ref="AR3664:AS3665"/>
    <mergeCell ref="AT3664:AU3665"/>
    <mergeCell ref="AV3664:AW3665"/>
    <mergeCell ref="AX3664:AY3665"/>
    <mergeCell ref="AZ3664:AZ3665"/>
    <mergeCell ref="F3665:H3665"/>
    <mergeCell ref="X3665:AB3665"/>
    <mergeCell ref="AE3665:AI3665"/>
    <mergeCell ref="AJ3665:AL3665"/>
    <mergeCell ref="AN3665:AO3665"/>
    <mergeCell ref="AP3665:AQ3665"/>
    <mergeCell ref="A3666:A3667"/>
    <mergeCell ref="E3666:E3667"/>
    <mergeCell ref="F3666:H3666"/>
    <mergeCell ref="J3666:J3667"/>
    <mergeCell ref="K3666:L3667"/>
    <mergeCell ref="M3666:N3667"/>
    <mergeCell ref="O3666:P3667"/>
    <mergeCell ref="Q3666:R3667"/>
    <mergeCell ref="S3666:T3667"/>
    <mergeCell ref="U3666:V3667"/>
    <mergeCell ref="W3666:W3667"/>
    <mergeCell ref="X3666:AB3666"/>
    <mergeCell ref="AD3666:AI3666"/>
    <mergeCell ref="AJ3666:AL3666"/>
    <mergeCell ref="AN3666:AO3666"/>
    <mergeCell ref="AP3666:AQ3666"/>
    <mergeCell ref="AR3666:AS3667"/>
    <mergeCell ref="AT3666:AU3667"/>
    <mergeCell ref="AV3666:AW3667"/>
    <mergeCell ref="AX3666:AY3667"/>
    <mergeCell ref="AZ3666:AZ3667"/>
    <mergeCell ref="F3667:H3667"/>
    <mergeCell ref="X3667:AB3667"/>
    <mergeCell ref="AE3667:AI3667"/>
    <mergeCell ref="AJ3667:AL3667"/>
    <mergeCell ref="AN3667:AO3667"/>
    <mergeCell ref="AP3667:AQ3667"/>
    <mergeCell ref="A3668:A3669"/>
    <mergeCell ref="E3668:E3669"/>
    <mergeCell ref="F3668:H3668"/>
    <mergeCell ref="J3668:J3669"/>
    <mergeCell ref="K3668:L3669"/>
    <mergeCell ref="M3668:N3669"/>
    <mergeCell ref="O3668:P3669"/>
    <mergeCell ref="Q3668:R3669"/>
    <mergeCell ref="S3668:T3669"/>
    <mergeCell ref="U3668:V3669"/>
    <mergeCell ref="W3668:W3669"/>
    <mergeCell ref="X3668:AB3668"/>
    <mergeCell ref="AD3668:AI3668"/>
    <mergeCell ref="AJ3668:AL3668"/>
    <mergeCell ref="AN3668:AO3668"/>
    <mergeCell ref="AP3668:AQ3668"/>
    <mergeCell ref="AR3668:AS3669"/>
    <mergeCell ref="AT3668:AU3669"/>
    <mergeCell ref="AV3668:AW3669"/>
    <mergeCell ref="AX3668:AY3669"/>
    <mergeCell ref="AZ3668:AZ3669"/>
    <mergeCell ref="F3669:H3669"/>
    <mergeCell ref="X3669:AB3669"/>
    <mergeCell ref="AE3669:AI3669"/>
    <mergeCell ref="AJ3669:AL3669"/>
    <mergeCell ref="AN3669:AO3669"/>
    <mergeCell ref="AP3669:AQ3669"/>
    <mergeCell ref="A3670:A3671"/>
    <mergeCell ref="E3670:E3671"/>
    <mergeCell ref="F3670:H3670"/>
    <mergeCell ref="J3670:J3671"/>
    <mergeCell ref="K3670:L3671"/>
    <mergeCell ref="M3670:N3671"/>
    <mergeCell ref="O3670:P3671"/>
    <mergeCell ref="Q3670:R3671"/>
    <mergeCell ref="S3670:T3671"/>
    <mergeCell ref="U3670:V3671"/>
    <mergeCell ref="W3670:W3671"/>
    <mergeCell ref="X3670:AB3670"/>
    <mergeCell ref="AD3670:AI3670"/>
    <mergeCell ref="AJ3670:AL3670"/>
    <mergeCell ref="AN3670:AO3670"/>
    <mergeCell ref="AP3670:AQ3670"/>
    <mergeCell ref="AR3670:AS3671"/>
    <mergeCell ref="AT3670:AU3671"/>
    <mergeCell ref="AV3670:AW3671"/>
    <mergeCell ref="AX3670:AY3671"/>
    <mergeCell ref="AZ3670:AZ3671"/>
    <mergeCell ref="F3671:H3671"/>
    <mergeCell ref="X3671:AB3671"/>
    <mergeCell ref="AE3671:AI3671"/>
    <mergeCell ref="AJ3671:AL3671"/>
    <mergeCell ref="AN3671:AO3671"/>
    <mergeCell ref="AP3671:AQ3671"/>
    <mergeCell ref="A3672:A3673"/>
    <mergeCell ref="E3672:E3673"/>
    <mergeCell ref="F3672:H3672"/>
    <mergeCell ref="J3672:J3673"/>
    <mergeCell ref="K3672:L3673"/>
    <mergeCell ref="M3672:N3673"/>
    <mergeCell ref="O3672:P3673"/>
    <mergeCell ref="Q3672:R3673"/>
    <mergeCell ref="S3672:T3673"/>
    <mergeCell ref="U3672:V3673"/>
    <mergeCell ref="W3672:W3673"/>
    <mergeCell ref="X3672:AB3672"/>
    <mergeCell ref="AD3672:AI3672"/>
    <mergeCell ref="AJ3672:AL3672"/>
    <mergeCell ref="AN3672:AO3672"/>
    <mergeCell ref="AP3672:AQ3672"/>
    <mergeCell ref="AR3672:AS3673"/>
    <mergeCell ref="AT3672:AU3673"/>
    <mergeCell ref="AV3672:AW3673"/>
    <mergeCell ref="AX3672:AY3673"/>
    <mergeCell ref="AZ3672:AZ3673"/>
    <mergeCell ref="F3673:H3673"/>
    <mergeCell ref="X3673:AB3673"/>
    <mergeCell ref="AE3673:AI3673"/>
    <mergeCell ref="AJ3673:AL3673"/>
    <mergeCell ref="AN3673:AO3673"/>
    <mergeCell ref="AP3673:AQ3673"/>
    <mergeCell ref="A3674:A3675"/>
    <mergeCell ref="E3674:E3675"/>
    <mergeCell ref="F3674:H3674"/>
    <mergeCell ref="J3674:J3675"/>
    <mergeCell ref="K3674:L3675"/>
    <mergeCell ref="M3674:N3675"/>
    <mergeCell ref="O3674:P3675"/>
    <mergeCell ref="Q3674:R3675"/>
    <mergeCell ref="S3674:T3675"/>
    <mergeCell ref="U3674:V3675"/>
    <mergeCell ref="W3674:W3675"/>
    <mergeCell ref="X3674:AB3674"/>
    <mergeCell ref="AD3674:AI3674"/>
    <mergeCell ref="AJ3674:AL3674"/>
    <mergeCell ref="AN3674:AO3674"/>
    <mergeCell ref="AP3674:AQ3674"/>
    <mergeCell ref="AR3674:AS3675"/>
    <mergeCell ref="AT3674:AU3675"/>
    <mergeCell ref="AV3674:AW3675"/>
    <mergeCell ref="AX3674:AY3675"/>
    <mergeCell ref="AZ3674:AZ3675"/>
    <mergeCell ref="F3675:H3675"/>
    <mergeCell ref="X3675:AB3675"/>
    <mergeCell ref="AE3675:AI3675"/>
    <mergeCell ref="AJ3675:AL3675"/>
    <mergeCell ref="AN3675:AO3675"/>
    <mergeCell ref="AP3675:AQ3675"/>
    <mergeCell ref="A3676:A3677"/>
    <mergeCell ref="E3676:E3677"/>
    <mergeCell ref="F3676:H3676"/>
    <mergeCell ref="J3676:J3677"/>
    <mergeCell ref="K3676:L3677"/>
    <mergeCell ref="M3676:N3677"/>
    <mergeCell ref="O3676:P3677"/>
    <mergeCell ref="Q3676:R3677"/>
    <mergeCell ref="S3676:T3677"/>
    <mergeCell ref="U3676:V3677"/>
    <mergeCell ref="W3676:W3677"/>
    <mergeCell ref="X3676:AB3676"/>
    <mergeCell ref="AD3676:AI3676"/>
    <mergeCell ref="AJ3676:AL3676"/>
    <mergeCell ref="AN3676:AO3676"/>
    <mergeCell ref="AP3676:AQ3676"/>
    <mergeCell ref="AR3676:AS3677"/>
    <mergeCell ref="AT3676:AU3677"/>
    <mergeCell ref="AV3676:AW3677"/>
    <mergeCell ref="AX3676:AY3677"/>
    <mergeCell ref="AZ3676:AZ3677"/>
    <mergeCell ref="F3677:H3677"/>
    <mergeCell ref="X3677:AB3677"/>
    <mergeCell ref="AE3677:AI3677"/>
    <mergeCell ref="AJ3677:AL3677"/>
    <mergeCell ref="AN3677:AO3677"/>
    <mergeCell ref="AP3677:AQ3677"/>
    <mergeCell ref="A3678:A3679"/>
    <mergeCell ref="E3678:E3679"/>
    <mergeCell ref="F3678:H3678"/>
    <mergeCell ref="J3678:J3679"/>
    <mergeCell ref="K3678:L3679"/>
    <mergeCell ref="M3678:N3679"/>
    <mergeCell ref="O3678:P3679"/>
    <mergeCell ref="Q3678:R3679"/>
    <mergeCell ref="S3678:T3679"/>
    <mergeCell ref="U3678:V3679"/>
    <mergeCell ref="W3678:W3679"/>
    <mergeCell ref="X3678:AB3678"/>
    <mergeCell ref="AD3678:AI3678"/>
    <mergeCell ref="AJ3678:AL3678"/>
    <mergeCell ref="AN3678:AO3678"/>
    <mergeCell ref="AP3678:AQ3678"/>
    <mergeCell ref="AR3678:AS3679"/>
    <mergeCell ref="AT3678:AU3679"/>
    <mergeCell ref="AV3678:AW3679"/>
    <mergeCell ref="AX3678:AY3679"/>
    <mergeCell ref="AZ3678:AZ3679"/>
    <mergeCell ref="F3679:H3679"/>
    <mergeCell ref="X3679:AB3679"/>
    <mergeCell ref="AE3679:AI3679"/>
    <mergeCell ref="AJ3679:AL3679"/>
    <mergeCell ref="AN3679:AO3679"/>
    <mergeCell ref="AP3679:AQ3679"/>
    <mergeCell ref="A3680:A3681"/>
    <mergeCell ref="E3680:E3681"/>
    <mergeCell ref="F3680:H3680"/>
    <mergeCell ref="J3680:J3681"/>
    <mergeCell ref="K3680:L3681"/>
    <mergeCell ref="M3680:N3681"/>
    <mergeCell ref="O3680:P3681"/>
    <mergeCell ref="Q3680:R3681"/>
    <mergeCell ref="S3680:T3681"/>
    <mergeCell ref="U3680:V3681"/>
    <mergeCell ref="W3680:W3681"/>
    <mergeCell ref="X3680:AB3680"/>
    <mergeCell ref="AD3680:AI3680"/>
    <mergeCell ref="AJ3680:AL3680"/>
    <mergeCell ref="AN3680:AO3680"/>
    <mergeCell ref="AP3680:AQ3680"/>
    <mergeCell ref="AR3680:AS3681"/>
    <mergeCell ref="AT3680:AU3681"/>
    <mergeCell ref="AV3680:AW3681"/>
    <mergeCell ref="AX3680:AY3681"/>
    <mergeCell ref="AZ3680:AZ3681"/>
    <mergeCell ref="F3681:H3681"/>
    <mergeCell ref="X3681:AB3681"/>
    <mergeCell ref="AE3681:AI3681"/>
    <mergeCell ref="AJ3681:AL3681"/>
    <mergeCell ref="AN3681:AO3681"/>
    <mergeCell ref="AP3681:AQ3681"/>
    <mergeCell ref="E3690:E3691"/>
    <mergeCell ref="F3690:H3690"/>
    <mergeCell ref="J3690:J3691"/>
    <mergeCell ref="K3690:L3691"/>
    <mergeCell ref="M3690:N3691"/>
    <mergeCell ref="O3690:P3691"/>
    <mergeCell ref="Q3690:R3691"/>
    <mergeCell ref="S3690:T3691"/>
    <mergeCell ref="U3690:V3691"/>
    <mergeCell ref="W3690:W3691"/>
    <mergeCell ref="X3690:AB3690"/>
    <mergeCell ref="AD3690:AI3690"/>
    <mergeCell ref="AJ3690:AL3690"/>
    <mergeCell ref="AN3690:AO3690"/>
    <mergeCell ref="AP3690:AQ3690"/>
    <mergeCell ref="AR3690:AS3691"/>
    <mergeCell ref="AT3690:AU3691"/>
    <mergeCell ref="AV3690:AW3691"/>
    <mergeCell ref="AX3690:AY3691"/>
    <mergeCell ref="AZ3690:AZ3691"/>
    <mergeCell ref="F3691:H3691"/>
    <mergeCell ref="X3691:AB3691"/>
    <mergeCell ref="AE3691:AI3691"/>
    <mergeCell ref="AJ3691:AL3691"/>
    <mergeCell ref="AN3691:AO3691"/>
    <mergeCell ref="AP3691:AQ3691"/>
    <mergeCell ref="A3692:A3693"/>
    <mergeCell ref="E3692:E3693"/>
    <mergeCell ref="F3692:H3692"/>
    <mergeCell ref="J3692:J3693"/>
    <mergeCell ref="K3692:L3693"/>
    <mergeCell ref="M3692:N3693"/>
    <mergeCell ref="O3692:P3693"/>
    <mergeCell ref="Q3692:R3693"/>
    <mergeCell ref="S3692:T3693"/>
    <mergeCell ref="U3692:V3693"/>
    <mergeCell ref="W3692:W3693"/>
    <mergeCell ref="X3692:AB3692"/>
    <mergeCell ref="AD3692:AI3692"/>
    <mergeCell ref="AJ3692:AL3692"/>
    <mergeCell ref="AN3692:AO3692"/>
    <mergeCell ref="AP3692:AQ3692"/>
    <mergeCell ref="AR3692:AS3693"/>
    <mergeCell ref="AT3692:AU3693"/>
    <mergeCell ref="AV3692:AW3693"/>
    <mergeCell ref="AX3692:AY3693"/>
    <mergeCell ref="AZ3692:AZ3693"/>
    <mergeCell ref="F3693:H3693"/>
    <mergeCell ref="X3693:AB3693"/>
    <mergeCell ref="AE3693:AI3693"/>
    <mergeCell ref="AJ3693:AL3693"/>
    <mergeCell ref="AN3693:AO3693"/>
    <mergeCell ref="AP3693:AQ3693"/>
    <mergeCell ref="A3696:A3697"/>
    <mergeCell ref="E3696:E3697"/>
    <mergeCell ref="F3696:H3696"/>
    <mergeCell ref="J3696:J3697"/>
    <mergeCell ref="K3696:L3697"/>
    <mergeCell ref="M3696:N3697"/>
    <mergeCell ref="O3696:P3697"/>
    <mergeCell ref="Q3696:R3697"/>
    <mergeCell ref="S3696:T3697"/>
    <mergeCell ref="U3696:V3697"/>
    <mergeCell ref="W3696:W3697"/>
    <mergeCell ref="X3696:AB3696"/>
    <mergeCell ref="AD3696:AI3696"/>
    <mergeCell ref="AJ3696:AL3696"/>
    <mergeCell ref="AN3696:AO3696"/>
    <mergeCell ref="AP3696:AQ3696"/>
    <mergeCell ref="AR3696:AS3697"/>
    <mergeCell ref="AT3696:AU3697"/>
    <mergeCell ref="AV3696:AW3697"/>
    <mergeCell ref="AX3696:AY3697"/>
    <mergeCell ref="AT3694:AU3695"/>
    <mergeCell ref="AV3694:AW3695"/>
    <mergeCell ref="AX3694:AY3695"/>
    <mergeCell ref="AZ3694:AZ3695"/>
    <mergeCell ref="F3695:H3695"/>
    <mergeCell ref="X3695:AB3695"/>
    <mergeCell ref="AE3695:AI3695"/>
    <mergeCell ref="AJ3695:AL3695"/>
    <mergeCell ref="AN3695:AO3695"/>
    <mergeCell ref="AP3695:AQ3695"/>
    <mergeCell ref="W3698:W3699"/>
    <mergeCell ref="X3698:AB3698"/>
    <mergeCell ref="AD3698:AI3698"/>
    <mergeCell ref="AJ3698:AL3698"/>
    <mergeCell ref="AN3698:AO3698"/>
    <mergeCell ref="AP3698:AQ3698"/>
    <mergeCell ref="AR3698:AS3699"/>
    <mergeCell ref="AT3698:AU3699"/>
    <mergeCell ref="AV3698:AW3699"/>
    <mergeCell ref="AX3698:AY3699"/>
    <mergeCell ref="AZ3698:AZ3699"/>
    <mergeCell ref="F3699:H3699"/>
    <mergeCell ref="X3699:AB3699"/>
    <mergeCell ref="AE3699:AI3699"/>
    <mergeCell ref="AJ3699:AL3699"/>
    <mergeCell ref="AN3699:AO3699"/>
    <mergeCell ref="AP3699:AQ3699"/>
    <mergeCell ref="A3706:A3707"/>
    <mergeCell ref="E3706:E3707"/>
    <mergeCell ref="F3706:H3706"/>
    <mergeCell ref="J3706:J3707"/>
    <mergeCell ref="K3706:L3707"/>
    <mergeCell ref="M3706:N3707"/>
    <mergeCell ref="O3706:P3707"/>
    <mergeCell ref="Q3706:R3707"/>
    <mergeCell ref="S3706:T3707"/>
    <mergeCell ref="U3706:V3707"/>
    <mergeCell ref="W3706:W3707"/>
    <mergeCell ref="X3706:AB3706"/>
    <mergeCell ref="AD3706:AI3706"/>
    <mergeCell ref="AJ3706:AL3706"/>
    <mergeCell ref="AN3706:AO3706"/>
    <mergeCell ref="AP3706:AQ3706"/>
    <mergeCell ref="AR3706:AS3707"/>
    <mergeCell ref="AT3706:AU3707"/>
    <mergeCell ref="AV3706:AW3707"/>
    <mergeCell ref="AX3706:AY3707"/>
    <mergeCell ref="AZ3706:AZ3707"/>
    <mergeCell ref="F3707:H3707"/>
    <mergeCell ref="X3707:AB3707"/>
    <mergeCell ref="AE3707:AI3707"/>
    <mergeCell ref="AJ3707:AL3707"/>
    <mergeCell ref="AN3707:AO3707"/>
    <mergeCell ref="AP3707:AQ3707"/>
    <mergeCell ref="W3702:W3703"/>
    <mergeCell ref="X3702:AB3702"/>
    <mergeCell ref="AD3702:AI3702"/>
    <mergeCell ref="AJ3702:AL3702"/>
    <mergeCell ref="AN3702:AO3702"/>
    <mergeCell ref="AP3702:AQ3702"/>
    <mergeCell ref="AR3702:AS3703"/>
    <mergeCell ref="AT3702:AU3703"/>
    <mergeCell ref="AV3702:AW3703"/>
    <mergeCell ref="AX3702:AY3703"/>
    <mergeCell ref="AZ3702:AZ3703"/>
    <mergeCell ref="F3703:H3703"/>
    <mergeCell ref="X3703:AB3703"/>
    <mergeCell ref="AE3703:AI3703"/>
    <mergeCell ref="AJ3703:AL3703"/>
    <mergeCell ref="AN3703:AO3703"/>
    <mergeCell ref="AP3703:AQ3703"/>
    <mergeCell ref="A3704:A3705"/>
    <mergeCell ref="E3704:E3705"/>
    <mergeCell ref="F3704:H3704"/>
    <mergeCell ref="J3704:J3705"/>
    <mergeCell ref="K3704:L3705"/>
    <mergeCell ref="M3704:N3705"/>
    <mergeCell ref="O3704:P3705"/>
    <mergeCell ref="Q3704:R3705"/>
    <mergeCell ref="S3704:T3705"/>
    <mergeCell ref="U3704:V3705"/>
    <mergeCell ref="W3704:W3705"/>
    <mergeCell ref="X3704:AB3704"/>
    <mergeCell ref="AD3704:AI3704"/>
    <mergeCell ref="AJ3704:AL3704"/>
    <mergeCell ref="AN3704:AO3704"/>
    <mergeCell ref="AP3704:AQ3704"/>
    <mergeCell ref="AR3704:AS3705"/>
    <mergeCell ref="AT3704:AU3705"/>
    <mergeCell ref="AV3704:AW3705"/>
    <mergeCell ref="AX3704:AY3705"/>
    <mergeCell ref="A3686:A3687"/>
    <mergeCell ref="E3686:E3687"/>
    <mergeCell ref="F3686:H3686"/>
    <mergeCell ref="J3686:J3687"/>
    <mergeCell ref="K3686:L3687"/>
    <mergeCell ref="M3686:N3687"/>
    <mergeCell ref="O3686:P3687"/>
    <mergeCell ref="Q3686:R3687"/>
    <mergeCell ref="S3686:T3687"/>
    <mergeCell ref="U3686:V3687"/>
    <mergeCell ref="W3686:W3687"/>
    <mergeCell ref="X3686:AB3686"/>
    <mergeCell ref="AD3686:AI3686"/>
    <mergeCell ref="AJ3686:AL3686"/>
    <mergeCell ref="AN3686:AO3686"/>
    <mergeCell ref="AP3686:AQ3686"/>
    <mergeCell ref="AR3686:AS3687"/>
    <mergeCell ref="AT3686:AU3687"/>
    <mergeCell ref="AV3686:AW3687"/>
    <mergeCell ref="AX3686:AY3687"/>
    <mergeCell ref="AZ3686:AZ3687"/>
    <mergeCell ref="F3687:H3687"/>
    <mergeCell ref="X3687:AB3687"/>
    <mergeCell ref="AE3687:AI3687"/>
    <mergeCell ref="AJ3687:AL3687"/>
    <mergeCell ref="AN3687:AO3687"/>
    <mergeCell ref="AP3687:AQ3687"/>
    <mergeCell ref="A3708:A3709"/>
    <mergeCell ref="E3708:E3709"/>
    <mergeCell ref="F3708:H3708"/>
    <mergeCell ref="J3708:J3709"/>
    <mergeCell ref="K3708:L3709"/>
    <mergeCell ref="M3708:N3709"/>
    <mergeCell ref="O3708:P3709"/>
    <mergeCell ref="Q3708:R3709"/>
    <mergeCell ref="S3708:T3709"/>
    <mergeCell ref="U3708:V3709"/>
    <mergeCell ref="W3708:W3709"/>
    <mergeCell ref="X3708:AB3708"/>
    <mergeCell ref="AD3708:AI3708"/>
    <mergeCell ref="AJ3708:AL3708"/>
    <mergeCell ref="AN3708:AO3708"/>
    <mergeCell ref="AP3708:AQ3708"/>
    <mergeCell ref="AR3708:AS3709"/>
    <mergeCell ref="AT3708:AU3709"/>
    <mergeCell ref="AV3708:AW3709"/>
    <mergeCell ref="AX3708:AY3709"/>
    <mergeCell ref="AZ3708:AZ3709"/>
    <mergeCell ref="F3709:H3709"/>
    <mergeCell ref="X3709:AB3709"/>
    <mergeCell ref="AE3709:AI3709"/>
    <mergeCell ref="AJ3709:AL3709"/>
    <mergeCell ref="AN3709:AO3709"/>
    <mergeCell ref="AP3709:AQ3709"/>
    <mergeCell ref="A3698:A3699"/>
    <mergeCell ref="E3698:E3699"/>
    <mergeCell ref="F3698:H3698"/>
    <mergeCell ref="J3698:J3699"/>
    <mergeCell ref="K3698:L3699"/>
    <mergeCell ref="M3698:N3699"/>
    <mergeCell ref="O3698:P3699"/>
    <mergeCell ref="Q3698:R3699"/>
    <mergeCell ref="S3698:T3699"/>
    <mergeCell ref="U3698:V3699"/>
    <mergeCell ref="A3772:A3773"/>
    <mergeCell ref="E3772:E3773"/>
    <mergeCell ref="F3772:H3772"/>
    <mergeCell ref="J3772:J3773"/>
    <mergeCell ref="K3772:L3773"/>
    <mergeCell ref="M3772:N3773"/>
    <mergeCell ref="O3772:P3773"/>
    <mergeCell ref="Q3772:R3773"/>
    <mergeCell ref="S3772:T3773"/>
    <mergeCell ref="U3772:V3773"/>
    <mergeCell ref="W3772:W3773"/>
    <mergeCell ref="X3772:AB3772"/>
    <mergeCell ref="AD3772:AI3772"/>
    <mergeCell ref="AJ3772:AL3772"/>
    <mergeCell ref="AN3772:AO3772"/>
    <mergeCell ref="AP3772:AQ3772"/>
    <mergeCell ref="AR3772:AS3773"/>
    <mergeCell ref="AT3772:AU3773"/>
    <mergeCell ref="AV3772:AW3773"/>
    <mergeCell ref="AX3772:AY3773"/>
    <mergeCell ref="AZ3772:AZ3773"/>
    <mergeCell ref="F3773:H3773"/>
    <mergeCell ref="X3773:AB3773"/>
    <mergeCell ref="AE3773:AI3773"/>
    <mergeCell ref="AJ3773:AL3773"/>
    <mergeCell ref="AN3773:AO3773"/>
    <mergeCell ref="AP3773:AQ3773"/>
    <mergeCell ref="A3812:A3813"/>
    <mergeCell ref="E3812:E3813"/>
    <mergeCell ref="F3812:H3812"/>
    <mergeCell ref="J3812:J3813"/>
    <mergeCell ref="K3812:L3813"/>
    <mergeCell ref="M3812:N3813"/>
    <mergeCell ref="O3812:P3813"/>
    <mergeCell ref="Q3812:R3813"/>
    <mergeCell ref="S3812:T3813"/>
    <mergeCell ref="U3812:V3813"/>
    <mergeCell ref="W3812:W3813"/>
    <mergeCell ref="X3812:AB3812"/>
    <mergeCell ref="AD3812:AI3812"/>
    <mergeCell ref="AJ3812:AL3812"/>
    <mergeCell ref="AN3812:AO3812"/>
    <mergeCell ref="AP3812:AQ3812"/>
    <mergeCell ref="AR3812:AS3813"/>
    <mergeCell ref="AT3812:AU3813"/>
    <mergeCell ref="AV3812:AW3813"/>
    <mergeCell ref="AX3812:AY3813"/>
    <mergeCell ref="AZ3812:AZ3813"/>
    <mergeCell ref="F3813:H3813"/>
    <mergeCell ref="X3813:AB3813"/>
    <mergeCell ref="AE3813:AI3813"/>
    <mergeCell ref="AJ3813:AL3813"/>
    <mergeCell ref="AN3813:AO3813"/>
    <mergeCell ref="AP3813:AQ3813"/>
    <mergeCell ref="A3774:A3775"/>
    <mergeCell ref="E3774:E3775"/>
    <mergeCell ref="F3774:H3774"/>
    <mergeCell ref="J3774:J3775"/>
    <mergeCell ref="K3774:L3775"/>
    <mergeCell ref="M3774:N3775"/>
    <mergeCell ref="O3774:P3775"/>
    <mergeCell ref="Q3774:R3775"/>
    <mergeCell ref="S3774:T3775"/>
    <mergeCell ref="U3774:V3775"/>
    <mergeCell ref="A3814:A3815"/>
    <mergeCell ref="E3814:E3815"/>
    <mergeCell ref="F3814:H3814"/>
    <mergeCell ref="J3814:J3815"/>
    <mergeCell ref="K3814:L3815"/>
    <mergeCell ref="M3814:N3815"/>
    <mergeCell ref="O3814:P3815"/>
    <mergeCell ref="Q3814:R3815"/>
    <mergeCell ref="S3814:T3815"/>
    <mergeCell ref="U3814:V3815"/>
    <mergeCell ref="W3814:W3815"/>
    <mergeCell ref="X3814:AB3814"/>
    <mergeCell ref="AD3814:AI3814"/>
    <mergeCell ref="AJ3814:AL3814"/>
    <mergeCell ref="AN3814:AO3814"/>
    <mergeCell ref="AP3814:AQ3814"/>
    <mergeCell ref="AR3814:AS3815"/>
    <mergeCell ref="AT3814:AU3815"/>
    <mergeCell ref="AV3814:AW3815"/>
    <mergeCell ref="AX3814:AY3815"/>
    <mergeCell ref="AZ3814:AZ3815"/>
    <mergeCell ref="F3815:H3815"/>
    <mergeCell ref="X3815:AB3815"/>
    <mergeCell ref="AE3815:AI3815"/>
    <mergeCell ref="AJ3815:AL3815"/>
    <mergeCell ref="AN3815:AO3815"/>
    <mergeCell ref="AP3815:AQ3815"/>
    <mergeCell ref="A3816:A3817"/>
    <mergeCell ref="E3816:E3817"/>
    <mergeCell ref="F3816:H3816"/>
    <mergeCell ref="J3816:J3817"/>
    <mergeCell ref="K3816:L3817"/>
    <mergeCell ref="M3816:N3817"/>
    <mergeCell ref="O3816:P3817"/>
    <mergeCell ref="Q3816:R3817"/>
    <mergeCell ref="S3816:T3817"/>
    <mergeCell ref="U3816:V3817"/>
    <mergeCell ref="W3816:W3817"/>
    <mergeCell ref="X3816:AB3816"/>
    <mergeCell ref="AD3816:AI3816"/>
    <mergeCell ref="AJ3816:AL3816"/>
    <mergeCell ref="AN3816:AO3816"/>
    <mergeCell ref="AP3816:AQ3816"/>
    <mergeCell ref="AR3816:AS3817"/>
    <mergeCell ref="AT3816:AU3817"/>
    <mergeCell ref="AV3816:AW3817"/>
    <mergeCell ref="AX3816:AY3817"/>
    <mergeCell ref="AZ3816:AZ3817"/>
    <mergeCell ref="F3817:H3817"/>
    <mergeCell ref="X3817:AB3817"/>
    <mergeCell ref="AE3817:AI3817"/>
    <mergeCell ref="AJ3817:AL3817"/>
    <mergeCell ref="AN3817:AO3817"/>
    <mergeCell ref="AP3817:AQ3817"/>
    <mergeCell ref="A3818:A3819"/>
    <mergeCell ref="E3818:E3819"/>
    <mergeCell ref="F3818:H3818"/>
    <mergeCell ref="J3818:J3819"/>
    <mergeCell ref="K3818:L3819"/>
    <mergeCell ref="M3818:N3819"/>
    <mergeCell ref="O3818:P3819"/>
    <mergeCell ref="Q3818:R3819"/>
    <mergeCell ref="S3818:T3819"/>
    <mergeCell ref="U3818:V3819"/>
    <mergeCell ref="W3818:W3819"/>
    <mergeCell ref="X3818:AB3818"/>
    <mergeCell ref="AD3818:AI3818"/>
    <mergeCell ref="AJ3818:AL3818"/>
    <mergeCell ref="AN3818:AO3818"/>
    <mergeCell ref="AP3818:AQ3818"/>
    <mergeCell ref="AR3818:AS3819"/>
    <mergeCell ref="AT3818:AU3819"/>
    <mergeCell ref="AV3818:AW3819"/>
    <mergeCell ref="AX3818:AY3819"/>
    <mergeCell ref="AZ3818:AZ3819"/>
    <mergeCell ref="F3819:H3819"/>
    <mergeCell ref="X3819:AB3819"/>
    <mergeCell ref="AE3819:AI3819"/>
    <mergeCell ref="AJ3819:AL3819"/>
    <mergeCell ref="AN3819:AO3819"/>
    <mergeCell ref="AP3819:AQ3819"/>
    <mergeCell ref="A3820:A3821"/>
    <mergeCell ref="E3820:E3821"/>
    <mergeCell ref="F3820:H3820"/>
    <mergeCell ref="J3820:J3821"/>
    <mergeCell ref="K3820:L3821"/>
    <mergeCell ref="M3820:N3821"/>
    <mergeCell ref="O3820:P3821"/>
    <mergeCell ref="Q3820:R3821"/>
    <mergeCell ref="S3820:T3821"/>
    <mergeCell ref="U3820:V3821"/>
    <mergeCell ref="W3820:W3821"/>
    <mergeCell ref="X3820:AB3820"/>
    <mergeCell ref="AD3820:AI3820"/>
    <mergeCell ref="AJ3820:AL3820"/>
    <mergeCell ref="AN3820:AO3820"/>
    <mergeCell ref="AP3820:AQ3820"/>
    <mergeCell ref="AR3820:AS3821"/>
    <mergeCell ref="AT3820:AU3821"/>
    <mergeCell ref="AV3820:AW3821"/>
    <mergeCell ref="AX3820:AY3821"/>
    <mergeCell ref="AZ3820:AZ3821"/>
    <mergeCell ref="F3821:H3821"/>
    <mergeCell ref="X3821:AB3821"/>
    <mergeCell ref="AE3821:AI3821"/>
    <mergeCell ref="AJ3821:AL3821"/>
    <mergeCell ref="AN3821:AO3821"/>
    <mergeCell ref="AP3821:AQ3821"/>
    <mergeCell ref="A3822:A3823"/>
    <mergeCell ref="E3822:E3823"/>
    <mergeCell ref="F3822:H3822"/>
    <mergeCell ref="J3822:J3823"/>
    <mergeCell ref="K3822:L3823"/>
    <mergeCell ref="M3822:N3823"/>
    <mergeCell ref="O3822:P3823"/>
    <mergeCell ref="Q3822:R3823"/>
    <mergeCell ref="S3822:T3823"/>
    <mergeCell ref="U3822:V3823"/>
    <mergeCell ref="W3822:W3823"/>
    <mergeCell ref="X3822:AB3822"/>
    <mergeCell ref="AD3822:AI3822"/>
    <mergeCell ref="AJ3822:AL3822"/>
    <mergeCell ref="AN3822:AO3822"/>
    <mergeCell ref="AP3822:AQ3822"/>
    <mergeCell ref="AR3822:AS3823"/>
    <mergeCell ref="AT3822:AU3823"/>
    <mergeCell ref="AV3822:AW3823"/>
    <mergeCell ref="AX3822:AY3823"/>
    <mergeCell ref="AZ3822:AZ3823"/>
    <mergeCell ref="F3823:H3823"/>
    <mergeCell ref="X3823:AB3823"/>
    <mergeCell ref="AE3823:AI3823"/>
    <mergeCell ref="AJ3823:AL3823"/>
    <mergeCell ref="AN3823:AO3823"/>
    <mergeCell ref="AP3823:AQ3823"/>
    <mergeCell ref="A3824:A3825"/>
    <mergeCell ref="E3824:E3825"/>
    <mergeCell ref="F3824:H3824"/>
    <mergeCell ref="J3824:J3825"/>
    <mergeCell ref="K3824:L3825"/>
    <mergeCell ref="M3824:N3825"/>
    <mergeCell ref="O3824:P3825"/>
    <mergeCell ref="Q3824:R3825"/>
    <mergeCell ref="S3824:T3825"/>
    <mergeCell ref="U3824:V3825"/>
    <mergeCell ref="W3824:W3825"/>
    <mergeCell ref="X3824:AB3824"/>
    <mergeCell ref="AD3824:AI3824"/>
    <mergeCell ref="AJ3824:AL3824"/>
    <mergeCell ref="AN3824:AO3824"/>
    <mergeCell ref="AP3824:AQ3824"/>
    <mergeCell ref="AR3824:AS3825"/>
    <mergeCell ref="AT3824:AU3825"/>
    <mergeCell ref="AV3824:AW3825"/>
    <mergeCell ref="AX3824:AY3825"/>
    <mergeCell ref="AZ3824:AZ3825"/>
    <mergeCell ref="F3825:H3825"/>
    <mergeCell ref="X3825:AB3825"/>
    <mergeCell ref="AE3825:AI3825"/>
    <mergeCell ref="AJ3825:AL3825"/>
    <mergeCell ref="AN3825:AO3825"/>
    <mergeCell ref="AP3825:AQ3825"/>
    <mergeCell ref="A3826:A3827"/>
    <mergeCell ref="E3826:E3827"/>
    <mergeCell ref="F3826:H3826"/>
    <mergeCell ref="J3826:J3827"/>
    <mergeCell ref="K3826:L3827"/>
    <mergeCell ref="M3826:N3827"/>
    <mergeCell ref="O3826:P3827"/>
    <mergeCell ref="Q3826:R3827"/>
    <mergeCell ref="S3826:T3827"/>
    <mergeCell ref="U3826:V3827"/>
    <mergeCell ref="W3826:W3827"/>
    <mergeCell ref="X3826:AB3826"/>
    <mergeCell ref="AD3826:AI3826"/>
    <mergeCell ref="AJ3826:AL3826"/>
    <mergeCell ref="AN3826:AO3826"/>
    <mergeCell ref="AP3826:AQ3826"/>
    <mergeCell ref="AR3826:AS3827"/>
    <mergeCell ref="AT3826:AU3827"/>
    <mergeCell ref="AV3826:AW3827"/>
    <mergeCell ref="AX3826:AY3827"/>
    <mergeCell ref="AZ3826:AZ3827"/>
    <mergeCell ref="F3827:H3827"/>
    <mergeCell ref="X3827:AB3827"/>
    <mergeCell ref="AE3827:AI3827"/>
    <mergeCell ref="AJ3827:AL3827"/>
    <mergeCell ref="AN3827:AO3827"/>
    <mergeCell ref="AP3827:AQ3827"/>
    <mergeCell ref="A3828:A3829"/>
    <mergeCell ref="E3828:E3829"/>
    <mergeCell ref="F3828:H3828"/>
    <mergeCell ref="J3828:J3829"/>
    <mergeCell ref="K3828:L3829"/>
    <mergeCell ref="M3828:N3829"/>
    <mergeCell ref="O3828:P3829"/>
    <mergeCell ref="Q3828:R3829"/>
    <mergeCell ref="S3828:T3829"/>
    <mergeCell ref="U3828:V3829"/>
    <mergeCell ref="W3828:W3829"/>
    <mergeCell ref="X3828:AB3828"/>
    <mergeCell ref="AD3828:AI3828"/>
    <mergeCell ref="AJ3828:AL3828"/>
    <mergeCell ref="AN3828:AO3828"/>
    <mergeCell ref="AP3828:AQ3828"/>
    <mergeCell ref="AR3828:AS3829"/>
    <mergeCell ref="AT3828:AU3829"/>
    <mergeCell ref="AV3828:AW3829"/>
    <mergeCell ref="AX3828:AY3829"/>
    <mergeCell ref="AZ3828:AZ3829"/>
    <mergeCell ref="F3829:H3829"/>
    <mergeCell ref="X3829:AB3829"/>
    <mergeCell ref="AE3829:AI3829"/>
    <mergeCell ref="AJ3829:AL3829"/>
    <mergeCell ref="AN3829:AO3829"/>
    <mergeCell ref="AP3829:AQ3829"/>
    <mergeCell ref="A3830:A3831"/>
    <mergeCell ref="E3830:E3831"/>
    <mergeCell ref="F3830:H3830"/>
    <mergeCell ref="J3830:J3831"/>
    <mergeCell ref="K3830:L3831"/>
    <mergeCell ref="M3830:N3831"/>
    <mergeCell ref="O3830:P3831"/>
    <mergeCell ref="Q3830:R3831"/>
    <mergeCell ref="S3830:T3831"/>
    <mergeCell ref="U3830:V3831"/>
    <mergeCell ref="W3830:W3831"/>
    <mergeCell ref="X3830:AB3830"/>
    <mergeCell ref="AD3830:AI3830"/>
    <mergeCell ref="AJ3830:AL3830"/>
    <mergeCell ref="AN3830:AO3830"/>
    <mergeCell ref="AP3830:AQ3830"/>
    <mergeCell ref="AR3830:AS3831"/>
    <mergeCell ref="AT3830:AU3831"/>
    <mergeCell ref="AV3830:AW3831"/>
    <mergeCell ref="AX3830:AY3831"/>
    <mergeCell ref="AZ3830:AZ3831"/>
    <mergeCell ref="F3831:H3831"/>
    <mergeCell ref="X3831:AB3831"/>
    <mergeCell ref="AE3831:AI3831"/>
    <mergeCell ref="AJ3831:AL3831"/>
    <mergeCell ref="AN3831:AO3831"/>
    <mergeCell ref="AP3831:AQ3831"/>
    <mergeCell ref="A3832:A3833"/>
    <mergeCell ref="E3832:E3833"/>
    <mergeCell ref="F3832:H3832"/>
    <mergeCell ref="J3832:J3833"/>
    <mergeCell ref="K3832:L3833"/>
    <mergeCell ref="M3832:N3833"/>
    <mergeCell ref="O3832:P3833"/>
    <mergeCell ref="Q3832:R3833"/>
    <mergeCell ref="S3832:T3833"/>
    <mergeCell ref="U3832:V3833"/>
    <mergeCell ref="W3832:W3833"/>
    <mergeCell ref="X3832:AB3832"/>
    <mergeCell ref="AD3832:AI3832"/>
    <mergeCell ref="AJ3832:AL3832"/>
    <mergeCell ref="AN3832:AO3832"/>
    <mergeCell ref="AP3832:AQ3832"/>
    <mergeCell ref="AR3832:AS3833"/>
    <mergeCell ref="AT3832:AU3833"/>
    <mergeCell ref="AV3832:AW3833"/>
    <mergeCell ref="AX3832:AY3833"/>
    <mergeCell ref="AZ3832:AZ3833"/>
    <mergeCell ref="F3833:H3833"/>
    <mergeCell ref="X3833:AB3833"/>
    <mergeCell ref="AE3833:AI3833"/>
    <mergeCell ref="AJ3833:AL3833"/>
    <mergeCell ref="AN3833:AO3833"/>
    <mergeCell ref="AP3833:AQ3833"/>
    <mergeCell ref="A3834:A3835"/>
    <mergeCell ref="E3834:E3835"/>
    <mergeCell ref="F3834:H3834"/>
    <mergeCell ref="J3834:J3835"/>
    <mergeCell ref="K3834:L3835"/>
    <mergeCell ref="M3834:N3835"/>
    <mergeCell ref="O3834:P3835"/>
    <mergeCell ref="Q3834:R3835"/>
    <mergeCell ref="S3834:T3835"/>
    <mergeCell ref="U3834:V3835"/>
    <mergeCell ref="W3834:W3835"/>
    <mergeCell ref="X3834:AB3834"/>
    <mergeCell ref="AD3834:AI3834"/>
    <mergeCell ref="AJ3834:AL3834"/>
    <mergeCell ref="AN3834:AO3834"/>
    <mergeCell ref="AP3834:AQ3834"/>
    <mergeCell ref="AR3834:AS3835"/>
    <mergeCell ref="AT3834:AU3835"/>
    <mergeCell ref="AV3834:AW3835"/>
    <mergeCell ref="AX3834:AY3835"/>
    <mergeCell ref="AZ3834:AZ3835"/>
    <mergeCell ref="F3835:H3835"/>
    <mergeCell ref="X3835:AB3835"/>
    <mergeCell ref="AE3835:AI3835"/>
    <mergeCell ref="AJ3835:AL3835"/>
    <mergeCell ref="AN3835:AO3835"/>
    <mergeCell ref="AP3835:AQ3835"/>
    <mergeCell ref="A3836:A3837"/>
    <mergeCell ref="E3836:E3837"/>
    <mergeCell ref="F3836:H3836"/>
    <mergeCell ref="J3836:J3837"/>
    <mergeCell ref="K3836:L3837"/>
    <mergeCell ref="M3836:N3837"/>
    <mergeCell ref="O3836:P3837"/>
    <mergeCell ref="Q3836:R3837"/>
    <mergeCell ref="S3836:T3837"/>
    <mergeCell ref="U3836:V3837"/>
    <mergeCell ref="W3836:W3837"/>
    <mergeCell ref="X3836:AB3836"/>
    <mergeCell ref="AD3836:AI3836"/>
    <mergeCell ref="AJ3836:AL3836"/>
    <mergeCell ref="AN3836:AO3836"/>
    <mergeCell ref="AP3836:AQ3836"/>
    <mergeCell ref="AR3836:AS3837"/>
    <mergeCell ref="AT3836:AU3837"/>
    <mergeCell ref="AV3836:AW3837"/>
    <mergeCell ref="AX3836:AY3837"/>
    <mergeCell ref="AZ3836:AZ3837"/>
    <mergeCell ref="F3837:H3837"/>
    <mergeCell ref="X3837:AB3837"/>
    <mergeCell ref="AE3837:AI3837"/>
    <mergeCell ref="AJ3837:AL3837"/>
    <mergeCell ref="AN3837:AO3837"/>
    <mergeCell ref="AP3837:AQ3837"/>
    <mergeCell ref="A3838:A3839"/>
    <mergeCell ref="E3838:E3839"/>
    <mergeCell ref="F3838:H3838"/>
    <mergeCell ref="J3838:J3839"/>
    <mergeCell ref="K3838:L3839"/>
    <mergeCell ref="M3838:N3839"/>
    <mergeCell ref="O3838:P3839"/>
    <mergeCell ref="Q3838:R3839"/>
    <mergeCell ref="S3838:T3839"/>
    <mergeCell ref="U3838:V3839"/>
    <mergeCell ref="W3838:W3839"/>
    <mergeCell ref="X3838:AB3838"/>
    <mergeCell ref="AD3838:AI3838"/>
    <mergeCell ref="AJ3838:AL3838"/>
    <mergeCell ref="AN3838:AO3838"/>
    <mergeCell ref="AP3838:AQ3838"/>
    <mergeCell ref="AR3838:AS3839"/>
    <mergeCell ref="AT3838:AU3839"/>
    <mergeCell ref="AV3838:AW3839"/>
    <mergeCell ref="AX3838:AY3839"/>
    <mergeCell ref="AZ3838:AZ3839"/>
    <mergeCell ref="F3839:H3839"/>
    <mergeCell ref="X3839:AB3839"/>
    <mergeCell ref="AE3839:AI3839"/>
    <mergeCell ref="AJ3839:AL3839"/>
    <mergeCell ref="AN3839:AO3839"/>
    <mergeCell ref="AP3839:AQ3839"/>
    <mergeCell ref="A3840:A3841"/>
    <mergeCell ref="E3840:E3841"/>
    <mergeCell ref="F3840:H3840"/>
    <mergeCell ref="J3840:J3841"/>
    <mergeCell ref="K3840:L3841"/>
    <mergeCell ref="M3840:N3841"/>
    <mergeCell ref="O3840:P3841"/>
    <mergeCell ref="Q3840:R3841"/>
    <mergeCell ref="S3840:T3841"/>
    <mergeCell ref="U3840:V3841"/>
    <mergeCell ref="W3840:W3841"/>
    <mergeCell ref="X3840:AB3840"/>
    <mergeCell ref="AD3840:AI3840"/>
    <mergeCell ref="AJ3840:AL3840"/>
    <mergeCell ref="AN3840:AO3840"/>
    <mergeCell ref="AP3840:AQ3840"/>
    <mergeCell ref="AR3840:AS3841"/>
    <mergeCell ref="AT3840:AU3841"/>
    <mergeCell ref="AV3840:AW3841"/>
    <mergeCell ref="AX3840:AY3841"/>
    <mergeCell ref="AZ3840:AZ3841"/>
    <mergeCell ref="F3841:H3841"/>
    <mergeCell ref="X3841:AB3841"/>
    <mergeCell ref="AE3841:AI3841"/>
    <mergeCell ref="AJ3841:AL3841"/>
    <mergeCell ref="AN3841:AO3841"/>
    <mergeCell ref="AP3841:AQ3841"/>
    <mergeCell ref="A3842:A3843"/>
    <mergeCell ref="E3842:E3843"/>
    <mergeCell ref="F3842:H3842"/>
    <mergeCell ref="J3842:J3843"/>
    <mergeCell ref="K3842:L3843"/>
    <mergeCell ref="M3842:N3843"/>
    <mergeCell ref="O3842:P3843"/>
    <mergeCell ref="Q3842:R3843"/>
    <mergeCell ref="S3842:T3843"/>
    <mergeCell ref="U3842:V3843"/>
    <mergeCell ref="W3842:W3843"/>
    <mergeCell ref="X3842:AB3842"/>
    <mergeCell ref="AD3842:AI3842"/>
    <mergeCell ref="AJ3842:AL3842"/>
    <mergeCell ref="AN3842:AO3842"/>
    <mergeCell ref="AP3842:AQ3842"/>
    <mergeCell ref="AR3842:AS3843"/>
    <mergeCell ref="AT3842:AU3843"/>
    <mergeCell ref="AV3842:AW3843"/>
    <mergeCell ref="AX3842:AY3843"/>
    <mergeCell ref="AZ3842:AZ3843"/>
    <mergeCell ref="F3843:H3843"/>
    <mergeCell ref="X3843:AB3843"/>
    <mergeCell ref="AE3843:AI3843"/>
    <mergeCell ref="AJ3843:AL3843"/>
    <mergeCell ref="AN3843:AO3843"/>
    <mergeCell ref="AP3843:AQ3843"/>
    <mergeCell ref="A3844:A3845"/>
    <mergeCell ref="E3844:E3845"/>
    <mergeCell ref="F3844:H3844"/>
    <mergeCell ref="J3844:J3845"/>
    <mergeCell ref="K3844:L3845"/>
    <mergeCell ref="M3844:N3845"/>
    <mergeCell ref="O3844:P3845"/>
    <mergeCell ref="Q3844:R3845"/>
    <mergeCell ref="S3844:T3845"/>
    <mergeCell ref="U3844:V3845"/>
    <mergeCell ref="W3844:W3845"/>
    <mergeCell ref="X3844:AB3844"/>
    <mergeCell ref="AD3844:AI3844"/>
    <mergeCell ref="AJ3844:AL3844"/>
    <mergeCell ref="AN3844:AO3844"/>
    <mergeCell ref="AP3844:AQ3844"/>
    <mergeCell ref="AR3844:AS3845"/>
    <mergeCell ref="AT3844:AU3845"/>
    <mergeCell ref="AV3844:AW3845"/>
    <mergeCell ref="AX3844:AY3845"/>
    <mergeCell ref="AZ3844:AZ3845"/>
    <mergeCell ref="F3845:H3845"/>
    <mergeCell ref="X3845:AB3845"/>
    <mergeCell ref="AE3845:AI3845"/>
    <mergeCell ref="AJ3845:AL3845"/>
    <mergeCell ref="AN3845:AO3845"/>
    <mergeCell ref="AP3845:AQ3845"/>
    <mergeCell ref="A3846:A3847"/>
    <mergeCell ref="E3846:E3847"/>
    <mergeCell ref="F3846:H3846"/>
    <mergeCell ref="J3846:J3847"/>
    <mergeCell ref="K3846:L3847"/>
    <mergeCell ref="M3846:N3847"/>
    <mergeCell ref="O3846:P3847"/>
    <mergeCell ref="Q3846:R3847"/>
    <mergeCell ref="S3846:T3847"/>
    <mergeCell ref="U3846:V3847"/>
    <mergeCell ref="W3846:W3847"/>
    <mergeCell ref="X3846:AB3846"/>
    <mergeCell ref="AD3846:AI3846"/>
    <mergeCell ref="AJ3846:AL3846"/>
    <mergeCell ref="AN3846:AO3846"/>
    <mergeCell ref="AP3846:AQ3846"/>
    <mergeCell ref="AR3846:AS3847"/>
    <mergeCell ref="AT3846:AU3847"/>
    <mergeCell ref="AV3846:AW3847"/>
    <mergeCell ref="AX3846:AY3847"/>
    <mergeCell ref="AZ3846:AZ3847"/>
    <mergeCell ref="F3847:H3847"/>
    <mergeCell ref="X3847:AB3847"/>
    <mergeCell ref="AE3847:AI3847"/>
    <mergeCell ref="AJ3847:AL3847"/>
    <mergeCell ref="AN3847:AO3847"/>
    <mergeCell ref="AP3847:AQ3847"/>
    <mergeCell ref="A3848:A3849"/>
    <mergeCell ref="E3848:E3849"/>
    <mergeCell ref="F3848:H3848"/>
    <mergeCell ref="J3848:J3849"/>
    <mergeCell ref="K3848:L3849"/>
    <mergeCell ref="M3848:N3849"/>
    <mergeCell ref="O3848:P3849"/>
    <mergeCell ref="Q3848:R3849"/>
    <mergeCell ref="S3848:T3849"/>
    <mergeCell ref="U3848:V3849"/>
    <mergeCell ref="W3848:W3849"/>
    <mergeCell ref="X3848:AB3848"/>
    <mergeCell ref="AD3848:AI3848"/>
    <mergeCell ref="AJ3848:AL3848"/>
    <mergeCell ref="AN3848:AO3848"/>
    <mergeCell ref="AP3848:AQ3848"/>
    <mergeCell ref="AR3848:AS3849"/>
    <mergeCell ref="AT3848:AU3849"/>
    <mergeCell ref="AV3848:AW3849"/>
    <mergeCell ref="AX3848:AY3849"/>
    <mergeCell ref="AZ3848:AZ3849"/>
    <mergeCell ref="F3849:H3849"/>
    <mergeCell ref="X3849:AB3849"/>
    <mergeCell ref="AE3849:AI3849"/>
    <mergeCell ref="AJ3849:AL3849"/>
    <mergeCell ref="AN3849:AO3849"/>
    <mergeCell ref="AP3849:AQ3849"/>
    <mergeCell ref="A3850:A3851"/>
    <mergeCell ref="E3850:E3851"/>
    <mergeCell ref="F3850:H3850"/>
    <mergeCell ref="J3850:J3851"/>
    <mergeCell ref="K3850:L3851"/>
    <mergeCell ref="M3850:N3851"/>
    <mergeCell ref="O3850:P3851"/>
    <mergeCell ref="Q3850:R3851"/>
    <mergeCell ref="S3850:T3851"/>
    <mergeCell ref="U3850:V3851"/>
    <mergeCell ref="W3850:W3851"/>
    <mergeCell ref="X3850:AB3850"/>
    <mergeCell ref="AD3850:AI3850"/>
    <mergeCell ref="AJ3850:AL3850"/>
    <mergeCell ref="AN3850:AO3850"/>
    <mergeCell ref="AP3850:AQ3850"/>
    <mergeCell ref="AR3850:AS3851"/>
    <mergeCell ref="AT3850:AU3851"/>
    <mergeCell ref="AV3850:AW3851"/>
    <mergeCell ref="AX3850:AY3851"/>
    <mergeCell ref="AZ3850:AZ3851"/>
    <mergeCell ref="F3851:H3851"/>
    <mergeCell ref="X3851:AB3851"/>
    <mergeCell ref="AE3851:AI3851"/>
    <mergeCell ref="AJ3851:AL3851"/>
    <mergeCell ref="AN3851:AO3851"/>
    <mergeCell ref="AP3851:AQ3851"/>
    <mergeCell ref="A3852:A3853"/>
    <mergeCell ref="E3852:E3853"/>
    <mergeCell ref="F3852:H3852"/>
    <mergeCell ref="J3852:J3853"/>
    <mergeCell ref="K3852:L3853"/>
    <mergeCell ref="M3852:N3853"/>
    <mergeCell ref="O3852:P3853"/>
    <mergeCell ref="Q3852:R3853"/>
    <mergeCell ref="S3852:T3853"/>
    <mergeCell ref="U3852:V3853"/>
    <mergeCell ref="W3852:W3853"/>
    <mergeCell ref="X3852:AB3852"/>
    <mergeCell ref="AD3852:AI3852"/>
    <mergeCell ref="AJ3852:AL3852"/>
    <mergeCell ref="AN3852:AO3852"/>
    <mergeCell ref="AP3852:AQ3852"/>
    <mergeCell ref="AR3852:AS3853"/>
    <mergeCell ref="AT3852:AU3853"/>
    <mergeCell ref="AV3852:AW3853"/>
    <mergeCell ref="AX3852:AY3853"/>
    <mergeCell ref="AZ3852:AZ3853"/>
    <mergeCell ref="F3853:H3853"/>
    <mergeCell ref="X3853:AB3853"/>
    <mergeCell ref="AE3853:AI3853"/>
    <mergeCell ref="AJ3853:AL3853"/>
    <mergeCell ref="AN3853:AO3853"/>
    <mergeCell ref="AP3853:AQ3853"/>
    <mergeCell ref="A3854:A3855"/>
    <mergeCell ref="E3854:E3855"/>
    <mergeCell ref="F3854:H3854"/>
    <mergeCell ref="J3854:J3855"/>
    <mergeCell ref="K3854:L3855"/>
    <mergeCell ref="M3854:N3855"/>
    <mergeCell ref="O3854:P3855"/>
    <mergeCell ref="Q3854:R3855"/>
    <mergeCell ref="S3854:T3855"/>
    <mergeCell ref="U3854:V3855"/>
    <mergeCell ref="W3854:W3855"/>
    <mergeCell ref="X3854:AB3854"/>
    <mergeCell ref="AD3854:AI3854"/>
    <mergeCell ref="AJ3854:AL3854"/>
    <mergeCell ref="AN3854:AO3854"/>
    <mergeCell ref="AP3854:AQ3854"/>
    <mergeCell ref="AR3854:AS3855"/>
    <mergeCell ref="AT3854:AU3855"/>
    <mergeCell ref="AV3854:AW3855"/>
    <mergeCell ref="AX3854:AY3855"/>
    <mergeCell ref="AZ3854:AZ3855"/>
    <mergeCell ref="F3855:H3855"/>
    <mergeCell ref="X3855:AB3855"/>
    <mergeCell ref="AE3855:AI3855"/>
    <mergeCell ref="AJ3855:AL3855"/>
    <mergeCell ref="AN3855:AO3855"/>
    <mergeCell ref="AP3855:AQ3855"/>
    <mergeCell ref="A3856:A3857"/>
    <mergeCell ref="E3856:E3857"/>
    <mergeCell ref="F3856:H3856"/>
    <mergeCell ref="J3856:J3857"/>
    <mergeCell ref="K3856:L3857"/>
    <mergeCell ref="M3856:N3857"/>
    <mergeCell ref="O3856:P3857"/>
    <mergeCell ref="Q3856:R3857"/>
    <mergeCell ref="S3856:T3857"/>
    <mergeCell ref="U3856:V3857"/>
    <mergeCell ref="W3856:W3857"/>
    <mergeCell ref="X3856:AB3856"/>
    <mergeCell ref="AD3856:AI3856"/>
    <mergeCell ref="AJ3856:AL3856"/>
    <mergeCell ref="AN3856:AO3856"/>
    <mergeCell ref="AP3856:AQ3856"/>
    <mergeCell ref="AR3856:AS3857"/>
    <mergeCell ref="AT3856:AU3857"/>
    <mergeCell ref="AV3856:AW3857"/>
    <mergeCell ref="AX3856:AY3857"/>
    <mergeCell ref="AZ3856:AZ3857"/>
    <mergeCell ref="F3857:H3857"/>
    <mergeCell ref="X3857:AB3857"/>
    <mergeCell ref="AE3857:AI3857"/>
    <mergeCell ref="AJ3857:AL3857"/>
    <mergeCell ref="AN3857:AO3857"/>
    <mergeCell ref="AP3857:AQ3857"/>
    <mergeCell ref="A3858:A3859"/>
    <mergeCell ref="E3858:E3859"/>
    <mergeCell ref="F3858:H3858"/>
    <mergeCell ref="J3858:J3859"/>
    <mergeCell ref="K3858:L3859"/>
    <mergeCell ref="M3858:N3859"/>
    <mergeCell ref="O3858:P3859"/>
    <mergeCell ref="Q3858:R3859"/>
    <mergeCell ref="S3858:T3859"/>
    <mergeCell ref="U3858:V3859"/>
    <mergeCell ref="W3858:W3859"/>
    <mergeCell ref="X3858:AB3858"/>
    <mergeCell ref="AD3858:AI3858"/>
    <mergeCell ref="AJ3858:AL3858"/>
    <mergeCell ref="AN3858:AO3858"/>
    <mergeCell ref="AP3858:AQ3858"/>
    <mergeCell ref="AR3858:AS3859"/>
    <mergeCell ref="AT3858:AU3859"/>
    <mergeCell ref="AV3858:AW3859"/>
    <mergeCell ref="AX3858:AY3859"/>
    <mergeCell ref="AZ3858:AZ3859"/>
    <mergeCell ref="F3859:H3859"/>
    <mergeCell ref="X3859:AB3859"/>
    <mergeCell ref="AE3859:AI3859"/>
    <mergeCell ref="AJ3859:AL3859"/>
    <mergeCell ref="AN3859:AO3859"/>
    <mergeCell ref="AP3859:AQ3859"/>
    <mergeCell ref="A3860:A3861"/>
    <mergeCell ref="E3860:E3861"/>
    <mergeCell ref="F3860:H3860"/>
    <mergeCell ref="J3860:J3861"/>
    <mergeCell ref="K3860:L3861"/>
    <mergeCell ref="M3860:N3861"/>
    <mergeCell ref="O3860:P3861"/>
    <mergeCell ref="Q3860:R3861"/>
    <mergeCell ref="S3860:T3861"/>
    <mergeCell ref="U3860:V3861"/>
    <mergeCell ref="W3860:W3861"/>
    <mergeCell ref="X3860:AB3860"/>
    <mergeCell ref="AD3860:AI3860"/>
    <mergeCell ref="AJ3860:AL3860"/>
    <mergeCell ref="AN3860:AO3860"/>
    <mergeCell ref="AP3860:AQ3860"/>
    <mergeCell ref="AR3860:AS3861"/>
    <mergeCell ref="AT3860:AU3861"/>
    <mergeCell ref="AV3860:AW3861"/>
    <mergeCell ref="AX3860:AY3861"/>
    <mergeCell ref="AZ3860:AZ3861"/>
    <mergeCell ref="F3861:H3861"/>
    <mergeCell ref="X3861:AB3861"/>
    <mergeCell ref="AE3861:AI3861"/>
    <mergeCell ref="AJ3861:AL3861"/>
    <mergeCell ref="AN3861:AO3861"/>
    <mergeCell ref="AP3861:AQ3861"/>
    <mergeCell ref="A3862:A3863"/>
    <mergeCell ref="E3862:E3863"/>
    <mergeCell ref="F3862:H3862"/>
    <mergeCell ref="J3862:J3863"/>
    <mergeCell ref="K3862:L3863"/>
    <mergeCell ref="M3862:N3863"/>
    <mergeCell ref="O3862:P3863"/>
    <mergeCell ref="Q3862:R3863"/>
    <mergeCell ref="S3862:T3863"/>
    <mergeCell ref="U3862:V3863"/>
    <mergeCell ref="W3862:W3863"/>
    <mergeCell ref="X3862:AB3862"/>
    <mergeCell ref="AD3862:AI3862"/>
    <mergeCell ref="AJ3862:AL3862"/>
    <mergeCell ref="AN3862:AO3862"/>
    <mergeCell ref="AP3862:AQ3862"/>
    <mergeCell ref="AR3862:AS3863"/>
    <mergeCell ref="AT3862:AU3863"/>
    <mergeCell ref="AV3862:AW3863"/>
    <mergeCell ref="AX3862:AY3863"/>
    <mergeCell ref="AZ3862:AZ3863"/>
    <mergeCell ref="F3863:H3863"/>
    <mergeCell ref="X3863:AB3863"/>
    <mergeCell ref="AE3863:AI3863"/>
    <mergeCell ref="AJ3863:AL3863"/>
    <mergeCell ref="AN3863:AO3863"/>
    <mergeCell ref="AP3863:AQ3863"/>
    <mergeCell ref="A3864:A3865"/>
    <mergeCell ref="E3864:E3865"/>
    <mergeCell ref="F3864:H3864"/>
    <mergeCell ref="J3864:J3865"/>
    <mergeCell ref="K3864:L3865"/>
    <mergeCell ref="M3864:N3865"/>
    <mergeCell ref="O3864:P3865"/>
    <mergeCell ref="Q3864:R3865"/>
    <mergeCell ref="S3864:T3865"/>
    <mergeCell ref="U3864:V3865"/>
    <mergeCell ref="W3864:W3865"/>
    <mergeCell ref="X3864:AB3864"/>
    <mergeCell ref="AD3864:AI3864"/>
    <mergeCell ref="AJ3864:AL3864"/>
    <mergeCell ref="AN3864:AO3864"/>
    <mergeCell ref="AP3864:AQ3864"/>
    <mergeCell ref="AR3864:AS3865"/>
    <mergeCell ref="AT3864:AU3865"/>
    <mergeCell ref="AV3864:AW3865"/>
    <mergeCell ref="AX3864:AY3865"/>
    <mergeCell ref="AZ3864:AZ3865"/>
    <mergeCell ref="F3865:H3865"/>
    <mergeCell ref="X3865:AB3865"/>
    <mergeCell ref="AE3865:AI3865"/>
    <mergeCell ref="AJ3865:AL3865"/>
    <mergeCell ref="AN3865:AO3865"/>
    <mergeCell ref="AP3865:AQ3865"/>
    <mergeCell ref="A3866:A3867"/>
    <mergeCell ref="E3866:E3867"/>
    <mergeCell ref="F3866:H3866"/>
    <mergeCell ref="J3866:J3867"/>
    <mergeCell ref="K3866:L3867"/>
    <mergeCell ref="M3866:N3867"/>
    <mergeCell ref="O3866:P3867"/>
    <mergeCell ref="Q3866:R3867"/>
    <mergeCell ref="S3866:T3867"/>
    <mergeCell ref="U3866:V3867"/>
    <mergeCell ref="W3866:W3867"/>
    <mergeCell ref="X3866:AB3866"/>
    <mergeCell ref="AD3866:AI3866"/>
    <mergeCell ref="AJ3866:AL3866"/>
    <mergeCell ref="AN3866:AO3866"/>
    <mergeCell ref="AP3866:AQ3866"/>
    <mergeCell ref="AR3866:AS3867"/>
    <mergeCell ref="AT3866:AU3867"/>
    <mergeCell ref="AV3866:AW3867"/>
    <mergeCell ref="AX3866:AY3867"/>
    <mergeCell ref="AZ3866:AZ3867"/>
    <mergeCell ref="F3867:H3867"/>
    <mergeCell ref="X3867:AB3867"/>
    <mergeCell ref="AE3867:AI3867"/>
    <mergeCell ref="AJ3867:AL3867"/>
    <mergeCell ref="AN3867:AO3867"/>
    <mergeCell ref="AP3867:AQ3867"/>
    <mergeCell ref="A3868:A3869"/>
    <mergeCell ref="E3868:E3869"/>
    <mergeCell ref="F3868:H3868"/>
    <mergeCell ref="J3868:J3869"/>
    <mergeCell ref="K3868:L3869"/>
    <mergeCell ref="M3868:N3869"/>
    <mergeCell ref="O3868:P3869"/>
    <mergeCell ref="Q3868:R3869"/>
    <mergeCell ref="S3868:T3869"/>
    <mergeCell ref="U3868:V3869"/>
    <mergeCell ref="W3868:W3869"/>
    <mergeCell ref="X3868:AB3868"/>
    <mergeCell ref="AD3868:AI3868"/>
    <mergeCell ref="AJ3868:AL3868"/>
    <mergeCell ref="AN3868:AO3868"/>
    <mergeCell ref="AP3868:AQ3868"/>
    <mergeCell ref="AR3868:AS3869"/>
    <mergeCell ref="AT3868:AU3869"/>
    <mergeCell ref="AV3868:AW3869"/>
    <mergeCell ref="AX3868:AY3869"/>
    <mergeCell ref="AZ3868:AZ3869"/>
    <mergeCell ref="F3869:H3869"/>
    <mergeCell ref="X3869:AB3869"/>
    <mergeCell ref="AE3869:AI3869"/>
    <mergeCell ref="AJ3869:AL3869"/>
    <mergeCell ref="AN3869:AO3869"/>
    <mergeCell ref="AP3869:AQ3869"/>
    <mergeCell ref="A3870:A3871"/>
    <mergeCell ref="E3870:E3871"/>
    <mergeCell ref="F3870:H3870"/>
    <mergeCell ref="J3870:J3871"/>
    <mergeCell ref="K3870:L3871"/>
    <mergeCell ref="M3870:N3871"/>
    <mergeCell ref="O3870:P3871"/>
    <mergeCell ref="Q3870:R3871"/>
    <mergeCell ref="S3870:T3871"/>
    <mergeCell ref="U3870:V3871"/>
    <mergeCell ref="W3870:W3871"/>
    <mergeCell ref="X3870:AB3870"/>
    <mergeCell ref="AD3870:AI3870"/>
    <mergeCell ref="AJ3870:AL3870"/>
    <mergeCell ref="AN3870:AO3870"/>
    <mergeCell ref="AP3870:AQ3870"/>
    <mergeCell ref="AR3870:AS3871"/>
    <mergeCell ref="AT3870:AU3871"/>
    <mergeCell ref="AV3870:AW3871"/>
    <mergeCell ref="AX3870:AY3871"/>
    <mergeCell ref="AZ3870:AZ3871"/>
    <mergeCell ref="F3871:H3871"/>
    <mergeCell ref="X3871:AB3871"/>
    <mergeCell ref="AE3871:AI3871"/>
    <mergeCell ref="AJ3871:AL3871"/>
    <mergeCell ref="AN3871:AO3871"/>
    <mergeCell ref="AP3871:AQ3871"/>
    <mergeCell ref="A3872:A3873"/>
    <mergeCell ref="E3872:E3873"/>
    <mergeCell ref="F3872:H3872"/>
    <mergeCell ref="J3872:J3873"/>
    <mergeCell ref="K3872:L3873"/>
    <mergeCell ref="M3872:N3873"/>
    <mergeCell ref="O3872:P3873"/>
    <mergeCell ref="Q3872:R3873"/>
    <mergeCell ref="S3872:T3873"/>
    <mergeCell ref="U3872:V3873"/>
    <mergeCell ref="W3872:W3873"/>
    <mergeCell ref="X3872:AB3872"/>
    <mergeCell ref="AD3872:AI3872"/>
    <mergeCell ref="AJ3872:AL3872"/>
    <mergeCell ref="AN3872:AO3872"/>
    <mergeCell ref="AP3872:AQ3872"/>
    <mergeCell ref="AR3872:AS3873"/>
    <mergeCell ref="AT3872:AU3873"/>
    <mergeCell ref="AV3872:AW3873"/>
    <mergeCell ref="AX3872:AY3873"/>
    <mergeCell ref="AZ3872:AZ3873"/>
    <mergeCell ref="F3873:H3873"/>
    <mergeCell ref="X3873:AB3873"/>
    <mergeCell ref="AE3873:AI3873"/>
    <mergeCell ref="AJ3873:AL3873"/>
    <mergeCell ref="AN3873:AO3873"/>
    <mergeCell ref="AP3873:AQ3873"/>
    <mergeCell ref="A3874:A3875"/>
    <mergeCell ref="E3874:E3875"/>
    <mergeCell ref="F3874:H3874"/>
    <mergeCell ref="J3874:J3875"/>
    <mergeCell ref="K3874:L3875"/>
    <mergeCell ref="M3874:N3875"/>
    <mergeCell ref="O3874:P3875"/>
    <mergeCell ref="Q3874:R3875"/>
    <mergeCell ref="S3874:T3875"/>
    <mergeCell ref="U3874:V3875"/>
    <mergeCell ref="W3874:W3875"/>
    <mergeCell ref="X3874:AB3874"/>
    <mergeCell ref="AD3874:AI3874"/>
    <mergeCell ref="AJ3874:AL3874"/>
    <mergeCell ref="AN3874:AO3874"/>
    <mergeCell ref="AP3874:AQ3874"/>
    <mergeCell ref="AR3874:AS3875"/>
    <mergeCell ref="AT3874:AU3875"/>
    <mergeCell ref="AV3874:AW3875"/>
    <mergeCell ref="AX3874:AY3875"/>
    <mergeCell ref="AZ3874:AZ3875"/>
    <mergeCell ref="F3875:H3875"/>
    <mergeCell ref="X3875:AB3875"/>
    <mergeCell ref="AE3875:AI3875"/>
    <mergeCell ref="AJ3875:AL3875"/>
    <mergeCell ref="AN3875:AO3875"/>
    <mergeCell ref="AP3875:AQ3875"/>
    <mergeCell ref="A3876:A3877"/>
    <mergeCell ref="E3876:E3877"/>
    <mergeCell ref="F3876:H3876"/>
    <mergeCell ref="J3876:J3877"/>
    <mergeCell ref="K3876:L3877"/>
    <mergeCell ref="M3876:N3877"/>
    <mergeCell ref="O3876:P3877"/>
    <mergeCell ref="Q3876:R3877"/>
    <mergeCell ref="S3876:T3877"/>
    <mergeCell ref="U3876:V3877"/>
    <mergeCell ref="W3876:W3877"/>
    <mergeCell ref="X3876:AB3876"/>
    <mergeCell ref="AD3876:AI3876"/>
    <mergeCell ref="AJ3876:AL3876"/>
    <mergeCell ref="AN3876:AO3876"/>
    <mergeCell ref="AP3876:AQ3876"/>
    <mergeCell ref="AR3876:AS3877"/>
    <mergeCell ref="AT3876:AU3877"/>
    <mergeCell ref="AV3876:AW3877"/>
    <mergeCell ref="AX3876:AY3877"/>
    <mergeCell ref="AZ3876:AZ3877"/>
    <mergeCell ref="F3877:H3877"/>
    <mergeCell ref="X3877:AB3877"/>
    <mergeCell ref="AE3877:AI3877"/>
    <mergeCell ref="AJ3877:AL3877"/>
    <mergeCell ref="AN3877:AO3877"/>
    <mergeCell ref="AP3877:AQ3877"/>
    <mergeCell ref="A3878:A3879"/>
    <mergeCell ref="E3878:E3879"/>
    <mergeCell ref="F3878:H3878"/>
    <mergeCell ref="J3878:J3879"/>
    <mergeCell ref="K3878:L3879"/>
    <mergeCell ref="M3878:N3879"/>
    <mergeCell ref="O3878:P3879"/>
    <mergeCell ref="Q3878:R3879"/>
    <mergeCell ref="S3878:T3879"/>
    <mergeCell ref="U3878:V3879"/>
    <mergeCell ref="W3878:W3879"/>
    <mergeCell ref="X3878:AB3878"/>
    <mergeCell ref="AD3878:AI3878"/>
    <mergeCell ref="AJ3878:AL3878"/>
    <mergeCell ref="AN3878:AO3878"/>
    <mergeCell ref="AP3878:AQ3878"/>
    <mergeCell ref="AR3878:AS3879"/>
    <mergeCell ref="AT3878:AU3879"/>
    <mergeCell ref="AV3878:AW3879"/>
    <mergeCell ref="AX3878:AY3879"/>
    <mergeCell ref="AZ3878:AZ3879"/>
    <mergeCell ref="F3879:H3879"/>
    <mergeCell ref="X3879:AB3879"/>
    <mergeCell ref="AE3879:AI3879"/>
    <mergeCell ref="AJ3879:AL3879"/>
    <mergeCell ref="AN3879:AO3879"/>
    <mergeCell ref="AP3879:AQ3879"/>
    <mergeCell ref="A3880:A3881"/>
    <mergeCell ref="E3880:E3881"/>
    <mergeCell ref="F3880:H3880"/>
    <mergeCell ref="J3880:J3881"/>
    <mergeCell ref="K3880:L3881"/>
    <mergeCell ref="M3880:N3881"/>
    <mergeCell ref="O3880:P3881"/>
    <mergeCell ref="Q3880:R3881"/>
    <mergeCell ref="S3880:T3881"/>
    <mergeCell ref="U3880:V3881"/>
    <mergeCell ref="W3880:W3881"/>
    <mergeCell ref="X3880:AB3880"/>
    <mergeCell ref="AD3880:AI3880"/>
    <mergeCell ref="AJ3880:AL3880"/>
    <mergeCell ref="AN3880:AO3880"/>
    <mergeCell ref="AP3880:AQ3880"/>
    <mergeCell ref="AR3880:AS3881"/>
    <mergeCell ref="AT3880:AU3881"/>
    <mergeCell ref="AV3880:AW3881"/>
    <mergeCell ref="AX3880:AY3881"/>
    <mergeCell ref="AZ3880:AZ3881"/>
    <mergeCell ref="F3881:H3881"/>
    <mergeCell ref="X3881:AB3881"/>
    <mergeCell ref="AE3881:AI3881"/>
    <mergeCell ref="AJ3881:AL3881"/>
    <mergeCell ref="AN3881:AO3881"/>
    <mergeCell ref="AP3881:AQ3881"/>
    <mergeCell ref="A3882:A3883"/>
    <mergeCell ref="E3882:E3883"/>
    <mergeCell ref="F3882:H3882"/>
    <mergeCell ref="J3882:J3883"/>
    <mergeCell ref="K3882:L3883"/>
    <mergeCell ref="M3882:N3883"/>
    <mergeCell ref="O3882:P3883"/>
    <mergeCell ref="Q3882:R3883"/>
    <mergeCell ref="S3882:T3883"/>
    <mergeCell ref="U3882:V3883"/>
    <mergeCell ref="W3882:W3883"/>
    <mergeCell ref="X3882:AB3882"/>
    <mergeCell ref="AD3882:AI3882"/>
    <mergeCell ref="AJ3882:AL3882"/>
    <mergeCell ref="AN3882:AO3882"/>
    <mergeCell ref="AP3882:AQ3882"/>
    <mergeCell ref="AR3882:AS3883"/>
    <mergeCell ref="AT3882:AU3883"/>
    <mergeCell ref="AV3882:AW3883"/>
    <mergeCell ref="AX3882:AY3883"/>
    <mergeCell ref="AZ3882:AZ3883"/>
    <mergeCell ref="F3883:H3883"/>
    <mergeCell ref="X3883:AB3883"/>
    <mergeCell ref="AE3883:AI3883"/>
    <mergeCell ref="AJ3883:AL3883"/>
    <mergeCell ref="AN3883:AO3883"/>
    <mergeCell ref="AP3883:AQ3883"/>
    <mergeCell ref="A3884:A3885"/>
    <mergeCell ref="E3884:E3885"/>
    <mergeCell ref="F3884:H3884"/>
    <mergeCell ref="J3884:J3885"/>
    <mergeCell ref="K3884:L3885"/>
    <mergeCell ref="M3884:N3885"/>
    <mergeCell ref="O3884:P3885"/>
    <mergeCell ref="Q3884:R3885"/>
    <mergeCell ref="S3884:T3885"/>
    <mergeCell ref="U3884:V3885"/>
    <mergeCell ref="W3884:W3885"/>
    <mergeCell ref="X3884:AB3884"/>
    <mergeCell ref="AD3884:AI3884"/>
    <mergeCell ref="AJ3884:AL3884"/>
    <mergeCell ref="AN3884:AO3884"/>
    <mergeCell ref="AP3884:AQ3884"/>
    <mergeCell ref="AR3884:AS3885"/>
    <mergeCell ref="AT3884:AU3885"/>
    <mergeCell ref="AV3884:AW3885"/>
    <mergeCell ref="AX3884:AY3885"/>
    <mergeCell ref="AZ3884:AZ3885"/>
    <mergeCell ref="F3885:H3885"/>
    <mergeCell ref="X3885:AB3885"/>
    <mergeCell ref="AE3885:AI3885"/>
    <mergeCell ref="AJ3885:AL3885"/>
    <mergeCell ref="AN3885:AO3885"/>
    <mergeCell ref="AP3885:AQ3885"/>
    <mergeCell ref="A3886:A3887"/>
    <mergeCell ref="E3886:E3887"/>
    <mergeCell ref="F3886:H3886"/>
    <mergeCell ref="J3886:J3887"/>
    <mergeCell ref="K3886:L3887"/>
    <mergeCell ref="M3886:N3887"/>
    <mergeCell ref="O3886:P3887"/>
    <mergeCell ref="Q3886:R3887"/>
    <mergeCell ref="S3886:T3887"/>
    <mergeCell ref="U3886:V3887"/>
    <mergeCell ref="W3886:W3887"/>
    <mergeCell ref="X3886:AB3886"/>
    <mergeCell ref="AD3886:AI3886"/>
    <mergeCell ref="AJ3886:AL3886"/>
    <mergeCell ref="AN3886:AO3886"/>
    <mergeCell ref="AP3886:AQ3886"/>
    <mergeCell ref="AR3886:AS3887"/>
    <mergeCell ref="AT3886:AU3887"/>
    <mergeCell ref="AV3886:AW3887"/>
    <mergeCell ref="AX3886:AY3887"/>
    <mergeCell ref="AZ3886:AZ3887"/>
    <mergeCell ref="F3887:H3887"/>
    <mergeCell ref="X3887:AB3887"/>
    <mergeCell ref="AE3887:AI3887"/>
    <mergeCell ref="AJ3887:AL3887"/>
    <mergeCell ref="AN3887:AO3887"/>
    <mergeCell ref="AP3887:AQ3887"/>
    <mergeCell ref="A3888:A3889"/>
    <mergeCell ref="E3888:E3889"/>
    <mergeCell ref="F3888:H3888"/>
    <mergeCell ref="J3888:J3889"/>
    <mergeCell ref="K3888:L3889"/>
    <mergeCell ref="M3888:N3889"/>
    <mergeCell ref="O3888:P3889"/>
    <mergeCell ref="Q3888:R3889"/>
    <mergeCell ref="S3888:T3889"/>
    <mergeCell ref="U3888:V3889"/>
    <mergeCell ref="W3888:W3889"/>
    <mergeCell ref="X3888:AB3888"/>
    <mergeCell ref="AD3888:AI3888"/>
    <mergeCell ref="AJ3888:AL3888"/>
    <mergeCell ref="AN3888:AO3888"/>
    <mergeCell ref="AP3888:AQ3888"/>
    <mergeCell ref="AR3888:AS3889"/>
    <mergeCell ref="AT3888:AU3889"/>
    <mergeCell ref="AV3888:AW3889"/>
    <mergeCell ref="AX3888:AY3889"/>
    <mergeCell ref="AZ3888:AZ3889"/>
    <mergeCell ref="F3889:H3889"/>
    <mergeCell ref="X3889:AB3889"/>
    <mergeCell ref="AE3889:AI3889"/>
    <mergeCell ref="AJ3889:AL3889"/>
    <mergeCell ref="AN3889:AO3889"/>
    <mergeCell ref="AP3889:AQ3889"/>
    <mergeCell ref="A3890:A3891"/>
    <mergeCell ref="E3890:E3891"/>
    <mergeCell ref="F3890:H3890"/>
    <mergeCell ref="J3890:J3891"/>
    <mergeCell ref="K3890:L3891"/>
    <mergeCell ref="M3890:N3891"/>
    <mergeCell ref="O3890:P3891"/>
    <mergeCell ref="Q3890:R3891"/>
    <mergeCell ref="S3890:T3891"/>
    <mergeCell ref="U3890:V3891"/>
    <mergeCell ref="W3890:W3891"/>
    <mergeCell ref="X3890:AB3890"/>
    <mergeCell ref="AD3890:AI3890"/>
    <mergeCell ref="AJ3890:AL3890"/>
    <mergeCell ref="AN3890:AO3890"/>
    <mergeCell ref="AP3890:AQ3890"/>
    <mergeCell ref="AR3890:AS3891"/>
    <mergeCell ref="AT3890:AU3891"/>
    <mergeCell ref="AV3890:AW3891"/>
    <mergeCell ref="AX3890:AY3891"/>
    <mergeCell ref="AZ3890:AZ3891"/>
    <mergeCell ref="F3891:H3891"/>
    <mergeCell ref="X3891:AB3891"/>
    <mergeCell ref="AE3891:AI3891"/>
    <mergeCell ref="AJ3891:AL3891"/>
    <mergeCell ref="AN3891:AO3891"/>
    <mergeCell ref="AP3891:AQ3891"/>
    <mergeCell ref="A3892:A3893"/>
    <mergeCell ref="E3892:E3893"/>
    <mergeCell ref="F3892:H3892"/>
    <mergeCell ref="J3892:J3893"/>
    <mergeCell ref="K3892:L3893"/>
    <mergeCell ref="M3892:N3893"/>
    <mergeCell ref="O3892:P3893"/>
    <mergeCell ref="Q3892:R3893"/>
    <mergeCell ref="S3892:T3893"/>
    <mergeCell ref="U3892:V3893"/>
    <mergeCell ref="W3892:W3893"/>
    <mergeCell ref="X3892:AB3892"/>
    <mergeCell ref="AD3892:AI3892"/>
    <mergeCell ref="AJ3892:AL3892"/>
    <mergeCell ref="AN3892:AO3892"/>
    <mergeCell ref="AP3892:AQ3892"/>
    <mergeCell ref="AR3892:AS3893"/>
    <mergeCell ref="AT3892:AU3893"/>
    <mergeCell ref="AV3892:AW3893"/>
    <mergeCell ref="AX3892:AY3893"/>
    <mergeCell ref="AZ3892:AZ3893"/>
    <mergeCell ref="F3893:H3893"/>
    <mergeCell ref="X3893:AB3893"/>
    <mergeCell ref="AE3893:AI3893"/>
    <mergeCell ref="AJ3893:AL3893"/>
    <mergeCell ref="AN3893:AO3893"/>
    <mergeCell ref="AP3893:AQ3893"/>
    <mergeCell ref="A3894:A3895"/>
    <mergeCell ref="E3894:E3895"/>
    <mergeCell ref="F3894:H3894"/>
    <mergeCell ref="J3894:J3895"/>
    <mergeCell ref="K3894:L3895"/>
    <mergeCell ref="M3894:N3895"/>
    <mergeCell ref="O3894:P3895"/>
    <mergeCell ref="Q3894:R3895"/>
    <mergeCell ref="S3894:T3895"/>
    <mergeCell ref="U3894:V3895"/>
    <mergeCell ref="W3894:W3895"/>
    <mergeCell ref="X3894:AB3894"/>
    <mergeCell ref="AD3894:AI3894"/>
    <mergeCell ref="AJ3894:AL3894"/>
    <mergeCell ref="AN3894:AO3894"/>
    <mergeCell ref="AP3894:AQ3894"/>
    <mergeCell ref="AR3894:AS3895"/>
    <mergeCell ref="AT3894:AU3895"/>
    <mergeCell ref="AV3894:AW3895"/>
    <mergeCell ref="AX3894:AY3895"/>
    <mergeCell ref="AZ3894:AZ3895"/>
    <mergeCell ref="F3895:H3895"/>
    <mergeCell ref="X3895:AB3895"/>
    <mergeCell ref="AE3895:AI3895"/>
    <mergeCell ref="AJ3895:AL3895"/>
    <mergeCell ref="AN3895:AO3895"/>
    <mergeCell ref="AP3895:AQ3895"/>
    <mergeCell ref="A3896:A3897"/>
    <mergeCell ref="E3896:E3897"/>
    <mergeCell ref="F3896:H3896"/>
    <mergeCell ref="J3896:J3897"/>
    <mergeCell ref="K3896:L3897"/>
    <mergeCell ref="M3896:N3897"/>
    <mergeCell ref="O3896:P3897"/>
    <mergeCell ref="Q3896:R3897"/>
    <mergeCell ref="S3896:T3897"/>
    <mergeCell ref="U3896:V3897"/>
    <mergeCell ref="W3896:W3897"/>
    <mergeCell ref="X3896:AB3896"/>
    <mergeCell ref="AD3896:AI3896"/>
    <mergeCell ref="AJ3896:AL3896"/>
    <mergeCell ref="AN3896:AO3896"/>
    <mergeCell ref="AP3896:AQ3896"/>
    <mergeCell ref="AR3896:AS3897"/>
    <mergeCell ref="AT3896:AU3897"/>
    <mergeCell ref="AV3896:AW3897"/>
    <mergeCell ref="AX3896:AY3897"/>
    <mergeCell ref="AZ3896:AZ3897"/>
    <mergeCell ref="F3897:H3897"/>
    <mergeCell ref="X3897:AB3897"/>
    <mergeCell ref="AE3897:AI3897"/>
    <mergeCell ref="AJ3897:AL3897"/>
    <mergeCell ref="AN3897:AO3897"/>
    <mergeCell ref="AP3897:AQ3897"/>
    <mergeCell ref="AZ3900:AZ3901"/>
    <mergeCell ref="F3901:H3901"/>
    <mergeCell ref="X3901:AB3901"/>
    <mergeCell ref="AE3901:AI3901"/>
    <mergeCell ref="AJ3901:AL3901"/>
    <mergeCell ref="AN3901:AO3901"/>
    <mergeCell ref="AP3901:AQ3901"/>
    <mergeCell ref="A3910:A3911"/>
    <mergeCell ref="E3910:E3911"/>
    <mergeCell ref="F3910:H3910"/>
    <mergeCell ref="J3910:J3911"/>
    <mergeCell ref="K3910:L3911"/>
    <mergeCell ref="M3910:N3911"/>
    <mergeCell ref="O3910:P3911"/>
    <mergeCell ref="Q3910:R3911"/>
    <mergeCell ref="S3910:T3911"/>
    <mergeCell ref="U3910:V3911"/>
    <mergeCell ref="W3910:W3911"/>
    <mergeCell ref="X3910:AB3910"/>
    <mergeCell ref="AD3910:AI3910"/>
    <mergeCell ref="AJ3910:AL3910"/>
    <mergeCell ref="AN3910:AO3910"/>
    <mergeCell ref="AP3910:AQ3910"/>
    <mergeCell ref="AR3910:AS3911"/>
    <mergeCell ref="AT3910:AU3911"/>
    <mergeCell ref="AV3910:AW3911"/>
    <mergeCell ref="AX3910:AY3911"/>
    <mergeCell ref="AZ3910:AZ3911"/>
    <mergeCell ref="F3911:H3911"/>
    <mergeCell ref="X3911:AB3911"/>
    <mergeCell ref="AE3911:AI3911"/>
    <mergeCell ref="AJ3911:AL3911"/>
    <mergeCell ref="AN3911:AO3911"/>
    <mergeCell ref="AP3911:AQ3911"/>
    <mergeCell ref="A3902:A3903"/>
    <mergeCell ref="E3902:E3903"/>
    <mergeCell ref="F3902:H3902"/>
    <mergeCell ref="J3902:J3903"/>
    <mergeCell ref="K3902:L3903"/>
    <mergeCell ref="M3902:N3903"/>
    <mergeCell ref="O3902:P3903"/>
    <mergeCell ref="Q3902:R3903"/>
    <mergeCell ref="S3902:T3903"/>
    <mergeCell ref="U3902:V3903"/>
    <mergeCell ref="A3908:A3909"/>
    <mergeCell ref="E3908:E3909"/>
    <mergeCell ref="F3908:H3908"/>
    <mergeCell ref="AZ3908:AZ3909"/>
    <mergeCell ref="F3909:H3909"/>
    <mergeCell ref="X3909:AB3909"/>
    <mergeCell ref="AE3909:AI3909"/>
    <mergeCell ref="AJ3909:AL3909"/>
    <mergeCell ref="AN3909:AO3909"/>
    <mergeCell ref="AP3909:AQ3909"/>
    <mergeCell ref="W3902:W3903"/>
    <mergeCell ref="X3902:AB3902"/>
    <mergeCell ref="AD3902:AI3902"/>
    <mergeCell ref="AJ3902:AL3902"/>
    <mergeCell ref="AN3902:AO3902"/>
    <mergeCell ref="AP3902:AQ3902"/>
    <mergeCell ref="AR3902:AS3903"/>
    <mergeCell ref="AT3902:AU3903"/>
    <mergeCell ref="AV3902:AW3903"/>
    <mergeCell ref="AX3902:AY3903"/>
    <mergeCell ref="A3912:A3913"/>
    <mergeCell ref="E3912:E3913"/>
    <mergeCell ref="F3912:H3912"/>
    <mergeCell ref="J3912:J3913"/>
    <mergeCell ref="K3912:L3913"/>
    <mergeCell ref="M3912:N3913"/>
    <mergeCell ref="O3912:P3913"/>
    <mergeCell ref="Q3912:R3913"/>
    <mergeCell ref="S3912:T3913"/>
    <mergeCell ref="U3912:V3913"/>
    <mergeCell ref="W3912:W3913"/>
    <mergeCell ref="X3912:AB3912"/>
    <mergeCell ref="AD3912:AI3912"/>
    <mergeCell ref="AJ3912:AL3912"/>
    <mergeCell ref="AN3912:AO3912"/>
    <mergeCell ref="AP3912:AQ3912"/>
    <mergeCell ref="AR3912:AS3913"/>
    <mergeCell ref="AT3912:AU3913"/>
    <mergeCell ref="AV3912:AW3913"/>
    <mergeCell ref="AX3912:AY3913"/>
    <mergeCell ref="AZ3912:AZ3913"/>
    <mergeCell ref="F3913:H3913"/>
    <mergeCell ref="X3913:AB3913"/>
    <mergeCell ref="AE3913:AI3913"/>
    <mergeCell ref="AJ3913:AL3913"/>
    <mergeCell ref="AN3913:AO3913"/>
    <mergeCell ref="AP3913:AQ3913"/>
    <mergeCell ref="A3916:A3917"/>
    <mergeCell ref="E3916:E3917"/>
    <mergeCell ref="F3916:H3916"/>
    <mergeCell ref="J3916:J3917"/>
    <mergeCell ref="K3916:L3917"/>
    <mergeCell ref="M3916:N3917"/>
    <mergeCell ref="O3916:P3917"/>
    <mergeCell ref="Q3916:R3917"/>
    <mergeCell ref="S3916:T3917"/>
    <mergeCell ref="U3916:V3917"/>
    <mergeCell ref="W3916:W3917"/>
    <mergeCell ref="X3916:AB3916"/>
    <mergeCell ref="AD3916:AI3916"/>
    <mergeCell ref="AJ3916:AL3916"/>
    <mergeCell ref="AN3916:AO3916"/>
    <mergeCell ref="AP3916:AQ3916"/>
    <mergeCell ref="AR3916:AS3917"/>
    <mergeCell ref="AT3916:AU3917"/>
    <mergeCell ref="AV3916:AW3917"/>
    <mergeCell ref="AX3916:AY3917"/>
    <mergeCell ref="AZ3916:AZ3917"/>
    <mergeCell ref="F3917:H3917"/>
    <mergeCell ref="X3917:AB3917"/>
    <mergeCell ref="AE3917:AI3917"/>
    <mergeCell ref="AJ3917:AL3917"/>
    <mergeCell ref="AN3917:AO3917"/>
    <mergeCell ref="AP3917:AQ3917"/>
    <mergeCell ref="A3914:A3915"/>
    <mergeCell ref="E3914:E3915"/>
    <mergeCell ref="F3914:H3914"/>
    <mergeCell ref="J3914:J3915"/>
    <mergeCell ref="K3914:L3915"/>
    <mergeCell ref="M3914:N3915"/>
    <mergeCell ref="O3914:P3915"/>
    <mergeCell ref="Q3914:R3915"/>
    <mergeCell ref="S3914:T3915"/>
    <mergeCell ref="U3914:V3915"/>
    <mergeCell ref="A3918:A3919"/>
    <mergeCell ref="E3918:E3919"/>
    <mergeCell ref="F3918:H3918"/>
    <mergeCell ref="J3918:J3919"/>
    <mergeCell ref="K3918:L3919"/>
    <mergeCell ref="M3918:N3919"/>
    <mergeCell ref="O3918:P3919"/>
    <mergeCell ref="Q3918:R3919"/>
    <mergeCell ref="S3918:T3919"/>
    <mergeCell ref="U3918:V3919"/>
    <mergeCell ref="W3918:W3919"/>
    <mergeCell ref="X3918:AB3918"/>
    <mergeCell ref="AD3918:AI3918"/>
    <mergeCell ref="AJ3918:AL3918"/>
    <mergeCell ref="AN3918:AO3918"/>
    <mergeCell ref="AP3918:AQ3918"/>
    <mergeCell ref="AR3918:AS3919"/>
    <mergeCell ref="AT3918:AU3919"/>
    <mergeCell ref="AV3918:AW3919"/>
    <mergeCell ref="AX3918:AY3919"/>
    <mergeCell ref="AZ3918:AZ3919"/>
    <mergeCell ref="F3919:H3919"/>
    <mergeCell ref="X3919:AB3919"/>
    <mergeCell ref="AE3919:AI3919"/>
    <mergeCell ref="AJ3919:AL3919"/>
    <mergeCell ref="AN3919:AO3919"/>
    <mergeCell ref="AP3919:AQ3919"/>
    <mergeCell ref="A3920:A3921"/>
    <mergeCell ref="E3920:E3921"/>
    <mergeCell ref="F3920:H3920"/>
    <mergeCell ref="J3920:J3921"/>
    <mergeCell ref="K3920:L3921"/>
    <mergeCell ref="M3920:N3921"/>
    <mergeCell ref="O3920:P3921"/>
    <mergeCell ref="Q3920:R3921"/>
    <mergeCell ref="S3920:T3921"/>
    <mergeCell ref="U3920:V3921"/>
    <mergeCell ref="W3920:W3921"/>
    <mergeCell ref="X3920:AB3920"/>
    <mergeCell ref="AD3920:AI3920"/>
    <mergeCell ref="AJ3920:AL3920"/>
    <mergeCell ref="AN3920:AO3920"/>
    <mergeCell ref="AP3920:AQ3920"/>
    <mergeCell ref="AR3920:AS3921"/>
    <mergeCell ref="AT3920:AU3921"/>
    <mergeCell ref="AV3920:AW3921"/>
    <mergeCell ref="AX3920:AY3921"/>
    <mergeCell ref="AZ3920:AZ3921"/>
    <mergeCell ref="F3921:H3921"/>
    <mergeCell ref="X3921:AB3921"/>
    <mergeCell ref="AE3921:AI3921"/>
    <mergeCell ref="AJ3921:AL3921"/>
    <mergeCell ref="AN3921:AO3921"/>
    <mergeCell ref="AP3921:AQ3921"/>
    <mergeCell ref="A3928:A3929"/>
    <mergeCell ref="E3928:E3929"/>
    <mergeCell ref="F3928:H3928"/>
    <mergeCell ref="J3928:J3929"/>
    <mergeCell ref="K3928:L3929"/>
    <mergeCell ref="M3928:N3929"/>
    <mergeCell ref="O3928:P3929"/>
    <mergeCell ref="Q3928:R3929"/>
    <mergeCell ref="S3928:T3929"/>
    <mergeCell ref="U3928:V3929"/>
    <mergeCell ref="W3928:W3929"/>
    <mergeCell ref="X3928:AB3928"/>
    <mergeCell ref="AD3928:AI3928"/>
    <mergeCell ref="AJ3928:AL3928"/>
    <mergeCell ref="AN3928:AO3928"/>
    <mergeCell ref="AP3928:AQ3928"/>
    <mergeCell ref="AR3928:AS3929"/>
    <mergeCell ref="AT3928:AU3929"/>
    <mergeCell ref="AV3928:AW3929"/>
    <mergeCell ref="AX3928:AY3929"/>
    <mergeCell ref="AZ3928:AZ3929"/>
    <mergeCell ref="F3929:H3929"/>
    <mergeCell ref="X3929:AB3929"/>
    <mergeCell ref="AE3929:AI3929"/>
    <mergeCell ref="AJ3929:AL3929"/>
    <mergeCell ref="AN3929:AO3929"/>
    <mergeCell ref="AP3929:AQ3929"/>
    <mergeCell ref="A3930:A3931"/>
    <mergeCell ref="E3930:E3931"/>
    <mergeCell ref="F3930:H3930"/>
    <mergeCell ref="J3930:J3931"/>
    <mergeCell ref="K3930:L3931"/>
    <mergeCell ref="M3930:N3931"/>
    <mergeCell ref="O3930:P3931"/>
    <mergeCell ref="Q3930:R3931"/>
    <mergeCell ref="S3930:T3931"/>
    <mergeCell ref="U3930:V3931"/>
    <mergeCell ref="W3930:W3931"/>
    <mergeCell ref="X3930:AB3930"/>
    <mergeCell ref="AD3930:AI3930"/>
    <mergeCell ref="AJ3930:AL3930"/>
    <mergeCell ref="AN3930:AO3930"/>
    <mergeCell ref="AP3930:AQ3930"/>
    <mergeCell ref="AR3930:AS3931"/>
    <mergeCell ref="AT3930:AU3931"/>
    <mergeCell ref="AV3930:AW3931"/>
    <mergeCell ref="AX3930:AY3931"/>
    <mergeCell ref="AZ3930:AZ3931"/>
    <mergeCell ref="F3931:H3931"/>
    <mergeCell ref="X3931:AB3931"/>
    <mergeCell ref="AE3931:AI3931"/>
    <mergeCell ref="AJ3931:AL3931"/>
    <mergeCell ref="AN3931:AO3931"/>
    <mergeCell ref="AP3931:AQ3931"/>
    <mergeCell ref="A3932:A3933"/>
    <mergeCell ref="E3932:E3933"/>
    <mergeCell ref="F3932:H3932"/>
    <mergeCell ref="J3932:J3933"/>
    <mergeCell ref="K3932:L3933"/>
    <mergeCell ref="M3932:N3933"/>
    <mergeCell ref="O3932:P3933"/>
    <mergeCell ref="Q3932:R3933"/>
    <mergeCell ref="S3932:T3933"/>
    <mergeCell ref="U3932:V3933"/>
    <mergeCell ref="W3932:W3933"/>
    <mergeCell ref="X3932:AB3932"/>
    <mergeCell ref="AD3932:AI3932"/>
    <mergeCell ref="AJ3932:AL3932"/>
    <mergeCell ref="AN3932:AO3932"/>
    <mergeCell ref="AP3932:AQ3932"/>
    <mergeCell ref="AR3932:AS3933"/>
    <mergeCell ref="AT3932:AU3933"/>
    <mergeCell ref="AV3932:AW3933"/>
    <mergeCell ref="AX3932:AY3933"/>
    <mergeCell ref="AZ3932:AZ3933"/>
    <mergeCell ref="F3933:H3933"/>
    <mergeCell ref="X3933:AB3933"/>
    <mergeCell ref="AE3933:AI3933"/>
    <mergeCell ref="AJ3933:AL3933"/>
    <mergeCell ref="AN3933:AO3933"/>
    <mergeCell ref="AP3933:AQ3933"/>
    <mergeCell ref="A3934:A3935"/>
    <mergeCell ref="E3934:E3935"/>
    <mergeCell ref="F3934:H3934"/>
    <mergeCell ref="J3934:J3935"/>
    <mergeCell ref="K3934:L3935"/>
    <mergeCell ref="M3934:N3935"/>
    <mergeCell ref="O3934:P3935"/>
    <mergeCell ref="Q3934:R3935"/>
    <mergeCell ref="S3934:T3935"/>
    <mergeCell ref="U3934:V3935"/>
    <mergeCell ref="W3934:W3935"/>
    <mergeCell ref="X3934:AB3934"/>
    <mergeCell ref="AD3934:AI3934"/>
    <mergeCell ref="AJ3934:AL3934"/>
    <mergeCell ref="AN3934:AO3934"/>
    <mergeCell ref="AP3934:AQ3934"/>
    <mergeCell ref="AR3934:AS3935"/>
    <mergeCell ref="AT3934:AU3935"/>
    <mergeCell ref="AV3934:AW3935"/>
    <mergeCell ref="AX3934:AY3935"/>
    <mergeCell ref="AZ3934:AZ3935"/>
    <mergeCell ref="F3935:H3935"/>
    <mergeCell ref="X3935:AB3935"/>
    <mergeCell ref="AE3935:AI3935"/>
    <mergeCell ref="AJ3935:AL3935"/>
    <mergeCell ref="AN3935:AO3935"/>
    <mergeCell ref="AP3935:AQ3935"/>
    <mergeCell ref="A3936:A3937"/>
    <mergeCell ref="E3936:E3937"/>
    <mergeCell ref="F3936:H3936"/>
    <mergeCell ref="J3936:J3937"/>
    <mergeCell ref="K3936:L3937"/>
    <mergeCell ref="M3936:N3937"/>
    <mergeCell ref="O3936:P3937"/>
    <mergeCell ref="Q3936:R3937"/>
    <mergeCell ref="S3936:T3937"/>
    <mergeCell ref="U3936:V3937"/>
    <mergeCell ref="W3936:W3937"/>
    <mergeCell ref="X3936:AB3936"/>
    <mergeCell ref="AD3936:AI3936"/>
    <mergeCell ref="AJ3936:AL3936"/>
    <mergeCell ref="AN3936:AO3936"/>
    <mergeCell ref="AP3936:AQ3936"/>
    <mergeCell ref="AR3936:AS3937"/>
    <mergeCell ref="AT3936:AU3937"/>
    <mergeCell ref="AV3936:AW3937"/>
    <mergeCell ref="AX3936:AY3937"/>
    <mergeCell ref="AZ3936:AZ3937"/>
    <mergeCell ref="F3937:H3937"/>
    <mergeCell ref="X3937:AB3937"/>
    <mergeCell ref="AE3937:AI3937"/>
    <mergeCell ref="AJ3937:AL3937"/>
    <mergeCell ref="AN3937:AO3937"/>
    <mergeCell ref="AP3937:AQ3937"/>
    <mergeCell ref="A3938:A3939"/>
    <mergeCell ref="E3938:E3939"/>
    <mergeCell ref="F3938:H3938"/>
    <mergeCell ref="J3938:J3939"/>
    <mergeCell ref="K3938:L3939"/>
    <mergeCell ref="M3938:N3939"/>
    <mergeCell ref="O3938:P3939"/>
    <mergeCell ref="Q3938:R3939"/>
    <mergeCell ref="S3938:T3939"/>
    <mergeCell ref="U3938:V3939"/>
    <mergeCell ref="W3938:W3939"/>
    <mergeCell ref="X3938:AB3938"/>
    <mergeCell ref="AD3938:AI3938"/>
    <mergeCell ref="AJ3938:AL3938"/>
    <mergeCell ref="AN3938:AO3938"/>
    <mergeCell ref="AP3938:AQ3938"/>
    <mergeCell ref="AR3938:AS3939"/>
    <mergeCell ref="AT3938:AU3939"/>
    <mergeCell ref="AV3938:AW3939"/>
    <mergeCell ref="AX3938:AY3939"/>
    <mergeCell ref="AZ3938:AZ3939"/>
    <mergeCell ref="F3939:H3939"/>
    <mergeCell ref="X3939:AB3939"/>
    <mergeCell ref="AE3939:AI3939"/>
    <mergeCell ref="AJ3939:AL3939"/>
    <mergeCell ref="AN3939:AO3939"/>
    <mergeCell ref="AP3939:AQ3939"/>
    <mergeCell ref="A3940:A3941"/>
    <mergeCell ref="E3940:E3941"/>
    <mergeCell ref="F3940:H3940"/>
    <mergeCell ref="J3940:J3941"/>
    <mergeCell ref="K3940:L3941"/>
    <mergeCell ref="M3940:N3941"/>
    <mergeCell ref="O3940:P3941"/>
    <mergeCell ref="Q3940:R3941"/>
    <mergeCell ref="S3940:T3941"/>
    <mergeCell ref="U3940:V3941"/>
    <mergeCell ref="W3940:W3941"/>
    <mergeCell ref="X3940:AB3940"/>
    <mergeCell ref="AD3940:AI3940"/>
    <mergeCell ref="AJ3940:AL3940"/>
    <mergeCell ref="AN3940:AO3940"/>
    <mergeCell ref="AP3940:AQ3940"/>
    <mergeCell ref="AR3940:AS3941"/>
    <mergeCell ref="AT3940:AU3941"/>
    <mergeCell ref="AV3940:AW3941"/>
    <mergeCell ref="AX3940:AY3941"/>
    <mergeCell ref="AZ3940:AZ3941"/>
    <mergeCell ref="F3941:H3941"/>
    <mergeCell ref="X3941:AB3941"/>
    <mergeCell ref="AE3941:AI3941"/>
    <mergeCell ref="AJ3941:AL3941"/>
    <mergeCell ref="AN3941:AO3941"/>
    <mergeCell ref="AP3941:AQ3941"/>
    <mergeCell ref="A3942:A3943"/>
    <mergeCell ref="E3942:E3943"/>
    <mergeCell ref="F3942:H3942"/>
    <mergeCell ref="J3942:J3943"/>
    <mergeCell ref="K3942:L3943"/>
    <mergeCell ref="M3942:N3943"/>
    <mergeCell ref="O3942:P3943"/>
    <mergeCell ref="Q3942:R3943"/>
    <mergeCell ref="S3942:T3943"/>
    <mergeCell ref="U3942:V3943"/>
    <mergeCell ref="W3942:W3943"/>
    <mergeCell ref="X3942:AB3942"/>
    <mergeCell ref="AD3942:AI3942"/>
    <mergeCell ref="AJ3942:AL3942"/>
    <mergeCell ref="AN3942:AO3942"/>
    <mergeCell ref="AP3942:AQ3942"/>
    <mergeCell ref="AR3942:AS3943"/>
    <mergeCell ref="AT3942:AU3943"/>
    <mergeCell ref="AV3942:AW3943"/>
    <mergeCell ref="AX3942:AY3943"/>
    <mergeCell ref="AZ3942:AZ3943"/>
    <mergeCell ref="F3943:H3943"/>
    <mergeCell ref="X3943:AB3943"/>
    <mergeCell ref="AE3943:AI3943"/>
    <mergeCell ref="AJ3943:AL3943"/>
    <mergeCell ref="AN3943:AO3943"/>
    <mergeCell ref="AP3943:AQ3943"/>
    <mergeCell ref="A3944:A3945"/>
    <mergeCell ref="E3944:E3945"/>
    <mergeCell ref="F3944:H3944"/>
    <mergeCell ref="J3944:J3945"/>
    <mergeCell ref="K3944:L3945"/>
    <mergeCell ref="M3944:N3945"/>
    <mergeCell ref="O3944:P3945"/>
    <mergeCell ref="Q3944:R3945"/>
    <mergeCell ref="S3944:T3945"/>
    <mergeCell ref="U3944:V3945"/>
    <mergeCell ref="W3944:W3945"/>
    <mergeCell ref="X3944:AB3944"/>
    <mergeCell ref="AD3944:AI3944"/>
    <mergeCell ref="AJ3944:AL3944"/>
    <mergeCell ref="AN3944:AO3944"/>
    <mergeCell ref="AP3944:AQ3944"/>
    <mergeCell ref="AR3944:AS3945"/>
    <mergeCell ref="AT3944:AU3945"/>
    <mergeCell ref="AV3944:AW3945"/>
    <mergeCell ref="AX3944:AY3945"/>
    <mergeCell ref="AZ3944:AZ3945"/>
    <mergeCell ref="F3945:H3945"/>
    <mergeCell ref="X3945:AB3945"/>
    <mergeCell ref="AE3945:AI3945"/>
    <mergeCell ref="AJ3945:AL3945"/>
    <mergeCell ref="AN3945:AO3945"/>
    <mergeCell ref="AP3945:AQ3945"/>
    <mergeCell ref="A3946:A3947"/>
    <mergeCell ref="E3946:E3947"/>
    <mergeCell ref="F3946:H3946"/>
    <mergeCell ref="J3946:J3947"/>
    <mergeCell ref="K3946:L3947"/>
    <mergeCell ref="M3946:N3947"/>
    <mergeCell ref="O3946:P3947"/>
    <mergeCell ref="Q3946:R3947"/>
    <mergeCell ref="S3946:T3947"/>
    <mergeCell ref="U3946:V3947"/>
    <mergeCell ref="W3946:W3947"/>
    <mergeCell ref="X3946:AB3946"/>
    <mergeCell ref="AD3946:AI3946"/>
    <mergeCell ref="AJ3946:AL3946"/>
    <mergeCell ref="AN3946:AO3946"/>
    <mergeCell ref="AP3946:AQ3946"/>
    <mergeCell ref="AR3946:AS3947"/>
    <mergeCell ref="AT3946:AU3947"/>
    <mergeCell ref="AV3946:AW3947"/>
    <mergeCell ref="AX3946:AY3947"/>
    <mergeCell ref="AZ3946:AZ3947"/>
    <mergeCell ref="F3947:H3947"/>
    <mergeCell ref="X3947:AB3947"/>
    <mergeCell ref="AE3947:AI3947"/>
    <mergeCell ref="AJ3947:AL3947"/>
    <mergeCell ref="AN3947:AO3947"/>
    <mergeCell ref="AP3947:AQ3947"/>
    <mergeCell ref="A3948:A3949"/>
    <mergeCell ref="E3948:E3949"/>
    <mergeCell ref="F3948:H3948"/>
    <mergeCell ref="J3948:J3949"/>
    <mergeCell ref="K3948:L3949"/>
    <mergeCell ref="M3948:N3949"/>
    <mergeCell ref="O3948:P3949"/>
    <mergeCell ref="Q3948:R3949"/>
    <mergeCell ref="S3948:T3949"/>
    <mergeCell ref="U3948:V3949"/>
    <mergeCell ref="W3948:W3949"/>
    <mergeCell ref="X3948:AB3948"/>
    <mergeCell ref="AD3948:AI3948"/>
    <mergeCell ref="AJ3948:AL3948"/>
    <mergeCell ref="AN3948:AO3948"/>
    <mergeCell ref="AP3948:AQ3948"/>
    <mergeCell ref="AR3948:AS3949"/>
    <mergeCell ref="AT3948:AU3949"/>
    <mergeCell ref="AV3948:AW3949"/>
    <mergeCell ref="AX3948:AY3949"/>
    <mergeCell ref="AZ3948:AZ3949"/>
    <mergeCell ref="F3949:H3949"/>
    <mergeCell ref="X3949:AB3949"/>
    <mergeCell ref="AE3949:AI3949"/>
    <mergeCell ref="AJ3949:AL3949"/>
    <mergeCell ref="AN3949:AO3949"/>
    <mergeCell ref="AP3949:AQ3949"/>
    <mergeCell ref="A3950:A3951"/>
    <mergeCell ref="E3950:E3951"/>
    <mergeCell ref="F3950:H3950"/>
    <mergeCell ref="J3950:J3951"/>
    <mergeCell ref="K3950:L3951"/>
    <mergeCell ref="M3950:N3951"/>
    <mergeCell ref="O3950:P3951"/>
    <mergeCell ref="Q3950:R3951"/>
    <mergeCell ref="S3950:T3951"/>
    <mergeCell ref="U3950:V3951"/>
    <mergeCell ref="W3950:W3951"/>
    <mergeCell ref="X3950:AB3950"/>
    <mergeCell ref="AD3950:AI3950"/>
    <mergeCell ref="AJ3950:AL3950"/>
    <mergeCell ref="AN3950:AO3950"/>
    <mergeCell ref="AP3950:AQ3950"/>
    <mergeCell ref="AR3950:AS3951"/>
    <mergeCell ref="AT3950:AU3951"/>
    <mergeCell ref="AV3950:AW3951"/>
    <mergeCell ref="AX3950:AY3951"/>
    <mergeCell ref="AZ3950:AZ3951"/>
    <mergeCell ref="F3951:H3951"/>
    <mergeCell ref="X3951:AB3951"/>
    <mergeCell ref="AE3951:AI3951"/>
    <mergeCell ref="AJ3951:AL3951"/>
    <mergeCell ref="AN3951:AO3951"/>
    <mergeCell ref="AP3951:AQ3951"/>
    <mergeCell ref="A3952:A3953"/>
    <mergeCell ref="E3952:E3953"/>
    <mergeCell ref="F3952:H3952"/>
    <mergeCell ref="J3952:J3953"/>
    <mergeCell ref="K3952:L3953"/>
    <mergeCell ref="M3952:N3953"/>
    <mergeCell ref="O3952:P3953"/>
    <mergeCell ref="Q3952:R3953"/>
    <mergeCell ref="S3952:T3953"/>
    <mergeCell ref="U3952:V3953"/>
    <mergeCell ref="W3952:W3953"/>
    <mergeCell ref="X3952:AB3952"/>
    <mergeCell ref="AD3952:AI3952"/>
    <mergeCell ref="AJ3952:AL3952"/>
    <mergeCell ref="AN3952:AO3952"/>
    <mergeCell ref="AP3952:AQ3952"/>
    <mergeCell ref="AR3952:AS3953"/>
    <mergeCell ref="AT3952:AU3953"/>
    <mergeCell ref="AV3952:AW3953"/>
    <mergeCell ref="AX3952:AY3953"/>
    <mergeCell ref="AZ3952:AZ3953"/>
    <mergeCell ref="F3953:H3953"/>
    <mergeCell ref="X3953:AB3953"/>
    <mergeCell ref="AE3953:AI3953"/>
    <mergeCell ref="AJ3953:AL3953"/>
    <mergeCell ref="AN3953:AO3953"/>
    <mergeCell ref="AP3953:AQ3953"/>
    <mergeCell ref="A3954:A3955"/>
    <mergeCell ref="E3954:E3955"/>
    <mergeCell ref="F3954:H3954"/>
    <mergeCell ref="J3954:J3955"/>
    <mergeCell ref="K3954:L3955"/>
    <mergeCell ref="M3954:N3955"/>
    <mergeCell ref="O3954:P3955"/>
    <mergeCell ref="Q3954:R3955"/>
    <mergeCell ref="S3954:T3955"/>
    <mergeCell ref="U3954:V3955"/>
    <mergeCell ref="W3954:W3955"/>
    <mergeCell ref="X3954:AB3954"/>
    <mergeCell ref="AD3954:AI3954"/>
    <mergeCell ref="AJ3954:AL3954"/>
    <mergeCell ref="AN3954:AO3954"/>
    <mergeCell ref="AP3954:AQ3954"/>
    <mergeCell ref="AR3954:AS3955"/>
    <mergeCell ref="AT3954:AU3955"/>
    <mergeCell ref="AV3954:AW3955"/>
    <mergeCell ref="AX3954:AY3955"/>
    <mergeCell ref="AZ3954:AZ3955"/>
    <mergeCell ref="F3955:H3955"/>
    <mergeCell ref="X3955:AB3955"/>
    <mergeCell ref="AE3955:AI3955"/>
    <mergeCell ref="AJ3955:AL3955"/>
    <mergeCell ref="AN3955:AO3955"/>
    <mergeCell ref="AP3955:AQ3955"/>
    <mergeCell ref="A3956:A3957"/>
    <mergeCell ref="E3956:E3957"/>
    <mergeCell ref="F3956:H3956"/>
    <mergeCell ref="J3956:J3957"/>
    <mergeCell ref="K3956:L3957"/>
    <mergeCell ref="M3956:N3957"/>
    <mergeCell ref="O3956:P3957"/>
    <mergeCell ref="Q3956:R3957"/>
    <mergeCell ref="S3956:T3957"/>
    <mergeCell ref="U3956:V3957"/>
    <mergeCell ref="W3956:W3957"/>
    <mergeCell ref="X3956:AB3956"/>
    <mergeCell ref="AD3956:AI3956"/>
    <mergeCell ref="AJ3956:AL3956"/>
    <mergeCell ref="AN3956:AO3956"/>
    <mergeCell ref="AP3956:AQ3956"/>
    <mergeCell ref="AR3956:AS3957"/>
    <mergeCell ref="AT3956:AU3957"/>
    <mergeCell ref="AV3956:AW3957"/>
    <mergeCell ref="AX3956:AY3957"/>
    <mergeCell ref="AZ3956:AZ3957"/>
    <mergeCell ref="F3957:H3957"/>
    <mergeCell ref="X3957:AB3957"/>
    <mergeCell ref="AE3957:AI3957"/>
    <mergeCell ref="AJ3957:AL3957"/>
    <mergeCell ref="AN3957:AO3957"/>
    <mergeCell ref="AP3957:AQ3957"/>
    <mergeCell ref="A3958:A3959"/>
    <mergeCell ref="E3958:E3959"/>
    <mergeCell ref="F3958:H3958"/>
    <mergeCell ref="J3958:J3959"/>
    <mergeCell ref="K3958:L3959"/>
    <mergeCell ref="M3958:N3959"/>
    <mergeCell ref="O3958:P3959"/>
    <mergeCell ref="Q3958:R3959"/>
    <mergeCell ref="S3958:T3959"/>
    <mergeCell ref="U3958:V3959"/>
    <mergeCell ref="W3958:W3959"/>
    <mergeCell ref="X3958:AB3958"/>
    <mergeCell ref="AD3958:AI3958"/>
    <mergeCell ref="AJ3958:AL3958"/>
    <mergeCell ref="AN3958:AO3958"/>
    <mergeCell ref="AP3958:AQ3958"/>
    <mergeCell ref="AR3958:AS3959"/>
    <mergeCell ref="AT3958:AU3959"/>
    <mergeCell ref="AV3958:AW3959"/>
    <mergeCell ref="AX3958:AY3959"/>
    <mergeCell ref="AZ3958:AZ3959"/>
    <mergeCell ref="F3959:H3959"/>
    <mergeCell ref="X3959:AB3959"/>
    <mergeCell ref="AE3959:AI3959"/>
    <mergeCell ref="AJ3959:AL3959"/>
    <mergeCell ref="AN3959:AO3959"/>
    <mergeCell ref="AP3959:AQ3959"/>
    <mergeCell ref="A3960:A3961"/>
    <mergeCell ref="E3960:E3961"/>
    <mergeCell ref="F3960:H3960"/>
    <mergeCell ref="J3960:J3961"/>
    <mergeCell ref="K3960:L3961"/>
    <mergeCell ref="M3960:N3961"/>
    <mergeCell ref="O3960:P3961"/>
    <mergeCell ref="Q3960:R3961"/>
    <mergeCell ref="S3960:T3961"/>
    <mergeCell ref="U3960:V3961"/>
    <mergeCell ref="W3960:W3961"/>
    <mergeCell ref="X3960:AB3960"/>
    <mergeCell ref="AD3960:AI3960"/>
    <mergeCell ref="AJ3960:AL3960"/>
    <mergeCell ref="AN3960:AO3960"/>
    <mergeCell ref="AP3960:AQ3960"/>
    <mergeCell ref="AR3960:AS3961"/>
    <mergeCell ref="AT3960:AU3961"/>
    <mergeCell ref="AV3960:AW3961"/>
    <mergeCell ref="AX3960:AY3961"/>
    <mergeCell ref="AZ3960:AZ3961"/>
    <mergeCell ref="F3961:H3961"/>
    <mergeCell ref="X3961:AB3961"/>
    <mergeCell ref="AE3961:AI3961"/>
    <mergeCell ref="AJ3961:AL3961"/>
    <mergeCell ref="AN3961:AO3961"/>
    <mergeCell ref="AP3961:AQ3961"/>
    <mergeCell ref="A3962:A3963"/>
    <mergeCell ref="E3962:E3963"/>
    <mergeCell ref="F3962:H3962"/>
    <mergeCell ref="J3962:J3963"/>
    <mergeCell ref="K3962:L3963"/>
    <mergeCell ref="M3962:N3963"/>
    <mergeCell ref="O3962:P3963"/>
    <mergeCell ref="Q3962:R3963"/>
    <mergeCell ref="S3962:T3963"/>
    <mergeCell ref="U3962:V3963"/>
    <mergeCell ref="W3962:W3963"/>
    <mergeCell ref="X3962:AB3962"/>
    <mergeCell ref="AD3962:AI3962"/>
    <mergeCell ref="AJ3962:AL3962"/>
    <mergeCell ref="AN3962:AO3962"/>
    <mergeCell ref="AP3962:AQ3962"/>
    <mergeCell ref="AR3962:AS3963"/>
    <mergeCell ref="AT3962:AU3963"/>
    <mergeCell ref="AV3962:AW3963"/>
    <mergeCell ref="AX3962:AY3963"/>
    <mergeCell ref="AZ3962:AZ3963"/>
    <mergeCell ref="F3963:H3963"/>
    <mergeCell ref="X3963:AB3963"/>
    <mergeCell ref="AE3963:AI3963"/>
    <mergeCell ref="AJ3963:AL3963"/>
    <mergeCell ref="AN3963:AO3963"/>
    <mergeCell ref="AP3963:AQ3963"/>
    <mergeCell ref="A3964:A3965"/>
    <mergeCell ref="E3964:E3965"/>
    <mergeCell ref="F3964:H3964"/>
    <mergeCell ref="J3964:J3965"/>
    <mergeCell ref="K3964:L3965"/>
    <mergeCell ref="M3964:N3965"/>
    <mergeCell ref="O3964:P3965"/>
    <mergeCell ref="Q3964:R3965"/>
    <mergeCell ref="S3964:T3965"/>
    <mergeCell ref="U3964:V3965"/>
    <mergeCell ref="W3964:W3965"/>
    <mergeCell ref="X3964:AB3964"/>
    <mergeCell ref="AD3964:AI3964"/>
    <mergeCell ref="AJ3964:AL3964"/>
    <mergeCell ref="AN3964:AO3964"/>
    <mergeCell ref="AP3964:AQ3964"/>
    <mergeCell ref="AR3964:AS3965"/>
    <mergeCell ref="AT3964:AU3965"/>
    <mergeCell ref="AV3964:AW3965"/>
    <mergeCell ref="AX3964:AY3965"/>
    <mergeCell ref="AZ3964:AZ3965"/>
    <mergeCell ref="F3965:H3965"/>
    <mergeCell ref="X3965:AB3965"/>
    <mergeCell ref="AE3965:AI3965"/>
    <mergeCell ref="AJ3965:AL3965"/>
    <mergeCell ref="AN3965:AO3965"/>
    <mergeCell ref="AP3965:AQ3965"/>
    <mergeCell ref="A3966:A3967"/>
    <mergeCell ref="E3966:E3967"/>
    <mergeCell ref="F3966:H3966"/>
    <mergeCell ref="J3966:J3967"/>
    <mergeCell ref="K3966:L3967"/>
    <mergeCell ref="M3966:N3967"/>
    <mergeCell ref="O3966:P3967"/>
    <mergeCell ref="Q3966:R3967"/>
    <mergeCell ref="S3966:T3967"/>
    <mergeCell ref="U3966:V3967"/>
    <mergeCell ref="W3966:W3967"/>
    <mergeCell ref="X3966:AB3966"/>
    <mergeCell ref="AD3966:AI3966"/>
    <mergeCell ref="AJ3966:AL3966"/>
    <mergeCell ref="AN3966:AO3966"/>
    <mergeCell ref="AP3966:AQ3966"/>
    <mergeCell ref="AR3966:AS3967"/>
    <mergeCell ref="AT3966:AU3967"/>
    <mergeCell ref="AV3966:AW3967"/>
    <mergeCell ref="AX3966:AY3967"/>
    <mergeCell ref="AZ3966:AZ3967"/>
    <mergeCell ref="F3967:H3967"/>
    <mergeCell ref="X3967:AB3967"/>
    <mergeCell ref="AE3967:AI3967"/>
    <mergeCell ref="AJ3967:AL3967"/>
    <mergeCell ref="AN3967:AO3967"/>
    <mergeCell ref="AP3967:AQ3967"/>
    <mergeCell ref="A3968:A3969"/>
    <mergeCell ref="E3968:E3969"/>
    <mergeCell ref="F3968:H3968"/>
    <mergeCell ref="J3968:J3969"/>
    <mergeCell ref="K3968:L3969"/>
    <mergeCell ref="M3968:N3969"/>
    <mergeCell ref="O3968:P3969"/>
    <mergeCell ref="Q3968:R3969"/>
    <mergeCell ref="S3968:T3969"/>
    <mergeCell ref="U3968:V3969"/>
    <mergeCell ref="W3968:W3969"/>
    <mergeCell ref="X3968:AB3968"/>
    <mergeCell ref="AD3968:AI3968"/>
    <mergeCell ref="AJ3968:AL3968"/>
    <mergeCell ref="AN3968:AO3968"/>
    <mergeCell ref="AP3968:AQ3968"/>
    <mergeCell ref="AR3968:AS3969"/>
    <mergeCell ref="AT3968:AU3969"/>
    <mergeCell ref="AV3968:AW3969"/>
    <mergeCell ref="AX3968:AY3969"/>
    <mergeCell ref="AZ3968:AZ3969"/>
    <mergeCell ref="F3969:H3969"/>
    <mergeCell ref="X3969:AB3969"/>
    <mergeCell ref="AE3969:AI3969"/>
    <mergeCell ref="AJ3969:AL3969"/>
    <mergeCell ref="AN3969:AO3969"/>
    <mergeCell ref="AP3969:AQ3969"/>
    <mergeCell ref="A3970:A3971"/>
    <mergeCell ref="E3970:E3971"/>
    <mergeCell ref="F3970:H3970"/>
    <mergeCell ref="J3970:J3971"/>
    <mergeCell ref="K3970:L3971"/>
    <mergeCell ref="M3970:N3971"/>
    <mergeCell ref="O3970:P3971"/>
    <mergeCell ref="Q3970:R3971"/>
    <mergeCell ref="S3970:T3971"/>
    <mergeCell ref="U3970:V3971"/>
    <mergeCell ref="W3970:W3971"/>
    <mergeCell ref="X3970:AB3970"/>
    <mergeCell ref="AD3970:AI3970"/>
    <mergeCell ref="AJ3970:AL3970"/>
    <mergeCell ref="AN3970:AO3970"/>
    <mergeCell ref="AP3970:AQ3970"/>
    <mergeCell ref="AR3970:AS3971"/>
    <mergeCell ref="AT3970:AU3971"/>
    <mergeCell ref="AV3970:AW3971"/>
    <mergeCell ref="AX3970:AY3971"/>
    <mergeCell ref="AZ3970:AZ3971"/>
    <mergeCell ref="F3971:H3971"/>
    <mergeCell ref="X3971:AB3971"/>
    <mergeCell ref="AE3971:AI3971"/>
    <mergeCell ref="AJ3971:AL3971"/>
    <mergeCell ref="AN3971:AO3971"/>
    <mergeCell ref="AP3971:AQ3971"/>
    <mergeCell ref="A3972:A3973"/>
    <mergeCell ref="E3972:E3973"/>
    <mergeCell ref="F3972:H3972"/>
    <mergeCell ref="J3972:J3973"/>
    <mergeCell ref="K3972:L3973"/>
    <mergeCell ref="M3972:N3973"/>
    <mergeCell ref="O3972:P3973"/>
    <mergeCell ref="Q3972:R3973"/>
    <mergeCell ref="S3972:T3973"/>
    <mergeCell ref="U3972:V3973"/>
    <mergeCell ref="W3972:W3973"/>
    <mergeCell ref="X3972:AB3972"/>
    <mergeCell ref="AD3972:AI3972"/>
    <mergeCell ref="AJ3972:AL3972"/>
    <mergeCell ref="AN3972:AO3972"/>
    <mergeCell ref="AP3972:AQ3972"/>
    <mergeCell ref="AR3972:AS3973"/>
    <mergeCell ref="AT3972:AU3973"/>
    <mergeCell ref="AV3972:AW3973"/>
    <mergeCell ref="AX3972:AY3973"/>
    <mergeCell ref="AZ3972:AZ3973"/>
    <mergeCell ref="F3973:H3973"/>
    <mergeCell ref="X3973:AB3973"/>
    <mergeCell ref="AE3973:AI3973"/>
    <mergeCell ref="AJ3973:AL3973"/>
    <mergeCell ref="AN3973:AO3973"/>
    <mergeCell ref="AP3973:AQ3973"/>
    <mergeCell ref="A3974:A3975"/>
    <mergeCell ref="E3974:E3975"/>
    <mergeCell ref="F3974:H3974"/>
    <mergeCell ref="J3974:J3975"/>
    <mergeCell ref="K3974:L3975"/>
    <mergeCell ref="M3974:N3975"/>
    <mergeCell ref="O3974:P3975"/>
    <mergeCell ref="Q3974:R3975"/>
    <mergeCell ref="S3974:T3975"/>
    <mergeCell ref="U3974:V3975"/>
    <mergeCell ref="W3974:W3975"/>
    <mergeCell ref="X3974:AB3974"/>
    <mergeCell ref="AD3974:AI3974"/>
    <mergeCell ref="AJ3974:AL3974"/>
    <mergeCell ref="AN3974:AO3974"/>
    <mergeCell ref="AP3974:AQ3974"/>
    <mergeCell ref="AR3974:AS3975"/>
    <mergeCell ref="AT3974:AU3975"/>
    <mergeCell ref="AV3974:AW3975"/>
    <mergeCell ref="AX3974:AY3975"/>
    <mergeCell ref="AZ3974:AZ3975"/>
    <mergeCell ref="F3975:H3975"/>
    <mergeCell ref="X3975:AB3975"/>
    <mergeCell ref="AE3975:AI3975"/>
    <mergeCell ref="AJ3975:AL3975"/>
    <mergeCell ref="AN3975:AO3975"/>
    <mergeCell ref="AP3975:AQ3975"/>
    <mergeCell ref="A3976:A3977"/>
    <mergeCell ref="E3976:E3977"/>
    <mergeCell ref="F3976:H3976"/>
    <mergeCell ref="J3976:J3977"/>
    <mergeCell ref="K3976:L3977"/>
    <mergeCell ref="M3976:N3977"/>
    <mergeCell ref="O3976:P3977"/>
    <mergeCell ref="Q3976:R3977"/>
    <mergeCell ref="S3976:T3977"/>
    <mergeCell ref="U3976:V3977"/>
    <mergeCell ref="W3976:W3977"/>
    <mergeCell ref="X3976:AB3976"/>
    <mergeCell ref="AD3976:AI3976"/>
    <mergeCell ref="AJ3976:AL3976"/>
    <mergeCell ref="AN3976:AO3976"/>
    <mergeCell ref="AP3976:AQ3976"/>
    <mergeCell ref="AR3976:AS3977"/>
    <mergeCell ref="AT3976:AU3977"/>
    <mergeCell ref="AV3976:AW3977"/>
    <mergeCell ref="AX3976:AY3977"/>
    <mergeCell ref="AZ3976:AZ3977"/>
    <mergeCell ref="F3977:H3977"/>
    <mergeCell ref="X3977:AB3977"/>
    <mergeCell ref="AE3977:AI3977"/>
    <mergeCell ref="AJ3977:AL3977"/>
    <mergeCell ref="AN3977:AO3977"/>
    <mergeCell ref="AP3977:AQ3977"/>
    <mergeCell ref="A3982:A3983"/>
    <mergeCell ref="E3982:E3983"/>
    <mergeCell ref="F3982:H3982"/>
    <mergeCell ref="J3982:J3983"/>
    <mergeCell ref="K3982:L3983"/>
    <mergeCell ref="M3982:N3983"/>
    <mergeCell ref="O3982:P3983"/>
    <mergeCell ref="Q3982:R3983"/>
    <mergeCell ref="S3982:T3983"/>
    <mergeCell ref="U3982:V3983"/>
    <mergeCell ref="W3982:W3983"/>
    <mergeCell ref="X3982:AB3982"/>
    <mergeCell ref="AD3982:AI3982"/>
    <mergeCell ref="AJ3982:AL3982"/>
    <mergeCell ref="AN3982:AO3982"/>
    <mergeCell ref="AP3982:AQ3982"/>
    <mergeCell ref="AR3982:AS3983"/>
    <mergeCell ref="AT3982:AU3983"/>
    <mergeCell ref="AV3982:AW3983"/>
    <mergeCell ref="AX3982:AY3983"/>
    <mergeCell ref="AZ3982:AZ3983"/>
    <mergeCell ref="F3983:H3983"/>
    <mergeCell ref="X3983:AB3983"/>
    <mergeCell ref="AE3983:AI3983"/>
    <mergeCell ref="AJ3983:AL3983"/>
    <mergeCell ref="AN3983:AO3983"/>
    <mergeCell ref="AP3983:AQ3983"/>
    <mergeCell ref="W3980:W3981"/>
    <mergeCell ref="X3980:AB3980"/>
    <mergeCell ref="AD3980:AI3980"/>
    <mergeCell ref="AJ3980:AL3980"/>
    <mergeCell ref="AN3980:AO3980"/>
    <mergeCell ref="AP3980:AQ3980"/>
    <mergeCell ref="AR3980:AS3981"/>
    <mergeCell ref="AT3980:AU3981"/>
    <mergeCell ref="AV3980:AW3981"/>
    <mergeCell ref="AX3980:AY3981"/>
    <mergeCell ref="A3988:A3989"/>
    <mergeCell ref="E3988:E3989"/>
    <mergeCell ref="F3988:H3988"/>
    <mergeCell ref="J3988:J3989"/>
    <mergeCell ref="K3988:L3989"/>
    <mergeCell ref="M3988:N3989"/>
    <mergeCell ref="O3988:P3989"/>
    <mergeCell ref="Q3988:R3989"/>
    <mergeCell ref="S3988:T3989"/>
    <mergeCell ref="U3988:V3989"/>
    <mergeCell ref="W3988:W3989"/>
    <mergeCell ref="X3988:AB3988"/>
    <mergeCell ref="AD3988:AI3988"/>
    <mergeCell ref="AJ3988:AL3988"/>
    <mergeCell ref="AN3988:AO3988"/>
    <mergeCell ref="AP3988:AQ3988"/>
    <mergeCell ref="AR3988:AS3989"/>
    <mergeCell ref="AT3988:AU3989"/>
    <mergeCell ref="AV3988:AW3989"/>
    <mergeCell ref="AX3988:AY3989"/>
    <mergeCell ref="AZ3988:AZ3989"/>
    <mergeCell ref="F3989:H3989"/>
    <mergeCell ref="X3989:AB3989"/>
    <mergeCell ref="AE3989:AI3989"/>
    <mergeCell ref="AJ3989:AL3989"/>
    <mergeCell ref="AN3989:AO3989"/>
    <mergeCell ref="AP3989:AQ3989"/>
    <mergeCell ref="A3990:A3991"/>
    <mergeCell ref="E3990:E3991"/>
    <mergeCell ref="F3990:H3990"/>
    <mergeCell ref="J3990:J3991"/>
    <mergeCell ref="K3990:L3991"/>
    <mergeCell ref="M3990:N3991"/>
    <mergeCell ref="O3990:P3991"/>
    <mergeCell ref="Q3990:R3991"/>
    <mergeCell ref="S3990:T3991"/>
    <mergeCell ref="U3990:V3991"/>
    <mergeCell ref="W3990:W3991"/>
    <mergeCell ref="X3990:AB3990"/>
    <mergeCell ref="AD3990:AI3990"/>
    <mergeCell ref="AJ3990:AL3990"/>
    <mergeCell ref="AN3990:AO3990"/>
    <mergeCell ref="AP3990:AQ3990"/>
    <mergeCell ref="AR3990:AS3991"/>
    <mergeCell ref="AT3990:AU3991"/>
    <mergeCell ref="AV3990:AW3991"/>
    <mergeCell ref="AX3990:AY3991"/>
    <mergeCell ref="AZ3990:AZ3991"/>
    <mergeCell ref="F3991:H3991"/>
    <mergeCell ref="X3991:AB3991"/>
    <mergeCell ref="AE3991:AI3991"/>
    <mergeCell ref="AJ3991:AL3991"/>
    <mergeCell ref="AN3991:AO3991"/>
    <mergeCell ref="AP3991:AQ3991"/>
    <mergeCell ref="AJ3998:AL3998"/>
    <mergeCell ref="AN3998:AO3998"/>
    <mergeCell ref="AP3998:AQ3998"/>
    <mergeCell ref="AR3998:AS3999"/>
    <mergeCell ref="AT3998:AU3999"/>
    <mergeCell ref="AV3998:AW3999"/>
    <mergeCell ref="AX3998:AY3999"/>
    <mergeCell ref="AZ3998:AZ3999"/>
    <mergeCell ref="F3999:H3999"/>
    <mergeCell ref="X3999:AB3999"/>
    <mergeCell ref="AE3999:AI3999"/>
    <mergeCell ref="AJ3999:AL3999"/>
    <mergeCell ref="AN3999:AO3999"/>
    <mergeCell ref="AP3999:AQ3999"/>
    <mergeCell ref="A3992:A3993"/>
    <mergeCell ref="E3992:E3993"/>
    <mergeCell ref="F3992:H3992"/>
    <mergeCell ref="J3992:J3993"/>
    <mergeCell ref="K3992:L3993"/>
    <mergeCell ref="M3992:N3993"/>
    <mergeCell ref="O3992:P3993"/>
    <mergeCell ref="Q3992:R3993"/>
    <mergeCell ref="S3992:T3993"/>
    <mergeCell ref="U3992:V3993"/>
    <mergeCell ref="W3992:W3993"/>
    <mergeCell ref="X3992:AB3992"/>
    <mergeCell ref="AD3992:AI3992"/>
    <mergeCell ref="AJ3992:AL3992"/>
    <mergeCell ref="AN3992:AO3992"/>
    <mergeCell ref="AP3992:AQ3992"/>
    <mergeCell ref="AR3992:AS3993"/>
    <mergeCell ref="AT3992:AU3993"/>
    <mergeCell ref="AV3992:AW3993"/>
    <mergeCell ref="AX3992:AY3993"/>
    <mergeCell ref="AZ3992:AZ3993"/>
    <mergeCell ref="F3993:H3993"/>
    <mergeCell ref="X3993:AB3993"/>
    <mergeCell ref="AE3993:AI3993"/>
    <mergeCell ref="AJ3993:AL3993"/>
    <mergeCell ref="AN3993:AO3993"/>
    <mergeCell ref="AP3993:AQ3993"/>
    <mergeCell ref="A3994:A3995"/>
    <mergeCell ref="E3994:E3995"/>
    <mergeCell ref="F3994:H3994"/>
    <mergeCell ref="J3994:J3995"/>
    <mergeCell ref="K3994:L3995"/>
    <mergeCell ref="M3994:N3995"/>
    <mergeCell ref="O3994:P3995"/>
    <mergeCell ref="Q3994:R3995"/>
    <mergeCell ref="S3994:T3995"/>
    <mergeCell ref="U3994:V3995"/>
    <mergeCell ref="AE3995:AI3995"/>
    <mergeCell ref="AJ3995:AL3995"/>
    <mergeCell ref="AN3995:AO3995"/>
    <mergeCell ref="AP3995:AQ3995"/>
    <mergeCell ref="AZ3902:AZ3903"/>
    <mergeCell ref="F3903:H3903"/>
    <mergeCell ref="X3903:AB3903"/>
    <mergeCell ref="AE3903:AI3903"/>
    <mergeCell ref="AJ3903:AL3903"/>
    <mergeCell ref="AN3903:AO3903"/>
    <mergeCell ref="AP3903:AQ3903"/>
    <mergeCell ref="A3996:A3997"/>
    <mergeCell ref="E3996:E3997"/>
    <mergeCell ref="F3996:H3996"/>
    <mergeCell ref="J3996:J3997"/>
    <mergeCell ref="K3996:L3997"/>
    <mergeCell ref="M3996:N3997"/>
    <mergeCell ref="O3996:P3997"/>
    <mergeCell ref="Q3996:R3997"/>
    <mergeCell ref="S3996:T3997"/>
    <mergeCell ref="U3996:V3997"/>
    <mergeCell ref="W3996:W3997"/>
    <mergeCell ref="X3996:AB3996"/>
    <mergeCell ref="AD3996:AI3996"/>
    <mergeCell ref="AJ3996:AL3996"/>
    <mergeCell ref="AN3996:AO3996"/>
    <mergeCell ref="AP3996:AQ3996"/>
    <mergeCell ref="AR3996:AS3997"/>
    <mergeCell ref="AT3996:AU3997"/>
    <mergeCell ref="AV3996:AW3997"/>
    <mergeCell ref="AX3996:AY3997"/>
    <mergeCell ref="AZ3996:AZ3997"/>
    <mergeCell ref="F3997:H3997"/>
    <mergeCell ref="X3997:AB3997"/>
    <mergeCell ref="AE3997:AI3997"/>
    <mergeCell ref="AJ3997:AL3997"/>
    <mergeCell ref="AN3997:AO3997"/>
    <mergeCell ref="AP3997:AQ3997"/>
    <mergeCell ref="W3994:W3995"/>
    <mergeCell ref="X3994:AB3994"/>
    <mergeCell ref="AD3994:AI3994"/>
    <mergeCell ref="AJ3994:AL3994"/>
    <mergeCell ref="AN3994:AO3994"/>
    <mergeCell ref="AP3994:AQ3994"/>
    <mergeCell ref="AR3994:AS3995"/>
    <mergeCell ref="AT3994:AU3995"/>
    <mergeCell ref="AV3994:AW3995"/>
    <mergeCell ref="AX3994:AY3995"/>
    <mergeCell ref="AZ3994:AZ3995"/>
    <mergeCell ref="F3995:H3995"/>
    <mergeCell ref="X3995:AB3995"/>
    <mergeCell ref="W3924:W3925"/>
    <mergeCell ref="X3924:AB3924"/>
    <mergeCell ref="AD3924:AI3924"/>
    <mergeCell ref="AJ3924:AL3924"/>
    <mergeCell ref="AN3924:AO3924"/>
    <mergeCell ref="AP3924:AQ3924"/>
    <mergeCell ref="AR3924:AS3925"/>
    <mergeCell ref="AT3924:AU3925"/>
    <mergeCell ref="AV3924:AW3925"/>
    <mergeCell ref="AX3924:AY3925"/>
    <mergeCell ref="AZ3924:AZ3925"/>
    <mergeCell ref="F3925:H3925"/>
    <mergeCell ref="X3925:AB3925"/>
    <mergeCell ref="AE3925:AI3925"/>
    <mergeCell ref="AJ3925:AL3925"/>
    <mergeCell ref="AN3925:AO3925"/>
    <mergeCell ref="AP3925:AQ3925"/>
    <mergeCell ref="A3898:A3899"/>
    <mergeCell ref="E3898:E3899"/>
    <mergeCell ref="F3898:H3898"/>
    <mergeCell ref="J3898:J3899"/>
    <mergeCell ref="K3898:L3899"/>
    <mergeCell ref="M3898:N3899"/>
    <mergeCell ref="O3898:P3899"/>
    <mergeCell ref="Q3898:R3899"/>
    <mergeCell ref="S3898:T3899"/>
    <mergeCell ref="U3898:V3899"/>
    <mergeCell ref="W3898:W3899"/>
    <mergeCell ref="X3898:AB3898"/>
    <mergeCell ref="AD3898:AI3898"/>
    <mergeCell ref="AJ3898:AL3898"/>
    <mergeCell ref="AN3898:AO3898"/>
    <mergeCell ref="AP3898:AQ3898"/>
    <mergeCell ref="AR3898:AS3899"/>
    <mergeCell ref="AT3898:AU3899"/>
    <mergeCell ref="AV3898:AW3899"/>
    <mergeCell ref="AX3898:AY3899"/>
    <mergeCell ref="J3908:J3909"/>
    <mergeCell ref="K3908:L3909"/>
    <mergeCell ref="M3908:N3909"/>
    <mergeCell ref="O3908:P3909"/>
    <mergeCell ref="Q3908:R3909"/>
    <mergeCell ref="S3908:T3909"/>
    <mergeCell ref="U3908:V3909"/>
    <mergeCell ref="W3908:W3909"/>
    <mergeCell ref="X3908:AB3908"/>
    <mergeCell ref="AD3908:AI3908"/>
    <mergeCell ref="AJ3908:AL3908"/>
    <mergeCell ref="AN3908:AO3908"/>
    <mergeCell ref="AP3908:AQ3908"/>
    <mergeCell ref="AR3908:AS3909"/>
    <mergeCell ref="AT3908:AU3909"/>
    <mergeCell ref="AV3908:AW3909"/>
    <mergeCell ref="AX3908:AY3909"/>
    <mergeCell ref="J3900:J3901"/>
    <mergeCell ref="K3900:L3901"/>
    <mergeCell ref="M3900:N3901"/>
    <mergeCell ref="O3900:P3901"/>
    <mergeCell ref="Q3900:R3901"/>
    <mergeCell ref="S3900:T3901"/>
    <mergeCell ref="U3900:V3901"/>
    <mergeCell ref="W3900:W3901"/>
    <mergeCell ref="X3900:AB3900"/>
    <mergeCell ref="AD3900:AI3900"/>
    <mergeCell ref="AJ3900:AL3900"/>
    <mergeCell ref="AN3900:AO3900"/>
    <mergeCell ref="AP3900:AQ3900"/>
    <mergeCell ref="AR3900:AS3901"/>
    <mergeCell ref="AT3900:AU3901"/>
    <mergeCell ref="AV3900:AW3901"/>
    <mergeCell ref="AX3900:AY3901"/>
    <mergeCell ref="AZ3898:AZ3899"/>
    <mergeCell ref="F3899:H3899"/>
    <mergeCell ref="X3899:AB3899"/>
    <mergeCell ref="AE3899:AI3899"/>
    <mergeCell ref="AJ3899:AL3899"/>
    <mergeCell ref="AN3899:AO3899"/>
    <mergeCell ref="AP3899:AQ3899"/>
    <mergeCell ref="A3906:A3907"/>
    <mergeCell ref="E3906:E3907"/>
    <mergeCell ref="F3906:H3906"/>
    <mergeCell ref="J3906:J3907"/>
    <mergeCell ref="K3906:L3907"/>
    <mergeCell ref="M3906:N3907"/>
    <mergeCell ref="O3906:P3907"/>
    <mergeCell ref="Q3906:R3907"/>
    <mergeCell ref="S3906:T3907"/>
    <mergeCell ref="U3906:V3907"/>
    <mergeCell ref="W3906:W3907"/>
    <mergeCell ref="X3906:AB3906"/>
    <mergeCell ref="AD3906:AI3906"/>
    <mergeCell ref="AJ3906:AL3906"/>
    <mergeCell ref="AN3906:AO3906"/>
    <mergeCell ref="AP3906:AQ3906"/>
    <mergeCell ref="AR3906:AS3907"/>
    <mergeCell ref="AT3906:AU3907"/>
    <mergeCell ref="AV3906:AW3907"/>
    <mergeCell ref="AX3906:AY3907"/>
    <mergeCell ref="AZ3906:AZ3907"/>
    <mergeCell ref="F3907:H3907"/>
    <mergeCell ref="X3907:AB3907"/>
    <mergeCell ref="AE3907:AI3907"/>
    <mergeCell ref="AJ3907:AL3907"/>
    <mergeCell ref="AN3907:AO3907"/>
    <mergeCell ref="AP3907:AQ3907"/>
    <mergeCell ref="AZ3904:AZ3905"/>
    <mergeCell ref="F3905:H3905"/>
    <mergeCell ref="X3905:AB3905"/>
    <mergeCell ref="AE3905:AI3905"/>
    <mergeCell ref="AJ3905:AL3905"/>
    <mergeCell ref="AN3905:AO3905"/>
    <mergeCell ref="AP3905:AQ3905"/>
    <mergeCell ref="A3900:A3901"/>
    <mergeCell ref="E3900:E3901"/>
    <mergeCell ref="F3900:H3900"/>
    <mergeCell ref="A3904:A3905"/>
    <mergeCell ref="E3904:E3905"/>
    <mergeCell ref="F3904:H3904"/>
    <mergeCell ref="J3904:J3905"/>
    <mergeCell ref="K3904:L3905"/>
    <mergeCell ref="M3904:N3905"/>
    <mergeCell ref="O3904:P3905"/>
    <mergeCell ref="Q3904:R3905"/>
    <mergeCell ref="S3904:T3905"/>
    <mergeCell ref="U3904:V3905"/>
    <mergeCell ref="W3904:W3905"/>
    <mergeCell ref="X3904:AB3904"/>
    <mergeCell ref="AD3904:AI3904"/>
    <mergeCell ref="AJ3904:AL3904"/>
    <mergeCell ref="AN3904:AO3904"/>
    <mergeCell ref="AP3904:AQ3904"/>
    <mergeCell ref="AR3904:AS3905"/>
    <mergeCell ref="AT3904:AU3905"/>
    <mergeCell ref="AV3904:AW3905"/>
    <mergeCell ref="AX3904:AY3905"/>
    <mergeCell ref="W3914:W3915"/>
    <mergeCell ref="X3914:AB3914"/>
    <mergeCell ref="AD3914:AI3914"/>
    <mergeCell ref="AJ3914:AL3914"/>
    <mergeCell ref="AN3914:AO3914"/>
    <mergeCell ref="AP3914:AQ3914"/>
    <mergeCell ref="AR3914:AS3915"/>
    <mergeCell ref="AT3914:AU3915"/>
    <mergeCell ref="AV3914:AW3915"/>
    <mergeCell ref="AX3914:AY3915"/>
    <mergeCell ref="AZ3914:AZ3915"/>
    <mergeCell ref="F3915:H3915"/>
    <mergeCell ref="X3915:AB3915"/>
    <mergeCell ref="AE3915:AI3915"/>
    <mergeCell ref="AJ3915:AL3915"/>
    <mergeCell ref="AN3915:AO3915"/>
    <mergeCell ref="AP3915:AQ3915"/>
    <mergeCell ref="A3926:A3927"/>
    <mergeCell ref="E3926:E3927"/>
    <mergeCell ref="F3926:H3926"/>
    <mergeCell ref="J3926:J3927"/>
    <mergeCell ref="K3926:L3927"/>
    <mergeCell ref="M3926:N3927"/>
    <mergeCell ref="O3926:P3927"/>
    <mergeCell ref="Q3926:R3927"/>
    <mergeCell ref="S3926:T3927"/>
    <mergeCell ref="U3926:V3927"/>
    <mergeCell ref="W3926:W3927"/>
    <mergeCell ref="X3926:AB3926"/>
    <mergeCell ref="AD3926:AI3926"/>
    <mergeCell ref="AJ3926:AL3926"/>
    <mergeCell ref="AN3926:AO3926"/>
    <mergeCell ref="AP3926:AQ3926"/>
    <mergeCell ref="AR3926:AS3927"/>
    <mergeCell ref="AT3926:AU3927"/>
    <mergeCell ref="AV3926:AW3927"/>
    <mergeCell ref="AX3926:AY3927"/>
    <mergeCell ref="AZ3926:AZ3927"/>
    <mergeCell ref="F3927:H3927"/>
    <mergeCell ref="X3927:AB3927"/>
    <mergeCell ref="AE3927:AI3927"/>
    <mergeCell ref="AJ3927:AL3927"/>
    <mergeCell ref="AN3927:AO3927"/>
    <mergeCell ref="AP3927:AQ3927"/>
    <mergeCell ref="A3922:A3923"/>
    <mergeCell ref="E3922:E3923"/>
    <mergeCell ref="F3922:H3922"/>
    <mergeCell ref="J3922:J3923"/>
    <mergeCell ref="K3922:L3923"/>
    <mergeCell ref="M3922:N3923"/>
    <mergeCell ref="O3922:P3923"/>
    <mergeCell ref="Q3922:R3923"/>
    <mergeCell ref="S3922:T3923"/>
    <mergeCell ref="U3922:V3923"/>
    <mergeCell ref="W3922:W3923"/>
    <mergeCell ref="X3922:AB3922"/>
    <mergeCell ref="AD3922:AI3922"/>
    <mergeCell ref="AJ3922:AL3922"/>
    <mergeCell ref="AN3922:AO3922"/>
    <mergeCell ref="AP3922:AQ3922"/>
    <mergeCell ref="AR3922:AS3923"/>
    <mergeCell ref="AT3922:AU3923"/>
    <mergeCell ref="AV3922:AW3923"/>
    <mergeCell ref="AX3922:AY3923"/>
    <mergeCell ref="AZ4112:AZ4113"/>
    <mergeCell ref="F4113:H4113"/>
    <mergeCell ref="X4113:AB4113"/>
    <mergeCell ref="AE4113:AI4113"/>
    <mergeCell ref="AJ4113:AL4113"/>
    <mergeCell ref="AN4113:AO4113"/>
    <mergeCell ref="AP4113:AQ4113"/>
    <mergeCell ref="AZ3922:AZ3923"/>
    <mergeCell ref="F3923:H3923"/>
    <mergeCell ref="X3923:AB3923"/>
    <mergeCell ref="AE3923:AI3923"/>
    <mergeCell ref="AJ3923:AL3923"/>
    <mergeCell ref="AN3923:AO3923"/>
    <mergeCell ref="AP3923:AQ3923"/>
    <mergeCell ref="A3924:A3925"/>
    <mergeCell ref="E3924:E3925"/>
    <mergeCell ref="F3924:H3924"/>
    <mergeCell ref="J3924:J3925"/>
    <mergeCell ref="K3924:L3925"/>
    <mergeCell ref="M3924:N3925"/>
    <mergeCell ref="O3924:P3925"/>
    <mergeCell ref="Q3924:R3925"/>
    <mergeCell ref="S3924:T3925"/>
    <mergeCell ref="U3924:V3925"/>
    <mergeCell ref="A4106:A4107"/>
    <mergeCell ref="E4106:E4107"/>
    <mergeCell ref="F4106:H4106"/>
    <mergeCell ref="J4106:J4107"/>
    <mergeCell ref="K4106:L4107"/>
    <mergeCell ref="M4106:N4107"/>
    <mergeCell ref="O4106:P4107"/>
    <mergeCell ref="Q4106:R4107"/>
    <mergeCell ref="S4106:T4107"/>
    <mergeCell ref="U4106:V4107"/>
    <mergeCell ref="W4106:W4107"/>
    <mergeCell ref="X4106:AB4106"/>
    <mergeCell ref="AD4106:AI4106"/>
    <mergeCell ref="AJ4106:AL4106"/>
    <mergeCell ref="AN4106:AO4106"/>
    <mergeCell ref="AP4106:AQ4106"/>
    <mergeCell ref="AR4106:AS4107"/>
    <mergeCell ref="AT4106:AU4107"/>
    <mergeCell ref="AV4106:AW4107"/>
    <mergeCell ref="AX4106:AY4107"/>
    <mergeCell ref="AZ4106:AZ4107"/>
    <mergeCell ref="F4107:H4107"/>
    <mergeCell ref="X4107:AB4107"/>
    <mergeCell ref="AE4107:AI4107"/>
    <mergeCell ref="AJ4107:AL4107"/>
    <mergeCell ref="AN4107:AO4107"/>
    <mergeCell ref="AP4107:AQ4107"/>
    <mergeCell ref="A3998:A3999"/>
    <mergeCell ref="E3998:E3999"/>
    <mergeCell ref="F3998:H3998"/>
    <mergeCell ref="J3998:J3999"/>
    <mergeCell ref="K3998:L3999"/>
    <mergeCell ref="M3998:N3999"/>
    <mergeCell ref="O3998:P3999"/>
    <mergeCell ref="Q3998:R3999"/>
    <mergeCell ref="S3998:T3999"/>
    <mergeCell ref="U3998:V3999"/>
    <mergeCell ref="W3998:W3999"/>
    <mergeCell ref="X3998:AB3998"/>
    <mergeCell ref="AD3998:AI3998"/>
    <mergeCell ref="W4116:W4117"/>
    <mergeCell ref="X4116:AB4116"/>
    <mergeCell ref="AD4116:AI4116"/>
    <mergeCell ref="AJ4116:AL4116"/>
    <mergeCell ref="AN4116:AO4116"/>
    <mergeCell ref="AP4116:AQ4116"/>
    <mergeCell ref="AR4116:AS4117"/>
    <mergeCell ref="AT4116:AU4117"/>
    <mergeCell ref="AV4116:AW4117"/>
    <mergeCell ref="AX4116:AY4117"/>
    <mergeCell ref="AZ4116:AZ4117"/>
    <mergeCell ref="F4117:H4117"/>
    <mergeCell ref="X4117:AB4117"/>
    <mergeCell ref="AE4117:AI4117"/>
    <mergeCell ref="AJ4117:AL4117"/>
    <mergeCell ref="AN4117:AO4117"/>
    <mergeCell ref="AP4117:AQ4117"/>
    <mergeCell ref="A4110:A4111"/>
    <mergeCell ref="E4110:E4111"/>
    <mergeCell ref="F4110:H4110"/>
    <mergeCell ref="J4110:J4111"/>
    <mergeCell ref="K4110:L4111"/>
    <mergeCell ref="M4110:N4111"/>
    <mergeCell ref="O4110:P4111"/>
    <mergeCell ref="Q4110:R4111"/>
    <mergeCell ref="S4110:T4111"/>
    <mergeCell ref="U4110:V4111"/>
    <mergeCell ref="W4110:W4111"/>
    <mergeCell ref="X4110:AB4110"/>
    <mergeCell ref="AD4110:AI4110"/>
    <mergeCell ref="AJ4110:AL4110"/>
    <mergeCell ref="AN4110:AO4110"/>
    <mergeCell ref="AP4110:AQ4110"/>
    <mergeCell ref="AR4110:AS4111"/>
    <mergeCell ref="AT4110:AU4111"/>
    <mergeCell ref="AV4110:AW4111"/>
    <mergeCell ref="AX4110:AY4111"/>
    <mergeCell ref="AZ4110:AZ4111"/>
    <mergeCell ref="F4111:H4111"/>
    <mergeCell ref="X4111:AB4111"/>
    <mergeCell ref="AE4111:AI4111"/>
    <mergeCell ref="AJ4111:AL4111"/>
    <mergeCell ref="AN4111:AO4111"/>
    <mergeCell ref="AP4111:AQ4111"/>
    <mergeCell ref="A4112:A4113"/>
    <mergeCell ref="E4112:E4113"/>
    <mergeCell ref="F4112:H4112"/>
    <mergeCell ref="J4112:J4113"/>
    <mergeCell ref="K4112:L4113"/>
    <mergeCell ref="M4112:N4113"/>
    <mergeCell ref="O4112:P4113"/>
    <mergeCell ref="Q4112:R4113"/>
    <mergeCell ref="S4112:T4113"/>
    <mergeCell ref="U4112:V4113"/>
    <mergeCell ref="W4112:W4113"/>
    <mergeCell ref="X4112:AB4112"/>
    <mergeCell ref="AD4112:AI4112"/>
    <mergeCell ref="AJ4112:AL4112"/>
    <mergeCell ref="AN4112:AO4112"/>
    <mergeCell ref="AP4112:AQ4112"/>
    <mergeCell ref="AR4112:AS4113"/>
    <mergeCell ref="AT4112:AU4113"/>
    <mergeCell ref="AV4112:AW4113"/>
    <mergeCell ref="AX4112:AY4113"/>
    <mergeCell ref="A4150:A4151"/>
    <mergeCell ref="E4150:E4151"/>
    <mergeCell ref="F4150:H4150"/>
    <mergeCell ref="J4150:J4151"/>
    <mergeCell ref="K4150:L4151"/>
    <mergeCell ref="M4150:N4151"/>
    <mergeCell ref="O4150:P4151"/>
    <mergeCell ref="Q4150:R4151"/>
    <mergeCell ref="S4150:T4151"/>
    <mergeCell ref="U4150:V4151"/>
    <mergeCell ref="W4150:W4151"/>
    <mergeCell ref="X4150:AB4150"/>
    <mergeCell ref="AD4150:AI4150"/>
    <mergeCell ref="AJ4150:AL4150"/>
    <mergeCell ref="AN4150:AO4150"/>
    <mergeCell ref="AP4150:AQ4150"/>
    <mergeCell ref="AR4150:AS4151"/>
    <mergeCell ref="AT4150:AU4151"/>
    <mergeCell ref="AV4150:AW4151"/>
    <mergeCell ref="AX4150:AY4151"/>
    <mergeCell ref="AZ4150:AZ4151"/>
    <mergeCell ref="F4151:H4151"/>
    <mergeCell ref="X4151:AB4151"/>
    <mergeCell ref="AE4151:AI4151"/>
    <mergeCell ref="AJ4151:AL4151"/>
    <mergeCell ref="AN4151:AO4151"/>
    <mergeCell ref="AP4151:AQ4151"/>
    <mergeCell ref="A4114:A4115"/>
    <mergeCell ref="E4114:E4115"/>
    <mergeCell ref="F4114:H4114"/>
    <mergeCell ref="J4114:J4115"/>
    <mergeCell ref="K4114:L4115"/>
    <mergeCell ref="M4114:N4115"/>
    <mergeCell ref="O4114:P4115"/>
    <mergeCell ref="Q4114:R4115"/>
    <mergeCell ref="S4114:T4115"/>
    <mergeCell ref="U4114:V4115"/>
    <mergeCell ref="W4114:W4115"/>
    <mergeCell ref="X4114:AB4114"/>
    <mergeCell ref="AD4114:AI4114"/>
    <mergeCell ref="AJ4114:AL4114"/>
    <mergeCell ref="AN4114:AO4114"/>
    <mergeCell ref="AP4114:AQ4114"/>
    <mergeCell ref="AR4114:AS4115"/>
    <mergeCell ref="AT4114:AU4115"/>
    <mergeCell ref="AV4114:AW4115"/>
    <mergeCell ref="AX4114:AY4115"/>
    <mergeCell ref="AZ4114:AZ4115"/>
    <mergeCell ref="F4115:H4115"/>
    <mergeCell ref="X4115:AB4115"/>
    <mergeCell ref="AE4115:AI4115"/>
    <mergeCell ref="AJ4115:AL4115"/>
    <mergeCell ref="AN4115:AO4115"/>
    <mergeCell ref="AP4115:AQ4115"/>
    <mergeCell ref="A4116:A4117"/>
    <mergeCell ref="E4116:E4117"/>
    <mergeCell ref="F4116:H4116"/>
    <mergeCell ref="J4116:J4117"/>
    <mergeCell ref="K4116:L4117"/>
    <mergeCell ref="M4116:N4117"/>
    <mergeCell ref="O4116:P4117"/>
    <mergeCell ref="Q4116:R4117"/>
    <mergeCell ref="S4116:T4117"/>
    <mergeCell ref="U4116:V4117"/>
    <mergeCell ref="J4196:J4197"/>
    <mergeCell ref="K4196:L4197"/>
    <mergeCell ref="M4196:N4197"/>
    <mergeCell ref="O4196:P4197"/>
    <mergeCell ref="Q4196:R4197"/>
    <mergeCell ref="S4196:T4197"/>
    <mergeCell ref="U4196:V4197"/>
    <mergeCell ref="W4196:W4197"/>
    <mergeCell ref="X4196:AB4196"/>
    <mergeCell ref="AD4196:AI4196"/>
    <mergeCell ref="AJ4196:AL4196"/>
    <mergeCell ref="AN4196:AO4196"/>
    <mergeCell ref="AP4196:AQ4196"/>
    <mergeCell ref="AR4196:AS4197"/>
    <mergeCell ref="AT4196:AU4197"/>
    <mergeCell ref="AV4196:AW4197"/>
    <mergeCell ref="AX4196:AY4197"/>
    <mergeCell ref="AZ4196:AZ4197"/>
    <mergeCell ref="F4197:H4197"/>
    <mergeCell ref="X4197:AB4197"/>
    <mergeCell ref="AE4197:AI4197"/>
    <mergeCell ref="AJ4197:AL4197"/>
    <mergeCell ref="AN4197:AO4197"/>
    <mergeCell ref="AP4197:AQ4197"/>
    <mergeCell ref="A4248:A4249"/>
    <mergeCell ref="E4248:E4249"/>
    <mergeCell ref="F4248:H4248"/>
    <mergeCell ref="J4248:J4249"/>
    <mergeCell ref="K4248:L4249"/>
    <mergeCell ref="M4248:N4249"/>
    <mergeCell ref="O4248:P4249"/>
    <mergeCell ref="Q4248:R4249"/>
    <mergeCell ref="S4248:T4249"/>
    <mergeCell ref="U4248:V4249"/>
    <mergeCell ref="W4248:W4249"/>
    <mergeCell ref="X4248:AB4248"/>
    <mergeCell ref="AD4248:AI4248"/>
    <mergeCell ref="AJ4248:AL4248"/>
    <mergeCell ref="AN4248:AO4248"/>
    <mergeCell ref="AP4248:AQ4248"/>
    <mergeCell ref="AR4248:AS4249"/>
    <mergeCell ref="AT4248:AU4249"/>
    <mergeCell ref="AV4248:AW4249"/>
    <mergeCell ref="AX4248:AY4249"/>
    <mergeCell ref="AZ4248:AZ4249"/>
    <mergeCell ref="F4249:H4249"/>
    <mergeCell ref="X4249:AB4249"/>
    <mergeCell ref="AE4249:AI4249"/>
    <mergeCell ref="AJ4249:AL4249"/>
    <mergeCell ref="AN4249:AO4249"/>
    <mergeCell ref="AP4249:AQ4249"/>
    <mergeCell ref="AZ4198:AZ4199"/>
    <mergeCell ref="F4199:H4199"/>
    <mergeCell ref="X4199:AB4199"/>
    <mergeCell ref="AE4199:AI4199"/>
    <mergeCell ref="AJ4199:AL4199"/>
    <mergeCell ref="AN4199:AO4199"/>
    <mergeCell ref="AP4199:AQ4199"/>
    <mergeCell ref="A4196:A4197"/>
    <mergeCell ref="E4196:E4197"/>
    <mergeCell ref="F4196:H4196"/>
    <mergeCell ref="AZ4210:AZ4211"/>
    <mergeCell ref="F4211:H4211"/>
    <mergeCell ref="X4211:AB4211"/>
    <mergeCell ref="A4250:A4251"/>
    <mergeCell ref="E4250:E4251"/>
    <mergeCell ref="F4250:H4250"/>
    <mergeCell ref="J4250:J4251"/>
    <mergeCell ref="K4250:L4251"/>
    <mergeCell ref="M4250:N4251"/>
    <mergeCell ref="O4250:P4251"/>
    <mergeCell ref="Q4250:R4251"/>
    <mergeCell ref="S4250:T4251"/>
    <mergeCell ref="U4250:V4251"/>
    <mergeCell ref="W4250:W4251"/>
    <mergeCell ref="X4250:AB4250"/>
    <mergeCell ref="AD4250:AI4250"/>
    <mergeCell ref="AJ4250:AL4250"/>
    <mergeCell ref="AN4250:AO4250"/>
    <mergeCell ref="AP4250:AQ4250"/>
    <mergeCell ref="AR4250:AS4251"/>
    <mergeCell ref="AT4250:AU4251"/>
    <mergeCell ref="AV4250:AW4251"/>
    <mergeCell ref="AX4250:AY4251"/>
    <mergeCell ref="AZ4250:AZ4251"/>
    <mergeCell ref="F4251:H4251"/>
    <mergeCell ref="X4251:AB4251"/>
    <mergeCell ref="AE4251:AI4251"/>
    <mergeCell ref="AJ4251:AL4251"/>
    <mergeCell ref="AN4251:AO4251"/>
    <mergeCell ref="AP4251:AQ4251"/>
    <mergeCell ref="A4252:A4253"/>
    <mergeCell ref="E4252:E4253"/>
    <mergeCell ref="F4252:H4252"/>
    <mergeCell ref="J4252:J4253"/>
    <mergeCell ref="K4252:L4253"/>
    <mergeCell ref="M4252:N4253"/>
    <mergeCell ref="O4252:P4253"/>
    <mergeCell ref="Q4252:R4253"/>
    <mergeCell ref="S4252:T4253"/>
    <mergeCell ref="U4252:V4253"/>
    <mergeCell ref="W4252:W4253"/>
    <mergeCell ref="X4252:AB4252"/>
    <mergeCell ref="AD4252:AI4252"/>
    <mergeCell ref="AJ4252:AL4252"/>
    <mergeCell ref="AN4252:AO4252"/>
    <mergeCell ref="AP4252:AQ4252"/>
    <mergeCell ref="AR4252:AS4253"/>
    <mergeCell ref="AT4252:AU4253"/>
    <mergeCell ref="AV4252:AW4253"/>
    <mergeCell ref="AX4252:AY4253"/>
    <mergeCell ref="AZ4252:AZ4253"/>
    <mergeCell ref="F4253:H4253"/>
    <mergeCell ref="X4253:AB4253"/>
    <mergeCell ref="AE4253:AI4253"/>
    <mergeCell ref="AJ4253:AL4253"/>
    <mergeCell ref="AN4253:AO4253"/>
    <mergeCell ref="AP4253:AQ4253"/>
    <mergeCell ref="A4254:A4255"/>
    <mergeCell ref="E4254:E4255"/>
    <mergeCell ref="F4254:H4254"/>
    <mergeCell ref="J4254:J4255"/>
    <mergeCell ref="K4254:L4255"/>
    <mergeCell ref="M4254:N4255"/>
    <mergeCell ref="O4254:P4255"/>
    <mergeCell ref="Q4254:R4255"/>
    <mergeCell ref="S4254:T4255"/>
    <mergeCell ref="U4254:V4255"/>
    <mergeCell ref="W4254:W4255"/>
    <mergeCell ref="X4254:AB4254"/>
    <mergeCell ref="AD4254:AI4254"/>
    <mergeCell ref="AJ4254:AL4254"/>
    <mergeCell ref="AN4254:AO4254"/>
    <mergeCell ref="AP4254:AQ4254"/>
    <mergeCell ref="AR4254:AS4255"/>
    <mergeCell ref="AT4254:AU4255"/>
    <mergeCell ref="AV4254:AW4255"/>
    <mergeCell ref="AX4254:AY4255"/>
    <mergeCell ref="AZ4254:AZ4255"/>
    <mergeCell ref="F4255:H4255"/>
    <mergeCell ref="X4255:AB4255"/>
    <mergeCell ref="AE4255:AI4255"/>
    <mergeCell ref="AJ4255:AL4255"/>
    <mergeCell ref="AN4255:AO4255"/>
    <mergeCell ref="AP4255:AQ4255"/>
    <mergeCell ref="A4256:A4257"/>
    <mergeCell ref="E4256:E4257"/>
    <mergeCell ref="F4256:H4256"/>
    <mergeCell ref="J4256:J4257"/>
    <mergeCell ref="K4256:L4257"/>
    <mergeCell ref="M4256:N4257"/>
    <mergeCell ref="O4256:P4257"/>
    <mergeCell ref="Q4256:R4257"/>
    <mergeCell ref="S4256:T4257"/>
    <mergeCell ref="U4256:V4257"/>
    <mergeCell ref="W4256:W4257"/>
    <mergeCell ref="X4256:AB4256"/>
    <mergeCell ref="AD4256:AI4256"/>
    <mergeCell ref="AJ4256:AL4256"/>
    <mergeCell ref="AN4256:AO4256"/>
    <mergeCell ref="AP4256:AQ4256"/>
    <mergeCell ref="AR4256:AS4257"/>
    <mergeCell ref="AT4256:AU4257"/>
    <mergeCell ref="AV4256:AW4257"/>
    <mergeCell ref="AX4256:AY4257"/>
    <mergeCell ref="AZ4256:AZ4257"/>
    <mergeCell ref="F4257:H4257"/>
    <mergeCell ref="X4257:AB4257"/>
    <mergeCell ref="AE4257:AI4257"/>
    <mergeCell ref="AJ4257:AL4257"/>
    <mergeCell ref="AN4257:AO4257"/>
    <mergeCell ref="AP4257:AQ4257"/>
    <mergeCell ref="A4258:A4259"/>
    <mergeCell ref="E4258:E4259"/>
    <mergeCell ref="F4258:H4258"/>
    <mergeCell ref="J4258:J4259"/>
    <mergeCell ref="K4258:L4259"/>
    <mergeCell ref="M4258:N4259"/>
    <mergeCell ref="O4258:P4259"/>
    <mergeCell ref="Q4258:R4259"/>
    <mergeCell ref="S4258:T4259"/>
    <mergeCell ref="U4258:V4259"/>
    <mergeCell ref="W4258:W4259"/>
    <mergeCell ref="X4258:AB4258"/>
    <mergeCell ref="AD4258:AI4258"/>
    <mergeCell ref="AJ4258:AL4258"/>
    <mergeCell ref="AN4258:AO4258"/>
    <mergeCell ref="AP4258:AQ4258"/>
    <mergeCell ref="AR4258:AS4259"/>
    <mergeCell ref="AT4258:AU4259"/>
    <mergeCell ref="AV4258:AW4259"/>
    <mergeCell ref="AX4258:AY4259"/>
    <mergeCell ref="AZ4258:AZ4259"/>
    <mergeCell ref="F4259:H4259"/>
    <mergeCell ref="X4259:AB4259"/>
    <mergeCell ref="AE4259:AI4259"/>
    <mergeCell ref="AJ4259:AL4259"/>
    <mergeCell ref="AN4259:AO4259"/>
    <mergeCell ref="AP4259:AQ4259"/>
    <mergeCell ref="A4260:A4261"/>
    <mergeCell ref="E4260:E4261"/>
    <mergeCell ref="F4260:H4260"/>
    <mergeCell ref="J4260:J4261"/>
    <mergeCell ref="K4260:L4261"/>
    <mergeCell ref="M4260:N4261"/>
    <mergeCell ref="O4260:P4261"/>
    <mergeCell ref="Q4260:R4261"/>
    <mergeCell ref="S4260:T4261"/>
    <mergeCell ref="U4260:V4261"/>
    <mergeCell ref="W4260:W4261"/>
    <mergeCell ref="X4260:AB4260"/>
    <mergeCell ref="AD4260:AI4260"/>
    <mergeCell ref="AJ4260:AL4260"/>
    <mergeCell ref="AN4260:AO4260"/>
    <mergeCell ref="AP4260:AQ4260"/>
    <mergeCell ref="AR4260:AS4261"/>
    <mergeCell ref="AT4260:AU4261"/>
    <mergeCell ref="AV4260:AW4261"/>
    <mergeCell ref="AX4260:AY4261"/>
    <mergeCell ref="AZ4260:AZ4261"/>
    <mergeCell ref="F4261:H4261"/>
    <mergeCell ref="X4261:AB4261"/>
    <mergeCell ref="AE4261:AI4261"/>
    <mergeCell ref="AJ4261:AL4261"/>
    <mergeCell ref="AN4261:AO4261"/>
    <mergeCell ref="AP4261:AQ4261"/>
    <mergeCell ref="A4262:A4263"/>
    <mergeCell ref="E4262:E4263"/>
    <mergeCell ref="F4262:H4262"/>
    <mergeCell ref="J4262:J4263"/>
    <mergeCell ref="K4262:L4263"/>
    <mergeCell ref="M4262:N4263"/>
    <mergeCell ref="O4262:P4263"/>
    <mergeCell ref="Q4262:R4263"/>
    <mergeCell ref="S4262:T4263"/>
    <mergeCell ref="U4262:V4263"/>
    <mergeCell ref="W4262:W4263"/>
    <mergeCell ref="X4262:AB4262"/>
    <mergeCell ref="AD4262:AI4262"/>
    <mergeCell ref="AJ4262:AL4262"/>
    <mergeCell ref="AN4262:AO4262"/>
    <mergeCell ref="AP4262:AQ4262"/>
    <mergeCell ref="AR4262:AS4263"/>
    <mergeCell ref="AT4262:AU4263"/>
    <mergeCell ref="AV4262:AW4263"/>
    <mergeCell ref="AX4262:AY4263"/>
    <mergeCell ref="AZ4262:AZ4263"/>
    <mergeCell ref="F4263:H4263"/>
    <mergeCell ref="X4263:AB4263"/>
    <mergeCell ref="AE4263:AI4263"/>
    <mergeCell ref="AJ4263:AL4263"/>
    <mergeCell ref="AN4263:AO4263"/>
    <mergeCell ref="AP4263:AQ4263"/>
    <mergeCell ref="A4264:A4265"/>
    <mergeCell ref="E4264:E4265"/>
    <mergeCell ref="F4264:H4264"/>
    <mergeCell ref="J4264:J4265"/>
    <mergeCell ref="K4264:L4265"/>
    <mergeCell ref="M4264:N4265"/>
    <mergeCell ref="O4264:P4265"/>
    <mergeCell ref="Q4264:R4265"/>
    <mergeCell ref="S4264:T4265"/>
    <mergeCell ref="U4264:V4265"/>
    <mergeCell ref="W4264:W4265"/>
    <mergeCell ref="X4264:AB4264"/>
    <mergeCell ref="AD4264:AI4264"/>
    <mergeCell ref="AJ4264:AL4264"/>
    <mergeCell ref="AN4264:AO4264"/>
    <mergeCell ref="AP4264:AQ4264"/>
    <mergeCell ref="AR4264:AS4265"/>
    <mergeCell ref="AT4264:AU4265"/>
    <mergeCell ref="AV4264:AW4265"/>
    <mergeCell ref="AX4264:AY4265"/>
    <mergeCell ref="AZ4264:AZ4265"/>
    <mergeCell ref="F4265:H4265"/>
    <mergeCell ref="X4265:AB4265"/>
    <mergeCell ref="AE4265:AI4265"/>
    <mergeCell ref="AJ4265:AL4265"/>
    <mergeCell ref="AN4265:AO4265"/>
    <mergeCell ref="AP4265:AQ4265"/>
    <mergeCell ref="A4266:A4267"/>
    <mergeCell ref="E4266:E4267"/>
    <mergeCell ref="F4266:H4266"/>
    <mergeCell ref="J4266:J4267"/>
    <mergeCell ref="K4266:L4267"/>
    <mergeCell ref="M4266:N4267"/>
    <mergeCell ref="O4266:P4267"/>
    <mergeCell ref="Q4266:R4267"/>
    <mergeCell ref="S4266:T4267"/>
    <mergeCell ref="U4266:V4267"/>
    <mergeCell ref="W4266:W4267"/>
    <mergeCell ref="X4266:AB4266"/>
    <mergeCell ref="AD4266:AI4266"/>
    <mergeCell ref="AJ4266:AL4266"/>
    <mergeCell ref="AN4266:AO4266"/>
    <mergeCell ref="AP4266:AQ4266"/>
    <mergeCell ref="AR4266:AS4267"/>
    <mergeCell ref="AT4266:AU4267"/>
    <mergeCell ref="AV4266:AW4267"/>
    <mergeCell ref="AX4266:AY4267"/>
    <mergeCell ref="AZ4266:AZ4267"/>
    <mergeCell ref="F4267:H4267"/>
    <mergeCell ref="X4267:AB4267"/>
    <mergeCell ref="AE4267:AI4267"/>
    <mergeCell ref="AJ4267:AL4267"/>
    <mergeCell ref="AN4267:AO4267"/>
    <mergeCell ref="AP4267:AQ4267"/>
    <mergeCell ref="A4268:A4269"/>
    <mergeCell ref="E4268:E4269"/>
    <mergeCell ref="F4268:H4268"/>
    <mergeCell ref="J4268:J4269"/>
    <mergeCell ref="K4268:L4269"/>
    <mergeCell ref="M4268:N4269"/>
    <mergeCell ref="O4268:P4269"/>
    <mergeCell ref="Q4268:R4269"/>
    <mergeCell ref="S4268:T4269"/>
    <mergeCell ref="U4268:V4269"/>
    <mergeCell ref="W4268:W4269"/>
    <mergeCell ref="X4268:AB4268"/>
    <mergeCell ref="AD4268:AI4268"/>
    <mergeCell ref="AJ4268:AL4268"/>
    <mergeCell ref="AN4268:AO4268"/>
    <mergeCell ref="AP4268:AQ4268"/>
    <mergeCell ref="AR4268:AS4269"/>
    <mergeCell ref="AT4268:AU4269"/>
    <mergeCell ref="AV4268:AW4269"/>
    <mergeCell ref="AX4268:AY4269"/>
    <mergeCell ref="AZ4268:AZ4269"/>
    <mergeCell ref="F4269:H4269"/>
    <mergeCell ref="X4269:AB4269"/>
    <mergeCell ref="AE4269:AI4269"/>
    <mergeCell ref="AJ4269:AL4269"/>
    <mergeCell ref="AN4269:AO4269"/>
    <mergeCell ref="AP4269:AQ4269"/>
    <mergeCell ref="A4270:A4271"/>
    <mergeCell ref="E4270:E4271"/>
    <mergeCell ref="F4270:H4270"/>
    <mergeCell ref="J4270:J4271"/>
    <mergeCell ref="K4270:L4271"/>
    <mergeCell ref="M4270:N4271"/>
    <mergeCell ref="O4270:P4271"/>
    <mergeCell ref="Q4270:R4271"/>
    <mergeCell ref="S4270:T4271"/>
    <mergeCell ref="U4270:V4271"/>
    <mergeCell ref="W4270:W4271"/>
    <mergeCell ref="X4270:AB4270"/>
    <mergeCell ref="AD4270:AI4270"/>
    <mergeCell ref="AJ4270:AL4270"/>
    <mergeCell ref="AN4270:AO4270"/>
    <mergeCell ref="AP4270:AQ4270"/>
    <mergeCell ref="AR4270:AS4271"/>
    <mergeCell ref="AT4270:AU4271"/>
    <mergeCell ref="AV4270:AW4271"/>
    <mergeCell ref="AX4270:AY4271"/>
    <mergeCell ref="AZ4270:AZ4271"/>
    <mergeCell ref="F4271:H4271"/>
    <mergeCell ref="X4271:AB4271"/>
    <mergeCell ref="AE4271:AI4271"/>
    <mergeCell ref="AJ4271:AL4271"/>
    <mergeCell ref="AN4271:AO4271"/>
    <mergeCell ref="AP4271:AQ4271"/>
    <mergeCell ref="A4272:A4273"/>
    <mergeCell ref="E4272:E4273"/>
    <mergeCell ref="F4272:H4272"/>
    <mergeCell ref="J4272:J4273"/>
    <mergeCell ref="K4272:L4273"/>
    <mergeCell ref="M4272:N4273"/>
    <mergeCell ref="O4272:P4273"/>
    <mergeCell ref="Q4272:R4273"/>
    <mergeCell ref="S4272:T4273"/>
    <mergeCell ref="U4272:V4273"/>
    <mergeCell ref="W4272:W4273"/>
    <mergeCell ref="X4272:AB4272"/>
    <mergeCell ref="AD4272:AI4272"/>
    <mergeCell ref="AJ4272:AL4272"/>
    <mergeCell ref="AN4272:AO4272"/>
    <mergeCell ref="AP4272:AQ4272"/>
    <mergeCell ref="AR4272:AS4273"/>
    <mergeCell ref="AT4272:AU4273"/>
    <mergeCell ref="AV4272:AW4273"/>
    <mergeCell ref="AX4272:AY4273"/>
    <mergeCell ref="AZ4272:AZ4273"/>
    <mergeCell ref="F4273:H4273"/>
    <mergeCell ref="X4273:AB4273"/>
    <mergeCell ref="AE4273:AI4273"/>
    <mergeCell ref="AJ4273:AL4273"/>
    <mergeCell ref="AN4273:AO4273"/>
    <mergeCell ref="AP4273:AQ4273"/>
    <mergeCell ref="A4274:A4275"/>
    <mergeCell ref="E4274:E4275"/>
    <mergeCell ref="F4274:H4274"/>
    <mergeCell ref="J4274:J4275"/>
    <mergeCell ref="K4274:L4275"/>
    <mergeCell ref="M4274:N4275"/>
    <mergeCell ref="O4274:P4275"/>
    <mergeCell ref="Q4274:R4275"/>
    <mergeCell ref="S4274:T4275"/>
    <mergeCell ref="U4274:V4275"/>
    <mergeCell ref="W4274:W4275"/>
    <mergeCell ref="X4274:AB4274"/>
    <mergeCell ref="AD4274:AI4274"/>
    <mergeCell ref="AJ4274:AL4274"/>
    <mergeCell ref="AN4274:AO4274"/>
    <mergeCell ref="AP4274:AQ4274"/>
    <mergeCell ref="AR4274:AS4275"/>
    <mergeCell ref="AT4274:AU4275"/>
    <mergeCell ref="AV4274:AW4275"/>
    <mergeCell ref="AX4274:AY4275"/>
    <mergeCell ref="AZ4274:AZ4275"/>
    <mergeCell ref="F4275:H4275"/>
    <mergeCell ref="X4275:AB4275"/>
    <mergeCell ref="AE4275:AI4275"/>
    <mergeCell ref="AJ4275:AL4275"/>
    <mergeCell ref="AN4275:AO4275"/>
    <mergeCell ref="AP4275:AQ4275"/>
    <mergeCell ref="A4276:A4277"/>
    <mergeCell ref="E4276:E4277"/>
    <mergeCell ref="F4276:H4276"/>
    <mergeCell ref="J4276:J4277"/>
    <mergeCell ref="K4276:L4277"/>
    <mergeCell ref="M4276:N4277"/>
    <mergeCell ref="O4276:P4277"/>
    <mergeCell ref="Q4276:R4277"/>
    <mergeCell ref="S4276:T4277"/>
    <mergeCell ref="U4276:V4277"/>
    <mergeCell ref="W4276:W4277"/>
    <mergeCell ref="X4276:AB4276"/>
    <mergeCell ref="AD4276:AI4276"/>
    <mergeCell ref="AJ4276:AL4276"/>
    <mergeCell ref="AN4276:AO4276"/>
    <mergeCell ref="AP4276:AQ4276"/>
    <mergeCell ref="AR4276:AS4277"/>
    <mergeCell ref="AT4276:AU4277"/>
    <mergeCell ref="AV4276:AW4277"/>
    <mergeCell ref="AX4276:AY4277"/>
    <mergeCell ref="AZ4276:AZ4277"/>
    <mergeCell ref="F4277:H4277"/>
    <mergeCell ref="X4277:AB4277"/>
    <mergeCell ref="AE4277:AI4277"/>
    <mergeCell ref="AJ4277:AL4277"/>
    <mergeCell ref="AN4277:AO4277"/>
    <mergeCell ref="AP4277:AQ4277"/>
    <mergeCell ref="A4278:A4279"/>
    <mergeCell ref="E4278:E4279"/>
    <mergeCell ref="F4278:H4278"/>
    <mergeCell ref="J4278:J4279"/>
    <mergeCell ref="K4278:L4279"/>
    <mergeCell ref="M4278:N4279"/>
    <mergeCell ref="O4278:P4279"/>
    <mergeCell ref="Q4278:R4279"/>
    <mergeCell ref="S4278:T4279"/>
    <mergeCell ref="U4278:V4279"/>
    <mergeCell ref="W4278:W4279"/>
    <mergeCell ref="X4278:AB4278"/>
    <mergeCell ref="AD4278:AI4278"/>
    <mergeCell ref="AJ4278:AL4278"/>
    <mergeCell ref="AN4278:AO4278"/>
    <mergeCell ref="AP4278:AQ4278"/>
    <mergeCell ref="AR4278:AS4279"/>
    <mergeCell ref="AT4278:AU4279"/>
    <mergeCell ref="AV4278:AW4279"/>
    <mergeCell ref="AX4278:AY4279"/>
    <mergeCell ref="AZ4278:AZ4279"/>
    <mergeCell ref="F4279:H4279"/>
    <mergeCell ref="X4279:AB4279"/>
    <mergeCell ref="AE4279:AI4279"/>
    <mergeCell ref="AJ4279:AL4279"/>
    <mergeCell ref="AN4279:AO4279"/>
    <mergeCell ref="AP4279:AQ4279"/>
    <mergeCell ref="A4280:A4281"/>
    <mergeCell ref="E4280:E4281"/>
    <mergeCell ref="F4280:H4280"/>
    <mergeCell ref="J4280:J4281"/>
    <mergeCell ref="K4280:L4281"/>
    <mergeCell ref="M4280:N4281"/>
    <mergeCell ref="O4280:P4281"/>
    <mergeCell ref="Q4280:R4281"/>
    <mergeCell ref="S4280:T4281"/>
    <mergeCell ref="U4280:V4281"/>
    <mergeCell ref="W4280:W4281"/>
    <mergeCell ref="X4280:AB4280"/>
    <mergeCell ref="AD4280:AI4280"/>
    <mergeCell ref="AJ4280:AL4280"/>
    <mergeCell ref="AN4280:AO4280"/>
    <mergeCell ref="AP4280:AQ4280"/>
    <mergeCell ref="AR4280:AS4281"/>
    <mergeCell ref="AT4280:AU4281"/>
    <mergeCell ref="AV4280:AW4281"/>
    <mergeCell ref="AX4280:AY4281"/>
    <mergeCell ref="AZ4280:AZ4281"/>
    <mergeCell ref="F4281:H4281"/>
    <mergeCell ref="X4281:AB4281"/>
    <mergeCell ref="AE4281:AI4281"/>
    <mergeCell ref="AJ4281:AL4281"/>
    <mergeCell ref="AN4281:AO4281"/>
    <mergeCell ref="AP4281:AQ4281"/>
    <mergeCell ref="A4282:A4283"/>
    <mergeCell ref="E4282:E4283"/>
    <mergeCell ref="F4282:H4282"/>
    <mergeCell ref="J4282:J4283"/>
    <mergeCell ref="K4282:L4283"/>
    <mergeCell ref="M4282:N4283"/>
    <mergeCell ref="O4282:P4283"/>
    <mergeCell ref="Q4282:R4283"/>
    <mergeCell ref="S4282:T4283"/>
    <mergeCell ref="U4282:V4283"/>
    <mergeCell ref="W4282:W4283"/>
    <mergeCell ref="X4282:AB4282"/>
    <mergeCell ref="AD4282:AI4282"/>
    <mergeCell ref="AJ4282:AL4282"/>
    <mergeCell ref="AN4282:AO4282"/>
    <mergeCell ref="AP4282:AQ4282"/>
    <mergeCell ref="AR4282:AS4283"/>
    <mergeCell ref="AT4282:AU4283"/>
    <mergeCell ref="AV4282:AW4283"/>
    <mergeCell ref="AX4282:AY4283"/>
    <mergeCell ref="AZ4282:AZ4283"/>
    <mergeCell ref="F4283:H4283"/>
    <mergeCell ref="X4283:AB4283"/>
    <mergeCell ref="AE4283:AI4283"/>
    <mergeCell ref="AJ4283:AL4283"/>
    <mergeCell ref="AN4283:AO4283"/>
    <mergeCell ref="AP4283:AQ4283"/>
    <mergeCell ref="A4284:A4285"/>
    <mergeCell ref="E4284:E4285"/>
    <mergeCell ref="F4284:H4284"/>
    <mergeCell ref="J4284:J4285"/>
    <mergeCell ref="K4284:L4285"/>
    <mergeCell ref="M4284:N4285"/>
    <mergeCell ref="O4284:P4285"/>
    <mergeCell ref="Q4284:R4285"/>
    <mergeCell ref="S4284:T4285"/>
    <mergeCell ref="U4284:V4285"/>
    <mergeCell ref="W4284:W4285"/>
    <mergeCell ref="X4284:AB4284"/>
    <mergeCell ref="AD4284:AI4284"/>
    <mergeCell ref="AJ4284:AL4284"/>
    <mergeCell ref="AN4284:AO4284"/>
    <mergeCell ref="AP4284:AQ4284"/>
    <mergeCell ref="AR4284:AS4285"/>
    <mergeCell ref="AT4284:AU4285"/>
    <mergeCell ref="AV4284:AW4285"/>
    <mergeCell ref="AX4284:AY4285"/>
    <mergeCell ref="AZ4284:AZ4285"/>
    <mergeCell ref="F4285:H4285"/>
    <mergeCell ref="X4285:AB4285"/>
    <mergeCell ref="AE4285:AI4285"/>
    <mergeCell ref="AJ4285:AL4285"/>
    <mergeCell ref="AN4285:AO4285"/>
    <mergeCell ref="AP4285:AQ4285"/>
    <mergeCell ref="A4286:A4287"/>
    <mergeCell ref="E4286:E4287"/>
    <mergeCell ref="F4286:H4286"/>
    <mergeCell ref="J4286:J4287"/>
    <mergeCell ref="K4286:L4287"/>
    <mergeCell ref="M4286:N4287"/>
    <mergeCell ref="O4286:P4287"/>
    <mergeCell ref="Q4286:R4287"/>
    <mergeCell ref="S4286:T4287"/>
    <mergeCell ref="U4286:V4287"/>
    <mergeCell ref="W4286:W4287"/>
    <mergeCell ref="X4286:AB4286"/>
    <mergeCell ref="AD4286:AI4286"/>
    <mergeCell ref="AJ4286:AL4286"/>
    <mergeCell ref="AN4286:AO4286"/>
    <mergeCell ref="AP4286:AQ4286"/>
    <mergeCell ref="AR4286:AS4287"/>
    <mergeCell ref="AT4286:AU4287"/>
    <mergeCell ref="AV4286:AW4287"/>
    <mergeCell ref="AX4286:AY4287"/>
    <mergeCell ref="AZ4286:AZ4287"/>
    <mergeCell ref="F4287:H4287"/>
    <mergeCell ref="X4287:AB4287"/>
    <mergeCell ref="AE4287:AI4287"/>
    <mergeCell ref="AJ4287:AL4287"/>
    <mergeCell ref="AN4287:AO4287"/>
    <mergeCell ref="AP4287:AQ4287"/>
    <mergeCell ref="A4288:A4289"/>
    <mergeCell ref="E4288:E4289"/>
    <mergeCell ref="F4288:H4288"/>
    <mergeCell ref="J4288:J4289"/>
    <mergeCell ref="K4288:L4289"/>
    <mergeCell ref="M4288:N4289"/>
    <mergeCell ref="O4288:P4289"/>
    <mergeCell ref="Q4288:R4289"/>
    <mergeCell ref="S4288:T4289"/>
    <mergeCell ref="U4288:V4289"/>
    <mergeCell ref="W4288:W4289"/>
    <mergeCell ref="X4288:AB4288"/>
    <mergeCell ref="AD4288:AI4288"/>
    <mergeCell ref="AJ4288:AL4288"/>
    <mergeCell ref="AN4288:AO4288"/>
    <mergeCell ref="AP4288:AQ4288"/>
    <mergeCell ref="AR4288:AS4289"/>
    <mergeCell ref="AT4288:AU4289"/>
    <mergeCell ref="AV4288:AW4289"/>
    <mergeCell ref="AX4288:AY4289"/>
    <mergeCell ref="AZ4288:AZ4289"/>
    <mergeCell ref="F4289:H4289"/>
    <mergeCell ref="X4289:AB4289"/>
    <mergeCell ref="AE4289:AI4289"/>
    <mergeCell ref="AJ4289:AL4289"/>
    <mergeCell ref="AN4289:AO4289"/>
    <mergeCell ref="AP4289:AQ4289"/>
    <mergeCell ref="A4290:A4291"/>
    <mergeCell ref="E4290:E4291"/>
    <mergeCell ref="F4290:H4290"/>
    <mergeCell ref="J4290:J4291"/>
    <mergeCell ref="K4290:L4291"/>
    <mergeCell ref="M4290:N4291"/>
    <mergeCell ref="O4290:P4291"/>
    <mergeCell ref="Q4290:R4291"/>
    <mergeCell ref="S4290:T4291"/>
    <mergeCell ref="U4290:V4291"/>
    <mergeCell ref="W4290:W4291"/>
    <mergeCell ref="X4290:AB4290"/>
    <mergeCell ref="AD4290:AI4290"/>
    <mergeCell ref="AJ4290:AL4290"/>
    <mergeCell ref="AN4290:AO4290"/>
    <mergeCell ref="AP4290:AQ4290"/>
    <mergeCell ref="AR4290:AS4291"/>
    <mergeCell ref="AT4290:AU4291"/>
    <mergeCell ref="AV4290:AW4291"/>
    <mergeCell ref="AX4290:AY4291"/>
    <mergeCell ref="AZ4290:AZ4291"/>
    <mergeCell ref="F4291:H4291"/>
    <mergeCell ref="X4291:AB4291"/>
    <mergeCell ref="AE4291:AI4291"/>
    <mergeCell ref="AJ4291:AL4291"/>
    <mergeCell ref="AN4291:AO4291"/>
    <mergeCell ref="AP4291:AQ4291"/>
    <mergeCell ref="A4294:A4295"/>
    <mergeCell ref="E4294:E4295"/>
    <mergeCell ref="F4294:H4294"/>
    <mergeCell ref="J4294:J4295"/>
    <mergeCell ref="K4294:L4295"/>
    <mergeCell ref="M4294:N4295"/>
    <mergeCell ref="O4294:P4295"/>
    <mergeCell ref="Q4294:R4295"/>
    <mergeCell ref="S4294:T4295"/>
    <mergeCell ref="U4294:V4295"/>
    <mergeCell ref="W4294:W4295"/>
    <mergeCell ref="X4294:AB4294"/>
    <mergeCell ref="AD4294:AI4294"/>
    <mergeCell ref="AJ4294:AL4294"/>
    <mergeCell ref="AN4294:AO4294"/>
    <mergeCell ref="AP4294:AQ4294"/>
    <mergeCell ref="AR4294:AS4295"/>
    <mergeCell ref="AT4294:AU4295"/>
    <mergeCell ref="AV4294:AW4295"/>
    <mergeCell ref="AX4294:AY4295"/>
    <mergeCell ref="AZ4294:AZ4295"/>
    <mergeCell ref="F4295:H4295"/>
    <mergeCell ref="X4295:AB4295"/>
    <mergeCell ref="AE4295:AI4295"/>
    <mergeCell ref="AJ4295:AL4295"/>
    <mergeCell ref="AN4295:AO4295"/>
    <mergeCell ref="AP4295:AQ4295"/>
    <mergeCell ref="A4292:A4293"/>
    <mergeCell ref="E4292:E4293"/>
    <mergeCell ref="F4292:H4292"/>
    <mergeCell ref="J4292:J4293"/>
    <mergeCell ref="K4292:L4293"/>
    <mergeCell ref="M4292:N4293"/>
    <mergeCell ref="O4292:P4293"/>
    <mergeCell ref="Q4292:R4293"/>
    <mergeCell ref="S4292:T4293"/>
    <mergeCell ref="U4292:V4293"/>
    <mergeCell ref="A4296:A4297"/>
    <mergeCell ref="E4296:E4297"/>
    <mergeCell ref="F4296:H4296"/>
    <mergeCell ref="J4296:J4297"/>
    <mergeCell ref="K4296:L4297"/>
    <mergeCell ref="M4296:N4297"/>
    <mergeCell ref="O4296:P4297"/>
    <mergeCell ref="Q4296:R4297"/>
    <mergeCell ref="S4296:T4297"/>
    <mergeCell ref="U4296:V4297"/>
    <mergeCell ref="W4296:W4297"/>
    <mergeCell ref="X4296:AB4296"/>
    <mergeCell ref="AD4296:AI4296"/>
    <mergeCell ref="AJ4296:AL4296"/>
    <mergeCell ref="AN4296:AO4296"/>
    <mergeCell ref="AP4296:AQ4296"/>
    <mergeCell ref="AR4296:AS4297"/>
    <mergeCell ref="AT4296:AU4297"/>
    <mergeCell ref="AV4296:AW4297"/>
    <mergeCell ref="AX4296:AY4297"/>
    <mergeCell ref="AZ4296:AZ4297"/>
    <mergeCell ref="F4297:H4297"/>
    <mergeCell ref="X4297:AB4297"/>
    <mergeCell ref="AE4297:AI4297"/>
    <mergeCell ref="AJ4297:AL4297"/>
    <mergeCell ref="AN4297:AO4297"/>
    <mergeCell ref="AP4297:AQ4297"/>
    <mergeCell ref="A4298:A4299"/>
    <mergeCell ref="E4298:E4299"/>
    <mergeCell ref="F4298:H4298"/>
    <mergeCell ref="J4298:J4299"/>
    <mergeCell ref="K4298:L4299"/>
    <mergeCell ref="M4298:N4299"/>
    <mergeCell ref="O4298:P4299"/>
    <mergeCell ref="Q4298:R4299"/>
    <mergeCell ref="S4298:T4299"/>
    <mergeCell ref="U4298:V4299"/>
    <mergeCell ref="W4298:W4299"/>
    <mergeCell ref="X4298:AB4298"/>
    <mergeCell ref="AD4298:AI4298"/>
    <mergeCell ref="AJ4298:AL4298"/>
    <mergeCell ref="AN4298:AO4298"/>
    <mergeCell ref="AP4298:AQ4298"/>
    <mergeCell ref="AR4298:AS4299"/>
    <mergeCell ref="AT4298:AU4299"/>
    <mergeCell ref="AV4298:AW4299"/>
    <mergeCell ref="AX4298:AY4299"/>
    <mergeCell ref="AZ4298:AZ4299"/>
    <mergeCell ref="F4299:H4299"/>
    <mergeCell ref="X4299:AB4299"/>
    <mergeCell ref="AE4299:AI4299"/>
    <mergeCell ref="AJ4299:AL4299"/>
    <mergeCell ref="AN4299:AO4299"/>
    <mergeCell ref="AP4299:AQ4299"/>
    <mergeCell ref="A4300:A4301"/>
    <mergeCell ref="E4300:E4301"/>
    <mergeCell ref="F4300:H4300"/>
    <mergeCell ref="J4300:J4301"/>
    <mergeCell ref="K4300:L4301"/>
    <mergeCell ref="M4300:N4301"/>
    <mergeCell ref="O4300:P4301"/>
    <mergeCell ref="Q4300:R4301"/>
    <mergeCell ref="S4300:T4301"/>
    <mergeCell ref="U4300:V4301"/>
    <mergeCell ref="W4300:W4301"/>
    <mergeCell ref="X4300:AB4300"/>
    <mergeCell ref="AD4300:AI4300"/>
    <mergeCell ref="AJ4300:AL4300"/>
    <mergeCell ref="AN4300:AO4300"/>
    <mergeCell ref="AP4300:AQ4300"/>
    <mergeCell ref="AR4300:AS4301"/>
    <mergeCell ref="AT4300:AU4301"/>
    <mergeCell ref="AV4300:AW4301"/>
    <mergeCell ref="AX4300:AY4301"/>
    <mergeCell ref="AZ4300:AZ4301"/>
    <mergeCell ref="F4301:H4301"/>
    <mergeCell ref="X4301:AB4301"/>
    <mergeCell ref="AE4301:AI4301"/>
    <mergeCell ref="AJ4301:AL4301"/>
    <mergeCell ref="AN4301:AO4301"/>
    <mergeCell ref="AP4301:AQ4301"/>
    <mergeCell ref="A4302:A4303"/>
    <mergeCell ref="E4302:E4303"/>
    <mergeCell ref="F4302:H4302"/>
    <mergeCell ref="J4302:J4303"/>
    <mergeCell ref="K4302:L4303"/>
    <mergeCell ref="M4302:N4303"/>
    <mergeCell ref="O4302:P4303"/>
    <mergeCell ref="Q4302:R4303"/>
    <mergeCell ref="S4302:T4303"/>
    <mergeCell ref="U4302:V4303"/>
    <mergeCell ref="W4302:W4303"/>
    <mergeCell ref="X4302:AB4302"/>
    <mergeCell ref="AD4302:AI4302"/>
    <mergeCell ref="AJ4302:AL4302"/>
    <mergeCell ref="AN4302:AO4302"/>
    <mergeCell ref="AP4302:AQ4302"/>
    <mergeCell ref="AR4302:AS4303"/>
    <mergeCell ref="AT4302:AU4303"/>
    <mergeCell ref="AV4302:AW4303"/>
    <mergeCell ref="AX4302:AY4303"/>
    <mergeCell ref="AZ4302:AZ4303"/>
    <mergeCell ref="F4303:H4303"/>
    <mergeCell ref="X4303:AB4303"/>
    <mergeCell ref="AE4303:AI4303"/>
    <mergeCell ref="AJ4303:AL4303"/>
    <mergeCell ref="AN4303:AO4303"/>
    <mergeCell ref="AP4303:AQ4303"/>
    <mergeCell ref="A4304:A4305"/>
    <mergeCell ref="E4304:E4305"/>
    <mergeCell ref="F4304:H4304"/>
    <mergeCell ref="J4304:J4305"/>
    <mergeCell ref="K4304:L4305"/>
    <mergeCell ref="M4304:N4305"/>
    <mergeCell ref="O4304:P4305"/>
    <mergeCell ref="Q4304:R4305"/>
    <mergeCell ref="S4304:T4305"/>
    <mergeCell ref="U4304:V4305"/>
    <mergeCell ref="W4304:W4305"/>
    <mergeCell ref="X4304:AB4304"/>
    <mergeCell ref="AD4304:AI4304"/>
    <mergeCell ref="AJ4304:AL4304"/>
    <mergeCell ref="AN4304:AO4304"/>
    <mergeCell ref="AP4304:AQ4304"/>
    <mergeCell ref="AR4304:AS4305"/>
    <mergeCell ref="AT4304:AU4305"/>
    <mergeCell ref="AV4304:AW4305"/>
    <mergeCell ref="AX4304:AY4305"/>
    <mergeCell ref="AZ4304:AZ4305"/>
    <mergeCell ref="F4305:H4305"/>
    <mergeCell ref="X4305:AB4305"/>
    <mergeCell ref="AE4305:AI4305"/>
    <mergeCell ref="AJ4305:AL4305"/>
    <mergeCell ref="AN4305:AO4305"/>
    <mergeCell ref="AP4305:AQ4305"/>
    <mergeCell ref="A4306:A4307"/>
    <mergeCell ref="E4306:E4307"/>
    <mergeCell ref="F4306:H4306"/>
    <mergeCell ref="J4306:J4307"/>
    <mergeCell ref="K4306:L4307"/>
    <mergeCell ref="M4306:N4307"/>
    <mergeCell ref="O4306:P4307"/>
    <mergeCell ref="Q4306:R4307"/>
    <mergeCell ref="S4306:T4307"/>
    <mergeCell ref="U4306:V4307"/>
    <mergeCell ref="W4306:W4307"/>
    <mergeCell ref="X4306:AB4306"/>
    <mergeCell ref="AD4306:AI4306"/>
    <mergeCell ref="AJ4306:AL4306"/>
    <mergeCell ref="AN4306:AO4306"/>
    <mergeCell ref="AP4306:AQ4306"/>
    <mergeCell ref="AR4306:AS4307"/>
    <mergeCell ref="AT4306:AU4307"/>
    <mergeCell ref="AV4306:AW4307"/>
    <mergeCell ref="AX4306:AY4307"/>
    <mergeCell ref="AZ4306:AZ4307"/>
    <mergeCell ref="F4307:H4307"/>
    <mergeCell ref="X4307:AB4307"/>
    <mergeCell ref="AE4307:AI4307"/>
    <mergeCell ref="AJ4307:AL4307"/>
    <mergeCell ref="AN4307:AO4307"/>
    <mergeCell ref="AP4307:AQ4307"/>
    <mergeCell ref="A4308:A4309"/>
    <mergeCell ref="E4308:E4309"/>
    <mergeCell ref="F4308:H4308"/>
    <mergeCell ref="J4308:J4309"/>
    <mergeCell ref="K4308:L4309"/>
    <mergeCell ref="M4308:N4309"/>
    <mergeCell ref="O4308:P4309"/>
    <mergeCell ref="Q4308:R4309"/>
    <mergeCell ref="S4308:T4309"/>
    <mergeCell ref="U4308:V4309"/>
    <mergeCell ref="W4308:W4309"/>
    <mergeCell ref="X4308:AB4308"/>
    <mergeCell ref="AD4308:AI4308"/>
    <mergeCell ref="AJ4308:AL4308"/>
    <mergeCell ref="AN4308:AO4308"/>
    <mergeCell ref="AP4308:AQ4308"/>
    <mergeCell ref="AR4308:AS4309"/>
    <mergeCell ref="AT4308:AU4309"/>
    <mergeCell ref="AV4308:AW4309"/>
    <mergeCell ref="AX4308:AY4309"/>
    <mergeCell ref="AZ4308:AZ4309"/>
    <mergeCell ref="F4309:H4309"/>
    <mergeCell ref="X4309:AB4309"/>
    <mergeCell ref="AE4309:AI4309"/>
    <mergeCell ref="AJ4309:AL4309"/>
    <mergeCell ref="AN4309:AO4309"/>
    <mergeCell ref="AP4309:AQ4309"/>
    <mergeCell ref="A4310:A4311"/>
    <mergeCell ref="E4310:E4311"/>
    <mergeCell ref="F4310:H4310"/>
    <mergeCell ref="J4310:J4311"/>
    <mergeCell ref="K4310:L4311"/>
    <mergeCell ref="M4310:N4311"/>
    <mergeCell ref="O4310:P4311"/>
    <mergeCell ref="Q4310:R4311"/>
    <mergeCell ref="S4310:T4311"/>
    <mergeCell ref="U4310:V4311"/>
    <mergeCell ref="W4310:W4311"/>
    <mergeCell ref="X4310:AB4310"/>
    <mergeCell ref="AD4310:AI4310"/>
    <mergeCell ref="AJ4310:AL4310"/>
    <mergeCell ref="AN4310:AO4310"/>
    <mergeCell ref="AP4310:AQ4310"/>
    <mergeCell ref="AR4310:AS4311"/>
    <mergeCell ref="AT4310:AU4311"/>
    <mergeCell ref="AV4310:AW4311"/>
    <mergeCell ref="AX4310:AY4311"/>
    <mergeCell ref="AZ4310:AZ4311"/>
    <mergeCell ref="F4311:H4311"/>
    <mergeCell ref="X4311:AB4311"/>
    <mergeCell ref="AE4311:AI4311"/>
    <mergeCell ref="AJ4311:AL4311"/>
    <mergeCell ref="AN4311:AO4311"/>
    <mergeCell ref="AP4311:AQ4311"/>
    <mergeCell ref="A4312:A4313"/>
    <mergeCell ref="E4312:E4313"/>
    <mergeCell ref="F4312:H4312"/>
    <mergeCell ref="J4312:J4313"/>
    <mergeCell ref="K4312:L4313"/>
    <mergeCell ref="M4312:N4313"/>
    <mergeCell ref="O4312:P4313"/>
    <mergeCell ref="Q4312:R4313"/>
    <mergeCell ref="S4312:T4313"/>
    <mergeCell ref="U4312:V4313"/>
    <mergeCell ref="W4312:W4313"/>
    <mergeCell ref="X4312:AB4312"/>
    <mergeCell ref="AD4312:AI4312"/>
    <mergeCell ref="AJ4312:AL4312"/>
    <mergeCell ref="AN4312:AO4312"/>
    <mergeCell ref="AP4312:AQ4312"/>
    <mergeCell ref="AR4312:AS4313"/>
    <mergeCell ref="AT4312:AU4313"/>
    <mergeCell ref="AV4312:AW4313"/>
    <mergeCell ref="AX4312:AY4313"/>
    <mergeCell ref="AZ4312:AZ4313"/>
    <mergeCell ref="F4313:H4313"/>
    <mergeCell ref="X4313:AB4313"/>
    <mergeCell ref="AE4313:AI4313"/>
    <mergeCell ref="AJ4313:AL4313"/>
    <mergeCell ref="AN4313:AO4313"/>
    <mergeCell ref="AP4313:AQ4313"/>
    <mergeCell ref="A4314:A4315"/>
    <mergeCell ref="E4314:E4315"/>
    <mergeCell ref="F4314:H4314"/>
    <mergeCell ref="J4314:J4315"/>
    <mergeCell ref="K4314:L4315"/>
    <mergeCell ref="M4314:N4315"/>
    <mergeCell ref="O4314:P4315"/>
    <mergeCell ref="Q4314:R4315"/>
    <mergeCell ref="S4314:T4315"/>
    <mergeCell ref="U4314:V4315"/>
    <mergeCell ref="W4314:W4315"/>
    <mergeCell ref="X4314:AB4314"/>
    <mergeCell ref="AD4314:AI4314"/>
    <mergeCell ref="AJ4314:AL4314"/>
    <mergeCell ref="AN4314:AO4314"/>
    <mergeCell ref="AP4314:AQ4314"/>
    <mergeCell ref="AR4314:AS4315"/>
    <mergeCell ref="AT4314:AU4315"/>
    <mergeCell ref="AV4314:AW4315"/>
    <mergeCell ref="AX4314:AY4315"/>
    <mergeCell ref="AZ4314:AZ4315"/>
    <mergeCell ref="F4315:H4315"/>
    <mergeCell ref="X4315:AB4315"/>
    <mergeCell ref="AE4315:AI4315"/>
    <mergeCell ref="AJ4315:AL4315"/>
    <mergeCell ref="AN4315:AO4315"/>
    <mergeCell ref="AP4315:AQ4315"/>
    <mergeCell ref="A4316:A4317"/>
    <mergeCell ref="E4316:E4317"/>
    <mergeCell ref="F4316:H4316"/>
    <mergeCell ref="J4316:J4317"/>
    <mergeCell ref="K4316:L4317"/>
    <mergeCell ref="M4316:N4317"/>
    <mergeCell ref="O4316:P4317"/>
    <mergeCell ref="Q4316:R4317"/>
    <mergeCell ref="S4316:T4317"/>
    <mergeCell ref="U4316:V4317"/>
    <mergeCell ref="W4316:W4317"/>
    <mergeCell ref="X4316:AB4316"/>
    <mergeCell ref="AD4316:AI4316"/>
    <mergeCell ref="AJ4316:AL4316"/>
    <mergeCell ref="AN4316:AO4316"/>
    <mergeCell ref="AP4316:AQ4316"/>
    <mergeCell ref="AR4316:AS4317"/>
    <mergeCell ref="AT4316:AU4317"/>
    <mergeCell ref="AV4316:AW4317"/>
    <mergeCell ref="AX4316:AY4317"/>
    <mergeCell ref="AZ4316:AZ4317"/>
    <mergeCell ref="F4317:H4317"/>
    <mergeCell ref="X4317:AB4317"/>
    <mergeCell ref="AE4317:AI4317"/>
    <mergeCell ref="AJ4317:AL4317"/>
    <mergeCell ref="AN4317:AO4317"/>
    <mergeCell ref="AP4317:AQ4317"/>
    <mergeCell ref="A4318:A4319"/>
    <mergeCell ref="E4318:E4319"/>
    <mergeCell ref="F4318:H4318"/>
    <mergeCell ref="J4318:J4319"/>
    <mergeCell ref="K4318:L4319"/>
    <mergeCell ref="M4318:N4319"/>
    <mergeCell ref="O4318:P4319"/>
    <mergeCell ref="Q4318:R4319"/>
    <mergeCell ref="S4318:T4319"/>
    <mergeCell ref="U4318:V4319"/>
    <mergeCell ref="W4318:W4319"/>
    <mergeCell ref="X4318:AB4318"/>
    <mergeCell ref="AD4318:AI4318"/>
    <mergeCell ref="AJ4318:AL4318"/>
    <mergeCell ref="AN4318:AO4318"/>
    <mergeCell ref="AP4318:AQ4318"/>
    <mergeCell ref="AR4318:AS4319"/>
    <mergeCell ref="AT4318:AU4319"/>
    <mergeCell ref="AV4318:AW4319"/>
    <mergeCell ref="AX4318:AY4319"/>
    <mergeCell ref="AZ4318:AZ4319"/>
    <mergeCell ref="F4319:H4319"/>
    <mergeCell ref="X4319:AB4319"/>
    <mergeCell ref="AE4319:AI4319"/>
    <mergeCell ref="AJ4319:AL4319"/>
    <mergeCell ref="AN4319:AO4319"/>
    <mergeCell ref="AP4319:AQ4319"/>
    <mergeCell ref="A4320:A4321"/>
    <mergeCell ref="E4320:E4321"/>
    <mergeCell ref="F4320:H4320"/>
    <mergeCell ref="J4320:J4321"/>
    <mergeCell ref="K4320:L4321"/>
    <mergeCell ref="M4320:N4321"/>
    <mergeCell ref="O4320:P4321"/>
    <mergeCell ref="Q4320:R4321"/>
    <mergeCell ref="S4320:T4321"/>
    <mergeCell ref="U4320:V4321"/>
    <mergeCell ref="W4320:W4321"/>
    <mergeCell ref="X4320:AB4320"/>
    <mergeCell ref="AD4320:AI4320"/>
    <mergeCell ref="AJ4320:AL4320"/>
    <mergeCell ref="AN4320:AO4320"/>
    <mergeCell ref="AP4320:AQ4320"/>
    <mergeCell ref="AR4320:AS4321"/>
    <mergeCell ref="AT4320:AU4321"/>
    <mergeCell ref="AV4320:AW4321"/>
    <mergeCell ref="AX4320:AY4321"/>
    <mergeCell ref="AZ4320:AZ4321"/>
    <mergeCell ref="F4321:H4321"/>
    <mergeCell ref="X4321:AB4321"/>
    <mergeCell ref="AE4321:AI4321"/>
    <mergeCell ref="AJ4321:AL4321"/>
    <mergeCell ref="AN4321:AO4321"/>
    <mergeCell ref="AP4321:AQ4321"/>
    <mergeCell ref="A4322:A4323"/>
    <mergeCell ref="E4322:E4323"/>
    <mergeCell ref="F4322:H4322"/>
    <mergeCell ref="J4322:J4323"/>
    <mergeCell ref="K4322:L4323"/>
    <mergeCell ref="M4322:N4323"/>
    <mergeCell ref="O4322:P4323"/>
    <mergeCell ref="Q4322:R4323"/>
    <mergeCell ref="S4322:T4323"/>
    <mergeCell ref="U4322:V4323"/>
    <mergeCell ref="W4322:W4323"/>
    <mergeCell ref="X4322:AB4322"/>
    <mergeCell ref="AD4322:AI4322"/>
    <mergeCell ref="AJ4322:AL4322"/>
    <mergeCell ref="AN4322:AO4322"/>
    <mergeCell ref="AP4322:AQ4322"/>
    <mergeCell ref="AR4322:AS4323"/>
    <mergeCell ref="AT4322:AU4323"/>
    <mergeCell ref="AV4322:AW4323"/>
    <mergeCell ref="AX4322:AY4323"/>
    <mergeCell ref="AZ4322:AZ4323"/>
    <mergeCell ref="F4323:H4323"/>
    <mergeCell ref="X4323:AB4323"/>
    <mergeCell ref="AE4323:AI4323"/>
    <mergeCell ref="AJ4323:AL4323"/>
    <mergeCell ref="AN4323:AO4323"/>
    <mergeCell ref="AP4323:AQ4323"/>
    <mergeCell ref="A4324:A4325"/>
    <mergeCell ref="E4324:E4325"/>
    <mergeCell ref="F4324:H4324"/>
    <mergeCell ref="J4324:J4325"/>
    <mergeCell ref="K4324:L4325"/>
    <mergeCell ref="M4324:N4325"/>
    <mergeCell ref="O4324:P4325"/>
    <mergeCell ref="Q4324:R4325"/>
    <mergeCell ref="S4324:T4325"/>
    <mergeCell ref="U4324:V4325"/>
    <mergeCell ref="W4324:W4325"/>
    <mergeCell ref="X4324:AB4324"/>
    <mergeCell ref="AD4324:AI4324"/>
    <mergeCell ref="AJ4324:AL4324"/>
    <mergeCell ref="AN4324:AO4324"/>
    <mergeCell ref="AP4324:AQ4324"/>
    <mergeCell ref="AR4324:AS4325"/>
    <mergeCell ref="AT4324:AU4325"/>
    <mergeCell ref="AV4324:AW4325"/>
    <mergeCell ref="AX4324:AY4325"/>
    <mergeCell ref="AZ4324:AZ4325"/>
    <mergeCell ref="F4325:H4325"/>
    <mergeCell ref="X4325:AB4325"/>
    <mergeCell ref="AE4325:AI4325"/>
    <mergeCell ref="AJ4325:AL4325"/>
    <mergeCell ref="AN4325:AO4325"/>
    <mergeCell ref="AP4325:AQ4325"/>
    <mergeCell ref="A4326:A4327"/>
    <mergeCell ref="E4326:E4327"/>
    <mergeCell ref="F4326:H4326"/>
    <mergeCell ref="J4326:J4327"/>
    <mergeCell ref="K4326:L4327"/>
    <mergeCell ref="M4326:N4327"/>
    <mergeCell ref="O4326:P4327"/>
    <mergeCell ref="Q4326:R4327"/>
    <mergeCell ref="S4326:T4327"/>
    <mergeCell ref="U4326:V4327"/>
    <mergeCell ref="W4326:W4327"/>
    <mergeCell ref="X4326:AB4326"/>
    <mergeCell ref="AD4326:AI4326"/>
    <mergeCell ref="AJ4326:AL4326"/>
    <mergeCell ref="AN4326:AO4326"/>
    <mergeCell ref="AP4326:AQ4326"/>
    <mergeCell ref="AR4326:AS4327"/>
    <mergeCell ref="AT4326:AU4327"/>
    <mergeCell ref="AV4326:AW4327"/>
    <mergeCell ref="AX4326:AY4327"/>
    <mergeCell ref="AZ4326:AZ4327"/>
    <mergeCell ref="F4327:H4327"/>
    <mergeCell ref="X4327:AB4327"/>
    <mergeCell ref="AE4327:AI4327"/>
    <mergeCell ref="AJ4327:AL4327"/>
    <mergeCell ref="AN4327:AO4327"/>
    <mergeCell ref="AP4327:AQ4327"/>
    <mergeCell ref="W4330:W4331"/>
    <mergeCell ref="X4330:AB4330"/>
    <mergeCell ref="AD4330:AI4330"/>
    <mergeCell ref="AJ4330:AL4330"/>
    <mergeCell ref="AN4330:AO4330"/>
    <mergeCell ref="AP4330:AQ4330"/>
    <mergeCell ref="AR4330:AS4331"/>
    <mergeCell ref="AT4330:AU4331"/>
    <mergeCell ref="AV4330:AW4331"/>
    <mergeCell ref="AX4330:AY4331"/>
    <mergeCell ref="AZ4330:AZ4331"/>
    <mergeCell ref="F4331:H4331"/>
    <mergeCell ref="X4331:AB4331"/>
    <mergeCell ref="AE4331:AI4331"/>
    <mergeCell ref="AJ4331:AL4331"/>
    <mergeCell ref="AN4331:AO4331"/>
    <mergeCell ref="AP4331:AQ4331"/>
    <mergeCell ref="A4332:A4333"/>
    <mergeCell ref="E4332:E4333"/>
    <mergeCell ref="F4332:H4332"/>
    <mergeCell ref="J4332:J4333"/>
    <mergeCell ref="K4332:L4333"/>
    <mergeCell ref="M4332:N4333"/>
    <mergeCell ref="O4332:P4333"/>
    <mergeCell ref="Q4332:R4333"/>
    <mergeCell ref="S4332:T4333"/>
    <mergeCell ref="U4332:V4333"/>
    <mergeCell ref="W4332:W4333"/>
    <mergeCell ref="X4332:AB4332"/>
    <mergeCell ref="AD4332:AI4332"/>
    <mergeCell ref="AJ4332:AL4332"/>
    <mergeCell ref="AN4332:AO4332"/>
    <mergeCell ref="AP4332:AQ4332"/>
    <mergeCell ref="AR4332:AS4333"/>
    <mergeCell ref="AT4332:AU4333"/>
    <mergeCell ref="AV4332:AW4333"/>
    <mergeCell ref="AX4332:AY4333"/>
    <mergeCell ref="AZ4332:AZ4333"/>
    <mergeCell ref="F4333:H4333"/>
    <mergeCell ref="X4333:AB4333"/>
    <mergeCell ref="AE4333:AI4333"/>
    <mergeCell ref="AJ4333:AL4333"/>
    <mergeCell ref="AN4333:AO4333"/>
    <mergeCell ref="AP4333:AQ4333"/>
    <mergeCell ref="A4334:A4335"/>
    <mergeCell ref="E4334:E4335"/>
    <mergeCell ref="F4334:H4334"/>
    <mergeCell ref="J4334:J4335"/>
    <mergeCell ref="K4334:L4335"/>
    <mergeCell ref="M4334:N4335"/>
    <mergeCell ref="O4334:P4335"/>
    <mergeCell ref="Q4334:R4335"/>
    <mergeCell ref="S4334:T4335"/>
    <mergeCell ref="U4334:V4335"/>
    <mergeCell ref="W4334:W4335"/>
    <mergeCell ref="X4334:AB4334"/>
    <mergeCell ref="AD4334:AI4334"/>
    <mergeCell ref="AJ4334:AL4334"/>
    <mergeCell ref="AN4334:AO4334"/>
    <mergeCell ref="AP4334:AQ4334"/>
    <mergeCell ref="AR4334:AS4335"/>
    <mergeCell ref="AT4334:AU4335"/>
    <mergeCell ref="AV4334:AW4335"/>
    <mergeCell ref="AX4334:AY4335"/>
    <mergeCell ref="AZ4334:AZ4335"/>
    <mergeCell ref="F4335:H4335"/>
    <mergeCell ref="X4335:AB4335"/>
    <mergeCell ref="AE4335:AI4335"/>
    <mergeCell ref="AJ4335:AL4335"/>
    <mergeCell ref="AN4335:AO4335"/>
    <mergeCell ref="AP4335:AQ4335"/>
    <mergeCell ref="A4336:A4337"/>
    <mergeCell ref="E4336:E4337"/>
    <mergeCell ref="F4336:H4336"/>
    <mergeCell ref="J4336:J4337"/>
    <mergeCell ref="K4336:L4337"/>
    <mergeCell ref="M4336:N4337"/>
    <mergeCell ref="O4336:P4337"/>
    <mergeCell ref="Q4336:R4337"/>
    <mergeCell ref="S4336:T4337"/>
    <mergeCell ref="U4336:V4337"/>
    <mergeCell ref="W4336:W4337"/>
    <mergeCell ref="X4336:AB4336"/>
    <mergeCell ref="AD4336:AI4336"/>
    <mergeCell ref="AJ4336:AL4336"/>
    <mergeCell ref="AN4336:AO4336"/>
    <mergeCell ref="AP4336:AQ4336"/>
    <mergeCell ref="AR4336:AS4337"/>
    <mergeCell ref="AT4336:AU4337"/>
    <mergeCell ref="AV4336:AW4337"/>
    <mergeCell ref="AX4336:AY4337"/>
    <mergeCell ref="AZ4336:AZ4337"/>
    <mergeCell ref="F4337:H4337"/>
    <mergeCell ref="X4337:AB4337"/>
    <mergeCell ref="AE4337:AI4337"/>
    <mergeCell ref="AJ4337:AL4337"/>
    <mergeCell ref="AN4337:AO4337"/>
    <mergeCell ref="AP4337:AQ4337"/>
    <mergeCell ref="A4338:A4339"/>
    <mergeCell ref="E4338:E4339"/>
    <mergeCell ref="F4338:H4338"/>
    <mergeCell ref="J4338:J4339"/>
    <mergeCell ref="K4338:L4339"/>
    <mergeCell ref="M4338:N4339"/>
    <mergeCell ref="O4338:P4339"/>
    <mergeCell ref="Q4338:R4339"/>
    <mergeCell ref="S4338:T4339"/>
    <mergeCell ref="U4338:V4339"/>
    <mergeCell ref="W4338:W4339"/>
    <mergeCell ref="X4338:AB4338"/>
    <mergeCell ref="AD4338:AI4338"/>
    <mergeCell ref="AJ4338:AL4338"/>
    <mergeCell ref="AN4338:AO4338"/>
    <mergeCell ref="AP4338:AQ4338"/>
    <mergeCell ref="AR4338:AS4339"/>
    <mergeCell ref="AT4338:AU4339"/>
    <mergeCell ref="AV4338:AW4339"/>
    <mergeCell ref="AX4338:AY4339"/>
    <mergeCell ref="AZ4338:AZ4339"/>
    <mergeCell ref="F4339:H4339"/>
    <mergeCell ref="X4339:AB4339"/>
    <mergeCell ref="AE4339:AI4339"/>
    <mergeCell ref="AJ4339:AL4339"/>
    <mergeCell ref="AN4339:AO4339"/>
    <mergeCell ref="AP4339:AQ4339"/>
    <mergeCell ref="A4342:A4343"/>
    <mergeCell ref="E4342:E4343"/>
    <mergeCell ref="F4342:H4342"/>
    <mergeCell ref="J4342:J4343"/>
    <mergeCell ref="K4342:L4343"/>
    <mergeCell ref="M4342:N4343"/>
    <mergeCell ref="O4342:P4343"/>
    <mergeCell ref="Q4342:R4343"/>
    <mergeCell ref="S4342:T4343"/>
    <mergeCell ref="U4342:V4343"/>
    <mergeCell ref="W4342:W4343"/>
    <mergeCell ref="X4342:AB4342"/>
    <mergeCell ref="AD4342:AI4342"/>
    <mergeCell ref="AJ4342:AL4342"/>
    <mergeCell ref="AN4342:AO4342"/>
    <mergeCell ref="AP4342:AQ4342"/>
    <mergeCell ref="AR4342:AS4343"/>
    <mergeCell ref="AT4342:AU4343"/>
    <mergeCell ref="AV4342:AW4343"/>
    <mergeCell ref="AX4342:AY4343"/>
    <mergeCell ref="AZ4342:AZ4343"/>
    <mergeCell ref="F4343:H4343"/>
    <mergeCell ref="X4343:AB4343"/>
    <mergeCell ref="AE4343:AI4343"/>
    <mergeCell ref="AJ4343:AL4343"/>
    <mergeCell ref="AN4343:AO4343"/>
    <mergeCell ref="AP4343:AQ4343"/>
    <mergeCell ref="A4344:A4345"/>
    <mergeCell ref="E4344:E4345"/>
    <mergeCell ref="F4344:H4344"/>
    <mergeCell ref="J4344:J4345"/>
    <mergeCell ref="K4344:L4345"/>
    <mergeCell ref="M4344:N4345"/>
    <mergeCell ref="O4344:P4345"/>
    <mergeCell ref="Q4344:R4345"/>
    <mergeCell ref="S4344:T4345"/>
    <mergeCell ref="U4344:V4345"/>
    <mergeCell ref="W4344:W4345"/>
    <mergeCell ref="X4344:AB4344"/>
    <mergeCell ref="AD4344:AI4344"/>
    <mergeCell ref="AJ4344:AL4344"/>
    <mergeCell ref="AN4344:AO4344"/>
    <mergeCell ref="AP4344:AQ4344"/>
    <mergeCell ref="AR4344:AS4345"/>
    <mergeCell ref="AT4344:AU4345"/>
    <mergeCell ref="AV4344:AW4345"/>
    <mergeCell ref="AX4344:AY4345"/>
    <mergeCell ref="AZ4344:AZ4345"/>
    <mergeCell ref="F4345:H4345"/>
    <mergeCell ref="X4345:AB4345"/>
    <mergeCell ref="AE4345:AI4345"/>
    <mergeCell ref="AJ4345:AL4345"/>
    <mergeCell ref="AN4345:AO4345"/>
    <mergeCell ref="AP4345:AQ4345"/>
    <mergeCell ref="A4346:A4347"/>
    <mergeCell ref="E4346:E4347"/>
    <mergeCell ref="F4346:H4346"/>
    <mergeCell ref="J4346:J4347"/>
    <mergeCell ref="K4346:L4347"/>
    <mergeCell ref="M4346:N4347"/>
    <mergeCell ref="O4346:P4347"/>
    <mergeCell ref="Q4346:R4347"/>
    <mergeCell ref="S4346:T4347"/>
    <mergeCell ref="U4346:V4347"/>
    <mergeCell ref="W4346:W4347"/>
    <mergeCell ref="X4346:AB4346"/>
    <mergeCell ref="AD4346:AI4346"/>
    <mergeCell ref="AJ4346:AL4346"/>
    <mergeCell ref="AN4346:AO4346"/>
    <mergeCell ref="AP4346:AQ4346"/>
    <mergeCell ref="AR4346:AS4347"/>
    <mergeCell ref="AT4346:AU4347"/>
    <mergeCell ref="AV4346:AW4347"/>
    <mergeCell ref="AX4346:AY4347"/>
    <mergeCell ref="AZ4346:AZ4347"/>
    <mergeCell ref="F4347:H4347"/>
    <mergeCell ref="X4347:AB4347"/>
    <mergeCell ref="AE4347:AI4347"/>
    <mergeCell ref="AJ4347:AL4347"/>
    <mergeCell ref="AN4347:AO4347"/>
    <mergeCell ref="AP4347:AQ4347"/>
    <mergeCell ref="A4348:A4349"/>
    <mergeCell ref="E4348:E4349"/>
    <mergeCell ref="F4348:H4348"/>
    <mergeCell ref="J4348:J4349"/>
    <mergeCell ref="K4348:L4349"/>
    <mergeCell ref="M4348:N4349"/>
    <mergeCell ref="O4348:P4349"/>
    <mergeCell ref="Q4348:R4349"/>
    <mergeCell ref="S4348:T4349"/>
    <mergeCell ref="U4348:V4349"/>
    <mergeCell ref="W4348:W4349"/>
    <mergeCell ref="X4348:AB4348"/>
    <mergeCell ref="AD4348:AI4348"/>
    <mergeCell ref="AJ4348:AL4348"/>
    <mergeCell ref="AN4348:AO4348"/>
    <mergeCell ref="AP4348:AQ4348"/>
    <mergeCell ref="AR4348:AS4349"/>
    <mergeCell ref="AT4348:AU4349"/>
    <mergeCell ref="AV4348:AW4349"/>
    <mergeCell ref="AX4348:AY4349"/>
    <mergeCell ref="AZ4348:AZ4349"/>
    <mergeCell ref="F4349:H4349"/>
    <mergeCell ref="X4349:AB4349"/>
    <mergeCell ref="AE4349:AI4349"/>
    <mergeCell ref="AJ4349:AL4349"/>
    <mergeCell ref="AN4349:AO4349"/>
    <mergeCell ref="AP4349:AQ4349"/>
    <mergeCell ref="A4350:A4351"/>
    <mergeCell ref="E4350:E4351"/>
    <mergeCell ref="F4350:H4350"/>
    <mergeCell ref="J4350:J4351"/>
    <mergeCell ref="K4350:L4351"/>
    <mergeCell ref="M4350:N4351"/>
    <mergeCell ref="O4350:P4351"/>
    <mergeCell ref="Q4350:R4351"/>
    <mergeCell ref="S4350:T4351"/>
    <mergeCell ref="U4350:V4351"/>
    <mergeCell ref="W4350:W4351"/>
    <mergeCell ref="X4350:AB4350"/>
    <mergeCell ref="AD4350:AI4350"/>
    <mergeCell ref="AJ4350:AL4350"/>
    <mergeCell ref="AN4350:AO4350"/>
    <mergeCell ref="AP4350:AQ4350"/>
    <mergeCell ref="AR4350:AS4351"/>
    <mergeCell ref="AT4350:AU4351"/>
    <mergeCell ref="AV4350:AW4351"/>
    <mergeCell ref="AX4350:AY4351"/>
    <mergeCell ref="AZ4350:AZ4351"/>
    <mergeCell ref="F4351:H4351"/>
    <mergeCell ref="X4351:AB4351"/>
    <mergeCell ref="AE4351:AI4351"/>
    <mergeCell ref="AJ4351:AL4351"/>
    <mergeCell ref="AN4351:AO4351"/>
    <mergeCell ref="AP4351:AQ4351"/>
    <mergeCell ref="A4352:A4353"/>
    <mergeCell ref="E4352:E4353"/>
    <mergeCell ref="F4352:H4352"/>
    <mergeCell ref="J4352:J4353"/>
    <mergeCell ref="K4352:L4353"/>
    <mergeCell ref="M4352:N4353"/>
    <mergeCell ref="O4352:P4353"/>
    <mergeCell ref="Q4352:R4353"/>
    <mergeCell ref="S4352:T4353"/>
    <mergeCell ref="U4352:V4353"/>
    <mergeCell ref="W4352:W4353"/>
    <mergeCell ref="X4352:AB4352"/>
    <mergeCell ref="AD4352:AI4352"/>
    <mergeCell ref="AJ4352:AL4352"/>
    <mergeCell ref="AN4352:AO4352"/>
    <mergeCell ref="AP4352:AQ4352"/>
    <mergeCell ref="AR4352:AS4353"/>
    <mergeCell ref="AT4352:AU4353"/>
    <mergeCell ref="AV4352:AW4353"/>
    <mergeCell ref="AX4352:AY4353"/>
    <mergeCell ref="AZ4352:AZ4353"/>
    <mergeCell ref="F4353:H4353"/>
    <mergeCell ref="X4353:AB4353"/>
    <mergeCell ref="AE4353:AI4353"/>
    <mergeCell ref="AJ4353:AL4353"/>
    <mergeCell ref="AN4353:AO4353"/>
    <mergeCell ref="AP4353:AQ4353"/>
    <mergeCell ref="A4354:A4355"/>
    <mergeCell ref="E4354:E4355"/>
    <mergeCell ref="F4354:H4354"/>
    <mergeCell ref="J4354:J4355"/>
    <mergeCell ref="K4354:L4355"/>
    <mergeCell ref="M4354:N4355"/>
    <mergeCell ref="O4354:P4355"/>
    <mergeCell ref="Q4354:R4355"/>
    <mergeCell ref="S4354:T4355"/>
    <mergeCell ref="U4354:V4355"/>
    <mergeCell ref="W4354:W4355"/>
    <mergeCell ref="X4354:AB4354"/>
    <mergeCell ref="AD4354:AI4354"/>
    <mergeCell ref="AJ4354:AL4354"/>
    <mergeCell ref="AN4354:AO4354"/>
    <mergeCell ref="AP4354:AQ4354"/>
    <mergeCell ref="AR4354:AS4355"/>
    <mergeCell ref="AT4354:AU4355"/>
    <mergeCell ref="AV4354:AW4355"/>
    <mergeCell ref="AX4354:AY4355"/>
    <mergeCell ref="AZ4354:AZ4355"/>
    <mergeCell ref="F4355:H4355"/>
    <mergeCell ref="X4355:AB4355"/>
    <mergeCell ref="AE4355:AI4355"/>
    <mergeCell ref="AJ4355:AL4355"/>
    <mergeCell ref="AN4355:AO4355"/>
    <mergeCell ref="AP4355:AQ4355"/>
    <mergeCell ref="A4356:A4357"/>
    <mergeCell ref="E4356:E4357"/>
    <mergeCell ref="F4356:H4356"/>
    <mergeCell ref="J4356:J4357"/>
    <mergeCell ref="K4356:L4357"/>
    <mergeCell ref="M4356:N4357"/>
    <mergeCell ref="O4356:P4357"/>
    <mergeCell ref="Q4356:R4357"/>
    <mergeCell ref="S4356:T4357"/>
    <mergeCell ref="U4356:V4357"/>
    <mergeCell ref="W4356:W4357"/>
    <mergeCell ref="X4356:AB4356"/>
    <mergeCell ref="AD4356:AI4356"/>
    <mergeCell ref="AJ4356:AL4356"/>
    <mergeCell ref="AN4356:AO4356"/>
    <mergeCell ref="AP4356:AQ4356"/>
    <mergeCell ref="AR4356:AS4357"/>
    <mergeCell ref="AT4356:AU4357"/>
    <mergeCell ref="AV4356:AW4357"/>
    <mergeCell ref="AX4356:AY4357"/>
    <mergeCell ref="AZ4356:AZ4357"/>
    <mergeCell ref="F4357:H4357"/>
    <mergeCell ref="X4357:AB4357"/>
    <mergeCell ref="AE4357:AI4357"/>
    <mergeCell ref="AJ4357:AL4357"/>
    <mergeCell ref="AN4357:AO4357"/>
    <mergeCell ref="AP4357:AQ4357"/>
    <mergeCell ref="A4358:A4359"/>
    <mergeCell ref="E4358:E4359"/>
    <mergeCell ref="F4358:H4358"/>
    <mergeCell ref="J4358:J4359"/>
    <mergeCell ref="K4358:L4359"/>
    <mergeCell ref="M4358:N4359"/>
    <mergeCell ref="O4358:P4359"/>
    <mergeCell ref="Q4358:R4359"/>
    <mergeCell ref="S4358:T4359"/>
    <mergeCell ref="U4358:V4359"/>
    <mergeCell ref="W4358:W4359"/>
    <mergeCell ref="X4358:AB4358"/>
    <mergeCell ref="AD4358:AI4358"/>
    <mergeCell ref="AJ4358:AL4358"/>
    <mergeCell ref="AN4358:AO4358"/>
    <mergeCell ref="AP4358:AQ4358"/>
    <mergeCell ref="AR4358:AS4359"/>
    <mergeCell ref="AT4358:AU4359"/>
    <mergeCell ref="AV4358:AW4359"/>
    <mergeCell ref="AX4358:AY4359"/>
    <mergeCell ref="AZ4358:AZ4359"/>
    <mergeCell ref="F4359:H4359"/>
    <mergeCell ref="X4359:AB4359"/>
    <mergeCell ref="AE4359:AI4359"/>
    <mergeCell ref="AJ4359:AL4359"/>
    <mergeCell ref="AN4359:AO4359"/>
    <mergeCell ref="AP4359:AQ4359"/>
    <mergeCell ref="A4360:A4361"/>
    <mergeCell ref="E4360:E4361"/>
    <mergeCell ref="F4360:H4360"/>
    <mergeCell ref="J4360:J4361"/>
    <mergeCell ref="K4360:L4361"/>
    <mergeCell ref="M4360:N4361"/>
    <mergeCell ref="O4360:P4361"/>
    <mergeCell ref="Q4360:R4361"/>
    <mergeCell ref="S4360:T4361"/>
    <mergeCell ref="U4360:V4361"/>
    <mergeCell ref="W4360:W4361"/>
    <mergeCell ref="X4360:AB4360"/>
    <mergeCell ref="AD4360:AI4360"/>
    <mergeCell ref="AJ4360:AL4360"/>
    <mergeCell ref="AN4360:AO4360"/>
    <mergeCell ref="AP4360:AQ4360"/>
    <mergeCell ref="AR4360:AS4361"/>
    <mergeCell ref="AT4360:AU4361"/>
    <mergeCell ref="AV4360:AW4361"/>
    <mergeCell ref="AX4360:AY4361"/>
    <mergeCell ref="AZ4360:AZ4361"/>
    <mergeCell ref="F4361:H4361"/>
    <mergeCell ref="X4361:AB4361"/>
    <mergeCell ref="AE4361:AI4361"/>
    <mergeCell ref="AJ4361:AL4361"/>
    <mergeCell ref="AN4361:AO4361"/>
    <mergeCell ref="AP4361:AQ4361"/>
    <mergeCell ref="A4362:A4363"/>
    <mergeCell ref="E4362:E4363"/>
    <mergeCell ref="F4362:H4362"/>
    <mergeCell ref="J4362:J4363"/>
    <mergeCell ref="K4362:L4363"/>
    <mergeCell ref="M4362:N4363"/>
    <mergeCell ref="O4362:P4363"/>
    <mergeCell ref="Q4362:R4363"/>
    <mergeCell ref="S4362:T4363"/>
    <mergeCell ref="U4362:V4363"/>
    <mergeCell ref="W4362:W4363"/>
    <mergeCell ref="X4362:AB4362"/>
    <mergeCell ref="AD4362:AI4362"/>
    <mergeCell ref="AJ4362:AL4362"/>
    <mergeCell ref="AN4362:AO4362"/>
    <mergeCell ref="AP4362:AQ4362"/>
    <mergeCell ref="AR4362:AS4363"/>
    <mergeCell ref="AT4362:AU4363"/>
    <mergeCell ref="AV4362:AW4363"/>
    <mergeCell ref="AX4362:AY4363"/>
    <mergeCell ref="AZ4362:AZ4363"/>
    <mergeCell ref="F4363:H4363"/>
    <mergeCell ref="X4363:AB4363"/>
    <mergeCell ref="AE4363:AI4363"/>
    <mergeCell ref="AJ4363:AL4363"/>
    <mergeCell ref="AN4363:AO4363"/>
    <mergeCell ref="AP4363:AQ4363"/>
    <mergeCell ref="A4364:A4365"/>
    <mergeCell ref="E4364:E4365"/>
    <mergeCell ref="F4364:H4364"/>
    <mergeCell ref="J4364:J4365"/>
    <mergeCell ref="K4364:L4365"/>
    <mergeCell ref="M4364:N4365"/>
    <mergeCell ref="O4364:P4365"/>
    <mergeCell ref="Q4364:R4365"/>
    <mergeCell ref="S4364:T4365"/>
    <mergeCell ref="U4364:V4365"/>
    <mergeCell ref="W4364:W4365"/>
    <mergeCell ref="X4364:AB4364"/>
    <mergeCell ref="AD4364:AI4364"/>
    <mergeCell ref="AJ4364:AL4364"/>
    <mergeCell ref="AN4364:AO4364"/>
    <mergeCell ref="AP4364:AQ4364"/>
    <mergeCell ref="AR4364:AS4365"/>
    <mergeCell ref="AT4364:AU4365"/>
    <mergeCell ref="AV4364:AW4365"/>
    <mergeCell ref="AX4364:AY4365"/>
    <mergeCell ref="AZ4364:AZ4365"/>
    <mergeCell ref="F4365:H4365"/>
    <mergeCell ref="X4365:AB4365"/>
    <mergeCell ref="AE4365:AI4365"/>
    <mergeCell ref="AJ4365:AL4365"/>
    <mergeCell ref="AN4365:AO4365"/>
    <mergeCell ref="AP4365:AQ4365"/>
    <mergeCell ref="A4366:A4367"/>
    <mergeCell ref="E4366:E4367"/>
    <mergeCell ref="F4366:H4366"/>
    <mergeCell ref="J4366:J4367"/>
    <mergeCell ref="K4366:L4367"/>
    <mergeCell ref="M4366:N4367"/>
    <mergeCell ref="O4366:P4367"/>
    <mergeCell ref="Q4366:R4367"/>
    <mergeCell ref="S4366:T4367"/>
    <mergeCell ref="U4366:V4367"/>
    <mergeCell ref="W4366:W4367"/>
    <mergeCell ref="X4366:AB4366"/>
    <mergeCell ref="AD4366:AI4366"/>
    <mergeCell ref="AJ4366:AL4366"/>
    <mergeCell ref="AN4366:AO4366"/>
    <mergeCell ref="AP4366:AQ4366"/>
    <mergeCell ref="AR4366:AS4367"/>
    <mergeCell ref="AT4366:AU4367"/>
    <mergeCell ref="AV4366:AW4367"/>
    <mergeCell ref="AX4366:AY4367"/>
    <mergeCell ref="AZ4366:AZ4367"/>
    <mergeCell ref="F4367:H4367"/>
    <mergeCell ref="X4367:AB4367"/>
    <mergeCell ref="AE4367:AI4367"/>
    <mergeCell ref="AJ4367:AL4367"/>
    <mergeCell ref="AN4367:AO4367"/>
    <mergeCell ref="AP4367:AQ4367"/>
    <mergeCell ref="A4368:A4369"/>
    <mergeCell ref="E4368:E4369"/>
    <mergeCell ref="F4368:H4368"/>
    <mergeCell ref="J4368:J4369"/>
    <mergeCell ref="K4368:L4369"/>
    <mergeCell ref="M4368:N4369"/>
    <mergeCell ref="O4368:P4369"/>
    <mergeCell ref="Q4368:R4369"/>
    <mergeCell ref="S4368:T4369"/>
    <mergeCell ref="U4368:V4369"/>
    <mergeCell ref="W4368:W4369"/>
    <mergeCell ref="X4368:AB4368"/>
    <mergeCell ref="AD4368:AI4368"/>
    <mergeCell ref="AJ4368:AL4368"/>
    <mergeCell ref="AN4368:AO4368"/>
    <mergeCell ref="AP4368:AQ4368"/>
    <mergeCell ref="AR4368:AS4369"/>
    <mergeCell ref="AT4368:AU4369"/>
    <mergeCell ref="AV4368:AW4369"/>
    <mergeCell ref="AX4368:AY4369"/>
    <mergeCell ref="AZ4368:AZ4369"/>
    <mergeCell ref="F4369:H4369"/>
    <mergeCell ref="X4369:AB4369"/>
    <mergeCell ref="AE4369:AI4369"/>
    <mergeCell ref="AJ4369:AL4369"/>
    <mergeCell ref="AN4369:AO4369"/>
    <mergeCell ref="AP4369:AQ4369"/>
    <mergeCell ref="A4370:A4371"/>
    <mergeCell ref="E4370:E4371"/>
    <mergeCell ref="F4370:H4370"/>
    <mergeCell ref="J4370:J4371"/>
    <mergeCell ref="K4370:L4371"/>
    <mergeCell ref="M4370:N4371"/>
    <mergeCell ref="O4370:P4371"/>
    <mergeCell ref="Q4370:R4371"/>
    <mergeCell ref="S4370:T4371"/>
    <mergeCell ref="U4370:V4371"/>
    <mergeCell ref="W4370:W4371"/>
    <mergeCell ref="X4370:AB4370"/>
    <mergeCell ref="AD4370:AI4370"/>
    <mergeCell ref="AJ4370:AL4370"/>
    <mergeCell ref="AN4370:AO4370"/>
    <mergeCell ref="AP4370:AQ4370"/>
    <mergeCell ref="AR4370:AS4371"/>
    <mergeCell ref="AT4370:AU4371"/>
    <mergeCell ref="AV4370:AW4371"/>
    <mergeCell ref="AX4370:AY4371"/>
    <mergeCell ref="AZ4370:AZ4371"/>
    <mergeCell ref="F4371:H4371"/>
    <mergeCell ref="X4371:AB4371"/>
    <mergeCell ref="AE4371:AI4371"/>
    <mergeCell ref="AJ4371:AL4371"/>
    <mergeCell ref="AN4371:AO4371"/>
    <mergeCell ref="AP4371:AQ4371"/>
    <mergeCell ref="A4372:A4373"/>
    <mergeCell ref="E4372:E4373"/>
    <mergeCell ref="F4372:H4372"/>
    <mergeCell ref="J4372:J4373"/>
    <mergeCell ref="K4372:L4373"/>
    <mergeCell ref="M4372:N4373"/>
    <mergeCell ref="O4372:P4373"/>
    <mergeCell ref="Q4372:R4373"/>
    <mergeCell ref="S4372:T4373"/>
    <mergeCell ref="U4372:V4373"/>
    <mergeCell ref="W4372:W4373"/>
    <mergeCell ref="X4372:AB4372"/>
    <mergeCell ref="AD4372:AI4372"/>
    <mergeCell ref="AJ4372:AL4372"/>
    <mergeCell ref="AN4372:AO4372"/>
    <mergeCell ref="AP4372:AQ4372"/>
    <mergeCell ref="AR4372:AS4373"/>
    <mergeCell ref="AT4372:AU4373"/>
    <mergeCell ref="AV4372:AW4373"/>
    <mergeCell ref="AX4372:AY4373"/>
    <mergeCell ref="AZ4372:AZ4373"/>
    <mergeCell ref="F4373:H4373"/>
    <mergeCell ref="X4373:AB4373"/>
    <mergeCell ref="AE4373:AI4373"/>
    <mergeCell ref="AJ4373:AL4373"/>
    <mergeCell ref="AN4373:AO4373"/>
    <mergeCell ref="AP4373:AQ4373"/>
    <mergeCell ref="A4374:A4375"/>
    <mergeCell ref="E4374:E4375"/>
    <mergeCell ref="F4374:H4374"/>
    <mergeCell ref="J4374:J4375"/>
    <mergeCell ref="K4374:L4375"/>
    <mergeCell ref="M4374:N4375"/>
    <mergeCell ref="O4374:P4375"/>
    <mergeCell ref="Q4374:R4375"/>
    <mergeCell ref="S4374:T4375"/>
    <mergeCell ref="U4374:V4375"/>
    <mergeCell ref="W4374:W4375"/>
    <mergeCell ref="X4374:AB4374"/>
    <mergeCell ref="AD4374:AI4374"/>
    <mergeCell ref="AJ4374:AL4374"/>
    <mergeCell ref="AN4374:AO4374"/>
    <mergeCell ref="AP4374:AQ4374"/>
    <mergeCell ref="AR4374:AS4375"/>
    <mergeCell ref="AT4374:AU4375"/>
    <mergeCell ref="AV4374:AW4375"/>
    <mergeCell ref="AX4374:AY4375"/>
    <mergeCell ref="AZ4374:AZ4375"/>
    <mergeCell ref="F4375:H4375"/>
    <mergeCell ref="X4375:AB4375"/>
    <mergeCell ref="AE4375:AI4375"/>
    <mergeCell ref="AJ4375:AL4375"/>
    <mergeCell ref="AN4375:AO4375"/>
    <mergeCell ref="AP4375:AQ4375"/>
    <mergeCell ref="A4376:A4377"/>
    <mergeCell ref="E4376:E4377"/>
    <mergeCell ref="F4376:H4376"/>
    <mergeCell ref="J4376:J4377"/>
    <mergeCell ref="K4376:L4377"/>
    <mergeCell ref="M4376:N4377"/>
    <mergeCell ref="O4376:P4377"/>
    <mergeCell ref="Q4376:R4377"/>
    <mergeCell ref="S4376:T4377"/>
    <mergeCell ref="U4376:V4377"/>
    <mergeCell ref="W4376:W4377"/>
    <mergeCell ref="X4376:AB4376"/>
    <mergeCell ref="AD4376:AI4376"/>
    <mergeCell ref="AJ4376:AL4376"/>
    <mergeCell ref="AN4376:AO4376"/>
    <mergeCell ref="AP4376:AQ4376"/>
    <mergeCell ref="AR4376:AS4377"/>
    <mergeCell ref="AT4376:AU4377"/>
    <mergeCell ref="AV4376:AW4377"/>
    <mergeCell ref="AX4376:AY4377"/>
    <mergeCell ref="AZ4376:AZ4377"/>
    <mergeCell ref="F4377:H4377"/>
    <mergeCell ref="X4377:AB4377"/>
    <mergeCell ref="AE4377:AI4377"/>
    <mergeCell ref="AJ4377:AL4377"/>
    <mergeCell ref="AN4377:AO4377"/>
    <mergeCell ref="AP4377:AQ4377"/>
    <mergeCell ref="A4378:A4379"/>
    <mergeCell ref="E4378:E4379"/>
    <mergeCell ref="F4378:H4378"/>
    <mergeCell ref="J4378:J4379"/>
    <mergeCell ref="K4378:L4379"/>
    <mergeCell ref="M4378:N4379"/>
    <mergeCell ref="O4378:P4379"/>
    <mergeCell ref="Q4378:R4379"/>
    <mergeCell ref="S4378:T4379"/>
    <mergeCell ref="U4378:V4379"/>
    <mergeCell ref="W4378:W4379"/>
    <mergeCell ref="X4378:AB4378"/>
    <mergeCell ref="AD4378:AI4378"/>
    <mergeCell ref="AJ4378:AL4378"/>
    <mergeCell ref="AN4378:AO4378"/>
    <mergeCell ref="AP4378:AQ4378"/>
    <mergeCell ref="AR4378:AS4379"/>
    <mergeCell ref="AT4378:AU4379"/>
    <mergeCell ref="AV4378:AW4379"/>
    <mergeCell ref="AX4378:AY4379"/>
    <mergeCell ref="AZ4378:AZ4379"/>
    <mergeCell ref="F4379:H4379"/>
    <mergeCell ref="X4379:AB4379"/>
    <mergeCell ref="AE4379:AI4379"/>
    <mergeCell ref="AJ4379:AL4379"/>
    <mergeCell ref="AN4379:AO4379"/>
    <mergeCell ref="AP4379:AQ4379"/>
    <mergeCell ref="J4380:J4381"/>
    <mergeCell ref="K4380:L4381"/>
    <mergeCell ref="M4380:N4381"/>
    <mergeCell ref="O4380:P4381"/>
    <mergeCell ref="Q4380:R4381"/>
    <mergeCell ref="S4380:T4381"/>
    <mergeCell ref="U4380:V4381"/>
    <mergeCell ref="W4380:W4381"/>
    <mergeCell ref="X4380:AB4380"/>
    <mergeCell ref="AD4380:AI4380"/>
    <mergeCell ref="AJ4380:AL4380"/>
    <mergeCell ref="AN4380:AO4380"/>
    <mergeCell ref="AP4380:AQ4380"/>
    <mergeCell ref="AR4380:AS4381"/>
    <mergeCell ref="AT4380:AU4381"/>
    <mergeCell ref="AV4380:AW4381"/>
    <mergeCell ref="AX4380:AY4381"/>
    <mergeCell ref="AZ4380:AZ4381"/>
    <mergeCell ref="F4381:H4381"/>
    <mergeCell ref="X4381:AB4381"/>
    <mergeCell ref="AE4381:AI4381"/>
    <mergeCell ref="AJ4381:AL4381"/>
    <mergeCell ref="AN4381:AO4381"/>
    <mergeCell ref="AP4381:AQ4381"/>
    <mergeCell ref="A4382:A4383"/>
    <mergeCell ref="E4382:E4383"/>
    <mergeCell ref="F4382:H4382"/>
    <mergeCell ref="J4382:J4383"/>
    <mergeCell ref="K4382:L4383"/>
    <mergeCell ref="M4382:N4383"/>
    <mergeCell ref="O4382:P4383"/>
    <mergeCell ref="Q4382:R4383"/>
    <mergeCell ref="S4382:T4383"/>
    <mergeCell ref="U4382:V4383"/>
    <mergeCell ref="W4382:W4383"/>
    <mergeCell ref="X4382:AB4382"/>
    <mergeCell ref="AD4382:AI4382"/>
    <mergeCell ref="AJ4382:AL4382"/>
    <mergeCell ref="AN4382:AO4382"/>
    <mergeCell ref="AP4382:AQ4382"/>
    <mergeCell ref="AR4382:AS4383"/>
    <mergeCell ref="AT4382:AU4383"/>
    <mergeCell ref="AV4382:AW4383"/>
    <mergeCell ref="AX4382:AY4383"/>
    <mergeCell ref="AZ4382:AZ4383"/>
    <mergeCell ref="F4383:H4383"/>
    <mergeCell ref="X4383:AB4383"/>
    <mergeCell ref="AE4383:AI4383"/>
    <mergeCell ref="AJ4383:AL4383"/>
    <mergeCell ref="AN4383:AO4383"/>
    <mergeCell ref="AP4383:AQ4383"/>
    <mergeCell ref="A4390:A4391"/>
    <mergeCell ref="E4390:E4391"/>
    <mergeCell ref="F4390:H4390"/>
    <mergeCell ref="J4390:J4391"/>
    <mergeCell ref="K4390:L4391"/>
    <mergeCell ref="M4390:N4391"/>
    <mergeCell ref="O4390:P4391"/>
    <mergeCell ref="Q4390:R4391"/>
    <mergeCell ref="S4390:T4391"/>
    <mergeCell ref="U4390:V4391"/>
    <mergeCell ref="W4390:W4391"/>
    <mergeCell ref="X4390:AB4390"/>
    <mergeCell ref="AD4390:AI4390"/>
    <mergeCell ref="AJ4390:AL4390"/>
    <mergeCell ref="AN4390:AO4390"/>
    <mergeCell ref="AP4390:AQ4390"/>
    <mergeCell ref="AR4390:AS4391"/>
    <mergeCell ref="AT4390:AU4391"/>
    <mergeCell ref="AV4390:AW4391"/>
    <mergeCell ref="AX4390:AY4391"/>
    <mergeCell ref="AZ4390:AZ4391"/>
    <mergeCell ref="F4391:H4391"/>
    <mergeCell ref="X4391:AB4391"/>
    <mergeCell ref="AE4391:AI4391"/>
    <mergeCell ref="AJ4391:AL4391"/>
    <mergeCell ref="AN4391:AO4391"/>
    <mergeCell ref="AP4391:AQ4391"/>
    <mergeCell ref="A4384:A4385"/>
    <mergeCell ref="E4384:E4385"/>
    <mergeCell ref="F4384:H4384"/>
    <mergeCell ref="J4384:J4385"/>
    <mergeCell ref="K4384:L4385"/>
    <mergeCell ref="M4384:N4385"/>
    <mergeCell ref="O4384:P4385"/>
    <mergeCell ref="Q4384:R4385"/>
    <mergeCell ref="S4384:T4385"/>
    <mergeCell ref="U4384:V4385"/>
    <mergeCell ref="W4384:W4385"/>
    <mergeCell ref="X4384:AB4384"/>
    <mergeCell ref="AD4384:AI4384"/>
    <mergeCell ref="AJ4384:AL4384"/>
    <mergeCell ref="AN4384:AO4384"/>
    <mergeCell ref="AP4384:AQ4384"/>
    <mergeCell ref="AR4384:AS4385"/>
    <mergeCell ref="AT4384:AU4385"/>
    <mergeCell ref="AV4384:AW4385"/>
    <mergeCell ref="AX4384:AY4385"/>
    <mergeCell ref="AZ4384:AZ4385"/>
    <mergeCell ref="F4385:H4385"/>
    <mergeCell ref="X4385:AB4385"/>
    <mergeCell ref="AE4385:AI4385"/>
    <mergeCell ref="AJ4385:AL4385"/>
    <mergeCell ref="AN4385:AO4385"/>
    <mergeCell ref="AP4385:AQ4385"/>
    <mergeCell ref="A4386:A4387"/>
    <mergeCell ref="E4386:E4387"/>
    <mergeCell ref="F4386:H4386"/>
    <mergeCell ref="J4386:J4387"/>
    <mergeCell ref="K4386:L4387"/>
    <mergeCell ref="M4386:N4387"/>
    <mergeCell ref="O4386:P4387"/>
    <mergeCell ref="Q4386:R4387"/>
    <mergeCell ref="S4386:T4387"/>
    <mergeCell ref="U4386:V4387"/>
    <mergeCell ref="W4292:W4293"/>
    <mergeCell ref="X4292:AB4292"/>
    <mergeCell ref="AD4292:AI4292"/>
    <mergeCell ref="AJ4292:AL4292"/>
    <mergeCell ref="AN4292:AO4292"/>
    <mergeCell ref="AP4292:AQ4292"/>
    <mergeCell ref="AR4292:AS4293"/>
    <mergeCell ref="AT4292:AU4293"/>
    <mergeCell ref="AV4292:AW4293"/>
    <mergeCell ref="AX4292:AY4293"/>
    <mergeCell ref="AZ4292:AZ4293"/>
    <mergeCell ref="F4293:H4293"/>
    <mergeCell ref="X4293:AB4293"/>
    <mergeCell ref="AE4293:AI4293"/>
    <mergeCell ref="AJ4293:AL4293"/>
    <mergeCell ref="AN4293:AO4293"/>
    <mergeCell ref="AP4293:AQ4293"/>
    <mergeCell ref="A4388:A4389"/>
    <mergeCell ref="E4388:E4389"/>
    <mergeCell ref="F4388:H4388"/>
    <mergeCell ref="J4388:J4389"/>
    <mergeCell ref="K4388:L4389"/>
    <mergeCell ref="M4388:N4389"/>
    <mergeCell ref="O4388:P4389"/>
    <mergeCell ref="Q4388:R4389"/>
    <mergeCell ref="S4388:T4389"/>
    <mergeCell ref="U4388:V4389"/>
    <mergeCell ref="W4388:W4389"/>
    <mergeCell ref="X4388:AB4388"/>
    <mergeCell ref="AD4388:AI4388"/>
    <mergeCell ref="AJ4388:AL4388"/>
    <mergeCell ref="AN4388:AO4388"/>
    <mergeCell ref="AP4388:AQ4388"/>
    <mergeCell ref="AR4388:AS4389"/>
    <mergeCell ref="AT4388:AU4389"/>
    <mergeCell ref="AV4388:AW4389"/>
    <mergeCell ref="AX4388:AY4389"/>
    <mergeCell ref="AZ4388:AZ4389"/>
    <mergeCell ref="F4389:H4389"/>
    <mergeCell ref="X4389:AB4389"/>
    <mergeCell ref="AE4389:AI4389"/>
    <mergeCell ref="AJ4389:AL4389"/>
    <mergeCell ref="AN4389:AO4389"/>
    <mergeCell ref="AP4389:AQ4389"/>
    <mergeCell ref="W4386:W4387"/>
    <mergeCell ref="X4386:AB4386"/>
    <mergeCell ref="AD4386:AI4386"/>
    <mergeCell ref="AJ4386:AL4386"/>
    <mergeCell ref="AN4386:AO4386"/>
    <mergeCell ref="AP4386:AQ4386"/>
    <mergeCell ref="AR4386:AS4387"/>
    <mergeCell ref="AT4386:AU4387"/>
    <mergeCell ref="AV4386:AW4387"/>
    <mergeCell ref="AX4386:AY4387"/>
    <mergeCell ref="AZ4386:AZ4387"/>
    <mergeCell ref="F4387:H4387"/>
    <mergeCell ref="X4387:AB4387"/>
    <mergeCell ref="AE4387:AI4387"/>
    <mergeCell ref="AJ4387:AL4387"/>
    <mergeCell ref="AN4387:AO4387"/>
    <mergeCell ref="AP4387:AQ4387"/>
    <mergeCell ref="A4380:A4381"/>
    <mergeCell ref="E4380:E4381"/>
    <mergeCell ref="F4380:H4380"/>
    <mergeCell ref="A4392:A4393"/>
    <mergeCell ref="E4392:E4393"/>
    <mergeCell ref="F4392:H4392"/>
    <mergeCell ref="J4392:J4393"/>
    <mergeCell ref="K4392:L4393"/>
    <mergeCell ref="M4392:N4393"/>
    <mergeCell ref="O4392:P4393"/>
    <mergeCell ref="Q4392:R4393"/>
    <mergeCell ref="S4392:T4393"/>
    <mergeCell ref="U4392:V4393"/>
    <mergeCell ref="W4392:W4393"/>
    <mergeCell ref="X4392:AB4392"/>
    <mergeCell ref="AD4392:AI4392"/>
    <mergeCell ref="AJ4392:AL4392"/>
    <mergeCell ref="AN4392:AO4392"/>
    <mergeCell ref="AP4392:AQ4392"/>
    <mergeCell ref="AR4392:AS4393"/>
    <mergeCell ref="AT4392:AU4393"/>
    <mergeCell ref="AV4392:AW4393"/>
    <mergeCell ref="AX4392:AY4393"/>
    <mergeCell ref="AZ4392:AZ4393"/>
    <mergeCell ref="F4393:H4393"/>
    <mergeCell ref="X4393:AB4393"/>
    <mergeCell ref="AE4393:AI4393"/>
    <mergeCell ref="AJ4393:AL4393"/>
    <mergeCell ref="AN4393:AO4393"/>
    <mergeCell ref="AP4393:AQ4393"/>
    <mergeCell ref="A4394:A4395"/>
    <mergeCell ref="E4394:E4395"/>
    <mergeCell ref="F4394:H4394"/>
    <mergeCell ref="J4394:J4395"/>
    <mergeCell ref="K4394:L4395"/>
    <mergeCell ref="M4394:N4395"/>
    <mergeCell ref="O4394:P4395"/>
    <mergeCell ref="Q4394:R4395"/>
    <mergeCell ref="S4394:T4395"/>
    <mergeCell ref="U4394:V4395"/>
    <mergeCell ref="W4394:W4395"/>
    <mergeCell ref="X4394:AB4394"/>
    <mergeCell ref="AD4394:AI4394"/>
    <mergeCell ref="AJ4394:AL4394"/>
    <mergeCell ref="AN4394:AO4394"/>
    <mergeCell ref="AP4394:AQ4394"/>
    <mergeCell ref="AR4394:AS4395"/>
    <mergeCell ref="AT4394:AU4395"/>
    <mergeCell ref="AV4394:AW4395"/>
    <mergeCell ref="AX4394:AY4395"/>
    <mergeCell ref="AZ4394:AZ4395"/>
    <mergeCell ref="F4395:H4395"/>
    <mergeCell ref="X4395:AB4395"/>
    <mergeCell ref="AE4395:AI4395"/>
    <mergeCell ref="AJ4395:AL4395"/>
    <mergeCell ref="AN4395:AO4395"/>
    <mergeCell ref="AP4395:AQ4395"/>
    <mergeCell ref="A4408:A4409"/>
    <mergeCell ref="E4408:E4409"/>
    <mergeCell ref="F4408:H4408"/>
    <mergeCell ref="J4408:J4409"/>
    <mergeCell ref="K4408:L4409"/>
    <mergeCell ref="M4408:N4409"/>
    <mergeCell ref="O4408:P4409"/>
    <mergeCell ref="Q4408:R4409"/>
    <mergeCell ref="S4408:T4409"/>
    <mergeCell ref="U4408:V4409"/>
    <mergeCell ref="W4408:W4409"/>
    <mergeCell ref="X4408:AB4408"/>
    <mergeCell ref="AD4408:AI4408"/>
    <mergeCell ref="AJ4408:AL4408"/>
    <mergeCell ref="AN4408:AO4408"/>
    <mergeCell ref="AP4408:AQ4408"/>
    <mergeCell ref="AR4408:AS4409"/>
    <mergeCell ref="AT4408:AU4409"/>
    <mergeCell ref="AV4408:AW4409"/>
    <mergeCell ref="AX4408:AY4409"/>
    <mergeCell ref="AZ4408:AZ4409"/>
    <mergeCell ref="F4409:H4409"/>
    <mergeCell ref="X4409:AB4409"/>
    <mergeCell ref="AE4409:AI4409"/>
    <mergeCell ref="AJ4409:AL4409"/>
    <mergeCell ref="AN4409:AO4409"/>
    <mergeCell ref="AP4409:AQ4409"/>
    <mergeCell ref="A4414:A4415"/>
    <mergeCell ref="E4414:E4415"/>
    <mergeCell ref="F4414:H4414"/>
    <mergeCell ref="J4414:J4415"/>
    <mergeCell ref="K4414:L4415"/>
    <mergeCell ref="M4414:N4415"/>
    <mergeCell ref="O4414:P4415"/>
    <mergeCell ref="Q4414:R4415"/>
    <mergeCell ref="S4414:T4415"/>
    <mergeCell ref="U4414:V4415"/>
    <mergeCell ref="W4414:W4415"/>
    <mergeCell ref="X4414:AB4414"/>
    <mergeCell ref="AD4414:AI4414"/>
    <mergeCell ref="AJ4414:AL4414"/>
    <mergeCell ref="AN4414:AO4414"/>
    <mergeCell ref="AP4414:AQ4414"/>
    <mergeCell ref="AR4414:AS4415"/>
    <mergeCell ref="AT4414:AU4415"/>
    <mergeCell ref="AV4414:AW4415"/>
    <mergeCell ref="AX4414:AY4415"/>
    <mergeCell ref="AZ4414:AZ4415"/>
    <mergeCell ref="F4415:H4415"/>
    <mergeCell ref="X4415:AB4415"/>
    <mergeCell ref="AE4415:AI4415"/>
    <mergeCell ref="AJ4415:AL4415"/>
    <mergeCell ref="AN4415:AO4415"/>
    <mergeCell ref="AP4415:AQ4415"/>
    <mergeCell ref="A4410:A4411"/>
    <mergeCell ref="E4410:E4411"/>
    <mergeCell ref="F4410:H4410"/>
    <mergeCell ref="J4410:J4411"/>
    <mergeCell ref="K4410:L4411"/>
    <mergeCell ref="M4410:N4411"/>
    <mergeCell ref="O4410:P4411"/>
    <mergeCell ref="Q4410:R4411"/>
    <mergeCell ref="S4410:T4411"/>
    <mergeCell ref="U4410:V4411"/>
    <mergeCell ref="A4442:A4443"/>
    <mergeCell ref="E4442:E4443"/>
    <mergeCell ref="F4442:H4442"/>
    <mergeCell ref="J4442:J4443"/>
    <mergeCell ref="K4442:L4443"/>
    <mergeCell ref="M4442:N4443"/>
    <mergeCell ref="O4442:P4443"/>
    <mergeCell ref="Q4442:R4443"/>
    <mergeCell ref="S4442:T4443"/>
    <mergeCell ref="U4442:V4443"/>
    <mergeCell ref="W4442:W4443"/>
    <mergeCell ref="X4442:AB4442"/>
    <mergeCell ref="AD4442:AI4442"/>
    <mergeCell ref="AJ4442:AL4442"/>
    <mergeCell ref="AN4442:AO4442"/>
    <mergeCell ref="AP4442:AQ4442"/>
    <mergeCell ref="AR4442:AS4443"/>
    <mergeCell ref="AT4442:AU4443"/>
    <mergeCell ref="AV4442:AW4443"/>
    <mergeCell ref="AX4442:AY4443"/>
    <mergeCell ref="AZ4442:AZ4443"/>
    <mergeCell ref="F4443:H4443"/>
    <mergeCell ref="X4443:AB4443"/>
    <mergeCell ref="AE4443:AI4443"/>
    <mergeCell ref="AJ4443:AL4443"/>
    <mergeCell ref="AN4443:AO4443"/>
    <mergeCell ref="AP4443:AQ4443"/>
    <mergeCell ref="A4444:A4445"/>
    <mergeCell ref="E4444:E4445"/>
    <mergeCell ref="F4444:H4444"/>
    <mergeCell ref="J4444:J4445"/>
    <mergeCell ref="K4444:L4445"/>
    <mergeCell ref="M4444:N4445"/>
    <mergeCell ref="O4444:P4445"/>
    <mergeCell ref="Q4444:R4445"/>
    <mergeCell ref="S4444:T4445"/>
    <mergeCell ref="U4444:V4445"/>
    <mergeCell ref="W4444:W4445"/>
    <mergeCell ref="X4444:AB4444"/>
    <mergeCell ref="AD4444:AI4444"/>
    <mergeCell ref="AJ4444:AL4444"/>
    <mergeCell ref="AN4444:AO4444"/>
    <mergeCell ref="AP4444:AQ4444"/>
    <mergeCell ref="AR4444:AS4445"/>
    <mergeCell ref="AT4444:AU4445"/>
    <mergeCell ref="AV4444:AW4445"/>
    <mergeCell ref="AX4444:AY4445"/>
    <mergeCell ref="AZ4444:AZ4445"/>
    <mergeCell ref="F4445:H4445"/>
    <mergeCell ref="X4445:AB4445"/>
    <mergeCell ref="AE4445:AI4445"/>
    <mergeCell ref="AJ4445:AL4445"/>
    <mergeCell ref="AN4445:AO4445"/>
    <mergeCell ref="AP4445:AQ4445"/>
    <mergeCell ref="W4448:W4449"/>
    <mergeCell ref="X4448:AB4448"/>
    <mergeCell ref="AD4448:AI4448"/>
    <mergeCell ref="AJ4448:AL4448"/>
    <mergeCell ref="AN4448:AO4448"/>
    <mergeCell ref="AP4448:AQ4448"/>
    <mergeCell ref="AR4448:AS4449"/>
    <mergeCell ref="AT4448:AU4449"/>
    <mergeCell ref="AV4448:AW4449"/>
    <mergeCell ref="AX4448:AY4449"/>
    <mergeCell ref="AZ4448:AZ4449"/>
    <mergeCell ref="F4449:H4449"/>
    <mergeCell ref="X4449:AB4449"/>
    <mergeCell ref="AE4449:AI4449"/>
    <mergeCell ref="AJ4449:AL4449"/>
    <mergeCell ref="AN4449:AO4449"/>
    <mergeCell ref="AP4449:AQ4449"/>
    <mergeCell ref="A4450:A4451"/>
    <mergeCell ref="E4450:E4451"/>
    <mergeCell ref="F4450:H4450"/>
    <mergeCell ref="J4450:J4451"/>
    <mergeCell ref="K4450:L4451"/>
    <mergeCell ref="M4450:N4451"/>
    <mergeCell ref="O4450:P4451"/>
    <mergeCell ref="Q4450:R4451"/>
    <mergeCell ref="S4450:T4451"/>
    <mergeCell ref="U4450:V4451"/>
    <mergeCell ref="W4450:W4451"/>
    <mergeCell ref="X4450:AB4450"/>
    <mergeCell ref="AD4450:AI4450"/>
    <mergeCell ref="AJ4450:AL4450"/>
    <mergeCell ref="AN4450:AO4450"/>
    <mergeCell ref="AP4450:AQ4450"/>
    <mergeCell ref="AR4450:AS4451"/>
    <mergeCell ref="AT4450:AU4451"/>
    <mergeCell ref="AV4450:AW4451"/>
    <mergeCell ref="AX4450:AY4451"/>
    <mergeCell ref="AZ4450:AZ4451"/>
    <mergeCell ref="F4451:H4451"/>
    <mergeCell ref="X4451:AB4451"/>
    <mergeCell ref="AE4451:AI4451"/>
    <mergeCell ref="AJ4451:AL4451"/>
    <mergeCell ref="AN4451:AO4451"/>
    <mergeCell ref="AP4451:AQ4451"/>
    <mergeCell ref="A4492:A4493"/>
    <mergeCell ref="E4492:E4493"/>
    <mergeCell ref="F4492:H4492"/>
    <mergeCell ref="J4492:J4493"/>
    <mergeCell ref="K4492:L4493"/>
    <mergeCell ref="M4492:N4493"/>
    <mergeCell ref="O4492:P4493"/>
    <mergeCell ref="Q4492:R4493"/>
    <mergeCell ref="S4492:T4493"/>
    <mergeCell ref="U4492:V4493"/>
    <mergeCell ref="W4492:W4493"/>
    <mergeCell ref="X4492:AB4492"/>
    <mergeCell ref="AD4492:AI4492"/>
    <mergeCell ref="AJ4492:AL4492"/>
    <mergeCell ref="AN4492:AO4492"/>
    <mergeCell ref="AP4492:AQ4492"/>
    <mergeCell ref="AR4492:AS4493"/>
    <mergeCell ref="AT4492:AU4493"/>
    <mergeCell ref="AV4492:AW4493"/>
    <mergeCell ref="AX4492:AY4493"/>
    <mergeCell ref="AZ4492:AZ4493"/>
    <mergeCell ref="F4493:H4493"/>
    <mergeCell ref="X4493:AB4493"/>
    <mergeCell ref="AE4493:AI4493"/>
    <mergeCell ref="AJ4493:AL4493"/>
    <mergeCell ref="AN4493:AO4493"/>
    <mergeCell ref="AP4493:AQ4493"/>
    <mergeCell ref="A4498:A4499"/>
    <mergeCell ref="E4498:E4499"/>
    <mergeCell ref="F4498:H4498"/>
    <mergeCell ref="J4498:J4499"/>
    <mergeCell ref="K4498:L4499"/>
    <mergeCell ref="M4498:N4499"/>
    <mergeCell ref="O4498:P4499"/>
    <mergeCell ref="Q4498:R4499"/>
    <mergeCell ref="S4498:T4499"/>
    <mergeCell ref="U4498:V4499"/>
    <mergeCell ref="W4498:W4499"/>
    <mergeCell ref="X4498:AB4498"/>
    <mergeCell ref="AD4498:AI4498"/>
    <mergeCell ref="AJ4498:AL4498"/>
    <mergeCell ref="AN4498:AO4498"/>
    <mergeCell ref="AP4498:AQ4498"/>
    <mergeCell ref="AR4498:AS4499"/>
    <mergeCell ref="AT4498:AU4499"/>
    <mergeCell ref="AV4498:AW4499"/>
    <mergeCell ref="AX4498:AY4499"/>
    <mergeCell ref="AN4495:AO4495"/>
    <mergeCell ref="AP4495:AQ4495"/>
    <mergeCell ref="E4502:E4503"/>
    <mergeCell ref="F4502:H4502"/>
    <mergeCell ref="J4502:J4503"/>
    <mergeCell ref="K4502:L4503"/>
    <mergeCell ref="M4502:N4503"/>
    <mergeCell ref="O4502:P4503"/>
    <mergeCell ref="Q4502:R4503"/>
    <mergeCell ref="S4502:T4503"/>
    <mergeCell ref="U4502:V4503"/>
    <mergeCell ref="W4502:W4503"/>
    <mergeCell ref="X4502:AB4502"/>
    <mergeCell ref="AD4502:AI4502"/>
    <mergeCell ref="AJ4502:AL4502"/>
    <mergeCell ref="AN4502:AO4502"/>
    <mergeCell ref="AP4502:AQ4502"/>
    <mergeCell ref="AR4502:AS4503"/>
    <mergeCell ref="AT4502:AU4503"/>
    <mergeCell ref="AV4502:AW4503"/>
    <mergeCell ref="AX4502:AY4503"/>
    <mergeCell ref="AZ4502:AZ4503"/>
    <mergeCell ref="F4503:H4503"/>
    <mergeCell ref="X4503:AB4503"/>
    <mergeCell ref="AE4503:AI4503"/>
    <mergeCell ref="AJ4503:AL4503"/>
    <mergeCell ref="AN4503:AO4503"/>
    <mergeCell ref="AP4503:AQ4503"/>
    <mergeCell ref="A4504:A4505"/>
    <mergeCell ref="E4504:E4505"/>
    <mergeCell ref="F4504:H4504"/>
    <mergeCell ref="J4504:J4505"/>
    <mergeCell ref="K4504:L4505"/>
    <mergeCell ref="M4504:N4505"/>
    <mergeCell ref="O4504:P4505"/>
    <mergeCell ref="Q4504:R4505"/>
    <mergeCell ref="S4504:T4505"/>
    <mergeCell ref="U4504:V4505"/>
    <mergeCell ref="W4528:W4529"/>
    <mergeCell ref="X4528:AB4528"/>
    <mergeCell ref="AD4528:AI4528"/>
    <mergeCell ref="AJ4528:AL4528"/>
    <mergeCell ref="AN4528:AO4528"/>
    <mergeCell ref="AP4528:AQ4528"/>
    <mergeCell ref="AR4528:AS4529"/>
    <mergeCell ref="AT4528:AU4529"/>
    <mergeCell ref="AV4528:AW4529"/>
    <mergeCell ref="AX4528:AY4529"/>
    <mergeCell ref="AZ4528:AZ4529"/>
    <mergeCell ref="F4529:H4529"/>
    <mergeCell ref="X4529:AB4529"/>
    <mergeCell ref="AE4529:AI4529"/>
    <mergeCell ref="AJ4529:AL4529"/>
    <mergeCell ref="AN4529:AO4529"/>
    <mergeCell ref="AP4529:AQ4529"/>
    <mergeCell ref="A4532:A4533"/>
    <mergeCell ref="E4532:E4533"/>
    <mergeCell ref="F4532:H4532"/>
    <mergeCell ref="J4532:J4533"/>
    <mergeCell ref="K4532:L4533"/>
    <mergeCell ref="M4532:N4533"/>
    <mergeCell ref="O4532:P4533"/>
    <mergeCell ref="Q4532:R4533"/>
    <mergeCell ref="S4532:T4533"/>
    <mergeCell ref="U4532:V4533"/>
    <mergeCell ref="W4532:W4533"/>
    <mergeCell ref="X4532:AB4532"/>
    <mergeCell ref="AD4532:AI4532"/>
    <mergeCell ref="AJ4532:AL4532"/>
    <mergeCell ref="AN4532:AO4532"/>
    <mergeCell ref="AP4532:AQ4532"/>
    <mergeCell ref="AR4532:AS4533"/>
    <mergeCell ref="AT4532:AU4533"/>
    <mergeCell ref="AV4532:AW4533"/>
    <mergeCell ref="AX4532:AY4533"/>
    <mergeCell ref="AZ4532:AZ4533"/>
    <mergeCell ref="F4533:H4533"/>
    <mergeCell ref="X4533:AB4533"/>
    <mergeCell ref="AE4533:AI4533"/>
    <mergeCell ref="AJ4533:AL4533"/>
    <mergeCell ref="AN4533:AO4533"/>
    <mergeCell ref="AP4533:AQ4533"/>
    <mergeCell ref="AT4640:AU4641"/>
    <mergeCell ref="AV4640:AW4641"/>
    <mergeCell ref="AX4640:AY4641"/>
    <mergeCell ref="AZ4640:AZ4641"/>
    <mergeCell ref="F4641:H4641"/>
    <mergeCell ref="X4641:AB4641"/>
    <mergeCell ref="AE4641:AI4641"/>
    <mergeCell ref="AJ4641:AL4641"/>
    <mergeCell ref="AN4641:AO4641"/>
    <mergeCell ref="AP4641:AQ4641"/>
    <mergeCell ref="W4746:W4747"/>
    <mergeCell ref="X4746:AB4746"/>
    <mergeCell ref="AD4746:AI4746"/>
    <mergeCell ref="AJ4746:AL4746"/>
    <mergeCell ref="AN4746:AO4746"/>
    <mergeCell ref="AP4746:AQ4746"/>
    <mergeCell ref="AR4746:AS4747"/>
    <mergeCell ref="AT4746:AU4747"/>
    <mergeCell ref="AV4746:AW4747"/>
    <mergeCell ref="AX4746:AY4747"/>
    <mergeCell ref="AZ4746:AZ4747"/>
    <mergeCell ref="F4747:H4747"/>
    <mergeCell ref="X4747:AB4747"/>
    <mergeCell ref="AE4747:AI4747"/>
    <mergeCell ref="AJ4747:AL4747"/>
    <mergeCell ref="AN4747:AO4747"/>
    <mergeCell ref="AP4747:AQ4747"/>
    <mergeCell ref="W4646:W4647"/>
    <mergeCell ref="X4646:AB4646"/>
    <mergeCell ref="AD4646:AI4646"/>
    <mergeCell ref="AJ4646:AL4646"/>
    <mergeCell ref="AN4646:AO4646"/>
    <mergeCell ref="AP4646:AQ4646"/>
    <mergeCell ref="AR4646:AS4647"/>
    <mergeCell ref="AT4646:AU4647"/>
    <mergeCell ref="AV4646:AW4647"/>
    <mergeCell ref="AX4646:AY4647"/>
    <mergeCell ref="AZ4646:AZ4647"/>
    <mergeCell ref="F4647:H4647"/>
    <mergeCell ref="X4647:AB4647"/>
    <mergeCell ref="AE4647:AI4647"/>
    <mergeCell ref="AJ4647:AL4647"/>
    <mergeCell ref="AN4647:AO4647"/>
    <mergeCell ref="AP4647:AQ4647"/>
    <mergeCell ref="W4706:W4707"/>
    <mergeCell ref="X4706:AB4706"/>
    <mergeCell ref="AD4706:AI4706"/>
    <mergeCell ref="AJ4706:AL4706"/>
    <mergeCell ref="AN4706:AO4706"/>
    <mergeCell ref="AP4706:AQ4706"/>
    <mergeCell ref="AR4706:AS4707"/>
    <mergeCell ref="AT4706:AU4707"/>
    <mergeCell ref="AV4706:AW4707"/>
    <mergeCell ref="AX4706:AY4707"/>
    <mergeCell ref="AZ4706:AZ4707"/>
    <mergeCell ref="F4707:H4707"/>
    <mergeCell ref="X4707:AB4707"/>
    <mergeCell ref="AE4707:AI4707"/>
    <mergeCell ref="AJ4707:AL4707"/>
    <mergeCell ref="AN4707:AO4707"/>
    <mergeCell ref="AP4707:AQ4707"/>
    <mergeCell ref="W4714:W4715"/>
    <mergeCell ref="X4714:AB4714"/>
    <mergeCell ref="AD4714:AI4714"/>
    <mergeCell ref="AR4714:AS4715"/>
    <mergeCell ref="AT4714:AU4715"/>
    <mergeCell ref="AV4714:AW4715"/>
    <mergeCell ref="AX4714:AY4715"/>
    <mergeCell ref="AZ4714:AZ4715"/>
    <mergeCell ref="F4715:H4715"/>
    <mergeCell ref="X4715:AB4715"/>
    <mergeCell ref="A4806:A4807"/>
    <mergeCell ref="E4806:E4807"/>
    <mergeCell ref="F4806:H4806"/>
    <mergeCell ref="J4806:J4807"/>
    <mergeCell ref="K4806:L4807"/>
    <mergeCell ref="M4806:N4807"/>
    <mergeCell ref="O4806:P4807"/>
    <mergeCell ref="Q4806:R4807"/>
    <mergeCell ref="S4806:T4807"/>
    <mergeCell ref="U4806:V4807"/>
    <mergeCell ref="W4806:W4807"/>
    <mergeCell ref="X4806:AB4806"/>
    <mergeCell ref="AD4806:AI4806"/>
    <mergeCell ref="AJ4806:AL4806"/>
    <mergeCell ref="AN4806:AO4806"/>
    <mergeCell ref="AP4806:AQ4806"/>
    <mergeCell ref="AR4806:AS4807"/>
    <mergeCell ref="AT4806:AU4807"/>
    <mergeCell ref="AV4806:AW4807"/>
    <mergeCell ref="AX4806:AY4807"/>
    <mergeCell ref="AZ4806:AZ4807"/>
    <mergeCell ref="F4807:H4807"/>
    <mergeCell ref="X4807:AB4807"/>
    <mergeCell ref="AE4807:AI4807"/>
    <mergeCell ref="AJ4807:AL4807"/>
    <mergeCell ref="AN4807:AO4807"/>
    <mergeCell ref="AP4807:AQ4807"/>
    <mergeCell ref="A4726:A4727"/>
    <mergeCell ref="E4726:E4727"/>
    <mergeCell ref="F4726:H4726"/>
    <mergeCell ref="J4726:J4727"/>
    <mergeCell ref="K4726:L4727"/>
    <mergeCell ref="M4726:N4727"/>
    <mergeCell ref="O4726:P4727"/>
    <mergeCell ref="Q4726:R4727"/>
    <mergeCell ref="S4726:T4727"/>
    <mergeCell ref="U4726:V4727"/>
    <mergeCell ref="W4726:W4727"/>
    <mergeCell ref="X4726:AB4726"/>
    <mergeCell ref="AD4726:AI4726"/>
    <mergeCell ref="AJ4726:AL4726"/>
    <mergeCell ref="AN4726:AO4726"/>
    <mergeCell ref="AP4726:AQ4726"/>
    <mergeCell ref="AR4726:AS4727"/>
    <mergeCell ref="AT4726:AU4727"/>
    <mergeCell ref="AV4726:AW4727"/>
    <mergeCell ref="AX4726:AY4727"/>
    <mergeCell ref="AZ4726:AZ4727"/>
    <mergeCell ref="F4727:H4727"/>
    <mergeCell ref="X4727:AB4727"/>
    <mergeCell ref="AE4727:AI4727"/>
    <mergeCell ref="AJ4727:AL4727"/>
    <mergeCell ref="AN4727:AO4727"/>
    <mergeCell ref="AP4727:AQ4727"/>
    <mergeCell ref="A4724:A4725"/>
    <mergeCell ref="E4724:E4725"/>
    <mergeCell ref="F4724:H4724"/>
    <mergeCell ref="W4878:W4879"/>
    <mergeCell ref="X4878:AB4878"/>
    <mergeCell ref="AD4878:AI4878"/>
    <mergeCell ref="AJ4878:AL4878"/>
    <mergeCell ref="AN4878:AO4878"/>
    <mergeCell ref="AP4878:AQ4878"/>
    <mergeCell ref="AR4878:AS4879"/>
    <mergeCell ref="AT4878:AU4879"/>
    <mergeCell ref="AV4878:AW4879"/>
    <mergeCell ref="AX4878:AY4879"/>
    <mergeCell ref="AZ4878:AZ4879"/>
    <mergeCell ref="F4879:H4879"/>
    <mergeCell ref="X4879:AB4879"/>
    <mergeCell ref="AE4879:AI4879"/>
    <mergeCell ref="AJ4879:AL4879"/>
    <mergeCell ref="AN4879:AO4879"/>
    <mergeCell ref="AP4879:AQ4879"/>
    <mergeCell ref="A4888:A4889"/>
    <mergeCell ref="E4888:E4889"/>
    <mergeCell ref="F4888:H4888"/>
    <mergeCell ref="J4888:J4889"/>
    <mergeCell ref="K4888:L4889"/>
    <mergeCell ref="M4888:N4889"/>
    <mergeCell ref="O4888:P4889"/>
    <mergeCell ref="Q4888:R4889"/>
    <mergeCell ref="S4888:T4889"/>
    <mergeCell ref="U4888:V4889"/>
    <mergeCell ref="W4888:W4889"/>
    <mergeCell ref="X4888:AB4888"/>
    <mergeCell ref="AD4888:AI4888"/>
    <mergeCell ref="AJ4888:AL4888"/>
    <mergeCell ref="AN4888:AO4888"/>
    <mergeCell ref="AP4888:AQ4888"/>
    <mergeCell ref="AR4888:AS4889"/>
    <mergeCell ref="AT4888:AU4889"/>
    <mergeCell ref="AV4888:AW4889"/>
    <mergeCell ref="AX4888:AY4889"/>
    <mergeCell ref="AZ4888:AZ4889"/>
    <mergeCell ref="F4889:H4889"/>
    <mergeCell ref="X4889:AB4889"/>
    <mergeCell ref="AE4889:AI4889"/>
    <mergeCell ref="AJ4889:AL4889"/>
    <mergeCell ref="AN4889:AO4889"/>
    <mergeCell ref="AP4889:AQ4889"/>
    <mergeCell ref="A4882:A4883"/>
    <mergeCell ref="E4882:E4883"/>
    <mergeCell ref="F4882:H4882"/>
    <mergeCell ref="J4882:J4883"/>
    <mergeCell ref="K4882:L4883"/>
    <mergeCell ref="M4882:N4883"/>
    <mergeCell ref="O4882:P4883"/>
    <mergeCell ref="Q4882:R4883"/>
    <mergeCell ref="S4882:T4883"/>
    <mergeCell ref="U4882:V4883"/>
    <mergeCell ref="W4882:W4883"/>
    <mergeCell ref="X4882:AB4882"/>
    <mergeCell ref="AD4882:AI4882"/>
    <mergeCell ref="AJ4882:AL4882"/>
    <mergeCell ref="AN4882:AO4882"/>
    <mergeCell ref="AP4882:AQ4882"/>
    <mergeCell ref="AR4882:AS4883"/>
    <mergeCell ref="AT4882:AU4883"/>
    <mergeCell ref="AV4882:AW4883"/>
    <mergeCell ref="AX4882:AY4883"/>
    <mergeCell ref="AE4925:AI4925"/>
    <mergeCell ref="AJ4925:AL4925"/>
    <mergeCell ref="AN4925:AO4925"/>
    <mergeCell ref="AP4925:AQ4925"/>
    <mergeCell ref="A5004:A5005"/>
    <mergeCell ref="E5004:E5005"/>
    <mergeCell ref="F5004:H5004"/>
    <mergeCell ref="J5004:J5005"/>
    <mergeCell ref="K5004:L5005"/>
    <mergeCell ref="M5004:N5005"/>
    <mergeCell ref="O5004:P5005"/>
    <mergeCell ref="Q5004:R5005"/>
    <mergeCell ref="S5004:T5005"/>
    <mergeCell ref="U5004:V5005"/>
    <mergeCell ref="W5004:W5005"/>
    <mergeCell ref="X5004:AB5004"/>
    <mergeCell ref="AD5004:AI5004"/>
    <mergeCell ref="AJ5004:AL5004"/>
    <mergeCell ref="AN5004:AO5004"/>
    <mergeCell ref="AP5004:AQ5004"/>
    <mergeCell ref="AR5004:AS5005"/>
    <mergeCell ref="AT5004:AU5005"/>
    <mergeCell ref="AV5004:AW5005"/>
    <mergeCell ref="AX5004:AY5005"/>
    <mergeCell ref="AZ5004:AZ5005"/>
    <mergeCell ref="F5005:H5005"/>
    <mergeCell ref="X5005:AB5005"/>
    <mergeCell ref="AE5005:AI5005"/>
    <mergeCell ref="AJ5005:AL5005"/>
    <mergeCell ref="AN5005:AO5005"/>
    <mergeCell ref="AP5005:AQ5005"/>
    <mergeCell ref="A5006:A5007"/>
    <mergeCell ref="E5006:E5007"/>
    <mergeCell ref="F5006:H5006"/>
    <mergeCell ref="J5006:J5007"/>
    <mergeCell ref="K5006:L5007"/>
    <mergeCell ref="M5006:N5007"/>
    <mergeCell ref="O5006:P5007"/>
    <mergeCell ref="Q5006:R5007"/>
    <mergeCell ref="S5006:T5007"/>
    <mergeCell ref="U5006:V5007"/>
    <mergeCell ref="W5006:W5007"/>
    <mergeCell ref="X5006:AB5006"/>
    <mergeCell ref="AD5006:AI5006"/>
    <mergeCell ref="AJ5006:AL5006"/>
    <mergeCell ref="AN5006:AO5006"/>
    <mergeCell ref="AP5006:AQ5006"/>
    <mergeCell ref="AR5006:AS5007"/>
    <mergeCell ref="AT5006:AU5007"/>
    <mergeCell ref="AV5006:AW5007"/>
    <mergeCell ref="AX5006:AY5007"/>
    <mergeCell ref="AZ5006:AZ5007"/>
    <mergeCell ref="F5007:H5007"/>
    <mergeCell ref="X5007:AB5007"/>
    <mergeCell ref="AE5007:AI5007"/>
    <mergeCell ref="AJ5007:AL5007"/>
    <mergeCell ref="AN5007:AO5007"/>
    <mergeCell ref="AP5007:AQ5007"/>
    <mergeCell ref="A4934:A4935"/>
    <mergeCell ref="E4934:E4935"/>
    <mergeCell ref="F4934:H4934"/>
    <mergeCell ref="J4934:J4935"/>
    <mergeCell ref="K4934:L4935"/>
    <mergeCell ref="M4934:N4935"/>
    <mergeCell ref="A5018:A5019"/>
    <mergeCell ref="E5018:E5019"/>
    <mergeCell ref="F5018:H5018"/>
    <mergeCell ref="J5018:J5019"/>
    <mergeCell ref="K5018:L5019"/>
    <mergeCell ref="M5018:N5019"/>
    <mergeCell ref="O5018:P5019"/>
    <mergeCell ref="Q5018:R5019"/>
    <mergeCell ref="S5018:T5019"/>
    <mergeCell ref="U5018:V5019"/>
    <mergeCell ref="W5018:W5019"/>
    <mergeCell ref="X5018:AB5018"/>
    <mergeCell ref="AD5018:AI5018"/>
    <mergeCell ref="AJ5018:AL5018"/>
    <mergeCell ref="AN5018:AO5018"/>
    <mergeCell ref="AP5018:AQ5018"/>
    <mergeCell ref="AR5018:AS5019"/>
    <mergeCell ref="AT5018:AU5019"/>
    <mergeCell ref="AV5018:AW5019"/>
    <mergeCell ref="AX5018:AY5019"/>
    <mergeCell ref="AZ5018:AZ5019"/>
    <mergeCell ref="F5019:H5019"/>
    <mergeCell ref="X5019:AB5019"/>
    <mergeCell ref="AE5019:AI5019"/>
    <mergeCell ref="AJ5019:AL5019"/>
    <mergeCell ref="AN5019:AO5019"/>
    <mergeCell ref="AP5019:AQ5019"/>
    <mergeCell ref="A5020:A5021"/>
    <mergeCell ref="E5020:E5021"/>
    <mergeCell ref="F5020:H5020"/>
    <mergeCell ref="J5020:J5021"/>
    <mergeCell ref="K5020:L5021"/>
    <mergeCell ref="M5020:N5021"/>
    <mergeCell ref="O5020:P5021"/>
    <mergeCell ref="Q5020:R5021"/>
    <mergeCell ref="S5020:T5021"/>
    <mergeCell ref="U5020:V5021"/>
    <mergeCell ref="W5020:W5021"/>
    <mergeCell ref="X5020:AB5020"/>
    <mergeCell ref="AD5020:AI5020"/>
    <mergeCell ref="AJ5020:AL5020"/>
    <mergeCell ref="AN5020:AO5020"/>
    <mergeCell ref="AP5020:AQ5020"/>
    <mergeCell ref="AR5020:AS5021"/>
    <mergeCell ref="AT5020:AU5021"/>
    <mergeCell ref="AV5020:AW5021"/>
    <mergeCell ref="AX5020:AY5021"/>
    <mergeCell ref="AZ5020:AZ5021"/>
    <mergeCell ref="F5021:H5021"/>
    <mergeCell ref="X5021:AB5021"/>
    <mergeCell ref="AE5021:AI5021"/>
    <mergeCell ref="AJ5021:AL5021"/>
    <mergeCell ref="AN5021:AO5021"/>
    <mergeCell ref="AP5021:AQ5021"/>
    <mergeCell ref="A5022:A5023"/>
    <mergeCell ref="E5022:E5023"/>
    <mergeCell ref="F5022:H5022"/>
    <mergeCell ref="J5022:J5023"/>
    <mergeCell ref="K5022:L5023"/>
    <mergeCell ref="M5022:N5023"/>
    <mergeCell ref="O5022:P5023"/>
    <mergeCell ref="Q5022:R5023"/>
    <mergeCell ref="S5022:T5023"/>
    <mergeCell ref="U5022:V5023"/>
    <mergeCell ref="W5022:W5023"/>
    <mergeCell ref="X5022:AB5022"/>
    <mergeCell ref="AD5022:AI5022"/>
    <mergeCell ref="AJ5022:AL5022"/>
    <mergeCell ref="AN5022:AO5022"/>
    <mergeCell ref="AP5022:AQ5022"/>
    <mergeCell ref="AR5022:AS5023"/>
    <mergeCell ref="AT5022:AU5023"/>
    <mergeCell ref="AV5022:AW5023"/>
    <mergeCell ref="AX5022:AY5023"/>
    <mergeCell ref="AZ5022:AZ5023"/>
    <mergeCell ref="F5023:H5023"/>
    <mergeCell ref="X5023:AB5023"/>
    <mergeCell ref="AE5023:AI5023"/>
    <mergeCell ref="AJ5023:AL5023"/>
    <mergeCell ref="AN5023:AO5023"/>
    <mergeCell ref="AP5023:AQ5023"/>
    <mergeCell ref="A5024:A5025"/>
    <mergeCell ref="E5024:E5025"/>
    <mergeCell ref="F5024:H5024"/>
    <mergeCell ref="J5024:J5025"/>
    <mergeCell ref="K5024:L5025"/>
    <mergeCell ref="M5024:N5025"/>
    <mergeCell ref="O5024:P5025"/>
    <mergeCell ref="Q5024:R5025"/>
    <mergeCell ref="S5024:T5025"/>
    <mergeCell ref="U5024:V5025"/>
    <mergeCell ref="W5024:W5025"/>
    <mergeCell ref="X5024:AB5024"/>
    <mergeCell ref="AD5024:AI5024"/>
    <mergeCell ref="AJ5024:AL5024"/>
    <mergeCell ref="AN5024:AO5024"/>
    <mergeCell ref="AP5024:AQ5024"/>
    <mergeCell ref="AR5024:AS5025"/>
    <mergeCell ref="AT5024:AU5025"/>
    <mergeCell ref="AV5024:AW5025"/>
    <mergeCell ref="AX5024:AY5025"/>
    <mergeCell ref="AZ5024:AZ5025"/>
    <mergeCell ref="F5025:H5025"/>
    <mergeCell ref="X5025:AB5025"/>
    <mergeCell ref="AE5025:AI5025"/>
    <mergeCell ref="AJ5025:AL5025"/>
    <mergeCell ref="AN5025:AO5025"/>
    <mergeCell ref="AP5025:AQ5025"/>
    <mergeCell ref="A5026:A5027"/>
    <mergeCell ref="E5026:E5027"/>
    <mergeCell ref="F5026:H5026"/>
    <mergeCell ref="J5026:J5027"/>
    <mergeCell ref="K5026:L5027"/>
    <mergeCell ref="M5026:N5027"/>
    <mergeCell ref="O5026:P5027"/>
    <mergeCell ref="Q5026:R5027"/>
    <mergeCell ref="S5026:T5027"/>
    <mergeCell ref="U5026:V5027"/>
    <mergeCell ref="W5026:W5027"/>
    <mergeCell ref="X5026:AB5026"/>
    <mergeCell ref="AD5026:AI5026"/>
    <mergeCell ref="AJ5026:AL5026"/>
    <mergeCell ref="AN5026:AO5026"/>
    <mergeCell ref="AP5026:AQ5026"/>
    <mergeCell ref="AR5026:AS5027"/>
    <mergeCell ref="AT5026:AU5027"/>
    <mergeCell ref="AV5026:AW5027"/>
    <mergeCell ref="AX5026:AY5027"/>
    <mergeCell ref="AZ5026:AZ5027"/>
    <mergeCell ref="F5027:H5027"/>
    <mergeCell ref="X5027:AB5027"/>
    <mergeCell ref="AE5027:AI5027"/>
    <mergeCell ref="AJ5027:AL5027"/>
    <mergeCell ref="AN5027:AO5027"/>
    <mergeCell ref="AP5027:AQ5027"/>
    <mergeCell ref="A5040:A5041"/>
    <mergeCell ref="E5040:E5041"/>
    <mergeCell ref="F5040:H5040"/>
    <mergeCell ref="J5040:J5041"/>
    <mergeCell ref="K5040:L5041"/>
    <mergeCell ref="M5040:N5041"/>
    <mergeCell ref="O5040:P5041"/>
    <mergeCell ref="Q5040:R5041"/>
    <mergeCell ref="S5040:T5041"/>
    <mergeCell ref="U5040:V5041"/>
    <mergeCell ref="W5040:W5041"/>
    <mergeCell ref="X5040:AB5040"/>
    <mergeCell ref="AD5040:AI5040"/>
    <mergeCell ref="AJ5040:AL5040"/>
    <mergeCell ref="AN5040:AO5040"/>
    <mergeCell ref="AP5040:AQ5040"/>
    <mergeCell ref="AR5040:AS5041"/>
    <mergeCell ref="AT5040:AU5041"/>
    <mergeCell ref="AV5040:AW5041"/>
    <mergeCell ref="AX5040:AY5041"/>
    <mergeCell ref="AZ5040:AZ5041"/>
    <mergeCell ref="F5041:H5041"/>
    <mergeCell ref="X5041:AB5041"/>
    <mergeCell ref="AE5041:AI5041"/>
    <mergeCell ref="AJ5041:AL5041"/>
    <mergeCell ref="AN5041:AO5041"/>
    <mergeCell ref="AP5041:AQ5041"/>
    <mergeCell ref="A5028:A5029"/>
    <mergeCell ref="E5028:E5029"/>
    <mergeCell ref="F5028:H5028"/>
    <mergeCell ref="J5028:J5029"/>
    <mergeCell ref="K5028:L5029"/>
    <mergeCell ref="M5028:N5029"/>
    <mergeCell ref="O5028:P5029"/>
    <mergeCell ref="Q5028:R5029"/>
    <mergeCell ref="S5028:T5029"/>
    <mergeCell ref="U5028:V5029"/>
    <mergeCell ref="A5046:A5047"/>
    <mergeCell ref="E5046:E5047"/>
    <mergeCell ref="F5046:H5046"/>
    <mergeCell ref="J5046:J5047"/>
    <mergeCell ref="K5046:L5047"/>
    <mergeCell ref="M5046:N5047"/>
    <mergeCell ref="O5046:P5047"/>
    <mergeCell ref="Q5046:R5047"/>
    <mergeCell ref="S5046:T5047"/>
    <mergeCell ref="U5046:V5047"/>
    <mergeCell ref="W5046:W5047"/>
    <mergeCell ref="X5046:AB5046"/>
    <mergeCell ref="AD5046:AI5046"/>
    <mergeCell ref="AJ5046:AL5046"/>
    <mergeCell ref="AN5046:AO5046"/>
    <mergeCell ref="AP5046:AQ5046"/>
    <mergeCell ref="AR5046:AS5047"/>
    <mergeCell ref="AT5046:AU5047"/>
    <mergeCell ref="AV5046:AW5047"/>
    <mergeCell ref="AX5046:AY5047"/>
    <mergeCell ref="AZ5046:AZ5047"/>
    <mergeCell ref="F5047:H5047"/>
    <mergeCell ref="X5047:AB5047"/>
    <mergeCell ref="AE5047:AI5047"/>
    <mergeCell ref="AJ5047:AL5047"/>
    <mergeCell ref="AN5047:AO5047"/>
    <mergeCell ref="AP5047:AQ5047"/>
    <mergeCell ref="A5048:A5049"/>
    <mergeCell ref="E5048:E5049"/>
    <mergeCell ref="F5048:H5048"/>
    <mergeCell ref="J5048:J5049"/>
    <mergeCell ref="K5048:L5049"/>
    <mergeCell ref="M5048:N5049"/>
    <mergeCell ref="O5048:P5049"/>
    <mergeCell ref="Q5048:R5049"/>
    <mergeCell ref="S5048:T5049"/>
    <mergeCell ref="U5048:V5049"/>
    <mergeCell ref="W5048:W5049"/>
    <mergeCell ref="X5048:AB5048"/>
    <mergeCell ref="AD5048:AI5048"/>
    <mergeCell ref="AJ5048:AL5048"/>
    <mergeCell ref="AN5048:AO5048"/>
    <mergeCell ref="AP5048:AQ5048"/>
    <mergeCell ref="AR5048:AS5049"/>
    <mergeCell ref="AT5048:AU5049"/>
    <mergeCell ref="AV5048:AW5049"/>
    <mergeCell ref="AX5048:AY5049"/>
    <mergeCell ref="AZ5048:AZ5049"/>
    <mergeCell ref="F5049:H5049"/>
    <mergeCell ref="X5049:AB5049"/>
    <mergeCell ref="AE5049:AI5049"/>
    <mergeCell ref="AJ5049:AL5049"/>
    <mergeCell ref="AN5049:AO5049"/>
    <mergeCell ref="AP5049:AQ5049"/>
    <mergeCell ref="A5050:A5051"/>
    <mergeCell ref="E5050:E5051"/>
    <mergeCell ref="F5050:H5050"/>
    <mergeCell ref="J5050:J5051"/>
    <mergeCell ref="K5050:L5051"/>
    <mergeCell ref="M5050:N5051"/>
    <mergeCell ref="O5050:P5051"/>
    <mergeCell ref="Q5050:R5051"/>
    <mergeCell ref="S5050:T5051"/>
    <mergeCell ref="U5050:V5051"/>
    <mergeCell ref="W5050:W5051"/>
    <mergeCell ref="X5050:AB5050"/>
    <mergeCell ref="AD5050:AI5050"/>
    <mergeCell ref="AJ5050:AL5050"/>
    <mergeCell ref="AN5050:AO5050"/>
    <mergeCell ref="AP5050:AQ5050"/>
    <mergeCell ref="AR5050:AS5051"/>
    <mergeCell ref="AT5050:AU5051"/>
    <mergeCell ref="AV5050:AW5051"/>
    <mergeCell ref="AX5050:AY5051"/>
    <mergeCell ref="AZ5050:AZ5051"/>
    <mergeCell ref="F5051:H5051"/>
    <mergeCell ref="X5051:AB5051"/>
    <mergeCell ref="AE5051:AI5051"/>
    <mergeCell ref="AJ5051:AL5051"/>
    <mergeCell ref="AN5051:AO5051"/>
    <mergeCell ref="AP5051:AQ5051"/>
    <mergeCell ref="A5052:A5053"/>
    <mergeCell ref="E5052:E5053"/>
    <mergeCell ref="F5052:H5052"/>
    <mergeCell ref="J5052:J5053"/>
    <mergeCell ref="K5052:L5053"/>
    <mergeCell ref="M5052:N5053"/>
    <mergeCell ref="O5052:P5053"/>
    <mergeCell ref="Q5052:R5053"/>
    <mergeCell ref="S5052:T5053"/>
    <mergeCell ref="U5052:V5053"/>
    <mergeCell ref="W5052:W5053"/>
    <mergeCell ref="X5052:AB5052"/>
    <mergeCell ref="AD5052:AI5052"/>
    <mergeCell ref="AJ5052:AL5052"/>
    <mergeCell ref="AN5052:AO5052"/>
    <mergeCell ref="AP5052:AQ5052"/>
    <mergeCell ref="AR5052:AS5053"/>
    <mergeCell ref="AT5052:AU5053"/>
    <mergeCell ref="AV5052:AW5053"/>
    <mergeCell ref="AX5052:AY5053"/>
    <mergeCell ref="AZ5052:AZ5053"/>
    <mergeCell ref="F5053:H5053"/>
    <mergeCell ref="X5053:AB5053"/>
    <mergeCell ref="AE5053:AI5053"/>
    <mergeCell ref="AJ5053:AL5053"/>
    <mergeCell ref="AN5053:AO5053"/>
    <mergeCell ref="AP5053:AQ5053"/>
    <mergeCell ref="A5054:A5055"/>
    <mergeCell ref="E5054:E5055"/>
    <mergeCell ref="F5054:H5054"/>
    <mergeCell ref="J5054:J5055"/>
    <mergeCell ref="K5054:L5055"/>
    <mergeCell ref="M5054:N5055"/>
    <mergeCell ref="O5054:P5055"/>
    <mergeCell ref="Q5054:R5055"/>
    <mergeCell ref="S5054:T5055"/>
    <mergeCell ref="U5054:V5055"/>
    <mergeCell ref="W5054:W5055"/>
    <mergeCell ref="X5054:AB5054"/>
    <mergeCell ref="AD5054:AI5054"/>
    <mergeCell ref="AJ5054:AL5054"/>
    <mergeCell ref="AN5054:AO5054"/>
    <mergeCell ref="AP5054:AQ5054"/>
    <mergeCell ref="AR5054:AS5055"/>
    <mergeCell ref="AT5054:AU5055"/>
    <mergeCell ref="AV5054:AW5055"/>
    <mergeCell ref="AX5054:AY5055"/>
    <mergeCell ref="AZ5054:AZ5055"/>
    <mergeCell ref="F5055:H5055"/>
    <mergeCell ref="X5055:AB5055"/>
    <mergeCell ref="AE5055:AI5055"/>
    <mergeCell ref="AJ5055:AL5055"/>
    <mergeCell ref="AN5055:AO5055"/>
    <mergeCell ref="AP5055:AQ5055"/>
    <mergeCell ref="A5056:A5057"/>
    <mergeCell ref="E5056:E5057"/>
    <mergeCell ref="F5056:H5056"/>
    <mergeCell ref="J5056:J5057"/>
    <mergeCell ref="K5056:L5057"/>
    <mergeCell ref="M5056:N5057"/>
    <mergeCell ref="O5056:P5057"/>
    <mergeCell ref="Q5056:R5057"/>
    <mergeCell ref="S5056:T5057"/>
    <mergeCell ref="U5056:V5057"/>
    <mergeCell ref="W5056:W5057"/>
    <mergeCell ref="X5056:AB5056"/>
    <mergeCell ref="AD5056:AI5056"/>
    <mergeCell ref="AJ5056:AL5056"/>
    <mergeCell ref="AN5056:AO5056"/>
    <mergeCell ref="AP5056:AQ5056"/>
    <mergeCell ref="AR5056:AS5057"/>
    <mergeCell ref="AT5056:AU5057"/>
    <mergeCell ref="AV5056:AW5057"/>
    <mergeCell ref="AX5056:AY5057"/>
    <mergeCell ref="AZ5056:AZ5057"/>
    <mergeCell ref="F5057:H5057"/>
    <mergeCell ref="X5057:AB5057"/>
    <mergeCell ref="AE5057:AI5057"/>
    <mergeCell ref="AJ5057:AL5057"/>
    <mergeCell ref="AN5057:AO5057"/>
    <mergeCell ref="AP5057:AQ5057"/>
    <mergeCell ref="A5058:A5059"/>
    <mergeCell ref="E5058:E5059"/>
    <mergeCell ref="F5058:H5058"/>
    <mergeCell ref="J5058:J5059"/>
    <mergeCell ref="K5058:L5059"/>
    <mergeCell ref="M5058:N5059"/>
    <mergeCell ref="O5058:P5059"/>
    <mergeCell ref="Q5058:R5059"/>
    <mergeCell ref="S5058:T5059"/>
    <mergeCell ref="U5058:V5059"/>
    <mergeCell ref="W5058:W5059"/>
    <mergeCell ref="X5058:AB5058"/>
    <mergeCell ref="AD5058:AI5058"/>
    <mergeCell ref="AJ5058:AL5058"/>
    <mergeCell ref="AN5058:AO5058"/>
    <mergeCell ref="AP5058:AQ5058"/>
    <mergeCell ref="AR5058:AS5059"/>
    <mergeCell ref="AT5058:AU5059"/>
    <mergeCell ref="AV5058:AW5059"/>
    <mergeCell ref="AX5058:AY5059"/>
    <mergeCell ref="AZ5058:AZ5059"/>
    <mergeCell ref="F5059:H5059"/>
    <mergeCell ref="X5059:AB5059"/>
    <mergeCell ref="AE5059:AI5059"/>
    <mergeCell ref="AJ5059:AL5059"/>
    <mergeCell ref="AN5059:AO5059"/>
    <mergeCell ref="AP5059:AQ5059"/>
    <mergeCell ref="A5060:A5061"/>
    <mergeCell ref="E5060:E5061"/>
    <mergeCell ref="F5060:H5060"/>
    <mergeCell ref="J5060:J5061"/>
    <mergeCell ref="K5060:L5061"/>
    <mergeCell ref="M5060:N5061"/>
    <mergeCell ref="O5060:P5061"/>
    <mergeCell ref="Q5060:R5061"/>
    <mergeCell ref="S5060:T5061"/>
    <mergeCell ref="U5060:V5061"/>
    <mergeCell ref="W5060:W5061"/>
    <mergeCell ref="X5060:AB5060"/>
    <mergeCell ref="AD5060:AI5060"/>
    <mergeCell ref="AJ5060:AL5060"/>
    <mergeCell ref="AN5060:AO5060"/>
    <mergeCell ref="AP5060:AQ5060"/>
    <mergeCell ref="AR5060:AS5061"/>
    <mergeCell ref="AT5060:AU5061"/>
    <mergeCell ref="AV5060:AW5061"/>
    <mergeCell ref="AX5060:AY5061"/>
    <mergeCell ref="AZ5060:AZ5061"/>
    <mergeCell ref="F5061:H5061"/>
    <mergeCell ref="X5061:AB5061"/>
    <mergeCell ref="AE5061:AI5061"/>
    <mergeCell ref="AJ5061:AL5061"/>
    <mergeCell ref="AN5061:AO5061"/>
    <mergeCell ref="AP5061:AQ5061"/>
    <mergeCell ref="A5062:A5063"/>
    <mergeCell ref="E5062:E5063"/>
    <mergeCell ref="F5062:H5062"/>
    <mergeCell ref="J5062:J5063"/>
    <mergeCell ref="K5062:L5063"/>
    <mergeCell ref="M5062:N5063"/>
    <mergeCell ref="O5062:P5063"/>
    <mergeCell ref="Q5062:R5063"/>
    <mergeCell ref="S5062:T5063"/>
    <mergeCell ref="U5062:V5063"/>
    <mergeCell ref="W5062:W5063"/>
    <mergeCell ref="X5062:AB5062"/>
    <mergeCell ref="AD5062:AI5062"/>
    <mergeCell ref="AJ5062:AL5062"/>
    <mergeCell ref="AN5062:AO5062"/>
    <mergeCell ref="AP5062:AQ5062"/>
    <mergeCell ref="AR5062:AS5063"/>
    <mergeCell ref="AT5062:AU5063"/>
    <mergeCell ref="AV5062:AW5063"/>
    <mergeCell ref="AX5062:AY5063"/>
    <mergeCell ref="AZ5062:AZ5063"/>
    <mergeCell ref="F5063:H5063"/>
    <mergeCell ref="X5063:AB5063"/>
    <mergeCell ref="AE5063:AI5063"/>
    <mergeCell ref="AJ5063:AL5063"/>
    <mergeCell ref="AN5063:AO5063"/>
    <mergeCell ref="AP5063:AQ5063"/>
    <mergeCell ref="A5064:A5065"/>
    <mergeCell ref="E5064:E5065"/>
    <mergeCell ref="F5064:H5064"/>
    <mergeCell ref="J5064:J5065"/>
    <mergeCell ref="K5064:L5065"/>
    <mergeCell ref="M5064:N5065"/>
    <mergeCell ref="O5064:P5065"/>
    <mergeCell ref="Q5064:R5065"/>
    <mergeCell ref="S5064:T5065"/>
    <mergeCell ref="U5064:V5065"/>
    <mergeCell ref="W5064:W5065"/>
    <mergeCell ref="X5064:AB5064"/>
    <mergeCell ref="AD5064:AI5064"/>
    <mergeCell ref="AJ5064:AL5064"/>
    <mergeCell ref="AN5064:AO5064"/>
    <mergeCell ref="AP5064:AQ5064"/>
    <mergeCell ref="AR5064:AS5065"/>
    <mergeCell ref="AT5064:AU5065"/>
    <mergeCell ref="AV5064:AW5065"/>
    <mergeCell ref="AX5064:AY5065"/>
    <mergeCell ref="AZ5064:AZ5065"/>
    <mergeCell ref="F5065:H5065"/>
    <mergeCell ref="X5065:AB5065"/>
    <mergeCell ref="AE5065:AI5065"/>
    <mergeCell ref="AJ5065:AL5065"/>
    <mergeCell ref="AN5065:AO5065"/>
    <mergeCell ref="AP5065:AQ5065"/>
    <mergeCell ref="A5066:A5067"/>
    <mergeCell ref="E5066:E5067"/>
    <mergeCell ref="F5066:H5066"/>
    <mergeCell ref="J5066:J5067"/>
    <mergeCell ref="K5066:L5067"/>
    <mergeCell ref="M5066:N5067"/>
    <mergeCell ref="O5066:P5067"/>
    <mergeCell ref="Q5066:R5067"/>
    <mergeCell ref="S5066:T5067"/>
    <mergeCell ref="U5066:V5067"/>
    <mergeCell ref="W5066:W5067"/>
    <mergeCell ref="X5066:AB5066"/>
    <mergeCell ref="AD5066:AI5066"/>
    <mergeCell ref="AJ5066:AL5066"/>
    <mergeCell ref="AN5066:AO5066"/>
    <mergeCell ref="AP5066:AQ5066"/>
    <mergeCell ref="AR5066:AS5067"/>
    <mergeCell ref="AT5066:AU5067"/>
    <mergeCell ref="AV5066:AW5067"/>
    <mergeCell ref="AX5066:AY5067"/>
    <mergeCell ref="AZ5066:AZ5067"/>
    <mergeCell ref="F5067:H5067"/>
    <mergeCell ref="X5067:AB5067"/>
    <mergeCell ref="AE5067:AI5067"/>
    <mergeCell ref="AJ5067:AL5067"/>
    <mergeCell ref="AN5067:AO5067"/>
    <mergeCell ref="AP5067:AQ5067"/>
    <mergeCell ref="A5068:A5069"/>
    <mergeCell ref="E5068:E5069"/>
    <mergeCell ref="F5068:H5068"/>
    <mergeCell ref="J5068:J5069"/>
    <mergeCell ref="K5068:L5069"/>
    <mergeCell ref="M5068:N5069"/>
    <mergeCell ref="O5068:P5069"/>
    <mergeCell ref="Q5068:R5069"/>
    <mergeCell ref="S5068:T5069"/>
    <mergeCell ref="U5068:V5069"/>
    <mergeCell ref="W5068:W5069"/>
    <mergeCell ref="X5068:AB5068"/>
    <mergeCell ref="AD5068:AI5068"/>
    <mergeCell ref="AJ5068:AL5068"/>
    <mergeCell ref="AN5068:AO5068"/>
    <mergeCell ref="AP5068:AQ5068"/>
    <mergeCell ref="AR5068:AS5069"/>
    <mergeCell ref="AT5068:AU5069"/>
    <mergeCell ref="AV5068:AW5069"/>
    <mergeCell ref="AX5068:AY5069"/>
    <mergeCell ref="AZ5068:AZ5069"/>
    <mergeCell ref="F5069:H5069"/>
    <mergeCell ref="X5069:AB5069"/>
    <mergeCell ref="AE5069:AI5069"/>
    <mergeCell ref="AJ5069:AL5069"/>
    <mergeCell ref="AN5069:AO5069"/>
    <mergeCell ref="AP5069:AQ5069"/>
    <mergeCell ref="A5070:A5071"/>
    <mergeCell ref="E5070:E5071"/>
    <mergeCell ref="F5070:H5070"/>
    <mergeCell ref="J5070:J5071"/>
    <mergeCell ref="K5070:L5071"/>
    <mergeCell ref="M5070:N5071"/>
    <mergeCell ref="O5070:P5071"/>
    <mergeCell ref="Q5070:R5071"/>
    <mergeCell ref="S5070:T5071"/>
    <mergeCell ref="U5070:V5071"/>
    <mergeCell ref="W5070:W5071"/>
    <mergeCell ref="X5070:AB5070"/>
    <mergeCell ref="AD5070:AI5070"/>
    <mergeCell ref="AJ5070:AL5070"/>
    <mergeCell ref="AN5070:AO5070"/>
    <mergeCell ref="AP5070:AQ5070"/>
    <mergeCell ref="AR5070:AS5071"/>
    <mergeCell ref="AT5070:AU5071"/>
    <mergeCell ref="AV5070:AW5071"/>
    <mergeCell ref="AX5070:AY5071"/>
    <mergeCell ref="AZ5070:AZ5071"/>
    <mergeCell ref="F5071:H5071"/>
    <mergeCell ref="X5071:AB5071"/>
    <mergeCell ref="AE5071:AI5071"/>
    <mergeCell ref="AJ5071:AL5071"/>
    <mergeCell ref="AN5071:AO5071"/>
    <mergeCell ref="AP5071:AQ5071"/>
    <mergeCell ref="A5072:A5073"/>
    <mergeCell ref="E5072:E5073"/>
    <mergeCell ref="F5072:H5072"/>
    <mergeCell ref="J5072:J5073"/>
    <mergeCell ref="K5072:L5073"/>
    <mergeCell ref="M5072:N5073"/>
    <mergeCell ref="O5072:P5073"/>
    <mergeCell ref="Q5072:R5073"/>
    <mergeCell ref="S5072:T5073"/>
    <mergeCell ref="U5072:V5073"/>
    <mergeCell ref="W5072:W5073"/>
    <mergeCell ref="X5072:AB5072"/>
    <mergeCell ref="AD5072:AI5072"/>
    <mergeCell ref="AJ5072:AL5072"/>
    <mergeCell ref="AN5072:AO5072"/>
    <mergeCell ref="AP5072:AQ5072"/>
    <mergeCell ref="AR5072:AS5073"/>
    <mergeCell ref="AT5072:AU5073"/>
    <mergeCell ref="AV5072:AW5073"/>
    <mergeCell ref="AX5072:AY5073"/>
    <mergeCell ref="AZ5072:AZ5073"/>
    <mergeCell ref="F5073:H5073"/>
    <mergeCell ref="X5073:AB5073"/>
    <mergeCell ref="AE5073:AI5073"/>
    <mergeCell ref="AJ5073:AL5073"/>
    <mergeCell ref="AN5073:AO5073"/>
    <mergeCell ref="AP5073:AQ5073"/>
    <mergeCell ref="A5074:A5075"/>
    <mergeCell ref="E5074:E5075"/>
    <mergeCell ref="F5074:H5074"/>
    <mergeCell ref="J5074:J5075"/>
    <mergeCell ref="K5074:L5075"/>
    <mergeCell ref="M5074:N5075"/>
    <mergeCell ref="O5074:P5075"/>
    <mergeCell ref="Q5074:R5075"/>
    <mergeCell ref="S5074:T5075"/>
    <mergeCell ref="U5074:V5075"/>
    <mergeCell ref="W5074:W5075"/>
    <mergeCell ref="X5074:AB5074"/>
    <mergeCell ref="AD5074:AI5074"/>
    <mergeCell ref="AJ5074:AL5074"/>
    <mergeCell ref="AN5074:AO5074"/>
    <mergeCell ref="AP5074:AQ5074"/>
    <mergeCell ref="AR5074:AS5075"/>
    <mergeCell ref="AT5074:AU5075"/>
    <mergeCell ref="AV5074:AW5075"/>
    <mergeCell ref="AX5074:AY5075"/>
    <mergeCell ref="AZ5074:AZ5075"/>
    <mergeCell ref="F5075:H5075"/>
    <mergeCell ref="X5075:AB5075"/>
    <mergeCell ref="AE5075:AI5075"/>
    <mergeCell ref="AJ5075:AL5075"/>
    <mergeCell ref="AN5075:AO5075"/>
    <mergeCell ref="AP5075:AQ5075"/>
    <mergeCell ref="A5076:A5077"/>
    <mergeCell ref="E5076:E5077"/>
    <mergeCell ref="F5076:H5076"/>
    <mergeCell ref="J5076:J5077"/>
    <mergeCell ref="K5076:L5077"/>
    <mergeCell ref="M5076:N5077"/>
    <mergeCell ref="O5076:P5077"/>
    <mergeCell ref="Q5076:R5077"/>
    <mergeCell ref="S5076:T5077"/>
    <mergeCell ref="U5076:V5077"/>
    <mergeCell ref="W5076:W5077"/>
    <mergeCell ref="X5076:AB5076"/>
    <mergeCell ref="AD5076:AI5076"/>
    <mergeCell ref="AJ5076:AL5076"/>
    <mergeCell ref="AN5076:AO5076"/>
    <mergeCell ref="AP5076:AQ5076"/>
    <mergeCell ref="AR5076:AS5077"/>
    <mergeCell ref="AT5076:AU5077"/>
    <mergeCell ref="AV5076:AW5077"/>
    <mergeCell ref="AX5076:AY5077"/>
    <mergeCell ref="AZ5076:AZ5077"/>
    <mergeCell ref="F5077:H5077"/>
    <mergeCell ref="X5077:AB5077"/>
    <mergeCell ref="AE5077:AI5077"/>
    <mergeCell ref="AJ5077:AL5077"/>
    <mergeCell ref="AN5077:AO5077"/>
    <mergeCell ref="AP5077:AQ5077"/>
    <mergeCell ref="A5078:A5079"/>
    <mergeCell ref="E5078:E5079"/>
    <mergeCell ref="F5078:H5078"/>
    <mergeCell ref="J5078:J5079"/>
    <mergeCell ref="K5078:L5079"/>
    <mergeCell ref="M5078:N5079"/>
    <mergeCell ref="O5078:P5079"/>
    <mergeCell ref="Q5078:R5079"/>
    <mergeCell ref="S5078:T5079"/>
    <mergeCell ref="U5078:V5079"/>
    <mergeCell ref="W5078:W5079"/>
    <mergeCell ref="X5078:AB5078"/>
    <mergeCell ref="AD5078:AI5078"/>
    <mergeCell ref="AJ5078:AL5078"/>
    <mergeCell ref="AN5078:AO5078"/>
    <mergeCell ref="AP5078:AQ5078"/>
    <mergeCell ref="AR5078:AS5079"/>
    <mergeCell ref="AT5078:AU5079"/>
    <mergeCell ref="AV5078:AW5079"/>
    <mergeCell ref="AX5078:AY5079"/>
    <mergeCell ref="AZ5078:AZ5079"/>
    <mergeCell ref="F5079:H5079"/>
    <mergeCell ref="X5079:AB5079"/>
    <mergeCell ref="AE5079:AI5079"/>
    <mergeCell ref="AJ5079:AL5079"/>
    <mergeCell ref="AN5079:AO5079"/>
    <mergeCell ref="AP5079:AQ5079"/>
    <mergeCell ref="A5080:A5081"/>
    <mergeCell ref="E5080:E5081"/>
    <mergeCell ref="F5080:H5080"/>
    <mergeCell ref="J5080:J5081"/>
    <mergeCell ref="K5080:L5081"/>
    <mergeCell ref="M5080:N5081"/>
    <mergeCell ref="O5080:P5081"/>
    <mergeCell ref="Q5080:R5081"/>
    <mergeCell ref="S5080:T5081"/>
    <mergeCell ref="U5080:V5081"/>
    <mergeCell ref="W5080:W5081"/>
    <mergeCell ref="X5080:AB5080"/>
    <mergeCell ref="AD5080:AI5080"/>
    <mergeCell ref="AJ5080:AL5080"/>
    <mergeCell ref="AN5080:AO5080"/>
    <mergeCell ref="AP5080:AQ5080"/>
    <mergeCell ref="AR5080:AS5081"/>
    <mergeCell ref="AT5080:AU5081"/>
    <mergeCell ref="AV5080:AW5081"/>
    <mergeCell ref="AX5080:AY5081"/>
    <mergeCell ref="AZ5080:AZ5081"/>
    <mergeCell ref="F5081:H5081"/>
    <mergeCell ref="X5081:AB5081"/>
    <mergeCell ref="AE5081:AI5081"/>
    <mergeCell ref="AJ5081:AL5081"/>
    <mergeCell ref="AN5081:AO5081"/>
    <mergeCell ref="AP5081:AQ5081"/>
    <mergeCell ref="A5082:A5083"/>
    <mergeCell ref="E5082:E5083"/>
    <mergeCell ref="F5082:H5082"/>
    <mergeCell ref="J5082:J5083"/>
    <mergeCell ref="K5082:L5083"/>
    <mergeCell ref="M5082:N5083"/>
    <mergeCell ref="O5082:P5083"/>
    <mergeCell ref="Q5082:R5083"/>
    <mergeCell ref="S5082:T5083"/>
    <mergeCell ref="U5082:V5083"/>
    <mergeCell ref="W5082:W5083"/>
    <mergeCell ref="X5082:AB5082"/>
    <mergeCell ref="AD5082:AI5082"/>
    <mergeCell ref="AJ5082:AL5082"/>
    <mergeCell ref="AN5082:AO5082"/>
    <mergeCell ref="AP5082:AQ5082"/>
    <mergeCell ref="AR5082:AS5083"/>
    <mergeCell ref="AT5082:AU5083"/>
    <mergeCell ref="AV5082:AW5083"/>
    <mergeCell ref="AX5082:AY5083"/>
    <mergeCell ref="AZ5082:AZ5083"/>
    <mergeCell ref="F5083:H5083"/>
    <mergeCell ref="X5083:AB5083"/>
    <mergeCell ref="AE5083:AI5083"/>
    <mergeCell ref="AJ5083:AL5083"/>
    <mergeCell ref="AN5083:AO5083"/>
    <mergeCell ref="AP5083:AQ5083"/>
    <mergeCell ref="A5084:A5085"/>
    <mergeCell ref="E5084:E5085"/>
    <mergeCell ref="F5084:H5084"/>
    <mergeCell ref="J5084:J5085"/>
    <mergeCell ref="K5084:L5085"/>
    <mergeCell ref="M5084:N5085"/>
    <mergeCell ref="O5084:P5085"/>
    <mergeCell ref="Q5084:R5085"/>
    <mergeCell ref="S5084:T5085"/>
    <mergeCell ref="U5084:V5085"/>
    <mergeCell ref="W5084:W5085"/>
    <mergeCell ref="X5084:AB5084"/>
    <mergeCell ref="AD5084:AI5084"/>
    <mergeCell ref="AJ5084:AL5084"/>
    <mergeCell ref="AN5084:AO5084"/>
    <mergeCell ref="AP5084:AQ5084"/>
    <mergeCell ref="AR5084:AS5085"/>
    <mergeCell ref="AT5084:AU5085"/>
    <mergeCell ref="AV5084:AW5085"/>
    <mergeCell ref="AX5084:AY5085"/>
    <mergeCell ref="AZ5084:AZ5085"/>
    <mergeCell ref="F5085:H5085"/>
    <mergeCell ref="X5085:AB5085"/>
    <mergeCell ref="AE5085:AI5085"/>
    <mergeCell ref="AJ5085:AL5085"/>
    <mergeCell ref="AN5085:AO5085"/>
    <mergeCell ref="AP5085:AQ5085"/>
    <mergeCell ref="A5086:A5087"/>
    <mergeCell ref="E5086:E5087"/>
    <mergeCell ref="F5086:H5086"/>
    <mergeCell ref="J5086:J5087"/>
    <mergeCell ref="K5086:L5087"/>
    <mergeCell ref="M5086:N5087"/>
    <mergeCell ref="O5086:P5087"/>
    <mergeCell ref="Q5086:R5087"/>
    <mergeCell ref="S5086:T5087"/>
    <mergeCell ref="U5086:V5087"/>
    <mergeCell ref="W5086:W5087"/>
    <mergeCell ref="X5086:AB5086"/>
    <mergeCell ref="AD5086:AI5086"/>
    <mergeCell ref="AJ5086:AL5086"/>
    <mergeCell ref="AN5086:AO5086"/>
    <mergeCell ref="AP5086:AQ5086"/>
    <mergeCell ref="AR5086:AS5087"/>
    <mergeCell ref="AT5086:AU5087"/>
    <mergeCell ref="AV5086:AW5087"/>
    <mergeCell ref="AX5086:AY5087"/>
    <mergeCell ref="AZ5086:AZ5087"/>
    <mergeCell ref="F5087:H5087"/>
    <mergeCell ref="X5087:AB5087"/>
    <mergeCell ref="AE5087:AI5087"/>
    <mergeCell ref="AJ5087:AL5087"/>
    <mergeCell ref="AN5087:AO5087"/>
    <mergeCell ref="AP5087:AQ5087"/>
    <mergeCell ref="A5088:A5089"/>
    <mergeCell ref="E5088:E5089"/>
    <mergeCell ref="F5088:H5088"/>
    <mergeCell ref="J5088:J5089"/>
    <mergeCell ref="K5088:L5089"/>
    <mergeCell ref="M5088:N5089"/>
    <mergeCell ref="O5088:P5089"/>
    <mergeCell ref="Q5088:R5089"/>
    <mergeCell ref="S5088:T5089"/>
    <mergeCell ref="U5088:V5089"/>
    <mergeCell ref="W5088:W5089"/>
    <mergeCell ref="X5088:AB5088"/>
    <mergeCell ref="AD5088:AI5088"/>
    <mergeCell ref="AJ5088:AL5088"/>
    <mergeCell ref="AN5088:AO5088"/>
    <mergeCell ref="AP5088:AQ5088"/>
    <mergeCell ref="AR5088:AS5089"/>
    <mergeCell ref="AT5088:AU5089"/>
    <mergeCell ref="AV5088:AW5089"/>
    <mergeCell ref="AX5088:AY5089"/>
    <mergeCell ref="AZ5088:AZ5089"/>
    <mergeCell ref="F5089:H5089"/>
    <mergeCell ref="X5089:AB5089"/>
    <mergeCell ref="AE5089:AI5089"/>
    <mergeCell ref="AJ5089:AL5089"/>
    <mergeCell ref="AN5089:AO5089"/>
    <mergeCell ref="AP5089:AQ5089"/>
    <mergeCell ref="A5090:A5091"/>
    <mergeCell ref="E5090:E5091"/>
    <mergeCell ref="F5090:H5090"/>
    <mergeCell ref="J5090:J5091"/>
    <mergeCell ref="K5090:L5091"/>
    <mergeCell ref="M5090:N5091"/>
    <mergeCell ref="O5090:P5091"/>
    <mergeCell ref="Q5090:R5091"/>
    <mergeCell ref="S5090:T5091"/>
    <mergeCell ref="U5090:V5091"/>
    <mergeCell ref="W5090:W5091"/>
    <mergeCell ref="X5090:AB5090"/>
    <mergeCell ref="AD5090:AI5090"/>
    <mergeCell ref="AJ5090:AL5090"/>
    <mergeCell ref="AN5090:AO5090"/>
    <mergeCell ref="AP5090:AQ5090"/>
    <mergeCell ref="AR5090:AS5091"/>
    <mergeCell ref="AT5090:AU5091"/>
    <mergeCell ref="AV5090:AW5091"/>
    <mergeCell ref="AX5090:AY5091"/>
    <mergeCell ref="AZ5090:AZ5091"/>
    <mergeCell ref="F5091:H5091"/>
    <mergeCell ref="X5091:AB5091"/>
    <mergeCell ref="AE5091:AI5091"/>
    <mergeCell ref="AJ5091:AL5091"/>
    <mergeCell ref="AN5091:AO5091"/>
    <mergeCell ref="AP5091:AQ5091"/>
    <mergeCell ref="A5092:A5093"/>
    <mergeCell ref="E5092:E5093"/>
    <mergeCell ref="F5092:H5092"/>
    <mergeCell ref="J5092:J5093"/>
    <mergeCell ref="K5092:L5093"/>
    <mergeCell ref="M5092:N5093"/>
    <mergeCell ref="O5092:P5093"/>
    <mergeCell ref="Q5092:R5093"/>
    <mergeCell ref="S5092:T5093"/>
    <mergeCell ref="U5092:V5093"/>
    <mergeCell ref="W5092:W5093"/>
    <mergeCell ref="X5092:AB5092"/>
    <mergeCell ref="AD5092:AI5092"/>
    <mergeCell ref="AJ5092:AL5092"/>
    <mergeCell ref="AN5092:AO5092"/>
    <mergeCell ref="AP5092:AQ5092"/>
    <mergeCell ref="AR5092:AS5093"/>
    <mergeCell ref="AT5092:AU5093"/>
    <mergeCell ref="AV5092:AW5093"/>
    <mergeCell ref="AX5092:AY5093"/>
    <mergeCell ref="AZ5092:AZ5093"/>
    <mergeCell ref="F5093:H5093"/>
    <mergeCell ref="X5093:AB5093"/>
    <mergeCell ref="AE5093:AI5093"/>
    <mergeCell ref="AJ5093:AL5093"/>
    <mergeCell ref="AN5093:AO5093"/>
    <mergeCell ref="AP5093:AQ5093"/>
    <mergeCell ref="A5094:A5095"/>
    <mergeCell ref="E5094:E5095"/>
    <mergeCell ref="F5094:H5094"/>
    <mergeCell ref="J5094:J5095"/>
    <mergeCell ref="K5094:L5095"/>
    <mergeCell ref="M5094:N5095"/>
    <mergeCell ref="O5094:P5095"/>
    <mergeCell ref="Q5094:R5095"/>
    <mergeCell ref="S5094:T5095"/>
    <mergeCell ref="U5094:V5095"/>
    <mergeCell ref="W5094:W5095"/>
    <mergeCell ref="X5094:AB5094"/>
    <mergeCell ref="AD5094:AI5094"/>
    <mergeCell ref="AJ5094:AL5094"/>
    <mergeCell ref="AN5094:AO5094"/>
    <mergeCell ref="AP5094:AQ5094"/>
    <mergeCell ref="AR5094:AS5095"/>
    <mergeCell ref="AT5094:AU5095"/>
    <mergeCell ref="AV5094:AW5095"/>
    <mergeCell ref="AX5094:AY5095"/>
    <mergeCell ref="AZ5094:AZ5095"/>
    <mergeCell ref="F5095:H5095"/>
    <mergeCell ref="X5095:AB5095"/>
    <mergeCell ref="AE5095:AI5095"/>
    <mergeCell ref="AJ5095:AL5095"/>
    <mergeCell ref="AN5095:AO5095"/>
    <mergeCell ref="AP5095:AQ5095"/>
    <mergeCell ref="A5096:A5097"/>
    <mergeCell ref="E5096:E5097"/>
    <mergeCell ref="F5096:H5096"/>
    <mergeCell ref="J5096:J5097"/>
    <mergeCell ref="K5096:L5097"/>
    <mergeCell ref="M5096:N5097"/>
    <mergeCell ref="O5096:P5097"/>
    <mergeCell ref="Q5096:R5097"/>
    <mergeCell ref="S5096:T5097"/>
    <mergeCell ref="U5096:V5097"/>
    <mergeCell ref="W5096:W5097"/>
    <mergeCell ref="X5096:AB5096"/>
    <mergeCell ref="AD5096:AI5096"/>
    <mergeCell ref="AJ5096:AL5096"/>
    <mergeCell ref="AN5096:AO5096"/>
    <mergeCell ref="AP5096:AQ5096"/>
    <mergeCell ref="AR5096:AS5097"/>
    <mergeCell ref="AT5096:AU5097"/>
    <mergeCell ref="AV5096:AW5097"/>
    <mergeCell ref="AX5096:AY5097"/>
    <mergeCell ref="AZ5096:AZ5097"/>
    <mergeCell ref="F5097:H5097"/>
    <mergeCell ref="X5097:AB5097"/>
    <mergeCell ref="AE5097:AI5097"/>
    <mergeCell ref="AJ5097:AL5097"/>
    <mergeCell ref="AN5097:AO5097"/>
    <mergeCell ref="AP5097:AQ5097"/>
    <mergeCell ref="A5098:A5099"/>
    <mergeCell ref="E5098:E5099"/>
    <mergeCell ref="F5098:H5098"/>
    <mergeCell ref="J5098:J5099"/>
    <mergeCell ref="K5098:L5099"/>
    <mergeCell ref="M5098:N5099"/>
    <mergeCell ref="O5098:P5099"/>
    <mergeCell ref="Q5098:R5099"/>
    <mergeCell ref="S5098:T5099"/>
    <mergeCell ref="U5098:V5099"/>
    <mergeCell ref="W5098:W5099"/>
    <mergeCell ref="X5098:AB5098"/>
    <mergeCell ref="AD5098:AI5098"/>
    <mergeCell ref="AJ5098:AL5098"/>
    <mergeCell ref="AN5098:AO5098"/>
    <mergeCell ref="AP5098:AQ5098"/>
    <mergeCell ref="AR5098:AS5099"/>
    <mergeCell ref="AT5098:AU5099"/>
    <mergeCell ref="AV5098:AW5099"/>
    <mergeCell ref="AX5098:AY5099"/>
    <mergeCell ref="AZ5098:AZ5099"/>
    <mergeCell ref="F5099:H5099"/>
    <mergeCell ref="X5099:AB5099"/>
    <mergeCell ref="AE5099:AI5099"/>
    <mergeCell ref="AJ5099:AL5099"/>
    <mergeCell ref="AN5099:AO5099"/>
    <mergeCell ref="AP5099:AQ5099"/>
    <mergeCell ref="A5100:A5101"/>
    <mergeCell ref="E5100:E5101"/>
    <mergeCell ref="F5100:H5100"/>
    <mergeCell ref="J5100:J5101"/>
    <mergeCell ref="K5100:L5101"/>
    <mergeCell ref="M5100:N5101"/>
    <mergeCell ref="O5100:P5101"/>
    <mergeCell ref="Q5100:R5101"/>
    <mergeCell ref="S5100:T5101"/>
    <mergeCell ref="U5100:V5101"/>
    <mergeCell ref="W5100:W5101"/>
    <mergeCell ref="X5100:AB5100"/>
    <mergeCell ref="AD5100:AI5100"/>
    <mergeCell ref="AJ5100:AL5100"/>
    <mergeCell ref="AN5100:AO5100"/>
    <mergeCell ref="AP5100:AQ5100"/>
    <mergeCell ref="AR5100:AS5101"/>
    <mergeCell ref="AT5100:AU5101"/>
    <mergeCell ref="AV5100:AW5101"/>
    <mergeCell ref="AX5100:AY5101"/>
    <mergeCell ref="AZ5100:AZ5101"/>
    <mergeCell ref="F5101:H5101"/>
    <mergeCell ref="X5101:AB5101"/>
    <mergeCell ref="AE5101:AI5101"/>
    <mergeCell ref="AJ5101:AL5101"/>
    <mergeCell ref="AN5101:AO5101"/>
    <mergeCell ref="AP5101:AQ5101"/>
    <mergeCell ref="A5102:A5103"/>
    <mergeCell ref="E5102:E5103"/>
    <mergeCell ref="F5102:H5102"/>
    <mergeCell ref="J5102:J5103"/>
    <mergeCell ref="K5102:L5103"/>
    <mergeCell ref="M5102:N5103"/>
    <mergeCell ref="O5102:P5103"/>
    <mergeCell ref="Q5102:R5103"/>
    <mergeCell ref="S5102:T5103"/>
    <mergeCell ref="U5102:V5103"/>
    <mergeCell ref="W5102:W5103"/>
    <mergeCell ref="X5102:AB5102"/>
    <mergeCell ref="AD5102:AI5102"/>
    <mergeCell ref="AJ5102:AL5102"/>
    <mergeCell ref="AN5102:AO5102"/>
    <mergeCell ref="AP5102:AQ5102"/>
    <mergeCell ref="AR5102:AS5103"/>
    <mergeCell ref="AT5102:AU5103"/>
    <mergeCell ref="AV5102:AW5103"/>
    <mergeCell ref="AX5102:AY5103"/>
    <mergeCell ref="AZ5102:AZ5103"/>
    <mergeCell ref="F5103:H5103"/>
    <mergeCell ref="X5103:AB5103"/>
    <mergeCell ref="AE5103:AI5103"/>
    <mergeCell ref="AJ5103:AL5103"/>
    <mergeCell ref="AN5103:AO5103"/>
    <mergeCell ref="AP5103:AQ5103"/>
    <mergeCell ref="A5104:A5105"/>
    <mergeCell ref="E5104:E5105"/>
    <mergeCell ref="F5104:H5104"/>
    <mergeCell ref="J5104:J5105"/>
    <mergeCell ref="K5104:L5105"/>
    <mergeCell ref="M5104:N5105"/>
    <mergeCell ref="O5104:P5105"/>
    <mergeCell ref="Q5104:R5105"/>
    <mergeCell ref="S5104:T5105"/>
    <mergeCell ref="U5104:V5105"/>
    <mergeCell ref="W5104:W5105"/>
    <mergeCell ref="X5104:AB5104"/>
    <mergeCell ref="AD5104:AI5104"/>
    <mergeCell ref="AJ5104:AL5104"/>
    <mergeCell ref="AN5104:AO5104"/>
    <mergeCell ref="AP5104:AQ5104"/>
    <mergeCell ref="AR5104:AS5105"/>
    <mergeCell ref="AT5104:AU5105"/>
    <mergeCell ref="AV5104:AW5105"/>
    <mergeCell ref="AX5104:AY5105"/>
    <mergeCell ref="AZ5104:AZ5105"/>
    <mergeCell ref="F5105:H5105"/>
    <mergeCell ref="X5105:AB5105"/>
    <mergeCell ref="AE5105:AI5105"/>
    <mergeCell ref="AJ5105:AL5105"/>
    <mergeCell ref="AN5105:AO5105"/>
    <mergeCell ref="AP5105:AQ5105"/>
    <mergeCell ref="A5106:A5107"/>
    <mergeCell ref="E5106:E5107"/>
    <mergeCell ref="F5106:H5106"/>
    <mergeCell ref="J5106:J5107"/>
    <mergeCell ref="K5106:L5107"/>
    <mergeCell ref="M5106:N5107"/>
    <mergeCell ref="O5106:P5107"/>
    <mergeCell ref="Q5106:R5107"/>
    <mergeCell ref="S5106:T5107"/>
    <mergeCell ref="U5106:V5107"/>
    <mergeCell ref="W5106:W5107"/>
    <mergeCell ref="X5106:AB5106"/>
    <mergeCell ref="AD5106:AI5106"/>
    <mergeCell ref="AJ5106:AL5106"/>
    <mergeCell ref="AN5106:AO5106"/>
    <mergeCell ref="AP5106:AQ5106"/>
    <mergeCell ref="AR5106:AS5107"/>
    <mergeCell ref="AT5106:AU5107"/>
    <mergeCell ref="AV5106:AW5107"/>
    <mergeCell ref="AX5106:AY5107"/>
    <mergeCell ref="AZ5106:AZ5107"/>
    <mergeCell ref="F5107:H5107"/>
    <mergeCell ref="X5107:AB5107"/>
    <mergeCell ref="AE5107:AI5107"/>
    <mergeCell ref="AJ5107:AL5107"/>
    <mergeCell ref="AN5107:AO5107"/>
    <mergeCell ref="AP5107:AQ5107"/>
    <mergeCell ref="A5108:A5109"/>
    <mergeCell ref="E5108:E5109"/>
    <mergeCell ref="F5108:H5108"/>
    <mergeCell ref="J5108:J5109"/>
    <mergeCell ref="K5108:L5109"/>
    <mergeCell ref="M5108:N5109"/>
    <mergeCell ref="O5108:P5109"/>
    <mergeCell ref="Q5108:R5109"/>
    <mergeCell ref="S5108:T5109"/>
    <mergeCell ref="U5108:V5109"/>
    <mergeCell ref="W5108:W5109"/>
    <mergeCell ref="X5108:AB5108"/>
    <mergeCell ref="AD5108:AI5108"/>
    <mergeCell ref="AJ5108:AL5108"/>
    <mergeCell ref="AN5108:AO5108"/>
    <mergeCell ref="AP5108:AQ5108"/>
    <mergeCell ref="AR5108:AS5109"/>
    <mergeCell ref="AT5108:AU5109"/>
    <mergeCell ref="AV5108:AW5109"/>
    <mergeCell ref="AX5108:AY5109"/>
    <mergeCell ref="AZ5108:AZ5109"/>
    <mergeCell ref="F5109:H5109"/>
    <mergeCell ref="X5109:AB5109"/>
    <mergeCell ref="AE5109:AI5109"/>
    <mergeCell ref="AJ5109:AL5109"/>
    <mergeCell ref="AN5109:AO5109"/>
    <mergeCell ref="AP5109:AQ5109"/>
    <mergeCell ref="A5110:A5111"/>
    <mergeCell ref="E5110:E5111"/>
    <mergeCell ref="F5110:H5110"/>
    <mergeCell ref="J5110:J5111"/>
    <mergeCell ref="K5110:L5111"/>
    <mergeCell ref="M5110:N5111"/>
    <mergeCell ref="O5110:P5111"/>
    <mergeCell ref="Q5110:R5111"/>
    <mergeCell ref="S5110:T5111"/>
    <mergeCell ref="U5110:V5111"/>
    <mergeCell ref="W5110:W5111"/>
    <mergeCell ref="X5110:AB5110"/>
    <mergeCell ref="AD5110:AI5110"/>
    <mergeCell ref="AJ5110:AL5110"/>
    <mergeCell ref="AN5110:AO5110"/>
    <mergeCell ref="AP5110:AQ5110"/>
    <mergeCell ref="AR5110:AS5111"/>
    <mergeCell ref="AT5110:AU5111"/>
    <mergeCell ref="AV5110:AW5111"/>
    <mergeCell ref="AX5110:AY5111"/>
    <mergeCell ref="AZ5110:AZ5111"/>
    <mergeCell ref="F5111:H5111"/>
    <mergeCell ref="X5111:AB5111"/>
    <mergeCell ref="AE5111:AI5111"/>
    <mergeCell ref="AJ5111:AL5111"/>
    <mergeCell ref="AN5111:AO5111"/>
    <mergeCell ref="AP5111:AQ5111"/>
    <mergeCell ref="A5112:A5113"/>
    <mergeCell ref="E5112:E5113"/>
    <mergeCell ref="F5112:H5112"/>
    <mergeCell ref="J5112:J5113"/>
    <mergeCell ref="K5112:L5113"/>
    <mergeCell ref="M5112:N5113"/>
    <mergeCell ref="O5112:P5113"/>
    <mergeCell ref="Q5112:R5113"/>
    <mergeCell ref="S5112:T5113"/>
    <mergeCell ref="U5112:V5113"/>
    <mergeCell ref="W5112:W5113"/>
    <mergeCell ref="X5112:AB5112"/>
    <mergeCell ref="AD5112:AI5112"/>
    <mergeCell ref="AJ5112:AL5112"/>
    <mergeCell ref="AN5112:AO5112"/>
    <mergeCell ref="AP5112:AQ5112"/>
    <mergeCell ref="AR5112:AS5113"/>
    <mergeCell ref="AT5112:AU5113"/>
    <mergeCell ref="AV5112:AW5113"/>
    <mergeCell ref="AX5112:AY5113"/>
    <mergeCell ref="AZ5112:AZ5113"/>
    <mergeCell ref="F5113:H5113"/>
    <mergeCell ref="X5113:AB5113"/>
    <mergeCell ref="AE5113:AI5113"/>
    <mergeCell ref="AJ5113:AL5113"/>
    <mergeCell ref="AN5113:AO5113"/>
    <mergeCell ref="AP5113:AQ5113"/>
    <mergeCell ref="A5114:A5115"/>
    <mergeCell ref="E5114:E5115"/>
    <mergeCell ref="F5114:H5114"/>
    <mergeCell ref="J5114:J5115"/>
    <mergeCell ref="K5114:L5115"/>
    <mergeCell ref="M5114:N5115"/>
    <mergeCell ref="O5114:P5115"/>
    <mergeCell ref="Q5114:R5115"/>
    <mergeCell ref="S5114:T5115"/>
    <mergeCell ref="U5114:V5115"/>
    <mergeCell ref="W5114:W5115"/>
    <mergeCell ref="X5114:AB5114"/>
    <mergeCell ref="AD5114:AI5114"/>
    <mergeCell ref="AJ5114:AL5114"/>
    <mergeCell ref="AN5114:AO5114"/>
    <mergeCell ref="AP5114:AQ5114"/>
    <mergeCell ref="AR5114:AS5115"/>
    <mergeCell ref="AT5114:AU5115"/>
    <mergeCell ref="AV5114:AW5115"/>
    <mergeCell ref="AX5114:AY5115"/>
    <mergeCell ref="AZ5114:AZ5115"/>
    <mergeCell ref="F5115:H5115"/>
    <mergeCell ref="X5115:AB5115"/>
    <mergeCell ref="AE5115:AI5115"/>
    <mergeCell ref="AJ5115:AL5115"/>
    <mergeCell ref="AN5115:AO5115"/>
    <mergeCell ref="AP5115:AQ5115"/>
    <mergeCell ref="A5116:A5117"/>
    <mergeCell ref="E5116:E5117"/>
    <mergeCell ref="F5116:H5116"/>
    <mergeCell ref="J5116:J5117"/>
    <mergeCell ref="K5116:L5117"/>
    <mergeCell ref="M5116:N5117"/>
    <mergeCell ref="O5116:P5117"/>
    <mergeCell ref="Q5116:R5117"/>
    <mergeCell ref="S5116:T5117"/>
    <mergeCell ref="U5116:V5117"/>
    <mergeCell ref="W5116:W5117"/>
    <mergeCell ref="X5116:AB5116"/>
    <mergeCell ref="AD5116:AI5116"/>
    <mergeCell ref="AJ5116:AL5116"/>
    <mergeCell ref="AN5116:AO5116"/>
    <mergeCell ref="AP5116:AQ5116"/>
    <mergeCell ref="AR5116:AS5117"/>
    <mergeCell ref="AT5116:AU5117"/>
    <mergeCell ref="AV5116:AW5117"/>
    <mergeCell ref="AX5116:AY5117"/>
    <mergeCell ref="AZ5116:AZ5117"/>
    <mergeCell ref="F5117:H5117"/>
    <mergeCell ref="X5117:AB5117"/>
    <mergeCell ref="AE5117:AI5117"/>
    <mergeCell ref="AJ5117:AL5117"/>
    <mergeCell ref="AN5117:AO5117"/>
    <mergeCell ref="AP5117:AQ5117"/>
    <mergeCell ref="A5118:A5119"/>
    <mergeCell ref="E5118:E5119"/>
    <mergeCell ref="F5118:H5118"/>
    <mergeCell ref="J5118:J5119"/>
    <mergeCell ref="K5118:L5119"/>
    <mergeCell ref="M5118:N5119"/>
    <mergeCell ref="O5118:P5119"/>
    <mergeCell ref="Q5118:R5119"/>
    <mergeCell ref="S5118:T5119"/>
    <mergeCell ref="U5118:V5119"/>
    <mergeCell ref="W5118:W5119"/>
    <mergeCell ref="X5118:AB5118"/>
    <mergeCell ref="AD5118:AI5118"/>
    <mergeCell ref="AJ5118:AL5118"/>
    <mergeCell ref="AN5118:AO5118"/>
    <mergeCell ref="AP5118:AQ5118"/>
    <mergeCell ref="AR5118:AS5119"/>
    <mergeCell ref="AT5118:AU5119"/>
    <mergeCell ref="AV5118:AW5119"/>
    <mergeCell ref="AX5118:AY5119"/>
    <mergeCell ref="AZ5118:AZ5119"/>
    <mergeCell ref="F5119:H5119"/>
    <mergeCell ref="X5119:AB5119"/>
    <mergeCell ref="AE5119:AI5119"/>
    <mergeCell ref="AJ5119:AL5119"/>
    <mergeCell ref="AN5119:AO5119"/>
    <mergeCell ref="AP5119:AQ5119"/>
    <mergeCell ref="A5120:A5121"/>
    <mergeCell ref="E5120:E5121"/>
    <mergeCell ref="F5120:H5120"/>
    <mergeCell ref="J5120:J5121"/>
    <mergeCell ref="K5120:L5121"/>
    <mergeCell ref="M5120:N5121"/>
    <mergeCell ref="O5120:P5121"/>
    <mergeCell ref="Q5120:R5121"/>
    <mergeCell ref="S5120:T5121"/>
    <mergeCell ref="U5120:V5121"/>
    <mergeCell ref="W5120:W5121"/>
    <mergeCell ref="X5120:AB5120"/>
    <mergeCell ref="AD5120:AI5120"/>
    <mergeCell ref="AJ5120:AL5120"/>
    <mergeCell ref="AN5120:AO5120"/>
    <mergeCell ref="AP5120:AQ5120"/>
    <mergeCell ref="AR5120:AS5121"/>
    <mergeCell ref="AT5120:AU5121"/>
    <mergeCell ref="AV5120:AW5121"/>
    <mergeCell ref="AX5120:AY5121"/>
    <mergeCell ref="AZ5120:AZ5121"/>
    <mergeCell ref="F5121:H5121"/>
    <mergeCell ref="X5121:AB5121"/>
    <mergeCell ref="AE5121:AI5121"/>
    <mergeCell ref="AJ5121:AL5121"/>
    <mergeCell ref="AN5121:AO5121"/>
    <mergeCell ref="AP5121:AQ5121"/>
    <mergeCell ref="A5122:A5123"/>
    <mergeCell ref="E5122:E5123"/>
    <mergeCell ref="F5122:H5122"/>
    <mergeCell ref="J5122:J5123"/>
    <mergeCell ref="K5122:L5123"/>
    <mergeCell ref="M5122:N5123"/>
    <mergeCell ref="O5122:P5123"/>
    <mergeCell ref="Q5122:R5123"/>
    <mergeCell ref="S5122:T5123"/>
    <mergeCell ref="U5122:V5123"/>
    <mergeCell ref="W5122:W5123"/>
    <mergeCell ref="X5122:AB5122"/>
    <mergeCell ref="AD5122:AI5122"/>
    <mergeCell ref="AJ5122:AL5122"/>
    <mergeCell ref="AN5122:AO5122"/>
    <mergeCell ref="AP5122:AQ5122"/>
    <mergeCell ref="AR5122:AS5123"/>
    <mergeCell ref="AT5122:AU5123"/>
    <mergeCell ref="AV5122:AW5123"/>
    <mergeCell ref="AX5122:AY5123"/>
    <mergeCell ref="AZ5122:AZ5123"/>
    <mergeCell ref="F5123:H5123"/>
    <mergeCell ref="X5123:AB5123"/>
    <mergeCell ref="AE5123:AI5123"/>
    <mergeCell ref="AJ5123:AL5123"/>
    <mergeCell ref="AN5123:AO5123"/>
    <mergeCell ref="AP5123:AQ5123"/>
    <mergeCell ref="A5124:A5125"/>
    <mergeCell ref="E5124:E5125"/>
    <mergeCell ref="F5124:H5124"/>
    <mergeCell ref="J5124:J5125"/>
    <mergeCell ref="K5124:L5125"/>
    <mergeCell ref="M5124:N5125"/>
    <mergeCell ref="O5124:P5125"/>
    <mergeCell ref="Q5124:R5125"/>
    <mergeCell ref="S5124:T5125"/>
    <mergeCell ref="U5124:V5125"/>
    <mergeCell ref="W5124:W5125"/>
    <mergeCell ref="X5124:AB5124"/>
    <mergeCell ref="AD5124:AI5124"/>
    <mergeCell ref="AJ5124:AL5124"/>
    <mergeCell ref="AN5124:AO5124"/>
    <mergeCell ref="AP5124:AQ5124"/>
    <mergeCell ref="AR5124:AS5125"/>
    <mergeCell ref="AT5124:AU5125"/>
    <mergeCell ref="AV5124:AW5125"/>
    <mergeCell ref="AX5124:AY5125"/>
    <mergeCell ref="AZ5124:AZ5125"/>
    <mergeCell ref="F5125:H5125"/>
    <mergeCell ref="X5125:AB5125"/>
    <mergeCell ref="AE5125:AI5125"/>
    <mergeCell ref="AJ5125:AL5125"/>
    <mergeCell ref="AN5125:AO5125"/>
    <mergeCell ref="AP5125:AQ5125"/>
    <mergeCell ref="A5126:A5127"/>
    <mergeCell ref="E5126:E5127"/>
    <mergeCell ref="F5126:H5126"/>
    <mergeCell ref="J5126:J5127"/>
    <mergeCell ref="K5126:L5127"/>
    <mergeCell ref="M5126:N5127"/>
    <mergeCell ref="O5126:P5127"/>
    <mergeCell ref="Q5126:R5127"/>
    <mergeCell ref="S5126:T5127"/>
    <mergeCell ref="U5126:V5127"/>
    <mergeCell ref="W5126:W5127"/>
    <mergeCell ref="X5126:AB5126"/>
    <mergeCell ref="AD5126:AI5126"/>
    <mergeCell ref="AJ5126:AL5126"/>
    <mergeCell ref="AN5126:AO5126"/>
    <mergeCell ref="AP5126:AQ5126"/>
    <mergeCell ref="AR5126:AS5127"/>
    <mergeCell ref="AT5126:AU5127"/>
    <mergeCell ref="AV5126:AW5127"/>
    <mergeCell ref="AX5126:AY5127"/>
    <mergeCell ref="AZ5126:AZ5127"/>
    <mergeCell ref="F5127:H5127"/>
    <mergeCell ref="X5127:AB5127"/>
    <mergeCell ref="AE5127:AI5127"/>
    <mergeCell ref="AJ5127:AL5127"/>
    <mergeCell ref="AN5127:AO5127"/>
    <mergeCell ref="AP5127:AQ5127"/>
    <mergeCell ref="A5128:A5129"/>
    <mergeCell ref="E5128:E5129"/>
    <mergeCell ref="F5128:H5128"/>
    <mergeCell ref="J5128:J5129"/>
    <mergeCell ref="K5128:L5129"/>
    <mergeCell ref="M5128:N5129"/>
    <mergeCell ref="O5128:P5129"/>
    <mergeCell ref="Q5128:R5129"/>
    <mergeCell ref="S5128:T5129"/>
    <mergeCell ref="U5128:V5129"/>
    <mergeCell ref="W5128:W5129"/>
    <mergeCell ref="X5128:AB5128"/>
    <mergeCell ref="AD5128:AI5128"/>
    <mergeCell ref="AJ5128:AL5128"/>
    <mergeCell ref="AN5128:AO5128"/>
    <mergeCell ref="AP5128:AQ5128"/>
    <mergeCell ref="AR5128:AS5129"/>
    <mergeCell ref="AT5128:AU5129"/>
    <mergeCell ref="AV5128:AW5129"/>
    <mergeCell ref="AX5128:AY5129"/>
    <mergeCell ref="AZ5128:AZ5129"/>
    <mergeCell ref="F5129:H5129"/>
    <mergeCell ref="X5129:AB5129"/>
    <mergeCell ref="AE5129:AI5129"/>
    <mergeCell ref="AJ5129:AL5129"/>
    <mergeCell ref="AN5129:AO5129"/>
    <mergeCell ref="AP5129:AQ5129"/>
    <mergeCell ref="A5130:A5131"/>
    <mergeCell ref="E5130:E5131"/>
    <mergeCell ref="F5130:H5130"/>
    <mergeCell ref="J5130:J5131"/>
    <mergeCell ref="K5130:L5131"/>
    <mergeCell ref="M5130:N5131"/>
    <mergeCell ref="O5130:P5131"/>
    <mergeCell ref="Q5130:R5131"/>
    <mergeCell ref="S5130:T5131"/>
    <mergeCell ref="U5130:V5131"/>
    <mergeCell ref="W5130:W5131"/>
    <mergeCell ref="X5130:AB5130"/>
    <mergeCell ref="AD5130:AI5130"/>
    <mergeCell ref="AJ5130:AL5130"/>
    <mergeCell ref="AN5130:AO5130"/>
    <mergeCell ref="AP5130:AQ5130"/>
    <mergeCell ref="AR5130:AS5131"/>
    <mergeCell ref="AT5130:AU5131"/>
    <mergeCell ref="AV5130:AW5131"/>
    <mergeCell ref="AX5130:AY5131"/>
    <mergeCell ref="AZ5130:AZ5131"/>
    <mergeCell ref="F5131:H5131"/>
    <mergeCell ref="X5131:AB5131"/>
    <mergeCell ref="AE5131:AI5131"/>
    <mergeCell ref="AJ5131:AL5131"/>
    <mergeCell ref="AN5131:AO5131"/>
    <mergeCell ref="AP5131:AQ5131"/>
    <mergeCell ref="A5132:A5133"/>
    <mergeCell ref="E5132:E5133"/>
    <mergeCell ref="F5132:H5132"/>
    <mergeCell ref="J5132:J5133"/>
    <mergeCell ref="K5132:L5133"/>
    <mergeCell ref="M5132:N5133"/>
    <mergeCell ref="O5132:P5133"/>
    <mergeCell ref="Q5132:R5133"/>
    <mergeCell ref="S5132:T5133"/>
    <mergeCell ref="U5132:V5133"/>
    <mergeCell ref="W5132:W5133"/>
    <mergeCell ref="X5132:AB5132"/>
    <mergeCell ref="AD5132:AI5132"/>
    <mergeCell ref="AJ5132:AL5132"/>
    <mergeCell ref="AN5132:AO5132"/>
    <mergeCell ref="AP5132:AQ5132"/>
    <mergeCell ref="AR5132:AS5133"/>
    <mergeCell ref="AT5132:AU5133"/>
    <mergeCell ref="AV5132:AW5133"/>
    <mergeCell ref="AX5132:AY5133"/>
    <mergeCell ref="AZ5132:AZ5133"/>
    <mergeCell ref="F5133:H5133"/>
    <mergeCell ref="X5133:AB5133"/>
    <mergeCell ref="AE5133:AI5133"/>
    <mergeCell ref="AJ5133:AL5133"/>
    <mergeCell ref="AN5133:AO5133"/>
    <mergeCell ref="AP5133:AQ5133"/>
    <mergeCell ref="A5134:A5135"/>
    <mergeCell ref="E5134:E5135"/>
    <mergeCell ref="F5134:H5134"/>
    <mergeCell ref="J5134:J5135"/>
    <mergeCell ref="K5134:L5135"/>
    <mergeCell ref="M5134:N5135"/>
    <mergeCell ref="O5134:P5135"/>
    <mergeCell ref="Q5134:R5135"/>
    <mergeCell ref="S5134:T5135"/>
    <mergeCell ref="U5134:V5135"/>
    <mergeCell ref="W5134:W5135"/>
    <mergeCell ref="X5134:AB5134"/>
    <mergeCell ref="AD5134:AI5134"/>
    <mergeCell ref="AJ5134:AL5134"/>
    <mergeCell ref="AN5134:AO5134"/>
    <mergeCell ref="AP5134:AQ5134"/>
    <mergeCell ref="AR5134:AS5135"/>
    <mergeCell ref="AT5134:AU5135"/>
    <mergeCell ref="AV5134:AW5135"/>
    <mergeCell ref="AX5134:AY5135"/>
    <mergeCell ref="AZ5134:AZ5135"/>
    <mergeCell ref="F5135:H5135"/>
    <mergeCell ref="X5135:AB5135"/>
    <mergeCell ref="AE5135:AI5135"/>
    <mergeCell ref="AJ5135:AL5135"/>
    <mergeCell ref="AN5135:AO5135"/>
    <mergeCell ref="AP5135:AQ5135"/>
    <mergeCell ref="A5136:A5137"/>
    <mergeCell ref="E5136:E5137"/>
    <mergeCell ref="F5136:H5136"/>
    <mergeCell ref="J5136:J5137"/>
    <mergeCell ref="K5136:L5137"/>
    <mergeCell ref="M5136:N5137"/>
    <mergeCell ref="O5136:P5137"/>
    <mergeCell ref="Q5136:R5137"/>
    <mergeCell ref="S5136:T5137"/>
    <mergeCell ref="U5136:V5137"/>
    <mergeCell ref="W5136:W5137"/>
    <mergeCell ref="X5136:AB5136"/>
    <mergeCell ref="AD5136:AI5136"/>
    <mergeCell ref="AJ5136:AL5136"/>
    <mergeCell ref="AN5136:AO5136"/>
    <mergeCell ref="AP5136:AQ5136"/>
    <mergeCell ref="AR5136:AS5137"/>
    <mergeCell ref="AT5136:AU5137"/>
    <mergeCell ref="AV5136:AW5137"/>
    <mergeCell ref="AX5136:AY5137"/>
    <mergeCell ref="AZ5136:AZ5137"/>
    <mergeCell ref="F5137:H5137"/>
    <mergeCell ref="X5137:AB5137"/>
    <mergeCell ref="AE5137:AI5137"/>
    <mergeCell ref="AJ5137:AL5137"/>
    <mergeCell ref="AN5137:AO5137"/>
    <mergeCell ref="AP5137:AQ5137"/>
    <mergeCell ref="A5138:A5139"/>
    <mergeCell ref="E5138:E5139"/>
    <mergeCell ref="F5138:H5138"/>
    <mergeCell ref="J5138:J5139"/>
    <mergeCell ref="K5138:L5139"/>
    <mergeCell ref="M5138:N5139"/>
    <mergeCell ref="O5138:P5139"/>
    <mergeCell ref="Q5138:R5139"/>
    <mergeCell ref="S5138:T5139"/>
    <mergeCell ref="U5138:V5139"/>
    <mergeCell ref="W5138:W5139"/>
    <mergeCell ref="X5138:AB5138"/>
    <mergeCell ref="AD5138:AI5138"/>
    <mergeCell ref="AJ5138:AL5138"/>
    <mergeCell ref="AN5138:AO5138"/>
    <mergeCell ref="AP5138:AQ5138"/>
    <mergeCell ref="AR5138:AS5139"/>
    <mergeCell ref="AT5138:AU5139"/>
    <mergeCell ref="AV5138:AW5139"/>
    <mergeCell ref="AX5138:AY5139"/>
    <mergeCell ref="AZ5138:AZ5139"/>
    <mergeCell ref="F5139:H5139"/>
    <mergeCell ref="X5139:AB5139"/>
    <mergeCell ref="AE5139:AI5139"/>
    <mergeCell ref="AJ5139:AL5139"/>
    <mergeCell ref="AN5139:AO5139"/>
    <mergeCell ref="AP5139:AQ5139"/>
    <mergeCell ref="A5140:A5141"/>
    <mergeCell ref="E5140:E5141"/>
    <mergeCell ref="F5140:H5140"/>
    <mergeCell ref="J5140:J5141"/>
    <mergeCell ref="K5140:L5141"/>
    <mergeCell ref="M5140:N5141"/>
    <mergeCell ref="O5140:P5141"/>
    <mergeCell ref="Q5140:R5141"/>
    <mergeCell ref="S5140:T5141"/>
    <mergeCell ref="U5140:V5141"/>
    <mergeCell ref="W5140:W5141"/>
    <mergeCell ref="X5140:AB5140"/>
    <mergeCell ref="AD5140:AI5140"/>
    <mergeCell ref="AJ5140:AL5140"/>
    <mergeCell ref="AN5140:AO5140"/>
    <mergeCell ref="AP5140:AQ5140"/>
    <mergeCell ref="AR5140:AS5141"/>
    <mergeCell ref="AT5140:AU5141"/>
    <mergeCell ref="AV5140:AW5141"/>
    <mergeCell ref="AX5140:AY5141"/>
    <mergeCell ref="AZ5140:AZ5141"/>
    <mergeCell ref="F5141:H5141"/>
    <mergeCell ref="X5141:AB5141"/>
    <mergeCell ref="AE5141:AI5141"/>
    <mergeCell ref="AJ5141:AL5141"/>
    <mergeCell ref="AN5141:AO5141"/>
    <mergeCell ref="AP5141:AQ5141"/>
    <mergeCell ref="A5142:A5143"/>
    <mergeCell ref="E5142:E5143"/>
    <mergeCell ref="F5142:H5142"/>
    <mergeCell ref="J5142:J5143"/>
    <mergeCell ref="K5142:L5143"/>
    <mergeCell ref="M5142:N5143"/>
    <mergeCell ref="O5142:P5143"/>
    <mergeCell ref="Q5142:R5143"/>
    <mergeCell ref="S5142:T5143"/>
    <mergeCell ref="U5142:V5143"/>
    <mergeCell ref="W5142:W5143"/>
    <mergeCell ref="X5142:AB5142"/>
    <mergeCell ref="AD5142:AI5142"/>
    <mergeCell ref="AJ5142:AL5142"/>
    <mergeCell ref="AN5142:AO5142"/>
    <mergeCell ref="AP5142:AQ5142"/>
    <mergeCell ref="AR5142:AS5143"/>
    <mergeCell ref="AT5142:AU5143"/>
    <mergeCell ref="AV5142:AW5143"/>
    <mergeCell ref="AX5142:AY5143"/>
    <mergeCell ref="AZ5142:AZ5143"/>
    <mergeCell ref="F5143:H5143"/>
    <mergeCell ref="X5143:AB5143"/>
    <mergeCell ref="AE5143:AI5143"/>
    <mergeCell ref="AJ5143:AL5143"/>
    <mergeCell ref="AN5143:AO5143"/>
    <mergeCell ref="AP5143:AQ5143"/>
    <mergeCell ref="A5144:A5145"/>
    <mergeCell ref="E5144:E5145"/>
    <mergeCell ref="F5144:H5144"/>
    <mergeCell ref="J5144:J5145"/>
    <mergeCell ref="K5144:L5145"/>
    <mergeCell ref="M5144:N5145"/>
    <mergeCell ref="O5144:P5145"/>
    <mergeCell ref="Q5144:R5145"/>
    <mergeCell ref="S5144:T5145"/>
    <mergeCell ref="U5144:V5145"/>
    <mergeCell ref="W5144:W5145"/>
    <mergeCell ref="X5144:AB5144"/>
    <mergeCell ref="AD5144:AI5144"/>
    <mergeCell ref="AJ5144:AL5144"/>
    <mergeCell ref="AN5144:AO5144"/>
    <mergeCell ref="AP5144:AQ5144"/>
    <mergeCell ref="AR5144:AS5145"/>
    <mergeCell ref="AT5144:AU5145"/>
    <mergeCell ref="AV5144:AW5145"/>
    <mergeCell ref="AX5144:AY5145"/>
    <mergeCell ref="AZ5144:AZ5145"/>
    <mergeCell ref="F5145:H5145"/>
    <mergeCell ref="X5145:AB5145"/>
    <mergeCell ref="AE5145:AI5145"/>
    <mergeCell ref="AJ5145:AL5145"/>
    <mergeCell ref="AN5145:AO5145"/>
    <mergeCell ref="AP5145:AQ5145"/>
    <mergeCell ref="AZ5152:AZ5153"/>
    <mergeCell ref="F5153:H5153"/>
    <mergeCell ref="X5153:AB5153"/>
    <mergeCell ref="AE5153:AI5153"/>
    <mergeCell ref="AJ5153:AL5153"/>
    <mergeCell ref="AN5153:AO5153"/>
    <mergeCell ref="AP5153:AQ5153"/>
    <mergeCell ref="A5146:A5147"/>
    <mergeCell ref="E5146:E5147"/>
    <mergeCell ref="F5146:H5146"/>
    <mergeCell ref="J5146:J5147"/>
    <mergeCell ref="K5146:L5147"/>
    <mergeCell ref="M5146:N5147"/>
    <mergeCell ref="O5146:P5147"/>
    <mergeCell ref="Q5146:R5147"/>
    <mergeCell ref="S5146:T5147"/>
    <mergeCell ref="U5146:V5147"/>
    <mergeCell ref="W5146:W5147"/>
    <mergeCell ref="X5146:AB5146"/>
    <mergeCell ref="AD5146:AI5146"/>
    <mergeCell ref="AJ5146:AL5146"/>
    <mergeCell ref="AN5146:AO5146"/>
    <mergeCell ref="AP5146:AQ5146"/>
    <mergeCell ref="AR5146:AS5147"/>
    <mergeCell ref="AT5146:AU5147"/>
    <mergeCell ref="AV5146:AW5147"/>
    <mergeCell ref="AX5146:AY5147"/>
    <mergeCell ref="AZ5146:AZ5147"/>
    <mergeCell ref="F5147:H5147"/>
    <mergeCell ref="X5147:AB5147"/>
    <mergeCell ref="AE5147:AI5147"/>
    <mergeCell ref="AJ5147:AL5147"/>
    <mergeCell ref="AN5147:AO5147"/>
    <mergeCell ref="AP5147:AQ5147"/>
    <mergeCell ref="A5148:A5149"/>
    <mergeCell ref="E5148:E5149"/>
    <mergeCell ref="F5148:H5148"/>
    <mergeCell ref="J5148:J5149"/>
    <mergeCell ref="K5148:L5149"/>
    <mergeCell ref="M5148:N5149"/>
    <mergeCell ref="O5148:P5149"/>
    <mergeCell ref="Q5148:R5149"/>
    <mergeCell ref="S5148:T5149"/>
    <mergeCell ref="U5148:V5149"/>
    <mergeCell ref="W5148:W5149"/>
    <mergeCell ref="X5148:AB5148"/>
    <mergeCell ref="AD5148:AI5148"/>
    <mergeCell ref="AJ5148:AL5148"/>
    <mergeCell ref="AN5148:AO5148"/>
    <mergeCell ref="AP5148:AQ5148"/>
    <mergeCell ref="AR5148:AS5149"/>
    <mergeCell ref="AT5148:AU5149"/>
    <mergeCell ref="AV5148:AW5149"/>
    <mergeCell ref="AX5148:AY5149"/>
    <mergeCell ref="AZ5148:AZ5149"/>
    <mergeCell ref="F5149:H5149"/>
    <mergeCell ref="X5149:AB5149"/>
    <mergeCell ref="AE5149:AI5149"/>
    <mergeCell ref="AJ5149:AL5149"/>
    <mergeCell ref="AN5149:AO5149"/>
    <mergeCell ref="AP5149:AQ5149"/>
    <mergeCell ref="W5156:W5157"/>
    <mergeCell ref="X5156:AB5156"/>
    <mergeCell ref="AD5156:AI5156"/>
    <mergeCell ref="AJ5156:AL5156"/>
    <mergeCell ref="AN5156:AO5156"/>
    <mergeCell ref="AP5156:AQ5156"/>
    <mergeCell ref="AR5156:AS5157"/>
    <mergeCell ref="AT5156:AU5157"/>
    <mergeCell ref="AV5156:AW5157"/>
    <mergeCell ref="AX5156:AY5157"/>
    <mergeCell ref="AZ5156:AZ5157"/>
    <mergeCell ref="F5157:H5157"/>
    <mergeCell ref="X5157:AB5157"/>
    <mergeCell ref="AE5157:AI5157"/>
    <mergeCell ref="AJ5157:AL5157"/>
    <mergeCell ref="AN5157:AO5157"/>
    <mergeCell ref="AP5157:AQ5157"/>
    <mergeCell ref="A5150:A5151"/>
    <mergeCell ref="E5150:E5151"/>
    <mergeCell ref="F5150:H5150"/>
    <mergeCell ref="J5150:J5151"/>
    <mergeCell ref="K5150:L5151"/>
    <mergeCell ref="M5150:N5151"/>
    <mergeCell ref="O5150:P5151"/>
    <mergeCell ref="Q5150:R5151"/>
    <mergeCell ref="S5150:T5151"/>
    <mergeCell ref="U5150:V5151"/>
    <mergeCell ref="W5150:W5151"/>
    <mergeCell ref="X5150:AB5150"/>
    <mergeCell ref="AD5150:AI5150"/>
    <mergeCell ref="AJ5150:AL5150"/>
    <mergeCell ref="AN5150:AO5150"/>
    <mergeCell ref="AP5150:AQ5150"/>
    <mergeCell ref="AR5150:AS5151"/>
    <mergeCell ref="AT5150:AU5151"/>
    <mergeCell ref="AV5150:AW5151"/>
    <mergeCell ref="AX5150:AY5151"/>
    <mergeCell ref="AZ5150:AZ5151"/>
    <mergeCell ref="F5151:H5151"/>
    <mergeCell ref="X5151:AB5151"/>
    <mergeCell ref="AE5151:AI5151"/>
    <mergeCell ref="AJ5151:AL5151"/>
    <mergeCell ref="AN5151:AO5151"/>
    <mergeCell ref="AP5151:AQ5151"/>
    <mergeCell ref="A5152:A5153"/>
    <mergeCell ref="E5152:E5153"/>
    <mergeCell ref="F5152:H5152"/>
    <mergeCell ref="J5152:J5153"/>
    <mergeCell ref="K5152:L5153"/>
    <mergeCell ref="M5152:N5153"/>
    <mergeCell ref="O5152:P5153"/>
    <mergeCell ref="Q5152:R5153"/>
    <mergeCell ref="S5152:T5153"/>
    <mergeCell ref="U5152:V5153"/>
    <mergeCell ref="W5152:W5153"/>
    <mergeCell ref="X5152:AB5152"/>
    <mergeCell ref="AD5152:AI5152"/>
    <mergeCell ref="AJ5152:AL5152"/>
    <mergeCell ref="AN5152:AO5152"/>
    <mergeCell ref="AP5152:AQ5152"/>
    <mergeCell ref="AR5152:AS5153"/>
    <mergeCell ref="AT5152:AU5153"/>
    <mergeCell ref="AV5152:AW5153"/>
    <mergeCell ref="AX5152:AY5153"/>
    <mergeCell ref="A5158:A5159"/>
    <mergeCell ref="E5158:E5159"/>
    <mergeCell ref="F5158:H5158"/>
    <mergeCell ref="J5158:J5159"/>
    <mergeCell ref="K5158:L5159"/>
    <mergeCell ref="M5158:N5159"/>
    <mergeCell ref="O5158:P5159"/>
    <mergeCell ref="Q5158:R5159"/>
    <mergeCell ref="S5158:T5159"/>
    <mergeCell ref="U5158:V5159"/>
    <mergeCell ref="W5158:W5159"/>
    <mergeCell ref="X5158:AB5158"/>
    <mergeCell ref="AD5158:AI5158"/>
    <mergeCell ref="AJ5158:AL5158"/>
    <mergeCell ref="AN5158:AO5158"/>
    <mergeCell ref="AP5158:AQ5158"/>
    <mergeCell ref="AR5158:AS5159"/>
    <mergeCell ref="AT5158:AU5159"/>
    <mergeCell ref="AV5158:AW5159"/>
    <mergeCell ref="AX5158:AY5159"/>
    <mergeCell ref="AZ5158:AZ5159"/>
    <mergeCell ref="F5159:H5159"/>
    <mergeCell ref="X5159:AB5159"/>
    <mergeCell ref="AE5159:AI5159"/>
    <mergeCell ref="AJ5159:AL5159"/>
    <mergeCell ref="AN5159:AO5159"/>
    <mergeCell ref="AP5159:AQ5159"/>
    <mergeCell ref="A5154:A5155"/>
    <mergeCell ref="E5154:E5155"/>
    <mergeCell ref="F5154:H5154"/>
    <mergeCell ref="J5154:J5155"/>
    <mergeCell ref="K5154:L5155"/>
    <mergeCell ref="M5154:N5155"/>
    <mergeCell ref="O5154:P5155"/>
    <mergeCell ref="Q5154:R5155"/>
    <mergeCell ref="S5154:T5155"/>
    <mergeCell ref="U5154:V5155"/>
    <mergeCell ref="W5154:W5155"/>
    <mergeCell ref="X5154:AB5154"/>
    <mergeCell ref="AD5154:AI5154"/>
    <mergeCell ref="AJ5154:AL5154"/>
    <mergeCell ref="AN5154:AO5154"/>
    <mergeCell ref="AP5154:AQ5154"/>
    <mergeCell ref="AR5154:AS5155"/>
    <mergeCell ref="AT5154:AU5155"/>
    <mergeCell ref="AV5154:AW5155"/>
    <mergeCell ref="AX5154:AY5155"/>
    <mergeCell ref="AZ5154:AZ5155"/>
    <mergeCell ref="F5155:H5155"/>
    <mergeCell ref="X5155:AB5155"/>
    <mergeCell ref="AE5155:AI5155"/>
    <mergeCell ref="AJ5155:AL5155"/>
    <mergeCell ref="AN5155:AO5155"/>
    <mergeCell ref="AP5155:AQ5155"/>
    <mergeCell ref="A5156:A5157"/>
    <mergeCell ref="E5156:E5157"/>
    <mergeCell ref="F5156:H5156"/>
    <mergeCell ref="J5156:J5157"/>
    <mergeCell ref="K5156:L5157"/>
    <mergeCell ref="M5156:N5157"/>
    <mergeCell ref="O5156:P5157"/>
    <mergeCell ref="Q5156:R5157"/>
    <mergeCell ref="S5156:T5157"/>
    <mergeCell ref="U5156:V5157"/>
    <mergeCell ref="A5160:A5161"/>
    <mergeCell ref="E5160:E5161"/>
    <mergeCell ref="F5160:H5160"/>
    <mergeCell ref="J5160:J5161"/>
    <mergeCell ref="K5160:L5161"/>
    <mergeCell ref="M5160:N5161"/>
    <mergeCell ref="O5160:P5161"/>
    <mergeCell ref="Q5160:R5161"/>
    <mergeCell ref="S5160:T5161"/>
    <mergeCell ref="U5160:V5161"/>
    <mergeCell ref="W5160:W5161"/>
    <mergeCell ref="X5160:AB5160"/>
    <mergeCell ref="AD5160:AI5160"/>
    <mergeCell ref="AJ5160:AL5160"/>
    <mergeCell ref="AN5160:AO5160"/>
    <mergeCell ref="AP5160:AQ5160"/>
    <mergeCell ref="AR5160:AS5161"/>
    <mergeCell ref="AT5160:AU5161"/>
    <mergeCell ref="AV5160:AW5161"/>
    <mergeCell ref="AX5160:AY5161"/>
    <mergeCell ref="AZ5160:AZ5161"/>
    <mergeCell ref="F5161:H5161"/>
    <mergeCell ref="X5161:AB5161"/>
    <mergeCell ref="AE5161:AI5161"/>
    <mergeCell ref="AJ5161:AL5161"/>
    <mergeCell ref="AN5161:AO5161"/>
    <mergeCell ref="AP5161:AQ5161"/>
    <mergeCell ref="A5162:A5163"/>
    <mergeCell ref="E5162:E5163"/>
    <mergeCell ref="F5162:H5162"/>
    <mergeCell ref="J5162:J5163"/>
    <mergeCell ref="K5162:L5163"/>
    <mergeCell ref="M5162:N5163"/>
    <mergeCell ref="O5162:P5163"/>
    <mergeCell ref="Q5162:R5163"/>
    <mergeCell ref="S5162:T5163"/>
    <mergeCell ref="U5162:V5163"/>
    <mergeCell ref="W5162:W5163"/>
    <mergeCell ref="X5162:AB5162"/>
    <mergeCell ref="AD5162:AI5162"/>
    <mergeCell ref="AJ5162:AL5162"/>
    <mergeCell ref="AN5162:AO5162"/>
    <mergeCell ref="AP5162:AQ5162"/>
    <mergeCell ref="AR5162:AS5163"/>
    <mergeCell ref="AT5162:AU5163"/>
    <mergeCell ref="AV5162:AW5163"/>
    <mergeCell ref="AX5162:AY5163"/>
    <mergeCell ref="AZ5162:AZ5163"/>
    <mergeCell ref="F5163:H5163"/>
    <mergeCell ref="X5163:AB5163"/>
    <mergeCell ref="AE5163:AI5163"/>
    <mergeCell ref="AJ5163:AL5163"/>
    <mergeCell ref="AN5163:AO5163"/>
    <mergeCell ref="AP5163:AQ5163"/>
    <mergeCell ref="A5164:A5165"/>
    <mergeCell ref="E5164:E5165"/>
    <mergeCell ref="F5164:H5164"/>
    <mergeCell ref="J5164:J5165"/>
    <mergeCell ref="K5164:L5165"/>
    <mergeCell ref="M5164:N5165"/>
    <mergeCell ref="O5164:P5165"/>
    <mergeCell ref="Q5164:R5165"/>
    <mergeCell ref="S5164:T5165"/>
    <mergeCell ref="U5164:V5165"/>
    <mergeCell ref="W5164:W5165"/>
    <mergeCell ref="X5164:AB5164"/>
    <mergeCell ref="AD5164:AI5164"/>
    <mergeCell ref="AJ5164:AL5164"/>
    <mergeCell ref="AN5164:AO5164"/>
    <mergeCell ref="AP5164:AQ5164"/>
    <mergeCell ref="AR5164:AS5165"/>
    <mergeCell ref="AT5164:AU5165"/>
    <mergeCell ref="AV5164:AW5165"/>
    <mergeCell ref="AX5164:AY5165"/>
    <mergeCell ref="AZ5164:AZ5165"/>
    <mergeCell ref="F5165:H5165"/>
    <mergeCell ref="X5165:AB5165"/>
    <mergeCell ref="AE5165:AI5165"/>
    <mergeCell ref="AJ5165:AL5165"/>
    <mergeCell ref="AN5165:AO5165"/>
    <mergeCell ref="AP5165:AQ5165"/>
    <mergeCell ref="A5166:A5167"/>
    <mergeCell ref="E5166:E5167"/>
    <mergeCell ref="F5166:H5166"/>
    <mergeCell ref="J5166:J5167"/>
    <mergeCell ref="K5166:L5167"/>
    <mergeCell ref="M5166:N5167"/>
    <mergeCell ref="O5166:P5167"/>
    <mergeCell ref="Q5166:R5167"/>
    <mergeCell ref="S5166:T5167"/>
    <mergeCell ref="U5166:V5167"/>
    <mergeCell ref="W5166:W5167"/>
    <mergeCell ref="X5166:AB5166"/>
    <mergeCell ref="AD5166:AI5166"/>
    <mergeCell ref="AJ5166:AL5166"/>
    <mergeCell ref="AN5166:AO5166"/>
    <mergeCell ref="AP5166:AQ5166"/>
    <mergeCell ref="AR5166:AS5167"/>
    <mergeCell ref="AT5166:AU5167"/>
    <mergeCell ref="AV5166:AW5167"/>
    <mergeCell ref="AX5166:AY5167"/>
    <mergeCell ref="AZ5166:AZ5167"/>
    <mergeCell ref="F5167:H5167"/>
    <mergeCell ref="X5167:AB5167"/>
    <mergeCell ref="AE5167:AI5167"/>
    <mergeCell ref="AJ5167:AL5167"/>
    <mergeCell ref="AN5167:AO5167"/>
    <mergeCell ref="AP5167:AQ5167"/>
    <mergeCell ref="A5168:A5169"/>
    <mergeCell ref="E5168:E5169"/>
    <mergeCell ref="F5168:H5168"/>
    <mergeCell ref="J5168:J5169"/>
    <mergeCell ref="K5168:L5169"/>
    <mergeCell ref="M5168:N5169"/>
    <mergeCell ref="O5168:P5169"/>
    <mergeCell ref="Q5168:R5169"/>
    <mergeCell ref="S5168:T5169"/>
    <mergeCell ref="U5168:V5169"/>
    <mergeCell ref="W5168:W5169"/>
    <mergeCell ref="X5168:AB5168"/>
    <mergeCell ref="AD5168:AI5168"/>
    <mergeCell ref="AJ5168:AL5168"/>
    <mergeCell ref="AN5168:AO5168"/>
    <mergeCell ref="AP5168:AQ5168"/>
    <mergeCell ref="AR5168:AS5169"/>
    <mergeCell ref="AT5168:AU5169"/>
    <mergeCell ref="AV5168:AW5169"/>
    <mergeCell ref="AX5168:AY5169"/>
    <mergeCell ref="AZ5168:AZ5169"/>
    <mergeCell ref="F5169:H5169"/>
    <mergeCell ref="X5169:AB5169"/>
    <mergeCell ref="AE5169:AI5169"/>
    <mergeCell ref="AJ5169:AL5169"/>
    <mergeCell ref="AN5169:AO5169"/>
    <mergeCell ref="AP5169:AQ5169"/>
    <mergeCell ref="A5170:A5171"/>
    <mergeCell ref="E5170:E5171"/>
    <mergeCell ref="F5170:H5170"/>
    <mergeCell ref="J5170:J5171"/>
    <mergeCell ref="K5170:L5171"/>
    <mergeCell ref="M5170:N5171"/>
    <mergeCell ref="O5170:P5171"/>
    <mergeCell ref="Q5170:R5171"/>
    <mergeCell ref="S5170:T5171"/>
    <mergeCell ref="U5170:V5171"/>
    <mergeCell ref="W5170:W5171"/>
    <mergeCell ref="X5170:AB5170"/>
    <mergeCell ref="AD5170:AI5170"/>
    <mergeCell ref="AJ5170:AL5170"/>
    <mergeCell ref="AN5170:AO5170"/>
    <mergeCell ref="AP5170:AQ5170"/>
    <mergeCell ref="AR5170:AS5171"/>
    <mergeCell ref="AT5170:AU5171"/>
    <mergeCell ref="AV5170:AW5171"/>
    <mergeCell ref="AX5170:AY5171"/>
    <mergeCell ref="AZ5170:AZ5171"/>
    <mergeCell ref="F5171:H5171"/>
    <mergeCell ref="X5171:AB5171"/>
    <mergeCell ref="AE5171:AI5171"/>
    <mergeCell ref="AJ5171:AL5171"/>
    <mergeCell ref="AN5171:AO5171"/>
    <mergeCell ref="AP5171:AQ5171"/>
    <mergeCell ref="A5172:A5173"/>
    <mergeCell ref="E5172:E5173"/>
    <mergeCell ref="F5172:H5172"/>
    <mergeCell ref="J5172:J5173"/>
    <mergeCell ref="K5172:L5173"/>
    <mergeCell ref="M5172:N5173"/>
    <mergeCell ref="O5172:P5173"/>
    <mergeCell ref="Q5172:R5173"/>
    <mergeCell ref="S5172:T5173"/>
    <mergeCell ref="U5172:V5173"/>
    <mergeCell ref="W5172:W5173"/>
    <mergeCell ref="X5172:AB5172"/>
    <mergeCell ref="AD5172:AI5172"/>
    <mergeCell ref="AJ5172:AL5172"/>
    <mergeCell ref="AN5172:AO5172"/>
    <mergeCell ref="AP5172:AQ5172"/>
    <mergeCell ref="AR5172:AS5173"/>
    <mergeCell ref="AT5172:AU5173"/>
    <mergeCell ref="AV5172:AW5173"/>
    <mergeCell ref="AX5172:AY5173"/>
    <mergeCell ref="AZ5172:AZ5173"/>
    <mergeCell ref="F5173:H5173"/>
    <mergeCell ref="X5173:AB5173"/>
    <mergeCell ref="AE5173:AI5173"/>
    <mergeCell ref="AJ5173:AL5173"/>
    <mergeCell ref="AN5173:AO5173"/>
    <mergeCell ref="AP5173:AQ5173"/>
    <mergeCell ref="A5174:A5175"/>
    <mergeCell ref="E5174:E5175"/>
    <mergeCell ref="F5174:H5174"/>
    <mergeCell ref="J5174:J5175"/>
    <mergeCell ref="K5174:L5175"/>
    <mergeCell ref="M5174:N5175"/>
    <mergeCell ref="O5174:P5175"/>
    <mergeCell ref="Q5174:R5175"/>
    <mergeCell ref="S5174:T5175"/>
    <mergeCell ref="U5174:V5175"/>
    <mergeCell ref="W5174:W5175"/>
    <mergeCell ref="X5174:AB5174"/>
    <mergeCell ref="AD5174:AI5174"/>
    <mergeCell ref="AJ5174:AL5174"/>
    <mergeCell ref="AN5174:AO5174"/>
    <mergeCell ref="AP5174:AQ5174"/>
    <mergeCell ref="AR5174:AS5175"/>
    <mergeCell ref="AT5174:AU5175"/>
    <mergeCell ref="AV5174:AW5175"/>
    <mergeCell ref="AX5174:AY5175"/>
    <mergeCell ref="AZ5174:AZ5175"/>
    <mergeCell ref="F5175:H5175"/>
    <mergeCell ref="X5175:AB5175"/>
    <mergeCell ref="AE5175:AI5175"/>
    <mergeCell ref="AJ5175:AL5175"/>
    <mergeCell ref="AN5175:AO5175"/>
    <mergeCell ref="AP5175:AQ5175"/>
    <mergeCell ref="A5176:A5177"/>
    <mergeCell ref="E5176:E5177"/>
    <mergeCell ref="F5176:H5176"/>
    <mergeCell ref="J5176:J5177"/>
    <mergeCell ref="K5176:L5177"/>
    <mergeCell ref="M5176:N5177"/>
    <mergeCell ref="O5176:P5177"/>
    <mergeCell ref="Q5176:R5177"/>
    <mergeCell ref="S5176:T5177"/>
    <mergeCell ref="U5176:V5177"/>
    <mergeCell ref="W5176:W5177"/>
    <mergeCell ref="X5176:AB5176"/>
    <mergeCell ref="AD5176:AI5176"/>
    <mergeCell ref="AJ5176:AL5176"/>
    <mergeCell ref="AN5176:AO5176"/>
    <mergeCell ref="AP5176:AQ5176"/>
    <mergeCell ref="AR5176:AS5177"/>
    <mergeCell ref="AT5176:AU5177"/>
    <mergeCell ref="AV5176:AW5177"/>
    <mergeCell ref="AX5176:AY5177"/>
    <mergeCell ref="AZ5176:AZ5177"/>
    <mergeCell ref="F5177:H5177"/>
    <mergeCell ref="X5177:AB5177"/>
    <mergeCell ref="AE5177:AI5177"/>
    <mergeCell ref="AJ5177:AL5177"/>
    <mergeCell ref="AN5177:AO5177"/>
    <mergeCell ref="AP5177:AQ5177"/>
    <mergeCell ref="A5178:A5179"/>
    <mergeCell ref="E5178:E5179"/>
    <mergeCell ref="F5178:H5178"/>
    <mergeCell ref="J5178:J5179"/>
    <mergeCell ref="K5178:L5179"/>
    <mergeCell ref="M5178:N5179"/>
    <mergeCell ref="O5178:P5179"/>
    <mergeCell ref="Q5178:R5179"/>
    <mergeCell ref="S5178:T5179"/>
    <mergeCell ref="U5178:V5179"/>
    <mergeCell ref="W5178:W5179"/>
    <mergeCell ref="X5178:AB5178"/>
    <mergeCell ref="AD5178:AI5178"/>
    <mergeCell ref="AJ5178:AL5178"/>
    <mergeCell ref="AN5178:AO5178"/>
    <mergeCell ref="AP5178:AQ5178"/>
    <mergeCell ref="AR5178:AS5179"/>
    <mergeCell ref="AT5178:AU5179"/>
    <mergeCell ref="AV5178:AW5179"/>
    <mergeCell ref="AX5178:AY5179"/>
    <mergeCell ref="AZ5178:AZ5179"/>
    <mergeCell ref="F5179:H5179"/>
    <mergeCell ref="X5179:AB5179"/>
    <mergeCell ref="AE5179:AI5179"/>
    <mergeCell ref="AJ5179:AL5179"/>
    <mergeCell ref="AN5179:AO5179"/>
    <mergeCell ref="AP5179:AQ5179"/>
    <mergeCell ref="A5180:A5181"/>
    <mergeCell ref="E5180:E5181"/>
    <mergeCell ref="F5180:H5180"/>
    <mergeCell ref="J5180:J5181"/>
    <mergeCell ref="K5180:L5181"/>
    <mergeCell ref="M5180:N5181"/>
    <mergeCell ref="O5180:P5181"/>
    <mergeCell ref="Q5180:R5181"/>
    <mergeCell ref="S5180:T5181"/>
    <mergeCell ref="U5180:V5181"/>
    <mergeCell ref="W5180:W5181"/>
    <mergeCell ref="X5180:AB5180"/>
    <mergeCell ref="AD5180:AI5180"/>
    <mergeCell ref="AJ5180:AL5180"/>
    <mergeCell ref="AN5180:AO5180"/>
    <mergeCell ref="AP5180:AQ5180"/>
    <mergeCell ref="AR5180:AS5181"/>
    <mergeCell ref="AT5180:AU5181"/>
    <mergeCell ref="AV5180:AW5181"/>
    <mergeCell ref="AX5180:AY5181"/>
    <mergeCell ref="AZ5180:AZ5181"/>
    <mergeCell ref="F5181:H5181"/>
    <mergeCell ref="X5181:AB5181"/>
    <mergeCell ref="AE5181:AI5181"/>
    <mergeCell ref="AJ5181:AL5181"/>
    <mergeCell ref="AN5181:AO5181"/>
    <mergeCell ref="AP5181:AQ5181"/>
    <mergeCell ref="A5182:A5183"/>
    <mergeCell ref="E5182:E5183"/>
    <mergeCell ref="F5182:H5182"/>
    <mergeCell ref="J5182:J5183"/>
    <mergeCell ref="K5182:L5183"/>
    <mergeCell ref="M5182:N5183"/>
    <mergeCell ref="O5182:P5183"/>
    <mergeCell ref="Q5182:R5183"/>
    <mergeCell ref="S5182:T5183"/>
    <mergeCell ref="U5182:V5183"/>
    <mergeCell ref="W5182:W5183"/>
    <mergeCell ref="X5182:AB5182"/>
    <mergeCell ref="AD5182:AI5182"/>
    <mergeCell ref="AJ5182:AL5182"/>
    <mergeCell ref="AN5182:AO5182"/>
    <mergeCell ref="AP5182:AQ5182"/>
    <mergeCell ref="AR5182:AS5183"/>
    <mergeCell ref="AT5182:AU5183"/>
    <mergeCell ref="AV5182:AW5183"/>
    <mergeCell ref="AX5182:AY5183"/>
    <mergeCell ref="AZ5182:AZ5183"/>
    <mergeCell ref="F5183:H5183"/>
    <mergeCell ref="X5183:AB5183"/>
    <mergeCell ref="AE5183:AI5183"/>
    <mergeCell ref="AJ5183:AL5183"/>
    <mergeCell ref="AN5183:AO5183"/>
    <mergeCell ref="AP5183:AQ5183"/>
    <mergeCell ref="A5184:A5185"/>
    <mergeCell ref="E5184:E5185"/>
    <mergeCell ref="F5184:H5184"/>
    <mergeCell ref="J5184:J5185"/>
    <mergeCell ref="K5184:L5185"/>
    <mergeCell ref="M5184:N5185"/>
    <mergeCell ref="O5184:P5185"/>
    <mergeCell ref="Q5184:R5185"/>
    <mergeCell ref="S5184:T5185"/>
    <mergeCell ref="U5184:V5185"/>
    <mergeCell ref="W5184:W5185"/>
    <mergeCell ref="X5184:AB5184"/>
    <mergeCell ref="AD5184:AI5184"/>
    <mergeCell ref="AJ5184:AL5184"/>
    <mergeCell ref="AN5184:AO5184"/>
    <mergeCell ref="AP5184:AQ5184"/>
    <mergeCell ref="AR5184:AS5185"/>
    <mergeCell ref="AT5184:AU5185"/>
    <mergeCell ref="AV5184:AW5185"/>
    <mergeCell ref="AX5184:AY5185"/>
    <mergeCell ref="AZ5184:AZ5185"/>
    <mergeCell ref="F5185:H5185"/>
    <mergeCell ref="X5185:AB5185"/>
    <mergeCell ref="AE5185:AI5185"/>
    <mergeCell ref="AJ5185:AL5185"/>
    <mergeCell ref="AN5185:AO5185"/>
    <mergeCell ref="AP5185:AQ5185"/>
    <mergeCell ref="A5186:A5187"/>
    <mergeCell ref="E5186:E5187"/>
    <mergeCell ref="F5186:H5186"/>
    <mergeCell ref="J5186:J5187"/>
    <mergeCell ref="K5186:L5187"/>
    <mergeCell ref="M5186:N5187"/>
    <mergeCell ref="O5186:P5187"/>
    <mergeCell ref="Q5186:R5187"/>
    <mergeCell ref="S5186:T5187"/>
    <mergeCell ref="U5186:V5187"/>
    <mergeCell ref="W5186:W5187"/>
    <mergeCell ref="X5186:AB5186"/>
    <mergeCell ref="AD5186:AI5186"/>
    <mergeCell ref="AJ5186:AL5186"/>
    <mergeCell ref="AN5186:AO5186"/>
    <mergeCell ref="AP5186:AQ5186"/>
    <mergeCell ref="AR5186:AS5187"/>
    <mergeCell ref="AT5186:AU5187"/>
    <mergeCell ref="AV5186:AW5187"/>
    <mergeCell ref="AX5186:AY5187"/>
    <mergeCell ref="AZ5186:AZ5187"/>
    <mergeCell ref="F5187:H5187"/>
    <mergeCell ref="X5187:AB5187"/>
    <mergeCell ref="AE5187:AI5187"/>
    <mergeCell ref="AJ5187:AL5187"/>
    <mergeCell ref="AN5187:AO5187"/>
    <mergeCell ref="AP5187:AQ5187"/>
    <mergeCell ref="A5188:A5189"/>
    <mergeCell ref="E5188:E5189"/>
    <mergeCell ref="F5188:H5188"/>
    <mergeCell ref="J5188:J5189"/>
    <mergeCell ref="K5188:L5189"/>
    <mergeCell ref="M5188:N5189"/>
    <mergeCell ref="O5188:P5189"/>
    <mergeCell ref="Q5188:R5189"/>
    <mergeCell ref="S5188:T5189"/>
    <mergeCell ref="U5188:V5189"/>
    <mergeCell ref="W5188:W5189"/>
    <mergeCell ref="X5188:AB5188"/>
    <mergeCell ref="AD5188:AI5188"/>
    <mergeCell ref="AJ5188:AL5188"/>
    <mergeCell ref="AN5188:AO5188"/>
    <mergeCell ref="AP5188:AQ5188"/>
    <mergeCell ref="AR5188:AS5189"/>
    <mergeCell ref="AT5188:AU5189"/>
    <mergeCell ref="AV5188:AW5189"/>
    <mergeCell ref="AX5188:AY5189"/>
    <mergeCell ref="AZ5188:AZ5189"/>
    <mergeCell ref="F5189:H5189"/>
    <mergeCell ref="X5189:AB5189"/>
    <mergeCell ref="AE5189:AI5189"/>
    <mergeCell ref="AJ5189:AL5189"/>
    <mergeCell ref="AN5189:AO5189"/>
    <mergeCell ref="AP5189:AQ5189"/>
    <mergeCell ref="A5190:A5191"/>
    <mergeCell ref="E5190:E5191"/>
    <mergeCell ref="F5190:H5190"/>
    <mergeCell ref="J5190:J5191"/>
    <mergeCell ref="K5190:L5191"/>
    <mergeCell ref="M5190:N5191"/>
    <mergeCell ref="O5190:P5191"/>
    <mergeCell ref="Q5190:R5191"/>
    <mergeCell ref="S5190:T5191"/>
    <mergeCell ref="U5190:V5191"/>
    <mergeCell ref="W5190:W5191"/>
    <mergeCell ref="X5190:AB5190"/>
    <mergeCell ref="AD5190:AI5190"/>
    <mergeCell ref="AJ5190:AL5190"/>
    <mergeCell ref="AN5190:AO5190"/>
    <mergeCell ref="AP5190:AQ5190"/>
    <mergeCell ref="AR5190:AS5191"/>
    <mergeCell ref="AT5190:AU5191"/>
    <mergeCell ref="AV5190:AW5191"/>
    <mergeCell ref="AX5190:AY5191"/>
    <mergeCell ref="AZ5190:AZ5191"/>
    <mergeCell ref="F5191:H5191"/>
    <mergeCell ref="X5191:AB5191"/>
    <mergeCell ref="AE5191:AI5191"/>
    <mergeCell ref="AJ5191:AL5191"/>
    <mergeCell ref="AN5191:AO5191"/>
    <mergeCell ref="AP5191:AQ5191"/>
    <mergeCell ref="A5192:A5193"/>
    <mergeCell ref="E5192:E5193"/>
    <mergeCell ref="F5192:H5192"/>
    <mergeCell ref="J5192:J5193"/>
    <mergeCell ref="K5192:L5193"/>
    <mergeCell ref="M5192:N5193"/>
    <mergeCell ref="O5192:P5193"/>
    <mergeCell ref="Q5192:R5193"/>
    <mergeCell ref="S5192:T5193"/>
    <mergeCell ref="U5192:V5193"/>
    <mergeCell ref="W5192:W5193"/>
    <mergeCell ref="X5192:AB5192"/>
    <mergeCell ref="AD5192:AI5192"/>
    <mergeCell ref="AJ5192:AL5192"/>
    <mergeCell ref="AN5192:AO5192"/>
    <mergeCell ref="AP5192:AQ5192"/>
    <mergeCell ref="AR5192:AS5193"/>
    <mergeCell ref="AT5192:AU5193"/>
    <mergeCell ref="AV5192:AW5193"/>
    <mergeCell ref="AX5192:AY5193"/>
    <mergeCell ref="AZ5192:AZ5193"/>
    <mergeCell ref="F5193:H5193"/>
    <mergeCell ref="X5193:AB5193"/>
    <mergeCell ref="AE5193:AI5193"/>
    <mergeCell ref="AJ5193:AL5193"/>
    <mergeCell ref="AN5193:AO5193"/>
    <mergeCell ref="AP5193:AQ5193"/>
    <mergeCell ref="A5194:A5195"/>
    <mergeCell ref="E5194:E5195"/>
    <mergeCell ref="F5194:H5194"/>
    <mergeCell ref="J5194:J5195"/>
    <mergeCell ref="K5194:L5195"/>
    <mergeCell ref="M5194:N5195"/>
    <mergeCell ref="O5194:P5195"/>
    <mergeCell ref="Q5194:R5195"/>
    <mergeCell ref="S5194:T5195"/>
    <mergeCell ref="U5194:V5195"/>
    <mergeCell ref="W5194:W5195"/>
    <mergeCell ref="X5194:AB5194"/>
    <mergeCell ref="AD5194:AI5194"/>
    <mergeCell ref="AJ5194:AL5194"/>
    <mergeCell ref="AN5194:AO5194"/>
    <mergeCell ref="AP5194:AQ5194"/>
    <mergeCell ref="AR5194:AS5195"/>
    <mergeCell ref="AT5194:AU5195"/>
    <mergeCell ref="AV5194:AW5195"/>
    <mergeCell ref="AX5194:AY5195"/>
    <mergeCell ref="AZ5194:AZ5195"/>
    <mergeCell ref="F5195:H5195"/>
    <mergeCell ref="X5195:AB5195"/>
    <mergeCell ref="AE5195:AI5195"/>
    <mergeCell ref="AJ5195:AL5195"/>
    <mergeCell ref="AN5195:AO5195"/>
    <mergeCell ref="AP5195:AQ5195"/>
    <mergeCell ref="A5196:A5197"/>
    <mergeCell ref="E5196:E5197"/>
    <mergeCell ref="F5196:H5196"/>
    <mergeCell ref="J5196:J5197"/>
    <mergeCell ref="K5196:L5197"/>
    <mergeCell ref="M5196:N5197"/>
    <mergeCell ref="O5196:P5197"/>
    <mergeCell ref="Q5196:R5197"/>
    <mergeCell ref="S5196:T5197"/>
    <mergeCell ref="U5196:V5197"/>
    <mergeCell ref="W5196:W5197"/>
    <mergeCell ref="X5196:AB5196"/>
    <mergeCell ref="AD5196:AI5196"/>
    <mergeCell ref="AJ5196:AL5196"/>
    <mergeCell ref="AN5196:AO5196"/>
    <mergeCell ref="AP5196:AQ5196"/>
    <mergeCell ref="AR5196:AS5197"/>
    <mergeCell ref="AT5196:AU5197"/>
    <mergeCell ref="AV5196:AW5197"/>
    <mergeCell ref="AX5196:AY5197"/>
    <mergeCell ref="AZ5196:AZ5197"/>
    <mergeCell ref="F5197:H5197"/>
    <mergeCell ref="X5197:AB5197"/>
    <mergeCell ref="AE5197:AI5197"/>
    <mergeCell ref="AJ5197:AL5197"/>
    <mergeCell ref="AN5197:AO5197"/>
    <mergeCell ref="AP5197:AQ5197"/>
    <mergeCell ref="A5198:A5199"/>
    <mergeCell ref="E5198:E5199"/>
    <mergeCell ref="F5198:H5198"/>
    <mergeCell ref="J5198:J5199"/>
    <mergeCell ref="K5198:L5199"/>
    <mergeCell ref="M5198:N5199"/>
    <mergeCell ref="O5198:P5199"/>
    <mergeCell ref="Q5198:R5199"/>
    <mergeCell ref="S5198:T5199"/>
    <mergeCell ref="U5198:V5199"/>
    <mergeCell ref="W5198:W5199"/>
    <mergeCell ref="X5198:AB5198"/>
    <mergeCell ref="AD5198:AI5198"/>
    <mergeCell ref="AJ5198:AL5198"/>
    <mergeCell ref="AN5198:AO5198"/>
    <mergeCell ref="AP5198:AQ5198"/>
    <mergeCell ref="AR5198:AS5199"/>
    <mergeCell ref="AT5198:AU5199"/>
    <mergeCell ref="AV5198:AW5199"/>
    <mergeCell ref="AX5198:AY5199"/>
    <mergeCell ref="AZ5198:AZ5199"/>
    <mergeCell ref="F5199:H5199"/>
    <mergeCell ref="X5199:AB5199"/>
    <mergeCell ref="AE5199:AI5199"/>
    <mergeCell ref="AJ5199:AL5199"/>
    <mergeCell ref="AN5199:AO5199"/>
    <mergeCell ref="AP5199:AQ5199"/>
    <mergeCell ref="A5200:A5201"/>
    <mergeCell ref="E5200:E5201"/>
    <mergeCell ref="F5200:H5200"/>
    <mergeCell ref="J5200:J5201"/>
    <mergeCell ref="K5200:L5201"/>
    <mergeCell ref="M5200:N5201"/>
    <mergeCell ref="O5200:P5201"/>
    <mergeCell ref="Q5200:R5201"/>
    <mergeCell ref="S5200:T5201"/>
    <mergeCell ref="U5200:V5201"/>
    <mergeCell ref="W5200:W5201"/>
    <mergeCell ref="X5200:AB5200"/>
    <mergeCell ref="AD5200:AI5200"/>
    <mergeCell ref="AJ5200:AL5200"/>
    <mergeCell ref="AN5200:AO5200"/>
    <mergeCell ref="AP5200:AQ5200"/>
    <mergeCell ref="AR5200:AS5201"/>
    <mergeCell ref="AT5200:AU5201"/>
    <mergeCell ref="AV5200:AW5201"/>
    <mergeCell ref="AX5200:AY5201"/>
    <mergeCell ref="AZ5200:AZ5201"/>
    <mergeCell ref="F5201:H5201"/>
    <mergeCell ref="X5201:AB5201"/>
    <mergeCell ref="AE5201:AI5201"/>
    <mergeCell ref="AJ5201:AL5201"/>
    <mergeCell ref="AN5201:AO5201"/>
    <mergeCell ref="AP5201:AQ5201"/>
    <mergeCell ref="A5202:A5203"/>
    <mergeCell ref="E5202:E5203"/>
    <mergeCell ref="F5202:H5202"/>
    <mergeCell ref="J5202:J5203"/>
    <mergeCell ref="K5202:L5203"/>
    <mergeCell ref="M5202:N5203"/>
    <mergeCell ref="O5202:P5203"/>
    <mergeCell ref="Q5202:R5203"/>
    <mergeCell ref="S5202:T5203"/>
    <mergeCell ref="U5202:V5203"/>
    <mergeCell ref="W5202:W5203"/>
    <mergeCell ref="X5202:AB5202"/>
    <mergeCell ref="AD5202:AI5202"/>
    <mergeCell ref="AJ5202:AL5202"/>
    <mergeCell ref="AN5202:AO5202"/>
    <mergeCell ref="AP5202:AQ5202"/>
    <mergeCell ref="AR5202:AS5203"/>
    <mergeCell ref="AT5202:AU5203"/>
    <mergeCell ref="AV5202:AW5203"/>
    <mergeCell ref="AX5202:AY5203"/>
    <mergeCell ref="AZ5202:AZ5203"/>
    <mergeCell ref="F5203:H5203"/>
    <mergeCell ref="X5203:AB5203"/>
    <mergeCell ref="AE5203:AI5203"/>
    <mergeCell ref="AJ5203:AL5203"/>
    <mergeCell ref="AN5203:AO5203"/>
    <mergeCell ref="AP5203:AQ5203"/>
    <mergeCell ref="A5204:A5205"/>
    <mergeCell ref="E5204:E5205"/>
    <mergeCell ref="F5204:H5204"/>
    <mergeCell ref="J5204:J5205"/>
    <mergeCell ref="K5204:L5205"/>
    <mergeCell ref="M5204:N5205"/>
    <mergeCell ref="O5204:P5205"/>
    <mergeCell ref="Q5204:R5205"/>
    <mergeCell ref="S5204:T5205"/>
    <mergeCell ref="U5204:V5205"/>
    <mergeCell ref="W5204:W5205"/>
    <mergeCell ref="X5204:AB5204"/>
    <mergeCell ref="AD5204:AI5204"/>
    <mergeCell ref="AJ5204:AL5204"/>
    <mergeCell ref="AN5204:AO5204"/>
    <mergeCell ref="AP5204:AQ5204"/>
    <mergeCell ref="AR5204:AS5205"/>
    <mergeCell ref="AT5204:AU5205"/>
    <mergeCell ref="AV5204:AW5205"/>
    <mergeCell ref="AX5204:AY5205"/>
    <mergeCell ref="AZ5204:AZ5205"/>
    <mergeCell ref="F5205:H5205"/>
    <mergeCell ref="X5205:AB5205"/>
    <mergeCell ref="AE5205:AI5205"/>
    <mergeCell ref="AJ5205:AL5205"/>
    <mergeCell ref="AN5205:AO5205"/>
    <mergeCell ref="AP5205:AQ5205"/>
    <mergeCell ref="A5206:A5207"/>
    <mergeCell ref="E5206:E5207"/>
    <mergeCell ref="F5206:H5206"/>
    <mergeCell ref="J5206:J5207"/>
    <mergeCell ref="K5206:L5207"/>
    <mergeCell ref="M5206:N5207"/>
    <mergeCell ref="O5206:P5207"/>
    <mergeCell ref="Q5206:R5207"/>
    <mergeCell ref="S5206:T5207"/>
    <mergeCell ref="U5206:V5207"/>
    <mergeCell ref="W5206:W5207"/>
    <mergeCell ref="X5206:AB5206"/>
    <mergeCell ref="AD5206:AI5206"/>
    <mergeCell ref="AJ5206:AL5206"/>
    <mergeCell ref="AN5206:AO5206"/>
    <mergeCell ref="AP5206:AQ5206"/>
    <mergeCell ref="AR5206:AS5207"/>
    <mergeCell ref="AT5206:AU5207"/>
    <mergeCell ref="AV5206:AW5207"/>
    <mergeCell ref="AX5206:AY5207"/>
    <mergeCell ref="AZ5206:AZ5207"/>
    <mergeCell ref="F5207:H5207"/>
    <mergeCell ref="X5207:AB5207"/>
    <mergeCell ref="AE5207:AI5207"/>
    <mergeCell ref="AJ5207:AL5207"/>
    <mergeCell ref="AN5207:AO5207"/>
    <mergeCell ref="AP5207:AQ5207"/>
    <mergeCell ref="A5208:A5209"/>
    <mergeCell ref="E5208:E5209"/>
    <mergeCell ref="F5208:H5208"/>
    <mergeCell ref="J5208:J5209"/>
    <mergeCell ref="K5208:L5209"/>
    <mergeCell ref="M5208:N5209"/>
    <mergeCell ref="O5208:P5209"/>
    <mergeCell ref="Q5208:R5209"/>
    <mergeCell ref="S5208:T5209"/>
    <mergeCell ref="U5208:V5209"/>
    <mergeCell ref="W5208:W5209"/>
    <mergeCell ref="X5208:AB5208"/>
    <mergeCell ref="AD5208:AI5208"/>
    <mergeCell ref="AJ5208:AL5208"/>
    <mergeCell ref="AN5208:AO5208"/>
    <mergeCell ref="AP5208:AQ5208"/>
    <mergeCell ref="AR5208:AS5209"/>
    <mergeCell ref="AT5208:AU5209"/>
    <mergeCell ref="AV5208:AW5209"/>
    <mergeCell ref="AX5208:AY5209"/>
    <mergeCell ref="AZ5208:AZ5209"/>
    <mergeCell ref="F5209:H5209"/>
    <mergeCell ref="X5209:AB5209"/>
    <mergeCell ref="AE5209:AI5209"/>
    <mergeCell ref="AJ5209:AL5209"/>
    <mergeCell ref="AN5209:AO5209"/>
    <mergeCell ref="AP5209:AQ5209"/>
    <mergeCell ref="A5210:A5211"/>
    <mergeCell ref="E5210:E5211"/>
    <mergeCell ref="F5210:H5210"/>
    <mergeCell ref="J5210:J5211"/>
    <mergeCell ref="K5210:L5211"/>
    <mergeCell ref="M5210:N5211"/>
    <mergeCell ref="O5210:P5211"/>
    <mergeCell ref="Q5210:R5211"/>
    <mergeCell ref="S5210:T5211"/>
    <mergeCell ref="U5210:V5211"/>
    <mergeCell ref="W5210:W5211"/>
    <mergeCell ref="X5210:AB5210"/>
    <mergeCell ref="AD5210:AI5210"/>
    <mergeCell ref="AJ5210:AL5210"/>
    <mergeCell ref="AN5210:AO5210"/>
    <mergeCell ref="AP5210:AQ5210"/>
    <mergeCell ref="AR5210:AS5211"/>
    <mergeCell ref="AT5210:AU5211"/>
    <mergeCell ref="AV5210:AW5211"/>
    <mergeCell ref="AX5210:AY5211"/>
    <mergeCell ref="AZ5210:AZ5211"/>
    <mergeCell ref="F5211:H5211"/>
    <mergeCell ref="X5211:AB5211"/>
    <mergeCell ref="AE5211:AI5211"/>
    <mergeCell ref="AJ5211:AL5211"/>
    <mergeCell ref="AN5211:AO5211"/>
    <mergeCell ref="AP5211:AQ5211"/>
    <mergeCell ref="A5212:A5213"/>
    <mergeCell ref="E5212:E5213"/>
    <mergeCell ref="F5212:H5212"/>
    <mergeCell ref="J5212:J5213"/>
    <mergeCell ref="K5212:L5213"/>
    <mergeCell ref="M5212:N5213"/>
    <mergeCell ref="O5212:P5213"/>
    <mergeCell ref="Q5212:R5213"/>
    <mergeCell ref="S5212:T5213"/>
    <mergeCell ref="U5212:V5213"/>
    <mergeCell ref="W5212:W5213"/>
    <mergeCell ref="X5212:AB5212"/>
    <mergeCell ref="AD5212:AI5212"/>
    <mergeCell ref="AJ5212:AL5212"/>
    <mergeCell ref="AN5212:AO5212"/>
    <mergeCell ref="AP5212:AQ5212"/>
    <mergeCell ref="AR5212:AS5213"/>
    <mergeCell ref="AT5212:AU5213"/>
    <mergeCell ref="AV5212:AW5213"/>
    <mergeCell ref="AX5212:AY5213"/>
    <mergeCell ref="AZ5212:AZ5213"/>
    <mergeCell ref="F5213:H5213"/>
    <mergeCell ref="X5213:AB5213"/>
    <mergeCell ref="AE5213:AI5213"/>
    <mergeCell ref="AJ5213:AL5213"/>
    <mergeCell ref="AN5213:AO5213"/>
    <mergeCell ref="AP5213:AQ5213"/>
    <mergeCell ref="A5214:A5215"/>
    <mergeCell ref="E5214:E5215"/>
    <mergeCell ref="F5214:H5214"/>
    <mergeCell ref="J5214:J5215"/>
    <mergeCell ref="K5214:L5215"/>
    <mergeCell ref="M5214:N5215"/>
    <mergeCell ref="O5214:P5215"/>
    <mergeCell ref="Q5214:R5215"/>
    <mergeCell ref="S5214:T5215"/>
    <mergeCell ref="U5214:V5215"/>
    <mergeCell ref="W5214:W5215"/>
    <mergeCell ref="X5214:AB5214"/>
    <mergeCell ref="AD5214:AI5214"/>
    <mergeCell ref="AJ5214:AL5214"/>
    <mergeCell ref="AN5214:AO5214"/>
    <mergeCell ref="AP5214:AQ5214"/>
    <mergeCell ref="AR5214:AS5215"/>
    <mergeCell ref="AT5214:AU5215"/>
    <mergeCell ref="AV5214:AW5215"/>
    <mergeCell ref="AX5214:AY5215"/>
    <mergeCell ref="AZ5214:AZ5215"/>
    <mergeCell ref="F5215:H5215"/>
    <mergeCell ref="X5215:AB5215"/>
    <mergeCell ref="AE5215:AI5215"/>
    <mergeCell ref="AJ5215:AL5215"/>
    <mergeCell ref="AN5215:AO5215"/>
    <mergeCell ref="AP5215:AQ5215"/>
    <mergeCell ref="A5216:A5217"/>
    <mergeCell ref="E5216:E5217"/>
    <mergeCell ref="F5216:H5216"/>
    <mergeCell ref="J5216:J5217"/>
    <mergeCell ref="K5216:L5217"/>
    <mergeCell ref="M5216:N5217"/>
    <mergeCell ref="O5216:P5217"/>
    <mergeCell ref="Q5216:R5217"/>
    <mergeCell ref="S5216:T5217"/>
    <mergeCell ref="U5216:V5217"/>
    <mergeCell ref="W5216:W5217"/>
    <mergeCell ref="X5216:AB5216"/>
    <mergeCell ref="AD5216:AI5216"/>
    <mergeCell ref="AJ5216:AL5216"/>
    <mergeCell ref="AN5216:AO5216"/>
    <mergeCell ref="AP5216:AQ5216"/>
    <mergeCell ref="AR5216:AS5217"/>
    <mergeCell ref="AT5216:AU5217"/>
    <mergeCell ref="AV5216:AW5217"/>
    <mergeCell ref="AX5216:AY5217"/>
    <mergeCell ref="AZ5216:AZ5217"/>
    <mergeCell ref="F5217:H5217"/>
    <mergeCell ref="X5217:AB5217"/>
    <mergeCell ref="AE5217:AI5217"/>
    <mergeCell ref="AJ5217:AL5217"/>
    <mergeCell ref="AN5217:AO5217"/>
    <mergeCell ref="AP5217:AQ5217"/>
    <mergeCell ref="A5218:A5219"/>
    <mergeCell ref="E5218:E5219"/>
    <mergeCell ref="F5218:H5218"/>
    <mergeCell ref="J5218:J5219"/>
    <mergeCell ref="K5218:L5219"/>
    <mergeCell ref="M5218:N5219"/>
    <mergeCell ref="O5218:P5219"/>
    <mergeCell ref="Q5218:R5219"/>
    <mergeCell ref="S5218:T5219"/>
    <mergeCell ref="U5218:V5219"/>
    <mergeCell ref="W5218:W5219"/>
    <mergeCell ref="X5218:AB5218"/>
    <mergeCell ref="AD5218:AI5218"/>
    <mergeCell ref="AJ5218:AL5218"/>
    <mergeCell ref="AN5218:AO5218"/>
    <mergeCell ref="AP5218:AQ5218"/>
    <mergeCell ref="AR5218:AS5219"/>
    <mergeCell ref="AT5218:AU5219"/>
    <mergeCell ref="AV5218:AW5219"/>
    <mergeCell ref="AX5218:AY5219"/>
    <mergeCell ref="AZ5218:AZ5219"/>
    <mergeCell ref="F5219:H5219"/>
    <mergeCell ref="X5219:AB5219"/>
    <mergeCell ref="AE5219:AI5219"/>
    <mergeCell ref="AJ5219:AL5219"/>
    <mergeCell ref="AN5219:AO5219"/>
    <mergeCell ref="AP5219:AQ5219"/>
    <mergeCell ref="A5220:A5221"/>
    <mergeCell ref="E5220:E5221"/>
    <mergeCell ref="F5220:H5220"/>
    <mergeCell ref="J5220:J5221"/>
    <mergeCell ref="K5220:L5221"/>
    <mergeCell ref="M5220:N5221"/>
    <mergeCell ref="O5220:P5221"/>
    <mergeCell ref="Q5220:R5221"/>
    <mergeCell ref="S5220:T5221"/>
    <mergeCell ref="U5220:V5221"/>
    <mergeCell ref="W5220:W5221"/>
    <mergeCell ref="X5220:AB5220"/>
    <mergeCell ref="AD5220:AI5220"/>
    <mergeCell ref="AJ5220:AL5220"/>
    <mergeCell ref="AN5220:AO5220"/>
    <mergeCell ref="AP5220:AQ5220"/>
    <mergeCell ref="AR5220:AS5221"/>
    <mergeCell ref="AT5220:AU5221"/>
    <mergeCell ref="AV5220:AW5221"/>
    <mergeCell ref="AX5220:AY5221"/>
    <mergeCell ref="AZ5220:AZ5221"/>
    <mergeCell ref="F5221:H5221"/>
    <mergeCell ref="X5221:AB5221"/>
    <mergeCell ref="AE5221:AI5221"/>
    <mergeCell ref="AJ5221:AL5221"/>
    <mergeCell ref="AN5221:AO5221"/>
    <mergeCell ref="AP5221:AQ5221"/>
    <mergeCell ref="A5222:A5223"/>
    <mergeCell ref="E5222:E5223"/>
    <mergeCell ref="F5222:H5222"/>
    <mergeCell ref="J5222:J5223"/>
    <mergeCell ref="K5222:L5223"/>
    <mergeCell ref="M5222:N5223"/>
    <mergeCell ref="O5222:P5223"/>
    <mergeCell ref="Q5222:R5223"/>
    <mergeCell ref="S5222:T5223"/>
    <mergeCell ref="U5222:V5223"/>
    <mergeCell ref="W5222:W5223"/>
    <mergeCell ref="X5222:AB5222"/>
    <mergeCell ref="AD5222:AI5222"/>
    <mergeCell ref="AJ5222:AL5222"/>
    <mergeCell ref="AN5222:AO5222"/>
    <mergeCell ref="AP5222:AQ5222"/>
    <mergeCell ref="AR5222:AS5223"/>
    <mergeCell ref="AT5222:AU5223"/>
    <mergeCell ref="AV5222:AW5223"/>
    <mergeCell ref="AX5222:AY5223"/>
    <mergeCell ref="AZ5222:AZ5223"/>
    <mergeCell ref="F5223:H5223"/>
    <mergeCell ref="X5223:AB5223"/>
    <mergeCell ref="AE5223:AI5223"/>
    <mergeCell ref="AJ5223:AL5223"/>
    <mergeCell ref="AN5223:AO5223"/>
    <mergeCell ref="AP5223:AQ5223"/>
    <mergeCell ref="A5224:A5225"/>
    <mergeCell ref="E5224:E5225"/>
    <mergeCell ref="F5224:H5224"/>
    <mergeCell ref="J5224:J5225"/>
    <mergeCell ref="K5224:L5225"/>
    <mergeCell ref="M5224:N5225"/>
    <mergeCell ref="O5224:P5225"/>
    <mergeCell ref="Q5224:R5225"/>
    <mergeCell ref="S5224:T5225"/>
    <mergeCell ref="U5224:V5225"/>
    <mergeCell ref="W5224:W5225"/>
    <mergeCell ref="X5224:AB5224"/>
    <mergeCell ref="AD5224:AI5224"/>
    <mergeCell ref="AJ5224:AL5224"/>
    <mergeCell ref="AN5224:AO5224"/>
    <mergeCell ref="AP5224:AQ5224"/>
    <mergeCell ref="AR5224:AS5225"/>
    <mergeCell ref="AT5224:AU5225"/>
    <mergeCell ref="AV5224:AW5225"/>
    <mergeCell ref="AX5224:AY5225"/>
    <mergeCell ref="AZ5224:AZ5225"/>
    <mergeCell ref="F5225:H5225"/>
    <mergeCell ref="X5225:AB5225"/>
    <mergeCell ref="AE5225:AI5225"/>
    <mergeCell ref="AJ5225:AL5225"/>
    <mergeCell ref="AN5225:AO5225"/>
    <mergeCell ref="AP5225:AQ5225"/>
    <mergeCell ref="A5226:A5227"/>
    <mergeCell ref="E5226:E5227"/>
    <mergeCell ref="F5226:H5226"/>
    <mergeCell ref="J5226:J5227"/>
    <mergeCell ref="K5226:L5227"/>
    <mergeCell ref="M5226:N5227"/>
    <mergeCell ref="O5226:P5227"/>
    <mergeCell ref="Q5226:R5227"/>
    <mergeCell ref="S5226:T5227"/>
    <mergeCell ref="U5226:V5227"/>
    <mergeCell ref="W5226:W5227"/>
    <mergeCell ref="X5226:AB5226"/>
    <mergeCell ref="AD5226:AI5226"/>
    <mergeCell ref="AJ5226:AL5226"/>
    <mergeCell ref="AN5226:AO5226"/>
    <mergeCell ref="AP5226:AQ5226"/>
    <mergeCell ref="AR5226:AS5227"/>
    <mergeCell ref="AT5226:AU5227"/>
    <mergeCell ref="AV5226:AW5227"/>
    <mergeCell ref="AX5226:AY5227"/>
    <mergeCell ref="AZ5226:AZ5227"/>
    <mergeCell ref="F5227:H5227"/>
    <mergeCell ref="X5227:AB5227"/>
    <mergeCell ref="AE5227:AI5227"/>
    <mergeCell ref="AJ5227:AL5227"/>
    <mergeCell ref="AN5227:AO5227"/>
    <mergeCell ref="AP5227:AQ5227"/>
    <mergeCell ref="A5228:A5229"/>
    <mergeCell ref="E5228:E5229"/>
    <mergeCell ref="F5228:H5228"/>
    <mergeCell ref="J5228:J5229"/>
    <mergeCell ref="K5228:L5229"/>
    <mergeCell ref="M5228:N5229"/>
    <mergeCell ref="O5228:P5229"/>
    <mergeCell ref="Q5228:R5229"/>
    <mergeCell ref="S5228:T5229"/>
    <mergeCell ref="U5228:V5229"/>
    <mergeCell ref="W5228:W5229"/>
    <mergeCell ref="X5228:AB5228"/>
    <mergeCell ref="AD5228:AI5228"/>
    <mergeCell ref="AJ5228:AL5228"/>
    <mergeCell ref="AN5228:AO5228"/>
    <mergeCell ref="AP5228:AQ5228"/>
    <mergeCell ref="AR5228:AS5229"/>
    <mergeCell ref="AT5228:AU5229"/>
    <mergeCell ref="AV5228:AW5229"/>
    <mergeCell ref="AX5228:AY5229"/>
    <mergeCell ref="AZ5228:AZ5229"/>
    <mergeCell ref="F5229:H5229"/>
    <mergeCell ref="X5229:AB5229"/>
    <mergeCell ref="AE5229:AI5229"/>
    <mergeCell ref="AJ5229:AL5229"/>
    <mergeCell ref="AN5229:AO5229"/>
    <mergeCell ref="AP5229:AQ5229"/>
    <mergeCell ref="A5230:A5231"/>
    <mergeCell ref="E5230:E5231"/>
    <mergeCell ref="F5230:H5230"/>
    <mergeCell ref="J5230:J5231"/>
    <mergeCell ref="K5230:L5231"/>
    <mergeCell ref="M5230:N5231"/>
    <mergeCell ref="O5230:P5231"/>
    <mergeCell ref="Q5230:R5231"/>
    <mergeCell ref="S5230:T5231"/>
    <mergeCell ref="U5230:V5231"/>
    <mergeCell ref="W5230:W5231"/>
    <mergeCell ref="X5230:AB5230"/>
    <mergeCell ref="AD5230:AI5230"/>
    <mergeCell ref="AJ5230:AL5230"/>
    <mergeCell ref="AN5230:AO5230"/>
    <mergeCell ref="AP5230:AQ5230"/>
    <mergeCell ref="AR5230:AS5231"/>
    <mergeCell ref="AT5230:AU5231"/>
    <mergeCell ref="AV5230:AW5231"/>
    <mergeCell ref="AX5230:AY5231"/>
    <mergeCell ref="AZ5230:AZ5231"/>
    <mergeCell ref="F5231:H5231"/>
    <mergeCell ref="X5231:AB5231"/>
    <mergeCell ref="AE5231:AI5231"/>
    <mergeCell ref="AJ5231:AL5231"/>
    <mergeCell ref="AN5231:AO5231"/>
    <mergeCell ref="AP5231:AQ5231"/>
    <mergeCell ref="A5232:A5233"/>
    <mergeCell ref="E5232:E5233"/>
    <mergeCell ref="F5232:H5232"/>
    <mergeCell ref="J5232:J5233"/>
    <mergeCell ref="K5232:L5233"/>
    <mergeCell ref="M5232:N5233"/>
    <mergeCell ref="O5232:P5233"/>
    <mergeCell ref="Q5232:R5233"/>
    <mergeCell ref="S5232:T5233"/>
    <mergeCell ref="U5232:V5233"/>
    <mergeCell ref="W5232:W5233"/>
    <mergeCell ref="X5232:AB5232"/>
    <mergeCell ref="AD5232:AI5232"/>
    <mergeCell ref="AJ5232:AL5232"/>
    <mergeCell ref="AN5232:AO5232"/>
    <mergeCell ref="AP5232:AQ5232"/>
    <mergeCell ref="AR5232:AS5233"/>
    <mergeCell ref="AT5232:AU5233"/>
    <mergeCell ref="AV5232:AW5233"/>
    <mergeCell ref="AX5232:AY5233"/>
    <mergeCell ref="AZ5232:AZ5233"/>
    <mergeCell ref="F5233:H5233"/>
    <mergeCell ref="X5233:AB5233"/>
    <mergeCell ref="AE5233:AI5233"/>
    <mergeCell ref="AJ5233:AL5233"/>
    <mergeCell ref="AN5233:AO5233"/>
    <mergeCell ref="AP5233:AQ5233"/>
    <mergeCell ref="A5234:A5235"/>
    <mergeCell ref="E5234:E5235"/>
    <mergeCell ref="F5234:H5234"/>
    <mergeCell ref="J5234:J5235"/>
    <mergeCell ref="K5234:L5235"/>
    <mergeCell ref="M5234:N5235"/>
    <mergeCell ref="O5234:P5235"/>
    <mergeCell ref="Q5234:R5235"/>
    <mergeCell ref="S5234:T5235"/>
    <mergeCell ref="U5234:V5235"/>
    <mergeCell ref="W5234:W5235"/>
    <mergeCell ref="X5234:AB5234"/>
    <mergeCell ref="AD5234:AI5234"/>
    <mergeCell ref="AJ5234:AL5234"/>
    <mergeCell ref="AN5234:AO5234"/>
    <mergeCell ref="AP5234:AQ5234"/>
    <mergeCell ref="AR5234:AS5235"/>
    <mergeCell ref="AT5234:AU5235"/>
    <mergeCell ref="AV5234:AW5235"/>
    <mergeCell ref="AX5234:AY5235"/>
    <mergeCell ref="AZ5234:AZ5235"/>
    <mergeCell ref="F5235:H5235"/>
    <mergeCell ref="X5235:AB5235"/>
    <mergeCell ref="AE5235:AI5235"/>
    <mergeCell ref="AJ5235:AL5235"/>
    <mergeCell ref="AN5235:AO5235"/>
    <mergeCell ref="AP5235:AQ5235"/>
    <mergeCell ref="A5236:A5237"/>
    <mergeCell ref="E5236:E5237"/>
    <mergeCell ref="F5236:H5236"/>
    <mergeCell ref="J5236:J5237"/>
    <mergeCell ref="K5236:L5237"/>
    <mergeCell ref="M5236:N5237"/>
    <mergeCell ref="O5236:P5237"/>
    <mergeCell ref="Q5236:R5237"/>
    <mergeCell ref="S5236:T5237"/>
    <mergeCell ref="U5236:V5237"/>
    <mergeCell ref="W5236:W5237"/>
    <mergeCell ref="X5236:AB5236"/>
    <mergeCell ref="AD5236:AI5236"/>
    <mergeCell ref="AJ5236:AL5236"/>
    <mergeCell ref="AN5236:AO5236"/>
    <mergeCell ref="AP5236:AQ5236"/>
    <mergeCell ref="AR5236:AS5237"/>
    <mergeCell ref="AT5236:AU5237"/>
    <mergeCell ref="AV5236:AW5237"/>
    <mergeCell ref="AX5236:AY5237"/>
    <mergeCell ref="AZ5236:AZ5237"/>
    <mergeCell ref="F5237:H5237"/>
    <mergeCell ref="X5237:AB5237"/>
    <mergeCell ref="AE5237:AI5237"/>
    <mergeCell ref="AJ5237:AL5237"/>
    <mergeCell ref="AN5237:AO5237"/>
    <mergeCell ref="AP5237:AQ5237"/>
    <mergeCell ref="A5238:A5239"/>
    <mergeCell ref="E5238:E5239"/>
    <mergeCell ref="F5238:H5238"/>
    <mergeCell ref="J5238:J5239"/>
    <mergeCell ref="K5238:L5239"/>
    <mergeCell ref="M5238:N5239"/>
    <mergeCell ref="O5238:P5239"/>
    <mergeCell ref="Q5238:R5239"/>
    <mergeCell ref="S5238:T5239"/>
    <mergeCell ref="U5238:V5239"/>
    <mergeCell ref="W5238:W5239"/>
    <mergeCell ref="X5238:AB5238"/>
    <mergeCell ref="AD5238:AI5238"/>
    <mergeCell ref="AJ5238:AL5238"/>
    <mergeCell ref="AN5238:AO5238"/>
    <mergeCell ref="AP5238:AQ5238"/>
    <mergeCell ref="AR5238:AS5239"/>
    <mergeCell ref="AT5238:AU5239"/>
    <mergeCell ref="AV5238:AW5239"/>
    <mergeCell ref="AX5238:AY5239"/>
    <mergeCell ref="AZ5238:AZ5239"/>
    <mergeCell ref="F5239:H5239"/>
    <mergeCell ref="X5239:AB5239"/>
    <mergeCell ref="AE5239:AI5239"/>
    <mergeCell ref="AJ5239:AL5239"/>
    <mergeCell ref="AN5239:AO5239"/>
    <mergeCell ref="AP5239:AQ5239"/>
    <mergeCell ref="A5240:A5241"/>
    <mergeCell ref="E5240:E5241"/>
    <mergeCell ref="F5240:H5240"/>
    <mergeCell ref="J5240:J5241"/>
    <mergeCell ref="K5240:L5241"/>
    <mergeCell ref="M5240:N5241"/>
    <mergeCell ref="O5240:P5241"/>
    <mergeCell ref="Q5240:R5241"/>
    <mergeCell ref="S5240:T5241"/>
    <mergeCell ref="U5240:V5241"/>
    <mergeCell ref="W5240:W5241"/>
    <mergeCell ref="X5240:AB5240"/>
    <mergeCell ref="AD5240:AI5240"/>
    <mergeCell ref="AJ5240:AL5240"/>
    <mergeCell ref="AN5240:AO5240"/>
    <mergeCell ref="AP5240:AQ5240"/>
    <mergeCell ref="AR5240:AS5241"/>
    <mergeCell ref="AT5240:AU5241"/>
    <mergeCell ref="AV5240:AW5241"/>
    <mergeCell ref="AX5240:AY5241"/>
    <mergeCell ref="AZ5240:AZ5241"/>
    <mergeCell ref="F5241:H5241"/>
    <mergeCell ref="X5241:AB5241"/>
    <mergeCell ref="AE5241:AI5241"/>
    <mergeCell ref="AJ5241:AL5241"/>
    <mergeCell ref="AN5241:AO5241"/>
    <mergeCell ref="AP5241:AQ5241"/>
    <mergeCell ref="A5242:A5243"/>
    <mergeCell ref="E5242:E5243"/>
    <mergeCell ref="F5242:H5242"/>
    <mergeCell ref="J5242:J5243"/>
    <mergeCell ref="K5242:L5243"/>
    <mergeCell ref="M5242:N5243"/>
    <mergeCell ref="O5242:P5243"/>
    <mergeCell ref="Q5242:R5243"/>
    <mergeCell ref="S5242:T5243"/>
    <mergeCell ref="U5242:V5243"/>
    <mergeCell ref="W5242:W5243"/>
    <mergeCell ref="X5242:AB5242"/>
    <mergeCell ref="AD5242:AI5242"/>
    <mergeCell ref="AJ5242:AL5242"/>
    <mergeCell ref="AN5242:AO5242"/>
    <mergeCell ref="AP5242:AQ5242"/>
    <mergeCell ref="AR5242:AS5243"/>
    <mergeCell ref="AT5242:AU5243"/>
    <mergeCell ref="AV5242:AW5243"/>
    <mergeCell ref="AX5242:AY5243"/>
    <mergeCell ref="AZ5242:AZ5243"/>
    <mergeCell ref="F5243:H5243"/>
    <mergeCell ref="X5243:AB5243"/>
    <mergeCell ref="AE5243:AI5243"/>
    <mergeCell ref="AJ5243:AL5243"/>
    <mergeCell ref="AN5243:AO5243"/>
    <mergeCell ref="AP5243:AQ5243"/>
    <mergeCell ref="A5244:A5245"/>
    <mergeCell ref="E5244:E5245"/>
    <mergeCell ref="F5244:H5244"/>
    <mergeCell ref="J5244:J5245"/>
    <mergeCell ref="K5244:L5245"/>
    <mergeCell ref="M5244:N5245"/>
    <mergeCell ref="O5244:P5245"/>
    <mergeCell ref="Q5244:R5245"/>
    <mergeCell ref="S5244:T5245"/>
    <mergeCell ref="U5244:V5245"/>
    <mergeCell ref="W5244:W5245"/>
    <mergeCell ref="X5244:AB5244"/>
    <mergeCell ref="AD5244:AI5244"/>
    <mergeCell ref="AJ5244:AL5244"/>
    <mergeCell ref="AN5244:AO5244"/>
    <mergeCell ref="AP5244:AQ5244"/>
    <mergeCell ref="AR5244:AS5245"/>
    <mergeCell ref="AT5244:AU5245"/>
    <mergeCell ref="AV5244:AW5245"/>
    <mergeCell ref="AX5244:AY5245"/>
    <mergeCell ref="AZ5244:AZ5245"/>
    <mergeCell ref="F5245:H5245"/>
    <mergeCell ref="X5245:AB5245"/>
    <mergeCell ref="AE5245:AI5245"/>
    <mergeCell ref="AJ5245:AL5245"/>
    <mergeCell ref="AN5245:AO5245"/>
    <mergeCell ref="AP5245:AQ5245"/>
    <mergeCell ref="A5246:A5247"/>
    <mergeCell ref="E5246:E5247"/>
    <mergeCell ref="F5246:H5246"/>
    <mergeCell ref="J5246:J5247"/>
    <mergeCell ref="K5246:L5247"/>
    <mergeCell ref="M5246:N5247"/>
    <mergeCell ref="O5246:P5247"/>
    <mergeCell ref="Q5246:R5247"/>
    <mergeCell ref="S5246:T5247"/>
    <mergeCell ref="U5246:V5247"/>
    <mergeCell ref="W5246:W5247"/>
    <mergeCell ref="X5246:AB5246"/>
    <mergeCell ref="AD5246:AI5246"/>
    <mergeCell ref="AJ5246:AL5246"/>
    <mergeCell ref="AN5246:AO5246"/>
    <mergeCell ref="AP5246:AQ5246"/>
    <mergeCell ref="AR5246:AS5247"/>
    <mergeCell ref="AT5246:AU5247"/>
    <mergeCell ref="AV5246:AW5247"/>
    <mergeCell ref="AX5246:AY5247"/>
    <mergeCell ref="AZ5246:AZ5247"/>
    <mergeCell ref="F5247:H5247"/>
    <mergeCell ref="X5247:AB5247"/>
    <mergeCell ref="AE5247:AI5247"/>
    <mergeCell ref="AJ5247:AL5247"/>
    <mergeCell ref="AN5247:AO5247"/>
    <mergeCell ref="AP5247:AQ5247"/>
    <mergeCell ref="A5248:A5249"/>
    <mergeCell ref="E5248:E5249"/>
    <mergeCell ref="F5248:H5248"/>
    <mergeCell ref="J5248:J5249"/>
    <mergeCell ref="K5248:L5249"/>
    <mergeCell ref="M5248:N5249"/>
    <mergeCell ref="O5248:P5249"/>
    <mergeCell ref="Q5248:R5249"/>
    <mergeCell ref="S5248:T5249"/>
    <mergeCell ref="U5248:V5249"/>
    <mergeCell ref="W5248:W5249"/>
    <mergeCell ref="X5248:AB5248"/>
    <mergeCell ref="AD5248:AI5248"/>
    <mergeCell ref="AJ5248:AL5248"/>
    <mergeCell ref="AN5248:AO5248"/>
    <mergeCell ref="AP5248:AQ5248"/>
    <mergeCell ref="AR5248:AS5249"/>
    <mergeCell ref="AT5248:AU5249"/>
    <mergeCell ref="AV5248:AW5249"/>
    <mergeCell ref="AX5248:AY5249"/>
    <mergeCell ref="AZ5248:AZ5249"/>
    <mergeCell ref="F5249:H5249"/>
    <mergeCell ref="X5249:AB5249"/>
    <mergeCell ref="AE5249:AI5249"/>
    <mergeCell ref="AJ5249:AL5249"/>
    <mergeCell ref="AN5249:AO5249"/>
    <mergeCell ref="AP5249:AQ5249"/>
    <mergeCell ref="A5250:A5251"/>
    <mergeCell ref="E5250:E5251"/>
    <mergeCell ref="F5250:H5250"/>
    <mergeCell ref="J5250:J5251"/>
    <mergeCell ref="K5250:L5251"/>
    <mergeCell ref="M5250:N5251"/>
    <mergeCell ref="O5250:P5251"/>
    <mergeCell ref="Q5250:R5251"/>
    <mergeCell ref="S5250:T5251"/>
    <mergeCell ref="U5250:V5251"/>
    <mergeCell ref="W5250:W5251"/>
    <mergeCell ref="X5250:AB5250"/>
    <mergeCell ref="AD5250:AI5250"/>
    <mergeCell ref="AJ5250:AL5250"/>
    <mergeCell ref="AN5250:AO5250"/>
    <mergeCell ref="AP5250:AQ5250"/>
    <mergeCell ref="AR5250:AS5251"/>
    <mergeCell ref="AT5250:AU5251"/>
    <mergeCell ref="AV5250:AW5251"/>
    <mergeCell ref="AX5250:AY5251"/>
    <mergeCell ref="AZ5250:AZ5251"/>
    <mergeCell ref="F5251:H5251"/>
    <mergeCell ref="X5251:AB5251"/>
    <mergeCell ref="AE5251:AI5251"/>
    <mergeCell ref="AJ5251:AL5251"/>
    <mergeCell ref="AN5251:AO5251"/>
    <mergeCell ref="AP5251:AQ5251"/>
    <mergeCell ref="A5252:A5253"/>
    <mergeCell ref="E5252:E5253"/>
    <mergeCell ref="F5252:H5252"/>
    <mergeCell ref="J5252:J5253"/>
    <mergeCell ref="K5252:L5253"/>
    <mergeCell ref="M5252:N5253"/>
    <mergeCell ref="O5252:P5253"/>
    <mergeCell ref="Q5252:R5253"/>
    <mergeCell ref="S5252:T5253"/>
    <mergeCell ref="U5252:V5253"/>
    <mergeCell ref="W5252:W5253"/>
    <mergeCell ref="X5252:AB5252"/>
    <mergeCell ref="AD5252:AI5252"/>
    <mergeCell ref="AJ5252:AL5252"/>
    <mergeCell ref="AN5252:AO5252"/>
    <mergeCell ref="AP5252:AQ5252"/>
    <mergeCell ref="AR5252:AS5253"/>
    <mergeCell ref="AT5252:AU5253"/>
    <mergeCell ref="AV5252:AW5253"/>
    <mergeCell ref="AX5252:AY5253"/>
    <mergeCell ref="AZ5252:AZ5253"/>
    <mergeCell ref="F5253:H5253"/>
    <mergeCell ref="X5253:AB5253"/>
    <mergeCell ref="AE5253:AI5253"/>
    <mergeCell ref="AJ5253:AL5253"/>
    <mergeCell ref="AN5253:AO5253"/>
    <mergeCell ref="AP5253:AQ5253"/>
    <mergeCell ref="A5254:A5255"/>
    <mergeCell ref="E5254:E5255"/>
    <mergeCell ref="F5254:H5254"/>
    <mergeCell ref="J5254:J5255"/>
    <mergeCell ref="K5254:L5255"/>
    <mergeCell ref="M5254:N5255"/>
    <mergeCell ref="O5254:P5255"/>
    <mergeCell ref="Q5254:R5255"/>
    <mergeCell ref="S5254:T5255"/>
    <mergeCell ref="U5254:V5255"/>
    <mergeCell ref="W5254:W5255"/>
    <mergeCell ref="X5254:AB5254"/>
    <mergeCell ref="AD5254:AI5254"/>
    <mergeCell ref="AJ5254:AL5254"/>
    <mergeCell ref="AN5254:AO5254"/>
    <mergeCell ref="AP5254:AQ5254"/>
    <mergeCell ref="AR5254:AS5255"/>
    <mergeCell ref="AT5254:AU5255"/>
    <mergeCell ref="AV5254:AW5255"/>
    <mergeCell ref="AX5254:AY5255"/>
    <mergeCell ref="AZ5254:AZ5255"/>
    <mergeCell ref="F5255:H5255"/>
    <mergeCell ref="X5255:AB5255"/>
    <mergeCell ref="AE5255:AI5255"/>
    <mergeCell ref="AJ5255:AL5255"/>
    <mergeCell ref="AN5255:AO5255"/>
    <mergeCell ref="AP5255:AQ5255"/>
    <mergeCell ref="A5256:A5257"/>
    <mergeCell ref="E5256:E5257"/>
    <mergeCell ref="F5256:H5256"/>
    <mergeCell ref="J5256:J5257"/>
    <mergeCell ref="K5256:L5257"/>
    <mergeCell ref="M5256:N5257"/>
    <mergeCell ref="O5256:P5257"/>
    <mergeCell ref="Q5256:R5257"/>
    <mergeCell ref="S5256:T5257"/>
    <mergeCell ref="U5256:V5257"/>
    <mergeCell ref="W5256:W5257"/>
    <mergeCell ref="X5256:AB5256"/>
    <mergeCell ref="AD5256:AI5256"/>
    <mergeCell ref="AJ5256:AL5256"/>
    <mergeCell ref="AN5256:AO5256"/>
    <mergeCell ref="AP5256:AQ5256"/>
    <mergeCell ref="AR5256:AS5257"/>
    <mergeCell ref="AT5256:AU5257"/>
    <mergeCell ref="AV5256:AW5257"/>
    <mergeCell ref="AX5256:AY5257"/>
    <mergeCell ref="AZ5256:AZ5257"/>
    <mergeCell ref="F5257:H5257"/>
    <mergeCell ref="X5257:AB5257"/>
    <mergeCell ref="AE5257:AI5257"/>
    <mergeCell ref="AJ5257:AL5257"/>
    <mergeCell ref="AN5257:AO5257"/>
    <mergeCell ref="AP5257:AQ5257"/>
    <mergeCell ref="A5258:A5259"/>
    <mergeCell ref="E5258:E5259"/>
    <mergeCell ref="F5258:H5258"/>
    <mergeCell ref="J5258:J5259"/>
    <mergeCell ref="K5258:L5259"/>
    <mergeCell ref="M5258:N5259"/>
    <mergeCell ref="O5258:P5259"/>
    <mergeCell ref="Q5258:R5259"/>
    <mergeCell ref="S5258:T5259"/>
    <mergeCell ref="U5258:V5259"/>
    <mergeCell ref="W5258:W5259"/>
    <mergeCell ref="X5258:AB5258"/>
    <mergeCell ref="AD5258:AI5258"/>
    <mergeCell ref="AJ5258:AL5258"/>
    <mergeCell ref="AN5258:AO5258"/>
    <mergeCell ref="AP5258:AQ5258"/>
    <mergeCell ref="AR5258:AS5259"/>
    <mergeCell ref="AT5258:AU5259"/>
    <mergeCell ref="AV5258:AW5259"/>
    <mergeCell ref="AX5258:AY5259"/>
    <mergeCell ref="AZ5258:AZ5259"/>
    <mergeCell ref="F5259:H5259"/>
    <mergeCell ref="X5259:AB5259"/>
    <mergeCell ref="AE5259:AI5259"/>
    <mergeCell ref="AJ5259:AL5259"/>
    <mergeCell ref="AN5259:AO5259"/>
    <mergeCell ref="AP5259:AQ5259"/>
    <mergeCell ref="A5260:A5261"/>
    <mergeCell ref="E5260:E5261"/>
    <mergeCell ref="F5260:H5260"/>
    <mergeCell ref="J5260:J5261"/>
    <mergeCell ref="K5260:L5261"/>
    <mergeCell ref="M5260:N5261"/>
    <mergeCell ref="O5260:P5261"/>
    <mergeCell ref="Q5260:R5261"/>
    <mergeCell ref="S5260:T5261"/>
    <mergeCell ref="U5260:V5261"/>
    <mergeCell ref="W5260:W5261"/>
    <mergeCell ref="X5260:AB5260"/>
    <mergeCell ref="AD5260:AI5260"/>
    <mergeCell ref="AJ5260:AL5260"/>
    <mergeCell ref="AN5260:AO5260"/>
    <mergeCell ref="AP5260:AQ5260"/>
    <mergeCell ref="AR5260:AS5261"/>
    <mergeCell ref="AT5260:AU5261"/>
    <mergeCell ref="AV5260:AW5261"/>
    <mergeCell ref="AX5260:AY5261"/>
    <mergeCell ref="AZ5260:AZ5261"/>
    <mergeCell ref="F5261:H5261"/>
    <mergeCell ref="X5261:AB5261"/>
    <mergeCell ref="AE5261:AI5261"/>
    <mergeCell ref="AJ5261:AL5261"/>
    <mergeCell ref="AN5261:AO5261"/>
    <mergeCell ref="AP5261:AQ5261"/>
    <mergeCell ref="A5262:A5263"/>
    <mergeCell ref="E5262:E5263"/>
    <mergeCell ref="F5262:H5262"/>
    <mergeCell ref="J5262:J5263"/>
    <mergeCell ref="K5262:L5263"/>
    <mergeCell ref="M5262:N5263"/>
    <mergeCell ref="O5262:P5263"/>
    <mergeCell ref="Q5262:R5263"/>
    <mergeCell ref="S5262:T5263"/>
    <mergeCell ref="U5262:V5263"/>
    <mergeCell ref="W5262:W5263"/>
    <mergeCell ref="X5262:AB5262"/>
    <mergeCell ref="AD5262:AI5262"/>
    <mergeCell ref="AJ5262:AL5262"/>
    <mergeCell ref="AN5262:AO5262"/>
    <mergeCell ref="AP5262:AQ5262"/>
    <mergeCell ref="AR5262:AS5263"/>
    <mergeCell ref="AT5262:AU5263"/>
    <mergeCell ref="AV5262:AW5263"/>
    <mergeCell ref="AX5262:AY5263"/>
    <mergeCell ref="AZ5262:AZ5263"/>
    <mergeCell ref="F5263:H5263"/>
    <mergeCell ref="X5263:AB5263"/>
    <mergeCell ref="AE5263:AI5263"/>
    <mergeCell ref="AJ5263:AL5263"/>
    <mergeCell ref="AN5263:AO5263"/>
    <mergeCell ref="AP5263:AQ5263"/>
    <mergeCell ref="A5264:A5265"/>
    <mergeCell ref="E5264:E5265"/>
    <mergeCell ref="F5264:H5264"/>
    <mergeCell ref="J5264:J5265"/>
    <mergeCell ref="K5264:L5265"/>
    <mergeCell ref="M5264:N5265"/>
    <mergeCell ref="O5264:P5265"/>
    <mergeCell ref="Q5264:R5265"/>
    <mergeCell ref="S5264:T5265"/>
    <mergeCell ref="U5264:V5265"/>
    <mergeCell ref="W5264:W5265"/>
    <mergeCell ref="X5264:AB5264"/>
    <mergeCell ref="AD5264:AI5264"/>
    <mergeCell ref="AJ5264:AL5264"/>
    <mergeCell ref="AN5264:AO5264"/>
    <mergeCell ref="AP5264:AQ5264"/>
    <mergeCell ref="AR5264:AS5265"/>
    <mergeCell ref="AT5264:AU5265"/>
    <mergeCell ref="AV5264:AW5265"/>
    <mergeCell ref="AX5264:AY5265"/>
    <mergeCell ref="AZ5264:AZ5265"/>
    <mergeCell ref="F5265:H5265"/>
    <mergeCell ref="X5265:AB5265"/>
    <mergeCell ref="AE5265:AI5265"/>
    <mergeCell ref="AJ5265:AL5265"/>
    <mergeCell ref="AN5265:AO5265"/>
    <mergeCell ref="AP5265:AQ5265"/>
    <mergeCell ref="A5266:A5267"/>
    <mergeCell ref="E5266:E5267"/>
    <mergeCell ref="F5266:H5266"/>
    <mergeCell ref="J5266:J5267"/>
    <mergeCell ref="K5266:L5267"/>
    <mergeCell ref="M5266:N5267"/>
    <mergeCell ref="O5266:P5267"/>
    <mergeCell ref="Q5266:R5267"/>
    <mergeCell ref="S5266:T5267"/>
    <mergeCell ref="U5266:V5267"/>
    <mergeCell ref="W5266:W5267"/>
    <mergeCell ref="X5266:AB5266"/>
    <mergeCell ref="AD5266:AI5266"/>
    <mergeCell ref="AJ5266:AL5266"/>
    <mergeCell ref="AN5266:AO5266"/>
    <mergeCell ref="AP5266:AQ5266"/>
    <mergeCell ref="AR5266:AS5267"/>
    <mergeCell ref="AT5266:AU5267"/>
    <mergeCell ref="AV5266:AW5267"/>
    <mergeCell ref="AX5266:AY5267"/>
    <mergeCell ref="AZ5266:AZ5267"/>
    <mergeCell ref="F5267:H5267"/>
    <mergeCell ref="X5267:AB5267"/>
    <mergeCell ref="AE5267:AI5267"/>
    <mergeCell ref="AJ5267:AL5267"/>
    <mergeCell ref="AN5267:AO5267"/>
    <mergeCell ref="AP5267:AQ5267"/>
    <mergeCell ref="A5268:A5269"/>
    <mergeCell ref="E5268:E5269"/>
    <mergeCell ref="F5268:H5268"/>
    <mergeCell ref="J5268:J5269"/>
    <mergeCell ref="K5268:L5269"/>
    <mergeCell ref="M5268:N5269"/>
    <mergeCell ref="O5268:P5269"/>
    <mergeCell ref="Q5268:R5269"/>
    <mergeCell ref="S5268:T5269"/>
    <mergeCell ref="U5268:V5269"/>
    <mergeCell ref="W5268:W5269"/>
    <mergeCell ref="X5268:AB5268"/>
    <mergeCell ref="AD5268:AI5268"/>
    <mergeCell ref="AJ5268:AL5268"/>
    <mergeCell ref="AN5268:AO5268"/>
    <mergeCell ref="AP5268:AQ5268"/>
    <mergeCell ref="AR5268:AS5269"/>
    <mergeCell ref="AT5268:AU5269"/>
    <mergeCell ref="AV5268:AW5269"/>
    <mergeCell ref="AX5268:AY5269"/>
    <mergeCell ref="AZ5268:AZ5269"/>
    <mergeCell ref="F5269:H5269"/>
    <mergeCell ref="X5269:AB5269"/>
    <mergeCell ref="AE5269:AI5269"/>
    <mergeCell ref="AJ5269:AL5269"/>
    <mergeCell ref="AN5269:AO5269"/>
    <mergeCell ref="AP5269:AQ5269"/>
    <mergeCell ref="A5270:A5271"/>
    <mergeCell ref="E5270:E5271"/>
    <mergeCell ref="F5270:H5270"/>
    <mergeCell ref="J5270:J5271"/>
    <mergeCell ref="K5270:L5271"/>
    <mergeCell ref="M5270:N5271"/>
    <mergeCell ref="O5270:P5271"/>
    <mergeCell ref="Q5270:R5271"/>
    <mergeCell ref="S5270:T5271"/>
    <mergeCell ref="U5270:V5271"/>
    <mergeCell ref="W5270:W5271"/>
    <mergeCell ref="X5270:AB5270"/>
    <mergeCell ref="AD5270:AI5270"/>
    <mergeCell ref="AJ5270:AL5270"/>
    <mergeCell ref="AN5270:AO5270"/>
    <mergeCell ref="AP5270:AQ5270"/>
    <mergeCell ref="AR5270:AS5271"/>
    <mergeCell ref="AT5270:AU5271"/>
    <mergeCell ref="AV5270:AW5271"/>
    <mergeCell ref="AX5270:AY5271"/>
    <mergeCell ref="AZ5270:AZ5271"/>
    <mergeCell ref="F5271:H5271"/>
    <mergeCell ref="X5271:AB5271"/>
    <mergeCell ref="AE5271:AI5271"/>
    <mergeCell ref="AJ5271:AL5271"/>
    <mergeCell ref="AN5271:AO5271"/>
    <mergeCell ref="AP5271:AQ5271"/>
    <mergeCell ref="A5272:A5273"/>
    <mergeCell ref="E5272:E5273"/>
    <mergeCell ref="F5272:H5272"/>
    <mergeCell ref="J5272:J5273"/>
    <mergeCell ref="K5272:L5273"/>
    <mergeCell ref="M5272:N5273"/>
    <mergeCell ref="O5272:P5273"/>
    <mergeCell ref="Q5272:R5273"/>
    <mergeCell ref="S5272:T5273"/>
    <mergeCell ref="U5272:V5273"/>
    <mergeCell ref="W5272:W5273"/>
    <mergeCell ref="X5272:AB5272"/>
    <mergeCell ref="AD5272:AI5272"/>
    <mergeCell ref="AJ5272:AL5272"/>
    <mergeCell ref="AN5272:AO5272"/>
    <mergeCell ref="AP5272:AQ5272"/>
    <mergeCell ref="AR5272:AS5273"/>
    <mergeCell ref="AT5272:AU5273"/>
    <mergeCell ref="AV5272:AW5273"/>
    <mergeCell ref="AX5272:AY5273"/>
    <mergeCell ref="AZ5272:AZ5273"/>
    <mergeCell ref="F5273:H5273"/>
    <mergeCell ref="X5273:AB5273"/>
    <mergeCell ref="AE5273:AI5273"/>
    <mergeCell ref="AJ5273:AL5273"/>
    <mergeCell ref="AN5273:AO5273"/>
    <mergeCell ref="AP5273:AQ5273"/>
    <mergeCell ref="A5274:A5275"/>
    <mergeCell ref="E5274:E5275"/>
    <mergeCell ref="F5274:H5274"/>
    <mergeCell ref="J5274:J5275"/>
    <mergeCell ref="K5274:L5275"/>
    <mergeCell ref="M5274:N5275"/>
    <mergeCell ref="O5274:P5275"/>
    <mergeCell ref="Q5274:R5275"/>
    <mergeCell ref="S5274:T5275"/>
    <mergeCell ref="U5274:V5275"/>
    <mergeCell ref="W5274:W5275"/>
    <mergeCell ref="X5274:AB5274"/>
    <mergeCell ref="AD5274:AI5274"/>
    <mergeCell ref="AJ5274:AL5274"/>
    <mergeCell ref="AN5274:AO5274"/>
    <mergeCell ref="AP5274:AQ5274"/>
    <mergeCell ref="AR5274:AS5275"/>
    <mergeCell ref="AT5274:AU5275"/>
    <mergeCell ref="AV5274:AW5275"/>
    <mergeCell ref="AX5274:AY5275"/>
    <mergeCell ref="AZ5274:AZ5275"/>
    <mergeCell ref="F5275:H5275"/>
    <mergeCell ref="X5275:AB5275"/>
    <mergeCell ref="AE5275:AI5275"/>
    <mergeCell ref="AJ5275:AL5275"/>
    <mergeCell ref="AN5275:AO5275"/>
    <mergeCell ref="AP5275:AQ5275"/>
    <mergeCell ref="A5276:A5277"/>
    <mergeCell ref="E5276:E5277"/>
    <mergeCell ref="F5276:H5276"/>
    <mergeCell ref="J5276:J5277"/>
    <mergeCell ref="K5276:L5277"/>
    <mergeCell ref="M5276:N5277"/>
    <mergeCell ref="O5276:P5277"/>
    <mergeCell ref="Q5276:R5277"/>
    <mergeCell ref="S5276:T5277"/>
    <mergeCell ref="U5276:V5277"/>
    <mergeCell ref="W5276:W5277"/>
    <mergeCell ref="X5276:AB5276"/>
    <mergeCell ref="AD5276:AI5276"/>
    <mergeCell ref="AJ5276:AL5276"/>
    <mergeCell ref="AN5276:AO5276"/>
    <mergeCell ref="AP5276:AQ5276"/>
    <mergeCell ref="AR5276:AS5277"/>
    <mergeCell ref="AT5276:AU5277"/>
    <mergeCell ref="AV5276:AW5277"/>
    <mergeCell ref="AX5276:AY5277"/>
    <mergeCell ref="AZ5276:AZ5277"/>
    <mergeCell ref="F5277:H5277"/>
    <mergeCell ref="X5277:AB5277"/>
    <mergeCell ref="AE5277:AI5277"/>
    <mergeCell ref="AJ5277:AL5277"/>
    <mergeCell ref="AN5277:AO5277"/>
    <mergeCell ref="AP5277:AQ5277"/>
    <mergeCell ref="A5278:A5279"/>
    <mergeCell ref="E5278:E5279"/>
    <mergeCell ref="F5278:H5278"/>
    <mergeCell ref="J5278:J5279"/>
    <mergeCell ref="K5278:L5279"/>
    <mergeCell ref="M5278:N5279"/>
    <mergeCell ref="O5278:P5279"/>
    <mergeCell ref="Q5278:R5279"/>
    <mergeCell ref="S5278:T5279"/>
    <mergeCell ref="U5278:V5279"/>
    <mergeCell ref="W5278:W5279"/>
    <mergeCell ref="X5278:AB5278"/>
    <mergeCell ref="AD5278:AI5278"/>
    <mergeCell ref="AJ5278:AL5278"/>
    <mergeCell ref="AN5278:AO5278"/>
    <mergeCell ref="AP5278:AQ5278"/>
    <mergeCell ref="AR5278:AS5279"/>
    <mergeCell ref="AT5278:AU5279"/>
    <mergeCell ref="AV5278:AW5279"/>
    <mergeCell ref="AX5278:AY5279"/>
    <mergeCell ref="AZ5278:AZ5279"/>
    <mergeCell ref="F5279:H5279"/>
    <mergeCell ref="X5279:AB5279"/>
    <mergeCell ref="AE5279:AI5279"/>
    <mergeCell ref="AJ5279:AL5279"/>
    <mergeCell ref="AN5279:AO5279"/>
    <mergeCell ref="AP5279:AQ5279"/>
    <mergeCell ref="A5280:A5281"/>
    <mergeCell ref="E5280:E5281"/>
    <mergeCell ref="F5280:H5280"/>
    <mergeCell ref="J5280:J5281"/>
    <mergeCell ref="K5280:L5281"/>
    <mergeCell ref="M5280:N5281"/>
    <mergeCell ref="O5280:P5281"/>
    <mergeCell ref="Q5280:R5281"/>
    <mergeCell ref="S5280:T5281"/>
    <mergeCell ref="U5280:V5281"/>
    <mergeCell ref="W5280:W5281"/>
    <mergeCell ref="X5280:AB5280"/>
    <mergeCell ref="AD5280:AI5280"/>
    <mergeCell ref="AJ5280:AL5280"/>
    <mergeCell ref="AN5280:AO5280"/>
    <mergeCell ref="AP5280:AQ5280"/>
    <mergeCell ref="AR5280:AS5281"/>
    <mergeCell ref="AT5280:AU5281"/>
    <mergeCell ref="AV5280:AW5281"/>
    <mergeCell ref="AX5280:AY5281"/>
    <mergeCell ref="AZ5280:AZ5281"/>
    <mergeCell ref="F5281:H5281"/>
    <mergeCell ref="X5281:AB5281"/>
    <mergeCell ref="AE5281:AI5281"/>
    <mergeCell ref="AJ5281:AL5281"/>
    <mergeCell ref="AN5281:AO5281"/>
    <mergeCell ref="AP5281:AQ5281"/>
    <mergeCell ref="A5282:A5283"/>
    <mergeCell ref="E5282:E5283"/>
    <mergeCell ref="F5282:H5282"/>
    <mergeCell ref="J5282:J5283"/>
    <mergeCell ref="K5282:L5283"/>
    <mergeCell ref="M5282:N5283"/>
    <mergeCell ref="O5282:P5283"/>
    <mergeCell ref="Q5282:R5283"/>
    <mergeCell ref="S5282:T5283"/>
    <mergeCell ref="U5282:V5283"/>
    <mergeCell ref="W5282:W5283"/>
    <mergeCell ref="X5282:AB5282"/>
    <mergeCell ref="AD5282:AI5282"/>
    <mergeCell ref="AJ5282:AL5282"/>
    <mergeCell ref="AN5282:AO5282"/>
    <mergeCell ref="AP5282:AQ5282"/>
    <mergeCell ref="AR5282:AS5283"/>
    <mergeCell ref="AT5282:AU5283"/>
    <mergeCell ref="AV5282:AW5283"/>
    <mergeCell ref="AX5282:AY5283"/>
    <mergeCell ref="AZ5282:AZ5283"/>
    <mergeCell ref="F5283:H5283"/>
    <mergeCell ref="X5283:AB5283"/>
    <mergeCell ref="AE5283:AI5283"/>
    <mergeCell ref="AJ5283:AL5283"/>
    <mergeCell ref="AN5283:AO5283"/>
    <mergeCell ref="AP5283:AQ5283"/>
    <mergeCell ref="A5284:A5285"/>
    <mergeCell ref="E5284:E5285"/>
    <mergeCell ref="F5284:H5284"/>
    <mergeCell ref="J5284:J5285"/>
    <mergeCell ref="K5284:L5285"/>
    <mergeCell ref="M5284:N5285"/>
    <mergeCell ref="O5284:P5285"/>
    <mergeCell ref="Q5284:R5285"/>
    <mergeCell ref="S5284:T5285"/>
    <mergeCell ref="U5284:V5285"/>
    <mergeCell ref="W5284:W5285"/>
    <mergeCell ref="X5284:AB5284"/>
    <mergeCell ref="AD5284:AI5284"/>
    <mergeCell ref="AJ5284:AL5284"/>
    <mergeCell ref="AN5284:AO5284"/>
    <mergeCell ref="AP5284:AQ5284"/>
    <mergeCell ref="AR5284:AS5285"/>
    <mergeCell ref="AT5284:AU5285"/>
    <mergeCell ref="AV5284:AW5285"/>
    <mergeCell ref="AX5284:AY5285"/>
    <mergeCell ref="AZ5284:AZ5285"/>
    <mergeCell ref="F5285:H5285"/>
    <mergeCell ref="X5285:AB5285"/>
    <mergeCell ref="AE5285:AI5285"/>
    <mergeCell ref="AJ5285:AL5285"/>
    <mergeCell ref="AN5285:AO5285"/>
    <mergeCell ref="AP5285:AQ5285"/>
    <mergeCell ref="A5286:A5287"/>
    <mergeCell ref="E5286:E5287"/>
    <mergeCell ref="F5286:H5286"/>
    <mergeCell ref="J5286:J5287"/>
    <mergeCell ref="K5286:L5287"/>
    <mergeCell ref="M5286:N5287"/>
    <mergeCell ref="O5286:P5287"/>
    <mergeCell ref="Q5286:R5287"/>
    <mergeCell ref="S5286:T5287"/>
    <mergeCell ref="U5286:V5287"/>
    <mergeCell ref="W5286:W5287"/>
    <mergeCell ref="X5286:AB5286"/>
    <mergeCell ref="AD5286:AI5286"/>
    <mergeCell ref="AJ5286:AL5286"/>
    <mergeCell ref="AN5286:AO5286"/>
    <mergeCell ref="AP5286:AQ5286"/>
    <mergeCell ref="AR5286:AS5287"/>
    <mergeCell ref="AT5286:AU5287"/>
    <mergeCell ref="AV5286:AW5287"/>
    <mergeCell ref="AX5286:AY5287"/>
    <mergeCell ref="AZ5286:AZ5287"/>
    <mergeCell ref="F5287:H5287"/>
    <mergeCell ref="X5287:AB5287"/>
    <mergeCell ref="AE5287:AI5287"/>
    <mergeCell ref="AJ5287:AL5287"/>
    <mergeCell ref="AN5287:AO5287"/>
    <mergeCell ref="AP5287:AQ5287"/>
    <mergeCell ref="A5288:A5289"/>
    <mergeCell ref="E5288:E5289"/>
    <mergeCell ref="F5288:H5288"/>
    <mergeCell ref="J5288:J5289"/>
    <mergeCell ref="K5288:L5289"/>
    <mergeCell ref="M5288:N5289"/>
    <mergeCell ref="O5288:P5289"/>
    <mergeCell ref="Q5288:R5289"/>
    <mergeCell ref="S5288:T5289"/>
    <mergeCell ref="U5288:V5289"/>
    <mergeCell ref="W5288:W5289"/>
    <mergeCell ref="X5288:AB5288"/>
    <mergeCell ref="AD5288:AI5288"/>
    <mergeCell ref="AJ5288:AL5288"/>
    <mergeCell ref="AN5288:AO5288"/>
    <mergeCell ref="AP5288:AQ5288"/>
    <mergeCell ref="AR5288:AS5289"/>
    <mergeCell ref="AT5288:AU5289"/>
    <mergeCell ref="AV5288:AW5289"/>
    <mergeCell ref="AX5288:AY5289"/>
    <mergeCell ref="AZ5288:AZ5289"/>
    <mergeCell ref="F5289:H5289"/>
    <mergeCell ref="X5289:AB5289"/>
    <mergeCell ref="AE5289:AI5289"/>
    <mergeCell ref="AJ5289:AL5289"/>
    <mergeCell ref="AN5289:AO5289"/>
    <mergeCell ref="AP5289:AQ5289"/>
    <mergeCell ref="A5290:A5291"/>
    <mergeCell ref="E5290:E5291"/>
    <mergeCell ref="F5290:H5290"/>
    <mergeCell ref="J5290:J5291"/>
    <mergeCell ref="K5290:L5291"/>
    <mergeCell ref="M5290:N5291"/>
    <mergeCell ref="O5290:P5291"/>
    <mergeCell ref="Q5290:R5291"/>
    <mergeCell ref="S5290:T5291"/>
    <mergeCell ref="U5290:V5291"/>
    <mergeCell ref="W5290:W5291"/>
    <mergeCell ref="X5290:AB5290"/>
    <mergeCell ref="AD5290:AI5290"/>
    <mergeCell ref="AJ5290:AL5290"/>
    <mergeCell ref="AN5290:AO5290"/>
    <mergeCell ref="AP5290:AQ5290"/>
    <mergeCell ref="AR5290:AS5291"/>
    <mergeCell ref="AT5290:AU5291"/>
    <mergeCell ref="AV5290:AW5291"/>
    <mergeCell ref="AX5290:AY5291"/>
    <mergeCell ref="AZ5290:AZ5291"/>
    <mergeCell ref="F5291:H5291"/>
    <mergeCell ref="X5291:AB5291"/>
    <mergeCell ref="AE5291:AI5291"/>
    <mergeCell ref="AJ5291:AL5291"/>
    <mergeCell ref="AN5291:AO5291"/>
    <mergeCell ref="AP5291:AQ5291"/>
    <mergeCell ref="A5292:A5293"/>
    <mergeCell ref="E5292:E5293"/>
    <mergeCell ref="F5292:H5292"/>
    <mergeCell ref="J5292:J5293"/>
    <mergeCell ref="K5292:L5293"/>
    <mergeCell ref="M5292:N5293"/>
    <mergeCell ref="O5292:P5293"/>
    <mergeCell ref="Q5292:R5293"/>
    <mergeCell ref="S5292:T5293"/>
    <mergeCell ref="U5292:V5293"/>
    <mergeCell ref="W5292:W5293"/>
    <mergeCell ref="X5292:AB5292"/>
    <mergeCell ref="AD5292:AI5292"/>
    <mergeCell ref="AJ5292:AL5292"/>
    <mergeCell ref="AN5292:AO5292"/>
    <mergeCell ref="AP5292:AQ5292"/>
    <mergeCell ref="AR5292:AS5293"/>
    <mergeCell ref="AT5292:AU5293"/>
    <mergeCell ref="AV5292:AW5293"/>
    <mergeCell ref="AX5292:AY5293"/>
    <mergeCell ref="AZ5292:AZ5293"/>
    <mergeCell ref="F5293:H5293"/>
    <mergeCell ref="X5293:AB5293"/>
    <mergeCell ref="AE5293:AI5293"/>
    <mergeCell ref="AJ5293:AL5293"/>
    <mergeCell ref="AN5293:AO5293"/>
    <mergeCell ref="AP5293:AQ5293"/>
    <mergeCell ref="A5294:A5295"/>
    <mergeCell ref="E5294:E5295"/>
    <mergeCell ref="F5294:H5294"/>
    <mergeCell ref="J5294:J5295"/>
    <mergeCell ref="K5294:L5295"/>
    <mergeCell ref="M5294:N5295"/>
    <mergeCell ref="O5294:P5295"/>
    <mergeCell ref="Q5294:R5295"/>
    <mergeCell ref="S5294:T5295"/>
    <mergeCell ref="U5294:V5295"/>
    <mergeCell ref="W5294:W5295"/>
    <mergeCell ref="X5294:AB5294"/>
    <mergeCell ref="AD5294:AI5294"/>
    <mergeCell ref="AJ5294:AL5294"/>
    <mergeCell ref="AN5294:AO5294"/>
    <mergeCell ref="AP5294:AQ5294"/>
    <mergeCell ref="AR5294:AS5295"/>
    <mergeCell ref="AT5294:AU5295"/>
    <mergeCell ref="AV5294:AW5295"/>
    <mergeCell ref="AX5294:AY5295"/>
    <mergeCell ref="AZ5294:AZ5295"/>
    <mergeCell ref="F5295:H5295"/>
    <mergeCell ref="X5295:AB5295"/>
    <mergeCell ref="AE5295:AI5295"/>
    <mergeCell ref="AJ5295:AL5295"/>
    <mergeCell ref="AN5295:AO5295"/>
    <mergeCell ref="AP5295:AQ5295"/>
    <mergeCell ref="A5296:A5297"/>
    <mergeCell ref="E5296:E5297"/>
    <mergeCell ref="F5296:H5296"/>
    <mergeCell ref="J5296:J5297"/>
    <mergeCell ref="K5296:L5297"/>
    <mergeCell ref="M5296:N5297"/>
    <mergeCell ref="O5296:P5297"/>
    <mergeCell ref="Q5296:R5297"/>
    <mergeCell ref="S5296:T5297"/>
    <mergeCell ref="U5296:V5297"/>
    <mergeCell ref="W5296:W5297"/>
    <mergeCell ref="X5296:AB5296"/>
    <mergeCell ref="AD5296:AI5296"/>
    <mergeCell ref="AJ5296:AL5296"/>
    <mergeCell ref="AN5296:AO5296"/>
    <mergeCell ref="AP5296:AQ5296"/>
    <mergeCell ref="AR5296:AS5297"/>
    <mergeCell ref="AT5296:AU5297"/>
    <mergeCell ref="AV5296:AW5297"/>
    <mergeCell ref="AX5296:AY5297"/>
    <mergeCell ref="AZ5296:AZ5297"/>
    <mergeCell ref="F5297:H5297"/>
    <mergeCell ref="X5297:AB5297"/>
    <mergeCell ref="AE5297:AI5297"/>
    <mergeCell ref="AJ5297:AL5297"/>
    <mergeCell ref="AN5297:AO5297"/>
    <mergeCell ref="AP5297:AQ5297"/>
    <mergeCell ref="A5298:A5299"/>
    <mergeCell ref="E5298:E5299"/>
    <mergeCell ref="F5298:H5298"/>
    <mergeCell ref="J5298:J5299"/>
    <mergeCell ref="K5298:L5299"/>
    <mergeCell ref="M5298:N5299"/>
    <mergeCell ref="O5298:P5299"/>
    <mergeCell ref="Q5298:R5299"/>
    <mergeCell ref="S5298:T5299"/>
    <mergeCell ref="U5298:V5299"/>
    <mergeCell ref="W5298:W5299"/>
    <mergeCell ref="X5298:AB5298"/>
    <mergeCell ref="AD5298:AI5298"/>
    <mergeCell ref="AJ5298:AL5298"/>
    <mergeCell ref="AN5298:AO5298"/>
    <mergeCell ref="AP5298:AQ5298"/>
    <mergeCell ref="AR5298:AS5299"/>
    <mergeCell ref="AT5298:AU5299"/>
    <mergeCell ref="AV5298:AW5299"/>
    <mergeCell ref="AX5298:AY5299"/>
    <mergeCell ref="AZ5298:AZ5299"/>
    <mergeCell ref="F5299:H5299"/>
    <mergeCell ref="X5299:AB5299"/>
    <mergeCell ref="AE5299:AI5299"/>
    <mergeCell ref="AJ5299:AL5299"/>
    <mergeCell ref="AN5299:AO5299"/>
    <mergeCell ref="AP5299:AQ5299"/>
    <mergeCell ref="A5300:A5301"/>
    <mergeCell ref="E5300:E5301"/>
    <mergeCell ref="F5300:H5300"/>
    <mergeCell ref="J5300:J5301"/>
    <mergeCell ref="K5300:L5301"/>
    <mergeCell ref="M5300:N5301"/>
    <mergeCell ref="O5300:P5301"/>
    <mergeCell ref="Q5300:R5301"/>
    <mergeCell ref="S5300:T5301"/>
    <mergeCell ref="U5300:V5301"/>
    <mergeCell ref="W5300:W5301"/>
    <mergeCell ref="X5300:AB5300"/>
    <mergeCell ref="AD5300:AI5300"/>
    <mergeCell ref="AJ5300:AL5300"/>
    <mergeCell ref="AN5300:AO5300"/>
    <mergeCell ref="AP5300:AQ5300"/>
    <mergeCell ref="AR5300:AS5301"/>
    <mergeCell ref="AT5300:AU5301"/>
    <mergeCell ref="AV5300:AW5301"/>
    <mergeCell ref="AX5300:AY5301"/>
    <mergeCell ref="AZ5300:AZ5301"/>
    <mergeCell ref="F5301:H5301"/>
    <mergeCell ref="X5301:AB5301"/>
    <mergeCell ref="AE5301:AI5301"/>
    <mergeCell ref="AJ5301:AL5301"/>
    <mergeCell ref="AN5301:AO5301"/>
    <mergeCell ref="AP5301:AQ5301"/>
    <mergeCell ref="A5302:A5303"/>
    <mergeCell ref="E5302:E5303"/>
    <mergeCell ref="F5302:H5302"/>
    <mergeCell ref="J5302:J5303"/>
    <mergeCell ref="K5302:L5303"/>
    <mergeCell ref="M5302:N5303"/>
    <mergeCell ref="O5302:P5303"/>
    <mergeCell ref="Q5302:R5303"/>
    <mergeCell ref="S5302:T5303"/>
    <mergeCell ref="U5302:V5303"/>
    <mergeCell ref="W5302:W5303"/>
    <mergeCell ref="X5302:AB5302"/>
    <mergeCell ref="AD5302:AI5302"/>
    <mergeCell ref="AJ5302:AL5302"/>
    <mergeCell ref="AN5302:AO5302"/>
    <mergeCell ref="AP5302:AQ5302"/>
    <mergeCell ref="AR5302:AS5303"/>
    <mergeCell ref="AT5302:AU5303"/>
    <mergeCell ref="AV5302:AW5303"/>
    <mergeCell ref="AX5302:AY5303"/>
    <mergeCell ref="AZ5302:AZ5303"/>
    <mergeCell ref="F5303:H5303"/>
    <mergeCell ref="X5303:AB5303"/>
    <mergeCell ref="AE5303:AI5303"/>
    <mergeCell ref="AJ5303:AL5303"/>
    <mergeCell ref="AN5303:AO5303"/>
    <mergeCell ref="AP5303:AQ5303"/>
    <mergeCell ref="A5304:A5305"/>
    <mergeCell ref="E5304:E5305"/>
    <mergeCell ref="F5304:H5304"/>
    <mergeCell ref="J5304:J5305"/>
    <mergeCell ref="K5304:L5305"/>
    <mergeCell ref="M5304:N5305"/>
    <mergeCell ref="O5304:P5305"/>
    <mergeCell ref="Q5304:R5305"/>
    <mergeCell ref="S5304:T5305"/>
    <mergeCell ref="U5304:V5305"/>
    <mergeCell ref="W5304:W5305"/>
    <mergeCell ref="X5304:AB5304"/>
    <mergeCell ref="AD5304:AI5304"/>
    <mergeCell ref="AJ5304:AL5304"/>
    <mergeCell ref="AN5304:AO5304"/>
    <mergeCell ref="AP5304:AQ5304"/>
    <mergeCell ref="AR5304:AS5305"/>
    <mergeCell ref="AT5304:AU5305"/>
    <mergeCell ref="AV5304:AW5305"/>
    <mergeCell ref="AX5304:AY5305"/>
    <mergeCell ref="AZ5304:AZ5305"/>
    <mergeCell ref="F5305:H5305"/>
    <mergeCell ref="X5305:AB5305"/>
    <mergeCell ref="AE5305:AI5305"/>
    <mergeCell ref="AJ5305:AL5305"/>
    <mergeCell ref="AN5305:AO5305"/>
    <mergeCell ref="AP5305:AQ5305"/>
    <mergeCell ref="A5306:A5307"/>
    <mergeCell ref="E5306:E5307"/>
    <mergeCell ref="F5306:H5306"/>
    <mergeCell ref="J5306:J5307"/>
    <mergeCell ref="K5306:L5307"/>
    <mergeCell ref="M5306:N5307"/>
    <mergeCell ref="O5306:P5307"/>
    <mergeCell ref="Q5306:R5307"/>
    <mergeCell ref="S5306:T5307"/>
    <mergeCell ref="U5306:V5307"/>
    <mergeCell ref="W5306:W5307"/>
    <mergeCell ref="X5306:AB5306"/>
    <mergeCell ref="AD5306:AI5306"/>
    <mergeCell ref="AJ5306:AL5306"/>
    <mergeCell ref="AN5306:AO5306"/>
    <mergeCell ref="AP5306:AQ5306"/>
    <mergeCell ref="AR5306:AS5307"/>
    <mergeCell ref="AT5306:AU5307"/>
    <mergeCell ref="AV5306:AW5307"/>
    <mergeCell ref="AX5306:AY5307"/>
    <mergeCell ref="AZ5306:AZ5307"/>
    <mergeCell ref="F5307:H5307"/>
    <mergeCell ref="X5307:AB5307"/>
    <mergeCell ref="AE5307:AI5307"/>
    <mergeCell ref="AJ5307:AL5307"/>
    <mergeCell ref="AN5307:AO5307"/>
    <mergeCell ref="AP5307:AQ5307"/>
    <mergeCell ref="A5308:A5309"/>
    <mergeCell ref="E5308:E5309"/>
    <mergeCell ref="F5308:H5308"/>
    <mergeCell ref="J5308:J5309"/>
    <mergeCell ref="K5308:L5309"/>
    <mergeCell ref="M5308:N5309"/>
    <mergeCell ref="O5308:P5309"/>
    <mergeCell ref="Q5308:R5309"/>
    <mergeCell ref="S5308:T5309"/>
    <mergeCell ref="U5308:V5309"/>
    <mergeCell ref="W5308:W5309"/>
    <mergeCell ref="X5308:AB5308"/>
    <mergeCell ref="AD5308:AI5308"/>
    <mergeCell ref="AJ5308:AL5308"/>
    <mergeCell ref="AN5308:AO5308"/>
    <mergeCell ref="AP5308:AQ5308"/>
    <mergeCell ref="AR5308:AS5309"/>
    <mergeCell ref="AT5308:AU5309"/>
    <mergeCell ref="AV5308:AW5309"/>
    <mergeCell ref="AX5308:AY5309"/>
    <mergeCell ref="AZ5308:AZ5309"/>
    <mergeCell ref="F5309:H5309"/>
    <mergeCell ref="X5309:AB5309"/>
    <mergeCell ref="AE5309:AI5309"/>
    <mergeCell ref="AJ5309:AL5309"/>
    <mergeCell ref="AN5309:AO5309"/>
    <mergeCell ref="AP5309:AQ5309"/>
    <mergeCell ref="A5310:A5311"/>
    <mergeCell ref="E5310:E5311"/>
    <mergeCell ref="F5310:H5310"/>
    <mergeCell ref="J5310:J5311"/>
    <mergeCell ref="K5310:L5311"/>
    <mergeCell ref="M5310:N5311"/>
    <mergeCell ref="O5310:P5311"/>
    <mergeCell ref="Q5310:R5311"/>
    <mergeCell ref="S5310:T5311"/>
    <mergeCell ref="U5310:V5311"/>
    <mergeCell ref="W5310:W5311"/>
    <mergeCell ref="X5310:AB5310"/>
    <mergeCell ref="AD5310:AI5310"/>
    <mergeCell ref="AJ5310:AL5310"/>
    <mergeCell ref="AN5310:AO5310"/>
    <mergeCell ref="AP5310:AQ5310"/>
    <mergeCell ref="AR5310:AS5311"/>
    <mergeCell ref="AT5310:AU5311"/>
    <mergeCell ref="AV5310:AW5311"/>
    <mergeCell ref="AX5310:AY5311"/>
    <mergeCell ref="AZ5310:AZ5311"/>
    <mergeCell ref="F5311:H5311"/>
    <mergeCell ref="X5311:AB5311"/>
    <mergeCell ref="AE5311:AI5311"/>
    <mergeCell ref="AJ5311:AL5311"/>
    <mergeCell ref="AN5311:AO5311"/>
    <mergeCell ref="AP5311:AQ5311"/>
    <mergeCell ref="A5312:A5313"/>
    <mergeCell ref="E5312:E5313"/>
    <mergeCell ref="F5312:H5312"/>
    <mergeCell ref="J5312:J5313"/>
    <mergeCell ref="K5312:L5313"/>
    <mergeCell ref="M5312:N5313"/>
    <mergeCell ref="O5312:P5313"/>
    <mergeCell ref="Q5312:R5313"/>
    <mergeCell ref="S5312:T5313"/>
    <mergeCell ref="U5312:V5313"/>
    <mergeCell ref="W5312:W5313"/>
    <mergeCell ref="X5312:AB5312"/>
    <mergeCell ref="AD5312:AI5312"/>
    <mergeCell ref="AJ5312:AL5312"/>
    <mergeCell ref="AN5312:AO5312"/>
    <mergeCell ref="AP5312:AQ5312"/>
    <mergeCell ref="AR5312:AS5313"/>
    <mergeCell ref="AT5312:AU5313"/>
    <mergeCell ref="AV5312:AW5313"/>
    <mergeCell ref="AX5312:AY5313"/>
    <mergeCell ref="AZ5312:AZ5313"/>
    <mergeCell ref="F5313:H5313"/>
    <mergeCell ref="X5313:AB5313"/>
    <mergeCell ref="AE5313:AI5313"/>
    <mergeCell ref="AJ5313:AL5313"/>
    <mergeCell ref="AN5313:AO5313"/>
    <mergeCell ref="AP5313:AQ5313"/>
    <mergeCell ref="A5314:A5315"/>
    <mergeCell ref="E5314:E5315"/>
    <mergeCell ref="F5314:H5314"/>
    <mergeCell ref="J5314:J5315"/>
    <mergeCell ref="K5314:L5315"/>
    <mergeCell ref="M5314:N5315"/>
    <mergeCell ref="O5314:P5315"/>
    <mergeCell ref="Q5314:R5315"/>
    <mergeCell ref="S5314:T5315"/>
    <mergeCell ref="U5314:V5315"/>
    <mergeCell ref="W5314:W5315"/>
    <mergeCell ref="X5314:AB5314"/>
    <mergeCell ref="AD5314:AI5314"/>
    <mergeCell ref="AJ5314:AL5314"/>
    <mergeCell ref="AN5314:AO5314"/>
    <mergeCell ref="AP5314:AQ5314"/>
    <mergeCell ref="AR5314:AS5315"/>
    <mergeCell ref="AT5314:AU5315"/>
    <mergeCell ref="AV5314:AW5315"/>
    <mergeCell ref="AX5314:AY5315"/>
    <mergeCell ref="AZ5314:AZ5315"/>
    <mergeCell ref="F5315:H5315"/>
    <mergeCell ref="X5315:AB5315"/>
    <mergeCell ref="AE5315:AI5315"/>
    <mergeCell ref="AJ5315:AL5315"/>
    <mergeCell ref="AN5315:AO5315"/>
    <mergeCell ref="AP5315:AQ5315"/>
    <mergeCell ref="A5316:A5317"/>
    <mergeCell ref="E5316:E5317"/>
    <mergeCell ref="F5316:H5316"/>
    <mergeCell ref="J5316:J5317"/>
    <mergeCell ref="K5316:L5317"/>
    <mergeCell ref="M5316:N5317"/>
    <mergeCell ref="O5316:P5317"/>
    <mergeCell ref="Q5316:R5317"/>
    <mergeCell ref="S5316:T5317"/>
    <mergeCell ref="U5316:V5317"/>
    <mergeCell ref="W5316:W5317"/>
    <mergeCell ref="X5316:AB5316"/>
    <mergeCell ref="AD5316:AI5316"/>
    <mergeCell ref="AJ5316:AL5316"/>
    <mergeCell ref="AN5316:AO5316"/>
    <mergeCell ref="AP5316:AQ5316"/>
    <mergeCell ref="AR5316:AS5317"/>
    <mergeCell ref="AT5316:AU5317"/>
    <mergeCell ref="AV5316:AW5317"/>
    <mergeCell ref="AX5316:AY5317"/>
    <mergeCell ref="AZ5316:AZ5317"/>
    <mergeCell ref="F5317:H5317"/>
    <mergeCell ref="X5317:AB5317"/>
    <mergeCell ref="AE5317:AI5317"/>
    <mergeCell ref="AJ5317:AL5317"/>
    <mergeCell ref="AN5317:AO5317"/>
    <mergeCell ref="AP5317:AQ5317"/>
    <mergeCell ref="A5318:A5319"/>
    <mergeCell ref="E5318:E5319"/>
    <mergeCell ref="F5318:H5318"/>
    <mergeCell ref="J5318:J5319"/>
    <mergeCell ref="K5318:L5319"/>
    <mergeCell ref="M5318:N5319"/>
    <mergeCell ref="O5318:P5319"/>
    <mergeCell ref="Q5318:R5319"/>
    <mergeCell ref="S5318:T5319"/>
    <mergeCell ref="U5318:V5319"/>
    <mergeCell ref="W5318:W5319"/>
    <mergeCell ref="X5318:AB5318"/>
    <mergeCell ref="AD5318:AI5318"/>
    <mergeCell ref="AJ5318:AL5318"/>
    <mergeCell ref="AN5318:AO5318"/>
    <mergeCell ref="AP5318:AQ5318"/>
    <mergeCell ref="AR5318:AS5319"/>
    <mergeCell ref="AT5318:AU5319"/>
    <mergeCell ref="AV5318:AW5319"/>
    <mergeCell ref="AX5318:AY5319"/>
    <mergeCell ref="AZ5318:AZ5319"/>
    <mergeCell ref="F5319:H5319"/>
    <mergeCell ref="X5319:AB5319"/>
    <mergeCell ref="AE5319:AI5319"/>
    <mergeCell ref="AJ5319:AL5319"/>
    <mergeCell ref="AN5319:AO5319"/>
    <mergeCell ref="AP5319:AQ5319"/>
    <mergeCell ref="A5320:A5321"/>
    <mergeCell ref="E5320:E5321"/>
    <mergeCell ref="F5320:H5320"/>
    <mergeCell ref="J5320:J5321"/>
    <mergeCell ref="K5320:L5321"/>
    <mergeCell ref="M5320:N5321"/>
    <mergeCell ref="O5320:P5321"/>
    <mergeCell ref="Q5320:R5321"/>
    <mergeCell ref="S5320:T5321"/>
    <mergeCell ref="U5320:V5321"/>
    <mergeCell ref="W5320:W5321"/>
    <mergeCell ref="X5320:AB5320"/>
    <mergeCell ref="AD5320:AI5320"/>
    <mergeCell ref="AJ5320:AL5320"/>
    <mergeCell ref="AN5320:AO5320"/>
    <mergeCell ref="AP5320:AQ5320"/>
    <mergeCell ref="AR5320:AS5321"/>
    <mergeCell ref="AT5320:AU5321"/>
    <mergeCell ref="AV5320:AW5321"/>
    <mergeCell ref="AX5320:AY5321"/>
    <mergeCell ref="AZ5320:AZ5321"/>
    <mergeCell ref="F5321:H5321"/>
    <mergeCell ref="X5321:AB5321"/>
    <mergeCell ref="AE5321:AI5321"/>
    <mergeCell ref="AJ5321:AL5321"/>
    <mergeCell ref="AN5321:AO5321"/>
    <mergeCell ref="AP5321:AQ5321"/>
    <mergeCell ref="A5322:A5323"/>
    <mergeCell ref="E5322:E5323"/>
    <mergeCell ref="F5322:H5322"/>
    <mergeCell ref="J5322:J5323"/>
    <mergeCell ref="K5322:L5323"/>
    <mergeCell ref="M5322:N5323"/>
    <mergeCell ref="O5322:P5323"/>
    <mergeCell ref="Q5322:R5323"/>
    <mergeCell ref="S5322:T5323"/>
    <mergeCell ref="U5322:V5323"/>
    <mergeCell ref="W5322:W5323"/>
    <mergeCell ref="X5322:AB5322"/>
    <mergeCell ref="AD5322:AI5322"/>
    <mergeCell ref="AJ5322:AL5322"/>
    <mergeCell ref="AN5322:AO5322"/>
    <mergeCell ref="AP5322:AQ5322"/>
    <mergeCell ref="AR5322:AS5323"/>
    <mergeCell ref="AT5322:AU5323"/>
    <mergeCell ref="AV5322:AW5323"/>
    <mergeCell ref="AX5322:AY5323"/>
    <mergeCell ref="AZ5322:AZ5323"/>
    <mergeCell ref="F5323:H5323"/>
    <mergeCell ref="X5323:AB5323"/>
    <mergeCell ref="AE5323:AI5323"/>
    <mergeCell ref="AJ5323:AL5323"/>
    <mergeCell ref="AN5323:AO5323"/>
    <mergeCell ref="AP5323:AQ5323"/>
    <mergeCell ref="A5324:A5325"/>
    <mergeCell ref="E5324:E5325"/>
    <mergeCell ref="F5324:H5324"/>
    <mergeCell ref="J5324:J5325"/>
    <mergeCell ref="K5324:L5325"/>
    <mergeCell ref="M5324:N5325"/>
    <mergeCell ref="O5324:P5325"/>
    <mergeCell ref="Q5324:R5325"/>
    <mergeCell ref="S5324:T5325"/>
    <mergeCell ref="U5324:V5325"/>
    <mergeCell ref="W5324:W5325"/>
    <mergeCell ref="X5324:AB5324"/>
    <mergeCell ref="AD5324:AI5324"/>
    <mergeCell ref="AJ5324:AL5324"/>
    <mergeCell ref="AN5324:AO5324"/>
    <mergeCell ref="AP5324:AQ5324"/>
    <mergeCell ref="AR5324:AS5325"/>
    <mergeCell ref="AT5324:AU5325"/>
    <mergeCell ref="AV5324:AW5325"/>
    <mergeCell ref="AX5324:AY5325"/>
    <mergeCell ref="AZ5324:AZ5325"/>
    <mergeCell ref="F5325:H5325"/>
    <mergeCell ref="X5325:AB5325"/>
    <mergeCell ref="AE5325:AI5325"/>
    <mergeCell ref="AJ5325:AL5325"/>
    <mergeCell ref="AN5325:AO5325"/>
    <mergeCell ref="AP5325:AQ5325"/>
    <mergeCell ref="A5326:A5327"/>
    <mergeCell ref="E5326:E5327"/>
    <mergeCell ref="F5326:H5326"/>
    <mergeCell ref="J5326:J5327"/>
    <mergeCell ref="K5326:L5327"/>
    <mergeCell ref="M5326:N5327"/>
    <mergeCell ref="O5326:P5327"/>
    <mergeCell ref="Q5326:R5327"/>
    <mergeCell ref="S5326:T5327"/>
    <mergeCell ref="U5326:V5327"/>
    <mergeCell ref="W5326:W5327"/>
    <mergeCell ref="X5326:AB5326"/>
    <mergeCell ref="AD5326:AI5326"/>
    <mergeCell ref="AJ5326:AL5326"/>
    <mergeCell ref="AN5326:AO5326"/>
    <mergeCell ref="AP5326:AQ5326"/>
    <mergeCell ref="AR5326:AS5327"/>
    <mergeCell ref="AT5326:AU5327"/>
    <mergeCell ref="AV5326:AW5327"/>
    <mergeCell ref="AX5326:AY5327"/>
    <mergeCell ref="AZ5326:AZ5327"/>
    <mergeCell ref="F5327:H5327"/>
    <mergeCell ref="X5327:AB5327"/>
    <mergeCell ref="AE5327:AI5327"/>
    <mergeCell ref="AJ5327:AL5327"/>
    <mergeCell ref="AN5327:AO5327"/>
    <mergeCell ref="AP5327:AQ5327"/>
    <mergeCell ref="A5328:A5329"/>
    <mergeCell ref="E5328:E5329"/>
    <mergeCell ref="F5328:H5328"/>
    <mergeCell ref="J5328:J5329"/>
    <mergeCell ref="K5328:L5329"/>
    <mergeCell ref="M5328:N5329"/>
    <mergeCell ref="O5328:P5329"/>
    <mergeCell ref="Q5328:R5329"/>
    <mergeCell ref="S5328:T5329"/>
    <mergeCell ref="U5328:V5329"/>
    <mergeCell ref="W5328:W5329"/>
    <mergeCell ref="X5328:AB5328"/>
    <mergeCell ref="AD5328:AI5328"/>
    <mergeCell ref="AJ5328:AL5328"/>
    <mergeCell ref="AN5328:AO5328"/>
    <mergeCell ref="AP5328:AQ5328"/>
    <mergeCell ref="AR5328:AS5329"/>
    <mergeCell ref="AT5328:AU5329"/>
    <mergeCell ref="AV5328:AW5329"/>
    <mergeCell ref="AX5328:AY5329"/>
    <mergeCell ref="AZ5328:AZ5329"/>
    <mergeCell ref="F5329:H5329"/>
    <mergeCell ref="X5329:AB5329"/>
    <mergeCell ref="AE5329:AI5329"/>
    <mergeCell ref="AJ5329:AL5329"/>
    <mergeCell ref="AN5329:AO5329"/>
    <mergeCell ref="AP5329:AQ5329"/>
    <mergeCell ref="A5330:A5331"/>
    <mergeCell ref="E5330:E5331"/>
    <mergeCell ref="F5330:H5330"/>
    <mergeCell ref="J5330:J5331"/>
    <mergeCell ref="K5330:L5331"/>
    <mergeCell ref="M5330:N5331"/>
    <mergeCell ref="O5330:P5331"/>
    <mergeCell ref="Q5330:R5331"/>
    <mergeCell ref="S5330:T5331"/>
    <mergeCell ref="U5330:V5331"/>
    <mergeCell ref="W5330:W5331"/>
    <mergeCell ref="X5330:AB5330"/>
    <mergeCell ref="AD5330:AI5330"/>
    <mergeCell ref="AJ5330:AL5330"/>
    <mergeCell ref="AN5330:AO5330"/>
    <mergeCell ref="AP5330:AQ5330"/>
    <mergeCell ref="AR5330:AS5331"/>
    <mergeCell ref="AT5330:AU5331"/>
    <mergeCell ref="AV5330:AW5331"/>
    <mergeCell ref="AX5330:AY5331"/>
    <mergeCell ref="AZ5330:AZ5331"/>
    <mergeCell ref="F5331:H5331"/>
    <mergeCell ref="X5331:AB5331"/>
    <mergeCell ref="AE5331:AI5331"/>
    <mergeCell ref="AJ5331:AL5331"/>
    <mergeCell ref="AN5331:AO5331"/>
    <mergeCell ref="AP5331:AQ5331"/>
    <mergeCell ref="A5332:A5333"/>
    <mergeCell ref="E5332:E5333"/>
    <mergeCell ref="F5332:H5332"/>
    <mergeCell ref="J5332:J5333"/>
    <mergeCell ref="K5332:L5333"/>
    <mergeCell ref="M5332:N5333"/>
    <mergeCell ref="O5332:P5333"/>
    <mergeCell ref="Q5332:R5333"/>
    <mergeCell ref="S5332:T5333"/>
    <mergeCell ref="U5332:V5333"/>
    <mergeCell ref="W5332:W5333"/>
    <mergeCell ref="X5332:AB5332"/>
    <mergeCell ref="AD5332:AI5332"/>
    <mergeCell ref="AJ5332:AL5332"/>
    <mergeCell ref="AN5332:AO5332"/>
    <mergeCell ref="AP5332:AQ5332"/>
    <mergeCell ref="AR5332:AS5333"/>
    <mergeCell ref="AT5332:AU5333"/>
    <mergeCell ref="AV5332:AW5333"/>
    <mergeCell ref="AX5332:AY5333"/>
    <mergeCell ref="AZ5332:AZ5333"/>
    <mergeCell ref="F5333:H5333"/>
    <mergeCell ref="X5333:AB5333"/>
    <mergeCell ref="AE5333:AI5333"/>
    <mergeCell ref="AJ5333:AL5333"/>
    <mergeCell ref="AN5333:AO5333"/>
    <mergeCell ref="AP5333:AQ5333"/>
    <mergeCell ref="A5334:A5335"/>
    <mergeCell ref="E5334:E5335"/>
    <mergeCell ref="F5334:H5334"/>
    <mergeCell ref="J5334:J5335"/>
    <mergeCell ref="K5334:L5335"/>
    <mergeCell ref="M5334:N5335"/>
    <mergeCell ref="O5334:P5335"/>
    <mergeCell ref="Q5334:R5335"/>
    <mergeCell ref="S5334:T5335"/>
    <mergeCell ref="U5334:V5335"/>
    <mergeCell ref="W5334:W5335"/>
    <mergeCell ref="X5334:AB5334"/>
    <mergeCell ref="AD5334:AI5334"/>
    <mergeCell ref="AJ5334:AL5334"/>
    <mergeCell ref="AN5334:AO5334"/>
    <mergeCell ref="AP5334:AQ5334"/>
    <mergeCell ref="AR5334:AS5335"/>
    <mergeCell ref="AT5334:AU5335"/>
    <mergeCell ref="AV5334:AW5335"/>
    <mergeCell ref="AX5334:AY5335"/>
    <mergeCell ref="AZ5334:AZ5335"/>
    <mergeCell ref="F5335:H5335"/>
    <mergeCell ref="X5335:AB5335"/>
    <mergeCell ref="AE5335:AI5335"/>
    <mergeCell ref="AJ5335:AL5335"/>
    <mergeCell ref="AN5335:AO5335"/>
    <mergeCell ref="AP5335:AQ5335"/>
    <mergeCell ref="A5336:A5337"/>
    <mergeCell ref="E5336:E5337"/>
    <mergeCell ref="F5336:H5336"/>
    <mergeCell ref="J5336:J5337"/>
    <mergeCell ref="K5336:L5337"/>
    <mergeCell ref="M5336:N5337"/>
    <mergeCell ref="O5336:P5337"/>
    <mergeCell ref="Q5336:R5337"/>
    <mergeCell ref="S5336:T5337"/>
    <mergeCell ref="U5336:V5337"/>
    <mergeCell ref="W5336:W5337"/>
    <mergeCell ref="X5336:AB5336"/>
    <mergeCell ref="AD5336:AI5336"/>
    <mergeCell ref="AJ5336:AL5336"/>
    <mergeCell ref="AN5336:AO5336"/>
    <mergeCell ref="AP5336:AQ5336"/>
    <mergeCell ref="AR5336:AS5337"/>
    <mergeCell ref="AT5336:AU5337"/>
    <mergeCell ref="AV5336:AW5337"/>
    <mergeCell ref="AX5336:AY5337"/>
    <mergeCell ref="AZ5336:AZ5337"/>
    <mergeCell ref="F5337:H5337"/>
    <mergeCell ref="X5337:AB5337"/>
    <mergeCell ref="AE5337:AI5337"/>
    <mergeCell ref="AJ5337:AL5337"/>
    <mergeCell ref="AN5337:AO5337"/>
    <mergeCell ref="AP5337:AQ5337"/>
    <mergeCell ref="A5338:A5339"/>
    <mergeCell ref="E5338:E5339"/>
    <mergeCell ref="F5338:H5338"/>
    <mergeCell ref="J5338:J5339"/>
    <mergeCell ref="K5338:L5339"/>
    <mergeCell ref="M5338:N5339"/>
    <mergeCell ref="O5338:P5339"/>
    <mergeCell ref="Q5338:R5339"/>
    <mergeCell ref="S5338:T5339"/>
    <mergeCell ref="U5338:V5339"/>
    <mergeCell ref="W5338:W5339"/>
    <mergeCell ref="X5338:AB5338"/>
    <mergeCell ref="AD5338:AI5338"/>
    <mergeCell ref="AJ5338:AL5338"/>
    <mergeCell ref="AN5338:AO5338"/>
    <mergeCell ref="AP5338:AQ5338"/>
    <mergeCell ref="AR5338:AS5339"/>
    <mergeCell ref="AT5338:AU5339"/>
    <mergeCell ref="AV5338:AW5339"/>
    <mergeCell ref="AX5338:AY5339"/>
    <mergeCell ref="AZ5338:AZ5339"/>
    <mergeCell ref="F5339:H5339"/>
    <mergeCell ref="X5339:AB5339"/>
    <mergeCell ref="AE5339:AI5339"/>
    <mergeCell ref="AJ5339:AL5339"/>
    <mergeCell ref="AN5339:AO5339"/>
    <mergeCell ref="AP5339:AQ5339"/>
    <mergeCell ref="A5340:A5341"/>
    <mergeCell ref="E5340:E5341"/>
    <mergeCell ref="F5340:H5340"/>
    <mergeCell ref="J5340:J5341"/>
    <mergeCell ref="K5340:L5341"/>
    <mergeCell ref="M5340:N5341"/>
    <mergeCell ref="O5340:P5341"/>
    <mergeCell ref="Q5340:R5341"/>
    <mergeCell ref="S5340:T5341"/>
    <mergeCell ref="U5340:V5341"/>
    <mergeCell ref="W5340:W5341"/>
    <mergeCell ref="X5340:AB5340"/>
    <mergeCell ref="AD5340:AI5340"/>
    <mergeCell ref="AJ5340:AL5340"/>
    <mergeCell ref="AN5340:AO5340"/>
    <mergeCell ref="AP5340:AQ5340"/>
    <mergeCell ref="AR5340:AS5341"/>
    <mergeCell ref="AT5340:AU5341"/>
    <mergeCell ref="AV5340:AW5341"/>
    <mergeCell ref="AX5340:AY5341"/>
    <mergeCell ref="AZ5340:AZ5341"/>
    <mergeCell ref="F5341:H5341"/>
    <mergeCell ref="X5341:AB5341"/>
    <mergeCell ref="AE5341:AI5341"/>
    <mergeCell ref="AJ5341:AL5341"/>
    <mergeCell ref="AN5341:AO5341"/>
    <mergeCell ref="AP5341:AQ5341"/>
    <mergeCell ref="A5342:A5343"/>
    <mergeCell ref="E5342:E5343"/>
    <mergeCell ref="F5342:H5342"/>
    <mergeCell ref="J5342:J5343"/>
    <mergeCell ref="K5342:L5343"/>
    <mergeCell ref="M5342:N5343"/>
    <mergeCell ref="O5342:P5343"/>
    <mergeCell ref="Q5342:R5343"/>
    <mergeCell ref="S5342:T5343"/>
    <mergeCell ref="U5342:V5343"/>
    <mergeCell ref="W5342:W5343"/>
    <mergeCell ref="X5342:AB5342"/>
    <mergeCell ref="AD5342:AI5342"/>
    <mergeCell ref="AJ5342:AL5342"/>
    <mergeCell ref="AN5342:AO5342"/>
    <mergeCell ref="AP5342:AQ5342"/>
    <mergeCell ref="AR5342:AS5343"/>
    <mergeCell ref="AT5342:AU5343"/>
    <mergeCell ref="AV5342:AW5343"/>
    <mergeCell ref="AX5342:AY5343"/>
    <mergeCell ref="AZ5342:AZ5343"/>
    <mergeCell ref="F5343:H5343"/>
    <mergeCell ref="X5343:AB5343"/>
    <mergeCell ref="AE5343:AI5343"/>
    <mergeCell ref="AJ5343:AL5343"/>
    <mergeCell ref="AN5343:AO5343"/>
    <mergeCell ref="AP5343:AQ5343"/>
    <mergeCell ref="A5344:A5345"/>
    <mergeCell ref="E5344:E5345"/>
    <mergeCell ref="F5344:H5344"/>
    <mergeCell ref="J5344:J5345"/>
    <mergeCell ref="K5344:L5345"/>
    <mergeCell ref="M5344:N5345"/>
    <mergeCell ref="O5344:P5345"/>
    <mergeCell ref="Q5344:R5345"/>
    <mergeCell ref="S5344:T5345"/>
    <mergeCell ref="U5344:V5345"/>
    <mergeCell ref="W5344:W5345"/>
    <mergeCell ref="X5344:AB5344"/>
    <mergeCell ref="AD5344:AI5344"/>
    <mergeCell ref="AJ5344:AL5344"/>
    <mergeCell ref="AN5344:AO5344"/>
    <mergeCell ref="AP5344:AQ5344"/>
    <mergeCell ref="AR5344:AS5345"/>
    <mergeCell ref="AT5344:AU5345"/>
    <mergeCell ref="AV5344:AW5345"/>
    <mergeCell ref="AX5344:AY5345"/>
    <mergeCell ref="AZ5344:AZ5345"/>
    <mergeCell ref="F5345:H5345"/>
    <mergeCell ref="X5345:AB5345"/>
    <mergeCell ref="AE5345:AI5345"/>
    <mergeCell ref="AJ5345:AL5345"/>
    <mergeCell ref="AN5345:AO5345"/>
    <mergeCell ref="AP5345:AQ5345"/>
    <mergeCell ref="A5346:A5347"/>
    <mergeCell ref="E5346:E5347"/>
    <mergeCell ref="F5346:H5346"/>
    <mergeCell ref="J5346:J5347"/>
    <mergeCell ref="K5346:L5347"/>
    <mergeCell ref="M5346:N5347"/>
    <mergeCell ref="O5346:P5347"/>
    <mergeCell ref="Q5346:R5347"/>
    <mergeCell ref="S5346:T5347"/>
    <mergeCell ref="U5346:V5347"/>
    <mergeCell ref="W5346:W5347"/>
    <mergeCell ref="X5346:AB5346"/>
    <mergeCell ref="AD5346:AI5346"/>
    <mergeCell ref="AJ5346:AL5346"/>
    <mergeCell ref="AN5346:AO5346"/>
    <mergeCell ref="AP5346:AQ5346"/>
    <mergeCell ref="AR5346:AS5347"/>
    <mergeCell ref="AT5346:AU5347"/>
    <mergeCell ref="AV5346:AW5347"/>
    <mergeCell ref="AX5346:AY5347"/>
    <mergeCell ref="AZ5346:AZ5347"/>
    <mergeCell ref="F5347:H5347"/>
    <mergeCell ref="X5347:AB5347"/>
    <mergeCell ref="AE5347:AI5347"/>
    <mergeCell ref="AJ5347:AL5347"/>
    <mergeCell ref="AN5347:AO5347"/>
    <mergeCell ref="AP5347:AQ5347"/>
    <mergeCell ref="A5348:A5349"/>
    <mergeCell ref="E5348:E5349"/>
    <mergeCell ref="F5348:H5348"/>
    <mergeCell ref="J5348:J5349"/>
    <mergeCell ref="K5348:L5349"/>
    <mergeCell ref="M5348:N5349"/>
    <mergeCell ref="O5348:P5349"/>
    <mergeCell ref="Q5348:R5349"/>
    <mergeCell ref="S5348:T5349"/>
    <mergeCell ref="U5348:V5349"/>
    <mergeCell ref="W5348:W5349"/>
    <mergeCell ref="X5348:AB5348"/>
    <mergeCell ref="AD5348:AI5348"/>
    <mergeCell ref="AJ5348:AL5348"/>
    <mergeCell ref="AN5348:AO5348"/>
    <mergeCell ref="AP5348:AQ5348"/>
    <mergeCell ref="AR5348:AS5349"/>
    <mergeCell ref="AT5348:AU5349"/>
    <mergeCell ref="AV5348:AW5349"/>
    <mergeCell ref="AX5348:AY5349"/>
    <mergeCell ref="AZ5348:AZ5349"/>
    <mergeCell ref="F5349:H5349"/>
    <mergeCell ref="X5349:AB5349"/>
    <mergeCell ref="AE5349:AI5349"/>
    <mergeCell ref="AJ5349:AL5349"/>
    <mergeCell ref="AN5349:AO5349"/>
    <mergeCell ref="AP5349:AQ5349"/>
    <mergeCell ref="A5350:A5351"/>
    <mergeCell ref="E5350:E5351"/>
    <mergeCell ref="F5350:H5350"/>
    <mergeCell ref="J5350:J5351"/>
    <mergeCell ref="K5350:L5351"/>
    <mergeCell ref="M5350:N5351"/>
    <mergeCell ref="O5350:P5351"/>
    <mergeCell ref="Q5350:R5351"/>
    <mergeCell ref="S5350:T5351"/>
    <mergeCell ref="U5350:V5351"/>
    <mergeCell ref="W5350:W5351"/>
    <mergeCell ref="X5350:AB5350"/>
    <mergeCell ref="AD5350:AI5350"/>
    <mergeCell ref="AJ5350:AL5350"/>
    <mergeCell ref="AN5350:AO5350"/>
    <mergeCell ref="AP5350:AQ5350"/>
    <mergeCell ref="AR5350:AS5351"/>
    <mergeCell ref="AT5350:AU5351"/>
    <mergeCell ref="AV5350:AW5351"/>
    <mergeCell ref="AX5350:AY5351"/>
    <mergeCell ref="AZ5350:AZ5351"/>
    <mergeCell ref="F5351:H5351"/>
    <mergeCell ref="X5351:AB5351"/>
    <mergeCell ref="AE5351:AI5351"/>
    <mergeCell ref="AJ5351:AL5351"/>
    <mergeCell ref="AN5351:AO5351"/>
    <mergeCell ref="AP5351:AQ5351"/>
    <mergeCell ref="A5352:A5353"/>
    <mergeCell ref="E5352:E5353"/>
    <mergeCell ref="F5352:H5352"/>
    <mergeCell ref="J5352:J5353"/>
    <mergeCell ref="K5352:L5353"/>
    <mergeCell ref="M5352:N5353"/>
    <mergeCell ref="O5352:P5353"/>
    <mergeCell ref="Q5352:R5353"/>
    <mergeCell ref="S5352:T5353"/>
    <mergeCell ref="U5352:V5353"/>
    <mergeCell ref="W5352:W5353"/>
    <mergeCell ref="X5352:AB5352"/>
    <mergeCell ref="AD5352:AI5352"/>
    <mergeCell ref="AJ5352:AL5352"/>
    <mergeCell ref="AN5352:AO5352"/>
    <mergeCell ref="AP5352:AQ5352"/>
    <mergeCell ref="AR5352:AS5353"/>
    <mergeCell ref="AT5352:AU5353"/>
    <mergeCell ref="AV5352:AW5353"/>
    <mergeCell ref="AX5352:AY5353"/>
    <mergeCell ref="AZ5352:AZ5353"/>
    <mergeCell ref="F5353:H5353"/>
    <mergeCell ref="X5353:AB5353"/>
    <mergeCell ref="AE5353:AI5353"/>
    <mergeCell ref="AJ5353:AL5353"/>
    <mergeCell ref="AN5353:AO5353"/>
    <mergeCell ref="AP5353:AQ5353"/>
    <mergeCell ref="A5354:A5355"/>
    <mergeCell ref="E5354:E5355"/>
    <mergeCell ref="F5354:H5354"/>
    <mergeCell ref="J5354:J5355"/>
    <mergeCell ref="K5354:L5355"/>
    <mergeCell ref="M5354:N5355"/>
    <mergeCell ref="O5354:P5355"/>
    <mergeCell ref="Q5354:R5355"/>
    <mergeCell ref="S5354:T5355"/>
    <mergeCell ref="U5354:V5355"/>
    <mergeCell ref="W5354:W5355"/>
    <mergeCell ref="X5354:AB5354"/>
    <mergeCell ref="AD5354:AI5354"/>
    <mergeCell ref="AJ5354:AL5354"/>
    <mergeCell ref="AN5354:AO5354"/>
    <mergeCell ref="AP5354:AQ5354"/>
    <mergeCell ref="AR5354:AS5355"/>
    <mergeCell ref="AT5354:AU5355"/>
    <mergeCell ref="AV5354:AW5355"/>
    <mergeCell ref="AX5354:AY5355"/>
    <mergeCell ref="AZ5354:AZ5355"/>
    <mergeCell ref="F5355:H5355"/>
    <mergeCell ref="X5355:AB5355"/>
    <mergeCell ref="AE5355:AI5355"/>
    <mergeCell ref="AJ5355:AL5355"/>
    <mergeCell ref="AN5355:AO5355"/>
    <mergeCell ref="AP5355:AQ5355"/>
    <mergeCell ref="A5356:A5357"/>
    <mergeCell ref="E5356:E5357"/>
    <mergeCell ref="F5356:H5356"/>
    <mergeCell ref="J5356:J5357"/>
    <mergeCell ref="K5356:L5357"/>
    <mergeCell ref="M5356:N5357"/>
    <mergeCell ref="O5356:P5357"/>
    <mergeCell ref="Q5356:R5357"/>
    <mergeCell ref="S5356:T5357"/>
    <mergeCell ref="U5356:V5357"/>
    <mergeCell ref="W5356:W5357"/>
    <mergeCell ref="X5356:AB5356"/>
    <mergeCell ref="AD5356:AI5356"/>
    <mergeCell ref="AJ5356:AL5356"/>
    <mergeCell ref="AN5356:AO5356"/>
    <mergeCell ref="AP5356:AQ5356"/>
    <mergeCell ref="AR5356:AS5357"/>
    <mergeCell ref="AT5356:AU5357"/>
    <mergeCell ref="AV5356:AW5357"/>
    <mergeCell ref="AX5356:AY5357"/>
    <mergeCell ref="AZ5356:AZ5357"/>
    <mergeCell ref="F5357:H5357"/>
    <mergeCell ref="X5357:AB5357"/>
    <mergeCell ref="AE5357:AI5357"/>
    <mergeCell ref="AJ5357:AL5357"/>
    <mergeCell ref="AN5357:AO5357"/>
    <mergeCell ref="AP5357:AQ5357"/>
    <mergeCell ref="A5358:A5359"/>
    <mergeCell ref="E5358:E5359"/>
    <mergeCell ref="F5358:H5358"/>
    <mergeCell ref="J5358:J5359"/>
    <mergeCell ref="K5358:L5359"/>
    <mergeCell ref="M5358:N5359"/>
    <mergeCell ref="O5358:P5359"/>
    <mergeCell ref="Q5358:R5359"/>
    <mergeCell ref="S5358:T5359"/>
    <mergeCell ref="U5358:V5359"/>
    <mergeCell ref="W5358:W5359"/>
    <mergeCell ref="X5358:AB5358"/>
    <mergeCell ref="AD5358:AI5358"/>
    <mergeCell ref="AJ5358:AL5358"/>
    <mergeCell ref="AN5358:AO5358"/>
    <mergeCell ref="AP5358:AQ5358"/>
    <mergeCell ref="AR5358:AS5359"/>
    <mergeCell ref="AT5358:AU5359"/>
    <mergeCell ref="AV5358:AW5359"/>
    <mergeCell ref="AX5358:AY5359"/>
    <mergeCell ref="AZ5358:AZ5359"/>
    <mergeCell ref="F5359:H5359"/>
    <mergeCell ref="X5359:AB5359"/>
    <mergeCell ref="AE5359:AI5359"/>
    <mergeCell ref="AJ5359:AL5359"/>
    <mergeCell ref="AN5359:AO5359"/>
    <mergeCell ref="AP5359:AQ5359"/>
    <mergeCell ref="A5360:A5361"/>
    <mergeCell ref="E5360:E5361"/>
    <mergeCell ref="F5360:H5360"/>
    <mergeCell ref="J5360:J5361"/>
    <mergeCell ref="K5360:L5361"/>
    <mergeCell ref="M5360:N5361"/>
    <mergeCell ref="O5360:P5361"/>
    <mergeCell ref="Q5360:R5361"/>
    <mergeCell ref="S5360:T5361"/>
    <mergeCell ref="U5360:V5361"/>
    <mergeCell ref="W5360:W5361"/>
    <mergeCell ref="X5360:AB5360"/>
    <mergeCell ref="AD5360:AI5360"/>
    <mergeCell ref="AJ5360:AL5360"/>
    <mergeCell ref="AN5360:AO5360"/>
    <mergeCell ref="AP5360:AQ5360"/>
    <mergeCell ref="AR5360:AS5361"/>
    <mergeCell ref="AT5360:AU5361"/>
    <mergeCell ref="AV5360:AW5361"/>
    <mergeCell ref="AX5360:AY5361"/>
    <mergeCell ref="AZ5360:AZ5361"/>
    <mergeCell ref="F5361:H5361"/>
    <mergeCell ref="X5361:AB5361"/>
    <mergeCell ref="AE5361:AI5361"/>
    <mergeCell ref="AJ5361:AL5361"/>
    <mergeCell ref="AN5361:AO5361"/>
    <mergeCell ref="AP5361:AQ5361"/>
    <mergeCell ref="A5362:A5363"/>
    <mergeCell ref="E5362:E5363"/>
    <mergeCell ref="F5362:H5362"/>
    <mergeCell ref="J5362:J5363"/>
    <mergeCell ref="K5362:L5363"/>
    <mergeCell ref="M5362:N5363"/>
    <mergeCell ref="O5362:P5363"/>
    <mergeCell ref="Q5362:R5363"/>
    <mergeCell ref="S5362:T5363"/>
    <mergeCell ref="U5362:V5363"/>
    <mergeCell ref="W5362:W5363"/>
    <mergeCell ref="X5362:AB5362"/>
    <mergeCell ref="AD5362:AI5362"/>
    <mergeCell ref="AJ5362:AL5362"/>
    <mergeCell ref="AN5362:AO5362"/>
    <mergeCell ref="AP5362:AQ5362"/>
    <mergeCell ref="AR5362:AS5363"/>
    <mergeCell ref="AT5362:AU5363"/>
    <mergeCell ref="AV5362:AW5363"/>
    <mergeCell ref="AX5362:AY5363"/>
    <mergeCell ref="AZ5362:AZ5363"/>
    <mergeCell ref="F5363:H5363"/>
    <mergeCell ref="X5363:AB5363"/>
    <mergeCell ref="AE5363:AI5363"/>
    <mergeCell ref="AJ5363:AL5363"/>
    <mergeCell ref="AN5363:AO5363"/>
    <mergeCell ref="AP5363:AQ5363"/>
    <mergeCell ref="A5364:A5365"/>
    <mergeCell ref="E5364:E5365"/>
    <mergeCell ref="F5364:H5364"/>
    <mergeCell ref="J5364:J5365"/>
    <mergeCell ref="K5364:L5365"/>
    <mergeCell ref="M5364:N5365"/>
    <mergeCell ref="O5364:P5365"/>
    <mergeCell ref="Q5364:R5365"/>
    <mergeCell ref="S5364:T5365"/>
    <mergeCell ref="U5364:V5365"/>
    <mergeCell ref="W5364:W5365"/>
    <mergeCell ref="X5364:AB5364"/>
    <mergeCell ref="AD5364:AI5364"/>
    <mergeCell ref="AJ5364:AL5364"/>
    <mergeCell ref="AN5364:AO5364"/>
    <mergeCell ref="AP5364:AQ5364"/>
    <mergeCell ref="AR5364:AS5365"/>
    <mergeCell ref="AT5364:AU5365"/>
    <mergeCell ref="AV5364:AW5365"/>
    <mergeCell ref="AX5364:AY5365"/>
    <mergeCell ref="AZ5364:AZ5365"/>
    <mergeCell ref="F5365:H5365"/>
    <mergeCell ref="X5365:AB5365"/>
    <mergeCell ref="AE5365:AI5365"/>
    <mergeCell ref="AJ5365:AL5365"/>
    <mergeCell ref="AN5365:AO5365"/>
    <mergeCell ref="AP5365:AQ5365"/>
    <mergeCell ref="A5366:A5367"/>
    <mergeCell ref="E5366:E5367"/>
    <mergeCell ref="F5366:H5366"/>
    <mergeCell ref="J5366:J5367"/>
    <mergeCell ref="K5366:L5367"/>
    <mergeCell ref="M5366:N5367"/>
    <mergeCell ref="O5366:P5367"/>
    <mergeCell ref="Q5366:R5367"/>
    <mergeCell ref="S5366:T5367"/>
    <mergeCell ref="U5366:V5367"/>
    <mergeCell ref="W5366:W5367"/>
    <mergeCell ref="X5366:AB5366"/>
    <mergeCell ref="AD5366:AI5366"/>
    <mergeCell ref="AJ5366:AL5366"/>
    <mergeCell ref="AN5366:AO5366"/>
    <mergeCell ref="AP5366:AQ5366"/>
    <mergeCell ref="AR5366:AS5367"/>
    <mergeCell ref="AT5366:AU5367"/>
    <mergeCell ref="AV5366:AW5367"/>
    <mergeCell ref="AX5366:AY5367"/>
    <mergeCell ref="AZ5366:AZ5367"/>
    <mergeCell ref="F5367:H5367"/>
    <mergeCell ref="X5367:AB5367"/>
    <mergeCell ref="AE5367:AI5367"/>
    <mergeCell ref="AJ5367:AL5367"/>
    <mergeCell ref="AN5367:AO5367"/>
    <mergeCell ref="AP5367:AQ5367"/>
    <mergeCell ref="A5368:A5369"/>
    <mergeCell ref="E5368:E5369"/>
    <mergeCell ref="F5368:H5368"/>
    <mergeCell ref="J5368:J5369"/>
    <mergeCell ref="K5368:L5369"/>
    <mergeCell ref="M5368:N5369"/>
    <mergeCell ref="O5368:P5369"/>
    <mergeCell ref="Q5368:R5369"/>
    <mergeCell ref="S5368:T5369"/>
    <mergeCell ref="U5368:V5369"/>
    <mergeCell ref="W5368:W5369"/>
    <mergeCell ref="X5368:AB5368"/>
    <mergeCell ref="AD5368:AI5368"/>
    <mergeCell ref="AJ5368:AL5368"/>
    <mergeCell ref="AN5368:AO5368"/>
    <mergeCell ref="AP5368:AQ5368"/>
    <mergeCell ref="AR5368:AS5369"/>
    <mergeCell ref="AT5368:AU5369"/>
    <mergeCell ref="AV5368:AW5369"/>
    <mergeCell ref="AX5368:AY5369"/>
    <mergeCell ref="AZ5368:AZ5369"/>
    <mergeCell ref="F5369:H5369"/>
    <mergeCell ref="X5369:AB5369"/>
    <mergeCell ref="AE5369:AI5369"/>
    <mergeCell ref="AJ5369:AL5369"/>
    <mergeCell ref="AN5369:AO5369"/>
    <mergeCell ref="AP5369:AQ5369"/>
    <mergeCell ref="A5370:A5371"/>
    <mergeCell ref="E5370:E5371"/>
    <mergeCell ref="F5370:H5370"/>
    <mergeCell ref="J5370:J5371"/>
    <mergeCell ref="K5370:L5371"/>
    <mergeCell ref="M5370:N5371"/>
    <mergeCell ref="O5370:P5371"/>
    <mergeCell ref="Q5370:R5371"/>
    <mergeCell ref="S5370:T5371"/>
    <mergeCell ref="U5370:V5371"/>
    <mergeCell ref="W5370:W5371"/>
    <mergeCell ref="X5370:AB5370"/>
    <mergeCell ref="AD5370:AI5370"/>
    <mergeCell ref="AJ5370:AL5370"/>
    <mergeCell ref="AN5370:AO5370"/>
    <mergeCell ref="AP5370:AQ5370"/>
    <mergeCell ref="AR5370:AS5371"/>
    <mergeCell ref="AT5370:AU5371"/>
    <mergeCell ref="AV5370:AW5371"/>
    <mergeCell ref="AX5370:AY5371"/>
    <mergeCell ref="AZ5370:AZ5371"/>
    <mergeCell ref="F5371:H5371"/>
    <mergeCell ref="X5371:AB5371"/>
    <mergeCell ref="AE5371:AI5371"/>
    <mergeCell ref="AJ5371:AL5371"/>
    <mergeCell ref="AN5371:AO5371"/>
    <mergeCell ref="AP5371:AQ5371"/>
    <mergeCell ref="A5044:A5045"/>
    <mergeCell ref="E5044:E5045"/>
    <mergeCell ref="F5044:H5044"/>
    <mergeCell ref="J5044:J5045"/>
    <mergeCell ref="K5044:L5045"/>
    <mergeCell ref="M5044:N5045"/>
    <mergeCell ref="O5044:P5045"/>
    <mergeCell ref="Q5044:R5045"/>
    <mergeCell ref="S5044:T5045"/>
    <mergeCell ref="U5044:V5045"/>
    <mergeCell ref="W5044:W5045"/>
    <mergeCell ref="X5044:AB5044"/>
    <mergeCell ref="AD5044:AI5044"/>
    <mergeCell ref="AJ5044:AL5044"/>
    <mergeCell ref="AN5044:AO5044"/>
    <mergeCell ref="AP5044:AQ5044"/>
    <mergeCell ref="AR5044:AS5045"/>
    <mergeCell ref="AT5044:AU5045"/>
    <mergeCell ref="AV5044:AW5045"/>
    <mergeCell ref="AX5044:AY5045"/>
    <mergeCell ref="AZ5044:AZ5045"/>
    <mergeCell ref="F5045:H5045"/>
    <mergeCell ref="X5045:AB5045"/>
    <mergeCell ref="AE5045:AI5045"/>
    <mergeCell ref="AJ5045:AL5045"/>
    <mergeCell ref="AN5045:AO5045"/>
    <mergeCell ref="AP5045:AQ5045"/>
    <mergeCell ref="A5008:A5009"/>
    <mergeCell ref="E5008:E5009"/>
    <mergeCell ref="F5008:H5008"/>
    <mergeCell ref="J5008:J5009"/>
    <mergeCell ref="K5008:L5009"/>
    <mergeCell ref="M5008:N5009"/>
    <mergeCell ref="O5008:P5009"/>
    <mergeCell ref="Q5008:R5009"/>
    <mergeCell ref="S5008:T5009"/>
    <mergeCell ref="U5008:V5009"/>
    <mergeCell ref="W5008:W5009"/>
    <mergeCell ref="X5008:AB5008"/>
    <mergeCell ref="AD5008:AI5008"/>
    <mergeCell ref="AJ5008:AL5008"/>
    <mergeCell ref="AN5008:AO5008"/>
    <mergeCell ref="AP5008:AQ5008"/>
    <mergeCell ref="AR5008:AS5009"/>
    <mergeCell ref="AT5008:AU5009"/>
    <mergeCell ref="AV5008:AW5009"/>
    <mergeCell ref="AX5008:AY5009"/>
    <mergeCell ref="AZ5008:AZ5009"/>
    <mergeCell ref="F5009:H5009"/>
    <mergeCell ref="X5009:AB5009"/>
    <mergeCell ref="AE5009:AI5009"/>
    <mergeCell ref="AJ5009:AL5009"/>
    <mergeCell ref="AN5009:AO5009"/>
    <mergeCell ref="AP5009:AQ5009"/>
    <mergeCell ref="A5010:A5011"/>
    <mergeCell ref="E5010:E5011"/>
    <mergeCell ref="F5010:H5010"/>
    <mergeCell ref="J5010:J5011"/>
    <mergeCell ref="K5010:L5011"/>
    <mergeCell ref="M5010:N5011"/>
    <mergeCell ref="O5010:P5011"/>
    <mergeCell ref="Q5010:R5011"/>
    <mergeCell ref="S5010:T5011"/>
    <mergeCell ref="U5010:V5011"/>
    <mergeCell ref="W5010:W5011"/>
    <mergeCell ref="X5010:AB5010"/>
    <mergeCell ref="AD5010:AI5010"/>
    <mergeCell ref="AJ5010:AL5010"/>
    <mergeCell ref="AN5010:AO5010"/>
    <mergeCell ref="AP5010:AQ5010"/>
    <mergeCell ref="AR5010:AS5011"/>
    <mergeCell ref="AT5010:AU5011"/>
    <mergeCell ref="AV5010:AW5011"/>
    <mergeCell ref="AX5010:AY5011"/>
    <mergeCell ref="AZ5010:AZ5011"/>
    <mergeCell ref="F5011:H5011"/>
    <mergeCell ref="X5011:AB5011"/>
    <mergeCell ref="AE5011:AI5011"/>
    <mergeCell ref="AJ5011:AL5011"/>
    <mergeCell ref="AN5011:AO5011"/>
    <mergeCell ref="AP5011:AQ5011"/>
    <mergeCell ref="A5012:A5013"/>
    <mergeCell ref="E5012:E5013"/>
    <mergeCell ref="F5012:H5012"/>
    <mergeCell ref="J5012:J5013"/>
    <mergeCell ref="K5012:L5013"/>
    <mergeCell ref="M5012:N5013"/>
    <mergeCell ref="O5012:P5013"/>
    <mergeCell ref="Q5012:R5013"/>
    <mergeCell ref="S5012:T5013"/>
    <mergeCell ref="U5012:V5013"/>
    <mergeCell ref="W5012:W5013"/>
    <mergeCell ref="X5012:AB5012"/>
    <mergeCell ref="AD5012:AI5012"/>
    <mergeCell ref="AJ5012:AL5012"/>
    <mergeCell ref="AN5012:AO5012"/>
    <mergeCell ref="AP5012:AQ5012"/>
    <mergeCell ref="AR5012:AS5013"/>
    <mergeCell ref="AT5012:AU5013"/>
    <mergeCell ref="AV5012:AW5013"/>
    <mergeCell ref="AX5012:AY5013"/>
    <mergeCell ref="AZ5012:AZ5013"/>
    <mergeCell ref="F5013:H5013"/>
    <mergeCell ref="X5013:AB5013"/>
    <mergeCell ref="AE5013:AI5013"/>
    <mergeCell ref="AJ5013:AL5013"/>
    <mergeCell ref="AN5013:AO5013"/>
    <mergeCell ref="AP5013:AQ5013"/>
    <mergeCell ref="A5014:A5015"/>
    <mergeCell ref="E5014:E5015"/>
    <mergeCell ref="F5014:H5014"/>
    <mergeCell ref="J5014:J5015"/>
    <mergeCell ref="K5014:L5015"/>
    <mergeCell ref="M5014:N5015"/>
    <mergeCell ref="O5014:P5015"/>
    <mergeCell ref="Q5014:R5015"/>
    <mergeCell ref="S5014:T5015"/>
    <mergeCell ref="U5014:V5015"/>
    <mergeCell ref="W5014:W5015"/>
    <mergeCell ref="X5014:AB5014"/>
    <mergeCell ref="AD5014:AI5014"/>
    <mergeCell ref="AJ5014:AL5014"/>
    <mergeCell ref="AN5014:AO5014"/>
    <mergeCell ref="AP5014:AQ5014"/>
    <mergeCell ref="AR5014:AS5015"/>
    <mergeCell ref="AT5014:AU5015"/>
    <mergeCell ref="AV5014:AW5015"/>
    <mergeCell ref="AX5014:AY5015"/>
    <mergeCell ref="AZ5014:AZ5015"/>
    <mergeCell ref="F5015:H5015"/>
    <mergeCell ref="X5015:AB5015"/>
    <mergeCell ref="AE5015:AI5015"/>
    <mergeCell ref="AJ5015:AL5015"/>
    <mergeCell ref="AN5015:AO5015"/>
    <mergeCell ref="AP5015:AQ5015"/>
    <mergeCell ref="A5016:A5017"/>
    <mergeCell ref="E5016:E5017"/>
    <mergeCell ref="F5016:H5016"/>
    <mergeCell ref="J5016:J5017"/>
    <mergeCell ref="K5016:L5017"/>
    <mergeCell ref="M5016:N5017"/>
    <mergeCell ref="O5016:P5017"/>
    <mergeCell ref="Q5016:R5017"/>
    <mergeCell ref="S5016:T5017"/>
    <mergeCell ref="U5016:V5017"/>
    <mergeCell ref="W5016:W5017"/>
    <mergeCell ref="X5016:AB5016"/>
    <mergeCell ref="AD5016:AI5016"/>
    <mergeCell ref="AJ5016:AL5016"/>
    <mergeCell ref="AN5016:AO5016"/>
    <mergeCell ref="AP5016:AQ5016"/>
    <mergeCell ref="AR5016:AS5017"/>
    <mergeCell ref="AT5016:AU5017"/>
    <mergeCell ref="AV5016:AW5017"/>
    <mergeCell ref="AX5016:AY5017"/>
    <mergeCell ref="AZ5016:AZ5017"/>
    <mergeCell ref="F5017:H5017"/>
    <mergeCell ref="X5017:AB5017"/>
    <mergeCell ref="AE5017:AI5017"/>
    <mergeCell ref="AJ5017:AL5017"/>
    <mergeCell ref="AN5017:AO5017"/>
    <mergeCell ref="AP5017:AQ5017"/>
    <mergeCell ref="W5028:W5029"/>
    <mergeCell ref="X5028:AB5028"/>
    <mergeCell ref="AD5028:AI5028"/>
    <mergeCell ref="AJ5028:AL5028"/>
    <mergeCell ref="AN5028:AO5028"/>
    <mergeCell ref="AP5028:AQ5028"/>
    <mergeCell ref="AR5028:AS5029"/>
    <mergeCell ref="AT5028:AU5029"/>
    <mergeCell ref="AV5028:AW5029"/>
    <mergeCell ref="AX5028:AY5029"/>
    <mergeCell ref="AZ5028:AZ5029"/>
    <mergeCell ref="F5029:H5029"/>
    <mergeCell ref="X5029:AB5029"/>
    <mergeCell ref="AE5029:AI5029"/>
    <mergeCell ref="AJ5029:AL5029"/>
    <mergeCell ref="AN5029:AO5029"/>
    <mergeCell ref="AP5029:AQ5029"/>
    <mergeCell ref="A5030:A5031"/>
    <mergeCell ref="E5030:E5031"/>
    <mergeCell ref="F5030:H5030"/>
    <mergeCell ref="J5030:J5031"/>
    <mergeCell ref="K5030:L5031"/>
    <mergeCell ref="M5030:N5031"/>
    <mergeCell ref="O5030:P5031"/>
    <mergeCell ref="Q5030:R5031"/>
    <mergeCell ref="S5030:T5031"/>
    <mergeCell ref="U5030:V5031"/>
    <mergeCell ref="W5030:W5031"/>
    <mergeCell ref="X5030:AB5030"/>
    <mergeCell ref="AD5030:AI5030"/>
    <mergeCell ref="AJ5030:AL5030"/>
    <mergeCell ref="AN5030:AO5030"/>
    <mergeCell ref="AP5030:AQ5030"/>
    <mergeCell ref="AR5030:AS5031"/>
    <mergeCell ref="AT5030:AU5031"/>
    <mergeCell ref="AV5030:AW5031"/>
    <mergeCell ref="AX5030:AY5031"/>
    <mergeCell ref="AZ5030:AZ5031"/>
    <mergeCell ref="F5031:H5031"/>
    <mergeCell ref="X5031:AB5031"/>
    <mergeCell ref="AE5031:AI5031"/>
    <mergeCell ref="AJ5031:AL5031"/>
    <mergeCell ref="AN5031:AO5031"/>
    <mergeCell ref="AP5031:AQ5031"/>
    <mergeCell ref="A5032:A5033"/>
    <mergeCell ref="E5032:E5033"/>
    <mergeCell ref="F5032:H5032"/>
    <mergeCell ref="J5032:J5033"/>
    <mergeCell ref="K5032:L5033"/>
    <mergeCell ref="M5032:N5033"/>
    <mergeCell ref="O5032:P5033"/>
    <mergeCell ref="Q5032:R5033"/>
    <mergeCell ref="S5032:T5033"/>
    <mergeCell ref="U5032:V5033"/>
    <mergeCell ref="W5032:W5033"/>
    <mergeCell ref="X5032:AB5032"/>
    <mergeCell ref="AD5032:AI5032"/>
    <mergeCell ref="AJ5032:AL5032"/>
    <mergeCell ref="AN5032:AO5032"/>
    <mergeCell ref="AP5032:AQ5032"/>
    <mergeCell ref="AR5032:AS5033"/>
    <mergeCell ref="AT5032:AU5033"/>
    <mergeCell ref="AV5032:AW5033"/>
    <mergeCell ref="AX5032:AY5033"/>
    <mergeCell ref="AZ5032:AZ5033"/>
    <mergeCell ref="F5033:H5033"/>
    <mergeCell ref="X5033:AB5033"/>
    <mergeCell ref="AE5033:AI5033"/>
    <mergeCell ref="AJ5033:AL5033"/>
    <mergeCell ref="AN5033:AO5033"/>
    <mergeCell ref="AP5033:AQ5033"/>
    <mergeCell ref="A5034:A5035"/>
    <mergeCell ref="E5034:E5035"/>
    <mergeCell ref="F5034:H5034"/>
    <mergeCell ref="J5034:J5035"/>
    <mergeCell ref="K5034:L5035"/>
    <mergeCell ref="M5034:N5035"/>
    <mergeCell ref="O5034:P5035"/>
    <mergeCell ref="Q5034:R5035"/>
    <mergeCell ref="S5034:T5035"/>
    <mergeCell ref="U5034:V5035"/>
    <mergeCell ref="W5034:W5035"/>
    <mergeCell ref="X5034:AB5034"/>
    <mergeCell ref="AD5034:AI5034"/>
    <mergeCell ref="AJ5034:AL5034"/>
    <mergeCell ref="AN5034:AO5034"/>
    <mergeCell ref="AP5034:AQ5034"/>
    <mergeCell ref="AR5034:AS5035"/>
    <mergeCell ref="AT5034:AU5035"/>
    <mergeCell ref="AV5034:AW5035"/>
    <mergeCell ref="AX5034:AY5035"/>
    <mergeCell ref="AZ5034:AZ5035"/>
    <mergeCell ref="F5035:H5035"/>
    <mergeCell ref="X5035:AB5035"/>
    <mergeCell ref="AE5035:AI5035"/>
    <mergeCell ref="AJ5035:AL5035"/>
    <mergeCell ref="AN5035:AO5035"/>
    <mergeCell ref="AP5035:AQ5035"/>
    <mergeCell ref="A5036:A5037"/>
    <mergeCell ref="E5036:E5037"/>
    <mergeCell ref="F5036:H5036"/>
    <mergeCell ref="J5036:J5037"/>
    <mergeCell ref="K5036:L5037"/>
    <mergeCell ref="M5036:N5037"/>
    <mergeCell ref="O5036:P5037"/>
    <mergeCell ref="Q5036:R5037"/>
    <mergeCell ref="S5036:T5037"/>
    <mergeCell ref="U5036:V5037"/>
    <mergeCell ref="W5036:W5037"/>
    <mergeCell ref="X5036:AB5036"/>
    <mergeCell ref="AD5036:AI5036"/>
    <mergeCell ref="AJ5036:AL5036"/>
    <mergeCell ref="AN5036:AO5036"/>
    <mergeCell ref="AP5036:AQ5036"/>
    <mergeCell ref="AR5036:AS5037"/>
    <mergeCell ref="AT5036:AU5037"/>
    <mergeCell ref="AV5036:AW5037"/>
    <mergeCell ref="AX5036:AY5037"/>
    <mergeCell ref="AZ5036:AZ5037"/>
    <mergeCell ref="F5037:H5037"/>
    <mergeCell ref="X5037:AB5037"/>
    <mergeCell ref="AE5037:AI5037"/>
    <mergeCell ref="AJ5037:AL5037"/>
    <mergeCell ref="AN5037:AO5037"/>
    <mergeCell ref="AP5037:AQ5037"/>
    <mergeCell ref="A5038:A5039"/>
    <mergeCell ref="E5038:E5039"/>
    <mergeCell ref="F5038:H5038"/>
    <mergeCell ref="J5038:J5039"/>
    <mergeCell ref="K5038:L5039"/>
    <mergeCell ref="M5038:N5039"/>
    <mergeCell ref="O5038:P5039"/>
    <mergeCell ref="Q5038:R5039"/>
    <mergeCell ref="S5038:T5039"/>
    <mergeCell ref="U5038:V5039"/>
    <mergeCell ref="W5038:W5039"/>
    <mergeCell ref="X5038:AB5038"/>
    <mergeCell ref="AD5038:AI5038"/>
    <mergeCell ref="AJ5038:AL5038"/>
    <mergeCell ref="AN5038:AO5038"/>
    <mergeCell ref="AP5038:AQ5038"/>
    <mergeCell ref="AR5038:AS5039"/>
    <mergeCell ref="AT5038:AU5039"/>
    <mergeCell ref="AV5038:AW5039"/>
    <mergeCell ref="AX5038:AY5039"/>
    <mergeCell ref="AZ5038:AZ5039"/>
    <mergeCell ref="F5039:H5039"/>
    <mergeCell ref="X5039:AB5039"/>
    <mergeCell ref="AE5039:AI5039"/>
    <mergeCell ref="AJ5039:AL5039"/>
    <mergeCell ref="AN5039:AO5039"/>
    <mergeCell ref="AP5039:AQ5039"/>
    <mergeCell ref="A5548:A5549"/>
    <mergeCell ref="E5548:E5549"/>
    <mergeCell ref="F5548:H5548"/>
    <mergeCell ref="J5548:J5549"/>
    <mergeCell ref="K5548:L5549"/>
    <mergeCell ref="M5548:N5549"/>
    <mergeCell ref="O5548:P5549"/>
    <mergeCell ref="Q5548:R5549"/>
    <mergeCell ref="S5548:T5549"/>
    <mergeCell ref="U5548:V5549"/>
    <mergeCell ref="W5548:W5549"/>
    <mergeCell ref="X5548:AB5548"/>
    <mergeCell ref="AD5548:AI5548"/>
    <mergeCell ref="AJ5548:AL5548"/>
    <mergeCell ref="AN5548:AO5548"/>
    <mergeCell ref="AP5548:AQ5548"/>
    <mergeCell ref="AR5548:AS5549"/>
    <mergeCell ref="AT5548:AU5549"/>
    <mergeCell ref="AV5548:AW5549"/>
    <mergeCell ref="AX5548:AY5549"/>
    <mergeCell ref="AZ5548:AZ5549"/>
    <mergeCell ref="F5549:H5549"/>
    <mergeCell ref="X5549:AB5549"/>
    <mergeCell ref="AE5549:AI5549"/>
    <mergeCell ref="AJ5549:AL5549"/>
    <mergeCell ref="AN5549:AO5549"/>
    <mergeCell ref="AP5549:AQ5549"/>
    <mergeCell ref="A5550:A5551"/>
    <mergeCell ref="E5550:E5551"/>
    <mergeCell ref="F5550:H5550"/>
    <mergeCell ref="J5550:J5551"/>
    <mergeCell ref="K5550:L5551"/>
    <mergeCell ref="M5550:N5551"/>
    <mergeCell ref="O5550:P5551"/>
    <mergeCell ref="Q5550:R5551"/>
    <mergeCell ref="S5550:T5551"/>
    <mergeCell ref="U5550:V5551"/>
    <mergeCell ref="W5550:W5551"/>
    <mergeCell ref="X5550:AB5550"/>
    <mergeCell ref="AD5550:AI5550"/>
    <mergeCell ref="AJ5550:AL5550"/>
    <mergeCell ref="AN5550:AO5550"/>
    <mergeCell ref="AP5550:AQ5550"/>
    <mergeCell ref="AR5550:AS5551"/>
    <mergeCell ref="AT5550:AU5551"/>
    <mergeCell ref="AV5550:AW5551"/>
    <mergeCell ref="AX5550:AY5551"/>
    <mergeCell ref="AZ5550:AZ5551"/>
    <mergeCell ref="F5551:H5551"/>
    <mergeCell ref="X5551:AB5551"/>
    <mergeCell ref="AE5551:AI5551"/>
    <mergeCell ref="AJ5551:AL5551"/>
    <mergeCell ref="AN5551:AO5551"/>
    <mergeCell ref="AP5551:AQ5551"/>
    <mergeCell ref="A5552:A5553"/>
    <mergeCell ref="E5552:E5553"/>
    <mergeCell ref="F5552:H5552"/>
    <mergeCell ref="J5552:J5553"/>
    <mergeCell ref="K5552:L5553"/>
    <mergeCell ref="M5552:N5553"/>
    <mergeCell ref="O5552:P5553"/>
    <mergeCell ref="Q5552:R5553"/>
    <mergeCell ref="S5552:T5553"/>
    <mergeCell ref="U5552:V5553"/>
    <mergeCell ref="W5552:W5553"/>
    <mergeCell ref="X5552:AB5552"/>
    <mergeCell ref="AD5552:AI5552"/>
    <mergeCell ref="AJ5552:AL5552"/>
    <mergeCell ref="AN5552:AO5552"/>
    <mergeCell ref="AP5552:AQ5552"/>
    <mergeCell ref="AR5552:AS5553"/>
    <mergeCell ref="AT5552:AU5553"/>
    <mergeCell ref="AV5552:AW5553"/>
    <mergeCell ref="AX5552:AY5553"/>
    <mergeCell ref="AZ5552:AZ5553"/>
    <mergeCell ref="F5553:H5553"/>
    <mergeCell ref="X5553:AB5553"/>
    <mergeCell ref="AE5553:AI5553"/>
    <mergeCell ref="AJ5553:AL5553"/>
    <mergeCell ref="AN5553:AO5553"/>
    <mergeCell ref="AP5553:AQ5553"/>
    <mergeCell ref="A5554:A5555"/>
    <mergeCell ref="E5554:E5555"/>
    <mergeCell ref="F5554:H5554"/>
    <mergeCell ref="J5554:J5555"/>
    <mergeCell ref="K5554:L5555"/>
    <mergeCell ref="M5554:N5555"/>
    <mergeCell ref="O5554:P5555"/>
    <mergeCell ref="Q5554:R5555"/>
    <mergeCell ref="S5554:T5555"/>
    <mergeCell ref="U5554:V5555"/>
    <mergeCell ref="W5554:W5555"/>
    <mergeCell ref="X5554:AB5554"/>
    <mergeCell ref="AD5554:AI5554"/>
    <mergeCell ref="AJ5554:AL5554"/>
    <mergeCell ref="AN5554:AO5554"/>
    <mergeCell ref="AP5554:AQ5554"/>
    <mergeCell ref="AR5554:AS5555"/>
    <mergeCell ref="AT5554:AU5555"/>
    <mergeCell ref="AV5554:AW5555"/>
    <mergeCell ref="AX5554:AY5555"/>
    <mergeCell ref="AZ5554:AZ5555"/>
    <mergeCell ref="F5555:H5555"/>
    <mergeCell ref="X5555:AB5555"/>
    <mergeCell ref="AE5555:AI5555"/>
    <mergeCell ref="AJ5555:AL5555"/>
    <mergeCell ref="AN5555:AO5555"/>
    <mergeCell ref="AP5555:AQ5555"/>
    <mergeCell ref="A5556:A5557"/>
    <mergeCell ref="E5556:E5557"/>
    <mergeCell ref="F5556:H5556"/>
    <mergeCell ref="J5556:J5557"/>
    <mergeCell ref="K5556:L5557"/>
    <mergeCell ref="M5556:N5557"/>
    <mergeCell ref="O5556:P5557"/>
    <mergeCell ref="Q5556:R5557"/>
    <mergeCell ref="S5556:T5557"/>
    <mergeCell ref="U5556:V5557"/>
    <mergeCell ref="W5556:W5557"/>
    <mergeCell ref="X5556:AB5556"/>
    <mergeCell ref="AD5556:AI5556"/>
    <mergeCell ref="AJ5556:AL5556"/>
    <mergeCell ref="AN5556:AO5556"/>
    <mergeCell ref="AP5556:AQ5556"/>
    <mergeCell ref="AR5556:AS5557"/>
    <mergeCell ref="AT5556:AU5557"/>
    <mergeCell ref="AV5556:AW5557"/>
    <mergeCell ref="AX5556:AY5557"/>
    <mergeCell ref="AZ5556:AZ5557"/>
    <mergeCell ref="F5557:H5557"/>
    <mergeCell ref="X5557:AB5557"/>
    <mergeCell ref="AE5557:AI5557"/>
    <mergeCell ref="AJ5557:AL5557"/>
    <mergeCell ref="AN5557:AO5557"/>
    <mergeCell ref="AP5557:AQ5557"/>
    <mergeCell ref="A5558:A5559"/>
    <mergeCell ref="E5558:E5559"/>
    <mergeCell ref="F5558:H5558"/>
    <mergeCell ref="J5558:J5559"/>
    <mergeCell ref="K5558:L5559"/>
    <mergeCell ref="M5558:N5559"/>
    <mergeCell ref="O5558:P5559"/>
    <mergeCell ref="Q5558:R5559"/>
    <mergeCell ref="S5558:T5559"/>
    <mergeCell ref="U5558:V5559"/>
    <mergeCell ref="W5558:W5559"/>
    <mergeCell ref="X5558:AB5558"/>
    <mergeCell ref="AD5558:AI5558"/>
    <mergeCell ref="AJ5558:AL5558"/>
    <mergeCell ref="AN5558:AO5558"/>
    <mergeCell ref="AP5558:AQ5558"/>
    <mergeCell ref="AR5558:AS5559"/>
    <mergeCell ref="AT5558:AU5559"/>
    <mergeCell ref="AV5558:AW5559"/>
    <mergeCell ref="AX5558:AY5559"/>
    <mergeCell ref="AZ5558:AZ5559"/>
    <mergeCell ref="F5559:H5559"/>
    <mergeCell ref="X5559:AB5559"/>
    <mergeCell ref="AE5559:AI5559"/>
    <mergeCell ref="AJ5559:AL5559"/>
    <mergeCell ref="AN5559:AO5559"/>
    <mergeCell ref="AP5559:AQ5559"/>
    <mergeCell ref="A5560:A5561"/>
    <mergeCell ref="E5560:E5561"/>
    <mergeCell ref="F5560:H5560"/>
    <mergeCell ref="J5560:J5561"/>
    <mergeCell ref="K5560:L5561"/>
    <mergeCell ref="M5560:N5561"/>
    <mergeCell ref="O5560:P5561"/>
    <mergeCell ref="Q5560:R5561"/>
    <mergeCell ref="S5560:T5561"/>
    <mergeCell ref="U5560:V5561"/>
    <mergeCell ref="W5560:W5561"/>
    <mergeCell ref="X5560:AB5560"/>
    <mergeCell ref="AD5560:AI5560"/>
    <mergeCell ref="AJ5560:AL5560"/>
    <mergeCell ref="AN5560:AO5560"/>
    <mergeCell ref="AP5560:AQ5560"/>
    <mergeCell ref="AR5560:AS5561"/>
    <mergeCell ref="AT5560:AU5561"/>
    <mergeCell ref="AV5560:AW5561"/>
    <mergeCell ref="AX5560:AY5561"/>
    <mergeCell ref="AZ5560:AZ5561"/>
    <mergeCell ref="F5561:H5561"/>
    <mergeCell ref="X5561:AB5561"/>
    <mergeCell ref="AE5561:AI5561"/>
    <mergeCell ref="AJ5561:AL5561"/>
    <mergeCell ref="AN5561:AO5561"/>
    <mergeCell ref="AP5561:AQ5561"/>
    <mergeCell ref="A5562:A5563"/>
    <mergeCell ref="E5562:E5563"/>
    <mergeCell ref="F5562:H5562"/>
    <mergeCell ref="J5562:J5563"/>
    <mergeCell ref="K5562:L5563"/>
    <mergeCell ref="M5562:N5563"/>
    <mergeCell ref="O5562:P5563"/>
    <mergeCell ref="Q5562:R5563"/>
    <mergeCell ref="S5562:T5563"/>
    <mergeCell ref="U5562:V5563"/>
    <mergeCell ref="W5562:W5563"/>
    <mergeCell ref="X5562:AB5562"/>
    <mergeCell ref="AD5562:AI5562"/>
    <mergeCell ref="AJ5562:AL5562"/>
    <mergeCell ref="AN5562:AO5562"/>
    <mergeCell ref="AP5562:AQ5562"/>
    <mergeCell ref="AR5562:AS5563"/>
    <mergeCell ref="AT5562:AU5563"/>
    <mergeCell ref="AV5562:AW5563"/>
    <mergeCell ref="AX5562:AY5563"/>
    <mergeCell ref="AZ5562:AZ5563"/>
    <mergeCell ref="F5563:H5563"/>
    <mergeCell ref="X5563:AB5563"/>
    <mergeCell ref="AE5563:AI5563"/>
    <mergeCell ref="AJ5563:AL5563"/>
    <mergeCell ref="AN5563:AO5563"/>
    <mergeCell ref="AP5563:AQ5563"/>
    <mergeCell ref="A5564:A5565"/>
    <mergeCell ref="E5564:E5565"/>
    <mergeCell ref="F5564:H5564"/>
    <mergeCell ref="J5564:J5565"/>
    <mergeCell ref="K5564:L5565"/>
    <mergeCell ref="M5564:N5565"/>
    <mergeCell ref="O5564:P5565"/>
    <mergeCell ref="Q5564:R5565"/>
    <mergeCell ref="S5564:T5565"/>
    <mergeCell ref="U5564:V5565"/>
    <mergeCell ref="W5564:W5565"/>
    <mergeCell ref="X5564:AB5564"/>
    <mergeCell ref="AD5564:AI5564"/>
    <mergeCell ref="AJ5564:AL5564"/>
    <mergeCell ref="AN5564:AO5564"/>
    <mergeCell ref="AP5564:AQ5564"/>
    <mergeCell ref="AR5564:AS5565"/>
    <mergeCell ref="AT5564:AU5565"/>
    <mergeCell ref="AV5564:AW5565"/>
    <mergeCell ref="AX5564:AY5565"/>
    <mergeCell ref="AZ5564:AZ5565"/>
    <mergeCell ref="F5565:H5565"/>
    <mergeCell ref="X5565:AB5565"/>
    <mergeCell ref="AE5565:AI5565"/>
    <mergeCell ref="AJ5565:AL5565"/>
    <mergeCell ref="AN5565:AO5565"/>
    <mergeCell ref="AP5565:AQ5565"/>
    <mergeCell ref="A5566:A5567"/>
    <mergeCell ref="E5566:E5567"/>
    <mergeCell ref="F5566:H5566"/>
    <mergeCell ref="J5566:J5567"/>
    <mergeCell ref="K5566:L5567"/>
    <mergeCell ref="M5566:N5567"/>
    <mergeCell ref="O5566:P5567"/>
    <mergeCell ref="Q5566:R5567"/>
    <mergeCell ref="S5566:T5567"/>
    <mergeCell ref="U5566:V5567"/>
    <mergeCell ref="W5566:W5567"/>
    <mergeCell ref="X5566:AB5566"/>
    <mergeCell ref="AD5566:AI5566"/>
    <mergeCell ref="AJ5566:AL5566"/>
    <mergeCell ref="AN5566:AO5566"/>
    <mergeCell ref="AP5566:AQ5566"/>
    <mergeCell ref="AR5566:AS5567"/>
    <mergeCell ref="AT5566:AU5567"/>
    <mergeCell ref="AV5566:AW5567"/>
    <mergeCell ref="AX5566:AY5567"/>
    <mergeCell ref="AZ5566:AZ5567"/>
    <mergeCell ref="F5567:H5567"/>
    <mergeCell ref="X5567:AB5567"/>
    <mergeCell ref="AE5567:AI5567"/>
    <mergeCell ref="AJ5567:AL5567"/>
    <mergeCell ref="AN5567:AO5567"/>
    <mergeCell ref="AP5567:AQ5567"/>
    <mergeCell ref="A5568:A5569"/>
    <mergeCell ref="E5568:E5569"/>
    <mergeCell ref="F5568:H5568"/>
    <mergeCell ref="J5568:J5569"/>
    <mergeCell ref="K5568:L5569"/>
    <mergeCell ref="M5568:N5569"/>
    <mergeCell ref="O5568:P5569"/>
    <mergeCell ref="Q5568:R5569"/>
    <mergeCell ref="S5568:T5569"/>
    <mergeCell ref="U5568:V5569"/>
    <mergeCell ref="W5568:W5569"/>
    <mergeCell ref="X5568:AB5568"/>
    <mergeCell ref="AD5568:AI5568"/>
    <mergeCell ref="AJ5568:AL5568"/>
    <mergeCell ref="AN5568:AO5568"/>
    <mergeCell ref="AP5568:AQ5568"/>
    <mergeCell ref="AR5568:AS5569"/>
    <mergeCell ref="AT5568:AU5569"/>
    <mergeCell ref="AV5568:AW5569"/>
    <mergeCell ref="AX5568:AY5569"/>
    <mergeCell ref="AZ5568:AZ5569"/>
    <mergeCell ref="F5569:H5569"/>
    <mergeCell ref="X5569:AB5569"/>
    <mergeCell ref="AE5569:AI5569"/>
    <mergeCell ref="AJ5569:AL5569"/>
    <mergeCell ref="AN5569:AO5569"/>
    <mergeCell ref="AP5569:AQ5569"/>
    <mergeCell ref="A5570:A5571"/>
    <mergeCell ref="E5570:E5571"/>
    <mergeCell ref="F5570:H5570"/>
    <mergeCell ref="J5570:J5571"/>
    <mergeCell ref="K5570:L5571"/>
    <mergeCell ref="M5570:N5571"/>
    <mergeCell ref="O5570:P5571"/>
    <mergeCell ref="Q5570:R5571"/>
    <mergeCell ref="S5570:T5571"/>
    <mergeCell ref="U5570:V5571"/>
    <mergeCell ref="W5570:W5571"/>
    <mergeCell ref="X5570:AB5570"/>
    <mergeCell ref="AD5570:AI5570"/>
    <mergeCell ref="AJ5570:AL5570"/>
    <mergeCell ref="AN5570:AO5570"/>
    <mergeCell ref="AP5570:AQ5570"/>
    <mergeCell ref="AR5570:AS5571"/>
    <mergeCell ref="AT5570:AU5571"/>
    <mergeCell ref="AV5570:AW5571"/>
    <mergeCell ref="AX5570:AY5571"/>
    <mergeCell ref="AZ5570:AZ5571"/>
    <mergeCell ref="F5571:H5571"/>
    <mergeCell ref="X5571:AB5571"/>
    <mergeCell ref="AE5571:AI5571"/>
    <mergeCell ref="AJ5571:AL5571"/>
    <mergeCell ref="AN5571:AO5571"/>
    <mergeCell ref="AP5571:AQ5571"/>
    <mergeCell ref="A5572:A5573"/>
    <mergeCell ref="E5572:E5573"/>
    <mergeCell ref="F5572:H5572"/>
    <mergeCell ref="J5572:J5573"/>
    <mergeCell ref="K5572:L5573"/>
    <mergeCell ref="M5572:N5573"/>
    <mergeCell ref="O5572:P5573"/>
    <mergeCell ref="Q5572:R5573"/>
    <mergeCell ref="S5572:T5573"/>
    <mergeCell ref="U5572:V5573"/>
    <mergeCell ref="W5572:W5573"/>
    <mergeCell ref="X5572:AB5572"/>
    <mergeCell ref="AD5572:AI5572"/>
    <mergeCell ref="AJ5572:AL5572"/>
    <mergeCell ref="AN5572:AO5572"/>
    <mergeCell ref="AP5572:AQ5572"/>
    <mergeCell ref="AR5572:AS5573"/>
    <mergeCell ref="AT5572:AU5573"/>
    <mergeCell ref="AV5572:AW5573"/>
    <mergeCell ref="AX5572:AY5573"/>
    <mergeCell ref="AZ5572:AZ5573"/>
    <mergeCell ref="F5573:H5573"/>
    <mergeCell ref="X5573:AB5573"/>
    <mergeCell ref="AE5573:AI5573"/>
    <mergeCell ref="AJ5573:AL5573"/>
    <mergeCell ref="AN5573:AO5573"/>
    <mergeCell ref="AP5573:AQ5573"/>
    <mergeCell ref="A5574:A5575"/>
    <mergeCell ref="E5574:E5575"/>
    <mergeCell ref="F5574:H5574"/>
    <mergeCell ref="J5574:J5575"/>
    <mergeCell ref="K5574:L5575"/>
    <mergeCell ref="M5574:N5575"/>
    <mergeCell ref="O5574:P5575"/>
    <mergeCell ref="Q5574:R5575"/>
    <mergeCell ref="S5574:T5575"/>
    <mergeCell ref="U5574:V5575"/>
    <mergeCell ref="W5574:W5575"/>
    <mergeCell ref="X5574:AB5574"/>
    <mergeCell ref="AD5574:AI5574"/>
    <mergeCell ref="AJ5574:AL5574"/>
    <mergeCell ref="AN5574:AO5574"/>
    <mergeCell ref="AP5574:AQ5574"/>
    <mergeCell ref="AR5574:AS5575"/>
    <mergeCell ref="AT5574:AU5575"/>
    <mergeCell ref="AV5574:AW5575"/>
    <mergeCell ref="AX5574:AY5575"/>
    <mergeCell ref="AZ5574:AZ5575"/>
    <mergeCell ref="F5575:H5575"/>
    <mergeCell ref="X5575:AB5575"/>
    <mergeCell ref="AE5575:AI5575"/>
    <mergeCell ref="AJ5575:AL5575"/>
    <mergeCell ref="AN5575:AO5575"/>
    <mergeCell ref="AP5575:AQ5575"/>
    <mergeCell ref="A5576:A5577"/>
    <mergeCell ref="E5576:E5577"/>
    <mergeCell ref="F5576:H5576"/>
    <mergeCell ref="J5576:J5577"/>
    <mergeCell ref="K5576:L5577"/>
    <mergeCell ref="M5576:N5577"/>
    <mergeCell ref="O5576:P5577"/>
    <mergeCell ref="Q5576:R5577"/>
    <mergeCell ref="S5576:T5577"/>
    <mergeCell ref="U5576:V5577"/>
    <mergeCell ref="W5576:W5577"/>
    <mergeCell ref="X5576:AB5576"/>
    <mergeCell ref="AD5576:AI5576"/>
    <mergeCell ref="AJ5576:AL5576"/>
    <mergeCell ref="AN5576:AO5576"/>
    <mergeCell ref="AP5576:AQ5576"/>
    <mergeCell ref="AR5576:AS5577"/>
    <mergeCell ref="AT5576:AU5577"/>
    <mergeCell ref="AV5576:AW5577"/>
    <mergeCell ref="AX5576:AY5577"/>
    <mergeCell ref="AZ5576:AZ5577"/>
    <mergeCell ref="F5577:H5577"/>
    <mergeCell ref="X5577:AB5577"/>
    <mergeCell ref="AE5577:AI5577"/>
    <mergeCell ref="AJ5577:AL5577"/>
    <mergeCell ref="AN5577:AO5577"/>
    <mergeCell ref="AP5577:AQ5577"/>
    <mergeCell ref="A5578:A5579"/>
    <mergeCell ref="E5578:E5579"/>
    <mergeCell ref="F5578:H5578"/>
    <mergeCell ref="J5578:J5579"/>
    <mergeCell ref="K5578:L5579"/>
    <mergeCell ref="M5578:N5579"/>
    <mergeCell ref="O5578:P5579"/>
    <mergeCell ref="Q5578:R5579"/>
    <mergeCell ref="S5578:T5579"/>
    <mergeCell ref="U5578:V5579"/>
    <mergeCell ref="W5578:W5579"/>
    <mergeCell ref="X5578:AB5578"/>
    <mergeCell ref="AD5578:AI5578"/>
    <mergeCell ref="AJ5578:AL5578"/>
    <mergeCell ref="AN5578:AO5578"/>
    <mergeCell ref="AP5578:AQ5578"/>
    <mergeCell ref="AR5578:AS5579"/>
    <mergeCell ref="AT5578:AU5579"/>
    <mergeCell ref="AV5578:AW5579"/>
    <mergeCell ref="AX5578:AY5579"/>
    <mergeCell ref="AZ5578:AZ5579"/>
    <mergeCell ref="F5579:H5579"/>
    <mergeCell ref="X5579:AB5579"/>
    <mergeCell ref="AE5579:AI5579"/>
    <mergeCell ref="AJ5579:AL5579"/>
    <mergeCell ref="AN5579:AO5579"/>
    <mergeCell ref="AP5579:AQ5579"/>
    <mergeCell ref="A5580:A5581"/>
    <mergeCell ref="E5580:E5581"/>
    <mergeCell ref="F5580:H5580"/>
    <mergeCell ref="J5580:J5581"/>
    <mergeCell ref="K5580:L5581"/>
    <mergeCell ref="M5580:N5581"/>
    <mergeCell ref="O5580:P5581"/>
    <mergeCell ref="Q5580:R5581"/>
    <mergeCell ref="S5580:T5581"/>
    <mergeCell ref="U5580:V5581"/>
    <mergeCell ref="W5580:W5581"/>
    <mergeCell ref="X5580:AB5580"/>
    <mergeCell ref="AD5580:AI5580"/>
    <mergeCell ref="AJ5580:AL5580"/>
    <mergeCell ref="AN5580:AO5580"/>
    <mergeCell ref="AP5580:AQ5580"/>
    <mergeCell ref="AR5580:AS5581"/>
    <mergeCell ref="AT5580:AU5581"/>
    <mergeCell ref="AV5580:AW5581"/>
    <mergeCell ref="AX5580:AY5581"/>
    <mergeCell ref="AZ5580:AZ5581"/>
    <mergeCell ref="F5581:H5581"/>
    <mergeCell ref="X5581:AB5581"/>
    <mergeCell ref="AE5581:AI5581"/>
    <mergeCell ref="AJ5581:AL5581"/>
    <mergeCell ref="AN5581:AO5581"/>
    <mergeCell ref="AP5581:AQ5581"/>
    <mergeCell ref="A5582:A5583"/>
    <mergeCell ref="E5582:E5583"/>
    <mergeCell ref="F5582:H5582"/>
    <mergeCell ref="J5582:J5583"/>
    <mergeCell ref="K5582:L5583"/>
    <mergeCell ref="M5582:N5583"/>
    <mergeCell ref="O5582:P5583"/>
    <mergeCell ref="Q5582:R5583"/>
    <mergeCell ref="S5582:T5583"/>
    <mergeCell ref="U5582:V5583"/>
    <mergeCell ref="W5582:W5583"/>
    <mergeCell ref="X5582:AB5582"/>
    <mergeCell ref="AD5582:AI5582"/>
    <mergeCell ref="AJ5582:AL5582"/>
    <mergeCell ref="AN5582:AO5582"/>
    <mergeCell ref="AP5582:AQ5582"/>
    <mergeCell ref="AR5582:AS5583"/>
    <mergeCell ref="AT5582:AU5583"/>
    <mergeCell ref="AV5582:AW5583"/>
    <mergeCell ref="AX5582:AY5583"/>
    <mergeCell ref="AZ5582:AZ5583"/>
    <mergeCell ref="F5583:H5583"/>
    <mergeCell ref="X5583:AB5583"/>
    <mergeCell ref="AE5583:AI5583"/>
    <mergeCell ref="AJ5583:AL5583"/>
    <mergeCell ref="AN5583:AO5583"/>
    <mergeCell ref="AP5583:AQ5583"/>
    <mergeCell ref="A5584:A5585"/>
    <mergeCell ref="E5584:E5585"/>
    <mergeCell ref="F5584:H5584"/>
    <mergeCell ref="J5584:J5585"/>
    <mergeCell ref="K5584:L5585"/>
    <mergeCell ref="M5584:N5585"/>
    <mergeCell ref="O5584:P5585"/>
    <mergeCell ref="Q5584:R5585"/>
    <mergeCell ref="S5584:T5585"/>
    <mergeCell ref="U5584:V5585"/>
    <mergeCell ref="W5584:W5585"/>
    <mergeCell ref="X5584:AB5584"/>
    <mergeCell ref="AD5584:AI5584"/>
    <mergeCell ref="AJ5584:AL5584"/>
    <mergeCell ref="AN5584:AO5584"/>
    <mergeCell ref="AP5584:AQ5584"/>
    <mergeCell ref="AR5584:AS5585"/>
    <mergeCell ref="AT5584:AU5585"/>
    <mergeCell ref="AV5584:AW5585"/>
    <mergeCell ref="AX5584:AY5585"/>
    <mergeCell ref="AZ5584:AZ5585"/>
    <mergeCell ref="F5585:H5585"/>
    <mergeCell ref="X5585:AB5585"/>
    <mergeCell ref="AE5585:AI5585"/>
    <mergeCell ref="AJ5585:AL5585"/>
    <mergeCell ref="AN5585:AO5585"/>
    <mergeCell ref="AP5585:AQ5585"/>
    <mergeCell ref="A5586:A5587"/>
    <mergeCell ref="E5586:E5587"/>
    <mergeCell ref="F5586:H5586"/>
    <mergeCell ref="J5586:J5587"/>
    <mergeCell ref="K5586:L5587"/>
    <mergeCell ref="M5586:N5587"/>
    <mergeCell ref="O5586:P5587"/>
    <mergeCell ref="Q5586:R5587"/>
    <mergeCell ref="S5586:T5587"/>
    <mergeCell ref="U5586:V5587"/>
    <mergeCell ref="W5586:W5587"/>
    <mergeCell ref="X5586:AB5586"/>
    <mergeCell ref="AD5586:AI5586"/>
    <mergeCell ref="AJ5586:AL5586"/>
    <mergeCell ref="AN5586:AO5586"/>
    <mergeCell ref="AP5586:AQ5586"/>
    <mergeCell ref="AR5586:AS5587"/>
    <mergeCell ref="AT5586:AU5587"/>
    <mergeCell ref="AV5586:AW5587"/>
    <mergeCell ref="AX5586:AY5587"/>
    <mergeCell ref="AZ5586:AZ5587"/>
    <mergeCell ref="F5587:H5587"/>
    <mergeCell ref="X5587:AB5587"/>
    <mergeCell ref="AE5587:AI5587"/>
    <mergeCell ref="AJ5587:AL5587"/>
    <mergeCell ref="AN5587:AO5587"/>
    <mergeCell ref="AP5587:AQ5587"/>
    <mergeCell ref="A5588:A5589"/>
    <mergeCell ref="E5588:E5589"/>
    <mergeCell ref="F5588:H5588"/>
    <mergeCell ref="J5588:J5589"/>
    <mergeCell ref="K5588:L5589"/>
    <mergeCell ref="M5588:N5589"/>
    <mergeCell ref="O5588:P5589"/>
    <mergeCell ref="Q5588:R5589"/>
    <mergeCell ref="S5588:T5589"/>
    <mergeCell ref="U5588:V5589"/>
    <mergeCell ref="W5588:W5589"/>
    <mergeCell ref="X5588:AB5588"/>
    <mergeCell ref="AD5588:AI5588"/>
    <mergeCell ref="AJ5588:AL5588"/>
    <mergeCell ref="AN5588:AO5588"/>
    <mergeCell ref="AP5588:AQ5588"/>
    <mergeCell ref="AR5588:AS5589"/>
    <mergeCell ref="AT5588:AU5589"/>
    <mergeCell ref="AV5588:AW5589"/>
    <mergeCell ref="AX5588:AY5589"/>
    <mergeCell ref="AZ5588:AZ5589"/>
    <mergeCell ref="F5589:H5589"/>
    <mergeCell ref="X5589:AB5589"/>
    <mergeCell ref="AE5589:AI5589"/>
    <mergeCell ref="AJ5589:AL5589"/>
    <mergeCell ref="AN5589:AO5589"/>
    <mergeCell ref="AP5589:AQ5589"/>
    <mergeCell ref="A5590:A5591"/>
    <mergeCell ref="E5590:E5591"/>
    <mergeCell ref="F5590:H5590"/>
    <mergeCell ref="J5590:J5591"/>
    <mergeCell ref="K5590:L5591"/>
    <mergeCell ref="M5590:N5591"/>
    <mergeCell ref="O5590:P5591"/>
    <mergeCell ref="Q5590:R5591"/>
    <mergeCell ref="S5590:T5591"/>
    <mergeCell ref="U5590:V5591"/>
    <mergeCell ref="W5590:W5591"/>
    <mergeCell ref="X5590:AB5590"/>
    <mergeCell ref="AD5590:AI5590"/>
    <mergeCell ref="AJ5590:AL5590"/>
    <mergeCell ref="AN5590:AO5590"/>
    <mergeCell ref="AP5590:AQ5590"/>
    <mergeCell ref="AR5590:AS5591"/>
    <mergeCell ref="AT5590:AU5591"/>
    <mergeCell ref="AV5590:AW5591"/>
    <mergeCell ref="AX5590:AY5591"/>
    <mergeCell ref="AZ5590:AZ5591"/>
    <mergeCell ref="F5591:H5591"/>
    <mergeCell ref="X5591:AB5591"/>
    <mergeCell ref="AE5591:AI5591"/>
    <mergeCell ref="AJ5591:AL5591"/>
    <mergeCell ref="AN5591:AO5591"/>
    <mergeCell ref="AP5591:AQ5591"/>
    <mergeCell ref="A5592:A5593"/>
    <mergeCell ref="E5592:E5593"/>
    <mergeCell ref="F5592:H5592"/>
    <mergeCell ref="J5592:J5593"/>
    <mergeCell ref="K5592:L5593"/>
    <mergeCell ref="M5592:N5593"/>
    <mergeCell ref="O5592:P5593"/>
    <mergeCell ref="Q5592:R5593"/>
    <mergeCell ref="S5592:T5593"/>
    <mergeCell ref="U5592:V5593"/>
    <mergeCell ref="W5592:W5593"/>
    <mergeCell ref="X5592:AB5592"/>
    <mergeCell ref="AD5592:AI5592"/>
    <mergeCell ref="AJ5592:AL5592"/>
    <mergeCell ref="AN5592:AO5592"/>
    <mergeCell ref="AP5592:AQ5592"/>
    <mergeCell ref="AR5592:AS5593"/>
    <mergeCell ref="AT5592:AU5593"/>
    <mergeCell ref="AV5592:AW5593"/>
    <mergeCell ref="AX5592:AY5593"/>
    <mergeCell ref="AZ5592:AZ5593"/>
    <mergeCell ref="F5593:H5593"/>
    <mergeCell ref="X5593:AB5593"/>
    <mergeCell ref="AE5593:AI5593"/>
    <mergeCell ref="AJ5593:AL5593"/>
    <mergeCell ref="AN5593:AO5593"/>
    <mergeCell ref="AP5593:AQ5593"/>
    <mergeCell ref="A5594:A5595"/>
    <mergeCell ref="E5594:E5595"/>
    <mergeCell ref="F5594:H5594"/>
    <mergeCell ref="J5594:J5595"/>
    <mergeCell ref="K5594:L5595"/>
    <mergeCell ref="M5594:N5595"/>
    <mergeCell ref="O5594:P5595"/>
    <mergeCell ref="Q5594:R5595"/>
    <mergeCell ref="S5594:T5595"/>
    <mergeCell ref="U5594:V5595"/>
    <mergeCell ref="W5594:W5595"/>
    <mergeCell ref="X5594:AB5594"/>
    <mergeCell ref="AD5594:AI5594"/>
    <mergeCell ref="AJ5594:AL5594"/>
    <mergeCell ref="AN5594:AO5594"/>
    <mergeCell ref="AP5594:AQ5594"/>
    <mergeCell ref="AR5594:AS5595"/>
    <mergeCell ref="AT5594:AU5595"/>
    <mergeCell ref="AV5594:AW5595"/>
    <mergeCell ref="AX5594:AY5595"/>
    <mergeCell ref="AZ5594:AZ5595"/>
    <mergeCell ref="F5595:H5595"/>
    <mergeCell ref="X5595:AB5595"/>
    <mergeCell ref="AE5595:AI5595"/>
    <mergeCell ref="AJ5595:AL5595"/>
    <mergeCell ref="AN5595:AO5595"/>
    <mergeCell ref="AP5595:AQ5595"/>
    <mergeCell ref="A5596:A5597"/>
    <mergeCell ref="E5596:E5597"/>
    <mergeCell ref="F5596:H5596"/>
    <mergeCell ref="J5596:J5597"/>
    <mergeCell ref="K5596:L5597"/>
    <mergeCell ref="M5596:N5597"/>
    <mergeCell ref="O5596:P5597"/>
    <mergeCell ref="Q5596:R5597"/>
    <mergeCell ref="S5596:T5597"/>
    <mergeCell ref="U5596:V5597"/>
    <mergeCell ref="W5596:W5597"/>
    <mergeCell ref="X5596:AB5596"/>
    <mergeCell ref="AD5596:AI5596"/>
    <mergeCell ref="AJ5596:AL5596"/>
    <mergeCell ref="AN5596:AO5596"/>
    <mergeCell ref="AP5596:AQ5596"/>
    <mergeCell ref="AR5596:AS5597"/>
    <mergeCell ref="AT5596:AU5597"/>
    <mergeCell ref="AV5596:AW5597"/>
    <mergeCell ref="AX5596:AY5597"/>
    <mergeCell ref="AZ5596:AZ5597"/>
    <mergeCell ref="F5597:H5597"/>
    <mergeCell ref="X5597:AB5597"/>
    <mergeCell ref="AE5597:AI5597"/>
    <mergeCell ref="AJ5597:AL5597"/>
    <mergeCell ref="AN5597:AO5597"/>
    <mergeCell ref="AP5597:AQ5597"/>
    <mergeCell ref="A5598:A5599"/>
    <mergeCell ref="E5598:E5599"/>
    <mergeCell ref="F5598:H5598"/>
    <mergeCell ref="J5598:J5599"/>
    <mergeCell ref="K5598:L5599"/>
    <mergeCell ref="M5598:N5599"/>
    <mergeCell ref="O5598:P5599"/>
    <mergeCell ref="Q5598:R5599"/>
    <mergeCell ref="S5598:T5599"/>
    <mergeCell ref="U5598:V5599"/>
    <mergeCell ref="W5598:W5599"/>
    <mergeCell ref="X5598:AB5598"/>
    <mergeCell ref="AD5598:AI5598"/>
    <mergeCell ref="AJ5598:AL5598"/>
    <mergeCell ref="AN5598:AO5598"/>
    <mergeCell ref="AP5598:AQ5598"/>
    <mergeCell ref="AR5598:AS5599"/>
    <mergeCell ref="AT5598:AU5599"/>
    <mergeCell ref="AV5598:AW5599"/>
    <mergeCell ref="AX5598:AY5599"/>
    <mergeCell ref="AZ5598:AZ5599"/>
    <mergeCell ref="F5599:H5599"/>
    <mergeCell ref="X5599:AB5599"/>
    <mergeCell ref="AE5599:AI5599"/>
    <mergeCell ref="AJ5599:AL5599"/>
    <mergeCell ref="AN5599:AO5599"/>
    <mergeCell ref="AP5599:AQ5599"/>
    <mergeCell ref="A5600:A5601"/>
    <mergeCell ref="E5600:E5601"/>
    <mergeCell ref="F5600:H5600"/>
    <mergeCell ref="J5600:J5601"/>
    <mergeCell ref="K5600:L5601"/>
    <mergeCell ref="M5600:N5601"/>
    <mergeCell ref="O5600:P5601"/>
    <mergeCell ref="Q5600:R5601"/>
    <mergeCell ref="S5600:T5601"/>
    <mergeCell ref="U5600:V5601"/>
    <mergeCell ref="W5600:W5601"/>
    <mergeCell ref="X5600:AB5600"/>
    <mergeCell ref="AD5600:AI5600"/>
    <mergeCell ref="AJ5600:AL5600"/>
    <mergeCell ref="AN5600:AO5600"/>
    <mergeCell ref="AP5600:AQ5600"/>
    <mergeCell ref="AR5600:AS5601"/>
    <mergeCell ref="AT5600:AU5601"/>
    <mergeCell ref="AV5600:AW5601"/>
    <mergeCell ref="AX5600:AY5601"/>
    <mergeCell ref="AZ5600:AZ5601"/>
    <mergeCell ref="F5601:H5601"/>
    <mergeCell ref="X5601:AB5601"/>
    <mergeCell ref="AE5601:AI5601"/>
    <mergeCell ref="AJ5601:AL5601"/>
    <mergeCell ref="AN5601:AO5601"/>
    <mergeCell ref="AP5601:AQ5601"/>
    <mergeCell ref="A5602:A5603"/>
    <mergeCell ref="E5602:E5603"/>
    <mergeCell ref="F5602:H5602"/>
    <mergeCell ref="J5602:J5603"/>
    <mergeCell ref="K5602:L5603"/>
    <mergeCell ref="M5602:N5603"/>
    <mergeCell ref="O5602:P5603"/>
    <mergeCell ref="Q5602:R5603"/>
    <mergeCell ref="S5602:T5603"/>
    <mergeCell ref="U5602:V5603"/>
    <mergeCell ref="W5602:W5603"/>
    <mergeCell ref="X5602:AB5602"/>
    <mergeCell ref="AD5602:AI5602"/>
    <mergeCell ref="AJ5602:AL5602"/>
    <mergeCell ref="AN5602:AO5602"/>
    <mergeCell ref="AP5602:AQ5602"/>
    <mergeCell ref="AR5602:AS5603"/>
    <mergeCell ref="AT5602:AU5603"/>
    <mergeCell ref="AV5602:AW5603"/>
    <mergeCell ref="AX5602:AY5603"/>
    <mergeCell ref="AZ5602:AZ5603"/>
    <mergeCell ref="F5603:H5603"/>
    <mergeCell ref="X5603:AB5603"/>
    <mergeCell ref="AE5603:AI5603"/>
    <mergeCell ref="AJ5603:AL5603"/>
    <mergeCell ref="AN5603:AO5603"/>
    <mergeCell ref="AP5603:AQ5603"/>
    <mergeCell ref="A5604:A5605"/>
    <mergeCell ref="E5604:E5605"/>
    <mergeCell ref="F5604:H5604"/>
    <mergeCell ref="J5604:J5605"/>
    <mergeCell ref="K5604:L5605"/>
    <mergeCell ref="M5604:N5605"/>
    <mergeCell ref="O5604:P5605"/>
    <mergeCell ref="Q5604:R5605"/>
    <mergeCell ref="S5604:T5605"/>
    <mergeCell ref="U5604:V5605"/>
    <mergeCell ref="W5604:W5605"/>
    <mergeCell ref="X5604:AB5604"/>
    <mergeCell ref="AD5604:AI5604"/>
    <mergeCell ref="AJ5604:AL5604"/>
    <mergeCell ref="AN5604:AO5604"/>
    <mergeCell ref="AP5604:AQ5604"/>
    <mergeCell ref="AR5604:AS5605"/>
    <mergeCell ref="AT5604:AU5605"/>
    <mergeCell ref="AV5604:AW5605"/>
    <mergeCell ref="AX5604:AY5605"/>
    <mergeCell ref="AZ5604:AZ5605"/>
    <mergeCell ref="F5605:H5605"/>
    <mergeCell ref="X5605:AB5605"/>
    <mergeCell ref="AE5605:AI5605"/>
    <mergeCell ref="AJ5605:AL5605"/>
    <mergeCell ref="AN5605:AO5605"/>
    <mergeCell ref="AP5605:AQ5605"/>
    <mergeCell ref="A5606:A5607"/>
    <mergeCell ref="E5606:E5607"/>
    <mergeCell ref="F5606:H5606"/>
    <mergeCell ref="J5606:J5607"/>
    <mergeCell ref="K5606:L5607"/>
    <mergeCell ref="M5606:N5607"/>
    <mergeCell ref="O5606:P5607"/>
    <mergeCell ref="Q5606:R5607"/>
    <mergeCell ref="S5606:T5607"/>
    <mergeCell ref="U5606:V5607"/>
    <mergeCell ref="W5606:W5607"/>
    <mergeCell ref="X5606:AB5606"/>
    <mergeCell ref="AD5606:AI5606"/>
    <mergeCell ref="AJ5606:AL5606"/>
    <mergeCell ref="AN5606:AO5606"/>
    <mergeCell ref="AP5606:AQ5606"/>
    <mergeCell ref="AR5606:AS5607"/>
    <mergeCell ref="AT5606:AU5607"/>
    <mergeCell ref="AV5606:AW5607"/>
    <mergeCell ref="AX5606:AY5607"/>
    <mergeCell ref="AZ5606:AZ5607"/>
    <mergeCell ref="F5607:H5607"/>
    <mergeCell ref="X5607:AB5607"/>
    <mergeCell ref="AE5607:AI5607"/>
    <mergeCell ref="AJ5607:AL5607"/>
    <mergeCell ref="AN5607:AO5607"/>
    <mergeCell ref="AP5607:AQ5607"/>
    <mergeCell ref="A5608:A5609"/>
    <mergeCell ref="E5608:E5609"/>
    <mergeCell ref="F5608:H5608"/>
    <mergeCell ref="J5608:J5609"/>
    <mergeCell ref="K5608:L5609"/>
    <mergeCell ref="M5608:N5609"/>
    <mergeCell ref="O5608:P5609"/>
    <mergeCell ref="Q5608:R5609"/>
    <mergeCell ref="S5608:T5609"/>
    <mergeCell ref="U5608:V5609"/>
    <mergeCell ref="W5608:W5609"/>
    <mergeCell ref="X5608:AB5608"/>
    <mergeCell ref="AD5608:AI5608"/>
    <mergeCell ref="AJ5608:AL5608"/>
    <mergeCell ref="AN5608:AO5608"/>
    <mergeCell ref="AP5608:AQ5608"/>
    <mergeCell ref="AR5608:AS5609"/>
    <mergeCell ref="AT5608:AU5609"/>
    <mergeCell ref="AV5608:AW5609"/>
    <mergeCell ref="AX5608:AY5609"/>
    <mergeCell ref="AZ5608:AZ5609"/>
    <mergeCell ref="F5609:H5609"/>
    <mergeCell ref="X5609:AB5609"/>
    <mergeCell ref="AE5609:AI5609"/>
    <mergeCell ref="AJ5609:AL5609"/>
    <mergeCell ref="AN5609:AO5609"/>
    <mergeCell ref="AP5609:AQ5609"/>
    <mergeCell ref="A5610:A5611"/>
    <mergeCell ref="E5610:E5611"/>
    <mergeCell ref="F5610:H5610"/>
    <mergeCell ref="J5610:J5611"/>
    <mergeCell ref="K5610:L5611"/>
    <mergeCell ref="M5610:N5611"/>
    <mergeCell ref="O5610:P5611"/>
    <mergeCell ref="Q5610:R5611"/>
    <mergeCell ref="S5610:T5611"/>
    <mergeCell ref="U5610:V5611"/>
    <mergeCell ref="W5610:W5611"/>
    <mergeCell ref="X5610:AB5610"/>
    <mergeCell ref="AD5610:AI5610"/>
    <mergeCell ref="AJ5610:AL5610"/>
    <mergeCell ref="AN5610:AO5610"/>
    <mergeCell ref="AP5610:AQ5610"/>
    <mergeCell ref="AR5610:AS5611"/>
    <mergeCell ref="AT5610:AU5611"/>
    <mergeCell ref="AV5610:AW5611"/>
    <mergeCell ref="AX5610:AY5611"/>
    <mergeCell ref="AZ5610:AZ5611"/>
    <mergeCell ref="F5611:H5611"/>
    <mergeCell ref="X5611:AB5611"/>
    <mergeCell ref="AE5611:AI5611"/>
    <mergeCell ref="AJ5611:AL5611"/>
    <mergeCell ref="AN5611:AO5611"/>
    <mergeCell ref="AP5611:AQ5611"/>
    <mergeCell ref="A5612:A5613"/>
    <mergeCell ref="E5612:E5613"/>
    <mergeCell ref="F5612:H5612"/>
    <mergeCell ref="J5612:J5613"/>
    <mergeCell ref="K5612:L5613"/>
    <mergeCell ref="M5612:N5613"/>
    <mergeCell ref="O5612:P5613"/>
    <mergeCell ref="Q5612:R5613"/>
    <mergeCell ref="S5612:T5613"/>
    <mergeCell ref="U5612:V5613"/>
    <mergeCell ref="W5612:W5613"/>
    <mergeCell ref="X5612:AB5612"/>
    <mergeCell ref="AD5612:AI5612"/>
    <mergeCell ref="AJ5612:AL5612"/>
    <mergeCell ref="AN5612:AO5612"/>
    <mergeCell ref="AP5612:AQ5612"/>
    <mergeCell ref="AR5612:AS5613"/>
    <mergeCell ref="AT5612:AU5613"/>
    <mergeCell ref="AV5612:AW5613"/>
    <mergeCell ref="AX5612:AY5613"/>
    <mergeCell ref="AZ5612:AZ5613"/>
    <mergeCell ref="F5613:H5613"/>
    <mergeCell ref="X5613:AB5613"/>
    <mergeCell ref="AE5613:AI5613"/>
    <mergeCell ref="AJ5613:AL5613"/>
    <mergeCell ref="AN5613:AO5613"/>
    <mergeCell ref="AP5613:AQ5613"/>
    <mergeCell ref="A5614:A5615"/>
    <mergeCell ref="E5614:E5615"/>
    <mergeCell ref="F5614:H5614"/>
    <mergeCell ref="J5614:J5615"/>
    <mergeCell ref="K5614:L5615"/>
    <mergeCell ref="M5614:N5615"/>
    <mergeCell ref="O5614:P5615"/>
    <mergeCell ref="Q5614:R5615"/>
    <mergeCell ref="S5614:T5615"/>
    <mergeCell ref="U5614:V5615"/>
    <mergeCell ref="W5614:W5615"/>
    <mergeCell ref="X5614:AB5614"/>
    <mergeCell ref="AD5614:AI5614"/>
    <mergeCell ref="AJ5614:AL5614"/>
    <mergeCell ref="AN5614:AO5614"/>
    <mergeCell ref="AP5614:AQ5614"/>
    <mergeCell ref="AR5614:AS5615"/>
    <mergeCell ref="AT5614:AU5615"/>
    <mergeCell ref="AV5614:AW5615"/>
    <mergeCell ref="AX5614:AY5615"/>
    <mergeCell ref="AZ5614:AZ5615"/>
    <mergeCell ref="F5615:H5615"/>
    <mergeCell ref="X5615:AB5615"/>
    <mergeCell ref="AE5615:AI5615"/>
    <mergeCell ref="AJ5615:AL5615"/>
    <mergeCell ref="AN5615:AO5615"/>
    <mergeCell ref="AP5615:AQ5615"/>
    <mergeCell ref="A5616:A5617"/>
    <mergeCell ref="E5616:E5617"/>
    <mergeCell ref="F5616:H5616"/>
    <mergeCell ref="J5616:J5617"/>
    <mergeCell ref="K5616:L5617"/>
    <mergeCell ref="M5616:N5617"/>
    <mergeCell ref="O5616:P5617"/>
    <mergeCell ref="Q5616:R5617"/>
    <mergeCell ref="S5616:T5617"/>
    <mergeCell ref="U5616:V5617"/>
    <mergeCell ref="W5616:W5617"/>
    <mergeCell ref="X5616:AB5616"/>
    <mergeCell ref="AD5616:AI5616"/>
    <mergeCell ref="AJ5616:AL5616"/>
    <mergeCell ref="AN5616:AO5616"/>
    <mergeCell ref="AP5616:AQ5616"/>
    <mergeCell ref="AR5616:AS5617"/>
    <mergeCell ref="AT5616:AU5617"/>
    <mergeCell ref="AV5616:AW5617"/>
    <mergeCell ref="AX5616:AY5617"/>
    <mergeCell ref="AZ5616:AZ5617"/>
    <mergeCell ref="F5617:H5617"/>
    <mergeCell ref="X5617:AB5617"/>
    <mergeCell ref="AE5617:AI5617"/>
    <mergeCell ref="AJ5617:AL5617"/>
    <mergeCell ref="AN5617:AO5617"/>
    <mergeCell ref="AP5617:AQ5617"/>
    <mergeCell ref="A5618:A5619"/>
    <mergeCell ref="E5618:E5619"/>
    <mergeCell ref="F5618:H5618"/>
    <mergeCell ref="J5618:J5619"/>
    <mergeCell ref="K5618:L5619"/>
    <mergeCell ref="M5618:N5619"/>
    <mergeCell ref="O5618:P5619"/>
    <mergeCell ref="Q5618:R5619"/>
    <mergeCell ref="S5618:T5619"/>
    <mergeCell ref="U5618:V5619"/>
    <mergeCell ref="W5618:W5619"/>
    <mergeCell ref="X5618:AB5618"/>
    <mergeCell ref="AD5618:AI5618"/>
    <mergeCell ref="AJ5618:AL5618"/>
    <mergeCell ref="AN5618:AO5618"/>
    <mergeCell ref="AP5618:AQ5618"/>
    <mergeCell ref="AR5618:AS5619"/>
    <mergeCell ref="AT5618:AU5619"/>
    <mergeCell ref="AV5618:AW5619"/>
    <mergeCell ref="AX5618:AY5619"/>
    <mergeCell ref="AZ5618:AZ5619"/>
    <mergeCell ref="F5619:H5619"/>
    <mergeCell ref="X5619:AB5619"/>
    <mergeCell ref="AE5619:AI5619"/>
    <mergeCell ref="AJ5619:AL5619"/>
    <mergeCell ref="AN5619:AO5619"/>
    <mergeCell ref="AP5619:AQ5619"/>
    <mergeCell ref="A5620:A5621"/>
    <mergeCell ref="E5620:E5621"/>
    <mergeCell ref="F5620:H5620"/>
    <mergeCell ref="J5620:J5621"/>
    <mergeCell ref="K5620:L5621"/>
    <mergeCell ref="M5620:N5621"/>
    <mergeCell ref="O5620:P5621"/>
    <mergeCell ref="Q5620:R5621"/>
    <mergeCell ref="S5620:T5621"/>
    <mergeCell ref="U5620:V5621"/>
    <mergeCell ref="W5620:W5621"/>
    <mergeCell ref="X5620:AB5620"/>
    <mergeCell ref="AD5620:AI5620"/>
    <mergeCell ref="AJ5620:AL5620"/>
    <mergeCell ref="AN5620:AO5620"/>
    <mergeCell ref="AP5620:AQ5620"/>
    <mergeCell ref="AR5620:AS5621"/>
    <mergeCell ref="AT5620:AU5621"/>
    <mergeCell ref="AV5620:AW5621"/>
    <mergeCell ref="AX5620:AY5621"/>
    <mergeCell ref="AZ5620:AZ5621"/>
    <mergeCell ref="F5621:H5621"/>
    <mergeCell ref="X5621:AB5621"/>
    <mergeCell ref="AE5621:AI5621"/>
    <mergeCell ref="AJ5621:AL5621"/>
    <mergeCell ref="AN5621:AO5621"/>
    <mergeCell ref="AP5621:AQ5621"/>
    <mergeCell ref="A5622:A5623"/>
    <mergeCell ref="E5622:E5623"/>
    <mergeCell ref="F5622:H5622"/>
    <mergeCell ref="J5622:J5623"/>
    <mergeCell ref="K5622:L5623"/>
    <mergeCell ref="M5622:N5623"/>
    <mergeCell ref="O5622:P5623"/>
    <mergeCell ref="Q5622:R5623"/>
    <mergeCell ref="S5622:T5623"/>
    <mergeCell ref="U5622:V5623"/>
    <mergeCell ref="W5622:W5623"/>
    <mergeCell ref="X5622:AB5622"/>
    <mergeCell ref="AD5622:AI5622"/>
    <mergeCell ref="AJ5622:AL5622"/>
    <mergeCell ref="AN5622:AO5622"/>
    <mergeCell ref="AP5622:AQ5622"/>
    <mergeCell ref="AR5622:AS5623"/>
    <mergeCell ref="AT5622:AU5623"/>
    <mergeCell ref="AV5622:AW5623"/>
    <mergeCell ref="AX5622:AY5623"/>
    <mergeCell ref="AZ5622:AZ5623"/>
    <mergeCell ref="F5623:H5623"/>
    <mergeCell ref="X5623:AB5623"/>
    <mergeCell ref="AE5623:AI5623"/>
    <mergeCell ref="AJ5623:AL5623"/>
    <mergeCell ref="AN5623:AO5623"/>
    <mergeCell ref="AP5623:AQ5623"/>
    <mergeCell ref="A5624:A5625"/>
    <mergeCell ref="E5624:E5625"/>
    <mergeCell ref="F5624:H5624"/>
    <mergeCell ref="J5624:J5625"/>
    <mergeCell ref="K5624:L5625"/>
    <mergeCell ref="M5624:N5625"/>
    <mergeCell ref="O5624:P5625"/>
    <mergeCell ref="Q5624:R5625"/>
    <mergeCell ref="S5624:T5625"/>
    <mergeCell ref="U5624:V5625"/>
    <mergeCell ref="W5624:W5625"/>
    <mergeCell ref="X5624:AB5624"/>
    <mergeCell ref="AD5624:AI5624"/>
    <mergeCell ref="AJ5624:AL5624"/>
    <mergeCell ref="AN5624:AO5624"/>
    <mergeCell ref="AP5624:AQ5624"/>
    <mergeCell ref="AR5624:AS5625"/>
    <mergeCell ref="AT5624:AU5625"/>
    <mergeCell ref="AV5624:AW5625"/>
    <mergeCell ref="AX5624:AY5625"/>
    <mergeCell ref="AZ5624:AZ5625"/>
    <mergeCell ref="F5625:H5625"/>
    <mergeCell ref="X5625:AB5625"/>
    <mergeCell ref="AE5625:AI5625"/>
    <mergeCell ref="AJ5625:AL5625"/>
    <mergeCell ref="AN5625:AO5625"/>
    <mergeCell ref="AP5625:AQ5625"/>
    <mergeCell ref="A5626:A5627"/>
    <mergeCell ref="E5626:E5627"/>
    <mergeCell ref="F5626:H5626"/>
    <mergeCell ref="J5626:J5627"/>
    <mergeCell ref="K5626:L5627"/>
    <mergeCell ref="M5626:N5627"/>
    <mergeCell ref="O5626:P5627"/>
    <mergeCell ref="Q5626:R5627"/>
    <mergeCell ref="S5626:T5627"/>
    <mergeCell ref="U5626:V5627"/>
    <mergeCell ref="W5626:W5627"/>
    <mergeCell ref="X5626:AB5626"/>
    <mergeCell ref="AD5626:AI5626"/>
    <mergeCell ref="AJ5626:AL5626"/>
    <mergeCell ref="AN5626:AO5626"/>
    <mergeCell ref="AP5626:AQ5626"/>
    <mergeCell ref="AR5626:AS5627"/>
    <mergeCell ref="AT5626:AU5627"/>
    <mergeCell ref="AV5626:AW5627"/>
    <mergeCell ref="AX5626:AY5627"/>
    <mergeCell ref="AZ5626:AZ5627"/>
    <mergeCell ref="F5627:H5627"/>
    <mergeCell ref="X5627:AB5627"/>
    <mergeCell ref="AE5627:AI5627"/>
    <mergeCell ref="AJ5627:AL5627"/>
    <mergeCell ref="AN5627:AO5627"/>
    <mergeCell ref="AP5627:AQ5627"/>
    <mergeCell ref="A5830:A5831"/>
    <mergeCell ref="E5830:E5831"/>
    <mergeCell ref="F5830:H5830"/>
    <mergeCell ref="J5830:J5831"/>
    <mergeCell ref="K5830:L5831"/>
    <mergeCell ref="M5830:N5831"/>
    <mergeCell ref="O5830:P5831"/>
    <mergeCell ref="Q5830:R5831"/>
    <mergeCell ref="S5830:T5831"/>
    <mergeCell ref="U5830:V5831"/>
    <mergeCell ref="W5830:W5831"/>
    <mergeCell ref="X5830:AB5830"/>
    <mergeCell ref="AD5830:AI5830"/>
    <mergeCell ref="AJ5830:AL5830"/>
    <mergeCell ref="AN5830:AO5830"/>
    <mergeCell ref="AP5830:AQ5830"/>
    <mergeCell ref="AR5830:AS5831"/>
    <mergeCell ref="AT5830:AU5831"/>
    <mergeCell ref="AV5830:AW5831"/>
    <mergeCell ref="AX5830:AY5831"/>
    <mergeCell ref="AZ5830:AZ5831"/>
    <mergeCell ref="F5831:H5831"/>
    <mergeCell ref="X5831:AB5831"/>
    <mergeCell ref="AE5831:AI5831"/>
    <mergeCell ref="AJ5831:AL5831"/>
    <mergeCell ref="AN5831:AO5831"/>
    <mergeCell ref="AP5831:AQ5831"/>
    <mergeCell ref="A5832:A5833"/>
    <mergeCell ref="E5832:E5833"/>
    <mergeCell ref="F5832:H5832"/>
    <mergeCell ref="J5832:J5833"/>
    <mergeCell ref="K5832:L5833"/>
    <mergeCell ref="M5832:N5833"/>
    <mergeCell ref="O5832:P5833"/>
    <mergeCell ref="Q5832:R5833"/>
    <mergeCell ref="S5832:T5833"/>
    <mergeCell ref="U5832:V5833"/>
    <mergeCell ref="W5832:W5833"/>
    <mergeCell ref="X5832:AB5832"/>
    <mergeCell ref="AD5832:AI5832"/>
    <mergeCell ref="AJ5832:AL5832"/>
    <mergeCell ref="AN5832:AO5832"/>
    <mergeCell ref="AP5832:AQ5832"/>
    <mergeCell ref="AR5832:AS5833"/>
    <mergeCell ref="AT5832:AU5833"/>
    <mergeCell ref="AV5832:AW5833"/>
    <mergeCell ref="AX5832:AY5833"/>
    <mergeCell ref="AZ5832:AZ5833"/>
    <mergeCell ref="F5833:H5833"/>
    <mergeCell ref="X5833:AB5833"/>
    <mergeCell ref="AE5833:AI5833"/>
    <mergeCell ref="AJ5833:AL5833"/>
    <mergeCell ref="AN5833:AO5833"/>
    <mergeCell ref="AP5833:AQ5833"/>
    <mergeCell ref="A5834:A5835"/>
    <mergeCell ref="E5834:E5835"/>
    <mergeCell ref="F5834:H5834"/>
    <mergeCell ref="J5834:J5835"/>
    <mergeCell ref="K5834:L5835"/>
    <mergeCell ref="M5834:N5835"/>
    <mergeCell ref="O5834:P5835"/>
    <mergeCell ref="Q5834:R5835"/>
    <mergeCell ref="S5834:T5835"/>
    <mergeCell ref="U5834:V5835"/>
    <mergeCell ref="W5834:W5835"/>
    <mergeCell ref="X5834:AB5834"/>
    <mergeCell ref="AD5834:AI5834"/>
    <mergeCell ref="AJ5834:AL5834"/>
    <mergeCell ref="AN5834:AO5834"/>
    <mergeCell ref="AP5834:AQ5834"/>
    <mergeCell ref="AR5834:AS5835"/>
    <mergeCell ref="AT5834:AU5835"/>
    <mergeCell ref="AV5834:AW5835"/>
    <mergeCell ref="AX5834:AY5835"/>
    <mergeCell ref="AZ5834:AZ5835"/>
    <mergeCell ref="F5835:H5835"/>
    <mergeCell ref="X5835:AB5835"/>
    <mergeCell ref="AE5835:AI5835"/>
    <mergeCell ref="AJ5835:AL5835"/>
    <mergeCell ref="AN5835:AO5835"/>
    <mergeCell ref="AP5835:AQ5835"/>
    <mergeCell ref="A5836:A5837"/>
    <mergeCell ref="E5836:E5837"/>
    <mergeCell ref="F5836:H5836"/>
    <mergeCell ref="J5836:J5837"/>
    <mergeCell ref="K5836:L5837"/>
    <mergeCell ref="M5836:N5837"/>
    <mergeCell ref="O5836:P5837"/>
    <mergeCell ref="Q5836:R5837"/>
    <mergeCell ref="S5836:T5837"/>
    <mergeCell ref="U5836:V5837"/>
    <mergeCell ref="W5836:W5837"/>
    <mergeCell ref="X5836:AB5836"/>
    <mergeCell ref="AD5836:AI5836"/>
    <mergeCell ref="AJ5836:AL5836"/>
    <mergeCell ref="AN5836:AO5836"/>
    <mergeCell ref="AP5836:AQ5836"/>
    <mergeCell ref="AR5836:AS5837"/>
    <mergeCell ref="AT5836:AU5837"/>
    <mergeCell ref="AV5836:AW5837"/>
    <mergeCell ref="AX5836:AY5837"/>
    <mergeCell ref="AZ5836:AZ5837"/>
    <mergeCell ref="F5837:H5837"/>
    <mergeCell ref="X5837:AB5837"/>
    <mergeCell ref="AE5837:AI5837"/>
    <mergeCell ref="AJ5837:AL5837"/>
    <mergeCell ref="AN5837:AO5837"/>
    <mergeCell ref="AP5837:AQ5837"/>
    <mergeCell ref="A5838:A5839"/>
    <mergeCell ref="E5838:E5839"/>
    <mergeCell ref="F5838:H5838"/>
    <mergeCell ref="J5838:J5839"/>
    <mergeCell ref="K5838:L5839"/>
    <mergeCell ref="M5838:N5839"/>
    <mergeCell ref="O5838:P5839"/>
    <mergeCell ref="Q5838:R5839"/>
    <mergeCell ref="S5838:T5839"/>
    <mergeCell ref="U5838:V5839"/>
    <mergeCell ref="W5838:W5839"/>
    <mergeCell ref="X5838:AB5838"/>
    <mergeCell ref="AD5838:AI5838"/>
    <mergeCell ref="AJ5838:AL5838"/>
    <mergeCell ref="AN5838:AO5838"/>
    <mergeCell ref="AP5838:AQ5838"/>
    <mergeCell ref="AR5838:AS5839"/>
    <mergeCell ref="AT5838:AU5839"/>
    <mergeCell ref="AV5838:AW5839"/>
    <mergeCell ref="AX5838:AY5839"/>
    <mergeCell ref="AZ5838:AZ5839"/>
    <mergeCell ref="F5839:H5839"/>
    <mergeCell ref="X5839:AB5839"/>
    <mergeCell ref="AE5839:AI5839"/>
    <mergeCell ref="AJ5839:AL5839"/>
    <mergeCell ref="AN5839:AO5839"/>
    <mergeCell ref="AP5839:AQ5839"/>
    <mergeCell ref="A5840:A5841"/>
    <mergeCell ref="E5840:E5841"/>
    <mergeCell ref="F5840:H5840"/>
    <mergeCell ref="J5840:J5841"/>
    <mergeCell ref="K5840:L5841"/>
    <mergeCell ref="M5840:N5841"/>
    <mergeCell ref="O5840:P5841"/>
    <mergeCell ref="Q5840:R5841"/>
    <mergeCell ref="S5840:T5841"/>
    <mergeCell ref="U5840:V5841"/>
    <mergeCell ref="W5840:W5841"/>
    <mergeCell ref="X5840:AB5840"/>
    <mergeCell ref="AD5840:AI5840"/>
    <mergeCell ref="AJ5840:AL5840"/>
    <mergeCell ref="AN5840:AO5840"/>
    <mergeCell ref="AP5840:AQ5840"/>
    <mergeCell ref="AR5840:AS5841"/>
    <mergeCell ref="AT5840:AU5841"/>
    <mergeCell ref="AV5840:AW5841"/>
    <mergeCell ref="AX5840:AY5841"/>
    <mergeCell ref="AZ5840:AZ5841"/>
    <mergeCell ref="F5841:H5841"/>
    <mergeCell ref="X5841:AB5841"/>
    <mergeCell ref="AE5841:AI5841"/>
    <mergeCell ref="AJ5841:AL5841"/>
    <mergeCell ref="AN5841:AO5841"/>
    <mergeCell ref="AP5841:AQ5841"/>
    <mergeCell ref="A5842:A5843"/>
    <mergeCell ref="E5842:E5843"/>
    <mergeCell ref="F5842:H5842"/>
    <mergeCell ref="J5842:J5843"/>
    <mergeCell ref="K5842:L5843"/>
    <mergeCell ref="M5842:N5843"/>
    <mergeCell ref="O5842:P5843"/>
    <mergeCell ref="Q5842:R5843"/>
    <mergeCell ref="S5842:T5843"/>
    <mergeCell ref="U5842:V5843"/>
    <mergeCell ref="W5842:W5843"/>
    <mergeCell ref="X5842:AB5842"/>
    <mergeCell ref="AD5842:AI5842"/>
    <mergeCell ref="AJ5842:AL5842"/>
    <mergeCell ref="AN5842:AO5842"/>
    <mergeCell ref="AP5842:AQ5842"/>
    <mergeCell ref="AR5842:AS5843"/>
    <mergeCell ref="AT5842:AU5843"/>
    <mergeCell ref="AV5842:AW5843"/>
    <mergeCell ref="AX5842:AY5843"/>
    <mergeCell ref="AZ5842:AZ5843"/>
    <mergeCell ref="F5843:H5843"/>
    <mergeCell ref="X5843:AB5843"/>
    <mergeCell ref="AE5843:AI5843"/>
    <mergeCell ref="AJ5843:AL5843"/>
    <mergeCell ref="AN5843:AO5843"/>
    <mergeCell ref="AP5843:AQ5843"/>
    <mergeCell ref="A5844:A5845"/>
    <mergeCell ref="E5844:E5845"/>
    <mergeCell ref="F5844:H5844"/>
    <mergeCell ref="J5844:J5845"/>
    <mergeCell ref="K5844:L5845"/>
    <mergeCell ref="M5844:N5845"/>
    <mergeCell ref="O5844:P5845"/>
    <mergeCell ref="Q5844:R5845"/>
    <mergeCell ref="S5844:T5845"/>
    <mergeCell ref="U5844:V5845"/>
    <mergeCell ref="W5844:W5845"/>
    <mergeCell ref="X5844:AB5844"/>
    <mergeCell ref="AD5844:AI5844"/>
    <mergeCell ref="AJ5844:AL5844"/>
    <mergeCell ref="AN5844:AO5844"/>
    <mergeCell ref="AP5844:AQ5844"/>
    <mergeCell ref="AR5844:AS5845"/>
    <mergeCell ref="AT5844:AU5845"/>
    <mergeCell ref="AV5844:AW5845"/>
    <mergeCell ref="AX5844:AY5845"/>
    <mergeCell ref="AZ5844:AZ5845"/>
    <mergeCell ref="F5845:H5845"/>
    <mergeCell ref="X5845:AB5845"/>
    <mergeCell ref="AE5845:AI5845"/>
    <mergeCell ref="AJ5845:AL5845"/>
    <mergeCell ref="AN5845:AO5845"/>
    <mergeCell ref="AP5845:AQ5845"/>
    <mergeCell ref="A5846:A5847"/>
    <mergeCell ref="E5846:E5847"/>
    <mergeCell ref="F5846:H5846"/>
    <mergeCell ref="J5846:J5847"/>
    <mergeCell ref="K5846:L5847"/>
    <mergeCell ref="M5846:N5847"/>
    <mergeCell ref="O5846:P5847"/>
    <mergeCell ref="Q5846:R5847"/>
    <mergeCell ref="S5846:T5847"/>
    <mergeCell ref="U5846:V5847"/>
    <mergeCell ref="W5846:W5847"/>
    <mergeCell ref="X5846:AB5846"/>
    <mergeCell ref="AD5846:AI5846"/>
    <mergeCell ref="AJ5846:AL5846"/>
    <mergeCell ref="AN5846:AO5846"/>
    <mergeCell ref="AP5846:AQ5846"/>
    <mergeCell ref="AR5846:AS5847"/>
    <mergeCell ref="AT5846:AU5847"/>
    <mergeCell ref="AV5846:AW5847"/>
    <mergeCell ref="AX5846:AY5847"/>
    <mergeCell ref="AZ5846:AZ5847"/>
    <mergeCell ref="F5847:H5847"/>
    <mergeCell ref="X5847:AB5847"/>
    <mergeCell ref="AE5847:AI5847"/>
    <mergeCell ref="AJ5847:AL5847"/>
    <mergeCell ref="AN5847:AO5847"/>
    <mergeCell ref="AP5847:AQ5847"/>
    <mergeCell ref="A5848:A5849"/>
    <mergeCell ref="E5848:E5849"/>
    <mergeCell ref="F5848:H5848"/>
    <mergeCell ref="J5848:J5849"/>
    <mergeCell ref="K5848:L5849"/>
    <mergeCell ref="M5848:N5849"/>
    <mergeCell ref="O5848:P5849"/>
    <mergeCell ref="Q5848:R5849"/>
    <mergeCell ref="S5848:T5849"/>
    <mergeCell ref="U5848:V5849"/>
    <mergeCell ref="W5848:W5849"/>
    <mergeCell ref="X5848:AB5848"/>
    <mergeCell ref="AD5848:AI5848"/>
    <mergeCell ref="AJ5848:AL5848"/>
    <mergeCell ref="AN5848:AO5848"/>
    <mergeCell ref="AP5848:AQ5848"/>
    <mergeCell ref="AR5848:AS5849"/>
    <mergeCell ref="AT5848:AU5849"/>
    <mergeCell ref="AV5848:AW5849"/>
    <mergeCell ref="AX5848:AY5849"/>
    <mergeCell ref="AZ5848:AZ5849"/>
    <mergeCell ref="F5849:H5849"/>
    <mergeCell ref="X5849:AB5849"/>
    <mergeCell ref="AE5849:AI5849"/>
    <mergeCell ref="AJ5849:AL5849"/>
    <mergeCell ref="AN5849:AO5849"/>
    <mergeCell ref="AP5849:AQ5849"/>
    <mergeCell ref="A5850:A5851"/>
    <mergeCell ref="E5850:E5851"/>
    <mergeCell ref="F5850:H5850"/>
    <mergeCell ref="J5850:J5851"/>
    <mergeCell ref="K5850:L5851"/>
    <mergeCell ref="M5850:N5851"/>
    <mergeCell ref="O5850:P5851"/>
    <mergeCell ref="Q5850:R5851"/>
    <mergeCell ref="S5850:T5851"/>
    <mergeCell ref="U5850:V5851"/>
    <mergeCell ref="W5850:W5851"/>
    <mergeCell ref="X5850:AB5850"/>
    <mergeCell ref="AD5850:AI5850"/>
    <mergeCell ref="AJ5850:AL5850"/>
    <mergeCell ref="AN5850:AO5850"/>
    <mergeCell ref="AP5850:AQ5850"/>
    <mergeCell ref="AR5850:AS5851"/>
    <mergeCell ref="AT5850:AU5851"/>
    <mergeCell ref="AV5850:AW5851"/>
    <mergeCell ref="AX5850:AY5851"/>
    <mergeCell ref="AZ5850:AZ5851"/>
    <mergeCell ref="F5851:H5851"/>
    <mergeCell ref="X5851:AB5851"/>
    <mergeCell ref="AE5851:AI5851"/>
    <mergeCell ref="AJ5851:AL5851"/>
    <mergeCell ref="AN5851:AO5851"/>
    <mergeCell ref="AP5851:AQ5851"/>
    <mergeCell ref="A5852:A5853"/>
    <mergeCell ref="E5852:E5853"/>
    <mergeCell ref="F5852:H5852"/>
    <mergeCell ref="J5852:J5853"/>
    <mergeCell ref="K5852:L5853"/>
    <mergeCell ref="M5852:N5853"/>
    <mergeCell ref="O5852:P5853"/>
    <mergeCell ref="Q5852:R5853"/>
    <mergeCell ref="S5852:T5853"/>
    <mergeCell ref="U5852:V5853"/>
    <mergeCell ref="W5852:W5853"/>
    <mergeCell ref="X5852:AB5852"/>
    <mergeCell ref="AD5852:AI5852"/>
    <mergeCell ref="AJ5852:AL5852"/>
    <mergeCell ref="AN5852:AO5852"/>
    <mergeCell ref="AP5852:AQ5852"/>
    <mergeCell ref="AR5852:AS5853"/>
    <mergeCell ref="AT5852:AU5853"/>
    <mergeCell ref="AV5852:AW5853"/>
    <mergeCell ref="AX5852:AY5853"/>
    <mergeCell ref="AZ5852:AZ5853"/>
    <mergeCell ref="F5853:H5853"/>
    <mergeCell ref="X5853:AB5853"/>
    <mergeCell ref="AE5853:AI5853"/>
    <mergeCell ref="AJ5853:AL5853"/>
    <mergeCell ref="AN5853:AO5853"/>
    <mergeCell ref="AP5853:AQ5853"/>
    <mergeCell ref="A5854:A5855"/>
    <mergeCell ref="E5854:E5855"/>
    <mergeCell ref="F5854:H5854"/>
    <mergeCell ref="J5854:J5855"/>
    <mergeCell ref="K5854:L5855"/>
    <mergeCell ref="M5854:N5855"/>
    <mergeCell ref="O5854:P5855"/>
    <mergeCell ref="Q5854:R5855"/>
    <mergeCell ref="S5854:T5855"/>
    <mergeCell ref="U5854:V5855"/>
    <mergeCell ref="W5854:W5855"/>
    <mergeCell ref="X5854:AB5854"/>
    <mergeCell ref="AD5854:AI5854"/>
    <mergeCell ref="AJ5854:AL5854"/>
    <mergeCell ref="AN5854:AO5854"/>
    <mergeCell ref="AP5854:AQ5854"/>
    <mergeCell ref="AR5854:AS5855"/>
    <mergeCell ref="AT5854:AU5855"/>
    <mergeCell ref="AV5854:AW5855"/>
    <mergeCell ref="AX5854:AY5855"/>
    <mergeCell ref="AZ5854:AZ5855"/>
    <mergeCell ref="F5855:H5855"/>
    <mergeCell ref="X5855:AB5855"/>
    <mergeCell ref="AE5855:AI5855"/>
    <mergeCell ref="AJ5855:AL5855"/>
    <mergeCell ref="AN5855:AO5855"/>
    <mergeCell ref="AP5855:AQ5855"/>
    <mergeCell ref="A5856:A5857"/>
    <mergeCell ref="E5856:E5857"/>
    <mergeCell ref="F5856:H5856"/>
    <mergeCell ref="J5856:J5857"/>
    <mergeCell ref="K5856:L5857"/>
    <mergeCell ref="M5856:N5857"/>
    <mergeCell ref="O5856:P5857"/>
    <mergeCell ref="Q5856:R5857"/>
    <mergeCell ref="S5856:T5857"/>
    <mergeCell ref="U5856:V5857"/>
    <mergeCell ref="W5856:W5857"/>
    <mergeCell ref="X5856:AB5856"/>
    <mergeCell ref="AD5856:AI5856"/>
    <mergeCell ref="AJ5856:AL5856"/>
    <mergeCell ref="AN5856:AO5856"/>
    <mergeCell ref="AP5856:AQ5856"/>
    <mergeCell ref="AR5856:AS5857"/>
    <mergeCell ref="AT5856:AU5857"/>
    <mergeCell ref="AV5856:AW5857"/>
    <mergeCell ref="AX5856:AY5857"/>
    <mergeCell ref="AZ5856:AZ5857"/>
    <mergeCell ref="F5857:H5857"/>
    <mergeCell ref="X5857:AB5857"/>
    <mergeCell ref="AE5857:AI5857"/>
    <mergeCell ref="AJ5857:AL5857"/>
    <mergeCell ref="AN5857:AO5857"/>
    <mergeCell ref="AP5857:AQ5857"/>
    <mergeCell ref="A5858:A5859"/>
    <mergeCell ref="E5858:E5859"/>
    <mergeCell ref="F5858:H5858"/>
    <mergeCell ref="J5858:J5859"/>
    <mergeCell ref="K5858:L5859"/>
    <mergeCell ref="M5858:N5859"/>
    <mergeCell ref="O5858:P5859"/>
    <mergeCell ref="Q5858:R5859"/>
    <mergeCell ref="S5858:T5859"/>
    <mergeCell ref="U5858:V5859"/>
    <mergeCell ref="W5858:W5859"/>
    <mergeCell ref="X5858:AB5858"/>
    <mergeCell ref="AD5858:AI5858"/>
    <mergeCell ref="AJ5858:AL5858"/>
    <mergeCell ref="AN5858:AO5858"/>
    <mergeCell ref="AP5858:AQ5858"/>
    <mergeCell ref="AR5858:AS5859"/>
    <mergeCell ref="AT5858:AU5859"/>
    <mergeCell ref="AV5858:AW5859"/>
    <mergeCell ref="AX5858:AY5859"/>
    <mergeCell ref="AZ5858:AZ5859"/>
    <mergeCell ref="F5859:H5859"/>
    <mergeCell ref="X5859:AB5859"/>
    <mergeCell ref="AE5859:AI5859"/>
    <mergeCell ref="AJ5859:AL5859"/>
    <mergeCell ref="AN5859:AO5859"/>
    <mergeCell ref="AP5859:AQ5859"/>
    <mergeCell ref="A5860:A5861"/>
    <mergeCell ref="E5860:E5861"/>
    <mergeCell ref="F5860:H5860"/>
    <mergeCell ref="J5860:J5861"/>
    <mergeCell ref="K5860:L5861"/>
    <mergeCell ref="M5860:N5861"/>
    <mergeCell ref="O5860:P5861"/>
    <mergeCell ref="Q5860:R5861"/>
    <mergeCell ref="S5860:T5861"/>
    <mergeCell ref="U5860:V5861"/>
    <mergeCell ref="W5860:W5861"/>
    <mergeCell ref="X5860:AB5860"/>
    <mergeCell ref="AD5860:AI5860"/>
    <mergeCell ref="AJ5860:AL5860"/>
    <mergeCell ref="AN5860:AO5860"/>
    <mergeCell ref="AP5860:AQ5860"/>
    <mergeCell ref="AR5860:AS5861"/>
    <mergeCell ref="AT5860:AU5861"/>
    <mergeCell ref="AV5860:AW5861"/>
    <mergeCell ref="AX5860:AY5861"/>
    <mergeCell ref="AZ5860:AZ5861"/>
    <mergeCell ref="F5861:H5861"/>
    <mergeCell ref="X5861:AB5861"/>
    <mergeCell ref="AE5861:AI5861"/>
    <mergeCell ref="AJ5861:AL5861"/>
    <mergeCell ref="AN5861:AO5861"/>
    <mergeCell ref="AP5861:AQ5861"/>
    <mergeCell ref="A5862:A5863"/>
    <mergeCell ref="E5862:E5863"/>
    <mergeCell ref="F5862:H5862"/>
    <mergeCell ref="J5862:J5863"/>
    <mergeCell ref="K5862:L5863"/>
    <mergeCell ref="M5862:N5863"/>
    <mergeCell ref="O5862:P5863"/>
    <mergeCell ref="Q5862:R5863"/>
    <mergeCell ref="S5862:T5863"/>
    <mergeCell ref="U5862:V5863"/>
    <mergeCell ref="W5862:W5863"/>
    <mergeCell ref="X5862:AB5862"/>
    <mergeCell ref="AD5862:AI5862"/>
    <mergeCell ref="AJ5862:AL5862"/>
    <mergeCell ref="AN5862:AO5862"/>
    <mergeCell ref="AP5862:AQ5862"/>
    <mergeCell ref="AR5862:AS5863"/>
    <mergeCell ref="AT5862:AU5863"/>
    <mergeCell ref="AV5862:AW5863"/>
    <mergeCell ref="AX5862:AY5863"/>
    <mergeCell ref="AZ5862:AZ5863"/>
    <mergeCell ref="F5863:H5863"/>
    <mergeCell ref="X5863:AB5863"/>
    <mergeCell ref="AE5863:AI5863"/>
    <mergeCell ref="AJ5863:AL5863"/>
    <mergeCell ref="AN5863:AO5863"/>
    <mergeCell ref="AP5863:AQ5863"/>
    <mergeCell ref="A5864:A5865"/>
    <mergeCell ref="E5864:E5865"/>
    <mergeCell ref="F5864:H5864"/>
    <mergeCell ref="J5864:J5865"/>
    <mergeCell ref="K5864:L5865"/>
    <mergeCell ref="M5864:N5865"/>
    <mergeCell ref="O5864:P5865"/>
    <mergeCell ref="Q5864:R5865"/>
    <mergeCell ref="S5864:T5865"/>
    <mergeCell ref="U5864:V5865"/>
    <mergeCell ref="W5864:W5865"/>
    <mergeCell ref="X5864:AB5864"/>
    <mergeCell ref="AD5864:AI5864"/>
    <mergeCell ref="AJ5864:AL5864"/>
    <mergeCell ref="AN5864:AO5864"/>
    <mergeCell ref="AP5864:AQ5864"/>
    <mergeCell ref="AR5864:AS5865"/>
    <mergeCell ref="AT5864:AU5865"/>
    <mergeCell ref="AV5864:AW5865"/>
    <mergeCell ref="AX5864:AY5865"/>
    <mergeCell ref="AZ5864:AZ5865"/>
    <mergeCell ref="F5865:H5865"/>
    <mergeCell ref="X5865:AB5865"/>
    <mergeCell ref="AE5865:AI5865"/>
    <mergeCell ref="AJ5865:AL5865"/>
    <mergeCell ref="AN5865:AO5865"/>
    <mergeCell ref="AP5865:AQ5865"/>
    <mergeCell ref="A5866:A5867"/>
    <mergeCell ref="E5866:E5867"/>
    <mergeCell ref="F5866:H5866"/>
    <mergeCell ref="J5866:J5867"/>
    <mergeCell ref="K5866:L5867"/>
    <mergeCell ref="M5866:N5867"/>
    <mergeCell ref="O5866:P5867"/>
    <mergeCell ref="Q5866:R5867"/>
    <mergeCell ref="S5866:T5867"/>
    <mergeCell ref="U5866:V5867"/>
    <mergeCell ref="W5866:W5867"/>
    <mergeCell ref="X5866:AB5866"/>
    <mergeCell ref="AD5866:AI5866"/>
    <mergeCell ref="AJ5866:AL5866"/>
    <mergeCell ref="AN5866:AO5866"/>
    <mergeCell ref="AP5866:AQ5866"/>
    <mergeCell ref="AR5866:AS5867"/>
    <mergeCell ref="AT5866:AU5867"/>
    <mergeCell ref="AV5866:AW5867"/>
    <mergeCell ref="AX5866:AY5867"/>
    <mergeCell ref="AZ5866:AZ5867"/>
    <mergeCell ref="F5867:H5867"/>
    <mergeCell ref="X5867:AB5867"/>
    <mergeCell ref="AE5867:AI5867"/>
    <mergeCell ref="AJ5867:AL5867"/>
    <mergeCell ref="AN5867:AO5867"/>
    <mergeCell ref="AP5867:AQ5867"/>
    <mergeCell ref="A5868:A5869"/>
    <mergeCell ref="E5868:E5869"/>
    <mergeCell ref="F5868:H5868"/>
    <mergeCell ref="J5868:J5869"/>
    <mergeCell ref="K5868:L5869"/>
    <mergeCell ref="M5868:N5869"/>
    <mergeCell ref="O5868:P5869"/>
    <mergeCell ref="Q5868:R5869"/>
    <mergeCell ref="S5868:T5869"/>
    <mergeCell ref="U5868:V5869"/>
    <mergeCell ref="W5868:W5869"/>
    <mergeCell ref="X5868:AB5868"/>
    <mergeCell ref="AD5868:AI5868"/>
    <mergeCell ref="AJ5868:AL5868"/>
    <mergeCell ref="AN5868:AO5868"/>
    <mergeCell ref="AP5868:AQ5868"/>
    <mergeCell ref="AR5868:AS5869"/>
    <mergeCell ref="AT5868:AU5869"/>
    <mergeCell ref="AV5868:AW5869"/>
    <mergeCell ref="AX5868:AY5869"/>
    <mergeCell ref="AZ5868:AZ5869"/>
    <mergeCell ref="F5869:H5869"/>
    <mergeCell ref="X5869:AB5869"/>
    <mergeCell ref="AE5869:AI5869"/>
    <mergeCell ref="AJ5869:AL5869"/>
    <mergeCell ref="AN5869:AO5869"/>
    <mergeCell ref="AP5869:AQ5869"/>
    <mergeCell ref="A5870:A5871"/>
    <mergeCell ref="E5870:E5871"/>
    <mergeCell ref="F5870:H5870"/>
    <mergeCell ref="J5870:J5871"/>
    <mergeCell ref="K5870:L5871"/>
    <mergeCell ref="M5870:N5871"/>
    <mergeCell ref="O5870:P5871"/>
    <mergeCell ref="Q5870:R5871"/>
    <mergeCell ref="S5870:T5871"/>
    <mergeCell ref="U5870:V5871"/>
    <mergeCell ref="W5870:W5871"/>
    <mergeCell ref="X5870:AB5870"/>
    <mergeCell ref="AD5870:AI5870"/>
    <mergeCell ref="AJ5870:AL5870"/>
    <mergeCell ref="AN5870:AO5870"/>
    <mergeCell ref="AP5870:AQ5870"/>
    <mergeCell ref="AR5870:AS5871"/>
    <mergeCell ref="AT5870:AU5871"/>
    <mergeCell ref="AV5870:AW5871"/>
    <mergeCell ref="AX5870:AY5871"/>
    <mergeCell ref="AZ5870:AZ5871"/>
    <mergeCell ref="F5871:H5871"/>
    <mergeCell ref="X5871:AB5871"/>
    <mergeCell ref="AE5871:AI5871"/>
    <mergeCell ref="AJ5871:AL5871"/>
    <mergeCell ref="AN5871:AO5871"/>
    <mergeCell ref="AP5871:AQ5871"/>
    <mergeCell ref="A5872:A5873"/>
    <mergeCell ref="E5872:E5873"/>
    <mergeCell ref="F5872:H5872"/>
    <mergeCell ref="J5872:J5873"/>
    <mergeCell ref="K5872:L5873"/>
    <mergeCell ref="M5872:N5873"/>
    <mergeCell ref="O5872:P5873"/>
    <mergeCell ref="Q5872:R5873"/>
    <mergeCell ref="S5872:T5873"/>
    <mergeCell ref="U5872:V5873"/>
    <mergeCell ref="W5872:W5873"/>
    <mergeCell ref="X5872:AB5872"/>
    <mergeCell ref="AD5872:AI5872"/>
    <mergeCell ref="AJ5872:AL5872"/>
    <mergeCell ref="AN5872:AO5872"/>
    <mergeCell ref="AP5872:AQ5872"/>
    <mergeCell ref="AR5872:AS5873"/>
    <mergeCell ref="AT5872:AU5873"/>
    <mergeCell ref="AV5872:AW5873"/>
    <mergeCell ref="AX5872:AY5873"/>
    <mergeCell ref="AZ5872:AZ5873"/>
    <mergeCell ref="F5873:H5873"/>
    <mergeCell ref="X5873:AB5873"/>
    <mergeCell ref="AE5873:AI5873"/>
    <mergeCell ref="AJ5873:AL5873"/>
    <mergeCell ref="AN5873:AO5873"/>
    <mergeCell ref="AP5873:AQ5873"/>
    <mergeCell ref="A5874:A5875"/>
    <mergeCell ref="E5874:E5875"/>
    <mergeCell ref="F5874:H5874"/>
    <mergeCell ref="J5874:J5875"/>
    <mergeCell ref="K5874:L5875"/>
    <mergeCell ref="M5874:N5875"/>
    <mergeCell ref="O5874:P5875"/>
    <mergeCell ref="Q5874:R5875"/>
    <mergeCell ref="S5874:T5875"/>
    <mergeCell ref="U5874:V5875"/>
    <mergeCell ref="W5874:W5875"/>
    <mergeCell ref="X5874:AB5874"/>
    <mergeCell ref="AD5874:AI5874"/>
    <mergeCell ref="AJ5874:AL5874"/>
    <mergeCell ref="AN5874:AO5874"/>
    <mergeCell ref="AP5874:AQ5874"/>
    <mergeCell ref="AR5874:AS5875"/>
    <mergeCell ref="AT5874:AU5875"/>
    <mergeCell ref="AV5874:AW5875"/>
    <mergeCell ref="AX5874:AY5875"/>
    <mergeCell ref="AZ5874:AZ5875"/>
    <mergeCell ref="F5875:H5875"/>
    <mergeCell ref="X5875:AB5875"/>
    <mergeCell ref="AE5875:AI5875"/>
    <mergeCell ref="AJ5875:AL5875"/>
    <mergeCell ref="AN5875:AO5875"/>
    <mergeCell ref="AP5875:AQ5875"/>
    <mergeCell ref="A5876:A5877"/>
    <mergeCell ref="E5876:E5877"/>
    <mergeCell ref="F5876:H5876"/>
    <mergeCell ref="J5876:J5877"/>
    <mergeCell ref="K5876:L5877"/>
    <mergeCell ref="M5876:N5877"/>
    <mergeCell ref="O5876:P5877"/>
    <mergeCell ref="Q5876:R5877"/>
    <mergeCell ref="S5876:T5877"/>
    <mergeCell ref="U5876:V5877"/>
    <mergeCell ref="W5876:W5877"/>
    <mergeCell ref="X5876:AB5876"/>
    <mergeCell ref="AD5876:AI5876"/>
    <mergeCell ref="AJ5876:AL5876"/>
    <mergeCell ref="AN5876:AO5876"/>
    <mergeCell ref="AP5876:AQ5876"/>
    <mergeCell ref="AR5876:AS5877"/>
    <mergeCell ref="AT5876:AU5877"/>
    <mergeCell ref="AV5876:AW5877"/>
    <mergeCell ref="AX5876:AY5877"/>
    <mergeCell ref="AZ5876:AZ5877"/>
    <mergeCell ref="F5877:H5877"/>
    <mergeCell ref="X5877:AB5877"/>
    <mergeCell ref="AE5877:AI5877"/>
    <mergeCell ref="AJ5877:AL5877"/>
    <mergeCell ref="AN5877:AO5877"/>
    <mergeCell ref="AP5877:AQ5877"/>
    <mergeCell ref="A5878:A5879"/>
    <mergeCell ref="E5878:E5879"/>
    <mergeCell ref="F5878:H5878"/>
    <mergeCell ref="J5878:J5879"/>
    <mergeCell ref="K5878:L5879"/>
    <mergeCell ref="M5878:N5879"/>
    <mergeCell ref="O5878:P5879"/>
    <mergeCell ref="Q5878:R5879"/>
    <mergeCell ref="S5878:T5879"/>
    <mergeCell ref="U5878:V5879"/>
    <mergeCell ref="W5878:W5879"/>
    <mergeCell ref="X5878:AB5878"/>
    <mergeCell ref="AD5878:AI5878"/>
    <mergeCell ref="AJ5878:AL5878"/>
    <mergeCell ref="AN5878:AO5878"/>
    <mergeCell ref="AP5878:AQ5878"/>
    <mergeCell ref="AR5878:AS5879"/>
    <mergeCell ref="AT5878:AU5879"/>
    <mergeCell ref="AV5878:AW5879"/>
    <mergeCell ref="AX5878:AY5879"/>
    <mergeCell ref="AZ5878:AZ5879"/>
    <mergeCell ref="F5879:H5879"/>
    <mergeCell ref="X5879:AB5879"/>
    <mergeCell ref="AE5879:AI5879"/>
    <mergeCell ref="AJ5879:AL5879"/>
    <mergeCell ref="AN5879:AO5879"/>
    <mergeCell ref="AP5879:AQ5879"/>
    <mergeCell ref="A5880:A5881"/>
    <mergeCell ref="E5880:E5881"/>
    <mergeCell ref="F5880:H5880"/>
    <mergeCell ref="J5880:J5881"/>
    <mergeCell ref="K5880:L5881"/>
    <mergeCell ref="M5880:N5881"/>
    <mergeCell ref="O5880:P5881"/>
    <mergeCell ref="Q5880:R5881"/>
    <mergeCell ref="S5880:T5881"/>
    <mergeCell ref="U5880:V5881"/>
    <mergeCell ref="W5880:W5881"/>
    <mergeCell ref="X5880:AB5880"/>
    <mergeCell ref="AD5880:AI5880"/>
    <mergeCell ref="AJ5880:AL5880"/>
    <mergeCell ref="AN5880:AO5880"/>
    <mergeCell ref="AP5880:AQ5880"/>
    <mergeCell ref="AR5880:AS5881"/>
    <mergeCell ref="AT5880:AU5881"/>
    <mergeCell ref="AV5880:AW5881"/>
    <mergeCell ref="AX5880:AY5881"/>
    <mergeCell ref="AZ5880:AZ5881"/>
    <mergeCell ref="F5881:H5881"/>
    <mergeCell ref="X5881:AB5881"/>
    <mergeCell ref="AE5881:AI5881"/>
    <mergeCell ref="AJ5881:AL5881"/>
    <mergeCell ref="AN5881:AO5881"/>
    <mergeCell ref="AP5881:AQ5881"/>
    <mergeCell ref="A5882:A5883"/>
    <mergeCell ref="E5882:E5883"/>
    <mergeCell ref="F5882:H5882"/>
    <mergeCell ref="J5882:J5883"/>
    <mergeCell ref="K5882:L5883"/>
    <mergeCell ref="M5882:N5883"/>
    <mergeCell ref="O5882:P5883"/>
    <mergeCell ref="Q5882:R5883"/>
    <mergeCell ref="S5882:T5883"/>
    <mergeCell ref="U5882:V5883"/>
    <mergeCell ref="W5882:W5883"/>
    <mergeCell ref="X5882:AB5882"/>
    <mergeCell ref="AD5882:AI5882"/>
    <mergeCell ref="AJ5882:AL5882"/>
    <mergeCell ref="AN5882:AO5882"/>
    <mergeCell ref="AP5882:AQ5882"/>
    <mergeCell ref="AR5882:AS5883"/>
    <mergeCell ref="AT5882:AU5883"/>
    <mergeCell ref="AV5882:AW5883"/>
    <mergeCell ref="AX5882:AY5883"/>
    <mergeCell ref="AZ5882:AZ5883"/>
    <mergeCell ref="F5883:H5883"/>
    <mergeCell ref="X5883:AB5883"/>
    <mergeCell ref="AE5883:AI5883"/>
    <mergeCell ref="AJ5883:AL5883"/>
    <mergeCell ref="AN5883:AO5883"/>
    <mergeCell ref="AP5883:AQ5883"/>
    <mergeCell ref="A5884:A5885"/>
    <mergeCell ref="E5884:E5885"/>
    <mergeCell ref="F5884:H5884"/>
    <mergeCell ref="J5884:J5885"/>
    <mergeCell ref="K5884:L5885"/>
    <mergeCell ref="M5884:N5885"/>
    <mergeCell ref="O5884:P5885"/>
    <mergeCell ref="Q5884:R5885"/>
    <mergeCell ref="S5884:T5885"/>
    <mergeCell ref="U5884:V5885"/>
    <mergeCell ref="W5884:W5885"/>
    <mergeCell ref="X5884:AB5884"/>
    <mergeCell ref="AD5884:AI5884"/>
    <mergeCell ref="AJ5884:AL5884"/>
    <mergeCell ref="AN5884:AO5884"/>
    <mergeCell ref="AP5884:AQ5884"/>
    <mergeCell ref="AR5884:AS5885"/>
    <mergeCell ref="AT5884:AU5885"/>
    <mergeCell ref="AV5884:AW5885"/>
    <mergeCell ref="AX5884:AY5885"/>
    <mergeCell ref="AZ5884:AZ5885"/>
    <mergeCell ref="F5885:H5885"/>
    <mergeCell ref="X5885:AB5885"/>
    <mergeCell ref="AE5885:AI5885"/>
    <mergeCell ref="AJ5885:AL5885"/>
    <mergeCell ref="AN5885:AO5885"/>
    <mergeCell ref="AP5885:AQ5885"/>
    <mergeCell ref="A5886:A5887"/>
    <mergeCell ref="E5886:E5887"/>
    <mergeCell ref="F5886:H5886"/>
    <mergeCell ref="J5886:J5887"/>
    <mergeCell ref="K5886:L5887"/>
    <mergeCell ref="M5886:N5887"/>
    <mergeCell ref="O5886:P5887"/>
    <mergeCell ref="Q5886:R5887"/>
    <mergeCell ref="S5886:T5887"/>
    <mergeCell ref="U5886:V5887"/>
    <mergeCell ref="W5886:W5887"/>
    <mergeCell ref="X5886:AB5886"/>
    <mergeCell ref="AD5886:AI5886"/>
    <mergeCell ref="AJ5886:AL5886"/>
    <mergeCell ref="AN5886:AO5886"/>
    <mergeCell ref="AP5886:AQ5886"/>
    <mergeCell ref="AR5886:AS5887"/>
    <mergeCell ref="AT5886:AU5887"/>
    <mergeCell ref="AV5886:AW5887"/>
    <mergeCell ref="AX5886:AY5887"/>
    <mergeCell ref="AZ5886:AZ5887"/>
    <mergeCell ref="F5887:H5887"/>
    <mergeCell ref="X5887:AB5887"/>
    <mergeCell ref="AE5887:AI5887"/>
    <mergeCell ref="AJ5887:AL5887"/>
    <mergeCell ref="AN5887:AO5887"/>
    <mergeCell ref="AP5887:AQ5887"/>
    <mergeCell ref="A5888:A5889"/>
    <mergeCell ref="E5888:E5889"/>
    <mergeCell ref="F5888:H5888"/>
    <mergeCell ref="J5888:J5889"/>
    <mergeCell ref="K5888:L5889"/>
    <mergeCell ref="M5888:N5889"/>
    <mergeCell ref="O5888:P5889"/>
    <mergeCell ref="Q5888:R5889"/>
    <mergeCell ref="S5888:T5889"/>
    <mergeCell ref="U5888:V5889"/>
    <mergeCell ref="W5888:W5889"/>
    <mergeCell ref="X5888:AB5888"/>
    <mergeCell ref="AD5888:AI5888"/>
    <mergeCell ref="AJ5888:AL5888"/>
    <mergeCell ref="AN5888:AO5888"/>
    <mergeCell ref="AP5888:AQ5888"/>
    <mergeCell ref="AR5888:AS5889"/>
    <mergeCell ref="AT5888:AU5889"/>
    <mergeCell ref="AV5888:AW5889"/>
    <mergeCell ref="AX5888:AY5889"/>
    <mergeCell ref="AZ5888:AZ5889"/>
    <mergeCell ref="F5889:H5889"/>
    <mergeCell ref="X5889:AB5889"/>
    <mergeCell ref="AE5889:AI5889"/>
    <mergeCell ref="AJ5889:AL5889"/>
    <mergeCell ref="AN5889:AO5889"/>
    <mergeCell ref="AP5889:AQ5889"/>
    <mergeCell ref="A5890:A5891"/>
    <mergeCell ref="E5890:E5891"/>
    <mergeCell ref="F5890:H5890"/>
    <mergeCell ref="J5890:J5891"/>
    <mergeCell ref="K5890:L5891"/>
    <mergeCell ref="M5890:N5891"/>
    <mergeCell ref="O5890:P5891"/>
    <mergeCell ref="Q5890:R5891"/>
    <mergeCell ref="S5890:T5891"/>
    <mergeCell ref="U5890:V5891"/>
    <mergeCell ref="W5890:W5891"/>
    <mergeCell ref="X5890:AB5890"/>
    <mergeCell ref="AD5890:AI5890"/>
    <mergeCell ref="AJ5890:AL5890"/>
    <mergeCell ref="AN5890:AO5890"/>
    <mergeCell ref="AP5890:AQ5890"/>
    <mergeCell ref="AR5890:AS5891"/>
    <mergeCell ref="AT5890:AU5891"/>
    <mergeCell ref="AV5890:AW5891"/>
    <mergeCell ref="AX5890:AY5891"/>
    <mergeCell ref="AZ5890:AZ5891"/>
    <mergeCell ref="F5891:H5891"/>
    <mergeCell ref="X5891:AB5891"/>
    <mergeCell ref="AE5891:AI5891"/>
    <mergeCell ref="AJ5891:AL5891"/>
    <mergeCell ref="AN5891:AO5891"/>
    <mergeCell ref="AP5891:AQ5891"/>
    <mergeCell ref="A5892:A5893"/>
    <mergeCell ref="E5892:E5893"/>
    <mergeCell ref="F5892:H5892"/>
    <mergeCell ref="J5892:J5893"/>
    <mergeCell ref="K5892:L5893"/>
    <mergeCell ref="M5892:N5893"/>
    <mergeCell ref="O5892:P5893"/>
    <mergeCell ref="Q5892:R5893"/>
    <mergeCell ref="S5892:T5893"/>
    <mergeCell ref="U5892:V5893"/>
    <mergeCell ref="W5892:W5893"/>
    <mergeCell ref="X5892:AB5892"/>
    <mergeCell ref="AD5892:AI5892"/>
    <mergeCell ref="AJ5892:AL5892"/>
    <mergeCell ref="AN5892:AO5892"/>
    <mergeCell ref="AP5892:AQ5892"/>
    <mergeCell ref="AR5892:AS5893"/>
    <mergeCell ref="AT5892:AU5893"/>
    <mergeCell ref="AV5892:AW5893"/>
    <mergeCell ref="AX5892:AY5893"/>
    <mergeCell ref="AZ5892:AZ5893"/>
    <mergeCell ref="F5893:H5893"/>
    <mergeCell ref="X5893:AB5893"/>
    <mergeCell ref="AE5893:AI5893"/>
    <mergeCell ref="AJ5893:AL5893"/>
    <mergeCell ref="AN5893:AO5893"/>
    <mergeCell ref="AP5893:AQ5893"/>
    <mergeCell ref="A5894:A5895"/>
    <mergeCell ref="E5894:E5895"/>
    <mergeCell ref="F5894:H5894"/>
    <mergeCell ref="J5894:J5895"/>
    <mergeCell ref="K5894:L5895"/>
    <mergeCell ref="M5894:N5895"/>
    <mergeCell ref="O5894:P5895"/>
    <mergeCell ref="Q5894:R5895"/>
    <mergeCell ref="S5894:T5895"/>
    <mergeCell ref="U5894:V5895"/>
    <mergeCell ref="W5894:W5895"/>
    <mergeCell ref="X5894:AB5894"/>
    <mergeCell ref="AD5894:AI5894"/>
    <mergeCell ref="AJ5894:AL5894"/>
    <mergeCell ref="AN5894:AO5894"/>
    <mergeCell ref="AP5894:AQ5894"/>
    <mergeCell ref="AR5894:AS5895"/>
    <mergeCell ref="AT5894:AU5895"/>
    <mergeCell ref="AV5894:AW5895"/>
    <mergeCell ref="AX5894:AY5895"/>
    <mergeCell ref="AZ5894:AZ5895"/>
    <mergeCell ref="F5895:H5895"/>
    <mergeCell ref="X5895:AB5895"/>
    <mergeCell ref="AE5895:AI5895"/>
    <mergeCell ref="AJ5895:AL5895"/>
    <mergeCell ref="AN5895:AO5895"/>
    <mergeCell ref="AP5895:AQ5895"/>
    <mergeCell ref="A5896:A5897"/>
    <mergeCell ref="E5896:E5897"/>
    <mergeCell ref="F5896:H5896"/>
    <mergeCell ref="J5896:J5897"/>
    <mergeCell ref="K5896:L5897"/>
    <mergeCell ref="M5896:N5897"/>
    <mergeCell ref="O5896:P5897"/>
    <mergeCell ref="Q5896:R5897"/>
    <mergeCell ref="S5896:T5897"/>
    <mergeCell ref="U5896:V5897"/>
    <mergeCell ref="W5896:W5897"/>
    <mergeCell ref="X5896:AB5896"/>
    <mergeCell ref="AD5896:AI5896"/>
    <mergeCell ref="AJ5896:AL5896"/>
    <mergeCell ref="AN5896:AO5896"/>
    <mergeCell ref="AP5896:AQ5896"/>
    <mergeCell ref="AR5896:AS5897"/>
    <mergeCell ref="AT5896:AU5897"/>
    <mergeCell ref="AV5896:AW5897"/>
    <mergeCell ref="AX5896:AY5897"/>
    <mergeCell ref="AZ5896:AZ5897"/>
    <mergeCell ref="F5897:H5897"/>
    <mergeCell ref="X5897:AB5897"/>
    <mergeCell ref="AE5897:AI5897"/>
    <mergeCell ref="AJ5897:AL5897"/>
    <mergeCell ref="AN5897:AO5897"/>
    <mergeCell ref="AP5897:AQ5897"/>
    <mergeCell ref="A5898:A5899"/>
    <mergeCell ref="E5898:E5899"/>
    <mergeCell ref="F5898:H5898"/>
    <mergeCell ref="J5898:J5899"/>
    <mergeCell ref="K5898:L5899"/>
    <mergeCell ref="M5898:N5899"/>
    <mergeCell ref="O5898:P5899"/>
    <mergeCell ref="Q5898:R5899"/>
    <mergeCell ref="S5898:T5899"/>
    <mergeCell ref="U5898:V5899"/>
    <mergeCell ref="W5898:W5899"/>
    <mergeCell ref="X5898:AB5898"/>
    <mergeCell ref="AD5898:AI5898"/>
    <mergeCell ref="AJ5898:AL5898"/>
    <mergeCell ref="AN5898:AO5898"/>
    <mergeCell ref="AP5898:AQ5898"/>
    <mergeCell ref="AR5898:AS5899"/>
    <mergeCell ref="AT5898:AU5899"/>
    <mergeCell ref="AV5898:AW5899"/>
    <mergeCell ref="AX5898:AY5899"/>
    <mergeCell ref="AZ5898:AZ5899"/>
    <mergeCell ref="F5899:H5899"/>
    <mergeCell ref="X5899:AB5899"/>
    <mergeCell ref="AE5899:AI5899"/>
    <mergeCell ref="AJ5899:AL5899"/>
    <mergeCell ref="AN5899:AO5899"/>
    <mergeCell ref="AP5899:AQ5899"/>
    <mergeCell ref="A5900:A5901"/>
    <mergeCell ref="E5900:E5901"/>
    <mergeCell ref="F5900:H5900"/>
    <mergeCell ref="J5900:J5901"/>
    <mergeCell ref="K5900:L5901"/>
    <mergeCell ref="M5900:N5901"/>
    <mergeCell ref="O5900:P5901"/>
    <mergeCell ref="Q5900:R5901"/>
    <mergeCell ref="S5900:T5901"/>
    <mergeCell ref="U5900:V5901"/>
    <mergeCell ref="W5900:W5901"/>
    <mergeCell ref="X5900:AB5900"/>
    <mergeCell ref="AD5900:AI5900"/>
    <mergeCell ref="AJ5900:AL5900"/>
    <mergeCell ref="AN5900:AO5900"/>
    <mergeCell ref="AP5900:AQ5900"/>
    <mergeCell ref="AR5900:AS5901"/>
    <mergeCell ref="AT5900:AU5901"/>
    <mergeCell ref="AV5900:AW5901"/>
    <mergeCell ref="AX5900:AY5901"/>
    <mergeCell ref="AZ5900:AZ5901"/>
    <mergeCell ref="F5901:H5901"/>
    <mergeCell ref="X5901:AB5901"/>
    <mergeCell ref="AE5901:AI5901"/>
    <mergeCell ref="AJ5901:AL5901"/>
    <mergeCell ref="AN5901:AO5901"/>
    <mergeCell ref="AP5901:AQ5901"/>
    <mergeCell ref="A5902:A5903"/>
    <mergeCell ref="E5902:E5903"/>
    <mergeCell ref="F5902:H5902"/>
    <mergeCell ref="J5902:J5903"/>
    <mergeCell ref="K5902:L5903"/>
    <mergeCell ref="M5902:N5903"/>
    <mergeCell ref="O5902:P5903"/>
    <mergeCell ref="Q5902:R5903"/>
    <mergeCell ref="S5902:T5903"/>
    <mergeCell ref="U5902:V5903"/>
    <mergeCell ref="W5902:W5903"/>
    <mergeCell ref="X5902:AB5902"/>
    <mergeCell ref="AD5902:AI5902"/>
    <mergeCell ref="AJ5902:AL5902"/>
    <mergeCell ref="AN5902:AO5902"/>
    <mergeCell ref="AP5902:AQ5902"/>
    <mergeCell ref="AR5902:AS5903"/>
    <mergeCell ref="AT5902:AU5903"/>
    <mergeCell ref="AV5902:AW5903"/>
    <mergeCell ref="AX5902:AY5903"/>
    <mergeCell ref="AZ5902:AZ5903"/>
    <mergeCell ref="F5903:H5903"/>
    <mergeCell ref="X5903:AB5903"/>
    <mergeCell ref="AE5903:AI5903"/>
    <mergeCell ref="AJ5903:AL5903"/>
    <mergeCell ref="AN5903:AO5903"/>
    <mergeCell ref="AP5903:AQ5903"/>
    <mergeCell ref="A5904:A5905"/>
    <mergeCell ref="E5904:E5905"/>
    <mergeCell ref="F5904:H5904"/>
    <mergeCell ref="J5904:J5905"/>
    <mergeCell ref="K5904:L5905"/>
    <mergeCell ref="M5904:N5905"/>
    <mergeCell ref="O5904:P5905"/>
    <mergeCell ref="Q5904:R5905"/>
    <mergeCell ref="S5904:T5905"/>
    <mergeCell ref="U5904:V5905"/>
    <mergeCell ref="W5904:W5905"/>
    <mergeCell ref="X5904:AB5904"/>
    <mergeCell ref="AD5904:AI5904"/>
    <mergeCell ref="AJ5904:AL5904"/>
    <mergeCell ref="AN5904:AO5904"/>
    <mergeCell ref="AP5904:AQ5904"/>
    <mergeCell ref="AR5904:AS5905"/>
    <mergeCell ref="AT5904:AU5905"/>
    <mergeCell ref="AV5904:AW5905"/>
    <mergeCell ref="AX5904:AY5905"/>
    <mergeCell ref="AZ5904:AZ5905"/>
    <mergeCell ref="F5905:H5905"/>
    <mergeCell ref="X5905:AB5905"/>
    <mergeCell ref="AE5905:AI5905"/>
    <mergeCell ref="AJ5905:AL5905"/>
    <mergeCell ref="AN5905:AO5905"/>
    <mergeCell ref="AP5905:AQ5905"/>
    <mergeCell ref="A5906:A5907"/>
    <mergeCell ref="E5906:E5907"/>
    <mergeCell ref="F5906:H5906"/>
    <mergeCell ref="J5906:J5907"/>
    <mergeCell ref="K5906:L5907"/>
    <mergeCell ref="M5906:N5907"/>
    <mergeCell ref="O5906:P5907"/>
    <mergeCell ref="Q5906:R5907"/>
    <mergeCell ref="S5906:T5907"/>
    <mergeCell ref="U5906:V5907"/>
    <mergeCell ref="W5906:W5907"/>
    <mergeCell ref="X5906:AB5906"/>
    <mergeCell ref="AD5906:AI5906"/>
    <mergeCell ref="AJ5906:AL5906"/>
    <mergeCell ref="AN5906:AO5906"/>
    <mergeCell ref="AP5906:AQ5906"/>
    <mergeCell ref="AR5906:AS5907"/>
    <mergeCell ref="AT5906:AU5907"/>
    <mergeCell ref="AV5906:AW5907"/>
    <mergeCell ref="AX5906:AY5907"/>
    <mergeCell ref="AZ5906:AZ5907"/>
    <mergeCell ref="F5907:H5907"/>
    <mergeCell ref="X5907:AB5907"/>
    <mergeCell ref="AE5907:AI5907"/>
    <mergeCell ref="AJ5907:AL5907"/>
    <mergeCell ref="AN5907:AO5907"/>
    <mergeCell ref="AP5907:AQ5907"/>
    <mergeCell ref="A5908:A5909"/>
    <mergeCell ref="E5908:E5909"/>
    <mergeCell ref="F5908:H5908"/>
    <mergeCell ref="J5908:J5909"/>
    <mergeCell ref="K5908:L5909"/>
    <mergeCell ref="M5908:N5909"/>
    <mergeCell ref="O5908:P5909"/>
    <mergeCell ref="Q5908:R5909"/>
    <mergeCell ref="S5908:T5909"/>
    <mergeCell ref="U5908:V5909"/>
    <mergeCell ref="W5908:W5909"/>
    <mergeCell ref="X5908:AB5908"/>
    <mergeCell ref="AD5908:AI5908"/>
    <mergeCell ref="AJ5908:AL5908"/>
    <mergeCell ref="AN5908:AO5908"/>
    <mergeCell ref="AP5908:AQ5908"/>
    <mergeCell ref="AR5908:AS5909"/>
    <mergeCell ref="AT5908:AU5909"/>
    <mergeCell ref="AV5908:AW5909"/>
    <mergeCell ref="AX5908:AY5909"/>
    <mergeCell ref="AZ5908:AZ5909"/>
    <mergeCell ref="F5909:H5909"/>
    <mergeCell ref="X5909:AB5909"/>
    <mergeCell ref="AE5909:AI5909"/>
    <mergeCell ref="AJ5909:AL5909"/>
    <mergeCell ref="AN5909:AO5909"/>
    <mergeCell ref="AP5909:AQ5909"/>
    <mergeCell ref="A5910:A5911"/>
    <mergeCell ref="E5910:E5911"/>
    <mergeCell ref="F5910:H5910"/>
    <mergeCell ref="J5910:J5911"/>
    <mergeCell ref="K5910:L5911"/>
    <mergeCell ref="M5910:N5911"/>
    <mergeCell ref="O5910:P5911"/>
    <mergeCell ref="Q5910:R5911"/>
    <mergeCell ref="S5910:T5911"/>
    <mergeCell ref="U5910:V5911"/>
    <mergeCell ref="W5910:W5911"/>
    <mergeCell ref="X5910:AB5910"/>
    <mergeCell ref="AD5910:AI5910"/>
    <mergeCell ref="AJ5910:AL5910"/>
    <mergeCell ref="AN5910:AO5910"/>
    <mergeCell ref="AP5910:AQ5910"/>
    <mergeCell ref="AR5910:AS5911"/>
    <mergeCell ref="AT5910:AU5911"/>
    <mergeCell ref="AV5910:AW5911"/>
    <mergeCell ref="AX5910:AY5911"/>
    <mergeCell ref="AZ5910:AZ5911"/>
    <mergeCell ref="F5911:H5911"/>
    <mergeCell ref="X5911:AB5911"/>
    <mergeCell ref="AE5911:AI5911"/>
    <mergeCell ref="AJ5911:AL5911"/>
    <mergeCell ref="AN5911:AO5911"/>
    <mergeCell ref="AP5911:AQ5911"/>
    <mergeCell ref="A5912:A5913"/>
    <mergeCell ref="E5912:E5913"/>
    <mergeCell ref="F5912:H5912"/>
    <mergeCell ref="J5912:J5913"/>
    <mergeCell ref="K5912:L5913"/>
    <mergeCell ref="M5912:N5913"/>
    <mergeCell ref="O5912:P5913"/>
    <mergeCell ref="Q5912:R5913"/>
    <mergeCell ref="S5912:T5913"/>
    <mergeCell ref="U5912:V5913"/>
    <mergeCell ref="W5912:W5913"/>
    <mergeCell ref="X5912:AB5912"/>
    <mergeCell ref="AD5912:AI5912"/>
    <mergeCell ref="AJ5912:AL5912"/>
    <mergeCell ref="AN5912:AO5912"/>
    <mergeCell ref="AP5912:AQ5912"/>
    <mergeCell ref="AR5912:AS5913"/>
    <mergeCell ref="AT5912:AU5913"/>
    <mergeCell ref="AV5912:AW5913"/>
    <mergeCell ref="AX5912:AY5913"/>
    <mergeCell ref="AZ5912:AZ5913"/>
    <mergeCell ref="F5913:H5913"/>
    <mergeCell ref="X5913:AB5913"/>
    <mergeCell ref="AE5913:AI5913"/>
    <mergeCell ref="AJ5913:AL5913"/>
    <mergeCell ref="AN5913:AO5913"/>
    <mergeCell ref="AP5913:AQ5913"/>
    <mergeCell ref="A5914:A5915"/>
    <mergeCell ref="E5914:E5915"/>
    <mergeCell ref="F5914:H5914"/>
    <mergeCell ref="J5914:J5915"/>
    <mergeCell ref="K5914:L5915"/>
    <mergeCell ref="M5914:N5915"/>
    <mergeCell ref="O5914:P5915"/>
    <mergeCell ref="Q5914:R5915"/>
    <mergeCell ref="S5914:T5915"/>
    <mergeCell ref="U5914:V5915"/>
    <mergeCell ref="W5914:W5915"/>
    <mergeCell ref="X5914:AB5914"/>
    <mergeCell ref="AD5914:AI5914"/>
    <mergeCell ref="AJ5914:AL5914"/>
    <mergeCell ref="AN5914:AO5914"/>
    <mergeCell ref="AP5914:AQ5914"/>
    <mergeCell ref="AR5914:AS5915"/>
    <mergeCell ref="AT5914:AU5915"/>
    <mergeCell ref="AV5914:AW5915"/>
    <mergeCell ref="AX5914:AY5915"/>
    <mergeCell ref="AZ5914:AZ5915"/>
    <mergeCell ref="F5915:H5915"/>
    <mergeCell ref="X5915:AB5915"/>
    <mergeCell ref="AE5915:AI5915"/>
    <mergeCell ref="AJ5915:AL5915"/>
    <mergeCell ref="AN5915:AO5915"/>
    <mergeCell ref="AP5915:AQ5915"/>
    <mergeCell ref="A5916:A5917"/>
    <mergeCell ref="E5916:E5917"/>
    <mergeCell ref="F5916:H5916"/>
    <mergeCell ref="J5916:J5917"/>
    <mergeCell ref="K5916:L5917"/>
    <mergeCell ref="M5916:N5917"/>
    <mergeCell ref="O5916:P5917"/>
    <mergeCell ref="Q5916:R5917"/>
    <mergeCell ref="S5916:T5917"/>
    <mergeCell ref="U5916:V5917"/>
    <mergeCell ref="W5916:W5917"/>
    <mergeCell ref="X5916:AB5916"/>
    <mergeCell ref="AD5916:AI5916"/>
    <mergeCell ref="AJ5916:AL5916"/>
    <mergeCell ref="AN5916:AO5916"/>
    <mergeCell ref="AP5916:AQ5916"/>
    <mergeCell ref="AR5916:AS5917"/>
    <mergeCell ref="AT5916:AU5917"/>
    <mergeCell ref="AV5916:AW5917"/>
    <mergeCell ref="AX5916:AY5917"/>
    <mergeCell ref="AZ5916:AZ5917"/>
    <mergeCell ref="F5917:H5917"/>
    <mergeCell ref="X5917:AB5917"/>
    <mergeCell ref="AE5917:AI5917"/>
    <mergeCell ref="AJ5917:AL5917"/>
    <mergeCell ref="AN5917:AO5917"/>
    <mergeCell ref="AP5917:AQ5917"/>
    <mergeCell ref="A5918:A5919"/>
    <mergeCell ref="E5918:E5919"/>
    <mergeCell ref="F5918:H5918"/>
    <mergeCell ref="J5918:J5919"/>
    <mergeCell ref="K5918:L5919"/>
    <mergeCell ref="M5918:N5919"/>
    <mergeCell ref="O5918:P5919"/>
    <mergeCell ref="Q5918:R5919"/>
    <mergeCell ref="S5918:T5919"/>
    <mergeCell ref="U5918:V5919"/>
    <mergeCell ref="W5918:W5919"/>
    <mergeCell ref="X5918:AB5918"/>
    <mergeCell ref="AD5918:AI5918"/>
    <mergeCell ref="AJ5918:AL5918"/>
    <mergeCell ref="AN5918:AO5918"/>
    <mergeCell ref="AP5918:AQ5918"/>
    <mergeCell ref="AR5918:AS5919"/>
    <mergeCell ref="AT5918:AU5919"/>
    <mergeCell ref="AV5918:AW5919"/>
    <mergeCell ref="AX5918:AY5919"/>
    <mergeCell ref="AZ5918:AZ5919"/>
    <mergeCell ref="F5919:H5919"/>
    <mergeCell ref="X5919:AB5919"/>
    <mergeCell ref="AE5919:AI5919"/>
    <mergeCell ref="AJ5919:AL5919"/>
    <mergeCell ref="AN5919:AO5919"/>
    <mergeCell ref="AP5919:AQ5919"/>
    <mergeCell ref="A5920:A5921"/>
    <mergeCell ref="E5920:E5921"/>
    <mergeCell ref="F5920:H5920"/>
    <mergeCell ref="J5920:J5921"/>
    <mergeCell ref="K5920:L5921"/>
    <mergeCell ref="M5920:N5921"/>
    <mergeCell ref="O5920:P5921"/>
    <mergeCell ref="Q5920:R5921"/>
    <mergeCell ref="S5920:T5921"/>
    <mergeCell ref="U5920:V5921"/>
    <mergeCell ref="W5920:W5921"/>
    <mergeCell ref="X5920:AB5920"/>
    <mergeCell ref="AD5920:AI5920"/>
    <mergeCell ref="AJ5920:AL5920"/>
    <mergeCell ref="AN5920:AO5920"/>
    <mergeCell ref="AP5920:AQ5920"/>
    <mergeCell ref="AR5920:AS5921"/>
    <mergeCell ref="AT5920:AU5921"/>
    <mergeCell ref="AV5920:AW5921"/>
    <mergeCell ref="AX5920:AY5921"/>
    <mergeCell ref="AZ5920:AZ5921"/>
    <mergeCell ref="F5921:H5921"/>
    <mergeCell ref="X5921:AB5921"/>
    <mergeCell ref="AE5921:AI5921"/>
    <mergeCell ref="AJ5921:AL5921"/>
    <mergeCell ref="AN5921:AO5921"/>
    <mergeCell ref="AP5921:AQ5921"/>
    <mergeCell ref="A5922:A5923"/>
    <mergeCell ref="E5922:E5923"/>
    <mergeCell ref="F5922:H5922"/>
    <mergeCell ref="J5922:J5923"/>
    <mergeCell ref="K5922:L5923"/>
    <mergeCell ref="M5922:N5923"/>
    <mergeCell ref="O5922:P5923"/>
    <mergeCell ref="Q5922:R5923"/>
    <mergeCell ref="S5922:T5923"/>
    <mergeCell ref="U5922:V5923"/>
    <mergeCell ref="W5922:W5923"/>
    <mergeCell ref="X5922:AB5922"/>
    <mergeCell ref="AD5922:AI5922"/>
    <mergeCell ref="AJ5922:AL5922"/>
    <mergeCell ref="AN5922:AO5922"/>
    <mergeCell ref="AP5922:AQ5922"/>
    <mergeCell ref="AR5922:AS5923"/>
    <mergeCell ref="AT5922:AU5923"/>
    <mergeCell ref="AV5922:AW5923"/>
    <mergeCell ref="AX5922:AY5923"/>
    <mergeCell ref="AZ5922:AZ5923"/>
    <mergeCell ref="F5923:H5923"/>
    <mergeCell ref="X5923:AB5923"/>
    <mergeCell ref="AE5923:AI5923"/>
    <mergeCell ref="AJ5923:AL5923"/>
    <mergeCell ref="AN5923:AO5923"/>
    <mergeCell ref="AP5923:AQ5923"/>
    <mergeCell ref="A5924:A5925"/>
    <mergeCell ref="E5924:E5925"/>
    <mergeCell ref="F5924:H5924"/>
    <mergeCell ref="J5924:J5925"/>
    <mergeCell ref="K5924:L5925"/>
    <mergeCell ref="M5924:N5925"/>
    <mergeCell ref="O5924:P5925"/>
    <mergeCell ref="Q5924:R5925"/>
    <mergeCell ref="S5924:T5925"/>
    <mergeCell ref="U5924:V5925"/>
    <mergeCell ref="W5924:W5925"/>
    <mergeCell ref="X5924:AB5924"/>
    <mergeCell ref="AD5924:AI5924"/>
    <mergeCell ref="AJ5924:AL5924"/>
    <mergeCell ref="AN5924:AO5924"/>
    <mergeCell ref="AP5924:AQ5924"/>
    <mergeCell ref="AR5924:AS5925"/>
    <mergeCell ref="AT5924:AU5925"/>
    <mergeCell ref="AV5924:AW5925"/>
    <mergeCell ref="AX5924:AY5925"/>
    <mergeCell ref="AZ5924:AZ5925"/>
    <mergeCell ref="F5925:H5925"/>
    <mergeCell ref="X5925:AB5925"/>
    <mergeCell ref="AE5925:AI5925"/>
    <mergeCell ref="AJ5925:AL5925"/>
    <mergeCell ref="AN5925:AO5925"/>
    <mergeCell ref="AP5925:AQ5925"/>
    <mergeCell ref="A5926:A5927"/>
    <mergeCell ref="E5926:E5927"/>
    <mergeCell ref="F5926:H5926"/>
    <mergeCell ref="J5926:J5927"/>
    <mergeCell ref="K5926:L5927"/>
    <mergeCell ref="M5926:N5927"/>
    <mergeCell ref="O5926:P5927"/>
    <mergeCell ref="Q5926:R5927"/>
    <mergeCell ref="S5926:T5927"/>
    <mergeCell ref="U5926:V5927"/>
    <mergeCell ref="W5926:W5927"/>
    <mergeCell ref="X5926:AB5926"/>
    <mergeCell ref="AD5926:AI5926"/>
    <mergeCell ref="AJ5926:AL5926"/>
    <mergeCell ref="AN5926:AO5926"/>
    <mergeCell ref="AP5926:AQ5926"/>
    <mergeCell ref="AR5926:AS5927"/>
    <mergeCell ref="AT5926:AU5927"/>
    <mergeCell ref="AV5926:AW5927"/>
    <mergeCell ref="AX5926:AY5927"/>
    <mergeCell ref="AZ5926:AZ5927"/>
    <mergeCell ref="F5927:H5927"/>
    <mergeCell ref="X5927:AB5927"/>
    <mergeCell ref="AE5927:AI5927"/>
    <mergeCell ref="AJ5927:AL5927"/>
    <mergeCell ref="AN5927:AO5927"/>
    <mergeCell ref="AP5927:AQ5927"/>
    <mergeCell ref="A5928:A5929"/>
    <mergeCell ref="E5928:E5929"/>
    <mergeCell ref="F5928:H5928"/>
    <mergeCell ref="J5928:J5929"/>
    <mergeCell ref="K5928:L5929"/>
    <mergeCell ref="M5928:N5929"/>
    <mergeCell ref="O5928:P5929"/>
    <mergeCell ref="Q5928:R5929"/>
    <mergeCell ref="S5928:T5929"/>
    <mergeCell ref="U5928:V5929"/>
    <mergeCell ref="W5928:W5929"/>
    <mergeCell ref="X5928:AB5928"/>
    <mergeCell ref="AD5928:AI5928"/>
    <mergeCell ref="AJ5928:AL5928"/>
    <mergeCell ref="AN5928:AO5928"/>
    <mergeCell ref="AP5928:AQ5928"/>
    <mergeCell ref="AR5928:AS5929"/>
    <mergeCell ref="AT5928:AU5929"/>
    <mergeCell ref="AV5928:AW5929"/>
    <mergeCell ref="AX5928:AY5929"/>
    <mergeCell ref="AZ5928:AZ5929"/>
    <mergeCell ref="F5929:H5929"/>
    <mergeCell ref="X5929:AB5929"/>
    <mergeCell ref="AE5929:AI5929"/>
    <mergeCell ref="AJ5929:AL5929"/>
    <mergeCell ref="AN5929:AO5929"/>
    <mergeCell ref="AP5929:AQ5929"/>
    <mergeCell ref="A5930:A5931"/>
    <mergeCell ref="E5930:E5931"/>
    <mergeCell ref="F5930:H5930"/>
    <mergeCell ref="J5930:J5931"/>
    <mergeCell ref="K5930:L5931"/>
    <mergeCell ref="M5930:N5931"/>
    <mergeCell ref="O5930:P5931"/>
    <mergeCell ref="Q5930:R5931"/>
    <mergeCell ref="S5930:T5931"/>
    <mergeCell ref="U5930:V5931"/>
    <mergeCell ref="W5930:W5931"/>
    <mergeCell ref="X5930:AB5930"/>
    <mergeCell ref="AD5930:AI5930"/>
    <mergeCell ref="AJ5930:AL5930"/>
    <mergeCell ref="AN5930:AO5930"/>
    <mergeCell ref="AP5930:AQ5930"/>
    <mergeCell ref="AR5930:AS5931"/>
    <mergeCell ref="AT5930:AU5931"/>
    <mergeCell ref="AV5930:AW5931"/>
    <mergeCell ref="AX5930:AY5931"/>
    <mergeCell ref="AZ5930:AZ5931"/>
    <mergeCell ref="F5931:H5931"/>
    <mergeCell ref="X5931:AB5931"/>
    <mergeCell ref="AE5931:AI5931"/>
    <mergeCell ref="AJ5931:AL5931"/>
    <mergeCell ref="AN5931:AO5931"/>
    <mergeCell ref="AP5931:AQ5931"/>
    <mergeCell ref="A5932:A5933"/>
    <mergeCell ref="E5932:E5933"/>
    <mergeCell ref="F5932:H5932"/>
    <mergeCell ref="J5932:J5933"/>
    <mergeCell ref="K5932:L5933"/>
    <mergeCell ref="M5932:N5933"/>
    <mergeCell ref="O5932:P5933"/>
    <mergeCell ref="Q5932:R5933"/>
    <mergeCell ref="S5932:T5933"/>
    <mergeCell ref="U5932:V5933"/>
    <mergeCell ref="W5932:W5933"/>
    <mergeCell ref="X5932:AB5932"/>
    <mergeCell ref="AD5932:AI5932"/>
    <mergeCell ref="AJ5932:AL5932"/>
    <mergeCell ref="AN5932:AO5932"/>
    <mergeCell ref="AP5932:AQ5932"/>
    <mergeCell ref="AR5932:AS5933"/>
    <mergeCell ref="AT5932:AU5933"/>
    <mergeCell ref="AV5932:AW5933"/>
    <mergeCell ref="AX5932:AY5933"/>
    <mergeCell ref="AZ5932:AZ5933"/>
    <mergeCell ref="F5933:H5933"/>
    <mergeCell ref="X5933:AB5933"/>
    <mergeCell ref="AE5933:AI5933"/>
    <mergeCell ref="AJ5933:AL5933"/>
    <mergeCell ref="AN5933:AO5933"/>
    <mergeCell ref="AP5933:AQ5933"/>
    <mergeCell ref="A5934:A5935"/>
    <mergeCell ref="E5934:E5935"/>
    <mergeCell ref="F5934:H5934"/>
    <mergeCell ref="J5934:J5935"/>
    <mergeCell ref="K5934:L5935"/>
    <mergeCell ref="M5934:N5935"/>
    <mergeCell ref="O5934:P5935"/>
    <mergeCell ref="Q5934:R5935"/>
    <mergeCell ref="S5934:T5935"/>
    <mergeCell ref="U5934:V5935"/>
    <mergeCell ref="W5934:W5935"/>
    <mergeCell ref="X5934:AB5934"/>
    <mergeCell ref="AD5934:AI5934"/>
    <mergeCell ref="AJ5934:AL5934"/>
    <mergeCell ref="AN5934:AO5934"/>
    <mergeCell ref="AP5934:AQ5934"/>
    <mergeCell ref="AR5934:AS5935"/>
    <mergeCell ref="AT5934:AU5935"/>
    <mergeCell ref="AV5934:AW5935"/>
    <mergeCell ref="AX5934:AY5935"/>
    <mergeCell ref="AZ5934:AZ5935"/>
    <mergeCell ref="F5935:H5935"/>
    <mergeCell ref="X5935:AB5935"/>
    <mergeCell ref="AE5935:AI5935"/>
    <mergeCell ref="AJ5935:AL5935"/>
    <mergeCell ref="AN5935:AO5935"/>
    <mergeCell ref="AP5935:AQ5935"/>
    <mergeCell ref="A5936:A5937"/>
    <mergeCell ref="E5936:E5937"/>
    <mergeCell ref="F5936:H5936"/>
    <mergeCell ref="J5936:J5937"/>
    <mergeCell ref="K5936:L5937"/>
    <mergeCell ref="M5936:N5937"/>
    <mergeCell ref="O5936:P5937"/>
    <mergeCell ref="Q5936:R5937"/>
    <mergeCell ref="S5936:T5937"/>
    <mergeCell ref="U5936:V5937"/>
    <mergeCell ref="W5936:W5937"/>
    <mergeCell ref="X5936:AB5936"/>
    <mergeCell ref="AD5936:AI5936"/>
    <mergeCell ref="AJ5936:AL5936"/>
    <mergeCell ref="AN5936:AO5936"/>
    <mergeCell ref="AP5936:AQ5936"/>
    <mergeCell ref="AR5936:AS5937"/>
    <mergeCell ref="AT5936:AU5937"/>
    <mergeCell ref="AV5936:AW5937"/>
    <mergeCell ref="AX5936:AY5937"/>
    <mergeCell ref="AZ5936:AZ5937"/>
    <mergeCell ref="F5937:H5937"/>
    <mergeCell ref="X5937:AB5937"/>
    <mergeCell ref="AE5937:AI5937"/>
    <mergeCell ref="AJ5937:AL5937"/>
    <mergeCell ref="AN5937:AO5937"/>
    <mergeCell ref="AP5937:AQ5937"/>
    <mergeCell ref="A5938:A5939"/>
    <mergeCell ref="E5938:E5939"/>
    <mergeCell ref="F5938:H5938"/>
    <mergeCell ref="J5938:J5939"/>
    <mergeCell ref="K5938:L5939"/>
    <mergeCell ref="M5938:N5939"/>
    <mergeCell ref="O5938:P5939"/>
    <mergeCell ref="Q5938:R5939"/>
    <mergeCell ref="S5938:T5939"/>
    <mergeCell ref="U5938:V5939"/>
    <mergeCell ref="W5938:W5939"/>
    <mergeCell ref="X5938:AB5938"/>
    <mergeCell ref="AD5938:AI5938"/>
    <mergeCell ref="AJ5938:AL5938"/>
    <mergeCell ref="AN5938:AO5938"/>
    <mergeCell ref="AP5938:AQ5938"/>
    <mergeCell ref="AR5938:AS5939"/>
    <mergeCell ref="AT5938:AU5939"/>
    <mergeCell ref="AV5938:AW5939"/>
    <mergeCell ref="AX5938:AY5939"/>
    <mergeCell ref="AZ5938:AZ5939"/>
    <mergeCell ref="F5939:H5939"/>
    <mergeCell ref="X5939:AB5939"/>
    <mergeCell ref="AE5939:AI5939"/>
    <mergeCell ref="AJ5939:AL5939"/>
    <mergeCell ref="AN5939:AO5939"/>
    <mergeCell ref="AP5939:AQ5939"/>
    <mergeCell ref="A5940:A5941"/>
    <mergeCell ref="E5940:E5941"/>
    <mergeCell ref="F5940:H5940"/>
    <mergeCell ref="J5940:J5941"/>
    <mergeCell ref="K5940:L5941"/>
    <mergeCell ref="M5940:N5941"/>
    <mergeCell ref="O5940:P5941"/>
    <mergeCell ref="Q5940:R5941"/>
    <mergeCell ref="S5940:T5941"/>
    <mergeCell ref="U5940:V5941"/>
    <mergeCell ref="W5940:W5941"/>
    <mergeCell ref="X5940:AB5940"/>
    <mergeCell ref="AD5940:AI5940"/>
    <mergeCell ref="AJ5940:AL5940"/>
    <mergeCell ref="AN5940:AO5940"/>
    <mergeCell ref="AP5940:AQ5940"/>
    <mergeCell ref="AR5940:AS5941"/>
    <mergeCell ref="AT5940:AU5941"/>
    <mergeCell ref="AV5940:AW5941"/>
    <mergeCell ref="AX5940:AY5941"/>
    <mergeCell ref="AZ5940:AZ5941"/>
    <mergeCell ref="F5941:H5941"/>
    <mergeCell ref="X5941:AB5941"/>
    <mergeCell ref="AE5941:AI5941"/>
    <mergeCell ref="AJ5941:AL5941"/>
    <mergeCell ref="AN5941:AO5941"/>
    <mergeCell ref="AP5941:AQ5941"/>
    <mergeCell ref="A5942:A5943"/>
    <mergeCell ref="E5942:E5943"/>
    <mergeCell ref="F5942:H5942"/>
    <mergeCell ref="J5942:J5943"/>
    <mergeCell ref="K5942:L5943"/>
    <mergeCell ref="M5942:N5943"/>
    <mergeCell ref="O5942:P5943"/>
    <mergeCell ref="Q5942:R5943"/>
    <mergeCell ref="S5942:T5943"/>
    <mergeCell ref="U5942:V5943"/>
    <mergeCell ref="W5942:W5943"/>
    <mergeCell ref="X5942:AB5942"/>
    <mergeCell ref="AD5942:AI5942"/>
    <mergeCell ref="AJ5942:AL5942"/>
    <mergeCell ref="AN5942:AO5942"/>
    <mergeCell ref="AP5942:AQ5942"/>
    <mergeCell ref="AR5942:AS5943"/>
    <mergeCell ref="AT5942:AU5943"/>
    <mergeCell ref="AV5942:AW5943"/>
    <mergeCell ref="AX5942:AY5943"/>
    <mergeCell ref="AZ5942:AZ5943"/>
    <mergeCell ref="F5943:H5943"/>
    <mergeCell ref="X5943:AB5943"/>
    <mergeCell ref="AE5943:AI5943"/>
    <mergeCell ref="AJ5943:AL5943"/>
    <mergeCell ref="AN5943:AO5943"/>
    <mergeCell ref="AP5943:AQ5943"/>
    <mergeCell ref="A5944:A5945"/>
    <mergeCell ref="E5944:E5945"/>
    <mergeCell ref="F5944:H5944"/>
    <mergeCell ref="J5944:J5945"/>
    <mergeCell ref="K5944:L5945"/>
    <mergeCell ref="M5944:N5945"/>
    <mergeCell ref="O5944:P5945"/>
    <mergeCell ref="Q5944:R5945"/>
    <mergeCell ref="S5944:T5945"/>
    <mergeCell ref="U5944:V5945"/>
    <mergeCell ref="W5944:W5945"/>
    <mergeCell ref="X5944:AB5944"/>
    <mergeCell ref="AD5944:AI5944"/>
    <mergeCell ref="AJ5944:AL5944"/>
    <mergeCell ref="AN5944:AO5944"/>
    <mergeCell ref="AP5944:AQ5944"/>
    <mergeCell ref="AR5944:AS5945"/>
    <mergeCell ref="AT5944:AU5945"/>
    <mergeCell ref="AV5944:AW5945"/>
    <mergeCell ref="AX5944:AY5945"/>
    <mergeCell ref="AZ5944:AZ5945"/>
    <mergeCell ref="F5945:H5945"/>
    <mergeCell ref="X5945:AB5945"/>
    <mergeCell ref="AE5945:AI5945"/>
    <mergeCell ref="AJ5945:AL5945"/>
    <mergeCell ref="AN5945:AO5945"/>
    <mergeCell ref="AP5945:AQ5945"/>
    <mergeCell ref="A5946:A5947"/>
    <mergeCell ref="E5946:E5947"/>
    <mergeCell ref="F5946:H5946"/>
    <mergeCell ref="J5946:J5947"/>
    <mergeCell ref="K5946:L5947"/>
    <mergeCell ref="M5946:N5947"/>
    <mergeCell ref="O5946:P5947"/>
    <mergeCell ref="Q5946:R5947"/>
    <mergeCell ref="S5946:T5947"/>
    <mergeCell ref="U5946:V5947"/>
    <mergeCell ref="W5946:W5947"/>
    <mergeCell ref="X5946:AB5946"/>
    <mergeCell ref="AD5946:AI5946"/>
    <mergeCell ref="AJ5946:AL5946"/>
    <mergeCell ref="AN5946:AO5946"/>
    <mergeCell ref="AP5946:AQ5946"/>
    <mergeCell ref="AR5946:AS5947"/>
    <mergeCell ref="AT5946:AU5947"/>
    <mergeCell ref="AV5946:AW5947"/>
    <mergeCell ref="AX5946:AY5947"/>
    <mergeCell ref="AZ5946:AZ5947"/>
    <mergeCell ref="F5947:H5947"/>
    <mergeCell ref="X5947:AB5947"/>
    <mergeCell ref="AE5947:AI5947"/>
    <mergeCell ref="AJ5947:AL5947"/>
    <mergeCell ref="AN5947:AO5947"/>
    <mergeCell ref="AP5947:AQ5947"/>
    <mergeCell ref="A5948:A5949"/>
    <mergeCell ref="E5948:E5949"/>
    <mergeCell ref="F5948:H5948"/>
    <mergeCell ref="J5948:J5949"/>
    <mergeCell ref="K5948:L5949"/>
    <mergeCell ref="M5948:N5949"/>
    <mergeCell ref="O5948:P5949"/>
    <mergeCell ref="Q5948:R5949"/>
    <mergeCell ref="S5948:T5949"/>
    <mergeCell ref="U5948:V5949"/>
    <mergeCell ref="W5948:W5949"/>
    <mergeCell ref="X5948:AB5948"/>
    <mergeCell ref="AD5948:AI5948"/>
    <mergeCell ref="AJ5948:AL5948"/>
    <mergeCell ref="AN5948:AO5948"/>
    <mergeCell ref="AP5948:AQ5948"/>
    <mergeCell ref="AR5948:AS5949"/>
    <mergeCell ref="AT5948:AU5949"/>
    <mergeCell ref="AV5948:AW5949"/>
    <mergeCell ref="AX5948:AY5949"/>
    <mergeCell ref="AZ5948:AZ5949"/>
    <mergeCell ref="F5949:H5949"/>
    <mergeCell ref="X5949:AB5949"/>
    <mergeCell ref="AE5949:AI5949"/>
    <mergeCell ref="AJ5949:AL5949"/>
    <mergeCell ref="AN5949:AO5949"/>
    <mergeCell ref="AP5949:AQ5949"/>
    <mergeCell ref="A5950:A5951"/>
    <mergeCell ref="E5950:E5951"/>
    <mergeCell ref="F5950:H5950"/>
    <mergeCell ref="J5950:J5951"/>
    <mergeCell ref="K5950:L5951"/>
    <mergeCell ref="M5950:N5951"/>
    <mergeCell ref="O5950:P5951"/>
    <mergeCell ref="Q5950:R5951"/>
    <mergeCell ref="S5950:T5951"/>
    <mergeCell ref="U5950:V5951"/>
    <mergeCell ref="W5950:W5951"/>
    <mergeCell ref="X5950:AB5950"/>
    <mergeCell ref="AD5950:AI5950"/>
    <mergeCell ref="AJ5950:AL5950"/>
    <mergeCell ref="AN5950:AO5950"/>
    <mergeCell ref="AP5950:AQ5950"/>
    <mergeCell ref="AR5950:AS5951"/>
    <mergeCell ref="AT5950:AU5951"/>
    <mergeCell ref="AV5950:AW5951"/>
    <mergeCell ref="AX5950:AY5951"/>
    <mergeCell ref="AZ5950:AZ5951"/>
    <mergeCell ref="F5951:H5951"/>
    <mergeCell ref="X5951:AB5951"/>
    <mergeCell ref="AE5951:AI5951"/>
    <mergeCell ref="AJ5951:AL5951"/>
    <mergeCell ref="AN5951:AO5951"/>
    <mergeCell ref="AP5951:AQ5951"/>
    <mergeCell ref="A5952:A5953"/>
    <mergeCell ref="E5952:E5953"/>
    <mergeCell ref="F5952:H5952"/>
    <mergeCell ref="J5952:J5953"/>
    <mergeCell ref="K5952:L5953"/>
    <mergeCell ref="M5952:N5953"/>
    <mergeCell ref="O5952:P5953"/>
    <mergeCell ref="Q5952:R5953"/>
    <mergeCell ref="S5952:T5953"/>
    <mergeCell ref="U5952:V5953"/>
    <mergeCell ref="W5952:W5953"/>
    <mergeCell ref="X5952:AB5952"/>
    <mergeCell ref="AD5952:AI5952"/>
    <mergeCell ref="AJ5952:AL5952"/>
    <mergeCell ref="AN5952:AO5952"/>
    <mergeCell ref="AP5952:AQ5952"/>
    <mergeCell ref="AR5952:AS5953"/>
    <mergeCell ref="AT5952:AU5953"/>
    <mergeCell ref="AV5952:AW5953"/>
    <mergeCell ref="AX5952:AY5953"/>
    <mergeCell ref="AZ5952:AZ5953"/>
    <mergeCell ref="F5953:H5953"/>
    <mergeCell ref="X5953:AB5953"/>
    <mergeCell ref="AE5953:AI5953"/>
    <mergeCell ref="AJ5953:AL5953"/>
    <mergeCell ref="AN5953:AO5953"/>
    <mergeCell ref="AP5953:AQ5953"/>
    <mergeCell ref="A5954:A5955"/>
    <mergeCell ref="E5954:E5955"/>
    <mergeCell ref="F5954:H5954"/>
    <mergeCell ref="J5954:J5955"/>
    <mergeCell ref="K5954:L5955"/>
    <mergeCell ref="M5954:N5955"/>
    <mergeCell ref="O5954:P5955"/>
    <mergeCell ref="Q5954:R5955"/>
    <mergeCell ref="S5954:T5955"/>
    <mergeCell ref="U5954:V5955"/>
    <mergeCell ref="W5954:W5955"/>
    <mergeCell ref="X5954:AB5954"/>
    <mergeCell ref="AD5954:AI5954"/>
    <mergeCell ref="AJ5954:AL5954"/>
    <mergeCell ref="AN5954:AO5954"/>
    <mergeCell ref="AP5954:AQ5954"/>
    <mergeCell ref="AR5954:AS5955"/>
    <mergeCell ref="AT5954:AU5955"/>
    <mergeCell ref="AV5954:AW5955"/>
    <mergeCell ref="AX5954:AY5955"/>
    <mergeCell ref="AZ5954:AZ5955"/>
    <mergeCell ref="F5955:H5955"/>
    <mergeCell ref="X5955:AB5955"/>
    <mergeCell ref="AE5955:AI5955"/>
    <mergeCell ref="AJ5955:AL5955"/>
    <mergeCell ref="AN5955:AO5955"/>
    <mergeCell ref="AP5955:AQ5955"/>
    <mergeCell ref="A5956:A5957"/>
    <mergeCell ref="E5956:E5957"/>
    <mergeCell ref="F5956:H5956"/>
    <mergeCell ref="J5956:J5957"/>
    <mergeCell ref="K5956:L5957"/>
    <mergeCell ref="M5956:N5957"/>
    <mergeCell ref="O5956:P5957"/>
    <mergeCell ref="Q5956:R5957"/>
    <mergeCell ref="S5956:T5957"/>
    <mergeCell ref="U5956:V5957"/>
    <mergeCell ref="W5956:W5957"/>
    <mergeCell ref="X5956:AB5956"/>
    <mergeCell ref="AD5956:AI5956"/>
    <mergeCell ref="AJ5956:AL5956"/>
    <mergeCell ref="AN5956:AO5956"/>
    <mergeCell ref="AP5956:AQ5956"/>
    <mergeCell ref="AR5956:AS5957"/>
    <mergeCell ref="AT5956:AU5957"/>
    <mergeCell ref="AV5956:AW5957"/>
    <mergeCell ref="AX5956:AY5957"/>
    <mergeCell ref="AZ5956:AZ5957"/>
    <mergeCell ref="F5957:H5957"/>
    <mergeCell ref="X5957:AB5957"/>
    <mergeCell ref="AE5957:AI5957"/>
    <mergeCell ref="AJ5957:AL5957"/>
    <mergeCell ref="AN5957:AO5957"/>
    <mergeCell ref="AP5957:AQ5957"/>
    <mergeCell ref="A5958:A5959"/>
    <mergeCell ref="E5958:E5959"/>
    <mergeCell ref="F5958:H5958"/>
    <mergeCell ref="J5958:J5959"/>
    <mergeCell ref="K5958:L5959"/>
    <mergeCell ref="M5958:N5959"/>
    <mergeCell ref="O5958:P5959"/>
    <mergeCell ref="Q5958:R5959"/>
    <mergeCell ref="S5958:T5959"/>
    <mergeCell ref="U5958:V5959"/>
    <mergeCell ref="W5958:W5959"/>
    <mergeCell ref="X5958:AB5958"/>
    <mergeCell ref="AD5958:AI5958"/>
    <mergeCell ref="AJ5958:AL5958"/>
    <mergeCell ref="AN5958:AO5958"/>
    <mergeCell ref="AP5958:AQ5958"/>
    <mergeCell ref="AR5958:AS5959"/>
    <mergeCell ref="AT5958:AU5959"/>
    <mergeCell ref="AV5958:AW5959"/>
    <mergeCell ref="AX5958:AY5959"/>
    <mergeCell ref="AZ5958:AZ5959"/>
    <mergeCell ref="F5959:H5959"/>
    <mergeCell ref="X5959:AB5959"/>
    <mergeCell ref="AE5959:AI5959"/>
    <mergeCell ref="AJ5959:AL5959"/>
    <mergeCell ref="AN5959:AO5959"/>
    <mergeCell ref="AP5959:AQ5959"/>
    <mergeCell ref="A5960:A5961"/>
    <mergeCell ref="E5960:E5961"/>
    <mergeCell ref="F5960:H5960"/>
    <mergeCell ref="J5960:J5961"/>
    <mergeCell ref="K5960:L5961"/>
    <mergeCell ref="M5960:N5961"/>
    <mergeCell ref="O5960:P5961"/>
    <mergeCell ref="Q5960:R5961"/>
    <mergeCell ref="S5960:T5961"/>
    <mergeCell ref="U5960:V5961"/>
    <mergeCell ref="W5960:W5961"/>
    <mergeCell ref="X5960:AB5960"/>
    <mergeCell ref="AD5960:AI5960"/>
    <mergeCell ref="AJ5960:AL5960"/>
    <mergeCell ref="AN5960:AO5960"/>
    <mergeCell ref="AP5960:AQ5960"/>
    <mergeCell ref="AR5960:AS5961"/>
    <mergeCell ref="AT5960:AU5961"/>
    <mergeCell ref="AV5960:AW5961"/>
    <mergeCell ref="AX5960:AY5961"/>
    <mergeCell ref="AZ5960:AZ5961"/>
    <mergeCell ref="F5961:H5961"/>
    <mergeCell ref="X5961:AB5961"/>
    <mergeCell ref="AE5961:AI5961"/>
    <mergeCell ref="AJ5961:AL5961"/>
    <mergeCell ref="AN5961:AO5961"/>
    <mergeCell ref="AP5961:AQ5961"/>
    <mergeCell ref="A5962:A5963"/>
    <mergeCell ref="E5962:E5963"/>
    <mergeCell ref="F5962:H5962"/>
    <mergeCell ref="J5962:J5963"/>
    <mergeCell ref="K5962:L5963"/>
    <mergeCell ref="M5962:N5963"/>
    <mergeCell ref="O5962:P5963"/>
    <mergeCell ref="Q5962:R5963"/>
    <mergeCell ref="S5962:T5963"/>
    <mergeCell ref="U5962:V5963"/>
    <mergeCell ref="W5962:W5963"/>
    <mergeCell ref="X5962:AB5962"/>
    <mergeCell ref="AD5962:AI5962"/>
    <mergeCell ref="AJ5962:AL5962"/>
    <mergeCell ref="AN5962:AO5962"/>
    <mergeCell ref="AP5962:AQ5962"/>
    <mergeCell ref="AR5962:AS5963"/>
    <mergeCell ref="AT5962:AU5963"/>
    <mergeCell ref="AV5962:AW5963"/>
    <mergeCell ref="AX5962:AY5963"/>
    <mergeCell ref="AZ5962:AZ5963"/>
    <mergeCell ref="F5963:H5963"/>
    <mergeCell ref="X5963:AB5963"/>
    <mergeCell ref="AE5963:AI5963"/>
    <mergeCell ref="AJ5963:AL5963"/>
    <mergeCell ref="AN5963:AO5963"/>
    <mergeCell ref="AP5963:AQ5963"/>
    <mergeCell ref="A5964:A5965"/>
    <mergeCell ref="E5964:E5965"/>
    <mergeCell ref="F5964:H5964"/>
    <mergeCell ref="J5964:J5965"/>
    <mergeCell ref="K5964:L5965"/>
    <mergeCell ref="M5964:N5965"/>
    <mergeCell ref="O5964:P5965"/>
    <mergeCell ref="Q5964:R5965"/>
    <mergeCell ref="S5964:T5965"/>
    <mergeCell ref="U5964:V5965"/>
    <mergeCell ref="W5964:W5965"/>
    <mergeCell ref="X5964:AB5964"/>
    <mergeCell ref="AD5964:AI5964"/>
    <mergeCell ref="AJ5964:AL5964"/>
    <mergeCell ref="AN5964:AO5964"/>
    <mergeCell ref="AP5964:AQ5964"/>
    <mergeCell ref="AR5964:AS5965"/>
    <mergeCell ref="AT5964:AU5965"/>
    <mergeCell ref="AV5964:AW5965"/>
    <mergeCell ref="AX5964:AY5965"/>
    <mergeCell ref="AZ5964:AZ5965"/>
    <mergeCell ref="F5965:H5965"/>
    <mergeCell ref="X5965:AB5965"/>
    <mergeCell ref="AE5965:AI5965"/>
    <mergeCell ref="AJ5965:AL5965"/>
    <mergeCell ref="AN5965:AO5965"/>
    <mergeCell ref="AP5965:AQ5965"/>
    <mergeCell ref="A5966:A5967"/>
    <mergeCell ref="E5966:E5967"/>
    <mergeCell ref="F5966:H5966"/>
    <mergeCell ref="J5966:J5967"/>
    <mergeCell ref="K5966:L5967"/>
    <mergeCell ref="M5966:N5967"/>
    <mergeCell ref="O5966:P5967"/>
    <mergeCell ref="Q5966:R5967"/>
    <mergeCell ref="S5966:T5967"/>
    <mergeCell ref="U5966:V5967"/>
    <mergeCell ref="W5966:W5967"/>
    <mergeCell ref="X5966:AB5966"/>
    <mergeCell ref="AD5966:AI5966"/>
    <mergeCell ref="AJ5966:AL5966"/>
    <mergeCell ref="AN5966:AO5966"/>
    <mergeCell ref="AP5966:AQ5966"/>
    <mergeCell ref="AR5966:AS5967"/>
    <mergeCell ref="AT5966:AU5967"/>
    <mergeCell ref="AV5966:AW5967"/>
    <mergeCell ref="AX5966:AY5967"/>
    <mergeCell ref="AZ5966:AZ5967"/>
    <mergeCell ref="F5967:H5967"/>
    <mergeCell ref="X5967:AB5967"/>
    <mergeCell ref="AE5967:AI5967"/>
    <mergeCell ref="AJ5967:AL5967"/>
    <mergeCell ref="AN5967:AO5967"/>
    <mergeCell ref="AP5967:AQ5967"/>
    <mergeCell ref="A5968:A5969"/>
    <mergeCell ref="E5968:E5969"/>
    <mergeCell ref="F5968:H5968"/>
    <mergeCell ref="J5968:J5969"/>
    <mergeCell ref="K5968:L5969"/>
    <mergeCell ref="M5968:N5969"/>
    <mergeCell ref="O5968:P5969"/>
    <mergeCell ref="Q5968:R5969"/>
    <mergeCell ref="S5968:T5969"/>
    <mergeCell ref="U5968:V5969"/>
    <mergeCell ref="W5968:W5969"/>
    <mergeCell ref="X5968:AB5968"/>
    <mergeCell ref="AD5968:AI5968"/>
    <mergeCell ref="AJ5968:AL5968"/>
    <mergeCell ref="AN5968:AO5968"/>
    <mergeCell ref="AP5968:AQ5968"/>
    <mergeCell ref="AR5968:AS5969"/>
    <mergeCell ref="AT5968:AU5969"/>
    <mergeCell ref="AV5968:AW5969"/>
    <mergeCell ref="AX5968:AY5969"/>
    <mergeCell ref="AZ5968:AZ5969"/>
    <mergeCell ref="F5969:H5969"/>
    <mergeCell ref="X5969:AB5969"/>
    <mergeCell ref="AE5969:AI5969"/>
    <mergeCell ref="AJ5969:AL5969"/>
    <mergeCell ref="AN5969:AO5969"/>
    <mergeCell ref="AP5969:AQ5969"/>
    <mergeCell ref="A5970:A5971"/>
    <mergeCell ref="E5970:E5971"/>
    <mergeCell ref="F5970:H5970"/>
    <mergeCell ref="J5970:J5971"/>
    <mergeCell ref="K5970:L5971"/>
    <mergeCell ref="M5970:N5971"/>
    <mergeCell ref="O5970:P5971"/>
    <mergeCell ref="Q5970:R5971"/>
    <mergeCell ref="S5970:T5971"/>
    <mergeCell ref="U5970:V5971"/>
    <mergeCell ref="W5970:W5971"/>
    <mergeCell ref="X5970:AB5970"/>
    <mergeCell ref="AD5970:AI5970"/>
    <mergeCell ref="AJ5970:AL5970"/>
    <mergeCell ref="AN5970:AO5970"/>
    <mergeCell ref="AP5970:AQ5970"/>
    <mergeCell ref="AR5970:AS5971"/>
    <mergeCell ref="AT5970:AU5971"/>
    <mergeCell ref="AV5970:AW5971"/>
    <mergeCell ref="AX5970:AY5971"/>
    <mergeCell ref="AZ5970:AZ5971"/>
    <mergeCell ref="F5971:H5971"/>
    <mergeCell ref="X5971:AB5971"/>
    <mergeCell ref="AE5971:AI5971"/>
    <mergeCell ref="AJ5971:AL5971"/>
    <mergeCell ref="AN5971:AO5971"/>
    <mergeCell ref="AP5971:AQ5971"/>
    <mergeCell ref="A5972:A5973"/>
    <mergeCell ref="E5972:E5973"/>
    <mergeCell ref="F5972:H5972"/>
    <mergeCell ref="J5972:J5973"/>
    <mergeCell ref="K5972:L5973"/>
    <mergeCell ref="M5972:N5973"/>
    <mergeCell ref="O5972:P5973"/>
    <mergeCell ref="Q5972:R5973"/>
    <mergeCell ref="S5972:T5973"/>
    <mergeCell ref="U5972:V5973"/>
    <mergeCell ref="W5972:W5973"/>
    <mergeCell ref="X5972:AB5972"/>
    <mergeCell ref="AD5972:AI5972"/>
    <mergeCell ref="AJ5972:AL5972"/>
    <mergeCell ref="AN5972:AO5972"/>
    <mergeCell ref="AP5972:AQ5972"/>
    <mergeCell ref="AR5972:AS5973"/>
    <mergeCell ref="AT5972:AU5973"/>
    <mergeCell ref="AV5972:AW5973"/>
    <mergeCell ref="AX5972:AY5973"/>
    <mergeCell ref="AZ5972:AZ5973"/>
    <mergeCell ref="F5973:H5973"/>
    <mergeCell ref="X5973:AB5973"/>
    <mergeCell ref="AE5973:AI5973"/>
    <mergeCell ref="AJ5973:AL5973"/>
    <mergeCell ref="AN5973:AO5973"/>
    <mergeCell ref="AP5973:AQ5973"/>
    <mergeCell ref="A5974:A5975"/>
    <mergeCell ref="E5974:E5975"/>
    <mergeCell ref="F5974:H5974"/>
    <mergeCell ref="J5974:J5975"/>
    <mergeCell ref="K5974:L5975"/>
    <mergeCell ref="M5974:N5975"/>
    <mergeCell ref="O5974:P5975"/>
    <mergeCell ref="Q5974:R5975"/>
    <mergeCell ref="S5974:T5975"/>
    <mergeCell ref="U5974:V5975"/>
    <mergeCell ref="W5974:W5975"/>
    <mergeCell ref="X5974:AB5974"/>
    <mergeCell ref="AD5974:AI5974"/>
    <mergeCell ref="AJ5974:AL5974"/>
    <mergeCell ref="AN5974:AO5974"/>
    <mergeCell ref="AP5974:AQ5974"/>
    <mergeCell ref="AR5974:AS5975"/>
    <mergeCell ref="AT5974:AU5975"/>
    <mergeCell ref="AV5974:AW5975"/>
    <mergeCell ref="AX5974:AY5975"/>
    <mergeCell ref="AZ5974:AZ5975"/>
    <mergeCell ref="F5975:H5975"/>
    <mergeCell ref="X5975:AB5975"/>
    <mergeCell ref="AE5975:AI5975"/>
    <mergeCell ref="AJ5975:AL5975"/>
    <mergeCell ref="AN5975:AO5975"/>
    <mergeCell ref="AP5975:AQ5975"/>
    <mergeCell ref="A5976:A5977"/>
    <mergeCell ref="E5976:E5977"/>
    <mergeCell ref="F5976:H5976"/>
    <mergeCell ref="J5976:J5977"/>
    <mergeCell ref="K5976:L5977"/>
    <mergeCell ref="M5976:N5977"/>
    <mergeCell ref="O5976:P5977"/>
    <mergeCell ref="Q5976:R5977"/>
    <mergeCell ref="S5976:T5977"/>
    <mergeCell ref="U5976:V5977"/>
    <mergeCell ref="W5976:W5977"/>
    <mergeCell ref="X5976:AB5976"/>
    <mergeCell ref="AD5976:AI5976"/>
    <mergeCell ref="AJ5976:AL5976"/>
    <mergeCell ref="AN5976:AO5976"/>
    <mergeCell ref="AP5976:AQ5976"/>
    <mergeCell ref="AR5976:AS5977"/>
    <mergeCell ref="AT5976:AU5977"/>
    <mergeCell ref="AV5976:AW5977"/>
    <mergeCell ref="AX5976:AY5977"/>
    <mergeCell ref="AZ5976:AZ5977"/>
    <mergeCell ref="F5977:H5977"/>
    <mergeCell ref="X5977:AB5977"/>
    <mergeCell ref="AE5977:AI5977"/>
    <mergeCell ref="AJ5977:AL5977"/>
    <mergeCell ref="AN5977:AO5977"/>
    <mergeCell ref="AP5977:AQ5977"/>
    <mergeCell ref="AZ5984:AZ5985"/>
    <mergeCell ref="F5985:H5985"/>
    <mergeCell ref="X5985:AB5985"/>
    <mergeCell ref="AE5985:AI5985"/>
    <mergeCell ref="AJ5985:AL5985"/>
    <mergeCell ref="AN5985:AO5985"/>
    <mergeCell ref="AP5985:AQ5985"/>
    <mergeCell ref="A5978:A5979"/>
    <mergeCell ref="E5978:E5979"/>
    <mergeCell ref="F5978:H5978"/>
    <mergeCell ref="J5978:J5979"/>
    <mergeCell ref="K5978:L5979"/>
    <mergeCell ref="M5978:N5979"/>
    <mergeCell ref="O5978:P5979"/>
    <mergeCell ref="Q5978:R5979"/>
    <mergeCell ref="S5978:T5979"/>
    <mergeCell ref="U5978:V5979"/>
    <mergeCell ref="W5978:W5979"/>
    <mergeCell ref="X5978:AB5978"/>
    <mergeCell ref="AD5978:AI5978"/>
    <mergeCell ref="AJ5978:AL5978"/>
    <mergeCell ref="AN5978:AO5978"/>
    <mergeCell ref="AP5978:AQ5978"/>
    <mergeCell ref="AR5978:AS5979"/>
    <mergeCell ref="AT5978:AU5979"/>
    <mergeCell ref="AV5978:AW5979"/>
    <mergeCell ref="AX5978:AY5979"/>
    <mergeCell ref="AZ5978:AZ5979"/>
    <mergeCell ref="F5979:H5979"/>
    <mergeCell ref="X5979:AB5979"/>
    <mergeCell ref="AE5979:AI5979"/>
    <mergeCell ref="AJ5979:AL5979"/>
    <mergeCell ref="AN5979:AO5979"/>
    <mergeCell ref="AP5979:AQ5979"/>
    <mergeCell ref="A5980:A5981"/>
    <mergeCell ref="E5980:E5981"/>
    <mergeCell ref="F5980:H5980"/>
    <mergeCell ref="J5980:J5981"/>
    <mergeCell ref="K5980:L5981"/>
    <mergeCell ref="M5980:N5981"/>
    <mergeCell ref="O5980:P5981"/>
    <mergeCell ref="Q5980:R5981"/>
    <mergeCell ref="S5980:T5981"/>
    <mergeCell ref="U5980:V5981"/>
    <mergeCell ref="W5980:W5981"/>
    <mergeCell ref="X5980:AB5980"/>
    <mergeCell ref="AD5980:AI5980"/>
    <mergeCell ref="AJ5980:AL5980"/>
    <mergeCell ref="AN5980:AO5980"/>
    <mergeCell ref="AP5980:AQ5980"/>
    <mergeCell ref="AR5980:AS5981"/>
    <mergeCell ref="AT5980:AU5981"/>
    <mergeCell ref="AV5980:AW5981"/>
    <mergeCell ref="AX5980:AY5981"/>
    <mergeCell ref="AZ5980:AZ5981"/>
    <mergeCell ref="F5981:H5981"/>
    <mergeCell ref="X5981:AB5981"/>
    <mergeCell ref="AE5981:AI5981"/>
    <mergeCell ref="AJ5981:AL5981"/>
    <mergeCell ref="AN5981:AO5981"/>
    <mergeCell ref="AP5981:AQ5981"/>
    <mergeCell ref="A5988:A5989"/>
    <mergeCell ref="E5988:E5989"/>
    <mergeCell ref="F5988:H5988"/>
    <mergeCell ref="J5988:J5989"/>
    <mergeCell ref="K5988:L5989"/>
    <mergeCell ref="M5988:N5989"/>
    <mergeCell ref="O5988:P5989"/>
    <mergeCell ref="Q5988:R5989"/>
    <mergeCell ref="S5988:T5989"/>
    <mergeCell ref="U5988:V5989"/>
    <mergeCell ref="W5988:W5989"/>
    <mergeCell ref="X5988:AB5988"/>
    <mergeCell ref="AD5988:AI5988"/>
    <mergeCell ref="AJ5988:AL5988"/>
    <mergeCell ref="AN5988:AO5988"/>
    <mergeCell ref="AP5988:AQ5988"/>
    <mergeCell ref="AR5988:AS5989"/>
    <mergeCell ref="AT5988:AU5989"/>
    <mergeCell ref="AV5988:AW5989"/>
    <mergeCell ref="AX5988:AY5989"/>
    <mergeCell ref="AZ5988:AZ5989"/>
    <mergeCell ref="F5989:H5989"/>
    <mergeCell ref="X5989:AB5989"/>
    <mergeCell ref="AE5989:AI5989"/>
    <mergeCell ref="AJ5989:AL5989"/>
    <mergeCell ref="AN5989:AO5989"/>
    <mergeCell ref="AP5989:AQ5989"/>
    <mergeCell ref="A5982:A5983"/>
    <mergeCell ref="E5982:E5983"/>
    <mergeCell ref="F5982:H5982"/>
    <mergeCell ref="J5982:J5983"/>
    <mergeCell ref="K5982:L5983"/>
    <mergeCell ref="M5982:N5983"/>
    <mergeCell ref="O5982:P5983"/>
    <mergeCell ref="Q5982:R5983"/>
    <mergeCell ref="S5982:T5983"/>
    <mergeCell ref="U5982:V5983"/>
    <mergeCell ref="W5982:W5983"/>
    <mergeCell ref="X5982:AB5982"/>
    <mergeCell ref="AD5982:AI5982"/>
    <mergeCell ref="AJ5982:AL5982"/>
    <mergeCell ref="AN5982:AO5982"/>
    <mergeCell ref="AP5982:AQ5982"/>
    <mergeCell ref="AR5982:AS5983"/>
    <mergeCell ref="AT5982:AU5983"/>
    <mergeCell ref="AV5982:AW5983"/>
    <mergeCell ref="AX5982:AY5983"/>
    <mergeCell ref="AZ5982:AZ5983"/>
    <mergeCell ref="F5983:H5983"/>
    <mergeCell ref="X5983:AB5983"/>
    <mergeCell ref="AE5983:AI5983"/>
    <mergeCell ref="AJ5983:AL5983"/>
    <mergeCell ref="AN5983:AO5983"/>
    <mergeCell ref="AP5983:AQ5983"/>
    <mergeCell ref="A5984:A5985"/>
    <mergeCell ref="E5984:E5985"/>
    <mergeCell ref="F5984:H5984"/>
    <mergeCell ref="J5984:J5985"/>
    <mergeCell ref="K5984:L5985"/>
    <mergeCell ref="M5984:N5985"/>
    <mergeCell ref="O5984:P5985"/>
    <mergeCell ref="Q5984:R5985"/>
    <mergeCell ref="S5984:T5985"/>
    <mergeCell ref="U5984:V5985"/>
    <mergeCell ref="A5748:A5749"/>
    <mergeCell ref="E5748:E5749"/>
    <mergeCell ref="F5748:H5748"/>
    <mergeCell ref="J5748:J5749"/>
    <mergeCell ref="K5748:L5749"/>
    <mergeCell ref="M5748:N5749"/>
    <mergeCell ref="O5748:P5749"/>
    <mergeCell ref="Q5748:R5749"/>
    <mergeCell ref="S5748:T5749"/>
    <mergeCell ref="U5748:V5749"/>
    <mergeCell ref="W5748:W5749"/>
    <mergeCell ref="X5748:AB5748"/>
    <mergeCell ref="AD5748:AI5748"/>
    <mergeCell ref="AJ5748:AL5748"/>
    <mergeCell ref="AN5748:AO5748"/>
    <mergeCell ref="AP5748:AQ5748"/>
    <mergeCell ref="AR5748:AS5749"/>
    <mergeCell ref="AT5748:AU5749"/>
    <mergeCell ref="AV5748:AW5749"/>
    <mergeCell ref="AX5748:AY5749"/>
    <mergeCell ref="AZ5748:AZ5749"/>
    <mergeCell ref="F5749:H5749"/>
    <mergeCell ref="X5749:AB5749"/>
    <mergeCell ref="AE5749:AI5749"/>
    <mergeCell ref="AJ5749:AL5749"/>
    <mergeCell ref="AN5749:AO5749"/>
    <mergeCell ref="AP5749:AQ5749"/>
    <mergeCell ref="A5986:A5987"/>
    <mergeCell ref="E5986:E5987"/>
    <mergeCell ref="F5986:H5986"/>
    <mergeCell ref="J5986:J5987"/>
    <mergeCell ref="K5986:L5987"/>
    <mergeCell ref="M5986:N5987"/>
    <mergeCell ref="O5986:P5987"/>
    <mergeCell ref="Q5986:R5987"/>
    <mergeCell ref="S5986:T5987"/>
    <mergeCell ref="U5986:V5987"/>
    <mergeCell ref="W5986:W5987"/>
    <mergeCell ref="X5986:AB5986"/>
    <mergeCell ref="AD5986:AI5986"/>
    <mergeCell ref="AJ5986:AL5986"/>
    <mergeCell ref="AN5986:AO5986"/>
    <mergeCell ref="AP5986:AQ5986"/>
    <mergeCell ref="AR5986:AS5987"/>
    <mergeCell ref="AT5986:AU5987"/>
    <mergeCell ref="AV5986:AW5987"/>
    <mergeCell ref="AX5986:AY5987"/>
    <mergeCell ref="AZ5986:AZ5987"/>
    <mergeCell ref="F5987:H5987"/>
    <mergeCell ref="X5987:AB5987"/>
    <mergeCell ref="AE5987:AI5987"/>
    <mergeCell ref="AJ5987:AL5987"/>
    <mergeCell ref="AN5987:AO5987"/>
    <mergeCell ref="AP5987:AQ5987"/>
    <mergeCell ref="W5984:W5985"/>
    <mergeCell ref="X5984:AB5984"/>
    <mergeCell ref="AD5984:AI5984"/>
    <mergeCell ref="AJ5984:AL5984"/>
    <mergeCell ref="AN5984:AO5984"/>
    <mergeCell ref="AP5984:AQ5984"/>
    <mergeCell ref="AR5984:AS5985"/>
    <mergeCell ref="AT5984:AU5985"/>
    <mergeCell ref="AV5984:AW5985"/>
    <mergeCell ref="AX5984:AY5985"/>
    <mergeCell ref="A5990:A5991"/>
    <mergeCell ref="E5990:E5991"/>
    <mergeCell ref="F5990:H5990"/>
    <mergeCell ref="J5990:J5991"/>
    <mergeCell ref="K5990:L5991"/>
    <mergeCell ref="M5990:N5991"/>
    <mergeCell ref="O5990:P5991"/>
    <mergeCell ref="Q5990:R5991"/>
    <mergeCell ref="S5990:T5991"/>
    <mergeCell ref="U5990:V5991"/>
    <mergeCell ref="W5990:W5991"/>
    <mergeCell ref="X5990:AB5990"/>
    <mergeCell ref="AD5990:AI5990"/>
    <mergeCell ref="AJ5990:AL5990"/>
    <mergeCell ref="AN5990:AO5990"/>
    <mergeCell ref="AP5990:AQ5990"/>
    <mergeCell ref="AR5990:AS5991"/>
    <mergeCell ref="AT5990:AU5991"/>
    <mergeCell ref="AV5990:AW5991"/>
    <mergeCell ref="AX5990:AY5991"/>
    <mergeCell ref="AZ5990:AZ5991"/>
    <mergeCell ref="F5991:H5991"/>
    <mergeCell ref="X5991:AB5991"/>
    <mergeCell ref="AE5991:AI5991"/>
    <mergeCell ref="AJ5991:AL5991"/>
    <mergeCell ref="AN5991:AO5991"/>
    <mergeCell ref="AP5991:AQ5991"/>
    <mergeCell ref="A5992:A5993"/>
    <mergeCell ref="E5992:E5993"/>
    <mergeCell ref="F5992:H5992"/>
    <mergeCell ref="J5992:J5993"/>
    <mergeCell ref="K5992:L5993"/>
    <mergeCell ref="M5992:N5993"/>
    <mergeCell ref="O5992:P5993"/>
    <mergeCell ref="Q5992:R5993"/>
    <mergeCell ref="S5992:T5993"/>
    <mergeCell ref="U5992:V5993"/>
    <mergeCell ref="W5992:W5993"/>
    <mergeCell ref="X5992:AB5992"/>
    <mergeCell ref="AD5992:AI5992"/>
    <mergeCell ref="AJ5992:AL5992"/>
    <mergeCell ref="AN5992:AO5992"/>
    <mergeCell ref="AP5992:AQ5992"/>
    <mergeCell ref="AR5992:AS5993"/>
    <mergeCell ref="AT5992:AU5993"/>
    <mergeCell ref="AV5992:AW5993"/>
    <mergeCell ref="AX5992:AY5993"/>
    <mergeCell ref="AZ5992:AZ5993"/>
    <mergeCell ref="F5993:H5993"/>
    <mergeCell ref="X5993:AB5993"/>
    <mergeCell ref="AE5993:AI5993"/>
    <mergeCell ref="AJ5993:AL5993"/>
    <mergeCell ref="AN5993:AO5993"/>
    <mergeCell ref="AP5993:AQ5993"/>
    <mergeCell ref="A5994:A5995"/>
    <mergeCell ref="E5994:E5995"/>
    <mergeCell ref="F5994:H5994"/>
    <mergeCell ref="J5994:J5995"/>
    <mergeCell ref="K5994:L5995"/>
    <mergeCell ref="M5994:N5995"/>
    <mergeCell ref="O5994:P5995"/>
    <mergeCell ref="Q5994:R5995"/>
    <mergeCell ref="S5994:T5995"/>
    <mergeCell ref="U5994:V5995"/>
    <mergeCell ref="W5994:W5995"/>
    <mergeCell ref="X5994:AB5994"/>
    <mergeCell ref="AD5994:AI5994"/>
    <mergeCell ref="AJ5994:AL5994"/>
    <mergeCell ref="AN5994:AO5994"/>
    <mergeCell ref="AP5994:AQ5994"/>
    <mergeCell ref="AR5994:AS5995"/>
    <mergeCell ref="AT5994:AU5995"/>
    <mergeCell ref="AV5994:AW5995"/>
    <mergeCell ref="AX5994:AY5995"/>
    <mergeCell ref="AZ5994:AZ5995"/>
    <mergeCell ref="F5995:H5995"/>
    <mergeCell ref="X5995:AB5995"/>
    <mergeCell ref="AE5995:AI5995"/>
    <mergeCell ref="AJ5995:AL5995"/>
    <mergeCell ref="AN5995:AO5995"/>
    <mergeCell ref="AP5995:AQ5995"/>
    <mergeCell ref="A5996:A5997"/>
    <mergeCell ref="E5996:E5997"/>
    <mergeCell ref="F5996:H5996"/>
    <mergeCell ref="J5996:J5997"/>
    <mergeCell ref="K5996:L5997"/>
    <mergeCell ref="M5996:N5997"/>
    <mergeCell ref="O5996:P5997"/>
    <mergeCell ref="Q5996:R5997"/>
    <mergeCell ref="S5996:T5997"/>
    <mergeCell ref="U5996:V5997"/>
    <mergeCell ref="W5996:W5997"/>
    <mergeCell ref="X5996:AB5996"/>
    <mergeCell ref="AD5996:AI5996"/>
    <mergeCell ref="AJ5996:AL5996"/>
    <mergeCell ref="AN5996:AO5996"/>
    <mergeCell ref="AP5996:AQ5996"/>
    <mergeCell ref="AR5996:AS5997"/>
    <mergeCell ref="AT5996:AU5997"/>
    <mergeCell ref="AV5996:AW5997"/>
    <mergeCell ref="AX5996:AY5997"/>
    <mergeCell ref="AZ5996:AZ5997"/>
    <mergeCell ref="F5997:H5997"/>
    <mergeCell ref="X5997:AB5997"/>
    <mergeCell ref="AE5997:AI5997"/>
    <mergeCell ref="AJ5997:AL5997"/>
    <mergeCell ref="AN5997:AO5997"/>
    <mergeCell ref="AP5997:AQ5997"/>
    <mergeCell ref="A5998:A5999"/>
    <mergeCell ref="E5998:E5999"/>
    <mergeCell ref="F5998:H5998"/>
    <mergeCell ref="J5998:J5999"/>
    <mergeCell ref="K5998:L5999"/>
    <mergeCell ref="M5998:N5999"/>
    <mergeCell ref="O5998:P5999"/>
    <mergeCell ref="Q5998:R5999"/>
    <mergeCell ref="S5998:T5999"/>
    <mergeCell ref="U5998:V5999"/>
    <mergeCell ref="W5998:W5999"/>
    <mergeCell ref="X5998:AB5998"/>
    <mergeCell ref="AD5998:AI5998"/>
    <mergeCell ref="AJ5998:AL5998"/>
    <mergeCell ref="AN5998:AO5998"/>
    <mergeCell ref="AP5998:AQ5998"/>
    <mergeCell ref="AR5998:AS5999"/>
    <mergeCell ref="AT5998:AU5999"/>
    <mergeCell ref="AV5998:AW5999"/>
    <mergeCell ref="AX5998:AY5999"/>
    <mergeCell ref="AZ5998:AZ5999"/>
    <mergeCell ref="F5999:H5999"/>
    <mergeCell ref="X5999:AB5999"/>
    <mergeCell ref="AE5999:AI5999"/>
    <mergeCell ref="AJ5999:AL5999"/>
    <mergeCell ref="AN5999:AO5999"/>
    <mergeCell ref="AP5999:AQ5999"/>
    <mergeCell ref="A6000:A6001"/>
    <mergeCell ref="E6000:E6001"/>
    <mergeCell ref="F6000:H6000"/>
    <mergeCell ref="J6000:J6001"/>
    <mergeCell ref="K6000:L6001"/>
    <mergeCell ref="M6000:N6001"/>
    <mergeCell ref="O6000:P6001"/>
    <mergeCell ref="Q6000:R6001"/>
    <mergeCell ref="S6000:T6001"/>
    <mergeCell ref="U6000:V6001"/>
    <mergeCell ref="W6000:W6001"/>
    <mergeCell ref="X6000:AB6000"/>
    <mergeCell ref="AD6000:AI6000"/>
    <mergeCell ref="AJ6000:AL6000"/>
    <mergeCell ref="AN6000:AO6000"/>
    <mergeCell ref="AP6000:AQ6000"/>
    <mergeCell ref="AR6000:AS6001"/>
    <mergeCell ref="AT6000:AU6001"/>
    <mergeCell ref="AV6000:AW6001"/>
    <mergeCell ref="AX6000:AY6001"/>
    <mergeCell ref="AZ6000:AZ6001"/>
    <mergeCell ref="F6001:H6001"/>
    <mergeCell ref="X6001:AB6001"/>
    <mergeCell ref="AE6001:AI6001"/>
    <mergeCell ref="AJ6001:AL6001"/>
    <mergeCell ref="AN6001:AO6001"/>
    <mergeCell ref="AP6001:AQ6001"/>
    <mergeCell ref="A6002:A6003"/>
    <mergeCell ref="E6002:E6003"/>
    <mergeCell ref="F6002:H6002"/>
    <mergeCell ref="J6002:J6003"/>
    <mergeCell ref="K6002:L6003"/>
    <mergeCell ref="M6002:N6003"/>
    <mergeCell ref="O6002:P6003"/>
    <mergeCell ref="Q6002:R6003"/>
    <mergeCell ref="S6002:T6003"/>
    <mergeCell ref="U6002:V6003"/>
    <mergeCell ref="W6002:W6003"/>
    <mergeCell ref="X6002:AB6002"/>
    <mergeCell ref="AD6002:AI6002"/>
    <mergeCell ref="AJ6002:AL6002"/>
    <mergeCell ref="AN6002:AO6002"/>
    <mergeCell ref="AP6002:AQ6002"/>
    <mergeCell ref="AR6002:AS6003"/>
    <mergeCell ref="AT6002:AU6003"/>
    <mergeCell ref="AV6002:AW6003"/>
    <mergeCell ref="AX6002:AY6003"/>
    <mergeCell ref="AZ6002:AZ6003"/>
    <mergeCell ref="F6003:H6003"/>
    <mergeCell ref="X6003:AB6003"/>
    <mergeCell ref="AE6003:AI6003"/>
    <mergeCell ref="AJ6003:AL6003"/>
    <mergeCell ref="AN6003:AO6003"/>
    <mergeCell ref="AP6003:AQ6003"/>
    <mergeCell ref="A6004:A6005"/>
    <mergeCell ref="E6004:E6005"/>
    <mergeCell ref="F6004:H6004"/>
    <mergeCell ref="J6004:J6005"/>
    <mergeCell ref="K6004:L6005"/>
    <mergeCell ref="M6004:N6005"/>
    <mergeCell ref="O6004:P6005"/>
    <mergeCell ref="Q6004:R6005"/>
    <mergeCell ref="S6004:T6005"/>
    <mergeCell ref="U6004:V6005"/>
    <mergeCell ref="W6004:W6005"/>
    <mergeCell ref="X6004:AB6004"/>
    <mergeCell ref="AD6004:AI6004"/>
    <mergeCell ref="AJ6004:AL6004"/>
    <mergeCell ref="AN6004:AO6004"/>
    <mergeCell ref="AP6004:AQ6004"/>
    <mergeCell ref="AR6004:AS6005"/>
    <mergeCell ref="AT6004:AU6005"/>
    <mergeCell ref="AV6004:AW6005"/>
    <mergeCell ref="AX6004:AY6005"/>
    <mergeCell ref="AZ6004:AZ6005"/>
    <mergeCell ref="F6005:H6005"/>
    <mergeCell ref="X6005:AB6005"/>
    <mergeCell ref="AE6005:AI6005"/>
    <mergeCell ref="AJ6005:AL6005"/>
    <mergeCell ref="AN6005:AO6005"/>
    <mergeCell ref="AP6005:AQ6005"/>
    <mergeCell ref="A6006:A6007"/>
    <mergeCell ref="E6006:E6007"/>
    <mergeCell ref="F6006:H6006"/>
    <mergeCell ref="J6006:J6007"/>
    <mergeCell ref="K6006:L6007"/>
    <mergeCell ref="M6006:N6007"/>
    <mergeCell ref="O6006:P6007"/>
    <mergeCell ref="Q6006:R6007"/>
    <mergeCell ref="S6006:T6007"/>
    <mergeCell ref="U6006:V6007"/>
    <mergeCell ref="W6006:W6007"/>
    <mergeCell ref="X6006:AB6006"/>
    <mergeCell ref="AD6006:AI6006"/>
    <mergeCell ref="AJ6006:AL6006"/>
    <mergeCell ref="AN6006:AO6006"/>
    <mergeCell ref="AP6006:AQ6006"/>
    <mergeCell ref="AR6006:AS6007"/>
    <mergeCell ref="AT6006:AU6007"/>
    <mergeCell ref="AV6006:AW6007"/>
    <mergeCell ref="AX6006:AY6007"/>
    <mergeCell ref="AZ6006:AZ6007"/>
    <mergeCell ref="F6007:H6007"/>
    <mergeCell ref="X6007:AB6007"/>
    <mergeCell ref="AE6007:AI6007"/>
    <mergeCell ref="AJ6007:AL6007"/>
    <mergeCell ref="AN6007:AO6007"/>
    <mergeCell ref="AP6007:AQ6007"/>
    <mergeCell ref="A6008:A6009"/>
    <mergeCell ref="E6008:E6009"/>
    <mergeCell ref="F6008:H6008"/>
    <mergeCell ref="J6008:J6009"/>
    <mergeCell ref="K6008:L6009"/>
    <mergeCell ref="M6008:N6009"/>
    <mergeCell ref="O6008:P6009"/>
    <mergeCell ref="Q6008:R6009"/>
    <mergeCell ref="S6008:T6009"/>
    <mergeCell ref="U6008:V6009"/>
    <mergeCell ref="W6008:W6009"/>
    <mergeCell ref="X6008:AB6008"/>
    <mergeCell ref="AD6008:AI6008"/>
    <mergeCell ref="AJ6008:AL6008"/>
    <mergeCell ref="AN6008:AO6008"/>
    <mergeCell ref="AP6008:AQ6008"/>
    <mergeCell ref="AR6008:AS6009"/>
    <mergeCell ref="AT6008:AU6009"/>
    <mergeCell ref="AV6008:AW6009"/>
    <mergeCell ref="AX6008:AY6009"/>
    <mergeCell ref="AZ6008:AZ6009"/>
    <mergeCell ref="F6009:H6009"/>
    <mergeCell ref="X6009:AB6009"/>
    <mergeCell ref="AE6009:AI6009"/>
    <mergeCell ref="AJ6009:AL6009"/>
    <mergeCell ref="AN6009:AO6009"/>
    <mergeCell ref="AP6009:AQ6009"/>
    <mergeCell ref="A6012:A6013"/>
    <mergeCell ref="E6012:E6013"/>
    <mergeCell ref="F6012:H6012"/>
    <mergeCell ref="J6012:J6013"/>
    <mergeCell ref="K6012:L6013"/>
    <mergeCell ref="M6012:N6013"/>
    <mergeCell ref="O6012:P6013"/>
    <mergeCell ref="Q6012:R6013"/>
    <mergeCell ref="S6012:T6013"/>
    <mergeCell ref="U6012:V6013"/>
    <mergeCell ref="W6012:W6013"/>
    <mergeCell ref="X6012:AB6012"/>
    <mergeCell ref="AD6012:AI6012"/>
    <mergeCell ref="AJ6012:AL6012"/>
    <mergeCell ref="AN6012:AO6012"/>
    <mergeCell ref="AP6012:AQ6012"/>
    <mergeCell ref="AR6012:AS6013"/>
    <mergeCell ref="AT6012:AU6013"/>
    <mergeCell ref="AV6012:AW6013"/>
    <mergeCell ref="AX6012:AY6013"/>
    <mergeCell ref="AZ6012:AZ6013"/>
    <mergeCell ref="F6013:H6013"/>
    <mergeCell ref="X6013:AB6013"/>
    <mergeCell ref="AE6013:AI6013"/>
    <mergeCell ref="AJ6013:AL6013"/>
    <mergeCell ref="AN6013:AO6013"/>
    <mergeCell ref="AP6013:AQ6013"/>
    <mergeCell ref="A6014:A6015"/>
    <mergeCell ref="E6014:E6015"/>
    <mergeCell ref="F6014:H6014"/>
    <mergeCell ref="J6014:J6015"/>
    <mergeCell ref="K6014:L6015"/>
    <mergeCell ref="M6014:N6015"/>
    <mergeCell ref="O6014:P6015"/>
    <mergeCell ref="Q6014:R6015"/>
    <mergeCell ref="S6014:T6015"/>
    <mergeCell ref="U6014:V6015"/>
    <mergeCell ref="W6014:W6015"/>
    <mergeCell ref="X6014:AB6014"/>
    <mergeCell ref="AD6014:AI6014"/>
    <mergeCell ref="AJ6014:AL6014"/>
    <mergeCell ref="AN6014:AO6014"/>
    <mergeCell ref="AP6014:AQ6014"/>
    <mergeCell ref="AR6014:AS6015"/>
    <mergeCell ref="AT6014:AU6015"/>
    <mergeCell ref="AV6014:AW6015"/>
    <mergeCell ref="AX6014:AY6015"/>
    <mergeCell ref="AZ6014:AZ6015"/>
    <mergeCell ref="F6015:H6015"/>
    <mergeCell ref="X6015:AB6015"/>
    <mergeCell ref="AE6015:AI6015"/>
    <mergeCell ref="AJ6015:AL6015"/>
    <mergeCell ref="AN6015:AO6015"/>
    <mergeCell ref="AP6015:AQ6015"/>
    <mergeCell ref="A6016:A6017"/>
    <mergeCell ref="E6016:E6017"/>
    <mergeCell ref="F6016:H6016"/>
    <mergeCell ref="J6016:J6017"/>
    <mergeCell ref="K6016:L6017"/>
    <mergeCell ref="M6016:N6017"/>
    <mergeCell ref="O6016:P6017"/>
    <mergeCell ref="Q6016:R6017"/>
    <mergeCell ref="S6016:T6017"/>
    <mergeCell ref="U6016:V6017"/>
    <mergeCell ref="W6016:W6017"/>
    <mergeCell ref="X6016:AB6016"/>
    <mergeCell ref="AD6016:AI6016"/>
    <mergeCell ref="AJ6016:AL6016"/>
    <mergeCell ref="AN6016:AO6016"/>
    <mergeCell ref="AP6016:AQ6016"/>
    <mergeCell ref="AR6016:AS6017"/>
    <mergeCell ref="AT6016:AU6017"/>
    <mergeCell ref="AV6016:AW6017"/>
    <mergeCell ref="AX6016:AY6017"/>
    <mergeCell ref="AZ6016:AZ6017"/>
    <mergeCell ref="F6017:H6017"/>
    <mergeCell ref="X6017:AB6017"/>
    <mergeCell ref="AE6017:AI6017"/>
    <mergeCell ref="AJ6017:AL6017"/>
    <mergeCell ref="AN6017:AO6017"/>
    <mergeCell ref="AP6017:AQ6017"/>
    <mergeCell ref="A6018:A6019"/>
    <mergeCell ref="E6018:E6019"/>
    <mergeCell ref="F6018:H6018"/>
    <mergeCell ref="J6018:J6019"/>
    <mergeCell ref="K6018:L6019"/>
    <mergeCell ref="M6018:N6019"/>
    <mergeCell ref="O6018:P6019"/>
    <mergeCell ref="Q6018:R6019"/>
    <mergeCell ref="S6018:T6019"/>
    <mergeCell ref="U6018:V6019"/>
    <mergeCell ref="W6018:W6019"/>
    <mergeCell ref="X6018:AB6018"/>
    <mergeCell ref="AD6018:AI6018"/>
    <mergeCell ref="AJ6018:AL6018"/>
    <mergeCell ref="AN6018:AO6018"/>
    <mergeCell ref="AP6018:AQ6018"/>
    <mergeCell ref="AR6018:AS6019"/>
    <mergeCell ref="AT6018:AU6019"/>
    <mergeCell ref="AV6018:AW6019"/>
    <mergeCell ref="AX6018:AY6019"/>
    <mergeCell ref="AZ6018:AZ6019"/>
    <mergeCell ref="F6019:H6019"/>
    <mergeCell ref="X6019:AB6019"/>
    <mergeCell ref="AE6019:AI6019"/>
    <mergeCell ref="AJ6019:AL6019"/>
    <mergeCell ref="AN6019:AO6019"/>
    <mergeCell ref="AP6019:AQ6019"/>
    <mergeCell ref="A6020:A6021"/>
    <mergeCell ref="E6020:E6021"/>
    <mergeCell ref="F6020:H6020"/>
    <mergeCell ref="J6020:J6021"/>
    <mergeCell ref="K6020:L6021"/>
    <mergeCell ref="M6020:N6021"/>
    <mergeCell ref="O6020:P6021"/>
    <mergeCell ref="Q6020:R6021"/>
    <mergeCell ref="S6020:T6021"/>
    <mergeCell ref="U6020:V6021"/>
    <mergeCell ref="W6020:W6021"/>
    <mergeCell ref="X6020:AB6020"/>
    <mergeCell ref="AD6020:AI6020"/>
    <mergeCell ref="AJ6020:AL6020"/>
    <mergeCell ref="AN6020:AO6020"/>
    <mergeCell ref="AP6020:AQ6020"/>
    <mergeCell ref="AR6020:AS6021"/>
    <mergeCell ref="AT6020:AU6021"/>
    <mergeCell ref="AV6020:AW6021"/>
    <mergeCell ref="AX6020:AY6021"/>
    <mergeCell ref="AZ6020:AZ6021"/>
    <mergeCell ref="F6021:H6021"/>
    <mergeCell ref="X6021:AB6021"/>
    <mergeCell ref="AE6021:AI6021"/>
    <mergeCell ref="AJ6021:AL6021"/>
    <mergeCell ref="AN6021:AO6021"/>
    <mergeCell ref="AP6021:AQ6021"/>
    <mergeCell ref="A6022:A6023"/>
    <mergeCell ref="E6022:E6023"/>
    <mergeCell ref="F6022:H6022"/>
    <mergeCell ref="J6022:J6023"/>
    <mergeCell ref="K6022:L6023"/>
    <mergeCell ref="M6022:N6023"/>
    <mergeCell ref="O6022:P6023"/>
    <mergeCell ref="Q6022:R6023"/>
    <mergeCell ref="S6022:T6023"/>
    <mergeCell ref="U6022:V6023"/>
    <mergeCell ref="W6022:W6023"/>
    <mergeCell ref="X6022:AB6022"/>
    <mergeCell ref="AD6022:AI6022"/>
    <mergeCell ref="AJ6022:AL6022"/>
    <mergeCell ref="AN6022:AO6022"/>
    <mergeCell ref="AP6022:AQ6022"/>
    <mergeCell ref="AR6022:AS6023"/>
    <mergeCell ref="AT6022:AU6023"/>
    <mergeCell ref="AV6022:AW6023"/>
    <mergeCell ref="AX6022:AY6023"/>
    <mergeCell ref="AZ6022:AZ6023"/>
    <mergeCell ref="F6023:H6023"/>
    <mergeCell ref="X6023:AB6023"/>
    <mergeCell ref="AE6023:AI6023"/>
    <mergeCell ref="AJ6023:AL6023"/>
    <mergeCell ref="AN6023:AO6023"/>
    <mergeCell ref="AP6023:AQ6023"/>
    <mergeCell ref="A6024:A6025"/>
    <mergeCell ref="E6024:E6025"/>
    <mergeCell ref="F6024:H6024"/>
    <mergeCell ref="J6024:J6025"/>
    <mergeCell ref="K6024:L6025"/>
    <mergeCell ref="M6024:N6025"/>
    <mergeCell ref="O6024:P6025"/>
    <mergeCell ref="Q6024:R6025"/>
    <mergeCell ref="S6024:T6025"/>
    <mergeCell ref="U6024:V6025"/>
    <mergeCell ref="W6024:W6025"/>
    <mergeCell ref="X6024:AB6024"/>
    <mergeCell ref="AD6024:AI6024"/>
    <mergeCell ref="AJ6024:AL6024"/>
    <mergeCell ref="AN6024:AO6024"/>
    <mergeCell ref="AP6024:AQ6024"/>
    <mergeCell ref="AR6024:AS6025"/>
    <mergeCell ref="AT6024:AU6025"/>
    <mergeCell ref="AV6024:AW6025"/>
    <mergeCell ref="AX6024:AY6025"/>
    <mergeCell ref="AZ6024:AZ6025"/>
    <mergeCell ref="F6025:H6025"/>
    <mergeCell ref="X6025:AB6025"/>
    <mergeCell ref="AE6025:AI6025"/>
    <mergeCell ref="AJ6025:AL6025"/>
    <mergeCell ref="AN6025:AO6025"/>
    <mergeCell ref="AP6025:AQ6025"/>
    <mergeCell ref="A6026:A6027"/>
    <mergeCell ref="E6026:E6027"/>
    <mergeCell ref="F6026:H6026"/>
    <mergeCell ref="J6026:J6027"/>
    <mergeCell ref="K6026:L6027"/>
    <mergeCell ref="M6026:N6027"/>
    <mergeCell ref="O6026:P6027"/>
    <mergeCell ref="Q6026:R6027"/>
    <mergeCell ref="S6026:T6027"/>
    <mergeCell ref="U6026:V6027"/>
    <mergeCell ref="W6026:W6027"/>
    <mergeCell ref="X6026:AB6026"/>
    <mergeCell ref="AD6026:AI6026"/>
    <mergeCell ref="AJ6026:AL6026"/>
    <mergeCell ref="AN6026:AO6026"/>
    <mergeCell ref="AP6026:AQ6026"/>
    <mergeCell ref="AR6026:AS6027"/>
    <mergeCell ref="AT6026:AU6027"/>
    <mergeCell ref="AV6026:AW6027"/>
    <mergeCell ref="AX6026:AY6027"/>
    <mergeCell ref="AZ6026:AZ6027"/>
    <mergeCell ref="F6027:H6027"/>
    <mergeCell ref="X6027:AB6027"/>
    <mergeCell ref="AE6027:AI6027"/>
    <mergeCell ref="AJ6027:AL6027"/>
    <mergeCell ref="AN6027:AO6027"/>
    <mergeCell ref="AP6027:AQ6027"/>
    <mergeCell ref="A6028:A6029"/>
    <mergeCell ref="E6028:E6029"/>
    <mergeCell ref="F6028:H6028"/>
    <mergeCell ref="J6028:J6029"/>
    <mergeCell ref="K6028:L6029"/>
    <mergeCell ref="M6028:N6029"/>
    <mergeCell ref="O6028:P6029"/>
    <mergeCell ref="Q6028:R6029"/>
    <mergeCell ref="S6028:T6029"/>
    <mergeCell ref="U6028:V6029"/>
    <mergeCell ref="W6028:W6029"/>
    <mergeCell ref="X6028:AB6028"/>
    <mergeCell ref="AD6028:AI6028"/>
    <mergeCell ref="AJ6028:AL6028"/>
    <mergeCell ref="AN6028:AO6028"/>
    <mergeCell ref="AP6028:AQ6028"/>
    <mergeCell ref="AR6028:AS6029"/>
    <mergeCell ref="AT6028:AU6029"/>
    <mergeCell ref="AV6028:AW6029"/>
    <mergeCell ref="AX6028:AY6029"/>
    <mergeCell ref="AZ6028:AZ6029"/>
    <mergeCell ref="F6029:H6029"/>
    <mergeCell ref="X6029:AB6029"/>
    <mergeCell ref="AE6029:AI6029"/>
    <mergeCell ref="AJ6029:AL6029"/>
    <mergeCell ref="AN6029:AO6029"/>
    <mergeCell ref="AP6029:AQ6029"/>
    <mergeCell ref="A6030:A6031"/>
    <mergeCell ref="E6030:E6031"/>
    <mergeCell ref="F6030:H6030"/>
    <mergeCell ref="J6030:J6031"/>
    <mergeCell ref="K6030:L6031"/>
    <mergeCell ref="M6030:N6031"/>
    <mergeCell ref="O6030:P6031"/>
    <mergeCell ref="Q6030:R6031"/>
    <mergeCell ref="S6030:T6031"/>
    <mergeCell ref="U6030:V6031"/>
    <mergeCell ref="W6030:W6031"/>
    <mergeCell ref="X6030:AB6030"/>
    <mergeCell ref="AD6030:AI6030"/>
    <mergeCell ref="AJ6030:AL6030"/>
    <mergeCell ref="AN6030:AO6030"/>
    <mergeCell ref="AP6030:AQ6030"/>
    <mergeCell ref="AR6030:AS6031"/>
    <mergeCell ref="AT6030:AU6031"/>
    <mergeCell ref="AV6030:AW6031"/>
    <mergeCell ref="AX6030:AY6031"/>
    <mergeCell ref="AZ6030:AZ6031"/>
    <mergeCell ref="F6031:H6031"/>
    <mergeCell ref="X6031:AB6031"/>
    <mergeCell ref="AE6031:AI6031"/>
    <mergeCell ref="AJ6031:AL6031"/>
    <mergeCell ref="AN6031:AO6031"/>
    <mergeCell ref="AP6031:AQ6031"/>
    <mergeCell ref="A6032:A6033"/>
    <mergeCell ref="E6032:E6033"/>
    <mergeCell ref="F6032:H6032"/>
    <mergeCell ref="J6032:J6033"/>
    <mergeCell ref="K6032:L6033"/>
    <mergeCell ref="M6032:N6033"/>
    <mergeCell ref="O6032:P6033"/>
    <mergeCell ref="Q6032:R6033"/>
    <mergeCell ref="S6032:T6033"/>
    <mergeCell ref="U6032:V6033"/>
    <mergeCell ref="W6032:W6033"/>
    <mergeCell ref="X6032:AB6032"/>
    <mergeCell ref="AD6032:AI6032"/>
    <mergeCell ref="AJ6032:AL6032"/>
    <mergeCell ref="AN6032:AO6032"/>
    <mergeCell ref="AP6032:AQ6032"/>
    <mergeCell ref="AR6032:AS6033"/>
    <mergeCell ref="AT6032:AU6033"/>
    <mergeCell ref="AV6032:AW6033"/>
    <mergeCell ref="AX6032:AY6033"/>
    <mergeCell ref="AZ6032:AZ6033"/>
    <mergeCell ref="F6033:H6033"/>
    <mergeCell ref="X6033:AB6033"/>
    <mergeCell ref="AE6033:AI6033"/>
    <mergeCell ref="AJ6033:AL6033"/>
    <mergeCell ref="AN6033:AO6033"/>
    <mergeCell ref="AP6033:AQ6033"/>
    <mergeCell ref="A6034:A6035"/>
    <mergeCell ref="E6034:E6035"/>
    <mergeCell ref="F6034:H6034"/>
    <mergeCell ref="J6034:J6035"/>
    <mergeCell ref="K6034:L6035"/>
    <mergeCell ref="M6034:N6035"/>
    <mergeCell ref="O6034:P6035"/>
    <mergeCell ref="Q6034:R6035"/>
    <mergeCell ref="S6034:T6035"/>
    <mergeCell ref="U6034:V6035"/>
    <mergeCell ref="W6034:W6035"/>
    <mergeCell ref="X6034:AB6034"/>
    <mergeCell ref="AD6034:AI6034"/>
    <mergeCell ref="AJ6034:AL6034"/>
    <mergeCell ref="AN6034:AO6034"/>
    <mergeCell ref="AP6034:AQ6034"/>
    <mergeCell ref="AR6034:AS6035"/>
    <mergeCell ref="AT6034:AU6035"/>
    <mergeCell ref="AV6034:AW6035"/>
    <mergeCell ref="AX6034:AY6035"/>
    <mergeCell ref="AZ6034:AZ6035"/>
    <mergeCell ref="F6035:H6035"/>
    <mergeCell ref="X6035:AB6035"/>
    <mergeCell ref="AE6035:AI6035"/>
    <mergeCell ref="AJ6035:AL6035"/>
    <mergeCell ref="AN6035:AO6035"/>
    <mergeCell ref="AP6035:AQ6035"/>
    <mergeCell ref="A6036:A6037"/>
    <mergeCell ref="E6036:E6037"/>
    <mergeCell ref="F6036:H6036"/>
    <mergeCell ref="J6036:J6037"/>
    <mergeCell ref="K6036:L6037"/>
    <mergeCell ref="M6036:N6037"/>
    <mergeCell ref="O6036:P6037"/>
    <mergeCell ref="Q6036:R6037"/>
    <mergeCell ref="S6036:T6037"/>
    <mergeCell ref="U6036:V6037"/>
    <mergeCell ref="W6036:W6037"/>
    <mergeCell ref="X6036:AB6036"/>
    <mergeCell ref="AD6036:AI6036"/>
    <mergeCell ref="AJ6036:AL6036"/>
    <mergeCell ref="AN6036:AO6036"/>
    <mergeCell ref="AP6036:AQ6036"/>
    <mergeCell ref="AR6036:AS6037"/>
    <mergeCell ref="AT6036:AU6037"/>
    <mergeCell ref="AV6036:AW6037"/>
    <mergeCell ref="AX6036:AY6037"/>
    <mergeCell ref="AZ6036:AZ6037"/>
    <mergeCell ref="F6037:H6037"/>
    <mergeCell ref="X6037:AB6037"/>
    <mergeCell ref="AE6037:AI6037"/>
    <mergeCell ref="AJ6037:AL6037"/>
    <mergeCell ref="AN6037:AO6037"/>
    <mergeCell ref="AP6037:AQ6037"/>
    <mergeCell ref="A6038:A6039"/>
    <mergeCell ref="E6038:E6039"/>
    <mergeCell ref="F6038:H6038"/>
    <mergeCell ref="J6038:J6039"/>
    <mergeCell ref="K6038:L6039"/>
    <mergeCell ref="M6038:N6039"/>
    <mergeCell ref="O6038:P6039"/>
    <mergeCell ref="Q6038:R6039"/>
    <mergeCell ref="S6038:T6039"/>
    <mergeCell ref="U6038:V6039"/>
    <mergeCell ref="W6038:W6039"/>
    <mergeCell ref="X6038:AB6038"/>
    <mergeCell ref="AD6038:AI6038"/>
    <mergeCell ref="AJ6038:AL6038"/>
    <mergeCell ref="AN6038:AO6038"/>
    <mergeCell ref="AP6038:AQ6038"/>
    <mergeCell ref="AR6038:AS6039"/>
    <mergeCell ref="AT6038:AU6039"/>
    <mergeCell ref="AV6038:AW6039"/>
    <mergeCell ref="AX6038:AY6039"/>
    <mergeCell ref="AZ6038:AZ6039"/>
    <mergeCell ref="F6039:H6039"/>
    <mergeCell ref="X6039:AB6039"/>
    <mergeCell ref="AE6039:AI6039"/>
    <mergeCell ref="AJ6039:AL6039"/>
    <mergeCell ref="AN6039:AO6039"/>
    <mergeCell ref="AP6039:AQ6039"/>
    <mergeCell ref="A6040:A6041"/>
    <mergeCell ref="E6040:E6041"/>
    <mergeCell ref="F6040:H6040"/>
    <mergeCell ref="J6040:J6041"/>
    <mergeCell ref="K6040:L6041"/>
    <mergeCell ref="M6040:N6041"/>
    <mergeCell ref="O6040:P6041"/>
    <mergeCell ref="Q6040:R6041"/>
    <mergeCell ref="S6040:T6041"/>
    <mergeCell ref="U6040:V6041"/>
    <mergeCell ref="W6040:W6041"/>
    <mergeCell ref="X6040:AB6040"/>
    <mergeCell ref="AD6040:AI6040"/>
    <mergeCell ref="AJ6040:AL6040"/>
    <mergeCell ref="AN6040:AO6040"/>
    <mergeCell ref="AP6040:AQ6040"/>
    <mergeCell ref="AR6040:AS6041"/>
    <mergeCell ref="AT6040:AU6041"/>
    <mergeCell ref="AV6040:AW6041"/>
    <mergeCell ref="AX6040:AY6041"/>
    <mergeCell ref="AZ6040:AZ6041"/>
    <mergeCell ref="F6041:H6041"/>
    <mergeCell ref="X6041:AB6041"/>
    <mergeCell ref="AE6041:AI6041"/>
    <mergeCell ref="AJ6041:AL6041"/>
    <mergeCell ref="AN6041:AO6041"/>
    <mergeCell ref="AP6041:AQ6041"/>
    <mergeCell ref="A6042:A6043"/>
    <mergeCell ref="E6042:E6043"/>
    <mergeCell ref="F6042:H6042"/>
    <mergeCell ref="J6042:J6043"/>
    <mergeCell ref="K6042:L6043"/>
    <mergeCell ref="M6042:N6043"/>
    <mergeCell ref="O6042:P6043"/>
    <mergeCell ref="Q6042:R6043"/>
    <mergeCell ref="S6042:T6043"/>
    <mergeCell ref="U6042:V6043"/>
    <mergeCell ref="W6042:W6043"/>
    <mergeCell ref="X6042:AB6042"/>
    <mergeCell ref="AD6042:AI6042"/>
    <mergeCell ref="AJ6042:AL6042"/>
    <mergeCell ref="AN6042:AO6042"/>
    <mergeCell ref="AP6042:AQ6042"/>
    <mergeCell ref="AR6042:AS6043"/>
    <mergeCell ref="AT6042:AU6043"/>
    <mergeCell ref="AV6042:AW6043"/>
    <mergeCell ref="AX6042:AY6043"/>
    <mergeCell ref="AZ6042:AZ6043"/>
    <mergeCell ref="F6043:H6043"/>
    <mergeCell ref="X6043:AB6043"/>
    <mergeCell ref="AE6043:AI6043"/>
    <mergeCell ref="AJ6043:AL6043"/>
    <mergeCell ref="AN6043:AO6043"/>
    <mergeCell ref="AP6043:AQ6043"/>
    <mergeCell ref="A6044:A6045"/>
    <mergeCell ref="E6044:E6045"/>
    <mergeCell ref="F6044:H6044"/>
    <mergeCell ref="J6044:J6045"/>
    <mergeCell ref="K6044:L6045"/>
    <mergeCell ref="M6044:N6045"/>
    <mergeCell ref="O6044:P6045"/>
    <mergeCell ref="Q6044:R6045"/>
    <mergeCell ref="S6044:T6045"/>
    <mergeCell ref="U6044:V6045"/>
    <mergeCell ref="W6044:W6045"/>
    <mergeCell ref="X6044:AB6044"/>
    <mergeCell ref="AD6044:AI6044"/>
    <mergeCell ref="AJ6044:AL6044"/>
    <mergeCell ref="AN6044:AO6044"/>
    <mergeCell ref="AP6044:AQ6044"/>
    <mergeCell ref="AR6044:AS6045"/>
    <mergeCell ref="AT6044:AU6045"/>
    <mergeCell ref="AV6044:AW6045"/>
    <mergeCell ref="AX6044:AY6045"/>
    <mergeCell ref="AZ6044:AZ6045"/>
    <mergeCell ref="F6045:H6045"/>
    <mergeCell ref="X6045:AB6045"/>
    <mergeCell ref="AE6045:AI6045"/>
    <mergeCell ref="AJ6045:AL6045"/>
    <mergeCell ref="AN6045:AO6045"/>
    <mergeCell ref="AP6045:AQ6045"/>
    <mergeCell ref="A6046:A6047"/>
    <mergeCell ref="E6046:E6047"/>
    <mergeCell ref="F6046:H6046"/>
    <mergeCell ref="J6046:J6047"/>
    <mergeCell ref="K6046:L6047"/>
    <mergeCell ref="M6046:N6047"/>
    <mergeCell ref="O6046:P6047"/>
    <mergeCell ref="Q6046:R6047"/>
    <mergeCell ref="S6046:T6047"/>
    <mergeCell ref="U6046:V6047"/>
    <mergeCell ref="W6046:W6047"/>
    <mergeCell ref="X6046:AB6046"/>
    <mergeCell ref="AD6046:AI6046"/>
    <mergeCell ref="AJ6046:AL6046"/>
    <mergeCell ref="AN6046:AO6046"/>
    <mergeCell ref="AP6046:AQ6046"/>
    <mergeCell ref="AR6046:AS6047"/>
    <mergeCell ref="AT6046:AU6047"/>
    <mergeCell ref="AV6046:AW6047"/>
    <mergeCell ref="AX6046:AY6047"/>
    <mergeCell ref="AZ6046:AZ6047"/>
    <mergeCell ref="F6047:H6047"/>
    <mergeCell ref="X6047:AB6047"/>
    <mergeCell ref="AE6047:AI6047"/>
    <mergeCell ref="AJ6047:AL6047"/>
    <mergeCell ref="AN6047:AO6047"/>
    <mergeCell ref="AP6047:AQ6047"/>
    <mergeCell ref="A6048:A6049"/>
    <mergeCell ref="E6048:E6049"/>
    <mergeCell ref="F6048:H6048"/>
    <mergeCell ref="J6048:J6049"/>
    <mergeCell ref="K6048:L6049"/>
    <mergeCell ref="M6048:N6049"/>
    <mergeCell ref="O6048:P6049"/>
    <mergeCell ref="Q6048:R6049"/>
    <mergeCell ref="S6048:T6049"/>
    <mergeCell ref="U6048:V6049"/>
    <mergeCell ref="W6048:W6049"/>
    <mergeCell ref="X6048:AB6048"/>
    <mergeCell ref="AD6048:AI6048"/>
    <mergeCell ref="AJ6048:AL6048"/>
    <mergeCell ref="AN6048:AO6048"/>
    <mergeCell ref="AP6048:AQ6048"/>
    <mergeCell ref="AR6048:AS6049"/>
    <mergeCell ref="AT6048:AU6049"/>
    <mergeCell ref="AV6048:AW6049"/>
    <mergeCell ref="AX6048:AY6049"/>
    <mergeCell ref="AZ6048:AZ6049"/>
    <mergeCell ref="F6049:H6049"/>
    <mergeCell ref="X6049:AB6049"/>
    <mergeCell ref="AE6049:AI6049"/>
    <mergeCell ref="AJ6049:AL6049"/>
    <mergeCell ref="AN6049:AO6049"/>
    <mergeCell ref="AP6049:AQ6049"/>
    <mergeCell ref="A6050:A6051"/>
    <mergeCell ref="E6050:E6051"/>
    <mergeCell ref="F6050:H6050"/>
    <mergeCell ref="J6050:J6051"/>
    <mergeCell ref="K6050:L6051"/>
    <mergeCell ref="M6050:N6051"/>
    <mergeCell ref="O6050:P6051"/>
    <mergeCell ref="Q6050:R6051"/>
    <mergeCell ref="S6050:T6051"/>
    <mergeCell ref="U6050:V6051"/>
    <mergeCell ref="W6050:W6051"/>
    <mergeCell ref="X6050:AB6050"/>
    <mergeCell ref="AD6050:AI6050"/>
    <mergeCell ref="AJ6050:AL6050"/>
    <mergeCell ref="AN6050:AO6050"/>
    <mergeCell ref="AP6050:AQ6050"/>
    <mergeCell ref="AR6050:AS6051"/>
    <mergeCell ref="AT6050:AU6051"/>
    <mergeCell ref="AV6050:AW6051"/>
    <mergeCell ref="AX6050:AY6051"/>
    <mergeCell ref="AZ6050:AZ6051"/>
    <mergeCell ref="F6051:H6051"/>
    <mergeCell ref="X6051:AB6051"/>
    <mergeCell ref="AE6051:AI6051"/>
    <mergeCell ref="AJ6051:AL6051"/>
    <mergeCell ref="AN6051:AO6051"/>
    <mergeCell ref="AP6051:AQ6051"/>
    <mergeCell ref="A6052:A6053"/>
    <mergeCell ref="E6052:E6053"/>
    <mergeCell ref="F6052:H6052"/>
    <mergeCell ref="J6052:J6053"/>
    <mergeCell ref="K6052:L6053"/>
    <mergeCell ref="M6052:N6053"/>
    <mergeCell ref="O6052:P6053"/>
    <mergeCell ref="Q6052:R6053"/>
    <mergeCell ref="S6052:T6053"/>
    <mergeCell ref="U6052:V6053"/>
    <mergeCell ref="W6052:W6053"/>
    <mergeCell ref="X6052:AB6052"/>
    <mergeCell ref="AD6052:AI6052"/>
    <mergeCell ref="AJ6052:AL6052"/>
    <mergeCell ref="AN6052:AO6052"/>
    <mergeCell ref="AP6052:AQ6052"/>
    <mergeCell ref="AR6052:AS6053"/>
    <mergeCell ref="AT6052:AU6053"/>
    <mergeCell ref="AV6052:AW6053"/>
    <mergeCell ref="AX6052:AY6053"/>
    <mergeCell ref="AZ6052:AZ6053"/>
    <mergeCell ref="F6053:H6053"/>
    <mergeCell ref="X6053:AB6053"/>
    <mergeCell ref="AE6053:AI6053"/>
    <mergeCell ref="AJ6053:AL6053"/>
    <mergeCell ref="AN6053:AO6053"/>
    <mergeCell ref="AP6053:AQ6053"/>
    <mergeCell ref="A6054:A6055"/>
    <mergeCell ref="E6054:E6055"/>
    <mergeCell ref="F6054:H6054"/>
    <mergeCell ref="J6054:J6055"/>
    <mergeCell ref="K6054:L6055"/>
    <mergeCell ref="M6054:N6055"/>
    <mergeCell ref="O6054:P6055"/>
    <mergeCell ref="Q6054:R6055"/>
    <mergeCell ref="S6054:T6055"/>
    <mergeCell ref="U6054:V6055"/>
    <mergeCell ref="W6054:W6055"/>
    <mergeCell ref="X6054:AB6054"/>
    <mergeCell ref="AD6054:AI6054"/>
    <mergeCell ref="AJ6054:AL6054"/>
    <mergeCell ref="AN6054:AO6054"/>
    <mergeCell ref="AP6054:AQ6054"/>
    <mergeCell ref="AR6054:AS6055"/>
    <mergeCell ref="AT6054:AU6055"/>
    <mergeCell ref="AV6054:AW6055"/>
    <mergeCell ref="AX6054:AY6055"/>
    <mergeCell ref="AZ6054:AZ6055"/>
    <mergeCell ref="F6055:H6055"/>
    <mergeCell ref="X6055:AB6055"/>
    <mergeCell ref="AE6055:AI6055"/>
    <mergeCell ref="AJ6055:AL6055"/>
    <mergeCell ref="AN6055:AO6055"/>
    <mergeCell ref="AP6055:AQ6055"/>
    <mergeCell ref="A6056:A6057"/>
    <mergeCell ref="E6056:E6057"/>
    <mergeCell ref="F6056:H6056"/>
    <mergeCell ref="J6056:J6057"/>
    <mergeCell ref="K6056:L6057"/>
    <mergeCell ref="M6056:N6057"/>
    <mergeCell ref="O6056:P6057"/>
    <mergeCell ref="Q6056:R6057"/>
    <mergeCell ref="S6056:T6057"/>
    <mergeCell ref="U6056:V6057"/>
    <mergeCell ref="W6056:W6057"/>
    <mergeCell ref="X6056:AB6056"/>
    <mergeCell ref="AD6056:AI6056"/>
    <mergeCell ref="AJ6056:AL6056"/>
    <mergeCell ref="AN6056:AO6056"/>
    <mergeCell ref="AP6056:AQ6056"/>
    <mergeCell ref="AR6056:AS6057"/>
    <mergeCell ref="AT6056:AU6057"/>
    <mergeCell ref="AV6056:AW6057"/>
    <mergeCell ref="AX6056:AY6057"/>
    <mergeCell ref="AZ6056:AZ6057"/>
    <mergeCell ref="F6057:H6057"/>
    <mergeCell ref="X6057:AB6057"/>
    <mergeCell ref="AE6057:AI6057"/>
    <mergeCell ref="AJ6057:AL6057"/>
    <mergeCell ref="AN6057:AO6057"/>
    <mergeCell ref="AP6057:AQ6057"/>
    <mergeCell ref="A6060:A6061"/>
    <mergeCell ref="E6060:E6061"/>
    <mergeCell ref="F6060:H6060"/>
    <mergeCell ref="J6060:J6061"/>
    <mergeCell ref="K6060:L6061"/>
    <mergeCell ref="M6060:N6061"/>
    <mergeCell ref="O6060:P6061"/>
    <mergeCell ref="Q6060:R6061"/>
    <mergeCell ref="S6060:T6061"/>
    <mergeCell ref="U6060:V6061"/>
    <mergeCell ref="W6060:W6061"/>
    <mergeCell ref="X6060:AB6060"/>
    <mergeCell ref="AD6060:AI6060"/>
    <mergeCell ref="AJ6060:AL6060"/>
    <mergeCell ref="AN6060:AO6060"/>
    <mergeCell ref="AP6060:AQ6060"/>
    <mergeCell ref="AR6060:AS6061"/>
    <mergeCell ref="AT6060:AU6061"/>
    <mergeCell ref="AV6060:AW6061"/>
    <mergeCell ref="AX6060:AY6061"/>
    <mergeCell ref="AZ6060:AZ6061"/>
    <mergeCell ref="F6061:H6061"/>
    <mergeCell ref="X6061:AB6061"/>
    <mergeCell ref="AE6061:AI6061"/>
    <mergeCell ref="AJ6061:AL6061"/>
    <mergeCell ref="AN6061:AO6061"/>
    <mergeCell ref="AP6061:AQ6061"/>
    <mergeCell ref="A6058:A6059"/>
    <mergeCell ref="E6058:E6059"/>
    <mergeCell ref="F6058:H6058"/>
    <mergeCell ref="J6058:J6059"/>
    <mergeCell ref="K6058:L6059"/>
    <mergeCell ref="M6058:N6059"/>
    <mergeCell ref="O6058:P6059"/>
    <mergeCell ref="Q6058:R6059"/>
    <mergeCell ref="S6058:T6059"/>
    <mergeCell ref="U6058:V6059"/>
    <mergeCell ref="A6062:A6063"/>
    <mergeCell ref="E6062:E6063"/>
    <mergeCell ref="F6062:H6062"/>
    <mergeCell ref="J6062:J6063"/>
    <mergeCell ref="K6062:L6063"/>
    <mergeCell ref="M6062:N6063"/>
    <mergeCell ref="O6062:P6063"/>
    <mergeCell ref="Q6062:R6063"/>
    <mergeCell ref="S6062:T6063"/>
    <mergeCell ref="U6062:V6063"/>
    <mergeCell ref="W6062:W6063"/>
    <mergeCell ref="X6062:AB6062"/>
    <mergeCell ref="AD6062:AI6062"/>
    <mergeCell ref="AJ6062:AL6062"/>
    <mergeCell ref="AN6062:AO6062"/>
    <mergeCell ref="AP6062:AQ6062"/>
    <mergeCell ref="AR6062:AS6063"/>
    <mergeCell ref="AT6062:AU6063"/>
    <mergeCell ref="AV6062:AW6063"/>
    <mergeCell ref="AX6062:AY6063"/>
    <mergeCell ref="AZ6062:AZ6063"/>
    <mergeCell ref="F6063:H6063"/>
    <mergeCell ref="X6063:AB6063"/>
    <mergeCell ref="AE6063:AI6063"/>
    <mergeCell ref="AJ6063:AL6063"/>
    <mergeCell ref="AN6063:AO6063"/>
    <mergeCell ref="AP6063:AQ6063"/>
    <mergeCell ref="A6064:A6065"/>
    <mergeCell ref="E6064:E6065"/>
    <mergeCell ref="F6064:H6064"/>
    <mergeCell ref="J6064:J6065"/>
    <mergeCell ref="K6064:L6065"/>
    <mergeCell ref="M6064:N6065"/>
    <mergeCell ref="O6064:P6065"/>
    <mergeCell ref="Q6064:R6065"/>
    <mergeCell ref="S6064:T6065"/>
    <mergeCell ref="U6064:V6065"/>
    <mergeCell ref="W6064:W6065"/>
    <mergeCell ref="X6064:AB6064"/>
    <mergeCell ref="AD6064:AI6064"/>
    <mergeCell ref="AJ6064:AL6064"/>
    <mergeCell ref="AN6064:AO6064"/>
    <mergeCell ref="AP6064:AQ6064"/>
    <mergeCell ref="AR6064:AS6065"/>
    <mergeCell ref="AT6064:AU6065"/>
    <mergeCell ref="AV6064:AW6065"/>
    <mergeCell ref="AX6064:AY6065"/>
    <mergeCell ref="AZ6064:AZ6065"/>
    <mergeCell ref="F6065:H6065"/>
    <mergeCell ref="X6065:AB6065"/>
    <mergeCell ref="AE6065:AI6065"/>
    <mergeCell ref="AJ6065:AL6065"/>
    <mergeCell ref="AN6065:AO6065"/>
    <mergeCell ref="AP6065:AQ6065"/>
    <mergeCell ref="A6066:A6067"/>
    <mergeCell ref="E6066:E6067"/>
    <mergeCell ref="F6066:H6066"/>
    <mergeCell ref="J6066:J6067"/>
    <mergeCell ref="K6066:L6067"/>
    <mergeCell ref="M6066:N6067"/>
    <mergeCell ref="O6066:P6067"/>
    <mergeCell ref="Q6066:R6067"/>
    <mergeCell ref="S6066:T6067"/>
    <mergeCell ref="U6066:V6067"/>
    <mergeCell ref="W6066:W6067"/>
    <mergeCell ref="X6066:AB6066"/>
    <mergeCell ref="AD6066:AI6066"/>
    <mergeCell ref="AJ6066:AL6066"/>
    <mergeCell ref="AN6066:AO6066"/>
    <mergeCell ref="AP6066:AQ6066"/>
    <mergeCell ref="AR6066:AS6067"/>
    <mergeCell ref="AT6066:AU6067"/>
    <mergeCell ref="AV6066:AW6067"/>
    <mergeCell ref="AX6066:AY6067"/>
    <mergeCell ref="AZ6066:AZ6067"/>
    <mergeCell ref="F6067:H6067"/>
    <mergeCell ref="X6067:AB6067"/>
    <mergeCell ref="AE6067:AI6067"/>
    <mergeCell ref="AJ6067:AL6067"/>
    <mergeCell ref="AN6067:AO6067"/>
    <mergeCell ref="AP6067:AQ6067"/>
    <mergeCell ref="A6068:A6069"/>
    <mergeCell ref="E6068:E6069"/>
    <mergeCell ref="F6068:H6068"/>
    <mergeCell ref="J6068:J6069"/>
    <mergeCell ref="K6068:L6069"/>
    <mergeCell ref="M6068:N6069"/>
    <mergeCell ref="O6068:P6069"/>
    <mergeCell ref="Q6068:R6069"/>
    <mergeCell ref="S6068:T6069"/>
    <mergeCell ref="U6068:V6069"/>
    <mergeCell ref="W6068:W6069"/>
    <mergeCell ref="X6068:AB6068"/>
    <mergeCell ref="AD6068:AI6068"/>
    <mergeCell ref="AJ6068:AL6068"/>
    <mergeCell ref="AN6068:AO6068"/>
    <mergeCell ref="AP6068:AQ6068"/>
    <mergeCell ref="AR6068:AS6069"/>
    <mergeCell ref="AT6068:AU6069"/>
    <mergeCell ref="AV6068:AW6069"/>
    <mergeCell ref="AX6068:AY6069"/>
    <mergeCell ref="AZ6068:AZ6069"/>
    <mergeCell ref="F6069:H6069"/>
    <mergeCell ref="X6069:AB6069"/>
    <mergeCell ref="AE6069:AI6069"/>
    <mergeCell ref="AJ6069:AL6069"/>
    <mergeCell ref="AN6069:AO6069"/>
    <mergeCell ref="AP6069:AQ6069"/>
    <mergeCell ref="A6070:A6071"/>
    <mergeCell ref="E6070:E6071"/>
    <mergeCell ref="F6070:H6070"/>
    <mergeCell ref="J6070:J6071"/>
    <mergeCell ref="K6070:L6071"/>
    <mergeCell ref="M6070:N6071"/>
    <mergeCell ref="O6070:P6071"/>
    <mergeCell ref="Q6070:R6071"/>
    <mergeCell ref="S6070:T6071"/>
    <mergeCell ref="U6070:V6071"/>
    <mergeCell ref="W6070:W6071"/>
    <mergeCell ref="X6070:AB6070"/>
    <mergeCell ref="AD6070:AI6070"/>
    <mergeCell ref="AJ6070:AL6070"/>
    <mergeCell ref="AN6070:AO6070"/>
    <mergeCell ref="AP6070:AQ6070"/>
    <mergeCell ref="AR6070:AS6071"/>
    <mergeCell ref="AT6070:AU6071"/>
    <mergeCell ref="AV6070:AW6071"/>
    <mergeCell ref="AX6070:AY6071"/>
    <mergeCell ref="AZ6070:AZ6071"/>
    <mergeCell ref="F6071:H6071"/>
    <mergeCell ref="X6071:AB6071"/>
    <mergeCell ref="AE6071:AI6071"/>
    <mergeCell ref="AJ6071:AL6071"/>
    <mergeCell ref="AN6071:AO6071"/>
    <mergeCell ref="AP6071:AQ6071"/>
    <mergeCell ref="A6072:A6073"/>
    <mergeCell ref="E6072:E6073"/>
    <mergeCell ref="F6072:H6072"/>
    <mergeCell ref="J6072:J6073"/>
    <mergeCell ref="K6072:L6073"/>
    <mergeCell ref="M6072:N6073"/>
    <mergeCell ref="O6072:P6073"/>
    <mergeCell ref="Q6072:R6073"/>
    <mergeCell ref="S6072:T6073"/>
    <mergeCell ref="U6072:V6073"/>
    <mergeCell ref="W6072:W6073"/>
    <mergeCell ref="X6072:AB6072"/>
    <mergeCell ref="AD6072:AI6072"/>
    <mergeCell ref="AJ6072:AL6072"/>
    <mergeCell ref="AN6072:AO6072"/>
    <mergeCell ref="AP6072:AQ6072"/>
    <mergeCell ref="AR6072:AS6073"/>
    <mergeCell ref="AT6072:AU6073"/>
    <mergeCell ref="AV6072:AW6073"/>
    <mergeCell ref="AX6072:AY6073"/>
    <mergeCell ref="AZ6072:AZ6073"/>
    <mergeCell ref="F6073:H6073"/>
    <mergeCell ref="X6073:AB6073"/>
    <mergeCell ref="AE6073:AI6073"/>
    <mergeCell ref="AJ6073:AL6073"/>
    <mergeCell ref="AN6073:AO6073"/>
    <mergeCell ref="AP6073:AQ6073"/>
    <mergeCell ref="A6074:A6075"/>
    <mergeCell ref="E6074:E6075"/>
    <mergeCell ref="F6074:H6074"/>
    <mergeCell ref="J6074:J6075"/>
    <mergeCell ref="K6074:L6075"/>
    <mergeCell ref="M6074:N6075"/>
    <mergeCell ref="O6074:P6075"/>
    <mergeCell ref="Q6074:R6075"/>
    <mergeCell ref="S6074:T6075"/>
    <mergeCell ref="U6074:V6075"/>
    <mergeCell ref="W6074:W6075"/>
    <mergeCell ref="X6074:AB6074"/>
    <mergeCell ref="AD6074:AI6074"/>
    <mergeCell ref="AJ6074:AL6074"/>
    <mergeCell ref="AN6074:AO6074"/>
    <mergeCell ref="AP6074:AQ6074"/>
    <mergeCell ref="AR6074:AS6075"/>
    <mergeCell ref="AT6074:AU6075"/>
    <mergeCell ref="AV6074:AW6075"/>
    <mergeCell ref="AX6074:AY6075"/>
    <mergeCell ref="AZ6074:AZ6075"/>
    <mergeCell ref="F6075:H6075"/>
    <mergeCell ref="X6075:AB6075"/>
    <mergeCell ref="AE6075:AI6075"/>
    <mergeCell ref="AJ6075:AL6075"/>
    <mergeCell ref="AN6075:AO6075"/>
    <mergeCell ref="AP6075:AQ6075"/>
    <mergeCell ref="A6076:A6077"/>
    <mergeCell ref="E6076:E6077"/>
    <mergeCell ref="F6076:H6076"/>
    <mergeCell ref="J6076:J6077"/>
    <mergeCell ref="K6076:L6077"/>
    <mergeCell ref="M6076:N6077"/>
    <mergeCell ref="O6076:P6077"/>
    <mergeCell ref="Q6076:R6077"/>
    <mergeCell ref="S6076:T6077"/>
    <mergeCell ref="U6076:V6077"/>
    <mergeCell ref="W6076:W6077"/>
    <mergeCell ref="X6076:AB6076"/>
    <mergeCell ref="AD6076:AI6076"/>
    <mergeCell ref="AJ6076:AL6076"/>
    <mergeCell ref="AN6076:AO6076"/>
    <mergeCell ref="AP6076:AQ6076"/>
    <mergeCell ref="AR6076:AS6077"/>
    <mergeCell ref="AT6076:AU6077"/>
    <mergeCell ref="AV6076:AW6077"/>
    <mergeCell ref="AX6076:AY6077"/>
    <mergeCell ref="AZ6076:AZ6077"/>
    <mergeCell ref="F6077:H6077"/>
    <mergeCell ref="X6077:AB6077"/>
    <mergeCell ref="AE6077:AI6077"/>
    <mergeCell ref="AJ6077:AL6077"/>
    <mergeCell ref="AN6077:AO6077"/>
    <mergeCell ref="AP6077:AQ6077"/>
    <mergeCell ref="A6078:A6079"/>
    <mergeCell ref="E6078:E6079"/>
    <mergeCell ref="F6078:H6078"/>
    <mergeCell ref="J6078:J6079"/>
    <mergeCell ref="K6078:L6079"/>
    <mergeCell ref="M6078:N6079"/>
    <mergeCell ref="O6078:P6079"/>
    <mergeCell ref="Q6078:R6079"/>
    <mergeCell ref="S6078:T6079"/>
    <mergeCell ref="U6078:V6079"/>
    <mergeCell ref="W6078:W6079"/>
    <mergeCell ref="X6078:AB6078"/>
    <mergeCell ref="AD6078:AI6078"/>
    <mergeCell ref="AJ6078:AL6078"/>
    <mergeCell ref="AN6078:AO6078"/>
    <mergeCell ref="AP6078:AQ6078"/>
    <mergeCell ref="AR6078:AS6079"/>
    <mergeCell ref="AT6078:AU6079"/>
    <mergeCell ref="AV6078:AW6079"/>
    <mergeCell ref="AX6078:AY6079"/>
    <mergeCell ref="AZ6078:AZ6079"/>
    <mergeCell ref="F6079:H6079"/>
    <mergeCell ref="X6079:AB6079"/>
    <mergeCell ref="AE6079:AI6079"/>
    <mergeCell ref="AJ6079:AL6079"/>
    <mergeCell ref="AN6079:AO6079"/>
    <mergeCell ref="AP6079:AQ6079"/>
    <mergeCell ref="A6080:A6081"/>
    <mergeCell ref="E6080:E6081"/>
    <mergeCell ref="F6080:H6080"/>
    <mergeCell ref="J6080:J6081"/>
    <mergeCell ref="K6080:L6081"/>
    <mergeCell ref="M6080:N6081"/>
    <mergeCell ref="O6080:P6081"/>
    <mergeCell ref="Q6080:R6081"/>
    <mergeCell ref="S6080:T6081"/>
    <mergeCell ref="U6080:V6081"/>
    <mergeCell ref="W6080:W6081"/>
    <mergeCell ref="X6080:AB6080"/>
    <mergeCell ref="AD6080:AI6080"/>
    <mergeCell ref="AJ6080:AL6080"/>
    <mergeCell ref="AN6080:AO6080"/>
    <mergeCell ref="AP6080:AQ6080"/>
    <mergeCell ref="AR6080:AS6081"/>
    <mergeCell ref="AT6080:AU6081"/>
    <mergeCell ref="AV6080:AW6081"/>
    <mergeCell ref="AX6080:AY6081"/>
    <mergeCell ref="AZ6080:AZ6081"/>
    <mergeCell ref="F6081:H6081"/>
    <mergeCell ref="X6081:AB6081"/>
    <mergeCell ref="AE6081:AI6081"/>
    <mergeCell ref="AJ6081:AL6081"/>
    <mergeCell ref="AN6081:AO6081"/>
    <mergeCell ref="AP6081:AQ6081"/>
    <mergeCell ref="A6082:A6083"/>
    <mergeCell ref="E6082:E6083"/>
    <mergeCell ref="F6082:H6082"/>
    <mergeCell ref="J6082:J6083"/>
    <mergeCell ref="K6082:L6083"/>
    <mergeCell ref="M6082:N6083"/>
    <mergeCell ref="O6082:P6083"/>
    <mergeCell ref="Q6082:R6083"/>
    <mergeCell ref="S6082:T6083"/>
    <mergeCell ref="U6082:V6083"/>
    <mergeCell ref="W6082:W6083"/>
    <mergeCell ref="X6082:AB6082"/>
    <mergeCell ref="AD6082:AI6082"/>
    <mergeCell ref="AJ6082:AL6082"/>
    <mergeCell ref="AN6082:AO6082"/>
    <mergeCell ref="AP6082:AQ6082"/>
    <mergeCell ref="AR6082:AS6083"/>
    <mergeCell ref="AT6082:AU6083"/>
    <mergeCell ref="AV6082:AW6083"/>
    <mergeCell ref="AX6082:AY6083"/>
    <mergeCell ref="AZ6082:AZ6083"/>
    <mergeCell ref="F6083:H6083"/>
    <mergeCell ref="X6083:AB6083"/>
    <mergeCell ref="AE6083:AI6083"/>
    <mergeCell ref="AJ6083:AL6083"/>
    <mergeCell ref="AN6083:AO6083"/>
    <mergeCell ref="AP6083:AQ6083"/>
    <mergeCell ref="A6084:A6085"/>
    <mergeCell ref="E6084:E6085"/>
    <mergeCell ref="F6084:H6084"/>
    <mergeCell ref="J6084:J6085"/>
    <mergeCell ref="K6084:L6085"/>
    <mergeCell ref="M6084:N6085"/>
    <mergeCell ref="O6084:P6085"/>
    <mergeCell ref="Q6084:R6085"/>
    <mergeCell ref="S6084:T6085"/>
    <mergeCell ref="U6084:V6085"/>
    <mergeCell ref="W6084:W6085"/>
    <mergeCell ref="X6084:AB6084"/>
    <mergeCell ref="AD6084:AI6084"/>
    <mergeCell ref="AJ6084:AL6084"/>
    <mergeCell ref="AN6084:AO6084"/>
    <mergeCell ref="AP6084:AQ6084"/>
    <mergeCell ref="AR6084:AS6085"/>
    <mergeCell ref="AT6084:AU6085"/>
    <mergeCell ref="AV6084:AW6085"/>
    <mergeCell ref="AX6084:AY6085"/>
    <mergeCell ref="AZ6084:AZ6085"/>
    <mergeCell ref="F6085:H6085"/>
    <mergeCell ref="X6085:AB6085"/>
    <mergeCell ref="AE6085:AI6085"/>
    <mergeCell ref="AJ6085:AL6085"/>
    <mergeCell ref="AN6085:AO6085"/>
    <mergeCell ref="AP6085:AQ6085"/>
    <mergeCell ref="A6086:A6087"/>
    <mergeCell ref="E6086:E6087"/>
    <mergeCell ref="F6086:H6086"/>
    <mergeCell ref="J6086:J6087"/>
    <mergeCell ref="K6086:L6087"/>
    <mergeCell ref="M6086:N6087"/>
    <mergeCell ref="O6086:P6087"/>
    <mergeCell ref="Q6086:R6087"/>
    <mergeCell ref="S6086:T6087"/>
    <mergeCell ref="U6086:V6087"/>
    <mergeCell ref="W6086:W6087"/>
    <mergeCell ref="X6086:AB6086"/>
    <mergeCell ref="AD6086:AI6086"/>
    <mergeCell ref="AJ6086:AL6086"/>
    <mergeCell ref="AN6086:AO6086"/>
    <mergeCell ref="AP6086:AQ6086"/>
    <mergeCell ref="AR6086:AS6087"/>
    <mergeCell ref="AT6086:AU6087"/>
    <mergeCell ref="AV6086:AW6087"/>
    <mergeCell ref="AX6086:AY6087"/>
    <mergeCell ref="AZ6086:AZ6087"/>
    <mergeCell ref="F6087:H6087"/>
    <mergeCell ref="X6087:AB6087"/>
    <mergeCell ref="AE6087:AI6087"/>
    <mergeCell ref="AJ6087:AL6087"/>
    <mergeCell ref="AN6087:AO6087"/>
    <mergeCell ref="AP6087:AQ6087"/>
    <mergeCell ref="A6088:A6089"/>
    <mergeCell ref="E6088:E6089"/>
    <mergeCell ref="F6088:H6088"/>
    <mergeCell ref="J6088:J6089"/>
    <mergeCell ref="K6088:L6089"/>
    <mergeCell ref="M6088:N6089"/>
    <mergeCell ref="O6088:P6089"/>
    <mergeCell ref="Q6088:R6089"/>
    <mergeCell ref="S6088:T6089"/>
    <mergeCell ref="U6088:V6089"/>
    <mergeCell ref="W6088:W6089"/>
    <mergeCell ref="X6088:AB6088"/>
    <mergeCell ref="AD6088:AI6088"/>
    <mergeCell ref="AJ6088:AL6088"/>
    <mergeCell ref="AN6088:AO6088"/>
    <mergeCell ref="AP6088:AQ6088"/>
    <mergeCell ref="AR6088:AS6089"/>
    <mergeCell ref="AT6088:AU6089"/>
    <mergeCell ref="AV6088:AW6089"/>
    <mergeCell ref="AX6088:AY6089"/>
    <mergeCell ref="AZ6088:AZ6089"/>
    <mergeCell ref="F6089:H6089"/>
    <mergeCell ref="X6089:AB6089"/>
    <mergeCell ref="AE6089:AI6089"/>
    <mergeCell ref="AJ6089:AL6089"/>
    <mergeCell ref="AN6089:AO6089"/>
    <mergeCell ref="AP6089:AQ6089"/>
    <mergeCell ref="A6090:A6091"/>
    <mergeCell ref="E6090:E6091"/>
    <mergeCell ref="F6090:H6090"/>
    <mergeCell ref="J6090:J6091"/>
    <mergeCell ref="K6090:L6091"/>
    <mergeCell ref="M6090:N6091"/>
    <mergeCell ref="O6090:P6091"/>
    <mergeCell ref="Q6090:R6091"/>
    <mergeCell ref="S6090:T6091"/>
    <mergeCell ref="U6090:V6091"/>
    <mergeCell ref="W6090:W6091"/>
    <mergeCell ref="X6090:AB6090"/>
    <mergeCell ref="AD6090:AI6090"/>
    <mergeCell ref="AJ6090:AL6090"/>
    <mergeCell ref="AN6090:AO6090"/>
    <mergeCell ref="AP6090:AQ6090"/>
    <mergeCell ref="AR6090:AS6091"/>
    <mergeCell ref="AT6090:AU6091"/>
    <mergeCell ref="AV6090:AW6091"/>
    <mergeCell ref="AX6090:AY6091"/>
    <mergeCell ref="AZ6090:AZ6091"/>
    <mergeCell ref="F6091:H6091"/>
    <mergeCell ref="X6091:AB6091"/>
    <mergeCell ref="AE6091:AI6091"/>
    <mergeCell ref="AJ6091:AL6091"/>
    <mergeCell ref="AN6091:AO6091"/>
    <mergeCell ref="AP6091:AQ6091"/>
    <mergeCell ref="A6092:A6093"/>
    <mergeCell ref="E6092:E6093"/>
    <mergeCell ref="F6092:H6092"/>
    <mergeCell ref="J6092:J6093"/>
    <mergeCell ref="K6092:L6093"/>
    <mergeCell ref="M6092:N6093"/>
    <mergeCell ref="O6092:P6093"/>
    <mergeCell ref="Q6092:R6093"/>
    <mergeCell ref="S6092:T6093"/>
    <mergeCell ref="U6092:V6093"/>
    <mergeCell ref="W6092:W6093"/>
    <mergeCell ref="X6092:AB6092"/>
    <mergeCell ref="AD6092:AI6092"/>
    <mergeCell ref="AJ6092:AL6092"/>
    <mergeCell ref="AN6092:AO6092"/>
    <mergeCell ref="AP6092:AQ6092"/>
    <mergeCell ref="AR6092:AS6093"/>
    <mergeCell ref="AT6092:AU6093"/>
    <mergeCell ref="AV6092:AW6093"/>
    <mergeCell ref="AX6092:AY6093"/>
    <mergeCell ref="AZ6092:AZ6093"/>
    <mergeCell ref="F6093:H6093"/>
    <mergeCell ref="X6093:AB6093"/>
    <mergeCell ref="AE6093:AI6093"/>
    <mergeCell ref="AJ6093:AL6093"/>
    <mergeCell ref="AN6093:AO6093"/>
    <mergeCell ref="AP6093:AQ6093"/>
    <mergeCell ref="A6094:A6095"/>
    <mergeCell ref="E6094:E6095"/>
    <mergeCell ref="F6094:H6094"/>
    <mergeCell ref="J6094:J6095"/>
    <mergeCell ref="K6094:L6095"/>
    <mergeCell ref="M6094:N6095"/>
    <mergeCell ref="O6094:P6095"/>
    <mergeCell ref="Q6094:R6095"/>
    <mergeCell ref="S6094:T6095"/>
    <mergeCell ref="U6094:V6095"/>
    <mergeCell ref="W6094:W6095"/>
    <mergeCell ref="X6094:AB6094"/>
    <mergeCell ref="AD6094:AI6094"/>
    <mergeCell ref="AJ6094:AL6094"/>
    <mergeCell ref="AN6094:AO6094"/>
    <mergeCell ref="AP6094:AQ6094"/>
    <mergeCell ref="AR6094:AS6095"/>
    <mergeCell ref="AT6094:AU6095"/>
    <mergeCell ref="AV6094:AW6095"/>
    <mergeCell ref="AX6094:AY6095"/>
    <mergeCell ref="AZ6094:AZ6095"/>
    <mergeCell ref="F6095:H6095"/>
    <mergeCell ref="X6095:AB6095"/>
    <mergeCell ref="AE6095:AI6095"/>
    <mergeCell ref="AJ6095:AL6095"/>
    <mergeCell ref="AN6095:AO6095"/>
    <mergeCell ref="AP6095:AQ6095"/>
    <mergeCell ref="A6096:A6097"/>
    <mergeCell ref="E6096:E6097"/>
    <mergeCell ref="F6096:H6096"/>
    <mergeCell ref="J6096:J6097"/>
    <mergeCell ref="K6096:L6097"/>
    <mergeCell ref="M6096:N6097"/>
    <mergeCell ref="O6096:P6097"/>
    <mergeCell ref="Q6096:R6097"/>
    <mergeCell ref="S6096:T6097"/>
    <mergeCell ref="U6096:V6097"/>
    <mergeCell ref="W6096:W6097"/>
    <mergeCell ref="X6096:AB6096"/>
    <mergeCell ref="AD6096:AI6096"/>
    <mergeCell ref="AJ6096:AL6096"/>
    <mergeCell ref="AN6096:AO6096"/>
    <mergeCell ref="AP6096:AQ6096"/>
    <mergeCell ref="AR6096:AS6097"/>
    <mergeCell ref="AT6096:AU6097"/>
    <mergeCell ref="AV6096:AW6097"/>
    <mergeCell ref="AX6096:AY6097"/>
    <mergeCell ref="AZ6096:AZ6097"/>
    <mergeCell ref="F6097:H6097"/>
    <mergeCell ref="X6097:AB6097"/>
    <mergeCell ref="AE6097:AI6097"/>
    <mergeCell ref="AJ6097:AL6097"/>
    <mergeCell ref="AN6097:AO6097"/>
    <mergeCell ref="AP6097:AQ6097"/>
    <mergeCell ref="A6098:A6099"/>
    <mergeCell ref="E6098:E6099"/>
    <mergeCell ref="F6098:H6098"/>
    <mergeCell ref="J6098:J6099"/>
    <mergeCell ref="K6098:L6099"/>
    <mergeCell ref="M6098:N6099"/>
    <mergeCell ref="O6098:P6099"/>
    <mergeCell ref="Q6098:R6099"/>
    <mergeCell ref="S6098:T6099"/>
    <mergeCell ref="U6098:V6099"/>
    <mergeCell ref="W6098:W6099"/>
    <mergeCell ref="X6098:AB6098"/>
    <mergeCell ref="AD6098:AI6098"/>
    <mergeCell ref="AJ6098:AL6098"/>
    <mergeCell ref="AN6098:AO6098"/>
    <mergeCell ref="AP6098:AQ6098"/>
    <mergeCell ref="AR6098:AS6099"/>
    <mergeCell ref="AT6098:AU6099"/>
    <mergeCell ref="AV6098:AW6099"/>
    <mergeCell ref="AX6098:AY6099"/>
    <mergeCell ref="AZ6098:AZ6099"/>
    <mergeCell ref="F6099:H6099"/>
    <mergeCell ref="X6099:AB6099"/>
    <mergeCell ref="AE6099:AI6099"/>
    <mergeCell ref="AJ6099:AL6099"/>
    <mergeCell ref="AN6099:AO6099"/>
    <mergeCell ref="AP6099:AQ6099"/>
    <mergeCell ref="A6100:A6101"/>
    <mergeCell ref="E6100:E6101"/>
    <mergeCell ref="F6100:H6100"/>
    <mergeCell ref="J6100:J6101"/>
    <mergeCell ref="K6100:L6101"/>
    <mergeCell ref="M6100:N6101"/>
    <mergeCell ref="O6100:P6101"/>
    <mergeCell ref="Q6100:R6101"/>
    <mergeCell ref="S6100:T6101"/>
    <mergeCell ref="U6100:V6101"/>
    <mergeCell ref="W6100:W6101"/>
    <mergeCell ref="X6100:AB6100"/>
    <mergeCell ref="AD6100:AI6100"/>
    <mergeCell ref="AJ6100:AL6100"/>
    <mergeCell ref="AN6100:AO6100"/>
    <mergeCell ref="AP6100:AQ6100"/>
    <mergeCell ref="AR6100:AS6101"/>
    <mergeCell ref="AT6100:AU6101"/>
    <mergeCell ref="AV6100:AW6101"/>
    <mergeCell ref="AX6100:AY6101"/>
    <mergeCell ref="AZ6100:AZ6101"/>
    <mergeCell ref="F6101:H6101"/>
    <mergeCell ref="X6101:AB6101"/>
    <mergeCell ref="AE6101:AI6101"/>
    <mergeCell ref="AJ6101:AL6101"/>
    <mergeCell ref="AN6101:AO6101"/>
    <mergeCell ref="AP6101:AQ6101"/>
    <mergeCell ref="A6102:A6103"/>
    <mergeCell ref="E6102:E6103"/>
    <mergeCell ref="F6102:H6102"/>
    <mergeCell ref="J6102:J6103"/>
    <mergeCell ref="K6102:L6103"/>
    <mergeCell ref="M6102:N6103"/>
    <mergeCell ref="O6102:P6103"/>
    <mergeCell ref="Q6102:R6103"/>
    <mergeCell ref="S6102:T6103"/>
    <mergeCell ref="U6102:V6103"/>
    <mergeCell ref="W6102:W6103"/>
    <mergeCell ref="X6102:AB6102"/>
    <mergeCell ref="AD6102:AI6102"/>
    <mergeCell ref="AJ6102:AL6102"/>
    <mergeCell ref="AN6102:AO6102"/>
    <mergeCell ref="AP6102:AQ6102"/>
    <mergeCell ref="AR6102:AS6103"/>
    <mergeCell ref="AT6102:AU6103"/>
    <mergeCell ref="AV6102:AW6103"/>
    <mergeCell ref="AX6102:AY6103"/>
    <mergeCell ref="AZ6102:AZ6103"/>
    <mergeCell ref="F6103:H6103"/>
    <mergeCell ref="X6103:AB6103"/>
    <mergeCell ref="AE6103:AI6103"/>
    <mergeCell ref="AJ6103:AL6103"/>
    <mergeCell ref="AN6103:AO6103"/>
    <mergeCell ref="AP6103:AQ6103"/>
    <mergeCell ref="A6104:A6105"/>
    <mergeCell ref="E6104:E6105"/>
    <mergeCell ref="F6104:H6104"/>
    <mergeCell ref="J6104:J6105"/>
    <mergeCell ref="K6104:L6105"/>
    <mergeCell ref="M6104:N6105"/>
    <mergeCell ref="O6104:P6105"/>
    <mergeCell ref="Q6104:R6105"/>
    <mergeCell ref="S6104:T6105"/>
    <mergeCell ref="U6104:V6105"/>
    <mergeCell ref="W6104:W6105"/>
    <mergeCell ref="X6104:AB6104"/>
    <mergeCell ref="AD6104:AI6104"/>
    <mergeCell ref="AJ6104:AL6104"/>
    <mergeCell ref="AN6104:AO6104"/>
    <mergeCell ref="AP6104:AQ6104"/>
    <mergeCell ref="AR6104:AS6105"/>
    <mergeCell ref="AT6104:AU6105"/>
    <mergeCell ref="AV6104:AW6105"/>
    <mergeCell ref="AX6104:AY6105"/>
    <mergeCell ref="AZ6104:AZ6105"/>
    <mergeCell ref="F6105:H6105"/>
    <mergeCell ref="X6105:AB6105"/>
    <mergeCell ref="AE6105:AI6105"/>
    <mergeCell ref="AJ6105:AL6105"/>
    <mergeCell ref="AN6105:AO6105"/>
    <mergeCell ref="AP6105:AQ6105"/>
    <mergeCell ref="A6106:A6107"/>
    <mergeCell ref="E6106:E6107"/>
    <mergeCell ref="F6106:H6106"/>
    <mergeCell ref="J6106:J6107"/>
    <mergeCell ref="K6106:L6107"/>
    <mergeCell ref="M6106:N6107"/>
    <mergeCell ref="O6106:P6107"/>
    <mergeCell ref="Q6106:R6107"/>
    <mergeCell ref="S6106:T6107"/>
    <mergeCell ref="U6106:V6107"/>
    <mergeCell ref="W6106:W6107"/>
    <mergeCell ref="X6106:AB6106"/>
    <mergeCell ref="AD6106:AI6106"/>
    <mergeCell ref="AJ6106:AL6106"/>
    <mergeCell ref="AN6106:AO6106"/>
    <mergeCell ref="AP6106:AQ6106"/>
    <mergeCell ref="AR6106:AS6107"/>
    <mergeCell ref="AT6106:AU6107"/>
    <mergeCell ref="AV6106:AW6107"/>
    <mergeCell ref="AX6106:AY6107"/>
    <mergeCell ref="AZ6106:AZ6107"/>
    <mergeCell ref="F6107:H6107"/>
    <mergeCell ref="X6107:AB6107"/>
    <mergeCell ref="AE6107:AI6107"/>
    <mergeCell ref="AJ6107:AL6107"/>
    <mergeCell ref="AN6107:AO6107"/>
    <mergeCell ref="AP6107:AQ6107"/>
    <mergeCell ref="A6108:A6109"/>
    <mergeCell ref="E6108:E6109"/>
    <mergeCell ref="F6108:H6108"/>
    <mergeCell ref="J6108:J6109"/>
    <mergeCell ref="K6108:L6109"/>
    <mergeCell ref="M6108:N6109"/>
    <mergeCell ref="O6108:P6109"/>
    <mergeCell ref="Q6108:R6109"/>
    <mergeCell ref="S6108:T6109"/>
    <mergeCell ref="U6108:V6109"/>
    <mergeCell ref="W6108:W6109"/>
    <mergeCell ref="X6108:AB6108"/>
    <mergeCell ref="AD6108:AI6108"/>
    <mergeCell ref="AJ6108:AL6108"/>
    <mergeCell ref="AN6108:AO6108"/>
    <mergeCell ref="AP6108:AQ6108"/>
    <mergeCell ref="AR6108:AS6109"/>
    <mergeCell ref="AT6108:AU6109"/>
    <mergeCell ref="AV6108:AW6109"/>
    <mergeCell ref="AX6108:AY6109"/>
    <mergeCell ref="AZ6108:AZ6109"/>
    <mergeCell ref="F6109:H6109"/>
    <mergeCell ref="X6109:AB6109"/>
    <mergeCell ref="AE6109:AI6109"/>
    <mergeCell ref="AJ6109:AL6109"/>
    <mergeCell ref="AN6109:AO6109"/>
    <mergeCell ref="AP6109:AQ6109"/>
    <mergeCell ref="A6110:A6111"/>
    <mergeCell ref="E6110:E6111"/>
    <mergeCell ref="F6110:H6110"/>
    <mergeCell ref="J6110:J6111"/>
    <mergeCell ref="K6110:L6111"/>
    <mergeCell ref="M6110:N6111"/>
    <mergeCell ref="O6110:P6111"/>
    <mergeCell ref="Q6110:R6111"/>
    <mergeCell ref="S6110:T6111"/>
    <mergeCell ref="U6110:V6111"/>
    <mergeCell ref="W6110:W6111"/>
    <mergeCell ref="X6110:AB6110"/>
    <mergeCell ref="AD6110:AI6110"/>
    <mergeCell ref="AJ6110:AL6110"/>
    <mergeCell ref="AN6110:AO6110"/>
    <mergeCell ref="AP6110:AQ6110"/>
    <mergeCell ref="AR6110:AS6111"/>
    <mergeCell ref="AT6110:AU6111"/>
    <mergeCell ref="AV6110:AW6111"/>
    <mergeCell ref="AX6110:AY6111"/>
    <mergeCell ref="AZ6110:AZ6111"/>
    <mergeCell ref="F6111:H6111"/>
    <mergeCell ref="X6111:AB6111"/>
    <mergeCell ref="AE6111:AI6111"/>
    <mergeCell ref="AJ6111:AL6111"/>
    <mergeCell ref="AN6111:AO6111"/>
    <mergeCell ref="AP6111:AQ6111"/>
    <mergeCell ref="A6112:A6113"/>
    <mergeCell ref="E6112:E6113"/>
    <mergeCell ref="F6112:H6112"/>
    <mergeCell ref="J6112:J6113"/>
    <mergeCell ref="K6112:L6113"/>
    <mergeCell ref="M6112:N6113"/>
    <mergeCell ref="O6112:P6113"/>
    <mergeCell ref="Q6112:R6113"/>
    <mergeCell ref="S6112:T6113"/>
    <mergeCell ref="U6112:V6113"/>
    <mergeCell ref="W6112:W6113"/>
    <mergeCell ref="X6112:AB6112"/>
    <mergeCell ref="AD6112:AI6112"/>
    <mergeCell ref="AJ6112:AL6112"/>
    <mergeCell ref="AN6112:AO6112"/>
    <mergeCell ref="AP6112:AQ6112"/>
    <mergeCell ref="AR6112:AS6113"/>
    <mergeCell ref="AT6112:AU6113"/>
    <mergeCell ref="AV6112:AW6113"/>
    <mergeCell ref="AX6112:AY6113"/>
    <mergeCell ref="AZ6112:AZ6113"/>
    <mergeCell ref="F6113:H6113"/>
    <mergeCell ref="X6113:AB6113"/>
    <mergeCell ref="AE6113:AI6113"/>
    <mergeCell ref="AJ6113:AL6113"/>
    <mergeCell ref="AN6113:AO6113"/>
    <mergeCell ref="AP6113:AQ6113"/>
    <mergeCell ref="A6114:A6115"/>
    <mergeCell ref="E6114:E6115"/>
    <mergeCell ref="F6114:H6114"/>
    <mergeCell ref="J6114:J6115"/>
    <mergeCell ref="K6114:L6115"/>
    <mergeCell ref="M6114:N6115"/>
    <mergeCell ref="O6114:P6115"/>
    <mergeCell ref="Q6114:R6115"/>
    <mergeCell ref="S6114:T6115"/>
    <mergeCell ref="U6114:V6115"/>
    <mergeCell ref="W6114:W6115"/>
    <mergeCell ref="X6114:AB6114"/>
    <mergeCell ref="AD6114:AI6114"/>
    <mergeCell ref="AJ6114:AL6114"/>
    <mergeCell ref="AN6114:AO6114"/>
    <mergeCell ref="AP6114:AQ6114"/>
    <mergeCell ref="AR6114:AS6115"/>
    <mergeCell ref="AT6114:AU6115"/>
    <mergeCell ref="AV6114:AW6115"/>
    <mergeCell ref="AX6114:AY6115"/>
    <mergeCell ref="AZ6114:AZ6115"/>
    <mergeCell ref="F6115:H6115"/>
    <mergeCell ref="X6115:AB6115"/>
    <mergeCell ref="AE6115:AI6115"/>
    <mergeCell ref="AJ6115:AL6115"/>
    <mergeCell ref="AN6115:AO6115"/>
    <mergeCell ref="AP6115:AQ6115"/>
    <mergeCell ref="A6116:A6117"/>
    <mergeCell ref="E6116:E6117"/>
    <mergeCell ref="F6116:H6116"/>
    <mergeCell ref="J6116:J6117"/>
    <mergeCell ref="K6116:L6117"/>
    <mergeCell ref="M6116:N6117"/>
    <mergeCell ref="O6116:P6117"/>
    <mergeCell ref="Q6116:R6117"/>
    <mergeCell ref="S6116:T6117"/>
    <mergeCell ref="U6116:V6117"/>
    <mergeCell ref="W6116:W6117"/>
    <mergeCell ref="X6116:AB6116"/>
    <mergeCell ref="AD6116:AI6116"/>
    <mergeCell ref="AJ6116:AL6116"/>
    <mergeCell ref="AN6116:AO6116"/>
    <mergeCell ref="AP6116:AQ6116"/>
    <mergeCell ref="AR6116:AS6117"/>
    <mergeCell ref="AT6116:AU6117"/>
    <mergeCell ref="AV6116:AW6117"/>
    <mergeCell ref="AX6116:AY6117"/>
    <mergeCell ref="AZ6116:AZ6117"/>
    <mergeCell ref="F6117:H6117"/>
    <mergeCell ref="X6117:AB6117"/>
    <mergeCell ref="AE6117:AI6117"/>
    <mergeCell ref="AJ6117:AL6117"/>
    <mergeCell ref="AN6117:AO6117"/>
    <mergeCell ref="AP6117:AQ6117"/>
    <mergeCell ref="A6118:A6119"/>
    <mergeCell ref="E6118:E6119"/>
    <mergeCell ref="F6118:H6118"/>
    <mergeCell ref="J6118:J6119"/>
    <mergeCell ref="K6118:L6119"/>
    <mergeCell ref="M6118:N6119"/>
    <mergeCell ref="O6118:P6119"/>
    <mergeCell ref="Q6118:R6119"/>
    <mergeCell ref="S6118:T6119"/>
    <mergeCell ref="U6118:V6119"/>
    <mergeCell ref="W6118:W6119"/>
    <mergeCell ref="X6118:AB6118"/>
    <mergeCell ref="AD6118:AI6118"/>
    <mergeCell ref="AJ6118:AL6118"/>
    <mergeCell ref="AN6118:AO6118"/>
    <mergeCell ref="AP6118:AQ6118"/>
    <mergeCell ref="AR6118:AS6119"/>
    <mergeCell ref="AT6118:AU6119"/>
    <mergeCell ref="AV6118:AW6119"/>
    <mergeCell ref="AX6118:AY6119"/>
    <mergeCell ref="AZ6118:AZ6119"/>
    <mergeCell ref="F6119:H6119"/>
    <mergeCell ref="X6119:AB6119"/>
    <mergeCell ref="AE6119:AI6119"/>
    <mergeCell ref="AJ6119:AL6119"/>
    <mergeCell ref="AN6119:AO6119"/>
    <mergeCell ref="AP6119:AQ6119"/>
    <mergeCell ref="A6120:A6121"/>
    <mergeCell ref="E6120:E6121"/>
    <mergeCell ref="F6120:H6120"/>
    <mergeCell ref="J6120:J6121"/>
    <mergeCell ref="K6120:L6121"/>
    <mergeCell ref="M6120:N6121"/>
    <mergeCell ref="O6120:P6121"/>
    <mergeCell ref="Q6120:R6121"/>
    <mergeCell ref="S6120:T6121"/>
    <mergeCell ref="U6120:V6121"/>
    <mergeCell ref="W6120:W6121"/>
    <mergeCell ref="X6120:AB6120"/>
    <mergeCell ref="AD6120:AI6120"/>
    <mergeCell ref="AJ6120:AL6120"/>
    <mergeCell ref="AN6120:AO6120"/>
    <mergeCell ref="AP6120:AQ6120"/>
    <mergeCell ref="AR6120:AS6121"/>
    <mergeCell ref="AT6120:AU6121"/>
    <mergeCell ref="AV6120:AW6121"/>
    <mergeCell ref="AX6120:AY6121"/>
    <mergeCell ref="AZ6120:AZ6121"/>
    <mergeCell ref="F6121:H6121"/>
    <mergeCell ref="X6121:AB6121"/>
    <mergeCell ref="AE6121:AI6121"/>
    <mergeCell ref="AJ6121:AL6121"/>
    <mergeCell ref="AN6121:AO6121"/>
    <mergeCell ref="AP6121:AQ6121"/>
    <mergeCell ref="A6122:A6123"/>
    <mergeCell ref="E6122:E6123"/>
    <mergeCell ref="F6122:H6122"/>
    <mergeCell ref="J6122:J6123"/>
    <mergeCell ref="K6122:L6123"/>
    <mergeCell ref="M6122:N6123"/>
    <mergeCell ref="O6122:P6123"/>
    <mergeCell ref="Q6122:R6123"/>
    <mergeCell ref="S6122:T6123"/>
    <mergeCell ref="U6122:V6123"/>
    <mergeCell ref="W6122:W6123"/>
    <mergeCell ref="X6122:AB6122"/>
    <mergeCell ref="AD6122:AI6122"/>
    <mergeCell ref="AJ6122:AL6122"/>
    <mergeCell ref="AN6122:AO6122"/>
    <mergeCell ref="AP6122:AQ6122"/>
    <mergeCell ref="AR6122:AS6123"/>
    <mergeCell ref="AT6122:AU6123"/>
    <mergeCell ref="AV6122:AW6123"/>
    <mergeCell ref="AX6122:AY6123"/>
    <mergeCell ref="AZ6122:AZ6123"/>
    <mergeCell ref="F6123:H6123"/>
    <mergeCell ref="X6123:AB6123"/>
    <mergeCell ref="AE6123:AI6123"/>
    <mergeCell ref="AJ6123:AL6123"/>
    <mergeCell ref="AN6123:AO6123"/>
    <mergeCell ref="AP6123:AQ6123"/>
    <mergeCell ref="A6124:A6125"/>
    <mergeCell ref="E6124:E6125"/>
    <mergeCell ref="F6124:H6124"/>
    <mergeCell ref="J6124:J6125"/>
    <mergeCell ref="K6124:L6125"/>
    <mergeCell ref="M6124:N6125"/>
    <mergeCell ref="O6124:P6125"/>
    <mergeCell ref="Q6124:R6125"/>
    <mergeCell ref="S6124:T6125"/>
    <mergeCell ref="U6124:V6125"/>
    <mergeCell ref="W6124:W6125"/>
    <mergeCell ref="X6124:AB6124"/>
    <mergeCell ref="AD6124:AI6124"/>
    <mergeCell ref="AJ6124:AL6124"/>
    <mergeCell ref="AN6124:AO6124"/>
    <mergeCell ref="AP6124:AQ6124"/>
    <mergeCell ref="AR6124:AS6125"/>
    <mergeCell ref="AT6124:AU6125"/>
    <mergeCell ref="AV6124:AW6125"/>
    <mergeCell ref="AX6124:AY6125"/>
    <mergeCell ref="AZ6124:AZ6125"/>
    <mergeCell ref="F6125:H6125"/>
    <mergeCell ref="X6125:AB6125"/>
    <mergeCell ref="AE6125:AI6125"/>
    <mergeCell ref="AJ6125:AL6125"/>
    <mergeCell ref="AN6125:AO6125"/>
    <mergeCell ref="AP6125:AQ6125"/>
    <mergeCell ref="A6126:A6127"/>
    <mergeCell ref="E6126:E6127"/>
    <mergeCell ref="F6126:H6126"/>
    <mergeCell ref="J6126:J6127"/>
    <mergeCell ref="K6126:L6127"/>
    <mergeCell ref="M6126:N6127"/>
    <mergeCell ref="O6126:P6127"/>
    <mergeCell ref="Q6126:R6127"/>
    <mergeCell ref="S6126:T6127"/>
    <mergeCell ref="U6126:V6127"/>
    <mergeCell ref="W6126:W6127"/>
    <mergeCell ref="X6126:AB6126"/>
    <mergeCell ref="AD6126:AI6126"/>
    <mergeCell ref="AJ6126:AL6126"/>
    <mergeCell ref="AN6126:AO6126"/>
    <mergeCell ref="AP6126:AQ6126"/>
    <mergeCell ref="AR6126:AS6127"/>
    <mergeCell ref="AT6126:AU6127"/>
    <mergeCell ref="AV6126:AW6127"/>
    <mergeCell ref="AX6126:AY6127"/>
    <mergeCell ref="AZ6126:AZ6127"/>
    <mergeCell ref="F6127:H6127"/>
    <mergeCell ref="X6127:AB6127"/>
    <mergeCell ref="AE6127:AI6127"/>
    <mergeCell ref="AJ6127:AL6127"/>
    <mergeCell ref="AN6127:AO6127"/>
    <mergeCell ref="AP6127:AQ6127"/>
    <mergeCell ref="A6128:A6129"/>
    <mergeCell ref="E6128:E6129"/>
    <mergeCell ref="F6128:H6128"/>
    <mergeCell ref="J6128:J6129"/>
    <mergeCell ref="K6128:L6129"/>
    <mergeCell ref="M6128:N6129"/>
    <mergeCell ref="O6128:P6129"/>
    <mergeCell ref="Q6128:R6129"/>
    <mergeCell ref="S6128:T6129"/>
    <mergeCell ref="U6128:V6129"/>
    <mergeCell ref="W6128:W6129"/>
    <mergeCell ref="X6128:AB6128"/>
    <mergeCell ref="AD6128:AI6128"/>
    <mergeCell ref="AJ6128:AL6128"/>
    <mergeCell ref="AN6128:AO6128"/>
    <mergeCell ref="AP6128:AQ6128"/>
    <mergeCell ref="AR6128:AS6129"/>
    <mergeCell ref="AT6128:AU6129"/>
    <mergeCell ref="AV6128:AW6129"/>
    <mergeCell ref="AX6128:AY6129"/>
    <mergeCell ref="AZ6128:AZ6129"/>
    <mergeCell ref="F6129:H6129"/>
    <mergeCell ref="X6129:AB6129"/>
    <mergeCell ref="AE6129:AI6129"/>
    <mergeCell ref="AJ6129:AL6129"/>
    <mergeCell ref="AN6129:AO6129"/>
    <mergeCell ref="AP6129:AQ6129"/>
    <mergeCell ref="A6130:A6131"/>
    <mergeCell ref="E6130:E6131"/>
    <mergeCell ref="F6130:H6130"/>
    <mergeCell ref="J6130:J6131"/>
    <mergeCell ref="K6130:L6131"/>
    <mergeCell ref="M6130:N6131"/>
    <mergeCell ref="O6130:P6131"/>
    <mergeCell ref="Q6130:R6131"/>
    <mergeCell ref="S6130:T6131"/>
    <mergeCell ref="U6130:V6131"/>
    <mergeCell ref="W6130:W6131"/>
    <mergeCell ref="X6130:AB6130"/>
    <mergeCell ref="AD6130:AI6130"/>
    <mergeCell ref="AJ6130:AL6130"/>
    <mergeCell ref="AN6130:AO6130"/>
    <mergeCell ref="AP6130:AQ6130"/>
    <mergeCell ref="AR6130:AS6131"/>
    <mergeCell ref="AT6130:AU6131"/>
    <mergeCell ref="AV6130:AW6131"/>
    <mergeCell ref="AX6130:AY6131"/>
    <mergeCell ref="AZ6130:AZ6131"/>
    <mergeCell ref="F6131:H6131"/>
    <mergeCell ref="X6131:AB6131"/>
    <mergeCell ref="AE6131:AI6131"/>
    <mergeCell ref="AJ6131:AL6131"/>
    <mergeCell ref="AN6131:AO6131"/>
    <mergeCell ref="AP6131:AQ6131"/>
    <mergeCell ref="A6132:A6133"/>
    <mergeCell ref="E6132:E6133"/>
    <mergeCell ref="F6132:H6132"/>
    <mergeCell ref="J6132:J6133"/>
    <mergeCell ref="K6132:L6133"/>
    <mergeCell ref="M6132:N6133"/>
    <mergeCell ref="O6132:P6133"/>
    <mergeCell ref="Q6132:R6133"/>
    <mergeCell ref="S6132:T6133"/>
    <mergeCell ref="U6132:V6133"/>
    <mergeCell ref="W6132:W6133"/>
    <mergeCell ref="X6132:AB6132"/>
    <mergeCell ref="AD6132:AI6132"/>
    <mergeCell ref="AJ6132:AL6132"/>
    <mergeCell ref="AN6132:AO6132"/>
    <mergeCell ref="AP6132:AQ6132"/>
    <mergeCell ref="AR6132:AS6133"/>
    <mergeCell ref="AT6132:AU6133"/>
    <mergeCell ref="AV6132:AW6133"/>
    <mergeCell ref="AX6132:AY6133"/>
    <mergeCell ref="AZ6132:AZ6133"/>
    <mergeCell ref="F6133:H6133"/>
    <mergeCell ref="X6133:AB6133"/>
    <mergeCell ref="AE6133:AI6133"/>
    <mergeCell ref="AJ6133:AL6133"/>
    <mergeCell ref="AN6133:AO6133"/>
    <mergeCell ref="AP6133:AQ6133"/>
    <mergeCell ref="A6134:A6135"/>
    <mergeCell ref="E6134:E6135"/>
    <mergeCell ref="F6134:H6134"/>
    <mergeCell ref="J6134:J6135"/>
    <mergeCell ref="K6134:L6135"/>
    <mergeCell ref="M6134:N6135"/>
    <mergeCell ref="O6134:P6135"/>
    <mergeCell ref="Q6134:R6135"/>
    <mergeCell ref="S6134:T6135"/>
    <mergeCell ref="U6134:V6135"/>
    <mergeCell ref="W6134:W6135"/>
    <mergeCell ref="X6134:AB6134"/>
    <mergeCell ref="AD6134:AI6134"/>
    <mergeCell ref="AJ6134:AL6134"/>
    <mergeCell ref="AN6134:AO6134"/>
    <mergeCell ref="AP6134:AQ6134"/>
    <mergeCell ref="AR6134:AS6135"/>
    <mergeCell ref="AT6134:AU6135"/>
    <mergeCell ref="AV6134:AW6135"/>
    <mergeCell ref="AX6134:AY6135"/>
    <mergeCell ref="AZ6134:AZ6135"/>
    <mergeCell ref="F6135:H6135"/>
    <mergeCell ref="X6135:AB6135"/>
    <mergeCell ref="AE6135:AI6135"/>
    <mergeCell ref="AJ6135:AL6135"/>
    <mergeCell ref="AN6135:AO6135"/>
    <mergeCell ref="AP6135:AQ6135"/>
    <mergeCell ref="A6136:A6137"/>
    <mergeCell ref="E6136:E6137"/>
    <mergeCell ref="F6136:H6136"/>
    <mergeCell ref="J6136:J6137"/>
    <mergeCell ref="K6136:L6137"/>
    <mergeCell ref="M6136:N6137"/>
    <mergeCell ref="O6136:P6137"/>
    <mergeCell ref="Q6136:R6137"/>
    <mergeCell ref="S6136:T6137"/>
    <mergeCell ref="U6136:V6137"/>
    <mergeCell ref="W6136:W6137"/>
    <mergeCell ref="X6136:AB6136"/>
    <mergeCell ref="AD6136:AI6136"/>
    <mergeCell ref="AJ6136:AL6136"/>
    <mergeCell ref="AN6136:AO6136"/>
    <mergeCell ref="AP6136:AQ6136"/>
    <mergeCell ref="AR6136:AS6137"/>
    <mergeCell ref="AT6136:AU6137"/>
    <mergeCell ref="AV6136:AW6137"/>
    <mergeCell ref="AX6136:AY6137"/>
    <mergeCell ref="AZ6136:AZ6137"/>
    <mergeCell ref="F6137:H6137"/>
    <mergeCell ref="X6137:AB6137"/>
    <mergeCell ref="AE6137:AI6137"/>
    <mergeCell ref="AJ6137:AL6137"/>
    <mergeCell ref="AN6137:AO6137"/>
    <mergeCell ref="AP6137:AQ6137"/>
    <mergeCell ref="A6138:A6139"/>
    <mergeCell ref="E6138:E6139"/>
    <mergeCell ref="F6138:H6138"/>
    <mergeCell ref="J6138:J6139"/>
    <mergeCell ref="K6138:L6139"/>
    <mergeCell ref="M6138:N6139"/>
    <mergeCell ref="O6138:P6139"/>
    <mergeCell ref="Q6138:R6139"/>
    <mergeCell ref="S6138:T6139"/>
    <mergeCell ref="U6138:V6139"/>
    <mergeCell ref="W6138:W6139"/>
    <mergeCell ref="X6138:AB6138"/>
    <mergeCell ref="AD6138:AI6138"/>
    <mergeCell ref="AJ6138:AL6138"/>
    <mergeCell ref="AN6138:AO6138"/>
    <mergeCell ref="AP6138:AQ6138"/>
    <mergeCell ref="AR6138:AS6139"/>
    <mergeCell ref="AT6138:AU6139"/>
    <mergeCell ref="AV6138:AW6139"/>
    <mergeCell ref="AX6138:AY6139"/>
    <mergeCell ref="AZ6138:AZ6139"/>
    <mergeCell ref="F6139:H6139"/>
    <mergeCell ref="X6139:AB6139"/>
    <mergeCell ref="AE6139:AI6139"/>
    <mergeCell ref="AJ6139:AL6139"/>
    <mergeCell ref="AN6139:AO6139"/>
    <mergeCell ref="AP6139:AQ6139"/>
    <mergeCell ref="A6140:A6141"/>
    <mergeCell ref="E6140:E6141"/>
    <mergeCell ref="F6140:H6140"/>
    <mergeCell ref="J6140:J6141"/>
    <mergeCell ref="K6140:L6141"/>
    <mergeCell ref="M6140:N6141"/>
    <mergeCell ref="O6140:P6141"/>
    <mergeCell ref="Q6140:R6141"/>
    <mergeCell ref="S6140:T6141"/>
    <mergeCell ref="U6140:V6141"/>
    <mergeCell ref="W6140:W6141"/>
    <mergeCell ref="X6140:AB6140"/>
    <mergeCell ref="AD6140:AI6140"/>
    <mergeCell ref="AJ6140:AL6140"/>
    <mergeCell ref="AN6140:AO6140"/>
    <mergeCell ref="AP6140:AQ6140"/>
    <mergeCell ref="AR6140:AS6141"/>
    <mergeCell ref="AT6140:AU6141"/>
    <mergeCell ref="AV6140:AW6141"/>
    <mergeCell ref="AX6140:AY6141"/>
    <mergeCell ref="AZ6140:AZ6141"/>
    <mergeCell ref="F6141:H6141"/>
    <mergeCell ref="X6141:AB6141"/>
    <mergeCell ref="AE6141:AI6141"/>
    <mergeCell ref="AJ6141:AL6141"/>
    <mergeCell ref="AN6141:AO6141"/>
    <mergeCell ref="AP6141:AQ6141"/>
    <mergeCell ref="A6142:A6143"/>
    <mergeCell ref="E6142:E6143"/>
    <mergeCell ref="F6142:H6142"/>
    <mergeCell ref="J6142:J6143"/>
    <mergeCell ref="K6142:L6143"/>
    <mergeCell ref="M6142:N6143"/>
    <mergeCell ref="O6142:P6143"/>
    <mergeCell ref="Q6142:R6143"/>
    <mergeCell ref="S6142:T6143"/>
    <mergeCell ref="U6142:V6143"/>
    <mergeCell ref="W6142:W6143"/>
    <mergeCell ref="X6142:AB6142"/>
    <mergeCell ref="AD6142:AI6142"/>
    <mergeCell ref="AJ6142:AL6142"/>
    <mergeCell ref="AN6142:AO6142"/>
    <mergeCell ref="AP6142:AQ6142"/>
    <mergeCell ref="AR6142:AS6143"/>
    <mergeCell ref="AT6142:AU6143"/>
    <mergeCell ref="AV6142:AW6143"/>
    <mergeCell ref="AX6142:AY6143"/>
    <mergeCell ref="AZ6142:AZ6143"/>
    <mergeCell ref="F6143:H6143"/>
    <mergeCell ref="X6143:AB6143"/>
    <mergeCell ref="AE6143:AI6143"/>
    <mergeCell ref="AJ6143:AL6143"/>
    <mergeCell ref="AN6143:AO6143"/>
    <mergeCell ref="AP6143:AQ6143"/>
    <mergeCell ref="A6144:A6145"/>
    <mergeCell ref="E6144:E6145"/>
    <mergeCell ref="F6144:H6144"/>
    <mergeCell ref="J6144:J6145"/>
    <mergeCell ref="K6144:L6145"/>
    <mergeCell ref="M6144:N6145"/>
    <mergeCell ref="O6144:P6145"/>
    <mergeCell ref="Q6144:R6145"/>
    <mergeCell ref="S6144:T6145"/>
    <mergeCell ref="U6144:V6145"/>
    <mergeCell ref="W6144:W6145"/>
    <mergeCell ref="X6144:AB6144"/>
    <mergeCell ref="AD6144:AI6144"/>
    <mergeCell ref="AJ6144:AL6144"/>
    <mergeCell ref="AN6144:AO6144"/>
    <mergeCell ref="AP6144:AQ6144"/>
    <mergeCell ref="AR6144:AS6145"/>
    <mergeCell ref="AT6144:AU6145"/>
    <mergeCell ref="AV6144:AW6145"/>
    <mergeCell ref="AX6144:AY6145"/>
    <mergeCell ref="AZ6144:AZ6145"/>
    <mergeCell ref="F6145:H6145"/>
    <mergeCell ref="X6145:AB6145"/>
    <mergeCell ref="AE6145:AI6145"/>
    <mergeCell ref="AJ6145:AL6145"/>
    <mergeCell ref="AN6145:AO6145"/>
    <mergeCell ref="AP6145:AQ6145"/>
    <mergeCell ref="A6146:A6147"/>
    <mergeCell ref="E6146:E6147"/>
    <mergeCell ref="F6146:H6146"/>
    <mergeCell ref="J6146:J6147"/>
    <mergeCell ref="K6146:L6147"/>
    <mergeCell ref="M6146:N6147"/>
    <mergeCell ref="O6146:P6147"/>
    <mergeCell ref="Q6146:R6147"/>
    <mergeCell ref="S6146:T6147"/>
    <mergeCell ref="U6146:V6147"/>
    <mergeCell ref="W6146:W6147"/>
    <mergeCell ref="X6146:AB6146"/>
    <mergeCell ref="AD6146:AI6146"/>
    <mergeCell ref="AJ6146:AL6146"/>
    <mergeCell ref="AN6146:AO6146"/>
    <mergeCell ref="AP6146:AQ6146"/>
    <mergeCell ref="AR6146:AS6147"/>
    <mergeCell ref="AT6146:AU6147"/>
    <mergeCell ref="AV6146:AW6147"/>
    <mergeCell ref="AX6146:AY6147"/>
    <mergeCell ref="AZ6146:AZ6147"/>
    <mergeCell ref="F6147:H6147"/>
    <mergeCell ref="X6147:AB6147"/>
    <mergeCell ref="AE6147:AI6147"/>
    <mergeCell ref="AJ6147:AL6147"/>
    <mergeCell ref="AN6147:AO6147"/>
    <mergeCell ref="AP6147:AQ6147"/>
    <mergeCell ref="A6148:A6149"/>
    <mergeCell ref="E6148:E6149"/>
    <mergeCell ref="F6148:H6148"/>
    <mergeCell ref="J6148:J6149"/>
    <mergeCell ref="K6148:L6149"/>
    <mergeCell ref="M6148:N6149"/>
    <mergeCell ref="O6148:P6149"/>
    <mergeCell ref="Q6148:R6149"/>
    <mergeCell ref="S6148:T6149"/>
    <mergeCell ref="U6148:V6149"/>
    <mergeCell ref="W6148:W6149"/>
    <mergeCell ref="X6148:AB6148"/>
    <mergeCell ref="AD6148:AI6148"/>
    <mergeCell ref="AJ6148:AL6148"/>
    <mergeCell ref="AN6148:AO6148"/>
    <mergeCell ref="AP6148:AQ6148"/>
    <mergeCell ref="AR6148:AS6149"/>
    <mergeCell ref="AT6148:AU6149"/>
    <mergeCell ref="AV6148:AW6149"/>
    <mergeCell ref="AX6148:AY6149"/>
    <mergeCell ref="AZ6148:AZ6149"/>
    <mergeCell ref="F6149:H6149"/>
    <mergeCell ref="X6149:AB6149"/>
    <mergeCell ref="AE6149:AI6149"/>
    <mergeCell ref="AJ6149:AL6149"/>
    <mergeCell ref="AN6149:AO6149"/>
    <mergeCell ref="AP6149:AQ6149"/>
    <mergeCell ref="A6150:A6151"/>
    <mergeCell ref="E6150:E6151"/>
    <mergeCell ref="F6150:H6150"/>
    <mergeCell ref="J6150:J6151"/>
    <mergeCell ref="K6150:L6151"/>
    <mergeCell ref="M6150:N6151"/>
    <mergeCell ref="O6150:P6151"/>
    <mergeCell ref="Q6150:R6151"/>
    <mergeCell ref="S6150:T6151"/>
    <mergeCell ref="U6150:V6151"/>
    <mergeCell ref="W6150:W6151"/>
    <mergeCell ref="X6150:AB6150"/>
    <mergeCell ref="AD6150:AI6150"/>
    <mergeCell ref="AJ6150:AL6150"/>
    <mergeCell ref="AN6150:AO6150"/>
    <mergeCell ref="AP6150:AQ6150"/>
    <mergeCell ref="AR6150:AS6151"/>
    <mergeCell ref="AT6150:AU6151"/>
    <mergeCell ref="AV6150:AW6151"/>
    <mergeCell ref="AX6150:AY6151"/>
    <mergeCell ref="AZ6150:AZ6151"/>
    <mergeCell ref="F6151:H6151"/>
    <mergeCell ref="X6151:AB6151"/>
    <mergeCell ref="AE6151:AI6151"/>
    <mergeCell ref="AJ6151:AL6151"/>
    <mergeCell ref="AN6151:AO6151"/>
    <mergeCell ref="AP6151:AQ6151"/>
    <mergeCell ref="A6152:A6153"/>
    <mergeCell ref="E6152:E6153"/>
    <mergeCell ref="F6152:H6152"/>
    <mergeCell ref="J6152:J6153"/>
    <mergeCell ref="K6152:L6153"/>
    <mergeCell ref="M6152:N6153"/>
    <mergeCell ref="O6152:P6153"/>
    <mergeCell ref="Q6152:R6153"/>
    <mergeCell ref="S6152:T6153"/>
    <mergeCell ref="U6152:V6153"/>
    <mergeCell ref="W6152:W6153"/>
    <mergeCell ref="X6152:AB6152"/>
    <mergeCell ref="AD6152:AI6152"/>
    <mergeCell ref="AJ6152:AL6152"/>
    <mergeCell ref="AN6152:AO6152"/>
    <mergeCell ref="AP6152:AQ6152"/>
    <mergeCell ref="AR6152:AS6153"/>
    <mergeCell ref="AT6152:AU6153"/>
    <mergeCell ref="AV6152:AW6153"/>
    <mergeCell ref="AX6152:AY6153"/>
    <mergeCell ref="AZ6152:AZ6153"/>
    <mergeCell ref="F6153:H6153"/>
    <mergeCell ref="X6153:AB6153"/>
    <mergeCell ref="AE6153:AI6153"/>
    <mergeCell ref="AJ6153:AL6153"/>
    <mergeCell ref="AN6153:AO6153"/>
    <mergeCell ref="AP6153:AQ6153"/>
    <mergeCell ref="A6154:A6155"/>
    <mergeCell ref="E6154:E6155"/>
    <mergeCell ref="F6154:H6154"/>
    <mergeCell ref="J6154:J6155"/>
    <mergeCell ref="K6154:L6155"/>
    <mergeCell ref="M6154:N6155"/>
    <mergeCell ref="O6154:P6155"/>
    <mergeCell ref="Q6154:R6155"/>
    <mergeCell ref="S6154:T6155"/>
    <mergeCell ref="U6154:V6155"/>
    <mergeCell ref="W6154:W6155"/>
    <mergeCell ref="X6154:AB6154"/>
    <mergeCell ref="AD6154:AI6154"/>
    <mergeCell ref="AJ6154:AL6154"/>
    <mergeCell ref="AN6154:AO6154"/>
    <mergeCell ref="AP6154:AQ6154"/>
    <mergeCell ref="AR6154:AS6155"/>
    <mergeCell ref="AT6154:AU6155"/>
    <mergeCell ref="AV6154:AW6155"/>
    <mergeCell ref="AX6154:AY6155"/>
    <mergeCell ref="AZ6154:AZ6155"/>
    <mergeCell ref="F6155:H6155"/>
    <mergeCell ref="X6155:AB6155"/>
    <mergeCell ref="AE6155:AI6155"/>
    <mergeCell ref="AJ6155:AL6155"/>
    <mergeCell ref="AN6155:AO6155"/>
    <mergeCell ref="AP6155:AQ6155"/>
    <mergeCell ref="A6156:A6157"/>
    <mergeCell ref="E6156:E6157"/>
    <mergeCell ref="F6156:H6156"/>
    <mergeCell ref="J6156:J6157"/>
    <mergeCell ref="K6156:L6157"/>
    <mergeCell ref="M6156:N6157"/>
    <mergeCell ref="O6156:P6157"/>
    <mergeCell ref="Q6156:R6157"/>
    <mergeCell ref="S6156:T6157"/>
    <mergeCell ref="U6156:V6157"/>
    <mergeCell ref="W6156:W6157"/>
    <mergeCell ref="X6156:AB6156"/>
    <mergeCell ref="AD6156:AI6156"/>
    <mergeCell ref="AJ6156:AL6156"/>
    <mergeCell ref="AN6156:AO6156"/>
    <mergeCell ref="AP6156:AQ6156"/>
    <mergeCell ref="AR6156:AS6157"/>
    <mergeCell ref="AT6156:AU6157"/>
    <mergeCell ref="AV6156:AW6157"/>
    <mergeCell ref="AX6156:AY6157"/>
    <mergeCell ref="AZ6156:AZ6157"/>
    <mergeCell ref="F6157:H6157"/>
    <mergeCell ref="X6157:AB6157"/>
    <mergeCell ref="AE6157:AI6157"/>
    <mergeCell ref="AJ6157:AL6157"/>
    <mergeCell ref="AN6157:AO6157"/>
    <mergeCell ref="AP6157:AQ6157"/>
    <mergeCell ref="A6158:A6159"/>
    <mergeCell ref="E6158:E6159"/>
    <mergeCell ref="F6158:H6158"/>
    <mergeCell ref="J6158:J6159"/>
    <mergeCell ref="K6158:L6159"/>
    <mergeCell ref="M6158:N6159"/>
    <mergeCell ref="O6158:P6159"/>
    <mergeCell ref="Q6158:R6159"/>
    <mergeCell ref="S6158:T6159"/>
    <mergeCell ref="U6158:V6159"/>
    <mergeCell ref="W6158:W6159"/>
    <mergeCell ref="X6158:AB6158"/>
    <mergeCell ref="AD6158:AI6158"/>
    <mergeCell ref="AJ6158:AL6158"/>
    <mergeCell ref="AN6158:AO6158"/>
    <mergeCell ref="AP6158:AQ6158"/>
    <mergeCell ref="AR6158:AS6159"/>
    <mergeCell ref="AT6158:AU6159"/>
    <mergeCell ref="AV6158:AW6159"/>
    <mergeCell ref="AX6158:AY6159"/>
    <mergeCell ref="AZ6158:AZ6159"/>
    <mergeCell ref="F6159:H6159"/>
    <mergeCell ref="X6159:AB6159"/>
    <mergeCell ref="AE6159:AI6159"/>
    <mergeCell ref="AJ6159:AL6159"/>
    <mergeCell ref="AN6159:AO6159"/>
    <mergeCell ref="AP6159:AQ6159"/>
    <mergeCell ref="A6160:A6161"/>
    <mergeCell ref="E6160:E6161"/>
    <mergeCell ref="F6160:H6160"/>
    <mergeCell ref="J6160:J6161"/>
    <mergeCell ref="K6160:L6161"/>
    <mergeCell ref="M6160:N6161"/>
    <mergeCell ref="O6160:P6161"/>
    <mergeCell ref="Q6160:R6161"/>
    <mergeCell ref="S6160:T6161"/>
    <mergeCell ref="U6160:V6161"/>
    <mergeCell ref="W6160:W6161"/>
    <mergeCell ref="X6160:AB6160"/>
    <mergeCell ref="AD6160:AI6160"/>
    <mergeCell ref="AJ6160:AL6160"/>
    <mergeCell ref="AN6160:AO6160"/>
    <mergeCell ref="AP6160:AQ6160"/>
    <mergeCell ref="AR6160:AS6161"/>
    <mergeCell ref="AT6160:AU6161"/>
    <mergeCell ref="AV6160:AW6161"/>
    <mergeCell ref="AX6160:AY6161"/>
    <mergeCell ref="AZ6160:AZ6161"/>
    <mergeCell ref="F6161:H6161"/>
    <mergeCell ref="X6161:AB6161"/>
    <mergeCell ref="AE6161:AI6161"/>
    <mergeCell ref="AJ6161:AL6161"/>
    <mergeCell ref="AN6161:AO6161"/>
    <mergeCell ref="AP6161:AQ6161"/>
    <mergeCell ref="A6162:A6163"/>
    <mergeCell ref="E6162:E6163"/>
    <mergeCell ref="F6162:H6162"/>
    <mergeCell ref="J6162:J6163"/>
    <mergeCell ref="K6162:L6163"/>
    <mergeCell ref="M6162:N6163"/>
    <mergeCell ref="O6162:P6163"/>
    <mergeCell ref="Q6162:R6163"/>
    <mergeCell ref="S6162:T6163"/>
    <mergeCell ref="U6162:V6163"/>
    <mergeCell ref="W6162:W6163"/>
    <mergeCell ref="X6162:AB6162"/>
    <mergeCell ref="AD6162:AI6162"/>
    <mergeCell ref="AJ6162:AL6162"/>
    <mergeCell ref="AN6162:AO6162"/>
    <mergeCell ref="AP6162:AQ6162"/>
    <mergeCell ref="AR6162:AS6163"/>
    <mergeCell ref="AT6162:AU6163"/>
    <mergeCell ref="AV6162:AW6163"/>
    <mergeCell ref="AX6162:AY6163"/>
    <mergeCell ref="AZ6162:AZ6163"/>
    <mergeCell ref="F6163:H6163"/>
    <mergeCell ref="X6163:AB6163"/>
    <mergeCell ref="AE6163:AI6163"/>
    <mergeCell ref="AJ6163:AL6163"/>
    <mergeCell ref="AN6163:AO6163"/>
    <mergeCell ref="AP6163:AQ6163"/>
    <mergeCell ref="A6164:A6165"/>
    <mergeCell ref="E6164:E6165"/>
    <mergeCell ref="F6164:H6164"/>
    <mergeCell ref="J6164:J6165"/>
    <mergeCell ref="K6164:L6165"/>
    <mergeCell ref="M6164:N6165"/>
    <mergeCell ref="O6164:P6165"/>
    <mergeCell ref="Q6164:R6165"/>
    <mergeCell ref="S6164:T6165"/>
    <mergeCell ref="U6164:V6165"/>
    <mergeCell ref="W6164:W6165"/>
    <mergeCell ref="X6164:AB6164"/>
    <mergeCell ref="AD6164:AI6164"/>
    <mergeCell ref="AJ6164:AL6164"/>
    <mergeCell ref="AN6164:AO6164"/>
    <mergeCell ref="AP6164:AQ6164"/>
    <mergeCell ref="AR6164:AS6165"/>
    <mergeCell ref="AT6164:AU6165"/>
    <mergeCell ref="AV6164:AW6165"/>
    <mergeCell ref="AX6164:AY6165"/>
    <mergeCell ref="AZ6164:AZ6165"/>
    <mergeCell ref="F6165:H6165"/>
    <mergeCell ref="X6165:AB6165"/>
    <mergeCell ref="AE6165:AI6165"/>
    <mergeCell ref="AJ6165:AL6165"/>
    <mergeCell ref="AN6165:AO6165"/>
    <mergeCell ref="AP6165:AQ6165"/>
    <mergeCell ref="A6166:A6167"/>
    <mergeCell ref="E6166:E6167"/>
    <mergeCell ref="F6166:H6166"/>
    <mergeCell ref="J6166:J6167"/>
    <mergeCell ref="K6166:L6167"/>
    <mergeCell ref="M6166:N6167"/>
    <mergeCell ref="O6166:P6167"/>
    <mergeCell ref="Q6166:R6167"/>
    <mergeCell ref="S6166:T6167"/>
    <mergeCell ref="U6166:V6167"/>
    <mergeCell ref="W6166:W6167"/>
    <mergeCell ref="X6166:AB6166"/>
    <mergeCell ref="AD6166:AI6166"/>
    <mergeCell ref="AJ6166:AL6166"/>
    <mergeCell ref="AN6166:AO6166"/>
    <mergeCell ref="AP6166:AQ6166"/>
    <mergeCell ref="AR6166:AS6167"/>
    <mergeCell ref="AT6166:AU6167"/>
    <mergeCell ref="AV6166:AW6167"/>
    <mergeCell ref="AX6166:AY6167"/>
    <mergeCell ref="AZ6166:AZ6167"/>
    <mergeCell ref="F6167:H6167"/>
    <mergeCell ref="X6167:AB6167"/>
    <mergeCell ref="AE6167:AI6167"/>
    <mergeCell ref="AJ6167:AL6167"/>
    <mergeCell ref="AN6167:AO6167"/>
    <mergeCell ref="AP6167:AQ6167"/>
    <mergeCell ref="A6168:A6169"/>
    <mergeCell ref="E6168:E6169"/>
    <mergeCell ref="F6168:H6168"/>
    <mergeCell ref="J6168:J6169"/>
    <mergeCell ref="K6168:L6169"/>
    <mergeCell ref="M6168:N6169"/>
    <mergeCell ref="O6168:P6169"/>
    <mergeCell ref="Q6168:R6169"/>
    <mergeCell ref="S6168:T6169"/>
    <mergeCell ref="U6168:V6169"/>
    <mergeCell ref="W6168:W6169"/>
    <mergeCell ref="X6168:AB6168"/>
    <mergeCell ref="AD6168:AI6168"/>
    <mergeCell ref="AJ6168:AL6168"/>
    <mergeCell ref="AN6168:AO6168"/>
    <mergeCell ref="AP6168:AQ6168"/>
    <mergeCell ref="AR6168:AS6169"/>
    <mergeCell ref="AT6168:AU6169"/>
    <mergeCell ref="AV6168:AW6169"/>
    <mergeCell ref="AX6168:AY6169"/>
    <mergeCell ref="AZ6168:AZ6169"/>
    <mergeCell ref="F6169:H6169"/>
    <mergeCell ref="X6169:AB6169"/>
    <mergeCell ref="AE6169:AI6169"/>
    <mergeCell ref="AJ6169:AL6169"/>
    <mergeCell ref="AN6169:AO6169"/>
    <mergeCell ref="AP6169:AQ6169"/>
    <mergeCell ref="A6170:A6171"/>
    <mergeCell ref="E6170:E6171"/>
    <mergeCell ref="F6170:H6170"/>
    <mergeCell ref="J6170:J6171"/>
    <mergeCell ref="K6170:L6171"/>
    <mergeCell ref="M6170:N6171"/>
    <mergeCell ref="O6170:P6171"/>
    <mergeCell ref="Q6170:R6171"/>
    <mergeCell ref="S6170:T6171"/>
    <mergeCell ref="U6170:V6171"/>
    <mergeCell ref="W6170:W6171"/>
    <mergeCell ref="X6170:AB6170"/>
    <mergeCell ref="AD6170:AI6170"/>
    <mergeCell ref="AJ6170:AL6170"/>
    <mergeCell ref="AN6170:AO6170"/>
    <mergeCell ref="AP6170:AQ6170"/>
    <mergeCell ref="AR6170:AS6171"/>
    <mergeCell ref="AT6170:AU6171"/>
    <mergeCell ref="AV6170:AW6171"/>
    <mergeCell ref="AX6170:AY6171"/>
    <mergeCell ref="AZ6170:AZ6171"/>
    <mergeCell ref="F6171:H6171"/>
    <mergeCell ref="X6171:AB6171"/>
    <mergeCell ref="AE6171:AI6171"/>
    <mergeCell ref="AJ6171:AL6171"/>
    <mergeCell ref="AN6171:AO6171"/>
    <mergeCell ref="AP6171:AQ6171"/>
    <mergeCell ref="A6172:A6173"/>
    <mergeCell ref="E6172:E6173"/>
    <mergeCell ref="F6172:H6172"/>
    <mergeCell ref="J6172:J6173"/>
    <mergeCell ref="K6172:L6173"/>
    <mergeCell ref="M6172:N6173"/>
    <mergeCell ref="O6172:P6173"/>
    <mergeCell ref="Q6172:R6173"/>
    <mergeCell ref="S6172:T6173"/>
    <mergeCell ref="U6172:V6173"/>
    <mergeCell ref="W6172:W6173"/>
    <mergeCell ref="X6172:AB6172"/>
    <mergeCell ref="AD6172:AI6172"/>
    <mergeCell ref="AJ6172:AL6172"/>
    <mergeCell ref="AN6172:AO6172"/>
    <mergeCell ref="AP6172:AQ6172"/>
    <mergeCell ref="AR6172:AS6173"/>
    <mergeCell ref="AT6172:AU6173"/>
    <mergeCell ref="AV6172:AW6173"/>
    <mergeCell ref="AX6172:AY6173"/>
    <mergeCell ref="AZ6172:AZ6173"/>
    <mergeCell ref="F6173:H6173"/>
    <mergeCell ref="X6173:AB6173"/>
    <mergeCell ref="AE6173:AI6173"/>
    <mergeCell ref="AJ6173:AL6173"/>
    <mergeCell ref="AN6173:AO6173"/>
    <mergeCell ref="AP6173:AQ6173"/>
    <mergeCell ref="A6174:A6175"/>
    <mergeCell ref="E6174:E6175"/>
    <mergeCell ref="F6174:H6174"/>
    <mergeCell ref="J6174:J6175"/>
    <mergeCell ref="K6174:L6175"/>
    <mergeCell ref="M6174:N6175"/>
    <mergeCell ref="O6174:P6175"/>
    <mergeCell ref="Q6174:R6175"/>
    <mergeCell ref="S6174:T6175"/>
    <mergeCell ref="U6174:V6175"/>
    <mergeCell ref="W6174:W6175"/>
    <mergeCell ref="X6174:AB6174"/>
    <mergeCell ref="AD6174:AI6174"/>
    <mergeCell ref="AJ6174:AL6174"/>
    <mergeCell ref="AN6174:AO6174"/>
    <mergeCell ref="AP6174:AQ6174"/>
    <mergeCell ref="AR6174:AS6175"/>
    <mergeCell ref="AT6174:AU6175"/>
    <mergeCell ref="AV6174:AW6175"/>
    <mergeCell ref="AX6174:AY6175"/>
    <mergeCell ref="AZ6174:AZ6175"/>
    <mergeCell ref="F6175:H6175"/>
    <mergeCell ref="X6175:AB6175"/>
    <mergeCell ref="AE6175:AI6175"/>
    <mergeCell ref="AJ6175:AL6175"/>
    <mergeCell ref="AN6175:AO6175"/>
    <mergeCell ref="AP6175:AQ6175"/>
    <mergeCell ref="A6176:A6177"/>
    <mergeCell ref="E6176:E6177"/>
    <mergeCell ref="F6176:H6176"/>
    <mergeCell ref="J6176:J6177"/>
    <mergeCell ref="K6176:L6177"/>
    <mergeCell ref="M6176:N6177"/>
    <mergeCell ref="O6176:P6177"/>
    <mergeCell ref="Q6176:R6177"/>
    <mergeCell ref="S6176:T6177"/>
    <mergeCell ref="U6176:V6177"/>
    <mergeCell ref="W6176:W6177"/>
    <mergeCell ref="X6176:AB6176"/>
    <mergeCell ref="AD6176:AI6176"/>
    <mergeCell ref="AJ6176:AL6176"/>
    <mergeCell ref="AN6176:AO6176"/>
    <mergeCell ref="AP6176:AQ6176"/>
    <mergeCell ref="AR6176:AS6177"/>
    <mergeCell ref="AT6176:AU6177"/>
    <mergeCell ref="AV6176:AW6177"/>
    <mergeCell ref="AX6176:AY6177"/>
    <mergeCell ref="AZ6176:AZ6177"/>
    <mergeCell ref="F6177:H6177"/>
    <mergeCell ref="X6177:AB6177"/>
    <mergeCell ref="AE6177:AI6177"/>
    <mergeCell ref="AJ6177:AL6177"/>
    <mergeCell ref="AN6177:AO6177"/>
    <mergeCell ref="AP6177:AQ6177"/>
    <mergeCell ref="A6178:A6179"/>
    <mergeCell ref="E6178:E6179"/>
    <mergeCell ref="F6178:H6178"/>
    <mergeCell ref="J6178:J6179"/>
    <mergeCell ref="K6178:L6179"/>
    <mergeCell ref="M6178:N6179"/>
    <mergeCell ref="O6178:P6179"/>
    <mergeCell ref="Q6178:R6179"/>
    <mergeCell ref="S6178:T6179"/>
    <mergeCell ref="U6178:V6179"/>
    <mergeCell ref="W6178:W6179"/>
    <mergeCell ref="X6178:AB6178"/>
    <mergeCell ref="AD6178:AI6178"/>
    <mergeCell ref="AJ6178:AL6178"/>
    <mergeCell ref="AN6178:AO6178"/>
    <mergeCell ref="AP6178:AQ6178"/>
    <mergeCell ref="AR6178:AS6179"/>
    <mergeCell ref="AT6178:AU6179"/>
    <mergeCell ref="AV6178:AW6179"/>
    <mergeCell ref="AX6178:AY6179"/>
    <mergeCell ref="AZ6178:AZ6179"/>
    <mergeCell ref="F6179:H6179"/>
    <mergeCell ref="X6179:AB6179"/>
    <mergeCell ref="AE6179:AI6179"/>
    <mergeCell ref="AJ6179:AL6179"/>
    <mergeCell ref="AN6179:AO6179"/>
    <mergeCell ref="AP6179:AQ6179"/>
    <mergeCell ref="A6180:A6181"/>
    <mergeCell ref="E6180:E6181"/>
    <mergeCell ref="F6180:H6180"/>
    <mergeCell ref="J6180:J6181"/>
    <mergeCell ref="K6180:L6181"/>
    <mergeCell ref="M6180:N6181"/>
    <mergeCell ref="O6180:P6181"/>
    <mergeCell ref="Q6180:R6181"/>
    <mergeCell ref="S6180:T6181"/>
    <mergeCell ref="U6180:V6181"/>
    <mergeCell ref="W6180:W6181"/>
    <mergeCell ref="X6180:AB6180"/>
    <mergeCell ref="AD6180:AI6180"/>
    <mergeCell ref="AJ6180:AL6180"/>
    <mergeCell ref="AN6180:AO6180"/>
    <mergeCell ref="AP6180:AQ6180"/>
    <mergeCell ref="AR6180:AS6181"/>
    <mergeCell ref="AT6180:AU6181"/>
    <mergeCell ref="AV6180:AW6181"/>
    <mergeCell ref="AX6180:AY6181"/>
    <mergeCell ref="AZ6180:AZ6181"/>
    <mergeCell ref="F6181:H6181"/>
    <mergeCell ref="X6181:AB6181"/>
    <mergeCell ref="AE6181:AI6181"/>
    <mergeCell ref="AJ6181:AL6181"/>
    <mergeCell ref="AN6181:AO6181"/>
    <mergeCell ref="AP6181:AQ6181"/>
    <mergeCell ref="A6182:A6183"/>
    <mergeCell ref="E6182:E6183"/>
    <mergeCell ref="F6182:H6182"/>
    <mergeCell ref="J6182:J6183"/>
    <mergeCell ref="K6182:L6183"/>
    <mergeCell ref="M6182:N6183"/>
    <mergeCell ref="O6182:P6183"/>
    <mergeCell ref="Q6182:R6183"/>
    <mergeCell ref="S6182:T6183"/>
    <mergeCell ref="U6182:V6183"/>
    <mergeCell ref="W6182:W6183"/>
    <mergeCell ref="X6182:AB6182"/>
    <mergeCell ref="AD6182:AI6182"/>
    <mergeCell ref="AJ6182:AL6182"/>
    <mergeCell ref="AN6182:AO6182"/>
    <mergeCell ref="AP6182:AQ6182"/>
    <mergeCell ref="AR6182:AS6183"/>
    <mergeCell ref="AT6182:AU6183"/>
    <mergeCell ref="AV6182:AW6183"/>
    <mergeCell ref="AX6182:AY6183"/>
    <mergeCell ref="AZ6182:AZ6183"/>
    <mergeCell ref="F6183:H6183"/>
    <mergeCell ref="X6183:AB6183"/>
    <mergeCell ref="AE6183:AI6183"/>
    <mergeCell ref="AJ6183:AL6183"/>
    <mergeCell ref="AN6183:AO6183"/>
    <mergeCell ref="AP6183:AQ6183"/>
    <mergeCell ref="A6184:A6185"/>
    <mergeCell ref="E6184:E6185"/>
    <mergeCell ref="F6184:H6184"/>
    <mergeCell ref="J6184:J6185"/>
    <mergeCell ref="K6184:L6185"/>
    <mergeCell ref="M6184:N6185"/>
    <mergeCell ref="O6184:P6185"/>
    <mergeCell ref="Q6184:R6185"/>
    <mergeCell ref="S6184:T6185"/>
    <mergeCell ref="U6184:V6185"/>
    <mergeCell ref="W6184:W6185"/>
    <mergeCell ref="X6184:AB6184"/>
    <mergeCell ref="AD6184:AI6184"/>
    <mergeCell ref="AJ6184:AL6184"/>
    <mergeCell ref="AN6184:AO6184"/>
    <mergeCell ref="AP6184:AQ6184"/>
    <mergeCell ref="AR6184:AS6185"/>
    <mergeCell ref="AT6184:AU6185"/>
    <mergeCell ref="AV6184:AW6185"/>
    <mergeCell ref="AX6184:AY6185"/>
    <mergeCell ref="AZ6184:AZ6185"/>
    <mergeCell ref="F6185:H6185"/>
    <mergeCell ref="X6185:AB6185"/>
    <mergeCell ref="AE6185:AI6185"/>
    <mergeCell ref="AJ6185:AL6185"/>
    <mergeCell ref="AN6185:AO6185"/>
    <mergeCell ref="AP6185:AQ6185"/>
    <mergeCell ref="A6186:A6187"/>
    <mergeCell ref="E6186:E6187"/>
    <mergeCell ref="F6186:H6186"/>
    <mergeCell ref="J6186:J6187"/>
    <mergeCell ref="K6186:L6187"/>
    <mergeCell ref="M6186:N6187"/>
    <mergeCell ref="O6186:P6187"/>
    <mergeCell ref="Q6186:R6187"/>
    <mergeCell ref="S6186:T6187"/>
    <mergeCell ref="U6186:V6187"/>
    <mergeCell ref="W6186:W6187"/>
    <mergeCell ref="X6186:AB6186"/>
    <mergeCell ref="AD6186:AI6186"/>
    <mergeCell ref="AJ6186:AL6186"/>
    <mergeCell ref="AN6186:AO6186"/>
    <mergeCell ref="AP6186:AQ6186"/>
    <mergeCell ref="AR6186:AS6187"/>
    <mergeCell ref="AT6186:AU6187"/>
    <mergeCell ref="AV6186:AW6187"/>
    <mergeCell ref="AX6186:AY6187"/>
    <mergeCell ref="AZ6186:AZ6187"/>
    <mergeCell ref="F6187:H6187"/>
    <mergeCell ref="X6187:AB6187"/>
    <mergeCell ref="AE6187:AI6187"/>
    <mergeCell ref="AJ6187:AL6187"/>
    <mergeCell ref="AN6187:AO6187"/>
    <mergeCell ref="AP6187:AQ6187"/>
    <mergeCell ref="A6188:A6189"/>
    <mergeCell ref="E6188:E6189"/>
    <mergeCell ref="F6188:H6188"/>
    <mergeCell ref="J6188:J6189"/>
    <mergeCell ref="K6188:L6189"/>
    <mergeCell ref="M6188:N6189"/>
    <mergeCell ref="O6188:P6189"/>
    <mergeCell ref="Q6188:R6189"/>
    <mergeCell ref="S6188:T6189"/>
    <mergeCell ref="U6188:V6189"/>
    <mergeCell ref="W6188:W6189"/>
    <mergeCell ref="X6188:AB6188"/>
    <mergeCell ref="AD6188:AI6188"/>
    <mergeCell ref="AJ6188:AL6188"/>
    <mergeCell ref="AN6188:AO6188"/>
    <mergeCell ref="AP6188:AQ6188"/>
    <mergeCell ref="AR6188:AS6189"/>
    <mergeCell ref="AT6188:AU6189"/>
    <mergeCell ref="AV6188:AW6189"/>
    <mergeCell ref="AX6188:AY6189"/>
    <mergeCell ref="AZ6188:AZ6189"/>
    <mergeCell ref="F6189:H6189"/>
    <mergeCell ref="X6189:AB6189"/>
    <mergeCell ref="AE6189:AI6189"/>
    <mergeCell ref="AJ6189:AL6189"/>
    <mergeCell ref="AN6189:AO6189"/>
    <mergeCell ref="AP6189:AQ6189"/>
    <mergeCell ref="A6190:A6191"/>
    <mergeCell ref="E6190:E6191"/>
    <mergeCell ref="F6190:H6190"/>
    <mergeCell ref="J6190:J6191"/>
    <mergeCell ref="K6190:L6191"/>
    <mergeCell ref="M6190:N6191"/>
    <mergeCell ref="O6190:P6191"/>
    <mergeCell ref="Q6190:R6191"/>
    <mergeCell ref="S6190:T6191"/>
    <mergeCell ref="U6190:V6191"/>
    <mergeCell ref="W6190:W6191"/>
    <mergeCell ref="X6190:AB6190"/>
    <mergeCell ref="AD6190:AI6190"/>
    <mergeCell ref="AJ6190:AL6190"/>
    <mergeCell ref="AN6190:AO6190"/>
    <mergeCell ref="AP6190:AQ6190"/>
    <mergeCell ref="AR6190:AS6191"/>
    <mergeCell ref="AT6190:AU6191"/>
    <mergeCell ref="AV6190:AW6191"/>
    <mergeCell ref="AX6190:AY6191"/>
    <mergeCell ref="AZ6190:AZ6191"/>
    <mergeCell ref="F6191:H6191"/>
    <mergeCell ref="X6191:AB6191"/>
    <mergeCell ref="AE6191:AI6191"/>
    <mergeCell ref="AJ6191:AL6191"/>
    <mergeCell ref="AN6191:AO6191"/>
    <mergeCell ref="AP6191:AQ6191"/>
    <mergeCell ref="A6192:A6193"/>
    <mergeCell ref="E6192:E6193"/>
    <mergeCell ref="F6192:H6192"/>
    <mergeCell ref="J6192:J6193"/>
    <mergeCell ref="K6192:L6193"/>
    <mergeCell ref="M6192:N6193"/>
    <mergeCell ref="O6192:P6193"/>
    <mergeCell ref="Q6192:R6193"/>
    <mergeCell ref="S6192:T6193"/>
    <mergeCell ref="U6192:V6193"/>
    <mergeCell ref="W6192:W6193"/>
    <mergeCell ref="X6192:AB6192"/>
    <mergeCell ref="AD6192:AI6192"/>
    <mergeCell ref="AJ6192:AL6192"/>
    <mergeCell ref="AN6192:AO6192"/>
    <mergeCell ref="AP6192:AQ6192"/>
    <mergeCell ref="AR6192:AS6193"/>
    <mergeCell ref="AT6192:AU6193"/>
    <mergeCell ref="AV6192:AW6193"/>
    <mergeCell ref="AX6192:AY6193"/>
    <mergeCell ref="AZ6192:AZ6193"/>
    <mergeCell ref="F6193:H6193"/>
    <mergeCell ref="X6193:AB6193"/>
    <mergeCell ref="AE6193:AI6193"/>
    <mergeCell ref="AJ6193:AL6193"/>
    <mergeCell ref="AN6193:AO6193"/>
    <mergeCell ref="AP6193:AQ6193"/>
    <mergeCell ref="A6194:A6195"/>
    <mergeCell ref="E6194:E6195"/>
    <mergeCell ref="F6194:H6194"/>
    <mergeCell ref="J6194:J6195"/>
    <mergeCell ref="K6194:L6195"/>
    <mergeCell ref="M6194:N6195"/>
    <mergeCell ref="O6194:P6195"/>
    <mergeCell ref="Q6194:R6195"/>
    <mergeCell ref="S6194:T6195"/>
    <mergeCell ref="U6194:V6195"/>
    <mergeCell ref="W6194:W6195"/>
    <mergeCell ref="X6194:AB6194"/>
    <mergeCell ref="AD6194:AI6194"/>
    <mergeCell ref="AJ6194:AL6194"/>
    <mergeCell ref="AN6194:AO6194"/>
    <mergeCell ref="AP6194:AQ6194"/>
    <mergeCell ref="AR6194:AS6195"/>
    <mergeCell ref="AT6194:AU6195"/>
    <mergeCell ref="AV6194:AW6195"/>
    <mergeCell ref="AX6194:AY6195"/>
    <mergeCell ref="AZ6194:AZ6195"/>
    <mergeCell ref="F6195:H6195"/>
    <mergeCell ref="X6195:AB6195"/>
    <mergeCell ref="AE6195:AI6195"/>
    <mergeCell ref="AJ6195:AL6195"/>
    <mergeCell ref="AN6195:AO6195"/>
    <mergeCell ref="AP6195:AQ6195"/>
    <mergeCell ref="A6196:A6197"/>
    <mergeCell ref="E6196:E6197"/>
    <mergeCell ref="F6196:H6196"/>
    <mergeCell ref="J6196:J6197"/>
    <mergeCell ref="K6196:L6197"/>
    <mergeCell ref="M6196:N6197"/>
    <mergeCell ref="O6196:P6197"/>
    <mergeCell ref="Q6196:R6197"/>
    <mergeCell ref="S6196:T6197"/>
    <mergeCell ref="U6196:V6197"/>
    <mergeCell ref="W6196:W6197"/>
    <mergeCell ref="X6196:AB6196"/>
    <mergeCell ref="AD6196:AI6196"/>
    <mergeCell ref="AJ6196:AL6196"/>
    <mergeCell ref="AN6196:AO6196"/>
    <mergeCell ref="AP6196:AQ6196"/>
    <mergeCell ref="AR6196:AS6197"/>
    <mergeCell ref="AT6196:AU6197"/>
    <mergeCell ref="AV6196:AW6197"/>
    <mergeCell ref="AX6196:AY6197"/>
    <mergeCell ref="AZ6196:AZ6197"/>
    <mergeCell ref="F6197:H6197"/>
    <mergeCell ref="X6197:AB6197"/>
    <mergeCell ref="AE6197:AI6197"/>
    <mergeCell ref="AJ6197:AL6197"/>
    <mergeCell ref="AN6197:AO6197"/>
    <mergeCell ref="AP6197:AQ6197"/>
    <mergeCell ref="AZ6204:AZ6205"/>
    <mergeCell ref="F6205:H6205"/>
    <mergeCell ref="X6205:AB6205"/>
    <mergeCell ref="AE6205:AI6205"/>
    <mergeCell ref="AJ6205:AL6205"/>
    <mergeCell ref="AN6205:AO6205"/>
    <mergeCell ref="AP6205:AQ6205"/>
    <mergeCell ref="A6198:A6199"/>
    <mergeCell ref="E6198:E6199"/>
    <mergeCell ref="F6198:H6198"/>
    <mergeCell ref="J6198:J6199"/>
    <mergeCell ref="K6198:L6199"/>
    <mergeCell ref="M6198:N6199"/>
    <mergeCell ref="O6198:P6199"/>
    <mergeCell ref="Q6198:R6199"/>
    <mergeCell ref="S6198:T6199"/>
    <mergeCell ref="U6198:V6199"/>
    <mergeCell ref="W6198:W6199"/>
    <mergeCell ref="X6198:AB6198"/>
    <mergeCell ref="AD6198:AI6198"/>
    <mergeCell ref="AJ6198:AL6198"/>
    <mergeCell ref="AN6198:AO6198"/>
    <mergeCell ref="AP6198:AQ6198"/>
    <mergeCell ref="AR6198:AS6199"/>
    <mergeCell ref="AT6198:AU6199"/>
    <mergeCell ref="AV6198:AW6199"/>
    <mergeCell ref="AX6198:AY6199"/>
    <mergeCell ref="AZ6198:AZ6199"/>
    <mergeCell ref="F6199:H6199"/>
    <mergeCell ref="X6199:AB6199"/>
    <mergeCell ref="AE6199:AI6199"/>
    <mergeCell ref="AJ6199:AL6199"/>
    <mergeCell ref="AN6199:AO6199"/>
    <mergeCell ref="AP6199:AQ6199"/>
    <mergeCell ref="A6200:A6201"/>
    <mergeCell ref="E6200:E6201"/>
    <mergeCell ref="F6200:H6200"/>
    <mergeCell ref="J6200:J6201"/>
    <mergeCell ref="K6200:L6201"/>
    <mergeCell ref="M6200:N6201"/>
    <mergeCell ref="O6200:P6201"/>
    <mergeCell ref="Q6200:R6201"/>
    <mergeCell ref="S6200:T6201"/>
    <mergeCell ref="U6200:V6201"/>
    <mergeCell ref="W6200:W6201"/>
    <mergeCell ref="X6200:AB6200"/>
    <mergeCell ref="AD6200:AI6200"/>
    <mergeCell ref="AJ6200:AL6200"/>
    <mergeCell ref="AN6200:AO6200"/>
    <mergeCell ref="AP6200:AQ6200"/>
    <mergeCell ref="AR6200:AS6201"/>
    <mergeCell ref="AT6200:AU6201"/>
    <mergeCell ref="AV6200:AW6201"/>
    <mergeCell ref="AX6200:AY6201"/>
    <mergeCell ref="AZ6200:AZ6201"/>
    <mergeCell ref="F6201:H6201"/>
    <mergeCell ref="X6201:AB6201"/>
    <mergeCell ref="AE6201:AI6201"/>
    <mergeCell ref="AJ6201:AL6201"/>
    <mergeCell ref="AN6201:AO6201"/>
    <mergeCell ref="AP6201:AQ6201"/>
    <mergeCell ref="W6208:W6209"/>
    <mergeCell ref="X6208:AB6208"/>
    <mergeCell ref="AD6208:AI6208"/>
    <mergeCell ref="AJ6208:AL6208"/>
    <mergeCell ref="AN6208:AO6208"/>
    <mergeCell ref="AP6208:AQ6208"/>
    <mergeCell ref="AR6208:AS6209"/>
    <mergeCell ref="AT6208:AU6209"/>
    <mergeCell ref="AV6208:AW6209"/>
    <mergeCell ref="AX6208:AY6209"/>
    <mergeCell ref="AZ6208:AZ6209"/>
    <mergeCell ref="F6209:H6209"/>
    <mergeCell ref="X6209:AB6209"/>
    <mergeCell ref="AE6209:AI6209"/>
    <mergeCell ref="AJ6209:AL6209"/>
    <mergeCell ref="AN6209:AO6209"/>
    <mergeCell ref="AP6209:AQ6209"/>
    <mergeCell ref="A6202:A6203"/>
    <mergeCell ref="E6202:E6203"/>
    <mergeCell ref="F6202:H6202"/>
    <mergeCell ref="J6202:J6203"/>
    <mergeCell ref="K6202:L6203"/>
    <mergeCell ref="M6202:N6203"/>
    <mergeCell ref="O6202:P6203"/>
    <mergeCell ref="Q6202:R6203"/>
    <mergeCell ref="S6202:T6203"/>
    <mergeCell ref="U6202:V6203"/>
    <mergeCell ref="W6202:W6203"/>
    <mergeCell ref="X6202:AB6202"/>
    <mergeCell ref="AD6202:AI6202"/>
    <mergeCell ref="AJ6202:AL6202"/>
    <mergeCell ref="AN6202:AO6202"/>
    <mergeCell ref="AP6202:AQ6202"/>
    <mergeCell ref="AR6202:AS6203"/>
    <mergeCell ref="AT6202:AU6203"/>
    <mergeCell ref="AV6202:AW6203"/>
    <mergeCell ref="AX6202:AY6203"/>
    <mergeCell ref="AZ6202:AZ6203"/>
    <mergeCell ref="F6203:H6203"/>
    <mergeCell ref="X6203:AB6203"/>
    <mergeCell ref="AE6203:AI6203"/>
    <mergeCell ref="AJ6203:AL6203"/>
    <mergeCell ref="AN6203:AO6203"/>
    <mergeCell ref="AP6203:AQ6203"/>
    <mergeCell ref="A6204:A6205"/>
    <mergeCell ref="E6204:E6205"/>
    <mergeCell ref="F6204:H6204"/>
    <mergeCell ref="J6204:J6205"/>
    <mergeCell ref="K6204:L6205"/>
    <mergeCell ref="M6204:N6205"/>
    <mergeCell ref="O6204:P6205"/>
    <mergeCell ref="Q6204:R6205"/>
    <mergeCell ref="S6204:T6205"/>
    <mergeCell ref="U6204:V6205"/>
    <mergeCell ref="W6204:W6205"/>
    <mergeCell ref="X6204:AB6204"/>
    <mergeCell ref="AD6204:AI6204"/>
    <mergeCell ref="AJ6204:AL6204"/>
    <mergeCell ref="AN6204:AO6204"/>
    <mergeCell ref="AP6204:AQ6204"/>
    <mergeCell ref="AR6204:AS6205"/>
    <mergeCell ref="AT6204:AU6205"/>
    <mergeCell ref="AV6204:AW6205"/>
    <mergeCell ref="AX6204:AY6205"/>
    <mergeCell ref="A6210:A6211"/>
    <mergeCell ref="E6210:E6211"/>
    <mergeCell ref="F6210:H6210"/>
    <mergeCell ref="J6210:J6211"/>
    <mergeCell ref="K6210:L6211"/>
    <mergeCell ref="M6210:N6211"/>
    <mergeCell ref="O6210:P6211"/>
    <mergeCell ref="Q6210:R6211"/>
    <mergeCell ref="S6210:T6211"/>
    <mergeCell ref="U6210:V6211"/>
    <mergeCell ref="W6210:W6211"/>
    <mergeCell ref="X6210:AB6210"/>
    <mergeCell ref="AD6210:AI6210"/>
    <mergeCell ref="AJ6210:AL6210"/>
    <mergeCell ref="AN6210:AO6210"/>
    <mergeCell ref="AP6210:AQ6210"/>
    <mergeCell ref="AR6210:AS6211"/>
    <mergeCell ref="AT6210:AU6211"/>
    <mergeCell ref="AV6210:AW6211"/>
    <mergeCell ref="AX6210:AY6211"/>
    <mergeCell ref="AZ6210:AZ6211"/>
    <mergeCell ref="F6211:H6211"/>
    <mergeCell ref="X6211:AB6211"/>
    <mergeCell ref="AE6211:AI6211"/>
    <mergeCell ref="AJ6211:AL6211"/>
    <mergeCell ref="AN6211:AO6211"/>
    <mergeCell ref="AP6211:AQ6211"/>
    <mergeCell ref="A6206:A6207"/>
    <mergeCell ref="E6206:E6207"/>
    <mergeCell ref="F6206:H6206"/>
    <mergeCell ref="J6206:J6207"/>
    <mergeCell ref="K6206:L6207"/>
    <mergeCell ref="M6206:N6207"/>
    <mergeCell ref="O6206:P6207"/>
    <mergeCell ref="Q6206:R6207"/>
    <mergeCell ref="S6206:T6207"/>
    <mergeCell ref="U6206:V6207"/>
    <mergeCell ref="W6206:W6207"/>
    <mergeCell ref="X6206:AB6206"/>
    <mergeCell ref="AD6206:AI6206"/>
    <mergeCell ref="AJ6206:AL6206"/>
    <mergeCell ref="AN6206:AO6206"/>
    <mergeCell ref="AP6206:AQ6206"/>
    <mergeCell ref="AR6206:AS6207"/>
    <mergeCell ref="AT6206:AU6207"/>
    <mergeCell ref="AV6206:AW6207"/>
    <mergeCell ref="AX6206:AY6207"/>
    <mergeCell ref="AZ6206:AZ6207"/>
    <mergeCell ref="F6207:H6207"/>
    <mergeCell ref="X6207:AB6207"/>
    <mergeCell ref="AE6207:AI6207"/>
    <mergeCell ref="AJ6207:AL6207"/>
    <mergeCell ref="AN6207:AO6207"/>
    <mergeCell ref="AP6207:AQ6207"/>
    <mergeCell ref="A6208:A6209"/>
    <mergeCell ref="E6208:E6209"/>
    <mergeCell ref="F6208:H6208"/>
    <mergeCell ref="J6208:J6209"/>
    <mergeCell ref="K6208:L6209"/>
    <mergeCell ref="M6208:N6209"/>
    <mergeCell ref="O6208:P6209"/>
    <mergeCell ref="Q6208:R6209"/>
    <mergeCell ref="S6208:T6209"/>
    <mergeCell ref="U6208:V6209"/>
    <mergeCell ref="A6212:A6213"/>
    <mergeCell ref="E6212:E6213"/>
    <mergeCell ref="F6212:H6212"/>
    <mergeCell ref="J6212:J6213"/>
    <mergeCell ref="K6212:L6213"/>
    <mergeCell ref="M6212:N6213"/>
    <mergeCell ref="O6212:P6213"/>
    <mergeCell ref="Q6212:R6213"/>
    <mergeCell ref="S6212:T6213"/>
    <mergeCell ref="U6212:V6213"/>
    <mergeCell ref="W6212:W6213"/>
    <mergeCell ref="X6212:AB6212"/>
    <mergeCell ref="AD6212:AI6212"/>
    <mergeCell ref="AJ6212:AL6212"/>
    <mergeCell ref="AN6212:AO6212"/>
    <mergeCell ref="AP6212:AQ6212"/>
    <mergeCell ref="AR6212:AS6213"/>
    <mergeCell ref="AT6212:AU6213"/>
    <mergeCell ref="AV6212:AW6213"/>
    <mergeCell ref="AX6212:AY6213"/>
    <mergeCell ref="AZ6212:AZ6213"/>
    <mergeCell ref="F6213:H6213"/>
    <mergeCell ref="X6213:AB6213"/>
    <mergeCell ref="AE6213:AI6213"/>
    <mergeCell ref="AJ6213:AL6213"/>
    <mergeCell ref="AN6213:AO6213"/>
    <mergeCell ref="AP6213:AQ6213"/>
    <mergeCell ref="A6214:A6215"/>
    <mergeCell ref="E6214:E6215"/>
    <mergeCell ref="F6214:H6214"/>
    <mergeCell ref="J6214:J6215"/>
    <mergeCell ref="K6214:L6215"/>
    <mergeCell ref="M6214:N6215"/>
    <mergeCell ref="O6214:P6215"/>
    <mergeCell ref="Q6214:R6215"/>
    <mergeCell ref="S6214:T6215"/>
    <mergeCell ref="U6214:V6215"/>
    <mergeCell ref="W6214:W6215"/>
    <mergeCell ref="X6214:AB6214"/>
    <mergeCell ref="AD6214:AI6214"/>
    <mergeCell ref="AJ6214:AL6214"/>
    <mergeCell ref="AN6214:AO6214"/>
    <mergeCell ref="AP6214:AQ6214"/>
    <mergeCell ref="AR6214:AS6215"/>
    <mergeCell ref="AT6214:AU6215"/>
    <mergeCell ref="AV6214:AW6215"/>
    <mergeCell ref="AX6214:AY6215"/>
    <mergeCell ref="AZ6214:AZ6215"/>
    <mergeCell ref="F6215:H6215"/>
    <mergeCell ref="X6215:AB6215"/>
    <mergeCell ref="AE6215:AI6215"/>
    <mergeCell ref="AJ6215:AL6215"/>
    <mergeCell ref="AN6215:AO6215"/>
    <mergeCell ref="AP6215:AQ6215"/>
    <mergeCell ref="A6216:A6217"/>
    <mergeCell ref="E6216:E6217"/>
    <mergeCell ref="F6216:H6216"/>
    <mergeCell ref="J6216:J6217"/>
    <mergeCell ref="K6216:L6217"/>
    <mergeCell ref="M6216:N6217"/>
    <mergeCell ref="O6216:P6217"/>
    <mergeCell ref="Q6216:R6217"/>
    <mergeCell ref="S6216:T6217"/>
    <mergeCell ref="U6216:V6217"/>
    <mergeCell ref="W6216:W6217"/>
    <mergeCell ref="X6216:AB6216"/>
    <mergeCell ref="AD6216:AI6216"/>
    <mergeCell ref="AJ6216:AL6216"/>
    <mergeCell ref="AN6216:AO6216"/>
    <mergeCell ref="AP6216:AQ6216"/>
    <mergeCell ref="AR6216:AS6217"/>
    <mergeCell ref="AT6216:AU6217"/>
    <mergeCell ref="AV6216:AW6217"/>
    <mergeCell ref="AX6216:AY6217"/>
    <mergeCell ref="AZ6216:AZ6217"/>
    <mergeCell ref="F6217:H6217"/>
    <mergeCell ref="X6217:AB6217"/>
    <mergeCell ref="AE6217:AI6217"/>
    <mergeCell ref="AJ6217:AL6217"/>
    <mergeCell ref="AN6217:AO6217"/>
    <mergeCell ref="AP6217:AQ6217"/>
    <mergeCell ref="A6218:A6219"/>
    <mergeCell ref="E6218:E6219"/>
    <mergeCell ref="F6218:H6218"/>
    <mergeCell ref="J6218:J6219"/>
    <mergeCell ref="K6218:L6219"/>
    <mergeCell ref="M6218:N6219"/>
    <mergeCell ref="O6218:P6219"/>
    <mergeCell ref="Q6218:R6219"/>
    <mergeCell ref="S6218:T6219"/>
    <mergeCell ref="U6218:V6219"/>
    <mergeCell ref="W6218:W6219"/>
    <mergeCell ref="X6218:AB6218"/>
    <mergeCell ref="AD6218:AI6218"/>
    <mergeCell ref="AJ6218:AL6218"/>
    <mergeCell ref="AN6218:AO6218"/>
    <mergeCell ref="AP6218:AQ6218"/>
    <mergeCell ref="AR6218:AS6219"/>
    <mergeCell ref="AT6218:AU6219"/>
    <mergeCell ref="AV6218:AW6219"/>
    <mergeCell ref="AX6218:AY6219"/>
    <mergeCell ref="AZ6218:AZ6219"/>
    <mergeCell ref="F6219:H6219"/>
    <mergeCell ref="X6219:AB6219"/>
    <mergeCell ref="AE6219:AI6219"/>
    <mergeCell ref="AJ6219:AL6219"/>
    <mergeCell ref="AN6219:AO6219"/>
    <mergeCell ref="AP6219:AQ6219"/>
    <mergeCell ref="A6220:A6221"/>
    <mergeCell ref="E6220:E6221"/>
    <mergeCell ref="F6220:H6220"/>
    <mergeCell ref="J6220:J6221"/>
    <mergeCell ref="K6220:L6221"/>
    <mergeCell ref="M6220:N6221"/>
    <mergeCell ref="O6220:P6221"/>
    <mergeCell ref="Q6220:R6221"/>
    <mergeCell ref="S6220:T6221"/>
    <mergeCell ref="U6220:V6221"/>
    <mergeCell ref="W6220:W6221"/>
    <mergeCell ref="X6220:AB6220"/>
    <mergeCell ref="AD6220:AI6220"/>
    <mergeCell ref="AJ6220:AL6220"/>
    <mergeCell ref="AN6220:AO6220"/>
    <mergeCell ref="AP6220:AQ6220"/>
    <mergeCell ref="AR6220:AS6221"/>
    <mergeCell ref="AT6220:AU6221"/>
    <mergeCell ref="AV6220:AW6221"/>
    <mergeCell ref="AX6220:AY6221"/>
    <mergeCell ref="AZ6220:AZ6221"/>
    <mergeCell ref="F6221:H6221"/>
    <mergeCell ref="X6221:AB6221"/>
    <mergeCell ref="AE6221:AI6221"/>
    <mergeCell ref="AJ6221:AL6221"/>
    <mergeCell ref="AN6221:AO6221"/>
    <mergeCell ref="AP6221:AQ6221"/>
    <mergeCell ref="A6222:A6223"/>
    <mergeCell ref="E6222:E6223"/>
    <mergeCell ref="F6222:H6222"/>
    <mergeCell ref="J6222:J6223"/>
    <mergeCell ref="K6222:L6223"/>
    <mergeCell ref="M6222:N6223"/>
    <mergeCell ref="O6222:P6223"/>
    <mergeCell ref="Q6222:R6223"/>
    <mergeCell ref="S6222:T6223"/>
    <mergeCell ref="U6222:V6223"/>
    <mergeCell ref="W6222:W6223"/>
    <mergeCell ref="X6222:AB6222"/>
    <mergeCell ref="AD6222:AI6222"/>
    <mergeCell ref="AJ6222:AL6222"/>
    <mergeCell ref="AN6222:AO6222"/>
    <mergeCell ref="AP6222:AQ6222"/>
    <mergeCell ref="AR6222:AS6223"/>
    <mergeCell ref="AT6222:AU6223"/>
    <mergeCell ref="AV6222:AW6223"/>
    <mergeCell ref="AX6222:AY6223"/>
    <mergeCell ref="AZ6222:AZ6223"/>
    <mergeCell ref="F6223:H6223"/>
    <mergeCell ref="X6223:AB6223"/>
    <mergeCell ref="AE6223:AI6223"/>
    <mergeCell ref="AJ6223:AL6223"/>
    <mergeCell ref="AN6223:AO6223"/>
    <mergeCell ref="AP6223:AQ6223"/>
    <mergeCell ref="A6224:A6225"/>
    <mergeCell ref="E6224:E6225"/>
    <mergeCell ref="F6224:H6224"/>
    <mergeCell ref="J6224:J6225"/>
    <mergeCell ref="K6224:L6225"/>
    <mergeCell ref="M6224:N6225"/>
    <mergeCell ref="O6224:P6225"/>
    <mergeCell ref="Q6224:R6225"/>
    <mergeCell ref="S6224:T6225"/>
    <mergeCell ref="U6224:V6225"/>
    <mergeCell ref="W6224:W6225"/>
    <mergeCell ref="X6224:AB6224"/>
    <mergeCell ref="AD6224:AI6224"/>
    <mergeCell ref="AJ6224:AL6224"/>
    <mergeCell ref="AN6224:AO6224"/>
    <mergeCell ref="AP6224:AQ6224"/>
    <mergeCell ref="AR6224:AS6225"/>
    <mergeCell ref="AT6224:AU6225"/>
    <mergeCell ref="AV6224:AW6225"/>
    <mergeCell ref="AX6224:AY6225"/>
    <mergeCell ref="AZ6224:AZ6225"/>
    <mergeCell ref="F6225:H6225"/>
    <mergeCell ref="X6225:AB6225"/>
    <mergeCell ref="AE6225:AI6225"/>
    <mergeCell ref="AJ6225:AL6225"/>
    <mergeCell ref="AN6225:AO6225"/>
    <mergeCell ref="AP6225:AQ6225"/>
    <mergeCell ref="A6226:A6227"/>
    <mergeCell ref="E6226:E6227"/>
    <mergeCell ref="F6226:H6226"/>
    <mergeCell ref="J6226:J6227"/>
    <mergeCell ref="K6226:L6227"/>
    <mergeCell ref="M6226:N6227"/>
    <mergeCell ref="O6226:P6227"/>
    <mergeCell ref="Q6226:R6227"/>
    <mergeCell ref="S6226:T6227"/>
    <mergeCell ref="U6226:V6227"/>
    <mergeCell ref="W6226:W6227"/>
    <mergeCell ref="X6226:AB6226"/>
    <mergeCell ref="AD6226:AI6226"/>
    <mergeCell ref="AJ6226:AL6226"/>
    <mergeCell ref="AN6226:AO6226"/>
    <mergeCell ref="AP6226:AQ6226"/>
    <mergeCell ref="AR6226:AS6227"/>
    <mergeCell ref="AT6226:AU6227"/>
    <mergeCell ref="AV6226:AW6227"/>
    <mergeCell ref="AX6226:AY6227"/>
    <mergeCell ref="AZ6226:AZ6227"/>
    <mergeCell ref="F6227:H6227"/>
    <mergeCell ref="X6227:AB6227"/>
    <mergeCell ref="AE6227:AI6227"/>
    <mergeCell ref="AJ6227:AL6227"/>
    <mergeCell ref="AN6227:AO6227"/>
    <mergeCell ref="AP6227:AQ6227"/>
    <mergeCell ref="A6228:A6229"/>
    <mergeCell ref="E6228:E6229"/>
    <mergeCell ref="F6228:H6228"/>
    <mergeCell ref="J6228:J6229"/>
    <mergeCell ref="K6228:L6229"/>
    <mergeCell ref="M6228:N6229"/>
    <mergeCell ref="O6228:P6229"/>
    <mergeCell ref="Q6228:R6229"/>
    <mergeCell ref="S6228:T6229"/>
    <mergeCell ref="U6228:V6229"/>
    <mergeCell ref="W6228:W6229"/>
    <mergeCell ref="X6228:AB6228"/>
    <mergeCell ref="AD6228:AI6228"/>
    <mergeCell ref="AJ6228:AL6228"/>
    <mergeCell ref="AN6228:AO6228"/>
    <mergeCell ref="AP6228:AQ6228"/>
    <mergeCell ref="AR6228:AS6229"/>
    <mergeCell ref="AT6228:AU6229"/>
    <mergeCell ref="AV6228:AW6229"/>
    <mergeCell ref="AX6228:AY6229"/>
    <mergeCell ref="AZ6228:AZ6229"/>
    <mergeCell ref="F6229:H6229"/>
    <mergeCell ref="X6229:AB6229"/>
    <mergeCell ref="AE6229:AI6229"/>
    <mergeCell ref="AJ6229:AL6229"/>
    <mergeCell ref="AN6229:AO6229"/>
    <mergeCell ref="AP6229:AQ6229"/>
    <mergeCell ref="A6230:A6231"/>
    <mergeCell ref="E6230:E6231"/>
    <mergeCell ref="F6230:H6230"/>
    <mergeCell ref="J6230:J6231"/>
    <mergeCell ref="K6230:L6231"/>
    <mergeCell ref="M6230:N6231"/>
    <mergeCell ref="O6230:P6231"/>
    <mergeCell ref="Q6230:R6231"/>
    <mergeCell ref="S6230:T6231"/>
    <mergeCell ref="U6230:V6231"/>
    <mergeCell ref="W6230:W6231"/>
    <mergeCell ref="X6230:AB6230"/>
    <mergeCell ref="AD6230:AI6230"/>
    <mergeCell ref="AJ6230:AL6230"/>
    <mergeCell ref="AN6230:AO6230"/>
    <mergeCell ref="AP6230:AQ6230"/>
    <mergeCell ref="AR6230:AS6231"/>
    <mergeCell ref="AT6230:AU6231"/>
    <mergeCell ref="AV6230:AW6231"/>
    <mergeCell ref="AX6230:AY6231"/>
    <mergeCell ref="AZ6230:AZ6231"/>
    <mergeCell ref="F6231:H6231"/>
    <mergeCell ref="X6231:AB6231"/>
    <mergeCell ref="AE6231:AI6231"/>
    <mergeCell ref="AJ6231:AL6231"/>
    <mergeCell ref="AN6231:AO6231"/>
    <mergeCell ref="AP6231:AQ6231"/>
    <mergeCell ref="A6232:A6233"/>
    <mergeCell ref="E6232:E6233"/>
    <mergeCell ref="F6232:H6232"/>
    <mergeCell ref="J6232:J6233"/>
    <mergeCell ref="K6232:L6233"/>
    <mergeCell ref="M6232:N6233"/>
    <mergeCell ref="O6232:P6233"/>
    <mergeCell ref="Q6232:R6233"/>
    <mergeCell ref="S6232:T6233"/>
    <mergeCell ref="U6232:V6233"/>
    <mergeCell ref="W6232:W6233"/>
    <mergeCell ref="X6232:AB6232"/>
    <mergeCell ref="AD6232:AI6232"/>
    <mergeCell ref="AJ6232:AL6232"/>
    <mergeCell ref="AN6232:AO6232"/>
    <mergeCell ref="AP6232:AQ6232"/>
    <mergeCell ref="AR6232:AS6233"/>
    <mergeCell ref="AT6232:AU6233"/>
    <mergeCell ref="AV6232:AW6233"/>
    <mergeCell ref="AX6232:AY6233"/>
    <mergeCell ref="AZ6232:AZ6233"/>
    <mergeCell ref="F6233:H6233"/>
    <mergeCell ref="X6233:AB6233"/>
    <mergeCell ref="AE6233:AI6233"/>
    <mergeCell ref="AJ6233:AL6233"/>
    <mergeCell ref="AN6233:AO6233"/>
    <mergeCell ref="AP6233:AQ6233"/>
    <mergeCell ref="A6234:A6235"/>
    <mergeCell ref="E6234:E6235"/>
    <mergeCell ref="F6234:H6234"/>
    <mergeCell ref="J6234:J6235"/>
    <mergeCell ref="K6234:L6235"/>
    <mergeCell ref="M6234:N6235"/>
    <mergeCell ref="O6234:P6235"/>
    <mergeCell ref="Q6234:R6235"/>
    <mergeCell ref="S6234:T6235"/>
    <mergeCell ref="U6234:V6235"/>
    <mergeCell ref="W6234:W6235"/>
    <mergeCell ref="X6234:AB6234"/>
    <mergeCell ref="AD6234:AI6234"/>
    <mergeCell ref="AJ6234:AL6234"/>
    <mergeCell ref="AN6234:AO6234"/>
    <mergeCell ref="AP6234:AQ6234"/>
    <mergeCell ref="AR6234:AS6235"/>
    <mergeCell ref="AT6234:AU6235"/>
    <mergeCell ref="AV6234:AW6235"/>
    <mergeCell ref="AX6234:AY6235"/>
    <mergeCell ref="AZ6234:AZ6235"/>
    <mergeCell ref="F6235:H6235"/>
    <mergeCell ref="X6235:AB6235"/>
    <mergeCell ref="AE6235:AI6235"/>
    <mergeCell ref="AJ6235:AL6235"/>
    <mergeCell ref="AN6235:AO6235"/>
    <mergeCell ref="AP6235:AQ6235"/>
    <mergeCell ref="A6236:A6237"/>
    <mergeCell ref="E6236:E6237"/>
    <mergeCell ref="F6236:H6236"/>
    <mergeCell ref="J6236:J6237"/>
    <mergeCell ref="K6236:L6237"/>
    <mergeCell ref="M6236:N6237"/>
    <mergeCell ref="O6236:P6237"/>
    <mergeCell ref="Q6236:R6237"/>
    <mergeCell ref="S6236:T6237"/>
    <mergeCell ref="U6236:V6237"/>
    <mergeCell ref="W6236:W6237"/>
    <mergeCell ref="X6236:AB6236"/>
    <mergeCell ref="AD6236:AI6236"/>
    <mergeCell ref="AJ6236:AL6236"/>
    <mergeCell ref="AN6236:AO6236"/>
    <mergeCell ref="AP6236:AQ6236"/>
    <mergeCell ref="AR6236:AS6237"/>
    <mergeCell ref="AT6236:AU6237"/>
    <mergeCell ref="AV6236:AW6237"/>
    <mergeCell ref="AX6236:AY6237"/>
    <mergeCell ref="AZ6236:AZ6237"/>
    <mergeCell ref="F6237:H6237"/>
    <mergeCell ref="X6237:AB6237"/>
    <mergeCell ref="AE6237:AI6237"/>
    <mergeCell ref="AJ6237:AL6237"/>
    <mergeCell ref="AN6237:AO6237"/>
    <mergeCell ref="AP6237:AQ6237"/>
    <mergeCell ref="A6238:A6239"/>
    <mergeCell ref="E6238:E6239"/>
    <mergeCell ref="F6238:H6238"/>
    <mergeCell ref="J6238:J6239"/>
    <mergeCell ref="K6238:L6239"/>
    <mergeCell ref="M6238:N6239"/>
    <mergeCell ref="O6238:P6239"/>
    <mergeCell ref="Q6238:R6239"/>
    <mergeCell ref="S6238:T6239"/>
    <mergeCell ref="U6238:V6239"/>
    <mergeCell ref="W6238:W6239"/>
    <mergeCell ref="X6238:AB6238"/>
    <mergeCell ref="AD6238:AI6238"/>
    <mergeCell ref="AJ6238:AL6238"/>
    <mergeCell ref="AN6238:AO6238"/>
    <mergeCell ref="AP6238:AQ6238"/>
    <mergeCell ref="AR6238:AS6239"/>
    <mergeCell ref="AT6238:AU6239"/>
    <mergeCell ref="AV6238:AW6239"/>
    <mergeCell ref="AX6238:AY6239"/>
    <mergeCell ref="AZ6238:AZ6239"/>
    <mergeCell ref="F6239:H6239"/>
    <mergeCell ref="X6239:AB6239"/>
    <mergeCell ref="AE6239:AI6239"/>
    <mergeCell ref="AJ6239:AL6239"/>
    <mergeCell ref="AN6239:AO6239"/>
    <mergeCell ref="AP6239:AQ6239"/>
    <mergeCell ref="A6240:A6241"/>
    <mergeCell ref="E6240:E6241"/>
    <mergeCell ref="F6240:H6240"/>
    <mergeCell ref="J6240:J6241"/>
    <mergeCell ref="K6240:L6241"/>
    <mergeCell ref="M6240:N6241"/>
    <mergeCell ref="O6240:P6241"/>
    <mergeCell ref="Q6240:R6241"/>
    <mergeCell ref="S6240:T6241"/>
    <mergeCell ref="U6240:V6241"/>
    <mergeCell ref="W6240:W6241"/>
    <mergeCell ref="X6240:AB6240"/>
    <mergeCell ref="AD6240:AI6240"/>
    <mergeCell ref="AJ6240:AL6240"/>
    <mergeCell ref="AN6240:AO6240"/>
    <mergeCell ref="AP6240:AQ6240"/>
    <mergeCell ref="AR6240:AS6241"/>
    <mergeCell ref="AT6240:AU6241"/>
    <mergeCell ref="AV6240:AW6241"/>
    <mergeCell ref="AX6240:AY6241"/>
    <mergeCell ref="AZ6240:AZ6241"/>
    <mergeCell ref="F6241:H6241"/>
    <mergeCell ref="X6241:AB6241"/>
    <mergeCell ref="AE6241:AI6241"/>
    <mergeCell ref="AJ6241:AL6241"/>
    <mergeCell ref="AN6241:AO6241"/>
    <mergeCell ref="AP6241:AQ6241"/>
    <mergeCell ref="A6242:A6243"/>
    <mergeCell ref="E6242:E6243"/>
    <mergeCell ref="F6242:H6242"/>
    <mergeCell ref="J6242:J6243"/>
    <mergeCell ref="K6242:L6243"/>
    <mergeCell ref="M6242:N6243"/>
    <mergeCell ref="O6242:P6243"/>
    <mergeCell ref="Q6242:R6243"/>
    <mergeCell ref="S6242:T6243"/>
    <mergeCell ref="U6242:V6243"/>
    <mergeCell ref="W6242:W6243"/>
    <mergeCell ref="X6242:AB6242"/>
    <mergeCell ref="AD6242:AI6242"/>
    <mergeCell ref="AJ6242:AL6242"/>
    <mergeCell ref="AN6242:AO6242"/>
    <mergeCell ref="AP6242:AQ6242"/>
    <mergeCell ref="AR6242:AS6243"/>
    <mergeCell ref="AT6242:AU6243"/>
    <mergeCell ref="AV6242:AW6243"/>
    <mergeCell ref="AX6242:AY6243"/>
    <mergeCell ref="AZ6242:AZ6243"/>
    <mergeCell ref="F6243:H6243"/>
    <mergeCell ref="X6243:AB6243"/>
    <mergeCell ref="AE6243:AI6243"/>
    <mergeCell ref="AJ6243:AL6243"/>
    <mergeCell ref="AN6243:AO6243"/>
    <mergeCell ref="AP6243:AQ6243"/>
    <mergeCell ref="A6244:A6245"/>
    <mergeCell ref="E6244:E6245"/>
    <mergeCell ref="F6244:H6244"/>
    <mergeCell ref="J6244:J6245"/>
    <mergeCell ref="K6244:L6245"/>
    <mergeCell ref="M6244:N6245"/>
    <mergeCell ref="O6244:P6245"/>
    <mergeCell ref="Q6244:R6245"/>
    <mergeCell ref="S6244:T6245"/>
    <mergeCell ref="U6244:V6245"/>
    <mergeCell ref="W6244:W6245"/>
    <mergeCell ref="X6244:AB6244"/>
    <mergeCell ref="AD6244:AI6244"/>
    <mergeCell ref="AJ6244:AL6244"/>
    <mergeCell ref="AN6244:AO6244"/>
    <mergeCell ref="AP6244:AQ6244"/>
    <mergeCell ref="AR6244:AS6245"/>
    <mergeCell ref="AT6244:AU6245"/>
    <mergeCell ref="AV6244:AW6245"/>
    <mergeCell ref="AX6244:AY6245"/>
    <mergeCell ref="AZ6244:AZ6245"/>
    <mergeCell ref="F6245:H6245"/>
    <mergeCell ref="X6245:AB6245"/>
    <mergeCell ref="AE6245:AI6245"/>
    <mergeCell ref="AJ6245:AL6245"/>
    <mergeCell ref="AN6245:AO6245"/>
    <mergeCell ref="AP6245:AQ6245"/>
    <mergeCell ref="A6246:A6247"/>
    <mergeCell ref="E6246:E6247"/>
    <mergeCell ref="F6246:H6246"/>
    <mergeCell ref="J6246:J6247"/>
    <mergeCell ref="K6246:L6247"/>
    <mergeCell ref="M6246:N6247"/>
    <mergeCell ref="O6246:P6247"/>
    <mergeCell ref="Q6246:R6247"/>
    <mergeCell ref="S6246:T6247"/>
    <mergeCell ref="U6246:V6247"/>
    <mergeCell ref="W6246:W6247"/>
    <mergeCell ref="X6246:AB6246"/>
    <mergeCell ref="AD6246:AI6246"/>
    <mergeCell ref="AJ6246:AL6246"/>
    <mergeCell ref="AN6246:AO6246"/>
    <mergeCell ref="AP6246:AQ6246"/>
    <mergeCell ref="AR6246:AS6247"/>
    <mergeCell ref="AT6246:AU6247"/>
    <mergeCell ref="AV6246:AW6247"/>
    <mergeCell ref="AX6246:AY6247"/>
    <mergeCell ref="AZ6246:AZ6247"/>
    <mergeCell ref="F6247:H6247"/>
    <mergeCell ref="X6247:AB6247"/>
    <mergeCell ref="AE6247:AI6247"/>
    <mergeCell ref="AJ6247:AL6247"/>
    <mergeCell ref="AN6247:AO6247"/>
    <mergeCell ref="AP6247:AQ6247"/>
    <mergeCell ref="A6248:A6249"/>
    <mergeCell ref="E6248:E6249"/>
    <mergeCell ref="F6248:H6248"/>
    <mergeCell ref="J6248:J6249"/>
    <mergeCell ref="K6248:L6249"/>
    <mergeCell ref="M6248:N6249"/>
    <mergeCell ref="O6248:P6249"/>
    <mergeCell ref="Q6248:R6249"/>
    <mergeCell ref="S6248:T6249"/>
    <mergeCell ref="U6248:V6249"/>
    <mergeCell ref="W6248:W6249"/>
    <mergeCell ref="X6248:AB6248"/>
    <mergeCell ref="AD6248:AI6248"/>
    <mergeCell ref="AJ6248:AL6248"/>
    <mergeCell ref="AN6248:AO6248"/>
    <mergeCell ref="AP6248:AQ6248"/>
    <mergeCell ref="AR6248:AS6249"/>
    <mergeCell ref="AT6248:AU6249"/>
    <mergeCell ref="AV6248:AW6249"/>
    <mergeCell ref="AX6248:AY6249"/>
    <mergeCell ref="AZ6248:AZ6249"/>
    <mergeCell ref="F6249:H6249"/>
    <mergeCell ref="X6249:AB6249"/>
    <mergeCell ref="AE6249:AI6249"/>
    <mergeCell ref="AJ6249:AL6249"/>
    <mergeCell ref="AN6249:AO6249"/>
    <mergeCell ref="AP6249:AQ6249"/>
    <mergeCell ref="A6250:A6251"/>
    <mergeCell ref="E6250:E6251"/>
    <mergeCell ref="F6250:H6250"/>
    <mergeCell ref="J6250:J6251"/>
    <mergeCell ref="K6250:L6251"/>
    <mergeCell ref="M6250:N6251"/>
    <mergeCell ref="O6250:P6251"/>
    <mergeCell ref="Q6250:R6251"/>
    <mergeCell ref="S6250:T6251"/>
    <mergeCell ref="U6250:V6251"/>
    <mergeCell ref="W6250:W6251"/>
    <mergeCell ref="X6250:AB6250"/>
    <mergeCell ref="AD6250:AI6250"/>
    <mergeCell ref="AJ6250:AL6250"/>
    <mergeCell ref="AN6250:AO6250"/>
    <mergeCell ref="AP6250:AQ6250"/>
    <mergeCell ref="AR6250:AS6251"/>
    <mergeCell ref="AT6250:AU6251"/>
    <mergeCell ref="AV6250:AW6251"/>
    <mergeCell ref="AX6250:AY6251"/>
    <mergeCell ref="AZ6250:AZ6251"/>
    <mergeCell ref="F6251:H6251"/>
    <mergeCell ref="X6251:AB6251"/>
    <mergeCell ref="AE6251:AI6251"/>
    <mergeCell ref="AJ6251:AL6251"/>
    <mergeCell ref="AN6251:AO6251"/>
    <mergeCell ref="AP6251:AQ6251"/>
    <mergeCell ref="A6252:A6253"/>
    <mergeCell ref="E6252:E6253"/>
    <mergeCell ref="F6252:H6252"/>
    <mergeCell ref="J6252:J6253"/>
    <mergeCell ref="K6252:L6253"/>
    <mergeCell ref="M6252:N6253"/>
    <mergeCell ref="O6252:P6253"/>
    <mergeCell ref="Q6252:R6253"/>
    <mergeCell ref="S6252:T6253"/>
    <mergeCell ref="U6252:V6253"/>
    <mergeCell ref="W6252:W6253"/>
    <mergeCell ref="X6252:AB6252"/>
    <mergeCell ref="AD6252:AI6252"/>
    <mergeCell ref="AJ6252:AL6252"/>
    <mergeCell ref="AN6252:AO6252"/>
    <mergeCell ref="AP6252:AQ6252"/>
    <mergeCell ref="AR6252:AS6253"/>
    <mergeCell ref="AT6252:AU6253"/>
    <mergeCell ref="AV6252:AW6253"/>
    <mergeCell ref="AX6252:AY6253"/>
    <mergeCell ref="AZ6252:AZ6253"/>
    <mergeCell ref="F6253:H6253"/>
    <mergeCell ref="X6253:AB6253"/>
    <mergeCell ref="AE6253:AI6253"/>
    <mergeCell ref="AJ6253:AL6253"/>
    <mergeCell ref="AN6253:AO6253"/>
    <mergeCell ref="AP6253:AQ6253"/>
    <mergeCell ref="A6254:A6255"/>
    <mergeCell ref="E6254:E6255"/>
    <mergeCell ref="F6254:H6254"/>
    <mergeCell ref="J6254:J6255"/>
    <mergeCell ref="K6254:L6255"/>
    <mergeCell ref="M6254:N6255"/>
    <mergeCell ref="O6254:P6255"/>
    <mergeCell ref="Q6254:R6255"/>
    <mergeCell ref="S6254:T6255"/>
    <mergeCell ref="U6254:V6255"/>
    <mergeCell ref="W6254:W6255"/>
    <mergeCell ref="X6254:AB6254"/>
    <mergeCell ref="AD6254:AI6254"/>
    <mergeCell ref="AJ6254:AL6254"/>
    <mergeCell ref="AN6254:AO6254"/>
    <mergeCell ref="AP6254:AQ6254"/>
    <mergeCell ref="AR6254:AS6255"/>
    <mergeCell ref="AT6254:AU6255"/>
    <mergeCell ref="AV6254:AW6255"/>
    <mergeCell ref="AX6254:AY6255"/>
    <mergeCell ref="AZ6254:AZ6255"/>
    <mergeCell ref="F6255:H6255"/>
    <mergeCell ref="X6255:AB6255"/>
    <mergeCell ref="AE6255:AI6255"/>
    <mergeCell ref="AJ6255:AL6255"/>
    <mergeCell ref="AN6255:AO6255"/>
    <mergeCell ref="AP6255:AQ6255"/>
    <mergeCell ref="A6256:A6257"/>
    <mergeCell ref="E6256:E6257"/>
    <mergeCell ref="F6256:H6256"/>
    <mergeCell ref="J6256:J6257"/>
    <mergeCell ref="K6256:L6257"/>
    <mergeCell ref="M6256:N6257"/>
    <mergeCell ref="O6256:P6257"/>
    <mergeCell ref="Q6256:R6257"/>
    <mergeCell ref="S6256:T6257"/>
    <mergeCell ref="U6256:V6257"/>
    <mergeCell ref="W6256:W6257"/>
    <mergeCell ref="X6256:AB6256"/>
    <mergeCell ref="AD6256:AI6256"/>
    <mergeCell ref="AJ6256:AL6256"/>
    <mergeCell ref="AN6256:AO6256"/>
    <mergeCell ref="AP6256:AQ6256"/>
    <mergeCell ref="AR6256:AS6257"/>
    <mergeCell ref="AT6256:AU6257"/>
    <mergeCell ref="AV6256:AW6257"/>
    <mergeCell ref="AX6256:AY6257"/>
    <mergeCell ref="AZ6256:AZ6257"/>
    <mergeCell ref="F6257:H6257"/>
    <mergeCell ref="X6257:AB6257"/>
    <mergeCell ref="AE6257:AI6257"/>
    <mergeCell ref="AJ6257:AL6257"/>
    <mergeCell ref="AN6257:AO6257"/>
    <mergeCell ref="AP6257:AQ6257"/>
    <mergeCell ref="A6258:A6259"/>
    <mergeCell ref="E6258:E6259"/>
    <mergeCell ref="F6258:H6258"/>
    <mergeCell ref="J6258:J6259"/>
    <mergeCell ref="K6258:L6259"/>
    <mergeCell ref="M6258:N6259"/>
    <mergeCell ref="O6258:P6259"/>
    <mergeCell ref="Q6258:R6259"/>
    <mergeCell ref="S6258:T6259"/>
    <mergeCell ref="U6258:V6259"/>
    <mergeCell ref="W6258:W6259"/>
    <mergeCell ref="X6258:AB6258"/>
    <mergeCell ref="AD6258:AI6258"/>
    <mergeCell ref="AJ6258:AL6258"/>
    <mergeCell ref="AN6258:AO6258"/>
    <mergeCell ref="AP6258:AQ6258"/>
    <mergeCell ref="AR6258:AS6259"/>
    <mergeCell ref="AT6258:AU6259"/>
    <mergeCell ref="AV6258:AW6259"/>
    <mergeCell ref="AX6258:AY6259"/>
    <mergeCell ref="AZ6258:AZ6259"/>
    <mergeCell ref="F6259:H6259"/>
    <mergeCell ref="X6259:AB6259"/>
    <mergeCell ref="AE6259:AI6259"/>
    <mergeCell ref="AJ6259:AL6259"/>
    <mergeCell ref="AN6259:AO6259"/>
    <mergeCell ref="AP6259:AQ6259"/>
    <mergeCell ref="A6260:A6261"/>
    <mergeCell ref="E6260:E6261"/>
    <mergeCell ref="F6260:H6260"/>
    <mergeCell ref="J6260:J6261"/>
    <mergeCell ref="K6260:L6261"/>
    <mergeCell ref="M6260:N6261"/>
    <mergeCell ref="O6260:P6261"/>
    <mergeCell ref="Q6260:R6261"/>
    <mergeCell ref="S6260:T6261"/>
    <mergeCell ref="U6260:V6261"/>
    <mergeCell ref="W6260:W6261"/>
    <mergeCell ref="X6260:AB6260"/>
    <mergeCell ref="AD6260:AI6260"/>
    <mergeCell ref="AJ6260:AL6260"/>
    <mergeCell ref="AN6260:AO6260"/>
    <mergeCell ref="AP6260:AQ6260"/>
    <mergeCell ref="AR6260:AS6261"/>
    <mergeCell ref="AT6260:AU6261"/>
    <mergeCell ref="AV6260:AW6261"/>
    <mergeCell ref="AX6260:AY6261"/>
    <mergeCell ref="AZ6260:AZ6261"/>
    <mergeCell ref="F6261:H6261"/>
    <mergeCell ref="X6261:AB6261"/>
    <mergeCell ref="AE6261:AI6261"/>
    <mergeCell ref="AJ6261:AL6261"/>
    <mergeCell ref="AN6261:AO6261"/>
    <mergeCell ref="AP6261:AQ6261"/>
    <mergeCell ref="A6262:A6263"/>
    <mergeCell ref="E6262:E6263"/>
    <mergeCell ref="F6262:H6262"/>
    <mergeCell ref="J6262:J6263"/>
    <mergeCell ref="K6262:L6263"/>
    <mergeCell ref="M6262:N6263"/>
    <mergeCell ref="O6262:P6263"/>
    <mergeCell ref="Q6262:R6263"/>
    <mergeCell ref="S6262:T6263"/>
    <mergeCell ref="U6262:V6263"/>
    <mergeCell ref="W6262:W6263"/>
    <mergeCell ref="X6262:AB6262"/>
    <mergeCell ref="AD6262:AI6262"/>
    <mergeCell ref="AJ6262:AL6262"/>
    <mergeCell ref="AN6262:AO6262"/>
    <mergeCell ref="AP6262:AQ6262"/>
    <mergeCell ref="AR6262:AS6263"/>
    <mergeCell ref="AT6262:AU6263"/>
    <mergeCell ref="AV6262:AW6263"/>
    <mergeCell ref="AX6262:AY6263"/>
    <mergeCell ref="AZ6262:AZ6263"/>
    <mergeCell ref="F6263:H6263"/>
    <mergeCell ref="X6263:AB6263"/>
    <mergeCell ref="AE6263:AI6263"/>
    <mergeCell ref="AJ6263:AL6263"/>
    <mergeCell ref="AN6263:AO6263"/>
    <mergeCell ref="AP6263:AQ6263"/>
    <mergeCell ref="A6264:A6265"/>
    <mergeCell ref="E6264:E6265"/>
    <mergeCell ref="F6264:H6264"/>
    <mergeCell ref="J6264:J6265"/>
    <mergeCell ref="K6264:L6265"/>
    <mergeCell ref="M6264:N6265"/>
    <mergeCell ref="O6264:P6265"/>
    <mergeCell ref="Q6264:R6265"/>
    <mergeCell ref="S6264:T6265"/>
    <mergeCell ref="U6264:V6265"/>
    <mergeCell ref="W6264:W6265"/>
    <mergeCell ref="X6264:AB6264"/>
    <mergeCell ref="AD6264:AI6264"/>
    <mergeCell ref="AJ6264:AL6264"/>
    <mergeCell ref="AN6264:AO6264"/>
    <mergeCell ref="AP6264:AQ6264"/>
    <mergeCell ref="AR6264:AS6265"/>
    <mergeCell ref="AT6264:AU6265"/>
    <mergeCell ref="AV6264:AW6265"/>
    <mergeCell ref="AX6264:AY6265"/>
    <mergeCell ref="AZ6264:AZ6265"/>
    <mergeCell ref="F6265:H6265"/>
    <mergeCell ref="X6265:AB6265"/>
    <mergeCell ref="AE6265:AI6265"/>
    <mergeCell ref="AJ6265:AL6265"/>
    <mergeCell ref="AN6265:AO6265"/>
    <mergeCell ref="AP6265:AQ6265"/>
    <mergeCell ref="A6266:A6267"/>
    <mergeCell ref="E6266:E6267"/>
    <mergeCell ref="F6266:H6266"/>
    <mergeCell ref="J6266:J6267"/>
    <mergeCell ref="K6266:L6267"/>
    <mergeCell ref="M6266:N6267"/>
    <mergeCell ref="O6266:P6267"/>
    <mergeCell ref="Q6266:R6267"/>
    <mergeCell ref="S6266:T6267"/>
    <mergeCell ref="U6266:V6267"/>
    <mergeCell ref="W6266:W6267"/>
    <mergeCell ref="X6266:AB6266"/>
    <mergeCell ref="AD6266:AI6266"/>
    <mergeCell ref="AJ6266:AL6266"/>
    <mergeCell ref="AN6266:AO6266"/>
    <mergeCell ref="AP6266:AQ6266"/>
    <mergeCell ref="AR6266:AS6267"/>
    <mergeCell ref="AT6266:AU6267"/>
    <mergeCell ref="AV6266:AW6267"/>
    <mergeCell ref="AX6266:AY6267"/>
    <mergeCell ref="AZ6266:AZ6267"/>
    <mergeCell ref="F6267:H6267"/>
    <mergeCell ref="X6267:AB6267"/>
    <mergeCell ref="AE6267:AI6267"/>
    <mergeCell ref="AJ6267:AL6267"/>
    <mergeCell ref="AN6267:AO6267"/>
    <mergeCell ref="AP6267:AQ6267"/>
    <mergeCell ref="A6268:A6269"/>
    <mergeCell ref="E6268:E6269"/>
    <mergeCell ref="F6268:H6268"/>
    <mergeCell ref="J6268:J6269"/>
    <mergeCell ref="K6268:L6269"/>
    <mergeCell ref="M6268:N6269"/>
    <mergeCell ref="O6268:P6269"/>
    <mergeCell ref="Q6268:R6269"/>
    <mergeCell ref="S6268:T6269"/>
    <mergeCell ref="U6268:V6269"/>
    <mergeCell ref="W6268:W6269"/>
    <mergeCell ref="X6268:AB6268"/>
    <mergeCell ref="AD6268:AI6268"/>
    <mergeCell ref="AJ6268:AL6268"/>
    <mergeCell ref="AN6268:AO6268"/>
    <mergeCell ref="AP6268:AQ6268"/>
    <mergeCell ref="AR6268:AS6269"/>
    <mergeCell ref="AT6268:AU6269"/>
    <mergeCell ref="AV6268:AW6269"/>
    <mergeCell ref="AX6268:AY6269"/>
    <mergeCell ref="AZ6268:AZ6269"/>
    <mergeCell ref="F6269:H6269"/>
    <mergeCell ref="X6269:AB6269"/>
    <mergeCell ref="AE6269:AI6269"/>
    <mergeCell ref="AJ6269:AL6269"/>
    <mergeCell ref="AN6269:AO6269"/>
    <mergeCell ref="AP6269:AQ6269"/>
    <mergeCell ref="A6270:A6271"/>
    <mergeCell ref="E6270:E6271"/>
    <mergeCell ref="F6270:H6270"/>
    <mergeCell ref="J6270:J6271"/>
    <mergeCell ref="K6270:L6271"/>
    <mergeCell ref="M6270:N6271"/>
    <mergeCell ref="O6270:P6271"/>
    <mergeCell ref="Q6270:R6271"/>
    <mergeCell ref="S6270:T6271"/>
    <mergeCell ref="U6270:V6271"/>
    <mergeCell ref="W6270:W6271"/>
    <mergeCell ref="X6270:AB6270"/>
    <mergeCell ref="AD6270:AI6270"/>
    <mergeCell ref="AJ6270:AL6270"/>
    <mergeCell ref="AN6270:AO6270"/>
    <mergeCell ref="AP6270:AQ6270"/>
    <mergeCell ref="AR6270:AS6271"/>
    <mergeCell ref="AT6270:AU6271"/>
    <mergeCell ref="AV6270:AW6271"/>
    <mergeCell ref="AX6270:AY6271"/>
    <mergeCell ref="AZ6270:AZ6271"/>
    <mergeCell ref="F6271:H6271"/>
    <mergeCell ref="X6271:AB6271"/>
    <mergeCell ref="AE6271:AI6271"/>
    <mergeCell ref="AJ6271:AL6271"/>
    <mergeCell ref="AN6271:AO6271"/>
    <mergeCell ref="AP6271:AQ6271"/>
    <mergeCell ref="A6272:A6273"/>
    <mergeCell ref="E6272:E6273"/>
    <mergeCell ref="F6272:H6272"/>
    <mergeCell ref="J6272:J6273"/>
    <mergeCell ref="K6272:L6273"/>
    <mergeCell ref="M6272:N6273"/>
    <mergeCell ref="O6272:P6273"/>
    <mergeCell ref="Q6272:R6273"/>
    <mergeCell ref="S6272:T6273"/>
    <mergeCell ref="U6272:V6273"/>
    <mergeCell ref="W6272:W6273"/>
    <mergeCell ref="X6272:AB6272"/>
    <mergeCell ref="AD6272:AI6272"/>
    <mergeCell ref="AJ6272:AL6272"/>
    <mergeCell ref="AN6272:AO6272"/>
    <mergeCell ref="AP6272:AQ6272"/>
    <mergeCell ref="AR6272:AS6273"/>
    <mergeCell ref="AT6272:AU6273"/>
    <mergeCell ref="AV6272:AW6273"/>
    <mergeCell ref="AX6272:AY6273"/>
    <mergeCell ref="AZ6272:AZ6273"/>
    <mergeCell ref="F6273:H6273"/>
    <mergeCell ref="X6273:AB6273"/>
    <mergeCell ref="AE6273:AI6273"/>
    <mergeCell ref="AJ6273:AL6273"/>
    <mergeCell ref="AN6273:AO6273"/>
    <mergeCell ref="AP6273:AQ6273"/>
    <mergeCell ref="A6274:A6275"/>
    <mergeCell ref="E6274:E6275"/>
    <mergeCell ref="F6274:H6274"/>
    <mergeCell ref="J6274:J6275"/>
    <mergeCell ref="K6274:L6275"/>
    <mergeCell ref="M6274:N6275"/>
    <mergeCell ref="O6274:P6275"/>
    <mergeCell ref="Q6274:R6275"/>
    <mergeCell ref="S6274:T6275"/>
    <mergeCell ref="U6274:V6275"/>
    <mergeCell ref="W6274:W6275"/>
    <mergeCell ref="X6274:AB6274"/>
    <mergeCell ref="AD6274:AI6274"/>
    <mergeCell ref="AJ6274:AL6274"/>
    <mergeCell ref="AN6274:AO6274"/>
    <mergeCell ref="AP6274:AQ6274"/>
    <mergeCell ref="AR6274:AS6275"/>
    <mergeCell ref="AT6274:AU6275"/>
    <mergeCell ref="AV6274:AW6275"/>
    <mergeCell ref="AX6274:AY6275"/>
    <mergeCell ref="AZ6274:AZ6275"/>
    <mergeCell ref="F6275:H6275"/>
    <mergeCell ref="X6275:AB6275"/>
    <mergeCell ref="AE6275:AI6275"/>
    <mergeCell ref="AJ6275:AL6275"/>
    <mergeCell ref="AN6275:AO6275"/>
    <mergeCell ref="AP6275:AQ6275"/>
    <mergeCell ref="A6276:A6277"/>
    <mergeCell ref="E6276:E6277"/>
    <mergeCell ref="F6276:H6276"/>
    <mergeCell ref="J6276:J6277"/>
    <mergeCell ref="K6276:L6277"/>
    <mergeCell ref="M6276:N6277"/>
    <mergeCell ref="O6276:P6277"/>
    <mergeCell ref="Q6276:R6277"/>
    <mergeCell ref="S6276:T6277"/>
    <mergeCell ref="U6276:V6277"/>
    <mergeCell ref="W6276:W6277"/>
    <mergeCell ref="X6276:AB6276"/>
    <mergeCell ref="AD6276:AI6276"/>
    <mergeCell ref="AJ6276:AL6276"/>
    <mergeCell ref="AN6276:AO6276"/>
    <mergeCell ref="AP6276:AQ6276"/>
    <mergeCell ref="AR6276:AS6277"/>
    <mergeCell ref="AT6276:AU6277"/>
    <mergeCell ref="AV6276:AW6277"/>
    <mergeCell ref="AX6276:AY6277"/>
    <mergeCell ref="AZ6276:AZ6277"/>
    <mergeCell ref="F6277:H6277"/>
    <mergeCell ref="X6277:AB6277"/>
    <mergeCell ref="AE6277:AI6277"/>
    <mergeCell ref="AJ6277:AL6277"/>
    <mergeCell ref="AN6277:AO6277"/>
    <mergeCell ref="AP6277:AQ6277"/>
    <mergeCell ref="A6278:A6279"/>
    <mergeCell ref="E6278:E6279"/>
    <mergeCell ref="F6278:H6278"/>
    <mergeCell ref="J6278:J6279"/>
    <mergeCell ref="K6278:L6279"/>
    <mergeCell ref="M6278:N6279"/>
    <mergeCell ref="O6278:P6279"/>
    <mergeCell ref="Q6278:R6279"/>
    <mergeCell ref="S6278:T6279"/>
    <mergeCell ref="U6278:V6279"/>
    <mergeCell ref="W6278:W6279"/>
    <mergeCell ref="X6278:AB6278"/>
    <mergeCell ref="AD6278:AI6278"/>
    <mergeCell ref="AJ6278:AL6278"/>
    <mergeCell ref="AN6278:AO6278"/>
    <mergeCell ref="AP6278:AQ6278"/>
    <mergeCell ref="AR6278:AS6279"/>
    <mergeCell ref="AT6278:AU6279"/>
    <mergeCell ref="AV6278:AW6279"/>
    <mergeCell ref="AX6278:AY6279"/>
    <mergeCell ref="AZ6278:AZ6279"/>
    <mergeCell ref="F6279:H6279"/>
    <mergeCell ref="X6279:AB6279"/>
    <mergeCell ref="AE6279:AI6279"/>
    <mergeCell ref="AJ6279:AL6279"/>
    <mergeCell ref="AN6279:AO6279"/>
    <mergeCell ref="AP6279:AQ6279"/>
    <mergeCell ref="A6280:A6281"/>
    <mergeCell ref="E6280:E6281"/>
    <mergeCell ref="F6280:H6280"/>
    <mergeCell ref="J6280:J6281"/>
    <mergeCell ref="K6280:L6281"/>
    <mergeCell ref="M6280:N6281"/>
    <mergeCell ref="O6280:P6281"/>
    <mergeCell ref="Q6280:R6281"/>
    <mergeCell ref="S6280:T6281"/>
    <mergeCell ref="U6280:V6281"/>
    <mergeCell ref="W6280:W6281"/>
    <mergeCell ref="X6280:AB6280"/>
    <mergeCell ref="AD6280:AI6280"/>
    <mergeCell ref="AJ6280:AL6280"/>
    <mergeCell ref="AN6280:AO6280"/>
    <mergeCell ref="AP6280:AQ6280"/>
    <mergeCell ref="AR6280:AS6281"/>
    <mergeCell ref="AT6280:AU6281"/>
    <mergeCell ref="AV6280:AW6281"/>
    <mergeCell ref="AX6280:AY6281"/>
    <mergeCell ref="AZ6280:AZ6281"/>
    <mergeCell ref="F6281:H6281"/>
    <mergeCell ref="X6281:AB6281"/>
    <mergeCell ref="AE6281:AI6281"/>
    <mergeCell ref="AJ6281:AL6281"/>
    <mergeCell ref="AN6281:AO6281"/>
    <mergeCell ref="AP6281:AQ6281"/>
    <mergeCell ref="A6282:A6283"/>
    <mergeCell ref="E6282:E6283"/>
    <mergeCell ref="F6282:H6282"/>
    <mergeCell ref="J6282:J6283"/>
    <mergeCell ref="K6282:L6283"/>
    <mergeCell ref="M6282:N6283"/>
    <mergeCell ref="O6282:P6283"/>
    <mergeCell ref="Q6282:R6283"/>
    <mergeCell ref="S6282:T6283"/>
    <mergeCell ref="U6282:V6283"/>
    <mergeCell ref="W6282:W6283"/>
    <mergeCell ref="X6282:AB6282"/>
    <mergeCell ref="AD6282:AI6282"/>
    <mergeCell ref="AJ6282:AL6282"/>
    <mergeCell ref="AN6282:AO6282"/>
    <mergeCell ref="AP6282:AQ6282"/>
    <mergeCell ref="AR6282:AS6283"/>
    <mergeCell ref="AT6282:AU6283"/>
    <mergeCell ref="AV6282:AW6283"/>
    <mergeCell ref="AX6282:AY6283"/>
    <mergeCell ref="AZ6282:AZ6283"/>
    <mergeCell ref="F6283:H6283"/>
    <mergeCell ref="X6283:AB6283"/>
    <mergeCell ref="AE6283:AI6283"/>
    <mergeCell ref="AJ6283:AL6283"/>
    <mergeCell ref="AN6283:AO6283"/>
    <mergeCell ref="AP6283:AQ6283"/>
    <mergeCell ref="A6284:A6285"/>
    <mergeCell ref="E6284:E6285"/>
    <mergeCell ref="F6284:H6284"/>
    <mergeCell ref="J6284:J6285"/>
    <mergeCell ref="K6284:L6285"/>
    <mergeCell ref="M6284:N6285"/>
    <mergeCell ref="O6284:P6285"/>
    <mergeCell ref="Q6284:R6285"/>
    <mergeCell ref="S6284:T6285"/>
    <mergeCell ref="U6284:V6285"/>
    <mergeCell ref="W6284:W6285"/>
    <mergeCell ref="X6284:AB6284"/>
    <mergeCell ref="AD6284:AI6284"/>
    <mergeCell ref="AJ6284:AL6284"/>
    <mergeCell ref="AN6284:AO6284"/>
    <mergeCell ref="AP6284:AQ6284"/>
    <mergeCell ref="AR6284:AS6285"/>
    <mergeCell ref="AT6284:AU6285"/>
    <mergeCell ref="AV6284:AW6285"/>
    <mergeCell ref="AX6284:AY6285"/>
    <mergeCell ref="AZ6284:AZ6285"/>
    <mergeCell ref="F6285:H6285"/>
    <mergeCell ref="X6285:AB6285"/>
    <mergeCell ref="AE6285:AI6285"/>
    <mergeCell ref="AJ6285:AL6285"/>
    <mergeCell ref="AN6285:AO6285"/>
    <mergeCell ref="AP6285:AQ6285"/>
    <mergeCell ref="A6286:A6287"/>
    <mergeCell ref="E6286:E6287"/>
    <mergeCell ref="F6286:H6286"/>
    <mergeCell ref="J6286:J6287"/>
    <mergeCell ref="K6286:L6287"/>
    <mergeCell ref="M6286:N6287"/>
    <mergeCell ref="O6286:P6287"/>
    <mergeCell ref="Q6286:R6287"/>
    <mergeCell ref="S6286:T6287"/>
    <mergeCell ref="U6286:V6287"/>
    <mergeCell ref="W6286:W6287"/>
    <mergeCell ref="X6286:AB6286"/>
    <mergeCell ref="AD6286:AI6286"/>
    <mergeCell ref="AJ6286:AL6286"/>
    <mergeCell ref="AN6286:AO6286"/>
    <mergeCell ref="AP6286:AQ6286"/>
    <mergeCell ref="AR6286:AS6287"/>
    <mergeCell ref="AT6286:AU6287"/>
    <mergeCell ref="AV6286:AW6287"/>
    <mergeCell ref="AX6286:AY6287"/>
    <mergeCell ref="AZ6286:AZ6287"/>
    <mergeCell ref="F6287:H6287"/>
    <mergeCell ref="X6287:AB6287"/>
    <mergeCell ref="AE6287:AI6287"/>
    <mergeCell ref="AJ6287:AL6287"/>
    <mergeCell ref="AN6287:AO6287"/>
    <mergeCell ref="AP6287:AQ6287"/>
    <mergeCell ref="A6288:A6289"/>
    <mergeCell ref="E6288:E6289"/>
    <mergeCell ref="F6288:H6288"/>
    <mergeCell ref="J6288:J6289"/>
    <mergeCell ref="K6288:L6289"/>
    <mergeCell ref="M6288:N6289"/>
    <mergeCell ref="O6288:P6289"/>
    <mergeCell ref="Q6288:R6289"/>
    <mergeCell ref="S6288:T6289"/>
    <mergeCell ref="U6288:V6289"/>
    <mergeCell ref="W6288:W6289"/>
    <mergeCell ref="X6288:AB6288"/>
    <mergeCell ref="AD6288:AI6288"/>
    <mergeCell ref="AJ6288:AL6288"/>
    <mergeCell ref="AN6288:AO6288"/>
    <mergeCell ref="AP6288:AQ6288"/>
    <mergeCell ref="AR6288:AS6289"/>
    <mergeCell ref="AT6288:AU6289"/>
    <mergeCell ref="AV6288:AW6289"/>
    <mergeCell ref="AX6288:AY6289"/>
    <mergeCell ref="AZ6288:AZ6289"/>
    <mergeCell ref="F6289:H6289"/>
    <mergeCell ref="X6289:AB6289"/>
    <mergeCell ref="AE6289:AI6289"/>
    <mergeCell ref="AJ6289:AL6289"/>
    <mergeCell ref="AN6289:AO6289"/>
    <mergeCell ref="AP6289:AQ6289"/>
    <mergeCell ref="A6290:A6291"/>
    <mergeCell ref="E6290:E6291"/>
    <mergeCell ref="F6290:H6290"/>
    <mergeCell ref="J6290:J6291"/>
    <mergeCell ref="K6290:L6291"/>
    <mergeCell ref="M6290:N6291"/>
    <mergeCell ref="O6290:P6291"/>
    <mergeCell ref="Q6290:R6291"/>
    <mergeCell ref="S6290:T6291"/>
    <mergeCell ref="U6290:V6291"/>
    <mergeCell ref="W6290:W6291"/>
    <mergeCell ref="X6290:AB6290"/>
    <mergeCell ref="AD6290:AI6290"/>
    <mergeCell ref="AJ6290:AL6290"/>
    <mergeCell ref="AN6290:AO6290"/>
    <mergeCell ref="AP6290:AQ6290"/>
    <mergeCell ref="AR6290:AS6291"/>
    <mergeCell ref="AT6290:AU6291"/>
    <mergeCell ref="AV6290:AW6291"/>
    <mergeCell ref="AX6290:AY6291"/>
    <mergeCell ref="AZ6290:AZ6291"/>
    <mergeCell ref="F6291:H6291"/>
    <mergeCell ref="X6291:AB6291"/>
    <mergeCell ref="AE6291:AI6291"/>
    <mergeCell ref="AJ6291:AL6291"/>
    <mergeCell ref="AN6291:AO6291"/>
    <mergeCell ref="AP6291:AQ6291"/>
    <mergeCell ref="A6292:A6293"/>
    <mergeCell ref="E6292:E6293"/>
    <mergeCell ref="F6292:H6292"/>
    <mergeCell ref="J6292:J6293"/>
    <mergeCell ref="K6292:L6293"/>
    <mergeCell ref="M6292:N6293"/>
    <mergeCell ref="O6292:P6293"/>
    <mergeCell ref="Q6292:R6293"/>
    <mergeCell ref="S6292:T6293"/>
    <mergeCell ref="U6292:V6293"/>
    <mergeCell ref="W6292:W6293"/>
    <mergeCell ref="X6292:AB6292"/>
    <mergeCell ref="AD6292:AI6292"/>
    <mergeCell ref="AJ6292:AL6292"/>
    <mergeCell ref="AN6292:AO6292"/>
    <mergeCell ref="AP6292:AQ6292"/>
    <mergeCell ref="AR6292:AS6293"/>
    <mergeCell ref="AT6292:AU6293"/>
    <mergeCell ref="AV6292:AW6293"/>
    <mergeCell ref="AX6292:AY6293"/>
    <mergeCell ref="AZ6292:AZ6293"/>
    <mergeCell ref="F6293:H6293"/>
    <mergeCell ref="X6293:AB6293"/>
    <mergeCell ref="AE6293:AI6293"/>
    <mergeCell ref="AJ6293:AL6293"/>
    <mergeCell ref="AN6293:AO6293"/>
    <mergeCell ref="AP6293:AQ6293"/>
    <mergeCell ref="A6294:A6295"/>
    <mergeCell ref="E6294:E6295"/>
    <mergeCell ref="F6294:H6294"/>
    <mergeCell ref="J6294:J6295"/>
    <mergeCell ref="K6294:L6295"/>
    <mergeCell ref="M6294:N6295"/>
    <mergeCell ref="O6294:P6295"/>
    <mergeCell ref="Q6294:R6295"/>
    <mergeCell ref="S6294:T6295"/>
    <mergeCell ref="U6294:V6295"/>
    <mergeCell ref="W6294:W6295"/>
    <mergeCell ref="X6294:AB6294"/>
    <mergeCell ref="AD6294:AI6294"/>
    <mergeCell ref="AJ6294:AL6294"/>
    <mergeCell ref="AN6294:AO6294"/>
    <mergeCell ref="AP6294:AQ6294"/>
    <mergeCell ref="AR6294:AS6295"/>
    <mergeCell ref="AT6294:AU6295"/>
    <mergeCell ref="AV6294:AW6295"/>
    <mergeCell ref="AX6294:AY6295"/>
    <mergeCell ref="AZ6294:AZ6295"/>
    <mergeCell ref="F6295:H6295"/>
    <mergeCell ref="X6295:AB6295"/>
    <mergeCell ref="AE6295:AI6295"/>
    <mergeCell ref="AJ6295:AL6295"/>
    <mergeCell ref="AN6295:AO6295"/>
    <mergeCell ref="AP6295:AQ6295"/>
    <mergeCell ref="A6296:A6297"/>
    <mergeCell ref="E6296:E6297"/>
    <mergeCell ref="F6296:H6296"/>
    <mergeCell ref="J6296:J6297"/>
    <mergeCell ref="K6296:L6297"/>
    <mergeCell ref="M6296:N6297"/>
    <mergeCell ref="O6296:P6297"/>
    <mergeCell ref="Q6296:R6297"/>
    <mergeCell ref="S6296:T6297"/>
    <mergeCell ref="U6296:V6297"/>
    <mergeCell ref="W6296:W6297"/>
    <mergeCell ref="X6296:AB6296"/>
    <mergeCell ref="AD6296:AI6296"/>
    <mergeCell ref="AJ6296:AL6296"/>
    <mergeCell ref="AN6296:AO6296"/>
    <mergeCell ref="AP6296:AQ6296"/>
    <mergeCell ref="AR6296:AS6297"/>
    <mergeCell ref="AT6296:AU6297"/>
    <mergeCell ref="AV6296:AW6297"/>
    <mergeCell ref="AX6296:AY6297"/>
    <mergeCell ref="AZ6296:AZ6297"/>
    <mergeCell ref="F6297:H6297"/>
    <mergeCell ref="X6297:AB6297"/>
    <mergeCell ref="AE6297:AI6297"/>
    <mergeCell ref="AJ6297:AL6297"/>
    <mergeCell ref="AN6297:AO6297"/>
    <mergeCell ref="AP6297:AQ6297"/>
    <mergeCell ref="A6298:A6299"/>
    <mergeCell ref="E6298:E6299"/>
    <mergeCell ref="F6298:H6298"/>
    <mergeCell ref="J6298:J6299"/>
    <mergeCell ref="K6298:L6299"/>
    <mergeCell ref="M6298:N6299"/>
    <mergeCell ref="O6298:P6299"/>
    <mergeCell ref="Q6298:R6299"/>
    <mergeCell ref="S6298:T6299"/>
    <mergeCell ref="U6298:V6299"/>
    <mergeCell ref="W6298:W6299"/>
    <mergeCell ref="X6298:AB6298"/>
    <mergeCell ref="AD6298:AI6298"/>
    <mergeCell ref="AJ6298:AL6298"/>
    <mergeCell ref="AN6298:AO6298"/>
    <mergeCell ref="AP6298:AQ6298"/>
    <mergeCell ref="AR6298:AS6299"/>
    <mergeCell ref="AT6298:AU6299"/>
    <mergeCell ref="AV6298:AW6299"/>
    <mergeCell ref="AX6298:AY6299"/>
    <mergeCell ref="AZ6298:AZ6299"/>
    <mergeCell ref="F6299:H6299"/>
    <mergeCell ref="X6299:AB6299"/>
    <mergeCell ref="AE6299:AI6299"/>
    <mergeCell ref="AJ6299:AL6299"/>
    <mergeCell ref="AN6299:AO6299"/>
    <mergeCell ref="AP6299:AQ6299"/>
    <mergeCell ref="A6300:A6301"/>
    <mergeCell ref="E6300:E6301"/>
    <mergeCell ref="F6300:H6300"/>
    <mergeCell ref="J6300:J6301"/>
    <mergeCell ref="K6300:L6301"/>
    <mergeCell ref="M6300:N6301"/>
    <mergeCell ref="O6300:P6301"/>
    <mergeCell ref="Q6300:R6301"/>
    <mergeCell ref="S6300:T6301"/>
    <mergeCell ref="U6300:V6301"/>
    <mergeCell ref="W6300:W6301"/>
    <mergeCell ref="X6300:AB6300"/>
    <mergeCell ref="AD6300:AI6300"/>
    <mergeCell ref="AJ6300:AL6300"/>
    <mergeCell ref="AN6300:AO6300"/>
    <mergeCell ref="AP6300:AQ6300"/>
    <mergeCell ref="AR6300:AS6301"/>
    <mergeCell ref="AT6300:AU6301"/>
    <mergeCell ref="AV6300:AW6301"/>
    <mergeCell ref="AX6300:AY6301"/>
    <mergeCell ref="AZ6300:AZ6301"/>
    <mergeCell ref="F6301:H6301"/>
    <mergeCell ref="X6301:AB6301"/>
    <mergeCell ref="AE6301:AI6301"/>
    <mergeCell ref="AJ6301:AL6301"/>
    <mergeCell ref="AN6301:AO6301"/>
    <mergeCell ref="AP6301:AQ6301"/>
    <mergeCell ref="A6302:A6303"/>
    <mergeCell ref="E6302:E6303"/>
    <mergeCell ref="F6302:H6302"/>
    <mergeCell ref="J6302:J6303"/>
    <mergeCell ref="K6302:L6303"/>
    <mergeCell ref="M6302:N6303"/>
    <mergeCell ref="O6302:P6303"/>
    <mergeCell ref="Q6302:R6303"/>
    <mergeCell ref="S6302:T6303"/>
    <mergeCell ref="U6302:V6303"/>
    <mergeCell ref="W6302:W6303"/>
    <mergeCell ref="X6302:AB6302"/>
    <mergeCell ref="AD6302:AI6302"/>
    <mergeCell ref="AJ6302:AL6302"/>
    <mergeCell ref="AN6302:AO6302"/>
    <mergeCell ref="AP6302:AQ6302"/>
    <mergeCell ref="AR6302:AS6303"/>
    <mergeCell ref="AT6302:AU6303"/>
    <mergeCell ref="AV6302:AW6303"/>
    <mergeCell ref="AX6302:AY6303"/>
    <mergeCell ref="AZ6302:AZ6303"/>
    <mergeCell ref="F6303:H6303"/>
    <mergeCell ref="X6303:AB6303"/>
    <mergeCell ref="AE6303:AI6303"/>
    <mergeCell ref="AJ6303:AL6303"/>
    <mergeCell ref="AN6303:AO6303"/>
    <mergeCell ref="AP6303:AQ6303"/>
    <mergeCell ref="A6304:A6305"/>
    <mergeCell ref="E6304:E6305"/>
    <mergeCell ref="F6304:H6304"/>
    <mergeCell ref="J6304:J6305"/>
    <mergeCell ref="K6304:L6305"/>
    <mergeCell ref="M6304:N6305"/>
    <mergeCell ref="O6304:P6305"/>
    <mergeCell ref="Q6304:R6305"/>
    <mergeCell ref="S6304:T6305"/>
    <mergeCell ref="U6304:V6305"/>
    <mergeCell ref="W6304:W6305"/>
    <mergeCell ref="X6304:AB6304"/>
    <mergeCell ref="AD6304:AI6304"/>
    <mergeCell ref="AJ6304:AL6304"/>
    <mergeCell ref="AN6304:AO6304"/>
    <mergeCell ref="AP6304:AQ6304"/>
    <mergeCell ref="AR6304:AS6305"/>
    <mergeCell ref="AT6304:AU6305"/>
    <mergeCell ref="AV6304:AW6305"/>
    <mergeCell ref="AX6304:AY6305"/>
    <mergeCell ref="AZ6304:AZ6305"/>
    <mergeCell ref="F6305:H6305"/>
    <mergeCell ref="X6305:AB6305"/>
    <mergeCell ref="AE6305:AI6305"/>
    <mergeCell ref="AJ6305:AL6305"/>
    <mergeCell ref="AN6305:AO6305"/>
    <mergeCell ref="AP6305:AQ6305"/>
    <mergeCell ref="A6306:A6307"/>
    <mergeCell ref="E6306:E6307"/>
    <mergeCell ref="F6306:H6306"/>
    <mergeCell ref="J6306:J6307"/>
    <mergeCell ref="K6306:L6307"/>
    <mergeCell ref="M6306:N6307"/>
    <mergeCell ref="O6306:P6307"/>
    <mergeCell ref="Q6306:R6307"/>
    <mergeCell ref="S6306:T6307"/>
    <mergeCell ref="U6306:V6307"/>
    <mergeCell ref="W6306:W6307"/>
    <mergeCell ref="X6306:AB6306"/>
    <mergeCell ref="AD6306:AI6306"/>
    <mergeCell ref="AJ6306:AL6306"/>
    <mergeCell ref="AN6306:AO6306"/>
    <mergeCell ref="AP6306:AQ6306"/>
    <mergeCell ref="AR6306:AS6307"/>
    <mergeCell ref="AT6306:AU6307"/>
    <mergeCell ref="AV6306:AW6307"/>
    <mergeCell ref="AX6306:AY6307"/>
    <mergeCell ref="AZ6306:AZ6307"/>
    <mergeCell ref="F6307:H6307"/>
    <mergeCell ref="X6307:AB6307"/>
    <mergeCell ref="AE6307:AI6307"/>
    <mergeCell ref="AJ6307:AL6307"/>
    <mergeCell ref="AN6307:AO6307"/>
    <mergeCell ref="AP6307:AQ6307"/>
    <mergeCell ref="A6308:A6309"/>
    <mergeCell ref="E6308:E6309"/>
    <mergeCell ref="F6308:H6308"/>
    <mergeCell ref="J6308:J6309"/>
    <mergeCell ref="K6308:L6309"/>
    <mergeCell ref="M6308:N6309"/>
    <mergeCell ref="O6308:P6309"/>
    <mergeCell ref="Q6308:R6309"/>
    <mergeCell ref="S6308:T6309"/>
    <mergeCell ref="U6308:V6309"/>
    <mergeCell ref="W6308:W6309"/>
    <mergeCell ref="X6308:AB6308"/>
    <mergeCell ref="AD6308:AI6308"/>
    <mergeCell ref="AJ6308:AL6308"/>
    <mergeCell ref="AN6308:AO6308"/>
    <mergeCell ref="AP6308:AQ6308"/>
    <mergeCell ref="AR6308:AS6309"/>
    <mergeCell ref="AT6308:AU6309"/>
    <mergeCell ref="AV6308:AW6309"/>
    <mergeCell ref="AX6308:AY6309"/>
    <mergeCell ref="AZ6308:AZ6309"/>
    <mergeCell ref="F6309:H6309"/>
    <mergeCell ref="X6309:AB6309"/>
    <mergeCell ref="AE6309:AI6309"/>
    <mergeCell ref="AJ6309:AL6309"/>
    <mergeCell ref="AN6309:AO6309"/>
    <mergeCell ref="AP6309:AQ6309"/>
    <mergeCell ref="A6310:A6311"/>
    <mergeCell ref="E6310:E6311"/>
    <mergeCell ref="F6310:H6310"/>
    <mergeCell ref="J6310:J6311"/>
    <mergeCell ref="K6310:L6311"/>
    <mergeCell ref="M6310:N6311"/>
    <mergeCell ref="O6310:P6311"/>
    <mergeCell ref="Q6310:R6311"/>
    <mergeCell ref="S6310:T6311"/>
    <mergeCell ref="U6310:V6311"/>
    <mergeCell ref="W6310:W6311"/>
    <mergeCell ref="X6310:AB6310"/>
    <mergeCell ref="AD6310:AI6310"/>
    <mergeCell ref="AJ6310:AL6310"/>
    <mergeCell ref="AN6310:AO6310"/>
    <mergeCell ref="AP6310:AQ6310"/>
    <mergeCell ref="AR6310:AS6311"/>
    <mergeCell ref="AT6310:AU6311"/>
    <mergeCell ref="AV6310:AW6311"/>
    <mergeCell ref="AX6310:AY6311"/>
    <mergeCell ref="AZ6310:AZ6311"/>
    <mergeCell ref="F6311:H6311"/>
    <mergeCell ref="X6311:AB6311"/>
    <mergeCell ref="AE6311:AI6311"/>
    <mergeCell ref="AJ6311:AL6311"/>
    <mergeCell ref="AN6311:AO6311"/>
    <mergeCell ref="AP6311:AQ6311"/>
    <mergeCell ref="AZ6318:AZ6319"/>
    <mergeCell ref="F6319:H6319"/>
    <mergeCell ref="X6319:AB6319"/>
    <mergeCell ref="AE6319:AI6319"/>
    <mergeCell ref="AJ6319:AL6319"/>
    <mergeCell ref="AN6319:AO6319"/>
    <mergeCell ref="AP6319:AQ6319"/>
    <mergeCell ref="A6312:A6313"/>
    <mergeCell ref="E6312:E6313"/>
    <mergeCell ref="F6312:H6312"/>
    <mergeCell ref="J6312:J6313"/>
    <mergeCell ref="K6312:L6313"/>
    <mergeCell ref="M6312:N6313"/>
    <mergeCell ref="O6312:P6313"/>
    <mergeCell ref="Q6312:R6313"/>
    <mergeCell ref="S6312:T6313"/>
    <mergeCell ref="U6312:V6313"/>
    <mergeCell ref="W6312:W6313"/>
    <mergeCell ref="X6312:AB6312"/>
    <mergeCell ref="AD6312:AI6312"/>
    <mergeCell ref="AJ6312:AL6312"/>
    <mergeCell ref="AN6312:AO6312"/>
    <mergeCell ref="AP6312:AQ6312"/>
    <mergeCell ref="AR6312:AS6313"/>
    <mergeCell ref="AT6312:AU6313"/>
    <mergeCell ref="AV6312:AW6313"/>
    <mergeCell ref="AX6312:AY6313"/>
    <mergeCell ref="AZ6312:AZ6313"/>
    <mergeCell ref="F6313:H6313"/>
    <mergeCell ref="X6313:AB6313"/>
    <mergeCell ref="AE6313:AI6313"/>
    <mergeCell ref="AJ6313:AL6313"/>
    <mergeCell ref="AN6313:AO6313"/>
    <mergeCell ref="AP6313:AQ6313"/>
    <mergeCell ref="A6314:A6315"/>
    <mergeCell ref="E6314:E6315"/>
    <mergeCell ref="F6314:H6314"/>
    <mergeCell ref="J6314:J6315"/>
    <mergeCell ref="K6314:L6315"/>
    <mergeCell ref="M6314:N6315"/>
    <mergeCell ref="O6314:P6315"/>
    <mergeCell ref="Q6314:R6315"/>
    <mergeCell ref="S6314:T6315"/>
    <mergeCell ref="U6314:V6315"/>
    <mergeCell ref="W6314:W6315"/>
    <mergeCell ref="X6314:AB6314"/>
    <mergeCell ref="AD6314:AI6314"/>
    <mergeCell ref="AJ6314:AL6314"/>
    <mergeCell ref="AN6314:AO6314"/>
    <mergeCell ref="AP6314:AQ6314"/>
    <mergeCell ref="AR6314:AS6315"/>
    <mergeCell ref="AT6314:AU6315"/>
    <mergeCell ref="AV6314:AW6315"/>
    <mergeCell ref="AX6314:AY6315"/>
    <mergeCell ref="AZ6314:AZ6315"/>
    <mergeCell ref="F6315:H6315"/>
    <mergeCell ref="X6315:AB6315"/>
    <mergeCell ref="AE6315:AI6315"/>
    <mergeCell ref="AJ6315:AL6315"/>
    <mergeCell ref="AN6315:AO6315"/>
    <mergeCell ref="AP6315:AQ6315"/>
    <mergeCell ref="AZ6330:AZ6331"/>
    <mergeCell ref="F6331:H6331"/>
    <mergeCell ref="X6331:AB6331"/>
    <mergeCell ref="AE6331:AI6331"/>
    <mergeCell ref="AJ6331:AL6331"/>
    <mergeCell ref="AN6331:AO6331"/>
    <mergeCell ref="AP6331:AQ6331"/>
    <mergeCell ref="A6322:A6323"/>
    <mergeCell ref="E6322:E6323"/>
    <mergeCell ref="F6322:H6322"/>
    <mergeCell ref="J6322:J6323"/>
    <mergeCell ref="K6322:L6323"/>
    <mergeCell ref="M6322:N6323"/>
    <mergeCell ref="O6322:P6323"/>
    <mergeCell ref="Q6322:R6323"/>
    <mergeCell ref="S6322:T6323"/>
    <mergeCell ref="U6322:V6323"/>
    <mergeCell ref="A6316:A6317"/>
    <mergeCell ref="E6316:E6317"/>
    <mergeCell ref="F6316:H6316"/>
    <mergeCell ref="J6316:J6317"/>
    <mergeCell ref="K6316:L6317"/>
    <mergeCell ref="M6316:N6317"/>
    <mergeCell ref="O6316:P6317"/>
    <mergeCell ref="Q6316:R6317"/>
    <mergeCell ref="S6316:T6317"/>
    <mergeCell ref="U6316:V6317"/>
    <mergeCell ref="W6316:W6317"/>
    <mergeCell ref="X6316:AB6316"/>
    <mergeCell ref="AD6316:AI6316"/>
    <mergeCell ref="AJ6316:AL6316"/>
    <mergeCell ref="AN6316:AO6316"/>
    <mergeCell ref="AP6316:AQ6316"/>
    <mergeCell ref="AR6316:AS6317"/>
    <mergeCell ref="AT6316:AU6317"/>
    <mergeCell ref="AV6316:AW6317"/>
    <mergeCell ref="AX6316:AY6317"/>
    <mergeCell ref="AZ6316:AZ6317"/>
    <mergeCell ref="F6317:H6317"/>
    <mergeCell ref="X6317:AB6317"/>
    <mergeCell ref="AE6317:AI6317"/>
    <mergeCell ref="AJ6317:AL6317"/>
    <mergeCell ref="AN6317:AO6317"/>
    <mergeCell ref="AP6317:AQ6317"/>
    <mergeCell ref="A6318:A6319"/>
    <mergeCell ref="E6318:E6319"/>
    <mergeCell ref="F6318:H6318"/>
    <mergeCell ref="J6318:J6319"/>
    <mergeCell ref="K6318:L6319"/>
    <mergeCell ref="M6318:N6319"/>
    <mergeCell ref="O6318:P6319"/>
    <mergeCell ref="Q6318:R6319"/>
    <mergeCell ref="S6318:T6319"/>
    <mergeCell ref="U6318:V6319"/>
    <mergeCell ref="W6318:W6319"/>
    <mergeCell ref="X6318:AB6318"/>
    <mergeCell ref="AD6318:AI6318"/>
    <mergeCell ref="AJ6318:AL6318"/>
    <mergeCell ref="AN6318:AO6318"/>
    <mergeCell ref="AP6318:AQ6318"/>
    <mergeCell ref="AR6318:AS6319"/>
    <mergeCell ref="AT6318:AU6319"/>
    <mergeCell ref="AV6318:AW6319"/>
    <mergeCell ref="AX6318:AY6319"/>
    <mergeCell ref="U6334:V6335"/>
    <mergeCell ref="W6334:W6335"/>
    <mergeCell ref="X6334:AB6334"/>
    <mergeCell ref="AD6334:AI6334"/>
    <mergeCell ref="AJ6334:AL6334"/>
    <mergeCell ref="AN6334:AO6334"/>
    <mergeCell ref="AP6334:AQ6334"/>
    <mergeCell ref="AR6334:AS6335"/>
    <mergeCell ref="AT6334:AU6335"/>
    <mergeCell ref="AV6334:AW6335"/>
    <mergeCell ref="AX6334:AY6335"/>
    <mergeCell ref="AZ6334:AZ6335"/>
    <mergeCell ref="F6335:H6335"/>
    <mergeCell ref="X6335:AB6335"/>
    <mergeCell ref="AE6335:AI6335"/>
    <mergeCell ref="AJ6335:AL6335"/>
    <mergeCell ref="AN6335:AO6335"/>
    <mergeCell ref="AP6335:AQ6335"/>
    <mergeCell ref="A6320:A6321"/>
    <mergeCell ref="E6320:E6321"/>
    <mergeCell ref="F6320:H6320"/>
    <mergeCell ref="J6320:J6321"/>
    <mergeCell ref="K6320:L6321"/>
    <mergeCell ref="M6320:N6321"/>
    <mergeCell ref="O6320:P6321"/>
    <mergeCell ref="Q6320:R6321"/>
    <mergeCell ref="S6320:T6321"/>
    <mergeCell ref="U6320:V6321"/>
    <mergeCell ref="W6320:W6321"/>
    <mergeCell ref="X6320:AB6320"/>
    <mergeCell ref="AD6320:AI6320"/>
    <mergeCell ref="AJ6320:AL6320"/>
    <mergeCell ref="AN6320:AO6320"/>
    <mergeCell ref="AP6320:AQ6320"/>
    <mergeCell ref="AR6320:AS6321"/>
    <mergeCell ref="AT6320:AU6321"/>
    <mergeCell ref="AV6320:AW6321"/>
    <mergeCell ref="AX6320:AY6321"/>
    <mergeCell ref="AZ6320:AZ6321"/>
    <mergeCell ref="F6321:H6321"/>
    <mergeCell ref="X6321:AB6321"/>
    <mergeCell ref="AE6321:AI6321"/>
    <mergeCell ref="AJ6321:AL6321"/>
    <mergeCell ref="AN6321:AO6321"/>
    <mergeCell ref="AP6321:AQ6321"/>
    <mergeCell ref="E6330:E6331"/>
    <mergeCell ref="F6330:H6330"/>
    <mergeCell ref="J6330:J6331"/>
    <mergeCell ref="K6330:L6331"/>
    <mergeCell ref="M6330:N6331"/>
    <mergeCell ref="O6330:P6331"/>
    <mergeCell ref="Q6330:R6331"/>
    <mergeCell ref="S6330:T6331"/>
    <mergeCell ref="U6330:V6331"/>
    <mergeCell ref="W6330:W6331"/>
    <mergeCell ref="X6330:AB6330"/>
    <mergeCell ref="AD6330:AI6330"/>
    <mergeCell ref="AJ6330:AL6330"/>
    <mergeCell ref="AN6330:AO6330"/>
    <mergeCell ref="AP6330:AQ6330"/>
    <mergeCell ref="AR6330:AS6331"/>
    <mergeCell ref="AT6330:AU6331"/>
    <mergeCell ref="AV6330:AW6331"/>
    <mergeCell ref="AX6330:AY6331"/>
    <mergeCell ref="A6330:A6331"/>
    <mergeCell ref="A6336:A6337"/>
    <mergeCell ref="E6336:E6337"/>
    <mergeCell ref="F6336:H6336"/>
    <mergeCell ref="J6336:J6337"/>
    <mergeCell ref="K6336:L6337"/>
    <mergeCell ref="M6336:N6337"/>
    <mergeCell ref="O6336:P6337"/>
    <mergeCell ref="Q6336:R6337"/>
    <mergeCell ref="S6336:T6337"/>
    <mergeCell ref="U6336:V6337"/>
    <mergeCell ref="W6336:W6337"/>
    <mergeCell ref="X6336:AB6336"/>
    <mergeCell ref="AD6336:AI6336"/>
    <mergeCell ref="AJ6336:AL6336"/>
    <mergeCell ref="AN6336:AO6336"/>
    <mergeCell ref="AP6336:AQ6336"/>
    <mergeCell ref="AR6336:AS6337"/>
    <mergeCell ref="AT6336:AU6337"/>
    <mergeCell ref="AV6336:AW6337"/>
    <mergeCell ref="AX6336:AY6337"/>
    <mergeCell ref="AZ6336:AZ6337"/>
    <mergeCell ref="F6337:H6337"/>
    <mergeCell ref="X6337:AB6337"/>
    <mergeCell ref="AE6337:AI6337"/>
    <mergeCell ref="AJ6337:AL6337"/>
    <mergeCell ref="AN6337:AO6337"/>
    <mergeCell ref="AP6337:AQ6337"/>
    <mergeCell ref="A6332:A6333"/>
    <mergeCell ref="E6332:E6333"/>
    <mergeCell ref="F6332:H6332"/>
    <mergeCell ref="J6332:J6333"/>
    <mergeCell ref="K6332:L6333"/>
    <mergeCell ref="M6332:N6333"/>
    <mergeCell ref="O6332:P6333"/>
    <mergeCell ref="Q6332:R6333"/>
    <mergeCell ref="S6332:T6333"/>
    <mergeCell ref="U6332:V6333"/>
    <mergeCell ref="W6332:W6333"/>
    <mergeCell ref="X6332:AB6332"/>
    <mergeCell ref="AD6332:AI6332"/>
    <mergeCell ref="AJ6332:AL6332"/>
    <mergeCell ref="AN6332:AO6332"/>
    <mergeCell ref="AP6332:AQ6332"/>
    <mergeCell ref="AR6332:AS6333"/>
    <mergeCell ref="AT6332:AU6333"/>
    <mergeCell ref="AV6332:AW6333"/>
    <mergeCell ref="AX6332:AY6333"/>
    <mergeCell ref="AZ6332:AZ6333"/>
    <mergeCell ref="F6333:H6333"/>
    <mergeCell ref="X6333:AB6333"/>
    <mergeCell ref="AE6333:AI6333"/>
    <mergeCell ref="AJ6333:AL6333"/>
    <mergeCell ref="AN6333:AO6333"/>
    <mergeCell ref="AP6333:AQ6333"/>
    <mergeCell ref="A6334:A6335"/>
    <mergeCell ref="E6334:E6335"/>
    <mergeCell ref="F6334:H6334"/>
    <mergeCell ref="J6334:J6335"/>
    <mergeCell ref="K6334:L6335"/>
    <mergeCell ref="M6334:N6335"/>
    <mergeCell ref="O6334:P6335"/>
    <mergeCell ref="Q6334:R6335"/>
    <mergeCell ref="S6334:T6335"/>
    <mergeCell ref="A6338:A6339"/>
    <mergeCell ref="E6338:E6339"/>
    <mergeCell ref="F6338:H6338"/>
    <mergeCell ref="J6338:J6339"/>
    <mergeCell ref="K6338:L6339"/>
    <mergeCell ref="M6338:N6339"/>
    <mergeCell ref="O6338:P6339"/>
    <mergeCell ref="Q6338:R6339"/>
    <mergeCell ref="S6338:T6339"/>
    <mergeCell ref="U6338:V6339"/>
    <mergeCell ref="W6338:W6339"/>
    <mergeCell ref="X6338:AB6338"/>
    <mergeCell ref="AD6338:AI6338"/>
    <mergeCell ref="AJ6338:AL6338"/>
    <mergeCell ref="AN6338:AO6338"/>
    <mergeCell ref="AP6338:AQ6338"/>
    <mergeCell ref="AR6338:AS6339"/>
    <mergeCell ref="AT6338:AU6339"/>
    <mergeCell ref="AV6338:AW6339"/>
    <mergeCell ref="AX6338:AY6339"/>
    <mergeCell ref="AZ6338:AZ6339"/>
    <mergeCell ref="F6339:H6339"/>
    <mergeCell ref="X6339:AB6339"/>
    <mergeCell ref="AE6339:AI6339"/>
    <mergeCell ref="AJ6339:AL6339"/>
    <mergeCell ref="AN6339:AO6339"/>
    <mergeCell ref="AP6339:AQ6339"/>
    <mergeCell ref="A6340:A6341"/>
    <mergeCell ref="E6340:E6341"/>
    <mergeCell ref="F6340:H6340"/>
    <mergeCell ref="J6340:J6341"/>
    <mergeCell ref="K6340:L6341"/>
    <mergeCell ref="M6340:N6341"/>
    <mergeCell ref="O6340:P6341"/>
    <mergeCell ref="Q6340:R6341"/>
    <mergeCell ref="S6340:T6341"/>
    <mergeCell ref="U6340:V6341"/>
    <mergeCell ref="W6340:W6341"/>
    <mergeCell ref="X6340:AB6340"/>
    <mergeCell ref="AD6340:AI6340"/>
    <mergeCell ref="AJ6340:AL6340"/>
    <mergeCell ref="AN6340:AO6340"/>
    <mergeCell ref="AP6340:AQ6340"/>
    <mergeCell ref="AR6340:AS6341"/>
    <mergeCell ref="AT6340:AU6341"/>
    <mergeCell ref="AV6340:AW6341"/>
    <mergeCell ref="AX6340:AY6341"/>
    <mergeCell ref="AZ6340:AZ6341"/>
    <mergeCell ref="F6341:H6341"/>
    <mergeCell ref="X6341:AB6341"/>
    <mergeCell ref="AE6341:AI6341"/>
    <mergeCell ref="AJ6341:AL6341"/>
    <mergeCell ref="AN6341:AO6341"/>
    <mergeCell ref="AP6341:AQ6341"/>
    <mergeCell ref="A6342:A6343"/>
    <mergeCell ref="E6342:E6343"/>
    <mergeCell ref="F6342:H6342"/>
    <mergeCell ref="J6342:J6343"/>
    <mergeCell ref="K6342:L6343"/>
    <mergeCell ref="M6342:N6343"/>
    <mergeCell ref="O6342:P6343"/>
    <mergeCell ref="Q6342:R6343"/>
    <mergeCell ref="S6342:T6343"/>
    <mergeCell ref="U6342:V6343"/>
    <mergeCell ref="W6342:W6343"/>
    <mergeCell ref="X6342:AB6342"/>
    <mergeCell ref="AD6342:AI6342"/>
    <mergeCell ref="AJ6342:AL6342"/>
    <mergeCell ref="AN6342:AO6342"/>
    <mergeCell ref="AP6342:AQ6342"/>
    <mergeCell ref="AR6342:AS6343"/>
    <mergeCell ref="AT6342:AU6343"/>
    <mergeCell ref="AV6342:AW6343"/>
    <mergeCell ref="AX6342:AY6343"/>
    <mergeCell ref="AZ6342:AZ6343"/>
    <mergeCell ref="F6343:H6343"/>
    <mergeCell ref="X6343:AB6343"/>
    <mergeCell ref="AE6343:AI6343"/>
    <mergeCell ref="AJ6343:AL6343"/>
    <mergeCell ref="AN6343:AO6343"/>
    <mergeCell ref="AP6343:AQ6343"/>
    <mergeCell ref="A6344:A6345"/>
    <mergeCell ref="E6344:E6345"/>
    <mergeCell ref="F6344:H6344"/>
    <mergeCell ref="J6344:J6345"/>
    <mergeCell ref="K6344:L6345"/>
    <mergeCell ref="M6344:N6345"/>
    <mergeCell ref="O6344:P6345"/>
    <mergeCell ref="Q6344:R6345"/>
    <mergeCell ref="S6344:T6345"/>
    <mergeCell ref="U6344:V6345"/>
    <mergeCell ref="W6344:W6345"/>
    <mergeCell ref="X6344:AB6344"/>
    <mergeCell ref="AD6344:AI6344"/>
    <mergeCell ref="AJ6344:AL6344"/>
    <mergeCell ref="AN6344:AO6344"/>
    <mergeCell ref="AP6344:AQ6344"/>
    <mergeCell ref="AR6344:AS6345"/>
    <mergeCell ref="AT6344:AU6345"/>
    <mergeCell ref="AV6344:AW6345"/>
    <mergeCell ref="AX6344:AY6345"/>
    <mergeCell ref="AZ6344:AZ6345"/>
    <mergeCell ref="F6345:H6345"/>
    <mergeCell ref="X6345:AB6345"/>
    <mergeCell ref="AE6345:AI6345"/>
    <mergeCell ref="AJ6345:AL6345"/>
    <mergeCell ref="AN6345:AO6345"/>
    <mergeCell ref="AP6345:AQ6345"/>
    <mergeCell ref="A6346:A6347"/>
    <mergeCell ref="E6346:E6347"/>
    <mergeCell ref="F6346:H6346"/>
    <mergeCell ref="J6346:J6347"/>
    <mergeCell ref="K6346:L6347"/>
    <mergeCell ref="M6346:N6347"/>
    <mergeCell ref="O6346:P6347"/>
    <mergeCell ref="Q6346:R6347"/>
    <mergeCell ref="S6346:T6347"/>
    <mergeCell ref="U6346:V6347"/>
    <mergeCell ref="W6346:W6347"/>
    <mergeCell ref="X6346:AB6346"/>
    <mergeCell ref="AD6346:AI6346"/>
    <mergeCell ref="AJ6346:AL6346"/>
    <mergeCell ref="AN6346:AO6346"/>
    <mergeCell ref="AP6346:AQ6346"/>
    <mergeCell ref="AR6346:AS6347"/>
    <mergeCell ref="AT6346:AU6347"/>
    <mergeCell ref="AV6346:AW6347"/>
    <mergeCell ref="AX6346:AY6347"/>
    <mergeCell ref="AZ6346:AZ6347"/>
    <mergeCell ref="F6347:H6347"/>
    <mergeCell ref="X6347:AB6347"/>
    <mergeCell ref="AE6347:AI6347"/>
    <mergeCell ref="AJ6347:AL6347"/>
    <mergeCell ref="AN6347:AO6347"/>
    <mergeCell ref="AP6347:AQ6347"/>
    <mergeCell ref="A6348:A6349"/>
    <mergeCell ref="E6348:E6349"/>
    <mergeCell ref="F6348:H6348"/>
    <mergeCell ref="J6348:J6349"/>
    <mergeCell ref="K6348:L6349"/>
    <mergeCell ref="M6348:N6349"/>
    <mergeCell ref="O6348:P6349"/>
    <mergeCell ref="Q6348:R6349"/>
    <mergeCell ref="S6348:T6349"/>
    <mergeCell ref="U6348:V6349"/>
    <mergeCell ref="W6348:W6349"/>
    <mergeCell ref="X6348:AB6348"/>
    <mergeCell ref="AD6348:AI6348"/>
    <mergeCell ref="AJ6348:AL6348"/>
    <mergeCell ref="AN6348:AO6348"/>
    <mergeCell ref="AP6348:AQ6348"/>
    <mergeCell ref="AR6348:AS6349"/>
    <mergeCell ref="AT6348:AU6349"/>
    <mergeCell ref="AV6348:AW6349"/>
    <mergeCell ref="AX6348:AY6349"/>
    <mergeCell ref="AZ6348:AZ6349"/>
    <mergeCell ref="F6349:H6349"/>
    <mergeCell ref="X6349:AB6349"/>
    <mergeCell ref="AE6349:AI6349"/>
    <mergeCell ref="AJ6349:AL6349"/>
    <mergeCell ref="AN6349:AO6349"/>
    <mergeCell ref="AP6349:AQ6349"/>
    <mergeCell ref="A6350:A6351"/>
    <mergeCell ref="E6350:E6351"/>
    <mergeCell ref="F6350:H6350"/>
    <mergeCell ref="J6350:J6351"/>
    <mergeCell ref="K6350:L6351"/>
    <mergeCell ref="M6350:N6351"/>
    <mergeCell ref="O6350:P6351"/>
    <mergeCell ref="Q6350:R6351"/>
    <mergeCell ref="S6350:T6351"/>
    <mergeCell ref="U6350:V6351"/>
    <mergeCell ref="W6350:W6351"/>
    <mergeCell ref="X6350:AB6350"/>
    <mergeCell ref="AD6350:AI6350"/>
    <mergeCell ref="AJ6350:AL6350"/>
    <mergeCell ref="AN6350:AO6350"/>
    <mergeCell ref="AP6350:AQ6350"/>
    <mergeCell ref="AR6350:AS6351"/>
    <mergeCell ref="AT6350:AU6351"/>
    <mergeCell ref="AV6350:AW6351"/>
    <mergeCell ref="AX6350:AY6351"/>
    <mergeCell ref="AZ6350:AZ6351"/>
    <mergeCell ref="F6351:H6351"/>
    <mergeCell ref="X6351:AB6351"/>
    <mergeCell ref="AE6351:AI6351"/>
    <mergeCell ref="AJ6351:AL6351"/>
    <mergeCell ref="AN6351:AO6351"/>
    <mergeCell ref="AP6351:AQ6351"/>
    <mergeCell ref="A6352:A6353"/>
    <mergeCell ref="E6352:E6353"/>
    <mergeCell ref="F6352:H6352"/>
    <mergeCell ref="J6352:J6353"/>
    <mergeCell ref="K6352:L6353"/>
    <mergeCell ref="M6352:N6353"/>
    <mergeCell ref="O6352:P6353"/>
    <mergeCell ref="Q6352:R6353"/>
    <mergeCell ref="S6352:T6353"/>
    <mergeCell ref="U6352:V6353"/>
    <mergeCell ref="W6352:W6353"/>
    <mergeCell ref="X6352:AB6352"/>
    <mergeCell ref="AD6352:AI6352"/>
    <mergeCell ref="AJ6352:AL6352"/>
    <mergeCell ref="AN6352:AO6352"/>
    <mergeCell ref="AP6352:AQ6352"/>
    <mergeCell ref="AR6352:AS6353"/>
    <mergeCell ref="AT6352:AU6353"/>
    <mergeCell ref="AV6352:AW6353"/>
    <mergeCell ref="AX6352:AY6353"/>
    <mergeCell ref="AZ6352:AZ6353"/>
    <mergeCell ref="F6353:H6353"/>
    <mergeCell ref="X6353:AB6353"/>
    <mergeCell ref="AE6353:AI6353"/>
    <mergeCell ref="AJ6353:AL6353"/>
    <mergeCell ref="AN6353:AO6353"/>
    <mergeCell ref="AP6353:AQ6353"/>
    <mergeCell ref="A6354:A6355"/>
    <mergeCell ref="E6354:E6355"/>
    <mergeCell ref="F6354:H6354"/>
    <mergeCell ref="J6354:J6355"/>
    <mergeCell ref="K6354:L6355"/>
    <mergeCell ref="M6354:N6355"/>
    <mergeCell ref="O6354:P6355"/>
    <mergeCell ref="Q6354:R6355"/>
    <mergeCell ref="S6354:T6355"/>
    <mergeCell ref="U6354:V6355"/>
    <mergeCell ref="W6354:W6355"/>
    <mergeCell ref="X6354:AB6354"/>
    <mergeCell ref="AD6354:AI6354"/>
    <mergeCell ref="AJ6354:AL6354"/>
    <mergeCell ref="AN6354:AO6354"/>
    <mergeCell ref="AP6354:AQ6354"/>
    <mergeCell ref="AR6354:AS6355"/>
    <mergeCell ref="AT6354:AU6355"/>
    <mergeCell ref="AV6354:AW6355"/>
    <mergeCell ref="AX6354:AY6355"/>
    <mergeCell ref="AZ6354:AZ6355"/>
    <mergeCell ref="F6355:H6355"/>
    <mergeCell ref="X6355:AB6355"/>
    <mergeCell ref="AE6355:AI6355"/>
    <mergeCell ref="AJ6355:AL6355"/>
    <mergeCell ref="AN6355:AO6355"/>
    <mergeCell ref="AP6355:AQ6355"/>
    <mergeCell ref="A6356:A6357"/>
    <mergeCell ref="E6356:E6357"/>
    <mergeCell ref="F6356:H6356"/>
    <mergeCell ref="J6356:J6357"/>
    <mergeCell ref="K6356:L6357"/>
    <mergeCell ref="M6356:N6357"/>
    <mergeCell ref="O6356:P6357"/>
    <mergeCell ref="Q6356:R6357"/>
    <mergeCell ref="S6356:T6357"/>
    <mergeCell ref="U6356:V6357"/>
    <mergeCell ref="W6356:W6357"/>
    <mergeCell ref="X6356:AB6356"/>
    <mergeCell ref="AD6356:AI6356"/>
    <mergeCell ref="AJ6356:AL6356"/>
    <mergeCell ref="AN6356:AO6356"/>
    <mergeCell ref="AP6356:AQ6356"/>
    <mergeCell ref="AR6356:AS6357"/>
    <mergeCell ref="AT6356:AU6357"/>
    <mergeCell ref="AV6356:AW6357"/>
    <mergeCell ref="AX6356:AY6357"/>
    <mergeCell ref="AZ6356:AZ6357"/>
    <mergeCell ref="F6357:H6357"/>
    <mergeCell ref="X6357:AB6357"/>
    <mergeCell ref="AE6357:AI6357"/>
    <mergeCell ref="AJ6357:AL6357"/>
    <mergeCell ref="AN6357:AO6357"/>
    <mergeCell ref="AP6357:AQ6357"/>
    <mergeCell ref="A6358:A6359"/>
    <mergeCell ref="E6358:E6359"/>
    <mergeCell ref="F6358:H6358"/>
    <mergeCell ref="J6358:J6359"/>
    <mergeCell ref="K6358:L6359"/>
    <mergeCell ref="M6358:N6359"/>
    <mergeCell ref="O6358:P6359"/>
    <mergeCell ref="Q6358:R6359"/>
    <mergeCell ref="S6358:T6359"/>
    <mergeCell ref="U6358:V6359"/>
    <mergeCell ref="W6358:W6359"/>
    <mergeCell ref="X6358:AB6358"/>
    <mergeCell ref="AD6358:AI6358"/>
    <mergeCell ref="AJ6358:AL6358"/>
    <mergeCell ref="AN6358:AO6358"/>
    <mergeCell ref="AP6358:AQ6358"/>
    <mergeCell ref="AR6358:AS6359"/>
    <mergeCell ref="AT6358:AU6359"/>
    <mergeCell ref="AV6358:AW6359"/>
    <mergeCell ref="AX6358:AY6359"/>
    <mergeCell ref="AZ6358:AZ6359"/>
    <mergeCell ref="F6359:H6359"/>
    <mergeCell ref="X6359:AB6359"/>
    <mergeCell ref="AE6359:AI6359"/>
    <mergeCell ref="AJ6359:AL6359"/>
    <mergeCell ref="AN6359:AO6359"/>
    <mergeCell ref="AP6359:AQ6359"/>
    <mergeCell ref="A6360:A6361"/>
    <mergeCell ref="E6360:E6361"/>
    <mergeCell ref="F6360:H6360"/>
    <mergeCell ref="J6360:J6361"/>
    <mergeCell ref="K6360:L6361"/>
    <mergeCell ref="M6360:N6361"/>
    <mergeCell ref="O6360:P6361"/>
    <mergeCell ref="Q6360:R6361"/>
    <mergeCell ref="S6360:T6361"/>
    <mergeCell ref="U6360:V6361"/>
    <mergeCell ref="W6360:W6361"/>
    <mergeCell ref="X6360:AB6360"/>
    <mergeCell ref="AD6360:AI6360"/>
    <mergeCell ref="AJ6360:AL6360"/>
    <mergeCell ref="AN6360:AO6360"/>
    <mergeCell ref="AP6360:AQ6360"/>
    <mergeCell ref="AR6360:AS6361"/>
    <mergeCell ref="AT6360:AU6361"/>
    <mergeCell ref="AV6360:AW6361"/>
    <mergeCell ref="AX6360:AY6361"/>
    <mergeCell ref="AZ6360:AZ6361"/>
    <mergeCell ref="F6361:H6361"/>
    <mergeCell ref="X6361:AB6361"/>
    <mergeCell ref="AE6361:AI6361"/>
    <mergeCell ref="AJ6361:AL6361"/>
    <mergeCell ref="AN6361:AO6361"/>
    <mergeCell ref="AP6361:AQ6361"/>
    <mergeCell ref="A6362:A6363"/>
    <mergeCell ref="E6362:E6363"/>
    <mergeCell ref="F6362:H6362"/>
    <mergeCell ref="J6362:J6363"/>
    <mergeCell ref="K6362:L6363"/>
    <mergeCell ref="M6362:N6363"/>
    <mergeCell ref="O6362:P6363"/>
    <mergeCell ref="Q6362:R6363"/>
    <mergeCell ref="S6362:T6363"/>
    <mergeCell ref="U6362:V6363"/>
    <mergeCell ref="W6362:W6363"/>
    <mergeCell ref="X6362:AB6362"/>
    <mergeCell ref="AD6362:AI6362"/>
    <mergeCell ref="AJ6362:AL6362"/>
    <mergeCell ref="AN6362:AO6362"/>
    <mergeCell ref="AP6362:AQ6362"/>
    <mergeCell ref="AR6362:AS6363"/>
    <mergeCell ref="AT6362:AU6363"/>
    <mergeCell ref="AV6362:AW6363"/>
    <mergeCell ref="AX6362:AY6363"/>
    <mergeCell ref="AZ6362:AZ6363"/>
    <mergeCell ref="F6363:H6363"/>
    <mergeCell ref="X6363:AB6363"/>
    <mergeCell ref="AE6363:AI6363"/>
    <mergeCell ref="AJ6363:AL6363"/>
    <mergeCell ref="AN6363:AO6363"/>
    <mergeCell ref="AP6363:AQ6363"/>
    <mergeCell ref="A6364:A6365"/>
    <mergeCell ref="E6364:E6365"/>
    <mergeCell ref="F6364:H6364"/>
    <mergeCell ref="J6364:J6365"/>
    <mergeCell ref="K6364:L6365"/>
    <mergeCell ref="M6364:N6365"/>
    <mergeCell ref="O6364:P6365"/>
    <mergeCell ref="Q6364:R6365"/>
    <mergeCell ref="S6364:T6365"/>
    <mergeCell ref="U6364:V6365"/>
    <mergeCell ref="W6364:W6365"/>
    <mergeCell ref="X6364:AB6364"/>
    <mergeCell ref="AD6364:AI6364"/>
    <mergeCell ref="AJ6364:AL6364"/>
    <mergeCell ref="AN6364:AO6364"/>
    <mergeCell ref="AP6364:AQ6364"/>
    <mergeCell ref="AR6364:AS6365"/>
    <mergeCell ref="AT6364:AU6365"/>
    <mergeCell ref="AV6364:AW6365"/>
    <mergeCell ref="AX6364:AY6365"/>
    <mergeCell ref="AZ6364:AZ6365"/>
    <mergeCell ref="F6365:H6365"/>
    <mergeCell ref="X6365:AB6365"/>
    <mergeCell ref="AE6365:AI6365"/>
    <mergeCell ref="AJ6365:AL6365"/>
    <mergeCell ref="AN6365:AO6365"/>
    <mergeCell ref="AP6365:AQ6365"/>
    <mergeCell ref="A6366:A6367"/>
    <mergeCell ref="E6366:E6367"/>
    <mergeCell ref="F6366:H6366"/>
    <mergeCell ref="J6366:J6367"/>
    <mergeCell ref="K6366:L6367"/>
    <mergeCell ref="M6366:N6367"/>
    <mergeCell ref="O6366:P6367"/>
    <mergeCell ref="Q6366:R6367"/>
    <mergeCell ref="S6366:T6367"/>
    <mergeCell ref="U6366:V6367"/>
    <mergeCell ref="W6366:W6367"/>
    <mergeCell ref="X6366:AB6366"/>
    <mergeCell ref="AD6366:AI6366"/>
    <mergeCell ref="AJ6366:AL6366"/>
    <mergeCell ref="AN6366:AO6366"/>
    <mergeCell ref="AP6366:AQ6366"/>
    <mergeCell ref="AR6366:AS6367"/>
    <mergeCell ref="AT6366:AU6367"/>
    <mergeCell ref="AV6366:AW6367"/>
    <mergeCell ref="AX6366:AY6367"/>
    <mergeCell ref="AZ6366:AZ6367"/>
    <mergeCell ref="F6367:H6367"/>
    <mergeCell ref="X6367:AB6367"/>
    <mergeCell ref="AE6367:AI6367"/>
    <mergeCell ref="AJ6367:AL6367"/>
    <mergeCell ref="AN6367:AO6367"/>
    <mergeCell ref="AP6367:AQ6367"/>
    <mergeCell ref="A6368:A6369"/>
    <mergeCell ref="E6368:E6369"/>
    <mergeCell ref="F6368:H6368"/>
    <mergeCell ref="J6368:J6369"/>
    <mergeCell ref="K6368:L6369"/>
    <mergeCell ref="M6368:N6369"/>
    <mergeCell ref="O6368:P6369"/>
    <mergeCell ref="Q6368:R6369"/>
    <mergeCell ref="S6368:T6369"/>
    <mergeCell ref="U6368:V6369"/>
    <mergeCell ref="W6368:W6369"/>
    <mergeCell ref="X6368:AB6368"/>
    <mergeCell ref="AD6368:AI6368"/>
    <mergeCell ref="AJ6368:AL6368"/>
    <mergeCell ref="AN6368:AO6368"/>
    <mergeCell ref="AP6368:AQ6368"/>
    <mergeCell ref="AR6368:AS6369"/>
    <mergeCell ref="AT6368:AU6369"/>
    <mergeCell ref="AV6368:AW6369"/>
    <mergeCell ref="AX6368:AY6369"/>
    <mergeCell ref="AZ6368:AZ6369"/>
    <mergeCell ref="F6369:H6369"/>
    <mergeCell ref="X6369:AB6369"/>
    <mergeCell ref="AE6369:AI6369"/>
    <mergeCell ref="AJ6369:AL6369"/>
    <mergeCell ref="AN6369:AO6369"/>
    <mergeCell ref="AP6369:AQ6369"/>
    <mergeCell ref="A6370:A6371"/>
    <mergeCell ref="E6370:E6371"/>
    <mergeCell ref="F6370:H6370"/>
    <mergeCell ref="J6370:J6371"/>
    <mergeCell ref="K6370:L6371"/>
    <mergeCell ref="M6370:N6371"/>
    <mergeCell ref="O6370:P6371"/>
    <mergeCell ref="Q6370:R6371"/>
    <mergeCell ref="S6370:T6371"/>
    <mergeCell ref="U6370:V6371"/>
    <mergeCell ref="W6370:W6371"/>
    <mergeCell ref="X6370:AB6370"/>
    <mergeCell ref="AD6370:AI6370"/>
    <mergeCell ref="AJ6370:AL6370"/>
    <mergeCell ref="AN6370:AO6370"/>
    <mergeCell ref="AP6370:AQ6370"/>
    <mergeCell ref="AR6370:AS6371"/>
    <mergeCell ref="AT6370:AU6371"/>
    <mergeCell ref="AV6370:AW6371"/>
    <mergeCell ref="AX6370:AY6371"/>
    <mergeCell ref="AZ6370:AZ6371"/>
    <mergeCell ref="F6371:H6371"/>
    <mergeCell ref="X6371:AB6371"/>
    <mergeCell ref="AE6371:AI6371"/>
    <mergeCell ref="AJ6371:AL6371"/>
    <mergeCell ref="AN6371:AO6371"/>
    <mergeCell ref="AP6371:AQ6371"/>
    <mergeCell ref="A6372:A6373"/>
    <mergeCell ref="E6372:E6373"/>
    <mergeCell ref="F6372:H6372"/>
    <mergeCell ref="J6372:J6373"/>
    <mergeCell ref="K6372:L6373"/>
    <mergeCell ref="M6372:N6373"/>
    <mergeCell ref="O6372:P6373"/>
    <mergeCell ref="Q6372:R6373"/>
    <mergeCell ref="S6372:T6373"/>
    <mergeCell ref="U6372:V6373"/>
    <mergeCell ref="W6372:W6373"/>
    <mergeCell ref="X6372:AB6372"/>
    <mergeCell ref="AD6372:AI6372"/>
    <mergeCell ref="AJ6372:AL6372"/>
    <mergeCell ref="AN6372:AO6372"/>
    <mergeCell ref="AP6372:AQ6372"/>
    <mergeCell ref="AR6372:AS6373"/>
    <mergeCell ref="AT6372:AU6373"/>
    <mergeCell ref="AV6372:AW6373"/>
    <mergeCell ref="AX6372:AY6373"/>
    <mergeCell ref="AZ6372:AZ6373"/>
    <mergeCell ref="F6373:H6373"/>
    <mergeCell ref="X6373:AB6373"/>
    <mergeCell ref="AE6373:AI6373"/>
    <mergeCell ref="AJ6373:AL6373"/>
    <mergeCell ref="AN6373:AO6373"/>
    <mergeCell ref="AP6373:AQ6373"/>
    <mergeCell ref="A6374:A6375"/>
    <mergeCell ref="E6374:E6375"/>
    <mergeCell ref="F6374:H6374"/>
    <mergeCell ref="J6374:J6375"/>
    <mergeCell ref="K6374:L6375"/>
    <mergeCell ref="M6374:N6375"/>
    <mergeCell ref="O6374:P6375"/>
    <mergeCell ref="Q6374:R6375"/>
    <mergeCell ref="S6374:T6375"/>
    <mergeCell ref="U6374:V6375"/>
    <mergeCell ref="W6374:W6375"/>
    <mergeCell ref="X6374:AB6374"/>
    <mergeCell ref="AD6374:AI6374"/>
    <mergeCell ref="AJ6374:AL6374"/>
    <mergeCell ref="AN6374:AO6374"/>
    <mergeCell ref="AP6374:AQ6374"/>
    <mergeCell ref="AR6374:AS6375"/>
    <mergeCell ref="AT6374:AU6375"/>
    <mergeCell ref="AV6374:AW6375"/>
    <mergeCell ref="AX6374:AY6375"/>
    <mergeCell ref="AZ6374:AZ6375"/>
    <mergeCell ref="F6375:H6375"/>
    <mergeCell ref="X6375:AB6375"/>
    <mergeCell ref="AE6375:AI6375"/>
    <mergeCell ref="AJ6375:AL6375"/>
    <mergeCell ref="AN6375:AO6375"/>
    <mergeCell ref="AP6375:AQ6375"/>
    <mergeCell ref="A6376:A6377"/>
    <mergeCell ref="E6376:E6377"/>
    <mergeCell ref="F6376:H6376"/>
    <mergeCell ref="J6376:J6377"/>
    <mergeCell ref="K6376:L6377"/>
    <mergeCell ref="M6376:N6377"/>
    <mergeCell ref="O6376:P6377"/>
    <mergeCell ref="Q6376:R6377"/>
    <mergeCell ref="S6376:T6377"/>
    <mergeCell ref="U6376:V6377"/>
    <mergeCell ref="W6376:W6377"/>
    <mergeCell ref="X6376:AB6376"/>
    <mergeCell ref="AD6376:AI6376"/>
    <mergeCell ref="AJ6376:AL6376"/>
    <mergeCell ref="AN6376:AO6376"/>
    <mergeCell ref="AP6376:AQ6376"/>
    <mergeCell ref="AR6376:AS6377"/>
    <mergeCell ref="AT6376:AU6377"/>
    <mergeCell ref="AV6376:AW6377"/>
    <mergeCell ref="AX6376:AY6377"/>
    <mergeCell ref="AZ6376:AZ6377"/>
    <mergeCell ref="F6377:H6377"/>
    <mergeCell ref="X6377:AB6377"/>
    <mergeCell ref="AE6377:AI6377"/>
    <mergeCell ref="AJ6377:AL6377"/>
    <mergeCell ref="AN6377:AO6377"/>
    <mergeCell ref="AP6377:AQ6377"/>
    <mergeCell ref="A6378:A6379"/>
    <mergeCell ref="E6378:E6379"/>
    <mergeCell ref="F6378:H6378"/>
    <mergeCell ref="J6378:J6379"/>
    <mergeCell ref="K6378:L6379"/>
    <mergeCell ref="M6378:N6379"/>
    <mergeCell ref="O6378:P6379"/>
    <mergeCell ref="Q6378:R6379"/>
    <mergeCell ref="S6378:T6379"/>
    <mergeCell ref="U6378:V6379"/>
    <mergeCell ref="W6378:W6379"/>
    <mergeCell ref="X6378:AB6378"/>
    <mergeCell ref="AD6378:AI6378"/>
    <mergeCell ref="AJ6378:AL6378"/>
    <mergeCell ref="AN6378:AO6378"/>
    <mergeCell ref="AP6378:AQ6378"/>
    <mergeCell ref="AR6378:AS6379"/>
    <mergeCell ref="AT6378:AU6379"/>
    <mergeCell ref="AV6378:AW6379"/>
    <mergeCell ref="AX6378:AY6379"/>
    <mergeCell ref="AZ6378:AZ6379"/>
    <mergeCell ref="F6379:H6379"/>
    <mergeCell ref="X6379:AB6379"/>
    <mergeCell ref="AE6379:AI6379"/>
    <mergeCell ref="AJ6379:AL6379"/>
    <mergeCell ref="AN6379:AO6379"/>
    <mergeCell ref="AP6379:AQ6379"/>
    <mergeCell ref="A6380:A6381"/>
    <mergeCell ref="E6380:E6381"/>
    <mergeCell ref="F6380:H6380"/>
    <mergeCell ref="J6380:J6381"/>
    <mergeCell ref="K6380:L6381"/>
    <mergeCell ref="M6380:N6381"/>
    <mergeCell ref="O6380:P6381"/>
    <mergeCell ref="Q6380:R6381"/>
    <mergeCell ref="S6380:T6381"/>
    <mergeCell ref="U6380:V6381"/>
    <mergeCell ref="W6380:W6381"/>
    <mergeCell ref="X6380:AB6380"/>
    <mergeCell ref="AD6380:AI6380"/>
    <mergeCell ref="AJ6380:AL6380"/>
    <mergeCell ref="AN6380:AO6380"/>
    <mergeCell ref="AP6380:AQ6380"/>
    <mergeCell ref="AR6380:AS6381"/>
    <mergeCell ref="AT6380:AU6381"/>
    <mergeCell ref="AV6380:AW6381"/>
    <mergeCell ref="AX6380:AY6381"/>
    <mergeCell ref="AZ6380:AZ6381"/>
    <mergeCell ref="F6381:H6381"/>
    <mergeCell ref="X6381:AB6381"/>
    <mergeCell ref="AE6381:AI6381"/>
    <mergeCell ref="AJ6381:AL6381"/>
    <mergeCell ref="AN6381:AO6381"/>
    <mergeCell ref="AP6381:AQ6381"/>
    <mergeCell ref="A6382:A6383"/>
    <mergeCell ref="E6382:E6383"/>
    <mergeCell ref="F6382:H6382"/>
    <mergeCell ref="J6382:J6383"/>
    <mergeCell ref="K6382:L6383"/>
    <mergeCell ref="M6382:N6383"/>
    <mergeCell ref="O6382:P6383"/>
    <mergeCell ref="Q6382:R6383"/>
    <mergeCell ref="S6382:T6383"/>
    <mergeCell ref="U6382:V6383"/>
    <mergeCell ref="W6382:W6383"/>
    <mergeCell ref="X6382:AB6382"/>
    <mergeCell ref="AD6382:AI6382"/>
    <mergeCell ref="AJ6382:AL6382"/>
    <mergeCell ref="AN6382:AO6382"/>
    <mergeCell ref="AP6382:AQ6382"/>
    <mergeCell ref="AR6382:AS6383"/>
    <mergeCell ref="AT6382:AU6383"/>
    <mergeCell ref="AV6382:AW6383"/>
    <mergeCell ref="AX6382:AY6383"/>
    <mergeCell ref="AZ6382:AZ6383"/>
    <mergeCell ref="F6383:H6383"/>
    <mergeCell ref="X6383:AB6383"/>
    <mergeCell ref="AE6383:AI6383"/>
    <mergeCell ref="AJ6383:AL6383"/>
    <mergeCell ref="AN6383:AO6383"/>
    <mergeCell ref="AP6383:AQ6383"/>
    <mergeCell ref="A6384:A6385"/>
    <mergeCell ref="E6384:E6385"/>
    <mergeCell ref="F6384:H6384"/>
    <mergeCell ref="J6384:J6385"/>
    <mergeCell ref="K6384:L6385"/>
    <mergeCell ref="M6384:N6385"/>
    <mergeCell ref="O6384:P6385"/>
    <mergeCell ref="Q6384:R6385"/>
    <mergeCell ref="S6384:T6385"/>
    <mergeCell ref="U6384:V6385"/>
    <mergeCell ref="W6384:W6385"/>
    <mergeCell ref="X6384:AB6384"/>
    <mergeCell ref="AD6384:AI6384"/>
    <mergeCell ref="AJ6384:AL6384"/>
    <mergeCell ref="AN6384:AO6384"/>
    <mergeCell ref="AP6384:AQ6384"/>
    <mergeCell ref="AR6384:AS6385"/>
    <mergeCell ref="AT6384:AU6385"/>
    <mergeCell ref="AV6384:AW6385"/>
    <mergeCell ref="AX6384:AY6385"/>
    <mergeCell ref="AZ6384:AZ6385"/>
    <mergeCell ref="F6385:H6385"/>
    <mergeCell ref="X6385:AB6385"/>
    <mergeCell ref="AE6385:AI6385"/>
    <mergeCell ref="AJ6385:AL6385"/>
    <mergeCell ref="AN6385:AO6385"/>
    <mergeCell ref="AP6385:AQ6385"/>
    <mergeCell ref="A6386:A6387"/>
    <mergeCell ref="E6386:E6387"/>
    <mergeCell ref="F6386:H6386"/>
    <mergeCell ref="J6386:J6387"/>
    <mergeCell ref="K6386:L6387"/>
    <mergeCell ref="M6386:N6387"/>
    <mergeCell ref="O6386:P6387"/>
    <mergeCell ref="Q6386:R6387"/>
    <mergeCell ref="S6386:T6387"/>
    <mergeCell ref="U6386:V6387"/>
    <mergeCell ref="W6386:W6387"/>
    <mergeCell ref="X6386:AB6386"/>
    <mergeCell ref="AD6386:AI6386"/>
    <mergeCell ref="AJ6386:AL6386"/>
    <mergeCell ref="AN6386:AO6386"/>
    <mergeCell ref="AP6386:AQ6386"/>
    <mergeCell ref="AR6386:AS6387"/>
    <mergeCell ref="AT6386:AU6387"/>
    <mergeCell ref="AV6386:AW6387"/>
    <mergeCell ref="AX6386:AY6387"/>
    <mergeCell ref="AZ6386:AZ6387"/>
    <mergeCell ref="F6387:H6387"/>
    <mergeCell ref="X6387:AB6387"/>
    <mergeCell ref="AE6387:AI6387"/>
    <mergeCell ref="AJ6387:AL6387"/>
    <mergeCell ref="AN6387:AO6387"/>
    <mergeCell ref="AP6387:AQ6387"/>
    <mergeCell ref="A6388:A6389"/>
    <mergeCell ref="E6388:E6389"/>
    <mergeCell ref="F6388:H6388"/>
    <mergeCell ref="J6388:J6389"/>
    <mergeCell ref="K6388:L6389"/>
    <mergeCell ref="M6388:N6389"/>
    <mergeCell ref="O6388:P6389"/>
    <mergeCell ref="Q6388:R6389"/>
    <mergeCell ref="S6388:T6389"/>
    <mergeCell ref="U6388:V6389"/>
    <mergeCell ref="W6388:W6389"/>
    <mergeCell ref="X6388:AB6388"/>
    <mergeCell ref="AD6388:AI6388"/>
    <mergeCell ref="AJ6388:AL6388"/>
    <mergeCell ref="AN6388:AO6388"/>
    <mergeCell ref="AP6388:AQ6388"/>
    <mergeCell ref="AR6388:AS6389"/>
    <mergeCell ref="AT6388:AU6389"/>
    <mergeCell ref="AV6388:AW6389"/>
    <mergeCell ref="AX6388:AY6389"/>
    <mergeCell ref="AZ6388:AZ6389"/>
    <mergeCell ref="F6389:H6389"/>
    <mergeCell ref="X6389:AB6389"/>
    <mergeCell ref="AE6389:AI6389"/>
    <mergeCell ref="AJ6389:AL6389"/>
    <mergeCell ref="AN6389:AO6389"/>
    <mergeCell ref="AP6389:AQ6389"/>
    <mergeCell ref="A6390:A6391"/>
    <mergeCell ref="E6390:E6391"/>
    <mergeCell ref="F6390:H6390"/>
    <mergeCell ref="J6390:J6391"/>
    <mergeCell ref="K6390:L6391"/>
    <mergeCell ref="M6390:N6391"/>
    <mergeCell ref="O6390:P6391"/>
    <mergeCell ref="Q6390:R6391"/>
    <mergeCell ref="S6390:T6391"/>
    <mergeCell ref="U6390:V6391"/>
    <mergeCell ref="W6390:W6391"/>
    <mergeCell ref="X6390:AB6390"/>
    <mergeCell ref="AD6390:AI6390"/>
    <mergeCell ref="AJ6390:AL6390"/>
    <mergeCell ref="AN6390:AO6390"/>
    <mergeCell ref="AP6390:AQ6390"/>
    <mergeCell ref="AR6390:AS6391"/>
    <mergeCell ref="AT6390:AU6391"/>
    <mergeCell ref="AV6390:AW6391"/>
    <mergeCell ref="AX6390:AY6391"/>
    <mergeCell ref="AZ6390:AZ6391"/>
    <mergeCell ref="F6391:H6391"/>
    <mergeCell ref="X6391:AB6391"/>
    <mergeCell ref="AE6391:AI6391"/>
    <mergeCell ref="AJ6391:AL6391"/>
    <mergeCell ref="AN6391:AO6391"/>
    <mergeCell ref="AP6391:AQ6391"/>
    <mergeCell ref="A6392:A6393"/>
    <mergeCell ref="E6392:E6393"/>
    <mergeCell ref="F6392:H6392"/>
    <mergeCell ref="J6392:J6393"/>
    <mergeCell ref="K6392:L6393"/>
    <mergeCell ref="M6392:N6393"/>
    <mergeCell ref="O6392:P6393"/>
    <mergeCell ref="Q6392:R6393"/>
    <mergeCell ref="S6392:T6393"/>
    <mergeCell ref="U6392:V6393"/>
    <mergeCell ref="W6392:W6393"/>
    <mergeCell ref="X6392:AB6392"/>
    <mergeCell ref="AD6392:AI6392"/>
    <mergeCell ref="AJ6392:AL6392"/>
    <mergeCell ref="AN6392:AO6392"/>
    <mergeCell ref="AP6392:AQ6392"/>
    <mergeCell ref="AR6392:AS6393"/>
    <mergeCell ref="AT6392:AU6393"/>
    <mergeCell ref="AV6392:AW6393"/>
    <mergeCell ref="AX6392:AY6393"/>
    <mergeCell ref="AZ6392:AZ6393"/>
    <mergeCell ref="F6393:H6393"/>
    <mergeCell ref="X6393:AB6393"/>
    <mergeCell ref="AE6393:AI6393"/>
    <mergeCell ref="AJ6393:AL6393"/>
    <mergeCell ref="AN6393:AO6393"/>
    <mergeCell ref="AP6393:AQ6393"/>
    <mergeCell ref="A6394:A6395"/>
    <mergeCell ref="E6394:E6395"/>
    <mergeCell ref="F6394:H6394"/>
    <mergeCell ref="J6394:J6395"/>
    <mergeCell ref="K6394:L6395"/>
    <mergeCell ref="M6394:N6395"/>
    <mergeCell ref="O6394:P6395"/>
    <mergeCell ref="Q6394:R6395"/>
    <mergeCell ref="S6394:T6395"/>
    <mergeCell ref="U6394:V6395"/>
    <mergeCell ref="W6394:W6395"/>
    <mergeCell ref="X6394:AB6394"/>
    <mergeCell ref="AD6394:AI6394"/>
    <mergeCell ref="AJ6394:AL6394"/>
    <mergeCell ref="AN6394:AO6394"/>
    <mergeCell ref="AP6394:AQ6394"/>
    <mergeCell ref="AR6394:AS6395"/>
    <mergeCell ref="AT6394:AU6395"/>
    <mergeCell ref="AV6394:AW6395"/>
    <mergeCell ref="AX6394:AY6395"/>
    <mergeCell ref="AZ6394:AZ6395"/>
    <mergeCell ref="F6395:H6395"/>
    <mergeCell ref="X6395:AB6395"/>
    <mergeCell ref="AE6395:AI6395"/>
    <mergeCell ref="AJ6395:AL6395"/>
    <mergeCell ref="AN6395:AO6395"/>
    <mergeCell ref="AP6395:AQ6395"/>
    <mergeCell ref="A6396:A6397"/>
    <mergeCell ref="E6396:E6397"/>
    <mergeCell ref="F6396:H6396"/>
    <mergeCell ref="J6396:J6397"/>
    <mergeCell ref="K6396:L6397"/>
    <mergeCell ref="M6396:N6397"/>
    <mergeCell ref="O6396:P6397"/>
    <mergeCell ref="Q6396:R6397"/>
    <mergeCell ref="S6396:T6397"/>
    <mergeCell ref="U6396:V6397"/>
    <mergeCell ref="W6396:W6397"/>
    <mergeCell ref="X6396:AB6396"/>
    <mergeCell ref="AD6396:AI6396"/>
    <mergeCell ref="AJ6396:AL6396"/>
    <mergeCell ref="AN6396:AO6396"/>
    <mergeCell ref="AP6396:AQ6396"/>
    <mergeCell ref="AR6396:AS6397"/>
    <mergeCell ref="AT6396:AU6397"/>
    <mergeCell ref="AV6396:AW6397"/>
    <mergeCell ref="AX6396:AY6397"/>
    <mergeCell ref="AZ6396:AZ6397"/>
    <mergeCell ref="F6397:H6397"/>
    <mergeCell ref="X6397:AB6397"/>
    <mergeCell ref="AE6397:AI6397"/>
    <mergeCell ref="AJ6397:AL6397"/>
    <mergeCell ref="AN6397:AO6397"/>
    <mergeCell ref="AP6397:AQ6397"/>
    <mergeCell ref="A6398:A6399"/>
    <mergeCell ref="E6398:E6399"/>
    <mergeCell ref="F6398:H6398"/>
    <mergeCell ref="J6398:J6399"/>
    <mergeCell ref="K6398:L6399"/>
    <mergeCell ref="M6398:N6399"/>
    <mergeCell ref="O6398:P6399"/>
    <mergeCell ref="Q6398:R6399"/>
    <mergeCell ref="S6398:T6399"/>
    <mergeCell ref="U6398:V6399"/>
    <mergeCell ref="W6398:W6399"/>
    <mergeCell ref="X6398:AB6398"/>
    <mergeCell ref="AD6398:AI6398"/>
    <mergeCell ref="AJ6398:AL6398"/>
    <mergeCell ref="AN6398:AO6398"/>
    <mergeCell ref="AP6398:AQ6398"/>
    <mergeCell ref="AR6398:AS6399"/>
    <mergeCell ref="AT6398:AU6399"/>
    <mergeCell ref="AV6398:AW6399"/>
    <mergeCell ref="AX6398:AY6399"/>
    <mergeCell ref="AZ6398:AZ6399"/>
    <mergeCell ref="F6399:H6399"/>
    <mergeCell ref="X6399:AB6399"/>
    <mergeCell ref="AE6399:AI6399"/>
    <mergeCell ref="AJ6399:AL6399"/>
    <mergeCell ref="AN6399:AO6399"/>
    <mergeCell ref="AP6399:AQ6399"/>
    <mergeCell ref="A6400:A6401"/>
    <mergeCell ref="E6400:E6401"/>
    <mergeCell ref="F6400:H6400"/>
    <mergeCell ref="J6400:J6401"/>
    <mergeCell ref="K6400:L6401"/>
    <mergeCell ref="M6400:N6401"/>
    <mergeCell ref="O6400:P6401"/>
    <mergeCell ref="Q6400:R6401"/>
    <mergeCell ref="S6400:T6401"/>
    <mergeCell ref="U6400:V6401"/>
    <mergeCell ref="W6400:W6401"/>
    <mergeCell ref="X6400:AB6400"/>
    <mergeCell ref="AD6400:AI6400"/>
    <mergeCell ref="AJ6400:AL6400"/>
    <mergeCell ref="AN6400:AO6400"/>
    <mergeCell ref="AP6400:AQ6400"/>
    <mergeCell ref="AR6400:AS6401"/>
    <mergeCell ref="AT6400:AU6401"/>
    <mergeCell ref="AV6400:AW6401"/>
    <mergeCell ref="AX6400:AY6401"/>
    <mergeCell ref="AZ6400:AZ6401"/>
    <mergeCell ref="F6401:H6401"/>
    <mergeCell ref="X6401:AB6401"/>
    <mergeCell ref="AE6401:AI6401"/>
    <mergeCell ref="AJ6401:AL6401"/>
    <mergeCell ref="AN6401:AO6401"/>
    <mergeCell ref="AP6401:AQ6401"/>
    <mergeCell ref="A6402:A6403"/>
    <mergeCell ref="E6402:E6403"/>
    <mergeCell ref="F6402:H6402"/>
    <mergeCell ref="J6402:J6403"/>
    <mergeCell ref="K6402:L6403"/>
    <mergeCell ref="M6402:N6403"/>
    <mergeCell ref="O6402:P6403"/>
    <mergeCell ref="Q6402:R6403"/>
    <mergeCell ref="S6402:T6403"/>
    <mergeCell ref="U6402:V6403"/>
    <mergeCell ref="W6402:W6403"/>
    <mergeCell ref="X6402:AB6402"/>
    <mergeCell ref="AD6402:AI6402"/>
    <mergeCell ref="AJ6402:AL6402"/>
    <mergeCell ref="AN6402:AO6402"/>
    <mergeCell ref="AP6402:AQ6402"/>
    <mergeCell ref="AR6402:AS6403"/>
    <mergeCell ref="AT6402:AU6403"/>
    <mergeCell ref="AV6402:AW6403"/>
    <mergeCell ref="AX6402:AY6403"/>
    <mergeCell ref="AZ6402:AZ6403"/>
    <mergeCell ref="F6403:H6403"/>
    <mergeCell ref="X6403:AB6403"/>
    <mergeCell ref="AE6403:AI6403"/>
    <mergeCell ref="AJ6403:AL6403"/>
    <mergeCell ref="AN6403:AO6403"/>
    <mergeCell ref="AP6403:AQ6403"/>
    <mergeCell ref="A6404:A6405"/>
    <mergeCell ref="E6404:E6405"/>
    <mergeCell ref="F6404:H6404"/>
    <mergeCell ref="J6404:J6405"/>
    <mergeCell ref="K6404:L6405"/>
    <mergeCell ref="M6404:N6405"/>
    <mergeCell ref="O6404:P6405"/>
    <mergeCell ref="Q6404:R6405"/>
    <mergeCell ref="S6404:T6405"/>
    <mergeCell ref="U6404:V6405"/>
    <mergeCell ref="W6404:W6405"/>
    <mergeCell ref="X6404:AB6404"/>
    <mergeCell ref="AD6404:AI6404"/>
    <mergeCell ref="AJ6404:AL6404"/>
    <mergeCell ref="AN6404:AO6404"/>
    <mergeCell ref="AP6404:AQ6404"/>
    <mergeCell ref="AR6404:AS6405"/>
    <mergeCell ref="AT6404:AU6405"/>
    <mergeCell ref="AV6404:AW6405"/>
    <mergeCell ref="AX6404:AY6405"/>
    <mergeCell ref="AZ6404:AZ6405"/>
    <mergeCell ref="F6405:H6405"/>
    <mergeCell ref="X6405:AB6405"/>
    <mergeCell ref="AE6405:AI6405"/>
    <mergeCell ref="AJ6405:AL6405"/>
    <mergeCell ref="AN6405:AO6405"/>
    <mergeCell ref="AP6405:AQ6405"/>
    <mergeCell ref="A6406:A6407"/>
    <mergeCell ref="E6406:E6407"/>
    <mergeCell ref="F6406:H6406"/>
    <mergeCell ref="J6406:J6407"/>
    <mergeCell ref="K6406:L6407"/>
    <mergeCell ref="M6406:N6407"/>
    <mergeCell ref="O6406:P6407"/>
    <mergeCell ref="Q6406:R6407"/>
    <mergeCell ref="S6406:T6407"/>
    <mergeCell ref="U6406:V6407"/>
    <mergeCell ref="W6406:W6407"/>
    <mergeCell ref="X6406:AB6406"/>
    <mergeCell ref="AD6406:AI6406"/>
    <mergeCell ref="AJ6406:AL6406"/>
    <mergeCell ref="AN6406:AO6406"/>
    <mergeCell ref="AP6406:AQ6406"/>
    <mergeCell ref="AR6406:AS6407"/>
    <mergeCell ref="AT6406:AU6407"/>
    <mergeCell ref="AV6406:AW6407"/>
    <mergeCell ref="AX6406:AY6407"/>
    <mergeCell ref="AZ6406:AZ6407"/>
    <mergeCell ref="F6407:H6407"/>
    <mergeCell ref="X6407:AB6407"/>
    <mergeCell ref="AE6407:AI6407"/>
    <mergeCell ref="AJ6407:AL6407"/>
    <mergeCell ref="AN6407:AO6407"/>
    <mergeCell ref="AP6407:AQ6407"/>
    <mergeCell ref="A6408:A6409"/>
    <mergeCell ref="E6408:E6409"/>
    <mergeCell ref="F6408:H6408"/>
    <mergeCell ref="J6408:J6409"/>
    <mergeCell ref="K6408:L6409"/>
    <mergeCell ref="M6408:N6409"/>
    <mergeCell ref="O6408:P6409"/>
    <mergeCell ref="Q6408:R6409"/>
    <mergeCell ref="S6408:T6409"/>
    <mergeCell ref="U6408:V6409"/>
    <mergeCell ref="W6408:W6409"/>
    <mergeCell ref="X6408:AB6408"/>
    <mergeCell ref="AD6408:AI6408"/>
    <mergeCell ref="AJ6408:AL6408"/>
    <mergeCell ref="AN6408:AO6408"/>
    <mergeCell ref="AP6408:AQ6408"/>
    <mergeCell ref="AR6408:AS6409"/>
    <mergeCell ref="AT6408:AU6409"/>
    <mergeCell ref="AV6408:AW6409"/>
    <mergeCell ref="AX6408:AY6409"/>
    <mergeCell ref="AZ6408:AZ6409"/>
    <mergeCell ref="F6409:H6409"/>
    <mergeCell ref="X6409:AB6409"/>
    <mergeCell ref="AE6409:AI6409"/>
    <mergeCell ref="AJ6409:AL6409"/>
    <mergeCell ref="AN6409:AO6409"/>
    <mergeCell ref="AP6409:AQ6409"/>
    <mergeCell ref="A6410:A6411"/>
    <mergeCell ref="E6410:E6411"/>
    <mergeCell ref="F6410:H6410"/>
    <mergeCell ref="J6410:J6411"/>
    <mergeCell ref="K6410:L6411"/>
    <mergeCell ref="M6410:N6411"/>
    <mergeCell ref="O6410:P6411"/>
    <mergeCell ref="Q6410:R6411"/>
    <mergeCell ref="S6410:T6411"/>
    <mergeCell ref="U6410:V6411"/>
    <mergeCell ref="W6410:W6411"/>
    <mergeCell ref="X6410:AB6410"/>
    <mergeCell ref="AD6410:AI6410"/>
    <mergeCell ref="AJ6410:AL6410"/>
    <mergeCell ref="AN6410:AO6410"/>
    <mergeCell ref="AP6410:AQ6410"/>
    <mergeCell ref="AR6410:AS6411"/>
    <mergeCell ref="AT6410:AU6411"/>
    <mergeCell ref="AV6410:AW6411"/>
    <mergeCell ref="AX6410:AY6411"/>
    <mergeCell ref="AZ6410:AZ6411"/>
    <mergeCell ref="F6411:H6411"/>
    <mergeCell ref="X6411:AB6411"/>
    <mergeCell ref="AE6411:AI6411"/>
    <mergeCell ref="AJ6411:AL6411"/>
    <mergeCell ref="AN6411:AO6411"/>
    <mergeCell ref="AP6411:AQ6411"/>
    <mergeCell ref="A6412:A6413"/>
    <mergeCell ref="E6412:E6413"/>
    <mergeCell ref="F6412:H6412"/>
    <mergeCell ref="J6412:J6413"/>
    <mergeCell ref="K6412:L6413"/>
    <mergeCell ref="M6412:N6413"/>
    <mergeCell ref="O6412:P6413"/>
    <mergeCell ref="Q6412:R6413"/>
    <mergeCell ref="S6412:T6413"/>
    <mergeCell ref="U6412:V6413"/>
    <mergeCell ref="W6412:W6413"/>
    <mergeCell ref="X6412:AB6412"/>
    <mergeCell ref="AD6412:AI6412"/>
    <mergeCell ref="AJ6412:AL6412"/>
    <mergeCell ref="AN6412:AO6412"/>
    <mergeCell ref="AP6412:AQ6412"/>
    <mergeCell ref="AR6412:AS6413"/>
    <mergeCell ref="AT6412:AU6413"/>
    <mergeCell ref="AV6412:AW6413"/>
    <mergeCell ref="AX6412:AY6413"/>
    <mergeCell ref="AZ6412:AZ6413"/>
    <mergeCell ref="F6413:H6413"/>
    <mergeCell ref="X6413:AB6413"/>
    <mergeCell ref="AE6413:AI6413"/>
    <mergeCell ref="AJ6413:AL6413"/>
    <mergeCell ref="AN6413:AO6413"/>
    <mergeCell ref="AP6413:AQ6413"/>
    <mergeCell ref="A6414:A6415"/>
    <mergeCell ref="E6414:E6415"/>
    <mergeCell ref="F6414:H6414"/>
    <mergeCell ref="J6414:J6415"/>
    <mergeCell ref="K6414:L6415"/>
    <mergeCell ref="M6414:N6415"/>
    <mergeCell ref="O6414:P6415"/>
    <mergeCell ref="Q6414:R6415"/>
    <mergeCell ref="S6414:T6415"/>
    <mergeCell ref="U6414:V6415"/>
    <mergeCell ref="W6414:W6415"/>
    <mergeCell ref="X6414:AB6414"/>
    <mergeCell ref="AD6414:AI6414"/>
    <mergeCell ref="AJ6414:AL6414"/>
    <mergeCell ref="AN6414:AO6414"/>
    <mergeCell ref="AP6414:AQ6414"/>
    <mergeCell ref="AR6414:AS6415"/>
    <mergeCell ref="AT6414:AU6415"/>
    <mergeCell ref="AV6414:AW6415"/>
    <mergeCell ref="AX6414:AY6415"/>
    <mergeCell ref="AZ6414:AZ6415"/>
    <mergeCell ref="F6415:H6415"/>
    <mergeCell ref="X6415:AB6415"/>
    <mergeCell ref="AE6415:AI6415"/>
    <mergeCell ref="AJ6415:AL6415"/>
    <mergeCell ref="AN6415:AO6415"/>
    <mergeCell ref="AP6415:AQ6415"/>
    <mergeCell ref="A6416:A6417"/>
    <mergeCell ref="E6416:E6417"/>
    <mergeCell ref="F6416:H6416"/>
    <mergeCell ref="J6416:J6417"/>
    <mergeCell ref="K6416:L6417"/>
    <mergeCell ref="M6416:N6417"/>
    <mergeCell ref="O6416:P6417"/>
    <mergeCell ref="Q6416:R6417"/>
    <mergeCell ref="S6416:T6417"/>
    <mergeCell ref="U6416:V6417"/>
    <mergeCell ref="W6416:W6417"/>
    <mergeCell ref="X6416:AB6416"/>
    <mergeCell ref="AD6416:AI6416"/>
    <mergeCell ref="AJ6416:AL6416"/>
    <mergeCell ref="AN6416:AO6416"/>
    <mergeCell ref="AP6416:AQ6416"/>
    <mergeCell ref="AR6416:AS6417"/>
    <mergeCell ref="AT6416:AU6417"/>
    <mergeCell ref="AV6416:AW6417"/>
    <mergeCell ref="AX6416:AY6417"/>
    <mergeCell ref="AZ6416:AZ6417"/>
    <mergeCell ref="F6417:H6417"/>
    <mergeCell ref="X6417:AB6417"/>
    <mergeCell ref="AE6417:AI6417"/>
    <mergeCell ref="AJ6417:AL6417"/>
    <mergeCell ref="AN6417:AO6417"/>
    <mergeCell ref="AP6417:AQ6417"/>
    <mergeCell ref="A6418:A6419"/>
    <mergeCell ref="E6418:E6419"/>
    <mergeCell ref="F6418:H6418"/>
    <mergeCell ref="J6418:J6419"/>
    <mergeCell ref="K6418:L6419"/>
    <mergeCell ref="M6418:N6419"/>
    <mergeCell ref="O6418:P6419"/>
    <mergeCell ref="Q6418:R6419"/>
    <mergeCell ref="S6418:T6419"/>
    <mergeCell ref="U6418:V6419"/>
    <mergeCell ref="W6418:W6419"/>
    <mergeCell ref="X6418:AB6418"/>
    <mergeCell ref="AD6418:AI6418"/>
    <mergeCell ref="AJ6418:AL6418"/>
    <mergeCell ref="AN6418:AO6418"/>
    <mergeCell ref="AP6418:AQ6418"/>
    <mergeCell ref="AR6418:AS6419"/>
    <mergeCell ref="AT6418:AU6419"/>
    <mergeCell ref="AV6418:AW6419"/>
    <mergeCell ref="AX6418:AY6419"/>
    <mergeCell ref="AZ6418:AZ6419"/>
    <mergeCell ref="F6419:H6419"/>
    <mergeCell ref="X6419:AB6419"/>
    <mergeCell ref="AE6419:AI6419"/>
    <mergeCell ref="AJ6419:AL6419"/>
    <mergeCell ref="AN6419:AO6419"/>
    <mergeCell ref="AP6419:AQ6419"/>
    <mergeCell ref="A6420:A6421"/>
    <mergeCell ref="E6420:E6421"/>
    <mergeCell ref="F6420:H6420"/>
    <mergeCell ref="J6420:J6421"/>
    <mergeCell ref="K6420:L6421"/>
    <mergeCell ref="M6420:N6421"/>
    <mergeCell ref="O6420:P6421"/>
    <mergeCell ref="Q6420:R6421"/>
    <mergeCell ref="S6420:T6421"/>
    <mergeCell ref="U6420:V6421"/>
    <mergeCell ref="W6420:W6421"/>
    <mergeCell ref="X6420:AB6420"/>
    <mergeCell ref="AD6420:AI6420"/>
    <mergeCell ref="AJ6420:AL6420"/>
    <mergeCell ref="AN6420:AO6420"/>
    <mergeCell ref="AP6420:AQ6420"/>
    <mergeCell ref="AR6420:AS6421"/>
    <mergeCell ref="AT6420:AU6421"/>
    <mergeCell ref="AV6420:AW6421"/>
    <mergeCell ref="AX6420:AY6421"/>
    <mergeCell ref="AZ6420:AZ6421"/>
    <mergeCell ref="F6421:H6421"/>
    <mergeCell ref="X6421:AB6421"/>
    <mergeCell ref="AE6421:AI6421"/>
    <mergeCell ref="AJ6421:AL6421"/>
    <mergeCell ref="AN6421:AO6421"/>
    <mergeCell ref="AP6421:AQ6421"/>
    <mergeCell ref="A6422:A6423"/>
    <mergeCell ref="E6422:E6423"/>
    <mergeCell ref="F6422:H6422"/>
    <mergeCell ref="J6422:J6423"/>
    <mergeCell ref="K6422:L6423"/>
    <mergeCell ref="M6422:N6423"/>
    <mergeCell ref="O6422:P6423"/>
    <mergeCell ref="Q6422:R6423"/>
    <mergeCell ref="S6422:T6423"/>
    <mergeCell ref="U6422:V6423"/>
    <mergeCell ref="W6422:W6423"/>
    <mergeCell ref="X6422:AB6422"/>
    <mergeCell ref="AD6422:AI6422"/>
    <mergeCell ref="AJ6422:AL6422"/>
    <mergeCell ref="AN6422:AO6422"/>
    <mergeCell ref="AP6422:AQ6422"/>
    <mergeCell ref="AR6422:AS6423"/>
    <mergeCell ref="AT6422:AU6423"/>
    <mergeCell ref="AV6422:AW6423"/>
    <mergeCell ref="AX6422:AY6423"/>
    <mergeCell ref="AZ6422:AZ6423"/>
    <mergeCell ref="F6423:H6423"/>
    <mergeCell ref="X6423:AB6423"/>
    <mergeCell ref="AE6423:AI6423"/>
    <mergeCell ref="AJ6423:AL6423"/>
    <mergeCell ref="AN6423:AO6423"/>
    <mergeCell ref="AP6423:AQ6423"/>
    <mergeCell ref="A6424:A6425"/>
    <mergeCell ref="E6424:E6425"/>
    <mergeCell ref="F6424:H6424"/>
    <mergeCell ref="J6424:J6425"/>
    <mergeCell ref="K6424:L6425"/>
    <mergeCell ref="M6424:N6425"/>
    <mergeCell ref="O6424:P6425"/>
    <mergeCell ref="Q6424:R6425"/>
    <mergeCell ref="S6424:T6425"/>
    <mergeCell ref="U6424:V6425"/>
    <mergeCell ref="W6424:W6425"/>
    <mergeCell ref="X6424:AB6424"/>
    <mergeCell ref="AD6424:AI6424"/>
    <mergeCell ref="AJ6424:AL6424"/>
    <mergeCell ref="AN6424:AO6424"/>
    <mergeCell ref="AP6424:AQ6424"/>
    <mergeCell ref="AR6424:AS6425"/>
    <mergeCell ref="AT6424:AU6425"/>
    <mergeCell ref="AV6424:AW6425"/>
    <mergeCell ref="AX6424:AY6425"/>
    <mergeCell ref="AZ6424:AZ6425"/>
    <mergeCell ref="F6425:H6425"/>
    <mergeCell ref="X6425:AB6425"/>
    <mergeCell ref="AE6425:AI6425"/>
    <mergeCell ref="AJ6425:AL6425"/>
    <mergeCell ref="AN6425:AO6425"/>
    <mergeCell ref="AP6425:AQ6425"/>
    <mergeCell ref="A6426:A6427"/>
    <mergeCell ref="E6426:E6427"/>
    <mergeCell ref="F6426:H6426"/>
    <mergeCell ref="J6426:J6427"/>
    <mergeCell ref="K6426:L6427"/>
    <mergeCell ref="M6426:N6427"/>
    <mergeCell ref="O6426:P6427"/>
    <mergeCell ref="Q6426:R6427"/>
    <mergeCell ref="S6426:T6427"/>
    <mergeCell ref="U6426:V6427"/>
    <mergeCell ref="W6426:W6427"/>
    <mergeCell ref="X6426:AB6426"/>
    <mergeCell ref="AD6426:AI6426"/>
    <mergeCell ref="AJ6426:AL6426"/>
    <mergeCell ref="AN6426:AO6426"/>
    <mergeCell ref="AP6426:AQ6426"/>
    <mergeCell ref="AR6426:AS6427"/>
    <mergeCell ref="AT6426:AU6427"/>
    <mergeCell ref="AV6426:AW6427"/>
    <mergeCell ref="AX6426:AY6427"/>
    <mergeCell ref="AZ6426:AZ6427"/>
    <mergeCell ref="F6427:H6427"/>
    <mergeCell ref="X6427:AB6427"/>
    <mergeCell ref="AE6427:AI6427"/>
    <mergeCell ref="AJ6427:AL6427"/>
    <mergeCell ref="AN6427:AO6427"/>
    <mergeCell ref="AP6427:AQ6427"/>
    <mergeCell ref="A6428:A6429"/>
    <mergeCell ref="E6428:E6429"/>
    <mergeCell ref="F6428:H6428"/>
    <mergeCell ref="J6428:J6429"/>
    <mergeCell ref="K6428:L6429"/>
    <mergeCell ref="M6428:N6429"/>
    <mergeCell ref="O6428:P6429"/>
    <mergeCell ref="Q6428:R6429"/>
    <mergeCell ref="S6428:T6429"/>
    <mergeCell ref="U6428:V6429"/>
    <mergeCell ref="W6428:W6429"/>
    <mergeCell ref="X6428:AB6428"/>
    <mergeCell ref="AD6428:AI6428"/>
    <mergeCell ref="AJ6428:AL6428"/>
    <mergeCell ref="AN6428:AO6428"/>
    <mergeCell ref="AP6428:AQ6428"/>
    <mergeCell ref="AR6428:AS6429"/>
    <mergeCell ref="AT6428:AU6429"/>
    <mergeCell ref="AV6428:AW6429"/>
    <mergeCell ref="AX6428:AY6429"/>
    <mergeCell ref="AZ6428:AZ6429"/>
    <mergeCell ref="F6429:H6429"/>
    <mergeCell ref="X6429:AB6429"/>
    <mergeCell ref="AE6429:AI6429"/>
    <mergeCell ref="AJ6429:AL6429"/>
    <mergeCell ref="AN6429:AO6429"/>
    <mergeCell ref="AP6429:AQ6429"/>
    <mergeCell ref="A6430:A6431"/>
    <mergeCell ref="E6430:E6431"/>
    <mergeCell ref="F6430:H6430"/>
    <mergeCell ref="J6430:J6431"/>
    <mergeCell ref="K6430:L6431"/>
    <mergeCell ref="M6430:N6431"/>
    <mergeCell ref="O6430:P6431"/>
    <mergeCell ref="Q6430:R6431"/>
    <mergeCell ref="S6430:T6431"/>
    <mergeCell ref="U6430:V6431"/>
    <mergeCell ref="W6430:W6431"/>
    <mergeCell ref="X6430:AB6430"/>
    <mergeCell ref="AD6430:AI6430"/>
    <mergeCell ref="AJ6430:AL6430"/>
    <mergeCell ref="AN6430:AO6430"/>
    <mergeCell ref="AP6430:AQ6430"/>
    <mergeCell ref="AR6430:AS6431"/>
    <mergeCell ref="AT6430:AU6431"/>
    <mergeCell ref="AV6430:AW6431"/>
    <mergeCell ref="AX6430:AY6431"/>
    <mergeCell ref="AZ6430:AZ6431"/>
    <mergeCell ref="F6431:H6431"/>
    <mergeCell ref="X6431:AB6431"/>
    <mergeCell ref="AE6431:AI6431"/>
    <mergeCell ref="AJ6431:AL6431"/>
    <mergeCell ref="AN6431:AO6431"/>
    <mergeCell ref="AP6431:AQ6431"/>
    <mergeCell ref="A6432:A6433"/>
    <mergeCell ref="E6432:E6433"/>
    <mergeCell ref="F6432:H6432"/>
    <mergeCell ref="J6432:J6433"/>
    <mergeCell ref="K6432:L6433"/>
    <mergeCell ref="M6432:N6433"/>
    <mergeCell ref="O6432:P6433"/>
    <mergeCell ref="Q6432:R6433"/>
    <mergeCell ref="S6432:T6433"/>
    <mergeCell ref="U6432:V6433"/>
    <mergeCell ref="W6432:W6433"/>
    <mergeCell ref="X6432:AB6432"/>
    <mergeCell ref="AD6432:AI6432"/>
    <mergeCell ref="AJ6432:AL6432"/>
    <mergeCell ref="AN6432:AO6432"/>
    <mergeCell ref="AP6432:AQ6432"/>
    <mergeCell ref="AR6432:AS6433"/>
    <mergeCell ref="AT6432:AU6433"/>
    <mergeCell ref="AV6432:AW6433"/>
    <mergeCell ref="AX6432:AY6433"/>
    <mergeCell ref="AZ6432:AZ6433"/>
    <mergeCell ref="F6433:H6433"/>
    <mergeCell ref="X6433:AB6433"/>
    <mergeCell ref="AE6433:AI6433"/>
    <mergeCell ref="AJ6433:AL6433"/>
    <mergeCell ref="AN6433:AO6433"/>
    <mergeCell ref="AP6433:AQ6433"/>
    <mergeCell ref="A6434:A6435"/>
    <mergeCell ref="E6434:E6435"/>
    <mergeCell ref="F6434:H6434"/>
    <mergeCell ref="J6434:J6435"/>
    <mergeCell ref="K6434:L6435"/>
    <mergeCell ref="M6434:N6435"/>
    <mergeCell ref="O6434:P6435"/>
    <mergeCell ref="Q6434:R6435"/>
    <mergeCell ref="S6434:T6435"/>
    <mergeCell ref="U6434:V6435"/>
    <mergeCell ref="W6434:W6435"/>
    <mergeCell ref="X6434:AB6434"/>
    <mergeCell ref="AD6434:AI6434"/>
    <mergeCell ref="AJ6434:AL6434"/>
    <mergeCell ref="AN6434:AO6434"/>
    <mergeCell ref="AP6434:AQ6434"/>
    <mergeCell ref="AR6434:AS6435"/>
    <mergeCell ref="AT6434:AU6435"/>
    <mergeCell ref="AV6434:AW6435"/>
    <mergeCell ref="AX6434:AY6435"/>
    <mergeCell ref="AZ6434:AZ6435"/>
    <mergeCell ref="F6435:H6435"/>
    <mergeCell ref="X6435:AB6435"/>
    <mergeCell ref="AE6435:AI6435"/>
    <mergeCell ref="AJ6435:AL6435"/>
    <mergeCell ref="AN6435:AO6435"/>
    <mergeCell ref="AP6435:AQ6435"/>
    <mergeCell ref="A6436:A6437"/>
    <mergeCell ref="E6436:E6437"/>
    <mergeCell ref="F6436:H6436"/>
    <mergeCell ref="J6436:J6437"/>
    <mergeCell ref="K6436:L6437"/>
    <mergeCell ref="M6436:N6437"/>
    <mergeCell ref="O6436:P6437"/>
    <mergeCell ref="Q6436:R6437"/>
    <mergeCell ref="S6436:T6437"/>
    <mergeCell ref="U6436:V6437"/>
    <mergeCell ref="W6436:W6437"/>
    <mergeCell ref="X6436:AB6436"/>
    <mergeCell ref="AD6436:AI6436"/>
    <mergeCell ref="AJ6436:AL6436"/>
    <mergeCell ref="AN6436:AO6436"/>
    <mergeCell ref="AP6436:AQ6436"/>
    <mergeCell ref="AR6436:AS6437"/>
    <mergeCell ref="AT6436:AU6437"/>
    <mergeCell ref="AV6436:AW6437"/>
    <mergeCell ref="AX6436:AY6437"/>
    <mergeCell ref="AZ6436:AZ6437"/>
    <mergeCell ref="F6437:H6437"/>
    <mergeCell ref="X6437:AB6437"/>
    <mergeCell ref="AE6437:AI6437"/>
    <mergeCell ref="AJ6437:AL6437"/>
    <mergeCell ref="AN6437:AO6437"/>
    <mergeCell ref="AP6437:AQ6437"/>
    <mergeCell ref="A6438:A6439"/>
    <mergeCell ref="E6438:E6439"/>
    <mergeCell ref="F6438:H6438"/>
    <mergeCell ref="J6438:J6439"/>
    <mergeCell ref="K6438:L6439"/>
    <mergeCell ref="M6438:N6439"/>
    <mergeCell ref="O6438:P6439"/>
    <mergeCell ref="Q6438:R6439"/>
    <mergeCell ref="S6438:T6439"/>
    <mergeCell ref="U6438:V6439"/>
    <mergeCell ref="W6438:W6439"/>
    <mergeCell ref="X6438:AB6438"/>
    <mergeCell ref="AD6438:AI6438"/>
    <mergeCell ref="AJ6438:AL6438"/>
    <mergeCell ref="AN6438:AO6438"/>
    <mergeCell ref="AP6438:AQ6438"/>
    <mergeCell ref="AR6438:AS6439"/>
    <mergeCell ref="AT6438:AU6439"/>
    <mergeCell ref="AV6438:AW6439"/>
    <mergeCell ref="AX6438:AY6439"/>
    <mergeCell ref="AZ6438:AZ6439"/>
    <mergeCell ref="F6439:H6439"/>
    <mergeCell ref="X6439:AB6439"/>
    <mergeCell ref="AE6439:AI6439"/>
    <mergeCell ref="AJ6439:AL6439"/>
    <mergeCell ref="AN6439:AO6439"/>
    <mergeCell ref="AP6439:AQ6439"/>
    <mergeCell ref="A6440:A6441"/>
    <mergeCell ref="E6440:E6441"/>
    <mergeCell ref="F6440:H6440"/>
    <mergeCell ref="J6440:J6441"/>
    <mergeCell ref="K6440:L6441"/>
    <mergeCell ref="M6440:N6441"/>
    <mergeCell ref="O6440:P6441"/>
    <mergeCell ref="Q6440:R6441"/>
    <mergeCell ref="S6440:T6441"/>
    <mergeCell ref="U6440:V6441"/>
    <mergeCell ref="W6440:W6441"/>
    <mergeCell ref="X6440:AB6440"/>
    <mergeCell ref="AD6440:AI6440"/>
    <mergeCell ref="AJ6440:AL6440"/>
    <mergeCell ref="AN6440:AO6440"/>
    <mergeCell ref="AP6440:AQ6440"/>
    <mergeCell ref="AR6440:AS6441"/>
    <mergeCell ref="AT6440:AU6441"/>
    <mergeCell ref="AV6440:AW6441"/>
    <mergeCell ref="AX6440:AY6441"/>
    <mergeCell ref="AZ6440:AZ6441"/>
    <mergeCell ref="F6441:H6441"/>
    <mergeCell ref="X6441:AB6441"/>
    <mergeCell ref="AE6441:AI6441"/>
    <mergeCell ref="AJ6441:AL6441"/>
    <mergeCell ref="AN6441:AO6441"/>
    <mergeCell ref="AP6441:AQ6441"/>
    <mergeCell ref="A6442:A6443"/>
    <mergeCell ref="E6442:E6443"/>
    <mergeCell ref="F6442:H6442"/>
    <mergeCell ref="J6442:J6443"/>
    <mergeCell ref="K6442:L6443"/>
    <mergeCell ref="M6442:N6443"/>
    <mergeCell ref="O6442:P6443"/>
    <mergeCell ref="Q6442:R6443"/>
    <mergeCell ref="S6442:T6443"/>
    <mergeCell ref="U6442:V6443"/>
    <mergeCell ref="W6442:W6443"/>
    <mergeCell ref="X6442:AB6442"/>
    <mergeCell ref="AD6442:AI6442"/>
    <mergeCell ref="AJ6442:AL6442"/>
    <mergeCell ref="AN6442:AO6442"/>
    <mergeCell ref="AP6442:AQ6442"/>
    <mergeCell ref="AR6442:AS6443"/>
    <mergeCell ref="AT6442:AU6443"/>
    <mergeCell ref="AV6442:AW6443"/>
    <mergeCell ref="AX6442:AY6443"/>
    <mergeCell ref="AZ6442:AZ6443"/>
    <mergeCell ref="F6443:H6443"/>
    <mergeCell ref="X6443:AB6443"/>
    <mergeCell ref="AE6443:AI6443"/>
    <mergeCell ref="AJ6443:AL6443"/>
    <mergeCell ref="AN6443:AO6443"/>
    <mergeCell ref="AP6443:AQ6443"/>
    <mergeCell ref="A6444:A6445"/>
    <mergeCell ref="E6444:E6445"/>
    <mergeCell ref="F6444:H6444"/>
    <mergeCell ref="J6444:J6445"/>
    <mergeCell ref="K6444:L6445"/>
    <mergeCell ref="M6444:N6445"/>
    <mergeCell ref="O6444:P6445"/>
    <mergeCell ref="Q6444:R6445"/>
    <mergeCell ref="S6444:T6445"/>
    <mergeCell ref="U6444:V6445"/>
    <mergeCell ref="W6444:W6445"/>
    <mergeCell ref="X6444:AB6444"/>
    <mergeCell ref="AD6444:AI6444"/>
    <mergeCell ref="AJ6444:AL6444"/>
    <mergeCell ref="AN6444:AO6444"/>
    <mergeCell ref="AP6444:AQ6444"/>
    <mergeCell ref="AR6444:AS6445"/>
    <mergeCell ref="AT6444:AU6445"/>
    <mergeCell ref="AV6444:AW6445"/>
    <mergeCell ref="AX6444:AY6445"/>
    <mergeCell ref="AZ6444:AZ6445"/>
    <mergeCell ref="F6445:H6445"/>
    <mergeCell ref="X6445:AB6445"/>
    <mergeCell ref="AE6445:AI6445"/>
    <mergeCell ref="AJ6445:AL6445"/>
    <mergeCell ref="AN6445:AO6445"/>
    <mergeCell ref="AP6445:AQ6445"/>
    <mergeCell ref="A6446:A6447"/>
    <mergeCell ref="E6446:E6447"/>
    <mergeCell ref="F6446:H6446"/>
    <mergeCell ref="J6446:J6447"/>
    <mergeCell ref="K6446:L6447"/>
    <mergeCell ref="M6446:N6447"/>
    <mergeCell ref="O6446:P6447"/>
    <mergeCell ref="Q6446:R6447"/>
    <mergeCell ref="S6446:T6447"/>
    <mergeCell ref="U6446:V6447"/>
    <mergeCell ref="W6446:W6447"/>
    <mergeCell ref="X6446:AB6446"/>
    <mergeCell ref="AD6446:AI6446"/>
    <mergeCell ref="AJ6446:AL6446"/>
    <mergeCell ref="AN6446:AO6446"/>
    <mergeCell ref="AP6446:AQ6446"/>
    <mergeCell ref="AR6446:AS6447"/>
    <mergeCell ref="AT6446:AU6447"/>
    <mergeCell ref="AV6446:AW6447"/>
    <mergeCell ref="AX6446:AY6447"/>
    <mergeCell ref="AZ6446:AZ6447"/>
    <mergeCell ref="F6447:H6447"/>
    <mergeCell ref="X6447:AB6447"/>
    <mergeCell ref="AE6447:AI6447"/>
    <mergeCell ref="AJ6447:AL6447"/>
    <mergeCell ref="AN6447:AO6447"/>
    <mergeCell ref="AP6447:AQ6447"/>
    <mergeCell ref="A6448:A6449"/>
    <mergeCell ref="E6448:E6449"/>
    <mergeCell ref="F6448:H6448"/>
    <mergeCell ref="J6448:J6449"/>
    <mergeCell ref="K6448:L6449"/>
    <mergeCell ref="M6448:N6449"/>
    <mergeCell ref="O6448:P6449"/>
    <mergeCell ref="Q6448:R6449"/>
    <mergeCell ref="S6448:T6449"/>
    <mergeCell ref="U6448:V6449"/>
    <mergeCell ref="W6448:W6449"/>
    <mergeCell ref="X6448:AB6448"/>
    <mergeCell ref="AD6448:AI6448"/>
    <mergeCell ref="AJ6448:AL6448"/>
    <mergeCell ref="AN6448:AO6448"/>
    <mergeCell ref="AP6448:AQ6448"/>
    <mergeCell ref="AR6448:AS6449"/>
    <mergeCell ref="AT6448:AU6449"/>
    <mergeCell ref="AV6448:AW6449"/>
    <mergeCell ref="AX6448:AY6449"/>
    <mergeCell ref="AZ6448:AZ6449"/>
    <mergeCell ref="F6449:H6449"/>
    <mergeCell ref="X6449:AB6449"/>
    <mergeCell ref="AE6449:AI6449"/>
    <mergeCell ref="AJ6449:AL6449"/>
    <mergeCell ref="AN6449:AO6449"/>
    <mergeCell ref="AP6449:AQ6449"/>
    <mergeCell ref="A6450:A6451"/>
    <mergeCell ref="E6450:E6451"/>
    <mergeCell ref="F6450:H6450"/>
    <mergeCell ref="J6450:J6451"/>
    <mergeCell ref="K6450:L6451"/>
    <mergeCell ref="M6450:N6451"/>
    <mergeCell ref="O6450:P6451"/>
    <mergeCell ref="Q6450:R6451"/>
    <mergeCell ref="S6450:T6451"/>
    <mergeCell ref="U6450:V6451"/>
    <mergeCell ref="W6450:W6451"/>
    <mergeCell ref="X6450:AB6450"/>
    <mergeCell ref="AD6450:AI6450"/>
    <mergeCell ref="AJ6450:AL6450"/>
    <mergeCell ref="AN6450:AO6450"/>
    <mergeCell ref="AP6450:AQ6450"/>
    <mergeCell ref="AR6450:AS6451"/>
    <mergeCell ref="AT6450:AU6451"/>
    <mergeCell ref="AV6450:AW6451"/>
    <mergeCell ref="AX6450:AY6451"/>
    <mergeCell ref="AZ6450:AZ6451"/>
    <mergeCell ref="F6451:H6451"/>
    <mergeCell ref="X6451:AB6451"/>
    <mergeCell ref="AE6451:AI6451"/>
    <mergeCell ref="AJ6451:AL6451"/>
    <mergeCell ref="AN6451:AO6451"/>
    <mergeCell ref="AP6451:AQ6451"/>
    <mergeCell ref="A6452:A6453"/>
    <mergeCell ref="E6452:E6453"/>
    <mergeCell ref="F6452:H6452"/>
    <mergeCell ref="J6452:J6453"/>
    <mergeCell ref="K6452:L6453"/>
    <mergeCell ref="M6452:N6453"/>
    <mergeCell ref="O6452:P6453"/>
    <mergeCell ref="Q6452:R6453"/>
    <mergeCell ref="S6452:T6453"/>
    <mergeCell ref="U6452:V6453"/>
    <mergeCell ref="W6452:W6453"/>
    <mergeCell ref="X6452:AB6452"/>
    <mergeCell ref="AD6452:AI6452"/>
    <mergeCell ref="AJ6452:AL6452"/>
    <mergeCell ref="AN6452:AO6452"/>
    <mergeCell ref="AP6452:AQ6452"/>
    <mergeCell ref="AR6452:AS6453"/>
    <mergeCell ref="AT6452:AU6453"/>
    <mergeCell ref="AV6452:AW6453"/>
    <mergeCell ref="AX6452:AY6453"/>
    <mergeCell ref="AZ6452:AZ6453"/>
    <mergeCell ref="F6453:H6453"/>
    <mergeCell ref="X6453:AB6453"/>
    <mergeCell ref="AE6453:AI6453"/>
    <mergeCell ref="AJ6453:AL6453"/>
    <mergeCell ref="AN6453:AO6453"/>
    <mergeCell ref="AP6453:AQ6453"/>
    <mergeCell ref="A6454:A6455"/>
    <mergeCell ref="E6454:E6455"/>
    <mergeCell ref="F6454:H6454"/>
    <mergeCell ref="J6454:J6455"/>
    <mergeCell ref="K6454:L6455"/>
    <mergeCell ref="M6454:N6455"/>
    <mergeCell ref="O6454:P6455"/>
    <mergeCell ref="Q6454:R6455"/>
    <mergeCell ref="S6454:T6455"/>
    <mergeCell ref="U6454:V6455"/>
    <mergeCell ref="W6454:W6455"/>
    <mergeCell ref="X6454:AB6454"/>
    <mergeCell ref="AD6454:AI6454"/>
    <mergeCell ref="AJ6454:AL6454"/>
    <mergeCell ref="AN6454:AO6454"/>
    <mergeCell ref="AP6454:AQ6454"/>
    <mergeCell ref="AR6454:AS6455"/>
    <mergeCell ref="AT6454:AU6455"/>
    <mergeCell ref="AV6454:AW6455"/>
    <mergeCell ref="AX6454:AY6455"/>
    <mergeCell ref="AZ6454:AZ6455"/>
    <mergeCell ref="F6455:H6455"/>
    <mergeCell ref="X6455:AB6455"/>
    <mergeCell ref="AE6455:AI6455"/>
    <mergeCell ref="AJ6455:AL6455"/>
    <mergeCell ref="AN6455:AO6455"/>
    <mergeCell ref="AP6455:AQ6455"/>
    <mergeCell ref="A6456:A6457"/>
    <mergeCell ref="E6456:E6457"/>
    <mergeCell ref="F6456:H6456"/>
    <mergeCell ref="J6456:J6457"/>
    <mergeCell ref="K6456:L6457"/>
    <mergeCell ref="M6456:N6457"/>
    <mergeCell ref="O6456:P6457"/>
    <mergeCell ref="Q6456:R6457"/>
    <mergeCell ref="S6456:T6457"/>
    <mergeCell ref="U6456:V6457"/>
    <mergeCell ref="W6456:W6457"/>
    <mergeCell ref="X6456:AB6456"/>
    <mergeCell ref="AD6456:AI6456"/>
    <mergeCell ref="AJ6456:AL6456"/>
    <mergeCell ref="AN6456:AO6456"/>
    <mergeCell ref="AP6456:AQ6456"/>
    <mergeCell ref="AR6456:AS6457"/>
    <mergeCell ref="AT6456:AU6457"/>
    <mergeCell ref="AV6456:AW6457"/>
    <mergeCell ref="AX6456:AY6457"/>
    <mergeCell ref="AZ6456:AZ6457"/>
    <mergeCell ref="F6457:H6457"/>
    <mergeCell ref="X6457:AB6457"/>
    <mergeCell ref="AE6457:AI6457"/>
    <mergeCell ref="AJ6457:AL6457"/>
    <mergeCell ref="AN6457:AO6457"/>
    <mergeCell ref="AP6457:AQ6457"/>
    <mergeCell ref="A6458:A6459"/>
    <mergeCell ref="E6458:E6459"/>
    <mergeCell ref="F6458:H6458"/>
    <mergeCell ref="J6458:J6459"/>
    <mergeCell ref="K6458:L6459"/>
    <mergeCell ref="M6458:N6459"/>
    <mergeCell ref="O6458:P6459"/>
    <mergeCell ref="Q6458:R6459"/>
    <mergeCell ref="S6458:T6459"/>
    <mergeCell ref="U6458:V6459"/>
    <mergeCell ref="W6458:W6459"/>
    <mergeCell ref="X6458:AB6458"/>
    <mergeCell ref="AD6458:AI6458"/>
    <mergeCell ref="AJ6458:AL6458"/>
    <mergeCell ref="AN6458:AO6458"/>
    <mergeCell ref="AP6458:AQ6458"/>
    <mergeCell ref="AR6458:AS6459"/>
    <mergeCell ref="AT6458:AU6459"/>
    <mergeCell ref="AV6458:AW6459"/>
    <mergeCell ref="AX6458:AY6459"/>
    <mergeCell ref="AZ6458:AZ6459"/>
    <mergeCell ref="F6459:H6459"/>
    <mergeCell ref="X6459:AB6459"/>
    <mergeCell ref="AE6459:AI6459"/>
    <mergeCell ref="AJ6459:AL6459"/>
    <mergeCell ref="AN6459:AO6459"/>
    <mergeCell ref="AP6459:AQ6459"/>
    <mergeCell ref="A6460:A6461"/>
    <mergeCell ref="E6460:E6461"/>
    <mergeCell ref="F6460:H6460"/>
    <mergeCell ref="J6460:J6461"/>
    <mergeCell ref="K6460:L6461"/>
    <mergeCell ref="M6460:N6461"/>
    <mergeCell ref="O6460:P6461"/>
    <mergeCell ref="Q6460:R6461"/>
    <mergeCell ref="S6460:T6461"/>
    <mergeCell ref="U6460:V6461"/>
    <mergeCell ref="W6460:W6461"/>
    <mergeCell ref="X6460:AB6460"/>
    <mergeCell ref="AD6460:AI6460"/>
    <mergeCell ref="AJ6460:AL6460"/>
    <mergeCell ref="AN6460:AO6460"/>
    <mergeCell ref="AP6460:AQ6460"/>
    <mergeCell ref="AR6460:AS6461"/>
    <mergeCell ref="AT6460:AU6461"/>
    <mergeCell ref="AV6460:AW6461"/>
    <mergeCell ref="AX6460:AY6461"/>
    <mergeCell ref="AZ6460:AZ6461"/>
    <mergeCell ref="F6461:H6461"/>
    <mergeCell ref="X6461:AB6461"/>
    <mergeCell ref="AE6461:AI6461"/>
    <mergeCell ref="AJ6461:AL6461"/>
    <mergeCell ref="AN6461:AO6461"/>
    <mergeCell ref="AP6461:AQ6461"/>
    <mergeCell ref="A6462:A6463"/>
    <mergeCell ref="E6462:E6463"/>
    <mergeCell ref="F6462:H6462"/>
    <mergeCell ref="J6462:J6463"/>
    <mergeCell ref="K6462:L6463"/>
    <mergeCell ref="M6462:N6463"/>
    <mergeCell ref="O6462:P6463"/>
    <mergeCell ref="Q6462:R6463"/>
    <mergeCell ref="S6462:T6463"/>
    <mergeCell ref="U6462:V6463"/>
    <mergeCell ref="W6462:W6463"/>
    <mergeCell ref="X6462:AB6462"/>
    <mergeCell ref="AD6462:AI6462"/>
    <mergeCell ref="AJ6462:AL6462"/>
    <mergeCell ref="AN6462:AO6462"/>
    <mergeCell ref="AP6462:AQ6462"/>
    <mergeCell ref="AR6462:AS6463"/>
    <mergeCell ref="AT6462:AU6463"/>
    <mergeCell ref="AV6462:AW6463"/>
    <mergeCell ref="AX6462:AY6463"/>
    <mergeCell ref="AZ6462:AZ6463"/>
    <mergeCell ref="F6463:H6463"/>
    <mergeCell ref="X6463:AB6463"/>
    <mergeCell ref="AE6463:AI6463"/>
    <mergeCell ref="AJ6463:AL6463"/>
    <mergeCell ref="AN6463:AO6463"/>
    <mergeCell ref="AP6463:AQ6463"/>
    <mergeCell ref="A6464:A6465"/>
    <mergeCell ref="E6464:E6465"/>
    <mergeCell ref="F6464:H6464"/>
    <mergeCell ref="J6464:J6465"/>
    <mergeCell ref="K6464:L6465"/>
    <mergeCell ref="M6464:N6465"/>
    <mergeCell ref="O6464:P6465"/>
    <mergeCell ref="Q6464:R6465"/>
    <mergeCell ref="S6464:T6465"/>
    <mergeCell ref="U6464:V6465"/>
    <mergeCell ref="W6464:W6465"/>
    <mergeCell ref="X6464:AB6464"/>
    <mergeCell ref="AD6464:AI6464"/>
    <mergeCell ref="AJ6464:AL6464"/>
    <mergeCell ref="AN6464:AO6464"/>
    <mergeCell ref="AP6464:AQ6464"/>
    <mergeCell ref="AR6464:AS6465"/>
    <mergeCell ref="AT6464:AU6465"/>
    <mergeCell ref="AV6464:AW6465"/>
    <mergeCell ref="AX6464:AY6465"/>
    <mergeCell ref="AZ6464:AZ6465"/>
    <mergeCell ref="F6465:H6465"/>
    <mergeCell ref="X6465:AB6465"/>
    <mergeCell ref="AE6465:AI6465"/>
    <mergeCell ref="AJ6465:AL6465"/>
    <mergeCell ref="AN6465:AO6465"/>
    <mergeCell ref="AP6465:AQ6465"/>
    <mergeCell ref="A6466:A6467"/>
    <mergeCell ref="E6466:E6467"/>
    <mergeCell ref="F6466:H6466"/>
    <mergeCell ref="J6466:J6467"/>
    <mergeCell ref="K6466:L6467"/>
    <mergeCell ref="M6466:N6467"/>
    <mergeCell ref="O6466:P6467"/>
    <mergeCell ref="Q6466:R6467"/>
    <mergeCell ref="S6466:T6467"/>
    <mergeCell ref="U6466:V6467"/>
    <mergeCell ref="W6466:W6467"/>
    <mergeCell ref="X6466:AB6466"/>
    <mergeCell ref="AD6466:AI6466"/>
    <mergeCell ref="AJ6466:AL6466"/>
    <mergeCell ref="AN6466:AO6466"/>
    <mergeCell ref="AP6466:AQ6466"/>
    <mergeCell ref="AR6466:AS6467"/>
    <mergeCell ref="AT6466:AU6467"/>
    <mergeCell ref="AV6466:AW6467"/>
    <mergeCell ref="AX6466:AY6467"/>
    <mergeCell ref="AZ6466:AZ6467"/>
    <mergeCell ref="F6467:H6467"/>
    <mergeCell ref="X6467:AB6467"/>
    <mergeCell ref="AE6467:AI6467"/>
    <mergeCell ref="AJ6467:AL6467"/>
    <mergeCell ref="AN6467:AO6467"/>
    <mergeCell ref="AP6467:AQ6467"/>
    <mergeCell ref="A6468:A6469"/>
    <mergeCell ref="E6468:E6469"/>
    <mergeCell ref="F6468:H6468"/>
    <mergeCell ref="J6468:J6469"/>
    <mergeCell ref="K6468:L6469"/>
    <mergeCell ref="M6468:N6469"/>
    <mergeCell ref="O6468:P6469"/>
    <mergeCell ref="Q6468:R6469"/>
    <mergeCell ref="S6468:T6469"/>
    <mergeCell ref="U6468:V6469"/>
    <mergeCell ref="W6468:W6469"/>
    <mergeCell ref="X6468:AB6468"/>
    <mergeCell ref="AD6468:AI6468"/>
    <mergeCell ref="AJ6468:AL6468"/>
    <mergeCell ref="AN6468:AO6468"/>
    <mergeCell ref="AP6468:AQ6468"/>
    <mergeCell ref="AR6468:AS6469"/>
    <mergeCell ref="AT6468:AU6469"/>
    <mergeCell ref="AV6468:AW6469"/>
    <mergeCell ref="AX6468:AY6469"/>
    <mergeCell ref="AZ6468:AZ6469"/>
    <mergeCell ref="F6469:H6469"/>
    <mergeCell ref="X6469:AB6469"/>
    <mergeCell ref="AE6469:AI6469"/>
    <mergeCell ref="AJ6469:AL6469"/>
    <mergeCell ref="AN6469:AO6469"/>
    <mergeCell ref="AP6469:AQ6469"/>
    <mergeCell ref="A6470:A6471"/>
    <mergeCell ref="E6470:E6471"/>
    <mergeCell ref="F6470:H6470"/>
    <mergeCell ref="J6470:J6471"/>
    <mergeCell ref="K6470:L6471"/>
    <mergeCell ref="M6470:N6471"/>
    <mergeCell ref="O6470:P6471"/>
    <mergeCell ref="Q6470:R6471"/>
    <mergeCell ref="S6470:T6471"/>
    <mergeCell ref="U6470:V6471"/>
    <mergeCell ref="W6470:W6471"/>
    <mergeCell ref="X6470:AB6470"/>
    <mergeCell ref="AD6470:AI6470"/>
    <mergeCell ref="AJ6470:AL6470"/>
    <mergeCell ref="AN6470:AO6470"/>
    <mergeCell ref="AP6470:AQ6470"/>
    <mergeCell ref="AR6470:AS6471"/>
    <mergeCell ref="AT6470:AU6471"/>
    <mergeCell ref="AV6470:AW6471"/>
    <mergeCell ref="AX6470:AY6471"/>
    <mergeCell ref="AZ6470:AZ6471"/>
    <mergeCell ref="F6471:H6471"/>
    <mergeCell ref="X6471:AB6471"/>
    <mergeCell ref="AE6471:AI6471"/>
    <mergeCell ref="AJ6471:AL6471"/>
    <mergeCell ref="AN6471:AO6471"/>
    <mergeCell ref="AP6471:AQ6471"/>
    <mergeCell ref="A6472:A6473"/>
    <mergeCell ref="E6472:E6473"/>
    <mergeCell ref="F6472:H6472"/>
    <mergeCell ref="J6472:J6473"/>
    <mergeCell ref="K6472:L6473"/>
    <mergeCell ref="M6472:N6473"/>
    <mergeCell ref="O6472:P6473"/>
    <mergeCell ref="Q6472:R6473"/>
    <mergeCell ref="S6472:T6473"/>
    <mergeCell ref="U6472:V6473"/>
    <mergeCell ref="W6472:W6473"/>
    <mergeCell ref="X6472:AB6472"/>
    <mergeCell ref="AD6472:AI6472"/>
    <mergeCell ref="AJ6472:AL6472"/>
    <mergeCell ref="AN6472:AO6472"/>
    <mergeCell ref="AP6472:AQ6472"/>
    <mergeCell ref="AR6472:AS6473"/>
    <mergeCell ref="AT6472:AU6473"/>
    <mergeCell ref="AV6472:AW6473"/>
    <mergeCell ref="AX6472:AY6473"/>
    <mergeCell ref="AZ6472:AZ6473"/>
    <mergeCell ref="F6473:H6473"/>
    <mergeCell ref="X6473:AB6473"/>
    <mergeCell ref="AE6473:AI6473"/>
    <mergeCell ref="AJ6473:AL6473"/>
    <mergeCell ref="AN6473:AO6473"/>
    <mergeCell ref="AP6473:AQ6473"/>
    <mergeCell ref="A6474:A6475"/>
    <mergeCell ref="E6474:E6475"/>
    <mergeCell ref="F6474:H6474"/>
    <mergeCell ref="J6474:J6475"/>
    <mergeCell ref="K6474:L6475"/>
    <mergeCell ref="M6474:N6475"/>
    <mergeCell ref="O6474:P6475"/>
    <mergeCell ref="Q6474:R6475"/>
    <mergeCell ref="S6474:T6475"/>
    <mergeCell ref="U6474:V6475"/>
    <mergeCell ref="W6474:W6475"/>
    <mergeCell ref="X6474:AB6474"/>
    <mergeCell ref="AD6474:AI6474"/>
    <mergeCell ref="AJ6474:AL6474"/>
    <mergeCell ref="AN6474:AO6474"/>
    <mergeCell ref="AP6474:AQ6474"/>
    <mergeCell ref="AR6474:AS6475"/>
    <mergeCell ref="AT6474:AU6475"/>
    <mergeCell ref="AV6474:AW6475"/>
    <mergeCell ref="AX6474:AY6475"/>
    <mergeCell ref="AZ6474:AZ6475"/>
    <mergeCell ref="F6475:H6475"/>
    <mergeCell ref="X6475:AB6475"/>
    <mergeCell ref="AE6475:AI6475"/>
    <mergeCell ref="AJ6475:AL6475"/>
    <mergeCell ref="AN6475:AO6475"/>
    <mergeCell ref="AP6475:AQ6475"/>
    <mergeCell ref="A6476:A6477"/>
    <mergeCell ref="E6476:E6477"/>
    <mergeCell ref="F6476:H6476"/>
    <mergeCell ref="J6476:J6477"/>
    <mergeCell ref="K6476:L6477"/>
    <mergeCell ref="M6476:N6477"/>
    <mergeCell ref="O6476:P6477"/>
    <mergeCell ref="Q6476:R6477"/>
    <mergeCell ref="S6476:T6477"/>
    <mergeCell ref="U6476:V6477"/>
    <mergeCell ref="W6476:W6477"/>
    <mergeCell ref="X6476:AB6476"/>
    <mergeCell ref="AD6476:AI6476"/>
    <mergeCell ref="AJ6476:AL6476"/>
    <mergeCell ref="AN6476:AO6476"/>
    <mergeCell ref="AP6476:AQ6476"/>
    <mergeCell ref="AR6476:AS6477"/>
    <mergeCell ref="AT6476:AU6477"/>
    <mergeCell ref="AV6476:AW6477"/>
    <mergeCell ref="AX6476:AY6477"/>
    <mergeCell ref="AZ6476:AZ6477"/>
    <mergeCell ref="F6477:H6477"/>
    <mergeCell ref="X6477:AB6477"/>
    <mergeCell ref="AE6477:AI6477"/>
    <mergeCell ref="AJ6477:AL6477"/>
    <mergeCell ref="AN6477:AO6477"/>
    <mergeCell ref="AP6477:AQ6477"/>
    <mergeCell ref="A6478:A6479"/>
    <mergeCell ref="E6478:E6479"/>
    <mergeCell ref="F6478:H6478"/>
    <mergeCell ref="J6478:J6479"/>
    <mergeCell ref="K6478:L6479"/>
    <mergeCell ref="M6478:N6479"/>
    <mergeCell ref="O6478:P6479"/>
    <mergeCell ref="Q6478:R6479"/>
    <mergeCell ref="S6478:T6479"/>
    <mergeCell ref="U6478:V6479"/>
    <mergeCell ref="W6478:W6479"/>
    <mergeCell ref="X6478:AB6478"/>
    <mergeCell ref="AD6478:AI6478"/>
    <mergeCell ref="AJ6478:AL6478"/>
    <mergeCell ref="AN6478:AO6478"/>
    <mergeCell ref="AP6478:AQ6478"/>
    <mergeCell ref="AR6478:AS6479"/>
    <mergeCell ref="AT6478:AU6479"/>
    <mergeCell ref="AV6478:AW6479"/>
    <mergeCell ref="AX6478:AY6479"/>
    <mergeCell ref="AZ6478:AZ6479"/>
    <mergeCell ref="F6479:H6479"/>
    <mergeCell ref="X6479:AB6479"/>
    <mergeCell ref="AE6479:AI6479"/>
    <mergeCell ref="AJ6479:AL6479"/>
    <mergeCell ref="AN6479:AO6479"/>
    <mergeCell ref="AP6479:AQ6479"/>
    <mergeCell ref="A6480:A6481"/>
    <mergeCell ref="E6480:E6481"/>
    <mergeCell ref="F6480:H6480"/>
    <mergeCell ref="J6480:J6481"/>
    <mergeCell ref="K6480:L6481"/>
    <mergeCell ref="M6480:N6481"/>
    <mergeCell ref="O6480:P6481"/>
    <mergeCell ref="Q6480:R6481"/>
    <mergeCell ref="S6480:T6481"/>
    <mergeCell ref="U6480:V6481"/>
    <mergeCell ref="W6480:W6481"/>
    <mergeCell ref="X6480:AB6480"/>
    <mergeCell ref="AD6480:AI6480"/>
    <mergeCell ref="AJ6480:AL6480"/>
    <mergeCell ref="AN6480:AO6480"/>
    <mergeCell ref="AP6480:AQ6480"/>
    <mergeCell ref="AR6480:AS6481"/>
    <mergeCell ref="AT6480:AU6481"/>
    <mergeCell ref="AV6480:AW6481"/>
    <mergeCell ref="AX6480:AY6481"/>
    <mergeCell ref="AZ6480:AZ6481"/>
    <mergeCell ref="F6481:H6481"/>
    <mergeCell ref="X6481:AB6481"/>
    <mergeCell ref="AE6481:AI6481"/>
    <mergeCell ref="AJ6481:AL6481"/>
    <mergeCell ref="AN6481:AO6481"/>
    <mergeCell ref="AP6481:AQ6481"/>
    <mergeCell ref="A6482:A6483"/>
    <mergeCell ref="E6482:E6483"/>
    <mergeCell ref="F6482:H6482"/>
    <mergeCell ref="J6482:J6483"/>
    <mergeCell ref="K6482:L6483"/>
    <mergeCell ref="M6482:N6483"/>
    <mergeCell ref="O6482:P6483"/>
    <mergeCell ref="Q6482:R6483"/>
    <mergeCell ref="S6482:T6483"/>
    <mergeCell ref="U6482:V6483"/>
    <mergeCell ref="W6482:W6483"/>
    <mergeCell ref="X6482:AB6482"/>
    <mergeCell ref="AD6482:AI6482"/>
    <mergeCell ref="AJ6482:AL6482"/>
    <mergeCell ref="AN6482:AO6482"/>
    <mergeCell ref="AP6482:AQ6482"/>
    <mergeCell ref="AR6482:AS6483"/>
    <mergeCell ref="AT6482:AU6483"/>
    <mergeCell ref="AV6482:AW6483"/>
    <mergeCell ref="AX6482:AY6483"/>
    <mergeCell ref="AZ6482:AZ6483"/>
    <mergeCell ref="F6483:H6483"/>
    <mergeCell ref="X6483:AB6483"/>
    <mergeCell ref="AE6483:AI6483"/>
    <mergeCell ref="AJ6483:AL6483"/>
    <mergeCell ref="AN6483:AO6483"/>
    <mergeCell ref="AP6483:AQ6483"/>
    <mergeCell ref="A6484:A6485"/>
    <mergeCell ref="E6484:E6485"/>
    <mergeCell ref="F6484:H6484"/>
    <mergeCell ref="J6484:J6485"/>
    <mergeCell ref="K6484:L6485"/>
    <mergeCell ref="M6484:N6485"/>
    <mergeCell ref="O6484:P6485"/>
    <mergeCell ref="Q6484:R6485"/>
    <mergeCell ref="S6484:T6485"/>
    <mergeCell ref="U6484:V6485"/>
    <mergeCell ref="W6484:W6485"/>
    <mergeCell ref="X6484:AB6484"/>
    <mergeCell ref="AD6484:AI6484"/>
    <mergeCell ref="AJ6484:AL6484"/>
    <mergeCell ref="AN6484:AO6484"/>
    <mergeCell ref="AP6484:AQ6484"/>
    <mergeCell ref="AR6484:AS6485"/>
    <mergeCell ref="AT6484:AU6485"/>
    <mergeCell ref="AV6484:AW6485"/>
    <mergeCell ref="AX6484:AY6485"/>
    <mergeCell ref="AZ6484:AZ6485"/>
    <mergeCell ref="F6485:H6485"/>
    <mergeCell ref="X6485:AB6485"/>
    <mergeCell ref="AE6485:AI6485"/>
    <mergeCell ref="AJ6485:AL6485"/>
    <mergeCell ref="AN6485:AO6485"/>
    <mergeCell ref="AP6485:AQ6485"/>
    <mergeCell ref="A6486:A6487"/>
    <mergeCell ref="E6486:E6487"/>
    <mergeCell ref="F6486:H6486"/>
    <mergeCell ref="J6486:J6487"/>
    <mergeCell ref="K6486:L6487"/>
    <mergeCell ref="M6486:N6487"/>
    <mergeCell ref="O6486:P6487"/>
    <mergeCell ref="Q6486:R6487"/>
    <mergeCell ref="S6486:T6487"/>
    <mergeCell ref="U6486:V6487"/>
    <mergeCell ref="W6486:W6487"/>
    <mergeCell ref="X6486:AB6486"/>
    <mergeCell ref="AD6486:AI6486"/>
    <mergeCell ref="AJ6486:AL6486"/>
    <mergeCell ref="AN6486:AO6486"/>
    <mergeCell ref="AP6486:AQ6486"/>
    <mergeCell ref="AR6486:AS6487"/>
    <mergeCell ref="AT6486:AU6487"/>
    <mergeCell ref="AV6486:AW6487"/>
    <mergeCell ref="AX6486:AY6487"/>
    <mergeCell ref="AZ6486:AZ6487"/>
    <mergeCell ref="F6487:H6487"/>
    <mergeCell ref="X6487:AB6487"/>
    <mergeCell ref="AE6487:AI6487"/>
    <mergeCell ref="AJ6487:AL6487"/>
    <mergeCell ref="AN6487:AO6487"/>
    <mergeCell ref="AP6487:AQ6487"/>
    <mergeCell ref="A6488:A6489"/>
    <mergeCell ref="E6488:E6489"/>
    <mergeCell ref="F6488:H6488"/>
    <mergeCell ref="J6488:J6489"/>
    <mergeCell ref="K6488:L6489"/>
    <mergeCell ref="M6488:N6489"/>
    <mergeCell ref="O6488:P6489"/>
    <mergeCell ref="Q6488:R6489"/>
    <mergeCell ref="S6488:T6489"/>
    <mergeCell ref="U6488:V6489"/>
    <mergeCell ref="W6488:W6489"/>
    <mergeCell ref="X6488:AB6488"/>
    <mergeCell ref="AD6488:AI6488"/>
    <mergeCell ref="AJ6488:AL6488"/>
    <mergeCell ref="AN6488:AO6488"/>
    <mergeCell ref="AP6488:AQ6488"/>
    <mergeCell ref="AR6488:AS6489"/>
    <mergeCell ref="AT6488:AU6489"/>
    <mergeCell ref="AV6488:AW6489"/>
    <mergeCell ref="AX6488:AY6489"/>
    <mergeCell ref="AZ6488:AZ6489"/>
    <mergeCell ref="F6489:H6489"/>
    <mergeCell ref="X6489:AB6489"/>
    <mergeCell ref="AE6489:AI6489"/>
    <mergeCell ref="AJ6489:AL6489"/>
    <mergeCell ref="AN6489:AO6489"/>
    <mergeCell ref="AP6489:AQ6489"/>
    <mergeCell ref="A6490:A6491"/>
    <mergeCell ref="E6490:E6491"/>
    <mergeCell ref="F6490:H6490"/>
    <mergeCell ref="J6490:J6491"/>
    <mergeCell ref="K6490:L6491"/>
    <mergeCell ref="M6490:N6491"/>
    <mergeCell ref="O6490:P6491"/>
    <mergeCell ref="Q6490:R6491"/>
    <mergeCell ref="S6490:T6491"/>
    <mergeCell ref="U6490:V6491"/>
    <mergeCell ref="W6490:W6491"/>
    <mergeCell ref="X6490:AB6490"/>
    <mergeCell ref="AD6490:AI6490"/>
    <mergeCell ref="AJ6490:AL6490"/>
    <mergeCell ref="AN6490:AO6490"/>
    <mergeCell ref="AP6490:AQ6490"/>
    <mergeCell ref="AR6490:AS6491"/>
    <mergeCell ref="AT6490:AU6491"/>
    <mergeCell ref="AV6490:AW6491"/>
    <mergeCell ref="AX6490:AY6491"/>
    <mergeCell ref="AZ6490:AZ6491"/>
    <mergeCell ref="F6491:H6491"/>
    <mergeCell ref="X6491:AB6491"/>
    <mergeCell ref="AE6491:AI6491"/>
    <mergeCell ref="AJ6491:AL6491"/>
    <mergeCell ref="AN6491:AO6491"/>
    <mergeCell ref="AP6491:AQ6491"/>
    <mergeCell ref="A6492:A6493"/>
    <mergeCell ref="E6492:E6493"/>
    <mergeCell ref="F6492:H6492"/>
    <mergeCell ref="J6492:J6493"/>
    <mergeCell ref="K6492:L6493"/>
    <mergeCell ref="M6492:N6493"/>
    <mergeCell ref="O6492:P6493"/>
    <mergeCell ref="Q6492:R6493"/>
    <mergeCell ref="S6492:T6493"/>
    <mergeCell ref="U6492:V6493"/>
    <mergeCell ref="W6492:W6493"/>
    <mergeCell ref="X6492:AB6492"/>
    <mergeCell ref="AD6492:AI6492"/>
    <mergeCell ref="AJ6492:AL6492"/>
    <mergeCell ref="AN6492:AO6492"/>
    <mergeCell ref="AP6492:AQ6492"/>
    <mergeCell ref="AR6492:AS6493"/>
    <mergeCell ref="AT6492:AU6493"/>
    <mergeCell ref="AV6492:AW6493"/>
    <mergeCell ref="AX6492:AY6493"/>
    <mergeCell ref="AZ6492:AZ6493"/>
    <mergeCell ref="F6493:H6493"/>
    <mergeCell ref="X6493:AB6493"/>
    <mergeCell ref="AE6493:AI6493"/>
    <mergeCell ref="AJ6493:AL6493"/>
    <mergeCell ref="AN6493:AO6493"/>
    <mergeCell ref="AP6493:AQ6493"/>
    <mergeCell ref="A6494:A6495"/>
    <mergeCell ref="E6494:E6495"/>
    <mergeCell ref="F6494:H6494"/>
    <mergeCell ref="J6494:J6495"/>
    <mergeCell ref="K6494:L6495"/>
    <mergeCell ref="M6494:N6495"/>
    <mergeCell ref="O6494:P6495"/>
    <mergeCell ref="Q6494:R6495"/>
    <mergeCell ref="S6494:T6495"/>
    <mergeCell ref="U6494:V6495"/>
    <mergeCell ref="W6494:W6495"/>
    <mergeCell ref="X6494:AB6494"/>
    <mergeCell ref="AD6494:AI6494"/>
    <mergeCell ref="AJ6494:AL6494"/>
    <mergeCell ref="AN6494:AO6494"/>
    <mergeCell ref="AP6494:AQ6494"/>
    <mergeCell ref="AR6494:AS6495"/>
    <mergeCell ref="AT6494:AU6495"/>
    <mergeCell ref="AV6494:AW6495"/>
    <mergeCell ref="AX6494:AY6495"/>
    <mergeCell ref="AZ6494:AZ6495"/>
    <mergeCell ref="F6495:H6495"/>
    <mergeCell ref="X6495:AB6495"/>
    <mergeCell ref="AE6495:AI6495"/>
    <mergeCell ref="AJ6495:AL6495"/>
    <mergeCell ref="AN6495:AO6495"/>
    <mergeCell ref="AP6495:AQ6495"/>
    <mergeCell ref="A6496:A6497"/>
    <mergeCell ref="E6496:E6497"/>
    <mergeCell ref="F6496:H6496"/>
    <mergeCell ref="J6496:J6497"/>
    <mergeCell ref="K6496:L6497"/>
    <mergeCell ref="M6496:N6497"/>
    <mergeCell ref="O6496:P6497"/>
    <mergeCell ref="Q6496:R6497"/>
    <mergeCell ref="S6496:T6497"/>
    <mergeCell ref="U6496:V6497"/>
    <mergeCell ref="W6496:W6497"/>
    <mergeCell ref="X6496:AB6496"/>
    <mergeCell ref="AD6496:AI6496"/>
    <mergeCell ref="AJ6496:AL6496"/>
    <mergeCell ref="AN6496:AO6496"/>
    <mergeCell ref="AP6496:AQ6496"/>
    <mergeCell ref="AR6496:AS6497"/>
    <mergeCell ref="AT6496:AU6497"/>
    <mergeCell ref="AV6496:AW6497"/>
    <mergeCell ref="AX6496:AY6497"/>
    <mergeCell ref="AZ6496:AZ6497"/>
    <mergeCell ref="F6497:H6497"/>
    <mergeCell ref="X6497:AB6497"/>
    <mergeCell ref="AE6497:AI6497"/>
    <mergeCell ref="AJ6497:AL6497"/>
    <mergeCell ref="AN6497:AO6497"/>
    <mergeCell ref="AP6497:AQ6497"/>
    <mergeCell ref="A6498:A6499"/>
    <mergeCell ref="E6498:E6499"/>
    <mergeCell ref="F6498:H6498"/>
    <mergeCell ref="J6498:J6499"/>
    <mergeCell ref="K6498:L6499"/>
    <mergeCell ref="M6498:N6499"/>
    <mergeCell ref="O6498:P6499"/>
    <mergeCell ref="Q6498:R6499"/>
    <mergeCell ref="S6498:T6499"/>
    <mergeCell ref="U6498:V6499"/>
    <mergeCell ref="W6498:W6499"/>
    <mergeCell ref="X6498:AB6498"/>
    <mergeCell ref="AD6498:AI6498"/>
    <mergeCell ref="AJ6498:AL6498"/>
    <mergeCell ref="AN6498:AO6498"/>
    <mergeCell ref="AP6498:AQ6498"/>
    <mergeCell ref="AR6498:AS6499"/>
    <mergeCell ref="AT6498:AU6499"/>
    <mergeCell ref="AV6498:AW6499"/>
    <mergeCell ref="AX6498:AY6499"/>
    <mergeCell ref="AZ6498:AZ6499"/>
    <mergeCell ref="F6499:H6499"/>
    <mergeCell ref="X6499:AB6499"/>
    <mergeCell ref="AE6499:AI6499"/>
    <mergeCell ref="AJ6499:AL6499"/>
    <mergeCell ref="AN6499:AO6499"/>
    <mergeCell ref="AP6499:AQ6499"/>
    <mergeCell ref="A6500:A6501"/>
    <mergeCell ref="E6500:E6501"/>
    <mergeCell ref="F6500:H6500"/>
    <mergeCell ref="J6500:J6501"/>
    <mergeCell ref="K6500:L6501"/>
    <mergeCell ref="M6500:N6501"/>
    <mergeCell ref="O6500:P6501"/>
    <mergeCell ref="Q6500:R6501"/>
    <mergeCell ref="S6500:T6501"/>
    <mergeCell ref="U6500:V6501"/>
    <mergeCell ref="W6500:W6501"/>
    <mergeCell ref="X6500:AB6500"/>
    <mergeCell ref="AD6500:AI6500"/>
    <mergeCell ref="AJ6500:AL6500"/>
    <mergeCell ref="AN6500:AO6500"/>
    <mergeCell ref="AP6500:AQ6500"/>
    <mergeCell ref="AR6500:AS6501"/>
    <mergeCell ref="AT6500:AU6501"/>
    <mergeCell ref="AV6500:AW6501"/>
    <mergeCell ref="AX6500:AY6501"/>
    <mergeCell ref="AZ6500:AZ6501"/>
    <mergeCell ref="F6501:H6501"/>
    <mergeCell ref="X6501:AB6501"/>
    <mergeCell ref="AE6501:AI6501"/>
    <mergeCell ref="AJ6501:AL6501"/>
    <mergeCell ref="AN6501:AO6501"/>
    <mergeCell ref="AP6501:AQ6501"/>
    <mergeCell ref="A6502:A6503"/>
    <mergeCell ref="E6502:E6503"/>
    <mergeCell ref="F6502:H6502"/>
    <mergeCell ref="J6502:J6503"/>
    <mergeCell ref="K6502:L6503"/>
    <mergeCell ref="M6502:N6503"/>
    <mergeCell ref="O6502:P6503"/>
    <mergeCell ref="Q6502:R6503"/>
    <mergeCell ref="S6502:T6503"/>
    <mergeCell ref="U6502:V6503"/>
    <mergeCell ref="W6502:W6503"/>
    <mergeCell ref="X6502:AB6502"/>
    <mergeCell ref="AD6502:AI6502"/>
    <mergeCell ref="AJ6502:AL6502"/>
    <mergeCell ref="AN6502:AO6502"/>
    <mergeCell ref="AP6502:AQ6502"/>
    <mergeCell ref="AR6502:AS6503"/>
    <mergeCell ref="AT6502:AU6503"/>
    <mergeCell ref="AV6502:AW6503"/>
    <mergeCell ref="AX6502:AY6503"/>
    <mergeCell ref="AZ6502:AZ6503"/>
    <mergeCell ref="F6503:H6503"/>
    <mergeCell ref="X6503:AB6503"/>
    <mergeCell ref="AE6503:AI6503"/>
    <mergeCell ref="AJ6503:AL6503"/>
    <mergeCell ref="AN6503:AO6503"/>
    <mergeCell ref="AP6503:AQ6503"/>
    <mergeCell ref="A6504:A6505"/>
    <mergeCell ref="E6504:E6505"/>
    <mergeCell ref="F6504:H6504"/>
    <mergeCell ref="J6504:J6505"/>
    <mergeCell ref="K6504:L6505"/>
    <mergeCell ref="M6504:N6505"/>
    <mergeCell ref="O6504:P6505"/>
    <mergeCell ref="Q6504:R6505"/>
    <mergeCell ref="S6504:T6505"/>
    <mergeCell ref="U6504:V6505"/>
    <mergeCell ref="W6504:W6505"/>
    <mergeCell ref="X6504:AB6504"/>
    <mergeCell ref="AD6504:AI6504"/>
    <mergeCell ref="AJ6504:AL6504"/>
    <mergeCell ref="AN6504:AO6504"/>
    <mergeCell ref="AP6504:AQ6504"/>
    <mergeCell ref="AR6504:AS6505"/>
    <mergeCell ref="AT6504:AU6505"/>
    <mergeCell ref="AV6504:AW6505"/>
    <mergeCell ref="AX6504:AY6505"/>
    <mergeCell ref="AZ6504:AZ6505"/>
    <mergeCell ref="F6505:H6505"/>
    <mergeCell ref="X6505:AB6505"/>
    <mergeCell ref="AE6505:AI6505"/>
    <mergeCell ref="AJ6505:AL6505"/>
    <mergeCell ref="AN6505:AO6505"/>
    <mergeCell ref="AP6505:AQ6505"/>
    <mergeCell ref="A6506:A6507"/>
    <mergeCell ref="E6506:E6507"/>
    <mergeCell ref="F6506:H6506"/>
    <mergeCell ref="J6506:J6507"/>
    <mergeCell ref="K6506:L6507"/>
    <mergeCell ref="M6506:N6507"/>
    <mergeCell ref="O6506:P6507"/>
    <mergeCell ref="Q6506:R6507"/>
    <mergeCell ref="S6506:T6507"/>
    <mergeCell ref="U6506:V6507"/>
    <mergeCell ref="W6506:W6507"/>
    <mergeCell ref="X6506:AB6506"/>
    <mergeCell ref="AD6506:AI6506"/>
    <mergeCell ref="AJ6506:AL6506"/>
    <mergeCell ref="AN6506:AO6506"/>
    <mergeCell ref="AP6506:AQ6506"/>
    <mergeCell ref="AR6506:AS6507"/>
    <mergeCell ref="AT6506:AU6507"/>
    <mergeCell ref="AV6506:AW6507"/>
    <mergeCell ref="AX6506:AY6507"/>
    <mergeCell ref="AZ6506:AZ6507"/>
    <mergeCell ref="F6507:H6507"/>
    <mergeCell ref="X6507:AB6507"/>
    <mergeCell ref="AE6507:AI6507"/>
    <mergeCell ref="AJ6507:AL6507"/>
    <mergeCell ref="AN6507:AO6507"/>
    <mergeCell ref="AP6507:AQ6507"/>
    <mergeCell ref="A6508:A6509"/>
    <mergeCell ref="E6508:E6509"/>
    <mergeCell ref="F6508:H6508"/>
    <mergeCell ref="J6508:J6509"/>
    <mergeCell ref="K6508:L6509"/>
    <mergeCell ref="M6508:N6509"/>
    <mergeCell ref="O6508:P6509"/>
    <mergeCell ref="Q6508:R6509"/>
    <mergeCell ref="S6508:T6509"/>
    <mergeCell ref="U6508:V6509"/>
    <mergeCell ref="W6508:W6509"/>
    <mergeCell ref="X6508:AB6508"/>
    <mergeCell ref="AD6508:AI6508"/>
    <mergeCell ref="AJ6508:AL6508"/>
    <mergeCell ref="AN6508:AO6508"/>
    <mergeCell ref="AP6508:AQ6508"/>
    <mergeCell ref="AR6508:AS6509"/>
    <mergeCell ref="AT6508:AU6509"/>
    <mergeCell ref="AV6508:AW6509"/>
    <mergeCell ref="AX6508:AY6509"/>
    <mergeCell ref="AZ6508:AZ6509"/>
    <mergeCell ref="F6509:H6509"/>
    <mergeCell ref="X6509:AB6509"/>
    <mergeCell ref="AE6509:AI6509"/>
    <mergeCell ref="AJ6509:AL6509"/>
    <mergeCell ref="AN6509:AO6509"/>
    <mergeCell ref="AP6509:AQ6509"/>
    <mergeCell ref="A6510:A6511"/>
    <mergeCell ref="E6510:E6511"/>
    <mergeCell ref="F6510:H6510"/>
    <mergeCell ref="J6510:J6511"/>
    <mergeCell ref="K6510:L6511"/>
    <mergeCell ref="M6510:N6511"/>
    <mergeCell ref="O6510:P6511"/>
    <mergeCell ref="Q6510:R6511"/>
    <mergeCell ref="S6510:T6511"/>
    <mergeCell ref="U6510:V6511"/>
    <mergeCell ref="W6510:W6511"/>
    <mergeCell ref="X6510:AB6510"/>
    <mergeCell ref="AD6510:AI6510"/>
    <mergeCell ref="AJ6510:AL6510"/>
    <mergeCell ref="AN6510:AO6510"/>
    <mergeCell ref="AP6510:AQ6510"/>
    <mergeCell ref="AR6510:AS6511"/>
    <mergeCell ref="AT6510:AU6511"/>
    <mergeCell ref="AV6510:AW6511"/>
    <mergeCell ref="AX6510:AY6511"/>
    <mergeCell ref="AZ6510:AZ6511"/>
    <mergeCell ref="F6511:H6511"/>
    <mergeCell ref="X6511:AB6511"/>
    <mergeCell ref="AE6511:AI6511"/>
    <mergeCell ref="AJ6511:AL6511"/>
    <mergeCell ref="AN6511:AO6511"/>
    <mergeCell ref="AP6511:AQ6511"/>
    <mergeCell ref="A6512:A6513"/>
    <mergeCell ref="E6512:E6513"/>
    <mergeCell ref="F6512:H6512"/>
    <mergeCell ref="J6512:J6513"/>
    <mergeCell ref="K6512:L6513"/>
    <mergeCell ref="M6512:N6513"/>
    <mergeCell ref="O6512:P6513"/>
    <mergeCell ref="Q6512:R6513"/>
    <mergeCell ref="S6512:T6513"/>
    <mergeCell ref="U6512:V6513"/>
    <mergeCell ref="W6512:W6513"/>
    <mergeCell ref="X6512:AB6512"/>
    <mergeCell ref="AD6512:AI6512"/>
    <mergeCell ref="AJ6512:AL6512"/>
    <mergeCell ref="AN6512:AO6512"/>
    <mergeCell ref="AP6512:AQ6512"/>
    <mergeCell ref="AR6512:AS6513"/>
    <mergeCell ref="AT6512:AU6513"/>
    <mergeCell ref="AV6512:AW6513"/>
    <mergeCell ref="AX6512:AY6513"/>
    <mergeCell ref="AZ6512:AZ6513"/>
    <mergeCell ref="F6513:H6513"/>
    <mergeCell ref="X6513:AB6513"/>
    <mergeCell ref="AE6513:AI6513"/>
    <mergeCell ref="AJ6513:AL6513"/>
    <mergeCell ref="AN6513:AO6513"/>
    <mergeCell ref="AP6513:AQ6513"/>
    <mergeCell ref="A6514:A6515"/>
    <mergeCell ref="E6514:E6515"/>
    <mergeCell ref="F6514:H6514"/>
    <mergeCell ref="J6514:J6515"/>
    <mergeCell ref="K6514:L6515"/>
    <mergeCell ref="M6514:N6515"/>
    <mergeCell ref="O6514:P6515"/>
    <mergeCell ref="Q6514:R6515"/>
    <mergeCell ref="S6514:T6515"/>
    <mergeCell ref="U6514:V6515"/>
    <mergeCell ref="W6514:W6515"/>
    <mergeCell ref="X6514:AB6514"/>
    <mergeCell ref="AD6514:AI6514"/>
    <mergeCell ref="AJ6514:AL6514"/>
    <mergeCell ref="AN6514:AO6514"/>
    <mergeCell ref="AP6514:AQ6514"/>
    <mergeCell ref="AR6514:AS6515"/>
    <mergeCell ref="AT6514:AU6515"/>
    <mergeCell ref="AV6514:AW6515"/>
    <mergeCell ref="AX6514:AY6515"/>
    <mergeCell ref="AZ6514:AZ6515"/>
    <mergeCell ref="F6515:H6515"/>
    <mergeCell ref="X6515:AB6515"/>
    <mergeCell ref="AE6515:AI6515"/>
    <mergeCell ref="AJ6515:AL6515"/>
    <mergeCell ref="AN6515:AO6515"/>
    <mergeCell ref="AP6515:AQ6515"/>
    <mergeCell ref="A6522:A6523"/>
    <mergeCell ref="E6522:E6523"/>
    <mergeCell ref="F6522:H6522"/>
    <mergeCell ref="J6522:J6523"/>
    <mergeCell ref="K6522:L6523"/>
    <mergeCell ref="M6522:N6523"/>
    <mergeCell ref="O6522:P6523"/>
    <mergeCell ref="Q6522:R6523"/>
    <mergeCell ref="S6522:T6523"/>
    <mergeCell ref="U6522:V6523"/>
    <mergeCell ref="W6522:W6523"/>
    <mergeCell ref="X6522:AB6522"/>
    <mergeCell ref="AD6522:AI6522"/>
    <mergeCell ref="AJ6522:AL6522"/>
    <mergeCell ref="AN6522:AO6522"/>
    <mergeCell ref="AP6522:AQ6522"/>
    <mergeCell ref="AR6522:AS6523"/>
    <mergeCell ref="AT6522:AU6523"/>
    <mergeCell ref="AV6522:AW6523"/>
    <mergeCell ref="AX6522:AY6523"/>
    <mergeCell ref="AZ6522:AZ6523"/>
    <mergeCell ref="F6523:H6523"/>
    <mergeCell ref="X6523:AB6523"/>
    <mergeCell ref="AE6523:AI6523"/>
    <mergeCell ref="AJ6523:AL6523"/>
    <mergeCell ref="AN6523:AO6523"/>
    <mergeCell ref="AP6523:AQ6523"/>
    <mergeCell ref="A6516:A6517"/>
    <mergeCell ref="E6516:E6517"/>
    <mergeCell ref="F6516:H6516"/>
    <mergeCell ref="J6516:J6517"/>
    <mergeCell ref="K6516:L6517"/>
    <mergeCell ref="M6516:N6517"/>
    <mergeCell ref="O6516:P6517"/>
    <mergeCell ref="Q6516:R6517"/>
    <mergeCell ref="S6516:T6517"/>
    <mergeCell ref="U6516:V6517"/>
    <mergeCell ref="AJ6524:AL6524"/>
    <mergeCell ref="AN6524:AO6524"/>
    <mergeCell ref="AP6524:AQ6524"/>
    <mergeCell ref="AR6524:AS6525"/>
    <mergeCell ref="AT6524:AU6525"/>
    <mergeCell ref="AV6524:AW6525"/>
    <mergeCell ref="AX6524:AY6525"/>
    <mergeCell ref="AZ6524:AZ6525"/>
    <mergeCell ref="F6525:H6525"/>
    <mergeCell ref="X6525:AB6525"/>
    <mergeCell ref="AE6525:AI6525"/>
    <mergeCell ref="AJ6525:AL6525"/>
    <mergeCell ref="AN6525:AO6525"/>
    <mergeCell ref="AP6525:AQ6525"/>
    <mergeCell ref="A6526:A6527"/>
    <mergeCell ref="E6526:E6527"/>
    <mergeCell ref="F6526:H6526"/>
    <mergeCell ref="J6526:J6527"/>
    <mergeCell ref="K6526:L6527"/>
    <mergeCell ref="M6526:N6527"/>
    <mergeCell ref="O6526:P6527"/>
    <mergeCell ref="Q6526:R6527"/>
    <mergeCell ref="S6526:T6527"/>
    <mergeCell ref="U6526:V6527"/>
    <mergeCell ref="W6526:W6527"/>
    <mergeCell ref="X6526:AB6526"/>
    <mergeCell ref="AD6526:AI6526"/>
    <mergeCell ref="AJ6526:AL6526"/>
    <mergeCell ref="AN6526:AO6526"/>
    <mergeCell ref="AP6526:AQ6526"/>
    <mergeCell ref="AR6526:AS6527"/>
    <mergeCell ref="AT6526:AU6527"/>
    <mergeCell ref="AV6526:AW6527"/>
    <mergeCell ref="AX6526:AY6527"/>
    <mergeCell ref="AZ6526:AZ6527"/>
    <mergeCell ref="F6527:H6527"/>
    <mergeCell ref="X6527:AB6527"/>
    <mergeCell ref="AE6527:AI6527"/>
    <mergeCell ref="AJ6527:AL6527"/>
    <mergeCell ref="AN6527:AO6527"/>
    <mergeCell ref="AP6527:AQ6527"/>
    <mergeCell ref="W6524:W6525"/>
    <mergeCell ref="X6524:AB6524"/>
    <mergeCell ref="AD6524:AI6524"/>
    <mergeCell ref="A6528:A6529"/>
    <mergeCell ref="E6528:E6529"/>
    <mergeCell ref="F6528:H6528"/>
    <mergeCell ref="J6528:J6529"/>
    <mergeCell ref="K6528:L6529"/>
    <mergeCell ref="M6528:N6529"/>
    <mergeCell ref="O6528:P6529"/>
    <mergeCell ref="Q6528:R6529"/>
    <mergeCell ref="S6528:T6529"/>
    <mergeCell ref="U6528:V6529"/>
    <mergeCell ref="W6528:W6529"/>
    <mergeCell ref="X6528:AB6528"/>
    <mergeCell ref="AD6528:AI6528"/>
    <mergeCell ref="AJ6528:AL6528"/>
    <mergeCell ref="AN6528:AO6528"/>
    <mergeCell ref="AP6528:AQ6528"/>
    <mergeCell ref="AR6528:AS6529"/>
    <mergeCell ref="AT6528:AU6529"/>
    <mergeCell ref="AV6528:AW6529"/>
    <mergeCell ref="AX6528:AY6529"/>
    <mergeCell ref="AZ6528:AZ6529"/>
    <mergeCell ref="F6529:H6529"/>
    <mergeCell ref="X6529:AB6529"/>
    <mergeCell ref="AE6529:AI6529"/>
    <mergeCell ref="AJ6529:AL6529"/>
    <mergeCell ref="AN6529:AO6529"/>
    <mergeCell ref="AP6529:AQ6529"/>
    <mergeCell ref="A6530:A6531"/>
    <mergeCell ref="E6530:E6531"/>
    <mergeCell ref="F6530:H6530"/>
    <mergeCell ref="J6530:J6531"/>
    <mergeCell ref="K6530:L6531"/>
    <mergeCell ref="M6530:N6531"/>
    <mergeCell ref="O6530:P6531"/>
    <mergeCell ref="Q6530:R6531"/>
    <mergeCell ref="S6530:T6531"/>
    <mergeCell ref="U6530:V6531"/>
    <mergeCell ref="W6530:W6531"/>
    <mergeCell ref="X6530:AB6530"/>
    <mergeCell ref="AD6530:AI6530"/>
    <mergeCell ref="AJ6530:AL6530"/>
    <mergeCell ref="AN6530:AO6530"/>
    <mergeCell ref="AP6530:AQ6530"/>
    <mergeCell ref="AR6530:AS6531"/>
    <mergeCell ref="AT6530:AU6531"/>
    <mergeCell ref="AV6530:AW6531"/>
    <mergeCell ref="AX6530:AY6531"/>
    <mergeCell ref="AZ6530:AZ6531"/>
    <mergeCell ref="F6531:H6531"/>
    <mergeCell ref="X6531:AB6531"/>
    <mergeCell ref="AE6531:AI6531"/>
    <mergeCell ref="AJ6531:AL6531"/>
    <mergeCell ref="AN6531:AO6531"/>
    <mergeCell ref="AP6531:AQ6531"/>
    <mergeCell ref="A6532:A6533"/>
    <mergeCell ref="E6532:E6533"/>
    <mergeCell ref="F6532:H6532"/>
    <mergeCell ref="J6532:J6533"/>
    <mergeCell ref="K6532:L6533"/>
    <mergeCell ref="M6532:N6533"/>
    <mergeCell ref="O6532:P6533"/>
    <mergeCell ref="Q6532:R6533"/>
    <mergeCell ref="S6532:T6533"/>
    <mergeCell ref="U6532:V6533"/>
    <mergeCell ref="W6532:W6533"/>
    <mergeCell ref="X6532:AB6532"/>
    <mergeCell ref="AD6532:AI6532"/>
    <mergeCell ref="AJ6532:AL6532"/>
    <mergeCell ref="AN6532:AO6532"/>
    <mergeCell ref="AP6532:AQ6532"/>
    <mergeCell ref="AR6532:AS6533"/>
    <mergeCell ref="AT6532:AU6533"/>
    <mergeCell ref="AV6532:AW6533"/>
    <mergeCell ref="AX6532:AY6533"/>
    <mergeCell ref="AZ6532:AZ6533"/>
    <mergeCell ref="F6533:H6533"/>
    <mergeCell ref="X6533:AB6533"/>
    <mergeCell ref="AE6533:AI6533"/>
    <mergeCell ref="AJ6533:AL6533"/>
    <mergeCell ref="AN6533:AO6533"/>
    <mergeCell ref="AP6533:AQ6533"/>
    <mergeCell ref="A6534:A6535"/>
    <mergeCell ref="E6534:E6535"/>
    <mergeCell ref="F6534:H6534"/>
    <mergeCell ref="J6534:J6535"/>
    <mergeCell ref="K6534:L6535"/>
    <mergeCell ref="M6534:N6535"/>
    <mergeCell ref="O6534:P6535"/>
    <mergeCell ref="Q6534:R6535"/>
    <mergeCell ref="S6534:T6535"/>
    <mergeCell ref="U6534:V6535"/>
    <mergeCell ref="W6534:W6535"/>
    <mergeCell ref="X6534:AB6534"/>
    <mergeCell ref="AD6534:AI6534"/>
    <mergeCell ref="AJ6534:AL6534"/>
    <mergeCell ref="AN6534:AO6534"/>
    <mergeCell ref="AP6534:AQ6534"/>
    <mergeCell ref="AR6534:AS6535"/>
    <mergeCell ref="AT6534:AU6535"/>
    <mergeCell ref="AV6534:AW6535"/>
    <mergeCell ref="AX6534:AY6535"/>
    <mergeCell ref="AZ6534:AZ6535"/>
    <mergeCell ref="F6535:H6535"/>
    <mergeCell ref="X6535:AB6535"/>
    <mergeCell ref="AE6535:AI6535"/>
    <mergeCell ref="AJ6535:AL6535"/>
    <mergeCell ref="AN6535:AO6535"/>
    <mergeCell ref="AP6535:AQ6535"/>
    <mergeCell ref="A6536:A6537"/>
    <mergeCell ref="E6536:E6537"/>
    <mergeCell ref="F6536:H6536"/>
    <mergeCell ref="J6536:J6537"/>
    <mergeCell ref="K6536:L6537"/>
    <mergeCell ref="M6536:N6537"/>
    <mergeCell ref="O6536:P6537"/>
    <mergeCell ref="Q6536:R6537"/>
    <mergeCell ref="S6536:T6537"/>
    <mergeCell ref="U6536:V6537"/>
    <mergeCell ref="W6536:W6537"/>
    <mergeCell ref="X6536:AB6536"/>
    <mergeCell ref="AD6536:AI6536"/>
    <mergeCell ref="AJ6536:AL6536"/>
    <mergeCell ref="AN6536:AO6536"/>
    <mergeCell ref="AP6536:AQ6536"/>
    <mergeCell ref="AR6536:AS6537"/>
    <mergeCell ref="AT6536:AU6537"/>
    <mergeCell ref="AV6536:AW6537"/>
    <mergeCell ref="AX6536:AY6537"/>
    <mergeCell ref="AZ6536:AZ6537"/>
    <mergeCell ref="F6537:H6537"/>
    <mergeCell ref="X6537:AB6537"/>
    <mergeCell ref="AE6537:AI6537"/>
    <mergeCell ref="AJ6537:AL6537"/>
    <mergeCell ref="AN6537:AO6537"/>
    <mergeCell ref="AP6537:AQ6537"/>
    <mergeCell ref="A6538:A6539"/>
    <mergeCell ref="E6538:E6539"/>
    <mergeCell ref="F6538:H6538"/>
    <mergeCell ref="J6538:J6539"/>
    <mergeCell ref="K6538:L6539"/>
    <mergeCell ref="M6538:N6539"/>
    <mergeCell ref="O6538:P6539"/>
    <mergeCell ref="Q6538:R6539"/>
    <mergeCell ref="S6538:T6539"/>
    <mergeCell ref="U6538:V6539"/>
    <mergeCell ref="W6538:W6539"/>
    <mergeCell ref="X6538:AB6538"/>
    <mergeCell ref="AD6538:AI6538"/>
    <mergeCell ref="AJ6538:AL6538"/>
    <mergeCell ref="AN6538:AO6538"/>
    <mergeCell ref="AP6538:AQ6538"/>
    <mergeCell ref="AR6538:AS6539"/>
    <mergeCell ref="AT6538:AU6539"/>
    <mergeCell ref="AV6538:AW6539"/>
    <mergeCell ref="AX6538:AY6539"/>
    <mergeCell ref="AZ6538:AZ6539"/>
    <mergeCell ref="F6539:H6539"/>
    <mergeCell ref="X6539:AB6539"/>
    <mergeCell ref="AE6539:AI6539"/>
    <mergeCell ref="AJ6539:AL6539"/>
    <mergeCell ref="AN6539:AO6539"/>
    <mergeCell ref="AP6539:AQ6539"/>
    <mergeCell ref="A6540:A6541"/>
    <mergeCell ref="E6540:E6541"/>
    <mergeCell ref="F6540:H6540"/>
    <mergeCell ref="J6540:J6541"/>
    <mergeCell ref="K6540:L6541"/>
    <mergeCell ref="M6540:N6541"/>
    <mergeCell ref="O6540:P6541"/>
    <mergeCell ref="Q6540:R6541"/>
    <mergeCell ref="S6540:T6541"/>
    <mergeCell ref="U6540:V6541"/>
    <mergeCell ref="W6540:W6541"/>
    <mergeCell ref="X6540:AB6540"/>
    <mergeCell ref="AD6540:AI6540"/>
    <mergeCell ref="AJ6540:AL6540"/>
    <mergeCell ref="AN6540:AO6540"/>
    <mergeCell ref="AP6540:AQ6540"/>
    <mergeCell ref="AR6540:AS6541"/>
    <mergeCell ref="AT6540:AU6541"/>
    <mergeCell ref="AV6540:AW6541"/>
    <mergeCell ref="AX6540:AY6541"/>
    <mergeCell ref="AZ6540:AZ6541"/>
    <mergeCell ref="F6541:H6541"/>
    <mergeCell ref="X6541:AB6541"/>
    <mergeCell ref="AE6541:AI6541"/>
    <mergeCell ref="AJ6541:AL6541"/>
    <mergeCell ref="AN6541:AO6541"/>
    <mergeCell ref="AP6541:AQ6541"/>
    <mergeCell ref="A6542:A6543"/>
    <mergeCell ref="E6542:E6543"/>
    <mergeCell ref="F6542:H6542"/>
    <mergeCell ref="J6542:J6543"/>
    <mergeCell ref="K6542:L6543"/>
    <mergeCell ref="M6542:N6543"/>
    <mergeCell ref="O6542:P6543"/>
    <mergeCell ref="Q6542:R6543"/>
    <mergeCell ref="S6542:T6543"/>
    <mergeCell ref="U6542:V6543"/>
    <mergeCell ref="W6542:W6543"/>
    <mergeCell ref="X6542:AB6542"/>
    <mergeCell ref="AD6542:AI6542"/>
    <mergeCell ref="AJ6542:AL6542"/>
    <mergeCell ref="AN6542:AO6542"/>
    <mergeCell ref="AP6542:AQ6542"/>
    <mergeCell ref="AR6542:AS6543"/>
    <mergeCell ref="AT6542:AU6543"/>
    <mergeCell ref="AV6542:AW6543"/>
    <mergeCell ref="AX6542:AY6543"/>
    <mergeCell ref="AZ6542:AZ6543"/>
    <mergeCell ref="F6543:H6543"/>
    <mergeCell ref="X6543:AB6543"/>
    <mergeCell ref="AE6543:AI6543"/>
    <mergeCell ref="AJ6543:AL6543"/>
    <mergeCell ref="AN6543:AO6543"/>
    <mergeCell ref="AP6543:AQ6543"/>
    <mergeCell ref="A6544:A6545"/>
    <mergeCell ref="E6544:E6545"/>
    <mergeCell ref="F6544:H6544"/>
    <mergeCell ref="J6544:J6545"/>
    <mergeCell ref="K6544:L6545"/>
    <mergeCell ref="M6544:N6545"/>
    <mergeCell ref="O6544:P6545"/>
    <mergeCell ref="Q6544:R6545"/>
    <mergeCell ref="S6544:T6545"/>
    <mergeCell ref="U6544:V6545"/>
    <mergeCell ref="W6544:W6545"/>
    <mergeCell ref="X6544:AB6544"/>
    <mergeCell ref="AD6544:AI6544"/>
    <mergeCell ref="AJ6544:AL6544"/>
    <mergeCell ref="AN6544:AO6544"/>
    <mergeCell ref="AP6544:AQ6544"/>
    <mergeCell ref="AR6544:AS6545"/>
    <mergeCell ref="AT6544:AU6545"/>
    <mergeCell ref="AV6544:AW6545"/>
    <mergeCell ref="AX6544:AY6545"/>
    <mergeCell ref="AZ6544:AZ6545"/>
    <mergeCell ref="F6545:H6545"/>
    <mergeCell ref="X6545:AB6545"/>
    <mergeCell ref="AE6545:AI6545"/>
    <mergeCell ref="AJ6545:AL6545"/>
    <mergeCell ref="AN6545:AO6545"/>
    <mergeCell ref="AP6545:AQ6545"/>
    <mergeCell ref="A6546:A6547"/>
    <mergeCell ref="E6546:E6547"/>
    <mergeCell ref="F6546:H6546"/>
    <mergeCell ref="J6546:J6547"/>
    <mergeCell ref="K6546:L6547"/>
    <mergeCell ref="M6546:N6547"/>
    <mergeCell ref="O6546:P6547"/>
    <mergeCell ref="Q6546:R6547"/>
    <mergeCell ref="S6546:T6547"/>
    <mergeCell ref="U6546:V6547"/>
    <mergeCell ref="W6546:W6547"/>
    <mergeCell ref="X6546:AB6546"/>
    <mergeCell ref="AD6546:AI6546"/>
    <mergeCell ref="AJ6546:AL6546"/>
    <mergeCell ref="AN6546:AO6546"/>
    <mergeCell ref="AP6546:AQ6546"/>
    <mergeCell ref="AR6546:AS6547"/>
    <mergeCell ref="AT6546:AU6547"/>
    <mergeCell ref="AV6546:AW6547"/>
    <mergeCell ref="AX6546:AY6547"/>
    <mergeCell ref="AZ6546:AZ6547"/>
    <mergeCell ref="F6547:H6547"/>
    <mergeCell ref="X6547:AB6547"/>
    <mergeCell ref="AE6547:AI6547"/>
    <mergeCell ref="AJ6547:AL6547"/>
    <mergeCell ref="AN6547:AO6547"/>
    <mergeCell ref="AP6547:AQ6547"/>
    <mergeCell ref="A6548:A6549"/>
    <mergeCell ref="E6548:E6549"/>
    <mergeCell ref="F6548:H6548"/>
    <mergeCell ref="J6548:J6549"/>
    <mergeCell ref="K6548:L6549"/>
    <mergeCell ref="M6548:N6549"/>
    <mergeCell ref="O6548:P6549"/>
    <mergeCell ref="Q6548:R6549"/>
    <mergeCell ref="S6548:T6549"/>
    <mergeCell ref="U6548:V6549"/>
    <mergeCell ref="W6548:W6549"/>
    <mergeCell ref="X6548:AB6548"/>
    <mergeCell ref="AD6548:AI6548"/>
    <mergeCell ref="AJ6548:AL6548"/>
    <mergeCell ref="AN6548:AO6548"/>
    <mergeCell ref="AP6548:AQ6548"/>
    <mergeCell ref="AR6548:AS6549"/>
    <mergeCell ref="AT6548:AU6549"/>
    <mergeCell ref="AV6548:AW6549"/>
    <mergeCell ref="AX6548:AY6549"/>
    <mergeCell ref="AZ6548:AZ6549"/>
    <mergeCell ref="F6549:H6549"/>
    <mergeCell ref="X6549:AB6549"/>
    <mergeCell ref="AE6549:AI6549"/>
    <mergeCell ref="AJ6549:AL6549"/>
    <mergeCell ref="AN6549:AO6549"/>
    <mergeCell ref="AP6549:AQ6549"/>
    <mergeCell ref="A6550:A6551"/>
    <mergeCell ref="E6550:E6551"/>
    <mergeCell ref="F6550:H6550"/>
    <mergeCell ref="J6550:J6551"/>
    <mergeCell ref="K6550:L6551"/>
    <mergeCell ref="M6550:N6551"/>
    <mergeCell ref="O6550:P6551"/>
    <mergeCell ref="Q6550:R6551"/>
    <mergeCell ref="S6550:T6551"/>
    <mergeCell ref="U6550:V6551"/>
    <mergeCell ref="W6550:W6551"/>
    <mergeCell ref="X6550:AB6550"/>
    <mergeCell ref="AD6550:AI6550"/>
    <mergeCell ref="AJ6550:AL6550"/>
    <mergeCell ref="AN6550:AO6550"/>
    <mergeCell ref="AP6550:AQ6550"/>
    <mergeCell ref="AR6550:AS6551"/>
    <mergeCell ref="AT6550:AU6551"/>
    <mergeCell ref="AV6550:AW6551"/>
    <mergeCell ref="AX6550:AY6551"/>
    <mergeCell ref="AZ6550:AZ6551"/>
    <mergeCell ref="F6551:H6551"/>
    <mergeCell ref="X6551:AB6551"/>
    <mergeCell ref="AE6551:AI6551"/>
    <mergeCell ref="AJ6551:AL6551"/>
    <mergeCell ref="AN6551:AO6551"/>
    <mergeCell ref="AP6551:AQ6551"/>
    <mergeCell ref="A6552:A6553"/>
    <mergeCell ref="E6552:E6553"/>
    <mergeCell ref="F6552:H6552"/>
    <mergeCell ref="J6552:J6553"/>
    <mergeCell ref="K6552:L6553"/>
    <mergeCell ref="M6552:N6553"/>
    <mergeCell ref="O6552:P6553"/>
    <mergeCell ref="Q6552:R6553"/>
    <mergeCell ref="S6552:T6553"/>
    <mergeCell ref="U6552:V6553"/>
    <mergeCell ref="W6552:W6553"/>
    <mergeCell ref="X6552:AB6552"/>
    <mergeCell ref="AD6552:AI6552"/>
    <mergeCell ref="AJ6552:AL6552"/>
    <mergeCell ref="AN6552:AO6552"/>
    <mergeCell ref="AP6552:AQ6552"/>
    <mergeCell ref="AR6552:AS6553"/>
    <mergeCell ref="AT6552:AU6553"/>
    <mergeCell ref="AV6552:AW6553"/>
    <mergeCell ref="AX6552:AY6553"/>
    <mergeCell ref="AZ6552:AZ6553"/>
    <mergeCell ref="F6553:H6553"/>
    <mergeCell ref="X6553:AB6553"/>
    <mergeCell ref="AE6553:AI6553"/>
    <mergeCell ref="AJ6553:AL6553"/>
    <mergeCell ref="AN6553:AO6553"/>
    <mergeCell ref="AP6553:AQ6553"/>
    <mergeCell ref="A6554:A6555"/>
    <mergeCell ref="E6554:E6555"/>
    <mergeCell ref="F6554:H6554"/>
    <mergeCell ref="J6554:J6555"/>
    <mergeCell ref="K6554:L6555"/>
    <mergeCell ref="M6554:N6555"/>
    <mergeCell ref="O6554:P6555"/>
    <mergeCell ref="Q6554:R6555"/>
    <mergeCell ref="S6554:T6555"/>
    <mergeCell ref="U6554:V6555"/>
    <mergeCell ref="W6554:W6555"/>
    <mergeCell ref="X6554:AB6554"/>
    <mergeCell ref="AD6554:AI6554"/>
    <mergeCell ref="AJ6554:AL6554"/>
    <mergeCell ref="AN6554:AO6554"/>
    <mergeCell ref="AP6554:AQ6554"/>
    <mergeCell ref="AR6554:AS6555"/>
    <mergeCell ref="AT6554:AU6555"/>
    <mergeCell ref="AV6554:AW6555"/>
    <mergeCell ref="AX6554:AY6555"/>
    <mergeCell ref="AZ6554:AZ6555"/>
    <mergeCell ref="F6555:H6555"/>
    <mergeCell ref="X6555:AB6555"/>
    <mergeCell ref="AE6555:AI6555"/>
    <mergeCell ref="AJ6555:AL6555"/>
    <mergeCell ref="AN6555:AO6555"/>
    <mergeCell ref="AP6555:AQ6555"/>
    <mergeCell ref="A6556:A6557"/>
    <mergeCell ref="E6556:E6557"/>
    <mergeCell ref="F6556:H6556"/>
    <mergeCell ref="J6556:J6557"/>
    <mergeCell ref="K6556:L6557"/>
    <mergeCell ref="M6556:N6557"/>
    <mergeCell ref="O6556:P6557"/>
    <mergeCell ref="Q6556:R6557"/>
    <mergeCell ref="S6556:T6557"/>
    <mergeCell ref="U6556:V6557"/>
    <mergeCell ref="W6556:W6557"/>
    <mergeCell ref="X6556:AB6556"/>
    <mergeCell ref="AD6556:AI6556"/>
    <mergeCell ref="AJ6556:AL6556"/>
    <mergeCell ref="AN6556:AO6556"/>
    <mergeCell ref="AP6556:AQ6556"/>
    <mergeCell ref="AR6556:AS6557"/>
    <mergeCell ref="AT6556:AU6557"/>
    <mergeCell ref="AV6556:AW6557"/>
    <mergeCell ref="AX6556:AY6557"/>
    <mergeCell ref="AZ6556:AZ6557"/>
    <mergeCell ref="F6557:H6557"/>
    <mergeCell ref="X6557:AB6557"/>
    <mergeCell ref="AE6557:AI6557"/>
    <mergeCell ref="AJ6557:AL6557"/>
    <mergeCell ref="AN6557:AO6557"/>
    <mergeCell ref="AP6557:AQ6557"/>
    <mergeCell ref="A6558:A6559"/>
    <mergeCell ref="E6558:E6559"/>
    <mergeCell ref="F6558:H6558"/>
    <mergeCell ref="J6558:J6559"/>
    <mergeCell ref="K6558:L6559"/>
    <mergeCell ref="M6558:N6559"/>
    <mergeCell ref="O6558:P6559"/>
    <mergeCell ref="Q6558:R6559"/>
    <mergeCell ref="S6558:T6559"/>
    <mergeCell ref="U6558:V6559"/>
    <mergeCell ref="W6558:W6559"/>
    <mergeCell ref="X6558:AB6558"/>
    <mergeCell ref="AD6558:AI6558"/>
    <mergeCell ref="AJ6558:AL6558"/>
    <mergeCell ref="AN6558:AO6558"/>
    <mergeCell ref="AP6558:AQ6558"/>
    <mergeCell ref="AR6558:AS6559"/>
    <mergeCell ref="AT6558:AU6559"/>
    <mergeCell ref="AV6558:AW6559"/>
    <mergeCell ref="AX6558:AY6559"/>
    <mergeCell ref="AZ6558:AZ6559"/>
    <mergeCell ref="F6559:H6559"/>
    <mergeCell ref="X6559:AB6559"/>
    <mergeCell ref="AE6559:AI6559"/>
    <mergeCell ref="AJ6559:AL6559"/>
    <mergeCell ref="AN6559:AO6559"/>
    <mergeCell ref="AP6559:AQ6559"/>
    <mergeCell ref="A6562:A6563"/>
    <mergeCell ref="E6562:E6563"/>
    <mergeCell ref="F6562:H6562"/>
    <mergeCell ref="J6562:J6563"/>
    <mergeCell ref="K6562:L6563"/>
    <mergeCell ref="M6562:N6563"/>
    <mergeCell ref="O6562:P6563"/>
    <mergeCell ref="Q6562:R6563"/>
    <mergeCell ref="S6562:T6563"/>
    <mergeCell ref="U6562:V6563"/>
    <mergeCell ref="W6562:W6563"/>
    <mergeCell ref="X6562:AB6562"/>
    <mergeCell ref="AD6562:AI6562"/>
    <mergeCell ref="AJ6562:AL6562"/>
    <mergeCell ref="AN6562:AO6562"/>
    <mergeCell ref="AP6562:AQ6562"/>
    <mergeCell ref="AR6562:AS6563"/>
    <mergeCell ref="AT6562:AU6563"/>
    <mergeCell ref="AV6562:AW6563"/>
    <mergeCell ref="AX6562:AY6563"/>
    <mergeCell ref="AZ6562:AZ6563"/>
    <mergeCell ref="F6563:H6563"/>
    <mergeCell ref="X6563:AB6563"/>
    <mergeCell ref="AE6563:AI6563"/>
    <mergeCell ref="AJ6563:AL6563"/>
    <mergeCell ref="AN6563:AO6563"/>
    <mergeCell ref="AP6563:AQ6563"/>
    <mergeCell ref="A6564:A6565"/>
    <mergeCell ref="E6564:E6565"/>
    <mergeCell ref="F6564:H6564"/>
    <mergeCell ref="J6564:J6565"/>
    <mergeCell ref="K6564:L6565"/>
    <mergeCell ref="M6564:N6565"/>
    <mergeCell ref="O6564:P6565"/>
    <mergeCell ref="Q6564:R6565"/>
    <mergeCell ref="S6564:T6565"/>
    <mergeCell ref="U6564:V6565"/>
    <mergeCell ref="W6564:W6565"/>
    <mergeCell ref="X6564:AB6564"/>
    <mergeCell ref="AD6564:AI6564"/>
    <mergeCell ref="AJ6564:AL6564"/>
    <mergeCell ref="AN6564:AO6564"/>
    <mergeCell ref="AP6564:AQ6564"/>
    <mergeCell ref="AR6564:AS6565"/>
    <mergeCell ref="AT6564:AU6565"/>
    <mergeCell ref="AV6564:AW6565"/>
    <mergeCell ref="AX6564:AY6565"/>
    <mergeCell ref="AZ6564:AZ6565"/>
    <mergeCell ref="F6565:H6565"/>
    <mergeCell ref="X6565:AB6565"/>
    <mergeCell ref="AE6565:AI6565"/>
    <mergeCell ref="AJ6565:AL6565"/>
    <mergeCell ref="AN6565:AO6565"/>
    <mergeCell ref="AP6565:AQ6565"/>
    <mergeCell ref="A6566:A6567"/>
    <mergeCell ref="E6566:E6567"/>
    <mergeCell ref="F6566:H6566"/>
    <mergeCell ref="J6566:J6567"/>
    <mergeCell ref="K6566:L6567"/>
    <mergeCell ref="M6566:N6567"/>
    <mergeCell ref="O6566:P6567"/>
    <mergeCell ref="Q6566:R6567"/>
    <mergeCell ref="S6566:T6567"/>
    <mergeCell ref="U6566:V6567"/>
    <mergeCell ref="W6566:W6567"/>
    <mergeCell ref="X6566:AB6566"/>
    <mergeCell ref="AD6566:AI6566"/>
    <mergeCell ref="AJ6566:AL6566"/>
    <mergeCell ref="AN6566:AO6566"/>
    <mergeCell ref="AP6566:AQ6566"/>
    <mergeCell ref="AR6566:AS6567"/>
    <mergeCell ref="AT6566:AU6567"/>
    <mergeCell ref="AV6566:AW6567"/>
    <mergeCell ref="AX6566:AY6567"/>
    <mergeCell ref="AZ6566:AZ6567"/>
    <mergeCell ref="F6567:H6567"/>
    <mergeCell ref="X6567:AB6567"/>
    <mergeCell ref="AE6567:AI6567"/>
    <mergeCell ref="AJ6567:AL6567"/>
    <mergeCell ref="AN6567:AO6567"/>
    <mergeCell ref="AP6567:AQ6567"/>
    <mergeCell ref="A6568:A6569"/>
    <mergeCell ref="E6568:E6569"/>
    <mergeCell ref="F6568:H6568"/>
    <mergeCell ref="J6568:J6569"/>
    <mergeCell ref="K6568:L6569"/>
    <mergeCell ref="M6568:N6569"/>
    <mergeCell ref="O6568:P6569"/>
    <mergeCell ref="Q6568:R6569"/>
    <mergeCell ref="S6568:T6569"/>
    <mergeCell ref="U6568:V6569"/>
    <mergeCell ref="W6568:W6569"/>
    <mergeCell ref="X6568:AB6568"/>
    <mergeCell ref="AD6568:AI6568"/>
    <mergeCell ref="AJ6568:AL6568"/>
    <mergeCell ref="AN6568:AO6568"/>
    <mergeCell ref="AP6568:AQ6568"/>
    <mergeCell ref="AR6568:AS6569"/>
    <mergeCell ref="AT6568:AU6569"/>
    <mergeCell ref="AV6568:AW6569"/>
    <mergeCell ref="AX6568:AY6569"/>
    <mergeCell ref="AZ6568:AZ6569"/>
    <mergeCell ref="F6569:H6569"/>
    <mergeCell ref="X6569:AB6569"/>
    <mergeCell ref="AE6569:AI6569"/>
    <mergeCell ref="AJ6569:AL6569"/>
    <mergeCell ref="AN6569:AO6569"/>
    <mergeCell ref="AP6569:AQ6569"/>
    <mergeCell ref="A6570:A6571"/>
    <mergeCell ref="E6570:E6571"/>
    <mergeCell ref="F6570:H6570"/>
    <mergeCell ref="J6570:J6571"/>
    <mergeCell ref="K6570:L6571"/>
    <mergeCell ref="M6570:N6571"/>
    <mergeCell ref="O6570:P6571"/>
    <mergeCell ref="Q6570:R6571"/>
    <mergeCell ref="S6570:T6571"/>
    <mergeCell ref="U6570:V6571"/>
    <mergeCell ref="W6570:W6571"/>
    <mergeCell ref="X6570:AB6570"/>
    <mergeCell ref="AD6570:AI6570"/>
    <mergeCell ref="AJ6570:AL6570"/>
    <mergeCell ref="AN6570:AO6570"/>
    <mergeCell ref="AP6570:AQ6570"/>
    <mergeCell ref="AR6570:AS6571"/>
    <mergeCell ref="AT6570:AU6571"/>
    <mergeCell ref="AV6570:AW6571"/>
    <mergeCell ref="AX6570:AY6571"/>
    <mergeCell ref="AZ6570:AZ6571"/>
    <mergeCell ref="F6571:H6571"/>
    <mergeCell ref="X6571:AB6571"/>
    <mergeCell ref="AE6571:AI6571"/>
    <mergeCell ref="AJ6571:AL6571"/>
    <mergeCell ref="AN6571:AO6571"/>
    <mergeCell ref="AP6571:AQ6571"/>
    <mergeCell ref="A6572:A6573"/>
    <mergeCell ref="E6572:E6573"/>
    <mergeCell ref="F6572:H6572"/>
    <mergeCell ref="J6572:J6573"/>
    <mergeCell ref="K6572:L6573"/>
    <mergeCell ref="M6572:N6573"/>
    <mergeCell ref="O6572:P6573"/>
    <mergeCell ref="Q6572:R6573"/>
    <mergeCell ref="S6572:T6573"/>
    <mergeCell ref="U6572:V6573"/>
    <mergeCell ref="W6572:W6573"/>
    <mergeCell ref="X6572:AB6572"/>
    <mergeCell ref="AD6572:AI6572"/>
    <mergeCell ref="AJ6572:AL6572"/>
    <mergeCell ref="AN6572:AO6572"/>
    <mergeCell ref="AP6572:AQ6572"/>
    <mergeCell ref="AR6572:AS6573"/>
    <mergeCell ref="AT6572:AU6573"/>
    <mergeCell ref="AV6572:AW6573"/>
    <mergeCell ref="AX6572:AY6573"/>
    <mergeCell ref="AZ6572:AZ6573"/>
    <mergeCell ref="F6573:H6573"/>
    <mergeCell ref="X6573:AB6573"/>
    <mergeCell ref="AE6573:AI6573"/>
    <mergeCell ref="AJ6573:AL6573"/>
    <mergeCell ref="AN6573:AO6573"/>
    <mergeCell ref="AP6573:AQ6573"/>
    <mergeCell ref="A6574:A6575"/>
    <mergeCell ref="E6574:E6575"/>
    <mergeCell ref="F6574:H6574"/>
    <mergeCell ref="J6574:J6575"/>
    <mergeCell ref="K6574:L6575"/>
    <mergeCell ref="M6574:N6575"/>
    <mergeCell ref="O6574:P6575"/>
    <mergeCell ref="Q6574:R6575"/>
    <mergeCell ref="S6574:T6575"/>
    <mergeCell ref="U6574:V6575"/>
    <mergeCell ref="W6574:W6575"/>
    <mergeCell ref="X6574:AB6574"/>
    <mergeCell ref="AD6574:AI6574"/>
    <mergeCell ref="AJ6574:AL6574"/>
    <mergeCell ref="AN6574:AO6574"/>
    <mergeCell ref="AP6574:AQ6574"/>
    <mergeCell ref="AR6574:AS6575"/>
    <mergeCell ref="AT6574:AU6575"/>
    <mergeCell ref="AV6574:AW6575"/>
    <mergeCell ref="AX6574:AY6575"/>
    <mergeCell ref="AZ6574:AZ6575"/>
    <mergeCell ref="F6575:H6575"/>
    <mergeCell ref="X6575:AB6575"/>
    <mergeCell ref="AE6575:AI6575"/>
    <mergeCell ref="AJ6575:AL6575"/>
    <mergeCell ref="AN6575:AO6575"/>
    <mergeCell ref="AP6575:AQ6575"/>
    <mergeCell ref="A6576:A6577"/>
    <mergeCell ref="E6576:E6577"/>
    <mergeCell ref="F6576:H6576"/>
    <mergeCell ref="J6576:J6577"/>
    <mergeCell ref="K6576:L6577"/>
    <mergeCell ref="M6576:N6577"/>
    <mergeCell ref="O6576:P6577"/>
    <mergeCell ref="Q6576:R6577"/>
    <mergeCell ref="S6576:T6577"/>
    <mergeCell ref="U6576:V6577"/>
    <mergeCell ref="W6576:W6577"/>
    <mergeCell ref="X6576:AB6576"/>
    <mergeCell ref="AD6576:AI6576"/>
    <mergeCell ref="AJ6576:AL6576"/>
    <mergeCell ref="AN6576:AO6576"/>
    <mergeCell ref="AP6576:AQ6576"/>
    <mergeCell ref="AR6576:AS6577"/>
    <mergeCell ref="AT6576:AU6577"/>
    <mergeCell ref="AV6576:AW6577"/>
    <mergeCell ref="AX6576:AY6577"/>
    <mergeCell ref="AZ6576:AZ6577"/>
    <mergeCell ref="F6577:H6577"/>
    <mergeCell ref="X6577:AB6577"/>
    <mergeCell ref="AE6577:AI6577"/>
    <mergeCell ref="AJ6577:AL6577"/>
    <mergeCell ref="AN6577:AO6577"/>
    <mergeCell ref="AP6577:AQ6577"/>
    <mergeCell ref="A6578:A6579"/>
    <mergeCell ref="E6578:E6579"/>
    <mergeCell ref="F6578:H6578"/>
    <mergeCell ref="J6578:J6579"/>
    <mergeCell ref="K6578:L6579"/>
    <mergeCell ref="M6578:N6579"/>
    <mergeCell ref="O6578:P6579"/>
    <mergeCell ref="Q6578:R6579"/>
    <mergeCell ref="S6578:T6579"/>
    <mergeCell ref="U6578:V6579"/>
    <mergeCell ref="W6578:W6579"/>
    <mergeCell ref="X6578:AB6578"/>
    <mergeCell ref="AD6578:AI6578"/>
    <mergeCell ref="AJ6578:AL6578"/>
    <mergeCell ref="AN6578:AO6578"/>
    <mergeCell ref="AP6578:AQ6578"/>
    <mergeCell ref="AR6578:AS6579"/>
    <mergeCell ref="AT6578:AU6579"/>
    <mergeCell ref="AV6578:AW6579"/>
    <mergeCell ref="AX6578:AY6579"/>
    <mergeCell ref="AZ6578:AZ6579"/>
    <mergeCell ref="F6579:H6579"/>
    <mergeCell ref="X6579:AB6579"/>
    <mergeCell ref="AE6579:AI6579"/>
    <mergeCell ref="AJ6579:AL6579"/>
    <mergeCell ref="AN6579:AO6579"/>
    <mergeCell ref="AP6579:AQ6579"/>
    <mergeCell ref="A6580:A6581"/>
    <mergeCell ref="E6580:E6581"/>
    <mergeCell ref="F6580:H6580"/>
    <mergeCell ref="J6580:J6581"/>
    <mergeCell ref="K6580:L6581"/>
    <mergeCell ref="M6580:N6581"/>
    <mergeCell ref="O6580:P6581"/>
    <mergeCell ref="Q6580:R6581"/>
    <mergeCell ref="S6580:T6581"/>
    <mergeCell ref="U6580:V6581"/>
    <mergeCell ref="W6580:W6581"/>
    <mergeCell ref="X6580:AB6580"/>
    <mergeCell ref="AD6580:AI6580"/>
    <mergeCell ref="AJ6580:AL6580"/>
    <mergeCell ref="AN6580:AO6580"/>
    <mergeCell ref="AP6580:AQ6580"/>
    <mergeCell ref="AR6580:AS6581"/>
    <mergeCell ref="AT6580:AU6581"/>
    <mergeCell ref="AV6580:AW6581"/>
    <mergeCell ref="AX6580:AY6581"/>
    <mergeCell ref="AZ6580:AZ6581"/>
    <mergeCell ref="F6581:H6581"/>
    <mergeCell ref="X6581:AB6581"/>
    <mergeCell ref="AE6581:AI6581"/>
    <mergeCell ref="AJ6581:AL6581"/>
    <mergeCell ref="AN6581:AO6581"/>
    <mergeCell ref="AP6581:AQ6581"/>
    <mergeCell ref="A6582:A6583"/>
    <mergeCell ref="E6582:E6583"/>
    <mergeCell ref="F6582:H6582"/>
    <mergeCell ref="J6582:J6583"/>
    <mergeCell ref="K6582:L6583"/>
    <mergeCell ref="M6582:N6583"/>
    <mergeCell ref="O6582:P6583"/>
    <mergeCell ref="Q6582:R6583"/>
    <mergeCell ref="S6582:T6583"/>
    <mergeCell ref="U6582:V6583"/>
    <mergeCell ref="W6582:W6583"/>
    <mergeCell ref="X6582:AB6582"/>
    <mergeCell ref="AD6582:AI6582"/>
    <mergeCell ref="AJ6582:AL6582"/>
    <mergeCell ref="AN6582:AO6582"/>
    <mergeCell ref="AP6582:AQ6582"/>
    <mergeCell ref="AR6582:AS6583"/>
    <mergeCell ref="AT6582:AU6583"/>
    <mergeCell ref="AV6582:AW6583"/>
    <mergeCell ref="AX6582:AY6583"/>
    <mergeCell ref="AZ6582:AZ6583"/>
    <mergeCell ref="F6583:H6583"/>
    <mergeCell ref="X6583:AB6583"/>
    <mergeCell ref="AE6583:AI6583"/>
    <mergeCell ref="AJ6583:AL6583"/>
    <mergeCell ref="AN6583:AO6583"/>
    <mergeCell ref="AP6583:AQ6583"/>
    <mergeCell ref="A6584:A6585"/>
    <mergeCell ref="E6584:E6585"/>
    <mergeCell ref="F6584:H6584"/>
    <mergeCell ref="J6584:J6585"/>
    <mergeCell ref="K6584:L6585"/>
    <mergeCell ref="M6584:N6585"/>
    <mergeCell ref="O6584:P6585"/>
    <mergeCell ref="Q6584:R6585"/>
    <mergeCell ref="S6584:T6585"/>
    <mergeCell ref="U6584:V6585"/>
    <mergeCell ref="W6584:W6585"/>
    <mergeCell ref="X6584:AB6584"/>
    <mergeCell ref="AD6584:AI6584"/>
    <mergeCell ref="AJ6584:AL6584"/>
    <mergeCell ref="AN6584:AO6584"/>
    <mergeCell ref="AP6584:AQ6584"/>
    <mergeCell ref="AR6584:AS6585"/>
    <mergeCell ref="AT6584:AU6585"/>
    <mergeCell ref="AV6584:AW6585"/>
    <mergeCell ref="AX6584:AY6585"/>
    <mergeCell ref="AZ6584:AZ6585"/>
    <mergeCell ref="F6585:H6585"/>
    <mergeCell ref="X6585:AB6585"/>
    <mergeCell ref="AE6585:AI6585"/>
    <mergeCell ref="AJ6585:AL6585"/>
    <mergeCell ref="AN6585:AO6585"/>
    <mergeCell ref="AP6585:AQ6585"/>
    <mergeCell ref="A6586:A6587"/>
    <mergeCell ref="E6586:E6587"/>
    <mergeCell ref="F6586:H6586"/>
    <mergeCell ref="J6586:J6587"/>
    <mergeCell ref="K6586:L6587"/>
    <mergeCell ref="M6586:N6587"/>
    <mergeCell ref="O6586:P6587"/>
    <mergeCell ref="Q6586:R6587"/>
    <mergeCell ref="S6586:T6587"/>
    <mergeCell ref="U6586:V6587"/>
    <mergeCell ref="W6586:W6587"/>
    <mergeCell ref="X6586:AB6586"/>
    <mergeCell ref="AD6586:AI6586"/>
    <mergeCell ref="AJ6586:AL6586"/>
    <mergeCell ref="AN6586:AO6586"/>
    <mergeCell ref="AP6586:AQ6586"/>
    <mergeCell ref="AR6586:AS6587"/>
    <mergeCell ref="AT6586:AU6587"/>
    <mergeCell ref="AV6586:AW6587"/>
    <mergeCell ref="AX6586:AY6587"/>
    <mergeCell ref="AZ6586:AZ6587"/>
    <mergeCell ref="F6587:H6587"/>
    <mergeCell ref="X6587:AB6587"/>
    <mergeCell ref="AE6587:AI6587"/>
    <mergeCell ref="AJ6587:AL6587"/>
    <mergeCell ref="AN6587:AO6587"/>
    <mergeCell ref="AP6587:AQ6587"/>
    <mergeCell ref="A6588:A6589"/>
    <mergeCell ref="E6588:E6589"/>
    <mergeCell ref="F6588:H6588"/>
    <mergeCell ref="J6588:J6589"/>
    <mergeCell ref="K6588:L6589"/>
    <mergeCell ref="M6588:N6589"/>
    <mergeCell ref="O6588:P6589"/>
    <mergeCell ref="Q6588:R6589"/>
    <mergeCell ref="S6588:T6589"/>
    <mergeCell ref="U6588:V6589"/>
    <mergeCell ref="W6588:W6589"/>
    <mergeCell ref="X6588:AB6588"/>
    <mergeCell ref="AD6588:AI6588"/>
    <mergeCell ref="AJ6588:AL6588"/>
    <mergeCell ref="AN6588:AO6588"/>
    <mergeCell ref="AP6588:AQ6588"/>
    <mergeCell ref="AR6588:AS6589"/>
    <mergeCell ref="AT6588:AU6589"/>
    <mergeCell ref="AV6588:AW6589"/>
    <mergeCell ref="AX6588:AY6589"/>
    <mergeCell ref="AZ6588:AZ6589"/>
    <mergeCell ref="F6589:H6589"/>
    <mergeCell ref="X6589:AB6589"/>
    <mergeCell ref="AE6589:AI6589"/>
    <mergeCell ref="AJ6589:AL6589"/>
    <mergeCell ref="AN6589:AO6589"/>
    <mergeCell ref="AP6589:AQ6589"/>
    <mergeCell ref="A6590:A6591"/>
    <mergeCell ref="E6590:E6591"/>
    <mergeCell ref="F6590:H6590"/>
    <mergeCell ref="J6590:J6591"/>
    <mergeCell ref="K6590:L6591"/>
    <mergeCell ref="M6590:N6591"/>
    <mergeCell ref="O6590:P6591"/>
    <mergeCell ref="Q6590:R6591"/>
    <mergeCell ref="S6590:T6591"/>
    <mergeCell ref="U6590:V6591"/>
    <mergeCell ref="W6590:W6591"/>
    <mergeCell ref="X6590:AB6590"/>
    <mergeCell ref="AD6590:AI6590"/>
    <mergeCell ref="AJ6590:AL6590"/>
    <mergeCell ref="AN6590:AO6590"/>
    <mergeCell ref="AP6590:AQ6590"/>
    <mergeCell ref="AR6590:AS6591"/>
    <mergeCell ref="AT6590:AU6591"/>
    <mergeCell ref="AV6590:AW6591"/>
    <mergeCell ref="AX6590:AY6591"/>
    <mergeCell ref="AZ6590:AZ6591"/>
    <mergeCell ref="F6591:H6591"/>
    <mergeCell ref="X6591:AB6591"/>
    <mergeCell ref="AE6591:AI6591"/>
    <mergeCell ref="AJ6591:AL6591"/>
    <mergeCell ref="AN6591:AO6591"/>
    <mergeCell ref="AP6591:AQ6591"/>
    <mergeCell ref="A6592:A6593"/>
    <mergeCell ref="E6592:E6593"/>
    <mergeCell ref="F6592:H6592"/>
    <mergeCell ref="J6592:J6593"/>
    <mergeCell ref="K6592:L6593"/>
    <mergeCell ref="M6592:N6593"/>
    <mergeCell ref="O6592:P6593"/>
    <mergeCell ref="Q6592:R6593"/>
    <mergeCell ref="S6592:T6593"/>
    <mergeCell ref="U6592:V6593"/>
    <mergeCell ref="W6592:W6593"/>
    <mergeCell ref="X6592:AB6592"/>
    <mergeCell ref="AD6592:AI6592"/>
    <mergeCell ref="AJ6592:AL6592"/>
    <mergeCell ref="AN6592:AO6592"/>
    <mergeCell ref="AP6592:AQ6592"/>
    <mergeCell ref="AR6592:AS6593"/>
    <mergeCell ref="AT6592:AU6593"/>
    <mergeCell ref="AV6592:AW6593"/>
    <mergeCell ref="AX6592:AY6593"/>
    <mergeCell ref="AZ6592:AZ6593"/>
    <mergeCell ref="F6593:H6593"/>
    <mergeCell ref="X6593:AB6593"/>
    <mergeCell ref="AE6593:AI6593"/>
    <mergeCell ref="AJ6593:AL6593"/>
    <mergeCell ref="AN6593:AO6593"/>
    <mergeCell ref="AP6593:AQ6593"/>
    <mergeCell ref="A6594:A6595"/>
    <mergeCell ref="E6594:E6595"/>
    <mergeCell ref="F6594:H6594"/>
    <mergeCell ref="J6594:J6595"/>
    <mergeCell ref="K6594:L6595"/>
    <mergeCell ref="M6594:N6595"/>
    <mergeCell ref="O6594:P6595"/>
    <mergeCell ref="Q6594:R6595"/>
    <mergeCell ref="S6594:T6595"/>
    <mergeCell ref="U6594:V6595"/>
    <mergeCell ref="W6594:W6595"/>
    <mergeCell ref="X6594:AB6594"/>
    <mergeCell ref="AD6594:AI6594"/>
    <mergeCell ref="AJ6594:AL6594"/>
    <mergeCell ref="AN6594:AO6594"/>
    <mergeCell ref="AP6594:AQ6594"/>
    <mergeCell ref="AR6594:AS6595"/>
    <mergeCell ref="AT6594:AU6595"/>
    <mergeCell ref="AV6594:AW6595"/>
    <mergeCell ref="AX6594:AY6595"/>
    <mergeCell ref="AZ6594:AZ6595"/>
    <mergeCell ref="F6595:H6595"/>
    <mergeCell ref="X6595:AB6595"/>
    <mergeCell ref="AE6595:AI6595"/>
    <mergeCell ref="AJ6595:AL6595"/>
    <mergeCell ref="AN6595:AO6595"/>
    <mergeCell ref="AP6595:AQ6595"/>
    <mergeCell ref="A6596:A6597"/>
    <mergeCell ref="E6596:E6597"/>
    <mergeCell ref="F6596:H6596"/>
    <mergeCell ref="J6596:J6597"/>
    <mergeCell ref="K6596:L6597"/>
    <mergeCell ref="M6596:N6597"/>
    <mergeCell ref="O6596:P6597"/>
    <mergeCell ref="Q6596:R6597"/>
    <mergeCell ref="S6596:T6597"/>
    <mergeCell ref="U6596:V6597"/>
    <mergeCell ref="W6596:W6597"/>
    <mergeCell ref="X6596:AB6596"/>
    <mergeCell ref="AD6596:AI6596"/>
    <mergeCell ref="AJ6596:AL6596"/>
    <mergeCell ref="AN6596:AO6596"/>
    <mergeCell ref="AP6596:AQ6596"/>
    <mergeCell ref="AR6596:AS6597"/>
    <mergeCell ref="AT6596:AU6597"/>
    <mergeCell ref="AV6596:AW6597"/>
    <mergeCell ref="AX6596:AY6597"/>
    <mergeCell ref="AZ6596:AZ6597"/>
    <mergeCell ref="F6597:H6597"/>
    <mergeCell ref="X6597:AB6597"/>
    <mergeCell ref="AE6597:AI6597"/>
    <mergeCell ref="AJ6597:AL6597"/>
    <mergeCell ref="AN6597:AO6597"/>
    <mergeCell ref="AP6597:AQ6597"/>
    <mergeCell ref="A6598:A6599"/>
    <mergeCell ref="E6598:E6599"/>
    <mergeCell ref="F6598:H6598"/>
    <mergeCell ref="J6598:J6599"/>
    <mergeCell ref="K6598:L6599"/>
    <mergeCell ref="M6598:N6599"/>
    <mergeCell ref="O6598:P6599"/>
    <mergeCell ref="Q6598:R6599"/>
    <mergeCell ref="S6598:T6599"/>
    <mergeCell ref="U6598:V6599"/>
    <mergeCell ref="W6598:W6599"/>
    <mergeCell ref="X6598:AB6598"/>
    <mergeCell ref="AD6598:AI6598"/>
    <mergeCell ref="AJ6598:AL6598"/>
    <mergeCell ref="AN6598:AO6598"/>
    <mergeCell ref="AP6598:AQ6598"/>
    <mergeCell ref="AR6598:AS6599"/>
    <mergeCell ref="AT6598:AU6599"/>
    <mergeCell ref="AV6598:AW6599"/>
    <mergeCell ref="AX6598:AY6599"/>
    <mergeCell ref="AZ6598:AZ6599"/>
    <mergeCell ref="F6599:H6599"/>
    <mergeCell ref="X6599:AB6599"/>
    <mergeCell ref="AE6599:AI6599"/>
    <mergeCell ref="AJ6599:AL6599"/>
    <mergeCell ref="AN6599:AO6599"/>
    <mergeCell ref="AP6599:AQ6599"/>
    <mergeCell ref="A6600:A6601"/>
    <mergeCell ref="E6600:E6601"/>
    <mergeCell ref="F6600:H6600"/>
    <mergeCell ref="J6600:J6601"/>
    <mergeCell ref="K6600:L6601"/>
    <mergeCell ref="M6600:N6601"/>
    <mergeCell ref="O6600:P6601"/>
    <mergeCell ref="Q6600:R6601"/>
    <mergeCell ref="S6600:T6601"/>
    <mergeCell ref="U6600:V6601"/>
    <mergeCell ref="W6600:W6601"/>
    <mergeCell ref="X6600:AB6600"/>
    <mergeCell ref="AD6600:AI6600"/>
    <mergeCell ref="AJ6600:AL6600"/>
    <mergeCell ref="AN6600:AO6600"/>
    <mergeCell ref="AP6600:AQ6600"/>
    <mergeCell ref="AR6600:AS6601"/>
    <mergeCell ref="AT6600:AU6601"/>
    <mergeCell ref="AV6600:AW6601"/>
    <mergeCell ref="AX6600:AY6601"/>
    <mergeCell ref="AZ6600:AZ6601"/>
    <mergeCell ref="F6601:H6601"/>
    <mergeCell ref="X6601:AB6601"/>
    <mergeCell ref="AE6601:AI6601"/>
    <mergeCell ref="AJ6601:AL6601"/>
    <mergeCell ref="AN6601:AO6601"/>
    <mergeCell ref="AP6601:AQ6601"/>
    <mergeCell ref="A6602:A6603"/>
    <mergeCell ref="E6602:E6603"/>
    <mergeCell ref="F6602:H6602"/>
    <mergeCell ref="J6602:J6603"/>
    <mergeCell ref="K6602:L6603"/>
    <mergeCell ref="M6602:N6603"/>
    <mergeCell ref="O6602:P6603"/>
    <mergeCell ref="Q6602:R6603"/>
    <mergeCell ref="S6602:T6603"/>
    <mergeCell ref="U6602:V6603"/>
    <mergeCell ref="W6602:W6603"/>
    <mergeCell ref="X6602:AB6602"/>
    <mergeCell ref="AD6602:AI6602"/>
    <mergeCell ref="AJ6602:AL6602"/>
    <mergeCell ref="AN6602:AO6602"/>
    <mergeCell ref="AP6602:AQ6602"/>
    <mergeCell ref="AR6602:AS6603"/>
    <mergeCell ref="AT6602:AU6603"/>
    <mergeCell ref="AV6602:AW6603"/>
    <mergeCell ref="AX6602:AY6603"/>
    <mergeCell ref="AZ6602:AZ6603"/>
    <mergeCell ref="F6603:H6603"/>
    <mergeCell ref="X6603:AB6603"/>
    <mergeCell ref="AE6603:AI6603"/>
    <mergeCell ref="AJ6603:AL6603"/>
    <mergeCell ref="AN6603:AO6603"/>
    <mergeCell ref="AP6603:AQ6603"/>
    <mergeCell ref="A6604:A6605"/>
    <mergeCell ref="E6604:E6605"/>
    <mergeCell ref="F6604:H6604"/>
    <mergeCell ref="J6604:J6605"/>
    <mergeCell ref="K6604:L6605"/>
    <mergeCell ref="M6604:N6605"/>
    <mergeCell ref="O6604:P6605"/>
    <mergeCell ref="Q6604:R6605"/>
    <mergeCell ref="S6604:T6605"/>
    <mergeCell ref="U6604:V6605"/>
    <mergeCell ref="W6604:W6605"/>
    <mergeCell ref="X6604:AB6604"/>
    <mergeCell ref="AD6604:AI6604"/>
    <mergeCell ref="AJ6604:AL6604"/>
    <mergeCell ref="AN6604:AO6604"/>
    <mergeCell ref="AP6604:AQ6604"/>
    <mergeCell ref="AR6604:AS6605"/>
    <mergeCell ref="AT6604:AU6605"/>
    <mergeCell ref="AV6604:AW6605"/>
    <mergeCell ref="AX6604:AY6605"/>
    <mergeCell ref="AZ6604:AZ6605"/>
    <mergeCell ref="F6605:H6605"/>
    <mergeCell ref="X6605:AB6605"/>
    <mergeCell ref="AE6605:AI6605"/>
    <mergeCell ref="AJ6605:AL6605"/>
    <mergeCell ref="AN6605:AO6605"/>
    <mergeCell ref="AP6605:AQ6605"/>
    <mergeCell ref="A6606:A6607"/>
    <mergeCell ref="E6606:E6607"/>
    <mergeCell ref="F6606:H6606"/>
    <mergeCell ref="J6606:J6607"/>
    <mergeCell ref="K6606:L6607"/>
    <mergeCell ref="M6606:N6607"/>
    <mergeCell ref="O6606:P6607"/>
    <mergeCell ref="Q6606:R6607"/>
    <mergeCell ref="S6606:T6607"/>
    <mergeCell ref="U6606:V6607"/>
    <mergeCell ref="W6606:W6607"/>
    <mergeCell ref="X6606:AB6606"/>
    <mergeCell ref="AD6606:AI6606"/>
    <mergeCell ref="AJ6606:AL6606"/>
    <mergeCell ref="AN6606:AO6606"/>
    <mergeCell ref="AP6606:AQ6606"/>
    <mergeCell ref="AR6606:AS6607"/>
    <mergeCell ref="AT6606:AU6607"/>
    <mergeCell ref="AV6606:AW6607"/>
    <mergeCell ref="AX6606:AY6607"/>
    <mergeCell ref="AZ6606:AZ6607"/>
    <mergeCell ref="F6607:H6607"/>
    <mergeCell ref="X6607:AB6607"/>
    <mergeCell ref="AE6607:AI6607"/>
    <mergeCell ref="AJ6607:AL6607"/>
    <mergeCell ref="AN6607:AO6607"/>
    <mergeCell ref="AP6607:AQ6607"/>
    <mergeCell ref="A6608:A6609"/>
    <mergeCell ref="E6608:E6609"/>
    <mergeCell ref="F6608:H6608"/>
    <mergeCell ref="J6608:J6609"/>
    <mergeCell ref="K6608:L6609"/>
    <mergeCell ref="M6608:N6609"/>
    <mergeCell ref="O6608:P6609"/>
    <mergeCell ref="Q6608:R6609"/>
    <mergeCell ref="S6608:T6609"/>
    <mergeCell ref="U6608:V6609"/>
    <mergeCell ref="W6608:W6609"/>
    <mergeCell ref="X6608:AB6608"/>
    <mergeCell ref="AD6608:AI6608"/>
    <mergeCell ref="AJ6608:AL6608"/>
    <mergeCell ref="AN6608:AO6608"/>
    <mergeCell ref="AP6608:AQ6608"/>
    <mergeCell ref="AR6608:AS6609"/>
    <mergeCell ref="AT6608:AU6609"/>
    <mergeCell ref="AV6608:AW6609"/>
    <mergeCell ref="AX6608:AY6609"/>
    <mergeCell ref="AZ6608:AZ6609"/>
    <mergeCell ref="F6609:H6609"/>
    <mergeCell ref="X6609:AB6609"/>
    <mergeCell ref="AE6609:AI6609"/>
    <mergeCell ref="AJ6609:AL6609"/>
    <mergeCell ref="AN6609:AO6609"/>
    <mergeCell ref="AP6609:AQ6609"/>
    <mergeCell ref="A6610:A6611"/>
    <mergeCell ref="E6610:E6611"/>
    <mergeCell ref="F6610:H6610"/>
    <mergeCell ref="J6610:J6611"/>
    <mergeCell ref="K6610:L6611"/>
    <mergeCell ref="M6610:N6611"/>
    <mergeCell ref="O6610:P6611"/>
    <mergeCell ref="Q6610:R6611"/>
    <mergeCell ref="S6610:T6611"/>
    <mergeCell ref="U6610:V6611"/>
    <mergeCell ref="W6610:W6611"/>
    <mergeCell ref="X6610:AB6610"/>
    <mergeCell ref="AD6610:AI6610"/>
    <mergeCell ref="AJ6610:AL6610"/>
    <mergeCell ref="AN6610:AO6610"/>
    <mergeCell ref="AP6610:AQ6610"/>
    <mergeCell ref="AR6610:AS6611"/>
    <mergeCell ref="AT6610:AU6611"/>
    <mergeCell ref="AV6610:AW6611"/>
    <mergeCell ref="AX6610:AY6611"/>
    <mergeCell ref="AZ6610:AZ6611"/>
    <mergeCell ref="F6611:H6611"/>
    <mergeCell ref="X6611:AB6611"/>
    <mergeCell ref="AE6611:AI6611"/>
    <mergeCell ref="AJ6611:AL6611"/>
    <mergeCell ref="AN6611:AO6611"/>
    <mergeCell ref="AP6611:AQ6611"/>
    <mergeCell ref="A6612:A6613"/>
    <mergeCell ref="E6612:E6613"/>
    <mergeCell ref="F6612:H6612"/>
    <mergeCell ref="J6612:J6613"/>
    <mergeCell ref="K6612:L6613"/>
    <mergeCell ref="M6612:N6613"/>
    <mergeCell ref="O6612:P6613"/>
    <mergeCell ref="Q6612:R6613"/>
    <mergeCell ref="S6612:T6613"/>
    <mergeCell ref="U6612:V6613"/>
    <mergeCell ref="W6612:W6613"/>
    <mergeCell ref="X6612:AB6612"/>
    <mergeCell ref="AD6612:AI6612"/>
    <mergeCell ref="AJ6612:AL6612"/>
    <mergeCell ref="AN6612:AO6612"/>
    <mergeCell ref="AP6612:AQ6612"/>
    <mergeCell ref="AR6612:AS6613"/>
    <mergeCell ref="AT6612:AU6613"/>
    <mergeCell ref="AV6612:AW6613"/>
    <mergeCell ref="AX6612:AY6613"/>
    <mergeCell ref="AZ6612:AZ6613"/>
    <mergeCell ref="F6613:H6613"/>
    <mergeCell ref="X6613:AB6613"/>
    <mergeCell ref="AE6613:AI6613"/>
    <mergeCell ref="AJ6613:AL6613"/>
    <mergeCell ref="AN6613:AO6613"/>
    <mergeCell ref="AP6613:AQ6613"/>
    <mergeCell ref="A6614:A6615"/>
    <mergeCell ref="E6614:E6615"/>
    <mergeCell ref="F6614:H6614"/>
    <mergeCell ref="J6614:J6615"/>
    <mergeCell ref="K6614:L6615"/>
    <mergeCell ref="M6614:N6615"/>
    <mergeCell ref="O6614:P6615"/>
    <mergeCell ref="Q6614:R6615"/>
    <mergeCell ref="S6614:T6615"/>
    <mergeCell ref="U6614:V6615"/>
    <mergeCell ref="W6614:W6615"/>
    <mergeCell ref="X6614:AB6614"/>
    <mergeCell ref="AD6614:AI6614"/>
    <mergeCell ref="AJ6614:AL6614"/>
    <mergeCell ref="AN6614:AO6614"/>
    <mergeCell ref="AP6614:AQ6614"/>
    <mergeCell ref="AR6614:AS6615"/>
    <mergeCell ref="AT6614:AU6615"/>
    <mergeCell ref="AV6614:AW6615"/>
    <mergeCell ref="AX6614:AY6615"/>
    <mergeCell ref="AZ6614:AZ6615"/>
    <mergeCell ref="F6615:H6615"/>
    <mergeCell ref="X6615:AB6615"/>
    <mergeCell ref="AE6615:AI6615"/>
    <mergeCell ref="AJ6615:AL6615"/>
    <mergeCell ref="AN6615:AO6615"/>
    <mergeCell ref="AP6615:AQ6615"/>
    <mergeCell ref="A6616:A6617"/>
    <mergeCell ref="E6616:E6617"/>
    <mergeCell ref="F6616:H6616"/>
    <mergeCell ref="J6616:J6617"/>
    <mergeCell ref="K6616:L6617"/>
    <mergeCell ref="M6616:N6617"/>
    <mergeCell ref="O6616:P6617"/>
    <mergeCell ref="Q6616:R6617"/>
    <mergeCell ref="S6616:T6617"/>
    <mergeCell ref="U6616:V6617"/>
    <mergeCell ref="W6616:W6617"/>
    <mergeCell ref="X6616:AB6616"/>
    <mergeCell ref="AD6616:AI6616"/>
    <mergeCell ref="AJ6616:AL6616"/>
    <mergeCell ref="AN6616:AO6616"/>
    <mergeCell ref="AP6616:AQ6616"/>
    <mergeCell ref="AR6616:AS6617"/>
    <mergeCell ref="AT6616:AU6617"/>
    <mergeCell ref="AV6616:AW6617"/>
    <mergeCell ref="AX6616:AY6617"/>
    <mergeCell ref="AZ6616:AZ6617"/>
    <mergeCell ref="F6617:H6617"/>
    <mergeCell ref="X6617:AB6617"/>
    <mergeCell ref="AE6617:AI6617"/>
    <mergeCell ref="AJ6617:AL6617"/>
    <mergeCell ref="AN6617:AO6617"/>
    <mergeCell ref="AP6617:AQ6617"/>
    <mergeCell ref="A6618:A6619"/>
    <mergeCell ref="E6618:E6619"/>
    <mergeCell ref="F6618:H6618"/>
    <mergeCell ref="J6618:J6619"/>
    <mergeCell ref="K6618:L6619"/>
    <mergeCell ref="M6618:N6619"/>
    <mergeCell ref="O6618:P6619"/>
    <mergeCell ref="Q6618:R6619"/>
    <mergeCell ref="S6618:T6619"/>
    <mergeCell ref="U6618:V6619"/>
    <mergeCell ref="W6618:W6619"/>
    <mergeCell ref="X6618:AB6618"/>
    <mergeCell ref="AD6618:AI6618"/>
    <mergeCell ref="AJ6618:AL6618"/>
    <mergeCell ref="AN6618:AO6618"/>
    <mergeCell ref="AP6618:AQ6618"/>
    <mergeCell ref="AR6618:AS6619"/>
    <mergeCell ref="AT6618:AU6619"/>
    <mergeCell ref="AV6618:AW6619"/>
    <mergeCell ref="AX6618:AY6619"/>
    <mergeCell ref="AZ6618:AZ6619"/>
    <mergeCell ref="F6619:H6619"/>
    <mergeCell ref="X6619:AB6619"/>
    <mergeCell ref="AE6619:AI6619"/>
    <mergeCell ref="AJ6619:AL6619"/>
    <mergeCell ref="AN6619:AO6619"/>
    <mergeCell ref="AP6619:AQ6619"/>
    <mergeCell ref="A6620:A6621"/>
    <mergeCell ref="E6620:E6621"/>
    <mergeCell ref="F6620:H6620"/>
    <mergeCell ref="J6620:J6621"/>
    <mergeCell ref="K6620:L6621"/>
    <mergeCell ref="M6620:N6621"/>
    <mergeCell ref="O6620:P6621"/>
    <mergeCell ref="Q6620:R6621"/>
    <mergeCell ref="S6620:T6621"/>
    <mergeCell ref="U6620:V6621"/>
    <mergeCell ref="W6620:W6621"/>
    <mergeCell ref="X6620:AB6620"/>
    <mergeCell ref="AD6620:AI6620"/>
    <mergeCell ref="AJ6620:AL6620"/>
    <mergeCell ref="AN6620:AO6620"/>
    <mergeCell ref="AP6620:AQ6620"/>
    <mergeCell ref="AR6620:AS6621"/>
    <mergeCell ref="AT6620:AU6621"/>
    <mergeCell ref="AV6620:AW6621"/>
    <mergeCell ref="AX6620:AY6621"/>
    <mergeCell ref="AZ6620:AZ6621"/>
    <mergeCell ref="F6621:H6621"/>
    <mergeCell ref="X6621:AB6621"/>
    <mergeCell ref="AE6621:AI6621"/>
    <mergeCell ref="AJ6621:AL6621"/>
    <mergeCell ref="AN6621:AO6621"/>
    <mergeCell ref="AP6621:AQ6621"/>
    <mergeCell ref="A6622:A6623"/>
    <mergeCell ref="E6622:E6623"/>
    <mergeCell ref="F6622:H6622"/>
    <mergeCell ref="J6622:J6623"/>
    <mergeCell ref="K6622:L6623"/>
    <mergeCell ref="M6622:N6623"/>
    <mergeCell ref="O6622:P6623"/>
    <mergeCell ref="Q6622:R6623"/>
    <mergeCell ref="S6622:T6623"/>
    <mergeCell ref="U6622:V6623"/>
    <mergeCell ref="W6622:W6623"/>
    <mergeCell ref="X6622:AB6622"/>
    <mergeCell ref="AD6622:AI6622"/>
    <mergeCell ref="AJ6622:AL6622"/>
    <mergeCell ref="AN6622:AO6622"/>
    <mergeCell ref="AP6622:AQ6622"/>
    <mergeCell ref="AR6622:AS6623"/>
    <mergeCell ref="AT6622:AU6623"/>
    <mergeCell ref="AV6622:AW6623"/>
    <mergeCell ref="AX6622:AY6623"/>
    <mergeCell ref="AZ6622:AZ6623"/>
    <mergeCell ref="F6623:H6623"/>
    <mergeCell ref="X6623:AB6623"/>
    <mergeCell ref="AE6623:AI6623"/>
    <mergeCell ref="AJ6623:AL6623"/>
    <mergeCell ref="AN6623:AO6623"/>
    <mergeCell ref="AP6623:AQ6623"/>
    <mergeCell ref="A6624:A6625"/>
    <mergeCell ref="E6624:E6625"/>
    <mergeCell ref="F6624:H6624"/>
    <mergeCell ref="J6624:J6625"/>
    <mergeCell ref="K6624:L6625"/>
    <mergeCell ref="M6624:N6625"/>
    <mergeCell ref="O6624:P6625"/>
    <mergeCell ref="Q6624:R6625"/>
    <mergeCell ref="S6624:T6625"/>
    <mergeCell ref="U6624:V6625"/>
    <mergeCell ref="W6624:W6625"/>
    <mergeCell ref="X6624:AB6624"/>
    <mergeCell ref="AD6624:AI6624"/>
    <mergeCell ref="AJ6624:AL6624"/>
    <mergeCell ref="AN6624:AO6624"/>
    <mergeCell ref="AP6624:AQ6624"/>
    <mergeCell ref="AR6624:AS6625"/>
    <mergeCell ref="AT6624:AU6625"/>
    <mergeCell ref="AV6624:AW6625"/>
    <mergeCell ref="AX6624:AY6625"/>
    <mergeCell ref="AZ6624:AZ6625"/>
    <mergeCell ref="F6625:H6625"/>
    <mergeCell ref="X6625:AB6625"/>
    <mergeCell ref="AE6625:AI6625"/>
    <mergeCell ref="AJ6625:AL6625"/>
    <mergeCell ref="AN6625:AO6625"/>
    <mergeCell ref="AP6625:AQ6625"/>
    <mergeCell ref="A6626:A6627"/>
    <mergeCell ref="E6626:E6627"/>
    <mergeCell ref="F6626:H6626"/>
    <mergeCell ref="J6626:J6627"/>
    <mergeCell ref="K6626:L6627"/>
    <mergeCell ref="M6626:N6627"/>
    <mergeCell ref="O6626:P6627"/>
    <mergeCell ref="Q6626:R6627"/>
    <mergeCell ref="S6626:T6627"/>
    <mergeCell ref="U6626:V6627"/>
    <mergeCell ref="W6626:W6627"/>
    <mergeCell ref="X6626:AB6626"/>
    <mergeCell ref="AD6626:AI6626"/>
    <mergeCell ref="AJ6626:AL6626"/>
    <mergeCell ref="AN6626:AO6626"/>
    <mergeCell ref="AP6626:AQ6626"/>
    <mergeCell ref="AR6626:AS6627"/>
    <mergeCell ref="AT6626:AU6627"/>
    <mergeCell ref="AV6626:AW6627"/>
    <mergeCell ref="AX6626:AY6627"/>
    <mergeCell ref="AZ6626:AZ6627"/>
    <mergeCell ref="F6627:H6627"/>
    <mergeCell ref="X6627:AB6627"/>
    <mergeCell ref="AE6627:AI6627"/>
    <mergeCell ref="AJ6627:AL6627"/>
    <mergeCell ref="AN6627:AO6627"/>
    <mergeCell ref="AP6627:AQ6627"/>
    <mergeCell ref="A6628:A6629"/>
    <mergeCell ref="E6628:E6629"/>
    <mergeCell ref="F6628:H6628"/>
    <mergeCell ref="J6628:J6629"/>
    <mergeCell ref="K6628:L6629"/>
    <mergeCell ref="M6628:N6629"/>
    <mergeCell ref="O6628:P6629"/>
    <mergeCell ref="Q6628:R6629"/>
    <mergeCell ref="S6628:T6629"/>
    <mergeCell ref="U6628:V6629"/>
    <mergeCell ref="W6628:W6629"/>
    <mergeCell ref="X6628:AB6628"/>
    <mergeCell ref="AD6628:AI6628"/>
    <mergeCell ref="AJ6628:AL6628"/>
    <mergeCell ref="AN6628:AO6628"/>
    <mergeCell ref="AP6628:AQ6628"/>
    <mergeCell ref="AR6628:AS6629"/>
    <mergeCell ref="AT6628:AU6629"/>
    <mergeCell ref="AV6628:AW6629"/>
    <mergeCell ref="AX6628:AY6629"/>
    <mergeCell ref="AZ6628:AZ6629"/>
    <mergeCell ref="F6629:H6629"/>
    <mergeCell ref="X6629:AB6629"/>
    <mergeCell ref="AE6629:AI6629"/>
    <mergeCell ref="AJ6629:AL6629"/>
    <mergeCell ref="AN6629:AO6629"/>
    <mergeCell ref="AP6629:AQ6629"/>
    <mergeCell ref="A6630:A6631"/>
    <mergeCell ref="E6630:E6631"/>
    <mergeCell ref="F6630:H6630"/>
    <mergeCell ref="J6630:J6631"/>
    <mergeCell ref="K6630:L6631"/>
    <mergeCell ref="M6630:N6631"/>
    <mergeCell ref="O6630:P6631"/>
    <mergeCell ref="Q6630:R6631"/>
    <mergeCell ref="S6630:T6631"/>
    <mergeCell ref="U6630:V6631"/>
    <mergeCell ref="W6630:W6631"/>
    <mergeCell ref="X6630:AB6630"/>
    <mergeCell ref="AD6630:AI6630"/>
    <mergeCell ref="AJ6630:AL6630"/>
    <mergeCell ref="AN6630:AO6630"/>
    <mergeCell ref="AP6630:AQ6630"/>
    <mergeCell ref="AR6630:AS6631"/>
    <mergeCell ref="AT6630:AU6631"/>
    <mergeCell ref="AV6630:AW6631"/>
    <mergeCell ref="AX6630:AY6631"/>
    <mergeCell ref="AZ6630:AZ6631"/>
    <mergeCell ref="F6631:H6631"/>
    <mergeCell ref="X6631:AB6631"/>
    <mergeCell ref="AE6631:AI6631"/>
    <mergeCell ref="AJ6631:AL6631"/>
    <mergeCell ref="AN6631:AO6631"/>
    <mergeCell ref="AP6631:AQ6631"/>
    <mergeCell ref="A6632:A6633"/>
    <mergeCell ref="E6632:E6633"/>
    <mergeCell ref="F6632:H6632"/>
    <mergeCell ref="J6632:J6633"/>
    <mergeCell ref="K6632:L6633"/>
    <mergeCell ref="M6632:N6633"/>
    <mergeCell ref="O6632:P6633"/>
    <mergeCell ref="Q6632:R6633"/>
    <mergeCell ref="S6632:T6633"/>
    <mergeCell ref="U6632:V6633"/>
    <mergeCell ref="W6632:W6633"/>
    <mergeCell ref="X6632:AB6632"/>
    <mergeCell ref="AD6632:AI6632"/>
    <mergeCell ref="AJ6632:AL6632"/>
    <mergeCell ref="AN6632:AO6632"/>
    <mergeCell ref="AP6632:AQ6632"/>
    <mergeCell ref="AR6632:AS6633"/>
    <mergeCell ref="AT6632:AU6633"/>
    <mergeCell ref="AV6632:AW6633"/>
    <mergeCell ref="AX6632:AY6633"/>
    <mergeCell ref="AZ6632:AZ6633"/>
    <mergeCell ref="F6633:H6633"/>
    <mergeCell ref="X6633:AB6633"/>
    <mergeCell ref="AE6633:AI6633"/>
    <mergeCell ref="AJ6633:AL6633"/>
    <mergeCell ref="AN6633:AO6633"/>
    <mergeCell ref="AP6633:AQ6633"/>
    <mergeCell ref="A6634:A6635"/>
    <mergeCell ref="E6634:E6635"/>
    <mergeCell ref="F6634:H6634"/>
    <mergeCell ref="J6634:J6635"/>
    <mergeCell ref="K6634:L6635"/>
    <mergeCell ref="M6634:N6635"/>
    <mergeCell ref="O6634:P6635"/>
    <mergeCell ref="Q6634:R6635"/>
    <mergeCell ref="S6634:T6635"/>
    <mergeCell ref="U6634:V6635"/>
    <mergeCell ref="W6634:W6635"/>
    <mergeCell ref="X6634:AB6634"/>
    <mergeCell ref="AD6634:AI6634"/>
    <mergeCell ref="AJ6634:AL6634"/>
    <mergeCell ref="AN6634:AO6634"/>
    <mergeCell ref="AP6634:AQ6634"/>
    <mergeCell ref="AR6634:AS6635"/>
    <mergeCell ref="AT6634:AU6635"/>
    <mergeCell ref="AV6634:AW6635"/>
    <mergeCell ref="AX6634:AY6635"/>
    <mergeCell ref="AZ6634:AZ6635"/>
    <mergeCell ref="F6635:H6635"/>
    <mergeCell ref="X6635:AB6635"/>
    <mergeCell ref="AE6635:AI6635"/>
    <mergeCell ref="AJ6635:AL6635"/>
    <mergeCell ref="AN6635:AO6635"/>
    <mergeCell ref="AP6635:AQ6635"/>
    <mergeCell ref="A6636:A6637"/>
    <mergeCell ref="E6636:E6637"/>
    <mergeCell ref="F6636:H6636"/>
    <mergeCell ref="J6636:J6637"/>
    <mergeCell ref="K6636:L6637"/>
    <mergeCell ref="M6636:N6637"/>
    <mergeCell ref="O6636:P6637"/>
    <mergeCell ref="Q6636:R6637"/>
    <mergeCell ref="S6636:T6637"/>
    <mergeCell ref="U6636:V6637"/>
    <mergeCell ref="W6636:W6637"/>
    <mergeCell ref="X6636:AB6636"/>
    <mergeCell ref="AD6636:AI6636"/>
    <mergeCell ref="AJ6636:AL6636"/>
    <mergeCell ref="AN6636:AO6636"/>
    <mergeCell ref="AP6636:AQ6636"/>
    <mergeCell ref="AR6636:AS6637"/>
    <mergeCell ref="AT6636:AU6637"/>
    <mergeCell ref="AV6636:AW6637"/>
    <mergeCell ref="AX6636:AY6637"/>
    <mergeCell ref="AZ6636:AZ6637"/>
    <mergeCell ref="F6637:H6637"/>
    <mergeCell ref="X6637:AB6637"/>
    <mergeCell ref="AE6637:AI6637"/>
    <mergeCell ref="AJ6637:AL6637"/>
    <mergeCell ref="AN6637:AO6637"/>
    <mergeCell ref="AP6637:AQ6637"/>
    <mergeCell ref="A6638:A6639"/>
    <mergeCell ref="E6638:E6639"/>
    <mergeCell ref="F6638:H6638"/>
    <mergeCell ref="J6638:J6639"/>
    <mergeCell ref="K6638:L6639"/>
    <mergeCell ref="M6638:N6639"/>
    <mergeCell ref="O6638:P6639"/>
    <mergeCell ref="Q6638:R6639"/>
    <mergeCell ref="S6638:T6639"/>
    <mergeCell ref="U6638:V6639"/>
    <mergeCell ref="W6638:W6639"/>
    <mergeCell ref="X6638:AB6638"/>
    <mergeCell ref="AD6638:AI6638"/>
    <mergeCell ref="AJ6638:AL6638"/>
    <mergeCell ref="AN6638:AO6638"/>
    <mergeCell ref="AP6638:AQ6638"/>
    <mergeCell ref="AR6638:AS6639"/>
    <mergeCell ref="AT6638:AU6639"/>
    <mergeCell ref="AV6638:AW6639"/>
    <mergeCell ref="AX6638:AY6639"/>
    <mergeCell ref="AZ6638:AZ6639"/>
    <mergeCell ref="F6639:H6639"/>
    <mergeCell ref="X6639:AB6639"/>
    <mergeCell ref="AE6639:AI6639"/>
    <mergeCell ref="AJ6639:AL6639"/>
    <mergeCell ref="AN6639:AO6639"/>
    <mergeCell ref="AP6639:AQ6639"/>
    <mergeCell ref="A6640:A6641"/>
    <mergeCell ref="E6640:E6641"/>
    <mergeCell ref="F6640:H6640"/>
    <mergeCell ref="J6640:J6641"/>
    <mergeCell ref="K6640:L6641"/>
    <mergeCell ref="M6640:N6641"/>
    <mergeCell ref="O6640:P6641"/>
    <mergeCell ref="Q6640:R6641"/>
    <mergeCell ref="S6640:T6641"/>
    <mergeCell ref="U6640:V6641"/>
    <mergeCell ref="W6640:W6641"/>
    <mergeCell ref="X6640:AB6640"/>
    <mergeCell ref="AD6640:AI6640"/>
    <mergeCell ref="AJ6640:AL6640"/>
    <mergeCell ref="AN6640:AO6640"/>
    <mergeCell ref="AP6640:AQ6640"/>
    <mergeCell ref="AR6640:AS6641"/>
    <mergeCell ref="AT6640:AU6641"/>
    <mergeCell ref="AV6640:AW6641"/>
    <mergeCell ref="AX6640:AY6641"/>
    <mergeCell ref="AZ6640:AZ6641"/>
    <mergeCell ref="F6641:H6641"/>
    <mergeCell ref="X6641:AB6641"/>
    <mergeCell ref="AE6641:AI6641"/>
    <mergeCell ref="AJ6641:AL6641"/>
    <mergeCell ref="AN6641:AO6641"/>
    <mergeCell ref="AP6641:AQ6641"/>
    <mergeCell ref="A6642:A6643"/>
    <mergeCell ref="E6642:E6643"/>
    <mergeCell ref="F6642:H6642"/>
    <mergeCell ref="J6642:J6643"/>
    <mergeCell ref="K6642:L6643"/>
    <mergeCell ref="M6642:N6643"/>
    <mergeCell ref="O6642:P6643"/>
    <mergeCell ref="Q6642:R6643"/>
    <mergeCell ref="S6642:T6643"/>
    <mergeCell ref="U6642:V6643"/>
    <mergeCell ref="W6642:W6643"/>
    <mergeCell ref="X6642:AB6642"/>
    <mergeCell ref="AD6642:AI6642"/>
    <mergeCell ref="AJ6642:AL6642"/>
    <mergeCell ref="AN6642:AO6642"/>
    <mergeCell ref="AP6642:AQ6642"/>
    <mergeCell ref="AR6642:AS6643"/>
    <mergeCell ref="AT6642:AU6643"/>
    <mergeCell ref="AV6642:AW6643"/>
    <mergeCell ref="AX6642:AY6643"/>
    <mergeCell ref="AZ6642:AZ6643"/>
    <mergeCell ref="F6643:H6643"/>
    <mergeCell ref="X6643:AB6643"/>
    <mergeCell ref="AE6643:AI6643"/>
    <mergeCell ref="AJ6643:AL6643"/>
    <mergeCell ref="AN6643:AO6643"/>
    <mergeCell ref="AP6643:AQ6643"/>
    <mergeCell ref="A6644:A6645"/>
    <mergeCell ref="E6644:E6645"/>
    <mergeCell ref="F6644:H6644"/>
    <mergeCell ref="J6644:J6645"/>
    <mergeCell ref="K6644:L6645"/>
    <mergeCell ref="M6644:N6645"/>
    <mergeCell ref="O6644:P6645"/>
    <mergeCell ref="Q6644:R6645"/>
    <mergeCell ref="S6644:T6645"/>
    <mergeCell ref="U6644:V6645"/>
    <mergeCell ref="W6644:W6645"/>
    <mergeCell ref="X6644:AB6644"/>
    <mergeCell ref="AD6644:AI6644"/>
    <mergeCell ref="AJ6644:AL6644"/>
    <mergeCell ref="AN6644:AO6644"/>
    <mergeCell ref="AP6644:AQ6644"/>
    <mergeCell ref="AR6644:AS6645"/>
    <mergeCell ref="AT6644:AU6645"/>
    <mergeCell ref="AV6644:AW6645"/>
    <mergeCell ref="AX6644:AY6645"/>
    <mergeCell ref="AZ6644:AZ6645"/>
    <mergeCell ref="F6645:H6645"/>
    <mergeCell ref="X6645:AB6645"/>
    <mergeCell ref="AE6645:AI6645"/>
    <mergeCell ref="AJ6645:AL6645"/>
    <mergeCell ref="AN6645:AO6645"/>
    <mergeCell ref="AP6645:AQ6645"/>
    <mergeCell ref="A6646:A6647"/>
    <mergeCell ref="E6646:E6647"/>
    <mergeCell ref="F6646:H6646"/>
    <mergeCell ref="J6646:J6647"/>
    <mergeCell ref="K6646:L6647"/>
    <mergeCell ref="M6646:N6647"/>
    <mergeCell ref="O6646:P6647"/>
    <mergeCell ref="Q6646:R6647"/>
    <mergeCell ref="S6646:T6647"/>
    <mergeCell ref="U6646:V6647"/>
    <mergeCell ref="W6646:W6647"/>
    <mergeCell ref="X6646:AB6646"/>
    <mergeCell ref="AD6646:AI6646"/>
    <mergeCell ref="AJ6646:AL6646"/>
    <mergeCell ref="AN6646:AO6646"/>
    <mergeCell ref="AP6646:AQ6646"/>
    <mergeCell ref="AR6646:AS6647"/>
    <mergeCell ref="AT6646:AU6647"/>
    <mergeCell ref="AV6646:AW6647"/>
    <mergeCell ref="AX6646:AY6647"/>
    <mergeCell ref="AZ6646:AZ6647"/>
    <mergeCell ref="F6647:H6647"/>
    <mergeCell ref="X6647:AB6647"/>
    <mergeCell ref="AE6647:AI6647"/>
    <mergeCell ref="AJ6647:AL6647"/>
    <mergeCell ref="AN6647:AO6647"/>
    <mergeCell ref="AP6647:AQ6647"/>
    <mergeCell ref="A6648:A6649"/>
    <mergeCell ref="E6648:E6649"/>
    <mergeCell ref="F6648:H6648"/>
    <mergeCell ref="J6648:J6649"/>
    <mergeCell ref="K6648:L6649"/>
    <mergeCell ref="M6648:N6649"/>
    <mergeCell ref="O6648:P6649"/>
    <mergeCell ref="Q6648:R6649"/>
    <mergeCell ref="S6648:T6649"/>
    <mergeCell ref="U6648:V6649"/>
    <mergeCell ref="W6648:W6649"/>
    <mergeCell ref="X6648:AB6648"/>
    <mergeCell ref="AD6648:AI6648"/>
    <mergeCell ref="AJ6648:AL6648"/>
    <mergeCell ref="AN6648:AO6648"/>
    <mergeCell ref="AP6648:AQ6648"/>
    <mergeCell ref="AR6648:AS6649"/>
    <mergeCell ref="AT6648:AU6649"/>
    <mergeCell ref="AV6648:AW6649"/>
    <mergeCell ref="AX6648:AY6649"/>
    <mergeCell ref="AZ6648:AZ6649"/>
    <mergeCell ref="F6649:H6649"/>
    <mergeCell ref="X6649:AB6649"/>
    <mergeCell ref="AE6649:AI6649"/>
    <mergeCell ref="AJ6649:AL6649"/>
    <mergeCell ref="AN6649:AO6649"/>
    <mergeCell ref="AP6649:AQ6649"/>
    <mergeCell ref="A6650:A6651"/>
    <mergeCell ref="E6650:E6651"/>
    <mergeCell ref="F6650:H6650"/>
    <mergeCell ref="J6650:J6651"/>
    <mergeCell ref="K6650:L6651"/>
    <mergeCell ref="M6650:N6651"/>
    <mergeCell ref="O6650:P6651"/>
    <mergeCell ref="Q6650:R6651"/>
    <mergeCell ref="S6650:T6651"/>
    <mergeCell ref="U6650:V6651"/>
    <mergeCell ref="W6650:W6651"/>
    <mergeCell ref="X6650:AB6650"/>
    <mergeCell ref="AD6650:AI6650"/>
    <mergeCell ref="AJ6650:AL6650"/>
    <mergeCell ref="AN6650:AO6650"/>
    <mergeCell ref="AP6650:AQ6650"/>
    <mergeCell ref="AR6650:AS6651"/>
    <mergeCell ref="AT6650:AU6651"/>
    <mergeCell ref="AV6650:AW6651"/>
    <mergeCell ref="AX6650:AY6651"/>
    <mergeCell ref="AZ6650:AZ6651"/>
    <mergeCell ref="F6651:H6651"/>
    <mergeCell ref="X6651:AB6651"/>
    <mergeCell ref="AE6651:AI6651"/>
    <mergeCell ref="AJ6651:AL6651"/>
    <mergeCell ref="AN6651:AO6651"/>
    <mergeCell ref="AP6651:AQ6651"/>
    <mergeCell ref="A6652:A6653"/>
    <mergeCell ref="E6652:E6653"/>
    <mergeCell ref="F6652:H6652"/>
    <mergeCell ref="J6652:J6653"/>
    <mergeCell ref="K6652:L6653"/>
    <mergeCell ref="M6652:N6653"/>
    <mergeCell ref="O6652:P6653"/>
    <mergeCell ref="Q6652:R6653"/>
    <mergeCell ref="S6652:T6653"/>
    <mergeCell ref="U6652:V6653"/>
    <mergeCell ref="W6652:W6653"/>
    <mergeCell ref="X6652:AB6652"/>
    <mergeCell ref="AD6652:AI6652"/>
    <mergeCell ref="AJ6652:AL6652"/>
    <mergeCell ref="AN6652:AO6652"/>
    <mergeCell ref="AP6652:AQ6652"/>
    <mergeCell ref="AR6652:AS6653"/>
    <mergeCell ref="AT6652:AU6653"/>
    <mergeCell ref="AV6652:AW6653"/>
    <mergeCell ref="AX6652:AY6653"/>
    <mergeCell ref="AZ6652:AZ6653"/>
    <mergeCell ref="F6653:H6653"/>
    <mergeCell ref="X6653:AB6653"/>
    <mergeCell ref="AE6653:AI6653"/>
    <mergeCell ref="AJ6653:AL6653"/>
    <mergeCell ref="AN6653:AO6653"/>
    <mergeCell ref="AP6653:AQ6653"/>
    <mergeCell ref="A6658:A6659"/>
    <mergeCell ref="E6658:E6659"/>
    <mergeCell ref="F6658:H6658"/>
    <mergeCell ref="J6658:J6659"/>
    <mergeCell ref="K6658:L6659"/>
    <mergeCell ref="M6658:N6659"/>
    <mergeCell ref="O6658:P6659"/>
    <mergeCell ref="Q6658:R6659"/>
    <mergeCell ref="S6658:T6659"/>
    <mergeCell ref="U6658:V6659"/>
    <mergeCell ref="W6658:W6659"/>
    <mergeCell ref="X6658:AB6658"/>
    <mergeCell ref="AD6658:AI6658"/>
    <mergeCell ref="AJ6658:AL6658"/>
    <mergeCell ref="AN6658:AO6658"/>
    <mergeCell ref="AP6658:AQ6658"/>
    <mergeCell ref="AR6658:AS6659"/>
    <mergeCell ref="AT6658:AU6659"/>
    <mergeCell ref="AV6658:AW6659"/>
    <mergeCell ref="AX6658:AY6659"/>
    <mergeCell ref="AZ6658:AZ6659"/>
    <mergeCell ref="F6659:H6659"/>
    <mergeCell ref="X6659:AB6659"/>
    <mergeCell ref="AE6659:AI6659"/>
    <mergeCell ref="AJ6659:AL6659"/>
    <mergeCell ref="AN6659:AO6659"/>
    <mergeCell ref="AP6659:AQ6659"/>
    <mergeCell ref="A6660:A6661"/>
    <mergeCell ref="E6660:E6661"/>
    <mergeCell ref="F6660:H6660"/>
    <mergeCell ref="J6660:J6661"/>
    <mergeCell ref="K6660:L6661"/>
    <mergeCell ref="M6660:N6661"/>
    <mergeCell ref="O6660:P6661"/>
    <mergeCell ref="Q6660:R6661"/>
    <mergeCell ref="S6660:T6661"/>
    <mergeCell ref="U6660:V6661"/>
    <mergeCell ref="W6660:W6661"/>
    <mergeCell ref="X6660:AB6660"/>
    <mergeCell ref="AD6660:AI6660"/>
    <mergeCell ref="AJ6660:AL6660"/>
    <mergeCell ref="AN6660:AO6660"/>
    <mergeCell ref="AP6660:AQ6660"/>
    <mergeCell ref="AR6660:AS6661"/>
    <mergeCell ref="AT6660:AU6661"/>
    <mergeCell ref="AV6660:AW6661"/>
    <mergeCell ref="AX6660:AY6661"/>
    <mergeCell ref="AZ6660:AZ6661"/>
    <mergeCell ref="F6661:H6661"/>
    <mergeCell ref="X6661:AB6661"/>
    <mergeCell ref="AE6661:AI6661"/>
    <mergeCell ref="AJ6661:AL6661"/>
    <mergeCell ref="AN6661:AO6661"/>
    <mergeCell ref="AP6661:AQ6661"/>
    <mergeCell ref="A6662:A6663"/>
    <mergeCell ref="E6662:E6663"/>
    <mergeCell ref="F6662:H6662"/>
    <mergeCell ref="J6662:J6663"/>
    <mergeCell ref="K6662:L6663"/>
    <mergeCell ref="M6662:N6663"/>
    <mergeCell ref="O6662:P6663"/>
    <mergeCell ref="Q6662:R6663"/>
    <mergeCell ref="S6662:T6663"/>
    <mergeCell ref="U6662:V6663"/>
    <mergeCell ref="W6662:W6663"/>
    <mergeCell ref="X6662:AB6662"/>
    <mergeCell ref="AD6662:AI6662"/>
    <mergeCell ref="AJ6662:AL6662"/>
    <mergeCell ref="AN6662:AO6662"/>
    <mergeCell ref="AP6662:AQ6662"/>
    <mergeCell ref="AR6662:AS6663"/>
    <mergeCell ref="AT6662:AU6663"/>
    <mergeCell ref="AV6662:AW6663"/>
    <mergeCell ref="AX6662:AY6663"/>
    <mergeCell ref="AZ6662:AZ6663"/>
    <mergeCell ref="F6663:H6663"/>
    <mergeCell ref="X6663:AB6663"/>
    <mergeCell ref="AE6663:AI6663"/>
    <mergeCell ref="AJ6663:AL6663"/>
    <mergeCell ref="AN6663:AO6663"/>
    <mergeCell ref="AP6663:AQ6663"/>
    <mergeCell ref="A6664:A6665"/>
    <mergeCell ref="E6664:E6665"/>
    <mergeCell ref="F6664:H6664"/>
    <mergeCell ref="J6664:J6665"/>
    <mergeCell ref="K6664:L6665"/>
    <mergeCell ref="M6664:N6665"/>
    <mergeCell ref="O6664:P6665"/>
    <mergeCell ref="Q6664:R6665"/>
    <mergeCell ref="S6664:T6665"/>
    <mergeCell ref="U6664:V6665"/>
    <mergeCell ref="W6664:W6665"/>
    <mergeCell ref="X6664:AB6664"/>
    <mergeCell ref="AD6664:AI6664"/>
    <mergeCell ref="AJ6664:AL6664"/>
    <mergeCell ref="AN6664:AO6664"/>
    <mergeCell ref="AP6664:AQ6664"/>
    <mergeCell ref="AR6664:AS6665"/>
    <mergeCell ref="AT6664:AU6665"/>
    <mergeCell ref="AV6664:AW6665"/>
    <mergeCell ref="AX6664:AY6665"/>
    <mergeCell ref="AZ6664:AZ6665"/>
    <mergeCell ref="F6665:H6665"/>
    <mergeCell ref="X6665:AB6665"/>
    <mergeCell ref="AE6665:AI6665"/>
    <mergeCell ref="AJ6665:AL6665"/>
    <mergeCell ref="AN6665:AO6665"/>
    <mergeCell ref="AP6665:AQ6665"/>
    <mergeCell ref="A6680:A6681"/>
    <mergeCell ref="E6680:E6681"/>
    <mergeCell ref="F6680:H6680"/>
    <mergeCell ref="J6680:J6681"/>
    <mergeCell ref="K6680:L6681"/>
    <mergeCell ref="M6680:N6681"/>
    <mergeCell ref="O6680:P6681"/>
    <mergeCell ref="Q6680:R6681"/>
    <mergeCell ref="S6680:T6681"/>
    <mergeCell ref="U6680:V6681"/>
    <mergeCell ref="W6680:W6681"/>
    <mergeCell ref="X6680:AB6680"/>
    <mergeCell ref="AD6680:AI6680"/>
    <mergeCell ref="AJ6680:AL6680"/>
    <mergeCell ref="AN6680:AO6680"/>
    <mergeCell ref="AP6680:AQ6680"/>
    <mergeCell ref="AR6680:AS6681"/>
    <mergeCell ref="AT6680:AU6681"/>
    <mergeCell ref="AV6680:AW6681"/>
    <mergeCell ref="AX6680:AY6681"/>
    <mergeCell ref="AZ6680:AZ6681"/>
    <mergeCell ref="F6681:H6681"/>
    <mergeCell ref="X6681:AB6681"/>
    <mergeCell ref="AE6681:AI6681"/>
    <mergeCell ref="AJ6681:AL6681"/>
    <mergeCell ref="AN6681:AO6681"/>
    <mergeCell ref="AP6681:AQ6681"/>
    <mergeCell ref="A6678:A6679"/>
    <mergeCell ref="E6678:E6679"/>
    <mergeCell ref="F6678:H6678"/>
    <mergeCell ref="J6678:J6679"/>
    <mergeCell ref="K6678:L6679"/>
    <mergeCell ref="M6678:N6679"/>
    <mergeCell ref="O6678:P6679"/>
    <mergeCell ref="Q6678:R6679"/>
    <mergeCell ref="S6678:T6679"/>
    <mergeCell ref="U6678:V6679"/>
    <mergeCell ref="W6678:W6679"/>
    <mergeCell ref="X6678:AB6678"/>
    <mergeCell ref="AD6678:AI6678"/>
    <mergeCell ref="AJ6678:AL6678"/>
    <mergeCell ref="AN6678:AO6678"/>
    <mergeCell ref="AP6678:AQ6678"/>
    <mergeCell ref="AR6678:AS6679"/>
    <mergeCell ref="AT6678:AU6679"/>
    <mergeCell ref="AV6678:AW6679"/>
    <mergeCell ref="AX6678:AY6679"/>
    <mergeCell ref="AZ6678:AZ6679"/>
    <mergeCell ref="F6679:H6679"/>
    <mergeCell ref="X6679:AB6679"/>
    <mergeCell ref="AE6679:AI6679"/>
    <mergeCell ref="AJ6679:AL6679"/>
    <mergeCell ref="AN6679:AO6679"/>
    <mergeCell ref="AP6679:AQ6679"/>
    <mergeCell ref="AJ6685:AL6685"/>
    <mergeCell ref="AN6685:AO6685"/>
    <mergeCell ref="AP6685:AQ6685"/>
    <mergeCell ref="J6690:J6691"/>
    <mergeCell ref="K6690:L6691"/>
    <mergeCell ref="M6690:N6691"/>
    <mergeCell ref="O6690:P6691"/>
    <mergeCell ref="Q6690:R6691"/>
    <mergeCell ref="S6690:T6691"/>
    <mergeCell ref="U6690:V6691"/>
    <mergeCell ref="W6690:W6691"/>
    <mergeCell ref="X6690:AB6690"/>
    <mergeCell ref="AD6690:AI6690"/>
    <mergeCell ref="AJ6690:AL6690"/>
    <mergeCell ref="AN6690:AO6690"/>
    <mergeCell ref="AP6690:AQ6690"/>
    <mergeCell ref="AR6690:AS6691"/>
    <mergeCell ref="AT6690:AU6691"/>
    <mergeCell ref="AV6690:AW6691"/>
    <mergeCell ref="AX6690:AY6691"/>
    <mergeCell ref="AZ6690:AZ6691"/>
    <mergeCell ref="F6691:H6691"/>
    <mergeCell ref="X6691:AB6691"/>
    <mergeCell ref="AE6691:AI6691"/>
    <mergeCell ref="AJ6691:AL6691"/>
    <mergeCell ref="AN6691:AO6691"/>
    <mergeCell ref="AP6691:AQ6691"/>
    <mergeCell ref="A6684:A6685"/>
    <mergeCell ref="A6686:A6687"/>
    <mergeCell ref="E6686:E6687"/>
    <mergeCell ref="F6686:H6686"/>
    <mergeCell ref="J6686:J6687"/>
    <mergeCell ref="K6686:L6687"/>
    <mergeCell ref="M6686:N6687"/>
    <mergeCell ref="O6686:P6687"/>
    <mergeCell ref="Q6686:R6687"/>
    <mergeCell ref="S6686:T6687"/>
    <mergeCell ref="U6686:V6687"/>
    <mergeCell ref="W6686:W6687"/>
    <mergeCell ref="X6686:AB6686"/>
    <mergeCell ref="AD6686:AI6686"/>
    <mergeCell ref="AJ6686:AL6686"/>
    <mergeCell ref="AN6686:AO6686"/>
    <mergeCell ref="AP6686:AQ6686"/>
    <mergeCell ref="AR6686:AS6687"/>
    <mergeCell ref="AT6686:AU6687"/>
    <mergeCell ref="AV6686:AW6687"/>
    <mergeCell ref="AX6686:AY6687"/>
    <mergeCell ref="AZ6686:AZ6687"/>
    <mergeCell ref="F6687:H6687"/>
    <mergeCell ref="X6687:AB6687"/>
    <mergeCell ref="AE6687:AI6687"/>
    <mergeCell ref="AJ6687:AL6687"/>
    <mergeCell ref="AN6687:AO6687"/>
    <mergeCell ref="AP6687:AQ6687"/>
    <mergeCell ref="F6685:H6685"/>
    <mergeCell ref="X6685:AB6685"/>
    <mergeCell ref="AE6685:AI6685"/>
    <mergeCell ref="A6702:A6703"/>
    <mergeCell ref="E6702:E6703"/>
    <mergeCell ref="F6702:H6702"/>
    <mergeCell ref="J6702:J6703"/>
    <mergeCell ref="K6702:L6703"/>
    <mergeCell ref="M6702:N6703"/>
    <mergeCell ref="O6702:P6703"/>
    <mergeCell ref="Q6702:R6703"/>
    <mergeCell ref="S6702:T6703"/>
    <mergeCell ref="U6702:V6703"/>
    <mergeCell ref="W6702:W6703"/>
    <mergeCell ref="X6702:AB6702"/>
    <mergeCell ref="AD6702:AI6702"/>
    <mergeCell ref="AJ6702:AL6702"/>
    <mergeCell ref="AN6702:AO6702"/>
    <mergeCell ref="AP6702:AQ6702"/>
    <mergeCell ref="AR6702:AS6703"/>
    <mergeCell ref="AT6702:AU6703"/>
    <mergeCell ref="AV6702:AW6703"/>
    <mergeCell ref="AX6702:AY6703"/>
    <mergeCell ref="AZ6702:AZ6703"/>
    <mergeCell ref="F6703:H6703"/>
    <mergeCell ref="X6703:AB6703"/>
    <mergeCell ref="AE6703:AI6703"/>
    <mergeCell ref="AJ6703:AL6703"/>
    <mergeCell ref="AN6703:AO6703"/>
    <mergeCell ref="AP6703:AQ6703"/>
    <mergeCell ref="A6694:A6695"/>
    <mergeCell ref="E6694:E6695"/>
    <mergeCell ref="F6694:H6694"/>
    <mergeCell ref="J6694:J6695"/>
    <mergeCell ref="K6694:L6695"/>
    <mergeCell ref="M6694:N6695"/>
    <mergeCell ref="O6694:P6695"/>
    <mergeCell ref="Q6694:R6695"/>
    <mergeCell ref="S6694:T6695"/>
    <mergeCell ref="U6694:V6695"/>
    <mergeCell ref="W6694:W6695"/>
    <mergeCell ref="X6694:AB6694"/>
    <mergeCell ref="AD6694:AI6694"/>
    <mergeCell ref="AJ6694:AL6694"/>
    <mergeCell ref="AN6694:AO6694"/>
    <mergeCell ref="AP6694:AQ6694"/>
    <mergeCell ref="AR6694:AS6695"/>
    <mergeCell ref="AT6694:AU6695"/>
    <mergeCell ref="AV6694:AW6695"/>
    <mergeCell ref="AX6694:AY6695"/>
    <mergeCell ref="AZ6694:AZ6695"/>
    <mergeCell ref="F6695:H6695"/>
    <mergeCell ref="X6695:AB6695"/>
    <mergeCell ref="AE6695:AI6695"/>
    <mergeCell ref="AJ6695:AL6695"/>
    <mergeCell ref="AN6695:AO6695"/>
    <mergeCell ref="AP6695:AQ6695"/>
    <mergeCell ref="A6696:A6697"/>
    <mergeCell ref="E6696:E6697"/>
    <mergeCell ref="F6696:H6696"/>
    <mergeCell ref="J6696:J6697"/>
    <mergeCell ref="K6696:L6697"/>
    <mergeCell ref="M6696:N6697"/>
    <mergeCell ref="O6696:P6697"/>
    <mergeCell ref="Q6696:R6697"/>
    <mergeCell ref="S6696:T6697"/>
    <mergeCell ref="U6696:V6697"/>
    <mergeCell ref="W6058:W6059"/>
    <mergeCell ref="X6058:AB6058"/>
    <mergeCell ref="AD6058:AI6058"/>
    <mergeCell ref="AJ6058:AL6058"/>
    <mergeCell ref="AN6058:AO6058"/>
    <mergeCell ref="AP6058:AQ6058"/>
    <mergeCell ref="AR6058:AS6059"/>
    <mergeCell ref="AT6058:AU6059"/>
    <mergeCell ref="AV6058:AW6059"/>
    <mergeCell ref="AX6058:AY6059"/>
    <mergeCell ref="AZ6058:AZ6059"/>
    <mergeCell ref="F6059:H6059"/>
    <mergeCell ref="X6059:AB6059"/>
    <mergeCell ref="AE6059:AI6059"/>
    <mergeCell ref="AJ6059:AL6059"/>
    <mergeCell ref="AN6059:AO6059"/>
    <mergeCell ref="AP6059:AQ6059"/>
    <mergeCell ref="A6700:A6701"/>
    <mergeCell ref="E6700:E6701"/>
    <mergeCell ref="F6700:H6700"/>
    <mergeCell ref="J6700:J6701"/>
    <mergeCell ref="K6700:L6701"/>
    <mergeCell ref="M6700:N6701"/>
    <mergeCell ref="O6700:P6701"/>
    <mergeCell ref="Q6700:R6701"/>
    <mergeCell ref="S6700:T6701"/>
    <mergeCell ref="U6700:V6701"/>
    <mergeCell ref="W6700:W6701"/>
    <mergeCell ref="X6700:AB6700"/>
    <mergeCell ref="AD6700:AI6700"/>
    <mergeCell ref="AJ6700:AL6700"/>
    <mergeCell ref="AN6700:AO6700"/>
    <mergeCell ref="AP6700:AQ6700"/>
    <mergeCell ref="AR6700:AS6701"/>
    <mergeCell ref="AT6700:AU6701"/>
    <mergeCell ref="AV6700:AW6701"/>
    <mergeCell ref="AX6700:AY6701"/>
    <mergeCell ref="AZ6700:AZ6701"/>
    <mergeCell ref="F6701:H6701"/>
    <mergeCell ref="X6701:AB6701"/>
    <mergeCell ref="AE6701:AI6701"/>
    <mergeCell ref="AJ6701:AL6701"/>
    <mergeCell ref="AN6701:AO6701"/>
    <mergeCell ref="AP6701:AQ6701"/>
    <mergeCell ref="W6696:W6697"/>
    <mergeCell ref="X6696:AB6696"/>
    <mergeCell ref="AD6696:AI6696"/>
    <mergeCell ref="AJ6696:AL6696"/>
    <mergeCell ref="AN6696:AO6696"/>
    <mergeCell ref="AP6696:AQ6696"/>
    <mergeCell ref="AR6696:AS6697"/>
    <mergeCell ref="AT6696:AU6697"/>
    <mergeCell ref="AV6696:AW6697"/>
    <mergeCell ref="AX6696:AY6697"/>
    <mergeCell ref="AZ6696:AZ6697"/>
    <mergeCell ref="F6697:H6697"/>
    <mergeCell ref="X6697:AB6697"/>
    <mergeCell ref="AE6697:AI6697"/>
    <mergeCell ref="AJ6697:AL6697"/>
    <mergeCell ref="AN6697:AO6697"/>
    <mergeCell ref="AP6697:AQ6697"/>
    <mergeCell ref="A6688:A6689"/>
    <mergeCell ref="E6688:E6689"/>
    <mergeCell ref="F6688:H6688"/>
    <mergeCell ref="W6322:W6323"/>
    <mergeCell ref="X6322:AB6322"/>
    <mergeCell ref="AD6322:AI6322"/>
    <mergeCell ref="AJ6322:AL6322"/>
    <mergeCell ref="AN6322:AO6322"/>
    <mergeCell ref="AP6322:AQ6322"/>
    <mergeCell ref="AR6322:AS6323"/>
    <mergeCell ref="AT6322:AU6323"/>
    <mergeCell ref="AV6322:AW6323"/>
    <mergeCell ref="AX6322:AY6323"/>
    <mergeCell ref="AZ6322:AZ6323"/>
    <mergeCell ref="F6323:H6323"/>
    <mergeCell ref="X6323:AB6323"/>
    <mergeCell ref="AE6323:AI6323"/>
    <mergeCell ref="AJ6323:AL6323"/>
    <mergeCell ref="AN6323:AO6323"/>
    <mergeCell ref="AP6323:AQ6323"/>
    <mergeCell ref="A6324:A6325"/>
    <mergeCell ref="E6324:E6325"/>
    <mergeCell ref="F6324:H6324"/>
    <mergeCell ref="J6324:J6325"/>
    <mergeCell ref="K6324:L6325"/>
    <mergeCell ref="M6324:N6325"/>
    <mergeCell ref="O6324:P6325"/>
    <mergeCell ref="Q6324:R6325"/>
    <mergeCell ref="S6324:T6325"/>
    <mergeCell ref="U6324:V6325"/>
    <mergeCell ref="W6324:W6325"/>
    <mergeCell ref="X6324:AB6324"/>
    <mergeCell ref="AD6324:AI6324"/>
    <mergeCell ref="AJ6324:AL6324"/>
    <mergeCell ref="AN6324:AO6324"/>
    <mergeCell ref="AP6324:AQ6324"/>
    <mergeCell ref="AR6324:AS6325"/>
    <mergeCell ref="AT6324:AU6325"/>
    <mergeCell ref="AV6324:AW6325"/>
    <mergeCell ref="AX6324:AY6325"/>
    <mergeCell ref="AZ6324:AZ6325"/>
    <mergeCell ref="F6325:H6325"/>
    <mergeCell ref="X6325:AB6325"/>
    <mergeCell ref="AE6325:AI6325"/>
    <mergeCell ref="AJ6325:AL6325"/>
    <mergeCell ref="AN6325:AO6325"/>
    <mergeCell ref="AP6325:AQ6325"/>
    <mergeCell ref="A6326:A6327"/>
    <mergeCell ref="E6326:E6327"/>
    <mergeCell ref="F6326:H6326"/>
    <mergeCell ref="J6326:J6327"/>
    <mergeCell ref="K6326:L6327"/>
    <mergeCell ref="M6326:N6327"/>
    <mergeCell ref="O6326:P6327"/>
    <mergeCell ref="Q6326:R6327"/>
    <mergeCell ref="S6326:T6327"/>
    <mergeCell ref="U6326:V6327"/>
    <mergeCell ref="W6326:W6327"/>
    <mergeCell ref="X6326:AB6326"/>
    <mergeCell ref="AD6326:AI6326"/>
    <mergeCell ref="AJ6326:AL6326"/>
    <mergeCell ref="AN6326:AO6326"/>
    <mergeCell ref="AP6326:AQ6326"/>
    <mergeCell ref="AR6326:AS6327"/>
    <mergeCell ref="AT6326:AU6327"/>
    <mergeCell ref="AV6326:AW6327"/>
    <mergeCell ref="AX6326:AY6327"/>
    <mergeCell ref="AZ6326:AZ6327"/>
    <mergeCell ref="F6327:H6327"/>
    <mergeCell ref="X6327:AB6327"/>
    <mergeCell ref="AE6327:AI6327"/>
    <mergeCell ref="AJ6327:AL6327"/>
    <mergeCell ref="AN6327:AO6327"/>
    <mergeCell ref="AP6327:AQ6327"/>
    <mergeCell ref="A6328:A6329"/>
    <mergeCell ref="E6328:E6329"/>
    <mergeCell ref="F6328:H6328"/>
    <mergeCell ref="J6328:J6329"/>
    <mergeCell ref="K6328:L6329"/>
    <mergeCell ref="M6328:N6329"/>
    <mergeCell ref="O6328:P6329"/>
    <mergeCell ref="Q6328:R6329"/>
    <mergeCell ref="S6328:T6329"/>
    <mergeCell ref="U6328:V6329"/>
    <mergeCell ref="W6328:W6329"/>
    <mergeCell ref="X6328:AB6328"/>
    <mergeCell ref="AD6328:AI6328"/>
    <mergeCell ref="AJ6328:AL6328"/>
    <mergeCell ref="AN6328:AO6328"/>
    <mergeCell ref="AP6328:AQ6328"/>
    <mergeCell ref="AR6328:AS6329"/>
    <mergeCell ref="AT6328:AU6329"/>
    <mergeCell ref="AV6328:AW6329"/>
    <mergeCell ref="AX6328:AY6329"/>
    <mergeCell ref="AZ6328:AZ6329"/>
    <mergeCell ref="F6329:H6329"/>
    <mergeCell ref="X6329:AB6329"/>
    <mergeCell ref="AE6329:AI6329"/>
    <mergeCell ref="AJ6329:AL6329"/>
    <mergeCell ref="AN6329:AO6329"/>
    <mergeCell ref="AP6329:AQ6329"/>
    <mergeCell ref="A6654:A6655"/>
    <mergeCell ref="E6654:E6655"/>
    <mergeCell ref="F6654:H6654"/>
    <mergeCell ref="J6654:J6655"/>
    <mergeCell ref="K6654:L6655"/>
    <mergeCell ref="M6654:N6655"/>
    <mergeCell ref="O6654:P6655"/>
    <mergeCell ref="Q6654:R6655"/>
    <mergeCell ref="S6654:T6655"/>
    <mergeCell ref="U6654:V6655"/>
    <mergeCell ref="W6654:W6655"/>
    <mergeCell ref="X6654:AB6654"/>
    <mergeCell ref="AD6654:AI6654"/>
    <mergeCell ref="AJ6654:AL6654"/>
    <mergeCell ref="AN6654:AO6654"/>
    <mergeCell ref="AP6654:AQ6654"/>
    <mergeCell ref="AR6654:AS6655"/>
    <mergeCell ref="AT6654:AU6655"/>
    <mergeCell ref="AV6654:AW6655"/>
    <mergeCell ref="AX6654:AY6655"/>
    <mergeCell ref="AZ6654:AZ6655"/>
    <mergeCell ref="F6655:H6655"/>
    <mergeCell ref="X6655:AB6655"/>
    <mergeCell ref="AE6655:AI6655"/>
    <mergeCell ref="AJ6655:AL6655"/>
    <mergeCell ref="AN6655:AO6655"/>
    <mergeCell ref="AP6655:AQ6655"/>
    <mergeCell ref="A6656:A6657"/>
    <mergeCell ref="E6656:E6657"/>
    <mergeCell ref="F6656:H6656"/>
    <mergeCell ref="J6656:J6657"/>
    <mergeCell ref="K6656:L6657"/>
    <mergeCell ref="M6656:N6657"/>
    <mergeCell ref="O6656:P6657"/>
    <mergeCell ref="Q6656:R6657"/>
    <mergeCell ref="S6656:T6657"/>
    <mergeCell ref="U6656:V6657"/>
    <mergeCell ref="W6656:W6657"/>
    <mergeCell ref="X6656:AB6656"/>
    <mergeCell ref="AD6656:AI6656"/>
    <mergeCell ref="AJ6656:AL6656"/>
    <mergeCell ref="AN6656:AO6656"/>
    <mergeCell ref="AP6656:AQ6656"/>
    <mergeCell ref="AR6656:AS6657"/>
    <mergeCell ref="AT6656:AU6657"/>
    <mergeCell ref="AV6656:AW6657"/>
    <mergeCell ref="AX6656:AY6657"/>
    <mergeCell ref="AZ6656:AZ6657"/>
    <mergeCell ref="F6657:H6657"/>
    <mergeCell ref="X6657:AB6657"/>
    <mergeCell ref="AE6657:AI6657"/>
    <mergeCell ref="AJ6657:AL6657"/>
    <mergeCell ref="AN6657:AO6657"/>
    <mergeCell ref="AP6657:AQ6657"/>
    <mergeCell ref="A6704:A6705"/>
    <mergeCell ref="E6704:E6705"/>
    <mergeCell ref="F6704:H6704"/>
    <mergeCell ref="J6704:J6705"/>
    <mergeCell ref="K6704:L6705"/>
    <mergeCell ref="M6704:N6705"/>
    <mergeCell ref="O6704:P6705"/>
    <mergeCell ref="Q6704:R6705"/>
    <mergeCell ref="S6704:T6705"/>
    <mergeCell ref="U6704:V6705"/>
    <mergeCell ref="W6704:W6705"/>
    <mergeCell ref="X6704:AB6704"/>
    <mergeCell ref="AD6704:AI6704"/>
    <mergeCell ref="AJ6704:AL6704"/>
    <mergeCell ref="AN6704:AO6704"/>
    <mergeCell ref="AP6704:AQ6704"/>
    <mergeCell ref="AR6704:AS6705"/>
    <mergeCell ref="AT6704:AU6705"/>
    <mergeCell ref="AV6704:AW6705"/>
    <mergeCell ref="AX6704:AY6705"/>
    <mergeCell ref="AZ6704:AZ6705"/>
    <mergeCell ref="F6705:H6705"/>
    <mergeCell ref="X6705:AB6705"/>
    <mergeCell ref="AE6705:AI6705"/>
    <mergeCell ref="AJ6705:AL6705"/>
    <mergeCell ref="AN6705:AO6705"/>
    <mergeCell ref="AP6705:AQ6705"/>
    <mergeCell ref="A6706:A6707"/>
    <mergeCell ref="E6706:E6707"/>
    <mergeCell ref="F6706:H6706"/>
    <mergeCell ref="J6706:J6707"/>
    <mergeCell ref="K6706:L6707"/>
    <mergeCell ref="M6706:N6707"/>
    <mergeCell ref="O6706:P6707"/>
    <mergeCell ref="Q6706:R6707"/>
    <mergeCell ref="S6706:T6707"/>
    <mergeCell ref="U6706:V6707"/>
    <mergeCell ref="W6706:W6707"/>
    <mergeCell ref="X6706:AB6706"/>
    <mergeCell ref="AD6706:AI6706"/>
    <mergeCell ref="AJ6706:AL6706"/>
    <mergeCell ref="AN6706:AO6706"/>
    <mergeCell ref="AP6706:AQ6706"/>
    <mergeCell ref="AR6706:AS6707"/>
    <mergeCell ref="AT6706:AU6707"/>
    <mergeCell ref="AV6706:AW6707"/>
    <mergeCell ref="AX6706:AY6707"/>
    <mergeCell ref="AZ6706:AZ6707"/>
    <mergeCell ref="F6707:H6707"/>
    <mergeCell ref="X6707:AB6707"/>
    <mergeCell ref="AE6707:AI6707"/>
    <mergeCell ref="AJ6707:AL6707"/>
    <mergeCell ref="AN6707:AO6707"/>
    <mergeCell ref="AP6707:AQ6707"/>
    <mergeCell ref="A6708:A6709"/>
    <mergeCell ref="E6708:E6709"/>
    <mergeCell ref="F6708:H6708"/>
    <mergeCell ref="J6708:J6709"/>
    <mergeCell ref="K6708:L6709"/>
    <mergeCell ref="M6708:N6709"/>
    <mergeCell ref="O6708:P6709"/>
    <mergeCell ref="Q6708:R6709"/>
    <mergeCell ref="S6708:T6709"/>
    <mergeCell ref="U6708:V6709"/>
    <mergeCell ref="W6708:W6709"/>
    <mergeCell ref="X6708:AB6708"/>
    <mergeCell ref="AD6708:AI6708"/>
    <mergeCell ref="AJ6708:AL6708"/>
    <mergeCell ref="AN6708:AO6708"/>
    <mergeCell ref="AP6708:AQ6708"/>
    <mergeCell ref="AR6708:AS6709"/>
    <mergeCell ref="AT6708:AU6709"/>
    <mergeCell ref="AV6708:AW6709"/>
    <mergeCell ref="AX6708:AY6709"/>
    <mergeCell ref="AZ6708:AZ6709"/>
    <mergeCell ref="F6709:H6709"/>
    <mergeCell ref="X6709:AB6709"/>
    <mergeCell ref="AE6709:AI6709"/>
    <mergeCell ref="AJ6709:AL6709"/>
    <mergeCell ref="AN6709:AO6709"/>
    <mergeCell ref="AP6709:AQ6709"/>
    <mergeCell ref="A6710:A6711"/>
    <mergeCell ref="E6710:E6711"/>
    <mergeCell ref="F6710:H6710"/>
    <mergeCell ref="J6710:J6711"/>
    <mergeCell ref="K6710:L6711"/>
    <mergeCell ref="M6710:N6711"/>
    <mergeCell ref="O6710:P6711"/>
    <mergeCell ref="Q6710:R6711"/>
    <mergeCell ref="S6710:T6711"/>
    <mergeCell ref="U6710:V6711"/>
    <mergeCell ref="W6710:W6711"/>
    <mergeCell ref="X6710:AB6710"/>
    <mergeCell ref="AD6710:AI6710"/>
    <mergeCell ref="AJ6710:AL6710"/>
    <mergeCell ref="AN6710:AO6710"/>
    <mergeCell ref="AP6710:AQ6710"/>
    <mergeCell ref="AR6710:AS6711"/>
    <mergeCell ref="AT6710:AU6711"/>
    <mergeCell ref="AV6710:AW6711"/>
    <mergeCell ref="AX6710:AY6711"/>
    <mergeCell ref="AZ6710:AZ6711"/>
    <mergeCell ref="F6711:H6711"/>
    <mergeCell ref="X6711:AB6711"/>
    <mergeCell ref="AE6711:AI6711"/>
    <mergeCell ref="AJ6711:AL6711"/>
    <mergeCell ref="AN6711:AO6711"/>
    <mergeCell ref="AP6711:AQ6711"/>
    <mergeCell ref="A6712:A6713"/>
    <mergeCell ref="E6712:E6713"/>
    <mergeCell ref="F6712:H6712"/>
    <mergeCell ref="J6712:J6713"/>
    <mergeCell ref="K6712:L6713"/>
    <mergeCell ref="M6712:N6713"/>
    <mergeCell ref="O6712:P6713"/>
    <mergeCell ref="Q6712:R6713"/>
    <mergeCell ref="S6712:T6713"/>
    <mergeCell ref="U6712:V6713"/>
    <mergeCell ref="W6712:W6713"/>
    <mergeCell ref="X6712:AB6712"/>
    <mergeCell ref="AD6712:AI6712"/>
    <mergeCell ref="AJ6712:AL6712"/>
    <mergeCell ref="AN6712:AO6712"/>
    <mergeCell ref="AP6712:AQ6712"/>
    <mergeCell ref="AR6712:AS6713"/>
    <mergeCell ref="AT6712:AU6713"/>
    <mergeCell ref="AV6712:AW6713"/>
    <mergeCell ref="AX6712:AY6713"/>
    <mergeCell ref="AZ6712:AZ6713"/>
    <mergeCell ref="F6713:H6713"/>
    <mergeCell ref="X6713:AB6713"/>
    <mergeCell ref="AE6713:AI6713"/>
    <mergeCell ref="AJ6713:AL6713"/>
    <mergeCell ref="AN6713:AO6713"/>
    <mergeCell ref="AP6713:AQ6713"/>
    <mergeCell ref="A6714:A6715"/>
    <mergeCell ref="E6714:E6715"/>
    <mergeCell ref="F6714:H6714"/>
    <mergeCell ref="J6714:J6715"/>
    <mergeCell ref="K6714:L6715"/>
    <mergeCell ref="M6714:N6715"/>
    <mergeCell ref="O6714:P6715"/>
    <mergeCell ref="Q6714:R6715"/>
    <mergeCell ref="S6714:T6715"/>
    <mergeCell ref="U6714:V6715"/>
    <mergeCell ref="W6714:W6715"/>
    <mergeCell ref="X6714:AB6714"/>
    <mergeCell ref="AD6714:AI6714"/>
    <mergeCell ref="AJ6714:AL6714"/>
    <mergeCell ref="AN6714:AO6714"/>
    <mergeCell ref="AP6714:AQ6714"/>
    <mergeCell ref="AR6714:AS6715"/>
    <mergeCell ref="AT6714:AU6715"/>
    <mergeCell ref="AV6714:AW6715"/>
    <mergeCell ref="AX6714:AY6715"/>
    <mergeCell ref="AZ6714:AZ6715"/>
    <mergeCell ref="F6715:H6715"/>
    <mergeCell ref="X6715:AB6715"/>
    <mergeCell ref="AE6715:AI6715"/>
    <mergeCell ref="AJ6715:AL6715"/>
    <mergeCell ref="AN6715:AO6715"/>
    <mergeCell ref="AP6715:AQ6715"/>
    <mergeCell ref="A6716:A6717"/>
    <mergeCell ref="E6716:E6717"/>
    <mergeCell ref="F6716:H6716"/>
    <mergeCell ref="J6716:J6717"/>
    <mergeCell ref="K6716:L6717"/>
    <mergeCell ref="M6716:N6717"/>
    <mergeCell ref="O6716:P6717"/>
    <mergeCell ref="Q6716:R6717"/>
    <mergeCell ref="S6716:T6717"/>
    <mergeCell ref="U6716:V6717"/>
    <mergeCell ref="W6716:W6717"/>
    <mergeCell ref="X6716:AB6716"/>
    <mergeCell ref="AD6716:AI6716"/>
    <mergeCell ref="AJ6716:AL6716"/>
    <mergeCell ref="AN6716:AO6716"/>
    <mergeCell ref="AP6716:AQ6716"/>
    <mergeCell ref="AR6716:AS6717"/>
    <mergeCell ref="AT6716:AU6717"/>
    <mergeCell ref="AV6716:AW6717"/>
    <mergeCell ref="AX6716:AY6717"/>
    <mergeCell ref="AZ6716:AZ6717"/>
    <mergeCell ref="F6717:H6717"/>
    <mergeCell ref="X6717:AB6717"/>
    <mergeCell ref="AE6717:AI6717"/>
    <mergeCell ref="AJ6717:AL6717"/>
    <mergeCell ref="AN6717:AO6717"/>
    <mergeCell ref="AP6717:AQ6717"/>
    <mergeCell ref="A6718:A6719"/>
    <mergeCell ref="E6718:E6719"/>
    <mergeCell ref="F6718:H6718"/>
    <mergeCell ref="J6718:J6719"/>
    <mergeCell ref="K6718:L6719"/>
    <mergeCell ref="M6718:N6719"/>
    <mergeCell ref="O6718:P6719"/>
    <mergeCell ref="Q6718:R6719"/>
    <mergeCell ref="S6718:T6719"/>
    <mergeCell ref="U6718:V6719"/>
    <mergeCell ref="W6718:W6719"/>
    <mergeCell ref="X6718:AB6718"/>
    <mergeCell ref="AD6718:AI6718"/>
    <mergeCell ref="AJ6718:AL6718"/>
    <mergeCell ref="AN6718:AO6718"/>
    <mergeCell ref="AP6718:AQ6718"/>
    <mergeCell ref="AR6718:AS6719"/>
    <mergeCell ref="AT6718:AU6719"/>
    <mergeCell ref="AV6718:AW6719"/>
    <mergeCell ref="AX6718:AY6719"/>
    <mergeCell ref="AZ6718:AZ6719"/>
    <mergeCell ref="F6719:H6719"/>
    <mergeCell ref="X6719:AB6719"/>
    <mergeCell ref="AE6719:AI6719"/>
    <mergeCell ref="AJ6719:AL6719"/>
    <mergeCell ref="AN6719:AO6719"/>
    <mergeCell ref="AP6719:AQ6719"/>
    <mergeCell ref="A6720:A6721"/>
    <mergeCell ref="E6720:E6721"/>
    <mergeCell ref="F6720:H6720"/>
    <mergeCell ref="J6720:J6721"/>
    <mergeCell ref="K6720:L6721"/>
    <mergeCell ref="M6720:N6721"/>
    <mergeCell ref="O6720:P6721"/>
    <mergeCell ref="Q6720:R6721"/>
    <mergeCell ref="S6720:T6721"/>
    <mergeCell ref="U6720:V6721"/>
    <mergeCell ref="W6720:W6721"/>
    <mergeCell ref="X6720:AB6720"/>
    <mergeCell ref="AD6720:AI6720"/>
    <mergeCell ref="AJ6720:AL6720"/>
    <mergeCell ref="AN6720:AO6720"/>
    <mergeCell ref="AP6720:AQ6720"/>
    <mergeCell ref="AR6720:AS6721"/>
    <mergeCell ref="AT6720:AU6721"/>
    <mergeCell ref="AV6720:AW6721"/>
    <mergeCell ref="AX6720:AY6721"/>
    <mergeCell ref="AZ6720:AZ6721"/>
    <mergeCell ref="F6721:H6721"/>
    <mergeCell ref="X6721:AB6721"/>
    <mergeCell ref="AE6721:AI6721"/>
    <mergeCell ref="AJ6721:AL6721"/>
    <mergeCell ref="AN6721:AO6721"/>
    <mergeCell ref="AP6721:AQ6721"/>
    <mergeCell ref="A6722:A6723"/>
    <mergeCell ref="E6722:E6723"/>
    <mergeCell ref="F6722:H6722"/>
    <mergeCell ref="J6722:J6723"/>
    <mergeCell ref="K6722:L6723"/>
    <mergeCell ref="M6722:N6723"/>
    <mergeCell ref="O6722:P6723"/>
    <mergeCell ref="Q6722:R6723"/>
    <mergeCell ref="S6722:T6723"/>
    <mergeCell ref="U6722:V6723"/>
    <mergeCell ref="W6722:W6723"/>
    <mergeCell ref="X6722:AB6722"/>
    <mergeCell ref="AD6722:AI6722"/>
    <mergeCell ref="AJ6722:AL6722"/>
    <mergeCell ref="AN6722:AO6722"/>
    <mergeCell ref="AP6722:AQ6722"/>
    <mergeCell ref="AR6722:AS6723"/>
    <mergeCell ref="AT6722:AU6723"/>
    <mergeCell ref="AV6722:AW6723"/>
    <mergeCell ref="AX6722:AY6723"/>
    <mergeCell ref="AZ6722:AZ6723"/>
    <mergeCell ref="F6723:H6723"/>
    <mergeCell ref="X6723:AB6723"/>
    <mergeCell ref="AE6723:AI6723"/>
    <mergeCell ref="AJ6723:AL6723"/>
    <mergeCell ref="AN6723:AO6723"/>
    <mergeCell ref="AP6723:AQ6723"/>
    <mergeCell ref="A6724:A6725"/>
    <mergeCell ref="E6724:E6725"/>
    <mergeCell ref="F6724:H6724"/>
    <mergeCell ref="J6724:J6725"/>
    <mergeCell ref="K6724:L6725"/>
    <mergeCell ref="M6724:N6725"/>
    <mergeCell ref="O6724:P6725"/>
    <mergeCell ref="Q6724:R6725"/>
    <mergeCell ref="S6724:T6725"/>
    <mergeCell ref="U6724:V6725"/>
    <mergeCell ref="W6724:W6725"/>
    <mergeCell ref="X6724:AB6724"/>
    <mergeCell ref="AD6724:AI6724"/>
    <mergeCell ref="AJ6724:AL6724"/>
    <mergeCell ref="AN6724:AO6724"/>
    <mergeCell ref="AP6724:AQ6724"/>
    <mergeCell ref="AR6724:AS6725"/>
    <mergeCell ref="AT6724:AU6725"/>
    <mergeCell ref="AV6724:AW6725"/>
    <mergeCell ref="AX6724:AY6725"/>
    <mergeCell ref="AZ6724:AZ6725"/>
    <mergeCell ref="F6725:H6725"/>
    <mergeCell ref="X6725:AB6725"/>
    <mergeCell ref="AE6725:AI6725"/>
    <mergeCell ref="AJ6725:AL6725"/>
    <mergeCell ref="AN6725:AO6725"/>
    <mergeCell ref="AP6725:AQ6725"/>
    <mergeCell ref="A6726:A6727"/>
    <mergeCell ref="E6726:E6727"/>
    <mergeCell ref="F6726:H6726"/>
    <mergeCell ref="J6726:J6727"/>
    <mergeCell ref="K6726:L6727"/>
    <mergeCell ref="M6726:N6727"/>
    <mergeCell ref="O6726:P6727"/>
    <mergeCell ref="Q6726:R6727"/>
    <mergeCell ref="S6726:T6727"/>
    <mergeCell ref="U6726:V6727"/>
    <mergeCell ref="W6726:W6727"/>
    <mergeCell ref="X6726:AB6726"/>
    <mergeCell ref="AD6726:AI6726"/>
    <mergeCell ref="AJ6726:AL6726"/>
    <mergeCell ref="AN6726:AO6726"/>
    <mergeCell ref="AP6726:AQ6726"/>
    <mergeCell ref="AR6726:AS6727"/>
    <mergeCell ref="AT6726:AU6727"/>
    <mergeCell ref="AV6726:AW6727"/>
    <mergeCell ref="AX6726:AY6727"/>
    <mergeCell ref="AZ6726:AZ6727"/>
    <mergeCell ref="F6727:H6727"/>
    <mergeCell ref="X6727:AB6727"/>
    <mergeCell ref="AE6727:AI6727"/>
    <mergeCell ref="AJ6727:AL6727"/>
    <mergeCell ref="AN6727:AO6727"/>
    <mergeCell ref="AP6727:AQ6727"/>
    <mergeCell ref="A6728:A6729"/>
    <mergeCell ref="E6728:E6729"/>
    <mergeCell ref="F6728:H6728"/>
    <mergeCell ref="J6728:J6729"/>
    <mergeCell ref="K6728:L6729"/>
    <mergeCell ref="M6728:N6729"/>
    <mergeCell ref="O6728:P6729"/>
    <mergeCell ref="Q6728:R6729"/>
    <mergeCell ref="S6728:T6729"/>
    <mergeCell ref="U6728:V6729"/>
    <mergeCell ref="W6728:W6729"/>
    <mergeCell ref="X6728:AB6728"/>
    <mergeCell ref="AD6728:AI6728"/>
    <mergeCell ref="AJ6728:AL6728"/>
    <mergeCell ref="AN6728:AO6728"/>
    <mergeCell ref="AP6728:AQ6728"/>
    <mergeCell ref="AR6728:AS6729"/>
    <mergeCell ref="AT6728:AU6729"/>
    <mergeCell ref="AV6728:AW6729"/>
    <mergeCell ref="AX6728:AY6729"/>
    <mergeCell ref="AZ6728:AZ6729"/>
    <mergeCell ref="F6729:H6729"/>
    <mergeCell ref="X6729:AB6729"/>
    <mergeCell ref="AE6729:AI6729"/>
    <mergeCell ref="AJ6729:AL6729"/>
    <mergeCell ref="AN6729:AO6729"/>
    <mergeCell ref="AP6729:AQ6729"/>
    <mergeCell ref="A6730:A6731"/>
    <mergeCell ref="E6730:E6731"/>
    <mergeCell ref="F6730:H6730"/>
    <mergeCell ref="J6730:J6731"/>
    <mergeCell ref="K6730:L6731"/>
    <mergeCell ref="M6730:N6731"/>
    <mergeCell ref="O6730:P6731"/>
    <mergeCell ref="Q6730:R6731"/>
    <mergeCell ref="S6730:T6731"/>
    <mergeCell ref="U6730:V6731"/>
    <mergeCell ref="W6730:W6731"/>
    <mergeCell ref="X6730:AB6730"/>
    <mergeCell ref="AD6730:AI6730"/>
    <mergeCell ref="AJ6730:AL6730"/>
    <mergeCell ref="AN6730:AO6730"/>
    <mergeCell ref="AP6730:AQ6730"/>
    <mergeCell ref="AR6730:AS6731"/>
    <mergeCell ref="AT6730:AU6731"/>
    <mergeCell ref="AV6730:AW6731"/>
    <mergeCell ref="AX6730:AY6731"/>
    <mergeCell ref="AZ6730:AZ6731"/>
    <mergeCell ref="F6731:H6731"/>
    <mergeCell ref="X6731:AB6731"/>
    <mergeCell ref="AE6731:AI6731"/>
    <mergeCell ref="AJ6731:AL6731"/>
    <mergeCell ref="AN6731:AO6731"/>
    <mergeCell ref="AP6731:AQ6731"/>
    <mergeCell ref="A6732:A6733"/>
    <mergeCell ref="E6732:E6733"/>
    <mergeCell ref="F6732:H6732"/>
    <mergeCell ref="J6732:J6733"/>
    <mergeCell ref="K6732:L6733"/>
    <mergeCell ref="M6732:N6733"/>
    <mergeCell ref="O6732:P6733"/>
    <mergeCell ref="Q6732:R6733"/>
    <mergeCell ref="S6732:T6733"/>
    <mergeCell ref="U6732:V6733"/>
    <mergeCell ref="W6732:W6733"/>
    <mergeCell ref="X6732:AB6732"/>
    <mergeCell ref="AD6732:AI6732"/>
    <mergeCell ref="AJ6732:AL6732"/>
    <mergeCell ref="AN6732:AO6732"/>
    <mergeCell ref="AP6732:AQ6732"/>
    <mergeCell ref="AR6732:AS6733"/>
    <mergeCell ref="AT6732:AU6733"/>
    <mergeCell ref="AV6732:AW6733"/>
    <mergeCell ref="AX6732:AY6733"/>
    <mergeCell ref="AZ6732:AZ6733"/>
    <mergeCell ref="F6733:H6733"/>
    <mergeCell ref="X6733:AB6733"/>
    <mergeCell ref="AE6733:AI6733"/>
    <mergeCell ref="AJ6733:AL6733"/>
    <mergeCell ref="AN6733:AO6733"/>
    <mergeCell ref="AP6733:AQ6733"/>
    <mergeCell ref="A6734:A6735"/>
    <mergeCell ref="E6734:E6735"/>
    <mergeCell ref="F6734:H6734"/>
    <mergeCell ref="J6734:J6735"/>
    <mergeCell ref="K6734:L6735"/>
    <mergeCell ref="M6734:N6735"/>
    <mergeCell ref="O6734:P6735"/>
    <mergeCell ref="Q6734:R6735"/>
    <mergeCell ref="S6734:T6735"/>
    <mergeCell ref="U6734:V6735"/>
    <mergeCell ref="W6734:W6735"/>
    <mergeCell ref="X6734:AB6734"/>
    <mergeCell ref="AD6734:AI6734"/>
    <mergeCell ref="AJ6734:AL6734"/>
    <mergeCell ref="AN6734:AO6734"/>
    <mergeCell ref="AP6734:AQ6734"/>
    <mergeCell ref="AR6734:AS6735"/>
    <mergeCell ref="AT6734:AU6735"/>
    <mergeCell ref="AV6734:AW6735"/>
    <mergeCell ref="AX6734:AY6735"/>
    <mergeCell ref="AZ6734:AZ6735"/>
    <mergeCell ref="F6735:H6735"/>
    <mergeCell ref="X6735:AB6735"/>
    <mergeCell ref="AE6735:AI6735"/>
    <mergeCell ref="AJ6735:AL6735"/>
    <mergeCell ref="AN6735:AO6735"/>
    <mergeCell ref="AP6735:AQ6735"/>
    <mergeCell ref="W6736:W6737"/>
    <mergeCell ref="X6736:AB6736"/>
    <mergeCell ref="AD6736:AI6736"/>
    <mergeCell ref="AJ6736:AL6736"/>
    <mergeCell ref="AN6736:AO6736"/>
    <mergeCell ref="AP6736:AQ6736"/>
    <mergeCell ref="AR6736:AS6737"/>
    <mergeCell ref="AT6736:AU6737"/>
    <mergeCell ref="AV6736:AW6737"/>
    <mergeCell ref="AX6736:AY6737"/>
    <mergeCell ref="AZ6736:AZ6737"/>
    <mergeCell ref="F6737:H6737"/>
    <mergeCell ref="X6737:AB6737"/>
    <mergeCell ref="AE6737:AI6737"/>
    <mergeCell ref="AJ6737:AL6737"/>
    <mergeCell ref="AN6737:AO6737"/>
    <mergeCell ref="AP6737:AQ6737"/>
    <mergeCell ref="A6738:A6739"/>
    <mergeCell ref="E6738:E6739"/>
    <mergeCell ref="F6738:H6738"/>
    <mergeCell ref="J6738:J6739"/>
    <mergeCell ref="K6738:L6739"/>
    <mergeCell ref="M6738:N6739"/>
    <mergeCell ref="O6738:P6739"/>
    <mergeCell ref="Q6738:R6739"/>
    <mergeCell ref="S6738:T6739"/>
    <mergeCell ref="U6738:V6739"/>
    <mergeCell ref="W6738:W6739"/>
    <mergeCell ref="X6738:AB6738"/>
    <mergeCell ref="AD6738:AI6738"/>
    <mergeCell ref="AJ6738:AL6738"/>
    <mergeCell ref="AN6738:AO6738"/>
    <mergeCell ref="AP6738:AQ6738"/>
    <mergeCell ref="AR6738:AS6739"/>
    <mergeCell ref="AT6738:AU6739"/>
    <mergeCell ref="AV6738:AW6739"/>
    <mergeCell ref="AX6738:AY6739"/>
    <mergeCell ref="AZ6738:AZ6739"/>
    <mergeCell ref="F6739:H6739"/>
    <mergeCell ref="X6739:AB6739"/>
    <mergeCell ref="AE6739:AI6739"/>
    <mergeCell ref="AJ6739:AL6739"/>
    <mergeCell ref="AN6739:AO6739"/>
    <mergeCell ref="AP6739:AQ6739"/>
    <mergeCell ref="A6698:A6699"/>
    <mergeCell ref="E6698:E6699"/>
    <mergeCell ref="F6698:H6698"/>
    <mergeCell ref="J6698:J6699"/>
    <mergeCell ref="K6698:L6699"/>
    <mergeCell ref="M6698:N6699"/>
    <mergeCell ref="O6698:P6699"/>
    <mergeCell ref="Q6698:R6699"/>
    <mergeCell ref="S6698:T6699"/>
    <mergeCell ref="U6698:V6699"/>
    <mergeCell ref="W6698:W6699"/>
    <mergeCell ref="X6698:AB6698"/>
    <mergeCell ref="AD6698:AI6698"/>
    <mergeCell ref="AJ6698:AL6698"/>
    <mergeCell ref="AN6698:AO6698"/>
    <mergeCell ref="AP6698:AQ6698"/>
    <mergeCell ref="AR6698:AS6699"/>
    <mergeCell ref="AT6698:AU6699"/>
    <mergeCell ref="AV6698:AW6699"/>
    <mergeCell ref="AX6698:AY6699"/>
    <mergeCell ref="AZ6698:AZ6699"/>
    <mergeCell ref="F6699:H6699"/>
    <mergeCell ref="X6699:AB6699"/>
    <mergeCell ref="AE6699:AI6699"/>
    <mergeCell ref="AJ6699:AL6699"/>
    <mergeCell ref="AN6699:AO6699"/>
    <mergeCell ref="AP6699:AQ6699"/>
    <mergeCell ref="A6740:A6741"/>
    <mergeCell ref="E6740:E6741"/>
    <mergeCell ref="F6740:H6740"/>
    <mergeCell ref="J6740:J6741"/>
    <mergeCell ref="K6740:L6741"/>
    <mergeCell ref="M6740:N6741"/>
    <mergeCell ref="O6740:P6741"/>
    <mergeCell ref="Q6740:R6741"/>
    <mergeCell ref="S6740:T6741"/>
    <mergeCell ref="U6740:V6741"/>
    <mergeCell ref="W6740:W6741"/>
    <mergeCell ref="X6740:AB6740"/>
    <mergeCell ref="AD6740:AI6740"/>
    <mergeCell ref="AJ6740:AL6740"/>
    <mergeCell ref="AN6740:AO6740"/>
    <mergeCell ref="AP6740:AQ6740"/>
    <mergeCell ref="AR6740:AS6741"/>
    <mergeCell ref="AT6740:AU6741"/>
    <mergeCell ref="AV6740:AW6741"/>
    <mergeCell ref="AX6740:AY6741"/>
    <mergeCell ref="AZ6740:AZ6741"/>
    <mergeCell ref="F6741:H6741"/>
    <mergeCell ref="X6741:AB6741"/>
    <mergeCell ref="AE6741:AI6741"/>
    <mergeCell ref="AJ6741:AL6741"/>
    <mergeCell ref="AN6741:AO6741"/>
    <mergeCell ref="AP6741:AQ6741"/>
    <mergeCell ref="A6736:A6737"/>
    <mergeCell ref="E6736:E6737"/>
    <mergeCell ref="F6736:H6736"/>
    <mergeCell ref="J6736:J6737"/>
    <mergeCell ref="K6736:L6737"/>
    <mergeCell ref="M6736:N6737"/>
    <mergeCell ref="O6736:P6737"/>
    <mergeCell ref="Q6736:R6737"/>
    <mergeCell ref="S6736:T6737"/>
    <mergeCell ref="U6736:V6737"/>
    <mergeCell ref="A6742:A6743"/>
    <mergeCell ref="E6742:E6743"/>
    <mergeCell ref="F6742:H6742"/>
    <mergeCell ref="J6742:J6743"/>
    <mergeCell ref="K6742:L6743"/>
    <mergeCell ref="M6742:N6743"/>
    <mergeCell ref="O6742:P6743"/>
    <mergeCell ref="Q6742:R6743"/>
    <mergeCell ref="S6742:T6743"/>
    <mergeCell ref="U6742:V6743"/>
    <mergeCell ref="W6742:W6743"/>
    <mergeCell ref="X6742:AB6742"/>
    <mergeCell ref="AD6742:AI6742"/>
    <mergeCell ref="AJ6742:AL6742"/>
    <mergeCell ref="AN6742:AO6742"/>
    <mergeCell ref="AP6742:AQ6742"/>
    <mergeCell ref="AR6742:AS6743"/>
    <mergeCell ref="AT6742:AU6743"/>
    <mergeCell ref="AV6742:AW6743"/>
    <mergeCell ref="AX6742:AY6743"/>
    <mergeCell ref="AZ6742:AZ6743"/>
    <mergeCell ref="F6743:H6743"/>
    <mergeCell ref="X6743:AB6743"/>
    <mergeCell ref="AE6743:AI6743"/>
    <mergeCell ref="AJ6743:AL6743"/>
    <mergeCell ref="AN6743:AO6743"/>
    <mergeCell ref="AP6743:AQ6743"/>
    <mergeCell ref="A6744:A6745"/>
    <mergeCell ref="E6744:E6745"/>
    <mergeCell ref="F6744:H6744"/>
    <mergeCell ref="J6744:J6745"/>
    <mergeCell ref="K6744:L6745"/>
    <mergeCell ref="M6744:N6745"/>
    <mergeCell ref="O6744:P6745"/>
    <mergeCell ref="Q6744:R6745"/>
    <mergeCell ref="S6744:T6745"/>
    <mergeCell ref="U6744:V6745"/>
    <mergeCell ref="W6744:W6745"/>
    <mergeCell ref="X6744:AB6744"/>
    <mergeCell ref="AD6744:AI6744"/>
    <mergeCell ref="AJ6744:AL6744"/>
    <mergeCell ref="AN6744:AO6744"/>
    <mergeCell ref="AP6744:AQ6744"/>
    <mergeCell ref="AR6744:AS6745"/>
    <mergeCell ref="AT6744:AU6745"/>
    <mergeCell ref="AV6744:AW6745"/>
    <mergeCell ref="AX6744:AY6745"/>
    <mergeCell ref="AZ6744:AZ6745"/>
    <mergeCell ref="F6745:H6745"/>
    <mergeCell ref="X6745:AB6745"/>
    <mergeCell ref="AE6745:AI6745"/>
    <mergeCell ref="AJ6745:AL6745"/>
    <mergeCell ref="AN6745:AO6745"/>
    <mergeCell ref="AP6745:AQ6745"/>
    <mergeCell ref="A6746:A6747"/>
    <mergeCell ref="E6746:E6747"/>
    <mergeCell ref="F6746:H6746"/>
    <mergeCell ref="J6746:J6747"/>
    <mergeCell ref="K6746:L6747"/>
    <mergeCell ref="M6746:N6747"/>
    <mergeCell ref="O6746:P6747"/>
    <mergeCell ref="Q6746:R6747"/>
    <mergeCell ref="S6746:T6747"/>
    <mergeCell ref="U6746:V6747"/>
    <mergeCell ref="W6746:W6747"/>
    <mergeCell ref="X6746:AB6746"/>
    <mergeCell ref="AD6746:AI6746"/>
    <mergeCell ref="AJ6746:AL6746"/>
    <mergeCell ref="AN6746:AO6746"/>
    <mergeCell ref="AP6746:AQ6746"/>
    <mergeCell ref="AR6746:AS6747"/>
    <mergeCell ref="AT6746:AU6747"/>
    <mergeCell ref="AV6746:AW6747"/>
    <mergeCell ref="AX6746:AY6747"/>
    <mergeCell ref="AZ6746:AZ6747"/>
    <mergeCell ref="F6747:H6747"/>
    <mergeCell ref="X6747:AB6747"/>
    <mergeCell ref="AE6747:AI6747"/>
    <mergeCell ref="AJ6747:AL6747"/>
    <mergeCell ref="AN6747:AO6747"/>
    <mergeCell ref="AP6747:AQ6747"/>
    <mergeCell ref="A6748:A6749"/>
    <mergeCell ref="E6748:E6749"/>
    <mergeCell ref="F6748:H6748"/>
    <mergeCell ref="J6748:J6749"/>
    <mergeCell ref="K6748:L6749"/>
    <mergeCell ref="M6748:N6749"/>
    <mergeCell ref="O6748:P6749"/>
    <mergeCell ref="Q6748:R6749"/>
    <mergeCell ref="S6748:T6749"/>
    <mergeCell ref="U6748:V6749"/>
    <mergeCell ref="W6748:W6749"/>
    <mergeCell ref="X6748:AB6748"/>
    <mergeCell ref="AD6748:AI6748"/>
    <mergeCell ref="AJ6748:AL6748"/>
    <mergeCell ref="AN6748:AO6748"/>
    <mergeCell ref="AP6748:AQ6748"/>
    <mergeCell ref="AR6748:AS6749"/>
    <mergeCell ref="AT6748:AU6749"/>
    <mergeCell ref="AV6748:AW6749"/>
    <mergeCell ref="AX6748:AY6749"/>
    <mergeCell ref="AZ6748:AZ6749"/>
    <mergeCell ref="F6749:H6749"/>
    <mergeCell ref="X6749:AB6749"/>
    <mergeCell ref="AE6749:AI6749"/>
    <mergeCell ref="AJ6749:AL6749"/>
    <mergeCell ref="AN6749:AO6749"/>
    <mergeCell ref="AP6749:AQ6749"/>
    <mergeCell ref="A6750:A6751"/>
    <mergeCell ref="E6750:E6751"/>
    <mergeCell ref="F6750:H6750"/>
    <mergeCell ref="J6750:J6751"/>
    <mergeCell ref="K6750:L6751"/>
    <mergeCell ref="M6750:N6751"/>
    <mergeCell ref="O6750:P6751"/>
    <mergeCell ref="Q6750:R6751"/>
    <mergeCell ref="S6750:T6751"/>
    <mergeCell ref="U6750:V6751"/>
    <mergeCell ref="W6750:W6751"/>
    <mergeCell ref="X6750:AB6750"/>
    <mergeCell ref="AD6750:AI6750"/>
    <mergeCell ref="AJ6750:AL6750"/>
    <mergeCell ref="AN6750:AO6750"/>
    <mergeCell ref="AP6750:AQ6750"/>
    <mergeCell ref="AR6750:AS6751"/>
    <mergeCell ref="AT6750:AU6751"/>
    <mergeCell ref="AV6750:AW6751"/>
    <mergeCell ref="AX6750:AY6751"/>
    <mergeCell ref="AZ6750:AZ6751"/>
    <mergeCell ref="F6751:H6751"/>
    <mergeCell ref="X6751:AB6751"/>
    <mergeCell ref="AE6751:AI6751"/>
    <mergeCell ref="AJ6751:AL6751"/>
    <mergeCell ref="AN6751:AO6751"/>
    <mergeCell ref="AP6751:AQ6751"/>
    <mergeCell ref="A6752:A6753"/>
    <mergeCell ref="E6752:E6753"/>
    <mergeCell ref="F6752:H6752"/>
    <mergeCell ref="J6752:J6753"/>
    <mergeCell ref="K6752:L6753"/>
    <mergeCell ref="M6752:N6753"/>
    <mergeCell ref="O6752:P6753"/>
    <mergeCell ref="Q6752:R6753"/>
    <mergeCell ref="S6752:T6753"/>
    <mergeCell ref="U6752:V6753"/>
    <mergeCell ref="W6752:W6753"/>
    <mergeCell ref="X6752:AB6752"/>
    <mergeCell ref="AD6752:AI6752"/>
    <mergeCell ref="AJ6752:AL6752"/>
    <mergeCell ref="AN6752:AO6752"/>
    <mergeCell ref="AP6752:AQ6752"/>
    <mergeCell ref="AR6752:AS6753"/>
    <mergeCell ref="AT6752:AU6753"/>
    <mergeCell ref="AV6752:AW6753"/>
    <mergeCell ref="AX6752:AY6753"/>
    <mergeCell ref="AZ6752:AZ6753"/>
    <mergeCell ref="F6753:H6753"/>
    <mergeCell ref="X6753:AB6753"/>
    <mergeCell ref="AE6753:AI6753"/>
    <mergeCell ref="AJ6753:AL6753"/>
    <mergeCell ref="AN6753:AO6753"/>
    <mergeCell ref="AP6753:AQ6753"/>
    <mergeCell ref="A6754:A6755"/>
    <mergeCell ref="E6754:E6755"/>
    <mergeCell ref="F6754:H6754"/>
    <mergeCell ref="J6754:J6755"/>
    <mergeCell ref="K6754:L6755"/>
    <mergeCell ref="M6754:N6755"/>
    <mergeCell ref="O6754:P6755"/>
    <mergeCell ref="Q6754:R6755"/>
    <mergeCell ref="S6754:T6755"/>
    <mergeCell ref="U6754:V6755"/>
    <mergeCell ref="W6754:W6755"/>
    <mergeCell ref="X6754:AB6754"/>
    <mergeCell ref="AD6754:AI6754"/>
    <mergeCell ref="AJ6754:AL6754"/>
    <mergeCell ref="AN6754:AO6754"/>
    <mergeCell ref="AP6754:AQ6754"/>
    <mergeCell ref="AR6754:AS6755"/>
    <mergeCell ref="AT6754:AU6755"/>
    <mergeCell ref="AV6754:AW6755"/>
    <mergeCell ref="AX6754:AY6755"/>
    <mergeCell ref="AZ6754:AZ6755"/>
    <mergeCell ref="F6755:H6755"/>
    <mergeCell ref="X6755:AB6755"/>
    <mergeCell ref="AE6755:AI6755"/>
    <mergeCell ref="AJ6755:AL6755"/>
    <mergeCell ref="AN6755:AO6755"/>
    <mergeCell ref="AP6755:AQ6755"/>
    <mergeCell ref="A6756:A6757"/>
    <mergeCell ref="E6756:E6757"/>
    <mergeCell ref="F6756:H6756"/>
    <mergeCell ref="J6756:J6757"/>
    <mergeCell ref="K6756:L6757"/>
    <mergeCell ref="M6756:N6757"/>
    <mergeCell ref="O6756:P6757"/>
    <mergeCell ref="Q6756:R6757"/>
    <mergeCell ref="S6756:T6757"/>
    <mergeCell ref="U6756:V6757"/>
    <mergeCell ref="W6756:W6757"/>
    <mergeCell ref="X6756:AB6756"/>
    <mergeCell ref="AD6756:AI6756"/>
    <mergeCell ref="AJ6756:AL6756"/>
    <mergeCell ref="AN6756:AO6756"/>
    <mergeCell ref="AP6756:AQ6756"/>
    <mergeCell ref="AR6756:AS6757"/>
    <mergeCell ref="AT6756:AU6757"/>
    <mergeCell ref="AV6756:AW6757"/>
    <mergeCell ref="AX6756:AY6757"/>
    <mergeCell ref="AZ6756:AZ6757"/>
    <mergeCell ref="F6757:H6757"/>
    <mergeCell ref="X6757:AB6757"/>
    <mergeCell ref="AE6757:AI6757"/>
    <mergeCell ref="AJ6757:AL6757"/>
    <mergeCell ref="AN6757:AO6757"/>
    <mergeCell ref="AP6757:AQ6757"/>
    <mergeCell ref="A6758:A6759"/>
    <mergeCell ref="E6758:E6759"/>
    <mergeCell ref="F6758:H6758"/>
    <mergeCell ref="J6758:J6759"/>
    <mergeCell ref="K6758:L6759"/>
    <mergeCell ref="M6758:N6759"/>
    <mergeCell ref="O6758:P6759"/>
    <mergeCell ref="Q6758:R6759"/>
    <mergeCell ref="S6758:T6759"/>
    <mergeCell ref="U6758:V6759"/>
    <mergeCell ref="W6758:W6759"/>
    <mergeCell ref="X6758:AB6758"/>
    <mergeCell ref="AD6758:AI6758"/>
    <mergeCell ref="AJ6758:AL6758"/>
    <mergeCell ref="AN6758:AO6758"/>
    <mergeCell ref="AP6758:AQ6758"/>
    <mergeCell ref="AR6758:AS6759"/>
    <mergeCell ref="AT6758:AU6759"/>
    <mergeCell ref="AV6758:AW6759"/>
    <mergeCell ref="AX6758:AY6759"/>
    <mergeCell ref="AZ6758:AZ6759"/>
    <mergeCell ref="F6759:H6759"/>
    <mergeCell ref="X6759:AB6759"/>
    <mergeCell ref="AE6759:AI6759"/>
    <mergeCell ref="AJ6759:AL6759"/>
    <mergeCell ref="AN6759:AO6759"/>
    <mergeCell ref="AP6759:AQ6759"/>
    <mergeCell ref="A6760:A6761"/>
    <mergeCell ref="E6760:E6761"/>
    <mergeCell ref="F6760:H6760"/>
    <mergeCell ref="J6760:J6761"/>
    <mergeCell ref="K6760:L6761"/>
    <mergeCell ref="M6760:N6761"/>
    <mergeCell ref="O6760:P6761"/>
    <mergeCell ref="Q6760:R6761"/>
    <mergeCell ref="S6760:T6761"/>
    <mergeCell ref="U6760:V6761"/>
    <mergeCell ref="W6760:W6761"/>
    <mergeCell ref="X6760:AB6760"/>
    <mergeCell ref="AD6760:AI6760"/>
    <mergeCell ref="AJ6760:AL6760"/>
    <mergeCell ref="AN6760:AO6760"/>
    <mergeCell ref="AP6760:AQ6760"/>
    <mergeCell ref="AR6760:AS6761"/>
    <mergeCell ref="AT6760:AU6761"/>
    <mergeCell ref="AV6760:AW6761"/>
    <mergeCell ref="AX6760:AY6761"/>
    <mergeCell ref="AZ6760:AZ6761"/>
    <mergeCell ref="F6761:H6761"/>
    <mergeCell ref="X6761:AB6761"/>
    <mergeCell ref="AE6761:AI6761"/>
    <mergeCell ref="AJ6761:AL6761"/>
    <mergeCell ref="AN6761:AO6761"/>
    <mergeCell ref="AP6761:AQ6761"/>
    <mergeCell ref="A6762:A6763"/>
    <mergeCell ref="E6762:E6763"/>
    <mergeCell ref="F6762:H6762"/>
    <mergeCell ref="J6762:J6763"/>
    <mergeCell ref="K6762:L6763"/>
    <mergeCell ref="M6762:N6763"/>
    <mergeCell ref="O6762:P6763"/>
    <mergeCell ref="Q6762:R6763"/>
    <mergeCell ref="S6762:T6763"/>
    <mergeCell ref="U6762:V6763"/>
    <mergeCell ref="W6762:W6763"/>
    <mergeCell ref="X6762:AB6762"/>
    <mergeCell ref="AD6762:AI6762"/>
    <mergeCell ref="AJ6762:AL6762"/>
    <mergeCell ref="AN6762:AO6762"/>
    <mergeCell ref="AP6762:AQ6762"/>
    <mergeCell ref="AR6762:AS6763"/>
    <mergeCell ref="AT6762:AU6763"/>
    <mergeCell ref="AV6762:AW6763"/>
    <mergeCell ref="AX6762:AY6763"/>
    <mergeCell ref="AZ6762:AZ6763"/>
    <mergeCell ref="F6763:H6763"/>
    <mergeCell ref="X6763:AB6763"/>
    <mergeCell ref="AE6763:AI6763"/>
    <mergeCell ref="AJ6763:AL6763"/>
    <mergeCell ref="AN6763:AO6763"/>
    <mergeCell ref="AP6763:AQ6763"/>
    <mergeCell ref="A6764:A6765"/>
    <mergeCell ref="E6764:E6765"/>
    <mergeCell ref="F6764:H6764"/>
    <mergeCell ref="J6764:J6765"/>
    <mergeCell ref="K6764:L6765"/>
    <mergeCell ref="M6764:N6765"/>
    <mergeCell ref="O6764:P6765"/>
    <mergeCell ref="Q6764:R6765"/>
    <mergeCell ref="S6764:T6765"/>
    <mergeCell ref="U6764:V6765"/>
    <mergeCell ref="W6764:W6765"/>
    <mergeCell ref="X6764:AB6764"/>
    <mergeCell ref="AD6764:AI6764"/>
    <mergeCell ref="AJ6764:AL6764"/>
    <mergeCell ref="AN6764:AO6764"/>
    <mergeCell ref="AP6764:AQ6764"/>
    <mergeCell ref="AR6764:AS6765"/>
    <mergeCell ref="AT6764:AU6765"/>
    <mergeCell ref="AV6764:AW6765"/>
    <mergeCell ref="AX6764:AY6765"/>
    <mergeCell ref="AZ6764:AZ6765"/>
    <mergeCell ref="F6765:H6765"/>
    <mergeCell ref="X6765:AB6765"/>
    <mergeCell ref="AE6765:AI6765"/>
    <mergeCell ref="AJ6765:AL6765"/>
    <mergeCell ref="AN6765:AO6765"/>
    <mergeCell ref="AP6765:AQ6765"/>
    <mergeCell ref="A6766:A6767"/>
    <mergeCell ref="E6766:E6767"/>
    <mergeCell ref="F6766:H6766"/>
    <mergeCell ref="J6766:J6767"/>
    <mergeCell ref="K6766:L6767"/>
    <mergeCell ref="M6766:N6767"/>
    <mergeCell ref="O6766:P6767"/>
    <mergeCell ref="Q6766:R6767"/>
    <mergeCell ref="S6766:T6767"/>
    <mergeCell ref="U6766:V6767"/>
    <mergeCell ref="W6766:W6767"/>
    <mergeCell ref="X6766:AB6766"/>
    <mergeCell ref="AD6766:AI6766"/>
    <mergeCell ref="AJ6766:AL6766"/>
    <mergeCell ref="AN6766:AO6766"/>
    <mergeCell ref="AP6766:AQ6766"/>
    <mergeCell ref="AR6766:AS6767"/>
    <mergeCell ref="AT6766:AU6767"/>
    <mergeCell ref="AV6766:AW6767"/>
    <mergeCell ref="AX6766:AY6767"/>
    <mergeCell ref="AZ6766:AZ6767"/>
    <mergeCell ref="F6767:H6767"/>
    <mergeCell ref="X6767:AB6767"/>
    <mergeCell ref="AE6767:AI6767"/>
    <mergeCell ref="AJ6767:AL6767"/>
    <mergeCell ref="AN6767:AO6767"/>
    <mergeCell ref="AP6767:AQ6767"/>
    <mergeCell ref="A6768:A6769"/>
    <mergeCell ref="E6768:E6769"/>
    <mergeCell ref="F6768:H6768"/>
    <mergeCell ref="J6768:J6769"/>
    <mergeCell ref="K6768:L6769"/>
    <mergeCell ref="M6768:N6769"/>
    <mergeCell ref="O6768:P6769"/>
    <mergeCell ref="Q6768:R6769"/>
    <mergeCell ref="S6768:T6769"/>
    <mergeCell ref="U6768:V6769"/>
    <mergeCell ref="W6768:W6769"/>
    <mergeCell ref="X6768:AB6768"/>
    <mergeCell ref="AD6768:AI6768"/>
    <mergeCell ref="AJ6768:AL6768"/>
    <mergeCell ref="AN6768:AO6768"/>
    <mergeCell ref="AP6768:AQ6768"/>
    <mergeCell ref="AR6768:AS6769"/>
    <mergeCell ref="AT6768:AU6769"/>
    <mergeCell ref="AV6768:AW6769"/>
    <mergeCell ref="AX6768:AY6769"/>
    <mergeCell ref="AZ6768:AZ6769"/>
    <mergeCell ref="F6769:H6769"/>
    <mergeCell ref="X6769:AB6769"/>
    <mergeCell ref="AE6769:AI6769"/>
    <mergeCell ref="AJ6769:AL6769"/>
    <mergeCell ref="AN6769:AO6769"/>
    <mergeCell ref="AP6769:AQ6769"/>
    <mergeCell ref="A6770:A6771"/>
    <mergeCell ref="E6770:E6771"/>
    <mergeCell ref="F6770:H6770"/>
    <mergeCell ref="J6770:J6771"/>
    <mergeCell ref="K6770:L6771"/>
    <mergeCell ref="M6770:N6771"/>
    <mergeCell ref="O6770:P6771"/>
    <mergeCell ref="Q6770:R6771"/>
    <mergeCell ref="S6770:T6771"/>
    <mergeCell ref="U6770:V6771"/>
    <mergeCell ref="W6770:W6771"/>
    <mergeCell ref="X6770:AB6770"/>
    <mergeCell ref="AD6770:AI6770"/>
    <mergeCell ref="AJ6770:AL6770"/>
    <mergeCell ref="AN6770:AO6770"/>
    <mergeCell ref="AP6770:AQ6770"/>
    <mergeCell ref="AR6770:AS6771"/>
    <mergeCell ref="AT6770:AU6771"/>
    <mergeCell ref="AV6770:AW6771"/>
    <mergeCell ref="AX6770:AY6771"/>
    <mergeCell ref="AZ6770:AZ6771"/>
    <mergeCell ref="F6771:H6771"/>
    <mergeCell ref="X6771:AB6771"/>
    <mergeCell ref="AE6771:AI6771"/>
    <mergeCell ref="AJ6771:AL6771"/>
    <mergeCell ref="AN6771:AO6771"/>
    <mergeCell ref="AP6771:AQ6771"/>
    <mergeCell ref="A6772:A6773"/>
    <mergeCell ref="E6772:E6773"/>
    <mergeCell ref="F6772:H6772"/>
    <mergeCell ref="J6772:J6773"/>
    <mergeCell ref="K6772:L6773"/>
    <mergeCell ref="M6772:N6773"/>
    <mergeCell ref="O6772:P6773"/>
    <mergeCell ref="Q6772:R6773"/>
    <mergeCell ref="S6772:T6773"/>
    <mergeCell ref="U6772:V6773"/>
    <mergeCell ref="W6772:W6773"/>
    <mergeCell ref="X6772:AB6772"/>
    <mergeCell ref="AD6772:AI6772"/>
    <mergeCell ref="AJ6772:AL6772"/>
    <mergeCell ref="AN6772:AO6772"/>
    <mergeCell ref="AP6772:AQ6772"/>
    <mergeCell ref="AR6772:AS6773"/>
    <mergeCell ref="AT6772:AU6773"/>
    <mergeCell ref="AV6772:AW6773"/>
    <mergeCell ref="AX6772:AY6773"/>
    <mergeCell ref="AZ6772:AZ6773"/>
    <mergeCell ref="F6773:H6773"/>
    <mergeCell ref="X6773:AB6773"/>
    <mergeCell ref="AE6773:AI6773"/>
    <mergeCell ref="AJ6773:AL6773"/>
    <mergeCell ref="AN6773:AO6773"/>
    <mergeCell ref="AP6773:AQ6773"/>
    <mergeCell ref="A6774:A6775"/>
    <mergeCell ref="E6774:E6775"/>
    <mergeCell ref="F6774:H6774"/>
    <mergeCell ref="J6774:J6775"/>
    <mergeCell ref="K6774:L6775"/>
    <mergeCell ref="M6774:N6775"/>
    <mergeCell ref="O6774:P6775"/>
    <mergeCell ref="Q6774:R6775"/>
    <mergeCell ref="S6774:T6775"/>
    <mergeCell ref="U6774:V6775"/>
    <mergeCell ref="W6774:W6775"/>
    <mergeCell ref="X6774:AB6774"/>
    <mergeCell ref="AD6774:AI6774"/>
    <mergeCell ref="AJ6774:AL6774"/>
    <mergeCell ref="AN6774:AO6774"/>
    <mergeCell ref="AP6774:AQ6774"/>
    <mergeCell ref="AR6774:AS6775"/>
    <mergeCell ref="AT6774:AU6775"/>
    <mergeCell ref="AV6774:AW6775"/>
    <mergeCell ref="AX6774:AY6775"/>
    <mergeCell ref="AZ6774:AZ6775"/>
    <mergeCell ref="F6775:H6775"/>
    <mergeCell ref="X6775:AB6775"/>
    <mergeCell ref="AE6775:AI6775"/>
    <mergeCell ref="AJ6775:AL6775"/>
    <mergeCell ref="AN6775:AO6775"/>
    <mergeCell ref="AP6775:AQ6775"/>
    <mergeCell ref="A6776:A6777"/>
    <mergeCell ref="E6776:E6777"/>
    <mergeCell ref="F6776:H6776"/>
    <mergeCell ref="J6776:J6777"/>
    <mergeCell ref="K6776:L6777"/>
    <mergeCell ref="M6776:N6777"/>
    <mergeCell ref="O6776:P6777"/>
    <mergeCell ref="Q6776:R6777"/>
    <mergeCell ref="S6776:T6777"/>
    <mergeCell ref="U6776:V6777"/>
    <mergeCell ref="W6776:W6777"/>
    <mergeCell ref="X6776:AB6776"/>
    <mergeCell ref="AD6776:AI6776"/>
    <mergeCell ref="AJ6776:AL6776"/>
    <mergeCell ref="AN6776:AO6776"/>
    <mergeCell ref="AP6776:AQ6776"/>
    <mergeCell ref="AR6776:AS6777"/>
    <mergeCell ref="AT6776:AU6777"/>
    <mergeCell ref="AV6776:AW6777"/>
    <mergeCell ref="AX6776:AY6777"/>
    <mergeCell ref="AZ6776:AZ6777"/>
    <mergeCell ref="F6777:H6777"/>
    <mergeCell ref="X6777:AB6777"/>
    <mergeCell ref="AE6777:AI6777"/>
    <mergeCell ref="AJ6777:AL6777"/>
    <mergeCell ref="AN6777:AO6777"/>
    <mergeCell ref="AP6777:AQ6777"/>
    <mergeCell ref="A6778:A6779"/>
    <mergeCell ref="E6778:E6779"/>
    <mergeCell ref="F6778:H6778"/>
    <mergeCell ref="J6778:J6779"/>
    <mergeCell ref="K6778:L6779"/>
    <mergeCell ref="M6778:N6779"/>
    <mergeCell ref="O6778:P6779"/>
    <mergeCell ref="Q6778:R6779"/>
    <mergeCell ref="S6778:T6779"/>
    <mergeCell ref="U6778:V6779"/>
    <mergeCell ref="W6778:W6779"/>
    <mergeCell ref="X6778:AB6778"/>
    <mergeCell ref="AD6778:AI6778"/>
    <mergeCell ref="AJ6778:AL6778"/>
    <mergeCell ref="AN6778:AO6778"/>
    <mergeCell ref="AP6778:AQ6778"/>
    <mergeCell ref="AR6778:AS6779"/>
    <mergeCell ref="AT6778:AU6779"/>
    <mergeCell ref="AV6778:AW6779"/>
    <mergeCell ref="AX6778:AY6779"/>
    <mergeCell ref="AZ6778:AZ6779"/>
    <mergeCell ref="F6779:H6779"/>
    <mergeCell ref="X6779:AB6779"/>
    <mergeCell ref="AE6779:AI6779"/>
    <mergeCell ref="AJ6779:AL6779"/>
    <mergeCell ref="AN6779:AO6779"/>
    <mergeCell ref="AP6779:AQ6779"/>
    <mergeCell ref="A6780:A6781"/>
    <mergeCell ref="E6780:E6781"/>
    <mergeCell ref="F6780:H6780"/>
    <mergeCell ref="J6780:J6781"/>
    <mergeCell ref="K6780:L6781"/>
    <mergeCell ref="M6780:N6781"/>
    <mergeCell ref="O6780:P6781"/>
    <mergeCell ref="Q6780:R6781"/>
    <mergeCell ref="S6780:T6781"/>
    <mergeCell ref="U6780:V6781"/>
    <mergeCell ref="W6780:W6781"/>
    <mergeCell ref="X6780:AB6780"/>
    <mergeCell ref="AD6780:AI6780"/>
    <mergeCell ref="AJ6780:AL6780"/>
    <mergeCell ref="AN6780:AO6780"/>
    <mergeCell ref="AP6780:AQ6780"/>
    <mergeCell ref="AR6780:AS6781"/>
    <mergeCell ref="AT6780:AU6781"/>
    <mergeCell ref="AV6780:AW6781"/>
    <mergeCell ref="AX6780:AY6781"/>
    <mergeCell ref="AZ6780:AZ6781"/>
    <mergeCell ref="F6781:H6781"/>
    <mergeCell ref="X6781:AB6781"/>
    <mergeCell ref="AE6781:AI6781"/>
    <mergeCell ref="AJ6781:AL6781"/>
    <mergeCell ref="AN6781:AO6781"/>
    <mergeCell ref="AP6781:AQ6781"/>
    <mergeCell ref="A6782:A6783"/>
    <mergeCell ref="E6782:E6783"/>
    <mergeCell ref="F6782:H6782"/>
    <mergeCell ref="J6782:J6783"/>
    <mergeCell ref="K6782:L6783"/>
    <mergeCell ref="M6782:N6783"/>
    <mergeCell ref="O6782:P6783"/>
    <mergeCell ref="Q6782:R6783"/>
    <mergeCell ref="S6782:T6783"/>
    <mergeCell ref="U6782:V6783"/>
    <mergeCell ref="W6782:W6783"/>
    <mergeCell ref="X6782:AB6782"/>
    <mergeCell ref="AD6782:AI6782"/>
    <mergeCell ref="AJ6782:AL6782"/>
    <mergeCell ref="AN6782:AO6782"/>
    <mergeCell ref="AP6782:AQ6782"/>
    <mergeCell ref="AR6782:AS6783"/>
    <mergeCell ref="AT6782:AU6783"/>
    <mergeCell ref="AV6782:AW6783"/>
    <mergeCell ref="AX6782:AY6783"/>
    <mergeCell ref="AZ6782:AZ6783"/>
    <mergeCell ref="F6783:H6783"/>
    <mergeCell ref="X6783:AB6783"/>
    <mergeCell ref="AE6783:AI6783"/>
    <mergeCell ref="AJ6783:AL6783"/>
    <mergeCell ref="AN6783:AO6783"/>
    <mergeCell ref="AP6783:AQ6783"/>
    <mergeCell ref="A6784:A6785"/>
    <mergeCell ref="E6784:E6785"/>
    <mergeCell ref="F6784:H6784"/>
    <mergeCell ref="J6784:J6785"/>
    <mergeCell ref="K6784:L6785"/>
    <mergeCell ref="M6784:N6785"/>
    <mergeCell ref="O6784:P6785"/>
    <mergeCell ref="Q6784:R6785"/>
    <mergeCell ref="S6784:T6785"/>
    <mergeCell ref="U6784:V6785"/>
    <mergeCell ref="W6784:W6785"/>
    <mergeCell ref="X6784:AB6784"/>
    <mergeCell ref="AD6784:AI6784"/>
    <mergeCell ref="AJ6784:AL6784"/>
    <mergeCell ref="AN6784:AO6784"/>
    <mergeCell ref="AP6784:AQ6784"/>
    <mergeCell ref="AR6784:AS6785"/>
    <mergeCell ref="AT6784:AU6785"/>
    <mergeCell ref="AV6784:AW6785"/>
    <mergeCell ref="AX6784:AY6785"/>
    <mergeCell ref="AZ6784:AZ6785"/>
    <mergeCell ref="F6785:H6785"/>
    <mergeCell ref="X6785:AB6785"/>
    <mergeCell ref="AE6785:AI6785"/>
    <mergeCell ref="AJ6785:AL6785"/>
    <mergeCell ref="AN6785:AO6785"/>
    <mergeCell ref="AP6785:AQ6785"/>
    <mergeCell ref="A6786:A6787"/>
    <mergeCell ref="E6786:E6787"/>
    <mergeCell ref="F6786:H6786"/>
    <mergeCell ref="J6786:J6787"/>
    <mergeCell ref="K6786:L6787"/>
    <mergeCell ref="M6786:N6787"/>
    <mergeCell ref="O6786:P6787"/>
    <mergeCell ref="Q6786:R6787"/>
    <mergeCell ref="S6786:T6787"/>
    <mergeCell ref="U6786:V6787"/>
    <mergeCell ref="W6786:W6787"/>
    <mergeCell ref="X6786:AB6786"/>
    <mergeCell ref="AD6786:AI6786"/>
    <mergeCell ref="AJ6786:AL6786"/>
    <mergeCell ref="AN6786:AO6786"/>
    <mergeCell ref="AP6786:AQ6786"/>
    <mergeCell ref="AR6786:AS6787"/>
    <mergeCell ref="AT6786:AU6787"/>
    <mergeCell ref="AV6786:AW6787"/>
    <mergeCell ref="AX6786:AY6787"/>
    <mergeCell ref="AZ6786:AZ6787"/>
    <mergeCell ref="F6787:H6787"/>
    <mergeCell ref="X6787:AB6787"/>
    <mergeCell ref="AE6787:AI6787"/>
    <mergeCell ref="AJ6787:AL6787"/>
    <mergeCell ref="AN6787:AO6787"/>
    <mergeCell ref="AP6787:AQ6787"/>
    <mergeCell ref="A6788:A6789"/>
    <mergeCell ref="E6788:E6789"/>
    <mergeCell ref="F6788:H6788"/>
    <mergeCell ref="J6788:J6789"/>
    <mergeCell ref="K6788:L6789"/>
    <mergeCell ref="M6788:N6789"/>
    <mergeCell ref="O6788:P6789"/>
    <mergeCell ref="Q6788:R6789"/>
    <mergeCell ref="S6788:T6789"/>
    <mergeCell ref="U6788:V6789"/>
    <mergeCell ref="W6788:W6789"/>
    <mergeCell ref="X6788:AB6788"/>
    <mergeCell ref="AD6788:AI6788"/>
    <mergeCell ref="AJ6788:AL6788"/>
    <mergeCell ref="AN6788:AO6788"/>
    <mergeCell ref="AP6788:AQ6788"/>
    <mergeCell ref="AR6788:AS6789"/>
    <mergeCell ref="AT6788:AU6789"/>
    <mergeCell ref="AV6788:AW6789"/>
    <mergeCell ref="AX6788:AY6789"/>
    <mergeCell ref="AZ6788:AZ6789"/>
    <mergeCell ref="F6789:H6789"/>
    <mergeCell ref="X6789:AB6789"/>
    <mergeCell ref="AE6789:AI6789"/>
    <mergeCell ref="AJ6789:AL6789"/>
    <mergeCell ref="AN6789:AO6789"/>
    <mergeCell ref="AP6789:AQ6789"/>
    <mergeCell ref="A6790:A6791"/>
    <mergeCell ref="E6790:E6791"/>
    <mergeCell ref="F6790:H6790"/>
    <mergeCell ref="J6790:J6791"/>
    <mergeCell ref="K6790:L6791"/>
    <mergeCell ref="M6790:N6791"/>
    <mergeCell ref="O6790:P6791"/>
    <mergeCell ref="Q6790:R6791"/>
    <mergeCell ref="S6790:T6791"/>
    <mergeCell ref="U6790:V6791"/>
    <mergeCell ref="W6790:W6791"/>
    <mergeCell ref="X6790:AB6790"/>
    <mergeCell ref="AD6790:AI6790"/>
    <mergeCell ref="AJ6790:AL6790"/>
    <mergeCell ref="AN6790:AO6790"/>
    <mergeCell ref="AP6790:AQ6790"/>
    <mergeCell ref="AR6790:AS6791"/>
    <mergeCell ref="AT6790:AU6791"/>
    <mergeCell ref="AV6790:AW6791"/>
    <mergeCell ref="AX6790:AY6791"/>
    <mergeCell ref="AZ6790:AZ6791"/>
    <mergeCell ref="F6791:H6791"/>
    <mergeCell ref="X6791:AB6791"/>
    <mergeCell ref="AE6791:AI6791"/>
    <mergeCell ref="AJ6791:AL6791"/>
    <mergeCell ref="AN6791:AO6791"/>
    <mergeCell ref="AP6791:AQ6791"/>
    <mergeCell ref="A6792:A6793"/>
    <mergeCell ref="E6792:E6793"/>
    <mergeCell ref="F6792:H6792"/>
    <mergeCell ref="J6792:J6793"/>
    <mergeCell ref="K6792:L6793"/>
    <mergeCell ref="M6792:N6793"/>
    <mergeCell ref="O6792:P6793"/>
    <mergeCell ref="Q6792:R6793"/>
    <mergeCell ref="S6792:T6793"/>
    <mergeCell ref="U6792:V6793"/>
    <mergeCell ref="W6792:W6793"/>
    <mergeCell ref="X6792:AB6792"/>
    <mergeCell ref="AD6792:AI6792"/>
    <mergeCell ref="AJ6792:AL6792"/>
    <mergeCell ref="AN6792:AO6792"/>
    <mergeCell ref="AP6792:AQ6792"/>
    <mergeCell ref="AR6792:AS6793"/>
    <mergeCell ref="AT6792:AU6793"/>
    <mergeCell ref="AV6792:AW6793"/>
    <mergeCell ref="AX6792:AY6793"/>
    <mergeCell ref="AZ6792:AZ6793"/>
    <mergeCell ref="F6793:H6793"/>
    <mergeCell ref="X6793:AB6793"/>
    <mergeCell ref="AE6793:AI6793"/>
    <mergeCell ref="AJ6793:AL6793"/>
    <mergeCell ref="AN6793:AO6793"/>
    <mergeCell ref="AP6793:AQ6793"/>
    <mergeCell ref="A6794:A6795"/>
    <mergeCell ref="E6794:E6795"/>
    <mergeCell ref="F6794:H6794"/>
    <mergeCell ref="J6794:J6795"/>
    <mergeCell ref="K6794:L6795"/>
    <mergeCell ref="M6794:N6795"/>
    <mergeCell ref="O6794:P6795"/>
    <mergeCell ref="Q6794:R6795"/>
    <mergeCell ref="S6794:T6795"/>
    <mergeCell ref="U6794:V6795"/>
    <mergeCell ref="W6794:W6795"/>
    <mergeCell ref="X6794:AB6794"/>
    <mergeCell ref="AD6794:AI6794"/>
    <mergeCell ref="AJ6794:AL6794"/>
    <mergeCell ref="AN6794:AO6794"/>
    <mergeCell ref="AP6794:AQ6794"/>
    <mergeCell ref="AR6794:AS6795"/>
    <mergeCell ref="AT6794:AU6795"/>
    <mergeCell ref="AV6794:AW6795"/>
    <mergeCell ref="AX6794:AY6795"/>
    <mergeCell ref="AZ6794:AZ6795"/>
    <mergeCell ref="F6795:H6795"/>
    <mergeCell ref="X6795:AB6795"/>
    <mergeCell ref="AE6795:AI6795"/>
    <mergeCell ref="AJ6795:AL6795"/>
    <mergeCell ref="AN6795:AO6795"/>
    <mergeCell ref="AP6795:AQ6795"/>
    <mergeCell ref="A6796:A6797"/>
    <mergeCell ref="E6796:E6797"/>
    <mergeCell ref="F6796:H6796"/>
    <mergeCell ref="J6796:J6797"/>
    <mergeCell ref="K6796:L6797"/>
    <mergeCell ref="M6796:N6797"/>
    <mergeCell ref="O6796:P6797"/>
    <mergeCell ref="Q6796:R6797"/>
    <mergeCell ref="S6796:T6797"/>
    <mergeCell ref="U6796:V6797"/>
    <mergeCell ref="W6796:W6797"/>
    <mergeCell ref="X6796:AB6796"/>
    <mergeCell ref="AD6796:AI6796"/>
    <mergeCell ref="AJ6796:AL6796"/>
    <mergeCell ref="AN6796:AO6796"/>
    <mergeCell ref="AP6796:AQ6796"/>
    <mergeCell ref="AR6796:AS6797"/>
    <mergeCell ref="AT6796:AU6797"/>
    <mergeCell ref="AV6796:AW6797"/>
    <mergeCell ref="AX6796:AY6797"/>
    <mergeCell ref="AZ6796:AZ6797"/>
    <mergeCell ref="F6797:H6797"/>
    <mergeCell ref="X6797:AB6797"/>
    <mergeCell ref="AE6797:AI6797"/>
    <mergeCell ref="AJ6797:AL6797"/>
    <mergeCell ref="AN6797:AO6797"/>
    <mergeCell ref="AP6797:AQ6797"/>
    <mergeCell ref="A6798:A6799"/>
    <mergeCell ref="E6798:E6799"/>
    <mergeCell ref="F6798:H6798"/>
    <mergeCell ref="J6798:J6799"/>
    <mergeCell ref="K6798:L6799"/>
    <mergeCell ref="M6798:N6799"/>
    <mergeCell ref="O6798:P6799"/>
    <mergeCell ref="Q6798:R6799"/>
    <mergeCell ref="S6798:T6799"/>
    <mergeCell ref="U6798:V6799"/>
    <mergeCell ref="W6798:W6799"/>
    <mergeCell ref="X6798:AB6798"/>
    <mergeCell ref="AD6798:AI6798"/>
    <mergeCell ref="AJ6798:AL6798"/>
    <mergeCell ref="AN6798:AO6798"/>
    <mergeCell ref="AP6798:AQ6798"/>
    <mergeCell ref="AR6798:AS6799"/>
    <mergeCell ref="AT6798:AU6799"/>
    <mergeCell ref="AV6798:AW6799"/>
    <mergeCell ref="AX6798:AY6799"/>
    <mergeCell ref="AZ6798:AZ6799"/>
    <mergeCell ref="F6799:H6799"/>
    <mergeCell ref="X6799:AB6799"/>
    <mergeCell ref="AE6799:AI6799"/>
    <mergeCell ref="AJ6799:AL6799"/>
    <mergeCell ref="AN6799:AO6799"/>
    <mergeCell ref="AP6799:AQ6799"/>
    <mergeCell ref="A6800:A6801"/>
    <mergeCell ref="E6800:E6801"/>
    <mergeCell ref="F6800:H6800"/>
    <mergeCell ref="J6800:J6801"/>
    <mergeCell ref="K6800:L6801"/>
    <mergeCell ref="M6800:N6801"/>
    <mergeCell ref="O6800:P6801"/>
    <mergeCell ref="Q6800:R6801"/>
    <mergeCell ref="S6800:T6801"/>
    <mergeCell ref="U6800:V6801"/>
    <mergeCell ref="W6800:W6801"/>
    <mergeCell ref="X6800:AB6800"/>
    <mergeCell ref="AD6800:AI6800"/>
    <mergeCell ref="AJ6800:AL6800"/>
    <mergeCell ref="AN6800:AO6800"/>
    <mergeCell ref="AP6800:AQ6800"/>
    <mergeCell ref="AR6800:AS6801"/>
    <mergeCell ref="AT6800:AU6801"/>
    <mergeCell ref="AV6800:AW6801"/>
    <mergeCell ref="AX6800:AY6801"/>
    <mergeCell ref="AZ6800:AZ6801"/>
    <mergeCell ref="F6801:H6801"/>
    <mergeCell ref="X6801:AB6801"/>
    <mergeCell ref="AE6801:AI6801"/>
    <mergeCell ref="AJ6801:AL6801"/>
    <mergeCell ref="AN6801:AO6801"/>
    <mergeCell ref="AP6801:AQ6801"/>
    <mergeCell ref="A6802:A6803"/>
    <mergeCell ref="E6802:E6803"/>
    <mergeCell ref="F6802:H6802"/>
    <mergeCell ref="J6802:J6803"/>
    <mergeCell ref="K6802:L6803"/>
    <mergeCell ref="M6802:N6803"/>
    <mergeCell ref="O6802:P6803"/>
    <mergeCell ref="Q6802:R6803"/>
    <mergeCell ref="S6802:T6803"/>
    <mergeCell ref="U6802:V6803"/>
    <mergeCell ref="W6802:W6803"/>
    <mergeCell ref="X6802:AB6802"/>
    <mergeCell ref="AD6802:AI6802"/>
    <mergeCell ref="AJ6802:AL6802"/>
    <mergeCell ref="AN6802:AO6802"/>
    <mergeCell ref="AP6802:AQ6802"/>
    <mergeCell ref="AR6802:AS6803"/>
    <mergeCell ref="AT6802:AU6803"/>
    <mergeCell ref="AV6802:AW6803"/>
    <mergeCell ref="AX6802:AY6803"/>
    <mergeCell ref="AZ6802:AZ6803"/>
    <mergeCell ref="F6803:H6803"/>
    <mergeCell ref="X6803:AB6803"/>
    <mergeCell ref="AE6803:AI6803"/>
    <mergeCell ref="AJ6803:AL6803"/>
    <mergeCell ref="AN6803:AO6803"/>
    <mergeCell ref="AP6803:AQ6803"/>
    <mergeCell ref="A6804:A6805"/>
    <mergeCell ref="E6804:E6805"/>
    <mergeCell ref="F6804:H6804"/>
    <mergeCell ref="J6804:J6805"/>
    <mergeCell ref="K6804:L6805"/>
    <mergeCell ref="M6804:N6805"/>
    <mergeCell ref="O6804:P6805"/>
    <mergeCell ref="Q6804:R6805"/>
    <mergeCell ref="S6804:T6805"/>
    <mergeCell ref="U6804:V6805"/>
    <mergeCell ref="W6804:W6805"/>
    <mergeCell ref="X6804:AB6804"/>
    <mergeCell ref="AD6804:AI6804"/>
    <mergeCell ref="AJ6804:AL6804"/>
    <mergeCell ref="AN6804:AO6804"/>
    <mergeCell ref="AP6804:AQ6804"/>
    <mergeCell ref="AR6804:AS6805"/>
    <mergeCell ref="AT6804:AU6805"/>
    <mergeCell ref="AV6804:AW6805"/>
    <mergeCell ref="AX6804:AY6805"/>
    <mergeCell ref="AZ6804:AZ6805"/>
    <mergeCell ref="F6805:H6805"/>
    <mergeCell ref="X6805:AB6805"/>
    <mergeCell ref="AE6805:AI6805"/>
    <mergeCell ref="AJ6805:AL6805"/>
    <mergeCell ref="AN6805:AO6805"/>
    <mergeCell ref="AP6805:AQ6805"/>
    <mergeCell ref="A6806:A6807"/>
    <mergeCell ref="E6806:E6807"/>
    <mergeCell ref="F6806:H6806"/>
    <mergeCell ref="J6806:J6807"/>
    <mergeCell ref="K6806:L6807"/>
    <mergeCell ref="M6806:N6807"/>
    <mergeCell ref="O6806:P6807"/>
    <mergeCell ref="Q6806:R6807"/>
    <mergeCell ref="S6806:T6807"/>
    <mergeCell ref="U6806:V6807"/>
    <mergeCell ref="W6806:W6807"/>
    <mergeCell ref="X6806:AB6806"/>
    <mergeCell ref="AD6806:AI6806"/>
    <mergeCell ref="AJ6806:AL6806"/>
    <mergeCell ref="AN6806:AO6806"/>
    <mergeCell ref="AP6806:AQ6806"/>
    <mergeCell ref="AR6806:AS6807"/>
    <mergeCell ref="AT6806:AU6807"/>
    <mergeCell ref="AV6806:AW6807"/>
    <mergeCell ref="AX6806:AY6807"/>
    <mergeCell ref="AZ6806:AZ6807"/>
    <mergeCell ref="F6807:H6807"/>
    <mergeCell ref="X6807:AB6807"/>
    <mergeCell ref="AE6807:AI6807"/>
    <mergeCell ref="AJ6807:AL6807"/>
    <mergeCell ref="AN6807:AO6807"/>
    <mergeCell ref="AP6807:AQ6807"/>
    <mergeCell ref="A6808:A6809"/>
    <mergeCell ref="E6808:E6809"/>
    <mergeCell ref="F6808:H6808"/>
    <mergeCell ref="J6808:J6809"/>
    <mergeCell ref="K6808:L6809"/>
    <mergeCell ref="M6808:N6809"/>
    <mergeCell ref="O6808:P6809"/>
    <mergeCell ref="Q6808:R6809"/>
    <mergeCell ref="S6808:T6809"/>
    <mergeCell ref="U6808:V6809"/>
    <mergeCell ref="W6808:W6809"/>
    <mergeCell ref="X6808:AB6808"/>
    <mergeCell ref="AD6808:AI6808"/>
    <mergeCell ref="AJ6808:AL6808"/>
    <mergeCell ref="AN6808:AO6808"/>
    <mergeCell ref="AP6808:AQ6808"/>
    <mergeCell ref="AR6808:AS6809"/>
    <mergeCell ref="AT6808:AU6809"/>
    <mergeCell ref="AV6808:AW6809"/>
    <mergeCell ref="AX6808:AY6809"/>
    <mergeCell ref="AZ6808:AZ6809"/>
    <mergeCell ref="F6809:H6809"/>
    <mergeCell ref="X6809:AB6809"/>
    <mergeCell ref="AE6809:AI6809"/>
    <mergeCell ref="AJ6809:AL6809"/>
    <mergeCell ref="AN6809:AO6809"/>
    <mergeCell ref="AP6809:AQ6809"/>
    <mergeCell ref="A6810:A6811"/>
    <mergeCell ref="E6810:E6811"/>
    <mergeCell ref="F6810:H6810"/>
    <mergeCell ref="J6810:J6811"/>
    <mergeCell ref="K6810:L6811"/>
    <mergeCell ref="M6810:N6811"/>
    <mergeCell ref="O6810:P6811"/>
    <mergeCell ref="Q6810:R6811"/>
    <mergeCell ref="S6810:T6811"/>
    <mergeCell ref="U6810:V6811"/>
    <mergeCell ref="W6810:W6811"/>
    <mergeCell ref="X6810:AB6810"/>
    <mergeCell ref="AD6810:AI6810"/>
    <mergeCell ref="AJ6810:AL6810"/>
    <mergeCell ref="AN6810:AO6810"/>
    <mergeCell ref="AP6810:AQ6810"/>
    <mergeCell ref="AR6810:AS6811"/>
    <mergeCell ref="AT6810:AU6811"/>
    <mergeCell ref="AV6810:AW6811"/>
    <mergeCell ref="AX6810:AY6811"/>
    <mergeCell ref="AZ6810:AZ6811"/>
    <mergeCell ref="F6811:H6811"/>
    <mergeCell ref="X6811:AB6811"/>
    <mergeCell ref="AE6811:AI6811"/>
    <mergeCell ref="AJ6811:AL6811"/>
    <mergeCell ref="AN6811:AO6811"/>
    <mergeCell ref="AP6811:AQ6811"/>
    <mergeCell ref="A6812:A6813"/>
    <mergeCell ref="E6812:E6813"/>
    <mergeCell ref="F6812:H6812"/>
    <mergeCell ref="J6812:J6813"/>
    <mergeCell ref="K6812:L6813"/>
    <mergeCell ref="M6812:N6813"/>
    <mergeCell ref="O6812:P6813"/>
    <mergeCell ref="Q6812:R6813"/>
    <mergeCell ref="S6812:T6813"/>
    <mergeCell ref="U6812:V6813"/>
    <mergeCell ref="W6812:W6813"/>
    <mergeCell ref="X6812:AB6812"/>
    <mergeCell ref="AD6812:AI6812"/>
    <mergeCell ref="AJ6812:AL6812"/>
    <mergeCell ref="AN6812:AO6812"/>
    <mergeCell ref="AP6812:AQ6812"/>
    <mergeCell ref="AR6812:AS6813"/>
    <mergeCell ref="AT6812:AU6813"/>
    <mergeCell ref="AV6812:AW6813"/>
    <mergeCell ref="AX6812:AY6813"/>
    <mergeCell ref="AZ6812:AZ6813"/>
    <mergeCell ref="F6813:H6813"/>
    <mergeCell ref="X6813:AB6813"/>
    <mergeCell ref="AE6813:AI6813"/>
    <mergeCell ref="AJ6813:AL6813"/>
    <mergeCell ref="AN6813:AO6813"/>
    <mergeCell ref="AP6813:AQ6813"/>
    <mergeCell ref="A6814:A6815"/>
    <mergeCell ref="E6814:E6815"/>
    <mergeCell ref="F6814:H6814"/>
    <mergeCell ref="J6814:J6815"/>
    <mergeCell ref="K6814:L6815"/>
    <mergeCell ref="M6814:N6815"/>
    <mergeCell ref="O6814:P6815"/>
    <mergeCell ref="Q6814:R6815"/>
    <mergeCell ref="S6814:T6815"/>
    <mergeCell ref="U6814:V6815"/>
    <mergeCell ref="W6814:W6815"/>
    <mergeCell ref="X6814:AB6814"/>
    <mergeCell ref="AD6814:AI6814"/>
    <mergeCell ref="AJ6814:AL6814"/>
    <mergeCell ref="AN6814:AO6814"/>
    <mergeCell ref="AP6814:AQ6814"/>
    <mergeCell ref="AR6814:AS6815"/>
    <mergeCell ref="AT6814:AU6815"/>
    <mergeCell ref="AV6814:AW6815"/>
    <mergeCell ref="AX6814:AY6815"/>
    <mergeCell ref="AZ6814:AZ6815"/>
    <mergeCell ref="F6815:H6815"/>
    <mergeCell ref="X6815:AB6815"/>
    <mergeCell ref="AE6815:AI6815"/>
    <mergeCell ref="AJ6815:AL6815"/>
    <mergeCell ref="AN6815:AO6815"/>
    <mergeCell ref="AP6815:AQ6815"/>
    <mergeCell ref="A6816:A6817"/>
    <mergeCell ref="E6816:E6817"/>
    <mergeCell ref="F6816:H6816"/>
    <mergeCell ref="J6816:J6817"/>
    <mergeCell ref="K6816:L6817"/>
    <mergeCell ref="M6816:N6817"/>
    <mergeCell ref="O6816:P6817"/>
    <mergeCell ref="Q6816:R6817"/>
    <mergeCell ref="S6816:T6817"/>
    <mergeCell ref="U6816:V6817"/>
    <mergeCell ref="W6816:W6817"/>
    <mergeCell ref="X6816:AB6816"/>
    <mergeCell ref="AD6816:AI6816"/>
    <mergeCell ref="AJ6816:AL6816"/>
    <mergeCell ref="AN6816:AO6816"/>
    <mergeCell ref="AP6816:AQ6816"/>
    <mergeCell ref="AR6816:AS6817"/>
    <mergeCell ref="AT6816:AU6817"/>
    <mergeCell ref="AV6816:AW6817"/>
    <mergeCell ref="AX6816:AY6817"/>
    <mergeCell ref="AZ6816:AZ6817"/>
    <mergeCell ref="F6817:H6817"/>
    <mergeCell ref="X6817:AB6817"/>
    <mergeCell ref="AE6817:AI6817"/>
    <mergeCell ref="AJ6817:AL6817"/>
    <mergeCell ref="AN6817:AO6817"/>
    <mergeCell ref="AP6817:AQ6817"/>
    <mergeCell ref="A6818:A6819"/>
    <mergeCell ref="E6818:E6819"/>
    <mergeCell ref="F6818:H6818"/>
    <mergeCell ref="J6818:J6819"/>
    <mergeCell ref="K6818:L6819"/>
    <mergeCell ref="M6818:N6819"/>
    <mergeCell ref="O6818:P6819"/>
    <mergeCell ref="Q6818:R6819"/>
    <mergeCell ref="S6818:T6819"/>
    <mergeCell ref="U6818:V6819"/>
    <mergeCell ref="W6818:W6819"/>
    <mergeCell ref="X6818:AB6818"/>
    <mergeCell ref="AD6818:AI6818"/>
    <mergeCell ref="AJ6818:AL6818"/>
    <mergeCell ref="AN6818:AO6818"/>
    <mergeCell ref="AP6818:AQ6818"/>
    <mergeCell ref="AR6818:AS6819"/>
    <mergeCell ref="AT6818:AU6819"/>
    <mergeCell ref="AV6818:AW6819"/>
    <mergeCell ref="AX6818:AY6819"/>
    <mergeCell ref="AZ6818:AZ6819"/>
    <mergeCell ref="F6819:H6819"/>
    <mergeCell ref="X6819:AB6819"/>
    <mergeCell ref="AE6819:AI6819"/>
    <mergeCell ref="AJ6819:AL6819"/>
    <mergeCell ref="AN6819:AO6819"/>
    <mergeCell ref="AP6819:AQ6819"/>
    <mergeCell ref="A6820:A6821"/>
    <mergeCell ref="E6820:E6821"/>
    <mergeCell ref="F6820:H6820"/>
    <mergeCell ref="J6820:J6821"/>
    <mergeCell ref="K6820:L6821"/>
    <mergeCell ref="M6820:N6821"/>
    <mergeCell ref="O6820:P6821"/>
    <mergeCell ref="Q6820:R6821"/>
    <mergeCell ref="S6820:T6821"/>
    <mergeCell ref="U6820:V6821"/>
    <mergeCell ref="W6820:W6821"/>
    <mergeCell ref="X6820:AB6820"/>
    <mergeCell ref="AD6820:AI6820"/>
    <mergeCell ref="AJ6820:AL6820"/>
    <mergeCell ref="AN6820:AO6820"/>
    <mergeCell ref="AP6820:AQ6820"/>
    <mergeCell ref="AR6820:AS6821"/>
    <mergeCell ref="AT6820:AU6821"/>
    <mergeCell ref="AV6820:AW6821"/>
    <mergeCell ref="AX6820:AY6821"/>
    <mergeCell ref="AZ6820:AZ6821"/>
    <mergeCell ref="F6821:H6821"/>
    <mergeCell ref="X6821:AB6821"/>
    <mergeCell ref="AE6821:AI6821"/>
    <mergeCell ref="AJ6821:AL6821"/>
    <mergeCell ref="AN6821:AO6821"/>
    <mergeCell ref="AP6821:AQ6821"/>
    <mergeCell ref="A6822:A6823"/>
    <mergeCell ref="E6822:E6823"/>
    <mergeCell ref="F6822:H6822"/>
    <mergeCell ref="J6822:J6823"/>
    <mergeCell ref="K6822:L6823"/>
    <mergeCell ref="M6822:N6823"/>
    <mergeCell ref="O6822:P6823"/>
    <mergeCell ref="Q6822:R6823"/>
    <mergeCell ref="S6822:T6823"/>
    <mergeCell ref="U6822:V6823"/>
    <mergeCell ref="W6822:W6823"/>
    <mergeCell ref="X6822:AB6822"/>
    <mergeCell ref="AD6822:AI6822"/>
    <mergeCell ref="AJ6822:AL6822"/>
    <mergeCell ref="AN6822:AO6822"/>
    <mergeCell ref="AP6822:AQ6822"/>
    <mergeCell ref="AR6822:AS6823"/>
    <mergeCell ref="AT6822:AU6823"/>
    <mergeCell ref="AV6822:AW6823"/>
    <mergeCell ref="AX6822:AY6823"/>
    <mergeCell ref="AZ6822:AZ6823"/>
    <mergeCell ref="F6823:H6823"/>
    <mergeCell ref="X6823:AB6823"/>
    <mergeCell ref="AE6823:AI6823"/>
    <mergeCell ref="AJ6823:AL6823"/>
    <mergeCell ref="AN6823:AO6823"/>
    <mergeCell ref="AP6823:AQ6823"/>
    <mergeCell ref="A6824:A6825"/>
    <mergeCell ref="E6824:E6825"/>
    <mergeCell ref="F6824:H6824"/>
    <mergeCell ref="J6824:J6825"/>
    <mergeCell ref="K6824:L6825"/>
    <mergeCell ref="M6824:N6825"/>
    <mergeCell ref="O6824:P6825"/>
    <mergeCell ref="Q6824:R6825"/>
    <mergeCell ref="S6824:T6825"/>
    <mergeCell ref="U6824:V6825"/>
    <mergeCell ref="W6824:W6825"/>
    <mergeCell ref="X6824:AB6824"/>
    <mergeCell ref="AD6824:AI6824"/>
    <mergeCell ref="AJ6824:AL6824"/>
    <mergeCell ref="AN6824:AO6824"/>
    <mergeCell ref="AP6824:AQ6824"/>
    <mergeCell ref="AR6824:AS6825"/>
    <mergeCell ref="AT6824:AU6825"/>
    <mergeCell ref="AV6824:AW6825"/>
    <mergeCell ref="AX6824:AY6825"/>
    <mergeCell ref="AZ6824:AZ6825"/>
    <mergeCell ref="F6825:H6825"/>
    <mergeCell ref="X6825:AB6825"/>
    <mergeCell ref="AE6825:AI6825"/>
    <mergeCell ref="AJ6825:AL6825"/>
    <mergeCell ref="AN6825:AO6825"/>
    <mergeCell ref="AP6825:AQ6825"/>
    <mergeCell ref="A6826:A6827"/>
    <mergeCell ref="E6826:E6827"/>
    <mergeCell ref="F6826:H6826"/>
    <mergeCell ref="J6826:J6827"/>
    <mergeCell ref="K6826:L6827"/>
    <mergeCell ref="M6826:N6827"/>
    <mergeCell ref="O6826:P6827"/>
    <mergeCell ref="Q6826:R6827"/>
    <mergeCell ref="S6826:T6827"/>
    <mergeCell ref="U6826:V6827"/>
    <mergeCell ref="W6826:W6827"/>
    <mergeCell ref="X6826:AB6826"/>
    <mergeCell ref="AD6826:AI6826"/>
    <mergeCell ref="AJ6826:AL6826"/>
    <mergeCell ref="AN6826:AO6826"/>
    <mergeCell ref="AP6826:AQ6826"/>
    <mergeCell ref="AR6826:AS6827"/>
    <mergeCell ref="AT6826:AU6827"/>
    <mergeCell ref="AV6826:AW6827"/>
    <mergeCell ref="AX6826:AY6827"/>
    <mergeCell ref="AZ6826:AZ6827"/>
    <mergeCell ref="F6827:H6827"/>
    <mergeCell ref="X6827:AB6827"/>
    <mergeCell ref="AE6827:AI6827"/>
    <mergeCell ref="AJ6827:AL6827"/>
    <mergeCell ref="AN6827:AO6827"/>
    <mergeCell ref="AP6827:AQ6827"/>
    <mergeCell ref="A6828:A6829"/>
    <mergeCell ref="E6828:E6829"/>
    <mergeCell ref="F6828:H6828"/>
    <mergeCell ref="J6828:J6829"/>
    <mergeCell ref="K6828:L6829"/>
    <mergeCell ref="M6828:N6829"/>
    <mergeCell ref="O6828:P6829"/>
    <mergeCell ref="Q6828:R6829"/>
    <mergeCell ref="S6828:T6829"/>
    <mergeCell ref="U6828:V6829"/>
    <mergeCell ref="W6828:W6829"/>
    <mergeCell ref="X6828:AB6828"/>
    <mergeCell ref="AD6828:AI6828"/>
    <mergeCell ref="AJ6828:AL6828"/>
    <mergeCell ref="AN6828:AO6828"/>
    <mergeCell ref="AP6828:AQ6828"/>
    <mergeCell ref="AR6828:AS6829"/>
    <mergeCell ref="AT6828:AU6829"/>
    <mergeCell ref="AV6828:AW6829"/>
    <mergeCell ref="AX6828:AY6829"/>
    <mergeCell ref="AZ6828:AZ6829"/>
    <mergeCell ref="F6829:H6829"/>
    <mergeCell ref="X6829:AB6829"/>
    <mergeCell ref="AE6829:AI6829"/>
    <mergeCell ref="AJ6829:AL6829"/>
    <mergeCell ref="AN6829:AO6829"/>
    <mergeCell ref="AP6829:AQ6829"/>
    <mergeCell ref="A6830:A6831"/>
    <mergeCell ref="E6830:E6831"/>
    <mergeCell ref="F6830:H6830"/>
    <mergeCell ref="J6830:J6831"/>
    <mergeCell ref="K6830:L6831"/>
    <mergeCell ref="M6830:N6831"/>
    <mergeCell ref="O6830:P6831"/>
    <mergeCell ref="Q6830:R6831"/>
    <mergeCell ref="S6830:T6831"/>
    <mergeCell ref="U6830:V6831"/>
    <mergeCell ref="W6830:W6831"/>
    <mergeCell ref="X6830:AB6830"/>
    <mergeCell ref="AD6830:AI6830"/>
    <mergeCell ref="AJ6830:AL6830"/>
    <mergeCell ref="AN6830:AO6830"/>
    <mergeCell ref="AP6830:AQ6830"/>
    <mergeCell ref="AR6830:AS6831"/>
    <mergeCell ref="AT6830:AU6831"/>
    <mergeCell ref="AV6830:AW6831"/>
    <mergeCell ref="AX6830:AY6831"/>
    <mergeCell ref="AZ6830:AZ6831"/>
    <mergeCell ref="F6831:H6831"/>
    <mergeCell ref="X6831:AB6831"/>
    <mergeCell ref="AE6831:AI6831"/>
    <mergeCell ref="AJ6831:AL6831"/>
    <mergeCell ref="AN6831:AO6831"/>
    <mergeCell ref="AP6831:AQ6831"/>
    <mergeCell ref="A6832:A6833"/>
    <mergeCell ref="E6832:E6833"/>
    <mergeCell ref="F6832:H6832"/>
    <mergeCell ref="J6832:J6833"/>
    <mergeCell ref="K6832:L6833"/>
    <mergeCell ref="M6832:N6833"/>
    <mergeCell ref="O6832:P6833"/>
    <mergeCell ref="Q6832:R6833"/>
    <mergeCell ref="S6832:T6833"/>
    <mergeCell ref="U6832:V6833"/>
    <mergeCell ref="W6832:W6833"/>
    <mergeCell ref="X6832:AB6832"/>
    <mergeCell ref="AD6832:AI6832"/>
    <mergeCell ref="AJ6832:AL6832"/>
    <mergeCell ref="AN6832:AO6832"/>
    <mergeCell ref="AP6832:AQ6832"/>
    <mergeCell ref="AR6832:AS6833"/>
    <mergeCell ref="AT6832:AU6833"/>
    <mergeCell ref="AV6832:AW6833"/>
    <mergeCell ref="AX6832:AY6833"/>
    <mergeCell ref="AZ6832:AZ6833"/>
    <mergeCell ref="F6833:H6833"/>
    <mergeCell ref="X6833:AB6833"/>
    <mergeCell ref="AE6833:AI6833"/>
    <mergeCell ref="AJ6833:AL6833"/>
    <mergeCell ref="AN6833:AO6833"/>
    <mergeCell ref="AP6833:AQ6833"/>
    <mergeCell ref="A6834:A6835"/>
    <mergeCell ref="E6834:E6835"/>
    <mergeCell ref="F6834:H6834"/>
    <mergeCell ref="J6834:J6835"/>
    <mergeCell ref="K6834:L6835"/>
    <mergeCell ref="M6834:N6835"/>
    <mergeCell ref="O6834:P6835"/>
    <mergeCell ref="Q6834:R6835"/>
    <mergeCell ref="S6834:T6835"/>
    <mergeCell ref="U6834:V6835"/>
    <mergeCell ref="W6834:W6835"/>
    <mergeCell ref="X6834:AB6834"/>
    <mergeCell ref="AD6834:AI6834"/>
    <mergeCell ref="AJ6834:AL6834"/>
    <mergeCell ref="AN6834:AO6834"/>
    <mergeCell ref="AP6834:AQ6834"/>
    <mergeCell ref="AR6834:AS6835"/>
    <mergeCell ref="AT6834:AU6835"/>
    <mergeCell ref="AV6834:AW6835"/>
    <mergeCell ref="AX6834:AY6835"/>
    <mergeCell ref="AZ6834:AZ6835"/>
    <mergeCell ref="F6835:H6835"/>
    <mergeCell ref="X6835:AB6835"/>
    <mergeCell ref="AE6835:AI6835"/>
    <mergeCell ref="AJ6835:AL6835"/>
    <mergeCell ref="AN6835:AO6835"/>
    <mergeCell ref="AP6835:AQ6835"/>
    <mergeCell ref="A6836:A6837"/>
    <mergeCell ref="E6836:E6837"/>
    <mergeCell ref="F6836:H6836"/>
    <mergeCell ref="J6836:J6837"/>
    <mergeCell ref="K6836:L6837"/>
    <mergeCell ref="M6836:N6837"/>
    <mergeCell ref="O6836:P6837"/>
    <mergeCell ref="Q6836:R6837"/>
    <mergeCell ref="S6836:T6837"/>
    <mergeCell ref="U6836:V6837"/>
    <mergeCell ref="W6836:W6837"/>
    <mergeCell ref="X6836:AB6836"/>
    <mergeCell ref="AD6836:AI6836"/>
    <mergeCell ref="AJ6836:AL6836"/>
    <mergeCell ref="AN6836:AO6836"/>
    <mergeCell ref="AP6836:AQ6836"/>
    <mergeCell ref="AR6836:AS6837"/>
    <mergeCell ref="AT6836:AU6837"/>
    <mergeCell ref="AV6836:AW6837"/>
    <mergeCell ref="AX6836:AY6837"/>
    <mergeCell ref="AZ6836:AZ6837"/>
    <mergeCell ref="F6837:H6837"/>
    <mergeCell ref="X6837:AB6837"/>
    <mergeCell ref="AE6837:AI6837"/>
    <mergeCell ref="AJ6837:AL6837"/>
    <mergeCell ref="AN6837:AO6837"/>
    <mergeCell ref="AP6837:AQ6837"/>
    <mergeCell ref="A6838:A6839"/>
    <mergeCell ref="E6838:E6839"/>
    <mergeCell ref="F6838:H6838"/>
    <mergeCell ref="J6838:J6839"/>
    <mergeCell ref="K6838:L6839"/>
    <mergeCell ref="M6838:N6839"/>
    <mergeCell ref="O6838:P6839"/>
    <mergeCell ref="Q6838:R6839"/>
    <mergeCell ref="S6838:T6839"/>
    <mergeCell ref="U6838:V6839"/>
    <mergeCell ref="W6838:W6839"/>
    <mergeCell ref="X6838:AB6838"/>
    <mergeCell ref="AD6838:AI6838"/>
    <mergeCell ref="AJ6838:AL6838"/>
    <mergeCell ref="AN6838:AO6838"/>
    <mergeCell ref="AP6838:AQ6838"/>
    <mergeCell ref="AR6838:AS6839"/>
    <mergeCell ref="AT6838:AU6839"/>
    <mergeCell ref="AV6838:AW6839"/>
    <mergeCell ref="AX6838:AY6839"/>
    <mergeCell ref="AZ6838:AZ6839"/>
    <mergeCell ref="F6839:H6839"/>
    <mergeCell ref="X6839:AB6839"/>
    <mergeCell ref="AE6839:AI6839"/>
    <mergeCell ref="AJ6839:AL6839"/>
    <mergeCell ref="AN6839:AO6839"/>
    <mergeCell ref="AP6839:AQ6839"/>
    <mergeCell ref="A6840:A6841"/>
    <mergeCell ref="E6840:E6841"/>
    <mergeCell ref="F6840:H6840"/>
    <mergeCell ref="J6840:J6841"/>
    <mergeCell ref="K6840:L6841"/>
    <mergeCell ref="M6840:N6841"/>
    <mergeCell ref="O6840:P6841"/>
    <mergeCell ref="Q6840:R6841"/>
    <mergeCell ref="S6840:T6841"/>
    <mergeCell ref="U6840:V6841"/>
    <mergeCell ref="W6840:W6841"/>
    <mergeCell ref="X6840:AB6840"/>
    <mergeCell ref="AD6840:AI6840"/>
    <mergeCell ref="AJ6840:AL6840"/>
    <mergeCell ref="AN6840:AO6840"/>
    <mergeCell ref="AP6840:AQ6840"/>
    <mergeCell ref="AR6840:AS6841"/>
    <mergeCell ref="AT6840:AU6841"/>
    <mergeCell ref="AV6840:AW6841"/>
    <mergeCell ref="AX6840:AY6841"/>
    <mergeCell ref="AZ6840:AZ6841"/>
    <mergeCell ref="F6841:H6841"/>
    <mergeCell ref="X6841:AB6841"/>
    <mergeCell ref="AE6841:AI6841"/>
    <mergeCell ref="AJ6841:AL6841"/>
    <mergeCell ref="AN6841:AO6841"/>
    <mergeCell ref="AP6841:AQ6841"/>
    <mergeCell ref="A6842:A6843"/>
    <mergeCell ref="E6842:E6843"/>
    <mergeCell ref="F6842:H6842"/>
    <mergeCell ref="J6842:J6843"/>
    <mergeCell ref="K6842:L6843"/>
    <mergeCell ref="M6842:N6843"/>
    <mergeCell ref="O6842:P6843"/>
    <mergeCell ref="Q6842:R6843"/>
    <mergeCell ref="S6842:T6843"/>
    <mergeCell ref="U6842:V6843"/>
    <mergeCell ref="W6842:W6843"/>
    <mergeCell ref="X6842:AB6842"/>
    <mergeCell ref="AD6842:AI6842"/>
    <mergeCell ref="AJ6842:AL6842"/>
    <mergeCell ref="AN6842:AO6842"/>
    <mergeCell ref="AP6842:AQ6842"/>
    <mergeCell ref="AR6842:AS6843"/>
    <mergeCell ref="AT6842:AU6843"/>
    <mergeCell ref="AV6842:AW6843"/>
    <mergeCell ref="AX6842:AY6843"/>
    <mergeCell ref="AZ6842:AZ6843"/>
    <mergeCell ref="F6843:H6843"/>
    <mergeCell ref="X6843:AB6843"/>
    <mergeCell ref="AE6843:AI6843"/>
    <mergeCell ref="AJ6843:AL6843"/>
    <mergeCell ref="AN6843:AO6843"/>
    <mergeCell ref="AP6843:AQ6843"/>
    <mergeCell ref="A6844:A6845"/>
    <mergeCell ref="E6844:E6845"/>
    <mergeCell ref="F6844:H6844"/>
    <mergeCell ref="J6844:J6845"/>
    <mergeCell ref="K6844:L6845"/>
    <mergeCell ref="M6844:N6845"/>
    <mergeCell ref="O6844:P6845"/>
    <mergeCell ref="Q6844:R6845"/>
    <mergeCell ref="S6844:T6845"/>
    <mergeCell ref="U6844:V6845"/>
    <mergeCell ref="W6844:W6845"/>
    <mergeCell ref="X6844:AB6844"/>
    <mergeCell ref="AD6844:AI6844"/>
    <mergeCell ref="AJ6844:AL6844"/>
    <mergeCell ref="AN6844:AO6844"/>
    <mergeCell ref="AP6844:AQ6844"/>
    <mergeCell ref="AR6844:AS6845"/>
    <mergeCell ref="AT6844:AU6845"/>
    <mergeCell ref="AV6844:AW6845"/>
    <mergeCell ref="AX6844:AY6845"/>
    <mergeCell ref="AZ6844:AZ6845"/>
    <mergeCell ref="F6845:H6845"/>
    <mergeCell ref="X6845:AB6845"/>
    <mergeCell ref="AE6845:AI6845"/>
    <mergeCell ref="AJ6845:AL6845"/>
    <mergeCell ref="AN6845:AO6845"/>
    <mergeCell ref="AP6845:AQ6845"/>
    <mergeCell ref="A6846:A6847"/>
    <mergeCell ref="E6846:E6847"/>
    <mergeCell ref="F6846:H6846"/>
    <mergeCell ref="J6846:J6847"/>
    <mergeCell ref="K6846:L6847"/>
    <mergeCell ref="M6846:N6847"/>
    <mergeCell ref="O6846:P6847"/>
    <mergeCell ref="Q6846:R6847"/>
    <mergeCell ref="S6846:T6847"/>
    <mergeCell ref="U6846:V6847"/>
    <mergeCell ref="W6846:W6847"/>
    <mergeCell ref="X6846:AB6846"/>
    <mergeCell ref="AD6846:AI6846"/>
    <mergeCell ref="AJ6846:AL6846"/>
    <mergeCell ref="AN6846:AO6846"/>
    <mergeCell ref="AP6846:AQ6846"/>
    <mergeCell ref="AR6846:AS6847"/>
    <mergeCell ref="AT6846:AU6847"/>
    <mergeCell ref="AV6846:AW6847"/>
    <mergeCell ref="AX6846:AY6847"/>
    <mergeCell ref="AZ6846:AZ6847"/>
    <mergeCell ref="F6847:H6847"/>
    <mergeCell ref="X6847:AB6847"/>
    <mergeCell ref="AE6847:AI6847"/>
    <mergeCell ref="AJ6847:AL6847"/>
    <mergeCell ref="AN6847:AO6847"/>
    <mergeCell ref="AP6847:AQ6847"/>
    <mergeCell ref="A6848:A6849"/>
    <mergeCell ref="E6848:E6849"/>
    <mergeCell ref="F6848:H6848"/>
    <mergeCell ref="J6848:J6849"/>
    <mergeCell ref="K6848:L6849"/>
    <mergeCell ref="M6848:N6849"/>
    <mergeCell ref="O6848:P6849"/>
    <mergeCell ref="Q6848:R6849"/>
    <mergeCell ref="S6848:T6849"/>
    <mergeCell ref="U6848:V6849"/>
    <mergeCell ref="W6848:W6849"/>
    <mergeCell ref="X6848:AB6848"/>
    <mergeCell ref="AD6848:AI6848"/>
    <mergeCell ref="AJ6848:AL6848"/>
    <mergeCell ref="AN6848:AO6848"/>
    <mergeCell ref="AP6848:AQ6848"/>
    <mergeCell ref="AR6848:AS6849"/>
    <mergeCell ref="AT6848:AU6849"/>
    <mergeCell ref="AV6848:AW6849"/>
    <mergeCell ref="AX6848:AY6849"/>
    <mergeCell ref="AZ6848:AZ6849"/>
    <mergeCell ref="F6849:H6849"/>
    <mergeCell ref="X6849:AB6849"/>
    <mergeCell ref="AE6849:AI6849"/>
    <mergeCell ref="AJ6849:AL6849"/>
    <mergeCell ref="AN6849:AO6849"/>
    <mergeCell ref="AP6849:AQ6849"/>
    <mergeCell ref="A6850:A6851"/>
    <mergeCell ref="E6850:E6851"/>
    <mergeCell ref="F6850:H6850"/>
    <mergeCell ref="J6850:J6851"/>
    <mergeCell ref="K6850:L6851"/>
    <mergeCell ref="M6850:N6851"/>
    <mergeCell ref="O6850:P6851"/>
    <mergeCell ref="Q6850:R6851"/>
    <mergeCell ref="S6850:T6851"/>
    <mergeCell ref="U6850:V6851"/>
    <mergeCell ref="W6850:W6851"/>
    <mergeCell ref="X6850:AB6850"/>
    <mergeCell ref="AD6850:AI6850"/>
    <mergeCell ref="AJ6850:AL6850"/>
    <mergeCell ref="AN6850:AO6850"/>
    <mergeCell ref="AP6850:AQ6850"/>
    <mergeCell ref="AR6850:AS6851"/>
    <mergeCell ref="AT6850:AU6851"/>
    <mergeCell ref="AV6850:AW6851"/>
    <mergeCell ref="AX6850:AY6851"/>
    <mergeCell ref="AZ6850:AZ6851"/>
    <mergeCell ref="F6851:H6851"/>
    <mergeCell ref="X6851:AB6851"/>
    <mergeCell ref="AE6851:AI6851"/>
    <mergeCell ref="AJ6851:AL6851"/>
    <mergeCell ref="AN6851:AO6851"/>
    <mergeCell ref="AP6851:AQ6851"/>
    <mergeCell ref="A6852:A6853"/>
    <mergeCell ref="E6852:E6853"/>
    <mergeCell ref="F6852:H6852"/>
    <mergeCell ref="J6852:J6853"/>
    <mergeCell ref="K6852:L6853"/>
    <mergeCell ref="M6852:N6853"/>
    <mergeCell ref="O6852:P6853"/>
    <mergeCell ref="Q6852:R6853"/>
    <mergeCell ref="S6852:T6853"/>
    <mergeCell ref="U6852:V6853"/>
    <mergeCell ref="W6852:W6853"/>
    <mergeCell ref="X6852:AB6852"/>
    <mergeCell ref="AD6852:AI6852"/>
    <mergeCell ref="AJ6852:AL6852"/>
    <mergeCell ref="AN6852:AO6852"/>
    <mergeCell ref="AP6852:AQ6852"/>
    <mergeCell ref="AR6852:AS6853"/>
    <mergeCell ref="AT6852:AU6853"/>
    <mergeCell ref="AV6852:AW6853"/>
    <mergeCell ref="AX6852:AY6853"/>
    <mergeCell ref="AZ6852:AZ6853"/>
    <mergeCell ref="F6853:H6853"/>
    <mergeCell ref="X6853:AB6853"/>
    <mergeCell ref="AE6853:AI6853"/>
    <mergeCell ref="AJ6853:AL6853"/>
    <mergeCell ref="AN6853:AO6853"/>
    <mergeCell ref="AP6853:AQ6853"/>
    <mergeCell ref="A6854:A6855"/>
    <mergeCell ref="E6854:E6855"/>
    <mergeCell ref="F6854:H6854"/>
    <mergeCell ref="J6854:J6855"/>
    <mergeCell ref="K6854:L6855"/>
    <mergeCell ref="M6854:N6855"/>
    <mergeCell ref="O6854:P6855"/>
    <mergeCell ref="Q6854:R6855"/>
    <mergeCell ref="S6854:T6855"/>
    <mergeCell ref="U6854:V6855"/>
    <mergeCell ref="W6854:W6855"/>
    <mergeCell ref="X6854:AB6854"/>
    <mergeCell ref="AD6854:AI6854"/>
    <mergeCell ref="AJ6854:AL6854"/>
    <mergeCell ref="AN6854:AO6854"/>
    <mergeCell ref="AP6854:AQ6854"/>
    <mergeCell ref="AR6854:AS6855"/>
    <mergeCell ref="AT6854:AU6855"/>
    <mergeCell ref="AV6854:AW6855"/>
    <mergeCell ref="AX6854:AY6855"/>
    <mergeCell ref="AZ6854:AZ6855"/>
    <mergeCell ref="F6855:H6855"/>
    <mergeCell ref="X6855:AB6855"/>
    <mergeCell ref="AE6855:AI6855"/>
    <mergeCell ref="AJ6855:AL6855"/>
    <mergeCell ref="AN6855:AO6855"/>
    <mergeCell ref="AP6855:AQ6855"/>
    <mergeCell ref="A6856:A6857"/>
    <mergeCell ref="E6856:E6857"/>
    <mergeCell ref="F6856:H6856"/>
    <mergeCell ref="J6856:J6857"/>
    <mergeCell ref="K6856:L6857"/>
    <mergeCell ref="M6856:N6857"/>
    <mergeCell ref="O6856:P6857"/>
    <mergeCell ref="Q6856:R6857"/>
    <mergeCell ref="S6856:T6857"/>
    <mergeCell ref="U6856:V6857"/>
    <mergeCell ref="W6856:W6857"/>
    <mergeCell ref="X6856:AB6856"/>
    <mergeCell ref="AD6856:AI6856"/>
    <mergeCell ref="AJ6856:AL6856"/>
    <mergeCell ref="AN6856:AO6856"/>
    <mergeCell ref="AP6856:AQ6856"/>
    <mergeCell ref="AR6856:AS6857"/>
    <mergeCell ref="AT6856:AU6857"/>
    <mergeCell ref="AV6856:AW6857"/>
    <mergeCell ref="AX6856:AY6857"/>
    <mergeCell ref="AZ6856:AZ6857"/>
    <mergeCell ref="F6857:H6857"/>
    <mergeCell ref="X6857:AB6857"/>
    <mergeCell ref="AE6857:AI6857"/>
    <mergeCell ref="AJ6857:AL6857"/>
    <mergeCell ref="AN6857:AO6857"/>
    <mergeCell ref="AP6857:AQ6857"/>
    <mergeCell ref="A6858:A6859"/>
    <mergeCell ref="E6858:E6859"/>
    <mergeCell ref="F6858:H6858"/>
    <mergeCell ref="J6858:J6859"/>
    <mergeCell ref="K6858:L6859"/>
    <mergeCell ref="M6858:N6859"/>
    <mergeCell ref="O6858:P6859"/>
    <mergeCell ref="Q6858:R6859"/>
    <mergeCell ref="S6858:T6859"/>
    <mergeCell ref="U6858:V6859"/>
    <mergeCell ref="W6858:W6859"/>
    <mergeCell ref="X6858:AB6858"/>
    <mergeCell ref="AD6858:AI6858"/>
    <mergeCell ref="AJ6858:AL6858"/>
    <mergeCell ref="AN6858:AO6858"/>
    <mergeCell ref="AP6858:AQ6858"/>
    <mergeCell ref="AR6858:AS6859"/>
    <mergeCell ref="AT6858:AU6859"/>
    <mergeCell ref="AV6858:AW6859"/>
    <mergeCell ref="AX6858:AY6859"/>
    <mergeCell ref="AZ6858:AZ6859"/>
    <mergeCell ref="F6859:H6859"/>
    <mergeCell ref="X6859:AB6859"/>
    <mergeCell ref="AE6859:AI6859"/>
    <mergeCell ref="AJ6859:AL6859"/>
    <mergeCell ref="AN6859:AO6859"/>
    <mergeCell ref="AP6859:AQ6859"/>
    <mergeCell ref="A6860:A6861"/>
    <mergeCell ref="E6860:E6861"/>
    <mergeCell ref="F6860:H6860"/>
    <mergeCell ref="J6860:J6861"/>
    <mergeCell ref="K6860:L6861"/>
    <mergeCell ref="M6860:N6861"/>
    <mergeCell ref="O6860:P6861"/>
    <mergeCell ref="Q6860:R6861"/>
    <mergeCell ref="S6860:T6861"/>
    <mergeCell ref="U6860:V6861"/>
    <mergeCell ref="W6860:W6861"/>
    <mergeCell ref="X6860:AB6860"/>
    <mergeCell ref="AD6860:AI6860"/>
    <mergeCell ref="AJ6860:AL6860"/>
    <mergeCell ref="AN6860:AO6860"/>
    <mergeCell ref="AP6860:AQ6860"/>
    <mergeCell ref="AR6860:AS6861"/>
    <mergeCell ref="AT6860:AU6861"/>
    <mergeCell ref="AV6860:AW6861"/>
    <mergeCell ref="AX6860:AY6861"/>
    <mergeCell ref="AZ6860:AZ6861"/>
    <mergeCell ref="F6861:H6861"/>
    <mergeCell ref="X6861:AB6861"/>
    <mergeCell ref="AE6861:AI6861"/>
    <mergeCell ref="AJ6861:AL6861"/>
    <mergeCell ref="AN6861:AO6861"/>
    <mergeCell ref="AP6861:AQ6861"/>
    <mergeCell ref="A6862:A6863"/>
    <mergeCell ref="E6862:E6863"/>
    <mergeCell ref="F6862:H6862"/>
    <mergeCell ref="J6862:J6863"/>
    <mergeCell ref="K6862:L6863"/>
    <mergeCell ref="M6862:N6863"/>
    <mergeCell ref="O6862:P6863"/>
    <mergeCell ref="Q6862:R6863"/>
    <mergeCell ref="S6862:T6863"/>
    <mergeCell ref="U6862:V6863"/>
    <mergeCell ref="W6862:W6863"/>
    <mergeCell ref="X6862:AB6862"/>
    <mergeCell ref="AD6862:AI6862"/>
    <mergeCell ref="AJ6862:AL6862"/>
    <mergeCell ref="AN6862:AO6862"/>
    <mergeCell ref="AP6862:AQ6862"/>
    <mergeCell ref="AR6862:AS6863"/>
    <mergeCell ref="AT6862:AU6863"/>
    <mergeCell ref="AV6862:AW6863"/>
    <mergeCell ref="AX6862:AY6863"/>
    <mergeCell ref="AZ6862:AZ6863"/>
    <mergeCell ref="F6863:H6863"/>
    <mergeCell ref="X6863:AB6863"/>
    <mergeCell ref="AE6863:AI6863"/>
    <mergeCell ref="AJ6863:AL6863"/>
    <mergeCell ref="AN6863:AO6863"/>
    <mergeCell ref="AP6863:AQ6863"/>
    <mergeCell ref="A6864:A6865"/>
    <mergeCell ref="E6864:E6865"/>
    <mergeCell ref="F6864:H6864"/>
    <mergeCell ref="J6864:J6865"/>
    <mergeCell ref="K6864:L6865"/>
    <mergeCell ref="M6864:N6865"/>
    <mergeCell ref="O6864:P6865"/>
    <mergeCell ref="Q6864:R6865"/>
    <mergeCell ref="S6864:T6865"/>
    <mergeCell ref="U6864:V6865"/>
    <mergeCell ref="W6864:W6865"/>
    <mergeCell ref="X6864:AB6864"/>
    <mergeCell ref="AD6864:AI6864"/>
    <mergeCell ref="AJ6864:AL6864"/>
    <mergeCell ref="AN6864:AO6864"/>
    <mergeCell ref="AP6864:AQ6864"/>
    <mergeCell ref="AR6864:AS6865"/>
    <mergeCell ref="AT6864:AU6865"/>
    <mergeCell ref="AV6864:AW6865"/>
    <mergeCell ref="AX6864:AY6865"/>
    <mergeCell ref="AZ6864:AZ6865"/>
    <mergeCell ref="F6865:H6865"/>
    <mergeCell ref="X6865:AB6865"/>
    <mergeCell ref="AE6865:AI6865"/>
    <mergeCell ref="AJ6865:AL6865"/>
    <mergeCell ref="AN6865:AO6865"/>
    <mergeCell ref="AP6865:AQ6865"/>
    <mergeCell ref="AZ6872:AZ6873"/>
    <mergeCell ref="F6873:H6873"/>
    <mergeCell ref="X6873:AB6873"/>
    <mergeCell ref="AE6873:AI6873"/>
    <mergeCell ref="AJ6873:AL6873"/>
    <mergeCell ref="AN6873:AO6873"/>
    <mergeCell ref="AP6873:AQ6873"/>
    <mergeCell ref="A6866:A6867"/>
    <mergeCell ref="E6866:E6867"/>
    <mergeCell ref="F6866:H6866"/>
    <mergeCell ref="J6866:J6867"/>
    <mergeCell ref="K6866:L6867"/>
    <mergeCell ref="M6866:N6867"/>
    <mergeCell ref="O6866:P6867"/>
    <mergeCell ref="Q6866:R6867"/>
    <mergeCell ref="S6866:T6867"/>
    <mergeCell ref="U6866:V6867"/>
    <mergeCell ref="W6866:W6867"/>
    <mergeCell ref="X6866:AB6866"/>
    <mergeCell ref="AD6866:AI6866"/>
    <mergeCell ref="AJ6866:AL6866"/>
    <mergeCell ref="AN6866:AO6866"/>
    <mergeCell ref="AP6866:AQ6866"/>
    <mergeCell ref="AR6866:AS6867"/>
    <mergeCell ref="AT6866:AU6867"/>
    <mergeCell ref="AV6866:AW6867"/>
    <mergeCell ref="AX6866:AY6867"/>
    <mergeCell ref="AZ6866:AZ6867"/>
    <mergeCell ref="F6867:H6867"/>
    <mergeCell ref="X6867:AB6867"/>
    <mergeCell ref="AE6867:AI6867"/>
    <mergeCell ref="AJ6867:AL6867"/>
    <mergeCell ref="AN6867:AO6867"/>
    <mergeCell ref="AP6867:AQ6867"/>
    <mergeCell ref="A6868:A6869"/>
    <mergeCell ref="E6868:E6869"/>
    <mergeCell ref="F6868:H6868"/>
    <mergeCell ref="J6868:J6869"/>
    <mergeCell ref="K6868:L6869"/>
    <mergeCell ref="M6868:N6869"/>
    <mergeCell ref="O6868:P6869"/>
    <mergeCell ref="Q6868:R6869"/>
    <mergeCell ref="S6868:T6869"/>
    <mergeCell ref="U6868:V6869"/>
    <mergeCell ref="W6868:W6869"/>
    <mergeCell ref="X6868:AB6868"/>
    <mergeCell ref="AD6868:AI6868"/>
    <mergeCell ref="AJ6868:AL6868"/>
    <mergeCell ref="AN6868:AO6868"/>
    <mergeCell ref="AP6868:AQ6868"/>
    <mergeCell ref="AR6868:AS6869"/>
    <mergeCell ref="AT6868:AU6869"/>
    <mergeCell ref="AV6868:AW6869"/>
    <mergeCell ref="AX6868:AY6869"/>
    <mergeCell ref="AZ6868:AZ6869"/>
    <mergeCell ref="F6869:H6869"/>
    <mergeCell ref="X6869:AB6869"/>
    <mergeCell ref="AE6869:AI6869"/>
    <mergeCell ref="AJ6869:AL6869"/>
    <mergeCell ref="AN6869:AO6869"/>
    <mergeCell ref="AP6869:AQ6869"/>
    <mergeCell ref="W6876:W6877"/>
    <mergeCell ref="X6876:AB6876"/>
    <mergeCell ref="AD6876:AI6876"/>
    <mergeCell ref="AJ6876:AL6876"/>
    <mergeCell ref="AN6876:AO6876"/>
    <mergeCell ref="AP6876:AQ6876"/>
    <mergeCell ref="AR6876:AS6877"/>
    <mergeCell ref="AT6876:AU6877"/>
    <mergeCell ref="AV6876:AW6877"/>
    <mergeCell ref="AX6876:AY6877"/>
    <mergeCell ref="AZ6876:AZ6877"/>
    <mergeCell ref="F6877:H6877"/>
    <mergeCell ref="X6877:AB6877"/>
    <mergeCell ref="AE6877:AI6877"/>
    <mergeCell ref="AJ6877:AL6877"/>
    <mergeCell ref="AN6877:AO6877"/>
    <mergeCell ref="AP6877:AQ6877"/>
    <mergeCell ref="A6870:A6871"/>
    <mergeCell ref="E6870:E6871"/>
    <mergeCell ref="F6870:H6870"/>
    <mergeCell ref="J6870:J6871"/>
    <mergeCell ref="K6870:L6871"/>
    <mergeCell ref="M6870:N6871"/>
    <mergeCell ref="O6870:P6871"/>
    <mergeCell ref="Q6870:R6871"/>
    <mergeCell ref="S6870:T6871"/>
    <mergeCell ref="U6870:V6871"/>
    <mergeCell ref="W6870:W6871"/>
    <mergeCell ref="X6870:AB6870"/>
    <mergeCell ref="AD6870:AI6870"/>
    <mergeCell ref="AJ6870:AL6870"/>
    <mergeCell ref="AN6870:AO6870"/>
    <mergeCell ref="AP6870:AQ6870"/>
    <mergeCell ref="AR6870:AS6871"/>
    <mergeCell ref="AT6870:AU6871"/>
    <mergeCell ref="AV6870:AW6871"/>
    <mergeCell ref="AX6870:AY6871"/>
    <mergeCell ref="AZ6870:AZ6871"/>
    <mergeCell ref="F6871:H6871"/>
    <mergeCell ref="X6871:AB6871"/>
    <mergeCell ref="AE6871:AI6871"/>
    <mergeCell ref="AJ6871:AL6871"/>
    <mergeCell ref="AN6871:AO6871"/>
    <mergeCell ref="AP6871:AQ6871"/>
    <mergeCell ref="A6872:A6873"/>
    <mergeCell ref="E6872:E6873"/>
    <mergeCell ref="F6872:H6872"/>
    <mergeCell ref="J6872:J6873"/>
    <mergeCell ref="K6872:L6873"/>
    <mergeCell ref="M6872:N6873"/>
    <mergeCell ref="O6872:P6873"/>
    <mergeCell ref="Q6872:R6873"/>
    <mergeCell ref="S6872:T6873"/>
    <mergeCell ref="U6872:V6873"/>
    <mergeCell ref="W6872:W6873"/>
    <mergeCell ref="X6872:AB6872"/>
    <mergeCell ref="AD6872:AI6872"/>
    <mergeCell ref="AJ6872:AL6872"/>
    <mergeCell ref="AN6872:AO6872"/>
    <mergeCell ref="AP6872:AQ6872"/>
    <mergeCell ref="AR6872:AS6873"/>
    <mergeCell ref="AT6872:AU6873"/>
    <mergeCell ref="AV6872:AW6873"/>
    <mergeCell ref="AX6872:AY6873"/>
    <mergeCell ref="A6692:A6693"/>
    <mergeCell ref="E6692:E6693"/>
    <mergeCell ref="F6692:H6692"/>
    <mergeCell ref="J6692:J6693"/>
    <mergeCell ref="K6692:L6693"/>
    <mergeCell ref="M6692:N6693"/>
    <mergeCell ref="O6692:P6693"/>
    <mergeCell ref="Q6692:R6693"/>
    <mergeCell ref="S6692:T6693"/>
    <mergeCell ref="U6692:V6693"/>
    <mergeCell ref="J6688:J6689"/>
    <mergeCell ref="K6688:L6689"/>
    <mergeCell ref="M6688:N6689"/>
    <mergeCell ref="O6688:P6689"/>
    <mergeCell ref="Q6688:R6689"/>
    <mergeCell ref="S6688:T6689"/>
    <mergeCell ref="U6688:V6689"/>
    <mergeCell ref="W6688:W6689"/>
    <mergeCell ref="X6688:AB6688"/>
    <mergeCell ref="AD6688:AI6688"/>
    <mergeCell ref="AJ6688:AL6688"/>
    <mergeCell ref="AN6688:AO6688"/>
    <mergeCell ref="AP6688:AQ6688"/>
    <mergeCell ref="AR6688:AS6689"/>
    <mergeCell ref="AT6688:AU6689"/>
    <mergeCell ref="AV6688:AW6689"/>
    <mergeCell ref="AX6688:AY6689"/>
    <mergeCell ref="AZ6688:AZ6689"/>
    <mergeCell ref="F6689:H6689"/>
    <mergeCell ref="X6689:AB6689"/>
    <mergeCell ref="AE6689:AI6689"/>
    <mergeCell ref="AJ6689:AL6689"/>
    <mergeCell ref="AN6689:AO6689"/>
    <mergeCell ref="AP6689:AQ6689"/>
    <mergeCell ref="A6690:A6691"/>
    <mergeCell ref="E6690:E6691"/>
    <mergeCell ref="F6690:H6690"/>
    <mergeCell ref="W6692:W6693"/>
    <mergeCell ref="X6692:AB6692"/>
    <mergeCell ref="AD6692:AI6692"/>
    <mergeCell ref="AJ6692:AL6692"/>
    <mergeCell ref="AN6692:AO6692"/>
    <mergeCell ref="AP6692:AQ6692"/>
    <mergeCell ref="AR6692:AS6693"/>
    <mergeCell ref="AT6692:AU6693"/>
    <mergeCell ref="AV6692:AW6693"/>
    <mergeCell ref="AX6692:AY6693"/>
    <mergeCell ref="AZ6692:AZ6693"/>
    <mergeCell ref="F6693:H6693"/>
    <mergeCell ref="X6693:AB6693"/>
    <mergeCell ref="AE6693:AI6693"/>
    <mergeCell ref="AJ6693:AL6693"/>
    <mergeCell ref="AN6693:AO6693"/>
    <mergeCell ref="AP6693:AQ6693"/>
    <mergeCell ref="A6878:A6879"/>
    <mergeCell ref="E6878:E6879"/>
    <mergeCell ref="F6878:H6878"/>
    <mergeCell ref="J6878:J6879"/>
    <mergeCell ref="K6878:L6879"/>
    <mergeCell ref="M6878:N6879"/>
    <mergeCell ref="O6878:P6879"/>
    <mergeCell ref="Q6878:R6879"/>
    <mergeCell ref="S6878:T6879"/>
    <mergeCell ref="U6878:V6879"/>
    <mergeCell ref="W6878:W6879"/>
    <mergeCell ref="X6878:AB6878"/>
    <mergeCell ref="AD6878:AI6878"/>
    <mergeCell ref="AJ6878:AL6878"/>
    <mergeCell ref="AN6878:AO6878"/>
    <mergeCell ref="AP6878:AQ6878"/>
    <mergeCell ref="AR6878:AS6879"/>
    <mergeCell ref="AT6878:AU6879"/>
    <mergeCell ref="AV6878:AW6879"/>
    <mergeCell ref="AX6878:AY6879"/>
    <mergeCell ref="AZ6878:AZ6879"/>
    <mergeCell ref="F6879:H6879"/>
    <mergeCell ref="X6879:AB6879"/>
    <mergeCell ref="AE6879:AI6879"/>
    <mergeCell ref="AJ6879:AL6879"/>
    <mergeCell ref="AN6879:AO6879"/>
    <mergeCell ref="AP6879:AQ6879"/>
    <mergeCell ref="A6874:A6875"/>
    <mergeCell ref="E6874:E6875"/>
    <mergeCell ref="F6874:H6874"/>
    <mergeCell ref="J6874:J6875"/>
    <mergeCell ref="K6874:L6875"/>
    <mergeCell ref="M6874:N6875"/>
    <mergeCell ref="O6874:P6875"/>
    <mergeCell ref="Q6874:R6875"/>
    <mergeCell ref="S6874:T6875"/>
    <mergeCell ref="U6874:V6875"/>
    <mergeCell ref="W6874:W6875"/>
    <mergeCell ref="X6874:AB6874"/>
    <mergeCell ref="AD6874:AI6874"/>
    <mergeCell ref="AJ6874:AL6874"/>
    <mergeCell ref="AN6874:AO6874"/>
    <mergeCell ref="AP6874:AQ6874"/>
    <mergeCell ref="AR6874:AS6875"/>
    <mergeCell ref="AT6874:AU6875"/>
    <mergeCell ref="AV6874:AW6875"/>
    <mergeCell ref="AX6874:AY6875"/>
    <mergeCell ref="AZ6874:AZ6875"/>
    <mergeCell ref="F6875:H6875"/>
    <mergeCell ref="X6875:AB6875"/>
    <mergeCell ref="AE6875:AI6875"/>
    <mergeCell ref="AJ6875:AL6875"/>
    <mergeCell ref="AN6875:AO6875"/>
    <mergeCell ref="AP6875:AQ6875"/>
    <mergeCell ref="A6876:A6877"/>
    <mergeCell ref="E6876:E6877"/>
    <mergeCell ref="F6876:H6876"/>
    <mergeCell ref="J6876:J6877"/>
    <mergeCell ref="K6876:L6877"/>
    <mergeCell ref="M6876:N6877"/>
    <mergeCell ref="O6876:P6877"/>
    <mergeCell ref="Q6876:R6877"/>
    <mergeCell ref="S6876:T6877"/>
    <mergeCell ref="U6876:V6877"/>
    <mergeCell ref="A6880:A6881"/>
    <mergeCell ref="E6880:E6881"/>
    <mergeCell ref="F6880:H6880"/>
    <mergeCell ref="J6880:J6881"/>
    <mergeCell ref="K6880:L6881"/>
    <mergeCell ref="M6880:N6881"/>
    <mergeCell ref="O6880:P6881"/>
    <mergeCell ref="Q6880:R6881"/>
    <mergeCell ref="S6880:T6881"/>
    <mergeCell ref="U6880:V6881"/>
    <mergeCell ref="W6880:W6881"/>
    <mergeCell ref="X6880:AB6880"/>
    <mergeCell ref="AD6880:AI6880"/>
    <mergeCell ref="AJ6880:AL6880"/>
    <mergeCell ref="AN6880:AO6880"/>
    <mergeCell ref="AP6880:AQ6880"/>
    <mergeCell ref="AR6880:AS6881"/>
    <mergeCell ref="AT6880:AU6881"/>
    <mergeCell ref="AV6880:AW6881"/>
    <mergeCell ref="AX6880:AY6881"/>
    <mergeCell ref="AZ6880:AZ6881"/>
    <mergeCell ref="F6881:H6881"/>
    <mergeCell ref="X6881:AB6881"/>
    <mergeCell ref="AE6881:AI6881"/>
    <mergeCell ref="AJ6881:AL6881"/>
    <mergeCell ref="AN6881:AO6881"/>
    <mergeCell ref="AP6881:AQ6881"/>
    <mergeCell ref="A6882:A6883"/>
    <mergeCell ref="E6882:E6883"/>
    <mergeCell ref="F6882:H6882"/>
    <mergeCell ref="J6882:J6883"/>
    <mergeCell ref="K6882:L6883"/>
    <mergeCell ref="M6882:N6883"/>
    <mergeCell ref="O6882:P6883"/>
    <mergeCell ref="Q6882:R6883"/>
    <mergeCell ref="S6882:T6883"/>
    <mergeCell ref="U6882:V6883"/>
    <mergeCell ref="W6882:W6883"/>
    <mergeCell ref="X6882:AB6882"/>
    <mergeCell ref="AD6882:AI6882"/>
    <mergeCell ref="AJ6882:AL6882"/>
    <mergeCell ref="AN6882:AO6882"/>
    <mergeCell ref="AP6882:AQ6882"/>
    <mergeCell ref="AR6882:AS6883"/>
    <mergeCell ref="AT6882:AU6883"/>
    <mergeCell ref="AV6882:AW6883"/>
    <mergeCell ref="AX6882:AY6883"/>
    <mergeCell ref="AZ6882:AZ6883"/>
    <mergeCell ref="F6883:H6883"/>
    <mergeCell ref="X6883:AB6883"/>
    <mergeCell ref="AE6883:AI6883"/>
    <mergeCell ref="AJ6883:AL6883"/>
    <mergeCell ref="AN6883:AO6883"/>
    <mergeCell ref="AP6883:AQ6883"/>
    <mergeCell ref="A6884:A6885"/>
    <mergeCell ref="E6884:E6885"/>
    <mergeCell ref="F6884:H6884"/>
    <mergeCell ref="J6884:J6885"/>
    <mergeCell ref="K6884:L6885"/>
    <mergeCell ref="M6884:N6885"/>
    <mergeCell ref="O6884:P6885"/>
    <mergeCell ref="Q6884:R6885"/>
    <mergeCell ref="S6884:T6885"/>
    <mergeCell ref="U6884:V6885"/>
    <mergeCell ref="W6884:W6885"/>
    <mergeCell ref="X6884:AB6884"/>
    <mergeCell ref="AD6884:AI6884"/>
    <mergeCell ref="AJ6884:AL6884"/>
    <mergeCell ref="AN6884:AO6884"/>
    <mergeCell ref="AP6884:AQ6884"/>
    <mergeCell ref="AR6884:AS6885"/>
    <mergeCell ref="AT6884:AU6885"/>
    <mergeCell ref="AV6884:AW6885"/>
    <mergeCell ref="AX6884:AY6885"/>
    <mergeCell ref="AZ6884:AZ6885"/>
    <mergeCell ref="F6885:H6885"/>
    <mergeCell ref="X6885:AB6885"/>
    <mergeCell ref="AE6885:AI6885"/>
    <mergeCell ref="AJ6885:AL6885"/>
    <mergeCell ref="AN6885:AO6885"/>
    <mergeCell ref="AP6885:AQ6885"/>
    <mergeCell ref="A6886:A6887"/>
    <mergeCell ref="E6886:E6887"/>
    <mergeCell ref="F6886:H6886"/>
    <mergeCell ref="J6886:J6887"/>
    <mergeCell ref="K6886:L6887"/>
    <mergeCell ref="M6886:N6887"/>
    <mergeCell ref="O6886:P6887"/>
    <mergeCell ref="Q6886:R6887"/>
    <mergeCell ref="S6886:T6887"/>
    <mergeCell ref="U6886:V6887"/>
    <mergeCell ref="W6886:W6887"/>
    <mergeCell ref="X6886:AB6886"/>
    <mergeCell ref="AD6886:AI6886"/>
    <mergeCell ref="AJ6886:AL6886"/>
    <mergeCell ref="AN6886:AO6886"/>
    <mergeCell ref="AP6886:AQ6886"/>
    <mergeCell ref="AR6886:AS6887"/>
    <mergeCell ref="AT6886:AU6887"/>
    <mergeCell ref="AV6886:AW6887"/>
    <mergeCell ref="AX6886:AY6887"/>
    <mergeCell ref="AZ6886:AZ6887"/>
    <mergeCell ref="F6887:H6887"/>
    <mergeCell ref="X6887:AB6887"/>
    <mergeCell ref="AE6887:AI6887"/>
    <mergeCell ref="AJ6887:AL6887"/>
    <mergeCell ref="AN6887:AO6887"/>
    <mergeCell ref="AP6887:AQ6887"/>
    <mergeCell ref="A6888:A6889"/>
    <mergeCell ref="E6888:E6889"/>
    <mergeCell ref="F6888:H6888"/>
    <mergeCell ref="J6888:J6889"/>
    <mergeCell ref="K6888:L6889"/>
    <mergeCell ref="M6888:N6889"/>
    <mergeCell ref="O6888:P6889"/>
    <mergeCell ref="Q6888:R6889"/>
    <mergeCell ref="S6888:T6889"/>
    <mergeCell ref="U6888:V6889"/>
    <mergeCell ref="W6888:W6889"/>
    <mergeCell ref="X6888:AB6888"/>
    <mergeCell ref="AD6888:AI6888"/>
    <mergeCell ref="AJ6888:AL6888"/>
    <mergeCell ref="AN6888:AO6888"/>
    <mergeCell ref="AP6888:AQ6888"/>
    <mergeCell ref="AR6888:AS6889"/>
    <mergeCell ref="AT6888:AU6889"/>
    <mergeCell ref="AV6888:AW6889"/>
    <mergeCell ref="AX6888:AY6889"/>
    <mergeCell ref="AZ6888:AZ6889"/>
    <mergeCell ref="F6889:H6889"/>
    <mergeCell ref="X6889:AB6889"/>
    <mergeCell ref="AE6889:AI6889"/>
    <mergeCell ref="AJ6889:AL6889"/>
    <mergeCell ref="AN6889:AO6889"/>
    <mergeCell ref="AP6889:AQ6889"/>
    <mergeCell ref="A6890:A6891"/>
    <mergeCell ref="E6890:E6891"/>
    <mergeCell ref="F6890:H6890"/>
    <mergeCell ref="J6890:J6891"/>
    <mergeCell ref="K6890:L6891"/>
    <mergeCell ref="M6890:N6891"/>
    <mergeCell ref="O6890:P6891"/>
    <mergeCell ref="Q6890:R6891"/>
    <mergeCell ref="S6890:T6891"/>
    <mergeCell ref="U6890:V6891"/>
    <mergeCell ref="W6890:W6891"/>
    <mergeCell ref="X6890:AB6890"/>
    <mergeCell ref="AD6890:AI6890"/>
    <mergeCell ref="AJ6890:AL6890"/>
    <mergeCell ref="AN6890:AO6890"/>
    <mergeCell ref="AP6890:AQ6890"/>
    <mergeCell ref="AR6890:AS6891"/>
    <mergeCell ref="AT6890:AU6891"/>
    <mergeCell ref="AV6890:AW6891"/>
    <mergeCell ref="AX6890:AY6891"/>
    <mergeCell ref="AZ6890:AZ6891"/>
    <mergeCell ref="F6891:H6891"/>
    <mergeCell ref="X6891:AB6891"/>
    <mergeCell ref="AE6891:AI6891"/>
    <mergeCell ref="AJ6891:AL6891"/>
    <mergeCell ref="AN6891:AO6891"/>
    <mergeCell ref="AP6891:AQ6891"/>
    <mergeCell ref="A6892:A6893"/>
    <mergeCell ref="E6892:E6893"/>
    <mergeCell ref="F6892:H6892"/>
    <mergeCell ref="J6892:J6893"/>
    <mergeCell ref="K6892:L6893"/>
    <mergeCell ref="M6892:N6893"/>
    <mergeCell ref="O6892:P6893"/>
    <mergeCell ref="Q6892:R6893"/>
    <mergeCell ref="S6892:T6893"/>
    <mergeCell ref="U6892:V6893"/>
    <mergeCell ref="W6892:W6893"/>
    <mergeCell ref="X6892:AB6892"/>
    <mergeCell ref="AD6892:AI6892"/>
    <mergeCell ref="AJ6892:AL6892"/>
    <mergeCell ref="AN6892:AO6892"/>
    <mergeCell ref="AP6892:AQ6892"/>
    <mergeCell ref="AR6892:AS6893"/>
    <mergeCell ref="AT6892:AU6893"/>
    <mergeCell ref="AV6892:AW6893"/>
    <mergeCell ref="AX6892:AY6893"/>
    <mergeCell ref="AZ6892:AZ6893"/>
    <mergeCell ref="F6893:H6893"/>
    <mergeCell ref="X6893:AB6893"/>
    <mergeCell ref="AE6893:AI6893"/>
    <mergeCell ref="AJ6893:AL6893"/>
    <mergeCell ref="AN6893:AO6893"/>
    <mergeCell ref="AP6893:AQ6893"/>
    <mergeCell ref="A6894:A6895"/>
    <mergeCell ref="E6894:E6895"/>
    <mergeCell ref="F6894:H6894"/>
    <mergeCell ref="J6894:J6895"/>
    <mergeCell ref="K6894:L6895"/>
    <mergeCell ref="M6894:N6895"/>
    <mergeCell ref="O6894:P6895"/>
    <mergeCell ref="Q6894:R6895"/>
    <mergeCell ref="S6894:T6895"/>
    <mergeCell ref="U6894:V6895"/>
    <mergeCell ref="W6894:W6895"/>
    <mergeCell ref="X6894:AB6894"/>
    <mergeCell ref="AD6894:AI6894"/>
    <mergeCell ref="AJ6894:AL6894"/>
    <mergeCell ref="AN6894:AO6894"/>
    <mergeCell ref="AP6894:AQ6894"/>
    <mergeCell ref="AR6894:AS6895"/>
    <mergeCell ref="AT6894:AU6895"/>
    <mergeCell ref="AV6894:AW6895"/>
    <mergeCell ref="AX6894:AY6895"/>
    <mergeCell ref="AZ6894:AZ6895"/>
    <mergeCell ref="F6895:H6895"/>
    <mergeCell ref="X6895:AB6895"/>
    <mergeCell ref="AE6895:AI6895"/>
    <mergeCell ref="AJ6895:AL6895"/>
    <mergeCell ref="AN6895:AO6895"/>
    <mergeCell ref="AP6895:AQ6895"/>
    <mergeCell ref="A6896:A6897"/>
    <mergeCell ref="E6896:E6897"/>
    <mergeCell ref="F6896:H6896"/>
    <mergeCell ref="J6896:J6897"/>
    <mergeCell ref="K6896:L6897"/>
    <mergeCell ref="M6896:N6897"/>
    <mergeCell ref="O6896:P6897"/>
    <mergeCell ref="Q6896:R6897"/>
    <mergeCell ref="S6896:T6897"/>
    <mergeCell ref="U6896:V6897"/>
    <mergeCell ref="W6896:W6897"/>
    <mergeCell ref="X6896:AB6896"/>
    <mergeCell ref="AD6896:AI6896"/>
    <mergeCell ref="AJ6896:AL6896"/>
    <mergeCell ref="AN6896:AO6896"/>
    <mergeCell ref="AP6896:AQ6896"/>
    <mergeCell ref="AR6896:AS6897"/>
    <mergeCell ref="AT6896:AU6897"/>
    <mergeCell ref="AV6896:AW6897"/>
    <mergeCell ref="AX6896:AY6897"/>
    <mergeCell ref="AZ6896:AZ6897"/>
    <mergeCell ref="F6897:H6897"/>
    <mergeCell ref="X6897:AB6897"/>
    <mergeCell ref="AE6897:AI6897"/>
    <mergeCell ref="AJ6897:AL6897"/>
    <mergeCell ref="AN6897:AO6897"/>
    <mergeCell ref="AP6897:AQ6897"/>
    <mergeCell ref="A6898:A6899"/>
    <mergeCell ref="E6898:E6899"/>
    <mergeCell ref="F6898:H6898"/>
    <mergeCell ref="J6898:J6899"/>
    <mergeCell ref="K6898:L6899"/>
    <mergeCell ref="M6898:N6899"/>
    <mergeCell ref="O6898:P6899"/>
    <mergeCell ref="Q6898:R6899"/>
    <mergeCell ref="S6898:T6899"/>
    <mergeCell ref="U6898:V6899"/>
    <mergeCell ref="W6898:W6899"/>
    <mergeCell ref="X6898:AB6898"/>
    <mergeCell ref="AD6898:AI6898"/>
    <mergeCell ref="AJ6898:AL6898"/>
    <mergeCell ref="AN6898:AO6898"/>
    <mergeCell ref="AP6898:AQ6898"/>
    <mergeCell ref="AR6898:AS6899"/>
    <mergeCell ref="AT6898:AU6899"/>
    <mergeCell ref="AV6898:AW6899"/>
    <mergeCell ref="AX6898:AY6899"/>
    <mergeCell ref="AZ6898:AZ6899"/>
    <mergeCell ref="F6899:H6899"/>
    <mergeCell ref="X6899:AB6899"/>
    <mergeCell ref="AE6899:AI6899"/>
    <mergeCell ref="AJ6899:AL6899"/>
    <mergeCell ref="AN6899:AO6899"/>
    <mergeCell ref="AP6899:AQ6899"/>
    <mergeCell ref="A6900:A6901"/>
    <mergeCell ref="E6900:E6901"/>
    <mergeCell ref="F6900:H6900"/>
    <mergeCell ref="J6900:J6901"/>
    <mergeCell ref="K6900:L6901"/>
    <mergeCell ref="M6900:N6901"/>
    <mergeCell ref="O6900:P6901"/>
    <mergeCell ref="Q6900:R6901"/>
    <mergeCell ref="S6900:T6901"/>
    <mergeCell ref="U6900:V6901"/>
    <mergeCell ref="W6900:W6901"/>
    <mergeCell ref="X6900:AB6900"/>
    <mergeCell ref="AD6900:AI6900"/>
    <mergeCell ref="AJ6900:AL6900"/>
    <mergeCell ref="AN6900:AO6900"/>
    <mergeCell ref="AP6900:AQ6900"/>
    <mergeCell ref="AR6900:AS6901"/>
    <mergeCell ref="AT6900:AU6901"/>
    <mergeCell ref="AV6900:AW6901"/>
    <mergeCell ref="AX6900:AY6901"/>
    <mergeCell ref="AZ6900:AZ6901"/>
    <mergeCell ref="F6901:H6901"/>
    <mergeCell ref="X6901:AB6901"/>
    <mergeCell ref="AE6901:AI6901"/>
    <mergeCell ref="AJ6901:AL6901"/>
    <mergeCell ref="AN6901:AO6901"/>
    <mergeCell ref="AP6901:AQ6901"/>
    <mergeCell ref="A6902:A6903"/>
    <mergeCell ref="E6902:E6903"/>
    <mergeCell ref="F6902:H6902"/>
    <mergeCell ref="J6902:J6903"/>
    <mergeCell ref="K6902:L6903"/>
    <mergeCell ref="M6902:N6903"/>
    <mergeCell ref="O6902:P6903"/>
    <mergeCell ref="Q6902:R6903"/>
    <mergeCell ref="S6902:T6903"/>
    <mergeCell ref="U6902:V6903"/>
    <mergeCell ref="W6902:W6903"/>
    <mergeCell ref="X6902:AB6902"/>
    <mergeCell ref="AD6902:AI6902"/>
    <mergeCell ref="AJ6902:AL6902"/>
    <mergeCell ref="AN6902:AO6902"/>
    <mergeCell ref="AP6902:AQ6902"/>
    <mergeCell ref="AR6902:AS6903"/>
    <mergeCell ref="AT6902:AU6903"/>
    <mergeCell ref="AV6902:AW6903"/>
    <mergeCell ref="AX6902:AY6903"/>
    <mergeCell ref="AZ6902:AZ6903"/>
    <mergeCell ref="F6903:H6903"/>
    <mergeCell ref="X6903:AB6903"/>
    <mergeCell ref="AE6903:AI6903"/>
    <mergeCell ref="AJ6903:AL6903"/>
    <mergeCell ref="AN6903:AO6903"/>
    <mergeCell ref="AP6903:AQ6903"/>
    <mergeCell ref="A6904:A6905"/>
    <mergeCell ref="E6904:E6905"/>
    <mergeCell ref="F6904:H6904"/>
    <mergeCell ref="J6904:J6905"/>
    <mergeCell ref="K6904:L6905"/>
    <mergeCell ref="M6904:N6905"/>
    <mergeCell ref="O6904:P6905"/>
    <mergeCell ref="Q6904:R6905"/>
    <mergeCell ref="S6904:T6905"/>
    <mergeCell ref="U6904:V6905"/>
    <mergeCell ref="W6904:W6905"/>
    <mergeCell ref="X6904:AB6904"/>
    <mergeCell ref="AD6904:AI6904"/>
    <mergeCell ref="AJ6904:AL6904"/>
    <mergeCell ref="AN6904:AO6904"/>
    <mergeCell ref="AP6904:AQ6904"/>
    <mergeCell ref="AR6904:AS6905"/>
    <mergeCell ref="AT6904:AU6905"/>
    <mergeCell ref="AV6904:AW6905"/>
    <mergeCell ref="AX6904:AY6905"/>
    <mergeCell ref="AZ6904:AZ6905"/>
    <mergeCell ref="F6905:H6905"/>
    <mergeCell ref="X6905:AB6905"/>
    <mergeCell ref="AE6905:AI6905"/>
    <mergeCell ref="AJ6905:AL6905"/>
    <mergeCell ref="AN6905:AO6905"/>
    <mergeCell ref="AP6905:AQ6905"/>
    <mergeCell ref="A6906:A6907"/>
    <mergeCell ref="E6906:E6907"/>
    <mergeCell ref="F6906:H6906"/>
    <mergeCell ref="J6906:J6907"/>
    <mergeCell ref="K6906:L6907"/>
    <mergeCell ref="M6906:N6907"/>
    <mergeCell ref="O6906:P6907"/>
    <mergeCell ref="Q6906:R6907"/>
    <mergeCell ref="S6906:T6907"/>
    <mergeCell ref="U6906:V6907"/>
    <mergeCell ref="W6906:W6907"/>
    <mergeCell ref="X6906:AB6906"/>
    <mergeCell ref="AD6906:AI6906"/>
    <mergeCell ref="AJ6906:AL6906"/>
    <mergeCell ref="AN6906:AO6906"/>
    <mergeCell ref="AP6906:AQ6906"/>
    <mergeCell ref="AR6906:AS6907"/>
    <mergeCell ref="AT6906:AU6907"/>
    <mergeCell ref="AV6906:AW6907"/>
    <mergeCell ref="AX6906:AY6907"/>
    <mergeCell ref="AZ6906:AZ6907"/>
    <mergeCell ref="F6907:H6907"/>
    <mergeCell ref="X6907:AB6907"/>
    <mergeCell ref="AE6907:AI6907"/>
    <mergeCell ref="AJ6907:AL6907"/>
    <mergeCell ref="AN6907:AO6907"/>
    <mergeCell ref="AP6907:AQ6907"/>
    <mergeCell ref="A6908:A6909"/>
    <mergeCell ref="E6908:E6909"/>
    <mergeCell ref="F6908:H6908"/>
    <mergeCell ref="J6908:J6909"/>
    <mergeCell ref="K6908:L6909"/>
    <mergeCell ref="M6908:N6909"/>
    <mergeCell ref="O6908:P6909"/>
    <mergeCell ref="Q6908:R6909"/>
    <mergeCell ref="S6908:T6909"/>
    <mergeCell ref="U6908:V6909"/>
    <mergeCell ref="W6908:W6909"/>
    <mergeCell ref="X6908:AB6908"/>
    <mergeCell ref="AD6908:AI6908"/>
    <mergeCell ref="AJ6908:AL6908"/>
    <mergeCell ref="AN6908:AO6908"/>
    <mergeCell ref="AP6908:AQ6908"/>
    <mergeCell ref="AR6908:AS6909"/>
    <mergeCell ref="AT6908:AU6909"/>
    <mergeCell ref="AV6908:AW6909"/>
    <mergeCell ref="AX6908:AY6909"/>
    <mergeCell ref="AZ6908:AZ6909"/>
    <mergeCell ref="F6909:H6909"/>
    <mergeCell ref="X6909:AB6909"/>
    <mergeCell ref="AE6909:AI6909"/>
    <mergeCell ref="AJ6909:AL6909"/>
    <mergeCell ref="AN6909:AO6909"/>
    <mergeCell ref="AP6909:AQ6909"/>
    <mergeCell ref="A6910:A6911"/>
    <mergeCell ref="E6910:E6911"/>
    <mergeCell ref="F6910:H6910"/>
    <mergeCell ref="J6910:J6911"/>
    <mergeCell ref="K6910:L6911"/>
    <mergeCell ref="M6910:N6911"/>
    <mergeCell ref="O6910:P6911"/>
    <mergeCell ref="Q6910:R6911"/>
    <mergeCell ref="S6910:T6911"/>
    <mergeCell ref="U6910:V6911"/>
    <mergeCell ref="W6910:W6911"/>
    <mergeCell ref="X6910:AB6910"/>
    <mergeCell ref="AD6910:AI6910"/>
    <mergeCell ref="AJ6910:AL6910"/>
    <mergeCell ref="AN6910:AO6910"/>
    <mergeCell ref="AP6910:AQ6910"/>
    <mergeCell ref="AR6910:AS6911"/>
    <mergeCell ref="AT6910:AU6911"/>
    <mergeCell ref="AV6910:AW6911"/>
    <mergeCell ref="AX6910:AY6911"/>
    <mergeCell ref="AZ6910:AZ6911"/>
    <mergeCell ref="F6911:H6911"/>
    <mergeCell ref="X6911:AB6911"/>
    <mergeCell ref="AE6911:AI6911"/>
    <mergeCell ref="AJ6911:AL6911"/>
    <mergeCell ref="AN6911:AO6911"/>
    <mergeCell ref="AP6911:AQ6911"/>
    <mergeCell ref="A6912:A6913"/>
    <mergeCell ref="E6912:E6913"/>
    <mergeCell ref="F6912:H6912"/>
    <mergeCell ref="J6912:J6913"/>
    <mergeCell ref="K6912:L6913"/>
    <mergeCell ref="M6912:N6913"/>
    <mergeCell ref="O6912:P6913"/>
    <mergeCell ref="Q6912:R6913"/>
    <mergeCell ref="S6912:T6913"/>
    <mergeCell ref="U6912:V6913"/>
    <mergeCell ref="W6912:W6913"/>
    <mergeCell ref="X6912:AB6912"/>
    <mergeCell ref="AD6912:AI6912"/>
    <mergeCell ref="AJ6912:AL6912"/>
    <mergeCell ref="AN6912:AO6912"/>
    <mergeCell ref="AP6912:AQ6912"/>
    <mergeCell ref="AR6912:AS6913"/>
    <mergeCell ref="AT6912:AU6913"/>
    <mergeCell ref="AV6912:AW6913"/>
    <mergeCell ref="AX6912:AY6913"/>
    <mergeCell ref="AZ6912:AZ6913"/>
    <mergeCell ref="F6913:H6913"/>
    <mergeCell ref="X6913:AB6913"/>
    <mergeCell ref="AE6913:AI6913"/>
    <mergeCell ref="AJ6913:AL6913"/>
    <mergeCell ref="AN6913:AO6913"/>
    <mergeCell ref="AP6913:AQ6913"/>
    <mergeCell ref="A6914:A6915"/>
    <mergeCell ref="E6914:E6915"/>
    <mergeCell ref="F6914:H6914"/>
    <mergeCell ref="J6914:J6915"/>
    <mergeCell ref="K6914:L6915"/>
    <mergeCell ref="M6914:N6915"/>
    <mergeCell ref="O6914:P6915"/>
    <mergeCell ref="Q6914:R6915"/>
    <mergeCell ref="S6914:T6915"/>
    <mergeCell ref="U6914:V6915"/>
    <mergeCell ref="W6914:W6915"/>
    <mergeCell ref="X6914:AB6914"/>
    <mergeCell ref="AD6914:AI6914"/>
    <mergeCell ref="AJ6914:AL6914"/>
    <mergeCell ref="AN6914:AO6914"/>
    <mergeCell ref="AP6914:AQ6914"/>
    <mergeCell ref="AR6914:AS6915"/>
    <mergeCell ref="AT6914:AU6915"/>
    <mergeCell ref="AV6914:AW6915"/>
    <mergeCell ref="AX6914:AY6915"/>
    <mergeCell ref="AZ6914:AZ6915"/>
    <mergeCell ref="F6915:H6915"/>
    <mergeCell ref="X6915:AB6915"/>
    <mergeCell ref="AE6915:AI6915"/>
    <mergeCell ref="AJ6915:AL6915"/>
    <mergeCell ref="AN6915:AO6915"/>
    <mergeCell ref="AP6915:AQ6915"/>
    <mergeCell ref="A6916:A6917"/>
    <mergeCell ref="E6916:E6917"/>
    <mergeCell ref="F6916:H6916"/>
    <mergeCell ref="J6916:J6917"/>
    <mergeCell ref="K6916:L6917"/>
    <mergeCell ref="M6916:N6917"/>
    <mergeCell ref="O6916:P6917"/>
    <mergeCell ref="Q6916:R6917"/>
    <mergeCell ref="S6916:T6917"/>
    <mergeCell ref="U6916:V6917"/>
    <mergeCell ref="W6916:W6917"/>
    <mergeCell ref="X6916:AB6916"/>
    <mergeCell ref="AD6916:AI6916"/>
    <mergeCell ref="AJ6916:AL6916"/>
    <mergeCell ref="AN6916:AO6916"/>
    <mergeCell ref="AP6916:AQ6916"/>
    <mergeCell ref="AR6916:AS6917"/>
    <mergeCell ref="AT6916:AU6917"/>
    <mergeCell ref="AV6916:AW6917"/>
    <mergeCell ref="AX6916:AY6917"/>
    <mergeCell ref="AZ6916:AZ6917"/>
    <mergeCell ref="F6917:H6917"/>
    <mergeCell ref="X6917:AB6917"/>
    <mergeCell ref="AE6917:AI6917"/>
    <mergeCell ref="AJ6917:AL6917"/>
    <mergeCell ref="AN6917:AO6917"/>
    <mergeCell ref="AP6917:AQ6917"/>
    <mergeCell ref="A6918:A6919"/>
    <mergeCell ref="E6918:E6919"/>
    <mergeCell ref="F6918:H6918"/>
    <mergeCell ref="J6918:J6919"/>
    <mergeCell ref="K6918:L6919"/>
    <mergeCell ref="M6918:N6919"/>
    <mergeCell ref="O6918:P6919"/>
    <mergeCell ref="Q6918:R6919"/>
    <mergeCell ref="S6918:T6919"/>
    <mergeCell ref="U6918:V6919"/>
    <mergeCell ref="W6918:W6919"/>
    <mergeCell ref="X6918:AB6918"/>
    <mergeCell ref="AD6918:AI6918"/>
    <mergeCell ref="AJ6918:AL6918"/>
    <mergeCell ref="AN6918:AO6918"/>
    <mergeCell ref="AP6918:AQ6918"/>
    <mergeCell ref="AR6918:AS6919"/>
    <mergeCell ref="AT6918:AU6919"/>
    <mergeCell ref="AV6918:AW6919"/>
    <mergeCell ref="AX6918:AY6919"/>
    <mergeCell ref="AZ6918:AZ6919"/>
    <mergeCell ref="F6919:H6919"/>
    <mergeCell ref="X6919:AB6919"/>
    <mergeCell ref="AE6919:AI6919"/>
    <mergeCell ref="AJ6919:AL6919"/>
    <mergeCell ref="AN6919:AO6919"/>
    <mergeCell ref="AP6919:AQ6919"/>
    <mergeCell ref="A6920:A6921"/>
    <mergeCell ref="E6920:E6921"/>
    <mergeCell ref="F6920:H6920"/>
    <mergeCell ref="J6920:J6921"/>
    <mergeCell ref="K6920:L6921"/>
    <mergeCell ref="M6920:N6921"/>
    <mergeCell ref="O6920:P6921"/>
    <mergeCell ref="Q6920:R6921"/>
    <mergeCell ref="S6920:T6921"/>
    <mergeCell ref="U6920:V6921"/>
    <mergeCell ref="W6920:W6921"/>
    <mergeCell ref="X6920:AB6920"/>
    <mergeCell ref="AD6920:AI6920"/>
    <mergeCell ref="AJ6920:AL6920"/>
    <mergeCell ref="AN6920:AO6920"/>
    <mergeCell ref="AP6920:AQ6920"/>
    <mergeCell ref="AR6920:AS6921"/>
    <mergeCell ref="AT6920:AU6921"/>
    <mergeCell ref="AV6920:AW6921"/>
    <mergeCell ref="AX6920:AY6921"/>
    <mergeCell ref="AZ6920:AZ6921"/>
    <mergeCell ref="F6921:H6921"/>
    <mergeCell ref="X6921:AB6921"/>
    <mergeCell ref="AE6921:AI6921"/>
    <mergeCell ref="AJ6921:AL6921"/>
    <mergeCell ref="AN6921:AO6921"/>
    <mergeCell ref="AP6921:AQ6921"/>
    <mergeCell ref="A6922:A6923"/>
    <mergeCell ref="E6922:E6923"/>
    <mergeCell ref="F6922:H6922"/>
    <mergeCell ref="J6922:J6923"/>
    <mergeCell ref="K6922:L6923"/>
    <mergeCell ref="M6922:N6923"/>
    <mergeCell ref="O6922:P6923"/>
    <mergeCell ref="Q6922:R6923"/>
    <mergeCell ref="S6922:T6923"/>
    <mergeCell ref="U6922:V6923"/>
    <mergeCell ref="W6922:W6923"/>
    <mergeCell ref="X6922:AB6922"/>
    <mergeCell ref="AD6922:AI6922"/>
    <mergeCell ref="AJ6922:AL6922"/>
    <mergeCell ref="AN6922:AO6922"/>
    <mergeCell ref="AP6922:AQ6922"/>
    <mergeCell ref="AR6922:AS6923"/>
    <mergeCell ref="AT6922:AU6923"/>
    <mergeCell ref="AV6922:AW6923"/>
    <mergeCell ref="AX6922:AY6923"/>
    <mergeCell ref="AZ6922:AZ6923"/>
    <mergeCell ref="F6923:H6923"/>
    <mergeCell ref="X6923:AB6923"/>
    <mergeCell ref="AE6923:AI6923"/>
    <mergeCell ref="AJ6923:AL6923"/>
    <mergeCell ref="AN6923:AO6923"/>
    <mergeCell ref="AP6923:AQ6923"/>
    <mergeCell ref="A6924:A6925"/>
    <mergeCell ref="E6924:E6925"/>
    <mergeCell ref="F6924:H6924"/>
    <mergeCell ref="J6924:J6925"/>
    <mergeCell ref="K6924:L6925"/>
    <mergeCell ref="M6924:N6925"/>
    <mergeCell ref="O6924:P6925"/>
    <mergeCell ref="Q6924:R6925"/>
    <mergeCell ref="S6924:T6925"/>
    <mergeCell ref="U6924:V6925"/>
    <mergeCell ref="W6924:W6925"/>
    <mergeCell ref="X6924:AB6924"/>
    <mergeCell ref="AD6924:AI6924"/>
    <mergeCell ref="AJ6924:AL6924"/>
    <mergeCell ref="AN6924:AO6924"/>
    <mergeCell ref="AP6924:AQ6924"/>
    <mergeCell ref="AR6924:AS6925"/>
    <mergeCell ref="AT6924:AU6925"/>
    <mergeCell ref="AV6924:AW6925"/>
    <mergeCell ref="AX6924:AY6925"/>
    <mergeCell ref="AZ6924:AZ6925"/>
    <mergeCell ref="F6925:H6925"/>
    <mergeCell ref="X6925:AB6925"/>
    <mergeCell ref="AE6925:AI6925"/>
    <mergeCell ref="AJ6925:AL6925"/>
    <mergeCell ref="AN6925:AO6925"/>
    <mergeCell ref="AP6925:AQ6925"/>
    <mergeCell ref="A6926:A6927"/>
    <mergeCell ref="E6926:E6927"/>
    <mergeCell ref="F6926:H6926"/>
    <mergeCell ref="J6926:J6927"/>
    <mergeCell ref="K6926:L6927"/>
    <mergeCell ref="M6926:N6927"/>
    <mergeCell ref="O6926:P6927"/>
    <mergeCell ref="Q6926:R6927"/>
    <mergeCell ref="S6926:T6927"/>
    <mergeCell ref="U6926:V6927"/>
    <mergeCell ref="W6926:W6927"/>
    <mergeCell ref="X6926:AB6926"/>
    <mergeCell ref="AD6926:AI6926"/>
    <mergeCell ref="AJ6926:AL6926"/>
    <mergeCell ref="AN6926:AO6926"/>
    <mergeCell ref="AP6926:AQ6926"/>
    <mergeCell ref="AR6926:AS6927"/>
    <mergeCell ref="AT6926:AU6927"/>
    <mergeCell ref="AV6926:AW6927"/>
    <mergeCell ref="AX6926:AY6927"/>
    <mergeCell ref="AZ6926:AZ6927"/>
    <mergeCell ref="F6927:H6927"/>
    <mergeCell ref="X6927:AB6927"/>
    <mergeCell ref="AE6927:AI6927"/>
    <mergeCell ref="AJ6927:AL6927"/>
    <mergeCell ref="AN6927:AO6927"/>
    <mergeCell ref="AP6927:AQ6927"/>
    <mergeCell ref="A6928:A6929"/>
    <mergeCell ref="E6928:E6929"/>
    <mergeCell ref="F6928:H6928"/>
    <mergeCell ref="J6928:J6929"/>
    <mergeCell ref="K6928:L6929"/>
    <mergeCell ref="M6928:N6929"/>
    <mergeCell ref="O6928:P6929"/>
    <mergeCell ref="Q6928:R6929"/>
    <mergeCell ref="S6928:T6929"/>
    <mergeCell ref="U6928:V6929"/>
    <mergeCell ref="W6928:W6929"/>
    <mergeCell ref="X6928:AB6928"/>
    <mergeCell ref="AD6928:AI6928"/>
    <mergeCell ref="AJ6928:AL6928"/>
    <mergeCell ref="AN6928:AO6928"/>
    <mergeCell ref="AP6928:AQ6928"/>
    <mergeCell ref="AR6928:AS6929"/>
    <mergeCell ref="AT6928:AU6929"/>
    <mergeCell ref="AV6928:AW6929"/>
    <mergeCell ref="AX6928:AY6929"/>
    <mergeCell ref="AZ6928:AZ6929"/>
    <mergeCell ref="F6929:H6929"/>
    <mergeCell ref="X6929:AB6929"/>
    <mergeCell ref="AE6929:AI6929"/>
    <mergeCell ref="AJ6929:AL6929"/>
    <mergeCell ref="AN6929:AO6929"/>
    <mergeCell ref="AP6929:AQ6929"/>
    <mergeCell ref="A6930:A6931"/>
    <mergeCell ref="E6930:E6931"/>
    <mergeCell ref="F6930:H6930"/>
    <mergeCell ref="J6930:J6931"/>
    <mergeCell ref="K6930:L6931"/>
    <mergeCell ref="M6930:N6931"/>
    <mergeCell ref="O6930:P6931"/>
    <mergeCell ref="Q6930:R6931"/>
    <mergeCell ref="S6930:T6931"/>
    <mergeCell ref="U6930:V6931"/>
    <mergeCell ref="W6930:W6931"/>
    <mergeCell ref="X6930:AB6930"/>
    <mergeCell ref="AD6930:AI6930"/>
    <mergeCell ref="AJ6930:AL6930"/>
    <mergeCell ref="AN6930:AO6930"/>
    <mergeCell ref="AP6930:AQ6930"/>
    <mergeCell ref="AR6930:AS6931"/>
    <mergeCell ref="AT6930:AU6931"/>
    <mergeCell ref="AV6930:AW6931"/>
    <mergeCell ref="AX6930:AY6931"/>
    <mergeCell ref="AZ6930:AZ6931"/>
    <mergeCell ref="F6931:H6931"/>
    <mergeCell ref="X6931:AB6931"/>
    <mergeCell ref="AE6931:AI6931"/>
    <mergeCell ref="AJ6931:AL6931"/>
    <mergeCell ref="AN6931:AO6931"/>
    <mergeCell ref="AP6931:AQ6931"/>
    <mergeCell ref="A6932:A6933"/>
    <mergeCell ref="E6932:E6933"/>
    <mergeCell ref="F6932:H6932"/>
    <mergeCell ref="J6932:J6933"/>
    <mergeCell ref="K6932:L6933"/>
    <mergeCell ref="M6932:N6933"/>
    <mergeCell ref="O6932:P6933"/>
    <mergeCell ref="Q6932:R6933"/>
    <mergeCell ref="S6932:T6933"/>
    <mergeCell ref="U6932:V6933"/>
    <mergeCell ref="W6932:W6933"/>
    <mergeCell ref="X6932:AB6932"/>
    <mergeCell ref="AD6932:AI6932"/>
    <mergeCell ref="AJ6932:AL6932"/>
    <mergeCell ref="AN6932:AO6932"/>
    <mergeCell ref="AP6932:AQ6932"/>
    <mergeCell ref="AR6932:AS6933"/>
    <mergeCell ref="AT6932:AU6933"/>
    <mergeCell ref="AV6932:AW6933"/>
    <mergeCell ref="AX6932:AY6933"/>
    <mergeCell ref="AZ6932:AZ6933"/>
    <mergeCell ref="F6933:H6933"/>
    <mergeCell ref="X6933:AB6933"/>
    <mergeCell ref="AE6933:AI6933"/>
    <mergeCell ref="AJ6933:AL6933"/>
    <mergeCell ref="AN6933:AO6933"/>
    <mergeCell ref="AP6933:AQ6933"/>
    <mergeCell ref="A6934:A6935"/>
    <mergeCell ref="E6934:E6935"/>
    <mergeCell ref="F6934:H6934"/>
    <mergeCell ref="J6934:J6935"/>
    <mergeCell ref="K6934:L6935"/>
    <mergeCell ref="M6934:N6935"/>
    <mergeCell ref="O6934:P6935"/>
    <mergeCell ref="Q6934:R6935"/>
    <mergeCell ref="S6934:T6935"/>
    <mergeCell ref="U6934:V6935"/>
    <mergeCell ref="W6934:W6935"/>
    <mergeCell ref="X6934:AB6934"/>
    <mergeCell ref="AD6934:AI6934"/>
    <mergeCell ref="AJ6934:AL6934"/>
    <mergeCell ref="AN6934:AO6934"/>
    <mergeCell ref="AP6934:AQ6934"/>
    <mergeCell ref="AR6934:AS6935"/>
    <mergeCell ref="AT6934:AU6935"/>
    <mergeCell ref="AV6934:AW6935"/>
    <mergeCell ref="AX6934:AY6935"/>
    <mergeCell ref="AZ6934:AZ6935"/>
    <mergeCell ref="F6935:H6935"/>
    <mergeCell ref="X6935:AB6935"/>
    <mergeCell ref="AE6935:AI6935"/>
    <mergeCell ref="AJ6935:AL6935"/>
    <mergeCell ref="AN6935:AO6935"/>
    <mergeCell ref="AP6935:AQ6935"/>
    <mergeCell ref="A6936:A6937"/>
    <mergeCell ref="E6936:E6937"/>
    <mergeCell ref="F6936:H6936"/>
    <mergeCell ref="J6936:J6937"/>
    <mergeCell ref="K6936:L6937"/>
    <mergeCell ref="M6936:N6937"/>
    <mergeCell ref="O6936:P6937"/>
    <mergeCell ref="Q6936:R6937"/>
    <mergeCell ref="S6936:T6937"/>
    <mergeCell ref="U6936:V6937"/>
    <mergeCell ref="W6936:W6937"/>
    <mergeCell ref="X6936:AB6936"/>
    <mergeCell ref="AD6936:AI6936"/>
    <mergeCell ref="AJ6936:AL6936"/>
    <mergeCell ref="AN6936:AO6936"/>
    <mergeCell ref="AP6936:AQ6936"/>
    <mergeCell ref="AR6936:AS6937"/>
    <mergeCell ref="AT6936:AU6937"/>
    <mergeCell ref="AV6936:AW6937"/>
    <mergeCell ref="AX6936:AY6937"/>
    <mergeCell ref="AZ6936:AZ6937"/>
    <mergeCell ref="F6937:H6937"/>
    <mergeCell ref="X6937:AB6937"/>
    <mergeCell ref="AE6937:AI6937"/>
    <mergeCell ref="AJ6937:AL6937"/>
    <mergeCell ref="AN6937:AO6937"/>
    <mergeCell ref="AP6937:AQ6937"/>
    <mergeCell ref="A6938:A6939"/>
    <mergeCell ref="E6938:E6939"/>
    <mergeCell ref="F6938:H6938"/>
    <mergeCell ref="J6938:J6939"/>
    <mergeCell ref="K6938:L6939"/>
    <mergeCell ref="M6938:N6939"/>
    <mergeCell ref="O6938:P6939"/>
    <mergeCell ref="Q6938:R6939"/>
    <mergeCell ref="S6938:T6939"/>
    <mergeCell ref="U6938:V6939"/>
    <mergeCell ref="W6938:W6939"/>
    <mergeCell ref="X6938:AB6938"/>
    <mergeCell ref="AD6938:AI6938"/>
    <mergeCell ref="AJ6938:AL6938"/>
    <mergeCell ref="AN6938:AO6938"/>
    <mergeCell ref="AP6938:AQ6938"/>
    <mergeCell ref="AR6938:AS6939"/>
    <mergeCell ref="AT6938:AU6939"/>
    <mergeCell ref="AV6938:AW6939"/>
    <mergeCell ref="AX6938:AY6939"/>
    <mergeCell ref="AZ6938:AZ6939"/>
    <mergeCell ref="F6939:H6939"/>
    <mergeCell ref="X6939:AB6939"/>
    <mergeCell ref="AE6939:AI6939"/>
    <mergeCell ref="AJ6939:AL6939"/>
    <mergeCell ref="AN6939:AO6939"/>
    <mergeCell ref="AP6939:AQ6939"/>
    <mergeCell ref="A6940:A6941"/>
    <mergeCell ref="E6940:E6941"/>
    <mergeCell ref="F6940:H6940"/>
    <mergeCell ref="J6940:J6941"/>
    <mergeCell ref="K6940:L6941"/>
    <mergeCell ref="M6940:N6941"/>
    <mergeCell ref="O6940:P6941"/>
    <mergeCell ref="Q6940:R6941"/>
    <mergeCell ref="S6940:T6941"/>
    <mergeCell ref="U6940:V6941"/>
    <mergeCell ref="W6940:W6941"/>
    <mergeCell ref="X6940:AB6940"/>
    <mergeCell ref="AD6940:AI6940"/>
    <mergeCell ref="AJ6940:AL6940"/>
    <mergeCell ref="AN6940:AO6940"/>
    <mergeCell ref="AP6940:AQ6940"/>
    <mergeCell ref="AR6940:AS6941"/>
    <mergeCell ref="AT6940:AU6941"/>
    <mergeCell ref="AV6940:AW6941"/>
    <mergeCell ref="AX6940:AY6941"/>
    <mergeCell ref="AZ6940:AZ6941"/>
    <mergeCell ref="F6941:H6941"/>
    <mergeCell ref="X6941:AB6941"/>
    <mergeCell ref="AE6941:AI6941"/>
    <mergeCell ref="AJ6941:AL6941"/>
    <mergeCell ref="AN6941:AO6941"/>
    <mergeCell ref="AP6941:AQ6941"/>
    <mergeCell ref="A6942:A6943"/>
    <mergeCell ref="E6942:E6943"/>
    <mergeCell ref="F6942:H6942"/>
    <mergeCell ref="J6942:J6943"/>
    <mergeCell ref="K6942:L6943"/>
    <mergeCell ref="M6942:N6943"/>
    <mergeCell ref="O6942:P6943"/>
    <mergeCell ref="Q6942:R6943"/>
    <mergeCell ref="S6942:T6943"/>
    <mergeCell ref="U6942:V6943"/>
    <mergeCell ref="W6942:W6943"/>
    <mergeCell ref="X6942:AB6942"/>
    <mergeCell ref="AD6942:AI6942"/>
    <mergeCell ref="AJ6942:AL6942"/>
    <mergeCell ref="AN6942:AO6942"/>
    <mergeCell ref="AP6942:AQ6942"/>
    <mergeCell ref="AR6942:AS6943"/>
    <mergeCell ref="AT6942:AU6943"/>
    <mergeCell ref="AV6942:AW6943"/>
    <mergeCell ref="AX6942:AY6943"/>
    <mergeCell ref="AZ6942:AZ6943"/>
    <mergeCell ref="F6943:H6943"/>
    <mergeCell ref="X6943:AB6943"/>
    <mergeCell ref="AE6943:AI6943"/>
    <mergeCell ref="AJ6943:AL6943"/>
    <mergeCell ref="AN6943:AO6943"/>
    <mergeCell ref="AP6943:AQ6943"/>
    <mergeCell ref="A6944:A6945"/>
    <mergeCell ref="E6944:E6945"/>
    <mergeCell ref="F6944:H6944"/>
    <mergeCell ref="J6944:J6945"/>
    <mergeCell ref="K6944:L6945"/>
    <mergeCell ref="M6944:N6945"/>
    <mergeCell ref="O6944:P6945"/>
    <mergeCell ref="Q6944:R6945"/>
    <mergeCell ref="S6944:T6945"/>
    <mergeCell ref="U6944:V6945"/>
    <mergeCell ref="W6944:W6945"/>
    <mergeCell ref="X6944:AB6944"/>
    <mergeCell ref="AD6944:AI6944"/>
    <mergeCell ref="AJ6944:AL6944"/>
    <mergeCell ref="AN6944:AO6944"/>
    <mergeCell ref="AP6944:AQ6944"/>
    <mergeCell ref="AR6944:AS6945"/>
    <mergeCell ref="AT6944:AU6945"/>
    <mergeCell ref="AV6944:AW6945"/>
    <mergeCell ref="AX6944:AY6945"/>
    <mergeCell ref="AZ6944:AZ6945"/>
    <mergeCell ref="F6945:H6945"/>
    <mergeCell ref="X6945:AB6945"/>
    <mergeCell ref="AE6945:AI6945"/>
    <mergeCell ref="AJ6945:AL6945"/>
    <mergeCell ref="AN6945:AO6945"/>
    <mergeCell ref="AP6945:AQ6945"/>
    <mergeCell ref="A6946:A6947"/>
    <mergeCell ref="E6946:E6947"/>
    <mergeCell ref="F6946:H6946"/>
    <mergeCell ref="J6946:J6947"/>
    <mergeCell ref="K6946:L6947"/>
    <mergeCell ref="M6946:N6947"/>
    <mergeCell ref="O6946:P6947"/>
    <mergeCell ref="Q6946:R6947"/>
    <mergeCell ref="S6946:T6947"/>
    <mergeCell ref="U6946:V6947"/>
    <mergeCell ref="W6946:W6947"/>
    <mergeCell ref="X6946:AB6946"/>
    <mergeCell ref="AD6946:AI6946"/>
    <mergeCell ref="AJ6946:AL6946"/>
    <mergeCell ref="AN6946:AO6946"/>
    <mergeCell ref="AP6946:AQ6946"/>
    <mergeCell ref="AR6946:AS6947"/>
    <mergeCell ref="AT6946:AU6947"/>
    <mergeCell ref="AV6946:AW6947"/>
    <mergeCell ref="AX6946:AY6947"/>
    <mergeCell ref="AZ6946:AZ6947"/>
    <mergeCell ref="F6947:H6947"/>
    <mergeCell ref="X6947:AB6947"/>
    <mergeCell ref="AE6947:AI6947"/>
    <mergeCell ref="AJ6947:AL6947"/>
    <mergeCell ref="AN6947:AO6947"/>
    <mergeCell ref="AP6947:AQ6947"/>
    <mergeCell ref="A6948:A6949"/>
    <mergeCell ref="E6948:E6949"/>
    <mergeCell ref="F6948:H6948"/>
    <mergeCell ref="J6948:J6949"/>
    <mergeCell ref="K6948:L6949"/>
    <mergeCell ref="M6948:N6949"/>
    <mergeCell ref="O6948:P6949"/>
    <mergeCell ref="Q6948:R6949"/>
    <mergeCell ref="S6948:T6949"/>
    <mergeCell ref="U6948:V6949"/>
    <mergeCell ref="W6948:W6949"/>
    <mergeCell ref="X6948:AB6948"/>
    <mergeCell ref="AD6948:AI6948"/>
    <mergeCell ref="AJ6948:AL6948"/>
    <mergeCell ref="AN6948:AO6948"/>
    <mergeCell ref="AP6948:AQ6948"/>
    <mergeCell ref="AR6948:AS6949"/>
    <mergeCell ref="AT6948:AU6949"/>
    <mergeCell ref="AV6948:AW6949"/>
    <mergeCell ref="AX6948:AY6949"/>
    <mergeCell ref="AZ6948:AZ6949"/>
    <mergeCell ref="F6949:H6949"/>
    <mergeCell ref="X6949:AB6949"/>
    <mergeCell ref="AE6949:AI6949"/>
    <mergeCell ref="AJ6949:AL6949"/>
    <mergeCell ref="AN6949:AO6949"/>
    <mergeCell ref="AP6949:AQ6949"/>
    <mergeCell ref="A6950:A6951"/>
    <mergeCell ref="E6950:E6951"/>
    <mergeCell ref="F6950:H6950"/>
    <mergeCell ref="J6950:J6951"/>
    <mergeCell ref="K6950:L6951"/>
    <mergeCell ref="M6950:N6951"/>
    <mergeCell ref="O6950:P6951"/>
    <mergeCell ref="Q6950:R6951"/>
    <mergeCell ref="S6950:T6951"/>
    <mergeCell ref="U6950:V6951"/>
    <mergeCell ref="W6950:W6951"/>
    <mergeCell ref="X6950:AB6950"/>
    <mergeCell ref="AD6950:AI6950"/>
    <mergeCell ref="AJ6950:AL6950"/>
    <mergeCell ref="AN6950:AO6950"/>
    <mergeCell ref="AP6950:AQ6950"/>
    <mergeCell ref="AR6950:AS6951"/>
    <mergeCell ref="AT6950:AU6951"/>
    <mergeCell ref="AV6950:AW6951"/>
    <mergeCell ref="AX6950:AY6951"/>
    <mergeCell ref="AZ6950:AZ6951"/>
    <mergeCell ref="F6951:H6951"/>
    <mergeCell ref="X6951:AB6951"/>
    <mergeCell ref="AE6951:AI6951"/>
    <mergeCell ref="AJ6951:AL6951"/>
    <mergeCell ref="AN6951:AO6951"/>
    <mergeCell ref="AP6951:AQ6951"/>
    <mergeCell ref="A6952:A6953"/>
    <mergeCell ref="E6952:E6953"/>
    <mergeCell ref="F6952:H6952"/>
    <mergeCell ref="J6952:J6953"/>
    <mergeCell ref="K6952:L6953"/>
    <mergeCell ref="M6952:N6953"/>
    <mergeCell ref="O6952:P6953"/>
    <mergeCell ref="Q6952:R6953"/>
    <mergeCell ref="S6952:T6953"/>
    <mergeCell ref="U6952:V6953"/>
    <mergeCell ref="W6952:W6953"/>
    <mergeCell ref="X6952:AB6952"/>
    <mergeCell ref="AD6952:AI6952"/>
    <mergeCell ref="AJ6952:AL6952"/>
    <mergeCell ref="AN6952:AO6952"/>
    <mergeCell ref="AP6952:AQ6952"/>
    <mergeCell ref="AR6952:AS6953"/>
    <mergeCell ref="AT6952:AU6953"/>
    <mergeCell ref="AV6952:AW6953"/>
    <mergeCell ref="AX6952:AY6953"/>
    <mergeCell ref="AZ6952:AZ6953"/>
    <mergeCell ref="F6953:H6953"/>
    <mergeCell ref="X6953:AB6953"/>
    <mergeCell ref="AE6953:AI6953"/>
    <mergeCell ref="AJ6953:AL6953"/>
    <mergeCell ref="AN6953:AO6953"/>
    <mergeCell ref="AP6953:AQ6953"/>
    <mergeCell ref="A6954:A6955"/>
    <mergeCell ref="E6954:E6955"/>
    <mergeCell ref="F6954:H6954"/>
    <mergeCell ref="J6954:J6955"/>
    <mergeCell ref="K6954:L6955"/>
    <mergeCell ref="M6954:N6955"/>
    <mergeCell ref="O6954:P6955"/>
    <mergeCell ref="Q6954:R6955"/>
    <mergeCell ref="S6954:T6955"/>
    <mergeCell ref="U6954:V6955"/>
    <mergeCell ref="W6954:W6955"/>
    <mergeCell ref="X6954:AB6954"/>
    <mergeCell ref="AD6954:AI6954"/>
    <mergeCell ref="AJ6954:AL6954"/>
    <mergeCell ref="AN6954:AO6954"/>
    <mergeCell ref="AP6954:AQ6954"/>
    <mergeCell ref="AR6954:AS6955"/>
    <mergeCell ref="AT6954:AU6955"/>
    <mergeCell ref="AV6954:AW6955"/>
    <mergeCell ref="AX6954:AY6955"/>
    <mergeCell ref="AZ6954:AZ6955"/>
    <mergeCell ref="F6955:H6955"/>
    <mergeCell ref="X6955:AB6955"/>
    <mergeCell ref="AE6955:AI6955"/>
    <mergeCell ref="AJ6955:AL6955"/>
    <mergeCell ref="AN6955:AO6955"/>
    <mergeCell ref="AP6955:AQ6955"/>
    <mergeCell ref="A6956:A6957"/>
    <mergeCell ref="E6956:E6957"/>
    <mergeCell ref="F6956:H6956"/>
    <mergeCell ref="J6956:J6957"/>
    <mergeCell ref="K6956:L6957"/>
    <mergeCell ref="M6956:N6957"/>
    <mergeCell ref="O6956:P6957"/>
    <mergeCell ref="Q6956:R6957"/>
    <mergeCell ref="S6956:T6957"/>
    <mergeCell ref="U6956:V6957"/>
    <mergeCell ref="W6956:W6957"/>
    <mergeCell ref="X6956:AB6956"/>
    <mergeCell ref="AD6956:AI6956"/>
    <mergeCell ref="AJ6956:AL6956"/>
    <mergeCell ref="AN6956:AO6956"/>
    <mergeCell ref="AP6956:AQ6956"/>
    <mergeCell ref="AR6956:AS6957"/>
    <mergeCell ref="AT6956:AU6957"/>
    <mergeCell ref="AV6956:AW6957"/>
    <mergeCell ref="AX6956:AY6957"/>
    <mergeCell ref="AZ6956:AZ6957"/>
    <mergeCell ref="F6957:H6957"/>
    <mergeCell ref="X6957:AB6957"/>
    <mergeCell ref="AE6957:AI6957"/>
    <mergeCell ref="AJ6957:AL6957"/>
    <mergeCell ref="AN6957:AO6957"/>
    <mergeCell ref="AP6957:AQ6957"/>
    <mergeCell ref="A6958:A6959"/>
    <mergeCell ref="E6958:E6959"/>
    <mergeCell ref="F6958:H6958"/>
    <mergeCell ref="J6958:J6959"/>
    <mergeCell ref="K6958:L6959"/>
    <mergeCell ref="M6958:N6959"/>
    <mergeCell ref="O6958:P6959"/>
    <mergeCell ref="Q6958:R6959"/>
    <mergeCell ref="S6958:T6959"/>
    <mergeCell ref="U6958:V6959"/>
    <mergeCell ref="W6958:W6959"/>
    <mergeCell ref="X6958:AB6958"/>
    <mergeCell ref="AD6958:AI6958"/>
    <mergeCell ref="AJ6958:AL6958"/>
    <mergeCell ref="AN6958:AO6958"/>
    <mergeCell ref="AP6958:AQ6958"/>
    <mergeCell ref="AR6958:AS6959"/>
    <mergeCell ref="AT6958:AU6959"/>
    <mergeCell ref="AV6958:AW6959"/>
    <mergeCell ref="AX6958:AY6959"/>
    <mergeCell ref="AZ6958:AZ6959"/>
    <mergeCell ref="F6959:H6959"/>
    <mergeCell ref="X6959:AB6959"/>
    <mergeCell ref="AE6959:AI6959"/>
    <mergeCell ref="AJ6959:AL6959"/>
    <mergeCell ref="AN6959:AO6959"/>
    <mergeCell ref="AP6959:AQ6959"/>
    <mergeCell ref="A6960:A6961"/>
    <mergeCell ref="E6960:E6961"/>
    <mergeCell ref="F6960:H6960"/>
    <mergeCell ref="J6960:J6961"/>
    <mergeCell ref="K6960:L6961"/>
    <mergeCell ref="M6960:N6961"/>
    <mergeCell ref="O6960:P6961"/>
    <mergeCell ref="Q6960:R6961"/>
    <mergeCell ref="S6960:T6961"/>
    <mergeCell ref="U6960:V6961"/>
    <mergeCell ref="W6960:W6961"/>
    <mergeCell ref="X6960:AB6960"/>
    <mergeCell ref="AD6960:AI6960"/>
    <mergeCell ref="AJ6960:AL6960"/>
    <mergeCell ref="AN6960:AO6960"/>
    <mergeCell ref="AP6960:AQ6960"/>
    <mergeCell ref="AR6960:AS6961"/>
    <mergeCell ref="AT6960:AU6961"/>
    <mergeCell ref="AV6960:AW6961"/>
    <mergeCell ref="AX6960:AY6961"/>
    <mergeCell ref="AZ6960:AZ6961"/>
    <mergeCell ref="F6961:H6961"/>
    <mergeCell ref="X6961:AB6961"/>
    <mergeCell ref="AE6961:AI6961"/>
    <mergeCell ref="AJ6961:AL6961"/>
    <mergeCell ref="AN6961:AO6961"/>
    <mergeCell ref="AP6961:AQ6961"/>
    <mergeCell ref="A6962:A6963"/>
    <mergeCell ref="E6962:E6963"/>
    <mergeCell ref="F6962:H6962"/>
    <mergeCell ref="J6962:J6963"/>
    <mergeCell ref="K6962:L6963"/>
    <mergeCell ref="M6962:N6963"/>
    <mergeCell ref="O6962:P6963"/>
    <mergeCell ref="Q6962:R6963"/>
    <mergeCell ref="S6962:T6963"/>
    <mergeCell ref="U6962:V6963"/>
    <mergeCell ref="W6962:W6963"/>
    <mergeCell ref="X6962:AB6962"/>
    <mergeCell ref="AD6962:AI6962"/>
    <mergeCell ref="AJ6962:AL6962"/>
    <mergeCell ref="AN6962:AO6962"/>
    <mergeCell ref="AP6962:AQ6962"/>
    <mergeCell ref="AR6962:AS6963"/>
    <mergeCell ref="AT6962:AU6963"/>
    <mergeCell ref="AV6962:AW6963"/>
    <mergeCell ref="AX6962:AY6963"/>
    <mergeCell ref="AZ6962:AZ6963"/>
    <mergeCell ref="F6963:H6963"/>
    <mergeCell ref="X6963:AB6963"/>
    <mergeCell ref="AE6963:AI6963"/>
    <mergeCell ref="AJ6963:AL6963"/>
    <mergeCell ref="AN6963:AO6963"/>
    <mergeCell ref="AP6963:AQ6963"/>
    <mergeCell ref="A6964:A6965"/>
    <mergeCell ref="E6964:E6965"/>
    <mergeCell ref="F6964:H6964"/>
    <mergeCell ref="J6964:J6965"/>
    <mergeCell ref="K6964:L6965"/>
    <mergeCell ref="M6964:N6965"/>
    <mergeCell ref="O6964:P6965"/>
    <mergeCell ref="Q6964:R6965"/>
    <mergeCell ref="S6964:T6965"/>
    <mergeCell ref="U6964:V6965"/>
    <mergeCell ref="W6964:W6965"/>
    <mergeCell ref="X6964:AB6964"/>
    <mergeCell ref="AD6964:AI6964"/>
    <mergeCell ref="AJ6964:AL6964"/>
    <mergeCell ref="AN6964:AO6964"/>
    <mergeCell ref="AP6964:AQ6964"/>
    <mergeCell ref="AR6964:AS6965"/>
    <mergeCell ref="AT6964:AU6965"/>
    <mergeCell ref="AV6964:AW6965"/>
    <mergeCell ref="AX6964:AY6965"/>
    <mergeCell ref="AZ6964:AZ6965"/>
    <mergeCell ref="F6965:H6965"/>
    <mergeCell ref="X6965:AB6965"/>
    <mergeCell ref="AE6965:AI6965"/>
    <mergeCell ref="AJ6965:AL6965"/>
    <mergeCell ref="AN6965:AO6965"/>
    <mergeCell ref="AP6965:AQ6965"/>
    <mergeCell ref="A6966:A6967"/>
    <mergeCell ref="E6966:E6967"/>
    <mergeCell ref="F6966:H6966"/>
    <mergeCell ref="J6966:J6967"/>
    <mergeCell ref="K6966:L6967"/>
    <mergeCell ref="M6966:N6967"/>
    <mergeCell ref="O6966:P6967"/>
    <mergeCell ref="Q6966:R6967"/>
    <mergeCell ref="S6966:T6967"/>
    <mergeCell ref="U6966:V6967"/>
    <mergeCell ref="W6966:W6967"/>
    <mergeCell ref="X6966:AB6966"/>
    <mergeCell ref="AD6966:AI6966"/>
    <mergeCell ref="AJ6966:AL6966"/>
    <mergeCell ref="AN6966:AO6966"/>
    <mergeCell ref="AP6966:AQ6966"/>
    <mergeCell ref="AR6966:AS6967"/>
    <mergeCell ref="AT6966:AU6967"/>
    <mergeCell ref="AV6966:AW6967"/>
    <mergeCell ref="AX6966:AY6967"/>
    <mergeCell ref="AZ6966:AZ6967"/>
    <mergeCell ref="F6967:H6967"/>
    <mergeCell ref="X6967:AB6967"/>
    <mergeCell ref="AE6967:AI6967"/>
    <mergeCell ref="AJ6967:AL6967"/>
    <mergeCell ref="AN6967:AO6967"/>
    <mergeCell ref="AP6967:AQ6967"/>
    <mergeCell ref="A6968:A6969"/>
    <mergeCell ref="E6968:E6969"/>
    <mergeCell ref="F6968:H6968"/>
    <mergeCell ref="J6968:J6969"/>
    <mergeCell ref="K6968:L6969"/>
    <mergeCell ref="M6968:N6969"/>
    <mergeCell ref="O6968:P6969"/>
    <mergeCell ref="Q6968:R6969"/>
    <mergeCell ref="S6968:T6969"/>
    <mergeCell ref="U6968:V6969"/>
    <mergeCell ref="W6968:W6969"/>
    <mergeCell ref="X6968:AB6968"/>
    <mergeCell ref="AD6968:AI6968"/>
    <mergeCell ref="AJ6968:AL6968"/>
    <mergeCell ref="AN6968:AO6968"/>
    <mergeCell ref="AP6968:AQ6968"/>
    <mergeCell ref="AR6968:AS6969"/>
    <mergeCell ref="AT6968:AU6969"/>
    <mergeCell ref="AV6968:AW6969"/>
    <mergeCell ref="AX6968:AY6969"/>
    <mergeCell ref="AZ6968:AZ6969"/>
    <mergeCell ref="F6969:H6969"/>
    <mergeCell ref="X6969:AB6969"/>
    <mergeCell ref="AE6969:AI6969"/>
    <mergeCell ref="AJ6969:AL6969"/>
    <mergeCell ref="AN6969:AO6969"/>
    <mergeCell ref="AP6969:AQ6969"/>
    <mergeCell ref="A6970:A6971"/>
    <mergeCell ref="E6970:E6971"/>
    <mergeCell ref="F6970:H6970"/>
    <mergeCell ref="J6970:J6971"/>
    <mergeCell ref="K6970:L6971"/>
    <mergeCell ref="M6970:N6971"/>
    <mergeCell ref="O6970:P6971"/>
    <mergeCell ref="Q6970:R6971"/>
    <mergeCell ref="S6970:T6971"/>
    <mergeCell ref="U6970:V6971"/>
    <mergeCell ref="W6970:W6971"/>
    <mergeCell ref="X6970:AB6970"/>
    <mergeCell ref="AD6970:AI6970"/>
    <mergeCell ref="AJ6970:AL6970"/>
    <mergeCell ref="AN6970:AO6970"/>
    <mergeCell ref="AP6970:AQ6970"/>
    <mergeCell ref="AR6970:AS6971"/>
    <mergeCell ref="AT6970:AU6971"/>
    <mergeCell ref="AV6970:AW6971"/>
    <mergeCell ref="AX6970:AY6971"/>
    <mergeCell ref="AZ6970:AZ6971"/>
    <mergeCell ref="F6971:H6971"/>
    <mergeCell ref="X6971:AB6971"/>
    <mergeCell ref="AE6971:AI6971"/>
    <mergeCell ref="AJ6971:AL6971"/>
    <mergeCell ref="AN6971:AO6971"/>
    <mergeCell ref="AP6971:AQ6971"/>
    <mergeCell ref="A6972:A6973"/>
    <mergeCell ref="E6972:E6973"/>
    <mergeCell ref="F6972:H6972"/>
    <mergeCell ref="J6972:J6973"/>
    <mergeCell ref="K6972:L6973"/>
    <mergeCell ref="M6972:N6973"/>
    <mergeCell ref="O6972:P6973"/>
    <mergeCell ref="Q6972:R6973"/>
    <mergeCell ref="S6972:T6973"/>
    <mergeCell ref="U6972:V6973"/>
    <mergeCell ref="W6972:W6973"/>
    <mergeCell ref="X6972:AB6972"/>
    <mergeCell ref="AD6972:AI6972"/>
    <mergeCell ref="AJ6972:AL6972"/>
    <mergeCell ref="AN6972:AO6972"/>
    <mergeCell ref="AP6972:AQ6972"/>
    <mergeCell ref="AR6972:AS6973"/>
    <mergeCell ref="AT6972:AU6973"/>
    <mergeCell ref="AV6972:AW6973"/>
    <mergeCell ref="AX6972:AY6973"/>
    <mergeCell ref="AZ6972:AZ6973"/>
    <mergeCell ref="F6973:H6973"/>
    <mergeCell ref="X6973:AB6973"/>
    <mergeCell ref="AE6973:AI6973"/>
    <mergeCell ref="AJ6973:AL6973"/>
    <mergeCell ref="AN6973:AO6973"/>
    <mergeCell ref="AP6973:AQ6973"/>
    <mergeCell ref="A6974:A6975"/>
    <mergeCell ref="E6974:E6975"/>
    <mergeCell ref="F6974:H6974"/>
    <mergeCell ref="J6974:J6975"/>
    <mergeCell ref="K6974:L6975"/>
    <mergeCell ref="M6974:N6975"/>
    <mergeCell ref="O6974:P6975"/>
    <mergeCell ref="Q6974:R6975"/>
    <mergeCell ref="S6974:T6975"/>
    <mergeCell ref="U6974:V6975"/>
    <mergeCell ref="W6974:W6975"/>
    <mergeCell ref="X6974:AB6974"/>
    <mergeCell ref="AD6974:AI6974"/>
    <mergeCell ref="AJ6974:AL6974"/>
    <mergeCell ref="AN6974:AO6974"/>
    <mergeCell ref="AP6974:AQ6974"/>
    <mergeCell ref="AR6974:AS6975"/>
    <mergeCell ref="AT6974:AU6975"/>
    <mergeCell ref="AV6974:AW6975"/>
    <mergeCell ref="AX6974:AY6975"/>
    <mergeCell ref="AZ6974:AZ6975"/>
    <mergeCell ref="F6975:H6975"/>
    <mergeCell ref="X6975:AB6975"/>
    <mergeCell ref="AE6975:AI6975"/>
    <mergeCell ref="AJ6975:AL6975"/>
    <mergeCell ref="AN6975:AO6975"/>
    <mergeCell ref="AP6975:AQ6975"/>
    <mergeCell ref="A6976:A6977"/>
    <mergeCell ref="E6976:E6977"/>
    <mergeCell ref="F6976:H6976"/>
    <mergeCell ref="J6976:J6977"/>
    <mergeCell ref="K6976:L6977"/>
    <mergeCell ref="M6976:N6977"/>
    <mergeCell ref="O6976:P6977"/>
    <mergeCell ref="Q6976:R6977"/>
    <mergeCell ref="S6976:T6977"/>
    <mergeCell ref="U6976:V6977"/>
    <mergeCell ref="W6976:W6977"/>
    <mergeCell ref="X6976:AB6976"/>
    <mergeCell ref="AD6976:AI6976"/>
    <mergeCell ref="AJ6976:AL6976"/>
    <mergeCell ref="AN6976:AO6976"/>
    <mergeCell ref="AP6976:AQ6976"/>
    <mergeCell ref="AR6976:AS6977"/>
    <mergeCell ref="AT6976:AU6977"/>
    <mergeCell ref="AV6976:AW6977"/>
    <mergeCell ref="AX6976:AY6977"/>
    <mergeCell ref="AZ6976:AZ6977"/>
    <mergeCell ref="F6977:H6977"/>
    <mergeCell ref="X6977:AB6977"/>
    <mergeCell ref="AE6977:AI6977"/>
    <mergeCell ref="AJ6977:AL6977"/>
    <mergeCell ref="AN6977:AO6977"/>
    <mergeCell ref="AP6977:AQ6977"/>
    <mergeCell ref="A6978:A6979"/>
    <mergeCell ref="E6978:E6979"/>
    <mergeCell ref="F6978:H6978"/>
    <mergeCell ref="J6978:J6979"/>
    <mergeCell ref="K6978:L6979"/>
    <mergeCell ref="M6978:N6979"/>
    <mergeCell ref="O6978:P6979"/>
    <mergeCell ref="Q6978:R6979"/>
    <mergeCell ref="S6978:T6979"/>
    <mergeCell ref="U6978:V6979"/>
    <mergeCell ref="W6978:W6979"/>
    <mergeCell ref="X6978:AB6978"/>
    <mergeCell ref="AD6978:AI6978"/>
    <mergeCell ref="AJ6978:AL6978"/>
    <mergeCell ref="AN6978:AO6978"/>
    <mergeCell ref="AP6978:AQ6978"/>
    <mergeCell ref="AR6978:AS6979"/>
    <mergeCell ref="AT6978:AU6979"/>
    <mergeCell ref="AV6978:AW6979"/>
    <mergeCell ref="AX6978:AY6979"/>
    <mergeCell ref="AZ6978:AZ6979"/>
    <mergeCell ref="F6979:H6979"/>
    <mergeCell ref="X6979:AB6979"/>
    <mergeCell ref="AE6979:AI6979"/>
    <mergeCell ref="AJ6979:AL6979"/>
    <mergeCell ref="AN6979:AO6979"/>
    <mergeCell ref="AP6979:AQ6979"/>
    <mergeCell ref="A6980:A6981"/>
    <mergeCell ref="E6980:E6981"/>
    <mergeCell ref="F6980:H6980"/>
    <mergeCell ref="J6980:J6981"/>
    <mergeCell ref="K6980:L6981"/>
    <mergeCell ref="M6980:N6981"/>
    <mergeCell ref="O6980:P6981"/>
    <mergeCell ref="Q6980:R6981"/>
    <mergeCell ref="S6980:T6981"/>
    <mergeCell ref="U6980:V6981"/>
    <mergeCell ref="W6980:W6981"/>
    <mergeCell ref="X6980:AB6980"/>
    <mergeCell ref="AD6980:AI6980"/>
    <mergeCell ref="AJ6980:AL6980"/>
    <mergeCell ref="AN6980:AO6980"/>
    <mergeCell ref="AP6980:AQ6980"/>
    <mergeCell ref="AR6980:AS6981"/>
    <mergeCell ref="AT6980:AU6981"/>
    <mergeCell ref="AV6980:AW6981"/>
    <mergeCell ref="AX6980:AY6981"/>
    <mergeCell ref="AZ6980:AZ6981"/>
    <mergeCell ref="F6981:H6981"/>
    <mergeCell ref="X6981:AB6981"/>
    <mergeCell ref="AE6981:AI6981"/>
    <mergeCell ref="AJ6981:AL6981"/>
    <mergeCell ref="AN6981:AO6981"/>
    <mergeCell ref="AP6981:AQ6981"/>
    <mergeCell ref="A6982:A6983"/>
    <mergeCell ref="E6982:E6983"/>
    <mergeCell ref="F6982:H6982"/>
    <mergeCell ref="J6982:J6983"/>
    <mergeCell ref="K6982:L6983"/>
    <mergeCell ref="M6982:N6983"/>
    <mergeCell ref="O6982:P6983"/>
    <mergeCell ref="Q6982:R6983"/>
    <mergeCell ref="S6982:T6983"/>
    <mergeCell ref="U6982:V6983"/>
    <mergeCell ref="W6982:W6983"/>
    <mergeCell ref="X6982:AB6982"/>
    <mergeCell ref="AD6982:AI6982"/>
    <mergeCell ref="AJ6982:AL6982"/>
    <mergeCell ref="AN6982:AO6982"/>
    <mergeCell ref="AP6982:AQ6982"/>
    <mergeCell ref="AR6982:AS6983"/>
    <mergeCell ref="AT6982:AU6983"/>
    <mergeCell ref="AV6982:AW6983"/>
    <mergeCell ref="AX6982:AY6983"/>
    <mergeCell ref="AZ6982:AZ6983"/>
    <mergeCell ref="F6983:H6983"/>
    <mergeCell ref="X6983:AB6983"/>
    <mergeCell ref="AE6983:AI6983"/>
    <mergeCell ref="AJ6983:AL6983"/>
    <mergeCell ref="AN6983:AO6983"/>
    <mergeCell ref="AP6983:AQ6983"/>
    <mergeCell ref="A6984:A6985"/>
    <mergeCell ref="E6984:E6985"/>
    <mergeCell ref="F6984:H6984"/>
    <mergeCell ref="J6984:J6985"/>
    <mergeCell ref="K6984:L6985"/>
    <mergeCell ref="M6984:N6985"/>
    <mergeCell ref="O6984:P6985"/>
    <mergeCell ref="Q6984:R6985"/>
    <mergeCell ref="S6984:T6985"/>
    <mergeCell ref="U6984:V6985"/>
    <mergeCell ref="W6984:W6985"/>
    <mergeCell ref="X6984:AB6984"/>
    <mergeCell ref="AD6984:AI6984"/>
    <mergeCell ref="AJ6984:AL6984"/>
    <mergeCell ref="AN6984:AO6984"/>
    <mergeCell ref="AP6984:AQ6984"/>
    <mergeCell ref="AR6984:AS6985"/>
    <mergeCell ref="AT6984:AU6985"/>
    <mergeCell ref="AV6984:AW6985"/>
    <mergeCell ref="AX6984:AY6985"/>
    <mergeCell ref="AZ6984:AZ6985"/>
    <mergeCell ref="F6985:H6985"/>
    <mergeCell ref="X6985:AB6985"/>
    <mergeCell ref="AE6985:AI6985"/>
    <mergeCell ref="AJ6985:AL6985"/>
    <mergeCell ref="AN6985:AO6985"/>
    <mergeCell ref="AP6985:AQ6985"/>
    <mergeCell ref="A6986:A6987"/>
    <mergeCell ref="E6986:E6987"/>
    <mergeCell ref="F6986:H6986"/>
    <mergeCell ref="J6986:J6987"/>
    <mergeCell ref="K6986:L6987"/>
    <mergeCell ref="M6986:N6987"/>
    <mergeCell ref="O6986:P6987"/>
    <mergeCell ref="Q6986:R6987"/>
    <mergeCell ref="S6986:T6987"/>
    <mergeCell ref="U6986:V6987"/>
    <mergeCell ref="W6986:W6987"/>
    <mergeCell ref="X6986:AB6986"/>
    <mergeCell ref="AD6986:AI6986"/>
    <mergeCell ref="AJ6986:AL6986"/>
    <mergeCell ref="AN6986:AO6986"/>
    <mergeCell ref="AP6986:AQ6986"/>
    <mergeCell ref="AR6986:AS6987"/>
    <mergeCell ref="AT6986:AU6987"/>
    <mergeCell ref="AV6986:AW6987"/>
    <mergeCell ref="AX6986:AY6987"/>
    <mergeCell ref="AZ6986:AZ6987"/>
    <mergeCell ref="F6987:H6987"/>
    <mergeCell ref="X6987:AB6987"/>
    <mergeCell ref="AE6987:AI6987"/>
    <mergeCell ref="AJ6987:AL6987"/>
    <mergeCell ref="AN6987:AO6987"/>
    <mergeCell ref="AP6987:AQ6987"/>
    <mergeCell ref="A6988:A6989"/>
    <mergeCell ref="E6988:E6989"/>
    <mergeCell ref="F6988:H6988"/>
    <mergeCell ref="J6988:J6989"/>
    <mergeCell ref="K6988:L6989"/>
    <mergeCell ref="M6988:N6989"/>
    <mergeCell ref="O6988:P6989"/>
    <mergeCell ref="Q6988:R6989"/>
    <mergeCell ref="S6988:T6989"/>
    <mergeCell ref="U6988:V6989"/>
    <mergeCell ref="W6988:W6989"/>
    <mergeCell ref="X6988:AB6988"/>
    <mergeCell ref="AD6988:AI6988"/>
    <mergeCell ref="AJ6988:AL6988"/>
    <mergeCell ref="AN6988:AO6988"/>
    <mergeCell ref="AP6988:AQ6988"/>
    <mergeCell ref="AR6988:AS6989"/>
    <mergeCell ref="AT6988:AU6989"/>
    <mergeCell ref="AV6988:AW6989"/>
    <mergeCell ref="AX6988:AY6989"/>
    <mergeCell ref="AZ6988:AZ6989"/>
    <mergeCell ref="F6989:H6989"/>
    <mergeCell ref="X6989:AB6989"/>
    <mergeCell ref="AE6989:AI6989"/>
    <mergeCell ref="AJ6989:AL6989"/>
    <mergeCell ref="AN6989:AO6989"/>
    <mergeCell ref="AP6989:AQ6989"/>
    <mergeCell ref="A6990:A6991"/>
    <mergeCell ref="E6990:E6991"/>
    <mergeCell ref="F6990:H6990"/>
    <mergeCell ref="J6990:J6991"/>
    <mergeCell ref="K6990:L6991"/>
    <mergeCell ref="M6990:N6991"/>
    <mergeCell ref="O6990:P6991"/>
    <mergeCell ref="Q6990:R6991"/>
    <mergeCell ref="S6990:T6991"/>
    <mergeCell ref="U6990:V6991"/>
    <mergeCell ref="W6990:W6991"/>
    <mergeCell ref="X6990:AB6990"/>
    <mergeCell ref="AD6990:AI6990"/>
    <mergeCell ref="AJ6990:AL6990"/>
    <mergeCell ref="AN6990:AO6990"/>
    <mergeCell ref="AP6990:AQ6990"/>
    <mergeCell ref="AR6990:AS6991"/>
    <mergeCell ref="AT6990:AU6991"/>
    <mergeCell ref="AV6990:AW6991"/>
    <mergeCell ref="AX6990:AY6991"/>
    <mergeCell ref="AZ6990:AZ6991"/>
    <mergeCell ref="F6991:H6991"/>
    <mergeCell ref="X6991:AB6991"/>
    <mergeCell ref="AE6991:AI6991"/>
    <mergeCell ref="AJ6991:AL6991"/>
    <mergeCell ref="AN6991:AO6991"/>
    <mergeCell ref="AP6991:AQ6991"/>
    <mergeCell ref="A6992:A6993"/>
    <mergeCell ref="E6992:E6993"/>
    <mergeCell ref="F6992:H6992"/>
    <mergeCell ref="J6992:J6993"/>
    <mergeCell ref="K6992:L6993"/>
    <mergeCell ref="M6992:N6993"/>
    <mergeCell ref="O6992:P6993"/>
    <mergeCell ref="Q6992:R6993"/>
    <mergeCell ref="S6992:T6993"/>
    <mergeCell ref="U6992:V6993"/>
    <mergeCell ref="W6992:W6993"/>
    <mergeCell ref="X6992:AB6992"/>
    <mergeCell ref="AD6992:AI6992"/>
    <mergeCell ref="AJ6992:AL6992"/>
    <mergeCell ref="AN6992:AO6992"/>
    <mergeCell ref="AP6992:AQ6992"/>
    <mergeCell ref="AR6992:AS6993"/>
    <mergeCell ref="AT6992:AU6993"/>
    <mergeCell ref="AV6992:AW6993"/>
    <mergeCell ref="AX6992:AY6993"/>
    <mergeCell ref="AZ6992:AZ6993"/>
    <mergeCell ref="F6993:H6993"/>
    <mergeCell ref="X6993:AB6993"/>
    <mergeCell ref="AE6993:AI6993"/>
    <mergeCell ref="AJ6993:AL6993"/>
    <mergeCell ref="AN6993:AO6993"/>
    <mergeCell ref="AP6993:AQ6993"/>
    <mergeCell ref="A6994:A6995"/>
    <mergeCell ref="E6994:E6995"/>
    <mergeCell ref="F6994:H6994"/>
    <mergeCell ref="J6994:J6995"/>
    <mergeCell ref="K6994:L6995"/>
    <mergeCell ref="M6994:N6995"/>
    <mergeCell ref="O6994:P6995"/>
    <mergeCell ref="Q6994:R6995"/>
    <mergeCell ref="S6994:T6995"/>
    <mergeCell ref="U6994:V6995"/>
    <mergeCell ref="W6994:W6995"/>
    <mergeCell ref="X6994:AB6994"/>
    <mergeCell ref="AD6994:AI6994"/>
    <mergeCell ref="AJ6994:AL6994"/>
    <mergeCell ref="AN6994:AO6994"/>
    <mergeCell ref="AP6994:AQ6994"/>
    <mergeCell ref="AR6994:AS6995"/>
    <mergeCell ref="AT6994:AU6995"/>
    <mergeCell ref="AV6994:AW6995"/>
    <mergeCell ref="AX6994:AY6995"/>
    <mergeCell ref="AZ6994:AZ6995"/>
    <mergeCell ref="F6995:H6995"/>
    <mergeCell ref="X6995:AB6995"/>
    <mergeCell ref="AE6995:AI6995"/>
    <mergeCell ref="AJ6995:AL6995"/>
    <mergeCell ref="AN6995:AO6995"/>
    <mergeCell ref="AP6995:AQ6995"/>
    <mergeCell ref="A6996:A6997"/>
    <mergeCell ref="E6996:E6997"/>
    <mergeCell ref="F6996:H6996"/>
    <mergeCell ref="J6996:J6997"/>
    <mergeCell ref="K6996:L6997"/>
    <mergeCell ref="M6996:N6997"/>
    <mergeCell ref="O6996:P6997"/>
    <mergeCell ref="Q6996:R6997"/>
    <mergeCell ref="S6996:T6997"/>
    <mergeCell ref="U6996:V6997"/>
    <mergeCell ref="W6996:W6997"/>
    <mergeCell ref="X6996:AB6996"/>
    <mergeCell ref="AD6996:AI6996"/>
    <mergeCell ref="AJ6996:AL6996"/>
    <mergeCell ref="AN6996:AO6996"/>
    <mergeCell ref="AP6996:AQ6996"/>
    <mergeCell ref="AR6996:AS6997"/>
    <mergeCell ref="AT6996:AU6997"/>
    <mergeCell ref="AV6996:AW6997"/>
    <mergeCell ref="AX6996:AY6997"/>
    <mergeCell ref="AZ6996:AZ6997"/>
    <mergeCell ref="F6997:H6997"/>
    <mergeCell ref="X6997:AB6997"/>
    <mergeCell ref="AE6997:AI6997"/>
    <mergeCell ref="AJ6997:AL6997"/>
    <mergeCell ref="AN6997:AO6997"/>
    <mergeCell ref="AP6997:AQ6997"/>
    <mergeCell ref="A6998:A6999"/>
    <mergeCell ref="E6998:E6999"/>
    <mergeCell ref="F6998:H6998"/>
    <mergeCell ref="J6998:J6999"/>
    <mergeCell ref="K6998:L6999"/>
    <mergeCell ref="M6998:N6999"/>
    <mergeCell ref="O6998:P6999"/>
    <mergeCell ref="Q6998:R6999"/>
    <mergeCell ref="S6998:T6999"/>
    <mergeCell ref="U6998:V6999"/>
    <mergeCell ref="W6998:W6999"/>
    <mergeCell ref="X6998:AB6998"/>
    <mergeCell ref="AD6998:AI6998"/>
    <mergeCell ref="AJ6998:AL6998"/>
    <mergeCell ref="AN6998:AO6998"/>
    <mergeCell ref="AP6998:AQ6998"/>
    <mergeCell ref="AR6998:AS6999"/>
    <mergeCell ref="AT6998:AU6999"/>
    <mergeCell ref="AV6998:AW6999"/>
    <mergeCell ref="AX6998:AY6999"/>
    <mergeCell ref="AZ6998:AZ6999"/>
    <mergeCell ref="F6999:H6999"/>
    <mergeCell ref="X6999:AB6999"/>
    <mergeCell ref="AE6999:AI6999"/>
    <mergeCell ref="AJ6999:AL6999"/>
    <mergeCell ref="AN6999:AO6999"/>
    <mergeCell ref="AP6999:AQ6999"/>
    <mergeCell ref="A7000:A7001"/>
    <mergeCell ref="E7000:E7001"/>
    <mergeCell ref="F7000:H7000"/>
    <mergeCell ref="J7000:J7001"/>
    <mergeCell ref="K7000:L7001"/>
    <mergeCell ref="M7000:N7001"/>
    <mergeCell ref="O7000:P7001"/>
    <mergeCell ref="Q7000:R7001"/>
    <mergeCell ref="S7000:T7001"/>
    <mergeCell ref="U7000:V7001"/>
    <mergeCell ref="W7000:W7001"/>
    <mergeCell ref="X7000:AB7000"/>
    <mergeCell ref="AD7000:AI7000"/>
    <mergeCell ref="AJ7000:AL7000"/>
    <mergeCell ref="AN7000:AO7000"/>
    <mergeCell ref="AP7000:AQ7000"/>
    <mergeCell ref="AR7000:AS7001"/>
    <mergeCell ref="AT7000:AU7001"/>
    <mergeCell ref="AV7000:AW7001"/>
    <mergeCell ref="AX7000:AY7001"/>
    <mergeCell ref="AZ7000:AZ7001"/>
    <mergeCell ref="F7001:H7001"/>
    <mergeCell ref="X7001:AB7001"/>
    <mergeCell ref="AE7001:AI7001"/>
    <mergeCell ref="AJ7001:AL7001"/>
    <mergeCell ref="AN7001:AO7001"/>
    <mergeCell ref="AP7001:AQ7001"/>
    <mergeCell ref="A7002:A7003"/>
    <mergeCell ref="E7002:E7003"/>
    <mergeCell ref="F7002:H7002"/>
    <mergeCell ref="J7002:J7003"/>
    <mergeCell ref="K7002:L7003"/>
    <mergeCell ref="M7002:N7003"/>
    <mergeCell ref="O7002:P7003"/>
    <mergeCell ref="Q7002:R7003"/>
    <mergeCell ref="S7002:T7003"/>
    <mergeCell ref="U7002:V7003"/>
    <mergeCell ref="W7002:W7003"/>
    <mergeCell ref="X7002:AB7002"/>
    <mergeCell ref="AD7002:AI7002"/>
    <mergeCell ref="AJ7002:AL7002"/>
    <mergeCell ref="AN7002:AO7002"/>
    <mergeCell ref="AP7002:AQ7002"/>
    <mergeCell ref="AR7002:AS7003"/>
    <mergeCell ref="AT7002:AU7003"/>
    <mergeCell ref="AV7002:AW7003"/>
    <mergeCell ref="AX7002:AY7003"/>
    <mergeCell ref="AZ7002:AZ7003"/>
    <mergeCell ref="F7003:H7003"/>
    <mergeCell ref="X7003:AB7003"/>
    <mergeCell ref="AE7003:AI7003"/>
    <mergeCell ref="AJ7003:AL7003"/>
    <mergeCell ref="AN7003:AO7003"/>
    <mergeCell ref="AP7003:AQ7003"/>
    <mergeCell ref="A7004:A7005"/>
    <mergeCell ref="E7004:E7005"/>
    <mergeCell ref="F7004:H7004"/>
    <mergeCell ref="J7004:J7005"/>
    <mergeCell ref="K7004:L7005"/>
    <mergeCell ref="M7004:N7005"/>
    <mergeCell ref="O7004:P7005"/>
    <mergeCell ref="Q7004:R7005"/>
    <mergeCell ref="S7004:T7005"/>
    <mergeCell ref="U7004:V7005"/>
    <mergeCell ref="W7004:W7005"/>
    <mergeCell ref="X7004:AB7004"/>
    <mergeCell ref="AD7004:AI7004"/>
    <mergeCell ref="AJ7004:AL7004"/>
    <mergeCell ref="AN7004:AO7004"/>
    <mergeCell ref="AP7004:AQ7004"/>
    <mergeCell ref="AR7004:AS7005"/>
    <mergeCell ref="AT7004:AU7005"/>
    <mergeCell ref="AV7004:AW7005"/>
    <mergeCell ref="AX7004:AY7005"/>
    <mergeCell ref="AZ7004:AZ7005"/>
    <mergeCell ref="F7005:H7005"/>
    <mergeCell ref="X7005:AB7005"/>
    <mergeCell ref="AE7005:AI7005"/>
    <mergeCell ref="AJ7005:AL7005"/>
    <mergeCell ref="AN7005:AO7005"/>
    <mergeCell ref="AP7005:AQ7005"/>
    <mergeCell ref="A7006:A7007"/>
    <mergeCell ref="E7006:E7007"/>
    <mergeCell ref="F7006:H7006"/>
    <mergeCell ref="J7006:J7007"/>
    <mergeCell ref="K7006:L7007"/>
    <mergeCell ref="M7006:N7007"/>
    <mergeCell ref="O7006:P7007"/>
    <mergeCell ref="Q7006:R7007"/>
    <mergeCell ref="S7006:T7007"/>
    <mergeCell ref="U7006:V7007"/>
    <mergeCell ref="W7006:W7007"/>
    <mergeCell ref="X7006:AB7006"/>
    <mergeCell ref="AD7006:AI7006"/>
    <mergeCell ref="AJ7006:AL7006"/>
    <mergeCell ref="AN7006:AO7006"/>
    <mergeCell ref="AP7006:AQ7006"/>
    <mergeCell ref="AR7006:AS7007"/>
    <mergeCell ref="AT7006:AU7007"/>
    <mergeCell ref="AV7006:AW7007"/>
    <mergeCell ref="AX7006:AY7007"/>
    <mergeCell ref="AZ7006:AZ7007"/>
    <mergeCell ref="F7007:H7007"/>
    <mergeCell ref="X7007:AB7007"/>
    <mergeCell ref="AE7007:AI7007"/>
    <mergeCell ref="AJ7007:AL7007"/>
    <mergeCell ref="AN7007:AO7007"/>
    <mergeCell ref="AP7007:AQ7007"/>
    <mergeCell ref="A7008:A7009"/>
    <mergeCell ref="E7008:E7009"/>
    <mergeCell ref="F7008:H7008"/>
    <mergeCell ref="J7008:J7009"/>
    <mergeCell ref="K7008:L7009"/>
    <mergeCell ref="M7008:N7009"/>
    <mergeCell ref="O7008:P7009"/>
    <mergeCell ref="Q7008:R7009"/>
    <mergeCell ref="S7008:T7009"/>
    <mergeCell ref="U7008:V7009"/>
    <mergeCell ref="W7008:W7009"/>
    <mergeCell ref="X7008:AB7008"/>
    <mergeCell ref="AD7008:AI7008"/>
    <mergeCell ref="AJ7008:AL7008"/>
    <mergeCell ref="AN7008:AO7008"/>
    <mergeCell ref="AP7008:AQ7008"/>
    <mergeCell ref="AR7008:AS7009"/>
    <mergeCell ref="AT7008:AU7009"/>
    <mergeCell ref="AV7008:AW7009"/>
    <mergeCell ref="AX7008:AY7009"/>
    <mergeCell ref="AZ7008:AZ7009"/>
    <mergeCell ref="F7009:H7009"/>
    <mergeCell ref="X7009:AB7009"/>
    <mergeCell ref="AE7009:AI7009"/>
    <mergeCell ref="AJ7009:AL7009"/>
    <mergeCell ref="AN7009:AO7009"/>
    <mergeCell ref="AP7009:AQ7009"/>
    <mergeCell ref="A7010:A7011"/>
    <mergeCell ref="E7010:E7011"/>
    <mergeCell ref="F7010:H7010"/>
    <mergeCell ref="J7010:J7011"/>
    <mergeCell ref="K7010:L7011"/>
    <mergeCell ref="M7010:N7011"/>
    <mergeCell ref="O7010:P7011"/>
    <mergeCell ref="Q7010:R7011"/>
    <mergeCell ref="S7010:T7011"/>
    <mergeCell ref="U7010:V7011"/>
    <mergeCell ref="W7010:W7011"/>
    <mergeCell ref="X7010:AB7010"/>
    <mergeCell ref="AD7010:AI7010"/>
    <mergeCell ref="AJ7010:AL7010"/>
    <mergeCell ref="AN7010:AO7010"/>
    <mergeCell ref="AP7010:AQ7010"/>
    <mergeCell ref="AR7010:AS7011"/>
    <mergeCell ref="AT7010:AU7011"/>
    <mergeCell ref="AV7010:AW7011"/>
    <mergeCell ref="AX7010:AY7011"/>
    <mergeCell ref="AZ7010:AZ7011"/>
    <mergeCell ref="F7011:H7011"/>
    <mergeCell ref="X7011:AB7011"/>
    <mergeCell ref="AE7011:AI7011"/>
    <mergeCell ref="AJ7011:AL7011"/>
    <mergeCell ref="AN7011:AO7011"/>
    <mergeCell ref="AP7011:AQ7011"/>
    <mergeCell ref="A7012:A7013"/>
    <mergeCell ref="E7012:E7013"/>
    <mergeCell ref="F7012:H7012"/>
    <mergeCell ref="J7012:J7013"/>
    <mergeCell ref="K7012:L7013"/>
    <mergeCell ref="M7012:N7013"/>
    <mergeCell ref="O7012:P7013"/>
    <mergeCell ref="Q7012:R7013"/>
    <mergeCell ref="S7012:T7013"/>
    <mergeCell ref="U7012:V7013"/>
    <mergeCell ref="W7012:W7013"/>
    <mergeCell ref="X7012:AB7012"/>
    <mergeCell ref="AD7012:AI7012"/>
    <mergeCell ref="AJ7012:AL7012"/>
    <mergeCell ref="AN7012:AO7012"/>
    <mergeCell ref="AP7012:AQ7012"/>
    <mergeCell ref="AR7012:AS7013"/>
    <mergeCell ref="AT7012:AU7013"/>
    <mergeCell ref="AV7012:AW7013"/>
    <mergeCell ref="AX7012:AY7013"/>
    <mergeCell ref="AZ7012:AZ7013"/>
    <mergeCell ref="F7013:H7013"/>
    <mergeCell ref="X7013:AB7013"/>
    <mergeCell ref="AE7013:AI7013"/>
    <mergeCell ref="AJ7013:AL7013"/>
    <mergeCell ref="AN7013:AO7013"/>
    <mergeCell ref="AP7013:AQ7013"/>
    <mergeCell ref="A7014:A7015"/>
    <mergeCell ref="E7014:E7015"/>
    <mergeCell ref="F7014:H7014"/>
    <mergeCell ref="J7014:J7015"/>
    <mergeCell ref="K7014:L7015"/>
    <mergeCell ref="M7014:N7015"/>
    <mergeCell ref="O7014:P7015"/>
    <mergeCell ref="Q7014:R7015"/>
    <mergeCell ref="S7014:T7015"/>
    <mergeCell ref="U7014:V7015"/>
    <mergeCell ref="W7014:W7015"/>
    <mergeCell ref="X7014:AB7014"/>
    <mergeCell ref="AD7014:AI7014"/>
    <mergeCell ref="AJ7014:AL7014"/>
    <mergeCell ref="AN7014:AO7014"/>
    <mergeCell ref="AP7014:AQ7014"/>
    <mergeCell ref="AR7014:AS7015"/>
    <mergeCell ref="AT7014:AU7015"/>
    <mergeCell ref="AV7014:AW7015"/>
    <mergeCell ref="AX7014:AY7015"/>
    <mergeCell ref="AZ7014:AZ7015"/>
    <mergeCell ref="F7015:H7015"/>
    <mergeCell ref="X7015:AB7015"/>
    <mergeCell ref="AE7015:AI7015"/>
    <mergeCell ref="AJ7015:AL7015"/>
    <mergeCell ref="AN7015:AO7015"/>
    <mergeCell ref="AP7015:AQ7015"/>
    <mergeCell ref="A7016:A7017"/>
    <mergeCell ref="E7016:E7017"/>
    <mergeCell ref="F7016:H7016"/>
    <mergeCell ref="J7016:J7017"/>
    <mergeCell ref="K7016:L7017"/>
    <mergeCell ref="M7016:N7017"/>
    <mergeCell ref="O7016:P7017"/>
    <mergeCell ref="Q7016:R7017"/>
    <mergeCell ref="S7016:T7017"/>
    <mergeCell ref="U7016:V7017"/>
    <mergeCell ref="W7016:W7017"/>
    <mergeCell ref="X7016:AB7016"/>
    <mergeCell ref="AD7016:AI7016"/>
    <mergeCell ref="AJ7016:AL7016"/>
    <mergeCell ref="AN7016:AO7016"/>
    <mergeCell ref="AP7016:AQ7016"/>
    <mergeCell ref="AR7016:AS7017"/>
    <mergeCell ref="AT7016:AU7017"/>
    <mergeCell ref="AV7016:AW7017"/>
    <mergeCell ref="AX7016:AY7017"/>
    <mergeCell ref="AZ7016:AZ7017"/>
    <mergeCell ref="F7017:H7017"/>
    <mergeCell ref="X7017:AB7017"/>
    <mergeCell ref="AE7017:AI7017"/>
    <mergeCell ref="AJ7017:AL7017"/>
    <mergeCell ref="AN7017:AO7017"/>
    <mergeCell ref="AP7017:AQ7017"/>
    <mergeCell ref="A7018:A7019"/>
    <mergeCell ref="E7018:E7019"/>
    <mergeCell ref="F7018:H7018"/>
    <mergeCell ref="J7018:J7019"/>
    <mergeCell ref="K7018:L7019"/>
    <mergeCell ref="M7018:N7019"/>
    <mergeCell ref="O7018:P7019"/>
    <mergeCell ref="Q7018:R7019"/>
    <mergeCell ref="S7018:T7019"/>
    <mergeCell ref="U7018:V7019"/>
    <mergeCell ref="W7018:W7019"/>
    <mergeCell ref="X7018:AB7018"/>
    <mergeCell ref="AD7018:AI7018"/>
    <mergeCell ref="AJ7018:AL7018"/>
    <mergeCell ref="AN7018:AO7018"/>
    <mergeCell ref="AP7018:AQ7018"/>
    <mergeCell ref="AR7018:AS7019"/>
    <mergeCell ref="AT7018:AU7019"/>
    <mergeCell ref="AV7018:AW7019"/>
    <mergeCell ref="AX7018:AY7019"/>
    <mergeCell ref="AZ7018:AZ7019"/>
    <mergeCell ref="F7019:H7019"/>
    <mergeCell ref="X7019:AB7019"/>
    <mergeCell ref="AE7019:AI7019"/>
    <mergeCell ref="AJ7019:AL7019"/>
    <mergeCell ref="AN7019:AO7019"/>
    <mergeCell ref="AP7019:AQ7019"/>
    <mergeCell ref="A7020:A7021"/>
    <mergeCell ref="E7020:E7021"/>
    <mergeCell ref="F7020:H7020"/>
    <mergeCell ref="J7020:J7021"/>
    <mergeCell ref="K7020:L7021"/>
    <mergeCell ref="M7020:N7021"/>
    <mergeCell ref="O7020:P7021"/>
    <mergeCell ref="Q7020:R7021"/>
    <mergeCell ref="S7020:T7021"/>
    <mergeCell ref="U7020:V7021"/>
    <mergeCell ref="W7020:W7021"/>
    <mergeCell ref="X7020:AB7020"/>
    <mergeCell ref="AD7020:AI7020"/>
    <mergeCell ref="AJ7020:AL7020"/>
    <mergeCell ref="AN7020:AO7020"/>
    <mergeCell ref="AP7020:AQ7020"/>
    <mergeCell ref="AR7020:AS7021"/>
    <mergeCell ref="AT7020:AU7021"/>
    <mergeCell ref="AV7020:AW7021"/>
    <mergeCell ref="AX7020:AY7021"/>
    <mergeCell ref="AZ7020:AZ7021"/>
    <mergeCell ref="F7021:H7021"/>
    <mergeCell ref="X7021:AB7021"/>
    <mergeCell ref="AE7021:AI7021"/>
    <mergeCell ref="AJ7021:AL7021"/>
    <mergeCell ref="AN7021:AO7021"/>
    <mergeCell ref="AP7021:AQ7021"/>
    <mergeCell ref="A7022:A7023"/>
    <mergeCell ref="E7022:E7023"/>
    <mergeCell ref="F7022:H7022"/>
    <mergeCell ref="J7022:J7023"/>
    <mergeCell ref="K7022:L7023"/>
    <mergeCell ref="M7022:N7023"/>
    <mergeCell ref="O7022:P7023"/>
    <mergeCell ref="Q7022:R7023"/>
    <mergeCell ref="S7022:T7023"/>
    <mergeCell ref="U7022:V7023"/>
    <mergeCell ref="W7022:W7023"/>
    <mergeCell ref="X7022:AB7022"/>
    <mergeCell ref="AD7022:AI7022"/>
    <mergeCell ref="AJ7022:AL7022"/>
    <mergeCell ref="AN7022:AO7022"/>
    <mergeCell ref="AP7022:AQ7022"/>
    <mergeCell ref="AR7022:AS7023"/>
    <mergeCell ref="AT7022:AU7023"/>
    <mergeCell ref="AV7022:AW7023"/>
    <mergeCell ref="AX7022:AY7023"/>
    <mergeCell ref="AZ7022:AZ7023"/>
    <mergeCell ref="F7023:H7023"/>
    <mergeCell ref="X7023:AB7023"/>
    <mergeCell ref="AE7023:AI7023"/>
    <mergeCell ref="AJ7023:AL7023"/>
    <mergeCell ref="AN7023:AO7023"/>
    <mergeCell ref="AP7023:AQ7023"/>
    <mergeCell ref="A7024:A7025"/>
    <mergeCell ref="E7024:E7025"/>
    <mergeCell ref="F7024:H7024"/>
    <mergeCell ref="J7024:J7025"/>
    <mergeCell ref="K7024:L7025"/>
    <mergeCell ref="M7024:N7025"/>
    <mergeCell ref="O7024:P7025"/>
    <mergeCell ref="Q7024:R7025"/>
    <mergeCell ref="S7024:T7025"/>
    <mergeCell ref="U7024:V7025"/>
    <mergeCell ref="W7024:W7025"/>
    <mergeCell ref="X7024:AB7024"/>
    <mergeCell ref="AD7024:AI7024"/>
    <mergeCell ref="AJ7024:AL7024"/>
    <mergeCell ref="AN7024:AO7024"/>
    <mergeCell ref="AP7024:AQ7024"/>
    <mergeCell ref="AR7024:AS7025"/>
    <mergeCell ref="AT7024:AU7025"/>
    <mergeCell ref="AV7024:AW7025"/>
    <mergeCell ref="AX7024:AY7025"/>
    <mergeCell ref="AZ7024:AZ7025"/>
    <mergeCell ref="F7025:H7025"/>
    <mergeCell ref="X7025:AB7025"/>
    <mergeCell ref="AE7025:AI7025"/>
    <mergeCell ref="AJ7025:AL7025"/>
    <mergeCell ref="AN7025:AO7025"/>
    <mergeCell ref="AP7025:AQ7025"/>
    <mergeCell ref="A7026:A7027"/>
    <mergeCell ref="E7026:E7027"/>
    <mergeCell ref="F7026:H7026"/>
    <mergeCell ref="J7026:J7027"/>
    <mergeCell ref="K7026:L7027"/>
    <mergeCell ref="M7026:N7027"/>
    <mergeCell ref="O7026:P7027"/>
    <mergeCell ref="Q7026:R7027"/>
    <mergeCell ref="S7026:T7027"/>
    <mergeCell ref="U7026:V7027"/>
    <mergeCell ref="W7026:W7027"/>
    <mergeCell ref="X7026:AB7026"/>
    <mergeCell ref="AD7026:AI7026"/>
    <mergeCell ref="AJ7026:AL7026"/>
    <mergeCell ref="AN7026:AO7026"/>
    <mergeCell ref="AP7026:AQ7026"/>
    <mergeCell ref="AR7026:AS7027"/>
    <mergeCell ref="AT7026:AU7027"/>
    <mergeCell ref="AV7026:AW7027"/>
    <mergeCell ref="AX7026:AY7027"/>
    <mergeCell ref="AZ7026:AZ7027"/>
    <mergeCell ref="F7027:H7027"/>
    <mergeCell ref="X7027:AB7027"/>
    <mergeCell ref="AE7027:AI7027"/>
    <mergeCell ref="AJ7027:AL7027"/>
    <mergeCell ref="AN7027:AO7027"/>
    <mergeCell ref="AP7027:AQ7027"/>
    <mergeCell ref="A7028:A7029"/>
    <mergeCell ref="E7028:E7029"/>
    <mergeCell ref="F7028:H7028"/>
    <mergeCell ref="J7028:J7029"/>
    <mergeCell ref="K7028:L7029"/>
    <mergeCell ref="M7028:N7029"/>
    <mergeCell ref="O7028:P7029"/>
    <mergeCell ref="Q7028:R7029"/>
    <mergeCell ref="S7028:T7029"/>
    <mergeCell ref="U7028:V7029"/>
    <mergeCell ref="W7028:W7029"/>
    <mergeCell ref="X7028:AB7028"/>
    <mergeCell ref="AD7028:AI7028"/>
    <mergeCell ref="AJ7028:AL7028"/>
    <mergeCell ref="AN7028:AO7028"/>
    <mergeCell ref="AP7028:AQ7028"/>
    <mergeCell ref="AR7028:AS7029"/>
    <mergeCell ref="AT7028:AU7029"/>
    <mergeCell ref="AV7028:AW7029"/>
    <mergeCell ref="AX7028:AY7029"/>
    <mergeCell ref="AZ7028:AZ7029"/>
    <mergeCell ref="F7029:H7029"/>
    <mergeCell ref="X7029:AB7029"/>
    <mergeCell ref="AE7029:AI7029"/>
    <mergeCell ref="AJ7029:AL7029"/>
    <mergeCell ref="AN7029:AO7029"/>
    <mergeCell ref="AP7029:AQ7029"/>
    <mergeCell ref="A7030:A7031"/>
    <mergeCell ref="E7030:E7031"/>
    <mergeCell ref="F7030:H7030"/>
    <mergeCell ref="J7030:J7031"/>
    <mergeCell ref="K7030:L7031"/>
    <mergeCell ref="M7030:N7031"/>
    <mergeCell ref="O7030:P7031"/>
    <mergeCell ref="Q7030:R7031"/>
    <mergeCell ref="S7030:T7031"/>
    <mergeCell ref="U7030:V7031"/>
    <mergeCell ref="W7030:W7031"/>
    <mergeCell ref="X7030:AB7030"/>
    <mergeCell ref="AD7030:AI7030"/>
    <mergeCell ref="AJ7030:AL7030"/>
    <mergeCell ref="AN7030:AO7030"/>
    <mergeCell ref="AP7030:AQ7030"/>
    <mergeCell ref="AR7030:AS7031"/>
    <mergeCell ref="AT7030:AU7031"/>
    <mergeCell ref="AV7030:AW7031"/>
    <mergeCell ref="AX7030:AY7031"/>
    <mergeCell ref="AZ7030:AZ7031"/>
    <mergeCell ref="F7031:H7031"/>
    <mergeCell ref="X7031:AB7031"/>
    <mergeCell ref="AE7031:AI7031"/>
    <mergeCell ref="AJ7031:AL7031"/>
    <mergeCell ref="AN7031:AO7031"/>
    <mergeCell ref="AP7031:AQ7031"/>
    <mergeCell ref="A7032:A7033"/>
    <mergeCell ref="E7032:E7033"/>
    <mergeCell ref="F7032:H7032"/>
    <mergeCell ref="J7032:J7033"/>
    <mergeCell ref="K7032:L7033"/>
    <mergeCell ref="M7032:N7033"/>
    <mergeCell ref="O7032:P7033"/>
    <mergeCell ref="Q7032:R7033"/>
    <mergeCell ref="S7032:T7033"/>
    <mergeCell ref="U7032:V7033"/>
    <mergeCell ref="W7032:W7033"/>
    <mergeCell ref="X7032:AB7032"/>
    <mergeCell ref="AD7032:AI7032"/>
    <mergeCell ref="AJ7032:AL7032"/>
    <mergeCell ref="AN7032:AO7032"/>
    <mergeCell ref="AP7032:AQ7032"/>
    <mergeCell ref="AR7032:AS7033"/>
    <mergeCell ref="AT7032:AU7033"/>
    <mergeCell ref="AV7032:AW7033"/>
    <mergeCell ref="AX7032:AY7033"/>
    <mergeCell ref="AZ7032:AZ7033"/>
    <mergeCell ref="F7033:H7033"/>
    <mergeCell ref="X7033:AB7033"/>
    <mergeCell ref="AE7033:AI7033"/>
    <mergeCell ref="AJ7033:AL7033"/>
    <mergeCell ref="AN7033:AO7033"/>
    <mergeCell ref="AP7033:AQ7033"/>
    <mergeCell ref="A7034:A7035"/>
    <mergeCell ref="E7034:E7035"/>
    <mergeCell ref="F7034:H7034"/>
    <mergeCell ref="J7034:J7035"/>
    <mergeCell ref="K7034:L7035"/>
    <mergeCell ref="M7034:N7035"/>
    <mergeCell ref="O7034:P7035"/>
    <mergeCell ref="Q7034:R7035"/>
    <mergeCell ref="S7034:T7035"/>
    <mergeCell ref="U7034:V7035"/>
    <mergeCell ref="W7034:W7035"/>
    <mergeCell ref="X7034:AB7034"/>
    <mergeCell ref="AD7034:AI7034"/>
    <mergeCell ref="AJ7034:AL7034"/>
    <mergeCell ref="AN7034:AO7034"/>
    <mergeCell ref="AP7034:AQ7034"/>
    <mergeCell ref="AR7034:AS7035"/>
    <mergeCell ref="AT7034:AU7035"/>
    <mergeCell ref="AV7034:AW7035"/>
    <mergeCell ref="AX7034:AY7035"/>
    <mergeCell ref="AZ7034:AZ7035"/>
    <mergeCell ref="F7035:H7035"/>
    <mergeCell ref="X7035:AB7035"/>
    <mergeCell ref="AE7035:AI7035"/>
    <mergeCell ref="AJ7035:AL7035"/>
    <mergeCell ref="AN7035:AO7035"/>
    <mergeCell ref="AP7035:AQ7035"/>
    <mergeCell ref="A7036:A7037"/>
    <mergeCell ref="E7036:E7037"/>
    <mergeCell ref="F7036:H7036"/>
    <mergeCell ref="J7036:J7037"/>
    <mergeCell ref="K7036:L7037"/>
    <mergeCell ref="M7036:N7037"/>
    <mergeCell ref="O7036:P7037"/>
    <mergeCell ref="Q7036:R7037"/>
    <mergeCell ref="S7036:T7037"/>
    <mergeCell ref="U7036:V7037"/>
    <mergeCell ref="W7036:W7037"/>
    <mergeCell ref="X7036:AB7036"/>
    <mergeCell ref="AD7036:AI7036"/>
    <mergeCell ref="AJ7036:AL7036"/>
    <mergeCell ref="AN7036:AO7036"/>
    <mergeCell ref="AP7036:AQ7036"/>
    <mergeCell ref="AR7036:AS7037"/>
    <mergeCell ref="AT7036:AU7037"/>
    <mergeCell ref="AV7036:AW7037"/>
    <mergeCell ref="AX7036:AY7037"/>
    <mergeCell ref="AZ7036:AZ7037"/>
    <mergeCell ref="F7037:H7037"/>
    <mergeCell ref="X7037:AB7037"/>
    <mergeCell ref="AE7037:AI7037"/>
    <mergeCell ref="AJ7037:AL7037"/>
    <mergeCell ref="AN7037:AO7037"/>
    <mergeCell ref="AP7037:AQ7037"/>
    <mergeCell ref="A7038:A7039"/>
    <mergeCell ref="E7038:E7039"/>
    <mergeCell ref="F7038:H7038"/>
    <mergeCell ref="J7038:J7039"/>
    <mergeCell ref="K7038:L7039"/>
    <mergeCell ref="M7038:N7039"/>
    <mergeCell ref="O7038:P7039"/>
    <mergeCell ref="Q7038:R7039"/>
    <mergeCell ref="S7038:T7039"/>
    <mergeCell ref="U7038:V7039"/>
    <mergeCell ref="W7038:W7039"/>
    <mergeCell ref="X7038:AB7038"/>
    <mergeCell ref="AD7038:AI7038"/>
    <mergeCell ref="AJ7038:AL7038"/>
    <mergeCell ref="AN7038:AO7038"/>
    <mergeCell ref="AP7038:AQ7038"/>
    <mergeCell ref="AR7038:AS7039"/>
    <mergeCell ref="AT7038:AU7039"/>
    <mergeCell ref="AV7038:AW7039"/>
    <mergeCell ref="AX7038:AY7039"/>
    <mergeCell ref="AZ7038:AZ7039"/>
    <mergeCell ref="F7039:H7039"/>
    <mergeCell ref="X7039:AB7039"/>
    <mergeCell ref="AE7039:AI7039"/>
    <mergeCell ref="AJ7039:AL7039"/>
    <mergeCell ref="AN7039:AO7039"/>
    <mergeCell ref="AP7039:AQ7039"/>
    <mergeCell ref="A7040:A7041"/>
    <mergeCell ref="E7040:E7041"/>
    <mergeCell ref="F7040:H7040"/>
    <mergeCell ref="J7040:J7041"/>
    <mergeCell ref="K7040:L7041"/>
    <mergeCell ref="M7040:N7041"/>
    <mergeCell ref="O7040:P7041"/>
    <mergeCell ref="Q7040:R7041"/>
    <mergeCell ref="S7040:T7041"/>
    <mergeCell ref="U7040:V7041"/>
    <mergeCell ref="W7040:W7041"/>
    <mergeCell ref="X7040:AB7040"/>
    <mergeCell ref="AD7040:AI7040"/>
    <mergeCell ref="AJ7040:AL7040"/>
    <mergeCell ref="AN7040:AO7040"/>
    <mergeCell ref="AP7040:AQ7040"/>
    <mergeCell ref="AR7040:AS7041"/>
    <mergeCell ref="AT7040:AU7041"/>
    <mergeCell ref="AV7040:AW7041"/>
    <mergeCell ref="AX7040:AY7041"/>
    <mergeCell ref="AZ7040:AZ7041"/>
    <mergeCell ref="F7041:H7041"/>
    <mergeCell ref="X7041:AB7041"/>
    <mergeCell ref="AE7041:AI7041"/>
    <mergeCell ref="AJ7041:AL7041"/>
    <mergeCell ref="AN7041:AO7041"/>
    <mergeCell ref="AP7041:AQ7041"/>
    <mergeCell ref="A7042:A7043"/>
    <mergeCell ref="E7042:E7043"/>
    <mergeCell ref="F7042:H7042"/>
    <mergeCell ref="J7042:J7043"/>
    <mergeCell ref="K7042:L7043"/>
    <mergeCell ref="M7042:N7043"/>
    <mergeCell ref="O7042:P7043"/>
    <mergeCell ref="Q7042:R7043"/>
    <mergeCell ref="S7042:T7043"/>
    <mergeCell ref="U7042:V7043"/>
    <mergeCell ref="W7042:W7043"/>
    <mergeCell ref="X7042:AB7042"/>
    <mergeCell ref="AD7042:AI7042"/>
    <mergeCell ref="AJ7042:AL7042"/>
    <mergeCell ref="AN7042:AO7042"/>
    <mergeCell ref="AP7042:AQ7042"/>
    <mergeCell ref="AR7042:AS7043"/>
    <mergeCell ref="AT7042:AU7043"/>
    <mergeCell ref="AV7042:AW7043"/>
    <mergeCell ref="AX7042:AY7043"/>
    <mergeCell ref="AZ7042:AZ7043"/>
    <mergeCell ref="F7043:H7043"/>
    <mergeCell ref="X7043:AB7043"/>
    <mergeCell ref="AE7043:AI7043"/>
    <mergeCell ref="AJ7043:AL7043"/>
    <mergeCell ref="AN7043:AO7043"/>
    <mergeCell ref="AP7043:AQ7043"/>
    <mergeCell ref="A7044:A7045"/>
    <mergeCell ref="E7044:E7045"/>
    <mergeCell ref="F7044:H7044"/>
    <mergeCell ref="J7044:J7045"/>
    <mergeCell ref="K7044:L7045"/>
    <mergeCell ref="M7044:N7045"/>
    <mergeCell ref="O7044:P7045"/>
    <mergeCell ref="Q7044:R7045"/>
    <mergeCell ref="S7044:T7045"/>
    <mergeCell ref="U7044:V7045"/>
    <mergeCell ref="W7044:W7045"/>
    <mergeCell ref="X7044:AB7044"/>
    <mergeCell ref="AD7044:AI7044"/>
    <mergeCell ref="AJ7044:AL7044"/>
    <mergeCell ref="AN7044:AO7044"/>
    <mergeCell ref="AP7044:AQ7044"/>
    <mergeCell ref="AR7044:AS7045"/>
    <mergeCell ref="AT7044:AU7045"/>
    <mergeCell ref="AV7044:AW7045"/>
    <mergeCell ref="AX7044:AY7045"/>
    <mergeCell ref="AZ7044:AZ7045"/>
    <mergeCell ref="F7045:H7045"/>
    <mergeCell ref="X7045:AB7045"/>
    <mergeCell ref="AE7045:AI7045"/>
    <mergeCell ref="AJ7045:AL7045"/>
    <mergeCell ref="AN7045:AO7045"/>
    <mergeCell ref="AP7045:AQ7045"/>
    <mergeCell ref="A7046:A7047"/>
    <mergeCell ref="E7046:E7047"/>
    <mergeCell ref="F7046:H7046"/>
    <mergeCell ref="J7046:J7047"/>
    <mergeCell ref="K7046:L7047"/>
    <mergeCell ref="M7046:N7047"/>
    <mergeCell ref="O7046:P7047"/>
    <mergeCell ref="Q7046:R7047"/>
    <mergeCell ref="S7046:T7047"/>
    <mergeCell ref="U7046:V7047"/>
    <mergeCell ref="W7046:W7047"/>
    <mergeCell ref="X7046:AB7046"/>
    <mergeCell ref="AD7046:AI7046"/>
    <mergeCell ref="AJ7046:AL7046"/>
    <mergeCell ref="AN7046:AO7046"/>
    <mergeCell ref="AP7046:AQ7046"/>
    <mergeCell ref="AR7046:AS7047"/>
    <mergeCell ref="AT7046:AU7047"/>
    <mergeCell ref="AV7046:AW7047"/>
    <mergeCell ref="AX7046:AY7047"/>
    <mergeCell ref="AZ7046:AZ7047"/>
    <mergeCell ref="F7047:H7047"/>
    <mergeCell ref="X7047:AB7047"/>
    <mergeCell ref="AE7047:AI7047"/>
    <mergeCell ref="AJ7047:AL7047"/>
    <mergeCell ref="AN7047:AO7047"/>
    <mergeCell ref="AP7047:AQ7047"/>
    <mergeCell ref="A7048:A7049"/>
    <mergeCell ref="E7048:E7049"/>
    <mergeCell ref="F7048:H7048"/>
    <mergeCell ref="J7048:J7049"/>
    <mergeCell ref="K7048:L7049"/>
    <mergeCell ref="M7048:N7049"/>
    <mergeCell ref="O7048:P7049"/>
    <mergeCell ref="Q7048:R7049"/>
    <mergeCell ref="S7048:T7049"/>
    <mergeCell ref="U7048:V7049"/>
    <mergeCell ref="W7048:W7049"/>
    <mergeCell ref="X7048:AB7048"/>
    <mergeCell ref="AD7048:AI7048"/>
    <mergeCell ref="AJ7048:AL7048"/>
    <mergeCell ref="AN7048:AO7048"/>
    <mergeCell ref="AP7048:AQ7048"/>
    <mergeCell ref="AR7048:AS7049"/>
    <mergeCell ref="AT7048:AU7049"/>
    <mergeCell ref="AV7048:AW7049"/>
    <mergeCell ref="AX7048:AY7049"/>
    <mergeCell ref="AZ7048:AZ7049"/>
    <mergeCell ref="F7049:H7049"/>
    <mergeCell ref="X7049:AB7049"/>
    <mergeCell ref="AE7049:AI7049"/>
    <mergeCell ref="AJ7049:AL7049"/>
    <mergeCell ref="AN7049:AO7049"/>
    <mergeCell ref="AP7049:AQ7049"/>
    <mergeCell ref="A7050:A7051"/>
    <mergeCell ref="E7050:E7051"/>
    <mergeCell ref="F7050:H7050"/>
    <mergeCell ref="J7050:J7051"/>
    <mergeCell ref="K7050:L7051"/>
    <mergeCell ref="M7050:N7051"/>
    <mergeCell ref="O7050:P7051"/>
    <mergeCell ref="Q7050:R7051"/>
    <mergeCell ref="S7050:T7051"/>
    <mergeCell ref="U7050:V7051"/>
    <mergeCell ref="W7050:W7051"/>
    <mergeCell ref="X7050:AB7050"/>
    <mergeCell ref="AD7050:AI7050"/>
    <mergeCell ref="AJ7050:AL7050"/>
    <mergeCell ref="AN7050:AO7050"/>
    <mergeCell ref="AP7050:AQ7050"/>
    <mergeCell ref="AR7050:AS7051"/>
    <mergeCell ref="AT7050:AU7051"/>
    <mergeCell ref="AV7050:AW7051"/>
    <mergeCell ref="AX7050:AY7051"/>
    <mergeCell ref="AZ7050:AZ7051"/>
    <mergeCell ref="F7051:H7051"/>
    <mergeCell ref="X7051:AB7051"/>
    <mergeCell ref="AE7051:AI7051"/>
    <mergeCell ref="AJ7051:AL7051"/>
    <mergeCell ref="AN7051:AO7051"/>
    <mergeCell ref="AP7051:AQ7051"/>
    <mergeCell ref="A7052:A7053"/>
    <mergeCell ref="E7052:E7053"/>
    <mergeCell ref="F7052:H7052"/>
    <mergeCell ref="J7052:J7053"/>
    <mergeCell ref="K7052:L7053"/>
    <mergeCell ref="M7052:N7053"/>
    <mergeCell ref="O7052:P7053"/>
    <mergeCell ref="Q7052:R7053"/>
    <mergeCell ref="S7052:T7053"/>
    <mergeCell ref="U7052:V7053"/>
    <mergeCell ref="W7052:W7053"/>
    <mergeCell ref="X7052:AB7052"/>
    <mergeCell ref="AD7052:AI7052"/>
    <mergeCell ref="AJ7052:AL7052"/>
    <mergeCell ref="AN7052:AO7052"/>
    <mergeCell ref="AP7052:AQ7052"/>
    <mergeCell ref="AR7052:AS7053"/>
    <mergeCell ref="AT7052:AU7053"/>
    <mergeCell ref="AV7052:AW7053"/>
    <mergeCell ref="AX7052:AY7053"/>
    <mergeCell ref="AZ7052:AZ7053"/>
    <mergeCell ref="F7053:H7053"/>
    <mergeCell ref="X7053:AB7053"/>
    <mergeCell ref="AE7053:AI7053"/>
    <mergeCell ref="AJ7053:AL7053"/>
    <mergeCell ref="AN7053:AO7053"/>
    <mergeCell ref="AP7053:AQ7053"/>
    <mergeCell ref="A7054:A7055"/>
    <mergeCell ref="E7054:E7055"/>
    <mergeCell ref="F7054:H7054"/>
    <mergeCell ref="J7054:J7055"/>
    <mergeCell ref="K7054:L7055"/>
    <mergeCell ref="M7054:N7055"/>
    <mergeCell ref="O7054:P7055"/>
    <mergeCell ref="Q7054:R7055"/>
    <mergeCell ref="S7054:T7055"/>
    <mergeCell ref="U7054:V7055"/>
    <mergeCell ref="W7054:W7055"/>
    <mergeCell ref="X7054:AB7054"/>
    <mergeCell ref="AD7054:AI7054"/>
    <mergeCell ref="AJ7054:AL7054"/>
    <mergeCell ref="AN7054:AO7054"/>
    <mergeCell ref="AP7054:AQ7054"/>
    <mergeCell ref="AR7054:AS7055"/>
    <mergeCell ref="AT7054:AU7055"/>
    <mergeCell ref="AV7054:AW7055"/>
    <mergeCell ref="AX7054:AY7055"/>
    <mergeCell ref="AZ7054:AZ7055"/>
    <mergeCell ref="F7055:H7055"/>
    <mergeCell ref="X7055:AB7055"/>
    <mergeCell ref="AE7055:AI7055"/>
    <mergeCell ref="AJ7055:AL7055"/>
    <mergeCell ref="AN7055:AO7055"/>
    <mergeCell ref="AP7055:AQ7055"/>
    <mergeCell ref="A7056:A7057"/>
    <mergeCell ref="E7056:E7057"/>
    <mergeCell ref="F7056:H7056"/>
    <mergeCell ref="J7056:J7057"/>
    <mergeCell ref="K7056:L7057"/>
    <mergeCell ref="M7056:N7057"/>
    <mergeCell ref="O7056:P7057"/>
    <mergeCell ref="Q7056:R7057"/>
    <mergeCell ref="S7056:T7057"/>
    <mergeCell ref="U7056:V7057"/>
    <mergeCell ref="W7056:W7057"/>
    <mergeCell ref="X7056:AB7056"/>
    <mergeCell ref="AD7056:AI7056"/>
    <mergeCell ref="AJ7056:AL7056"/>
    <mergeCell ref="AN7056:AO7056"/>
    <mergeCell ref="AP7056:AQ7056"/>
    <mergeCell ref="AR7056:AS7057"/>
    <mergeCell ref="AT7056:AU7057"/>
    <mergeCell ref="AV7056:AW7057"/>
    <mergeCell ref="AX7056:AY7057"/>
    <mergeCell ref="AZ7056:AZ7057"/>
    <mergeCell ref="F7057:H7057"/>
    <mergeCell ref="X7057:AB7057"/>
    <mergeCell ref="AE7057:AI7057"/>
    <mergeCell ref="AJ7057:AL7057"/>
    <mergeCell ref="AN7057:AO7057"/>
    <mergeCell ref="AP7057:AQ7057"/>
    <mergeCell ref="A7058:A7059"/>
    <mergeCell ref="E7058:E7059"/>
    <mergeCell ref="F7058:H7058"/>
    <mergeCell ref="J7058:J7059"/>
    <mergeCell ref="K7058:L7059"/>
    <mergeCell ref="M7058:N7059"/>
    <mergeCell ref="O7058:P7059"/>
    <mergeCell ref="Q7058:R7059"/>
    <mergeCell ref="S7058:T7059"/>
    <mergeCell ref="U7058:V7059"/>
    <mergeCell ref="W7058:W7059"/>
    <mergeCell ref="X7058:AB7058"/>
    <mergeCell ref="AD7058:AI7058"/>
    <mergeCell ref="AJ7058:AL7058"/>
    <mergeCell ref="AN7058:AO7058"/>
    <mergeCell ref="AP7058:AQ7058"/>
    <mergeCell ref="AR7058:AS7059"/>
    <mergeCell ref="AT7058:AU7059"/>
    <mergeCell ref="AV7058:AW7059"/>
    <mergeCell ref="AX7058:AY7059"/>
    <mergeCell ref="AZ7058:AZ7059"/>
    <mergeCell ref="F7059:H7059"/>
    <mergeCell ref="X7059:AB7059"/>
    <mergeCell ref="AE7059:AI7059"/>
    <mergeCell ref="AJ7059:AL7059"/>
    <mergeCell ref="AN7059:AO7059"/>
    <mergeCell ref="AP7059:AQ7059"/>
    <mergeCell ref="A7060:A7061"/>
    <mergeCell ref="E7060:E7061"/>
    <mergeCell ref="F7060:H7060"/>
    <mergeCell ref="J7060:J7061"/>
    <mergeCell ref="K7060:L7061"/>
    <mergeCell ref="M7060:N7061"/>
    <mergeCell ref="O7060:P7061"/>
    <mergeCell ref="Q7060:R7061"/>
    <mergeCell ref="S7060:T7061"/>
    <mergeCell ref="U7060:V7061"/>
    <mergeCell ref="W7060:W7061"/>
    <mergeCell ref="X7060:AB7060"/>
    <mergeCell ref="AD7060:AI7060"/>
    <mergeCell ref="AJ7060:AL7060"/>
    <mergeCell ref="AN7060:AO7060"/>
    <mergeCell ref="AP7060:AQ7060"/>
    <mergeCell ref="AR7060:AS7061"/>
    <mergeCell ref="AT7060:AU7061"/>
    <mergeCell ref="AV7060:AW7061"/>
    <mergeCell ref="AX7060:AY7061"/>
    <mergeCell ref="AZ7060:AZ7061"/>
    <mergeCell ref="F7061:H7061"/>
    <mergeCell ref="X7061:AB7061"/>
    <mergeCell ref="AE7061:AI7061"/>
    <mergeCell ref="AJ7061:AL7061"/>
    <mergeCell ref="AN7061:AO7061"/>
    <mergeCell ref="AP7061:AQ7061"/>
    <mergeCell ref="A7062:A7063"/>
    <mergeCell ref="E7062:E7063"/>
    <mergeCell ref="F7062:H7062"/>
    <mergeCell ref="J7062:J7063"/>
    <mergeCell ref="K7062:L7063"/>
    <mergeCell ref="M7062:N7063"/>
    <mergeCell ref="O7062:P7063"/>
    <mergeCell ref="Q7062:R7063"/>
    <mergeCell ref="S7062:T7063"/>
    <mergeCell ref="U7062:V7063"/>
    <mergeCell ref="W7062:W7063"/>
    <mergeCell ref="X7062:AB7062"/>
    <mergeCell ref="AD7062:AI7062"/>
    <mergeCell ref="AJ7062:AL7062"/>
    <mergeCell ref="AN7062:AO7062"/>
    <mergeCell ref="AP7062:AQ7062"/>
    <mergeCell ref="AR7062:AS7063"/>
    <mergeCell ref="AT7062:AU7063"/>
    <mergeCell ref="AV7062:AW7063"/>
    <mergeCell ref="AX7062:AY7063"/>
    <mergeCell ref="AZ7062:AZ7063"/>
    <mergeCell ref="F7063:H7063"/>
    <mergeCell ref="X7063:AB7063"/>
    <mergeCell ref="AE7063:AI7063"/>
    <mergeCell ref="AJ7063:AL7063"/>
    <mergeCell ref="AN7063:AO7063"/>
    <mergeCell ref="AP7063:AQ7063"/>
    <mergeCell ref="A7064:A7065"/>
    <mergeCell ref="E7064:E7065"/>
    <mergeCell ref="F7064:H7064"/>
    <mergeCell ref="J7064:J7065"/>
    <mergeCell ref="K7064:L7065"/>
    <mergeCell ref="M7064:N7065"/>
    <mergeCell ref="O7064:P7065"/>
    <mergeCell ref="Q7064:R7065"/>
    <mergeCell ref="S7064:T7065"/>
    <mergeCell ref="U7064:V7065"/>
    <mergeCell ref="W7064:W7065"/>
    <mergeCell ref="X7064:AB7064"/>
    <mergeCell ref="AD7064:AI7064"/>
    <mergeCell ref="AJ7064:AL7064"/>
    <mergeCell ref="AN7064:AO7064"/>
    <mergeCell ref="AP7064:AQ7064"/>
    <mergeCell ref="AR7064:AS7065"/>
    <mergeCell ref="AT7064:AU7065"/>
    <mergeCell ref="AV7064:AW7065"/>
    <mergeCell ref="AX7064:AY7065"/>
    <mergeCell ref="AZ7064:AZ7065"/>
    <mergeCell ref="F7065:H7065"/>
    <mergeCell ref="X7065:AB7065"/>
    <mergeCell ref="AE7065:AI7065"/>
    <mergeCell ref="AJ7065:AL7065"/>
    <mergeCell ref="AN7065:AO7065"/>
    <mergeCell ref="AP7065:AQ7065"/>
    <mergeCell ref="A7066:A7067"/>
    <mergeCell ref="E7066:E7067"/>
    <mergeCell ref="F7066:H7066"/>
    <mergeCell ref="J7066:J7067"/>
    <mergeCell ref="K7066:L7067"/>
    <mergeCell ref="M7066:N7067"/>
    <mergeCell ref="O7066:P7067"/>
    <mergeCell ref="Q7066:R7067"/>
    <mergeCell ref="S7066:T7067"/>
    <mergeCell ref="U7066:V7067"/>
    <mergeCell ref="W7066:W7067"/>
    <mergeCell ref="X7066:AB7066"/>
    <mergeCell ref="AD7066:AI7066"/>
    <mergeCell ref="AJ7066:AL7066"/>
    <mergeCell ref="AN7066:AO7066"/>
    <mergeCell ref="AP7066:AQ7066"/>
    <mergeCell ref="AR7066:AS7067"/>
    <mergeCell ref="AT7066:AU7067"/>
    <mergeCell ref="AV7066:AW7067"/>
    <mergeCell ref="AX7066:AY7067"/>
    <mergeCell ref="AZ7066:AZ7067"/>
    <mergeCell ref="F7067:H7067"/>
    <mergeCell ref="X7067:AB7067"/>
    <mergeCell ref="AE7067:AI7067"/>
    <mergeCell ref="AJ7067:AL7067"/>
    <mergeCell ref="AN7067:AO7067"/>
    <mergeCell ref="AP7067:AQ7067"/>
    <mergeCell ref="A7068:A7069"/>
    <mergeCell ref="E7068:E7069"/>
    <mergeCell ref="F7068:H7068"/>
    <mergeCell ref="J7068:J7069"/>
    <mergeCell ref="K7068:L7069"/>
    <mergeCell ref="M7068:N7069"/>
    <mergeCell ref="O7068:P7069"/>
    <mergeCell ref="Q7068:R7069"/>
    <mergeCell ref="S7068:T7069"/>
    <mergeCell ref="U7068:V7069"/>
    <mergeCell ref="W7068:W7069"/>
    <mergeCell ref="X7068:AB7068"/>
    <mergeCell ref="AD7068:AI7068"/>
    <mergeCell ref="AJ7068:AL7068"/>
    <mergeCell ref="AN7068:AO7068"/>
    <mergeCell ref="AP7068:AQ7068"/>
    <mergeCell ref="AR7068:AS7069"/>
    <mergeCell ref="AT7068:AU7069"/>
    <mergeCell ref="AV7068:AW7069"/>
    <mergeCell ref="AX7068:AY7069"/>
    <mergeCell ref="AZ7068:AZ7069"/>
    <mergeCell ref="F7069:H7069"/>
    <mergeCell ref="X7069:AB7069"/>
    <mergeCell ref="AE7069:AI7069"/>
    <mergeCell ref="AJ7069:AL7069"/>
    <mergeCell ref="AN7069:AO7069"/>
    <mergeCell ref="AP7069:AQ7069"/>
    <mergeCell ref="A7070:A7071"/>
    <mergeCell ref="E7070:E7071"/>
    <mergeCell ref="F7070:H7070"/>
    <mergeCell ref="J7070:J7071"/>
    <mergeCell ref="K7070:L7071"/>
    <mergeCell ref="M7070:N7071"/>
    <mergeCell ref="O7070:P7071"/>
    <mergeCell ref="Q7070:R7071"/>
    <mergeCell ref="S7070:T7071"/>
    <mergeCell ref="U7070:V7071"/>
    <mergeCell ref="W7070:W7071"/>
    <mergeCell ref="X7070:AB7070"/>
    <mergeCell ref="AD7070:AI7070"/>
    <mergeCell ref="AJ7070:AL7070"/>
    <mergeCell ref="AN7070:AO7070"/>
    <mergeCell ref="AP7070:AQ7070"/>
    <mergeCell ref="AR7070:AS7071"/>
    <mergeCell ref="AT7070:AU7071"/>
    <mergeCell ref="AV7070:AW7071"/>
    <mergeCell ref="AX7070:AY7071"/>
    <mergeCell ref="AZ7070:AZ7071"/>
    <mergeCell ref="F7071:H7071"/>
    <mergeCell ref="X7071:AB7071"/>
    <mergeCell ref="AE7071:AI7071"/>
    <mergeCell ref="AJ7071:AL7071"/>
    <mergeCell ref="AN7071:AO7071"/>
    <mergeCell ref="AP7071:AQ7071"/>
    <mergeCell ref="A7072:A7073"/>
    <mergeCell ref="E7072:E7073"/>
    <mergeCell ref="F7072:H7072"/>
    <mergeCell ref="J7072:J7073"/>
    <mergeCell ref="K7072:L7073"/>
    <mergeCell ref="M7072:N7073"/>
    <mergeCell ref="O7072:P7073"/>
    <mergeCell ref="Q7072:R7073"/>
    <mergeCell ref="S7072:T7073"/>
    <mergeCell ref="U7072:V7073"/>
    <mergeCell ref="W7072:W7073"/>
    <mergeCell ref="X7072:AB7072"/>
    <mergeCell ref="AD7072:AI7072"/>
    <mergeCell ref="AJ7072:AL7072"/>
    <mergeCell ref="AN7072:AO7072"/>
    <mergeCell ref="AP7072:AQ7072"/>
    <mergeCell ref="AR7072:AS7073"/>
    <mergeCell ref="AT7072:AU7073"/>
    <mergeCell ref="AV7072:AW7073"/>
    <mergeCell ref="AX7072:AY7073"/>
    <mergeCell ref="AZ7072:AZ7073"/>
    <mergeCell ref="F7073:H7073"/>
    <mergeCell ref="X7073:AB7073"/>
    <mergeCell ref="AE7073:AI7073"/>
    <mergeCell ref="AJ7073:AL7073"/>
    <mergeCell ref="AN7073:AO7073"/>
    <mergeCell ref="AP7073:AQ7073"/>
    <mergeCell ref="A7074:A7075"/>
    <mergeCell ref="E7074:E7075"/>
    <mergeCell ref="F7074:H7074"/>
    <mergeCell ref="J7074:J7075"/>
    <mergeCell ref="K7074:L7075"/>
    <mergeCell ref="M7074:N7075"/>
    <mergeCell ref="O7074:P7075"/>
    <mergeCell ref="Q7074:R7075"/>
    <mergeCell ref="S7074:T7075"/>
    <mergeCell ref="U7074:V7075"/>
    <mergeCell ref="W7074:W7075"/>
    <mergeCell ref="X7074:AB7074"/>
    <mergeCell ref="AD7074:AI7074"/>
    <mergeCell ref="AJ7074:AL7074"/>
    <mergeCell ref="AN7074:AO7074"/>
    <mergeCell ref="AP7074:AQ7074"/>
    <mergeCell ref="AR7074:AS7075"/>
    <mergeCell ref="AT7074:AU7075"/>
    <mergeCell ref="AV7074:AW7075"/>
    <mergeCell ref="AX7074:AY7075"/>
    <mergeCell ref="AZ7074:AZ7075"/>
    <mergeCell ref="F7075:H7075"/>
    <mergeCell ref="X7075:AB7075"/>
    <mergeCell ref="AE7075:AI7075"/>
    <mergeCell ref="AJ7075:AL7075"/>
    <mergeCell ref="AN7075:AO7075"/>
    <mergeCell ref="AP7075:AQ7075"/>
    <mergeCell ref="A7076:A7077"/>
    <mergeCell ref="E7076:E7077"/>
    <mergeCell ref="F7076:H7076"/>
    <mergeCell ref="J7076:J7077"/>
    <mergeCell ref="K7076:L7077"/>
    <mergeCell ref="M7076:N7077"/>
    <mergeCell ref="O7076:P7077"/>
    <mergeCell ref="Q7076:R7077"/>
    <mergeCell ref="S7076:T7077"/>
    <mergeCell ref="U7076:V7077"/>
    <mergeCell ref="W7076:W7077"/>
    <mergeCell ref="X7076:AB7076"/>
    <mergeCell ref="AD7076:AI7076"/>
    <mergeCell ref="AJ7076:AL7076"/>
    <mergeCell ref="AN7076:AO7076"/>
    <mergeCell ref="AP7076:AQ7076"/>
    <mergeCell ref="AR7076:AS7077"/>
    <mergeCell ref="AT7076:AU7077"/>
    <mergeCell ref="AV7076:AW7077"/>
    <mergeCell ref="AX7076:AY7077"/>
    <mergeCell ref="AZ7076:AZ7077"/>
    <mergeCell ref="F7077:H7077"/>
    <mergeCell ref="X7077:AB7077"/>
    <mergeCell ref="AE7077:AI7077"/>
    <mergeCell ref="AJ7077:AL7077"/>
    <mergeCell ref="AN7077:AO7077"/>
    <mergeCell ref="AP7077:AQ7077"/>
    <mergeCell ref="A7078:A7079"/>
    <mergeCell ref="E7078:E7079"/>
    <mergeCell ref="F7078:H7078"/>
    <mergeCell ref="J7078:J7079"/>
    <mergeCell ref="K7078:L7079"/>
    <mergeCell ref="M7078:N7079"/>
    <mergeCell ref="O7078:P7079"/>
    <mergeCell ref="Q7078:R7079"/>
    <mergeCell ref="S7078:T7079"/>
    <mergeCell ref="U7078:V7079"/>
    <mergeCell ref="W7078:W7079"/>
    <mergeCell ref="X7078:AB7078"/>
    <mergeCell ref="AD7078:AI7078"/>
    <mergeCell ref="AJ7078:AL7078"/>
    <mergeCell ref="AN7078:AO7078"/>
    <mergeCell ref="AP7078:AQ7078"/>
    <mergeCell ref="AR7078:AS7079"/>
    <mergeCell ref="AT7078:AU7079"/>
    <mergeCell ref="AV7078:AW7079"/>
    <mergeCell ref="AX7078:AY7079"/>
    <mergeCell ref="AZ7078:AZ7079"/>
    <mergeCell ref="F7079:H7079"/>
    <mergeCell ref="X7079:AB7079"/>
    <mergeCell ref="AE7079:AI7079"/>
    <mergeCell ref="AJ7079:AL7079"/>
    <mergeCell ref="AN7079:AO7079"/>
    <mergeCell ref="AP7079:AQ7079"/>
    <mergeCell ref="A7080:A7081"/>
    <mergeCell ref="E7080:E7081"/>
    <mergeCell ref="F7080:H7080"/>
    <mergeCell ref="J7080:J7081"/>
    <mergeCell ref="K7080:L7081"/>
    <mergeCell ref="M7080:N7081"/>
    <mergeCell ref="O7080:P7081"/>
    <mergeCell ref="Q7080:R7081"/>
    <mergeCell ref="S7080:T7081"/>
    <mergeCell ref="U7080:V7081"/>
    <mergeCell ref="W7080:W7081"/>
    <mergeCell ref="X7080:AB7080"/>
    <mergeCell ref="AD7080:AI7080"/>
    <mergeCell ref="AJ7080:AL7080"/>
    <mergeCell ref="AN7080:AO7080"/>
    <mergeCell ref="AP7080:AQ7080"/>
    <mergeCell ref="AR7080:AS7081"/>
    <mergeCell ref="AT7080:AU7081"/>
    <mergeCell ref="AV7080:AW7081"/>
    <mergeCell ref="AX7080:AY7081"/>
    <mergeCell ref="AZ7080:AZ7081"/>
    <mergeCell ref="F7081:H7081"/>
    <mergeCell ref="X7081:AB7081"/>
    <mergeCell ref="AE7081:AI7081"/>
    <mergeCell ref="AJ7081:AL7081"/>
    <mergeCell ref="AN7081:AO7081"/>
    <mergeCell ref="AP7081:AQ7081"/>
    <mergeCell ref="A7082:A7083"/>
    <mergeCell ref="E7082:E7083"/>
    <mergeCell ref="F7082:H7082"/>
    <mergeCell ref="J7082:J7083"/>
    <mergeCell ref="K7082:L7083"/>
    <mergeCell ref="M7082:N7083"/>
    <mergeCell ref="O7082:P7083"/>
    <mergeCell ref="Q7082:R7083"/>
    <mergeCell ref="S7082:T7083"/>
    <mergeCell ref="U7082:V7083"/>
    <mergeCell ref="W7082:W7083"/>
    <mergeCell ref="X7082:AB7082"/>
    <mergeCell ref="AD7082:AI7082"/>
    <mergeCell ref="AJ7082:AL7082"/>
    <mergeCell ref="AN7082:AO7082"/>
    <mergeCell ref="AP7082:AQ7082"/>
    <mergeCell ref="AR7082:AS7083"/>
    <mergeCell ref="AT7082:AU7083"/>
    <mergeCell ref="AV7082:AW7083"/>
    <mergeCell ref="AX7082:AY7083"/>
    <mergeCell ref="AZ7082:AZ7083"/>
    <mergeCell ref="F7083:H7083"/>
    <mergeCell ref="X7083:AB7083"/>
    <mergeCell ref="AE7083:AI7083"/>
    <mergeCell ref="AJ7083:AL7083"/>
    <mergeCell ref="AN7083:AO7083"/>
    <mergeCell ref="AP7083:AQ7083"/>
    <mergeCell ref="A7084:A7085"/>
    <mergeCell ref="E7084:E7085"/>
    <mergeCell ref="F7084:H7084"/>
    <mergeCell ref="J7084:J7085"/>
    <mergeCell ref="K7084:L7085"/>
    <mergeCell ref="M7084:N7085"/>
    <mergeCell ref="O7084:P7085"/>
    <mergeCell ref="Q7084:R7085"/>
    <mergeCell ref="S7084:T7085"/>
    <mergeCell ref="U7084:V7085"/>
    <mergeCell ref="W7084:W7085"/>
    <mergeCell ref="X7084:AB7084"/>
    <mergeCell ref="AD7084:AI7084"/>
    <mergeCell ref="AJ7084:AL7084"/>
    <mergeCell ref="AN7084:AO7084"/>
    <mergeCell ref="AP7084:AQ7084"/>
    <mergeCell ref="AR7084:AS7085"/>
    <mergeCell ref="AT7084:AU7085"/>
    <mergeCell ref="AV7084:AW7085"/>
    <mergeCell ref="AX7084:AY7085"/>
    <mergeCell ref="AZ7084:AZ7085"/>
    <mergeCell ref="F7085:H7085"/>
    <mergeCell ref="X7085:AB7085"/>
    <mergeCell ref="AE7085:AI7085"/>
    <mergeCell ref="AJ7085:AL7085"/>
    <mergeCell ref="AN7085:AO7085"/>
    <mergeCell ref="AP7085:AQ7085"/>
    <mergeCell ref="A7086:A7087"/>
    <mergeCell ref="E7086:E7087"/>
    <mergeCell ref="F7086:H7086"/>
    <mergeCell ref="J7086:J7087"/>
    <mergeCell ref="K7086:L7087"/>
    <mergeCell ref="M7086:N7087"/>
    <mergeCell ref="O7086:P7087"/>
    <mergeCell ref="Q7086:R7087"/>
    <mergeCell ref="S7086:T7087"/>
    <mergeCell ref="U7086:V7087"/>
    <mergeCell ref="W7086:W7087"/>
    <mergeCell ref="X7086:AB7086"/>
    <mergeCell ref="AD7086:AI7086"/>
    <mergeCell ref="AJ7086:AL7086"/>
    <mergeCell ref="AN7086:AO7086"/>
    <mergeCell ref="AP7086:AQ7086"/>
    <mergeCell ref="AR7086:AS7087"/>
    <mergeCell ref="AT7086:AU7087"/>
    <mergeCell ref="AV7086:AW7087"/>
    <mergeCell ref="AX7086:AY7087"/>
    <mergeCell ref="AZ7086:AZ7087"/>
    <mergeCell ref="F7087:H7087"/>
    <mergeCell ref="X7087:AB7087"/>
    <mergeCell ref="AE7087:AI7087"/>
    <mergeCell ref="AJ7087:AL7087"/>
    <mergeCell ref="AN7087:AO7087"/>
    <mergeCell ref="AP7087:AQ7087"/>
    <mergeCell ref="A7088:A7089"/>
    <mergeCell ref="E7088:E7089"/>
    <mergeCell ref="F7088:H7088"/>
    <mergeCell ref="J7088:J7089"/>
    <mergeCell ref="K7088:L7089"/>
    <mergeCell ref="M7088:N7089"/>
    <mergeCell ref="O7088:P7089"/>
    <mergeCell ref="Q7088:R7089"/>
    <mergeCell ref="S7088:T7089"/>
    <mergeCell ref="U7088:V7089"/>
    <mergeCell ref="W7088:W7089"/>
    <mergeCell ref="X7088:AB7088"/>
    <mergeCell ref="AD7088:AI7088"/>
    <mergeCell ref="AJ7088:AL7088"/>
    <mergeCell ref="AN7088:AO7088"/>
    <mergeCell ref="AP7088:AQ7088"/>
    <mergeCell ref="AR7088:AS7089"/>
    <mergeCell ref="AT7088:AU7089"/>
    <mergeCell ref="AV7088:AW7089"/>
    <mergeCell ref="AX7088:AY7089"/>
    <mergeCell ref="AZ7088:AZ7089"/>
    <mergeCell ref="F7089:H7089"/>
    <mergeCell ref="X7089:AB7089"/>
    <mergeCell ref="AE7089:AI7089"/>
    <mergeCell ref="AJ7089:AL7089"/>
    <mergeCell ref="AN7089:AO7089"/>
    <mergeCell ref="AP7089:AQ7089"/>
    <mergeCell ref="A7090:A7091"/>
    <mergeCell ref="E7090:E7091"/>
    <mergeCell ref="F7090:H7090"/>
    <mergeCell ref="J7090:J7091"/>
    <mergeCell ref="K7090:L7091"/>
    <mergeCell ref="M7090:N7091"/>
    <mergeCell ref="O7090:P7091"/>
    <mergeCell ref="Q7090:R7091"/>
    <mergeCell ref="S7090:T7091"/>
    <mergeCell ref="U7090:V7091"/>
    <mergeCell ref="W7090:W7091"/>
    <mergeCell ref="X7090:AB7090"/>
    <mergeCell ref="AD7090:AI7090"/>
    <mergeCell ref="AJ7090:AL7090"/>
    <mergeCell ref="AN7090:AO7090"/>
    <mergeCell ref="AP7090:AQ7090"/>
    <mergeCell ref="AR7090:AS7091"/>
    <mergeCell ref="AT7090:AU7091"/>
    <mergeCell ref="AV7090:AW7091"/>
    <mergeCell ref="AX7090:AY7091"/>
    <mergeCell ref="AZ7090:AZ7091"/>
    <mergeCell ref="F7091:H7091"/>
    <mergeCell ref="X7091:AB7091"/>
    <mergeCell ref="AE7091:AI7091"/>
    <mergeCell ref="AJ7091:AL7091"/>
    <mergeCell ref="AN7091:AO7091"/>
    <mergeCell ref="AP7091:AQ7091"/>
    <mergeCell ref="A7092:A7093"/>
    <mergeCell ref="E7092:E7093"/>
    <mergeCell ref="F7092:H7092"/>
    <mergeCell ref="J7092:J7093"/>
    <mergeCell ref="K7092:L7093"/>
    <mergeCell ref="M7092:N7093"/>
    <mergeCell ref="O7092:P7093"/>
    <mergeCell ref="Q7092:R7093"/>
    <mergeCell ref="S7092:T7093"/>
    <mergeCell ref="U7092:V7093"/>
    <mergeCell ref="W7092:W7093"/>
    <mergeCell ref="X7092:AB7092"/>
    <mergeCell ref="AD7092:AI7092"/>
    <mergeCell ref="AJ7092:AL7092"/>
    <mergeCell ref="AN7092:AO7092"/>
    <mergeCell ref="AP7092:AQ7092"/>
    <mergeCell ref="AR7092:AS7093"/>
    <mergeCell ref="AT7092:AU7093"/>
    <mergeCell ref="AV7092:AW7093"/>
    <mergeCell ref="AX7092:AY7093"/>
    <mergeCell ref="AZ7092:AZ7093"/>
    <mergeCell ref="F7093:H7093"/>
    <mergeCell ref="X7093:AB7093"/>
    <mergeCell ref="AE7093:AI7093"/>
    <mergeCell ref="AJ7093:AL7093"/>
    <mergeCell ref="AN7093:AO7093"/>
    <mergeCell ref="AP7093:AQ7093"/>
    <mergeCell ref="A7094:A7095"/>
    <mergeCell ref="E7094:E7095"/>
    <mergeCell ref="F7094:H7094"/>
    <mergeCell ref="J7094:J7095"/>
    <mergeCell ref="K7094:L7095"/>
    <mergeCell ref="M7094:N7095"/>
    <mergeCell ref="O7094:P7095"/>
    <mergeCell ref="Q7094:R7095"/>
    <mergeCell ref="S7094:T7095"/>
    <mergeCell ref="U7094:V7095"/>
    <mergeCell ref="W7094:W7095"/>
    <mergeCell ref="X7094:AB7094"/>
    <mergeCell ref="AD7094:AI7094"/>
    <mergeCell ref="AJ7094:AL7094"/>
    <mergeCell ref="AN7094:AO7094"/>
    <mergeCell ref="AP7094:AQ7094"/>
    <mergeCell ref="AR7094:AS7095"/>
    <mergeCell ref="AT7094:AU7095"/>
    <mergeCell ref="AV7094:AW7095"/>
    <mergeCell ref="AX7094:AY7095"/>
    <mergeCell ref="AZ7094:AZ7095"/>
    <mergeCell ref="F7095:H7095"/>
    <mergeCell ref="X7095:AB7095"/>
    <mergeCell ref="AE7095:AI7095"/>
    <mergeCell ref="AJ7095:AL7095"/>
    <mergeCell ref="AN7095:AO7095"/>
    <mergeCell ref="AP7095:AQ7095"/>
    <mergeCell ref="A7096:A7097"/>
    <mergeCell ref="E7096:E7097"/>
    <mergeCell ref="F7096:H7096"/>
    <mergeCell ref="J7096:J7097"/>
    <mergeCell ref="K7096:L7097"/>
    <mergeCell ref="M7096:N7097"/>
    <mergeCell ref="O7096:P7097"/>
    <mergeCell ref="Q7096:R7097"/>
    <mergeCell ref="S7096:T7097"/>
    <mergeCell ref="U7096:V7097"/>
    <mergeCell ref="W7096:W7097"/>
    <mergeCell ref="X7096:AB7096"/>
    <mergeCell ref="AD7096:AI7096"/>
    <mergeCell ref="AJ7096:AL7096"/>
    <mergeCell ref="AN7096:AO7096"/>
    <mergeCell ref="AP7096:AQ7096"/>
    <mergeCell ref="AR7096:AS7097"/>
    <mergeCell ref="AT7096:AU7097"/>
    <mergeCell ref="AV7096:AW7097"/>
    <mergeCell ref="AX7096:AY7097"/>
    <mergeCell ref="AZ7096:AZ7097"/>
    <mergeCell ref="F7097:H7097"/>
    <mergeCell ref="X7097:AB7097"/>
    <mergeCell ref="AE7097:AI7097"/>
    <mergeCell ref="AJ7097:AL7097"/>
    <mergeCell ref="AN7097:AO7097"/>
    <mergeCell ref="AP7097:AQ7097"/>
    <mergeCell ref="A7098:A7099"/>
    <mergeCell ref="E7098:E7099"/>
    <mergeCell ref="F7098:H7098"/>
    <mergeCell ref="J7098:J7099"/>
    <mergeCell ref="K7098:L7099"/>
    <mergeCell ref="M7098:N7099"/>
    <mergeCell ref="O7098:P7099"/>
    <mergeCell ref="Q7098:R7099"/>
    <mergeCell ref="S7098:T7099"/>
    <mergeCell ref="U7098:V7099"/>
    <mergeCell ref="W7098:W7099"/>
    <mergeCell ref="X7098:AB7098"/>
    <mergeCell ref="AD7098:AI7098"/>
    <mergeCell ref="AJ7098:AL7098"/>
    <mergeCell ref="AN7098:AO7098"/>
    <mergeCell ref="AP7098:AQ7098"/>
    <mergeCell ref="AR7098:AS7099"/>
    <mergeCell ref="AT7098:AU7099"/>
    <mergeCell ref="AV7098:AW7099"/>
    <mergeCell ref="AX7098:AY7099"/>
    <mergeCell ref="AZ7098:AZ7099"/>
    <mergeCell ref="F7099:H7099"/>
    <mergeCell ref="X7099:AB7099"/>
    <mergeCell ref="AE7099:AI7099"/>
    <mergeCell ref="AJ7099:AL7099"/>
    <mergeCell ref="AN7099:AO7099"/>
    <mergeCell ref="AP7099:AQ7099"/>
    <mergeCell ref="A7100:A7101"/>
    <mergeCell ref="E7100:E7101"/>
    <mergeCell ref="F7100:H7100"/>
    <mergeCell ref="J7100:J7101"/>
    <mergeCell ref="K7100:L7101"/>
    <mergeCell ref="M7100:N7101"/>
    <mergeCell ref="O7100:P7101"/>
    <mergeCell ref="Q7100:R7101"/>
    <mergeCell ref="S7100:T7101"/>
    <mergeCell ref="U7100:V7101"/>
    <mergeCell ref="W7100:W7101"/>
    <mergeCell ref="X7100:AB7100"/>
    <mergeCell ref="AD7100:AI7100"/>
    <mergeCell ref="AJ7100:AL7100"/>
    <mergeCell ref="AN7100:AO7100"/>
    <mergeCell ref="AP7100:AQ7100"/>
    <mergeCell ref="AR7100:AS7101"/>
    <mergeCell ref="AT7100:AU7101"/>
    <mergeCell ref="AV7100:AW7101"/>
    <mergeCell ref="AX7100:AY7101"/>
    <mergeCell ref="AZ7100:AZ7101"/>
    <mergeCell ref="F7101:H7101"/>
    <mergeCell ref="X7101:AB7101"/>
    <mergeCell ref="AE7101:AI7101"/>
    <mergeCell ref="AJ7101:AL7101"/>
    <mergeCell ref="AN7101:AO7101"/>
    <mergeCell ref="AP7101:AQ7101"/>
    <mergeCell ref="A7102:A7103"/>
    <mergeCell ref="E7102:E7103"/>
    <mergeCell ref="F7102:H7102"/>
    <mergeCell ref="J7102:J7103"/>
    <mergeCell ref="K7102:L7103"/>
    <mergeCell ref="M7102:N7103"/>
    <mergeCell ref="O7102:P7103"/>
    <mergeCell ref="Q7102:R7103"/>
    <mergeCell ref="S7102:T7103"/>
    <mergeCell ref="U7102:V7103"/>
    <mergeCell ref="W7102:W7103"/>
    <mergeCell ref="X7102:AB7102"/>
    <mergeCell ref="AD7102:AI7102"/>
    <mergeCell ref="AJ7102:AL7102"/>
    <mergeCell ref="AN7102:AO7102"/>
    <mergeCell ref="AP7102:AQ7102"/>
    <mergeCell ref="AR7102:AS7103"/>
    <mergeCell ref="AT7102:AU7103"/>
    <mergeCell ref="AV7102:AW7103"/>
    <mergeCell ref="AX7102:AY7103"/>
    <mergeCell ref="AZ7102:AZ7103"/>
    <mergeCell ref="F7103:H7103"/>
    <mergeCell ref="X7103:AB7103"/>
    <mergeCell ref="AE7103:AI7103"/>
    <mergeCell ref="AJ7103:AL7103"/>
    <mergeCell ref="AN7103:AO7103"/>
    <mergeCell ref="AP7103:AQ7103"/>
    <mergeCell ref="A7104:A7105"/>
    <mergeCell ref="E7104:E7105"/>
    <mergeCell ref="F7104:H7104"/>
    <mergeCell ref="J7104:J7105"/>
    <mergeCell ref="K7104:L7105"/>
    <mergeCell ref="M7104:N7105"/>
    <mergeCell ref="O7104:P7105"/>
    <mergeCell ref="Q7104:R7105"/>
    <mergeCell ref="S7104:T7105"/>
    <mergeCell ref="U7104:V7105"/>
    <mergeCell ref="W7104:W7105"/>
    <mergeCell ref="X7104:AB7104"/>
    <mergeCell ref="AD7104:AI7104"/>
    <mergeCell ref="AJ7104:AL7104"/>
    <mergeCell ref="AN7104:AO7104"/>
    <mergeCell ref="AP7104:AQ7104"/>
    <mergeCell ref="AR7104:AS7105"/>
    <mergeCell ref="AT7104:AU7105"/>
    <mergeCell ref="AV7104:AW7105"/>
    <mergeCell ref="AX7104:AY7105"/>
    <mergeCell ref="AZ7104:AZ7105"/>
    <mergeCell ref="F7105:H7105"/>
    <mergeCell ref="X7105:AB7105"/>
    <mergeCell ref="AE7105:AI7105"/>
    <mergeCell ref="AJ7105:AL7105"/>
    <mergeCell ref="AN7105:AO7105"/>
    <mergeCell ref="AP7105:AQ7105"/>
    <mergeCell ref="A7106:A7107"/>
    <mergeCell ref="E7106:E7107"/>
    <mergeCell ref="F7106:H7106"/>
    <mergeCell ref="J7106:J7107"/>
    <mergeCell ref="K7106:L7107"/>
    <mergeCell ref="M7106:N7107"/>
    <mergeCell ref="O7106:P7107"/>
    <mergeCell ref="Q7106:R7107"/>
    <mergeCell ref="S7106:T7107"/>
    <mergeCell ref="U7106:V7107"/>
    <mergeCell ref="W7106:W7107"/>
    <mergeCell ref="X7106:AB7106"/>
    <mergeCell ref="AD7106:AI7106"/>
    <mergeCell ref="AJ7106:AL7106"/>
    <mergeCell ref="AN7106:AO7106"/>
    <mergeCell ref="AP7106:AQ7106"/>
    <mergeCell ref="AR7106:AS7107"/>
    <mergeCell ref="AT7106:AU7107"/>
    <mergeCell ref="AV7106:AW7107"/>
    <mergeCell ref="AX7106:AY7107"/>
    <mergeCell ref="AZ7106:AZ7107"/>
    <mergeCell ref="F7107:H7107"/>
    <mergeCell ref="X7107:AB7107"/>
    <mergeCell ref="AE7107:AI7107"/>
    <mergeCell ref="AJ7107:AL7107"/>
    <mergeCell ref="AN7107:AO7107"/>
    <mergeCell ref="AP7107:AQ7107"/>
    <mergeCell ref="A7108:A7109"/>
    <mergeCell ref="E7108:E7109"/>
    <mergeCell ref="F7108:H7108"/>
    <mergeCell ref="J7108:J7109"/>
    <mergeCell ref="K7108:L7109"/>
    <mergeCell ref="M7108:N7109"/>
    <mergeCell ref="O7108:P7109"/>
    <mergeCell ref="Q7108:R7109"/>
    <mergeCell ref="S7108:T7109"/>
    <mergeCell ref="U7108:V7109"/>
    <mergeCell ref="W7108:W7109"/>
    <mergeCell ref="X7108:AB7108"/>
    <mergeCell ref="AD7108:AI7108"/>
    <mergeCell ref="AJ7108:AL7108"/>
    <mergeCell ref="AN7108:AO7108"/>
    <mergeCell ref="AP7108:AQ7108"/>
    <mergeCell ref="AR7108:AS7109"/>
    <mergeCell ref="AT7108:AU7109"/>
    <mergeCell ref="AV7108:AW7109"/>
    <mergeCell ref="AX7108:AY7109"/>
    <mergeCell ref="AZ7108:AZ7109"/>
    <mergeCell ref="F7109:H7109"/>
    <mergeCell ref="X7109:AB7109"/>
    <mergeCell ref="AE7109:AI7109"/>
    <mergeCell ref="AJ7109:AL7109"/>
    <mergeCell ref="AN7109:AO7109"/>
    <mergeCell ref="AP7109:AQ7109"/>
    <mergeCell ref="A7110:A7111"/>
    <mergeCell ref="E7110:E7111"/>
    <mergeCell ref="F7110:H7110"/>
    <mergeCell ref="J7110:J7111"/>
    <mergeCell ref="K7110:L7111"/>
    <mergeCell ref="M7110:N7111"/>
    <mergeCell ref="O7110:P7111"/>
    <mergeCell ref="Q7110:R7111"/>
    <mergeCell ref="S7110:T7111"/>
    <mergeCell ref="U7110:V7111"/>
    <mergeCell ref="W7110:W7111"/>
    <mergeCell ref="X7110:AB7110"/>
    <mergeCell ref="AD7110:AI7110"/>
    <mergeCell ref="AJ7110:AL7110"/>
    <mergeCell ref="AN7110:AO7110"/>
    <mergeCell ref="AP7110:AQ7110"/>
    <mergeCell ref="AR7110:AS7111"/>
    <mergeCell ref="AT7110:AU7111"/>
    <mergeCell ref="AV7110:AW7111"/>
    <mergeCell ref="AX7110:AY7111"/>
    <mergeCell ref="AZ7110:AZ7111"/>
    <mergeCell ref="F7111:H7111"/>
    <mergeCell ref="X7111:AB7111"/>
    <mergeCell ref="AE7111:AI7111"/>
    <mergeCell ref="AJ7111:AL7111"/>
    <mergeCell ref="AN7111:AO7111"/>
    <mergeCell ref="AP7111:AQ7111"/>
    <mergeCell ref="A7112:A7113"/>
    <mergeCell ref="E7112:E7113"/>
    <mergeCell ref="F7112:H7112"/>
    <mergeCell ref="J7112:J7113"/>
    <mergeCell ref="K7112:L7113"/>
    <mergeCell ref="M7112:N7113"/>
    <mergeCell ref="O7112:P7113"/>
    <mergeCell ref="Q7112:R7113"/>
    <mergeCell ref="S7112:T7113"/>
    <mergeCell ref="U7112:V7113"/>
    <mergeCell ref="W7112:W7113"/>
    <mergeCell ref="X7112:AB7112"/>
    <mergeCell ref="AD7112:AI7112"/>
    <mergeCell ref="AJ7112:AL7112"/>
    <mergeCell ref="AN7112:AO7112"/>
    <mergeCell ref="AP7112:AQ7112"/>
    <mergeCell ref="AR7112:AS7113"/>
    <mergeCell ref="AT7112:AU7113"/>
    <mergeCell ref="AV7112:AW7113"/>
    <mergeCell ref="AX7112:AY7113"/>
    <mergeCell ref="AZ7112:AZ7113"/>
    <mergeCell ref="F7113:H7113"/>
    <mergeCell ref="X7113:AB7113"/>
    <mergeCell ref="AE7113:AI7113"/>
    <mergeCell ref="AJ7113:AL7113"/>
    <mergeCell ref="AN7113:AO7113"/>
    <mergeCell ref="AP7113:AQ7113"/>
    <mergeCell ref="A7114:A7115"/>
    <mergeCell ref="E7114:E7115"/>
    <mergeCell ref="F7114:H7114"/>
    <mergeCell ref="J7114:J7115"/>
    <mergeCell ref="K7114:L7115"/>
    <mergeCell ref="M7114:N7115"/>
    <mergeCell ref="O7114:P7115"/>
    <mergeCell ref="Q7114:R7115"/>
    <mergeCell ref="S7114:T7115"/>
    <mergeCell ref="U7114:V7115"/>
    <mergeCell ref="W7114:W7115"/>
    <mergeCell ref="X7114:AB7114"/>
    <mergeCell ref="AD7114:AI7114"/>
    <mergeCell ref="AJ7114:AL7114"/>
    <mergeCell ref="AN7114:AO7114"/>
    <mergeCell ref="AP7114:AQ7114"/>
    <mergeCell ref="AR7114:AS7115"/>
    <mergeCell ref="AT7114:AU7115"/>
    <mergeCell ref="AV7114:AW7115"/>
    <mergeCell ref="AX7114:AY7115"/>
    <mergeCell ref="AZ7114:AZ7115"/>
    <mergeCell ref="F7115:H7115"/>
    <mergeCell ref="X7115:AB7115"/>
    <mergeCell ref="AE7115:AI7115"/>
    <mergeCell ref="AJ7115:AL7115"/>
    <mergeCell ref="AN7115:AO7115"/>
    <mergeCell ref="AP7115:AQ7115"/>
    <mergeCell ref="A7116:A7117"/>
    <mergeCell ref="E7116:E7117"/>
    <mergeCell ref="F7116:H7116"/>
    <mergeCell ref="J7116:J7117"/>
    <mergeCell ref="K7116:L7117"/>
    <mergeCell ref="M7116:N7117"/>
    <mergeCell ref="O7116:P7117"/>
    <mergeCell ref="Q7116:R7117"/>
    <mergeCell ref="S7116:T7117"/>
    <mergeCell ref="U7116:V7117"/>
    <mergeCell ref="W7116:W7117"/>
    <mergeCell ref="X7116:AB7116"/>
    <mergeCell ref="AD7116:AI7116"/>
    <mergeCell ref="AJ7116:AL7116"/>
    <mergeCell ref="AN7116:AO7116"/>
    <mergeCell ref="AP7116:AQ7116"/>
    <mergeCell ref="AR7116:AS7117"/>
    <mergeCell ref="AT7116:AU7117"/>
    <mergeCell ref="AV7116:AW7117"/>
    <mergeCell ref="AX7116:AY7117"/>
    <mergeCell ref="AZ7116:AZ7117"/>
    <mergeCell ref="F7117:H7117"/>
    <mergeCell ref="X7117:AB7117"/>
    <mergeCell ref="AE7117:AI7117"/>
    <mergeCell ref="AJ7117:AL7117"/>
    <mergeCell ref="AN7117:AO7117"/>
    <mergeCell ref="AP7117:AQ7117"/>
    <mergeCell ref="A7118:A7119"/>
    <mergeCell ref="E7118:E7119"/>
    <mergeCell ref="F7118:H7118"/>
    <mergeCell ref="J7118:J7119"/>
    <mergeCell ref="K7118:L7119"/>
    <mergeCell ref="M7118:N7119"/>
    <mergeCell ref="O7118:P7119"/>
    <mergeCell ref="Q7118:R7119"/>
    <mergeCell ref="S7118:T7119"/>
    <mergeCell ref="U7118:V7119"/>
    <mergeCell ref="W7118:W7119"/>
    <mergeCell ref="X7118:AB7118"/>
    <mergeCell ref="AD7118:AI7118"/>
    <mergeCell ref="AJ7118:AL7118"/>
    <mergeCell ref="AN7118:AO7118"/>
    <mergeCell ref="AP7118:AQ7118"/>
    <mergeCell ref="AR7118:AS7119"/>
    <mergeCell ref="AT7118:AU7119"/>
    <mergeCell ref="AV7118:AW7119"/>
    <mergeCell ref="AX7118:AY7119"/>
    <mergeCell ref="AZ7118:AZ7119"/>
    <mergeCell ref="F7119:H7119"/>
    <mergeCell ref="X7119:AB7119"/>
    <mergeCell ref="AE7119:AI7119"/>
    <mergeCell ref="AJ7119:AL7119"/>
    <mergeCell ref="AN7119:AO7119"/>
    <mergeCell ref="AP7119:AQ7119"/>
    <mergeCell ref="A7120:A7121"/>
    <mergeCell ref="E7120:E7121"/>
    <mergeCell ref="F7120:H7120"/>
    <mergeCell ref="J7120:J7121"/>
    <mergeCell ref="K7120:L7121"/>
    <mergeCell ref="M7120:N7121"/>
    <mergeCell ref="O7120:P7121"/>
    <mergeCell ref="Q7120:R7121"/>
    <mergeCell ref="S7120:T7121"/>
    <mergeCell ref="U7120:V7121"/>
    <mergeCell ref="W7120:W7121"/>
    <mergeCell ref="X7120:AB7120"/>
    <mergeCell ref="AD7120:AI7120"/>
    <mergeCell ref="AJ7120:AL7120"/>
    <mergeCell ref="AN7120:AO7120"/>
    <mergeCell ref="AP7120:AQ7120"/>
    <mergeCell ref="AR7120:AS7121"/>
    <mergeCell ref="AT7120:AU7121"/>
    <mergeCell ref="AV7120:AW7121"/>
    <mergeCell ref="AX7120:AY7121"/>
    <mergeCell ref="AZ7120:AZ7121"/>
    <mergeCell ref="F7121:H7121"/>
    <mergeCell ref="X7121:AB7121"/>
    <mergeCell ref="AE7121:AI7121"/>
    <mergeCell ref="AJ7121:AL7121"/>
    <mergeCell ref="AN7121:AO7121"/>
    <mergeCell ref="AP7121:AQ7121"/>
    <mergeCell ref="A7122:A7123"/>
    <mergeCell ref="E7122:E7123"/>
    <mergeCell ref="F7122:H7122"/>
    <mergeCell ref="J7122:J7123"/>
    <mergeCell ref="K7122:L7123"/>
    <mergeCell ref="M7122:N7123"/>
    <mergeCell ref="O7122:P7123"/>
    <mergeCell ref="Q7122:R7123"/>
    <mergeCell ref="S7122:T7123"/>
    <mergeCell ref="U7122:V7123"/>
    <mergeCell ref="W7122:W7123"/>
    <mergeCell ref="X7122:AB7122"/>
    <mergeCell ref="AD7122:AI7122"/>
    <mergeCell ref="AJ7122:AL7122"/>
    <mergeCell ref="AN7122:AO7122"/>
    <mergeCell ref="AP7122:AQ7122"/>
    <mergeCell ref="AR7122:AS7123"/>
    <mergeCell ref="AT7122:AU7123"/>
    <mergeCell ref="AV7122:AW7123"/>
    <mergeCell ref="AX7122:AY7123"/>
    <mergeCell ref="AZ7122:AZ7123"/>
    <mergeCell ref="F7123:H7123"/>
    <mergeCell ref="X7123:AB7123"/>
    <mergeCell ref="AE7123:AI7123"/>
    <mergeCell ref="AJ7123:AL7123"/>
    <mergeCell ref="AN7123:AO7123"/>
    <mergeCell ref="AP7123:AQ7123"/>
    <mergeCell ref="A7124:A7125"/>
    <mergeCell ref="E7124:E7125"/>
    <mergeCell ref="F7124:H7124"/>
    <mergeCell ref="J7124:J7125"/>
    <mergeCell ref="K7124:L7125"/>
    <mergeCell ref="M7124:N7125"/>
    <mergeCell ref="O7124:P7125"/>
    <mergeCell ref="Q7124:R7125"/>
    <mergeCell ref="S7124:T7125"/>
    <mergeCell ref="U7124:V7125"/>
    <mergeCell ref="W7124:W7125"/>
    <mergeCell ref="X7124:AB7124"/>
    <mergeCell ref="AD7124:AI7124"/>
    <mergeCell ref="AJ7124:AL7124"/>
    <mergeCell ref="AN7124:AO7124"/>
    <mergeCell ref="AP7124:AQ7124"/>
    <mergeCell ref="AR7124:AS7125"/>
    <mergeCell ref="AT7124:AU7125"/>
    <mergeCell ref="AV7124:AW7125"/>
    <mergeCell ref="AX7124:AY7125"/>
    <mergeCell ref="AZ7124:AZ7125"/>
    <mergeCell ref="F7125:H7125"/>
    <mergeCell ref="X7125:AB7125"/>
    <mergeCell ref="AE7125:AI7125"/>
    <mergeCell ref="AJ7125:AL7125"/>
    <mergeCell ref="AN7125:AO7125"/>
    <mergeCell ref="AP7125:AQ7125"/>
    <mergeCell ref="A7126:A7127"/>
    <mergeCell ref="E7126:E7127"/>
    <mergeCell ref="F7126:H7126"/>
    <mergeCell ref="J7126:J7127"/>
    <mergeCell ref="K7126:L7127"/>
    <mergeCell ref="M7126:N7127"/>
    <mergeCell ref="O7126:P7127"/>
    <mergeCell ref="Q7126:R7127"/>
    <mergeCell ref="S7126:T7127"/>
    <mergeCell ref="U7126:V7127"/>
    <mergeCell ref="W7126:W7127"/>
    <mergeCell ref="X7126:AB7126"/>
    <mergeCell ref="AD7126:AI7126"/>
    <mergeCell ref="AJ7126:AL7126"/>
    <mergeCell ref="AN7126:AO7126"/>
    <mergeCell ref="AP7126:AQ7126"/>
    <mergeCell ref="AR7126:AS7127"/>
    <mergeCell ref="AT7126:AU7127"/>
    <mergeCell ref="AV7126:AW7127"/>
    <mergeCell ref="AX7126:AY7127"/>
    <mergeCell ref="AZ7126:AZ7127"/>
    <mergeCell ref="F7127:H7127"/>
    <mergeCell ref="X7127:AB7127"/>
    <mergeCell ref="AE7127:AI7127"/>
    <mergeCell ref="AJ7127:AL7127"/>
    <mergeCell ref="AN7127:AO7127"/>
    <mergeCell ref="AP7127:AQ7127"/>
    <mergeCell ref="A7128:A7129"/>
    <mergeCell ref="E7128:E7129"/>
    <mergeCell ref="F7128:H7128"/>
    <mergeCell ref="J7128:J7129"/>
    <mergeCell ref="K7128:L7129"/>
    <mergeCell ref="M7128:N7129"/>
    <mergeCell ref="O7128:P7129"/>
    <mergeCell ref="Q7128:R7129"/>
    <mergeCell ref="S7128:T7129"/>
    <mergeCell ref="U7128:V7129"/>
    <mergeCell ref="W7128:W7129"/>
    <mergeCell ref="X7128:AB7128"/>
    <mergeCell ref="AD7128:AI7128"/>
    <mergeCell ref="AJ7128:AL7128"/>
    <mergeCell ref="AN7128:AO7128"/>
    <mergeCell ref="AP7128:AQ7128"/>
    <mergeCell ref="AR7128:AS7129"/>
    <mergeCell ref="AT7128:AU7129"/>
    <mergeCell ref="AV7128:AW7129"/>
    <mergeCell ref="AX7128:AY7129"/>
    <mergeCell ref="AZ7128:AZ7129"/>
    <mergeCell ref="F7129:H7129"/>
    <mergeCell ref="X7129:AB7129"/>
    <mergeCell ref="AE7129:AI7129"/>
    <mergeCell ref="AJ7129:AL7129"/>
    <mergeCell ref="AN7129:AO7129"/>
    <mergeCell ref="AP7129:AQ7129"/>
    <mergeCell ref="A7130:A7131"/>
    <mergeCell ref="E7130:E7131"/>
    <mergeCell ref="F7130:H7130"/>
    <mergeCell ref="J7130:J7131"/>
    <mergeCell ref="K7130:L7131"/>
    <mergeCell ref="M7130:N7131"/>
    <mergeCell ref="O7130:P7131"/>
    <mergeCell ref="Q7130:R7131"/>
    <mergeCell ref="S7130:T7131"/>
    <mergeCell ref="U7130:V7131"/>
    <mergeCell ref="W7130:W7131"/>
    <mergeCell ref="X7130:AB7130"/>
    <mergeCell ref="AD7130:AI7130"/>
    <mergeCell ref="AJ7130:AL7130"/>
    <mergeCell ref="AN7130:AO7130"/>
    <mergeCell ref="AP7130:AQ7130"/>
    <mergeCell ref="AR7130:AS7131"/>
    <mergeCell ref="AT7130:AU7131"/>
    <mergeCell ref="AV7130:AW7131"/>
    <mergeCell ref="AX7130:AY7131"/>
    <mergeCell ref="AZ7130:AZ7131"/>
    <mergeCell ref="F7131:H7131"/>
    <mergeCell ref="X7131:AB7131"/>
    <mergeCell ref="AE7131:AI7131"/>
    <mergeCell ref="AJ7131:AL7131"/>
    <mergeCell ref="AN7131:AO7131"/>
    <mergeCell ref="AP7131:AQ7131"/>
    <mergeCell ref="A7132:A7133"/>
    <mergeCell ref="E7132:E7133"/>
    <mergeCell ref="F7132:H7132"/>
    <mergeCell ref="J7132:J7133"/>
    <mergeCell ref="K7132:L7133"/>
    <mergeCell ref="M7132:N7133"/>
    <mergeCell ref="O7132:P7133"/>
    <mergeCell ref="Q7132:R7133"/>
    <mergeCell ref="S7132:T7133"/>
    <mergeCell ref="U7132:V7133"/>
    <mergeCell ref="W7132:W7133"/>
    <mergeCell ref="X7132:AB7132"/>
    <mergeCell ref="AD7132:AI7132"/>
    <mergeCell ref="AJ7132:AL7132"/>
    <mergeCell ref="AN7132:AO7132"/>
    <mergeCell ref="AP7132:AQ7132"/>
    <mergeCell ref="AR7132:AS7133"/>
    <mergeCell ref="AT7132:AU7133"/>
    <mergeCell ref="AV7132:AW7133"/>
    <mergeCell ref="AX7132:AY7133"/>
    <mergeCell ref="AZ7132:AZ7133"/>
    <mergeCell ref="F7133:H7133"/>
    <mergeCell ref="X7133:AB7133"/>
    <mergeCell ref="AE7133:AI7133"/>
    <mergeCell ref="AJ7133:AL7133"/>
    <mergeCell ref="AN7133:AO7133"/>
    <mergeCell ref="AP7133:AQ7133"/>
    <mergeCell ref="A7134:A7135"/>
    <mergeCell ref="E7134:E7135"/>
    <mergeCell ref="F7134:H7134"/>
    <mergeCell ref="J7134:J7135"/>
    <mergeCell ref="K7134:L7135"/>
    <mergeCell ref="M7134:N7135"/>
    <mergeCell ref="O7134:P7135"/>
    <mergeCell ref="Q7134:R7135"/>
    <mergeCell ref="S7134:T7135"/>
    <mergeCell ref="U7134:V7135"/>
    <mergeCell ref="W7134:W7135"/>
    <mergeCell ref="X7134:AB7134"/>
    <mergeCell ref="AD7134:AI7134"/>
    <mergeCell ref="AJ7134:AL7134"/>
    <mergeCell ref="AN7134:AO7134"/>
    <mergeCell ref="AP7134:AQ7134"/>
    <mergeCell ref="AR7134:AS7135"/>
    <mergeCell ref="AT7134:AU7135"/>
    <mergeCell ref="AV7134:AW7135"/>
    <mergeCell ref="AX7134:AY7135"/>
    <mergeCell ref="AZ7134:AZ7135"/>
    <mergeCell ref="F7135:H7135"/>
    <mergeCell ref="X7135:AB7135"/>
    <mergeCell ref="AE7135:AI7135"/>
    <mergeCell ref="AJ7135:AL7135"/>
    <mergeCell ref="AN7135:AO7135"/>
    <mergeCell ref="AP7135:AQ7135"/>
    <mergeCell ref="A7136:A7137"/>
    <mergeCell ref="E7136:E7137"/>
    <mergeCell ref="F7136:H7136"/>
    <mergeCell ref="J7136:J7137"/>
    <mergeCell ref="K7136:L7137"/>
    <mergeCell ref="M7136:N7137"/>
    <mergeCell ref="O7136:P7137"/>
    <mergeCell ref="Q7136:R7137"/>
    <mergeCell ref="S7136:T7137"/>
    <mergeCell ref="U7136:V7137"/>
    <mergeCell ref="W7136:W7137"/>
    <mergeCell ref="X7136:AB7136"/>
    <mergeCell ref="AD7136:AI7136"/>
    <mergeCell ref="AJ7136:AL7136"/>
    <mergeCell ref="AN7136:AO7136"/>
    <mergeCell ref="AP7136:AQ7136"/>
    <mergeCell ref="AR7136:AS7137"/>
    <mergeCell ref="AT7136:AU7137"/>
    <mergeCell ref="AV7136:AW7137"/>
    <mergeCell ref="AX7136:AY7137"/>
    <mergeCell ref="AZ7136:AZ7137"/>
    <mergeCell ref="F7137:H7137"/>
    <mergeCell ref="X7137:AB7137"/>
    <mergeCell ref="AE7137:AI7137"/>
    <mergeCell ref="AJ7137:AL7137"/>
    <mergeCell ref="AN7137:AO7137"/>
    <mergeCell ref="AP7137:AQ7137"/>
    <mergeCell ref="A7138:A7139"/>
    <mergeCell ref="E7138:E7139"/>
    <mergeCell ref="F7138:H7138"/>
    <mergeCell ref="J7138:J7139"/>
    <mergeCell ref="K7138:L7139"/>
    <mergeCell ref="M7138:N7139"/>
    <mergeCell ref="O7138:P7139"/>
    <mergeCell ref="Q7138:R7139"/>
    <mergeCell ref="S7138:T7139"/>
    <mergeCell ref="U7138:V7139"/>
    <mergeCell ref="W7138:W7139"/>
    <mergeCell ref="X7138:AB7138"/>
    <mergeCell ref="AD7138:AI7138"/>
    <mergeCell ref="AJ7138:AL7138"/>
    <mergeCell ref="AN7138:AO7138"/>
    <mergeCell ref="AP7138:AQ7138"/>
    <mergeCell ref="AR7138:AS7139"/>
    <mergeCell ref="AT7138:AU7139"/>
    <mergeCell ref="AV7138:AW7139"/>
    <mergeCell ref="AX7138:AY7139"/>
    <mergeCell ref="AZ7138:AZ7139"/>
    <mergeCell ref="F7139:H7139"/>
    <mergeCell ref="X7139:AB7139"/>
    <mergeCell ref="AE7139:AI7139"/>
    <mergeCell ref="AJ7139:AL7139"/>
    <mergeCell ref="AN7139:AO7139"/>
    <mergeCell ref="AP7139:AQ7139"/>
    <mergeCell ref="A7140:A7141"/>
    <mergeCell ref="E7140:E7141"/>
    <mergeCell ref="F7140:H7140"/>
    <mergeCell ref="J7140:J7141"/>
    <mergeCell ref="K7140:L7141"/>
    <mergeCell ref="M7140:N7141"/>
    <mergeCell ref="O7140:P7141"/>
    <mergeCell ref="Q7140:R7141"/>
    <mergeCell ref="S7140:T7141"/>
    <mergeCell ref="U7140:V7141"/>
    <mergeCell ref="W7140:W7141"/>
    <mergeCell ref="X7140:AB7140"/>
    <mergeCell ref="AD7140:AI7140"/>
    <mergeCell ref="AJ7140:AL7140"/>
    <mergeCell ref="AN7140:AO7140"/>
    <mergeCell ref="AP7140:AQ7140"/>
    <mergeCell ref="AR7140:AS7141"/>
    <mergeCell ref="AT7140:AU7141"/>
    <mergeCell ref="AV7140:AW7141"/>
    <mergeCell ref="AX7140:AY7141"/>
    <mergeCell ref="AZ7140:AZ7141"/>
    <mergeCell ref="F7141:H7141"/>
    <mergeCell ref="X7141:AB7141"/>
    <mergeCell ref="AE7141:AI7141"/>
    <mergeCell ref="AJ7141:AL7141"/>
    <mergeCell ref="AN7141:AO7141"/>
    <mergeCell ref="AP7141:AQ7141"/>
    <mergeCell ref="A7142:A7143"/>
    <mergeCell ref="E7142:E7143"/>
    <mergeCell ref="F7142:H7142"/>
    <mergeCell ref="J7142:J7143"/>
    <mergeCell ref="K7142:L7143"/>
    <mergeCell ref="M7142:N7143"/>
    <mergeCell ref="O7142:P7143"/>
    <mergeCell ref="Q7142:R7143"/>
    <mergeCell ref="S7142:T7143"/>
    <mergeCell ref="U7142:V7143"/>
    <mergeCell ref="W7142:W7143"/>
    <mergeCell ref="X7142:AB7142"/>
    <mergeCell ref="AD7142:AI7142"/>
    <mergeCell ref="AJ7142:AL7142"/>
    <mergeCell ref="AN7142:AO7142"/>
    <mergeCell ref="AP7142:AQ7142"/>
    <mergeCell ref="AR7142:AS7143"/>
    <mergeCell ref="AT7142:AU7143"/>
    <mergeCell ref="AV7142:AW7143"/>
    <mergeCell ref="AX7142:AY7143"/>
    <mergeCell ref="AZ7142:AZ7143"/>
    <mergeCell ref="F7143:H7143"/>
    <mergeCell ref="X7143:AB7143"/>
    <mergeCell ref="AE7143:AI7143"/>
    <mergeCell ref="AJ7143:AL7143"/>
    <mergeCell ref="AN7143:AO7143"/>
    <mergeCell ref="AP7143:AQ7143"/>
    <mergeCell ref="A7144:A7145"/>
    <mergeCell ref="E7144:E7145"/>
    <mergeCell ref="F7144:H7144"/>
    <mergeCell ref="J7144:J7145"/>
    <mergeCell ref="K7144:L7145"/>
    <mergeCell ref="M7144:N7145"/>
    <mergeCell ref="O7144:P7145"/>
    <mergeCell ref="Q7144:R7145"/>
    <mergeCell ref="S7144:T7145"/>
    <mergeCell ref="U7144:V7145"/>
    <mergeCell ref="W7144:W7145"/>
    <mergeCell ref="X7144:AB7144"/>
    <mergeCell ref="AD7144:AI7144"/>
    <mergeCell ref="AJ7144:AL7144"/>
    <mergeCell ref="AN7144:AO7144"/>
    <mergeCell ref="AP7144:AQ7144"/>
    <mergeCell ref="AR7144:AS7145"/>
    <mergeCell ref="AT7144:AU7145"/>
    <mergeCell ref="AV7144:AW7145"/>
    <mergeCell ref="AX7144:AY7145"/>
    <mergeCell ref="AZ7144:AZ7145"/>
    <mergeCell ref="F7145:H7145"/>
    <mergeCell ref="X7145:AB7145"/>
    <mergeCell ref="AE7145:AI7145"/>
    <mergeCell ref="AJ7145:AL7145"/>
    <mergeCell ref="AN7145:AO7145"/>
    <mergeCell ref="AP7145:AQ7145"/>
    <mergeCell ref="A7146:A7147"/>
    <mergeCell ref="E7146:E7147"/>
    <mergeCell ref="F7146:H7146"/>
    <mergeCell ref="J7146:J7147"/>
    <mergeCell ref="K7146:L7147"/>
    <mergeCell ref="M7146:N7147"/>
    <mergeCell ref="O7146:P7147"/>
    <mergeCell ref="Q7146:R7147"/>
    <mergeCell ref="S7146:T7147"/>
    <mergeCell ref="U7146:V7147"/>
    <mergeCell ref="W7146:W7147"/>
    <mergeCell ref="X7146:AB7146"/>
    <mergeCell ref="AD7146:AI7146"/>
    <mergeCell ref="AJ7146:AL7146"/>
    <mergeCell ref="AN7146:AO7146"/>
    <mergeCell ref="AP7146:AQ7146"/>
    <mergeCell ref="AR7146:AS7147"/>
    <mergeCell ref="AT7146:AU7147"/>
    <mergeCell ref="AV7146:AW7147"/>
    <mergeCell ref="AX7146:AY7147"/>
    <mergeCell ref="AZ7146:AZ7147"/>
    <mergeCell ref="F7147:H7147"/>
    <mergeCell ref="X7147:AB7147"/>
    <mergeCell ref="AE7147:AI7147"/>
    <mergeCell ref="AJ7147:AL7147"/>
    <mergeCell ref="AN7147:AO7147"/>
    <mergeCell ref="AP7147:AQ7147"/>
    <mergeCell ref="AZ7154:AZ7155"/>
    <mergeCell ref="F7155:H7155"/>
    <mergeCell ref="X7155:AB7155"/>
    <mergeCell ref="AE7155:AI7155"/>
    <mergeCell ref="AJ7155:AL7155"/>
    <mergeCell ref="AN7155:AO7155"/>
    <mergeCell ref="AP7155:AQ7155"/>
    <mergeCell ref="A7148:A7149"/>
    <mergeCell ref="E7148:E7149"/>
    <mergeCell ref="F7148:H7148"/>
    <mergeCell ref="J7148:J7149"/>
    <mergeCell ref="K7148:L7149"/>
    <mergeCell ref="M7148:N7149"/>
    <mergeCell ref="O7148:P7149"/>
    <mergeCell ref="Q7148:R7149"/>
    <mergeCell ref="S7148:T7149"/>
    <mergeCell ref="U7148:V7149"/>
    <mergeCell ref="W7148:W7149"/>
    <mergeCell ref="X7148:AB7148"/>
    <mergeCell ref="AD7148:AI7148"/>
    <mergeCell ref="AJ7148:AL7148"/>
    <mergeCell ref="AN7148:AO7148"/>
    <mergeCell ref="AP7148:AQ7148"/>
    <mergeCell ref="AR7148:AS7149"/>
    <mergeCell ref="AT7148:AU7149"/>
    <mergeCell ref="AV7148:AW7149"/>
    <mergeCell ref="AX7148:AY7149"/>
    <mergeCell ref="AZ7148:AZ7149"/>
    <mergeCell ref="F7149:H7149"/>
    <mergeCell ref="X7149:AB7149"/>
    <mergeCell ref="AE7149:AI7149"/>
    <mergeCell ref="AJ7149:AL7149"/>
    <mergeCell ref="AN7149:AO7149"/>
    <mergeCell ref="AP7149:AQ7149"/>
    <mergeCell ref="A7150:A7151"/>
    <mergeCell ref="E7150:E7151"/>
    <mergeCell ref="F7150:H7150"/>
    <mergeCell ref="J7150:J7151"/>
    <mergeCell ref="K7150:L7151"/>
    <mergeCell ref="M7150:N7151"/>
    <mergeCell ref="O7150:P7151"/>
    <mergeCell ref="Q7150:R7151"/>
    <mergeCell ref="S7150:T7151"/>
    <mergeCell ref="U7150:V7151"/>
    <mergeCell ref="W7150:W7151"/>
    <mergeCell ref="X7150:AB7150"/>
    <mergeCell ref="AD7150:AI7150"/>
    <mergeCell ref="AJ7150:AL7150"/>
    <mergeCell ref="AN7150:AO7150"/>
    <mergeCell ref="AP7150:AQ7150"/>
    <mergeCell ref="AR7150:AS7151"/>
    <mergeCell ref="AT7150:AU7151"/>
    <mergeCell ref="AV7150:AW7151"/>
    <mergeCell ref="AX7150:AY7151"/>
    <mergeCell ref="AZ7150:AZ7151"/>
    <mergeCell ref="F7151:H7151"/>
    <mergeCell ref="X7151:AB7151"/>
    <mergeCell ref="AE7151:AI7151"/>
    <mergeCell ref="AJ7151:AL7151"/>
    <mergeCell ref="AN7151:AO7151"/>
    <mergeCell ref="AP7151:AQ7151"/>
    <mergeCell ref="W7158:W7159"/>
    <mergeCell ref="X7158:AB7158"/>
    <mergeCell ref="AD7158:AI7158"/>
    <mergeCell ref="AJ7158:AL7158"/>
    <mergeCell ref="AN7158:AO7158"/>
    <mergeCell ref="AP7158:AQ7158"/>
    <mergeCell ref="AR7158:AS7159"/>
    <mergeCell ref="AT7158:AU7159"/>
    <mergeCell ref="AV7158:AW7159"/>
    <mergeCell ref="AX7158:AY7159"/>
    <mergeCell ref="AZ7158:AZ7159"/>
    <mergeCell ref="F7159:H7159"/>
    <mergeCell ref="X7159:AB7159"/>
    <mergeCell ref="AE7159:AI7159"/>
    <mergeCell ref="AJ7159:AL7159"/>
    <mergeCell ref="AN7159:AO7159"/>
    <mergeCell ref="AP7159:AQ7159"/>
    <mergeCell ref="A7152:A7153"/>
    <mergeCell ref="E7152:E7153"/>
    <mergeCell ref="F7152:H7152"/>
    <mergeCell ref="J7152:J7153"/>
    <mergeCell ref="K7152:L7153"/>
    <mergeCell ref="M7152:N7153"/>
    <mergeCell ref="O7152:P7153"/>
    <mergeCell ref="Q7152:R7153"/>
    <mergeCell ref="S7152:T7153"/>
    <mergeCell ref="U7152:V7153"/>
    <mergeCell ref="W7152:W7153"/>
    <mergeCell ref="X7152:AB7152"/>
    <mergeCell ref="AD7152:AI7152"/>
    <mergeCell ref="AJ7152:AL7152"/>
    <mergeCell ref="AN7152:AO7152"/>
    <mergeCell ref="AP7152:AQ7152"/>
    <mergeCell ref="AR7152:AS7153"/>
    <mergeCell ref="AT7152:AU7153"/>
    <mergeCell ref="AV7152:AW7153"/>
    <mergeCell ref="AX7152:AY7153"/>
    <mergeCell ref="AZ7152:AZ7153"/>
    <mergeCell ref="F7153:H7153"/>
    <mergeCell ref="X7153:AB7153"/>
    <mergeCell ref="AE7153:AI7153"/>
    <mergeCell ref="AJ7153:AL7153"/>
    <mergeCell ref="AN7153:AO7153"/>
    <mergeCell ref="AP7153:AQ7153"/>
    <mergeCell ref="A7154:A7155"/>
    <mergeCell ref="E7154:E7155"/>
    <mergeCell ref="F7154:H7154"/>
    <mergeCell ref="J7154:J7155"/>
    <mergeCell ref="K7154:L7155"/>
    <mergeCell ref="M7154:N7155"/>
    <mergeCell ref="O7154:P7155"/>
    <mergeCell ref="Q7154:R7155"/>
    <mergeCell ref="S7154:T7155"/>
    <mergeCell ref="U7154:V7155"/>
    <mergeCell ref="W7154:W7155"/>
    <mergeCell ref="X7154:AB7154"/>
    <mergeCell ref="AD7154:AI7154"/>
    <mergeCell ref="AJ7154:AL7154"/>
    <mergeCell ref="AN7154:AO7154"/>
    <mergeCell ref="AP7154:AQ7154"/>
    <mergeCell ref="AR7154:AS7155"/>
    <mergeCell ref="AT7154:AU7155"/>
    <mergeCell ref="AV7154:AW7155"/>
    <mergeCell ref="AX7154:AY7155"/>
    <mergeCell ref="A7160:A7161"/>
    <mergeCell ref="E7160:E7161"/>
    <mergeCell ref="F7160:H7160"/>
    <mergeCell ref="J7160:J7161"/>
    <mergeCell ref="K7160:L7161"/>
    <mergeCell ref="M7160:N7161"/>
    <mergeCell ref="O7160:P7161"/>
    <mergeCell ref="Q7160:R7161"/>
    <mergeCell ref="S7160:T7161"/>
    <mergeCell ref="U7160:V7161"/>
    <mergeCell ref="W7160:W7161"/>
    <mergeCell ref="X7160:AB7160"/>
    <mergeCell ref="AD7160:AI7160"/>
    <mergeCell ref="AJ7160:AL7160"/>
    <mergeCell ref="AN7160:AO7160"/>
    <mergeCell ref="AP7160:AQ7160"/>
    <mergeCell ref="AR7160:AS7161"/>
    <mergeCell ref="AT7160:AU7161"/>
    <mergeCell ref="AV7160:AW7161"/>
    <mergeCell ref="AX7160:AY7161"/>
    <mergeCell ref="AZ7160:AZ7161"/>
    <mergeCell ref="F7161:H7161"/>
    <mergeCell ref="X7161:AB7161"/>
    <mergeCell ref="AE7161:AI7161"/>
    <mergeCell ref="AJ7161:AL7161"/>
    <mergeCell ref="AN7161:AO7161"/>
    <mergeCell ref="AP7161:AQ7161"/>
    <mergeCell ref="A7156:A7157"/>
    <mergeCell ref="E7156:E7157"/>
    <mergeCell ref="F7156:H7156"/>
    <mergeCell ref="J7156:J7157"/>
    <mergeCell ref="K7156:L7157"/>
    <mergeCell ref="M7156:N7157"/>
    <mergeCell ref="O7156:P7157"/>
    <mergeCell ref="Q7156:R7157"/>
    <mergeCell ref="S7156:T7157"/>
    <mergeCell ref="U7156:V7157"/>
    <mergeCell ref="W7156:W7157"/>
    <mergeCell ref="X7156:AB7156"/>
    <mergeCell ref="AD7156:AI7156"/>
    <mergeCell ref="AJ7156:AL7156"/>
    <mergeCell ref="AN7156:AO7156"/>
    <mergeCell ref="AP7156:AQ7156"/>
    <mergeCell ref="AR7156:AS7157"/>
    <mergeCell ref="AT7156:AU7157"/>
    <mergeCell ref="AV7156:AW7157"/>
    <mergeCell ref="AX7156:AY7157"/>
    <mergeCell ref="AZ7156:AZ7157"/>
    <mergeCell ref="F7157:H7157"/>
    <mergeCell ref="X7157:AB7157"/>
    <mergeCell ref="AE7157:AI7157"/>
    <mergeCell ref="AJ7157:AL7157"/>
    <mergeCell ref="AN7157:AO7157"/>
    <mergeCell ref="AP7157:AQ7157"/>
    <mergeCell ref="A7158:A7159"/>
    <mergeCell ref="E7158:E7159"/>
    <mergeCell ref="F7158:H7158"/>
    <mergeCell ref="J7158:J7159"/>
    <mergeCell ref="K7158:L7159"/>
    <mergeCell ref="M7158:N7159"/>
    <mergeCell ref="O7158:P7159"/>
    <mergeCell ref="Q7158:R7159"/>
    <mergeCell ref="S7158:T7159"/>
    <mergeCell ref="U7158:V7159"/>
    <mergeCell ref="A7162:A7163"/>
    <mergeCell ref="E7162:E7163"/>
    <mergeCell ref="F7162:H7162"/>
    <mergeCell ref="J7162:J7163"/>
    <mergeCell ref="K7162:L7163"/>
    <mergeCell ref="M7162:N7163"/>
    <mergeCell ref="O7162:P7163"/>
    <mergeCell ref="Q7162:R7163"/>
    <mergeCell ref="S7162:T7163"/>
    <mergeCell ref="U7162:V7163"/>
    <mergeCell ref="W7162:W7163"/>
    <mergeCell ref="X7162:AB7162"/>
    <mergeCell ref="AD7162:AI7162"/>
    <mergeCell ref="AJ7162:AL7162"/>
    <mergeCell ref="AN7162:AO7162"/>
    <mergeCell ref="AP7162:AQ7162"/>
    <mergeCell ref="AR7162:AS7163"/>
    <mergeCell ref="AT7162:AU7163"/>
    <mergeCell ref="AV7162:AW7163"/>
    <mergeCell ref="AX7162:AY7163"/>
    <mergeCell ref="AZ7162:AZ7163"/>
    <mergeCell ref="F7163:H7163"/>
    <mergeCell ref="X7163:AB7163"/>
    <mergeCell ref="AE7163:AI7163"/>
    <mergeCell ref="AJ7163:AL7163"/>
    <mergeCell ref="AN7163:AO7163"/>
    <mergeCell ref="AP7163:AQ7163"/>
    <mergeCell ref="A7164:A7165"/>
    <mergeCell ref="E7164:E7165"/>
    <mergeCell ref="F7164:H7164"/>
    <mergeCell ref="J7164:J7165"/>
    <mergeCell ref="K7164:L7165"/>
    <mergeCell ref="M7164:N7165"/>
    <mergeCell ref="O7164:P7165"/>
    <mergeCell ref="Q7164:R7165"/>
    <mergeCell ref="S7164:T7165"/>
    <mergeCell ref="U7164:V7165"/>
    <mergeCell ref="W7164:W7165"/>
    <mergeCell ref="X7164:AB7164"/>
    <mergeCell ref="AD7164:AI7164"/>
    <mergeCell ref="AJ7164:AL7164"/>
    <mergeCell ref="AN7164:AO7164"/>
    <mergeCell ref="AP7164:AQ7164"/>
    <mergeCell ref="AR7164:AS7165"/>
    <mergeCell ref="AT7164:AU7165"/>
    <mergeCell ref="AV7164:AW7165"/>
    <mergeCell ref="AX7164:AY7165"/>
    <mergeCell ref="AZ7164:AZ7165"/>
    <mergeCell ref="F7165:H7165"/>
    <mergeCell ref="X7165:AB7165"/>
    <mergeCell ref="AE7165:AI7165"/>
    <mergeCell ref="AJ7165:AL7165"/>
    <mergeCell ref="AN7165:AO7165"/>
    <mergeCell ref="AP7165:AQ7165"/>
    <mergeCell ref="A7166:A7167"/>
    <mergeCell ref="E7166:E7167"/>
    <mergeCell ref="F7166:H7166"/>
    <mergeCell ref="J7166:J7167"/>
    <mergeCell ref="K7166:L7167"/>
    <mergeCell ref="M7166:N7167"/>
    <mergeCell ref="O7166:P7167"/>
    <mergeCell ref="Q7166:R7167"/>
    <mergeCell ref="S7166:T7167"/>
    <mergeCell ref="U7166:V7167"/>
    <mergeCell ref="W7166:W7167"/>
    <mergeCell ref="X7166:AB7166"/>
    <mergeCell ref="AD7166:AI7166"/>
    <mergeCell ref="AJ7166:AL7166"/>
    <mergeCell ref="AN7166:AO7166"/>
    <mergeCell ref="AP7166:AQ7166"/>
    <mergeCell ref="AR7166:AS7167"/>
    <mergeCell ref="AT7166:AU7167"/>
    <mergeCell ref="AV7166:AW7167"/>
    <mergeCell ref="AX7166:AY7167"/>
    <mergeCell ref="AZ7166:AZ7167"/>
    <mergeCell ref="F7167:H7167"/>
    <mergeCell ref="X7167:AB7167"/>
    <mergeCell ref="AE7167:AI7167"/>
    <mergeCell ref="AJ7167:AL7167"/>
    <mergeCell ref="AN7167:AO7167"/>
    <mergeCell ref="AP7167:AQ7167"/>
    <mergeCell ref="A7168:A7169"/>
    <mergeCell ref="E7168:E7169"/>
    <mergeCell ref="F7168:H7168"/>
    <mergeCell ref="J7168:J7169"/>
    <mergeCell ref="K7168:L7169"/>
    <mergeCell ref="M7168:N7169"/>
    <mergeCell ref="O7168:P7169"/>
    <mergeCell ref="Q7168:R7169"/>
    <mergeCell ref="S7168:T7169"/>
    <mergeCell ref="U7168:V7169"/>
    <mergeCell ref="W7168:W7169"/>
    <mergeCell ref="X7168:AB7168"/>
    <mergeCell ref="AD7168:AI7168"/>
    <mergeCell ref="AJ7168:AL7168"/>
    <mergeCell ref="AN7168:AO7168"/>
    <mergeCell ref="AP7168:AQ7168"/>
    <mergeCell ref="AR7168:AS7169"/>
    <mergeCell ref="AT7168:AU7169"/>
    <mergeCell ref="AV7168:AW7169"/>
    <mergeCell ref="AX7168:AY7169"/>
    <mergeCell ref="AZ7168:AZ7169"/>
    <mergeCell ref="F7169:H7169"/>
    <mergeCell ref="X7169:AB7169"/>
    <mergeCell ref="AE7169:AI7169"/>
    <mergeCell ref="AJ7169:AL7169"/>
    <mergeCell ref="AN7169:AO7169"/>
    <mergeCell ref="AP7169:AQ7169"/>
    <mergeCell ref="A7170:A7171"/>
    <mergeCell ref="E7170:E7171"/>
    <mergeCell ref="F7170:H7170"/>
    <mergeCell ref="J7170:J7171"/>
    <mergeCell ref="K7170:L7171"/>
    <mergeCell ref="M7170:N7171"/>
    <mergeCell ref="O7170:P7171"/>
    <mergeCell ref="Q7170:R7171"/>
    <mergeCell ref="S7170:T7171"/>
    <mergeCell ref="U7170:V7171"/>
    <mergeCell ref="W7170:W7171"/>
    <mergeCell ref="X7170:AB7170"/>
    <mergeCell ref="AD7170:AI7170"/>
    <mergeCell ref="AJ7170:AL7170"/>
    <mergeCell ref="AN7170:AO7170"/>
    <mergeCell ref="AP7170:AQ7170"/>
    <mergeCell ref="AR7170:AS7171"/>
    <mergeCell ref="AT7170:AU7171"/>
    <mergeCell ref="AV7170:AW7171"/>
    <mergeCell ref="AX7170:AY7171"/>
    <mergeCell ref="AZ7170:AZ7171"/>
    <mergeCell ref="F7171:H7171"/>
    <mergeCell ref="X7171:AB7171"/>
    <mergeCell ref="AE7171:AI7171"/>
    <mergeCell ref="AJ7171:AL7171"/>
    <mergeCell ref="AN7171:AO7171"/>
    <mergeCell ref="AP7171:AQ7171"/>
    <mergeCell ref="A7172:A7173"/>
    <mergeCell ref="E7172:E7173"/>
    <mergeCell ref="F7172:H7172"/>
    <mergeCell ref="J7172:J7173"/>
    <mergeCell ref="K7172:L7173"/>
    <mergeCell ref="M7172:N7173"/>
    <mergeCell ref="O7172:P7173"/>
    <mergeCell ref="Q7172:R7173"/>
    <mergeCell ref="S7172:T7173"/>
    <mergeCell ref="U7172:V7173"/>
    <mergeCell ref="W7172:W7173"/>
    <mergeCell ref="X7172:AB7172"/>
    <mergeCell ref="AD7172:AI7172"/>
    <mergeCell ref="AJ7172:AL7172"/>
    <mergeCell ref="AN7172:AO7172"/>
    <mergeCell ref="AP7172:AQ7172"/>
    <mergeCell ref="AR7172:AS7173"/>
    <mergeCell ref="AT7172:AU7173"/>
    <mergeCell ref="AV7172:AW7173"/>
    <mergeCell ref="AX7172:AY7173"/>
    <mergeCell ref="AZ7172:AZ7173"/>
    <mergeCell ref="F7173:H7173"/>
    <mergeCell ref="X7173:AB7173"/>
    <mergeCell ref="AE7173:AI7173"/>
    <mergeCell ref="AJ7173:AL7173"/>
    <mergeCell ref="AN7173:AO7173"/>
    <mergeCell ref="AP7173:AQ7173"/>
    <mergeCell ref="A7174:A7175"/>
    <mergeCell ref="E7174:E7175"/>
    <mergeCell ref="F7174:H7174"/>
    <mergeCell ref="J7174:J7175"/>
    <mergeCell ref="K7174:L7175"/>
    <mergeCell ref="M7174:N7175"/>
    <mergeCell ref="O7174:P7175"/>
    <mergeCell ref="Q7174:R7175"/>
    <mergeCell ref="S7174:T7175"/>
    <mergeCell ref="U7174:V7175"/>
    <mergeCell ref="W7174:W7175"/>
    <mergeCell ref="X7174:AB7174"/>
    <mergeCell ref="AD7174:AI7174"/>
    <mergeCell ref="AJ7174:AL7174"/>
    <mergeCell ref="AN7174:AO7174"/>
    <mergeCell ref="AP7174:AQ7174"/>
    <mergeCell ref="AR7174:AS7175"/>
    <mergeCell ref="AT7174:AU7175"/>
    <mergeCell ref="AV7174:AW7175"/>
    <mergeCell ref="AX7174:AY7175"/>
    <mergeCell ref="AZ7174:AZ7175"/>
    <mergeCell ref="F7175:H7175"/>
    <mergeCell ref="X7175:AB7175"/>
    <mergeCell ref="AE7175:AI7175"/>
    <mergeCell ref="AJ7175:AL7175"/>
    <mergeCell ref="AN7175:AO7175"/>
    <mergeCell ref="AP7175:AQ7175"/>
    <mergeCell ref="A7176:A7177"/>
    <mergeCell ref="E7176:E7177"/>
    <mergeCell ref="F7176:H7176"/>
    <mergeCell ref="J7176:J7177"/>
    <mergeCell ref="K7176:L7177"/>
    <mergeCell ref="M7176:N7177"/>
    <mergeCell ref="O7176:P7177"/>
    <mergeCell ref="Q7176:R7177"/>
    <mergeCell ref="S7176:T7177"/>
    <mergeCell ref="U7176:V7177"/>
    <mergeCell ref="W7176:W7177"/>
    <mergeCell ref="X7176:AB7176"/>
    <mergeCell ref="AD7176:AI7176"/>
    <mergeCell ref="AJ7176:AL7176"/>
    <mergeCell ref="AN7176:AO7176"/>
    <mergeCell ref="AP7176:AQ7176"/>
    <mergeCell ref="AR7176:AS7177"/>
    <mergeCell ref="AT7176:AU7177"/>
    <mergeCell ref="AV7176:AW7177"/>
    <mergeCell ref="AX7176:AY7177"/>
    <mergeCell ref="AZ7176:AZ7177"/>
    <mergeCell ref="F7177:H7177"/>
    <mergeCell ref="X7177:AB7177"/>
    <mergeCell ref="AE7177:AI7177"/>
    <mergeCell ref="AJ7177:AL7177"/>
    <mergeCell ref="AN7177:AO7177"/>
    <mergeCell ref="AP7177:AQ7177"/>
    <mergeCell ref="A7178:A7179"/>
    <mergeCell ref="E7178:E7179"/>
    <mergeCell ref="F7178:H7178"/>
    <mergeCell ref="J7178:J7179"/>
    <mergeCell ref="K7178:L7179"/>
    <mergeCell ref="M7178:N7179"/>
    <mergeCell ref="O7178:P7179"/>
    <mergeCell ref="Q7178:R7179"/>
    <mergeCell ref="S7178:T7179"/>
    <mergeCell ref="U7178:V7179"/>
    <mergeCell ref="W7178:W7179"/>
    <mergeCell ref="X7178:AB7178"/>
    <mergeCell ref="AD7178:AI7178"/>
    <mergeCell ref="AJ7178:AL7178"/>
    <mergeCell ref="AN7178:AO7178"/>
    <mergeCell ref="AP7178:AQ7178"/>
    <mergeCell ref="AR7178:AS7179"/>
    <mergeCell ref="AT7178:AU7179"/>
    <mergeCell ref="AV7178:AW7179"/>
    <mergeCell ref="AX7178:AY7179"/>
    <mergeCell ref="AZ7178:AZ7179"/>
    <mergeCell ref="F7179:H7179"/>
    <mergeCell ref="X7179:AB7179"/>
    <mergeCell ref="AE7179:AI7179"/>
    <mergeCell ref="AJ7179:AL7179"/>
    <mergeCell ref="AN7179:AO7179"/>
    <mergeCell ref="AP7179:AQ7179"/>
    <mergeCell ref="A7180:A7181"/>
    <mergeCell ref="E7180:E7181"/>
    <mergeCell ref="F7180:H7180"/>
    <mergeCell ref="J7180:J7181"/>
    <mergeCell ref="K7180:L7181"/>
    <mergeCell ref="M7180:N7181"/>
    <mergeCell ref="O7180:P7181"/>
    <mergeCell ref="Q7180:R7181"/>
    <mergeCell ref="S7180:T7181"/>
    <mergeCell ref="U7180:V7181"/>
    <mergeCell ref="W7180:W7181"/>
    <mergeCell ref="X7180:AB7180"/>
    <mergeCell ref="AD7180:AI7180"/>
    <mergeCell ref="AJ7180:AL7180"/>
    <mergeCell ref="AN7180:AO7180"/>
    <mergeCell ref="AP7180:AQ7180"/>
    <mergeCell ref="AR7180:AS7181"/>
    <mergeCell ref="AT7180:AU7181"/>
    <mergeCell ref="AV7180:AW7181"/>
    <mergeCell ref="AX7180:AY7181"/>
    <mergeCell ref="AZ7180:AZ7181"/>
    <mergeCell ref="F7181:H7181"/>
    <mergeCell ref="X7181:AB7181"/>
    <mergeCell ref="AE7181:AI7181"/>
    <mergeCell ref="AJ7181:AL7181"/>
    <mergeCell ref="AN7181:AO7181"/>
    <mergeCell ref="AP7181:AQ7181"/>
    <mergeCell ref="A7182:A7183"/>
    <mergeCell ref="E7182:E7183"/>
    <mergeCell ref="F7182:H7182"/>
    <mergeCell ref="J7182:J7183"/>
    <mergeCell ref="K7182:L7183"/>
    <mergeCell ref="M7182:N7183"/>
    <mergeCell ref="O7182:P7183"/>
    <mergeCell ref="Q7182:R7183"/>
    <mergeCell ref="S7182:T7183"/>
    <mergeCell ref="U7182:V7183"/>
    <mergeCell ref="W7182:W7183"/>
    <mergeCell ref="X7182:AB7182"/>
    <mergeCell ref="AD7182:AI7182"/>
    <mergeCell ref="AJ7182:AL7182"/>
    <mergeCell ref="AN7182:AO7182"/>
    <mergeCell ref="AP7182:AQ7182"/>
    <mergeCell ref="AR7182:AS7183"/>
    <mergeCell ref="AT7182:AU7183"/>
    <mergeCell ref="AV7182:AW7183"/>
    <mergeCell ref="AX7182:AY7183"/>
    <mergeCell ref="AZ7182:AZ7183"/>
    <mergeCell ref="F7183:H7183"/>
    <mergeCell ref="X7183:AB7183"/>
    <mergeCell ref="AE7183:AI7183"/>
    <mergeCell ref="AJ7183:AL7183"/>
    <mergeCell ref="AN7183:AO7183"/>
    <mergeCell ref="AP7183:AQ7183"/>
    <mergeCell ref="A7184:A7185"/>
    <mergeCell ref="E7184:E7185"/>
    <mergeCell ref="F7184:H7184"/>
    <mergeCell ref="J7184:J7185"/>
    <mergeCell ref="K7184:L7185"/>
    <mergeCell ref="M7184:N7185"/>
    <mergeCell ref="O7184:P7185"/>
    <mergeCell ref="Q7184:R7185"/>
    <mergeCell ref="S7184:T7185"/>
    <mergeCell ref="U7184:V7185"/>
    <mergeCell ref="W7184:W7185"/>
    <mergeCell ref="X7184:AB7184"/>
    <mergeCell ref="AD7184:AI7184"/>
    <mergeCell ref="AJ7184:AL7184"/>
    <mergeCell ref="AN7184:AO7184"/>
    <mergeCell ref="AP7184:AQ7184"/>
    <mergeCell ref="AR7184:AS7185"/>
    <mergeCell ref="AT7184:AU7185"/>
    <mergeCell ref="AV7184:AW7185"/>
    <mergeCell ref="AX7184:AY7185"/>
    <mergeCell ref="AZ7184:AZ7185"/>
    <mergeCell ref="F7185:H7185"/>
    <mergeCell ref="X7185:AB7185"/>
    <mergeCell ref="AE7185:AI7185"/>
    <mergeCell ref="AJ7185:AL7185"/>
    <mergeCell ref="AN7185:AO7185"/>
    <mergeCell ref="AP7185:AQ7185"/>
    <mergeCell ref="A7186:A7187"/>
    <mergeCell ref="E7186:E7187"/>
    <mergeCell ref="F7186:H7186"/>
    <mergeCell ref="J7186:J7187"/>
    <mergeCell ref="K7186:L7187"/>
    <mergeCell ref="M7186:N7187"/>
    <mergeCell ref="O7186:P7187"/>
    <mergeCell ref="Q7186:R7187"/>
    <mergeCell ref="S7186:T7187"/>
    <mergeCell ref="U7186:V7187"/>
    <mergeCell ref="W7186:W7187"/>
    <mergeCell ref="X7186:AB7186"/>
    <mergeCell ref="AD7186:AI7186"/>
    <mergeCell ref="AJ7186:AL7186"/>
    <mergeCell ref="AN7186:AO7186"/>
    <mergeCell ref="AP7186:AQ7186"/>
    <mergeCell ref="AR7186:AS7187"/>
    <mergeCell ref="AT7186:AU7187"/>
    <mergeCell ref="AV7186:AW7187"/>
    <mergeCell ref="AX7186:AY7187"/>
    <mergeCell ref="AZ7186:AZ7187"/>
    <mergeCell ref="F7187:H7187"/>
    <mergeCell ref="X7187:AB7187"/>
    <mergeCell ref="AE7187:AI7187"/>
    <mergeCell ref="AJ7187:AL7187"/>
    <mergeCell ref="AN7187:AO7187"/>
    <mergeCell ref="AP7187:AQ7187"/>
    <mergeCell ref="A7188:A7189"/>
    <mergeCell ref="E7188:E7189"/>
    <mergeCell ref="F7188:H7188"/>
    <mergeCell ref="J7188:J7189"/>
    <mergeCell ref="K7188:L7189"/>
    <mergeCell ref="M7188:N7189"/>
    <mergeCell ref="O7188:P7189"/>
    <mergeCell ref="Q7188:R7189"/>
    <mergeCell ref="S7188:T7189"/>
    <mergeCell ref="U7188:V7189"/>
    <mergeCell ref="W7188:W7189"/>
    <mergeCell ref="X7188:AB7188"/>
    <mergeCell ref="AD7188:AI7188"/>
    <mergeCell ref="AJ7188:AL7188"/>
    <mergeCell ref="AN7188:AO7188"/>
    <mergeCell ref="AP7188:AQ7188"/>
    <mergeCell ref="AR7188:AS7189"/>
    <mergeCell ref="AT7188:AU7189"/>
    <mergeCell ref="AV7188:AW7189"/>
    <mergeCell ref="AX7188:AY7189"/>
    <mergeCell ref="AZ7188:AZ7189"/>
    <mergeCell ref="F7189:H7189"/>
    <mergeCell ref="X7189:AB7189"/>
    <mergeCell ref="AE7189:AI7189"/>
    <mergeCell ref="AJ7189:AL7189"/>
    <mergeCell ref="AN7189:AO7189"/>
    <mergeCell ref="AP7189:AQ7189"/>
    <mergeCell ref="A7190:A7191"/>
    <mergeCell ref="E7190:E7191"/>
    <mergeCell ref="F7190:H7190"/>
    <mergeCell ref="J7190:J7191"/>
    <mergeCell ref="K7190:L7191"/>
    <mergeCell ref="M7190:N7191"/>
    <mergeCell ref="O7190:P7191"/>
    <mergeCell ref="Q7190:R7191"/>
    <mergeCell ref="S7190:T7191"/>
    <mergeCell ref="U7190:V7191"/>
    <mergeCell ref="W7190:W7191"/>
    <mergeCell ref="X7190:AB7190"/>
    <mergeCell ref="AD7190:AI7190"/>
    <mergeCell ref="AJ7190:AL7190"/>
    <mergeCell ref="AN7190:AO7190"/>
    <mergeCell ref="AP7190:AQ7190"/>
    <mergeCell ref="AR7190:AS7191"/>
    <mergeCell ref="AT7190:AU7191"/>
    <mergeCell ref="AV7190:AW7191"/>
    <mergeCell ref="AX7190:AY7191"/>
    <mergeCell ref="AZ7190:AZ7191"/>
    <mergeCell ref="F7191:H7191"/>
    <mergeCell ref="X7191:AB7191"/>
    <mergeCell ref="AE7191:AI7191"/>
    <mergeCell ref="AJ7191:AL7191"/>
    <mergeCell ref="AN7191:AO7191"/>
    <mergeCell ref="AP7191:AQ7191"/>
    <mergeCell ref="A7192:A7193"/>
    <mergeCell ref="E7192:E7193"/>
    <mergeCell ref="F7192:H7192"/>
    <mergeCell ref="J7192:J7193"/>
    <mergeCell ref="K7192:L7193"/>
    <mergeCell ref="M7192:N7193"/>
    <mergeCell ref="O7192:P7193"/>
    <mergeCell ref="Q7192:R7193"/>
    <mergeCell ref="S7192:T7193"/>
    <mergeCell ref="U7192:V7193"/>
    <mergeCell ref="W7192:W7193"/>
    <mergeCell ref="X7192:AB7192"/>
    <mergeCell ref="AD7192:AI7192"/>
    <mergeCell ref="AJ7192:AL7192"/>
    <mergeCell ref="AN7192:AO7192"/>
    <mergeCell ref="AP7192:AQ7192"/>
    <mergeCell ref="AR7192:AS7193"/>
    <mergeCell ref="AT7192:AU7193"/>
    <mergeCell ref="AV7192:AW7193"/>
    <mergeCell ref="AX7192:AY7193"/>
    <mergeCell ref="AZ7192:AZ7193"/>
    <mergeCell ref="F7193:H7193"/>
    <mergeCell ref="X7193:AB7193"/>
    <mergeCell ref="AE7193:AI7193"/>
    <mergeCell ref="AJ7193:AL7193"/>
    <mergeCell ref="AN7193:AO7193"/>
    <mergeCell ref="AP7193:AQ7193"/>
    <mergeCell ref="A7194:A7195"/>
    <mergeCell ref="E7194:E7195"/>
    <mergeCell ref="F7194:H7194"/>
    <mergeCell ref="J7194:J7195"/>
    <mergeCell ref="K7194:L7195"/>
    <mergeCell ref="M7194:N7195"/>
    <mergeCell ref="O7194:P7195"/>
    <mergeCell ref="Q7194:R7195"/>
    <mergeCell ref="S7194:T7195"/>
    <mergeCell ref="U7194:V7195"/>
    <mergeCell ref="W7194:W7195"/>
    <mergeCell ref="X7194:AB7194"/>
    <mergeCell ref="AD7194:AI7194"/>
    <mergeCell ref="AJ7194:AL7194"/>
    <mergeCell ref="AN7194:AO7194"/>
    <mergeCell ref="AP7194:AQ7194"/>
    <mergeCell ref="AR7194:AS7195"/>
    <mergeCell ref="AT7194:AU7195"/>
    <mergeCell ref="AV7194:AW7195"/>
    <mergeCell ref="AX7194:AY7195"/>
    <mergeCell ref="AZ7194:AZ7195"/>
    <mergeCell ref="F7195:H7195"/>
    <mergeCell ref="X7195:AB7195"/>
    <mergeCell ref="AE7195:AI7195"/>
    <mergeCell ref="AJ7195:AL7195"/>
    <mergeCell ref="AN7195:AO7195"/>
    <mergeCell ref="AP7195:AQ7195"/>
    <mergeCell ref="A7200:A7201"/>
    <mergeCell ref="E7200:E7201"/>
    <mergeCell ref="F7200:H7200"/>
    <mergeCell ref="J7200:J7201"/>
    <mergeCell ref="K7200:L7201"/>
    <mergeCell ref="M7200:N7201"/>
    <mergeCell ref="O7200:P7201"/>
    <mergeCell ref="Q7200:R7201"/>
    <mergeCell ref="S7200:T7201"/>
    <mergeCell ref="U7200:V7201"/>
    <mergeCell ref="W7200:W7201"/>
    <mergeCell ref="X7200:AB7200"/>
    <mergeCell ref="AD7200:AI7200"/>
    <mergeCell ref="AJ7200:AL7200"/>
    <mergeCell ref="AN7200:AO7200"/>
    <mergeCell ref="AP7200:AQ7200"/>
    <mergeCell ref="AR7200:AS7201"/>
    <mergeCell ref="AT7200:AU7201"/>
    <mergeCell ref="AV7200:AW7201"/>
    <mergeCell ref="AX7200:AY7201"/>
    <mergeCell ref="AZ7200:AZ7201"/>
    <mergeCell ref="F7201:H7201"/>
    <mergeCell ref="X7201:AB7201"/>
    <mergeCell ref="AE7201:AI7201"/>
    <mergeCell ref="AJ7201:AL7201"/>
    <mergeCell ref="AN7201:AO7201"/>
    <mergeCell ref="AP7201:AQ7201"/>
    <mergeCell ref="A7196:A7197"/>
    <mergeCell ref="E7196:E7197"/>
    <mergeCell ref="F7196:H7196"/>
    <mergeCell ref="J7196:J7197"/>
    <mergeCell ref="K7196:L7197"/>
    <mergeCell ref="M7196:N7197"/>
    <mergeCell ref="O7196:P7197"/>
    <mergeCell ref="Q7196:R7197"/>
    <mergeCell ref="S7196:T7197"/>
    <mergeCell ref="U7196:V7197"/>
    <mergeCell ref="A7202:A7203"/>
    <mergeCell ref="E7202:E7203"/>
    <mergeCell ref="F7202:H7202"/>
    <mergeCell ref="J7202:J7203"/>
    <mergeCell ref="K7202:L7203"/>
    <mergeCell ref="M7202:N7203"/>
    <mergeCell ref="O7202:P7203"/>
    <mergeCell ref="Q7202:R7203"/>
    <mergeCell ref="S7202:T7203"/>
    <mergeCell ref="U7202:V7203"/>
    <mergeCell ref="W7202:W7203"/>
    <mergeCell ref="X7202:AB7202"/>
    <mergeCell ref="AD7202:AI7202"/>
    <mergeCell ref="AJ7202:AL7202"/>
    <mergeCell ref="AN7202:AO7202"/>
    <mergeCell ref="AP7202:AQ7202"/>
    <mergeCell ref="AR7202:AS7203"/>
    <mergeCell ref="AT7202:AU7203"/>
    <mergeCell ref="AV7202:AW7203"/>
    <mergeCell ref="AX7202:AY7203"/>
    <mergeCell ref="AZ7202:AZ7203"/>
    <mergeCell ref="F7203:H7203"/>
    <mergeCell ref="X7203:AB7203"/>
    <mergeCell ref="AE7203:AI7203"/>
    <mergeCell ref="AJ7203:AL7203"/>
    <mergeCell ref="AN7203:AO7203"/>
    <mergeCell ref="AP7203:AQ7203"/>
    <mergeCell ref="A7204:A7205"/>
    <mergeCell ref="E7204:E7205"/>
    <mergeCell ref="F7204:H7204"/>
    <mergeCell ref="J7204:J7205"/>
    <mergeCell ref="K7204:L7205"/>
    <mergeCell ref="M7204:N7205"/>
    <mergeCell ref="O7204:P7205"/>
    <mergeCell ref="Q7204:R7205"/>
    <mergeCell ref="S7204:T7205"/>
    <mergeCell ref="U7204:V7205"/>
    <mergeCell ref="W7204:W7205"/>
    <mergeCell ref="X7204:AB7204"/>
    <mergeCell ref="AD7204:AI7204"/>
    <mergeCell ref="AJ7204:AL7204"/>
    <mergeCell ref="AN7204:AO7204"/>
    <mergeCell ref="AP7204:AQ7204"/>
    <mergeCell ref="AR7204:AS7205"/>
    <mergeCell ref="AT7204:AU7205"/>
    <mergeCell ref="AV7204:AW7205"/>
    <mergeCell ref="AX7204:AY7205"/>
    <mergeCell ref="AZ7204:AZ7205"/>
    <mergeCell ref="F7205:H7205"/>
    <mergeCell ref="X7205:AB7205"/>
    <mergeCell ref="AE7205:AI7205"/>
    <mergeCell ref="AJ7205:AL7205"/>
    <mergeCell ref="AN7205:AO7205"/>
    <mergeCell ref="AP7205:AQ7205"/>
    <mergeCell ref="A7206:A7207"/>
    <mergeCell ref="E7206:E7207"/>
    <mergeCell ref="F7206:H7206"/>
    <mergeCell ref="J7206:J7207"/>
    <mergeCell ref="K7206:L7207"/>
    <mergeCell ref="M7206:N7207"/>
    <mergeCell ref="O7206:P7207"/>
    <mergeCell ref="Q7206:R7207"/>
    <mergeCell ref="S7206:T7207"/>
    <mergeCell ref="U7206:V7207"/>
    <mergeCell ref="W7206:W7207"/>
    <mergeCell ref="X7206:AB7206"/>
    <mergeCell ref="AD7206:AI7206"/>
    <mergeCell ref="AJ7206:AL7206"/>
    <mergeCell ref="AN7206:AO7206"/>
    <mergeCell ref="AP7206:AQ7206"/>
    <mergeCell ref="AR7206:AS7207"/>
    <mergeCell ref="AT7206:AU7207"/>
    <mergeCell ref="AV7206:AW7207"/>
    <mergeCell ref="AX7206:AY7207"/>
    <mergeCell ref="AZ7206:AZ7207"/>
    <mergeCell ref="F7207:H7207"/>
    <mergeCell ref="X7207:AB7207"/>
    <mergeCell ref="AE7207:AI7207"/>
    <mergeCell ref="AJ7207:AL7207"/>
    <mergeCell ref="AN7207:AO7207"/>
    <mergeCell ref="AP7207:AQ7207"/>
    <mergeCell ref="A7208:A7209"/>
    <mergeCell ref="E7208:E7209"/>
    <mergeCell ref="F7208:H7208"/>
    <mergeCell ref="J7208:J7209"/>
    <mergeCell ref="K7208:L7209"/>
    <mergeCell ref="M7208:N7209"/>
    <mergeCell ref="O7208:P7209"/>
    <mergeCell ref="Q7208:R7209"/>
    <mergeCell ref="S7208:T7209"/>
    <mergeCell ref="U7208:V7209"/>
    <mergeCell ref="W7208:W7209"/>
    <mergeCell ref="X7208:AB7208"/>
    <mergeCell ref="AD7208:AI7208"/>
    <mergeCell ref="AJ7208:AL7208"/>
    <mergeCell ref="AN7208:AO7208"/>
    <mergeCell ref="AP7208:AQ7208"/>
    <mergeCell ref="AR7208:AS7209"/>
    <mergeCell ref="AT7208:AU7209"/>
    <mergeCell ref="AV7208:AW7209"/>
    <mergeCell ref="AX7208:AY7209"/>
    <mergeCell ref="AZ7208:AZ7209"/>
    <mergeCell ref="F7209:H7209"/>
    <mergeCell ref="X7209:AB7209"/>
    <mergeCell ref="AE7209:AI7209"/>
    <mergeCell ref="AJ7209:AL7209"/>
    <mergeCell ref="AN7209:AO7209"/>
    <mergeCell ref="AP7209:AQ7209"/>
    <mergeCell ref="A7210:A7211"/>
    <mergeCell ref="E7210:E7211"/>
    <mergeCell ref="F7210:H7210"/>
    <mergeCell ref="J7210:J7211"/>
    <mergeCell ref="K7210:L7211"/>
    <mergeCell ref="M7210:N7211"/>
    <mergeCell ref="O7210:P7211"/>
    <mergeCell ref="Q7210:R7211"/>
    <mergeCell ref="S7210:T7211"/>
    <mergeCell ref="U7210:V7211"/>
    <mergeCell ref="W7210:W7211"/>
    <mergeCell ref="X7210:AB7210"/>
    <mergeCell ref="AD7210:AI7210"/>
    <mergeCell ref="AJ7210:AL7210"/>
    <mergeCell ref="AN7210:AO7210"/>
    <mergeCell ref="AP7210:AQ7210"/>
    <mergeCell ref="AR7210:AS7211"/>
    <mergeCell ref="AT7210:AU7211"/>
    <mergeCell ref="AV7210:AW7211"/>
    <mergeCell ref="AX7210:AY7211"/>
    <mergeCell ref="AZ7210:AZ7211"/>
    <mergeCell ref="F7211:H7211"/>
    <mergeCell ref="X7211:AB7211"/>
    <mergeCell ref="AE7211:AI7211"/>
    <mergeCell ref="AJ7211:AL7211"/>
    <mergeCell ref="AN7211:AO7211"/>
    <mergeCell ref="AP7211:AQ7211"/>
    <mergeCell ref="A7212:A7213"/>
    <mergeCell ref="E7212:E7213"/>
    <mergeCell ref="F7212:H7212"/>
    <mergeCell ref="J7212:J7213"/>
    <mergeCell ref="K7212:L7213"/>
    <mergeCell ref="M7212:N7213"/>
    <mergeCell ref="O7212:P7213"/>
    <mergeCell ref="Q7212:R7213"/>
    <mergeCell ref="S7212:T7213"/>
    <mergeCell ref="U7212:V7213"/>
    <mergeCell ref="W7212:W7213"/>
    <mergeCell ref="X7212:AB7212"/>
    <mergeCell ref="AD7212:AI7212"/>
    <mergeCell ref="AJ7212:AL7212"/>
    <mergeCell ref="AN7212:AO7212"/>
    <mergeCell ref="AP7212:AQ7212"/>
    <mergeCell ref="AR7212:AS7213"/>
    <mergeCell ref="AT7212:AU7213"/>
    <mergeCell ref="AV7212:AW7213"/>
    <mergeCell ref="AX7212:AY7213"/>
    <mergeCell ref="AZ7212:AZ7213"/>
    <mergeCell ref="F7213:H7213"/>
    <mergeCell ref="X7213:AB7213"/>
    <mergeCell ref="AE7213:AI7213"/>
    <mergeCell ref="AJ7213:AL7213"/>
    <mergeCell ref="AN7213:AO7213"/>
    <mergeCell ref="AP7213:AQ7213"/>
    <mergeCell ref="A7214:A7215"/>
    <mergeCell ref="E7214:E7215"/>
    <mergeCell ref="F7214:H7214"/>
    <mergeCell ref="J7214:J7215"/>
    <mergeCell ref="K7214:L7215"/>
    <mergeCell ref="M7214:N7215"/>
    <mergeCell ref="O7214:P7215"/>
    <mergeCell ref="Q7214:R7215"/>
    <mergeCell ref="S7214:T7215"/>
    <mergeCell ref="U7214:V7215"/>
    <mergeCell ref="W7214:W7215"/>
    <mergeCell ref="X7214:AB7214"/>
    <mergeCell ref="AD7214:AI7214"/>
    <mergeCell ref="AJ7214:AL7214"/>
    <mergeCell ref="AN7214:AO7214"/>
    <mergeCell ref="AP7214:AQ7214"/>
    <mergeCell ref="AR7214:AS7215"/>
    <mergeCell ref="AT7214:AU7215"/>
    <mergeCell ref="AV7214:AW7215"/>
    <mergeCell ref="AX7214:AY7215"/>
    <mergeCell ref="AZ7214:AZ7215"/>
    <mergeCell ref="F7215:H7215"/>
    <mergeCell ref="X7215:AB7215"/>
    <mergeCell ref="AE7215:AI7215"/>
    <mergeCell ref="AJ7215:AL7215"/>
    <mergeCell ref="AN7215:AO7215"/>
    <mergeCell ref="AP7215:AQ7215"/>
    <mergeCell ref="A7216:A7217"/>
    <mergeCell ref="E7216:E7217"/>
    <mergeCell ref="F7216:H7216"/>
    <mergeCell ref="J7216:J7217"/>
    <mergeCell ref="K7216:L7217"/>
    <mergeCell ref="M7216:N7217"/>
    <mergeCell ref="O7216:P7217"/>
    <mergeCell ref="Q7216:R7217"/>
    <mergeCell ref="S7216:T7217"/>
    <mergeCell ref="U7216:V7217"/>
    <mergeCell ref="W7216:W7217"/>
    <mergeCell ref="X7216:AB7216"/>
    <mergeCell ref="AD7216:AI7216"/>
    <mergeCell ref="AJ7216:AL7216"/>
    <mergeCell ref="AN7216:AO7216"/>
    <mergeCell ref="AP7216:AQ7216"/>
    <mergeCell ref="AR7216:AS7217"/>
    <mergeCell ref="AT7216:AU7217"/>
    <mergeCell ref="AV7216:AW7217"/>
    <mergeCell ref="AX7216:AY7217"/>
    <mergeCell ref="AZ7216:AZ7217"/>
    <mergeCell ref="F7217:H7217"/>
    <mergeCell ref="X7217:AB7217"/>
    <mergeCell ref="AE7217:AI7217"/>
    <mergeCell ref="AJ7217:AL7217"/>
    <mergeCell ref="AN7217:AO7217"/>
    <mergeCell ref="AP7217:AQ7217"/>
    <mergeCell ref="A7218:A7219"/>
    <mergeCell ref="E7218:E7219"/>
    <mergeCell ref="F7218:H7218"/>
    <mergeCell ref="J7218:J7219"/>
    <mergeCell ref="K7218:L7219"/>
    <mergeCell ref="M7218:N7219"/>
    <mergeCell ref="O7218:P7219"/>
    <mergeCell ref="Q7218:R7219"/>
    <mergeCell ref="S7218:T7219"/>
    <mergeCell ref="U7218:V7219"/>
    <mergeCell ref="W7218:W7219"/>
    <mergeCell ref="X7218:AB7218"/>
    <mergeCell ref="AD7218:AI7218"/>
    <mergeCell ref="AJ7218:AL7218"/>
    <mergeCell ref="AN7218:AO7218"/>
    <mergeCell ref="AP7218:AQ7218"/>
    <mergeCell ref="AR7218:AS7219"/>
    <mergeCell ref="AT7218:AU7219"/>
    <mergeCell ref="AV7218:AW7219"/>
    <mergeCell ref="AX7218:AY7219"/>
    <mergeCell ref="AZ7218:AZ7219"/>
    <mergeCell ref="F7219:H7219"/>
    <mergeCell ref="X7219:AB7219"/>
    <mergeCell ref="AE7219:AI7219"/>
    <mergeCell ref="AJ7219:AL7219"/>
    <mergeCell ref="AN7219:AO7219"/>
    <mergeCell ref="AP7219:AQ7219"/>
    <mergeCell ref="A7220:A7221"/>
    <mergeCell ref="E7220:E7221"/>
    <mergeCell ref="F7220:H7220"/>
    <mergeCell ref="J7220:J7221"/>
    <mergeCell ref="K7220:L7221"/>
    <mergeCell ref="M7220:N7221"/>
    <mergeCell ref="O7220:P7221"/>
    <mergeCell ref="Q7220:R7221"/>
    <mergeCell ref="S7220:T7221"/>
    <mergeCell ref="U7220:V7221"/>
    <mergeCell ref="W7220:W7221"/>
    <mergeCell ref="X7220:AB7220"/>
    <mergeCell ref="AD7220:AI7220"/>
    <mergeCell ref="AJ7220:AL7220"/>
    <mergeCell ref="AN7220:AO7220"/>
    <mergeCell ref="AP7220:AQ7220"/>
    <mergeCell ref="AR7220:AS7221"/>
    <mergeCell ref="AT7220:AU7221"/>
    <mergeCell ref="AV7220:AW7221"/>
    <mergeCell ref="AX7220:AY7221"/>
    <mergeCell ref="AZ7220:AZ7221"/>
    <mergeCell ref="F7221:H7221"/>
    <mergeCell ref="X7221:AB7221"/>
    <mergeCell ref="AE7221:AI7221"/>
    <mergeCell ref="AJ7221:AL7221"/>
    <mergeCell ref="AN7221:AO7221"/>
    <mergeCell ref="AP7221:AQ7221"/>
    <mergeCell ref="A7222:A7223"/>
    <mergeCell ref="E7222:E7223"/>
    <mergeCell ref="F7222:H7222"/>
    <mergeCell ref="J7222:J7223"/>
    <mergeCell ref="K7222:L7223"/>
    <mergeCell ref="M7222:N7223"/>
    <mergeCell ref="O7222:P7223"/>
    <mergeCell ref="Q7222:R7223"/>
    <mergeCell ref="S7222:T7223"/>
    <mergeCell ref="U7222:V7223"/>
    <mergeCell ref="W7222:W7223"/>
    <mergeCell ref="X7222:AB7222"/>
    <mergeCell ref="AD7222:AI7222"/>
    <mergeCell ref="AJ7222:AL7222"/>
    <mergeCell ref="AN7222:AO7222"/>
    <mergeCell ref="AP7222:AQ7222"/>
    <mergeCell ref="AR7222:AS7223"/>
    <mergeCell ref="AT7222:AU7223"/>
    <mergeCell ref="AV7222:AW7223"/>
    <mergeCell ref="AX7222:AY7223"/>
    <mergeCell ref="AZ7222:AZ7223"/>
    <mergeCell ref="F7223:H7223"/>
    <mergeCell ref="X7223:AB7223"/>
    <mergeCell ref="AE7223:AI7223"/>
    <mergeCell ref="AJ7223:AL7223"/>
    <mergeCell ref="AN7223:AO7223"/>
    <mergeCell ref="AP7223:AQ7223"/>
    <mergeCell ref="A7224:A7225"/>
    <mergeCell ref="E7224:E7225"/>
    <mergeCell ref="F7224:H7224"/>
    <mergeCell ref="J7224:J7225"/>
    <mergeCell ref="K7224:L7225"/>
    <mergeCell ref="M7224:N7225"/>
    <mergeCell ref="O7224:P7225"/>
    <mergeCell ref="Q7224:R7225"/>
    <mergeCell ref="S7224:T7225"/>
    <mergeCell ref="U7224:V7225"/>
    <mergeCell ref="W7224:W7225"/>
    <mergeCell ref="X7224:AB7224"/>
    <mergeCell ref="AD7224:AI7224"/>
    <mergeCell ref="AJ7224:AL7224"/>
    <mergeCell ref="AN7224:AO7224"/>
    <mergeCell ref="AP7224:AQ7224"/>
    <mergeCell ref="AR7224:AS7225"/>
    <mergeCell ref="AT7224:AU7225"/>
    <mergeCell ref="AV7224:AW7225"/>
    <mergeCell ref="AX7224:AY7225"/>
    <mergeCell ref="AZ7224:AZ7225"/>
    <mergeCell ref="F7225:H7225"/>
    <mergeCell ref="X7225:AB7225"/>
    <mergeCell ref="AE7225:AI7225"/>
    <mergeCell ref="AJ7225:AL7225"/>
    <mergeCell ref="AN7225:AO7225"/>
    <mergeCell ref="AP7225:AQ7225"/>
    <mergeCell ref="A7226:A7227"/>
    <mergeCell ref="E7226:E7227"/>
    <mergeCell ref="F7226:H7226"/>
    <mergeCell ref="J7226:J7227"/>
    <mergeCell ref="K7226:L7227"/>
    <mergeCell ref="M7226:N7227"/>
    <mergeCell ref="O7226:P7227"/>
    <mergeCell ref="Q7226:R7227"/>
    <mergeCell ref="S7226:T7227"/>
    <mergeCell ref="U7226:V7227"/>
    <mergeCell ref="W7226:W7227"/>
    <mergeCell ref="X7226:AB7226"/>
    <mergeCell ref="AD7226:AI7226"/>
    <mergeCell ref="AJ7226:AL7226"/>
    <mergeCell ref="AN7226:AO7226"/>
    <mergeCell ref="AP7226:AQ7226"/>
    <mergeCell ref="AR7226:AS7227"/>
    <mergeCell ref="AT7226:AU7227"/>
    <mergeCell ref="AV7226:AW7227"/>
    <mergeCell ref="AX7226:AY7227"/>
    <mergeCell ref="AZ7226:AZ7227"/>
    <mergeCell ref="F7227:H7227"/>
    <mergeCell ref="X7227:AB7227"/>
    <mergeCell ref="AE7227:AI7227"/>
    <mergeCell ref="AJ7227:AL7227"/>
    <mergeCell ref="AN7227:AO7227"/>
    <mergeCell ref="AP7227:AQ7227"/>
    <mergeCell ref="A7228:A7229"/>
    <mergeCell ref="E7228:E7229"/>
    <mergeCell ref="F7228:H7228"/>
    <mergeCell ref="J7228:J7229"/>
    <mergeCell ref="K7228:L7229"/>
    <mergeCell ref="M7228:N7229"/>
    <mergeCell ref="O7228:P7229"/>
    <mergeCell ref="Q7228:R7229"/>
    <mergeCell ref="S7228:T7229"/>
    <mergeCell ref="U7228:V7229"/>
    <mergeCell ref="W7228:W7229"/>
    <mergeCell ref="X7228:AB7228"/>
    <mergeCell ref="AD7228:AI7228"/>
    <mergeCell ref="AJ7228:AL7228"/>
    <mergeCell ref="AN7228:AO7228"/>
    <mergeCell ref="AP7228:AQ7228"/>
    <mergeCell ref="AR7228:AS7229"/>
    <mergeCell ref="AT7228:AU7229"/>
    <mergeCell ref="AV7228:AW7229"/>
    <mergeCell ref="AX7228:AY7229"/>
    <mergeCell ref="AZ7228:AZ7229"/>
    <mergeCell ref="F7229:H7229"/>
    <mergeCell ref="X7229:AB7229"/>
    <mergeCell ref="AE7229:AI7229"/>
    <mergeCell ref="AJ7229:AL7229"/>
    <mergeCell ref="AN7229:AO7229"/>
    <mergeCell ref="AP7229:AQ7229"/>
    <mergeCell ref="A7230:A7231"/>
    <mergeCell ref="E7230:E7231"/>
    <mergeCell ref="F7230:H7230"/>
    <mergeCell ref="J7230:J7231"/>
    <mergeCell ref="K7230:L7231"/>
    <mergeCell ref="M7230:N7231"/>
    <mergeCell ref="O7230:P7231"/>
    <mergeCell ref="Q7230:R7231"/>
    <mergeCell ref="S7230:T7231"/>
    <mergeCell ref="U7230:V7231"/>
    <mergeCell ref="W7230:W7231"/>
    <mergeCell ref="X7230:AB7230"/>
    <mergeCell ref="AD7230:AI7230"/>
    <mergeCell ref="AJ7230:AL7230"/>
    <mergeCell ref="AN7230:AO7230"/>
    <mergeCell ref="AP7230:AQ7230"/>
    <mergeCell ref="AR7230:AS7231"/>
    <mergeCell ref="AT7230:AU7231"/>
    <mergeCell ref="AV7230:AW7231"/>
    <mergeCell ref="AX7230:AY7231"/>
    <mergeCell ref="AZ7230:AZ7231"/>
    <mergeCell ref="F7231:H7231"/>
    <mergeCell ref="X7231:AB7231"/>
    <mergeCell ref="AE7231:AI7231"/>
    <mergeCell ref="AJ7231:AL7231"/>
    <mergeCell ref="AN7231:AO7231"/>
    <mergeCell ref="AP7231:AQ7231"/>
    <mergeCell ref="A7232:A7233"/>
    <mergeCell ref="E7232:E7233"/>
    <mergeCell ref="F7232:H7232"/>
    <mergeCell ref="J7232:J7233"/>
    <mergeCell ref="K7232:L7233"/>
    <mergeCell ref="M7232:N7233"/>
    <mergeCell ref="O7232:P7233"/>
    <mergeCell ref="Q7232:R7233"/>
    <mergeCell ref="S7232:T7233"/>
    <mergeCell ref="U7232:V7233"/>
    <mergeCell ref="W7232:W7233"/>
    <mergeCell ref="X7232:AB7232"/>
    <mergeCell ref="AD7232:AI7232"/>
    <mergeCell ref="AJ7232:AL7232"/>
    <mergeCell ref="AN7232:AO7232"/>
    <mergeCell ref="AP7232:AQ7232"/>
    <mergeCell ref="AR7232:AS7233"/>
    <mergeCell ref="AT7232:AU7233"/>
    <mergeCell ref="AV7232:AW7233"/>
    <mergeCell ref="AX7232:AY7233"/>
    <mergeCell ref="AZ7232:AZ7233"/>
    <mergeCell ref="F7233:H7233"/>
    <mergeCell ref="X7233:AB7233"/>
    <mergeCell ref="AE7233:AI7233"/>
    <mergeCell ref="AJ7233:AL7233"/>
    <mergeCell ref="AN7233:AO7233"/>
    <mergeCell ref="AP7233:AQ7233"/>
    <mergeCell ref="A7234:A7235"/>
    <mergeCell ref="E7234:E7235"/>
    <mergeCell ref="F7234:H7234"/>
    <mergeCell ref="J7234:J7235"/>
    <mergeCell ref="K7234:L7235"/>
    <mergeCell ref="M7234:N7235"/>
    <mergeCell ref="O7234:P7235"/>
    <mergeCell ref="Q7234:R7235"/>
    <mergeCell ref="S7234:T7235"/>
    <mergeCell ref="U7234:V7235"/>
    <mergeCell ref="W7234:W7235"/>
    <mergeCell ref="X7234:AB7234"/>
    <mergeCell ref="AD7234:AI7234"/>
    <mergeCell ref="AJ7234:AL7234"/>
    <mergeCell ref="AN7234:AO7234"/>
    <mergeCell ref="AP7234:AQ7234"/>
    <mergeCell ref="AR7234:AS7235"/>
    <mergeCell ref="AT7234:AU7235"/>
    <mergeCell ref="AV7234:AW7235"/>
    <mergeCell ref="AX7234:AY7235"/>
    <mergeCell ref="AZ7234:AZ7235"/>
    <mergeCell ref="F7235:H7235"/>
    <mergeCell ref="X7235:AB7235"/>
    <mergeCell ref="AE7235:AI7235"/>
    <mergeCell ref="AJ7235:AL7235"/>
    <mergeCell ref="AN7235:AO7235"/>
    <mergeCell ref="AP7235:AQ7235"/>
    <mergeCell ref="A7236:A7237"/>
    <mergeCell ref="E7236:E7237"/>
    <mergeCell ref="F7236:H7236"/>
    <mergeCell ref="J7236:J7237"/>
    <mergeCell ref="K7236:L7237"/>
    <mergeCell ref="M7236:N7237"/>
    <mergeCell ref="O7236:P7237"/>
    <mergeCell ref="Q7236:R7237"/>
    <mergeCell ref="S7236:T7237"/>
    <mergeCell ref="U7236:V7237"/>
    <mergeCell ref="W7236:W7237"/>
    <mergeCell ref="X7236:AB7236"/>
    <mergeCell ref="AD7236:AI7236"/>
    <mergeCell ref="AJ7236:AL7236"/>
    <mergeCell ref="AN7236:AO7236"/>
    <mergeCell ref="AP7236:AQ7236"/>
    <mergeCell ref="AR7236:AS7237"/>
    <mergeCell ref="AT7236:AU7237"/>
    <mergeCell ref="AV7236:AW7237"/>
    <mergeCell ref="AX7236:AY7237"/>
    <mergeCell ref="AZ7236:AZ7237"/>
    <mergeCell ref="F7237:H7237"/>
    <mergeCell ref="X7237:AB7237"/>
    <mergeCell ref="AE7237:AI7237"/>
    <mergeCell ref="AJ7237:AL7237"/>
    <mergeCell ref="AN7237:AO7237"/>
    <mergeCell ref="AP7237:AQ7237"/>
    <mergeCell ref="A7238:A7239"/>
    <mergeCell ref="E7238:E7239"/>
    <mergeCell ref="F7238:H7238"/>
    <mergeCell ref="J7238:J7239"/>
    <mergeCell ref="K7238:L7239"/>
    <mergeCell ref="M7238:N7239"/>
    <mergeCell ref="O7238:P7239"/>
    <mergeCell ref="Q7238:R7239"/>
    <mergeCell ref="S7238:T7239"/>
    <mergeCell ref="U7238:V7239"/>
    <mergeCell ref="W7238:W7239"/>
    <mergeCell ref="X7238:AB7238"/>
    <mergeCell ref="AD7238:AI7238"/>
    <mergeCell ref="AJ7238:AL7238"/>
    <mergeCell ref="AN7238:AO7238"/>
    <mergeCell ref="AP7238:AQ7238"/>
    <mergeCell ref="AR7238:AS7239"/>
    <mergeCell ref="AT7238:AU7239"/>
    <mergeCell ref="AV7238:AW7239"/>
    <mergeCell ref="AX7238:AY7239"/>
    <mergeCell ref="AZ7238:AZ7239"/>
    <mergeCell ref="F7239:H7239"/>
    <mergeCell ref="X7239:AB7239"/>
    <mergeCell ref="AE7239:AI7239"/>
    <mergeCell ref="AJ7239:AL7239"/>
    <mergeCell ref="AN7239:AO7239"/>
    <mergeCell ref="AP7239:AQ7239"/>
    <mergeCell ref="A7240:A7241"/>
    <mergeCell ref="E7240:E7241"/>
    <mergeCell ref="F7240:H7240"/>
    <mergeCell ref="J7240:J7241"/>
    <mergeCell ref="K7240:L7241"/>
    <mergeCell ref="M7240:N7241"/>
    <mergeCell ref="O7240:P7241"/>
    <mergeCell ref="Q7240:R7241"/>
    <mergeCell ref="S7240:T7241"/>
    <mergeCell ref="U7240:V7241"/>
    <mergeCell ref="W7240:W7241"/>
    <mergeCell ref="X7240:AB7240"/>
    <mergeCell ref="AD7240:AI7240"/>
    <mergeCell ref="AJ7240:AL7240"/>
    <mergeCell ref="AN7240:AO7240"/>
    <mergeCell ref="AP7240:AQ7240"/>
    <mergeCell ref="AR7240:AS7241"/>
    <mergeCell ref="AT7240:AU7241"/>
    <mergeCell ref="AV7240:AW7241"/>
    <mergeCell ref="AX7240:AY7241"/>
    <mergeCell ref="AZ7240:AZ7241"/>
    <mergeCell ref="F7241:H7241"/>
    <mergeCell ref="X7241:AB7241"/>
    <mergeCell ref="AE7241:AI7241"/>
    <mergeCell ref="AJ7241:AL7241"/>
    <mergeCell ref="AN7241:AO7241"/>
    <mergeCell ref="AP7241:AQ7241"/>
    <mergeCell ref="A7242:A7243"/>
    <mergeCell ref="E7242:E7243"/>
    <mergeCell ref="F7242:H7242"/>
    <mergeCell ref="J7242:J7243"/>
    <mergeCell ref="K7242:L7243"/>
    <mergeCell ref="M7242:N7243"/>
    <mergeCell ref="O7242:P7243"/>
    <mergeCell ref="Q7242:R7243"/>
    <mergeCell ref="S7242:T7243"/>
    <mergeCell ref="U7242:V7243"/>
    <mergeCell ref="W7242:W7243"/>
    <mergeCell ref="X7242:AB7242"/>
    <mergeCell ref="AD7242:AI7242"/>
    <mergeCell ref="AJ7242:AL7242"/>
    <mergeCell ref="AN7242:AO7242"/>
    <mergeCell ref="AP7242:AQ7242"/>
    <mergeCell ref="AR7242:AS7243"/>
    <mergeCell ref="AT7242:AU7243"/>
    <mergeCell ref="AV7242:AW7243"/>
    <mergeCell ref="AX7242:AY7243"/>
    <mergeCell ref="AZ7242:AZ7243"/>
    <mergeCell ref="F7243:H7243"/>
    <mergeCell ref="X7243:AB7243"/>
    <mergeCell ref="AE7243:AI7243"/>
    <mergeCell ref="AJ7243:AL7243"/>
    <mergeCell ref="AN7243:AO7243"/>
    <mergeCell ref="AP7243:AQ7243"/>
    <mergeCell ref="A7244:A7245"/>
    <mergeCell ref="E7244:E7245"/>
    <mergeCell ref="F7244:H7244"/>
    <mergeCell ref="J7244:J7245"/>
    <mergeCell ref="K7244:L7245"/>
    <mergeCell ref="M7244:N7245"/>
    <mergeCell ref="O7244:P7245"/>
    <mergeCell ref="Q7244:R7245"/>
    <mergeCell ref="S7244:T7245"/>
    <mergeCell ref="U7244:V7245"/>
    <mergeCell ref="W7244:W7245"/>
    <mergeCell ref="X7244:AB7244"/>
    <mergeCell ref="AD7244:AI7244"/>
    <mergeCell ref="AJ7244:AL7244"/>
    <mergeCell ref="AN7244:AO7244"/>
    <mergeCell ref="AP7244:AQ7244"/>
    <mergeCell ref="AR7244:AS7245"/>
    <mergeCell ref="AT7244:AU7245"/>
    <mergeCell ref="AV7244:AW7245"/>
    <mergeCell ref="AX7244:AY7245"/>
    <mergeCell ref="AZ7244:AZ7245"/>
    <mergeCell ref="F7245:H7245"/>
    <mergeCell ref="X7245:AB7245"/>
    <mergeCell ref="AE7245:AI7245"/>
    <mergeCell ref="AJ7245:AL7245"/>
    <mergeCell ref="AN7245:AO7245"/>
    <mergeCell ref="AP7245:AQ7245"/>
    <mergeCell ref="A7246:A7247"/>
    <mergeCell ref="E7246:E7247"/>
    <mergeCell ref="F7246:H7246"/>
    <mergeCell ref="J7246:J7247"/>
    <mergeCell ref="K7246:L7247"/>
    <mergeCell ref="M7246:N7247"/>
    <mergeCell ref="O7246:P7247"/>
    <mergeCell ref="Q7246:R7247"/>
    <mergeCell ref="S7246:T7247"/>
    <mergeCell ref="U7246:V7247"/>
    <mergeCell ref="W7246:W7247"/>
    <mergeCell ref="X7246:AB7246"/>
    <mergeCell ref="AD7246:AI7246"/>
    <mergeCell ref="AJ7246:AL7246"/>
    <mergeCell ref="AN7246:AO7246"/>
    <mergeCell ref="AP7246:AQ7246"/>
    <mergeCell ref="AR7246:AS7247"/>
    <mergeCell ref="AT7246:AU7247"/>
    <mergeCell ref="AV7246:AW7247"/>
    <mergeCell ref="AX7246:AY7247"/>
    <mergeCell ref="AZ7246:AZ7247"/>
    <mergeCell ref="F7247:H7247"/>
    <mergeCell ref="X7247:AB7247"/>
    <mergeCell ref="AE7247:AI7247"/>
    <mergeCell ref="AJ7247:AL7247"/>
    <mergeCell ref="AN7247:AO7247"/>
    <mergeCell ref="AP7247:AQ7247"/>
    <mergeCell ref="A7248:A7249"/>
    <mergeCell ref="E7248:E7249"/>
    <mergeCell ref="F7248:H7248"/>
    <mergeCell ref="J7248:J7249"/>
    <mergeCell ref="K7248:L7249"/>
    <mergeCell ref="M7248:N7249"/>
    <mergeCell ref="O7248:P7249"/>
    <mergeCell ref="Q7248:R7249"/>
    <mergeCell ref="S7248:T7249"/>
    <mergeCell ref="U7248:V7249"/>
    <mergeCell ref="W7248:W7249"/>
    <mergeCell ref="X7248:AB7248"/>
    <mergeCell ref="AD7248:AI7248"/>
    <mergeCell ref="AJ7248:AL7248"/>
    <mergeCell ref="AN7248:AO7248"/>
    <mergeCell ref="AP7248:AQ7248"/>
    <mergeCell ref="AR7248:AS7249"/>
    <mergeCell ref="AT7248:AU7249"/>
    <mergeCell ref="AV7248:AW7249"/>
    <mergeCell ref="AX7248:AY7249"/>
    <mergeCell ref="AZ7248:AZ7249"/>
    <mergeCell ref="F7249:H7249"/>
    <mergeCell ref="X7249:AB7249"/>
    <mergeCell ref="AE7249:AI7249"/>
    <mergeCell ref="AJ7249:AL7249"/>
    <mergeCell ref="AN7249:AO7249"/>
    <mergeCell ref="AP7249:AQ7249"/>
    <mergeCell ref="A7250:A7251"/>
    <mergeCell ref="E7250:E7251"/>
    <mergeCell ref="F7250:H7250"/>
    <mergeCell ref="J7250:J7251"/>
    <mergeCell ref="K7250:L7251"/>
    <mergeCell ref="M7250:N7251"/>
    <mergeCell ref="O7250:P7251"/>
    <mergeCell ref="Q7250:R7251"/>
    <mergeCell ref="S7250:T7251"/>
    <mergeCell ref="U7250:V7251"/>
    <mergeCell ref="W7250:W7251"/>
    <mergeCell ref="X7250:AB7250"/>
    <mergeCell ref="AD7250:AI7250"/>
    <mergeCell ref="AJ7250:AL7250"/>
    <mergeCell ref="AN7250:AO7250"/>
    <mergeCell ref="AP7250:AQ7250"/>
    <mergeCell ref="AR7250:AS7251"/>
    <mergeCell ref="AT7250:AU7251"/>
    <mergeCell ref="AV7250:AW7251"/>
    <mergeCell ref="AX7250:AY7251"/>
    <mergeCell ref="AZ7250:AZ7251"/>
    <mergeCell ref="F7251:H7251"/>
    <mergeCell ref="X7251:AB7251"/>
    <mergeCell ref="AE7251:AI7251"/>
    <mergeCell ref="AJ7251:AL7251"/>
    <mergeCell ref="AN7251:AO7251"/>
    <mergeCell ref="AP7251:AQ7251"/>
    <mergeCell ref="A7252:A7253"/>
    <mergeCell ref="E7252:E7253"/>
    <mergeCell ref="F7252:H7252"/>
    <mergeCell ref="J7252:J7253"/>
    <mergeCell ref="K7252:L7253"/>
    <mergeCell ref="M7252:N7253"/>
    <mergeCell ref="O7252:P7253"/>
    <mergeCell ref="Q7252:R7253"/>
    <mergeCell ref="S7252:T7253"/>
    <mergeCell ref="U7252:V7253"/>
    <mergeCell ref="W7252:W7253"/>
    <mergeCell ref="X7252:AB7252"/>
    <mergeCell ref="AD7252:AI7252"/>
    <mergeCell ref="AJ7252:AL7252"/>
    <mergeCell ref="AN7252:AO7252"/>
    <mergeCell ref="AP7252:AQ7252"/>
    <mergeCell ref="AR7252:AS7253"/>
    <mergeCell ref="AT7252:AU7253"/>
    <mergeCell ref="AV7252:AW7253"/>
    <mergeCell ref="AX7252:AY7253"/>
    <mergeCell ref="AZ7252:AZ7253"/>
    <mergeCell ref="F7253:H7253"/>
    <mergeCell ref="X7253:AB7253"/>
    <mergeCell ref="AE7253:AI7253"/>
    <mergeCell ref="AJ7253:AL7253"/>
    <mergeCell ref="AN7253:AO7253"/>
    <mergeCell ref="AP7253:AQ7253"/>
    <mergeCell ref="A7254:A7255"/>
    <mergeCell ref="E7254:E7255"/>
    <mergeCell ref="F7254:H7254"/>
    <mergeCell ref="J7254:J7255"/>
    <mergeCell ref="K7254:L7255"/>
    <mergeCell ref="M7254:N7255"/>
    <mergeCell ref="O7254:P7255"/>
    <mergeCell ref="Q7254:R7255"/>
    <mergeCell ref="S7254:T7255"/>
    <mergeCell ref="U7254:V7255"/>
    <mergeCell ref="W7254:W7255"/>
    <mergeCell ref="X7254:AB7254"/>
    <mergeCell ref="AD7254:AI7254"/>
    <mergeCell ref="AJ7254:AL7254"/>
    <mergeCell ref="AN7254:AO7254"/>
    <mergeCell ref="AP7254:AQ7254"/>
    <mergeCell ref="AR7254:AS7255"/>
    <mergeCell ref="AT7254:AU7255"/>
    <mergeCell ref="AV7254:AW7255"/>
    <mergeCell ref="AX7254:AY7255"/>
    <mergeCell ref="AZ7254:AZ7255"/>
    <mergeCell ref="F7255:H7255"/>
    <mergeCell ref="X7255:AB7255"/>
    <mergeCell ref="AE7255:AI7255"/>
    <mergeCell ref="AJ7255:AL7255"/>
    <mergeCell ref="AN7255:AO7255"/>
    <mergeCell ref="AP7255:AQ7255"/>
    <mergeCell ref="A7256:A7257"/>
    <mergeCell ref="E7256:E7257"/>
    <mergeCell ref="F7256:H7256"/>
    <mergeCell ref="J7256:J7257"/>
    <mergeCell ref="K7256:L7257"/>
    <mergeCell ref="M7256:N7257"/>
    <mergeCell ref="O7256:P7257"/>
    <mergeCell ref="Q7256:R7257"/>
    <mergeCell ref="S7256:T7257"/>
    <mergeCell ref="U7256:V7257"/>
    <mergeCell ref="W7256:W7257"/>
    <mergeCell ref="X7256:AB7256"/>
    <mergeCell ref="AD7256:AI7256"/>
    <mergeCell ref="AJ7256:AL7256"/>
    <mergeCell ref="AN7256:AO7256"/>
    <mergeCell ref="AP7256:AQ7256"/>
    <mergeCell ref="AR7256:AS7257"/>
    <mergeCell ref="AT7256:AU7257"/>
    <mergeCell ref="AV7256:AW7257"/>
    <mergeCell ref="AX7256:AY7257"/>
    <mergeCell ref="AZ7256:AZ7257"/>
    <mergeCell ref="F7257:H7257"/>
    <mergeCell ref="X7257:AB7257"/>
    <mergeCell ref="AE7257:AI7257"/>
    <mergeCell ref="AJ7257:AL7257"/>
    <mergeCell ref="AN7257:AO7257"/>
    <mergeCell ref="AP7257:AQ7257"/>
    <mergeCell ref="A7258:A7259"/>
    <mergeCell ref="E7258:E7259"/>
    <mergeCell ref="F7258:H7258"/>
    <mergeCell ref="J7258:J7259"/>
    <mergeCell ref="K7258:L7259"/>
    <mergeCell ref="M7258:N7259"/>
    <mergeCell ref="O7258:P7259"/>
    <mergeCell ref="Q7258:R7259"/>
    <mergeCell ref="S7258:T7259"/>
    <mergeCell ref="U7258:V7259"/>
    <mergeCell ref="W7258:W7259"/>
    <mergeCell ref="X7258:AB7258"/>
    <mergeCell ref="AD7258:AI7258"/>
    <mergeCell ref="AJ7258:AL7258"/>
    <mergeCell ref="AN7258:AO7258"/>
    <mergeCell ref="AP7258:AQ7258"/>
    <mergeCell ref="AR7258:AS7259"/>
    <mergeCell ref="AT7258:AU7259"/>
    <mergeCell ref="AV7258:AW7259"/>
    <mergeCell ref="AX7258:AY7259"/>
    <mergeCell ref="AZ7258:AZ7259"/>
    <mergeCell ref="F7259:H7259"/>
    <mergeCell ref="X7259:AB7259"/>
    <mergeCell ref="AE7259:AI7259"/>
    <mergeCell ref="AJ7259:AL7259"/>
    <mergeCell ref="AN7259:AO7259"/>
    <mergeCell ref="AP7259:AQ7259"/>
    <mergeCell ref="A7260:A7261"/>
    <mergeCell ref="E7260:E7261"/>
    <mergeCell ref="F7260:H7260"/>
    <mergeCell ref="J7260:J7261"/>
    <mergeCell ref="K7260:L7261"/>
    <mergeCell ref="M7260:N7261"/>
    <mergeCell ref="O7260:P7261"/>
    <mergeCell ref="Q7260:R7261"/>
    <mergeCell ref="S7260:T7261"/>
    <mergeCell ref="U7260:V7261"/>
    <mergeCell ref="W7260:W7261"/>
    <mergeCell ref="X7260:AB7260"/>
    <mergeCell ref="AD7260:AI7260"/>
    <mergeCell ref="AJ7260:AL7260"/>
    <mergeCell ref="AN7260:AO7260"/>
    <mergeCell ref="AP7260:AQ7260"/>
    <mergeCell ref="AR7260:AS7261"/>
    <mergeCell ref="AT7260:AU7261"/>
    <mergeCell ref="AV7260:AW7261"/>
    <mergeCell ref="AX7260:AY7261"/>
    <mergeCell ref="AZ7260:AZ7261"/>
    <mergeCell ref="F7261:H7261"/>
    <mergeCell ref="X7261:AB7261"/>
    <mergeCell ref="AE7261:AI7261"/>
    <mergeCell ref="AJ7261:AL7261"/>
    <mergeCell ref="AN7261:AO7261"/>
    <mergeCell ref="AP7261:AQ7261"/>
    <mergeCell ref="A7262:A7263"/>
    <mergeCell ref="E7262:E7263"/>
    <mergeCell ref="F7262:H7262"/>
    <mergeCell ref="J7262:J7263"/>
    <mergeCell ref="K7262:L7263"/>
    <mergeCell ref="M7262:N7263"/>
    <mergeCell ref="O7262:P7263"/>
    <mergeCell ref="Q7262:R7263"/>
    <mergeCell ref="S7262:T7263"/>
    <mergeCell ref="U7262:V7263"/>
    <mergeCell ref="W7262:W7263"/>
    <mergeCell ref="X7262:AB7262"/>
    <mergeCell ref="AD7262:AI7262"/>
    <mergeCell ref="AJ7262:AL7262"/>
    <mergeCell ref="AN7262:AO7262"/>
    <mergeCell ref="AP7262:AQ7262"/>
    <mergeCell ref="AR7262:AS7263"/>
    <mergeCell ref="AT7262:AU7263"/>
    <mergeCell ref="AV7262:AW7263"/>
    <mergeCell ref="AX7262:AY7263"/>
    <mergeCell ref="AZ7262:AZ7263"/>
    <mergeCell ref="F7263:H7263"/>
    <mergeCell ref="X7263:AB7263"/>
    <mergeCell ref="AE7263:AI7263"/>
    <mergeCell ref="AJ7263:AL7263"/>
    <mergeCell ref="AN7263:AO7263"/>
    <mergeCell ref="AP7263:AQ7263"/>
    <mergeCell ref="A7264:A7265"/>
    <mergeCell ref="E7264:E7265"/>
    <mergeCell ref="F7264:H7264"/>
    <mergeCell ref="J7264:J7265"/>
    <mergeCell ref="K7264:L7265"/>
    <mergeCell ref="M7264:N7265"/>
    <mergeCell ref="O7264:P7265"/>
    <mergeCell ref="Q7264:R7265"/>
    <mergeCell ref="S7264:T7265"/>
    <mergeCell ref="U7264:V7265"/>
    <mergeCell ref="W7264:W7265"/>
    <mergeCell ref="X7264:AB7264"/>
    <mergeCell ref="AD7264:AI7264"/>
    <mergeCell ref="AJ7264:AL7264"/>
    <mergeCell ref="AN7264:AO7264"/>
    <mergeCell ref="AP7264:AQ7264"/>
    <mergeCell ref="AR7264:AS7265"/>
    <mergeCell ref="AT7264:AU7265"/>
    <mergeCell ref="AV7264:AW7265"/>
    <mergeCell ref="AX7264:AY7265"/>
    <mergeCell ref="AZ7264:AZ7265"/>
    <mergeCell ref="F7265:H7265"/>
    <mergeCell ref="X7265:AB7265"/>
    <mergeCell ref="AE7265:AI7265"/>
    <mergeCell ref="AJ7265:AL7265"/>
    <mergeCell ref="AN7265:AO7265"/>
    <mergeCell ref="AP7265:AQ7265"/>
    <mergeCell ref="A7266:A7267"/>
    <mergeCell ref="E7266:E7267"/>
    <mergeCell ref="F7266:H7266"/>
    <mergeCell ref="J7266:J7267"/>
    <mergeCell ref="K7266:L7267"/>
    <mergeCell ref="M7266:N7267"/>
    <mergeCell ref="O7266:P7267"/>
    <mergeCell ref="Q7266:R7267"/>
    <mergeCell ref="S7266:T7267"/>
    <mergeCell ref="U7266:V7267"/>
    <mergeCell ref="W7266:W7267"/>
    <mergeCell ref="X7266:AB7266"/>
    <mergeCell ref="AD7266:AI7266"/>
    <mergeCell ref="AJ7266:AL7266"/>
    <mergeCell ref="AN7266:AO7266"/>
    <mergeCell ref="AP7266:AQ7266"/>
    <mergeCell ref="AR7266:AS7267"/>
    <mergeCell ref="AT7266:AU7267"/>
    <mergeCell ref="AV7266:AW7267"/>
    <mergeCell ref="AX7266:AY7267"/>
    <mergeCell ref="AZ7266:AZ7267"/>
    <mergeCell ref="F7267:H7267"/>
    <mergeCell ref="X7267:AB7267"/>
    <mergeCell ref="AE7267:AI7267"/>
    <mergeCell ref="AJ7267:AL7267"/>
    <mergeCell ref="AN7267:AO7267"/>
    <mergeCell ref="AP7267:AQ7267"/>
    <mergeCell ref="A7268:A7269"/>
    <mergeCell ref="E7268:E7269"/>
    <mergeCell ref="F7268:H7268"/>
    <mergeCell ref="J7268:J7269"/>
    <mergeCell ref="K7268:L7269"/>
    <mergeCell ref="M7268:N7269"/>
    <mergeCell ref="O7268:P7269"/>
    <mergeCell ref="Q7268:R7269"/>
    <mergeCell ref="S7268:T7269"/>
    <mergeCell ref="U7268:V7269"/>
    <mergeCell ref="W7268:W7269"/>
    <mergeCell ref="X7268:AB7268"/>
    <mergeCell ref="AD7268:AI7268"/>
    <mergeCell ref="AJ7268:AL7268"/>
    <mergeCell ref="AN7268:AO7268"/>
    <mergeCell ref="AP7268:AQ7268"/>
    <mergeCell ref="AR7268:AS7269"/>
    <mergeCell ref="AT7268:AU7269"/>
    <mergeCell ref="AV7268:AW7269"/>
    <mergeCell ref="AX7268:AY7269"/>
    <mergeCell ref="AZ7268:AZ7269"/>
    <mergeCell ref="F7269:H7269"/>
    <mergeCell ref="X7269:AB7269"/>
    <mergeCell ref="AE7269:AI7269"/>
    <mergeCell ref="AJ7269:AL7269"/>
    <mergeCell ref="AN7269:AO7269"/>
    <mergeCell ref="AP7269:AQ7269"/>
    <mergeCell ref="A7270:A7271"/>
    <mergeCell ref="E7270:E7271"/>
    <mergeCell ref="F7270:H7270"/>
    <mergeCell ref="J7270:J7271"/>
    <mergeCell ref="K7270:L7271"/>
    <mergeCell ref="M7270:N7271"/>
    <mergeCell ref="O7270:P7271"/>
    <mergeCell ref="Q7270:R7271"/>
    <mergeCell ref="S7270:T7271"/>
    <mergeCell ref="U7270:V7271"/>
    <mergeCell ref="W7270:W7271"/>
    <mergeCell ref="X7270:AB7270"/>
    <mergeCell ref="AD7270:AI7270"/>
    <mergeCell ref="AJ7270:AL7270"/>
    <mergeCell ref="AN7270:AO7270"/>
    <mergeCell ref="AP7270:AQ7270"/>
    <mergeCell ref="AR7270:AS7271"/>
    <mergeCell ref="AT7270:AU7271"/>
    <mergeCell ref="AV7270:AW7271"/>
    <mergeCell ref="AX7270:AY7271"/>
    <mergeCell ref="AZ7270:AZ7271"/>
    <mergeCell ref="F7271:H7271"/>
    <mergeCell ref="X7271:AB7271"/>
    <mergeCell ref="AE7271:AI7271"/>
    <mergeCell ref="AJ7271:AL7271"/>
    <mergeCell ref="AN7271:AO7271"/>
    <mergeCell ref="AP7271:AQ7271"/>
    <mergeCell ref="A7272:A7273"/>
    <mergeCell ref="E7272:E7273"/>
    <mergeCell ref="F7272:H7272"/>
    <mergeCell ref="J7272:J7273"/>
    <mergeCell ref="K7272:L7273"/>
    <mergeCell ref="M7272:N7273"/>
    <mergeCell ref="O7272:P7273"/>
    <mergeCell ref="Q7272:R7273"/>
    <mergeCell ref="S7272:T7273"/>
    <mergeCell ref="U7272:V7273"/>
    <mergeCell ref="W7272:W7273"/>
    <mergeCell ref="X7272:AB7272"/>
    <mergeCell ref="AD7272:AI7272"/>
    <mergeCell ref="AJ7272:AL7272"/>
    <mergeCell ref="AN7272:AO7272"/>
    <mergeCell ref="AP7272:AQ7272"/>
    <mergeCell ref="AR7272:AS7273"/>
    <mergeCell ref="AT7272:AU7273"/>
    <mergeCell ref="AV7272:AW7273"/>
    <mergeCell ref="AX7272:AY7273"/>
    <mergeCell ref="AZ7272:AZ7273"/>
    <mergeCell ref="F7273:H7273"/>
    <mergeCell ref="X7273:AB7273"/>
    <mergeCell ref="AE7273:AI7273"/>
    <mergeCell ref="AJ7273:AL7273"/>
    <mergeCell ref="AN7273:AO7273"/>
    <mergeCell ref="AP7273:AQ7273"/>
    <mergeCell ref="A7274:A7275"/>
    <mergeCell ref="E7274:E7275"/>
    <mergeCell ref="F7274:H7274"/>
    <mergeCell ref="J7274:J7275"/>
    <mergeCell ref="K7274:L7275"/>
    <mergeCell ref="M7274:N7275"/>
    <mergeCell ref="O7274:P7275"/>
    <mergeCell ref="Q7274:R7275"/>
    <mergeCell ref="S7274:T7275"/>
    <mergeCell ref="U7274:V7275"/>
    <mergeCell ref="W7274:W7275"/>
    <mergeCell ref="X7274:AB7274"/>
    <mergeCell ref="AD7274:AI7274"/>
    <mergeCell ref="AJ7274:AL7274"/>
    <mergeCell ref="AN7274:AO7274"/>
    <mergeCell ref="AP7274:AQ7274"/>
    <mergeCell ref="AR7274:AS7275"/>
    <mergeCell ref="AT7274:AU7275"/>
    <mergeCell ref="AV7274:AW7275"/>
    <mergeCell ref="AX7274:AY7275"/>
    <mergeCell ref="AZ7274:AZ7275"/>
    <mergeCell ref="F7275:H7275"/>
    <mergeCell ref="X7275:AB7275"/>
    <mergeCell ref="AE7275:AI7275"/>
    <mergeCell ref="AJ7275:AL7275"/>
    <mergeCell ref="AN7275:AO7275"/>
    <mergeCell ref="AP7275:AQ7275"/>
    <mergeCell ref="A7276:A7277"/>
    <mergeCell ref="E7276:E7277"/>
    <mergeCell ref="F7276:H7276"/>
    <mergeCell ref="J7276:J7277"/>
    <mergeCell ref="K7276:L7277"/>
    <mergeCell ref="M7276:N7277"/>
    <mergeCell ref="O7276:P7277"/>
    <mergeCell ref="Q7276:R7277"/>
    <mergeCell ref="S7276:T7277"/>
    <mergeCell ref="U7276:V7277"/>
    <mergeCell ref="W7276:W7277"/>
    <mergeCell ref="X7276:AB7276"/>
    <mergeCell ref="AD7276:AI7276"/>
    <mergeCell ref="AJ7276:AL7276"/>
    <mergeCell ref="AN7276:AO7276"/>
    <mergeCell ref="AP7276:AQ7276"/>
    <mergeCell ref="AR7276:AS7277"/>
    <mergeCell ref="AT7276:AU7277"/>
    <mergeCell ref="AV7276:AW7277"/>
    <mergeCell ref="AX7276:AY7277"/>
    <mergeCell ref="AZ7276:AZ7277"/>
    <mergeCell ref="F7277:H7277"/>
    <mergeCell ref="X7277:AB7277"/>
    <mergeCell ref="AE7277:AI7277"/>
    <mergeCell ref="AJ7277:AL7277"/>
    <mergeCell ref="AN7277:AO7277"/>
    <mergeCell ref="AP7277:AQ7277"/>
    <mergeCell ref="A7278:A7279"/>
    <mergeCell ref="E7278:E7279"/>
    <mergeCell ref="F7278:H7278"/>
    <mergeCell ref="J7278:J7279"/>
    <mergeCell ref="K7278:L7279"/>
    <mergeCell ref="M7278:N7279"/>
    <mergeCell ref="O7278:P7279"/>
    <mergeCell ref="Q7278:R7279"/>
    <mergeCell ref="S7278:T7279"/>
    <mergeCell ref="U7278:V7279"/>
    <mergeCell ref="W7278:W7279"/>
    <mergeCell ref="X7278:AB7278"/>
    <mergeCell ref="AD7278:AI7278"/>
    <mergeCell ref="AJ7278:AL7278"/>
    <mergeCell ref="AN7278:AO7278"/>
    <mergeCell ref="AP7278:AQ7278"/>
    <mergeCell ref="AR7278:AS7279"/>
    <mergeCell ref="AT7278:AU7279"/>
    <mergeCell ref="AV7278:AW7279"/>
    <mergeCell ref="AX7278:AY7279"/>
    <mergeCell ref="AZ7278:AZ7279"/>
    <mergeCell ref="F7279:H7279"/>
    <mergeCell ref="X7279:AB7279"/>
    <mergeCell ref="AE7279:AI7279"/>
    <mergeCell ref="AJ7279:AL7279"/>
    <mergeCell ref="AN7279:AO7279"/>
    <mergeCell ref="AP7279:AQ7279"/>
    <mergeCell ref="A7280:A7281"/>
    <mergeCell ref="E7280:E7281"/>
    <mergeCell ref="F7280:H7280"/>
    <mergeCell ref="J7280:J7281"/>
    <mergeCell ref="K7280:L7281"/>
    <mergeCell ref="M7280:N7281"/>
    <mergeCell ref="O7280:P7281"/>
    <mergeCell ref="Q7280:R7281"/>
    <mergeCell ref="S7280:T7281"/>
    <mergeCell ref="U7280:V7281"/>
    <mergeCell ref="W7280:W7281"/>
    <mergeCell ref="X7280:AB7280"/>
    <mergeCell ref="AD7280:AI7280"/>
    <mergeCell ref="AJ7280:AL7280"/>
    <mergeCell ref="AN7280:AO7280"/>
    <mergeCell ref="AP7280:AQ7280"/>
    <mergeCell ref="AR7280:AS7281"/>
    <mergeCell ref="AT7280:AU7281"/>
    <mergeCell ref="AV7280:AW7281"/>
    <mergeCell ref="AX7280:AY7281"/>
    <mergeCell ref="AZ7280:AZ7281"/>
    <mergeCell ref="F7281:H7281"/>
    <mergeCell ref="X7281:AB7281"/>
    <mergeCell ref="AE7281:AI7281"/>
    <mergeCell ref="AJ7281:AL7281"/>
    <mergeCell ref="AN7281:AO7281"/>
    <mergeCell ref="AP7281:AQ7281"/>
    <mergeCell ref="A7282:A7283"/>
    <mergeCell ref="E7282:E7283"/>
    <mergeCell ref="F7282:H7282"/>
    <mergeCell ref="J7282:J7283"/>
    <mergeCell ref="K7282:L7283"/>
    <mergeCell ref="M7282:N7283"/>
    <mergeCell ref="O7282:P7283"/>
    <mergeCell ref="Q7282:R7283"/>
    <mergeCell ref="S7282:T7283"/>
    <mergeCell ref="U7282:V7283"/>
    <mergeCell ref="W7282:W7283"/>
    <mergeCell ref="X7282:AB7282"/>
    <mergeCell ref="AD7282:AI7282"/>
    <mergeCell ref="AJ7282:AL7282"/>
    <mergeCell ref="AN7282:AO7282"/>
    <mergeCell ref="AP7282:AQ7282"/>
    <mergeCell ref="AR7282:AS7283"/>
    <mergeCell ref="AT7282:AU7283"/>
    <mergeCell ref="AV7282:AW7283"/>
    <mergeCell ref="AX7282:AY7283"/>
    <mergeCell ref="AZ7282:AZ7283"/>
    <mergeCell ref="F7283:H7283"/>
    <mergeCell ref="X7283:AB7283"/>
    <mergeCell ref="AE7283:AI7283"/>
    <mergeCell ref="AJ7283:AL7283"/>
    <mergeCell ref="AN7283:AO7283"/>
    <mergeCell ref="AP7283:AQ7283"/>
    <mergeCell ref="A7284:A7285"/>
    <mergeCell ref="E7284:E7285"/>
    <mergeCell ref="F7284:H7284"/>
    <mergeCell ref="J7284:J7285"/>
    <mergeCell ref="K7284:L7285"/>
    <mergeCell ref="M7284:N7285"/>
    <mergeCell ref="O7284:P7285"/>
    <mergeCell ref="Q7284:R7285"/>
    <mergeCell ref="S7284:T7285"/>
    <mergeCell ref="U7284:V7285"/>
    <mergeCell ref="W7284:W7285"/>
    <mergeCell ref="X7284:AB7284"/>
    <mergeCell ref="AD7284:AI7284"/>
    <mergeCell ref="AJ7284:AL7284"/>
    <mergeCell ref="AN7284:AO7284"/>
    <mergeCell ref="AP7284:AQ7284"/>
    <mergeCell ref="AR7284:AS7285"/>
    <mergeCell ref="AT7284:AU7285"/>
    <mergeCell ref="AV7284:AW7285"/>
    <mergeCell ref="AX7284:AY7285"/>
    <mergeCell ref="AZ7284:AZ7285"/>
    <mergeCell ref="F7285:H7285"/>
    <mergeCell ref="X7285:AB7285"/>
    <mergeCell ref="AE7285:AI7285"/>
    <mergeCell ref="AJ7285:AL7285"/>
    <mergeCell ref="AN7285:AO7285"/>
    <mergeCell ref="AP7285:AQ7285"/>
    <mergeCell ref="A7286:A7287"/>
    <mergeCell ref="E7286:E7287"/>
    <mergeCell ref="F7286:H7286"/>
    <mergeCell ref="J7286:J7287"/>
    <mergeCell ref="K7286:L7287"/>
    <mergeCell ref="M7286:N7287"/>
    <mergeCell ref="O7286:P7287"/>
    <mergeCell ref="Q7286:R7287"/>
    <mergeCell ref="S7286:T7287"/>
    <mergeCell ref="U7286:V7287"/>
    <mergeCell ref="W7286:W7287"/>
    <mergeCell ref="X7286:AB7286"/>
    <mergeCell ref="AD7286:AI7286"/>
    <mergeCell ref="AJ7286:AL7286"/>
    <mergeCell ref="AN7286:AO7286"/>
    <mergeCell ref="AP7286:AQ7286"/>
    <mergeCell ref="AR7286:AS7287"/>
    <mergeCell ref="AT7286:AU7287"/>
    <mergeCell ref="AV7286:AW7287"/>
    <mergeCell ref="AX7286:AY7287"/>
    <mergeCell ref="AZ7286:AZ7287"/>
    <mergeCell ref="F7287:H7287"/>
    <mergeCell ref="X7287:AB7287"/>
    <mergeCell ref="AE7287:AI7287"/>
    <mergeCell ref="AJ7287:AL7287"/>
    <mergeCell ref="AN7287:AO7287"/>
    <mergeCell ref="AP7287:AQ7287"/>
    <mergeCell ref="A7288:A7289"/>
    <mergeCell ref="E7288:E7289"/>
    <mergeCell ref="F7288:H7288"/>
    <mergeCell ref="J7288:J7289"/>
    <mergeCell ref="K7288:L7289"/>
    <mergeCell ref="M7288:N7289"/>
    <mergeCell ref="O7288:P7289"/>
    <mergeCell ref="Q7288:R7289"/>
    <mergeCell ref="S7288:T7289"/>
    <mergeCell ref="U7288:V7289"/>
    <mergeCell ref="W7288:W7289"/>
    <mergeCell ref="X7288:AB7288"/>
    <mergeCell ref="AD7288:AI7288"/>
    <mergeCell ref="AJ7288:AL7288"/>
    <mergeCell ref="AN7288:AO7288"/>
    <mergeCell ref="AP7288:AQ7288"/>
    <mergeCell ref="AR7288:AS7289"/>
    <mergeCell ref="AT7288:AU7289"/>
    <mergeCell ref="AV7288:AW7289"/>
    <mergeCell ref="AX7288:AY7289"/>
    <mergeCell ref="AZ7288:AZ7289"/>
    <mergeCell ref="F7289:H7289"/>
    <mergeCell ref="X7289:AB7289"/>
    <mergeCell ref="AE7289:AI7289"/>
    <mergeCell ref="AJ7289:AL7289"/>
    <mergeCell ref="AN7289:AO7289"/>
    <mergeCell ref="AP7289:AQ7289"/>
    <mergeCell ref="A7290:A7291"/>
    <mergeCell ref="E7290:E7291"/>
    <mergeCell ref="F7290:H7290"/>
    <mergeCell ref="J7290:J7291"/>
    <mergeCell ref="K7290:L7291"/>
    <mergeCell ref="M7290:N7291"/>
    <mergeCell ref="O7290:P7291"/>
    <mergeCell ref="Q7290:R7291"/>
    <mergeCell ref="S7290:T7291"/>
    <mergeCell ref="U7290:V7291"/>
    <mergeCell ref="W7290:W7291"/>
    <mergeCell ref="X7290:AB7290"/>
    <mergeCell ref="AD7290:AI7290"/>
    <mergeCell ref="AJ7290:AL7290"/>
    <mergeCell ref="AN7290:AO7290"/>
    <mergeCell ref="AP7290:AQ7290"/>
    <mergeCell ref="AR7290:AS7291"/>
    <mergeCell ref="AT7290:AU7291"/>
    <mergeCell ref="AV7290:AW7291"/>
    <mergeCell ref="AX7290:AY7291"/>
    <mergeCell ref="AZ7290:AZ7291"/>
    <mergeCell ref="F7291:H7291"/>
    <mergeCell ref="X7291:AB7291"/>
    <mergeCell ref="AE7291:AI7291"/>
    <mergeCell ref="AJ7291:AL7291"/>
    <mergeCell ref="AN7291:AO7291"/>
    <mergeCell ref="AP7291:AQ7291"/>
    <mergeCell ref="A7292:A7293"/>
    <mergeCell ref="E7292:E7293"/>
    <mergeCell ref="F7292:H7292"/>
    <mergeCell ref="J7292:J7293"/>
    <mergeCell ref="K7292:L7293"/>
    <mergeCell ref="M7292:N7293"/>
    <mergeCell ref="O7292:P7293"/>
    <mergeCell ref="Q7292:R7293"/>
    <mergeCell ref="S7292:T7293"/>
    <mergeCell ref="U7292:V7293"/>
    <mergeCell ref="W7292:W7293"/>
    <mergeCell ref="X7292:AB7292"/>
    <mergeCell ref="AD7292:AI7292"/>
    <mergeCell ref="AJ7292:AL7292"/>
    <mergeCell ref="AN7292:AO7292"/>
    <mergeCell ref="AP7292:AQ7292"/>
    <mergeCell ref="AR7292:AS7293"/>
    <mergeCell ref="AT7292:AU7293"/>
    <mergeCell ref="AV7292:AW7293"/>
    <mergeCell ref="AX7292:AY7293"/>
    <mergeCell ref="AZ7292:AZ7293"/>
    <mergeCell ref="F7293:H7293"/>
    <mergeCell ref="X7293:AB7293"/>
    <mergeCell ref="AE7293:AI7293"/>
    <mergeCell ref="AJ7293:AL7293"/>
    <mergeCell ref="AN7293:AO7293"/>
    <mergeCell ref="AP7293:AQ7293"/>
    <mergeCell ref="A7294:A7295"/>
    <mergeCell ref="E7294:E7295"/>
    <mergeCell ref="F7294:H7294"/>
    <mergeCell ref="J7294:J7295"/>
    <mergeCell ref="K7294:L7295"/>
    <mergeCell ref="M7294:N7295"/>
    <mergeCell ref="O7294:P7295"/>
    <mergeCell ref="Q7294:R7295"/>
    <mergeCell ref="S7294:T7295"/>
    <mergeCell ref="U7294:V7295"/>
    <mergeCell ref="W7294:W7295"/>
    <mergeCell ref="X7294:AB7294"/>
    <mergeCell ref="AD7294:AI7294"/>
    <mergeCell ref="AJ7294:AL7294"/>
    <mergeCell ref="AN7294:AO7294"/>
    <mergeCell ref="AP7294:AQ7294"/>
    <mergeCell ref="AR7294:AS7295"/>
    <mergeCell ref="AT7294:AU7295"/>
    <mergeCell ref="AV7294:AW7295"/>
    <mergeCell ref="AX7294:AY7295"/>
    <mergeCell ref="AZ7294:AZ7295"/>
    <mergeCell ref="F7295:H7295"/>
    <mergeCell ref="X7295:AB7295"/>
    <mergeCell ref="AE7295:AI7295"/>
    <mergeCell ref="AJ7295:AL7295"/>
    <mergeCell ref="AN7295:AO7295"/>
    <mergeCell ref="AP7295:AQ7295"/>
    <mergeCell ref="A7296:A7297"/>
    <mergeCell ref="E7296:E7297"/>
    <mergeCell ref="F7296:H7296"/>
    <mergeCell ref="J7296:J7297"/>
    <mergeCell ref="K7296:L7297"/>
    <mergeCell ref="M7296:N7297"/>
    <mergeCell ref="O7296:P7297"/>
    <mergeCell ref="Q7296:R7297"/>
    <mergeCell ref="S7296:T7297"/>
    <mergeCell ref="U7296:V7297"/>
    <mergeCell ref="W7296:W7297"/>
    <mergeCell ref="X7296:AB7296"/>
    <mergeCell ref="AD7296:AI7296"/>
    <mergeCell ref="AJ7296:AL7296"/>
    <mergeCell ref="AN7296:AO7296"/>
    <mergeCell ref="AP7296:AQ7296"/>
    <mergeCell ref="AR7296:AS7297"/>
    <mergeCell ref="AT7296:AU7297"/>
    <mergeCell ref="AV7296:AW7297"/>
    <mergeCell ref="AX7296:AY7297"/>
    <mergeCell ref="AZ7296:AZ7297"/>
    <mergeCell ref="F7297:H7297"/>
    <mergeCell ref="X7297:AB7297"/>
    <mergeCell ref="AE7297:AI7297"/>
    <mergeCell ref="AJ7297:AL7297"/>
    <mergeCell ref="AN7297:AO7297"/>
    <mergeCell ref="AP7297:AQ7297"/>
    <mergeCell ref="A7298:A7299"/>
    <mergeCell ref="E7298:E7299"/>
    <mergeCell ref="F7298:H7298"/>
    <mergeCell ref="J7298:J7299"/>
    <mergeCell ref="K7298:L7299"/>
    <mergeCell ref="M7298:N7299"/>
    <mergeCell ref="O7298:P7299"/>
    <mergeCell ref="Q7298:R7299"/>
    <mergeCell ref="S7298:T7299"/>
    <mergeCell ref="U7298:V7299"/>
    <mergeCell ref="W7298:W7299"/>
    <mergeCell ref="X7298:AB7298"/>
    <mergeCell ref="AD7298:AI7298"/>
    <mergeCell ref="AJ7298:AL7298"/>
    <mergeCell ref="AN7298:AO7298"/>
    <mergeCell ref="AP7298:AQ7298"/>
    <mergeCell ref="AR7298:AS7299"/>
    <mergeCell ref="AT7298:AU7299"/>
    <mergeCell ref="AV7298:AW7299"/>
    <mergeCell ref="AX7298:AY7299"/>
    <mergeCell ref="AZ7298:AZ7299"/>
    <mergeCell ref="F7299:H7299"/>
    <mergeCell ref="X7299:AB7299"/>
    <mergeCell ref="AE7299:AI7299"/>
    <mergeCell ref="AJ7299:AL7299"/>
    <mergeCell ref="AN7299:AO7299"/>
    <mergeCell ref="AP7299:AQ7299"/>
    <mergeCell ref="A7300:A7301"/>
    <mergeCell ref="E7300:E7301"/>
    <mergeCell ref="F7300:H7300"/>
    <mergeCell ref="J7300:J7301"/>
    <mergeCell ref="K7300:L7301"/>
    <mergeCell ref="M7300:N7301"/>
    <mergeCell ref="O7300:P7301"/>
    <mergeCell ref="Q7300:R7301"/>
    <mergeCell ref="S7300:T7301"/>
    <mergeCell ref="U7300:V7301"/>
    <mergeCell ref="W7300:W7301"/>
    <mergeCell ref="X7300:AB7300"/>
    <mergeCell ref="AD7300:AI7300"/>
    <mergeCell ref="AJ7300:AL7300"/>
    <mergeCell ref="AN7300:AO7300"/>
    <mergeCell ref="AP7300:AQ7300"/>
    <mergeCell ref="AR7300:AS7301"/>
    <mergeCell ref="AT7300:AU7301"/>
    <mergeCell ref="AV7300:AW7301"/>
    <mergeCell ref="AX7300:AY7301"/>
    <mergeCell ref="AZ7300:AZ7301"/>
    <mergeCell ref="F7301:H7301"/>
    <mergeCell ref="X7301:AB7301"/>
    <mergeCell ref="AE7301:AI7301"/>
    <mergeCell ref="AJ7301:AL7301"/>
    <mergeCell ref="AN7301:AO7301"/>
    <mergeCell ref="AP7301:AQ7301"/>
    <mergeCell ref="A7302:A7303"/>
    <mergeCell ref="E7302:E7303"/>
    <mergeCell ref="F7302:H7302"/>
    <mergeCell ref="J7302:J7303"/>
    <mergeCell ref="K7302:L7303"/>
    <mergeCell ref="M7302:N7303"/>
    <mergeCell ref="O7302:P7303"/>
    <mergeCell ref="Q7302:R7303"/>
    <mergeCell ref="S7302:T7303"/>
    <mergeCell ref="U7302:V7303"/>
    <mergeCell ref="W7302:W7303"/>
    <mergeCell ref="X7302:AB7302"/>
    <mergeCell ref="AD7302:AI7302"/>
    <mergeCell ref="AJ7302:AL7302"/>
    <mergeCell ref="AN7302:AO7302"/>
    <mergeCell ref="AP7302:AQ7302"/>
    <mergeCell ref="AR7302:AS7303"/>
    <mergeCell ref="AT7302:AU7303"/>
    <mergeCell ref="AV7302:AW7303"/>
    <mergeCell ref="AX7302:AY7303"/>
    <mergeCell ref="AZ7302:AZ7303"/>
    <mergeCell ref="F7303:H7303"/>
    <mergeCell ref="X7303:AB7303"/>
    <mergeCell ref="AE7303:AI7303"/>
    <mergeCell ref="AJ7303:AL7303"/>
    <mergeCell ref="AN7303:AO7303"/>
    <mergeCell ref="AP7303:AQ7303"/>
    <mergeCell ref="A7304:A7305"/>
    <mergeCell ref="E7304:E7305"/>
    <mergeCell ref="F7304:H7304"/>
    <mergeCell ref="J7304:J7305"/>
    <mergeCell ref="K7304:L7305"/>
    <mergeCell ref="M7304:N7305"/>
    <mergeCell ref="O7304:P7305"/>
    <mergeCell ref="Q7304:R7305"/>
    <mergeCell ref="S7304:T7305"/>
    <mergeCell ref="U7304:V7305"/>
    <mergeCell ref="W7304:W7305"/>
    <mergeCell ref="X7304:AB7304"/>
    <mergeCell ref="AD7304:AI7304"/>
    <mergeCell ref="AJ7304:AL7304"/>
    <mergeCell ref="AN7304:AO7304"/>
    <mergeCell ref="AP7304:AQ7304"/>
    <mergeCell ref="AR7304:AS7305"/>
    <mergeCell ref="AT7304:AU7305"/>
    <mergeCell ref="AV7304:AW7305"/>
    <mergeCell ref="AX7304:AY7305"/>
    <mergeCell ref="AZ7304:AZ7305"/>
    <mergeCell ref="F7305:H7305"/>
    <mergeCell ref="X7305:AB7305"/>
    <mergeCell ref="AE7305:AI7305"/>
    <mergeCell ref="AJ7305:AL7305"/>
    <mergeCell ref="AN7305:AO7305"/>
    <mergeCell ref="AP7305:AQ7305"/>
    <mergeCell ref="A7306:A7307"/>
    <mergeCell ref="E7306:E7307"/>
    <mergeCell ref="F7306:H7306"/>
    <mergeCell ref="J7306:J7307"/>
    <mergeCell ref="K7306:L7307"/>
    <mergeCell ref="M7306:N7307"/>
    <mergeCell ref="O7306:P7307"/>
    <mergeCell ref="Q7306:R7307"/>
    <mergeCell ref="S7306:T7307"/>
    <mergeCell ref="U7306:V7307"/>
    <mergeCell ref="W7306:W7307"/>
    <mergeCell ref="X7306:AB7306"/>
    <mergeCell ref="AD7306:AI7306"/>
    <mergeCell ref="AJ7306:AL7306"/>
    <mergeCell ref="AN7306:AO7306"/>
    <mergeCell ref="AP7306:AQ7306"/>
    <mergeCell ref="AR7306:AS7307"/>
    <mergeCell ref="AT7306:AU7307"/>
    <mergeCell ref="AV7306:AW7307"/>
    <mergeCell ref="AX7306:AY7307"/>
    <mergeCell ref="AZ7306:AZ7307"/>
    <mergeCell ref="F7307:H7307"/>
    <mergeCell ref="X7307:AB7307"/>
    <mergeCell ref="AE7307:AI7307"/>
    <mergeCell ref="AJ7307:AL7307"/>
    <mergeCell ref="AN7307:AO7307"/>
    <mergeCell ref="AP7307:AQ7307"/>
    <mergeCell ref="A7308:A7309"/>
    <mergeCell ref="E7308:E7309"/>
    <mergeCell ref="F7308:H7308"/>
    <mergeCell ref="J7308:J7309"/>
    <mergeCell ref="K7308:L7309"/>
    <mergeCell ref="M7308:N7309"/>
    <mergeCell ref="O7308:P7309"/>
    <mergeCell ref="Q7308:R7309"/>
    <mergeCell ref="S7308:T7309"/>
    <mergeCell ref="U7308:V7309"/>
    <mergeCell ref="W7308:W7309"/>
    <mergeCell ref="X7308:AB7308"/>
    <mergeCell ref="AD7308:AI7308"/>
    <mergeCell ref="AJ7308:AL7308"/>
    <mergeCell ref="AN7308:AO7308"/>
    <mergeCell ref="AP7308:AQ7308"/>
    <mergeCell ref="AR7308:AS7309"/>
    <mergeCell ref="AT7308:AU7309"/>
    <mergeCell ref="AV7308:AW7309"/>
    <mergeCell ref="AX7308:AY7309"/>
    <mergeCell ref="AZ7308:AZ7309"/>
    <mergeCell ref="F7309:H7309"/>
    <mergeCell ref="X7309:AB7309"/>
    <mergeCell ref="AE7309:AI7309"/>
    <mergeCell ref="AJ7309:AL7309"/>
    <mergeCell ref="AN7309:AO7309"/>
    <mergeCell ref="AP7309:AQ7309"/>
    <mergeCell ref="A7310:A7311"/>
    <mergeCell ref="E7310:E7311"/>
    <mergeCell ref="F7310:H7310"/>
    <mergeCell ref="J7310:J7311"/>
    <mergeCell ref="K7310:L7311"/>
    <mergeCell ref="M7310:N7311"/>
    <mergeCell ref="O7310:P7311"/>
    <mergeCell ref="Q7310:R7311"/>
    <mergeCell ref="S7310:T7311"/>
    <mergeCell ref="U7310:V7311"/>
    <mergeCell ref="W7310:W7311"/>
    <mergeCell ref="X7310:AB7310"/>
    <mergeCell ref="AD7310:AI7310"/>
    <mergeCell ref="AJ7310:AL7310"/>
    <mergeCell ref="AN7310:AO7310"/>
    <mergeCell ref="AP7310:AQ7310"/>
    <mergeCell ref="AR7310:AS7311"/>
    <mergeCell ref="AT7310:AU7311"/>
    <mergeCell ref="AV7310:AW7311"/>
    <mergeCell ref="AX7310:AY7311"/>
    <mergeCell ref="AZ7310:AZ7311"/>
    <mergeCell ref="F7311:H7311"/>
    <mergeCell ref="X7311:AB7311"/>
    <mergeCell ref="AE7311:AI7311"/>
    <mergeCell ref="AJ7311:AL7311"/>
    <mergeCell ref="AN7311:AO7311"/>
    <mergeCell ref="AP7311:AQ7311"/>
    <mergeCell ref="A7312:A7313"/>
    <mergeCell ref="E7312:E7313"/>
    <mergeCell ref="F7312:H7312"/>
    <mergeCell ref="J7312:J7313"/>
    <mergeCell ref="K7312:L7313"/>
    <mergeCell ref="M7312:N7313"/>
    <mergeCell ref="O7312:P7313"/>
    <mergeCell ref="Q7312:R7313"/>
    <mergeCell ref="S7312:T7313"/>
    <mergeCell ref="U7312:V7313"/>
    <mergeCell ref="W7312:W7313"/>
    <mergeCell ref="X7312:AB7312"/>
    <mergeCell ref="AD7312:AI7312"/>
    <mergeCell ref="AJ7312:AL7312"/>
    <mergeCell ref="AN7312:AO7312"/>
    <mergeCell ref="AP7312:AQ7312"/>
    <mergeCell ref="AR7312:AS7313"/>
    <mergeCell ref="AT7312:AU7313"/>
    <mergeCell ref="AV7312:AW7313"/>
    <mergeCell ref="AX7312:AY7313"/>
    <mergeCell ref="AZ7312:AZ7313"/>
    <mergeCell ref="F7313:H7313"/>
    <mergeCell ref="X7313:AB7313"/>
    <mergeCell ref="AE7313:AI7313"/>
    <mergeCell ref="AJ7313:AL7313"/>
    <mergeCell ref="AN7313:AO7313"/>
    <mergeCell ref="AP7313:AQ7313"/>
    <mergeCell ref="A7314:A7315"/>
    <mergeCell ref="E7314:E7315"/>
    <mergeCell ref="F7314:H7314"/>
    <mergeCell ref="J7314:J7315"/>
    <mergeCell ref="K7314:L7315"/>
    <mergeCell ref="M7314:N7315"/>
    <mergeCell ref="O7314:P7315"/>
    <mergeCell ref="Q7314:R7315"/>
    <mergeCell ref="S7314:T7315"/>
    <mergeCell ref="U7314:V7315"/>
    <mergeCell ref="W7314:W7315"/>
    <mergeCell ref="X7314:AB7314"/>
    <mergeCell ref="AD7314:AI7314"/>
    <mergeCell ref="AJ7314:AL7314"/>
    <mergeCell ref="AN7314:AO7314"/>
    <mergeCell ref="AP7314:AQ7314"/>
    <mergeCell ref="AR7314:AS7315"/>
    <mergeCell ref="AT7314:AU7315"/>
    <mergeCell ref="AV7314:AW7315"/>
    <mergeCell ref="AX7314:AY7315"/>
    <mergeCell ref="AZ7314:AZ7315"/>
    <mergeCell ref="F7315:H7315"/>
    <mergeCell ref="X7315:AB7315"/>
    <mergeCell ref="AE7315:AI7315"/>
    <mergeCell ref="AJ7315:AL7315"/>
    <mergeCell ref="AN7315:AO7315"/>
    <mergeCell ref="AP7315:AQ7315"/>
    <mergeCell ref="A7316:A7317"/>
    <mergeCell ref="E7316:E7317"/>
    <mergeCell ref="F7316:H7316"/>
    <mergeCell ref="J7316:J7317"/>
    <mergeCell ref="K7316:L7317"/>
    <mergeCell ref="M7316:N7317"/>
    <mergeCell ref="O7316:P7317"/>
    <mergeCell ref="Q7316:R7317"/>
    <mergeCell ref="S7316:T7317"/>
    <mergeCell ref="U7316:V7317"/>
    <mergeCell ref="W7316:W7317"/>
    <mergeCell ref="X7316:AB7316"/>
    <mergeCell ref="AD7316:AI7316"/>
    <mergeCell ref="AJ7316:AL7316"/>
    <mergeCell ref="AN7316:AO7316"/>
    <mergeCell ref="AP7316:AQ7316"/>
    <mergeCell ref="AR7316:AS7317"/>
    <mergeCell ref="AT7316:AU7317"/>
    <mergeCell ref="AV7316:AW7317"/>
    <mergeCell ref="AX7316:AY7317"/>
    <mergeCell ref="AZ7316:AZ7317"/>
    <mergeCell ref="F7317:H7317"/>
    <mergeCell ref="X7317:AB7317"/>
    <mergeCell ref="AE7317:AI7317"/>
    <mergeCell ref="AJ7317:AL7317"/>
    <mergeCell ref="AN7317:AO7317"/>
    <mergeCell ref="AP7317:AQ7317"/>
    <mergeCell ref="A7318:A7319"/>
    <mergeCell ref="E7318:E7319"/>
    <mergeCell ref="F7318:H7318"/>
    <mergeCell ref="J7318:J7319"/>
    <mergeCell ref="K7318:L7319"/>
    <mergeCell ref="M7318:N7319"/>
    <mergeCell ref="O7318:P7319"/>
    <mergeCell ref="Q7318:R7319"/>
    <mergeCell ref="S7318:T7319"/>
    <mergeCell ref="U7318:V7319"/>
    <mergeCell ref="W7318:W7319"/>
    <mergeCell ref="X7318:AB7318"/>
    <mergeCell ref="AD7318:AI7318"/>
    <mergeCell ref="AJ7318:AL7318"/>
    <mergeCell ref="AN7318:AO7318"/>
    <mergeCell ref="AP7318:AQ7318"/>
    <mergeCell ref="AR7318:AS7319"/>
    <mergeCell ref="AT7318:AU7319"/>
    <mergeCell ref="AV7318:AW7319"/>
    <mergeCell ref="AX7318:AY7319"/>
    <mergeCell ref="AZ7318:AZ7319"/>
    <mergeCell ref="F7319:H7319"/>
    <mergeCell ref="X7319:AB7319"/>
    <mergeCell ref="AE7319:AI7319"/>
    <mergeCell ref="AJ7319:AL7319"/>
    <mergeCell ref="AN7319:AO7319"/>
    <mergeCell ref="AP7319:AQ7319"/>
    <mergeCell ref="A7320:A7321"/>
    <mergeCell ref="E7320:E7321"/>
    <mergeCell ref="F7320:H7320"/>
    <mergeCell ref="J7320:J7321"/>
    <mergeCell ref="K7320:L7321"/>
    <mergeCell ref="M7320:N7321"/>
    <mergeCell ref="O7320:P7321"/>
    <mergeCell ref="Q7320:R7321"/>
    <mergeCell ref="S7320:T7321"/>
    <mergeCell ref="U7320:V7321"/>
    <mergeCell ref="W7320:W7321"/>
    <mergeCell ref="X7320:AB7320"/>
    <mergeCell ref="AD7320:AI7320"/>
    <mergeCell ref="AJ7320:AL7320"/>
    <mergeCell ref="AN7320:AO7320"/>
    <mergeCell ref="AP7320:AQ7320"/>
    <mergeCell ref="AR7320:AS7321"/>
    <mergeCell ref="AT7320:AU7321"/>
    <mergeCell ref="AV7320:AW7321"/>
    <mergeCell ref="AX7320:AY7321"/>
    <mergeCell ref="AZ7320:AZ7321"/>
    <mergeCell ref="F7321:H7321"/>
    <mergeCell ref="X7321:AB7321"/>
    <mergeCell ref="AE7321:AI7321"/>
    <mergeCell ref="AJ7321:AL7321"/>
    <mergeCell ref="AN7321:AO7321"/>
    <mergeCell ref="AP7321:AQ7321"/>
    <mergeCell ref="A7322:A7323"/>
    <mergeCell ref="E7322:E7323"/>
    <mergeCell ref="F7322:H7322"/>
    <mergeCell ref="J7322:J7323"/>
    <mergeCell ref="K7322:L7323"/>
    <mergeCell ref="M7322:N7323"/>
    <mergeCell ref="O7322:P7323"/>
    <mergeCell ref="Q7322:R7323"/>
    <mergeCell ref="S7322:T7323"/>
    <mergeCell ref="U7322:V7323"/>
    <mergeCell ref="W7322:W7323"/>
    <mergeCell ref="X7322:AB7322"/>
    <mergeCell ref="AD7322:AI7322"/>
    <mergeCell ref="AJ7322:AL7322"/>
    <mergeCell ref="AN7322:AO7322"/>
    <mergeCell ref="AP7322:AQ7322"/>
    <mergeCell ref="AR7322:AS7323"/>
    <mergeCell ref="AT7322:AU7323"/>
    <mergeCell ref="AV7322:AW7323"/>
    <mergeCell ref="AX7322:AY7323"/>
    <mergeCell ref="AZ7322:AZ7323"/>
    <mergeCell ref="F7323:H7323"/>
    <mergeCell ref="X7323:AB7323"/>
    <mergeCell ref="AE7323:AI7323"/>
    <mergeCell ref="AJ7323:AL7323"/>
    <mergeCell ref="AN7323:AO7323"/>
    <mergeCell ref="AP7323:AQ7323"/>
    <mergeCell ref="A7324:A7325"/>
    <mergeCell ref="E7324:E7325"/>
    <mergeCell ref="F7324:H7324"/>
    <mergeCell ref="J7324:J7325"/>
    <mergeCell ref="K7324:L7325"/>
    <mergeCell ref="M7324:N7325"/>
    <mergeCell ref="O7324:P7325"/>
    <mergeCell ref="Q7324:R7325"/>
    <mergeCell ref="S7324:T7325"/>
    <mergeCell ref="U7324:V7325"/>
    <mergeCell ref="W7324:W7325"/>
    <mergeCell ref="X7324:AB7324"/>
    <mergeCell ref="AD7324:AI7324"/>
    <mergeCell ref="AJ7324:AL7324"/>
    <mergeCell ref="AN7324:AO7324"/>
    <mergeCell ref="AP7324:AQ7324"/>
    <mergeCell ref="AR7324:AS7325"/>
    <mergeCell ref="AT7324:AU7325"/>
    <mergeCell ref="AV7324:AW7325"/>
    <mergeCell ref="AX7324:AY7325"/>
    <mergeCell ref="AZ7324:AZ7325"/>
    <mergeCell ref="F7325:H7325"/>
    <mergeCell ref="X7325:AB7325"/>
    <mergeCell ref="AE7325:AI7325"/>
    <mergeCell ref="AJ7325:AL7325"/>
    <mergeCell ref="AN7325:AO7325"/>
    <mergeCell ref="AP7325:AQ7325"/>
    <mergeCell ref="A7326:A7327"/>
    <mergeCell ref="E7326:E7327"/>
    <mergeCell ref="F7326:H7326"/>
    <mergeCell ref="J7326:J7327"/>
    <mergeCell ref="K7326:L7327"/>
    <mergeCell ref="M7326:N7327"/>
    <mergeCell ref="O7326:P7327"/>
    <mergeCell ref="Q7326:R7327"/>
    <mergeCell ref="S7326:T7327"/>
    <mergeCell ref="U7326:V7327"/>
    <mergeCell ref="W7326:W7327"/>
    <mergeCell ref="X7326:AB7326"/>
    <mergeCell ref="AD7326:AI7326"/>
    <mergeCell ref="AJ7326:AL7326"/>
    <mergeCell ref="AN7326:AO7326"/>
    <mergeCell ref="AP7326:AQ7326"/>
    <mergeCell ref="AR7326:AS7327"/>
    <mergeCell ref="AT7326:AU7327"/>
    <mergeCell ref="AV7326:AW7327"/>
    <mergeCell ref="AX7326:AY7327"/>
    <mergeCell ref="AZ7326:AZ7327"/>
    <mergeCell ref="F7327:H7327"/>
    <mergeCell ref="X7327:AB7327"/>
    <mergeCell ref="AE7327:AI7327"/>
    <mergeCell ref="AJ7327:AL7327"/>
    <mergeCell ref="AN7327:AO7327"/>
    <mergeCell ref="AP7327:AQ7327"/>
    <mergeCell ref="A7328:A7329"/>
    <mergeCell ref="E7328:E7329"/>
    <mergeCell ref="F7328:H7328"/>
    <mergeCell ref="J7328:J7329"/>
    <mergeCell ref="K7328:L7329"/>
    <mergeCell ref="M7328:N7329"/>
    <mergeCell ref="O7328:P7329"/>
    <mergeCell ref="Q7328:R7329"/>
    <mergeCell ref="S7328:T7329"/>
    <mergeCell ref="U7328:V7329"/>
    <mergeCell ref="W7328:W7329"/>
    <mergeCell ref="X7328:AB7328"/>
    <mergeCell ref="AD7328:AI7328"/>
    <mergeCell ref="AJ7328:AL7328"/>
    <mergeCell ref="AN7328:AO7328"/>
    <mergeCell ref="AP7328:AQ7328"/>
    <mergeCell ref="AR7328:AS7329"/>
    <mergeCell ref="AT7328:AU7329"/>
    <mergeCell ref="AV7328:AW7329"/>
    <mergeCell ref="AX7328:AY7329"/>
    <mergeCell ref="AZ7328:AZ7329"/>
    <mergeCell ref="F7329:H7329"/>
    <mergeCell ref="X7329:AB7329"/>
    <mergeCell ref="AE7329:AI7329"/>
    <mergeCell ref="AJ7329:AL7329"/>
    <mergeCell ref="AN7329:AO7329"/>
    <mergeCell ref="AP7329:AQ7329"/>
    <mergeCell ref="A7330:A7331"/>
    <mergeCell ref="E7330:E7331"/>
    <mergeCell ref="F7330:H7330"/>
    <mergeCell ref="J7330:J7331"/>
    <mergeCell ref="K7330:L7331"/>
    <mergeCell ref="M7330:N7331"/>
    <mergeCell ref="O7330:P7331"/>
    <mergeCell ref="Q7330:R7331"/>
    <mergeCell ref="S7330:T7331"/>
    <mergeCell ref="U7330:V7331"/>
    <mergeCell ref="W7330:W7331"/>
    <mergeCell ref="X7330:AB7330"/>
    <mergeCell ref="AD7330:AI7330"/>
    <mergeCell ref="AJ7330:AL7330"/>
    <mergeCell ref="AN7330:AO7330"/>
    <mergeCell ref="AP7330:AQ7330"/>
    <mergeCell ref="AR7330:AS7331"/>
    <mergeCell ref="AT7330:AU7331"/>
    <mergeCell ref="AV7330:AW7331"/>
    <mergeCell ref="AX7330:AY7331"/>
    <mergeCell ref="AZ7330:AZ7331"/>
    <mergeCell ref="F7331:H7331"/>
    <mergeCell ref="X7331:AB7331"/>
    <mergeCell ref="AE7331:AI7331"/>
    <mergeCell ref="AJ7331:AL7331"/>
    <mergeCell ref="AN7331:AO7331"/>
    <mergeCell ref="AP7331:AQ7331"/>
    <mergeCell ref="A7332:A7333"/>
    <mergeCell ref="E7332:E7333"/>
    <mergeCell ref="F7332:H7332"/>
    <mergeCell ref="J7332:J7333"/>
    <mergeCell ref="K7332:L7333"/>
    <mergeCell ref="M7332:N7333"/>
    <mergeCell ref="O7332:P7333"/>
    <mergeCell ref="Q7332:R7333"/>
    <mergeCell ref="S7332:T7333"/>
    <mergeCell ref="U7332:V7333"/>
    <mergeCell ref="W7332:W7333"/>
    <mergeCell ref="X7332:AB7332"/>
    <mergeCell ref="AD7332:AI7332"/>
    <mergeCell ref="AJ7332:AL7332"/>
    <mergeCell ref="AN7332:AO7332"/>
    <mergeCell ref="AP7332:AQ7332"/>
    <mergeCell ref="AR7332:AS7333"/>
    <mergeCell ref="AT7332:AU7333"/>
    <mergeCell ref="AV7332:AW7333"/>
    <mergeCell ref="AX7332:AY7333"/>
    <mergeCell ref="AZ7332:AZ7333"/>
    <mergeCell ref="F7333:H7333"/>
    <mergeCell ref="X7333:AB7333"/>
    <mergeCell ref="AE7333:AI7333"/>
    <mergeCell ref="AJ7333:AL7333"/>
    <mergeCell ref="AN7333:AO7333"/>
    <mergeCell ref="AP7333:AQ7333"/>
    <mergeCell ref="A7334:A7335"/>
    <mergeCell ref="E7334:E7335"/>
    <mergeCell ref="F7334:H7334"/>
    <mergeCell ref="J7334:J7335"/>
    <mergeCell ref="K7334:L7335"/>
    <mergeCell ref="M7334:N7335"/>
    <mergeCell ref="O7334:P7335"/>
    <mergeCell ref="Q7334:R7335"/>
    <mergeCell ref="S7334:T7335"/>
    <mergeCell ref="U7334:V7335"/>
    <mergeCell ref="W7334:W7335"/>
    <mergeCell ref="X7334:AB7334"/>
    <mergeCell ref="AD7334:AI7334"/>
    <mergeCell ref="AJ7334:AL7334"/>
    <mergeCell ref="AN7334:AO7334"/>
    <mergeCell ref="AP7334:AQ7334"/>
    <mergeCell ref="AR7334:AS7335"/>
    <mergeCell ref="AT7334:AU7335"/>
    <mergeCell ref="AV7334:AW7335"/>
    <mergeCell ref="AX7334:AY7335"/>
    <mergeCell ref="AZ7334:AZ7335"/>
    <mergeCell ref="F7335:H7335"/>
    <mergeCell ref="X7335:AB7335"/>
    <mergeCell ref="AE7335:AI7335"/>
    <mergeCell ref="AJ7335:AL7335"/>
    <mergeCell ref="AN7335:AO7335"/>
    <mergeCell ref="AP7335:AQ7335"/>
    <mergeCell ref="A7336:A7337"/>
    <mergeCell ref="E7336:E7337"/>
    <mergeCell ref="F7336:H7336"/>
    <mergeCell ref="J7336:J7337"/>
    <mergeCell ref="K7336:L7337"/>
    <mergeCell ref="M7336:N7337"/>
    <mergeCell ref="O7336:P7337"/>
    <mergeCell ref="Q7336:R7337"/>
    <mergeCell ref="S7336:T7337"/>
    <mergeCell ref="U7336:V7337"/>
    <mergeCell ref="W7336:W7337"/>
    <mergeCell ref="X7336:AB7336"/>
    <mergeCell ref="AD7336:AI7336"/>
    <mergeCell ref="AJ7336:AL7336"/>
    <mergeCell ref="AN7336:AO7336"/>
    <mergeCell ref="AP7336:AQ7336"/>
    <mergeCell ref="AR7336:AS7337"/>
    <mergeCell ref="AT7336:AU7337"/>
    <mergeCell ref="AV7336:AW7337"/>
    <mergeCell ref="AX7336:AY7337"/>
    <mergeCell ref="AZ7336:AZ7337"/>
    <mergeCell ref="F7337:H7337"/>
    <mergeCell ref="X7337:AB7337"/>
    <mergeCell ref="AE7337:AI7337"/>
    <mergeCell ref="AJ7337:AL7337"/>
    <mergeCell ref="AN7337:AO7337"/>
    <mergeCell ref="AP7337:AQ7337"/>
    <mergeCell ref="A7338:A7339"/>
    <mergeCell ref="E7338:E7339"/>
    <mergeCell ref="F7338:H7338"/>
    <mergeCell ref="J7338:J7339"/>
    <mergeCell ref="K7338:L7339"/>
    <mergeCell ref="M7338:N7339"/>
    <mergeCell ref="O7338:P7339"/>
    <mergeCell ref="Q7338:R7339"/>
    <mergeCell ref="S7338:T7339"/>
    <mergeCell ref="U7338:V7339"/>
    <mergeCell ref="W7338:W7339"/>
    <mergeCell ref="X7338:AB7338"/>
    <mergeCell ref="AD7338:AI7338"/>
    <mergeCell ref="AJ7338:AL7338"/>
    <mergeCell ref="AN7338:AO7338"/>
    <mergeCell ref="AP7338:AQ7338"/>
    <mergeCell ref="AR7338:AS7339"/>
    <mergeCell ref="AT7338:AU7339"/>
    <mergeCell ref="AV7338:AW7339"/>
    <mergeCell ref="AX7338:AY7339"/>
    <mergeCell ref="AZ7338:AZ7339"/>
    <mergeCell ref="F7339:H7339"/>
    <mergeCell ref="X7339:AB7339"/>
    <mergeCell ref="AE7339:AI7339"/>
    <mergeCell ref="AJ7339:AL7339"/>
    <mergeCell ref="AN7339:AO7339"/>
    <mergeCell ref="AP7339:AQ7339"/>
    <mergeCell ref="A7340:A7341"/>
    <mergeCell ref="E7340:E7341"/>
    <mergeCell ref="F7340:H7340"/>
    <mergeCell ref="J7340:J7341"/>
    <mergeCell ref="K7340:L7341"/>
    <mergeCell ref="M7340:N7341"/>
    <mergeCell ref="O7340:P7341"/>
    <mergeCell ref="Q7340:R7341"/>
    <mergeCell ref="S7340:T7341"/>
    <mergeCell ref="U7340:V7341"/>
    <mergeCell ref="W7340:W7341"/>
    <mergeCell ref="X7340:AB7340"/>
    <mergeCell ref="AD7340:AI7340"/>
    <mergeCell ref="AJ7340:AL7340"/>
    <mergeCell ref="AN7340:AO7340"/>
    <mergeCell ref="AP7340:AQ7340"/>
    <mergeCell ref="AR7340:AS7341"/>
    <mergeCell ref="AT7340:AU7341"/>
    <mergeCell ref="AV7340:AW7341"/>
    <mergeCell ref="AX7340:AY7341"/>
    <mergeCell ref="AZ7340:AZ7341"/>
    <mergeCell ref="F7341:H7341"/>
    <mergeCell ref="X7341:AB7341"/>
    <mergeCell ref="AE7341:AI7341"/>
    <mergeCell ref="AJ7341:AL7341"/>
    <mergeCell ref="AN7341:AO7341"/>
    <mergeCell ref="AP7341:AQ7341"/>
    <mergeCell ref="A7342:A7343"/>
    <mergeCell ref="E7342:E7343"/>
    <mergeCell ref="F7342:H7342"/>
    <mergeCell ref="J7342:J7343"/>
    <mergeCell ref="K7342:L7343"/>
    <mergeCell ref="M7342:N7343"/>
    <mergeCell ref="O7342:P7343"/>
    <mergeCell ref="Q7342:R7343"/>
    <mergeCell ref="S7342:T7343"/>
    <mergeCell ref="U7342:V7343"/>
    <mergeCell ref="W7342:W7343"/>
    <mergeCell ref="X7342:AB7342"/>
    <mergeCell ref="AD7342:AI7342"/>
    <mergeCell ref="AJ7342:AL7342"/>
    <mergeCell ref="AN7342:AO7342"/>
    <mergeCell ref="AP7342:AQ7342"/>
    <mergeCell ref="AR7342:AS7343"/>
    <mergeCell ref="AT7342:AU7343"/>
    <mergeCell ref="AV7342:AW7343"/>
    <mergeCell ref="AX7342:AY7343"/>
    <mergeCell ref="AZ7342:AZ7343"/>
    <mergeCell ref="F7343:H7343"/>
    <mergeCell ref="X7343:AB7343"/>
    <mergeCell ref="AE7343:AI7343"/>
    <mergeCell ref="AJ7343:AL7343"/>
    <mergeCell ref="AN7343:AO7343"/>
    <mergeCell ref="AP7343:AQ7343"/>
    <mergeCell ref="A7344:A7345"/>
    <mergeCell ref="E7344:E7345"/>
    <mergeCell ref="F7344:H7344"/>
    <mergeCell ref="J7344:J7345"/>
    <mergeCell ref="K7344:L7345"/>
    <mergeCell ref="M7344:N7345"/>
    <mergeCell ref="O7344:P7345"/>
    <mergeCell ref="Q7344:R7345"/>
    <mergeCell ref="S7344:T7345"/>
    <mergeCell ref="U7344:V7345"/>
    <mergeCell ref="W7344:W7345"/>
    <mergeCell ref="X7344:AB7344"/>
    <mergeCell ref="AD7344:AI7344"/>
    <mergeCell ref="AJ7344:AL7344"/>
    <mergeCell ref="AN7344:AO7344"/>
    <mergeCell ref="AP7344:AQ7344"/>
    <mergeCell ref="AR7344:AS7345"/>
    <mergeCell ref="AT7344:AU7345"/>
    <mergeCell ref="AV7344:AW7345"/>
    <mergeCell ref="AX7344:AY7345"/>
    <mergeCell ref="AZ7344:AZ7345"/>
    <mergeCell ref="F7345:H7345"/>
    <mergeCell ref="X7345:AB7345"/>
    <mergeCell ref="AE7345:AI7345"/>
    <mergeCell ref="AJ7345:AL7345"/>
    <mergeCell ref="AN7345:AO7345"/>
    <mergeCell ref="AP7345:AQ7345"/>
    <mergeCell ref="A7346:A7347"/>
    <mergeCell ref="E7346:E7347"/>
    <mergeCell ref="F7346:H7346"/>
    <mergeCell ref="J7346:J7347"/>
    <mergeCell ref="K7346:L7347"/>
    <mergeCell ref="M7346:N7347"/>
    <mergeCell ref="O7346:P7347"/>
    <mergeCell ref="Q7346:R7347"/>
    <mergeCell ref="S7346:T7347"/>
    <mergeCell ref="U7346:V7347"/>
    <mergeCell ref="W7346:W7347"/>
    <mergeCell ref="X7346:AB7346"/>
    <mergeCell ref="AD7346:AI7346"/>
    <mergeCell ref="AJ7346:AL7346"/>
    <mergeCell ref="AN7346:AO7346"/>
    <mergeCell ref="AP7346:AQ7346"/>
    <mergeCell ref="AR7346:AS7347"/>
    <mergeCell ref="AT7346:AU7347"/>
    <mergeCell ref="AV7346:AW7347"/>
    <mergeCell ref="AX7346:AY7347"/>
    <mergeCell ref="AZ7346:AZ7347"/>
    <mergeCell ref="F7347:H7347"/>
    <mergeCell ref="X7347:AB7347"/>
    <mergeCell ref="AE7347:AI7347"/>
    <mergeCell ref="AJ7347:AL7347"/>
    <mergeCell ref="AN7347:AO7347"/>
    <mergeCell ref="AP7347:AQ7347"/>
    <mergeCell ref="A7348:A7349"/>
    <mergeCell ref="E7348:E7349"/>
    <mergeCell ref="F7348:H7348"/>
    <mergeCell ref="J7348:J7349"/>
    <mergeCell ref="K7348:L7349"/>
    <mergeCell ref="M7348:N7349"/>
    <mergeCell ref="O7348:P7349"/>
    <mergeCell ref="Q7348:R7349"/>
    <mergeCell ref="S7348:T7349"/>
    <mergeCell ref="U7348:V7349"/>
    <mergeCell ref="W7348:W7349"/>
    <mergeCell ref="X7348:AB7348"/>
    <mergeCell ref="AD7348:AI7348"/>
    <mergeCell ref="AJ7348:AL7348"/>
    <mergeCell ref="AN7348:AO7348"/>
    <mergeCell ref="AP7348:AQ7348"/>
    <mergeCell ref="AR7348:AS7349"/>
    <mergeCell ref="AT7348:AU7349"/>
    <mergeCell ref="AV7348:AW7349"/>
    <mergeCell ref="AX7348:AY7349"/>
    <mergeCell ref="AZ7348:AZ7349"/>
    <mergeCell ref="F7349:H7349"/>
    <mergeCell ref="X7349:AB7349"/>
    <mergeCell ref="AE7349:AI7349"/>
    <mergeCell ref="AJ7349:AL7349"/>
    <mergeCell ref="AN7349:AO7349"/>
    <mergeCell ref="AP7349:AQ7349"/>
    <mergeCell ref="A7350:A7351"/>
    <mergeCell ref="E7350:E7351"/>
    <mergeCell ref="F7350:H7350"/>
    <mergeCell ref="J7350:J7351"/>
    <mergeCell ref="K7350:L7351"/>
    <mergeCell ref="M7350:N7351"/>
    <mergeCell ref="O7350:P7351"/>
    <mergeCell ref="Q7350:R7351"/>
    <mergeCell ref="S7350:T7351"/>
    <mergeCell ref="U7350:V7351"/>
    <mergeCell ref="W7350:W7351"/>
    <mergeCell ref="X7350:AB7350"/>
    <mergeCell ref="AD7350:AI7350"/>
    <mergeCell ref="AJ7350:AL7350"/>
    <mergeCell ref="AN7350:AO7350"/>
    <mergeCell ref="AP7350:AQ7350"/>
    <mergeCell ref="AR7350:AS7351"/>
    <mergeCell ref="AT7350:AU7351"/>
    <mergeCell ref="AV7350:AW7351"/>
    <mergeCell ref="AX7350:AY7351"/>
    <mergeCell ref="AZ7350:AZ7351"/>
    <mergeCell ref="F7351:H7351"/>
    <mergeCell ref="X7351:AB7351"/>
    <mergeCell ref="AE7351:AI7351"/>
    <mergeCell ref="AJ7351:AL7351"/>
    <mergeCell ref="AN7351:AO7351"/>
    <mergeCell ref="AP7351:AQ7351"/>
    <mergeCell ref="A7352:A7353"/>
    <mergeCell ref="E7352:E7353"/>
    <mergeCell ref="F7352:H7352"/>
    <mergeCell ref="J7352:J7353"/>
    <mergeCell ref="K7352:L7353"/>
    <mergeCell ref="M7352:N7353"/>
    <mergeCell ref="O7352:P7353"/>
    <mergeCell ref="Q7352:R7353"/>
    <mergeCell ref="S7352:T7353"/>
    <mergeCell ref="U7352:V7353"/>
    <mergeCell ref="W7352:W7353"/>
    <mergeCell ref="X7352:AB7352"/>
    <mergeCell ref="AD7352:AI7352"/>
    <mergeCell ref="AJ7352:AL7352"/>
    <mergeCell ref="AN7352:AO7352"/>
    <mergeCell ref="AP7352:AQ7352"/>
    <mergeCell ref="AR7352:AS7353"/>
    <mergeCell ref="AT7352:AU7353"/>
    <mergeCell ref="AV7352:AW7353"/>
    <mergeCell ref="AX7352:AY7353"/>
    <mergeCell ref="AZ7352:AZ7353"/>
    <mergeCell ref="F7353:H7353"/>
    <mergeCell ref="X7353:AB7353"/>
    <mergeCell ref="AE7353:AI7353"/>
    <mergeCell ref="AJ7353:AL7353"/>
    <mergeCell ref="AN7353:AO7353"/>
    <mergeCell ref="AP7353:AQ7353"/>
    <mergeCell ref="A7354:A7355"/>
    <mergeCell ref="E7354:E7355"/>
    <mergeCell ref="F7354:H7354"/>
    <mergeCell ref="J7354:J7355"/>
    <mergeCell ref="K7354:L7355"/>
    <mergeCell ref="M7354:N7355"/>
    <mergeCell ref="O7354:P7355"/>
    <mergeCell ref="Q7354:R7355"/>
    <mergeCell ref="S7354:T7355"/>
    <mergeCell ref="U7354:V7355"/>
    <mergeCell ref="W7354:W7355"/>
    <mergeCell ref="X7354:AB7354"/>
    <mergeCell ref="AD7354:AI7354"/>
    <mergeCell ref="AJ7354:AL7354"/>
    <mergeCell ref="AN7354:AO7354"/>
    <mergeCell ref="AP7354:AQ7354"/>
    <mergeCell ref="AR7354:AS7355"/>
    <mergeCell ref="AT7354:AU7355"/>
    <mergeCell ref="AV7354:AW7355"/>
    <mergeCell ref="AX7354:AY7355"/>
    <mergeCell ref="AZ7354:AZ7355"/>
    <mergeCell ref="F7355:H7355"/>
    <mergeCell ref="X7355:AB7355"/>
    <mergeCell ref="AE7355:AI7355"/>
    <mergeCell ref="AJ7355:AL7355"/>
    <mergeCell ref="AN7355:AO7355"/>
    <mergeCell ref="AP7355:AQ7355"/>
    <mergeCell ref="A7356:A7357"/>
    <mergeCell ref="E7356:E7357"/>
    <mergeCell ref="F7356:H7356"/>
    <mergeCell ref="J7356:J7357"/>
    <mergeCell ref="K7356:L7357"/>
    <mergeCell ref="M7356:N7357"/>
    <mergeCell ref="O7356:P7357"/>
    <mergeCell ref="Q7356:R7357"/>
    <mergeCell ref="S7356:T7357"/>
    <mergeCell ref="U7356:V7357"/>
    <mergeCell ref="W7356:W7357"/>
    <mergeCell ref="X7356:AB7356"/>
    <mergeCell ref="AD7356:AI7356"/>
    <mergeCell ref="AJ7356:AL7356"/>
    <mergeCell ref="AN7356:AO7356"/>
    <mergeCell ref="AP7356:AQ7356"/>
    <mergeCell ref="AR7356:AS7357"/>
    <mergeCell ref="AT7356:AU7357"/>
    <mergeCell ref="AV7356:AW7357"/>
    <mergeCell ref="AX7356:AY7357"/>
    <mergeCell ref="AZ7356:AZ7357"/>
    <mergeCell ref="F7357:H7357"/>
    <mergeCell ref="X7357:AB7357"/>
    <mergeCell ref="AE7357:AI7357"/>
    <mergeCell ref="AJ7357:AL7357"/>
    <mergeCell ref="AN7357:AO7357"/>
    <mergeCell ref="AP7357:AQ7357"/>
    <mergeCell ref="A7358:A7359"/>
    <mergeCell ref="E7358:E7359"/>
    <mergeCell ref="F7358:H7358"/>
    <mergeCell ref="J7358:J7359"/>
    <mergeCell ref="K7358:L7359"/>
    <mergeCell ref="M7358:N7359"/>
    <mergeCell ref="O7358:P7359"/>
    <mergeCell ref="Q7358:R7359"/>
    <mergeCell ref="S7358:T7359"/>
    <mergeCell ref="U7358:V7359"/>
    <mergeCell ref="W7358:W7359"/>
    <mergeCell ref="X7358:AB7358"/>
    <mergeCell ref="AD7358:AI7358"/>
    <mergeCell ref="AJ7358:AL7358"/>
    <mergeCell ref="AN7358:AO7358"/>
    <mergeCell ref="AP7358:AQ7358"/>
    <mergeCell ref="AR7358:AS7359"/>
    <mergeCell ref="AT7358:AU7359"/>
    <mergeCell ref="AV7358:AW7359"/>
    <mergeCell ref="AX7358:AY7359"/>
    <mergeCell ref="AZ7358:AZ7359"/>
    <mergeCell ref="F7359:H7359"/>
    <mergeCell ref="X7359:AB7359"/>
    <mergeCell ref="AE7359:AI7359"/>
    <mergeCell ref="AJ7359:AL7359"/>
    <mergeCell ref="AN7359:AO7359"/>
    <mergeCell ref="AP7359:AQ7359"/>
    <mergeCell ref="A7360:A7361"/>
    <mergeCell ref="E7360:E7361"/>
    <mergeCell ref="F7360:H7360"/>
    <mergeCell ref="J7360:J7361"/>
    <mergeCell ref="K7360:L7361"/>
    <mergeCell ref="M7360:N7361"/>
    <mergeCell ref="O7360:P7361"/>
    <mergeCell ref="Q7360:R7361"/>
    <mergeCell ref="S7360:T7361"/>
    <mergeCell ref="U7360:V7361"/>
    <mergeCell ref="W7360:W7361"/>
    <mergeCell ref="X7360:AB7360"/>
    <mergeCell ref="AD7360:AI7360"/>
    <mergeCell ref="AJ7360:AL7360"/>
    <mergeCell ref="AN7360:AO7360"/>
    <mergeCell ref="AP7360:AQ7360"/>
    <mergeCell ref="AR7360:AS7361"/>
    <mergeCell ref="AT7360:AU7361"/>
    <mergeCell ref="AV7360:AW7361"/>
    <mergeCell ref="AX7360:AY7361"/>
    <mergeCell ref="AZ7360:AZ7361"/>
    <mergeCell ref="F7361:H7361"/>
    <mergeCell ref="X7361:AB7361"/>
    <mergeCell ref="AE7361:AI7361"/>
    <mergeCell ref="AJ7361:AL7361"/>
    <mergeCell ref="AN7361:AO7361"/>
    <mergeCell ref="AP7361:AQ7361"/>
    <mergeCell ref="A7362:A7363"/>
    <mergeCell ref="E7362:E7363"/>
    <mergeCell ref="F7362:H7362"/>
    <mergeCell ref="J7362:J7363"/>
    <mergeCell ref="K7362:L7363"/>
    <mergeCell ref="M7362:N7363"/>
    <mergeCell ref="O7362:P7363"/>
    <mergeCell ref="Q7362:R7363"/>
    <mergeCell ref="S7362:T7363"/>
    <mergeCell ref="U7362:V7363"/>
    <mergeCell ref="W7362:W7363"/>
    <mergeCell ref="X7362:AB7362"/>
    <mergeCell ref="AD7362:AI7362"/>
    <mergeCell ref="AJ7362:AL7362"/>
    <mergeCell ref="AN7362:AO7362"/>
    <mergeCell ref="AP7362:AQ7362"/>
    <mergeCell ref="AR7362:AS7363"/>
    <mergeCell ref="AT7362:AU7363"/>
    <mergeCell ref="AV7362:AW7363"/>
    <mergeCell ref="AX7362:AY7363"/>
    <mergeCell ref="AZ7362:AZ7363"/>
    <mergeCell ref="F7363:H7363"/>
    <mergeCell ref="X7363:AB7363"/>
    <mergeCell ref="AE7363:AI7363"/>
    <mergeCell ref="AJ7363:AL7363"/>
    <mergeCell ref="AN7363:AO7363"/>
    <mergeCell ref="AP7363:AQ7363"/>
    <mergeCell ref="A7364:A7365"/>
    <mergeCell ref="E7364:E7365"/>
    <mergeCell ref="F7364:H7364"/>
    <mergeCell ref="J7364:J7365"/>
    <mergeCell ref="K7364:L7365"/>
    <mergeCell ref="M7364:N7365"/>
    <mergeCell ref="O7364:P7365"/>
    <mergeCell ref="Q7364:R7365"/>
    <mergeCell ref="S7364:T7365"/>
    <mergeCell ref="U7364:V7365"/>
    <mergeCell ref="W7364:W7365"/>
    <mergeCell ref="X7364:AB7364"/>
    <mergeCell ref="AD7364:AI7364"/>
    <mergeCell ref="AJ7364:AL7364"/>
    <mergeCell ref="AN7364:AO7364"/>
    <mergeCell ref="AP7364:AQ7364"/>
    <mergeCell ref="AR7364:AS7365"/>
    <mergeCell ref="AT7364:AU7365"/>
    <mergeCell ref="AV7364:AW7365"/>
    <mergeCell ref="AX7364:AY7365"/>
    <mergeCell ref="AZ7364:AZ7365"/>
    <mergeCell ref="F7365:H7365"/>
    <mergeCell ref="X7365:AB7365"/>
    <mergeCell ref="AE7365:AI7365"/>
    <mergeCell ref="AJ7365:AL7365"/>
    <mergeCell ref="AN7365:AO7365"/>
    <mergeCell ref="AP7365:AQ7365"/>
    <mergeCell ref="A7366:A7367"/>
    <mergeCell ref="E7366:E7367"/>
    <mergeCell ref="F7366:H7366"/>
    <mergeCell ref="J7366:J7367"/>
    <mergeCell ref="K7366:L7367"/>
    <mergeCell ref="M7366:N7367"/>
    <mergeCell ref="O7366:P7367"/>
    <mergeCell ref="Q7366:R7367"/>
    <mergeCell ref="S7366:T7367"/>
    <mergeCell ref="U7366:V7367"/>
    <mergeCell ref="W7366:W7367"/>
    <mergeCell ref="X7366:AB7366"/>
    <mergeCell ref="AD7366:AI7366"/>
    <mergeCell ref="AJ7366:AL7366"/>
    <mergeCell ref="AN7366:AO7366"/>
    <mergeCell ref="AP7366:AQ7366"/>
    <mergeCell ref="AR7366:AS7367"/>
    <mergeCell ref="AT7366:AU7367"/>
    <mergeCell ref="AV7366:AW7367"/>
    <mergeCell ref="AX7366:AY7367"/>
    <mergeCell ref="AZ7366:AZ7367"/>
    <mergeCell ref="F7367:H7367"/>
    <mergeCell ref="X7367:AB7367"/>
    <mergeCell ref="AE7367:AI7367"/>
    <mergeCell ref="AJ7367:AL7367"/>
    <mergeCell ref="AN7367:AO7367"/>
    <mergeCell ref="AP7367:AQ7367"/>
    <mergeCell ref="A7368:A7369"/>
    <mergeCell ref="E7368:E7369"/>
    <mergeCell ref="F7368:H7368"/>
    <mergeCell ref="J7368:J7369"/>
    <mergeCell ref="K7368:L7369"/>
    <mergeCell ref="M7368:N7369"/>
    <mergeCell ref="O7368:P7369"/>
    <mergeCell ref="Q7368:R7369"/>
    <mergeCell ref="S7368:T7369"/>
    <mergeCell ref="U7368:V7369"/>
    <mergeCell ref="W7368:W7369"/>
    <mergeCell ref="X7368:AB7368"/>
    <mergeCell ref="AD7368:AI7368"/>
    <mergeCell ref="AJ7368:AL7368"/>
    <mergeCell ref="AN7368:AO7368"/>
    <mergeCell ref="AP7368:AQ7368"/>
    <mergeCell ref="AR7368:AS7369"/>
    <mergeCell ref="AT7368:AU7369"/>
    <mergeCell ref="AV7368:AW7369"/>
    <mergeCell ref="AX7368:AY7369"/>
    <mergeCell ref="AZ7368:AZ7369"/>
    <mergeCell ref="F7369:H7369"/>
    <mergeCell ref="X7369:AB7369"/>
    <mergeCell ref="AE7369:AI7369"/>
    <mergeCell ref="AJ7369:AL7369"/>
    <mergeCell ref="AN7369:AO7369"/>
    <mergeCell ref="AP7369:AQ7369"/>
    <mergeCell ref="A7370:A7371"/>
    <mergeCell ref="E7370:E7371"/>
    <mergeCell ref="F7370:H7370"/>
    <mergeCell ref="J7370:J7371"/>
    <mergeCell ref="K7370:L7371"/>
    <mergeCell ref="M7370:N7371"/>
    <mergeCell ref="O7370:P7371"/>
    <mergeCell ref="Q7370:R7371"/>
    <mergeCell ref="S7370:T7371"/>
    <mergeCell ref="U7370:V7371"/>
    <mergeCell ref="W7370:W7371"/>
    <mergeCell ref="X7370:AB7370"/>
    <mergeCell ref="AD7370:AI7370"/>
    <mergeCell ref="AJ7370:AL7370"/>
    <mergeCell ref="AN7370:AO7370"/>
    <mergeCell ref="AP7370:AQ7370"/>
    <mergeCell ref="AR7370:AS7371"/>
    <mergeCell ref="AT7370:AU7371"/>
    <mergeCell ref="AV7370:AW7371"/>
    <mergeCell ref="AX7370:AY7371"/>
    <mergeCell ref="AZ7370:AZ7371"/>
    <mergeCell ref="F7371:H7371"/>
    <mergeCell ref="X7371:AB7371"/>
    <mergeCell ref="AE7371:AI7371"/>
    <mergeCell ref="AJ7371:AL7371"/>
    <mergeCell ref="AN7371:AO7371"/>
    <mergeCell ref="AP7371:AQ7371"/>
    <mergeCell ref="A7372:A7373"/>
    <mergeCell ref="E7372:E7373"/>
    <mergeCell ref="F7372:H7372"/>
    <mergeCell ref="J7372:J7373"/>
    <mergeCell ref="K7372:L7373"/>
    <mergeCell ref="M7372:N7373"/>
    <mergeCell ref="O7372:P7373"/>
    <mergeCell ref="Q7372:R7373"/>
    <mergeCell ref="S7372:T7373"/>
    <mergeCell ref="U7372:V7373"/>
    <mergeCell ref="W7372:W7373"/>
    <mergeCell ref="X7372:AB7372"/>
    <mergeCell ref="AD7372:AI7372"/>
    <mergeCell ref="AJ7372:AL7372"/>
    <mergeCell ref="AN7372:AO7372"/>
    <mergeCell ref="AP7372:AQ7372"/>
    <mergeCell ref="AR7372:AS7373"/>
    <mergeCell ref="AT7372:AU7373"/>
    <mergeCell ref="AV7372:AW7373"/>
    <mergeCell ref="AX7372:AY7373"/>
    <mergeCell ref="AZ7372:AZ7373"/>
    <mergeCell ref="F7373:H7373"/>
    <mergeCell ref="X7373:AB7373"/>
    <mergeCell ref="AE7373:AI7373"/>
    <mergeCell ref="AJ7373:AL7373"/>
    <mergeCell ref="AN7373:AO7373"/>
    <mergeCell ref="AP7373:AQ7373"/>
    <mergeCell ref="A7374:A7375"/>
    <mergeCell ref="E7374:E7375"/>
    <mergeCell ref="F7374:H7374"/>
    <mergeCell ref="J7374:J7375"/>
    <mergeCell ref="K7374:L7375"/>
    <mergeCell ref="M7374:N7375"/>
    <mergeCell ref="O7374:P7375"/>
    <mergeCell ref="Q7374:R7375"/>
    <mergeCell ref="S7374:T7375"/>
    <mergeCell ref="U7374:V7375"/>
    <mergeCell ref="W7374:W7375"/>
    <mergeCell ref="X7374:AB7374"/>
    <mergeCell ref="AD7374:AI7374"/>
    <mergeCell ref="AJ7374:AL7374"/>
    <mergeCell ref="AN7374:AO7374"/>
    <mergeCell ref="AP7374:AQ7374"/>
    <mergeCell ref="AR7374:AS7375"/>
    <mergeCell ref="AT7374:AU7375"/>
    <mergeCell ref="AV7374:AW7375"/>
    <mergeCell ref="AX7374:AY7375"/>
    <mergeCell ref="AZ7374:AZ7375"/>
    <mergeCell ref="F7375:H7375"/>
    <mergeCell ref="X7375:AB7375"/>
    <mergeCell ref="AE7375:AI7375"/>
    <mergeCell ref="AJ7375:AL7375"/>
    <mergeCell ref="AN7375:AO7375"/>
    <mergeCell ref="AP7375:AQ7375"/>
    <mergeCell ref="A7376:A7377"/>
    <mergeCell ref="E7376:E7377"/>
    <mergeCell ref="F7376:H7376"/>
    <mergeCell ref="J7376:J7377"/>
    <mergeCell ref="K7376:L7377"/>
    <mergeCell ref="M7376:N7377"/>
    <mergeCell ref="O7376:P7377"/>
    <mergeCell ref="Q7376:R7377"/>
    <mergeCell ref="S7376:T7377"/>
    <mergeCell ref="U7376:V7377"/>
    <mergeCell ref="W7376:W7377"/>
    <mergeCell ref="X7376:AB7376"/>
    <mergeCell ref="AD7376:AI7376"/>
    <mergeCell ref="AJ7376:AL7376"/>
    <mergeCell ref="AN7376:AO7376"/>
    <mergeCell ref="AP7376:AQ7376"/>
    <mergeCell ref="AR7376:AS7377"/>
    <mergeCell ref="AT7376:AU7377"/>
    <mergeCell ref="AV7376:AW7377"/>
    <mergeCell ref="AX7376:AY7377"/>
    <mergeCell ref="AZ7376:AZ7377"/>
    <mergeCell ref="F7377:H7377"/>
    <mergeCell ref="X7377:AB7377"/>
    <mergeCell ref="AE7377:AI7377"/>
    <mergeCell ref="AJ7377:AL7377"/>
    <mergeCell ref="AN7377:AO7377"/>
    <mergeCell ref="AP7377:AQ7377"/>
    <mergeCell ref="A7378:A7379"/>
    <mergeCell ref="E7378:E7379"/>
    <mergeCell ref="F7378:H7378"/>
    <mergeCell ref="J7378:J7379"/>
    <mergeCell ref="K7378:L7379"/>
    <mergeCell ref="M7378:N7379"/>
    <mergeCell ref="O7378:P7379"/>
    <mergeCell ref="Q7378:R7379"/>
    <mergeCell ref="S7378:T7379"/>
    <mergeCell ref="U7378:V7379"/>
    <mergeCell ref="W7378:W7379"/>
    <mergeCell ref="X7378:AB7378"/>
    <mergeCell ref="AD7378:AI7378"/>
    <mergeCell ref="AJ7378:AL7378"/>
    <mergeCell ref="AN7378:AO7378"/>
    <mergeCell ref="AP7378:AQ7378"/>
    <mergeCell ref="AR7378:AS7379"/>
    <mergeCell ref="AT7378:AU7379"/>
    <mergeCell ref="AV7378:AW7379"/>
    <mergeCell ref="AX7378:AY7379"/>
    <mergeCell ref="AZ7378:AZ7379"/>
    <mergeCell ref="F7379:H7379"/>
    <mergeCell ref="X7379:AB7379"/>
    <mergeCell ref="AE7379:AI7379"/>
    <mergeCell ref="AJ7379:AL7379"/>
    <mergeCell ref="AN7379:AO7379"/>
    <mergeCell ref="AP7379:AQ7379"/>
    <mergeCell ref="A7380:A7381"/>
    <mergeCell ref="E7380:E7381"/>
    <mergeCell ref="F7380:H7380"/>
    <mergeCell ref="J7380:J7381"/>
    <mergeCell ref="K7380:L7381"/>
    <mergeCell ref="M7380:N7381"/>
    <mergeCell ref="O7380:P7381"/>
    <mergeCell ref="Q7380:R7381"/>
    <mergeCell ref="S7380:T7381"/>
    <mergeCell ref="U7380:V7381"/>
    <mergeCell ref="W7380:W7381"/>
    <mergeCell ref="X7380:AB7380"/>
    <mergeCell ref="AD7380:AI7380"/>
    <mergeCell ref="AJ7380:AL7380"/>
    <mergeCell ref="AN7380:AO7380"/>
    <mergeCell ref="AP7380:AQ7380"/>
    <mergeCell ref="AR7380:AS7381"/>
    <mergeCell ref="AT7380:AU7381"/>
    <mergeCell ref="AV7380:AW7381"/>
    <mergeCell ref="AX7380:AY7381"/>
    <mergeCell ref="AZ7380:AZ7381"/>
    <mergeCell ref="F7381:H7381"/>
    <mergeCell ref="X7381:AB7381"/>
    <mergeCell ref="AE7381:AI7381"/>
    <mergeCell ref="AJ7381:AL7381"/>
    <mergeCell ref="AN7381:AO7381"/>
    <mergeCell ref="AP7381:AQ7381"/>
    <mergeCell ref="A7382:A7383"/>
    <mergeCell ref="E7382:E7383"/>
    <mergeCell ref="F7382:H7382"/>
    <mergeCell ref="J7382:J7383"/>
    <mergeCell ref="K7382:L7383"/>
    <mergeCell ref="M7382:N7383"/>
    <mergeCell ref="O7382:P7383"/>
    <mergeCell ref="Q7382:R7383"/>
    <mergeCell ref="S7382:T7383"/>
    <mergeCell ref="U7382:V7383"/>
    <mergeCell ref="W7382:W7383"/>
    <mergeCell ref="X7382:AB7382"/>
    <mergeCell ref="AD7382:AI7382"/>
    <mergeCell ref="AJ7382:AL7382"/>
    <mergeCell ref="AN7382:AO7382"/>
    <mergeCell ref="AP7382:AQ7382"/>
    <mergeCell ref="AR7382:AS7383"/>
    <mergeCell ref="AT7382:AU7383"/>
    <mergeCell ref="AV7382:AW7383"/>
    <mergeCell ref="AX7382:AY7383"/>
    <mergeCell ref="AZ7382:AZ7383"/>
    <mergeCell ref="F7383:H7383"/>
    <mergeCell ref="X7383:AB7383"/>
    <mergeCell ref="AE7383:AI7383"/>
    <mergeCell ref="AJ7383:AL7383"/>
    <mergeCell ref="AN7383:AO7383"/>
    <mergeCell ref="AP7383:AQ7383"/>
    <mergeCell ref="A7384:A7385"/>
    <mergeCell ref="E7384:E7385"/>
    <mergeCell ref="F7384:H7384"/>
    <mergeCell ref="J7384:J7385"/>
    <mergeCell ref="K7384:L7385"/>
    <mergeCell ref="M7384:N7385"/>
    <mergeCell ref="O7384:P7385"/>
    <mergeCell ref="Q7384:R7385"/>
    <mergeCell ref="S7384:T7385"/>
    <mergeCell ref="U7384:V7385"/>
    <mergeCell ref="W7384:W7385"/>
    <mergeCell ref="X7384:AB7384"/>
    <mergeCell ref="AD7384:AI7384"/>
    <mergeCell ref="AJ7384:AL7384"/>
    <mergeCell ref="AN7384:AO7384"/>
    <mergeCell ref="AP7384:AQ7384"/>
    <mergeCell ref="AR7384:AS7385"/>
    <mergeCell ref="AT7384:AU7385"/>
    <mergeCell ref="AV7384:AW7385"/>
    <mergeCell ref="AX7384:AY7385"/>
    <mergeCell ref="AZ7384:AZ7385"/>
    <mergeCell ref="F7385:H7385"/>
    <mergeCell ref="X7385:AB7385"/>
    <mergeCell ref="AE7385:AI7385"/>
    <mergeCell ref="AJ7385:AL7385"/>
    <mergeCell ref="AN7385:AO7385"/>
    <mergeCell ref="AP7385:AQ7385"/>
    <mergeCell ref="A7386:A7387"/>
    <mergeCell ref="E7386:E7387"/>
    <mergeCell ref="F7386:H7386"/>
    <mergeCell ref="J7386:J7387"/>
    <mergeCell ref="K7386:L7387"/>
    <mergeCell ref="M7386:N7387"/>
    <mergeCell ref="O7386:P7387"/>
    <mergeCell ref="Q7386:R7387"/>
    <mergeCell ref="S7386:T7387"/>
    <mergeCell ref="U7386:V7387"/>
    <mergeCell ref="W7386:W7387"/>
    <mergeCell ref="X7386:AB7386"/>
    <mergeCell ref="AD7386:AI7386"/>
    <mergeCell ref="AJ7386:AL7386"/>
    <mergeCell ref="AN7386:AO7386"/>
    <mergeCell ref="AP7386:AQ7386"/>
    <mergeCell ref="AR7386:AS7387"/>
    <mergeCell ref="AT7386:AU7387"/>
    <mergeCell ref="AV7386:AW7387"/>
    <mergeCell ref="AX7386:AY7387"/>
    <mergeCell ref="AZ7386:AZ7387"/>
    <mergeCell ref="F7387:H7387"/>
    <mergeCell ref="X7387:AB7387"/>
    <mergeCell ref="AE7387:AI7387"/>
    <mergeCell ref="AJ7387:AL7387"/>
    <mergeCell ref="AN7387:AO7387"/>
    <mergeCell ref="AP7387:AQ7387"/>
    <mergeCell ref="A7388:A7389"/>
    <mergeCell ref="E7388:E7389"/>
    <mergeCell ref="F7388:H7388"/>
    <mergeCell ref="J7388:J7389"/>
    <mergeCell ref="K7388:L7389"/>
    <mergeCell ref="M7388:N7389"/>
    <mergeCell ref="O7388:P7389"/>
    <mergeCell ref="Q7388:R7389"/>
    <mergeCell ref="S7388:T7389"/>
    <mergeCell ref="U7388:V7389"/>
    <mergeCell ref="W7388:W7389"/>
    <mergeCell ref="X7388:AB7388"/>
    <mergeCell ref="AD7388:AI7388"/>
    <mergeCell ref="AJ7388:AL7388"/>
    <mergeCell ref="AN7388:AO7388"/>
    <mergeCell ref="AP7388:AQ7388"/>
    <mergeCell ref="AR7388:AS7389"/>
    <mergeCell ref="AT7388:AU7389"/>
    <mergeCell ref="AV7388:AW7389"/>
    <mergeCell ref="AX7388:AY7389"/>
    <mergeCell ref="AZ7388:AZ7389"/>
    <mergeCell ref="F7389:H7389"/>
    <mergeCell ref="X7389:AB7389"/>
    <mergeCell ref="AE7389:AI7389"/>
    <mergeCell ref="AJ7389:AL7389"/>
    <mergeCell ref="AN7389:AO7389"/>
    <mergeCell ref="AP7389:AQ7389"/>
    <mergeCell ref="A7390:A7391"/>
    <mergeCell ref="E7390:E7391"/>
    <mergeCell ref="F7390:H7390"/>
    <mergeCell ref="J7390:J7391"/>
    <mergeCell ref="K7390:L7391"/>
    <mergeCell ref="M7390:N7391"/>
    <mergeCell ref="O7390:P7391"/>
    <mergeCell ref="Q7390:R7391"/>
    <mergeCell ref="S7390:T7391"/>
    <mergeCell ref="U7390:V7391"/>
    <mergeCell ref="W7390:W7391"/>
    <mergeCell ref="X7390:AB7390"/>
    <mergeCell ref="AD7390:AI7390"/>
    <mergeCell ref="AJ7390:AL7390"/>
    <mergeCell ref="AN7390:AO7390"/>
    <mergeCell ref="AP7390:AQ7390"/>
    <mergeCell ref="AR7390:AS7391"/>
    <mergeCell ref="AT7390:AU7391"/>
    <mergeCell ref="AV7390:AW7391"/>
    <mergeCell ref="AX7390:AY7391"/>
    <mergeCell ref="AZ7390:AZ7391"/>
    <mergeCell ref="F7391:H7391"/>
    <mergeCell ref="X7391:AB7391"/>
    <mergeCell ref="AE7391:AI7391"/>
    <mergeCell ref="AJ7391:AL7391"/>
    <mergeCell ref="AN7391:AO7391"/>
    <mergeCell ref="AP7391:AQ7391"/>
    <mergeCell ref="A7392:A7393"/>
    <mergeCell ref="E7392:E7393"/>
    <mergeCell ref="F7392:H7392"/>
    <mergeCell ref="J7392:J7393"/>
    <mergeCell ref="K7392:L7393"/>
    <mergeCell ref="M7392:N7393"/>
    <mergeCell ref="O7392:P7393"/>
    <mergeCell ref="Q7392:R7393"/>
    <mergeCell ref="S7392:T7393"/>
    <mergeCell ref="U7392:V7393"/>
    <mergeCell ref="W7392:W7393"/>
    <mergeCell ref="X7392:AB7392"/>
    <mergeCell ref="AD7392:AI7392"/>
    <mergeCell ref="AJ7392:AL7392"/>
    <mergeCell ref="AN7392:AO7392"/>
    <mergeCell ref="AP7392:AQ7392"/>
    <mergeCell ref="AR7392:AS7393"/>
    <mergeCell ref="AT7392:AU7393"/>
    <mergeCell ref="AV7392:AW7393"/>
    <mergeCell ref="AX7392:AY7393"/>
    <mergeCell ref="AZ7392:AZ7393"/>
    <mergeCell ref="F7393:H7393"/>
    <mergeCell ref="X7393:AB7393"/>
    <mergeCell ref="AE7393:AI7393"/>
    <mergeCell ref="AJ7393:AL7393"/>
    <mergeCell ref="AN7393:AO7393"/>
    <mergeCell ref="AP7393:AQ7393"/>
    <mergeCell ref="A7394:A7395"/>
    <mergeCell ref="E7394:E7395"/>
    <mergeCell ref="F7394:H7394"/>
    <mergeCell ref="J7394:J7395"/>
    <mergeCell ref="K7394:L7395"/>
    <mergeCell ref="M7394:N7395"/>
    <mergeCell ref="O7394:P7395"/>
    <mergeCell ref="Q7394:R7395"/>
    <mergeCell ref="S7394:T7395"/>
    <mergeCell ref="U7394:V7395"/>
    <mergeCell ref="W7394:W7395"/>
    <mergeCell ref="X7394:AB7394"/>
    <mergeCell ref="AD7394:AI7394"/>
    <mergeCell ref="AJ7394:AL7394"/>
    <mergeCell ref="AN7394:AO7394"/>
    <mergeCell ref="AP7394:AQ7394"/>
    <mergeCell ref="AR7394:AS7395"/>
    <mergeCell ref="AT7394:AU7395"/>
    <mergeCell ref="AV7394:AW7395"/>
    <mergeCell ref="AX7394:AY7395"/>
    <mergeCell ref="AZ7394:AZ7395"/>
    <mergeCell ref="F7395:H7395"/>
    <mergeCell ref="X7395:AB7395"/>
    <mergeCell ref="AE7395:AI7395"/>
    <mergeCell ref="AJ7395:AL7395"/>
    <mergeCell ref="AN7395:AO7395"/>
    <mergeCell ref="AP7395:AQ7395"/>
    <mergeCell ref="A7396:A7397"/>
    <mergeCell ref="E7396:E7397"/>
    <mergeCell ref="F7396:H7396"/>
    <mergeCell ref="J7396:J7397"/>
    <mergeCell ref="K7396:L7397"/>
    <mergeCell ref="M7396:N7397"/>
    <mergeCell ref="O7396:P7397"/>
    <mergeCell ref="Q7396:R7397"/>
    <mergeCell ref="S7396:T7397"/>
    <mergeCell ref="U7396:V7397"/>
    <mergeCell ref="W7396:W7397"/>
    <mergeCell ref="X7396:AB7396"/>
    <mergeCell ref="AD7396:AI7396"/>
    <mergeCell ref="AJ7396:AL7396"/>
    <mergeCell ref="AN7396:AO7396"/>
    <mergeCell ref="AP7396:AQ7396"/>
    <mergeCell ref="AR7396:AS7397"/>
    <mergeCell ref="AT7396:AU7397"/>
    <mergeCell ref="AV7396:AW7397"/>
    <mergeCell ref="AX7396:AY7397"/>
    <mergeCell ref="AZ7396:AZ7397"/>
    <mergeCell ref="F7397:H7397"/>
    <mergeCell ref="X7397:AB7397"/>
    <mergeCell ref="AE7397:AI7397"/>
    <mergeCell ref="AJ7397:AL7397"/>
    <mergeCell ref="AN7397:AO7397"/>
    <mergeCell ref="AP7397:AQ7397"/>
    <mergeCell ref="A7398:A7399"/>
    <mergeCell ref="E7398:E7399"/>
    <mergeCell ref="F7398:H7398"/>
    <mergeCell ref="J7398:J7399"/>
    <mergeCell ref="K7398:L7399"/>
    <mergeCell ref="M7398:N7399"/>
    <mergeCell ref="O7398:P7399"/>
    <mergeCell ref="Q7398:R7399"/>
    <mergeCell ref="S7398:T7399"/>
    <mergeCell ref="U7398:V7399"/>
    <mergeCell ref="W7398:W7399"/>
    <mergeCell ref="X7398:AB7398"/>
    <mergeCell ref="AD7398:AI7398"/>
    <mergeCell ref="AJ7398:AL7398"/>
    <mergeCell ref="AN7398:AO7398"/>
    <mergeCell ref="AP7398:AQ7398"/>
    <mergeCell ref="AR7398:AS7399"/>
    <mergeCell ref="AT7398:AU7399"/>
    <mergeCell ref="AV7398:AW7399"/>
    <mergeCell ref="AX7398:AY7399"/>
    <mergeCell ref="AZ7398:AZ7399"/>
    <mergeCell ref="F7399:H7399"/>
    <mergeCell ref="X7399:AB7399"/>
    <mergeCell ref="AE7399:AI7399"/>
    <mergeCell ref="AJ7399:AL7399"/>
    <mergeCell ref="AN7399:AO7399"/>
    <mergeCell ref="AP7399:AQ7399"/>
    <mergeCell ref="A7400:A7401"/>
    <mergeCell ref="E7400:E7401"/>
    <mergeCell ref="F7400:H7400"/>
    <mergeCell ref="J7400:J7401"/>
    <mergeCell ref="K7400:L7401"/>
    <mergeCell ref="M7400:N7401"/>
    <mergeCell ref="O7400:P7401"/>
    <mergeCell ref="Q7400:R7401"/>
    <mergeCell ref="S7400:T7401"/>
    <mergeCell ref="U7400:V7401"/>
    <mergeCell ref="W7400:W7401"/>
    <mergeCell ref="X7400:AB7400"/>
    <mergeCell ref="AD7400:AI7400"/>
    <mergeCell ref="AJ7400:AL7400"/>
    <mergeCell ref="AN7400:AO7400"/>
    <mergeCell ref="AP7400:AQ7400"/>
    <mergeCell ref="AR7400:AS7401"/>
    <mergeCell ref="AT7400:AU7401"/>
    <mergeCell ref="AV7400:AW7401"/>
    <mergeCell ref="AX7400:AY7401"/>
    <mergeCell ref="AZ7400:AZ7401"/>
    <mergeCell ref="F7401:H7401"/>
    <mergeCell ref="X7401:AB7401"/>
    <mergeCell ref="AE7401:AI7401"/>
    <mergeCell ref="AJ7401:AL7401"/>
    <mergeCell ref="AN7401:AO7401"/>
    <mergeCell ref="AP7401:AQ7401"/>
    <mergeCell ref="A7402:A7403"/>
    <mergeCell ref="E7402:E7403"/>
    <mergeCell ref="F7402:H7402"/>
    <mergeCell ref="J7402:J7403"/>
    <mergeCell ref="K7402:L7403"/>
    <mergeCell ref="M7402:N7403"/>
    <mergeCell ref="O7402:P7403"/>
    <mergeCell ref="Q7402:R7403"/>
    <mergeCell ref="S7402:T7403"/>
    <mergeCell ref="U7402:V7403"/>
    <mergeCell ref="W7402:W7403"/>
    <mergeCell ref="X7402:AB7402"/>
    <mergeCell ref="AD7402:AI7402"/>
    <mergeCell ref="AJ7402:AL7402"/>
    <mergeCell ref="AN7402:AO7402"/>
    <mergeCell ref="AP7402:AQ7402"/>
    <mergeCell ref="AR7402:AS7403"/>
    <mergeCell ref="AT7402:AU7403"/>
    <mergeCell ref="AV7402:AW7403"/>
    <mergeCell ref="AX7402:AY7403"/>
    <mergeCell ref="AZ7402:AZ7403"/>
    <mergeCell ref="F7403:H7403"/>
    <mergeCell ref="X7403:AB7403"/>
    <mergeCell ref="AE7403:AI7403"/>
    <mergeCell ref="AJ7403:AL7403"/>
    <mergeCell ref="AN7403:AO7403"/>
    <mergeCell ref="AP7403:AQ7403"/>
    <mergeCell ref="A7404:A7405"/>
    <mergeCell ref="E7404:E7405"/>
    <mergeCell ref="F7404:H7404"/>
    <mergeCell ref="J7404:J7405"/>
    <mergeCell ref="K7404:L7405"/>
    <mergeCell ref="M7404:N7405"/>
    <mergeCell ref="O7404:P7405"/>
    <mergeCell ref="Q7404:R7405"/>
    <mergeCell ref="S7404:T7405"/>
    <mergeCell ref="U7404:V7405"/>
    <mergeCell ref="W7404:W7405"/>
    <mergeCell ref="X7404:AB7404"/>
    <mergeCell ref="AD7404:AI7404"/>
    <mergeCell ref="AJ7404:AL7404"/>
    <mergeCell ref="AN7404:AO7404"/>
    <mergeCell ref="AP7404:AQ7404"/>
    <mergeCell ref="AR7404:AS7405"/>
    <mergeCell ref="AT7404:AU7405"/>
    <mergeCell ref="AV7404:AW7405"/>
    <mergeCell ref="AX7404:AY7405"/>
    <mergeCell ref="AZ7404:AZ7405"/>
    <mergeCell ref="F7405:H7405"/>
    <mergeCell ref="X7405:AB7405"/>
    <mergeCell ref="AE7405:AI7405"/>
    <mergeCell ref="AJ7405:AL7405"/>
    <mergeCell ref="AN7405:AO7405"/>
    <mergeCell ref="AP7405:AQ7405"/>
    <mergeCell ref="A7406:A7407"/>
    <mergeCell ref="E7406:E7407"/>
    <mergeCell ref="F7406:H7406"/>
    <mergeCell ref="J7406:J7407"/>
    <mergeCell ref="K7406:L7407"/>
    <mergeCell ref="M7406:N7407"/>
    <mergeCell ref="O7406:P7407"/>
    <mergeCell ref="Q7406:R7407"/>
    <mergeCell ref="S7406:T7407"/>
    <mergeCell ref="U7406:V7407"/>
    <mergeCell ref="W7406:W7407"/>
    <mergeCell ref="X7406:AB7406"/>
    <mergeCell ref="AD7406:AI7406"/>
    <mergeCell ref="AJ7406:AL7406"/>
    <mergeCell ref="AN7406:AO7406"/>
    <mergeCell ref="AP7406:AQ7406"/>
    <mergeCell ref="AR7406:AS7407"/>
    <mergeCell ref="AT7406:AU7407"/>
    <mergeCell ref="AV7406:AW7407"/>
    <mergeCell ref="AX7406:AY7407"/>
    <mergeCell ref="AZ7406:AZ7407"/>
    <mergeCell ref="F7407:H7407"/>
    <mergeCell ref="X7407:AB7407"/>
    <mergeCell ref="AE7407:AI7407"/>
    <mergeCell ref="AJ7407:AL7407"/>
    <mergeCell ref="AN7407:AO7407"/>
    <mergeCell ref="AP7407:AQ7407"/>
    <mergeCell ref="A7410:A7411"/>
    <mergeCell ref="E7410:E7411"/>
    <mergeCell ref="F7410:H7410"/>
    <mergeCell ref="J7410:J7411"/>
    <mergeCell ref="K7410:L7411"/>
    <mergeCell ref="M7410:N7411"/>
    <mergeCell ref="O7410:P7411"/>
    <mergeCell ref="Q7410:R7411"/>
    <mergeCell ref="S7410:T7411"/>
    <mergeCell ref="U7410:V7411"/>
    <mergeCell ref="W7410:W7411"/>
    <mergeCell ref="X7410:AB7410"/>
    <mergeCell ref="AD7410:AI7410"/>
    <mergeCell ref="AJ7410:AL7410"/>
    <mergeCell ref="AN7410:AO7410"/>
    <mergeCell ref="AP7410:AQ7410"/>
    <mergeCell ref="AR7410:AS7411"/>
    <mergeCell ref="AT7410:AU7411"/>
    <mergeCell ref="AV7410:AW7411"/>
    <mergeCell ref="AX7410:AY7411"/>
    <mergeCell ref="AZ7410:AZ7411"/>
    <mergeCell ref="F7411:H7411"/>
    <mergeCell ref="X7411:AB7411"/>
    <mergeCell ref="AE7411:AI7411"/>
    <mergeCell ref="AJ7411:AL7411"/>
    <mergeCell ref="AN7411:AO7411"/>
    <mergeCell ref="AP7411:AQ7411"/>
    <mergeCell ref="A7408:A7409"/>
    <mergeCell ref="E7408:E7409"/>
    <mergeCell ref="F7408:H7408"/>
    <mergeCell ref="J7408:J7409"/>
    <mergeCell ref="K7408:L7409"/>
    <mergeCell ref="M7408:N7409"/>
    <mergeCell ref="O7408:P7409"/>
    <mergeCell ref="Q7408:R7409"/>
    <mergeCell ref="S7408:T7409"/>
    <mergeCell ref="U7408:V7409"/>
    <mergeCell ref="A7412:A7413"/>
    <mergeCell ref="E7412:E7413"/>
    <mergeCell ref="F7412:H7412"/>
    <mergeCell ref="J7412:J7413"/>
    <mergeCell ref="K7412:L7413"/>
    <mergeCell ref="M7412:N7413"/>
    <mergeCell ref="O7412:P7413"/>
    <mergeCell ref="Q7412:R7413"/>
    <mergeCell ref="S7412:T7413"/>
    <mergeCell ref="U7412:V7413"/>
    <mergeCell ref="W7412:W7413"/>
    <mergeCell ref="X7412:AB7412"/>
    <mergeCell ref="AD7412:AI7412"/>
    <mergeCell ref="AJ7412:AL7412"/>
    <mergeCell ref="AN7412:AO7412"/>
    <mergeCell ref="AP7412:AQ7412"/>
    <mergeCell ref="AR7412:AS7413"/>
    <mergeCell ref="AT7412:AU7413"/>
    <mergeCell ref="AV7412:AW7413"/>
    <mergeCell ref="AX7412:AY7413"/>
    <mergeCell ref="AZ7412:AZ7413"/>
    <mergeCell ref="F7413:H7413"/>
    <mergeCell ref="X7413:AB7413"/>
    <mergeCell ref="AE7413:AI7413"/>
    <mergeCell ref="AJ7413:AL7413"/>
    <mergeCell ref="AN7413:AO7413"/>
    <mergeCell ref="AP7413:AQ7413"/>
    <mergeCell ref="A7414:A7415"/>
    <mergeCell ref="E7414:E7415"/>
    <mergeCell ref="F7414:H7414"/>
    <mergeCell ref="J7414:J7415"/>
    <mergeCell ref="K7414:L7415"/>
    <mergeCell ref="M7414:N7415"/>
    <mergeCell ref="O7414:P7415"/>
    <mergeCell ref="Q7414:R7415"/>
    <mergeCell ref="S7414:T7415"/>
    <mergeCell ref="U7414:V7415"/>
    <mergeCell ref="W7414:W7415"/>
    <mergeCell ref="X7414:AB7414"/>
    <mergeCell ref="AD7414:AI7414"/>
    <mergeCell ref="AJ7414:AL7414"/>
    <mergeCell ref="AN7414:AO7414"/>
    <mergeCell ref="AP7414:AQ7414"/>
    <mergeCell ref="AR7414:AS7415"/>
    <mergeCell ref="AT7414:AU7415"/>
    <mergeCell ref="AV7414:AW7415"/>
    <mergeCell ref="AX7414:AY7415"/>
    <mergeCell ref="AZ7414:AZ7415"/>
    <mergeCell ref="F7415:H7415"/>
    <mergeCell ref="X7415:AB7415"/>
    <mergeCell ref="AE7415:AI7415"/>
    <mergeCell ref="AJ7415:AL7415"/>
    <mergeCell ref="AN7415:AO7415"/>
    <mergeCell ref="AP7415:AQ7415"/>
    <mergeCell ref="A7416:A7417"/>
    <mergeCell ref="E7416:E7417"/>
    <mergeCell ref="F7416:H7416"/>
    <mergeCell ref="J7416:J7417"/>
    <mergeCell ref="K7416:L7417"/>
    <mergeCell ref="M7416:N7417"/>
    <mergeCell ref="O7416:P7417"/>
    <mergeCell ref="Q7416:R7417"/>
    <mergeCell ref="S7416:T7417"/>
    <mergeCell ref="U7416:V7417"/>
    <mergeCell ref="W7416:W7417"/>
    <mergeCell ref="X7416:AB7416"/>
    <mergeCell ref="AD7416:AI7416"/>
    <mergeCell ref="AJ7416:AL7416"/>
    <mergeCell ref="AN7416:AO7416"/>
    <mergeCell ref="AP7416:AQ7416"/>
    <mergeCell ref="AR7416:AS7417"/>
    <mergeCell ref="AT7416:AU7417"/>
    <mergeCell ref="AV7416:AW7417"/>
    <mergeCell ref="AX7416:AY7417"/>
    <mergeCell ref="AZ7416:AZ7417"/>
    <mergeCell ref="F7417:H7417"/>
    <mergeCell ref="X7417:AB7417"/>
    <mergeCell ref="AE7417:AI7417"/>
    <mergeCell ref="AJ7417:AL7417"/>
    <mergeCell ref="AN7417:AO7417"/>
    <mergeCell ref="AP7417:AQ7417"/>
    <mergeCell ref="A7418:A7419"/>
    <mergeCell ref="E7418:E7419"/>
    <mergeCell ref="F7418:H7418"/>
    <mergeCell ref="J7418:J7419"/>
    <mergeCell ref="K7418:L7419"/>
    <mergeCell ref="M7418:N7419"/>
    <mergeCell ref="O7418:P7419"/>
    <mergeCell ref="Q7418:R7419"/>
    <mergeCell ref="S7418:T7419"/>
    <mergeCell ref="U7418:V7419"/>
    <mergeCell ref="W7418:W7419"/>
    <mergeCell ref="X7418:AB7418"/>
    <mergeCell ref="AD7418:AI7418"/>
    <mergeCell ref="AJ7418:AL7418"/>
    <mergeCell ref="AN7418:AO7418"/>
    <mergeCell ref="AP7418:AQ7418"/>
    <mergeCell ref="AR7418:AS7419"/>
    <mergeCell ref="AT7418:AU7419"/>
    <mergeCell ref="AV7418:AW7419"/>
    <mergeCell ref="AX7418:AY7419"/>
    <mergeCell ref="AZ7418:AZ7419"/>
    <mergeCell ref="F7419:H7419"/>
    <mergeCell ref="X7419:AB7419"/>
    <mergeCell ref="AE7419:AI7419"/>
    <mergeCell ref="AJ7419:AL7419"/>
    <mergeCell ref="AN7419:AO7419"/>
    <mergeCell ref="AP7419:AQ7419"/>
    <mergeCell ref="A7420:A7421"/>
    <mergeCell ref="E7420:E7421"/>
    <mergeCell ref="F7420:H7420"/>
    <mergeCell ref="J7420:J7421"/>
    <mergeCell ref="K7420:L7421"/>
    <mergeCell ref="M7420:N7421"/>
    <mergeCell ref="O7420:P7421"/>
    <mergeCell ref="Q7420:R7421"/>
    <mergeCell ref="S7420:T7421"/>
    <mergeCell ref="U7420:V7421"/>
    <mergeCell ref="W7420:W7421"/>
    <mergeCell ref="X7420:AB7420"/>
    <mergeCell ref="AD7420:AI7420"/>
    <mergeCell ref="AJ7420:AL7420"/>
    <mergeCell ref="AN7420:AO7420"/>
    <mergeCell ref="AP7420:AQ7420"/>
    <mergeCell ref="AR7420:AS7421"/>
    <mergeCell ref="AT7420:AU7421"/>
    <mergeCell ref="AV7420:AW7421"/>
    <mergeCell ref="AX7420:AY7421"/>
    <mergeCell ref="AZ7420:AZ7421"/>
    <mergeCell ref="F7421:H7421"/>
    <mergeCell ref="X7421:AB7421"/>
    <mergeCell ref="AE7421:AI7421"/>
    <mergeCell ref="AJ7421:AL7421"/>
    <mergeCell ref="AN7421:AO7421"/>
    <mergeCell ref="AP7421:AQ7421"/>
    <mergeCell ref="A7422:A7423"/>
    <mergeCell ref="E7422:E7423"/>
    <mergeCell ref="F7422:H7422"/>
    <mergeCell ref="J7422:J7423"/>
    <mergeCell ref="K7422:L7423"/>
    <mergeCell ref="M7422:N7423"/>
    <mergeCell ref="O7422:P7423"/>
    <mergeCell ref="Q7422:R7423"/>
    <mergeCell ref="S7422:T7423"/>
    <mergeCell ref="U7422:V7423"/>
    <mergeCell ref="W7422:W7423"/>
    <mergeCell ref="X7422:AB7422"/>
    <mergeCell ref="AD7422:AI7422"/>
    <mergeCell ref="AJ7422:AL7422"/>
    <mergeCell ref="AN7422:AO7422"/>
    <mergeCell ref="AP7422:AQ7422"/>
    <mergeCell ref="AR7422:AS7423"/>
    <mergeCell ref="AT7422:AU7423"/>
    <mergeCell ref="AV7422:AW7423"/>
    <mergeCell ref="AX7422:AY7423"/>
    <mergeCell ref="AZ7422:AZ7423"/>
    <mergeCell ref="F7423:H7423"/>
    <mergeCell ref="X7423:AB7423"/>
    <mergeCell ref="AE7423:AI7423"/>
    <mergeCell ref="AJ7423:AL7423"/>
    <mergeCell ref="AN7423:AO7423"/>
    <mergeCell ref="AP7423:AQ7423"/>
    <mergeCell ref="A7424:A7425"/>
    <mergeCell ref="E7424:E7425"/>
    <mergeCell ref="F7424:H7424"/>
    <mergeCell ref="J7424:J7425"/>
    <mergeCell ref="K7424:L7425"/>
    <mergeCell ref="M7424:N7425"/>
    <mergeCell ref="O7424:P7425"/>
    <mergeCell ref="Q7424:R7425"/>
    <mergeCell ref="S7424:T7425"/>
    <mergeCell ref="U7424:V7425"/>
    <mergeCell ref="W7424:W7425"/>
    <mergeCell ref="X7424:AB7424"/>
    <mergeCell ref="AD7424:AI7424"/>
    <mergeCell ref="AJ7424:AL7424"/>
    <mergeCell ref="AN7424:AO7424"/>
    <mergeCell ref="AP7424:AQ7424"/>
    <mergeCell ref="AR7424:AS7425"/>
    <mergeCell ref="AT7424:AU7425"/>
    <mergeCell ref="AV7424:AW7425"/>
    <mergeCell ref="AX7424:AY7425"/>
    <mergeCell ref="AZ7424:AZ7425"/>
    <mergeCell ref="F7425:H7425"/>
    <mergeCell ref="X7425:AB7425"/>
    <mergeCell ref="AE7425:AI7425"/>
    <mergeCell ref="AJ7425:AL7425"/>
    <mergeCell ref="AN7425:AO7425"/>
    <mergeCell ref="AP7425:AQ7425"/>
    <mergeCell ref="A7426:A7427"/>
    <mergeCell ref="E7426:E7427"/>
    <mergeCell ref="F7426:H7426"/>
    <mergeCell ref="J7426:J7427"/>
    <mergeCell ref="K7426:L7427"/>
    <mergeCell ref="M7426:N7427"/>
    <mergeCell ref="O7426:P7427"/>
    <mergeCell ref="Q7426:R7427"/>
    <mergeCell ref="S7426:T7427"/>
    <mergeCell ref="U7426:V7427"/>
    <mergeCell ref="W7426:W7427"/>
    <mergeCell ref="X7426:AB7426"/>
    <mergeCell ref="AD7426:AI7426"/>
    <mergeCell ref="AJ7426:AL7426"/>
    <mergeCell ref="AN7426:AO7426"/>
    <mergeCell ref="AP7426:AQ7426"/>
    <mergeCell ref="AR7426:AS7427"/>
    <mergeCell ref="AT7426:AU7427"/>
    <mergeCell ref="AV7426:AW7427"/>
    <mergeCell ref="AX7426:AY7427"/>
    <mergeCell ref="AZ7426:AZ7427"/>
    <mergeCell ref="F7427:H7427"/>
    <mergeCell ref="X7427:AB7427"/>
    <mergeCell ref="AE7427:AI7427"/>
    <mergeCell ref="AJ7427:AL7427"/>
    <mergeCell ref="AN7427:AO7427"/>
    <mergeCell ref="AP7427:AQ7427"/>
    <mergeCell ref="A7428:A7429"/>
    <mergeCell ref="E7428:E7429"/>
    <mergeCell ref="F7428:H7428"/>
    <mergeCell ref="J7428:J7429"/>
    <mergeCell ref="K7428:L7429"/>
    <mergeCell ref="M7428:N7429"/>
    <mergeCell ref="O7428:P7429"/>
    <mergeCell ref="Q7428:R7429"/>
    <mergeCell ref="S7428:T7429"/>
    <mergeCell ref="U7428:V7429"/>
    <mergeCell ref="W7428:W7429"/>
    <mergeCell ref="X7428:AB7428"/>
    <mergeCell ref="AD7428:AI7428"/>
    <mergeCell ref="AJ7428:AL7428"/>
    <mergeCell ref="AN7428:AO7428"/>
    <mergeCell ref="AP7428:AQ7428"/>
    <mergeCell ref="AR7428:AS7429"/>
    <mergeCell ref="AT7428:AU7429"/>
    <mergeCell ref="AV7428:AW7429"/>
    <mergeCell ref="AX7428:AY7429"/>
    <mergeCell ref="AZ7428:AZ7429"/>
    <mergeCell ref="F7429:H7429"/>
    <mergeCell ref="X7429:AB7429"/>
    <mergeCell ref="AE7429:AI7429"/>
    <mergeCell ref="AJ7429:AL7429"/>
    <mergeCell ref="AN7429:AO7429"/>
    <mergeCell ref="AP7429:AQ7429"/>
    <mergeCell ref="A7430:A7431"/>
    <mergeCell ref="E7430:E7431"/>
    <mergeCell ref="F7430:H7430"/>
    <mergeCell ref="J7430:J7431"/>
    <mergeCell ref="K7430:L7431"/>
    <mergeCell ref="M7430:N7431"/>
    <mergeCell ref="O7430:P7431"/>
    <mergeCell ref="Q7430:R7431"/>
    <mergeCell ref="S7430:T7431"/>
    <mergeCell ref="U7430:V7431"/>
    <mergeCell ref="W7430:W7431"/>
    <mergeCell ref="X7430:AB7430"/>
    <mergeCell ref="AD7430:AI7430"/>
    <mergeCell ref="AJ7430:AL7430"/>
    <mergeCell ref="AN7430:AO7430"/>
    <mergeCell ref="AP7430:AQ7430"/>
    <mergeCell ref="AR7430:AS7431"/>
    <mergeCell ref="AT7430:AU7431"/>
    <mergeCell ref="AV7430:AW7431"/>
    <mergeCell ref="AX7430:AY7431"/>
    <mergeCell ref="AZ7430:AZ7431"/>
    <mergeCell ref="F7431:H7431"/>
    <mergeCell ref="X7431:AB7431"/>
    <mergeCell ref="AE7431:AI7431"/>
    <mergeCell ref="AJ7431:AL7431"/>
    <mergeCell ref="AN7431:AO7431"/>
    <mergeCell ref="AP7431:AQ7431"/>
    <mergeCell ref="A7432:A7433"/>
    <mergeCell ref="E7432:E7433"/>
    <mergeCell ref="F7432:H7432"/>
    <mergeCell ref="J7432:J7433"/>
    <mergeCell ref="K7432:L7433"/>
    <mergeCell ref="M7432:N7433"/>
    <mergeCell ref="O7432:P7433"/>
    <mergeCell ref="Q7432:R7433"/>
    <mergeCell ref="S7432:T7433"/>
    <mergeCell ref="U7432:V7433"/>
    <mergeCell ref="W7432:W7433"/>
    <mergeCell ref="X7432:AB7432"/>
    <mergeCell ref="AD7432:AI7432"/>
    <mergeCell ref="AJ7432:AL7432"/>
    <mergeCell ref="AN7432:AO7432"/>
    <mergeCell ref="AP7432:AQ7432"/>
    <mergeCell ref="AR7432:AS7433"/>
    <mergeCell ref="AT7432:AU7433"/>
    <mergeCell ref="AV7432:AW7433"/>
    <mergeCell ref="AX7432:AY7433"/>
    <mergeCell ref="AZ7432:AZ7433"/>
    <mergeCell ref="F7433:H7433"/>
    <mergeCell ref="X7433:AB7433"/>
    <mergeCell ref="AE7433:AI7433"/>
    <mergeCell ref="AJ7433:AL7433"/>
    <mergeCell ref="AN7433:AO7433"/>
    <mergeCell ref="AP7433:AQ7433"/>
    <mergeCell ref="A7434:A7435"/>
    <mergeCell ref="E7434:E7435"/>
    <mergeCell ref="F7434:H7434"/>
    <mergeCell ref="J7434:J7435"/>
    <mergeCell ref="K7434:L7435"/>
    <mergeCell ref="M7434:N7435"/>
    <mergeCell ref="O7434:P7435"/>
    <mergeCell ref="Q7434:R7435"/>
    <mergeCell ref="S7434:T7435"/>
    <mergeCell ref="U7434:V7435"/>
    <mergeCell ref="W7434:W7435"/>
    <mergeCell ref="X7434:AB7434"/>
    <mergeCell ref="AD7434:AI7434"/>
    <mergeCell ref="AJ7434:AL7434"/>
    <mergeCell ref="AN7434:AO7434"/>
    <mergeCell ref="AP7434:AQ7434"/>
    <mergeCell ref="AR7434:AS7435"/>
    <mergeCell ref="AT7434:AU7435"/>
    <mergeCell ref="AV7434:AW7435"/>
    <mergeCell ref="AX7434:AY7435"/>
    <mergeCell ref="AZ7434:AZ7435"/>
    <mergeCell ref="F7435:H7435"/>
    <mergeCell ref="X7435:AB7435"/>
    <mergeCell ref="AE7435:AI7435"/>
    <mergeCell ref="AJ7435:AL7435"/>
    <mergeCell ref="AN7435:AO7435"/>
    <mergeCell ref="AP7435:AQ7435"/>
    <mergeCell ref="A7436:A7437"/>
    <mergeCell ref="E7436:E7437"/>
    <mergeCell ref="F7436:H7436"/>
    <mergeCell ref="J7436:J7437"/>
    <mergeCell ref="K7436:L7437"/>
    <mergeCell ref="M7436:N7437"/>
    <mergeCell ref="O7436:P7437"/>
    <mergeCell ref="Q7436:R7437"/>
    <mergeCell ref="S7436:T7437"/>
    <mergeCell ref="U7436:V7437"/>
    <mergeCell ref="W7436:W7437"/>
    <mergeCell ref="X7436:AB7436"/>
    <mergeCell ref="AD7436:AI7436"/>
    <mergeCell ref="AJ7436:AL7436"/>
    <mergeCell ref="AN7436:AO7436"/>
    <mergeCell ref="AP7436:AQ7436"/>
    <mergeCell ref="AR7436:AS7437"/>
    <mergeCell ref="AT7436:AU7437"/>
    <mergeCell ref="AV7436:AW7437"/>
    <mergeCell ref="AX7436:AY7437"/>
    <mergeCell ref="AZ7436:AZ7437"/>
    <mergeCell ref="F7437:H7437"/>
    <mergeCell ref="X7437:AB7437"/>
    <mergeCell ref="AE7437:AI7437"/>
    <mergeCell ref="AJ7437:AL7437"/>
    <mergeCell ref="AN7437:AO7437"/>
    <mergeCell ref="AP7437:AQ7437"/>
    <mergeCell ref="A7438:A7439"/>
    <mergeCell ref="E7438:E7439"/>
    <mergeCell ref="F7438:H7438"/>
    <mergeCell ref="J7438:J7439"/>
    <mergeCell ref="K7438:L7439"/>
    <mergeCell ref="M7438:N7439"/>
    <mergeCell ref="O7438:P7439"/>
    <mergeCell ref="Q7438:R7439"/>
    <mergeCell ref="S7438:T7439"/>
    <mergeCell ref="U7438:V7439"/>
    <mergeCell ref="W7438:W7439"/>
    <mergeCell ref="X7438:AB7438"/>
    <mergeCell ref="AD7438:AI7438"/>
    <mergeCell ref="AJ7438:AL7438"/>
    <mergeCell ref="AN7438:AO7438"/>
    <mergeCell ref="AP7438:AQ7438"/>
    <mergeCell ref="AR7438:AS7439"/>
    <mergeCell ref="AT7438:AU7439"/>
    <mergeCell ref="AV7438:AW7439"/>
    <mergeCell ref="AX7438:AY7439"/>
    <mergeCell ref="AZ7438:AZ7439"/>
    <mergeCell ref="F7439:H7439"/>
    <mergeCell ref="X7439:AB7439"/>
    <mergeCell ref="AE7439:AI7439"/>
    <mergeCell ref="AJ7439:AL7439"/>
    <mergeCell ref="AN7439:AO7439"/>
    <mergeCell ref="AP7439:AQ7439"/>
    <mergeCell ref="A7440:A7441"/>
    <mergeCell ref="E7440:E7441"/>
    <mergeCell ref="F7440:H7440"/>
    <mergeCell ref="J7440:J7441"/>
    <mergeCell ref="K7440:L7441"/>
    <mergeCell ref="M7440:N7441"/>
    <mergeCell ref="O7440:P7441"/>
    <mergeCell ref="Q7440:R7441"/>
    <mergeCell ref="S7440:T7441"/>
    <mergeCell ref="U7440:V7441"/>
    <mergeCell ref="W7440:W7441"/>
    <mergeCell ref="X7440:AB7440"/>
    <mergeCell ref="AD7440:AI7440"/>
    <mergeCell ref="AJ7440:AL7440"/>
    <mergeCell ref="AN7440:AO7440"/>
    <mergeCell ref="AP7440:AQ7440"/>
    <mergeCell ref="AR7440:AS7441"/>
    <mergeCell ref="AT7440:AU7441"/>
    <mergeCell ref="AV7440:AW7441"/>
    <mergeCell ref="AX7440:AY7441"/>
    <mergeCell ref="AZ7440:AZ7441"/>
    <mergeCell ref="F7441:H7441"/>
    <mergeCell ref="X7441:AB7441"/>
    <mergeCell ref="AE7441:AI7441"/>
    <mergeCell ref="AJ7441:AL7441"/>
    <mergeCell ref="AN7441:AO7441"/>
    <mergeCell ref="AP7441:AQ7441"/>
    <mergeCell ref="A7442:A7443"/>
    <mergeCell ref="E7442:E7443"/>
    <mergeCell ref="F7442:H7442"/>
    <mergeCell ref="J7442:J7443"/>
    <mergeCell ref="K7442:L7443"/>
    <mergeCell ref="M7442:N7443"/>
    <mergeCell ref="O7442:P7443"/>
    <mergeCell ref="Q7442:R7443"/>
    <mergeCell ref="S7442:T7443"/>
    <mergeCell ref="U7442:V7443"/>
    <mergeCell ref="W7442:W7443"/>
    <mergeCell ref="X7442:AB7442"/>
    <mergeCell ref="AD7442:AI7442"/>
    <mergeCell ref="AJ7442:AL7442"/>
    <mergeCell ref="AN7442:AO7442"/>
    <mergeCell ref="AP7442:AQ7442"/>
    <mergeCell ref="AR7442:AS7443"/>
    <mergeCell ref="AT7442:AU7443"/>
    <mergeCell ref="AV7442:AW7443"/>
    <mergeCell ref="AX7442:AY7443"/>
    <mergeCell ref="AZ7442:AZ7443"/>
    <mergeCell ref="F7443:H7443"/>
    <mergeCell ref="X7443:AB7443"/>
    <mergeCell ref="AE7443:AI7443"/>
    <mergeCell ref="AJ7443:AL7443"/>
    <mergeCell ref="AN7443:AO7443"/>
    <mergeCell ref="AP7443:AQ7443"/>
    <mergeCell ref="A7444:A7445"/>
    <mergeCell ref="E7444:E7445"/>
    <mergeCell ref="F7444:H7444"/>
    <mergeCell ref="J7444:J7445"/>
    <mergeCell ref="K7444:L7445"/>
    <mergeCell ref="M7444:N7445"/>
    <mergeCell ref="O7444:P7445"/>
    <mergeCell ref="Q7444:R7445"/>
    <mergeCell ref="S7444:T7445"/>
    <mergeCell ref="U7444:V7445"/>
    <mergeCell ref="W7444:W7445"/>
    <mergeCell ref="X7444:AB7444"/>
    <mergeCell ref="AD7444:AI7444"/>
    <mergeCell ref="AJ7444:AL7444"/>
    <mergeCell ref="AN7444:AO7444"/>
    <mergeCell ref="AP7444:AQ7444"/>
    <mergeCell ref="AR7444:AS7445"/>
    <mergeCell ref="AT7444:AU7445"/>
    <mergeCell ref="AV7444:AW7445"/>
    <mergeCell ref="AX7444:AY7445"/>
    <mergeCell ref="AZ7444:AZ7445"/>
    <mergeCell ref="F7445:H7445"/>
    <mergeCell ref="X7445:AB7445"/>
    <mergeCell ref="AE7445:AI7445"/>
    <mergeCell ref="AJ7445:AL7445"/>
    <mergeCell ref="AN7445:AO7445"/>
    <mergeCell ref="AP7445:AQ7445"/>
    <mergeCell ref="A7446:A7447"/>
    <mergeCell ref="E7446:E7447"/>
    <mergeCell ref="F7446:H7446"/>
    <mergeCell ref="J7446:J7447"/>
    <mergeCell ref="K7446:L7447"/>
    <mergeCell ref="M7446:N7447"/>
    <mergeCell ref="O7446:P7447"/>
    <mergeCell ref="Q7446:R7447"/>
    <mergeCell ref="S7446:T7447"/>
    <mergeCell ref="U7446:V7447"/>
    <mergeCell ref="W7446:W7447"/>
    <mergeCell ref="X7446:AB7446"/>
    <mergeCell ref="AD7446:AI7446"/>
    <mergeCell ref="AJ7446:AL7446"/>
    <mergeCell ref="AN7446:AO7446"/>
    <mergeCell ref="AP7446:AQ7446"/>
    <mergeCell ref="AR7446:AS7447"/>
    <mergeCell ref="AT7446:AU7447"/>
    <mergeCell ref="AV7446:AW7447"/>
    <mergeCell ref="AX7446:AY7447"/>
    <mergeCell ref="AZ7446:AZ7447"/>
    <mergeCell ref="F7447:H7447"/>
    <mergeCell ref="X7447:AB7447"/>
    <mergeCell ref="AE7447:AI7447"/>
    <mergeCell ref="AJ7447:AL7447"/>
    <mergeCell ref="AN7447:AO7447"/>
    <mergeCell ref="AP7447:AQ7447"/>
    <mergeCell ref="A7448:A7449"/>
    <mergeCell ref="E7448:E7449"/>
    <mergeCell ref="F7448:H7448"/>
    <mergeCell ref="J7448:J7449"/>
    <mergeCell ref="K7448:L7449"/>
    <mergeCell ref="M7448:N7449"/>
    <mergeCell ref="O7448:P7449"/>
    <mergeCell ref="Q7448:R7449"/>
    <mergeCell ref="S7448:T7449"/>
    <mergeCell ref="U7448:V7449"/>
    <mergeCell ref="W7448:W7449"/>
    <mergeCell ref="X7448:AB7448"/>
    <mergeCell ref="AD7448:AI7448"/>
    <mergeCell ref="AJ7448:AL7448"/>
    <mergeCell ref="AN7448:AO7448"/>
    <mergeCell ref="AP7448:AQ7448"/>
    <mergeCell ref="AR7448:AS7449"/>
    <mergeCell ref="AT7448:AU7449"/>
    <mergeCell ref="AV7448:AW7449"/>
    <mergeCell ref="AX7448:AY7449"/>
    <mergeCell ref="AZ7448:AZ7449"/>
    <mergeCell ref="F7449:H7449"/>
    <mergeCell ref="X7449:AB7449"/>
    <mergeCell ref="AE7449:AI7449"/>
    <mergeCell ref="AJ7449:AL7449"/>
    <mergeCell ref="AN7449:AO7449"/>
    <mergeCell ref="AP7449:AQ7449"/>
    <mergeCell ref="A7450:A7451"/>
    <mergeCell ref="E7450:E7451"/>
    <mergeCell ref="F7450:H7450"/>
    <mergeCell ref="J7450:J7451"/>
    <mergeCell ref="K7450:L7451"/>
    <mergeCell ref="M7450:N7451"/>
    <mergeCell ref="O7450:P7451"/>
    <mergeCell ref="Q7450:R7451"/>
    <mergeCell ref="S7450:T7451"/>
    <mergeCell ref="U7450:V7451"/>
    <mergeCell ref="W7450:W7451"/>
    <mergeCell ref="X7450:AB7450"/>
    <mergeCell ref="AD7450:AI7450"/>
    <mergeCell ref="AJ7450:AL7450"/>
    <mergeCell ref="AN7450:AO7450"/>
    <mergeCell ref="AP7450:AQ7450"/>
    <mergeCell ref="AR7450:AS7451"/>
    <mergeCell ref="AT7450:AU7451"/>
    <mergeCell ref="AV7450:AW7451"/>
    <mergeCell ref="AX7450:AY7451"/>
    <mergeCell ref="AZ7450:AZ7451"/>
    <mergeCell ref="F7451:H7451"/>
    <mergeCell ref="X7451:AB7451"/>
    <mergeCell ref="AE7451:AI7451"/>
    <mergeCell ref="AJ7451:AL7451"/>
    <mergeCell ref="AN7451:AO7451"/>
    <mergeCell ref="AP7451:AQ7451"/>
    <mergeCell ref="A7452:A7453"/>
    <mergeCell ref="E7452:E7453"/>
    <mergeCell ref="F7452:H7452"/>
    <mergeCell ref="J7452:J7453"/>
    <mergeCell ref="K7452:L7453"/>
    <mergeCell ref="M7452:N7453"/>
    <mergeCell ref="O7452:P7453"/>
    <mergeCell ref="Q7452:R7453"/>
    <mergeCell ref="S7452:T7453"/>
    <mergeCell ref="U7452:V7453"/>
    <mergeCell ref="W7452:W7453"/>
    <mergeCell ref="X7452:AB7452"/>
    <mergeCell ref="AD7452:AI7452"/>
    <mergeCell ref="AJ7452:AL7452"/>
    <mergeCell ref="AN7452:AO7452"/>
    <mergeCell ref="AP7452:AQ7452"/>
    <mergeCell ref="AR7452:AS7453"/>
    <mergeCell ref="AT7452:AU7453"/>
    <mergeCell ref="AV7452:AW7453"/>
    <mergeCell ref="AX7452:AY7453"/>
    <mergeCell ref="AZ7452:AZ7453"/>
    <mergeCell ref="F7453:H7453"/>
    <mergeCell ref="X7453:AB7453"/>
    <mergeCell ref="AE7453:AI7453"/>
    <mergeCell ref="AJ7453:AL7453"/>
    <mergeCell ref="AN7453:AO7453"/>
    <mergeCell ref="AP7453:AQ7453"/>
    <mergeCell ref="A7454:A7455"/>
    <mergeCell ref="E7454:E7455"/>
    <mergeCell ref="F7454:H7454"/>
    <mergeCell ref="J7454:J7455"/>
    <mergeCell ref="K7454:L7455"/>
    <mergeCell ref="M7454:N7455"/>
    <mergeCell ref="O7454:P7455"/>
    <mergeCell ref="Q7454:R7455"/>
    <mergeCell ref="S7454:T7455"/>
    <mergeCell ref="U7454:V7455"/>
    <mergeCell ref="W7454:W7455"/>
    <mergeCell ref="X7454:AB7454"/>
    <mergeCell ref="AD7454:AI7454"/>
    <mergeCell ref="AJ7454:AL7454"/>
    <mergeCell ref="AN7454:AO7454"/>
    <mergeCell ref="AP7454:AQ7454"/>
    <mergeCell ref="AR7454:AS7455"/>
    <mergeCell ref="AT7454:AU7455"/>
    <mergeCell ref="AV7454:AW7455"/>
    <mergeCell ref="AX7454:AY7455"/>
    <mergeCell ref="AZ7454:AZ7455"/>
    <mergeCell ref="F7455:H7455"/>
    <mergeCell ref="X7455:AB7455"/>
    <mergeCell ref="AE7455:AI7455"/>
    <mergeCell ref="AJ7455:AL7455"/>
    <mergeCell ref="AN7455:AO7455"/>
    <mergeCell ref="AP7455:AQ7455"/>
    <mergeCell ref="A7456:A7457"/>
    <mergeCell ref="E7456:E7457"/>
    <mergeCell ref="F7456:H7456"/>
    <mergeCell ref="J7456:J7457"/>
    <mergeCell ref="K7456:L7457"/>
    <mergeCell ref="M7456:N7457"/>
    <mergeCell ref="O7456:P7457"/>
    <mergeCell ref="Q7456:R7457"/>
    <mergeCell ref="S7456:T7457"/>
    <mergeCell ref="U7456:V7457"/>
    <mergeCell ref="W7456:W7457"/>
    <mergeCell ref="X7456:AB7456"/>
    <mergeCell ref="AD7456:AI7456"/>
    <mergeCell ref="AJ7456:AL7456"/>
    <mergeCell ref="AN7456:AO7456"/>
    <mergeCell ref="AP7456:AQ7456"/>
    <mergeCell ref="AR7456:AS7457"/>
    <mergeCell ref="AT7456:AU7457"/>
    <mergeCell ref="AV7456:AW7457"/>
    <mergeCell ref="AX7456:AY7457"/>
    <mergeCell ref="AZ7456:AZ7457"/>
    <mergeCell ref="F7457:H7457"/>
    <mergeCell ref="X7457:AB7457"/>
    <mergeCell ref="AE7457:AI7457"/>
    <mergeCell ref="AJ7457:AL7457"/>
    <mergeCell ref="AN7457:AO7457"/>
    <mergeCell ref="AP7457:AQ7457"/>
    <mergeCell ref="A7458:A7459"/>
    <mergeCell ref="E7458:E7459"/>
    <mergeCell ref="F7458:H7458"/>
    <mergeCell ref="J7458:J7459"/>
    <mergeCell ref="K7458:L7459"/>
    <mergeCell ref="M7458:N7459"/>
    <mergeCell ref="O7458:P7459"/>
    <mergeCell ref="Q7458:R7459"/>
    <mergeCell ref="S7458:T7459"/>
    <mergeCell ref="U7458:V7459"/>
    <mergeCell ref="W7458:W7459"/>
    <mergeCell ref="X7458:AB7458"/>
    <mergeCell ref="AD7458:AI7458"/>
    <mergeCell ref="AJ7458:AL7458"/>
    <mergeCell ref="AN7458:AO7458"/>
    <mergeCell ref="AP7458:AQ7458"/>
    <mergeCell ref="AR7458:AS7459"/>
    <mergeCell ref="AT7458:AU7459"/>
    <mergeCell ref="AV7458:AW7459"/>
    <mergeCell ref="AX7458:AY7459"/>
    <mergeCell ref="AZ7458:AZ7459"/>
    <mergeCell ref="F7459:H7459"/>
    <mergeCell ref="X7459:AB7459"/>
    <mergeCell ref="AE7459:AI7459"/>
    <mergeCell ref="AJ7459:AL7459"/>
    <mergeCell ref="AN7459:AO7459"/>
    <mergeCell ref="AP7459:AQ7459"/>
    <mergeCell ref="A7460:A7461"/>
    <mergeCell ref="E7460:E7461"/>
    <mergeCell ref="F7460:H7460"/>
    <mergeCell ref="J7460:J7461"/>
    <mergeCell ref="K7460:L7461"/>
    <mergeCell ref="M7460:N7461"/>
    <mergeCell ref="O7460:P7461"/>
    <mergeCell ref="Q7460:R7461"/>
    <mergeCell ref="S7460:T7461"/>
    <mergeCell ref="U7460:V7461"/>
    <mergeCell ref="W7460:W7461"/>
    <mergeCell ref="X7460:AB7460"/>
    <mergeCell ref="AD7460:AI7460"/>
    <mergeCell ref="AJ7460:AL7460"/>
    <mergeCell ref="AN7460:AO7460"/>
    <mergeCell ref="AP7460:AQ7460"/>
    <mergeCell ref="AR7460:AS7461"/>
    <mergeCell ref="AT7460:AU7461"/>
    <mergeCell ref="AV7460:AW7461"/>
    <mergeCell ref="AX7460:AY7461"/>
    <mergeCell ref="AZ7460:AZ7461"/>
    <mergeCell ref="F7461:H7461"/>
    <mergeCell ref="X7461:AB7461"/>
    <mergeCell ref="AE7461:AI7461"/>
    <mergeCell ref="AJ7461:AL7461"/>
    <mergeCell ref="AN7461:AO7461"/>
    <mergeCell ref="AP7461:AQ7461"/>
    <mergeCell ref="A7462:A7463"/>
    <mergeCell ref="E7462:E7463"/>
    <mergeCell ref="F7462:H7462"/>
    <mergeCell ref="J7462:J7463"/>
    <mergeCell ref="K7462:L7463"/>
    <mergeCell ref="M7462:N7463"/>
    <mergeCell ref="O7462:P7463"/>
    <mergeCell ref="Q7462:R7463"/>
    <mergeCell ref="S7462:T7463"/>
    <mergeCell ref="U7462:V7463"/>
    <mergeCell ref="W7462:W7463"/>
    <mergeCell ref="X7462:AB7462"/>
    <mergeCell ref="AD7462:AI7462"/>
    <mergeCell ref="AJ7462:AL7462"/>
    <mergeCell ref="AN7462:AO7462"/>
    <mergeCell ref="AP7462:AQ7462"/>
    <mergeCell ref="AR7462:AS7463"/>
    <mergeCell ref="AT7462:AU7463"/>
    <mergeCell ref="AV7462:AW7463"/>
    <mergeCell ref="AX7462:AY7463"/>
    <mergeCell ref="AZ7462:AZ7463"/>
    <mergeCell ref="F7463:H7463"/>
    <mergeCell ref="X7463:AB7463"/>
    <mergeCell ref="AE7463:AI7463"/>
    <mergeCell ref="AJ7463:AL7463"/>
    <mergeCell ref="AN7463:AO7463"/>
    <mergeCell ref="AP7463:AQ7463"/>
    <mergeCell ref="A7464:A7465"/>
    <mergeCell ref="E7464:E7465"/>
    <mergeCell ref="F7464:H7464"/>
    <mergeCell ref="J7464:J7465"/>
    <mergeCell ref="K7464:L7465"/>
    <mergeCell ref="M7464:N7465"/>
    <mergeCell ref="O7464:P7465"/>
    <mergeCell ref="Q7464:R7465"/>
    <mergeCell ref="S7464:T7465"/>
    <mergeCell ref="U7464:V7465"/>
    <mergeCell ref="W7464:W7465"/>
    <mergeCell ref="X7464:AB7464"/>
    <mergeCell ref="AD7464:AI7464"/>
    <mergeCell ref="AJ7464:AL7464"/>
    <mergeCell ref="AN7464:AO7464"/>
    <mergeCell ref="AP7464:AQ7464"/>
    <mergeCell ref="AR7464:AS7465"/>
    <mergeCell ref="AT7464:AU7465"/>
    <mergeCell ref="AV7464:AW7465"/>
    <mergeCell ref="AX7464:AY7465"/>
    <mergeCell ref="AZ7464:AZ7465"/>
    <mergeCell ref="F7465:H7465"/>
    <mergeCell ref="X7465:AB7465"/>
    <mergeCell ref="AE7465:AI7465"/>
    <mergeCell ref="AJ7465:AL7465"/>
    <mergeCell ref="AN7465:AO7465"/>
    <mergeCell ref="AP7465:AQ7465"/>
    <mergeCell ref="A7466:A7467"/>
    <mergeCell ref="E7466:E7467"/>
    <mergeCell ref="F7466:H7466"/>
    <mergeCell ref="J7466:J7467"/>
    <mergeCell ref="K7466:L7467"/>
    <mergeCell ref="M7466:N7467"/>
    <mergeCell ref="O7466:P7467"/>
    <mergeCell ref="Q7466:R7467"/>
    <mergeCell ref="S7466:T7467"/>
    <mergeCell ref="U7466:V7467"/>
    <mergeCell ref="W7466:W7467"/>
    <mergeCell ref="X7466:AB7466"/>
    <mergeCell ref="AD7466:AI7466"/>
    <mergeCell ref="AJ7466:AL7466"/>
    <mergeCell ref="AN7466:AO7466"/>
    <mergeCell ref="AP7466:AQ7466"/>
    <mergeCell ref="AR7466:AS7467"/>
    <mergeCell ref="AT7466:AU7467"/>
    <mergeCell ref="AV7466:AW7467"/>
    <mergeCell ref="AX7466:AY7467"/>
    <mergeCell ref="AZ7466:AZ7467"/>
    <mergeCell ref="F7467:H7467"/>
    <mergeCell ref="X7467:AB7467"/>
    <mergeCell ref="AE7467:AI7467"/>
    <mergeCell ref="AJ7467:AL7467"/>
    <mergeCell ref="AN7467:AO7467"/>
    <mergeCell ref="AP7467:AQ7467"/>
    <mergeCell ref="A7468:A7469"/>
    <mergeCell ref="E7468:E7469"/>
    <mergeCell ref="F7468:H7468"/>
    <mergeCell ref="J7468:J7469"/>
    <mergeCell ref="K7468:L7469"/>
    <mergeCell ref="M7468:N7469"/>
    <mergeCell ref="O7468:P7469"/>
    <mergeCell ref="Q7468:R7469"/>
    <mergeCell ref="S7468:T7469"/>
    <mergeCell ref="U7468:V7469"/>
    <mergeCell ref="W7468:W7469"/>
    <mergeCell ref="X7468:AB7468"/>
    <mergeCell ref="AD7468:AI7468"/>
    <mergeCell ref="AJ7468:AL7468"/>
    <mergeCell ref="AN7468:AO7468"/>
    <mergeCell ref="AP7468:AQ7468"/>
    <mergeCell ref="AR7468:AS7469"/>
    <mergeCell ref="AT7468:AU7469"/>
    <mergeCell ref="AV7468:AW7469"/>
    <mergeCell ref="AX7468:AY7469"/>
    <mergeCell ref="AZ7468:AZ7469"/>
    <mergeCell ref="F7469:H7469"/>
    <mergeCell ref="X7469:AB7469"/>
    <mergeCell ref="AE7469:AI7469"/>
    <mergeCell ref="AJ7469:AL7469"/>
    <mergeCell ref="AN7469:AO7469"/>
    <mergeCell ref="AP7469:AQ7469"/>
    <mergeCell ref="A7470:A7471"/>
    <mergeCell ref="E7470:E7471"/>
    <mergeCell ref="F7470:H7470"/>
    <mergeCell ref="J7470:J7471"/>
    <mergeCell ref="K7470:L7471"/>
    <mergeCell ref="M7470:N7471"/>
    <mergeCell ref="O7470:P7471"/>
    <mergeCell ref="Q7470:R7471"/>
    <mergeCell ref="S7470:T7471"/>
    <mergeCell ref="U7470:V7471"/>
    <mergeCell ref="W7470:W7471"/>
    <mergeCell ref="X7470:AB7470"/>
    <mergeCell ref="AD7470:AI7470"/>
    <mergeCell ref="AJ7470:AL7470"/>
    <mergeCell ref="AN7470:AO7470"/>
    <mergeCell ref="AP7470:AQ7470"/>
    <mergeCell ref="AR7470:AS7471"/>
    <mergeCell ref="AT7470:AU7471"/>
    <mergeCell ref="AV7470:AW7471"/>
    <mergeCell ref="AX7470:AY7471"/>
    <mergeCell ref="AZ7470:AZ7471"/>
    <mergeCell ref="F7471:H7471"/>
    <mergeCell ref="X7471:AB7471"/>
    <mergeCell ref="AE7471:AI7471"/>
    <mergeCell ref="AJ7471:AL7471"/>
    <mergeCell ref="AN7471:AO7471"/>
    <mergeCell ref="AP7471:AQ7471"/>
    <mergeCell ref="A7472:A7473"/>
    <mergeCell ref="E7472:E7473"/>
    <mergeCell ref="F7472:H7472"/>
    <mergeCell ref="J7472:J7473"/>
    <mergeCell ref="K7472:L7473"/>
    <mergeCell ref="M7472:N7473"/>
    <mergeCell ref="O7472:P7473"/>
    <mergeCell ref="Q7472:R7473"/>
    <mergeCell ref="S7472:T7473"/>
    <mergeCell ref="U7472:V7473"/>
    <mergeCell ref="W7472:W7473"/>
    <mergeCell ref="X7472:AB7472"/>
    <mergeCell ref="AD7472:AI7472"/>
    <mergeCell ref="AJ7472:AL7472"/>
    <mergeCell ref="AN7472:AO7472"/>
    <mergeCell ref="AP7472:AQ7472"/>
    <mergeCell ref="AR7472:AS7473"/>
    <mergeCell ref="AT7472:AU7473"/>
    <mergeCell ref="AV7472:AW7473"/>
    <mergeCell ref="AX7472:AY7473"/>
    <mergeCell ref="AZ7472:AZ7473"/>
    <mergeCell ref="F7473:H7473"/>
    <mergeCell ref="X7473:AB7473"/>
    <mergeCell ref="AE7473:AI7473"/>
    <mergeCell ref="AJ7473:AL7473"/>
    <mergeCell ref="AN7473:AO7473"/>
    <mergeCell ref="AP7473:AQ7473"/>
    <mergeCell ref="A7474:A7475"/>
    <mergeCell ref="E7474:E7475"/>
    <mergeCell ref="F7474:H7474"/>
    <mergeCell ref="J7474:J7475"/>
    <mergeCell ref="K7474:L7475"/>
    <mergeCell ref="M7474:N7475"/>
    <mergeCell ref="O7474:P7475"/>
    <mergeCell ref="Q7474:R7475"/>
    <mergeCell ref="S7474:T7475"/>
    <mergeCell ref="U7474:V7475"/>
    <mergeCell ref="W7474:W7475"/>
    <mergeCell ref="X7474:AB7474"/>
    <mergeCell ref="AD7474:AI7474"/>
    <mergeCell ref="AJ7474:AL7474"/>
    <mergeCell ref="AN7474:AO7474"/>
    <mergeCell ref="AP7474:AQ7474"/>
    <mergeCell ref="AR7474:AS7475"/>
    <mergeCell ref="AT7474:AU7475"/>
    <mergeCell ref="AV7474:AW7475"/>
    <mergeCell ref="AX7474:AY7475"/>
    <mergeCell ref="AZ7474:AZ7475"/>
    <mergeCell ref="F7475:H7475"/>
    <mergeCell ref="X7475:AB7475"/>
    <mergeCell ref="AE7475:AI7475"/>
    <mergeCell ref="AJ7475:AL7475"/>
    <mergeCell ref="AN7475:AO7475"/>
    <mergeCell ref="AP7475:AQ7475"/>
    <mergeCell ref="J7476:J7477"/>
    <mergeCell ref="K7476:L7477"/>
    <mergeCell ref="M7476:N7477"/>
    <mergeCell ref="O7476:P7477"/>
    <mergeCell ref="Q7476:R7477"/>
    <mergeCell ref="S7476:T7477"/>
    <mergeCell ref="U7476:V7477"/>
    <mergeCell ref="W7476:W7477"/>
    <mergeCell ref="X7476:AB7476"/>
    <mergeCell ref="AD7476:AI7476"/>
    <mergeCell ref="AJ7476:AL7476"/>
    <mergeCell ref="AN7476:AO7476"/>
    <mergeCell ref="AP7476:AQ7476"/>
    <mergeCell ref="AR7476:AS7477"/>
    <mergeCell ref="AT7476:AU7477"/>
    <mergeCell ref="AV7476:AW7477"/>
    <mergeCell ref="AX7476:AY7477"/>
    <mergeCell ref="AZ7476:AZ7477"/>
    <mergeCell ref="F7477:H7477"/>
    <mergeCell ref="X7477:AB7477"/>
    <mergeCell ref="AE7477:AI7477"/>
    <mergeCell ref="AJ7477:AL7477"/>
    <mergeCell ref="AN7477:AO7477"/>
    <mergeCell ref="AP7477:AQ7477"/>
    <mergeCell ref="A7478:A7479"/>
    <mergeCell ref="E7478:E7479"/>
    <mergeCell ref="F7478:H7478"/>
    <mergeCell ref="J7478:J7479"/>
    <mergeCell ref="K7478:L7479"/>
    <mergeCell ref="M7478:N7479"/>
    <mergeCell ref="O7478:P7479"/>
    <mergeCell ref="Q7478:R7479"/>
    <mergeCell ref="S7478:T7479"/>
    <mergeCell ref="U7478:V7479"/>
    <mergeCell ref="W7478:W7479"/>
    <mergeCell ref="X7478:AB7478"/>
    <mergeCell ref="AD7478:AI7478"/>
    <mergeCell ref="AJ7478:AL7478"/>
    <mergeCell ref="AN7478:AO7478"/>
    <mergeCell ref="AP7478:AQ7478"/>
    <mergeCell ref="AR7478:AS7479"/>
    <mergeCell ref="AT7478:AU7479"/>
    <mergeCell ref="AV7478:AW7479"/>
    <mergeCell ref="AX7478:AY7479"/>
    <mergeCell ref="AZ7478:AZ7479"/>
    <mergeCell ref="F7479:H7479"/>
    <mergeCell ref="X7479:AB7479"/>
    <mergeCell ref="AE7479:AI7479"/>
    <mergeCell ref="AJ7479:AL7479"/>
    <mergeCell ref="AN7479:AO7479"/>
    <mergeCell ref="AP7479:AQ7479"/>
    <mergeCell ref="A7476:A7477"/>
    <mergeCell ref="E7476:E7477"/>
    <mergeCell ref="F7476:H7476"/>
    <mergeCell ref="W7196:W7197"/>
    <mergeCell ref="X7196:AB7196"/>
    <mergeCell ref="AD7196:AI7196"/>
    <mergeCell ref="AJ7196:AL7196"/>
    <mergeCell ref="AN7196:AO7196"/>
    <mergeCell ref="AP7196:AQ7196"/>
    <mergeCell ref="AR7196:AS7197"/>
    <mergeCell ref="AT7196:AU7197"/>
    <mergeCell ref="AV7196:AW7197"/>
    <mergeCell ref="AX7196:AY7197"/>
    <mergeCell ref="AZ7196:AZ7197"/>
    <mergeCell ref="F7197:H7197"/>
    <mergeCell ref="X7197:AB7197"/>
    <mergeCell ref="AE7197:AI7197"/>
    <mergeCell ref="AJ7197:AL7197"/>
    <mergeCell ref="AN7197:AO7197"/>
    <mergeCell ref="AP7197:AQ7197"/>
    <mergeCell ref="A7198:A7199"/>
    <mergeCell ref="E7198:E7199"/>
    <mergeCell ref="F7198:H7198"/>
    <mergeCell ref="J7198:J7199"/>
    <mergeCell ref="K7198:L7199"/>
    <mergeCell ref="M7198:N7199"/>
    <mergeCell ref="O7198:P7199"/>
    <mergeCell ref="Q7198:R7199"/>
    <mergeCell ref="S7198:T7199"/>
    <mergeCell ref="U7198:V7199"/>
    <mergeCell ref="W7198:W7199"/>
    <mergeCell ref="X7198:AB7198"/>
    <mergeCell ref="AD7198:AI7198"/>
    <mergeCell ref="AJ7198:AL7198"/>
    <mergeCell ref="AN7198:AO7198"/>
    <mergeCell ref="AP7198:AQ7198"/>
    <mergeCell ref="AR7198:AS7199"/>
    <mergeCell ref="AT7198:AU7199"/>
    <mergeCell ref="AV7198:AW7199"/>
    <mergeCell ref="AX7198:AY7199"/>
    <mergeCell ref="AZ7198:AZ7199"/>
    <mergeCell ref="F7199:H7199"/>
    <mergeCell ref="X7199:AB7199"/>
    <mergeCell ref="AE7199:AI7199"/>
    <mergeCell ref="AJ7199:AL7199"/>
    <mergeCell ref="AN7199:AO7199"/>
    <mergeCell ref="AP7199:AQ7199"/>
    <mergeCell ref="A7482:A7483"/>
    <mergeCell ref="E7482:E7483"/>
    <mergeCell ref="F7482:H7482"/>
    <mergeCell ref="J7482:J7483"/>
    <mergeCell ref="K7482:L7483"/>
    <mergeCell ref="M7482:N7483"/>
    <mergeCell ref="O7482:P7483"/>
    <mergeCell ref="Q7482:R7483"/>
    <mergeCell ref="S7482:T7483"/>
    <mergeCell ref="U7482:V7483"/>
    <mergeCell ref="W7482:W7483"/>
    <mergeCell ref="X7482:AB7482"/>
    <mergeCell ref="AD7482:AI7482"/>
    <mergeCell ref="AJ7482:AL7482"/>
    <mergeCell ref="AN7482:AO7482"/>
    <mergeCell ref="AP7482:AQ7482"/>
    <mergeCell ref="AR7482:AS7483"/>
    <mergeCell ref="AT7482:AU7483"/>
    <mergeCell ref="AV7482:AW7483"/>
    <mergeCell ref="AX7482:AY7483"/>
    <mergeCell ref="AZ7482:AZ7483"/>
    <mergeCell ref="F7483:H7483"/>
    <mergeCell ref="X7483:AB7483"/>
    <mergeCell ref="AE7483:AI7483"/>
    <mergeCell ref="AJ7483:AL7483"/>
    <mergeCell ref="AN7483:AO7483"/>
    <mergeCell ref="AP7483:AQ7483"/>
    <mergeCell ref="A7480:A7481"/>
    <mergeCell ref="E7480:E7481"/>
    <mergeCell ref="F7480:H7480"/>
    <mergeCell ref="J7480:J7481"/>
    <mergeCell ref="K7480:L7481"/>
    <mergeCell ref="M7480:N7481"/>
    <mergeCell ref="O7480:P7481"/>
    <mergeCell ref="Q7480:R7481"/>
    <mergeCell ref="S7480:T7481"/>
    <mergeCell ref="U7480:V7481"/>
    <mergeCell ref="W7480:W7481"/>
    <mergeCell ref="X7480:AB7480"/>
    <mergeCell ref="AD7480:AI7480"/>
    <mergeCell ref="AJ7480:AL7480"/>
    <mergeCell ref="AN7480:AO7480"/>
    <mergeCell ref="AP7480:AQ7480"/>
    <mergeCell ref="AR7480:AS7481"/>
    <mergeCell ref="AT7480:AU7481"/>
    <mergeCell ref="AV7480:AW7481"/>
    <mergeCell ref="AX7480:AY7481"/>
    <mergeCell ref="AZ7480:AZ7481"/>
    <mergeCell ref="F7481:H7481"/>
    <mergeCell ref="X7481:AB7481"/>
    <mergeCell ref="AE7481:AI7481"/>
    <mergeCell ref="AJ7481:AL7481"/>
    <mergeCell ref="AN7481:AO7481"/>
    <mergeCell ref="AP7481:AQ7481"/>
    <mergeCell ref="A7484:A7485"/>
    <mergeCell ref="E7484:E7485"/>
    <mergeCell ref="F7484:H7484"/>
    <mergeCell ref="J7484:J7485"/>
    <mergeCell ref="K7484:L7485"/>
    <mergeCell ref="M7484:N7485"/>
    <mergeCell ref="O7484:P7485"/>
    <mergeCell ref="Q7484:R7485"/>
    <mergeCell ref="S7484:T7485"/>
    <mergeCell ref="U7484:V7485"/>
    <mergeCell ref="W7484:W7485"/>
    <mergeCell ref="X7484:AB7484"/>
    <mergeCell ref="AD7484:AI7484"/>
    <mergeCell ref="AJ7484:AL7484"/>
    <mergeCell ref="AN7484:AO7484"/>
    <mergeCell ref="AP7484:AQ7484"/>
    <mergeCell ref="AR7484:AS7485"/>
    <mergeCell ref="AT7484:AU7485"/>
    <mergeCell ref="AV7484:AW7485"/>
    <mergeCell ref="AX7484:AY7485"/>
    <mergeCell ref="AZ7484:AZ7485"/>
    <mergeCell ref="F7485:H7485"/>
    <mergeCell ref="X7485:AB7485"/>
    <mergeCell ref="AE7485:AI7485"/>
    <mergeCell ref="AJ7485:AL7485"/>
    <mergeCell ref="AN7485:AO7485"/>
    <mergeCell ref="AP7485:AQ7485"/>
    <mergeCell ref="A7486:A7487"/>
    <mergeCell ref="E7486:E7487"/>
    <mergeCell ref="F7486:H7486"/>
    <mergeCell ref="J7486:J7487"/>
    <mergeCell ref="K7486:L7487"/>
    <mergeCell ref="M7486:N7487"/>
    <mergeCell ref="O7486:P7487"/>
    <mergeCell ref="Q7486:R7487"/>
    <mergeCell ref="S7486:T7487"/>
    <mergeCell ref="U7486:V7487"/>
    <mergeCell ref="W7486:W7487"/>
    <mergeCell ref="X7486:AB7486"/>
    <mergeCell ref="AD7486:AI7486"/>
    <mergeCell ref="AJ7486:AL7486"/>
    <mergeCell ref="AN7486:AO7486"/>
    <mergeCell ref="AP7486:AQ7486"/>
    <mergeCell ref="AR7486:AS7487"/>
    <mergeCell ref="AT7486:AU7487"/>
    <mergeCell ref="AV7486:AW7487"/>
    <mergeCell ref="AX7486:AY7487"/>
    <mergeCell ref="AZ7486:AZ7487"/>
    <mergeCell ref="F7487:H7487"/>
    <mergeCell ref="X7487:AB7487"/>
    <mergeCell ref="AE7487:AI7487"/>
    <mergeCell ref="AJ7487:AL7487"/>
    <mergeCell ref="AN7487:AO7487"/>
    <mergeCell ref="AP7487:AQ7487"/>
    <mergeCell ref="A7488:A7489"/>
    <mergeCell ref="E7488:E7489"/>
    <mergeCell ref="F7488:H7488"/>
    <mergeCell ref="J7488:J7489"/>
    <mergeCell ref="K7488:L7489"/>
    <mergeCell ref="M7488:N7489"/>
    <mergeCell ref="O7488:P7489"/>
    <mergeCell ref="Q7488:R7489"/>
    <mergeCell ref="S7488:T7489"/>
    <mergeCell ref="U7488:V7489"/>
    <mergeCell ref="W7488:W7489"/>
    <mergeCell ref="X7488:AB7488"/>
    <mergeCell ref="AD7488:AI7488"/>
    <mergeCell ref="AJ7488:AL7488"/>
    <mergeCell ref="AN7488:AO7488"/>
    <mergeCell ref="AP7488:AQ7488"/>
    <mergeCell ref="AR7488:AS7489"/>
    <mergeCell ref="AT7488:AU7489"/>
    <mergeCell ref="AV7488:AW7489"/>
    <mergeCell ref="AX7488:AY7489"/>
    <mergeCell ref="AZ7488:AZ7489"/>
    <mergeCell ref="F7489:H7489"/>
    <mergeCell ref="X7489:AB7489"/>
    <mergeCell ref="AE7489:AI7489"/>
    <mergeCell ref="AJ7489:AL7489"/>
    <mergeCell ref="AN7489:AO7489"/>
    <mergeCell ref="AP7489:AQ7489"/>
    <mergeCell ref="A7490:A7491"/>
    <mergeCell ref="E7490:E7491"/>
    <mergeCell ref="F7490:H7490"/>
    <mergeCell ref="J7490:J7491"/>
    <mergeCell ref="K7490:L7491"/>
    <mergeCell ref="M7490:N7491"/>
    <mergeCell ref="O7490:P7491"/>
    <mergeCell ref="Q7490:R7491"/>
    <mergeCell ref="S7490:T7491"/>
    <mergeCell ref="U7490:V7491"/>
    <mergeCell ref="W7490:W7491"/>
    <mergeCell ref="X7490:AB7490"/>
    <mergeCell ref="AD7490:AI7490"/>
    <mergeCell ref="AJ7490:AL7490"/>
    <mergeCell ref="AN7490:AO7490"/>
    <mergeCell ref="AP7490:AQ7490"/>
    <mergeCell ref="AR7490:AS7491"/>
    <mergeCell ref="AT7490:AU7491"/>
    <mergeCell ref="AV7490:AW7491"/>
    <mergeCell ref="AX7490:AY7491"/>
    <mergeCell ref="AZ7490:AZ7491"/>
    <mergeCell ref="F7491:H7491"/>
    <mergeCell ref="X7491:AB7491"/>
    <mergeCell ref="AE7491:AI7491"/>
    <mergeCell ref="AJ7491:AL7491"/>
    <mergeCell ref="AN7491:AO7491"/>
    <mergeCell ref="AP7491:AQ7491"/>
    <mergeCell ref="A7492:A7493"/>
    <mergeCell ref="E7492:E7493"/>
    <mergeCell ref="F7492:H7492"/>
    <mergeCell ref="J7492:J7493"/>
    <mergeCell ref="K7492:L7493"/>
    <mergeCell ref="M7492:N7493"/>
    <mergeCell ref="O7492:P7493"/>
    <mergeCell ref="Q7492:R7493"/>
    <mergeCell ref="S7492:T7493"/>
    <mergeCell ref="U7492:V7493"/>
    <mergeCell ref="W7492:W7493"/>
    <mergeCell ref="X7492:AB7492"/>
    <mergeCell ref="AD7492:AI7492"/>
    <mergeCell ref="AJ7492:AL7492"/>
    <mergeCell ref="AN7492:AO7492"/>
    <mergeCell ref="AP7492:AQ7492"/>
    <mergeCell ref="AR7492:AS7493"/>
    <mergeCell ref="AT7492:AU7493"/>
    <mergeCell ref="AV7492:AW7493"/>
    <mergeCell ref="AX7492:AY7493"/>
    <mergeCell ref="AZ7492:AZ7493"/>
    <mergeCell ref="F7493:H7493"/>
    <mergeCell ref="X7493:AB7493"/>
    <mergeCell ref="AE7493:AI7493"/>
    <mergeCell ref="AJ7493:AL7493"/>
    <mergeCell ref="AN7493:AO7493"/>
    <mergeCell ref="AP7493:AQ7493"/>
    <mergeCell ref="A7494:A7495"/>
    <mergeCell ref="E7494:E7495"/>
    <mergeCell ref="F7494:H7494"/>
    <mergeCell ref="J7494:J7495"/>
    <mergeCell ref="K7494:L7495"/>
    <mergeCell ref="M7494:N7495"/>
    <mergeCell ref="O7494:P7495"/>
    <mergeCell ref="Q7494:R7495"/>
    <mergeCell ref="S7494:T7495"/>
    <mergeCell ref="U7494:V7495"/>
    <mergeCell ref="W7494:W7495"/>
    <mergeCell ref="X7494:AB7494"/>
    <mergeCell ref="AD7494:AI7494"/>
    <mergeCell ref="AJ7494:AL7494"/>
    <mergeCell ref="AN7494:AO7494"/>
    <mergeCell ref="AP7494:AQ7494"/>
    <mergeCell ref="AR7494:AS7495"/>
    <mergeCell ref="AT7494:AU7495"/>
    <mergeCell ref="AV7494:AW7495"/>
    <mergeCell ref="AX7494:AY7495"/>
    <mergeCell ref="AZ7494:AZ7495"/>
    <mergeCell ref="F7495:H7495"/>
    <mergeCell ref="X7495:AB7495"/>
    <mergeCell ref="AE7495:AI7495"/>
    <mergeCell ref="AJ7495:AL7495"/>
    <mergeCell ref="AN7495:AO7495"/>
    <mergeCell ref="AP7495:AQ7495"/>
    <mergeCell ref="A7496:A7497"/>
    <mergeCell ref="E7496:E7497"/>
    <mergeCell ref="F7496:H7496"/>
    <mergeCell ref="J7496:J7497"/>
    <mergeCell ref="K7496:L7497"/>
    <mergeCell ref="M7496:N7497"/>
    <mergeCell ref="O7496:P7497"/>
    <mergeCell ref="Q7496:R7497"/>
    <mergeCell ref="S7496:T7497"/>
    <mergeCell ref="U7496:V7497"/>
    <mergeCell ref="W7496:W7497"/>
    <mergeCell ref="X7496:AB7496"/>
    <mergeCell ref="AD7496:AI7496"/>
    <mergeCell ref="AJ7496:AL7496"/>
    <mergeCell ref="AN7496:AO7496"/>
    <mergeCell ref="AP7496:AQ7496"/>
    <mergeCell ref="AR7496:AS7497"/>
    <mergeCell ref="AT7496:AU7497"/>
    <mergeCell ref="AV7496:AW7497"/>
    <mergeCell ref="AX7496:AY7497"/>
    <mergeCell ref="AZ7496:AZ7497"/>
    <mergeCell ref="F7497:H7497"/>
    <mergeCell ref="X7497:AB7497"/>
    <mergeCell ref="AE7497:AI7497"/>
    <mergeCell ref="AJ7497:AL7497"/>
    <mergeCell ref="AN7497:AO7497"/>
    <mergeCell ref="AP7497:AQ7497"/>
    <mergeCell ref="A7498:A7499"/>
    <mergeCell ref="E7498:E7499"/>
    <mergeCell ref="F7498:H7498"/>
    <mergeCell ref="J7498:J7499"/>
    <mergeCell ref="K7498:L7499"/>
    <mergeCell ref="M7498:N7499"/>
    <mergeCell ref="O7498:P7499"/>
    <mergeCell ref="Q7498:R7499"/>
    <mergeCell ref="S7498:T7499"/>
    <mergeCell ref="U7498:V7499"/>
    <mergeCell ref="W7498:W7499"/>
    <mergeCell ref="X7498:AB7498"/>
    <mergeCell ref="AD7498:AI7498"/>
    <mergeCell ref="AJ7498:AL7498"/>
    <mergeCell ref="AN7498:AO7498"/>
    <mergeCell ref="AP7498:AQ7498"/>
    <mergeCell ref="AR7498:AS7499"/>
    <mergeCell ref="AT7498:AU7499"/>
    <mergeCell ref="AV7498:AW7499"/>
    <mergeCell ref="AX7498:AY7499"/>
    <mergeCell ref="AZ7498:AZ7499"/>
    <mergeCell ref="F7499:H7499"/>
    <mergeCell ref="X7499:AB7499"/>
    <mergeCell ref="AE7499:AI7499"/>
    <mergeCell ref="AJ7499:AL7499"/>
    <mergeCell ref="AN7499:AO7499"/>
    <mergeCell ref="AP7499:AQ7499"/>
    <mergeCell ref="A7500:A7501"/>
    <mergeCell ref="E7500:E7501"/>
    <mergeCell ref="F7500:H7500"/>
    <mergeCell ref="J7500:J7501"/>
    <mergeCell ref="K7500:L7501"/>
    <mergeCell ref="M7500:N7501"/>
    <mergeCell ref="O7500:P7501"/>
    <mergeCell ref="Q7500:R7501"/>
    <mergeCell ref="S7500:T7501"/>
    <mergeCell ref="U7500:V7501"/>
    <mergeCell ref="W7500:W7501"/>
    <mergeCell ref="X7500:AB7500"/>
    <mergeCell ref="AD7500:AI7500"/>
    <mergeCell ref="AJ7500:AL7500"/>
    <mergeCell ref="AN7500:AO7500"/>
    <mergeCell ref="AP7500:AQ7500"/>
    <mergeCell ref="AR7500:AS7501"/>
    <mergeCell ref="AT7500:AU7501"/>
    <mergeCell ref="AV7500:AW7501"/>
    <mergeCell ref="AX7500:AY7501"/>
    <mergeCell ref="AZ7500:AZ7501"/>
    <mergeCell ref="F7501:H7501"/>
    <mergeCell ref="X7501:AB7501"/>
    <mergeCell ref="AE7501:AI7501"/>
    <mergeCell ref="AJ7501:AL7501"/>
    <mergeCell ref="AN7501:AO7501"/>
    <mergeCell ref="AP7501:AQ7501"/>
    <mergeCell ref="A7502:A7503"/>
    <mergeCell ref="E7502:E7503"/>
    <mergeCell ref="F7502:H7502"/>
    <mergeCell ref="J7502:J7503"/>
    <mergeCell ref="K7502:L7503"/>
    <mergeCell ref="M7502:N7503"/>
    <mergeCell ref="O7502:P7503"/>
    <mergeCell ref="Q7502:R7503"/>
    <mergeCell ref="S7502:T7503"/>
    <mergeCell ref="U7502:V7503"/>
    <mergeCell ref="W7502:W7503"/>
    <mergeCell ref="X7502:AB7502"/>
    <mergeCell ref="AD7502:AI7502"/>
    <mergeCell ref="AJ7502:AL7502"/>
    <mergeCell ref="AN7502:AO7502"/>
    <mergeCell ref="AP7502:AQ7502"/>
    <mergeCell ref="AR7502:AS7503"/>
    <mergeCell ref="AT7502:AU7503"/>
    <mergeCell ref="AV7502:AW7503"/>
    <mergeCell ref="AX7502:AY7503"/>
    <mergeCell ref="AZ7502:AZ7503"/>
    <mergeCell ref="F7503:H7503"/>
    <mergeCell ref="X7503:AB7503"/>
    <mergeCell ref="AE7503:AI7503"/>
    <mergeCell ref="AJ7503:AL7503"/>
    <mergeCell ref="AN7503:AO7503"/>
    <mergeCell ref="AP7503:AQ7503"/>
    <mergeCell ref="A7504:A7505"/>
    <mergeCell ref="E7504:E7505"/>
    <mergeCell ref="F7504:H7504"/>
    <mergeCell ref="J7504:J7505"/>
    <mergeCell ref="K7504:L7505"/>
    <mergeCell ref="M7504:N7505"/>
    <mergeCell ref="O7504:P7505"/>
    <mergeCell ref="Q7504:R7505"/>
    <mergeCell ref="S7504:T7505"/>
    <mergeCell ref="U7504:V7505"/>
    <mergeCell ref="W7504:W7505"/>
    <mergeCell ref="X7504:AB7504"/>
    <mergeCell ref="AD7504:AI7504"/>
    <mergeCell ref="AJ7504:AL7504"/>
    <mergeCell ref="AN7504:AO7504"/>
    <mergeCell ref="AP7504:AQ7504"/>
    <mergeCell ref="AR7504:AS7505"/>
    <mergeCell ref="AT7504:AU7505"/>
    <mergeCell ref="AV7504:AW7505"/>
    <mergeCell ref="AX7504:AY7505"/>
    <mergeCell ref="AZ7504:AZ7505"/>
    <mergeCell ref="F7505:H7505"/>
    <mergeCell ref="X7505:AB7505"/>
    <mergeCell ref="AE7505:AI7505"/>
    <mergeCell ref="AJ7505:AL7505"/>
    <mergeCell ref="AN7505:AO7505"/>
    <mergeCell ref="AP7505:AQ7505"/>
    <mergeCell ref="A7506:A7507"/>
    <mergeCell ref="E7506:E7507"/>
    <mergeCell ref="F7506:H7506"/>
    <mergeCell ref="J7506:J7507"/>
    <mergeCell ref="K7506:L7507"/>
    <mergeCell ref="M7506:N7507"/>
    <mergeCell ref="O7506:P7507"/>
    <mergeCell ref="Q7506:R7507"/>
    <mergeCell ref="S7506:T7507"/>
    <mergeCell ref="U7506:V7507"/>
    <mergeCell ref="W7506:W7507"/>
    <mergeCell ref="X7506:AB7506"/>
    <mergeCell ref="AD7506:AI7506"/>
    <mergeCell ref="AJ7506:AL7506"/>
    <mergeCell ref="AN7506:AO7506"/>
    <mergeCell ref="AP7506:AQ7506"/>
    <mergeCell ref="AR7506:AS7507"/>
    <mergeCell ref="AT7506:AU7507"/>
    <mergeCell ref="AV7506:AW7507"/>
    <mergeCell ref="AX7506:AY7507"/>
    <mergeCell ref="AZ7506:AZ7507"/>
    <mergeCell ref="F7507:H7507"/>
    <mergeCell ref="X7507:AB7507"/>
    <mergeCell ref="AE7507:AI7507"/>
    <mergeCell ref="AJ7507:AL7507"/>
    <mergeCell ref="AN7507:AO7507"/>
    <mergeCell ref="AP7507:AQ7507"/>
    <mergeCell ref="A7508:A7509"/>
    <mergeCell ref="E7508:E7509"/>
    <mergeCell ref="F7508:H7508"/>
    <mergeCell ref="J7508:J7509"/>
    <mergeCell ref="K7508:L7509"/>
    <mergeCell ref="M7508:N7509"/>
    <mergeCell ref="O7508:P7509"/>
    <mergeCell ref="Q7508:R7509"/>
    <mergeCell ref="S7508:T7509"/>
    <mergeCell ref="U7508:V7509"/>
    <mergeCell ref="W7508:W7509"/>
    <mergeCell ref="X7508:AB7508"/>
    <mergeCell ref="AD7508:AI7508"/>
    <mergeCell ref="AJ7508:AL7508"/>
    <mergeCell ref="AN7508:AO7508"/>
    <mergeCell ref="AP7508:AQ7508"/>
    <mergeCell ref="AR7508:AS7509"/>
    <mergeCell ref="AT7508:AU7509"/>
    <mergeCell ref="AV7508:AW7509"/>
    <mergeCell ref="AX7508:AY7509"/>
    <mergeCell ref="AZ7508:AZ7509"/>
    <mergeCell ref="F7509:H7509"/>
    <mergeCell ref="X7509:AB7509"/>
    <mergeCell ref="AE7509:AI7509"/>
    <mergeCell ref="AJ7509:AL7509"/>
    <mergeCell ref="AN7509:AO7509"/>
    <mergeCell ref="AP7509:AQ7509"/>
    <mergeCell ref="A7510:A7511"/>
    <mergeCell ref="E7510:E7511"/>
    <mergeCell ref="F7510:H7510"/>
    <mergeCell ref="J7510:J7511"/>
    <mergeCell ref="K7510:L7511"/>
    <mergeCell ref="M7510:N7511"/>
    <mergeCell ref="O7510:P7511"/>
    <mergeCell ref="Q7510:R7511"/>
    <mergeCell ref="S7510:T7511"/>
    <mergeCell ref="U7510:V7511"/>
    <mergeCell ref="W7510:W7511"/>
    <mergeCell ref="X7510:AB7510"/>
    <mergeCell ref="AD7510:AI7510"/>
    <mergeCell ref="AJ7510:AL7510"/>
    <mergeCell ref="AN7510:AO7510"/>
    <mergeCell ref="AP7510:AQ7510"/>
    <mergeCell ref="AR7510:AS7511"/>
    <mergeCell ref="AT7510:AU7511"/>
    <mergeCell ref="AV7510:AW7511"/>
    <mergeCell ref="AX7510:AY7511"/>
    <mergeCell ref="AZ7510:AZ7511"/>
    <mergeCell ref="F7511:H7511"/>
    <mergeCell ref="X7511:AB7511"/>
    <mergeCell ref="AE7511:AI7511"/>
    <mergeCell ref="AJ7511:AL7511"/>
    <mergeCell ref="AN7511:AO7511"/>
    <mergeCell ref="AP7511:AQ7511"/>
    <mergeCell ref="A7512:A7513"/>
    <mergeCell ref="E7512:E7513"/>
    <mergeCell ref="F7512:H7512"/>
    <mergeCell ref="J7512:J7513"/>
    <mergeCell ref="K7512:L7513"/>
    <mergeCell ref="M7512:N7513"/>
    <mergeCell ref="O7512:P7513"/>
    <mergeCell ref="Q7512:R7513"/>
    <mergeCell ref="S7512:T7513"/>
    <mergeCell ref="U7512:V7513"/>
    <mergeCell ref="W7512:W7513"/>
    <mergeCell ref="X7512:AB7512"/>
    <mergeCell ref="AD7512:AI7512"/>
    <mergeCell ref="AJ7512:AL7512"/>
    <mergeCell ref="AN7512:AO7512"/>
    <mergeCell ref="AP7512:AQ7512"/>
    <mergeCell ref="AR7512:AS7513"/>
    <mergeCell ref="AT7512:AU7513"/>
    <mergeCell ref="AV7512:AW7513"/>
    <mergeCell ref="AX7512:AY7513"/>
    <mergeCell ref="AZ7512:AZ7513"/>
    <mergeCell ref="F7513:H7513"/>
    <mergeCell ref="X7513:AB7513"/>
    <mergeCell ref="AE7513:AI7513"/>
    <mergeCell ref="AJ7513:AL7513"/>
    <mergeCell ref="AN7513:AO7513"/>
    <mergeCell ref="AP7513:AQ7513"/>
    <mergeCell ref="A7514:A7515"/>
    <mergeCell ref="E7514:E7515"/>
    <mergeCell ref="F7514:H7514"/>
    <mergeCell ref="J7514:J7515"/>
    <mergeCell ref="K7514:L7515"/>
    <mergeCell ref="M7514:N7515"/>
    <mergeCell ref="O7514:P7515"/>
    <mergeCell ref="Q7514:R7515"/>
    <mergeCell ref="S7514:T7515"/>
    <mergeCell ref="U7514:V7515"/>
    <mergeCell ref="W7514:W7515"/>
    <mergeCell ref="X7514:AB7514"/>
    <mergeCell ref="AD7514:AI7514"/>
    <mergeCell ref="AJ7514:AL7514"/>
    <mergeCell ref="AN7514:AO7514"/>
    <mergeCell ref="AP7514:AQ7514"/>
    <mergeCell ref="AR7514:AS7515"/>
    <mergeCell ref="AT7514:AU7515"/>
    <mergeCell ref="AV7514:AW7515"/>
    <mergeCell ref="AX7514:AY7515"/>
    <mergeCell ref="AZ7514:AZ7515"/>
    <mergeCell ref="F7515:H7515"/>
    <mergeCell ref="X7515:AB7515"/>
    <mergeCell ref="AE7515:AI7515"/>
    <mergeCell ref="AJ7515:AL7515"/>
    <mergeCell ref="AN7515:AO7515"/>
    <mergeCell ref="AP7515:AQ7515"/>
    <mergeCell ref="A7516:A7517"/>
    <mergeCell ref="E7516:E7517"/>
    <mergeCell ref="F7516:H7516"/>
    <mergeCell ref="J7516:J7517"/>
    <mergeCell ref="K7516:L7517"/>
    <mergeCell ref="M7516:N7517"/>
    <mergeCell ref="O7516:P7517"/>
    <mergeCell ref="Q7516:R7517"/>
    <mergeCell ref="S7516:T7517"/>
    <mergeCell ref="U7516:V7517"/>
    <mergeCell ref="W7516:W7517"/>
    <mergeCell ref="X7516:AB7516"/>
    <mergeCell ref="AD7516:AI7516"/>
    <mergeCell ref="AJ7516:AL7516"/>
    <mergeCell ref="AN7516:AO7516"/>
    <mergeCell ref="AP7516:AQ7516"/>
    <mergeCell ref="AR7516:AS7517"/>
    <mergeCell ref="AT7516:AU7517"/>
    <mergeCell ref="AV7516:AW7517"/>
    <mergeCell ref="AX7516:AY7517"/>
    <mergeCell ref="AZ7516:AZ7517"/>
    <mergeCell ref="F7517:H7517"/>
    <mergeCell ref="X7517:AB7517"/>
    <mergeCell ref="AE7517:AI7517"/>
    <mergeCell ref="AJ7517:AL7517"/>
    <mergeCell ref="AN7517:AO7517"/>
    <mergeCell ref="AP7517:AQ7517"/>
    <mergeCell ref="A7518:A7519"/>
    <mergeCell ref="E7518:E7519"/>
    <mergeCell ref="F7518:H7518"/>
    <mergeCell ref="J7518:J7519"/>
    <mergeCell ref="K7518:L7519"/>
    <mergeCell ref="M7518:N7519"/>
    <mergeCell ref="O7518:P7519"/>
    <mergeCell ref="Q7518:R7519"/>
    <mergeCell ref="S7518:T7519"/>
    <mergeCell ref="U7518:V7519"/>
    <mergeCell ref="W7518:W7519"/>
    <mergeCell ref="X7518:AB7518"/>
    <mergeCell ref="AD7518:AI7518"/>
    <mergeCell ref="AJ7518:AL7518"/>
    <mergeCell ref="AN7518:AO7518"/>
    <mergeCell ref="AP7518:AQ7518"/>
    <mergeCell ref="AR7518:AS7519"/>
    <mergeCell ref="AT7518:AU7519"/>
    <mergeCell ref="AV7518:AW7519"/>
    <mergeCell ref="AX7518:AY7519"/>
    <mergeCell ref="AZ7518:AZ7519"/>
    <mergeCell ref="F7519:H7519"/>
    <mergeCell ref="X7519:AB7519"/>
    <mergeCell ref="AE7519:AI7519"/>
    <mergeCell ref="AJ7519:AL7519"/>
    <mergeCell ref="AN7519:AO7519"/>
    <mergeCell ref="AP7519:AQ7519"/>
    <mergeCell ref="A7520:A7521"/>
    <mergeCell ref="E7520:E7521"/>
    <mergeCell ref="F7520:H7520"/>
    <mergeCell ref="J7520:J7521"/>
    <mergeCell ref="K7520:L7521"/>
    <mergeCell ref="M7520:N7521"/>
    <mergeCell ref="O7520:P7521"/>
    <mergeCell ref="Q7520:R7521"/>
    <mergeCell ref="S7520:T7521"/>
    <mergeCell ref="U7520:V7521"/>
    <mergeCell ref="W7520:W7521"/>
    <mergeCell ref="X7520:AB7520"/>
    <mergeCell ref="AD7520:AI7520"/>
    <mergeCell ref="AJ7520:AL7520"/>
    <mergeCell ref="AN7520:AO7520"/>
    <mergeCell ref="AP7520:AQ7520"/>
    <mergeCell ref="AR7520:AS7521"/>
    <mergeCell ref="AT7520:AU7521"/>
    <mergeCell ref="AV7520:AW7521"/>
    <mergeCell ref="AX7520:AY7521"/>
    <mergeCell ref="AZ7520:AZ7521"/>
    <mergeCell ref="F7521:H7521"/>
    <mergeCell ref="X7521:AB7521"/>
    <mergeCell ref="AE7521:AI7521"/>
    <mergeCell ref="AJ7521:AL7521"/>
    <mergeCell ref="AN7521:AO7521"/>
    <mergeCell ref="AP7521:AQ7521"/>
    <mergeCell ref="A7522:A7523"/>
    <mergeCell ref="E7522:E7523"/>
    <mergeCell ref="F7522:H7522"/>
    <mergeCell ref="J7522:J7523"/>
    <mergeCell ref="K7522:L7523"/>
    <mergeCell ref="M7522:N7523"/>
    <mergeCell ref="O7522:P7523"/>
    <mergeCell ref="Q7522:R7523"/>
    <mergeCell ref="S7522:T7523"/>
    <mergeCell ref="U7522:V7523"/>
    <mergeCell ref="W7522:W7523"/>
    <mergeCell ref="X7522:AB7522"/>
    <mergeCell ref="AD7522:AI7522"/>
    <mergeCell ref="AJ7522:AL7522"/>
    <mergeCell ref="AN7522:AO7522"/>
    <mergeCell ref="AP7522:AQ7522"/>
    <mergeCell ref="AR7522:AS7523"/>
    <mergeCell ref="AT7522:AU7523"/>
    <mergeCell ref="AV7522:AW7523"/>
    <mergeCell ref="AX7522:AY7523"/>
    <mergeCell ref="AZ7522:AZ7523"/>
    <mergeCell ref="F7523:H7523"/>
    <mergeCell ref="X7523:AB7523"/>
    <mergeCell ref="AE7523:AI7523"/>
    <mergeCell ref="AJ7523:AL7523"/>
    <mergeCell ref="AN7523:AO7523"/>
    <mergeCell ref="AP7523:AQ7523"/>
    <mergeCell ref="A7524:A7525"/>
    <mergeCell ref="E7524:E7525"/>
    <mergeCell ref="F7524:H7524"/>
    <mergeCell ref="J7524:J7525"/>
    <mergeCell ref="K7524:L7525"/>
    <mergeCell ref="M7524:N7525"/>
    <mergeCell ref="O7524:P7525"/>
    <mergeCell ref="Q7524:R7525"/>
    <mergeCell ref="S7524:T7525"/>
    <mergeCell ref="U7524:V7525"/>
    <mergeCell ref="W7524:W7525"/>
    <mergeCell ref="X7524:AB7524"/>
    <mergeCell ref="AD7524:AI7524"/>
    <mergeCell ref="AJ7524:AL7524"/>
    <mergeCell ref="AN7524:AO7524"/>
    <mergeCell ref="AP7524:AQ7524"/>
    <mergeCell ref="AR7524:AS7525"/>
    <mergeCell ref="AT7524:AU7525"/>
    <mergeCell ref="AV7524:AW7525"/>
    <mergeCell ref="AX7524:AY7525"/>
    <mergeCell ref="AZ7524:AZ7525"/>
    <mergeCell ref="F7525:H7525"/>
    <mergeCell ref="X7525:AB7525"/>
    <mergeCell ref="AE7525:AI7525"/>
    <mergeCell ref="AJ7525:AL7525"/>
    <mergeCell ref="AN7525:AO7525"/>
    <mergeCell ref="AP7525:AQ7525"/>
    <mergeCell ref="A7526:A7527"/>
    <mergeCell ref="E7526:E7527"/>
    <mergeCell ref="F7526:H7526"/>
    <mergeCell ref="J7526:J7527"/>
    <mergeCell ref="K7526:L7527"/>
    <mergeCell ref="M7526:N7527"/>
    <mergeCell ref="O7526:P7527"/>
    <mergeCell ref="Q7526:R7527"/>
    <mergeCell ref="S7526:T7527"/>
    <mergeCell ref="U7526:V7527"/>
    <mergeCell ref="W7526:W7527"/>
    <mergeCell ref="X7526:AB7526"/>
    <mergeCell ref="AD7526:AI7526"/>
    <mergeCell ref="AJ7526:AL7526"/>
    <mergeCell ref="AN7526:AO7526"/>
    <mergeCell ref="AP7526:AQ7526"/>
    <mergeCell ref="AR7526:AS7527"/>
    <mergeCell ref="AT7526:AU7527"/>
    <mergeCell ref="AV7526:AW7527"/>
    <mergeCell ref="AX7526:AY7527"/>
    <mergeCell ref="AZ7526:AZ7527"/>
    <mergeCell ref="F7527:H7527"/>
    <mergeCell ref="X7527:AB7527"/>
    <mergeCell ref="AE7527:AI7527"/>
    <mergeCell ref="AJ7527:AL7527"/>
    <mergeCell ref="AN7527:AO7527"/>
    <mergeCell ref="AP7527:AQ7527"/>
    <mergeCell ref="A7528:A7529"/>
    <mergeCell ref="E7528:E7529"/>
    <mergeCell ref="F7528:H7528"/>
    <mergeCell ref="J7528:J7529"/>
    <mergeCell ref="K7528:L7529"/>
    <mergeCell ref="M7528:N7529"/>
    <mergeCell ref="O7528:P7529"/>
    <mergeCell ref="Q7528:R7529"/>
    <mergeCell ref="S7528:T7529"/>
    <mergeCell ref="U7528:V7529"/>
    <mergeCell ref="W7528:W7529"/>
    <mergeCell ref="X7528:AB7528"/>
    <mergeCell ref="AD7528:AI7528"/>
    <mergeCell ref="AJ7528:AL7528"/>
    <mergeCell ref="AN7528:AO7528"/>
    <mergeCell ref="AP7528:AQ7528"/>
    <mergeCell ref="AR7528:AS7529"/>
    <mergeCell ref="AT7528:AU7529"/>
    <mergeCell ref="AV7528:AW7529"/>
    <mergeCell ref="AX7528:AY7529"/>
    <mergeCell ref="AZ7528:AZ7529"/>
    <mergeCell ref="F7529:H7529"/>
    <mergeCell ref="X7529:AB7529"/>
    <mergeCell ref="AE7529:AI7529"/>
    <mergeCell ref="AJ7529:AL7529"/>
    <mergeCell ref="AN7529:AO7529"/>
    <mergeCell ref="AP7529:AQ7529"/>
    <mergeCell ref="A7530:A7531"/>
    <mergeCell ref="E7530:E7531"/>
    <mergeCell ref="F7530:H7530"/>
    <mergeCell ref="J7530:J7531"/>
    <mergeCell ref="K7530:L7531"/>
    <mergeCell ref="M7530:N7531"/>
    <mergeCell ref="O7530:P7531"/>
    <mergeCell ref="Q7530:R7531"/>
    <mergeCell ref="S7530:T7531"/>
    <mergeCell ref="U7530:V7531"/>
    <mergeCell ref="W7530:W7531"/>
    <mergeCell ref="X7530:AB7530"/>
    <mergeCell ref="AD7530:AI7530"/>
    <mergeCell ref="AJ7530:AL7530"/>
    <mergeCell ref="AN7530:AO7530"/>
    <mergeCell ref="AP7530:AQ7530"/>
    <mergeCell ref="AR7530:AS7531"/>
    <mergeCell ref="AT7530:AU7531"/>
    <mergeCell ref="AV7530:AW7531"/>
    <mergeCell ref="AX7530:AY7531"/>
    <mergeCell ref="AZ7530:AZ7531"/>
    <mergeCell ref="F7531:H7531"/>
    <mergeCell ref="X7531:AB7531"/>
    <mergeCell ref="AE7531:AI7531"/>
    <mergeCell ref="AJ7531:AL7531"/>
    <mergeCell ref="AN7531:AO7531"/>
    <mergeCell ref="AP7531:AQ7531"/>
    <mergeCell ref="A7532:A7533"/>
    <mergeCell ref="E7532:E7533"/>
    <mergeCell ref="F7532:H7532"/>
    <mergeCell ref="J7532:J7533"/>
    <mergeCell ref="K7532:L7533"/>
    <mergeCell ref="M7532:N7533"/>
    <mergeCell ref="O7532:P7533"/>
    <mergeCell ref="Q7532:R7533"/>
    <mergeCell ref="S7532:T7533"/>
    <mergeCell ref="U7532:V7533"/>
    <mergeCell ref="W7532:W7533"/>
    <mergeCell ref="X7532:AB7532"/>
    <mergeCell ref="AD7532:AI7532"/>
    <mergeCell ref="AJ7532:AL7532"/>
    <mergeCell ref="AN7532:AO7532"/>
    <mergeCell ref="AP7532:AQ7532"/>
    <mergeCell ref="AR7532:AS7533"/>
    <mergeCell ref="AT7532:AU7533"/>
    <mergeCell ref="AV7532:AW7533"/>
    <mergeCell ref="AX7532:AY7533"/>
    <mergeCell ref="AZ7532:AZ7533"/>
    <mergeCell ref="F7533:H7533"/>
    <mergeCell ref="X7533:AB7533"/>
    <mergeCell ref="AE7533:AI7533"/>
    <mergeCell ref="AJ7533:AL7533"/>
    <mergeCell ref="AN7533:AO7533"/>
    <mergeCell ref="AP7533:AQ7533"/>
    <mergeCell ref="A7534:A7535"/>
    <mergeCell ref="E7534:E7535"/>
    <mergeCell ref="F7534:H7534"/>
    <mergeCell ref="J7534:J7535"/>
    <mergeCell ref="K7534:L7535"/>
    <mergeCell ref="M7534:N7535"/>
    <mergeCell ref="O7534:P7535"/>
    <mergeCell ref="Q7534:R7535"/>
    <mergeCell ref="S7534:T7535"/>
    <mergeCell ref="U7534:V7535"/>
    <mergeCell ref="W7534:W7535"/>
    <mergeCell ref="X7534:AB7534"/>
    <mergeCell ref="AD7534:AI7534"/>
    <mergeCell ref="AJ7534:AL7534"/>
    <mergeCell ref="AN7534:AO7534"/>
    <mergeCell ref="AP7534:AQ7534"/>
    <mergeCell ref="AR7534:AS7535"/>
    <mergeCell ref="AT7534:AU7535"/>
    <mergeCell ref="AV7534:AW7535"/>
    <mergeCell ref="AX7534:AY7535"/>
    <mergeCell ref="AZ7534:AZ7535"/>
    <mergeCell ref="F7535:H7535"/>
    <mergeCell ref="X7535:AB7535"/>
    <mergeCell ref="AE7535:AI7535"/>
    <mergeCell ref="AJ7535:AL7535"/>
    <mergeCell ref="AN7535:AO7535"/>
    <mergeCell ref="AP7535:AQ7535"/>
    <mergeCell ref="A7536:A7537"/>
    <mergeCell ref="E7536:E7537"/>
    <mergeCell ref="F7536:H7536"/>
    <mergeCell ref="J7536:J7537"/>
    <mergeCell ref="K7536:L7537"/>
    <mergeCell ref="M7536:N7537"/>
    <mergeCell ref="O7536:P7537"/>
    <mergeCell ref="Q7536:R7537"/>
    <mergeCell ref="S7536:T7537"/>
    <mergeCell ref="U7536:V7537"/>
    <mergeCell ref="W7536:W7537"/>
    <mergeCell ref="X7536:AB7536"/>
    <mergeCell ref="AD7536:AI7536"/>
    <mergeCell ref="AJ7536:AL7536"/>
    <mergeCell ref="AN7536:AO7536"/>
    <mergeCell ref="AP7536:AQ7536"/>
    <mergeCell ref="AR7536:AS7537"/>
    <mergeCell ref="AT7536:AU7537"/>
    <mergeCell ref="AV7536:AW7537"/>
    <mergeCell ref="AX7536:AY7537"/>
    <mergeCell ref="AZ7536:AZ7537"/>
    <mergeCell ref="F7537:H7537"/>
    <mergeCell ref="X7537:AB7537"/>
    <mergeCell ref="AE7537:AI7537"/>
    <mergeCell ref="AJ7537:AL7537"/>
    <mergeCell ref="AN7537:AO7537"/>
    <mergeCell ref="AP7537:AQ7537"/>
    <mergeCell ref="A7538:A7539"/>
    <mergeCell ref="E7538:E7539"/>
    <mergeCell ref="F7538:H7538"/>
    <mergeCell ref="J7538:J7539"/>
    <mergeCell ref="K7538:L7539"/>
    <mergeCell ref="M7538:N7539"/>
    <mergeCell ref="O7538:P7539"/>
    <mergeCell ref="Q7538:R7539"/>
    <mergeCell ref="S7538:T7539"/>
    <mergeCell ref="U7538:V7539"/>
    <mergeCell ref="W7538:W7539"/>
    <mergeCell ref="X7538:AB7538"/>
    <mergeCell ref="AD7538:AI7538"/>
    <mergeCell ref="AJ7538:AL7538"/>
    <mergeCell ref="AN7538:AO7538"/>
    <mergeCell ref="AP7538:AQ7538"/>
    <mergeCell ref="AR7538:AS7539"/>
    <mergeCell ref="AT7538:AU7539"/>
    <mergeCell ref="AV7538:AW7539"/>
    <mergeCell ref="AX7538:AY7539"/>
    <mergeCell ref="AZ7538:AZ7539"/>
    <mergeCell ref="F7539:H7539"/>
    <mergeCell ref="X7539:AB7539"/>
    <mergeCell ref="AE7539:AI7539"/>
    <mergeCell ref="AJ7539:AL7539"/>
    <mergeCell ref="AN7539:AO7539"/>
    <mergeCell ref="AP7539:AQ7539"/>
    <mergeCell ref="A7540:A7541"/>
    <mergeCell ref="E7540:E7541"/>
    <mergeCell ref="F7540:H7540"/>
    <mergeCell ref="J7540:J7541"/>
    <mergeCell ref="K7540:L7541"/>
    <mergeCell ref="M7540:N7541"/>
    <mergeCell ref="O7540:P7541"/>
    <mergeCell ref="Q7540:R7541"/>
    <mergeCell ref="S7540:T7541"/>
    <mergeCell ref="U7540:V7541"/>
    <mergeCell ref="W7540:W7541"/>
    <mergeCell ref="X7540:AB7540"/>
    <mergeCell ref="AD7540:AI7540"/>
    <mergeCell ref="AJ7540:AL7540"/>
    <mergeCell ref="AN7540:AO7540"/>
    <mergeCell ref="AP7540:AQ7540"/>
    <mergeCell ref="AR7540:AS7541"/>
    <mergeCell ref="AT7540:AU7541"/>
    <mergeCell ref="AV7540:AW7541"/>
    <mergeCell ref="AX7540:AY7541"/>
    <mergeCell ref="AZ7540:AZ7541"/>
    <mergeCell ref="F7541:H7541"/>
    <mergeCell ref="X7541:AB7541"/>
    <mergeCell ref="AE7541:AI7541"/>
    <mergeCell ref="AJ7541:AL7541"/>
    <mergeCell ref="AN7541:AO7541"/>
    <mergeCell ref="AP7541:AQ7541"/>
    <mergeCell ref="A7542:A7543"/>
    <mergeCell ref="E7542:E7543"/>
    <mergeCell ref="F7542:H7542"/>
    <mergeCell ref="J7542:J7543"/>
    <mergeCell ref="K7542:L7543"/>
    <mergeCell ref="M7542:N7543"/>
    <mergeCell ref="O7542:P7543"/>
    <mergeCell ref="Q7542:R7543"/>
    <mergeCell ref="S7542:T7543"/>
    <mergeCell ref="U7542:V7543"/>
    <mergeCell ref="W7542:W7543"/>
    <mergeCell ref="X7542:AB7542"/>
    <mergeCell ref="AD7542:AI7542"/>
    <mergeCell ref="AJ7542:AL7542"/>
    <mergeCell ref="AN7542:AO7542"/>
    <mergeCell ref="AP7542:AQ7542"/>
    <mergeCell ref="AR7542:AS7543"/>
    <mergeCell ref="AT7542:AU7543"/>
    <mergeCell ref="AV7542:AW7543"/>
    <mergeCell ref="AX7542:AY7543"/>
    <mergeCell ref="AZ7542:AZ7543"/>
    <mergeCell ref="F7543:H7543"/>
    <mergeCell ref="X7543:AB7543"/>
    <mergeCell ref="AE7543:AI7543"/>
    <mergeCell ref="AJ7543:AL7543"/>
    <mergeCell ref="AN7543:AO7543"/>
    <mergeCell ref="AP7543:AQ7543"/>
    <mergeCell ref="A7544:A7545"/>
    <mergeCell ref="E7544:E7545"/>
    <mergeCell ref="F7544:H7544"/>
    <mergeCell ref="J7544:J7545"/>
    <mergeCell ref="K7544:L7545"/>
    <mergeCell ref="M7544:N7545"/>
    <mergeCell ref="O7544:P7545"/>
    <mergeCell ref="Q7544:R7545"/>
    <mergeCell ref="S7544:T7545"/>
    <mergeCell ref="U7544:V7545"/>
    <mergeCell ref="W7544:W7545"/>
    <mergeCell ref="X7544:AB7544"/>
    <mergeCell ref="AD7544:AI7544"/>
    <mergeCell ref="AJ7544:AL7544"/>
    <mergeCell ref="AN7544:AO7544"/>
    <mergeCell ref="AP7544:AQ7544"/>
    <mergeCell ref="AR7544:AS7545"/>
    <mergeCell ref="AT7544:AU7545"/>
    <mergeCell ref="AV7544:AW7545"/>
    <mergeCell ref="AX7544:AY7545"/>
    <mergeCell ref="AZ7544:AZ7545"/>
    <mergeCell ref="F7545:H7545"/>
    <mergeCell ref="X7545:AB7545"/>
    <mergeCell ref="AE7545:AI7545"/>
    <mergeCell ref="AJ7545:AL7545"/>
    <mergeCell ref="AN7545:AO7545"/>
    <mergeCell ref="AP7545:AQ7545"/>
    <mergeCell ref="A7546:A7547"/>
    <mergeCell ref="E7546:E7547"/>
    <mergeCell ref="F7546:H7546"/>
    <mergeCell ref="J7546:J7547"/>
    <mergeCell ref="K7546:L7547"/>
    <mergeCell ref="M7546:N7547"/>
    <mergeCell ref="O7546:P7547"/>
    <mergeCell ref="Q7546:R7547"/>
    <mergeCell ref="S7546:T7547"/>
    <mergeCell ref="U7546:V7547"/>
    <mergeCell ref="W7546:W7547"/>
    <mergeCell ref="X7546:AB7546"/>
    <mergeCell ref="AD7546:AI7546"/>
    <mergeCell ref="AJ7546:AL7546"/>
    <mergeCell ref="AN7546:AO7546"/>
    <mergeCell ref="AP7546:AQ7546"/>
    <mergeCell ref="AR7546:AS7547"/>
    <mergeCell ref="AT7546:AU7547"/>
    <mergeCell ref="AV7546:AW7547"/>
    <mergeCell ref="AX7546:AY7547"/>
    <mergeCell ref="AZ7546:AZ7547"/>
    <mergeCell ref="F7547:H7547"/>
    <mergeCell ref="X7547:AB7547"/>
    <mergeCell ref="AE7547:AI7547"/>
    <mergeCell ref="AJ7547:AL7547"/>
    <mergeCell ref="AN7547:AO7547"/>
    <mergeCell ref="AP7547:AQ7547"/>
    <mergeCell ref="A7548:A7549"/>
    <mergeCell ref="E7548:E7549"/>
    <mergeCell ref="F7548:H7548"/>
    <mergeCell ref="J7548:J7549"/>
    <mergeCell ref="K7548:L7549"/>
    <mergeCell ref="M7548:N7549"/>
    <mergeCell ref="O7548:P7549"/>
    <mergeCell ref="Q7548:R7549"/>
    <mergeCell ref="S7548:T7549"/>
    <mergeCell ref="U7548:V7549"/>
    <mergeCell ref="W7548:W7549"/>
    <mergeCell ref="X7548:AB7548"/>
    <mergeCell ref="AD7548:AI7548"/>
    <mergeCell ref="AJ7548:AL7548"/>
    <mergeCell ref="AN7548:AO7548"/>
    <mergeCell ref="AP7548:AQ7548"/>
    <mergeCell ref="AR7548:AS7549"/>
    <mergeCell ref="AT7548:AU7549"/>
    <mergeCell ref="AV7548:AW7549"/>
    <mergeCell ref="AX7548:AY7549"/>
    <mergeCell ref="AZ7548:AZ7549"/>
    <mergeCell ref="F7549:H7549"/>
    <mergeCell ref="X7549:AB7549"/>
    <mergeCell ref="AE7549:AI7549"/>
    <mergeCell ref="AJ7549:AL7549"/>
    <mergeCell ref="AN7549:AO7549"/>
    <mergeCell ref="AP7549:AQ7549"/>
    <mergeCell ref="A7550:A7551"/>
    <mergeCell ref="E7550:E7551"/>
    <mergeCell ref="F7550:H7550"/>
    <mergeCell ref="J7550:J7551"/>
    <mergeCell ref="K7550:L7551"/>
    <mergeCell ref="M7550:N7551"/>
    <mergeCell ref="O7550:P7551"/>
    <mergeCell ref="Q7550:R7551"/>
    <mergeCell ref="S7550:T7551"/>
    <mergeCell ref="U7550:V7551"/>
    <mergeCell ref="W7550:W7551"/>
    <mergeCell ref="X7550:AB7550"/>
    <mergeCell ref="AD7550:AI7550"/>
    <mergeCell ref="AJ7550:AL7550"/>
    <mergeCell ref="AN7550:AO7550"/>
    <mergeCell ref="AP7550:AQ7550"/>
    <mergeCell ref="AR7550:AS7551"/>
    <mergeCell ref="AT7550:AU7551"/>
    <mergeCell ref="AV7550:AW7551"/>
    <mergeCell ref="AX7550:AY7551"/>
    <mergeCell ref="AZ7550:AZ7551"/>
    <mergeCell ref="F7551:H7551"/>
    <mergeCell ref="X7551:AB7551"/>
    <mergeCell ref="AE7551:AI7551"/>
    <mergeCell ref="AJ7551:AL7551"/>
    <mergeCell ref="AN7551:AO7551"/>
    <mergeCell ref="AP7551:AQ7551"/>
    <mergeCell ref="A7552:A7553"/>
    <mergeCell ref="E7552:E7553"/>
    <mergeCell ref="F7552:H7552"/>
    <mergeCell ref="J7552:J7553"/>
    <mergeCell ref="K7552:L7553"/>
    <mergeCell ref="M7552:N7553"/>
    <mergeCell ref="O7552:P7553"/>
    <mergeCell ref="Q7552:R7553"/>
    <mergeCell ref="S7552:T7553"/>
    <mergeCell ref="U7552:V7553"/>
    <mergeCell ref="W7552:W7553"/>
    <mergeCell ref="X7552:AB7552"/>
    <mergeCell ref="AD7552:AI7552"/>
    <mergeCell ref="AJ7552:AL7552"/>
    <mergeCell ref="AN7552:AO7552"/>
    <mergeCell ref="AP7552:AQ7552"/>
    <mergeCell ref="AR7552:AS7553"/>
    <mergeCell ref="AT7552:AU7553"/>
    <mergeCell ref="AV7552:AW7553"/>
    <mergeCell ref="AX7552:AY7553"/>
    <mergeCell ref="AZ7552:AZ7553"/>
    <mergeCell ref="F7553:H7553"/>
    <mergeCell ref="X7553:AB7553"/>
    <mergeCell ref="AE7553:AI7553"/>
    <mergeCell ref="AJ7553:AL7553"/>
    <mergeCell ref="AN7553:AO7553"/>
    <mergeCell ref="AP7553:AQ7553"/>
    <mergeCell ref="A7554:A7555"/>
    <mergeCell ref="E7554:E7555"/>
    <mergeCell ref="F7554:H7554"/>
    <mergeCell ref="J7554:J7555"/>
    <mergeCell ref="K7554:L7555"/>
    <mergeCell ref="M7554:N7555"/>
    <mergeCell ref="O7554:P7555"/>
    <mergeCell ref="Q7554:R7555"/>
    <mergeCell ref="S7554:T7555"/>
    <mergeCell ref="U7554:V7555"/>
    <mergeCell ref="W7554:W7555"/>
    <mergeCell ref="X7554:AB7554"/>
    <mergeCell ref="AD7554:AI7554"/>
    <mergeCell ref="AJ7554:AL7554"/>
    <mergeCell ref="AN7554:AO7554"/>
    <mergeCell ref="AP7554:AQ7554"/>
    <mergeCell ref="AR7554:AS7555"/>
    <mergeCell ref="AT7554:AU7555"/>
    <mergeCell ref="AV7554:AW7555"/>
    <mergeCell ref="AX7554:AY7555"/>
    <mergeCell ref="AZ7554:AZ7555"/>
    <mergeCell ref="F7555:H7555"/>
    <mergeCell ref="X7555:AB7555"/>
    <mergeCell ref="AE7555:AI7555"/>
    <mergeCell ref="AJ7555:AL7555"/>
    <mergeCell ref="AN7555:AO7555"/>
    <mergeCell ref="AP7555:AQ7555"/>
    <mergeCell ref="A7556:A7557"/>
    <mergeCell ref="E7556:E7557"/>
    <mergeCell ref="F7556:H7556"/>
    <mergeCell ref="J7556:J7557"/>
    <mergeCell ref="K7556:L7557"/>
    <mergeCell ref="M7556:N7557"/>
    <mergeCell ref="O7556:P7557"/>
    <mergeCell ref="Q7556:R7557"/>
    <mergeCell ref="S7556:T7557"/>
    <mergeCell ref="U7556:V7557"/>
    <mergeCell ref="W7556:W7557"/>
    <mergeCell ref="X7556:AB7556"/>
    <mergeCell ref="AD7556:AI7556"/>
    <mergeCell ref="AJ7556:AL7556"/>
    <mergeCell ref="AN7556:AO7556"/>
    <mergeCell ref="AP7556:AQ7556"/>
    <mergeCell ref="AR7556:AS7557"/>
    <mergeCell ref="AT7556:AU7557"/>
    <mergeCell ref="AV7556:AW7557"/>
    <mergeCell ref="AX7556:AY7557"/>
    <mergeCell ref="AZ7556:AZ7557"/>
    <mergeCell ref="F7557:H7557"/>
    <mergeCell ref="X7557:AB7557"/>
    <mergeCell ref="AE7557:AI7557"/>
    <mergeCell ref="AJ7557:AL7557"/>
    <mergeCell ref="AN7557:AO7557"/>
    <mergeCell ref="AP7557:AQ7557"/>
    <mergeCell ref="A7558:A7559"/>
    <mergeCell ref="E7558:E7559"/>
    <mergeCell ref="F7558:H7558"/>
    <mergeCell ref="J7558:J7559"/>
    <mergeCell ref="K7558:L7559"/>
    <mergeCell ref="M7558:N7559"/>
    <mergeCell ref="O7558:P7559"/>
    <mergeCell ref="Q7558:R7559"/>
    <mergeCell ref="S7558:T7559"/>
    <mergeCell ref="U7558:V7559"/>
    <mergeCell ref="W7558:W7559"/>
    <mergeCell ref="X7558:AB7558"/>
    <mergeCell ref="AD7558:AI7558"/>
    <mergeCell ref="AJ7558:AL7558"/>
    <mergeCell ref="AN7558:AO7558"/>
    <mergeCell ref="AP7558:AQ7558"/>
    <mergeCell ref="AR7558:AS7559"/>
    <mergeCell ref="AT7558:AU7559"/>
    <mergeCell ref="AV7558:AW7559"/>
    <mergeCell ref="AX7558:AY7559"/>
    <mergeCell ref="AZ7558:AZ7559"/>
    <mergeCell ref="F7559:H7559"/>
    <mergeCell ref="X7559:AB7559"/>
    <mergeCell ref="AE7559:AI7559"/>
    <mergeCell ref="AJ7559:AL7559"/>
    <mergeCell ref="AN7559:AO7559"/>
    <mergeCell ref="AP7559:AQ7559"/>
    <mergeCell ref="A7560:A7561"/>
    <mergeCell ref="E7560:E7561"/>
    <mergeCell ref="F7560:H7560"/>
    <mergeCell ref="J7560:J7561"/>
    <mergeCell ref="K7560:L7561"/>
    <mergeCell ref="M7560:N7561"/>
    <mergeCell ref="O7560:P7561"/>
    <mergeCell ref="Q7560:R7561"/>
    <mergeCell ref="S7560:T7561"/>
    <mergeCell ref="U7560:V7561"/>
    <mergeCell ref="W7560:W7561"/>
    <mergeCell ref="X7560:AB7560"/>
    <mergeCell ref="AD7560:AI7560"/>
    <mergeCell ref="AJ7560:AL7560"/>
    <mergeCell ref="AN7560:AO7560"/>
    <mergeCell ref="AP7560:AQ7560"/>
    <mergeCell ref="AR7560:AS7561"/>
    <mergeCell ref="AT7560:AU7561"/>
    <mergeCell ref="AV7560:AW7561"/>
    <mergeCell ref="AX7560:AY7561"/>
    <mergeCell ref="AZ7560:AZ7561"/>
    <mergeCell ref="F7561:H7561"/>
    <mergeCell ref="X7561:AB7561"/>
    <mergeCell ref="AE7561:AI7561"/>
    <mergeCell ref="AJ7561:AL7561"/>
    <mergeCell ref="AN7561:AO7561"/>
    <mergeCell ref="AP7561:AQ7561"/>
    <mergeCell ref="A7562:A7563"/>
    <mergeCell ref="E7562:E7563"/>
    <mergeCell ref="F7562:H7562"/>
    <mergeCell ref="J7562:J7563"/>
    <mergeCell ref="K7562:L7563"/>
    <mergeCell ref="M7562:N7563"/>
    <mergeCell ref="O7562:P7563"/>
    <mergeCell ref="Q7562:R7563"/>
    <mergeCell ref="S7562:T7563"/>
    <mergeCell ref="U7562:V7563"/>
    <mergeCell ref="W7562:W7563"/>
    <mergeCell ref="X7562:AB7562"/>
    <mergeCell ref="AD7562:AI7562"/>
    <mergeCell ref="AJ7562:AL7562"/>
    <mergeCell ref="AN7562:AO7562"/>
    <mergeCell ref="AP7562:AQ7562"/>
    <mergeCell ref="AR7562:AS7563"/>
    <mergeCell ref="AT7562:AU7563"/>
    <mergeCell ref="AV7562:AW7563"/>
    <mergeCell ref="AX7562:AY7563"/>
    <mergeCell ref="AZ7562:AZ7563"/>
    <mergeCell ref="F7563:H7563"/>
    <mergeCell ref="X7563:AB7563"/>
    <mergeCell ref="AE7563:AI7563"/>
    <mergeCell ref="AJ7563:AL7563"/>
    <mergeCell ref="AN7563:AO7563"/>
    <mergeCell ref="AP7563:AQ7563"/>
    <mergeCell ref="A7564:A7565"/>
    <mergeCell ref="E7564:E7565"/>
    <mergeCell ref="F7564:H7564"/>
    <mergeCell ref="J7564:J7565"/>
    <mergeCell ref="K7564:L7565"/>
    <mergeCell ref="M7564:N7565"/>
    <mergeCell ref="O7564:P7565"/>
    <mergeCell ref="Q7564:R7565"/>
    <mergeCell ref="S7564:T7565"/>
    <mergeCell ref="U7564:V7565"/>
    <mergeCell ref="W7564:W7565"/>
    <mergeCell ref="X7564:AB7564"/>
    <mergeCell ref="AD7564:AI7564"/>
    <mergeCell ref="AJ7564:AL7564"/>
    <mergeCell ref="AN7564:AO7564"/>
    <mergeCell ref="AP7564:AQ7564"/>
    <mergeCell ref="AR7564:AS7565"/>
    <mergeCell ref="AT7564:AU7565"/>
    <mergeCell ref="AV7564:AW7565"/>
    <mergeCell ref="AX7564:AY7565"/>
    <mergeCell ref="AZ7564:AZ7565"/>
    <mergeCell ref="F7565:H7565"/>
    <mergeCell ref="X7565:AB7565"/>
    <mergeCell ref="AE7565:AI7565"/>
    <mergeCell ref="AJ7565:AL7565"/>
    <mergeCell ref="AN7565:AO7565"/>
    <mergeCell ref="AP7565:AQ7565"/>
    <mergeCell ref="A7566:A7567"/>
    <mergeCell ref="E7566:E7567"/>
    <mergeCell ref="F7566:H7566"/>
    <mergeCell ref="J7566:J7567"/>
    <mergeCell ref="K7566:L7567"/>
    <mergeCell ref="M7566:N7567"/>
    <mergeCell ref="O7566:P7567"/>
    <mergeCell ref="Q7566:R7567"/>
    <mergeCell ref="S7566:T7567"/>
    <mergeCell ref="U7566:V7567"/>
    <mergeCell ref="W7566:W7567"/>
    <mergeCell ref="X7566:AB7566"/>
    <mergeCell ref="AD7566:AI7566"/>
    <mergeCell ref="AJ7566:AL7566"/>
    <mergeCell ref="AN7566:AO7566"/>
    <mergeCell ref="AP7566:AQ7566"/>
    <mergeCell ref="AR7566:AS7567"/>
    <mergeCell ref="AT7566:AU7567"/>
    <mergeCell ref="AV7566:AW7567"/>
    <mergeCell ref="AX7566:AY7567"/>
    <mergeCell ref="AZ7566:AZ7567"/>
    <mergeCell ref="F7567:H7567"/>
    <mergeCell ref="X7567:AB7567"/>
    <mergeCell ref="AE7567:AI7567"/>
    <mergeCell ref="AJ7567:AL7567"/>
    <mergeCell ref="AN7567:AO7567"/>
    <mergeCell ref="AP7567:AQ7567"/>
    <mergeCell ref="A7568:A7569"/>
    <mergeCell ref="E7568:E7569"/>
    <mergeCell ref="F7568:H7568"/>
    <mergeCell ref="J7568:J7569"/>
    <mergeCell ref="K7568:L7569"/>
    <mergeCell ref="M7568:N7569"/>
    <mergeCell ref="O7568:P7569"/>
    <mergeCell ref="Q7568:R7569"/>
    <mergeCell ref="S7568:T7569"/>
    <mergeCell ref="U7568:V7569"/>
    <mergeCell ref="W7568:W7569"/>
    <mergeCell ref="X7568:AB7568"/>
    <mergeCell ref="AD7568:AI7568"/>
    <mergeCell ref="AJ7568:AL7568"/>
    <mergeCell ref="AN7568:AO7568"/>
    <mergeCell ref="AP7568:AQ7568"/>
    <mergeCell ref="AR7568:AS7569"/>
    <mergeCell ref="AT7568:AU7569"/>
    <mergeCell ref="AV7568:AW7569"/>
    <mergeCell ref="AX7568:AY7569"/>
    <mergeCell ref="AZ7568:AZ7569"/>
    <mergeCell ref="F7569:H7569"/>
    <mergeCell ref="X7569:AB7569"/>
    <mergeCell ref="AE7569:AI7569"/>
    <mergeCell ref="AJ7569:AL7569"/>
    <mergeCell ref="AN7569:AO7569"/>
    <mergeCell ref="AP7569:AQ7569"/>
    <mergeCell ref="A7570:A7571"/>
    <mergeCell ref="E7570:E7571"/>
    <mergeCell ref="F7570:H7570"/>
    <mergeCell ref="J7570:J7571"/>
    <mergeCell ref="K7570:L7571"/>
    <mergeCell ref="M7570:N7571"/>
    <mergeCell ref="O7570:P7571"/>
    <mergeCell ref="Q7570:R7571"/>
    <mergeCell ref="S7570:T7571"/>
    <mergeCell ref="U7570:V7571"/>
    <mergeCell ref="W7570:W7571"/>
    <mergeCell ref="X7570:AB7570"/>
    <mergeCell ref="AD7570:AI7570"/>
    <mergeCell ref="AJ7570:AL7570"/>
    <mergeCell ref="AN7570:AO7570"/>
    <mergeCell ref="AP7570:AQ7570"/>
    <mergeCell ref="AR7570:AS7571"/>
    <mergeCell ref="AT7570:AU7571"/>
    <mergeCell ref="AV7570:AW7571"/>
    <mergeCell ref="AX7570:AY7571"/>
    <mergeCell ref="AZ7570:AZ7571"/>
    <mergeCell ref="F7571:H7571"/>
    <mergeCell ref="X7571:AB7571"/>
    <mergeCell ref="AE7571:AI7571"/>
    <mergeCell ref="AJ7571:AL7571"/>
    <mergeCell ref="AN7571:AO7571"/>
    <mergeCell ref="AP7571:AQ7571"/>
    <mergeCell ref="A7572:A7573"/>
    <mergeCell ref="E7572:E7573"/>
    <mergeCell ref="F7572:H7572"/>
    <mergeCell ref="J7572:J7573"/>
    <mergeCell ref="K7572:L7573"/>
    <mergeCell ref="M7572:N7573"/>
    <mergeCell ref="O7572:P7573"/>
    <mergeCell ref="Q7572:R7573"/>
    <mergeCell ref="S7572:T7573"/>
    <mergeCell ref="U7572:V7573"/>
    <mergeCell ref="W7572:W7573"/>
    <mergeCell ref="X7572:AB7572"/>
    <mergeCell ref="AD7572:AI7572"/>
    <mergeCell ref="AJ7572:AL7572"/>
    <mergeCell ref="AN7572:AO7572"/>
    <mergeCell ref="AP7572:AQ7572"/>
    <mergeCell ref="AR7572:AS7573"/>
    <mergeCell ref="AT7572:AU7573"/>
    <mergeCell ref="AV7572:AW7573"/>
    <mergeCell ref="AX7572:AY7573"/>
    <mergeCell ref="AZ7572:AZ7573"/>
    <mergeCell ref="F7573:H7573"/>
    <mergeCell ref="X7573:AB7573"/>
    <mergeCell ref="AE7573:AI7573"/>
    <mergeCell ref="AJ7573:AL7573"/>
    <mergeCell ref="AN7573:AO7573"/>
    <mergeCell ref="AP7573:AQ7573"/>
    <mergeCell ref="A7574:A7575"/>
    <mergeCell ref="E7574:E7575"/>
    <mergeCell ref="F7574:H7574"/>
    <mergeCell ref="J7574:J7575"/>
    <mergeCell ref="K7574:L7575"/>
    <mergeCell ref="M7574:N7575"/>
    <mergeCell ref="O7574:P7575"/>
    <mergeCell ref="Q7574:R7575"/>
    <mergeCell ref="S7574:T7575"/>
    <mergeCell ref="U7574:V7575"/>
    <mergeCell ref="W7574:W7575"/>
    <mergeCell ref="X7574:AB7574"/>
    <mergeCell ref="AD7574:AI7574"/>
    <mergeCell ref="AJ7574:AL7574"/>
    <mergeCell ref="AN7574:AO7574"/>
    <mergeCell ref="AP7574:AQ7574"/>
    <mergeCell ref="AR7574:AS7575"/>
    <mergeCell ref="AT7574:AU7575"/>
    <mergeCell ref="AV7574:AW7575"/>
    <mergeCell ref="AX7574:AY7575"/>
    <mergeCell ref="AZ7574:AZ7575"/>
    <mergeCell ref="F7575:H7575"/>
    <mergeCell ref="X7575:AB7575"/>
    <mergeCell ref="AE7575:AI7575"/>
    <mergeCell ref="AJ7575:AL7575"/>
    <mergeCell ref="AN7575:AO7575"/>
    <mergeCell ref="AP7575:AQ7575"/>
    <mergeCell ref="A7576:A7577"/>
    <mergeCell ref="E7576:E7577"/>
    <mergeCell ref="F7576:H7576"/>
    <mergeCell ref="J7576:J7577"/>
    <mergeCell ref="K7576:L7577"/>
    <mergeCell ref="M7576:N7577"/>
    <mergeCell ref="O7576:P7577"/>
    <mergeCell ref="Q7576:R7577"/>
    <mergeCell ref="S7576:T7577"/>
    <mergeCell ref="U7576:V7577"/>
    <mergeCell ref="W7576:W7577"/>
    <mergeCell ref="X7576:AB7576"/>
    <mergeCell ref="AD7576:AI7576"/>
    <mergeCell ref="AJ7576:AL7576"/>
    <mergeCell ref="AN7576:AO7576"/>
    <mergeCell ref="AP7576:AQ7576"/>
    <mergeCell ref="AR7576:AS7577"/>
    <mergeCell ref="AT7576:AU7577"/>
    <mergeCell ref="AV7576:AW7577"/>
    <mergeCell ref="AX7576:AY7577"/>
    <mergeCell ref="AZ7576:AZ7577"/>
    <mergeCell ref="F7577:H7577"/>
    <mergeCell ref="X7577:AB7577"/>
    <mergeCell ref="AE7577:AI7577"/>
    <mergeCell ref="AJ7577:AL7577"/>
    <mergeCell ref="AN7577:AO7577"/>
    <mergeCell ref="AP7577:AQ7577"/>
    <mergeCell ref="A7578:A7579"/>
    <mergeCell ref="E7578:E7579"/>
    <mergeCell ref="F7578:H7578"/>
    <mergeCell ref="J7578:J7579"/>
    <mergeCell ref="K7578:L7579"/>
    <mergeCell ref="M7578:N7579"/>
    <mergeCell ref="O7578:P7579"/>
    <mergeCell ref="Q7578:R7579"/>
    <mergeCell ref="S7578:T7579"/>
    <mergeCell ref="U7578:V7579"/>
    <mergeCell ref="W7578:W7579"/>
    <mergeCell ref="X7578:AB7578"/>
    <mergeCell ref="AD7578:AI7578"/>
    <mergeCell ref="AJ7578:AL7578"/>
    <mergeCell ref="AN7578:AO7578"/>
    <mergeCell ref="AP7578:AQ7578"/>
    <mergeCell ref="AR7578:AS7579"/>
    <mergeCell ref="AT7578:AU7579"/>
    <mergeCell ref="AV7578:AW7579"/>
    <mergeCell ref="AX7578:AY7579"/>
    <mergeCell ref="AZ7578:AZ7579"/>
    <mergeCell ref="F7579:H7579"/>
    <mergeCell ref="X7579:AB7579"/>
    <mergeCell ref="AE7579:AI7579"/>
    <mergeCell ref="AJ7579:AL7579"/>
    <mergeCell ref="AN7579:AO7579"/>
    <mergeCell ref="AP7579:AQ7579"/>
    <mergeCell ref="A7580:A7581"/>
    <mergeCell ref="E7580:E7581"/>
    <mergeCell ref="F7580:H7580"/>
    <mergeCell ref="J7580:J7581"/>
    <mergeCell ref="K7580:L7581"/>
    <mergeCell ref="M7580:N7581"/>
    <mergeCell ref="O7580:P7581"/>
    <mergeCell ref="Q7580:R7581"/>
    <mergeCell ref="S7580:T7581"/>
    <mergeCell ref="U7580:V7581"/>
    <mergeCell ref="W7580:W7581"/>
    <mergeCell ref="X7580:AB7580"/>
    <mergeCell ref="AD7580:AI7580"/>
    <mergeCell ref="AJ7580:AL7580"/>
    <mergeCell ref="AN7580:AO7580"/>
    <mergeCell ref="AP7580:AQ7580"/>
    <mergeCell ref="AR7580:AS7581"/>
    <mergeCell ref="AT7580:AU7581"/>
    <mergeCell ref="AV7580:AW7581"/>
    <mergeCell ref="AX7580:AY7581"/>
    <mergeCell ref="AZ7580:AZ7581"/>
    <mergeCell ref="F7581:H7581"/>
    <mergeCell ref="X7581:AB7581"/>
    <mergeCell ref="AE7581:AI7581"/>
    <mergeCell ref="AJ7581:AL7581"/>
    <mergeCell ref="AN7581:AO7581"/>
    <mergeCell ref="AP7581:AQ7581"/>
    <mergeCell ref="A7582:A7583"/>
    <mergeCell ref="E7582:E7583"/>
    <mergeCell ref="F7582:H7582"/>
    <mergeCell ref="J7582:J7583"/>
    <mergeCell ref="K7582:L7583"/>
    <mergeCell ref="M7582:N7583"/>
    <mergeCell ref="O7582:P7583"/>
    <mergeCell ref="Q7582:R7583"/>
    <mergeCell ref="S7582:T7583"/>
    <mergeCell ref="U7582:V7583"/>
    <mergeCell ref="W7582:W7583"/>
    <mergeCell ref="X7582:AB7582"/>
    <mergeCell ref="AD7582:AI7582"/>
    <mergeCell ref="AJ7582:AL7582"/>
    <mergeCell ref="AN7582:AO7582"/>
    <mergeCell ref="AP7582:AQ7582"/>
    <mergeCell ref="AR7582:AS7583"/>
    <mergeCell ref="AT7582:AU7583"/>
    <mergeCell ref="AV7582:AW7583"/>
    <mergeCell ref="AX7582:AY7583"/>
    <mergeCell ref="AZ7582:AZ7583"/>
    <mergeCell ref="F7583:H7583"/>
    <mergeCell ref="X7583:AB7583"/>
    <mergeCell ref="AE7583:AI7583"/>
    <mergeCell ref="AJ7583:AL7583"/>
    <mergeCell ref="AN7583:AO7583"/>
    <mergeCell ref="AP7583:AQ7583"/>
    <mergeCell ref="A7584:A7585"/>
    <mergeCell ref="E7584:E7585"/>
    <mergeCell ref="F7584:H7584"/>
    <mergeCell ref="J7584:J7585"/>
    <mergeCell ref="K7584:L7585"/>
    <mergeCell ref="M7584:N7585"/>
    <mergeCell ref="O7584:P7585"/>
    <mergeCell ref="Q7584:R7585"/>
    <mergeCell ref="S7584:T7585"/>
    <mergeCell ref="U7584:V7585"/>
    <mergeCell ref="W7584:W7585"/>
    <mergeCell ref="X7584:AB7584"/>
    <mergeCell ref="AD7584:AI7584"/>
    <mergeCell ref="AJ7584:AL7584"/>
    <mergeCell ref="AN7584:AO7584"/>
    <mergeCell ref="AP7584:AQ7584"/>
    <mergeCell ref="AR7584:AS7585"/>
    <mergeCell ref="AT7584:AU7585"/>
    <mergeCell ref="AV7584:AW7585"/>
    <mergeCell ref="AX7584:AY7585"/>
    <mergeCell ref="AZ7584:AZ7585"/>
    <mergeCell ref="F7585:H7585"/>
    <mergeCell ref="X7585:AB7585"/>
    <mergeCell ref="AE7585:AI7585"/>
    <mergeCell ref="AJ7585:AL7585"/>
    <mergeCell ref="AN7585:AO7585"/>
    <mergeCell ref="AP7585:AQ7585"/>
    <mergeCell ref="A7586:A7587"/>
    <mergeCell ref="E7586:E7587"/>
    <mergeCell ref="F7586:H7586"/>
    <mergeCell ref="J7586:J7587"/>
    <mergeCell ref="K7586:L7587"/>
    <mergeCell ref="M7586:N7587"/>
    <mergeCell ref="O7586:P7587"/>
    <mergeCell ref="Q7586:R7587"/>
    <mergeCell ref="S7586:T7587"/>
    <mergeCell ref="U7586:V7587"/>
    <mergeCell ref="W7586:W7587"/>
    <mergeCell ref="X7586:AB7586"/>
    <mergeCell ref="AD7586:AI7586"/>
    <mergeCell ref="AJ7586:AL7586"/>
    <mergeCell ref="AN7586:AO7586"/>
    <mergeCell ref="AP7586:AQ7586"/>
    <mergeCell ref="AR7586:AS7587"/>
    <mergeCell ref="AT7586:AU7587"/>
    <mergeCell ref="AV7586:AW7587"/>
    <mergeCell ref="AX7586:AY7587"/>
    <mergeCell ref="AZ7586:AZ7587"/>
    <mergeCell ref="F7587:H7587"/>
    <mergeCell ref="X7587:AB7587"/>
    <mergeCell ref="AE7587:AI7587"/>
    <mergeCell ref="AJ7587:AL7587"/>
    <mergeCell ref="AN7587:AO7587"/>
    <mergeCell ref="AP7587:AQ7587"/>
    <mergeCell ref="A7588:A7589"/>
    <mergeCell ref="E7588:E7589"/>
    <mergeCell ref="F7588:H7588"/>
    <mergeCell ref="J7588:J7589"/>
    <mergeCell ref="K7588:L7589"/>
    <mergeCell ref="M7588:N7589"/>
    <mergeCell ref="O7588:P7589"/>
    <mergeCell ref="Q7588:R7589"/>
    <mergeCell ref="S7588:T7589"/>
    <mergeCell ref="U7588:V7589"/>
    <mergeCell ref="W7588:W7589"/>
    <mergeCell ref="X7588:AB7588"/>
    <mergeCell ref="AD7588:AI7588"/>
    <mergeCell ref="AJ7588:AL7588"/>
    <mergeCell ref="AN7588:AO7588"/>
    <mergeCell ref="AP7588:AQ7588"/>
    <mergeCell ref="AR7588:AS7589"/>
    <mergeCell ref="AT7588:AU7589"/>
    <mergeCell ref="AV7588:AW7589"/>
    <mergeCell ref="AX7588:AY7589"/>
    <mergeCell ref="AZ7588:AZ7589"/>
    <mergeCell ref="F7589:H7589"/>
    <mergeCell ref="X7589:AB7589"/>
    <mergeCell ref="AE7589:AI7589"/>
    <mergeCell ref="AJ7589:AL7589"/>
    <mergeCell ref="AN7589:AO7589"/>
    <mergeCell ref="AP7589:AQ7589"/>
    <mergeCell ref="A7590:A7591"/>
    <mergeCell ref="E7590:E7591"/>
    <mergeCell ref="F7590:H7590"/>
    <mergeCell ref="J7590:J7591"/>
    <mergeCell ref="K7590:L7591"/>
    <mergeCell ref="M7590:N7591"/>
    <mergeCell ref="O7590:P7591"/>
    <mergeCell ref="Q7590:R7591"/>
    <mergeCell ref="S7590:T7591"/>
    <mergeCell ref="U7590:V7591"/>
    <mergeCell ref="W7590:W7591"/>
    <mergeCell ref="X7590:AB7590"/>
    <mergeCell ref="AD7590:AI7590"/>
    <mergeCell ref="AJ7590:AL7590"/>
    <mergeCell ref="AN7590:AO7590"/>
    <mergeCell ref="AP7590:AQ7590"/>
    <mergeCell ref="AR7590:AS7591"/>
    <mergeCell ref="AT7590:AU7591"/>
    <mergeCell ref="AV7590:AW7591"/>
    <mergeCell ref="AX7590:AY7591"/>
    <mergeCell ref="AZ7590:AZ7591"/>
    <mergeCell ref="F7591:H7591"/>
    <mergeCell ref="X7591:AB7591"/>
    <mergeCell ref="AE7591:AI7591"/>
    <mergeCell ref="AJ7591:AL7591"/>
    <mergeCell ref="AN7591:AO7591"/>
    <mergeCell ref="AP7591:AQ7591"/>
    <mergeCell ref="A7592:A7593"/>
    <mergeCell ref="E7592:E7593"/>
    <mergeCell ref="F7592:H7592"/>
    <mergeCell ref="J7592:J7593"/>
    <mergeCell ref="K7592:L7593"/>
    <mergeCell ref="M7592:N7593"/>
    <mergeCell ref="O7592:P7593"/>
    <mergeCell ref="Q7592:R7593"/>
    <mergeCell ref="S7592:T7593"/>
    <mergeCell ref="U7592:V7593"/>
    <mergeCell ref="W7592:W7593"/>
    <mergeCell ref="X7592:AB7592"/>
    <mergeCell ref="AD7592:AI7592"/>
    <mergeCell ref="AJ7592:AL7592"/>
    <mergeCell ref="AN7592:AO7592"/>
    <mergeCell ref="AP7592:AQ7592"/>
    <mergeCell ref="AR7592:AS7593"/>
    <mergeCell ref="AT7592:AU7593"/>
    <mergeCell ref="AV7592:AW7593"/>
    <mergeCell ref="AX7592:AY7593"/>
    <mergeCell ref="AZ7592:AZ7593"/>
    <mergeCell ref="F7593:H7593"/>
    <mergeCell ref="X7593:AB7593"/>
    <mergeCell ref="AE7593:AI7593"/>
    <mergeCell ref="AJ7593:AL7593"/>
    <mergeCell ref="AN7593:AO7593"/>
    <mergeCell ref="AP7593:AQ7593"/>
    <mergeCell ref="A7594:A7595"/>
    <mergeCell ref="E7594:E7595"/>
    <mergeCell ref="F7594:H7594"/>
    <mergeCell ref="J7594:J7595"/>
    <mergeCell ref="K7594:L7595"/>
    <mergeCell ref="M7594:N7595"/>
    <mergeCell ref="O7594:P7595"/>
    <mergeCell ref="Q7594:R7595"/>
    <mergeCell ref="S7594:T7595"/>
    <mergeCell ref="U7594:V7595"/>
    <mergeCell ref="W7594:W7595"/>
    <mergeCell ref="X7594:AB7594"/>
    <mergeCell ref="AD7594:AI7594"/>
    <mergeCell ref="AJ7594:AL7594"/>
    <mergeCell ref="AN7594:AO7594"/>
    <mergeCell ref="AP7594:AQ7594"/>
    <mergeCell ref="AR7594:AS7595"/>
    <mergeCell ref="AT7594:AU7595"/>
    <mergeCell ref="AV7594:AW7595"/>
    <mergeCell ref="AX7594:AY7595"/>
    <mergeCell ref="AZ7594:AZ7595"/>
    <mergeCell ref="F7595:H7595"/>
    <mergeCell ref="X7595:AB7595"/>
    <mergeCell ref="AE7595:AI7595"/>
    <mergeCell ref="AJ7595:AL7595"/>
    <mergeCell ref="AN7595:AO7595"/>
    <mergeCell ref="AP7595:AQ7595"/>
    <mergeCell ref="A7596:A7597"/>
    <mergeCell ref="E7596:E7597"/>
    <mergeCell ref="F7596:H7596"/>
    <mergeCell ref="J7596:J7597"/>
    <mergeCell ref="K7596:L7597"/>
    <mergeCell ref="M7596:N7597"/>
    <mergeCell ref="O7596:P7597"/>
    <mergeCell ref="Q7596:R7597"/>
    <mergeCell ref="S7596:T7597"/>
    <mergeCell ref="U7596:V7597"/>
    <mergeCell ref="W7596:W7597"/>
    <mergeCell ref="X7596:AB7596"/>
    <mergeCell ref="AD7596:AI7596"/>
    <mergeCell ref="AJ7596:AL7596"/>
    <mergeCell ref="AN7596:AO7596"/>
    <mergeCell ref="AP7596:AQ7596"/>
    <mergeCell ref="AR7596:AS7597"/>
    <mergeCell ref="AT7596:AU7597"/>
    <mergeCell ref="AV7596:AW7597"/>
    <mergeCell ref="AX7596:AY7597"/>
    <mergeCell ref="AZ7596:AZ7597"/>
    <mergeCell ref="F7597:H7597"/>
    <mergeCell ref="X7597:AB7597"/>
    <mergeCell ref="AE7597:AI7597"/>
    <mergeCell ref="AJ7597:AL7597"/>
    <mergeCell ref="AN7597:AO7597"/>
    <mergeCell ref="AP7597:AQ7597"/>
    <mergeCell ref="A7598:A7599"/>
    <mergeCell ref="E7598:E7599"/>
    <mergeCell ref="F7598:H7598"/>
    <mergeCell ref="J7598:J7599"/>
    <mergeCell ref="K7598:L7599"/>
    <mergeCell ref="M7598:N7599"/>
    <mergeCell ref="O7598:P7599"/>
    <mergeCell ref="Q7598:R7599"/>
    <mergeCell ref="S7598:T7599"/>
    <mergeCell ref="U7598:V7599"/>
    <mergeCell ref="W7598:W7599"/>
    <mergeCell ref="X7598:AB7598"/>
    <mergeCell ref="AD7598:AI7598"/>
    <mergeCell ref="AJ7598:AL7598"/>
    <mergeCell ref="AN7598:AO7598"/>
    <mergeCell ref="AP7598:AQ7598"/>
    <mergeCell ref="AR7598:AS7599"/>
    <mergeCell ref="AT7598:AU7599"/>
    <mergeCell ref="AV7598:AW7599"/>
    <mergeCell ref="AX7598:AY7599"/>
    <mergeCell ref="AZ7598:AZ7599"/>
    <mergeCell ref="F7599:H7599"/>
    <mergeCell ref="X7599:AB7599"/>
    <mergeCell ref="AE7599:AI7599"/>
    <mergeCell ref="AJ7599:AL7599"/>
    <mergeCell ref="AN7599:AO7599"/>
    <mergeCell ref="AP7599:AQ7599"/>
    <mergeCell ref="A7600:A7601"/>
    <mergeCell ref="E7600:E7601"/>
    <mergeCell ref="F7600:H7600"/>
    <mergeCell ref="J7600:J7601"/>
    <mergeCell ref="K7600:L7601"/>
    <mergeCell ref="M7600:N7601"/>
    <mergeCell ref="O7600:P7601"/>
    <mergeCell ref="Q7600:R7601"/>
    <mergeCell ref="S7600:T7601"/>
    <mergeCell ref="U7600:V7601"/>
    <mergeCell ref="W7600:W7601"/>
    <mergeCell ref="X7600:AB7600"/>
    <mergeCell ref="AD7600:AI7600"/>
    <mergeCell ref="AJ7600:AL7600"/>
    <mergeCell ref="AN7600:AO7600"/>
    <mergeCell ref="AP7600:AQ7600"/>
    <mergeCell ref="AR7600:AS7601"/>
    <mergeCell ref="AT7600:AU7601"/>
    <mergeCell ref="AV7600:AW7601"/>
    <mergeCell ref="AX7600:AY7601"/>
    <mergeCell ref="AZ7600:AZ7601"/>
    <mergeCell ref="F7601:H7601"/>
    <mergeCell ref="X7601:AB7601"/>
    <mergeCell ref="AE7601:AI7601"/>
    <mergeCell ref="AJ7601:AL7601"/>
    <mergeCell ref="AN7601:AO7601"/>
    <mergeCell ref="AP7601:AQ7601"/>
    <mergeCell ref="A7602:A7603"/>
    <mergeCell ref="E7602:E7603"/>
    <mergeCell ref="F7602:H7602"/>
    <mergeCell ref="J7602:J7603"/>
    <mergeCell ref="K7602:L7603"/>
    <mergeCell ref="M7602:N7603"/>
    <mergeCell ref="O7602:P7603"/>
    <mergeCell ref="Q7602:R7603"/>
    <mergeCell ref="S7602:T7603"/>
    <mergeCell ref="U7602:V7603"/>
    <mergeCell ref="W7602:W7603"/>
    <mergeCell ref="X7602:AB7602"/>
    <mergeCell ref="AD7602:AI7602"/>
    <mergeCell ref="AJ7602:AL7602"/>
    <mergeCell ref="AN7602:AO7602"/>
    <mergeCell ref="AP7602:AQ7602"/>
    <mergeCell ref="AR7602:AS7603"/>
    <mergeCell ref="AT7602:AU7603"/>
    <mergeCell ref="AV7602:AW7603"/>
    <mergeCell ref="AX7602:AY7603"/>
    <mergeCell ref="AZ7602:AZ7603"/>
    <mergeCell ref="F7603:H7603"/>
    <mergeCell ref="X7603:AB7603"/>
    <mergeCell ref="AE7603:AI7603"/>
    <mergeCell ref="AJ7603:AL7603"/>
    <mergeCell ref="AN7603:AO7603"/>
    <mergeCell ref="AP7603:AQ7603"/>
    <mergeCell ref="A7604:A7605"/>
    <mergeCell ref="E7604:E7605"/>
    <mergeCell ref="F7604:H7604"/>
    <mergeCell ref="J7604:J7605"/>
    <mergeCell ref="K7604:L7605"/>
    <mergeCell ref="M7604:N7605"/>
    <mergeCell ref="O7604:P7605"/>
    <mergeCell ref="Q7604:R7605"/>
    <mergeCell ref="S7604:T7605"/>
    <mergeCell ref="U7604:V7605"/>
    <mergeCell ref="W7604:W7605"/>
    <mergeCell ref="X7604:AB7604"/>
    <mergeCell ref="AD7604:AI7604"/>
    <mergeCell ref="AJ7604:AL7604"/>
    <mergeCell ref="AN7604:AO7604"/>
    <mergeCell ref="AP7604:AQ7604"/>
    <mergeCell ref="AR7604:AS7605"/>
    <mergeCell ref="AT7604:AU7605"/>
    <mergeCell ref="AV7604:AW7605"/>
    <mergeCell ref="AX7604:AY7605"/>
    <mergeCell ref="AZ7604:AZ7605"/>
    <mergeCell ref="F7605:H7605"/>
    <mergeCell ref="X7605:AB7605"/>
    <mergeCell ref="AE7605:AI7605"/>
    <mergeCell ref="AJ7605:AL7605"/>
    <mergeCell ref="AN7605:AO7605"/>
    <mergeCell ref="AP7605:AQ7605"/>
    <mergeCell ref="A7606:A7607"/>
    <mergeCell ref="E7606:E7607"/>
    <mergeCell ref="F7606:H7606"/>
    <mergeCell ref="J7606:J7607"/>
    <mergeCell ref="K7606:L7607"/>
    <mergeCell ref="M7606:N7607"/>
    <mergeCell ref="O7606:P7607"/>
    <mergeCell ref="Q7606:R7607"/>
    <mergeCell ref="S7606:T7607"/>
    <mergeCell ref="U7606:V7607"/>
    <mergeCell ref="W7606:W7607"/>
    <mergeCell ref="X7606:AB7606"/>
    <mergeCell ref="AD7606:AI7606"/>
    <mergeCell ref="AJ7606:AL7606"/>
    <mergeCell ref="AN7606:AO7606"/>
    <mergeCell ref="AP7606:AQ7606"/>
    <mergeCell ref="AR7606:AS7607"/>
    <mergeCell ref="AT7606:AU7607"/>
    <mergeCell ref="AV7606:AW7607"/>
    <mergeCell ref="AX7606:AY7607"/>
    <mergeCell ref="AZ7606:AZ7607"/>
    <mergeCell ref="F7607:H7607"/>
    <mergeCell ref="X7607:AB7607"/>
    <mergeCell ref="AE7607:AI7607"/>
    <mergeCell ref="AJ7607:AL7607"/>
    <mergeCell ref="AN7607:AO7607"/>
    <mergeCell ref="AP7607:AQ7607"/>
    <mergeCell ref="A7608:A7609"/>
    <mergeCell ref="E7608:E7609"/>
    <mergeCell ref="F7608:H7608"/>
    <mergeCell ref="J7608:J7609"/>
    <mergeCell ref="K7608:L7609"/>
    <mergeCell ref="M7608:N7609"/>
    <mergeCell ref="O7608:P7609"/>
    <mergeCell ref="Q7608:R7609"/>
    <mergeCell ref="S7608:T7609"/>
    <mergeCell ref="U7608:V7609"/>
    <mergeCell ref="W7608:W7609"/>
    <mergeCell ref="X7608:AB7608"/>
    <mergeCell ref="AD7608:AI7608"/>
    <mergeCell ref="AJ7608:AL7608"/>
    <mergeCell ref="AN7608:AO7608"/>
    <mergeCell ref="AP7608:AQ7608"/>
    <mergeCell ref="AR7608:AS7609"/>
    <mergeCell ref="AT7608:AU7609"/>
    <mergeCell ref="AV7608:AW7609"/>
    <mergeCell ref="AX7608:AY7609"/>
    <mergeCell ref="AZ7608:AZ7609"/>
    <mergeCell ref="F7609:H7609"/>
    <mergeCell ref="X7609:AB7609"/>
    <mergeCell ref="AE7609:AI7609"/>
    <mergeCell ref="AJ7609:AL7609"/>
    <mergeCell ref="AN7609:AO7609"/>
    <mergeCell ref="AP7609:AQ7609"/>
    <mergeCell ref="A7610:A7611"/>
    <mergeCell ref="E7610:E7611"/>
    <mergeCell ref="F7610:H7610"/>
    <mergeCell ref="J7610:J7611"/>
    <mergeCell ref="K7610:L7611"/>
    <mergeCell ref="M7610:N7611"/>
    <mergeCell ref="O7610:P7611"/>
    <mergeCell ref="Q7610:R7611"/>
    <mergeCell ref="S7610:T7611"/>
    <mergeCell ref="U7610:V7611"/>
    <mergeCell ref="W7610:W7611"/>
    <mergeCell ref="X7610:AB7610"/>
    <mergeCell ref="AD7610:AI7610"/>
    <mergeCell ref="AJ7610:AL7610"/>
    <mergeCell ref="AN7610:AO7610"/>
    <mergeCell ref="AP7610:AQ7610"/>
    <mergeCell ref="AR7610:AS7611"/>
    <mergeCell ref="AT7610:AU7611"/>
    <mergeCell ref="AV7610:AW7611"/>
    <mergeCell ref="AX7610:AY7611"/>
    <mergeCell ref="AZ7610:AZ7611"/>
    <mergeCell ref="F7611:H7611"/>
    <mergeCell ref="X7611:AB7611"/>
    <mergeCell ref="AE7611:AI7611"/>
    <mergeCell ref="AJ7611:AL7611"/>
    <mergeCell ref="AN7611:AO7611"/>
    <mergeCell ref="AP7611:AQ7611"/>
    <mergeCell ref="AZ7618:AZ7619"/>
    <mergeCell ref="F7619:H7619"/>
    <mergeCell ref="X7619:AB7619"/>
    <mergeCell ref="AE7619:AI7619"/>
    <mergeCell ref="AJ7619:AL7619"/>
    <mergeCell ref="AN7619:AO7619"/>
    <mergeCell ref="AP7619:AQ7619"/>
    <mergeCell ref="A7612:A7613"/>
    <mergeCell ref="E7612:E7613"/>
    <mergeCell ref="F7612:H7612"/>
    <mergeCell ref="J7612:J7613"/>
    <mergeCell ref="K7612:L7613"/>
    <mergeCell ref="M7612:N7613"/>
    <mergeCell ref="O7612:P7613"/>
    <mergeCell ref="Q7612:R7613"/>
    <mergeCell ref="S7612:T7613"/>
    <mergeCell ref="U7612:V7613"/>
    <mergeCell ref="W7612:W7613"/>
    <mergeCell ref="X7612:AB7612"/>
    <mergeCell ref="AD7612:AI7612"/>
    <mergeCell ref="AJ7612:AL7612"/>
    <mergeCell ref="AN7612:AO7612"/>
    <mergeCell ref="AP7612:AQ7612"/>
    <mergeCell ref="AR7612:AS7613"/>
    <mergeCell ref="AT7612:AU7613"/>
    <mergeCell ref="AV7612:AW7613"/>
    <mergeCell ref="AX7612:AY7613"/>
    <mergeCell ref="AZ7612:AZ7613"/>
    <mergeCell ref="F7613:H7613"/>
    <mergeCell ref="X7613:AB7613"/>
    <mergeCell ref="AE7613:AI7613"/>
    <mergeCell ref="AJ7613:AL7613"/>
    <mergeCell ref="AN7613:AO7613"/>
    <mergeCell ref="AP7613:AQ7613"/>
    <mergeCell ref="A7614:A7615"/>
    <mergeCell ref="E7614:E7615"/>
    <mergeCell ref="F7614:H7614"/>
    <mergeCell ref="J7614:J7615"/>
    <mergeCell ref="K7614:L7615"/>
    <mergeCell ref="M7614:N7615"/>
    <mergeCell ref="O7614:P7615"/>
    <mergeCell ref="Q7614:R7615"/>
    <mergeCell ref="S7614:T7615"/>
    <mergeCell ref="U7614:V7615"/>
    <mergeCell ref="W7614:W7615"/>
    <mergeCell ref="X7614:AB7614"/>
    <mergeCell ref="AD7614:AI7614"/>
    <mergeCell ref="AJ7614:AL7614"/>
    <mergeCell ref="AN7614:AO7614"/>
    <mergeCell ref="AP7614:AQ7614"/>
    <mergeCell ref="AR7614:AS7615"/>
    <mergeCell ref="AT7614:AU7615"/>
    <mergeCell ref="AV7614:AW7615"/>
    <mergeCell ref="AX7614:AY7615"/>
    <mergeCell ref="AZ7614:AZ7615"/>
    <mergeCell ref="F7615:H7615"/>
    <mergeCell ref="X7615:AB7615"/>
    <mergeCell ref="AE7615:AI7615"/>
    <mergeCell ref="AJ7615:AL7615"/>
    <mergeCell ref="AN7615:AO7615"/>
    <mergeCell ref="AP7615:AQ7615"/>
    <mergeCell ref="W7622:W7623"/>
    <mergeCell ref="X7622:AB7622"/>
    <mergeCell ref="AD7622:AI7622"/>
    <mergeCell ref="AJ7622:AL7622"/>
    <mergeCell ref="AN7622:AO7622"/>
    <mergeCell ref="AP7622:AQ7622"/>
    <mergeCell ref="AR7622:AS7623"/>
    <mergeCell ref="AT7622:AU7623"/>
    <mergeCell ref="AV7622:AW7623"/>
    <mergeCell ref="AX7622:AY7623"/>
    <mergeCell ref="AZ7622:AZ7623"/>
    <mergeCell ref="F7623:H7623"/>
    <mergeCell ref="X7623:AB7623"/>
    <mergeCell ref="AE7623:AI7623"/>
    <mergeCell ref="AJ7623:AL7623"/>
    <mergeCell ref="AN7623:AO7623"/>
    <mergeCell ref="AP7623:AQ7623"/>
    <mergeCell ref="A7616:A7617"/>
    <mergeCell ref="E7616:E7617"/>
    <mergeCell ref="F7616:H7616"/>
    <mergeCell ref="J7616:J7617"/>
    <mergeCell ref="K7616:L7617"/>
    <mergeCell ref="M7616:N7617"/>
    <mergeCell ref="O7616:P7617"/>
    <mergeCell ref="Q7616:R7617"/>
    <mergeCell ref="S7616:T7617"/>
    <mergeCell ref="U7616:V7617"/>
    <mergeCell ref="W7616:W7617"/>
    <mergeCell ref="X7616:AB7616"/>
    <mergeCell ref="AD7616:AI7616"/>
    <mergeCell ref="AJ7616:AL7616"/>
    <mergeCell ref="AN7616:AO7616"/>
    <mergeCell ref="AP7616:AQ7616"/>
    <mergeCell ref="AR7616:AS7617"/>
    <mergeCell ref="AT7616:AU7617"/>
    <mergeCell ref="AV7616:AW7617"/>
    <mergeCell ref="AX7616:AY7617"/>
    <mergeCell ref="AZ7616:AZ7617"/>
    <mergeCell ref="F7617:H7617"/>
    <mergeCell ref="X7617:AB7617"/>
    <mergeCell ref="AE7617:AI7617"/>
    <mergeCell ref="AJ7617:AL7617"/>
    <mergeCell ref="AN7617:AO7617"/>
    <mergeCell ref="AP7617:AQ7617"/>
    <mergeCell ref="A7618:A7619"/>
    <mergeCell ref="E7618:E7619"/>
    <mergeCell ref="F7618:H7618"/>
    <mergeCell ref="J7618:J7619"/>
    <mergeCell ref="K7618:L7619"/>
    <mergeCell ref="M7618:N7619"/>
    <mergeCell ref="O7618:P7619"/>
    <mergeCell ref="Q7618:R7619"/>
    <mergeCell ref="S7618:T7619"/>
    <mergeCell ref="U7618:V7619"/>
    <mergeCell ref="W7618:W7619"/>
    <mergeCell ref="X7618:AB7618"/>
    <mergeCell ref="AD7618:AI7618"/>
    <mergeCell ref="AJ7618:AL7618"/>
    <mergeCell ref="AN7618:AO7618"/>
    <mergeCell ref="AP7618:AQ7618"/>
    <mergeCell ref="AR7618:AS7619"/>
    <mergeCell ref="AT7618:AU7619"/>
    <mergeCell ref="AV7618:AW7619"/>
    <mergeCell ref="AX7618:AY7619"/>
    <mergeCell ref="A7624:A7625"/>
    <mergeCell ref="E7624:E7625"/>
    <mergeCell ref="F7624:H7624"/>
    <mergeCell ref="J7624:J7625"/>
    <mergeCell ref="K7624:L7625"/>
    <mergeCell ref="M7624:N7625"/>
    <mergeCell ref="O7624:P7625"/>
    <mergeCell ref="Q7624:R7625"/>
    <mergeCell ref="S7624:T7625"/>
    <mergeCell ref="U7624:V7625"/>
    <mergeCell ref="W7624:W7625"/>
    <mergeCell ref="X7624:AB7624"/>
    <mergeCell ref="AD7624:AI7624"/>
    <mergeCell ref="AJ7624:AL7624"/>
    <mergeCell ref="AN7624:AO7624"/>
    <mergeCell ref="AP7624:AQ7624"/>
    <mergeCell ref="AR7624:AS7625"/>
    <mergeCell ref="AT7624:AU7625"/>
    <mergeCell ref="AV7624:AW7625"/>
    <mergeCell ref="AX7624:AY7625"/>
    <mergeCell ref="AZ7624:AZ7625"/>
    <mergeCell ref="F7625:H7625"/>
    <mergeCell ref="X7625:AB7625"/>
    <mergeCell ref="AE7625:AI7625"/>
    <mergeCell ref="AJ7625:AL7625"/>
    <mergeCell ref="AN7625:AO7625"/>
    <mergeCell ref="AP7625:AQ7625"/>
    <mergeCell ref="A7620:A7621"/>
    <mergeCell ref="E7620:E7621"/>
    <mergeCell ref="F7620:H7620"/>
    <mergeCell ref="J7620:J7621"/>
    <mergeCell ref="K7620:L7621"/>
    <mergeCell ref="M7620:N7621"/>
    <mergeCell ref="O7620:P7621"/>
    <mergeCell ref="Q7620:R7621"/>
    <mergeCell ref="S7620:T7621"/>
    <mergeCell ref="U7620:V7621"/>
    <mergeCell ref="W7620:W7621"/>
    <mergeCell ref="X7620:AB7620"/>
    <mergeCell ref="AD7620:AI7620"/>
    <mergeCell ref="AJ7620:AL7620"/>
    <mergeCell ref="AN7620:AO7620"/>
    <mergeCell ref="AP7620:AQ7620"/>
    <mergeCell ref="AR7620:AS7621"/>
    <mergeCell ref="AT7620:AU7621"/>
    <mergeCell ref="AV7620:AW7621"/>
    <mergeCell ref="AX7620:AY7621"/>
    <mergeCell ref="AZ7620:AZ7621"/>
    <mergeCell ref="F7621:H7621"/>
    <mergeCell ref="X7621:AB7621"/>
    <mergeCell ref="AE7621:AI7621"/>
    <mergeCell ref="AJ7621:AL7621"/>
    <mergeCell ref="AN7621:AO7621"/>
    <mergeCell ref="AP7621:AQ7621"/>
    <mergeCell ref="A7622:A7623"/>
    <mergeCell ref="E7622:E7623"/>
    <mergeCell ref="F7622:H7622"/>
    <mergeCell ref="J7622:J7623"/>
    <mergeCell ref="K7622:L7623"/>
    <mergeCell ref="M7622:N7623"/>
    <mergeCell ref="O7622:P7623"/>
    <mergeCell ref="Q7622:R7623"/>
    <mergeCell ref="S7622:T7623"/>
    <mergeCell ref="U7622:V7623"/>
    <mergeCell ref="A7626:A7627"/>
    <mergeCell ref="E7626:E7627"/>
    <mergeCell ref="F7626:H7626"/>
    <mergeCell ref="J7626:J7627"/>
    <mergeCell ref="K7626:L7627"/>
    <mergeCell ref="M7626:N7627"/>
    <mergeCell ref="O7626:P7627"/>
    <mergeCell ref="Q7626:R7627"/>
    <mergeCell ref="S7626:T7627"/>
    <mergeCell ref="U7626:V7627"/>
    <mergeCell ref="W7626:W7627"/>
    <mergeCell ref="X7626:AB7626"/>
    <mergeCell ref="AD7626:AI7626"/>
    <mergeCell ref="AJ7626:AL7626"/>
    <mergeCell ref="AN7626:AO7626"/>
    <mergeCell ref="AP7626:AQ7626"/>
    <mergeCell ref="AR7626:AS7627"/>
    <mergeCell ref="AT7626:AU7627"/>
    <mergeCell ref="AV7626:AW7627"/>
    <mergeCell ref="AX7626:AY7627"/>
    <mergeCell ref="AZ7626:AZ7627"/>
    <mergeCell ref="F7627:H7627"/>
    <mergeCell ref="X7627:AB7627"/>
    <mergeCell ref="AE7627:AI7627"/>
    <mergeCell ref="AJ7627:AL7627"/>
    <mergeCell ref="AN7627:AO7627"/>
    <mergeCell ref="AP7627:AQ7627"/>
    <mergeCell ref="A7628:A7629"/>
    <mergeCell ref="E7628:E7629"/>
    <mergeCell ref="F7628:H7628"/>
    <mergeCell ref="J7628:J7629"/>
    <mergeCell ref="K7628:L7629"/>
    <mergeCell ref="M7628:N7629"/>
    <mergeCell ref="O7628:P7629"/>
    <mergeCell ref="Q7628:R7629"/>
    <mergeCell ref="S7628:T7629"/>
    <mergeCell ref="U7628:V7629"/>
    <mergeCell ref="W7628:W7629"/>
    <mergeCell ref="X7628:AB7628"/>
    <mergeCell ref="AD7628:AI7628"/>
    <mergeCell ref="AJ7628:AL7628"/>
    <mergeCell ref="AN7628:AO7628"/>
    <mergeCell ref="AP7628:AQ7628"/>
    <mergeCell ref="AR7628:AS7629"/>
    <mergeCell ref="AT7628:AU7629"/>
    <mergeCell ref="AV7628:AW7629"/>
    <mergeCell ref="AX7628:AY7629"/>
    <mergeCell ref="AZ7628:AZ7629"/>
    <mergeCell ref="F7629:H7629"/>
    <mergeCell ref="X7629:AB7629"/>
    <mergeCell ref="AE7629:AI7629"/>
    <mergeCell ref="AJ7629:AL7629"/>
    <mergeCell ref="AN7629:AO7629"/>
    <mergeCell ref="AP7629:AQ7629"/>
    <mergeCell ref="A7630:A7631"/>
    <mergeCell ref="E7630:E7631"/>
    <mergeCell ref="F7630:H7630"/>
    <mergeCell ref="J7630:J7631"/>
    <mergeCell ref="K7630:L7631"/>
    <mergeCell ref="M7630:N7631"/>
    <mergeCell ref="O7630:P7631"/>
    <mergeCell ref="Q7630:R7631"/>
    <mergeCell ref="S7630:T7631"/>
    <mergeCell ref="U7630:V7631"/>
    <mergeCell ref="W7630:W7631"/>
    <mergeCell ref="X7630:AB7630"/>
    <mergeCell ref="AD7630:AI7630"/>
    <mergeCell ref="AJ7630:AL7630"/>
    <mergeCell ref="AN7630:AO7630"/>
    <mergeCell ref="AP7630:AQ7630"/>
    <mergeCell ref="AR7630:AS7631"/>
    <mergeCell ref="AT7630:AU7631"/>
    <mergeCell ref="AV7630:AW7631"/>
    <mergeCell ref="AX7630:AY7631"/>
    <mergeCell ref="AZ7630:AZ7631"/>
    <mergeCell ref="F7631:H7631"/>
    <mergeCell ref="X7631:AB7631"/>
    <mergeCell ref="AE7631:AI7631"/>
    <mergeCell ref="AJ7631:AL7631"/>
    <mergeCell ref="AN7631:AO7631"/>
    <mergeCell ref="AP7631:AQ7631"/>
    <mergeCell ref="A7632:A7633"/>
    <mergeCell ref="E7632:E7633"/>
    <mergeCell ref="F7632:H7632"/>
    <mergeCell ref="J7632:J7633"/>
    <mergeCell ref="K7632:L7633"/>
    <mergeCell ref="M7632:N7633"/>
    <mergeCell ref="O7632:P7633"/>
    <mergeCell ref="Q7632:R7633"/>
    <mergeCell ref="S7632:T7633"/>
    <mergeCell ref="U7632:V7633"/>
    <mergeCell ref="W7632:W7633"/>
    <mergeCell ref="X7632:AB7632"/>
    <mergeCell ref="AD7632:AI7632"/>
    <mergeCell ref="AJ7632:AL7632"/>
    <mergeCell ref="AN7632:AO7632"/>
    <mergeCell ref="AP7632:AQ7632"/>
    <mergeCell ref="AR7632:AS7633"/>
    <mergeCell ref="AT7632:AU7633"/>
    <mergeCell ref="AV7632:AW7633"/>
    <mergeCell ref="AX7632:AY7633"/>
    <mergeCell ref="AZ7632:AZ7633"/>
    <mergeCell ref="F7633:H7633"/>
    <mergeCell ref="X7633:AB7633"/>
    <mergeCell ref="AE7633:AI7633"/>
    <mergeCell ref="AJ7633:AL7633"/>
    <mergeCell ref="AN7633:AO7633"/>
    <mergeCell ref="AP7633:AQ7633"/>
    <mergeCell ref="A7638:A7639"/>
    <mergeCell ref="E7638:E7639"/>
    <mergeCell ref="F7638:H7638"/>
    <mergeCell ref="J7638:J7639"/>
    <mergeCell ref="K7638:L7639"/>
    <mergeCell ref="M7638:N7639"/>
    <mergeCell ref="O7638:P7639"/>
    <mergeCell ref="Q7638:R7639"/>
    <mergeCell ref="S7638:T7639"/>
    <mergeCell ref="U7638:V7639"/>
    <mergeCell ref="W7638:W7639"/>
    <mergeCell ref="X7638:AB7638"/>
    <mergeCell ref="AD7638:AI7638"/>
    <mergeCell ref="AJ7638:AL7638"/>
    <mergeCell ref="AN7638:AO7638"/>
    <mergeCell ref="AP7638:AQ7638"/>
    <mergeCell ref="AR7638:AS7639"/>
    <mergeCell ref="AT7638:AU7639"/>
    <mergeCell ref="AV7638:AW7639"/>
    <mergeCell ref="AX7638:AY7639"/>
    <mergeCell ref="AZ7638:AZ7639"/>
    <mergeCell ref="F7639:H7639"/>
    <mergeCell ref="X7639:AB7639"/>
    <mergeCell ref="AE7639:AI7639"/>
    <mergeCell ref="AJ7639:AL7639"/>
    <mergeCell ref="AN7639:AO7639"/>
    <mergeCell ref="AP7639:AQ7639"/>
    <mergeCell ref="A7640:A7641"/>
    <mergeCell ref="E7640:E7641"/>
    <mergeCell ref="F7640:H7640"/>
    <mergeCell ref="J7640:J7641"/>
    <mergeCell ref="K7640:L7641"/>
    <mergeCell ref="M7640:N7641"/>
    <mergeCell ref="O7640:P7641"/>
    <mergeCell ref="Q7640:R7641"/>
    <mergeCell ref="S7640:T7641"/>
    <mergeCell ref="U7640:V7641"/>
    <mergeCell ref="W7640:W7641"/>
    <mergeCell ref="X7640:AB7640"/>
    <mergeCell ref="AD7640:AI7640"/>
    <mergeCell ref="AJ7640:AL7640"/>
    <mergeCell ref="AN7640:AO7640"/>
    <mergeCell ref="AP7640:AQ7640"/>
    <mergeCell ref="AR7640:AS7641"/>
    <mergeCell ref="AT7640:AU7641"/>
    <mergeCell ref="AV7640:AW7641"/>
    <mergeCell ref="AX7640:AY7641"/>
    <mergeCell ref="AZ7640:AZ7641"/>
    <mergeCell ref="F7641:H7641"/>
    <mergeCell ref="X7641:AB7641"/>
    <mergeCell ref="AE7641:AI7641"/>
    <mergeCell ref="AJ7641:AL7641"/>
    <mergeCell ref="AN7641:AO7641"/>
    <mergeCell ref="AP7641:AQ7641"/>
    <mergeCell ref="A7642:A7643"/>
    <mergeCell ref="E7642:E7643"/>
    <mergeCell ref="F7642:H7642"/>
    <mergeCell ref="J7642:J7643"/>
    <mergeCell ref="K7642:L7643"/>
    <mergeCell ref="M7642:N7643"/>
    <mergeCell ref="O7642:P7643"/>
    <mergeCell ref="Q7642:R7643"/>
    <mergeCell ref="S7642:T7643"/>
    <mergeCell ref="U7642:V7643"/>
    <mergeCell ref="W7642:W7643"/>
    <mergeCell ref="X7642:AB7642"/>
    <mergeCell ref="AD7642:AI7642"/>
    <mergeCell ref="AJ7642:AL7642"/>
    <mergeCell ref="AN7642:AO7642"/>
    <mergeCell ref="AP7642:AQ7642"/>
    <mergeCell ref="AR7642:AS7643"/>
    <mergeCell ref="AT7642:AU7643"/>
    <mergeCell ref="AV7642:AW7643"/>
    <mergeCell ref="AX7642:AY7643"/>
    <mergeCell ref="AZ7642:AZ7643"/>
    <mergeCell ref="F7643:H7643"/>
    <mergeCell ref="X7643:AB7643"/>
    <mergeCell ref="AE7643:AI7643"/>
    <mergeCell ref="AJ7643:AL7643"/>
    <mergeCell ref="AN7643:AO7643"/>
    <mergeCell ref="AP7643:AQ7643"/>
    <mergeCell ref="A7644:A7645"/>
    <mergeCell ref="E7644:E7645"/>
    <mergeCell ref="F7644:H7644"/>
    <mergeCell ref="J7644:J7645"/>
    <mergeCell ref="K7644:L7645"/>
    <mergeCell ref="M7644:N7645"/>
    <mergeCell ref="O7644:P7645"/>
    <mergeCell ref="Q7644:R7645"/>
    <mergeCell ref="S7644:T7645"/>
    <mergeCell ref="U7644:V7645"/>
    <mergeCell ref="W7644:W7645"/>
    <mergeCell ref="X7644:AB7644"/>
    <mergeCell ref="AD7644:AI7644"/>
    <mergeCell ref="AJ7644:AL7644"/>
    <mergeCell ref="AN7644:AO7644"/>
    <mergeCell ref="AP7644:AQ7644"/>
    <mergeCell ref="AR7644:AS7645"/>
    <mergeCell ref="AT7644:AU7645"/>
    <mergeCell ref="AV7644:AW7645"/>
    <mergeCell ref="AX7644:AY7645"/>
    <mergeCell ref="AZ7644:AZ7645"/>
    <mergeCell ref="F7645:H7645"/>
    <mergeCell ref="X7645:AB7645"/>
    <mergeCell ref="AE7645:AI7645"/>
    <mergeCell ref="AJ7645:AL7645"/>
    <mergeCell ref="AN7645:AO7645"/>
    <mergeCell ref="AP7645:AQ7645"/>
    <mergeCell ref="A7646:A7647"/>
    <mergeCell ref="E7646:E7647"/>
    <mergeCell ref="F7646:H7646"/>
    <mergeCell ref="J7646:J7647"/>
    <mergeCell ref="K7646:L7647"/>
    <mergeCell ref="M7646:N7647"/>
    <mergeCell ref="O7646:P7647"/>
    <mergeCell ref="Q7646:R7647"/>
    <mergeCell ref="S7646:T7647"/>
    <mergeCell ref="U7646:V7647"/>
    <mergeCell ref="W7646:W7647"/>
    <mergeCell ref="X7646:AB7646"/>
    <mergeCell ref="AD7646:AI7646"/>
    <mergeCell ref="AJ7646:AL7646"/>
    <mergeCell ref="AN7646:AO7646"/>
    <mergeCell ref="AP7646:AQ7646"/>
    <mergeCell ref="AR7646:AS7647"/>
    <mergeCell ref="AT7646:AU7647"/>
    <mergeCell ref="AV7646:AW7647"/>
    <mergeCell ref="AX7646:AY7647"/>
    <mergeCell ref="AZ7646:AZ7647"/>
    <mergeCell ref="F7647:H7647"/>
    <mergeCell ref="X7647:AB7647"/>
    <mergeCell ref="AE7647:AI7647"/>
    <mergeCell ref="AJ7647:AL7647"/>
    <mergeCell ref="AN7647:AO7647"/>
    <mergeCell ref="AP7647:AQ7647"/>
    <mergeCell ref="A7648:A7649"/>
    <mergeCell ref="E7648:E7649"/>
    <mergeCell ref="F7648:H7648"/>
    <mergeCell ref="J7648:J7649"/>
    <mergeCell ref="K7648:L7649"/>
    <mergeCell ref="M7648:N7649"/>
    <mergeCell ref="O7648:P7649"/>
    <mergeCell ref="Q7648:R7649"/>
    <mergeCell ref="S7648:T7649"/>
    <mergeCell ref="U7648:V7649"/>
    <mergeCell ref="W7648:W7649"/>
    <mergeCell ref="X7648:AB7648"/>
    <mergeCell ref="AD7648:AI7648"/>
    <mergeCell ref="AJ7648:AL7648"/>
    <mergeCell ref="AN7648:AO7648"/>
    <mergeCell ref="AP7648:AQ7648"/>
    <mergeCell ref="AR7648:AS7649"/>
    <mergeCell ref="AT7648:AU7649"/>
    <mergeCell ref="AV7648:AW7649"/>
    <mergeCell ref="AX7648:AY7649"/>
    <mergeCell ref="AZ7648:AZ7649"/>
    <mergeCell ref="F7649:H7649"/>
    <mergeCell ref="X7649:AB7649"/>
    <mergeCell ref="AE7649:AI7649"/>
    <mergeCell ref="AJ7649:AL7649"/>
    <mergeCell ref="AN7649:AO7649"/>
    <mergeCell ref="AP7649:AQ7649"/>
    <mergeCell ref="AZ7656:AZ7657"/>
    <mergeCell ref="F7657:H7657"/>
    <mergeCell ref="X7657:AB7657"/>
    <mergeCell ref="AE7657:AI7657"/>
    <mergeCell ref="AJ7657:AL7657"/>
    <mergeCell ref="AN7657:AO7657"/>
    <mergeCell ref="AP7657:AQ7657"/>
    <mergeCell ref="A7650:A7651"/>
    <mergeCell ref="E7650:E7651"/>
    <mergeCell ref="F7650:H7650"/>
    <mergeCell ref="J7650:J7651"/>
    <mergeCell ref="K7650:L7651"/>
    <mergeCell ref="M7650:N7651"/>
    <mergeCell ref="O7650:P7651"/>
    <mergeCell ref="Q7650:R7651"/>
    <mergeCell ref="S7650:T7651"/>
    <mergeCell ref="U7650:V7651"/>
    <mergeCell ref="W7650:W7651"/>
    <mergeCell ref="X7650:AB7650"/>
    <mergeCell ref="AD7650:AI7650"/>
    <mergeCell ref="AJ7650:AL7650"/>
    <mergeCell ref="AN7650:AO7650"/>
    <mergeCell ref="AP7650:AQ7650"/>
    <mergeCell ref="AR7650:AS7651"/>
    <mergeCell ref="AT7650:AU7651"/>
    <mergeCell ref="AV7650:AW7651"/>
    <mergeCell ref="AX7650:AY7651"/>
    <mergeCell ref="AZ7650:AZ7651"/>
    <mergeCell ref="F7651:H7651"/>
    <mergeCell ref="X7651:AB7651"/>
    <mergeCell ref="AE7651:AI7651"/>
    <mergeCell ref="AJ7651:AL7651"/>
    <mergeCell ref="AN7651:AO7651"/>
    <mergeCell ref="AP7651:AQ7651"/>
    <mergeCell ref="A7652:A7653"/>
    <mergeCell ref="E7652:E7653"/>
    <mergeCell ref="F7652:H7652"/>
    <mergeCell ref="J7652:J7653"/>
    <mergeCell ref="K7652:L7653"/>
    <mergeCell ref="M7652:N7653"/>
    <mergeCell ref="O7652:P7653"/>
    <mergeCell ref="Q7652:R7653"/>
    <mergeCell ref="S7652:T7653"/>
    <mergeCell ref="U7652:V7653"/>
    <mergeCell ref="W7652:W7653"/>
    <mergeCell ref="X7652:AB7652"/>
    <mergeCell ref="AD7652:AI7652"/>
    <mergeCell ref="AJ7652:AL7652"/>
    <mergeCell ref="AN7652:AO7652"/>
    <mergeCell ref="AP7652:AQ7652"/>
    <mergeCell ref="AR7652:AS7653"/>
    <mergeCell ref="AT7652:AU7653"/>
    <mergeCell ref="AV7652:AW7653"/>
    <mergeCell ref="AX7652:AY7653"/>
    <mergeCell ref="AZ7652:AZ7653"/>
    <mergeCell ref="F7653:H7653"/>
    <mergeCell ref="X7653:AB7653"/>
    <mergeCell ref="AE7653:AI7653"/>
    <mergeCell ref="AJ7653:AL7653"/>
    <mergeCell ref="AN7653:AO7653"/>
    <mergeCell ref="AP7653:AQ7653"/>
    <mergeCell ref="W7660:W7661"/>
    <mergeCell ref="X7660:AB7660"/>
    <mergeCell ref="AD7660:AI7660"/>
    <mergeCell ref="AJ7660:AL7660"/>
    <mergeCell ref="AN7660:AO7660"/>
    <mergeCell ref="AP7660:AQ7660"/>
    <mergeCell ref="AR7660:AS7661"/>
    <mergeCell ref="AT7660:AU7661"/>
    <mergeCell ref="AV7660:AW7661"/>
    <mergeCell ref="AX7660:AY7661"/>
    <mergeCell ref="AZ7660:AZ7661"/>
    <mergeCell ref="F7661:H7661"/>
    <mergeCell ref="X7661:AB7661"/>
    <mergeCell ref="AE7661:AI7661"/>
    <mergeCell ref="AJ7661:AL7661"/>
    <mergeCell ref="AN7661:AO7661"/>
    <mergeCell ref="AP7661:AQ7661"/>
    <mergeCell ref="A7654:A7655"/>
    <mergeCell ref="E7654:E7655"/>
    <mergeCell ref="F7654:H7654"/>
    <mergeCell ref="J7654:J7655"/>
    <mergeCell ref="K7654:L7655"/>
    <mergeCell ref="M7654:N7655"/>
    <mergeCell ref="O7654:P7655"/>
    <mergeCell ref="Q7654:R7655"/>
    <mergeCell ref="S7654:T7655"/>
    <mergeCell ref="U7654:V7655"/>
    <mergeCell ref="W7654:W7655"/>
    <mergeCell ref="X7654:AB7654"/>
    <mergeCell ref="AD7654:AI7654"/>
    <mergeCell ref="AJ7654:AL7654"/>
    <mergeCell ref="AN7654:AO7654"/>
    <mergeCell ref="AP7654:AQ7654"/>
    <mergeCell ref="AR7654:AS7655"/>
    <mergeCell ref="AT7654:AU7655"/>
    <mergeCell ref="AV7654:AW7655"/>
    <mergeCell ref="AX7654:AY7655"/>
    <mergeCell ref="AZ7654:AZ7655"/>
    <mergeCell ref="F7655:H7655"/>
    <mergeCell ref="X7655:AB7655"/>
    <mergeCell ref="AE7655:AI7655"/>
    <mergeCell ref="AJ7655:AL7655"/>
    <mergeCell ref="AN7655:AO7655"/>
    <mergeCell ref="AP7655:AQ7655"/>
    <mergeCell ref="A7656:A7657"/>
    <mergeCell ref="E7656:E7657"/>
    <mergeCell ref="F7656:H7656"/>
    <mergeCell ref="J7656:J7657"/>
    <mergeCell ref="K7656:L7657"/>
    <mergeCell ref="M7656:N7657"/>
    <mergeCell ref="O7656:P7657"/>
    <mergeCell ref="Q7656:R7657"/>
    <mergeCell ref="S7656:T7657"/>
    <mergeCell ref="U7656:V7657"/>
    <mergeCell ref="W7656:W7657"/>
    <mergeCell ref="X7656:AB7656"/>
    <mergeCell ref="AD7656:AI7656"/>
    <mergeCell ref="AJ7656:AL7656"/>
    <mergeCell ref="AN7656:AO7656"/>
    <mergeCell ref="AP7656:AQ7656"/>
    <mergeCell ref="AR7656:AS7657"/>
    <mergeCell ref="AT7656:AU7657"/>
    <mergeCell ref="AV7656:AW7657"/>
    <mergeCell ref="AX7656:AY7657"/>
    <mergeCell ref="A7662:A7663"/>
    <mergeCell ref="E7662:E7663"/>
    <mergeCell ref="F7662:H7662"/>
    <mergeCell ref="J7662:J7663"/>
    <mergeCell ref="K7662:L7663"/>
    <mergeCell ref="M7662:N7663"/>
    <mergeCell ref="O7662:P7663"/>
    <mergeCell ref="Q7662:R7663"/>
    <mergeCell ref="S7662:T7663"/>
    <mergeCell ref="U7662:V7663"/>
    <mergeCell ref="W7662:W7663"/>
    <mergeCell ref="X7662:AB7662"/>
    <mergeCell ref="AD7662:AI7662"/>
    <mergeCell ref="AJ7662:AL7662"/>
    <mergeCell ref="AN7662:AO7662"/>
    <mergeCell ref="AP7662:AQ7662"/>
    <mergeCell ref="AR7662:AS7663"/>
    <mergeCell ref="AT7662:AU7663"/>
    <mergeCell ref="AV7662:AW7663"/>
    <mergeCell ref="AX7662:AY7663"/>
    <mergeCell ref="AZ7662:AZ7663"/>
    <mergeCell ref="F7663:H7663"/>
    <mergeCell ref="X7663:AB7663"/>
    <mergeCell ref="AE7663:AI7663"/>
    <mergeCell ref="AJ7663:AL7663"/>
    <mergeCell ref="AN7663:AO7663"/>
    <mergeCell ref="AP7663:AQ7663"/>
    <mergeCell ref="A7658:A7659"/>
    <mergeCell ref="E7658:E7659"/>
    <mergeCell ref="F7658:H7658"/>
    <mergeCell ref="J7658:J7659"/>
    <mergeCell ref="K7658:L7659"/>
    <mergeCell ref="M7658:N7659"/>
    <mergeCell ref="O7658:P7659"/>
    <mergeCell ref="Q7658:R7659"/>
    <mergeCell ref="S7658:T7659"/>
    <mergeCell ref="U7658:V7659"/>
    <mergeCell ref="W7658:W7659"/>
    <mergeCell ref="X7658:AB7658"/>
    <mergeCell ref="AD7658:AI7658"/>
    <mergeCell ref="AJ7658:AL7658"/>
    <mergeCell ref="AN7658:AO7658"/>
    <mergeCell ref="AP7658:AQ7658"/>
    <mergeCell ref="AR7658:AS7659"/>
    <mergeCell ref="AT7658:AU7659"/>
    <mergeCell ref="AV7658:AW7659"/>
    <mergeCell ref="AX7658:AY7659"/>
    <mergeCell ref="AZ7658:AZ7659"/>
    <mergeCell ref="F7659:H7659"/>
    <mergeCell ref="X7659:AB7659"/>
    <mergeCell ref="AE7659:AI7659"/>
    <mergeCell ref="AJ7659:AL7659"/>
    <mergeCell ref="AN7659:AO7659"/>
    <mergeCell ref="AP7659:AQ7659"/>
    <mergeCell ref="A7660:A7661"/>
    <mergeCell ref="E7660:E7661"/>
    <mergeCell ref="F7660:H7660"/>
    <mergeCell ref="J7660:J7661"/>
    <mergeCell ref="K7660:L7661"/>
    <mergeCell ref="M7660:N7661"/>
    <mergeCell ref="O7660:P7661"/>
    <mergeCell ref="Q7660:R7661"/>
    <mergeCell ref="S7660:T7661"/>
    <mergeCell ref="U7660:V7661"/>
    <mergeCell ref="A7664:A7665"/>
    <mergeCell ref="E7664:E7665"/>
    <mergeCell ref="F7664:H7664"/>
    <mergeCell ref="J7664:J7665"/>
    <mergeCell ref="K7664:L7665"/>
    <mergeCell ref="M7664:N7665"/>
    <mergeCell ref="O7664:P7665"/>
    <mergeCell ref="Q7664:R7665"/>
    <mergeCell ref="S7664:T7665"/>
    <mergeCell ref="U7664:V7665"/>
    <mergeCell ref="W7664:W7665"/>
    <mergeCell ref="X7664:AB7664"/>
    <mergeCell ref="AD7664:AI7664"/>
    <mergeCell ref="AJ7664:AL7664"/>
    <mergeCell ref="AN7664:AO7664"/>
    <mergeCell ref="AP7664:AQ7664"/>
    <mergeCell ref="AR7664:AS7665"/>
    <mergeCell ref="AT7664:AU7665"/>
    <mergeCell ref="AV7664:AW7665"/>
    <mergeCell ref="AX7664:AY7665"/>
    <mergeCell ref="AZ7664:AZ7665"/>
    <mergeCell ref="F7665:H7665"/>
    <mergeCell ref="X7665:AB7665"/>
    <mergeCell ref="AE7665:AI7665"/>
    <mergeCell ref="AJ7665:AL7665"/>
    <mergeCell ref="AN7665:AO7665"/>
    <mergeCell ref="AP7665:AQ7665"/>
    <mergeCell ref="A7666:A7667"/>
    <mergeCell ref="E7666:E7667"/>
    <mergeCell ref="F7666:H7666"/>
    <mergeCell ref="J7666:J7667"/>
    <mergeCell ref="K7666:L7667"/>
    <mergeCell ref="M7666:N7667"/>
    <mergeCell ref="O7666:P7667"/>
    <mergeCell ref="Q7666:R7667"/>
    <mergeCell ref="S7666:T7667"/>
    <mergeCell ref="U7666:V7667"/>
    <mergeCell ref="W7666:W7667"/>
    <mergeCell ref="X7666:AB7666"/>
    <mergeCell ref="AD7666:AI7666"/>
    <mergeCell ref="AJ7666:AL7666"/>
    <mergeCell ref="AN7666:AO7666"/>
    <mergeCell ref="AP7666:AQ7666"/>
    <mergeCell ref="AR7666:AS7667"/>
    <mergeCell ref="AT7666:AU7667"/>
    <mergeCell ref="AV7666:AW7667"/>
    <mergeCell ref="AX7666:AY7667"/>
    <mergeCell ref="AZ7666:AZ7667"/>
    <mergeCell ref="F7667:H7667"/>
    <mergeCell ref="X7667:AB7667"/>
    <mergeCell ref="AE7667:AI7667"/>
    <mergeCell ref="AJ7667:AL7667"/>
    <mergeCell ref="AN7667:AO7667"/>
    <mergeCell ref="AP7667:AQ7667"/>
    <mergeCell ref="A7668:A7669"/>
    <mergeCell ref="E7668:E7669"/>
    <mergeCell ref="F7668:H7668"/>
    <mergeCell ref="J7668:J7669"/>
    <mergeCell ref="K7668:L7669"/>
    <mergeCell ref="M7668:N7669"/>
    <mergeCell ref="O7668:P7669"/>
    <mergeCell ref="Q7668:R7669"/>
    <mergeCell ref="S7668:T7669"/>
    <mergeCell ref="U7668:V7669"/>
    <mergeCell ref="W7668:W7669"/>
    <mergeCell ref="X7668:AB7668"/>
    <mergeCell ref="AD7668:AI7668"/>
    <mergeCell ref="AJ7668:AL7668"/>
    <mergeCell ref="AN7668:AO7668"/>
    <mergeCell ref="AP7668:AQ7668"/>
    <mergeCell ref="AR7668:AS7669"/>
    <mergeCell ref="AT7668:AU7669"/>
    <mergeCell ref="AV7668:AW7669"/>
    <mergeCell ref="AX7668:AY7669"/>
    <mergeCell ref="AZ7668:AZ7669"/>
    <mergeCell ref="F7669:H7669"/>
    <mergeCell ref="X7669:AB7669"/>
    <mergeCell ref="AE7669:AI7669"/>
    <mergeCell ref="AJ7669:AL7669"/>
    <mergeCell ref="AN7669:AO7669"/>
    <mergeCell ref="AP7669:AQ7669"/>
    <mergeCell ref="A7670:A7671"/>
    <mergeCell ref="E7670:E7671"/>
    <mergeCell ref="F7670:H7670"/>
    <mergeCell ref="J7670:J7671"/>
    <mergeCell ref="K7670:L7671"/>
    <mergeCell ref="M7670:N7671"/>
    <mergeCell ref="O7670:P7671"/>
    <mergeCell ref="Q7670:R7671"/>
    <mergeCell ref="S7670:T7671"/>
    <mergeCell ref="U7670:V7671"/>
    <mergeCell ref="W7670:W7671"/>
    <mergeCell ref="X7670:AB7670"/>
    <mergeCell ref="AD7670:AI7670"/>
    <mergeCell ref="AJ7670:AL7670"/>
    <mergeCell ref="AN7670:AO7670"/>
    <mergeCell ref="AP7670:AQ7670"/>
    <mergeCell ref="AR7670:AS7671"/>
    <mergeCell ref="AT7670:AU7671"/>
    <mergeCell ref="AV7670:AW7671"/>
    <mergeCell ref="AX7670:AY7671"/>
    <mergeCell ref="AZ7670:AZ7671"/>
    <mergeCell ref="F7671:H7671"/>
    <mergeCell ref="X7671:AB7671"/>
    <mergeCell ref="AE7671:AI7671"/>
    <mergeCell ref="AJ7671:AL7671"/>
    <mergeCell ref="AN7671:AO7671"/>
    <mergeCell ref="AP7671:AQ7671"/>
    <mergeCell ref="A7672:A7673"/>
    <mergeCell ref="E7672:E7673"/>
    <mergeCell ref="F7672:H7672"/>
    <mergeCell ref="J7672:J7673"/>
    <mergeCell ref="K7672:L7673"/>
    <mergeCell ref="M7672:N7673"/>
    <mergeCell ref="O7672:P7673"/>
    <mergeCell ref="Q7672:R7673"/>
    <mergeCell ref="S7672:T7673"/>
    <mergeCell ref="U7672:V7673"/>
    <mergeCell ref="W7672:W7673"/>
    <mergeCell ref="X7672:AB7672"/>
    <mergeCell ref="AD7672:AI7672"/>
    <mergeCell ref="AJ7672:AL7672"/>
    <mergeCell ref="AN7672:AO7672"/>
    <mergeCell ref="AP7672:AQ7672"/>
    <mergeCell ref="AR7672:AS7673"/>
    <mergeCell ref="AT7672:AU7673"/>
    <mergeCell ref="AV7672:AW7673"/>
    <mergeCell ref="AX7672:AY7673"/>
    <mergeCell ref="AZ7672:AZ7673"/>
    <mergeCell ref="F7673:H7673"/>
    <mergeCell ref="X7673:AB7673"/>
    <mergeCell ref="AE7673:AI7673"/>
    <mergeCell ref="AJ7673:AL7673"/>
    <mergeCell ref="AN7673:AO7673"/>
    <mergeCell ref="AP7673:AQ7673"/>
    <mergeCell ref="A7674:A7675"/>
    <mergeCell ref="E7674:E7675"/>
    <mergeCell ref="F7674:H7674"/>
    <mergeCell ref="J7674:J7675"/>
    <mergeCell ref="K7674:L7675"/>
    <mergeCell ref="M7674:N7675"/>
    <mergeCell ref="O7674:P7675"/>
    <mergeCell ref="Q7674:R7675"/>
    <mergeCell ref="S7674:T7675"/>
    <mergeCell ref="U7674:V7675"/>
    <mergeCell ref="W7674:W7675"/>
    <mergeCell ref="X7674:AB7674"/>
    <mergeCell ref="AD7674:AI7674"/>
    <mergeCell ref="AJ7674:AL7674"/>
    <mergeCell ref="AN7674:AO7674"/>
    <mergeCell ref="AP7674:AQ7674"/>
    <mergeCell ref="AR7674:AS7675"/>
    <mergeCell ref="AT7674:AU7675"/>
    <mergeCell ref="AV7674:AW7675"/>
    <mergeCell ref="AX7674:AY7675"/>
    <mergeCell ref="AZ7674:AZ7675"/>
    <mergeCell ref="F7675:H7675"/>
    <mergeCell ref="X7675:AB7675"/>
    <mergeCell ref="AE7675:AI7675"/>
    <mergeCell ref="AJ7675:AL7675"/>
    <mergeCell ref="AN7675:AO7675"/>
    <mergeCell ref="AP7675:AQ7675"/>
    <mergeCell ref="A7676:A7677"/>
    <mergeCell ref="E7676:E7677"/>
    <mergeCell ref="F7676:H7676"/>
    <mergeCell ref="J7676:J7677"/>
    <mergeCell ref="K7676:L7677"/>
    <mergeCell ref="M7676:N7677"/>
    <mergeCell ref="O7676:P7677"/>
    <mergeCell ref="Q7676:R7677"/>
    <mergeCell ref="S7676:T7677"/>
    <mergeCell ref="U7676:V7677"/>
    <mergeCell ref="W7676:W7677"/>
    <mergeCell ref="X7676:AB7676"/>
    <mergeCell ref="AD7676:AI7676"/>
    <mergeCell ref="AJ7676:AL7676"/>
    <mergeCell ref="AN7676:AO7676"/>
    <mergeCell ref="AP7676:AQ7676"/>
    <mergeCell ref="AR7676:AS7677"/>
    <mergeCell ref="AT7676:AU7677"/>
    <mergeCell ref="AV7676:AW7677"/>
    <mergeCell ref="AX7676:AY7677"/>
    <mergeCell ref="AZ7676:AZ7677"/>
    <mergeCell ref="F7677:H7677"/>
    <mergeCell ref="X7677:AB7677"/>
    <mergeCell ref="AE7677:AI7677"/>
    <mergeCell ref="AJ7677:AL7677"/>
    <mergeCell ref="AN7677:AO7677"/>
    <mergeCell ref="AP7677:AQ7677"/>
    <mergeCell ref="A7678:A7679"/>
    <mergeCell ref="E7678:E7679"/>
    <mergeCell ref="F7678:H7678"/>
    <mergeCell ref="J7678:J7679"/>
    <mergeCell ref="K7678:L7679"/>
    <mergeCell ref="M7678:N7679"/>
    <mergeCell ref="O7678:P7679"/>
    <mergeCell ref="Q7678:R7679"/>
    <mergeCell ref="S7678:T7679"/>
    <mergeCell ref="U7678:V7679"/>
    <mergeCell ref="W7678:W7679"/>
    <mergeCell ref="X7678:AB7678"/>
    <mergeCell ref="AD7678:AI7678"/>
    <mergeCell ref="AJ7678:AL7678"/>
    <mergeCell ref="AN7678:AO7678"/>
    <mergeCell ref="AP7678:AQ7678"/>
    <mergeCell ref="AR7678:AS7679"/>
    <mergeCell ref="AT7678:AU7679"/>
    <mergeCell ref="AV7678:AW7679"/>
    <mergeCell ref="AX7678:AY7679"/>
    <mergeCell ref="AZ7678:AZ7679"/>
    <mergeCell ref="F7679:H7679"/>
    <mergeCell ref="X7679:AB7679"/>
    <mergeCell ref="AE7679:AI7679"/>
    <mergeCell ref="AJ7679:AL7679"/>
    <mergeCell ref="AN7679:AO7679"/>
    <mergeCell ref="AP7679:AQ7679"/>
    <mergeCell ref="A7680:A7681"/>
    <mergeCell ref="E7680:E7681"/>
    <mergeCell ref="F7680:H7680"/>
    <mergeCell ref="J7680:J7681"/>
    <mergeCell ref="K7680:L7681"/>
    <mergeCell ref="M7680:N7681"/>
    <mergeCell ref="O7680:P7681"/>
    <mergeCell ref="Q7680:R7681"/>
    <mergeCell ref="S7680:T7681"/>
    <mergeCell ref="U7680:V7681"/>
    <mergeCell ref="W7680:W7681"/>
    <mergeCell ref="X7680:AB7680"/>
    <mergeCell ref="AD7680:AI7680"/>
    <mergeCell ref="AJ7680:AL7680"/>
    <mergeCell ref="AN7680:AO7680"/>
    <mergeCell ref="AP7680:AQ7680"/>
    <mergeCell ref="AR7680:AS7681"/>
    <mergeCell ref="AT7680:AU7681"/>
    <mergeCell ref="AV7680:AW7681"/>
    <mergeCell ref="AX7680:AY7681"/>
    <mergeCell ref="AZ7680:AZ7681"/>
    <mergeCell ref="F7681:H7681"/>
    <mergeCell ref="X7681:AB7681"/>
    <mergeCell ref="AE7681:AI7681"/>
    <mergeCell ref="AJ7681:AL7681"/>
    <mergeCell ref="AN7681:AO7681"/>
    <mergeCell ref="AP7681:AQ7681"/>
    <mergeCell ref="A7682:A7683"/>
    <mergeCell ref="E7682:E7683"/>
    <mergeCell ref="F7682:H7682"/>
    <mergeCell ref="J7682:J7683"/>
    <mergeCell ref="K7682:L7683"/>
    <mergeCell ref="M7682:N7683"/>
    <mergeCell ref="O7682:P7683"/>
    <mergeCell ref="Q7682:R7683"/>
    <mergeCell ref="S7682:T7683"/>
    <mergeCell ref="U7682:V7683"/>
    <mergeCell ref="W7682:W7683"/>
    <mergeCell ref="X7682:AB7682"/>
    <mergeCell ref="AD7682:AI7682"/>
    <mergeCell ref="AJ7682:AL7682"/>
    <mergeCell ref="AN7682:AO7682"/>
    <mergeCell ref="AP7682:AQ7682"/>
    <mergeCell ref="AR7682:AS7683"/>
    <mergeCell ref="AT7682:AU7683"/>
    <mergeCell ref="AV7682:AW7683"/>
    <mergeCell ref="AX7682:AY7683"/>
    <mergeCell ref="AZ7682:AZ7683"/>
    <mergeCell ref="F7683:H7683"/>
    <mergeCell ref="X7683:AB7683"/>
    <mergeCell ref="AE7683:AI7683"/>
    <mergeCell ref="AJ7683:AL7683"/>
    <mergeCell ref="AN7683:AO7683"/>
    <mergeCell ref="AP7683:AQ7683"/>
    <mergeCell ref="A7688:A7689"/>
    <mergeCell ref="E7688:E7689"/>
    <mergeCell ref="F7688:H7688"/>
    <mergeCell ref="J7688:J7689"/>
    <mergeCell ref="K7688:L7689"/>
    <mergeCell ref="M7688:N7689"/>
    <mergeCell ref="O7688:P7689"/>
    <mergeCell ref="Q7688:R7689"/>
    <mergeCell ref="S7688:T7689"/>
    <mergeCell ref="U7688:V7689"/>
    <mergeCell ref="W7688:W7689"/>
    <mergeCell ref="X7688:AB7688"/>
    <mergeCell ref="AD7688:AI7688"/>
    <mergeCell ref="AJ7688:AL7688"/>
    <mergeCell ref="AN7688:AO7688"/>
    <mergeCell ref="AP7688:AQ7688"/>
    <mergeCell ref="AR7688:AS7689"/>
    <mergeCell ref="AT7688:AU7689"/>
    <mergeCell ref="AV7688:AW7689"/>
    <mergeCell ref="AX7688:AY7689"/>
    <mergeCell ref="AZ7688:AZ7689"/>
    <mergeCell ref="F7689:H7689"/>
    <mergeCell ref="X7689:AB7689"/>
    <mergeCell ref="AE7689:AI7689"/>
    <mergeCell ref="AJ7689:AL7689"/>
    <mergeCell ref="AN7689:AO7689"/>
    <mergeCell ref="AP7689:AQ7689"/>
    <mergeCell ref="A7690:A7691"/>
    <mergeCell ref="E7690:E7691"/>
    <mergeCell ref="F7690:H7690"/>
    <mergeCell ref="J7690:J7691"/>
    <mergeCell ref="K7690:L7691"/>
    <mergeCell ref="M7690:N7691"/>
    <mergeCell ref="O7690:P7691"/>
    <mergeCell ref="Q7690:R7691"/>
    <mergeCell ref="S7690:T7691"/>
    <mergeCell ref="U7690:V7691"/>
    <mergeCell ref="W7690:W7691"/>
    <mergeCell ref="X7690:AB7690"/>
    <mergeCell ref="AD7690:AI7690"/>
    <mergeCell ref="AJ7690:AL7690"/>
    <mergeCell ref="AN7690:AO7690"/>
    <mergeCell ref="AP7690:AQ7690"/>
    <mergeCell ref="AR7690:AS7691"/>
    <mergeCell ref="AT7690:AU7691"/>
    <mergeCell ref="AV7690:AW7691"/>
    <mergeCell ref="AX7690:AY7691"/>
    <mergeCell ref="AZ7690:AZ7691"/>
    <mergeCell ref="F7691:H7691"/>
    <mergeCell ref="X7691:AB7691"/>
    <mergeCell ref="AE7691:AI7691"/>
    <mergeCell ref="AJ7691:AL7691"/>
    <mergeCell ref="AN7691:AO7691"/>
    <mergeCell ref="AP7691:AQ7691"/>
    <mergeCell ref="A7692:A7693"/>
    <mergeCell ref="E7692:E7693"/>
    <mergeCell ref="F7692:H7692"/>
    <mergeCell ref="J7692:J7693"/>
    <mergeCell ref="K7692:L7693"/>
    <mergeCell ref="M7692:N7693"/>
    <mergeCell ref="O7692:P7693"/>
    <mergeCell ref="Q7692:R7693"/>
    <mergeCell ref="S7692:T7693"/>
    <mergeCell ref="U7692:V7693"/>
    <mergeCell ref="W7692:W7693"/>
    <mergeCell ref="X7692:AB7692"/>
    <mergeCell ref="AD7692:AI7692"/>
    <mergeCell ref="AJ7692:AL7692"/>
    <mergeCell ref="AN7692:AO7692"/>
    <mergeCell ref="AP7692:AQ7692"/>
    <mergeCell ref="AR7692:AS7693"/>
    <mergeCell ref="AT7692:AU7693"/>
    <mergeCell ref="AV7692:AW7693"/>
    <mergeCell ref="AX7692:AY7693"/>
    <mergeCell ref="AZ7692:AZ7693"/>
    <mergeCell ref="F7693:H7693"/>
    <mergeCell ref="X7693:AB7693"/>
    <mergeCell ref="AE7693:AI7693"/>
    <mergeCell ref="AJ7693:AL7693"/>
    <mergeCell ref="AN7693:AO7693"/>
    <mergeCell ref="AP7693:AQ7693"/>
    <mergeCell ref="A7694:A7695"/>
    <mergeCell ref="E7694:E7695"/>
    <mergeCell ref="F7694:H7694"/>
    <mergeCell ref="J7694:J7695"/>
    <mergeCell ref="K7694:L7695"/>
    <mergeCell ref="M7694:N7695"/>
    <mergeCell ref="O7694:P7695"/>
    <mergeCell ref="Q7694:R7695"/>
    <mergeCell ref="S7694:T7695"/>
    <mergeCell ref="U7694:V7695"/>
    <mergeCell ref="W7694:W7695"/>
    <mergeCell ref="X7694:AB7694"/>
    <mergeCell ref="AD7694:AI7694"/>
    <mergeCell ref="AJ7694:AL7694"/>
    <mergeCell ref="AN7694:AO7694"/>
    <mergeCell ref="AP7694:AQ7694"/>
    <mergeCell ref="AR7694:AS7695"/>
    <mergeCell ref="AT7694:AU7695"/>
    <mergeCell ref="AV7694:AW7695"/>
    <mergeCell ref="AX7694:AY7695"/>
    <mergeCell ref="AZ7694:AZ7695"/>
    <mergeCell ref="F7695:H7695"/>
    <mergeCell ref="X7695:AB7695"/>
    <mergeCell ref="AE7695:AI7695"/>
    <mergeCell ref="AJ7695:AL7695"/>
    <mergeCell ref="AN7695:AO7695"/>
    <mergeCell ref="AP7695:AQ7695"/>
    <mergeCell ref="A7696:A7697"/>
    <mergeCell ref="E7696:E7697"/>
    <mergeCell ref="F7696:H7696"/>
    <mergeCell ref="J7696:J7697"/>
    <mergeCell ref="K7696:L7697"/>
    <mergeCell ref="M7696:N7697"/>
    <mergeCell ref="O7696:P7697"/>
    <mergeCell ref="Q7696:R7697"/>
    <mergeCell ref="S7696:T7697"/>
    <mergeCell ref="U7696:V7697"/>
    <mergeCell ref="W7696:W7697"/>
    <mergeCell ref="X7696:AB7696"/>
    <mergeCell ref="AD7696:AI7696"/>
    <mergeCell ref="AJ7696:AL7696"/>
    <mergeCell ref="AN7696:AO7696"/>
    <mergeCell ref="AP7696:AQ7696"/>
    <mergeCell ref="AR7696:AS7697"/>
    <mergeCell ref="AT7696:AU7697"/>
    <mergeCell ref="AV7696:AW7697"/>
    <mergeCell ref="AX7696:AY7697"/>
    <mergeCell ref="AZ7696:AZ7697"/>
    <mergeCell ref="F7697:H7697"/>
    <mergeCell ref="X7697:AB7697"/>
    <mergeCell ref="AE7697:AI7697"/>
    <mergeCell ref="AJ7697:AL7697"/>
    <mergeCell ref="AN7697:AO7697"/>
    <mergeCell ref="AP7697:AQ7697"/>
    <mergeCell ref="A7698:A7699"/>
    <mergeCell ref="E7698:E7699"/>
    <mergeCell ref="F7698:H7698"/>
    <mergeCell ref="J7698:J7699"/>
    <mergeCell ref="K7698:L7699"/>
    <mergeCell ref="M7698:N7699"/>
    <mergeCell ref="O7698:P7699"/>
    <mergeCell ref="Q7698:R7699"/>
    <mergeCell ref="S7698:T7699"/>
    <mergeCell ref="U7698:V7699"/>
    <mergeCell ref="W7698:W7699"/>
    <mergeCell ref="X7698:AB7698"/>
    <mergeCell ref="AD7698:AI7698"/>
    <mergeCell ref="AJ7698:AL7698"/>
    <mergeCell ref="AN7698:AO7698"/>
    <mergeCell ref="AP7698:AQ7698"/>
    <mergeCell ref="AR7698:AS7699"/>
    <mergeCell ref="AT7698:AU7699"/>
    <mergeCell ref="AV7698:AW7699"/>
    <mergeCell ref="AX7698:AY7699"/>
    <mergeCell ref="AZ7698:AZ7699"/>
    <mergeCell ref="F7699:H7699"/>
    <mergeCell ref="X7699:AB7699"/>
    <mergeCell ref="AE7699:AI7699"/>
    <mergeCell ref="AJ7699:AL7699"/>
    <mergeCell ref="AN7699:AO7699"/>
    <mergeCell ref="AP7699:AQ7699"/>
    <mergeCell ref="A7700:A7701"/>
    <mergeCell ref="E7700:E7701"/>
    <mergeCell ref="F7700:H7700"/>
    <mergeCell ref="J7700:J7701"/>
    <mergeCell ref="K7700:L7701"/>
    <mergeCell ref="M7700:N7701"/>
    <mergeCell ref="O7700:P7701"/>
    <mergeCell ref="Q7700:R7701"/>
    <mergeCell ref="S7700:T7701"/>
    <mergeCell ref="U7700:V7701"/>
    <mergeCell ref="W7700:W7701"/>
    <mergeCell ref="X7700:AB7700"/>
    <mergeCell ref="AD7700:AI7700"/>
    <mergeCell ref="AJ7700:AL7700"/>
    <mergeCell ref="AN7700:AO7700"/>
    <mergeCell ref="AP7700:AQ7700"/>
    <mergeCell ref="AR7700:AS7701"/>
    <mergeCell ref="AT7700:AU7701"/>
    <mergeCell ref="AV7700:AW7701"/>
    <mergeCell ref="AX7700:AY7701"/>
    <mergeCell ref="AZ7700:AZ7701"/>
    <mergeCell ref="F7701:H7701"/>
    <mergeCell ref="X7701:AB7701"/>
    <mergeCell ref="AE7701:AI7701"/>
    <mergeCell ref="AJ7701:AL7701"/>
    <mergeCell ref="AN7701:AO7701"/>
    <mergeCell ref="AP7701:AQ7701"/>
    <mergeCell ref="A7702:A7703"/>
    <mergeCell ref="E7702:E7703"/>
    <mergeCell ref="F7702:H7702"/>
    <mergeCell ref="J7702:J7703"/>
    <mergeCell ref="K7702:L7703"/>
    <mergeCell ref="M7702:N7703"/>
    <mergeCell ref="O7702:P7703"/>
    <mergeCell ref="Q7702:R7703"/>
    <mergeCell ref="S7702:T7703"/>
    <mergeCell ref="U7702:V7703"/>
    <mergeCell ref="W7702:W7703"/>
    <mergeCell ref="X7702:AB7702"/>
    <mergeCell ref="AD7702:AI7702"/>
    <mergeCell ref="AJ7702:AL7702"/>
    <mergeCell ref="AN7702:AO7702"/>
    <mergeCell ref="AP7702:AQ7702"/>
    <mergeCell ref="AR7702:AS7703"/>
    <mergeCell ref="AT7702:AU7703"/>
    <mergeCell ref="AV7702:AW7703"/>
    <mergeCell ref="AX7702:AY7703"/>
    <mergeCell ref="AZ7702:AZ7703"/>
    <mergeCell ref="F7703:H7703"/>
    <mergeCell ref="X7703:AB7703"/>
    <mergeCell ref="AE7703:AI7703"/>
    <mergeCell ref="AJ7703:AL7703"/>
    <mergeCell ref="AN7703:AO7703"/>
    <mergeCell ref="AP7703:AQ7703"/>
    <mergeCell ref="A7704:A7705"/>
    <mergeCell ref="E7704:E7705"/>
    <mergeCell ref="F7704:H7704"/>
    <mergeCell ref="J7704:J7705"/>
    <mergeCell ref="K7704:L7705"/>
    <mergeCell ref="M7704:N7705"/>
    <mergeCell ref="O7704:P7705"/>
    <mergeCell ref="Q7704:R7705"/>
    <mergeCell ref="S7704:T7705"/>
    <mergeCell ref="U7704:V7705"/>
    <mergeCell ref="W7704:W7705"/>
    <mergeCell ref="X7704:AB7704"/>
    <mergeCell ref="AD7704:AI7704"/>
    <mergeCell ref="AJ7704:AL7704"/>
    <mergeCell ref="AN7704:AO7704"/>
    <mergeCell ref="AP7704:AQ7704"/>
    <mergeCell ref="AR7704:AS7705"/>
    <mergeCell ref="AT7704:AU7705"/>
    <mergeCell ref="AV7704:AW7705"/>
    <mergeCell ref="AX7704:AY7705"/>
    <mergeCell ref="AZ7704:AZ7705"/>
    <mergeCell ref="F7705:H7705"/>
    <mergeCell ref="X7705:AB7705"/>
    <mergeCell ref="AE7705:AI7705"/>
    <mergeCell ref="AJ7705:AL7705"/>
    <mergeCell ref="AN7705:AO7705"/>
    <mergeCell ref="AP7705:AQ7705"/>
    <mergeCell ref="A7706:A7707"/>
    <mergeCell ref="E7706:E7707"/>
    <mergeCell ref="F7706:H7706"/>
    <mergeCell ref="J7706:J7707"/>
    <mergeCell ref="K7706:L7707"/>
    <mergeCell ref="M7706:N7707"/>
    <mergeCell ref="O7706:P7707"/>
    <mergeCell ref="Q7706:R7707"/>
    <mergeCell ref="S7706:T7707"/>
    <mergeCell ref="U7706:V7707"/>
    <mergeCell ref="W7706:W7707"/>
    <mergeCell ref="X7706:AB7706"/>
    <mergeCell ref="AD7706:AI7706"/>
    <mergeCell ref="AJ7706:AL7706"/>
    <mergeCell ref="AN7706:AO7706"/>
    <mergeCell ref="AP7706:AQ7706"/>
    <mergeCell ref="AR7706:AS7707"/>
    <mergeCell ref="AT7706:AU7707"/>
    <mergeCell ref="AV7706:AW7707"/>
    <mergeCell ref="AX7706:AY7707"/>
    <mergeCell ref="AZ7706:AZ7707"/>
    <mergeCell ref="F7707:H7707"/>
    <mergeCell ref="X7707:AB7707"/>
    <mergeCell ref="AE7707:AI7707"/>
    <mergeCell ref="AJ7707:AL7707"/>
    <mergeCell ref="AN7707:AO7707"/>
    <mergeCell ref="AP7707:AQ7707"/>
    <mergeCell ref="A7708:A7709"/>
    <mergeCell ref="E7708:E7709"/>
    <mergeCell ref="F7708:H7708"/>
    <mergeCell ref="J7708:J7709"/>
    <mergeCell ref="K7708:L7709"/>
    <mergeCell ref="M7708:N7709"/>
    <mergeCell ref="O7708:P7709"/>
    <mergeCell ref="Q7708:R7709"/>
    <mergeCell ref="S7708:T7709"/>
    <mergeCell ref="U7708:V7709"/>
    <mergeCell ref="W7708:W7709"/>
    <mergeCell ref="X7708:AB7708"/>
    <mergeCell ref="AD7708:AI7708"/>
    <mergeCell ref="AJ7708:AL7708"/>
    <mergeCell ref="AN7708:AO7708"/>
    <mergeCell ref="AP7708:AQ7708"/>
    <mergeCell ref="AR7708:AS7709"/>
    <mergeCell ref="AT7708:AU7709"/>
    <mergeCell ref="AV7708:AW7709"/>
    <mergeCell ref="AX7708:AY7709"/>
    <mergeCell ref="AZ7708:AZ7709"/>
    <mergeCell ref="F7709:H7709"/>
    <mergeCell ref="X7709:AB7709"/>
    <mergeCell ref="AE7709:AI7709"/>
    <mergeCell ref="AJ7709:AL7709"/>
    <mergeCell ref="AN7709:AO7709"/>
    <mergeCell ref="AP7709:AQ7709"/>
    <mergeCell ref="A7710:A7711"/>
    <mergeCell ref="E7710:E7711"/>
    <mergeCell ref="F7710:H7710"/>
    <mergeCell ref="J7710:J7711"/>
    <mergeCell ref="K7710:L7711"/>
    <mergeCell ref="M7710:N7711"/>
    <mergeCell ref="O7710:P7711"/>
    <mergeCell ref="Q7710:R7711"/>
    <mergeCell ref="S7710:T7711"/>
    <mergeCell ref="U7710:V7711"/>
    <mergeCell ref="W7710:W7711"/>
    <mergeCell ref="X7710:AB7710"/>
    <mergeCell ref="AD7710:AI7710"/>
    <mergeCell ref="AJ7710:AL7710"/>
    <mergeCell ref="AN7710:AO7710"/>
    <mergeCell ref="AP7710:AQ7710"/>
    <mergeCell ref="AR7710:AS7711"/>
    <mergeCell ref="AT7710:AU7711"/>
    <mergeCell ref="AV7710:AW7711"/>
    <mergeCell ref="AX7710:AY7711"/>
    <mergeCell ref="AZ7710:AZ7711"/>
    <mergeCell ref="F7711:H7711"/>
    <mergeCell ref="X7711:AB7711"/>
    <mergeCell ref="AE7711:AI7711"/>
    <mergeCell ref="AJ7711:AL7711"/>
    <mergeCell ref="AN7711:AO7711"/>
    <mergeCell ref="AP7711:AQ7711"/>
    <mergeCell ref="A7712:A7713"/>
    <mergeCell ref="E7712:E7713"/>
    <mergeCell ref="F7712:H7712"/>
    <mergeCell ref="J7712:J7713"/>
    <mergeCell ref="K7712:L7713"/>
    <mergeCell ref="M7712:N7713"/>
    <mergeCell ref="O7712:P7713"/>
    <mergeCell ref="Q7712:R7713"/>
    <mergeCell ref="S7712:T7713"/>
    <mergeCell ref="U7712:V7713"/>
    <mergeCell ref="W7712:W7713"/>
    <mergeCell ref="X7712:AB7712"/>
    <mergeCell ref="AD7712:AI7712"/>
    <mergeCell ref="AJ7712:AL7712"/>
    <mergeCell ref="AN7712:AO7712"/>
    <mergeCell ref="AP7712:AQ7712"/>
    <mergeCell ref="AR7712:AS7713"/>
    <mergeCell ref="AT7712:AU7713"/>
    <mergeCell ref="AV7712:AW7713"/>
    <mergeCell ref="AX7712:AY7713"/>
    <mergeCell ref="AZ7712:AZ7713"/>
    <mergeCell ref="F7713:H7713"/>
    <mergeCell ref="X7713:AB7713"/>
    <mergeCell ref="AE7713:AI7713"/>
    <mergeCell ref="AJ7713:AL7713"/>
    <mergeCell ref="AN7713:AO7713"/>
    <mergeCell ref="AP7713:AQ7713"/>
    <mergeCell ref="A7714:A7715"/>
    <mergeCell ref="E7714:E7715"/>
    <mergeCell ref="F7714:H7714"/>
    <mergeCell ref="J7714:J7715"/>
    <mergeCell ref="K7714:L7715"/>
    <mergeCell ref="M7714:N7715"/>
    <mergeCell ref="O7714:P7715"/>
    <mergeCell ref="Q7714:R7715"/>
    <mergeCell ref="S7714:T7715"/>
    <mergeCell ref="U7714:V7715"/>
    <mergeCell ref="W7714:W7715"/>
    <mergeCell ref="X7714:AB7714"/>
    <mergeCell ref="AD7714:AI7714"/>
    <mergeCell ref="AJ7714:AL7714"/>
    <mergeCell ref="AN7714:AO7714"/>
    <mergeCell ref="AP7714:AQ7714"/>
    <mergeCell ref="AR7714:AS7715"/>
    <mergeCell ref="AT7714:AU7715"/>
    <mergeCell ref="AV7714:AW7715"/>
    <mergeCell ref="AX7714:AY7715"/>
    <mergeCell ref="AZ7714:AZ7715"/>
    <mergeCell ref="F7715:H7715"/>
    <mergeCell ref="X7715:AB7715"/>
    <mergeCell ref="AE7715:AI7715"/>
    <mergeCell ref="AJ7715:AL7715"/>
    <mergeCell ref="AN7715:AO7715"/>
    <mergeCell ref="AP7715:AQ7715"/>
    <mergeCell ref="A7716:A7717"/>
    <mergeCell ref="E7716:E7717"/>
    <mergeCell ref="F7716:H7716"/>
    <mergeCell ref="J7716:J7717"/>
    <mergeCell ref="K7716:L7717"/>
    <mergeCell ref="M7716:N7717"/>
    <mergeCell ref="O7716:P7717"/>
    <mergeCell ref="Q7716:R7717"/>
    <mergeCell ref="S7716:T7717"/>
    <mergeCell ref="U7716:V7717"/>
    <mergeCell ref="W7716:W7717"/>
    <mergeCell ref="X7716:AB7716"/>
    <mergeCell ref="AD7716:AI7716"/>
    <mergeCell ref="AJ7716:AL7716"/>
    <mergeCell ref="AN7716:AO7716"/>
    <mergeCell ref="AP7716:AQ7716"/>
    <mergeCell ref="AR7716:AS7717"/>
    <mergeCell ref="AT7716:AU7717"/>
    <mergeCell ref="AV7716:AW7717"/>
    <mergeCell ref="AX7716:AY7717"/>
    <mergeCell ref="AZ7716:AZ7717"/>
    <mergeCell ref="F7717:H7717"/>
    <mergeCell ref="X7717:AB7717"/>
    <mergeCell ref="AE7717:AI7717"/>
    <mergeCell ref="AJ7717:AL7717"/>
    <mergeCell ref="AN7717:AO7717"/>
    <mergeCell ref="AP7717:AQ7717"/>
    <mergeCell ref="A7718:A7719"/>
    <mergeCell ref="E7718:E7719"/>
    <mergeCell ref="F7718:H7718"/>
    <mergeCell ref="J7718:J7719"/>
    <mergeCell ref="K7718:L7719"/>
    <mergeCell ref="M7718:N7719"/>
    <mergeCell ref="O7718:P7719"/>
    <mergeCell ref="Q7718:R7719"/>
    <mergeCell ref="S7718:T7719"/>
    <mergeCell ref="U7718:V7719"/>
    <mergeCell ref="W7718:W7719"/>
    <mergeCell ref="X7718:AB7718"/>
    <mergeCell ref="AD7718:AI7718"/>
    <mergeCell ref="AJ7718:AL7718"/>
    <mergeCell ref="AN7718:AO7718"/>
    <mergeCell ref="AP7718:AQ7718"/>
    <mergeCell ref="AR7718:AS7719"/>
    <mergeCell ref="AT7718:AU7719"/>
    <mergeCell ref="AV7718:AW7719"/>
    <mergeCell ref="AX7718:AY7719"/>
    <mergeCell ref="AZ7718:AZ7719"/>
    <mergeCell ref="F7719:H7719"/>
    <mergeCell ref="X7719:AB7719"/>
    <mergeCell ref="AE7719:AI7719"/>
    <mergeCell ref="AJ7719:AL7719"/>
    <mergeCell ref="AN7719:AO7719"/>
    <mergeCell ref="AP7719:AQ7719"/>
    <mergeCell ref="A7720:A7721"/>
    <mergeCell ref="E7720:E7721"/>
    <mergeCell ref="F7720:H7720"/>
    <mergeCell ref="J7720:J7721"/>
    <mergeCell ref="K7720:L7721"/>
    <mergeCell ref="M7720:N7721"/>
    <mergeCell ref="O7720:P7721"/>
    <mergeCell ref="Q7720:R7721"/>
    <mergeCell ref="S7720:T7721"/>
    <mergeCell ref="U7720:V7721"/>
    <mergeCell ref="W7720:W7721"/>
    <mergeCell ref="X7720:AB7720"/>
    <mergeCell ref="AD7720:AI7720"/>
    <mergeCell ref="AJ7720:AL7720"/>
    <mergeCell ref="AN7720:AO7720"/>
    <mergeCell ref="AP7720:AQ7720"/>
    <mergeCell ref="AR7720:AS7721"/>
    <mergeCell ref="AT7720:AU7721"/>
    <mergeCell ref="AV7720:AW7721"/>
    <mergeCell ref="AX7720:AY7721"/>
    <mergeCell ref="AZ7720:AZ7721"/>
    <mergeCell ref="F7721:H7721"/>
    <mergeCell ref="X7721:AB7721"/>
    <mergeCell ref="AE7721:AI7721"/>
    <mergeCell ref="AJ7721:AL7721"/>
    <mergeCell ref="AN7721:AO7721"/>
    <mergeCell ref="AP7721:AQ7721"/>
    <mergeCell ref="A7722:A7723"/>
    <mergeCell ref="E7722:E7723"/>
    <mergeCell ref="F7722:H7722"/>
    <mergeCell ref="J7722:J7723"/>
    <mergeCell ref="K7722:L7723"/>
    <mergeCell ref="M7722:N7723"/>
    <mergeCell ref="O7722:P7723"/>
    <mergeCell ref="Q7722:R7723"/>
    <mergeCell ref="S7722:T7723"/>
    <mergeCell ref="U7722:V7723"/>
    <mergeCell ref="W7722:W7723"/>
    <mergeCell ref="X7722:AB7722"/>
    <mergeCell ref="AD7722:AI7722"/>
    <mergeCell ref="AJ7722:AL7722"/>
    <mergeCell ref="AN7722:AO7722"/>
    <mergeCell ref="AP7722:AQ7722"/>
    <mergeCell ref="AR7722:AS7723"/>
    <mergeCell ref="AT7722:AU7723"/>
    <mergeCell ref="AV7722:AW7723"/>
    <mergeCell ref="AX7722:AY7723"/>
    <mergeCell ref="AZ7722:AZ7723"/>
    <mergeCell ref="F7723:H7723"/>
    <mergeCell ref="X7723:AB7723"/>
    <mergeCell ref="AE7723:AI7723"/>
    <mergeCell ref="AJ7723:AL7723"/>
    <mergeCell ref="AN7723:AO7723"/>
    <mergeCell ref="AP7723:AQ7723"/>
    <mergeCell ref="A7724:A7725"/>
    <mergeCell ref="E7724:E7725"/>
    <mergeCell ref="F7724:H7724"/>
    <mergeCell ref="J7724:J7725"/>
    <mergeCell ref="K7724:L7725"/>
    <mergeCell ref="M7724:N7725"/>
    <mergeCell ref="O7724:P7725"/>
    <mergeCell ref="Q7724:R7725"/>
    <mergeCell ref="S7724:T7725"/>
    <mergeCell ref="U7724:V7725"/>
    <mergeCell ref="W7724:W7725"/>
    <mergeCell ref="X7724:AB7724"/>
    <mergeCell ref="AD7724:AI7724"/>
    <mergeCell ref="AJ7724:AL7724"/>
    <mergeCell ref="AN7724:AO7724"/>
    <mergeCell ref="AP7724:AQ7724"/>
    <mergeCell ref="AR7724:AS7725"/>
    <mergeCell ref="AT7724:AU7725"/>
    <mergeCell ref="AV7724:AW7725"/>
    <mergeCell ref="AX7724:AY7725"/>
    <mergeCell ref="AZ7724:AZ7725"/>
    <mergeCell ref="F7725:H7725"/>
    <mergeCell ref="X7725:AB7725"/>
    <mergeCell ref="AE7725:AI7725"/>
    <mergeCell ref="AJ7725:AL7725"/>
    <mergeCell ref="AN7725:AO7725"/>
    <mergeCell ref="AP7725:AQ7725"/>
    <mergeCell ref="A7726:A7727"/>
    <mergeCell ref="E7726:E7727"/>
    <mergeCell ref="F7726:H7726"/>
    <mergeCell ref="J7726:J7727"/>
    <mergeCell ref="K7726:L7727"/>
    <mergeCell ref="M7726:N7727"/>
    <mergeCell ref="O7726:P7727"/>
    <mergeCell ref="Q7726:R7727"/>
    <mergeCell ref="S7726:T7727"/>
    <mergeCell ref="U7726:V7727"/>
    <mergeCell ref="W7726:W7727"/>
    <mergeCell ref="X7726:AB7726"/>
    <mergeCell ref="AD7726:AI7726"/>
    <mergeCell ref="AJ7726:AL7726"/>
    <mergeCell ref="AN7726:AO7726"/>
    <mergeCell ref="AP7726:AQ7726"/>
    <mergeCell ref="AR7726:AS7727"/>
    <mergeCell ref="AT7726:AU7727"/>
    <mergeCell ref="AV7726:AW7727"/>
    <mergeCell ref="AX7726:AY7727"/>
    <mergeCell ref="AZ7726:AZ7727"/>
    <mergeCell ref="F7727:H7727"/>
    <mergeCell ref="X7727:AB7727"/>
    <mergeCell ref="AE7727:AI7727"/>
    <mergeCell ref="AJ7727:AL7727"/>
    <mergeCell ref="AN7727:AO7727"/>
    <mergeCell ref="AP7727:AQ7727"/>
    <mergeCell ref="A7728:A7729"/>
    <mergeCell ref="E7728:E7729"/>
    <mergeCell ref="F7728:H7728"/>
    <mergeCell ref="J7728:J7729"/>
    <mergeCell ref="K7728:L7729"/>
    <mergeCell ref="M7728:N7729"/>
    <mergeCell ref="O7728:P7729"/>
    <mergeCell ref="Q7728:R7729"/>
    <mergeCell ref="S7728:T7729"/>
    <mergeCell ref="U7728:V7729"/>
    <mergeCell ref="W7728:W7729"/>
    <mergeCell ref="X7728:AB7728"/>
    <mergeCell ref="AD7728:AI7728"/>
    <mergeCell ref="AJ7728:AL7728"/>
    <mergeCell ref="AN7728:AO7728"/>
    <mergeCell ref="AP7728:AQ7728"/>
    <mergeCell ref="AR7728:AS7729"/>
    <mergeCell ref="AT7728:AU7729"/>
    <mergeCell ref="AV7728:AW7729"/>
    <mergeCell ref="AX7728:AY7729"/>
    <mergeCell ref="AZ7728:AZ7729"/>
    <mergeCell ref="F7729:H7729"/>
    <mergeCell ref="X7729:AB7729"/>
    <mergeCell ref="AE7729:AI7729"/>
    <mergeCell ref="AJ7729:AL7729"/>
    <mergeCell ref="AN7729:AO7729"/>
    <mergeCell ref="AP7729:AQ7729"/>
    <mergeCell ref="A7730:A7731"/>
    <mergeCell ref="E7730:E7731"/>
    <mergeCell ref="F7730:H7730"/>
    <mergeCell ref="J7730:J7731"/>
    <mergeCell ref="K7730:L7731"/>
    <mergeCell ref="M7730:N7731"/>
    <mergeCell ref="O7730:P7731"/>
    <mergeCell ref="Q7730:R7731"/>
    <mergeCell ref="S7730:T7731"/>
    <mergeCell ref="U7730:V7731"/>
    <mergeCell ref="W7730:W7731"/>
    <mergeCell ref="X7730:AB7730"/>
    <mergeCell ref="AD7730:AI7730"/>
    <mergeCell ref="AJ7730:AL7730"/>
    <mergeCell ref="AN7730:AO7730"/>
    <mergeCell ref="AP7730:AQ7730"/>
    <mergeCell ref="AR7730:AS7731"/>
    <mergeCell ref="AT7730:AU7731"/>
    <mergeCell ref="AV7730:AW7731"/>
    <mergeCell ref="AX7730:AY7731"/>
    <mergeCell ref="AZ7730:AZ7731"/>
    <mergeCell ref="F7731:H7731"/>
    <mergeCell ref="X7731:AB7731"/>
    <mergeCell ref="AE7731:AI7731"/>
    <mergeCell ref="AJ7731:AL7731"/>
    <mergeCell ref="AN7731:AO7731"/>
    <mergeCell ref="AP7731:AQ7731"/>
    <mergeCell ref="A7732:A7733"/>
    <mergeCell ref="E7732:E7733"/>
    <mergeCell ref="F7732:H7732"/>
    <mergeCell ref="J7732:J7733"/>
    <mergeCell ref="K7732:L7733"/>
    <mergeCell ref="M7732:N7733"/>
    <mergeCell ref="O7732:P7733"/>
    <mergeCell ref="Q7732:R7733"/>
    <mergeCell ref="S7732:T7733"/>
    <mergeCell ref="U7732:V7733"/>
    <mergeCell ref="W7732:W7733"/>
    <mergeCell ref="X7732:AB7732"/>
    <mergeCell ref="AD7732:AI7732"/>
    <mergeCell ref="AJ7732:AL7732"/>
    <mergeCell ref="AN7732:AO7732"/>
    <mergeCell ref="AP7732:AQ7732"/>
    <mergeCell ref="AR7732:AS7733"/>
    <mergeCell ref="AT7732:AU7733"/>
    <mergeCell ref="AV7732:AW7733"/>
    <mergeCell ref="AX7732:AY7733"/>
    <mergeCell ref="AZ7732:AZ7733"/>
    <mergeCell ref="F7733:H7733"/>
    <mergeCell ref="X7733:AB7733"/>
    <mergeCell ref="AE7733:AI7733"/>
    <mergeCell ref="AJ7733:AL7733"/>
    <mergeCell ref="AN7733:AO7733"/>
    <mergeCell ref="AP7733:AQ7733"/>
    <mergeCell ref="A7734:A7735"/>
    <mergeCell ref="E7734:E7735"/>
    <mergeCell ref="F7734:H7734"/>
    <mergeCell ref="J7734:J7735"/>
    <mergeCell ref="K7734:L7735"/>
    <mergeCell ref="M7734:N7735"/>
    <mergeCell ref="O7734:P7735"/>
    <mergeCell ref="Q7734:R7735"/>
    <mergeCell ref="S7734:T7735"/>
    <mergeCell ref="U7734:V7735"/>
    <mergeCell ref="W7734:W7735"/>
    <mergeCell ref="X7734:AB7734"/>
    <mergeCell ref="AD7734:AI7734"/>
    <mergeCell ref="AJ7734:AL7734"/>
    <mergeCell ref="AN7734:AO7734"/>
    <mergeCell ref="AP7734:AQ7734"/>
    <mergeCell ref="AR7734:AS7735"/>
    <mergeCell ref="AT7734:AU7735"/>
    <mergeCell ref="AV7734:AW7735"/>
    <mergeCell ref="AX7734:AY7735"/>
    <mergeCell ref="AZ7734:AZ7735"/>
    <mergeCell ref="F7735:H7735"/>
    <mergeCell ref="X7735:AB7735"/>
    <mergeCell ref="AE7735:AI7735"/>
    <mergeCell ref="AJ7735:AL7735"/>
    <mergeCell ref="AN7735:AO7735"/>
    <mergeCell ref="AP7735:AQ7735"/>
    <mergeCell ref="A7736:A7737"/>
    <mergeCell ref="E7736:E7737"/>
    <mergeCell ref="F7736:H7736"/>
    <mergeCell ref="J7736:J7737"/>
    <mergeCell ref="K7736:L7737"/>
    <mergeCell ref="M7736:N7737"/>
    <mergeCell ref="O7736:P7737"/>
    <mergeCell ref="Q7736:R7737"/>
    <mergeCell ref="S7736:T7737"/>
    <mergeCell ref="U7736:V7737"/>
    <mergeCell ref="W7736:W7737"/>
    <mergeCell ref="X7736:AB7736"/>
    <mergeCell ref="AD7736:AI7736"/>
    <mergeCell ref="AJ7736:AL7736"/>
    <mergeCell ref="AN7736:AO7736"/>
    <mergeCell ref="AP7736:AQ7736"/>
    <mergeCell ref="AR7736:AS7737"/>
    <mergeCell ref="AT7736:AU7737"/>
    <mergeCell ref="AV7736:AW7737"/>
    <mergeCell ref="AX7736:AY7737"/>
    <mergeCell ref="AZ7736:AZ7737"/>
    <mergeCell ref="F7737:H7737"/>
    <mergeCell ref="X7737:AB7737"/>
    <mergeCell ref="AE7737:AI7737"/>
    <mergeCell ref="AJ7737:AL7737"/>
    <mergeCell ref="AN7737:AO7737"/>
    <mergeCell ref="AP7737:AQ7737"/>
    <mergeCell ref="A7738:A7739"/>
    <mergeCell ref="E7738:E7739"/>
    <mergeCell ref="F7738:H7738"/>
    <mergeCell ref="J7738:J7739"/>
    <mergeCell ref="K7738:L7739"/>
    <mergeCell ref="M7738:N7739"/>
    <mergeCell ref="O7738:P7739"/>
    <mergeCell ref="Q7738:R7739"/>
    <mergeCell ref="S7738:T7739"/>
    <mergeCell ref="U7738:V7739"/>
    <mergeCell ref="W7738:W7739"/>
    <mergeCell ref="X7738:AB7738"/>
    <mergeCell ref="AD7738:AI7738"/>
    <mergeCell ref="AJ7738:AL7738"/>
    <mergeCell ref="AN7738:AO7738"/>
    <mergeCell ref="AP7738:AQ7738"/>
    <mergeCell ref="AR7738:AS7739"/>
    <mergeCell ref="AT7738:AU7739"/>
    <mergeCell ref="AV7738:AW7739"/>
    <mergeCell ref="AX7738:AY7739"/>
    <mergeCell ref="AZ7738:AZ7739"/>
    <mergeCell ref="F7739:H7739"/>
    <mergeCell ref="X7739:AB7739"/>
    <mergeCell ref="AE7739:AI7739"/>
    <mergeCell ref="AJ7739:AL7739"/>
    <mergeCell ref="AN7739:AO7739"/>
    <mergeCell ref="AP7739:AQ7739"/>
    <mergeCell ref="A7740:A7741"/>
    <mergeCell ref="E7740:E7741"/>
    <mergeCell ref="F7740:H7740"/>
    <mergeCell ref="J7740:J7741"/>
    <mergeCell ref="K7740:L7741"/>
    <mergeCell ref="M7740:N7741"/>
    <mergeCell ref="O7740:P7741"/>
    <mergeCell ref="Q7740:R7741"/>
    <mergeCell ref="S7740:T7741"/>
    <mergeCell ref="U7740:V7741"/>
    <mergeCell ref="W7740:W7741"/>
    <mergeCell ref="X7740:AB7740"/>
    <mergeCell ref="AD7740:AI7740"/>
    <mergeCell ref="AJ7740:AL7740"/>
    <mergeCell ref="AN7740:AO7740"/>
    <mergeCell ref="AP7740:AQ7740"/>
    <mergeCell ref="AR7740:AS7741"/>
    <mergeCell ref="AT7740:AU7741"/>
    <mergeCell ref="AV7740:AW7741"/>
    <mergeCell ref="AX7740:AY7741"/>
    <mergeCell ref="AZ7740:AZ7741"/>
    <mergeCell ref="F7741:H7741"/>
    <mergeCell ref="X7741:AB7741"/>
    <mergeCell ref="AE7741:AI7741"/>
    <mergeCell ref="AJ7741:AL7741"/>
    <mergeCell ref="AN7741:AO7741"/>
    <mergeCell ref="AP7741:AQ7741"/>
    <mergeCell ref="A7742:A7743"/>
    <mergeCell ref="E7742:E7743"/>
    <mergeCell ref="F7742:H7742"/>
    <mergeCell ref="J7742:J7743"/>
    <mergeCell ref="K7742:L7743"/>
    <mergeCell ref="M7742:N7743"/>
    <mergeCell ref="O7742:P7743"/>
    <mergeCell ref="Q7742:R7743"/>
    <mergeCell ref="S7742:T7743"/>
    <mergeCell ref="U7742:V7743"/>
    <mergeCell ref="W7742:W7743"/>
    <mergeCell ref="X7742:AB7742"/>
    <mergeCell ref="AD7742:AI7742"/>
    <mergeCell ref="AJ7742:AL7742"/>
    <mergeCell ref="AN7742:AO7742"/>
    <mergeCell ref="AP7742:AQ7742"/>
    <mergeCell ref="AR7742:AS7743"/>
    <mergeCell ref="AT7742:AU7743"/>
    <mergeCell ref="AV7742:AW7743"/>
    <mergeCell ref="AX7742:AY7743"/>
    <mergeCell ref="AZ7742:AZ7743"/>
    <mergeCell ref="F7743:H7743"/>
    <mergeCell ref="X7743:AB7743"/>
    <mergeCell ref="AE7743:AI7743"/>
    <mergeCell ref="AJ7743:AL7743"/>
    <mergeCell ref="AN7743:AO7743"/>
    <mergeCell ref="AP7743:AQ7743"/>
    <mergeCell ref="A7744:A7745"/>
    <mergeCell ref="E7744:E7745"/>
    <mergeCell ref="F7744:H7744"/>
    <mergeCell ref="J7744:J7745"/>
    <mergeCell ref="K7744:L7745"/>
    <mergeCell ref="M7744:N7745"/>
    <mergeCell ref="O7744:P7745"/>
    <mergeCell ref="Q7744:R7745"/>
    <mergeCell ref="S7744:T7745"/>
    <mergeCell ref="U7744:V7745"/>
    <mergeCell ref="W7744:W7745"/>
    <mergeCell ref="X7744:AB7744"/>
    <mergeCell ref="AD7744:AI7744"/>
    <mergeCell ref="AJ7744:AL7744"/>
    <mergeCell ref="AN7744:AO7744"/>
    <mergeCell ref="AP7744:AQ7744"/>
    <mergeCell ref="AR7744:AS7745"/>
    <mergeCell ref="AT7744:AU7745"/>
    <mergeCell ref="AV7744:AW7745"/>
    <mergeCell ref="AX7744:AY7745"/>
    <mergeCell ref="AZ7744:AZ7745"/>
    <mergeCell ref="F7745:H7745"/>
    <mergeCell ref="X7745:AB7745"/>
    <mergeCell ref="AE7745:AI7745"/>
    <mergeCell ref="AJ7745:AL7745"/>
    <mergeCell ref="AN7745:AO7745"/>
    <mergeCell ref="AP7745:AQ7745"/>
    <mergeCell ref="A7746:A7747"/>
    <mergeCell ref="E7746:E7747"/>
    <mergeCell ref="F7746:H7746"/>
    <mergeCell ref="J7746:J7747"/>
    <mergeCell ref="K7746:L7747"/>
    <mergeCell ref="M7746:N7747"/>
    <mergeCell ref="O7746:P7747"/>
    <mergeCell ref="Q7746:R7747"/>
    <mergeCell ref="S7746:T7747"/>
    <mergeCell ref="U7746:V7747"/>
    <mergeCell ref="W7746:W7747"/>
    <mergeCell ref="X7746:AB7746"/>
    <mergeCell ref="AD7746:AI7746"/>
    <mergeCell ref="AJ7746:AL7746"/>
    <mergeCell ref="AN7746:AO7746"/>
    <mergeCell ref="AP7746:AQ7746"/>
    <mergeCell ref="AR7746:AS7747"/>
    <mergeCell ref="AT7746:AU7747"/>
    <mergeCell ref="AV7746:AW7747"/>
    <mergeCell ref="AX7746:AY7747"/>
    <mergeCell ref="AZ7746:AZ7747"/>
    <mergeCell ref="F7747:H7747"/>
    <mergeCell ref="X7747:AB7747"/>
    <mergeCell ref="AE7747:AI7747"/>
    <mergeCell ref="AJ7747:AL7747"/>
    <mergeCell ref="AN7747:AO7747"/>
    <mergeCell ref="AP7747:AQ7747"/>
    <mergeCell ref="A7748:A7749"/>
    <mergeCell ref="E7748:E7749"/>
    <mergeCell ref="F7748:H7748"/>
    <mergeCell ref="J7748:J7749"/>
    <mergeCell ref="K7748:L7749"/>
    <mergeCell ref="M7748:N7749"/>
    <mergeCell ref="O7748:P7749"/>
    <mergeCell ref="Q7748:R7749"/>
    <mergeCell ref="S7748:T7749"/>
    <mergeCell ref="U7748:V7749"/>
    <mergeCell ref="W7748:W7749"/>
    <mergeCell ref="X7748:AB7748"/>
    <mergeCell ref="AD7748:AI7748"/>
    <mergeCell ref="AJ7748:AL7748"/>
    <mergeCell ref="AN7748:AO7748"/>
    <mergeCell ref="AP7748:AQ7748"/>
    <mergeCell ref="AR7748:AS7749"/>
    <mergeCell ref="AT7748:AU7749"/>
    <mergeCell ref="AV7748:AW7749"/>
    <mergeCell ref="AX7748:AY7749"/>
    <mergeCell ref="AZ7748:AZ7749"/>
    <mergeCell ref="F7749:H7749"/>
    <mergeCell ref="X7749:AB7749"/>
    <mergeCell ref="AE7749:AI7749"/>
    <mergeCell ref="AJ7749:AL7749"/>
    <mergeCell ref="AN7749:AO7749"/>
    <mergeCell ref="AP7749:AQ7749"/>
    <mergeCell ref="A7750:A7751"/>
    <mergeCell ref="E7750:E7751"/>
    <mergeCell ref="F7750:H7750"/>
    <mergeCell ref="J7750:J7751"/>
    <mergeCell ref="K7750:L7751"/>
    <mergeCell ref="M7750:N7751"/>
    <mergeCell ref="O7750:P7751"/>
    <mergeCell ref="Q7750:R7751"/>
    <mergeCell ref="S7750:T7751"/>
    <mergeCell ref="U7750:V7751"/>
    <mergeCell ref="W7750:W7751"/>
    <mergeCell ref="X7750:AB7750"/>
    <mergeCell ref="AD7750:AI7750"/>
    <mergeCell ref="AJ7750:AL7750"/>
    <mergeCell ref="AN7750:AO7750"/>
    <mergeCell ref="AP7750:AQ7750"/>
    <mergeCell ref="AR7750:AS7751"/>
    <mergeCell ref="AT7750:AU7751"/>
    <mergeCell ref="AV7750:AW7751"/>
    <mergeCell ref="AX7750:AY7751"/>
    <mergeCell ref="AZ7750:AZ7751"/>
    <mergeCell ref="F7751:H7751"/>
    <mergeCell ref="X7751:AB7751"/>
    <mergeCell ref="AE7751:AI7751"/>
    <mergeCell ref="AJ7751:AL7751"/>
    <mergeCell ref="AN7751:AO7751"/>
    <mergeCell ref="AP7751:AQ7751"/>
    <mergeCell ref="A7752:A7753"/>
    <mergeCell ref="E7752:E7753"/>
    <mergeCell ref="F7752:H7752"/>
    <mergeCell ref="J7752:J7753"/>
    <mergeCell ref="K7752:L7753"/>
    <mergeCell ref="M7752:N7753"/>
    <mergeCell ref="O7752:P7753"/>
    <mergeCell ref="Q7752:R7753"/>
    <mergeCell ref="S7752:T7753"/>
    <mergeCell ref="U7752:V7753"/>
    <mergeCell ref="W7752:W7753"/>
    <mergeCell ref="X7752:AB7752"/>
    <mergeCell ref="AD7752:AI7752"/>
    <mergeCell ref="AJ7752:AL7752"/>
    <mergeCell ref="AN7752:AO7752"/>
    <mergeCell ref="AP7752:AQ7752"/>
    <mergeCell ref="AR7752:AS7753"/>
    <mergeCell ref="AT7752:AU7753"/>
    <mergeCell ref="AV7752:AW7753"/>
    <mergeCell ref="AX7752:AY7753"/>
    <mergeCell ref="AZ7752:AZ7753"/>
    <mergeCell ref="F7753:H7753"/>
    <mergeCell ref="X7753:AB7753"/>
    <mergeCell ref="AE7753:AI7753"/>
    <mergeCell ref="AJ7753:AL7753"/>
    <mergeCell ref="AN7753:AO7753"/>
    <mergeCell ref="AP7753:AQ7753"/>
    <mergeCell ref="A7754:A7755"/>
    <mergeCell ref="E7754:E7755"/>
    <mergeCell ref="F7754:H7754"/>
    <mergeCell ref="J7754:J7755"/>
    <mergeCell ref="K7754:L7755"/>
    <mergeCell ref="M7754:N7755"/>
    <mergeCell ref="O7754:P7755"/>
    <mergeCell ref="Q7754:R7755"/>
    <mergeCell ref="S7754:T7755"/>
    <mergeCell ref="U7754:V7755"/>
    <mergeCell ref="W7754:W7755"/>
    <mergeCell ref="X7754:AB7754"/>
    <mergeCell ref="AD7754:AI7754"/>
    <mergeCell ref="AJ7754:AL7754"/>
    <mergeCell ref="AN7754:AO7754"/>
    <mergeCell ref="AP7754:AQ7754"/>
    <mergeCell ref="AR7754:AS7755"/>
    <mergeCell ref="AT7754:AU7755"/>
    <mergeCell ref="AV7754:AW7755"/>
    <mergeCell ref="AX7754:AY7755"/>
    <mergeCell ref="AZ7754:AZ7755"/>
    <mergeCell ref="F7755:H7755"/>
    <mergeCell ref="X7755:AB7755"/>
    <mergeCell ref="AE7755:AI7755"/>
    <mergeCell ref="AJ7755:AL7755"/>
    <mergeCell ref="AN7755:AO7755"/>
    <mergeCell ref="AP7755:AQ7755"/>
    <mergeCell ref="A7756:A7757"/>
    <mergeCell ref="E7756:E7757"/>
    <mergeCell ref="F7756:H7756"/>
    <mergeCell ref="J7756:J7757"/>
    <mergeCell ref="K7756:L7757"/>
    <mergeCell ref="M7756:N7757"/>
    <mergeCell ref="O7756:P7757"/>
    <mergeCell ref="Q7756:R7757"/>
    <mergeCell ref="S7756:T7757"/>
    <mergeCell ref="U7756:V7757"/>
    <mergeCell ref="W7756:W7757"/>
    <mergeCell ref="X7756:AB7756"/>
    <mergeCell ref="AD7756:AI7756"/>
    <mergeCell ref="AJ7756:AL7756"/>
    <mergeCell ref="AN7756:AO7756"/>
    <mergeCell ref="AP7756:AQ7756"/>
    <mergeCell ref="AR7756:AS7757"/>
    <mergeCell ref="AT7756:AU7757"/>
    <mergeCell ref="AV7756:AW7757"/>
    <mergeCell ref="AX7756:AY7757"/>
    <mergeCell ref="AZ7756:AZ7757"/>
    <mergeCell ref="F7757:H7757"/>
    <mergeCell ref="X7757:AB7757"/>
    <mergeCell ref="AE7757:AI7757"/>
    <mergeCell ref="AJ7757:AL7757"/>
    <mergeCell ref="AN7757:AO7757"/>
    <mergeCell ref="AP7757:AQ7757"/>
    <mergeCell ref="A7758:A7759"/>
    <mergeCell ref="E7758:E7759"/>
    <mergeCell ref="F7758:H7758"/>
    <mergeCell ref="J7758:J7759"/>
    <mergeCell ref="K7758:L7759"/>
    <mergeCell ref="M7758:N7759"/>
    <mergeCell ref="O7758:P7759"/>
    <mergeCell ref="Q7758:R7759"/>
    <mergeCell ref="S7758:T7759"/>
    <mergeCell ref="U7758:V7759"/>
    <mergeCell ref="W7758:W7759"/>
    <mergeCell ref="X7758:AB7758"/>
    <mergeCell ref="AD7758:AI7758"/>
    <mergeCell ref="AJ7758:AL7758"/>
    <mergeCell ref="AN7758:AO7758"/>
    <mergeCell ref="AP7758:AQ7758"/>
    <mergeCell ref="AR7758:AS7759"/>
    <mergeCell ref="AT7758:AU7759"/>
    <mergeCell ref="AV7758:AW7759"/>
    <mergeCell ref="AX7758:AY7759"/>
    <mergeCell ref="AZ7758:AZ7759"/>
    <mergeCell ref="F7759:H7759"/>
    <mergeCell ref="X7759:AB7759"/>
    <mergeCell ref="AE7759:AI7759"/>
    <mergeCell ref="AJ7759:AL7759"/>
    <mergeCell ref="AN7759:AO7759"/>
    <mergeCell ref="AP7759:AQ7759"/>
    <mergeCell ref="A7760:A7761"/>
    <mergeCell ref="E7760:E7761"/>
    <mergeCell ref="F7760:H7760"/>
    <mergeCell ref="J7760:J7761"/>
    <mergeCell ref="K7760:L7761"/>
    <mergeCell ref="M7760:N7761"/>
    <mergeCell ref="O7760:P7761"/>
    <mergeCell ref="Q7760:R7761"/>
    <mergeCell ref="S7760:T7761"/>
    <mergeCell ref="U7760:V7761"/>
    <mergeCell ref="W7760:W7761"/>
    <mergeCell ref="X7760:AB7760"/>
    <mergeCell ref="AD7760:AI7760"/>
    <mergeCell ref="AJ7760:AL7760"/>
    <mergeCell ref="AN7760:AO7760"/>
    <mergeCell ref="AP7760:AQ7760"/>
    <mergeCell ref="AR7760:AS7761"/>
    <mergeCell ref="AT7760:AU7761"/>
    <mergeCell ref="AV7760:AW7761"/>
    <mergeCell ref="AX7760:AY7761"/>
    <mergeCell ref="AZ7760:AZ7761"/>
    <mergeCell ref="F7761:H7761"/>
    <mergeCell ref="X7761:AB7761"/>
    <mergeCell ref="AE7761:AI7761"/>
    <mergeCell ref="AJ7761:AL7761"/>
    <mergeCell ref="AN7761:AO7761"/>
    <mergeCell ref="AP7761:AQ7761"/>
    <mergeCell ref="A7762:A7763"/>
    <mergeCell ref="E7762:E7763"/>
    <mergeCell ref="F7762:H7762"/>
    <mergeCell ref="J7762:J7763"/>
    <mergeCell ref="K7762:L7763"/>
    <mergeCell ref="M7762:N7763"/>
    <mergeCell ref="O7762:P7763"/>
    <mergeCell ref="Q7762:R7763"/>
    <mergeCell ref="S7762:T7763"/>
    <mergeCell ref="U7762:V7763"/>
    <mergeCell ref="W7762:W7763"/>
    <mergeCell ref="X7762:AB7762"/>
    <mergeCell ref="AD7762:AI7762"/>
    <mergeCell ref="AJ7762:AL7762"/>
    <mergeCell ref="AN7762:AO7762"/>
    <mergeCell ref="AP7762:AQ7762"/>
    <mergeCell ref="AR7762:AS7763"/>
    <mergeCell ref="AT7762:AU7763"/>
    <mergeCell ref="AV7762:AW7763"/>
    <mergeCell ref="AX7762:AY7763"/>
    <mergeCell ref="AZ7762:AZ7763"/>
    <mergeCell ref="F7763:H7763"/>
    <mergeCell ref="X7763:AB7763"/>
    <mergeCell ref="AE7763:AI7763"/>
    <mergeCell ref="AJ7763:AL7763"/>
    <mergeCell ref="AN7763:AO7763"/>
    <mergeCell ref="AP7763:AQ7763"/>
    <mergeCell ref="A7764:A7765"/>
    <mergeCell ref="E7764:E7765"/>
    <mergeCell ref="F7764:H7764"/>
    <mergeCell ref="J7764:J7765"/>
    <mergeCell ref="K7764:L7765"/>
    <mergeCell ref="M7764:N7765"/>
    <mergeCell ref="O7764:P7765"/>
    <mergeCell ref="Q7764:R7765"/>
    <mergeCell ref="S7764:T7765"/>
    <mergeCell ref="U7764:V7765"/>
    <mergeCell ref="W7764:W7765"/>
    <mergeCell ref="X7764:AB7764"/>
    <mergeCell ref="AD7764:AI7764"/>
    <mergeCell ref="AJ7764:AL7764"/>
    <mergeCell ref="AN7764:AO7764"/>
    <mergeCell ref="AP7764:AQ7764"/>
    <mergeCell ref="AR7764:AS7765"/>
    <mergeCell ref="AT7764:AU7765"/>
    <mergeCell ref="AV7764:AW7765"/>
    <mergeCell ref="AX7764:AY7765"/>
    <mergeCell ref="AZ7764:AZ7765"/>
    <mergeCell ref="F7765:H7765"/>
    <mergeCell ref="X7765:AB7765"/>
    <mergeCell ref="AE7765:AI7765"/>
    <mergeCell ref="AJ7765:AL7765"/>
    <mergeCell ref="AN7765:AO7765"/>
    <mergeCell ref="AP7765:AQ7765"/>
    <mergeCell ref="A7766:A7767"/>
    <mergeCell ref="E7766:E7767"/>
    <mergeCell ref="F7766:H7766"/>
    <mergeCell ref="J7766:J7767"/>
    <mergeCell ref="K7766:L7767"/>
    <mergeCell ref="M7766:N7767"/>
    <mergeCell ref="O7766:P7767"/>
    <mergeCell ref="Q7766:R7767"/>
    <mergeCell ref="S7766:T7767"/>
    <mergeCell ref="U7766:V7767"/>
    <mergeCell ref="W7766:W7767"/>
    <mergeCell ref="X7766:AB7766"/>
    <mergeCell ref="AD7766:AI7766"/>
    <mergeCell ref="AJ7766:AL7766"/>
    <mergeCell ref="AN7766:AO7766"/>
    <mergeCell ref="AP7766:AQ7766"/>
    <mergeCell ref="AR7766:AS7767"/>
    <mergeCell ref="AT7766:AU7767"/>
    <mergeCell ref="AV7766:AW7767"/>
    <mergeCell ref="AX7766:AY7767"/>
    <mergeCell ref="AZ7766:AZ7767"/>
    <mergeCell ref="F7767:H7767"/>
    <mergeCell ref="X7767:AB7767"/>
    <mergeCell ref="AE7767:AI7767"/>
    <mergeCell ref="AJ7767:AL7767"/>
    <mergeCell ref="AN7767:AO7767"/>
    <mergeCell ref="AP7767:AQ7767"/>
    <mergeCell ref="A7768:A7769"/>
    <mergeCell ref="E7768:E7769"/>
    <mergeCell ref="F7768:H7768"/>
    <mergeCell ref="J7768:J7769"/>
    <mergeCell ref="K7768:L7769"/>
    <mergeCell ref="M7768:N7769"/>
    <mergeCell ref="O7768:P7769"/>
    <mergeCell ref="Q7768:R7769"/>
    <mergeCell ref="S7768:T7769"/>
    <mergeCell ref="U7768:V7769"/>
    <mergeCell ref="W7768:W7769"/>
    <mergeCell ref="X7768:AB7768"/>
    <mergeCell ref="AD7768:AI7768"/>
    <mergeCell ref="AJ7768:AL7768"/>
    <mergeCell ref="AN7768:AO7768"/>
    <mergeCell ref="AP7768:AQ7768"/>
    <mergeCell ref="AR7768:AS7769"/>
    <mergeCell ref="AT7768:AU7769"/>
    <mergeCell ref="AV7768:AW7769"/>
    <mergeCell ref="AX7768:AY7769"/>
    <mergeCell ref="AZ7768:AZ7769"/>
    <mergeCell ref="F7769:H7769"/>
    <mergeCell ref="X7769:AB7769"/>
    <mergeCell ref="AE7769:AI7769"/>
    <mergeCell ref="AJ7769:AL7769"/>
    <mergeCell ref="AN7769:AO7769"/>
    <mergeCell ref="AP7769:AQ7769"/>
    <mergeCell ref="A7770:A7771"/>
    <mergeCell ref="E7770:E7771"/>
    <mergeCell ref="F7770:H7770"/>
    <mergeCell ref="J7770:J7771"/>
    <mergeCell ref="K7770:L7771"/>
    <mergeCell ref="M7770:N7771"/>
    <mergeCell ref="O7770:P7771"/>
    <mergeCell ref="Q7770:R7771"/>
    <mergeCell ref="S7770:T7771"/>
    <mergeCell ref="U7770:V7771"/>
    <mergeCell ref="W7770:W7771"/>
    <mergeCell ref="X7770:AB7770"/>
    <mergeCell ref="AD7770:AI7770"/>
    <mergeCell ref="AJ7770:AL7770"/>
    <mergeCell ref="AN7770:AO7770"/>
    <mergeCell ref="AP7770:AQ7770"/>
    <mergeCell ref="AR7770:AS7771"/>
    <mergeCell ref="AT7770:AU7771"/>
    <mergeCell ref="AV7770:AW7771"/>
    <mergeCell ref="AX7770:AY7771"/>
    <mergeCell ref="AZ7770:AZ7771"/>
    <mergeCell ref="F7771:H7771"/>
    <mergeCell ref="X7771:AB7771"/>
    <mergeCell ref="AE7771:AI7771"/>
    <mergeCell ref="AJ7771:AL7771"/>
    <mergeCell ref="AN7771:AO7771"/>
    <mergeCell ref="AP7771:AQ7771"/>
    <mergeCell ref="A7772:A7773"/>
    <mergeCell ref="E7772:E7773"/>
    <mergeCell ref="F7772:H7772"/>
    <mergeCell ref="J7772:J7773"/>
    <mergeCell ref="K7772:L7773"/>
    <mergeCell ref="M7772:N7773"/>
    <mergeCell ref="O7772:P7773"/>
    <mergeCell ref="Q7772:R7773"/>
    <mergeCell ref="S7772:T7773"/>
    <mergeCell ref="U7772:V7773"/>
    <mergeCell ref="W7772:W7773"/>
    <mergeCell ref="X7772:AB7772"/>
    <mergeCell ref="AD7772:AI7772"/>
    <mergeCell ref="AJ7772:AL7772"/>
    <mergeCell ref="AN7772:AO7772"/>
    <mergeCell ref="AP7772:AQ7772"/>
    <mergeCell ref="AR7772:AS7773"/>
    <mergeCell ref="AT7772:AU7773"/>
    <mergeCell ref="AV7772:AW7773"/>
    <mergeCell ref="AX7772:AY7773"/>
    <mergeCell ref="AZ7772:AZ7773"/>
    <mergeCell ref="F7773:H7773"/>
    <mergeCell ref="X7773:AB7773"/>
    <mergeCell ref="AE7773:AI7773"/>
    <mergeCell ref="AJ7773:AL7773"/>
    <mergeCell ref="AN7773:AO7773"/>
    <mergeCell ref="AP7773:AQ7773"/>
    <mergeCell ref="A7774:A7775"/>
    <mergeCell ref="E7774:E7775"/>
    <mergeCell ref="F7774:H7774"/>
    <mergeCell ref="J7774:J7775"/>
    <mergeCell ref="K7774:L7775"/>
    <mergeCell ref="M7774:N7775"/>
    <mergeCell ref="O7774:P7775"/>
    <mergeCell ref="Q7774:R7775"/>
    <mergeCell ref="S7774:T7775"/>
    <mergeCell ref="U7774:V7775"/>
    <mergeCell ref="W7774:W7775"/>
    <mergeCell ref="X7774:AB7774"/>
    <mergeCell ref="AD7774:AI7774"/>
    <mergeCell ref="AJ7774:AL7774"/>
    <mergeCell ref="AN7774:AO7774"/>
    <mergeCell ref="AP7774:AQ7774"/>
    <mergeCell ref="AR7774:AS7775"/>
    <mergeCell ref="AT7774:AU7775"/>
    <mergeCell ref="AV7774:AW7775"/>
    <mergeCell ref="AX7774:AY7775"/>
    <mergeCell ref="AZ7774:AZ7775"/>
    <mergeCell ref="F7775:H7775"/>
    <mergeCell ref="X7775:AB7775"/>
    <mergeCell ref="AE7775:AI7775"/>
    <mergeCell ref="AJ7775:AL7775"/>
    <mergeCell ref="AN7775:AO7775"/>
    <mergeCell ref="AP7775:AQ7775"/>
    <mergeCell ref="A7776:A7777"/>
    <mergeCell ref="E7776:E7777"/>
    <mergeCell ref="F7776:H7776"/>
    <mergeCell ref="J7776:J7777"/>
    <mergeCell ref="K7776:L7777"/>
    <mergeCell ref="M7776:N7777"/>
    <mergeCell ref="O7776:P7777"/>
    <mergeCell ref="Q7776:R7777"/>
    <mergeCell ref="S7776:T7777"/>
    <mergeCell ref="U7776:V7777"/>
    <mergeCell ref="W7776:W7777"/>
    <mergeCell ref="X7776:AB7776"/>
    <mergeCell ref="AD7776:AI7776"/>
    <mergeCell ref="AJ7776:AL7776"/>
    <mergeCell ref="AN7776:AO7776"/>
    <mergeCell ref="AP7776:AQ7776"/>
    <mergeCell ref="AR7776:AS7777"/>
    <mergeCell ref="AT7776:AU7777"/>
    <mergeCell ref="AV7776:AW7777"/>
    <mergeCell ref="AX7776:AY7777"/>
    <mergeCell ref="AZ7776:AZ7777"/>
    <mergeCell ref="F7777:H7777"/>
    <mergeCell ref="X7777:AB7777"/>
    <mergeCell ref="AE7777:AI7777"/>
    <mergeCell ref="AJ7777:AL7777"/>
    <mergeCell ref="AN7777:AO7777"/>
    <mergeCell ref="AP7777:AQ7777"/>
    <mergeCell ref="A7778:A7779"/>
    <mergeCell ref="E7778:E7779"/>
    <mergeCell ref="F7778:H7778"/>
    <mergeCell ref="J7778:J7779"/>
    <mergeCell ref="K7778:L7779"/>
    <mergeCell ref="M7778:N7779"/>
    <mergeCell ref="O7778:P7779"/>
    <mergeCell ref="Q7778:R7779"/>
    <mergeCell ref="S7778:T7779"/>
    <mergeCell ref="U7778:V7779"/>
    <mergeCell ref="W7778:W7779"/>
    <mergeCell ref="X7778:AB7778"/>
    <mergeCell ref="AD7778:AI7778"/>
    <mergeCell ref="AJ7778:AL7778"/>
    <mergeCell ref="AN7778:AO7778"/>
    <mergeCell ref="AP7778:AQ7778"/>
    <mergeCell ref="AR7778:AS7779"/>
    <mergeCell ref="AT7778:AU7779"/>
    <mergeCell ref="AV7778:AW7779"/>
    <mergeCell ref="AX7778:AY7779"/>
    <mergeCell ref="AZ7778:AZ7779"/>
    <mergeCell ref="F7779:H7779"/>
    <mergeCell ref="X7779:AB7779"/>
    <mergeCell ref="AE7779:AI7779"/>
    <mergeCell ref="AJ7779:AL7779"/>
    <mergeCell ref="AN7779:AO7779"/>
    <mergeCell ref="AP7779:AQ7779"/>
    <mergeCell ref="A7780:A7781"/>
    <mergeCell ref="E7780:E7781"/>
    <mergeCell ref="F7780:H7780"/>
    <mergeCell ref="J7780:J7781"/>
    <mergeCell ref="K7780:L7781"/>
    <mergeCell ref="M7780:N7781"/>
    <mergeCell ref="O7780:P7781"/>
    <mergeCell ref="Q7780:R7781"/>
    <mergeCell ref="S7780:T7781"/>
    <mergeCell ref="U7780:V7781"/>
    <mergeCell ref="W7780:W7781"/>
    <mergeCell ref="X7780:AB7780"/>
    <mergeCell ref="AD7780:AI7780"/>
    <mergeCell ref="AJ7780:AL7780"/>
    <mergeCell ref="AN7780:AO7780"/>
    <mergeCell ref="AP7780:AQ7780"/>
    <mergeCell ref="AR7780:AS7781"/>
    <mergeCell ref="AT7780:AU7781"/>
    <mergeCell ref="AV7780:AW7781"/>
    <mergeCell ref="AX7780:AY7781"/>
    <mergeCell ref="AZ7780:AZ7781"/>
    <mergeCell ref="F7781:H7781"/>
    <mergeCell ref="X7781:AB7781"/>
    <mergeCell ref="AE7781:AI7781"/>
    <mergeCell ref="AJ7781:AL7781"/>
    <mergeCell ref="AN7781:AO7781"/>
    <mergeCell ref="AP7781:AQ7781"/>
    <mergeCell ref="A7782:A7783"/>
    <mergeCell ref="E7782:E7783"/>
    <mergeCell ref="F7782:H7782"/>
    <mergeCell ref="J7782:J7783"/>
    <mergeCell ref="K7782:L7783"/>
    <mergeCell ref="M7782:N7783"/>
    <mergeCell ref="O7782:P7783"/>
    <mergeCell ref="Q7782:R7783"/>
    <mergeCell ref="S7782:T7783"/>
    <mergeCell ref="U7782:V7783"/>
    <mergeCell ref="W7782:W7783"/>
    <mergeCell ref="X7782:AB7782"/>
    <mergeCell ref="AD7782:AI7782"/>
    <mergeCell ref="AJ7782:AL7782"/>
    <mergeCell ref="AN7782:AO7782"/>
    <mergeCell ref="AP7782:AQ7782"/>
    <mergeCell ref="AR7782:AS7783"/>
    <mergeCell ref="AT7782:AU7783"/>
    <mergeCell ref="AV7782:AW7783"/>
    <mergeCell ref="AX7782:AY7783"/>
    <mergeCell ref="AZ7782:AZ7783"/>
    <mergeCell ref="F7783:H7783"/>
    <mergeCell ref="X7783:AB7783"/>
    <mergeCell ref="AE7783:AI7783"/>
    <mergeCell ref="AJ7783:AL7783"/>
    <mergeCell ref="AN7783:AO7783"/>
    <mergeCell ref="AP7783:AQ7783"/>
    <mergeCell ref="A7784:A7785"/>
    <mergeCell ref="E7784:E7785"/>
    <mergeCell ref="F7784:H7784"/>
    <mergeCell ref="J7784:J7785"/>
    <mergeCell ref="K7784:L7785"/>
    <mergeCell ref="M7784:N7785"/>
    <mergeCell ref="O7784:P7785"/>
    <mergeCell ref="Q7784:R7785"/>
    <mergeCell ref="S7784:T7785"/>
    <mergeCell ref="U7784:V7785"/>
    <mergeCell ref="W7784:W7785"/>
    <mergeCell ref="X7784:AB7784"/>
    <mergeCell ref="AD7784:AI7784"/>
    <mergeCell ref="AJ7784:AL7784"/>
    <mergeCell ref="AN7784:AO7784"/>
    <mergeCell ref="AP7784:AQ7784"/>
    <mergeCell ref="AR7784:AS7785"/>
    <mergeCell ref="AT7784:AU7785"/>
    <mergeCell ref="AV7784:AW7785"/>
    <mergeCell ref="AX7784:AY7785"/>
    <mergeCell ref="AZ7784:AZ7785"/>
    <mergeCell ref="F7785:H7785"/>
    <mergeCell ref="X7785:AB7785"/>
    <mergeCell ref="AE7785:AI7785"/>
    <mergeCell ref="AJ7785:AL7785"/>
    <mergeCell ref="AN7785:AO7785"/>
    <mergeCell ref="AP7785:AQ7785"/>
    <mergeCell ref="A7786:A7787"/>
    <mergeCell ref="E7786:E7787"/>
    <mergeCell ref="F7786:H7786"/>
    <mergeCell ref="J7786:J7787"/>
    <mergeCell ref="K7786:L7787"/>
    <mergeCell ref="M7786:N7787"/>
    <mergeCell ref="O7786:P7787"/>
    <mergeCell ref="Q7786:R7787"/>
    <mergeCell ref="S7786:T7787"/>
    <mergeCell ref="U7786:V7787"/>
    <mergeCell ref="W7786:W7787"/>
    <mergeCell ref="X7786:AB7786"/>
    <mergeCell ref="AD7786:AI7786"/>
    <mergeCell ref="AJ7786:AL7786"/>
    <mergeCell ref="AN7786:AO7786"/>
    <mergeCell ref="AP7786:AQ7786"/>
    <mergeCell ref="AR7786:AS7787"/>
    <mergeCell ref="AT7786:AU7787"/>
    <mergeCell ref="AV7786:AW7787"/>
    <mergeCell ref="AX7786:AY7787"/>
    <mergeCell ref="AZ7786:AZ7787"/>
    <mergeCell ref="F7787:H7787"/>
    <mergeCell ref="X7787:AB7787"/>
    <mergeCell ref="AE7787:AI7787"/>
    <mergeCell ref="AJ7787:AL7787"/>
    <mergeCell ref="AN7787:AO7787"/>
    <mergeCell ref="AP7787:AQ7787"/>
    <mergeCell ref="A7788:A7789"/>
    <mergeCell ref="E7788:E7789"/>
    <mergeCell ref="F7788:H7788"/>
    <mergeCell ref="J7788:J7789"/>
    <mergeCell ref="K7788:L7789"/>
    <mergeCell ref="M7788:N7789"/>
    <mergeCell ref="O7788:P7789"/>
    <mergeCell ref="Q7788:R7789"/>
    <mergeCell ref="S7788:T7789"/>
    <mergeCell ref="U7788:V7789"/>
    <mergeCell ref="W7788:W7789"/>
    <mergeCell ref="X7788:AB7788"/>
    <mergeCell ref="AD7788:AI7788"/>
    <mergeCell ref="AJ7788:AL7788"/>
    <mergeCell ref="AN7788:AO7788"/>
    <mergeCell ref="AP7788:AQ7788"/>
    <mergeCell ref="AR7788:AS7789"/>
    <mergeCell ref="AT7788:AU7789"/>
    <mergeCell ref="AV7788:AW7789"/>
    <mergeCell ref="AX7788:AY7789"/>
    <mergeCell ref="AZ7788:AZ7789"/>
    <mergeCell ref="F7789:H7789"/>
    <mergeCell ref="X7789:AB7789"/>
    <mergeCell ref="AE7789:AI7789"/>
    <mergeCell ref="AJ7789:AL7789"/>
    <mergeCell ref="AN7789:AO7789"/>
    <mergeCell ref="AP7789:AQ7789"/>
    <mergeCell ref="A7790:A7791"/>
    <mergeCell ref="E7790:E7791"/>
    <mergeCell ref="F7790:H7790"/>
    <mergeCell ref="J7790:J7791"/>
    <mergeCell ref="K7790:L7791"/>
    <mergeCell ref="M7790:N7791"/>
    <mergeCell ref="O7790:P7791"/>
    <mergeCell ref="Q7790:R7791"/>
    <mergeCell ref="S7790:T7791"/>
    <mergeCell ref="U7790:V7791"/>
    <mergeCell ref="W7790:W7791"/>
    <mergeCell ref="X7790:AB7790"/>
    <mergeCell ref="AD7790:AI7790"/>
    <mergeCell ref="AJ7790:AL7790"/>
    <mergeCell ref="AN7790:AO7790"/>
    <mergeCell ref="AP7790:AQ7790"/>
    <mergeCell ref="AR7790:AS7791"/>
    <mergeCell ref="AT7790:AU7791"/>
    <mergeCell ref="AV7790:AW7791"/>
    <mergeCell ref="AX7790:AY7791"/>
    <mergeCell ref="AZ7790:AZ7791"/>
    <mergeCell ref="F7791:H7791"/>
    <mergeCell ref="X7791:AB7791"/>
    <mergeCell ref="AE7791:AI7791"/>
    <mergeCell ref="AJ7791:AL7791"/>
    <mergeCell ref="AN7791:AO7791"/>
    <mergeCell ref="AP7791:AQ7791"/>
    <mergeCell ref="A7792:A7793"/>
    <mergeCell ref="E7792:E7793"/>
    <mergeCell ref="F7792:H7792"/>
    <mergeCell ref="J7792:J7793"/>
    <mergeCell ref="K7792:L7793"/>
    <mergeCell ref="M7792:N7793"/>
    <mergeCell ref="O7792:P7793"/>
    <mergeCell ref="Q7792:R7793"/>
    <mergeCell ref="S7792:T7793"/>
    <mergeCell ref="U7792:V7793"/>
    <mergeCell ref="W7792:W7793"/>
    <mergeCell ref="X7792:AB7792"/>
    <mergeCell ref="AD7792:AI7792"/>
    <mergeCell ref="AJ7792:AL7792"/>
    <mergeCell ref="AN7792:AO7792"/>
    <mergeCell ref="AP7792:AQ7792"/>
    <mergeCell ref="AR7792:AS7793"/>
    <mergeCell ref="AT7792:AU7793"/>
    <mergeCell ref="AV7792:AW7793"/>
    <mergeCell ref="AX7792:AY7793"/>
    <mergeCell ref="AZ7792:AZ7793"/>
    <mergeCell ref="F7793:H7793"/>
    <mergeCell ref="X7793:AB7793"/>
    <mergeCell ref="AE7793:AI7793"/>
    <mergeCell ref="AJ7793:AL7793"/>
    <mergeCell ref="AN7793:AO7793"/>
    <mergeCell ref="AP7793:AQ7793"/>
    <mergeCell ref="A7794:A7795"/>
    <mergeCell ref="E7794:E7795"/>
    <mergeCell ref="F7794:H7794"/>
    <mergeCell ref="J7794:J7795"/>
    <mergeCell ref="K7794:L7795"/>
    <mergeCell ref="M7794:N7795"/>
    <mergeCell ref="O7794:P7795"/>
    <mergeCell ref="Q7794:R7795"/>
    <mergeCell ref="S7794:T7795"/>
    <mergeCell ref="U7794:V7795"/>
    <mergeCell ref="W7794:W7795"/>
    <mergeCell ref="X7794:AB7794"/>
    <mergeCell ref="AD7794:AI7794"/>
    <mergeCell ref="AJ7794:AL7794"/>
    <mergeCell ref="AN7794:AO7794"/>
    <mergeCell ref="AP7794:AQ7794"/>
    <mergeCell ref="AR7794:AS7795"/>
    <mergeCell ref="AT7794:AU7795"/>
    <mergeCell ref="AV7794:AW7795"/>
    <mergeCell ref="AX7794:AY7795"/>
    <mergeCell ref="AZ7794:AZ7795"/>
    <mergeCell ref="F7795:H7795"/>
    <mergeCell ref="X7795:AB7795"/>
    <mergeCell ref="AE7795:AI7795"/>
    <mergeCell ref="AJ7795:AL7795"/>
    <mergeCell ref="AN7795:AO7795"/>
    <mergeCell ref="AP7795:AQ7795"/>
    <mergeCell ref="A7796:A7797"/>
    <mergeCell ref="E7796:E7797"/>
    <mergeCell ref="F7796:H7796"/>
    <mergeCell ref="J7796:J7797"/>
    <mergeCell ref="K7796:L7797"/>
    <mergeCell ref="M7796:N7797"/>
    <mergeCell ref="O7796:P7797"/>
    <mergeCell ref="Q7796:R7797"/>
    <mergeCell ref="S7796:T7797"/>
    <mergeCell ref="U7796:V7797"/>
    <mergeCell ref="W7796:W7797"/>
    <mergeCell ref="X7796:AB7796"/>
    <mergeCell ref="AD7796:AI7796"/>
    <mergeCell ref="AJ7796:AL7796"/>
    <mergeCell ref="AN7796:AO7796"/>
    <mergeCell ref="AP7796:AQ7796"/>
    <mergeCell ref="AR7796:AS7797"/>
    <mergeCell ref="AT7796:AU7797"/>
    <mergeCell ref="AV7796:AW7797"/>
    <mergeCell ref="AX7796:AY7797"/>
    <mergeCell ref="AZ7796:AZ7797"/>
    <mergeCell ref="F7797:H7797"/>
    <mergeCell ref="X7797:AB7797"/>
    <mergeCell ref="AE7797:AI7797"/>
    <mergeCell ref="AJ7797:AL7797"/>
    <mergeCell ref="AN7797:AO7797"/>
    <mergeCell ref="AP7797:AQ7797"/>
    <mergeCell ref="A7798:A7799"/>
    <mergeCell ref="E7798:E7799"/>
    <mergeCell ref="F7798:H7798"/>
    <mergeCell ref="J7798:J7799"/>
    <mergeCell ref="K7798:L7799"/>
    <mergeCell ref="M7798:N7799"/>
    <mergeCell ref="O7798:P7799"/>
    <mergeCell ref="Q7798:R7799"/>
    <mergeCell ref="S7798:T7799"/>
    <mergeCell ref="U7798:V7799"/>
    <mergeCell ref="W7798:W7799"/>
    <mergeCell ref="X7798:AB7798"/>
    <mergeCell ref="AD7798:AI7798"/>
    <mergeCell ref="AJ7798:AL7798"/>
    <mergeCell ref="AN7798:AO7798"/>
    <mergeCell ref="AP7798:AQ7798"/>
    <mergeCell ref="AR7798:AS7799"/>
    <mergeCell ref="AT7798:AU7799"/>
    <mergeCell ref="AV7798:AW7799"/>
    <mergeCell ref="AX7798:AY7799"/>
    <mergeCell ref="AZ7798:AZ7799"/>
    <mergeCell ref="F7799:H7799"/>
    <mergeCell ref="X7799:AB7799"/>
    <mergeCell ref="AE7799:AI7799"/>
    <mergeCell ref="AJ7799:AL7799"/>
    <mergeCell ref="AN7799:AO7799"/>
    <mergeCell ref="AP7799:AQ7799"/>
    <mergeCell ref="A7800:A7801"/>
    <mergeCell ref="E7800:E7801"/>
    <mergeCell ref="F7800:H7800"/>
    <mergeCell ref="J7800:J7801"/>
    <mergeCell ref="K7800:L7801"/>
    <mergeCell ref="M7800:N7801"/>
    <mergeCell ref="O7800:P7801"/>
    <mergeCell ref="Q7800:R7801"/>
    <mergeCell ref="S7800:T7801"/>
    <mergeCell ref="U7800:V7801"/>
    <mergeCell ref="W7800:W7801"/>
    <mergeCell ref="X7800:AB7800"/>
    <mergeCell ref="AD7800:AI7800"/>
    <mergeCell ref="AJ7800:AL7800"/>
    <mergeCell ref="AN7800:AO7800"/>
    <mergeCell ref="AP7800:AQ7800"/>
    <mergeCell ref="AR7800:AS7801"/>
    <mergeCell ref="AT7800:AU7801"/>
    <mergeCell ref="AV7800:AW7801"/>
    <mergeCell ref="AX7800:AY7801"/>
    <mergeCell ref="AZ7800:AZ7801"/>
    <mergeCell ref="F7801:H7801"/>
    <mergeCell ref="X7801:AB7801"/>
    <mergeCell ref="AE7801:AI7801"/>
    <mergeCell ref="AJ7801:AL7801"/>
    <mergeCell ref="AN7801:AO7801"/>
    <mergeCell ref="AP7801:AQ7801"/>
    <mergeCell ref="A7802:A7803"/>
    <mergeCell ref="E7802:E7803"/>
    <mergeCell ref="F7802:H7802"/>
    <mergeCell ref="J7802:J7803"/>
    <mergeCell ref="K7802:L7803"/>
    <mergeCell ref="M7802:N7803"/>
    <mergeCell ref="O7802:P7803"/>
    <mergeCell ref="Q7802:R7803"/>
    <mergeCell ref="S7802:T7803"/>
    <mergeCell ref="U7802:V7803"/>
    <mergeCell ref="W7802:W7803"/>
    <mergeCell ref="X7802:AB7802"/>
    <mergeCell ref="AD7802:AI7802"/>
    <mergeCell ref="AJ7802:AL7802"/>
    <mergeCell ref="AN7802:AO7802"/>
    <mergeCell ref="AP7802:AQ7802"/>
    <mergeCell ref="AR7802:AS7803"/>
    <mergeCell ref="AT7802:AU7803"/>
    <mergeCell ref="AV7802:AW7803"/>
    <mergeCell ref="AX7802:AY7803"/>
    <mergeCell ref="AZ7802:AZ7803"/>
    <mergeCell ref="F7803:H7803"/>
    <mergeCell ref="X7803:AB7803"/>
    <mergeCell ref="AE7803:AI7803"/>
    <mergeCell ref="AJ7803:AL7803"/>
    <mergeCell ref="AN7803:AO7803"/>
    <mergeCell ref="AP7803:AQ7803"/>
    <mergeCell ref="A7804:A7805"/>
    <mergeCell ref="E7804:E7805"/>
    <mergeCell ref="F7804:H7804"/>
    <mergeCell ref="J7804:J7805"/>
    <mergeCell ref="K7804:L7805"/>
    <mergeCell ref="M7804:N7805"/>
    <mergeCell ref="O7804:P7805"/>
    <mergeCell ref="Q7804:R7805"/>
    <mergeCell ref="S7804:T7805"/>
    <mergeCell ref="U7804:V7805"/>
    <mergeCell ref="W7804:W7805"/>
    <mergeCell ref="X7804:AB7804"/>
    <mergeCell ref="AD7804:AI7804"/>
    <mergeCell ref="AJ7804:AL7804"/>
    <mergeCell ref="AN7804:AO7804"/>
    <mergeCell ref="AP7804:AQ7804"/>
    <mergeCell ref="AR7804:AS7805"/>
    <mergeCell ref="AT7804:AU7805"/>
    <mergeCell ref="AV7804:AW7805"/>
    <mergeCell ref="AX7804:AY7805"/>
    <mergeCell ref="AZ7804:AZ7805"/>
    <mergeCell ref="F7805:H7805"/>
    <mergeCell ref="X7805:AB7805"/>
    <mergeCell ref="AE7805:AI7805"/>
    <mergeCell ref="AJ7805:AL7805"/>
    <mergeCell ref="AN7805:AO7805"/>
    <mergeCell ref="AP7805:AQ7805"/>
    <mergeCell ref="A7806:A7807"/>
    <mergeCell ref="E7806:E7807"/>
    <mergeCell ref="F7806:H7806"/>
    <mergeCell ref="J7806:J7807"/>
    <mergeCell ref="K7806:L7807"/>
    <mergeCell ref="M7806:N7807"/>
    <mergeCell ref="O7806:P7807"/>
    <mergeCell ref="Q7806:R7807"/>
    <mergeCell ref="S7806:T7807"/>
    <mergeCell ref="U7806:V7807"/>
    <mergeCell ref="W7806:W7807"/>
    <mergeCell ref="X7806:AB7806"/>
    <mergeCell ref="AD7806:AI7806"/>
    <mergeCell ref="AJ7806:AL7806"/>
    <mergeCell ref="AN7806:AO7806"/>
    <mergeCell ref="AP7806:AQ7806"/>
    <mergeCell ref="AR7806:AS7807"/>
    <mergeCell ref="AT7806:AU7807"/>
    <mergeCell ref="AV7806:AW7807"/>
    <mergeCell ref="AX7806:AY7807"/>
    <mergeCell ref="AZ7806:AZ7807"/>
    <mergeCell ref="F7807:H7807"/>
    <mergeCell ref="X7807:AB7807"/>
    <mergeCell ref="AE7807:AI7807"/>
    <mergeCell ref="AJ7807:AL7807"/>
    <mergeCell ref="AN7807:AO7807"/>
    <mergeCell ref="AP7807:AQ7807"/>
    <mergeCell ref="A7808:A7809"/>
    <mergeCell ref="E7808:E7809"/>
    <mergeCell ref="F7808:H7808"/>
    <mergeCell ref="J7808:J7809"/>
    <mergeCell ref="K7808:L7809"/>
    <mergeCell ref="M7808:N7809"/>
    <mergeCell ref="O7808:P7809"/>
    <mergeCell ref="Q7808:R7809"/>
    <mergeCell ref="S7808:T7809"/>
    <mergeCell ref="U7808:V7809"/>
    <mergeCell ref="W7808:W7809"/>
    <mergeCell ref="X7808:AB7808"/>
    <mergeCell ref="AD7808:AI7808"/>
    <mergeCell ref="AJ7808:AL7808"/>
    <mergeCell ref="AN7808:AO7808"/>
    <mergeCell ref="AP7808:AQ7808"/>
    <mergeCell ref="AR7808:AS7809"/>
    <mergeCell ref="AT7808:AU7809"/>
    <mergeCell ref="AV7808:AW7809"/>
    <mergeCell ref="AX7808:AY7809"/>
    <mergeCell ref="AZ7808:AZ7809"/>
    <mergeCell ref="F7809:H7809"/>
    <mergeCell ref="X7809:AB7809"/>
    <mergeCell ref="AE7809:AI7809"/>
    <mergeCell ref="AJ7809:AL7809"/>
    <mergeCell ref="AN7809:AO7809"/>
    <mergeCell ref="AP7809:AQ7809"/>
    <mergeCell ref="A7810:A7811"/>
    <mergeCell ref="E7810:E7811"/>
    <mergeCell ref="F7810:H7810"/>
    <mergeCell ref="J7810:J7811"/>
    <mergeCell ref="K7810:L7811"/>
    <mergeCell ref="M7810:N7811"/>
    <mergeCell ref="O7810:P7811"/>
    <mergeCell ref="Q7810:R7811"/>
    <mergeCell ref="S7810:T7811"/>
    <mergeCell ref="U7810:V7811"/>
    <mergeCell ref="W7810:W7811"/>
    <mergeCell ref="X7810:AB7810"/>
    <mergeCell ref="AD7810:AI7810"/>
    <mergeCell ref="AJ7810:AL7810"/>
    <mergeCell ref="AN7810:AO7810"/>
    <mergeCell ref="AP7810:AQ7810"/>
    <mergeCell ref="AR7810:AS7811"/>
    <mergeCell ref="AT7810:AU7811"/>
    <mergeCell ref="AV7810:AW7811"/>
    <mergeCell ref="AX7810:AY7811"/>
    <mergeCell ref="AZ7810:AZ7811"/>
    <mergeCell ref="F7811:H7811"/>
    <mergeCell ref="X7811:AB7811"/>
    <mergeCell ref="AE7811:AI7811"/>
    <mergeCell ref="AJ7811:AL7811"/>
    <mergeCell ref="AN7811:AO7811"/>
    <mergeCell ref="AP7811:AQ7811"/>
    <mergeCell ref="A7812:A7813"/>
    <mergeCell ref="E7812:E7813"/>
    <mergeCell ref="F7812:H7812"/>
    <mergeCell ref="J7812:J7813"/>
    <mergeCell ref="K7812:L7813"/>
    <mergeCell ref="M7812:N7813"/>
    <mergeCell ref="O7812:P7813"/>
    <mergeCell ref="Q7812:R7813"/>
    <mergeCell ref="S7812:T7813"/>
    <mergeCell ref="U7812:V7813"/>
    <mergeCell ref="W7812:W7813"/>
    <mergeCell ref="X7812:AB7812"/>
    <mergeCell ref="AD7812:AI7812"/>
    <mergeCell ref="AJ7812:AL7812"/>
    <mergeCell ref="AN7812:AO7812"/>
    <mergeCell ref="AP7812:AQ7812"/>
    <mergeCell ref="AR7812:AS7813"/>
    <mergeCell ref="AT7812:AU7813"/>
    <mergeCell ref="AV7812:AW7813"/>
    <mergeCell ref="AX7812:AY7813"/>
    <mergeCell ref="AZ7812:AZ7813"/>
    <mergeCell ref="F7813:H7813"/>
    <mergeCell ref="X7813:AB7813"/>
    <mergeCell ref="AE7813:AI7813"/>
    <mergeCell ref="AJ7813:AL7813"/>
    <mergeCell ref="AN7813:AO7813"/>
    <mergeCell ref="AP7813:AQ7813"/>
    <mergeCell ref="A7814:A7815"/>
    <mergeCell ref="E7814:E7815"/>
    <mergeCell ref="F7814:H7814"/>
    <mergeCell ref="J7814:J7815"/>
    <mergeCell ref="K7814:L7815"/>
    <mergeCell ref="M7814:N7815"/>
    <mergeCell ref="O7814:P7815"/>
    <mergeCell ref="Q7814:R7815"/>
    <mergeCell ref="S7814:T7815"/>
    <mergeCell ref="U7814:V7815"/>
    <mergeCell ref="W7814:W7815"/>
    <mergeCell ref="X7814:AB7814"/>
    <mergeCell ref="AD7814:AI7814"/>
    <mergeCell ref="AJ7814:AL7814"/>
    <mergeCell ref="AN7814:AO7814"/>
    <mergeCell ref="AP7814:AQ7814"/>
    <mergeCell ref="AR7814:AS7815"/>
    <mergeCell ref="AT7814:AU7815"/>
    <mergeCell ref="AV7814:AW7815"/>
    <mergeCell ref="AX7814:AY7815"/>
    <mergeCell ref="AZ7814:AZ7815"/>
    <mergeCell ref="F7815:H7815"/>
    <mergeCell ref="X7815:AB7815"/>
    <mergeCell ref="AE7815:AI7815"/>
    <mergeCell ref="AJ7815:AL7815"/>
    <mergeCell ref="AN7815:AO7815"/>
    <mergeCell ref="AP7815:AQ7815"/>
    <mergeCell ref="A7816:A7817"/>
    <mergeCell ref="E7816:E7817"/>
    <mergeCell ref="F7816:H7816"/>
    <mergeCell ref="J7816:J7817"/>
    <mergeCell ref="K7816:L7817"/>
    <mergeCell ref="M7816:N7817"/>
    <mergeCell ref="O7816:P7817"/>
    <mergeCell ref="Q7816:R7817"/>
    <mergeCell ref="S7816:T7817"/>
    <mergeCell ref="U7816:V7817"/>
    <mergeCell ref="W7816:W7817"/>
    <mergeCell ref="X7816:AB7816"/>
    <mergeCell ref="AD7816:AI7816"/>
    <mergeCell ref="AJ7816:AL7816"/>
    <mergeCell ref="AN7816:AO7816"/>
    <mergeCell ref="AP7816:AQ7816"/>
    <mergeCell ref="AR7816:AS7817"/>
    <mergeCell ref="AT7816:AU7817"/>
    <mergeCell ref="AV7816:AW7817"/>
    <mergeCell ref="AX7816:AY7817"/>
    <mergeCell ref="AZ7816:AZ7817"/>
    <mergeCell ref="F7817:H7817"/>
    <mergeCell ref="X7817:AB7817"/>
    <mergeCell ref="AE7817:AI7817"/>
    <mergeCell ref="AJ7817:AL7817"/>
    <mergeCell ref="AN7817:AO7817"/>
    <mergeCell ref="AP7817:AQ7817"/>
    <mergeCell ref="A7818:A7819"/>
    <mergeCell ref="E7818:E7819"/>
    <mergeCell ref="F7818:H7818"/>
    <mergeCell ref="J7818:J7819"/>
    <mergeCell ref="K7818:L7819"/>
    <mergeCell ref="M7818:N7819"/>
    <mergeCell ref="O7818:P7819"/>
    <mergeCell ref="Q7818:R7819"/>
    <mergeCell ref="S7818:T7819"/>
    <mergeCell ref="U7818:V7819"/>
    <mergeCell ref="W7818:W7819"/>
    <mergeCell ref="X7818:AB7818"/>
    <mergeCell ref="AD7818:AI7818"/>
    <mergeCell ref="AJ7818:AL7818"/>
    <mergeCell ref="AN7818:AO7818"/>
    <mergeCell ref="AP7818:AQ7818"/>
    <mergeCell ref="AR7818:AS7819"/>
    <mergeCell ref="AT7818:AU7819"/>
    <mergeCell ref="AV7818:AW7819"/>
    <mergeCell ref="AX7818:AY7819"/>
    <mergeCell ref="AZ7818:AZ7819"/>
    <mergeCell ref="F7819:H7819"/>
    <mergeCell ref="X7819:AB7819"/>
    <mergeCell ref="AE7819:AI7819"/>
    <mergeCell ref="AJ7819:AL7819"/>
    <mergeCell ref="AN7819:AO7819"/>
    <mergeCell ref="AP7819:AQ7819"/>
    <mergeCell ref="A7820:A7821"/>
    <mergeCell ref="E7820:E7821"/>
    <mergeCell ref="F7820:H7820"/>
    <mergeCell ref="J7820:J7821"/>
    <mergeCell ref="K7820:L7821"/>
    <mergeCell ref="M7820:N7821"/>
    <mergeCell ref="O7820:P7821"/>
    <mergeCell ref="Q7820:R7821"/>
    <mergeCell ref="S7820:T7821"/>
    <mergeCell ref="U7820:V7821"/>
    <mergeCell ref="W7820:W7821"/>
    <mergeCell ref="X7820:AB7820"/>
    <mergeCell ref="AD7820:AI7820"/>
    <mergeCell ref="AJ7820:AL7820"/>
    <mergeCell ref="AN7820:AO7820"/>
    <mergeCell ref="AP7820:AQ7820"/>
    <mergeCell ref="AR7820:AS7821"/>
    <mergeCell ref="AT7820:AU7821"/>
    <mergeCell ref="AV7820:AW7821"/>
    <mergeCell ref="AX7820:AY7821"/>
    <mergeCell ref="AZ7820:AZ7821"/>
    <mergeCell ref="F7821:H7821"/>
    <mergeCell ref="X7821:AB7821"/>
    <mergeCell ref="AE7821:AI7821"/>
    <mergeCell ref="AJ7821:AL7821"/>
    <mergeCell ref="AN7821:AO7821"/>
    <mergeCell ref="AP7821:AQ7821"/>
    <mergeCell ref="A7822:A7823"/>
    <mergeCell ref="E7822:E7823"/>
    <mergeCell ref="F7822:H7822"/>
    <mergeCell ref="J7822:J7823"/>
    <mergeCell ref="K7822:L7823"/>
    <mergeCell ref="M7822:N7823"/>
    <mergeCell ref="O7822:P7823"/>
    <mergeCell ref="Q7822:R7823"/>
    <mergeCell ref="S7822:T7823"/>
    <mergeCell ref="U7822:V7823"/>
    <mergeCell ref="W7822:W7823"/>
    <mergeCell ref="X7822:AB7822"/>
    <mergeCell ref="AD7822:AI7822"/>
    <mergeCell ref="AJ7822:AL7822"/>
    <mergeCell ref="AN7822:AO7822"/>
    <mergeCell ref="AP7822:AQ7822"/>
    <mergeCell ref="AR7822:AS7823"/>
    <mergeCell ref="AT7822:AU7823"/>
    <mergeCell ref="AV7822:AW7823"/>
    <mergeCell ref="AX7822:AY7823"/>
    <mergeCell ref="AZ7822:AZ7823"/>
    <mergeCell ref="F7823:H7823"/>
    <mergeCell ref="X7823:AB7823"/>
    <mergeCell ref="AE7823:AI7823"/>
    <mergeCell ref="AJ7823:AL7823"/>
    <mergeCell ref="AN7823:AO7823"/>
    <mergeCell ref="AP7823:AQ7823"/>
    <mergeCell ref="A7824:A7825"/>
    <mergeCell ref="E7824:E7825"/>
    <mergeCell ref="F7824:H7824"/>
    <mergeCell ref="J7824:J7825"/>
    <mergeCell ref="K7824:L7825"/>
    <mergeCell ref="M7824:N7825"/>
    <mergeCell ref="O7824:P7825"/>
    <mergeCell ref="Q7824:R7825"/>
    <mergeCell ref="S7824:T7825"/>
    <mergeCell ref="U7824:V7825"/>
    <mergeCell ref="W7824:W7825"/>
    <mergeCell ref="X7824:AB7824"/>
    <mergeCell ref="AD7824:AI7824"/>
    <mergeCell ref="AJ7824:AL7824"/>
    <mergeCell ref="AN7824:AO7824"/>
    <mergeCell ref="AP7824:AQ7824"/>
    <mergeCell ref="AR7824:AS7825"/>
    <mergeCell ref="AT7824:AU7825"/>
    <mergeCell ref="AV7824:AW7825"/>
    <mergeCell ref="AX7824:AY7825"/>
    <mergeCell ref="AZ7824:AZ7825"/>
    <mergeCell ref="F7825:H7825"/>
    <mergeCell ref="X7825:AB7825"/>
    <mergeCell ref="AE7825:AI7825"/>
    <mergeCell ref="AJ7825:AL7825"/>
    <mergeCell ref="AN7825:AO7825"/>
    <mergeCell ref="AP7825:AQ7825"/>
    <mergeCell ref="A7826:A7827"/>
    <mergeCell ref="E7826:E7827"/>
    <mergeCell ref="F7826:H7826"/>
    <mergeCell ref="J7826:J7827"/>
    <mergeCell ref="K7826:L7827"/>
    <mergeCell ref="M7826:N7827"/>
    <mergeCell ref="O7826:P7827"/>
    <mergeCell ref="Q7826:R7827"/>
    <mergeCell ref="S7826:T7827"/>
    <mergeCell ref="U7826:V7827"/>
    <mergeCell ref="W7826:W7827"/>
    <mergeCell ref="X7826:AB7826"/>
    <mergeCell ref="AD7826:AI7826"/>
    <mergeCell ref="AJ7826:AL7826"/>
    <mergeCell ref="AN7826:AO7826"/>
    <mergeCell ref="AP7826:AQ7826"/>
    <mergeCell ref="AR7826:AS7827"/>
    <mergeCell ref="AT7826:AU7827"/>
    <mergeCell ref="AV7826:AW7827"/>
    <mergeCell ref="AX7826:AY7827"/>
    <mergeCell ref="AZ7826:AZ7827"/>
    <mergeCell ref="F7827:H7827"/>
    <mergeCell ref="X7827:AB7827"/>
    <mergeCell ref="AE7827:AI7827"/>
    <mergeCell ref="AJ7827:AL7827"/>
    <mergeCell ref="AN7827:AO7827"/>
    <mergeCell ref="AP7827:AQ7827"/>
    <mergeCell ref="A7828:A7829"/>
    <mergeCell ref="E7828:E7829"/>
    <mergeCell ref="F7828:H7828"/>
    <mergeCell ref="J7828:J7829"/>
    <mergeCell ref="K7828:L7829"/>
    <mergeCell ref="M7828:N7829"/>
    <mergeCell ref="O7828:P7829"/>
    <mergeCell ref="Q7828:R7829"/>
    <mergeCell ref="S7828:T7829"/>
    <mergeCell ref="U7828:V7829"/>
    <mergeCell ref="W7828:W7829"/>
    <mergeCell ref="X7828:AB7828"/>
    <mergeCell ref="AD7828:AI7828"/>
    <mergeCell ref="AJ7828:AL7828"/>
    <mergeCell ref="AN7828:AO7828"/>
    <mergeCell ref="AP7828:AQ7828"/>
    <mergeCell ref="AR7828:AS7829"/>
    <mergeCell ref="AT7828:AU7829"/>
    <mergeCell ref="AV7828:AW7829"/>
    <mergeCell ref="AX7828:AY7829"/>
    <mergeCell ref="AZ7828:AZ7829"/>
    <mergeCell ref="F7829:H7829"/>
    <mergeCell ref="X7829:AB7829"/>
    <mergeCell ref="AE7829:AI7829"/>
    <mergeCell ref="AJ7829:AL7829"/>
    <mergeCell ref="AN7829:AO7829"/>
    <mergeCell ref="AP7829:AQ7829"/>
    <mergeCell ref="A7830:A7831"/>
    <mergeCell ref="E7830:E7831"/>
    <mergeCell ref="F7830:H7830"/>
    <mergeCell ref="J7830:J7831"/>
    <mergeCell ref="K7830:L7831"/>
    <mergeCell ref="M7830:N7831"/>
    <mergeCell ref="O7830:P7831"/>
    <mergeCell ref="Q7830:R7831"/>
    <mergeCell ref="S7830:T7831"/>
    <mergeCell ref="U7830:V7831"/>
    <mergeCell ref="W7830:W7831"/>
    <mergeCell ref="X7830:AB7830"/>
    <mergeCell ref="AD7830:AI7830"/>
    <mergeCell ref="AJ7830:AL7830"/>
    <mergeCell ref="AN7830:AO7830"/>
    <mergeCell ref="AP7830:AQ7830"/>
    <mergeCell ref="AR7830:AS7831"/>
    <mergeCell ref="AT7830:AU7831"/>
    <mergeCell ref="AV7830:AW7831"/>
    <mergeCell ref="AX7830:AY7831"/>
    <mergeCell ref="AZ7830:AZ7831"/>
    <mergeCell ref="F7831:H7831"/>
    <mergeCell ref="X7831:AB7831"/>
    <mergeCell ref="AE7831:AI7831"/>
    <mergeCell ref="AJ7831:AL7831"/>
    <mergeCell ref="AN7831:AO7831"/>
    <mergeCell ref="AP7831:AQ7831"/>
    <mergeCell ref="A7832:A7833"/>
    <mergeCell ref="E7832:E7833"/>
    <mergeCell ref="F7832:H7832"/>
    <mergeCell ref="J7832:J7833"/>
    <mergeCell ref="K7832:L7833"/>
    <mergeCell ref="M7832:N7833"/>
    <mergeCell ref="O7832:P7833"/>
    <mergeCell ref="Q7832:R7833"/>
    <mergeCell ref="S7832:T7833"/>
    <mergeCell ref="U7832:V7833"/>
    <mergeCell ref="W7832:W7833"/>
    <mergeCell ref="X7832:AB7832"/>
    <mergeCell ref="AD7832:AI7832"/>
    <mergeCell ref="AJ7832:AL7832"/>
    <mergeCell ref="AN7832:AO7832"/>
    <mergeCell ref="AP7832:AQ7832"/>
    <mergeCell ref="AR7832:AS7833"/>
    <mergeCell ref="AT7832:AU7833"/>
    <mergeCell ref="AV7832:AW7833"/>
    <mergeCell ref="AX7832:AY7833"/>
    <mergeCell ref="AZ7832:AZ7833"/>
    <mergeCell ref="F7833:H7833"/>
    <mergeCell ref="X7833:AB7833"/>
    <mergeCell ref="AE7833:AI7833"/>
    <mergeCell ref="AJ7833:AL7833"/>
    <mergeCell ref="AN7833:AO7833"/>
    <mergeCell ref="AP7833:AQ7833"/>
    <mergeCell ref="A7834:A7835"/>
    <mergeCell ref="E7834:E7835"/>
    <mergeCell ref="F7834:H7834"/>
    <mergeCell ref="J7834:J7835"/>
    <mergeCell ref="K7834:L7835"/>
    <mergeCell ref="M7834:N7835"/>
    <mergeCell ref="O7834:P7835"/>
    <mergeCell ref="Q7834:R7835"/>
    <mergeCell ref="S7834:T7835"/>
    <mergeCell ref="U7834:V7835"/>
    <mergeCell ref="W7834:W7835"/>
    <mergeCell ref="X7834:AB7834"/>
    <mergeCell ref="AD7834:AI7834"/>
    <mergeCell ref="AJ7834:AL7834"/>
    <mergeCell ref="AN7834:AO7834"/>
    <mergeCell ref="AP7834:AQ7834"/>
    <mergeCell ref="AR7834:AS7835"/>
    <mergeCell ref="AT7834:AU7835"/>
    <mergeCell ref="AV7834:AW7835"/>
    <mergeCell ref="AX7834:AY7835"/>
    <mergeCell ref="AZ7834:AZ7835"/>
    <mergeCell ref="F7835:H7835"/>
    <mergeCell ref="X7835:AB7835"/>
    <mergeCell ref="AE7835:AI7835"/>
    <mergeCell ref="AJ7835:AL7835"/>
    <mergeCell ref="AN7835:AO7835"/>
    <mergeCell ref="AP7835:AQ7835"/>
    <mergeCell ref="A7836:A7837"/>
    <mergeCell ref="E7836:E7837"/>
    <mergeCell ref="F7836:H7836"/>
    <mergeCell ref="J7836:J7837"/>
    <mergeCell ref="K7836:L7837"/>
    <mergeCell ref="M7836:N7837"/>
    <mergeCell ref="O7836:P7837"/>
    <mergeCell ref="Q7836:R7837"/>
    <mergeCell ref="S7836:T7837"/>
    <mergeCell ref="U7836:V7837"/>
    <mergeCell ref="W7836:W7837"/>
    <mergeCell ref="X7836:AB7836"/>
    <mergeCell ref="AD7836:AI7836"/>
    <mergeCell ref="AJ7836:AL7836"/>
    <mergeCell ref="AN7836:AO7836"/>
    <mergeCell ref="AP7836:AQ7836"/>
    <mergeCell ref="AR7836:AS7837"/>
    <mergeCell ref="AT7836:AU7837"/>
    <mergeCell ref="AV7836:AW7837"/>
    <mergeCell ref="AX7836:AY7837"/>
    <mergeCell ref="AZ7836:AZ7837"/>
    <mergeCell ref="F7837:H7837"/>
    <mergeCell ref="X7837:AB7837"/>
    <mergeCell ref="AE7837:AI7837"/>
    <mergeCell ref="AJ7837:AL7837"/>
    <mergeCell ref="AN7837:AO7837"/>
    <mergeCell ref="AP7837:AQ7837"/>
    <mergeCell ref="A7838:A7839"/>
    <mergeCell ref="E7838:E7839"/>
    <mergeCell ref="F7838:H7838"/>
    <mergeCell ref="J7838:J7839"/>
    <mergeCell ref="K7838:L7839"/>
    <mergeCell ref="M7838:N7839"/>
    <mergeCell ref="O7838:P7839"/>
    <mergeCell ref="Q7838:R7839"/>
    <mergeCell ref="S7838:T7839"/>
    <mergeCell ref="U7838:V7839"/>
    <mergeCell ref="W7838:W7839"/>
    <mergeCell ref="X7838:AB7838"/>
    <mergeCell ref="AD7838:AI7838"/>
    <mergeCell ref="AJ7838:AL7838"/>
    <mergeCell ref="AN7838:AO7838"/>
    <mergeCell ref="AP7838:AQ7838"/>
    <mergeCell ref="AR7838:AS7839"/>
    <mergeCell ref="AT7838:AU7839"/>
    <mergeCell ref="AV7838:AW7839"/>
    <mergeCell ref="AX7838:AY7839"/>
    <mergeCell ref="AZ7838:AZ7839"/>
    <mergeCell ref="F7839:H7839"/>
    <mergeCell ref="X7839:AB7839"/>
    <mergeCell ref="AE7839:AI7839"/>
    <mergeCell ref="AJ7839:AL7839"/>
    <mergeCell ref="AN7839:AO7839"/>
    <mergeCell ref="AP7839:AQ7839"/>
    <mergeCell ref="A7840:A7841"/>
    <mergeCell ref="E7840:E7841"/>
    <mergeCell ref="F7840:H7840"/>
    <mergeCell ref="J7840:J7841"/>
    <mergeCell ref="K7840:L7841"/>
    <mergeCell ref="M7840:N7841"/>
    <mergeCell ref="O7840:P7841"/>
    <mergeCell ref="Q7840:R7841"/>
    <mergeCell ref="S7840:T7841"/>
    <mergeCell ref="U7840:V7841"/>
    <mergeCell ref="W7840:W7841"/>
    <mergeCell ref="X7840:AB7840"/>
    <mergeCell ref="AD7840:AI7840"/>
    <mergeCell ref="AJ7840:AL7840"/>
    <mergeCell ref="AN7840:AO7840"/>
    <mergeCell ref="AP7840:AQ7840"/>
    <mergeCell ref="AR7840:AS7841"/>
    <mergeCell ref="AT7840:AU7841"/>
    <mergeCell ref="AV7840:AW7841"/>
    <mergeCell ref="AX7840:AY7841"/>
    <mergeCell ref="AZ7840:AZ7841"/>
    <mergeCell ref="F7841:H7841"/>
    <mergeCell ref="X7841:AB7841"/>
    <mergeCell ref="AE7841:AI7841"/>
    <mergeCell ref="AJ7841:AL7841"/>
    <mergeCell ref="AN7841:AO7841"/>
    <mergeCell ref="AP7841:AQ7841"/>
    <mergeCell ref="AZ7848:AZ7849"/>
    <mergeCell ref="F7849:H7849"/>
    <mergeCell ref="X7849:AB7849"/>
    <mergeCell ref="AE7849:AI7849"/>
    <mergeCell ref="AJ7849:AL7849"/>
    <mergeCell ref="AN7849:AO7849"/>
    <mergeCell ref="AP7849:AQ7849"/>
    <mergeCell ref="A7842:A7843"/>
    <mergeCell ref="E7842:E7843"/>
    <mergeCell ref="F7842:H7842"/>
    <mergeCell ref="J7842:J7843"/>
    <mergeCell ref="K7842:L7843"/>
    <mergeCell ref="M7842:N7843"/>
    <mergeCell ref="O7842:P7843"/>
    <mergeCell ref="Q7842:R7843"/>
    <mergeCell ref="S7842:T7843"/>
    <mergeCell ref="U7842:V7843"/>
    <mergeCell ref="W7842:W7843"/>
    <mergeCell ref="X7842:AB7842"/>
    <mergeCell ref="AD7842:AI7842"/>
    <mergeCell ref="AJ7842:AL7842"/>
    <mergeCell ref="AN7842:AO7842"/>
    <mergeCell ref="AP7842:AQ7842"/>
    <mergeCell ref="AR7842:AS7843"/>
    <mergeCell ref="AT7842:AU7843"/>
    <mergeCell ref="AV7842:AW7843"/>
    <mergeCell ref="AX7842:AY7843"/>
    <mergeCell ref="AZ7842:AZ7843"/>
    <mergeCell ref="F7843:H7843"/>
    <mergeCell ref="X7843:AB7843"/>
    <mergeCell ref="AE7843:AI7843"/>
    <mergeCell ref="AJ7843:AL7843"/>
    <mergeCell ref="AN7843:AO7843"/>
    <mergeCell ref="AP7843:AQ7843"/>
    <mergeCell ref="A7844:A7845"/>
    <mergeCell ref="E7844:E7845"/>
    <mergeCell ref="F7844:H7844"/>
    <mergeCell ref="J7844:J7845"/>
    <mergeCell ref="K7844:L7845"/>
    <mergeCell ref="M7844:N7845"/>
    <mergeCell ref="O7844:P7845"/>
    <mergeCell ref="Q7844:R7845"/>
    <mergeCell ref="S7844:T7845"/>
    <mergeCell ref="U7844:V7845"/>
    <mergeCell ref="W7844:W7845"/>
    <mergeCell ref="X7844:AB7844"/>
    <mergeCell ref="AD7844:AI7844"/>
    <mergeCell ref="AJ7844:AL7844"/>
    <mergeCell ref="AN7844:AO7844"/>
    <mergeCell ref="AP7844:AQ7844"/>
    <mergeCell ref="AR7844:AS7845"/>
    <mergeCell ref="AT7844:AU7845"/>
    <mergeCell ref="AV7844:AW7845"/>
    <mergeCell ref="AX7844:AY7845"/>
    <mergeCell ref="AZ7844:AZ7845"/>
    <mergeCell ref="F7845:H7845"/>
    <mergeCell ref="X7845:AB7845"/>
    <mergeCell ref="AE7845:AI7845"/>
    <mergeCell ref="AJ7845:AL7845"/>
    <mergeCell ref="AN7845:AO7845"/>
    <mergeCell ref="AP7845:AQ7845"/>
    <mergeCell ref="W7852:W7853"/>
    <mergeCell ref="X7852:AB7852"/>
    <mergeCell ref="AD7852:AI7852"/>
    <mergeCell ref="AJ7852:AL7852"/>
    <mergeCell ref="AN7852:AO7852"/>
    <mergeCell ref="AP7852:AQ7852"/>
    <mergeCell ref="AR7852:AS7853"/>
    <mergeCell ref="AT7852:AU7853"/>
    <mergeCell ref="AV7852:AW7853"/>
    <mergeCell ref="AX7852:AY7853"/>
    <mergeCell ref="AZ7852:AZ7853"/>
    <mergeCell ref="F7853:H7853"/>
    <mergeCell ref="X7853:AB7853"/>
    <mergeCell ref="AE7853:AI7853"/>
    <mergeCell ref="AJ7853:AL7853"/>
    <mergeCell ref="AN7853:AO7853"/>
    <mergeCell ref="AP7853:AQ7853"/>
    <mergeCell ref="A7846:A7847"/>
    <mergeCell ref="E7846:E7847"/>
    <mergeCell ref="F7846:H7846"/>
    <mergeCell ref="J7846:J7847"/>
    <mergeCell ref="K7846:L7847"/>
    <mergeCell ref="M7846:N7847"/>
    <mergeCell ref="O7846:P7847"/>
    <mergeCell ref="Q7846:R7847"/>
    <mergeCell ref="S7846:T7847"/>
    <mergeCell ref="U7846:V7847"/>
    <mergeCell ref="W7846:W7847"/>
    <mergeCell ref="X7846:AB7846"/>
    <mergeCell ref="AD7846:AI7846"/>
    <mergeCell ref="AJ7846:AL7846"/>
    <mergeCell ref="AN7846:AO7846"/>
    <mergeCell ref="AP7846:AQ7846"/>
    <mergeCell ref="AR7846:AS7847"/>
    <mergeCell ref="AT7846:AU7847"/>
    <mergeCell ref="AV7846:AW7847"/>
    <mergeCell ref="AX7846:AY7847"/>
    <mergeCell ref="AZ7846:AZ7847"/>
    <mergeCell ref="F7847:H7847"/>
    <mergeCell ref="X7847:AB7847"/>
    <mergeCell ref="AE7847:AI7847"/>
    <mergeCell ref="AJ7847:AL7847"/>
    <mergeCell ref="AN7847:AO7847"/>
    <mergeCell ref="AP7847:AQ7847"/>
    <mergeCell ref="A7848:A7849"/>
    <mergeCell ref="E7848:E7849"/>
    <mergeCell ref="F7848:H7848"/>
    <mergeCell ref="J7848:J7849"/>
    <mergeCell ref="K7848:L7849"/>
    <mergeCell ref="M7848:N7849"/>
    <mergeCell ref="O7848:P7849"/>
    <mergeCell ref="Q7848:R7849"/>
    <mergeCell ref="S7848:T7849"/>
    <mergeCell ref="U7848:V7849"/>
    <mergeCell ref="W7848:W7849"/>
    <mergeCell ref="X7848:AB7848"/>
    <mergeCell ref="AD7848:AI7848"/>
    <mergeCell ref="AJ7848:AL7848"/>
    <mergeCell ref="AN7848:AO7848"/>
    <mergeCell ref="AP7848:AQ7848"/>
    <mergeCell ref="AR7848:AS7849"/>
    <mergeCell ref="AT7848:AU7849"/>
    <mergeCell ref="AV7848:AW7849"/>
    <mergeCell ref="AX7848:AY7849"/>
    <mergeCell ref="A7854:A7855"/>
    <mergeCell ref="E7854:E7855"/>
    <mergeCell ref="F7854:H7854"/>
    <mergeCell ref="J7854:J7855"/>
    <mergeCell ref="K7854:L7855"/>
    <mergeCell ref="M7854:N7855"/>
    <mergeCell ref="O7854:P7855"/>
    <mergeCell ref="Q7854:R7855"/>
    <mergeCell ref="S7854:T7855"/>
    <mergeCell ref="U7854:V7855"/>
    <mergeCell ref="W7854:W7855"/>
    <mergeCell ref="X7854:AB7854"/>
    <mergeCell ref="AD7854:AI7854"/>
    <mergeCell ref="AJ7854:AL7854"/>
    <mergeCell ref="AN7854:AO7854"/>
    <mergeCell ref="AP7854:AQ7854"/>
    <mergeCell ref="AR7854:AS7855"/>
    <mergeCell ref="AT7854:AU7855"/>
    <mergeCell ref="AV7854:AW7855"/>
    <mergeCell ref="AX7854:AY7855"/>
    <mergeCell ref="AZ7854:AZ7855"/>
    <mergeCell ref="F7855:H7855"/>
    <mergeCell ref="X7855:AB7855"/>
    <mergeCell ref="AE7855:AI7855"/>
    <mergeCell ref="AJ7855:AL7855"/>
    <mergeCell ref="AN7855:AO7855"/>
    <mergeCell ref="AP7855:AQ7855"/>
    <mergeCell ref="A7850:A7851"/>
    <mergeCell ref="E7850:E7851"/>
    <mergeCell ref="F7850:H7850"/>
    <mergeCell ref="J7850:J7851"/>
    <mergeCell ref="K7850:L7851"/>
    <mergeCell ref="M7850:N7851"/>
    <mergeCell ref="O7850:P7851"/>
    <mergeCell ref="Q7850:R7851"/>
    <mergeCell ref="S7850:T7851"/>
    <mergeCell ref="U7850:V7851"/>
    <mergeCell ref="W7850:W7851"/>
    <mergeCell ref="X7850:AB7850"/>
    <mergeCell ref="AD7850:AI7850"/>
    <mergeCell ref="AJ7850:AL7850"/>
    <mergeCell ref="AN7850:AO7850"/>
    <mergeCell ref="AP7850:AQ7850"/>
    <mergeCell ref="AR7850:AS7851"/>
    <mergeCell ref="AT7850:AU7851"/>
    <mergeCell ref="AV7850:AW7851"/>
    <mergeCell ref="AX7850:AY7851"/>
    <mergeCell ref="AZ7850:AZ7851"/>
    <mergeCell ref="F7851:H7851"/>
    <mergeCell ref="X7851:AB7851"/>
    <mergeCell ref="AE7851:AI7851"/>
    <mergeCell ref="AJ7851:AL7851"/>
    <mergeCell ref="AN7851:AO7851"/>
    <mergeCell ref="AP7851:AQ7851"/>
    <mergeCell ref="A7852:A7853"/>
    <mergeCell ref="E7852:E7853"/>
    <mergeCell ref="F7852:H7852"/>
    <mergeCell ref="J7852:J7853"/>
    <mergeCell ref="K7852:L7853"/>
    <mergeCell ref="M7852:N7853"/>
    <mergeCell ref="O7852:P7853"/>
    <mergeCell ref="Q7852:R7853"/>
    <mergeCell ref="S7852:T7853"/>
    <mergeCell ref="U7852:V7853"/>
    <mergeCell ref="A7634:A7635"/>
    <mergeCell ref="E7634:E7635"/>
    <mergeCell ref="F7634:H7634"/>
    <mergeCell ref="J7634:J7635"/>
    <mergeCell ref="K7634:L7635"/>
    <mergeCell ref="M7634:N7635"/>
    <mergeCell ref="O7634:P7635"/>
    <mergeCell ref="Q7634:R7635"/>
    <mergeCell ref="S7634:T7635"/>
    <mergeCell ref="U7634:V7635"/>
    <mergeCell ref="W7634:W7635"/>
    <mergeCell ref="X7634:AB7634"/>
    <mergeCell ref="AD7634:AI7634"/>
    <mergeCell ref="AJ7634:AL7634"/>
    <mergeCell ref="AN7634:AO7634"/>
    <mergeCell ref="AP7634:AQ7634"/>
    <mergeCell ref="AR7634:AS7635"/>
    <mergeCell ref="AT7634:AU7635"/>
    <mergeCell ref="AV7634:AW7635"/>
    <mergeCell ref="AX7634:AY7635"/>
    <mergeCell ref="AZ7634:AZ7635"/>
    <mergeCell ref="F7635:H7635"/>
    <mergeCell ref="X7635:AB7635"/>
    <mergeCell ref="AE7635:AI7635"/>
    <mergeCell ref="AJ7635:AL7635"/>
    <mergeCell ref="AN7635:AO7635"/>
    <mergeCell ref="AP7635:AQ7635"/>
    <mergeCell ref="A7636:A7637"/>
    <mergeCell ref="E7636:E7637"/>
    <mergeCell ref="F7636:H7636"/>
    <mergeCell ref="J7636:J7637"/>
    <mergeCell ref="K7636:L7637"/>
    <mergeCell ref="M7636:N7637"/>
    <mergeCell ref="O7636:P7637"/>
    <mergeCell ref="Q7636:R7637"/>
    <mergeCell ref="S7636:T7637"/>
    <mergeCell ref="U7636:V7637"/>
    <mergeCell ref="W7636:W7637"/>
    <mergeCell ref="X7636:AB7636"/>
    <mergeCell ref="AD7636:AI7636"/>
    <mergeCell ref="AJ7636:AL7636"/>
    <mergeCell ref="AN7636:AO7636"/>
    <mergeCell ref="AP7636:AQ7636"/>
    <mergeCell ref="AR7636:AS7637"/>
    <mergeCell ref="AT7636:AU7637"/>
    <mergeCell ref="AV7636:AW7637"/>
    <mergeCell ref="AX7636:AY7637"/>
    <mergeCell ref="AZ7636:AZ7637"/>
    <mergeCell ref="F7637:H7637"/>
    <mergeCell ref="X7637:AB7637"/>
    <mergeCell ref="AE7637:AI7637"/>
    <mergeCell ref="AJ7637:AL7637"/>
    <mergeCell ref="AN7637:AO7637"/>
    <mergeCell ref="AP7637:AQ7637"/>
    <mergeCell ref="A7856:A7857"/>
    <mergeCell ref="E7856:E7857"/>
    <mergeCell ref="F7856:H7856"/>
    <mergeCell ref="J7856:J7857"/>
    <mergeCell ref="K7856:L7857"/>
    <mergeCell ref="M7856:N7857"/>
    <mergeCell ref="O7856:P7857"/>
    <mergeCell ref="Q7856:R7857"/>
    <mergeCell ref="S7856:T7857"/>
    <mergeCell ref="U7856:V7857"/>
    <mergeCell ref="W7856:W7857"/>
    <mergeCell ref="X7856:AB7856"/>
    <mergeCell ref="AD7856:AI7856"/>
    <mergeCell ref="AJ7856:AL7856"/>
    <mergeCell ref="AN7856:AO7856"/>
    <mergeCell ref="AP7856:AQ7856"/>
    <mergeCell ref="AR7856:AS7857"/>
    <mergeCell ref="AT7856:AU7857"/>
    <mergeCell ref="AV7856:AW7857"/>
    <mergeCell ref="AX7856:AY7857"/>
    <mergeCell ref="AZ7856:AZ7857"/>
    <mergeCell ref="F7857:H7857"/>
    <mergeCell ref="X7857:AB7857"/>
    <mergeCell ref="AE7857:AI7857"/>
    <mergeCell ref="AJ7857:AL7857"/>
    <mergeCell ref="AN7857:AO7857"/>
    <mergeCell ref="AP7857:AQ7857"/>
    <mergeCell ref="A7858:A7859"/>
    <mergeCell ref="E7858:E7859"/>
    <mergeCell ref="F7858:H7858"/>
    <mergeCell ref="J7858:J7859"/>
    <mergeCell ref="K7858:L7859"/>
    <mergeCell ref="M7858:N7859"/>
    <mergeCell ref="O7858:P7859"/>
    <mergeCell ref="Q7858:R7859"/>
    <mergeCell ref="S7858:T7859"/>
    <mergeCell ref="U7858:V7859"/>
    <mergeCell ref="W7858:W7859"/>
    <mergeCell ref="X7858:AB7858"/>
    <mergeCell ref="AD7858:AI7858"/>
    <mergeCell ref="AJ7858:AL7858"/>
    <mergeCell ref="AN7858:AO7858"/>
    <mergeCell ref="AP7858:AQ7858"/>
    <mergeCell ref="AR7858:AS7859"/>
    <mergeCell ref="AT7858:AU7859"/>
    <mergeCell ref="AV7858:AW7859"/>
    <mergeCell ref="AX7858:AY7859"/>
    <mergeCell ref="AZ7858:AZ7859"/>
    <mergeCell ref="F7859:H7859"/>
    <mergeCell ref="X7859:AB7859"/>
    <mergeCell ref="AE7859:AI7859"/>
    <mergeCell ref="AJ7859:AL7859"/>
    <mergeCell ref="AN7859:AO7859"/>
    <mergeCell ref="AP7859:AQ7859"/>
    <mergeCell ref="A7860:A7861"/>
    <mergeCell ref="E7860:E7861"/>
    <mergeCell ref="F7860:H7860"/>
    <mergeCell ref="J7860:J7861"/>
    <mergeCell ref="K7860:L7861"/>
    <mergeCell ref="M7860:N7861"/>
    <mergeCell ref="O7860:P7861"/>
    <mergeCell ref="Q7860:R7861"/>
    <mergeCell ref="S7860:T7861"/>
    <mergeCell ref="U7860:V7861"/>
    <mergeCell ref="W7860:W7861"/>
    <mergeCell ref="X7860:AB7860"/>
    <mergeCell ref="AD7860:AI7860"/>
    <mergeCell ref="AJ7860:AL7860"/>
    <mergeCell ref="AN7860:AO7860"/>
    <mergeCell ref="AP7860:AQ7860"/>
    <mergeCell ref="AR7860:AS7861"/>
    <mergeCell ref="AT7860:AU7861"/>
    <mergeCell ref="AV7860:AW7861"/>
    <mergeCell ref="AX7860:AY7861"/>
    <mergeCell ref="AZ7860:AZ7861"/>
    <mergeCell ref="F7861:H7861"/>
    <mergeCell ref="X7861:AB7861"/>
    <mergeCell ref="AE7861:AI7861"/>
    <mergeCell ref="AJ7861:AL7861"/>
    <mergeCell ref="AN7861:AO7861"/>
    <mergeCell ref="AP7861:AQ7861"/>
    <mergeCell ref="A7862:A7863"/>
    <mergeCell ref="E7862:E7863"/>
    <mergeCell ref="F7862:H7862"/>
    <mergeCell ref="J7862:J7863"/>
    <mergeCell ref="K7862:L7863"/>
    <mergeCell ref="M7862:N7863"/>
    <mergeCell ref="O7862:P7863"/>
    <mergeCell ref="Q7862:R7863"/>
    <mergeCell ref="S7862:T7863"/>
    <mergeCell ref="U7862:V7863"/>
    <mergeCell ref="W7862:W7863"/>
    <mergeCell ref="X7862:AB7862"/>
    <mergeCell ref="AD7862:AI7862"/>
    <mergeCell ref="AJ7862:AL7862"/>
    <mergeCell ref="AN7862:AO7862"/>
    <mergeCell ref="AP7862:AQ7862"/>
    <mergeCell ref="AR7862:AS7863"/>
    <mergeCell ref="AT7862:AU7863"/>
    <mergeCell ref="AV7862:AW7863"/>
    <mergeCell ref="AX7862:AY7863"/>
    <mergeCell ref="AZ7862:AZ7863"/>
    <mergeCell ref="F7863:H7863"/>
    <mergeCell ref="X7863:AB7863"/>
    <mergeCell ref="AE7863:AI7863"/>
    <mergeCell ref="AJ7863:AL7863"/>
    <mergeCell ref="AN7863:AO7863"/>
    <mergeCell ref="AP7863:AQ7863"/>
    <mergeCell ref="A7864:A7865"/>
    <mergeCell ref="E7864:E7865"/>
    <mergeCell ref="F7864:H7864"/>
    <mergeCell ref="J7864:J7865"/>
    <mergeCell ref="K7864:L7865"/>
    <mergeCell ref="M7864:N7865"/>
    <mergeCell ref="O7864:P7865"/>
    <mergeCell ref="Q7864:R7865"/>
    <mergeCell ref="S7864:T7865"/>
    <mergeCell ref="U7864:V7865"/>
    <mergeCell ref="W7864:W7865"/>
    <mergeCell ref="X7864:AB7864"/>
    <mergeCell ref="AD7864:AI7864"/>
    <mergeCell ref="AJ7864:AL7864"/>
    <mergeCell ref="AN7864:AO7864"/>
    <mergeCell ref="AP7864:AQ7864"/>
    <mergeCell ref="AR7864:AS7865"/>
    <mergeCell ref="AT7864:AU7865"/>
    <mergeCell ref="AV7864:AW7865"/>
    <mergeCell ref="AX7864:AY7865"/>
    <mergeCell ref="AZ7864:AZ7865"/>
    <mergeCell ref="F7865:H7865"/>
    <mergeCell ref="X7865:AB7865"/>
    <mergeCell ref="AE7865:AI7865"/>
    <mergeCell ref="AJ7865:AL7865"/>
    <mergeCell ref="AN7865:AO7865"/>
    <mergeCell ref="AP7865:AQ7865"/>
    <mergeCell ref="A7866:A7867"/>
    <mergeCell ref="E7866:E7867"/>
    <mergeCell ref="F7866:H7866"/>
    <mergeCell ref="J7866:J7867"/>
    <mergeCell ref="K7866:L7867"/>
    <mergeCell ref="M7866:N7867"/>
    <mergeCell ref="O7866:P7867"/>
    <mergeCell ref="Q7866:R7867"/>
    <mergeCell ref="S7866:T7867"/>
    <mergeCell ref="U7866:V7867"/>
    <mergeCell ref="W7866:W7867"/>
    <mergeCell ref="X7866:AB7866"/>
    <mergeCell ref="AD7866:AI7866"/>
    <mergeCell ref="AJ7866:AL7866"/>
    <mergeCell ref="AN7866:AO7866"/>
    <mergeCell ref="AP7866:AQ7866"/>
    <mergeCell ref="AR7866:AS7867"/>
    <mergeCell ref="AT7866:AU7867"/>
    <mergeCell ref="AV7866:AW7867"/>
    <mergeCell ref="AX7866:AY7867"/>
    <mergeCell ref="AZ7866:AZ7867"/>
    <mergeCell ref="F7867:H7867"/>
    <mergeCell ref="X7867:AB7867"/>
    <mergeCell ref="AE7867:AI7867"/>
    <mergeCell ref="AJ7867:AL7867"/>
    <mergeCell ref="AN7867:AO7867"/>
    <mergeCell ref="AP7867:AQ7867"/>
    <mergeCell ref="A7868:A7869"/>
    <mergeCell ref="E7868:E7869"/>
    <mergeCell ref="F7868:H7868"/>
    <mergeCell ref="J7868:J7869"/>
    <mergeCell ref="K7868:L7869"/>
    <mergeCell ref="M7868:N7869"/>
    <mergeCell ref="O7868:P7869"/>
    <mergeCell ref="Q7868:R7869"/>
    <mergeCell ref="S7868:T7869"/>
    <mergeCell ref="U7868:V7869"/>
    <mergeCell ref="W7868:W7869"/>
    <mergeCell ref="X7868:AB7868"/>
    <mergeCell ref="AD7868:AI7868"/>
    <mergeCell ref="AJ7868:AL7868"/>
    <mergeCell ref="AN7868:AO7868"/>
    <mergeCell ref="AP7868:AQ7868"/>
    <mergeCell ref="AR7868:AS7869"/>
    <mergeCell ref="AT7868:AU7869"/>
    <mergeCell ref="AV7868:AW7869"/>
    <mergeCell ref="AX7868:AY7869"/>
    <mergeCell ref="AZ7868:AZ7869"/>
    <mergeCell ref="F7869:H7869"/>
    <mergeCell ref="X7869:AB7869"/>
    <mergeCell ref="AE7869:AI7869"/>
    <mergeCell ref="AJ7869:AL7869"/>
    <mergeCell ref="AN7869:AO7869"/>
    <mergeCell ref="AP7869:AQ7869"/>
    <mergeCell ref="A7870:A7871"/>
    <mergeCell ref="E7870:E7871"/>
    <mergeCell ref="F7870:H7870"/>
    <mergeCell ref="J7870:J7871"/>
    <mergeCell ref="K7870:L7871"/>
    <mergeCell ref="M7870:N7871"/>
    <mergeCell ref="O7870:P7871"/>
    <mergeCell ref="Q7870:R7871"/>
    <mergeCell ref="S7870:T7871"/>
    <mergeCell ref="U7870:V7871"/>
    <mergeCell ref="W7870:W7871"/>
    <mergeCell ref="X7870:AB7870"/>
    <mergeCell ref="AD7870:AI7870"/>
    <mergeCell ref="AJ7870:AL7870"/>
    <mergeCell ref="AN7870:AO7870"/>
    <mergeCell ref="AP7870:AQ7870"/>
    <mergeCell ref="AR7870:AS7871"/>
    <mergeCell ref="AT7870:AU7871"/>
    <mergeCell ref="AV7870:AW7871"/>
    <mergeCell ref="AX7870:AY7871"/>
    <mergeCell ref="AZ7870:AZ7871"/>
    <mergeCell ref="F7871:H7871"/>
    <mergeCell ref="X7871:AB7871"/>
    <mergeCell ref="AE7871:AI7871"/>
    <mergeCell ref="AJ7871:AL7871"/>
    <mergeCell ref="AN7871:AO7871"/>
    <mergeCell ref="AP7871:AQ7871"/>
    <mergeCell ref="A7872:A7873"/>
    <mergeCell ref="E7872:E7873"/>
    <mergeCell ref="F7872:H7872"/>
    <mergeCell ref="J7872:J7873"/>
    <mergeCell ref="K7872:L7873"/>
    <mergeCell ref="M7872:N7873"/>
    <mergeCell ref="O7872:P7873"/>
    <mergeCell ref="Q7872:R7873"/>
    <mergeCell ref="S7872:T7873"/>
    <mergeCell ref="U7872:V7873"/>
    <mergeCell ref="W7872:W7873"/>
    <mergeCell ref="X7872:AB7872"/>
    <mergeCell ref="AD7872:AI7872"/>
    <mergeCell ref="AJ7872:AL7872"/>
    <mergeCell ref="AN7872:AO7872"/>
    <mergeCell ref="AP7872:AQ7872"/>
    <mergeCell ref="AR7872:AS7873"/>
    <mergeCell ref="AT7872:AU7873"/>
    <mergeCell ref="AV7872:AW7873"/>
    <mergeCell ref="AX7872:AY7873"/>
    <mergeCell ref="AZ7872:AZ7873"/>
    <mergeCell ref="F7873:H7873"/>
    <mergeCell ref="X7873:AB7873"/>
    <mergeCell ref="AE7873:AI7873"/>
    <mergeCell ref="AJ7873:AL7873"/>
    <mergeCell ref="AN7873:AO7873"/>
    <mergeCell ref="AP7873:AQ7873"/>
    <mergeCell ref="A7874:A7875"/>
    <mergeCell ref="E7874:E7875"/>
    <mergeCell ref="F7874:H7874"/>
    <mergeCell ref="J7874:J7875"/>
    <mergeCell ref="K7874:L7875"/>
    <mergeCell ref="M7874:N7875"/>
    <mergeCell ref="O7874:P7875"/>
    <mergeCell ref="Q7874:R7875"/>
    <mergeCell ref="S7874:T7875"/>
    <mergeCell ref="U7874:V7875"/>
    <mergeCell ref="W7874:W7875"/>
    <mergeCell ref="X7874:AB7874"/>
    <mergeCell ref="AD7874:AI7874"/>
    <mergeCell ref="AJ7874:AL7874"/>
    <mergeCell ref="AN7874:AO7874"/>
    <mergeCell ref="AP7874:AQ7874"/>
    <mergeCell ref="AR7874:AS7875"/>
    <mergeCell ref="AT7874:AU7875"/>
    <mergeCell ref="AV7874:AW7875"/>
    <mergeCell ref="AX7874:AY7875"/>
    <mergeCell ref="AZ7874:AZ7875"/>
    <mergeCell ref="F7875:H7875"/>
    <mergeCell ref="X7875:AB7875"/>
    <mergeCell ref="AE7875:AI7875"/>
    <mergeCell ref="AJ7875:AL7875"/>
    <mergeCell ref="AN7875:AO7875"/>
    <mergeCell ref="AP7875:AQ7875"/>
    <mergeCell ref="A7876:A7877"/>
    <mergeCell ref="E7876:E7877"/>
    <mergeCell ref="F7876:H7876"/>
    <mergeCell ref="J7876:J7877"/>
    <mergeCell ref="K7876:L7877"/>
    <mergeCell ref="M7876:N7877"/>
    <mergeCell ref="O7876:P7877"/>
    <mergeCell ref="Q7876:R7877"/>
    <mergeCell ref="S7876:T7877"/>
    <mergeCell ref="U7876:V7877"/>
    <mergeCell ref="W7876:W7877"/>
    <mergeCell ref="X7876:AB7876"/>
    <mergeCell ref="AD7876:AI7876"/>
    <mergeCell ref="AJ7876:AL7876"/>
    <mergeCell ref="AN7876:AO7876"/>
    <mergeCell ref="AP7876:AQ7876"/>
    <mergeCell ref="AR7876:AS7877"/>
    <mergeCell ref="AT7876:AU7877"/>
    <mergeCell ref="AV7876:AW7877"/>
    <mergeCell ref="AX7876:AY7877"/>
    <mergeCell ref="AZ7876:AZ7877"/>
    <mergeCell ref="F7877:H7877"/>
    <mergeCell ref="X7877:AB7877"/>
    <mergeCell ref="AE7877:AI7877"/>
    <mergeCell ref="AJ7877:AL7877"/>
    <mergeCell ref="AN7877:AO7877"/>
    <mergeCell ref="AP7877:AQ7877"/>
    <mergeCell ref="A7878:A7879"/>
    <mergeCell ref="E7878:E7879"/>
    <mergeCell ref="F7878:H7878"/>
    <mergeCell ref="J7878:J7879"/>
    <mergeCell ref="K7878:L7879"/>
    <mergeCell ref="M7878:N7879"/>
    <mergeCell ref="O7878:P7879"/>
    <mergeCell ref="Q7878:R7879"/>
    <mergeCell ref="S7878:T7879"/>
    <mergeCell ref="U7878:V7879"/>
    <mergeCell ref="W7878:W7879"/>
    <mergeCell ref="X7878:AB7878"/>
    <mergeCell ref="AD7878:AI7878"/>
    <mergeCell ref="AJ7878:AL7878"/>
    <mergeCell ref="AN7878:AO7878"/>
    <mergeCell ref="AP7878:AQ7878"/>
    <mergeCell ref="AR7878:AS7879"/>
    <mergeCell ref="AT7878:AU7879"/>
    <mergeCell ref="AV7878:AW7879"/>
    <mergeCell ref="AX7878:AY7879"/>
    <mergeCell ref="AZ7878:AZ7879"/>
    <mergeCell ref="F7879:H7879"/>
    <mergeCell ref="X7879:AB7879"/>
    <mergeCell ref="AE7879:AI7879"/>
    <mergeCell ref="AJ7879:AL7879"/>
    <mergeCell ref="AN7879:AO7879"/>
    <mergeCell ref="AP7879:AQ7879"/>
    <mergeCell ref="A7880:A7881"/>
    <mergeCell ref="E7880:E7881"/>
    <mergeCell ref="F7880:H7880"/>
    <mergeCell ref="J7880:J7881"/>
    <mergeCell ref="K7880:L7881"/>
    <mergeCell ref="M7880:N7881"/>
    <mergeCell ref="O7880:P7881"/>
    <mergeCell ref="Q7880:R7881"/>
    <mergeCell ref="S7880:T7881"/>
    <mergeCell ref="U7880:V7881"/>
    <mergeCell ref="W7880:W7881"/>
    <mergeCell ref="X7880:AB7880"/>
    <mergeCell ref="AD7880:AI7880"/>
    <mergeCell ref="AJ7880:AL7880"/>
    <mergeCell ref="AN7880:AO7880"/>
    <mergeCell ref="AP7880:AQ7880"/>
    <mergeCell ref="AR7880:AS7881"/>
    <mergeCell ref="AT7880:AU7881"/>
    <mergeCell ref="AV7880:AW7881"/>
    <mergeCell ref="AX7880:AY7881"/>
    <mergeCell ref="AZ7880:AZ7881"/>
    <mergeCell ref="F7881:H7881"/>
    <mergeCell ref="X7881:AB7881"/>
    <mergeCell ref="AE7881:AI7881"/>
    <mergeCell ref="AJ7881:AL7881"/>
    <mergeCell ref="AN7881:AO7881"/>
    <mergeCell ref="AP7881:AQ7881"/>
    <mergeCell ref="A7882:A7883"/>
    <mergeCell ref="E7882:E7883"/>
    <mergeCell ref="F7882:H7882"/>
    <mergeCell ref="J7882:J7883"/>
    <mergeCell ref="K7882:L7883"/>
    <mergeCell ref="M7882:N7883"/>
    <mergeCell ref="O7882:P7883"/>
    <mergeCell ref="Q7882:R7883"/>
    <mergeCell ref="S7882:T7883"/>
    <mergeCell ref="U7882:V7883"/>
    <mergeCell ref="W7882:W7883"/>
    <mergeCell ref="X7882:AB7882"/>
    <mergeCell ref="AD7882:AI7882"/>
    <mergeCell ref="AJ7882:AL7882"/>
    <mergeCell ref="AN7882:AO7882"/>
    <mergeCell ref="AP7882:AQ7882"/>
    <mergeCell ref="AR7882:AS7883"/>
    <mergeCell ref="AT7882:AU7883"/>
    <mergeCell ref="AV7882:AW7883"/>
    <mergeCell ref="AX7882:AY7883"/>
    <mergeCell ref="AZ7882:AZ7883"/>
    <mergeCell ref="F7883:H7883"/>
    <mergeCell ref="X7883:AB7883"/>
    <mergeCell ref="AE7883:AI7883"/>
    <mergeCell ref="AJ7883:AL7883"/>
    <mergeCell ref="AN7883:AO7883"/>
    <mergeCell ref="AP7883:AQ7883"/>
    <mergeCell ref="A7884:A7885"/>
    <mergeCell ref="E7884:E7885"/>
    <mergeCell ref="F7884:H7884"/>
    <mergeCell ref="J7884:J7885"/>
    <mergeCell ref="K7884:L7885"/>
    <mergeCell ref="M7884:N7885"/>
    <mergeCell ref="O7884:P7885"/>
    <mergeCell ref="Q7884:R7885"/>
    <mergeCell ref="S7884:T7885"/>
    <mergeCell ref="U7884:V7885"/>
    <mergeCell ref="W7884:W7885"/>
    <mergeCell ref="X7884:AB7884"/>
    <mergeCell ref="AD7884:AI7884"/>
    <mergeCell ref="AJ7884:AL7884"/>
    <mergeCell ref="AN7884:AO7884"/>
    <mergeCell ref="AP7884:AQ7884"/>
    <mergeCell ref="AR7884:AS7885"/>
    <mergeCell ref="AT7884:AU7885"/>
    <mergeCell ref="AV7884:AW7885"/>
    <mergeCell ref="AX7884:AY7885"/>
    <mergeCell ref="AZ7884:AZ7885"/>
    <mergeCell ref="F7885:H7885"/>
    <mergeCell ref="X7885:AB7885"/>
    <mergeCell ref="AE7885:AI7885"/>
    <mergeCell ref="AJ7885:AL7885"/>
    <mergeCell ref="AN7885:AO7885"/>
    <mergeCell ref="AP7885:AQ7885"/>
    <mergeCell ref="A7886:A7887"/>
    <mergeCell ref="E7886:E7887"/>
    <mergeCell ref="F7886:H7886"/>
    <mergeCell ref="J7886:J7887"/>
    <mergeCell ref="K7886:L7887"/>
    <mergeCell ref="M7886:N7887"/>
    <mergeCell ref="O7886:P7887"/>
    <mergeCell ref="Q7886:R7887"/>
    <mergeCell ref="S7886:T7887"/>
    <mergeCell ref="U7886:V7887"/>
    <mergeCell ref="W7886:W7887"/>
    <mergeCell ref="X7886:AB7886"/>
    <mergeCell ref="AD7886:AI7886"/>
    <mergeCell ref="AJ7886:AL7886"/>
    <mergeCell ref="AN7886:AO7886"/>
    <mergeCell ref="AP7886:AQ7886"/>
    <mergeCell ref="AR7886:AS7887"/>
    <mergeCell ref="AT7886:AU7887"/>
    <mergeCell ref="AV7886:AW7887"/>
    <mergeCell ref="AX7886:AY7887"/>
    <mergeCell ref="AZ7886:AZ7887"/>
    <mergeCell ref="F7887:H7887"/>
    <mergeCell ref="X7887:AB7887"/>
    <mergeCell ref="AE7887:AI7887"/>
    <mergeCell ref="AJ7887:AL7887"/>
    <mergeCell ref="AN7887:AO7887"/>
    <mergeCell ref="AP7887:AQ7887"/>
    <mergeCell ref="A7888:A7889"/>
    <mergeCell ref="E7888:E7889"/>
    <mergeCell ref="F7888:H7888"/>
    <mergeCell ref="J7888:J7889"/>
    <mergeCell ref="K7888:L7889"/>
    <mergeCell ref="M7888:N7889"/>
    <mergeCell ref="O7888:P7889"/>
    <mergeCell ref="Q7888:R7889"/>
    <mergeCell ref="S7888:T7889"/>
    <mergeCell ref="U7888:V7889"/>
    <mergeCell ref="W7888:W7889"/>
    <mergeCell ref="X7888:AB7888"/>
    <mergeCell ref="AD7888:AI7888"/>
    <mergeCell ref="AJ7888:AL7888"/>
    <mergeCell ref="AN7888:AO7888"/>
    <mergeCell ref="AP7888:AQ7888"/>
    <mergeCell ref="AR7888:AS7889"/>
    <mergeCell ref="AT7888:AU7889"/>
    <mergeCell ref="AV7888:AW7889"/>
    <mergeCell ref="AX7888:AY7889"/>
    <mergeCell ref="AZ7888:AZ7889"/>
    <mergeCell ref="F7889:H7889"/>
    <mergeCell ref="X7889:AB7889"/>
    <mergeCell ref="AE7889:AI7889"/>
    <mergeCell ref="AJ7889:AL7889"/>
    <mergeCell ref="AN7889:AO7889"/>
    <mergeCell ref="AP7889:AQ7889"/>
    <mergeCell ref="A7890:A7891"/>
    <mergeCell ref="E7890:E7891"/>
    <mergeCell ref="F7890:H7890"/>
    <mergeCell ref="J7890:J7891"/>
    <mergeCell ref="K7890:L7891"/>
    <mergeCell ref="M7890:N7891"/>
    <mergeCell ref="O7890:P7891"/>
    <mergeCell ref="Q7890:R7891"/>
    <mergeCell ref="S7890:T7891"/>
    <mergeCell ref="U7890:V7891"/>
    <mergeCell ref="W7890:W7891"/>
    <mergeCell ref="X7890:AB7890"/>
    <mergeCell ref="AD7890:AI7890"/>
    <mergeCell ref="AJ7890:AL7890"/>
    <mergeCell ref="AN7890:AO7890"/>
    <mergeCell ref="AP7890:AQ7890"/>
    <mergeCell ref="AR7890:AS7891"/>
    <mergeCell ref="AT7890:AU7891"/>
    <mergeCell ref="AV7890:AW7891"/>
    <mergeCell ref="AX7890:AY7891"/>
    <mergeCell ref="AZ7890:AZ7891"/>
    <mergeCell ref="F7891:H7891"/>
    <mergeCell ref="X7891:AB7891"/>
    <mergeCell ref="AE7891:AI7891"/>
    <mergeCell ref="AJ7891:AL7891"/>
    <mergeCell ref="AN7891:AO7891"/>
    <mergeCell ref="AP7891:AQ7891"/>
    <mergeCell ref="A7892:A7893"/>
    <mergeCell ref="E7892:E7893"/>
    <mergeCell ref="F7892:H7892"/>
    <mergeCell ref="J7892:J7893"/>
    <mergeCell ref="K7892:L7893"/>
    <mergeCell ref="M7892:N7893"/>
    <mergeCell ref="O7892:P7893"/>
    <mergeCell ref="Q7892:R7893"/>
    <mergeCell ref="S7892:T7893"/>
    <mergeCell ref="U7892:V7893"/>
    <mergeCell ref="W7892:W7893"/>
    <mergeCell ref="X7892:AB7892"/>
    <mergeCell ref="AD7892:AI7892"/>
    <mergeCell ref="AJ7892:AL7892"/>
    <mergeCell ref="AN7892:AO7892"/>
    <mergeCell ref="AP7892:AQ7892"/>
    <mergeCell ref="AR7892:AS7893"/>
    <mergeCell ref="AT7892:AU7893"/>
    <mergeCell ref="AV7892:AW7893"/>
    <mergeCell ref="AX7892:AY7893"/>
    <mergeCell ref="AZ7892:AZ7893"/>
    <mergeCell ref="F7893:H7893"/>
    <mergeCell ref="X7893:AB7893"/>
    <mergeCell ref="AE7893:AI7893"/>
    <mergeCell ref="AJ7893:AL7893"/>
    <mergeCell ref="AN7893:AO7893"/>
    <mergeCell ref="AP7893:AQ7893"/>
    <mergeCell ref="A7894:A7895"/>
    <mergeCell ref="E7894:E7895"/>
    <mergeCell ref="F7894:H7894"/>
    <mergeCell ref="J7894:J7895"/>
    <mergeCell ref="K7894:L7895"/>
    <mergeCell ref="M7894:N7895"/>
    <mergeCell ref="O7894:P7895"/>
    <mergeCell ref="Q7894:R7895"/>
    <mergeCell ref="S7894:T7895"/>
    <mergeCell ref="U7894:V7895"/>
    <mergeCell ref="W7894:W7895"/>
    <mergeCell ref="X7894:AB7894"/>
    <mergeCell ref="AD7894:AI7894"/>
    <mergeCell ref="AJ7894:AL7894"/>
    <mergeCell ref="AN7894:AO7894"/>
    <mergeCell ref="AP7894:AQ7894"/>
    <mergeCell ref="AR7894:AS7895"/>
    <mergeCell ref="AT7894:AU7895"/>
    <mergeCell ref="AV7894:AW7895"/>
    <mergeCell ref="AX7894:AY7895"/>
    <mergeCell ref="AZ7894:AZ7895"/>
    <mergeCell ref="F7895:H7895"/>
    <mergeCell ref="X7895:AB7895"/>
    <mergeCell ref="AE7895:AI7895"/>
    <mergeCell ref="AJ7895:AL7895"/>
    <mergeCell ref="AN7895:AO7895"/>
    <mergeCell ref="AP7895:AQ7895"/>
    <mergeCell ref="A7896:A7897"/>
    <mergeCell ref="E7896:E7897"/>
    <mergeCell ref="F7896:H7896"/>
    <mergeCell ref="J7896:J7897"/>
    <mergeCell ref="K7896:L7897"/>
    <mergeCell ref="M7896:N7897"/>
    <mergeCell ref="O7896:P7897"/>
    <mergeCell ref="Q7896:R7897"/>
    <mergeCell ref="S7896:T7897"/>
    <mergeCell ref="U7896:V7897"/>
    <mergeCell ref="W7896:W7897"/>
    <mergeCell ref="X7896:AB7896"/>
    <mergeCell ref="AD7896:AI7896"/>
    <mergeCell ref="AJ7896:AL7896"/>
    <mergeCell ref="AN7896:AO7896"/>
    <mergeCell ref="AP7896:AQ7896"/>
    <mergeCell ref="AR7896:AS7897"/>
    <mergeCell ref="AT7896:AU7897"/>
    <mergeCell ref="AV7896:AW7897"/>
    <mergeCell ref="AX7896:AY7897"/>
    <mergeCell ref="AZ7896:AZ7897"/>
    <mergeCell ref="F7897:H7897"/>
    <mergeCell ref="X7897:AB7897"/>
    <mergeCell ref="AE7897:AI7897"/>
    <mergeCell ref="AJ7897:AL7897"/>
    <mergeCell ref="AN7897:AO7897"/>
    <mergeCell ref="AP7897:AQ7897"/>
    <mergeCell ref="A7898:A7899"/>
    <mergeCell ref="E7898:E7899"/>
    <mergeCell ref="F7898:H7898"/>
    <mergeCell ref="J7898:J7899"/>
    <mergeCell ref="K7898:L7899"/>
    <mergeCell ref="M7898:N7899"/>
    <mergeCell ref="O7898:P7899"/>
    <mergeCell ref="Q7898:R7899"/>
    <mergeCell ref="S7898:T7899"/>
    <mergeCell ref="U7898:V7899"/>
    <mergeCell ref="W7898:W7899"/>
    <mergeCell ref="X7898:AB7898"/>
    <mergeCell ref="AD7898:AI7898"/>
    <mergeCell ref="AJ7898:AL7898"/>
    <mergeCell ref="AN7898:AO7898"/>
    <mergeCell ref="AP7898:AQ7898"/>
    <mergeCell ref="AR7898:AS7899"/>
    <mergeCell ref="AT7898:AU7899"/>
    <mergeCell ref="AV7898:AW7899"/>
    <mergeCell ref="AX7898:AY7899"/>
    <mergeCell ref="AZ7898:AZ7899"/>
    <mergeCell ref="F7899:H7899"/>
    <mergeCell ref="X7899:AB7899"/>
    <mergeCell ref="AE7899:AI7899"/>
    <mergeCell ref="AJ7899:AL7899"/>
    <mergeCell ref="AN7899:AO7899"/>
    <mergeCell ref="AP7899:AQ7899"/>
    <mergeCell ref="A7900:A7901"/>
    <mergeCell ref="E7900:E7901"/>
    <mergeCell ref="F7900:H7900"/>
    <mergeCell ref="J7900:J7901"/>
    <mergeCell ref="K7900:L7901"/>
    <mergeCell ref="M7900:N7901"/>
    <mergeCell ref="O7900:P7901"/>
    <mergeCell ref="Q7900:R7901"/>
    <mergeCell ref="S7900:T7901"/>
    <mergeCell ref="U7900:V7901"/>
    <mergeCell ref="W7900:W7901"/>
    <mergeCell ref="X7900:AB7900"/>
    <mergeCell ref="AD7900:AI7900"/>
    <mergeCell ref="AJ7900:AL7900"/>
    <mergeCell ref="AN7900:AO7900"/>
    <mergeCell ref="AP7900:AQ7900"/>
    <mergeCell ref="AR7900:AS7901"/>
    <mergeCell ref="AT7900:AU7901"/>
    <mergeCell ref="AV7900:AW7901"/>
    <mergeCell ref="AX7900:AY7901"/>
    <mergeCell ref="AZ7900:AZ7901"/>
    <mergeCell ref="F7901:H7901"/>
    <mergeCell ref="X7901:AB7901"/>
    <mergeCell ref="AE7901:AI7901"/>
    <mergeCell ref="AJ7901:AL7901"/>
    <mergeCell ref="AN7901:AO7901"/>
    <mergeCell ref="AP7901:AQ7901"/>
    <mergeCell ref="A7902:A7903"/>
    <mergeCell ref="E7902:E7903"/>
    <mergeCell ref="F7902:H7902"/>
    <mergeCell ref="J7902:J7903"/>
    <mergeCell ref="K7902:L7903"/>
    <mergeCell ref="M7902:N7903"/>
    <mergeCell ref="O7902:P7903"/>
    <mergeCell ref="Q7902:R7903"/>
    <mergeCell ref="S7902:T7903"/>
    <mergeCell ref="U7902:V7903"/>
    <mergeCell ref="W7902:W7903"/>
    <mergeCell ref="X7902:AB7902"/>
    <mergeCell ref="AD7902:AI7902"/>
    <mergeCell ref="AJ7902:AL7902"/>
    <mergeCell ref="AN7902:AO7902"/>
    <mergeCell ref="AP7902:AQ7902"/>
    <mergeCell ref="AR7902:AS7903"/>
    <mergeCell ref="AT7902:AU7903"/>
    <mergeCell ref="AV7902:AW7903"/>
    <mergeCell ref="AX7902:AY7903"/>
    <mergeCell ref="AZ7902:AZ7903"/>
    <mergeCell ref="F7903:H7903"/>
    <mergeCell ref="X7903:AB7903"/>
    <mergeCell ref="AE7903:AI7903"/>
    <mergeCell ref="AJ7903:AL7903"/>
    <mergeCell ref="AN7903:AO7903"/>
    <mergeCell ref="AP7903:AQ7903"/>
    <mergeCell ref="A7904:A7905"/>
    <mergeCell ref="E7904:E7905"/>
    <mergeCell ref="F7904:H7904"/>
    <mergeCell ref="J7904:J7905"/>
    <mergeCell ref="K7904:L7905"/>
    <mergeCell ref="M7904:N7905"/>
    <mergeCell ref="O7904:P7905"/>
    <mergeCell ref="Q7904:R7905"/>
    <mergeCell ref="S7904:T7905"/>
    <mergeCell ref="U7904:V7905"/>
    <mergeCell ref="W7904:W7905"/>
    <mergeCell ref="X7904:AB7904"/>
    <mergeCell ref="AD7904:AI7904"/>
    <mergeCell ref="AJ7904:AL7904"/>
    <mergeCell ref="AN7904:AO7904"/>
    <mergeCell ref="AP7904:AQ7904"/>
    <mergeCell ref="AR7904:AS7905"/>
    <mergeCell ref="AT7904:AU7905"/>
    <mergeCell ref="AV7904:AW7905"/>
    <mergeCell ref="AX7904:AY7905"/>
    <mergeCell ref="AZ7904:AZ7905"/>
    <mergeCell ref="F7905:H7905"/>
    <mergeCell ref="X7905:AB7905"/>
    <mergeCell ref="AE7905:AI7905"/>
    <mergeCell ref="AJ7905:AL7905"/>
    <mergeCell ref="AN7905:AO7905"/>
    <mergeCell ref="AP7905:AQ7905"/>
    <mergeCell ref="A7906:A7907"/>
    <mergeCell ref="E7906:E7907"/>
    <mergeCell ref="F7906:H7906"/>
    <mergeCell ref="J7906:J7907"/>
    <mergeCell ref="K7906:L7907"/>
    <mergeCell ref="M7906:N7907"/>
    <mergeCell ref="O7906:P7907"/>
    <mergeCell ref="Q7906:R7907"/>
    <mergeCell ref="S7906:T7907"/>
    <mergeCell ref="U7906:V7907"/>
    <mergeCell ref="W7906:W7907"/>
    <mergeCell ref="X7906:AB7906"/>
    <mergeCell ref="AD7906:AI7906"/>
    <mergeCell ref="AJ7906:AL7906"/>
    <mergeCell ref="AN7906:AO7906"/>
    <mergeCell ref="AP7906:AQ7906"/>
    <mergeCell ref="AR7906:AS7907"/>
    <mergeCell ref="AT7906:AU7907"/>
    <mergeCell ref="AV7906:AW7907"/>
    <mergeCell ref="AX7906:AY7907"/>
    <mergeCell ref="AZ7906:AZ7907"/>
    <mergeCell ref="F7907:H7907"/>
    <mergeCell ref="X7907:AB7907"/>
    <mergeCell ref="AE7907:AI7907"/>
    <mergeCell ref="AJ7907:AL7907"/>
    <mergeCell ref="AN7907:AO7907"/>
    <mergeCell ref="AP7907:AQ7907"/>
    <mergeCell ref="A7908:A7909"/>
    <mergeCell ref="E7908:E7909"/>
    <mergeCell ref="F7908:H7908"/>
    <mergeCell ref="J7908:J7909"/>
    <mergeCell ref="K7908:L7909"/>
    <mergeCell ref="M7908:N7909"/>
    <mergeCell ref="O7908:P7909"/>
    <mergeCell ref="Q7908:R7909"/>
    <mergeCell ref="S7908:T7909"/>
    <mergeCell ref="U7908:V7909"/>
    <mergeCell ref="W7908:W7909"/>
    <mergeCell ref="X7908:AB7908"/>
    <mergeCell ref="AD7908:AI7908"/>
    <mergeCell ref="AJ7908:AL7908"/>
    <mergeCell ref="AN7908:AO7908"/>
    <mergeCell ref="AP7908:AQ7908"/>
    <mergeCell ref="AR7908:AS7909"/>
    <mergeCell ref="AT7908:AU7909"/>
    <mergeCell ref="AV7908:AW7909"/>
    <mergeCell ref="AX7908:AY7909"/>
    <mergeCell ref="AZ7908:AZ7909"/>
    <mergeCell ref="F7909:H7909"/>
    <mergeCell ref="X7909:AB7909"/>
    <mergeCell ref="AE7909:AI7909"/>
    <mergeCell ref="AJ7909:AL7909"/>
    <mergeCell ref="AN7909:AO7909"/>
    <mergeCell ref="AP7909:AQ7909"/>
    <mergeCell ref="A7910:A7911"/>
    <mergeCell ref="E7910:E7911"/>
    <mergeCell ref="F7910:H7910"/>
    <mergeCell ref="J7910:J7911"/>
    <mergeCell ref="K7910:L7911"/>
    <mergeCell ref="M7910:N7911"/>
    <mergeCell ref="O7910:P7911"/>
    <mergeCell ref="Q7910:R7911"/>
    <mergeCell ref="S7910:T7911"/>
    <mergeCell ref="U7910:V7911"/>
    <mergeCell ref="W7910:W7911"/>
    <mergeCell ref="X7910:AB7910"/>
    <mergeCell ref="AD7910:AI7910"/>
    <mergeCell ref="AJ7910:AL7910"/>
    <mergeCell ref="AN7910:AO7910"/>
    <mergeCell ref="AP7910:AQ7910"/>
    <mergeCell ref="AR7910:AS7911"/>
    <mergeCell ref="AT7910:AU7911"/>
    <mergeCell ref="AV7910:AW7911"/>
    <mergeCell ref="AX7910:AY7911"/>
    <mergeCell ref="AZ7910:AZ7911"/>
    <mergeCell ref="F7911:H7911"/>
    <mergeCell ref="X7911:AB7911"/>
    <mergeCell ref="AE7911:AI7911"/>
    <mergeCell ref="AJ7911:AL7911"/>
    <mergeCell ref="AN7911:AO7911"/>
    <mergeCell ref="AP7911:AQ7911"/>
    <mergeCell ref="A7912:A7913"/>
    <mergeCell ref="E7912:E7913"/>
    <mergeCell ref="F7912:H7912"/>
    <mergeCell ref="J7912:J7913"/>
    <mergeCell ref="K7912:L7913"/>
    <mergeCell ref="M7912:N7913"/>
    <mergeCell ref="O7912:P7913"/>
    <mergeCell ref="Q7912:R7913"/>
    <mergeCell ref="S7912:T7913"/>
    <mergeCell ref="U7912:V7913"/>
    <mergeCell ref="W7912:W7913"/>
    <mergeCell ref="X7912:AB7912"/>
    <mergeCell ref="AD7912:AI7912"/>
    <mergeCell ref="AJ7912:AL7912"/>
    <mergeCell ref="AN7912:AO7912"/>
    <mergeCell ref="AP7912:AQ7912"/>
    <mergeCell ref="AR7912:AS7913"/>
    <mergeCell ref="AT7912:AU7913"/>
    <mergeCell ref="AV7912:AW7913"/>
    <mergeCell ref="AX7912:AY7913"/>
    <mergeCell ref="AZ7912:AZ7913"/>
    <mergeCell ref="F7913:H7913"/>
    <mergeCell ref="X7913:AB7913"/>
    <mergeCell ref="AE7913:AI7913"/>
    <mergeCell ref="AJ7913:AL7913"/>
    <mergeCell ref="AN7913:AO7913"/>
    <mergeCell ref="AP7913:AQ7913"/>
    <mergeCell ref="A7914:A7915"/>
    <mergeCell ref="E7914:E7915"/>
    <mergeCell ref="F7914:H7914"/>
    <mergeCell ref="J7914:J7915"/>
    <mergeCell ref="K7914:L7915"/>
    <mergeCell ref="M7914:N7915"/>
    <mergeCell ref="O7914:P7915"/>
    <mergeCell ref="Q7914:R7915"/>
    <mergeCell ref="S7914:T7915"/>
    <mergeCell ref="U7914:V7915"/>
    <mergeCell ref="W7914:W7915"/>
    <mergeCell ref="X7914:AB7914"/>
    <mergeCell ref="AD7914:AI7914"/>
    <mergeCell ref="AJ7914:AL7914"/>
    <mergeCell ref="AN7914:AO7914"/>
    <mergeCell ref="AP7914:AQ7914"/>
    <mergeCell ref="AR7914:AS7915"/>
    <mergeCell ref="AT7914:AU7915"/>
    <mergeCell ref="AV7914:AW7915"/>
    <mergeCell ref="AX7914:AY7915"/>
    <mergeCell ref="AZ7914:AZ7915"/>
    <mergeCell ref="F7915:H7915"/>
    <mergeCell ref="X7915:AB7915"/>
    <mergeCell ref="AE7915:AI7915"/>
    <mergeCell ref="AJ7915:AL7915"/>
    <mergeCell ref="AN7915:AO7915"/>
    <mergeCell ref="AP7915:AQ7915"/>
    <mergeCell ref="A7916:A7917"/>
    <mergeCell ref="E7916:E7917"/>
    <mergeCell ref="F7916:H7916"/>
    <mergeCell ref="J7916:J7917"/>
    <mergeCell ref="K7916:L7917"/>
    <mergeCell ref="M7916:N7917"/>
    <mergeCell ref="O7916:P7917"/>
    <mergeCell ref="Q7916:R7917"/>
    <mergeCell ref="S7916:T7917"/>
    <mergeCell ref="U7916:V7917"/>
    <mergeCell ref="W7916:W7917"/>
    <mergeCell ref="X7916:AB7916"/>
    <mergeCell ref="AD7916:AI7916"/>
    <mergeCell ref="AJ7916:AL7916"/>
    <mergeCell ref="AN7916:AO7916"/>
    <mergeCell ref="AP7916:AQ7916"/>
    <mergeCell ref="AR7916:AS7917"/>
    <mergeCell ref="AT7916:AU7917"/>
    <mergeCell ref="AV7916:AW7917"/>
    <mergeCell ref="AX7916:AY7917"/>
    <mergeCell ref="AZ7916:AZ7917"/>
    <mergeCell ref="F7917:H7917"/>
    <mergeCell ref="X7917:AB7917"/>
    <mergeCell ref="AE7917:AI7917"/>
    <mergeCell ref="AJ7917:AL7917"/>
    <mergeCell ref="AN7917:AO7917"/>
    <mergeCell ref="AP7917:AQ7917"/>
    <mergeCell ref="A7918:A7919"/>
    <mergeCell ref="E7918:E7919"/>
    <mergeCell ref="F7918:H7918"/>
    <mergeCell ref="J7918:J7919"/>
    <mergeCell ref="K7918:L7919"/>
    <mergeCell ref="M7918:N7919"/>
    <mergeCell ref="O7918:P7919"/>
    <mergeCell ref="Q7918:R7919"/>
    <mergeCell ref="S7918:T7919"/>
    <mergeCell ref="U7918:V7919"/>
    <mergeCell ref="W7918:W7919"/>
    <mergeCell ref="X7918:AB7918"/>
    <mergeCell ref="AD7918:AI7918"/>
    <mergeCell ref="AJ7918:AL7918"/>
    <mergeCell ref="AN7918:AO7918"/>
    <mergeCell ref="AP7918:AQ7918"/>
    <mergeCell ref="AR7918:AS7919"/>
    <mergeCell ref="AT7918:AU7919"/>
    <mergeCell ref="AV7918:AW7919"/>
    <mergeCell ref="AX7918:AY7919"/>
    <mergeCell ref="AZ7918:AZ7919"/>
    <mergeCell ref="F7919:H7919"/>
    <mergeCell ref="X7919:AB7919"/>
    <mergeCell ref="AE7919:AI7919"/>
    <mergeCell ref="AJ7919:AL7919"/>
    <mergeCell ref="AN7919:AO7919"/>
    <mergeCell ref="AP7919:AQ7919"/>
    <mergeCell ref="A7920:A7921"/>
    <mergeCell ref="E7920:E7921"/>
    <mergeCell ref="F7920:H7920"/>
    <mergeCell ref="J7920:J7921"/>
    <mergeCell ref="K7920:L7921"/>
    <mergeCell ref="M7920:N7921"/>
    <mergeCell ref="O7920:P7921"/>
    <mergeCell ref="Q7920:R7921"/>
    <mergeCell ref="S7920:T7921"/>
    <mergeCell ref="U7920:V7921"/>
    <mergeCell ref="W7920:W7921"/>
    <mergeCell ref="X7920:AB7920"/>
    <mergeCell ref="AD7920:AI7920"/>
    <mergeCell ref="AJ7920:AL7920"/>
    <mergeCell ref="AN7920:AO7920"/>
    <mergeCell ref="AP7920:AQ7920"/>
    <mergeCell ref="AR7920:AS7921"/>
    <mergeCell ref="AT7920:AU7921"/>
    <mergeCell ref="AV7920:AW7921"/>
    <mergeCell ref="AX7920:AY7921"/>
    <mergeCell ref="AZ7920:AZ7921"/>
    <mergeCell ref="F7921:H7921"/>
    <mergeCell ref="X7921:AB7921"/>
    <mergeCell ref="AE7921:AI7921"/>
    <mergeCell ref="AJ7921:AL7921"/>
    <mergeCell ref="AN7921:AO7921"/>
    <mergeCell ref="AP7921:AQ7921"/>
    <mergeCell ref="A7922:A7923"/>
    <mergeCell ref="E7922:E7923"/>
    <mergeCell ref="F7922:H7922"/>
    <mergeCell ref="J7922:J7923"/>
    <mergeCell ref="K7922:L7923"/>
    <mergeCell ref="M7922:N7923"/>
    <mergeCell ref="O7922:P7923"/>
    <mergeCell ref="Q7922:R7923"/>
    <mergeCell ref="S7922:T7923"/>
    <mergeCell ref="U7922:V7923"/>
    <mergeCell ref="W7922:W7923"/>
    <mergeCell ref="X7922:AB7922"/>
    <mergeCell ref="AD7922:AI7922"/>
    <mergeCell ref="AJ7922:AL7922"/>
    <mergeCell ref="AN7922:AO7922"/>
    <mergeCell ref="AP7922:AQ7922"/>
    <mergeCell ref="AR7922:AS7923"/>
    <mergeCell ref="AT7922:AU7923"/>
    <mergeCell ref="AV7922:AW7923"/>
    <mergeCell ref="AX7922:AY7923"/>
    <mergeCell ref="AZ7922:AZ7923"/>
    <mergeCell ref="F7923:H7923"/>
    <mergeCell ref="X7923:AB7923"/>
    <mergeCell ref="AE7923:AI7923"/>
    <mergeCell ref="AJ7923:AL7923"/>
    <mergeCell ref="AN7923:AO7923"/>
    <mergeCell ref="AP7923:AQ7923"/>
    <mergeCell ref="A7924:A7925"/>
    <mergeCell ref="E7924:E7925"/>
    <mergeCell ref="F7924:H7924"/>
    <mergeCell ref="J7924:J7925"/>
    <mergeCell ref="K7924:L7925"/>
    <mergeCell ref="M7924:N7925"/>
    <mergeCell ref="O7924:P7925"/>
    <mergeCell ref="Q7924:R7925"/>
    <mergeCell ref="S7924:T7925"/>
    <mergeCell ref="U7924:V7925"/>
    <mergeCell ref="W7924:W7925"/>
    <mergeCell ref="X7924:AB7924"/>
    <mergeCell ref="AD7924:AI7924"/>
    <mergeCell ref="AJ7924:AL7924"/>
    <mergeCell ref="AN7924:AO7924"/>
    <mergeCell ref="AP7924:AQ7924"/>
    <mergeCell ref="AR7924:AS7925"/>
    <mergeCell ref="AT7924:AU7925"/>
    <mergeCell ref="AV7924:AW7925"/>
    <mergeCell ref="AX7924:AY7925"/>
    <mergeCell ref="AZ7924:AZ7925"/>
    <mergeCell ref="F7925:H7925"/>
    <mergeCell ref="X7925:AB7925"/>
    <mergeCell ref="AE7925:AI7925"/>
    <mergeCell ref="AJ7925:AL7925"/>
    <mergeCell ref="AN7925:AO7925"/>
    <mergeCell ref="AP7925:AQ7925"/>
    <mergeCell ref="A7926:A7927"/>
    <mergeCell ref="E7926:E7927"/>
    <mergeCell ref="F7926:H7926"/>
    <mergeCell ref="J7926:J7927"/>
    <mergeCell ref="K7926:L7927"/>
    <mergeCell ref="M7926:N7927"/>
    <mergeCell ref="O7926:P7927"/>
    <mergeCell ref="Q7926:R7927"/>
    <mergeCell ref="S7926:T7927"/>
    <mergeCell ref="U7926:V7927"/>
    <mergeCell ref="W7926:W7927"/>
    <mergeCell ref="X7926:AB7926"/>
    <mergeCell ref="AD7926:AI7926"/>
    <mergeCell ref="AJ7926:AL7926"/>
    <mergeCell ref="AN7926:AO7926"/>
    <mergeCell ref="AP7926:AQ7926"/>
    <mergeCell ref="AR7926:AS7927"/>
    <mergeCell ref="AT7926:AU7927"/>
    <mergeCell ref="AV7926:AW7927"/>
    <mergeCell ref="AX7926:AY7927"/>
    <mergeCell ref="AZ7926:AZ7927"/>
    <mergeCell ref="F7927:H7927"/>
    <mergeCell ref="X7927:AB7927"/>
    <mergeCell ref="AE7927:AI7927"/>
    <mergeCell ref="AJ7927:AL7927"/>
    <mergeCell ref="AN7927:AO7927"/>
    <mergeCell ref="AP7927:AQ7927"/>
    <mergeCell ref="A7928:A7929"/>
    <mergeCell ref="E7928:E7929"/>
    <mergeCell ref="F7928:H7928"/>
    <mergeCell ref="J7928:J7929"/>
    <mergeCell ref="K7928:L7929"/>
    <mergeCell ref="M7928:N7929"/>
    <mergeCell ref="O7928:P7929"/>
    <mergeCell ref="Q7928:R7929"/>
    <mergeCell ref="S7928:T7929"/>
    <mergeCell ref="U7928:V7929"/>
    <mergeCell ref="W7928:W7929"/>
    <mergeCell ref="X7928:AB7928"/>
    <mergeCell ref="AD7928:AI7928"/>
    <mergeCell ref="AJ7928:AL7928"/>
    <mergeCell ref="AN7928:AO7928"/>
    <mergeCell ref="AP7928:AQ7928"/>
    <mergeCell ref="AR7928:AS7929"/>
    <mergeCell ref="AT7928:AU7929"/>
    <mergeCell ref="AV7928:AW7929"/>
    <mergeCell ref="AX7928:AY7929"/>
    <mergeCell ref="AZ7928:AZ7929"/>
    <mergeCell ref="F7929:H7929"/>
    <mergeCell ref="X7929:AB7929"/>
    <mergeCell ref="AE7929:AI7929"/>
    <mergeCell ref="AJ7929:AL7929"/>
    <mergeCell ref="AN7929:AO7929"/>
    <mergeCell ref="AP7929:AQ7929"/>
    <mergeCell ref="A7930:A7931"/>
    <mergeCell ref="E7930:E7931"/>
    <mergeCell ref="F7930:H7930"/>
    <mergeCell ref="J7930:J7931"/>
    <mergeCell ref="K7930:L7931"/>
    <mergeCell ref="M7930:N7931"/>
    <mergeCell ref="O7930:P7931"/>
    <mergeCell ref="Q7930:R7931"/>
    <mergeCell ref="S7930:T7931"/>
    <mergeCell ref="U7930:V7931"/>
    <mergeCell ref="W7930:W7931"/>
    <mergeCell ref="X7930:AB7930"/>
    <mergeCell ref="AD7930:AI7930"/>
    <mergeCell ref="AJ7930:AL7930"/>
    <mergeCell ref="AN7930:AO7930"/>
    <mergeCell ref="AP7930:AQ7930"/>
    <mergeCell ref="AR7930:AS7931"/>
    <mergeCell ref="AT7930:AU7931"/>
    <mergeCell ref="AV7930:AW7931"/>
    <mergeCell ref="AX7930:AY7931"/>
    <mergeCell ref="AZ7930:AZ7931"/>
    <mergeCell ref="F7931:H7931"/>
    <mergeCell ref="X7931:AB7931"/>
    <mergeCell ref="AE7931:AI7931"/>
    <mergeCell ref="AJ7931:AL7931"/>
    <mergeCell ref="AN7931:AO7931"/>
    <mergeCell ref="AP7931:AQ7931"/>
    <mergeCell ref="A7932:A7933"/>
    <mergeCell ref="E7932:E7933"/>
    <mergeCell ref="F7932:H7932"/>
    <mergeCell ref="J7932:J7933"/>
    <mergeCell ref="K7932:L7933"/>
    <mergeCell ref="M7932:N7933"/>
    <mergeCell ref="O7932:P7933"/>
    <mergeCell ref="Q7932:R7933"/>
    <mergeCell ref="S7932:T7933"/>
    <mergeCell ref="U7932:V7933"/>
    <mergeCell ref="W7932:W7933"/>
    <mergeCell ref="X7932:AB7932"/>
    <mergeCell ref="AD7932:AI7932"/>
    <mergeCell ref="AJ7932:AL7932"/>
    <mergeCell ref="AN7932:AO7932"/>
    <mergeCell ref="AP7932:AQ7932"/>
    <mergeCell ref="AR7932:AS7933"/>
    <mergeCell ref="AT7932:AU7933"/>
    <mergeCell ref="AV7932:AW7933"/>
    <mergeCell ref="AX7932:AY7933"/>
    <mergeCell ref="AZ7932:AZ7933"/>
    <mergeCell ref="F7933:H7933"/>
    <mergeCell ref="X7933:AB7933"/>
    <mergeCell ref="AE7933:AI7933"/>
    <mergeCell ref="AJ7933:AL7933"/>
    <mergeCell ref="AN7933:AO7933"/>
    <mergeCell ref="AP7933:AQ7933"/>
    <mergeCell ref="A7934:A7935"/>
    <mergeCell ref="E7934:E7935"/>
    <mergeCell ref="F7934:H7934"/>
    <mergeCell ref="J7934:J7935"/>
    <mergeCell ref="K7934:L7935"/>
    <mergeCell ref="M7934:N7935"/>
    <mergeCell ref="O7934:P7935"/>
    <mergeCell ref="Q7934:R7935"/>
    <mergeCell ref="S7934:T7935"/>
    <mergeCell ref="U7934:V7935"/>
    <mergeCell ref="W7934:W7935"/>
    <mergeCell ref="X7934:AB7934"/>
    <mergeCell ref="AD7934:AI7934"/>
    <mergeCell ref="AJ7934:AL7934"/>
    <mergeCell ref="AN7934:AO7934"/>
    <mergeCell ref="AP7934:AQ7934"/>
    <mergeCell ref="AR7934:AS7935"/>
    <mergeCell ref="AT7934:AU7935"/>
    <mergeCell ref="AV7934:AW7935"/>
    <mergeCell ref="AX7934:AY7935"/>
    <mergeCell ref="AZ7934:AZ7935"/>
    <mergeCell ref="F7935:H7935"/>
    <mergeCell ref="X7935:AB7935"/>
    <mergeCell ref="AE7935:AI7935"/>
    <mergeCell ref="AJ7935:AL7935"/>
    <mergeCell ref="AN7935:AO7935"/>
    <mergeCell ref="AP7935:AQ7935"/>
    <mergeCell ref="A7936:A7937"/>
    <mergeCell ref="E7936:E7937"/>
    <mergeCell ref="F7936:H7936"/>
    <mergeCell ref="J7936:J7937"/>
    <mergeCell ref="K7936:L7937"/>
    <mergeCell ref="M7936:N7937"/>
    <mergeCell ref="O7936:P7937"/>
    <mergeCell ref="Q7936:R7937"/>
    <mergeCell ref="S7936:T7937"/>
    <mergeCell ref="U7936:V7937"/>
    <mergeCell ref="W7936:W7937"/>
    <mergeCell ref="X7936:AB7936"/>
    <mergeCell ref="AD7936:AI7936"/>
    <mergeCell ref="AJ7936:AL7936"/>
    <mergeCell ref="AN7936:AO7936"/>
    <mergeCell ref="AP7936:AQ7936"/>
    <mergeCell ref="AR7936:AS7937"/>
    <mergeCell ref="AT7936:AU7937"/>
    <mergeCell ref="AV7936:AW7937"/>
    <mergeCell ref="AX7936:AY7937"/>
    <mergeCell ref="AZ7936:AZ7937"/>
    <mergeCell ref="F7937:H7937"/>
    <mergeCell ref="X7937:AB7937"/>
    <mergeCell ref="AE7937:AI7937"/>
    <mergeCell ref="AJ7937:AL7937"/>
    <mergeCell ref="AN7937:AO7937"/>
    <mergeCell ref="AP7937:AQ7937"/>
    <mergeCell ref="A7938:A7939"/>
    <mergeCell ref="E7938:E7939"/>
    <mergeCell ref="F7938:H7938"/>
    <mergeCell ref="J7938:J7939"/>
    <mergeCell ref="K7938:L7939"/>
    <mergeCell ref="M7938:N7939"/>
    <mergeCell ref="O7938:P7939"/>
    <mergeCell ref="Q7938:R7939"/>
    <mergeCell ref="S7938:T7939"/>
    <mergeCell ref="U7938:V7939"/>
    <mergeCell ref="W7938:W7939"/>
    <mergeCell ref="X7938:AB7938"/>
    <mergeCell ref="AD7938:AI7938"/>
    <mergeCell ref="AJ7938:AL7938"/>
    <mergeCell ref="AN7938:AO7938"/>
    <mergeCell ref="AP7938:AQ7938"/>
    <mergeCell ref="AR7938:AS7939"/>
    <mergeCell ref="AT7938:AU7939"/>
    <mergeCell ref="AV7938:AW7939"/>
    <mergeCell ref="AX7938:AY7939"/>
    <mergeCell ref="AZ7938:AZ7939"/>
    <mergeCell ref="F7939:H7939"/>
    <mergeCell ref="X7939:AB7939"/>
    <mergeCell ref="AE7939:AI7939"/>
    <mergeCell ref="AJ7939:AL7939"/>
    <mergeCell ref="AN7939:AO7939"/>
    <mergeCell ref="AP7939:AQ7939"/>
    <mergeCell ref="A7940:A7941"/>
    <mergeCell ref="E7940:E7941"/>
    <mergeCell ref="F7940:H7940"/>
    <mergeCell ref="J7940:J7941"/>
    <mergeCell ref="K7940:L7941"/>
    <mergeCell ref="M7940:N7941"/>
    <mergeCell ref="O7940:P7941"/>
    <mergeCell ref="Q7940:R7941"/>
    <mergeCell ref="S7940:T7941"/>
    <mergeCell ref="U7940:V7941"/>
    <mergeCell ref="W7940:W7941"/>
    <mergeCell ref="X7940:AB7940"/>
    <mergeCell ref="AD7940:AI7940"/>
    <mergeCell ref="AJ7940:AL7940"/>
    <mergeCell ref="AN7940:AO7940"/>
    <mergeCell ref="AP7940:AQ7940"/>
    <mergeCell ref="AR7940:AS7941"/>
    <mergeCell ref="AT7940:AU7941"/>
    <mergeCell ref="AV7940:AW7941"/>
    <mergeCell ref="AX7940:AY7941"/>
    <mergeCell ref="AZ7940:AZ7941"/>
    <mergeCell ref="F7941:H7941"/>
    <mergeCell ref="X7941:AB7941"/>
    <mergeCell ref="AE7941:AI7941"/>
    <mergeCell ref="AJ7941:AL7941"/>
    <mergeCell ref="AN7941:AO7941"/>
    <mergeCell ref="AP7941:AQ7941"/>
    <mergeCell ref="A7942:A7943"/>
    <mergeCell ref="E7942:E7943"/>
    <mergeCell ref="F7942:H7942"/>
    <mergeCell ref="J7942:J7943"/>
    <mergeCell ref="K7942:L7943"/>
    <mergeCell ref="M7942:N7943"/>
    <mergeCell ref="O7942:P7943"/>
    <mergeCell ref="Q7942:R7943"/>
    <mergeCell ref="S7942:T7943"/>
    <mergeCell ref="U7942:V7943"/>
    <mergeCell ref="W7942:W7943"/>
    <mergeCell ref="X7942:AB7942"/>
    <mergeCell ref="AD7942:AI7942"/>
    <mergeCell ref="AJ7942:AL7942"/>
    <mergeCell ref="AN7942:AO7942"/>
    <mergeCell ref="AP7942:AQ7942"/>
    <mergeCell ref="AR7942:AS7943"/>
    <mergeCell ref="AT7942:AU7943"/>
    <mergeCell ref="AV7942:AW7943"/>
    <mergeCell ref="AX7942:AY7943"/>
    <mergeCell ref="AZ7942:AZ7943"/>
    <mergeCell ref="F7943:H7943"/>
    <mergeCell ref="X7943:AB7943"/>
    <mergeCell ref="AE7943:AI7943"/>
    <mergeCell ref="AJ7943:AL7943"/>
    <mergeCell ref="AN7943:AO7943"/>
    <mergeCell ref="AP7943:AQ7943"/>
    <mergeCell ref="A7944:A7945"/>
    <mergeCell ref="E7944:E7945"/>
    <mergeCell ref="F7944:H7944"/>
    <mergeCell ref="J7944:J7945"/>
    <mergeCell ref="K7944:L7945"/>
    <mergeCell ref="M7944:N7945"/>
    <mergeCell ref="O7944:P7945"/>
    <mergeCell ref="Q7944:R7945"/>
    <mergeCell ref="S7944:T7945"/>
    <mergeCell ref="U7944:V7945"/>
    <mergeCell ref="W7944:W7945"/>
    <mergeCell ref="X7944:AB7944"/>
    <mergeCell ref="AD7944:AI7944"/>
    <mergeCell ref="AJ7944:AL7944"/>
    <mergeCell ref="AN7944:AO7944"/>
    <mergeCell ref="AP7944:AQ7944"/>
    <mergeCell ref="AR7944:AS7945"/>
    <mergeCell ref="AT7944:AU7945"/>
    <mergeCell ref="AV7944:AW7945"/>
    <mergeCell ref="AX7944:AY7945"/>
    <mergeCell ref="AZ7944:AZ7945"/>
    <mergeCell ref="F7945:H7945"/>
    <mergeCell ref="X7945:AB7945"/>
    <mergeCell ref="AE7945:AI7945"/>
    <mergeCell ref="AJ7945:AL7945"/>
    <mergeCell ref="AN7945:AO7945"/>
    <mergeCell ref="AP7945:AQ7945"/>
    <mergeCell ref="A7946:A7947"/>
    <mergeCell ref="E7946:E7947"/>
    <mergeCell ref="F7946:H7946"/>
    <mergeCell ref="J7946:J7947"/>
    <mergeCell ref="K7946:L7947"/>
    <mergeCell ref="M7946:N7947"/>
    <mergeCell ref="O7946:P7947"/>
    <mergeCell ref="Q7946:R7947"/>
    <mergeCell ref="S7946:T7947"/>
    <mergeCell ref="U7946:V7947"/>
    <mergeCell ref="W7946:W7947"/>
    <mergeCell ref="X7946:AB7946"/>
    <mergeCell ref="AD7946:AI7946"/>
    <mergeCell ref="AJ7946:AL7946"/>
    <mergeCell ref="AN7946:AO7946"/>
    <mergeCell ref="AP7946:AQ7946"/>
    <mergeCell ref="AR7946:AS7947"/>
    <mergeCell ref="AT7946:AU7947"/>
    <mergeCell ref="AV7946:AW7947"/>
    <mergeCell ref="AX7946:AY7947"/>
    <mergeCell ref="AZ7946:AZ7947"/>
    <mergeCell ref="F7947:H7947"/>
    <mergeCell ref="X7947:AB7947"/>
    <mergeCell ref="AE7947:AI7947"/>
    <mergeCell ref="AJ7947:AL7947"/>
    <mergeCell ref="AN7947:AO7947"/>
    <mergeCell ref="AP7947:AQ7947"/>
    <mergeCell ref="A7948:A7949"/>
    <mergeCell ref="E7948:E7949"/>
    <mergeCell ref="F7948:H7948"/>
    <mergeCell ref="J7948:J7949"/>
    <mergeCell ref="K7948:L7949"/>
    <mergeCell ref="M7948:N7949"/>
    <mergeCell ref="O7948:P7949"/>
    <mergeCell ref="Q7948:R7949"/>
    <mergeCell ref="S7948:T7949"/>
    <mergeCell ref="U7948:V7949"/>
    <mergeCell ref="W7948:W7949"/>
    <mergeCell ref="X7948:AB7948"/>
    <mergeCell ref="AD7948:AI7948"/>
    <mergeCell ref="AJ7948:AL7948"/>
    <mergeCell ref="AN7948:AO7948"/>
    <mergeCell ref="AP7948:AQ7948"/>
    <mergeCell ref="AR7948:AS7949"/>
    <mergeCell ref="AT7948:AU7949"/>
    <mergeCell ref="AV7948:AW7949"/>
    <mergeCell ref="AX7948:AY7949"/>
    <mergeCell ref="AZ7948:AZ7949"/>
    <mergeCell ref="F7949:H7949"/>
    <mergeCell ref="X7949:AB7949"/>
    <mergeCell ref="AE7949:AI7949"/>
    <mergeCell ref="AJ7949:AL7949"/>
    <mergeCell ref="AN7949:AO7949"/>
    <mergeCell ref="AP7949:AQ7949"/>
    <mergeCell ref="A7950:A7951"/>
    <mergeCell ref="E7950:E7951"/>
    <mergeCell ref="F7950:H7950"/>
    <mergeCell ref="J7950:J7951"/>
    <mergeCell ref="K7950:L7951"/>
    <mergeCell ref="M7950:N7951"/>
    <mergeCell ref="O7950:P7951"/>
    <mergeCell ref="Q7950:R7951"/>
    <mergeCell ref="S7950:T7951"/>
    <mergeCell ref="U7950:V7951"/>
    <mergeCell ref="W7950:W7951"/>
    <mergeCell ref="X7950:AB7950"/>
    <mergeCell ref="AD7950:AI7950"/>
    <mergeCell ref="AJ7950:AL7950"/>
    <mergeCell ref="AN7950:AO7950"/>
    <mergeCell ref="AP7950:AQ7950"/>
    <mergeCell ref="AR7950:AS7951"/>
    <mergeCell ref="AT7950:AU7951"/>
    <mergeCell ref="AV7950:AW7951"/>
    <mergeCell ref="AX7950:AY7951"/>
    <mergeCell ref="AZ7950:AZ7951"/>
    <mergeCell ref="F7951:H7951"/>
    <mergeCell ref="X7951:AB7951"/>
    <mergeCell ref="AE7951:AI7951"/>
    <mergeCell ref="AJ7951:AL7951"/>
    <mergeCell ref="AN7951:AO7951"/>
    <mergeCell ref="AP7951:AQ7951"/>
    <mergeCell ref="A7952:A7953"/>
    <mergeCell ref="E7952:E7953"/>
    <mergeCell ref="F7952:H7952"/>
    <mergeCell ref="J7952:J7953"/>
    <mergeCell ref="K7952:L7953"/>
    <mergeCell ref="M7952:N7953"/>
    <mergeCell ref="O7952:P7953"/>
    <mergeCell ref="Q7952:R7953"/>
    <mergeCell ref="S7952:T7953"/>
    <mergeCell ref="U7952:V7953"/>
    <mergeCell ref="W7952:W7953"/>
    <mergeCell ref="X7952:AB7952"/>
    <mergeCell ref="AD7952:AI7952"/>
    <mergeCell ref="AJ7952:AL7952"/>
    <mergeCell ref="AN7952:AO7952"/>
    <mergeCell ref="AP7952:AQ7952"/>
    <mergeCell ref="AR7952:AS7953"/>
    <mergeCell ref="AT7952:AU7953"/>
    <mergeCell ref="AV7952:AW7953"/>
    <mergeCell ref="AX7952:AY7953"/>
    <mergeCell ref="AZ7952:AZ7953"/>
    <mergeCell ref="F7953:H7953"/>
    <mergeCell ref="X7953:AB7953"/>
    <mergeCell ref="AE7953:AI7953"/>
    <mergeCell ref="AJ7953:AL7953"/>
    <mergeCell ref="AN7953:AO7953"/>
    <mergeCell ref="AP7953:AQ7953"/>
    <mergeCell ref="A7954:A7955"/>
    <mergeCell ref="E7954:E7955"/>
    <mergeCell ref="F7954:H7954"/>
    <mergeCell ref="J7954:J7955"/>
    <mergeCell ref="K7954:L7955"/>
    <mergeCell ref="M7954:N7955"/>
    <mergeCell ref="O7954:P7955"/>
    <mergeCell ref="Q7954:R7955"/>
    <mergeCell ref="S7954:T7955"/>
    <mergeCell ref="U7954:V7955"/>
    <mergeCell ref="W7954:W7955"/>
    <mergeCell ref="X7954:AB7954"/>
    <mergeCell ref="AD7954:AI7954"/>
    <mergeCell ref="AJ7954:AL7954"/>
    <mergeCell ref="AN7954:AO7954"/>
    <mergeCell ref="AP7954:AQ7954"/>
    <mergeCell ref="AR7954:AS7955"/>
    <mergeCell ref="AT7954:AU7955"/>
    <mergeCell ref="AV7954:AW7955"/>
    <mergeCell ref="AX7954:AY7955"/>
    <mergeCell ref="AZ7954:AZ7955"/>
    <mergeCell ref="F7955:H7955"/>
    <mergeCell ref="X7955:AB7955"/>
    <mergeCell ref="AE7955:AI7955"/>
    <mergeCell ref="AJ7955:AL7955"/>
    <mergeCell ref="AN7955:AO7955"/>
    <mergeCell ref="AP7955:AQ7955"/>
    <mergeCell ref="A7956:A7957"/>
    <mergeCell ref="E7956:E7957"/>
    <mergeCell ref="F7956:H7956"/>
    <mergeCell ref="J7956:J7957"/>
    <mergeCell ref="K7956:L7957"/>
    <mergeCell ref="M7956:N7957"/>
    <mergeCell ref="O7956:P7957"/>
    <mergeCell ref="Q7956:R7957"/>
    <mergeCell ref="S7956:T7957"/>
    <mergeCell ref="U7956:V7957"/>
    <mergeCell ref="W7956:W7957"/>
    <mergeCell ref="X7956:AB7956"/>
    <mergeCell ref="AD7956:AI7956"/>
    <mergeCell ref="AJ7956:AL7956"/>
    <mergeCell ref="AN7956:AO7956"/>
    <mergeCell ref="AP7956:AQ7956"/>
    <mergeCell ref="AR7956:AS7957"/>
    <mergeCell ref="AT7956:AU7957"/>
    <mergeCell ref="AV7956:AW7957"/>
    <mergeCell ref="AX7956:AY7957"/>
    <mergeCell ref="AZ7956:AZ7957"/>
    <mergeCell ref="F7957:H7957"/>
    <mergeCell ref="X7957:AB7957"/>
    <mergeCell ref="AE7957:AI7957"/>
    <mergeCell ref="AJ7957:AL7957"/>
    <mergeCell ref="AN7957:AO7957"/>
    <mergeCell ref="AP7957:AQ7957"/>
    <mergeCell ref="A7958:A7959"/>
    <mergeCell ref="E7958:E7959"/>
    <mergeCell ref="F7958:H7958"/>
    <mergeCell ref="J7958:J7959"/>
    <mergeCell ref="K7958:L7959"/>
    <mergeCell ref="M7958:N7959"/>
    <mergeCell ref="O7958:P7959"/>
    <mergeCell ref="Q7958:R7959"/>
    <mergeCell ref="S7958:T7959"/>
    <mergeCell ref="U7958:V7959"/>
    <mergeCell ref="W7958:W7959"/>
    <mergeCell ref="X7958:AB7958"/>
    <mergeCell ref="AD7958:AI7958"/>
    <mergeCell ref="AJ7958:AL7958"/>
    <mergeCell ref="AN7958:AO7958"/>
    <mergeCell ref="AP7958:AQ7958"/>
    <mergeCell ref="AR7958:AS7959"/>
    <mergeCell ref="AT7958:AU7959"/>
    <mergeCell ref="AV7958:AW7959"/>
    <mergeCell ref="AX7958:AY7959"/>
    <mergeCell ref="AZ7958:AZ7959"/>
    <mergeCell ref="F7959:H7959"/>
    <mergeCell ref="X7959:AB7959"/>
    <mergeCell ref="AE7959:AI7959"/>
    <mergeCell ref="AJ7959:AL7959"/>
    <mergeCell ref="AN7959:AO7959"/>
    <mergeCell ref="AP7959:AQ7959"/>
    <mergeCell ref="A7960:A7961"/>
    <mergeCell ref="E7960:E7961"/>
    <mergeCell ref="F7960:H7960"/>
    <mergeCell ref="J7960:J7961"/>
    <mergeCell ref="K7960:L7961"/>
    <mergeCell ref="M7960:N7961"/>
    <mergeCell ref="O7960:P7961"/>
    <mergeCell ref="Q7960:R7961"/>
    <mergeCell ref="S7960:T7961"/>
    <mergeCell ref="U7960:V7961"/>
    <mergeCell ref="W7960:W7961"/>
    <mergeCell ref="X7960:AB7960"/>
    <mergeCell ref="AD7960:AI7960"/>
    <mergeCell ref="AJ7960:AL7960"/>
    <mergeCell ref="AN7960:AO7960"/>
    <mergeCell ref="AP7960:AQ7960"/>
    <mergeCell ref="AR7960:AS7961"/>
    <mergeCell ref="AT7960:AU7961"/>
    <mergeCell ref="AV7960:AW7961"/>
    <mergeCell ref="AX7960:AY7961"/>
    <mergeCell ref="AZ7960:AZ7961"/>
    <mergeCell ref="F7961:H7961"/>
    <mergeCell ref="X7961:AB7961"/>
    <mergeCell ref="AE7961:AI7961"/>
    <mergeCell ref="AJ7961:AL7961"/>
    <mergeCell ref="AN7961:AO7961"/>
    <mergeCell ref="AP7961:AQ7961"/>
    <mergeCell ref="A7962:A7963"/>
    <mergeCell ref="E7962:E7963"/>
    <mergeCell ref="F7962:H7962"/>
    <mergeCell ref="J7962:J7963"/>
    <mergeCell ref="K7962:L7963"/>
    <mergeCell ref="M7962:N7963"/>
    <mergeCell ref="O7962:P7963"/>
    <mergeCell ref="Q7962:R7963"/>
    <mergeCell ref="S7962:T7963"/>
    <mergeCell ref="U7962:V7963"/>
    <mergeCell ref="W7962:W7963"/>
    <mergeCell ref="X7962:AB7962"/>
    <mergeCell ref="AD7962:AI7962"/>
    <mergeCell ref="AJ7962:AL7962"/>
    <mergeCell ref="AN7962:AO7962"/>
    <mergeCell ref="AP7962:AQ7962"/>
    <mergeCell ref="AR7962:AS7963"/>
    <mergeCell ref="AT7962:AU7963"/>
    <mergeCell ref="AV7962:AW7963"/>
    <mergeCell ref="AX7962:AY7963"/>
    <mergeCell ref="AZ7962:AZ7963"/>
    <mergeCell ref="F7963:H7963"/>
    <mergeCell ref="X7963:AB7963"/>
    <mergeCell ref="AE7963:AI7963"/>
    <mergeCell ref="AJ7963:AL7963"/>
    <mergeCell ref="AN7963:AO7963"/>
    <mergeCell ref="AP7963:AQ7963"/>
    <mergeCell ref="A7964:A7965"/>
    <mergeCell ref="E7964:E7965"/>
    <mergeCell ref="F7964:H7964"/>
    <mergeCell ref="J7964:J7965"/>
    <mergeCell ref="K7964:L7965"/>
    <mergeCell ref="M7964:N7965"/>
    <mergeCell ref="O7964:P7965"/>
    <mergeCell ref="Q7964:R7965"/>
    <mergeCell ref="S7964:T7965"/>
    <mergeCell ref="U7964:V7965"/>
    <mergeCell ref="W7964:W7965"/>
    <mergeCell ref="X7964:AB7964"/>
    <mergeCell ref="AD7964:AI7964"/>
    <mergeCell ref="AJ7964:AL7964"/>
    <mergeCell ref="AN7964:AO7964"/>
    <mergeCell ref="AP7964:AQ7964"/>
    <mergeCell ref="AR7964:AS7965"/>
    <mergeCell ref="AT7964:AU7965"/>
    <mergeCell ref="AV7964:AW7965"/>
    <mergeCell ref="AX7964:AY7965"/>
    <mergeCell ref="AZ7964:AZ7965"/>
    <mergeCell ref="F7965:H7965"/>
    <mergeCell ref="X7965:AB7965"/>
    <mergeCell ref="AE7965:AI7965"/>
    <mergeCell ref="AJ7965:AL7965"/>
    <mergeCell ref="AN7965:AO7965"/>
    <mergeCell ref="AP7965:AQ7965"/>
    <mergeCell ref="A7966:A7967"/>
    <mergeCell ref="E7966:E7967"/>
    <mergeCell ref="F7966:H7966"/>
    <mergeCell ref="J7966:J7967"/>
    <mergeCell ref="K7966:L7967"/>
    <mergeCell ref="M7966:N7967"/>
    <mergeCell ref="O7966:P7967"/>
    <mergeCell ref="Q7966:R7967"/>
    <mergeCell ref="S7966:T7967"/>
    <mergeCell ref="U7966:V7967"/>
    <mergeCell ref="W7966:W7967"/>
    <mergeCell ref="X7966:AB7966"/>
    <mergeCell ref="AD7966:AI7966"/>
    <mergeCell ref="AJ7966:AL7966"/>
    <mergeCell ref="AN7966:AO7966"/>
    <mergeCell ref="AP7966:AQ7966"/>
    <mergeCell ref="AR7966:AS7967"/>
    <mergeCell ref="AT7966:AU7967"/>
    <mergeCell ref="AV7966:AW7967"/>
    <mergeCell ref="AX7966:AY7967"/>
    <mergeCell ref="AZ7966:AZ7967"/>
    <mergeCell ref="F7967:H7967"/>
    <mergeCell ref="X7967:AB7967"/>
    <mergeCell ref="AE7967:AI7967"/>
    <mergeCell ref="AJ7967:AL7967"/>
    <mergeCell ref="AN7967:AO7967"/>
    <mergeCell ref="AP7967:AQ7967"/>
    <mergeCell ref="A7968:A7969"/>
    <mergeCell ref="E7968:E7969"/>
    <mergeCell ref="F7968:H7968"/>
    <mergeCell ref="J7968:J7969"/>
    <mergeCell ref="K7968:L7969"/>
    <mergeCell ref="M7968:N7969"/>
    <mergeCell ref="O7968:P7969"/>
    <mergeCell ref="Q7968:R7969"/>
    <mergeCell ref="S7968:T7969"/>
    <mergeCell ref="U7968:V7969"/>
    <mergeCell ref="W7968:W7969"/>
    <mergeCell ref="X7968:AB7968"/>
    <mergeCell ref="AD7968:AI7968"/>
    <mergeCell ref="AJ7968:AL7968"/>
    <mergeCell ref="AN7968:AO7968"/>
    <mergeCell ref="AP7968:AQ7968"/>
    <mergeCell ref="AR7968:AS7969"/>
    <mergeCell ref="AT7968:AU7969"/>
    <mergeCell ref="AV7968:AW7969"/>
    <mergeCell ref="AX7968:AY7969"/>
    <mergeCell ref="AZ7968:AZ7969"/>
    <mergeCell ref="F7969:H7969"/>
    <mergeCell ref="X7969:AB7969"/>
    <mergeCell ref="AE7969:AI7969"/>
    <mergeCell ref="AJ7969:AL7969"/>
    <mergeCell ref="AN7969:AO7969"/>
    <mergeCell ref="AP7969:AQ7969"/>
    <mergeCell ref="A7970:A7971"/>
    <mergeCell ref="E7970:E7971"/>
    <mergeCell ref="F7970:H7970"/>
    <mergeCell ref="J7970:J7971"/>
    <mergeCell ref="K7970:L7971"/>
    <mergeCell ref="M7970:N7971"/>
    <mergeCell ref="O7970:P7971"/>
    <mergeCell ref="Q7970:R7971"/>
    <mergeCell ref="S7970:T7971"/>
    <mergeCell ref="U7970:V7971"/>
    <mergeCell ref="W7970:W7971"/>
    <mergeCell ref="X7970:AB7970"/>
    <mergeCell ref="AD7970:AI7970"/>
    <mergeCell ref="AJ7970:AL7970"/>
    <mergeCell ref="AN7970:AO7970"/>
    <mergeCell ref="AP7970:AQ7970"/>
    <mergeCell ref="AR7970:AS7971"/>
    <mergeCell ref="AT7970:AU7971"/>
    <mergeCell ref="AV7970:AW7971"/>
    <mergeCell ref="AX7970:AY7971"/>
    <mergeCell ref="AZ7970:AZ7971"/>
    <mergeCell ref="F7971:H7971"/>
    <mergeCell ref="X7971:AB7971"/>
    <mergeCell ref="AE7971:AI7971"/>
    <mergeCell ref="AJ7971:AL7971"/>
    <mergeCell ref="AN7971:AO7971"/>
    <mergeCell ref="AP7971:AQ7971"/>
    <mergeCell ref="A7972:A7973"/>
    <mergeCell ref="E7972:E7973"/>
    <mergeCell ref="F7972:H7972"/>
    <mergeCell ref="J7972:J7973"/>
    <mergeCell ref="K7972:L7973"/>
    <mergeCell ref="M7972:N7973"/>
    <mergeCell ref="O7972:P7973"/>
    <mergeCell ref="Q7972:R7973"/>
    <mergeCell ref="S7972:T7973"/>
    <mergeCell ref="U7972:V7973"/>
    <mergeCell ref="W7972:W7973"/>
    <mergeCell ref="X7972:AB7972"/>
    <mergeCell ref="AD7972:AI7972"/>
    <mergeCell ref="AJ7972:AL7972"/>
    <mergeCell ref="AN7972:AO7972"/>
    <mergeCell ref="AP7972:AQ7972"/>
    <mergeCell ref="AR7972:AS7973"/>
    <mergeCell ref="AT7972:AU7973"/>
    <mergeCell ref="AV7972:AW7973"/>
    <mergeCell ref="AX7972:AY7973"/>
    <mergeCell ref="AZ7972:AZ7973"/>
    <mergeCell ref="F7973:H7973"/>
    <mergeCell ref="X7973:AB7973"/>
    <mergeCell ref="AE7973:AI7973"/>
    <mergeCell ref="AJ7973:AL7973"/>
    <mergeCell ref="AN7973:AO7973"/>
    <mergeCell ref="AP7973:AQ7973"/>
    <mergeCell ref="A7974:A7975"/>
    <mergeCell ref="E7974:E7975"/>
    <mergeCell ref="F7974:H7974"/>
    <mergeCell ref="J7974:J7975"/>
    <mergeCell ref="K7974:L7975"/>
    <mergeCell ref="M7974:N7975"/>
    <mergeCell ref="O7974:P7975"/>
    <mergeCell ref="Q7974:R7975"/>
    <mergeCell ref="S7974:T7975"/>
    <mergeCell ref="U7974:V7975"/>
    <mergeCell ref="W7974:W7975"/>
    <mergeCell ref="X7974:AB7974"/>
    <mergeCell ref="AD7974:AI7974"/>
    <mergeCell ref="AJ7974:AL7974"/>
    <mergeCell ref="AN7974:AO7974"/>
    <mergeCell ref="AP7974:AQ7974"/>
    <mergeCell ref="AR7974:AS7975"/>
    <mergeCell ref="AT7974:AU7975"/>
    <mergeCell ref="AV7974:AW7975"/>
    <mergeCell ref="AX7974:AY7975"/>
    <mergeCell ref="AZ7974:AZ7975"/>
    <mergeCell ref="F7975:H7975"/>
    <mergeCell ref="X7975:AB7975"/>
    <mergeCell ref="AE7975:AI7975"/>
    <mergeCell ref="AJ7975:AL7975"/>
    <mergeCell ref="AN7975:AO7975"/>
    <mergeCell ref="AP7975:AQ7975"/>
    <mergeCell ref="A7976:A7977"/>
    <mergeCell ref="E7976:E7977"/>
    <mergeCell ref="F7976:H7976"/>
    <mergeCell ref="J7976:J7977"/>
    <mergeCell ref="K7976:L7977"/>
    <mergeCell ref="M7976:N7977"/>
    <mergeCell ref="O7976:P7977"/>
    <mergeCell ref="Q7976:R7977"/>
    <mergeCell ref="S7976:T7977"/>
    <mergeCell ref="U7976:V7977"/>
    <mergeCell ref="W7976:W7977"/>
    <mergeCell ref="X7976:AB7976"/>
    <mergeCell ref="AD7976:AI7976"/>
    <mergeCell ref="AJ7976:AL7976"/>
    <mergeCell ref="AN7976:AO7976"/>
    <mergeCell ref="AP7976:AQ7976"/>
    <mergeCell ref="AR7976:AS7977"/>
    <mergeCell ref="AT7976:AU7977"/>
    <mergeCell ref="AV7976:AW7977"/>
    <mergeCell ref="AX7976:AY7977"/>
    <mergeCell ref="AZ7976:AZ7977"/>
    <mergeCell ref="F7977:H7977"/>
    <mergeCell ref="X7977:AB7977"/>
    <mergeCell ref="AE7977:AI7977"/>
    <mergeCell ref="AJ7977:AL7977"/>
    <mergeCell ref="AN7977:AO7977"/>
    <mergeCell ref="AP7977:AQ7977"/>
    <mergeCell ref="A7978:A7979"/>
    <mergeCell ref="E7978:E7979"/>
    <mergeCell ref="F7978:H7978"/>
    <mergeCell ref="J7978:J7979"/>
    <mergeCell ref="K7978:L7979"/>
    <mergeCell ref="M7978:N7979"/>
    <mergeCell ref="O7978:P7979"/>
    <mergeCell ref="Q7978:R7979"/>
    <mergeCell ref="S7978:T7979"/>
    <mergeCell ref="U7978:V7979"/>
    <mergeCell ref="W7978:W7979"/>
    <mergeCell ref="X7978:AB7978"/>
    <mergeCell ref="AD7978:AI7978"/>
    <mergeCell ref="AJ7978:AL7978"/>
    <mergeCell ref="AN7978:AO7978"/>
    <mergeCell ref="AP7978:AQ7978"/>
    <mergeCell ref="AR7978:AS7979"/>
    <mergeCell ref="AT7978:AU7979"/>
    <mergeCell ref="AV7978:AW7979"/>
    <mergeCell ref="AX7978:AY7979"/>
    <mergeCell ref="AZ7978:AZ7979"/>
    <mergeCell ref="F7979:H7979"/>
    <mergeCell ref="X7979:AB7979"/>
    <mergeCell ref="AE7979:AI7979"/>
    <mergeCell ref="AJ7979:AL7979"/>
    <mergeCell ref="AN7979:AO7979"/>
    <mergeCell ref="AP7979:AQ7979"/>
    <mergeCell ref="A7980:A7981"/>
    <mergeCell ref="E7980:E7981"/>
    <mergeCell ref="F7980:H7980"/>
    <mergeCell ref="J7980:J7981"/>
    <mergeCell ref="K7980:L7981"/>
    <mergeCell ref="M7980:N7981"/>
    <mergeCell ref="O7980:P7981"/>
    <mergeCell ref="Q7980:R7981"/>
    <mergeCell ref="S7980:T7981"/>
    <mergeCell ref="U7980:V7981"/>
    <mergeCell ref="W7980:W7981"/>
    <mergeCell ref="X7980:AB7980"/>
    <mergeCell ref="AD7980:AI7980"/>
    <mergeCell ref="AJ7980:AL7980"/>
    <mergeCell ref="AN7980:AO7980"/>
    <mergeCell ref="AP7980:AQ7980"/>
    <mergeCell ref="AR7980:AS7981"/>
    <mergeCell ref="AT7980:AU7981"/>
    <mergeCell ref="AV7980:AW7981"/>
    <mergeCell ref="AX7980:AY7981"/>
    <mergeCell ref="AZ7980:AZ7981"/>
    <mergeCell ref="F7981:H7981"/>
    <mergeCell ref="X7981:AB7981"/>
    <mergeCell ref="AE7981:AI7981"/>
    <mergeCell ref="AJ7981:AL7981"/>
    <mergeCell ref="AN7981:AO7981"/>
    <mergeCell ref="AP7981:AQ7981"/>
    <mergeCell ref="A7982:A7983"/>
    <mergeCell ref="E7982:E7983"/>
    <mergeCell ref="F7982:H7982"/>
    <mergeCell ref="J7982:J7983"/>
    <mergeCell ref="K7982:L7983"/>
    <mergeCell ref="M7982:N7983"/>
    <mergeCell ref="O7982:P7983"/>
    <mergeCell ref="Q7982:R7983"/>
    <mergeCell ref="S7982:T7983"/>
    <mergeCell ref="U7982:V7983"/>
    <mergeCell ref="W7982:W7983"/>
    <mergeCell ref="X7982:AB7982"/>
    <mergeCell ref="AD7982:AI7982"/>
    <mergeCell ref="AJ7982:AL7982"/>
    <mergeCell ref="AN7982:AO7982"/>
    <mergeCell ref="AP7982:AQ7982"/>
    <mergeCell ref="AR7982:AS7983"/>
    <mergeCell ref="AT7982:AU7983"/>
    <mergeCell ref="AV7982:AW7983"/>
    <mergeCell ref="AX7982:AY7983"/>
    <mergeCell ref="AZ7982:AZ7983"/>
    <mergeCell ref="F7983:H7983"/>
    <mergeCell ref="X7983:AB7983"/>
    <mergeCell ref="AE7983:AI7983"/>
    <mergeCell ref="AJ7983:AL7983"/>
    <mergeCell ref="AN7983:AO7983"/>
    <mergeCell ref="AP7983:AQ7983"/>
    <mergeCell ref="A7984:A7985"/>
    <mergeCell ref="E7984:E7985"/>
    <mergeCell ref="F7984:H7984"/>
    <mergeCell ref="J7984:J7985"/>
    <mergeCell ref="K7984:L7985"/>
    <mergeCell ref="M7984:N7985"/>
    <mergeCell ref="O7984:P7985"/>
    <mergeCell ref="Q7984:R7985"/>
    <mergeCell ref="S7984:T7985"/>
    <mergeCell ref="U7984:V7985"/>
    <mergeCell ref="W7984:W7985"/>
    <mergeCell ref="X7984:AB7984"/>
    <mergeCell ref="AD7984:AI7984"/>
    <mergeCell ref="AJ7984:AL7984"/>
    <mergeCell ref="AN7984:AO7984"/>
    <mergeCell ref="AP7984:AQ7984"/>
    <mergeCell ref="AR7984:AS7985"/>
    <mergeCell ref="AT7984:AU7985"/>
    <mergeCell ref="AV7984:AW7985"/>
    <mergeCell ref="AX7984:AY7985"/>
    <mergeCell ref="AZ7984:AZ7985"/>
    <mergeCell ref="F7985:H7985"/>
    <mergeCell ref="X7985:AB7985"/>
    <mergeCell ref="AE7985:AI7985"/>
    <mergeCell ref="AJ7985:AL7985"/>
    <mergeCell ref="AN7985:AO7985"/>
    <mergeCell ref="AP7985:AQ7985"/>
    <mergeCell ref="A7986:A7987"/>
    <mergeCell ref="E7986:E7987"/>
    <mergeCell ref="F7986:H7986"/>
    <mergeCell ref="J7986:J7987"/>
    <mergeCell ref="K7986:L7987"/>
    <mergeCell ref="M7986:N7987"/>
    <mergeCell ref="O7986:P7987"/>
    <mergeCell ref="Q7986:R7987"/>
    <mergeCell ref="S7986:T7987"/>
    <mergeCell ref="U7986:V7987"/>
    <mergeCell ref="W7986:W7987"/>
    <mergeCell ref="X7986:AB7986"/>
    <mergeCell ref="AD7986:AI7986"/>
    <mergeCell ref="AJ7986:AL7986"/>
    <mergeCell ref="AN7986:AO7986"/>
    <mergeCell ref="AP7986:AQ7986"/>
    <mergeCell ref="AR7986:AS7987"/>
    <mergeCell ref="AT7986:AU7987"/>
    <mergeCell ref="AV7986:AW7987"/>
    <mergeCell ref="AX7986:AY7987"/>
    <mergeCell ref="AZ7986:AZ7987"/>
    <mergeCell ref="F7987:H7987"/>
    <mergeCell ref="X7987:AB7987"/>
    <mergeCell ref="AE7987:AI7987"/>
    <mergeCell ref="AJ7987:AL7987"/>
    <mergeCell ref="AN7987:AO7987"/>
    <mergeCell ref="AP7987:AQ7987"/>
    <mergeCell ref="A7988:A7989"/>
    <mergeCell ref="E7988:E7989"/>
    <mergeCell ref="F7988:H7988"/>
    <mergeCell ref="J7988:J7989"/>
    <mergeCell ref="K7988:L7989"/>
    <mergeCell ref="M7988:N7989"/>
    <mergeCell ref="O7988:P7989"/>
    <mergeCell ref="Q7988:R7989"/>
    <mergeCell ref="S7988:T7989"/>
    <mergeCell ref="U7988:V7989"/>
    <mergeCell ref="W7988:W7989"/>
    <mergeCell ref="X7988:AB7988"/>
    <mergeCell ref="AD7988:AI7988"/>
    <mergeCell ref="AJ7988:AL7988"/>
    <mergeCell ref="AN7988:AO7988"/>
    <mergeCell ref="AP7988:AQ7988"/>
    <mergeCell ref="AR7988:AS7989"/>
    <mergeCell ref="AT7988:AU7989"/>
    <mergeCell ref="AV7988:AW7989"/>
    <mergeCell ref="AX7988:AY7989"/>
    <mergeCell ref="AZ7988:AZ7989"/>
    <mergeCell ref="F7989:H7989"/>
    <mergeCell ref="X7989:AB7989"/>
    <mergeCell ref="AE7989:AI7989"/>
    <mergeCell ref="AJ7989:AL7989"/>
    <mergeCell ref="AN7989:AO7989"/>
    <mergeCell ref="AP7989:AQ7989"/>
    <mergeCell ref="A7990:A7991"/>
    <mergeCell ref="E7990:E7991"/>
    <mergeCell ref="F7990:H7990"/>
    <mergeCell ref="J7990:J7991"/>
    <mergeCell ref="K7990:L7991"/>
    <mergeCell ref="M7990:N7991"/>
    <mergeCell ref="O7990:P7991"/>
    <mergeCell ref="Q7990:R7991"/>
    <mergeCell ref="S7990:T7991"/>
    <mergeCell ref="U7990:V7991"/>
    <mergeCell ref="W7990:W7991"/>
    <mergeCell ref="X7990:AB7990"/>
    <mergeCell ref="AD7990:AI7990"/>
    <mergeCell ref="AJ7990:AL7990"/>
    <mergeCell ref="AN7990:AO7990"/>
    <mergeCell ref="AP7990:AQ7990"/>
    <mergeCell ref="AR7990:AS7991"/>
    <mergeCell ref="AT7990:AU7991"/>
    <mergeCell ref="AV7990:AW7991"/>
    <mergeCell ref="AX7990:AY7991"/>
    <mergeCell ref="AZ7990:AZ7991"/>
    <mergeCell ref="F7991:H7991"/>
    <mergeCell ref="X7991:AB7991"/>
    <mergeCell ref="AE7991:AI7991"/>
    <mergeCell ref="AJ7991:AL7991"/>
    <mergeCell ref="AN7991:AO7991"/>
    <mergeCell ref="AP7991:AQ7991"/>
    <mergeCell ref="A7992:A7993"/>
    <mergeCell ref="E7992:E7993"/>
    <mergeCell ref="F7992:H7992"/>
    <mergeCell ref="J7992:J7993"/>
    <mergeCell ref="K7992:L7993"/>
    <mergeCell ref="M7992:N7993"/>
    <mergeCell ref="O7992:P7993"/>
    <mergeCell ref="Q7992:R7993"/>
    <mergeCell ref="S7992:T7993"/>
    <mergeCell ref="U7992:V7993"/>
    <mergeCell ref="W7992:W7993"/>
    <mergeCell ref="X7992:AB7992"/>
    <mergeCell ref="AD7992:AI7992"/>
    <mergeCell ref="AJ7992:AL7992"/>
    <mergeCell ref="AN7992:AO7992"/>
    <mergeCell ref="AP7992:AQ7992"/>
    <mergeCell ref="AR7992:AS7993"/>
    <mergeCell ref="AT7992:AU7993"/>
    <mergeCell ref="AV7992:AW7993"/>
    <mergeCell ref="AX7992:AY7993"/>
    <mergeCell ref="AZ7992:AZ7993"/>
    <mergeCell ref="F7993:H7993"/>
    <mergeCell ref="X7993:AB7993"/>
    <mergeCell ref="AE7993:AI7993"/>
    <mergeCell ref="AJ7993:AL7993"/>
    <mergeCell ref="AN7993:AO7993"/>
    <mergeCell ref="AP7993:AQ7993"/>
    <mergeCell ref="A7994:A7995"/>
    <mergeCell ref="E7994:E7995"/>
    <mergeCell ref="F7994:H7994"/>
    <mergeCell ref="J7994:J7995"/>
    <mergeCell ref="K7994:L7995"/>
    <mergeCell ref="M7994:N7995"/>
    <mergeCell ref="O7994:P7995"/>
    <mergeCell ref="Q7994:R7995"/>
    <mergeCell ref="S7994:T7995"/>
    <mergeCell ref="U7994:V7995"/>
    <mergeCell ref="W7994:W7995"/>
    <mergeCell ref="X7994:AB7994"/>
    <mergeCell ref="AD7994:AI7994"/>
    <mergeCell ref="AJ7994:AL7994"/>
    <mergeCell ref="AN7994:AO7994"/>
    <mergeCell ref="AP7994:AQ7994"/>
    <mergeCell ref="AR7994:AS7995"/>
    <mergeCell ref="AT7994:AU7995"/>
    <mergeCell ref="AV7994:AW7995"/>
    <mergeCell ref="AX7994:AY7995"/>
    <mergeCell ref="AZ7994:AZ7995"/>
    <mergeCell ref="F7995:H7995"/>
    <mergeCell ref="X7995:AB7995"/>
    <mergeCell ref="AE7995:AI7995"/>
    <mergeCell ref="AJ7995:AL7995"/>
    <mergeCell ref="AN7995:AO7995"/>
    <mergeCell ref="AP7995:AQ7995"/>
    <mergeCell ref="A7996:A7997"/>
    <mergeCell ref="E7996:E7997"/>
    <mergeCell ref="F7996:H7996"/>
    <mergeCell ref="J7996:J7997"/>
    <mergeCell ref="K7996:L7997"/>
    <mergeCell ref="M7996:N7997"/>
    <mergeCell ref="O7996:P7997"/>
    <mergeCell ref="Q7996:R7997"/>
    <mergeCell ref="S7996:T7997"/>
    <mergeCell ref="U7996:V7997"/>
    <mergeCell ref="W7996:W7997"/>
    <mergeCell ref="X7996:AB7996"/>
    <mergeCell ref="AD7996:AI7996"/>
    <mergeCell ref="AJ7996:AL7996"/>
    <mergeCell ref="AN7996:AO7996"/>
    <mergeCell ref="AP7996:AQ7996"/>
    <mergeCell ref="AR7996:AS7997"/>
    <mergeCell ref="AT7996:AU7997"/>
    <mergeCell ref="AV7996:AW7997"/>
    <mergeCell ref="AX7996:AY7997"/>
    <mergeCell ref="AZ7996:AZ7997"/>
    <mergeCell ref="F7997:H7997"/>
    <mergeCell ref="X7997:AB7997"/>
    <mergeCell ref="AE7997:AI7997"/>
    <mergeCell ref="AJ7997:AL7997"/>
    <mergeCell ref="AN7997:AO7997"/>
    <mergeCell ref="AP7997:AQ7997"/>
    <mergeCell ref="A7998:A7999"/>
    <mergeCell ref="E7998:E7999"/>
    <mergeCell ref="F7998:H7998"/>
    <mergeCell ref="J7998:J7999"/>
    <mergeCell ref="K7998:L7999"/>
    <mergeCell ref="M7998:N7999"/>
    <mergeCell ref="O7998:P7999"/>
    <mergeCell ref="Q7998:R7999"/>
    <mergeCell ref="S7998:T7999"/>
    <mergeCell ref="U7998:V7999"/>
    <mergeCell ref="W7998:W7999"/>
    <mergeCell ref="X7998:AB7998"/>
    <mergeCell ref="AD7998:AI7998"/>
    <mergeCell ref="AJ7998:AL7998"/>
    <mergeCell ref="AN7998:AO7998"/>
    <mergeCell ref="AP7998:AQ7998"/>
    <mergeCell ref="AR7998:AS7999"/>
    <mergeCell ref="AT7998:AU7999"/>
    <mergeCell ref="AV7998:AW7999"/>
    <mergeCell ref="AX7998:AY7999"/>
    <mergeCell ref="AZ7998:AZ7999"/>
    <mergeCell ref="F7999:H7999"/>
    <mergeCell ref="X7999:AB7999"/>
    <mergeCell ref="AE7999:AI7999"/>
    <mergeCell ref="AJ7999:AL7999"/>
    <mergeCell ref="AN7999:AO7999"/>
    <mergeCell ref="AP7999:AQ7999"/>
    <mergeCell ref="A8000:A8001"/>
    <mergeCell ref="E8000:E8001"/>
    <mergeCell ref="F8000:H8000"/>
    <mergeCell ref="J8000:J8001"/>
    <mergeCell ref="K8000:L8001"/>
    <mergeCell ref="M8000:N8001"/>
    <mergeCell ref="O8000:P8001"/>
    <mergeCell ref="Q8000:R8001"/>
    <mergeCell ref="S8000:T8001"/>
    <mergeCell ref="U8000:V8001"/>
    <mergeCell ref="W8000:W8001"/>
    <mergeCell ref="X8000:AB8000"/>
    <mergeCell ref="AD8000:AI8000"/>
    <mergeCell ref="AJ8000:AL8000"/>
    <mergeCell ref="AN8000:AO8000"/>
    <mergeCell ref="AP8000:AQ8000"/>
    <mergeCell ref="AR8000:AS8001"/>
    <mergeCell ref="AT8000:AU8001"/>
    <mergeCell ref="AV8000:AW8001"/>
    <mergeCell ref="AX8000:AY8001"/>
    <mergeCell ref="AZ8000:AZ8001"/>
    <mergeCell ref="F8001:H8001"/>
    <mergeCell ref="X8001:AB8001"/>
    <mergeCell ref="AE8001:AI8001"/>
    <mergeCell ref="AJ8001:AL8001"/>
    <mergeCell ref="AN8001:AO8001"/>
    <mergeCell ref="AP8001:AQ8001"/>
    <mergeCell ref="A8002:A8003"/>
    <mergeCell ref="E8002:E8003"/>
    <mergeCell ref="F8002:H8002"/>
    <mergeCell ref="J8002:J8003"/>
    <mergeCell ref="K8002:L8003"/>
    <mergeCell ref="M8002:N8003"/>
    <mergeCell ref="O8002:P8003"/>
    <mergeCell ref="Q8002:R8003"/>
    <mergeCell ref="S8002:T8003"/>
    <mergeCell ref="U8002:V8003"/>
    <mergeCell ref="W8002:W8003"/>
    <mergeCell ref="X8002:AB8002"/>
    <mergeCell ref="AD8002:AI8002"/>
    <mergeCell ref="AJ8002:AL8002"/>
    <mergeCell ref="AN8002:AO8002"/>
    <mergeCell ref="AP8002:AQ8002"/>
    <mergeCell ref="AR8002:AS8003"/>
    <mergeCell ref="AT8002:AU8003"/>
    <mergeCell ref="AV8002:AW8003"/>
    <mergeCell ref="AX8002:AY8003"/>
    <mergeCell ref="AZ8002:AZ8003"/>
    <mergeCell ref="F8003:H8003"/>
    <mergeCell ref="X8003:AB8003"/>
    <mergeCell ref="AE8003:AI8003"/>
    <mergeCell ref="AJ8003:AL8003"/>
    <mergeCell ref="AN8003:AO8003"/>
    <mergeCell ref="AP8003:AQ8003"/>
    <mergeCell ref="A8004:A8005"/>
    <mergeCell ref="E8004:E8005"/>
    <mergeCell ref="F8004:H8004"/>
    <mergeCell ref="J8004:J8005"/>
    <mergeCell ref="K8004:L8005"/>
    <mergeCell ref="M8004:N8005"/>
    <mergeCell ref="O8004:P8005"/>
    <mergeCell ref="Q8004:R8005"/>
    <mergeCell ref="S8004:T8005"/>
    <mergeCell ref="U8004:V8005"/>
    <mergeCell ref="W8004:W8005"/>
    <mergeCell ref="X8004:AB8004"/>
    <mergeCell ref="AD8004:AI8004"/>
    <mergeCell ref="AJ8004:AL8004"/>
    <mergeCell ref="AN8004:AO8004"/>
    <mergeCell ref="AP8004:AQ8004"/>
    <mergeCell ref="AR8004:AS8005"/>
    <mergeCell ref="AT8004:AU8005"/>
    <mergeCell ref="AV8004:AW8005"/>
    <mergeCell ref="AX8004:AY8005"/>
    <mergeCell ref="AZ8004:AZ8005"/>
    <mergeCell ref="F8005:H8005"/>
    <mergeCell ref="X8005:AB8005"/>
    <mergeCell ref="AE8005:AI8005"/>
    <mergeCell ref="AJ8005:AL8005"/>
    <mergeCell ref="AN8005:AO8005"/>
    <mergeCell ref="AP8005:AQ8005"/>
    <mergeCell ref="A8006:A8007"/>
    <mergeCell ref="E8006:E8007"/>
    <mergeCell ref="F8006:H8006"/>
    <mergeCell ref="J8006:J8007"/>
    <mergeCell ref="K8006:L8007"/>
    <mergeCell ref="M8006:N8007"/>
    <mergeCell ref="O8006:P8007"/>
    <mergeCell ref="Q8006:R8007"/>
    <mergeCell ref="S8006:T8007"/>
    <mergeCell ref="U8006:V8007"/>
    <mergeCell ref="W8006:W8007"/>
    <mergeCell ref="X8006:AB8006"/>
    <mergeCell ref="AD8006:AI8006"/>
    <mergeCell ref="AJ8006:AL8006"/>
    <mergeCell ref="AN8006:AO8006"/>
    <mergeCell ref="AP8006:AQ8006"/>
    <mergeCell ref="AR8006:AS8007"/>
    <mergeCell ref="AT8006:AU8007"/>
    <mergeCell ref="AV8006:AW8007"/>
    <mergeCell ref="AX8006:AY8007"/>
    <mergeCell ref="AZ8006:AZ8007"/>
    <mergeCell ref="F8007:H8007"/>
    <mergeCell ref="X8007:AB8007"/>
    <mergeCell ref="AE8007:AI8007"/>
    <mergeCell ref="AJ8007:AL8007"/>
    <mergeCell ref="AN8007:AO8007"/>
    <mergeCell ref="AP8007:AQ8007"/>
    <mergeCell ref="A8008:A8009"/>
    <mergeCell ref="E8008:E8009"/>
    <mergeCell ref="F8008:H8008"/>
    <mergeCell ref="J8008:J8009"/>
    <mergeCell ref="K8008:L8009"/>
    <mergeCell ref="M8008:N8009"/>
    <mergeCell ref="O8008:P8009"/>
    <mergeCell ref="Q8008:R8009"/>
    <mergeCell ref="S8008:T8009"/>
    <mergeCell ref="U8008:V8009"/>
    <mergeCell ref="W8008:W8009"/>
    <mergeCell ref="X8008:AB8008"/>
    <mergeCell ref="AD8008:AI8008"/>
    <mergeCell ref="AJ8008:AL8008"/>
    <mergeCell ref="AN8008:AO8008"/>
    <mergeCell ref="AP8008:AQ8008"/>
    <mergeCell ref="AR8008:AS8009"/>
    <mergeCell ref="AT8008:AU8009"/>
    <mergeCell ref="AV8008:AW8009"/>
    <mergeCell ref="AX8008:AY8009"/>
    <mergeCell ref="AZ8008:AZ8009"/>
    <mergeCell ref="F8009:H8009"/>
    <mergeCell ref="X8009:AB8009"/>
    <mergeCell ref="AE8009:AI8009"/>
    <mergeCell ref="AJ8009:AL8009"/>
    <mergeCell ref="AN8009:AO8009"/>
    <mergeCell ref="AP8009:AQ8009"/>
    <mergeCell ref="A8010:A8011"/>
    <mergeCell ref="E8010:E8011"/>
    <mergeCell ref="F8010:H8010"/>
    <mergeCell ref="J8010:J8011"/>
    <mergeCell ref="K8010:L8011"/>
    <mergeCell ref="M8010:N8011"/>
    <mergeCell ref="O8010:P8011"/>
    <mergeCell ref="Q8010:R8011"/>
    <mergeCell ref="S8010:T8011"/>
    <mergeCell ref="U8010:V8011"/>
    <mergeCell ref="W8010:W8011"/>
    <mergeCell ref="X8010:AB8010"/>
    <mergeCell ref="AD8010:AI8010"/>
    <mergeCell ref="AJ8010:AL8010"/>
    <mergeCell ref="AN8010:AO8010"/>
    <mergeCell ref="AP8010:AQ8010"/>
    <mergeCell ref="AR8010:AS8011"/>
    <mergeCell ref="AT8010:AU8011"/>
    <mergeCell ref="AV8010:AW8011"/>
    <mergeCell ref="AX8010:AY8011"/>
    <mergeCell ref="AZ8010:AZ8011"/>
    <mergeCell ref="F8011:H8011"/>
    <mergeCell ref="X8011:AB8011"/>
    <mergeCell ref="AE8011:AI8011"/>
    <mergeCell ref="AJ8011:AL8011"/>
    <mergeCell ref="AN8011:AO8011"/>
    <mergeCell ref="AP8011:AQ8011"/>
    <mergeCell ref="A8012:A8013"/>
    <mergeCell ref="E8012:E8013"/>
    <mergeCell ref="F8012:H8012"/>
    <mergeCell ref="J8012:J8013"/>
    <mergeCell ref="K8012:L8013"/>
    <mergeCell ref="M8012:N8013"/>
    <mergeCell ref="O8012:P8013"/>
    <mergeCell ref="Q8012:R8013"/>
    <mergeCell ref="S8012:T8013"/>
    <mergeCell ref="U8012:V8013"/>
    <mergeCell ref="W8012:W8013"/>
    <mergeCell ref="X8012:AB8012"/>
    <mergeCell ref="AD8012:AI8012"/>
    <mergeCell ref="AJ8012:AL8012"/>
    <mergeCell ref="AN8012:AO8012"/>
    <mergeCell ref="AP8012:AQ8012"/>
    <mergeCell ref="AR8012:AS8013"/>
    <mergeCell ref="AT8012:AU8013"/>
    <mergeCell ref="AV8012:AW8013"/>
    <mergeCell ref="AX8012:AY8013"/>
    <mergeCell ref="AZ8012:AZ8013"/>
    <mergeCell ref="F8013:H8013"/>
    <mergeCell ref="X8013:AB8013"/>
    <mergeCell ref="AE8013:AI8013"/>
    <mergeCell ref="AJ8013:AL8013"/>
    <mergeCell ref="AN8013:AO8013"/>
    <mergeCell ref="AP8013:AQ8013"/>
    <mergeCell ref="A8014:A8015"/>
    <mergeCell ref="E8014:E8015"/>
    <mergeCell ref="F8014:H8014"/>
    <mergeCell ref="J8014:J8015"/>
    <mergeCell ref="K8014:L8015"/>
    <mergeCell ref="M8014:N8015"/>
    <mergeCell ref="O8014:P8015"/>
    <mergeCell ref="Q8014:R8015"/>
    <mergeCell ref="S8014:T8015"/>
    <mergeCell ref="U8014:V8015"/>
    <mergeCell ref="W8014:W8015"/>
    <mergeCell ref="X8014:AB8014"/>
    <mergeCell ref="AD8014:AI8014"/>
    <mergeCell ref="AJ8014:AL8014"/>
    <mergeCell ref="AN8014:AO8014"/>
    <mergeCell ref="AP8014:AQ8014"/>
    <mergeCell ref="AR8014:AS8015"/>
    <mergeCell ref="AT8014:AU8015"/>
    <mergeCell ref="AV8014:AW8015"/>
    <mergeCell ref="AX8014:AY8015"/>
    <mergeCell ref="AZ8014:AZ8015"/>
    <mergeCell ref="F8015:H8015"/>
    <mergeCell ref="X8015:AB8015"/>
    <mergeCell ref="AE8015:AI8015"/>
    <mergeCell ref="AJ8015:AL8015"/>
    <mergeCell ref="AN8015:AO8015"/>
    <mergeCell ref="AP8015:AQ8015"/>
    <mergeCell ref="A8016:A8017"/>
    <mergeCell ref="E8016:E8017"/>
    <mergeCell ref="F8016:H8016"/>
    <mergeCell ref="J8016:J8017"/>
    <mergeCell ref="K8016:L8017"/>
    <mergeCell ref="M8016:N8017"/>
    <mergeCell ref="O8016:P8017"/>
    <mergeCell ref="Q8016:R8017"/>
    <mergeCell ref="S8016:T8017"/>
    <mergeCell ref="U8016:V8017"/>
    <mergeCell ref="W8016:W8017"/>
    <mergeCell ref="X8016:AB8016"/>
    <mergeCell ref="AD8016:AI8016"/>
    <mergeCell ref="AJ8016:AL8016"/>
    <mergeCell ref="AN8016:AO8016"/>
    <mergeCell ref="AP8016:AQ8016"/>
    <mergeCell ref="AR8016:AS8017"/>
    <mergeCell ref="AT8016:AU8017"/>
    <mergeCell ref="AV8016:AW8017"/>
    <mergeCell ref="AX8016:AY8017"/>
    <mergeCell ref="AZ8016:AZ8017"/>
    <mergeCell ref="F8017:H8017"/>
    <mergeCell ref="X8017:AB8017"/>
    <mergeCell ref="AE8017:AI8017"/>
    <mergeCell ref="AJ8017:AL8017"/>
    <mergeCell ref="AN8017:AO8017"/>
    <mergeCell ref="AP8017:AQ8017"/>
    <mergeCell ref="A8018:A8019"/>
    <mergeCell ref="E8018:E8019"/>
    <mergeCell ref="F8018:H8018"/>
    <mergeCell ref="J8018:J8019"/>
    <mergeCell ref="K8018:L8019"/>
    <mergeCell ref="M8018:N8019"/>
    <mergeCell ref="O8018:P8019"/>
    <mergeCell ref="Q8018:R8019"/>
    <mergeCell ref="S8018:T8019"/>
    <mergeCell ref="U8018:V8019"/>
    <mergeCell ref="W8018:W8019"/>
    <mergeCell ref="X8018:AB8018"/>
    <mergeCell ref="AD8018:AI8018"/>
    <mergeCell ref="AJ8018:AL8018"/>
    <mergeCell ref="AN8018:AO8018"/>
    <mergeCell ref="AP8018:AQ8018"/>
    <mergeCell ref="AR8018:AS8019"/>
    <mergeCell ref="AT8018:AU8019"/>
    <mergeCell ref="AV8018:AW8019"/>
    <mergeCell ref="AX8018:AY8019"/>
    <mergeCell ref="AZ8018:AZ8019"/>
    <mergeCell ref="F8019:H8019"/>
    <mergeCell ref="X8019:AB8019"/>
    <mergeCell ref="AE8019:AI8019"/>
    <mergeCell ref="AJ8019:AL8019"/>
    <mergeCell ref="AN8019:AO8019"/>
    <mergeCell ref="AP8019:AQ8019"/>
    <mergeCell ref="A8020:A8021"/>
    <mergeCell ref="E8020:E8021"/>
    <mergeCell ref="F8020:H8020"/>
    <mergeCell ref="J8020:J8021"/>
    <mergeCell ref="K8020:L8021"/>
    <mergeCell ref="M8020:N8021"/>
    <mergeCell ref="O8020:P8021"/>
    <mergeCell ref="Q8020:R8021"/>
    <mergeCell ref="S8020:T8021"/>
    <mergeCell ref="U8020:V8021"/>
    <mergeCell ref="W8020:W8021"/>
    <mergeCell ref="X8020:AB8020"/>
    <mergeCell ref="AD8020:AI8020"/>
    <mergeCell ref="AJ8020:AL8020"/>
    <mergeCell ref="AN8020:AO8020"/>
    <mergeCell ref="AP8020:AQ8020"/>
    <mergeCell ref="AR8020:AS8021"/>
    <mergeCell ref="AT8020:AU8021"/>
    <mergeCell ref="AV8020:AW8021"/>
    <mergeCell ref="AX8020:AY8021"/>
    <mergeCell ref="AZ8020:AZ8021"/>
    <mergeCell ref="F8021:H8021"/>
    <mergeCell ref="X8021:AB8021"/>
    <mergeCell ref="AE8021:AI8021"/>
    <mergeCell ref="AJ8021:AL8021"/>
    <mergeCell ref="AN8021:AO8021"/>
    <mergeCell ref="AP8021:AQ8021"/>
    <mergeCell ref="A8022:A8023"/>
    <mergeCell ref="E8022:E8023"/>
    <mergeCell ref="F8022:H8022"/>
    <mergeCell ref="J8022:J8023"/>
    <mergeCell ref="K8022:L8023"/>
    <mergeCell ref="M8022:N8023"/>
    <mergeCell ref="O8022:P8023"/>
    <mergeCell ref="Q8022:R8023"/>
    <mergeCell ref="S8022:T8023"/>
    <mergeCell ref="U8022:V8023"/>
    <mergeCell ref="W8022:W8023"/>
    <mergeCell ref="X8022:AB8022"/>
    <mergeCell ref="AD8022:AI8022"/>
    <mergeCell ref="AJ8022:AL8022"/>
    <mergeCell ref="AN8022:AO8022"/>
    <mergeCell ref="AP8022:AQ8022"/>
    <mergeCell ref="AR8022:AS8023"/>
    <mergeCell ref="AT8022:AU8023"/>
    <mergeCell ref="AV8022:AW8023"/>
    <mergeCell ref="AX8022:AY8023"/>
    <mergeCell ref="AZ8022:AZ8023"/>
    <mergeCell ref="F8023:H8023"/>
    <mergeCell ref="X8023:AB8023"/>
    <mergeCell ref="AE8023:AI8023"/>
    <mergeCell ref="AJ8023:AL8023"/>
    <mergeCell ref="AN8023:AO8023"/>
    <mergeCell ref="AP8023:AQ8023"/>
    <mergeCell ref="A8024:A8025"/>
    <mergeCell ref="E8024:E8025"/>
    <mergeCell ref="F8024:H8024"/>
    <mergeCell ref="J8024:J8025"/>
    <mergeCell ref="K8024:L8025"/>
    <mergeCell ref="M8024:N8025"/>
    <mergeCell ref="O8024:P8025"/>
    <mergeCell ref="Q8024:R8025"/>
    <mergeCell ref="S8024:T8025"/>
    <mergeCell ref="U8024:V8025"/>
    <mergeCell ref="W8024:W8025"/>
    <mergeCell ref="X8024:AB8024"/>
    <mergeCell ref="AD8024:AI8024"/>
    <mergeCell ref="AJ8024:AL8024"/>
    <mergeCell ref="AN8024:AO8024"/>
    <mergeCell ref="AP8024:AQ8024"/>
    <mergeCell ref="AR8024:AS8025"/>
    <mergeCell ref="AT8024:AU8025"/>
    <mergeCell ref="AV8024:AW8025"/>
    <mergeCell ref="AX8024:AY8025"/>
    <mergeCell ref="AZ8024:AZ8025"/>
    <mergeCell ref="F8025:H8025"/>
    <mergeCell ref="X8025:AB8025"/>
    <mergeCell ref="AE8025:AI8025"/>
    <mergeCell ref="AJ8025:AL8025"/>
    <mergeCell ref="AN8025:AO8025"/>
    <mergeCell ref="AP8025:AQ8025"/>
    <mergeCell ref="A8026:A8027"/>
    <mergeCell ref="E8026:E8027"/>
    <mergeCell ref="F8026:H8026"/>
    <mergeCell ref="J8026:J8027"/>
    <mergeCell ref="K8026:L8027"/>
    <mergeCell ref="M8026:N8027"/>
    <mergeCell ref="O8026:P8027"/>
    <mergeCell ref="Q8026:R8027"/>
    <mergeCell ref="S8026:T8027"/>
    <mergeCell ref="U8026:V8027"/>
    <mergeCell ref="W8026:W8027"/>
    <mergeCell ref="X8026:AB8026"/>
    <mergeCell ref="AD8026:AI8026"/>
    <mergeCell ref="AJ8026:AL8026"/>
    <mergeCell ref="AN8026:AO8026"/>
    <mergeCell ref="AP8026:AQ8026"/>
    <mergeCell ref="AR8026:AS8027"/>
    <mergeCell ref="AT8026:AU8027"/>
    <mergeCell ref="AV8026:AW8027"/>
    <mergeCell ref="AX8026:AY8027"/>
    <mergeCell ref="AZ8026:AZ8027"/>
    <mergeCell ref="F8027:H8027"/>
    <mergeCell ref="X8027:AB8027"/>
    <mergeCell ref="AE8027:AI8027"/>
    <mergeCell ref="AJ8027:AL8027"/>
    <mergeCell ref="AN8027:AO8027"/>
    <mergeCell ref="AP8027:AQ8027"/>
    <mergeCell ref="A8028:A8029"/>
    <mergeCell ref="E8028:E8029"/>
    <mergeCell ref="F8028:H8028"/>
    <mergeCell ref="J8028:J8029"/>
    <mergeCell ref="K8028:L8029"/>
    <mergeCell ref="M8028:N8029"/>
    <mergeCell ref="O8028:P8029"/>
    <mergeCell ref="Q8028:R8029"/>
    <mergeCell ref="S8028:T8029"/>
    <mergeCell ref="U8028:V8029"/>
    <mergeCell ref="W8028:W8029"/>
    <mergeCell ref="X8028:AB8028"/>
    <mergeCell ref="AD8028:AI8028"/>
    <mergeCell ref="AJ8028:AL8028"/>
    <mergeCell ref="AN8028:AO8028"/>
    <mergeCell ref="AP8028:AQ8028"/>
    <mergeCell ref="AR8028:AS8029"/>
    <mergeCell ref="AT8028:AU8029"/>
    <mergeCell ref="AV8028:AW8029"/>
    <mergeCell ref="AX8028:AY8029"/>
    <mergeCell ref="AZ8028:AZ8029"/>
    <mergeCell ref="F8029:H8029"/>
    <mergeCell ref="X8029:AB8029"/>
    <mergeCell ref="AE8029:AI8029"/>
    <mergeCell ref="AJ8029:AL8029"/>
    <mergeCell ref="AN8029:AO8029"/>
    <mergeCell ref="AP8029:AQ8029"/>
    <mergeCell ref="A8030:A8031"/>
    <mergeCell ref="E8030:E8031"/>
    <mergeCell ref="F8030:H8030"/>
    <mergeCell ref="J8030:J8031"/>
    <mergeCell ref="K8030:L8031"/>
    <mergeCell ref="M8030:N8031"/>
    <mergeCell ref="O8030:P8031"/>
    <mergeCell ref="Q8030:R8031"/>
    <mergeCell ref="S8030:T8031"/>
    <mergeCell ref="U8030:V8031"/>
    <mergeCell ref="W8030:W8031"/>
    <mergeCell ref="X8030:AB8030"/>
    <mergeCell ref="AD8030:AI8030"/>
    <mergeCell ref="AJ8030:AL8030"/>
    <mergeCell ref="AN8030:AO8030"/>
    <mergeCell ref="AP8030:AQ8030"/>
    <mergeCell ref="AR8030:AS8031"/>
    <mergeCell ref="AT8030:AU8031"/>
    <mergeCell ref="AV8030:AW8031"/>
    <mergeCell ref="AX8030:AY8031"/>
    <mergeCell ref="AZ8030:AZ8031"/>
    <mergeCell ref="F8031:H8031"/>
    <mergeCell ref="X8031:AB8031"/>
    <mergeCell ref="AE8031:AI8031"/>
    <mergeCell ref="AJ8031:AL8031"/>
    <mergeCell ref="AN8031:AO8031"/>
    <mergeCell ref="AP8031:AQ8031"/>
    <mergeCell ref="A8032:A8033"/>
    <mergeCell ref="E8032:E8033"/>
    <mergeCell ref="F8032:H8032"/>
    <mergeCell ref="J8032:J8033"/>
    <mergeCell ref="K8032:L8033"/>
    <mergeCell ref="M8032:N8033"/>
    <mergeCell ref="O8032:P8033"/>
    <mergeCell ref="Q8032:R8033"/>
    <mergeCell ref="S8032:T8033"/>
    <mergeCell ref="U8032:V8033"/>
    <mergeCell ref="W8032:W8033"/>
    <mergeCell ref="X8032:AB8032"/>
    <mergeCell ref="AD8032:AI8032"/>
    <mergeCell ref="AJ8032:AL8032"/>
    <mergeCell ref="AN8032:AO8032"/>
    <mergeCell ref="AP8032:AQ8032"/>
    <mergeCell ref="AR8032:AS8033"/>
    <mergeCell ref="AT8032:AU8033"/>
    <mergeCell ref="AV8032:AW8033"/>
    <mergeCell ref="AX8032:AY8033"/>
    <mergeCell ref="AZ8032:AZ8033"/>
    <mergeCell ref="F8033:H8033"/>
    <mergeCell ref="X8033:AB8033"/>
    <mergeCell ref="AE8033:AI8033"/>
    <mergeCell ref="AJ8033:AL8033"/>
    <mergeCell ref="AN8033:AO8033"/>
    <mergeCell ref="AP8033:AQ8033"/>
    <mergeCell ref="A8034:A8035"/>
    <mergeCell ref="E8034:E8035"/>
    <mergeCell ref="F8034:H8034"/>
    <mergeCell ref="J8034:J8035"/>
    <mergeCell ref="K8034:L8035"/>
    <mergeCell ref="M8034:N8035"/>
    <mergeCell ref="O8034:P8035"/>
    <mergeCell ref="Q8034:R8035"/>
    <mergeCell ref="S8034:T8035"/>
    <mergeCell ref="U8034:V8035"/>
    <mergeCell ref="W8034:W8035"/>
    <mergeCell ref="X8034:AB8034"/>
    <mergeCell ref="AD8034:AI8034"/>
    <mergeCell ref="AJ8034:AL8034"/>
    <mergeCell ref="AN8034:AO8034"/>
    <mergeCell ref="AP8034:AQ8034"/>
    <mergeCell ref="AR8034:AS8035"/>
    <mergeCell ref="AT8034:AU8035"/>
    <mergeCell ref="AV8034:AW8035"/>
    <mergeCell ref="AX8034:AY8035"/>
    <mergeCell ref="AZ8034:AZ8035"/>
    <mergeCell ref="F8035:H8035"/>
    <mergeCell ref="X8035:AB8035"/>
    <mergeCell ref="AE8035:AI8035"/>
    <mergeCell ref="AJ8035:AL8035"/>
    <mergeCell ref="AN8035:AO8035"/>
    <mergeCell ref="AP8035:AQ8035"/>
    <mergeCell ref="A8036:A8037"/>
    <mergeCell ref="E8036:E8037"/>
    <mergeCell ref="F8036:H8036"/>
    <mergeCell ref="J8036:J8037"/>
    <mergeCell ref="K8036:L8037"/>
    <mergeCell ref="M8036:N8037"/>
    <mergeCell ref="O8036:P8037"/>
    <mergeCell ref="Q8036:R8037"/>
    <mergeCell ref="S8036:T8037"/>
    <mergeCell ref="U8036:V8037"/>
    <mergeCell ref="W8036:W8037"/>
    <mergeCell ref="X8036:AB8036"/>
    <mergeCell ref="AD8036:AI8036"/>
    <mergeCell ref="AJ8036:AL8036"/>
    <mergeCell ref="AN8036:AO8036"/>
    <mergeCell ref="AP8036:AQ8036"/>
    <mergeCell ref="AR8036:AS8037"/>
    <mergeCell ref="AT8036:AU8037"/>
    <mergeCell ref="AV8036:AW8037"/>
    <mergeCell ref="AX8036:AY8037"/>
    <mergeCell ref="AZ8036:AZ8037"/>
    <mergeCell ref="F8037:H8037"/>
    <mergeCell ref="X8037:AB8037"/>
    <mergeCell ref="AE8037:AI8037"/>
    <mergeCell ref="AJ8037:AL8037"/>
    <mergeCell ref="AN8037:AO8037"/>
    <mergeCell ref="AP8037:AQ8037"/>
    <mergeCell ref="A8038:A8039"/>
    <mergeCell ref="E8038:E8039"/>
    <mergeCell ref="F8038:H8038"/>
    <mergeCell ref="J8038:J8039"/>
    <mergeCell ref="K8038:L8039"/>
    <mergeCell ref="M8038:N8039"/>
    <mergeCell ref="O8038:P8039"/>
    <mergeCell ref="Q8038:R8039"/>
    <mergeCell ref="S8038:T8039"/>
    <mergeCell ref="U8038:V8039"/>
    <mergeCell ref="W8038:W8039"/>
    <mergeCell ref="X8038:AB8038"/>
    <mergeCell ref="AD8038:AI8038"/>
    <mergeCell ref="AJ8038:AL8038"/>
    <mergeCell ref="AN8038:AO8038"/>
    <mergeCell ref="AP8038:AQ8038"/>
    <mergeCell ref="AR8038:AS8039"/>
    <mergeCell ref="AT8038:AU8039"/>
    <mergeCell ref="AV8038:AW8039"/>
    <mergeCell ref="AX8038:AY8039"/>
    <mergeCell ref="AZ8038:AZ8039"/>
    <mergeCell ref="F8039:H8039"/>
    <mergeCell ref="X8039:AB8039"/>
    <mergeCell ref="AE8039:AI8039"/>
    <mergeCell ref="AJ8039:AL8039"/>
    <mergeCell ref="AN8039:AO8039"/>
    <mergeCell ref="AP8039:AQ8039"/>
    <mergeCell ref="A8040:A8041"/>
    <mergeCell ref="E8040:E8041"/>
    <mergeCell ref="F8040:H8040"/>
    <mergeCell ref="J8040:J8041"/>
    <mergeCell ref="K8040:L8041"/>
    <mergeCell ref="M8040:N8041"/>
    <mergeCell ref="O8040:P8041"/>
    <mergeCell ref="Q8040:R8041"/>
    <mergeCell ref="S8040:T8041"/>
    <mergeCell ref="U8040:V8041"/>
    <mergeCell ref="W8040:W8041"/>
    <mergeCell ref="X8040:AB8040"/>
    <mergeCell ref="AD8040:AI8040"/>
    <mergeCell ref="AJ8040:AL8040"/>
    <mergeCell ref="AN8040:AO8040"/>
    <mergeCell ref="AP8040:AQ8040"/>
    <mergeCell ref="AR8040:AS8041"/>
    <mergeCell ref="AT8040:AU8041"/>
    <mergeCell ref="AV8040:AW8041"/>
    <mergeCell ref="AX8040:AY8041"/>
    <mergeCell ref="AZ8040:AZ8041"/>
    <mergeCell ref="F8041:H8041"/>
    <mergeCell ref="X8041:AB8041"/>
    <mergeCell ref="AE8041:AI8041"/>
    <mergeCell ref="AJ8041:AL8041"/>
    <mergeCell ref="AN8041:AO8041"/>
    <mergeCell ref="AP8041:AQ8041"/>
    <mergeCell ref="A8042:A8043"/>
    <mergeCell ref="E8042:E8043"/>
    <mergeCell ref="F8042:H8042"/>
    <mergeCell ref="J8042:J8043"/>
    <mergeCell ref="K8042:L8043"/>
    <mergeCell ref="M8042:N8043"/>
    <mergeCell ref="O8042:P8043"/>
    <mergeCell ref="Q8042:R8043"/>
    <mergeCell ref="S8042:T8043"/>
    <mergeCell ref="U8042:V8043"/>
    <mergeCell ref="W8042:W8043"/>
    <mergeCell ref="X8042:AB8042"/>
    <mergeCell ref="AD8042:AI8042"/>
    <mergeCell ref="AJ8042:AL8042"/>
    <mergeCell ref="AN8042:AO8042"/>
    <mergeCell ref="AP8042:AQ8042"/>
    <mergeCell ref="AR8042:AS8043"/>
    <mergeCell ref="AT8042:AU8043"/>
    <mergeCell ref="AV8042:AW8043"/>
    <mergeCell ref="AX8042:AY8043"/>
    <mergeCell ref="AZ8042:AZ8043"/>
    <mergeCell ref="F8043:H8043"/>
    <mergeCell ref="X8043:AB8043"/>
    <mergeCell ref="AE8043:AI8043"/>
    <mergeCell ref="AJ8043:AL8043"/>
    <mergeCell ref="AN8043:AO8043"/>
    <mergeCell ref="AP8043:AQ8043"/>
    <mergeCell ref="A8044:A8045"/>
    <mergeCell ref="E8044:E8045"/>
    <mergeCell ref="F8044:H8044"/>
    <mergeCell ref="J8044:J8045"/>
    <mergeCell ref="K8044:L8045"/>
    <mergeCell ref="M8044:N8045"/>
    <mergeCell ref="O8044:P8045"/>
    <mergeCell ref="Q8044:R8045"/>
    <mergeCell ref="S8044:T8045"/>
    <mergeCell ref="U8044:V8045"/>
    <mergeCell ref="W8044:W8045"/>
    <mergeCell ref="X8044:AB8044"/>
    <mergeCell ref="AD8044:AI8044"/>
    <mergeCell ref="AJ8044:AL8044"/>
    <mergeCell ref="AN8044:AO8044"/>
    <mergeCell ref="AP8044:AQ8044"/>
    <mergeCell ref="AR8044:AS8045"/>
    <mergeCell ref="AT8044:AU8045"/>
    <mergeCell ref="AV8044:AW8045"/>
    <mergeCell ref="AX8044:AY8045"/>
    <mergeCell ref="AZ8044:AZ8045"/>
    <mergeCell ref="F8045:H8045"/>
    <mergeCell ref="X8045:AB8045"/>
    <mergeCell ref="AE8045:AI8045"/>
    <mergeCell ref="AJ8045:AL8045"/>
    <mergeCell ref="AN8045:AO8045"/>
    <mergeCell ref="AP8045:AQ8045"/>
    <mergeCell ref="A8046:A8047"/>
    <mergeCell ref="E8046:E8047"/>
    <mergeCell ref="F8046:H8046"/>
    <mergeCell ref="J8046:J8047"/>
    <mergeCell ref="K8046:L8047"/>
    <mergeCell ref="M8046:N8047"/>
    <mergeCell ref="O8046:P8047"/>
    <mergeCell ref="Q8046:R8047"/>
    <mergeCell ref="S8046:T8047"/>
    <mergeCell ref="U8046:V8047"/>
    <mergeCell ref="W8046:W8047"/>
    <mergeCell ref="X8046:AB8046"/>
    <mergeCell ref="AD8046:AI8046"/>
    <mergeCell ref="AJ8046:AL8046"/>
    <mergeCell ref="AN8046:AO8046"/>
    <mergeCell ref="AP8046:AQ8046"/>
    <mergeCell ref="AR8046:AS8047"/>
    <mergeCell ref="AT8046:AU8047"/>
    <mergeCell ref="AV8046:AW8047"/>
    <mergeCell ref="AX8046:AY8047"/>
    <mergeCell ref="AZ8046:AZ8047"/>
    <mergeCell ref="F8047:H8047"/>
    <mergeCell ref="X8047:AB8047"/>
    <mergeCell ref="AE8047:AI8047"/>
    <mergeCell ref="AJ8047:AL8047"/>
    <mergeCell ref="AN8047:AO8047"/>
    <mergeCell ref="AP8047:AQ8047"/>
    <mergeCell ref="A8048:A8049"/>
    <mergeCell ref="E8048:E8049"/>
    <mergeCell ref="F8048:H8048"/>
    <mergeCell ref="J8048:J8049"/>
    <mergeCell ref="K8048:L8049"/>
    <mergeCell ref="M8048:N8049"/>
    <mergeCell ref="O8048:P8049"/>
    <mergeCell ref="Q8048:R8049"/>
    <mergeCell ref="S8048:T8049"/>
    <mergeCell ref="U8048:V8049"/>
    <mergeCell ref="W8048:W8049"/>
    <mergeCell ref="X8048:AB8048"/>
    <mergeCell ref="AD8048:AI8048"/>
    <mergeCell ref="AJ8048:AL8048"/>
    <mergeCell ref="AN8048:AO8048"/>
    <mergeCell ref="AP8048:AQ8048"/>
    <mergeCell ref="AR8048:AS8049"/>
    <mergeCell ref="AT8048:AU8049"/>
    <mergeCell ref="AV8048:AW8049"/>
    <mergeCell ref="AX8048:AY8049"/>
    <mergeCell ref="AZ8048:AZ8049"/>
    <mergeCell ref="F8049:H8049"/>
    <mergeCell ref="X8049:AB8049"/>
    <mergeCell ref="AE8049:AI8049"/>
    <mergeCell ref="AJ8049:AL8049"/>
    <mergeCell ref="AN8049:AO8049"/>
    <mergeCell ref="AP8049:AQ8049"/>
    <mergeCell ref="A8050:A8051"/>
    <mergeCell ref="E8050:E8051"/>
    <mergeCell ref="F8050:H8050"/>
    <mergeCell ref="J8050:J8051"/>
    <mergeCell ref="K8050:L8051"/>
    <mergeCell ref="M8050:N8051"/>
    <mergeCell ref="O8050:P8051"/>
    <mergeCell ref="Q8050:R8051"/>
    <mergeCell ref="S8050:T8051"/>
    <mergeCell ref="U8050:V8051"/>
    <mergeCell ref="W8050:W8051"/>
    <mergeCell ref="X8050:AB8050"/>
    <mergeCell ref="AD8050:AI8050"/>
    <mergeCell ref="AJ8050:AL8050"/>
    <mergeCell ref="AN8050:AO8050"/>
    <mergeCell ref="AP8050:AQ8050"/>
    <mergeCell ref="AR8050:AS8051"/>
    <mergeCell ref="AT8050:AU8051"/>
    <mergeCell ref="AV8050:AW8051"/>
    <mergeCell ref="AX8050:AY8051"/>
    <mergeCell ref="AZ8050:AZ8051"/>
    <mergeCell ref="F8051:H8051"/>
    <mergeCell ref="X8051:AB8051"/>
    <mergeCell ref="AE8051:AI8051"/>
    <mergeCell ref="AJ8051:AL8051"/>
    <mergeCell ref="AN8051:AO8051"/>
    <mergeCell ref="AP8051:AQ8051"/>
    <mergeCell ref="A8052:A8053"/>
    <mergeCell ref="E8052:E8053"/>
    <mergeCell ref="F8052:H8052"/>
    <mergeCell ref="J8052:J8053"/>
    <mergeCell ref="K8052:L8053"/>
    <mergeCell ref="M8052:N8053"/>
    <mergeCell ref="O8052:P8053"/>
    <mergeCell ref="Q8052:R8053"/>
    <mergeCell ref="S8052:T8053"/>
    <mergeCell ref="U8052:V8053"/>
    <mergeCell ref="W8052:W8053"/>
    <mergeCell ref="X8052:AB8052"/>
    <mergeCell ref="AD8052:AI8052"/>
    <mergeCell ref="AJ8052:AL8052"/>
    <mergeCell ref="AN8052:AO8052"/>
    <mergeCell ref="AP8052:AQ8052"/>
    <mergeCell ref="AR8052:AS8053"/>
    <mergeCell ref="AT8052:AU8053"/>
    <mergeCell ref="AV8052:AW8053"/>
    <mergeCell ref="AX8052:AY8053"/>
    <mergeCell ref="AZ8052:AZ8053"/>
    <mergeCell ref="F8053:H8053"/>
    <mergeCell ref="X8053:AB8053"/>
    <mergeCell ref="AE8053:AI8053"/>
    <mergeCell ref="AJ8053:AL8053"/>
    <mergeCell ref="AN8053:AO8053"/>
    <mergeCell ref="AP8053:AQ8053"/>
    <mergeCell ref="A8054:A8055"/>
    <mergeCell ref="E8054:E8055"/>
    <mergeCell ref="F8054:H8054"/>
    <mergeCell ref="J8054:J8055"/>
    <mergeCell ref="K8054:L8055"/>
    <mergeCell ref="M8054:N8055"/>
    <mergeCell ref="O8054:P8055"/>
    <mergeCell ref="Q8054:R8055"/>
    <mergeCell ref="S8054:T8055"/>
    <mergeCell ref="U8054:V8055"/>
    <mergeCell ref="W8054:W8055"/>
    <mergeCell ref="X8054:AB8054"/>
    <mergeCell ref="AD8054:AI8054"/>
    <mergeCell ref="AJ8054:AL8054"/>
    <mergeCell ref="AN8054:AO8054"/>
    <mergeCell ref="AP8054:AQ8054"/>
    <mergeCell ref="AR8054:AS8055"/>
    <mergeCell ref="AT8054:AU8055"/>
    <mergeCell ref="AV8054:AW8055"/>
    <mergeCell ref="AX8054:AY8055"/>
    <mergeCell ref="AZ8054:AZ8055"/>
    <mergeCell ref="F8055:H8055"/>
    <mergeCell ref="X8055:AB8055"/>
    <mergeCell ref="AE8055:AI8055"/>
    <mergeCell ref="AJ8055:AL8055"/>
    <mergeCell ref="AN8055:AO8055"/>
    <mergeCell ref="AP8055:AQ8055"/>
    <mergeCell ref="A8056:A8057"/>
    <mergeCell ref="E8056:E8057"/>
    <mergeCell ref="F8056:H8056"/>
    <mergeCell ref="J8056:J8057"/>
    <mergeCell ref="K8056:L8057"/>
    <mergeCell ref="M8056:N8057"/>
    <mergeCell ref="O8056:P8057"/>
    <mergeCell ref="Q8056:R8057"/>
    <mergeCell ref="S8056:T8057"/>
    <mergeCell ref="U8056:V8057"/>
    <mergeCell ref="W8056:W8057"/>
    <mergeCell ref="X8056:AB8056"/>
    <mergeCell ref="AD8056:AI8056"/>
    <mergeCell ref="AJ8056:AL8056"/>
    <mergeCell ref="AN8056:AO8056"/>
    <mergeCell ref="AP8056:AQ8056"/>
    <mergeCell ref="AR8056:AS8057"/>
    <mergeCell ref="AT8056:AU8057"/>
    <mergeCell ref="AV8056:AW8057"/>
    <mergeCell ref="AX8056:AY8057"/>
    <mergeCell ref="AZ8056:AZ8057"/>
    <mergeCell ref="F8057:H8057"/>
    <mergeCell ref="X8057:AB8057"/>
    <mergeCell ref="AE8057:AI8057"/>
    <mergeCell ref="AJ8057:AL8057"/>
    <mergeCell ref="AN8057:AO8057"/>
    <mergeCell ref="AP8057:AQ8057"/>
    <mergeCell ref="A8058:A8059"/>
    <mergeCell ref="E8058:E8059"/>
    <mergeCell ref="F8058:H8058"/>
    <mergeCell ref="J8058:J8059"/>
    <mergeCell ref="K8058:L8059"/>
    <mergeCell ref="M8058:N8059"/>
    <mergeCell ref="O8058:P8059"/>
    <mergeCell ref="Q8058:R8059"/>
    <mergeCell ref="S8058:T8059"/>
    <mergeCell ref="U8058:V8059"/>
    <mergeCell ref="W8058:W8059"/>
    <mergeCell ref="X8058:AB8058"/>
    <mergeCell ref="AD8058:AI8058"/>
    <mergeCell ref="AJ8058:AL8058"/>
    <mergeCell ref="AN8058:AO8058"/>
    <mergeCell ref="AP8058:AQ8058"/>
    <mergeCell ref="AR8058:AS8059"/>
    <mergeCell ref="AT8058:AU8059"/>
    <mergeCell ref="AV8058:AW8059"/>
    <mergeCell ref="AX8058:AY8059"/>
    <mergeCell ref="AZ8058:AZ8059"/>
    <mergeCell ref="F8059:H8059"/>
    <mergeCell ref="X8059:AB8059"/>
    <mergeCell ref="AE8059:AI8059"/>
    <mergeCell ref="AJ8059:AL8059"/>
    <mergeCell ref="AN8059:AO8059"/>
    <mergeCell ref="AP8059:AQ8059"/>
    <mergeCell ref="A8060:A8061"/>
    <mergeCell ref="E8060:E8061"/>
    <mergeCell ref="F8060:H8060"/>
    <mergeCell ref="J8060:J8061"/>
    <mergeCell ref="K8060:L8061"/>
    <mergeCell ref="M8060:N8061"/>
    <mergeCell ref="O8060:P8061"/>
    <mergeCell ref="Q8060:R8061"/>
    <mergeCell ref="S8060:T8061"/>
    <mergeCell ref="U8060:V8061"/>
    <mergeCell ref="W8060:W8061"/>
    <mergeCell ref="X8060:AB8060"/>
    <mergeCell ref="AD8060:AI8060"/>
    <mergeCell ref="AJ8060:AL8060"/>
    <mergeCell ref="AN8060:AO8060"/>
    <mergeCell ref="AP8060:AQ8060"/>
    <mergeCell ref="AR8060:AS8061"/>
    <mergeCell ref="AT8060:AU8061"/>
    <mergeCell ref="AV8060:AW8061"/>
    <mergeCell ref="AX8060:AY8061"/>
    <mergeCell ref="AZ8060:AZ8061"/>
    <mergeCell ref="F8061:H8061"/>
    <mergeCell ref="X8061:AB8061"/>
    <mergeCell ref="AE8061:AI8061"/>
    <mergeCell ref="AJ8061:AL8061"/>
    <mergeCell ref="AN8061:AO8061"/>
    <mergeCell ref="AP8061:AQ8061"/>
    <mergeCell ref="A8062:A8063"/>
    <mergeCell ref="E8062:E8063"/>
    <mergeCell ref="F8062:H8062"/>
    <mergeCell ref="J8062:J8063"/>
    <mergeCell ref="K8062:L8063"/>
    <mergeCell ref="M8062:N8063"/>
    <mergeCell ref="O8062:P8063"/>
    <mergeCell ref="Q8062:R8063"/>
    <mergeCell ref="S8062:T8063"/>
    <mergeCell ref="U8062:V8063"/>
    <mergeCell ref="W8062:W8063"/>
    <mergeCell ref="X8062:AB8062"/>
    <mergeCell ref="AD8062:AI8062"/>
    <mergeCell ref="AJ8062:AL8062"/>
    <mergeCell ref="AN8062:AO8062"/>
    <mergeCell ref="AP8062:AQ8062"/>
    <mergeCell ref="AR8062:AS8063"/>
    <mergeCell ref="AT8062:AU8063"/>
    <mergeCell ref="AV8062:AW8063"/>
    <mergeCell ref="AX8062:AY8063"/>
    <mergeCell ref="AZ8062:AZ8063"/>
    <mergeCell ref="F8063:H8063"/>
    <mergeCell ref="X8063:AB8063"/>
    <mergeCell ref="AE8063:AI8063"/>
    <mergeCell ref="AJ8063:AL8063"/>
    <mergeCell ref="AN8063:AO8063"/>
    <mergeCell ref="AP8063:AQ8063"/>
    <mergeCell ref="A8064:A8065"/>
    <mergeCell ref="E8064:E8065"/>
    <mergeCell ref="F8064:H8064"/>
    <mergeCell ref="J8064:J8065"/>
    <mergeCell ref="K8064:L8065"/>
    <mergeCell ref="M8064:N8065"/>
    <mergeCell ref="O8064:P8065"/>
    <mergeCell ref="Q8064:R8065"/>
    <mergeCell ref="S8064:T8065"/>
    <mergeCell ref="U8064:V8065"/>
    <mergeCell ref="W8064:W8065"/>
    <mergeCell ref="X8064:AB8064"/>
    <mergeCell ref="AD8064:AI8064"/>
    <mergeCell ref="AJ8064:AL8064"/>
    <mergeCell ref="AN8064:AO8064"/>
    <mergeCell ref="AP8064:AQ8064"/>
    <mergeCell ref="AR8064:AS8065"/>
    <mergeCell ref="AT8064:AU8065"/>
    <mergeCell ref="AV8064:AW8065"/>
    <mergeCell ref="AX8064:AY8065"/>
    <mergeCell ref="AZ8064:AZ8065"/>
    <mergeCell ref="F8065:H8065"/>
    <mergeCell ref="X8065:AB8065"/>
    <mergeCell ref="AE8065:AI8065"/>
    <mergeCell ref="AJ8065:AL8065"/>
    <mergeCell ref="AN8065:AO8065"/>
    <mergeCell ref="AP8065:AQ8065"/>
    <mergeCell ref="A8066:A8067"/>
    <mergeCell ref="E8066:E8067"/>
    <mergeCell ref="F8066:H8066"/>
    <mergeCell ref="J8066:J8067"/>
    <mergeCell ref="K8066:L8067"/>
    <mergeCell ref="M8066:N8067"/>
    <mergeCell ref="O8066:P8067"/>
    <mergeCell ref="Q8066:R8067"/>
    <mergeCell ref="S8066:T8067"/>
    <mergeCell ref="U8066:V8067"/>
    <mergeCell ref="W8066:W8067"/>
    <mergeCell ref="X8066:AB8066"/>
    <mergeCell ref="AD8066:AI8066"/>
    <mergeCell ref="AJ8066:AL8066"/>
    <mergeCell ref="AN8066:AO8066"/>
    <mergeCell ref="AP8066:AQ8066"/>
    <mergeCell ref="AR8066:AS8067"/>
    <mergeCell ref="AT8066:AU8067"/>
    <mergeCell ref="AV8066:AW8067"/>
    <mergeCell ref="AX8066:AY8067"/>
    <mergeCell ref="AZ8066:AZ8067"/>
    <mergeCell ref="F8067:H8067"/>
    <mergeCell ref="X8067:AB8067"/>
    <mergeCell ref="AE8067:AI8067"/>
    <mergeCell ref="AJ8067:AL8067"/>
    <mergeCell ref="AN8067:AO8067"/>
    <mergeCell ref="AP8067:AQ8067"/>
    <mergeCell ref="A8068:A8069"/>
    <mergeCell ref="E8068:E8069"/>
    <mergeCell ref="F8068:H8068"/>
    <mergeCell ref="J8068:J8069"/>
    <mergeCell ref="K8068:L8069"/>
    <mergeCell ref="M8068:N8069"/>
    <mergeCell ref="O8068:P8069"/>
    <mergeCell ref="Q8068:R8069"/>
    <mergeCell ref="S8068:T8069"/>
    <mergeCell ref="U8068:V8069"/>
    <mergeCell ref="W8068:W8069"/>
    <mergeCell ref="X8068:AB8068"/>
    <mergeCell ref="AD8068:AI8068"/>
    <mergeCell ref="AJ8068:AL8068"/>
    <mergeCell ref="AN8068:AO8068"/>
    <mergeCell ref="AP8068:AQ8068"/>
    <mergeCell ref="AR8068:AS8069"/>
    <mergeCell ref="AT8068:AU8069"/>
    <mergeCell ref="AV8068:AW8069"/>
    <mergeCell ref="AX8068:AY8069"/>
    <mergeCell ref="AZ8068:AZ8069"/>
    <mergeCell ref="F8069:H8069"/>
    <mergeCell ref="X8069:AB8069"/>
    <mergeCell ref="AE8069:AI8069"/>
    <mergeCell ref="AJ8069:AL8069"/>
    <mergeCell ref="AN8069:AO8069"/>
    <mergeCell ref="AP8069:AQ8069"/>
    <mergeCell ref="A8070:A8071"/>
    <mergeCell ref="E8070:E8071"/>
    <mergeCell ref="F8070:H8070"/>
    <mergeCell ref="J8070:J8071"/>
    <mergeCell ref="K8070:L8071"/>
    <mergeCell ref="M8070:N8071"/>
    <mergeCell ref="O8070:P8071"/>
    <mergeCell ref="Q8070:R8071"/>
    <mergeCell ref="S8070:T8071"/>
    <mergeCell ref="U8070:V8071"/>
    <mergeCell ref="W8070:W8071"/>
    <mergeCell ref="X8070:AB8070"/>
    <mergeCell ref="AD8070:AI8070"/>
    <mergeCell ref="AJ8070:AL8070"/>
    <mergeCell ref="AN8070:AO8070"/>
    <mergeCell ref="AP8070:AQ8070"/>
    <mergeCell ref="AR8070:AS8071"/>
    <mergeCell ref="AT8070:AU8071"/>
    <mergeCell ref="AV8070:AW8071"/>
    <mergeCell ref="AX8070:AY8071"/>
    <mergeCell ref="AZ8070:AZ8071"/>
    <mergeCell ref="F8071:H8071"/>
    <mergeCell ref="X8071:AB8071"/>
    <mergeCell ref="AE8071:AI8071"/>
    <mergeCell ref="AJ8071:AL8071"/>
    <mergeCell ref="AN8071:AO8071"/>
    <mergeCell ref="AP8071:AQ8071"/>
    <mergeCell ref="A8072:A8073"/>
    <mergeCell ref="E8072:E8073"/>
    <mergeCell ref="F8072:H8072"/>
    <mergeCell ref="J8072:J8073"/>
    <mergeCell ref="K8072:L8073"/>
    <mergeCell ref="M8072:N8073"/>
    <mergeCell ref="O8072:P8073"/>
    <mergeCell ref="Q8072:R8073"/>
    <mergeCell ref="S8072:T8073"/>
    <mergeCell ref="U8072:V8073"/>
    <mergeCell ref="W8072:W8073"/>
    <mergeCell ref="X8072:AB8072"/>
    <mergeCell ref="AD8072:AI8072"/>
    <mergeCell ref="AJ8072:AL8072"/>
    <mergeCell ref="AN8072:AO8072"/>
    <mergeCell ref="AP8072:AQ8072"/>
    <mergeCell ref="AR8072:AS8073"/>
    <mergeCell ref="AT8072:AU8073"/>
    <mergeCell ref="AV8072:AW8073"/>
    <mergeCell ref="AX8072:AY8073"/>
    <mergeCell ref="AZ8072:AZ8073"/>
    <mergeCell ref="F8073:H8073"/>
    <mergeCell ref="X8073:AB8073"/>
    <mergeCell ref="AE8073:AI8073"/>
    <mergeCell ref="AJ8073:AL8073"/>
    <mergeCell ref="AN8073:AO8073"/>
    <mergeCell ref="AP8073:AQ8073"/>
    <mergeCell ref="A8074:A8075"/>
    <mergeCell ref="E8074:E8075"/>
    <mergeCell ref="F8074:H8074"/>
    <mergeCell ref="J8074:J8075"/>
    <mergeCell ref="K8074:L8075"/>
    <mergeCell ref="M8074:N8075"/>
    <mergeCell ref="O8074:P8075"/>
    <mergeCell ref="Q8074:R8075"/>
    <mergeCell ref="S8074:T8075"/>
    <mergeCell ref="U8074:V8075"/>
    <mergeCell ref="W8074:W8075"/>
    <mergeCell ref="X8074:AB8074"/>
    <mergeCell ref="AD8074:AI8074"/>
    <mergeCell ref="AJ8074:AL8074"/>
    <mergeCell ref="AN8074:AO8074"/>
    <mergeCell ref="AP8074:AQ8074"/>
    <mergeCell ref="AR8074:AS8075"/>
    <mergeCell ref="AT8074:AU8075"/>
    <mergeCell ref="AV8074:AW8075"/>
    <mergeCell ref="AX8074:AY8075"/>
    <mergeCell ref="AZ8074:AZ8075"/>
    <mergeCell ref="F8075:H8075"/>
    <mergeCell ref="X8075:AB8075"/>
    <mergeCell ref="AE8075:AI8075"/>
    <mergeCell ref="AJ8075:AL8075"/>
    <mergeCell ref="AN8075:AO8075"/>
    <mergeCell ref="AP8075:AQ8075"/>
    <mergeCell ref="A8076:A8077"/>
    <mergeCell ref="E8076:E8077"/>
    <mergeCell ref="F8076:H8076"/>
    <mergeCell ref="J8076:J8077"/>
    <mergeCell ref="K8076:L8077"/>
    <mergeCell ref="M8076:N8077"/>
    <mergeCell ref="O8076:P8077"/>
    <mergeCell ref="Q8076:R8077"/>
    <mergeCell ref="S8076:T8077"/>
    <mergeCell ref="U8076:V8077"/>
    <mergeCell ref="W8076:W8077"/>
    <mergeCell ref="X8076:AB8076"/>
    <mergeCell ref="AD8076:AI8076"/>
    <mergeCell ref="AJ8076:AL8076"/>
    <mergeCell ref="AN8076:AO8076"/>
    <mergeCell ref="AP8076:AQ8076"/>
    <mergeCell ref="AR8076:AS8077"/>
    <mergeCell ref="AT8076:AU8077"/>
    <mergeCell ref="AV8076:AW8077"/>
    <mergeCell ref="AX8076:AY8077"/>
    <mergeCell ref="AZ8076:AZ8077"/>
    <mergeCell ref="F8077:H8077"/>
    <mergeCell ref="X8077:AB8077"/>
    <mergeCell ref="AE8077:AI8077"/>
    <mergeCell ref="AJ8077:AL8077"/>
    <mergeCell ref="AN8077:AO8077"/>
    <mergeCell ref="AP8077:AQ8077"/>
    <mergeCell ref="A8078:A8079"/>
    <mergeCell ref="E8078:E8079"/>
    <mergeCell ref="F8078:H8078"/>
    <mergeCell ref="J8078:J8079"/>
    <mergeCell ref="K8078:L8079"/>
    <mergeCell ref="M8078:N8079"/>
    <mergeCell ref="O8078:P8079"/>
    <mergeCell ref="Q8078:R8079"/>
    <mergeCell ref="S8078:T8079"/>
    <mergeCell ref="U8078:V8079"/>
    <mergeCell ref="W8078:W8079"/>
    <mergeCell ref="X8078:AB8078"/>
    <mergeCell ref="AD8078:AI8078"/>
    <mergeCell ref="AJ8078:AL8078"/>
    <mergeCell ref="AN8078:AO8078"/>
    <mergeCell ref="AP8078:AQ8078"/>
    <mergeCell ref="AR8078:AS8079"/>
    <mergeCell ref="AT8078:AU8079"/>
    <mergeCell ref="AV8078:AW8079"/>
    <mergeCell ref="AX8078:AY8079"/>
    <mergeCell ref="AZ8078:AZ8079"/>
    <mergeCell ref="F8079:H8079"/>
    <mergeCell ref="X8079:AB8079"/>
    <mergeCell ref="AE8079:AI8079"/>
    <mergeCell ref="AJ8079:AL8079"/>
    <mergeCell ref="AN8079:AO8079"/>
    <mergeCell ref="AP8079:AQ8079"/>
    <mergeCell ref="A8080:A8081"/>
    <mergeCell ref="E8080:E8081"/>
    <mergeCell ref="F8080:H8080"/>
    <mergeCell ref="J8080:J8081"/>
    <mergeCell ref="K8080:L8081"/>
    <mergeCell ref="M8080:N8081"/>
    <mergeCell ref="O8080:P8081"/>
    <mergeCell ref="Q8080:R8081"/>
    <mergeCell ref="S8080:T8081"/>
    <mergeCell ref="U8080:V8081"/>
    <mergeCell ref="W8080:W8081"/>
    <mergeCell ref="X8080:AB8080"/>
    <mergeCell ref="AD8080:AI8080"/>
    <mergeCell ref="AJ8080:AL8080"/>
    <mergeCell ref="AN8080:AO8080"/>
    <mergeCell ref="AP8080:AQ8080"/>
    <mergeCell ref="AR8080:AS8081"/>
    <mergeCell ref="AT8080:AU8081"/>
    <mergeCell ref="AV8080:AW8081"/>
    <mergeCell ref="AX8080:AY8081"/>
    <mergeCell ref="AZ8080:AZ8081"/>
    <mergeCell ref="F8081:H8081"/>
    <mergeCell ref="X8081:AB8081"/>
    <mergeCell ref="AE8081:AI8081"/>
    <mergeCell ref="AJ8081:AL8081"/>
    <mergeCell ref="AN8081:AO8081"/>
    <mergeCell ref="AP8081:AQ8081"/>
    <mergeCell ref="A8082:A8083"/>
    <mergeCell ref="E8082:E8083"/>
    <mergeCell ref="F8082:H8082"/>
    <mergeCell ref="J8082:J8083"/>
    <mergeCell ref="K8082:L8083"/>
    <mergeCell ref="M8082:N8083"/>
    <mergeCell ref="O8082:P8083"/>
    <mergeCell ref="Q8082:R8083"/>
    <mergeCell ref="S8082:T8083"/>
    <mergeCell ref="U8082:V8083"/>
    <mergeCell ref="W8082:W8083"/>
    <mergeCell ref="X8082:AB8082"/>
    <mergeCell ref="AD8082:AI8082"/>
    <mergeCell ref="AJ8082:AL8082"/>
    <mergeCell ref="AN8082:AO8082"/>
    <mergeCell ref="AP8082:AQ8082"/>
    <mergeCell ref="AR8082:AS8083"/>
    <mergeCell ref="AT8082:AU8083"/>
    <mergeCell ref="AV8082:AW8083"/>
    <mergeCell ref="AX8082:AY8083"/>
    <mergeCell ref="AZ8082:AZ8083"/>
    <mergeCell ref="F8083:H8083"/>
    <mergeCell ref="X8083:AB8083"/>
    <mergeCell ref="AE8083:AI8083"/>
    <mergeCell ref="AJ8083:AL8083"/>
    <mergeCell ref="AN8083:AO8083"/>
    <mergeCell ref="AP8083:AQ8083"/>
    <mergeCell ref="A8084:A8085"/>
    <mergeCell ref="E8084:E8085"/>
    <mergeCell ref="F8084:H8084"/>
    <mergeCell ref="J8084:J8085"/>
    <mergeCell ref="K8084:L8085"/>
    <mergeCell ref="M8084:N8085"/>
    <mergeCell ref="O8084:P8085"/>
    <mergeCell ref="Q8084:R8085"/>
    <mergeCell ref="S8084:T8085"/>
    <mergeCell ref="U8084:V8085"/>
    <mergeCell ref="W8084:W8085"/>
    <mergeCell ref="X8084:AB8084"/>
    <mergeCell ref="AD8084:AI8084"/>
    <mergeCell ref="AJ8084:AL8084"/>
    <mergeCell ref="AN8084:AO8084"/>
    <mergeCell ref="AP8084:AQ8084"/>
    <mergeCell ref="AR8084:AS8085"/>
    <mergeCell ref="AT8084:AU8085"/>
    <mergeCell ref="AV8084:AW8085"/>
    <mergeCell ref="AX8084:AY8085"/>
    <mergeCell ref="AZ8084:AZ8085"/>
    <mergeCell ref="F8085:H8085"/>
    <mergeCell ref="X8085:AB8085"/>
    <mergeCell ref="AE8085:AI8085"/>
    <mergeCell ref="AJ8085:AL8085"/>
    <mergeCell ref="AN8085:AO8085"/>
    <mergeCell ref="AP8085:AQ8085"/>
    <mergeCell ref="A8086:A8087"/>
    <mergeCell ref="E8086:E8087"/>
    <mergeCell ref="F8086:H8086"/>
    <mergeCell ref="J8086:J8087"/>
    <mergeCell ref="K8086:L8087"/>
    <mergeCell ref="M8086:N8087"/>
    <mergeCell ref="O8086:P8087"/>
    <mergeCell ref="Q8086:R8087"/>
    <mergeCell ref="S8086:T8087"/>
    <mergeCell ref="U8086:V8087"/>
    <mergeCell ref="W8086:W8087"/>
    <mergeCell ref="X8086:AB8086"/>
    <mergeCell ref="AD8086:AI8086"/>
    <mergeCell ref="AJ8086:AL8086"/>
    <mergeCell ref="AN8086:AO8086"/>
    <mergeCell ref="AP8086:AQ8086"/>
    <mergeCell ref="AR8086:AS8087"/>
    <mergeCell ref="AT8086:AU8087"/>
    <mergeCell ref="AV8086:AW8087"/>
    <mergeCell ref="AX8086:AY8087"/>
    <mergeCell ref="AZ8086:AZ8087"/>
    <mergeCell ref="F8087:H8087"/>
    <mergeCell ref="X8087:AB8087"/>
    <mergeCell ref="AE8087:AI8087"/>
    <mergeCell ref="AJ8087:AL8087"/>
    <mergeCell ref="AN8087:AO8087"/>
    <mergeCell ref="AP8087:AQ8087"/>
    <mergeCell ref="A8088:A8089"/>
    <mergeCell ref="E8088:E8089"/>
    <mergeCell ref="F8088:H8088"/>
    <mergeCell ref="J8088:J8089"/>
    <mergeCell ref="K8088:L8089"/>
    <mergeCell ref="M8088:N8089"/>
    <mergeCell ref="O8088:P8089"/>
    <mergeCell ref="Q8088:R8089"/>
    <mergeCell ref="S8088:T8089"/>
    <mergeCell ref="U8088:V8089"/>
    <mergeCell ref="W8088:W8089"/>
    <mergeCell ref="X8088:AB8088"/>
    <mergeCell ref="AD8088:AI8088"/>
    <mergeCell ref="AJ8088:AL8088"/>
    <mergeCell ref="AN8088:AO8088"/>
    <mergeCell ref="AP8088:AQ8088"/>
    <mergeCell ref="AR8088:AS8089"/>
    <mergeCell ref="AT8088:AU8089"/>
    <mergeCell ref="AV8088:AW8089"/>
    <mergeCell ref="AX8088:AY8089"/>
    <mergeCell ref="AZ8088:AZ8089"/>
    <mergeCell ref="F8089:H8089"/>
    <mergeCell ref="X8089:AB8089"/>
    <mergeCell ref="AE8089:AI8089"/>
    <mergeCell ref="AJ8089:AL8089"/>
    <mergeCell ref="AN8089:AO8089"/>
    <mergeCell ref="AP8089:AQ8089"/>
    <mergeCell ref="A8090:A8091"/>
    <mergeCell ref="E8090:E8091"/>
    <mergeCell ref="F8090:H8090"/>
    <mergeCell ref="J8090:J8091"/>
    <mergeCell ref="K8090:L8091"/>
    <mergeCell ref="M8090:N8091"/>
    <mergeCell ref="O8090:P8091"/>
    <mergeCell ref="Q8090:R8091"/>
    <mergeCell ref="S8090:T8091"/>
    <mergeCell ref="U8090:V8091"/>
    <mergeCell ref="W8090:W8091"/>
    <mergeCell ref="X8090:AB8090"/>
    <mergeCell ref="AD8090:AI8090"/>
    <mergeCell ref="AJ8090:AL8090"/>
    <mergeCell ref="AN8090:AO8090"/>
    <mergeCell ref="AP8090:AQ8090"/>
    <mergeCell ref="AR8090:AS8091"/>
    <mergeCell ref="AT8090:AU8091"/>
    <mergeCell ref="AV8090:AW8091"/>
    <mergeCell ref="AX8090:AY8091"/>
    <mergeCell ref="AZ8090:AZ8091"/>
    <mergeCell ref="F8091:H8091"/>
    <mergeCell ref="X8091:AB8091"/>
    <mergeCell ref="AE8091:AI8091"/>
    <mergeCell ref="AJ8091:AL8091"/>
    <mergeCell ref="AN8091:AO8091"/>
    <mergeCell ref="AP8091:AQ8091"/>
    <mergeCell ref="A8092:A8093"/>
    <mergeCell ref="A8094:A8095"/>
    <mergeCell ref="E8092:E8093"/>
    <mergeCell ref="F8092:H8092"/>
    <mergeCell ref="J8092:J8093"/>
    <mergeCell ref="K8092:L8093"/>
    <mergeCell ref="M8092:N8093"/>
    <mergeCell ref="O8092:P8093"/>
    <mergeCell ref="Q8092:R8093"/>
    <mergeCell ref="S8092:T8093"/>
    <mergeCell ref="U8092:V8093"/>
    <mergeCell ref="W8092:W8093"/>
    <mergeCell ref="X8092:AB8092"/>
    <mergeCell ref="AD8092:AI8092"/>
    <mergeCell ref="AJ8092:AL8092"/>
    <mergeCell ref="AN8092:AO8092"/>
    <mergeCell ref="AP8092:AQ8092"/>
    <mergeCell ref="AR8092:AS8093"/>
    <mergeCell ref="AT8092:AU8093"/>
    <mergeCell ref="AV8092:AW8093"/>
    <mergeCell ref="AX8092:AY8093"/>
    <mergeCell ref="AZ8092:AZ8093"/>
    <mergeCell ref="F8093:H8093"/>
    <mergeCell ref="X8093:AB8093"/>
    <mergeCell ref="AE8093:AI8093"/>
    <mergeCell ref="AJ8093:AL8093"/>
    <mergeCell ref="AN8093:AO8093"/>
    <mergeCell ref="AP8093:AQ8093"/>
    <mergeCell ref="E8094:E8095"/>
    <mergeCell ref="F8094:H8094"/>
    <mergeCell ref="J8094:J8095"/>
    <mergeCell ref="K8094:L8095"/>
    <mergeCell ref="M8094:N8095"/>
    <mergeCell ref="O8094:P8095"/>
    <mergeCell ref="Q8094:R8095"/>
    <mergeCell ref="S8094:T8095"/>
    <mergeCell ref="U8094:V8095"/>
    <mergeCell ref="W8094:W8095"/>
    <mergeCell ref="X8094:AB8094"/>
    <mergeCell ref="AD8094:AI8094"/>
    <mergeCell ref="AJ8094:AL8094"/>
    <mergeCell ref="AN8094:AO8094"/>
    <mergeCell ref="AP8094:AQ8094"/>
    <mergeCell ref="AR8094:AS8095"/>
    <mergeCell ref="AT8094:AU8095"/>
    <mergeCell ref="AV8094:AW8095"/>
    <mergeCell ref="AX8094:AY8095"/>
    <mergeCell ref="AZ8094:AZ8095"/>
    <mergeCell ref="F8095:H8095"/>
    <mergeCell ref="X8095:AB8095"/>
    <mergeCell ref="AE8095:AI8095"/>
    <mergeCell ref="AJ8095:AL8095"/>
    <mergeCell ref="AN8095:AO8095"/>
    <mergeCell ref="AP8095:AQ8095"/>
    <mergeCell ref="A8096:A8097"/>
    <mergeCell ref="E8096:E8097"/>
    <mergeCell ref="F8096:H8096"/>
    <mergeCell ref="J8096:J8097"/>
    <mergeCell ref="K8096:L8097"/>
    <mergeCell ref="M8096:N8097"/>
    <mergeCell ref="O8096:P8097"/>
    <mergeCell ref="Q8096:R8097"/>
    <mergeCell ref="S8096:T8097"/>
    <mergeCell ref="U8096:V8097"/>
    <mergeCell ref="W8096:W8097"/>
    <mergeCell ref="X8096:AB8096"/>
    <mergeCell ref="AD8096:AI8096"/>
    <mergeCell ref="AJ8096:AL8096"/>
    <mergeCell ref="AN8096:AO8096"/>
    <mergeCell ref="AP8096:AQ8096"/>
    <mergeCell ref="AR8096:AS8097"/>
    <mergeCell ref="AT8096:AU8097"/>
    <mergeCell ref="AV8096:AW8097"/>
    <mergeCell ref="AX8096:AY8097"/>
    <mergeCell ref="AZ8096:AZ8097"/>
    <mergeCell ref="F8097:H8097"/>
    <mergeCell ref="X8097:AB8097"/>
    <mergeCell ref="AE8097:AI8097"/>
    <mergeCell ref="AJ8097:AL8097"/>
    <mergeCell ref="AN8097:AO8097"/>
    <mergeCell ref="AP8097:AQ8097"/>
    <mergeCell ref="A8098:A8099"/>
    <mergeCell ref="E8098:E8099"/>
    <mergeCell ref="F8098:H8098"/>
    <mergeCell ref="J8098:J8099"/>
    <mergeCell ref="K8098:L8099"/>
    <mergeCell ref="M8098:N8099"/>
    <mergeCell ref="O8098:P8099"/>
    <mergeCell ref="Q8098:R8099"/>
    <mergeCell ref="S8098:T8099"/>
    <mergeCell ref="U8098:V8099"/>
    <mergeCell ref="W8098:W8099"/>
    <mergeCell ref="X8098:AB8098"/>
    <mergeCell ref="AD8098:AI8098"/>
    <mergeCell ref="AJ8098:AL8098"/>
    <mergeCell ref="AN8098:AO8098"/>
    <mergeCell ref="AP8098:AQ8098"/>
    <mergeCell ref="AR8098:AS8099"/>
    <mergeCell ref="AT8098:AU8099"/>
    <mergeCell ref="AV8098:AW8099"/>
    <mergeCell ref="AX8098:AY8099"/>
    <mergeCell ref="AZ8098:AZ8099"/>
    <mergeCell ref="F8099:H8099"/>
    <mergeCell ref="X8099:AB8099"/>
    <mergeCell ref="AE8099:AI8099"/>
    <mergeCell ref="AJ8099:AL8099"/>
    <mergeCell ref="AN8099:AO8099"/>
    <mergeCell ref="AP8099:AQ8099"/>
    <mergeCell ref="A8100:A8101"/>
    <mergeCell ref="E8100:E8101"/>
    <mergeCell ref="F8100:H8100"/>
    <mergeCell ref="J8100:J8101"/>
    <mergeCell ref="K8100:L8101"/>
    <mergeCell ref="M8100:N8101"/>
    <mergeCell ref="O8100:P8101"/>
    <mergeCell ref="Q8100:R8101"/>
    <mergeCell ref="S8100:T8101"/>
    <mergeCell ref="U8100:V8101"/>
    <mergeCell ref="W8100:W8101"/>
    <mergeCell ref="X8100:AB8100"/>
    <mergeCell ref="AD8100:AI8100"/>
    <mergeCell ref="AJ8100:AL8100"/>
    <mergeCell ref="AN8100:AO8100"/>
    <mergeCell ref="AP8100:AQ8100"/>
    <mergeCell ref="AR8100:AS8101"/>
    <mergeCell ref="AT8100:AU8101"/>
    <mergeCell ref="AV8100:AW8101"/>
    <mergeCell ref="AX8100:AY8101"/>
    <mergeCell ref="AZ8100:AZ8101"/>
    <mergeCell ref="F8101:H8101"/>
    <mergeCell ref="X8101:AB8101"/>
    <mergeCell ref="AE8101:AI8101"/>
    <mergeCell ref="AJ8101:AL8101"/>
    <mergeCell ref="AN8101:AO8101"/>
    <mergeCell ref="AP8101:AQ8101"/>
    <mergeCell ref="A8102:A8103"/>
    <mergeCell ref="E8102:E8103"/>
    <mergeCell ref="F8102:H8102"/>
    <mergeCell ref="J8102:J8103"/>
    <mergeCell ref="K8102:L8103"/>
    <mergeCell ref="M8102:N8103"/>
    <mergeCell ref="O8102:P8103"/>
    <mergeCell ref="Q8102:R8103"/>
    <mergeCell ref="S8102:T8103"/>
    <mergeCell ref="U8102:V8103"/>
    <mergeCell ref="W8102:W8103"/>
    <mergeCell ref="X8102:AB8102"/>
    <mergeCell ref="AD8102:AI8102"/>
    <mergeCell ref="AJ8102:AL8102"/>
    <mergeCell ref="AN8102:AO8102"/>
    <mergeCell ref="AP8102:AQ8102"/>
    <mergeCell ref="AR8102:AS8103"/>
    <mergeCell ref="AT8102:AU8103"/>
    <mergeCell ref="AV8102:AW8103"/>
    <mergeCell ref="AX8102:AY8103"/>
    <mergeCell ref="AZ8102:AZ8103"/>
    <mergeCell ref="F8103:H8103"/>
    <mergeCell ref="X8103:AB8103"/>
    <mergeCell ref="AE8103:AI8103"/>
    <mergeCell ref="AJ8103:AL8103"/>
    <mergeCell ref="AN8103:AO8103"/>
    <mergeCell ref="AP8103:AQ8103"/>
    <mergeCell ref="A8104:A8105"/>
    <mergeCell ref="E8104:E8105"/>
    <mergeCell ref="F8104:H8104"/>
    <mergeCell ref="J8104:J8105"/>
    <mergeCell ref="K8104:L8105"/>
    <mergeCell ref="M8104:N8105"/>
    <mergeCell ref="O8104:P8105"/>
    <mergeCell ref="Q8104:R8105"/>
    <mergeCell ref="S8104:T8105"/>
    <mergeCell ref="U8104:V8105"/>
    <mergeCell ref="W8104:W8105"/>
    <mergeCell ref="X8104:AB8104"/>
    <mergeCell ref="AD8104:AI8104"/>
    <mergeCell ref="AJ8104:AL8104"/>
    <mergeCell ref="AN8104:AO8104"/>
    <mergeCell ref="AP8104:AQ8104"/>
    <mergeCell ref="AR8104:AS8105"/>
    <mergeCell ref="AT8104:AU8105"/>
    <mergeCell ref="AV8104:AW8105"/>
    <mergeCell ref="AX8104:AY8105"/>
    <mergeCell ref="AZ8104:AZ8105"/>
    <mergeCell ref="F8105:H8105"/>
    <mergeCell ref="X8105:AB8105"/>
    <mergeCell ref="AE8105:AI8105"/>
    <mergeCell ref="AJ8105:AL8105"/>
    <mergeCell ref="AN8105:AO8105"/>
    <mergeCell ref="AP8105:AQ8105"/>
    <mergeCell ref="A8106:A8107"/>
    <mergeCell ref="E8106:E8107"/>
    <mergeCell ref="F8106:H8106"/>
    <mergeCell ref="J8106:J8107"/>
    <mergeCell ref="K8106:L8107"/>
    <mergeCell ref="M8106:N8107"/>
    <mergeCell ref="O8106:P8107"/>
    <mergeCell ref="Q8106:R8107"/>
    <mergeCell ref="S8106:T8107"/>
    <mergeCell ref="U8106:V8107"/>
    <mergeCell ref="W8106:W8107"/>
    <mergeCell ref="X8106:AB8106"/>
    <mergeCell ref="AD8106:AI8106"/>
    <mergeCell ref="AJ8106:AL8106"/>
    <mergeCell ref="AN8106:AO8106"/>
    <mergeCell ref="AP8106:AQ8106"/>
    <mergeCell ref="AR8106:AS8107"/>
    <mergeCell ref="AT8106:AU8107"/>
    <mergeCell ref="AV8106:AW8107"/>
    <mergeCell ref="AX8106:AY8107"/>
    <mergeCell ref="AZ8106:AZ8107"/>
    <mergeCell ref="F8107:H8107"/>
    <mergeCell ref="X8107:AB8107"/>
    <mergeCell ref="AE8107:AI8107"/>
    <mergeCell ref="AJ8107:AL8107"/>
    <mergeCell ref="AN8107:AO8107"/>
    <mergeCell ref="AP8107:AQ8107"/>
    <mergeCell ref="A8108:A8109"/>
    <mergeCell ref="E8108:E8109"/>
    <mergeCell ref="F8108:H8108"/>
    <mergeCell ref="J8108:J8109"/>
    <mergeCell ref="K8108:L8109"/>
    <mergeCell ref="M8108:N8109"/>
    <mergeCell ref="O8108:P8109"/>
    <mergeCell ref="Q8108:R8109"/>
    <mergeCell ref="S8108:T8109"/>
    <mergeCell ref="U8108:V8109"/>
    <mergeCell ref="W8108:W8109"/>
    <mergeCell ref="X8108:AB8108"/>
    <mergeCell ref="AD8108:AI8108"/>
    <mergeCell ref="AJ8108:AL8108"/>
    <mergeCell ref="AN8108:AO8108"/>
    <mergeCell ref="AP8108:AQ8108"/>
    <mergeCell ref="AR8108:AS8109"/>
    <mergeCell ref="AT8108:AU8109"/>
    <mergeCell ref="AV8108:AW8109"/>
    <mergeCell ref="AX8108:AY8109"/>
    <mergeCell ref="AZ8108:AZ8109"/>
    <mergeCell ref="F8109:H8109"/>
    <mergeCell ref="X8109:AB8109"/>
    <mergeCell ref="AE8109:AI8109"/>
    <mergeCell ref="AJ8109:AL8109"/>
    <mergeCell ref="AN8109:AO8109"/>
    <mergeCell ref="AP8109:AQ8109"/>
    <mergeCell ref="A8110:A8111"/>
    <mergeCell ref="E8110:E8111"/>
    <mergeCell ref="F8110:H8110"/>
    <mergeCell ref="J8110:J8111"/>
    <mergeCell ref="K8110:L8111"/>
    <mergeCell ref="M8110:N8111"/>
    <mergeCell ref="O8110:P8111"/>
    <mergeCell ref="Q8110:R8111"/>
    <mergeCell ref="S8110:T8111"/>
    <mergeCell ref="U8110:V8111"/>
    <mergeCell ref="W8110:W8111"/>
    <mergeCell ref="X8110:AB8110"/>
    <mergeCell ref="AD8110:AI8110"/>
    <mergeCell ref="AJ8110:AL8110"/>
    <mergeCell ref="AN8110:AO8110"/>
    <mergeCell ref="AP8110:AQ8110"/>
    <mergeCell ref="AR8110:AS8111"/>
    <mergeCell ref="AT8110:AU8111"/>
    <mergeCell ref="AV8110:AW8111"/>
    <mergeCell ref="AX8110:AY8111"/>
    <mergeCell ref="AZ8110:AZ8111"/>
    <mergeCell ref="F8111:H8111"/>
    <mergeCell ref="X8111:AB8111"/>
    <mergeCell ref="AE8111:AI8111"/>
    <mergeCell ref="AJ8111:AL8111"/>
    <mergeCell ref="AN8111:AO8111"/>
    <mergeCell ref="AP8111:AQ8111"/>
    <mergeCell ref="A8112:A8113"/>
    <mergeCell ref="E8112:E8113"/>
    <mergeCell ref="F8112:H8112"/>
    <mergeCell ref="J8112:J8113"/>
    <mergeCell ref="K8112:L8113"/>
    <mergeCell ref="M8112:N8113"/>
    <mergeCell ref="O8112:P8113"/>
    <mergeCell ref="Q8112:R8113"/>
    <mergeCell ref="S8112:T8113"/>
    <mergeCell ref="U8112:V8113"/>
    <mergeCell ref="W8112:W8113"/>
    <mergeCell ref="X8112:AB8112"/>
    <mergeCell ref="AD8112:AI8112"/>
    <mergeCell ref="AJ8112:AL8112"/>
    <mergeCell ref="AN8112:AO8112"/>
    <mergeCell ref="AP8112:AQ8112"/>
    <mergeCell ref="AR8112:AS8113"/>
    <mergeCell ref="AT8112:AU8113"/>
    <mergeCell ref="AV8112:AW8113"/>
    <mergeCell ref="AX8112:AY8113"/>
    <mergeCell ref="AZ8112:AZ8113"/>
    <mergeCell ref="F8113:H8113"/>
    <mergeCell ref="X8113:AB8113"/>
    <mergeCell ref="AE8113:AI8113"/>
    <mergeCell ref="AJ8113:AL8113"/>
    <mergeCell ref="AN8113:AO8113"/>
    <mergeCell ref="AP8113:AQ8113"/>
    <mergeCell ref="A8114:A8115"/>
    <mergeCell ref="E8114:E8115"/>
    <mergeCell ref="F8114:H8114"/>
    <mergeCell ref="J8114:J8115"/>
    <mergeCell ref="K8114:L8115"/>
    <mergeCell ref="M8114:N8115"/>
    <mergeCell ref="O8114:P8115"/>
    <mergeCell ref="Q8114:R8115"/>
    <mergeCell ref="S8114:T8115"/>
    <mergeCell ref="U8114:V8115"/>
    <mergeCell ref="W8114:W8115"/>
    <mergeCell ref="X8114:AB8114"/>
    <mergeCell ref="AD8114:AI8114"/>
    <mergeCell ref="AJ8114:AL8114"/>
    <mergeCell ref="AN8114:AO8114"/>
    <mergeCell ref="AP8114:AQ8114"/>
    <mergeCell ref="AR8114:AS8115"/>
    <mergeCell ref="AT8114:AU8115"/>
    <mergeCell ref="AV8114:AW8115"/>
    <mergeCell ref="AX8114:AY8115"/>
    <mergeCell ref="AZ8114:AZ8115"/>
    <mergeCell ref="F8115:H8115"/>
    <mergeCell ref="X8115:AB8115"/>
    <mergeCell ref="AE8115:AI8115"/>
    <mergeCell ref="AJ8115:AL8115"/>
    <mergeCell ref="AN8115:AO8115"/>
    <mergeCell ref="AP8115:AQ8115"/>
    <mergeCell ref="A8116:A8117"/>
    <mergeCell ref="E8116:E8117"/>
    <mergeCell ref="F8116:H8116"/>
    <mergeCell ref="J8116:J8117"/>
    <mergeCell ref="K8116:L8117"/>
    <mergeCell ref="M8116:N8117"/>
    <mergeCell ref="O8116:P8117"/>
    <mergeCell ref="Q8116:R8117"/>
    <mergeCell ref="S8116:T8117"/>
    <mergeCell ref="U8116:V8117"/>
    <mergeCell ref="W8116:W8117"/>
    <mergeCell ref="X8116:AB8116"/>
    <mergeCell ref="AD8116:AI8116"/>
    <mergeCell ref="AJ8116:AL8116"/>
    <mergeCell ref="AN8116:AO8116"/>
    <mergeCell ref="AP8116:AQ8116"/>
    <mergeCell ref="AR8116:AS8117"/>
    <mergeCell ref="AT8116:AU8117"/>
    <mergeCell ref="AV8116:AW8117"/>
    <mergeCell ref="AX8116:AY8117"/>
    <mergeCell ref="AZ8116:AZ8117"/>
    <mergeCell ref="F8117:H8117"/>
    <mergeCell ref="X8117:AB8117"/>
    <mergeCell ref="AE8117:AI8117"/>
    <mergeCell ref="AJ8117:AL8117"/>
    <mergeCell ref="AN8117:AO8117"/>
    <mergeCell ref="AP8117:AQ8117"/>
    <mergeCell ref="A8118:A8119"/>
    <mergeCell ref="E8118:E8119"/>
    <mergeCell ref="F8118:H8118"/>
    <mergeCell ref="J8118:J8119"/>
    <mergeCell ref="K8118:L8119"/>
    <mergeCell ref="M8118:N8119"/>
    <mergeCell ref="O8118:P8119"/>
    <mergeCell ref="Q8118:R8119"/>
    <mergeCell ref="S8118:T8119"/>
    <mergeCell ref="U8118:V8119"/>
    <mergeCell ref="W8118:W8119"/>
    <mergeCell ref="X8118:AB8118"/>
    <mergeCell ref="AD8118:AI8118"/>
    <mergeCell ref="AJ8118:AL8118"/>
    <mergeCell ref="AN8118:AO8118"/>
    <mergeCell ref="AP8118:AQ8118"/>
    <mergeCell ref="AR8118:AS8119"/>
    <mergeCell ref="AT8118:AU8119"/>
    <mergeCell ref="AV8118:AW8119"/>
    <mergeCell ref="AX8118:AY8119"/>
    <mergeCell ref="AZ8118:AZ8119"/>
    <mergeCell ref="F8119:H8119"/>
    <mergeCell ref="X8119:AB8119"/>
    <mergeCell ref="AE8119:AI8119"/>
    <mergeCell ref="AJ8119:AL8119"/>
    <mergeCell ref="AN8119:AO8119"/>
    <mergeCell ref="AP8119:AQ8119"/>
    <mergeCell ref="A8120:A8121"/>
    <mergeCell ref="E8120:E8121"/>
    <mergeCell ref="F8120:H8120"/>
    <mergeCell ref="J8120:J8121"/>
    <mergeCell ref="K8120:L8121"/>
    <mergeCell ref="M8120:N8121"/>
    <mergeCell ref="O8120:P8121"/>
    <mergeCell ref="Q8120:R8121"/>
    <mergeCell ref="S8120:T8121"/>
    <mergeCell ref="U8120:V8121"/>
    <mergeCell ref="W8120:W8121"/>
    <mergeCell ref="X8120:AB8120"/>
    <mergeCell ref="AD8120:AI8120"/>
    <mergeCell ref="AJ8120:AL8120"/>
    <mergeCell ref="AN8120:AO8120"/>
    <mergeCell ref="AP8120:AQ8120"/>
    <mergeCell ref="AR8120:AS8121"/>
    <mergeCell ref="AT8120:AU8121"/>
    <mergeCell ref="AV8120:AW8121"/>
    <mergeCell ref="AX8120:AY8121"/>
    <mergeCell ref="AZ8120:AZ8121"/>
    <mergeCell ref="F8121:H8121"/>
    <mergeCell ref="X8121:AB8121"/>
    <mergeCell ref="AE8121:AI8121"/>
    <mergeCell ref="AJ8121:AL8121"/>
    <mergeCell ref="AN8121:AO8121"/>
    <mergeCell ref="AP8121:AQ8121"/>
    <mergeCell ref="A8122:A8123"/>
    <mergeCell ref="E8122:E8123"/>
    <mergeCell ref="F8122:H8122"/>
    <mergeCell ref="J8122:J8123"/>
    <mergeCell ref="K8122:L8123"/>
    <mergeCell ref="M8122:N8123"/>
    <mergeCell ref="O8122:P8123"/>
    <mergeCell ref="Q8122:R8123"/>
    <mergeCell ref="S8122:T8123"/>
    <mergeCell ref="U8122:V8123"/>
    <mergeCell ref="W8122:W8123"/>
    <mergeCell ref="X8122:AB8122"/>
    <mergeCell ref="AD8122:AI8122"/>
    <mergeCell ref="AJ8122:AL8122"/>
    <mergeCell ref="AN8122:AO8122"/>
    <mergeCell ref="AP8122:AQ8122"/>
    <mergeCell ref="AR8122:AS8123"/>
    <mergeCell ref="AT8122:AU8123"/>
    <mergeCell ref="AV8122:AW8123"/>
    <mergeCell ref="AX8122:AY8123"/>
    <mergeCell ref="AZ8122:AZ8123"/>
    <mergeCell ref="F8123:H8123"/>
    <mergeCell ref="X8123:AB8123"/>
    <mergeCell ref="AE8123:AI8123"/>
    <mergeCell ref="AJ8123:AL8123"/>
    <mergeCell ref="AN8123:AO8123"/>
    <mergeCell ref="AP8123:AQ8123"/>
    <mergeCell ref="A8124:A8125"/>
    <mergeCell ref="E8124:E8125"/>
    <mergeCell ref="F8124:H8124"/>
    <mergeCell ref="J8124:J8125"/>
    <mergeCell ref="K8124:L8125"/>
    <mergeCell ref="M8124:N8125"/>
    <mergeCell ref="O8124:P8125"/>
    <mergeCell ref="Q8124:R8125"/>
    <mergeCell ref="S8124:T8125"/>
    <mergeCell ref="U8124:V8125"/>
    <mergeCell ref="W8124:W8125"/>
    <mergeCell ref="X8124:AB8124"/>
    <mergeCell ref="AD8124:AI8124"/>
    <mergeCell ref="AJ8124:AL8124"/>
    <mergeCell ref="AN8124:AO8124"/>
    <mergeCell ref="AP8124:AQ8124"/>
    <mergeCell ref="AR8124:AS8125"/>
    <mergeCell ref="AT8124:AU8125"/>
    <mergeCell ref="AV8124:AW8125"/>
    <mergeCell ref="AX8124:AY8125"/>
    <mergeCell ref="AZ8124:AZ8125"/>
    <mergeCell ref="F8125:H8125"/>
    <mergeCell ref="X8125:AB8125"/>
    <mergeCell ref="AE8125:AI8125"/>
    <mergeCell ref="AJ8125:AL8125"/>
    <mergeCell ref="AN8125:AO8125"/>
    <mergeCell ref="AP8125:AQ8125"/>
    <mergeCell ref="A8126:A8127"/>
    <mergeCell ref="E8126:E8127"/>
    <mergeCell ref="F8126:H8126"/>
    <mergeCell ref="J8126:J8127"/>
    <mergeCell ref="K8126:L8127"/>
    <mergeCell ref="M8126:N8127"/>
    <mergeCell ref="O8126:P8127"/>
    <mergeCell ref="Q8126:R8127"/>
    <mergeCell ref="S8126:T8127"/>
    <mergeCell ref="U8126:V8127"/>
    <mergeCell ref="W8126:W8127"/>
    <mergeCell ref="X8126:AB8126"/>
    <mergeCell ref="AD8126:AI8126"/>
    <mergeCell ref="AJ8126:AL8126"/>
    <mergeCell ref="AN8126:AO8126"/>
    <mergeCell ref="AP8126:AQ8126"/>
    <mergeCell ref="AR8126:AS8127"/>
    <mergeCell ref="AT8126:AU8127"/>
    <mergeCell ref="AV8126:AW8127"/>
    <mergeCell ref="AX8126:AY8127"/>
    <mergeCell ref="AZ8126:AZ8127"/>
    <mergeCell ref="F8127:H8127"/>
    <mergeCell ref="X8127:AB8127"/>
    <mergeCell ref="AE8127:AI8127"/>
    <mergeCell ref="AJ8127:AL8127"/>
    <mergeCell ref="AN8127:AO8127"/>
    <mergeCell ref="AP8127:AQ8127"/>
    <mergeCell ref="A8128:A8129"/>
    <mergeCell ref="E8128:E8129"/>
    <mergeCell ref="F8128:H8128"/>
    <mergeCell ref="J8128:J8129"/>
    <mergeCell ref="K8128:L8129"/>
    <mergeCell ref="M8128:N8129"/>
    <mergeCell ref="O8128:P8129"/>
    <mergeCell ref="Q8128:R8129"/>
    <mergeCell ref="S8128:T8129"/>
    <mergeCell ref="U8128:V8129"/>
    <mergeCell ref="W8128:W8129"/>
    <mergeCell ref="X8128:AB8128"/>
    <mergeCell ref="AD8128:AI8128"/>
    <mergeCell ref="AJ8128:AL8128"/>
    <mergeCell ref="AN8128:AO8128"/>
    <mergeCell ref="AP8128:AQ8128"/>
    <mergeCell ref="AR8128:AS8129"/>
    <mergeCell ref="AT8128:AU8129"/>
    <mergeCell ref="AV8128:AW8129"/>
    <mergeCell ref="AX8128:AY8129"/>
    <mergeCell ref="AZ8128:AZ8129"/>
    <mergeCell ref="F8129:H8129"/>
    <mergeCell ref="X8129:AB8129"/>
    <mergeCell ref="AE8129:AI8129"/>
    <mergeCell ref="AJ8129:AL8129"/>
    <mergeCell ref="AN8129:AO8129"/>
    <mergeCell ref="AP8129:AQ8129"/>
    <mergeCell ref="A8130:A8131"/>
    <mergeCell ref="E8130:E8131"/>
    <mergeCell ref="F8130:H8130"/>
    <mergeCell ref="J8130:J8131"/>
    <mergeCell ref="K8130:L8131"/>
    <mergeCell ref="M8130:N8131"/>
    <mergeCell ref="O8130:P8131"/>
    <mergeCell ref="Q8130:R8131"/>
    <mergeCell ref="S8130:T8131"/>
    <mergeCell ref="U8130:V8131"/>
    <mergeCell ref="W8130:W8131"/>
    <mergeCell ref="X8130:AB8130"/>
    <mergeCell ref="AD8130:AI8130"/>
    <mergeCell ref="AJ8130:AL8130"/>
    <mergeCell ref="AN8130:AO8130"/>
    <mergeCell ref="AP8130:AQ8130"/>
    <mergeCell ref="AR8130:AS8131"/>
    <mergeCell ref="AT8130:AU8131"/>
    <mergeCell ref="AV8130:AW8131"/>
    <mergeCell ref="AX8130:AY8131"/>
    <mergeCell ref="AZ8130:AZ8131"/>
    <mergeCell ref="F8131:H8131"/>
    <mergeCell ref="X8131:AB8131"/>
    <mergeCell ref="AE8131:AI8131"/>
    <mergeCell ref="AJ8131:AL8131"/>
    <mergeCell ref="AN8131:AO8131"/>
    <mergeCell ref="AP8131:AQ8131"/>
    <mergeCell ref="A8132:A8133"/>
    <mergeCell ref="E8132:E8133"/>
    <mergeCell ref="F8132:H8132"/>
    <mergeCell ref="J8132:J8133"/>
    <mergeCell ref="K8132:L8133"/>
    <mergeCell ref="M8132:N8133"/>
    <mergeCell ref="O8132:P8133"/>
    <mergeCell ref="Q8132:R8133"/>
    <mergeCell ref="S8132:T8133"/>
    <mergeCell ref="U8132:V8133"/>
    <mergeCell ref="W8132:W8133"/>
    <mergeCell ref="X8132:AB8132"/>
    <mergeCell ref="AD8132:AI8132"/>
    <mergeCell ref="AJ8132:AL8132"/>
    <mergeCell ref="AN8132:AO8132"/>
    <mergeCell ref="AP8132:AQ8132"/>
    <mergeCell ref="AR8132:AS8133"/>
    <mergeCell ref="AT8132:AU8133"/>
    <mergeCell ref="AV8132:AW8133"/>
    <mergeCell ref="AX8132:AY8133"/>
    <mergeCell ref="AZ8132:AZ8133"/>
    <mergeCell ref="F8133:H8133"/>
    <mergeCell ref="X8133:AB8133"/>
    <mergeCell ref="AE8133:AI8133"/>
    <mergeCell ref="AJ8133:AL8133"/>
    <mergeCell ref="AN8133:AO8133"/>
    <mergeCell ref="AP8133:AQ8133"/>
    <mergeCell ref="A8134:A8135"/>
    <mergeCell ref="E8134:E8135"/>
    <mergeCell ref="F8134:H8134"/>
    <mergeCell ref="J8134:J8135"/>
    <mergeCell ref="K8134:L8135"/>
    <mergeCell ref="M8134:N8135"/>
    <mergeCell ref="O8134:P8135"/>
    <mergeCell ref="Q8134:R8135"/>
    <mergeCell ref="S8134:T8135"/>
    <mergeCell ref="U8134:V8135"/>
    <mergeCell ref="W8134:W8135"/>
    <mergeCell ref="X8134:AB8134"/>
    <mergeCell ref="AD8134:AI8134"/>
    <mergeCell ref="AJ8134:AL8134"/>
    <mergeCell ref="AN8134:AO8134"/>
    <mergeCell ref="AP8134:AQ8134"/>
    <mergeCell ref="AR8134:AS8135"/>
    <mergeCell ref="AT8134:AU8135"/>
    <mergeCell ref="AV8134:AW8135"/>
    <mergeCell ref="AX8134:AY8135"/>
    <mergeCell ref="AZ8134:AZ8135"/>
    <mergeCell ref="F8135:H8135"/>
    <mergeCell ref="X8135:AB8135"/>
    <mergeCell ref="AE8135:AI8135"/>
    <mergeCell ref="AJ8135:AL8135"/>
    <mergeCell ref="AN8135:AO8135"/>
    <mergeCell ref="AP8135:AQ8135"/>
    <mergeCell ref="A8136:A8137"/>
    <mergeCell ref="E8136:E8137"/>
    <mergeCell ref="F8136:H8136"/>
    <mergeCell ref="J8136:J8137"/>
    <mergeCell ref="K8136:L8137"/>
    <mergeCell ref="M8136:N8137"/>
    <mergeCell ref="O8136:P8137"/>
    <mergeCell ref="Q8136:R8137"/>
    <mergeCell ref="S8136:T8137"/>
    <mergeCell ref="U8136:V8137"/>
    <mergeCell ref="W8136:W8137"/>
    <mergeCell ref="X8136:AB8136"/>
    <mergeCell ref="AD8136:AI8136"/>
    <mergeCell ref="AJ8136:AL8136"/>
    <mergeCell ref="AN8136:AO8136"/>
    <mergeCell ref="AP8136:AQ8136"/>
    <mergeCell ref="AR8136:AS8137"/>
    <mergeCell ref="AT8136:AU8137"/>
    <mergeCell ref="AV8136:AW8137"/>
    <mergeCell ref="AX8136:AY8137"/>
    <mergeCell ref="AZ8136:AZ8137"/>
    <mergeCell ref="F8137:H8137"/>
    <mergeCell ref="X8137:AB8137"/>
    <mergeCell ref="AE8137:AI8137"/>
    <mergeCell ref="AJ8137:AL8137"/>
    <mergeCell ref="AN8137:AO8137"/>
    <mergeCell ref="AP8137:AQ8137"/>
    <mergeCell ref="A8138:A8139"/>
    <mergeCell ref="E8138:E8139"/>
    <mergeCell ref="F8138:H8138"/>
    <mergeCell ref="J8138:J8139"/>
    <mergeCell ref="K8138:L8139"/>
    <mergeCell ref="M8138:N8139"/>
    <mergeCell ref="O8138:P8139"/>
    <mergeCell ref="Q8138:R8139"/>
    <mergeCell ref="S8138:T8139"/>
    <mergeCell ref="U8138:V8139"/>
    <mergeCell ref="W8138:W8139"/>
    <mergeCell ref="X8138:AB8138"/>
    <mergeCell ref="AD8138:AI8138"/>
    <mergeCell ref="AJ8138:AL8138"/>
    <mergeCell ref="AN8138:AO8138"/>
    <mergeCell ref="AP8138:AQ8138"/>
    <mergeCell ref="AR8138:AS8139"/>
    <mergeCell ref="AT8138:AU8139"/>
    <mergeCell ref="AV8138:AW8139"/>
    <mergeCell ref="AX8138:AY8139"/>
    <mergeCell ref="AZ8138:AZ8139"/>
    <mergeCell ref="F8139:H8139"/>
    <mergeCell ref="X8139:AB8139"/>
    <mergeCell ref="AE8139:AI8139"/>
    <mergeCell ref="AJ8139:AL8139"/>
    <mergeCell ref="AN8139:AO8139"/>
    <mergeCell ref="AP8139:AQ8139"/>
    <mergeCell ref="A8144:A8145"/>
    <mergeCell ref="E8144:E8145"/>
    <mergeCell ref="F8144:H8144"/>
    <mergeCell ref="J8144:J8145"/>
    <mergeCell ref="K8144:L8145"/>
    <mergeCell ref="M8144:N8145"/>
    <mergeCell ref="O8144:P8145"/>
    <mergeCell ref="Q8144:R8145"/>
    <mergeCell ref="S8144:T8145"/>
    <mergeCell ref="U8144:V8145"/>
    <mergeCell ref="W8144:W8145"/>
    <mergeCell ref="X8144:AB8144"/>
    <mergeCell ref="AD8144:AI8144"/>
    <mergeCell ref="AJ8144:AL8144"/>
    <mergeCell ref="AN8144:AO8144"/>
    <mergeCell ref="AP8144:AQ8144"/>
    <mergeCell ref="AR8144:AS8145"/>
    <mergeCell ref="AT8144:AU8145"/>
    <mergeCell ref="AV8144:AW8145"/>
    <mergeCell ref="AX8144:AY8145"/>
    <mergeCell ref="AZ8144:AZ8145"/>
    <mergeCell ref="F8145:H8145"/>
    <mergeCell ref="X8145:AB8145"/>
    <mergeCell ref="AE8145:AI8145"/>
    <mergeCell ref="AJ8145:AL8145"/>
    <mergeCell ref="AN8145:AO8145"/>
    <mergeCell ref="AP8145:AQ8145"/>
    <mergeCell ref="A8146:A8147"/>
    <mergeCell ref="E8146:E8147"/>
    <mergeCell ref="F8146:H8146"/>
    <mergeCell ref="J8146:J8147"/>
    <mergeCell ref="K8146:L8147"/>
    <mergeCell ref="M8146:N8147"/>
    <mergeCell ref="O8146:P8147"/>
    <mergeCell ref="Q8146:R8147"/>
    <mergeCell ref="S8146:T8147"/>
    <mergeCell ref="U8146:V8147"/>
    <mergeCell ref="W8146:W8147"/>
    <mergeCell ref="X8146:AB8146"/>
    <mergeCell ref="AD8146:AI8146"/>
    <mergeCell ref="AJ8146:AL8146"/>
    <mergeCell ref="AN8146:AO8146"/>
    <mergeCell ref="AP8146:AQ8146"/>
    <mergeCell ref="AR8146:AS8147"/>
    <mergeCell ref="AT8146:AU8147"/>
    <mergeCell ref="AV8146:AW8147"/>
    <mergeCell ref="AX8146:AY8147"/>
    <mergeCell ref="AZ8146:AZ8147"/>
    <mergeCell ref="F8147:H8147"/>
    <mergeCell ref="X8147:AB8147"/>
    <mergeCell ref="AE8147:AI8147"/>
    <mergeCell ref="AJ8147:AL8147"/>
    <mergeCell ref="AN8147:AO8147"/>
    <mergeCell ref="AP8147:AQ8147"/>
    <mergeCell ref="A8148:A8149"/>
    <mergeCell ref="E8148:E8149"/>
    <mergeCell ref="F8148:H8148"/>
    <mergeCell ref="J8148:J8149"/>
    <mergeCell ref="K8148:L8149"/>
    <mergeCell ref="M8148:N8149"/>
    <mergeCell ref="O8148:P8149"/>
    <mergeCell ref="Q8148:R8149"/>
    <mergeCell ref="S8148:T8149"/>
    <mergeCell ref="U8148:V8149"/>
    <mergeCell ref="W8148:W8149"/>
    <mergeCell ref="X8148:AB8148"/>
    <mergeCell ref="AD8148:AI8148"/>
    <mergeCell ref="AJ8148:AL8148"/>
    <mergeCell ref="AN8148:AO8148"/>
    <mergeCell ref="AP8148:AQ8148"/>
    <mergeCell ref="AR8148:AS8149"/>
    <mergeCell ref="AT8148:AU8149"/>
    <mergeCell ref="AV8148:AW8149"/>
    <mergeCell ref="AX8148:AY8149"/>
    <mergeCell ref="AZ8148:AZ8149"/>
    <mergeCell ref="F8149:H8149"/>
    <mergeCell ref="X8149:AB8149"/>
    <mergeCell ref="AE8149:AI8149"/>
    <mergeCell ref="AJ8149:AL8149"/>
    <mergeCell ref="AN8149:AO8149"/>
    <mergeCell ref="AP8149:AQ8149"/>
    <mergeCell ref="A8150:A8151"/>
    <mergeCell ref="E8150:E8151"/>
    <mergeCell ref="F8150:H8150"/>
    <mergeCell ref="J8150:J8151"/>
    <mergeCell ref="K8150:L8151"/>
    <mergeCell ref="M8150:N8151"/>
    <mergeCell ref="O8150:P8151"/>
    <mergeCell ref="Q8150:R8151"/>
    <mergeCell ref="S8150:T8151"/>
    <mergeCell ref="U8150:V8151"/>
    <mergeCell ref="W8150:W8151"/>
    <mergeCell ref="X8150:AB8150"/>
    <mergeCell ref="AD8150:AI8150"/>
    <mergeCell ref="AJ8150:AL8150"/>
    <mergeCell ref="AN8150:AO8150"/>
    <mergeCell ref="AP8150:AQ8150"/>
    <mergeCell ref="AR8150:AS8151"/>
    <mergeCell ref="AT8150:AU8151"/>
    <mergeCell ref="AV8150:AW8151"/>
    <mergeCell ref="AX8150:AY8151"/>
    <mergeCell ref="AZ8150:AZ8151"/>
    <mergeCell ref="F8151:H8151"/>
    <mergeCell ref="X8151:AB8151"/>
    <mergeCell ref="AE8151:AI8151"/>
    <mergeCell ref="AJ8151:AL8151"/>
    <mergeCell ref="AN8151:AO8151"/>
    <mergeCell ref="AP8151:AQ8151"/>
    <mergeCell ref="A8152:A8153"/>
    <mergeCell ref="E8152:E8153"/>
    <mergeCell ref="F8152:H8152"/>
    <mergeCell ref="J8152:J8153"/>
    <mergeCell ref="K8152:L8153"/>
    <mergeCell ref="M8152:N8153"/>
    <mergeCell ref="O8152:P8153"/>
    <mergeCell ref="Q8152:R8153"/>
    <mergeCell ref="S8152:T8153"/>
    <mergeCell ref="U8152:V8153"/>
    <mergeCell ref="W8152:W8153"/>
    <mergeCell ref="X8152:AB8152"/>
    <mergeCell ref="AD8152:AI8152"/>
    <mergeCell ref="AJ8152:AL8152"/>
    <mergeCell ref="AN8152:AO8152"/>
    <mergeCell ref="AP8152:AQ8152"/>
    <mergeCell ref="AR8152:AS8153"/>
    <mergeCell ref="AT8152:AU8153"/>
    <mergeCell ref="AV8152:AW8153"/>
    <mergeCell ref="AX8152:AY8153"/>
    <mergeCell ref="AZ8152:AZ8153"/>
    <mergeCell ref="F8153:H8153"/>
    <mergeCell ref="X8153:AB8153"/>
    <mergeCell ref="AE8153:AI8153"/>
    <mergeCell ref="AJ8153:AL8153"/>
    <mergeCell ref="AN8153:AO8153"/>
    <mergeCell ref="AP8153:AQ8153"/>
    <mergeCell ref="A8154:A8155"/>
    <mergeCell ref="E8154:E8155"/>
    <mergeCell ref="F8154:H8154"/>
    <mergeCell ref="J8154:J8155"/>
    <mergeCell ref="K8154:L8155"/>
    <mergeCell ref="M8154:N8155"/>
    <mergeCell ref="O8154:P8155"/>
    <mergeCell ref="Q8154:R8155"/>
    <mergeCell ref="S8154:T8155"/>
    <mergeCell ref="U8154:V8155"/>
    <mergeCell ref="W8154:W8155"/>
    <mergeCell ref="X8154:AB8154"/>
    <mergeCell ref="AD8154:AI8154"/>
    <mergeCell ref="AJ8154:AL8154"/>
    <mergeCell ref="AN8154:AO8154"/>
    <mergeCell ref="AP8154:AQ8154"/>
    <mergeCell ref="AR8154:AS8155"/>
    <mergeCell ref="AT8154:AU8155"/>
    <mergeCell ref="AV8154:AW8155"/>
    <mergeCell ref="AX8154:AY8155"/>
    <mergeCell ref="AZ8154:AZ8155"/>
    <mergeCell ref="F8155:H8155"/>
    <mergeCell ref="X8155:AB8155"/>
    <mergeCell ref="AE8155:AI8155"/>
    <mergeCell ref="AJ8155:AL8155"/>
    <mergeCell ref="AN8155:AO8155"/>
    <mergeCell ref="AP8155:AQ8155"/>
    <mergeCell ref="A8156:A8157"/>
    <mergeCell ref="E8156:E8157"/>
    <mergeCell ref="F8156:H8156"/>
    <mergeCell ref="J8156:J8157"/>
    <mergeCell ref="K8156:L8157"/>
    <mergeCell ref="M8156:N8157"/>
    <mergeCell ref="O8156:P8157"/>
    <mergeCell ref="Q8156:R8157"/>
    <mergeCell ref="S8156:T8157"/>
    <mergeCell ref="U8156:V8157"/>
    <mergeCell ref="W8156:W8157"/>
    <mergeCell ref="X8156:AB8156"/>
    <mergeCell ref="AD8156:AI8156"/>
    <mergeCell ref="AJ8156:AL8156"/>
    <mergeCell ref="AN8156:AO8156"/>
    <mergeCell ref="AP8156:AQ8156"/>
    <mergeCell ref="AR8156:AS8157"/>
    <mergeCell ref="AT8156:AU8157"/>
    <mergeCell ref="AV8156:AW8157"/>
    <mergeCell ref="AX8156:AY8157"/>
    <mergeCell ref="AZ8156:AZ8157"/>
    <mergeCell ref="F8157:H8157"/>
    <mergeCell ref="X8157:AB8157"/>
    <mergeCell ref="AE8157:AI8157"/>
    <mergeCell ref="AJ8157:AL8157"/>
    <mergeCell ref="AN8157:AO8157"/>
    <mergeCell ref="AP8157:AQ8157"/>
    <mergeCell ref="A8158:A8159"/>
    <mergeCell ref="E8158:E8159"/>
    <mergeCell ref="F8158:H8158"/>
    <mergeCell ref="J8158:J8159"/>
    <mergeCell ref="K8158:L8159"/>
    <mergeCell ref="M8158:N8159"/>
    <mergeCell ref="O8158:P8159"/>
    <mergeCell ref="Q8158:R8159"/>
    <mergeCell ref="S8158:T8159"/>
    <mergeCell ref="U8158:V8159"/>
    <mergeCell ref="W8158:W8159"/>
    <mergeCell ref="X8158:AB8158"/>
    <mergeCell ref="AD8158:AI8158"/>
    <mergeCell ref="AJ8158:AL8158"/>
    <mergeCell ref="AN8158:AO8158"/>
    <mergeCell ref="AP8158:AQ8158"/>
    <mergeCell ref="AR8158:AS8159"/>
    <mergeCell ref="AT8158:AU8159"/>
    <mergeCell ref="AV8158:AW8159"/>
    <mergeCell ref="AX8158:AY8159"/>
    <mergeCell ref="AZ8158:AZ8159"/>
    <mergeCell ref="F8159:H8159"/>
    <mergeCell ref="X8159:AB8159"/>
    <mergeCell ref="AE8159:AI8159"/>
    <mergeCell ref="AJ8159:AL8159"/>
    <mergeCell ref="AN8159:AO8159"/>
    <mergeCell ref="AP8159:AQ8159"/>
    <mergeCell ref="A8160:A8161"/>
    <mergeCell ref="E8160:E8161"/>
    <mergeCell ref="F8160:H8160"/>
    <mergeCell ref="J8160:J8161"/>
    <mergeCell ref="K8160:L8161"/>
    <mergeCell ref="M8160:N8161"/>
    <mergeCell ref="O8160:P8161"/>
    <mergeCell ref="Q8160:R8161"/>
    <mergeCell ref="S8160:T8161"/>
    <mergeCell ref="U8160:V8161"/>
    <mergeCell ref="W8160:W8161"/>
    <mergeCell ref="X8160:AB8160"/>
    <mergeCell ref="AD8160:AI8160"/>
    <mergeCell ref="AJ8160:AL8160"/>
    <mergeCell ref="AN8160:AO8160"/>
    <mergeCell ref="AP8160:AQ8160"/>
    <mergeCell ref="AR8160:AS8161"/>
    <mergeCell ref="AT8160:AU8161"/>
    <mergeCell ref="AV8160:AW8161"/>
    <mergeCell ref="AX8160:AY8161"/>
    <mergeCell ref="AZ8160:AZ8161"/>
    <mergeCell ref="F8161:H8161"/>
    <mergeCell ref="X8161:AB8161"/>
    <mergeCell ref="AE8161:AI8161"/>
    <mergeCell ref="AJ8161:AL8161"/>
    <mergeCell ref="AN8161:AO8161"/>
    <mergeCell ref="AP8161:AQ8161"/>
    <mergeCell ref="A8162:A8163"/>
    <mergeCell ref="E8162:E8163"/>
    <mergeCell ref="F8162:H8162"/>
    <mergeCell ref="J8162:J8163"/>
    <mergeCell ref="K8162:L8163"/>
    <mergeCell ref="M8162:N8163"/>
    <mergeCell ref="O8162:P8163"/>
    <mergeCell ref="Q8162:R8163"/>
    <mergeCell ref="S8162:T8163"/>
    <mergeCell ref="U8162:V8163"/>
    <mergeCell ref="W8162:W8163"/>
    <mergeCell ref="X8162:AB8162"/>
    <mergeCell ref="AD8162:AI8162"/>
    <mergeCell ref="AJ8162:AL8162"/>
    <mergeCell ref="AN8162:AO8162"/>
    <mergeCell ref="AP8162:AQ8162"/>
    <mergeCell ref="AR8162:AS8163"/>
    <mergeCell ref="AT8162:AU8163"/>
    <mergeCell ref="AV8162:AW8163"/>
    <mergeCell ref="AX8162:AY8163"/>
    <mergeCell ref="AZ8162:AZ8163"/>
    <mergeCell ref="F8163:H8163"/>
    <mergeCell ref="X8163:AB8163"/>
    <mergeCell ref="AE8163:AI8163"/>
    <mergeCell ref="AJ8163:AL8163"/>
    <mergeCell ref="AN8163:AO8163"/>
    <mergeCell ref="AP8163:AQ8163"/>
    <mergeCell ref="A8164:A8165"/>
    <mergeCell ref="E8164:E8165"/>
    <mergeCell ref="F8164:H8164"/>
    <mergeCell ref="J8164:J8165"/>
    <mergeCell ref="K8164:L8165"/>
    <mergeCell ref="M8164:N8165"/>
    <mergeCell ref="O8164:P8165"/>
    <mergeCell ref="Q8164:R8165"/>
    <mergeCell ref="S8164:T8165"/>
    <mergeCell ref="U8164:V8165"/>
    <mergeCell ref="W8164:W8165"/>
    <mergeCell ref="X8164:AB8164"/>
    <mergeCell ref="AD8164:AI8164"/>
    <mergeCell ref="AJ8164:AL8164"/>
    <mergeCell ref="AN8164:AO8164"/>
    <mergeCell ref="AP8164:AQ8164"/>
    <mergeCell ref="AR8164:AS8165"/>
    <mergeCell ref="AT8164:AU8165"/>
    <mergeCell ref="AV8164:AW8165"/>
    <mergeCell ref="AX8164:AY8165"/>
    <mergeCell ref="AZ8164:AZ8165"/>
    <mergeCell ref="F8165:H8165"/>
    <mergeCell ref="X8165:AB8165"/>
    <mergeCell ref="AE8165:AI8165"/>
    <mergeCell ref="AJ8165:AL8165"/>
    <mergeCell ref="AN8165:AO8165"/>
    <mergeCell ref="AP8165:AQ8165"/>
    <mergeCell ref="A8166:A8167"/>
    <mergeCell ref="E8166:E8167"/>
    <mergeCell ref="F8166:H8166"/>
    <mergeCell ref="J8166:J8167"/>
    <mergeCell ref="K8166:L8167"/>
    <mergeCell ref="M8166:N8167"/>
    <mergeCell ref="O8166:P8167"/>
    <mergeCell ref="Q8166:R8167"/>
    <mergeCell ref="S8166:T8167"/>
    <mergeCell ref="U8166:V8167"/>
    <mergeCell ref="W8166:W8167"/>
    <mergeCell ref="X8166:AB8166"/>
    <mergeCell ref="AD8166:AI8166"/>
    <mergeCell ref="AJ8166:AL8166"/>
    <mergeCell ref="AN8166:AO8166"/>
    <mergeCell ref="AP8166:AQ8166"/>
    <mergeCell ref="AR8166:AS8167"/>
    <mergeCell ref="AT8166:AU8167"/>
    <mergeCell ref="AV8166:AW8167"/>
    <mergeCell ref="AX8166:AY8167"/>
    <mergeCell ref="AZ8166:AZ8167"/>
    <mergeCell ref="F8167:H8167"/>
    <mergeCell ref="X8167:AB8167"/>
    <mergeCell ref="AE8167:AI8167"/>
    <mergeCell ref="AJ8167:AL8167"/>
    <mergeCell ref="AN8167:AO8167"/>
    <mergeCell ref="AP8167:AQ8167"/>
    <mergeCell ref="A8168:A8169"/>
    <mergeCell ref="E8168:E8169"/>
    <mergeCell ref="F8168:H8168"/>
    <mergeCell ref="J8168:J8169"/>
    <mergeCell ref="K8168:L8169"/>
    <mergeCell ref="M8168:N8169"/>
    <mergeCell ref="O8168:P8169"/>
    <mergeCell ref="Q8168:R8169"/>
    <mergeCell ref="S8168:T8169"/>
    <mergeCell ref="U8168:V8169"/>
    <mergeCell ref="W8168:W8169"/>
    <mergeCell ref="X8168:AB8168"/>
    <mergeCell ref="AD8168:AI8168"/>
    <mergeCell ref="AJ8168:AL8168"/>
    <mergeCell ref="AN8168:AO8168"/>
    <mergeCell ref="AP8168:AQ8168"/>
    <mergeCell ref="AR8168:AS8169"/>
    <mergeCell ref="AT8168:AU8169"/>
    <mergeCell ref="AV8168:AW8169"/>
    <mergeCell ref="AX8168:AY8169"/>
    <mergeCell ref="AZ8168:AZ8169"/>
    <mergeCell ref="F8169:H8169"/>
    <mergeCell ref="X8169:AB8169"/>
    <mergeCell ref="AE8169:AI8169"/>
    <mergeCell ref="AJ8169:AL8169"/>
    <mergeCell ref="AN8169:AO8169"/>
    <mergeCell ref="AP8169:AQ8169"/>
    <mergeCell ref="A8170:A8171"/>
    <mergeCell ref="E8170:E8171"/>
    <mergeCell ref="F8170:H8170"/>
    <mergeCell ref="J8170:J8171"/>
    <mergeCell ref="K8170:L8171"/>
    <mergeCell ref="M8170:N8171"/>
    <mergeCell ref="O8170:P8171"/>
    <mergeCell ref="Q8170:R8171"/>
    <mergeCell ref="S8170:T8171"/>
    <mergeCell ref="U8170:V8171"/>
    <mergeCell ref="W8170:W8171"/>
    <mergeCell ref="X8170:AB8170"/>
    <mergeCell ref="AD8170:AI8170"/>
    <mergeCell ref="AJ8170:AL8170"/>
    <mergeCell ref="AN8170:AO8170"/>
    <mergeCell ref="AP8170:AQ8170"/>
    <mergeCell ref="AR8170:AS8171"/>
    <mergeCell ref="AT8170:AU8171"/>
    <mergeCell ref="AV8170:AW8171"/>
    <mergeCell ref="AX8170:AY8171"/>
    <mergeCell ref="AZ8170:AZ8171"/>
    <mergeCell ref="F8171:H8171"/>
    <mergeCell ref="X8171:AB8171"/>
    <mergeCell ref="AE8171:AI8171"/>
    <mergeCell ref="AJ8171:AL8171"/>
    <mergeCell ref="AN8171:AO8171"/>
    <mergeCell ref="AP8171:AQ8171"/>
    <mergeCell ref="A8172:A8173"/>
    <mergeCell ref="E8172:E8173"/>
    <mergeCell ref="F8172:H8172"/>
    <mergeCell ref="J8172:J8173"/>
    <mergeCell ref="K8172:L8173"/>
    <mergeCell ref="M8172:N8173"/>
    <mergeCell ref="O8172:P8173"/>
    <mergeCell ref="Q8172:R8173"/>
    <mergeCell ref="S8172:T8173"/>
    <mergeCell ref="U8172:V8173"/>
    <mergeCell ref="W8172:W8173"/>
    <mergeCell ref="X8172:AB8172"/>
    <mergeCell ref="AD8172:AI8172"/>
    <mergeCell ref="AJ8172:AL8172"/>
    <mergeCell ref="AN8172:AO8172"/>
    <mergeCell ref="AP8172:AQ8172"/>
    <mergeCell ref="AR8172:AS8173"/>
    <mergeCell ref="AT8172:AU8173"/>
    <mergeCell ref="AV8172:AW8173"/>
    <mergeCell ref="AX8172:AY8173"/>
    <mergeCell ref="AZ8172:AZ8173"/>
    <mergeCell ref="F8173:H8173"/>
    <mergeCell ref="X8173:AB8173"/>
    <mergeCell ref="AE8173:AI8173"/>
    <mergeCell ref="AJ8173:AL8173"/>
    <mergeCell ref="AN8173:AO8173"/>
    <mergeCell ref="AP8173:AQ8173"/>
    <mergeCell ref="A8174:A8175"/>
    <mergeCell ref="E8174:E8175"/>
    <mergeCell ref="F8174:H8174"/>
    <mergeCell ref="J8174:J8175"/>
    <mergeCell ref="K8174:L8175"/>
    <mergeCell ref="M8174:N8175"/>
    <mergeCell ref="O8174:P8175"/>
    <mergeCell ref="Q8174:R8175"/>
    <mergeCell ref="S8174:T8175"/>
    <mergeCell ref="U8174:V8175"/>
    <mergeCell ref="W8174:W8175"/>
    <mergeCell ref="X8174:AB8174"/>
    <mergeCell ref="AD8174:AI8174"/>
    <mergeCell ref="AJ8174:AL8174"/>
    <mergeCell ref="AN8174:AO8174"/>
    <mergeCell ref="AP8174:AQ8174"/>
    <mergeCell ref="AR8174:AS8175"/>
    <mergeCell ref="AT8174:AU8175"/>
    <mergeCell ref="AV8174:AW8175"/>
    <mergeCell ref="AX8174:AY8175"/>
    <mergeCell ref="AZ8174:AZ8175"/>
    <mergeCell ref="F8175:H8175"/>
    <mergeCell ref="X8175:AB8175"/>
    <mergeCell ref="AE8175:AI8175"/>
    <mergeCell ref="AJ8175:AL8175"/>
    <mergeCell ref="AN8175:AO8175"/>
    <mergeCell ref="AP8175:AQ8175"/>
    <mergeCell ref="A8176:A8177"/>
    <mergeCell ref="E8176:E8177"/>
    <mergeCell ref="F8176:H8176"/>
    <mergeCell ref="J8176:J8177"/>
    <mergeCell ref="K8176:L8177"/>
    <mergeCell ref="M8176:N8177"/>
    <mergeCell ref="O8176:P8177"/>
    <mergeCell ref="Q8176:R8177"/>
    <mergeCell ref="S8176:T8177"/>
    <mergeCell ref="U8176:V8177"/>
    <mergeCell ref="W8176:W8177"/>
    <mergeCell ref="X8176:AB8176"/>
    <mergeCell ref="AD8176:AI8176"/>
    <mergeCell ref="AJ8176:AL8176"/>
    <mergeCell ref="AN8176:AO8176"/>
    <mergeCell ref="AP8176:AQ8176"/>
    <mergeCell ref="AR8176:AS8177"/>
    <mergeCell ref="AT8176:AU8177"/>
    <mergeCell ref="AV8176:AW8177"/>
    <mergeCell ref="AX8176:AY8177"/>
    <mergeCell ref="AZ8176:AZ8177"/>
    <mergeCell ref="F8177:H8177"/>
    <mergeCell ref="X8177:AB8177"/>
    <mergeCell ref="AE8177:AI8177"/>
    <mergeCell ref="AJ8177:AL8177"/>
    <mergeCell ref="AN8177:AO8177"/>
    <mergeCell ref="AP8177:AQ8177"/>
    <mergeCell ref="A8178:A8179"/>
    <mergeCell ref="E8178:E8179"/>
    <mergeCell ref="F8178:H8178"/>
    <mergeCell ref="J8178:J8179"/>
    <mergeCell ref="K8178:L8179"/>
    <mergeCell ref="M8178:N8179"/>
    <mergeCell ref="O8178:P8179"/>
    <mergeCell ref="Q8178:R8179"/>
    <mergeCell ref="S8178:T8179"/>
    <mergeCell ref="U8178:V8179"/>
    <mergeCell ref="W8178:W8179"/>
    <mergeCell ref="X8178:AB8178"/>
    <mergeCell ref="AD8178:AI8178"/>
    <mergeCell ref="AJ8178:AL8178"/>
    <mergeCell ref="AN8178:AO8178"/>
    <mergeCell ref="AP8178:AQ8178"/>
    <mergeCell ref="AR8178:AS8179"/>
    <mergeCell ref="AT8178:AU8179"/>
    <mergeCell ref="AV8178:AW8179"/>
    <mergeCell ref="AX8178:AY8179"/>
    <mergeCell ref="AZ8178:AZ8179"/>
    <mergeCell ref="F8179:H8179"/>
    <mergeCell ref="X8179:AB8179"/>
    <mergeCell ref="AE8179:AI8179"/>
    <mergeCell ref="AJ8179:AL8179"/>
    <mergeCell ref="AN8179:AO8179"/>
    <mergeCell ref="AP8179:AQ8179"/>
    <mergeCell ref="A8180:A8181"/>
    <mergeCell ref="E8180:E8181"/>
    <mergeCell ref="F8180:H8180"/>
    <mergeCell ref="J8180:J8181"/>
    <mergeCell ref="K8180:L8181"/>
    <mergeCell ref="M8180:N8181"/>
    <mergeCell ref="O8180:P8181"/>
    <mergeCell ref="Q8180:R8181"/>
    <mergeCell ref="S8180:T8181"/>
    <mergeCell ref="U8180:V8181"/>
    <mergeCell ref="W8180:W8181"/>
    <mergeCell ref="X8180:AB8180"/>
    <mergeCell ref="AD8180:AI8180"/>
    <mergeCell ref="AJ8180:AL8180"/>
    <mergeCell ref="AN8180:AO8180"/>
    <mergeCell ref="AP8180:AQ8180"/>
    <mergeCell ref="AR8180:AS8181"/>
    <mergeCell ref="AT8180:AU8181"/>
    <mergeCell ref="AV8180:AW8181"/>
    <mergeCell ref="AX8180:AY8181"/>
    <mergeCell ref="AZ8180:AZ8181"/>
    <mergeCell ref="F8181:H8181"/>
    <mergeCell ref="X8181:AB8181"/>
    <mergeCell ref="AE8181:AI8181"/>
    <mergeCell ref="AJ8181:AL8181"/>
    <mergeCell ref="AN8181:AO8181"/>
    <mergeCell ref="AP8181:AQ8181"/>
    <mergeCell ref="A8182:A8183"/>
    <mergeCell ref="E8182:E8183"/>
    <mergeCell ref="F8182:H8182"/>
    <mergeCell ref="J8182:J8183"/>
    <mergeCell ref="K8182:L8183"/>
    <mergeCell ref="M8182:N8183"/>
    <mergeCell ref="O8182:P8183"/>
    <mergeCell ref="Q8182:R8183"/>
    <mergeCell ref="S8182:T8183"/>
    <mergeCell ref="U8182:V8183"/>
    <mergeCell ref="W8182:W8183"/>
    <mergeCell ref="X8182:AB8182"/>
    <mergeCell ref="AD8182:AI8182"/>
    <mergeCell ref="AJ8182:AL8182"/>
    <mergeCell ref="AN8182:AO8182"/>
    <mergeCell ref="AP8182:AQ8182"/>
    <mergeCell ref="AR8182:AS8183"/>
    <mergeCell ref="AT8182:AU8183"/>
    <mergeCell ref="AV8182:AW8183"/>
    <mergeCell ref="AX8182:AY8183"/>
    <mergeCell ref="AZ8182:AZ8183"/>
    <mergeCell ref="F8183:H8183"/>
    <mergeCell ref="X8183:AB8183"/>
    <mergeCell ref="AE8183:AI8183"/>
    <mergeCell ref="AJ8183:AL8183"/>
    <mergeCell ref="AN8183:AO8183"/>
    <mergeCell ref="AP8183:AQ8183"/>
    <mergeCell ref="A8184:A8185"/>
    <mergeCell ref="E8184:E8185"/>
    <mergeCell ref="F8184:H8184"/>
    <mergeCell ref="J8184:J8185"/>
    <mergeCell ref="K8184:L8185"/>
    <mergeCell ref="M8184:N8185"/>
    <mergeCell ref="O8184:P8185"/>
    <mergeCell ref="Q8184:R8185"/>
    <mergeCell ref="S8184:T8185"/>
    <mergeCell ref="U8184:V8185"/>
    <mergeCell ref="W8184:W8185"/>
    <mergeCell ref="X8184:AB8184"/>
    <mergeCell ref="AD8184:AI8184"/>
    <mergeCell ref="AJ8184:AL8184"/>
    <mergeCell ref="AN8184:AO8184"/>
    <mergeCell ref="AP8184:AQ8184"/>
    <mergeCell ref="AR8184:AS8185"/>
    <mergeCell ref="AT8184:AU8185"/>
    <mergeCell ref="AV8184:AW8185"/>
    <mergeCell ref="AX8184:AY8185"/>
    <mergeCell ref="AZ8184:AZ8185"/>
    <mergeCell ref="F8185:H8185"/>
    <mergeCell ref="X8185:AB8185"/>
    <mergeCell ref="AE8185:AI8185"/>
    <mergeCell ref="AJ8185:AL8185"/>
    <mergeCell ref="AN8185:AO8185"/>
    <mergeCell ref="AP8185:AQ8185"/>
    <mergeCell ref="A8186:A8187"/>
    <mergeCell ref="E8186:E8187"/>
    <mergeCell ref="F8186:H8186"/>
    <mergeCell ref="J8186:J8187"/>
    <mergeCell ref="K8186:L8187"/>
    <mergeCell ref="M8186:N8187"/>
    <mergeCell ref="O8186:P8187"/>
    <mergeCell ref="Q8186:R8187"/>
    <mergeCell ref="S8186:T8187"/>
    <mergeCell ref="U8186:V8187"/>
    <mergeCell ref="W8186:W8187"/>
    <mergeCell ref="X8186:AB8186"/>
    <mergeCell ref="AD8186:AI8186"/>
    <mergeCell ref="AJ8186:AL8186"/>
    <mergeCell ref="AN8186:AO8186"/>
    <mergeCell ref="AP8186:AQ8186"/>
    <mergeCell ref="AR8186:AS8187"/>
    <mergeCell ref="AT8186:AU8187"/>
    <mergeCell ref="AV8186:AW8187"/>
    <mergeCell ref="AX8186:AY8187"/>
    <mergeCell ref="AZ8186:AZ8187"/>
    <mergeCell ref="F8187:H8187"/>
    <mergeCell ref="X8187:AB8187"/>
    <mergeCell ref="AE8187:AI8187"/>
    <mergeCell ref="AJ8187:AL8187"/>
    <mergeCell ref="AN8187:AO8187"/>
    <mergeCell ref="AP8187:AQ8187"/>
    <mergeCell ref="A8188:A8189"/>
    <mergeCell ref="E8188:E8189"/>
    <mergeCell ref="F8188:H8188"/>
    <mergeCell ref="J8188:J8189"/>
    <mergeCell ref="K8188:L8189"/>
    <mergeCell ref="M8188:N8189"/>
    <mergeCell ref="O8188:P8189"/>
    <mergeCell ref="Q8188:R8189"/>
    <mergeCell ref="S8188:T8189"/>
    <mergeCell ref="U8188:V8189"/>
    <mergeCell ref="W8188:W8189"/>
    <mergeCell ref="X8188:AB8188"/>
    <mergeCell ref="AD8188:AI8188"/>
    <mergeCell ref="AJ8188:AL8188"/>
    <mergeCell ref="AN8188:AO8188"/>
    <mergeCell ref="AP8188:AQ8188"/>
    <mergeCell ref="AR8188:AS8189"/>
    <mergeCell ref="AT8188:AU8189"/>
    <mergeCell ref="AV8188:AW8189"/>
    <mergeCell ref="AX8188:AY8189"/>
    <mergeCell ref="AZ8188:AZ8189"/>
    <mergeCell ref="F8189:H8189"/>
    <mergeCell ref="X8189:AB8189"/>
    <mergeCell ref="AE8189:AI8189"/>
    <mergeCell ref="AJ8189:AL8189"/>
    <mergeCell ref="AN8189:AO8189"/>
    <mergeCell ref="AP8189:AQ8189"/>
    <mergeCell ref="A8190:A8191"/>
    <mergeCell ref="E8190:E8191"/>
    <mergeCell ref="F8190:H8190"/>
    <mergeCell ref="J8190:J8191"/>
    <mergeCell ref="K8190:L8191"/>
    <mergeCell ref="M8190:N8191"/>
    <mergeCell ref="O8190:P8191"/>
    <mergeCell ref="Q8190:R8191"/>
    <mergeCell ref="S8190:T8191"/>
    <mergeCell ref="U8190:V8191"/>
    <mergeCell ref="W8190:W8191"/>
    <mergeCell ref="X8190:AB8190"/>
    <mergeCell ref="AD8190:AI8190"/>
    <mergeCell ref="AJ8190:AL8190"/>
    <mergeCell ref="AN8190:AO8190"/>
    <mergeCell ref="AP8190:AQ8190"/>
    <mergeCell ref="AR8190:AS8191"/>
    <mergeCell ref="AT8190:AU8191"/>
    <mergeCell ref="AV8190:AW8191"/>
    <mergeCell ref="AX8190:AY8191"/>
    <mergeCell ref="AZ8190:AZ8191"/>
    <mergeCell ref="F8191:H8191"/>
    <mergeCell ref="X8191:AB8191"/>
    <mergeCell ref="AE8191:AI8191"/>
    <mergeCell ref="AJ8191:AL8191"/>
    <mergeCell ref="AN8191:AO8191"/>
    <mergeCell ref="AP8191:AQ8191"/>
    <mergeCell ref="A8192:A8193"/>
    <mergeCell ref="E8192:E8193"/>
    <mergeCell ref="F8192:H8192"/>
    <mergeCell ref="J8192:J8193"/>
    <mergeCell ref="K8192:L8193"/>
    <mergeCell ref="M8192:N8193"/>
    <mergeCell ref="O8192:P8193"/>
    <mergeCell ref="Q8192:R8193"/>
    <mergeCell ref="S8192:T8193"/>
    <mergeCell ref="U8192:V8193"/>
    <mergeCell ref="W8192:W8193"/>
    <mergeCell ref="X8192:AB8192"/>
    <mergeCell ref="AD8192:AI8192"/>
    <mergeCell ref="AJ8192:AL8192"/>
    <mergeCell ref="AN8192:AO8192"/>
    <mergeCell ref="AP8192:AQ8192"/>
    <mergeCell ref="AR8192:AS8193"/>
    <mergeCell ref="AT8192:AU8193"/>
    <mergeCell ref="AV8192:AW8193"/>
    <mergeCell ref="AX8192:AY8193"/>
    <mergeCell ref="AZ8192:AZ8193"/>
    <mergeCell ref="F8193:H8193"/>
    <mergeCell ref="X8193:AB8193"/>
    <mergeCell ref="AE8193:AI8193"/>
    <mergeCell ref="AJ8193:AL8193"/>
    <mergeCell ref="AN8193:AO8193"/>
    <mergeCell ref="AP8193:AQ8193"/>
    <mergeCell ref="A8194:A8195"/>
    <mergeCell ref="E8194:E8195"/>
    <mergeCell ref="F8194:H8194"/>
    <mergeCell ref="J8194:J8195"/>
    <mergeCell ref="K8194:L8195"/>
    <mergeCell ref="M8194:N8195"/>
    <mergeCell ref="O8194:P8195"/>
    <mergeCell ref="Q8194:R8195"/>
    <mergeCell ref="S8194:T8195"/>
    <mergeCell ref="U8194:V8195"/>
    <mergeCell ref="W8194:W8195"/>
    <mergeCell ref="X8194:AB8194"/>
    <mergeCell ref="AD8194:AI8194"/>
    <mergeCell ref="AJ8194:AL8194"/>
    <mergeCell ref="AN8194:AO8194"/>
    <mergeCell ref="AP8194:AQ8194"/>
    <mergeCell ref="AR8194:AS8195"/>
    <mergeCell ref="AT8194:AU8195"/>
    <mergeCell ref="AV8194:AW8195"/>
    <mergeCell ref="AX8194:AY8195"/>
    <mergeCell ref="AZ8194:AZ8195"/>
    <mergeCell ref="F8195:H8195"/>
    <mergeCell ref="X8195:AB8195"/>
    <mergeCell ref="AE8195:AI8195"/>
    <mergeCell ref="AJ8195:AL8195"/>
    <mergeCell ref="AN8195:AO8195"/>
    <mergeCell ref="AP8195:AQ8195"/>
    <mergeCell ref="A8196:A8197"/>
    <mergeCell ref="E8196:E8197"/>
    <mergeCell ref="F8196:H8196"/>
    <mergeCell ref="J8196:J8197"/>
    <mergeCell ref="K8196:L8197"/>
    <mergeCell ref="M8196:N8197"/>
    <mergeCell ref="O8196:P8197"/>
    <mergeCell ref="Q8196:R8197"/>
    <mergeCell ref="S8196:T8197"/>
    <mergeCell ref="U8196:V8197"/>
    <mergeCell ref="W8196:W8197"/>
    <mergeCell ref="X8196:AB8196"/>
    <mergeCell ref="AD8196:AI8196"/>
    <mergeCell ref="AJ8196:AL8196"/>
    <mergeCell ref="AN8196:AO8196"/>
    <mergeCell ref="AP8196:AQ8196"/>
    <mergeCell ref="AR8196:AS8197"/>
    <mergeCell ref="AT8196:AU8197"/>
    <mergeCell ref="AV8196:AW8197"/>
    <mergeCell ref="AX8196:AY8197"/>
    <mergeCell ref="AZ8196:AZ8197"/>
    <mergeCell ref="F8197:H8197"/>
    <mergeCell ref="X8197:AB8197"/>
    <mergeCell ref="AE8197:AI8197"/>
    <mergeCell ref="AJ8197:AL8197"/>
    <mergeCell ref="AN8197:AO8197"/>
    <mergeCell ref="AP8197:AQ8197"/>
    <mergeCell ref="A8198:A8199"/>
    <mergeCell ref="E8198:E8199"/>
    <mergeCell ref="F8198:H8198"/>
    <mergeCell ref="J8198:J8199"/>
    <mergeCell ref="K8198:L8199"/>
    <mergeCell ref="M8198:N8199"/>
    <mergeCell ref="O8198:P8199"/>
    <mergeCell ref="Q8198:R8199"/>
    <mergeCell ref="S8198:T8199"/>
    <mergeCell ref="U8198:V8199"/>
    <mergeCell ref="W8198:W8199"/>
    <mergeCell ref="X8198:AB8198"/>
    <mergeCell ref="AD8198:AI8198"/>
    <mergeCell ref="AJ8198:AL8198"/>
    <mergeCell ref="AN8198:AO8198"/>
    <mergeCell ref="AP8198:AQ8198"/>
    <mergeCell ref="AR8198:AS8199"/>
    <mergeCell ref="AT8198:AU8199"/>
    <mergeCell ref="AV8198:AW8199"/>
    <mergeCell ref="AX8198:AY8199"/>
    <mergeCell ref="AZ8198:AZ8199"/>
    <mergeCell ref="F8199:H8199"/>
    <mergeCell ref="X8199:AB8199"/>
    <mergeCell ref="AE8199:AI8199"/>
    <mergeCell ref="AJ8199:AL8199"/>
    <mergeCell ref="AN8199:AO8199"/>
    <mergeCell ref="AP8199:AQ8199"/>
    <mergeCell ref="A8200:A8201"/>
    <mergeCell ref="E8200:E8201"/>
    <mergeCell ref="F8200:H8200"/>
    <mergeCell ref="J8200:J8201"/>
    <mergeCell ref="K8200:L8201"/>
    <mergeCell ref="M8200:N8201"/>
    <mergeCell ref="O8200:P8201"/>
    <mergeCell ref="Q8200:R8201"/>
    <mergeCell ref="S8200:T8201"/>
    <mergeCell ref="U8200:V8201"/>
    <mergeCell ref="W8200:W8201"/>
    <mergeCell ref="X8200:AB8200"/>
    <mergeCell ref="AD8200:AI8200"/>
    <mergeCell ref="AJ8200:AL8200"/>
    <mergeCell ref="AN8200:AO8200"/>
    <mergeCell ref="AP8200:AQ8200"/>
    <mergeCell ref="AR8200:AS8201"/>
    <mergeCell ref="AT8200:AU8201"/>
    <mergeCell ref="AV8200:AW8201"/>
    <mergeCell ref="AX8200:AY8201"/>
    <mergeCell ref="AZ8200:AZ8201"/>
    <mergeCell ref="F8201:H8201"/>
    <mergeCell ref="X8201:AB8201"/>
    <mergeCell ref="AE8201:AI8201"/>
    <mergeCell ref="AJ8201:AL8201"/>
    <mergeCell ref="AN8201:AO8201"/>
    <mergeCell ref="AP8201:AQ8201"/>
    <mergeCell ref="A8202:A8203"/>
    <mergeCell ref="E8202:E8203"/>
    <mergeCell ref="F8202:H8202"/>
    <mergeCell ref="J8202:J8203"/>
    <mergeCell ref="K8202:L8203"/>
    <mergeCell ref="M8202:N8203"/>
    <mergeCell ref="O8202:P8203"/>
    <mergeCell ref="Q8202:R8203"/>
    <mergeCell ref="S8202:T8203"/>
    <mergeCell ref="U8202:V8203"/>
    <mergeCell ref="W8202:W8203"/>
    <mergeCell ref="X8202:AB8202"/>
    <mergeCell ref="AD8202:AI8202"/>
    <mergeCell ref="AJ8202:AL8202"/>
    <mergeCell ref="AN8202:AO8202"/>
    <mergeCell ref="AP8202:AQ8202"/>
    <mergeCell ref="AR8202:AS8203"/>
    <mergeCell ref="AT8202:AU8203"/>
    <mergeCell ref="AV8202:AW8203"/>
    <mergeCell ref="AX8202:AY8203"/>
    <mergeCell ref="AZ8202:AZ8203"/>
    <mergeCell ref="F8203:H8203"/>
    <mergeCell ref="X8203:AB8203"/>
    <mergeCell ref="AE8203:AI8203"/>
    <mergeCell ref="AJ8203:AL8203"/>
    <mergeCell ref="AN8203:AO8203"/>
    <mergeCell ref="AP8203:AQ8203"/>
    <mergeCell ref="A8204:A8205"/>
    <mergeCell ref="E8204:E8205"/>
    <mergeCell ref="F8204:H8204"/>
    <mergeCell ref="J8204:J8205"/>
    <mergeCell ref="K8204:L8205"/>
    <mergeCell ref="M8204:N8205"/>
    <mergeCell ref="O8204:P8205"/>
    <mergeCell ref="Q8204:R8205"/>
    <mergeCell ref="S8204:T8205"/>
    <mergeCell ref="U8204:V8205"/>
    <mergeCell ref="W8204:W8205"/>
    <mergeCell ref="X8204:AB8204"/>
    <mergeCell ref="AD8204:AI8204"/>
    <mergeCell ref="AJ8204:AL8204"/>
    <mergeCell ref="AN8204:AO8204"/>
    <mergeCell ref="AP8204:AQ8204"/>
    <mergeCell ref="AR8204:AS8205"/>
    <mergeCell ref="AT8204:AU8205"/>
    <mergeCell ref="AV8204:AW8205"/>
    <mergeCell ref="AX8204:AY8205"/>
    <mergeCell ref="AZ8204:AZ8205"/>
    <mergeCell ref="F8205:H8205"/>
    <mergeCell ref="X8205:AB8205"/>
    <mergeCell ref="AE8205:AI8205"/>
    <mergeCell ref="AJ8205:AL8205"/>
    <mergeCell ref="AN8205:AO8205"/>
    <mergeCell ref="AP8205:AQ8205"/>
    <mergeCell ref="A8206:A8207"/>
    <mergeCell ref="E8206:E8207"/>
    <mergeCell ref="F8206:H8206"/>
    <mergeCell ref="J8206:J8207"/>
    <mergeCell ref="K8206:L8207"/>
    <mergeCell ref="M8206:N8207"/>
    <mergeCell ref="O8206:P8207"/>
    <mergeCell ref="Q8206:R8207"/>
    <mergeCell ref="S8206:T8207"/>
    <mergeCell ref="U8206:V8207"/>
    <mergeCell ref="W8206:W8207"/>
    <mergeCell ref="X8206:AB8206"/>
    <mergeCell ref="AD8206:AI8206"/>
    <mergeCell ref="AJ8206:AL8206"/>
    <mergeCell ref="AN8206:AO8206"/>
    <mergeCell ref="AP8206:AQ8206"/>
    <mergeCell ref="AR8206:AS8207"/>
    <mergeCell ref="AT8206:AU8207"/>
    <mergeCell ref="AV8206:AW8207"/>
    <mergeCell ref="AX8206:AY8207"/>
    <mergeCell ref="AZ8206:AZ8207"/>
    <mergeCell ref="F8207:H8207"/>
    <mergeCell ref="X8207:AB8207"/>
    <mergeCell ref="AE8207:AI8207"/>
    <mergeCell ref="AJ8207:AL8207"/>
    <mergeCell ref="AN8207:AO8207"/>
    <mergeCell ref="AP8207:AQ8207"/>
    <mergeCell ref="A8208:A8209"/>
    <mergeCell ref="E8208:E8209"/>
    <mergeCell ref="F8208:H8208"/>
    <mergeCell ref="J8208:J8209"/>
    <mergeCell ref="K8208:L8209"/>
    <mergeCell ref="M8208:N8209"/>
    <mergeCell ref="O8208:P8209"/>
    <mergeCell ref="Q8208:R8209"/>
    <mergeCell ref="S8208:T8209"/>
    <mergeCell ref="U8208:V8209"/>
    <mergeCell ref="W8208:W8209"/>
    <mergeCell ref="X8208:AB8208"/>
    <mergeCell ref="AD8208:AI8208"/>
    <mergeCell ref="AJ8208:AL8208"/>
    <mergeCell ref="AN8208:AO8208"/>
    <mergeCell ref="AP8208:AQ8208"/>
    <mergeCell ref="AR8208:AS8209"/>
    <mergeCell ref="AT8208:AU8209"/>
    <mergeCell ref="AV8208:AW8209"/>
    <mergeCell ref="AX8208:AY8209"/>
    <mergeCell ref="AZ8208:AZ8209"/>
    <mergeCell ref="F8209:H8209"/>
    <mergeCell ref="X8209:AB8209"/>
    <mergeCell ref="AE8209:AI8209"/>
    <mergeCell ref="AJ8209:AL8209"/>
    <mergeCell ref="AN8209:AO8209"/>
    <mergeCell ref="AP8209:AQ8209"/>
    <mergeCell ref="A8210:A8211"/>
    <mergeCell ref="E8210:E8211"/>
    <mergeCell ref="F8210:H8210"/>
    <mergeCell ref="J8210:J8211"/>
    <mergeCell ref="K8210:L8211"/>
    <mergeCell ref="M8210:N8211"/>
    <mergeCell ref="O8210:P8211"/>
    <mergeCell ref="Q8210:R8211"/>
    <mergeCell ref="S8210:T8211"/>
    <mergeCell ref="U8210:V8211"/>
    <mergeCell ref="W8210:W8211"/>
    <mergeCell ref="X8210:AB8210"/>
    <mergeCell ref="AD8210:AI8210"/>
    <mergeCell ref="AJ8210:AL8210"/>
    <mergeCell ref="AN8210:AO8210"/>
    <mergeCell ref="AP8210:AQ8210"/>
    <mergeCell ref="AR8210:AS8211"/>
    <mergeCell ref="AT8210:AU8211"/>
    <mergeCell ref="AV8210:AW8211"/>
    <mergeCell ref="AX8210:AY8211"/>
    <mergeCell ref="AZ8210:AZ8211"/>
    <mergeCell ref="F8211:H8211"/>
    <mergeCell ref="X8211:AB8211"/>
    <mergeCell ref="AE8211:AI8211"/>
    <mergeCell ref="AJ8211:AL8211"/>
    <mergeCell ref="AN8211:AO8211"/>
    <mergeCell ref="AP8211:AQ8211"/>
    <mergeCell ref="A8212:A8213"/>
    <mergeCell ref="E8212:E8213"/>
    <mergeCell ref="F8212:H8212"/>
    <mergeCell ref="J8212:J8213"/>
    <mergeCell ref="K8212:L8213"/>
    <mergeCell ref="M8212:N8213"/>
    <mergeCell ref="O8212:P8213"/>
    <mergeCell ref="Q8212:R8213"/>
    <mergeCell ref="S8212:T8213"/>
    <mergeCell ref="U8212:V8213"/>
    <mergeCell ref="W8212:W8213"/>
    <mergeCell ref="X8212:AB8212"/>
    <mergeCell ref="AD8212:AI8212"/>
    <mergeCell ref="AJ8212:AL8212"/>
    <mergeCell ref="AN8212:AO8212"/>
    <mergeCell ref="AP8212:AQ8212"/>
    <mergeCell ref="AR8212:AS8213"/>
    <mergeCell ref="AT8212:AU8213"/>
    <mergeCell ref="AV8212:AW8213"/>
    <mergeCell ref="AX8212:AY8213"/>
    <mergeCell ref="AZ8212:AZ8213"/>
    <mergeCell ref="F8213:H8213"/>
    <mergeCell ref="X8213:AB8213"/>
    <mergeCell ref="AE8213:AI8213"/>
    <mergeCell ref="AJ8213:AL8213"/>
    <mergeCell ref="AN8213:AO8213"/>
    <mergeCell ref="AP8213:AQ8213"/>
    <mergeCell ref="A8214:A8215"/>
    <mergeCell ref="E8214:E8215"/>
    <mergeCell ref="F8214:H8214"/>
    <mergeCell ref="J8214:J8215"/>
    <mergeCell ref="K8214:L8215"/>
    <mergeCell ref="M8214:N8215"/>
    <mergeCell ref="O8214:P8215"/>
    <mergeCell ref="Q8214:R8215"/>
    <mergeCell ref="S8214:T8215"/>
    <mergeCell ref="U8214:V8215"/>
    <mergeCell ref="W8214:W8215"/>
    <mergeCell ref="X8214:AB8214"/>
    <mergeCell ref="AD8214:AI8214"/>
    <mergeCell ref="AJ8214:AL8214"/>
    <mergeCell ref="AN8214:AO8214"/>
    <mergeCell ref="AP8214:AQ8214"/>
    <mergeCell ref="AR8214:AS8215"/>
    <mergeCell ref="AT8214:AU8215"/>
    <mergeCell ref="AV8214:AW8215"/>
    <mergeCell ref="AX8214:AY8215"/>
    <mergeCell ref="AZ8214:AZ8215"/>
    <mergeCell ref="F8215:H8215"/>
    <mergeCell ref="X8215:AB8215"/>
    <mergeCell ref="AE8215:AI8215"/>
    <mergeCell ref="AJ8215:AL8215"/>
    <mergeCell ref="AN8215:AO8215"/>
    <mergeCell ref="AP8215:AQ8215"/>
    <mergeCell ref="A8216:A8217"/>
    <mergeCell ref="E8216:E8217"/>
    <mergeCell ref="F8216:H8216"/>
    <mergeCell ref="J8216:J8217"/>
    <mergeCell ref="K8216:L8217"/>
    <mergeCell ref="M8216:N8217"/>
    <mergeCell ref="O8216:P8217"/>
    <mergeCell ref="Q8216:R8217"/>
    <mergeCell ref="S8216:T8217"/>
    <mergeCell ref="U8216:V8217"/>
    <mergeCell ref="W8216:W8217"/>
    <mergeCell ref="X8216:AB8216"/>
    <mergeCell ref="AD8216:AI8216"/>
    <mergeCell ref="AJ8216:AL8216"/>
    <mergeCell ref="AN8216:AO8216"/>
    <mergeCell ref="AP8216:AQ8216"/>
    <mergeCell ref="AR8216:AS8217"/>
    <mergeCell ref="AT8216:AU8217"/>
    <mergeCell ref="AV8216:AW8217"/>
    <mergeCell ref="AX8216:AY8217"/>
    <mergeCell ref="AZ8216:AZ8217"/>
    <mergeCell ref="F8217:H8217"/>
    <mergeCell ref="X8217:AB8217"/>
    <mergeCell ref="AE8217:AI8217"/>
    <mergeCell ref="AJ8217:AL8217"/>
    <mergeCell ref="AN8217:AO8217"/>
    <mergeCell ref="AP8217:AQ8217"/>
    <mergeCell ref="A8218:A8219"/>
    <mergeCell ref="E8218:E8219"/>
    <mergeCell ref="F8218:H8218"/>
    <mergeCell ref="J8218:J8219"/>
    <mergeCell ref="K8218:L8219"/>
    <mergeCell ref="M8218:N8219"/>
    <mergeCell ref="O8218:P8219"/>
    <mergeCell ref="Q8218:R8219"/>
    <mergeCell ref="S8218:T8219"/>
    <mergeCell ref="U8218:V8219"/>
    <mergeCell ref="W8218:W8219"/>
    <mergeCell ref="X8218:AB8218"/>
    <mergeCell ref="AD8218:AI8218"/>
    <mergeCell ref="AJ8218:AL8218"/>
    <mergeCell ref="AN8218:AO8218"/>
    <mergeCell ref="AP8218:AQ8218"/>
    <mergeCell ref="AR8218:AS8219"/>
    <mergeCell ref="AT8218:AU8219"/>
    <mergeCell ref="AV8218:AW8219"/>
    <mergeCell ref="AX8218:AY8219"/>
    <mergeCell ref="AZ8218:AZ8219"/>
    <mergeCell ref="F8219:H8219"/>
    <mergeCell ref="X8219:AB8219"/>
    <mergeCell ref="AE8219:AI8219"/>
    <mergeCell ref="AJ8219:AL8219"/>
    <mergeCell ref="AN8219:AO8219"/>
    <mergeCell ref="AP8219:AQ8219"/>
    <mergeCell ref="A8220:A8221"/>
    <mergeCell ref="E8220:E8221"/>
    <mergeCell ref="F8220:H8220"/>
    <mergeCell ref="J8220:J8221"/>
    <mergeCell ref="K8220:L8221"/>
    <mergeCell ref="M8220:N8221"/>
    <mergeCell ref="O8220:P8221"/>
    <mergeCell ref="Q8220:R8221"/>
    <mergeCell ref="S8220:T8221"/>
    <mergeCell ref="U8220:V8221"/>
    <mergeCell ref="W8220:W8221"/>
    <mergeCell ref="X8220:AB8220"/>
    <mergeCell ref="AD8220:AI8220"/>
    <mergeCell ref="AJ8220:AL8220"/>
    <mergeCell ref="AN8220:AO8220"/>
    <mergeCell ref="AP8220:AQ8220"/>
    <mergeCell ref="AR8220:AS8221"/>
    <mergeCell ref="AT8220:AU8221"/>
    <mergeCell ref="AV8220:AW8221"/>
    <mergeCell ref="AX8220:AY8221"/>
    <mergeCell ref="AZ8220:AZ8221"/>
    <mergeCell ref="F8221:H8221"/>
    <mergeCell ref="X8221:AB8221"/>
    <mergeCell ref="AE8221:AI8221"/>
    <mergeCell ref="AJ8221:AL8221"/>
    <mergeCell ref="AN8221:AO8221"/>
    <mergeCell ref="AP8221:AQ8221"/>
    <mergeCell ref="A8222:A8223"/>
    <mergeCell ref="E8222:E8223"/>
    <mergeCell ref="F8222:H8222"/>
    <mergeCell ref="J8222:J8223"/>
    <mergeCell ref="K8222:L8223"/>
    <mergeCell ref="M8222:N8223"/>
    <mergeCell ref="O8222:P8223"/>
    <mergeCell ref="Q8222:R8223"/>
    <mergeCell ref="S8222:T8223"/>
    <mergeCell ref="U8222:V8223"/>
    <mergeCell ref="W8222:W8223"/>
    <mergeCell ref="X8222:AB8222"/>
    <mergeCell ref="AD8222:AI8222"/>
    <mergeCell ref="AJ8222:AL8222"/>
    <mergeCell ref="AN8222:AO8222"/>
    <mergeCell ref="AP8222:AQ8222"/>
    <mergeCell ref="AR8222:AS8223"/>
    <mergeCell ref="AT8222:AU8223"/>
    <mergeCell ref="AV8222:AW8223"/>
    <mergeCell ref="AX8222:AY8223"/>
    <mergeCell ref="AZ8222:AZ8223"/>
    <mergeCell ref="F8223:H8223"/>
    <mergeCell ref="X8223:AB8223"/>
    <mergeCell ref="AE8223:AI8223"/>
    <mergeCell ref="AJ8223:AL8223"/>
    <mergeCell ref="AN8223:AO8223"/>
    <mergeCell ref="AP8223:AQ8223"/>
    <mergeCell ref="A8224:A8225"/>
    <mergeCell ref="E8224:E8225"/>
    <mergeCell ref="F8224:H8224"/>
    <mergeCell ref="J8224:J8225"/>
    <mergeCell ref="K8224:L8225"/>
    <mergeCell ref="M8224:N8225"/>
    <mergeCell ref="O8224:P8225"/>
    <mergeCell ref="Q8224:R8225"/>
    <mergeCell ref="S8224:T8225"/>
    <mergeCell ref="U8224:V8225"/>
    <mergeCell ref="W8224:W8225"/>
    <mergeCell ref="X8224:AB8224"/>
    <mergeCell ref="AD8224:AI8224"/>
    <mergeCell ref="AJ8224:AL8224"/>
    <mergeCell ref="AN8224:AO8224"/>
    <mergeCell ref="AP8224:AQ8224"/>
    <mergeCell ref="AR8224:AS8225"/>
    <mergeCell ref="AT8224:AU8225"/>
    <mergeCell ref="AV8224:AW8225"/>
    <mergeCell ref="AX8224:AY8225"/>
    <mergeCell ref="AZ8224:AZ8225"/>
    <mergeCell ref="F8225:H8225"/>
    <mergeCell ref="X8225:AB8225"/>
    <mergeCell ref="AE8225:AI8225"/>
    <mergeCell ref="AJ8225:AL8225"/>
    <mergeCell ref="AN8225:AO8225"/>
    <mergeCell ref="AP8225:AQ8225"/>
    <mergeCell ref="A8226:A8227"/>
    <mergeCell ref="E8226:E8227"/>
    <mergeCell ref="F8226:H8226"/>
    <mergeCell ref="J8226:J8227"/>
    <mergeCell ref="K8226:L8227"/>
    <mergeCell ref="M8226:N8227"/>
    <mergeCell ref="O8226:P8227"/>
    <mergeCell ref="Q8226:R8227"/>
    <mergeCell ref="S8226:T8227"/>
    <mergeCell ref="U8226:V8227"/>
    <mergeCell ref="W8226:W8227"/>
    <mergeCell ref="X8226:AB8226"/>
    <mergeCell ref="AD8226:AI8226"/>
    <mergeCell ref="AJ8226:AL8226"/>
    <mergeCell ref="AN8226:AO8226"/>
    <mergeCell ref="AP8226:AQ8226"/>
    <mergeCell ref="AR8226:AS8227"/>
    <mergeCell ref="AT8226:AU8227"/>
    <mergeCell ref="AV8226:AW8227"/>
    <mergeCell ref="AX8226:AY8227"/>
    <mergeCell ref="AZ8226:AZ8227"/>
    <mergeCell ref="F8227:H8227"/>
    <mergeCell ref="X8227:AB8227"/>
    <mergeCell ref="AE8227:AI8227"/>
    <mergeCell ref="AJ8227:AL8227"/>
    <mergeCell ref="AN8227:AO8227"/>
    <mergeCell ref="AP8227:AQ8227"/>
    <mergeCell ref="A8228:A8229"/>
    <mergeCell ref="E8228:E8229"/>
    <mergeCell ref="F8228:H8228"/>
    <mergeCell ref="J8228:J8229"/>
    <mergeCell ref="K8228:L8229"/>
    <mergeCell ref="M8228:N8229"/>
    <mergeCell ref="O8228:P8229"/>
    <mergeCell ref="Q8228:R8229"/>
    <mergeCell ref="S8228:T8229"/>
    <mergeCell ref="U8228:V8229"/>
    <mergeCell ref="W8228:W8229"/>
    <mergeCell ref="X8228:AB8228"/>
    <mergeCell ref="AD8228:AI8228"/>
    <mergeCell ref="AJ8228:AL8228"/>
    <mergeCell ref="AN8228:AO8228"/>
    <mergeCell ref="AP8228:AQ8228"/>
    <mergeCell ref="AR8228:AS8229"/>
    <mergeCell ref="AT8228:AU8229"/>
    <mergeCell ref="AV8228:AW8229"/>
    <mergeCell ref="AX8228:AY8229"/>
    <mergeCell ref="AZ8228:AZ8229"/>
    <mergeCell ref="F8229:H8229"/>
    <mergeCell ref="X8229:AB8229"/>
    <mergeCell ref="AE8229:AI8229"/>
    <mergeCell ref="AJ8229:AL8229"/>
    <mergeCell ref="AN8229:AO8229"/>
    <mergeCell ref="AP8229:AQ8229"/>
    <mergeCell ref="A8230:A8231"/>
    <mergeCell ref="E8230:E8231"/>
    <mergeCell ref="F8230:H8230"/>
    <mergeCell ref="J8230:J8231"/>
    <mergeCell ref="K8230:L8231"/>
    <mergeCell ref="M8230:N8231"/>
    <mergeCell ref="O8230:P8231"/>
    <mergeCell ref="Q8230:R8231"/>
    <mergeCell ref="S8230:T8231"/>
    <mergeCell ref="U8230:V8231"/>
    <mergeCell ref="W8230:W8231"/>
    <mergeCell ref="X8230:AB8230"/>
    <mergeCell ref="AD8230:AI8230"/>
    <mergeCell ref="AJ8230:AL8230"/>
    <mergeCell ref="AN8230:AO8230"/>
    <mergeCell ref="AP8230:AQ8230"/>
    <mergeCell ref="AR8230:AS8231"/>
    <mergeCell ref="AT8230:AU8231"/>
    <mergeCell ref="AV8230:AW8231"/>
    <mergeCell ref="AX8230:AY8231"/>
    <mergeCell ref="AZ8230:AZ8231"/>
    <mergeCell ref="F8231:H8231"/>
    <mergeCell ref="X8231:AB8231"/>
    <mergeCell ref="AE8231:AI8231"/>
    <mergeCell ref="AJ8231:AL8231"/>
    <mergeCell ref="AN8231:AO8231"/>
    <mergeCell ref="AP8231:AQ8231"/>
    <mergeCell ref="A8232:A8233"/>
    <mergeCell ref="E8232:E8233"/>
    <mergeCell ref="F8232:H8232"/>
    <mergeCell ref="J8232:J8233"/>
    <mergeCell ref="K8232:L8233"/>
    <mergeCell ref="M8232:N8233"/>
    <mergeCell ref="O8232:P8233"/>
    <mergeCell ref="Q8232:R8233"/>
    <mergeCell ref="S8232:T8233"/>
    <mergeCell ref="U8232:V8233"/>
    <mergeCell ref="W8232:W8233"/>
    <mergeCell ref="X8232:AB8232"/>
    <mergeCell ref="AD8232:AI8232"/>
    <mergeCell ref="AJ8232:AL8232"/>
    <mergeCell ref="AN8232:AO8232"/>
    <mergeCell ref="AP8232:AQ8232"/>
    <mergeCell ref="AR8232:AS8233"/>
    <mergeCell ref="AT8232:AU8233"/>
    <mergeCell ref="AV8232:AW8233"/>
    <mergeCell ref="AX8232:AY8233"/>
    <mergeCell ref="AZ8232:AZ8233"/>
    <mergeCell ref="F8233:H8233"/>
    <mergeCell ref="X8233:AB8233"/>
    <mergeCell ref="AE8233:AI8233"/>
    <mergeCell ref="AJ8233:AL8233"/>
    <mergeCell ref="AN8233:AO8233"/>
    <mergeCell ref="AP8233:AQ8233"/>
    <mergeCell ref="A8234:A8235"/>
    <mergeCell ref="E8234:E8235"/>
    <mergeCell ref="F8234:H8234"/>
    <mergeCell ref="J8234:J8235"/>
    <mergeCell ref="K8234:L8235"/>
    <mergeCell ref="M8234:N8235"/>
    <mergeCell ref="O8234:P8235"/>
    <mergeCell ref="Q8234:R8235"/>
    <mergeCell ref="S8234:T8235"/>
    <mergeCell ref="U8234:V8235"/>
    <mergeCell ref="W8234:W8235"/>
    <mergeCell ref="X8234:AB8234"/>
    <mergeCell ref="AD8234:AI8234"/>
    <mergeCell ref="AJ8234:AL8234"/>
    <mergeCell ref="AN8234:AO8234"/>
    <mergeCell ref="AP8234:AQ8234"/>
    <mergeCell ref="AR8234:AS8235"/>
    <mergeCell ref="AT8234:AU8235"/>
    <mergeCell ref="AV8234:AW8235"/>
    <mergeCell ref="AX8234:AY8235"/>
    <mergeCell ref="AZ8234:AZ8235"/>
    <mergeCell ref="F8235:H8235"/>
    <mergeCell ref="X8235:AB8235"/>
    <mergeCell ref="AE8235:AI8235"/>
    <mergeCell ref="AJ8235:AL8235"/>
    <mergeCell ref="AN8235:AO8235"/>
    <mergeCell ref="AP8235:AQ8235"/>
    <mergeCell ref="A8236:A8237"/>
    <mergeCell ref="E8236:E8237"/>
    <mergeCell ref="F8236:H8236"/>
    <mergeCell ref="J8236:J8237"/>
    <mergeCell ref="K8236:L8237"/>
    <mergeCell ref="M8236:N8237"/>
    <mergeCell ref="O8236:P8237"/>
    <mergeCell ref="Q8236:R8237"/>
    <mergeCell ref="S8236:T8237"/>
    <mergeCell ref="U8236:V8237"/>
    <mergeCell ref="W8236:W8237"/>
    <mergeCell ref="X8236:AB8236"/>
    <mergeCell ref="AD8236:AI8236"/>
    <mergeCell ref="AJ8236:AL8236"/>
    <mergeCell ref="AN8236:AO8236"/>
    <mergeCell ref="AP8236:AQ8236"/>
    <mergeCell ref="AR8236:AS8237"/>
    <mergeCell ref="AT8236:AU8237"/>
    <mergeCell ref="AV8236:AW8237"/>
    <mergeCell ref="AX8236:AY8237"/>
    <mergeCell ref="AZ8236:AZ8237"/>
    <mergeCell ref="F8237:H8237"/>
    <mergeCell ref="X8237:AB8237"/>
    <mergeCell ref="AE8237:AI8237"/>
    <mergeCell ref="AJ8237:AL8237"/>
    <mergeCell ref="AN8237:AO8237"/>
    <mergeCell ref="AP8237:AQ8237"/>
    <mergeCell ref="A8238:A8239"/>
    <mergeCell ref="E8238:E8239"/>
    <mergeCell ref="F8238:H8238"/>
    <mergeCell ref="J8238:J8239"/>
    <mergeCell ref="K8238:L8239"/>
    <mergeCell ref="M8238:N8239"/>
    <mergeCell ref="O8238:P8239"/>
    <mergeCell ref="Q8238:R8239"/>
    <mergeCell ref="S8238:T8239"/>
    <mergeCell ref="U8238:V8239"/>
    <mergeCell ref="W8238:W8239"/>
    <mergeCell ref="X8238:AB8238"/>
    <mergeCell ref="AD8238:AI8238"/>
    <mergeCell ref="AJ8238:AL8238"/>
    <mergeCell ref="AN8238:AO8238"/>
    <mergeCell ref="AP8238:AQ8238"/>
    <mergeCell ref="AR8238:AS8239"/>
    <mergeCell ref="AT8238:AU8239"/>
    <mergeCell ref="AV8238:AW8239"/>
    <mergeCell ref="AX8238:AY8239"/>
    <mergeCell ref="AZ8238:AZ8239"/>
    <mergeCell ref="F8239:H8239"/>
    <mergeCell ref="X8239:AB8239"/>
    <mergeCell ref="AE8239:AI8239"/>
    <mergeCell ref="AJ8239:AL8239"/>
    <mergeCell ref="AN8239:AO8239"/>
    <mergeCell ref="AP8239:AQ8239"/>
    <mergeCell ref="A8240:A8241"/>
    <mergeCell ref="E8240:E8241"/>
    <mergeCell ref="F8240:H8240"/>
    <mergeCell ref="J8240:J8241"/>
    <mergeCell ref="K8240:L8241"/>
    <mergeCell ref="M8240:N8241"/>
    <mergeCell ref="O8240:P8241"/>
    <mergeCell ref="Q8240:R8241"/>
    <mergeCell ref="S8240:T8241"/>
    <mergeCell ref="U8240:V8241"/>
    <mergeCell ref="W8240:W8241"/>
    <mergeCell ref="X8240:AB8240"/>
    <mergeCell ref="AD8240:AI8240"/>
    <mergeCell ref="AJ8240:AL8240"/>
    <mergeCell ref="AN8240:AO8240"/>
    <mergeCell ref="AP8240:AQ8240"/>
    <mergeCell ref="AR8240:AS8241"/>
    <mergeCell ref="AT8240:AU8241"/>
    <mergeCell ref="AV8240:AW8241"/>
    <mergeCell ref="AX8240:AY8241"/>
    <mergeCell ref="AZ8240:AZ8241"/>
    <mergeCell ref="F8241:H8241"/>
    <mergeCell ref="X8241:AB8241"/>
    <mergeCell ref="AE8241:AI8241"/>
    <mergeCell ref="AJ8241:AL8241"/>
    <mergeCell ref="AN8241:AO8241"/>
    <mergeCell ref="AP8241:AQ8241"/>
    <mergeCell ref="A8242:A8243"/>
    <mergeCell ref="E8242:E8243"/>
    <mergeCell ref="F8242:H8242"/>
    <mergeCell ref="J8242:J8243"/>
    <mergeCell ref="K8242:L8243"/>
    <mergeCell ref="M8242:N8243"/>
    <mergeCell ref="O8242:P8243"/>
    <mergeCell ref="Q8242:R8243"/>
    <mergeCell ref="S8242:T8243"/>
    <mergeCell ref="U8242:V8243"/>
    <mergeCell ref="W8242:W8243"/>
    <mergeCell ref="X8242:AB8242"/>
    <mergeCell ref="AD8242:AI8242"/>
    <mergeCell ref="AJ8242:AL8242"/>
    <mergeCell ref="AN8242:AO8242"/>
    <mergeCell ref="AP8242:AQ8242"/>
    <mergeCell ref="AR8242:AS8243"/>
    <mergeCell ref="AT8242:AU8243"/>
    <mergeCell ref="AV8242:AW8243"/>
    <mergeCell ref="AX8242:AY8243"/>
    <mergeCell ref="AZ8242:AZ8243"/>
    <mergeCell ref="F8243:H8243"/>
    <mergeCell ref="X8243:AB8243"/>
    <mergeCell ref="AE8243:AI8243"/>
    <mergeCell ref="AJ8243:AL8243"/>
    <mergeCell ref="AN8243:AO8243"/>
    <mergeCell ref="AP8243:AQ8243"/>
    <mergeCell ref="A8244:A8245"/>
    <mergeCell ref="E8244:E8245"/>
    <mergeCell ref="F8244:H8244"/>
    <mergeCell ref="J8244:J8245"/>
    <mergeCell ref="K8244:L8245"/>
    <mergeCell ref="M8244:N8245"/>
    <mergeCell ref="O8244:P8245"/>
    <mergeCell ref="Q8244:R8245"/>
    <mergeCell ref="S8244:T8245"/>
    <mergeCell ref="U8244:V8245"/>
    <mergeCell ref="W8244:W8245"/>
    <mergeCell ref="X8244:AB8244"/>
    <mergeCell ref="AD8244:AI8244"/>
    <mergeCell ref="AJ8244:AL8244"/>
    <mergeCell ref="AN8244:AO8244"/>
    <mergeCell ref="AP8244:AQ8244"/>
    <mergeCell ref="AR8244:AS8245"/>
    <mergeCell ref="AT8244:AU8245"/>
    <mergeCell ref="AV8244:AW8245"/>
    <mergeCell ref="AX8244:AY8245"/>
    <mergeCell ref="AZ8244:AZ8245"/>
    <mergeCell ref="F8245:H8245"/>
    <mergeCell ref="X8245:AB8245"/>
    <mergeCell ref="AE8245:AI8245"/>
    <mergeCell ref="AJ8245:AL8245"/>
    <mergeCell ref="AN8245:AO8245"/>
    <mergeCell ref="AP8245:AQ8245"/>
    <mergeCell ref="A8246:A8247"/>
    <mergeCell ref="E8246:E8247"/>
    <mergeCell ref="F8246:H8246"/>
    <mergeCell ref="J8246:J8247"/>
    <mergeCell ref="K8246:L8247"/>
    <mergeCell ref="M8246:N8247"/>
    <mergeCell ref="O8246:P8247"/>
    <mergeCell ref="Q8246:R8247"/>
    <mergeCell ref="S8246:T8247"/>
    <mergeCell ref="U8246:V8247"/>
    <mergeCell ref="W8246:W8247"/>
    <mergeCell ref="X8246:AB8246"/>
    <mergeCell ref="AD8246:AI8246"/>
    <mergeCell ref="AJ8246:AL8246"/>
    <mergeCell ref="AN8246:AO8246"/>
    <mergeCell ref="AP8246:AQ8246"/>
    <mergeCell ref="AR8246:AS8247"/>
    <mergeCell ref="AT8246:AU8247"/>
    <mergeCell ref="AV8246:AW8247"/>
    <mergeCell ref="AX8246:AY8247"/>
    <mergeCell ref="AZ8246:AZ8247"/>
    <mergeCell ref="F8247:H8247"/>
    <mergeCell ref="X8247:AB8247"/>
    <mergeCell ref="AE8247:AI8247"/>
    <mergeCell ref="AJ8247:AL8247"/>
    <mergeCell ref="AN8247:AO8247"/>
    <mergeCell ref="AP8247:AQ8247"/>
    <mergeCell ref="A8248:A8249"/>
    <mergeCell ref="E8248:E8249"/>
    <mergeCell ref="F8248:H8248"/>
    <mergeCell ref="J8248:J8249"/>
    <mergeCell ref="K8248:L8249"/>
    <mergeCell ref="M8248:N8249"/>
    <mergeCell ref="O8248:P8249"/>
    <mergeCell ref="Q8248:R8249"/>
    <mergeCell ref="S8248:T8249"/>
    <mergeCell ref="U8248:V8249"/>
    <mergeCell ref="W8248:W8249"/>
    <mergeCell ref="X8248:AB8248"/>
    <mergeCell ref="AD8248:AI8248"/>
    <mergeCell ref="AJ8248:AL8248"/>
    <mergeCell ref="AN8248:AO8248"/>
    <mergeCell ref="AP8248:AQ8248"/>
    <mergeCell ref="AR8248:AS8249"/>
    <mergeCell ref="AT8248:AU8249"/>
    <mergeCell ref="AV8248:AW8249"/>
    <mergeCell ref="AX8248:AY8249"/>
    <mergeCell ref="AZ8248:AZ8249"/>
    <mergeCell ref="F8249:H8249"/>
    <mergeCell ref="X8249:AB8249"/>
    <mergeCell ref="AE8249:AI8249"/>
    <mergeCell ref="AJ8249:AL8249"/>
    <mergeCell ref="AN8249:AO8249"/>
    <mergeCell ref="AP8249:AQ8249"/>
    <mergeCell ref="A8250:A8251"/>
    <mergeCell ref="E8250:E8251"/>
    <mergeCell ref="F8250:H8250"/>
    <mergeCell ref="J8250:J8251"/>
    <mergeCell ref="K8250:L8251"/>
    <mergeCell ref="M8250:N8251"/>
    <mergeCell ref="O8250:P8251"/>
    <mergeCell ref="Q8250:R8251"/>
    <mergeCell ref="S8250:T8251"/>
    <mergeCell ref="U8250:V8251"/>
    <mergeCell ref="W8250:W8251"/>
    <mergeCell ref="X8250:AB8250"/>
    <mergeCell ref="AD8250:AI8250"/>
    <mergeCell ref="AJ8250:AL8250"/>
    <mergeCell ref="AN8250:AO8250"/>
    <mergeCell ref="AP8250:AQ8250"/>
    <mergeCell ref="AR8250:AS8251"/>
    <mergeCell ref="AT8250:AU8251"/>
    <mergeCell ref="AV8250:AW8251"/>
    <mergeCell ref="AX8250:AY8251"/>
    <mergeCell ref="AZ8250:AZ8251"/>
    <mergeCell ref="F8251:H8251"/>
    <mergeCell ref="X8251:AB8251"/>
    <mergeCell ref="AE8251:AI8251"/>
    <mergeCell ref="AJ8251:AL8251"/>
    <mergeCell ref="AN8251:AO8251"/>
    <mergeCell ref="AP8251:AQ8251"/>
    <mergeCell ref="A8252:A8253"/>
    <mergeCell ref="E8252:E8253"/>
    <mergeCell ref="F8252:H8252"/>
    <mergeCell ref="J8252:J8253"/>
    <mergeCell ref="K8252:L8253"/>
    <mergeCell ref="M8252:N8253"/>
    <mergeCell ref="O8252:P8253"/>
    <mergeCell ref="Q8252:R8253"/>
    <mergeCell ref="S8252:T8253"/>
    <mergeCell ref="U8252:V8253"/>
    <mergeCell ref="W8252:W8253"/>
    <mergeCell ref="X8252:AB8252"/>
    <mergeCell ref="AD8252:AI8252"/>
    <mergeCell ref="AJ8252:AL8252"/>
    <mergeCell ref="AN8252:AO8252"/>
    <mergeCell ref="AP8252:AQ8252"/>
    <mergeCell ref="AR8252:AS8253"/>
    <mergeCell ref="AT8252:AU8253"/>
    <mergeCell ref="AV8252:AW8253"/>
    <mergeCell ref="AX8252:AY8253"/>
    <mergeCell ref="AZ8252:AZ8253"/>
    <mergeCell ref="F8253:H8253"/>
    <mergeCell ref="X8253:AB8253"/>
    <mergeCell ref="AE8253:AI8253"/>
    <mergeCell ref="AJ8253:AL8253"/>
    <mergeCell ref="AN8253:AO8253"/>
    <mergeCell ref="AP8253:AQ8253"/>
    <mergeCell ref="A8254:A8255"/>
    <mergeCell ref="E8254:E8255"/>
    <mergeCell ref="F8254:H8254"/>
    <mergeCell ref="J8254:J8255"/>
    <mergeCell ref="K8254:L8255"/>
    <mergeCell ref="M8254:N8255"/>
    <mergeCell ref="O8254:P8255"/>
    <mergeCell ref="Q8254:R8255"/>
    <mergeCell ref="S8254:T8255"/>
    <mergeCell ref="U8254:V8255"/>
    <mergeCell ref="W8254:W8255"/>
    <mergeCell ref="X8254:AB8254"/>
    <mergeCell ref="AD8254:AI8254"/>
    <mergeCell ref="AJ8254:AL8254"/>
    <mergeCell ref="AN8254:AO8254"/>
    <mergeCell ref="AP8254:AQ8254"/>
    <mergeCell ref="AR8254:AS8255"/>
    <mergeCell ref="AT8254:AU8255"/>
    <mergeCell ref="AV8254:AW8255"/>
    <mergeCell ref="AX8254:AY8255"/>
    <mergeCell ref="AZ8254:AZ8255"/>
    <mergeCell ref="F8255:H8255"/>
    <mergeCell ref="X8255:AB8255"/>
    <mergeCell ref="AE8255:AI8255"/>
    <mergeCell ref="AJ8255:AL8255"/>
    <mergeCell ref="AN8255:AO8255"/>
    <mergeCell ref="AP8255:AQ8255"/>
    <mergeCell ref="A8256:A8257"/>
    <mergeCell ref="E8256:E8257"/>
    <mergeCell ref="F8256:H8256"/>
    <mergeCell ref="J8256:J8257"/>
    <mergeCell ref="K8256:L8257"/>
    <mergeCell ref="M8256:N8257"/>
    <mergeCell ref="O8256:P8257"/>
    <mergeCell ref="Q8256:R8257"/>
    <mergeCell ref="S8256:T8257"/>
    <mergeCell ref="U8256:V8257"/>
    <mergeCell ref="W8256:W8257"/>
    <mergeCell ref="X8256:AB8256"/>
    <mergeCell ref="AD8256:AI8256"/>
    <mergeCell ref="AJ8256:AL8256"/>
    <mergeCell ref="AN8256:AO8256"/>
    <mergeCell ref="AP8256:AQ8256"/>
    <mergeCell ref="AR8256:AS8257"/>
    <mergeCell ref="AT8256:AU8257"/>
    <mergeCell ref="AV8256:AW8257"/>
    <mergeCell ref="AX8256:AY8257"/>
    <mergeCell ref="AZ8256:AZ8257"/>
    <mergeCell ref="F8257:H8257"/>
    <mergeCell ref="X8257:AB8257"/>
    <mergeCell ref="AE8257:AI8257"/>
    <mergeCell ref="AJ8257:AL8257"/>
    <mergeCell ref="AN8257:AO8257"/>
    <mergeCell ref="AP8257:AQ8257"/>
    <mergeCell ref="A8258:A8259"/>
    <mergeCell ref="E8258:E8259"/>
    <mergeCell ref="F8258:H8258"/>
    <mergeCell ref="J8258:J8259"/>
    <mergeCell ref="K8258:L8259"/>
    <mergeCell ref="M8258:N8259"/>
    <mergeCell ref="O8258:P8259"/>
    <mergeCell ref="Q8258:R8259"/>
    <mergeCell ref="S8258:T8259"/>
    <mergeCell ref="U8258:V8259"/>
    <mergeCell ref="W8258:W8259"/>
    <mergeCell ref="X8258:AB8258"/>
    <mergeCell ref="AD8258:AI8258"/>
    <mergeCell ref="AJ8258:AL8258"/>
    <mergeCell ref="AN8258:AO8258"/>
    <mergeCell ref="AP8258:AQ8258"/>
    <mergeCell ref="AR8258:AS8259"/>
    <mergeCell ref="AT8258:AU8259"/>
    <mergeCell ref="AV8258:AW8259"/>
    <mergeCell ref="AX8258:AY8259"/>
    <mergeCell ref="AZ8258:AZ8259"/>
    <mergeCell ref="F8259:H8259"/>
    <mergeCell ref="X8259:AB8259"/>
    <mergeCell ref="AE8259:AI8259"/>
    <mergeCell ref="AJ8259:AL8259"/>
    <mergeCell ref="AN8259:AO8259"/>
    <mergeCell ref="AP8259:AQ8259"/>
    <mergeCell ref="A8260:A8261"/>
    <mergeCell ref="E8260:E8261"/>
    <mergeCell ref="F8260:H8260"/>
    <mergeCell ref="J8260:J8261"/>
    <mergeCell ref="K8260:L8261"/>
    <mergeCell ref="M8260:N8261"/>
    <mergeCell ref="O8260:P8261"/>
    <mergeCell ref="Q8260:R8261"/>
    <mergeCell ref="S8260:T8261"/>
    <mergeCell ref="U8260:V8261"/>
    <mergeCell ref="W8260:W8261"/>
    <mergeCell ref="X8260:AB8260"/>
    <mergeCell ref="AD8260:AI8260"/>
    <mergeCell ref="AJ8260:AL8260"/>
    <mergeCell ref="AN8260:AO8260"/>
    <mergeCell ref="AP8260:AQ8260"/>
    <mergeCell ref="AR8260:AS8261"/>
    <mergeCell ref="AT8260:AU8261"/>
    <mergeCell ref="AV8260:AW8261"/>
    <mergeCell ref="AX8260:AY8261"/>
    <mergeCell ref="AZ8260:AZ8261"/>
    <mergeCell ref="F8261:H8261"/>
    <mergeCell ref="X8261:AB8261"/>
    <mergeCell ref="AE8261:AI8261"/>
    <mergeCell ref="AJ8261:AL8261"/>
    <mergeCell ref="AN8261:AO8261"/>
    <mergeCell ref="AP8261:AQ8261"/>
    <mergeCell ref="A8262:A8263"/>
    <mergeCell ref="E8262:E8263"/>
    <mergeCell ref="F8262:H8262"/>
    <mergeCell ref="J8262:J8263"/>
    <mergeCell ref="K8262:L8263"/>
    <mergeCell ref="M8262:N8263"/>
    <mergeCell ref="O8262:P8263"/>
    <mergeCell ref="Q8262:R8263"/>
    <mergeCell ref="S8262:T8263"/>
    <mergeCell ref="U8262:V8263"/>
    <mergeCell ref="W8262:W8263"/>
    <mergeCell ref="X8262:AB8262"/>
    <mergeCell ref="AD8262:AI8262"/>
    <mergeCell ref="AJ8262:AL8262"/>
    <mergeCell ref="AN8262:AO8262"/>
    <mergeCell ref="AP8262:AQ8262"/>
    <mergeCell ref="AR8262:AS8263"/>
    <mergeCell ref="AT8262:AU8263"/>
    <mergeCell ref="AV8262:AW8263"/>
    <mergeCell ref="AX8262:AY8263"/>
    <mergeCell ref="AZ8262:AZ8263"/>
    <mergeCell ref="F8263:H8263"/>
    <mergeCell ref="X8263:AB8263"/>
    <mergeCell ref="AE8263:AI8263"/>
    <mergeCell ref="AJ8263:AL8263"/>
    <mergeCell ref="AN8263:AO8263"/>
    <mergeCell ref="AP8263:AQ8263"/>
    <mergeCell ref="A8264:A8265"/>
    <mergeCell ref="E8264:E8265"/>
    <mergeCell ref="F8264:H8264"/>
    <mergeCell ref="J8264:J8265"/>
    <mergeCell ref="K8264:L8265"/>
    <mergeCell ref="M8264:N8265"/>
    <mergeCell ref="O8264:P8265"/>
    <mergeCell ref="Q8264:R8265"/>
    <mergeCell ref="S8264:T8265"/>
    <mergeCell ref="U8264:V8265"/>
    <mergeCell ref="W8264:W8265"/>
    <mergeCell ref="X8264:AB8264"/>
    <mergeCell ref="AD8264:AI8264"/>
    <mergeCell ref="AJ8264:AL8264"/>
    <mergeCell ref="AN8264:AO8264"/>
    <mergeCell ref="AP8264:AQ8264"/>
    <mergeCell ref="AR8264:AS8265"/>
    <mergeCell ref="AT8264:AU8265"/>
    <mergeCell ref="AV8264:AW8265"/>
    <mergeCell ref="AX8264:AY8265"/>
    <mergeCell ref="AZ8264:AZ8265"/>
    <mergeCell ref="F8265:H8265"/>
    <mergeCell ref="X8265:AB8265"/>
    <mergeCell ref="AE8265:AI8265"/>
    <mergeCell ref="AJ8265:AL8265"/>
    <mergeCell ref="AN8265:AO8265"/>
    <mergeCell ref="AP8265:AQ8265"/>
    <mergeCell ref="A8266:A8267"/>
    <mergeCell ref="E8266:E8267"/>
    <mergeCell ref="F8266:H8266"/>
    <mergeCell ref="J8266:J8267"/>
    <mergeCell ref="K8266:L8267"/>
    <mergeCell ref="M8266:N8267"/>
    <mergeCell ref="O8266:P8267"/>
    <mergeCell ref="Q8266:R8267"/>
    <mergeCell ref="S8266:T8267"/>
    <mergeCell ref="U8266:V8267"/>
    <mergeCell ref="W8266:W8267"/>
    <mergeCell ref="X8266:AB8266"/>
    <mergeCell ref="AD8266:AI8266"/>
    <mergeCell ref="AJ8266:AL8266"/>
    <mergeCell ref="AN8266:AO8266"/>
    <mergeCell ref="AP8266:AQ8266"/>
    <mergeCell ref="AR8266:AS8267"/>
    <mergeCell ref="AT8266:AU8267"/>
    <mergeCell ref="AV8266:AW8267"/>
    <mergeCell ref="AX8266:AY8267"/>
    <mergeCell ref="AZ8266:AZ8267"/>
    <mergeCell ref="F8267:H8267"/>
    <mergeCell ref="X8267:AB8267"/>
    <mergeCell ref="AE8267:AI8267"/>
    <mergeCell ref="AJ8267:AL8267"/>
    <mergeCell ref="AN8267:AO8267"/>
    <mergeCell ref="AP8267:AQ8267"/>
    <mergeCell ref="A8268:A8269"/>
    <mergeCell ref="E8268:E8269"/>
    <mergeCell ref="F8268:H8268"/>
    <mergeCell ref="J8268:J8269"/>
    <mergeCell ref="K8268:L8269"/>
    <mergeCell ref="M8268:N8269"/>
    <mergeCell ref="O8268:P8269"/>
    <mergeCell ref="Q8268:R8269"/>
    <mergeCell ref="S8268:T8269"/>
    <mergeCell ref="U8268:V8269"/>
    <mergeCell ref="W8268:W8269"/>
    <mergeCell ref="X8268:AB8268"/>
    <mergeCell ref="AD8268:AI8268"/>
    <mergeCell ref="AJ8268:AL8268"/>
    <mergeCell ref="AN8268:AO8268"/>
    <mergeCell ref="AP8268:AQ8268"/>
    <mergeCell ref="AR8268:AS8269"/>
    <mergeCell ref="AT8268:AU8269"/>
    <mergeCell ref="AV8268:AW8269"/>
    <mergeCell ref="AX8268:AY8269"/>
    <mergeCell ref="AZ8268:AZ8269"/>
    <mergeCell ref="F8269:H8269"/>
    <mergeCell ref="X8269:AB8269"/>
    <mergeCell ref="AE8269:AI8269"/>
    <mergeCell ref="AJ8269:AL8269"/>
    <mergeCell ref="AN8269:AO8269"/>
    <mergeCell ref="AP8269:AQ8269"/>
    <mergeCell ref="A8270:A8271"/>
    <mergeCell ref="E8270:E8271"/>
    <mergeCell ref="F8270:H8270"/>
    <mergeCell ref="J8270:J8271"/>
    <mergeCell ref="K8270:L8271"/>
    <mergeCell ref="M8270:N8271"/>
    <mergeCell ref="O8270:P8271"/>
    <mergeCell ref="Q8270:R8271"/>
    <mergeCell ref="S8270:T8271"/>
    <mergeCell ref="U8270:V8271"/>
    <mergeCell ref="W8270:W8271"/>
    <mergeCell ref="X8270:AB8270"/>
    <mergeCell ref="AD8270:AI8270"/>
    <mergeCell ref="AJ8270:AL8270"/>
    <mergeCell ref="AN8270:AO8270"/>
    <mergeCell ref="AP8270:AQ8270"/>
    <mergeCell ref="AR8270:AS8271"/>
    <mergeCell ref="AT8270:AU8271"/>
    <mergeCell ref="AV8270:AW8271"/>
    <mergeCell ref="AX8270:AY8271"/>
    <mergeCell ref="AZ8270:AZ8271"/>
    <mergeCell ref="F8271:H8271"/>
    <mergeCell ref="X8271:AB8271"/>
    <mergeCell ref="AE8271:AI8271"/>
    <mergeCell ref="AJ8271:AL8271"/>
    <mergeCell ref="AN8271:AO8271"/>
    <mergeCell ref="AP8271:AQ8271"/>
    <mergeCell ref="A8272:A8273"/>
    <mergeCell ref="E8272:E8273"/>
    <mergeCell ref="F8272:H8272"/>
    <mergeCell ref="J8272:J8273"/>
    <mergeCell ref="K8272:L8273"/>
    <mergeCell ref="M8272:N8273"/>
    <mergeCell ref="O8272:P8273"/>
    <mergeCell ref="Q8272:R8273"/>
    <mergeCell ref="S8272:T8273"/>
    <mergeCell ref="U8272:V8273"/>
    <mergeCell ref="W8272:W8273"/>
    <mergeCell ref="X8272:AB8272"/>
    <mergeCell ref="AD8272:AI8272"/>
    <mergeCell ref="AJ8272:AL8272"/>
    <mergeCell ref="AN8272:AO8272"/>
    <mergeCell ref="AP8272:AQ8272"/>
    <mergeCell ref="AR8272:AS8273"/>
    <mergeCell ref="AT8272:AU8273"/>
    <mergeCell ref="AV8272:AW8273"/>
    <mergeCell ref="AX8272:AY8273"/>
    <mergeCell ref="AZ8272:AZ8273"/>
    <mergeCell ref="F8273:H8273"/>
    <mergeCell ref="X8273:AB8273"/>
    <mergeCell ref="AE8273:AI8273"/>
    <mergeCell ref="AJ8273:AL8273"/>
    <mergeCell ref="AN8273:AO8273"/>
    <mergeCell ref="AP8273:AQ8273"/>
    <mergeCell ref="A8274:A8275"/>
    <mergeCell ref="E8274:E8275"/>
    <mergeCell ref="F8274:H8274"/>
    <mergeCell ref="J8274:J8275"/>
    <mergeCell ref="K8274:L8275"/>
    <mergeCell ref="M8274:N8275"/>
    <mergeCell ref="O8274:P8275"/>
    <mergeCell ref="Q8274:R8275"/>
    <mergeCell ref="S8274:T8275"/>
    <mergeCell ref="U8274:V8275"/>
    <mergeCell ref="W8274:W8275"/>
    <mergeCell ref="X8274:AB8274"/>
    <mergeCell ref="AD8274:AI8274"/>
    <mergeCell ref="AJ8274:AL8274"/>
    <mergeCell ref="AN8274:AO8274"/>
    <mergeCell ref="AP8274:AQ8274"/>
    <mergeCell ref="AR8274:AS8275"/>
    <mergeCell ref="AT8274:AU8275"/>
    <mergeCell ref="AV8274:AW8275"/>
    <mergeCell ref="AX8274:AY8275"/>
    <mergeCell ref="AZ8274:AZ8275"/>
    <mergeCell ref="F8275:H8275"/>
    <mergeCell ref="X8275:AB8275"/>
    <mergeCell ref="AE8275:AI8275"/>
    <mergeCell ref="AJ8275:AL8275"/>
    <mergeCell ref="AN8275:AO8275"/>
    <mergeCell ref="AP8275:AQ8275"/>
    <mergeCell ref="A8276:A8277"/>
    <mergeCell ref="E8276:E8277"/>
    <mergeCell ref="F8276:H8276"/>
    <mergeCell ref="J8276:J8277"/>
    <mergeCell ref="K8276:L8277"/>
    <mergeCell ref="M8276:N8277"/>
    <mergeCell ref="O8276:P8277"/>
    <mergeCell ref="Q8276:R8277"/>
    <mergeCell ref="S8276:T8277"/>
    <mergeCell ref="U8276:V8277"/>
    <mergeCell ref="W8276:W8277"/>
    <mergeCell ref="X8276:AB8276"/>
    <mergeCell ref="AD8276:AI8276"/>
    <mergeCell ref="AJ8276:AL8276"/>
    <mergeCell ref="AN8276:AO8276"/>
    <mergeCell ref="AP8276:AQ8276"/>
    <mergeCell ref="AR8276:AS8277"/>
    <mergeCell ref="AT8276:AU8277"/>
    <mergeCell ref="AV8276:AW8277"/>
    <mergeCell ref="AX8276:AY8277"/>
    <mergeCell ref="AZ8276:AZ8277"/>
    <mergeCell ref="F8277:H8277"/>
    <mergeCell ref="X8277:AB8277"/>
    <mergeCell ref="AE8277:AI8277"/>
    <mergeCell ref="AJ8277:AL8277"/>
    <mergeCell ref="AN8277:AO8277"/>
    <mergeCell ref="AP8277:AQ8277"/>
    <mergeCell ref="A8278:A8279"/>
    <mergeCell ref="E8278:E8279"/>
    <mergeCell ref="F8278:H8278"/>
    <mergeCell ref="J8278:J8279"/>
    <mergeCell ref="K8278:L8279"/>
    <mergeCell ref="M8278:N8279"/>
    <mergeCell ref="O8278:P8279"/>
    <mergeCell ref="Q8278:R8279"/>
    <mergeCell ref="S8278:T8279"/>
    <mergeCell ref="U8278:V8279"/>
    <mergeCell ref="W8278:W8279"/>
    <mergeCell ref="X8278:AB8278"/>
    <mergeCell ref="AD8278:AI8278"/>
    <mergeCell ref="AJ8278:AL8278"/>
    <mergeCell ref="AN8278:AO8278"/>
    <mergeCell ref="AP8278:AQ8278"/>
    <mergeCell ref="AR8278:AS8279"/>
    <mergeCell ref="AT8278:AU8279"/>
    <mergeCell ref="AV8278:AW8279"/>
    <mergeCell ref="AX8278:AY8279"/>
    <mergeCell ref="AZ8278:AZ8279"/>
    <mergeCell ref="F8279:H8279"/>
    <mergeCell ref="X8279:AB8279"/>
    <mergeCell ref="AE8279:AI8279"/>
    <mergeCell ref="AJ8279:AL8279"/>
    <mergeCell ref="AN8279:AO8279"/>
    <mergeCell ref="AP8279:AQ8279"/>
    <mergeCell ref="A8280:A8281"/>
    <mergeCell ref="E8280:E8281"/>
    <mergeCell ref="F8280:H8280"/>
    <mergeCell ref="J8280:J8281"/>
    <mergeCell ref="K8280:L8281"/>
    <mergeCell ref="M8280:N8281"/>
    <mergeCell ref="O8280:P8281"/>
    <mergeCell ref="Q8280:R8281"/>
    <mergeCell ref="S8280:T8281"/>
    <mergeCell ref="U8280:V8281"/>
    <mergeCell ref="W8280:W8281"/>
    <mergeCell ref="X8280:AB8280"/>
    <mergeCell ref="AD8280:AI8280"/>
    <mergeCell ref="AJ8280:AL8280"/>
    <mergeCell ref="AN8280:AO8280"/>
    <mergeCell ref="AP8280:AQ8280"/>
    <mergeCell ref="AR8280:AS8281"/>
    <mergeCell ref="AT8280:AU8281"/>
    <mergeCell ref="AV8280:AW8281"/>
    <mergeCell ref="AX8280:AY8281"/>
    <mergeCell ref="AZ8280:AZ8281"/>
    <mergeCell ref="F8281:H8281"/>
    <mergeCell ref="X8281:AB8281"/>
    <mergeCell ref="AE8281:AI8281"/>
    <mergeCell ref="AJ8281:AL8281"/>
    <mergeCell ref="AN8281:AO8281"/>
    <mergeCell ref="AP8281:AQ8281"/>
    <mergeCell ref="A8282:A8283"/>
    <mergeCell ref="E8282:E8283"/>
    <mergeCell ref="F8282:H8282"/>
    <mergeCell ref="J8282:J8283"/>
    <mergeCell ref="K8282:L8283"/>
    <mergeCell ref="M8282:N8283"/>
    <mergeCell ref="O8282:P8283"/>
    <mergeCell ref="Q8282:R8283"/>
    <mergeCell ref="S8282:T8283"/>
    <mergeCell ref="U8282:V8283"/>
    <mergeCell ref="W8282:W8283"/>
    <mergeCell ref="X8282:AB8282"/>
    <mergeCell ref="AD8282:AI8282"/>
    <mergeCell ref="AJ8282:AL8282"/>
    <mergeCell ref="AN8282:AO8282"/>
    <mergeCell ref="AP8282:AQ8282"/>
    <mergeCell ref="AR8282:AS8283"/>
    <mergeCell ref="AT8282:AU8283"/>
    <mergeCell ref="AV8282:AW8283"/>
    <mergeCell ref="AX8282:AY8283"/>
    <mergeCell ref="AZ8282:AZ8283"/>
    <mergeCell ref="F8283:H8283"/>
    <mergeCell ref="X8283:AB8283"/>
    <mergeCell ref="AE8283:AI8283"/>
    <mergeCell ref="AJ8283:AL8283"/>
    <mergeCell ref="AN8283:AO8283"/>
    <mergeCell ref="AP8283:AQ8283"/>
    <mergeCell ref="A8284:A8285"/>
    <mergeCell ref="E8284:E8285"/>
    <mergeCell ref="F8284:H8284"/>
    <mergeCell ref="J8284:J8285"/>
    <mergeCell ref="K8284:L8285"/>
    <mergeCell ref="M8284:N8285"/>
    <mergeCell ref="O8284:P8285"/>
    <mergeCell ref="Q8284:R8285"/>
    <mergeCell ref="S8284:T8285"/>
    <mergeCell ref="U8284:V8285"/>
    <mergeCell ref="W8284:W8285"/>
    <mergeCell ref="X8284:AB8284"/>
    <mergeCell ref="AD8284:AI8284"/>
    <mergeCell ref="AJ8284:AL8284"/>
    <mergeCell ref="AN8284:AO8284"/>
    <mergeCell ref="AP8284:AQ8284"/>
    <mergeCell ref="AR8284:AS8285"/>
    <mergeCell ref="AT8284:AU8285"/>
    <mergeCell ref="AV8284:AW8285"/>
    <mergeCell ref="AX8284:AY8285"/>
    <mergeCell ref="AZ8284:AZ8285"/>
    <mergeCell ref="F8285:H8285"/>
    <mergeCell ref="X8285:AB8285"/>
    <mergeCell ref="AE8285:AI8285"/>
    <mergeCell ref="AJ8285:AL8285"/>
    <mergeCell ref="AN8285:AO8285"/>
    <mergeCell ref="AP8285:AQ8285"/>
    <mergeCell ref="A8286:A8287"/>
    <mergeCell ref="E8286:E8287"/>
    <mergeCell ref="F8286:H8286"/>
    <mergeCell ref="J8286:J8287"/>
    <mergeCell ref="K8286:L8287"/>
    <mergeCell ref="M8286:N8287"/>
    <mergeCell ref="O8286:P8287"/>
    <mergeCell ref="Q8286:R8287"/>
    <mergeCell ref="S8286:T8287"/>
    <mergeCell ref="U8286:V8287"/>
    <mergeCell ref="W8286:W8287"/>
    <mergeCell ref="X8286:AB8286"/>
    <mergeCell ref="AD8286:AI8286"/>
    <mergeCell ref="AJ8286:AL8286"/>
    <mergeCell ref="AN8286:AO8286"/>
    <mergeCell ref="AP8286:AQ8286"/>
    <mergeCell ref="AR8286:AS8287"/>
    <mergeCell ref="AT8286:AU8287"/>
    <mergeCell ref="AV8286:AW8287"/>
    <mergeCell ref="AX8286:AY8287"/>
    <mergeCell ref="AZ8286:AZ8287"/>
    <mergeCell ref="F8287:H8287"/>
    <mergeCell ref="X8287:AB8287"/>
    <mergeCell ref="AE8287:AI8287"/>
    <mergeCell ref="AJ8287:AL8287"/>
    <mergeCell ref="AN8287:AO8287"/>
    <mergeCell ref="AP8287:AQ8287"/>
    <mergeCell ref="A8288:A8289"/>
    <mergeCell ref="E8288:E8289"/>
    <mergeCell ref="F8288:H8288"/>
    <mergeCell ref="J8288:J8289"/>
    <mergeCell ref="K8288:L8289"/>
    <mergeCell ref="M8288:N8289"/>
    <mergeCell ref="O8288:P8289"/>
    <mergeCell ref="Q8288:R8289"/>
    <mergeCell ref="S8288:T8289"/>
    <mergeCell ref="U8288:V8289"/>
    <mergeCell ref="W8288:W8289"/>
    <mergeCell ref="X8288:AB8288"/>
    <mergeCell ref="AD8288:AI8288"/>
    <mergeCell ref="AJ8288:AL8288"/>
    <mergeCell ref="AN8288:AO8288"/>
    <mergeCell ref="AP8288:AQ8288"/>
    <mergeCell ref="AR8288:AS8289"/>
    <mergeCell ref="AT8288:AU8289"/>
    <mergeCell ref="AV8288:AW8289"/>
    <mergeCell ref="AX8288:AY8289"/>
    <mergeCell ref="AZ8288:AZ8289"/>
    <mergeCell ref="F8289:H8289"/>
    <mergeCell ref="X8289:AB8289"/>
    <mergeCell ref="AE8289:AI8289"/>
    <mergeCell ref="AJ8289:AL8289"/>
    <mergeCell ref="AN8289:AO8289"/>
    <mergeCell ref="AP8289:AQ8289"/>
    <mergeCell ref="A8290:A8291"/>
    <mergeCell ref="E8290:E8291"/>
    <mergeCell ref="F8290:H8290"/>
    <mergeCell ref="J8290:J8291"/>
    <mergeCell ref="K8290:L8291"/>
    <mergeCell ref="M8290:N8291"/>
    <mergeCell ref="O8290:P8291"/>
    <mergeCell ref="Q8290:R8291"/>
    <mergeCell ref="S8290:T8291"/>
    <mergeCell ref="U8290:V8291"/>
    <mergeCell ref="W8290:W8291"/>
    <mergeCell ref="X8290:AB8290"/>
    <mergeCell ref="AD8290:AI8290"/>
    <mergeCell ref="AJ8290:AL8290"/>
    <mergeCell ref="AN8290:AO8290"/>
    <mergeCell ref="AP8290:AQ8290"/>
    <mergeCell ref="AR8290:AS8291"/>
    <mergeCell ref="AT8290:AU8291"/>
    <mergeCell ref="AV8290:AW8291"/>
    <mergeCell ref="AX8290:AY8291"/>
    <mergeCell ref="AZ8290:AZ8291"/>
    <mergeCell ref="F8291:H8291"/>
    <mergeCell ref="X8291:AB8291"/>
    <mergeCell ref="AE8291:AI8291"/>
    <mergeCell ref="AJ8291:AL8291"/>
    <mergeCell ref="AN8291:AO8291"/>
    <mergeCell ref="AP8291:AQ8291"/>
    <mergeCell ref="A8292:A8293"/>
    <mergeCell ref="E8292:E8293"/>
    <mergeCell ref="F8292:H8292"/>
    <mergeCell ref="J8292:J8293"/>
    <mergeCell ref="K8292:L8293"/>
    <mergeCell ref="M8292:N8293"/>
    <mergeCell ref="O8292:P8293"/>
    <mergeCell ref="Q8292:R8293"/>
    <mergeCell ref="S8292:T8293"/>
    <mergeCell ref="U8292:V8293"/>
    <mergeCell ref="W8292:W8293"/>
    <mergeCell ref="X8292:AB8292"/>
    <mergeCell ref="AD8292:AI8292"/>
    <mergeCell ref="AJ8292:AL8292"/>
    <mergeCell ref="AN8292:AO8292"/>
    <mergeCell ref="AP8292:AQ8292"/>
    <mergeCell ref="AR8292:AS8293"/>
    <mergeCell ref="AT8292:AU8293"/>
    <mergeCell ref="AV8292:AW8293"/>
    <mergeCell ref="AX8292:AY8293"/>
    <mergeCell ref="AZ8292:AZ8293"/>
    <mergeCell ref="F8293:H8293"/>
    <mergeCell ref="X8293:AB8293"/>
    <mergeCell ref="AE8293:AI8293"/>
    <mergeCell ref="AJ8293:AL8293"/>
    <mergeCell ref="AN8293:AO8293"/>
    <mergeCell ref="AP8293:AQ8293"/>
    <mergeCell ref="A8294:A8295"/>
    <mergeCell ref="E8294:E8295"/>
    <mergeCell ref="F8294:H8294"/>
    <mergeCell ref="J8294:J8295"/>
    <mergeCell ref="K8294:L8295"/>
    <mergeCell ref="M8294:N8295"/>
    <mergeCell ref="O8294:P8295"/>
    <mergeCell ref="Q8294:R8295"/>
    <mergeCell ref="S8294:T8295"/>
    <mergeCell ref="U8294:V8295"/>
    <mergeCell ref="W8294:W8295"/>
    <mergeCell ref="X8294:AB8294"/>
    <mergeCell ref="AD8294:AI8294"/>
    <mergeCell ref="AJ8294:AL8294"/>
    <mergeCell ref="AN8294:AO8294"/>
    <mergeCell ref="AP8294:AQ8294"/>
    <mergeCell ref="AR8294:AS8295"/>
    <mergeCell ref="AT8294:AU8295"/>
    <mergeCell ref="AV8294:AW8295"/>
    <mergeCell ref="AX8294:AY8295"/>
    <mergeCell ref="AZ8294:AZ8295"/>
    <mergeCell ref="F8295:H8295"/>
    <mergeCell ref="X8295:AB8295"/>
    <mergeCell ref="AE8295:AI8295"/>
    <mergeCell ref="AJ8295:AL8295"/>
    <mergeCell ref="AN8295:AO8295"/>
    <mergeCell ref="AP8295:AQ8295"/>
    <mergeCell ref="A8296:A8297"/>
    <mergeCell ref="E8296:E8297"/>
    <mergeCell ref="F8296:H8296"/>
    <mergeCell ref="J8296:J8297"/>
    <mergeCell ref="K8296:L8297"/>
    <mergeCell ref="M8296:N8297"/>
    <mergeCell ref="O8296:P8297"/>
    <mergeCell ref="Q8296:R8297"/>
    <mergeCell ref="S8296:T8297"/>
    <mergeCell ref="U8296:V8297"/>
    <mergeCell ref="W8296:W8297"/>
    <mergeCell ref="X8296:AB8296"/>
    <mergeCell ref="AD8296:AI8296"/>
    <mergeCell ref="AJ8296:AL8296"/>
    <mergeCell ref="AN8296:AO8296"/>
    <mergeCell ref="AP8296:AQ8296"/>
    <mergeCell ref="AR8296:AS8297"/>
    <mergeCell ref="AT8296:AU8297"/>
    <mergeCell ref="AV8296:AW8297"/>
    <mergeCell ref="AX8296:AY8297"/>
    <mergeCell ref="AZ8296:AZ8297"/>
    <mergeCell ref="F8297:H8297"/>
    <mergeCell ref="X8297:AB8297"/>
    <mergeCell ref="AE8297:AI8297"/>
    <mergeCell ref="AJ8297:AL8297"/>
    <mergeCell ref="AN8297:AO8297"/>
    <mergeCell ref="AP8297:AQ8297"/>
    <mergeCell ref="A8298:A8299"/>
    <mergeCell ref="E8298:E8299"/>
    <mergeCell ref="F8298:H8298"/>
    <mergeCell ref="J8298:J8299"/>
    <mergeCell ref="K8298:L8299"/>
    <mergeCell ref="M8298:N8299"/>
    <mergeCell ref="O8298:P8299"/>
    <mergeCell ref="Q8298:R8299"/>
    <mergeCell ref="S8298:T8299"/>
    <mergeCell ref="U8298:V8299"/>
    <mergeCell ref="W8298:W8299"/>
    <mergeCell ref="X8298:AB8298"/>
    <mergeCell ref="AD8298:AI8298"/>
    <mergeCell ref="AJ8298:AL8298"/>
    <mergeCell ref="AN8298:AO8298"/>
    <mergeCell ref="AP8298:AQ8298"/>
    <mergeCell ref="AR8298:AS8299"/>
    <mergeCell ref="AT8298:AU8299"/>
    <mergeCell ref="AV8298:AW8299"/>
    <mergeCell ref="AX8298:AY8299"/>
    <mergeCell ref="AZ8298:AZ8299"/>
    <mergeCell ref="F8299:H8299"/>
    <mergeCell ref="X8299:AB8299"/>
    <mergeCell ref="AE8299:AI8299"/>
    <mergeCell ref="AJ8299:AL8299"/>
    <mergeCell ref="AN8299:AO8299"/>
    <mergeCell ref="AP8299:AQ8299"/>
    <mergeCell ref="A8300:A8301"/>
    <mergeCell ref="E8300:E8301"/>
    <mergeCell ref="F8300:H8300"/>
    <mergeCell ref="J8300:J8301"/>
    <mergeCell ref="K8300:L8301"/>
    <mergeCell ref="M8300:N8301"/>
    <mergeCell ref="O8300:P8301"/>
    <mergeCell ref="Q8300:R8301"/>
    <mergeCell ref="S8300:T8301"/>
    <mergeCell ref="U8300:V8301"/>
    <mergeCell ref="W8300:W8301"/>
    <mergeCell ref="X8300:AB8300"/>
    <mergeCell ref="AD8300:AI8300"/>
    <mergeCell ref="AJ8300:AL8300"/>
    <mergeCell ref="AN8300:AO8300"/>
    <mergeCell ref="AP8300:AQ8300"/>
    <mergeCell ref="AR8300:AS8301"/>
    <mergeCell ref="AT8300:AU8301"/>
    <mergeCell ref="AV8300:AW8301"/>
    <mergeCell ref="AX8300:AY8301"/>
    <mergeCell ref="AZ8300:AZ8301"/>
    <mergeCell ref="F8301:H8301"/>
    <mergeCell ref="X8301:AB8301"/>
    <mergeCell ref="AE8301:AI8301"/>
    <mergeCell ref="AJ8301:AL8301"/>
    <mergeCell ref="AN8301:AO8301"/>
    <mergeCell ref="AP8301:AQ8301"/>
    <mergeCell ref="A8302:A8303"/>
    <mergeCell ref="E8302:E8303"/>
    <mergeCell ref="F8302:H8302"/>
    <mergeCell ref="J8302:J8303"/>
    <mergeCell ref="K8302:L8303"/>
    <mergeCell ref="M8302:N8303"/>
    <mergeCell ref="O8302:P8303"/>
    <mergeCell ref="Q8302:R8303"/>
    <mergeCell ref="S8302:T8303"/>
    <mergeCell ref="U8302:V8303"/>
    <mergeCell ref="W8302:W8303"/>
    <mergeCell ref="X8302:AB8302"/>
    <mergeCell ref="AD8302:AI8302"/>
    <mergeCell ref="AJ8302:AL8302"/>
    <mergeCell ref="AN8302:AO8302"/>
    <mergeCell ref="AP8302:AQ8302"/>
    <mergeCell ref="AR8302:AS8303"/>
    <mergeCell ref="AT8302:AU8303"/>
    <mergeCell ref="AV8302:AW8303"/>
    <mergeCell ref="AX8302:AY8303"/>
    <mergeCell ref="AZ8302:AZ8303"/>
    <mergeCell ref="F8303:H8303"/>
    <mergeCell ref="X8303:AB8303"/>
    <mergeCell ref="AE8303:AI8303"/>
    <mergeCell ref="AJ8303:AL8303"/>
    <mergeCell ref="AN8303:AO8303"/>
    <mergeCell ref="AP8303:AQ8303"/>
    <mergeCell ref="A8304:A8305"/>
    <mergeCell ref="E8304:E8305"/>
    <mergeCell ref="F8304:H8304"/>
    <mergeCell ref="J8304:J8305"/>
    <mergeCell ref="K8304:L8305"/>
    <mergeCell ref="M8304:N8305"/>
    <mergeCell ref="O8304:P8305"/>
    <mergeCell ref="Q8304:R8305"/>
    <mergeCell ref="S8304:T8305"/>
    <mergeCell ref="U8304:V8305"/>
    <mergeCell ref="W8304:W8305"/>
    <mergeCell ref="X8304:AB8304"/>
    <mergeCell ref="AD8304:AI8304"/>
    <mergeCell ref="AJ8304:AL8304"/>
    <mergeCell ref="AN8304:AO8304"/>
    <mergeCell ref="AP8304:AQ8304"/>
    <mergeCell ref="AR8304:AS8305"/>
    <mergeCell ref="AT8304:AU8305"/>
    <mergeCell ref="AV8304:AW8305"/>
    <mergeCell ref="AX8304:AY8305"/>
    <mergeCell ref="AZ8304:AZ8305"/>
    <mergeCell ref="F8305:H8305"/>
    <mergeCell ref="X8305:AB8305"/>
    <mergeCell ref="AE8305:AI8305"/>
    <mergeCell ref="AJ8305:AL8305"/>
    <mergeCell ref="AN8305:AO8305"/>
    <mergeCell ref="AP8305:AQ8305"/>
    <mergeCell ref="A8306:A8307"/>
    <mergeCell ref="E8306:E8307"/>
    <mergeCell ref="F8306:H8306"/>
    <mergeCell ref="J8306:J8307"/>
    <mergeCell ref="K8306:L8307"/>
    <mergeCell ref="M8306:N8307"/>
    <mergeCell ref="O8306:P8307"/>
    <mergeCell ref="Q8306:R8307"/>
    <mergeCell ref="S8306:T8307"/>
    <mergeCell ref="U8306:V8307"/>
    <mergeCell ref="W8306:W8307"/>
    <mergeCell ref="X8306:AB8306"/>
    <mergeCell ref="AD8306:AI8306"/>
    <mergeCell ref="AJ8306:AL8306"/>
    <mergeCell ref="AN8306:AO8306"/>
    <mergeCell ref="AP8306:AQ8306"/>
    <mergeCell ref="AR8306:AS8307"/>
    <mergeCell ref="AT8306:AU8307"/>
    <mergeCell ref="AV8306:AW8307"/>
    <mergeCell ref="AX8306:AY8307"/>
    <mergeCell ref="AZ8306:AZ8307"/>
    <mergeCell ref="F8307:H8307"/>
    <mergeCell ref="X8307:AB8307"/>
    <mergeCell ref="AE8307:AI8307"/>
    <mergeCell ref="AJ8307:AL8307"/>
    <mergeCell ref="AN8307:AO8307"/>
    <mergeCell ref="AP8307:AQ8307"/>
    <mergeCell ref="A8308:A8309"/>
    <mergeCell ref="E8308:E8309"/>
    <mergeCell ref="F8308:H8308"/>
    <mergeCell ref="J8308:J8309"/>
    <mergeCell ref="K8308:L8309"/>
    <mergeCell ref="M8308:N8309"/>
    <mergeCell ref="O8308:P8309"/>
    <mergeCell ref="Q8308:R8309"/>
    <mergeCell ref="S8308:T8309"/>
    <mergeCell ref="U8308:V8309"/>
    <mergeCell ref="W8308:W8309"/>
    <mergeCell ref="X8308:AB8308"/>
    <mergeCell ref="AD8308:AI8308"/>
    <mergeCell ref="AJ8308:AL8308"/>
    <mergeCell ref="AN8308:AO8308"/>
    <mergeCell ref="AP8308:AQ8308"/>
    <mergeCell ref="AR8308:AS8309"/>
    <mergeCell ref="AT8308:AU8309"/>
    <mergeCell ref="AV8308:AW8309"/>
    <mergeCell ref="AX8308:AY8309"/>
    <mergeCell ref="AZ8308:AZ8309"/>
    <mergeCell ref="F8309:H8309"/>
    <mergeCell ref="X8309:AB8309"/>
    <mergeCell ref="AE8309:AI8309"/>
    <mergeCell ref="AJ8309:AL8309"/>
    <mergeCell ref="AN8309:AO8309"/>
    <mergeCell ref="AP8309:AQ8309"/>
    <mergeCell ref="A8310:A8311"/>
    <mergeCell ref="E8310:E8311"/>
    <mergeCell ref="F8310:H8310"/>
    <mergeCell ref="J8310:J8311"/>
    <mergeCell ref="K8310:L8311"/>
    <mergeCell ref="M8310:N8311"/>
    <mergeCell ref="O8310:P8311"/>
    <mergeCell ref="Q8310:R8311"/>
    <mergeCell ref="S8310:T8311"/>
    <mergeCell ref="U8310:V8311"/>
    <mergeCell ref="W8310:W8311"/>
    <mergeCell ref="X8310:AB8310"/>
    <mergeCell ref="AD8310:AI8310"/>
    <mergeCell ref="AJ8310:AL8310"/>
    <mergeCell ref="AN8310:AO8310"/>
    <mergeCell ref="AP8310:AQ8310"/>
    <mergeCell ref="AR8310:AS8311"/>
    <mergeCell ref="AT8310:AU8311"/>
    <mergeCell ref="AV8310:AW8311"/>
    <mergeCell ref="AX8310:AY8311"/>
    <mergeCell ref="AZ8310:AZ8311"/>
    <mergeCell ref="F8311:H8311"/>
    <mergeCell ref="X8311:AB8311"/>
    <mergeCell ref="AE8311:AI8311"/>
    <mergeCell ref="AJ8311:AL8311"/>
    <mergeCell ref="AN8311:AO8311"/>
    <mergeCell ref="AP8311:AQ8311"/>
    <mergeCell ref="A8312:A8313"/>
    <mergeCell ref="E8312:E8313"/>
    <mergeCell ref="F8312:H8312"/>
    <mergeCell ref="J8312:J8313"/>
    <mergeCell ref="K8312:L8313"/>
    <mergeCell ref="M8312:N8313"/>
    <mergeCell ref="O8312:P8313"/>
    <mergeCell ref="Q8312:R8313"/>
    <mergeCell ref="S8312:T8313"/>
    <mergeCell ref="U8312:V8313"/>
    <mergeCell ref="W8312:W8313"/>
    <mergeCell ref="X8312:AB8312"/>
    <mergeCell ref="AD8312:AI8312"/>
    <mergeCell ref="AJ8312:AL8312"/>
    <mergeCell ref="AN8312:AO8312"/>
    <mergeCell ref="AP8312:AQ8312"/>
    <mergeCell ref="AR8312:AS8313"/>
    <mergeCell ref="AT8312:AU8313"/>
    <mergeCell ref="AV8312:AW8313"/>
    <mergeCell ref="AX8312:AY8313"/>
    <mergeCell ref="AZ8312:AZ8313"/>
    <mergeCell ref="F8313:H8313"/>
    <mergeCell ref="X8313:AB8313"/>
    <mergeCell ref="AE8313:AI8313"/>
    <mergeCell ref="AJ8313:AL8313"/>
    <mergeCell ref="AN8313:AO8313"/>
    <mergeCell ref="AP8313:AQ8313"/>
    <mergeCell ref="A8314:A8315"/>
    <mergeCell ref="E8314:E8315"/>
    <mergeCell ref="F8314:H8314"/>
    <mergeCell ref="J8314:J8315"/>
    <mergeCell ref="K8314:L8315"/>
    <mergeCell ref="M8314:N8315"/>
    <mergeCell ref="O8314:P8315"/>
    <mergeCell ref="Q8314:R8315"/>
    <mergeCell ref="S8314:T8315"/>
    <mergeCell ref="U8314:V8315"/>
    <mergeCell ref="W8314:W8315"/>
    <mergeCell ref="X8314:AB8314"/>
    <mergeCell ref="AD8314:AI8314"/>
    <mergeCell ref="AJ8314:AL8314"/>
    <mergeCell ref="AN8314:AO8314"/>
    <mergeCell ref="AP8314:AQ8314"/>
    <mergeCell ref="AR8314:AS8315"/>
    <mergeCell ref="AT8314:AU8315"/>
    <mergeCell ref="AV8314:AW8315"/>
    <mergeCell ref="AX8314:AY8315"/>
    <mergeCell ref="AZ8314:AZ8315"/>
    <mergeCell ref="F8315:H8315"/>
    <mergeCell ref="X8315:AB8315"/>
    <mergeCell ref="AE8315:AI8315"/>
    <mergeCell ref="AJ8315:AL8315"/>
    <mergeCell ref="AN8315:AO8315"/>
    <mergeCell ref="AP8315:AQ8315"/>
    <mergeCell ref="A8316:A8317"/>
    <mergeCell ref="E8316:E8317"/>
    <mergeCell ref="F8316:H8316"/>
    <mergeCell ref="J8316:J8317"/>
    <mergeCell ref="K8316:L8317"/>
    <mergeCell ref="M8316:N8317"/>
    <mergeCell ref="O8316:P8317"/>
    <mergeCell ref="Q8316:R8317"/>
    <mergeCell ref="S8316:T8317"/>
    <mergeCell ref="U8316:V8317"/>
    <mergeCell ref="W8316:W8317"/>
    <mergeCell ref="X8316:AB8316"/>
    <mergeCell ref="AD8316:AI8316"/>
    <mergeCell ref="AJ8316:AL8316"/>
    <mergeCell ref="AN8316:AO8316"/>
    <mergeCell ref="AP8316:AQ8316"/>
    <mergeCell ref="AR8316:AS8317"/>
    <mergeCell ref="AT8316:AU8317"/>
    <mergeCell ref="AV8316:AW8317"/>
    <mergeCell ref="AX8316:AY8317"/>
    <mergeCell ref="AZ8316:AZ8317"/>
    <mergeCell ref="F8317:H8317"/>
    <mergeCell ref="X8317:AB8317"/>
    <mergeCell ref="AE8317:AI8317"/>
    <mergeCell ref="AJ8317:AL8317"/>
    <mergeCell ref="AN8317:AO8317"/>
    <mergeCell ref="AP8317:AQ8317"/>
    <mergeCell ref="A8318:A8319"/>
    <mergeCell ref="E8318:E8319"/>
    <mergeCell ref="F8318:H8318"/>
    <mergeCell ref="J8318:J8319"/>
    <mergeCell ref="K8318:L8319"/>
    <mergeCell ref="M8318:N8319"/>
    <mergeCell ref="O8318:P8319"/>
    <mergeCell ref="Q8318:R8319"/>
    <mergeCell ref="S8318:T8319"/>
    <mergeCell ref="U8318:V8319"/>
    <mergeCell ref="W8318:W8319"/>
    <mergeCell ref="X8318:AB8318"/>
    <mergeCell ref="AD8318:AI8318"/>
    <mergeCell ref="AJ8318:AL8318"/>
    <mergeCell ref="AN8318:AO8318"/>
    <mergeCell ref="AP8318:AQ8318"/>
    <mergeCell ref="AR8318:AS8319"/>
    <mergeCell ref="AT8318:AU8319"/>
    <mergeCell ref="AV8318:AW8319"/>
    <mergeCell ref="AX8318:AY8319"/>
    <mergeCell ref="AZ8318:AZ8319"/>
    <mergeCell ref="F8319:H8319"/>
    <mergeCell ref="X8319:AB8319"/>
    <mergeCell ref="AE8319:AI8319"/>
    <mergeCell ref="AJ8319:AL8319"/>
    <mergeCell ref="AN8319:AO8319"/>
    <mergeCell ref="AP8319:AQ8319"/>
    <mergeCell ref="A8320:A8321"/>
    <mergeCell ref="E8320:E8321"/>
    <mergeCell ref="F8320:H8320"/>
    <mergeCell ref="J8320:J8321"/>
    <mergeCell ref="K8320:L8321"/>
    <mergeCell ref="M8320:N8321"/>
    <mergeCell ref="O8320:P8321"/>
    <mergeCell ref="Q8320:R8321"/>
    <mergeCell ref="S8320:T8321"/>
    <mergeCell ref="U8320:V8321"/>
    <mergeCell ref="W8320:W8321"/>
    <mergeCell ref="X8320:AB8320"/>
    <mergeCell ref="AD8320:AI8320"/>
    <mergeCell ref="AJ8320:AL8320"/>
    <mergeCell ref="AN8320:AO8320"/>
    <mergeCell ref="AP8320:AQ8320"/>
    <mergeCell ref="AR8320:AS8321"/>
    <mergeCell ref="AT8320:AU8321"/>
    <mergeCell ref="AV8320:AW8321"/>
    <mergeCell ref="AX8320:AY8321"/>
    <mergeCell ref="AZ8320:AZ8321"/>
    <mergeCell ref="F8321:H8321"/>
    <mergeCell ref="X8321:AB8321"/>
    <mergeCell ref="AE8321:AI8321"/>
    <mergeCell ref="AJ8321:AL8321"/>
    <mergeCell ref="AN8321:AO8321"/>
    <mergeCell ref="AP8321:AQ8321"/>
    <mergeCell ref="A8322:A8323"/>
    <mergeCell ref="E8322:E8323"/>
    <mergeCell ref="F8322:H8322"/>
    <mergeCell ref="J8322:J8323"/>
    <mergeCell ref="K8322:L8323"/>
    <mergeCell ref="M8322:N8323"/>
    <mergeCell ref="O8322:P8323"/>
    <mergeCell ref="Q8322:R8323"/>
    <mergeCell ref="S8322:T8323"/>
    <mergeCell ref="U8322:V8323"/>
    <mergeCell ref="W8322:W8323"/>
    <mergeCell ref="X8322:AB8322"/>
    <mergeCell ref="AD8322:AI8322"/>
    <mergeCell ref="AJ8322:AL8322"/>
    <mergeCell ref="AN8322:AO8322"/>
    <mergeCell ref="AP8322:AQ8322"/>
    <mergeCell ref="AR8322:AS8323"/>
    <mergeCell ref="AT8322:AU8323"/>
    <mergeCell ref="AV8322:AW8323"/>
    <mergeCell ref="AX8322:AY8323"/>
    <mergeCell ref="AZ8322:AZ8323"/>
    <mergeCell ref="F8323:H8323"/>
    <mergeCell ref="X8323:AB8323"/>
    <mergeCell ref="AE8323:AI8323"/>
    <mergeCell ref="AJ8323:AL8323"/>
    <mergeCell ref="AN8323:AO8323"/>
    <mergeCell ref="AP8323:AQ8323"/>
    <mergeCell ref="A8324:A8325"/>
    <mergeCell ref="E8324:E8325"/>
    <mergeCell ref="F8324:H8324"/>
    <mergeCell ref="J8324:J8325"/>
    <mergeCell ref="K8324:L8325"/>
    <mergeCell ref="M8324:N8325"/>
    <mergeCell ref="O8324:P8325"/>
    <mergeCell ref="Q8324:R8325"/>
    <mergeCell ref="S8324:T8325"/>
    <mergeCell ref="U8324:V8325"/>
    <mergeCell ref="W8324:W8325"/>
    <mergeCell ref="X8324:AB8324"/>
    <mergeCell ref="AD8324:AI8324"/>
    <mergeCell ref="AJ8324:AL8324"/>
    <mergeCell ref="AN8324:AO8324"/>
    <mergeCell ref="AP8324:AQ8324"/>
    <mergeCell ref="AR8324:AS8325"/>
    <mergeCell ref="AT8324:AU8325"/>
    <mergeCell ref="AV8324:AW8325"/>
    <mergeCell ref="AX8324:AY8325"/>
    <mergeCell ref="AZ8324:AZ8325"/>
    <mergeCell ref="F8325:H8325"/>
    <mergeCell ref="X8325:AB8325"/>
    <mergeCell ref="AE8325:AI8325"/>
    <mergeCell ref="AJ8325:AL8325"/>
    <mergeCell ref="AN8325:AO8325"/>
    <mergeCell ref="AP8325:AQ8325"/>
    <mergeCell ref="A8326:A8327"/>
    <mergeCell ref="E8326:E8327"/>
    <mergeCell ref="F8326:H8326"/>
    <mergeCell ref="J8326:J8327"/>
    <mergeCell ref="K8326:L8327"/>
    <mergeCell ref="M8326:N8327"/>
    <mergeCell ref="O8326:P8327"/>
    <mergeCell ref="Q8326:R8327"/>
    <mergeCell ref="S8326:T8327"/>
    <mergeCell ref="U8326:V8327"/>
    <mergeCell ref="W8326:W8327"/>
    <mergeCell ref="X8326:AB8326"/>
    <mergeCell ref="AD8326:AI8326"/>
    <mergeCell ref="AJ8326:AL8326"/>
    <mergeCell ref="AN8326:AO8326"/>
    <mergeCell ref="AP8326:AQ8326"/>
    <mergeCell ref="AR8326:AS8327"/>
    <mergeCell ref="AT8326:AU8327"/>
    <mergeCell ref="AV8326:AW8327"/>
    <mergeCell ref="AX8326:AY8327"/>
    <mergeCell ref="AZ8326:AZ8327"/>
    <mergeCell ref="F8327:H8327"/>
    <mergeCell ref="X8327:AB8327"/>
    <mergeCell ref="AE8327:AI8327"/>
    <mergeCell ref="AJ8327:AL8327"/>
    <mergeCell ref="AN8327:AO8327"/>
    <mergeCell ref="AP8327:AQ8327"/>
    <mergeCell ref="A8328:A8329"/>
    <mergeCell ref="E8328:E8329"/>
    <mergeCell ref="F8328:H8328"/>
    <mergeCell ref="J8328:J8329"/>
    <mergeCell ref="K8328:L8329"/>
    <mergeCell ref="M8328:N8329"/>
    <mergeCell ref="O8328:P8329"/>
    <mergeCell ref="Q8328:R8329"/>
    <mergeCell ref="S8328:T8329"/>
    <mergeCell ref="U8328:V8329"/>
    <mergeCell ref="W8328:W8329"/>
    <mergeCell ref="X8328:AB8328"/>
    <mergeCell ref="AD8328:AI8328"/>
    <mergeCell ref="AJ8328:AL8328"/>
    <mergeCell ref="AN8328:AO8328"/>
    <mergeCell ref="AP8328:AQ8328"/>
    <mergeCell ref="AR8328:AS8329"/>
    <mergeCell ref="AT8328:AU8329"/>
    <mergeCell ref="AV8328:AW8329"/>
    <mergeCell ref="AX8328:AY8329"/>
    <mergeCell ref="AZ8328:AZ8329"/>
    <mergeCell ref="F8329:H8329"/>
    <mergeCell ref="X8329:AB8329"/>
    <mergeCell ref="AE8329:AI8329"/>
    <mergeCell ref="AJ8329:AL8329"/>
    <mergeCell ref="AN8329:AO8329"/>
    <mergeCell ref="AP8329:AQ8329"/>
    <mergeCell ref="A8330:A8331"/>
    <mergeCell ref="E8330:E8331"/>
    <mergeCell ref="F8330:H8330"/>
    <mergeCell ref="J8330:J8331"/>
    <mergeCell ref="K8330:L8331"/>
    <mergeCell ref="M8330:N8331"/>
    <mergeCell ref="O8330:P8331"/>
    <mergeCell ref="Q8330:R8331"/>
    <mergeCell ref="S8330:T8331"/>
    <mergeCell ref="U8330:V8331"/>
    <mergeCell ref="W8330:W8331"/>
    <mergeCell ref="X8330:AB8330"/>
    <mergeCell ref="AD8330:AI8330"/>
    <mergeCell ref="AJ8330:AL8330"/>
    <mergeCell ref="AN8330:AO8330"/>
    <mergeCell ref="AP8330:AQ8330"/>
    <mergeCell ref="AR8330:AS8331"/>
    <mergeCell ref="AT8330:AU8331"/>
    <mergeCell ref="AV8330:AW8331"/>
    <mergeCell ref="AX8330:AY8331"/>
    <mergeCell ref="AZ8330:AZ8331"/>
    <mergeCell ref="F8331:H8331"/>
    <mergeCell ref="X8331:AB8331"/>
    <mergeCell ref="AE8331:AI8331"/>
    <mergeCell ref="AJ8331:AL8331"/>
    <mergeCell ref="AN8331:AO8331"/>
    <mergeCell ref="AP8331:AQ8331"/>
    <mergeCell ref="A8332:A8333"/>
    <mergeCell ref="E8332:E8333"/>
    <mergeCell ref="F8332:H8332"/>
    <mergeCell ref="J8332:J8333"/>
    <mergeCell ref="K8332:L8333"/>
    <mergeCell ref="M8332:N8333"/>
    <mergeCell ref="O8332:P8333"/>
    <mergeCell ref="Q8332:R8333"/>
    <mergeCell ref="S8332:T8333"/>
    <mergeCell ref="U8332:V8333"/>
    <mergeCell ref="W8332:W8333"/>
    <mergeCell ref="X8332:AB8332"/>
    <mergeCell ref="AD8332:AI8332"/>
    <mergeCell ref="AJ8332:AL8332"/>
    <mergeCell ref="AN8332:AO8332"/>
    <mergeCell ref="AP8332:AQ8332"/>
    <mergeCell ref="AR8332:AS8333"/>
    <mergeCell ref="AT8332:AU8333"/>
    <mergeCell ref="AV8332:AW8333"/>
    <mergeCell ref="AX8332:AY8333"/>
    <mergeCell ref="AZ8332:AZ8333"/>
    <mergeCell ref="F8333:H8333"/>
    <mergeCell ref="X8333:AB8333"/>
    <mergeCell ref="AE8333:AI8333"/>
    <mergeCell ref="AJ8333:AL8333"/>
    <mergeCell ref="AN8333:AO8333"/>
    <mergeCell ref="AP8333:AQ8333"/>
    <mergeCell ref="A8334:A8335"/>
    <mergeCell ref="E8334:E8335"/>
    <mergeCell ref="F8334:H8334"/>
    <mergeCell ref="J8334:J8335"/>
    <mergeCell ref="K8334:L8335"/>
    <mergeCell ref="M8334:N8335"/>
    <mergeCell ref="O8334:P8335"/>
    <mergeCell ref="Q8334:R8335"/>
    <mergeCell ref="S8334:T8335"/>
    <mergeCell ref="U8334:V8335"/>
    <mergeCell ref="W8334:W8335"/>
    <mergeCell ref="X8334:AB8334"/>
    <mergeCell ref="AD8334:AI8334"/>
    <mergeCell ref="AJ8334:AL8334"/>
    <mergeCell ref="AN8334:AO8334"/>
    <mergeCell ref="AP8334:AQ8334"/>
    <mergeCell ref="AR8334:AS8335"/>
    <mergeCell ref="AT8334:AU8335"/>
    <mergeCell ref="AV8334:AW8335"/>
    <mergeCell ref="AX8334:AY8335"/>
    <mergeCell ref="AZ8334:AZ8335"/>
    <mergeCell ref="F8335:H8335"/>
    <mergeCell ref="X8335:AB8335"/>
    <mergeCell ref="AE8335:AI8335"/>
    <mergeCell ref="AJ8335:AL8335"/>
    <mergeCell ref="AN8335:AO8335"/>
    <mergeCell ref="AP8335:AQ8335"/>
    <mergeCell ref="A8336:A8337"/>
    <mergeCell ref="E8336:E8337"/>
    <mergeCell ref="F8336:H8336"/>
    <mergeCell ref="J8336:J8337"/>
    <mergeCell ref="K8336:L8337"/>
    <mergeCell ref="M8336:N8337"/>
    <mergeCell ref="O8336:P8337"/>
    <mergeCell ref="Q8336:R8337"/>
    <mergeCell ref="S8336:T8337"/>
    <mergeCell ref="U8336:V8337"/>
    <mergeCell ref="W8336:W8337"/>
    <mergeCell ref="X8336:AB8336"/>
    <mergeCell ref="AD8336:AI8336"/>
    <mergeCell ref="AJ8336:AL8336"/>
    <mergeCell ref="AN8336:AO8336"/>
    <mergeCell ref="AP8336:AQ8336"/>
    <mergeCell ref="AR8336:AS8337"/>
    <mergeCell ref="AT8336:AU8337"/>
    <mergeCell ref="AV8336:AW8337"/>
    <mergeCell ref="AX8336:AY8337"/>
    <mergeCell ref="AZ8336:AZ8337"/>
    <mergeCell ref="F8337:H8337"/>
    <mergeCell ref="X8337:AB8337"/>
    <mergeCell ref="AE8337:AI8337"/>
    <mergeCell ref="AJ8337:AL8337"/>
    <mergeCell ref="AN8337:AO8337"/>
    <mergeCell ref="AP8337:AQ8337"/>
    <mergeCell ref="A8338:A8339"/>
    <mergeCell ref="E8338:E8339"/>
    <mergeCell ref="F8338:H8338"/>
    <mergeCell ref="J8338:J8339"/>
    <mergeCell ref="K8338:L8339"/>
    <mergeCell ref="M8338:N8339"/>
    <mergeCell ref="O8338:P8339"/>
    <mergeCell ref="Q8338:R8339"/>
    <mergeCell ref="S8338:T8339"/>
    <mergeCell ref="U8338:V8339"/>
    <mergeCell ref="W8338:W8339"/>
    <mergeCell ref="X8338:AB8338"/>
    <mergeCell ref="AD8338:AI8338"/>
    <mergeCell ref="AJ8338:AL8338"/>
    <mergeCell ref="AN8338:AO8338"/>
    <mergeCell ref="AP8338:AQ8338"/>
    <mergeCell ref="AR8338:AS8339"/>
    <mergeCell ref="AT8338:AU8339"/>
    <mergeCell ref="AV8338:AW8339"/>
    <mergeCell ref="AX8338:AY8339"/>
    <mergeCell ref="AZ8338:AZ8339"/>
    <mergeCell ref="F8339:H8339"/>
    <mergeCell ref="X8339:AB8339"/>
    <mergeCell ref="AE8339:AI8339"/>
    <mergeCell ref="AJ8339:AL8339"/>
    <mergeCell ref="AN8339:AO8339"/>
    <mergeCell ref="AP8339:AQ8339"/>
    <mergeCell ref="A8340:A8341"/>
    <mergeCell ref="E8340:E8341"/>
    <mergeCell ref="F8340:H8340"/>
    <mergeCell ref="J8340:J8341"/>
    <mergeCell ref="K8340:L8341"/>
    <mergeCell ref="M8340:N8341"/>
    <mergeCell ref="O8340:P8341"/>
    <mergeCell ref="Q8340:R8341"/>
    <mergeCell ref="S8340:T8341"/>
    <mergeCell ref="U8340:V8341"/>
    <mergeCell ref="W8340:W8341"/>
    <mergeCell ref="X8340:AB8340"/>
    <mergeCell ref="AD8340:AI8340"/>
    <mergeCell ref="AJ8340:AL8340"/>
    <mergeCell ref="AN8340:AO8340"/>
    <mergeCell ref="AP8340:AQ8340"/>
    <mergeCell ref="AR8340:AS8341"/>
    <mergeCell ref="AT8340:AU8341"/>
    <mergeCell ref="AV8340:AW8341"/>
    <mergeCell ref="AX8340:AY8341"/>
    <mergeCell ref="AZ8340:AZ8341"/>
    <mergeCell ref="F8341:H8341"/>
    <mergeCell ref="X8341:AB8341"/>
    <mergeCell ref="AE8341:AI8341"/>
    <mergeCell ref="AJ8341:AL8341"/>
    <mergeCell ref="AN8341:AO8341"/>
    <mergeCell ref="AP8341:AQ8341"/>
    <mergeCell ref="A8342:A8343"/>
    <mergeCell ref="E8342:E8343"/>
    <mergeCell ref="F8342:H8342"/>
    <mergeCell ref="J8342:J8343"/>
    <mergeCell ref="K8342:L8343"/>
    <mergeCell ref="M8342:N8343"/>
    <mergeCell ref="O8342:P8343"/>
    <mergeCell ref="Q8342:R8343"/>
    <mergeCell ref="S8342:T8343"/>
    <mergeCell ref="U8342:V8343"/>
    <mergeCell ref="W8342:W8343"/>
    <mergeCell ref="X8342:AB8342"/>
    <mergeCell ref="AD8342:AI8342"/>
    <mergeCell ref="AJ8342:AL8342"/>
    <mergeCell ref="AN8342:AO8342"/>
    <mergeCell ref="AP8342:AQ8342"/>
    <mergeCell ref="AR8342:AS8343"/>
    <mergeCell ref="AT8342:AU8343"/>
    <mergeCell ref="AV8342:AW8343"/>
    <mergeCell ref="AX8342:AY8343"/>
    <mergeCell ref="AZ8342:AZ8343"/>
    <mergeCell ref="F8343:H8343"/>
    <mergeCell ref="X8343:AB8343"/>
    <mergeCell ref="AE8343:AI8343"/>
    <mergeCell ref="AJ8343:AL8343"/>
    <mergeCell ref="AN8343:AO8343"/>
    <mergeCell ref="AP8343:AQ8343"/>
    <mergeCell ref="A8344:A8345"/>
    <mergeCell ref="E8344:E8345"/>
    <mergeCell ref="F8344:H8344"/>
    <mergeCell ref="J8344:J8345"/>
    <mergeCell ref="K8344:L8345"/>
    <mergeCell ref="M8344:N8345"/>
    <mergeCell ref="O8344:P8345"/>
    <mergeCell ref="Q8344:R8345"/>
    <mergeCell ref="S8344:T8345"/>
    <mergeCell ref="U8344:V8345"/>
    <mergeCell ref="W8344:W8345"/>
    <mergeCell ref="X8344:AB8344"/>
    <mergeCell ref="AD8344:AI8344"/>
    <mergeCell ref="AJ8344:AL8344"/>
    <mergeCell ref="AN8344:AO8344"/>
    <mergeCell ref="AP8344:AQ8344"/>
    <mergeCell ref="AR8344:AS8345"/>
    <mergeCell ref="AT8344:AU8345"/>
    <mergeCell ref="AV8344:AW8345"/>
    <mergeCell ref="AX8344:AY8345"/>
    <mergeCell ref="AZ8344:AZ8345"/>
    <mergeCell ref="F8345:H8345"/>
    <mergeCell ref="X8345:AB8345"/>
    <mergeCell ref="AE8345:AI8345"/>
    <mergeCell ref="AJ8345:AL8345"/>
    <mergeCell ref="AN8345:AO8345"/>
    <mergeCell ref="AP8345:AQ8345"/>
    <mergeCell ref="A8346:A8347"/>
    <mergeCell ref="E8346:E8347"/>
    <mergeCell ref="F8346:H8346"/>
    <mergeCell ref="J8346:J8347"/>
    <mergeCell ref="K8346:L8347"/>
    <mergeCell ref="M8346:N8347"/>
    <mergeCell ref="O8346:P8347"/>
    <mergeCell ref="Q8346:R8347"/>
    <mergeCell ref="S8346:T8347"/>
    <mergeCell ref="U8346:V8347"/>
    <mergeCell ref="W8346:W8347"/>
    <mergeCell ref="X8346:AB8346"/>
    <mergeCell ref="AD8346:AI8346"/>
    <mergeCell ref="AJ8346:AL8346"/>
    <mergeCell ref="AN8346:AO8346"/>
    <mergeCell ref="AP8346:AQ8346"/>
    <mergeCell ref="AR8346:AS8347"/>
    <mergeCell ref="AT8346:AU8347"/>
    <mergeCell ref="AV8346:AW8347"/>
    <mergeCell ref="AX8346:AY8347"/>
    <mergeCell ref="AZ8346:AZ8347"/>
    <mergeCell ref="F8347:H8347"/>
    <mergeCell ref="X8347:AB8347"/>
    <mergeCell ref="AE8347:AI8347"/>
    <mergeCell ref="AJ8347:AL8347"/>
    <mergeCell ref="AN8347:AO8347"/>
    <mergeCell ref="AP8347:AQ8347"/>
    <mergeCell ref="A8348:A8349"/>
    <mergeCell ref="E8348:E8349"/>
    <mergeCell ref="F8348:H8348"/>
    <mergeCell ref="J8348:J8349"/>
    <mergeCell ref="K8348:L8349"/>
    <mergeCell ref="M8348:N8349"/>
    <mergeCell ref="O8348:P8349"/>
    <mergeCell ref="Q8348:R8349"/>
    <mergeCell ref="S8348:T8349"/>
    <mergeCell ref="U8348:V8349"/>
    <mergeCell ref="W8348:W8349"/>
    <mergeCell ref="X8348:AB8348"/>
    <mergeCell ref="AD8348:AI8348"/>
    <mergeCell ref="AJ8348:AL8348"/>
    <mergeCell ref="AN8348:AO8348"/>
    <mergeCell ref="AP8348:AQ8348"/>
    <mergeCell ref="AR8348:AS8349"/>
    <mergeCell ref="AT8348:AU8349"/>
    <mergeCell ref="AV8348:AW8349"/>
    <mergeCell ref="AX8348:AY8349"/>
    <mergeCell ref="AZ8348:AZ8349"/>
    <mergeCell ref="F8349:H8349"/>
    <mergeCell ref="X8349:AB8349"/>
    <mergeCell ref="AE8349:AI8349"/>
    <mergeCell ref="AJ8349:AL8349"/>
    <mergeCell ref="AN8349:AO8349"/>
    <mergeCell ref="AP8349:AQ8349"/>
    <mergeCell ref="A8350:A8351"/>
    <mergeCell ref="E8350:E8351"/>
    <mergeCell ref="F8350:H8350"/>
    <mergeCell ref="J8350:J8351"/>
    <mergeCell ref="K8350:L8351"/>
    <mergeCell ref="M8350:N8351"/>
    <mergeCell ref="O8350:P8351"/>
    <mergeCell ref="Q8350:R8351"/>
    <mergeCell ref="S8350:T8351"/>
    <mergeCell ref="U8350:V8351"/>
    <mergeCell ref="W8350:W8351"/>
    <mergeCell ref="X8350:AB8350"/>
    <mergeCell ref="AD8350:AI8350"/>
    <mergeCell ref="AJ8350:AL8350"/>
    <mergeCell ref="AN8350:AO8350"/>
    <mergeCell ref="AP8350:AQ8350"/>
    <mergeCell ref="AR8350:AS8351"/>
    <mergeCell ref="AT8350:AU8351"/>
    <mergeCell ref="AV8350:AW8351"/>
    <mergeCell ref="AX8350:AY8351"/>
    <mergeCell ref="AZ8350:AZ8351"/>
    <mergeCell ref="F8351:H8351"/>
    <mergeCell ref="X8351:AB8351"/>
    <mergeCell ref="AE8351:AI8351"/>
    <mergeCell ref="AJ8351:AL8351"/>
    <mergeCell ref="AN8351:AO8351"/>
    <mergeCell ref="AP8351:AQ8351"/>
    <mergeCell ref="A8352:A8353"/>
    <mergeCell ref="E8352:E8353"/>
    <mergeCell ref="F8352:H8352"/>
    <mergeCell ref="J8352:J8353"/>
    <mergeCell ref="K8352:L8353"/>
    <mergeCell ref="M8352:N8353"/>
    <mergeCell ref="O8352:P8353"/>
    <mergeCell ref="Q8352:R8353"/>
    <mergeCell ref="S8352:T8353"/>
    <mergeCell ref="U8352:V8353"/>
    <mergeCell ref="W8352:W8353"/>
    <mergeCell ref="X8352:AB8352"/>
    <mergeCell ref="AD8352:AI8352"/>
    <mergeCell ref="AJ8352:AL8352"/>
    <mergeCell ref="AN8352:AO8352"/>
    <mergeCell ref="AP8352:AQ8352"/>
    <mergeCell ref="AR8352:AS8353"/>
    <mergeCell ref="AT8352:AU8353"/>
    <mergeCell ref="AV8352:AW8353"/>
    <mergeCell ref="AX8352:AY8353"/>
    <mergeCell ref="AZ8352:AZ8353"/>
    <mergeCell ref="F8353:H8353"/>
    <mergeCell ref="X8353:AB8353"/>
    <mergeCell ref="AE8353:AI8353"/>
    <mergeCell ref="AJ8353:AL8353"/>
    <mergeCell ref="AN8353:AO8353"/>
    <mergeCell ref="AP8353:AQ8353"/>
    <mergeCell ref="A8354:A8355"/>
    <mergeCell ref="E8354:E8355"/>
    <mergeCell ref="F8354:H8354"/>
    <mergeCell ref="J8354:J8355"/>
    <mergeCell ref="K8354:L8355"/>
    <mergeCell ref="M8354:N8355"/>
    <mergeCell ref="O8354:P8355"/>
    <mergeCell ref="Q8354:R8355"/>
    <mergeCell ref="S8354:T8355"/>
    <mergeCell ref="U8354:V8355"/>
    <mergeCell ref="W8354:W8355"/>
    <mergeCell ref="X8354:AB8354"/>
    <mergeCell ref="AD8354:AI8354"/>
    <mergeCell ref="AJ8354:AL8354"/>
    <mergeCell ref="AN8354:AO8354"/>
    <mergeCell ref="AP8354:AQ8354"/>
    <mergeCell ref="AR8354:AS8355"/>
    <mergeCell ref="AT8354:AU8355"/>
    <mergeCell ref="AV8354:AW8355"/>
    <mergeCell ref="AX8354:AY8355"/>
    <mergeCell ref="AZ8354:AZ8355"/>
    <mergeCell ref="F8355:H8355"/>
    <mergeCell ref="X8355:AB8355"/>
    <mergeCell ref="AE8355:AI8355"/>
    <mergeCell ref="AJ8355:AL8355"/>
    <mergeCell ref="AN8355:AO8355"/>
    <mergeCell ref="AP8355:AQ8355"/>
    <mergeCell ref="A8356:A8357"/>
    <mergeCell ref="E8356:E8357"/>
    <mergeCell ref="F8356:H8356"/>
    <mergeCell ref="J8356:J8357"/>
    <mergeCell ref="K8356:L8357"/>
    <mergeCell ref="M8356:N8357"/>
    <mergeCell ref="O8356:P8357"/>
    <mergeCell ref="Q8356:R8357"/>
    <mergeCell ref="S8356:T8357"/>
    <mergeCell ref="U8356:V8357"/>
    <mergeCell ref="W8356:W8357"/>
    <mergeCell ref="X8356:AB8356"/>
    <mergeCell ref="AD8356:AI8356"/>
    <mergeCell ref="AJ8356:AL8356"/>
    <mergeCell ref="AN8356:AO8356"/>
    <mergeCell ref="AP8356:AQ8356"/>
    <mergeCell ref="AR8356:AS8357"/>
    <mergeCell ref="AT8356:AU8357"/>
    <mergeCell ref="AV8356:AW8357"/>
    <mergeCell ref="AX8356:AY8357"/>
    <mergeCell ref="AZ8356:AZ8357"/>
    <mergeCell ref="F8357:H8357"/>
    <mergeCell ref="X8357:AB8357"/>
    <mergeCell ref="AE8357:AI8357"/>
    <mergeCell ref="AJ8357:AL8357"/>
    <mergeCell ref="AN8357:AO8357"/>
    <mergeCell ref="AP8357:AQ8357"/>
    <mergeCell ref="A8358:A8359"/>
    <mergeCell ref="E8358:E8359"/>
    <mergeCell ref="F8358:H8358"/>
    <mergeCell ref="J8358:J8359"/>
    <mergeCell ref="K8358:L8359"/>
    <mergeCell ref="M8358:N8359"/>
    <mergeCell ref="O8358:P8359"/>
    <mergeCell ref="Q8358:R8359"/>
    <mergeCell ref="S8358:T8359"/>
    <mergeCell ref="U8358:V8359"/>
    <mergeCell ref="W8358:W8359"/>
    <mergeCell ref="X8358:AB8358"/>
    <mergeCell ref="AD8358:AI8358"/>
    <mergeCell ref="AJ8358:AL8358"/>
    <mergeCell ref="AN8358:AO8358"/>
    <mergeCell ref="AP8358:AQ8358"/>
    <mergeCell ref="AR8358:AS8359"/>
    <mergeCell ref="AT8358:AU8359"/>
    <mergeCell ref="AV8358:AW8359"/>
    <mergeCell ref="AX8358:AY8359"/>
    <mergeCell ref="AZ8358:AZ8359"/>
    <mergeCell ref="F8359:H8359"/>
    <mergeCell ref="X8359:AB8359"/>
    <mergeCell ref="AE8359:AI8359"/>
    <mergeCell ref="AJ8359:AL8359"/>
    <mergeCell ref="AN8359:AO8359"/>
    <mergeCell ref="AP8359:AQ8359"/>
    <mergeCell ref="A8360:A8361"/>
    <mergeCell ref="E8360:E8361"/>
    <mergeCell ref="F8360:H8360"/>
    <mergeCell ref="J8360:J8361"/>
    <mergeCell ref="K8360:L8361"/>
    <mergeCell ref="M8360:N8361"/>
    <mergeCell ref="O8360:P8361"/>
    <mergeCell ref="Q8360:R8361"/>
    <mergeCell ref="S8360:T8361"/>
    <mergeCell ref="U8360:V8361"/>
    <mergeCell ref="W8360:W8361"/>
    <mergeCell ref="X8360:AB8360"/>
    <mergeCell ref="AD8360:AI8360"/>
    <mergeCell ref="AJ8360:AL8360"/>
    <mergeCell ref="AN8360:AO8360"/>
    <mergeCell ref="AP8360:AQ8360"/>
    <mergeCell ref="AR8360:AS8361"/>
    <mergeCell ref="AT8360:AU8361"/>
    <mergeCell ref="AV8360:AW8361"/>
    <mergeCell ref="AX8360:AY8361"/>
    <mergeCell ref="AZ8360:AZ8361"/>
    <mergeCell ref="F8361:H8361"/>
    <mergeCell ref="X8361:AB8361"/>
    <mergeCell ref="AE8361:AI8361"/>
    <mergeCell ref="AJ8361:AL8361"/>
    <mergeCell ref="AN8361:AO8361"/>
    <mergeCell ref="AP8361:AQ8361"/>
    <mergeCell ref="A8362:A8363"/>
    <mergeCell ref="E8362:E8363"/>
    <mergeCell ref="F8362:H8362"/>
    <mergeCell ref="J8362:J8363"/>
    <mergeCell ref="K8362:L8363"/>
    <mergeCell ref="M8362:N8363"/>
    <mergeCell ref="O8362:P8363"/>
    <mergeCell ref="Q8362:R8363"/>
    <mergeCell ref="S8362:T8363"/>
    <mergeCell ref="U8362:V8363"/>
    <mergeCell ref="W8362:W8363"/>
    <mergeCell ref="X8362:AB8362"/>
    <mergeCell ref="AD8362:AI8362"/>
    <mergeCell ref="AJ8362:AL8362"/>
    <mergeCell ref="AN8362:AO8362"/>
    <mergeCell ref="AP8362:AQ8362"/>
    <mergeCell ref="AR8362:AS8363"/>
    <mergeCell ref="AT8362:AU8363"/>
    <mergeCell ref="AV8362:AW8363"/>
    <mergeCell ref="AX8362:AY8363"/>
    <mergeCell ref="AZ8362:AZ8363"/>
    <mergeCell ref="F8363:H8363"/>
    <mergeCell ref="X8363:AB8363"/>
    <mergeCell ref="AE8363:AI8363"/>
    <mergeCell ref="AJ8363:AL8363"/>
    <mergeCell ref="AN8363:AO8363"/>
    <mergeCell ref="AP8363:AQ8363"/>
    <mergeCell ref="A8364:A8365"/>
    <mergeCell ref="E8364:E8365"/>
    <mergeCell ref="F8364:H8364"/>
    <mergeCell ref="J8364:J8365"/>
    <mergeCell ref="K8364:L8365"/>
    <mergeCell ref="M8364:N8365"/>
    <mergeCell ref="O8364:P8365"/>
    <mergeCell ref="Q8364:R8365"/>
    <mergeCell ref="S8364:T8365"/>
    <mergeCell ref="U8364:V8365"/>
    <mergeCell ref="W8364:W8365"/>
    <mergeCell ref="X8364:AB8364"/>
    <mergeCell ref="AD8364:AI8364"/>
    <mergeCell ref="AJ8364:AL8364"/>
    <mergeCell ref="AN8364:AO8364"/>
    <mergeCell ref="AP8364:AQ8364"/>
    <mergeCell ref="AR8364:AS8365"/>
    <mergeCell ref="AT8364:AU8365"/>
    <mergeCell ref="AV8364:AW8365"/>
    <mergeCell ref="AX8364:AY8365"/>
    <mergeCell ref="AZ8364:AZ8365"/>
    <mergeCell ref="F8365:H8365"/>
    <mergeCell ref="X8365:AB8365"/>
    <mergeCell ref="AE8365:AI8365"/>
    <mergeCell ref="AJ8365:AL8365"/>
    <mergeCell ref="AN8365:AO8365"/>
    <mergeCell ref="AP8365:AQ8365"/>
    <mergeCell ref="A8366:A8367"/>
    <mergeCell ref="E8366:E8367"/>
    <mergeCell ref="F8366:H8366"/>
    <mergeCell ref="J8366:J8367"/>
    <mergeCell ref="K8366:L8367"/>
    <mergeCell ref="M8366:N8367"/>
    <mergeCell ref="O8366:P8367"/>
    <mergeCell ref="Q8366:R8367"/>
    <mergeCell ref="S8366:T8367"/>
    <mergeCell ref="U8366:V8367"/>
    <mergeCell ref="W8366:W8367"/>
    <mergeCell ref="X8366:AB8366"/>
    <mergeCell ref="AD8366:AI8366"/>
    <mergeCell ref="AJ8366:AL8366"/>
    <mergeCell ref="AN8366:AO8366"/>
    <mergeCell ref="AP8366:AQ8366"/>
    <mergeCell ref="AR8366:AS8367"/>
    <mergeCell ref="AT8366:AU8367"/>
    <mergeCell ref="AV8366:AW8367"/>
    <mergeCell ref="AX8366:AY8367"/>
    <mergeCell ref="AZ8366:AZ8367"/>
    <mergeCell ref="F8367:H8367"/>
    <mergeCell ref="X8367:AB8367"/>
    <mergeCell ref="AE8367:AI8367"/>
    <mergeCell ref="AJ8367:AL8367"/>
    <mergeCell ref="AN8367:AO8367"/>
    <mergeCell ref="AP8367:AQ8367"/>
    <mergeCell ref="A8368:A8369"/>
    <mergeCell ref="E8368:E8369"/>
    <mergeCell ref="F8368:H8368"/>
    <mergeCell ref="J8368:J8369"/>
    <mergeCell ref="K8368:L8369"/>
    <mergeCell ref="M8368:N8369"/>
    <mergeCell ref="O8368:P8369"/>
    <mergeCell ref="Q8368:R8369"/>
    <mergeCell ref="S8368:T8369"/>
    <mergeCell ref="U8368:V8369"/>
    <mergeCell ref="W8368:W8369"/>
    <mergeCell ref="X8368:AB8368"/>
    <mergeCell ref="AD8368:AI8368"/>
    <mergeCell ref="AJ8368:AL8368"/>
    <mergeCell ref="AN8368:AO8368"/>
    <mergeCell ref="AP8368:AQ8368"/>
    <mergeCell ref="AR8368:AS8369"/>
    <mergeCell ref="AT8368:AU8369"/>
    <mergeCell ref="AV8368:AW8369"/>
    <mergeCell ref="AX8368:AY8369"/>
    <mergeCell ref="AZ8368:AZ8369"/>
    <mergeCell ref="F8369:H8369"/>
    <mergeCell ref="X8369:AB8369"/>
    <mergeCell ref="AE8369:AI8369"/>
    <mergeCell ref="AJ8369:AL8369"/>
    <mergeCell ref="AN8369:AO8369"/>
    <mergeCell ref="AP8369:AQ8369"/>
    <mergeCell ref="AZ8376:AZ8377"/>
    <mergeCell ref="F8377:H8377"/>
    <mergeCell ref="X8377:AB8377"/>
    <mergeCell ref="AE8377:AI8377"/>
    <mergeCell ref="AJ8377:AL8377"/>
    <mergeCell ref="AN8377:AO8377"/>
    <mergeCell ref="AP8377:AQ8377"/>
    <mergeCell ref="A8370:A8371"/>
    <mergeCell ref="E8370:E8371"/>
    <mergeCell ref="F8370:H8370"/>
    <mergeCell ref="J8370:J8371"/>
    <mergeCell ref="K8370:L8371"/>
    <mergeCell ref="M8370:N8371"/>
    <mergeCell ref="O8370:P8371"/>
    <mergeCell ref="Q8370:R8371"/>
    <mergeCell ref="S8370:T8371"/>
    <mergeCell ref="U8370:V8371"/>
    <mergeCell ref="W8370:W8371"/>
    <mergeCell ref="X8370:AB8370"/>
    <mergeCell ref="AD8370:AI8370"/>
    <mergeCell ref="AJ8370:AL8370"/>
    <mergeCell ref="AN8370:AO8370"/>
    <mergeCell ref="AP8370:AQ8370"/>
    <mergeCell ref="AR8370:AS8371"/>
    <mergeCell ref="AT8370:AU8371"/>
    <mergeCell ref="AV8370:AW8371"/>
    <mergeCell ref="AX8370:AY8371"/>
    <mergeCell ref="AZ8370:AZ8371"/>
    <mergeCell ref="F8371:H8371"/>
    <mergeCell ref="X8371:AB8371"/>
    <mergeCell ref="AE8371:AI8371"/>
    <mergeCell ref="AJ8371:AL8371"/>
    <mergeCell ref="AN8371:AO8371"/>
    <mergeCell ref="AP8371:AQ8371"/>
    <mergeCell ref="A8372:A8373"/>
    <mergeCell ref="E8372:E8373"/>
    <mergeCell ref="F8372:H8372"/>
    <mergeCell ref="J8372:J8373"/>
    <mergeCell ref="K8372:L8373"/>
    <mergeCell ref="M8372:N8373"/>
    <mergeCell ref="O8372:P8373"/>
    <mergeCell ref="Q8372:R8373"/>
    <mergeCell ref="S8372:T8373"/>
    <mergeCell ref="U8372:V8373"/>
    <mergeCell ref="W8372:W8373"/>
    <mergeCell ref="X8372:AB8372"/>
    <mergeCell ref="AD8372:AI8372"/>
    <mergeCell ref="AJ8372:AL8372"/>
    <mergeCell ref="AN8372:AO8372"/>
    <mergeCell ref="AP8372:AQ8372"/>
    <mergeCell ref="AR8372:AS8373"/>
    <mergeCell ref="AT8372:AU8373"/>
    <mergeCell ref="AV8372:AW8373"/>
    <mergeCell ref="AX8372:AY8373"/>
    <mergeCell ref="AZ8372:AZ8373"/>
    <mergeCell ref="F8373:H8373"/>
    <mergeCell ref="X8373:AB8373"/>
    <mergeCell ref="AE8373:AI8373"/>
    <mergeCell ref="AJ8373:AL8373"/>
    <mergeCell ref="AN8373:AO8373"/>
    <mergeCell ref="AP8373:AQ8373"/>
    <mergeCell ref="W8382:W8383"/>
    <mergeCell ref="X8382:AB8382"/>
    <mergeCell ref="AD8382:AI8382"/>
    <mergeCell ref="AJ8382:AL8382"/>
    <mergeCell ref="AN8382:AO8382"/>
    <mergeCell ref="AP8382:AQ8382"/>
    <mergeCell ref="AR8382:AS8383"/>
    <mergeCell ref="AT8382:AU8383"/>
    <mergeCell ref="AV8382:AW8383"/>
    <mergeCell ref="AX8382:AY8383"/>
    <mergeCell ref="AZ8382:AZ8383"/>
    <mergeCell ref="F8383:H8383"/>
    <mergeCell ref="X8383:AB8383"/>
    <mergeCell ref="AE8383:AI8383"/>
    <mergeCell ref="AJ8383:AL8383"/>
    <mergeCell ref="AN8383:AO8383"/>
    <mergeCell ref="AP8383:AQ8383"/>
    <mergeCell ref="F8380:H8380"/>
    <mergeCell ref="J8380:J8381"/>
    <mergeCell ref="K8380:L8381"/>
    <mergeCell ref="M8380:N8381"/>
    <mergeCell ref="O8380:P8381"/>
    <mergeCell ref="Q8380:R8381"/>
    <mergeCell ref="S8380:T8381"/>
    <mergeCell ref="U8380:V8381"/>
    <mergeCell ref="W8380:W8381"/>
    <mergeCell ref="X8380:AB8380"/>
    <mergeCell ref="AD8380:AI8380"/>
    <mergeCell ref="AJ8380:AL8380"/>
    <mergeCell ref="AN8380:AO8380"/>
    <mergeCell ref="AP8380:AQ8380"/>
    <mergeCell ref="AR8380:AS8381"/>
    <mergeCell ref="AT8380:AU8381"/>
    <mergeCell ref="AV8380:AW8381"/>
    <mergeCell ref="AX8380:AY8381"/>
    <mergeCell ref="AZ8380:AZ8381"/>
    <mergeCell ref="F8381:H8381"/>
    <mergeCell ref="X8381:AB8381"/>
    <mergeCell ref="AE8381:AI8381"/>
    <mergeCell ref="AJ8381:AL8381"/>
    <mergeCell ref="A8374:A8375"/>
    <mergeCell ref="E8374:E8375"/>
    <mergeCell ref="F8374:H8374"/>
    <mergeCell ref="J8374:J8375"/>
    <mergeCell ref="K8374:L8375"/>
    <mergeCell ref="M8374:N8375"/>
    <mergeCell ref="O8374:P8375"/>
    <mergeCell ref="Q8374:R8375"/>
    <mergeCell ref="S8374:T8375"/>
    <mergeCell ref="U8374:V8375"/>
    <mergeCell ref="W8374:W8375"/>
    <mergeCell ref="X8374:AB8374"/>
    <mergeCell ref="AD8374:AI8374"/>
    <mergeCell ref="AJ8374:AL8374"/>
    <mergeCell ref="AN8374:AO8374"/>
    <mergeCell ref="AP8374:AQ8374"/>
    <mergeCell ref="AR8374:AS8375"/>
    <mergeCell ref="AT8374:AU8375"/>
    <mergeCell ref="AV8374:AW8375"/>
    <mergeCell ref="AX8374:AY8375"/>
    <mergeCell ref="AZ8374:AZ8375"/>
    <mergeCell ref="F8375:H8375"/>
    <mergeCell ref="X8375:AB8375"/>
    <mergeCell ref="AE8375:AI8375"/>
    <mergeCell ref="AJ8375:AL8375"/>
    <mergeCell ref="AN8375:AO8375"/>
    <mergeCell ref="AP8375:AQ8375"/>
    <mergeCell ref="A8376:A8377"/>
    <mergeCell ref="E8376:E8377"/>
    <mergeCell ref="F8376:H8376"/>
    <mergeCell ref="J8376:J8377"/>
    <mergeCell ref="K8376:L8377"/>
    <mergeCell ref="M8376:N8377"/>
    <mergeCell ref="O8376:P8377"/>
    <mergeCell ref="Q8376:R8377"/>
    <mergeCell ref="S8376:T8377"/>
    <mergeCell ref="U8376:V8377"/>
    <mergeCell ref="W8376:W8377"/>
    <mergeCell ref="X8376:AB8376"/>
    <mergeCell ref="AD8376:AI8376"/>
    <mergeCell ref="AJ8376:AL8376"/>
    <mergeCell ref="AN8376:AO8376"/>
    <mergeCell ref="AP8376:AQ8376"/>
    <mergeCell ref="AR8376:AS8377"/>
    <mergeCell ref="AT8376:AU8377"/>
    <mergeCell ref="AV8376:AW8377"/>
    <mergeCell ref="AX8376:AY8377"/>
    <mergeCell ref="J8390:J8391"/>
    <mergeCell ref="K8390:L8391"/>
    <mergeCell ref="M8390:N8391"/>
    <mergeCell ref="O8390:P8391"/>
    <mergeCell ref="Q8390:R8391"/>
    <mergeCell ref="S8390:T8391"/>
    <mergeCell ref="U8390:V8391"/>
    <mergeCell ref="W8390:W8391"/>
    <mergeCell ref="X8390:AB8390"/>
    <mergeCell ref="AD8390:AI8390"/>
    <mergeCell ref="AJ8390:AL8390"/>
    <mergeCell ref="AN8390:AO8390"/>
    <mergeCell ref="AP8390:AQ8390"/>
    <mergeCell ref="AR8390:AS8391"/>
    <mergeCell ref="AT8390:AU8391"/>
    <mergeCell ref="AV8390:AW8391"/>
    <mergeCell ref="AX8390:AY8391"/>
    <mergeCell ref="AZ8390:AZ8391"/>
    <mergeCell ref="F8391:H8391"/>
    <mergeCell ref="X8391:AB8391"/>
    <mergeCell ref="AE8391:AI8391"/>
    <mergeCell ref="AJ8391:AL8391"/>
    <mergeCell ref="AN8391:AO8391"/>
    <mergeCell ref="AP8391:AQ8391"/>
    <mergeCell ref="A8392:A8393"/>
    <mergeCell ref="E8392:E8393"/>
    <mergeCell ref="F8392:H8392"/>
    <mergeCell ref="J8392:J8393"/>
    <mergeCell ref="K8392:L8393"/>
    <mergeCell ref="M8392:N8393"/>
    <mergeCell ref="O8392:P8393"/>
    <mergeCell ref="Q8392:R8393"/>
    <mergeCell ref="S8392:T8393"/>
    <mergeCell ref="U8392:V8393"/>
    <mergeCell ref="W8392:W8393"/>
    <mergeCell ref="X8392:AB8392"/>
    <mergeCell ref="AD8392:AI8392"/>
    <mergeCell ref="AJ8392:AL8392"/>
    <mergeCell ref="AN8392:AO8392"/>
    <mergeCell ref="AP8392:AQ8392"/>
    <mergeCell ref="AR8392:AS8393"/>
    <mergeCell ref="AT8392:AU8393"/>
    <mergeCell ref="AV8392:AW8393"/>
    <mergeCell ref="AX8392:AY8393"/>
    <mergeCell ref="AZ8392:AZ8393"/>
    <mergeCell ref="F8393:H8393"/>
    <mergeCell ref="X8393:AB8393"/>
    <mergeCell ref="AE8393:AI8393"/>
    <mergeCell ref="AJ8393:AL8393"/>
    <mergeCell ref="AN8393:AO8393"/>
    <mergeCell ref="AP8393:AQ8393"/>
    <mergeCell ref="A8390:A8391"/>
    <mergeCell ref="E8390:E8391"/>
    <mergeCell ref="F8390:H8390"/>
    <mergeCell ref="A8394:A8395"/>
    <mergeCell ref="E8394:E8395"/>
    <mergeCell ref="F8394:H8394"/>
    <mergeCell ref="J8394:J8395"/>
    <mergeCell ref="K8394:L8395"/>
    <mergeCell ref="M8394:N8395"/>
    <mergeCell ref="O8394:P8395"/>
    <mergeCell ref="Q8394:R8395"/>
    <mergeCell ref="S8394:T8395"/>
    <mergeCell ref="U8394:V8395"/>
    <mergeCell ref="W8394:W8395"/>
    <mergeCell ref="X8394:AB8394"/>
    <mergeCell ref="AD8394:AI8394"/>
    <mergeCell ref="AJ8394:AL8394"/>
    <mergeCell ref="AN8394:AO8394"/>
    <mergeCell ref="AP8394:AQ8394"/>
    <mergeCell ref="AR8394:AS8395"/>
    <mergeCell ref="AT8394:AU8395"/>
    <mergeCell ref="AV8394:AW8395"/>
    <mergeCell ref="AX8394:AY8395"/>
    <mergeCell ref="AZ8394:AZ8395"/>
    <mergeCell ref="F8395:H8395"/>
    <mergeCell ref="X8395:AB8395"/>
    <mergeCell ref="AE8395:AI8395"/>
    <mergeCell ref="AJ8395:AL8395"/>
    <mergeCell ref="AN8395:AO8395"/>
    <mergeCell ref="AP8395:AQ8395"/>
    <mergeCell ref="A8396:A8397"/>
    <mergeCell ref="E8396:E8397"/>
    <mergeCell ref="F8396:H8396"/>
    <mergeCell ref="J8396:J8397"/>
    <mergeCell ref="K8396:L8397"/>
    <mergeCell ref="M8396:N8397"/>
    <mergeCell ref="O8396:P8397"/>
    <mergeCell ref="Q8396:R8397"/>
    <mergeCell ref="S8396:T8397"/>
    <mergeCell ref="U8396:V8397"/>
    <mergeCell ref="W8396:W8397"/>
    <mergeCell ref="X8396:AB8396"/>
    <mergeCell ref="AD8396:AI8396"/>
    <mergeCell ref="AJ8396:AL8396"/>
    <mergeCell ref="AN8396:AO8396"/>
    <mergeCell ref="AP8396:AQ8396"/>
    <mergeCell ref="AR8396:AS8397"/>
    <mergeCell ref="AT8396:AU8397"/>
    <mergeCell ref="AV8396:AW8397"/>
    <mergeCell ref="AX8396:AY8397"/>
    <mergeCell ref="AZ8396:AZ8397"/>
    <mergeCell ref="F8397:H8397"/>
    <mergeCell ref="X8397:AB8397"/>
    <mergeCell ref="AE8397:AI8397"/>
    <mergeCell ref="AJ8397:AL8397"/>
    <mergeCell ref="AN8397:AO8397"/>
    <mergeCell ref="AP8397:AQ8397"/>
    <mergeCell ref="A8398:A8399"/>
    <mergeCell ref="E8398:E8399"/>
    <mergeCell ref="F8398:H8398"/>
    <mergeCell ref="J8398:J8399"/>
    <mergeCell ref="K8398:L8399"/>
    <mergeCell ref="M8398:N8399"/>
    <mergeCell ref="O8398:P8399"/>
    <mergeCell ref="Q8398:R8399"/>
    <mergeCell ref="S8398:T8399"/>
    <mergeCell ref="U8398:V8399"/>
    <mergeCell ref="W8398:W8399"/>
    <mergeCell ref="X8398:AB8398"/>
    <mergeCell ref="AD8398:AI8398"/>
    <mergeCell ref="AJ8398:AL8398"/>
    <mergeCell ref="AN8398:AO8398"/>
    <mergeCell ref="AP8398:AQ8398"/>
    <mergeCell ref="AR8398:AS8399"/>
    <mergeCell ref="AT8398:AU8399"/>
    <mergeCell ref="AV8398:AW8399"/>
    <mergeCell ref="AX8398:AY8399"/>
    <mergeCell ref="AZ8398:AZ8399"/>
    <mergeCell ref="F8399:H8399"/>
    <mergeCell ref="X8399:AB8399"/>
    <mergeCell ref="AE8399:AI8399"/>
    <mergeCell ref="AJ8399:AL8399"/>
    <mergeCell ref="AN8399:AO8399"/>
    <mergeCell ref="AP8399:AQ8399"/>
    <mergeCell ref="A8400:A8401"/>
    <mergeCell ref="E8400:E8401"/>
    <mergeCell ref="F8400:H8400"/>
    <mergeCell ref="J8400:J8401"/>
    <mergeCell ref="K8400:L8401"/>
    <mergeCell ref="M8400:N8401"/>
    <mergeCell ref="O8400:P8401"/>
    <mergeCell ref="Q8400:R8401"/>
    <mergeCell ref="S8400:T8401"/>
    <mergeCell ref="U8400:V8401"/>
    <mergeCell ref="W8400:W8401"/>
    <mergeCell ref="X8400:AB8400"/>
    <mergeCell ref="AD8400:AI8400"/>
    <mergeCell ref="AJ8400:AL8400"/>
    <mergeCell ref="AN8400:AO8400"/>
    <mergeCell ref="AP8400:AQ8400"/>
    <mergeCell ref="AR8400:AS8401"/>
    <mergeCell ref="AT8400:AU8401"/>
    <mergeCell ref="AV8400:AW8401"/>
    <mergeCell ref="AX8400:AY8401"/>
    <mergeCell ref="AZ8400:AZ8401"/>
    <mergeCell ref="F8401:H8401"/>
    <mergeCell ref="X8401:AB8401"/>
    <mergeCell ref="AE8401:AI8401"/>
    <mergeCell ref="AJ8401:AL8401"/>
    <mergeCell ref="AN8401:AO8401"/>
    <mergeCell ref="AP8401:AQ8401"/>
    <mergeCell ref="A8402:A8403"/>
    <mergeCell ref="E8402:E8403"/>
    <mergeCell ref="F8402:H8402"/>
    <mergeCell ref="J8402:J8403"/>
    <mergeCell ref="K8402:L8403"/>
    <mergeCell ref="M8402:N8403"/>
    <mergeCell ref="O8402:P8403"/>
    <mergeCell ref="Q8402:R8403"/>
    <mergeCell ref="S8402:T8403"/>
    <mergeCell ref="U8402:V8403"/>
    <mergeCell ref="W8402:W8403"/>
    <mergeCell ref="X8402:AB8402"/>
    <mergeCell ref="AD8402:AI8402"/>
    <mergeCell ref="AJ8402:AL8402"/>
    <mergeCell ref="AN8402:AO8402"/>
    <mergeCell ref="AP8402:AQ8402"/>
    <mergeCell ref="AR8402:AS8403"/>
    <mergeCell ref="AT8402:AU8403"/>
    <mergeCell ref="AV8402:AW8403"/>
    <mergeCell ref="AX8402:AY8403"/>
    <mergeCell ref="AZ8402:AZ8403"/>
    <mergeCell ref="F8403:H8403"/>
    <mergeCell ref="X8403:AB8403"/>
    <mergeCell ref="AE8403:AI8403"/>
    <mergeCell ref="AJ8403:AL8403"/>
    <mergeCell ref="AN8403:AO8403"/>
    <mergeCell ref="AP8403:AQ8403"/>
    <mergeCell ref="A8404:A8405"/>
    <mergeCell ref="E8404:E8405"/>
    <mergeCell ref="F8404:H8404"/>
    <mergeCell ref="J8404:J8405"/>
    <mergeCell ref="K8404:L8405"/>
    <mergeCell ref="M8404:N8405"/>
    <mergeCell ref="O8404:P8405"/>
    <mergeCell ref="Q8404:R8405"/>
    <mergeCell ref="S8404:T8405"/>
    <mergeCell ref="U8404:V8405"/>
    <mergeCell ref="W8404:W8405"/>
    <mergeCell ref="X8404:AB8404"/>
    <mergeCell ref="AD8404:AI8404"/>
    <mergeCell ref="AJ8404:AL8404"/>
    <mergeCell ref="AN8404:AO8404"/>
    <mergeCell ref="AP8404:AQ8404"/>
    <mergeCell ref="AR8404:AS8405"/>
    <mergeCell ref="AT8404:AU8405"/>
    <mergeCell ref="AV8404:AW8405"/>
    <mergeCell ref="AX8404:AY8405"/>
    <mergeCell ref="AZ8404:AZ8405"/>
    <mergeCell ref="F8405:H8405"/>
    <mergeCell ref="X8405:AB8405"/>
    <mergeCell ref="AE8405:AI8405"/>
    <mergeCell ref="AJ8405:AL8405"/>
    <mergeCell ref="AN8405:AO8405"/>
    <mergeCell ref="AP8405:AQ8405"/>
    <mergeCell ref="A8406:A8407"/>
    <mergeCell ref="E8406:E8407"/>
    <mergeCell ref="F8406:H8406"/>
    <mergeCell ref="J8406:J8407"/>
    <mergeCell ref="K8406:L8407"/>
    <mergeCell ref="M8406:N8407"/>
    <mergeCell ref="O8406:P8407"/>
    <mergeCell ref="Q8406:R8407"/>
    <mergeCell ref="S8406:T8407"/>
    <mergeCell ref="U8406:V8407"/>
    <mergeCell ref="W8406:W8407"/>
    <mergeCell ref="X8406:AB8406"/>
    <mergeCell ref="AD8406:AI8406"/>
    <mergeCell ref="AJ8406:AL8406"/>
    <mergeCell ref="AN8406:AO8406"/>
    <mergeCell ref="AP8406:AQ8406"/>
    <mergeCell ref="AR8406:AS8407"/>
    <mergeCell ref="AT8406:AU8407"/>
    <mergeCell ref="AV8406:AW8407"/>
    <mergeCell ref="AX8406:AY8407"/>
    <mergeCell ref="AZ8406:AZ8407"/>
    <mergeCell ref="F8407:H8407"/>
    <mergeCell ref="X8407:AB8407"/>
    <mergeCell ref="AE8407:AI8407"/>
    <mergeCell ref="AJ8407:AL8407"/>
    <mergeCell ref="AN8407:AO8407"/>
    <mergeCell ref="AP8407:AQ8407"/>
    <mergeCell ref="A8408:A8409"/>
    <mergeCell ref="E8408:E8409"/>
    <mergeCell ref="F8408:H8408"/>
    <mergeCell ref="J8408:J8409"/>
    <mergeCell ref="K8408:L8409"/>
    <mergeCell ref="M8408:N8409"/>
    <mergeCell ref="O8408:P8409"/>
    <mergeCell ref="Q8408:R8409"/>
    <mergeCell ref="S8408:T8409"/>
    <mergeCell ref="U8408:V8409"/>
    <mergeCell ref="W8408:W8409"/>
    <mergeCell ref="X8408:AB8408"/>
    <mergeCell ref="AD8408:AI8408"/>
    <mergeCell ref="AJ8408:AL8408"/>
    <mergeCell ref="AN8408:AO8408"/>
    <mergeCell ref="AP8408:AQ8408"/>
    <mergeCell ref="AR8408:AS8409"/>
    <mergeCell ref="AT8408:AU8409"/>
    <mergeCell ref="AV8408:AW8409"/>
    <mergeCell ref="AX8408:AY8409"/>
    <mergeCell ref="AZ8408:AZ8409"/>
    <mergeCell ref="F8409:H8409"/>
    <mergeCell ref="X8409:AB8409"/>
    <mergeCell ref="AE8409:AI8409"/>
    <mergeCell ref="AJ8409:AL8409"/>
    <mergeCell ref="AN8409:AO8409"/>
    <mergeCell ref="AP8409:AQ8409"/>
    <mergeCell ref="A8410:A8411"/>
    <mergeCell ref="E8410:E8411"/>
    <mergeCell ref="F8410:H8410"/>
    <mergeCell ref="J8410:J8411"/>
    <mergeCell ref="K8410:L8411"/>
    <mergeCell ref="M8410:N8411"/>
    <mergeCell ref="O8410:P8411"/>
    <mergeCell ref="Q8410:R8411"/>
    <mergeCell ref="S8410:T8411"/>
    <mergeCell ref="U8410:V8411"/>
    <mergeCell ref="W8410:W8411"/>
    <mergeCell ref="X8410:AB8410"/>
    <mergeCell ref="AD8410:AI8410"/>
    <mergeCell ref="AJ8410:AL8410"/>
    <mergeCell ref="AN8410:AO8410"/>
    <mergeCell ref="AP8410:AQ8410"/>
    <mergeCell ref="AR8410:AS8411"/>
    <mergeCell ref="AT8410:AU8411"/>
    <mergeCell ref="AV8410:AW8411"/>
    <mergeCell ref="AX8410:AY8411"/>
    <mergeCell ref="AZ8410:AZ8411"/>
    <mergeCell ref="F8411:H8411"/>
    <mergeCell ref="X8411:AB8411"/>
    <mergeCell ref="AE8411:AI8411"/>
    <mergeCell ref="AJ8411:AL8411"/>
    <mergeCell ref="AN8411:AO8411"/>
    <mergeCell ref="AP8411:AQ8411"/>
    <mergeCell ref="A8412:A8413"/>
    <mergeCell ref="E8412:E8413"/>
    <mergeCell ref="F8412:H8412"/>
    <mergeCell ref="J8412:J8413"/>
    <mergeCell ref="K8412:L8413"/>
    <mergeCell ref="M8412:N8413"/>
    <mergeCell ref="O8412:P8413"/>
    <mergeCell ref="Q8412:R8413"/>
    <mergeCell ref="S8412:T8413"/>
    <mergeCell ref="U8412:V8413"/>
    <mergeCell ref="W8412:W8413"/>
    <mergeCell ref="X8412:AB8412"/>
    <mergeCell ref="AD8412:AI8412"/>
    <mergeCell ref="AJ8412:AL8412"/>
    <mergeCell ref="AN8412:AO8412"/>
    <mergeCell ref="AP8412:AQ8412"/>
    <mergeCell ref="AR8412:AS8413"/>
    <mergeCell ref="AT8412:AU8413"/>
    <mergeCell ref="AV8412:AW8413"/>
    <mergeCell ref="AX8412:AY8413"/>
    <mergeCell ref="AZ8412:AZ8413"/>
    <mergeCell ref="F8413:H8413"/>
    <mergeCell ref="X8413:AB8413"/>
    <mergeCell ref="AE8413:AI8413"/>
    <mergeCell ref="AJ8413:AL8413"/>
    <mergeCell ref="AN8413:AO8413"/>
    <mergeCell ref="AP8413:AQ8413"/>
    <mergeCell ref="A8414:A8415"/>
    <mergeCell ref="E8414:E8415"/>
    <mergeCell ref="F8414:H8414"/>
    <mergeCell ref="J8414:J8415"/>
    <mergeCell ref="K8414:L8415"/>
    <mergeCell ref="M8414:N8415"/>
    <mergeCell ref="O8414:P8415"/>
    <mergeCell ref="Q8414:R8415"/>
    <mergeCell ref="S8414:T8415"/>
    <mergeCell ref="U8414:V8415"/>
    <mergeCell ref="W8414:W8415"/>
    <mergeCell ref="X8414:AB8414"/>
    <mergeCell ref="AD8414:AI8414"/>
    <mergeCell ref="AJ8414:AL8414"/>
    <mergeCell ref="AN8414:AO8414"/>
    <mergeCell ref="AP8414:AQ8414"/>
    <mergeCell ref="AR8414:AS8415"/>
    <mergeCell ref="AT8414:AU8415"/>
    <mergeCell ref="AV8414:AW8415"/>
    <mergeCell ref="AX8414:AY8415"/>
    <mergeCell ref="AZ8414:AZ8415"/>
    <mergeCell ref="F8415:H8415"/>
    <mergeCell ref="X8415:AB8415"/>
    <mergeCell ref="AE8415:AI8415"/>
    <mergeCell ref="AJ8415:AL8415"/>
    <mergeCell ref="AN8415:AO8415"/>
    <mergeCell ref="AP8415:AQ8415"/>
    <mergeCell ref="A8416:A8417"/>
    <mergeCell ref="E8416:E8417"/>
    <mergeCell ref="F8416:H8416"/>
    <mergeCell ref="J8416:J8417"/>
    <mergeCell ref="K8416:L8417"/>
    <mergeCell ref="M8416:N8417"/>
    <mergeCell ref="O8416:P8417"/>
    <mergeCell ref="Q8416:R8417"/>
    <mergeCell ref="S8416:T8417"/>
    <mergeCell ref="U8416:V8417"/>
    <mergeCell ref="W8416:W8417"/>
    <mergeCell ref="X8416:AB8416"/>
    <mergeCell ref="AD8416:AI8416"/>
    <mergeCell ref="AJ8416:AL8416"/>
    <mergeCell ref="AN8416:AO8416"/>
    <mergeCell ref="AP8416:AQ8416"/>
    <mergeCell ref="AR8416:AS8417"/>
    <mergeCell ref="AT8416:AU8417"/>
    <mergeCell ref="AV8416:AW8417"/>
    <mergeCell ref="AX8416:AY8417"/>
    <mergeCell ref="AZ8416:AZ8417"/>
    <mergeCell ref="F8417:H8417"/>
    <mergeCell ref="X8417:AB8417"/>
    <mergeCell ref="AE8417:AI8417"/>
    <mergeCell ref="AJ8417:AL8417"/>
    <mergeCell ref="AN8417:AO8417"/>
    <mergeCell ref="AP8417:AQ8417"/>
    <mergeCell ref="A8418:A8419"/>
    <mergeCell ref="E8418:E8419"/>
    <mergeCell ref="F8418:H8418"/>
    <mergeCell ref="J8418:J8419"/>
    <mergeCell ref="K8418:L8419"/>
    <mergeCell ref="M8418:N8419"/>
    <mergeCell ref="O8418:P8419"/>
    <mergeCell ref="Q8418:R8419"/>
    <mergeCell ref="S8418:T8419"/>
    <mergeCell ref="U8418:V8419"/>
    <mergeCell ref="W8418:W8419"/>
    <mergeCell ref="X8418:AB8418"/>
    <mergeCell ref="AD8418:AI8418"/>
    <mergeCell ref="AJ8418:AL8418"/>
    <mergeCell ref="AN8418:AO8418"/>
    <mergeCell ref="AP8418:AQ8418"/>
    <mergeCell ref="AR8418:AS8419"/>
    <mergeCell ref="AT8418:AU8419"/>
    <mergeCell ref="AV8418:AW8419"/>
    <mergeCell ref="AX8418:AY8419"/>
    <mergeCell ref="AZ8418:AZ8419"/>
    <mergeCell ref="F8419:H8419"/>
    <mergeCell ref="X8419:AB8419"/>
    <mergeCell ref="AE8419:AI8419"/>
    <mergeCell ref="AJ8419:AL8419"/>
    <mergeCell ref="AN8419:AO8419"/>
    <mergeCell ref="AP8419:AQ8419"/>
    <mergeCell ref="A8420:A8421"/>
    <mergeCell ref="E8420:E8421"/>
    <mergeCell ref="F8420:H8420"/>
    <mergeCell ref="J8420:J8421"/>
    <mergeCell ref="K8420:L8421"/>
    <mergeCell ref="M8420:N8421"/>
    <mergeCell ref="O8420:P8421"/>
    <mergeCell ref="Q8420:R8421"/>
    <mergeCell ref="S8420:T8421"/>
    <mergeCell ref="U8420:V8421"/>
    <mergeCell ref="W8420:W8421"/>
    <mergeCell ref="X8420:AB8420"/>
    <mergeCell ref="AD8420:AI8420"/>
    <mergeCell ref="AJ8420:AL8420"/>
    <mergeCell ref="AN8420:AO8420"/>
    <mergeCell ref="AP8420:AQ8420"/>
    <mergeCell ref="AR8420:AS8421"/>
    <mergeCell ref="AT8420:AU8421"/>
    <mergeCell ref="AV8420:AW8421"/>
    <mergeCell ref="AX8420:AY8421"/>
    <mergeCell ref="AZ8420:AZ8421"/>
    <mergeCell ref="F8421:H8421"/>
    <mergeCell ref="X8421:AB8421"/>
    <mergeCell ref="AE8421:AI8421"/>
    <mergeCell ref="AJ8421:AL8421"/>
    <mergeCell ref="AN8421:AO8421"/>
    <mergeCell ref="AP8421:AQ8421"/>
    <mergeCell ref="A8422:A8423"/>
    <mergeCell ref="E8422:E8423"/>
    <mergeCell ref="F8422:H8422"/>
    <mergeCell ref="J8422:J8423"/>
    <mergeCell ref="K8422:L8423"/>
    <mergeCell ref="M8422:N8423"/>
    <mergeCell ref="O8422:P8423"/>
    <mergeCell ref="Q8422:R8423"/>
    <mergeCell ref="S8422:T8423"/>
    <mergeCell ref="U8422:V8423"/>
    <mergeCell ref="W8422:W8423"/>
    <mergeCell ref="X8422:AB8422"/>
    <mergeCell ref="AD8422:AI8422"/>
    <mergeCell ref="AJ8422:AL8422"/>
    <mergeCell ref="AN8422:AO8422"/>
    <mergeCell ref="AP8422:AQ8422"/>
    <mergeCell ref="AR8422:AS8423"/>
    <mergeCell ref="AT8422:AU8423"/>
    <mergeCell ref="AV8422:AW8423"/>
    <mergeCell ref="AX8422:AY8423"/>
    <mergeCell ref="AZ8422:AZ8423"/>
    <mergeCell ref="F8423:H8423"/>
    <mergeCell ref="X8423:AB8423"/>
    <mergeCell ref="AE8423:AI8423"/>
    <mergeCell ref="AJ8423:AL8423"/>
    <mergeCell ref="AN8423:AO8423"/>
    <mergeCell ref="AP8423:AQ8423"/>
    <mergeCell ref="A8424:A8425"/>
    <mergeCell ref="E8424:E8425"/>
    <mergeCell ref="F8424:H8424"/>
    <mergeCell ref="J8424:J8425"/>
    <mergeCell ref="K8424:L8425"/>
    <mergeCell ref="M8424:N8425"/>
    <mergeCell ref="O8424:P8425"/>
    <mergeCell ref="Q8424:R8425"/>
    <mergeCell ref="S8424:T8425"/>
    <mergeCell ref="U8424:V8425"/>
    <mergeCell ref="W8424:W8425"/>
    <mergeCell ref="X8424:AB8424"/>
    <mergeCell ref="AD8424:AI8424"/>
    <mergeCell ref="AJ8424:AL8424"/>
    <mergeCell ref="AN8424:AO8424"/>
    <mergeCell ref="AP8424:AQ8424"/>
    <mergeCell ref="AR8424:AS8425"/>
    <mergeCell ref="AT8424:AU8425"/>
    <mergeCell ref="AV8424:AW8425"/>
    <mergeCell ref="AX8424:AY8425"/>
    <mergeCell ref="AZ8424:AZ8425"/>
    <mergeCell ref="F8425:H8425"/>
    <mergeCell ref="X8425:AB8425"/>
    <mergeCell ref="AE8425:AI8425"/>
    <mergeCell ref="AJ8425:AL8425"/>
    <mergeCell ref="AN8425:AO8425"/>
    <mergeCell ref="AP8425:AQ8425"/>
    <mergeCell ref="A8426:A8427"/>
    <mergeCell ref="E8426:E8427"/>
    <mergeCell ref="F8426:H8426"/>
    <mergeCell ref="J8426:J8427"/>
    <mergeCell ref="K8426:L8427"/>
    <mergeCell ref="M8426:N8427"/>
    <mergeCell ref="O8426:P8427"/>
    <mergeCell ref="Q8426:R8427"/>
    <mergeCell ref="S8426:T8427"/>
    <mergeCell ref="U8426:V8427"/>
    <mergeCell ref="W8426:W8427"/>
    <mergeCell ref="X8426:AB8426"/>
    <mergeCell ref="AD8426:AI8426"/>
    <mergeCell ref="AJ8426:AL8426"/>
    <mergeCell ref="AN8426:AO8426"/>
    <mergeCell ref="AP8426:AQ8426"/>
    <mergeCell ref="AR8426:AS8427"/>
    <mergeCell ref="AT8426:AU8427"/>
    <mergeCell ref="AV8426:AW8427"/>
    <mergeCell ref="AX8426:AY8427"/>
    <mergeCell ref="AZ8426:AZ8427"/>
    <mergeCell ref="F8427:H8427"/>
    <mergeCell ref="X8427:AB8427"/>
    <mergeCell ref="AE8427:AI8427"/>
    <mergeCell ref="AJ8427:AL8427"/>
    <mergeCell ref="AN8427:AO8427"/>
    <mergeCell ref="AP8427:AQ8427"/>
    <mergeCell ref="A8428:A8429"/>
    <mergeCell ref="E8428:E8429"/>
    <mergeCell ref="F8428:H8428"/>
    <mergeCell ref="J8428:J8429"/>
    <mergeCell ref="K8428:L8429"/>
    <mergeCell ref="M8428:N8429"/>
    <mergeCell ref="O8428:P8429"/>
    <mergeCell ref="Q8428:R8429"/>
    <mergeCell ref="S8428:T8429"/>
    <mergeCell ref="U8428:V8429"/>
    <mergeCell ref="W8428:W8429"/>
    <mergeCell ref="X8428:AB8428"/>
    <mergeCell ref="AD8428:AI8428"/>
    <mergeCell ref="AJ8428:AL8428"/>
    <mergeCell ref="AN8428:AO8428"/>
    <mergeCell ref="AP8428:AQ8428"/>
    <mergeCell ref="AR8428:AS8429"/>
    <mergeCell ref="AT8428:AU8429"/>
    <mergeCell ref="AV8428:AW8429"/>
    <mergeCell ref="AX8428:AY8429"/>
    <mergeCell ref="AZ8428:AZ8429"/>
    <mergeCell ref="F8429:H8429"/>
    <mergeCell ref="X8429:AB8429"/>
    <mergeCell ref="AE8429:AI8429"/>
    <mergeCell ref="AJ8429:AL8429"/>
    <mergeCell ref="AN8429:AO8429"/>
    <mergeCell ref="AP8429:AQ8429"/>
    <mergeCell ref="A8430:A8431"/>
    <mergeCell ref="E8430:E8431"/>
    <mergeCell ref="F8430:H8430"/>
    <mergeCell ref="J8430:J8431"/>
    <mergeCell ref="K8430:L8431"/>
    <mergeCell ref="M8430:N8431"/>
    <mergeCell ref="O8430:P8431"/>
    <mergeCell ref="Q8430:R8431"/>
    <mergeCell ref="S8430:T8431"/>
    <mergeCell ref="U8430:V8431"/>
    <mergeCell ref="W8430:W8431"/>
    <mergeCell ref="X8430:AB8430"/>
    <mergeCell ref="AD8430:AI8430"/>
    <mergeCell ref="AJ8430:AL8430"/>
    <mergeCell ref="AN8430:AO8430"/>
    <mergeCell ref="AP8430:AQ8430"/>
    <mergeCell ref="AR8430:AS8431"/>
    <mergeCell ref="AT8430:AU8431"/>
    <mergeCell ref="AV8430:AW8431"/>
    <mergeCell ref="AX8430:AY8431"/>
    <mergeCell ref="AZ8430:AZ8431"/>
    <mergeCell ref="F8431:H8431"/>
    <mergeCell ref="X8431:AB8431"/>
    <mergeCell ref="AE8431:AI8431"/>
    <mergeCell ref="AJ8431:AL8431"/>
    <mergeCell ref="AN8431:AO8431"/>
    <mergeCell ref="AP8431:AQ8431"/>
    <mergeCell ref="A8432:A8433"/>
    <mergeCell ref="E8432:E8433"/>
    <mergeCell ref="F8432:H8432"/>
    <mergeCell ref="J8432:J8433"/>
    <mergeCell ref="K8432:L8433"/>
    <mergeCell ref="M8432:N8433"/>
    <mergeCell ref="O8432:P8433"/>
    <mergeCell ref="Q8432:R8433"/>
    <mergeCell ref="S8432:T8433"/>
    <mergeCell ref="U8432:V8433"/>
    <mergeCell ref="W8432:W8433"/>
    <mergeCell ref="X8432:AB8432"/>
    <mergeCell ref="AD8432:AI8432"/>
    <mergeCell ref="AJ8432:AL8432"/>
    <mergeCell ref="AN8432:AO8432"/>
    <mergeCell ref="AP8432:AQ8432"/>
    <mergeCell ref="AR8432:AS8433"/>
    <mergeCell ref="AT8432:AU8433"/>
    <mergeCell ref="AV8432:AW8433"/>
    <mergeCell ref="AX8432:AY8433"/>
    <mergeCell ref="AZ8432:AZ8433"/>
    <mergeCell ref="F8433:H8433"/>
    <mergeCell ref="X8433:AB8433"/>
    <mergeCell ref="AE8433:AI8433"/>
    <mergeCell ref="AJ8433:AL8433"/>
    <mergeCell ref="AN8433:AO8433"/>
    <mergeCell ref="AP8433:AQ8433"/>
    <mergeCell ref="A8434:A8435"/>
    <mergeCell ref="E8434:E8435"/>
    <mergeCell ref="F8434:H8434"/>
    <mergeCell ref="J8434:J8435"/>
    <mergeCell ref="K8434:L8435"/>
    <mergeCell ref="M8434:N8435"/>
    <mergeCell ref="O8434:P8435"/>
    <mergeCell ref="Q8434:R8435"/>
    <mergeCell ref="S8434:T8435"/>
    <mergeCell ref="U8434:V8435"/>
    <mergeCell ref="W8434:W8435"/>
    <mergeCell ref="X8434:AB8434"/>
    <mergeCell ref="AD8434:AI8434"/>
    <mergeCell ref="AJ8434:AL8434"/>
    <mergeCell ref="AN8434:AO8434"/>
    <mergeCell ref="AP8434:AQ8434"/>
    <mergeCell ref="AR8434:AS8435"/>
    <mergeCell ref="AT8434:AU8435"/>
    <mergeCell ref="AV8434:AW8435"/>
    <mergeCell ref="AX8434:AY8435"/>
    <mergeCell ref="AZ8434:AZ8435"/>
    <mergeCell ref="F8435:H8435"/>
    <mergeCell ref="X8435:AB8435"/>
    <mergeCell ref="AE8435:AI8435"/>
    <mergeCell ref="AJ8435:AL8435"/>
    <mergeCell ref="AN8435:AO8435"/>
    <mergeCell ref="AP8435:AQ8435"/>
    <mergeCell ref="A8436:A8437"/>
    <mergeCell ref="E8436:E8437"/>
    <mergeCell ref="F8436:H8436"/>
    <mergeCell ref="J8436:J8437"/>
    <mergeCell ref="K8436:L8437"/>
    <mergeCell ref="M8436:N8437"/>
    <mergeCell ref="O8436:P8437"/>
    <mergeCell ref="Q8436:R8437"/>
    <mergeCell ref="S8436:T8437"/>
    <mergeCell ref="U8436:V8437"/>
    <mergeCell ref="W8436:W8437"/>
    <mergeCell ref="X8436:AB8436"/>
    <mergeCell ref="AD8436:AI8436"/>
    <mergeCell ref="AJ8436:AL8436"/>
    <mergeCell ref="AN8436:AO8436"/>
    <mergeCell ref="AP8436:AQ8436"/>
    <mergeCell ref="AR8436:AS8437"/>
    <mergeCell ref="AT8436:AU8437"/>
    <mergeCell ref="AV8436:AW8437"/>
    <mergeCell ref="AX8436:AY8437"/>
    <mergeCell ref="AZ8436:AZ8437"/>
    <mergeCell ref="F8437:H8437"/>
    <mergeCell ref="X8437:AB8437"/>
    <mergeCell ref="AE8437:AI8437"/>
    <mergeCell ref="AJ8437:AL8437"/>
    <mergeCell ref="AN8437:AO8437"/>
    <mergeCell ref="AP8437:AQ8437"/>
    <mergeCell ref="A8438:A8439"/>
    <mergeCell ref="E8438:E8439"/>
    <mergeCell ref="F8438:H8438"/>
    <mergeCell ref="J8438:J8439"/>
    <mergeCell ref="K8438:L8439"/>
    <mergeCell ref="M8438:N8439"/>
    <mergeCell ref="O8438:P8439"/>
    <mergeCell ref="Q8438:R8439"/>
    <mergeCell ref="S8438:T8439"/>
    <mergeCell ref="U8438:V8439"/>
    <mergeCell ref="W8438:W8439"/>
    <mergeCell ref="X8438:AB8438"/>
    <mergeCell ref="AD8438:AI8438"/>
    <mergeCell ref="AJ8438:AL8438"/>
    <mergeCell ref="AN8438:AO8438"/>
    <mergeCell ref="AP8438:AQ8438"/>
    <mergeCell ref="AR8438:AS8439"/>
    <mergeCell ref="AT8438:AU8439"/>
    <mergeCell ref="AV8438:AW8439"/>
    <mergeCell ref="AX8438:AY8439"/>
    <mergeCell ref="AZ8438:AZ8439"/>
    <mergeCell ref="F8439:H8439"/>
    <mergeCell ref="X8439:AB8439"/>
    <mergeCell ref="AE8439:AI8439"/>
    <mergeCell ref="AJ8439:AL8439"/>
    <mergeCell ref="AN8439:AO8439"/>
    <mergeCell ref="AP8439:AQ8439"/>
    <mergeCell ref="A8440:A8441"/>
    <mergeCell ref="E8440:E8441"/>
    <mergeCell ref="F8440:H8440"/>
    <mergeCell ref="J8440:J8441"/>
    <mergeCell ref="K8440:L8441"/>
    <mergeCell ref="M8440:N8441"/>
    <mergeCell ref="O8440:P8441"/>
    <mergeCell ref="Q8440:R8441"/>
    <mergeCell ref="S8440:T8441"/>
    <mergeCell ref="U8440:V8441"/>
    <mergeCell ref="W8440:W8441"/>
    <mergeCell ref="X8440:AB8440"/>
    <mergeCell ref="AD8440:AI8440"/>
    <mergeCell ref="AJ8440:AL8440"/>
    <mergeCell ref="AN8440:AO8440"/>
    <mergeCell ref="AP8440:AQ8440"/>
    <mergeCell ref="AR8440:AS8441"/>
    <mergeCell ref="AT8440:AU8441"/>
    <mergeCell ref="AV8440:AW8441"/>
    <mergeCell ref="AX8440:AY8441"/>
    <mergeCell ref="AZ8440:AZ8441"/>
    <mergeCell ref="F8441:H8441"/>
    <mergeCell ref="X8441:AB8441"/>
    <mergeCell ref="AE8441:AI8441"/>
    <mergeCell ref="AJ8441:AL8441"/>
    <mergeCell ref="AN8441:AO8441"/>
    <mergeCell ref="AP8441:AQ8441"/>
    <mergeCell ref="A8442:A8443"/>
    <mergeCell ref="E8442:E8443"/>
    <mergeCell ref="F8442:H8442"/>
    <mergeCell ref="J8442:J8443"/>
    <mergeCell ref="K8442:L8443"/>
    <mergeCell ref="M8442:N8443"/>
    <mergeCell ref="O8442:P8443"/>
    <mergeCell ref="Q8442:R8443"/>
    <mergeCell ref="S8442:T8443"/>
    <mergeCell ref="U8442:V8443"/>
    <mergeCell ref="W8442:W8443"/>
    <mergeCell ref="X8442:AB8442"/>
    <mergeCell ref="AD8442:AI8442"/>
    <mergeCell ref="AJ8442:AL8442"/>
    <mergeCell ref="AN8442:AO8442"/>
    <mergeCell ref="AP8442:AQ8442"/>
    <mergeCell ref="AR8442:AS8443"/>
    <mergeCell ref="AT8442:AU8443"/>
    <mergeCell ref="AV8442:AW8443"/>
    <mergeCell ref="AX8442:AY8443"/>
    <mergeCell ref="AZ8442:AZ8443"/>
    <mergeCell ref="F8443:H8443"/>
    <mergeCell ref="X8443:AB8443"/>
    <mergeCell ref="AE8443:AI8443"/>
    <mergeCell ref="AJ8443:AL8443"/>
    <mergeCell ref="AN8443:AO8443"/>
    <mergeCell ref="AP8443:AQ8443"/>
    <mergeCell ref="A8444:A8445"/>
    <mergeCell ref="E8444:E8445"/>
    <mergeCell ref="F8444:H8444"/>
    <mergeCell ref="J8444:J8445"/>
    <mergeCell ref="K8444:L8445"/>
    <mergeCell ref="M8444:N8445"/>
    <mergeCell ref="O8444:P8445"/>
    <mergeCell ref="Q8444:R8445"/>
    <mergeCell ref="S8444:T8445"/>
    <mergeCell ref="U8444:V8445"/>
    <mergeCell ref="W8444:W8445"/>
    <mergeCell ref="X8444:AB8444"/>
    <mergeCell ref="AD8444:AI8444"/>
    <mergeCell ref="AJ8444:AL8444"/>
    <mergeCell ref="AN8444:AO8444"/>
    <mergeCell ref="AP8444:AQ8444"/>
    <mergeCell ref="AR8444:AS8445"/>
    <mergeCell ref="AT8444:AU8445"/>
    <mergeCell ref="AV8444:AW8445"/>
    <mergeCell ref="AX8444:AY8445"/>
    <mergeCell ref="AZ8444:AZ8445"/>
    <mergeCell ref="F8445:H8445"/>
    <mergeCell ref="X8445:AB8445"/>
    <mergeCell ref="AE8445:AI8445"/>
    <mergeCell ref="AJ8445:AL8445"/>
    <mergeCell ref="AN8445:AO8445"/>
    <mergeCell ref="AP8445:AQ8445"/>
    <mergeCell ref="A8446:A8447"/>
    <mergeCell ref="E8446:E8447"/>
    <mergeCell ref="F8446:H8446"/>
    <mergeCell ref="J8446:J8447"/>
    <mergeCell ref="K8446:L8447"/>
    <mergeCell ref="M8446:N8447"/>
    <mergeCell ref="O8446:P8447"/>
    <mergeCell ref="Q8446:R8447"/>
    <mergeCell ref="S8446:T8447"/>
    <mergeCell ref="U8446:V8447"/>
    <mergeCell ref="W8446:W8447"/>
    <mergeCell ref="X8446:AB8446"/>
    <mergeCell ref="AD8446:AI8446"/>
    <mergeCell ref="AJ8446:AL8446"/>
    <mergeCell ref="AN8446:AO8446"/>
    <mergeCell ref="AP8446:AQ8446"/>
    <mergeCell ref="AR8446:AS8447"/>
    <mergeCell ref="AT8446:AU8447"/>
    <mergeCell ref="AV8446:AW8447"/>
    <mergeCell ref="AX8446:AY8447"/>
    <mergeCell ref="AZ8446:AZ8447"/>
    <mergeCell ref="F8447:H8447"/>
    <mergeCell ref="X8447:AB8447"/>
    <mergeCell ref="AE8447:AI8447"/>
    <mergeCell ref="AJ8447:AL8447"/>
    <mergeCell ref="AN8447:AO8447"/>
    <mergeCell ref="AP8447:AQ8447"/>
    <mergeCell ref="A8448:A8449"/>
    <mergeCell ref="E8448:E8449"/>
    <mergeCell ref="F8448:H8448"/>
    <mergeCell ref="J8448:J8449"/>
    <mergeCell ref="K8448:L8449"/>
    <mergeCell ref="M8448:N8449"/>
    <mergeCell ref="O8448:P8449"/>
    <mergeCell ref="Q8448:R8449"/>
    <mergeCell ref="S8448:T8449"/>
    <mergeCell ref="U8448:V8449"/>
    <mergeCell ref="W8448:W8449"/>
    <mergeCell ref="X8448:AB8448"/>
    <mergeCell ref="AD8448:AI8448"/>
    <mergeCell ref="AJ8448:AL8448"/>
    <mergeCell ref="AN8448:AO8448"/>
    <mergeCell ref="AP8448:AQ8448"/>
    <mergeCell ref="AR8448:AS8449"/>
    <mergeCell ref="AT8448:AU8449"/>
    <mergeCell ref="AV8448:AW8449"/>
    <mergeCell ref="AX8448:AY8449"/>
    <mergeCell ref="AZ8448:AZ8449"/>
    <mergeCell ref="F8449:H8449"/>
    <mergeCell ref="X8449:AB8449"/>
    <mergeCell ref="AE8449:AI8449"/>
    <mergeCell ref="AJ8449:AL8449"/>
    <mergeCell ref="AN8449:AO8449"/>
    <mergeCell ref="AP8449:AQ8449"/>
    <mergeCell ref="A8450:A8451"/>
    <mergeCell ref="E8450:E8451"/>
    <mergeCell ref="F8450:H8450"/>
    <mergeCell ref="J8450:J8451"/>
    <mergeCell ref="K8450:L8451"/>
    <mergeCell ref="M8450:N8451"/>
    <mergeCell ref="O8450:P8451"/>
    <mergeCell ref="Q8450:R8451"/>
    <mergeCell ref="S8450:T8451"/>
    <mergeCell ref="U8450:V8451"/>
    <mergeCell ref="W8450:W8451"/>
    <mergeCell ref="X8450:AB8450"/>
    <mergeCell ref="AD8450:AI8450"/>
    <mergeCell ref="AJ8450:AL8450"/>
    <mergeCell ref="AN8450:AO8450"/>
    <mergeCell ref="AP8450:AQ8450"/>
    <mergeCell ref="AR8450:AS8451"/>
    <mergeCell ref="AT8450:AU8451"/>
    <mergeCell ref="AV8450:AW8451"/>
    <mergeCell ref="AX8450:AY8451"/>
    <mergeCell ref="AZ8450:AZ8451"/>
    <mergeCell ref="F8451:H8451"/>
    <mergeCell ref="X8451:AB8451"/>
    <mergeCell ref="AE8451:AI8451"/>
    <mergeCell ref="AJ8451:AL8451"/>
    <mergeCell ref="AN8451:AO8451"/>
    <mergeCell ref="AP8451:AQ8451"/>
    <mergeCell ref="A8452:A8453"/>
    <mergeCell ref="E8452:E8453"/>
    <mergeCell ref="F8452:H8452"/>
    <mergeCell ref="J8452:J8453"/>
    <mergeCell ref="K8452:L8453"/>
    <mergeCell ref="M8452:N8453"/>
    <mergeCell ref="O8452:P8453"/>
    <mergeCell ref="Q8452:R8453"/>
    <mergeCell ref="S8452:T8453"/>
    <mergeCell ref="U8452:V8453"/>
    <mergeCell ref="W8452:W8453"/>
    <mergeCell ref="X8452:AB8452"/>
    <mergeCell ref="AD8452:AI8452"/>
    <mergeCell ref="AJ8452:AL8452"/>
    <mergeCell ref="AN8452:AO8452"/>
    <mergeCell ref="AP8452:AQ8452"/>
    <mergeCell ref="AR8452:AS8453"/>
    <mergeCell ref="AT8452:AU8453"/>
    <mergeCell ref="AV8452:AW8453"/>
    <mergeCell ref="AX8452:AY8453"/>
    <mergeCell ref="AZ8452:AZ8453"/>
    <mergeCell ref="F8453:H8453"/>
    <mergeCell ref="X8453:AB8453"/>
    <mergeCell ref="AE8453:AI8453"/>
    <mergeCell ref="AJ8453:AL8453"/>
    <mergeCell ref="AN8453:AO8453"/>
    <mergeCell ref="AP8453:AQ8453"/>
    <mergeCell ref="A8454:A8455"/>
    <mergeCell ref="E8454:E8455"/>
    <mergeCell ref="F8454:H8454"/>
    <mergeCell ref="J8454:J8455"/>
    <mergeCell ref="K8454:L8455"/>
    <mergeCell ref="M8454:N8455"/>
    <mergeCell ref="O8454:P8455"/>
    <mergeCell ref="Q8454:R8455"/>
    <mergeCell ref="S8454:T8455"/>
    <mergeCell ref="U8454:V8455"/>
    <mergeCell ref="W8454:W8455"/>
    <mergeCell ref="X8454:AB8454"/>
    <mergeCell ref="AD8454:AI8454"/>
    <mergeCell ref="AJ8454:AL8454"/>
    <mergeCell ref="AN8454:AO8454"/>
    <mergeCell ref="AP8454:AQ8454"/>
    <mergeCell ref="AR8454:AS8455"/>
    <mergeCell ref="AT8454:AU8455"/>
    <mergeCell ref="AV8454:AW8455"/>
    <mergeCell ref="AX8454:AY8455"/>
    <mergeCell ref="AZ8454:AZ8455"/>
    <mergeCell ref="F8455:H8455"/>
    <mergeCell ref="X8455:AB8455"/>
    <mergeCell ref="AE8455:AI8455"/>
    <mergeCell ref="AJ8455:AL8455"/>
    <mergeCell ref="AN8455:AO8455"/>
    <mergeCell ref="AP8455:AQ8455"/>
    <mergeCell ref="AZ8458:AZ8459"/>
    <mergeCell ref="F8459:H8459"/>
    <mergeCell ref="X8459:AB8459"/>
    <mergeCell ref="AE8459:AI8459"/>
    <mergeCell ref="AJ8459:AL8459"/>
    <mergeCell ref="AN8459:AO8459"/>
    <mergeCell ref="AP8459:AQ8459"/>
    <mergeCell ref="A8456:A8457"/>
    <mergeCell ref="E8456:E8457"/>
    <mergeCell ref="F8456:H8456"/>
    <mergeCell ref="J8456:J8457"/>
    <mergeCell ref="K8456:L8457"/>
    <mergeCell ref="M8456:N8457"/>
    <mergeCell ref="O8456:P8457"/>
    <mergeCell ref="Q8456:R8457"/>
    <mergeCell ref="S8456:T8457"/>
    <mergeCell ref="U8456:V8457"/>
    <mergeCell ref="AZ8456:AZ8457"/>
    <mergeCell ref="F8457:H8457"/>
    <mergeCell ref="X8457:AB8457"/>
    <mergeCell ref="AE8457:AI8457"/>
    <mergeCell ref="AJ8457:AL8457"/>
    <mergeCell ref="AN8457:AO8457"/>
    <mergeCell ref="AP8457:AQ8457"/>
    <mergeCell ref="A8458:A8459"/>
    <mergeCell ref="E8458:E8459"/>
    <mergeCell ref="F8458:H8458"/>
    <mergeCell ref="J8458:J8459"/>
    <mergeCell ref="K8458:L8459"/>
    <mergeCell ref="M8458:N8459"/>
    <mergeCell ref="O8458:P8459"/>
    <mergeCell ref="Q8458:R8459"/>
    <mergeCell ref="S8458:T8459"/>
    <mergeCell ref="U8458:V8459"/>
    <mergeCell ref="W8458:W8459"/>
    <mergeCell ref="X8458:AB8458"/>
    <mergeCell ref="AD8458:AI8458"/>
    <mergeCell ref="J8462:J8463"/>
    <mergeCell ref="K8462:L8463"/>
    <mergeCell ref="M8462:N8463"/>
    <mergeCell ref="O8462:P8463"/>
    <mergeCell ref="Q8462:R8463"/>
    <mergeCell ref="S8462:T8463"/>
    <mergeCell ref="U8462:V8463"/>
    <mergeCell ref="W8462:W8463"/>
    <mergeCell ref="X8462:AB8462"/>
    <mergeCell ref="AD8462:AI8462"/>
    <mergeCell ref="AJ8462:AL8462"/>
    <mergeCell ref="AN8462:AO8462"/>
    <mergeCell ref="AP8462:AQ8462"/>
    <mergeCell ref="AR8462:AS8463"/>
    <mergeCell ref="AT8462:AU8463"/>
    <mergeCell ref="AV8462:AW8463"/>
    <mergeCell ref="AX8462:AY8463"/>
    <mergeCell ref="AZ8462:AZ8463"/>
    <mergeCell ref="F8463:H8463"/>
    <mergeCell ref="X8463:AB8463"/>
    <mergeCell ref="AE8463:AI8463"/>
    <mergeCell ref="AJ8463:AL8463"/>
    <mergeCell ref="AN8463:AO8463"/>
    <mergeCell ref="AP8463:AQ8463"/>
    <mergeCell ref="A8464:A8465"/>
    <mergeCell ref="E8464:E8465"/>
    <mergeCell ref="F8464:H8464"/>
    <mergeCell ref="J8464:J8465"/>
    <mergeCell ref="K8464:L8465"/>
    <mergeCell ref="M8464:N8465"/>
    <mergeCell ref="O8464:P8465"/>
    <mergeCell ref="Q8464:R8465"/>
    <mergeCell ref="S8464:T8465"/>
    <mergeCell ref="U8464:V8465"/>
    <mergeCell ref="W8464:W8465"/>
    <mergeCell ref="X8464:AB8464"/>
    <mergeCell ref="AD8464:AI8464"/>
    <mergeCell ref="AJ8464:AL8464"/>
    <mergeCell ref="AN8464:AO8464"/>
    <mergeCell ref="AP8464:AQ8464"/>
    <mergeCell ref="AR8464:AS8465"/>
    <mergeCell ref="AT8464:AU8465"/>
    <mergeCell ref="AV8464:AW8465"/>
    <mergeCell ref="AX8464:AY8465"/>
    <mergeCell ref="AZ8464:AZ8465"/>
    <mergeCell ref="F8465:H8465"/>
    <mergeCell ref="X8465:AB8465"/>
    <mergeCell ref="AE8465:AI8465"/>
    <mergeCell ref="AJ8465:AL8465"/>
    <mergeCell ref="AN8465:AO8465"/>
    <mergeCell ref="AP8465:AQ8465"/>
    <mergeCell ref="A8466:A8467"/>
    <mergeCell ref="E8466:E8467"/>
    <mergeCell ref="F8466:H8466"/>
    <mergeCell ref="J8466:J8467"/>
    <mergeCell ref="K8466:L8467"/>
    <mergeCell ref="M8466:N8467"/>
    <mergeCell ref="O8466:P8467"/>
    <mergeCell ref="Q8466:R8467"/>
    <mergeCell ref="S8466:T8467"/>
    <mergeCell ref="U8466:V8467"/>
    <mergeCell ref="W8466:W8467"/>
    <mergeCell ref="X8466:AB8466"/>
    <mergeCell ref="AD8466:AI8466"/>
    <mergeCell ref="AJ8466:AL8466"/>
    <mergeCell ref="AN8466:AO8466"/>
    <mergeCell ref="AP8466:AQ8466"/>
    <mergeCell ref="AR8466:AS8467"/>
    <mergeCell ref="AT8466:AU8467"/>
    <mergeCell ref="AV8466:AW8467"/>
    <mergeCell ref="AX8466:AY8467"/>
    <mergeCell ref="AZ8466:AZ8467"/>
    <mergeCell ref="F8467:H8467"/>
    <mergeCell ref="X8467:AB8467"/>
    <mergeCell ref="AE8467:AI8467"/>
    <mergeCell ref="AJ8467:AL8467"/>
    <mergeCell ref="AN8467:AO8467"/>
    <mergeCell ref="AP8467:AQ8467"/>
    <mergeCell ref="A8468:A8469"/>
    <mergeCell ref="E8468:E8469"/>
    <mergeCell ref="F8468:H8468"/>
    <mergeCell ref="J8468:J8469"/>
    <mergeCell ref="K8468:L8469"/>
    <mergeCell ref="M8468:N8469"/>
    <mergeCell ref="O8468:P8469"/>
    <mergeCell ref="Q8468:R8469"/>
    <mergeCell ref="S8468:T8469"/>
    <mergeCell ref="U8468:V8469"/>
    <mergeCell ref="W8468:W8469"/>
    <mergeCell ref="X8468:AB8468"/>
    <mergeCell ref="AD8468:AI8468"/>
    <mergeCell ref="AJ8468:AL8468"/>
    <mergeCell ref="AN8468:AO8468"/>
    <mergeCell ref="AP8468:AQ8468"/>
    <mergeCell ref="AR8468:AS8469"/>
    <mergeCell ref="AT8468:AU8469"/>
    <mergeCell ref="AV8468:AW8469"/>
    <mergeCell ref="AX8468:AY8469"/>
    <mergeCell ref="AZ8468:AZ8469"/>
    <mergeCell ref="F8469:H8469"/>
    <mergeCell ref="X8469:AB8469"/>
    <mergeCell ref="AE8469:AI8469"/>
    <mergeCell ref="AJ8469:AL8469"/>
    <mergeCell ref="AN8469:AO8469"/>
    <mergeCell ref="AP8469:AQ8469"/>
    <mergeCell ref="A8470:A8471"/>
    <mergeCell ref="E8470:E8471"/>
    <mergeCell ref="F8470:H8470"/>
    <mergeCell ref="J8470:J8471"/>
    <mergeCell ref="K8470:L8471"/>
    <mergeCell ref="M8470:N8471"/>
    <mergeCell ref="O8470:P8471"/>
    <mergeCell ref="Q8470:R8471"/>
    <mergeCell ref="S8470:T8471"/>
    <mergeCell ref="U8470:V8471"/>
    <mergeCell ref="W8470:W8471"/>
    <mergeCell ref="X8470:AB8470"/>
    <mergeCell ref="AD8470:AI8470"/>
    <mergeCell ref="AJ8470:AL8470"/>
    <mergeCell ref="AN8470:AO8470"/>
    <mergeCell ref="AP8470:AQ8470"/>
    <mergeCell ref="AR8470:AS8471"/>
    <mergeCell ref="AT8470:AU8471"/>
    <mergeCell ref="AV8470:AW8471"/>
    <mergeCell ref="AX8470:AY8471"/>
    <mergeCell ref="AZ8470:AZ8471"/>
    <mergeCell ref="F8471:H8471"/>
    <mergeCell ref="X8471:AB8471"/>
    <mergeCell ref="AE8471:AI8471"/>
    <mergeCell ref="AJ8471:AL8471"/>
    <mergeCell ref="AN8471:AO8471"/>
    <mergeCell ref="AP8471:AQ8471"/>
    <mergeCell ref="A8472:A8473"/>
    <mergeCell ref="E8472:E8473"/>
    <mergeCell ref="F8472:H8472"/>
    <mergeCell ref="J8472:J8473"/>
    <mergeCell ref="K8472:L8473"/>
    <mergeCell ref="M8472:N8473"/>
    <mergeCell ref="O8472:P8473"/>
    <mergeCell ref="Q8472:R8473"/>
    <mergeCell ref="S8472:T8473"/>
    <mergeCell ref="U8472:V8473"/>
    <mergeCell ref="W8472:W8473"/>
    <mergeCell ref="X8472:AB8472"/>
    <mergeCell ref="AD8472:AI8472"/>
    <mergeCell ref="AJ8472:AL8472"/>
    <mergeCell ref="AN8472:AO8472"/>
    <mergeCell ref="AP8472:AQ8472"/>
    <mergeCell ref="AR8472:AS8473"/>
    <mergeCell ref="AT8472:AU8473"/>
    <mergeCell ref="AV8472:AW8473"/>
    <mergeCell ref="AX8472:AY8473"/>
    <mergeCell ref="AZ8472:AZ8473"/>
    <mergeCell ref="F8473:H8473"/>
    <mergeCell ref="X8473:AB8473"/>
    <mergeCell ref="AE8473:AI8473"/>
    <mergeCell ref="AJ8473:AL8473"/>
    <mergeCell ref="AN8473:AO8473"/>
    <mergeCell ref="AP8473:AQ8473"/>
    <mergeCell ref="A8474:A8475"/>
    <mergeCell ref="E8474:E8475"/>
    <mergeCell ref="F8474:H8474"/>
    <mergeCell ref="J8474:J8475"/>
    <mergeCell ref="K8474:L8475"/>
    <mergeCell ref="M8474:N8475"/>
    <mergeCell ref="O8474:P8475"/>
    <mergeCell ref="Q8474:R8475"/>
    <mergeCell ref="S8474:T8475"/>
    <mergeCell ref="U8474:V8475"/>
    <mergeCell ref="W8474:W8475"/>
    <mergeCell ref="X8474:AB8474"/>
    <mergeCell ref="AD8474:AI8474"/>
    <mergeCell ref="AJ8474:AL8474"/>
    <mergeCell ref="AN8474:AO8474"/>
    <mergeCell ref="AP8474:AQ8474"/>
    <mergeCell ref="AR8474:AS8475"/>
    <mergeCell ref="AT8474:AU8475"/>
    <mergeCell ref="AV8474:AW8475"/>
    <mergeCell ref="AX8474:AY8475"/>
    <mergeCell ref="AZ8474:AZ8475"/>
    <mergeCell ref="F8475:H8475"/>
    <mergeCell ref="X8475:AB8475"/>
    <mergeCell ref="AE8475:AI8475"/>
    <mergeCell ref="AJ8475:AL8475"/>
    <mergeCell ref="AN8475:AO8475"/>
    <mergeCell ref="AP8475:AQ8475"/>
    <mergeCell ref="A8476:A8477"/>
    <mergeCell ref="E8476:E8477"/>
    <mergeCell ref="F8476:H8476"/>
    <mergeCell ref="J8476:J8477"/>
    <mergeCell ref="K8476:L8477"/>
    <mergeCell ref="M8476:N8477"/>
    <mergeCell ref="O8476:P8477"/>
    <mergeCell ref="Q8476:R8477"/>
    <mergeCell ref="S8476:T8477"/>
    <mergeCell ref="U8476:V8477"/>
    <mergeCell ref="W8476:W8477"/>
    <mergeCell ref="X8476:AB8476"/>
    <mergeCell ref="AD8476:AI8476"/>
    <mergeCell ref="AJ8476:AL8476"/>
    <mergeCell ref="AN8476:AO8476"/>
    <mergeCell ref="AP8476:AQ8476"/>
    <mergeCell ref="AR8476:AS8477"/>
    <mergeCell ref="AT8476:AU8477"/>
    <mergeCell ref="AV8476:AW8477"/>
    <mergeCell ref="AX8476:AY8477"/>
    <mergeCell ref="AZ8476:AZ8477"/>
    <mergeCell ref="F8477:H8477"/>
    <mergeCell ref="X8477:AB8477"/>
    <mergeCell ref="AE8477:AI8477"/>
    <mergeCell ref="AJ8477:AL8477"/>
    <mergeCell ref="AN8477:AO8477"/>
    <mergeCell ref="AP8477:AQ8477"/>
    <mergeCell ref="A8478:A8479"/>
    <mergeCell ref="E8478:E8479"/>
    <mergeCell ref="F8478:H8478"/>
    <mergeCell ref="J8478:J8479"/>
    <mergeCell ref="K8478:L8479"/>
    <mergeCell ref="M8478:N8479"/>
    <mergeCell ref="O8478:P8479"/>
    <mergeCell ref="Q8478:R8479"/>
    <mergeCell ref="S8478:T8479"/>
    <mergeCell ref="U8478:V8479"/>
    <mergeCell ref="W8478:W8479"/>
    <mergeCell ref="X8478:AB8478"/>
    <mergeCell ref="AD8478:AI8478"/>
    <mergeCell ref="AJ8478:AL8478"/>
    <mergeCell ref="AN8478:AO8478"/>
    <mergeCell ref="AP8478:AQ8478"/>
    <mergeCell ref="AR8478:AS8479"/>
    <mergeCell ref="AT8478:AU8479"/>
    <mergeCell ref="AV8478:AW8479"/>
    <mergeCell ref="AX8478:AY8479"/>
    <mergeCell ref="AZ8478:AZ8479"/>
    <mergeCell ref="F8479:H8479"/>
    <mergeCell ref="X8479:AB8479"/>
    <mergeCell ref="AE8479:AI8479"/>
    <mergeCell ref="AJ8479:AL8479"/>
    <mergeCell ref="AN8479:AO8479"/>
    <mergeCell ref="AP8479:AQ8479"/>
    <mergeCell ref="A8480:A8481"/>
    <mergeCell ref="E8480:E8481"/>
    <mergeCell ref="F8480:H8480"/>
    <mergeCell ref="J8480:J8481"/>
    <mergeCell ref="K8480:L8481"/>
    <mergeCell ref="M8480:N8481"/>
    <mergeCell ref="O8480:P8481"/>
    <mergeCell ref="Q8480:R8481"/>
    <mergeCell ref="S8480:T8481"/>
    <mergeCell ref="U8480:V8481"/>
    <mergeCell ref="W8480:W8481"/>
    <mergeCell ref="X8480:AB8480"/>
    <mergeCell ref="AD8480:AI8480"/>
    <mergeCell ref="AJ8480:AL8480"/>
    <mergeCell ref="AN8480:AO8480"/>
    <mergeCell ref="AP8480:AQ8480"/>
    <mergeCell ref="AR8480:AS8481"/>
    <mergeCell ref="AT8480:AU8481"/>
    <mergeCell ref="AV8480:AW8481"/>
    <mergeCell ref="AX8480:AY8481"/>
    <mergeCell ref="AZ8480:AZ8481"/>
    <mergeCell ref="F8481:H8481"/>
    <mergeCell ref="X8481:AB8481"/>
    <mergeCell ref="AE8481:AI8481"/>
    <mergeCell ref="AJ8481:AL8481"/>
    <mergeCell ref="AN8481:AO8481"/>
    <mergeCell ref="AP8481:AQ8481"/>
    <mergeCell ref="A8482:A8483"/>
    <mergeCell ref="E8482:E8483"/>
    <mergeCell ref="F8482:H8482"/>
    <mergeCell ref="J8482:J8483"/>
    <mergeCell ref="K8482:L8483"/>
    <mergeCell ref="M8482:N8483"/>
    <mergeCell ref="O8482:P8483"/>
    <mergeCell ref="Q8482:R8483"/>
    <mergeCell ref="S8482:T8483"/>
    <mergeCell ref="U8482:V8483"/>
    <mergeCell ref="W8482:W8483"/>
    <mergeCell ref="X8482:AB8482"/>
    <mergeCell ref="AD8482:AI8482"/>
    <mergeCell ref="AJ8482:AL8482"/>
    <mergeCell ref="AN8482:AO8482"/>
    <mergeCell ref="AP8482:AQ8482"/>
    <mergeCell ref="AR8482:AS8483"/>
    <mergeCell ref="AT8482:AU8483"/>
    <mergeCell ref="AV8482:AW8483"/>
    <mergeCell ref="AX8482:AY8483"/>
    <mergeCell ref="AZ8482:AZ8483"/>
    <mergeCell ref="F8483:H8483"/>
    <mergeCell ref="X8483:AB8483"/>
    <mergeCell ref="AE8483:AI8483"/>
    <mergeCell ref="AJ8483:AL8483"/>
    <mergeCell ref="AN8483:AO8483"/>
    <mergeCell ref="AP8483:AQ8483"/>
    <mergeCell ref="A8484:A8485"/>
    <mergeCell ref="E8484:E8485"/>
    <mergeCell ref="F8484:H8484"/>
    <mergeCell ref="J8484:J8485"/>
    <mergeCell ref="K8484:L8485"/>
    <mergeCell ref="M8484:N8485"/>
    <mergeCell ref="O8484:P8485"/>
    <mergeCell ref="Q8484:R8485"/>
    <mergeCell ref="S8484:T8485"/>
    <mergeCell ref="U8484:V8485"/>
    <mergeCell ref="W8484:W8485"/>
    <mergeCell ref="X8484:AB8484"/>
    <mergeCell ref="AD8484:AI8484"/>
    <mergeCell ref="AJ8484:AL8484"/>
    <mergeCell ref="AN8484:AO8484"/>
    <mergeCell ref="AP8484:AQ8484"/>
    <mergeCell ref="AR8484:AS8485"/>
    <mergeCell ref="AT8484:AU8485"/>
    <mergeCell ref="AV8484:AW8485"/>
    <mergeCell ref="AX8484:AY8485"/>
    <mergeCell ref="AZ8484:AZ8485"/>
    <mergeCell ref="F8485:H8485"/>
    <mergeCell ref="X8485:AB8485"/>
    <mergeCell ref="AE8485:AI8485"/>
    <mergeCell ref="AJ8485:AL8485"/>
    <mergeCell ref="AN8485:AO8485"/>
    <mergeCell ref="AP8485:AQ8485"/>
    <mergeCell ref="A8486:A8487"/>
    <mergeCell ref="E8486:E8487"/>
    <mergeCell ref="F8486:H8486"/>
    <mergeCell ref="J8486:J8487"/>
    <mergeCell ref="K8486:L8487"/>
    <mergeCell ref="M8486:N8487"/>
    <mergeCell ref="O8486:P8487"/>
    <mergeCell ref="Q8486:R8487"/>
    <mergeCell ref="S8486:T8487"/>
    <mergeCell ref="U8486:V8487"/>
    <mergeCell ref="W8486:W8487"/>
    <mergeCell ref="X8486:AB8486"/>
    <mergeCell ref="AD8486:AI8486"/>
    <mergeCell ref="AJ8486:AL8486"/>
    <mergeCell ref="AN8486:AO8486"/>
    <mergeCell ref="AP8486:AQ8486"/>
    <mergeCell ref="AR8486:AS8487"/>
    <mergeCell ref="AT8486:AU8487"/>
    <mergeCell ref="AV8486:AW8487"/>
    <mergeCell ref="AX8486:AY8487"/>
    <mergeCell ref="AZ8486:AZ8487"/>
    <mergeCell ref="F8487:H8487"/>
    <mergeCell ref="X8487:AB8487"/>
    <mergeCell ref="AE8487:AI8487"/>
    <mergeCell ref="AJ8487:AL8487"/>
    <mergeCell ref="AN8487:AO8487"/>
    <mergeCell ref="AP8487:AQ8487"/>
    <mergeCell ref="A8488:A8489"/>
    <mergeCell ref="E8488:E8489"/>
    <mergeCell ref="F8488:H8488"/>
    <mergeCell ref="J8488:J8489"/>
    <mergeCell ref="K8488:L8489"/>
    <mergeCell ref="M8488:N8489"/>
    <mergeCell ref="O8488:P8489"/>
    <mergeCell ref="Q8488:R8489"/>
    <mergeCell ref="S8488:T8489"/>
    <mergeCell ref="U8488:V8489"/>
    <mergeCell ref="W8488:W8489"/>
    <mergeCell ref="X8488:AB8488"/>
    <mergeCell ref="AD8488:AI8488"/>
    <mergeCell ref="AJ8488:AL8488"/>
    <mergeCell ref="AN8488:AO8488"/>
    <mergeCell ref="AP8488:AQ8488"/>
    <mergeCell ref="AR8488:AS8489"/>
    <mergeCell ref="AT8488:AU8489"/>
    <mergeCell ref="AV8488:AW8489"/>
    <mergeCell ref="AX8488:AY8489"/>
    <mergeCell ref="AZ8488:AZ8489"/>
    <mergeCell ref="F8489:H8489"/>
    <mergeCell ref="X8489:AB8489"/>
    <mergeCell ref="AE8489:AI8489"/>
    <mergeCell ref="AJ8489:AL8489"/>
    <mergeCell ref="AN8489:AO8489"/>
    <mergeCell ref="AP8489:AQ8489"/>
    <mergeCell ref="A8490:A8491"/>
    <mergeCell ref="E8490:E8491"/>
    <mergeCell ref="F8490:H8490"/>
    <mergeCell ref="J8490:J8491"/>
    <mergeCell ref="K8490:L8491"/>
    <mergeCell ref="M8490:N8491"/>
    <mergeCell ref="O8490:P8491"/>
    <mergeCell ref="Q8490:R8491"/>
    <mergeCell ref="S8490:T8491"/>
    <mergeCell ref="U8490:V8491"/>
    <mergeCell ref="W8490:W8491"/>
    <mergeCell ref="X8490:AB8490"/>
    <mergeCell ref="AD8490:AI8490"/>
    <mergeCell ref="AJ8490:AL8490"/>
    <mergeCell ref="AN8490:AO8490"/>
    <mergeCell ref="AP8490:AQ8490"/>
    <mergeCell ref="AR8490:AS8491"/>
    <mergeCell ref="AT8490:AU8491"/>
    <mergeCell ref="AV8490:AW8491"/>
    <mergeCell ref="AX8490:AY8491"/>
    <mergeCell ref="AZ8490:AZ8491"/>
    <mergeCell ref="F8491:H8491"/>
    <mergeCell ref="X8491:AB8491"/>
    <mergeCell ref="AE8491:AI8491"/>
    <mergeCell ref="AJ8491:AL8491"/>
    <mergeCell ref="AN8491:AO8491"/>
    <mergeCell ref="AP8491:AQ8491"/>
    <mergeCell ref="A8492:A8493"/>
    <mergeCell ref="E8492:E8493"/>
    <mergeCell ref="F8492:H8492"/>
    <mergeCell ref="J8492:J8493"/>
    <mergeCell ref="K8492:L8493"/>
    <mergeCell ref="M8492:N8493"/>
    <mergeCell ref="O8492:P8493"/>
    <mergeCell ref="Q8492:R8493"/>
    <mergeCell ref="S8492:T8493"/>
    <mergeCell ref="U8492:V8493"/>
    <mergeCell ref="W8492:W8493"/>
    <mergeCell ref="X8492:AB8492"/>
    <mergeCell ref="AD8492:AI8492"/>
    <mergeCell ref="AJ8492:AL8492"/>
    <mergeCell ref="AN8492:AO8492"/>
    <mergeCell ref="AP8492:AQ8492"/>
    <mergeCell ref="AR8492:AS8493"/>
    <mergeCell ref="AT8492:AU8493"/>
    <mergeCell ref="AV8492:AW8493"/>
    <mergeCell ref="AX8492:AY8493"/>
    <mergeCell ref="AZ8492:AZ8493"/>
    <mergeCell ref="F8493:H8493"/>
    <mergeCell ref="X8493:AB8493"/>
    <mergeCell ref="AE8493:AI8493"/>
    <mergeCell ref="AJ8493:AL8493"/>
    <mergeCell ref="AN8493:AO8493"/>
    <mergeCell ref="AP8493:AQ8493"/>
    <mergeCell ref="A8494:A8495"/>
    <mergeCell ref="E8494:E8495"/>
    <mergeCell ref="F8494:H8494"/>
    <mergeCell ref="J8494:J8495"/>
    <mergeCell ref="K8494:L8495"/>
    <mergeCell ref="M8494:N8495"/>
    <mergeCell ref="O8494:P8495"/>
    <mergeCell ref="Q8494:R8495"/>
    <mergeCell ref="S8494:T8495"/>
    <mergeCell ref="U8494:V8495"/>
    <mergeCell ref="W8494:W8495"/>
    <mergeCell ref="X8494:AB8494"/>
    <mergeCell ref="AD8494:AI8494"/>
    <mergeCell ref="AJ8494:AL8494"/>
    <mergeCell ref="AN8494:AO8494"/>
    <mergeCell ref="AP8494:AQ8494"/>
    <mergeCell ref="AR8494:AS8495"/>
    <mergeCell ref="AT8494:AU8495"/>
    <mergeCell ref="AV8494:AW8495"/>
    <mergeCell ref="AX8494:AY8495"/>
    <mergeCell ref="AZ8494:AZ8495"/>
    <mergeCell ref="F8495:H8495"/>
    <mergeCell ref="X8495:AB8495"/>
    <mergeCell ref="AE8495:AI8495"/>
    <mergeCell ref="AJ8495:AL8495"/>
    <mergeCell ref="AN8495:AO8495"/>
    <mergeCell ref="AP8495:AQ8495"/>
    <mergeCell ref="A8496:A8497"/>
    <mergeCell ref="E8496:E8497"/>
    <mergeCell ref="F8496:H8496"/>
    <mergeCell ref="J8496:J8497"/>
    <mergeCell ref="K8496:L8497"/>
    <mergeCell ref="M8496:N8497"/>
    <mergeCell ref="O8496:P8497"/>
    <mergeCell ref="Q8496:R8497"/>
    <mergeCell ref="S8496:T8497"/>
    <mergeCell ref="U8496:V8497"/>
    <mergeCell ref="W8496:W8497"/>
    <mergeCell ref="X8496:AB8496"/>
    <mergeCell ref="AD8496:AI8496"/>
    <mergeCell ref="AJ8496:AL8496"/>
    <mergeCell ref="AN8496:AO8496"/>
    <mergeCell ref="AP8496:AQ8496"/>
    <mergeCell ref="AR8496:AS8497"/>
    <mergeCell ref="AT8496:AU8497"/>
    <mergeCell ref="AV8496:AW8497"/>
    <mergeCell ref="AX8496:AY8497"/>
    <mergeCell ref="AZ8496:AZ8497"/>
    <mergeCell ref="F8497:H8497"/>
    <mergeCell ref="X8497:AB8497"/>
    <mergeCell ref="AE8497:AI8497"/>
    <mergeCell ref="AJ8497:AL8497"/>
    <mergeCell ref="AN8497:AO8497"/>
    <mergeCell ref="AP8497:AQ8497"/>
    <mergeCell ref="A8498:A8499"/>
    <mergeCell ref="E8498:E8499"/>
    <mergeCell ref="F8498:H8498"/>
    <mergeCell ref="J8498:J8499"/>
    <mergeCell ref="K8498:L8499"/>
    <mergeCell ref="M8498:N8499"/>
    <mergeCell ref="O8498:P8499"/>
    <mergeCell ref="Q8498:R8499"/>
    <mergeCell ref="S8498:T8499"/>
    <mergeCell ref="U8498:V8499"/>
    <mergeCell ref="W8498:W8499"/>
    <mergeCell ref="X8498:AB8498"/>
    <mergeCell ref="AD8498:AI8498"/>
    <mergeCell ref="AJ8498:AL8498"/>
    <mergeCell ref="AN8498:AO8498"/>
    <mergeCell ref="AP8498:AQ8498"/>
    <mergeCell ref="AR8498:AS8499"/>
    <mergeCell ref="AT8498:AU8499"/>
    <mergeCell ref="AV8498:AW8499"/>
    <mergeCell ref="AX8498:AY8499"/>
    <mergeCell ref="AZ8498:AZ8499"/>
    <mergeCell ref="F8499:H8499"/>
    <mergeCell ref="X8499:AB8499"/>
    <mergeCell ref="AE8499:AI8499"/>
    <mergeCell ref="AJ8499:AL8499"/>
    <mergeCell ref="AN8499:AO8499"/>
    <mergeCell ref="AP8499:AQ8499"/>
    <mergeCell ref="A8500:A8501"/>
    <mergeCell ref="E8500:E8501"/>
    <mergeCell ref="F8500:H8500"/>
    <mergeCell ref="J8500:J8501"/>
    <mergeCell ref="K8500:L8501"/>
    <mergeCell ref="M8500:N8501"/>
    <mergeCell ref="O8500:P8501"/>
    <mergeCell ref="Q8500:R8501"/>
    <mergeCell ref="S8500:T8501"/>
    <mergeCell ref="U8500:V8501"/>
    <mergeCell ref="W8500:W8501"/>
    <mergeCell ref="X8500:AB8500"/>
    <mergeCell ref="AD8500:AI8500"/>
    <mergeCell ref="AJ8500:AL8500"/>
    <mergeCell ref="AN8500:AO8500"/>
    <mergeCell ref="AP8500:AQ8500"/>
    <mergeCell ref="AR8500:AS8501"/>
    <mergeCell ref="AT8500:AU8501"/>
    <mergeCell ref="AV8500:AW8501"/>
    <mergeCell ref="AX8500:AY8501"/>
    <mergeCell ref="AZ8500:AZ8501"/>
    <mergeCell ref="F8501:H8501"/>
    <mergeCell ref="X8501:AB8501"/>
    <mergeCell ref="AE8501:AI8501"/>
    <mergeCell ref="AJ8501:AL8501"/>
    <mergeCell ref="AN8501:AO8501"/>
    <mergeCell ref="AP8501:AQ8501"/>
    <mergeCell ref="A8502:A8503"/>
    <mergeCell ref="E8502:E8503"/>
    <mergeCell ref="F8502:H8502"/>
    <mergeCell ref="J8502:J8503"/>
    <mergeCell ref="K8502:L8503"/>
    <mergeCell ref="M8502:N8503"/>
    <mergeCell ref="O8502:P8503"/>
    <mergeCell ref="Q8502:R8503"/>
    <mergeCell ref="S8502:T8503"/>
    <mergeCell ref="U8502:V8503"/>
    <mergeCell ref="W8502:W8503"/>
    <mergeCell ref="X8502:AB8502"/>
    <mergeCell ref="AD8502:AI8502"/>
    <mergeCell ref="AJ8502:AL8502"/>
    <mergeCell ref="AN8502:AO8502"/>
    <mergeCell ref="AP8502:AQ8502"/>
    <mergeCell ref="AR8502:AS8503"/>
    <mergeCell ref="AT8502:AU8503"/>
    <mergeCell ref="AV8502:AW8503"/>
    <mergeCell ref="AX8502:AY8503"/>
    <mergeCell ref="AZ8502:AZ8503"/>
    <mergeCell ref="F8503:H8503"/>
    <mergeCell ref="X8503:AB8503"/>
    <mergeCell ref="AE8503:AI8503"/>
    <mergeCell ref="AJ8503:AL8503"/>
    <mergeCell ref="AN8503:AO8503"/>
    <mergeCell ref="AP8503:AQ8503"/>
    <mergeCell ref="A8504:A8505"/>
    <mergeCell ref="E8504:E8505"/>
    <mergeCell ref="F8504:H8504"/>
    <mergeCell ref="J8504:J8505"/>
    <mergeCell ref="K8504:L8505"/>
    <mergeCell ref="M8504:N8505"/>
    <mergeCell ref="O8504:P8505"/>
    <mergeCell ref="Q8504:R8505"/>
    <mergeCell ref="S8504:T8505"/>
    <mergeCell ref="U8504:V8505"/>
    <mergeCell ref="W8504:W8505"/>
    <mergeCell ref="X8504:AB8504"/>
    <mergeCell ref="AD8504:AI8504"/>
    <mergeCell ref="AJ8504:AL8504"/>
    <mergeCell ref="AN8504:AO8504"/>
    <mergeCell ref="AP8504:AQ8504"/>
    <mergeCell ref="AR8504:AS8505"/>
    <mergeCell ref="AT8504:AU8505"/>
    <mergeCell ref="AV8504:AW8505"/>
    <mergeCell ref="AX8504:AY8505"/>
    <mergeCell ref="AZ8504:AZ8505"/>
    <mergeCell ref="F8505:H8505"/>
    <mergeCell ref="X8505:AB8505"/>
    <mergeCell ref="AE8505:AI8505"/>
    <mergeCell ref="AJ8505:AL8505"/>
    <mergeCell ref="AN8505:AO8505"/>
    <mergeCell ref="AP8505:AQ8505"/>
    <mergeCell ref="A8506:A8507"/>
    <mergeCell ref="E8506:E8507"/>
    <mergeCell ref="F8506:H8506"/>
    <mergeCell ref="J8506:J8507"/>
    <mergeCell ref="K8506:L8507"/>
    <mergeCell ref="M8506:N8507"/>
    <mergeCell ref="O8506:P8507"/>
    <mergeCell ref="Q8506:R8507"/>
    <mergeCell ref="S8506:T8507"/>
    <mergeCell ref="U8506:V8507"/>
    <mergeCell ref="W8506:W8507"/>
    <mergeCell ref="X8506:AB8506"/>
    <mergeCell ref="AD8506:AI8506"/>
    <mergeCell ref="AJ8506:AL8506"/>
    <mergeCell ref="AN8506:AO8506"/>
    <mergeCell ref="AP8506:AQ8506"/>
    <mergeCell ref="AR8506:AS8507"/>
    <mergeCell ref="AT8506:AU8507"/>
    <mergeCell ref="AV8506:AW8507"/>
    <mergeCell ref="AX8506:AY8507"/>
    <mergeCell ref="AZ8506:AZ8507"/>
    <mergeCell ref="F8507:H8507"/>
    <mergeCell ref="X8507:AB8507"/>
    <mergeCell ref="AE8507:AI8507"/>
    <mergeCell ref="AJ8507:AL8507"/>
    <mergeCell ref="AN8507:AO8507"/>
    <mergeCell ref="AP8507:AQ8507"/>
    <mergeCell ref="A8508:A8509"/>
    <mergeCell ref="E8508:E8509"/>
    <mergeCell ref="F8508:H8508"/>
    <mergeCell ref="J8508:J8509"/>
    <mergeCell ref="K8508:L8509"/>
    <mergeCell ref="M8508:N8509"/>
    <mergeCell ref="O8508:P8509"/>
    <mergeCell ref="Q8508:R8509"/>
    <mergeCell ref="S8508:T8509"/>
    <mergeCell ref="U8508:V8509"/>
    <mergeCell ref="W8508:W8509"/>
    <mergeCell ref="X8508:AB8508"/>
    <mergeCell ref="AD8508:AI8508"/>
    <mergeCell ref="AJ8508:AL8508"/>
    <mergeCell ref="AN8508:AO8508"/>
    <mergeCell ref="AP8508:AQ8508"/>
    <mergeCell ref="AR8508:AS8509"/>
    <mergeCell ref="AT8508:AU8509"/>
    <mergeCell ref="AV8508:AW8509"/>
    <mergeCell ref="AX8508:AY8509"/>
    <mergeCell ref="AZ8508:AZ8509"/>
    <mergeCell ref="F8509:H8509"/>
    <mergeCell ref="X8509:AB8509"/>
    <mergeCell ref="AE8509:AI8509"/>
    <mergeCell ref="AJ8509:AL8509"/>
    <mergeCell ref="AN8509:AO8509"/>
    <mergeCell ref="AP8509:AQ8509"/>
    <mergeCell ref="A8510:A8511"/>
    <mergeCell ref="E8510:E8511"/>
    <mergeCell ref="F8510:H8510"/>
    <mergeCell ref="J8510:J8511"/>
    <mergeCell ref="K8510:L8511"/>
    <mergeCell ref="M8510:N8511"/>
    <mergeCell ref="O8510:P8511"/>
    <mergeCell ref="Q8510:R8511"/>
    <mergeCell ref="S8510:T8511"/>
    <mergeCell ref="U8510:V8511"/>
    <mergeCell ref="W8510:W8511"/>
    <mergeCell ref="X8510:AB8510"/>
    <mergeCell ref="AD8510:AI8510"/>
    <mergeCell ref="AJ8510:AL8510"/>
    <mergeCell ref="AN8510:AO8510"/>
    <mergeCell ref="AP8510:AQ8510"/>
    <mergeCell ref="AR8510:AS8511"/>
    <mergeCell ref="AT8510:AU8511"/>
    <mergeCell ref="AV8510:AW8511"/>
    <mergeCell ref="AX8510:AY8511"/>
    <mergeCell ref="AZ8510:AZ8511"/>
    <mergeCell ref="F8511:H8511"/>
    <mergeCell ref="X8511:AB8511"/>
    <mergeCell ref="AE8511:AI8511"/>
    <mergeCell ref="AJ8511:AL8511"/>
    <mergeCell ref="AN8511:AO8511"/>
    <mergeCell ref="AP8511:AQ8511"/>
    <mergeCell ref="A8512:A8513"/>
    <mergeCell ref="E8512:E8513"/>
    <mergeCell ref="F8512:H8512"/>
    <mergeCell ref="J8512:J8513"/>
    <mergeCell ref="K8512:L8513"/>
    <mergeCell ref="M8512:N8513"/>
    <mergeCell ref="O8512:P8513"/>
    <mergeCell ref="Q8512:R8513"/>
    <mergeCell ref="S8512:T8513"/>
    <mergeCell ref="U8512:V8513"/>
    <mergeCell ref="W8512:W8513"/>
    <mergeCell ref="X8512:AB8512"/>
    <mergeCell ref="AD8512:AI8512"/>
    <mergeCell ref="AJ8512:AL8512"/>
    <mergeCell ref="AN8512:AO8512"/>
    <mergeCell ref="AP8512:AQ8512"/>
    <mergeCell ref="AR8512:AS8513"/>
    <mergeCell ref="AT8512:AU8513"/>
    <mergeCell ref="AV8512:AW8513"/>
    <mergeCell ref="AX8512:AY8513"/>
    <mergeCell ref="AZ8512:AZ8513"/>
    <mergeCell ref="F8513:H8513"/>
    <mergeCell ref="X8513:AB8513"/>
    <mergeCell ref="AE8513:AI8513"/>
    <mergeCell ref="AJ8513:AL8513"/>
    <mergeCell ref="AN8513:AO8513"/>
    <mergeCell ref="AP8513:AQ8513"/>
    <mergeCell ref="A8514:A8515"/>
    <mergeCell ref="E8514:E8515"/>
    <mergeCell ref="F8514:H8514"/>
    <mergeCell ref="J8514:J8515"/>
    <mergeCell ref="K8514:L8515"/>
    <mergeCell ref="M8514:N8515"/>
    <mergeCell ref="O8514:P8515"/>
    <mergeCell ref="Q8514:R8515"/>
    <mergeCell ref="S8514:T8515"/>
    <mergeCell ref="U8514:V8515"/>
    <mergeCell ref="W8514:W8515"/>
    <mergeCell ref="X8514:AB8514"/>
    <mergeCell ref="AD8514:AI8514"/>
    <mergeCell ref="AJ8514:AL8514"/>
    <mergeCell ref="AN8514:AO8514"/>
    <mergeCell ref="AP8514:AQ8514"/>
    <mergeCell ref="AR8514:AS8515"/>
    <mergeCell ref="AT8514:AU8515"/>
    <mergeCell ref="AV8514:AW8515"/>
    <mergeCell ref="AX8514:AY8515"/>
    <mergeCell ref="AZ8514:AZ8515"/>
    <mergeCell ref="F8515:H8515"/>
    <mergeCell ref="X8515:AB8515"/>
    <mergeCell ref="AE8515:AI8515"/>
    <mergeCell ref="AJ8515:AL8515"/>
    <mergeCell ref="AN8515:AO8515"/>
    <mergeCell ref="AP8515:AQ8515"/>
    <mergeCell ref="A8516:A8517"/>
    <mergeCell ref="E8516:E8517"/>
    <mergeCell ref="F8516:H8516"/>
    <mergeCell ref="J8516:J8517"/>
    <mergeCell ref="K8516:L8517"/>
    <mergeCell ref="M8516:N8517"/>
    <mergeCell ref="O8516:P8517"/>
    <mergeCell ref="Q8516:R8517"/>
    <mergeCell ref="S8516:T8517"/>
    <mergeCell ref="U8516:V8517"/>
    <mergeCell ref="W8516:W8517"/>
    <mergeCell ref="X8516:AB8516"/>
    <mergeCell ref="AD8516:AI8516"/>
    <mergeCell ref="AJ8516:AL8516"/>
    <mergeCell ref="AN8516:AO8516"/>
    <mergeCell ref="AP8516:AQ8516"/>
    <mergeCell ref="AR8516:AS8517"/>
    <mergeCell ref="AT8516:AU8517"/>
    <mergeCell ref="AV8516:AW8517"/>
    <mergeCell ref="AX8516:AY8517"/>
    <mergeCell ref="AZ8516:AZ8517"/>
    <mergeCell ref="F8517:H8517"/>
    <mergeCell ref="X8517:AB8517"/>
    <mergeCell ref="AE8517:AI8517"/>
    <mergeCell ref="AJ8517:AL8517"/>
    <mergeCell ref="AN8517:AO8517"/>
    <mergeCell ref="AP8517:AQ8517"/>
    <mergeCell ref="A8518:A8519"/>
    <mergeCell ref="E8518:E8519"/>
    <mergeCell ref="F8518:H8518"/>
    <mergeCell ref="J8518:J8519"/>
    <mergeCell ref="K8518:L8519"/>
    <mergeCell ref="M8518:N8519"/>
    <mergeCell ref="O8518:P8519"/>
    <mergeCell ref="Q8518:R8519"/>
    <mergeCell ref="S8518:T8519"/>
    <mergeCell ref="U8518:V8519"/>
    <mergeCell ref="W8518:W8519"/>
    <mergeCell ref="X8518:AB8518"/>
    <mergeCell ref="AD8518:AI8518"/>
    <mergeCell ref="AJ8518:AL8518"/>
    <mergeCell ref="AN8518:AO8518"/>
    <mergeCell ref="AP8518:AQ8518"/>
    <mergeCell ref="AR8518:AS8519"/>
    <mergeCell ref="AT8518:AU8519"/>
    <mergeCell ref="AV8518:AW8519"/>
    <mergeCell ref="AX8518:AY8519"/>
    <mergeCell ref="AZ8518:AZ8519"/>
    <mergeCell ref="F8519:H8519"/>
    <mergeCell ref="X8519:AB8519"/>
    <mergeCell ref="AE8519:AI8519"/>
    <mergeCell ref="AJ8519:AL8519"/>
    <mergeCell ref="AN8519:AO8519"/>
    <mergeCell ref="AP8519:AQ8519"/>
    <mergeCell ref="A8520:A8521"/>
    <mergeCell ref="E8520:E8521"/>
    <mergeCell ref="F8520:H8520"/>
    <mergeCell ref="J8520:J8521"/>
    <mergeCell ref="K8520:L8521"/>
    <mergeCell ref="M8520:N8521"/>
    <mergeCell ref="O8520:P8521"/>
    <mergeCell ref="Q8520:R8521"/>
    <mergeCell ref="S8520:T8521"/>
    <mergeCell ref="U8520:V8521"/>
    <mergeCell ref="W8520:W8521"/>
    <mergeCell ref="X8520:AB8520"/>
    <mergeCell ref="AD8520:AI8520"/>
    <mergeCell ref="AJ8520:AL8520"/>
    <mergeCell ref="AN8520:AO8520"/>
    <mergeCell ref="AP8520:AQ8520"/>
    <mergeCell ref="AR8520:AS8521"/>
    <mergeCell ref="AT8520:AU8521"/>
    <mergeCell ref="AV8520:AW8521"/>
    <mergeCell ref="AX8520:AY8521"/>
    <mergeCell ref="AZ8520:AZ8521"/>
    <mergeCell ref="F8521:H8521"/>
    <mergeCell ref="X8521:AB8521"/>
    <mergeCell ref="AE8521:AI8521"/>
    <mergeCell ref="AJ8521:AL8521"/>
    <mergeCell ref="AN8521:AO8521"/>
    <mergeCell ref="AP8521:AQ8521"/>
    <mergeCell ref="A8522:A8523"/>
    <mergeCell ref="E8522:E8523"/>
    <mergeCell ref="F8522:H8522"/>
    <mergeCell ref="J8522:J8523"/>
    <mergeCell ref="K8522:L8523"/>
    <mergeCell ref="M8522:N8523"/>
    <mergeCell ref="O8522:P8523"/>
    <mergeCell ref="Q8522:R8523"/>
    <mergeCell ref="S8522:T8523"/>
    <mergeCell ref="U8522:V8523"/>
    <mergeCell ref="W8522:W8523"/>
    <mergeCell ref="X8522:AB8522"/>
    <mergeCell ref="AD8522:AI8522"/>
    <mergeCell ref="AJ8522:AL8522"/>
    <mergeCell ref="AN8522:AO8522"/>
    <mergeCell ref="AP8522:AQ8522"/>
    <mergeCell ref="AR8522:AS8523"/>
    <mergeCell ref="AT8522:AU8523"/>
    <mergeCell ref="AV8522:AW8523"/>
    <mergeCell ref="AX8522:AY8523"/>
    <mergeCell ref="AZ8522:AZ8523"/>
    <mergeCell ref="F8523:H8523"/>
    <mergeCell ref="X8523:AB8523"/>
    <mergeCell ref="AE8523:AI8523"/>
    <mergeCell ref="AJ8523:AL8523"/>
    <mergeCell ref="AN8523:AO8523"/>
    <mergeCell ref="AP8523:AQ8523"/>
    <mergeCell ref="A8524:A8525"/>
    <mergeCell ref="E8524:E8525"/>
    <mergeCell ref="F8524:H8524"/>
    <mergeCell ref="J8524:J8525"/>
    <mergeCell ref="K8524:L8525"/>
    <mergeCell ref="M8524:N8525"/>
    <mergeCell ref="O8524:P8525"/>
    <mergeCell ref="Q8524:R8525"/>
    <mergeCell ref="S8524:T8525"/>
    <mergeCell ref="U8524:V8525"/>
    <mergeCell ref="W8524:W8525"/>
    <mergeCell ref="X8524:AB8524"/>
    <mergeCell ref="AD8524:AI8524"/>
    <mergeCell ref="AJ8524:AL8524"/>
    <mergeCell ref="AN8524:AO8524"/>
    <mergeCell ref="AP8524:AQ8524"/>
    <mergeCell ref="AR8524:AS8525"/>
    <mergeCell ref="AT8524:AU8525"/>
    <mergeCell ref="AV8524:AW8525"/>
    <mergeCell ref="AX8524:AY8525"/>
    <mergeCell ref="AZ8524:AZ8525"/>
    <mergeCell ref="F8525:H8525"/>
    <mergeCell ref="X8525:AB8525"/>
    <mergeCell ref="AE8525:AI8525"/>
    <mergeCell ref="AJ8525:AL8525"/>
    <mergeCell ref="AN8525:AO8525"/>
    <mergeCell ref="AP8525:AQ8525"/>
    <mergeCell ref="A8526:A8527"/>
    <mergeCell ref="E8526:E8527"/>
    <mergeCell ref="F8526:H8526"/>
    <mergeCell ref="J8526:J8527"/>
    <mergeCell ref="K8526:L8527"/>
    <mergeCell ref="M8526:N8527"/>
    <mergeCell ref="O8526:P8527"/>
    <mergeCell ref="Q8526:R8527"/>
    <mergeCell ref="S8526:T8527"/>
    <mergeCell ref="U8526:V8527"/>
    <mergeCell ref="W8526:W8527"/>
    <mergeCell ref="X8526:AB8526"/>
    <mergeCell ref="AD8526:AI8526"/>
    <mergeCell ref="AJ8526:AL8526"/>
    <mergeCell ref="AN8526:AO8526"/>
    <mergeCell ref="AP8526:AQ8526"/>
    <mergeCell ref="AR8526:AS8527"/>
    <mergeCell ref="AT8526:AU8527"/>
    <mergeCell ref="AV8526:AW8527"/>
    <mergeCell ref="AX8526:AY8527"/>
    <mergeCell ref="AZ8526:AZ8527"/>
    <mergeCell ref="F8527:H8527"/>
    <mergeCell ref="X8527:AB8527"/>
    <mergeCell ref="AE8527:AI8527"/>
    <mergeCell ref="AJ8527:AL8527"/>
    <mergeCell ref="AN8527:AO8527"/>
    <mergeCell ref="AP8527:AQ8527"/>
    <mergeCell ref="A8528:A8529"/>
    <mergeCell ref="E8528:E8529"/>
    <mergeCell ref="F8528:H8528"/>
    <mergeCell ref="J8528:J8529"/>
    <mergeCell ref="K8528:L8529"/>
    <mergeCell ref="M8528:N8529"/>
    <mergeCell ref="O8528:P8529"/>
    <mergeCell ref="Q8528:R8529"/>
    <mergeCell ref="S8528:T8529"/>
    <mergeCell ref="U8528:V8529"/>
    <mergeCell ref="W8528:W8529"/>
    <mergeCell ref="X8528:AB8528"/>
    <mergeCell ref="AD8528:AI8528"/>
    <mergeCell ref="AJ8528:AL8528"/>
    <mergeCell ref="AN8528:AO8528"/>
    <mergeCell ref="AP8528:AQ8528"/>
    <mergeCell ref="AR8528:AS8529"/>
    <mergeCell ref="AT8528:AU8529"/>
    <mergeCell ref="AV8528:AW8529"/>
    <mergeCell ref="AX8528:AY8529"/>
    <mergeCell ref="AZ8528:AZ8529"/>
    <mergeCell ref="F8529:H8529"/>
    <mergeCell ref="X8529:AB8529"/>
    <mergeCell ref="AE8529:AI8529"/>
    <mergeCell ref="AJ8529:AL8529"/>
    <mergeCell ref="AN8529:AO8529"/>
    <mergeCell ref="AP8529:AQ8529"/>
    <mergeCell ref="A8530:A8531"/>
    <mergeCell ref="E8530:E8531"/>
    <mergeCell ref="F8530:H8530"/>
    <mergeCell ref="J8530:J8531"/>
    <mergeCell ref="K8530:L8531"/>
    <mergeCell ref="M8530:N8531"/>
    <mergeCell ref="O8530:P8531"/>
    <mergeCell ref="Q8530:R8531"/>
    <mergeCell ref="S8530:T8531"/>
    <mergeCell ref="U8530:V8531"/>
    <mergeCell ref="W8530:W8531"/>
    <mergeCell ref="X8530:AB8530"/>
    <mergeCell ref="AD8530:AI8530"/>
    <mergeCell ref="AJ8530:AL8530"/>
    <mergeCell ref="AN8530:AO8530"/>
    <mergeCell ref="AP8530:AQ8530"/>
    <mergeCell ref="AR8530:AS8531"/>
    <mergeCell ref="AT8530:AU8531"/>
    <mergeCell ref="AV8530:AW8531"/>
    <mergeCell ref="AX8530:AY8531"/>
    <mergeCell ref="AZ8530:AZ8531"/>
    <mergeCell ref="F8531:H8531"/>
    <mergeCell ref="X8531:AB8531"/>
    <mergeCell ref="AE8531:AI8531"/>
    <mergeCell ref="AJ8531:AL8531"/>
    <mergeCell ref="AN8531:AO8531"/>
    <mergeCell ref="AP8531:AQ8531"/>
    <mergeCell ref="A8532:A8533"/>
    <mergeCell ref="E8532:E8533"/>
    <mergeCell ref="F8532:H8532"/>
    <mergeCell ref="J8532:J8533"/>
    <mergeCell ref="K8532:L8533"/>
    <mergeCell ref="M8532:N8533"/>
    <mergeCell ref="O8532:P8533"/>
    <mergeCell ref="Q8532:R8533"/>
    <mergeCell ref="S8532:T8533"/>
    <mergeCell ref="U8532:V8533"/>
    <mergeCell ref="W8532:W8533"/>
    <mergeCell ref="X8532:AB8532"/>
    <mergeCell ref="AD8532:AI8532"/>
    <mergeCell ref="AJ8532:AL8532"/>
    <mergeCell ref="AN8532:AO8532"/>
    <mergeCell ref="AP8532:AQ8532"/>
    <mergeCell ref="AR8532:AS8533"/>
    <mergeCell ref="AT8532:AU8533"/>
    <mergeCell ref="AV8532:AW8533"/>
    <mergeCell ref="AX8532:AY8533"/>
    <mergeCell ref="AZ8532:AZ8533"/>
    <mergeCell ref="F8533:H8533"/>
    <mergeCell ref="X8533:AB8533"/>
    <mergeCell ref="AE8533:AI8533"/>
    <mergeCell ref="AJ8533:AL8533"/>
    <mergeCell ref="AN8533:AO8533"/>
    <mergeCell ref="AP8533:AQ8533"/>
    <mergeCell ref="A8534:A8535"/>
    <mergeCell ref="E8534:E8535"/>
    <mergeCell ref="F8534:H8534"/>
    <mergeCell ref="J8534:J8535"/>
    <mergeCell ref="K8534:L8535"/>
    <mergeCell ref="M8534:N8535"/>
    <mergeCell ref="O8534:P8535"/>
    <mergeCell ref="Q8534:R8535"/>
    <mergeCell ref="S8534:T8535"/>
    <mergeCell ref="U8534:V8535"/>
    <mergeCell ref="W8534:W8535"/>
    <mergeCell ref="X8534:AB8534"/>
    <mergeCell ref="AD8534:AI8534"/>
    <mergeCell ref="AJ8534:AL8534"/>
    <mergeCell ref="AN8534:AO8534"/>
    <mergeCell ref="AP8534:AQ8534"/>
    <mergeCell ref="AR8534:AS8535"/>
    <mergeCell ref="AT8534:AU8535"/>
    <mergeCell ref="AV8534:AW8535"/>
    <mergeCell ref="AX8534:AY8535"/>
    <mergeCell ref="AZ8534:AZ8535"/>
    <mergeCell ref="F8535:H8535"/>
    <mergeCell ref="X8535:AB8535"/>
    <mergeCell ref="AE8535:AI8535"/>
    <mergeCell ref="AJ8535:AL8535"/>
    <mergeCell ref="AN8535:AO8535"/>
    <mergeCell ref="AP8535:AQ8535"/>
    <mergeCell ref="A8536:A8537"/>
    <mergeCell ref="E8536:E8537"/>
    <mergeCell ref="F8536:H8536"/>
    <mergeCell ref="J8536:J8537"/>
    <mergeCell ref="K8536:L8537"/>
    <mergeCell ref="M8536:N8537"/>
    <mergeCell ref="O8536:P8537"/>
    <mergeCell ref="Q8536:R8537"/>
    <mergeCell ref="S8536:T8537"/>
    <mergeCell ref="U8536:V8537"/>
    <mergeCell ref="W8536:W8537"/>
    <mergeCell ref="X8536:AB8536"/>
    <mergeCell ref="AD8536:AI8536"/>
    <mergeCell ref="AJ8536:AL8536"/>
    <mergeCell ref="AN8536:AO8536"/>
    <mergeCell ref="AP8536:AQ8536"/>
    <mergeCell ref="AR8536:AS8537"/>
    <mergeCell ref="AT8536:AU8537"/>
    <mergeCell ref="AV8536:AW8537"/>
    <mergeCell ref="AX8536:AY8537"/>
    <mergeCell ref="AZ8536:AZ8537"/>
    <mergeCell ref="F8537:H8537"/>
    <mergeCell ref="X8537:AB8537"/>
    <mergeCell ref="AE8537:AI8537"/>
    <mergeCell ref="AJ8537:AL8537"/>
    <mergeCell ref="AN8537:AO8537"/>
    <mergeCell ref="AP8537:AQ8537"/>
    <mergeCell ref="A8538:A8539"/>
    <mergeCell ref="E8538:E8539"/>
    <mergeCell ref="F8538:H8538"/>
    <mergeCell ref="J8538:J8539"/>
    <mergeCell ref="K8538:L8539"/>
    <mergeCell ref="M8538:N8539"/>
    <mergeCell ref="O8538:P8539"/>
    <mergeCell ref="Q8538:R8539"/>
    <mergeCell ref="S8538:T8539"/>
    <mergeCell ref="U8538:V8539"/>
    <mergeCell ref="W8538:W8539"/>
    <mergeCell ref="X8538:AB8538"/>
    <mergeCell ref="AD8538:AI8538"/>
    <mergeCell ref="AJ8538:AL8538"/>
    <mergeCell ref="AN8538:AO8538"/>
    <mergeCell ref="AP8538:AQ8538"/>
    <mergeCell ref="AR8538:AS8539"/>
    <mergeCell ref="AT8538:AU8539"/>
    <mergeCell ref="AV8538:AW8539"/>
    <mergeCell ref="AX8538:AY8539"/>
    <mergeCell ref="AZ8538:AZ8539"/>
    <mergeCell ref="F8539:H8539"/>
    <mergeCell ref="X8539:AB8539"/>
    <mergeCell ref="AE8539:AI8539"/>
    <mergeCell ref="AJ8539:AL8539"/>
    <mergeCell ref="AN8539:AO8539"/>
    <mergeCell ref="AP8539:AQ8539"/>
    <mergeCell ref="A8540:A8541"/>
    <mergeCell ref="E8540:E8541"/>
    <mergeCell ref="F8540:H8540"/>
    <mergeCell ref="J8540:J8541"/>
    <mergeCell ref="K8540:L8541"/>
    <mergeCell ref="M8540:N8541"/>
    <mergeCell ref="O8540:P8541"/>
    <mergeCell ref="Q8540:R8541"/>
    <mergeCell ref="S8540:T8541"/>
    <mergeCell ref="U8540:V8541"/>
    <mergeCell ref="W8540:W8541"/>
    <mergeCell ref="X8540:AB8540"/>
    <mergeCell ref="AD8540:AI8540"/>
    <mergeCell ref="AJ8540:AL8540"/>
    <mergeCell ref="AN8540:AO8540"/>
    <mergeCell ref="AP8540:AQ8540"/>
    <mergeCell ref="AR8540:AS8541"/>
    <mergeCell ref="AT8540:AU8541"/>
    <mergeCell ref="AV8540:AW8541"/>
    <mergeCell ref="AX8540:AY8541"/>
    <mergeCell ref="AZ8540:AZ8541"/>
    <mergeCell ref="F8541:H8541"/>
    <mergeCell ref="X8541:AB8541"/>
    <mergeCell ref="AE8541:AI8541"/>
    <mergeCell ref="AJ8541:AL8541"/>
    <mergeCell ref="AN8541:AO8541"/>
    <mergeCell ref="AP8541:AQ8541"/>
    <mergeCell ref="A8542:A8543"/>
    <mergeCell ref="E8542:E8543"/>
    <mergeCell ref="F8542:H8542"/>
    <mergeCell ref="J8542:J8543"/>
    <mergeCell ref="K8542:L8543"/>
    <mergeCell ref="M8542:N8543"/>
    <mergeCell ref="O8542:P8543"/>
    <mergeCell ref="Q8542:R8543"/>
    <mergeCell ref="S8542:T8543"/>
    <mergeCell ref="U8542:V8543"/>
    <mergeCell ref="W8542:W8543"/>
    <mergeCell ref="X8542:AB8542"/>
    <mergeCell ref="AD8542:AI8542"/>
    <mergeCell ref="AJ8542:AL8542"/>
    <mergeCell ref="AN8542:AO8542"/>
    <mergeCell ref="AP8542:AQ8542"/>
    <mergeCell ref="AR8542:AS8543"/>
    <mergeCell ref="AT8542:AU8543"/>
    <mergeCell ref="AV8542:AW8543"/>
    <mergeCell ref="AX8542:AY8543"/>
    <mergeCell ref="AZ8542:AZ8543"/>
    <mergeCell ref="F8543:H8543"/>
    <mergeCell ref="X8543:AB8543"/>
    <mergeCell ref="AE8543:AI8543"/>
    <mergeCell ref="AJ8543:AL8543"/>
    <mergeCell ref="AN8543:AO8543"/>
    <mergeCell ref="AP8543:AQ8543"/>
    <mergeCell ref="A8544:A8545"/>
    <mergeCell ref="E8544:E8545"/>
    <mergeCell ref="F8544:H8544"/>
    <mergeCell ref="J8544:J8545"/>
    <mergeCell ref="K8544:L8545"/>
    <mergeCell ref="M8544:N8545"/>
    <mergeCell ref="O8544:P8545"/>
    <mergeCell ref="Q8544:R8545"/>
    <mergeCell ref="S8544:T8545"/>
    <mergeCell ref="U8544:V8545"/>
    <mergeCell ref="W8544:W8545"/>
    <mergeCell ref="X8544:AB8544"/>
    <mergeCell ref="AD8544:AI8544"/>
    <mergeCell ref="AJ8544:AL8544"/>
    <mergeCell ref="AN8544:AO8544"/>
    <mergeCell ref="AP8544:AQ8544"/>
    <mergeCell ref="AR8544:AS8545"/>
    <mergeCell ref="AT8544:AU8545"/>
    <mergeCell ref="AV8544:AW8545"/>
    <mergeCell ref="AX8544:AY8545"/>
    <mergeCell ref="AZ8544:AZ8545"/>
    <mergeCell ref="F8545:H8545"/>
    <mergeCell ref="X8545:AB8545"/>
    <mergeCell ref="AE8545:AI8545"/>
    <mergeCell ref="AJ8545:AL8545"/>
    <mergeCell ref="AN8545:AO8545"/>
    <mergeCell ref="AP8545:AQ8545"/>
    <mergeCell ref="A8546:A8547"/>
    <mergeCell ref="E8546:E8547"/>
    <mergeCell ref="F8546:H8546"/>
    <mergeCell ref="J8546:J8547"/>
    <mergeCell ref="K8546:L8547"/>
    <mergeCell ref="M8546:N8547"/>
    <mergeCell ref="O8546:P8547"/>
    <mergeCell ref="Q8546:R8547"/>
    <mergeCell ref="S8546:T8547"/>
    <mergeCell ref="U8546:V8547"/>
    <mergeCell ref="W8546:W8547"/>
    <mergeCell ref="X8546:AB8546"/>
    <mergeCell ref="AD8546:AI8546"/>
    <mergeCell ref="AJ8546:AL8546"/>
    <mergeCell ref="AN8546:AO8546"/>
    <mergeCell ref="AP8546:AQ8546"/>
    <mergeCell ref="AR8546:AS8547"/>
    <mergeCell ref="AT8546:AU8547"/>
    <mergeCell ref="AV8546:AW8547"/>
    <mergeCell ref="AX8546:AY8547"/>
    <mergeCell ref="AZ8546:AZ8547"/>
    <mergeCell ref="F8547:H8547"/>
    <mergeCell ref="X8547:AB8547"/>
    <mergeCell ref="AE8547:AI8547"/>
    <mergeCell ref="AJ8547:AL8547"/>
    <mergeCell ref="AN8547:AO8547"/>
    <mergeCell ref="AP8547:AQ8547"/>
    <mergeCell ref="A8548:A8549"/>
    <mergeCell ref="E8548:E8549"/>
    <mergeCell ref="F8548:H8548"/>
    <mergeCell ref="J8548:J8549"/>
    <mergeCell ref="K8548:L8549"/>
    <mergeCell ref="M8548:N8549"/>
    <mergeCell ref="O8548:P8549"/>
    <mergeCell ref="Q8548:R8549"/>
    <mergeCell ref="S8548:T8549"/>
    <mergeCell ref="U8548:V8549"/>
    <mergeCell ref="W8548:W8549"/>
    <mergeCell ref="X8548:AB8548"/>
    <mergeCell ref="AD8548:AI8548"/>
    <mergeCell ref="AJ8548:AL8548"/>
    <mergeCell ref="AN8548:AO8548"/>
    <mergeCell ref="AP8548:AQ8548"/>
    <mergeCell ref="AR8548:AS8549"/>
    <mergeCell ref="AT8548:AU8549"/>
    <mergeCell ref="AV8548:AW8549"/>
    <mergeCell ref="AX8548:AY8549"/>
    <mergeCell ref="AZ8548:AZ8549"/>
    <mergeCell ref="F8549:H8549"/>
    <mergeCell ref="X8549:AB8549"/>
    <mergeCell ref="AE8549:AI8549"/>
    <mergeCell ref="AJ8549:AL8549"/>
    <mergeCell ref="AN8549:AO8549"/>
    <mergeCell ref="AP8549:AQ8549"/>
    <mergeCell ref="A8550:A8551"/>
    <mergeCell ref="E8550:E8551"/>
    <mergeCell ref="F8550:H8550"/>
    <mergeCell ref="J8550:J8551"/>
    <mergeCell ref="K8550:L8551"/>
    <mergeCell ref="M8550:N8551"/>
    <mergeCell ref="O8550:P8551"/>
    <mergeCell ref="Q8550:R8551"/>
    <mergeCell ref="S8550:T8551"/>
    <mergeCell ref="U8550:V8551"/>
    <mergeCell ref="W8550:W8551"/>
    <mergeCell ref="X8550:AB8550"/>
    <mergeCell ref="AD8550:AI8550"/>
    <mergeCell ref="AJ8550:AL8550"/>
    <mergeCell ref="AN8550:AO8550"/>
    <mergeCell ref="AP8550:AQ8550"/>
    <mergeCell ref="AR8550:AS8551"/>
    <mergeCell ref="AT8550:AU8551"/>
    <mergeCell ref="AV8550:AW8551"/>
    <mergeCell ref="AX8550:AY8551"/>
    <mergeCell ref="AZ8550:AZ8551"/>
    <mergeCell ref="F8551:H8551"/>
    <mergeCell ref="X8551:AB8551"/>
    <mergeCell ref="AE8551:AI8551"/>
    <mergeCell ref="AJ8551:AL8551"/>
    <mergeCell ref="AN8551:AO8551"/>
    <mergeCell ref="AP8551:AQ8551"/>
    <mergeCell ref="A8552:A8553"/>
    <mergeCell ref="E8552:E8553"/>
    <mergeCell ref="F8552:H8552"/>
    <mergeCell ref="J8552:J8553"/>
    <mergeCell ref="K8552:L8553"/>
    <mergeCell ref="M8552:N8553"/>
    <mergeCell ref="O8552:P8553"/>
    <mergeCell ref="Q8552:R8553"/>
    <mergeCell ref="S8552:T8553"/>
    <mergeCell ref="U8552:V8553"/>
    <mergeCell ref="W8552:W8553"/>
    <mergeCell ref="X8552:AB8552"/>
    <mergeCell ref="AD8552:AI8552"/>
    <mergeCell ref="AJ8552:AL8552"/>
    <mergeCell ref="AN8552:AO8552"/>
    <mergeCell ref="AP8552:AQ8552"/>
    <mergeCell ref="AR8552:AS8553"/>
    <mergeCell ref="AT8552:AU8553"/>
    <mergeCell ref="AV8552:AW8553"/>
    <mergeCell ref="AX8552:AY8553"/>
    <mergeCell ref="AZ8552:AZ8553"/>
    <mergeCell ref="F8553:H8553"/>
    <mergeCell ref="X8553:AB8553"/>
    <mergeCell ref="AE8553:AI8553"/>
    <mergeCell ref="AJ8553:AL8553"/>
    <mergeCell ref="AN8553:AO8553"/>
    <mergeCell ref="AP8553:AQ8553"/>
    <mergeCell ref="A8554:A8555"/>
    <mergeCell ref="E8554:E8555"/>
    <mergeCell ref="F8554:H8554"/>
    <mergeCell ref="J8554:J8555"/>
    <mergeCell ref="K8554:L8555"/>
    <mergeCell ref="M8554:N8555"/>
    <mergeCell ref="O8554:P8555"/>
    <mergeCell ref="Q8554:R8555"/>
    <mergeCell ref="S8554:T8555"/>
    <mergeCell ref="U8554:V8555"/>
    <mergeCell ref="W8554:W8555"/>
    <mergeCell ref="X8554:AB8554"/>
    <mergeCell ref="AD8554:AI8554"/>
    <mergeCell ref="AJ8554:AL8554"/>
    <mergeCell ref="AN8554:AO8554"/>
    <mergeCell ref="AP8554:AQ8554"/>
    <mergeCell ref="AR8554:AS8555"/>
    <mergeCell ref="AT8554:AU8555"/>
    <mergeCell ref="AV8554:AW8555"/>
    <mergeCell ref="AX8554:AY8555"/>
    <mergeCell ref="AZ8554:AZ8555"/>
    <mergeCell ref="F8555:H8555"/>
    <mergeCell ref="X8555:AB8555"/>
    <mergeCell ref="AE8555:AI8555"/>
    <mergeCell ref="AJ8555:AL8555"/>
    <mergeCell ref="AN8555:AO8555"/>
    <mergeCell ref="AP8555:AQ8555"/>
    <mergeCell ref="A8556:A8557"/>
    <mergeCell ref="E8556:E8557"/>
    <mergeCell ref="F8556:H8556"/>
    <mergeCell ref="J8556:J8557"/>
    <mergeCell ref="K8556:L8557"/>
    <mergeCell ref="M8556:N8557"/>
    <mergeCell ref="O8556:P8557"/>
    <mergeCell ref="Q8556:R8557"/>
    <mergeCell ref="S8556:T8557"/>
    <mergeCell ref="U8556:V8557"/>
    <mergeCell ref="W8556:W8557"/>
    <mergeCell ref="X8556:AB8556"/>
    <mergeCell ref="AD8556:AI8556"/>
    <mergeCell ref="AJ8556:AL8556"/>
    <mergeCell ref="AN8556:AO8556"/>
    <mergeCell ref="AP8556:AQ8556"/>
    <mergeCell ref="AR8556:AS8557"/>
    <mergeCell ref="AT8556:AU8557"/>
    <mergeCell ref="AV8556:AW8557"/>
    <mergeCell ref="AX8556:AY8557"/>
    <mergeCell ref="AZ8556:AZ8557"/>
    <mergeCell ref="F8557:H8557"/>
    <mergeCell ref="X8557:AB8557"/>
    <mergeCell ref="AE8557:AI8557"/>
    <mergeCell ref="AJ8557:AL8557"/>
    <mergeCell ref="AN8557:AO8557"/>
    <mergeCell ref="AP8557:AQ8557"/>
    <mergeCell ref="A8558:A8559"/>
    <mergeCell ref="E8558:E8559"/>
    <mergeCell ref="F8558:H8558"/>
    <mergeCell ref="J8558:J8559"/>
    <mergeCell ref="K8558:L8559"/>
    <mergeCell ref="M8558:N8559"/>
    <mergeCell ref="O8558:P8559"/>
    <mergeCell ref="Q8558:R8559"/>
    <mergeCell ref="S8558:T8559"/>
    <mergeCell ref="U8558:V8559"/>
    <mergeCell ref="W8558:W8559"/>
    <mergeCell ref="X8558:AB8558"/>
    <mergeCell ref="AD8558:AI8558"/>
    <mergeCell ref="AJ8558:AL8558"/>
    <mergeCell ref="AN8558:AO8558"/>
    <mergeCell ref="AP8558:AQ8558"/>
    <mergeCell ref="AR8558:AS8559"/>
    <mergeCell ref="AT8558:AU8559"/>
    <mergeCell ref="AV8558:AW8559"/>
    <mergeCell ref="AX8558:AY8559"/>
    <mergeCell ref="AZ8558:AZ8559"/>
    <mergeCell ref="F8559:H8559"/>
    <mergeCell ref="X8559:AB8559"/>
    <mergeCell ref="AE8559:AI8559"/>
    <mergeCell ref="AJ8559:AL8559"/>
    <mergeCell ref="AN8559:AO8559"/>
    <mergeCell ref="AP8559:AQ8559"/>
    <mergeCell ref="A8560:A8561"/>
    <mergeCell ref="E8560:E8561"/>
    <mergeCell ref="F8560:H8560"/>
    <mergeCell ref="J8560:J8561"/>
    <mergeCell ref="K8560:L8561"/>
    <mergeCell ref="M8560:N8561"/>
    <mergeCell ref="O8560:P8561"/>
    <mergeCell ref="Q8560:R8561"/>
    <mergeCell ref="S8560:T8561"/>
    <mergeCell ref="U8560:V8561"/>
    <mergeCell ref="W8560:W8561"/>
    <mergeCell ref="X8560:AB8560"/>
    <mergeCell ref="AD8560:AI8560"/>
    <mergeCell ref="AJ8560:AL8560"/>
    <mergeCell ref="AN8560:AO8560"/>
    <mergeCell ref="AP8560:AQ8560"/>
    <mergeCell ref="AR8560:AS8561"/>
    <mergeCell ref="AT8560:AU8561"/>
    <mergeCell ref="AV8560:AW8561"/>
    <mergeCell ref="AX8560:AY8561"/>
    <mergeCell ref="AZ8560:AZ8561"/>
    <mergeCell ref="F8561:H8561"/>
    <mergeCell ref="X8561:AB8561"/>
    <mergeCell ref="AE8561:AI8561"/>
    <mergeCell ref="AJ8561:AL8561"/>
    <mergeCell ref="AN8561:AO8561"/>
    <mergeCell ref="AP8561:AQ8561"/>
    <mergeCell ref="A8562:A8563"/>
    <mergeCell ref="E8562:E8563"/>
    <mergeCell ref="F8562:H8562"/>
    <mergeCell ref="J8562:J8563"/>
    <mergeCell ref="K8562:L8563"/>
    <mergeCell ref="M8562:N8563"/>
    <mergeCell ref="O8562:P8563"/>
    <mergeCell ref="Q8562:R8563"/>
    <mergeCell ref="S8562:T8563"/>
    <mergeCell ref="U8562:V8563"/>
    <mergeCell ref="W8562:W8563"/>
    <mergeCell ref="X8562:AB8562"/>
    <mergeCell ref="AD8562:AI8562"/>
    <mergeCell ref="AJ8562:AL8562"/>
    <mergeCell ref="AN8562:AO8562"/>
    <mergeCell ref="AP8562:AQ8562"/>
    <mergeCell ref="AR8562:AS8563"/>
    <mergeCell ref="AT8562:AU8563"/>
    <mergeCell ref="AV8562:AW8563"/>
    <mergeCell ref="AX8562:AY8563"/>
    <mergeCell ref="AZ8562:AZ8563"/>
    <mergeCell ref="F8563:H8563"/>
    <mergeCell ref="X8563:AB8563"/>
    <mergeCell ref="AE8563:AI8563"/>
    <mergeCell ref="AJ8563:AL8563"/>
    <mergeCell ref="AN8563:AO8563"/>
    <mergeCell ref="AP8563:AQ8563"/>
    <mergeCell ref="A8564:A8565"/>
    <mergeCell ref="E8564:E8565"/>
    <mergeCell ref="F8564:H8564"/>
    <mergeCell ref="J8564:J8565"/>
    <mergeCell ref="K8564:L8565"/>
    <mergeCell ref="M8564:N8565"/>
    <mergeCell ref="O8564:P8565"/>
    <mergeCell ref="Q8564:R8565"/>
    <mergeCell ref="S8564:T8565"/>
    <mergeCell ref="U8564:V8565"/>
    <mergeCell ref="W8564:W8565"/>
    <mergeCell ref="X8564:AB8564"/>
    <mergeCell ref="AD8564:AI8564"/>
    <mergeCell ref="AJ8564:AL8564"/>
    <mergeCell ref="AN8564:AO8564"/>
    <mergeCell ref="AP8564:AQ8564"/>
    <mergeCell ref="AR8564:AS8565"/>
    <mergeCell ref="AT8564:AU8565"/>
    <mergeCell ref="AV8564:AW8565"/>
    <mergeCell ref="AX8564:AY8565"/>
    <mergeCell ref="AZ8564:AZ8565"/>
    <mergeCell ref="F8565:H8565"/>
    <mergeCell ref="X8565:AB8565"/>
    <mergeCell ref="AE8565:AI8565"/>
    <mergeCell ref="AJ8565:AL8565"/>
    <mergeCell ref="AN8565:AO8565"/>
    <mergeCell ref="AP8565:AQ8565"/>
    <mergeCell ref="A8566:A8567"/>
    <mergeCell ref="E8566:E8567"/>
    <mergeCell ref="F8566:H8566"/>
    <mergeCell ref="J8566:J8567"/>
    <mergeCell ref="K8566:L8567"/>
    <mergeCell ref="M8566:N8567"/>
    <mergeCell ref="O8566:P8567"/>
    <mergeCell ref="Q8566:R8567"/>
    <mergeCell ref="S8566:T8567"/>
    <mergeCell ref="U8566:V8567"/>
    <mergeCell ref="W8566:W8567"/>
    <mergeCell ref="X8566:AB8566"/>
    <mergeCell ref="AD8566:AI8566"/>
    <mergeCell ref="AJ8566:AL8566"/>
    <mergeCell ref="AN8566:AO8566"/>
    <mergeCell ref="AP8566:AQ8566"/>
    <mergeCell ref="AR8566:AS8567"/>
    <mergeCell ref="AT8566:AU8567"/>
    <mergeCell ref="AV8566:AW8567"/>
    <mergeCell ref="AX8566:AY8567"/>
    <mergeCell ref="AZ8566:AZ8567"/>
    <mergeCell ref="F8567:H8567"/>
    <mergeCell ref="X8567:AB8567"/>
    <mergeCell ref="AE8567:AI8567"/>
    <mergeCell ref="AJ8567:AL8567"/>
    <mergeCell ref="AN8567:AO8567"/>
    <mergeCell ref="AP8567:AQ8567"/>
    <mergeCell ref="A8568:A8569"/>
    <mergeCell ref="E8568:E8569"/>
    <mergeCell ref="F8568:H8568"/>
    <mergeCell ref="J8568:J8569"/>
    <mergeCell ref="K8568:L8569"/>
    <mergeCell ref="M8568:N8569"/>
    <mergeCell ref="O8568:P8569"/>
    <mergeCell ref="Q8568:R8569"/>
    <mergeCell ref="S8568:T8569"/>
    <mergeCell ref="U8568:V8569"/>
    <mergeCell ref="W8568:W8569"/>
    <mergeCell ref="X8568:AB8568"/>
    <mergeCell ref="AD8568:AI8568"/>
    <mergeCell ref="AJ8568:AL8568"/>
    <mergeCell ref="AN8568:AO8568"/>
    <mergeCell ref="AP8568:AQ8568"/>
    <mergeCell ref="AR8568:AS8569"/>
    <mergeCell ref="AT8568:AU8569"/>
    <mergeCell ref="AV8568:AW8569"/>
    <mergeCell ref="AX8568:AY8569"/>
    <mergeCell ref="AZ8568:AZ8569"/>
    <mergeCell ref="F8569:H8569"/>
    <mergeCell ref="X8569:AB8569"/>
    <mergeCell ref="AE8569:AI8569"/>
    <mergeCell ref="AJ8569:AL8569"/>
    <mergeCell ref="AN8569:AO8569"/>
    <mergeCell ref="AP8569:AQ8569"/>
    <mergeCell ref="A8570:A8571"/>
    <mergeCell ref="E8570:E8571"/>
    <mergeCell ref="F8570:H8570"/>
    <mergeCell ref="J8570:J8571"/>
    <mergeCell ref="K8570:L8571"/>
    <mergeCell ref="M8570:N8571"/>
    <mergeCell ref="O8570:P8571"/>
    <mergeCell ref="Q8570:R8571"/>
    <mergeCell ref="S8570:T8571"/>
    <mergeCell ref="U8570:V8571"/>
    <mergeCell ref="W8570:W8571"/>
    <mergeCell ref="X8570:AB8570"/>
    <mergeCell ref="AD8570:AI8570"/>
    <mergeCell ref="AJ8570:AL8570"/>
    <mergeCell ref="AN8570:AO8570"/>
    <mergeCell ref="AP8570:AQ8570"/>
    <mergeCell ref="AR8570:AS8571"/>
    <mergeCell ref="AT8570:AU8571"/>
    <mergeCell ref="AV8570:AW8571"/>
    <mergeCell ref="AX8570:AY8571"/>
    <mergeCell ref="AZ8570:AZ8571"/>
    <mergeCell ref="F8571:H8571"/>
    <mergeCell ref="X8571:AB8571"/>
    <mergeCell ref="AE8571:AI8571"/>
    <mergeCell ref="AJ8571:AL8571"/>
    <mergeCell ref="AN8571:AO8571"/>
    <mergeCell ref="AP8571:AQ8571"/>
    <mergeCell ref="A8572:A8573"/>
    <mergeCell ref="E8572:E8573"/>
    <mergeCell ref="F8572:H8572"/>
    <mergeCell ref="J8572:J8573"/>
    <mergeCell ref="K8572:L8573"/>
    <mergeCell ref="M8572:N8573"/>
    <mergeCell ref="O8572:P8573"/>
    <mergeCell ref="Q8572:R8573"/>
    <mergeCell ref="S8572:T8573"/>
    <mergeCell ref="U8572:V8573"/>
    <mergeCell ref="W8572:W8573"/>
    <mergeCell ref="X8572:AB8572"/>
    <mergeCell ref="AD8572:AI8572"/>
    <mergeCell ref="AJ8572:AL8572"/>
    <mergeCell ref="AN8572:AO8572"/>
    <mergeCell ref="AP8572:AQ8572"/>
    <mergeCell ref="AR8572:AS8573"/>
    <mergeCell ref="AT8572:AU8573"/>
    <mergeCell ref="AV8572:AW8573"/>
    <mergeCell ref="AX8572:AY8573"/>
    <mergeCell ref="AZ8572:AZ8573"/>
    <mergeCell ref="F8573:H8573"/>
    <mergeCell ref="X8573:AB8573"/>
    <mergeCell ref="AE8573:AI8573"/>
    <mergeCell ref="AJ8573:AL8573"/>
    <mergeCell ref="AN8573:AO8573"/>
    <mergeCell ref="AP8573:AQ8573"/>
    <mergeCell ref="A8574:A8575"/>
    <mergeCell ref="E8574:E8575"/>
    <mergeCell ref="F8574:H8574"/>
    <mergeCell ref="J8574:J8575"/>
    <mergeCell ref="K8574:L8575"/>
    <mergeCell ref="M8574:N8575"/>
    <mergeCell ref="O8574:P8575"/>
    <mergeCell ref="Q8574:R8575"/>
    <mergeCell ref="S8574:T8575"/>
    <mergeCell ref="U8574:V8575"/>
    <mergeCell ref="W8574:W8575"/>
    <mergeCell ref="X8574:AB8574"/>
    <mergeCell ref="AD8574:AI8574"/>
    <mergeCell ref="AJ8574:AL8574"/>
    <mergeCell ref="AN8574:AO8574"/>
    <mergeCell ref="AP8574:AQ8574"/>
    <mergeCell ref="AR8574:AS8575"/>
    <mergeCell ref="AT8574:AU8575"/>
    <mergeCell ref="AV8574:AW8575"/>
    <mergeCell ref="AX8574:AY8575"/>
    <mergeCell ref="AZ8574:AZ8575"/>
    <mergeCell ref="F8575:H8575"/>
    <mergeCell ref="X8575:AB8575"/>
    <mergeCell ref="AE8575:AI8575"/>
    <mergeCell ref="AJ8575:AL8575"/>
    <mergeCell ref="AN8575:AO8575"/>
    <mergeCell ref="AP8575:AQ8575"/>
    <mergeCell ref="A8576:A8577"/>
    <mergeCell ref="E8576:E8577"/>
    <mergeCell ref="F8576:H8576"/>
    <mergeCell ref="J8576:J8577"/>
    <mergeCell ref="K8576:L8577"/>
    <mergeCell ref="M8576:N8577"/>
    <mergeCell ref="O8576:P8577"/>
    <mergeCell ref="Q8576:R8577"/>
    <mergeCell ref="S8576:T8577"/>
    <mergeCell ref="U8576:V8577"/>
    <mergeCell ref="W8576:W8577"/>
    <mergeCell ref="X8576:AB8576"/>
    <mergeCell ref="AD8576:AI8576"/>
    <mergeCell ref="AJ8576:AL8576"/>
    <mergeCell ref="AN8576:AO8576"/>
    <mergeCell ref="AP8576:AQ8576"/>
    <mergeCell ref="AR8576:AS8577"/>
    <mergeCell ref="AT8576:AU8577"/>
    <mergeCell ref="AV8576:AW8577"/>
    <mergeCell ref="AX8576:AY8577"/>
    <mergeCell ref="AZ8576:AZ8577"/>
    <mergeCell ref="F8577:H8577"/>
    <mergeCell ref="X8577:AB8577"/>
    <mergeCell ref="AE8577:AI8577"/>
    <mergeCell ref="AJ8577:AL8577"/>
    <mergeCell ref="AN8577:AO8577"/>
    <mergeCell ref="AP8577:AQ8577"/>
    <mergeCell ref="A8578:A8579"/>
    <mergeCell ref="E8578:E8579"/>
    <mergeCell ref="F8578:H8578"/>
    <mergeCell ref="J8578:J8579"/>
    <mergeCell ref="K8578:L8579"/>
    <mergeCell ref="M8578:N8579"/>
    <mergeCell ref="O8578:P8579"/>
    <mergeCell ref="Q8578:R8579"/>
    <mergeCell ref="S8578:T8579"/>
    <mergeCell ref="U8578:V8579"/>
    <mergeCell ref="W8578:W8579"/>
    <mergeCell ref="X8578:AB8578"/>
    <mergeCell ref="AD8578:AI8578"/>
    <mergeCell ref="AJ8578:AL8578"/>
    <mergeCell ref="AN8578:AO8578"/>
    <mergeCell ref="AP8578:AQ8578"/>
    <mergeCell ref="AR8578:AS8579"/>
    <mergeCell ref="AT8578:AU8579"/>
    <mergeCell ref="AV8578:AW8579"/>
    <mergeCell ref="AX8578:AY8579"/>
    <mergeCell ref="AZ8578:AZ8579"/>
    <mergeCell ref="F8579:H8579"/>
    <mergeCell ref="X8579:AB8579"/>
    <mergeCell ref="AE8579:AI8579"/>
    <mergeCell ref="AJ8579:AL8579"/>
    <mergeCell ref="AN8579:AO8579"/>
    <mergeCell ref="AP8579:AQ8579"/>
    <mergeCell ref="A8580:A8581"/>
    <mergeCell ref="E8580:E8581"/>
    <mergeCell ref="F8580:H8580"/>
    <mergeCell ref="J8580:J8581"/>
    <mergeCell ref="K8580:L8581"/>
    <mergeCell ref="M8580:N8581"/>
    <mergeCell ref="O8580:P8581"/>
    <mergeCell ref="Q8580:R8581"/>
    <mergeCell ref="S8580:T8581"/>
    <mergeCell ref="U8580:V8581"/>
    <mergeCell ref="W8580:W8581"/>
    <mergeCell ref="X8580:AB8580"/>
    <mergeCell ref="AD8580:AI8580"/>
    <mergeCell ref="AJ8580:AL8580"/>
    <mergeCell ref="AN8580:AO8580"/>
    <mergeCell ref="AP8580:AQ8580"/>
    <mergeCell ref="AR8580:AS8581"/>
    <mergeCell ref="AT8580:AU8581"/>
    <mergeCell ref="AV8580:AW8581"/>
    <mergeCell ref="AX8580:AY8581"/>
    <mergeCell ref="AZ8580:AZ8581"/>
    <mergeCell ref="F8581:H8581"/>
    <mergeCell ref="X8581:AB8581"/>
    <mergeCell ref="AE8581:AI8581"/>
    <mergeCell ref="AJ8581:AL8581"/>
    <mergeCell ref="AN8581:AO8581"/>
    <mergeCell ref="AP8581:AQ8581"/>
    <mergeCell ref="A8582:A8583"/>
    <mergeCell ref="E8582:E8583"/>
    <mergeCell ref="F8582:H8582"/>
    <mergeCell ref="J8582:J8583"/>
    <mergeCell ref="K8582:L8583"/>
    <mergeCell ref="M8582:N8583"/>
    <mergeCell ref="O8582:P8583"/>
    <mergeCell ref="Q8582:R8583"/>
    <mergeCell ref="S8582:T8583"/>
    <mergeCell ref="U8582:V8583"/>
    <mergeCell ref="W8582:W8583"/>
    <mergeCell ref="X8582:AB8582"/>
    <mergeCell ref="AD8582:AI8582"/>
    <mergeCell ref="AJ8582:AL8582"/>
    <mergeCell ref="AN8582:AO8582"/>
    <mergeCell ref="AP8582:AQ8582"/>
    <mergeCell ref="AR8582:AS8583"/>
    <mergeCell ref="AT8582:AU8583"/>
    <mergeCell ref="AV8582:AW8583"/>
    <mergeCell ref="AX8582:AY8583"/>
    <mergeCell ref="AZ8582:AZ8583"/>
    <mergeCell ref="F8583:H8583"/>
    <mergeCell ref="X8583:AB8583"/>
    <mergeCell ref="AE8583:AI8583"/>
    <mergeCell ref="AJ8583:AL8583"/>
    <mergeCell ref="AN8583:AO8583"/>
    <mergeCell ref="AP8583:AQ8583"/>
    <mergeCell ref="A8584:A8585"/>
    <mergeCell ref="E8584:E8585"/>
    <mergeCell ref="F8584:H8584"/>
    <mergeCell ref="J8584:J8585"/>
    <mergeCell ref="K8584:L8585"/>
    <mergeCell ref="M8584:N8585"/>
    <mergeCell ref="O8584:P8585"/>
    <mergeCell ref="Q8584:R8585"/>
    <mergeCell ref="S8584:T8585"/>
    <mergeCell ref="U8584:V8585"/>
    <mergeCell ref="W8584:W8585"/>
    <mergeCell ref="X8584:AB8584"/>
    <mergeCell ref="AD8584:AI8584"/>
    <mergeCell ref="AJ8584:AL8584"/>
    <mergeCell ref="AN8584:AO8584"/>
    <mergeCell ref="AP8584:AQ8584"/>
    <mergeCell ref="AR8584:AS8585"/>
    <mergeCell ref="AT8584:AU8585"/>
    <mergeCell ref="AV8584:AW8585"/>
    <mergeCell ref="AX8584:AY8585"/>
    <mergeCell ref="AZ8584:AZ8585"/>
    <mergeCell ref="F8585:H8585"/>
    <mergeCell ref="X8585:AB8585"/>
    <mergeCell ref="AE8585:AI8585"/>
    <mergeCell ref="AJ8585:AL8585"/>
    <mergeCell ref="AN8585:AO8585"/>
    <mergeCell ref="AP8585:AQ8585"/>
    <mergeCell ref="A8586:A8587"/>
    <mergeCell ref="E8586:E8587"/>
    <mergeCell ref="F8586:H8586"/>
    <mergeCell ref="J8586:J8587"/>
    <mergeCell ref="K8586:L8587"/>
    <mergeCell ref="M8586:N8587"/>
    <mergeCell ref="O8586:P8587"/>
    <mergeCell ref="Q8586:R8587"/>
    <mergeCell ref="S8586:T8587"/>
    <mergeCell ref="U8586:V8587"/>
    <mergeCell ref="W8586:W8587"/>
    <mergeCell ref="X8586:AB8586"/>
    <mergeCell ref="AD8586:AI8586"/>
    <mergeCell ref="AJ8586:AL8586"/>
    <mergeCell ref="AN8586:AO8586"/>
    <mergeCell ref="AP8586:AQ8586"/>
    <mergeCell ref="AR8586:AS8587"/>
    <mergeCell ref="AT8586:AU8587"/>
    <mergeCell ref="AV8586:AW8587"/>
    <mergeCell ref="AX8586:AY8587"/>
    <mergeCell ref="AZ8586:AZ8587"/>
    <mergeCell ref="F8587:H8587"/>
    <mergeCell ref="X8587:AB8587"/>
    <mergeCell ref="AE8587:AI8587"/>
    <mergeCell ref="AJ8587:AL8587"/>
    <mergeCell ref="AN8587:AO8587"/>
    <mergeCell ref="AP8587:AQ8587"/>
    <mergeCell ref="A8588:A8589"/>
    <mergeCell ref="E8588:E8589"/>
    <mergeCell ref="F8588:H8588"/>
    <mergeCell ref="J8588:J8589"/>
    <mergeCell ref="K8588:L8589"/>
    <mergeCell ref="M8588:N8589"/>
    <mergeCell ref="O8588:P8589"/>
    <mergeCell ref="Q8588:R8589"/>
    <mergeCell ref="S8588:T8589"/>
    <mergeCell ref="U8588:V8589"/>
    <mergeCell ref="W8588:W8589"/>
    <mergeCell ref="X8588:AB8588"/>
    <mergeCell ref="AD8588:AI8588"/>
    <mergeCell ref="AJ8588:AL8588"/>
    <mergeCell ref="AN8588:AO8588"/>
    <mergeCell ref="AP8588:AQ8588"/>
    <mergeCell ref="AR8588:AS8589"/>
    <mergeCell ref="AT8588:AU8589"/>
    <mergeCell ref="AV8588:AW8589"/>
    <mergeCell ref="AX8588:AY8589"/>
    <mergeCell ref="AZ8588:AZ8589"/>
    <mergeCell ref="F8589:H8589"/>
    <mergeCell ref="X8589:AB8589"/>
    <mergeCell ref="AE8589:AI8589"/>
    <mergeCell ref="AJ8589:AL8589"/>
    <mergeCell ref="AN8589:AO8589"/>
    <mergeCell ref="AP8589:AQ8589"/>
    <mergeCell ref="A8590:A8591"/>
    <mergeCell ref="E8590:E8591"/>
    <mergeCell ref="F8590:H8590"/>
    <mergeCell ref="J8590:J8591"/>
    <mergeCell ref="K8590:L8591"/>
    <mergeCell ref="M8590:N8591"/>
    <mergeCell ref="O8590:P8591"/>
    <mergeCell ref="Q8590:R8591"/>
    <mergeCell ref="S8590:T8591"/>
    <mergeCell ref="U8590:V8591"/>
    <mergeCell ref="W8590:W8591"/>
    <mergeCell ref="X8590:AB8590"/>
    <mergeCell ref="AD8590:AI8590"/>
    <mergeCell ref="AJ8590:AL8590"/>
    <mergeCell ref="AN8590:AO8590"/>
    <mergeCell ref="AP8590:AQ8590"/>
    <mergeCell ref="AR8590:AS8591"/>
    <mergeCell ref="AT8590:AU8591"/>
    <mergeCell ref="AV8590:AW8591"/>
    <mergeCell ref="AX8590:AY8591"/>
    <mergeCell ref="AZ8590:AZ8591"/>
    <mergeCell ref="F8591:H8591"/>
    <mergeCell ref="X8591:AB8591"/>
    <mergeCell ref="AE8591:AI8591"/>
    <mergeCell ref="AJ8591:AL8591"/>
    <mergeCell ref="AN8591:AO8591"/>
    <mergeCell ref="AP8591:AQ8591"/>
    <mergeCell ref="A8592:A8593"/>
    <mergeCell ref="E8592:E8593"/>
    <mergeCell ref="F8592:H8592"/>
    <mergeCell ref="J8592:J8593"/>
    <mergeCell ref="K8592:L8593"/>
    <mergeCell ref="M8592:N8593"/>
    <mergeCell ref="O8592:P8593"/>
    <mergeCell ref="Q8592:R8593"/>
    <mergeCell ref="S8592:T8593"/>
    <mergeCell ref="U8592:V8593"/>
    <mergeCell ref="W8592:W8593"/>
    <mergeCell ref="X8592:AB8592"/>
    <mergeCell ref="AD8592:AI8592"/>
    <mergeCell ref="AJ8592:AL8592"/>
    <mergeCell ref="AN8592:AO8592"/>
    <mergeCell ref="AP8592:AQ8592"/>
    <mergeCell ref="AR8592:AS8593"/>
    <mergeCell ref="AT8592:AU8593"/>
    <mergeCell ref="AV8592:AW8593"/>
    <mergeCell ref="AX8592:AY8593"/>
    <mergeCell ref="AZ8592:AZ8593"/>
    <mergeCell ref="F8593:H8593"/>
    <mergeCell ref="X8593:AB8593"/>
    <mergeCell ref="AE8593:AI8593"/>
    <mergeCell ref="AJ8593:AL8593"/>
    <mergeCell ref="AN8593:AO8593"/>
    <mergeCell ref="AP8593:AQ8593"/>
    <mergeCell ref="A8594:A8595"/>
    <mergeCell ref="E8594:E8595"/>
    <mergeCell ref="F8594:H8594"/>
    <mergeCell ref="J8594:J8595"/>
    <mergeCell ref="K8594:L8595"/>
    <mergeCell ref="M8594:N8595"/>
    <mergeCell ref="O8594:P8595"/>
    <mergeCell ref="Q8594:R8595"/>
    <mergeCell ref="S8594:T8595"/>
    <mergeCell ref="U8594:V8595"/>
    <mergeCell ref="W8594:W8595"/>
    <mergeCell ref="X8594:AB8594"/>
    <mergeCell ref="AD8594:AI8594"/>
    <mergeCell ref="AJ8594:AL8594"/>
    <mergeCell ref="AN8594:AO8594"/>
    <mergeCell ref="AP8594:AQ8594"/>
    <mergeCell ref="AR8594:AS8595"/>
    <mergeCell ref="AT8594:AU8595"/>
    <mergeCell ref="AV8594:AW8595"/>
    <mergeCell ref="AX8594:AY8595"/>
    <mergeCell ref="AZ8594:AZ8595"/>
    <mergeCell ref="F8595:H8595"/>
    <mergeCell ref="X8595:AB8595"/>
    <mergeCell ref="AE8595:AI8595"/>
    <mergeCell ref="AJ8595:AL8595"/>
    <mergeCell ref="AN8595:AO8595"/>
    <mergeCell ref="AP8595:AQ8595"/>
    <mergeCell ref="A8596:A8597"/>
    <mergeCell ref="E8596:E8597"/>
    <mergeCell ref="F8596:H8596"/>
    <mergeCell ref="J8596:J8597"/>
    <mergeCell ref="K8596:L8597"/>
    <mergeCell ref="M8596:N8597"/>
    <mergeCell ref="O8596:P8597"/>
    <mergeCell ref="Q8596:R8597"/>
    <mergeCell ref="S8596:T8597"/>
    <mergeCell ref="U8596:V8597"/>
    <mergeCell ref="W8596:W8597"/>
    <mergeCell ref="X8596:AB8596"/>
    <mergeCell ref="AD8596:AI8596"/>
    <mergeCell ref="AJ8596:AL8596"/>
    <mergeCell ref="AN8596:AO8596"/>
    <mergeCell ref="AP8596:AQ8596"/>
    <mergeCell ref="AR8596:AS8597"/>
    <mergeCell ref="AT8596:AU8597"/>
    <mergeCell ref="AV8596:AW8597"/>
    <mergeCell ref="AX8596:AY8597"/>
    <mergeCell ref="AZ8596:AZ8597"/>
    <mergeCell ref="F8597:H8597"/>
    <mergeCell ref="X8597:AB8597"/>
    <mergeCell ref="AE8597:AI8597"/>
    <mergeCell ref="AJ8597:AL8597"/>
    <mergeCell ref="AN8597:AO8597"/>
    <mergeCell ref="AP8597:AQ8597"/>
    <mergeCell ref="A8598:A8599"/>
    <mergeCell ref="E8598:E8599"/>
    <mergeCell ref="F8598:H8598"/>
    <mergeCell ref="J8598:J8599"/>
    <mergeCell ref="K8598:L8599"/>
    <mergeCell ref="M8598:N8599"/>
    <mergeCell ref="O8598:P8599"/>
    <mergeCell ref="Q8598:R8599"/>
    <mergeCell ref="S8598:T8599"/>
    <mergeCell ref="U8598:V8599"/>
    <mergeCell ref="W8598:W8599"/>
    <mergeCell ref="X8598:AB8598"/>
    <mergeCell ref="AD8598:AI8598"/>
    <mergeCell ref="AJ8598:AL8598"/>
    <mergeCell ref="AN8598:AO8598"/>
    <mergeCell ref="AP8598:AQ8598"/>
    <mergeCell ref="AR8598:AS8599"/>
    <mergeCell ref="AT8598:AU8599"/>
    <mergeCell ref="AV8598:AW8599"/>
    <mergeCell ref="AX8598:AY8599"/>
    <mergeCell ref="AZ8598:AZ8599"/>
    <mergeCell ref="F8599:H8599"/>
    <mergeCell ref="X8599:AB8599"/>
    <mergeCell ref="AE8599:AI8599"/>
    <mergeCell ref="AJ8599:AL8599"/>
    <mergeCell ref="AN8599:AO8599"/>
    <mergeCell ref="AP8599:AQ8599"/>
    <mergeCell ref="A8600:A8601"/>
    <mergeCell ref="E8600:E8601"/>
    <mergeCell ref="F8600:H8600"/>
    <mergeCell ref="J8600:J8601"/>
    <mergeCell ref="K8600:L8601"/>
    <mergeCell ref="M8600:N8601"/>
    <mergeCell ref="O8600:P8601"/>
    <mergeCell ref="Q8600:R8601"/>
    <mergeCell ref="S8600:T8601"/>
    <mergeCell ref="U8600:V8601"/>
    <mergeCell ref="W8600:W8601"/>
    <mergeCell ref="X8600:AB8600"/>
    <mergeCell ref="AD8600:AI8600"/>
    <mergeCell ref="AJ8600:AL8600"/>
    <mergeCell ref="AN8600:AO8600"/>
    <mergeCell ref="AP8600:AQ8600"/>
    <mergeCell ref="AR8600:AS8601"/>
    <mergeCell ref="AT8600:AU8601"/>
    <mergeCell ref="AV8600:AW8601"/>
    <mergeCell ref="AX8600:AY8601"/>
    <mergeCell ref="AZ8600:AZ8601"/>
    <mergeCell ref="F8601:H8601"/>
    <mergeCell ref="X8601:AB8601"/>
    <mergeCell ref="AE8601:AI8601"/>
    <mergeCell ref="AJ8601:AL8601"/>
    <mergeCell ref="AN8601:AO8601"/>
    <mergeCell ref="AP8601:AQ8601"/>
    <mergeCell ref="A8602:A8603"/>
    <mergeCell ref="E8602:E8603"/>
    <mergeCell ref="F8602:H8602"/>
    <mergeCell ref="J8602:J8603"/>
    <mergeCell ref="K8602:L8603"/>
    <mergeCell ref="M8602:N8603"/>
    <mergeCell ref="O8602:P8603"/>
    <mergeCell ref="Q8602:R8603"/>
    <mergeCell ref="S8602:T8603"/>
    <mergeCell ref="U8602:V8603"/>
    <mergeCell ref="W8602:W8603"/>
    <mergeCell ref="X8602:AB8602"/>
    <mergeCell ref="AD8602:AI8602"/>
    <mergeCell ref="AJ8602:AL8602"/>
    <mergeCell ref="AN8602:AO8602"/>
    <mergeCell ref="AP8602:AQ8602"/>
    <mergeCell ref="AR8602:AS8603"/>
    <mergeCell ref="AT8602:AU8603"/>
    <mergeCell ref="AV8602:AW8603"/>
    <mergeCell ref="AX8602:AY8603"/>
    <mergeCell ref="AZ8602:AZ8603"/>
    <mergeCell ref="F8603:H8603"/>
    <mergeCell ref="X8603:AB8603"/>
    <mergeCell ref="AE8603:AI8603"/>
    <mergeCell ref="AJ8603:AL8603"/>
    <mergeCell ref="AN8603:AO8603"/>
    <mergeCell ref="AP8603:AQ8603"/>
    <mergeCell ref="A8604:A8605"/>
    <mergeCell ref="E8604:E8605"/>
    <mergeCell ref="F8604:H8604"/>
    <mergeCell ref="J8604:J8605"/>
    <mergeCell ref="K8604:L8605"/>
    <mergeCell ref="M8604:N8605"/>
    <mergeCell ref="O8604:P8605"/>
    <mergeCell ref="Q8604:R8605"/>
    <mergeCell ref="S8604:T8605"/>
    <mergeCell ref="U8604:V8605"/>
    <mergeCell ref="W8604:W8605"/>
    <mergeCell ref="X8604:AB8604"/>
    <mergeCell ref="AD8604:AI8604"/>
    <mergeCell ref="AJ8604:AL8604"/>
    <mergeCell ref="AN8604:AO8604"/>
    <mergeCell ref="AP8604:AQ8604"/>
    <mergeCell ref="AR8604:AS8605"/>
    <mergeCell ref="AT8604:AU8605"/>
    <mergeCell ref="AV8604:AW8605"/>
    <mergeCell ref="AX8604:AY8605"/>
    <mergeCell ref="AZ8604:AZ8605"/>
    <mergeCell ref="F8605:H8605"/>
    <mergeCell ref="X8605:AB8605"/>
    <mergeCell ref="AE8605:AI8605"/>
    <mergeCell ref="AJ8605:AL8605"/>
    <mergeCell ref="AN8605:AO8605"/>
    <mergeCell ref="AP8605:AQ8605"/>
    <mergeCell ref="A8606:A8607"/>
    <mergeCell ref="E8606:E8607"/>
    <mergeCell ref="F8606:H8606"/>
    <mergeCell ref="J8606:J8607"/>
    <mergeCell ref="K8606:L8607"/>
    <mergeCell ref="M8606:N8607"/>
    <mergeCell ref="O8606:P8607"/>
    <mergeCell ref="Q8606:R8607"/>
    <mergeCell ref="S8606:T8607"/>
    <mergeCell ref="U8606:V8607"/>
    <mergeCell ref="W8606:W8607"/>
    <mergeCell ref="X8606:AB8606"/>
    <mergeCell ref="AD8606:AI8606"/>
    <mergeCell ref="AJ8606:AL8606"/>
    <mergeCell ref="AN8606:AO8606"/>
    <mergeCell ref="AP8606:AQ8606"/>
    <mergeCell ref="AR8606:AS8607"/>
    <mergeCell ref="AT8606:AU8607"/>
    <mergeCell ref="AV8606:AW8607"/>
    <mergeCell ref="AX8606:AY8607"/>
    <mergeCell ref="AZ8606:AZ8607"/>
    <mergeCell ref="F8607:H8607"/>
    <mergeCell ref="X8607:AB8607"/>
    <mergeCell ref="AE8607:AI8607"/>
    <mergeCell ref="AJ8607:AL8607"/>
    <mergeCell ref="AN8607:AO8607"/>
    <mergeCell ref="AP8607:AQ8607"/>
    <mergeCell ref="A8608:A8609"/>
    <mergeCell ref="E8608:E8609"/>
    <mergeCell ref="F8608:H8608"/>
    <mergeCell ref="J8608:J8609"/>
    <mergeCell ref="K8608:L8609"/>
    <mergeCell ref="M8608:N8609"/>
    <mergeCell ref="O8608:P8609"/>
    <mergeCell ref="Q8608:R8609"/>
    <mergeCell ref="S8608:T8609"/>
    <mergeCell ref="U8608:V8609"/>
    <mergeCell ref="W8608:W8609"/>
    <mergeCell ref="X8608:AB8608"/>
    <mergeCell ref="AD8608:AI8608"/>
    <mergeCell ref="AJ8608:AL8608"/>
    <mergeCell ref="AN8608:AO8608"/>
    <mergeCell ref="AP8608:AQ8608"/>
    <mergeCell ref="AR8608:AS8609"/>
    <mergeCell ref="AT8608:AU8609"/>
    <mergeCell ref="AV8608:AW8609"/>
    <mergeCell ref="AX8608:AY8609"/>
    <mergeCell ref="AZ8608:AZ8609"/>
    <mergeCell ref="F8609:H8609"/>
    <mergeCell ref="X8609:AB8609"/>
    <mergeCell ref="AE8609:AI8609"/>
    <mergeCell ref="AJ8609:AL8609"/>
    <mergeCell ref="AN8609:AO8609"/>
    <mergeCell ref="AP8609:AQ8609"/>
    <mergeCell ref="A8610:A8611"/>
    <mergeCell ref="E8610:E8611"/>
    <mergeCell ref="F8610:H8610"/>
    <mergeCell ref="J8610:J8611"/>
    <mergeCell ref="K8610:L8611"/>
    <mergeCell ref="M8610:N8611"/>
    <mergeCell ref="O8610:P8611"/>
    <mergeCell ref="Q8610:R8611"/>
    <mergeCell ref="S8610:T8611"/>
    <mergeCell ref="U8610:V8611"/>
    <mergeCell ref="W8610:W8611"/>
    <mergeCell ref="X8610:AB8610"/>
    <mergeCell ref="AD8610:AI8610"/>
    <mergeCell ref="AJ8610:AL8610"/>
    <mergeCell ref="AN8610:AO8610"/>
    <mergeCell ref="AP8610:AQ8610"/>
    <mergeCell ref="AR8610:AS8611"/>
    <mergeCell ref="AT8610:AU8611"/>
    <mergeCell ref="AV8610:AW8611"/>
    <mergeCell ref="AX8610:AY8611"/>
    <mergeCell ref="AZ8610:AZ8611"/>
    <mergeCell ref="F8611:H8611"/>
    <mergeCell ref="X8611:AB8611"/>
    <mergeCell ref="AE8611:AI8611"/>
    <mergeCell ref="AJ8611:AL8611"/>
    <mergeCell ref="AN8611:AO8611"/>
    <mergeCell ref="AP8611:AQ8611"/>
    <mergeCell ref="A8612:A8613"/>
    <mergeCell ref="E8612:E8613"/>
    <mergeCell ref="F8612:H8612"/>
    <mergeCell ref="J8612:J8613"/>
    <mergeCell ref="K8612:L8613"/>
    <mergeCell ref="M8612:N8613"/>
    <mergeCell ref="O8612:P8613"/>
    <mergeCell ref="Q8612:R8613"/>
    <mergeCell ref="S8612:T8613"/>
    <mergeCell ref="U8612:V8613"/>
    <mergeCell ref="W8612:W8613"/>
    <mergeCell ref="X8612:AB8612"/>
    <mergeCell ref="AD8612:AI8612"/>
    <mergeCell ref="AJ8612:AL8612"/>
    <mergeCell ref="AN8612:AO8612"/>
    <mergeCell ref="AP8612:AQ8612"/>
    <mergeCell ref="AR8612:AS8613"/>
    <mergeCell ref="AT8612:AU8613"/>
    <mergeCell ref="AV8612:AW8613"/>
    <mergeCell ref="AX8612:AY8613"/>
    <mergeCell ref="AZ8612:AZ8613"/>
    <mergeCell ref="F8613:H8613"/>
    <mergeCell ref="X8613:AB8613"/>
    <mergeCell ref="AE8613:AI8613"/>
    <mergeCell ref="AJ8613:AL8613"/>
    <mergeCell ref="AN8613:AO8613"/>
    <mergeCell ref="AP8613:AQ8613"/>
    <mergeCell ref="A8614:A8615"/>
    <mergeCell ref="E8614:E8615"/>
    <mergeCell ref="F8614:H8614"/>
    <mergeCell ref="J8614:J8615"/>
    <mergeCell ref="K8614:L8615"/>
    <mergeCell ref="M8614:N8615"/>
    <mergeCell ref="O8614:P8615"/>
    <mergeCell ref="Q8614:R8615"/>
    <mergeCell ref="S8614:T8615"/>
    <mergeCell ref="U8614:V8615"/>
    <mergeCell ref="W8614:W8615"/>
    <mergeCell ref="X8614:AB8614"/>
    <mergeCell ref="AD8614:AI8614"/>
    <mergeCell ref="AJ8614:AL8614"/>
    <mergeCell ref="AN8614:AO8614"/>
    <mergeCell ref="AP8614:AQ8614"/>
    <mergeCell ref="AR8614:AS8615"/>
    <mergeCell ref="AT8614:AU8615"/>
    <mergeCell ref="AV8614:AW8615"/>
    <mergeCell ref="AX8614:AY8615"/>
    <mergeCell ref="AZ8614:AZ8615"/>
    <mergeCell ref="F8615:H8615"/>
    <mergeCell ref="X8615:AB8615"/>
    <mergeCell ref="AE8615:AI8615"/>
    <mergeCell ref="AJ8615:AL8615"/>
    <mergeCell ref="AN8615:AO8615"/>
    <mergeCell ref="AP8615:AQ8615"/>
    <mergeCell ref="A8616:A8617"/>
    <mergeCell ref="E8616:E8617"/>
    <mergeCell ref="F8616:H8616"/>
    <mergeCell ref="J8616:J8617"/>
    <mergeCell ref="K8616:L8617"/>
    <mergeCell ref="M8616:N8617"/>
    <mergeCell ref="O8616:P8617"/>
    <mergeCell ref="Q8616:R8617"/>
    <mergeCell ref="S8616:T8617"/>
    <mergeCell ref="U8616:V8617"/>
    <mergeCell ref="W8616:W8617"/>
    <mergeCell ref="X8616:AB8616"/>
    <mergeCell ref="AD8616:AI8616"/>
    <mergeCell ref="AJ8616:AL8616"/>
    <mergeCell ref="AN8616:AO8616"/>
    <mergeCell ref="AP8616:AQ8616"/>
    <mergeCell ref="AR8616:AS8617"/>
    <mergeCell ref="AT8616:AU8617"/>
    <mergeCell ref="AV8616:AW8617"/>
    <mergeCell ref="AX8616:AY8617"/>
    <mergeCell ref="AZ8616:AZ8617"/>
    <mergeCell ref="F8617:H8617"/>
    <mergeCell ref="X8617:AB8617"/>
    <mergeCell ref="AE8617:AI8617"/>
    <mergeCell ref="AJ8617:AL8617"/>
    <mergeCell ref="AN8617:AO8617"/>
    <mergeCell ref="AP8617:AQ8617"/>
    <mergeCell ref="A8618:A8619"/>
    <mergeCell ref="E8618:E8619"/>
    <mergeCell ref="F8618:H8618"/>
    <mergeCell ref="J8618:J8619"/>
    <mergeCell ref="K8618:L8619"/>
    <mergeCell ref="M8618:N8619"/>
    <mergeCell ref="O8618:P8619"/>
    <mergeCell ref="Q8618:R8619"/>
    <mergeCell ref="S8618:T8619"/>
    <mergeCell ref="U8618:V8619"/>
    <mergeCell ref="W8618:W8619"/>
    <mergeCell ref="X8618:AB8618"/>
    <mergeCell ref="AD8618:AI8618"/>
    <mergeCell ref="AJ8618:AL8618"/>
    <mergeCell ref="AN8618:AO8618"/>
    <mergeCell ref="AP8618:AQ8618"/>
    <mergeCell ref="AR8618:AS8619"/>
    <mergeCell ref="AT8618:AU8619"/>
    <mergeCell ref="AV8618:AW8619"/>
    <mergeCell ref="AX8618:AY8619"/>
    <mergeCell ref="AZ8618:AZ8619"/>
    <mergeCell ref="F8619:H8619"/>
    <mergeCell ref="X8619:AB8619"/>
    <mergeCell ref="AE8619:AI8619"/>
    <mergeCell ref="AJ8619:AL8619"/>
    <mergeCell ref="AN8619:AO8619"/>
    <mergeCell ref="AP8619:AQ8619"/>
    <mergeCell ref="A8620:A8621"/>
    <mergeCell ref="E8620:E8621"/>
    <mergeCell ref="F8620:H8620"/>
    <mergeCell ref="J8620:J8621"/>
    <mergeCell ref="K8620:L8621"/>
    <mergeCell ref="M8620:N8621"/>
    <mergeCell ref="O8620:P8621"/>
    <mergeCell ref="Q8620:R8621"/>
    <mergeCell ref="S8620:T8621"/>
    <mergeCell ref="U8620:V8621"/>
    <mergeCell ref="W8620:W8621"/>
    <mergeCell ref="X8620:AB8620"/>
    <mergeCell ref="AD8620:AI8620"/>
    <mergeCell ref="AJ8620:AL8620"/>
    <mergeCell ref="AN8620:AO8620"/>
    <mergeCell ref="AP8620:AQ8620"/>
    <mergeCell ref="AR8620:AS8621"/>
    <mergeCell ref="AT8620:AU8621"/>
    <mergeCell ref="AV8620:AW8621"/>
    <mergeCell ref="AX8620:AY8621"/>
    <mergeCell ref="AZ8620:AZ8621"/>
    <mergeCell ref="F8621:H8621"/>
    <mergeCell ref="X8621:AB8621"/>
    <mergeCell ref="AE8621:AI8621"/>
    <mergeCell ref="AJ8621:AL8621"/>
    <mergeCell ref="AN8621:AO8621"/>
    <mergeCell ref="AP8621:AQ8621"/>
    <mergeCell ref="A8622:A8623"/>
    <mergeCell ref="E8622:E8623"/>
    <mergeCell ref="F8622:H8622"/>
    <mergeCell ref="J8622:J8623"/>
    <mergeCell ref="K8622:L8623"/>
    <mergeCell ref="M8622:N8623"/>
    <mergeCell ref="O8622:P8623"/>
    <mergeCell ref="Q8622:R8623"/>
    <mergeCell ref="S8622:T8623"/>
    <mergeCell ref="U8622:V8623"/>
    <mergeCell ref="W8622:W8623"/>
    <mergeCell ref="X8622:AB8622"/>
    <mergeCell ref="AD8622:AI8622"/>
    <mergeCell ref="AJ8622:AL8622"/>
    <mergeCell ref="AN8622:AO8622"/>
    <mergeCell ref="AP8622:AQ8622"/>
    <mergeCell ref="AR8622:AS8623"/>
    <mergeCell ref="AT8622:AU8623"/>
    <mergeCell ref="AV8622:AW8623"/>
    <mergeCell ref="AX8622:AY8623"/>
    <mergeCell ref="AZ8622:AZ8623"/>
    <mergeCell ref="F8623:H8623"/>
    <mergeCell ref="X8623:AB8623"/>
    <mergeCell ref="AE8623:AI8623"/>
    <mergeCell ref="AJ8623:AL8623"/>
    <mergeCell ref="AN8623:AO8623"/>
    <mergeCell ref="AP8623:AQ8623"/>
    <mergeCell ref="A8624:A8625"/>
    <mergeCell ref="E8624:E8625"/>
    <mergeCell ref="F8624:H8624"/>
    <mergeCell ref="J8624:J8625"/>
    <mergeCell ref="K8624:L8625"/>
    <mergeCell ref="M8624:N8625"/>
    <mergeCell ref="O8624:P8625"/>
    <mergeCell ref="Q8624:R8625"/>
    <mergeCell ref="S8624:T8625"/>
    <mergeCell ref="U8624:V8625"/>
    <mergeCell ref="W8624:W8625"/>
    <mergeCell ref="X8624:AB8624"/>
    <mergeCell ref="AD8624:AI8624"/>
    <mergeCell ref="AJ8624:AL8624"/>
    <mergeCell ref="AN8624:AO8624"/>
    <mergeCell ref="AP8624:AQ8624"/>
    <mergeCell ref="AR8624:AS8625"/>
    <mergeCell ref="AT8624:AU8625"/>
    <mergeCell ref="AV8624:AW8625"/>
    <mergeCell ref="AX8624:AY8625"/>
    <mergeCell ref="AZ8624:AZ8625"/>
    <mergeCell ref="F8625:H8625"/>
    <mergeCell ref="X8625:AB8625"/>
    <mergeCell ref="AE8625:AI8625"/>
    <mergeCell ref="AJ8625:AL8625"/>
    <mergeCell ref="AN8625:AO8625"/>
    <mergeCell ref="AP8625:AQ8625"/>
    <mergeCell ref="A8626:A8627"/>
    <mergeCell ref="E8626:E8627"/>
    <mergeCell ref="F8626:H8626"/>
    <mergeCell ref="J8626:J8627"/>
    <mergeCell ref="K8626:L8627"/>
    <mergeCell ref="M8626:N8627"/>
    <mergeCell ref="O8626:P8627"/>
    <mergeCell ref="Q8626:R8627"/>
    <mergeCell ref="S8626:T8627"/>
    <mergeCell ref="U8626:V8627"/>
    <mergeCell ref="W8626:W8627"/>
    <mergeCell ref="X8626:AB8626"/>
    <mergeCell ref="AD8626:AI8626"/>
    <mergeCell ref="AJ8626:AL8626"/>
    <mergeCell ref="AN8626:AO8626"/>
    <mergeCell ref="AP8626:AQ8626"/>
    <mergeCell ref="AR8626:AS8627"/>
    <mergeCell ref="AT8626:AU8627"/>
    <mergeCell ref="AV8626:AW8627"/>
    <mergeCell ref="AX8626:AY8627"/>
    <mergeCell ref="AZ8626:AZ8627"/>
    <mergeCell ref="F8627:H8627"/>
    <mergeCell ref="X8627:AB8627"/>
    <mergeCell ref="AE8627:AI8627"/>
    <mergeCell ref="AJ8627:AL8627"/>
    <mergeCell ref="AN8627:AO8627"/>
    <mergeCell ref="AP8627:AQ8627"/>
    <mergeCell ref="A8628:A8629"/>
    <mergeCell ref="E8628:E8629"/>
    <mergeCell ref="F8628:H8628"/>
    <mergeCell ref="J8628:J8629"/>
    <mergeCell ref="K8628:L8629"/>
    <mergeCell ref="M8628:N8629"/>
    <mergeCell ref="O8628:P8629"/>
    <mergeCell ref="Q8628:R8629"/>
    <mergeCell ref="S8628:T8629"/>
    <mergeCell ref="U8628:V8629"/>
    <mergeCell ref="W8628:W8629"/>
    <mergeCell ref="X8628:AB8628"/>
    <mergeCell ref="AD8628:AI8628"/>
    <mergeCell ref="AJ8628:AL8628"/>
    <mergeCell ref="AN8628:AO8628"/>
    <mergeCell ref="AP8628:AQ8628"/>
    <mergeCell ref="AR8628:AS8629"/>
    <mergeCell ref="AT8628:AU8629"/>
    <mergeCell ref="AV8628:AW8629"/>
    <mergeCell ref="AX8628:AY8629"/>
    <mergeCell ref="AZ8628:AZ8629"/>
    <mergeCell ref="F8629:H8629"/>
    <mergeCell ref="X8629:AB8629"/>
    <mergeCell ref="AE8629:AI8629"/>
    <mergeCell ref="AJ8629:AL8629"/>
    <mergeCell ref="AN8629:AO8629"/>
    <mergeCell ref="AP8629:AQ8629"/>
    <mergeCell ref="A8630:A8631"/>
    <mergeCell ref="E8630:E8631"/>
    <mergeCell ref="F8630:H8630"/>
    <mergeCell ref="J8630:J8631"/>
    <mergeCell ref="K8630:L8631"/>
    <mergeCell ref="M8630:N8631"/>
    <mergeCell ref="O8630:P8631"/>
    <mergeCell ref="Q8630:R8631"/>
    <mergeCell ref="S8630:T8631"/>
    <mergeCell ref="U8630:V8631"/>
    <mergeCell ref="W8630:W8631"/>
    <mergeCell ref="X8630:AB8630"/>
    <mergeCell ref="AD8630:AI8630"/>
    <mergeCell ref="AJ8630:AL8630"/>
    <mergeCell ref="AN8630:AO8630"/>
    <mergeCell ref="AP8630:AQ8630"/>
    <mergeCell ref="AR8630:AS8631"/>
    <mergeCell ref="AT8630:AU8631"/>
    <mergeCell ref="AV8630:AW8631"/>
    <mergeCell ref="AX8630:AY8631"/>
    <mergeCell ref="AZ8630:AZ8631"/>
    <mergeCell ref="F8631:H8631"/>
    <mergeCell ref="X8631:AB8631"/>
    <mergeCell ref="AE8631:AI8631"/>
    <mergeCell ref="AJ8631:AL8631"/>
    <mergeCell ref="AN8631:AO8631"/>
    <mergeCell ref="AP8631:AQ8631"/>
    <mergeCell ref="A8632:A8633"/>
    <mergeCell ref="E8632:E8633"/>
    <mergeCell ref="F8632:H8632"/>
    <mergeCell ref="J8632:J8633"/>
    <mergeCell ref="K8632:L8633"/>
    <mergeCell ref="M8632:N8633"/>
    <mergeCell ref="O8632:P8633"/>
    <mergeCell ref="Q8632:R8633"/>
    <mergeCell ref="S8632:T8633"/>
    <mergeCell ref="U8632:V8633"/>
    <mergeCell ref="W8632:W8633"/>
    <mergeCell ref="X8632:AB8632"/>
    <mergeCell ref="AD8632:AI8632"/>
    <mergeCell ref="AJ8632:AL8632"/>
    <mergeCell ref="AN8632:AO8632"/>
    <mergeCell ref="AP8632:AQ8632"/>
    <mergeCell ref="AR8632:AS8633"/>
    <mergeCell ref="AT8632:AU8633"/>
    <mergeCell ref="AV8632:AW8633"/>
    <mergeCell ref="AX8632:AY8633"/>
    <mergeCell ref="AZ8632:AZ8633"/>
    <mergeCell ref="F8633:H8633"/>
    <mergeCell ref="X8633:AB8633"/>
    <mergeCell ref="AE8633:AI8633"/>
    <mergeCell ref="AJ8633:AL8633"/>
    <mergeCell ref="AN8633:AO8633"/>
    <mergeCell ref="AP8633:AQ8633"/>
    <mergeCell ref="A8634:A8635"/>
    <mergeCell ref="E8634:E8635"/>
    <mergeCell ref="F8634:H8634"/>
    <mergeCell ref="J8634:J8635"/>
    <mergeCell ref="K8634:L8635"/>
    <mergeCell ref="M8634:N8635"/>
    <mergeCell ref="O8634:P8635"/>
    <mergeCell ref="Q8634:R8635"/>
    <mergeCell ref="S8634:T8635"/>
    <mergeCell ref="U8634:V8635"/>
    <mergeCell ref="W8634:W8635"/>
    <mergeCell ref="X8634:AB8634"/>
    <mergeCell ref="AD8634:AI8634"/>
    <mergeCell ref="AJ8634:AL8634"/>
    <mergeCell ref="AN8634:AO8634"/>
    <mergeCell ref="AP8634:AQ8634"/>
    <mergeCell ref="AR8634:AS8635"/>
    <mergeCell ref="AT8634:AU8635"/>
    <mergeCell ref="AV8634:AW8635"/>
    <mergeCell ref="AX8634:AY8635"/>
    <mergeCell ref="AZ8634:AZ8635"/>
    <mergeCell ref="F8635:H8635"/>
    <mergeCell ref="X8635:AB8635"/>
    <mergeCell ref="AE8635:AI8635"/>
    <mergeCell ref="AJ8635:AL8635"/>
    <mergeCell ref="AN8635:AO8635"/>
    <mergeCell ref="AP8635:AQ8635"/>
    <mergeCell ref="A8636:A8637"/>
    <mergeCell ref="E8636:E8637"/>
    <mergeCell ref="F8636:H8636"/>
    <mergeCell ref="J8636:J8637"/>
    <mergeCell ref="K8636:L8637"/>
    <mergeCell ref="M8636:N8637"/>
    <mergeCell ref="O8636:P8637"/>
    <mergeCell ref="Q8636:R8637"/>
    <mergeCell ref="S8636:T8637"/>
    <mergeCell ref="U8636:V8637"/>
    <mergeCell ref="W8636:W8637"/>
    <mergeCell ref="X8636:AB8636"/>
    <mergeCell ref="AD8636:AI8636"/>
    <mergeCell ref="AJ8636:AL8636"/>
    <mergeCell ref="AN8636:AO8636"/>
    <mergeCell ref="AP8636:AQ8636"/>
    <mergeCell ref="AR8636:AS8637"/>
    <mergeCell ref="AT8636:AU8637"/>
    <mergeCell ref="AV8636:AW8637"/>
    <mergeCell ref="AX8636:AY8637"/>
    <mergeCell ref="AZ8636:AZ8637"/>
    <mergeCell ref="F8637:H8637"/>
    <mergeCell ref="X8637:AB8637"/>
    <mergeCell ref="AE8637:AI8637"/>
    <mergeCell ref="AJ8637:AL8637"/>
    <mergeCell ref="AN8637:AO8637"/>
    <mergeCell ref="AP8637:AQ8637"/>
    <mergeCell ref="A8638:A8639"/>
    <mergeCell ref="E8638:E8639"/>
    <mergeCell ref="F8638:H8638"/>
    <mergeCell ref="J8638:J8639"/>
    <mergeCell ref="K8638:L8639"/>
    <mergeCell ref="M8638:N8639"/>
    <mergeCell ref="O8638:P8639"/>
    <mergeCell ref="Q8638:R8639"/>
    <mergeCell ref="S8638:T8639"/>
    <mergeCell ref="U8638:V8639"/>
    <mergeCell ref="W8638:W8639"/>
    <mergeCell ref="X8638:AB8638"/>
    <mergeCell ref="AD8638:AI8638"/>
    <mergeCell ref="AJ8638:AL8638"/>
    <mergeCell ref="AN8638:AO8638"/>
    <mergeCell ref="AP8638:AQ8638"/>
    <mergeCell ref="AR8638:AS8639"/>
    <mergeCell ref="AT8638:AU8639"/>
    <mergeCell ref="AV8638:AW8639"/>
    <mergeCell ref="AX8638:AY8639"/>
    <mergeCell ref="AZ8638:AZ8639"/>
    <mergeCell ref="F8639:H8639"/>
    <mergeCell ref="X8639:AB8639"/>
    <mergeCell ref="AE8639:AI8639"/>
    <mergeCell ref="AJ8639:AL8639"/>
    <mergeCell ref="AN8639:AO8639"/>
    <mergeCell ref="AP8639:AQ8639"/>
    <mergeCell ref="A8640:A8641"/>
    <mergeCell ref="E8640:E8641"/>
    <mergeCell ref="F8640:H8640"/>
    <mergeCell ref="J8640:J8641"/>
    <mergeCell ref="K8640:L8641"/>
    <mergeCell ref="M8640:N8641"/>
    <mergeCell ref="O8640:P8641"/>
    <mergeCell ref="Q8640:R8641"/>
    <mergeCell ref="S8640:T8641"/>
    <mergeCell ref="U8640:V8641"/>
    <mergeCell ref="W8640:W8641"/>
    <mergeCell ref="X8640:AB8640"/>
    <mergeCell ref="AD8640:AI8640"/>
    <mergeCell ref="AJ8640:AL8640"/>
    <mergeCell ref="AN8640:AO8640"/>
    <mergeCell ref="AP8640:AQ8640"/>
    <mergeCell ref="AR8640:AS8641"/>
    <mergeCell ref="AT8640:AU8641"/>
    <mergeCell ref="AV8640:AW8641"/>
    <mergeCell ref="AX8640:AY8641"/>
    <mergeCell ref="AZ8640:AZ8641"/>
    <mergeCell ref="F8641:H8641"/>
    <mergeCell ref="X8641:AB8641"/>
    <mergeCell ref="AE8641:AI8641"/>
    <mergeCell ref="AJ8641:AL8641"/>
    <mergeCell ref="AN8641:AO8641"/>
    <mergeCell ref="AP8641:AQ8641"/>
    <mergeCell ref="A8642:A8643"/>
    <mergeCell ref="E8642:E8643"/>
    <mergeCell ref="F8642:H8642"/>
    <mergeCell ref="J8642:J8643"/>
    <mergeCell ref="K8642:L8643"/>
    <mergeCell ref="M8642:N8643"/>
    <mergeCell ref="O8642:P8643"/>
    <mergeCell ref="Q8642:R8643"/>
    <mergeCell ref="S8642:T8643"/>
    <mergeCell ref="U8642:V8643"/>
    <mergeCell ref="W8642:W8643"/>
    <mergeCell ref="X8642:AB8642"/>
    <mergeCell ref="AD8642:AI8642"/>
    <mergeCell ref="AJ8642:AL8642"/>
    <mergeCell ref="AN8642:AO8642"/>
    <mergeCell ref="AP8642:AQ8642"/>
    <mergeCell ref="AR8642:AS8643"/>
    <mergeCell ref="AT8642:AU8643"/>
    <mergeCell ref="AV8642:AW8643"/>
    <mergeCell ref="AX8642:AY8643"/>
    <mergeCell ref="AZ8642:AZ8643"/>
    <mergeCell ref="F8643:H8643"/>
    <mergeCell ref="X8643:AB8643"/>
    <mergeCell ref="AE8643:AI8643"/>
    <mergeCell ref="AJ8643:AL8643"/>
    <mergeCell ref="AN8643:AO8643"/>
    <mergeCell ref="AP8643:AQ8643"/>
    <mergeCell ref="A8644:A8645"/>
    <mergeCell ref="E8644:E8645"/>
    <mergeCell ref="F8644:H8644"/>
    <mergeCell ref="J8644:J8645"/>
    <mergeCell ref="K8644:L8645"/>
    <mergeCell ref="M8644:N8645"/>
    <mergeCell ref="O8644:P8645"/>
    <mergeCell ref="Q8644:R8645"/>
    <mergeCell ref="S8644:T8645"/>
    <mergeCell ref="U8644:V8645"/>
    <mergeCell ref="W8644:W8645"/>
    <mergeCell ref="X8644:AB8644"/>
    <mergeCell ref="AD8644:AI8644"/>
    <mergeCell ref="AJ8644:AL8644"/>
    <mergeCell ref="AN8644:AO8644"/>
    <mergeCell ref="AP8644:AQ8644"/>
    <mergeCell ref="AR8644:AS8645"/>
    <mergeCell ref="AT8644:AU8645"/>
    <mergeCell ref="AV8644:AW8645"/>
    <mergeCell ref="AX8644:AY8645"/>
    <mergeCell ref="AZ8644:AZ8645"/>
    <mergeCell ref="F8645:H8645"/>
    <mergeCell ref="X8645:AB8645"/>
    <mergeCell ref="AE8645:AI8645"/>
    <mergeCell ref="AJ8645:AL8645"/>
    <mergeCell ref="AN8645:AO8645"/>
    <mergeCell ref="AP8645:AQ8645"/>
    <mergeCell ref="A8646:A8647"/>
    <mergeCell ref="E8646:E8647"/>
    <mergeCell ref="F8646:H8646"/>
    <mergeCell ref="J8646:J8647"/>
    <mergeCell ref="K8646:L8647"/>
    <mergeCell ref="M8646:N8647"/>
    <mergeCell ref="O8646:P8647"/>
    <mergeCell ref="Q8646:R8647"/>
    <mergeCell ref="S8646:T8647"/>
    <mergeCell ref="U8646:V8647"/>
    <mergeCell ref="W8646:W8647"/>
    <mergeCell ref="X8646:AB8646"/>
    <mergeCell ref="AD8646:AI8646"/>
    <mergeCell ref="AJ8646:AL8646"/>
    <mergeCell ref="AN8646:AO8646"/>
    <mergeCell ref="AP8646:AQ8646"/>
    <mergeCell ref="AR8646:AS8647"/>
    <mergeCell ref="AT8646:AU8647"/>
    <mergeCell ref="AV8646:AW8647"/>
    <mergeCell ref="AX8646:AY8647"/>
    <mergeCell ref="AZ8646:AZ8647"/>
    <mergeCell ref="F8647:H8647"/>
    <mergeCell ref="X8647:AB8647"/>
    <mergeCell ref="AE8647:AI8647"/>
    <mergeCell ref="AJ8647:AL8647"/>
    <mergeCell ref="AN8647:AO8647"/>
    <mergeCell ref="AP8647:AQ8647"/>
    <mergeCell ref="A8648:A8649"/>
    <mergeCell ref="E8648:E8649"/>
    <mergeCell ref="F8648:H8648"/>
    <mergeCell ref="J8648:J8649"/>
    <mergeCell ref="K8648:L8649"/>
    <mergeCell ref="M8648:N8649"/>
    <mergeCell ref="O8648:P8649"/>
    <mergeCell ref="Q8648:R8649"/>
    <mergeCell ref="S8648:T8649"/>
    <mergeCell ref="U8648:V8649"/>
    <mergeCell ref="W8648:W8649"/>
    <mergeCell ref="X8648:AB8648"/>
    <mergeCell ref="AD8648:AI8648"/>
    <mergeCell ref="AJ8648:AL8648"/>
    <mergeCell ref="AN8648:AO8648"/>
    <mergeCell ref="AP8648:AQ8648"/>
    <mergeCell ref="AR8648:AS8649"/>
    <mergeCell ref="AT8648:AU8649"/>
    <mergeCell ref="AV8648:AW8649"/>
    <mergeCell ref="AX8648:AY8649"/>
    <mergeCell ref="AZ8648:AZ8649"/>
    <mergeCell ref="F8649:H8649"/>
    <mergeCell ref="X8649:AB8649"/>
    <mergeCell ref="AE8649:AI8649"/>
    <mergeCell ref="AJ8649:AL8649"/>
    <mergeCell ref="AN8649:AO8649"/>
    <mergeCell ref="AP8649:AQ8649"/>
    <mergeCell ref="A8650:A8651"/>
    <mergeCell ref="E8650:E8651"/>
    <mergeCell ref="F8650:H8650"/>
    <mergeCell ref="J8650:J8651"/>
    <mergeCell ref="K8650:L8651"/>
    <mergeCell ref="M8650:N8651"/>
    <mergeCell ref="O8650:P8651"/>
    <mergeCell ref="Q8650:R8651"/>
    <mergeCell ref="S8650:T8651"/>
    <mergeCell ref="U8650:V8651"/>
    <mergeCell ref="W8650:W8651"/>
    <mergeCell ref="X8650:AB8650"/>
    <mergeCell ref="AD8650:AI8650"/>
    <mergeCell ref="AJ8650:AL8650"/>
    <mergeCell ref="AN8650:AO8650"/>
    <mergeCell ref="AP8650:AQ8650"/>
    <mergeCell ref="AR8650:AS8651"/>
    <mergeCell ref="AT8650:AU8651"/>
    <mergeCell ref="AV8650:AW8651"/>
    <mergeCell ref="AX8650:AY8651"/>
    <mergeCell ref="AZ8650:AZ8651"/>
    <mergeCell ref="F8651:H8651"/>
    <mergeCell ref="X8651:AB8651"/>
    <mergeCell ref="AE8651:AI8651"/>
    <mergeCell ref="AJ8651:AL8651"/>
    <mergeCell ref="AN8651:AO8651"/>
    <mergeCell ref="AP8651:AQ8651"/>
    <mergeCell ref="A8652:A8653"/>
    <mergeCell ref="E8652:E8653"/>
    <mergeCell ref="F8652:H8652"/>
    <mergeCell ref="J8652:J8653"/>
    <mergeCell ref="K8652:L8653"/>
    <mergeCell ref="M8652:N8653"/>
    <mergeCell ref="O8652:P8653"/>
    <mergeCell ref="Q8652:R8653"/>
    <mergeCell ref="S8652:T8653"/>
    <mergeCell ref="U8652:V8653"/>
    <mergeCell ref="W8652:W8653"/>
    <mergeCell ref="X8652:AB8652"/>
    <mergeCell ref="AD8652:AI8652"/>
    <mergeCell ref="AJ8652:AL8652"/>
    <mergeCell ref="AN8652:AO8652"/>
    <mergeCell ref="AP8652:AQ8652"/>
    <mergeCell ref="AR8652:AS8653"/>
    <mergeCell ref="AT8652:AU8653"/>
    <mergeCell ref="AV8652:AW8653"/>
    <mergeCell ref="AX8652:AY8653"/>
    <mergeCell ref="AZ8652:AZ8653"/>
    <mergeCell ref="F8653:H8653"/>
    <mergeCell ref="X8653:AB8653"/>
    <mergeCell ref="AE8653:AI8653"/>
    <mergeCell ref="AJ8653:AL8653"/>
    <mergeCell ref="AN8653:AO8653"/>
    <mergeCell ref="AP8653:AQ8653"/>
    <mergeCell ref="A8654:A8655"/>
    <mergeCell ref="E8654:E8655"/>
    <mergeCell ref="F8654:H8654"/>
    <mergeCell ref="J8654:J8655"/>
    <mergeCell ref="K8654:L8655"/>
    <mergeCell ref="M8654:N8655"/>
    <mergeCell ref="O8654:P8655"/>
    <mergeCell ref="Q8654:R8655"/>
    <mergeCell ref="S8654:T8655"/>
    <mergeCell ref="U8654:V8655"/>
    <mergeCell ref="W8654:W8655"/>
    <mergeCell ref="X8654:AB8654"/>
    <mergeCell ref="AD8654:AI8654"/>
    <mergeCell ref="AJ8654:AL8654"/>
    <mergeCell ref="AN8654:AO8654"/>
    <mergeCell ref="AP8654:AQ8654"/>
    <mergeCell ref="AR8654:AS8655"/>
    <mergeCell ref="AT8654:AU8655"/>
    <mergeCell ref="AV8654:AW8655"/>
    <mergeCell ref="AX8654:AY8655"/>
    <mergeCell ref="AZ8654:AZ8655"/>
    <mergeCell ref="F8655:H8655"/>
    <mergeCell ref="X8655:AB8655"/>
    <mergeCell ref="AE8655:AI8655"/>
    <mergeCell ref="AJ8655:AL8655"/>
    <mergeCell ref="AN8655:AO8655"/>
    <mergeCell ref="AP8655:AQ8655"/>
    <mergeCell ref="A8656:A8657"/>
    <mergeCell ref="E8656:E8657"/>
    <mergeCell ref="F8656:H8656"/>
    <mergeCell ref="J8656:J8657"/>
    <mergeCell ref="K8656:L8657"/>
    <mergeCell ref="M8656:N8657"/>
    <mergeCell ref="O8656:P8657"/>
    <mergeCell ref="Q8656:R8657"/>
    <mergeCell ref="S8656:T8657"/>
    <mergeCell ref="U8656:V8657"/>
    <mergeCell ref="W8656:W8657"/>
    <mergeCell ref="X8656:AB8656"/>
    <mergeCell ref="AD8656:AI8656"/>
    <mergeCell ref="AJ8656:AL8656"/>
    <mergeCell ref="AN8656:AO8656"/>
    <mergeCell ref="AP8656:AQ8656"/>
    <mergeCell ref="AR8656:AS8657"/>
    <mergeCell ref="AT8656:AU8657"/>
    <mergeCell ref="AV8656:AW8657"/>
    <mergeCell ref="AX8656:AY8657"/>
    <mergeCell ref="AZ8656:AZ8657"/>
    <mergeCell ref="F8657:H8657"/>
    <mergeCell ref="X8657:AB8657"/>
    <mergeCell ref="AE8657:AI8657"/>
    <mergeCell ref="AJ8657:AL8657"/>
    <mergeCell ref="AN8657:AO8657"/>
    <mergeCell ref="AP8657:AQ8657"/>
    <mergeCell ref="A8658:A8659"/>
    <mergeCell ref="E8658:E8659"/>
    <mergeCell ref="F8658:H8658"/>
    <mergeCell ref="J8658:J8659"/>
    <mergeCell ref="K8658:L8659"/>
    <mergeCell ref="M8658:N8659"/>
    <mergeCell ref="O8658:P8659"/>
    <mergeCell ref="Q8658:R8659"/>
    <mergeCell ref="S8658:T8659"/>
    <mergeCell ref="U8658:V8659"/>
    <mergeCell ref="W8658:W8659"/>
    <mergeCell ref="X8658:AB8658"/>
    <mergeCell ref="AD8658:AI8658"/>
    <mergeCell ref="AJ8658:AL8658"/>
    <mergeCell ref="AN8658:AO8658"/>
    <mergeCell ref="AP8658:AQ8658"/>
    <mergeCell ref="AR8658:AS8659"/>
    <mergeCell ref="AT8658:AU8659"/>
    <mergeCell ref="AV8658:AW8659"/>
    <mergeCell ref="AX8658:AY8659"/>
    <mergeCell ref="AZ8658:AZ8659"/>
    <mergeCell ref="F8659:H8659"/>
    <mergeCell ref="X8659:AB8659"/>
    <mergeCell ref="AE8659:AI8659"/>
    <mergeCell ref="AJ8659:AL8659"/>
    <mergeCell ref="AN8659:AO8659"/>
    <mergeCell ref="AP8659:AQ8659"/>
    <mergeCell ref="A8660:A8661"/>
    <mergeCell ref="E8660:E8661"/>
    <mergeCell ref="F8660:H8660"/>
    <mergeCell ref="J8660:J8661"/>
    <mergeCell ref="K8660:L8661"/>
    <mergeCell ref="M8660:N8661"/>
    <mergeCell ref="O8660:P8661"/>
    <mergeCell ref="Q8660:R8661"/>
    <mergeCell ref="S8660:T8661"/>
    <mergeCell ref="U8660:V8661"/>
    <mergeCell ref="W8660:W8661"/>
    <mergeCell ref="X8660:AB8660"/>
    <mergeCell ref="AD8660:AI8660"/>
    <mergeCell ref="AJ8660:AL8660"/>
    <mergeCell ref="AN8660:AO8660"/>
    <mergeCell ref="AP8660:AQ8660"/>
    <mergeCell ref="AR8660:AS8661"/>
    <mergeCell ref="AT8660:AU8661"/>
    <mergeCell ref="AV8660:AW8661"/>
    <mergeCell ref="AX8660:AY8661"/>
    <mergeCell ref="AZ8660:AZ8661"/>
    <mergeCell ref="F8661:H8661"/>
    <mergeCell ref="X8661:AB8661"/>
    <mergeCell ref="AE8661:AI8661"/>
    <mergeCell ref="AJ8661:AL8661"/>
    <mergeCell ref="AN8661:AO8661"/>
    <mergeCell ref="AP8661:AQ8661"/>
    <mergeCell ref="A8662:A8663"/>
    <mergeCell ref="E8662:E8663"/>
    <mergeCell ref="F8662:H8662"/>
    <mergeCell ref="J8662:J8663"/>
    <mergeCell ref="K8662:L8663"/>
    <mergeCell ref="M8662:N8663"/>
    <mergeCell ref="O8662:P8663"/>
    <mergeCell ref="Q8662:R8663"/>
    <mergeCell ref="S8662:T8663"/>
    <mergeCell ref="U8662:V8663"/>
    <mergeCell ref="W8662:W8663"/>
    <mergeCell ref="X8662:AB8662"/>
    <mergeCell ref="AD8662:AI8662"/>
    <mergeCell ref="AJ8662:AL8662"/>
    <mergeCell ref="AN8662:AO8662"/>
    <mergeCell ref="AP8662:AQ8662"/>
    <mergeCell ref="AR8662:AS8663"/>
    <mergeCell ref="AT8662:AU8663"/>
    <mergeCell ref="AV8662:AW8663"/>
    <mergeCell ref="AX8662:AY8663"/>
    <mergeCell ref="AZ8662:AZ8663"/>
    <mergeCell ref="F8663:H8663"/>
    <mergeCell ref="X8663:AB8663"/>
    <mergeCell ref="AE8663:AI8663"/>
    <mergeCell ref="AJ8663:AL8663"/>
    <mergeCell ref="AN8663:AO8663"/>
    <mergeCell ref="AP8663:AQ8663"/>
    <mergeCell ref="A8664:A8665"/>
    <mergeCell ref="E8664:E8665"/>
    <mergeCell ref="F8664:H8664"/>
    <mergeCell ref="J8664:J8665"/>
    <mergeCell ref="K8664:L8665"/>
    <mergeCell ref="M8664:N8665"/>
    <mergeCell ref="O8664:P8665"/>
    <mergeCell ref="Q8664:R8665"/>
    <mergeCell ref="S8664:T8665"/>
    <mergeCell ref="U8664:V8665"/>
    <mergeCell ref="W8664:W8665"/>
    <mergeCell ref="X8664:AB8664"/>
    <mergeCell ref="AD8664:AI8664"/>
    <mergeCell ref="AJ8664:AL8664"/>
    <mergeCell ref="AN8664:AO8664"/>
    <mergeCell ref="AP8664:AQ8664"/>
    <mergeCell ref="AR8664:AS8665"/>
    <mergeCell ref="AT8664:AU8665"/>
    <mergeCell ref="AV8664:AW8665"/>
    <mergeCell ref="AX8664:AY8665"/>
    <mergeCell ref="AZ8664:AZ8665"/>
    <mergeCell ref="F8665:H8665"/>
    <mergeCell ref="X8665:AB8665"/>
    <mergeCell ref="AE8665:AI8665"/>
    <mergeCell ref="AJ8665:AL8665"/>
    <mergeCell ref="AN8665:AO8665"/>
    <mergeCell ref="AP8665:AQ8665"/>
    <mergeCell ref="A8666:A8667"/>
    <mergeCell ref="E8666:E8667"/>
    <mergeCell ref="F8666:H8666"/>
    <mergeCell ref="J8666:J8667"/>
    <mergeCell ref="K8666:L8667"/>
    <mergeCell ref="M8666:N8667"/>
    <mergeCell ref="O8666:P8667"/>
    <mergeCell ref="Q8666:R8667"/>
    <mergeCell ref="S8666:T8667"/>
    <mergeCell ref="U8666:V8667"/>
    <mergeCell ref="W8666:W8667"/>
    <mergeCell ref="X8666:AB8666"/>
    <mergeCell ref="AD8666:AI8666"/>
    <mergeCell ref="AJ8666:AL8666"/>
    <mergeCell ref="AN8666:AO8666"/>
    <mergeCell ref="AP8666:AQ8666"/>
    <mergeCell ref="AR8666:AS8667"/>
    <mergeCell ref="AT8666:AU8667"/>
    <mergeCell ref="AV8666:AW8667"/>
    <mergeCell ref="AX8666:AY8667"/>
    <mergeCell ref="AZ8666:AZ8667"/>
    <mergeCell ref="F8667:H8667"/>
    <mergeCell ref="X8667:AB8667"/>
    <mergeCell ref="AE8667:AI8667"/>
    <mergeCell ref="AJ8667:AL8667"/>
    <mergeCell ref="AN8667:AO8667"/>
    <mergeCell ref="AP8667:AQ8667"/>
    <mergeCell ref="A8668:A8669"/>
    <mergeCell ref="E8668:E8669"/>
    <mergeCell ref="F8668:H8668"/>
    <mergeCell ref="J8668:J8669"/>
    <mergeCell ref="K8668:L8669"/>
    <mergeCell ref="M8668:N8669"/>
    <mergeCell ref="O8668:P8669"/>
    <mergeCell ref="Q8668:R8669"/>
    <mergeCell ref="S8668:T8669"/>
    <mergeCell ref="U8668:V8669"/>
    <mergeCell ref="W8668:W8669"/>
    <mergeCell ref="X8668:AB8668"/>
    <mergeCell ref="AD8668:AI8668"/>
    <mergeCell ref="AJ8668:AL8668"/>
    <mergeCell ref="AN8668:AO8668"/>
    <mergeCell ref="AP8668:AQ8668"/>
    <mergeCell ref="AR8668:AS8669"/>
    <mergeCell ref="AT8668:AU8669"/>
    <mergeCell ref="AV8668:AW8669"/>
    <mergeCell ref="AX8668:AY8669"/>
    <mergeCell ref="AZ8668:AZ8669"/>
    <mergeCell ref="F8669:H8669"/>
    <mergeCell ref="X8669:AB8669"/>
    <mergeCell ref="AE8669:AI8669"/>
    <mergeCell ref="AJ8669:AL8669"/>
    <mergeCell ref="AN8669:AO8669"/>
    <mergeCell ref="AP8669:AQ8669"/>
    <mergeCell ref="A8670:A8671"/>
    <mergeCell ref="E8670:E8671"/>
    <mergeCell ref="F8670:H8670"/>
    <mergeCell ref="J8670:J8671"/>
    <mergeCell ref="K8670:L8671"/>
    <mergeCell ref="M8670:N8671"/>
    <mergeCell ref="O8670:P8671"/>
    <mergeCell ref="Q8670:R8671"/>
    <mergeCell ref="S8670:T8671"/>
    <mergeCell ref="U8670:V8671"/>
    <mergeCell ref="W8670:W8671"/>
    <mergeCell ref="X8670:AB8670"/>
    <mergeCell ref="AD8670:AI8670"/>
    <mergeCell ref="AJ8670:AL8670"/>
    <mergeCell ref="AN8670:AO8670"/>
    <mergeCell ref="AP8670:AQ8670"/>
    <mergeCell ref="AR8670:AS8671"/>
    <mergeCell ref="AT8670:AU8671"/>
    <mergeCell ref="AV8670:AW8671"/>
    <mergeCell ref="AX8670:AY8671"/>
    <mergeCell ref="AZ8670:AZ8671"/>
    <mergeCell ref="F8671:H8671"/>
    <mergeCell ref="X8671:AB8671"/>
    <mergeCell ref="AE8671:AI8671"/>
    <mergeCell ref="AJ8671:AL8671"/>
    <mergeCell ref="AN8671:AO8671"/>
    <mergeCell ref="AP8671:AQ8671"/>
    <mergeCell ref="A8672:A8673"/>
    <mergeCell ref="E8672:E8673"/>
    <mergeCell ref="F8672:H8672"/>
    <mergeCell ref="J8672:J8673"/>
    <mergeCell ref="K8672:L8673"/>
    <mergeCell ref="M8672:N8673"/>
    <mergeCell ref="O8672:P8673"/>
    <mergeCell ref="Q8672:R8673"/>
    <mergeCell ref="S8672:T8673"/>
    <mergeCell ref="U8672:V8673"/>
    <mergeCell ref="W8672:W8673"/>
    <mergeCell ref="X8672:AB8672"/>
    <mergeCell ref="AD8672:AI8672"/>
    <mergeCell ref="AJ8672:AL8672"/>
    <mergeCell ref="AN8672:AO8672"/>
    <mergeCell ref="AP8672:AQ8672"/>
    <mergeCell ref="AR8672:AS8673"/>
    <mergeCell ref="AT8672:AU8673"/>
    <mergeCell ref="AV8672:AW8673"/>
    <mergeCell ref="AX8672:AY8673"/>
    <mergeCell ref="AZ8672:AZ8673"/>
    <mergeCell ref="F8673:H8673"/>
    <mergeCell ref="X8673:AB8673"/>
    <mergeCell ref="AE8673:AI8673"/>
    <mergeCell ref="AJ8673:AL8673"/>
    <mergeCell ref="AN8673:AO8673"/>
    <mergeCell ref="AP8673:AQ8673"/>
    <mergeCell ref="A8674:A8675"/>
    <mergeCell ref="E8674:E8675"/>
    <mergeCell ref="F8674:H8674"/>
    <mergeCell ref="J8674:J8675"/>
    <mergeCell ref="K8674:L8675"/>
    <mergeCell ref="M8674:N8675"/>
    <mergeCell ref="O8674:P8675"/>
    <mergeCell ref="Q8674:R8675"/>
    <mergeCell ref="S8674:T8675"/>
    <mergeCell ref="U8674:V8675"/>
    <mergeCell ref="W8674:W8675"/>
    <mergeCell ref="X8674:AB8674"/>
    <mergeCell ref="AD8674:AI8674"/>
    <mergeCell ref="AJ8674:AL8674"/>
    <mergeCell ref="AN8674:AO8674"/>
    <mergeCell ref="AP8674:AQ8674"/>
    <mergeCell ref="AR8674:AS8675"/>
    <mergeCell ref="AT8674:AU8675"/>
    <mergeCell ref="AV8674:AW8675"/>
    <mergeCell ref="AX8674:AY8675"/>
    <mergeCell ref="AZ8674:AZ8675"/>
    <mergeCell ref="F8675:H8675"/>
    <mergeCell ref="X8675:AB8675"/>
    <mergeCell ref="AE8675:AI8675"/>
    <mergeCell ref="AJ8675:AL8675"/>
    <mergeCell ref="AN8675:AO8675"/>
    <mergeCell ref="AP8675:AQ8675"/>
    <mergeCell ref="A8676:A8677"/>
    <mergeCell ref="E8676:E8677"/>
    <mergeCell ref="F8676:H8676"/>
    <mergeCell ref="J8676:J8677"/>
    <mergeCell ref="K8676:L8677"/>
    <mergeCell ref="M8676:N8677"/>
    <mergeCell ref="O8676:P8677"/>
    <mergeCell ref="Q8676:R8677"/>
    <mergeCell ref="S8676:T8677"/>
    <mergeCell ref="U8676:V8677"/>
    <mergeCell ref="W8676:W8677"/>
    <mergeCell ref="X8676:AB8676"/>
    <mergeCell ref="AD8676:AI8676"/>
    <mergeCell ref="AJ8676:AL8676"/>
    <mergeCell ref="AN8676:AO8676"/>
    <mergeCell ref="AP8676:AQ8676"/>
    <mergeCell ref="AR8676:AS8677"/>
    <mergeCell ref="AT8676:AU8677"/>
    <mergeCell ref="AV8676:AW8677"/>
    <mergeCell ref="AX8676:AY8677"/>
    <mergeCell ref="AZ8676:AZ8677"/>
    <mergeCell ref="F8677:H8677"/>
    <mergeCell ref="X8677:AB8677"/>
    <mergeCell ref="AE8677:AI8677"/>
    <mergeCell ref="AJ8677:AL8677"/>
    <mergeCell ref="AN8677:AO8677"/>
    <mergeCell ref="AP8677:AQ8677"/>
    <mergeCell ref="A8678:A8679"/>
    <mergeCell ref="E8678:E8679"/>
    <mergeCell ref="F8678:H8678"/>
    <mergeCell ref="J8678:J8679"/>
    <mergeCell ref="K8678:L8679"/>
    <mergeCell ref="M8678:N8679"/>
    <mergeCell ref="O8678:P8679"/>
    <mergeCell ref="Q8678:R8679"/>
    <mergeCell ref="S8678:T8679"/>
    <mergeCell ref="U8678:V8679"/>
    <mergeCell ref="W8678:W8679"/>
    <mergeCell ref="X8678:AB8678"/>
    <mergeCell ref="AD8678:AI8678"/>
    <mergeCell ref="AJ8678:AL8678"/>
    <mergeCell ref="AN8678:AO8678"/>
    <mergeCell ref="AP8678:AQ8678"/>
    <mergeCell ref="AR8678:AS8679"/>
    <mergeCell ref="AT8678:AU8679"/>
    <mergeCell ref="AV8678:AW8679"/>
    <mergeCell ref="AX8678:AY8679"/>
    <mergeCell ref="AZ8678:AZ8679"/>
    <mergeCell ref="F8679:H8679"/>
    <mergeCell ref="X8679:AB8679"/>
    <mergeCell ref="AE8679:AI8679"/>
    <mergeCell ref="AJ8679:AL8679"/>
    <mergeCell ref="AN8679:AO8679"/>
    <mergeCell ref="AP8679:AQ8679"/>
    <mergeCell ref="A8680:A8681"/>
    <mergeCell ref="E8680:E8681"/>
    <mergeCell ref="F8680:H8680"/>
    <mergeCell ref="J8680:J8681"/>
    <mergeCell ref="K8680:L8681"/>
    <mergeCell ref="M8680:N8681"/>
    <mergeCell ref="O8680:P8681"/>
    <mergeCell ref="Q8680:R8681"/>
    <mergeCell ref="S8680:T8681"/>
    <mergeCell ref="U8680:V8681"/>
    <mergeCell ref="W8680:W8681"/>
    <mergeCell ref="X8680:AB8680"/>
    <mergeCell ref="AD8680:AI8680"/>
    <mergeCell ref="AJ8680:AL8680"/>
    <mergeCell ref="AN8680:AO8680"/>
    <mergeCell ref="AP8680:AQ8680"/>
    <mergeCell ref="AR8680:AS8681"/>
    <mergeCell ref="AT8680:AU8681"/>
    <mergeCell ref="AV8680:AW8681"/>
    <mergeCell ref="AX8680:AY8681"/>
    <mergeCell ref="AZ8680:AZ8681"/>
    <mergeCell ref="F8681:H8681"/>
    <mergeCell ref="X8681:AB8681"/>
    <mergeCell ref="AE8681:AI8681"/>
    <mergeCell ref="AJ8681:AL8681"/>
    <mergeCell ref="AN8681:AO8681"/>
    <mergeCell ref="AP8681:AQ8681"/>
    <mergeCell ref="A8682:A8683"/>
    <mergeCell ref="E8682:E8683"/>
    <mergeCell ref="F8682:H8682"/>
    <mergeCell ref="J8682:J8683"/>
    <mergeCell ref="K8682:L8683"/>
    <mergeCell ref="M8682:N8683"/>
    <mergeCell ref="O8682:P8683"/>
    <mergeCell ref="Q8682:R8683"/>
    <mergeCell ref="S8682:T8683"/>
    <mergeCell ref="U8682:V8683"/>
    <mergeCell ref="W8682:W8683"/>
    <mergeCell ref="X8682:AB8682"/>
    <mergeCell ref="AD8682:AI8682"/>
    <mergeCell ref="AJ8682:AL8682"/>
    <mergeCell ref="AN8682:AO8682"/>
    <mergeCell ref="AP8682:AQ8682"/>
    <mergeCell ref="AR8682:AS8683"/>
    <mergeCell ref="AT8682:AU8683"/>
    <mergeCell ref="AV8682:AW8683"/>
    <mergeCell ref="AX8682:AY8683"/>
    <mergeCell ref="AZ8682:AZ8683"/>
    <mergeCell ref="F8683:H8683"/>
    <mergeCell ref="X8683:AB8683"/>
    <mergeCell ref="AE8683:AI8683"/>
    <mergeCell ref="AJ8683:AL8683"/>
    <mergeCell ref="AN8683:AO8683"/>
    <mergeCell ref="AP8683:AQ8683"/>
    <mergeCell ref="A8684:A8685"/>
    <mergeCell ref="E8684:E8685"/>
    <mergeCell ref="F8684:H8684"/>
    <mergeCell ref="J8684:J8685"/>
    <mergeCell ref="K8684:L8685"/>
    <mergeCell ref="M8684:N8685"/>
    <mergeCell ref="O8684:P8685"/>
    <mergeCell ref="Q8684:R8685"/>
    <mergeCell ref="S8684:T8685"/>
    <mergeCell ref="U8684:V8685"/>
    <mergeCell ref="W8684:W8685"/>
    <mergeCell ref="X8684:AB8684"/>
    <mergeCell ref="AD8684:AI8684"/>
    <mergeCell ref="AJ8684:AL8684"/>
    <mergeCell ref="AN8684:AO8684"/>
    <mergeCell ref="AP8684:AQ8684"/>
    <mergeCell ref="AR8684:AS8685"/>
    <mergeCell ref="AT8684:AU8685"/>
    <mergeCell ref="AV8684:AW8685"/>
    <mergeCell ref="AX8684:AY8685"/>
    <mergeCell ref="AZ8684:AZ8685"/>
    <mergeCell ref="F8685:H8685"/>
    <mergeCell ref="X8685:AB8685"/>
    <mergeCell ref="AE8685:AI8685"/>
    <mergeCell ref="AJ8685:AL8685"/>
    <mergeCell ref="AN8685:AO8685"/>
    <mergeCell ref="AP8685:AQ8685"/>
    <mergeCell ref="A8686:A8687"/>
    <mergeCell ref="E8686:E8687"/>
    <mergeCell ref="F8686:H8686"/>
    <mergeCell ref="J8686:J8687"/>
    <mergeCell ref="K8686:L8687"/>
    <mergeCell ref="M8686:N8687"/>
    <mergeCell ref="O8686:P8687"/>
    <mergeCell ref="Q8686:R8687"/>
    <mergeCell ref="S8686:T8687"/>
    <mergeCell ref="U8686:V8687"/>
    <mergeCell ref="W8686:W8687"/>
    <mergeCell ref="X8686:AB8686"/>
    <mergeCell ref="AD8686:AI8686"/>
    <mergeCell ref="AJ8686:AL8686"/>
    <mergeCell ref="AN8686:AO8686"/>
    <mergeCell ref="AP8686:AQ8686"/>
    <mergeCell ref="AR8686:AS8687"/>
    <mergeCell ref="AT8686:AU8687"/>
    <mergeCell ref="AV8686:AW8687"/>
    <mergeCell ref="AX8686:AY8687"/>
    <mergeCell ref="AZ8686:AZ8687"/>
    <mergeCell ref="F8687:H8687"/>
    <mergeCell ref="X8687:AB8687"/>
    <mergeCell ref="AE8687:AI8687"/>
    <mergeCell ref="AJ8687:AL8687"/>
    <mergeCell ref="AN8687:AO8687"/>
    <mergeCell ref="AP8687:AQ8687"/>
    <mergeCell ref="A8688:A8689"/>
    <mergeCell ref="E8688:E8689"/>
    <mergeCell ref="F8688:H8688"/>
    <mergeCell ref="J8688:J8689"/>
    <mergeCell ref="K8688:L8689"/>
    <mergeCell ref="M8688:N8689"/>
    <mergeCell ref="O8688:P8689"/>
    <mergeCell ref="Q8688:R8689"/>
    <mergeCell ref="S8688:T8689"/>
    <mergeCell ref="U8688:V8689"/>
    <mergeCell ref="W8688:W8689"/>
    <mergeCell ref="X8688:AB8688"/>
    <mergeCell ref="AD8688:AI8688"/>
    <mergeCell ref="AJ8688:AL8688"/>
    <mergeCell ref="AN8688:AO8688"/>
    <mergeCell ref="AP8688:AQ8688"/>
    <mergeCell ref="AR8688:AS8689"/>
    <mergeCell ref="AT8688:AU8689"/>
    <mergeCell ref="AV8688:AW8689"/>
    <mergeCell ref="AX8688:AY8689"/>
    <mergeCell ref="AZ8688:AZ8689"/>
    <mergeCell ref="F8689:H8689"/>
    <mergeCell ref="X8689:AB8689"/>
    <mergeCell ref="AE8689:AI8689"/>
    <mergeCell ref="AJ8689:AL8689"/>
    <mergeCell ref="AN8689:AO8689"/>
    <mergeCell ref="AP8689:AQ8689"/>
    <mergeCell ref="A8690:A8691"/>
    <mergeCell ref="E8690:E8691"/>
    <mergeCell ref="F8690:H8690"/>
    <mergeCell ref="J8690:J8691"/>
    <mergeCell ref="K8690:L8691"/>
    <mergeCell ref="M8690:N8691"/>
    <mergeCell ref="O8690:P8691"/>
    <mergeCell ref="Q8690:R8691"/>
    <mergeCell ref="S8690:T8691"/>
    <mergeCell ref="U8690:V8691"/>
    <mergeCell ref="W8690:W8691"/>
    <mergeCell ref="X8690:AB8690"/>
    <mergeCell ref="AD8690:AI8690"/>
    <mergeCell ref="AJ8690:AL8690"/>
    <mergeCell ref="AN8690:AO8690"/>
    <mergeCell ref="AP8690:AQ8690"/>
    <mergeCell ref="AR8690:AS8691"/>
    <mergeCell ref="AT8690:AU8691"/>
    <mergeCell ref="AV8690:AW8691"/>
    <mergeCell ref="AX8690:AY8691"/>
    <mergeCell ref="AZ8690:AZ8691"/>
    <mergeCell ref="F8691:H8691"/>
    <mergeCell ref="X8691:AB8691"/>
    <mergeCell ref="AE8691:AI8691"/>
    <mergeCell ref="AJ8691:AL8691"/>
    <mergeCell ref="AN8691:AO8691"/>
    <mergeCell ref="AP8691:AQ8691"/>
    <mergeCell ref="A8692:A8693"/>
    <mergeCell ref="E8692:E8693"/>
    <mergeCell ref="F8692:H8692"/>
    <mergeCell ref="J8692:J8693"/>
    <mergeCell ref="K8692:L8693"/>
    <mergeCell ref="M8692:N8693"/>
    <mergeCell ref="O8692:P8693"/>
    <mergeCell ref="Q8692:R8693"/>
    <mergeCell ref="S8692:T8693"/>
    <mergeCell ref="U8692:V8693"/>
    <mergeCell ref="W8692:W8693"/>
    <mergeCell ref="X8692:AB8692"/>
    <mergeCell ref="AD8692:AI8692"/>
    <mergeCell ref="AJ8692:AL8692"/>
    <mergeCell ref="AN8692:AO8692"/>
    <mergeCell ref="AP8692:AQ8692"/>
    <mergeCell ref="AR8692:AS8693"/>
    <mergeCell ref="AT8692:AU8693"/>
    <mergeCell ref="AV8692:AW8693"/>
    <mergeCell ref="AX8692:AY8693"/>
    <mergeCell ref="AZ8692:AZ8693"/>
    <mergeCell ref="F8693:H8693"/>
    <mergeCell ref="X8693:AB8693"/>
    <mergeCell ref="AE8693:AI8693"/>
    <mergeCell ref="AJ8693:AL8693"/>
    <mergeCell ref="AN8693:AO8693"/>
    <mergeCell ref="AP8693:AQ8693"/>
    <mergeCell ref="A8694:A8695"/>
    <mergeCell ref="E8694:E8695"/>
    <mergeCell ref="F8694:H8694"/>
    <mergeCell ref="J8694:J8695"/>
    <mergeCell ref="K8694:L8695"/>
    <mergeCell ref="M8694:N8695"/>
    <mergeCell ref="O8694:P8695"/>
    <mergeCell ref="Q8694:R8695"/>
    <mergeCell ref="S8694:T8695"/>
    <mergeCell ref="U8694:V8695"/>
    <mergeCell ref="W8694:W8695"/>
    <mergeCell ref="X8694:AB8694"/>
    <mergeCell ref="AD8694:AI8694"/>
    <mergeCell ref="AJ8694:AL8694"/>
    <mergeCell ref="AN8694:AO8694"/>
    <mergeCell ref="AP8694:AQ8694"/>
    <mergeCell ref="AR8694:AS8695"/>
    <mergeCell ref="AT8694:AU8695"/>
    <mergeCell ref="AV8694:AW8695"/>
    <mergeCell ref="AX8694:AY8695"/>
    <mergeCell ref="AZ8694:AZ8695"/>
    <mergeCell ref="F8695:H8695"/>
    <mergeCell ref="X8695:AB8695"/>
    <mergeCell ref="AE8695:AI8695"/>
    <mergeCell ref="AJ8695:AL8695"/>
    <mergeCell ref="AN8695:AO8695"/>
    <mergeCell ref="AP8695:AQ8695"/>
    <mergeCell ref="A8696:A8697"/>
    <mergeCell ref="E8696:E8697"/>
    <mergeCell ref="F8696:H8696"/>
    <mergeCell ref="J8696:J8697"/>
    <mergeCell ref="K8696:L8697"/>
    <mergeCell ref="M8696:N8697"/>
    <mergeCell ref="O8696:P8697"/>
    <mergeCell ref="Q8696:R8697"/>
    <mergeCell ref="S8696:T8697"/>
    <mergeCell ref="U8696:V8697"/>
    <mergeCell ref="W8696:W8697"/>
    <mergeCell ref="X8696:AB8696"/>
    <mergeCell ref="AD8696:AI8696"/>
    <mergeCell ref="AJ8696:AL8696"/>
    <mergeCell ref="AN8696:AO8696"/>
    <mergeCell ref="AP8696:AQ8696"/>
    <mergeCell ref="AR8696:AS8697"/>
    <mergeCell ref="AT8696:AU8697"/>
    <mergeCell ref="AV8696:AW8697"/>
    <mergeCell ref="AX8696:AY8697"/>
    <mergeCell ref="AZ8696:AZ8697"/>
    <mergeCell ref="F8697:H8697"/>
    <mergeCell ref="X8697:AB8697"/>
    <mergeCell ref="AE8697:AI8697"/>
    <mergeCell ref="AJ8697:AL8697"/>
    <mergeCell ref="AN8697:AO8697"/>
    <mergeCell ref="AP8697:AQ8697"/>
    <mergeCell ref="A8698:A8699"/>
    <mergeCell ref="E8698:E8699"/>
    <mergeCell ref="F8698:H8698"/>
    <mergeCell ref="J8698:J8699"/>
    <mergeCell ref="K8698:L8699"/>
    <mergeCell ref="M8698:N8699"/>
    <mergeCell ref="O8698:P8699"/>
    <mergeCell ref="Q8698:R8699"/>
    <mergeCell ref="S8698:T8699"/>
    <mergeCell ref="U8698:V8699"/>
    <mergeCell ref="W8698:W8699"/>
    <mergeCell ref="X8698:AB8698"/>
    <mergeCell ref="AD8698:AI8698"/>
    <mergeCell ref="AJ8698:AL8698"/>
    <mergeCell ref="AN8698:AO8698"/>
    <mergeCell ref="AP8698:AQ8698"/>
    <mergeCell ref="AR8698:AS8699"/>
    <mergeCell ref="AT8698:AU8699"/>
    <mergeCell ref="AV8698:AW8699"/>
    <mergeCell ref="AX8698:AY8699"/>
    <mergeCell ref="AZ8698:AZ8699"/>
    <mergeCell ref="F8699:H8699"/>
    <mergeCell ref="X8699:AB8699"/>
    <mergeCell ref="AE8699:AI8699"/>
    <mergeCell ref="AJ8699:AL8699"/>
    <mergeCell ref="AN8699:AO8699"/>
    <mergeCell ref="AP8699:AQ8699"/>
    <mergeCell ref="A8700:A8701"/>
    <mergeCell ref="E8700:E8701"/>
    <mergeCell ref="F8700:H8700"/>
    <mergeCell ref="J8700:J8701"/>
    <mergeCell ref="K8700:L8701"/>
    <mergeCell ref="M8700:N8701"/>
    <mergeCell ref="O8700:P8701"/>
    <mergeCell ref="Q8700:R8701"/>
    <mergeCell ref="S8700:T8701"/>
    <mergeCell ref="U8700:V8701"/>
    <mergeCell ref="W8700:W8701"/>
    <mergeCell ref="X8700:AB8700"/>
    <mergeCell ref="AD8700:AI8700"/>
    <mergeCell ref="AJ8700:AL8700"/>
    <mergeCell ref="AN8700:AO8700"/>
    <mergeCell ref="AP8700:AQ8700"/>
    <mergeCell ref="AR8700:AS8701"/>
    <mergeCell ref="AT8700:AU8701"/>
    <mergeCell ref="AV8700:AW8701"/>
    <mergeCell ref="AX8700:AY8701"/>
    <mergeCell ref="AZ8700:AZ8701"/>
    <mergeCell ref="F8701:H8701"/>
    <mergeCell ref="X8701:AB8701"/>
    <mergeCell ref="AE8701:AI8701"/>
    <mergeCell ref="AJ8701:AL8701"/>
    <mergeCell ref="AN8701:AO8701"/>
    <mergeCell ref="AP8701:AQ8701"/>
    <mergeCell ref="A8702:A8703"/>
    <mergeCell ref="E8702:E8703"/>
    <mergeCell ref="F8702:H8702"/>
    <mergeCell ref="J8702:J8703"/>
    <mergeCell ref="K8702:L8703"/>
    <mergeCell ref="M8702:N8703"/>
    <mergeCell ref="O8702:P8703"/>
    <mergeCell ref="Q8702:R8703"/>
    <mergeCell ref="S8702:T8703"/>
    <mergeCell ref="U8702:V8703"/>
    <mergeCell ref="W8702:W8703"/>
    <mergeCell ref="X8702:AB8702"/>
    <mergeCell ref="AD8702:AI8702"/>
    <mergeCell ref="AJ8702:AL8702"/>
    <mergeCell ref="AN8702:AO8702"/>
    <mergeCell ref="AP8702:AQ8702"/>
    <mergeCell ref="AR8702:AS8703"/>
    <mergeCell ref="AT8702:AU8703"/>
    <mergeCell ref="AV8702:AW8703"/>
    <mergeCell ref="AX8702:AY8703"/>
    <mergeCell ref="AZ8702:AZ8703"/>
    <mergeCell ref="F8703:H8703"/>
    <mergeCell ref="X8703:AB8703"/>
    <mergeCell ref="AE8703:AI8703"/>
    <mergeCell ref="AJ8703:AL8703"/>
    <mergeCell ref="AN8703:AO8703"/>
    <mergeCell ref="AP8703:AQ8703"/>
    <mergeCell ref="A8704:A8705"/>
    <mergeCell ref="E8704:E8705"/>
    <mergeCell ref="F8704:H8704"/>
    <mergeCell ref="J8704:J8705"/>
    <mergeCell ref="K8704:L8705"/>
    <mergeCell ref="M8704:N8705"/>
    <mergeCell ref="O8704:P8705"/>
    <mergeCell ref="Q8704:R8705"/>
    <mergeCell ref="S8704:T8705"/>
    <mergeCell ref="U8704:V8705"/>
    <mergeCell ref="W8704:W8705"/>
    <mergeCell ref="X8704:AB8704"/>
    <mergeCell ref="AD8704:AI8704"/>
    <mergeCell ref="AJ8704:AL8704"/>
    <mergeCell ref="AN8704:AO8704"/>
    <mergeCell ref="AP8704:AQ8704"/>
    <mergeCell ref="AR8704:AS8705"/>
    <mergeCell ref="AT8704:AU8705"/>
    <mergeCell ref="AV8704:AW8705"/>
    <mergeCell ref="AX8704:AY8705"/>
    <mergeCell ref="AZ8704:AZ8705"/>
    <mergeCell ref="F8705:H8705"/>
    <mergeCell ref="X8705:AB8705"/>
    <mergeCell ref="AE8705:AI8705"/>
    <mergeCell ref="AJ8705:AL8705"/>
    <mergeCell ref="AN8705:AO8705"/>
    <mergeCell ref="AP8705:AQ8705"/>
    <mergeCell ref="A8706:A8707"/>
    <mergeCell ref="E8706:E8707"/>
    <mergeCell ref="F8706:H8706"/>
    <mergeCell ref="J8706:J8707"/>
    <mergeCell ref="K8706:L8707"/>
    <mergeCell ref="M8706:N8707"/>
    <mergeCell ref="O8706:P8707"/>
    <mergeCell ref="Q8706:R8707"/>
    <mergeCell ref="S8706:T8707"/>
    <mergeCell ref="U8706:V8707"/>
    <mergeCell ref="W8706:W8707"/>
    <mergeCell ref="X8706:AB8706"/>
    <mergeCell ref="AD8706:AI8706"/>
    <mergeCell ref="AJ8706:AL8706"/>
    <mergeCell ref="AN8706:AO8706"/>
    <mergeCell ref="AP8706:AQ8706"/>
    <mergeCell ref="AR8706:AS8707"/>
    <mergeCell ref="AT8706:AU8707"/>
    <mergeCell ref="AV8706:AW8707"/>
    <mergeCell ref="AX8706:AY8707"/>
    <mergeCell ref="AZ8706:AZ8707"/>
    <mergeCell ref="F8707:H8707"/>
    <mergeCell ref="X8707:AB8707"/>
    <mergeCell ref="AE8707:AI8707"/>
    <mergeCell ref="AJ8707:AL8707"/>
    <mergeCell ref="AN8707:AO8707"/>
    <mergeCell ref="AP8707:AQ8707"/>
    <mergeCell ref="A8708:A8709"/>
    <mergeCell ref="E8708:E8709"/>
    <mergeCell ref="F8708:H8708"/>
    <mergeCell ref="J8708:J8709"/>
    <mergeCell ref="K8708:L8709"/>
    <mergeCell ref="M8708:N8709"/>
    <mergeCell ref="O8708:P8709"/>
    <mergeCell ref="Q8708:R8709"/>
    <mergeCell ref="S8708:T8709"/>
    <mergeCell ref="U8708:V8709"/>
    <mergeCell ref="W8708:W8709"/>
    <mergeCell ref="X8708:AB8708"/>
    <mergeCell ref="AD8708:AI8708"/>
    <mergeCell ref="AJ8708:AL8708"/>
    <mergeCell ref="AN8708:AO8708"/>
    <mergeCell ref="AP8708:AQ8708"/>
    <mergeCell ref="AR8708:AS8709"/>
    <mergeCell ref="AT8708:AU8709"/>
    <mergeCell ref="AV8708:AW8709"/>
    <mergeCell ref="AX8708:AY8709"/>
    <mergeCell ref="AZ8708:AZ8709"/>
    <mergeCell ref="F8709:H8709"/>
    <mergeCell ref="X8709:AB8709"/>
    <mergeCell ref="AE8709:AI8709"/>
    <mergeCell ref="AJ8709:AL8709"/>
    <mergeCell ref="AN8709:AO8709"/>
    <mergeCell ref="AP8709:AQ8709"/>
    <mergeCell ref="A8710:A8711"/>
    <mergeCell ref="E8710:E8711"/>
    <mergeCell ref="F8710:H8710"/>
    <mergeCell ref="J8710:J8711"/>
    <mergeCell ref="K8710:L8711"/>
    <mergeCell ref="M8710:N8711"/>
    <mergeCell ref="O8710:P8711"/>
    <mergeCell ref="Q8710:R8711"/>
    <mergeCell ref="S8710:T8711"/>
    <mergeCell ref="U8710:V8711"/>
    <mergeCell ref="W8710:W8711"/>
    <mergeCell ref="X8710:AB8710"/>
    <mergeCell ref="AD8710:AI8710"/>
    <mergeCell ref="AJ8710:AL8710"/>
    <mergeCell ref="AN8710:AO8710"/>
    <mergeCell ref="AP8710:AQ8710"/>
    <mergeCell ref="AR8710:AS8711"/>
    <mergeCell ref="AT8710:AU8711"/>
    <mergeCell ref="AV8710:AW8711"/>
    <mergeCell ref="AX8710:AY8711"/>
    <mergeCell ref="AZ8710:AZ8711"/>
    <mergeCell ref="F8711:H8711"/>
    <mergeCell ref="X8711:AB8711"/>
    <mergeCell ref="AE8711:AI8711"/>
    <mergeCell ref="AJ8711:AL8711"/>
    <mergeCell ref="AN8711:AO8711"/>
    <mergeCell ref="AP8711:AQ8711"/>
    <mergeCell ref="A8712:A8713"/>
    <mergeCell ref="E8712:E8713"/>
    <mergeCell ref="F8712:H8712"/>
    <mergeCell ref="J8712:J8713"/>
    <mergeCell ref="K8712:L8713"/>
    <mergeCell ref="M8712:N8713"/>
    <mergeCell ref="O8712:P8713"/>
    <mergeCell ref="Q8712:R8713"/>
    <mergeCell ref="S8712:T8713"/>
    <mergeCell ref="U8712:V8713"/>
    <mergeCell ref="W8712:W8713"/>
    <mergeCell ref="X8712:AB8712"/>
    <mergeCell ref="AD8712:AI8712"/>
    <mergeCell ref="AJ8712:AL8712"/>
    <mergeCell ref="AN8712:AO8712"/>
    <mergeCell ref="AP8712:AQ8712"/>
    <mergeCell ref="AR8712:AS8713"/>
    <mergeCell ref="AT8712:AU8713"/>
    <mergeCell ref="AV8712:AW8713"/>
    <mergeCell ref="AX8712:AY8713"/>
    <mergeCell ref="AZ8712:AZ8713"/>
    <mergeCell ref="F8713:H8713"/>
    <mergeCell ref="X8713:AB8713"/>
    <mergeCell ref="AE8713:AI8713"/>
    <mergeCell ref="AJ8713:AL8713"/>
    <mergeCell ref="AN8713:AO8713"/>
    <mergeCell ref="AP8713:AQ8713"/>
    <mergeCell ref="A8714:A8715"/>
    <mergeCell ref="E8714:E8715"/>
    <mergeCell ref="F8714:H8714"/>
    <mergeCell ref="J8714:J8715"/>
    <mergeCell ref="K8714:L8715"/>
    <mergeCell ref="M8714:N8715"/>
    <mergeCell ref="O8714:P8715"/>
    <mergeCell ref="Q8714:R8715"/>
    <mergeCell ref="S8714:T8715"/>
    <mergeCell ref="U8714:V8715"/>
    <mergeCell ref="W8714:W8715"/>
    <mergeCell ref="X8714:AB8714"/>
    <mergeCell ref="AD8714:AI8714"/>
    <mergeCell ref="AJ8714:AL8714"/>
    <mergeCell ref="AN8714:AO8714"/>
    <mergeCell ref="AP8714:AQ8714"/>
    <mergeCell ref="AR8714:AS8715"/>
    <mergeCell ref="AT8714:AU8715"/>
    <mergeCell ref="AV8714:AW8715"/>
    <mergeCell ref="AX8714:AY8715"/>
    <mergeCell ref="AZ8714:AZ8715"/>
    <mergeCell ref="F8715:H8715"/>
    <mergeCell ref="X8715:AB8715"/>
    <mergeCell ref="AE8715:AI8715"/>
    <mergeCell ref="AJ8715:AL8715"/>
    <mergeCell ref="AN8715:AO8715"/>
    <mergeCell ref="AP8715:AQ8715"/>
    <mergeCell ref="A8716:A8717"/>
    <mergeCell ref="E8716:E8717"/>
    <mergeCell ref="F8716:H8716"/>
    <mergeCell ref="J8716:J8717"/>
    <mergeCell ref="K8716:L8717"/>
    <mergeCell ref="M8716:N8717"/>
    <mergeCell ref="O8716:P8717"/>
    <mergeCell ref="Q8716:R8717"/>
    <mergeCell ref="S8716:T8717"/>
    <mergeCell ref="U8716:V8717"/>
    <mergeCell ref="W8716:W8717"/>
    <mergeCell ref="X8716:AB8716"/>
    <mergeCell ref="AD8716:AI8716"/>
    <mergeCell ref="AJ8716:AL8716"/>
    <mergeCell ref="AN8716:AO8716"/>
    <mergeCell ref="AP8716:AQ8716"/>
    <mergeCell ref="AR8716:AS8717"/>
    <mergeCell ref="AT8716:AU8717"/>
    <mergeCell ref="AV8716:AW8717"/>
    <mergeCell ref="AX8716:AY8717"/>
    <mergeCell ref="AZ8716:AZ8717"/>
    <mergeCell ref="F8717:H8717"/>
    <mergeCell ref="X8717:AB8717"/>
    <mergeCell ref="AE8717:AI8717"/>
    <mergeCell ref="AJ8717:AL8717"/>
    <mergeCell ref="AN8717:AO8717"/>
    <mergeCell ref="AP8717:AQ8717"/>
    <mergeCell ref="A8718:A8719"/>
    <mergeCell ref="E8718:E8719"/>
    <mergeCell ref="F8718:H8718"/>
    <mergeCell ref="J8718:J8719"/>
    <mergeCell ref="K8718:L8719"/>
    <mergeCell ref="M8718:N8719"/>
    <mergeCell ref="O8718:P8719"/>
    <mergeCell ref="Q8718:R8719"/>
    <mergeCell ref="S8718:T8719"/>
    <mergeCell ref="U8718:V8719"/>
    <mergeCell ref="W8718:W8719"/>
    <mergeCell ref="X8718:AB8718"/>
    <mergeCell ref="AD8718:AI8718"/>
    <mergeCell ref="AJ8718:AL8718"/>
    <mergeCell ref="AN8718:AO8718"/>
    <mergeCell ref="AP8718:AQ8718"/>
    <mergeCell ref="AR8718:AS8719"/>
    <mergeCell ref="AT8718:AU8719"/>
    <mergeCell ref="AV8718:AW8719"/>
    <mergeCell ref="AX8718:AY8719"/>
    <mergeCell ref="AZ8718:AZ8719"/>
    <mergeCell ref="F8719:H8719"/>
    <mergeCell ref="X8719:AB8719"/>
    <mergeCell ref="AE8719:AI8719"/>
    <mergeCell ref="AJ8719:AL8719"/>
    <mergeCell ref="AN8719:AO8719"/>
    <mergeCell ref="AP8719:AQ8719"/>
    <mergeCell ref="A8720:A8721"/>
    <mergeCell ref="E8720:E8721"/>
    <mergeCell ref="F8720:H8720"/>
    <mergeCell ref="J8720:J8721"/>
    <mergeCell ref="K8720:L8721"/>
    <mergeCell ref="M8720:N8721"/>
    <mergeCell ref="O8720:P8721"/>
    <mergeCell ref="Q8720:R8721"/>
    <mergeCell ref="S8720:T8721"/>
    <mergeCell ref="U8720:V8721"/>
    <mergeCell ref="W8720:W8721"/>
    <mergeCell ref="X8720:AB8720"/>
    <mergeCell ref="AD8720:AI8720"/>
    <mergeCell ref="AJ8720:AL8720"/>
    <mergeCell ref="AN8720:AO8720"/>
    <mergeCell ref="AP8720:AQ8720"/>
    <mergeCell ref="AR8720:AS8721"/>
    <mergeCell ref="AT8720:AU8721"/>
    <mergeCell ref="AV8720:AW8721"/>
    <mergeCell ref="AX8720:AY8721"/>
    <mergeCell ref="AZ8720:AZ8721"/>
    <mergeCell ref="F8721:H8721"/>
    <mergeCell ref="X8721:AB8721"/>
    <mergeCell ref="AE8721:AI8721"/>
    <mergeCell ref="AJ8721:AL8721"/>
    <mergeCell ref="AN8721:AO8721"/>
    <mergeCell ref="AP8721:AQ8721"/>
    <mergeCell ref="A8722:A8723"/>
    <mergeCell ref="E8722:E8723"/>
    <mergeCell ref="F8722:H8722"/>
    <mergeCell ref="J8722:J8723"/>
    <mergeCell ref="K8722:L8723"/>
    <mergeCell ref="M8722:N8723"/>
    <mergeCell ref="O8722:P8723"/>
    <mergeCell ref="Q8722:R8723"/>
    <mergeCell ref="S8722:T8723"/>
    <mergeCell ref="U8722:V8723"/>
    <mergeCell ref="W8722:W8723"/>
    <mergeCell ref="X8722:AB8722"/>
    <mergeCell ref="AD8722:AI8722"/>
    <mergeCell ref="AJ8722:AL8722"/>
    <mergeCell ref="AN8722:AO8722"/>
    <mergeCell ref="AP8722:AQ8722"/>
    <mergeCell ref="AR8722:AS8723"/>
    <mergeCell ref="AT8722:AU8723"/>
    <mergeCell ref="AV8722:AW8723"/>
    <mergeCell ref="AX8722:AY8723"/>
    <mergeCell ref="AZ8722:AZ8723"/>
    <mergeCell ref="F8723:H8723"/>
    <mergeCell ref="X8723:AB8723"/>
    <mergeCell ref="AE8723:AI8723"/>
    <mergeCell ref="AJ8723:AL8723"/>
    <mergeCell ref="AN8723:AO8723"/>
    <mergeCell ref="AP8723:AQ8723"/>
    <mergeCell ref="A8724:A8725"/>
    <mergeCell ref="E8724:E8725"/>
    <mergeCell ref="F8724:H8724"/>
    <mergeCell ref="J8724:J8725"/>
    <mergeCell ref="K8724:L8725"/>
    <mergeCell ref="M8724:N8725"/>
    <mergeCell ref="O8724:P8725"/>
    <mergeCell ref="Q8724:R8725"/>
    <mergeCell ref="S8724:T8725"/>
    <mergeCell ref="U8724:V8725"/>
    <mergeCell ref="W8724:W8725"/>
    <mergeCell ref="X8724:AB8724"/>
    <mergeCell ref="AD8724:AI8724"/>
    <mergeCell ref="AJ8724:AL8724"/>
    <mergeCell ref="AN8724:AO8724"/>
    <mergeCell ref="AP8724:AQ8724"/>
    <mergeCell ref="AR8724:AS8725"/>
    <mergeCell ref="AT8724:AU8725"/>
    <mergeCell ref="AV8724:AW8725"/>
    <mergeCell ref="AX8724:AY8725"/>
    <mergeCell ref="AZ8724:AZ8725"/>
    <mergeCell ref="F8725:H8725"/>
    <mergeCell ref="X8725:AB8725"/>
    <mergeCell ref="AE8725:AI8725"/>
    <mergeCell ref="AJ8725:AL8725"/>
    <mergeCell ref="AN8725:AO8725"/>
    <mergeCell ref="AP8725:AQ8725"/>
    <mergeCell ref="A8726:A8727"/>
    <mergeCell ref="E8726:E8727"/>
    <mergeCell ref="F8726:H8726"/>
    <mergeCell ref="J8726:J8727"/>
    <mergeCell ref="K8726:L8727"/>
    <mergeCell ref="M8726:N8727"/>
    <mergeCell ref="O8726:P8727"/>
    <mergeCell ref="Q8726:R8727"/>
    <mergeCell ref="S8726:T8727"/>
    <mergeCell ref="U8726:V8727"/>
    <mergeCell ref="W8726:W8727"/>
    <mergeCell ref="X8726:AB8726"/>
    <mergeCell ref="AD8726:AI8726"/>
    <mergeCell ref="AJ8726:AL8726"/>
    <mergeCell ref="AN8726:AO8726"/>
    <mergeCell ref="AP8726:AQ8726"/>
    <mergeCell ref="AR8726:AS8727"/>
    <mergeCell ref="AT8726:AU8727"/>
    <mergeCell ref="AV8726:AW8727"/>
    <mergeCell ref="AX8726:AY8727"/>
    <mergeCell ref="AZ8726:AZ8727"/>
    <mergeCell ref="F8727:H8727"/>
    <mergeCell ref="X8727:AB8727"/>
    <mergeCell ref="AE8727:AI8727"/>
    <mergeCell ref="AJ8727:AL8727"/>
    <mergeCell ref="AN8727:AO8727"/>
    <mergeCell ref="AP8727:AQ8727"/>
    <mergeCell ref="A8728:A8729"/>
    <mergeCell ref="E8728:E8729"/>
    <mergeCell ref="F8728:H8728"/>
    <mergeCell ref="J8728:J8729"/>
    <mergeCell ref="K8728:L8729"/>
    <mergeCell ref="M8728:N8729"/>
    <mergeCell ref="O8728:P8729"/>
    <mergeCell ref="Q8728:R8729"/>
    <mergeCell ref="S8728:T8729"/>
    <mergeCell ref="U8728:V8729"/>
    <mergeCell ref="W8728:W8729"/>
    <mergeCell ref="X8728:AB8728"/>
    <mergeCell ref="AD8728:AI8728"/>
    <mergeCell ref="AJ8728:AL8728"/>
    <mergeCell ref="AN8728:AO8728"/>
    <mergeCell ref="AP8728:AQ8728"/>
    <mergeCell ref="AR8728:AS8729"/>
    <mergeCell ref="AT8728:AU8729"/>
    <mergeCell ref="AV8728:AW8729"/>
    <mergeCell ref="AX8728:AY8729"/>
    <mergeCell ref="AZ8728:AZ8729"/>
    <mergeCell ref="F8729:H8729"/>
    <mergeCell ref="X8729:AB8729"/>
    <mergeCell ref="AE8729:AI8729"/>
    <mergeCell ref="AJ8729:AL8729"/>
    <mergeCell ref="AN8729:AO8729"/>
    <mergeCell ref="AP8729:AQ8729"/>
    <mergeCell ref="A8730:A8731"/>
    <mergeCell ref="E8730:E8731"/>
    <mergeCell ref="F8730:H8730"/>
    <mergeCell ref="J8730:J8731"/>
    <mergeCell ref="K8730:L8731"/>
    <mergeCell ref="M8730:N8731"/>
    <mergeCell ref="O8730:P8731"/>
    <mergeCell ref="Q8730:R8731"/>
    <mergeCell ref="S8730:T8731"/>
    <mergeCell ref="U8730:V8731"/>
    <mergeCell ref="W8730:W8731"/>
    <mergeCell ref="X8730:AB8730"/>
    <mergeCell ref="AD8730:AI8730"/>
    <mergeCell ref="AJ8730:AL8730"/>
    <mergeCell ref="AN8730:AO8730"/>
    <mergeCell ref="AP8730:AQ8730"/>
    <mergeCell ref="AR8730:AS8731"/>
    <mergeCell ref="AT8730:AU8731"/>
    <mergeCell ref="AV8730:AW8731"/>
    <mergeCell ref="AX8730:AY8731"/>
    <mergeCell ref="AZ8730:AZ8731"/>
    <mergeCell ref="F8731:H8731"/>
    <mergeCell ref="X8731:AB8731"/>
    <mergeCell ref="AE8731:AI8731"/>
    <mergeCell ref="AJ8731:AL8731"/>
    <mergeCell ref="AN8731:AO8731"/>
    <mergeCell ref="AP8731:AQ8731"/>
    <mergeCell ref="A8732:A8733"/>
    <mergeCell ref="E8732:E8733"/>
    <mergeCell ref="F8732:H8732"/>
    <mergeCell ref="J8732:J8733"/>
    <mergeCell ref="K8732:L8733"/>
    <mergeCell ref="M8732:N8733"/>
    <mergeCell ref="O8732:P8733"/>
    <mergeCell ref="Q8732:R8733"/>
    <mergeCell ref="S8732:T8733"/>
    <mergeCell ref="U8732:V8733"/>
    <mergeCell ref="W8732:W8733"/>
    <mergeCell ref="X8732:AB8732"/>
    <mergeCell ref="AD8732:AI8732"/>
    <mergeCell ref="AJ8732:AL8732"/>
    <mergeCell ref="AN8732:AO8732"/>
    <mergeCell ref="AP8732:AQ8732"/>
    <mergeCell ref="AR8732:AS8733"/>
    <mergeCell ref="AT8732:AU8733"/>
    <mergeCell ref="AV8732:AW8733"/>
    <mergeCell ref="AX8732:AY8733"/>
    <mergeCell ref="AZ8732:AZ8733"/>
    <mergeCell ref="F8733:H8733"/>
    <mergeCell ref="X8733:AB8733"/>
    <mergeCell ref="AE8733:AI8733"/>
    <mergeCell ref="AJ8733:AL8733"/>
    <mergeCell ref="AN8733:AO8733"/>
    <mergeCell ref="AP8733:AQ8733"/>
    <mergeCell ref="A8734:A8735"/>
    <mergeCell ref="E8734:E8735"/>
    <mergeCell ref="F8734:H8734"/>
    <mergeCell ref="J8734:J8735"/>
    <mergeCell ref="K8734:L8735"/>
    <mergeCell ref="M8734:N8735"/>
    <mergeCell ref="O8734:P8735"/>
    <mergeCell ref="Q8734:R8735"/>
    <mergeCell ref="S8734:T8735"/>
    <mergeCell ref="U8734:V8735"/>
    <mergeCell ref="W8734:W8735"/>
    <mergeCell ref="X8734:AB8734"/>
    <mergeCell ref="AD8734:AI8734"/>
    <mergeCell ref="AJ8734:AL8734"/>
    <mergeCell ref="AN8734:AO8734"/>
    <mergeCell ref="AP8734:AQ8734"/>
    <mergeCell ref="AR8734:AS8735"/>
    <mergeCell ref="AT8734:AU8735"/>
    <mergeCell ref="AV8734:AW8735"/>
    <mergeCell ref="AX8734:AY8735"/>
    <mergeCell ref="AZ8734:AZ8735"/>
    <mergeCell ref="F8735:H8735"/>
    <mergeCell ref="X8735:AB8735"/>
    <mergeCell ref="AE8735:AI8735"/>
    <mergeCell ref="AJ8735:AL8735"/>
    <mergeCell ref="AN8735:AO8735"/>
    <mergeCell ref="AP8735:AQ8735"/>
    <mergeCell ref="A8736:A8737"/>
    <mergeCell ref="E8736:E8737"/>
    <mergeCell ref="F8736:H8736"/>
    <mergeCell ref="J8736:J8737"/>
    <mergeCell ref="K8736:L8737"/>
    <mergeCell ref="M8736:N8737"/>
    <mergeCell ref="O8736:P8737"/>
    <mergeCell ref="Q8736:R8737"/>
    <mergeCell ref="S8736:T8737"/>
    <mergeCell ref="U8736:V8737"/>
    <mergeCell ref="W8736:W8737"/>
    <mergeCell ref="X8736:AB8736"/>
    <mergeCell ref="AD8736:AI8736"/>
    <mergeCell ref="AJ8736:AL8736"/>
    <mergeCell ref="AN8736:AO8736"/>
    <mergeCell ref="AP8736:AQ8736"/>
    <mergeCell ref="AR8736:AS8737"/>
    <mergeCell ref="AT8736:AU8737"/>
    <mergeCell ref="AV8736:AW8737"/>
    <mergeCell ref="AX8736:AY8737"/>
    <mergeCell ref="AZ8736:AZ8737"/>
    <mergeCell ref="F8737:H8737"/>
    <mergeCell ref="X8737:AB8737"/>
    <mergeCell ref="AE8737:AI8737"/>
    <mergeCell ref="AJ8737:AL8737"/>
    <mergeCell ref="AN8737:AO8737"/>
    <mergeCell ref="AP8737:AQ8737"/>
    <mergeCell ref="A8738:A8739"/>
    <mergeCell ref="E8738:E8739"/>
    <mergeCell ref="F8738:H8738"/>
    <mergeCell ref="J8738:J8739"/>
    <mergeCell ref="K8738:L8739"/>
    <mergeCell ref="M8738:N8739"/>
    <mergeCell ref="O8738:P8739"/>
    <mergeCell ref="Q8738:R8739"/>
    <mergeCell ref="S8738:T8739"/>
    <mergeCell ref="U8738:V8739"/>
    <mergeCell ref="W8738:W8739"/>
    <mergeCell ref="X8738:AB8738"/>
    <mergeCell ref="AD8738:AI8738"/>
    <mergeCell ref="AJ8738:AL8738"/>
    <mergeCell ref="AN8738:AO8738"/>
    <mergeCell ref="AP8738:AQ8738"/>
    <mergeCell ref="AR8738:AS8739"/>
    <mergeCell ref="AT8738:AU8739"/>
    <mergeCell ref="AV8738:AW8739"/>
    <mergeCell ref="AX8738:AY8739"/>
    <mergeCell ref="AZ8738:AZ8739"/>
    <mergeCell ref="F8739:H8739"/>
    <mergeCell ref="X8739:AB8739"/>
    <mergeCell ref="AE8739:AI8739"/>
    <mergeCell ref="AJ8739:AL8739"/>
    <mergeCell ref="AN8739:AO8739"/>
    <mergeCell ref="AP8739:AQ8739"/>
    <mergeCell ref="A8740:A8741"/>
    <mergeCell ref="E8740:E8741"/>
    <mergeCell ref="F8740:H8740"/>
    <mergeCell ref="J8740:J8741"/>
    <mergeCell ref="K8740:L8741"/>
    <mergeCell ref="M8740:N8741"/>
    <mergeCell ref="O8740:P8741"/>
    <mergeCell ref="Q8740:R8741"/>
    <mergeCell ref="S8740:T8741"/>
    <mergeCell ref="U8740:V8741"/>
    <mergeCell ref="W8740:W8741"/>
    <mergeCell ref="X8740:AB8740"/>
    <mergeCell ref="AD8740:AI8740"/>
    <mergeCell ref="AJ8740:AL8740"/>
    <mergeCell ref="AN8740:AO8740"/>
    <mergeCell ref="AP8740:AQ8740"/>
    <mergeCell ref="AR8740:AS8741"/>
    <mergeCell ref="AT8740:AU8741"/>
    <mergeCell ref="AV8740:AW8741"/>
    <mergeCell ref="AX8740:AY8741"/>
    <mergeCell ref="AZ8740:AZ8741"/>
    <mergeCell ref="F8741:H8741"/>
    <mergeCell ref="X8741:AB8741"/>
    <mergeCell ref="AE8741:AI8741"/>
    <mergeCell ref="AJ8741:AL8741"/>
    <mergeCell ref="AN8741:AO8741"/>
    <mergeCell ref="AP8741:AQ8741"/>
    <mergeCell ref="A8742:A8743"/>
    <mergeCell ref="E8742:E8743"/>
    <mergeCell ref="F8742:H8742"/>
    <mergeCell ref="J8742:J8743"/>
    <mergeCell ref="K8742:L8743"/>
    <mergeCell ref="M8742:N8743"/>
    <mergeCell ref="O8742:P8743"/>
    <mergeCell ref="Q8742:R8743"/>
    <mergeCell ref="S8742:T8743"/>
    <mergeCell ref="U8742:V8743"/>
    <mergeCell ref="W8742:W8743"/>
    <mergeCell ref="X8742:AB8742"/>
    <mergeCell ref="AD8742:AI8742"/>
    <mergeCell ref="AJ8742:AL8742"/>
    <mergeCell ref="AN8742:AO8742"/>
    <mergeCell ref="AP8742:AQ8742"/>
    <mergeCell ref="AR8742:AS8743"/>
    <mergeCell ref="AT8742:AU8743"/>
    <mergeCell ref="AV8742:AW8743"/>
    <mergeCell ref="AX8742:AY8743"/>
    <mergeCell ref="AZ8742:AZ8743"/>
    <mergeCell ref="F8743:H8743"/>
    <mergeCell ref="X8743:AB8743"/>
    <mergeCell ref="AE8743:AI8743"/>
    <mergeCell ref="AJ8743:AL8743"/>
    <mergeCell ref="AN8743:AO8743"/>
    <mergeCell ref="AP8743:AQ8743"/>
    <mergeCell ref="A8744:A8745"/>
    <mergeCell ref="E8744:E8745"/>
    <mergeCell ref="F8744:H8744"/>
    <mergeCell ref="J8744:J8745"/>
    <mergeCell ref="K8744:L8745"/>
    <mergeCell ref="M8744:N8745"/>
    <mergeCell ref="O8744:P8745"/>
    <mergeCell ref="Q8744:R8745"/>
    <mergeCell ref="S8744:T8745"/>
    <mergeCell ref="U8744:V8745"/>
    <mergeCell ref="W8744:W8745"/>
    <mergeCell ref="X8744:AB8744"/>
    <mergeCell ref="AD8744:AI8744"/>
    <mergeCell ref="AJ8744:AL8744"/>
    <mergeCell ref="AN8744:AO8744"/>
    <mergeCell ref="AP8744:AQ8744"/>
    <mergeCell ref="AR8744:AS8745"/>
    <mergeCell ref="AT8744:AU8745"/>
    <mergeCell ref="AV8744:AW8745"/>
    <mergeCell ref="AX8744:AY8745"/>
    <mergeCell ref="AZ8744:AZ8745"/>
    <mergeCell ref="F8745:H8745"/>
    <mergeCell ref="X8745:AB8745"/>
    <mergeCell ref="AE8745:AI8745"/>
    <mergeCell ref="AJ8745:AL8745"/>
    <mergeCell ref="AN8745:AO8745"/>
    <mergeCell ref="AP8745:AQ8745"/>
    <mergeCell ref="A8746:A8747"/>
    <mergeCell ref="E8746:E8747"/>
    <mergeCell ref="F8746:H8746"/>
    <mergeCell ref="J8746:J8747"/>
    <mergeCell ref="K8746:L8747"/>
    <mergeCell ref="M8746:N8747"/>
    <mergeCell ref="O8746:P8747"/>
    <mergeCell ref="Q8746:R8747"/>
    <mergeCell ref="S8746:T8747"/>
    <mergeCell ref="U8746:V8747"/>
    <mergeCell ref="W8746:W8747"/>
    <mergeCell ref="X8746:AB8746"/>
    <mergeCell ref="AD8746:AI8746"/>
    <mergeCell ref="AJ8746:AL8746"/>
    <mergeCell ref="AN8746:AO8746"/>
    <mergeCell ref="AP8746:AQ8746"/>
    <mergeCell ref="AR8746:AS8747"/>
    <mergeCell ref="AT8746:AU8747"/>
    <mergeCell ref="AV8746:AW8747"/>
    <mergeCell ref="AX8746:AY8747"/>
    <mergeCell ref="AZ8746:AZ8747"/>
    <mergeCell ref="F8747:H8747"/>
    <mergeCell ref="X8747:AB8747"/>
    <mergeCell ref="AE8747:AI8747"/>
    <mergeCell ref="AJ8747:AL8747"/>
    <mergeCell ref="AN8747:AO8747"/>
    <mergeCell ref="AP8747:AQ8747"/>
    <mergeCell ref="A8748:A8749"/>
    <mergeCell ref="E8748:E8749"/>
    <mergeCell ref="F8748:H8748"/>
    <mergeCell ref="J8748:J8749"/>
    <mergeCell ref="K8748:L8749"/>
    <mergeCell ref="M8748:N8749"/>
    <mergeCell ref="O8748:P8749"/>
    <mergeCell ref="Q8748:R8749"/>
    <mergeCell ref="S8748:T8749"/>
    <mergeCell ref="U8748:V8749"/>
    <mergeCell ref="W8748:W8749"/>
    <mergeCell ref="X8748:AB8748"/>
    <mergeCell ref="AD8748:AI8748"/>
    <mergeCell ref="AJ8748:AL8748"/>
    <mergeCell ref="AN8748:AO8748"/>
    <mergeCell ref="AP8748:AQ8748"/>
    <mergeCell ref="AR8748:AS8749"/>
    <mergeCell ref="AT8748:AU8749"/>
    <mergeCell ref="AV8748:AW8749"/>
    <mergeCell ref="AX8748:AY8749"/>
    <mergeCell ref="AZ8748:AZ8749"/>
    <mergeCell ref="F8749:H8749"/>
    <mergeCell ref="X8749:AB8749"/>
    <mergeCell ref="AE8749:AI8749"/>
    <mergeCell ref="AJ8749:AL8749"/>
    <mergeCell ref="AN8749:AO8749"/>
    <mergeCell ref="AP8749:AQ8749"/>
    <mergeCell ref="A8750:A8751"/>
    <mergeCell ref="E8750:E8751"/>
    <mergeCell ref="F8750:H8750"/>
    <mergeCell ref="J8750:J8751"/>
    <mergeCell ref="K8750:L8751"/>
    <mergeCell ref="M8750:N8751"/>
    <mergeCell ref="O8750:P8751"/>
    <mergeCell ref="Q8750:R8751"/>
    <mergeCell ref="S8750:T8751"/>
    <mergeCell ref="U8750:V8751"/>
    <mergeCell ref="W8750:W8751"/>
    <mergeCell ref="X8750:AB8750"/>
    <mergeCell ref="AD8750:AI8750"/>
    <mergeCell ref="AJ8750:AL8750"/>
    <mergeCell ref="AN8750:AO8750"/>
    <mergeCell ref="AP8750:AQ8750"/>
    <mergeCell ref="AR8750:AS8751"/>
    <mergeCell ref="AT8750:AU8751"/>
    <mergeCell ref="AV8750:AW8751"/>
    <mergeCell ref="AX8750:AY8751"/>
    <mergeCell ref="AZ8750:AZ8751"/>
    <mergeCell ref="F8751:H8751"/>
    <mergeCell ref="X8751:AB8751"/>
    <mergeCell ref="AE8751:AI8751"/>
    <mergeCell ref="AJ8751:AL8751"/>
    <mergeCell ref="AN8751:AO8751"/>
    <mergeCell ref="AP8751:AQ8751"/>
    <mergeCell ref="AZ8752:AZ8753"/>
    <mergeCell ref="F8753:H8753"/>
    <mergeCell ref="X8753:AB8753"/>
    <mergeCell ref="AE8753:AI8753"/>
    <mergeCell ref="AJ8753:AL8753"/>
    <mergeCell ref="AN8753:AO8753"/>
    <mergeCell ref="AP8753:AQ8753"/>
    <mergeCell ref="A8752:A8753"/>
    <mergeCell ref="E8752:E8753"/>
    <mergeCell ref="F8752:H8752"/>
    <mergeCell ref="J8752:J8753"/>
    <mergeCell ref="K8752:L8753"/>
    <mergeCell ref="M8752:N8753"/>
    <mergeCell ref="O8752:P8753"/>
    <mergeCell ref="Q8752:R8753"/>
    <mergeCell ref="S8752:T8753"/>
    <mergeCell ref="U8752:V8753"/>
    <mergeCell ref="W8752:W8753"/>
    <mergeCell ref="X8752:AB8752"/>
    <mergeCell ref="AD8752:AI8752"/>
    <mergeCell ref="AJ8752:AL8752"/>
    <mergeCell ref="AN8752:AO8752"/>
    <mergeCell ref="AP8752:AQ8752"/>
    <mergeCell ref="AR8752:AS8753"/>
    <mergeCell ref="AT8752:AU8753"/>
    <mergeCell ref="AV8752:AW8753"/>
    <mergeCell ref="AX8752:AY8753"/>
    <mergeCell ref="A8754:A8755"/>
    <mergeCell ref="E8754:E8755"/>
    <mergeCell ref="F8754:H8754"/>
    <mergeCell ref="J8754:J8755"/>
    <mergeCell ref="K8754:L8755"/>
    <mergeCell ref="M8754:N8755"/>
    <mergeCell ref="O8754:P8755"/>
    <mergeCell ref="Q8754:R8755"/>
    <mergeCell ref="S8754:T8755"/>
    <mergeCell ref="U8754:V8755"/>
    <mergeCell ref="W8754:W8755"/>
    <mergeCell ref="X8754:AB8754"/>
    <mergeCell ref="AD8754:AI8754"/>
    <mergeCell ref="AJ8754:AL8754"/>
    <mergeCell ref="AN8754:AO8754"/>
    <mergeCell ref="AP8754:AQ8754"/>
    <mergeCell ref="AR8754:AS8755"/>
    <mergeCell ref="AT8754:AU8755"/>
    <mergeCell ref="AV8754:AW8755"/>
    <mergeCell ref="AX8754:AY8755"/>
    <mergeCell ref="AZ8754:AZ8755"/>
    <mergeCell ref="F8755:H8755"/>
    <mergeCell ref="X8755:AB8755"/>
    <mergeCell ref="AE8755:AI8755"/>
    <mergeCell ref="AJ8755:AL8755"/>
    <mergeCell ref="AN8755:AO8755"/>
    <mergeCell ref="AP8755:AQ8755"/>
    <mergeCell ref="A8760:A8761"/>
    <mergeCell ref="E8760:E8761"/>
    <mergeCell ref="F8760:H8760"/>
    <mergeCell ref="J8760:J8761"/>
    <mergeCell ref="K8760:L8761"/>
    <mergeCell ref="M8760:N8761"/>
    <mergeCell ref="O8760:P8761"/>
    <mergeCell ref="Q8760:R8761"/>
    <mergeCell ref="S8760:T8761"/>
    <mergeCell ref="U8760:V8761"/>
    <mergeCell ref="W8760:W8761"/>
    <mergeCell ref="X8760:AB8760"/>
    <mergeCell ref="AD8760:AI8760"/>
    <mergeCell ref="AJ8760:AL8760"/>
    <mergeCell ref="AN8760:AO8760"/>
    <mergeCell ref="AP8760:AQ8760"/>
    <mergeCell ref="AR8760:AS8761"/>
    <mergeCell ref="AT8760:AU8761"/>
    <mergeCell ref="AV8760:AW8761"/>
    <mergeCell ref="AX8760:AY8761"/>
    <mergeCell ref="AZ8760:AZ8761"/>
    <mergeCell ref="F8761:H8761"/>
    <mergeCell ref="X8761:AB8761"/>
    <mergeCell ref="AE8761:AI8761"/>
    <mergeCell ref="AJ8761:AL8761"/>
    <mergeCell ref="AN8761:AO8761"/>
    <mergeCell ref="AP8761:AQ8761"/>
    <mergeCell ref="A8756:A8757"/>
    <mergeCell ref="E8756:E8757"/>
    <mergeCell ref="F8756:H8756"/>
    <mergeCell ref="J8756:J8757"/>
    <mergeCell ref="K8756:L8757"/>
    <mergeCell ref="M8756:N8757"/>
    <mergeCell ref="O8756:P8757"/>
    <mergeCell ref="Q8756:R8757"/>
    <mergeCell ref="S8756:T8757"/>
    <mergeCell ref="U8756:V8757"/>
    <mergeCell ref="A8762:A8763"/>
    <mergeCell ref="E8762:E8763"/>
    <mergeCell ref="F8762:H8762"/>
    <mergeCell ref="J8762:J8763"/>
    <mergeCell ref="K8762:L8763"/>
    <mergeCell ref="M8762:N8763"/>
    <mergeCell ref="O8762:P8763"/>
    <mergeCell ref="Q8762:R8763"/>
    <mergeCell ref="S8762:T8763"/>
    <mergeCell ref="U8762:V8763"/>
    <mergeCell ref="W8762:W8763"/>
    <mergeCell ref="X8762:AB8762"/>
    <mergeCell ref="AD8762:AI8762"/>
    <mergeCell ref="AJ8762:AL8762"/>
    <mergeCell ref="AN8762:AO8762"/>
    <mergeCell ref="AP8762:AQ8762"/>
    <mergeCell ref="AR8762:AS8763"/>
    <mergeCell ref="AT8762:AU8763"/>
    <mergeCell ref="AV8762:AW8763"/>
    <mergeCell ref="AX8762:AY8763"/>
    <mergeCell ref="AZ8762:AZ8763"/>
    <mergeCell ref="F8763:H8763"/>
    <mergeCell ref="X8763:AB8763"/>
    <mergeCell ref="AE8763:AI8763"/>
    <mergeCell ref="AJ8763:AL8763"/>
    <mergeCell ref="AN8763:AO8763"/>
    <mergeCell ref="AP8763:AQ8763"/>
    <mergeCell ref="AZ8758:AZ8759"/>
    <mergeCell ref="F8759:H8759"/>
    <mergeCell ref="X8759:AB8759"/>
    <mergeCell ref="AE8759:AI8759"/>
    <mergeCell ref="AJ8759:AL8759"/>
    <mergeCell ref="AN8759:AO8759"/>
    <mergeCell ref="AP8759:AQ8759"/>
    <mergeCell ref="A8764:A8765"/>
    <mergeCell ref="E8764:E8765"/>
    <mergeCell ref="F8764:H8764"/>
    <mergeCell ref="J8764:J8765"/>
    <mergeCell ref="K8764:L8765"/>
    <mergeCell ref="M8764:N8765"/>
    <mergeCell ref="O8764:P8765"/>
    <mergeCell ref="Q8764:R8765"/>
    <mergeCell ref="S8764:T8765"/>
    <mergeCell ref="U8764:V8765"/>
    <mergeCell ref="W8764:W8765"/>
    <mergeCell ref="X8764:AB8764"/>
    <mergeCell ref="AD8764:AI8764"/>
    <mergeCell ref="AJ8764:AL8764"/>
    <mergeCell ref="AN8764:AO8764"/>
    <mergeCell ref="AP8764:AQ8764"/>
    <mergeCell ref="AR8764:AS8765"/>
    <mergeCell ref="AT8764:AU8765"/>
    <mergeCell ref="AV8764:AW8765"/>
    <mergeCell ref="AX8764:AY8765"/>
    <mergeCell ref="AZ8764:AZ8765"/>
    <mergeCell ref="F8765:H8765"/>
    <mergeCell ref="X8765:AB8765"/>
    <mergeCell ref="AE8765:AI8765"/>
    <mergeCell ref="AJ8765:AL8765"/>
    <mergeCell ref="AN8765:AO8765"/>
    <mergeCell ref="AP8765:AQ8765"/>
    <mergeCell ref="A8766:A8767"/>
    <mergeCell ref="E8766:E8767"/>
    <mergeCell ref="F8766:H8766"/>
    <mergeCell ref="J8766:J8767"/>
    <mergeCell ref="K8766:L8767"/>
    <mergeCell ref="M8766:N8767"/>
    <mergeCell ref="O8766:P8767"/>
    <mergeCell ref="Q8766:R8767"/>
    <mergeCell ref="S8766:T8767"/>
    <mergeCell ref="U8766:V8767"/>
    <mergeCell ref="W8766:W8767"/>
    <mergeCell ref="X8766:AB8766"/>
    <mergeCell ref="AD8766:AI8766"/>
    <mergeCell ref="AJ8766:AL8766"/>
    <mergeCell ref="AN8766:AO8766"/>
    <mergeCell ref="AP8766:AQ8766"/>
    <mergeCell ref="AR8766:AS8767"/>
    <mergeCell ref="AT8766:AU8767"/>
    <mergeCell ref="AV8766:AW8767"/>
    <mergeCell ref="AX8766:AY8767"/>
    <mergeCell ref="AZ8766:AZ8767"/>
    <mergeCell ref="F8767:H8767"/>
    <mergeCell ref="X8767:AB8767"/>
    <mergeCell ref="AE8767:AI8767"/>
    <mergeCell ref="AJ8767:AL8767"/>
    <mergeCell ref="AN8767:AO8767"/>
    <mergeCell ref="AP8767:AQ8767"/>
    <mergeCell ref="A8768:A8769"/>
    <mergeCell ref="E8768:E8769"/>
    <mergeCell ref="F8768:H8768"/>
    <mergeCell ref="J8768:J8769"/>
    <mergeCell ref="K8768:L8769"/>
    <mergeCell ref="M8768:N8769"/>
    <mergeCell ref="O8768:P8769"/>
    <mergeCell ref="Q8768:R8769"/>
    <mergeCell ref="S8768:T8769"/>
    <mergeCell ref="U8768:V8769"/>
    <mergeCell ref="W8768:W8769"/>
    <mergeCell ref="X8768:AB8768"/>
    <mergeCell ref="AD8768:AI8768"/>
    <mergeCell ref="AJ8768:AL8768"/>
    <mergeCell ref="AN8768:AO8768"/>
    <mergeCell ref="AP8768:AQ8768"/>
    <mergeCell ref="AR8768:AS8769"/>
    <mergeCell ref="AT8768:AU8769"/>
    <mergeCell ref="AV8768:AW8769"/>
    <mergeCell ref="AX8768:AY8769"/>
    <mergeCell ref="AZ8768:AZ8769"/>
    <mergeCell ref="F8769:H8769"/>
    <mergeCell ref="X8769:AB8769"/>
    <mergeCell ref="AE8769:AI8769"/>
    <mergeCell ref="AJ8769:AL8769"/>
    <mergeCell ref="AN8769:AO8769"/>
    <mergeCell ref="AP8769:AQ8769"/>
    <mergeCell ref="A8770:A8771"/>
    <mergeCell ref="E8770:E8771"/>
    <mergeCell ref="F8770:H8770"/>
    <mergeCell ref="J8770:J8771"/>
    <mergeCell ref="K8770:L8771"/>
    <mergeCell ref="M8770:N8771"/>
    <mergeCell ref="O8770:P8771"/>
    <mergeCell ref="Q8770:R8771"/>
    <mergeCell ref="S8770:T8771"/>
    <mergeCell ref="U8770:V8771"/>
    <mergeCell ref="W8770:W8771"/>
    <mergeCell ref="X8770:AB8770"/>
    <mergeCell ref="AD8770:AI8770"/>
    <mergeCell ref="AJ8770:AL8770"/>
    <mergeCell ref="AN8770:AO8770"/>
    <mergeCell ref="AP8770:AQ8770"/>
    <mergeCell ref="AR8770:AS8771"/>
    <mergeCell ref="AT8770:AU8771"/>
    <mergeCell ref="AV8770:AW8771"/>
    <mergeCell ref="AX8770:AY8771"/>
    <mergeCell ref="AZ8770:AZ8771"/>
    <mergeCell ref="F8771:H8771"/>
    <mergeCell ref="X8771:AB8771"/>
    <mergeCell ref="AE8771:AI8771"/>
    <mergeCell ref="AJ8771:AL8771"/>
    <mergeCell ref="AN8771:AO8771"/>
    <mergeCell ref="AP8771:AQ8771"/>
    <mergeCell ref="A8772:A8773"/>
    <mergeCell ref="E8772:E8773"/>
    <mergeCell ref="F8772:H8772"/>
    <mergeCell ref="J8772:J8773"/>
    <mergeCell ref="K8772:L8773"/>
    <mergeCell ref="M8772:N8773"/>
    <mergeCell ref="O8772:P8773"/>
    <mergeCell ref="Q8772:R8773"/>
    <mergeCell ref="S8772:T8773"/>
    <mergeCell ref="U8772:V8773"/>
    <mergeCell ref="W8772:W8773"/>
    <mergeCell ref="X8772:AB8772"/>
    <mergeCell ref="AD8772:AI8772"/>
    <mergeCell ref="AJ8772:AL8772"/>
    <mergeCell ref="AN8772:AO8772"/>
    <mergeCell ref="AP8772:AQ8772"/>
    <mergeCell ref="AR8772:AS8773"/>
    <mergeCell ref="AT8772:AU8773"/>
    <mergeCell ref="AV8772:AW8773"/>
    <mergeCell ref="AX8772:AY8773"/>
    <mergeCell ref="AZ8772:AZ8773"/>
    <mergeCell ref="F8773:H8773"/>
    <mergeCell ref="X8773:AB8773"/>
    <mergeCell ref="AE8773:AI8773"/>
    <mergeCell ref="AJ8773:AL8773"/>
    <mergeCell ref="AN8773:AO8773"/>
    <mergeCell ref="AP8773:AQ8773"/>
    <mergeCell ref="A8774:A8775"/>
    <mergeCell ref="E8774:E8775"/>
    <mergeCell ref="F8774:H8774"/>
    <mergeCell ref="J8774:J8775"/>
    <mergeCell ref="K8774:L8775"/>
    <mergeCell ref="M8774:N8775"/>
    <mergeCell ref="O8774:P8775"/>
    <mergeCell ref="Q8774:R8775"/>
    <mergeCell ref="S8774:T8775"/>
    <mergeCell ref="U8774:V8775"/>
    <mergeCell ref="W8774:W8775"/>
    <mergeCell ref="X8774:AB8774"/>
    <mergeCell ref="AD8774:AI8774"/>
    <mergeCell ref="AJ8774:AL8774"/>
    <mergeCell ref="AN8774:AO8774"/>
    <mergeCell ref="AP8774:AQ8774"/>
    <mergeCell ref="AR8774:AS8775"/>
    <mergeCell ref="AT8774:AU8775"/>
    <mergeCell ref="AV8774:AW8775"/>
    <mergeCell ref="AX8774:AY8775"/>
    <mergeCell ref="AZ8774:AZ8775"/>
    <mergeCell ref="F8775:H8775"/>
    <mergeCell ref="X8775:AB8775"/>
    <mergeCell ref="AE8775:AI8775"/>
    <mergeCell ref="AJ8775:AL8775"/>
    <mergeCell ref="AN8775:AO8775"/>
    <mergeCell ref="AP8775:AQ8775"/>
    <mergeCell ref="A8776:A8777"/>
    <mergeCell ref="E8776:E8777"/>
    <mergeCell ref="F8776:H8776"/>
    <mergeCell ref="J8776:J8777"/>
    <mergeCell ref="K8776:L8777"/>
    <mergeCell ref="M8776:N8777"/>
    <mergeCell ref="O8776:P8777"/>
    <mergeCell ref="Q8776:R8777"/>
    <mergeCell ref="S8776:T8777"/>
    <mergeCell ref="U8776:V8777"/>
    <mergeCell ref="W8776:W8777"/>
    <mergeCell ref="X8776:AB8776"/>
    <mergeCell ref="AD8776:AI8776"/>
    <mergeCell ref="AJ8776:AL8776"/>
    <mergeCell ref="AN8776:AO8776"/>
    <mergeCell ref="AP8776:AQ8776"/>
    <mergeCell ref="AR8776:AS8777"/>
    <mergeCell ref="AT8776:AU8777"/>
    <mergeCell ref="AV8776:AW8777"/>
    <mergeCell ref="AX8776:AY8777"/>
    <mergeCell ref="AZ8776:AZ8777"/>
    <mergeCell ref="F8777:H8777"/>
    <mergeCell ref="X8777:AB8777"/>
    <mergeCell ref="AE8777:AI8777"/>
    <mergeCell ref="AJ8777:AL8777"/>
    <mergeCell ref="AN8777:AO8777"/>
    <mergeCell ref="AP8777:AQ8777"/>
    <mergeCell ref="A8778:A8779"/>
    <mergeCell ref="E8778:E8779"/>
    <mergeCell ref="F8778:H8778"/>
    <mergeCell ref="J8778:J8779"/>
    <mergeCell ref="K8778:L8779"/>
    <mergeCell ref="M8778:N8779"/>
    <mergeCell ref="O8778:P8779"/>
    <mergeCell ref="Q8778:R8779"/>
    <mergeCell ref="S8778:T8779"/>
    <mergeCell ref="U8778:V8779"/>
    <mergeCell ref="W8778:W8779"/>
    <mergeCell ref="X8778:AB8778"/>
    <mergeCell ref="AD8778:AI8778"/>
    <mergeCell ref="AJ8778:AL8778"/>
    <mergeCell ref="AN8778:AO8778"/>
    <mergeCell ref="AP8778:AQ8778"/>
    <mergeCell ref="AR8778:AS8779"/>
    <mergeCell ref="AT8778:AU8779"/>
    <mergeCell ref="AV8778:AW8779"/>
    <mergeCell ref="AX8778:AY8779"/>
    <mergeCell ref="AZ8778:AZ8779"/>
    <mergeCell ref="F8779:H8779"/>
    <mergeCell ref="X8779:AB8779"/>
    <mergeCell ref="AE8779:AI8779"/>
    <mergeCell ref="AJ8779:AL8779"/>
    <mergeCell ref="AN8779:AO8779"/>
    <mergeCell ref="AP8779:AQ8779"/>
    <mergeCell ref="A8780:A8781"/>
    <mergeCell ref="E8780:E8781"/>
    <mergeCell ref="F8780:H8780"/>
    <mergeCell ref="J8780:J8781"/>
    <mergeCell ref="K8780:L8781"/>
    <mergeCell ref="M8780:N8781"/>
    <mergeCell ref="O8780:P8781"/>
    <mergeCell ref="Q8780:R8781"/>
    <mergeCell ref="S8780:T8781"/>
    <mergeCell ref="U8780:V8781"/>
    <mergeCell ref="W8780:W8781"/>
    <mergeCell ref="X8780:AB8780"/>
    <mergeCell ref="AD8780:AI8780"/>
    <mergeCell ref="AJ8780:AL8780"/>
    <mergeCell ref="AN8780:AO8780"/>
    <mergeCell ref="AP8780:AQ8780"/>
    <mergeCell ref="AR8780:AS8781"/>
    <mergeCell ref="AT8780:AU8781"/>
    <mergeCell ref="AV8780:AW8781"/>
    <mergeCell ref="AX8780:AY8781"/>
    <mergeCell ref="AZ8780:AZ8781"/>
    <mergeCell ref="F8781:H8781"/>
    <mergeCell ref="X8781:AB8781"/>
    <mergeCell ref="AE8781:AI8781"/>
    <mergeCell ref="AJ8781:AL8781"/>
    <mergeCell ref="AN8781:AO8781"/>
    <mergeCell ref="AP8781:AQ8781"/>
    <mergeCell ref="A8782:A8783"/>
    <mergeCell ref="E8782:E8783"/>
    <mergeCell ref="F8782:H8782"/>
    <mergeCell ref="J8782:J8783"/>
    <mergeCell ref="K8782:L8783"/>
    <mergeCell ref="M8782:N8783"/>
    <mergeCell ref="O8782:P8783"/>
    <mergeCell ref="Q8782:R8783"/>
    <mergeCell ref="S8782:T8783"/>
    <mergeCell ref="U8782:V8783"/>
    <mergeCell ref="W8782:W8783"/>
    <mergeCell ref="X8782:AB8782"/>
    <mergeCell ref="AD8782:AI8782"/>
    <mergeCell ref="AJ8782:AL8782"/>
    <mergeCell ref="AN8782:AO8782"/>
    <mergeCell ref="AP8782:AQ8782"/>
    <mergeCell ref="AR8782:AS8783"/>
    <mergeCell ref="AT8782:AU8783"/>
    <mergeCell ref="AV8782:AW8783"/>
    <mergeCell ref="AX8782:AY8783"/>
    <mergeCell ref="AZ8782:AZ8783"/>
    <mergeCell ref="F8783:H8783"/>
    <mergeCell ref="X8783:AB8783"/>
    <mergeCell ref="AE8783:AI8783"/>
    <mergeCell ref="AJ8783:AL8783"/>
    <mergeCell ref="AN8783:AO8783"/>
    <mergeCell ref="AP8783:AQ8783"/>
    <mergeCell ref="A8784:A8785"/>
    <mergeCell ref="E8784:E8785"/>
    <mergeCell ref="F8784:H8784"/>
    <mergeCell ref="J8784:J8785"/>
    <mergeCell ref="K8784:L8785"/>
    <mergeCell ref="M8784:N8785"/>
    <mergeCell ref="O8784:P8785"/>
    <mergeCell ref="Q8784:R8785"/>
    <mergeCell ref="S8784:T8785"/>
    <mergeCell ref="U8784:V8785"/>
    <mergeCell ref="W8784:W8785"/>
    <mergeCell ref="X8784:AB8784"/>
    <mergeCell ref="AD8784:AI8784"/>
    <mergeCell ref="AJ8784:AL8784"/>
    <mergeCell ref="AN8784:AO8784"/>
    <mergeCell ref="AP8784:AQ8784"/>
    <mergeCell ref="AR8784:AS8785"/>
    <mergeCell ref="AT8784:AU8785"/>
    <mergeCell ref="AV8784:AW8785"/>
    <mergeCell ref="AX8784:AY8785"/>
    <mergeCell ref="AZ8784:AZ8785"/>
    <mergeCell ref="F8785:H8785"/>
    <mergeCell ref="X8785:AB8785"/>
    <mergeCell ref="AE8785:AI8785"/>
    <mergeCell ref="AJ8785:AL8785"/>
    <mergeCell ref="AN8785:AO8785"/>
    <mergeCell ref="AP8785:AQ8785"/>
    <mergeCell ref="A8786:A8787"/>
    <mergeCell ref="E8786:E8787"/>
    <mergeCell ref="F8786:H8786"/>
    <mergeCell ref="J8786:J8787"/>
    <mergeCell ref="K8786:L8787"/>
    <mergeCell ref="M8786:N8787"/>
    <mergeCell ref="O8786:P8787"/>
    <mergeCell ref="Q8786:R8787"/>
    <mergeCell ref="S8786:T8787"/>
    <mergeCell ref="U8786:V8787"/>
    <mergeCell ref="W8786:W8787"/>
    <mergeCell ref="X8786:AB8786"/>
    <mergeCell ref="AD8786:AI8786"/>
    <mergeCell ref="AJ8786:AL8786"/>
    <mergeCell ref="AN8786:AO8786"/>
    <mergeCell ref="AP8786:AQ8786"/>
    <mergeCell ref="AR8786:AS8787"/>
    <mergeCell ref="AT8786:AU8787"/>
    <mergeCell ref="AV8786:AW8787"/>
    <mergeCell ref="AX8786:AY8787"/>
    <mergeCell ref="AZ8786:AZ8787"/>
    <mergeCell ref="F8787:H8787"/>
    <mergeCell ref="X8787:AB8787"/>
    <mergeCell ref="AE8787:AI8787"/>
    <mergeCell ref="AJ8787:AL8787"/>
    <mergeCell ref="AN8787:AO8787"/>
    <mergeCell ref="AP8787:AQ8787"/>
    <mergeCell ref="A8788:A8789"/>
    <mergeCell ref="E8788:E8789"/>
    <mergeCell ref="F8788:H8788"/>
    <mergeCell ref="J8788:J8789"/>
    <mergeCell ref="K8788:L8789"/>
    <mergeCell ref="M8788:N8789"/>
    <mergeCell ref="O8788:P8789"/>
    <mergeCell ref="Q8788:R8789"/>
    <mergeCell ref="S8788:T8789"/>
    <mergeCell ref="U8788:V8789"/>
    <mergeCell ref="W8788:W8789"/>
    <mergeCell ref="X8788:AB8788"/>
    <mergeCell ref="AD8788:AI8788"/>
    <mergeCell ref="AJ8788:AL8788"/>
    <mergeCell ref="AN8788:AO8788"/>
    <mergeCell ref="AP8788:AQ8788"/>
    <mergeCell ref="AR8788:AS8789"/>
    <mergeCell ref="AT8788:AU8789"/>
    <mergeCell ref="AV8788:AW8789"/>
    <mergeCell ref="AX8788:AY8789"/>
    <mergeCell ref="AZ8788:AZ8789"/>
    <mergeCell ref="F8789:H8789"/>
    <mergeCell ref="X8789:AB8789"/>
    <mergeCell ref="AE8789:AI8789"/>
    <mergeCell ref="AJ8789:AL8789"/>
    <mergeCell ref="AN8789:AO8789"/>
    <mergeCell ref="AP8789:AQ8789"/>
    <mergeCell ref="A8790:A8791"/>
    <mergeCell ref="E8790:E8791"/>
    <mergeCell ref="F8790:H8790"/>
    <mergeCell ref="J8790:J8791"/>
    <mergeCell ref="K8790:L8791"/>
    <mergeCell ref="M8790:N8791"/>
    <mergeCell ref="O8790:P8791"/>
    <mergeCell ref="Q8790:R8791"/>
    <mergeCell ref="S8790:T8791"/>
    <mergeCell ref="U8790:V8791"/>
    <mergeCell ref="W8790:W8791"/>
    <mergeCell ref="X8790:AB8790"/>
    <mergeCell ref="AD8790:AI8790"/>
    <mergeCell ref="AJ8790:AL8790"/>
    <mergeCell ref="AN8790:AO8790"/>
    <mergeCell ref="AP8790:AQ8790"/>
    <mergeCell ref="AR8790:AS8791"/>
    <mergeCell ref="AT8790:AU8791"/>
    <mergeCell ref="AV8790:AW8791"/>
    <mergeCell ref="AX8790:AY8791"/>
    <mergeCell ref="AZ8790:AZ8791"/>
    <mergeCell ref="F8791:H8791"/>
    <mergeCell ref="X8791:AB8791"/>
    <mergeCell ref="AE8791:AI8791"/>
    <mergeCell ref="AJ8791:AL8791"/>
    <mergeCell ref="AN8791:AO8791"/>
    <mergeCell ref="AP8791:AQ8791"/>
    <mergeCell ref="A8792:A8793"/>
    <mergeCell ref="E8792:E8793"/>
    <mergeCell ref="F8792:H8792"/>
    <mergeCell ref="J8792:J8793"/>
    <mergeCell ref="K8792:L8793"/>
    <mergeCell ref="M8792:N8793"/>
    <mergeCell ref="O8792:P8793"/>
    <mergeCell ref="Q8792:R8793"/>
    <mergeCell ref="S8792:T8793"/>
    <mergeCell ref="U8792:V8793"/>
    <mergeCell ref="W8792:W8793"/>
    <mergeCell ref="X8792:AB8792"/>
    <mergeCell ref="AD8792:AI8792"/>
    <mergeCell ref="AJ8792:AL8792"/>
    <mergeCell ref="AN8792:AO8792"/>
    <mergeCell ref="AP8792:AQ8792"/>
    <mergeCell ref="AR8792:AS8793"/>
    <mergeCell ref="AT8792:AU8793"/>
    <mergeCell ref="AV8792:AW8793"/>
    <mergeCell ref="AX8792:AY8793"/>
    <mergeCell ref="AZ8792:AZ8793"/>
    <mergeCell ref="F8793:H8793"/>
    <mergeCell ref="X8793:AB8793"/>
    <mergeCell ref="AE8793:AI8793"/>
    <mergeCell ref="AJ8793:AL8793"/>
    <mergeCell ref="AN8793:AO8793"/>
    <mergeCell ref="AP8793:AQ8793"/>
    <mergeCell ref="A8794:A8795"/>
    <mergeCell ref="E8794:E8795"/>
    <mergeCell ref="F8794:H8794"/>
    <mergeCell ref="J8794:J8795"/>
    <mergeCell ref="K8794:L8795"/>
    <mergeCell ref="M8794:N8795"/>
    <mergeCell ref="O8794:P8795"/>
    <mergeCell ref="Q8794:R8795"/>
    <mergeCell ref="S8794:T8795"/>
    <mergeCell ref="U8794:V8795"/>
    <mergeCell ref="W8794:W8795"/>
    <mergeCell ref="X8794:AB8794"/>
    <mergeCell ref="AD8794:AI8794"/>
    <mergeCell ref="AJ8794:AL8794"/>
    <mergeCell ref="AN8794:AO8794"/>
    <mergeCell ref="AP8794:AQ8794"/>
    <mergeCell ref="AR8794:AS8795"/>
    <mergeCell ref="AT8794:AU8795"/>
    <mergeCell ref="AV8794:AW8795"/>
    <mergeCell ref="AX8794:AY8795"/>
    <mergeCell ref="AZ8794:AZ8795"/>
    <mergeCell ref="F8795:H8795"/>
    <mergeCell ref="X8795:AB8795"/>
    <mergeCell ref="AE8795:AI8795"/>
    <mergeCell ref="AJ8795:AL8795"/>
    <mergeCell ref="AN8795:AO8795"/>
    <mergeCell ref="AP8795:AQ8795"/>
    <mergeCell ref="A8796:A8797"/>
    <mergeCell ref="E8796:E8797"/>
    <mergeCell ref="F8796:H8796"/>
    <mergeCell ref="J8796:J8797"/>
    <mergeCell ref="K8796:L8797"/>
    <mergeCell ref="M8796:N8797"/>
    <mergeCell ref="O8796:P8797"/>
    <mergeCell ref="Q8796:R8797"/>
    <mergeCell ref="S8796:T8797"/>
    <mergeCell ref="U8796:V8797"/>
    <mergeCell ref="W8796:W8797"/>
    <mergeCell ref="X8796:AB8796"/>
    <mergeCell ref="AD8796:AI8796"/>
    <mergeCell ref="AJ8796:AL8796"/>
    <mergeCell ref="AN8796:AO8796"/>
    <mergeCell ref="AP8796:AQ8796"/>
    <mergeCell ref="AR8796:AS8797"/>
    <mergeCell ref="AT8796:AU8797"/>
    <mergeCell ref="AV8796:AW8797"/>
    <mergeCell ref="AX8796:AY8797"/>
    <mergeCell ref="AZ8796:AZ8797"/>
    <mergeCell ref="F8797:H8797"/>
    <mergeCell ref="X8797:AB8797"/>
    <mergeCell ref="AE8797:AI8797"/>
    <mergeCell ref="AJ8797:AL8797"/>
    <mergeCell ref="AN8797:AO8797"/>
    <mergeCell ref="AP8797:AQ8797"/>
    <mergeCell ref="A8798:A8799"/>
    <mergeCell ref="E8798:E8799"/>
    <mergeCell ref="F8798:H8798"/>
    <mergeCell ref="J8798:J8799"/>
    <mergeCell ref="K8798:L8799"/>
    <mergeCell ref="M8798:N8799"/>
    <mergeCell ref="O8798:P8799"/>
    <mergeCell ref="Q8798:R8799"/>
    <mergeCell ref="S8798:T8799"/>
    <mergeCell ref="U8798:V8799"/>
    <mergeCell ref="W8798:W8799"/>
    <mergeCell ref="X8798:AB8798"/>
    <mergeCell ref="AD8798:AI8798"/>
    <mergeCell ref="AJ8798:AL8798"/>
    <mergeCell ref="AN8798:AO8798"/>
    <mergeCell ref="AP8798:AQ8798"/>
    <mergeCell ref="AR8798:AS8799"/>
    <mergeCell ref="AT8798:AU8799"/>
    <mergeCell ref="AV8798:AW8799"/>
    <mergeCell ref="AX8798:AY8799"/>
    <mergeCell ref="AZ8798:AZ8799"/>
    <mergeCell ref="F8799:H8799"/>
    <mergeCell ref="X8799:AB8799"/>
    <mergeCell ref="AE8799:AI8799"/>
    <mergeCell ref="AJ8799:AL8799"/>
    <mergeCell ref="AN8799:AO8799"/>
    <mergeCell ref="AP8799:AQ8799"/>
    <mergeCell ref="A8800:A8801"/>
    <mergeCell ref="E8800:E8801"/>
    <mergeCell ref="F8800:H8800"/>
    <mergeCell ref="J8800:J8801"/>
    <mergeCell ref="K8800:L8801"/>
    <mergeCell ref="M8800:N8801"/>
    <mergeCell ref="O8800:P8801"/>
    <mergeCell ref="Q8800:R8801"/>
    <mergeCell ref="S8800:T8801"/>
    <mergeCell ref="U8800:V8801"/>
    <mergeCell ref="W8800:W8801"/>
    <mergeCell ref="X8800:AB8800"/>
    <mergeCell ref="AD8800:AI8800"/>
    <mergeCell ref="AJ8800:AL8800"/>
    <mergeCell ref="AN8800:AO8800"/>
    <mergeCell ref="AP8800:AQ8800"/>
    <mergeCell ref="AR8800:AS8801"/>
    <mergeCell ref="AT8800:AU8801"/>
    <mergeCell ref="AV8800:AW8801"/>
    <mergeCell ref="AX8800:AY8801"/>
    <mergeCell ref="AZ8800:AZ8801"/>
    <mergeCell ref="F8801:H8801"/>
    <mergeCell ref="X8801:AB8801"/>
    <mergeCell ref="AE8801:AI8801"/>
    <mergeCell ref="AJ8801:AL8801"/>
    <mergeCell ref="AN8801:AO8801"/>
    <mergeCell ref="AP8801:AQ8801"/>
    <mergeCell ref="A8802:A8803"/>
    <mergeCell ref="E8802:E8803"/>
    <mergeCell ref="F8802:H8802"/>
    <mergeCell ref="J8802:J8803"/>
    <mergeCell ref="K8802:L8803"/>
    <mergeCell ref="M8802:N8803"/>
    <mergeCell ref="O8802:P8803"/>
    <mergeCell ref="Q8802:R8803"/>
    <mergeCell ref="S8802:T8803"/>
    <mergeCell ref="U8802:V8803"/>
    <mergeCell ref="W8802:W8803"/>
    <mergeCell ref="X8802:AB8802"/>
    <mergeCell ref="AD8802:AI8802"/>
    <mergeCell ref="AJ8802:AL8802"/>
    <mergeCell ref="AN8802:AO8802"/>
    <mergeCell ref="AP8802:AQ8802"/>
    <mergeCell ref="AR8802:AS8803"/>
    <mergeCell ref="AT8802:AU8803"/>
    <mergeCell ref="AV8802:AW8803"/>
    <mergeCell ref="AX8802:AY8803"/>
    <mergeCell ref="AZ8802:AZ8803"/>
    <mergeCell ref="F8803:H8803"/>
    <mergeCell ref="X8803:AB8803"/>
    <mergeCell ref="AE8803:AI8803"/>
    <mergeCell ref="AJ8803:AL8803"/>
    <mergeCell ref="AN8803:AO8803"/>
    <mergeCell ref="AP8803:AQ8803"/>
    <mergeCell ref="A8804:A8805"/>
    <mergeCell ref="E8804:E8805"/>
    <mergeCell ref="F8804:H8804"/>
    <mergeCell ref="J8804:J8805"/>
    <mergeCell ref="K8804:L8805"/>
    <mergeCell ref="M8804:N8805"/>
    <mergeCell ref="O8804:P8805"/>
    <mergeCell ref="Q8804:R8805"/>
    <mergeCell ref="S8804:T8805"/>
    <mergeCell ref="U8804:V8805"/>
    <mergeCell ref="W8804:W8805"/>
    <mergeCell ref="X8804:AB8804"/>
    <mergeCell ref="AD8804:AI8804"/>
    <mergeCell ref="AJ8804:AL8804"/>
    <mergeCell ref="AN8804:AO8804"/>
    <mergeCell ref="AP8804:AQ8804"/>
    <mergeCell ref="AR8804:AS8805"/>
    <mergeCell ref="AT8804:AU8805"/>
    <mergeCell ref="AV8804:AW8805"/>
    <mergeCell ref="AX8804:AY8805"/>
    <mergeCell ref="AZ8804:AZ8805"/>
    <mergeCell ref="F8805:H8805"/>
    <mergeCell ref="X8805:AB8805"/>
    <mergeCell ref="AE8805:AI8805"/>
    <mergeCell ref="AJ8805:AL8805"/>
    <mergeCell ref="AN8805:AO8805"/>
    <mergeCell ref="AP8805:AQ8805"/>
    <mergeCell ref="A8806:A8807"/>
    <mergeCell ref="E8806:E8807"/>
    <mergeCell ref="F8806:H8806"/>
    <mergeCell ref="J8806:J8807"/>
    <mergeCell ref="K8806:L8807"/>
    <mergeCell ref="M8806:N8807"/>
    <mergeCell ref="O8806:P8807"/>
    <mergeCell ref="Q8806:R8807"/>
    <mergeCell ref="S8806:T8807"/>
    <mergeCell ref="U8806:V8807"/>
    <mergeCell ref="W8806:W8807"/>
    <mergeCell ref="X8806:AB8806"/>
    <mergeCell ref="AD8806:AI8806"/>
    <mergeCell ref="AJ8806:AL8806"/>
    <mergeCell ref="AN8806:AO8806"/>
    <mergeCell ref="AP8806:AQ8806"/>
    <mergeCell ref="AR8806:AS8807"/>
    <mergeCell ref="AT8806:AU8807"/>
    <mergeCell ref="AV8806:AW8807"/>
    <mergeCell ref="AX8806:AY8807"/>
    <mergeCell ref="AZ8806:AZ8807"/>
    <mergeCell ref="F8807:H8807"/>
    <mergeCell ref="X8807:AB8807"/>
    <mergeCell ref="AE8807:AI8807"/>
    <mergeCell ref="AJ8807:AL8807"/>
    <mergeCell ref="AN8807:AO8807"/>
    <mergeCell ref="AP8807:AQ8807"/>
    <mergeCell ref="A8808:A8809"/>
    <mergeCell ref="E8808:E8809"/>
    <mergeCell ref="F8808:H8808"/>
    <mergeCell ref="J8808:J8809"/>
    <mergeCell ref="K8808:L8809"/>
    <mergeCell ref="M8808:N8809"/>
    <mergeCell ref="O8808:P8809"/>
    <mergeCell ref="Q8808:R8809"/>
    <mergeCell ref="S8808:T8809"/>
    <mergeCell ref="U8808:V8809"/>
    <mergeCell ref="W8808:W8809"/>
    <mergeCell ref="X8808:AB8808"/>
    <mergeCell ref="AD8808:AI8808"/>
    <mergeCell ref="AJ8808:AL8808"/>
    <mergeCell ref="AN8808:AO8808"/>
    <mergeCell ref="AP8808:AQ8808"/>
    <mergeCell ref="AR8808:AS8809"/>
    <mergeCell ref="AT8808:AU8809"/>
    <mergeCell ref="AV8808:AW8809"/>
    <mergeCell ref="AX8808:AY8809"/>
    <mergeCell ref="AZ8808:AZ8809"/>
    <mergeCell ref="F8809:H8809"/>
    <mergeCell ref="X8809:AB8809"/>
    <mergeCell ref="AE8809:AI8809"/>
    <mergeCell ref="AJ8809:AL8809"/>
    <mergeCell ref="AN8809:AO8809"/>
    <mergeCell ref="AP8809:AQ8809"/>
    <mergeCell ref="A8812:A8813"/>
    <mergeCell ref="E8812:E8813"/>
    <mergeCell ref="F8812:H8812"/>
    <mergeCell ref="J8812:J8813"/>
    <mergeCell ref="K8812:L8813"/>
    <mergeCell ref="M8812:N8813"/>
    <mergeCell ref="O8812:P8813"/>
    <mergeCell ref="Q8812:R8813"/>
    <mergeCell ref="S8812:T8813"/>
    <mergeCell ref="U8812:V8813"/>
    <mergeCell ref="W8812:W8813"/>
    <mergeCell ref="X8812:AB8812"/>
    <mergeCell ref="AD8812:AI8812"/>
    <mergeCell ref="AJ8812:AL8812"/>
    <mergeCell ref="AN8812:AO8812"/>
    <mergeCell ref="AP8812:AQ8812"/>
    <mergeCell ref="AR8812:AS8813"/>
    <mergeCell ref="AT8812:AU8813"/>
    <mergeCell ref="AV8812:AW8813"/>
    <mergeCell ref="AX8812:AY8813"/>
    <mergeCell ref="AZ8812:AZ8813"/>
    <mergeCell ref="F8813:H8813"/>
    <mergeCell ref="X8813:AB8813"/>
    <mergeCell ref="AE8813:AI8813"/>
    <mergeCell ref="AJ8813:AL8813"/>
    <mergeCell ref="AN8813:AO8813"/>
    <mergeCell ref="AP8813:AQ8813"/>
    <mergeCell ref="A8810:A8811"/>
    <mergeCell ref="E8810:E8811"/>
    <mergeCell ref="F8810:H8810"/>
    <mergeCell ref="J8810:J8811"/>
    <mergeCell ref="K8810:L8811"/>
    <mergeCell ref="M8810:N8811"/>
    <mergeCell ref="O8810:P8811"/>
    <mergeCell ref="Q8810:R8811"/>
    <mergeCell ref="S8810:T8811"/>
    <mergeCell ref="U8810:V8811"/>
    <mergeCell ref="A8814:A8815"/>
    <mergeCell ref="E8814:E8815"/>
    <mergeCell ref="F8814:H8814"/>
    <mergeCell ref="J8814:J8815"/>
    <mergeCell ref="K8814:L8815"/>
    <mergeCell ref="M8814:N8815"/>
    <mergeCell ref="O8814:P8815"/>
    <mergeCell ref="Q8814:R8815"/>
    <mergeCell ref="S8814:T8815"/>
    <mergeCell ref="U8814:V8815"/>
    <mergeCell ref="W8814:W8815"/>
    <mergeCell ref="X8814:AB8814"/>
    <mergeCell ref="AD8814:AI8814"/>
    <mergeCell ref="AJ8814:AL8814"/>
    <mergeCell ref="AN8814:AO8814"/>
    <mergeCell ref="AP8814:AQ8814"/>
    <mergeCell ref="AR8814:AS8815"/>
    <mergeCell ref="AT8814:AU8815"/>
    <mergeCell ref="AV8814:AW8815"/>
    <mergeCell ref="AX8814:AY8815"/>
    <mergeCell ref="AZ8814:AZ8815"/>
    <mergeCell ref="F8815:H8815"/>
    <mergeCell ref="X8815:AB8815"/>
    <mergeCell ref="AE8815:AI8815"/>
    <mergeCell ref="AJ8815:AL8815"/>
    <mergeCell ref="AN8815:AO8815"/>
    <mergeCell ref="AP8815:AQ8815"/>
    <mergeCell ref="A8816:A8817"/>
    <mergeCell ref="E8816:E8817"/>
    <mergeCell ref="F8816:H8816"/>
    <mergeCell ref="J8816:J8817"/>
    <mergeCell ref="K8816:L8817"/>
    <mergeCell ref="M8816:N8817"/>
    <mergeCell ref="O8816:P8817"/>
    <mergeCell ref="Q8816:R8817"/>
    <mergeCell ref="S8816:T8817"/>
    <mergeCell ref="U8816:V8817"/>
    <mergeCell ref="W8816:W8817"/>
    <mergeCell ref="X8816:AB8816"/>
    <mergeCell ref="AD8816:AI8816"/>
    <mergeCell ref="AJ8816:AL8816"/>
    <mergeCell ref="AN8816:AO8816"/>
    <mergeCell ref="AP8816:AQ8816"/>
    <mergeCell ref="AR8816:AS8817"/>
    <mergeCell ref="AT8816:AU8817"/>
    <mergeCell ref="AV8816:AW8817"/>
    <mergeCell ref="AX8816:AY8817"/>
    <mergeCell ref="AZ8816:AZ8817"/>
    <mergeCell ref="F8817:H8817"/>
    <mergeCell ref="X8817:AB8817"/>
    <mergeCell ref="AE8817:AI8817"/>
    <mergeCell ref="AJ8817:AL8817"/>
    <mergeCell ref="AN8817:AO8817"/>
    <mergeCell ref="AP8817:AQ8817"/>
    <mergeCell ref="A8818:A8819"/>
    <mergeCell ref="E8818:E8819"/>
    <mergeCell ref="F8818:H8818"/>
    <mergeCell ref="J8818:J8819"/>
    <mergeCell ref="K8818:L8819"/>
    <mergeCell ref="M8818:N8819"/>
    <mergeCell ref="O8818:P8819"/>
    <mergeCell ref="Q8818:R8819"/>
    <mergeCell ref="S8818:T8819"/>
    <mergeCell ref="U8818:V8819"/>
    <mergeCell ref="W8818:W8819"/>
    <mergeCell ref="X8818:AB8818"/>
    <mergeCell ref="AD8818:AI8818"/>
    <mergeCell ref="AJ8818:AL8818"/>
    <mergeCell ref="AN8818:AO8818"/>
    <mergeCell ref="AP8818:AQ8818"/>
    <mergeCell ref="AR8818:AS8819"/>
    <mergeCell ref="AT8818:AU8819"/>
    <mergeCell ref="AV8818:AW8819"/>
    <mergeCell ref="AX8818:AY8819"/>
    <mergeCell ref="AZ8818:AZ8819"/>
    <mergeCell ref="F8819:H8819"/>
    <mergeCell ref="X8819:AB8819"/>
    <mergeCell ref="AE8819:AI8819"/>
    <mergeCell ref="AJ8819:AL8819"/>
    <mergeCell ref="AN8819:AO8819"/>
    <mergeCell ref="AP8819:AQ8819"/>
    <mergeCell ref="AZ8826:AZ8827"/>
    <mergeCell ref="F8827:H8827"/>
    <mergeCell ref="X8827:AB8827"/>
    <mergeCell ref="AE8827:AI8827"/>
    <mergeCell ref="AJ8827:AL8827"/>
    <mergeCell ref="AN8827:AO8827"/>
    <mergeCell ref="AP8827:AQ8827"/>
    <mergeCell ref="A8820:A8821"/>
    <mergeCell ref="E8820:E8821"/>
    <mergeCell ref="F8820:H8820"/>
    <mergeCell ref="J8820:J8821"/>
    <mergeCell ref="K8820:L8821"/>
    <mergeCell ref="M8820:N8821"/>
    <mergeCell ref="O8820:P8821"/>
    <mergeCell ref="Q8820:R8821"/>
    <mergeCell ref="S8820:T8821"/>
    <mergeCell ref="U8820:V8821"/>
    <mergeCell ref="W8820:W8821"/>
    <mergeCell ref="X8820:AB8820"/>
    <mergeCell ref="AD8820:AI8820"/>
    <mergeCell ref="AJ8820:AL8820"/>
    <mergeCell ref="AN8820:AO8820"/>
    <mergeCell ref="AP8820:AQ8820"/>
    <mergeCell ref="AR8820:AS8821"/>
    <mergeCell ref="AT8820:AU8821"/>
    <mergeCell ref="AV8820:AW8821"/>
    <mergeCell ref="AX8820:AY8821"/>
    <mergeCell ref="AZ8820:AZ8821"/>
    <mergeCell ref="F8821:H8821"/>
    <mergeCell ref="X8821:AB8821"/>
    <mergeCell ref="AE8821:AI8821"/>
    <mergeCell ref="AJ8821:AL8821"/>
    <mergeCell ref="AN8821:AO8821"/>
    <mergeCell ref="AP8821:AQ8821"/>
    <mergeCell ref="A8822:A8823"/>
    <mergeCell ref="E8822:E8823"/>
    <mergeCell ref="F8822:H8822"/>
    <mergeCell ref="J8822:J8823"/>
    <mergeCell ref="K8822:L8823"/>
    <mergeCell ref="M8822:N8823"/>
    <mergeCell ref="O8822:P8823"/>
    <mergeCell ref="Q8822:R8823"/>
    <mergeCell ref="S8822:T8823"/>
    <mergeCell ref="U8822:V8823"/>
    <mergeCell ref="W8822:W8823"/>
    <mergeCell ref="X8822:AB8822"/>
    <mergeCell ref="AD8822:AI8822"/>
    <mergeCell ref="AJ8822:AL8822"/>
    <mergeCell ref="AN8822:AO8822"/>
    <mergeCell ref="AP8822:AQ8822"/>
    <mergeCell ref="AR8822:AS8823"/>
    <mergeCell ref="AT8822:AU8823"/>
    <mergeCell ref="AV8822:AW8823"/>
    <mergeCell ref="AX8822:AY8823"/>
    <mergeCell ref="AZ8822:AZ8823"/>
    <mergeCell ref="F8823:H8823"/>
    <mergeCell ref="X8823:AB8823"/>
    <mergeCell ref="AE8823:AI8823"/>
    <mergeCell ref="AJ8823:AL8823"/>
    <mergeCell ref="AN8823:AO8823"/>
    <mergeCell ref="AP8823:AQ8823"/>
    <mergeCell ref="W8830:W8831"/>
    <mergeCell ref="X8830:AB8830"/>
    <mergeCell ref="AD8830:AI8830"/>
    <mergeCell ref="AJ8830:AL8830"/>
    <mergeCell ref="AN8830:AO8830"/>
    <mergeCell ref="AP8830:AQ8830"/>
    <mergeCell ref="AR8830:AS8831"/>
    <mergeCell ref="AT8830:AU8831"/>
    <mergeCell ref="AV8830:AW8831"/>
    <mergeCell ref="AX8830:AY8831"/>
    <mergeCell ref="AZ8830:AZ8831"/>
    <mergeCell ref="F8831:H8831"/>
    <mergeCell ref="X8831:AB8831"/>
    <mergeCell ref="AE8831:AI8831"/>
    <mergeCell ref="AJ8831:AL8831"/>
    <mergeCell ref="AN8831:AO8831"/>
    <mergeCell ref="AP8831:AQ8831"/>
    <mergeCell ref="A8824:A8825"/>
    <mergeCell ref="E8824:E8825"/>
    <mergeCell ref="F8824:H8824"/>
    <mergeCell ref="J8824:J8825"/>
    <mergeCell ref="K8824:L8825"/>
    <mergeCell ref="M8824:N8825"/>
    <mergeCell ref="O8824:P8825"/>
    <mergeCell ref="Q8824:R8825"/>
    <mergeCell ref="S8824:T8825"/>
    <mergeCell ref="U8824:V8825"/>
    <mergeCell ref="W8824:W8825"/>
    <mergeCell ref="X8824:AB8824"/>
    <mergeCell ref="AD8824:AI8824"/>
    <mergeCell ref="AJ8824:AL8824"/>
    <mergeCell ref="AN8824:AO8824"/>
    <mergeCell ref="AP8824:AQ8824"/>
    <mergeCell ref="AR8824:AS8825"/>
    <mergeCell ref="AT8824:AU8825"/>
    <mergeCell ref="AV8824:AW8825"/>
    <mergeCell ref="AX8824:AY8825"/>
    <mergeCell ref="AZ8824:AZ8825"/>
    <mergeCell ref="F8825:H8825"/>
    <mergeCell ref="X8825:AB8825"/>
    <mergeCell ref="AE8825:AI8825"/>
    <mergeCell ref="AJ8825:AL8825"/>
    <mergeCell ref="AN8825:AO8825"/>
    <mergeCell ref="AP8825:AQ8825"/>
    <mergeCell ref="A8826:A8827"/>
    <mergeCell ref="E8826:E8827"/>
    <mergeCell ref="F8826:H8826"/>
    <mergeCell ref="J8826:J8827"/>
    <mergeCell ref="K8826:L8827"/>
    <mergeCell ref="M8826:N8827"/>
    <mergeCell ref="O8826:P8827"/>
    <mergeCell ref="Q8826:R8827"/>
    <mergeCell ref="S8826:T8827"/>
    <mergeCell ref="U8826:V8827"/>
    <mergeCell ref="W8826:W8827"/>
    <mergeCell ref="X8826:AB8826"/>
    <mergeCell ref="AD8826:AI8826"/>
    <mergeCell ref="AJ8826:AL8826"/>
    <mergeCell ref="AN8826:AO8826"/>
    <mergeCell ref="AP8826:AQ8826"/>
    <mergeCell ref="AR8826:AS8827"/>
    <mergeCell ref="AT8826:AU8827"/>
    <mergeCell ref="AV8826:AW8827"/>
    <mergeCell ref="AX8826:AY8827"/>
    <mergeCell ref="A8832:A8833"/>
    <mergeCell ref="E8832:E8833"/>
    <mergeCell ref="F8832:H8832"/>
    <mergeCell ref="J8832:J8833"/>
    <mergeCell ref="K8832:L8833"/>
    <mergeCell ref="M8832:N8833"/>
    <mergeCell ref="O8832:P8833"/>
    <mergeCell ref="Q8832:R8833"/>
    <mergeCell ref="S8832:T8833"/>
    <mergeCell ref="U8832:V8833"/>
    <mergeCell ref="W8832:W8833"/>
    <mergeCell ref="X8832:AB8832"/>
    <mergeCell ref="AD8832:AI8832"/>
    <mergeCell ref="AJ8832:AL8832"/>
    <mergeCell ref="AN8832:AO8832"/>
    <mergeCell ref="AP8832:AQ8832"/>
    <mergeCell ref="AR8832:AS8833"/>
    <mergeCell ref="AT8832:AU8833"/>
    <mergeCell ref="AV8832:AW8833"/>
    <mergeCell ref="AX8832:AY8833"/>
    <mergeCell ref="AZ8832:AZ8833"/>
    <mergeCell ref="F8833:H8833"/>
    <mergeCell ref="X8833:AB8833"/>
    <mergeCell ref="AE8833:AI8833"/>
    <mergeCell ref="AJ8833:AL8833"/>
    <mergeCell ref="AN8833:AO8833"/>
    <mergeCell ref="AP8833:AQ8833"/>
    <mergeCell ref="A8828:A8829"/>
    <mergeCell ref="E8828:E8829"/>
    <mergeCell ref="F8828:H8828"/>
    <mergeCell ref="J8828:J8829"/>
    <mergeCell ref="K8828:L8829"/>
    <mergeCell ref="M8828:N8829"/>
    <mergeCell ref="O8828:P8829"/>
    <mergeCell ref="Q8828:R8829"/>
    <mergeCell ref="S8828:T8829"/>
    <mergeCell ref="U8828:V8829"/>
    <mergeCell ref="W8828:W8829"/>
    <mergeCell ref="X8828:AB8828"/>
    <mergeCell ref="AD8828:AI8828"/>
    <mergeCell ref="AJ8828:AL8828"/>
    <mergeCell ref="AN8828:AO8828"/>
    <mergeCell ref="AP8828:AQ8828"/>
    <mergeCell ref="AR8828:AS8829"/>
    <mergeCell ref="AT8828:AU8829"/>
    <mergeCell ref="AV8828:AW8829"/>
    <mergeCell ref="AX8828:AY8829"/>
    <mergeCell ref="AZ8828:AZ8829"/>
    <mergeCell ref="F8829:H8829"/>
    <mergeCell ref="X8829:AB8829"/>
    <mergeCell ref="AE8829:AI8829"/>
    <mergeCell ref="AJ8829:AL8829"/>
    <mergeCell ref="AN8829:AO8829"/>
    <mergeCell ref="AP8829:AQ8829"/>
    <mergeCell ref="A8830:A8831"/>
    <mergeCell ref="E8830:E8831"/>
    <mergeCell ref="F8830:H8830"/>
    <mergeCell ref="J8830:J8831"/>
    <mergeCell ref="K8830:L8831"/>
    <mergeCell ref="M8830:N8831"/>
    <mergeCell ref="O8830:P8831"/>
    <mergeCell ref="Q8830:R8831"/>
    <mergeCell ref="S8830:T8831"/>
    <mergeCell ref="U8830:V8831"/>
    <mergeCell ref="A8834:A8835"/>
    <mergeCell ref="E8834:E8835"/>
    <mergeCell ref="F8834:H8834"/>
    <mergeCell ref="J8834:J8835"/>
    <mergeCell ref="K8834:L8835"/>
    <mergeCell ref="M8834:N8835"/>
    <mergeCell ref="O8834:P8835"/>
    <mergeCell ref="Q8834:R8835"/>
    <mergeCell ref="S8834:T8835"/>
    <mergeCell ref="U8834:V8835"/>
    <mergeCell ref="W8834:W8835"/>
    <mergeCell ref="X8834:AB8834"/>
    <mergeCell ref="AD8834:AI8834"/>
    <mergeCell ref="AJ8834:AL8834"/>
    <mergeCell ref="AN8834:AO8834"/>
    <mergeCell ref="AP8834:AQ8834"/>
    <mergeCell ref="AR8834:AS8835"/>
    <mergeCell ref="AT8834:AU8835"/>
    <mergeCell ref="AV8834:AW8835"/>
    <mergeCell ref="AX8834:AY8835"/>
    <mergeCell ref="AZ8834:AZ8835"/>
    <mergeCell ref="F8835:H8835"/>
    <mergeCell ref="X8835:AB8835"/>
    <mergeCell ref="AE8835:AI8835"/>
    <mergeCell ref="AJ8835:AL8835"/>
    <mergeCell ref="AN8835:AO8835"/>
    <mergeCell ref="AP8835:AQ8835"/>
    <mergeCell ref="A8836:A8837"/>
    <mergeCell ref="E8836:E8837"/>
    <mergeCell ref="F8836:H8836"/>
    <mergeCell ref="J8836:J8837"/>
    <mergeCell ref="K8836:L8837"/>
    <mergeCell ref="M8836:N8837"/>
    <mergeCell ref="O8836:P8837"/>
    <mergeCell ref="Q8836:R8837"/>
    <mergeCell ref="S8836:T8837"/>
    <mergeCell ref="U8836:V8837"/>
    <mergeCell ref="W8836:W8837"/>
    <mergeCell ref="X8836:AB8836"/>
    <mergeCell ref="AD8836:AI8836"/>
    <mergeCell ref="AJ8836:AL8836"/>
    <mergeCell ref="AN8836:AO8836"/>
    <mergeCell ref="AP8836:AQ8836"/>
    <mergeCell ref="AR8836:AS8837"/>
    <mergeCell ref="AT8836:AU8837"/>
    <mergeCell ref="AV8836:AW8837"/>
    <mergeCell ref="AX8836:AY8837"/>
    <mergeCell ref="AZ8836:AZ8837"/>
    <mergeCell ref="F8837:H8837"/>
    <mergeCell ref="X8837:AB8837"/>
    <mergeCell ref="AE8837:AI8837"/>
    <mergeCell ref="AJ8837:AL8837"/>
    <mergeCell ref="AN8837:AO8837"/>
    <mergeCell ref="AP8837:AQ8837"/>
    <mergeCell ref="A8838:A8839"/>
    <mergeCell ref="E8838:E8839"/>
    <mergeCell ref="F8838:H8838"/>
    <mergeCell ref="J8838:J8839"/>
    <mergeCell ref="K8838:L8839"/>
    <mergeCell ref="M8838:N8839"/>
    <mergeCell ref="O8838:P8839"/>
    <mergeCell ref="Q8838:R8839"/>
    <mergeCell ref="S8838:T8839"/>
    <mergeCell ref="U8838:V8839"/>
    <mergeCell ref="W8838:W8839"/>
    <mergeCell ref="X8838:AB8838"/>
    <mergeCell ref="AD8838:AI8838"/>
    <mergeCell ref="AJ8838:AL8838"/>
    <mergeCell ref="AN8838:AO8838"/>
    <mergeCell ref="AP8838:AQ8838"/>
    <mergeCell ref="AR8838:AS8839"/>
    <mergeCell ref="AT8838:AU8839"/>
    <mergeCell ref="AV8838:AW8839"/>
    <mergeCell ref="AX8838:AY8839"/>
    <mergeCell ref="AZ8838:AZ8839"/>
    <mergeCell ref="F8839:H8839"/>
    <mergeCell ref="X8839:AB8839"/>
    <mergeCell ref="AE8839:AI8839"/>
    <mergeCell ref="AJ8839:AL8839"/>
    <mergeCell ref="AN8839:AO8839"/>
    <mergeCell ref="AP8839:AQ8839"/>
    <mergeCell ref="A8840:A8841"/>
    <mergeCell ref="E8840:E8841"/>
    <mergeCell ref="F8840:H8840"/>
    <mergeCell ref="J8840:J8841"/>
    <mergeCell ref="K8840:L8841"/>
    <mergeCell ref="M8840:N8841"/>
    <mergeCell ref="O8840:P8841"/>
    <mergeCell ref="Q8840:R8841"/>
    <mergeCell ref="S8840:T8841"/>
    <mergeCell ref="U8840:V8841"/>
    <mergeCell ref="W8840:W8841"/>
    <mergeCell ref="X8840:AB8840"/>
    <mergeCell ref="AD8840:AI8840"/>
    <mergeCell ref="AJ8840:AL8840"/>
    <mergeCell ref="AN8840:AO8840"/>
    <mergeCell ref="AP8840:AQ8840"/>
    <mergeCell ref="AR8840:AS8841"/>
    <mergeCell ref="AT8840:AU8841"/>
    <mergeCell ref="AV8840:AW8841"/>
    <mergeCell ref="AX8840:AY8841"/>
    <mergeCell ref="AZ8840:AZ8841"/>
    <mergeCell ref="F8841:H8841"/>
    <mergeCell ref="X8841:AB8841"/>
    <mergeCell ref="AE8841:AI8841"/>
    <mergeCell ref="AJ8841:AL8841"/>
    <mergeCell ref="AN8841:AO8841"/>
    <mergeCell ref="AP8841:AQ8841"/>
    <mergeCell ref="A8842:A8843"/>
    <mergeCell ref="E8842:E8843"/>
    <mergeCell ref="F8842:H8842"/>
    <mergeCell ref="J8842:J8843"/>
    <mergeCell ref="K8842:L8843"/>
    <mergeCell ref="M8842:N8843"/>
    <mergeCell ref="O8842:P8843"/>
    <mergeCell ref="Q8842:R8843"/>
    <mergeCell ref="S8842:T8843"/>
    <mergeCell ref="U8842:V8843"/>
    <mergeCell ref="W8842:W8843"/>
    <mergeCell ref="X8842:AB8842"/>
    <mergeCell ref="AD8842:AI8842"/>
    <mergeCell ref="AJ8842:AL8842"/>
    <mergeCell ref="AN8842:AO8842"/>
    <mergeCell ref="AP8842:AQ8842"/>
    <mergeCell ref="AR8842:AS8843"/>
    <mergeCell ref="AT8842:AU8843"/>
    <mergeCell ref="AV8842:AW8843"/>
    <mergeCell ref="AX8842:AY8843"/>
    <mergeCell ref="AZ8842:AZ8843"/>
    <mergeCell ref="F8843:H8843"/>
    <mergeCell ref="X8843:AB8843"/>
    <mergeCell ref="AE8843:AI8843"/>
    <mergeCell ref="AJ8843:AL8843"/>
    <mergeCell ref="AN8843:AO8843"/>
    <mergeCell ref="AP8843:AQ8843"/>
    <mergeCell ref="A8844:A8845"/>
    <mergeCell ref="E8844:E8845"/>
    <mergeCell ref="F8844:H8844"/>
    <mergeCell ref="J8844:J8845"/>
    <mergeCell ref="K8844:L8845"/>
    <mergeCell ref="M8844:N8845"/>
    <mergeCell ref="O8844:P8845"/>
    <mergeCell ref="Q8844:R8845"/>
    <mergeCell ref="S8844:T8845"/>
    <mergeCell ref="U8844:V8845"/>
    <mergeCell ref="W8844:W8845"/>
    <mergeCell ref="X8844:AB8844"/>
    <mergeCell ref="AD8844:AI8844"/>
    <mergeCell ref="AJ8844:AL8844"/>
    <mergeCell ref="AN8844:AO8844"/>
    <mergeCell ref="AP8844:AQ8844"/>
    <mergeCell ref="AR8844:AS8845"/>
    <mergeCell ref="AT8844:AU8845"/>
    <mergeCell ref="AV8844:AW8845"/>
    <mergeCell ref="AX8844:AY8845"/>
    <mergeCell ref="AZ8844:AZ8845"/>
    <mergeCell ref="F8845:H8845"/>
    <mergeCell ref="X8845:AB8845"/>
    <mergeCell ref="AE8845:AI8845"/>
    <mergeCell ref="AJ8845:AL8845"/>
    <mergeCell ref="AN8845:AO8845"/>
    <mergeCell ref="AP8845:AQ8845"/>
    <mergeCell ref="A8846:A8847"/>
    <mergeCell ref="E8846:E8847"/>
    <mergeCell ref="F8846:H8846"/>
    <mergeCell ref="J8846:J8847"/>
    <mergeCell ref="K8846:L8847"/>
    <mergeCell ref="M8846:N8847"/>
    <mergeCell ref="O8846:P8847"/>
    <mergeCell ref="Q8846:R8847"/>
    <mergeCell ref="S8846:T8847"/>
    <mergeCell ref="U8846:V8847"/>
    <mergeCell ref="W8846:W8847"/>
    <mergeCell ref="X8846:AB8846"/>
    <mergeCell ref="AD8846:AI8846"/>
    <mergeCell ref="AJ8846:AL8846"/>
    <mergeCell ref="AN8846:AO8846"/>
    <mergeCell ref="AP8846:AQ8846"/>
    <mergeCell ref="AR8846:AS8847"/>
    <mergeCell ref="AT8846:AU8847"/>
    <mergeCell ref="AV8846:AW8847"/>
    <mergeCell ref="AX8846:AY8847"/>
    <mergeCell ref="AZ8846:AZ8847"/>
    <mergeCell ref="F8847:H8847"/>
    <mergeCell ref="X8847:AB8847"/>
    <mergeCell ref="AE8847:AI8847"/>
    <mergeCell ref="AJ8847:AL8847"/>
    <mergeCell ref="AN8847:AO8847"/>
    <mergeCell ref="AP8847:AQ8847"/>
    <mergeCell ref="A8848:A8849"/>
    <mergeCell ref="E8848:E8849"/>
    <mergeCell ref="F8848:H8848"/>
    <mergeCell ref="J8848:J8849"/>
    <mergeCell ref="K8848:L8849"/>
    <mergeCell ref="M8848:N8849"/>
    <mergeCell ref="O8848:P8849"/>
    <mergeCell ref="Q8848:R8849"/>
    <mergeCell ref="S8848:T8849"/>
    <mergeCell ref="U8848:V8849"/>
    <mergeCell ref="W8848:W8849"/>
    <mergeCell ref="X8848:AB8848"/>
    <mergeCell ref="AD8848:AI8848"/>
    <mergeCell ref="AJ8848:AL8848"/>
    <mergeCell ref="AN8848:AO8848"/>
    <mergeCell ref="AP8848:AQ8848"/>
    <mergeCell ref="AR8848:AS8849"/>
    <mergeCell ref="AT8848:AU8849"/>
    <mergeCell ref="AV8848:AW8849"/>
    <mergeCell ref="AX8848:AY8849"/>
    <mergeCell ref="AZ8848:AZ8849"/>
    <mergeCell ref="F8849:H8849"/>
    <mergeCell ref="X8849:AB8849"/>
    <mergeCell ref="AE8849:AI8849"/>
    <mergeCell ref="AJ8849:AL8849"/>
    <mergeCell ref="AN8849:AO8849"/>
    <mergeCell ref="AP8849:AQ8849"/>
    <mergeCell ref="A8850:A8851"/>
    <mergeCell ref="E8850:E8851"/>
    <mergeCell ref="F8850:H8850"/>
    <mergeCell ref="J8850:J8851"/>
    <mergeCell ref="K8850:L8851"/>
    <mergeCell ref="M8850:N8851"/>
    <mergeCell ref="O8850:P8851"/>
    <mergeCell ref="Q8850:R8851"/>
    <mergeCell ref="S8850:T8851"/>
    <mergeCell ref="U8850:V8851"/>
    <mergeCell ref="W8850:W8851"/>
    <mergeCell ref="X8850:AB8850"/>
    <mergeCell ref="AD8850:AI8850"/>
    <mergeCell ref="AJ8850:AL8850"/>
    <mergeCell ref="AN8850:AO8850"/>
    <mergeCell ref="AP8850:AQ8850"/>
    <mergeCell ref="AR8850:AS8851"/>
    <mergeCell ref="AT8850:AU8851"/>
    <mergeCell ref="AV8850:AW8851"/>
    <mergeCell ref="AX8850:AY8851"/>
    <mergeCell ref="AZ8850:AZ8851"/>
    <mergeCell ref="F8851:H8851"/>
    <mergeCell ref="X8851:AB8851"/>
    <mergeCell ref="AE8851:AI8851"/>
    <mergeCell ref="AJ8851:AL8851"/>
    <mergeCell ref="AN8851:AO8851"/>
    <mergeCell ref="AP8851:AQ8851"/>
    <mergeCell ref="A8852:A8853"/>
    <mergeCell ref="E8852:E8853"/>
    <mergeCell ref="F8852:H8852"/>
    <mergeCell ref="J8852:J8853"/>
    <mergeCell ref="K8852:L8853"/>
    <mergeCell ref="M8852:N8853"/>
    <mergeCell ref="O8852:P8853"/>
    <mergeCell ref="Q8852:R8853"/>
    <mergeCell ref="S8852:T8853"/>
    <mergeCell ref="U8852:V8853"/>
    <mergeCell ref="W8852:W8853"/>
    <mergeCell ref="X8852:AB8852"/>
    <mergeCell ref="AD8852:AI8852"/>
    <mergeCell ref="AJ8852:AL8852"/>
    <mergeCell ref="AN8852:AO8852"/>
    <mergeCell ref="AP8852:AQ8852"/>
    <mergeCell ref="AR8852:AS8853"/>
    <mergeCell ref="AT8852:AU8853"/>
    <mergeCell ref="AV8852:AW8853"/>
    <mergeCell ref="AX8852:AY8853"/>
    <mergeCell ref="AZ8852:AZ8853"/>
    <mergeCell ref="F8853:H8853"/>
    <mergeCell ref="X8853:AB8853"/>
    <mergeCell ref="AE8853:AI8853"/>
    <mergeCell ref="AJ8853:AL8853"/>
    <mergeCell ref="AN8853:AO8853"/>
    <mergeCell ref="AP8853:AQ8853"/>
    <mergeCell ref="A8854:A8855"/>
    <mergeCell ref="E8854:E8855"/>
    <mergeCell ref="F8854:H8854"/>
    <mergeCell ref="J8854:J8855"/>
    <mergeCell ref="K8854:L8855"/>
    <mergeCell ref="M8854:N8855"/>
    <mergeCell ref="O8854:P8855"/>
    <mergeCell ref="Q8854:R8855"/>
    <mergeCell ref="S8854:T8855"/>
    <mergeCell ref="U8854:V8855"/>
    <mergeCell ref="W8854:W8855"/>
    <mergeCell ref="X8854:AB8854"/>
    <mergeCell ref="AD8854:AI8854"/>
    <mergeCell ref="AJ8854:AL8854"/>
    <mergeCell ref="AN8854:AO8854"/>
    <mergeCell ref="AP8854:AQ8854"/>
    <mergeCell ref="AR8854:AS8855"/>
    <mergeCell ref="AT8854:AU8855"/>
    <mergeCell ref="AV8854:AW8855"/>
    <mergeCell ref="AX8854:AY8855"/>
    <mergeCell ref="AZ8854:AZ8855"/>
    <mergeCell ref="F8855:H8855"/>
    <mergeCell ref="X8855:AB8855"/>
    <mergeCell ref="AE8855:AI8855"/>
    <mergeCell ref="AJ8855:AL8855"/>
    <mergeCell ref="AN8855:AO8855"/>
    <mergeCell ref="AP8855:AQ8855"/>
    <mergeCell ref="A8856:A8857"/>
    <mergeCell ref="E8856:E8857"/>
    <mergeCell ref="F8856:H8856"/>
    <mergeCell ref="J8856:J8857"/>
    <mergeCell ref="K8856:L8857"/>
    <mergeCell ref="M8856:N8857"/>
    <mergeCell ref="O8856:P8857"/>
    <mergeCell ref="Q8856:R8857"/>
    <mergeCell ref="S8856:T8857"/>
    <mergeCell ref="U8856:V8857"/>
    <mergeCell ref="W8856:W8857"/>
    <mergeCell ref="X8856:AB8856"/>
    <mergeCell ref="AD8856:AI8856"/>
    <mergeCell ref="AJ8856:AL8856"/>
    <mergeCell ref="AN8856:AO8856"/>
    <mergeCell ref="AP8856:AQ8856"/>
    <mergeCell ref="AR8856:AS8857"/>
    <mergeCell ref="AT8856:AU8857"/>
    <mergeCell ref="AV8856:AW8857"/>
    <mergeCell ref="AX8856:AY8857"/>
    <mergeCell ref="AZ8856:AZ8857"/>
    <mergeCell ref="F8857:H8857"/>
    <mergeCell ref="X8857:AB8857"/>
    <mergeCell ref="AE8857:AI8857"/>
    <mergeCell ref="AJ8857:AL8857"/>
    <mergeCell ref="AN8857:AO8857"/>
    <mergeCell ref="AP8857:AQ8857"/>
    <mergeCell ref="AZ8858:AZ8859"/>
    <mergeCell ref="F8859:H8859"/>
    <mergeCell ref="X8859:AB8859"/>
    <mergeCell ref="AE8859:AI8859"/>
    <mergeCell ref="AJ8859:AL8859"/>
    <mergeCell ref="AN8859:AO8859"/>
    <mergeCell ref="AP8859:AQ8859"/>
    <mergeCell ref="A8860:A8861"/>
    <mergeCell ref="E8860:E8861"/>
    <mergeCell ref="F8860:H8860"/>
    <mergeCell ref="J8860:J8861"/>
    <mergeCell ref="K8860:L8861"/>
    <mergeCell ref="M8860:N8861"/>
    <mergeCell ref="O8860:P8861"/>
    <mergeCell ref="Q8860:R8861"/>
    <mergeCell ref="S8860:T8861"/>
    <mergeCell ref="U8860:V8861"/>
    <mergeCell ref="W8860:W8861"/>
    <mergeCell ref="X8860:AB8860"/>
    <mergeCell ref="AD8860:AI8860"/>
    <mergeCell ref="AJ8860:AL8860"/>
    <mergeCell ref="AN8860:AO8860"/>
    <mergeCell ref="AP8860:AQ8860"/>
    <mergeCell ref="AR8860:AS8861"/>
    <mergeCell ref="AT8860:AU8861"/>
    <mergeCell ref="AV8860:AW8861"/>
    <mergeCell ref="AX8860:AY8861"/>
    <mergeCell ref="AZ8860:AZ8861"/>
    <mergeCell ref="F8861:H8861"/>
    <mergeCell ref="X8861:AB8861"/>
    <mergeCell ref="AE8861:AI8861"/>
    <mergeCell ref="AJ8861:AL8861"/>
    <mergeCell ref="AN8861:AO8861"/>
    <mergeCell ref="AP8861:AQ8861"/>
    <mergeCell ref="A8864:A8865"/>
    <mergeCell ref="E8864:E8865"/>
    <mergeCell ref="F8864:H8864"/>
    <mergeCell ref="J8864:J8865"/>
    <mergeCell ref="K8864:L8865"/>
    <mergeCell ref="M8864:N8865"/>
    <mergeCell ref="O8864:P8865"/>
    <mergeCell ref="Q8864:R8865"/>
    <mergeCell ref="S8864:T8865"/>
    <mergeCell ref="U8864:V8865"/>
    <mergeCell ref="W8864:W8865"/>
    <mergeCell ref="X8864:AB8864"/>
    <mergeCell ref="AD8864:AI8864"/>
    <mergeCell ref="AJ8864:AL8864"/>
    <mergeCell ref="AN8864:AO8864"/>
    <mergeCell ref="AP8864:AQ8864"/>
    <mergeCell ref="AR8864:AS8865"/>
    <mergeCell ref="AT8864:AU8865"/>
    <mergeCell ref="AV8864:AW8865"/>
    <mergeCell ref="AX8864:AY8865"/>
    <mergeCell ref="AZ8864:AZ8865"/>
    <mergeCell ref="F8865:H8865"/>
    <mergeCell ref="X8865:AB8865"/>
    <mergeCell ref="AE8865:AI8865"/>
    <mergeCell ref="AJ8865:AL8865"/>
    <mergeCell ref="AN8865:AO8865"/>
    <mergeCell ref="AP8865:AQ8865"/>
    <mergeCell ref="A8866:A8867"/>
    <mergeCell ref="E8866:E8867"/>
    <mergeCell ref="F8866:H8866"/>
    <mergeCell ref="J8866:J8867"/>
    <mergeCell ref="K8866:L8867"/>
    <mergeCell ref="M8866:N8867"/>
    <mergeCell ref="O8866:P8867"/>
    <mergeCell ref="Q8866:R8867"/>
    <mergeCell ref="S8866:T8867"/>
    <mergeCell ref="U8866:V8867"/>
    <mergeCell ref="W8866:W8867"/>
    <mergeCell ref="X8866:AB8866"/>
    <mergeCell ref="AD8866:AI8866"/>
    <mergeCell ref="AJ8866:AL8866"/>
    <mergeCell ref="AN8866:AO8866"/>
    <mergeCell ref="AP8866:AQ8866"/>
    <mergeCell ref="AR8866:AS8867"/>
    <mergeCell ref="AT8866:AU8867"/>
    <mergeCell ref="AV8866:AW8867"/>
    <mergeCell ref="AX8866:AY8867"/>
    <mergeCell ref="AZ8866:AZ8867"/>
    <mergeCell ref="F8867:H8867"/>
    <mergeCell ref="X8867:AB8867"/>
    <mergeCell ref="AE8867:AI8867"/>
    <mergeCell ref="AJ8867:AL8867"/>
    <mergeCell ref="AN8867:AO8867"/>
    <mergeCell ref="AP8867:AQ8867"/>
    <mergeCell ref="A8868:A8869"/>
    <mergeCell ref="E8868:E8869"/>
    <mergeCell ref="F8868:H8868"/>
    <mergeCell ref="J8868:J8869"/>
    <mergeCell ref="K8868:L8869"/>
    <mergeCell ref="M8868:N8869"/>
    <mergeCell ref="O8868:P8869"/>
    <mergeCell ref="Q8868:R8869"/>
    <mergeCell ref="S8868:T8869"/>
    <mergeCell ref="U8868:V8869"/>
    <mergeCell ref="W8868:W8869"/>
    <mergeCell ref="X8868:AB8868"/>
    <mergeCell ref="AD8868:AI8868"/>
    <mergeCell ref="AJ8868:AL8868"/>
    <mergeCell ref="AN8868:AO8868"/>
    <mergeCell ref="AP8868:AQ8868"/>
    <mergeCell ref="AR8868:AS8869"/>
    <mergeCell ref="AT8868:AU8869"/>
    <mergeCell ref="AV8868:AW8869"/>
    <mergeCell ref="AX8868:AY8869"/>
    <mergeCell ref="AZ8868:AZ8869"/>
    <mergeCell ref="F8869:H8869"/>
    <mergeCell ref="X8869:AB8869"/>
    <mergeCell ref="AE8869:AI8869"/>
    <mergeCell ref="AJ8869:AL8869"/>
    <mergeCell ref="AN8869:AO8869"/>
    <mergeCell ref="AP8869:AQ8869"/>
    <mergeCell ref="A8870:A8871"/>
    <mergeCell ref="E8870:E8871"/>
    <mergeCell ref="F8870:H8870"/>
    <mergeCell ref="J8870:J8871"/>
    <mergeCell ref="K8870:L8871"/>
    <mergeCell ref="M8870:N8871"/>
    <mergeCell ref="O8870:P8871"/>
    <mergeCell ref="Q8870:R8871"/>
    <mergeCell ref="S8870:T8871"/>
    <mergeCell ref="U8870:V8871"/>
    <mergeCell ref="W8870:W8871"/>
    <mergeCell ref="X8870:AB8870"/>
    <mergeCell ref="AD8870:AI8870"/>
    <mergeCell ref="AJ8870:AL8870"/>
    <mergeCell ref="AN8870:AO8870"/>
    <mergeCell ref="AP8870:AQ8870"/>
    <mergeCell ref="AR8870:AS8871"/>
    <mergeCell ref="AT8870:AU8871"/>
    <mergeCell ref="AV8870:AW8871"/>
    <mergeCell ref="AX8870:AY8871"/>
    <mergeCell ref="AZ8870:AZ8871"/>
    <mergeCell ref="F8871:H8871"/>
    <mergeCell ref="X8871:AB8871"/>
    <mergeCell ref="AE8871:AI8871"/>
    <mergeCell ref="AJ8871:AL8871"/>
    <mergeCell ref="AN8871:AO8871"/>
    <mergeCell ref="AP8871:AQ8871"/>
    <mergeCell ref="A8872:A8873"/>
    <mergeCell ref="E8872:E8873"/>
    <mergeCell ref="F8872:H8872"/>
    <mergeCell ref="J8872:J8873"/>
    <mergeCell ref="K8872:L8873"/>
    <mergeCell ref="M8872:N8873"/>
    <mergeCell ref="O8872:P8873"/>
    <mergeCell ref="Q8872:R8873"/>
    <mergeCell ref="S8872:T8873"/>
    <mergeCell ref="U8872:V8873"/>
    <mergeCell ref="W8872:W8873"/>
    <mergeCell ref="X8872:AB8872"/>
    <mergeCell ref="AD8872:AI8872"/>
    <mergeCell ref="AJ8872:AL8872"/>
    <mergeCell ref="AN8872:AO8872"/>
    <mergeCell ref="AP8872:AQ8872"/>
    <mergeCell ref="AR8872:AS8873"/>
    <mergeCell ref="AT8872:AU8873"/>
    <mergeCell ref="AV8872:AW8873"/>
    <mergeCell ref="AX8872:AY8873"/>
    <mergeCell ref="AZ8872:AZ8873"/>
    <mergeCell ref="F8873:H8873"/>
    <mergeCell ref="X8873:AB8873"/>
    <mergeCell ref="AE8873:AI8873"/>
    <mergeCell ref="AJ8873:AL8873"/>
    <mergeCell ref="AN8873:AO8873"/>
    <mergeCell ref="AP8873:AQ8873"/>
    <mergeCell ref="A8876:A8877"/>
    <mergeCell ref="E8876:E8877"/>
    <mergeCell ref="F8876:H8876"/>
    <mergeCell ref="J8876:J8877"/>
    <mergeCell ref="K8876:L8877"/>
    <mergeCell ref="M8876:N8877"/>
    <mergeCell ref="O8876:P8877"/>
    <mergeCell ref="Q8876:R8877"/>
    <mergeCell ref="S8876:T8877"/>
    <mergeCell ref="U8876:V8877"/>
    <mergeCell ref="W8876:W8877"/>
    <mergeCell ref="X8876:AB8876"/>
    <mergeCell ref="AD8876:AI8876"/>
    <mergeCell ref="AJ8876:AL8876"/>
    <mergeCell ref="AN8876:AO8876"/>
    <mergeCell ref="AP8876:AQ8876"/>
    <mergeCell ref="AR8876:AS8877"/>
    <mergeCell ref="AT8876:AU8877"/>
    <mergeCell ref="AV8876:AW8877"/>
    <mergeCell ref="AX8876:AY8877"/>
    <mergeCell ref="AZ8876:AZ8877"/>
    <mergeCell ref="F8877:H8877"/>
    <mergeCell ref="X8877:AB8877"/>
    <mergeCell ref="AE8877:AI8877"/>
    <mergeCell ref="AJ8877:AL8877"/>
    <mergeCell ref="AN8877:AO8877"/>
    <mergeCell ref="AP8877:AQ8877"/>
    <mergeCell ref="A8874:A8875"/>
    <mergeCell ref="E8874:E8875"/>
    <mergeCell ref="F8874:H8874"/>
    <mergeCell ref="J8874:J8875"/>
    <mergeCell ref="K8874:L8875"/>
    <mergeCell ref="M8874:N8875"/>
    <mergeCell ref="O8874:P8875"/>
    <mergeCell ref="Q8874:R8875"/>
    <mergeCell ref="S8874:T8875"/>
    <mergeCell ref="U8874:V8875"/>
    <mergeCell ref="A8878:A8879"/>
    <mergeCell ref="E8878:E8879"/>
    <mergeCell ref="F8878:H8878"/>
    <mergeCell ref="J8878:J8879"/>
    <mergeCell ref="K8878:L8879"/>
    <mergeCell ref="M8878:N8879"/>
    <mergeCell ref="O8878:P8879"/>
    <mergeCell ref="Q8878:R8879"/>
    <mergeCell ref="S8878:T8879"/>
    <mergeCell ref="U8878:V8879"/>
    <mergeCell ref="W8878:W8879"/>
    <mergeCell ref="X8878:AB8878"/>
    <mergeCell ref="AD8878:AI8878"/>
    <mergeCell ref="AJ8878:AL8878"/>
    <mergeCell ref="AN8878:AO8878"/>
    <mergeCell ref="AP8878:AQ8878"/>
    <mergeCell ref="AR8878:AS8879"/>
    <mergeCell ref="AT8878:AU8879"/>
    <mergeCell ref="AV8878:AW8879"/>
    <mergeCell ref="AX8878:AY8879"/>
    <mergeCell ref="AZ8878:AZ8879"/>
    <mergeCell ref="F8879:H8879"/>
    <mergeCell ref="X8879:AB8879"/>
    <mergeCell ref="AE8879:AI8879"/>
    <mergeCell ref="AJ8879:AL8879"/>
    <mergeCell ref="AN8879:AO8879"/>
    <mergeCell ref="AP8879:AQ8879"/>
    <mergeCell ref="A8880:A8881"/>
    <mergeCell ref="E8880:E8881"/>
    <mergeCell ref="F8880:H8880"/>
    <mergeCell ref="J8880:J8881"/>
    <mergeCell ref="K8880:L8881"/>
    <mergeCell ref="M8880:N8881"/>
    <mergeCell ref="O8880:P8881"/>
    <mergeCell ref="Q8880:R8881"/>
    <mergeCell ref="S8880:T8881"/>
    <mergeCell ref="U8880:V8881"/>
    <mergeCell ref="W8880:W8881"/>
    <mergeCell ref="X8880:AB8880"/>
    <mergeCell ref="AD8880:AI8880"/>
    <mergeCell ref="AJ8880:AL8880"/>
    <mergeCell ref="AN8880:AO8880"/>
    <mergeCell ref="AP8880:AQ8880"/>
    <mergeCell ref="AR8880:AS8881"/>
    <mergeCell ref="AT8880:AU8881"/>
    <mergeCell ref="AV8880:AW8881"/>
    <mergeCell ref="AX8880:AY8881"/>
    <mergeCell ref="AZ8880:AZ8881"/>
    <mergeCell ref="F8881:H8881"/>
    <mergeCell ref="X8881:AB8881"/>
    <mergeCell ref="AE8881:AI8881"/>
    <mergeCell ref="AJ8881:AL8881"/>
    <mergeCell ref="AN8881:AO8881"/>
    <mergeCell ref="AP8881:AQ8881"/>
    <mergeCell ref="A8882:A8883"/>
    <mergeCell ref="E8882:E8883"/>
    <mergeCell ref="F8882:H8882"/>
    <mergeCell ref="J8882:J8883"/>
    <mergeCell ref="K8882:L8883"/>
    <mergeCell ref="M8882:N8883"/>
    <mergeCell ref="O8882:P8883"/>
    <mergeCell ref="Q8882:R8883"/>
    <mergeCell ref="S8882:T8883"/>
    <mergeCell ref="U8882:V8883"/>
    <mergeCell ref="W8882:W8883"/>
    <mergeCell ref="X8882:AB8882"/>
    <mergeCell ref="AD8882:AI8882"/>
    <mergeCell ref="AJ8882:AL8882"/>
    <mergeCell ref="AN8882:AO8882"/>
    <mergeCell ref="AP8882:AQ8882"/>
    <mergeCell ref="AR8882:AS8883"/>
    <mergeCell ref="AT8882:AU8883"/>
    <mergeCell ref="AV8882:AW8883"/>
    <mergeCell ref="AX8882:AY8883"/>
    <mergeCell ref="AZ8882:AZ8883"/>
    <mergeCell ref="F8883:H8883"/>
    <mergeCell ref="X8883:AB8883"/>
    <mergeCell ref="AE8883:AI8883"/>
    <mergeCell ref="AJ8883:AL8883"/>
    <mergeCell ref="AN8883:AO8883"/>
    <mergeCell ref="AP8883:AQ8883"/>
    <mergeCell ref="A8884:A8885"/>
    <mergeCell ref="E8884:E8885"/>
    <mergeCell ref="F8884:H8884"/>
    <mergeCell ref="J8884:J8885"/>
    <mergeCell ref="K8884:L8885"/>
    <mergeCell ref="M8884:N8885"/>
    <mergeCell ref="O8884:P8885"/>
    <mergeCell ref="Q8884:R8885"/>
    <mergeCell ref="S8884:T8885"/>
    <mergeCell ref="U8884:V8885"/>
    <mergeCell ref="W8884:W8885"/>
    <mergeCell ref="X8884:AB8884"/>
    <mergeCell ref="AD8884:AI8884"/>
    <mergeCell ref="AJ8884:AL8884"/>
    <mergeCell ref="AN8884:AO8884"/>
    <mergeCell ref="AP8884:AQ8884"/>
    <mergeCell ref="AR8884:AS8885"/>
    <mergeCell ref="AT8884:AU8885"/>
    <mergeCell ref="AV8884:AW8885"/>
    <mergeCell ref="AX8884:AY8885"/>
    <mergeCell ref="AZ8884:AZ8885"/>
    <mergeCell ref="F8885:H8885"/>
    <mergeCell ref="X8885:AB8885"/>
    <mergeCell ref="AE8885:AI8885"/>
    <mergeCell ref="AJ8885:AL8885"/>
    <mergeCell ref="AN8885:AO8885"/>
    <mergeCell ref="AP8885:AQ8885"/>
    <mergeCell ref="A8886:A8887"/>
    <mergeCell ref="E8886:E8887"/>
    <mergeCell ref="F8886:H8886"/>
    <mergeCell ref="J8886:J8887"/>
    <mergeCell ref="K8886:L8887"/>
    <mergeCell ref="M8886:N8887"/>
    <mergeCell ref="O8886:P8887"/>
    <mergeCell ref="Q8886:R8887"/>
    <mergeCell ref="S8886:T8887"/>
    <mergeCell ref="U8886:V8887"/>
    <mergeCell ref="W8886:W8887"/>
    <mergeCell ref="X8886:AB8886"/>
    <mergeCell ref="AD8886:AI8886"/>
    <mergeCell ref="AJ8886:AL8886"/>
    <mergeCell ref="AN8886:AO8886"/>
    <mergeCell ref="AP8886:AQ8886"/>
    <mergeCell ref="AR8886:AS8887"/>
    <mergeCell ref="AT8886:AU8887"/>
    <mergeCell ref="AV8886:AW8887"/>
    <mergeCell ref="AX8886:AY8887"/>
    <mergeCell ref="AZ8886:AZ8887"/>
    <mergeCell ref="F8887:H8887"/>
    <mergeCell ref="X8887:AB8887"/>
    <mergeCell ref="AE8887:AI8887"/>
    <mergeCell ref="AJ8887:AL8887"/>
    <mergeCell ref="AN8887:AO8887"/>
    <mergeCell ref="AP8887:AQ8887"/>
    <mergeCell ref="A8888:A8889"/>
    <mergeCell ref="E8888:E8889"/>
    <mergeCell ref="F8888:H8888"/>
    <mergeCell ref="J8888:J8889"/>
    <mergeCell ref="K8888:L8889"/>
    <mergeCell ref="M8888:N8889"/>
    <mergeCell ref="O8888:P8889"/>
    <mergeCell ref="Q8888:R8889"/>
    <mergeCell ref="S8888:T8889"/>
    <mergeCell ref="U8888:V8889"/>
    <mergeCell ref="W8888:W8889"/>
    <mergeCell ref="X8888:AB8888"/>
    <mergeCell ref="AD8888:AI8888"/>
    <mergeCell ref="AJ8888:AL8888"/>
    <mergeCell ref="AN8888:AO8888"/>
    <mergeCell ref="AP8888:AQ8888"/>
    <mergeCell ref="AR8888:AS8889"/>
    <mergeCell ref="AT8888:AU8889"/>
    <mergeCell ref="AV8888:AW8889"/>
    <mergeCell ref="AX8888:AY8889"/>
    <mergeCell ref="AZ8888:AZ8889"/>
    <mergeCell ref="F8889:H8889"/>
    <mergeCell ref="X8889:AB8889"/>
    <mergeCell ref="AE8889:AI8889"/>
    <mergeCell ref="AJ8889:AL8889"/>
    <mergeCell ref="AN8889:AO8889"/>
    <mergeCell ref="AP8889:AQ8889"/>
    <mergeCell ref="A8890:A8891"/>
    <mergeCell ref="E8890:E8891"/>
    <mergeCell ref="F8890:H8890"/>
    <mergeCell ref="J8890:J8891"/>
    <mergeCell ref="K8890:L8891"/>
    <mergeCell ref="M8890:N8891"/>
    <mergeCell ref="O8890:P8891"/>
    <mergeCell ref="Q8890:R8891"/>
    <mergeCell ref="S8890:T8891"/>
    <mergeCell ref="U8890:V8891"/>
    <mergeCell ref="W8890:W8891"/>
    <mergeCell ref="X8890:AB8890"/>
    <mergeCell ref="AD8890:AI8890"/>
    <mergeCell ref="AJ8890:AL8890"/>
    <mergeCell ref="AN8890:AO8890"/>
    <mergeCell ref="AP8890:AQ8890"/>
    <mergeCell ref="AR8890:AS8891"/>
    <mergeCell ref="AT8890:AU8891"/>
    <mergeCell ref="AV8890:AW8891"/>
    <mergeCell ref="AX8890:AY8891"/>
    <mergeCell ref="AZ8890:AZ8891"/>
    <mergeCell ref="F8891:H8891"/>
    <mergeCell ref="X8891:AB8891"/>
    <mergeCell ref="AE8891:AI8891"/>
    <mergeCell ref="AJ8891:AL8891"/>
    <mergeCell ref="AN8891:AO8891"/>
    <mergeCell ref="AP8891:AQ8891"/>
    <mergeCell ref="A8892:A8893"/>
    <mergeCell ref="E8892:E8893"/>
    <mergeCell ref="F8892:H8892"/>
    <mergeCell ref="J8892:J8893"/>
    <mergeCell ref="K8892:L8893"/>
    <mergeCell ref="M8892:N8893"/>
    <mergeCell ref="O8892:P8893"/>
    <mergeCell ref="Q8892:R8893"/>
    <mergeCell ref="S8892:T8893"/>
    <mergeCell ref="U8892:V8893"/>
    <mergeCell ref="W8892:W8893"/>
    <mergeCell ref="X8892:AB8892"/>
    <mergeCell ref="AD8892:AI8892"/>
    <mergeCell ref="AJ8892:AL8892"/>
    <mergeCell ref="AN8892:AO8892"/>
    <mergeCell ref="AP8892:AQ8892"/>
    <mergeCell ref="AR8892:AS8893"/>
    <mergeCell ref="AT8892:AU8893"/>
    <mergeCell ref="AV8892:AW8893"/>
    <mergeCell ref="AX8892:AY8893"/>
    <mergeCell ref="AZ8892:AZ8893"/>
    <mergeCell ref="F8893:H8893"/>
    <mergeCell ref="X8893:AB8893"/>
    <mergeCell ref="AE8893:AI8893"/>
    <mergeCell ref="AJ8893:AL8893"/>
    <mergeCell ref="AN8893:AO8893"/>
    <mergeCell ref="AP8893:AQ8893"/>
    <mergeCell ref="A8894:A8895"/>
    <mergeCell ref="E8894:E8895"/>
    <mergeCell ref="F8894:H8894"/>
    <mergeCell ref="J8894:J8895"/>
    <mergeCell ref="K8894:L8895"/>
    <mergeCell ref="M8894:N8895"/>
    <mergeCell ref="O8894:P8895"/>
    <mergeCell ref="Q8894:R8895"/>
    <mergeCell ref="S8894:T8895"/>
    <mergeCell ref="U8894:V8895"/>
    <mergeCell ref="W8894:W8895"/>
    <mergeCell ref="X8894:AB8894"/>
    <mergeCell ref="AD8894:AI8894"/>
    <mergeCell ref="AJ8894:AL8894"/>
    <mergeCell ref="AN8894:AO8894"/>
    <mergeCell ref="AP8894:AQ8894"/>
    <mergeCell ref="AR8894:AS8895"/>
    <mergeCell ref="AT8894:AU8895"/>
    <mergeCell ref="AV8894:AW8895"/>
    <mergeCell ref="AX8894:AY8895"/>
    <mergeCell ref="AZ8894:AZ8895"/>
    <mergeCell ref="F8895:H8895"/>
    <mergeCell ref="X8895:AB8895"/>
    <mergeCell ref="AE8895:AI8895"/>
    <mergeCell ref="AJ8895:AL8895"/>
    <mergeCell ref="AN8895:AO8895"/>
    <mergeCell ref="AP8895:AQ8895"/>
    <mergeCell ref="A8896:A8897"/>
    <mergeCell ref="E8896:E8897"/>
    <mergeCell ref="F8896:H8896"/>
    <mergeCell ref="J8896:J8897"/>
    <mergeCell ref="K8896:L8897"/>
    <mergeCell ref="M8896:N8897"/>
    <mergeCell ref="O8896:P8897"/>
    <mergeCell ref="Q8896:R8897"/>
    <mergeCell ref="S8896:T8897"/>
    <mergeCell ref="U8896:V8897"/>
    <mergeCell ref="W8896:W8897"/>
    <mergeCell ref="X8896:AB8896"/>
    <mergeCell ref="AD8896:AI8896"/>
    <mergeCell ref="AJ8896:AL8896"/>
    <mergeCell ref="AN8896:AO8896"/>
    <mergeCell ref="AP8896:AQ8896"/>
    <mergeCell ref="AR8896:AS8897"/>
    <mergeCell ref="AT8896:AU8897"/>
    <mergeCell ref="AV8896:AW8897"/>
    <mergeCell ref="AX8896:AY8897"/>
    <mergeCell ref="AZ8896:AZ8897"/>
    <mergeCell ref="F8897:H8897"/>
    <mergeCell ref="X8897:AB8897"/>
    <mergeCell ref="AE8897:AI8897"/>
    <mergeCell ref="AJ8897:AL8897"/>
    <mergeCell ref="AN8897:AO8897"/>
    <mergeCell ref="AP8897:AQ8897"/>
    <mergeCell ref="A8898:A8899"/>
    <mergeCell ref="E8898:E8899"/>
    <mergeCell ref="F8898:H8898"/>
    <mergeCell ref="J8898:J8899"/>
    <mergeCell ref="K8898:L8899"/>
    <mergeCell ref="M8898:N8899"/>
    <mergeCell ref="O8898:P8899"/>
    <mergeCell ref="Q8898:R8899"/>
    <mergeCell ref="S8898:T8899"/>
    <mergeCell ref="U8898:V8899"/>
    <mergeCell ref="W8898:W8899"/>
    <mergeCell ref="X8898:AB8898"/>
    <mergeCell ref="AD8898:AI8898"/>
    <mergeCell ref="AJ8898:AL8898"/>
    <mergeCell ref="AN8898:AO8898"/>
    <mergeCell ref="AP8898:AQ8898"/>
    <mergeCell ref="AR8898:AS8899"/>
    <mergeCell ref="AT8898:AU8899"/>
    <mergeCell ref="AV8898:AW8899"/>
    <mergeCell ref="AX8898:AY8899"/>
    <mergeCell ref="AZ8898:AZ8899"/>
    <mergeCell ref="F8899:H8899"/>
    <mergeCell ref="X8899:AB8899"/>
    <mergeCell ref="AE8899:AI8899"/>
    <mergeCell ref="AJ8899:AL8899"/>
    <mergeCell ref="AN8899:AO8899"/>
    <mergeCell ref="AP8899:AQ8899"/>
    <mergeCell ref="A8900:A8901"/>
    <mergeCell ref="E8900:E8901"/>
    <mergeCell ref="F8900:H8900"/>
    <mergeCell ref="J8900:J8901"/>
    <mergeCell ref="K8900:L8901"/>
    <mergeCell ref="M8900:N8901"/>
    <mergeCell ref="O8900:P8901"/>
    <mergeCell ref="Q8900:R8901"/>
    <mergeCell ref="S8900:T8901"/>
    <mergeCell ref="U8900:V8901"/>
    <mergeCell ref="W8900:W8901"/>
    <mergeCell ref="X8900:AB8900"/>
    <mergeCell ref="AD8900:AI8900"/>
    <mergeCell ref="AJ8900:AL8900"/>
    <mergeCell ref="AN8900:AO8900"/>
    <mergeCell ref="AP8900:AQ8900"/>
    <mergeCell ref="AR8900:AS8901"/>
    <mergeCell ref="AT8900:AU8901"/>
    <mergeCell ref="AV8900:AW8901"/>
    <mergeCell ref="AX8900:AY8901"/>
    <mergeCell ref="AZ8900:AZ8901"/>
    <mergeCell ref="F8901:H8901"/>
    <mergeCell ref="X8901:AB8901"/>
    <mergeCell ref="AE8901:AI8901"/>
    <mergeCell ref="AJ8901:AL8901"/>
    <mergeCell ref="AN8901:AO8901"/>
    <mergeCell ref="AP8901:AQ8901"/>
    <mergeCell ref="A8902:A8903"/>
    <mergeCell ref="E8902:E8903"/>
    <mergeCell ref="F8902:H8902"/>
    <mergeCell ref="J8902:J8903"/>
    <mergeCell ref="K8902:L8903"/>
    <mergeCell ref="M8902:N8903"/>
    <mergeCell ref="O8902:P8903"/>
    <mergeCell ref="Q8902:R8903"/>
    <mergeCell ref="S8902:T8903"/>
    <mergeCell ref="U8902:V8903"/>
    <mergeCell ref="W8902:W8903"/>
    <mergeCell ref="X8902:AB8902"/>
    <mergeCell ref="AD8902:AI8902"/>
    <mergeCell ref="AJ8902:AL8902"/>
    <mergeCell ref="AN8902:AO8902"/>
    <mergeCell ref="AP8902:AQ8902"/>
    <mergeCell ref="AR8902:AS8903"/>
    <mergeCell ref="AT8902:AU8903"/>
    <mergeCell ref="AV8902:AW8903"/>
    <mergeCell ref="AX8902:AY8903"/>
    <mergeCell ref="AZ8902:AZ8903"/>
    <mergeCell ref="F8903:H8903"/>
    <mergeCell ref="X8903:AB8903"/>
    <mergeCell ref="AE8903:AI8903"/>
    <mergeCell ref="AJ8903:AL8903"/>
    <mergeCell ref="AN8903:AO8903"/>
    <mergeCell ref="AP8903:AQ8903"/>
    <mergeCell ref="A8904:A8905"/>
    <mergeCell ref="E8904:E8905"/>
    <mergeCell ref="F8904:H8904"/>
    <mergeCell ref="J8904:J8905"/>
    <mergeCell ref="K8904:L8905"/>
    <mergeCell ref="M8904:N8905"/>
    <mergeCell ref="O8904:P8905"/>
    <mergeCell ref="Q8904:R8905"/>
    <mergeCell ref="S8904:T8905"/>
    <mergeCell ref="U8904:V8905"/>
    <mergeCell ref="W8904:W8905"/>
    <mergeCell ref="X8904:AB8904"/>
    <mergeCell ref="AD8904:AI8904"/>
    <mergeCell ref="AJ8904:AL8904"/>
    <mergeCell ref="AN8904:AO8904"/>
    <mergeCell ref="AP8904:AQ8904"/>
    <mergeCell ref="AR8904:AS8905"/>
    <mergeCell ref="AT8904:AU8905"/>
    <mergeCell ref="AV8904:AW8905"/>
    <mergeCell ref="AX8904:AY8905"/>
    <mergeCell ref="AZ8904:AZ8905"/>
    <mergeCell ref="F8905:H8905"/>
    <mergeCell ref="X8905:AB8905"/>
    <mergeCell ref="AE8905:AI8905"/>
    <mergeCell ref="AJ8905:AL8905"/>
    <mergeCell ref="AN8905:AO8905"/>
    <mergeCell ref="AP8905:AQ8905"/>
    <mergeCell ref="A8906:A8907"/>
    <mergeCell ref="E8906:E8907"/>
    <mergeCell ref="F8906:H8906"/>
    <mergeCell ref="J8906:J8907"/>
    <mergeCell ref="K8906:L8907"/>
    <mergeCell ref="M8906:N8907"/>
    <mergeCell ref="O8906:P8907"/>
    <mergeCell ref="Q8906:R8907"/>
    <mergeCell ref="S8906:T8907"/>
    <mergeCell ref="U8906:V8907"/>
    <mergeCell ref="W8906:W8907"/>
    <mergeCell ref="X8906:AB8906"/>
    <mergeCell ref="AD8906:AI8906"/>
    <mergeCell ref="AJ8906:AL8906"/>
    <mergeCell ref="AN8906:AO8906"/>
    <mergeCell ref="AP8906:AQ8906"/>
    <mergeCell ref="AR8906:AS8907"/>
    <mergeCell ref="AT8906:AU8907"/>
    <mergeCell ref="AV8906:AW8907"/>
    <mergeCell ref="AX8906:AY8907"/>
    <mergeCell ref="AZ8906:AZ8907"/>
    <mergeCell ref="F8907:H8907"/>
    <mergeCell ref="X8907:AB8907"/>
    <mergeCell ref="AE8907:AI8907"/>
    <mergeCell ref="AJ8907:AL8907"/>
    <mergeCell ref="AN8907:AO8907"/>
    <mergeCell ref="AP8907:AQ8907"/>
    <mergeCell ref="A8908:A8909"/>
    <mergeCell ref="E8908:E8909"/>
    <mergeCell ref="F8908:H8908"/>
    <mergeCell ref="J8908:J8909"/>
    <mergeCell ref="K8908:L8909"/>
    <mergeCell ref="M8908:N8909"/>
    <mergeCell ref="O8908:P8909"/>
    <mergeCell ref="Q8908:R8909"/>
    <mergeCell ref="S8908:T8909"/>
    <mergeCell ref="U8908:V8909"/>
    <mergeCell ref="W8908:W8909"/>
    <mergeCell ref="X8908:AB8908"/>
    <mergeCell ref="AD8908:AI8908"/>
    <mergeCell ref="AJ8908:AL8908"/>
    <mergeCell ref="AN8908:AO8908"/>
    <mergeCell ref="AP8908:AQ8908"/>
    <mergeCell ref="AR8908:AS8909"/>
    <mergeCell ref="AT8908:AU8909"/>
    <mergeCell ref="AV8908:AW8909"/>
    <mergeCell ref="AX8908:AY8909"/>
    <mergeCell ref="AZ8908:AZ8909"/>
    <mergeCell ref="F8909:H8909"/>
    <mergeCell ref="X8909:AB8909"/>
    <mergeCell ref="AE8909:AI8909"/>
    <mergeCell ref="AJ8909:AL8909"/>
    <mergeCell ref="AN8909:AO8909"/>
    <mergeCell ref="AP8909:AQ8909"/>
    <mergeCell ref="A8910:A8911"/>
    <mergeCell ref="E8910:E8911"/>
    <mergeCell ref="F8910:H8910"/>
    <mergeCell ref="J8910:J8911"/>
    <mergeCell ref="K8910:L8911"/>
    <mergeCell ref="M8910:N8911"/>
    <mergeCell ref="O8910:P8911"/>
    <mergeCell ref="Q8910:R8911"/>
    <mergeCell ref="S8910:T8911"/>
    <mergeCell ref="U8910:V8911"/>
    <mergeCell ref="W8910:W8911"/>
    <mergeCell ref="X8910:AB8910"/>
    <mergeCell ref="AD8910:AI8910"/>
    <mergeCell ref="AJ8910:AL8910"/>
    <mergeCell ref="AN8910:AO8910"/>
    <mergeCell ref="AP8910:AQ8910"/>
    <mergeCell ref="AR8910:AS8911"/>
    <mergeCell ref="AT8910:AU8911"/>
    <mergeCell ref="AV8910:AW8911"/>
    <mergeCell ref="AX8910:AY8911"/>
    <mergeCell ref="AZ8910:AZ8911"/>
    <mergeCell ref="F8911:H8911"/>
    <mergeCell ref="X8911:AB8911"/>
    <mergeCell ref="AE8911:AI8911"/>
    <mergeCell ref="AJ8911:AL8911"/>
    <mergeCell ref="AN8911:AO8911"/>
    <mergeCell ref="AP8911:AQ8911"/>
    <mergeCell ref="A8912:A8913"/>
    <mergeCell ref="E8912:E8913"/>
    <mergeCell ref="F8912:H8912"/>
    <mergeCell ref="J8912:J8913"/>
    <mergeCell ref="K8912:L8913"/>
    <mergeCell ref="M8912:N8913"/>
    <mergeCell ref="O8912:P8913"/>
    <mergeCell ref="Q8912:R8913"/>
    <mergeCell ref="S8912:T8913"/>
    <mergeCell ref="U8912:V8913"/>
    <mergeCell ref="W8912:W8913"/>
    <mergeCell ref="X8912:AB8912"/>
    <mergeCell ref="AD8912:AI8912"/>
    <mergeCell ref="AJ8912:AL8912"/>
    <mergeCell ref="AN8912:AO8912"/>
    <mergeCell ref="AP8912:AQ8912"/>
    <mergeCell ref="AR8912:AS8913"/>
    <mergeCell ref="AT8912:AU8913"/>
    <mergeCell ref="AV8912:AW8913"/>
    <mergeCell ref="AX8912:AY8913"/>
    <mergeCell ref="AZ8912:AZ8913"/>
    <mergeCell ref="F8913:H8913"/>
    <mergeCell ref="X8913:AB8913"/>
    <mergeCell ref="AE8913:AI8913"/>
    <mergeCell ref="AJ8913:AL8913"/>
    <mergeCell ref="AN8913:AO8913"/>
    <mergeCell ref="AP8913:AQ8913"/>
    <mergeCell ref="A8914:A8915"/>
    <mergeCell ref="E8914:E8915"/>
    <mergeCell ref="F8914:H8914"/>
    <mergeCell ref="J8914:J8915"/>
    <mergeCell ref="K8914:L8915"/>
    <mergeCell ref="M8914:N8915"/>
    <mergeCell ref="O8914:P8915"/>
    <mergeCell ref="Q8914:R8915"/>
    <mergeCell ref="S8914:T8915"/>
    <mergeCell ref="U8914:V8915"/>
    <mergeCell ref="W8914:W8915"/>
    <mergeCell ref="X8914:AB8914"/>
    <mergeCell ref="AD8914:AI8914"/>
    <mergeCell ref="AJ8914:AL8914"/>
    <mergeCell ref="AN8914:AO8914"/>
    <mergeCell ref="AP8914:AQ8914"/>
    <mergeCell ref="AR8914:AS8915"/>
    <mergeCell ref="AT8914:AU8915"/>
    <mergeCell ref="AV8914:AW8915"/>
    <mergeCell ref="AX8914:AY8915"/>
    <mergeCell ref="AZ8914:AZ8915"/>
    <mergeCell ref="F8915:H8915"/>
    <mergeCell ref="X8915:AB8915"/>
    <mergeCell ref="AE8915:AI8915"/>
    <mergeCell ref="AJ8915:AL8915"/>
    <mergeCell ref="AN8915:AO8915"/>
    <mergeCell ref="AP8915:AQ8915"/>
    <mergeCell ref="A8916:A8917"/>
    <mergeCell ref="E8916:E8917"/>
    <mergeCell ref="F8916:H8916"/>
    <mergeCell ref="J8916:J8917"/>
    <mergeCell ref="K8916:L8917"/>
    <mergeCell ref="M8916:N8917"/>
    <mergeCell ref="O8916:P8917"/>
    <mergeCell ref="Q8916:R8917"/>
    <mergeCell ref="S8916:T8917"/>
    <mergeCell ref="U8916:V8917"/>
    <mergeCell ref="W8916:W8917"/>
    <mergeCell ref="X8916:AB8916"/>
    <mergeCell ref="AD8916:AI8916"/>
    <mergeCell ref="AJ8916:AL8916"/>
    <mergeCell ref="AN8916:AO8916"/>
    <mergeCell ref="AP8916:AQ8916"/>
    <mergeCell ref="AR8916:AS8917"/>
    <mergeCell ref="AT8916:AU8917"/>
    <mergeCell ref="AV8916:AW8917"/>
    <mergeCell ref="AX8916:AY8917"/>
    <mergeCell ref="AZ8916:AZ8917"/>
    <mergeCell ref="F8917:H8917"/>
    <mergeCell ref="X8917:AB8917"/>
    <mergeCell ref="AE8917:AI8917"/>
    <mergeCell ref="AJ8917:AL8917"/>
    <mergeCell ref="AN8917:AO8917"/>
    <mergeCell ref="AP8917:AQ8917"/>
    <mergeCell ref="A8918:A8919"/>
    <mergeCell ref="E8918:E8919"/>
    <mergeCell ref="F8918:H8918"/>
    <mergeCell ref="J8918:J8919"/>
    <mergeCell ref="K8918:L8919"/>
    <mergeCell ref="M8918:N8919"/>
    <mergeCell ref="O8918:P8919"/>
    <mergeCell ref="Q8918:R8919"/>
    <mergeCell ref="S8918:T8919"/>
    <mergeCell ref="U8918:V8919"/>
    <mergeCell ref="W8918:W8919"/>
    <mergeCell ref="X8918:AB8918"/>
    <mergeCell ref="AD8918:AI8918"/>
    <mergeCell ref="AJ8918:AL8918"/>
    <mergeCell ref="AN8918:AO8918"/>
    <mergeCell ref="AP8918:AQ8918"/>
    <mergeCell ref="AR8918:AS8919"/>
    <mergeCell ref="AT8918:AU8919"/>
    <mergeCell ref="AV8918:AW8919"/>
    <mergeCell ref="AX8918:AY8919"/>
    <mergeCell ref="AZ8918:AZ8919"/>
    <mergeCell ref="F8919:H8919"/>
    <mergeCell ref="X8919:AB8919"/>
    <mergeCell ref="AE8919:AI8919"/>
    <mergeCell ref="AJ8919:AL8919"/>
    <mergeCell ref="AN8919:AO8919"/>
    <mergeCell ref="AP8919:AQ8919"/>
    <mergeCell ref="A8920:A8921"/>
    <mergeCell ref="E8920:E8921"/>
    <mergeCell ref="F8920:H8920"/>
    <mergeCell ref="J8920:J8921"/>
    <mergeCell ref="K8920:L8921"/>
    <mergeCell ref="M8920:N8921"/>
    <mergeCell ref="O8920:P8921"/>
    <mergeCell ref="Q8920:R8921"/>
    <mergeCell ref="S8920:T8921"/>
    <mergeCell ref="U8920:V8921"/>
    <mergeCell ref="W8920:W8921"/>
    <mergeCell ref="X8920:AB8920"/>
    <mergeCell ref="AD8920:AI8920"/>
    <mergeCell ref="AJ8920:AL8920"/>
    <mergeCell ref="AN8920:AO8920"/>
    <mergeCell ref="AP8920:AQ8920"/>
    <mergeCell ref="AR8920:AS8921"/>
    <mergeCell ref="AT8920:AU8921"/>
    <mergeCell ref="AV8920:AW8921"/>
    <mergeCell ref="AX8920:AY8921"/>
    <mergeCell ref="AZ8920:AZ8921"/>
    <mergeCell ref="F8921:H8921"/>
    <mergeCell ref="X8921:AB8921"/>
    <mergeCell ref="AE8921:AI8921"/>
    <mergeCell ref="AJ8921:AL8921"/>
    <mergeCell ref="AN8921:AO8921"/>
    <mergeCell ref="AP8921:AQ8921"/>
    <mergeCell ref="A8922:A8923"/>
    <mergeCell ref="E8922:E8923"/>
    <mergeCell ref="F8922:H8922"/>
    <mergeCell ref="J8922:J8923"/>
    <mergeCell ref="K8922:L8923"/>
    <mergeCell ref="M8922:N8923"/>
    <mergeCell ref="O8922:P8923"/>
    <mergeCell ref="Q8922:R8923"/>
    <mergeCell ref="S8922:T8923"/>
    <mergeCell ref="U8922:V8923"/>
    <mergeCell ref="W8922:W8923"/>
    <mergeCell ref="X8922:AB8922"/>
    <mergeCell ref="AD8922:AI8922"/>
    <mergeCell ref="AJ8922:AL8922"/>
    <mergeCell ref="AN8922:AO8922"/>
    <mergeCell ref="AP8922:AQ8922"/>
    <mergeCell ref="AR8922:AS8923"/>
    <mergeCell ref="AT8922:AU8923"/>
    <mergeCell ref="AV8922:AW8923"/>
    <mergeCell ref="AX8922:AY8923"/>
    <mergeCell ref="AZ8922:AZ8923"/>
    <mergeCell ref="F8923:H8923"/>
    <mergeCell ref="X8923:AB8923"/>
    <mergeCell ref="AE8923:AI8923"/>
    <mergeCell ref="AJ8923:AL8923"/>
    <mergeCell ref="AN8923:AO8923"/>
    <mergeCell ref="AP8923:AQ8923"/>
    <mergeCell ref="A8924:A8925"/>
    <mergeCell ref="E8924:E8925"/>
    <mergeCell ref="F8924:H8924"/>
    <mergeCell ref="J8924:J8925"/>
    <mergeCell ref="K8924:L8925"/>
    <mergeCell ref="M8924:N8925"/>
    <mergeCell ref="O8924:P8925"/>
    <mergeCell ref="Q8924:R8925"/>
    <mergeCell ref="S8924:T8925"/>
    <mergeCell ref="U8924:V8925"/>
    <mergeCell ref="W8924:W8925"/>
    <mergeCell ref="X8924:AB8924"/>
    <mergeCell ref="AD8924:AI8924"/>
    <mergeCell ref="AJ8924:AL8924"/>
    <mergeCell ref="AN8924:AO8924"/>
    <mergeCell ref="AP8924:AQ8924"/>
    <mergeCell ref="AR8924:AS8925"/>
    <mergeCell ref="AT8924:AU8925"/>
    <mergeCell ref="AV8924:AW8925"/>
    <mergeCell ref="AX8924:AY8925"/>
    <mergeCell ref="AZ8924:AZ8925"/>
    <mergeCell ref="F8925:H8925"/>
    <mergeCell ref="X8925:AB8925"/>
    <mergeCell ref="AE8925:AI8925"/>
    <mergeCell ref="AJ8925:AL8925"/>
    <mergeCell ref="AN8925:AO8925"/>
    <mergeCell ref="AP8925:AQ8925"/>
    <mergeCell ref="A8926:A8927"/>
    <mergeCell ref="E8926:E8927"/>
    <mergeCell ref="F8926:H8926"/>
    <mergeCell ref="J8926:J8927"/>
    <mergeCell ref="K8926:L8927"/>
    <mergeCell ref="M8926:N8927"/>
    <mergeCell ref="O8926:P8927"/>
    <mergeCell ref="Q8926:R8927"/>
    <mergeCell ref="S8926:T8927"/>
    <mergeCell ref="U8926:V8927"/>
    <mergeCell ref="W8926:W8927"/>
    <mergeCell ref="X8926:AB8926"/>
    <mergeCell ref="AD8926:AI8926"/>
    <mergeCell ref="AJ8926:AL8926"/>
    <mergeCell ref="AN8926:AO8926"/>
    <mergeCell ref="AP8926:AQ8926"/>
    <mergeCell ref="AR8926:AS8927"/>
    <mergeCell ref="AT8926:AU8927"/>
    <mergeCell ref="AV8926:AW8927"/>
    <mergeCell ref="AX8926:AY8927"/>
    <mergeCell ref="AZ8926:AZ8927"/>
    <mergeCell ref="F8927:H8927"/>
    <mergeCell ref="X8927:AB8927"/>
    <mergeCell ref="AE8927:AI8927"/>
    <mergeCell ref="AJ8927:AL8927"/>
    <mergeCell ref="AN8927:AO8927"/>
    <mergeCell ref="AP8927:AQ8927"/>
    <mergeCell ref="A8928:A8929"/>
    <mergeCell ref="E8928:E8929"/>
    <mergeCell ref="F8928:H8928"/>
    <mergeCell ref="J8928:J8929"/>
    <mergeCell ref="K8928:L8929"/>
    <mergeCell ref="M8928:N8929"/>
    <mergeCell ref="O8928:P8929"/>
    <mergeCell ref="Q8928:R8929"/>
    <mergeCell ref="S8928:T8929"/>
    <mergeCell ref="U8928:V8929"/>
    <mergeCell ref="W8928:W8929"/>
    <mergeCell ref="X8928:AB8928"/>
    <mergeCell ref="AD8928:AI8928"/>
    <mergeCell ref="AJ8928:AL8928"/>
    <mergeCell ref="AN8928:AO8928"/>
    <mergeCell ref="AP8928:AQ8928"/>
    <mergeCell ref="AR8928:AS8929"/>
    <mergeCell ref="AT8928:AU8929"/>
    <mergeCell ref="AV8928:AW8929"/>
    <mergeCell ref="AX8928:AY8929"/>
    <mergeCell ref="AZ8928:AZ8929"/>
    <mergeCell ref="F8929:H8929"/>
    <mergeCell ref="X8929:AB8929"/>
    <mergeCell ref="AE8929:AI8929"/>
    <mergeCell ref="AJ8929:AL8929"/>
    <mergeCell ref="AN8929:AO8929"/>
    <mergeCell ref="AP8929:AQ8929"/>
    <mergeCell ref="A8930:A8931"/>
    <mergeCell ref="E8930:E8931"/>
    <mergeCell ref="F8930:H8930"/>
    <mergeCell ref="J8930:J8931"/>
    <mergeCell ref="K8930:L8931"/>
    <mergeCell ref="M8930:N8931"/>
    <mergeCell ref="O8930:P8931"/>
    <mergeCell ref="Q8930:R8931"/>
    <mergeCell ref="S8930:T8931"/>
    <mergeCell ref="U8930:V8931"/>
    <mergeCell ref="W8930:W8931"/>
    <mergeCell ref="X8930:AB8930"/>
    <mergeCell ref="AD8930:AI8930"/>
    <mergeCell ref="AJ8930:AL8930"/>
    <mergeCell ref="AN8930:AO8930"/>
    <mergeCell ref="AP8930:AQ8930"/>
    <mergeCell ref="AR8930:AS8931"/>
    <mergeCell ref="AT8930:AU8931"/>
    <mergeCell ref="AV8930:AW8931"/>
    <mergeCell ref="AX8930:AY8931"/>
    <mergeCell ref="AZ8930:AZ8931"/>
    <mergeCell ref="F8931:H8931"/>
    <mergeCell ref="X8931:AB8931"/>
    <mergeCell ref="AE8931:AI8931"/>
    <mergeCell ref="AJ8931:AL8931"/>
    <mergeCell ref="AN8931:AO8931"/>
    <mergeCell ref="AP8931:AQ8931"/>
    <mergeCell ref="A8932:A8933"/>
    <mergeCell ref="E8932:E8933"/>
    <mergeCell ref="F8932:H8932"/>
    <mergeCell ref="J8932:J8933"/>
    <mergeCell ref="K8932:L8933"/>
    <mergeCell ref="M8932:N8933"/>
    <mergeCell ref="O8932:P8933"/>
    <mergeCell ref="Q8932:R8933"/>
    <mergeCell ref="S8932:T8933"/>
    <mergeCell ref="U8932:V8933"/>
    <mergeCell ref="W8932:W8933"/>
    <mergeCell ref="X8932:AB8932"/>
    <mergeCell ref="AD8932:AI8932"/>
    <mergeCell ref="AJ8932:AL8932"/>
    <mergeCell ref="AN8932:AO8932"/>
    <mergeCell ref="AP8932:AQ8932"/>
    <mergeCell ref="AR8932:AS8933"/>
    <mergeCell ref="AT8932:AU8933"/>
    <mergeCell ref="AV8932:AW8933"/>
    <mergeCell ref="AX8932:AY8933"/>
    <mergeCell ref="AZ8932:AZ8933"/>
    <mergeCell ref="F8933:H8933"/>
    <mergeCell ref="X8933:AB8933"/>
    <mergeCell ref="AE8933:AI8933"/>
    <mergeCell ref="AJ8933:AL8933"/>
    <mergeCell ref="AN8933:AO8933"/>
    <mergeCell ref="AP8933:AQ8933"/>
    <mergeCell ref="A8934:A8935"/>
    <mergeCell ref="E8934:E8935"/>
    <mergeCell ref="F8934:H8934"/>
    <mergeCell ref="J8934:J8935"/>
    <mergeCell ref="K8934:L8935"/>
    <mergeCell ref="M8934:N8935"/>
    <mergeCell ref="O8934:P8935"/>
    <mergeCell ref="Q8934:R8935"/>
    <mergeCell ref="S8934:T8935"/>
    <mergeCell ref="U8934:V8935"/>
    <mergeCell ref="W8934:W8935"/>
    <mergeCell ref="X8934:AB8934"/>
    <mergeCell ref="AD8934:AI8934"/>
    <mergeCell ref="AJ8934:AL8934"/>
    <mergeCell ref="AN8934:AO8934"/>
    <mergeCell ref="AP8934:AQ8934"/>
    <mergeCell ref="AR8934:AS8935"/>
    <mergeCell ref="AT8934:AU8935"/>
    <mergeCell ref="AV8934:AW8935"/>
    <mergeCell ref="AX8934:AY8935"/>
    <mergeCell ref="AZ8934:AZ8935"/>
    <mergeCell ref="F8935:H8935"/>
    <mergeCell ref="X8935:AB8935"/>
    <mergeCell ref="AE8935:AI8935"/>
    <mergeCell ref="AJ8935:AL8935"/>
    <mergeCell ref="AN8935:AO8935"/>
    <mergeCell ref="AP8935:AQ8935"/>
    <mergeCell ref="A8936:A8937"/>
    <mergeCell ref="E8936:E8937"/>
    <mergeCell ref="F8936:H8936"/>
    <mergeCell ref="J8936:J8937"/>
    <mergeCell ref="K8936:L8937"/>
    <mergeCell ref="M8936:N8937"/>
    <mergeCell ref="O8936:P8937"/>
    <mergeCell ref="Q8936:R8937"/>
    <mergeCell ref="S8936:T8937"/>
    <mergeCell ref="U8936:V8937"/>
    <mergeCell ref="W8936:W8937"/>
    <mergeCell ref="X8936:AB8936"/>
    <mergeCell ref="AD8936:AI8936"/>
    <mergeCell ref="AJ8936:AL8936"/>
    <mergeCell ref="AN8936:AO8936"/>
    <mergeCell ref="AP8936:AQ8936"/>
    <mergeCell ref="AR8936:AS8937"/>
    <mergeCell ref="AT8936:AU8937"/>
    <mergeCell ref="AV8936:AW8937"/>
    <mergeCell ref="AX8936:AY8937"/>
    <mergeCell ref="AZ8936:AZ8937"/>
    <mergeCell ref="F8937:H8937"/>
    <mergeCell ref="X8937:AB8937"/>
    <mergeCell ref="AE8937:AI8937"/>
    <mergeCell ref="AJ8937:AL8937"/>
    <mergeCell ref="AN8937:AO8937"/>
    <mergeCell ref="AP8937:AQ8937"/>
    <mergeCell ref="A8938:A8939"/>
    <mergeCell ref="E8938:E8939"/>
    <mergeCell ref="F8938:H8938"/>
    <mergeCell ref="J8938:J8939"/>
    <mergeCell ref="K8938:L8939"/>
    <mergeCell ref="M8938:N8939"/>
    <mergeCell ref="O8938:P8939"/>
    <mergeCell ref="Q8938:R8939"/>
    <mergeCell ref="S8938:T8939"/>
    <mergeCell ref="U8938:V8939"/>
    <mergeCell ref="W8938:W8939"/>
    <mergeCell ref="X8938:AB8938"/>
    <mergeCell ref="AD8938:AI8938"/>
    <mergeCell ref="AJ8938:AL8938"/>
    <mergeCell ref="AN8938:AO8938"/>
    <mergeCell ref="AP8938:AQ8938"/>
    <mergeCell ref="AR8938:AS8939"/>
    <mergeCell ref="AT8938:AU8939"/>
    <mergeCell ref="AV8938:AW8939"/>
    <mergeCell ref="AX8938:AY8939"/>
    <mergeCell ref="AZ8938:AZ8939"/>
    <mergeCell ref="F8939:H8939"/>
    <mergeCell ref="X8939:AB8939"/>
    <mergeCell ref="AE8939:AI8939"/>
    <mergeCell ref="AJ8939:AL8939"/>
    <mergeCell ref="AN8939:AO8939"/>
    <mergeCell ref="AP8939:AQ8939"/>
    <mergeCell ref="A8940:A8941"/>
    <mergeCell ref="E8940:E8941"/>
    <mergeCell ref="F8940:H8940"/>
    <mergeCell ref="J8940:J8941"/>
    <mergeCell ref="K8940:L8941"/>
    <mergeCell ref="M8940:N8941"/>
    <mergeCell ref="O8940:P8941"/>
    <mergeCell ref="Q8940:R8941"/>
    <mergeCell ref="S8940:T8941"/>
    <mergeCell ref="U8940:V8941"/>
    <mergeCell ref="W8940:W8941"/>
    <mergeCell ref="X8940:AB8940"/>
    <mergeCell ref="AD8940:AI8940"/>
    <mergeCell ref="AJ8940:AL8940"/>
    <mergeCell ref="AN8940:AO8940"/>
    <mergeCell ref="AP8940:AQ8940"/>
    <mergeCell ref="AR8940:AS8941"/>
    <mergeCell ref="AT8940:AU8941"/>
    <mergeCell ref="AV8940:AW8941"/>
    <mergeCell ref="AX8940:AY8941"/>
    <mergeCell ref="AZ8940:AZ8941"/>
    <mergeCell ref="F8941:H8941"/>
    <mergeCell ref="X8941:AB8941"/>
    <mergeCell ref="AE8941:AI8941"/>
    <mergeCell ref="AJ8941:AL8941"/>
    <mergeCell ref="AN8941:AO8941"/>
    <mergeCell ref="AP8941:AQ8941"/>
    <mergeCell ref="A8942:A8943"/>
    <mergeCell ref="E8942:E8943"/>
    <mergeCell ref="F8942:H8942"/>
    <mergeCell ref="J8942:J8943"/>
    <mergeCell ref="K8942:L8943"/>
    <mergeCell ref="M8942:N8943"/>
    <mergeCell ref="O8942:P8943"/>
    <mergeCell ref="Q8942:R8943"/>
    <mergeCell ref="S8942:T8943"/>
    <mergeCell ref="U8942:V8943"/>
    <mergeCell ref="W8942:W8943"/>
    <mergeCell ref="X8942:AB8942"/>
    <mergeCell ref="AD8942:AI8942"/>
    <mergeCell ref="AJ8942:AL8942"/>
    <mergeCell ref="AN8942:AO8942"/>
    <mergeCell ref="AP8942:AQ8942"/>
    <mergeCell ref="AR8942:AS8943"/>
    <mergeCell ref="AT8942:AU8943"/>
    <mergeCell ref="AV8942:AW8943"/>
    <mergeCell ref="AX8942:AY8943"/>
    <mergeCell ref="AZ8942:AZ8943"/>
    <mergeCell ref="F8943:H8943"/>
    <mergeCell ref="X8943:AB8943"/>
    <mergeCell ref="AE8943:AI8943"/>
    <mergeCell ref="AJ8943:AL8943"/>
    <mergeCell ref="AN8943:AO8943"/>
    <mergeCell ref="AP8943:AQ8943"/>
    <mergeCell ref="A8944:A8945"/>
    <mergeCell ref="E8944:E8945"/>
    <mergeCell ref="F8944:H8944"/>
    <mergeCell ref="J8944:J8945"/>
    <mergeCell ref="K8944:L8945"/>
    <mergeCell ref="M8944:N8945"/>
    <mergeCell ref="O8944:P8945"/>
    <mergeCell ref="Q8944:R8945"/>
    <mergeCell ref="S8944:T8945"/>
    <mergeCell ref="U8944:V8945"/>
    <mergeCell ref="W8944:W8945"/>
    <mergeCell ref="X8944:AB8944"/>
    <mergeCell ref="AD8944:AI8944"/>
    <mergeCell ref="AJ8944:AL8944"/>
    <mergeCell ref="AN8944:AO8944"/>
    <mergeCell ref="AP8944:AQ8944"/>
    <mergeCell ref="AR8944:AS8945"/>
    <mergeCell ref="AT8944:AU8945"/>
    <mergeCell ref="AV8944:AW8945"/>
    <mergeCell ref="AX8944:AY8945"/>
    <mergeCell ref="AZ8944:AZ8945"/>
    <mergeCell ref="F8945:H8945"/>
    <mergeCell ref="X8945:AB8945"/>
    <mergeCell ref="AE8945:AI8945"/>
    <mergeCell ref="AJ8945:AL8945"/>
    <mergeCell ref="AN8945:AO8945"/>
    <mergeCell ref="AP8945:AQ8945"/>
    <mergeCell ref="A8946:A8947"/>
    <mergeCell ref="E8946:E8947"/>
    <mergeCell ref="F8946:H8946"/>
    <mergeCell ref="J8946:J8947"/>
    <mergeCell ref="K8946:L8947"/>
    <mergeCell ref="M8946:N8947"/>
    <mergeCell ref="O8946:P8947"/>
    <mergeCell ref="Q8946:R8947"/>
    <mergeCell ref="S8946:T8947"/>
    <mergeCell ref="U8946:V8947"/>
    <mergeCell ref="W8946:W8947"/>
    <mergeCell ref="X8946:AB8946"/>
    <mergeCell ref="AD8946:AI8946"/>
    <mergeCell ref="AJ8946:AL8946"/>
    <mergeCell ref="AN8946:AO8946"/>
    <mergeCell ref="AP8946:AQ8946"/>
    <mergeCell ref="AR8946:AS8947"/>
    <mergeCell ref="AT8946:AU8947"/>
    <mergeCell ref="AV8946:AW8947"/>
    <mergeCell ref="AX8946:AY8947"/>
    <mergeCell ref="AZ8946:AZ8947"/>
    <mergeCell ref="F8947:H8947"/>
    <mergeCell ref="X8947:AB8947"/>
    <mergeCell ref="AE8947:AI8947"/>
    <mergeCell ref="AJ8947:AL8947"/>
    <mergeCell ref="AN8947:AO8947"/>
    <mergeCell ref="AP8947:AQ8947"/>
    <mergeCell ref="A8948:A8949"/>
    <mergeCell ref="E8948:E8949"/>
    <mergeCell ref="F8948:H8948"/>
    <mergeCell ref="J8948:J8949"/>
    <mergeCell ref="K8948:L8949"/>
    <mergeCell ref="M8948:N8949"/>
    <mergeCell ref="O8948:P8949"/>
    <mergeCell ref="Q8948:R8949"/>
    <mergeCell ref="S8948:T8949"/>
    <mergeCell ref="U8948:V8949"/>
    <mergeCell ref="W8948:W8949"/>
    <mergeCell ref="X8948:AB8948"/>
    <mergeCell ref="AD8948:AI8948"/>
    <mergeCell ref="AJ8948:AL8948"/>
    <mergeCell ref="AN8948:AO8948"/>
    <mergeCell ref="AP8948:AQ8948"/>
    <mergeCell ref="AR8948:AS8949"/>
    <mergeCell ref="AT8948:AU8949"/>
    <mergeCell ref="AV8948:AW8949"/>
    <mergeCell ref="AX8948:AY8949"/>
    <mergeCell ref="AZ8948:AZ8949"/>
    <mergeCell ref="F8949:H8949"/>
    <mergeCell ref="X8949:AB8949"/>
    <mergeCell ref="AE8949:AI8949"/>
    <mergeCell ref="AJ8949:AL8949"/>
    <mergeCell ref="AN8949:AO8949"/>
    <mergeCell ref="AP8949:AQ8949"/>
    <mergeCell ref="A8950:A8951"/>
    <mergeCell ref="E8950:E8951"/>
    <mergeCell ref="F8950:H8950"/>
    <mergeCell ref="J8950:J8951"/>
    <mergeCell ref="K8950:L8951"/>
    <mergeCell ref="M8950:N8951"/>
    <mergeCell ref="O8950:P8951"/>
    <mergeCell ref="Q8950:R8951"/>
    <mergeCell ref="S8950:T8951"/>
    <mergeCell ref="U8950:V8951"/>
    <mergeCell ref="W8950:W8951"/>
    <mergeCell ref="X8950:AB8950"/>
    <mergeCell ref="AD8950:AI8950"/>
    <mergeCell ref="AJ8950:AL8950"/>
    <mergeCell ref="AN8950:AO8950"/>
    <mergeCell ref="AP8950:AQ8950"/>
    <mergeCell ref="AR8950:AS8951"/>
    <mergeCell ref="AT8950:AU8951"/>
    <mergeCell ref="AV8950:AW8951"/>
    <mergeCell ref="AX8950:AY8951"/>
    <mergeCell ref="AZ8950:AZ8951"/>
    <mergeCell ref="F8951:H8951"/>
    <mergeCell ref="X8951:AB8951"/>
    <mergeCell ref="AE8951:AI8951"/>
    <mergeCell ref="AJ8951:AL8951"/>
    <mergeCell ref="AN8951:AO8951"/>
    <mergeCell ref="AP8951:AQ8951"/>
    <mergeCell ref="A8952:A8953"/>
    <mergeCell ref="E8952:E8953"/>
    <mergeCell ref="F8952:H8952"/>
    <mergeCell ref="J8952:J8953"/>
    <mergeCell ref="K8952:L8953"/>
    <mergeCell ref="M8952:N8953"/>
    <mergeCell ref="O8952:P8953"/>
    <mergeCell ref="Q8952:R8953"/>
    <mergeCell ref="S8952:T8953"/>
    <mergeCell ref="U8952:V8953"/>
    <mergeCell ref="W8952:W8953"/>
    <mergeCell ref="X8952:AB8952"/>
    <mergeCell ref="AD8952:AI8952"/>
    <mergeCell ref="AJ8952:AL8952"/>
    <mergeCell ref="AN8952:AO8952"/>
    <mergeCell ref="AP8952:AQ8952"/>
    <mergeCell ref="AR8952:AS8953"/>
    <mergeCell ref="AT8952:AU8953"/>
    <mergeCell ref="AV8952:AW8953"/>
    <mergeCell ref="AX8952:AY8953"/>
    <mergeCell ref="AZ8952:AZ8953"/>
    <mergeCell ref="F8953:H8953"/>
    <mergeCell ref="X8953:AB8953"/>
    <mergeCell ref="AE8953:AI8953"/>
    <mergeCell ref="AJ8953:AL8953"/>
    <mergeCell ref="AN8953:AO8953"/>
    <mergeCell ref="AP8953:AQ8953"/>
    <mergeCell ref="A8954:A8955"/>
    <mergeCell ref="E8954:E8955"/>
    <mergeCell ref="F8954:H8954"/>
    <mergeCell ref="J8954:J8955"/>
    <mergeCell ref="K8954:L8955"/>
    <mergeCell ref="M8954:N8955"/>
    <mergeCell ref="O8954:P8955"/>
    <mergeCell ref="Q8954:R8955"/>
    <mergeCell ref="S8954:T8955"/>
    <mergeCell ref="U8954:V8955"/>
    <mergeCell ref="W8954:W8955"/>
    <mergeCell ref="X8954:AB8954"/>
    <mergeCell ref="AD8954:AI8954"/>
    <mergeCell ref="AJ8954:AL8954"/>
    <mergeCell ref="AN8954:AO8954"/>
    <mergeCell ref="AP8954:AQ8954"/>
    <mergeCell ref="AR8954:AS8955"/>
    <mergeCell ref="AT8954:AU8955"/>
    <mergeCell ref="AV8954:AW8955"/>
    <mergeCell ref="AX8954:AY8955"/>
    <mergeCell ref="AZ8954:AZ8955"/>
    <mergeCell ref="F8955:H8955"/>
    <mergeCell ref="X8955:AB8955"/>
    <mergeCell ref="AE8955:AI8955"/>
    <mergeCell ref="AJ8955:AL8955"/>
    <mergeCell ref="AN8955:AO8955"/>
    <mergeCell ref="AP8955:AQ8955"/>
    <mergeCell ref="A8956:A8957"/>
    <mergeCell ref="E8956:E8957"/>
    <mergeCell ref="F8956:H8956"/>
    <mergeCell ref="J8956:J8957"/>
    <mergeCell ref="K8956:L8957"/>
    <mergeCell ref="M8956:N8957"/>
    <mergeCell ref="O8956:P8957"/>
    <mergeCell ref="Q8956:R8957"/>
    <mergeCell ref="S8956:T8957"/>
    <mergeCell ref="U8956:V8957"/>
    <mergeCell ref="W8956:W8957"/>
    <mergeCell ref="X8956:AB8956"/>
    <mergeCell ref="AD8956:AI8956"/>
    <mergeCell ref="AJ8956:AL8956"/>
    <mergeCell ref="AN8956:AO8956"/>
    <mergeCell ref="AP8956:AQ8956"/>
    <mergeCell ref="AR8956:AS8957"/>
    <mergeCell ref="AT8956:AU8957"/>
    <mergeCell ref="AV8956:AW8957"/>
    <mergeCell ref="AX8956:AY8957"/>
    <mergeCell ref="AZ8956:AZ8957"/>
    <mergeCell ref="F8957:H8957"/>
    <mergeCell ref="X8957:AB8957"/>
    <mergeCell ref="AE8957:AI8957"/>
    <mergeCell ref="AJ8957:AL8957"/>
    <mergeCell ref="AN8957:AO8957"/>
    <mergeCell ref="AP8957:AQ8957"/>
    <mergeCell ref="A8958:A8959"/>
    <mergeCell ref="E8958:E8959"/>
    <mergeCell ref="F8958:H8958"/>
    <mergeCell ref="J8958:J8959"/>
    <mergeCell ref="K8958:L8959"/>
    <mergeCell ref="M8958:N8959"/>
    <mergeCell ref="O8958:P8959"/>
    <mergeCell ref="Q8958:R8959"/>
    <mergeCell ref="S8958:T8959"/>
    <mergeCell ref="U8958:V8959"/>
    <mergeCell ref="W8958:W8959"/>
    <mergeCell ref="X8958:AB8958"/>
    <mergeCell ref="AD8958:AI8958"/>
    <mergeCell ref="AJ8958:AL8958"/>
    <mergeCell ref="AN8958:AO8958"/>
    <mergeCell ref="AP8958:AQ8958"/>
    <mergeCell ref="AR8958:AS8959"/>
    <mergeCell ref="AT8958:AU8959"/>
    <mergeCell ref="AV8958:AW8959"/>
    <mergeCell ref="AX8958:AY8959"/>
    <mergeCell ref="AZ8958:AZ8959"/>
    <mergeCell ref="F8959:H8959"/>
    <mergeCell ref="X8959:AB8959"/>
    <mergeCell ref="AE8959:AI8959"/>
    <mergeCell ref="AJ8959:AL8959"/>
    <mergeCell ref="AN8959:AO8959"/>
    <mergeCell ref="AP8959:AQ8959"/>
    <mergeCell ref="A8960:A8961"/>
    <mergeCell ref="E8960:E8961"/>
    <mergeCell ref="F8960:H8960"/>
    <mergeCell ref="J8960:J8961"/>
    <mergeCell ref="K8960:L8961"/>
    <mergeCell ref="M8960:N8961"/>
    <mergeCell ref="O8960:P8961"/>
    <mergeCell ref="Q8960:R8961"/>
    <mergeCell ref="S8960:T8961"/>
    <mergeCell ref="U8960:V8961"/>
    <mergeCell ref="W8960:W8961"/>
    <mergeCell ref="X8960:AB8960"/>
    <mergeCell ref="AD8960:AI8960"/>
    <mergeCell ref="AJ8960:AL8960"/>
    <mergeCell ref="AN8960:AO8960"/>
    <mergeCell ref="AP8960:AQ8960"/>
    <mergeCell ref="AR8960:AS8961"/>
    <mergeCell ref="AT8960:AU8961"/>
    <mergeCell ref="AV8960:AW8961"/>
    <mergeCell ref="AX8960:AY8961"/>
    <mergeCell ref="AZ8960:AZ8961"/>
    <mergeCell ref="F8961:H8961"/>
    <mergeCell ref="X8961:AB8961"/>
    <mergeCell ref="AE8961:AI8961"/>
    <mergeCell ref="AJ8961:AL8961"/>
    <mergeCell ref="AN8961:AO8961"/>
    <mergeCell ref="AP8961:AQ8961"/>
    <mergeCell ref="A8962:A8963"/>
    <mergeCell ref="E8962:E8963"/>
    <mergeCell ref="F8962:H8962"/>
    <mergeCell ref="J8962:J8963"/>
    <mergeCell ref="K8962:L8963"/>
    <mergeCell ref="M8962:N8963"/>
    <mergeCell ref="O8962:P8963"/>
    <mergeCell ref="Q8962:R8963"/>
    <mergeCell ref="S8962:T8963"/>
    <mergeCell ref="U8962:V8963"/>
    <mergeCell ref="W8962:W8963"/>
    <mergeCell ref="X8962:AB8962"/>
    <mergeCell ref="AD8962:AI8962"/>
    <mergeCell ref="AJ8962:AL8962"/>
    <mergeCell ref="AN8962:AO8962"/>
    <mergeCell ref="AP8962:AQ8962"/>
    <mergeCell ref="AR8962:AS8963"/>
    <mergeCell ref="AT8962:AU8963"/>
    <mergeCell ref="AV8962:AW8963"/>
    <mergeCell ref="AX8962:AY8963"/>
    <mergeCell ref="AZ8962:AZ8963"/>
    <mergeCell ref="F8963:H8963"/>
    <mergeCell ref="X8963:AB8963"/>
    <mergeCell ref="AE8963:AI8963"/>
    <mergeCell ref="AJ8963:AL8963"/>
    <mergeCell ref="AN8963:AO8963"/>
    <mergeCell ref="AP8963:AQ8963"/>
    <mergeCell ref="A8964:A8965"/>
    <mergeCell ref="E8964:E8965"/>
    <mergeCell ref="F8964:H8964"/>
    <mergeCell ref="J8964:J8965"/>
    <mergeCell ref="K8964:L8965"/>
    <mergeCell ref="M8964:N8965"/>
    <mergeCell ref="O8964:P8965"/>
    <mergeCell ref="Q8964:R8965"/>
    <mergeCell ref="S8964:T8965"/>
    <mergeCell ref="U8964:V8965"/>
    <mergeCell ref="W8964:W8965"/>
    <mergeCell ref="X8964:AB8964"/>
    <mergeCell ref="AD8964:AI8964"/>
    <mergeCell ref="AJ8964:AL8964"/>
    <mergeCell ref="AN8964:AO8964"/>
    <mergeCell ref="AP8964:AQ8964"/>
    <mergeCell ref="AR8964:AS8965"/>
    <mergeCell ref="AT8964:AU8965"/>
    <mergeCell ref="AV8964:AW8965"/>
    <mergeCell ref="AX8964:AY8965"/>
    <mergeCell ref="AZ8964:AZ8965"/>
    <mergeCell ref="F8965:H8965"/>
    <mergeCell ref="X8965:AB8965"/>
    <mergeCell ref="AE8965:AI8965"/>
    <mergeCell ref="AJ8965:AL8965"/>
    <mergeCell ref="AN8965:AO8965"/>
    <mergeCell ref="AP8965:AQ8965"/>
    <mergeCell ref="A8966:A8967"/>
    <mergeCell ref="E8966:E8967"/>
    <mergeCell ref="F8966:H8966"/>
    <mergeCell ref="J8966:J8967"/>
    <mergeCell ref="K8966:L8967"/>
    <mergeCell ref="M8966:N8967"/>
    <mergeCell ref="O8966:P8967"/>
    <mergeCell ref="Q8966:R8967"/>
    <mergeCell ref="S8966:T8967"/>
    <mergeCell ref="U8966:V8967"/>
    <mergeCell ref="W8966:W8967"/>
    <mergeCell ref="X8966:AB8966"/>
    <mergeCell ref="AD8966:AI8966"/>
    <mergeCell ref="AJ8966:AL8966"/>
    <mergeCell ref="AN8966:AO8966"/>
    <mergeCell ref="AP8966:AQ8966"/>
    <mergeCell ref="AR8966:AS8967"/>
    <mergeCell ref="AT8966:AU8967"/>
    <mergeCell ref="AV8966:AW8967"/>
    <mergeCell ref="AX8966:AY8967"/>
    <mergeCell ref="AZ8966:AZ8967"/>
    <mergeCell ref="F8967:H8967"/>
    <mergeCell ref="X8967:AB8967"/>
    <mergeCell ref="AE8967:AI8967"/>
    <mergeCell ref="AJ8967:AL8967"/>
    <mergeCell ref="AN8967:AO8967"/>
    <mergeCell ref="AP8967:AQ8967"/>
    <mergeCell ref="A8968:A8969"/>
    <mergeCell ref="E8968:E8969"/>
    <mergeCell ref="F8968:H8968"/>
    <mergeCell ref="J8968:J8969"/>
    <mergeCell ref="K8968:L8969"/>
    <mergeCell ref="M8968:N8969"/>
    <mergeCell ref="O8968:P8969"/>
    <mergeCell ref="Q8968:R8969"/>
    <mergeCell ref="S8968:T8969"/>
    <mergeCell ref="U8968:V8969"/>
    <mergeCell ref="W8968:W8969"/>
    <mergeCell ref="X8968:AB8968"/>
    <mergeCell ref="AD8968:AI8968"/>
    <mergeCell ref="AJ8968:AL8968"/>
    <mergeCell ref="AN8968:AO8968"/>
    <mergeCell ref="AP8968:AQ8968"/>
    <mergeCell ref="AR8968:AS8969"/>
    <mergeCell ref="AT8968:AU8969"/>
    <mergeCell ref="AV8968:AW8969"/>
    <mergeCell ref="AX8968:AY8969"/>
    <mergeCell ref="AZ8968:AZ8969"/>
    <mergeCell ref="F8969:H8969"/>
    <mergeCell ref="X8969:AB8969"/>
    <mergeCell ref="AE8969:AI8969"/>
    <mergeCell ref="AJ8969:AL8969"/>
    <mergeCell ref="AN8969:AO8969"/>
    <mergeCell ref="AP8969:AQ8969"/>
    <mergeCell ref="A8970:A8971"/>
    <mergeCell ref="E8970:E8971"/>
    <mergeCell ref="F8970:H8970"/>
    <mergeCell ref="J8970:J8971"/>
    <mergeCell ref="K8970:L8971"/>
    <mergeCell ref="M8970:N8971"/>
    <mergeCell ref="O8970:P8971"/>
    <mergeCell ref="Q8970:R8971"/>
    <mergeCell ref="S8970:T8971"/>
    <mergeCell ref="U8970:V8971"/>
    <mergeCell ref="W8970:W8971"/>
    <mergeCell ref="X8970:AB8970"/>
    <mergeCell ref="AD8970:AI8970"/>
    <mergeCell ref="AJ8970:AL8970"/>
    <mergeCell ref="AN8970:AO8970"/>
    <mergeCell ref="AP8970:AQ8970"/>
    <mergeCell ref="AR8970:AS8971"/>
    <mergeCell ref="AT8970:AU8971"/>
    <mergeCell ref="AV8970:AW8971"/>
    <mergeCell ref="AX8970:AY8971"/>
    <mergeCell ref="AZ8970:AZ8971"/>
    <mergeCell ref="F8971:H8971"/>
    <mergeCell ref="X8971:AB8971"/>
    <mergeCell ref="AE8971:AI8971"/>
    <mergeCell ref="AJ8971:AL8971"/>
    <mergeCell ref="AN8971:AO8971"/>
    <mergeCell ref="AP8971:AQ8971"/>
    <mergeCell ref="A8972:A8973"/>
    <mergeCell ref="E8972:E8973"/>
    <mergeCell ref="F8972:H8972"/>
    <mergeCell ref="J8972:J8973"/>
    <mergeCell ref="K8972:L8973"/>
    <mergeCell ref="M8972:N8973"/>
    <mergeCell ref="O8972:P8973"/>
    <mergeCell ref="Q8972:R8973"/>
    <mergeCell ref="S8972:T8973"/>
    <mergeCell ref="U8972:V8973"/>
    <mergeCell ref="W8972:W8973"/>
    <mergeCell ref="X8972:AB8972"/>
    <mergeCell ref="AD8972:AI8972"/>
    <mergeCell ref="AJ8972:AL8972"/>
    <mergeCell ref="AN8972:AO8972"/>
    <mergeCell ref="AP8972:AQ8972"/>
    <mergeCell ref="AR8972:AS8973"/>
    <mergeCell ref="AT8972:AU8973"/>
    <mergeCell ref="AV8972:AW8973"/>
    <mergeCell ref="AX8972:AY8973"/>
    <mergeCell ref="AZ8972:AZ8973"/>
    <mergeCell ref="F8973:H8973"/>
    <mergeCell ref="X8973:AB8973"/>
    <mergeCell ref="AE8973:AI8973"/>
    <mergeCell ref="AJ8973:AL8973"/>
    <mergeCell ref="AN8973:AO8973"/>
    <mergeCell ref="AP8973:AQ8973"/>
    <mergeCell ref="A8974:A8975"/>
    <mergeCell ref="E8974:E8975"/>
    <mergeCell ref="F8974:H8974"/>
    <mergeCell ref="J8974:J8975"/>
    <mergeCell ref="K8974:L8975"/>
    <mergeCell ref="M8974:N8975"/>
    <mergeCell ref="O8974:P8975"/>
    <mergeCell ref="Q8974:R8975"/>
    <mergeCell ref="S8974:T8975"/>
    <mergeCell ref="U8974:V8975"/>
    <mergeCell ref="W8974:W8975"/>
    <mergeCell ref="X8974:AB8974"/>
    <mergeCell ref="AD8974:AI8974"/>
    <mergeCell ref="AJ8974:AL8974"/>
    <mergeCell ref="AN8974:AO8974"/>
    <mergeCell ref="AP8974:AQ8974"/>
    <mergeCell ref="AR8974:AS8975"/>
    <mergeCell ref="AT8974:AU8975"/>
    <mergeCell ref="AV8974:AW8975"/>
    <mergeCell ref="AX8974:AY8975"/>
    <mergeCell ref="AZ8974:AZ8975"/>
    <mergeCell ref="F8975:H8975"/>
    <mergeCell ref="X8975:AB8975"/>
    <mergeCell ref="AE8975:AI8975"/>
    <mergeCell ref="AJ8975:AL8975"/>
    <mergeCell ref="AN8975:AO8975"/>
    <mergeCell ref="AP8975:AQ8975"/>
    <mergeCell ref="A8976:A8977"/>
    <mergeCell ref="E8976:E8977"/>
    <mergeCell ref="F8976:H8976"/>
    <mergeCell ref="J8976:J8977"/>
    <mergeCell ref="K8976:L8977"/>
    <mergeCell ref="M8976:N8977"/>
    <mergeCell ref="O8976:P8977"/>
    <mergeCell ref="Q8976:R8977"/>
    <mergeCell ref="S8976:T8977"/>
    <mergeCell ref="U8976:V8977"/>
    <mergeCell ref="W8976:W8977"/>
    <mergeCell ref="X8976:AB8976"/>
    <mergeCell ref="AD8976:AI8976"/>
    <mergeCell ref="AJ8976:AL8976"/>
    <mergeCell ref="AN8976:AO8976"/>
    <mergeCell ref="AP8976:AQ8976"/>
    <mergeCell ref="AR8976:AS8977"/>
    <mergeCell ref="AT8976:AU8977"/>
    <mergeCell ref="AV8976:AW8977"/>
    <mergeCell ref="AX8976:AY8977"/>
    <mergeCell ref="AZ8976:AZ8977"/>
    <mergeCell ref="F8977:H8977"/>
    <mergeCell ref="X8977:AB8977"/>
    <mergeCell ref="AE8977:AI8977"/>
    <mergeCell ref="AJ8977:AL8977"/>
    <mergeCell ref="AN8977:AO8977"/>
    <mergeCell ref="AP8977:AQ8977"/>
    <mergeCell ref="A8978:A8979"/>
    <mergeCell ref="E8978:E8979"/>
    <mergeCell ref="F8978:H8978"/>
    <mergeCell ref="J8978:J8979"/>
    <mergeCell ref="K8978:L8979"/>
    <mergeCell ref="M8978:N8979"/>
    <mergeCell ref="O8978:P8979"/>
    <mergeCell ref="Q8978:R8979"/>
    <mergeCell ref="S8978:T8979"/>
    <mergeCell ref="U8978:V8979"/>
    <mergeCell ref="W8978:W8979"/>
    <mergeCell ref="X8978:AB8978"/>
    <mergeCell ref="AD8978:AI8978"/>
    <mergeCell ref="AJ8978:AL8978"/>
    <mergeCell ref="AN8978:AO8978"/>
    <mergeCell ref="AP8978:AQ8978"/>
    <mergeCell ref="AR8978:AS8979"/>
    <mergeCell ref="AT8978:AU8979"/>
    <mergeCell ref="AV8978:AW8979"/>
    <mergeCell ref="AX8978:AY8979"/>
    <mergeCell ref="AZ8978:AZ8979"/>
    <mergeCell ref="F8979:H8979"/>
    <mergeCell ref="X8979:AB8979"/>
    <mergeCell ref="AE8979:AI8979"/>
    <mergeCell ref="AJ8979:AL8979"/>
    <mergeCell ref="AN8979:AO8979"/>
    <mergeCell ref="AP8979:AQ8979"/>
    <mergeCell ref="A8980:A8981"/>
    <mergeCell ref="E8980:E8981"/>
    <mergeCell ref="F8980:H8980"/>
    <mergeCell ref="J8980:J8981"/>
    <mergeCell ref="K8980:L8981"/>
    <mergeCell ref="M8980:N8981"/>
    <mergeCell ref="O8980:P8981"/>
    <mergeCell ref="Q8980:R8981"/>
    <mergeCell ref="S8980:T8981"/>
    <mergeCell ref="U8980:V8981"/>
    <mergeCell ref="W8980:W8981"/>
    <mergeCell ref="X8980:AB8980"/>
    <mergeCell ref="AD8980:AI8980"/>
    <mergeCell ref="AJ8980:AL8980"/>
    <mergeCell ref="AN8980:AO8980"/>
    <mergeCell ref="AP8980:AQ8980"/>
    <mergeCell ref="AR8980:AS8981"/>
    <mergeCell ref="AT8980:AU8981"/>
    <mergeCell ref="AV8980:AW8981"/>
    <mergeCell ref="AX8980:AY8981"/>
    <mergeCell ref="AZ8980:AZ8981"/>
    <mergeCell ref="F8981:H8981"/>
    <mergeCell ref="X8981:AB8981"/>
    <mergeCell ref="AE8981:AI8981"/>
    <mergeCell ref="AJ8981:AL8981"/>
    <mergeCell ref="AN8981:AO8981"/>
    <mergeCell ref="AP8981:AQ8981"/>
    <mergeCell ref="A8982:A8983"/>
    <mergeCell ref="E8982:E8983"/>
    <mergeCell ref="F8982:H8982"/>
    <mergeCell ref="J8982:J8983"/>
    <mergeCell ref="K8982:L8983"/>
    <mergeCell ref="M8982:N8983"/>
    <mergeCell ref="O8982:P8983"/>
    <mergeCell ref="Q8982:R8983"/>
    <mergeCell ref="S8982:T8983"/>
    <mergeCell ref="U8982:V8983"/>
    <mergeCell ref="W8982:W8983"/>
    <mergeCell ref="X8982:AB8982"/>
    <mergeCell ref="AD8982:AI8982"/>
    <mergeCell ref="AJ8982:AL8982"/>
    <mergeCell ref="AN8982:AO8982"/>
    <mergeCell ref="AP8982:AQ8982"/>
    <mergeCell ref="AR8982:AS8983"/>
    <mergeCell ref="AT8982:AU8983"/>
    <mergeCell ref="AV8982:AW8983"/>
    <mergeCell ref="AX8982:AY8983"/>
    <mergeCell ref="AZ8982:AZ8983"/>
    <mergeCell ref="F8983:H8983"/>
    <mergeCell ref="X8983:AB8983"/>
    <mergeCell ref="AE8983:AI8983"/>
    <mergeCell ref="AJ8983:AL8983"/>
    <mergeCell ref="AN8983:AO8983"/>
    <mergeCell ref="AP8983:AQ8983"/>
    <mergeCell ref="A8984:A8985"/>
    <mergeCell ref="E8984:E8985"/>
    <mergeCell ref="F8984:H8984"/>
    <mergeCell ref="J8984:J8985"/>
    <mergeCell ref="K8984:L8985"/>
    <mergeCell ref="M8984:N8985"/>
    <mergeCell ref="O8984:P8985"/>
    <mergeCell ref="Q8984:R8985"/>
    <mergeCell ref="S8984:T8985"/>
    <mergeCell ref="U8984:V8985"/>
    <mergeCell ref="W8984:W8985"/>
    <mergeCell ref="X8984:AB8984"/>
    <mergeCell ref="AD8984:AI8984"/>
    <mergeCell ref="AJ8984:AL8984"/>
    <mergeCell ref="AN8984:AO8984"/>
    <mergeCell ref="AP8984:AQ8984"/>
    <mergeCell ref="AR8984:AS8985"/>
    <mergeCell ref="AT8984:AU8985"/>
    <mergeCell ref="AV8984:AW8985"/>
    <mergeCell ref="AX8984:AY8985"/>
    <mergeCell ref="AZ8984:AZ8985"/>
    <mergeCell ref="F8985:H8985"/>
    <mergeCell ref="X8985:AB8985"/>
    <mergeCell ref="AE8985:AI8985"/>
    <mergeCell ref="AJ8985:AL8985"/>
    <mergeCell ref="AN8985:AO8985"/>
    <mergeCell ref="AP8985:AQ8985"/>
    <mergeCell ref="A8986:A8987"/>
    <mergeCell ref="E8986:E8987"/>
    <mergeCell ref="F8986:H8986"/>
    <mergeCell ref="J8986:J8987"/>
    <mergeCell ref="K8986:L8987"/>
    <mergeCell ref="M8986:N8987"/>
    <mergeCell ref="O8986:P8987"/>
    <mergeCell ref="Q8986:R8987"/>
    <mergeCell ref="S8986:T8987"/>
    <mergeCell ref="U8986:V8987"/>
    <mergeCell ref="W8986:W8987"/>
    <mergeCell ref="X8986:AB8986"/>
    <mergeCell ref="AD8986:AI8986"/>
    <mergeCell ref="AJ8986:AL8986"/>
    <mergeCell ref="AN8986:AO8986"/>
    <mergeCell ref="AP8986:AQ8986"/>
    <mergeCell ref="AR8986:AS8987"/>
    <mergeCell ref="AT8986:AU8987"/>
    <mergeCell ref="AV8986:AW8987"/>
    <mergeCell ref="AX8986:AY8987"/>
    <mergeCell ref="AZ8986:AZ8987"/>
    <mergeCell ref="F8987:H8987"/>
    <mergeCell ref="X8987:AB8987"/>
    <mergeCell ref="AE8987:AI8987"/>
    <mergeCell ref="AJ8987:AL8987"/>
    <mergeCell ref="AN8987:AO8987"/>
    <mergeCell ref="AP8987:AQ8987"/>
    <mergeCell ref="A8988:A8989"/>
    <mergeCell ref="E8988:E8989"/>
    <mergeCell ref="F8988:H8988"/>
    <mergeCell ref="J8988:J8989"/>
    <mergeCell ref="K8988:L8989"/>
    <mergeCell ref="M8988:N8989"/>
    <mergeCell ref="O8988:P8989"/>
    <mergeCell ref="Q8988:R8989"/>
    <mergeCell ref="S8988:T8989"/>
    <mergeCell ref="U8988:V8989"/>
    <mergeCell ref="W8988:W8989"/>
    <mergeCell ref="X8988:AB8988"/>
    <mergeCell ref="AD8988:AI8988"/>
    <mergeCell ref="AJ8988:AL8988"/>
    <mergeCell ref="AN8988:AO8988"/>
    <mergeCell ref="AP8988:AQ8988"/>
    <mergeCell ref="AR8988:AS8989"/>
    <mergeCell ref="AT8988:AU8989"/>
    <mergeCell ref="AV8988:AW8989"/>
    <mergeCell ref="AX8988:AY8989"/>
    <mergeCell ref="AZ8988:AZ8989"/>
    <mergeCell ref="F8989:H8989"/>
    <mergeCell ref="X8989:AB8989"/>
    <mergeCell ref="AE8989:AI8989"/>
    <mergeCell ref="AJ8989:AL8989"/>
    <mergeCell ref="AN8989:AO8989"/>
    <mergeCell ref="AP8989:AQ8989"/>
    <mergeCell ref="A8990:A8991"/>
    <mergeCell ref="E8990:E8991"/>
    <mergeCell ref="F8990:H8990"/>
    <mergeCell ref="J8990:J8991"/>
    <mergeCell ref="K8990:L8991"/>
    <mergeCell ref="M8990:N8991"/>
    <mergeCell ref="O8990:P8991"/>
    <mergeCell ref="Q8990:R8991"/>
    <mergeCell ref="S8990:T8991"/>
    <mergeCell ref="U8990:V8991"/>
    <mergeCell ref="W8990:W8991"/>
    <mergeCell ref="X8990:AB8990"/>
    <mergeCell ref="AD8990:AI8990"/>
    <mergeCell ref="AJ8990:AL8990"/>
    <mergeCell ref="AN8990:AO8990"/>
    <mergeCell ref="AP8990:AQ8990"/>
    <mergeCell ref="AR8990:AS8991"/>
    <mergeCell ref="AT8990:AU8991"/>
    <mergeCell ref="AV8990:AW8991"/>
    <mergeCell ref="AX8990:AY8991"/>
    <mergeCell ref="AZ8990:AZ8991"/>
    <mergeCell ref="F8991:H8991"/>
    <mergeCell ref="X8991:AB8991"/>
    <mergeCell ref="AE8991:AI8991"/>
    <mergeCell ref="AJ8991:AL8991"/>
    <mergeCell ref="AN8991:AO8991"/>
    <mergeCell ref="AP8991:AQ8991"/>
    <mergeCell ref="A8992:A8993"/>
    <mergeCell ref="E8992:E8993"/>
    <mergeCell ref="F8992:H8992"/>
    <mergeCell ref="J8992:J8993"/>
    <mergeCell ref="K8992:L8993"/>
    <mergeCell ref="M8992:N8993"/>
    <mergeCell ref="O8992:P8993"/>
    <mergeCell ref="Q8992:R8993"/>
    <mergeCell ref="S8992:T8993"/>
    <mergeCell ref="U8992:V8993"/>
    <mergeCell ref="W8992:W8993"/>
    <mergeCell ref="X8992:AB8992"/>
    <mergeCell ref="AD8992:AI8992"/>
    <mergeCell ref="AJ8992:AL8992"/>
    <mergeCell ref="AN8992:AO8992"/>
    <mergeCell ref="AP8992:AQ8992"/>
    <mergeCell ref="AR8992:AS8993"/>
    <mergeCell ref="AT8992:AU8993"/>
    <mergeCell ref="AV8992:AW8993"/>
    <mergeCell ref="AX8992:AY8993"/>
    <mergeCell ref="AZ8992:AZ8993"/>
    <mergeCell ref="F8993:H8993"/>
    <mergeCell ref="X8993:AB8993"/>
    <mergeCell ref="AE8993:AI8993"/>
    <mergeCell ref="AJ8993:AL8993"/>
    <mergeCell ref="AN8993:AO8993"/>
    <mergeCell ref="AP8993:AQ8993"/>
    <mergeCell ref="A8994:A8995"/>
    <mergeCell ref="E8994:E8995"/>
    <mergeCell ref="F8994:H8994"/>
    <mergeCell ref="J8994:J8995"/>
    <mergeCell ref="K8994:L8995"/>
    <mergeCell ref="M8994:N8995"/>
    <mergeCell ref="O8994:P8995"/>
    <mergeCell ref="Q8994:R8995"/>
    <mergeCell ref="S8994:T8995"/>
    <mergeCell ref="U8994:V8995"/>
    <mergeCell ref="W8994:W8995"/>
    <mergeCell ref="X8994:AB8994"/>
    <mergeCell ref="AD8994:AI8994"/>
    <mergeCell ref="AJ8994:AL8994"/>
    <mergeCell ref="AN8994:AO8994"/>
    <mergeCell ref="AP8994:AQ8994"/>
    <mergeCell ref="AR8994:AS8995"/>
    <mergeCell ref="AT8994:AU8995"/>
    <mergeCell ref="AV8994:AW8995"/>
    <mergeCell ref="AX8994:AY8995"/>
    <mergeCell ref="AZ8994:AZ8995"/>
    <mergeCell ref="F8995:H8995"/>
    <mergeCell ref="X8995:AB8995"/>
    <mergeCell ref="AE8995:AI8995"/>
    <mergeCell ref="AJ8995:AL8995"/>
    <mergeCell ref="AN8995:AO8995"/>
    <mergeCell ref="AP8995:AQ8995"/>
    <mergeCell ref="A8996:A8997"/>
    <mergeCell ref="E8996:E8997"/>
    <mergeCell ref="F8996:H8996"/>
    <mergeCell ref="J8996:J8997"/>
    <mergeCell ref="K8996:L8997"/>
    <mergeCell ref="M8996:N8997"/>
    <mergeCell ref="O8996:P8997"/>
    <mergeCell ref="Q8996:R8997"/>
    <mergeCell ref="S8996:T8997"/>
    <mergeCell ref="U8996:V8997"/>
    <mergeCell ref="W8996:W8997"/>
    <mergeCell ref="X8996:AB8996"/>
    <mergeCell ref="AD8996:AI8996"/>
    <mergeCell ref="AJ8996:AL8996"/>
    <mergeCell ref="AN8996:AO8996"/>
    <mergeCell ref="AP8996:AQ8996"/>
    <mergeCell ref="AR8996:AS8997"/>
    <mergeCell ref="AT8996:AU8997"/>
    <mergeCell ref="AV8996:AW8997"/>
    <mergeCell ref="AX8996:AY8997"/>
    <mergeCell ref="AZ8996:AZ8997"/>
    <mergeCell ref="F8997:H8997"/>
    <mergeCell ref="X8997:AB8997"/>
    <mergeCell ref="AE8997:AI8997"/>
    <mergeCell ref="AJ8997:AL8997"/>
    <mergeCell ref="AN8997:AO8997"/>
    <mergeCell ref="AP8997:AQ8997"/>
    <mergeCell ref="A8998:A8999"/>
    <mergeCell ref="E8998:E8999"/>
    <mergeCell ref="F8998:H8998"/>
    <mergeCell ref="J8998:J8999"/>
    <mergeCell ref="K8998:L8999"/>
    <mergeCell ref="M8998:N8999"/>
    <mergeCell ref="O8998:P8999"/>
    <mergeCell ref="Q8998:R8999"/>
    <mergeCell ref="S8998:T8999"/>
    <mergeCell ref="U8998:V8999"/>
    <mergeCell ref="W8998:W8999"/>
    <mergeCell ref="X8998:AB8998"/>
    <mergeCell ref="AD8998:AI8998"/>
    <mergeCell ref="AJ8998:AL8998"/>
    <mergeCell ref="AN8998:AO8998"/>
    <mergeCell ref="AP8998:AQ8998"/>
    <mergeCell ref="AR8998:AS8999"/>
    <mergeCell ref="AT8998:AU8999"/>
    <mergeCell ref="AV8998:AW8999"/>
    <mergeCell ref="AX8998:AY8999"/>
    <mergeCell ref="AZ8998:AZ8999"/>
    <mergeCell ref="F8999:H8999"/>
    <mergeCell ref="X8999:AB8999"/>
    <mergeCell ref="AE8999:AI8999"/>
    <mergeCell ref="AJ8999:AL8999"/>
    <mergeCell ref="AN8999:AO8999"/>
    <mergeCell ref="AP8999:AQ8999"/>
    <mergeCell ref="A9000:A9001"/>
    <mergeCell ref="E9000:E9001"/>
    <mergeCell ref="F9000:H9000"/>
    <mergeCell ref="J9000:J9001"/>
    <mergeCell ref="K9000:L9001"/>
    <mergeCell ref="M9000:N9001"/>
    <mergeCell ref="O9000:P9001"/>
    <mergeCell ref="Q9000:R9001"/>
    <mergeCell ref="S9000:T9001"/>
    <mergeCell ref="U9000:V9001"/>
    <mergeCell ref="W9000:W9001"/>
    <mergeCell ref="X9000:AB9000"/>
    <mergeCell ref="AD9000:AI9000"/>
    <mergeCell ref="AJ9000:AL9000"/>
    <mergeCell ref="AN9000:AO9000"/>
    <mergeCell ref="AP9000:AQ9000"/>
    <mergeCell ref="AR9000:AS9001"/>
    <mergeCell ref="AT9000:AU9001"/>
    <mergeCell ref="AV9000:AW9001"/>
    <mergeCell ref="AX9000:AY9001"/>
    <mergeCell ref="AZ9000:AZ9001"/>
    <mergeCell ref="F9001:H9001"/>
    <mergeCell ref="X9001:AB9001"/>
    <mergeCell ref="AE9001:AI9001"/>
    <mergeCell ref="AJ9001:AL9001"/>
    <mergeCell ref="AN9001:AO9001"/>
    <mergeCell ref="AP9001:AQ9001"/>
    <mergeCell ref="A9002:A9003"/>
    <mergeCell ref="E9002:E9003"/>
    <mergeCell ref="F9002:H9002"/>
    <mergeCell ref="J9002:J9003"/>
    <mergeCell ref="K9002:L9003"/>
    <mergeCell ref="M9002:N9003"/>
    <mergeCell ref="O9002:P9003"/>
    <mergeCell ref="Q9002:R9003"/>
    <mergeCell ref="S9002:T9003"/>
    <mergeCell ref="U9002:V9003"/>
    <mergeCell ref="W9002:W9003"/>
    <mergeCell ref="X9002:AB9002"/>
    <mergeCell ref="AD9002:AI9002"/>
    <mergeCell ref="AJ9002:AL9002"/>
    <mergeCell ref="AN9002:AO9002"/>
    <mergeCell ref="AP9002:AQ9002"/>
    <mergeCell ref="AR9002:AS9003"/>
    <mergeCell ref="AT9002:AU9003"/>
    <mergeCell ref="AV9002:AW9003"/>
    <mergeCell ref="AX9002:AY9003"/>
    <mergeCell ref="AZ9002:AZ9003"/>
    <mergeCell ref="F9003:H9003"/>
    <mergeCell ref="X9003:AB9003"/>
    <mergeCell ref="AE9003:AI9003"/>
    <mergeCell ref="AJ9003:AL9003"/>
    <mergeCell ref="AN9003:AO9003"/>
    <mergeCell ref="AP9003:AQ9003"/>
    <mergeCell ref="A9004:A9005"/>
    <mergeCell ref="E9004:E9005"/>
    <mergeCell ref="F9004:H9004"/>
    <mergeCell ref="J9004:J9005"/>
    <mergeCell ref="K9004:L9005"/>
    <mergeCell ref="M9004:N9005"/>
    <mergeCell ref="O9004:P9005"/>
    <mergeCell ref="Q9004:R9005"/>
    <mergeCell ref="S9004:T9005"/>
    <mergeCell ref="U9004:V9005"/>
    <mergeCell ref="W9004:W9005"/>
    <mergeCell ref="X9004:AB9004"/>
    <mergeCell ref="AD9004:AI9004"/>
    <mergeCell ref="AJ9004:AL9004"/>
    <mergeCell ref="AN9004:AO9004"/>
    <mergeCell ref="AP9004:AQ9004"/>
    <mergeCell ref="AR9004:AS9005"/>
    <mergeCell ref="AT9004:AU9005"/>
    <mergeCell ref="AV9004:AW9005"/>
    <mergeCell ref="AX9004:AY9005"/>
    <mergeCell ref="AZ9004:AZ9005"/>
    <mergeCell ref="F9005:H9005"/>
    <mergeCell ref="X9005:AB9005"/>
    <mergeCell ref="AE9005:AI9005"/>
    <mergeCell ref="AJ9005:AL9005"/>
    <mergeCell ref="AN9005:AO9005"/>
    <mergeCell ref="AP9005:AQ9005"/>
    <mergeCell ref="A9006:A9007"/>
    <mergeCell ref="E9006:E9007"/>
    <mergeCell ref="F9006:H9006"/>
    <mergeCell ref="J9006:J9007"/>
    <mergeCell ref="K9006:L9007"/>
    <mergeCell ref="M9006:N9007"/>
    <mergeCell ref="O9006:P9007"/>
    <mergeCell ref="Q9006:R9007"/>
    <mergeCell ref="S9006:T9007"/>
    <mergeCell ref="U9006:V9007"/>
    <mergeCell ref="W9006:W9007"/>
    <mergeCell ref="X9006:AB9006"/>
    <mergeCell ref="AD9006:AI9006"/>
    <mergeCell ref="AJ9006:AL9006"/>
    <mergeCell ref="AN9006:AO9006"/>
    <mergeCell ref="AP9006:AQ9006"/>
    <mergeCell ref="AR9006:AS9007"/>
    <mergeCell ref="AT9006:AU9007"/>
    <mergeCell ref="AV9006:AW9007"/>
    <mergeCell ref="AX9006:AY9007"/>
    <mergeCell ref="AZ9006:AZ9007"/>
    <mergeCell ref="F9007:H9007"/>
    <mergeCell ref="X9007:AB9007"/>
    <mergeCell ref="AE9007:AI9007"/>
    <mergeCell ref="AJ9007:AL9007"/>
    <mergeCell ref="AN9007:AO9007"/>
    <mergeCell ref="AP9007:AQ9007"/>
    <mergeCell ref="A9008:A9009"/>
    <mergeCell ref="E9008:E9009"/>
    <mergeCell ref="F9008:H9008"/>
    <mergeCell ref="J9008:J9009"/>
    <mergeCell ref="K9008:L9009"/>
    <mergeCell ref="M9008:N9009"/>
    <mergeCell ref="O9008:P9009"/>
    <mergeCell ref="Q9008:R9009"/>
    <mergeCell ref="S9008:T9009"/>
    <mergeCell ref="U9008:V9009"/>
    <mergeCell ref="W9008:W9009"/>
    <mergeCell ref="X9008:AB9008"/>
    <mergeCell ref="AD9008:AI9008"/>
    <mergeCell ref="AJ9008:AL9008"/>
    <mergeCell ref="AN9008:AO9008"/>
    <mergeCell ref="AP9008:AQ9008"/>
    <mergeCell ref="AR9008:AS9009"/>
    <mergeCell ref="AT9008:AU9009"/>
    <mergeCell ref="AV9008:AW9009"/>
    <mergeCell ref="AX9008:AY9009"/>
    <mergeCell ref="AZ9008:AZ9009"/>
    <mergeCell ref="F9009:H9009"/>
    <mergeCell ref="X9009:AB9009"/>
    <mergeCell ref="AE9009:AI9009"/>
    <mergeCell ref="AJ9009:AL9009"/>
    <mergeCell ref="AN9009:AO9009"/>
    <mergeCell ref="AP9009:AQ9009"/>
    <mergeCell ref="A9010:A9011"/>
    <mergeCell ref="E9010:E9011"/>
    <mergeCell ref="F9010:H9010"/>
    <mergeCell ref="J9010:J9011"/>
    <mergeCell ref="K9010:L9011"/>
    <mergeCell ref="M9010:N9011"/>
    <mergeCell ref="O9010:P9011"/>
    <mergeCell ref="Q9010:R9011"/>
    <mergeCell ref="S9010:T9011"/>
    <mergeCell ref="U9010:V9011"/>
    <mergeCell ref="W9010:W9011"/>
    <mergeCell ref="X9010:AB9010"/>
    <mergeCell ref="AD9010:AI9010"/>
    <mergeCell ref="AJ9010:AL9010"/>
    <mergeCell ref="AN9010:AO9010"/>
    <mergeCell ref="AP9010:AQ9010"/>
    <mergeCell ref="AR9010:AS9011"/>
    <mergeCell ref="AT9010:AU9011"/>
    <mergeCell ref="AV9010:AW9011"/>
    <mergeCell ref="AX9010:AY9011"/>
    <mergeCell ref="AZ9010:AZ9011"/>
    <mergeCell ref="F9011:H9011"/>
    <mergeCell ref="X9011:AB9011"/>
    <mergeCell ref="AE9011:AI9011"/>
    <mergeCell ref="AJ9011:AL9011"/>
    <mergeCell ref="AN9011:AO9011"/>
    <mergeCell ref="AP9011:AQ9011"/>
    <mergeCell ref="A9012:A9013"/>
    <mergeCell ref="E9012:E9013"/>
    <mergeCell ref="F9012:H9012"/>
    <mergeCell ref="J9012:J9013"/>
    <mergeCell ref="K9012:L9013"/>
    <mergeCell ref="M9012:N9013"/>
    <mergeCell ref="O9012:P9013"/>
    <mergeCell ref="Q9012:R9013"/>
    <mergeCell ref="S9012:T9013"/>
    <mergeCell ref="U9012:V9013"/>
    <mergeCell ref="W9012:W9013"/>
    <mergeCell ref="X9012:AB9012"/>
    <mergeCell ref="AD9012:AI9012"/>
    <mergeCell ref="AJ9012:AL9012"/>
    <mergeCell ref="AN9012:AO9012"/>
    <mergeCell ref="AP9012:AQ9012"/>
    <mergeCell ref="AR9012:AS9013"/>
    <mergeCell ref="AT9012:AU9013"/>
    <mergeCell ref="AV9012:AW9013"/>
    <mergeCell ref="AX9012:AY9013"/>
    <mergeCell ref="AZ9012:AZ9013"/>
    <mergeCell ref="F9013:H9013"/>
    <mergeCell ref="X9013:AB9013"/>
    <mergeCell ref="AE9013:AI9013"/>
    <mergeCell ref="AJ9013:AL9013"/>
    <mergeCell ref="AN9013:AO9013"/>
    <mergeCell ref="AP9013:AQ9013"/>
    <mergeCell ref="A9014:A9015"/>
    <mergeCell ref="E9014:E9015"/>
    <mergeCell ref="F9014:H9014"/>
    <mergeCell ref="J9014:J9015"/>
    <mergeCell ref="K9014:L9015"/>
    <mergeCell ref="M9014:N9015"/>
    <mergeCell ref="O9014:P9015"/>
    <mergeCell ref="Q9014:R9015"/>
    <mergeCell ref="S9014:T9015"/>
    <mergeCell ref="U9014:V9015"/>
    <mergeCell ref="W9014:W9015"/>
    <mergeCell ref="X9014:AB9014"/>
    <mergeCell ref="AD9014:AI9014"/>
    <mergeCell ref="AJ9014:AL9014"/>
    <mergeCell ref="AN9014:AO9014"/>
    <mergeCell ref="AP9014:AQ9014"/>
    <mergeCell ref="AR9014:AS9015"/>
    <mergeCell ref="AT9014:AU9015"/>
    <mergeCell ref="AV9014:AW9015"/>
    <mergeCell ref="AX9014:AY9015"/>
    <mergeCell ref="AZ9014:AZ9015"/>
    <mergeCell ref="F9015:H9015"/>
    <mergeCell ref="X9015:AB9015"/>
    <mergeCell ref="AE9015:AI9015"/>
    <mergeCell ref="AJ9015:AL9015"/>
    <mergeCell ref="AN9015:AO9015"/>
    <mergeCell ref="AP9015:AQ9015"/>
    <mergeCell ref="A9016:A9017"/>
    <mergeCell ref="E9016:E9017"/>
    <mergeCell ref="F9016:H9016"/>
    <mergeCell ref="J9016:J9017"/>
    <mergeCell ref="K9016:L9017"/>
    <mergeCell ref="M9016:N9017"/>
    <mergeCell ref="O9016:P9017"/>
    <mergeCell ref="Q9016:R9017"/>
    <mergeCell ref="S9016:T9017"/>
    <mergeCell ref="U9016:V9017"/>
    <mergeCell ref="W9016:W9017"/>
    <mergeCell ref="X9016:AB9016"/>
    <mergeCell ref="AD9016:AI9016"/>
    <mergeCell ref="AJ9016:AL9016"/>
    <mergeCell ref="AN9016:AO9016"/>
    <mergeCell ref="AP9016:AQ9016"/>
    <mergeCell ref="AR9016:AS9017"/>
    <mergeCell ref="AT9016:AU9017"/>
    <mergeCell ref="AV9016:AW9017"/>
    <mergeCell ref="AX9016:AY9017"/>
    <mergeCell ref="AZ9016:AZ9017"/>
    <mergeCell ref="F9017:H9017"/>
    <mergeCell ref="X9017:AB9017"/>
    <mergeCell ref="AE9017:AI9017"/>
    <mergeCell ref="AJ9017:AL9017"/>
    <mergeCell ref="AN9017:AO9017"/>
    <mergeCell ref="AP9017:AQ9017"/>
    <mergeCell ref="A9018:A9019"/>
    <mergeCell ref="E9018:E9019"/>
    <mergeCell ref="F9018:H9018"/>
    <mergeCell ref="J9018:J9019"/>
    <mergeCell ref="K9018:L9019"/>
    <mergeCell ref="M9018:N9019"/>
    <mergeCell ref="O9018:P9019"/>
    <mergeCell ref="Q9018:R9019"/>
    <mergeCell ref="S9018:T9019"/>
    <mergeCell ref="U9018:V9019"/>
    <mergeCell ref="W9018:W9019"/>
    <mergeCell ref="X9018:AB9018"/>
    <mergeCell ref="AD9018:AI9018"/>
    <mergeCell ref="AJ9018:AL9018"/>
    <mergeCell ref="AN9018:AO9018"/>
    <mergeCell ref="AP9018:AQ9018"/>
    <mergeCell ref="AR9018:AS9019"/>
    <mergeCell ref="AT9018:AU9019"/>
    <mergeCell ref="AV9018:AW9019"/>
    <mergeCell ref="AX9018:AY9019"/>
    <mergeCell ref="AZ9018:AZ9019"/>
    <mergeCell ref="F9019:H9019"/>
    <mergeCell ref="X9019:AB9019"/>
    <mergeCell ref="AE9019:AI9019"/>
    <mergeCell ref="AJ9019:AL9019"/>
    <mergeCell ref="AN9019:AO9019"/>
    <mergeCell ref="AP9019:AQ9019"/>
    <mergeCell ref="A9020:A9021"/>
    <mergeCell ref="E9020:E9021"/>
    <mergeCell ref="F9020:H9020"/>
    <mergeCell ref="J9020:J9021"/>
    <mergeCell ref="K9020:L9021"/>
    <mergeCell ref="M9020:N9021"/>
    <mergeCell ref="O9020:P9021"/>
    <mergeCell ref="Q9020:R9021"/>
    <mergeCell ref="S9020:T9021"/>
    <mergeCell ref="U9020:V9021"/>
    <mergeCell ref="W9020:W9021"/>
    <mergeCell ref="X9020:AB9020"/>
    <mergeCell ref="AD9020:AI9020"/>
    <mergeCell ref="AJ9020:AL9020"/>
    <mergeCell ref="AN9020:AO9020"/>
    <mergeCell ref="AP9020:AQ9020"/>
    <mergeCell ref="AR9020:AS9021"/>
    <mergeCell ref="AT9020:AU9021"/>
    <mergeCell ref="AV9020:AW9021"/>
    <mergeCell ref="AX9020:AY9021"/>
    <mergeCell ref="AZ9020:AZ9021"/>
    <mergeCell ref="F9021:H9021"/>
    <mergeCell ref="X9021:AB9021"/>
    <mergeCell ref="AE9021:AI9021"/>
    <mergeCell ref="AJ9021:AL9021"/>
    <mergeCell ref="AN9021:AO9021"/>
    <mergeCell ref="AP9021:AQ9021"/>
    <mergeCell ref="A9022:A9023"/>
    <mergeCell ref="E9022:E9023"/>
    <mergeCell ref="F9022:H9022"/>
    <mergeCell ref="J9022:J9023"/>
    <mergeCell ref="K9022:L9023"/>
    <mergeCell ref="M9022:N9023"/>
    <mergeCell ref="O9022:P9023"/>
    <mergeCell ref="Q9022:R9023"/>
    <mergeCell ref="S9022:T9023"/>
    <mergeCell ref="U9022:V9023"/>
    <mergeCell ref="W9022:W9023"/>
    <mergeCell ref="X9022:AB9022"/>
    <mergeCell ref="AD9022:AI9022"/>
    <mergeCell ref="AJ9022:AL9022"/>
    <mergeCell ref="AN9022:AO9022"/>
    <mergeCell ref="AP9022:AQ9022"/>
    <mergeCell ref="AR9022:AS9023"/>
    <mergeCell ref="AT9022:AU9023"/>
    <mergeCell ref="AV9022:AW9023"/>
    <mergeCell ref="AX9022:AY9023"/>
    <mergeCell ref="AZ9022:AZ9023"/>
    <mergeCell ref="F9023:H9023"/>
    <mergeCell ref="X9023:AB9023"/>
    <mergeCell ref="AE9023:AI9023"/>
    <mergeCell ref="AJ9023:AL9023"/>
    <mergeCell ref="AN9023:AO9023"/>
    <mergeCell ref="AP9023:AQ9023"/>
    <mergeCell ref="A9024:A9025"/>
    <mergeCell ref="E9024:E9025"/>
    <mergeCell ref="F9024:H9024"/>
    <mergeCell ref="J9024:J9025"/>
    <mergeCell ref="K9024:L9025"/>
    <mergeCell ref="M9024:N9025"/>
    <mergeCell ref="O9024:P9025"/>
    <mergeCell ref="Q9024:R9025"/>
    <mergeCell ref="S9024:T9025"/>
    <mergeCell ref="U9024:V9025"/>
    <mergeCell ref="W9024:W9025"/>
    <mergeCell ref="X9024:AB9024"/>
    <mergeCell ref="AD9024:AI9024"/>
    <mergeCell ref="AJ9024:AL9024"/>
    <mergeCell ref="AN9024:AO9024"/>
    <mergeCell ref="AP9024:AQ9024"/>
    <mergeCell ref="AR9024:AS9025"/>
    <mergeCell ref="AT9024:AU9025"/>
    <mergeCell ref="AV9024:AW9025"/>
    <mergeCell ref="AX9024:AY9025"/>
    <mergeCell ref="AZ9024:AZ9025"/>
    <mergeCell ref="F9025:H9025"/>
    <mergeCell ref="X9025:AB9025"/>
    <mergeCell ref="AE9025:AI9025"/>
    <mergeCell ref="AJ9025:AL9025"/>
    <mergeCell ref="AN9025:AO9025"/>
    <mergeCell ref="AP9025:AQ9025"/>
    <mergeCell ref="A9026:A9027"/>
    <mergeCell ref="E9026:E9027"/>
    <mergeCell ref="F9026:H9026"/>
    <mergeCell ref="J9026:J9027"/>
    <mergeCell ref="K9026:L9027"/>
    <mergeCell ref="M9026:N9027"/>
    <mergeCell ref="O9026:P9027"/>
    <mergeCell ref="Q9026:R9027"/>
    <mergeCell ref="S9026:T9027"/>
    <mergeCell ref="U9026:V9027"/>
    <mergeCell ref="W9026:W9027"/>
    <mergeCell ref="X9026:AB9026"/>
    <mergeCell ref="AD9026:AI9026"/>
    <mergeCell ref="AJ9026:AL9026"/>
    <mergeCell ref="AN9026:AO9026"/>
    <mergeCell ref="AP9026:AQ9026"/>
    <mergeCell ref="AR9026:AS9027"/>
    <mergeCell ref="AT9026:AU9027"/>
    <mergeCell ref="AV9026:AW9027"/>
    <mergeCell ref="AX9026:AY9027"/>
    <mergeCell ref="AZ9026:AZ9027"/>
    <mergeCell ref="F9027:H9027"/>
    <mergeCell ref="X9027:AB9027"/>
    <mergeCell ref="AE9027:AI9027"/>
    <mergeCell ref="AJ9027:AL9027"/>
    <mergeCell ref="AN9027:AO9027"/>
    <mergeCell ref="AP9027:AQ9027"/>
    <mergeCell ref="A9028:A9029"/>
    <mergeCell ref="E9028:E9029"/>
    <mergeCell ref="F9028:H9028"/>
    <mergeCell ref="J9028:J9029"/>
    <mergeCell ref="K9028:L9029"/>
    <mergeCell ref="M9028:N9029"/>
    <mergeCell ref="O9028:P9029"/>
    <mergeCell ref="Q9028:R9029"/>
    <mergeCell ref="S9028:T9029"/>
    <mergeCell ref="U9028:V9029"/>
    <mergeCell ref="W9028:W9029"/>
    <mergeCell ref="X9028:AB9028"/>
    <mergeCell ref="AD9028:AI9028"/>
    <mergeCell ref="AJ9028:AL9028"/>
    <mergeCell ref="AN9028:AO9028"/>
    <mergeCell ref="AP9028:AQ9028"/>
    <mergeCell ref="AR9028:AS9029"/>
    <mergeCell ref="AT9028:AU9029"/>
    <mergeCell ref="AV9028:AW9029"/>
    <mergeCell ref="AX9028:AY9029"/>
    <mergeCell ref="AZ9028:AZ9029"/>
    <mergeCell ref="F9029:H9029"/>
    <mergeCell ref="X9029:AB9029"/>
    <mergeCell ref="AE9029:AI9029"/>
    <mergeCell ref="AJ9029:AL9029"/>
    <mergeCell ref="AN9029:AO9029"/>
    <mergeCell ref="AP9029:AQ9029"/>
    <mergeCell ref="A9030:A9031"/>
    <mergeCell ref="E9030:E9031"/>
    <mergeCell ref="F9030:H9030"/>
    <mergeCell ref="J9030:J9031"/>
    <mergeCell ref="K9030:L9031"/>
    <mergeCell ref="M9030:N9031"/>
    <mergeCell ref="O9030:P9031"/>
    <mergeCell ref="Q9030:R9031"/>
    <mergeCell ref="S9030:T9031"/>
    <mergeCell ref="U9030:V9031"/>
    <mergeCell ref="W9030:W9031"/>
    <mergeCell ref="X9030:AB9030"/>
    <mergeCell ref="AD9030:AI9030"/>
    <mergeCell ref="AJ9030:AL9030"/>
    <mergeCell ref="AN9030:AO9030"/>
    <mergeCell ref="AP9030:AQ9030"/>
    <mergeCell ref="AR9030:AS9031"/>
    <mergeCell ref="AT9030:AU9031"/>
    <mergeCell ref="AV9030:AW9031"/>
    <mergeCell ref="AX9030:AY9031"/>
    <mergeCell ref="AZ9030:AZ9031"/>
    <mergeCell ref="F9031:H9031"/>
    <mergeCell ref="X9031:AB9031"/>
    <mergeCell ref="AE9031:AI9031"/>
    <mergeCell ref="AJ9031:AL9031"/>
    <mergeCell ref="AN9031:AO9031"/>
    <mergeCell ref="AP9031:AQ9031"/>
    <mergeCell ref="A9032:A9033"/>
    <mergeCell ref="E9032:E9033"/>
    <mergeCell ref="F9032:H9032"/>
    <mergeCell ref="J9032:J9033"/>
    <mergeCell ref="K9032:L9033"/>
    <mergeCell ref="M9032:N9033"/>
    <mergeCell ref="O9032:P9033"/>
    <mergeCell ref="Q9032:R9033"/>
    <mergeCell ref="S9032:T9033"/>
    <mergeCell ref="U9032:V9033"/>
    <mergeCell ref="W9032:W9033"/>
    <mergeCell ref="X9032:AB9032"/>
    <mergeCell ref="AD9032:AI9032"/>
    <mergeCell ref="AJ9032:AL9032"/>
    <mergeCell ref="AN9032:AO9032"/>
    <mergeCell ref="AP9032:AQ9032"/>
    <mergeCell ref="AR9032:AS9033"/>
    <mergeCell ref="AT9032:AU9033"/>
    <mergeCell ref="AV9032:AW9033"/>
    <mergeCell ref="AX9032:AY9033"/>
    <mergeCell ref="AZ9032:AZ9033"/>
    <mergeCell ref="F9033:H9033"/>
    <mergeCell ref="X9033:AB9033"/>
    <mergeCell ref="AE9033:AI9033"/>
    <mergeCell ref="AJ9033:AL9033"/>
    <mergeCell ref="AN9033:AO9033"/>
    <mergeCell ref="AP9033:AQ9033"/>
    <mergeCell ref="A9034:A9035"/>
    <mergeCell ref="E9034:E9035"/>
    <mergeCell ref="F9034:H9034"/>
    <mergeCell ref="J9034:J9035"/>
    <mergeCell ref="K9034:L9035"/>
    <mergeCell ref="M9034:N9035"/>
    <mergeCell ref="O9034:P9035"/>
    <mergeCell ref="Q9034:R9035"/>
    <mergeCell ref="S9034:T9035"/>
    <mergeCell ref="U9034:V9035"/>
    <mergeCell ref="W9034:W9035"/>
    <mergeCell ref="X9034:AB9034"/>
    <mergeCell ref="AD9034:AI9034"/>
    <mergeCell ref="AJ9034:AL9034"/>
    <mergeCell ref="AN9034:AO9034"/>
    <mergeCell ref="AP9034:AQ9034"/>
    <mergeCell ref="AR9034:AS9035"/>
    <mergeCell ref="AT9034:AU9035"/>
    <mergeCell ref="AV9034:AW9035"/>
    <mergeCell ref="AX9034:AY9035"/>
    <mergeCell ref="AZ9034:AZ9035"/>
    <mergeCell ref="F9035:H9035"/>
    <mergeCell ref="X9035:AB9035"/>
    <mergeCell ref="AE9035:AI9035"/>
    <mergeCell ref="AJ9035:AL9035"/>
    <mergeCell ref="AN9035:AO9035"/>
    <mergeCell ref="AP9035:AQ9035"/>
    <mergeCell ref="A9036:A9037"/>
    <mergeCell ref="E9036:E9037"/>
    <mergeCell ref="F9036:H9036"/>
    <mergeCell ref="J9036:J9037"/>
    <mergeCell ref="K9036:L9037"/>
    <mergeCell ref="M9036:N9037"/>
    <mergeCell ref="O9036:P9037"/>
    <mergeCell ref="Q9036:R9037"/>
    <mergeCell ref="S9036:T9037"/>
    <mergeCell ref="U9036:V9037"/>
    <mergeCell ref="W9036:W9037"/>
    <mergeCell ref="X9036:AB9036"/>
    <mergeCell ref="AD9036:AI9036"/>
    <mergeCell ref="AJ9036:AL9036"/>
    <mergeCell ref="AN9036:AO9036"/>
    <mergeCell ref="AP9036:AQ9036"/>
    <mergeCell ref="AR9036:AS9037"/>
    <mergeCell ref="AT9036:AU9037"/>
    <mergeCell ref="AV9036:AW9037"/>
    <mergeCell ref="AX9036:AY9037"/>
    <mergeCell ref="AZ9036:AZ9037"/>
    <mergeCell ref="F9037:H9037"/>
    <mergeCell ref="X9037:AB9037"/>
    <mergeCell ref="AE9037:AI9037"/>
    <mergeCell ref="AJ9037:AL9037"/>
    <mergeCell ref="AN9037:AO9037"/>
    <mergeCell ref="AP9037:AQ9037"/>
    <mergeCell ref="A9038:A9039"/>
    <mergeCell ref="E9038:E9039"/>
    <mergeCell ref="F9038:H9038"/>
    <mergeCell ref="J9038:J9039"/>
    <mergeCell ref="K9038:L9039"/>
    <mergeCell ref="M9038:N9039"/>
    <mergeCell ref="O9038:P9039"/>
    <mergeCell ref="Q9038:R9039"/>
    <mergeCell ref="S9038:T9039"/>
    <mergeCell ref="U9038:V9039"/>
    <mergeCell ref="W9038:W9039"/>
    <mergeCell ref="X9038:AB9038"/>
    <mergeCell ref="AD9038:AI9038"/>
    <mergeCell ref="AJ9038:AL9038"/>
    <mergeCell ref="AN9038:AO9038"/>
    <mergeCell ref="AP9038:AQ9038"/>
    <mergeCell ref="AR9038:AS9039"/>
    <mergeCell ref="AT9038:AU9039"/>
    <mergeCell ref="AV9038:AW9039"/>
    <mergeCell ref="AX9038:AY9039"/>
    <mergeCell ref="AZ9038:AZ9039"/>
    <mergeCell ref="F9039:H9039"/>
    <mergeCell ref="X9039:AB9039"/>
    <mergeCell ref="AE9039:AI9039"/>
    <mergeCell ref="AJ9039:AL9039"/>
    <mergeCell ref="AN9039:AO9039"/>
    <mergeCell ref="AP9039:AQ9039"/>
    <mergeCell ref="A9040:A9041"/>
    <mergeCell ref="E9040:E9041"/>
    <mergeCell ref="F9040:H9040"/>
    <mergeCell ref="J9040:J9041"/>
    <mergeCell ref="K9040:L9041"/>
    <mergeCell ref="M9040:N9041"/>
    <mergeCell ref="O9040:P9041"/>
    <mergeCell ref="Q9040:R9041"/>
    <mergeCell ref="S9040:T9041"/>
    <mergeCell ref="U9040:V9041"/>
    <mergeCell ref="W9040:W9041"/>
    <mergeCell ref="X9040:AB9040"/>
    <mergeCell ref="AD9040:AI9040"/>
    <mergeCell ref="AJ9040:AL9040"/>
    <mergeCell ref="AN9040:AO9040"/>
    <mergeCell ref="AP9040:AQ9040"/>
    <mergeCell ref="AR9040:AS9041"/>
    <mergeCell ref="AT9040:AU9041"/>
    <mergeCell ref="AV9040:AW9041"/>
    <mergeCell ref="AX9040:AY9041"/>
    <mergeCell ref="AZ9040:AZ9041"/>
    <mergeCell ref="F9041:H9041"/>
    <mergeCell ref="X9041:AB9041"/>
    <mergeCell ref="AE9041:AI9041"/>
    <mergeCell ref="AJ9041:AL9041"/>
    <mergeCell ref="AN9041:AO9041"/>
    <mergeCell ref="AP9041:AQ9041"/>
    <mergeCell ref="A9042:A9043"/>
    <mergeCell ref="E9042:E9043"/>
    <mergeCell ref="F9042:H9042"/>
    <mergeCell ref="J9042:J9043"/>
    <mergeCell ref="K9042:L9043"/>
    <mergeCell ref="M9042:N9043"/>
    <mergeCell ref="O9042:P9043"/>
    <mergeCell ref="Q9042:R9043"/>
    <mergeCell ref="S9042:T9043"/>
    <mergeCell ref="U9042:V9043"/>
    <mergeCell ref="W9042:W9043"/>
    <mergeCell ref="X9042:AB9042"/>
    <mergeCell ref="AD9042:AI9042"/>
    <mergeCell ref="AJ9042:AL9042"/>
    <mergeCell ref="AN9042:AO9042"/>
    <mergeCell ref="AP9042:AQ9042"/>
    <mergeCell ref="AR9042:AS9043"/>
    <mergeCell ref="AT9042:AU9043"/>
    <mergeCell ref="AV9042:AW9043"/>
    <mergeCell ref="AX9042:AY9043"/>
    <mergeCell ref="AZ9042:AZ9043"/>
    <mergeCell ref="F9043:H9043"/>
    <mergeCell ref="X9043:AB9043"/>
    <mergeCell ref="AE9043:AI9043"/>
    <mergeCell ref="AJ9043:AL9043"/>
    <mergeCell ref="AN9043:AO9043"/>
    <mergeCell ref="AP9043:AQ9043"/>
    <mergeCell ref="A9044:A9045"/>
    <mergeCell ref="E9044:E9045"/>
    <mergeCell ref="F9044:H9044"/>
    <mergeCell ref="J9044:J9045"/>
    <mergeCell ref="K9044:L9045"/>
    <mergeCell ref="M9044:N9045"/>
    <mergeCell ref="O9044:P9045"/>
    <mergeCell ref="Q9044:R9045"/>
    <mergeCell ref="S9044:T9045"/>
    <mergeCell ref="U9044:V9045"/>
    <mergeCell ref="W9044:W9045"/>
    <mergeCell ref="X9044:AB9044"/>
    <mergeCell ref="AD9044:AI9044"/>
    <mergeCell ref="AJ9044:AL9044"/>
    <mergeCell ref="AN9044:AO9044"/>
    <mergeCell ref="AP9044:AQ9044"/>
    <mergeCell ref="AR9044:AS9045"/>
    <mergeCell ref="AT9044:AU9045"/>
    <mergeCell ref="AV9044:AW9045"/>
    <mergeCell ref="AX9044:AY9045"/>
    <mergeCell ref="AZ9044:AZ9045"/>
    <mergeCell ref="F9045:H9045"/>
    <mergeCell ref="X9045:AB9045"/>
    <mergeCell ref="AE9045:AI9045"/>
    <mergeCell ref="AJ9045:AL9045"/>
    <mergeCell ref="AN9045:AO9045"/>
    <mergeCell ref="AP9045:AQ9045"/>
    <mergeCell ref="A9046:A9047"/>
    <mergeCell ref="E9046:E9047"/>
    <mergeCell ref="F9046:H9046"/>
    <mergeCell ref="J9046:J9047"/>
    <mergeCell ref="K9046:L9047"/>
    <mergeCell ref="M9046:N9047"/>
    <mergeCell ref="O9046:P9047"/>
    <mergeCell ref="Q9046:R9047"/>
    <mergeCell ref="S9046:T9047"/>
    <mergeCell ref="U9046:V9047"/>
    <mergeCell ref="W9046:W9047"/>
    <mergeCell ref="X9046:AB9046"/>
    <mergeCell ref="AD9046:AI9046"/>
    <mergeCell ref="AJ9046:AL9046"/>
    <mergeCell ref="AN9046:AO9046"/>
    <mergeCell ref="AP9046:AQ9046"/>
    <mergeCell ref="AR9046:AS9047"/>
    <mergeCell ref="AT9046:AU9047"/>
    <mergeCell ref="AV9046:AW9047"/>
    <mergeCell ref="AX9046:AY9047"/>
    <mergeCell ref="AZ9046:AZ9047"/>
    <mergeCell ref="F9047:H9047"/>
    <mergeCell ref="X9047:AB9047"/>
    <mergeCell ref="AE9047:AI9047"/>
    <mergeCell ref="AJ9047:AL9047"/>
    <mergeCell ref="AN9047:AO9047"/>
    <mergeCell ref="AP9047:AQ9047"/>
    <mergeCell ref="A9048:A9049"/>
    <mergeCell ref="E9048:E9049"/>
    <mergeCell ref="F9048:H9048"/>
    <mergeCell ref="J9048:J9049"/>
    <mergeCell ref="K9048:L9049"/>
    <mergeCell ref="M9048:N9049"/>
    <mergeCell ref="O9048:P9049"/>
    <mergeCell ref="Q9048:R9049"/>
    <mergeCell ref="S9048:T9049"/>
    <mergeCell ref="U9048:V9049"/>
    <mergeCell ref="W9048:W9049"/>
    <mergeCell ref="X9048:AB9048"/>
    <mergeCell ref="AD9048:AI9048"/>
    <mergeCell ref="AJ9048:AL9048"/>
    <mergeCell ref="AN9048:AO9048"/>
    <mergeCell ref="AP9048:AQ9048"/>
    <mergeCell ref="AR9048:AS9049"/>
    <mergeCell ref="AT9048:AU9049"/>
    <mergeCell ref="AV9048:AW9049"/>
    <mergeCell ref="AX9048:AY9049"/>
    <mergeCell ref="AZ9048:AZ9049"/>
    <mergeCell ref="F9049:H9049"/>
    <mergeCell ref="X9049:AB9049"/>
    <mergeCell ref="AE9049:AI9049"/>
    <mergeCell ref="AJ9049:AL9049"/>
    <mergeCell ref="AN9049:AO9049"/>
    <mergeCell ref="AP9049:AQ9049"/>
    <mergeCell ref="A9050:A9051"/>
    <mergeCell ref="E9050:E9051"/>
    <mergeCell ref="F9050:H9050"/>
    <mergeCell ref="J9050:J9051"/>
    <mergeCell ref="K9050:L9051"/>
    <mergeCell ref="M9050:N9051"/>
    <mergeCell ref="O9050:P9051"/>
    <mergeCell ref="Q9050:R9051"/>
    <mergeCell ref="S9050:T9051"/>
    <mergeCell ref="U9050:V9051"/>
    <mergeCell ref="W9050:W9051"/>
    <mergeCell ref="X9050:AB9050"/>
    <mergeCell ref="AD9050:AI9050"/>
    <mergeCell ref="AJ9050:AL9050"/>
    <mergeCell ref="AN9050:AO9050"/>
    <mergeCell ref="AP9050:AQ9050"/>
    <mergeCell ref="AR9050:AS9051"/>
    <mergeCell ref="AT9050:AU9051"/>
    <mergeCell ref="AV9050:AW9051"/>
    <mergeCell ref="AX9050:AY9051"/>
    <mergeCell ref="AZ9050:AZ9051"/>
    <mergeCell ref="F9051:H9051"/>
    <mergeCell ref="X9051:AB9051"/>
    <mergeCell ref="AE9051:AI9051"/>
    <mergeCell ref="AJ9051:AL9051"/>
    <mergeCell ref="AN9051:AO9051"/>
    <mergeCell ref="AP9051:AQ9051"/>
    <mergeCell ref="A9052:A9053"/>
    <mergeCell ref="E9052:E9053"/>
    <mergeCell ref="F9052:H9052"/>
    <mergeCell ref="J9052:J9053"/>
    <mergeCell ref="K9052:L9053"/>
    <mergeCell ref="M9052:N9053"/>
    <mergeCell ref="O9052:P9053"/>
    <mergeCell ref="Q9052:R9053"/>
    <mergeCell ref="S9052:T9053"/>
    <mergeCell ref="U9052:V9053"/>
    <mergeCell ref="W9052:W9053"/>
    <mergeCell ref="X9052:AB9052"/>
    <mergeCell ref="AD9052:AI9052"/>
    <mergeCell ref="AJ9052:AL9052"/>
    <mergeCell ref="AN9052:AO9052"/>
    <mergeCell ref="AP9052:AQ9052"/>
    <mergeCell ref="AR9052:AS9053"/>
    <mergeCell ref="AT9052:AU9053"/>
    <mergeCell ref="AV9052:AW9053"/>
    <mergeCell ref="AX9052:AY9053"/>
    <mergeCell ref="AZ9052:AZ9053"/>
    <mergeCell ref="F9053:H9053"/>
    <mergeCell ref="X9053:AB9053"/>
    <mergeCell ref="AE9053:AI9053"/>
    <mergeCell ref="AJ9053:AL9053"/>
    <mergeCell ref="AN9053:AO9053"/>
    <mergeCell ref="AP9053:AQ9053"/>
    <mergeCell ref="A9054:A9055"/>
    <mergeCell ref="E9054:E9055"/>
    <mergeCell ref="F9054:H9054"/>
    <mergeCell ref="J9054:J9055"/>
    <mergeCell ref="K9054:L9055"/>
    <mergeCell ref="M9054:N9055"/>
    <mergeCell ref="O9054:P9055"/>
    <mergeCell ref="Q9054:R9055"/>
    <mergeCell ref="S9054:T9055"/>
    <mergeCell ref="U9054:V9055"/>
    <mergeCell ref="W9054:W9055"/>
    <mergeCell ref="X9054:AB9054"/>
    <mergeCell ref="AD9054:AI9054"/>
    <mergeCell ref="AJ9054:AL9054"/>
    <mergeCell ref="AN9054:AO9054"/>
    <mergeCell ref="AP9054:AQ9054"/>
    <mergeCell ref="AR9054:AS9055"/>
    <mergeCell ref="AT9054:AU9055"/>
    <mergeCell ref="AV9054:AW9055"/>
    <mergeCell ref="AX9054:AY9055"/>
    <mergeCell ref="AZ9054:AZ9055"/>
    <mergeCell ref="F9055:H9055"/>
    <mergeCell ref="X9055:AB9055"/>
    <mergeCell ref="AE9055:AI9055"/>
    <mergeCell ref="AJ9055:AL9055"/>
    <mergeCell ref="AN9055:AO9055"/>
    <mergeCell ref="AP9055:AQ9055"/>
    <mergeCell ref="A9056:A9057"/>
    <mergeCell ref="E9056:E9057"/>
    <mergeCell ref="F9056:H9056"/>
    <mergeCell ref="J9056:J9057"/>
    <mergeCell ref="K9056:L9057"/>
    <mergeCell ref="M9056:N9057"/>
    <mergeCell ref="O9056:P9057"/>
    <mergeCell ref="Q9056:R9057"/>
    <mergeCell ref="S9056:T9057"/>
    <mergeCell ref="U9056:V9057"/>
    <mergeCell ref="W9056:W9057"/>
    <mergeCell ref="X9056:AB9056"/>
    <mergeCell ref="AD9056:AI9056"/>
    <mergeCell ref="AJ9056:AL9056"/>
    <mergeCell ref="AN9056:AO9056"/>
    <mergeCell ref="AP9056:AQ9056"/>
    <mergeCell ref="AR9056:AS9057"/>
    <mergeCell ref="AT9056:AU9057"/>
    <mergeCell ref="AV9056:AW9057"/>
    <mergeCell ref="AX9056:AY9057"/>
    <mergeCell ref="AZ9056:AZ9057"/>
    <mergeCell ref="F9057:H9057"/>
    <mergeCell ref="X9057:AB9057"/>
    <mergeCell ref="AE9057:AI9057"/>
    <mergeCell ref="AJ9057:AL9057"/>
    <mergeCell ref="AN9057:AO9057"/>
    <mergeCell ref="AP9057:AQ9057"/>
    <mergeCell ref="AZ9064:AZ9065"/>
    <mergeCell ref="F9065:H9065"/>
    <mergeCell ref="X9065:AB9065"/>
    <mergeCell ref="AE9065:AI9065"/>
    <mergeCell ref="AJ9065:AL9065"/>
    <mergeCell ref="AN9065:AO9065"/>
    <mergeCell ref="AP9065:AQ9065"/>
    <mergeCell ref="A9058:A9059"/>
    <mergeCell ref="E9058:E9059"/>
    <mergeCell ref="F9058:H9058"/>
    <mergeCell ref="J9058:J9059"/>
    <mergeCell ref="K9058:L9059"/>
    <mergeCell ref="M9058:N9059"/>
    <mergeCell ref="O9058:P9059"/>
    <mergeCell ref="Q9058:R9059"/>
    <mergeCell ref="S9058:T9059"/>
    <mergeCell ref="U9058:V9059"/>
    <mergeCell ref="W9058:W9059"/>
    <mergeCell ref="X9058:AB9058"/>
    <mergeCell ref="AD9058:AI9058"/>
    <mergeCell ref="AJ9058:AL9058"/>
    <mergeCell ref="AN9058:AO9058"/>
    <mergeCell ref="AP9058:AQ9058"/>
    <mergeCell ref="AR9058:AS9059"/>
    <mergeCell ref="AT9058:AU9059"/>
    <mergeCell ref="AV9058:AW9059"/>
    <mergeCell ref="AX9058:AY9059"/>
    <mergeCell ref="AZ9058:AZ9059"/>
    <mergeCell ref="F9059:H9059"/>
    <mergeCell ref="X9059:AB9059"/>
    <mergeCell ref="AE9059:AI9059"/>
    <mergeCell ref="AJ9059:AL9059"/>
    <mergeCell ref="AN9059:AO9059"/>
    <mergeCell ref="AP9059:AQ9059"/>
    <mergeCell ref="A9060:A9061"/>
    <mergeCell ref="E9060:E9061"/>
    <mergeCell ref="F9060:H9060"/>
    <mergeCell ref="J9060:J9061"/>
    <mergeCell ref="K9060:L9061"/>
    <mergeCell ref="M9060:N9061"/>
    <mergeCell ref="O9060:P9061"/>
    <mergeCell ref="Q9060:R9061"/>
    <mergeCell ref="S9060:T9061"/>
    <mergeCell ref="U9060:V9061"/>
    <mergeCell ref="W9060:W9061"/>
    <mergeCell ref="X9060:AB9060"/>
    <mergeCell ref="AD9060:AI9060"/>
    <mergeCell ref="AJ9060:AL9060"/>
    <mergeCell ref="AN9060:AO9060"/>
    <mergeCell ref="AP9060:AQ9060"/>
    <mergeCell ref="AR9060:AS9061"/>
    <mergeCell ref="AT9060:AU9061"/>
    <mergeCell ref="AV9060:AW9061"/>
    <mergeCell ref="AX9060:AY9061"/>
    <mergeCell ref="AZ9060:AZ9061"/>
    <mergeCell ref="F9061:H9061"/>
    <mergeCell ref="X9061:AB9061"/>
    <mergeCell ref="AE9061:AI9061"/>
    <mergeCell ref="AJ9061:AL9061"/>
    <mergeCell ref="AN9061:AO9061"/>
    <mergeCell ref="AP9061:AQ9061"/>
    <mergeCell ref="W9068:W9069"/>
    <mergeCell ref="X9068:AB9068"/>
    <mergeCell ref="AD9068:AI9068"/>
    <mergeCell ref="AJ9068:AL9068"/>
    <mergeCell ref="AN9068:AO9068"/>
    <mergeCell ref="AP9068:AQ9068"/>
    <mergeCell ref="AR9068:AS9069"/>
    <mergeCell ref="AT9068:AU9069"/>
    <mergeCell ref="AV9068:AW9069"/>
    <mergeCell ref="AX9068:AY9069"/>
    <mergeCell ref="AZ9068:AZ9069"/>
    <mergeCell ref="F9069:H9069"/>
    <mergeCell ref="X9069:AB9069"/>
    <mergeCell ref="AE9069:AI9069"/>
    <mergeCell ref="AJ9069:AL9069"/>
    <mergeCell ref="AN9069:AO9069"/>
    <mergeCell ref="AP9069:AQ9069"/>
    <mergeCell ref="A9062:A9063"/>
    <mergeCell ref="E9062:E9063"/>
    <mergeCell ref="F9062:H9062"/>
    <mergeCell ref="J9062:J9063"/>
    <mergeCell ref="K9062:L9063"/>
    <mergeCell ref="M9062:N9063"/>
    <mergeCell ref="O9062:P9063"/>
    <mergeCell ref="Q9062:R9063"/>
    <mergeCell ref="S9062:T9063"/>
    <mergeCell ref="U9062:V9063"/>
    <mergeCell ref="W9062:W9063"/>
    <mergeCell ref="X9062:AB9062"/>
    <mergeCell ref="AD9062:AI9062"/>
    <mergeCell ref="AJ9062:AL9062"/>
    <mergeCell ref="AN9062:AO9062"/>
    <mergeCell ref="AP9062:AQ9062"/>
    <mergeCell ref="AR9062:AS9063"/>
    <mergeCell ref="AT9062:AU9063"/>
    <mergeCell ref="AV9062:AW9063"/>
    <mergeCell ref="AX9062:AY9063"/>
    <mergeCell ref="AZ9062:AZ9063"/>
    <mergeCell ref="F9063:H9063"/>
    <mergeCell ref="X9063:AB9063"/>
    <mergeCell ref="AE9063:AI9063"/>
    <mergeCell ref="AJ9063:AL9063"/>
    <mergeCell ref="AN9063:AO9063"/>
    <mergeCell ref="AP9063:AQ9063"/>
    <mergeCell ref="A9064:A9065"/>
    <mergeCell ref="E9064:E9065"/>
    <mergeCell ref="F9064:H9064"/>
    <mergeCell ref="J9064:J9065"/>
    <mergeCell ref="K9064:L9065"/>
    <mergeCell ref="M9064:N9065"/>
    <mergeCell ref="O9064:P9065"/>
    <mergeCell ref="Q9064:R9065"/>
    <mergeCell ref="S9064:T9065"/>
    <mergeCell ref="U9064:V9065"/>
    <mergeCell ref="W9064:W9065"/>
    <mergeCell ref="X9064:AB9064"/>
    <mergeCell ref="AD9064:AI9064"/>
    <mergeCell ref="AJ9064:AL9064"/>
    <mergeCell ref="AN9064:AO9064"/>
    <mergeCell ref="AP9064:AQ9064"/>
    <mergeCell ref="AR9064:AS9065"/>
    <mergeCell ref="AT9064:AU9065"/>
    <mergeCell ref="AV9064:AW9065"/>
    <mergeCell ref="AX9064:AY9065"/>
    <mergeCell ref="A9070:A9071"/>
    <mergeCell ref="E9070:E9071"/>
    <mergeCell ref="F9070:H9070"/>
    <mergeCell ref="J9070:J9071"/>
    <mergeCell ref="K9070:L9071"/>
    <mergeCell ref="M9070:N9071"/>
    <mergeCell ref="O9070:P9071"/>
    <mergeCell ref="Q9070:R9071"/>
    <mergeCell ref="S9070:T9071"/>
    <mergeCell ref="U9070:V9071"/>
    <mergeCell ref="W9070:W9071"/>
    <mergeCell ref="X9070:AB9070"/>
    <mergeCell ref="AD9070:AI9070"/>
    <mergeCell ref="AJ9070:AL9070"/>
    <mergeCell ref="AN9070:AO9070"/>
    <mergeCell ref="AP9070:AQ9070"/>
    <mergeCell ref="AR9070:AS9071"/>
    <mergeCell ref="AT9070:AU9071"/>
    <mergeCell ref="AV9070:AW9071"/>
    <mergeCell ref="AX9070:AY9071"/>
    <mergeCell ref="AZ9070:AZ9071"/>
    <mergeCell ref="F9071:H9071"/>
    <mergeCell ref="X9071:AB9071"/>
    <mergeCell ref="AE9071:AI9071"/>
    <mergeCell ref="AJ9071:AL9071"/>
    <mergeCell ref="AN9071:AO9071"/>
    <mergeCell ref="AP9071:AQ9071"/>
    <mergeCell ref="A9066:A9067"/>
    <mergeCell ref="E9066:E9067"/>
    <mergeCell ref="F9066:H9066"/>
    <mergeCell ref="J9066:J9067"/>
    <mergeCell ref="K9066:L9067"/>
    <mergeCell ref="M9066:N9067"/>
    <mergeCell ref="O9066:P9067"/>
    <mergeCell ref="Q9066:R9067"/>
    <mergeCell ref="S9066:T9067"/>
    <mergeCell ref="U9066:V9067"/>
    <mergeCell ref="W9066:W9067"/>
    <mergeCell ref="X9066:AB9066"/>
    <mergeCell ref="AD9066:AI9066"/>
    <mergeCell ref="AJ9066:AL9066"/>
    <mergeCell ref="AN9066:AO9066"/>
    <mergeCell ref="AP9066:AQ9066"/>
    <mergeCell ref="AR9066:AS9067"/>
    <mergeCell ref="AT9066:AU9067"/>
    <mergeCell ref="AV9066:AW9067"/>
    <mergeCell ref="AX9066:AY9067"/>
    <mergeCell ref="AZ9066:AZ9067"/>
    <mergeCell ref="F9067:H9067"/>
    <mergeCell ref="X9067:AB9067"/>
    <mergeCell ref="AE9067:AI9067"/>
    <mergeCell ref="AJ9067:AL9067"/>
    <mergeCell ref="AN9067:AO9067"/>
    <mergeCell ref="AP9067:AQ9067"/>
    <mergeCell ref="A9068:A9069"/>
    <mergeCell ref="E9068:E9069"/>
    <mergeCell ref="F9068:H9068"/>
    <mergeCell ref="J9068:J9069"/>
    <mergeCell ref="K9068:L9069"/>
    <mergeCell ref="M9068:N9069"/>
    <mergeCell ref="O9068:P9069"/>
    <mergeCell ref="Q9068:R9069"/>
    <mergeCell ref="S9068:T9069"/>
    <mergeCell ref="U9068:V9069"/>
    <mergeCell ref="A8378:A8379"/>
    <mergeCell ref="E8378:E8379"/>
    <mergeCell ref="F8378:H8378"/>
    <mergeCell ref="J8378:J8379"/>
    <mergeCell ref="K8378:L8379"/>
    <mergeCell ref="M8378:N8379"/>
    <mergeCell ref="O8378:P8379"/>
    <mergeCell ref="Q8378:R8379"/>
    <mergeCell ref="S8378:T8379"/>
    <mergeCell ref="U8378:V8379"/>
    <mergeCell ref="W8378:W8379"/>
    <mergeCell ref="X8378:AB8378"/>
    <mergeCell ref="AD8378:AI8378"/>
    <mergeCell ref="AJ8378:AL8378"/>
    <mergeCell ref="AN8378:AO8378"/>
    <mergeCell ref="AP8378:AQ8378"/>
    <mergeCell ref="AR8378:AS8379"/>
    <mergeCell ref="AT8378:AU8379"/>
    <mergeCell ref="AV8378:AW8379"/>
    <mergeCell ref="AX8378:AY8379"/>
    <mergeCell ref="AZ8378:AZ8379"/>
    <mergeCell ref="F8379:H8379"/>
    <mergeCell ref="X8379:AB8379"/>
    <mergeCell ref="AE8379:AI8379"/>
    <mergeCell ref="AJ8379:AL8379"/>
    <mergeCell ref="AN8379:AO8379"/>
    <mergeCell ref="AP8379:AQ8379"/>
    <mergeCell ref="A8382:A8383"/>
    <mergeCell ref="E8382:E8383"/>
    <mergeCell ref="F8382:H8382"/>
    <mergeCell ref="J8382:J8383"/>
    <mergeCell ref="K8382:L8383"/>
    <mergeCell ref="M8382:N8383"/>
    <mergeCell ref="O8382:P8383"/>
    <mergeCell ref="Q8382:R8383"/>
    <mergeCell ref="S8382:T8383"/>
    <mergeCell ref="U8382:V8383"/>
    <mergeCell ref="A8380:A8381"/>
    <mergeCell ref="E8380:E8381"/>
    <mergeCell ref="AN8381:AO8381"/>
    <mergeCell ref="AP8381:AQ8381"/>
    <mergeCell ref="A8384:A8385"/>
    <mergeCell ref="E8384:E8385"/>
    <mergeCell ref="F8384:H8384"/>
    <mergeCell ref="J8384:J8385"/>
    <mergeCell ref="K8384:L8385"/>
    <mergeCell ref="M8384:N8385"/>
    <mergeCell ref="O8384:P8385"/>
    <mergeCell ref="Q8384:R8385"/>
    <mergeCell ref="S8384:T8385"/>
    <mergeCell ref="U8384:V8385"/>
    <mergeCell ref="W8384:W8385"/>
    <mergeCell ref="X8384:AB8384"/>
    <mergeCell ref="AD8384:AI8384"/>
    <mergeCell ref="AJ8384:AL8384"/>
    <mergeCell ref="AN8384:AO8384"/>
    <mergeCell ref="AP8384:AQ8384"/>
    <mergeCell ref="AR8384:AS8385"/>
    <mergeCell ref="AT8384:AU8385"/>
    <mergeCell ref="AV8384:AW8385"/>
    <mergeCell ref="AX8384:AY8385"/>
    <mergeCell ref="AZ8384:AZ8385"/>
    <mergeCell ref="F8385:H8385"/>
    <mergeCell ref="X8385:AB8385"/>
    <mergeCell ref="AE8385:AI8385"/>
    <mergeCell ref="AJ8385:AL8385"/>
    <mergeCell ref="AN8385:AO8385"/>
    <mergeCell ref="AP8385:AQ8385"/>
    <mergeCell ref="A8758:A8759"/>
    <mergeCell ref="E8758:E8759"/>
    <mergeCell ref="F8758:H8758"/>
    <mergeCell ref="J8758:J8759"/>
    <mergeCell ref="K8758:L8759"/>
    <mergeCell ref="M8758:N8759"/>
    <mergeCell ref="O8758:P8759"/>
    <mergeCell ref="Q8758:R8759"/>
    <mergeCell ref="S8758:T8759"/>
    <mergeCell ref="U8758:V8759"/>
    <mergeCell ref="W8756:W8757"/>
    <mergeCell ref="X8756:AB8756"/>
    <mergeCell ref="AD8756:AI8756"/>
    <mergeCell ref="AJ8756:AL8756"/>
    <mergeCell ref="AN8756:AO8756"/>
    <mergeCell ref="AP8756:AQ8756"/>
    <mergeCell ref="AR8756:AS8757"/>
    <mergeCell ref="AT8756:AU8757"/>
    <mergeCell ref="AV8756:AW8757"/>
    <mergeCell ref="AX8756:AY8757"/>
    <mergeCell ref="AZ8756:AZ8757"/>
    <mergeCell ref="F8757:H8757"/>
    <mergeCell ref="X8757:AB8757"/>
    <mergeCell ref="AE8757:AI8757"/>
    <mergeCell ref="AJ8757:AL8757"/>
    <mergeCell ref="AN8757:AO8757"/>
    <mergeCell ref="AP8757:AQ8757"/>
    <mergeCell ref="W8758:W8759"/>
    <mergeCell ref="X8758:AB8758"/>
    <mergeCell ref="AD8758:AI8758"/>
    <mergeCell ref="AJ8758:AL8758"/>
    <mergeCell ref="AN8758:AO8758"/>
    <mergeCell ref="AP8758:AQ8758"/>
    <mergeCell ref="AR8758:AS8759"/>
    <mergeCell ref="AT8758:AU8759"/>
    <mergeCell ref="AV8758:AW8759"/>
    <mergeCell ref="AX8758:AY8759"/>
    <mergeCell ref="A8862:A8863"/>
    <mergeCell ref="E8862:E8863"/>
    <mergeCell ref="F8862:H8862"/>
    <mergeCell ref="J8862:J8863"/>
    <mergeCell ref="K8862:L8863"/>
    <mergeCell ref="M8862:N8863"/>
    <mergeCell ref="O8862:P8863"/>
    <mergeCell ref="Q8862:R8863"/>
    <mergeCell ref="S8862:T8863"/>
    <mergeCell ref="U8862:V8863"/>
    <mergeCell ref="W8862:W8863"/>
    <mergeCell ref="X8862:AB8862"/>
    <mergeCell ref="AD8862:AI8862"/>
    <mergeCell ref="AJ8862:AL8862"/>
    <mergeCell ref="AN8862:AO8862"/>
    <mergeCell ref="AP8862:AQ8862"/>
    <mergeCell ref="AR8862:AS8863"/>
    <mergeCell ref="AT8862:AU8863"/>
    <mergeCell ref="AV8862:AW8863"/>
    <mergeCell ref="AX8862:AY8863"/>
    <mergeCell ref="AZ8862:AZ8863"/>
    <mergeCell ref="F8863:H8863"/>
    <mergeCell ref="X8863:AB8863"/>
    <mergeCell ref="AE8863:AI8863"/>
    <mergeCell ref="AJ8863:AL8863"/>
    <mergeCell ref="AN8863:AO8863"/>
    <mergeCell ref="AP8863:AQ8863"/>
    <mergeCell ref="W8810:W8811"/>
    <mergeCell ref="X8810:AB8810"/>
    <mergeCell ref="AD8810:AI8810"/>
    <mergeCell ref="AJ8810:AL8810"/>
    <mergeCell ref="AN8810:AO8810"/>
    <mergeCell ref="AP8810:AQ8810"/>
    <mergeCell ref="AR8810:AS8811"/>
    <mergeCell ref="AT8810:AU8811"/>
    <mergeCell ref="AV8810:AW8811"/>
    <mergeCell ref="AX8810:AY8811"/>
    <mergeCell ref="AZ8810:AZ8811"/>
    <mergeCell ref="F8811:H8811"/>
    <mergeCell ref="X8811:AB8811"/>
    <mergeCell ref="AE8811:AI8811"/>
    <mergeCell ref="AJ8811:AL8811"/>
    <mergeCell ref="AN8811:AO8811"/>
    <mergeCell ref="AP8811:AQ8811"/>
    <mergeCell ref="A8858:A8859"/>
    <mergeCell ref="E8858:E8859"/>
    <mergeCell ref="F8858:H8858"/>
    <mergeCell ref="J8858:J8859"/>
    <mergeCell ref="K8858:L8859"/>
    <mergeCell ref="M8858:N8859"/>
    <mergeCell ref="O8858:P8859"/>
    <mergeCell ref="Q8858:R8859"/>
    <mergeCell ref="S8858:T8859"/>
    <mergeCell ref="U8858:V8859"/>
    <mergeCell ref="W8858:W8859"/>
    <mergeCell ref="X8858:AB8858"/>
    <mergeCell ref="AD8858:AI8858"/>
    <mergeCell ref="AJ8858:AL8858"/>
    <mergeCell ref="AN8858:AO8858"/>
    <mergeCell ref="AP8858:AQ8858"/>
    <mergeCell ref="AR8858:AS8859"/>
    <mergeCell ref="AT8858:AU8859"/>
    <mergeCell ref="AV8858:AW8859"/>
    <mergeCell ref="AX8858:AY8859"/>
    <mergeCell ref="A9072:A9073"/>
    <mergeCell ref="E9072:E9073"/>
    <mergeCell ref="F9072:H9072"/>
    <mergeCell ref="J9072:J9073"/>
    <mergeCell ref="K9072:L9073"/>
    <mergeCell ref="M9072:N9073"/>
    <mergeCell ref="O9072:P9073"/>
    <mergeCell ref="Q9072:R9073"/>
    <mergeCell ref="S9072:T9073"/>
    <mergeCell ref="U9072:V9073"/>
    <mergeCell ref="W9072:W9073"/>
    <mergeCell ref="X9072:AB9072"/>
    <mergeCell ref="AD9072:AI9072"/>
    <mergeCell ref="AJ9072:AL9072"/>
    <mergeCell ref="AN9072:AO9072"/>
    <mergeCell ref="AP9072:AQ9072"/>
    <mergeCell ref="AR9072:AS9073"/>
    <mergeCell ref="AT9072:AU9073"/>
    <mergeCell ref="AV9072:AW9073"/>
    <mergeCell ref="AX9072:AY9073"/>
    <mergeCell ref="AZ9072:AZ9073"/>
    <mergeCell ref="F9073:H9073"/>
    <mergeCell ref="X9073:AB9073"/>
    <mergeCell ref="AE9073:AI9073"/>
    <mergeCell ref="AJ9073:AL9073"/>
    <mergeCell ref="AN9073:AO9073"/>
    <mergeCell ref="AP9073:AQ9073"/>
    <mergeCell ref="A9074:A9075"/>
    <mergeCell ref="E9074:E9075"/>
    <mergeCell ref="F9074:H9074"/>
    <mergeCell ref="J9074:J9075"/>
    <mergeCell ref="K9074:L9075"/>
    <mergeCell ref="M9074:N9075"/>
    <mergeCell ref="O9074:P9075"/>
    <mergeCell ref="Q9074:R9075"/>
    <mergeCell ref="S9074:T9075"/>
    <mergeCell ref="U9074:V9075"/>
    <mergeCell ref="W9074:W9075"/>
    <mergeCell ref="X9074:AB9074"/>
    <mergeCell ref="AD9074:AI9074"/>
    <mergeCell ref="AJ9074:AL9074"/>
    <mergeCell ref="AN9074:AO9074"/>
    <mergeCell ref="AP9074:AQ9074"/>
    <mergeCell ref="AR9074:AS9075"/>
    <mergeCell ref="AT9074:AU9075"/>
    <mergeCell ref="AV9074:AW9075"/>
    <mergeCell ref="AX9074:AY9075"/>
    <mergeCell ref="AZ9074:AZ9075"/>
    <mergeCell ref="F9075:H9075"/>
    <mergeCell ref="X9075:AB9075"/>
    <mergeCell ref="AE9075:AI9075"/>
    <mergeCell ref="AJ9075:AL9075"/>
    <mergeCell ref="AN9075:AO9075"/>
    <mergeCell ref="AP9075:AQ9075"/>
    <mergeCell ref="A9076:A9077"/>
    <mergeCell ref="E9076:E9077"/>
    <mergeCell ref="F9076:H9076"/>
    <mergeCell ref="J9076:J9077"/>
    <mergeCell ref="K9076:L9077"/>
    <mergeCell ref="M9076:N9077"/>
    <mergeCell ref="O9076:P9077"/>
    <mergeCell ref="Q9076:R9077"/>
    <mergeCell ref="S9076:T9077"/>
    <mergeCell ref="U9076:V9077"/>
    <mergeCell ref="W9076:W9077"/>
    <mergeCell ref="X9076:AB9076"/>
    <mergeCell ref="AD9076:AI9076"/>
    <mergeCell ref="AJ9076:AL9076"/>
    <mergeCell ref="AN9076:AO9076"/>
    <mergeCell ref="AP9076:AQ9076"/>
    <mergeCell ref="AR9076:AS9077"/>
    <mergeCell ref="AT9076:AU9077"/>
    <mergeCell ref="AV9076:AW9077"/>
    <mergeCell ref="AX9076:AY9077"/>
    <mergeCell ref="AZ9076:AZ9077"/>
    <mergeCell ref="F9077:H9077"/>
    <mergeCell ref="X9077:AB9077"/>
    <mergeCell ref="AE9077:AI9077"/>
    <mergeCell ref="AJ9077:AL9077"/>
    <mergeCell ref="AN9077:AO9077"/>
    <mergeCell ref="AP9077:AQ9077"/>
    <mergeCell ref="A9080:A9081"/>
    <mergeCell ref="E9080:E9081"/>
    <mergeCell ref="F9080:H9080"/>
    <mergeCell ref="J9080:J9081"/>
    <mergeCell ref="K9080:L9081"/>
    <mergeCell ref="M9080:N9081"/>
    <mergeCell ref="O9080:P9081"/>
    <mergeCell ref="Q9080:R9081"/>
    <mergeCell ref="S9080:T9081"/>
    <mergeCell ref="U9080:V9081"/>
    <mergeCell ref="W9080:W9081"/>
    <mergeCell ref="X9080:AB9080"/>
    <mergeCell ref="AD9080:AI9080"/>
    <mergeCell ref="AJ9080:AL9080"/>
    <mergeCell ref="AN9080:AO9080"/>
    <mergeCell ref="AP9080:AQ9080"/>
    <mergeCell ref="AR9080:AS9081"/>
    <mergeCell ref="AT9080:AU9081"/>
    <mergeCell ref="AV9080:AW9081"/>
    <mergeCell ref="AX9080:AY9081"/>
    <mergeCell ref="AZ9080:AZ9081"/>
    <mergeCell ref="F9081:H9081"/>
    <mergeCell ref="X9081:AB9081"/>
    <mergeCell ref="AE9081:AI9081"/>
    <mergeCell ref="AJ9081:AL9081"/>
    <mergeCell ref="AN9081:AO9081"/>
    <mergeCell ref="AP9081:AQ9081"/>
    <mergeCell ref="A9078:A9079"/>
    <mergeCell ref="E9078:E9079"/>
    <mergeCell ref="F9078:H9078"/>
    <mergeCell ref="J9078:J9079"/>
    <mergeCell ref="K9078:L9079"/>
    <mergeCell ref="M9078:N9079"/>
    <mergeCell ref="O9078:P9079"/>
    <mergeCell ref="Q9078:R9079"/>
    <mergeCell ref="S9078:T9079"/>
    <mergeCell ref="U9078:V9079"/>
    <mergeCell ref="A9082:A9083"/>
    <mergeCell ref="E9082:E9083"/>
    <mergeCell ref="F9082:H9082"/>
    <mergeCell ref="J9082:J9083"/>
    <mergeCell ref="K9082:L9083"/>
    <mergeCell ref="M9082:N9083"/>
    <mergeCell ref="O9082:P9083"/>
    <mergeCell ref="Q9082:R9083"/>
    <mergeCell ref="S9082:T9083"/>
    <mergeCell ref="U9082:V9083"/>
    <mergeCell ref="W9082:W9083"/>
    <mergeCell ref="X9082:AB9082"/>
    <mergeCell ref="AD9082:AI9082"/>
    <mergeCell ref="AJ9082:AL9082"/>
    <mergeCell ref="AN9082:AO9082"/>
    <mergeCell ref="AP9082:AQ9082"/>
    <mergeCell ref="AR9082:AS9083"/>
    <mergeCell ref="AT9082:AU9083"/>
    <mergeCell ref="AV9082:AW9083"/>
    <mergeCell ref="AX9082:AY9083"/>
    <mergeCell ref="AZ9082:AZ9083"/>
    <mergeCell ref="F9083:H9083"/>
    <mergeCell ref="X9083:AB9083"/>
    <mergeCell ref="AE9083:AI9083"/>
    <mergeCell ref="AJ9083:AL9083"/>
    <mergeCell ref="AN9083:AO9083"/>
    <mergeCell ref="AP9083:AQ9083"/>
    <mergeCell ref="A9084:A9085"/>
    <mergeCell ref="E9084:E9085"/>
    <mergeCell ref="F9084:H9084"/>
    <mergeCell ref="J9084:J9085"/>
    <mergeCell ref="K9084:L9085"/>
    <mergeCell ref="M9084:N9085"/>
    <mergeCell ref="O9084:P9085"/>
    <mergeCell ref="Q9084:R9085"/>
    <mergeCell ref="S9084:T9085"/>
    <mergeCell ref="U9084:V9085"/>
    <mergeCell ref="W9084:W9085"/>
    <mergeCell ref="X9084:AB9084"/>
    <mergeCell ref="AD9084:AI9084"/>
    <mergeCell ref="AJ9084:AL9084"/>
    <mergeCell ref="AN9084:AO9084"/>
    <mergeCell ref="AP9084:AQ9084"/>
    <mergeCell ref="AR9084:AS9085"/>
    <mergeCell ref="AT9084:AU9085"/>
    <mergeCell ref="AV9084:AW9085"/>
    <mergeCell ref="AX9084:AY9085"/>
    <mergeCell ref="AZ9084:AZ9085"/>
    <mergeCell ref="F9085:H9085"/>
    <mergeCell ref="X9085:AB9085"/>
    <mergeCell ref="AE9085:AI9085"/>
    <mergeCell ref="AJ9085:AL9085"/>
    <mergeCell ref="AN9085:AO9085"/>
    <mergeCell ref="AP9085:AQ9085"/>
    <mergeCell ref="A9086:A9087"/>
    <mergeCell ref="E9086:E9087"/>
    <mergeCell ref="F9086:H9086"/>
    <mergeCell ref="J9086:J9087"/>
    <mergeCell ref="K9086:L9087"/>
    <mergeCell ref="M9086:N9087"/>
    <mergeCell ref="O9086:P9087"/>
    <mergeCell ref="Q9086:R9087"/>
    <mergeCell ref="S9086:T9087"/>
    <mergeCell ref="U9086:V9087"/>
    <mergeCell ref="W9086:W9087"/>
    <mergeCell ref="X9086:AB9086"/>
    <mergeCell ref="AD9086:AI9086"/>
    <mergeCell ref="AJ9086:AL9086"/>
    <mergeCell ref="AN9086:AO9086"/>
    <mergeCell ref="AP9086:AQ9086"/>
    <mergeCell ref="AR9086:AS9087"/>
    <mergeCell ref="AT9086:AU9087"/>
    <mergeCell ref="AV9086:AW9087"/>
    <mergeCell ref="AX9086:AY9087"/>
    <mergeCell ref="AZ9086:AZ9087"/>
    <mergeCell ref="F9087:H9087"/>
    <mergeCell ref="X9087:AB9087"/>
    <mergeCell ref="AE9087:AI9087"/>
    <mergeCell ref="AJ9087:AL9087"/>
    <mergeCell ref="AN9087:AO9087"/>
    <mergeCell ref="AP9087:AQ9087"/>
    <mergeCell ref="A9088:A9089"/>
    <mergeCell ref="E9088:E9089"/>
    <mergeCell ref="F9088:H9088"/>
    <mergeCell ref="J9088:J9089"/>
    <mergeCell ref="K9088:L9089"/>
    <mergeCell ref="M9088:N9089"/>
    <mergeCell ref="O9088:P9089"/>
    <mergeCell ref="Q9088:R9089"/>
    <mergeCell ref="S9088:T9089"/>
    <mergeCell ref="U9088:V9089"/>
    <mergeCell ref="W9088:W9089"/>
    <mergeCell ref="X9088:AB9088"/>
    <mergeCell ref="AD9088:AI9088"/>
    <mergeCell ref="AJ9088:AL9088"/>
    <mergeCell ref="AN9088:AO9088"/>
    <mergeCell ref="AP9088:AQ9088"/>
    <mergeCell ref="AR9088:AS9089"/>
    <mergeCell ref="AT9088:AU9089"/>
    <mergeCell ref="AV9088:AW9089"/>
    <mergeCell ref="AX9088:AY9089"/>
    <mergeCell ref="AZ9088:AZ9089"/>
    <mergeCell ref="F9089:H9089"/>
    <mergeCell ref="X9089:AB9089"/>
    <mergeCell ref="AE9089:AI9089"/>
    <mergeCell ref="AJ9089:AL9089"/>
    <mergeCell ref="AN9089:AO9089"/>
    <mergeCell ref="AP9089:AQ9089"/>
    <mergeCell ref="A9090:A9091"/>
    <mergeCell ref="E9090:E9091"/>
    <mergeCell ref="F9090:H9090"/>
    <mergeCell ref="J9090:J9091"/>
    <mergeCell ref="K9090:L9091"/>
    <mergeCell ref="M9090:N9091"/>
    <mergeCell ref="O9090:P9091"/>
    <mergeCell ref="Q9090:R9091"/>
    <mergeCell ref="S9090:T9091"/>
    <mergeCell ref="U9090:V9091"/>
    <mergeCell ref="W9090:W9091"/>
    <mergeCell ref="X9090:AB9090"/>
    <mergeCell ref="AD9090:AI9090"/>
    <mergeCell ref="AJ9090:AL9090"/>
    <mergeCell ref="AN9090:AO9090"/>
    <mergeCell ref="AP9090:AQ9090"/>
    <mergeCell ref="AR9090:AS9091"/>
    <mergeCell ref="AT9090:AU9091"/>
    <mergeCell ref="AV9090:AW9091"/>
    <mergeCell ref="AX9090:AY9091"/>
    <mergeCell ref="AZ9090:AZ9091"/>
    <mergeCell ref="F9091:H9091"/>
    <mergeCell ref="X9091:AB9091"/>
    <mergeCell ref="AE9091:AI9091"/>
    <mergeCell ref="AJ9091:AL9091"/>
    <mergeCell ref="AN9091:AO9091"/>
    <mergeCell ref="AP9091:AQ9091"/>
    <mergeCell ref="A9092:A9093"/>
    <mergeCell ref="E9092:E9093"/>
    <mergeCell ref="F9092:H9092"/>
    <mergeCell ref="J9092:J9093"/>
    <mergeCell ref="K9092:L9093"/>
    <mergeCell ref="M9092:N9093"/>
    <mergeCell ref="O9092:P9093"/>
    <mergeCell ref="Q9092:R9093"/>
    <mergeCell ref="S9092:T9093"/>
    <mergeCell ref="U9092:V9093"/>
    <mergeCell ref="W9092:W9093"/>
    <mergeCell ref="X9092:AB9092"/>
    <mergeCell ref="AD9092:AI9092"/>
    <mergeCell ref="AJ9092:AL9092"/>
    <mergeCell ref="AN9092:AO9092"/>
    <mergeCell ref="AP9092:AQ9092"/>
    <mergeCell ref="AR9092:AS9093"/>
    <mergeCell ref="AT9092:AU9093"/>
    <mergeCell ref="AV9092:AW9093"/>
    <mergeCell ref="AX9092:AY9093"/>
    <mergeCell ref="AZ9092:AZ9093"/>
    <mergeCell ref="F9093:H9093"/>
    <mergeCell ref="X9093:AB9093"/>
    <mergeCell ref="AE9093:AI9093"/>
    <mergeCell ref="AJ9093:AL9093"/>
    <mergeCell ref="AN9093:AO9093"/>
    <mergeCell ref="AP9093:AQ9093"/>
    <mergeCell ref="A9094:A9095"/>
    <mergeCell ref="E9094:E9095"/>
    <mergeCell ref="F9094:H9094"/>
    <mergeCell ref="J9094:J9095"/>
    <mergeCell ref="K9094:L9095"/>
    <mergeCell ref="M9094:N9095"/>
    <mergeCell ref="O9094:P9095"/>
    <mergeCell ref="Q9094:R9095"/>
    <mergeCell ref="S9094:T9095"/>
    <mergeCell ref="U9094:V9095"/>
    <mergeCell ref="W9094:W9095"/>
    <mergeCell ref="X9094:AB9094"/>
    <mergeCell ref="AD9094:AI9094"/>
    <mergeCell ref="AJ9094:AL9094"/>
    <mergeCell ref="AN9094:AO9094"/>
    <mergeCell ref="AP9094:AQ9094"/>
    <mergeCell ref="AR9094:AS9095"/>
    <mergeCell ref="AT9094:AU9095"/>
    <mergeCell ref="AV9094:AW9095"/>
    <mergeCell ref="AX9094:AY9095"/>
    <mergeCell ref="AZ9094:AZ9095"/>
    <mergeCell ref="F9095:H9095"/>
    <mergeCell ref="X9095:AB9095"/>
    <mergeCell ref="AE9095:AI9095"/>
    <mergeCell ref="AJ9095:AL9095"/>
    <mergeCell ref="AN9095:AO9095"/>
    <mergeCell ref="AP9095:AQ9095"/>
    <mergeCell ref="A9096:A9097"/>
    <mergeCell ref="E9096:E9097"/>
    <mergeCell ref="F9096:H9096"/>
    <mergeCell ref="J9096:J9097"/>
    <mergeCell ref="K9096:L9097"/>
    <mergeCell ref="M9096:N9097"/>
    <mergeCell ref="O9096:P9097"/>
    <mergeCell ref="Q9096:R9097"/>
    <mergeCell ref="S9096:T9097"/>
    <mergeCell ref="U9096:V9097"/>
    <mergeCell ref="W9096:W9097"/>
    <mergeCell ref="X9096:AB9096"/>
    <mergeCell ref="AD9096:AI9096"/>
    <mergeCell ref="AJ9096:AL9096"/>
    <mergeCell ref="AN9096:AO9096"/>
    <mergeCell ref="AP9096:AQ9096"/>
    <mergeCell ref="AR9096:AS9097"/>
    <mergeCell ref="AT9096:AU9097"/>
    <mergeCell ref="AV9096:AW9097"/>
    <mergeCell ref="AX9096:AY9097"/>
    <mergeCell ref="AZ9096:AZ9097"/>
    <mergeCell ref="F9097:H9097"/>
    <mergeCell ref="X9097:AB9097"/>
    <mergeCell ref="AE9097:AI9097"/>
    <mergeCell ref="AJ9097:AL9097"/>
    <mergeCell ref="AN9097:AO9097"/>
    <mergeCell ref="AP9097:AQ9097"/>
    <mergeCell ref="A9098:A9099"/>
    <mergeCell ref="E9098:E9099"/>
    <mergeCell ref="F9098:H9098"/>
    <mergeCell ref="J9098:J9099"/>
    <mergeCell ref="K9098:L9099"/>
    <mergeCell ref="M9098:N9099"/>
    <mergeCell ref="O9098:P9099"/>
    <mergeCell ref="Q9098:R9099"/>
    <mergeCell ref="S9098:T9099"/>
    <mergeCell ref="U9098:V9099"/>
    <mergeCell ref="W9098:W9099"/>
    <mergeCell ref="X9098:AB9098"/>
    <mergeCell ref="AD9098:AI9098"/>
    <mergeCell ref="AJ9098:AL9098"/>
    <mergeCell ref="AN9098:AO9098"/>
    <mergeCell ref="AP9098:AQ9098"/>
    <mergeCell ref="AR9098:AS9099"/>
    <mergeCell ref="AT9098:AU9099"/>
    <mergeCell ref="AV9098:AW9099"/>
    <mergeCell ref="AX9098:AY9099"/>
    <mergeCell ref="AZ9098:AZ9099"/>
    <mergeCell ref="F9099:H9099"/>
    <mergeCell ref="X9099:AB9099"/>
    <mergeCell ref="AE9099:AI9099"/>
    <mergeCell ref="AJ9099:AL9099"/>
    <mergeCell ref="AN9099:AO9099"/>
    <mergeCell ref="AP9099:AQ9099"/>
    <mergeCell ref="A9100:A9101"/>
    <mergeCell ref="E9100:E9101"/>
    <mergeCell ref="F9100:H9100"/>
    <mergeCell ref="J9100:J9101"/>
    <mergeCell ref="K9100:L9101"/>
    <mergeCell ref="M9100:N9101"/>
    <mergeCell ref="O9100:P9101"/>
    <mergeCell ref="Q9100:R9101"/>
    <mergeCell ref="S9100:T9101"/>
    <mergeCell ref="U9100:V9101"/>
    <mergeCell ref="W9100:W9101"/>
    <mergeCell ref="X9100:AB9100"/>
    <mergeCell ref="AD9100:AI9100"/>
    <mergeCell ref="AJ9100:AL9100"/>
    <mergeCell ref="AN9100:AO9100"/>
    <mergeCell ref="AP9100:AQ9100"/>
    <mergeCell ref="AR9100:AS9101"/>
    <mergeCell ref="AT9100:AU9101"/>
    <mergeCell ref="AV9100:AW9101"/>
    <mergeCell ref="AX9100:AY9101"/>
    <mergeCell ref="AZ9100:AZ9101"/>
    <mergeCell ref="F9101:H9101"/>
    <mergeCell ref="X9101:AB9101"/>
    <mergeCell ref="AE9101:AI9101"/>
    <mergeCell ref="AJ9101:AL9101"/>
    <mergeCell ref="AN9101:AO9101"/>
    <mergeCell ref="AP9101:AQ9101"/>
    <mergeCell ref="A9102:A9103"/>
    <mergeCell ref="E9102:E9103"/>
    <mergeCell ref="F9102:H9102"/>
    <mergeCell ref="J9102:J9103"/>
    <mergeCell ref="K9102:L9103"/>
    <mergeCell ref="M9102:N9103"/>
    <mergeCell ref="O9102:P9103"/>
    <mergeCell ref="Q9102:R9103"/>
    <mergeCell ref="S9102:T9103"/>
    <mergeCell ref="U9102:V9103"/>
    <mergeCell ref="W9102:W9103"/>
    <mergeCell ref="X9102:AB9102"/>
    <mergeCell ref="AD9102:AI9102"/>
    <mergeCell ref="AJ9102:AL9102"/>
    <mergeCell ref="AN9102:AO9102"/>
    <mergeCell ref="AP9102:AQ9102"/>
    <mergeCell ref="AR9102:AS9103"/>
    <mergeCell ref="AT9102:AU9103"/>
    <mergeCell ref="AV9102:AW9103"/>
    <mergeCell ref="AX9102:AY9103"/>
    <mergeCell ref="AZ9102:AZ9103"/>
    <mergeCell ref="F9103:H9103"/>
    <mergeCell ref="X9103:AB9103"/>
    <mergeCell ref="AE9103:AI9103"/>
    <mergeCell ref="AJ9103:AL9103"/>
    <mergeCell ref="AN9103:AO9103"/>
    <mergeCell ref="AP9103:AQ9103"/>
    <mergeCell ref="A9104:A9105"/>
    <mergeCell ref="E9104:E9105"/>
    <mergeCell ref="F9104:H9104"/>
    <mergeCell ref="J9104:J9105"/>
    <mergeCell ref="K9104:L9105"/>
    <mergeCell ref="M9104:N9105"/>
    <mergeCell ref="O9104:P9105"/>
    <mergeCell ref="Q9104:R9105"/>
    <mergeCell ref="S9104:T9105"/>
    <mergeCell ref="U9104:V9105"/>
    <mergeCell ref="W9104:W9105"/>
    <mergeCell ref="X9104:AB9104"/>
    <mergeCell ref="AD9104:AI9104"/>
    <mergeCell ref="AJ9104:AL9104"/>
    <mergeCell ref="AN9104:AO9104"/>
    <mergeCell ref="AP9104:AQ9104"/>
    <mergeCell ref="AR9104:AS9105"/>
    <mergeCell ref="AT9104:AU9105"/>
    <mergeCell ref="AV9104:AW9105"/>
    <mergeCell ref="AX9104:AY9105"/>
    <mergeCell ref="AZ9104:AZ9105"/>
    <mergeCell ref="F9105:H9105"/>
    <mergeCell ref="X9105:AB9105"/>
    <mergeCell ref="AE9105:AI9105"/>
    <mergeCell ref="AJ9105:AL9105"/>
    <mergeCell ref="AN9105:AO9105"/>
    <mergeCell ref="AP9105:AQ9105"/>
    <mergeCell ref="A9106:A9107"/>
    <mergeCell ref="E9106:E9107"/>
    <mergeCell ref="F9106:H9106"/>
    <mergeCell ref="J9106:J9107"/>
    <mergeCell ref="K9106:L9107"/>
    <mergeCell ref="M9106:N9107"/>
    <mergeCell ref="O9106:P9107"/>
    <mergeCell ref="Q9106:R9107"/>
    <mergeCell ref="S9106:T9107"/>
    <mergeCell ref="U9106:V9107"/>
    <mergeCell ref="W9106:W9107"/>
    <mergeCell ref="X9106:AB9106"/>
    <mergeCell ref="AD9106:AI9106"/>
    <mergeCell ref="AJ9106:AL9106"/>
    <mergeCell ref="AN9106:AO9106"/>
    <mergeCell ref="AP9106:AQ9106"/>
    <mergeCell ref="AR9106:AS9107"/>
    <mergeCell ref="AT9106:AU9107"/>
    <mergeCell ref="AV9106:AW9107"/>
    <mergeCell ref="AX9106:AY9107"/>
    <mergeCell ref="AZ9106:AZ9107"/>
    <mergeCell ref="F9107:H9107"/>
    <mergeCell ref="X9107:AB9107"/>
    <mergeCell ref="AE9107:AI9107"/>
    <mergeCell ref="AJ9107:AL9107"/>
    <mergeCell ref="AN9107:AO9107"/>
    <mergeCell ref="AP9107:AQ9107"/>
    <mergeCell ref="A9108:A9109"/>
    <mergeCell ref="E9108:E9109"/>
    <mergeCell ref="F9108:H9108"/>
    <mergeCell ref="J9108:J9109"/>
    <mergeCell ref="K9108:L9109"/>
    <mergeCell ref="M9108:N9109"/>
    <mergeCell ref="O9108:P9109"/>
    <mergeCell ref="Q9108:R9109"/>
    <mergeCell ref="S9108:T9109"/>
    <mergeCell ref="U9108:V9109"/>
    <mergeCell ref="W9108:W9109"/>
    <mergeCell ref="X9108:AB9108"/>
    <mergeCell ref="AD9108:AI9108"/>
    <mergeCell ref="AJ9108:AL9108"/>
    <mergeCell ref="AN9108:AO9108"/>
    <mergeCell ref="AP9108:AQ9108"/>
    <mergeCell ref="AR9108:AS9109"/>
    <mergeCell ref="AT9108:AU9109"/>
    <mergeCell ref="AV9108:AW9109"/>
    <mergeCell ref="AX9108:AY9109"/>
    <mergeCell ref="AZ9108:AZ9109"/>
    <mergeCell ref="F9109:H9109"/>
    <mergeCell ref="X9109:AB9109"/>
    <mergeCell ref="AE9109:AI9109"/>
    <mergeCell ref="AJ9109:AL9109"/>
    <mergeCell ref="AN9109:AO9109"/>
    <mergeCell ref="AP9109:AQ9109"/>
    <mergeCell ref="A9110:A9111"/>
    <mergeCell ref="E9110:E9111"/>
    <mergeCell ref="F9110:H9110"/>
    <mergeCell ref="J9110:J9111"/>
    <mergeCell ref="K9110:L9111"/>
    <mergeCell ref="M9110:N9111"/>
    <mergeCell ref="O9110:P9111"/>
    <mergeCell ref="Q9110:R9111"/>
    <mergeCell ref="S9110:T9111"/>
    <mergeCell ref="U9110:V9111"/>
    <mergeCell ref="W9110:W9111"/>
    <mergeCell ref="X9110:AB9110"/>
    <mergeCell ref="AD9110:AI9110"/>
    <mergeCell ref="AJ9110:AL9110"/>
    <mergeCell ref="AN9110:AO9110"/>
    <mergeCell ref="AP9110:AQ9110"/>
    <mergeCell ref="AR9110:AS9111"/>
    <mergeCell ref="AT9110:AU9111"/>
    <mergeCell ref="AV9110:AW9111"/>
    <mergeCell ref="AX9110:AY9111"/>
    <mergeCell ref="AZ9110:AZ9111"/>
    <mergeCell ref="F9111:H9111"/>
    <mergeCell ref="X9111:AB9111"/>
    <mergeCell ref="AE9111:AI9111"/>
    <mergeCell ref="AJ9111:AL9111"/>
    <mergeCell ref="AN9111:AO9111"/>
    <mergeCell ref="AP9111:AQ9111"/>
    <mergeCell ref="A9112:A9113"/>
    <mergeCell ref="E9112:E9113"/>
    <mergeCell ref="F9112:H9112"/>
    <mergeCell ref="J9112:J9113"/>
    <mergeCell ref="K9112:L9113"/>
    <mergeCell ref="M9112:N9113"/>
    <mergeCell ref="O9112:P9113"/>
    <mergeCell ref="Q9112:R9113"/>
    <mergeCell ref="S9112:T9113"/>
    <mergeCell ref="U9112:V9113"/>
    <mergeCell ref="W9112:W9113"/>
    <mergeCell ref="X9112:AB9112"/>
    <mergeCell ref="AD9112:AI9112"/>
    <mergeCell ref="AJ9112:AL9112"/>
    <mergeCell ref="AN9112:AO9112"/>
    <mergeCell ref="AP9112:AQ9112"/>
    <mergeCell ref="AR9112:AS9113"/>
    <mergeCell ref="AT9112:AU9113"/>
    <mergeCell ref="AV9112:AW9113"/>
    <mergeCell ref="AX9112:AY9113"/>
    <mergeCell ref="AZ9112:AZ9113"/>
    <mergeCell ref="F9113:H9113"/>
    <mergeCell ref="X9113:AB9113"/>
    <mergeCell ref="AE9113:AI9113"/>
    <mergeCell ref="AJ9113:AL9113"/>
    <mergeCell ref="AN9113:AO9113"/>
    <mergeCell ref="AP9113:AQ9113"/>
    <mergeCell ref="A9114:A9115"/>
    <mergeCell ref="E9114:E9115"/>
    <mergeCell ref="F9114:H9114"/>
    <mergeCell ref="J9114:J9115"/>
    <mergeCell ref="K9114:L9115"/>
    <mergeCell ref="M9114:N9115"/>
    <mergeCell ref="O9114:P9115"/>
    <mergeCell ref="Q9114:R9115"/>
    <mergeCell ref="S9114:T9115"/>
    <mergeCell ref="U9114:V9115"/>
    <mergeCell ref="W9114:W9115"/>
    <mergeCell ref="X9114:AB9114"/>
    <mergeCell ref="AD9114:AI9114"/>
    <mergeCell ref="AJ9114:AL9114"/>
    <mergeCell ref="AN9114:AO9114"/>
    <mergeCell ref="AP9114:AQ9114"/>
    <mergeCell ref="AR9114:AS9115"/>
    <mergeCell ref="AT9114:AU9115"/>
    <mergeCell ref="AV9114:AW9115"/>
    <mergeCell ref="AX9114:AY9115"/>
    <mergeCell ref="AZ9114:AZ9115"/>
    <mergeCell ref="F9115:H9115"/>
    <mergeCell ref="X9115:AB9115"/>
    <mergeCell ref="AE9115:AI9115"/>
    <mergeCell ref="AJ9115:AL9115"/>
    <mergeCell ref="AN9115:AO9115"/>
    <mergeCell ref="AP9115:AQ9115"/>
    <mergeCell ref="A9116:A9117"/>
    <mergeCell ref="E9116:E9117"/>
    <mergeCell ref="F9116:H9116"/>
    <mergeCell ref="J9116:J9117"/>
    <mergeCell ref="K9116:L9117"/>
    <mergeCell ref="M9116:N9117"/>
    <mergeCell ref="O9116:P9117"/>
    <mergeCell ref="Q9116:R9117"/>
    <mergeCell ref="S9116:T9117"/>
    <mergeCell ref="U9116:V9117"/>
    <mergeCell ref="W9116:W9117"/>
    <mergeCell ref="X9116:AB9116"/>
    <mergeCell ref="AD9116:AI9116"/>
    <mergeCell ref="AJ9116:AL9116"/>
    <mergeCell ref="AN9116:AO9116"/>
    <mergeCell ref="AP9116:AQ9116"/>
    <mergeCell ref="AR9116:AS9117"/>
    <mergeCell ref="AT9116:AU9117"/>
    <mergeCell ref="AV9116:AW9117"/>
    <mergeCell ref="AX9116:AY9117"/>
    <mergeCell ref="AZ9116:AZ9117"/>
    <mergeCell ref="F9117:H9117"/>
    <mergeCell ref="X9117:AB9117"/>
    <mergeCell ref="AE9117:AI9117"/>
    <mergeCell ref="AJ9117:AL9117"/>
    <mergeCell ref="AN9117:AO9117"/>
    <mergeCell ref="AP9117:AQ9117"/>
    <mergeCell ref="A9118:A9119"/>
    <mergeCell ref="E9118:E9119"/>
    <mergeCell ref="F9118:H9118"/>
    <mergeCell ref="J9118:J9119"/>
    <mergeCell ref="K9118:L9119"/>
    <mergeCell ref="M9118:N9119"/>
    <mergeCell ref="O9118:P9119"/>
    <mergeCell ref="Q9118:R9119"/>
    <mergeCell ref="S9118:T9119"/>
    <mergeCell ref="U9118:V9119"/>
    <mergeCell ref="W9118:W9119"/>
    <mergeCell ref="X9118:AB9118"/>
    <mergeCell ref="AD9118:AI9118"/>
    <mergeCell ref="AJ9118:AL9118"/>
    <mergeCell ref="AN9118:AO9118"/>
    <mergeCell ref="AP9118:AQ9118"/>
    <mergeCell ref="AR9118:AS9119"/>
    <mergeCell ref="AT9118:AU9119"/>
    <mergeCell ref="AV9118:AW9119"/>
    <mergeCell ref="AX9118:AY9119"/>
    <mergeCell ref="AZ9118:AZ9119"/>
    <mergeCell ref="F9119:H9119"/>
    <mergeCell ref="X9119:AB9119"/>
    <mergeCell ref="AE9119:AI9119"/>
    <mergeCell ref="AJ9119:AL9119"/>
    <mergeCell ref="AN9119:AO9119"/>
    <mergeCell ref="AP9119:AQ9119"/>
    <mergeCell ref="A9120:A9121"/>
    <mergeCell ref="E9120:E9121"/>
    <mergeCell ref="F9120:H9120"/>
    <mergeCell ref="J9120:J9121"/>
    <mergeCell ref="K9120:L9121"/>
    <mergeCell ref="M9120:N9121"/>
    <mergeCell ref="O9120:P9121"/>
    <mergeCell ref="Q9120:R9121"/>
    <mergeCell ref="S9120:T9121"/>
    <mergeCell ref="U9120:V9121"/>
    <mergeCell ref="W9120:W9121"/>
    <mergeCell ref="X9120:AB9120"/>
    <mergeCell ref="AD9120:AI9120"/>
    <mergeCell ref="AJ9120:AL9120"/>
    <mergeCell ref="AN9120:AO9120"/>
    <mergeCell ref="AP9120:AQ9120"/>
    <mergeCell ref="AR9120:AS9121"/>
    <mergeCell ref="AT9120:AU9121"/>
    <mergeCell ref="AV9120:AW9121"/>
    <mergeCell ref="AX9120:AY9121"/>
    <mergeCell ref="AZ9120:AZ9121"/>
    <mergeCell ref="F9121:H9121"/>
    <mergeCell ref="X9121:AB9121"/>
    <mergeCell ref="AE9121:AI9121"/>
    <mergeCell ref="AJ9121:AL9121"/>
    <mergeCell ref="AN9121:AO9121"/>
    <mergeCell ref="AP9121:AQ9121"/>
    <mergeCell ref="A9122:A9123"/>
    <mergeCell ref="E9122:E9123"/>
    <mergeCell ref="F9122:H9122"/>
    <mergeCell ref="J9122:J9123"/>
    <mergeCell ref="K9122:L9123"/>
    <mergeCell ref="M9122:N9123"/>
    <mergeCell ref="O9122:P9123"/>
    <mergeCell ref="Q9122:R9123"/>
    <mergeCell ref="S9122:T9123"/>
    <mergeCell ref="U9122:V9123"/>
    <mergeCell ref="W9122:W9123"/>
    <mergeCell ref="X9122:AB9122"/>
    <mergeCell ref="AD9122:AI9122"/>
    <mergeCell ref="AJ9122:AL9122"/>
    <mergeCell ref="AN9122:AO9122"/>
    <mergeCell ref="AP9122:AQ9122"/>
    <mergeCell ref="AR9122:AS9123"/>
    <mergeCell ref="AT9122:AU9123"/>
    <mergeCell ref="AV9122:AW9123"/>
    <mergeCell ref="AX9122:AY9123"/>
    <mergeCell ref="AZ9122:AZ9123"/>
    <mergeCell ref="F9123:H9123"/>
    <mergeCell ref="X9123:AB9123"/>
    <mergeCell ref="AE9123:AI9123"/>
    <mergeCell ref="AJ9123:AL9123"/>
    <mergeCell ref="AN9123:AO9123"/>
    <mergeCell ref="AP9123:AQ9123"/>
    <mergeCell ref="A9124:A9125"/>
    <mergeCell ref="E9124:E9125"/>
    <mergeCell ref="F9124:H9124"/>
    <mergeCell ref="J9124:J9125"/>
    <mergeCell ref="K9124:L9125"/>
    <mergeCell ref="M9124:N9125"/>
    <mergeCell ref="O9124:P9125"/>
    <mergeCell ref="Q9124:R9125"/>
    <mergeCell ref="S9124:T9125"/>
    <mergeCell ref="U9124:V9125"/>
    <mergeCell ref="W9124:W9125"/>
    <mergeCell ref="X9124:AB9124"/>
    <mergeCell ref="AD9124:AI9124"/>
    <mergeCell ref="AJ9124:AL9124"/>
    <mergeCell ref="AN9124:AO9124"/>
    <mergeCell ref="AP9124:AQ9124"/>
    <mergeCell ref="AR9124:AS9125"/>
    <mergeCell ref="AT9124:AU9125"/>
    <mergeCell ref="AV9124:AW9125"/>
    <mergeCell ref="AX9124:AY9125"/>
    <mergeCell ref="AZ9124:AZ9125"/>
    <mergeCell ref="F9125:H9125"/>
    <mergeCell ref="X9125:AB9125"/>
    <mergeCell ref="AE9125:AI9125"/>
    <mergeCell ref="AJ9125:AL9125"/>
    <mergeCell ref="AN9125:AO9125"/>
    <mergeCell ref="AP9125:AQ9125"/>
    <mergeCell ref="A9126:A9127"/>
    <mergeCell ref="E9126:E9127"/>
    <mergeCell ref="F9126:H9126"/>
    <mergeCell ref="J9126:J9127"/>
    <mergeCell ref="K9126:L9127"/>
    <mergeCell ref="M9126:N9127"/>
    <mergeCell ref="O9126:P9127"/>
    <mergeCell ref="Q9126:R9127"/>
    <mergeCell ref="S9126:T9127"/>
    <mergeCell ref="U9126:V9127"/>
    <mergeCell ref="W9126:W9127"/>
    <mergeCell ref="X9126:AB9126"/>
    <mergeCell ref="AD9126:AI9126"/>
    <mergeCell ref="AJ9126:AL9126"/>
    <mergeCell ref="AN9126:AO9126"/>
    <mergeCell ref="AP9126:AQ9126"/>
    <mergeCell ref="AR9126:AS9127"/>
    <mergeCell ref="AT9126:AU9127"/>
    <mergeCell ref="AV9126:AW9127"/>
    <mergeCell ref="AX9126:AY9127"/>
    <mergeCell ref="AZ9126:AZ9127"/>
    <mergeCell ref="F9127:H9127"/>
    <mergeCell ref="X9127:AB9127"/>
    <mergeCell ref="AE9127:AI9127"/>
    <mergeCell ref="AJ9127:AL9127"/>
    <mergeCell ref="AN9127:AO9127"/>
    <mergeCell ref="AP9127:AQ9127"/>
    <mergeCell ref="A9128:A9129"/>
    <mergeCell ref="E9128:E9129"/>
    <mergeCell ref="F9128:H9128"/>
    <mergeCell ref="J9128:J9129"/>
    <mergeCell ref="K9128:L9129"/>
    <mergeCell ref="M9128:N9129"/>
    <mergeCell ref="O9128:P9129"/>
    <mergeCell ref="Q9128:R9129"/>
    <mergeCell ref="S9128:T9129"/>
    <mergeCell ref="U9128:V9129"/>
    <mergeCell ref="W9128:W9129"/>
    <mergeCell ref="X9128:AB9128"/>
    <mergeCell ref="AD9128:AI9128"/>
    <mergeCell ref="AJ9128:AL9128"/>
    <mergeCell ref="AN9128:AO9128"/>
    <mergeCell ref="AP9128:AQ9128"/>
    <mergeCell ref="AR9128:AS9129"/>
    <mergeCell ref="AT9128:AU9129"/>
    <mergeCell ref="AV9128:AW9129"/>
    <mergeCell ref="AX9128:AY9129"/>
    <mergeCell ref="AZ9128:AZ9129"/>
    <mergeCell ref="F9129:H9129"/>
    <mergeCell ref="X9129:AB9129"/>
    <mergeCell ref="AE9129:AI9129"/>
    <mergeCell ref="AJ9129:AL9129"/>
    <mergeCell ref="AN9129:AO9129"/>
    <mergeCell ref="AP9129:AQ9129"/>
    <mergeCell ref="A9130:A9131"/>
    <mergeCell ref="E9130:E9131"/>
    <mergeCell ref="F9130:H9130"/>
    <mergeCell ref="J9130:J9131"/>
    <mergeCell ref="K9130:L9131"/>
    <mergeCell ref="M9130:N9131"/>
    <mergeCell ref="O9130:P9131"/>
    <mergeCell ref="Q9130:R9131"/>
    <mergeCell ref="S9130:T9131"/>
    <mergeCell ref="U9130:V9131"/>
    <mergeCell ref="W9130:W9131"/>
    <mergeCell ref="X9130:AB9130"/>
    <mergeCell ref="AD9130:AI9130"/>
    <mergeCell ref="AJ9130:AL9130"/>
    <mergeCell ref="AN9130:AO9130"/>
    <mergeCell ref="AP9130:AQ9130"/>
    <mergeCell ref="AR9130:AS9131"/>
    <mergeCell ref="AT9130:AU9131"/>
    <mergeCell ref="AV9130:AW9131"/>
    <mergeCell ref="AX9130:AY9131"/>
    <mergeCell ref="AZ9130:AZ9131"/>
    <mergeCell ref="F9131:H9131"/>
    <mergeCell ref="X9131:AB9131"/>
    <mergeCell ref="AE9131:AI9131"/>
    <mergeCell ref="AJ9131:AL9131"/>
    <mergeCell ref="AN9131:AO9131"/>
    <mergeCell ref="AP9131:AQ9131"/>
    <mergeCell ref="A9132:A9133"/>
    <mergeCell ref="E9132:E9133"/>
    <mergeCell ref="F9132:H9132"/>
    <mergeCell ref="J9132:J9133"/>
    <mergeCell ref="K9132:L9133"/>
    <mergeCell ref="M9132:N9133"/>
    <mergeCell ref="O9132:P9133"/>
    <mergeCell ref="Q9132:R9133"/>
    <mergeCell ref="S9132:T9133"/>
    <mergeCell ref="U9132:V9133"/>
    <mergeCell ref="W9132:W9133"/>
    <mergeCell ref="X9132:AB9132"/>
    <mergeCell ref="AD9132:AI9132"/>
    <mergeCell ref="AJ9132:AL9132"/>
    <mergeCell ref="AN9132:AO9132"/>
    <mergeCell ref="AP9132:AQ9132"/>
    <mergeCell ref="AR9132:AS9133"/>
    <mergeCell ref="AT9132:AU9133"/>
    <mergeCell ref="AV9132:AW9133"/>
    <mergeCell ref="AX9132:AY9133"/>
    <mergeCell ref="AZ9132:AZ9133"/>
    <mergeCell ref="F9133:H9133"/>
    <mergeCell ref="X9133:AB9133"/>
    <mergeCell ref="AE9133:AI9133"/>
    <mergeCell ref="AJ9133:AL9133"/>
    <mergeCell ref="AN9133:AO9133"/>
    <mergeCell ref="AP9133:AQ9133"/>
    <mergeCell ref="A9134:A9135"/>
    <mergeCell ref="E9134:E9135"/>
    <mergeCell ref="F9134:H9134"/>
    <mergeCell ref="J9134:J9135"/>
    <mergeCell ref="K9134:L9135"/>
    <mergeCell ref="M9134:N9135"/>
    <mergeCell ref="O9134:P9135"/>
    <mergeCell ref="Q9134:R9135"/>
    <mergeCell ref="S9134:T9135"/>
    <mergeCell ref="U9134:V9135"/>
    <mergeCell ref="W9134:W9135"/>
    <mergeCell ref="X9134:AB9134"/>
    <mergeCell ref="AD9134:AI9134"/>
    <mergeCell ref="AJ9134:AL9134"/>
    <mergeCell ref="AN9134:AO9134"/>
    <mergeCell ref="AP9134:AQ9134"/>
    <mergeCell ref="AR9134:AS9135"/>
    <mergeCell ref="AT9134:AU9135"/>
    <mergeCell ref="AV9134:AW9135"/>
    <mergeCell ref="AX9134:AY9135"/>
    <mergeCell ref="AZ9134:AZ9135"/>
    <mergeCell ref="F9135:H9135"/>
    <mergeCell ref="X9135:AB9135"/>
    <mergeCell ref="AE9135:AI9135"/>
    <mergeCell ref="AJ9135:AL9135"/>
    <mergeCell ref="AN9135:AO9135"/>
    <mergeCell ref="AP9135:AQ9135"/>
    <mergeCell ref="A9136:A9137"/>
    <mergeCell ref="E9136:E9137"/>
    <mergeCell ref="F9136:H9136"/>
    <mergeCell ref="J9136:J9137"/>
    <mergeCell ref="K9136:L9137"/>
    <mergeCell ref="M9136:N9137"/>
    <mergeCell ref="O9136:P9137"/>
    <mergeCell ref="Q9136:R9137"/>
    <mergeCell ref="S9136:T9137"/>
    <mergeCell ref="U9136:V9137"/>
    <mergeCell ref="W9136:W9137"/>
    <mergeCell ref="X9136:AB9136"/>
    <mergeCell ref="AD9136:AI9136"/>
    <mergeCell ref="AJ9136:AL9136"/>
    <mergeCell ref="AN9136:AO9136"/>
    <mergeCell ref="AP9136:AQ9136"/>
    <mergeCell ref="AR9136:AS9137"/>
    <mergeCell ref="AT9136:AU9137"/>
    <mergeCell ref="AV9136:AW9137"/>
    <mergeCell ref="AX9136:AY9137"/>
    <mergeCell ref="AZ9136:AZ9137"/>
    <mergeCell ref="F9137:H9137"/>
    <mergeCell ref="X9137:AB9137"/>
    <mergeCell ref="AE9137:AI9137"/>
    <mergeCell ref="AJ9137:AL9137"/>
    <mergeCell ref="AN9137:AO9137"/>
    <mergeCell ref="AP9137:AQ9137"/>
    <mergeCell ref="A9138:A9139"/>
    <mergeCell ref="E9138:E9139"/>
    <mergeCell ref="F9138:H9138"/>
    <mergeCell ref="J9138:J9139"/>
    <mergeCell ref="K9138:L9139"/>
    <mergeCell ref="M9138:N9139"/>
    <mergeCell ref="O9138:P9139"/>
    <mergeCell ref="Q9138:R9139"/>
    <mergeCell ref="S9138:T9139"/>
    <mergeCell ref="U9138:V9139"/>
    <mergeCell ref="W9138:W9139"/>
    <mergeCell ref="X9138:AB9138"/>
    <mergeCell ref="AD9138:AI9138"/>
    <mergeCell ref="AJ9138:AL9138"/>
    <mergeCell ref="AN9138:AO9138"/>
    <mergeCell ref="AP9138:AQ9138"/>
    <mergeCell ref="AR9138:AS9139"/>
    <mergeCell ref="AT9138:AU9139"/>
    <mergeCell ref="AV9138:AW9139"/>
    <mergeCell ref="AX9138:AY9139"/>
    <mergeCell ref="AZ9138:AZ9139"/>
    <mergeCell ref="F9139:H9139"/>
    <mergeCell ref="X9139:AB9139"/>
    <mergeCell ref="AE9139:AI9139"/>
    <mergeCell ref="AJ9139:AL9139"/>
    <mergeCell ref="AN9139:AO9139"/>
    <mergeCell ref="AP9139:AQ9139"/>
    <mergeCell ref="A9140:A9141"/>
    <mergeCell ref="E9140:E9141"/>
    <mergeCell ref="F9140:H9140"/>
    <mergeCell ref="J9140:J9141"/>
    <mergeCell ref="K9140:L9141"/>
    <mergeCell ref="M9140:N9141"/>
    <mergeCell ref="O9140:P9141"/>
    <mergeCell ref="Q9140:R9141"/>
    <mergeCell ref="S9140:T9141"/>
    <mergeCell ref="U9140:V9141"/>
    <mergeCell ref="W9140:W9141"/>
    <mergeCell ref="X9140:AB9140"/>
    <mergeCell ref="AD9140:AI9140"/>
    <mergeCell ref="AJ9140:AL9140"/>
    <mergeCell ref="AN9140:AO9140"/>
    <mergeCell ref="AP9140:AQ9140"/>
    <mergeCell ref="AR9140:AS9141"/>
    <mergeCell ref="AT9140:AU9141"/>
    <mergeCell ref="AV9140:AW9141"/>
    <mergeCell ref="AX9140:AY9141"/>
    <mergeCell ref="AZ9140:AZ9141"/>
    <mergeCell ref="F9141:H9141"/>
    <mergeCell ref="X9141:AB9141"/>
    <mergeCell ref="AE9141:AI9141"/>
    <mergeCell ref="AJ9141:AL9141"/>
    <mergeCell ref="AN9141:AO9141"/>
    <mergeCell ref="AP9141:AQ9141"/>
    <mergeCell ref="A9142:A9143"/>
    <mergeCell ref="E9142:E9143"/>
    <mergeCell ref="F9142:H9142"/>
    <mergeCell ref="J9142:J9143"/>
    <mergeCell ref="K9142:L9143"/>
    <mergeCell ref="M9142:N9143"/>
    <mergeCell ref="O9142:P9143"/>
    <mergeCell ref="Q9142:R9143"/>
    <mergeCell ref="S9142:T9143"/>
    <mergeCell ref="U9142:V9143"/>
    <mergeCell ref="W9142:W9143"/>
    <mergeCell ref="X9142:AB9142"/>
    <mergeCell ref="AD9142:AI9142"/>
    <mergeCell ref="AJ9142:AL9142"/>
    <mergeCell ref="AN9142:AO9142"/>
    <mergeCell ref="AP9142:AQ9142"/>
    <mergeCell ref="AR9142:AS9143"/>
    <mergeCell ref="AT9142:AU9143"/>
    <mergeCell ref="AV9142:AW9143"/>
    <mergeCell ref="AX9142:AY9143"/>
    <mergeCell ref="AZ9142:AZ9143"/>
    <mergeCell ref="F9143:H9143"/>
    <mergeCell ref="X9143:AB9143"/>
    <mergeCell ref="AE9143:AI9143"/>
    <mergeCell ref="AJ9143:AL9143"/>
    <mergeCell ref="AN9143:AO9143"/>
    <mergeCell ref="AP9143:AQ9143"/>
    <mergeCell ref="A9144:A9145"/>
    <mergeCell ref="E9144:E9145"/>
    <mergeCell ref="F9144:H9144"/>
    <mergeCell ref="J9144:J9145"/>
    <mergeCell ref="K9144:L9145"/>
    <mergeCell ref="M9144:N9145"/>
    <mergeCell ref="O9144:P9145"/>
    <mergeCell ref="Q9144:R9145"/>
    <mergeCell ref="S9144:T9145"/>
    <mergeCell ref="U9144:V9145"/>
    <mergeCell ref="W9144:W9145"/>
    <mergeCell ref="X9144:AB9144"/>
    <mergeCell ref="AD9144:AI9144"/>
    <mergeCell ref="AJ9144:AL9144"/>
    <mergeCell ref="AN9144:AO9144"/>
    <mergeCell ref="AP9144:AQ9144"/>
    <mergeCell ref="AR9144:AS9145"/>
    <mergeCell ref="AT9144:AU9145"/>
    <mergeCell ref="AV9144:AW9145"/>
    <mergeCell ref="AX9144:AY9145"/>
    <mergeCell ref="AZ9144:AZ9145"/>
    <mergeCell ref="F9145:H9145"/>
    <mergeCell ref="X9145:AB9145"/>
    <mergeCell ref="AE9145:AI9145"/>
    <mergeCell ref="AJ9145:AL9145"/>
    <mergeCell ref="AN9145:AO9145"/>
    <mergeCell ref="AP9145:AQ9145"/>
    <mergeCell ref="A9146:A9147"/>
    <mergeCell ref="E9146:E9147"/>
    <mergeCell ref="F9146:H9146"/>
    <mergeCell ref="J9146:J9147"/>
    <mergeCell ref="K9146:L9147"/>
    <mergeCell ref="M9146:N9147"/>
    <mergeCell ref="O9146:P9147"/>
    <mergeCell ref="Q9146:R9147"/>
    <mergeCell ref="S9146:T9147"/>
    <mergeCell ref="U9146:V9147"/>
    <mergeCell ref="W9146:W9147"/>
    <mergeCell ref="X9146:AB9146"/>
    <mergeCell ref="AD9146:AI9146"/>
    <mergeCell ref="AJ9146:AL9146"/>
    <mergeCell ref="AN9146:AO9146"/>
    <mergeCell ref="AP9146:AQ9146"/>
    <mergeCell ref="AR9146:AS9147"/>
    <mergeCell ref="AT9146:AU9147"/>
    <mergeCell ref="AV9146:AW9147"/>
    <mergeCell ref="AX9146:AY9147"/>
    <mergeCell ref="AZ9146:AZ9147"/>
    <mergeCell ref="F9147:H9147"/>
    <mergeCell ref="X9147:AB9147"/>
    <mergeCell ref="AE9147:AI9147"/>
    <mergeCell ref="AJ9147:AL9147"/>
    <mergeCell ref="AN9147:AO9147"/>
    <mergeCell ref="AP9147:AQ9147"/>
    <mergeCell ref="A9148:A9149"/>
    <mergeCell ref="E9148:E9149"/>
    <mergeCell ref="F9148:H9148"/>
    <mergeCell ref="J9148:J9149"/>
    <mergeCell ref="K9148:L9149"/>
    <mergeCell ref="M9148:N9149"/>
    <mergeCell ref="O9148:P9149"/>
    <mergeCell ref="Q9148:R9149"/>
    <mergeCell ref="S9148:T9149"/>
    <mergeCell ref="U9148:V9149"/>
    <mergeCell ref="W9148:W9149"/>
    <mergeCell ref="X9148:AB9148"/>
    <mergeCell ref="AD9148:AI9148"/>
    <mergeCell ref="AJ9148:AL9148"/>
    <mergeCell ref="AN9148:AO9148"/>
    <mergeCell ref="AP9148:AQ9148"/>
    <mergeCell ref="AR9148:AS9149"/>
    <mergeCell ref="AT9148:AU9149"/>
    <mergeCell ref="AV9148:AW9149"/>
    <mergeCell ref="AX9148:AY9149"/>
    <mergeCell ref="AZ9148:AZ9149"/>
    <mergeCell ref="F9149:H9149"/>
    <mergeCell ref="X9149:AB9149"/>
    <mergeCell ref="AE9149:AI9149"/>
    <mergeCell ref="AJ9149:AL9149"/>
    <mergeCell ref="AN9149:AO9149"/>
    <mergeCell ref="AP9149:AQ9149"/>
    <mergeCell ref="A9150:A9151"/>
    <mergeCell ref="E9150:E9151"/>
    <mergeCell ref="F9150:H9150"/>
    <mergeCell ref="J9150:J9151"/>
    <mergeCell ref="K9150:L9151"/>
    <mergeCell ref="M9150:N9151"/>
    <mergeCell ref="O9150:P9151"/>
    <mergeCell ref="Q9150:R9151"/>
    <mergeCell ref="S9150:T9151"/>
    <mergeCell ref="U9150:V9151"/>
    <mergeCell ref="W9150:W9151"/>
    <mergeCell ref="X9150:AB9150"/>
    <mergeCell ref="AD9150:AI9150"/>
    <mergeCell ref="AJ9150:AL9150"/>
    <mergeCell ref="AN9150:AO9150"/>
    <mergeCell ref="AP9150:AQ9150"/>
    <mergeCell ref="AR9150:AS9151"/>
    <mergeCell ref="AT9150:AU9151"/>
    <mergeCell ref="AV9150:AW9151"/>
    <mergeCell ref="AX9150:AY9151"/>
    <mergeCell ref="AZ9150:AZ9151"/>
    <mergeCell ref="F9151:H9151"/>
    <mergeCell ref="X9151:AB9151"/>
    <mergeCell ref="AE9151:AI9151"/>
    <mergeCell ref="AJ9151:AL9151"/>
    <mergeCell ref="AN9151:AO9151"/>
    <mergeCell ref="AP9151:AQ9151"/>
    <mergeCell ref="A9152:A9153"/>
    <mergeCell ref="E9152:E9153"/>
    <mergeCell ref="F9152:H9152"/>
    <mergeCell ref="J9152:J9153"/>
    <mergeCell ref="K9152:L9153"/>
    <mergeCell ref="M9152:N9153"/>
    <mergeCell ref="O9152:P9153"/>
    <mergeCell ref="Q9152:R9153"/>
    <mergeCell ref="S9152:T9153"/>
    <mergeCell ref="U9152:V9153"/>
    <mergeCell ref="W9152:W9153"/>
    <mergeCell ref="X9152:AB9152"/>
    <mergeCell ref="AD9152:AI9152"/>
    <mergeCell ref="AJ9152:AL9152"/>
    <mergeCell ref="AN9152:AO9152"/>
    <mergeCell ref="AP9152:AQ9152"/>
    <mergeCell ref="AR9152:AS9153"/>
    <mergeCell ref="AT9152:AU9153"/>
    <mergeCell ref="AV9152:AW9153"/>
    <mergeCell ref="AX9152:AY9153"/>
    <mergeCell ref="AZ9152:AZ9153"/>
    <mergeCell ref="F9153:H9153"/>
    <mergeCell ref="X9153:AB9153"/>
    <mergeCell ref="AE9153:AI9153"/>
    <mergeCell ref="AJ9153:AL9153"/>
    <mergeCell ref="AN9153:AO9153"/>
    <mergeCell ref="AP9153:AQ9153"/>
    <mergeCell ref="A9154:A9155"/>
    <mergeCell ref="E9154:E9155"/>
    <mergeCell ref="F9154:H9154"/>
    <mergeCell ref="J9154:J9155"/>
    <mergeCell ref="K9154:L9155"/>
    <mergeCell ref="M9154:N9155"/>
    <mergeCell ref="O9154:P9155"/>
    <mergeCell ref="Q9154:R9155"/>
    <mergeCell ref="S9154:T9155"/>
    <mergeCell ref="U9154:V9155"/>
    <mergeCell ref="W9154:W9155"/>
    <mergeCell ref="X9154:AB9154"/>
    <mergeCell ref="AD9154:AI9154"/>
    <mergeCell ref="AJ9154:AL9154"/>
    <mergeCell ref="AN9154:AO9154"/>
    <mergeCell ref="AP9154:AQ9154"/>
    <mergeCell ref="AR9154:AS9155"/>
    <mergeCell ref="AT9154:AU9155"/>
    <mergeCell ref="AV9154:AW9155"/>
    <mergeCell ref="AX9154:AY9155"/>
    <mergeCell ref="AZ9154:AZ9155"/>
    <mergeCell ref="F9155:H9155"/>
    <mergeCell ref="X9155:AB9155"/>
    <mergeCell ref="AE9155:AI9155"/>
    <mergeCell ref="AJ9155:AL9155"/>
    <mergeCell ref="AN9155:AO9155"/>
    <mergeCell ref="AP9155:AQ9155"/>
    <mergeCell ref="A9156:A9157"/>
    <mergeCell ref="E9156:E9157"/>
    <mergeCell ref="F9156:H9156"/>
    <mergeCell ref="J9156:J9157"/>
    <mergeCell ref="K9156:L9157"/>
    <mergeCell ref="M9156:N9157"/>
    <mergeCell ref="O9156:P9157"/>
    <mergeCell ref="Q9156:R9157"/>
    <mergeCell ref="S9156:T9157"/>
    <mergeCell ref="U9156:V9157"/>
    <mergeCell ref="W9156:W9157"/>
    <mergeCell ref="X9156:AB9156"/>
    <mergeCell ref="AD9156:AI9156"/>
    <mergeCell ref="AJ9156:AL9156"/>
    <mergeCell ref="AN9156:AO9156"/>
    <mergeCell ref="AP9156:AQ9156"/>
    <mergeCell ref="AR9156:AS9157"/>
    <mergeCell ref="AT9156:AU9157"/>
    <mergeCell ref="AV9156:AW9157"/>
    <mergeCell ref="AX9156:AY9157"/>
    <mergeCell ref="AZ9156:AZ9157"/>
    <mergeCell ref="F9157:H9157"/>
    <mergeCell ref="X9157:AB9157"/>
    <mergeCell ref="AE9157:AI9157"/>
    <mergeCell ref="AJ9157:AL9157"/>
    <mergeCell ref="AN9157:AO9157"/>
    <mergeCell ref="AP9157:AQ9157"/>
    <mergeCell ref="A9158:A9159"/>
    <mergeCell ref="E9158:E9159"/>
    <mergeCell ref="F9158:H9158"/>
    <mergeCell ref="J9158:J9159"/>
    <mergeCell ref="K9158:L9159"/>
    <mergeCell ref="M9158:N9159"/>
    <mergeCell ref="O9158:P9159"/>
    <mergeCell ref="Q9158:R9159"/>
    <mergeCell ref="S9158:T9159"/>
    <mergeCell ref="U9158:V9159"/>
    <mergeCell ref="W9158:W9159"/>
    <mergeCell ref="X9158:AB9158"/>
    <mergeCell ref="AD9158:AI9158"/>
    <mergeCell ref="AJ9158:AL9158"/>
    <mergeCell ref="AN9158:AO9158"/>
    <mergeCell ref="AP9158:AQ9158"/>
    <mergeCell ref="AR9158:AS9159"/>
    <mergeCell ref="AT9158:AU9159"/>
    <mergeCell ref="AV9158:AW9159"/>
    <mergeCell ref="AX9158:AY9159"/>
    <mergeCell ref="AZ9158:AZ9159"/>
    <mergeCell ref="F9159:H9159"/>
    <mergeCell ref="X9159:AB9159"/>
    <mergeCell ref="AE9159:AI9159"/>
    <mergeCell ref="AJ9159:AL9159"/>
    <mergeCell ref="AN9159:AO9159"/>
    <mergeCell ref="AP9159:AQ9159"/>
    <mergeCell ref="A9160:A9161"/>
    <mergeCell ref="E9160:E9161"/>
    <mergeCell ref="F9160:H9160"/>
    <mergeCell ref="J9160:J9161"/>
    <mergeCell ref="K9160:L9161"/>
    <mergeCell ref="M9160:N9161"/>
    <mergeCell ref="O9160:P9161"/>
    <mergeCell ref="Q9160:R9161"/>
    <mergeCell ref="S9160:T9161"/>
    <mergeCell ref="U9160:V9161"/>
    <mergeCell ref="W9160:W9161"/>
    <mergeCell ref="X9160:AB9160"/>
    <mergeCell ref="AD9160:AI9160"/>
    <mergeCell ref="AJ9160:AL9160"/>
    <mergeCell ref="AN9160:AO9160"/>
    <mergeCell ref="AP9160:AQ9160"/>
    <mergeCell ref="AR9160:AS9161"/>
    <mergeCell ref="AT9160:AU9161"/>
    <mergeCell ref="AV9160:AW9161"/>
    <mergeCell ref="AX9160:AY9161"/>
    <mergeCell ref="AZ9160:AZ9161"/>
    <mergeCell ref="F9161:H9161"/>
    <mergeCell ref="X9161:AB9161"/>
    <mergeCell ref="AE9161:AI9161"/>
    <mergeCell ref="AJ9161:AL9161"/>
    <mergeCell ref="AN9161:AO9161"/>
    <mergeCell ref="AP9161:AQ9161"/>
    <mergeCell ref="A9162:A9163"/>
    <mergeCell ref="E9162:E9163"/>
    <mergeCell ref="F9162:H9162"/>
    <mergeCell ref="J9162:J9163"/>
    <mergeCell ref="K9162:L9163"/>
    <mergeCell ref="M9162:N9163"/>
    <mergeCell ref="O9162:P9163"/>
    <mergeCell ref="Q9162:R9163"/>
    <mergeCell ref="S9162:T9163"/>
    <mergeCell ref="U9162:V9163"/>
    <mergeCell ref="W9162:W9163"/>
    <mergeCell ref="X9162:AB9162"/>
    <mergeCell ref="AD9162:AI9162"/>
    <mergeCell ref="AJ9162:AL9162"/>
    <mergeCell ref="AN9162:AO9162"/>
    <mergeCell ref="AP9162:AQ9162"/>
    <mergeCell ref="AR9162:AS9163"/>
    <mergeCell ref="AT9162:AU9163"/>
    <mergeCell ref="AV9162:AW9163"/>
    <mergeCell ref="AX9162:AY9163"/>
    <mergeCell ref="AZ9162:AZ9163"/>
    <mergeCell ref="F9163:H9163"/>
    <mergeCell ref="X9163:AB9163"/>
    <mergeCell ref="AE9163:AI9163"/>
    <mergeCell ref="AJ9163:AL9163"/>
    <mergeCell ref="AN9163:AO9163"/>
    <mergeCell ref="AP9163:AQ9163"/>
    <mergeCell ref="A9164:A9165"/>
    <mergeCell ref="E9164:E9165"/>
    <mergeCell ref="F9164:H9164"/>
    <mergeCell ref="J9164:J9165"/>
    <mergeCell ref="K9164:L9165"/>
    <mergeCell ref="M9164:N9165"/>
    <mergeCell ref="O9164:P9165"/>
    <mergeCell ref="Q9164:R9165"/>
    <mergeCell ref="S9164:T9165"/>
    <mergeCell ref="U9164:V9165"/>
    <mergeCell ref="W9164:W9165"/>
    <mergeCell ref="X9164:AB9164"/>
    <mergeCell ref="AD9164:AI9164"/>
    <mergeCell ref="AJ9164:AL9164"/>
    <mergeCell ref="AN9164:AO9164"/>
    <mergeCell ref="AP9164:AQ9164"/>
    <mergeCell ref="AR9164:AS9165"/>
    <mergeCell ref="AT9164:AU9165"/>
    <mergeCell ref="AV9164:AW9165"/>
    <mergeCell ref="AX9164:AY9165"/>
    <mergeCell ref="AZ9164:AZ9165"/>
    <mergeCell ref="F9165:H9165"/>
    <mergeCell ref="X9165:AB9165"/>
    <mergeCell ref="AE9165:AI9165"/>
    <mergeCell ref="AJ9165:AL9165"/>
    <mergeCell ref="AN9165:AO9165"/>
    <mergeCell ref="AP9165:AQ9165"/>
    <mergeCell ref="A9166:A9167"/>
    <mergeCell ref="E9166:E9167"/>
    <mergeCell ref="F9166:H9166"/>
    <mergeCell ref="J9166:J9167"/>
    <mergeCell ref="K9166:L9167"/>
    <mergeCell ref="M9166:N9167"/>
    <mergeCell ref="O9166:P9167"/>
    <mergeCell ref="Q9166:R9167"/>
    <mergeCell ref="S9166:T9167"/>
    <mergeCell ref="U9166:V9167"/>
    <mergeCell ref="W9166:W9167"/>
    <mergeCell ref="X9166:AB9166"/>
    <mergeCell ref="AD9166:AI9166"/>
    <mergeCell ref="AJ9166:AL9166"/>
    <mergeCell ref="AN9166:AO9166"/>
    <mergeCell ref="AP9166:AQ9166"/>
    <mergeCell ref="AR9166:AS9167"/>
    <mergeCell ref="AT9166:AU9167"/>
    <mergeCell ref="AV9166:AW9167"/>
    <mergeCell ref="AX9166:AY9167"/>
    <mergeCell ref="AZ9166:AZ9167"/>
    <mergeCell ref="F9167:H9167"/>
    <mergeCell ref="X9167:AB9167"/>
    <mergeCell ref="AE9167:AI9167"/>
    <mergeCell ref="AJ9167:AL9167"/>
    <mergeCell ref="AN9167:AO9167"/>
    <mergeCell ref="AP9167:AQ9167"/>
    <mergeCell ref="A9168:A9169"/>
    <mergeCell ref="E9168:E9169"/>
    <mergeCell ref="F9168:H9168"/>
    <mergeCell ref="J9168:J9169"/>
    <mergeCell ref="K9168:L9169"/>
    <mergeCell ref="M9168:N9169"/>
    <mergeCell ref="O9168:P9169"/>
    <mergeCell ref="Q9168:R9169"/>
    <mergeCell ref="S9168:T9169"/>
    <mergeCell ref="U9168:V9169"/>
    <mergeCell ref="W9168:W9169"/>
    <mergeCell ref="X9168:AB9168"/>
    <mergeCell ref="AD9168:AI9168"/>
    <mergeCell ref="AJ9168:AL9168"/>
    <mergeCell ref="AN9168:AO9168"/>
    <mergeCell ref="AP9168:AQ9168"/>
    <mergeCell ref="AR9168:AS9169"/>
    <mergeCell ref="AT9168:AU9169"/>
    <mergeCell ref="AV9168:AW9169"/>
    <mergeCell ref="AX9168:AY9169"/>
    <mergeCell ref="AZ9168:AZ9169"/>
    <mergeCell ref="F9169:H9169"/>
    <mergeCell ref="X9169:AB9169"/>
    <mergeCell ref="AE9169:AI9169"/>
    <mergeCell ref="AJ9169:AL9169"/>
    <mergeCell ref="AN9169:AO9169"/>
    <mergeCell ref="AP9169:AQ9169"/>
    <mergeCell ref="AZ9170:AZ9171"/>
    <mergeCell ref="F9171:H9171"/>
    <mergeCell ref="X9171:AB9171"/>
    <mergeCell ref="AE9171:AI9171"/>
    <mergeCell ref="AJ9171:AL9171"/>
    <mergeCell ref="AN9171:AO9171"/>
    <mergeCell ref="AP9171:AQ9171"/>
    <mergeCell ref="A9172:A9173"/>
    <mergeCell ref="E9172:E9173"/>
    <mergeCell ref="F9172:H9172"/>
    <mergeCell ref="J9172:J9173"/>
    <mergeCell ref="K9172:L9173"/>
    <mergeCell ref="M9172:N9173"/>
    <mergeCell ref="O9172:P9173"/>
    <mergeCell ref="Q9172:R9173"/>
    <mergeCell ref="S9172:T9173"/>
    <mergeCell ref="U9172:V9173"/>
    <mergeCell ref="W9172:W9173"/>
    <mergeCell ref="X9172:AB9172"/>
    <mergeCell ref="AD9172:AI9172"/>
    <mergeCell ref="AJ9172:AL9172"/>
    <mergeCell ref="AN9172:AO9172"/>
    <mergeCell ref="AP9172:AQ9172"/>
    <mergeCell ref="AR9172:AS9173"/>
    <mergeCell ref="AT9172:AU9173"/>
    <mergeCell ref="AV9172:AW9173"/>
    <mergeCell ref="AX9172:AY9173"/>
    <mergeCell ref="AZ9172:AZ9173"/>
    <mergeCell ref="F9173:H9173"/>
    <mergeCell ref="X9173:AB9173"/>
    <mergeCell ref="AE9173:AI9173"/>
    <mergeCell ref="AJ9173:AL9173"/>
    <mergeCell ref="AN9173:AO9173"/>
    <mergeCell ref="AP9173:AQ9173"/>
    <mergeCell ref="W9078:W9079"/>
    <mergeCell ref="X9078:AB9078"/>
    <mergeCell ref="AD9078:AI9078"/>
    <mergeCell ref="AJ9078:AL9078"/>
    <mergeCell ref="AN9078:AO9078"/>
    <mergeCell ref="AP9078:AQ9078"/>
    <mergeCell ref="AR9078:AS9079"/>
    <mergeCell ref="AT9078:AU9079"/>
    <mergeCell ref="AV9078:AW9079"/>
    <mergeCell ref="AX9078:AY9079"/>
    <mergeCell ref="AZ9078:AZ9079"/>
    <mergeCell ref="F9079:H9079"/>
    <mergeCell ref="X9079:AB9079"/>
    <mergeCell ref="AE9079:AI9079"/>
    <mergeCell ref="AJ9079:AL9079"/>
    <mergeCell ref="AN9079:AO9079"/>
    <mergeCell ref="AP9079:AQ9079"/>
    <mergeCell ref="A9174:A9175"/>
    <mergeCell ref="E9174:E9175"/>
    <mergeCell ref="F9174:H9174"/>
    <mergeCell ref="J9174:J9175"/>
    <mergeCell ref="K9174:L9175"/>
    <mergeCell ref="M9174:N9175"/>
    <mergeCell ref="O9174:P9175"/>
    <mergeCell ref="Q9174:R9175"/>
    <mergeCell ref="S9174:T9175"/>
    <mergeCell ref="U9174:V9175"/>
    <mergeCell ref="W9174:W9175"/>
    <mergeCell ref="X9174:AB9174"/>
    <mergeCell ref="AD9174:AI9174"/>
    <mergeCell ref="AJ9174:AL9174"/>
    <mergeCell ref="AN9174:AO9174"/>
    <mergeCell ref="AP9174:AQ9174"/>
    <mergeCell ref="AR9174:AS9175"/>
    <mergeCell ref="AT9174:AU9175"/>
    <mergeCell ref="AV9174:AW9175"/>
    <mergeCell ref="AX9174:AY9175"/>
    <mergeCell ref="AZ9174:AZ9175"/>
    <mergeCell ref="F9175:H9175"/>
    <mergeCell ref="X9175:AB9175"/>
    <mergeCell ref="AE9175:AI9175"/>
    <mergeCell ref="AJ9175:AL9175"/>
    <mergeCell ref="AN9175:AO9175"/>
    <mergeCell ref="AP9175:AQ9175"/>
    <mergeCell ref="A9170:A9171"/>
    <mergeCell ref="E9170:E9171"/>
    <mergeCell ref="F9170:H9170"/>
    <mergeCell ref="J9170:J9171"/>
    <mergeCell ref="K9170:L9171"/>
    <mergeCell ref="M9170:N9171"/>
    <mergeCell ref="O9170:P9171"/>
    <mergeCell ref="Q9170:R9171"/>
    <mergeCell ref="S9170:T9171"/>
    <mergeCell ref="U9170:V9171"/>
    <mergeCell ref="W9170:W9171"/>
    <mergeCell ref="X9170:AB9170"/>
    <mergeCell ref="AD9170:AI9170"/>
    <mergeCell ref="AJ9170:AL9170"/>
    <mergeCell ref="AN9170:AO9170"/>
    <mergeCell ref="AP9170:AQ9170"/>
    <mergeCell ref="AR9170:AS9171"/>
    <mergeCell ref="AT9170:AU9171"/>
    <mergeCell ref="AV9170:AW9171"/>
    <mergeCell ref="AX9170:AY9171"/>
    <mergeCell ref="A9176:A9177"/>
    <mergeCell ref="E9176:E9177"/>
    <mergeCell ref="F9176:H9176"/>
    <mergeCell ref="J9176:J9177"/>
    <mergeCell ref="K9176:L9177"/>
    <mergeCell ref="M9176:N9177"/>
    <mergeCell ref="O9176:P9177"/>
    <mergeCell ref="Q9176:R9177"/>
    <mergeCell ref="S9176:T9177"/>
    <mergeCell ref="U9176:V9177"/>
    <mergeCell ref="W9176:W9177"/>
    <mergeCell ref="X9176:AB9176"/>
    <mergeCell ref="AD9176:AI9176"/>
    <mergeCell ref="AJ9176:AL9176"/>
    <mergeCell ref="AN9176:AO9176"/>
    <mergeCell ref="AP9176:AQ9176"/>
    <mergeCell ref="AR9176:AS9177"/>
    <mergeCell ref="AT9176:AU9177"/>
    <mergeCell ref="AV9176:AW9177"/>
    <mergeCell ref="AX9176:AY9177"/>
    <mergeCell ref="AZ9176:AZ9177"/>
    <mergeCell ref="F9177:H9177"/>
    <mergeCell ref="X9177:AB9177"/>
    <mergeCell ref="AE9177:AI9177"/>
    <mergeCell ref="AJ9177:AL9177"/>
    <mergeCell ref="AN9177:AO9177"/>
    <mergeCell ref="AP9177:AQ9177"/>
    <mergeCell ref="A9178:A9179"/>
    <mergeCell ref="E9178:E9179"/>
    <mergeCell ref="F9178:H9178"/>
    <mergeCell ref="J9178:J9179"/>
    <mergeCell ref="K9178:L9179"/>
    <mergeCell ref="M9178:N9179"/>
    <mergeCell ref="O9178:P9179"/>
    <mergeCell ref="Q9178:R9179"/>
    <mergeCell ref="S9178:T9179"/>
    <mergeCell ref="U9178:V9179"/>
    <mergeCell ref="W9178:W9179"/>
    <mergeCell ref="X9178:AB9178"/>
    <mergeCell ref="AD9178:AI9178"/>
    <mergeCell ref="AJ9178:AL9178"/>
    <mergeCell ref="AN9178:AO9178"/>
    <mergeCell ref="AP9178:AQ9178"/>
    <mergeCell ref="AR9178:AS9179"/>
    <mergeCell ref="AT9178:AU9179"/>
    <mergeCell ref="AV9178:AW9179"/>
    <mergeCell ref="AX9178:AY9179"/>
    <mergeCell ref="AZ9178:AZ9179"/>
    <mergeCell ref="F9179:H9179"/>
    <mergeCell ref="X9179:AB9179"/>
    <mergeCell ref="AE9179:AI9179"/>
    <mergeCell ref="AJ9179:AL9179"/>
    <mergeCell ref="AN9179:AO9179"/>
    <mergeCell ref="AP9179:AQ9179"/>
    <mergeCell ref="A9180:A9181"/>
    <mergeCell ref="E9180:E9181"/>
    <mergeCell ref="F9180:H9180"/>
    <mergeCell ref="J9180:J9181"/>
    <mergeCell ref="K9180:L9181"/>
    <mergeCell ref="M9180:N9181"/>
    <mergeCell ref="O9180:P9181"/>
    <mergeCell ref="Q9180:R9181"/>
    <mergeCell ref="S9180:T9181"/>
    <mergeCell ref="U9180:V9181"/>
    <mergeCell ref="W9180:W9181"/>
    <mergeCell ref="X9180:AB9180"/>
    <mergeCell ref="AD9180:AI9180"/>
    <mergeCell ref="AJ9180:AL9180"/>
    <mergeCell ref="AN9180:AO9180"/>
    <mergeCell ref="AP9180:AQ9180"/>
    <mergeCell ref="AR9180:AS9181"/>
    <mergeCell ref="AT9180:AU9181"/>
    <mergeCell ref="AV9180:AW9181"/>
    <mergeCell ref="AX9180:AY9181"/>
    <mergeCell ref="AZ9180:AZ9181"/>
    <mergeCell ref="F9181:H9181"/>
    <mergeCell ref="X9181:AB9181"/>
    <mergeCell ref="AE9181:AI9181"/>
    <mergeCell ref="AJ9181:AL9181"/>
    <mergeCell ref="AN9181:AO9181"/>
    <mergeCell ref="AP9181:AQ9181"/>
    <mergeCell ref="A9182:A9183"/>
    <mergeCell ref="E9182:E9183"/>
    <mergeCell ref="F9182:H9182"/>
    <mergeCell ref="J9182:J9183"/>
    <mergeCell ref="K9182:L9183"/>
    <mergeCell ref="M9182:N9183"/>
    <mergeCell ref="O9182:P9183"/>
    <mergeCell ref="Q9182:R9183"/>
    <mergeCell ref="S9182:T9183"/>
    <mergeCell ref="U9182:V9183"/>
    <mergeCell ref="W9182:W9183"/>
    <mergeCell ref="X9182:AB9182"/>
    <mergeCell ref="AD9182:AI9182"/>
    <mergeCell ref="AJ9182:AL9182"/>
    <mergeCell ref="AN9182:AO9182"/>
    <mergeCell ref="AP9182:AQ9182"/>
    <mergeCell ref="AR9182:AS9183"/>
    <mergeCell ref="AT9182:AU9183"/>
    <mergeCell ref="AV9182:AW9183"/>
    <mergeCell ref="AX9182:AY9183"/>
    <mergeCell ref="AZ9182:AZ9183"/>
    <mergeCell ref="F9183:H9183"/>
    <mergeCell ref="X9183:AB9183"/>
    <mergeCell ref="AE9183:AI9183"/>
    <mergeCell ref="AJ9183:AL9183"/>
    <mergeCell ref="AN9183:AO9183"/>
    <mergeCell ref="AP9183:AQ9183"/>
    <mergeCell ref="A9184:A9185"/>
    <mergeCell ref="E9184:E9185"/>
    <mergeCell ref="F9184:H9184"/>
    <mergeCell ref="J9184:J9185"/>
    <mergeCell ref="K9184:L9185"/>
    <mergeCell ref="M9184:N9185"/>
    <mergeCell ref="O9184:P9185"/>
    <mergeCell ref="Q9184:R9185"/>
    <mergeCell ref="S9184:T9185"/>
    <mergeCell ref="U9184:V9185"/>
    <mergeCell ref="W9184:W9185"/>
    <mergeCell ref="X9184:AB9184"/>
    <mergeCell ref="AD9184:AI9184"/>
    <mergeCell ref="AJ9184:AL9184"/>
    <mergeCell ref="AN9184:AO9184"/>
    <mergeCell ref="AP9184:AQ9184"/>
    <mergeCell ref="AR9184:AS9185"/>
    <mergeCell ref="AT9184:AU9185"/>
    <mergeCell ref="AV9184:AW9185"/>
    <mergeCell ref="AX9184:AY9185"/>
    <mergeCell ref="AZ9184:AZ9185"/>
    <mergeCell ref="F9185:H9185"/>
    <mergeCell ref="X9185:AB9185"/>
    <mergeCell ref="AE9185:AI9185"/>
    <mergeCell ref="AJ9185:AL9185"/>
    <mergeCell ref="AN9185:AO9185"/>
    <mergeCell ref="AP9185:AQ9185"/>
    <mergeCell ref="A9186:A9187"/>
    <mergeCell ref="E9186:E9187"/>
    <mergeCell ref="F9186:H9186"/>
    <mergeCell ref="J9186:J9187"/>
    <mergeCell ref="K9186:L9187"/>
    <mergeCell ref="M9186:N9187"/>
    <mergeCell ref="O9186:P9187"/>
    <mergeCell ref="Q9186:R9187"/>
    <mergeCell ref="S9186:T9187"/>
    <mergeCell ref="U9186:V9187"/>
    <mergeCell ref="W9186:W9187"/>
    <mergeCell ref="X9186:AB9186"/>
    <mergeCell ref="AD9186:AI9186"/>
    <mergeCell ref="AJ9186:AL9186"/>
    <mergeCell ref="AN9186:AO9186"/>
    <mergeCell ref="AP9186:AQ9186"/>
    <mergeCell ref="AR9186:AS9187"/>
    <mergeCell ref="AT9186:AU9187"/>
    <mergeCell ref="AV9186:AW9187"/>
    <mergeCell ref="AX9186:AY9187"/>
    <mergeCell ref="AZ9186:AZ9187"/>
    <mergeCell ref="F9187:H9187"/>
    <mergeCell ref="X9187:AB9187"/>
    <mergeCell ref="AE9187:AI9187"/>
    <mergeCell ref="AJ9187:AL9187"/>
    <mergeCell ref="AN9187:AO9187"/>
    <mergeCell ref="AP9187:AQ9187"/>
    <mergeCell ref="A9188:A9189"/>
    <mergeCell ref="E9188:E9189"/>
    <mergeCell ref="F9188:H9188"/>
    <mergeCell ref="J9188:J9189"/>
    <mergeCell ref="K9188:L9189"/>
    <mergeCell ref="M9188:N9189"/>
    <mergeCell ref="O9188:P9189"/>
    <mergeCell ref="Q9188:R9189"/>
    <mergeCell ref="S9188:T9189"/>
    <mergeCell ref="U9188:V9189"/>
    <mergeCell ref="W9188:W9189"/>
    <mergeCell ref="X9188:AB9188"/>
    <mergeCell ref="AD9188:AI9188"/>
    <mergeCell ref="AJ9188:AL9188"/>
    <mergeCell ref="AN9188:AO9188"/>
    <mergeCell ref="AP9188:AQ9188"/>
    <mergeCell ref="AR9188:AS9189"/>
    <mergeCell ref="AT9188:AU9189"/>
    <mergeCell ref="AV9188:AW9189"/>
    <mergeCell ref="AX9188:AY9189"/>
    <mergeCell ref="AZ9188:AZ9189"/>
    <mergeCell ref="F9189:H9189"/>
    <mergeCell ref="X9189:AB9189"/>
    <mergeCell ref="AE9189:AI9189"/>
    <mergeCell ref="AJ9189:AL9189"/>
    <mergeCell ref="AN9189:AO9189"/>
    <mergeCell ref="AP9189:AQ9189"/>
    <mergeCell ref="A9190:A9191"/>
    <mergeCell ref="E9190:E9191"/>
    <mergeCell ref="F9190:H9190"/>
    <mergeCell ref="J9190:J9191"/>
    <mergeCell ref="K9190:L9191"/>
    <mergeCell ref="M9190:N9191"/>
    <mergeCell ref="O9190:P9191"/>
    <mergeCell ref="Q9190:R9191"/>
    <mergeCell ref="S9190:T9191"/>
    <mergeCell ref="U9190:V9191"/>
    <mergeCell ref="W9190:W9191"/>
    <mergeCell ref="X9190:AB9190"/>
    <mergeCell ref="AD9190:AI9190"/>
    <mergeCell ref="AJ9190:AL9190"/>
    <mergeCell ref="AN9190:AO9190"/>
    <mergeCell ref="AP9190:AQ9190"/>
    <mergeCell ref="AR9190:AS9191"/>
    <mergeCell ref="AT9190:AU9191"/>
    <mergeCell ref="AV9190:AW9191"/>
    <mergeCell ref="AX9190:AY9191"/>
    <mergeCell ref="AZ9190:AZ9191"/>
    <mergeCell ref="F9191:H9191"/>
    <mergeCell ref="X9191:AB9191"/>
    <mergeCell ref="AE9191:AI9191"/>
    <mergeCell ref="AJ9191:AL9191"/>
    <mergeCell ref="AN9191:AO9191"/>
    <mergeCell ref="AP9191:AQ9191"/>
    <mergeCell ref="A9192:A9193"/>
    <mergeCell ref="E9192:E9193"/>
    <mergeCell ref="F9192:H9192"/>
    <mergeCell ref="J9192:J9193"/>
    <mergeCell ref="K9192:L9193"/>
    <mergeCell ref="M9192:N9193"/>
    <mergeCell ref="O9192:P9193"/>
    <mergeCell ref="Q9192:R9193"/>
    <mergeCell ref="S9192:T9193"/>
    <mergeCell ref="U9192:V9193"/>
    <mergeCell ref="W9192:W9193"/>
    <mergeCell ref="X9192:AB9192"/>
    <mergeCell ref="AD9192:AI9192"/>
    <mergeCell ref="AJ9192:AL9192"/>
    <mergeCell ref="AN9192:AO9192"/>
    <mergeCell ref="AP9192:AQ9192"/>
    <mergeCell ref="AR9192:AS9193"/>
    <mergeCell ref="AT9192:AU9193"/>
    <mergeCell ref="AV9192:AW9193"/>
    <mergeCell ref="AX9192:AY9193"/>
    <mergeCell ref="AZ9192:AZ9193"/>
    <mergeCell ref="F9193:H9193"/>
    <mergeCell ref="X9193:AB9193"/>
    <mergeCell ref="AE9193:AI9193"/>
    <mergeCell ref="AJ9193:AL9193"/>
    <mergeCell ref="AN9193:AO9193"/>
    <mergeCell ref="AP9193:AQ9193"/>
    <mergeCell ref="A9194:A9195"/>
    <mergeCell ref="E9194:E9195"/>
    <mergeCell ref="F9194:H9194"/>
    <mergeCell ref="J9194:J9195"/>
    <mergeCell ref="K9194:L9195"/>
    <mergeCell ref="M9194:N9195"/>
    <mergeCell ref="O9194:P9195"/>
    <mergeCell ref="Q9194:R9195"/>
    <mergeCell ref="S9194:T9195"/>
    <mergeCell ref="U9194:V9195"/>
    <mergeCell ref="W9194:W9195"/>
    <mergeCell ref="X9194:AB9194"/>
    <mergeCell ref="AD9194:AI9194"/>
    <mergeCell ref="AJ9194:AL9194"/>
    <mergeCell ref="AN9194:AO9194"/>
    <mergeCell ref="AP9194:AQ9194"/>
    <mergeCell ref="AR9194:AS9195"/>
    <mergeCell ref="AT9194:AU9195"/>
    <mergeCell ref="AV9194:AW9195"/>
    <mergeCell ref="AX9194:AY9195"/>
    <mergeCell ref="AZ9194:AZ9195"/>
    <mergeCell ref="F9195:H9195"/>
    <mergeCell ref="X9195:AB9195"/>
    <mergeCell ref="AE9195:AI9195"/>
    <mergeCell ref="AJ9195:AL9195"/>
    <mergeCell ref="AN9195:AO9195"/>
    <mergeCell ref="AP9195:AQ9195"/>
    <mergeCell ref="A9196:A9197"/>
    <mergeCell ref="E9196:E9197"/>
    <mergeCell ref="F9196:H9196"/>
    <mergeCell ref="J9196:J9197"/>
    <mergeCell ref="K9196:L9197"/>
    <mergeCell ref="M9196:N9197"/>
    <mergeCell ref="O9196:P9197"/>
    <mergeCell ref="Q9196:R9197"/>
    <mergeCell ref="S9196:T9197"/>
    <mergeCell ref="U9196:V9197"/>
    <mergeCell ref="W9196:W9197"/>
    <mergeCell ref="X9196:AB9196"/>
    <mergeCell ref="AD9196:AI9196"/>
    <mergeCell ref="AJ9196:AL9196"/>
    <mergeCell ref="AN9196:AO9196"/>
    <mergeCell ref="AP9196:AQ9196"/>
    <mergeCell ref="AR9196:AS9197"/>
    <mergeCell ref="AT9196:AU9197"/>
    <mergeCell ref="AV9196:AW9197"/>
    <mergeCell ref="AX9196:AY9197"/>
    <mergeCell ref="AZ9196:AZ9197"/>
    <mergeCell ref="F9197:H9197"/>
    <mergeCell ref="X9197:AB9197"/>
    <mergeCell ref="AE9197:AI9197"/>
    <mergeCell ref="AJ9197:AL9197"/>
    <mergeCell ref="AN9197:AO9197"/>
    <mergeCell ref="AP9197:AQ9197"/>
    <mergeCell ref="A9198:A9199"/>
    <mergeCell ref="E9198:E9199"/>
    <mergeCell ref="F9198:H9198"/>
    <mergeCell ref="J9198:J9199"/>
    <mergeCell ref="K9198:L9199"/>
    <mergeCell ref="M9198:N9199"/>
    <mergeCell ref="O9198:P9199"/>
    <mergeCell ref="Q9198:R9199"/>
    <mergeCell ref="S9198:T9199"/>
    <mergeCell ref="U9198:V9199"/>
    <mergeCell ref="W9198:W9199"/>
    <mergeCell ref="X9198:AB9198"/>
    <mergeCell ref="AD9198:AI9198"/>
    <mergeCell ref="AJ9198:AL9198"/>
    <mergeCell ref="AN9198:AO9198"/>
    <mergeCell ref="AP9198:AQ9198"/>
    <mergeCell ref="AR9198:AS9199"/>
    <mergeCell ref="AT9198:AU9199"/>
    <mergeCell ref="AV9198:AW9199"/>
    <mergeCell ref="AX9198:AY9199"/>
    <mergeCell ref="AZ9198:AZ9199"/>
    <mergeCell ref="F9199:H9199"/>
    <mergeCell ref="X9199:AB9199"/>
    <mergeCell ref="AE9199:AI9199"/>
    <mergeCell ref="AJ9199:AL9199"/>
    <mergeCell ref="AN9199:AO9199"/>
    <mergeCell ref="AP9199:AQ9199"/>
    <mergeCell ref="A9200:A9201"/>
    <mergeCell ref="E9200:E9201"/>
    <mergeCell ref="F9200:H9200"/>
    <mergeCell ref="J9200:J9201"/>
    <mergeCell ref="K9200:L9201"/>
    <mergeCell ref="M9200:N9201"/>
    <mergeCell ref="O9200:P9201"/>
    <mergeCell ref="Q9200:R9201"/>
    <mergeCell ref="S9200:T9201"/>
    <mergeCell ref="U9200:V9201"/>
    <mergeCell ref="W9200:W9201"/>
    <mergeCell ref="X9200:AB9200"/>
    <mergeCell ref="AD9200:AI9200"/>
    <mergeCell ref="AJ9200:AL9200"/>
    <mergeCell ref="AN9200:AO9200"/>
    <mergeCell ref="AP9200:AQ9200"/>
    <mergeCell ref="AR9200:AS9201"/>
    <mergeCell ref="AT9200:AU9201"/>
    <mergeCell ref="AV9200:AW9201"/>
    <mergeCell ref="AX9200:AY9201"/>
    <mergeCell ref="AZ9200:AZ9201"/>
    <mergeCell ref="F9201:H9201"/>
    <mergeCell ref="X9201:AB9201"/>
    <mergeCell ref="AE9201:AI9201"/>
    <mergeCell ref="AJ9201:AL9201"/>
    <mergeCell ref="AN9201:AO9201"/>
    <mergeCell ref="AP9201:AQ9201"/>
    <mergeCell ref="A9202:A9203"/>
    <mergeCell ref="E9202:E9203"/>
    <mergeCell ref="F9202:H9202"/>
    <mergeCell ref="J9202:J9203"/>
    <mergeCell ref="K9202:L9203"/>
    <mergeCell ref="M9202:N9203"/>
    <mergeCell ref="O9202:P9203"/>
    <mergeCell ref="Q9202:R9203"/>
    <mergeCell ref="S9202:T9203"/>
    <mergeCell ref="U9202:V9203"/>
    <mergeCell ref="W9202:W9203"/>
    <mergeCell ref="X9202:AB9202"/>
    <mergeCell ref="AD9202:AI9202"/>
    <mergeCell ref="AJ9202:AL9202"/>
    <mergeCell ref="AN9202:AO9202"/>
    <mergeCell ref="AP9202:AQ9202"/>
    <mergeCell ref="AR9202:AS9203"/>
    <mergeCell ref="AT9202:AU9203"/>
    <mergeCell ref="AV9202:AW9203"/>
    <mergeCell ref="AX9202:AY9203"/>
    <mergeCell ref="AZ9202:AZ9203"/>
    <mergeCell ref="F9203:H9203"/>
    <mergeCell ref="X9203:AB9203"/>
    <mergeCell ref="AE9203:AI9203"/>
    <mergeCell ref="AJ9203:AL9203"/>
    <mergeCell ref="AN9203:AO9203"/>
    <mergeCell ref="AP9203:AQ9203"/>
    <mergeCell ref="A9204:A9205"/>
    <mergeCell ref="E9204:E9205"/>
    <mergeCell ref="F9204:H9204"/>
    <mergeCell ref="J9204:J9205"/>
    <mergeCell ref="K9204:L9205"/>
    <mergeCell ref="M9204:N9205"/>
    <mergeCell ref="O9204:P9205"/>
    <mergeCell ref="Q9204:R9205"/>
    <mergeCell ref="S9204:T9205"/>
    <mergeCell ref="U9204:V9205"/>
    <mergeCell ref="W9204:W9205"/>
    <mergeCell ref="X9204:AB9204"/>
    <mergeCell ref="AD9204:AI9204"/>
    <mergeCell ref="AJ9204:AL9204"/>
    <mergeCell ref="AN9204:AO9204"/>
    <mergeCell ref="AP9204:AQ9204"/>
    <mergeCell ref="AR9204:AS9205"/>
    <mergeCell ref="AT9204:AU9205"/>
    <mergeCell ref="AV9204:AW9205"/>
    <mergeCell ref="AX9204:AY9205"/>
    <mergeCell ref="AZ9204:AZ9205"/>
    <mergeCell ref="F9205:H9205"/>
    <mergeCell ref="X9205:AB9205"/>
    <mergeCell ref="AE9205:AI9205"/>
    <mergeCell ref="AJ9205:AL9205"/>
    <mergeCell ref="AN9205:AO9205"/>
    <mergeCell ref="AP9205:AQ9205"/>
    <mergeCell ref="A9206:A9207"/>
    <mergeCell ref="E9206:E9207"/>
    <mergeCell ref="F9206:H9206"/>
    <mergeCell ref="J9206:J9207"/>
    <mergeCell ref="K9206:L9207"/>
    <mergeCell ref="M9206:N9207"/>
    <mergeCell ref="O9206:P9207"/>
    <mergeCell ref="Q9206:R9207"/>
    <mergeCell ref="S9206:T9207"/>
    <mergeCell ref="U9206:V9207"/>
    <mergeCell ref="W9206:W9207"/>
    <mergeCell ref="X9206:AB9206"/>
    <mergeCell ref="AD9206:AI9206"/>
    <mergeCell ref="AJ9206:AL9206"/>
    <mergeCell ref="AN9206:AO9206"/>
    <mergeCell ref="AP9206:AQ9206"/>
    <mergeCell ref="AR9206:AS9207"/>
    <mergeCell ref="AT9206:AU9207"/>
    <mergeCell ref="AV9206:AW9207"/>
    <mergeCell ref="AX9206:AY9207"/>
    <mergeCell ref="AZ9206:AZ9207"/>
    <mergeCell ref="F9207:H9207"/>
    <mergeCell ref="X9207:AB9207"/>
    <mergeCell ref="AE9207:AI9207"/>
    <mergeCell ref="AJ9207:AL9207"/>
    <mergeCell ref="AN9207:AO9207"/>
    <mergeCell ref="AP9207:AQ9207"/>
    <mergeCell ref="A9208:A9209"/>
    <mergeCell ref="E9208:E9209"/>
    <mergeCell ref="F9208:H9208"/>
    <mergeCell ref="J9208:J9209"/>
    <mergeCell ref="K9208:L9209"/>
    <mergeCell ref="M9208:N9209"/>
    <mergeCell ref="O9208:P9209"/>
    <mergeCell ref="Q9208:R9209"/>
    <mergeCell ref="S9208:T9209"/>
    <mergeCell ref="U9208:V9209"/>
    <mergeCell ref="W9208:W9209"/>
    <mergeCell ref="X9208:AB9208"/>
    <mergeCell ref="AD9208:AI9208"/>
    <mergeCell ref="AJ9208:AL9208"/>
    <mergeCell ref="AN9208:AO9208"/>
    <mergeCell ref="AP9208:AQ9208"/>
    <mergeCell ref="AR9208:AS9209"/>
    <mergeCell ref="AT9208:AU9209"/>
    <mergeCell ref="AV9208:AW9209"/>
    <mergeCell ref="AX9208:AY9209"/>
    <mergeCell ref="AZ9208:AZ9209"/>
    <mergeCell ref="F9209:H9209"/>
    <mergeCell ref="X9209:AB9209"/>
    <mergeCell ref="AE9209:AI9209"/>
    <mergeCell ref="AJ9209:AL9209"/>
    <mergeCell ref="AN9209:AO9209"/>
    <mergeCell ref="AP9209:AQ9209"/>
    <mergeCell ref="A9210:A9211"/>
    <mergeCell ref="E9210:E9211"/>
    <mergeCell ref="F9210:H9210"/>
    <mergeCell ref="J9210:J9211"/>
    <mergeCell ref="K9210:L9211"/>
    <mergeCell ref="M9210:N9211"/>
    <mergeCell ref="O9210:P9211"/>
    <mergeCell ref="Q9210:R9211"/>
    <mergeCell ref="S9210:T9211"/>
    <mergeCell ref="U9210:V9211"/>
    <mergeCell ref="W9210:W9211"/>
    <mergeCell ref="X9210:AB9210"/>
    <mergeCell ref="AD9210:AI9210"/>
    <mergeCell ref="AJ9210:AL9210"/>
    <mergeCell ref="AN9210:AO9210"/>
    <mergeCell ref="AP9210:AQ9210"/>
    <mergeCell ref="AR9210:AS9211"/>
    <mergeCell ref="AT9210:AU9211"/>
    <mergeCell ref="AV9210:AW9211"/>
    <mergeCell ref="AX9210:AY9211"/>
    <mergeCell ref="AZ9210:AZ9211"/>
    <mergeCell ref="F9211:H9211"/>
    <mergeCell ref="X9211:AB9211"/>
    <mergeCell ref="AE9211:AI9211"/>
    <mergeCell ref="AJ9211:AL9211"/>
    <mergeCell ref="AN9211:AO9211"/>
    <mergeCell ref="AP9211:AQ9211"/>
    <mergeCell ref="A9212:A9213"/>
    <mergeCell ref="E9212:E9213"/>
    <mergeCell ref="F9212:H9212"/>
    <mergeCell ref="J9212:J9213"/>
    <mergeCell ref="K9212:L9213"/>
    <mergeCell ref="M9212:N9213"/>
    <mergeCell ref="O9212:P9213"/>
    <mergeCell ref="Q9212:R9213"/>
    <mergeCell ref="S9212:T9213"/>
    <mergeCell ref="U9212:V9213"/>
    <mergeCell ref="W9212:W9213"/>
    <mergeCell ref="X9212:AB9212"/>
    <mergeCell ref="AD9212:AI9212"/>
    <mergeCell ref="AJ9212:AL9212"/>
    <mergeCell ref="AN9212:AO9212"/>
    <mergeCell ref="AP9212:AQ9212"/>
    <mergeCell ref="AR9212:AS9213"/>
    <mergeCell ref="AT9212:AU9213"/>
    <mergeCell ref="AV9212:AW9213"/>
    <mergeCell ref="AX9212:AY9213"/>
    <mergeCell ref="AZ9212:AZ9213"/>
    <mergeCell ref="F9213:H9213"/>
    <mergeCell ref="X9213:AB9213"/>
    <mergeCell ref="AE9213:AI9213"/>
    <mergeCell ref="AJ9213:AL9213"/>
    <mergeCell ref="AN9213:AO9213"/>
    <mergeCell ref="AP9213:AQ9213"/>
    <mergeCell ref="A9214:A9215"/>
    <mergeCell ref="E9214:E9215"/>
    <mergeCell ref="F9214:H9214"/>
    <mergeCell ref="J9214:J9215"/>
    <mergeCell ref="K9214:L9215"/>
    <mergeCell ref="M9214:N9215"/>
    <mergeCell ref="O9214:P9215"/>
    <mergeCell ref="Q9214:R9215"/>
    <mergeCell ref="S9214:T9215"/>
    <mergeCell ref="U9214:V9215"/>
    <mergeCell ref="W9214:W9215"/>
    <mergeCell ref="X9214:AB9214"/>
    <mergeCell ref="AD9214:AI9214"/>
    <mergeCell ref="AJ9214:AL9214"/>
    <mergeCell ref="AN9214:AO9214"/>
    <mergeCell ref="AP9214:AQ9214"/>
    <mergeCell ref="AR9214:AS9215"/>
    <mergeCell ref="AT9214:AU9215"/>
    <mergeCell ref="AV9214:AW9215"/>
    <mergeCell ref="AX9214:AY9215"/>
    <mergeCell ref="AZ9214:AZ9215"/>
    <mergeCell ref="F9215:H9215"/>
    <mergeCell ref="X9215:AB9215"/>
    <mergeCell ref="AE9215:AI9215"/>
    <mergeCell ref="AJ9215:AL9215"/>
    <mergeCell ref="AN9215:AO9215"/>
    <mergeCell ref="AP9215:AQ9215"/>
    <mergeCell ref="A9216:A9217"/>
    <mergeCell ref="E9216:E9217"/>
    <mergeCell ref="F9216:H9216"/>
    <mergeCell ref="J9216:J9217"/>
    <mergeCell ref="K9216:L9217"/>
    <mergeCell ref="M9216:N9217"/>
    <mergeCell ref="O9216:P9217"/>
    <mergeCell ref="Q9216:R9217"/>
    <mergeCell ref="S9216:T9217"/>
    <mergeCell ref="U9216:V9217"/>
    <mergeCell ref="W9216:W9217"/>
    <mergeCell ref="X9216:AB9216"/>
    <mergeCell ref="AD9216:AI9216"/>
    <mergeCell ref="AJ9216:AL9216"/>
    <mergeCell ref="AN9216:AO9216"/>
    <mergeCell ref="AP9216:AQ9216"/>
    <mergeCell ref="AR9216:AS9217"/>
    <mergeCell ref="AT9216:AU9217"/>
    <mergeCell ref="AV9216:AW9217"/>
    <mergeCell ref="AX9216:AY9217"/>
    <mergeCell ref="AZ9216:AZ9217"/>
    <mergeCell ref="F9217:H9217"/>
    <mergeCell ref="X9217:AB9217"/>
    <mergeCell ref="AE9217:AI9217"/>
    <mergeCell ref="AJ9217:AL9217"/>
    <mergeCell ref="AN9217:AO9217"/>
    <mergeCell ref="AP9217:AQ9217"/>
    <mergeCell ref="A9218:A9219"/>
    <mergeCell ref="E9218:E9219"/>
    <mergeCell ref="F9218:H9218"/>
    <mergeCell ref="J9218:J9219"/>
    <mergeCell ref="K9218:L9219"/>
    <mergeCell ref="M9218:N9219"/>
    <mergeCell ref="O9218:P9219"/>
    <mergeCell ref="Q9218:R9219"/>
    <mergeCell ref="S9218:T9219"/>
    <mergeCell ref="U9218:V9219"/>
    <mergeCell ref="W9218:W9219"/>
    <mergeCell ref="X9218:AB9218"/>
    <mergeCell ref="AD9218:AI9218"/>
    <mergeCell ref="AJ9218:AL9218"/>
    <mergeCell ref="AN9218:AO9218"/>
    <mergeCell ref="AP9218:AQ9218"/>
    <mergeCell ref="AR9218:AS9219"/>
    <mergeCell ref="AT9218:AU9219"/>
    <mergeCell ref="AV9218:AW9219"/>
    <mergeCell ref="AX9218:AY9219"/>
    <mergeCell ref="AZ9218:AZ9219"/>
    <mergeCell ref="F9219:H9219"/>
    <mergeCell ref="X9219:AB9219"/>
    <mergeCell ref="AE9219:AI9219"/>
    <mergeCell ref="AJ9219:AL9219"/>
    <mergeCell ref="AN9219:AO9219"/>
    <mergeCell ref="AP9219:AQ9219"/>
    <mergeCell ref="A9220:A9221"/>
    <mergeCell ref="E9220:E9221"/>
    <mergeCell ref="F9220:H9220"/>
    <mergeCell ref="J9220:J9221"/>
    <mergeCell ref="K9220:L9221"/>
    <mergeCell ref="M9220:N9221"/>
    <mergeCell ref="O9220:P9221"/>
    <mergeCell ref="Q9220:R9221"/>
    <mergeCell ref="S9220:T9221"/>
    <mergeCell ref="U9220:V9221"/>
    <mergeCell ref="W9220:W9221"/>
    <mergeCell ref="X9220:AB9220"/>
    <mergeCell ref="AD9220:AI9220"/>
    <mergeCell ref="AJ9220:AL9220"/>
    <mergeCell ref="AN9220:AO9220"/>
    <mergeCell ref="AP9220:AQ9220"/>
    <mergeCell ref="AR9220:AS9221"/>
    <mergeCell ref="AT9220:AU9221"/>
    <mergeCell ref="AV9220:AW9221"/>
    <mergeCell ref="AX9220:AY9221"/>
    <mergeCell ref="AZ9220:AZ9221"/>
    <mergeCell ref="F9221:H9221"/>
    <mergeCell ref="X9221:AB9221"/>
    <mergeCell ref="AE9221:AI9221"/>
    <mergeCell ref="AJ9221:AL9221"/>
    <mergeCell ref="AN9221:AO9221"/>
    <mergeCell ref="AP9221:AQ9221"/>
    <mergeCell ref="A9222:A9223"/>
    <mergeCell ref="E9222:E9223"/>
    <mergeCell ref="F9222:H9222"/>
    <mergeCell ref="J9222:J9223"/>
    <mergeCell ref="K9222:L9223"/>
    <mergeCell ref="M9222:N9223"/>
    <mergeCell ref="O9222:P9223"/>
    <mergeCell ref="Q9222:R9223"/>
    <mergeCell ref="S9222:T9223"/>
    <mergeCell ref="U9222:V9223"/>
    <mergeCell ref="W9222:W9223"/>
    <mergeCell ref="X9222:AB9222"/>
    <mergeCell ref="AD9222:AI9222"/>
    <mergeCell ref="AJ9222:AL9222"/>
    <mergeCell ref="AN9222:AO9222"/>
    <mergeCell ref="AP9222:AQ9222"/>
    <mergeCell ref="AR9222:AS9223"/>
    <mergeCell ref="AT9222:AU9223"/>
    <mergeCell ref="AV9222:AW9223"/>
    <mergeCell ref="AX9222:AY9223"/>
    <mergeCell ref="AZ9222:AZ9223"/>
    <mergeCell ref="F9223:H9223"/>
    <mergeCell ref="X9223:AB9223"/>
    <mergeCell ref="AE9223:AI9223"/>
    <mergeCell ref="AJ9223:AL9223"/>
    <mergeCell ref="AN9223:AO9223"/>
    <mergeCell ref="AP9223:AQ9223"/>
    <mergeCell ref="A9224:A9225"/>
    <mergeCell ref="E9224:E9225"/>
    <mergeCell ref="F9224:H9224"/>
    <mergeCell ref="J9224:J9225"/>
    <mergeCell ref="K9224:L9225"/>
    <mergeCell ref="M9224:N9225"/>
    <mergeCell ref="O9224:P9225"/>
    <mergeCell ref="Q9224:R9225"/>
    <mergeCell ref="S9224:T9225"/>
    <mergeCell ref="U9224:V9225"/>
    <mergeCell ref="W9224:W9225"/>
    <mergeCell ref="X9224:AB9224"/>
    <mergeCell ref="AD9224:AI9224"/>
    <mergeCell ref="AJ9224:AL9224"/>
    <mergeCell ref="AN9224:AO9224"/>
    <mergeCell ref="AP9224:AQ9224"/>
    <mergeCell ref="AR9224:AS9225"/>
    <mergeCell ref="AT9224:AU9225"/>
    <mergeCell ref="AV9224:AW9225"/>
    <mergeCell ref="AX9224:AY9225"/>
    <mergeCell ref="AZ9224:AZ9225"/>
    <mergeCell ref="F9225:H9225"/>
    <mergeCell ref="X9225:AB9225"/>
    <mergeCell ref="AE9225:AI9225"/>
    <mergeCell ref="AJ9225:AL9225"/>
    <mergeCell ref="AN9225:AO9225"/>
    <mergeCell ref="AP9225:AQ9225"/>
    <mergeCell ref="A9226:A9227"/>
    <mergeCell ref="E9226:E9227"/>
    <mergeCell ref="F9226:H9226"/>
    <mergeCell ref="J9226:J9227"/>
    <mergeCell ref="K9226:L9227"/>
    <mergeCell ref="M9226:N9227"/>
    <mergeCell ref="O9226:P9227"/>
    <mergeCell ref="Q9226:R9227"/>
    <mergeCell ref="S9226:T9227"/>
    <mergeCell ref="U9226:V9227"/>
    <mergeCell ref="W9226:W9227"/>
    <mergeCell ref="X9226:AB9226"/>
    <mergeCell ref="AD9226:AI9226"/>
    <mergeCell ref="AJ9226:AL9226"/>
    <mergeCell ref="AN9226:AO9226"/>
    <mergeCell ref="AP9226:AQ9226"/>
    <mergeCell ref="AR9226:AS9227"/>
    <mergeCell ref="AT9226:AU9227"/>
    <mergeCell ref="AV9226:AW9227"/>
    <mergeCell ref="AX9226:AY9227"/>
    <mergeCell ref="AZ9226:AZ9227"/>
    <mergeCell ref="F9227:H9227"/>
    <mergeCell ref="X9227:AB9227"/>
    <mergeCell ref="AE9227:AI9227"/>
    <mergeCell ref="AJ9227:AL9227"/>
    <mergeCell ref="AN9227:AO9227"/>
    <mergeCell ref="AP9227:AQ9227"/>
    <mergeCell ref="A9228:A9229"/>
    <mergeCell ref="E9228:E9229"/>
    <mergeCell ref="F9228:H9228"/>
    <mergeCell ref="J9228:J9229"/>
    <mergeCell ref="K9228:L9229"/>
    <mergeCell ref="M9228:N9229"/>
    <mergeCell ref="O9228:P9229"/>
    <mergeCell ref="Q9228:R9229"/>
    <mergeCell ref="S9228:T9229"/>
    <mergeCell ref="U9228:V9229"/>
    <mergeCell ref="W9228:W9229"/>
    <mergeCell ref="X9228:AB9228"/>
    <mergeCell ref="AD9228:AI9228"/>
    <mergeCell ref="AJ9228:AL9228"/>
    <mergeCell ref="AN9228:AO9228"/>
    <mergeCell ref="AP9228:AQ9228"/>
    <mergeCell ref="AR9228:AS9229"/>
    <mergeCell ref="AT9228:AU9229"/>
    <mergeCell ref="AV9228:AW9229"/>
    <mergeCell ref="AX9228:AY9229"/>
    <mergeCell ref="AZ9228:AZ9229"/>
    <mergeCell ref="F9229:H9229"/>
    <mergeCell ref="X9229:AB9229"/>
    <mergeCell ref="AE9229:AI9229"/>
    <mergeCell ref="AJ9229:AL9229"/>
    <mergeCell ref="AN9229:AO9229"/>
    <mergeCell ref="AP9229:AQ9229"/>
    <mergeCell ref="A9230:A9231"/>
    <mergeCell ref="E9230:E9231"/>
    <mergeCell ref="F9230:H9230"/>
    <mergeCell ref="J9230:J9231"/>
    <mergeCell ref="K9230:L9231"/>
    <mergeCell ref="M9230:N9231"/>
    <mergeCell ref="O9230:P9231"/>
    <mergeCell ref="Q9230:R9231"/>
    <mergeCell ref="S9230:T9231"/>
    <mergeCell ref="U9230:V9231"/>
    <mergeCell ref="W9230:W9231"/>
    <mergeCell ref="X9230:AB9230"/>
    <mergeCell ref="AD9230:AI9230"/>
    <mergeCell ref="AJ9230:AL9230"/>
    <mergeCell ref="AN9230:AO9230"/>
    <mergeCell ref="AP9230:AQ9230"/>
    <mergeCell ref="AR9230:AS9231"/>
    <mergeCell ref="AT9230:AU9231"/>
    <mergeCell ref="AV9230:AW9231"/>
    <mergeCell ref="AX9230:AY9231"/>
    <mergeCell ref="AZ9230:AZ9231"/>
    <mergeCell ref="F9231:H9231"/>
    <mergeCell ref="X9231:AB9231"/>
    <mergeCell ref="AE9231:AI9231"/>
    <mergeCell ref="AJ9231:AL9231"/>
    <mergeCell ref="AN9231:AO9231"/>
    <mergeCell ref="AP9231:AQ9231"/>
    <mergeCell ref="A9232:A9233"/>
    <mergeCell ref="E9232:E9233"/>
    <mergeCell ref="F9232:H9232"/>
    <mergeCell ref="J9232:J9233"/>
    <mergeCell ref="K9232:L9233"/>
    <mergeCell ref="M9232:N9233"/>
    <mergeCell ref="O9232:P9233"/>
    <mergeCell ref="Q9232:R9233"/>
    <mergeCell ref="S9232:T9233"/>
    <mergeCell ref="U9232:V9233"/>
    <mergeCell ref="W9232:W9233"/>
    <mergeCell ref="X9232:AB9232"/>
    <mergeCell ref="AD9232:AI9232"/>
    <mergeCell ref="AJ9232:AL9232"/>
    <mergeCell ref="AN9232:AO9232"/>
    <mergeCell ref="AP9232:AQ9232"/>
    <mergeCell ref="AR9232:AS9233"/>
    <mergeCell ref="AT9232:AU9233"/>
    <mergeCell ref="AV9232:AW9233"/>
    <mergeCell ref="AX9232:AY9233"/>
    <mergeCell ref="AZ9232:AZ9233"/>
    <mergeCell ref="F9233:H9233"/>
    <mergeCell ref="X9233:AB9233"/>
    <mergeCell ref="AE9233:AI9233"/>
    <mergeCell ref="AJ9233:AL9233"/>
    <mergeCell ref="AN9233:AO9233"/>
    <mergeCell ref="AP9233:AQ9233"/>
    <mergeCell ref="A9234:A9235"/>
    <mergeCell ref="E9234:E9235"/>
    <mergeCell ref="F9234:H9234"/>
    <mergeCell ref="J9234:J9235"/>
    <mergeCell ref="K9234:L9235"/>
    <mergeCell ref="M9234:N9235"/>
    <mergeCell ref="O9234:P9235"/>
    <mergeCell ref="Q9234:R9235"/>
    <mergeCell ref="S9234:T9235"/>
    <mergeCell ref="U9234:V9235"/>
    <mergeCell ref="W9234:W9235"/>
    <mergeCell ref="X9234:AB9234"/>
    <mergeCell ref="AD9234:AI9234"/>
    <mergeCell ref="AJ9234:AL9234"/>
    <mergeCell ref="AN9234:AO9234"/>
    <mergeCell ref="AP9234:AQ9234"/>
    <mergeCell ref="AR9234:AS9235"/>
    <mergeCell ref="AT9234:AU9235"/>
    <mergeCell ref="AV9234:AW9235"/>
    <mergeCell ref="AX9234:AY9235"/>
    <mergeCell ref="AZ9234:AZ9235"/>
    <mergeCell ref="F9235:H9235"/>
    <mergeCell ref="X9235:AB9235"/>
    <mergeCell ref="AE9235:AI9235"/>
    <mergeCell ref="AJ9235:AL9235"/>
    <mergeCell ref="AN9235:AO9235"/>
    <mergeCell ref="AP9235:AQ9235"/>
    <mergeCell ref="A9236:A9237"/>
    <mergeCell ref="E9236:E9237"/>
    <mergeCell ref="F9236:H9236"/>
    <mergeCell ref="J9236:J9237"/>
    <mergeCell ref="K9236:L9237"/>
    <mergeCell ref="M9236:N9237"/>
    <mergeCell ref="O9236:P9237"/>
    <mergeCell ref="Q9236:R9237"/>
    <mergeCell ref="S9236:T9237"/>
    <mergeCell ref="U9236:V9237"/>
    <mergeCell ref="W9236:W9237"/>
    <mergeCell ref="X9236:AB9236"/>
    <mergeCell ref="AD9236:AI9236"/>
    <mergeCell ref="AJ9236:AL9236"/>
    <mergeCell ref="AN9236:AO9236"/>
    <mergeCell ref="AP9236:AQ9236"/>
    <mergeCell ref="AR9236:AS9237"/>
    <mergeCell ref="AT9236:AU9237"/>
    <mergeCell ref="AV9236:AW9237"/>
    <mergeCell ref="AX9236:AY9237"/>
    <mergeCell ref="AZ9236:AZ9237"/>
    <mergeCell ref="F9237:H9237"/>
    <mergeCell ref="X9237:AB9237"/>
    <mergeCell ref="AE9237:AI9237"/>
    <mergeCell ref="AJ9237:AL9237"/>
    <mergeCell ref="AN9237:AO9237"/>
    <mergeCell ref="AP9237:AQ9237"/>
    <mergeCell ref="A9238:A9239"/>
    <mergeCell ref="E9238:E9239"/>
    <mergeCell ref="F9238:H9238"/>
    <mergeCell ref="J9238:J9239"/>
    <mergeCell ref="K9238:L9239"/>
    <mergeCell ref="M9238:N9239"/>
    <mergeCell ref="O9238:P9239"/>
    <mergeCell ref="Q9238:R9239"/>
    <mergeCell ref="S9238:T9239"/>
    <mergeCell ref="U9238:V9239"/>
    <mergeCell ref="W9238:W9239"/>
    <mergeCell ref="X9238:AB9238"/>
    <mergeCell ref="AD9238:AI9238"/>
    <mergeCell ref="AJ9238:AL9238"/>
    <mergeCell ref="AN9238:AO9238"/>
    <mergeCell ref="AP9238:AQ9238"/>
    <mergeCell ref="AR9238:AS9239"/>
    <mergeCell ref="AT9238:AU9239"/>
    <mergeCell ref="AV9238:AW9239"/>
    <mergeCell ref="AX9238:AY9239"/>
    <mergeCell ref="AZ9238:AZ9239"/>
    <mergeCell ref="F9239:H9239"/>
    <mergeCell ref="X9239:AB9239"/>
    <mergeCell ref="AE9239:AI9239"/>
    <mergeCell ref="AJ9239:AL9239"/>
    <mergeCell ref="AN9239:AO9239"/>
    <mergeCell ref="AP9239:AQ9239"/>
    <mergeCell ref="A9240:A9241"/>
    <mergeCell ref="E9240:E9241"/>
    <mergeCell ref="F9240:H9240"/>
    <mergeCell ref="J9240:J9241"/>
    <mergeCell ref="K9240:L9241"/>
    <mergeCell ref="M9240:N9241"/>
    <mergeCell ref="O9240:P9241"/>
    <mergeCell ref="Q9240:R9241"/>
    <mergeCell ref="S9240:T9241"/>
    <mergeCell ref="U9240:V9241"/>
    <mergeCell ref="W9240:W9241"/>
    <mergeCell ref="X9240:AB9240"/>
    <mergeCell ref="AD9240:AI9240"/>
    <mergeCell ref="AJ9240:AL9240"/>
    <mergeCell ref="AN9240:AO9240"/>
    <mergeCell ref="AP9240:AQ9240"/>
    <mergeCell ref="AR9240:AS9241"/>
    <mergeCell ref="AT9240:AU9241"/>
    <mergeCell ref="AV9240:AW9241"/>
    <mergeCell ref="AX9240:AY9241"/>
    <mergeCell ref="AZ9240:AZ9241"/>
    <mergeCell ref="F9241:H9241"/>
    <mergeCell ref="X9241:AB9241"/>
    <mergeCell ref="AE9241:AI9241"/>
    <mergeCell ref="AJ9241:AL9241"/>
    <mergeCell ref="AN9241:AO9241"/>
    <mergeCell ref="AP9241:AQ9241"/>
    <mergeCell ref="A9242:A9243"/>
    <mergeCell ref="E9242:E9243"/>
    <mergeCell ref="F9242:H9242"/>
    <mergeCell ref="J9242:J9243"/>
    <mergeCell ref="K9242:L9243"/>
    <mergeCell ref="M9242:N9243"/>
    <mergeCell ref="O9242:P9243"/>
    <mergeCell ref="Q9242:R9243"/>
    <mergeCell ref="S9242:T9243"/>
    <mergeCell ref="U9242:V9243"/>
    <mergeCell ref="W9242:W9243"/>
    <mergeCell ref="X9242:AB9242"/>
    <mergeCell ref="AD9242:AI9242"/>
    <mergeCell ref="AJ9242:AL9242"/>
    <mergeCell ref="AN9242:AO9242"/>
    <mergeCell ref="AP9242:AQ9242"/>
    <mergeCell ref="AR9242:AS9243"/>
    <mergeCell ref="AT9242:AU9243"/>
    <mergeCell ref="AV9242:AW9243"/>
    <mergeCell ref="AX9242:AY9243"/>
    <mergeCell ref="AZ9242:AZ9243"/>
    <mergeCell ref="F9243:H9243"/>
    <mergeCell ref="X9243:AB9243"/>
    <mergeCell ref="AE9243:AI9243"/>
    <mergeCell ref="AJ9243:AL9243"/>
    <mergeCell ref="AN9243:AO9243"/>
    <mergeCell ref="AP9243:AQ9243"/>
    <mergeCell ref="A9244:A9245"/>
    <mergeCell ref="E9244:E9245"/>
    <mergeCell ref="F9244:H9244"/>
    <mergeCell ref="J9244:J9245"/>
    <mergeCell ref="K9244:L9245"/>
    <mergeCell ref="M9244:N9245"/>
    <mergeCell ref="O9244:P9245"/>
    <mergeCell ref="Q9244:R9245"/>
    <mergeCell ref="S9244:T9245"/>
    <mergeCell ref="U9244:V9245"/>
    <mergeCell ref="W9244:W9245"/>
    <mergeCell ref="X9244:AB9244"/>
    <mergeCell ref="AD9244:AI9244"/>
    <mergeCell ref="AJ9244:AL9244"/>
    <mergeCell ref="AN9244:AO9244"/>
    <mergeCell ref="AP9244:AQ9244"/>
    <mergeCell ref="AR9244:AS9245"/>
    <mergeCell ref="AT9244:AU9245"/>
    <mergeCell ref="AV9244:AW9245"/>
    <mergeCell ref="AX9244:AY9245"/>
    <mergeCell ref="AZ9244:AZ9245"/>
    <mergeCell ref="F9245:H9245"/>
    <mergeCell ref="X9245:AB9245"/>
    <mergeCell ref="AE9245:AI9245"/>
    <mergeCell ref="AJ9245:AL9245"/>
    <mergeCell ref="AN9245:AO9245"/>
    <mergeCell ref="AP9245:AQ9245"/>
    <mergeCell ref="A9246:A9247"/>
    <mergeCell ref="E9246:E9247"/>
    <mergeCell ref="F9246:H9246"/>
    <mergeCell ref="J9246:J9247"/>
    <mergeCell ref="K9246:L9247"/>
    <mergeCell ref="M9246:N9247"/>
    <mergeCell ref="O9246:P9247"/>
    <mergeCell ref="Q9246:R9247"/>
    <mergeCell ref="S9246:T9247"/>
    <mergeCell ref="U9246:V9247"/>
    <mergeCell ref="W9246:W9247"/>
    <mergeCell ref="X9246:AB9246"/>
    <mergeCell ref="AD9246:AI9246"/>
    <mergeCell ref="AJ9246:AL9246"/>
    <mergeCell ref="AN9246:AO9246"/>
    <mergeCell ref="AP9246:AQ9246"/>
    <mergeCell ref="AR9246:AS9247"/>
    <mergeCell ref="AT9246:AU9247"/>
    <mergeCell ref="AV9246:AW9247"/>
    <mergeCell ref="AX9246:AY9247"/>
    <mergeCell ref="AZ9246:AZ9247"/>
    <mergeCell ref="F9247:H9247"/>
    <mergeCell ref="X9247:AB9247"/>
    <mergeCell ref="AE9247:AI9247"/>
    <mergeCell ref="AJ9247:AL9247"/>
    <mergeCell ref="AN9247:AO9247"/>
    <mergeCell ref="AP9247:AQ9247"/>
    <mergeCell ref="A9248:A9249"/>
    <mergeCell ref="E9248:E9249"/>
    <mergeCell ref="F9248:H9248"/>
    <mergeCell ref="J9248:J9249"/>
    <mergeCell ref="K9248:L9249"/>
    <mergeCell ref="M9248:N9249"/>
    <mergeCell ref="O9248:P9249"/>
    <mergeCell ref="Q9248:R9249"/>
    <mergeCell ref="S9248:T9249"/>
    <mergeCell ref="U9248:V9249"/>
    <mergeCell ref="W9248:W9249"/>
    <mergeCell ref="X9248:AB9248"/>
    <mergeCell ref="AD9248:AI9248"/>
    <mergeCell ref="AJ9248:AL9248"/>
    <mergeCell ref="AN9248:AO9248"/>
    <mergeCell ref="AP9248:AQ9248"/>
    <mergeCell ref="AR9248:AS9249"/>
    <mergeCell ref="AT9248:AU9249"/>
    <mergeCell ref="AV9248:AW9249"/>
    <mergeCell ref="AX9248:AY9249"/>
    <mergeCell ref="AZ9248:AZ9249"/>
    <mergeCell ref="F9249:H9249"/>
    <mergeCell ref="X9249:AB9249"/>
    <mergeCell ref="AE9249:AI9249"/>
    <mergeCell ref="AJ9249:AL9249"/>
    <mergeCell ref="AN9249:AO9249"/>
    <mergeCell ref="AP9249:AQ9249"/>
    <mergeCell ref="A9250:A9251"/>
    <mergeCell ref="E9250:E9251"/>
    <mergeCell ref="F9250:H9250"/>
    <mergeCell ref="J9250:J9251"/>
    <mergeCell ref="K9250:L9251"/>
    <mergeCell ref="M9250:N9251"/>
    <mergeCell ref="O9250:P9251"/>
    <mergeCell ref="Q9250:R9251"/>
    <mergeCell ref="S9250:T9251"/>
    <mergeCell ref="U9250:V9251"/>
    <mergeCell ref="W9250:W9251"/>
    <mergeCell ref="X9250:AB9250"/>
    <mergeCell ref="AD9250:AI9250"/>
    <mergeCell ref="AJ9250:AL9250"/>
    <mergeCell ref="AN9250:AO9250"/>
    <mergeCell ref="AP9250:AQ9250"/>
    <mergeCell ref="AR9250:AS9251"/>
    <mergeCell ref="AT9250:AU9251"/>
    <mergeCell ref="AV9250:AW9251"/>
    <mergeCell ref="AX9250:AY9251"/>
    <mergeCell ref="AZ9250:AZ9251"/>
    <mergeCell ref="F9251:H9251"/>
    <mergeCell ref="X9251:AB9251"/>
    <mergeCell ref="AE9251:AI9251"/>
    <mergeCell ref="AJ9251:AL9251"/>
    <mergeCell ref="AN9251:AO9251"/>
    <mergeCell ref="AP9251:AQ9251"/>
    <mergeCell ref="A9252:A9253"/>
    <mergeCell ref="E9252:E9253"/>
    <mergeCell ref="F9252:H9252"/>
    <mergeCell ref="J9252:J9253"/>
    <mergeCell ref="K9252:L9253"/>
    <mergeCell ref="M9252:N9253"/>
    <mergeCell ref="O9252:P9253"/>
    <mergeCell ref="Q9252:R9253"/>
    <mergeCell ref="S9252:T9253"/>
    <mergeCell ref="U9252:V9253"/>
    <mergeCell ref="W9252:W9253"/>
    <mergeCell ref="X9252:AB9252"/>
    <mergeCell ref="AD9252:AI9252"/>
    <mergeCell ref="AJ9252:AL9252"/>
    <mergeCell ref="AN9252:AO9252"/>
    <mergeCell ref="AP9252:AQ9252"/>
    <mergeCell ref="AR9252:AS9253"/>
    <mergeCell ref="AT9252:AU9253"/>
    <mergeCell ref="AV9252:AW9253"/>
    <mergeCell ref="AX9252:AY9253"/>
    <mergeCell ref="AZ9252:AZ9253"/>
    <mergeCell ref="F9253:H9253"/>
    <mergeCell ref="X9253:AB9253"/>
    <mergeCell ref="AE9253:AI9253"/>
    <mergeCell ref="AJ9253:AL9253"/>
    <mergeCell ref="AN9253:AO9253"/>
    <mergeCell ref="AP9253:AQ9253"/>
    <mergeCell ref="A9254:A9255"/>
    <mergeCell ref="E9254:E9255"/>
    <mergeCell ref="F9254:H9254"/>
    <mergeCell ref="J9254:J9255"/>
    <mergeCell ref="K9254:L9255"/>
    <mergeCell ref="M9254:N9255"/>
    <mergeCell ref="O9254:P9255"/>
    <mergeCell ref="Q9254:R9255"/>
    <mergeCell ref="S9254:T9255"/>
    <mergeCell ref="U9254:V9255"/>
    <mergeCell ref="W9254:W9255"/>
    <mergeCell ref="X9254:AB9254"/>
    <mergeCell ref="AD9254:AI9254"/>
    <mergeCell ref="AJ9254:AL9254"/>
    <mergeCell ref="AN9254:AO9254"/>
    <mergeCell ref="AP9254:AQ9254"/>
    <mergeCell ref="AR9254:AS9255"/>
    <mergeCell ref="AT9254:AU9255"/>
    <mergeCell ref="AV9254:AW9255"/>
    <mergeCell ref="AX9254:AY9255"/>
    <mergeCell ref="AZ9254:AZ9255"/>
    <mergeCell ref="F9255:H9255"/>
    <mergeCell ref="X9255:AB9255"/>
    <mergeCell ref="AE9255:AI9255"/>
    <mergeCell ref="AJ9255:AL9255"/>
    <mergeCell ref="AN9255:AO9255"/>
    <mergeCell ref="AP9255:AQ9255"/>
    <mergeCell ref="A9256:A9257"/>
    <mergeCell ref="E9256:E9257"/>
    <mergeCell ref="F9256:H9256"/>
    <mergeCell ref="J9256:J9257"/>
    <mergeCell ref="K9256:L9257"/>
    <mergeCell ref="M9256:N9257"/>
    <mergeCell ref="O9256:P9257"/>
    <mergeCell ref="Q9256:R9257"/>
    <mergeCell ref="S9256:T9257"/>
    <mergeCell ref="U9256:V9257"/>
    <mergeCell ref="W9256:W9257"/>
    <mergeCell ref="X9256:AB9256"/>
    <mergeCell ref="AD9256:AI9256"/>
    <mergeCell ref="AJ9256:AL9256"/>
    <mergeCell ref="AN9256:AO9256"/>
    <mergeCell ref="AP9256:AQ9256"/>
    <mergeCell ref="AR9256:AS9257"/>
    <mergeCell ref="AT9256:AU9257"/>
    <mergeCell ref="AV9256:AW9257"/>
    <mergeCell ref="AX9256:AY9257"/>
    <mergeCell ref="AZ9256:AZ9257"/>
    <mergeCell ref="F9257:H9257"/>
    <mergeCell ref="X9257:AB9257"/>
    <mergeCell ref="AE9257:AI9257"/>
    <mergeCell ref="AJ9257:AL9257"/>
    <mergeCell ref="AN9257:AO9257"/>
    <mergeCell ref="AP9257:AQ9257"/>
    <mergeCell ref="A9258:A9259"/>
    <mergeCell ref="E9258:E9259"/>
    <mergeCell ref="F9258:H9258"/>
    <mergeCell ref="J9258:J9259"/>
    <mergeCell ref="K9258:L9259"/>
    <mergeCell ref="M9258:N9259"/>
    <mergeCell ref="O9258:P9259"/>
    <mergeCell ref="Q9258:R9259"/>
    <mergeCell ref="S9258:T9259"/>
    <mergeCell ref="U9258:V9259"/>
    <mergeCell ref="W9258:W9259"/>
    <mergeCell ref="X9258:AB9258"/>
    <mergeCell ref="AD9258:AI9258"/>
    <mergeCell ref="AJ9258:AL9258"/>
    <mergeCell ref="AN9258:AO9258"/>
    <mergeCell ref="AP9258:AQ9258"/>
    <mergeCell ref="AR9258:AS9259"/>
    <mergeCell ref="AT9258:AU9259"/>
    <mergeCell ref="AV9258:AW9259"/>
    <mergeCell ref="AX9258:AY9259"/>
    <mergeCell ref="AZ9258:AZ9259"/>
    <mergeCell ref="F9259:H9259"/>
    <mergeCell ref="X9259:AB9259"/>
    <mergeCell ref="AE9259:AI9259"/>
    <mergeCell ref="AJ9259:AL9259"/>
    <mergeCell ref="AN9259:AO9259"/>
    <mergeCell ref="AP9259:AQ9259"/>
    <mergeCell ref="A9260:A9261"/>
    <mergeCell ref="E9260:E9261"/>
    <mergeCell ref="F9260:H9260"/>
    <mergeCell ref="J9260:J9261"/>
    <mergeCell ref="K9260:L9261"/>
    <mergeCell ref="M9260:N9261"/>
    <mergeCell ref="O9260:P9261"/>
    <mergeCell ref="Q9260:R9261"/>
    <mergeCell ref="S9260:T9261"/>
    <mergeCell ref="U9260:V9261"/>
    <mergeCell ref="W9260:W9261"/>
    <mergeCell ref="X9260:AB9260"/>
    <mergeCell ref="AD9260:AI9260"/>
    <mergeCell ref="AJ9260:AL9260"/>
    <mergeCell ref="AN9260:AO9260"/>
    <mergeCell ref="AP9260:AQ9260"/>
    <mergeCell ref="AR9260:AS9261"/>
    <mergeCell ref="AT9260:AU9261"/>
    <mergeCell ref="AV9260:AW9261"/>
    <mergeCell ref="AX9260:AY9261"/>
    <mergeCell ref="AZ9260:AZ9261"/>
    <mergeCell ref="F9261:H9261"/>
    <mergeCell ref="X9261:AB9261"/>
    <mergeCell ref="AE9261:AI9261"/>
    <mergeCell ref="AJ9261:AL9261"/>
    <mergeCell ref="AN9261:AO9261"/>
    <mergeCell ref="AP9261:AQ9261"/>
    <mergeCell ref="A9262:A9263"/>
    <mergeCell ref="E9262:E9263"/>
    <mergeCell ref="F9262:H9262"/>
    <mergeCell ref="J9262:J9263"/>
    <mergeCell ref="K9262:L9263"/>
    <mergeCell ref="M9262:N9263"/>
    <mergeCell ref="O9262:P9263"/>
    <mergeCell ref="Q9262:R9263"/>
    <mergeCell ref="S9262:T9263"/>
    <mergeCell ref="U9262:V9263"/>
    <mergeCell ref="W9262:W9263"/>
    <mergeCell ref="X9262:AB9262"/>
    <mergeCell ref="AD9262:AI9262"/>
    <mergeCell ref="AJ9262:AL9262"/>
    <mergeCell ref="AN9262:AO9262"/>
    <mergeCell ref="AP9262:AQ9262"/>
    <mergeCell ref="AR9262:AS9263"/>
    <mergeCell ref="AT9262:AU9263"/>
    <mergeCell ref="AV9262:AW9263"/>
    <mergeCell ref="AX9262:AY9263"/>
    <mergeCell ref="AZ9262:AZ9263"/>
    <mergeCell ref="F9263:H9263"/>
    <mergeCell ref="X9263:AB9263"/>
    <mergeCell ref="AE9263:AI9263"/>
    <mergeCell ref="AJ9263:AL9263"/>
    <mergeCell ref="AN9263:AO9263"/>
    <mergeCell ref="AP9263:AQ9263"/>
    <mergeCell ref="A9264:A9265"/>
    <mergeCell ref="E9264:E9265"/>
    <mergeCell ref="F9264:H9264"/>
    <mergeCell ref="J9264:J9265"/>
    <mergeCell ref="K9264:L9265"/>
    <mergeCell ref="M9264:N9265"/>
    <mergeCell ref="O9264:P9265"/>
    <mergeCell ref="Q9264:R9265"/>
    <mergeCell ref="S9264:T9265"/>
    <mergeCell ref="U9264:V9265"/>
    <mergeCell ref="W9264:W9265"/>
    <mergeCell ref="X9264:AB9264"/>
    <mergeCell ref="AD9264:AI9264"/>
    <mergeCell ref="AJ9264:AL9264"/>
    <mergeCell ref="AN9264:AO9264"/>
    <mergeCell ref="AP9264:AQ9264"/>
    <mergeCell ref="AR9264:AS9265"/>
    <mergeCell ref="AT9264:AU9265"/>
    <mergeCell ref="AV9264:AW9265"/>
    <mergeCell ref="AX9264:AY9265"/>
    <mergeCell ref="AZ9264:AZ9265"/>
    <mergeCell ref="F9265:H9265"/>
    <mergeCell ref="X9265:AB9265"/>
    <mergeCell ref="AE9265:AI9265"/>
    <mergeCell ref="AJ9265:AL9265"/>
    <mergeCell ref="AN9265:AO9265"/>
    <mergeCell ref="AP9265:AQ9265"/>
    <mergeCell ref="A9266:A9267"/>
    <mergeCell ref="E9266:E9267"/>
    <mergeCell ref="F9266:H9266"/>
    <mergeCell ref="J9266:J9267"/>
    <mergeCell ref="K9266:L9267"/>
    <mergeCell ref="M9266:N9267"/>
    <mergeCell ref="O9266:P9267"/>
    <mergeCell ref="Q9266:R9267"/>
    <mergeCell ref="S9266:T9267"/>
    <mergeCell ref="U9266:V9267"/>
    <mergeCell ref="W9266:W9267"/>
    <mergeCell ref="X9266:AB9266"/>
    <mergeCell ref="AD9266:AI9266"/>
    <mergeCell ref="AJ9266:AL9266"/>
    <mergeCell ref="AN9266:AO9266"/>
    <mergeCell ref="AP9266:AQ9266"/>
    <mergeCell ref="AR9266:AS9267"/>
    <mergeCell ref="AT9266:AU9267"/>
    <mergeCell ref="AV9266:AW9267"/>
    <mergeCell ref="AX9266:AY9267"/>
    <mergeCell ref="AZ9266:AZ9267"/>
    <mergeCell ref="F9267:H9267"/>
    <mergeCell ref="X9267:AB9267"/>
    <mergeCell ref="AE9267:AI9267"/>
    <mergeCell ref="AJ9267:AL9267"/>
    <mergeCell ref="AN9267:AO9267"/>
    <mergeCell ref="AP9267:AQ9267"/>
    <mergeCell ref="A9268:A9269"/>
    <mergeCell ref="E9268:E9269"/>
    <mergeCell ref="F9268:H9268"/>
    <mergeCell ref="J9268:J9269"/>
    <mergeCell ref="K9268:L9269"/>
    <mergeCell ref="M9268:N9269"/>
    <mergeCell ref="O9268:P9269"/>
    <mergeCell ref="Q9268:R9269"/>
    <mergeCell ref="S9268:T9269"/>
    <mergeCell ref="U9268:V9269"/>
    <mergeCell ref="W9268:W9269"/>
    <mergeCell ref="X9268:AB9268"/>
    <mergeCell ref="AD9268:AI9268"/>
    <mergeCell ref="AJ9268:AL9268"/>
    <mergeCell ref="AN9268:AO9268"/>
    <mergeCell ref="AP9268:AQ9268"/>
    <mergeCell ref="AR9268:AS9269"/>
    <mergeCell ref="AT9268:AU9269"/>
    <mergeCell ref="AV9268:AW9269"/>
    <mergeCell ref="AX9268:AY9269"/>
    <mergeCell ref="AZ9268:AZ9269"/>
    <mergeCell ref="F9269:H9269"/>
    <mergeCell ref="X9269:AB9269"/>
    <mergeCell ref="AE9269:AI9269"/>
    <mergeCell ref="AJ9269:AL9269"/>
    <mergeCell ref="AN9269:AO9269"/>
    <mergeCell ref="AP9269:AQ9269"/>
    <mergeCell ref="A9270:A9271"/>
    <mergeCell ref="E9270:E9271"/>
    <mergeCell ref="F9270:H9270"/>
    <mergeCell ref="J9270:J9271"/>
    <mergeCell ref="K9270:L9271"/>
    <mergeCell ref="M9270:N9271"/>
    <mergeCell ref="O9270:P9271"/>
    <mergeCell ref="Q9270:R9271"/>
    <mergeCell ref="S9270:T9271"/>
    <mergeCell ref="U9270:V9271"/>
    <mergeCell ref="W9270:W9271"/>
    <mergeCell ref="X9270:AB9270"/>
    <mergeCell ref="AD9270:AI9270"/>
    <mergeCell ref="AJ9270:AL9270"/>
    <mergeCell ref="AN9270:AO9270"/>
    <mergeCell ref="AP9270:AQ9270"/>
    <mergeCell ref="AR9270:AS9271"/>
    <mergeCell ref="AT9270:AU9271"/>
    <mergeCell ref="AV9270:AW9271"/>
    <mergeCell ref="AX9270:AY9271"/>
    <mergeCell ref="AZ9270:AZ9271"/>
    <mergeCell ref="F9271:H9271"/>
    <mergeCell ref="X9271:AB9271"/>
    <mergeCell ref="AE9271:AI9271"/>
    <mergeCell ref="AJ9271:AL9271"/>
    <mergeCell ref="AN9271:AO9271"/>
    <mergeCell ref="AP9271:AQ9271"/>
  </mergeCells>
  <phoneticPr fontId="13"/>
  <conditionalFormatting sqref="A2:A9271">
    <cfRule type="expression" dxfId="1" priority="7">
      <formula>AR2&lt;&gt;""</formula>
    </cfRule>
  </conditionalFormatting>
  <pageMargins left="0.70866141732283472" right="0.70866141732283472" top="0.74803149606299213" bottom="0.74803149606299213" header="0.31496062992125984" footer="0.31496062992125984"/>
  <pageSetup paperSize="9" scale="70" fitToWidth="0" orientation="landscape" horizontalDpi="360" verticalDpi="360" r:id="rId1"/>
  <ignoredErrors>
    <ignoredError sqref="AX4674 AX5050 AX5062 AX5686 AX6572 AX7512 AX7954 AX7914 AX6638 AX8104" formulaRange="1"/>
    <ignoredError sqref="M8292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18"/>
  <sheetViews>
    <sheetView showGridLines="0" workbookViewId="0">
      <pane xSplit="9" ySplit="1" topLeftCell="AA2" activePane="bottomRight" state="frozen"/>
      <selection pane="topRight" activeCell="J1" sqref="J1"/>
      <selection pane="bottomLeft" activeCell="A2" sqref="A2"/>
      <selection pane="bottomRight" activeCell="AF26" sqref="AF26"/>
    </sheetView>
  </sheetViews>
  <sheetFormatPr defaultColWidth="9" defaultRowHeight="17.100000000000001" customHeight="1"/>
  <cols>
    <col min="1" max="1" width="10.6640625" customWidth="1"/>
    <col min="2" max="2" width="16.6640625" style="2" customWidth="1"/>
    <col min="3" max="4" width="12.6640625" style="2" customWidth="1"/>
    <col min="5" max="5" width="2.6640625" style="3" customWidth="1"/>
    <col min="6" max="8" width="11.6640625" style="4" customWidth="1"/>
    <col min="9" max="9" width="8.6640625" style="2" customWidth="1"/>
    <col min="10" max="10" width="5.6640625" style="5" customWidth="1"/>
    <col min="11" max="22" width="8.6640625" customWidth="1"/>
    <col min="23" max="23" width="16.6640625" style="23" customWidth="1"/>
    <col min="24" max="28" width="7.6640625" customWidth="1"/>
    <col min="29" max="29" width="7.6640625" style="6" customWidth="1"/>
    <col min="30" max="30" width="6.6640625" style="7" customWidth="1"/>
    <col min="31" max="35" width="10.6640625" style="2" customWidth="1"/>
    <col min="36" max="38" width="10.6640625" customWidth="1"/>
    <col min="39" max="39" width="16.6640625" customWidth="1"/>
    <col min="40" max="43" width="8.6640625" style="2" customWidth="1"/>
    <col min="44" max="51" width="8.6640625" style="8" customWidth="1"/>
    <col min="52" max="52" width="10.77734375" style="9" customWidth="1"/>
  </cols>
  <sheetData>
    <row r="1" spans="1:52" s="1" customFormat="1" ht="17.100000000000001" customHeight="1" thickBot="1">
      <c r="A1" s="10" t="s">
        <v>0</v>
      </c>
      <c r="B1" s="11" t="s">
        <v>1</v>
      </c>
      <c r="C1" s="12" t="s">
        <v>2</v>
      </c>
      <c r="D1" s="11" t="s">
        <v>3</v>
      </c>
      <c r="E1" s="349" t="s">
        <v>4</v>
      </c>
      <c r="F1" s="351"/>
      <c r="G1" s="351"/>
      <c r="H1" s="350"/>
      <c r="I1" s="10" t="s">
        <v>5</v>
      </c>
      <c r="J1" s="11" t="s">
        <v>6</v>
      </c>
      <c r="K1" s="349" t="s">
        <v>7</v>
      </c>
      <c r="L1" s="350"/>
      <c r="M1" s="349" t="s">
        <v>8</v>
      </c>
      <c r="N1" s="350"/>
      <c r="O1" s="349" t="s">
        <v>9</v>
      </c>
      <c r="P1" s="350"/>
      <c r="Q1" s="349" t="s">
        <v>10</v>
      </c>
      <c r="R1" s="350"/>
      <c r="S1" s="349" t="s">
        <v>11</v>
      </c>
      <c r="T1" s="350"/>
      <c r="U1" s="349" t="s">
        <v>12</v>
      </c>
      <c r="V1" s="350"/>
      <c r="W1" s="19" t="s">
        <v>13</v>
      </c>
      <c r="X1" s="349" t="s">
        <v>14</v>
      </c>
      <c r="Y1" s="351"/>
      <c r="Z1" s="351"/>
      <c r="AA1" s="351"/>
      <c r="AB1" s="350"/>
      <c r="AC1" s="349" t="s">
        <v>15</v>
      </c>
      <c r="AD1" s="351"/>
      <c r="AE1" s="351"/>
      <c r="AF1" s="351"/>
      <c r="AG1" s="351"/>
      <c r="AH1" s="351"/>
      <c r="AI1" s="350"/>
      <c r="AJ1" s="349" t="s">
        <v>16</v>
      </c>
      <c r="AK1" s="351"/>
      <c r="AL1" s="351"/>
      <c r="AM1" s="20" t="s">
        <v>17</v>
      </c>
      <c r="AN1" s="352" t="s">
        <v>18</v>
      </c>
      <c r="AO1" s="350"/>
      <c r="AP1" s="349" t="s">
        <v>2</v>
      </c>
      <c r="AQ1" s="350"/>
      <c r="AR1" s="349" t="s">
        <v>7</v>
      </c>
      <c r="AS1" s="350"/>
      <c r="AT1" s="349" t="s">
        <v>8</v>
      </c>
      <c r="AU1" s="350"/>
      <c r="AV1" s="349" t="s">
        <v>10</v>
      </c>
      <c r="AW1" s="350"/>
      <c r="AX1" s="349" t="s">
        <v>12</v>
      </c>
      <c r="AY1" s="350"/>
      <c r="AZ1" s="11" t="s">
        <v>19</v>
      </c>
    </row>
    <row r="2" spans="1:52" ht="16.5" customHeight="1" thickTop="1">
      <c r="A2" s="377" t="s">
        <v>5607</v>
      </c>
      <c r="B2" s="28">
        <v>43192</v>
      </c>
      <c r="C2" s="29" t="s">
        <v>5558</v>
      </c>
      <c r="D2" s="13" t="s">
        <v>263</v>
      </c>
      <c r="E2" s="111" t="s">
        <v>5559</v>
      </c>
      <c r="F2" s="283" t="s">
        <v>699</v>
      </c>
      <c r="G2" s="273"/>
      <c r="H2" s="274"/>
      <c r="I2" s="86" t="s">
        <v>5560</v>
      </c>
      <c r="J2" s="116">
        <v>4</v>
      </c>
      <c r="K2" s="118">
        <v>965000</v>
      </c>
      <c r="L2" s="210"/>
      <c r="M2" s="118">
        <v>77200</v>
      </c>
      <c r="N2" s="210"/>
      <c r="O2" s="118">
        <v>0</v>
      </c>
      <c r="P2" s="210"/>
      <c r="Q2" s="118">
        <v>8460</v>
      </c>
      <c r="R2" s="210"/>
      <c r="S2" s="118">
        <v>8640</v>
      </c>
      <c r="T2" s="210"/>
      <c r="U2" s="118">
        <f>SUM(K2:T2)</f>
        <v>1059300</v>
      </c>
      <c r="V2" s="210"/>
      <c r="W2" s="124"/>
      <c r="X2" s="215" t="s">
        <v>5561</v>
      </c>
      <c r="Y2" s="215"/>
      <c r="Z2" s="215"/>
      <c r="AA2" s="215"/>
      <c r="AB2" s="215"/>
      <c r="AC2" s="15" t="s">
        <v>20</v>
      </c>
      <c r="AD2" s="129" t="s">
        <v>1153</v>
      </c>
      <c r="AE2" s="130"/>
      <c r="AF2" s="130"/>
      <c r="AG2" s="130"/>
      <c r="AH2" s="130"/>
      <c r="AI2" s="131"/>
      <c r="AJ2" s="128" t="s">
        <v>5562</v>
      </c>
      <c r="AK2" s="297"/>
      <c r="AL2" s="132"/>
      <c r="AM2" s="21" t="s">
        <v>5563</v>
      </c>
      <c r="AN2" s="289"/>
      <c r="AO2" s="290"/>
      <c r="AP2" s="135"/>
      <c r="AQ2" s="136"/>
      <c r="AR2" s="118"/>
      <c r="AS2" s="210"/>
      <c r="AT2" s="180">
        <f t="shared" ref="AT2" si="0">AR2*0.1</f>
        <v>0</v>
      </c>
      <c r="AU2" s="181"/>
      <c r="AV2" s="118"/>
      <c r="AW2" s="210"/>
      <c r="AX2" s="118">
        <f>SUM(AR2:AW2)</f>
        <v>0</v>
      </c>
      <c r="AY2" s="119"/>
      <c r="AZ2" s="220"/>
    </row>
    <row r="3" spans="1:52" ht="17.100000000000001" customHeight="1" thickBot="1">
      <c r="A3" s="378"/>
      <c r="B3" s="27" t="s">
        <v>660</v>
      </c>
      <c r="C3" s="27">
        <v>11006</v>
      </c>
      <c r="D3" s="14" t="s">
        <v>304</v>
      </c>
      <c r="E3" s="112"/>
      <c r="F3" s="139" t="s">
        <v>5564</v>
      </c>
      <c r="G3" s="140"/>
      <c r="H3" s="141"/>
      <c r="I3" s="87">
        <v>15855</v>
      </c>
      <c r="J3" s="117"/>
      <c r="K3" s="120"/>
      <c r="L3" s="182"/>
      <c r="M3" s="120"/>
      <c r="N3" s="182"/>
      <c r="O3" s="120"/>
      <c r="P3" s="182"/>
      <c r="Q3" s="120"/>
      <c r="R3" s="182"/>
      <c r="S3" s="120"/>
      <c r="T3" s="182"/>
      <c r="U3" s="120"/>
      <c r="V3" s="182"/>
      <c r="W3" s="125"/>
      <c r="X3" s="287" t="s">
        <v>5565</v>
      </c>
      <c r="Y3" s="287"/>
      <c r="Z3" s="287"/>
      <c r="AA3" s="287"/>
      <c r="AB3" s="287"/>
      <c r="AC3" s="16" t="s">
        <v>21</v>
      </c>
      <c r="AD3" s="17" t="s">
        <v>1189</v>
      </c>
      <c r="AE3" s="145" t="s">
        <v>5566</v>
      </c>
      <c r="AF3" s="146"/>
      <c r="AG3" s="146"/>
      <c r="AH3" s="146"/>
      <c r="AI3" s="147"/>
      <c r="AJ3" s="144"/>
      <c r="AK3" s="287"/>
      <c r="AL3" s="148"/>
      <c r="AM3" s="22"/>
      <c r="AN3" s="288"/>
      <c r="AO3" s="287"/>
      <c r="AP3" s="148"/>
      <c r="AQ3" s="144"/>
      <c r="AR3" s="120"/>
      <c r="AS3" s="182"/>
      <c r="AT3" s="120"/>
      <c r="AU3" s="182"/>
      <c r="AV3" s="120"/>
      <c r="AW3" s="182"/>
      <c r="AX3" s="120"/>
      <c r="AY3" s="121"/>
      <c r="AZ3" s="221"/>
    </row>
    <row r="4" spans="1:52" ht="16.5" customHeight="1" thickTop="1">
      <c r="A4" s="377" t="s">
        <v>5608</v>
      </c>
      <c r="B4" s="28">
        <v>43497</v>
      </c>
      <c r="C4" s="29"/>
      <c r="D4" s="13" t="s">
        <v>5567</v>
      </c>
      <c r="E4" s="111" t="s">
        <v>5568</v>
      </c>
      <c r="F4" s="283" t="s">
        <v>5569</v>
      </c>
      <c r="G4" s="273"/>
      <c r="H4" s="274"/>
      <c r="I4" s="86" t="s">
        <v>5570</v>
      </c>
      <c r="J4" s="116">
        <v>3.5</v>
      </c>
      <c r="K4" s="118">
        <v>405000</v>
      </c>
      <c r="L4" s="210"/>
      <c r="M4" s="118">
        <v>32400</v>
      </c>
      <c r="N4" s="210"/>
      <c r="O4" s="118">
        <v>0</v>
      </c>
      <c r="P4" s="210"/>
      <c r="Q4" s="118">
        <v>8510</v>
      </c>
      <c r="R4" s="210"/>
      <c r="S4" s="118">
        <f>45000+3600</f>
        <v>48600</v>
      </c>
      <c r="T4" s="210"/>
      <c r="U4" s="118">
        <f>SUM(K4:T4)</f>
        <v>494510</v>
      </c>
      <c r="V4" s="210"/>
      <c r="W4" s="124"/>
      <c r="X4" s="215" t="s">
        <v>5571</v>
      </c>
      <c r="Y4" s="215"/>
      <c r="Z4" s="215"/>
      <c r="AA4" s="215"/>
      <c r="AB4" s="215"/>
      <c r="AC4" s="15" t="s">
        <v>20</v>
      </c>
      <c r="AD4" s="129" t="s">
        <v>786</v>
      </c>
      <c r="AE4" s="130"/>
      <c r="AF4" s="130"/>
      <c r="AG4" s="130"/>
      <c r="AH4" s="130"/>
      <c r="AI4" s="131"/>
      <c r="AJ4" s="128" t="s">
        <v>5572</v>
      </c>
      <c r="AK4" s="297"/>
      <c r="AL4" s="132"/>
      <c r="AM4" s="21" t="s">
        <v>5573</v>
      </c>
      <c r="AN4" s="289"/>
      <c r="AO4" s="290"/>
      <c r="AP4" s="135"/>
      <c r="AQ4" s="136"/>
      <c r="AR4" s="118"/>
      <c r="AS4" s="210"/>
      <c r="AT4" s="180">
        <f t="shared" ref="AT4" si="1">AR4*0.1</f>
        <v>0</v>
      </c>
      <c r="AU4" s="181"/>
      <c r="AV4" s="118"/>
      <c r="AW4" s="210"/>
      <c r="AX4" s="118">
        <f>SUM(AR4:AW4)</f>
        <v>0</v>
      </c>
      <c r="AY4" s="119"/>
      <c r="AZ4" s="220"/>
    </row>
    <row r="5" spans="1:52" ht="17.100000000000001" customHeight="1" thickBot="1">
      <c r="A5" s="378"/>
      <c r="B5" s="27" t="s">
        <v>637</v>
      </c>
      <c r="C5" s="27" t="s">
        <v>5574</v>
      </c>
      <c r="D5" s="14" t="s">
        <v>265</v>
      </c>
      <c r="E5" s="112"/>
      <c r="F5" s="139" t="s">
        <v>5575</v>
      </c>
      <c r="G5" s="140"/>
      <c r="H5" s="141"/>
      <c r="I5" s="87">
        <v>16923</v>
      </c>
      <c r="J5" s="117"/>
      <c r="K5" s="120"/>
      <c r="L5" s="182"/>
      <c r="M5" s="120"/>
      <c r="N5" s="182"/>
      <c r="O5" s="120"/>
      <c r="P5" s="182"/>
      <c r="Q5" s="120"/>
      <c r="R5" s="182"/>
      <c r="S5" s="120"/>
      <c r="T5" s="182"/>
      <c r="U5" s="120"/>
      <c r="V5" s="182"/>
      <c r="W5" s="125"/>
      <c r="X5" s="287" t="s">
        <v>5576</v>
      </c>
      <c r="Y5" s="287"/>
      <c r="Z5" s="287"/>
      <c r="AA5" s="287"/>
      <c r="AB5" s="287"/>
      <c r="AC5" s="16" t="s">
        <v>21</v>
      </c>
      <c r="AD5" s="17" t="s">
        <v>938</v>
      </c>
      <c r="AE5" s="145" t="s">
        <v>5577</v>
      </c>
      <c r="AF5" s="146"/>
      <c r="AG5" s="146"/>
      <c r="AH5" s="146"/>
      <c r="AI5" s="147"/>
      <c r="AJ5" s="144"/>
      <c r="AK5" s="287"/>
      <c r="AL5" s="148"/>
      <c r="AM5" s="22"/>
      <c r="AN5" s="288"/>
      <c r="AO5" s="287"/>
      <c r="AP5" s="148"/>
      <c r="AQ5" s="144"/>
      <c r="AR5" s="120"/>
      <c r="AS5" s="182"/>
      <c r="AT5" s="120"/>
      <c r="AU5" s="182"/>
      <c r="AV5" s="120"/>
      <c r="AW5" s="182"/>
      <c r="AX5" s="120"/>
      <c r="AY5" s="121"/>
      <c r="AZ5" s="221"/>
    </row>
    <row r="6" spans="1:52" ht="17.100000000000001" customHeight="1" thickTop="1">
      <c r="A6" s="377" t="s">
        <v>5609</v>
      </c>
      <c r="B6" s="28">
        <v>44794</v>
      </c>
      <c r="C6" s="25"/>
      <c r="D6" s="13" t="s">
        <v>1870</v>
      </c>
      <c r="E6" s="111" t="s">
        <v>5578</v>
      </c>
      <c r="F6" s="113" t="s">
        <v>5579</v>
      </c>
      <c r="G6" s="273"/>
      <c r="H6" s="274"/>
      <c r="I6" s="24" t="s">
        <v>5580</v>
      </c>
      <c r="J6" s="116"/>
      <c r="K6" s="118">
        <v>2894870</v>
      </c>
      <c r="L6" s="119"/>
      <c r="M6" s="118"/>
      <c r="N6" s="119"/>
      <c r="O6" s="118"/>
      <c r="P6" s="119"/>
      <c r="Q6" s="118"/>
      <c r="R6" s="119"/>
      <c r="S6" s="118"/>
      <c r="T6" s="119"/>
      <c r="U6" s="118">
        <f>SUM(K6:T6)</f>
        <v>2894870</v>
      </c>
      <c r="V6" s="210"/>
      <c r="W6" s="124">
        <v>2000000</v>
      </c>
      <c r="X6" s="127" t="s">
        <v>5581</v>
      </c>
      <c r="Y6" s="223"/>
      <c r="Z6" s="223"/>
      <c r="AA6" s="223"/>
      <c r="AB6" s="224"/>
      <c r="AC6" s="15" t="s">
        <v>20</v>
      </c>
      <c r="AD6" s="129" t="s">
        <v>5582</v>
      </c>
      <c r="AE6" s="130"/>
      <c r="AF6" s="130"/>
      <c r="AG6" s="130"/>
      <c r="AH6" s="130"/>
      <c r="AI6" s="131"/>
      <c r="AJ6" s="132" t="s">
        <v>5583</v>
      </c>
      <c r="AK6" s="127"/>
      <c r="AL6" s="127"/>
      <c r="AM6" s="21" t="s">
        <v>5584</v>
      </c>
      <c r="AN6" s="133"/>
      <c r="AO6" s="134"/>
      <c r="AP6" s="135"/>
      <c r="AQ6" s="136"/>
      <c r="AR6" s="118"/>
      <c r="AS6" s="119"/>
      <c r="AT6" s="180">
        <f t="shared" ref="AT6" si="2">AR6*0.1</f>
        <v>0</v>
      </c>
      <c r="AU6" s="181"/>
      <c r="AV6" s="118"/>
      <c r="AW6" s="119"/>
      <c r="AX6" s="118">
        <f>SUM(AR6:AW6)</f>
        <v>0</v>
      </c>
      <c r="AY6" s="119"/>
      <c r="AZ6" s="220"/>
    </row>
    <row r="7" spans="1:52" ht="17.100000000000001" customHeight="1" thickBot="1">
      <c r="A7" s="378"/>
      <c r="B7" s="27" t="s">
        <v>5585</v>
      </c>
      <c r="C7" s="27"/>
      <c r="D7" s="14" t="s">
        <v>2601</v>
      </c>
      <c r="E7" s="112"/>
      <c r="F7" s="139" t="s">
        <v>5586</v>
      </c>
      <c r="G7" s="140"/>
      <c r="H7" s="141"/>
      <c r="I7" s="26">
        <v>34800</v>
      </c>
      <c r="J7" s="117"/>
      <c r="K7" s="120"/>
      <c r="L7" s="121"/>
      <c r="M7" s="120"/>
      <c r="N7" s="121"/>
      <c r="O7" s="120"/>
      <c r="P7" s="121"/>
      <c r="Q7" s="120"/>
      <c r="R7" s="121"/>
      <c r="S7" s="120"/>
      <c r="T7" s="121"/>
      <c r="U7" s="120"/>
      <c r="V7" s="182"/>
      <c r="W7" s="125"/>
      <c r="X7" s="143" t="s">
        <v>5587</v>
      </c>
      <c r="Y7" s="143"/>
      <c r="Z7" s="143"/>
      <c r="AA7" s="143"/>
      <c r="AB7" s="144"/>
      <c r="AC7" s="16" t="s">
        <v>21</v>
      </c>
      <c r="AD7" s="17"/>
      <c r="AE7" s="145" t="s">
        <v>1742</v>
      </c>
      <c r="AF7" s="146"/>
      <c r="AG7" s="146"/>
      <c r="AH7" s="146"/>
      <c r="AI7" s="147"/>
      <c r="AJ7" s="148" t="s">
        <v>5588</v>
      </c>
      <c r="AK7" s="143"/>
      <c r="AL7" s="143"/>
      <c r="AM7" s="22" t="s">
        <v>3483</v>
      </c>
      <c r="AN7" s="149"/>
      <c r="AO7" s="144"/>
      <c r="AP7" s="148"/>
      <c r="AQ7" s="144"/>
      <c r="AR7" s="120"/>
      <c r="AS7" s="121"/>
      <c r="AT7" s="120"/>
      <c r="AU7" s="182"/>
      <c r="AV7" s="120"/>
      <c r="AW7" s="121"/>
      <c r="AX7" s="120"/>
      <c r="AY7" s="121"/>
      <c r="AZ7" s="221"/>
    </row>
    <row r="8" spans="1:52" ht="17.100000000000001" customHeight="1" thickTop="1">
      <c r="A8" s="377" t="s">
        <v>5610</v>
      </c>
      <c r="B8" s="28">
        <v>42934</v>
      </c>
      <c r="C8" s="29" t="s">
        <v>5589</v>
      </c>
      <c r="D8" s="13" t="s">
        <v>279</v>
      </c>
      <c r="E8" s="206" t="s">
        <v>5605</v>
      </c>
      <c r="F8" s="283" t="s">
        <v>5590</v>
      </c>
      <c r="G8" s="273"/>
      <c r="H8" s="273"/>
      <c r="I8" s="24" t="s">
        <v>5591</v>
      </c>
      <c r="J8" s="116">
        <v>4.5</v>
      </c>
      <c r="K8" s="118">
        <v>1470000</v>
      </c>
      <c r="L8" s="210"/>
      <c r="M8" s="118">
        <v>117600</v>
      </c>
      <c r="N8" s="210"/>
      <c r="O8" s="118">
        <v>26300</v>
      </c>
      <c r="P8" s="210"/>
      <c r="Q8" s="118">
        <v>18890</v>
      </c>
      <c r="R8" s="210"/>
      <c r="S8" s="118">
        <v>12960</v>
      </c>
      <c r="T8" s="210"/>
      <c r="U8" s="118">
        <f>SUM(K8:T8)</f>
        <v>1645750</v>
      </c>
      <c r="V8" s="210"/>
      <c r="W8" s="124">
        <v>400000</v>
      </c>
      <c r="X8" s="224" t="s">
        <v>5592</v>
      </c>
      <c r="Y8" s="215"/>
      <c r="Z8" s="215"/>
      <c r="AA8" s="215"/>
      <c r="AB8" s="215"/>
      <c r="AC8" s="15" t="s">
        <v>20</v>
      </c>
      <c r="AD8" s="294"/>
      <c r="AE8" s="295"/>
      <c r="AF8" s="295"/>
      <c r="AG8" s="295"/>
      <c r="AH8" s="295"/>
      <c r="AI8" s="296"/>
      <c r="AJ8" s="132" t="s">
        <v>5593</v>
      </c>
      <c r="AK8" s="127"/>
      <c r="AL8" s="127"/>
      <c r="AM8" s="21" t="s">
        <v>5594</v>
      </c>
      <c r="AN8" s="289">
        <v>45952</v>
      </c>
      <c r="AO8" s="290"/>
      <c r="AP8" s="135">
        <v>989</v>
      </c>
      <c r="AQ8" s="136"/>
      <c r="AR8" s="118">
        <v>466000</v>
      </c>
      <c r="AS8" s="210"/>
      <c r="AT8" s="180">
        <f t="shared" ref="AT8" si="3">AR8*0.1</f>
        <v>46600</v>
      </c>
      <c r="AU8" s="181"/>
      <c r="AV8" s="118">
        <v>18890</v>
      </c>
      <c r="AW8" s="210"/>
      <c r="AX8" s="118">
        <f>SUM(AR8:AW8)</f>
        <v>531490</v>
      </c>
      <c r="AY8" s="119"/>
      <c r="AZ8" s="380">
        <v>45957</v>
      </c>
    </row>
    <row r="9" spans="1:52" ht="17.100000000000001" customHeight="1" thickBot="1">
      <c r="A9" s="378"/>
      <c r="B9" s="27" t="s">
        <v>132</v>
      </c>
      <c r="C9" s="27">
        <v>84017</v>
      </c>
      <c r="D9" s="14" t="s">
        <v>221</v>
      </c>
      <c r="E9" s="207"/>
      <c r="F9" s="139" t="s">
        <v>5595</v>
      </c>
      <c r="G9" s="140"/>
      <c r="H9" s="140"/>
      <c r="I9" s="26">
        <v>59700</v>
      </c>
      <c r="J9" s="117"/>
      <c r="K9" s="120"/>
      <c r="L9" s="182"/>
      <c r="M9" s="120"/>
      <c r="N9" s="182"/>
      <c r="O9" s="120"/>
      <c r="P9" s="182"/>
      <c r="Q9" s="120"/>
      <c r="R9" s="182"/>
      <c r="S9" s="120"/>
      <c r="T9" s="182"/>
      <c r="U9" s="120"/>
      <c r="V9" s="182"/>
      <c r="W9" s="125"/>
      <c r="X9" s="144" t="s">
        <v>5596</v>
      </c>
      <c r="Y9" s="287"/>
      <c r="Z9" s="287"/>
      <c r="AA9" s="287"/>
      <c r="AB9" s="287"/>
      <c r="AC9" s="16" t="s">
        <v>21</v>
      </c>
      <c r="AD9" s="60"/>
      <c r="AE9" s="145" t="s">
        <v>185</v>
      </c>
      <c r="AF9" s="146"/>
      <c r="AG9" s="146"/>
      <c r="AH9" s="146"/>
      <c r="AI9" s="147"/>
      <c r="AJ9" s="148" t="s">
        <v>5597</v>
      </c>
      <c r="AK9" s="143"/>
      <c r="AL9" s="143"/>
      <c r="AM9" s="22" t="s">
        <v>3483</v>
      </c>
      <c r="AN9" s="288" t="s">
        <v>2794</v>
      </c>
      <c r="AO9" s="287"/>
      <c r="AP9" s="148">
        <v>10262</v>
      </c>
      <c r="AQ9" s="144"/>
      <c r="AR9" s="120"/>
      <c r="AS9" s="182"/>
      <c r="AT9" s="120"/>
      <c r="AU9" s="182"/>
      <c r="AV9" s="120"/>
      <c r="AW9" s="182"/>
      <c r="AX9" s="120"/>
      <c r="AY9" s="121"/>
      <c r="AZ9" s="221"/>
    </row>
    <row r="10" spans="1:52" s="88" customFormat="1" ht="17.100000000000001" customHeight="1" thickTop="1">
      <c r="A10" s="151" t="s">
        <v>5611</v>
      </c>
      <c r="B10" s="28">
        <v>44600</v>
      </c>
      <c r="C10" s="25">
        <v>730</v>
      </c>
      <c r="D10" s="13" t="s">
        <v>1649</v>
      </c>
      <c r="E10" s="206" t="s">
        <v>5606</v>
      </c>
      <c r="F10" s="113" t="s">
        <v>5598</v>
      </c>
      <c r="G10" s="273"/>
      <c r="H10" s="274"/>
      <c r="I10" s="24" t="s">
        <v>5599</v>
      </c>
      <c r="J10" s="116">
        <v>4</v>
      </c>
      <c r="K10" s="118">
        <v>1035000</v>
      </c>
      <c r="L10" s="119"/>
      <c r="M10" s="118">
        <v>103500</v>
      </c>
      <c r="N10" s="119"/>
      <c r="O10" s="118">
        <v>0</v>
      </c>
      <c r="P10" s="119"/>
      <c r="Q10" s="118">
        <v>17490</v>
      </c>
      <c r="R10" s="119"/>
      <c r="S10" s="118">
        <v>15950</v>
      </c>
      <c r="T10" s="119"/>
      <c r="U10" s="118">
        <f>SUM(K10:T11)</f>
        <v>1171940</v>
      </c>
      <c r="V10" s="119"/>
      <c r="W10" s="124">
        <v>650000</v>
      </c>
      <c r="X10" s="127" t="s">
        <v>5600</v>
      </c>
      <c r="Y10" s="223"/>
      <c r="Z10" s="223"/>
      <c r="AA10" s="223"/>
      <c r="AB10" s="224"/>
      <c r="AC10" s="15" t="s">
        <v>20</v>
      </c>
      <c r="AD10" s="129"/>
      <c r="AE10" s="130"/>
      <c r="AF10" s="130"/>
      <c r="AG10" s="130"/>
      <c r="AH10" s="130"/>
      <c r="AI10" s="131"/>
      <c r="AJ10" s="132" t="s">
        <v>5601</v>
      </c>
      <c r="AK10" s="127"/>
      <c r="AL10" s="127"/>
      <c r="AM10" s="21" t="s">
        <v>5602</v>
      </c>
      <c r="AN10" s="133">
        <v>46064</v>
      </c>
      <c r="AO10" s="134"/>
      <c r="AP10" s="135">
        <v>1004</v>
      </c>
      <c r="AQ10" s="136"/>
      <c r="AR10" s="118">
        <v>206000</v>
      </c>
      <c r="AS10" s="119"/>
      <c r="AT10" s="180">
        <f>AR10*0.1</f>
        <v>20600</v>
      </c>
      <c r="AU10" s="181"/>
      <c r="AV10" s="118">
        <v>17490</v>
      </c>
      <c r="AW10" s="119"/>
      <c r="AX10" s="118">
        <f>SUM(AR10:AW10)</f>
        <v>244090</v>
      </c>
      <c r="AY10" s="119"/>
      <c r="AZ10" s="200">
        <v>46069</v>
      </c>
    </row>
    <row r="11" spans="1:52" s="88" customFormat="1" ht="17.100000000000001" customHeight="1" thickBot="1">
      <c r="A11" s="376"/>
      <c r="B11" s="27" t="s">
        <v>2699</v>
      </c>
      <c r="C11" s="27">
        <v>5016</v>
      </c>
      <c r="D11" s="14" t="s">
        <v>1610</v>
      </c>
      <c r="E11" s="207"/>
      <c r="F11" s="139" t="s">
        <v>5603</v>
      </c>
      <c r="G11" s="140"/>
      <c r="H11" s="141"/>
      <c r="I11" s="26">
        <v>46355</v>
      </c>
      <c r="J11" s="117"/>
      <c r="K11" s="120"/>
      <c r="L11" s="121"/>
      <c r="M11" s="120"/>
      <c r="N11" s="121"/>
      <c r="O11" s="120"/>
      <c r="P11" s="121"/>
      <c r="Q11" s="120"/>
      <c r="R11" s="121"/>
      <c r="S11" s="120"/>
      <c r="T11" s="121"/>
      <c r="U11" s="120"/>
      <c r="V11" s="121"/>
      <c r="W11" s="125"/>
      <c r="X11" s="143" t="s">
        <v>4628</v>
      </c>
      <c r="Y11" s="143"/>
      <c r="Z11" s="143"/>
      <c r="AA11" s="143"/>
      <c r="AB11" s="144"/>
      <c r="AC11" s="16" t="s">
        <v>21</v>
      </c>
      <c r="AD11" s="17" t="s">
        <v>3577</v>
      </c>
      <c r="AE11" s="145"/>
      <c r="AF11" s="146"/>
      <c r="AG11" s="146"/>
      <c r="AH11" s="146"/>
      <c r="AI11" s="147"/>
      <c r="AJ11" s="148" t="s">
        <v>5604</v>
      </c>
      <c r="AK11" s="143"/>
      <c r="AL11" s="143"/>
      <c r="AM11" s="22"/>
      <c r="AN11" s="149" t="s">
        <v>2794</v>
      </c>
      <c r="AO11" s="144"/>
      <c r="AP11" s="148">
        <v>10021</v>
      </c>
      <c r="AQ11" s="144"/>
      <c r="AR11" s="120"/>
      <c r="AS11" s="121"/>
      <c r="AT11" s="120"/>
      <c r="AU11" s="182"/>
      <c r="AV11" s="120"/>
      <c r="AW11" s="121"/>
      <c r="AX11" s="120"/>
      <c r="AY11" s="121"/>
      <c r="AZ11" s="201"/>
    </row>
    <row r="12" spans="1:52" ht="17.100000000000001" customHeight="1" thickTop="1">
      <c r="A12" s="377" t="s">
        <v>8541</v>
      </c>
      <c r="B12" s="28">
        <v>44148</v>
      </c>
      <c r="C12" s="29" t="s">
        <v>1187</v>
      </c>
      <c r="D12" s="13" t="s">
        <v>248</v>
      </c>
      <c r="E12" s="111" t="s">
        <v>8542</v>
      </c>
      <c r="F12" s="283" t="s">
        <v>1197</v>
      </c>
      <c r="G12" s="273"/>
      <c r="H12" s="274"/>
      <c r="I12" s="24"/>
      <c r="J12" s="116">
        <v>4</v>
      </c>
      <c r="K12" s="118">
        <v>1494000</v>
      </c>
      <c r="L12" s="119"/>
      <c r="M12" s="118">
        <v>149400</v>
      </c>
      <c r="N12" s="119"/>
      <c r="O12" s="118">
        <v>0</v>
      </c>
      <c r="P12" s="119"/>
      <c r="Q12" s="118">
        <v>14590</v>
      </c>
      <c r="R12" s="119"/>
      <c r="S12" s="118">
        <v>22000</v>
      </c>
      <c r="T12" s="119"/>
      <c r="U12" s="118">
        <f>SUM(K12:T12)</f>
        <v>1679990</v>
      </c>
      <c r="V12" s="210"/>
      <c r="W12" s="124">
        <v>700000</v>
      </c>
      <c r="X12" s="223" t="s">
        <v>1198</v>
      </c>
      <c r="Y12" s="223"/>
      <c r="Z12" s="223"/>
      <c r="AA12" s="223"/>
      <c r="AB12" s="224"/>
      <c r="AC12" s="15" t="s">
        <v>20</v>
      </c>
      <c r="AD12" s="129" t="s">
        <v>764</v>
      </c>
      <c r="AE12" s="130"/>
      <c r="AF12" s="130"/>
      <c r="AG12" s="130"/>
      <c r="AH12" s="130"/>
      <c r="AI12" s="131"/>
      <c r="AJ12" s="132" t="s">
        <v>8543</v>
      </c>
      <c r="AK12" s="127"/>
      <c r="AL12" s="127"/>
      <c r="AM12" s="21" t="s">
        <v>10030</v>
      </c>
      <c r="AN12" s="133"/>
      <c r="AO12" s="134"/>
      <c r="AP12" s="135"/>
      <c r="AQ12" s="136"/>
      <c r="AR12" s="118"/>
      <c r="AS12" s="119"/>
      <c r="AT12" s="180">
        <f>AR12*0.1</f>
        <v>0</v>
      </c>
      <c r="AU12" s="181"/>
      <c r="AV12" s="118"/>
      <c r="AW12" s="119"/>
      <c r="AX12" s="118">
        <f>SUM(AR12:AW12)</f>
        <v>0</v>
      </c>
      <c r="AY12" s="119"/>
      <c r="AZ12" s="200"/>
    </row>
    <row r="13" spans="1:52" ht="17.100000000000001" customHeight="1" thickBot="1">
      <c r="A13" s="378"/>
      <c r="B13" s="27" t="s">
        <v>1192</v>
      </c>
      <c r="C13" s="27">
        <v>40096</v>
      </c>
      <c r="D13" s="14" t="s">
        <v>710</v>
      </c>
      <c r="E13" s="112"/>
      <c r="F13" s="139" t="s">
        <v>1199</v>
      </c>
      <c r="G13" s="140"/>
      <c r="H13" s="141"/>
      <c r="I13" s="26">
        <v>36584</v>
      </c>
      <c r="J13" s="117"/>
      <c r="K13" s="120"/>
      <c r="L13" s="121"/>
      <c r="M13" s="120"/>
      <c r="N13" s="121"/>
      <c r="O13" s="120"/>
      <c r="P13" s="121"/>
      <c r="Q13" s="120"/>
      <c r="R13" s="121"/>
      <c r="S13" s="120"/>
      <c r="T13" s="121"/>
      <c r="U13" s="120"/>
      <c r="V13" s="182"/>
      <c r="W13" s="125"/>
      <c r="X13" s="143" t="s">
        <v>1200</v>
      </c>
      <c r="Y13" s="143"/>
      <c r="Z13" s="143"/>
      <c r="AA13" s="143"/>
      <c r="AB13" s="144"/>
      <c r="AC13" s="16" t="s">
        <v>21</v>
      </c>
      <c r="AD13" s="17" t="s">
        <v>1201</v>
      </c>
      <c r="AE13" s="145" t="s">
        <v>1202</v>
      </c>
      <c r="AF13" s="146"/>
      <c r="AG13" s="146"/>
      <c r="AH13" s="146"/>
      <c r="AI13" s="147"/>
      <c r="AJ13" s="148" t="s">
        <v>8544</v>
      </c>
      <c r="AK13" s="143"/>
      <c r="AL13" s="143"/>
      <c r="AM13" s="22"/>
      <c r="AN13" s="149"/>
      <c r="AO13" s="144"/>
      <c r="AP13" s="148"/>
      <c r="AQ13" s="144"/>
      <c r="AR13" s="120"/>
      <c r="AS13" s="121"/>
      <c r="AT13" s="120"/>
      <c r="AU13" s="182"/>
      <c r="AV13" s="120"/>
      <c r="AW13" s="121"/>
      <c r="AX13" s="120"/>
      <c r="AY13" s="121"/>
      <c r="AZ13" s="201"/>
    </row>
    <row r="14" spans="1:52" ht="17.100000000000001" customHeight="1" thickTop="1">
      <c r="A14" s="377" t="s">
        <v>19043</v>
      </c>
      <c r="B14" s="28">
        <v>43840</v>
      </c>
      <c r="C14" s="29" t="s">
        <v>919</v>
      </c>
      <c r="D14" s="13" t="s">
        <v>920</v>
      </c>
      <c r="E14" s="111" t="s">
        <v>19044</v>
      </c>
      <c r="F14" s="283" t="s">
        <v>921</v>
      </c>
      <c r="G14" s="273"/>
      <c r="H14" s="274"/>
      <c r="I14" s="24" t="s">
        <v>922</v>
      </c>
      <c r="J14" s="116">
        <v>4.5</v>
      </c>
      <c r="K14" s="118">
        <v>1550000</v>
      </c>
      <c r="L14" s="119"/>
      <c r="M14" s="118">
        <v>155000</v>
      </c>
      <c r="N14" s="119"/>
      <c r="O14" s="118">
        <v>6500</v>
      </c>
      <c r="P14" s="119"/>
      <c r="Q14" s="118">
        <v>20420</v>
      </c>
      <c r="R14" s="119"/>
      <c r="S14" s="118">
        <v>24200</v>
      </c>
      <c r="T14" s="119"/>
      <c r="U14" s="118">
        <f>SUM(K14:T14)</f>
        <v>1756120</v>
      </c>
      <c r="V14" s="210"/>
      <c r="W14" s="124">
        <v>1100000</v>
      </c>
      <c r="X14" s="223" t="s">
        <v>923</v>
      </c>
      <c r="Y14" s="223"/>
      <c r="Z14" s="223"/>
      <c r="AA14" s="223"/>
      <c r="AB14" s="224"/>
      <c r="AC14" s="15" t="s">
        <v>20</v>
      </c>
      <c r="AD14" s="129" t="s">
        <v>924</v>
      </c>
      <c r="AE14" s="130"/>
      <c r="AF14" s="130"/>
      <c r="AG14" s="130"/>
      <c r="AH14" s="130"/>
      <c r="AI14" s="131"/>
      <c r="AJ14" s="381" t="s">
        <v>19045</v>
      </c>
      <c r="AK14" s="127"/>
      <c r="AL14" s="127"/>
      <c r="AM14" s="21" t="s">
        <v>19169</v>
      </c>
      <c r="AN14" s="133"/>
      <c r="AO14" s="134"/>
      <c r="AP14" s="135"/>
      <c r="AQ14" s="136"/>
      <c r="AR14" s="118"/>
      <c r="AS14" s="119"/>
      <c r="AT14" s="180">
        <f>AR14*0.1</f>
        <v>0</v>
      </c>
      <c r="AU14" s="181"/>
      <c r="AV14" s="118"/>
      <c r="AW14" s="119"/>
      <c r="AX14" s="118">
        <f>SUM(AR14:AW14)</f>
        <v>0</v>
      </c>
      <c r="AY14" s="119"/>
      <c r="AZ14" s="200"/>
    </row>
    <row r="15" spans="1:52" ht="17.100000000000001" customHeight="1" thickBot="1">
      <c r="A15" s="378"/>
      <c r="B15" s="27" t="s">
        <v>205</v>
      </c>
      <c r="C15" s="27">
        <v>20624</v>
      </c>
      <c r="D15" s="14" t="s">
        <v>221</v>
      </c>
      <c r="E15" s="112"/>
      <c r="F15" s="139" t="s">
        <v>925</v>
      </c>
      <c r="G15" s="140"/>
      <c r="H15" s="141"/>
      <c r="I15" s="26">
        <v>39896</v>
      </c>
      <c r="J15" s="117"/>
      <c r="K15" s="120"/>
      <c r="L15" s="121"/>
      <c r="M15" s="120"/>
      <c r="N15" s="121"/>
      <c r="O15" s="120"/>
      <c r="P15" s="121"/>
      <c r="Q15" s="120"/>
      <c r="R15" s="121"/>
      <c r="S15" s="120"/>
      <c r="T15" s="121"/>
      <c r="U15" s="120"/>
      <c r="V15" s="182"/>
      <c r="W15" s="125"/>
      <c r="X15" s="143" t="s">
        <v>926</v>
      </c>
      <c r="Y15" s="143"/>
      <c r="Z15" s="143"/>
      <c r="AA15" s="143"/>
      <c r="AB15" s="144"/>
      <c r="AC15" s="16" t="s">
        <v>21</v>
      </c>
      <c r="AD15" s="17" t="s">
        <v>556</v>
      </c>
      <c r="AE15" s="145" t="s">
        <v>927</v>
      </c>
      <c r="AF15" s="146"/>
      <c r="AG15" s="146"/>
      <c r="AH15" s="146"/>
      <c r="AI15" s="147"/>
      <c r="AJ15" s="148" t="s">
        <v>19046</v>
      </c>
      <c r="AK15" s="143"/>
      <c r="AL15" s="143"/>
      <c r="AM15" s="22"/>
      <c r="AN15" s="149"/>
      <c r="AO15" s="144"/>
      <c r="AP15" s="148"/>
      <c r="AQ15" s="144"/>
      <c r="AR15" s="120"/>
      <c r="AS15" s="121"/>
      <c r="AT15" s="120"/>
      <c r="AU15" s="182"/>
      <c r="AV15" s="120"/>
      <c r="AW15" s="121"/>
      <c r="AX15" s="120"/>
      <c r="AY15" s="121"/>
      <c r="AZ15" s="201"/>
    </row>
    <row r="16" spans="1:52" ht="17.100000000000001" customHeight="1" thickTop="1">
      <c r="A16" s="377"/>
      <c r="B16" s="28"/>
      <c r="C16" s="25"/>
      <c r="D16" s="13"/>
      <c r="E16" s="111"/>
      <c r="F16" s="283"/>
      <c r="G16" s="273"/>
      <c r="H16" s="274"/>
      <c r="I16" s="24"/>
      <c r="J16" s="116"/>
      <c r="K16" s="118"/>
      <c r="L16" s="119"/>
      <c r="M16" s="118"/>
      <c r="N16" s="119"/>
      <c r="O16" s="118"/>
      <c r="P16" s="119"/>
      <c r="Q16" s="118"/>
      <c r="R16" s="119"/>
      <c r="S16" s="118"/>
      <c r="T16" s="119"/>
      <c r="U16" s="118">
        <f t="shared" ref="U16" si="4">SUM(K16:T16)</f>
        <v>0</v>
      </c>
      <c r="V16" s="210"/>
      <c r="W16" s="124"/>
      <c r="X16" s="223"/>
      <c r="Y16" s="223"/>
      <c r="Z16" s="223"/>
      <c r="AA16" s="223"/>
      <c r="AB16" s="224"/>
      <c r="AC16" s="15" t="s">
        <v>20</v>
      </c>
      <c r="AD16" s="129"/>
      <c r="AE16" s="130"/>
      <c r="AF16" s="130"/>
      <c r="AG16" s="130"/>
      <c r="AH16" s="130"/>
      <c r="AI16" s="131"/>
      <c r="AJ16" s="132"/>
      <c r="AK16" s="127"/>
      <c r="AL16" s="127"/>
      <c r="AM16" s="21"/>
      <c r="AN16" s="133"/>
      <c r="AO16" s="134"/>
      <c r="AP16" s="135"/>
      <c r="AQ16" s="136"/>
      <c r="AR16" s="118"/>
      <c r="AS16" s="119"/>
      <c r="AT16" s="118"/>
      <c r="AU16" s="119"/>
      <c r="AV16" s="118"/>
      <c r="AW16" s="119"/>
      <c r="AX16" s="118">
        <f t="shared" ref="AX16" si="5">SUM(AR16:AW16)</f>
        <v>0</v>
      </c>
      <c r="AY16" s="119"/>
      <c r="AZ16" s="220"/>
    </row>
    <row r="17" spans="1:52" ht="17.100000000000001" customHeight="1" thickBot="1">
      <c r="A17" s="379"/>
      <c r="B17" s="27"/>
      <c r="C17" s="27"/>
      <c r="D17" s="14"/>
      <c r="E17" s="112"/>
      <c r="F17" s="139"/>
      <c r="G17" s="140"/>
      <c r="H17" s="141"/>
      <c r="I17" s="26"/>
      <c r="J17" s="117"/>
      <c r="K17" s="120"/>
      <c r="L17" s="121"/>
      <c r="M17" s="120"/>
      <c r="N17" s="121"/>
      <c r="O17" s="120"/>
      <c r="P17" s="121"/>
      <c r="Q17" s="120"/>
      <c r="R17" s="121"/>
      <c r="S17" s="120"/>
      <c r="T17" s="121"/>
      <c r="U17" s="120"/>
      <c r="V17" s="182"/>
      <c r="W17" s="125"/>
      <c r="X17" s="143"/>
      <c r="Y17" s="143"/>
      <c r="Z17" s="143"/>
      <c r="AA17" s="143"/>
      <c r="AB17" s="144"/>
      <c r="AC17" s="16" t="s">
        <v>21</v>
      </c>
      <c r="AD17" s="17"/>
      <c r="AE17" s="145"/>
      <c r="AF17" s="146"/>
      <c r="AG17" s="146"/>
      <c r="AH17" s="146"/>
      <c r="AI17" s="147"/>
      <c r="AJ17" s="148"/>
      <c r="AK17" s="143"/>
      <c r="AL17" s="143"/>
      <c r="AM17" s="22"/>
      <c r="AN17" s="149"/>
      <c r="AO17" s="144"/>
      <c r="AP17" s="148"/>
      <c r="AQ17" s="144"/>
      <c r="AR17" s="120"/>
      <c r="AS17" s="121"/>
      <c r="AT17" s="120"/>
      <c r="AU17" s="121"/>
      <c r="AV17" s="120"/>
      <c r="AW17" s="121"/>
      <c r="AX17" s="120"/>
      <c r="AY17" s="121"/>
      <c r="AZ17" s="221"/>
    </row>
    <row r="18" spans="1:52" ht="17.100000000000001" customHeight="1" thickTop="1"/>
  </sheetData>
  <sheetProtection selectLockedCells="1" selectUnlockedCells="1"/>
  <mergeCells count="232">
    <mergeCell ref="AZ12:AZ13"/>
    <mergeCell ref="F13:H13"/>
    <mergeCell ref="X13:AB13"/>
    <mergeCell ref="AE13:AI13"/>
    <mergeCell ref="AJ13:AL13"/>
    <mergeCell ref="AN13:AO13"/>
    <mergeCell ref="AP13:AQ13"/>
    <mergeCell ref="S12:T13"/>
    <mergeCell ref="U12:V13"/>
    <mergeCell ref="W12:W13"/>
    <mergeCell ref="X12:AB12"/>
    <mergeCell ref="AD12:AI12"/>
    <mergeCell ref="AJ12:AL12"/>
    <mergeCell ref="AN12:AO12"/>
    <mergeCell ref="AP12:AQ12"/>
    <mergeCell ref="AR12:AS13"/>
    <mergeCell ref="AZ10:AZ11"/>
    <mergeCell ref="X11:AB11"/>
    <mergeCell ref="AE11:AI11"/>
    <mergeCell ref="AJ11:AL11"/>
    <mergeCell ref="AP11:AQ11"/>
    <mergeCell ref="X14:AB14"/>
    <mergeCell ref="AD14:AI14"/>
    <mergeCell ref="AJ14:AL14"/>
    <mergeCell ref="AP14:AQ14"/>
    <mergeCell ref="AX14:AY15"/>
    <mergeCell ref="AZ14:AZ15"/>
    <mergeCell ref="X15:AB15"/>
    <mergeCell ref="AE15:AI15"/>
    <mergeCell ref="AJ15:AL15"/>
    <mergeCell ref="AP15:AQ15"/>
    <mergeCell ref="AP10:AQ10"/>
    <mergeCell ref="AR10:AS11"/>
    <mergeCell ref="AT10:AU11"/>
    <mergeCell ref="AV10:AW11"/>
    <mergeCell ref="AT14:AU15"/>
    <mergeCell ref="AV14:AW15"/>
    <mergeCell ref="AX10:AY11"/>
    <mergeCell ref="AN10:AO10"/>
    <mergeCell ref="AN11:AO11"/>
    <mergeCell ref="AZ16:AZ17"/>
    <mergeCell ref="X17:AB17"/>
    <mergeCell ref="AE17:AI17"/>
    <mergeCell ref="AJ17:AL17"/>
    <mergeCell ref="AP17:AQ17"/>
    <mergeCell ref="X16:AB16"/>
    <mergeCell ref="AD16:AI16"/>
    <mergeCell ref="AJ16:AL16"/>
    <mergeCell ref="AP16:AQ16"/>
    <mergeCell ref="AX16:AY17"/>
    <mergeCell ref="AZ2:AZ3"/>
    <mergeCell ref="X3:AB3"/>
    <mergeCell ref="AE3:AI3"/>
    <mergeCell ref="AJ3:AL3"/>
    <mergeCell ref="AP3:AQ3"/>
    <mergeCell ref="X4:AB4"/>
    <mergeCell ref="AD4:AI4"/>
    <mergeCell ref="AJ4:AL4"/>
    <mergeCell ref="AP4:AQ4"/>
    <mergeCell ref="AX4:AY5"/>
    <mergeCell ref="AZ4:AZ5"/>
    <mergeCell ref="X5:AB5"/>
    <mergeCell ref="AE5:AI5"/>
    <mergeCell ref="AJ5:AL5"/>
    <mergeCell ref="AP5:AQ5"/>
    <mergeCell ref="AT4:AU5"/>
    <mergeCell ref="AV4:AW5"/>
    <mergeCell ref="AR2:AS3"/>
    <mergeCell ref="AT2:AU3"/>
    <mergeCell ref="AV2:AW3"/>
    <mergeCell ref="AN2:AO2"/>
    <mergeCell ref="AN3:AO3"/>
    <mergeCell ref="AZ6:AZ7"/>
    <mergeCell ref="X7:AB7"/>
    <mergeCell ref="AE7:AI7"/>
    <mergeCell ref="AJ7:AL7"/>
    <mergeCell ref="AP7:AQ7"/>
    <mergeCell ref="X8:AB8"/>
    <mergeCell ref="AD8:AI8"/>
    <mergeCell ref="AJ8:AL8"/>
    <mergeCell ref="AP8:AQ8"/>
    <mergeCell ref="AX8:AY9"/>
    <mergeCell ref="AZ8:AZ9"/>
    <mergeCell ref="X9:AB9"/>
    <mergeCell ref="AE9:AI9"/>
    <mergeCell ref="AJ9:AL9"/>
    <mergeCell ref="AP9:AQ9"/>
    <mergeCell ref="AP6:AQ6"/>
    <mergeCell ref="AR8:AS9"/>
    <mergeCell ref="AT8:AU9"/>
    <mergeCell ref="AV8:AW9"/>
    <mergeCell ref="AR6:AS7"/>
    <mergeCell ref="AT6:AU7"/>
    <mergeCell ref="AV6:AW7"/>
    <mergeCell ref="AX6:AY7"/>
    <mergeCell ref="X6:AB6"/>
    <mergeCell ref="AX1:AY1"/>
    <mergeCell ref="X2:AB2"/>
    <mergeCell ref="AD2:AI2"/>
    <mergeCell ref="AJ2:AL2"/>
    <mergeCell ref="AP2:AQ2"/>
    <mergeCell ref="AX2:AY3"/>
    <mergeCell ref="AR16:AS17"/>
    <mergeCell ref="AT16:AU17"/>
    <mergeCell ref="AV16:AW17"/>
    <mergeCell ref="AR14:AS15"/>
    <mergeCell ref="AP1:AQ1"/>
    <mergeCell ref="AN6:AO6"/>
    <mergeCell ref="X10:AB10"/>
    <mergeCell ref="AD10:AI10"/>
    <mergeCell ref="AJ10:AL10"/>
    <mergeCell ref="AN8:AO8"/>
    <mergeCell ref="AN4:AO4"/>
    <mergeCell ref="AN5:AO5"/>
    <mergeCell ref="AN9:AO9"/>
    <mergeCell ref="AN17:AO17"/>
    <mergeCell ref="AT12:AU13"/>
    <mergeCell ref="AV12:AW13"/>
    <mergeCell ref="AX12:AY13"/>
    <mergeCell ref="K6:L7"/>
    <mergeCell ref="M6:N7"/>
    <mergeCell ref="O6:P7"/>
    <mergeCell ref="Q6:R7"/>
    <mergeCell ref="S6:T7"/>
    <mergeCell ref="U6:V7"/>
    <mergeCell ref="F7:H7"/>
    <mergeCell ref="J4:J5"/>
    <mergeCell ref="K4:L5"/>
    <mergeCell ref="M4:N5"/>
    <mergeCell ref="O4:P5"/>
    <mergeCell ref="Q4:R5"/>
    <mergeCell ref="S4:T5"/>
    <mergeCell ref="U4:V5"/>
    <mergeCell ref="J6:J7"/>
    <mergeCell ref="A16:A17"/>
    <mergeCell ref="E16:E17"/>
    <mergeCell ref="F10:H10"/>
    <mergeCell ref="F11:H11"/>
    <mergeCell ref="J10:J11"/>
    <mergeCell ref="A6:A7"/>
    <mergeCell ref="A8:A9"/>
    <mergeCell ref="E2:E3"/>
    <mergeCell ref="E4:E5"/>
    <mergeCell ref="E6:E7"/>
    <mergeCell ref="E8:E9"/>
    <mergeCell ref="A2:A3"/>
    <mergeCell ref="A4:A5"/>
    <mergeCell ref="F2:H2"/>
    <mergeCell ref="F3:H3"/>
    <mergeCell ref="F8:H8"/>
    <mergeCell ref="F5:H5"/>
    <mergeCell ref="F4:H4"/>
    <mergeCell ref="J2:J3"/>
    <mergeCell ref="F6:H6"/>
    <mergeCell ref="J16:J17"/>
    <mergeCell ref="A12:A13"/>
    <mergeCell ref="E12:E13"/>
    <mergeCell ref="F12:H12"/>
    <mergeCell ref="K8:L9"/>
    <mergeCell ref="M8:N9"/>
    <mergeCell ref="O8:P9"/>
    <mergeCell ref="A10:A11"/>
    <mergeCell ref="E10:E11"/>
    <mergeCell ref="A14:A15"/>
    <mergeCell ref="E14:E15"/>
    <mergeCell ref="Q8:R9"/>
    <mergeCell ref="F9:H9"/>
    <mergeCell ref="J8:J9"/>
    <mergeCell ref="K10:L11"/>
    <mergeCell ref="M10:N11"/>
    <mergeCell ref="O10:P11"/>
    <mergeCell ref="Q10:R11"/>
    <mergeCell ref="J12:J13"/>
    <mergeCell ref="K12:L13"/>
    <mergeCell ref="M12:N13"/>
    <mergeCell ref="O12:P13"/>
    <mergeCell ref="Q12:R13"/>
    <mergeCell ref="K16:L17"/>
    <mergeCell ref="M16:N17"/>
    <mergeCell ref="O16:P17"/>
    <mergeCell ref="Q16:R17"/>
    <mergeCell ref="S16:T17"/>
    <mergeCell ref="U16:V17"/>
    <mergeCell ref="F14:H14"/>
    <mergeCell ref="AN14:AO14"/>
    <mergeCell ref="F15:H15"/>
    <mergeCell ref="AN15:AO15"/>
    <mergeCell ref="J14:J15"/>
    <mergeCell ref="S14:T15"/>
    <mergeCell ref="U14:V15"/>
    <mergeCell ref="K14:L15"/>
    <mergeCell ref="M14:N15"/>
    <mergeCell ref="O14:P15"/>
    <mergeCell ref="Q14:R15"/>
    <mergeCell ref="S2:T3"/>
    <mergeCell ref="U2:V3"/>
    <mergeCell ref="S10:T11"/>
    <mergeCell ref="U10:V11"/>
    <mergeCell ref="AD6:AI6"/>
    <mergeCell ref="AJ6:AL6"/>
    <mergeCell ref="AR4:AS5"/>
    <mergeCell ref="W2:W3"/>
    <mergeCell ref="W4:W5"/>
    <mergeCell ref="W6:W7"/>
    <mergeCell ref="W8:W9"/>
    <mergeCell ref="AN7:AO7"/>
    <mergeCell ref="S8:T9"/>
    <mergeCell ref="U8:V9"/>
    <mergeCell ref="E1:H1"/>
    <mergeCell ref="X1:AB1"/>
    <mergeCell ref="F16:H16"/>
    <mergeCell ref="AN16:AO16"/>
    <mergeCell ref="F17:H17"/>
    <mergeCell ref="AT1:AU1"/>
    <mergeCell ref="AV1:AW1"/>
    <mergeCell ref="K1:L1"/>
    <mergeCell ref="M1:N1"/>
    <mergeCell ref="O1:P1"/>
    <mergeCell ref="Q1:R1"/>
    <mergeCell ref="S1:T1"/>
    <mergeCell ref="U1:V1"/>
    <mergeCell ref="AC1:AI1"/>
    <mergeCell ref="AJ1:AL1"/>
    <mergeCell ref="AN1:AO1"/>
    <mergeCell ref="W10:W11"/>
    <mergeCell ref="W14:W15"/>
    <mergeCell ref="W16:W17"/>
    <mergeCell ref="AR1:AS1"/>
    <mergeCell ref="K2:L3"/>
    <mergeCell ref="M2:N3"/>
    <mergeCell ref="O2:P3"/>
    <mergeCell ref="Q2:R3"/>
  </mergeCells>
  <phoneticPr fontId="13"/>
  <conditionalFormatting sqref="A2:A15">
    <cfRule type="expression" dxfId="0" priority="4">
      <formula>AR2&lt;&gt;""</formula>
    </cfRule>
  </conditionalFormatting>
  <pageMargins left="0.69930555555555596" right="0.69930555555555596" top="0.75" bottom="0.75" header="0.3" footer="0.3"/>
  <pageSetup paperSize="9" scale="27" fitToHeight="0" orientation="landscape" horizontalDpi="360" verticalDpi="36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"/>
  <sheetViews>
    <sheetView workbookViewId="0">
      <selection activeCell="Q14" sqref="Q14"/>
    </sheetView>
  </sheetViews>
  <sheetFormatPr defaultColWidth="8.88671875" defaultRowHeight="13.2"/>
  <cols>
    <col min="1" max="1" width="16.6640625" style="91" customWidth="1"/>
    <col min="2" max="2" width="17.6640625" style="91" customWidth="1"/>
    <col min="3" max="4" width="8.6640625" style="91" customWidth="1"/>
    <col min="5" max="5" width="10.6640625" style="91" customWidth="1"/>
    <col min="6" max="6" width="17.6640625" style="91" customWidth="1"/>
    <col min="7" max="7" width="13.33203125" style="91" customWidth="1"/>
    <col min="8" max="8" width="9.88671875" style="91" customWidth="1"/>
    <col min="9" max="9" width="16.44140625" style="91" customWidth="1"/>
    <col min="10" max="16384" width="8.88671875" style="91"/>
  </cols>
  <sheetData>
    <row r="1" spans="1:9" ht="18" customHeight="1" thickBot="1">
      <c r="A1" s="89" t="s">
        <v>23</v>
      </c>
      <c r="B1" s="89" t="s">
        <v>24</v>
      </c>
      <c r="C1" s="89" t="s">
        <v>25</v>
      </c>
      <c r="D1" s="89" t="s">
        <v>26</v>
      </c>
      <c r="E1" s="89" t="s">
        <v>27</v>
      </c>
      <c r="F1" s="90" t="s">
        <v>28</v>
      </c>
      <c r="G1" s="89" t="s">
        <v>5692</v>
      </c>
      <c r="H1" s="89" t="s">
        <v>5693</v>
      </c>
      <c r="I1" s="89" t="s">
        <v>10668</v>
      </c>
    </row>
    <row r="2" spans="1:9" ht="18" customHeight="1">
      <c r="A2" s="92" t="s">
        <v>5612</v>
      </c>
      <c r="B2" s="93" t="s">
        <v>5613</v>
      </c>
      <c r="C2" s="94" t="s">
        <v>5614</v>
      </c>
      <c r="D2" s="93" t="s">
        <v>5615</v>
      </c>
      <c r="E2" s="94" t="s">
        <v>5616</v>
      </c>
      <c r="F2" s="95" t="s">
        <v>5617</v>
      </c>
      <c r="G2" s="96"/>
      <c r="H2" s="97"/>
      <c r="I2" s="98"/>
    </row>
    <row r="3" spans="1:9" ht="18" customHeight="1">
      <c r="A3" s="92" t="s">
        <v>5618</v>
      </c>
      <c r="B3" s="93" t="s">
        <v>5619</v>
      </c>
      <c r="C3" s="94" t="s">
        <v>4670</v>
      </c>
      <c r="D3" s="93" t="s">
        <v>1720</v>
      </c>
      <c r="E3" s="94" t="s">
        <v>5620</v>
      </c>
      <c r="F3" s="95" t="s">
        <v>5621</v>
      </c>
      <c r="G3" s="94"/>
      <c r="H3" s="99"/>
      <c r="I3" s="100"/>
    </row>
    <row r="4" spans="1:9" ht="18" customHeight="1">
      <c r="A4" s="92" t="s">
        <v>5612</v>
      </c>
      <c r="B4" s="93" t="s">
        <v>5622</v>
      </c>
      <c r="C4" s="94" t="s">
        <v>1752</v>
      </c>
      <c r="D4" s="93" t="s">
        <v>3793</v>
      </c>
      <c r="E4" s="94" t="s">
        <v>5623</v>
      </c>
      <c r="F4" s="95" t="s">
        <v>5624</v>
      </c>
      <c r="G4" s="94"/>
      <c r="H4" s="101"/>
      <c r="I4" s="93"/>
    </row>
    <row r="5" spans="1:9" ht="18" customHeight="1">
      <c r="A5" s="104" t="s">
        <v>5625</v>
      </c>
      <c r="B5" s="104" t="s">
        <v>5626</v>
      </c>
      <c r="C5" s="105" t="s">
        <v>5627</v>
      </c>
      <c r="D5" s="104" t="s">
        <v>5628</v>
      </c>
      <c r="E5" s="105" t="s">
        <v>5629</v>
      </c>
      <c r="F5" s="106" t="s">
        <v>5630</v>
      </c>
      <c r="G5" s="105" t="s">
        <v>5631</v>
      </c>
      <c r="H5" s="108"/>
      <c r="I5" s="107" t="s">
        <v>15072</v>
      </c>
    </row>
    <row r="6" spans="1:9" ht="18" customHeight="1">
      <c r="A6" s="102" t="s">
        <v>5632</v>
      </c>
      <c r="B6" s="93" t="s">
        <v>5633</v>
      </c>
      <c r="C6" s="94" t="s">
        <v>1793</v>
      </c>
      <c r="D6" s="93" t="s">
        <v>2601</v>
      </c>
      <c r="E6" s="94" t="s">
        <v>5634</v>
      </c>
      <c r="F6" s="95" t="s">
        <v>5635</v>
      </c>
      <c r="G6" s="94"/>
      <c r="H6" s="101"/>
      <c r="I6" s="93"/>
    </row>
    <row r="7" spans="1:9" ht="18" customHeight="1">
      <c r="A7" s="104" t="s">
        <v>5639</v>
      </c>
      <c r="B7" s="104" t="s">
        <v>5640</v>
      </c>
      <c r="C7" s="105" t="s">
        <v>5641</v>
      </c>
      <c r="D7" s="104" t="s">
        <v>904</v>
      </c>
      <c r="E7" s="105" t="s">
        <v>5642</v>
      </c>
      <c r="F7" s="106" t="s">
        <v>5643</v>
      </c>
      <c r="G7" s="105"/>
      <c r="H7" s="104" t="s">
        <v>3483</v>
      </c>
      <c r="I7" s="107" t="s">
        <v>22547</v>
      </c>
    </row>
    <row r="8" spans="1:9" ht="18" customHeight="1">
      <c r="A8" s="102" t="s">
        <v>5638</v>
      </c>
      <c r="B8" s="93" t="s">
        <v>5644</v>
      </c>
      <c r="C8" s="94" t="s">
        <v>2407</v>
      </c>
      <c r="D8" s="93" t="s">
        <v>2601</v>
      </c>
      <c r="E8" s="94" t="s">
        <v>5645</v>
      </c>
      <c r="F8" s="95" t="s">
        <v>5646</v>
      </c>
      <c r="G8" s="94"/>
      <c r="H8" s="101"/>
      <c r="I8" s="93"/>
    </row>
    <row r="9" spans="1:9" ht="18" customHeight="1">
      <c r="A9" s="104" t="s">
        <v>5647</v>
      </c>
      <c r="B9" s="104" t="s">
        <v>5648</v>
      </c>
      <c r="C9" s="105" t="s">
        <v>4177</v>
      </c>
      <c r="D9" s="104"/>
      <c r="E9" s="105" t="s">
        <v>4731</v>
      </c>
      <c r="F9" s="106" t="s">
        <v>5649</v>
      </c>
      <c r="G9" s="105"/>
      <c r="H9" s="104" t="s">
        <v>3483</v>
      </c>
      <c r="I9" s="107" t="s">
        <v>10667</v>
      </c>
    </row>
    <row r="10" spans="1:9" ht="18" customHeight="1">
      <c r="A10" s="104" t="s">
        <v>5650</v>
      </c>
      <c r="B10" s="104" t="s">
        <v>5651</v>
      </c>
      <c r="C10" s="105" t="s">
        <v>900</v>
      </c>
      <c r="D10" s="104" t="s">
        <v>1592</v>
      </c>
      <c r="E10" s="105" t="s">
        <v>5652</v>
      </c>
      <c r="F10" s="106" t="s">
        <v>5653</v>
      </c>
      <c r="G10" s="105"/>
      <c r="H10" s="104" t="s">
        <v>3483</v>
      </c>
      <c r="I10" s="107" t="s">
        <v>22548</v>
      </c>
    </row>
    <row r="11" spans="1:9" ht="18" customHeight="1">
      <c r="A11" s="102" t="s">
        <v>5637</v>
      </c>
      <c r="B11" s="93" t="s">
        <v>5654</v>
      </c>
      <c r="C11" s="94" t="s">
        <v>5655</v>
      </c>
      <c r="D11" s="93" t="s">
        <v>275</v>
      </c>
      <c r="E11" s="94" t="s">
        <v>4889</v>
      </c>
      <c r="F11" s="95" t="s">
        <v>5656</v>
      </c>
      <c r="G11" s="94"/>
      <c r="H11" s="101"/>
      <c r="I11" s="93"/>
    </row>
    <row r="12" spans="1:9" ht="18" customHeight="1">
      <c r="A12" s="102" t="s">
        <v>5650</v>
      </c>
      <c r="B12" s="93" t="s">
        <v>5657</v>
      </c>
      <c r="C12" s="94" t="s">
        <v>1793</v>
      </c>
      <c r="D12" s="93" t="s">
        <v>3327</v>
      </c>
      <c r="E12" s="94" t="s">
        <v>5658</v>
      </c>
      <c r="F12" s="95" t="s">
        <v>5659</v>
      </c>
      <c r="G12" s="94"/>
      <c r="H12" s="101"/>
      <c r="I12" s="93"/>
    </row>
    <row r="13" spans="1:9" ht="18" customHeight="1">
      <c r="A13" s="102" t="s">
        <v>5660</v>
      </c>
      <c r="B13" s="93" t="s">
        <v>5661</v>
      </c>
      <c r="C13" s="94" t="s">
        <v>5466</v>
      </c>
      <c r="D13" s="93" t="s">
        <v>1576</v>
      </c>
      <c r="E13" s="94" t="s">
        <v>5662</v>
      </c>
      <c r="F13" s="95" t="s">
        <v>5663</v>
      </c>
      <c r="G13" s="94"/>
      <c r="H13" s="101"/>
      <c r="I13" s="93"/>
    </row>
    <row r="14" spans="1:9" ht="18" customHeight="1">
      <c r="A14" s="102" t="s">
        <v>5664</v>
      </c>
      <c r="B14" s="93" t="s">
        <v>5665</v>
      </c>
      <c r="C14" s="94" t="s">
        <v>2906</v>
      </c>
      <c r="D14" s="93" t="s">
        <v>1720</v>
      </c>
      <c r="E14" s="103" t="s">
        <v>5666</v>
      </c>
      <c r="F14" s="95" t="s">
        <v>5667</v>
      </c>
      <c r="G14" s="94"/>
      <c r="H14" s="101"/>
      <c r="I14" s="93"/>
    </row>
    <row r="15" spans="1:9" ht="18" customHeight="1">
      <c r="A15" s="104" t="s">
        <v>5664</v>
      </c>
      <c r="B15" s="104" t="s">
        <v>5668</v>
      </c>
      <c r="C15" s="105" t="s">
        <v>1793</v>
      </c>
      <c r="D15" s="104" t="s">
        <v>1556</v>
      </c>
      <c r="E15" s="105" t="s">
        <v>4678</v>
      </c>
      <c r="F15" s="106" t="s">
        <v>5669</v>
      </c>
      <c r="G15" s="105" t="s">
        <v>5670</v>
      </c>
      <c r="H15" s="104" t="s">
        <v>3483</v>
      </c>
      <c r="I15" s="107" t="s">
        <v>15071</v>
      </c>
    </row>
    <row r="16" spans="1:9" ht="18" customHeight="1">
      <c r="A16" s="104" t="s">
        <v>5671</v>
      </c>
      <c r="B16" s="104" t="s">
        <v>5672</v>
      </c>
      <c r="C16" s="105" t="s">
        <v>1879</v>
      </c>
      <c r="D16" s="104" t="s">
        <v>275</v>
      </c>
      <c r="E16" s="105" t="s">
        <v>4878</v>
      </c>
      <c r="F16" s="106" t="s">
        <v>5673</v>
      </c>
      <c r="G16" s="105" t="s">
        <v>5674</v>
      </c>
      <c r="H16" s="108"/>
      <c r="I16" s="107" t="s">
        <v>22549</v>
      </c>
    </row>
    <row r="17" spans="1:9" ht="18" customHeight="1">
      <c r="A17" s="102" t="s">
        <v>5675</v>
      </c>
      <c r="B17" s="93" t="s">
        <v>5676</v>
      </c>
      <c r="C17" s="94" t="s">
        <v>4443</v>
      </c>
      <c r="D17" s="93" t="s">
        <v>1720</v>
      </c>
      <c r="E17" s="94" t="s">
        <v>5677</v>
      </c>
      <c r="F17" s="95" t="s">
        <v>5678</v>
      </c>
      <c r="G17" s="94" t="s">
        <v>5679</v>
      </c>
      <c r="H17" s="101"/>
      <c r="I17" s="93"/>
    </row>
    <row r="18" spans="1:9" ht="18" customHeight="1">
      <c r="A18" s="102" t="s">
        <v>5671</v>
      </c>
      <c r="B18" s="93" t="s">
        <v>5680</v>
      </c>
      <c r="C18" s="94" t="s">
        <v>3695</v>
      </c>
      <c r="D18" s="93" t="s">
        <v>1720</v>
      </c>
      <c r="E18" s="94" t="s">
        <v>5681</v>
      </c>
      <c r="F18" s="95" t="s">
        <v>5682</v>
      </c>
      <c r="G18" s="94" t="s">
        <v>5683</v>
      </c>
      <c r="H18" s="101"/>
      <c r="I18" s="93"/>
    </row>
    <row r="19" spans="1:9" ht="18" customHeight="1">
      <c r="A19" s="102" t="s">
        <v>5636</v>
      </c>
      <c r="B19" s="93" t="s">
        <v>5684</v>
      </c>
      <c r="C19" s="94" t="s">
        <v>4443</v>
      </c>
      <c r="D19" s="93" t="s">
        <v>1720</v>
      </c>
      <c r="E19" s="94" t="s">
        <v>5685</v>
      </c>
      <c r="F19" s="95" t="s">
        <v>5686</v>
      </c>
      <c r="G19" s="94" t="s">
        <v>5687</v>
      </c>
      <c r="H19" s="101"/>
      <c r="I19" s="93"/>
    </row>
    <row r="20" spans="1:9" ht="18" customHeight="1">
      <c r="A20" s="102" t="s">
        <v>5664</v>
      </c>
      <c r="B20" s="93" t="s">
        <v>5688</v>
      </c>
      <c r="C20" s="94" t="s">
        <v>1752</v>
      </c>
      <c r="D20" s="93" t="s">
        <v>2836</v>
      </c>
      <c r="E20" s="94" t="s">
        <v>5689</v>
      </c>
      <c r="F20" s="95" t="s">
        <v>5690</v>
      </c>
      <c r="G20" s="94" t="s">
        <v>5691</v>
      </c>
      <c r="H20" s="101"/>
      <c r="I20" s="93"/>
    </row>
    <row r="21" spans="1:9" ht="18" customHeight="1">
      <c r="A21" s="102" t="s">
        <v>13551</v>
      </c>
      <c r="B21" s="93" t="s">
        <v>4175</v>
      </c>
      <c r="C21" s="94" t="s">
        <v>1712</v>
      </c>
      <c r="D21" s="93" t="s">
        <v>1576</v>
      </c>
      <c r="E21" s="94" t="s">
        <v>4174</v>
      </c>
      <c r="F21" s="95" t="s">
        <v>13552</v>
      </c>
      <c r="G21" s="94" t="s">
        <v>13553</v>
      </c>
      <c r="H21" s="101"/>
      <c r="I21" s="93"/>
    </row>
    <row r="22" spans="1:9" ht="18" customHeight="1">
      <c r="A22" s="102" t="s">
        <v>5664</v>
      </c>
      <c r="B22" s="93" t="s">
        <v>10643</v>
      </c>
      <c r="C22" s="94" t="s">
        <v>2564</v>
      </c>
      <c r="D22" s="93" t="s">
        <v>904</v>
      </c>
      <c r="E22" s="94" t="s">
        <v>10644</v>
      </c>
      <c r="F22" s="95" t="s">
        <v>13550</v>
      </c>
      <c r="G22" s="94" t="s">
        <v>13466</v>
      </c>
      <c r="H22" s="101"/>
      <c r="I22" s="93"/>
    </row>
    <row r="23" spans="1:9" ht="18" customHeight="1">
      <c r="A23" s="102" t="s">
        <v>5664</v>
      </c>
      <c r="B23" s="93" t="s">
        <v>15187</v>
      </c>
      <c r="C23" s="94" t="s">
        <v>1793</v>
      </c>
      <c r="D23" s="93" t="s">
        <v>1576</v>
      </c>
      <c r="E23" s="94" t="s">
        <v>3806</v>
      </c>
      <c r="F23" s="95" t="s">
        <v>21211</v>
      </c>
      <c r="G23" s="94" t="s">
        <v>21212</v>
      </c>
      <c r="H23" s="101"/>
      <c r="I23" s="93"/>
    </row>
  </sheetData>
  <phoneticPr fontId="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27期</vt:lpstr>
      <vt:lpstr>27期－R</vt:lpstr>
      <vt:lpstr>代車</vt:lpstr>
      <vt:lpstr>'27期'!Print_Area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濱岡 万友美</dc:creator>
  <cp:lastModifiedBy>マユミ タキイ</cp:lastModifiedBy>
  <cp:lastPrinted>2026-02-02T06:36:04Z</cp:lastPrinted>
  <dcterms:created xsi:type="dcterms:W3CDTF">2017-07-11T02:46:00Z</dcterms:created>
  <dcterms:modified xsi:type="dcterms:W3CDTF">2026-05-19T16:47:15Z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</Properties>
</file>